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0.xml" ContentType="application/vnd.openxmlformats-officedocument.spreadsheetml.worksheet+xml"/>
  <Override PartName="/xl/tables/table13.xml" ContentType="application/vnd.openxmlformats-officedocument.spreadsheetml.table+xml"/>
  <Override PartName="/xl/worksheets/sheet11.xml" ContentType="application/vnd.openxmlformats-officedocument.spreadsheetml.worksheet+xml"/>
  <Override PartName="/xl/tables/table14.xml" ContentType="application/vnd.openxmlformats-officedocument.spreadsheetml.table+xml"/>
  <Override PartName="/xl/worksheets/sheet12.xml" ContentType="application/vnd.openxmlformats-officedocument.spreadsheetml.worksheet+xml"/>
  <Override PartName="/xl/tables/table15.xml" ContentType="application/vnd.openxmlformats-officedocument.spreadsheetml.table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ÍCIO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MTRs" sheetId="3" state="visible" r:id="rId3"/>
    <sheet xmlns:r="http://schemas.openxmlformats.org/officeDocument/2006/relationships" name="ITENS_MTR" sheetId="4" state="visible" r:id="rId4"/>
    <sheet xmlns:r="http://schemas.openxmlformats.org/officeDocument/2006/relationships" name="RECEBIMENTOS" sheetId="5" state="visible" r:id="rId5"/>
    <sheet xmlns:r="http://schemas.openxmlformats.org/officeDocument/2006/relationships" name="CDFs" sheetId="6" state="visible" r:id="rId6"/>
    <sheet xmlns:r="http://schemas.openxmlformats.org/officeDocument/2006/relationships" name="VÍNCULOS_CDF" sheetId="7" state="visible" r:id="rId7"/>
    <sheet xmlns:r="http://schemas.openxmlformats.org/officeDocument/2006/relationships" name="PENDÊNCIAS" sheetId="8" state="visible" r:id="rId8"/>
    <sheet xmlns:r="http://schemas.openxmlformats.org/officeDocument/2006/relationships" name="RELATÓRIOS" sheetId="9" state="visible" r:id="rId9"/>
    <sheet xmlns:r="http://schemas.openxmlformats.org/officeDocument/2006/relationships" name="CAD_UNIDADES" sheetId="10" state="visible" r:id="rId10"/>
    <sheet xmlns:r="http://schemas.openxmlformats.org/officeDocument/2006/relationships" name="CAD_PARCEIROS" sheetId="11" state="visible" r:id="rId11"/>
    <sheet xmlns:r="http://schemas.openxmlformats.org/officeDocument/2006/relationships" name="CAD_RESÍDUOS" sheetId="12" state="visible" r:id="rId12"/>
    <sheet xmlns:r="http://schemas.openxmlformats.org/officeDocument/2006/relationships" name="CONFIGURAÇÕES" sheetId="13" state="visible" r:id="rId13"/>
  </sheets>
  <definedNames>
    <definedName name="f_ini">'PAINEL'!$B$7</definedName>
    <definedName name="f_fim">'PAINEL'!$D$7</definedName>
    <definedName name="f_un">'PAINEL'!$F$7</definedName>
    <definedName name="f_tr">'PAINEL'!$I$7</definedName>
    <definedName name="f_de">'PAINEL'!$L$7</definedName>
    <definedName name="f_res">'PAINEL'!$O$7</definedName>
    <definedName name="f_sit">'PAINEL'!$Q$7</definedName>
    <definedName name="r_ini">'RELATÓRIOS'!$B$7</definedName>
    <definedName name="r_fim">'RELATÓRIOS'!$C$7</definedName>
    <definedName name="r_un">'RELATÓRIOS'!$D$7</definedName>
    <definedName name="r_de">'RELATÓRIOS'!$F$7</definedName>
    <definedName name="cfg_org">'CONFIGURAÇÕES'!$C$6</definedName>
    <definedName name="cfg_massa">'CONFIGURAÇÕES'!$C$7</definedName>
    <definedName name="cfg_rec">'CONFIGURAÇÕES'!$C$8</definedName>
    <definedName name="cfg_cdf">'CONFIGURAÇÕES'!$C$9</definedName>
    <definedName name="cfg_tol">'CONFIGURAÇÕES'!$C$10</definedName>
    <definedName name="cfg_cancel">'CONFIGURAÇÕES'!$C$11</definedName>
    <definedName name="cfg_versao">'CONFIGURAÇÕES'!$C$12</definedName>
    <definedName name="lst_sistemas">OFFSET('CONFIGURAÇÕES'!$B$17,0,0,MAX(1,COUNTA('CONFIGURAÇÕES'!$B$17:$B$26)),1)</definedName>
    <definedName name="lst_sit_mtr">OFFSET('CONFIGURAÇÕES'!$C$17,0,0,MAX(1,COUNTA('CONFIGURAÇÕES'!$C$17:$C$28)),1)</definedName>
    <definedName name="lst_sit_cdf">OFFSET('CONFIGURAÇÕES'!$D$17,0,0,MAX(1,COUNTA('CONFIGURAÇÕES'!$D$17:$D$26)),1)</definedName>
    <definedName name="lst_modal">OFFSET('CONFIGURAÇÕES'!$E$17,0,0,MAX(1,COUNTA('CONFIGURAÇÕES'!$E$17:$E$36)),1)</definedName>
    <definedName name="lst_uf">OFFSET('CONFIGURAÇÕES'!$F$17,0,0,MAX(1,COUNTA('CONFIGURAÇÕES'!$F$17:$F$43)),1)</definedName>
    <definedName name="lst_un">OFFSET('CONFIGURAÇÕES'!$G$17,0,0,MAX(1,COUNTA('CONFIGURAÇÕES'!$G$17:$G$26)),1)</definedName>
    <definedName name="lst_simnao">OFFSET('CONFIGURAÇÕES'!$I$17,0,0,MAX(1,COUNTA('CONFIGURAÇÕES'!$I$17:$I$18)),1)</definedName>
    <definedName name="lst_tipo">OFFSET('CONFIGURAÇÕES'!$J$17,0,0,MAX(1,COUNTA('CONFIGURAÇÕES'!$J$17:$J$24)),1)</definedName>
    <definedName name="lst_papel">OFFSET('CONFIGURAÇÕES'!$K$17,0,0,MAX(1,COUNTA('CONFIGURAÇÕES'!$K$17:$K$24)),1)</definedName>
    <definedName name="lst_sitcad">OFFSET('CONFIGURAÇÕES'!$L$17,0,0,MAX(1,COUNTA('CONFIGURAÇÕES'!$L$17:$L$21)),1)</definedName>
    <definedName name="cfg_units">'CONFIGURAÇÕES'!$G$17:$G$26</definedName>
    <definedName name="cfg_fac">'CONFIGURAÇÕES'!$H$17:$H$26</definedName>
    <definedName name="cfg_pt">'CONFIGURAÇÕES'!$B$52:$B$58</definedName>
    <definedName name="cfg_pp">'CONFIGURAÇÕES'!$C$52:$C$58</definedName>
    <definedName name="cfg_pv">'CONFIGURAÇÕES'!$D$52:$D$58</definedName>
    <definedName name="lst_unidades">OFFSET('CONFIGURAÇÕES'!$AA$6,0,0,MAX(1,MAX('CAD_UNIDADES'!$N$6:$N$105)),1)</definedName>
    <definedName name="lst_transp">OFFSET('CONFIGURAÇÕES'!$AB$6,0,0,MAX(1,MAX('CAD_PARCEIROS'!$S$6:$S$205)),1)</definedName>
    <definedName name="cmp_transp">'CONFIGURAÇÕES'!$AB$6:$AB$205</definedName>
    <definedName name="lst_dest">OFFSET('CONFIGURAÇÕES'!$AC$6,0,0,MAX(1,MAX('CAD_PARCEIROS'!$U$6:$U$205)),1)</definedName>
    <definedName name="cmp_dest">'CONFIGURAÇÕES'!$AC$6:$AC$205</definedName>
    <definedName name="lst_res">OFFSET('CONFIGURAÇÕES'!$AD$6,0,0,MAX(1,MAX('CAD_RESÍDUOS'!$L$6:$L$205)),1)</definedName>
    <definedName name="lst_mtr">OFFSET('CONFIGURAÇÕES'!$AE$6,0,0,MAX(1,MAX('MTRs'!$BE$6:$BE$505)),1)</definedName>
    <definedName name="lst_itens">OFFSET('CONFIGURAÇÕES'!$AF$6,0,0,MAX(1,MAX('ITENS_MTR'!$AT$6:$AT$1005)),1)</definedName>
    <definedName name="lst_cdf">OFFSET('CONFIGURAÇÕES'!$AG$6,0,0,MAX(1,MAX('CDFs'!$Z$6:$Z$505)),1)</definedName>
    <definedName name="lst_f_unid">OFFSET('CONFIGURAÇÕES'!$AH$6,0,0,MAX(1,MAX('CAD_UNIDADES'!$N$6:$N$105))+1,1)</definedName>
    <definedName name="lst_f_transp">OFFSET('CONFIGURAÇÕES'!$AI$6,0,0,MAX(1,MAX('CAD_PARCEIROS'!$S$6:$S$205))+1,1)</definedName>
    <definedName name="lst_f_dest">OFFSET('CONFIGURAÇÕES'!$AJ$6,0,0,MAX(1,MAX('CAD_PARCEIROS'!$U$6:$U$205))+1,1)</definedName>
    <definedName name="lst_f_res">OFFSET('CONFIGURAÇÕES'!$AK$6,0,0,MAX(1,MAX('CAD_RESÍDUOS'!$L$6:$L$205))+1,1)</definedName>
    <definedName name="lst_f_sit">'CONFIGURAÇÕES'!$AL$6:$AL$14</definedName>
    <definedName name="_xlnm.Print_Area" localSheetId="0">'INÍCIO'!$A$1:$Q$40</definedName>
    <definedName name="_xlnm.Print_Area" localSheetId="1">'PAINEL'!$A$1:$S$73</definedName>
    <definedName name="_xlnm.Print_Titles" localSheetId="2">'MTRs'!$5:$5</definedName>
    <definedName name="_xlnm.Print_Titles" localSheetId="3">'ITENS_MTR'!$5:$5</definedName>
    <definedName name="_xlnm.Print_Titles" localSheetId="4">'RECEBIMENTOS'!$5:$5</definedName>
    <definedName name="_xlnm.Print_Titles" localSheetId="5">'CDFs'!$5:$5</definedName>
    <definedName name="_xlnm.Print_Titles" localSheetId="6">'VÍNCULOS_CDF'!$5:$5</definedName>
    <definedName name="_xlnm.Print_Titles" localSheetId="7">'PENDÊNCIAS'!$10:$10</definedName>
    <definedName name="_xlnm.Print_Area" localSheetId="8">'RELATÓRIOS'!$A$1:$J$1104</definedName>
    <definedName name="_xlnm.Print_Titles" localSheetId="9">'CAD_UNIDADES'!$5:$5</definedName>
    <definedName name="_xlnm.Print_Titles" localSheetId="10">'CAD_PARCEIROS'!$5:$5</definedName>
    <definedName name="_xlnm.Print_Titles" localSheetId="11">'CAD_RESÍDUOS'!$5:$5</definedName>
    <definedName name="_xlnm.Print_Area" localSheetId="12">'CONFIGURAÇÕES'!$A$1:$L$82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.000"/>
    <numFmt numFmtId="166" formatCode="#,##0.00;[Red]-#,##0.00"/>
    <numFmt numFmtId="167" formatCode="#,##0.####"/>
  </numFmts>
  <fonts count="62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color rgb="00D6E4F3"/>
      <sz val="13"/>
    </font>
    <font>
      <name val="Calibri"/>
      <b val="1"/>
      <color rgb="00FFFFFF"/>
      <sz val="13"/>
    </font>
    <font>
      <name val="Calibri"/>
      <b val="1"/>
      <color rgb="00FFFFFF"/>
      <sz val="26"/>
    </font>
    <font>
      <name val="Calibri"/>
      <b val="1"/>
      <color rgb="00082C56"/>
      <sz val="12"/>
    </font>
    <font>
      <name val="Calibri"/>
      <b val="1"/>
      <color rgb="00259B52"/>
      <sz val="18"/>
    </font>
    <font>
      <name val="Calibri"/>
      <i val="1"/>
      <color rgb="005B6878"/>
      <sz val="9"/>
    </font>
    <font>
      <name val="Calibri"/>
      <b val="1"/>
      <color rgb="00082C56"/>
      <sz val="14"/>
    </font>
    <font>
      <name val="Calibri"/>
      <b val="1"/>
      <color rgb="00FFFFFF"/>
      <sz val="20"/>
    </font>
    <font>
      <name val="Calibri"/>
      <b val="1"/>
      <color rgb="00082C56"/>
      <sz val="10.5"/>
    </font>
    <font>
      <name val="Calibri"/>
      <color rgb="0033414F"/>
      <sz val="9.5"/>
    </font>
    <font>
      <name val="Calibri"/>
      <b val="1"/>
      <color rgb="001766A9"/>
      <sz val="8.5"/>
      <u val="single"/>
    </font>
    <font>
      <name val="Calibri"/>
      <b val="1"/>
      <color rgb="00FFFFFF"/>
      <sz val="12"/>
    </font>
    <font>
      <name val="Calibri"/>
      <b val="1"/>
      <color rgb="00082C56"/>
      <sz val="10"/>
    </font>
    <font>
      <name val="Calibri"/>
      <color rgb="0033414F"/>
      <sz val="9"/>
    </font>
    <font>
      <name val="Calibri"/>
      <b val="1"/>
      <color rgb="005B6878"/>
      <sz val="10"/>
    </font>
    <font>
      <name val="Calibri"/>
      <b val="1"/>
      <color rgb="001E7B43"/>
      <sz val="10"/>
    </font>
    <font>
      <name val="Calibri"/>
      <b val="1"/>
      <color rgb="008A6100"/>
      <sz val="10"/>
    </font>
    <font>
      <name val="Calibri"/>
      <b val="1"/>
      <color rgb="00B3261E"/>
      <sz val="10"/>
    </font>
    <font>
      <name val="Calibri"/>
      <b val="1"/>
      <color rgb="00FFFFFF"/>
      <sz val="11"/>
    </font>
    <font>
      <name val="Calibri"/>
      <color rgb="001F2933"/>
      <sz val="10"/>
    </font>
    <font>
      <name val="Calibri"/>
      <b val="1"/>
      <i val="1"/>
      <color rgb="00082C56"/>
      <sz val="10.5"/>
    </font>
    <font>
      <name val="Calibri"/>
      <color rgb="005B6878"/>
      <sz val="8.5"/>
    </font>
    <font>
      <name val="Calibri"/>
      <b val="1"/>
      <color rgb="00FFFFFF"/>
      <sz val="22"/>
    </font>
    <font>
      <name val="Calibri"/>
      <color rgb="00D6E4F3"/>
      <sz val="11"/>
    </font>
    <font>
      <name val="Calibri"/>
      <color rgb="00FFFFFF"/>
      <sz val="9"/>
    </font>
    <font>
      <name val="Calibri"/>
      <b val="1"/>
      <color rgb="001766A9"/>
      <sz val="9"/>
      <u val="single"/>
    </font>
    <font>
      <name val="Calibri"/>
      <b val="1"/>
      <color rgb="00082C56"/>
      <sz val="9"/>
    </font>
    <font>
      <name val="Calibri"/>
      <i val="1"/>
      <color rgb="005B6878"/>
      <sz val="8.5"/>
    </font>
    <font>
      <name val="Calibri"/>
      <b val="1"/>
      <color rgb="00FFFFFF"/>
      <sz val="9.5"/>
    </font>
    <font>
      <name val="Calibri"/>
      <b val="1"/>
      <color rgb="00082C56"/>
      <sz val="30"/>
    </font>
    <font>
      <name val="Calibri"/>
      <b val="1"/>
      <color rgb="00E8892B"/>
      <sz val="30"/>
    </font>
    <font>
      <name val="Calibri"/>
      <b val="1"/>
      <color rgb="00259B52"/>
      <sz val="30"/>
    </font>
    <font>
      <name val="Calibri"/>
      <b val="1"/>
      <color rgb="00D98E04"/>
      <sz val="30"/>
    </font>
    <font>
      <name val="Calibri"/>
      <b val="1"/>
      <color rgb="00C0392B"/>
      <sz val="30"/>
    </font>
    <font>
      <name val="Calibri"/>
      <b val="1"/>
      <color rgb="00082C56"/>
      <sz val="11"/>
    </font>
    <font>
      <name val="Calibri"/>
      <b val="1"/>
      <color rgb="005B6878"/>
      <sz val="9"/>
    </font>
    <font>
      <name val="Calibri"/>
      <b val="1"/>
      <color rgb="00082C56"/>
      <sz val="16"/>
    </font>
    <font>
      <name val="Calibri"/>
      <i val="1"/>
      <color rgb="005B6878"/>
      <sz val="7.5"/>
    </font>
    <font>
      <name val="Calibri"/>
      <b val="1"/>
      <color rgb="00FFFFFF"/>
      <sz val="9"/>
    </font>
    <font>
      <name val="Calibri"/>
      <color rgb="005B6878"/>
      <sz val="9"/>
    </font>
    <font>
      <name val="Calibri"/>
      <color rgb="001F2933"/>
      <sz val="9"/>
    </font>
    <font>
      <name val="Calibri"/>
      <b val="1"/>
      <color rgb="001F2933"/>
      <sz val="9"/>
    </font>
    <font>
      <name val="Calibri"/>
      <b val="1"/>
      <i val="1"/>
      <color rgb="00082C56"/>
      <sz val="9"/>
    </font>
    <font>
      <name val="Calibri"/>
      <b val="1"/>
      <color rgb="00FFFFFF"/>
      <sz val="18"/>
    </font>
    <font>
      <name val="Calibri"/>
      <b val="1"/>
      <color rgb="00FFFFFF"/>
      <sz val="10"/>
    </font>
    <font>
      <name val="Calibri"/>
      <b val="1"/>
      <color rgb="00082C56"/>
      <sz val="8"/>
    </font>
    <font>
      <name val="Calibri"/>
      <b val="1"/>
      <color rgb="001766A9"/>
      <sz val="8"/>
    </font>
    <font>
      <name val="Calibri"/>
      <b val="1"/>
      <color rgb="005B6878"/>
      <sz val="8"/>
    </font>
    <font>
      <name val="Calibri"/>
      <color rgb="008899AA"/>
      <sz val="8"/>
    </font>
    <font>
      <name val="Calibri"/>
      <color rgb="002B3A4A"/>
      <sz val="10"/>
    </font>
    <font>
      <name val="Calibri"/>
      <color rgb="008899AA"/>
      <sz val="9"/>
    </font>
    <font>
      <name val="Calibri"/>
      <b val="1"/>
      <color rgb="00E8892B"/>
      <sz val="22"/>
    </font>
    <font>
      <name val="Calibri"/>
      <b val="1"/>
      <color rgb="00D98E04"/>
      <sz val="22"/>
    </font>
    <font>
      <name val="Calibri"/>
      <b val="1"/>
      <color rgb="00C0392B"/>
      <sz val="22"/>
    </font>
    <font>
      <name val="Calibri"/>
      <b val="1"/>
      <color rgb="00082C56"/>
      <sz val="22"/>
    </font>
    <font>
      <name val="Calibri"/>
      <b val="1"/>
      <color rgb="00082C56"/>
      <sz val="9.5"/>
    </font>
    <font>
      <name val="Calibri"/>
      <color rgb="001F2933"/>
      <sz val="9.5"/>
    </font>
    <font>
      <name val="Calibri"/>
      <color rgb="00D6E4F3"/>
      <sz val="10"/>
    </font>
    <font>
      <name val="Calibri"/>
      <b val="1"/>
      <color rgb="001F2933"/>
      <sz val="10"/>
    </font>
    <font>
      <name val="Calibri"/>
      <b val="1"/>
      <color rgb="007A4E00"/>
      <sz val="13"/>
    </font>
  </fonts>
  <fills count="15">
    <fill>
      <patternFill/>
    </fill>
    <fill>
      <patternFill patternType="gray125"/>
    </fill>
    <fill>
      <patternFill patternType="solid">
        <fgColor rgb="00082C56"/>
        <bgColor rgb="00082C56"/>
      </patternFill>
    </fill>
    <fill>
      <patternFill patternType="solid">
        <fgColor rgb="00259B52"/>
        <bgColor rgb="00259B52"/>
      </patternFill>
    </fill>
    <fill>
      <patternFill patternType="solid">
        <fgColor rgb="00EAF4FC"/>
        <bgColor rgb="00EAF4FC"/>
      </patternFill>
    </fill>
    <fill>
      <patternFill patternType="solid">
        <fgColor rgb="001766A9"/>
        <bgColor rgb="001766A9"/>
      </patternFill>
    </fill>
    <fill>
      <patternFill patternType="solid">
        <fgColor rgb="00F4F7FA"/>
        <bgColor rgb="00F4F7FA"/>
      </patternFill>
    </fill>
    <fill>
      <patternFill patternType="solid">
        <fgColor rgb="00E8892B"/>
        <bgColor rgb="00E8892B"/>
      </patternFill>
    </fill>
    <fill>
      <patternFill patternType="solid">
        <fgColor rgb="00E8F7EE"/>
        <bgColor rgb="00E8F7EE"/>
      </patternFill>
    </fill>
    <fill>
      <patternFill patternType="solid">
        <fgColor rgb="00FEF4D8"/>
        <bgColor rgb="00FEF4D8"/>
      </patternFill>
    </fill>
    <fill>
      <patternFill patternType="solid">
        <fgColor rgb="00FBE8E7"/>
        <bgColor rgb="00FBE8E7"/>
      </patternFill>
    </fill>
    <fill>
      <patternFill patternType="solid">
        <fgColor rgb="00FFFFFF"/>
        <bgColor rgb="00FFFFFF"/>
      </patternFill>
    </fill>
    <fill>
      <patternFill patternType="solid">
        <fgColor rgb="00D98E04"/>
        <bgColor rgb="00D98E04"/>
      </patternFill>
    </fill>
    <fill>
      <patternFill patternType="solid">
        <fgColor rgb="00C0392B"/>
        <bgColor rgb="00C0392B"/>
      </patternFill>
    </fill>
    <fill>
      <patternFill patternType="solid">
        <fgColor rgb="00F6C453"/>
        <bgColor rgb="00F6C453"/>
      </patternFill>
    </fill>
  </fills>
  <borders count="23">
    <border>
      <left/>
      <right/>
      <top/>
      <bottom/>
      <diagonal/>
    </border>
    <border>
      <bottom style="medium">
        <color rgb="001766A9"/>
      </bottom>
    </border>
    <border>
      <bottom style="medium">
        <color rgb="00082C56"/>
      </bottom>
    </border>
    <border>
      <left style="thin">
        <color rgb="00D5DEE8"/>
      </left>
      <right style="thin">
        <color rgb="00D5DEE8"/>
      </right>
      <top style="thin">
        <color rgb="00D5DEE8"/>
      </top>
      <bottom style="thin">
        <color rgb="00D5DEE8"/>
      </bottom>
    </border>
    <border>
      <top style="medium">
        <color rgb="00082C56"/>
      </top>
      <bottom style="medium">
        <color rgb="00082C56"/>
      </bottom>
    </border>
    <border>
      <left style="thin">
        <color rgb="00D5DEE8"/>
      </left>
      <right style="thin">
        <color rgb="00D5DEE8"/>
      </right>
      <top style="thin">
        <color rgb="00D5DEE8"/>
      </top>
      <bottom style="medium">
        <color rgb="001766A9"/>
      </bottom>
    </border>
    <border>
      <left style="thin">
        <color rgb="00082C56"/>
      </left>
      <right style="thin">
        <color rgb="00082C56"/>
      </right>
    </border>
    <border>
      <left style="thin">
        <color rgb="00082C56"/>
      </left>
      <right style="thin">
        <color rgb="00082C56"/>
      </right>
      <bottom style="thick">
        <color rgb="00082C56"/>
      </bottom>
    </border>
    <border>
      <left style="thin">
        <color rgb="00E8892B"/>
      </left>
      <right style="thin">
        <color rgb="00E8892B"/>
      </right>
    </border>
    <border>
      <left style="thin">
        <color rgb="00E8892B"/>
      </left>
      <right style="thin">
        <color rgb="00E8892B"/>
      </right>
      <bottom style="thick">
        <color rgb="00E8892B"/>
      </bottom>
    </border>
    <border>
      <left style="thin">
        <color rgb="00259B52"/>
      </left>
      <right style="thin">
        <color rgb="00259B52"/>
      </right>
    </border>
    <border>
      <left style="thin">
        <color rgb="00259B52"/>
      </left>
      <right style="thin">
        <color rgb="00259B52"/>
      </right>
      <bottom style="thick">
        <color rgb="00259B52"/>
      </bottom>
    </border>
    <border>
      <left style="thin">
        <color rgb="00D98E04"/>
      </left>
      <right style="thin">
        <color rgb="00D98E04"/>
      </right>
    </border>
    <border>
      <left style="thin">
        <color rgb="00D98E04"/>
      </left>
      <right style="thin">
        <color rgb="00D98E04"/>
      </right>
      <bottom style="thick">
        <color rgb="00D98E04"/>
      </bottom>
    </border>
    <border>
      <left style="thin">
        <color rgb="00C0392B"/>
      </left>
      <right style="thin">
        <color rgb="00C0392B"/>
      </right>
    </border>
    <border>
      <left style="thin">
        <color rgb="00C0392B"/>
      </left>
      <right style="thin">
        <color rgb="00C0392B"/>
      </right>
      <bottom style="thick">
        <color rgb="00C0392B"/>
      </bottom>
    </border>
    <border>
      <bottom style="thin">
        <color rgb="00D5DEE8"/>
      </bottom>
    </border>
    <border>
      <left style="thin">
        <color rgb="00FFFFFF"/>
      </left>
      <right style="thin">
        <color rgb="00FFFFFF"/>
      </right>
    </border>
    <border>
      <left style="thin">
        <color rgb="00D5DEE8"/>
      </left>
      <right style="thin">
        <color rgb="00D5DEE8"/>
      </right>
      <bottom style="thick">
        <color rgb="00E8892B"/>
      </bottom>
    </border>
    <border>
      <left style="thin">
        <color rgb="00D5DEE8"/>
      </left>
      <right style="thin">
        <color rgb="00D5DEE8"/>
      </right>
      <bottom style="thick">
        <color rgb="00D98E04"/>
      </bottom>
    </border>
    <border>
      <left style="thin">
        <color rgb="00D5DEE8"/>
      </left>
      <right style="thin">
        <color rgb="00D5DEE8"/>
      </right>
      <bottom style="thick">
        <color rgb="00C0392B"/>
      </bottom>
    </border>
    <border>
      <left style="thin">
        <color rgb="00D5DEE8"/>
      </left>
      <right style="thin">
        <color rgb="00D5DEE8"/>
      </right>
      <bottom style="thick">
        <color rgb="00082C56"/>
      </bottom>
    </border>
    <border>
      <top style="medium">
        <color rgb="00082C56"/>
      </top>
    </border>
  </borders>
  <cellStyleXfs count="1">
    <xf numFmtId="0" fontId="0" fillId="0" borderId="0"/>
  </cellStyleXfs>
  <cellXfs count="15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8" fillId="0" borderId="2" pivotButton="0" quotePrefix="0" xfId="0"/>
    <xf numFmtId="0" fontId="9" fillId="5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6" fillId="6" borderId="3" applyAlignment="1" pivotButton="0" quotePrefix="0" xfId="0">
      <alignment horizontal="center" vertical="center" wrapText="1"/>
    </xf>
    <xf numFmtId="0" fontId="17" fillId="8" borderId="3" applyAlignment="1" pivotButton="0" quotePrefix="0" xfId="0">
      <alignment horizontal="center" vertical="center" wrapText="1"/>
    </xf>
    <xf numFmtId="0" fontId="18" fillId="9" borderId="3" applyAlignment="1" pivotButton="0" quotePrefix="0" xfId="0">
      <alignment horizontal="center" vertical="center" wrapText="1"/>
    </xf>
    <xf numFmtId="0" fontId="19" fillId="10" borderId="3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 indent="1"/>
    </xf>
    <xf numFmtId="0" fontId="20" fillId="3" borderId="0" applyAlignment="1" pivotButton="0" quotePrefix="0" xfId="0">
      <alignment horizontal="center" vertical="center" wrapText="1"/>
    </xf>
    <xf numFmtId="0" fontId="21" fillId="6" borderId="0" applyAlignment="1" pivotButton="0" quotePrefix="0" xfId="0">
      <alignment horizontal="left" vertical="center" wrapText="1" indent="1"/>
    </xf>
    <xf numFmtId="0" fontId="20" fillId="5" borderId="0" applyAlignment="1" pivotButton="0" quotePrefix="0" xfId="0">
      <alignment horizontal="center" vertical="center" wrapText="1"/>
    </xf>
    <xf numFmtId="0" fontId="21" fillId="11" borderId="0" applyAlignment="1" pivotButton="0" quotePrefix="0" xfId="0">
      <alignment horizontal="left" vertical="center" wrapText="1" indent="1"/>
    </xf>
    <xf numFmtId="0" fontId="22" fillId="4" borderId="4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0" fontId="24" fillId="2" borderId="0" applyAlignment="1" pivotButton="0" quotePrefix="0" xfId="0">
      <alignment horizontal="left" vertical="center" indent="1"/>
    </xf>
    <xf numFmtId="0" fontId="25" fillId="2" borderId="0" applyAlignment="1" pivotButton="0" quotePrefix="0" xfId="0">
      <alignment horizontal="left" vertical="center" indent="1"/>
    </xf>
    <xf numFmtId="0" fontId="26" fillId="2" borderId="0" applyAlignment="1" pivotButton="0" quotePrefix="0" xfId="0">
      <alignment horizontal="center" vertical="center" wrapText="1"/>
    </xf>
    <xf numFmtId="0" fontId="27" fillId="0" borderId="0" pivotButton="0" quotePrefix="0" xfId="0"/>
    <xf numFmtId="0" fontId="40" fillId="5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left" vertical="bottom"/>
    </xf>
    <xf numFmtId="0" fontId="28" fillId="0" borderId="0" pivotButton="0" quotePrefix="0" xfId="0"/>
    <xf numFmtId="0" fontId="41" fillId="0" borderId="0" pivotButton="0" quotePrefix="0" xfId="0"/>
    <xf numFmtId="164" fontId="14" fillId="4" borderId="5" applyAlignment="1" applyProtection="1" pivotButton="0" quotePrefix="0" xfId="0">
      <alignment horizontal="center" vertical="center" wrapText="1"/>
      <protection locked="0" hidden="0"/>
    </xf>
    <xf numFmtId="0" fontId="14" fillId="4" borderId="5" applyAlignment="1" applyProtection="1" pivotButton="0" quotePrefix="0" xfId="0">
      <alignment horizontal="center" vertical="center" wrapText="1"/>
      <protection locked="0" hidden="0"/>
    </xf>
    <xf numFmtId="0" fontId="29" fillId="0" borderId="0" applyAlignment="1" pivotButton="0" quotePrefix="0" xfId="0">
      <alignment horizontal="left" vertical="center" wrapText="1"/>
    </xf>
    <xf numFmtId="0" fontId="30" fillId="2" borderId="0" applyAlignment="1" pivotButton="0" quotePrefix="0" xfId="0">
      <alignment horizontal="center" vertical="center" wrapText="1"/>
    </xf>
    <xf numFmtId="0" fontId="30" fillId="7" borderId="0" applyAlignment="1" pivotButton="0" quotePrefix="0" xfId="0">
      <alignment horizontal="center" vertical="center" wrapText="1"/>
    </xf>
    <xf numFmtId="0" fontId="30" fillId="3" borderId="0" applyAlignment="1" pivotButton="0" quotePrefix="0" xfId="0">
      <alignment horizontal="center" vertical="center" wrapText="1"/>
    </xf>
    <xf numFmtId="0" fontId="30" fillId="12" borderId="0" applyAlignment="1" pivotButton="0" quotePrefix="0" xfId="0">
      <alignment horizontal="center" vertical="center" wrapText="1"/>
    </xf>
    <xf numFmtId="0" fontId="30" fillId="13" borderId="0" applyAlignment="1" pivotButton="0" quotePrefix="0" xfId="0">
      <alignment horizontal="center" vertical="center" wrapText="1"/>
    </xf>
    <xf numFmtId="3" fontId="31" fillId="11" borderId="6" applyAlignment="1" pivotButton="0" quotePrefix="0" xfId="0">
      <alignment horizontal="center" vertical="center" wrapText="1"/>
    </xf>
    <xf numFmtId="3" fontId="32" fillId="11" borderId="8" applyAlignment="1" pivotButton="0" quotePrefix="0" xfId="0">
      <alignment horizontal="center" vertical="center" wrapText="1"/>
    </xf>
    <xf numFmtId="3" fontId="33" fillId="11" borderId="10" applyAlignment="1" pivotButton="0" quotePrefix="0" xfId="0">
      <alignment horizontal="center" vertical="center" wrapText="1"/>
    </xf>
    <xf numFmtId="3" fontId="34" fillId="11" borderId="12" applyAlignment="1" pivotButton="0" quotePrefix="0" xfId="0">
      <alignment horizontal="center" vertical="center" wrapText="1"/>
    </xf>
    <xf numFmtId="3" fontId="35" fillId="11" borderId="14" applyAlignment="1" pivotButton="0" quotePrefix="0" xfId="0">
      <alignment horizontal="center" vertical="center" wrapText="1"/>
    </xf>
    <xf numFmtId="0" fontId="29" fillId="11" borderId="7" applyAlignment="1" pivotButton="0" quotePrefix="0" xfId="0">
      <alignment horizontal="center" vertical="center" wrapText="1"/>
    </xf>
    <xf numFmtId="0" fontId="29" fillId="11" borderId="9" applyAlignment="1" pivotButton="0" quotePrefix="0" xfId="0">
      <alignment horizontal="center" vertical="center" wrapText="1"/>
    </xf>
    <xf numFmtId="0" fontId="29" fillId="11" borderId="11" applyAlignment="1" pivotButton="0" quotePrefix="0" xfId="0">
      <alignment horizontal="center" vertical="center" wrapText="1"/>
    </xf>
    <xf numFmtId="0" fontId="29" fillId="11" borderId="13" applyAlignment="1" pivotButton="0" quotePrefix="0" xfId="0">
      <alignment horizontal="center" vertical="center" wrapText="1"/>
    </xf>
    <xf numFmtId="0" fontId="29" fillId="11" borderId="15" applyAlignment="1" pivotButton="0" quotePrefix="0" xfId="0">
      <alignment horizontal="center" vertical="center" wrapText="1"/>
    </xf>
    <xf numFmtId="0" fontId="36" fillId="0" borderId="2" pivotButton="0" quotePrefix="0" xfId="0"/>
    <xf numFmtId="0" fontId="37" fillId="6" borderId="0" applyAlignment="1" pivotButton="0" quotePrefix="0" xfId="0">
      <alignment horizontal="center" vertical="center" wrapText="1"/>
    </xf>
    <xf numFmtId="4" fontId="38" fillId="6" borderId="0" applyAlignment="1" pivotButton="0" quotePrefix="0" xfId="0">
      <alignment horizontal="center" vertical="center" wrapText="1"/>
    </xf>
    <xf numFmtId="3" fontId="38" fillId="6" borderId="0" applyAlignment="1" pivotButton="0" quotePrefix="0" xfId="0">
      <alignment horizontal="center" vertical="center" wrapText="1"/>
    </xf>
    <xf numFmtId="0" fontId="39" fillId="6" borderId="0" applyAlignment="1" pivotButton="0" quotePrefix="0" xfId="0">
      <alignment horizontal="center" vertical="center" wrapText="1"/>
    </xf>
    <xf numFmtId="164" fontId="41" fillId="0" borderId="0" pivotButton="0" quotePrefix="0" xfId="0"/>
    <xf numFmtId="0" fontId="13" fillId="13" borderId="0" applyAlignment="1" pivotButton="0" quotePrefix="0" xfId="0">
      <alignment horizontal="left" vertical="center" wrapText="1" indent="1"/>
    </xf>
    <xf numFmtId="0" fontId="29" fillId="0" borderId="0" applyAlignment="1" pivotButton="0" quotePrefix="0" xfId="0">
      <alignment horizontal="left" vertical="center" wrapText="1" indent="1"/>
    </xf>
    <xf numFmtId="0" fontId="28" fillId="11" borderId="16" applyAlignment="1" pivotButton="0" quotePrefix="0" xfId="0">
      <alignment horizontal="center" vertical="center" wrapText="1"/>
    </xf>
    <xf numFmtId="0" fontId="42" fillId="11" borderId="16" applyAlignment="1" pivotButton="0" quotePrefix="0" xfId="0">
      <alignment horizontal="center" vertical="center" wrapText="1"/>
    </xf>
    <xf numFmtId="0" fontId="42" fillId="11" borderId="16" applyAlignment="1" pivotButton="0" quotePrefix="0" xfId="0">
      <alignment horizontal="left" vertical="center" wrapText="1" indent="1"/>
    </xf>
    <xf numFmtId="0" fontId="43" fillId="11" borderId="16" applyAlignment="1" pivotButton="0" quotePrefix="0" xfId="0">
      <alignment horizontal="left" vertical="center" wrapText="1" indent="1"/>
    </xf>
    <xf numFmtId="1" fontId="42" fillId="11" borderId="16" applyAlignment="1" pivotButton="0" quotePrefix="0" xfId="0">
      <alignment horizontal="center" vertical="center" wrapText="1"/>
    </xf>
    <xf numFmtId="0" fontId="28" fillId="6" borderId="16" applyAlignment="1" pivotButton="0" quotePrefix="0" xfId="0">
      <alignment horizontal="center" vertical="center" wrapText="1"/>
    </xf>
    <xf numFmtId="0" fontId="42" fillId="6" borderId="16" applyAlignment="1" pivotButton="0" quotePrefix="0" xfId="0">
      <alignment horizontal="center" vertical="center" wrapText="1"/>
    </xf>
    <xf numFmtId="0" fontId="42" fillId="6" borderId="16" applyAlignment="1" pivotButton="0" quotePrefix="0" xfId="0">
      <alignment horizontal="left" vertical="center" wrapText="1" indent="1"/>
    </xf>
    <xf numFmtId="0" fontId="43" fillId="6" borderId="16" applyAlignment="1" pivotButton="0" quotePrefix="0" xfId="0">
      <alignment horizontal="left" vertical="center" wrapText="1" indent="1"/>
    </xf>
    <xf numFmtId="1" fontId="42" fillId="6" borderId="16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left" vertical="center" wrapText="1" indent="1"/>
    </xf>
    <xf numFmtId="0" fontId="27" fillId="0" borderId="0" applyAlignment="1" pivotButton="0" quotePrefix="0" xfId="0">
      <alignment horizontal="center" vertical="center" wrapText="1"/>
    </xf>
    <xf numFmtId="0" fontId="44" fillId="4" borderId="0" applyAlignment="1" pivotButton="0" quotePrefix="0" xfId="0">
      <alignment horizontal="center" vertical="center" wrapText="1"/>
    </xf>
    <xf numFmtId="0" fontId="45" fillId="2" borderId="0" applyAlignment="1" pivotButton="0" quotePrefix="0" xfId="0">
      <alignment horizontal="left" vertical="center" indent="1"/>
    </xf>
    <xf numFmtId="0" fontId="21" fillId="4" borderId="0" applyAlignment="1" pivotButton="0" quotePrefix="0" xfId="0">
      <alignment horizontal="left" vertical="center" wrapText="1" indent="1"/>
    </xf>
    <xf numFmtId="0" fontId="2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7" fillId="6" borderId="0" applyAlignment="1" pivotButton="0" quotePrefix="0" xfId="0">
      <alignment horizontal="center" vertical="center" wrapText="1"/>
    </xf>
    <xf numFmtId="0" fontId="48" fillId="4" borderId="0" applyAlignment="1" pivotButton="0" quotePrefix="0" xfId="0">
      <alignment horizontal="center" vertical="center" wrapText="1"/>
    </xf>
    <xf numFmtId="0" fontId="49" fillId="6" borderId="0" applyAlignment="1" pivotButton="0" quotePrefix="0" xfId="0">
      <alignment horizontal="center" vertical="center" wrapText="1"/>
    </xf>
    <xf numFmtId="0" fontId="46" fillId="2" borderId="17" applyAlignment="1" pivotButton="0" quotePrefix="0" xfId="0">
      <alignment horizontal="center" vertical="center" wrapText="1"/>
    </xf>
    <xf numFmtId="0" fontId="46" fillId="5" borderId="17" applyAlignment="1" pivotButton="0" quotePrefix="0" xfId="0">
      <alignment horizontal="center" vertical="center" wrapText="1"/>
    </xf>
    <xf numFmtId="0" fontId="50" fillId="0" borderId="0" pivotButton="0" quotePrefix="0" xfId="0"/>
    <xf numFmtId="0" fontId="14" fillId="6" borderId="0" applyAlignment="1" pivotButton="0" quotePrefix="0" xfId="0">
      <alignment horizontal="center" vertical="center"/>
    </xf>
    <xf numFmtId="49" fontId="21" fillId="4" borderId="0" applyAlignment="1" applyProtection="1" pivotButton="0" quotePrefix="0" xfId="0">
      <alignment vertical="center"/>
      <protection locked="0" hidden="0"/>
    </xf>
    <xf numFmtId="0" fontId="21" fillId="4" borderId="0" applyAlignment="1" applyProtection="1" pivotButton="0" quotePrefix="0" xfId="0">
      <alignment vertical="center"/>
      <protection locked="0" hidden="0"/>
    </xf>
    <xf numFmtId="164" fontId="21" fillId="4" borderId="0" applyAlignment="1" applyProtection="1" pivotButton="0" quotePrefix="0" xfId="0">
      <alignment vertical="center"/>
      <protection locked="0" hidden="0"/>
    </xf>
    <xf numFmtId="4" fontId="51" fillId="6" borderId="0" applyAlignment="1" pivotButton="0" quotePrefix="0" xfId="0">
      <alignment vertical="center"/>
    </xf>
    <xf numFmtId="0" fontId="51" fillId="6" borderId="0" applyAlignment="1" pivotButton="0" quotePrefix="0" xfId="0">
      <alignment vertical="center"/>
    </xf>
    <xf numFmtId="1" fontId="51" fillId="6" borderId="0" applyAlignment="1" pivotButton="0" quotePrefix="0" xfId="0">
      <alignment vertical="center"/>
    </xf>
    <xf numFmtId="0" fontId="52" fillId="0" borderId="0" pivotButton="0" quotePrefix="0" xfId="0"/>
    <xf numFmtId="164" fontId="52" fillId="0" borderId="0" pivotButton="0" quotePrefix="0" xfId="0"/>
    <xf numFmtId="165" fontId="21" fillId="4" borderId="0" applyAlignment="1" applyProtection="1" pivotButton="0" quotePrefix="0" xfId="0">
      <alignment vertical="center"/>
      <protection locked="0" hidden="0"/>
    </xf>
    <xf numFmtId="166" fontId="51" fillId="6" borderId="0" applyAlignment="1" pivotButton="0" quotePrefix="0" xfId="0">
      <alignment vertical="center"/>
    </xf>
    <xf numFmtId="9" fontId="51" fillId="6" borderId="0" applyAlignment="1" pivotButton="0" quotePrefix="0" xfId="0">
      <alignment vertical="center"/>
    </xf>
    <xf numFmtId="0" fontId="9" fillId="2" borderId="0" applyAlignment="1" pivotButton="0" quotePrefix="0" xfId="0">
      <alignment horizontal="left" vertical="center" indent="1"/>
    </xf>
    <xf numFmtId="0" fontId="7" fillId="6" borderId="0" applyAlignment="1" pivotButton="0" quotePrefix="0" xfId="0">
      <alignment vertical="center" wrapText="1"/>
    </xf>
    <xf numFmtId="3" fontId="53" fillId="11" borderId="18" applyAlignment="1" pivotButton="0" quotePrefix="0" xfId="0">
      <alignment horizontal="center" vertical="center" wrapText="1"/>
    </xf>
    <xf numFmtId="3" fontId="54" fillId="11" borderId="19" applyAlignment="1" pivotButton="0" quotePrefix="0" xfId="0">
      <alignment horizontal="center" vertical="center" wrapText="1"/>
    </xf>
    <xf numFmtId="3" fontId="55" fillId="11" borderId="20" applyAlignment="1" pivotButton="0" quotePrefix="0" xfId="0">
      <alignment horizontal="center" vertical="center" wrapText="1"/>
    </xf>
    <xf numFmtId="3" fontId="56" fillId="11" borderId="21" applyAlignment="1" pivotButton="0" quotePrefix="0" xfId="0">
      <alignment horizontal="center" vertical="center" wrapText="1"/>
    </xf>
    <xf numFmtId="0" fontId="46" fillId="2" borderId="0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vertical="center"/>
    </xf>
    <xf numFmtId="0" fontId="58" fillId="0" borderId="0" applyAlignment="1" pivotButton="0" quotePrefix="0" xfId="0">
      <alignment vertical="center" wrapText="1"/>
    </xf>
    <xf numFmtId="164" fontId="58" fillId="0" borderId="0" applyAlignment="1" pivotButton="0" quotePrefix="0" xfId="0">
      <alignment horizontal="center" vertical="center" wrapText="1"/>
    </xf>
    <xf numFmtId="1" fontId="58" fillId="0" borderId="0" applyAlignment="1" pivotButton="0" quotePrefix="0" xfId="0">
      <alignment horizontal="center" vertical="center" wrapText="1"/>
    </xf>
    <xf numFmtId="0" fontId="58" fillId="0" borderId="0" applyAlignment="1" pivotButton="0" quotePrefix="0" xfId="0">
      <alignment horizontal="center" vertical="center" wrapText="1"/>
    </xf>
    <xf numFmtId="0" fontId="59" fillId="2" borderId="0" applyAlignment="1" pivotButton="0" quotePrefix="0" xfId="0">
      <alignment horizontal="left" vertical="center" wrapText="1" indent="1"/>
    </xf>
    <xf numFmtId="0" fontId="29" fillId="0" borderId="0" applyAlignment="1" pivotButton="0" quotePrefix="0" xfId="0">
      <alignment vertical="center" wrapText="1"/>
    </xf>
    <xf numFmtId="0" fontId="3" fillId="5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vertical="center" wrapText="1"/>
    </xf>
    <xf numFmtId="164" fontId="0" fillId="0" borderId="0" pivotButton="0" quotePrefix="0" xfId="0"/>
    <xf numFmtId="0" fontId="57" fillId="0" borderId="0" applyAlignment="1" pivotButton="0" quotePrefix="0" xfId="0">
      <alignment vertical="center"/>
    </xf>
    <xf numFmtId="0" fontId="58" fillId="0" borderId="0" applyAlignment="1" pivotButton="0" quotePrefix="0" xfId="0">
      <alignment vertical="center"/>
    </xf>
    <xf numFmtId="3" fontId="58" fillId="0" borderId="0" applyAlignment="1" pivotButton="0" quotePrefix="0" xfId="0">
      <alignment vertical="center"/>
    </xf>
    <xf numFmtId="4" fontId="58" fillId="0" borderId="0" applyAlignment="1" pivotButton="0" quotePrefix="0" xfId="0">
      <alignment vertical="center"/>
    </xf>
    <xf numFmtId="0" fontId="57" fillId="4" borderId="22" applyAlignment="1" pivotButton="0" quotePrefix="0" xfId="0">
      <alignment vertical="center"/>
    </xf>
    <xf numFmtId="0" fontId="0" fillId="4" borderId="22" pivotButton="0" quotePrefix="0" xfId="0"/>
    <xf numFmtId="3" fontId="57" fillId="4" borderId="22" applyAlignment="1" pivotButton="0" quotePrefix="0" xfId="0">
      <alignment vertical="center"/>
    </xf>
    <xf numFmtId="4" fontId="57" fillId="4" borderId="22" applyAlignment="1" pivotButton="0" quotePrefix="0" xfId="0">
      <alignment vertical="center"/>
    </xf>
    <xf numFmtId="0" fontId="57" fillId="0" borderId="0" applyAlignment="1" pivotButton="0" quotePrefix="0" xfId="0">
      <alignment horizontal="left" vertical="center" wrapText="1" indent="1"/>
    </xf>
    <xf numFmtId="164" fontId="58" fillId="0" borderId="0" applyAlignment="1" pivotButton="0" quotePrefix="0" xfId="0">
      <alignment vertical="center"/>
    </xf>
    <xf numFmtId="1" fontId="58" fillId="0" borderId="0" applyAlignment="1" pivotButton="0" quotePrefix="0" xfId="0">
      <alignment vertical="center"/>
    </xf>
    <xf numFmtId="166" fontId="58" fillId="0" borderId="0" applyAlignment="1" pivotButton="0" quotePrefix="0" xfId="0">
      <alignment vertical="center"/>
    </xf>
    <xf numFmtId="0" fontId="13" fillId="5" borderId="0" applyAlignment="1" pivotButton="0" quotePrefix="0" xfId="0">
      <alignment horizontal="left" vertical="center" wrapText="1" indent="1"/>
    </xf>
    <xf numFmtId="0" fontId="14" fillId="0" borderId="3" applyAlignment="1" pivotButton="0" quotePrefix="0" xfId="0">
      <alignment horizontal="left" vertical="center" wrapText="1" indent="1"/>
    </xf>
    <xf numFmtId="0" fontId="60" fillId="4" borderId="3" applyAlignment="1" applyProtection="1" pivotButton="0" quotePrefix="0" xfId="0">
      <alignment horizontal="center" vertical="center"/>
      <protection locked="0" hidden="0"/>
    </xf>
    <xf numFmtId="0" fontId="60" fillId="6" borderId="3" applyAlignment="1" pivotButton="0" quotePrefix="0" xfId="0">
      <alignment horizontal="center" vertical="center"/>
    </xf>
    <xf numFmtId="1" fontId="60" fillId="4" borderId="3" applyAlignment="1" applyProtection="1" pivotButton="0" quotePrefix="0" xfId="0">
      <alignment horizontal="center" vertical="center"/>
      <protection locked="0" hidden="0"/>
    </xf>
    <xf numFmtId="0" fontId="7" fillId="0" borderId="0" pivotButton="0" quotePrefix="0" xfId="0"/>
    <xf numFmtId="4" fontId="60" fillId="4" borderId="3" applyAlignment="1" applyProtection="1" pivotButton="0" quotePrefix="0" xfId="0">
      <alignment horizontal="center" vertical="center"/>
      <protection locked="0" hidden="0"/>
    </xf>
    <xf numFmtId="0" fontId="61" fillId="14" borderId="0" applyAlignment="1" pivotButton="0" quotePrefix="0" xfId="0">
      <alignment horizontal="center" vertical="center"/>
    </xf>
    <xf numFmtId="0" fontId="40" fillId="2" borderId="0" applyAlignment="1" pivotButton="0" quotePrefix="0" xfId="0">
      <alignment horizontal="center" vertical="center" wrapText="1"/>
    </xf>
    <xf numFmtId="0" fontId="21" fillId="4" borderId="3" applyProtection="1" pivotButton="0" quotePrefix="0" xfId="0">
      <protection locked="0" hidden="0"/>
    </xf>
    <xf numFmtId="167" fontId="21" fillId="4" borderId="3" applyProtection="1" pivotButton="0" quotePrefix="0" xfId="0">
      <protection locked="0" hidden="0"/>
    </xf>
    <xf numFmtId="0" fontId="14" fillId="6" borderId="3" applyAlignment="1" pivotButton="0" quotePrefix="0" xfId="0">
      <alignment horizontal="left" vertical="center" wrapText="1" indent="1"/>
    </xf>
    <xf numFmtId="0" fontId="21" fillId="4" borderId="3" applyAlignment="1" applyProtection="1" pivotButton="0" quotePrefix="0" xfId="0">
      <alignment horizontal="center" vertical="center" wrapText="1"/>
      <protection locked="0" hidden="0"/>
    </xf>
    <xf numFmtId="0" fontId="21" fillId="4" borderId="3" applyAlignment="1" applyProtection="1" pivotButton="0" quotePrefix="0" xfId="0">
      <alignment horizontal="left" vertical="center" wrapText="1" indent="1"/>
      <protection locked="0" hidden="0"/>
    </xf>
    <xf numFmtId="0" fontId="21" fillId="0" borderId="3" applyAlignment="1" pivotButton="0" quotePrefix="0" xfId="0">
      <alignment horizontal="left" vertical="center" wrapText="1" indent="1"/>
    </xf>
    <xf numFmtId="0" fontId="0" fillId="2" borderId="3" pivotButton="0" quotePrefix="0" xfId="0"/>
    <xf numFmtId="0" fontId="0" fillId="5" borderId="3" pivotButton="0" quotePrefix="0" xfId="0"/>
    <xf numFmtId="0" fontId="0" fillId="4" borderId="3" pivotButton="0" quotePrefix="0" xfId="0"/>
    <xf numFmtId="0" fontId="0" fillId="3" borderId="3" pivotButton="0" quotePrefix="0" xfId="0"/>
    <xf numFmtId="0" fontId="0" fillId="8" borderId="3" pivotButton="0" quotePrefix="0" xfId="0"/>
    <xf numFmtId="0" fontId="0" fillId="14" borderId="3" pivotButton="0" quotePrefix="0" xfId="0"/>
    <xf numFmtId="0" fontId="0" fillId="10" borderId="3" pivotButton="0" quotePrefix="0" xfId="0"/>
    <xf numFmtId="0" fontId="0" fillId="6" borderId="3" pivotButton="0" quotePrefix="0" xfId="0"/>
  </cellXfs>
  <cellStyles count="1">
    <cellStyle name="Normal" xfId="0" builtinId="0" hidden="0"/>
  </cellStyles>
  <dxfs count="9">
    <dxf>
      <font>
        <name val="Calibri"/>
        <b val="1"/>
        <color rgb="005B6878"/>
      </font>
      <fill>
        <patternFill patternType="solid">
          <fgColor rgb="00F4F7FA"/>
          <bgColor rgb="00F4F7FA"/>
        </patternFill>
      </fill>
    </dxf>
    <dxf>
      <font>
        <name val="Calibri"/>
        <b val="1"/>
        <color rgb="00B3261E"/>
      </font>
      <fill>
        <patternFill patternType="solid">
          <fgColor rgb="00FBE8E7"/>
          <bgColor rgb="00FBE8E7"/>
        </patternFill>
      </fill>
    </dxf>
    <dxf>
      <font>
        <name val="Calibri"/>
        <b val="1"/>
        <color rgb="008A6100"/>
      </font>
      <fill>
        <patternFill patternType="solid">
          <fgColor rgb="00FEF4D8"/>
          <bgColor rgb="00FEF4D8"/>
        </patternFill>
      </fill>
    </dxf>
    <dxf>
      <font>
        <name val="Calibri"/>
        <b val="1"/>
        <color rgb="009A4A00"/>
      </font>
      <fill>
        <patternFill patternType="solid">
          <fgColor rgb="00FDEBD3"/>
          <bgColor rgb="00FDEBD3"/>
        </patternFill>
      </fill>
    </dxf>
    <dxf>
      <font>
        <name val="Calibri"/>
        <b val="1"/>
        <color rgb="001E7B43"/>
      </font>
      <fill>
        <patternFill patternType="solid">
          <fgColor rgb="00E8F7EE"/>
          <bgColor rgb="00E8F7EE"/>
        </patternFill>
      </fill>
    </dxf>
    <dxf>
      <fill>
        <patternFill patternType="solid">
          <fgColor rgb="00DCEBF8"/>
          <bgColor rgb="00DCEBF8"/>
        </patternFill>
      </fill>
    </dxf>
    <dxf>
      <fill>
        <patternFill patternType="solid">
          <fgColor rgb="00E9EEF3"/>
          <bgColor rgb="00E9EEF3"/>
        </patternFill>
      </fill>
    </dxf>
    <dxf>
      <fill>
        <patternFill patternType="solid">
          <fgColor rgb="00FBE8E7"/>
          <bgColor rgb="00FBE8E7"/>
        </patternFill>
      </fill>
    </dxf>
    <dxf>
      <fill>
        <patternFill patternType="solid">
          <fgColor rgb="00F4F7FA"/>
          <bgColor rgb="00F4F7F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Situação dos MTRs</a:t>
            </a:r>
          </a:p>
        </rich>
      </tx>
    </title>
    <plotArea>
      <doughnutChart>
        <varyColors val="1"/>
        <ser>
          <idx val="0"/>
          <order val="0"/>
          <tx>
            <strRef>
              <f>'PAINEL'!W6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E06C5F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8892B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6C453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D9A21B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1766A9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259B52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AAB4C0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cat>
            <numRef>
              <f>'PAINEL'!$V$7:$V$14</f>
            </numRef>
          </cat>
          <val>
            <numRef>
              <f>'PAINEL'!$W$7:$W$14</f>
            </numRef>
          </val>
        </ser>
        <dLbls>
          <numFmt formatCode="#,##0;;;"/>
          <showLegendKey val="0"/>
          <showVal val="1"/>
          <showCatName val="0"/>
          <showSerName val="0"/>
          <showPercent val="0"/>
          <showLeaderLines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Movimentação por mês (kg, data de emissão)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'PAINEL'!X17</f>
            </strRef>
          </tx>
          <spPr>
            <a:solidFill xmlns:a="http://schemas.openxmlformats.org/drawingml/2006/main">
              <a:srgbClr val="1766A9"/>
            </a:solidFill>
            <a:ln xmlns:a="http://schemas.openxmlformats.org/drawingml/2006/main">
              <a:solidFill>
                <a:srgbClr val="1766A9"/>
              </a:solidFill>
              <a:prstDash val="solid"/>
            </a:ln>
          </spPr>
          <cat>
            <numRef>
              <f>'PAINEL'!$W$18:$W$29</f>
            </numRef>
          </cat>
          <val>
            <numRef>
              <f>'PAINEL'!$X$18:$X$29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Resíduos mais movimentados (kg)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'PAINEL'!X32</f>
            </strRef>
          </tx>
          <spPr>
            <a:solidFill xmlns:a="http://schemas.openxmlformats.org/drawingml/2006/main">
              <a:srgbClr val="259B52"/>
            </a:solidFill>
            <a:ln xmlns:a="http://schemas.openxmlformats.org/drawingml/2006/main">
              <a:solidFill>
                <a:srgbClr val="259B52"/>
              </a:solidFill>
              <a:prstDash val="solid"/>
            </a:ln>
          </spPr>
          <cat>
            <numRef>
              <f>'PAINEL'!$W$33:$W$40</f>
            </numRef>
          </cat>
          <val>
            <numRef>
              <f>'PAINEL'!$X$33:$X$40</f>
            </numRef>
          </val>
        </ser>
        <dLbls>
          <numFmt formatCode="#,##0;;;"/>
          <showLegendKey val="0"/>
          <showVal val="1"/>
          <showCatName val="0"/>
          <showSerName val="0"/>
          <showPercent val="0"/>
          <showLeaderLines val="0"/>
        </dLbls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Principais destinadores (nº de MTRs)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'PAINEL'!X43</f>
            </strRef>
          </tx>
          <spPr>
            <a:solidFill xmlns:a="http://schemas.openxmlformats.org/drawingml/2006/main">
              <a:srgbClr val="082C56"/>
            </a:solidFill>
            <a:ln xmlns:a="http://schemas.openxmlformats.org/drawingml/2006/main">
              <a:solidFill>
                <a:srgbClr val="082C56"/>
              </a:solidFill>
              <a:prstDash val="solid"/>
            </a:ln>
          </spPr>
          <cat>
            <numRef>
              <f>'PAINEL'!$W$44:$W$51</f>
            </numRef>
          </cat>
          <val>
            <numRef>
              <f>'PAINEL'!$X$44:$X$51</f>
            </numRef>
          </val>
        </ser>
        <dLbls>
          <numFmt formatCode="#,##0;;;"/>
          <showLegendKey val="0"/>
          <showVal val="1"/>
          <showCatName val="0"/>
          <showSerName val="0"/>
          <showPercent val="0"/>
          <showLeaderLines val="0"/>
        </dLbls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20</row>
      <rowOff>0</rowOff>
    </from>
    <ext cx="5903999" cy="331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20</row>
      <rowOff>0</rowOff>
    </from>
    <ext cx="5903999" cy="331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39</row>
      <rowOff>0</rowOff>
    </from>
    <ext cx="5903999" cy="3311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39</row>
      <rowOff>0</rowOff>
    </from>
    <ext cx="5903999" cy="33119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MTR" displayName="tbMTR" ref="A5:Y505" headerRowCount="1">
  <autoFilter ref="A5:Y505"/>
  <tableColumns count="25">
    <tableColumn id="1" name="ID interno do MTR"/>
    <tableColumn id="2" name="Número oficial do MTR"/>
    <tableColumn id="3" name="Sistema de origem"/>
    <tableColumn id="4" name="UF do sistema"/>
    <tableColumn id="5" name="Data de emissão"/>
    <tableColumn id="6" name="Data de saída"/>
    <tableColumn id="7" name="Unidade geradora"/>
    <tableColumn id="8" name="Transportador"/>
    <tableColumn id="9" name="Unidade destinatária"/>
    <tableColumn id="10" name="UF de destino"/>
    <tableColumn id="11" name="Situação informada no sistema"/>
    <tableColumn id="12" name="Data da última consulta"/>
    <tableColumn id="13" name="Link ou caminho do arquivo MTR"/>
    <tableColumn id="14" name="Responsável pelo lançamento"/>
    <tableColumn id="15" name="Observações"/>
    <tableColumn id="16" name="Quantidade total vinculada ao MTR (kg)"/>
    <tableColumn id="17" name="Quantidade recebida registrada (kg)"/>
    <tableColumn id="18" name="Quantidade vinculada a CDF (kg)"/>
    <tableColumn id="19" name="Situação interna de acompanhamento"/>
    <tableColumn id="20" name="Pendência principal"/>
    <tableColumn id="21" name="Dias em acompanhamento"/>
    <tableColumn id="22" name="Quantidade recebida conferida (kg)"/>
    <tableColumn id="23" name="Nº de itens"/>
    <tableColumn id="24" name="Alerta de duplicidade"/>
    <tableColumn id="25" name="Todas as pendências identificadas"/>
  </tableColumns>
  <tableStyleInfo name="TableStyleLight1" showRowStripes="0"/>
</table>
</file>

<file path=xl/tables/table2.xml><?xml version="1.0" encoding="utf-8"?>
<table xmlns="http://schemas.openxmlformats.org/spreadsheetml/2006/main" id="2" name="tbItens" displayName="tbItens" ref="A5:Q1005" headerRowCount="1">
  <autoFilter ref="A5:Q1005"/>
  <tableColumns count="17">
    <tableColumn id="1" name="ID interno do item"/>
    <tableColumn id="2" name="ID interno do MTR"/>
    <tableColumn id="3" name="Resíduo cadastrado"/>
    <tableColumn id="4" name="Código informado para o resíduo"/>
    <tableColumn id="5" name="Descrição do resíduo"/>
    <tableColumn id="6" name="Classificação informada"/>
    <tableColumn id="7" name="Quantidade enviada"/>
    <tableColumn id="8" name="Unidade de medida"/>
    <tableColumn id="9" name="Quantidade convertida (kg)"/>
    <tableColumn id="10" name="Observações"/>
    <tableColumn id="11" name="Diferença analisada?"/>
    <tableColumn id="12" name="Quantidade recebida vinculada (kg)"/>
    <tableColumn id="13" name="Quantidade com CDF vinculada (kg)"/>
    <tableColumn id="14" name="Diferença enviado − recebido (kg)"/>
    <tableColumn id="15" name="Cobertura documental por CDF"/>
    <tableColumn id="16" name="Situação do item"/>
    <tableColumn id="17" name="Recebido ainda sem vínculo de CDF (kg)"/>
  </tableColumns>
  <tableStyleInfo name="TableStyleLight1" showRowStripes="0"/>
</table>
</file>

<file path=xl/tables/table3.xml><?xml version="1.0" encoding="utf-8"?>
<table xmlns="http://schemas.openxmlformats.org/spreadsheetml/2006/main" id="3" name="tbRecebimentos" displayName="tbRecebimentos" ref="A5:P1005" headerRowCount="1">
  <autoFilter ref="A5:P1005"/>
  <tableColumns count="16">
    <tableColumn id="1" name="ID interno do recebimento"/>
    <tableColumn id="2" name="ID do MTR"/>
    <tableColumn id="3" name="ID do item de resíduo"/>
    <tableColumn id="4" name="Unidade destinatária"/>
    <tableColumn id="5" name="Data de recebimento informada"/>
    <tableColumn id="6" name="Quantidade recebida"/>
    <tableColumn id="7" name="Unidade de medida"/>
    <tableColumn id="8" name="Quantidade convertida (kg)"/>
    <tableColumn id="9" name="Situação informada no sistema"/>
    <tableColumn id="10" name="Recebimento conferido?"/>
    <tableColumn id="11" name="Data da conferência"/>
    <tableColumn id="12" name="Documento ou evidência consultada"/>
    <tableColumn id="13" name="Link ou caminho do registro"/>
    <tableColumn id="14" name="Responsável pela conferência"/>
    <tableColumn id="15" name="Observações"/>
    <tableColumn id="16" name="Alerta do recebimento"/>
  </tableColumns>
  <tableStyleInfo name="TableStyleLight1" showRowStripes="0"/>
</table>
</file>

<file path=xl/tables/table4.xml><?xml version="1.0" encoding="utf-8"?>
<table xmlns="http://schemas.openxmlformats.org/spreadsheetml/2006/main" id="4" name="tbCDF" displayName="tbCDF" ref="A5:R505" headerRowCount="1">
  <autoFilter ref="A5:R505"/>
  <tableColumns count="18">
    <tableColumn id="1" name="ID interno do CDF"/>
    <tableColumn id="2" name="Número oficial do CDF"/>
    <tableColumn id="3" name="Sistema de origem"/>
    <tableColumn id="4" name="Data de emissão"/>
    <tableColumn id="5" name="Data ou período de destinação informado"/>
    <tableColumn id="6" name="Unidade destinadora"/>
    <tableColumn id="7" name="Modalidade de destinação informada"/>
    <tableColumn id="8" name="Situação informada no sistema"/>
    <tableColumn id="9" name="Certificado localizado?"/>
    <tableColumn id="10" name="Certificado conferido?"/>
    <tableColumn id="11" name="Data da conferência"/>
    <tableColumn id="12" name="Link ou caminho do PDF"/>
    <tableColumn id="13" name="Responsável pela conferência"/>
    <tableColumn id="14" name="Observações"/>
    <tableColumn id="15" name="Quantidade total vinculada ao CDF (kg)"/>
    <tableColumn id="16" name="Nº de itens de resíduo vinculados"/>
    <tableColumn id="17" name="Situação de controle do CDF"/>
    <tableColumn id="18" name="Nº de MTRs relacionados"/>
  </tableColumns>
  <tableStyleInfo name="TableStyleLight1" showRowStripes="0"/>
</table>
</file>

<file path=xl/tables/table5.xml><?xml version="1.0" encoding="utf-8"?>
<table xmlns="http://schemas.openxmlformats.org/spreadsheetml/2006/main" id="5" name="tbVinculos" displayName="tbVinculos" ref="A5:M1005" headerRowCount="1">
  <autoFilter ref="A5:M1005"/>
  <tableColumns count="13">
    <tableColumn id="1" name="ID interno do vínculo"/>
    <tableColumn id="2" name="ID interno do CDF"/>
    <tableColumn id="3" name="ID interno do item de resíduo"/>
    <tableColumn id="4" name="ID do MTR correspondente"/>
    <tableColumn id="5" name="Resíduo correspondente"/>
    <tableColumn id="6" name="Quantidade vinculada ao CDF"/>
    <tableColumn id="7" name="Unidade de medida"/>
    <tableColumn id="8" name="Quantidade convertida (kg)"/>
    <tableColumn id="9" name="Unidade destinadora vinculada"/>
    <tableColumn id="10" name="Conferência do vínculo"/>
    <tableColumn id="11" name="Observações"/>
    <tableColumn id="12" name="Alerta de quantidade"/>
    <tableColumn id="13" name="Alerta de identificação"/>
  </tableColumns>
  <tableStyleInfo name="TableStyleLight1" showRowStripes="0"/>
</table>
</file>

<file path=xl/tables/table6.xml><?xml version="1.0" encoding="utf-8"?>
<table xmlns="http://schemas.openxmlformats.org/spreadsheetml/2006/main" id="6" name="tbPendencias" displayName="tbPendencias" ref="B10:L510" headerRowCount="1">
  <autoFilter ref="B10:L510"/>
  <tableColumns count="11">
    <tableColumn id="2" name="ID do MTR"/>
    <tableColumn id="3" name="Número oficial do MTR"/>
    <tableColumn id="4" name="Unidade geradora"/>
    <tableColumn id="5" name="Transportador"/>
    <tableColumn id="6" name="Destinador"/>
    <tableColumn id="7" name="Tipo de pendência"/>
    <tableColumn id="8" name="Data de referência"/>
    <tableColumn id="9" name="Dias em acompanhamento"/>
    <tableColumn id="10" name="Prioridade interna"/>
    <tableColumn id="11" name="Próxima providência sugerida"/>
    <tableColumn id="12" name="Observações (todas as pendências do MTR)"/>
  </tableColumns>
  <tableStyleInfo name="TableStyleLight1" showRowStripes="0"/>
</table>
</file>

<file path=xl/tables/table7.xml><?xml version="1.0" encoding="utf-8"?>
<table xmlns="http://schemas.openxmlformats.org/spreadsheetml/2006/main" id="7" name="tbRel01" displayName="tbRel01" ref="B12:I24" headerRowCount="1">
  <autoFilter ref="B12:I24"/>
  <tableColumns count="8">
    <tableColumn id="2" name="Mês/ano"/>
    <tableColumn id="3" name="Unidade"/>
    <tableColumn id="4" name="Nº de MTRs"/>
    <tableColumn id="5" name="Quantidade movimentada (kg)"/>
    <tableColumn id="6" name="Documentação conferida"/>
    <tableColumn id="7" name="Em acompanhamento"/>
    <tableColumn id="8" name="A revisar ou incompletos"/>
    <tableColumn id="9" name="Cancelados"/>
  </tableColumns>
  <tableStyleInfo name="TableStyleLight1" showRowStripes="0"/>
</table>
</file>

<file path=xl/tables/table8.xml><?xml version="1.0" encoding="utf-8"?>
<table xmlns="http://schemas.openxmlformats.org/spreadsheetml/2006/main" id="8" name="tbRel02" displayName="tbRel02" ref="B31:G81" headerRowCount="1">
  <autoFilter ref="B31:G81"/>
  <tableColumns count="6">
    <tableColumn id="2" name="Resíduo"/>
    <tableColumn id="3" name="Código cadastrado"/>
    <tableColumn id="4" name="Nº de itens"/>
    <tableColumn id="5" name="Quantidade movimentada (kg)"/>
    <tableColumn id="6" name="Unidade geradora"/>
    <tableColumn id="7" name="Período"/>
  </tableColumns>
  <tableStyleInfo name="TableStyleLight1" showRowStripes="0"/>
</table>
</file>

<file path=xl/tables/table9.xml><?xml version="1.0" encoding="utf-8"?>
<table xmlns="http://schemas.openxmlformats.org/spreadsheetml/2006/main" id="9" name="tbRel03" displayName="tbRel03" ref="B87:H287" headerRowCount="1">
  <autoFilter ref="B87:H287"/>
  <tableColumns count="7">
    <tableColumn id="2" name="ID do MTR"/>
    <tableColumn id="3" name="Número oficial do MTR"/>
    <tableColumn id="4" name="Destinatário"/>
    <tableColumn id="5" name="Data de chegada informada"/>
    <tableColumn id="6" name="Quantidade registrada (kg)"/>
    <tableColumn id="7" name="Situação de conferência"/>
    <tableColumn id="8" name="ID do recebimento"/>
  </tableColumns>
  <tableStyleInfo name="TableStyleLight1" showRowStripes="0"/>
</table>
</file>

<file path=xl/tables/table10.xml><?xml version="1.0" encoding="utf-8"?>
<table xmlns="http://schemas.openxmlformats.org/spreadsheetml/2006/main" id="10" name="tbRel04" displayName="tbRel04" ref="B292:H442" headerRowCount="1">
  <autoFilter ref="B292:H442"/>
  <tableColumns count="7">
    <tableColumn id="2" name="Destinador"/>
    <tableColumn id="3" name="Número do CDF"/>
    <tableColumn id="4" name="ID interno do CDF"/>
    <tableColumn id="5" name="Data de emissão"/>
    <tableColumn id="6" name="Quantidade vinculada (kg)"/>
    <tableColumn id="7" name="Nº de MTRs relacionados"/>
    <tableColumn id="8" name="Situação interna de conferência"/>
  </tableColumns>
  <tableStyleInfo name="TableStyleLight1" showRowStripes="0"/>
</table>
</file>

<file path=xl/tables/table11.xml><?xml version="1.0" encoding="utf-8"?>
<table xmlns="http://schemas.openxmlformats.org/spreadsheetml/2006/main" id="11" name="tbRel05" displayName="tbRel05" ref="B447:H597" headerRowCount="1">
  <autoFilter ref="B447:H597"/>
  <tableColumns count="7">
    <tableColumn id="2" name="ID do MTR"/>
    <tableColumn id="3" name="Número oficial do MTR"/>
    <tableColumn id="4" name="Pendência principal"/>
    <tableColumn id="5" name="Participante relacionado"/>
    <tableColumn id="6" name="Tempo em acompanhamento (dias)"/>
    <tableColumn id="7" name="Prioridade interna"/>
    <tableColumn id="8" name="Próxima providência"/>
  </tableColumns>
  <tableStyleInfo name="TableStyleLight1" showRowStripes="0"/>
</table>
</file>

<file path=xl/tables/table12.xml><?xml version="1.0" encoding="utf-8"?>
<table xmlns="http://schemas.openxmlformats.org/spreadsheetml/2006/main" id="12" name="tbRel06" displayName="tbRel06" ref="B602:J1102" headerRowCount="1">
  <autoFilter ref="B602:J1102"/>
  <tableColumns count="9">
    <tableColumn id="2" name="ID do MTR"/>
    <tableColumn id="3" name="Número oficial do MTR"/>
    <tableColumn id="4" name="Itens"/>
    <tableColumn id="5" name="Quantidade enviada (kg)"/>
    <tableColumn id="6" name="Quantidade recebida registrada (kg)"/>
    <tableColumn id="7" name="Quantidade vinculada a CDF (kg)"/>
    <tableColumn id="8" name="Diferença enviado − recebido (kg)"/>
    <tableColumn id="9" name="Diferença recebido − CDF (kg)"/>
    <tableColumn id="10" name="Situação de conferência"/>
  </tableColumns>
  <tableStyleInfo name="TableStyleLight1" showRowStripes="0"/>
</table>
</file>

<file path=xl/tables/table13.xml><?xml version="1.0" encoding="utf-8"?>
<table xmlns="http://schemas.openxmlformats.org/spreadsheetml/2006/main" id="13" name="tbUnidades" displayName="tbUnidades" ref="A5:L105" headerRowCount="1">
  <autoFilter ref="A5:L105"/>
  <tableColumns count="12">
    <tableColumn id="1" name="ID interno da unidade"/>
    <tableColumn id="2" name="Razão social"/>
    <tableColumn id="3" name="Nome da unidade"/>
    <tableColumn id="4" name="CNPJ ou identificação aplicável"/>
    <tableColumn id="5" name="UF"/>
    <tableColumn id="6" name="Município"/>
    <tableColumn id="7" name="Papel da unidade"/>
    <tableColumn id="8" name="Sistema ambiental relacionado"/>
    <tableColumn id="9" name="Responsável interno"/>
    <tableColumn id="10" name="Situação do cadastro"/>
    <tableColumn id="11" name="Observações"/>
    <tableColumn id="12" name="Alerta do cadastro"/>
  </tableColumns>
  <tableStyleInfo name="TableStyleLight1" showRowStripes="0"/>
</table>
</file>

<file path=xl/tables/table14.xml><?xml version="1.0" encoding="utf-8"?>
<table xmlns="http://schemas.openxmlformats.org/spreadsheetml/2006/main" id="14" name="tbParceiros" displayName="tbParceiros" ref="A5:Q205" headerRowCount="1">
  <autoFilter ref="A5:Q205"/>
  <tableColumns count="17">
    <tableColumn id="1" name="ID interno do parceiro"/>
    <tableColumn id="2" name="Razão social"/>
    <tableColumn id="3" name="Nome fantasia"/>
    <tableColumn id="4" name="CNPJ ou identificação aplicável"/>
    <tableColumn id="5" name="Tipo de atuação"/>
    <tableColumn id="6" name="Unidade/estabelecimento"/>
    <tableColumn id="7" name="Município"/>
    <tableColumn id="8" name="UF"/>
    <tableColumn id="9" name="Contato"/>
    <tableColumn id="10" name="E-mail"/>
    <tableColumn id="11" name="Telefone"/>
    <tableColumn id="12" name="Situação informada do cadastro"/>
    <tableColumn id="13" name="Documento de autorização informado"/>
    <tableColumn id="14" name="Data de validade informada"/>
    <tableColumn id="15" name="Observações"/>
    <tableColumn id="16" name="Nome para seleção"/>
    <tableColumn id="17" name="Alerta do cadastro"/>
  </tableColumns>
  <tableStyleInfo name="TableStyleLight1" showRowStripes="0"/>
</table>
</file>

<file path=xl/tables/table15.xml><?xml version="1.0" encoding="utf-8"?>
<table xmlns="http://schemas.openxmlformats.org/spreadsheetml/2006/main" id="15" name="tbResiduos" displayName="tbResiduos" ref="A5:J205" headerRowCount="1">
  <autoFilter ref="A5:J205"/>
  <tableColumns count="10">
    <tableColumn id="1" name="ID interno do resíduo"/>
    <tableColumn id="2" name="Nome interno"/>
    <tableColumn id="3" name="Descrição"/>
    <tableColumn id="4" name="Processo de origem"/>
    <tableColumn id="5" name="Código informado"/>
    <tableColumn id="6" name="Referência utilizada para o código"/>
    <tableColumn id="7" name="Classificação informada"/>
    <tableColumn id="8" name="Unidade padrão"/>
    <tableColumn id="9" name="Observações"/>
    <tableColumn id="10" name="Alerta do cadastro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Relationship Type="http://schemas.openxmlformats.org/officeDocument/2006/relationships/table" Target="/xl/tables/table9.xml" Id="rId3"/><Relationship Type="http://schemas.openxmlformats.org/officeDocument/2006/relationships/table" Target="/xl/tables/table10.xml" Id="rId4"/><Relationship Type="http://schemas.openxmlformats.org/officeDocument/2006/relationships/table" Target="/xl/tables/table11.xml" Id="rId5"/><Relationship Type="http://schemas.openxmlformats.org/officeDocument/2006/relationships/table" Target="/xl/tables/table12.xml" Id="rId6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>
  <sheetPr>
    <tabColor rgb="00082C56"/>
    <outlinePr summaryBelow="1" summaryRight="1"/>
    <pageSetUpPr fitToPage="1"/>
  </sheetPr>
  <dimension ref="B2:P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.300000000000001" customWidth="1" min="2" max="2"/>
    <col width="9.300000000000001" customWidth="1" min="3" max="3"/>
    <col width="9.300000000000001" customWidth="1" min="4" max="4"/>
    <col width="9.300000000000001" customWidth="1" min="5" max="5"/>
    <col width="9.300000000000001" customWidth="1" min="6" max="6"/>
    <col width="9.300000000000001" customWidth="1" min="7" max="7"/>
    <col width="9.300000000000001" customWidth="1" min="8" max="8"/>
    <col width="9.300000000000001" customWidth="1" min="9" max="9"/>
    <col width="9.300000000000001" customWidth="1" min="10" max="10"/>
    <col width="9.300000000000001" customWidth="1" min="11" max="11"/>
    <col width="9.300000000000001" customWidth="1" min="12" max="12"/>
    <col width="9.300000000000001" customWidth="1" min="13" max="13"/>
    <col width="9.300000000000001" customWidth="1" min="14" max="14"/>
    <col width="9.300000000000001" customWidth="1" min="15" max="15"/>
    <col width="9.300000000000001" customWidth="1" min="16" max="16"/>
    <col width="3" customWidth="1" min="17" max="17"/>
  </cols>
  <sheetData>
    <row r="1" ht="10" customHeight="1"/>
    <row r="2" ht="44" customHeight="1">
      <c r="B2" s="1" t="inlineStr">
        <is>
          <t>PLANILHA PRONTA DE CONTROLE DE MTR E CDF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2" t="inlineStr">
        <is>
          <t>BÔNUS 02</t>
        </is>
      </c>
      <c r="O2" s="2" t="n"/>
      <c r="P2" s="2" t="n"/>
    </row>
    <row r="3" ht="26" customHeight="1">
      <c r="B3" s="3" t="inlineStr">
        <is>
          <t>Organize movimentações, acompanhe documentos e identifique pendências.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4" t="inlineStr">
        <is>
          <t>♻</t>
        </is>
      </c>
      <c r="O3" s="4" t="n"/>
      <c r="P3" s="4" t="n"/>
    </row>
    <row r="4" ht="16" customHeight="1"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4" t="n"/>
      <c r="O4" s="4" t="n"/>
      <c r="P4" s="4" t="n"/>
    </row>
    <row r="6" ht="40" customHeight="1">
      <c r="B6" s="6" t="inlineStr">
        <is>
          <t>📄  MTR</t>
        </is>
      </c>
      <c r="C6" s="6" t="n"/>
      <c r="D6" s="6" t="n"/>
      <c r="E6" s="7" t="inlineStr">
        <is>
          <t>➜</t>
        </is>
      </c>
      <c r="F6" s="6" t="inlineStr">
        <is>
          <t>🚚  TRANSPORTE</t>
        </is>
      </c>
      <c r="G6" s="6" t="n"/>
      <c r="H6" s="6" t="n"/>
      <c r="I6" s="7" t="inlineStr">
        <is>
          <t>➜</t>
        </is>
      </c>
      <c r="J6" s="6" t="inlineStr">
        <is>
          <t>🏭  DESTINATÁRIO</t>
        </is>
      </c>
      <c r="K6" s="6" t="n"/>
      <c r="L6" s="6" t="n"/>
      <c r="M6" s="7" t="inlineStr">
        <is>
          <t>➜</t>
        </is>
      </c>
      <c r="N6" s="6" t="inlineStr">
        <is>
          <t>📜  CDF</t>
        </is>
      </c>
      <c r="O6" s="6" t="n"/>
      <c r="P6" s="6" t="n"/>
    </row>
    <row r="7">
      <c r="B7" s="8" t="inlineStr">
        <is>
          <t>Recebimento e destinação são etapas diferentes: a planilha acompanha cada uma separadamente.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9">
      <c r="B9" s="9" t="inlineStr">
        <is>
          <t>COMECE EM 5 PASSOS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</row>
    <row r="10" ht="30" customHeight="1">
      <c r="B10" s="10" t="inlineStr">
        <is>
          <t>01</t>
        </is>
      </c>
      <c r="C10" s="10" t="n"/>
      <c r="D10" s="10" t="n"/>
      <c r="E10" s="11" t="inlineStr">
        <is>
          <t>02</t>
        </is>
      </c>
      <c r="F10" s="11" t="n"/>
      <c r="G10" s="11" t="n"/>
      <c r="H10" s="10" t="inlineStr">
        <is>
          <t>03</t>
        </is>
      </c>
      <c r="I10" s="10" t="n"/>
      <c r="J10" s="10" t="n"/>
      <c r="K10" s="11" t="inlineStr">
        <is>
          <t>04</t>
        </is>
      </c>
      <c r="L10" s="11" t="n"/>
      <c r="M10" s="11" t="n"/>
      <c r="N10" s="10" t="inlineStr">
        <is>
          <t>05</t>
        </is>
      </c>
      <c r="O10" s="10" t="n"/>
      <c r="P10" s="10" t="n"/>
    </row>
    <row r="11" ht="36" customHeight="1">
      <c r="B11" s="12" t="inlineStr">
        <is>
          <t>CADASTRE AS UNIDADES</t>
        </is>
      </c>
      <c r="C11" s="12" t="n"/>
      <c r="D11" s="12" t="n"/>
      <c r="E11" s="12" t="inlineStr">
        <is>
          <t>CADASTRE OS PARCEIROS</t>
        </is>
      </c>
      <c r="F11" s="12" t="n"/>
      <c r="G11" s="12" t="n"/>
      <c r="H11" s="12" t="inlineStr">
        <is>
          <t>REGISTRE OS MTRs</t>
        </is>
      </c>
      <c r="I11" s="12" t="n"/>
      <c r="J11" s="12" t="n"/>
      <c r="K11" s="12" t="inlineStr">
        <is>
          <t>ACOMPANHE O RECEBIMENTO</t>
        </is>
      </c>
      <c r="L11" s="12" t="n"/>
      <c r="M11" s="12" t="n"/>
      <c r="N11" s="12" t="inlineStr">
        <is>
          <t>VINCULE OS CDFs</t>
        </is>
      </c>
      <c r="O11" s="12" t="n"/>
      <c r="P11" s="12" t="n"/>
    </row>
    <row r="12" ht="40" customHeight="1">
      <c r="B12" s="13" t="inlineStr">
        <is>
          <t>Informe os estabelecimentos que serão utilizados.</t>
        </is>
      </c>
      <c r="C12" s="13" t="n"/>
      <c r="D12" s="13" t="n"/>
      <c r="E12" s="13" t="inlineStr">
        <is>
          <t>Adicione transportadores e destinadores.</t>
        </is>
      </c>
      <c r="F12" s="13" t="n"/>
      <c r="G12" s="13" t="n"/>
      <c r="H12" s="13" t="inlineStr">
        <is>
          <t>Inclua os documentos e seus resíduos.</t>
        </is>
      </c>
      <c r="I12" s="13" t="n"/>
      <c r="J12" s="13" t="n"/>
      <c r="K12" s="13" t="inlineStr">
        <is>
          <t>Atualize a situação com base nos registros disponíveis.</t>
        </is>
      </c>
      <c r="L12" s="13" t="n"/>
      <c r="M12" s="13" t="n"/>
      <c r="N12" s="13" t="inlineStr">
        <is>
          <t>Registre os certificados e confira o painel.</t>
        </is>
      </c>
      <c r="O12" s="13" t="n"/>
      <c r="P12" s="13" t="n"/>
    </row>
    <row r="13" ht="18" customHeight="1">
      <c r="B13" s="14" t="inlineStr">
        <is>
          <t>abrir CAD_UNIDADES ▶</t>
        </is>
      </c>
      <c r="C13" s="14" t="n"/>
      <c r="D13" s="14" t="n"/>
      <c r="E13" s="14" t="inlineStr">
        <is>
          <t>abrir CAD_PARCEIROS ▶</t>
        </is>
      </c>
      <c r="F13" s="14" t="n"/>
      <c r="G13" s="14" t="n"/>
      <c r="H13" s="14" t="inlineStr">
        <is>
          <t>abrir MTRs ▶</t>
        </is>
      </c>
      <c r="I13" s="14" t="n"/>
      <c r="J13" s="14" t="n"/>
      <c r="K13" s="14" t="inlineStr">
        <is>
          <t>abrir RECEBIMENTOS ▶</t>
        </is>
      </c>
      <c r="L13" s="14" t="n"/>
      <c r="M13" s="14" t="n"/>
      <c r="N13" s="14" t="inlineStr">
        <is>
          <t>abrir CDFs ▶</t>
        </is>
      </c>
      <c r="O13" s="14" t="n"/>
      <c r="P13" s="14" t="n"/>
    </row>
    <row r="15">
      <c r="B15" s="9" t="inlineStr">
        <is>
          <t>NAVEGAÇÃO RÁPIDA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</row>
    <row r="16" ht="34" customHeight="1">
      <c r="B16" s="15" t="inlineStr">
        <is>
          <t>ABRIR PAINEL  ▶</t>
        </is>
      </c>
      <c r="C16" s="15" t="n"/>
      <c r="D16" s="15" t="n"/>
      <c r="E16" s="15" t="n"/>
      <c r="G16" s="16" t="inlineStr">
        <is>
          <t>CADASTRAR MTR  ▶</t>
        </is>
      </c>
      <c r="H16" s="16" t="n"/>
      <c r="I16" s="16" t="n"/>
      <c r="J16" s="16" t="n"/>
      <c r="L16" s="17" t="inlineStr">
        <is>
          <t>CONSULTAR RECEBIMENTOS  ▶</t>
        </is>
      </c>
      <c r="M16" s="17" t="n"/>
      <c r="N16" s="17" t="n"/>
      <c r="O16" s="17" t="n"/>
    </row>
    <row r="18" ht="34" customHeight="1">
      <c r="B18" s="16" t="inlineStr">
        <is>
          <t>REGISTRAR CDF  ▶</t>
        </is>
      </c>
      <c r="C18" s="16" t="n"/>
      <c r="D18" s="16" t="n"/>
      <c r="E18" s="16" t="n"/>
      <c r="G18" s="18" t="inlineStr">
        <is>
          <t>VER PENDÊNCIAS  ▶</t>
        </is>
      </c>
      <c r="H18" s="18" t="n"/>
      <c r="I18" s="18" t="n"/>
      <c r="J18" s="18" t="n"/>
      <c r="L18" s="17" t="inlineStr">
        <is>
          <t>ABRIR RELATÓRIOS  ▶</t>
        </is>
      </c>
      <c r="M18" s="17" t="n"/>
      <c r="N18" s="17" t="n"/>
      <c r="O18" s="17" t="n"/>
    </row>
    <row r="21">
      <c r="B21" s="9" t="inlineStr">
        <is>
          <t>LEGENDA DE CORES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</row>
    <row r="22" ht="24" customHeight="1">
      <c r="B22" s="19" t="inlineStr">
        <is>
          <t>AZUL-CLARO</t>
        </is>
      </c>
      <c r="C22" s="19" t="n"/>
      <c r="D22" s="19" t="n"/>
      <c r="E22" s="20" t="inlineStr">
        <is>
          <t>CINZA-CLARO</t>
        </is>
      </c>
      <c r="F22" s="20" t="n"/>
      <c r="G22" s="20" t="n"/>
      <c r="H22" s="21" t="inlineStr">
        <is>
          <t>VERDE</t>
        </is>
      </c>
      <c r="I22" s="21" t="n"/>
      <c r="J22" s="21" t="n"/>
      <c r="K22" s="22" t="inlineStr">
        <is>
          <t>AMARELO</t>
        </is>
      </c>
      <c r="L22" s="22" t="n"/>
      <c r="M22" s="22" t="n"/>
      <c r="N22" s="23" t="inlineStr">
        <is>
          <t>VERMELHO-CLARO</t>
        </is>
      </c>
      <c r="O22" s="23" t="n"/>
      <c r="P22" s="23" t="n"/>
    </row>
    <row r="23" ht="36" customHeight="1">
      <c r="B23" s="24" t="inlineStr">
        <is>
          <t>informações para preencher.</t>
        </is>
      </c>
      <c r="C23" s="24" t="n"/>
      <c r="D23" s="24" t="n"/>
      <c r="E23" s="24" t="inlineStr">
        <is>
          <t>informações calculadas automaticamente.</t>
        </is>
      </c>
      <c r="F23" s="24" t="n"/>
      <c r="G23" s="24" t="n"/>
      <c r="H23" s="24" t="inlineStr">
        <is>
          <t>informação conferida.</t>
        </is>
      </c>
      <c r="I23" s="24" t="n"/>
      <c r="J23" s="24" t="n"/>
      <c r="K23" s="24" t="inlineStr">
        <is>
          <t>atenção ou revisão necessária.</t>
        </is>
      </c>
      <c r="L23" s="24" t="n"/>
      <c r="M23" s="24" t="n"/>
      <c r="N23" s="24" t="inlineStr">
        <is>
          <t>inconsistência relevante ou registro que exige providência.</t>
        </is>
      </c>
      <c r="O23" s="24" t="n"/>
      <c r="P23" s="24" t="n"/>
    </row>
    <row r="24">
      <c r="B24" s="25" t="inlineStr">
        <is>
          <t>Na Central de Pendências, LARANJA indica pendência em acompanhamento e CINZA indica informação não disponível ou cancelamento informado.</t>
        </is>
      </c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</row>
    <row r="26">
      <c r="B26" s="9" t="inlineStr">
        <is>
          <t>COMO A PLANILHA FUNCIONA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</row>
    <row r="27" ht="30" customHeight="1">
      <c r="B27" s="26" t="n">
        <v>1</v>
      </c>
      <c r="C27" s="27" t="inlineStr">
        <is>
          <t>Sequência de preenchimento: CADASTROS → MTRs → ITENS_MTR → RECEBIMENTOS → CDFs → VÍNCULOS_CDF → PAINEL.</t>
        </is>
      </c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</row>
    <row r="28" ht="30" customHeight="1">
      <c r="B28" s="28" t="n">
        <v>2</v>
      </c>
      <c r="C28" s="29" t="inlineStr">
        <is>
          <t>Cada registro já tem um ID interno fixo (MTR-000001, IT-000001, CDF-000001). Ele não muda ao ordenar ou filtrar. Nas outras abas, escolha o MTR, o item ou o CDF pela lista suspensa.</t>
        </is>
      </c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</row>
    <row r="29" ht="30" customHeight="1">
      <c r="B29" s="26" t="n">
        <v>3</v>
      </c>
      <c r="C29" s="27" t="inlineStr">
        <is>
          <t>Você registra o que leu nos documentos e sistemas oficiais. A planilha não emite MTR nem CDF, não se conecta ao SINIR e não altera registros oficiais.</t>
        </is>
      </c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</row>
    <row r="30" ht="30" customHeight="1">
      <c r="B30" s="28" t="n">
        <v>4</v>
      </c>
      <c r="C30" s="29" t="inlineStr">
        <is>
          <t>O recebimento só conta como confirmado com RECEBIMENTO CONFERIDO? = Sim e um documento ou link de evidência. Recebimento confirmado não significa destinação comprovada: isso depende do CDF.</t>
        </is>
      </c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</row>
    <row r="31" ht="30" customHeight="1">
      <c r="B31" s="26" t="n">
        <v>5</v>
      </c>
      <c r="C31" s="27" t="inlineStr">
        <is>
          <t>Um CDF pode cobrir vários MTRs. Na aba VÍNCULOS_CDF, cada linha liga o CDF a um item, com a quantidade documentada. A planilha mostra quanto já tem vínculo e quanto ainda falta.</t>
        </is>
      </c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</row>
    <row r="32" ht="30" customHeight="1">
      <c r="B32" s="28" t="n">
        <v>6</v>
      </c>
      <c r="C32" s="29" t="inlineStr">
        <is>
          <t>Diferenças de quantidade geram alerta de revisão, nunca conclusão automática de irregularidade. Depois de analisar, marque DIFERENÇA ANALISADA? = Sim no item.</t>
        </is>
      </c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</row>
    <row r="33" ht="30" customHeight="1">
      <c r="B33" s="26" t="n">
        <v>7</v>
      </c>
      <c r="C33" s="27" t="inlineStr">
        <is>
          <t>MTR com cancelamento informado continua no histórico, mas sai dos cards 02 a 06 e das quantidades em kg. O termo de cancelamento é definido em CONFIGURAÇÕES.</t>
        </is>
      </c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</row>
    <row r="34" ht="30" customHeight="1">
      <c r="B34" s="28" t="n">
        <v>8</v>
      </c>
      <c r="C34" s="29" t="inlineStr">
        <is>
          <t>Prazos de alerta (15 dias como sugestão) são parâmetros internos, ajustáveis em CONFIGURAÇÕES. Não são prazos legais.</t>
        </is>
      </c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</row>
    <row r="35" ht="30" customHeight="1">
      <c r="B35" s="26" t="n">
        <v>9</v>
      </c>
      <c r="C35" s="27" t="inlineStr">
        <is>
          <t>Capacidade pronta: 500 MTRs, 1.000 itens, 1.000 recebimentos, 500 CDFs e 1.000 vínculos. Para volumes maiores, recomendamos usar um arquivo por ano.</t>
        </is>
      </c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</row>
    <row r="36" ht="30" customHeight="1">
      <c r="B36" s="28" t="n">
        <v>10</v>
      </c>
      <c r="C36" s="29" t="inlineStr">
        <is>
          <t>Compatibilidade: Excel 365 ou Excel 2019 em diante (usa a função MÁXIMOSES). Sem macros e sem internet. O funcionamento no Google Sheets não foi testado.</t>
        </is>
      </c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</row>
    <row r="37" ht="30" customHeight="1">
      <c r="B37" s="26" t="n">
        <v>11</v>
      </c>
      <c r="C37" s="27" t="inlineStr">
        <is>
          <t>As colunas automáticas ficam protegidas sem senha para evitar que fórmulas sejam apagadas. Filtros funcionam normalmente. Se precisar ordenar ou mudar a estrutura, use Revisão &gt; Desproteger Planilha.</t>
        </is>
      </c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</row>
    <row r="39" ht="36" customHeight="1">
      <c r="B39" s="30" t="inlineStr">
        <is>
          <t>Esta ferramenta organiza registros internos e não substitui os documentos oficiais nem os procedimentos exigíveis.</t>
        </is>
      </c>
      <c r="C39" s="30" t="n"/>
      <c r="D39" s="30" t="n"/>
      <c r="E39" s="30" t="n"/>
      <c r="F39" s="30" t="n"/>
      <c r="G39" s="30" t="n"/>
      <c r="H39" s="30" t="n"/>
      <c r="I39" s="30" t="n"/>
      <c r="J39" s="30" t="n"/>
      <c r="K39" s="30" t="n"/>
      <c r="L39" s="30" t="n"/>
      <c r="M39" s="30" t="n"/>
      <c r="N39" s="30" t="n"/>
      <c r="O39" s="30" t="n"/>
      <c r="P39" s="30" t="n"/>
    </row>
    <row r="40">
      <c r="B40" s="31" t="inlineStr">
        <is>
          <t>Versão 1.0 | outubro de 2026</t>
        </is>
      </c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4">
    <mergeCell ref="B11:D11"/>
    <mergeCell ref="B2:M2"/>
    <mergeCell ref="J6:L6"/>
    <mergeCell ref="E10:G10"/>
    <mergeCell ref="C37:P37"/>
    <mergeCell ref="N2:P2"/>
    <mergeCell ref="E13:G13"/>
    <mergeCell ref="B39:P39"/>
    <mergeCell ref="B23:D23"/>
    <mergeCell ref="C34:P34"/>
    <mergeCell ref="K22:M22"/>
    <mergeCell ref="C30:P30"/>
    <mergeCell ref="B13:D13"/>
    <mergeCell ref="N23:P23"/>
    <mergeCell ref="G16:J16"/>
    <mergeCell ref="C33:P33"/>
    <mergeCell ref="K12:M12"/>
    <mergeCell ref="H11:J11"/>
    <mergeCell ref="B10:D10"/>
    <mergeCell ref="E11:G11"/>
    <mergeCell ref="C35:P35"/>
    <mergeCell ref="N10:P10"/>
    <mergeCell ref="H22:J22"/>
    <mergeCell ref="H13:J13"/>
    <mergeCell ref="N13:P13"/>
    <mergeCell ref="C29:P29"/>
    <mergeCell ref="B16:E16"/>
    <mergeCell ref="K23:M23"/>
    <mergeCell ref="H12:J12"/>
    <mergeCell ref="L16:O16"/>
    <mergeCell ref="B40:P40"/>
    <mergeCell ref="B9:P9"/>
    <mergeCell ref="B6:D6"/>
    <mergeCell ref="N6:P6"/>
    <mergeCell ref="N3:P4"/>
    <mergeCell ref="B15:P15"/>
    <mergeCell ref="C31:P31"/>
    <mergeCell ref="B18:E18"/>
    <mergeCell ref="B24:P24"/>
    <mergeCell ref="E22:G22"/>
    <mergeCell ref="K10:M10"/>
    <mergeCell ref="K13:M13"/>
    <mergeCell ref="H23:J23"/>
    <mergeCell ref="E12:G12"/>
    <mergeCell ref="C27:P27"/>
    <mergeCell ref="B26:P26"/>
    <mergeCell ref="B4:M4"/>
    <mergeCell ref="L18:O18"/>
    <mergeCell ref="C36:P36"/>
    <mergeCell ref="N11:P11"/>
    <mergeCell ref="B7:P7"/>
    <mergeCell ref="H10:J10"/>
    <mergeCell ref="F6:H6"/>
    <mergeCell ref="G18:J18"/>
    <mergeCell ref="B3:M3"/>
    <mergeCell ref="B22:D22"/>
    <mergeCell ref="E23:G23"/>
    <mergeCell ref="N22:P22"/>
    <mergeCell ref="C32:P32"/>
    <mergeCell ref="B12:D12"/>
    <mergeCell ref="N12:P12"/>
    <mergeCell ref="C28:P28"/>
    <mergeCell ref="K11:M11"/>
    <mergeCell ref="B21:P21"/>
  </mergeCells>
  <hyperlinks>
    <hyperlink ref="B13" location="'CAD_UNIDADES'!B6"/>
    <hyperlink ref="E13" location="'CAD_PARCEIROS'!B6"/>
    <hyperlink ref="H13" location="'MTRs'!B6"/>
    <hyperlink ref="K13" location="'RECEBIMENTOS'!B6"/>
    <hyperlink ref="N13" location="'CDFs'!B6"/>
    <hyperlink ref="B16" location="'PAINEL'!A1"/>
    <hyperlink ref="G16" location="'MTRs'!B6"/>
    <hyperlink ref="L16" location="'RECEBIMENTOS'!C6"/>
    <hyperlink ref="B18" location="'CDFs'!B6"/>
    <hyperlink ref="G18" location="'PENDÊNCIAS'!A1"/>
    <hyperlink ref="L18" location="'RELATÓRIOS'!A1"/>
  </hyperlink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259B52"/>
    <outlinePr summaryBelow="1" summaryRight="1"/>
    <pageSetUpPr fitToPage="1"/>
  </sheetPr>
  <dimension ref="B2:Y73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9.6" customWidth="1" min="2" max="2"/>
    <col width="9.6" customWidth="1" min="3" max="3"/>
    <col width="9.6" customWidth="1" min="4" max="4"/>
    <col width="9.6" customWidth="1" min="5" max="5"/>
    <col width="9.6" customWidth="1" min="6" max="6"/>
    <col width="9.6" customWidth="1" min="7" max="7"/>
    <col width="9.6" customWidth="1" min="8" max="8"/>
    <col width="9.6" customWidth="1" min="9" max="9"/>
    <col width="9.6" customWidth="1" min="10" max="10"/>
    <col width="9.6" customWidth="1" min="11" max="11"/>
    <col width="9.6" customWidth="1" min="12" max="12"/>
    <col width="9.6" customWidth="1" min="13" max="13"/>
    <col width="9.6" customWidth="1" min="14" max="14"/>
    <col width="9.6" customWidth="1" min="15" max="15"/>
    <col width="9.6" customWidth="1" min="16" max="16"/>
    <col width="9.6" customWidth="1" min="17" max="17"/>
    <col width="9.6" customWidth="1" min="18" max="18"/>
    <col width="9.6" customWidth="1" min="19" max="19"/>
    <col width="2" customWidth="1" min="20" max="20"/>
    <col width="3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8" customHeight="1"/>
    <row r="2" ht="38" customHeight="1">
      <c r="B2" s="32" t="inlineStr">
        <is>
          <t>♻  PAINEL DE CONTROLE — MTR E CDF</t>
        </is>
      </c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26" t="inlineStr">
        <is>
          <t>BÔNUS 02</t>
        </is>
      </c>
      <c r="R2" s="26" t="n"/>
      <c r="S2" s="26" t="n"/>
    </row>
    <row r="3" ht="22" customHeight="1">
      <c r="B3" s="33" t="inlineStr">
        <is>
          <t>Acompanhe movimentações, documentos e pendências em um só lugar.</t>
        </is>
      </c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4" t="str">
        <f>IF(cfg_org="","Atualizado em "&amp;TEXT(DAY(TODAY()),"00")&amp;"/"&amp;TEXT(MONTH(TODAY()),"00")&amp;"/"&amp;YEAR(TODAY()),cfg_org)</f>
        <v>Atualizado em 19/10/2026</v>
      </c>
      <c r="R3" s="34" t="n"/>
      <c r="S3" s="34" t="n"/>
    </row>
    <row r="4">
      <c r="B4" s="35" t="inlineStr">
        <is>
          <t>◀ INÍCIO</t>
        </is>
      </c>
      <c r="D4" s="35" t="inlineStr">
        <is>
          <t>PENDÊNCIAS</t>
        </is>
      </c>
      <c r="F4" s="35" t="inlineStr">
        <is>
          <t>RELATÓRIOS</t>
        </is>
      </c>
      <c r="H4" s="35" t="inlineStr">
        <is>
          <t>MTRs</t>
        </is>
      </c>
    </row>
    <row r="5">
      <c r="V5" s="36" t="inlineStr">
        <is>
          <t>DADOS DOS GRÁFICOS (automático)</t>
        </is>
      </c>
      <c r="W5" s="36" t="n"/>
      <c r="X5" s="36" t="n"/>
      <c r="Y5" s="36" t="n"/>
    </row>
    <row r="6" ht="18" customHeight="1">
      <c r="B6" s="37" t="inlineStr">
        <is>
          <t>▼ Período inicial</t>
        </is>
      </c>
      <c r="C6" s="37" t="n"/>
      <c r="D6" s="37" t="inlineStr">
        <is>
          <t>▼ Período final</t>
        </is>
      </c>
      <c r="E6" s="37" t="n"/>
      <c r="F6" s="37" t="inlineStr">
        <is>
          <t>▼ Unidade geradora</t>
        </is>
      </c>
      <c r="G6" s="37" t="n"/>
      <c r="H6" s="37" t="n"/>
      <c r="I6" s="37" t="inlineStr">
        <is>
          <t>▼ Transportador</t>
        </is>
      </c>
      <c r="J6" s="37" t="n"/>
      <c r="K6" s="37" t="n"/>
      <c r="L6" s="37" t="inlineStr">
        <is>
          <t>▼ Destinador</t>
        </is>
      </c>
      <c r="M6" s="37" t="n"/>
      <c r="N6" s="37" t="n"/>
      <c r="O6" s="37" t="inlineStr">
        <is>
          <t>▼ Tipo de resíduo</t>
        </is>
      </c>
      <c r="P6" s="37" t="n"/>
      <c r="Q6" s="37" t="inlineStr">
        <is>
          <t>▼ Situação documental</t>
        </is>
      </c>
      <c r="R6" s="37" t="n"/>
      <c r="S6" s="37" t="n"/>
      <c r="V6" s="38" t="inlineStr">
        <is>
          <t>Situação</t>
        </is>
      </c>
      <c r="W6" s="38" t="inlineStr">
        <is>
          <t>MTRs</t>
        </is>
      </c>
      <c r="X6" s="39" t="n"/>
      <c r="Y6" s="39" t="n"/>
    </row>
    <row r="7" ht="24" customHeight="1">
      <c r="B7" s="40" t="n"/>
      <c r="C7" s="40" t="n"/>
      <c r="D7" s="40" t="n"/>
      <c r="E7" s="40" t="n"/>
      <c r="F7" s="41" t="inlineStr">
        <is>
          <t>(Todas)</t>
        </is>
      </c>
      <c r="G7" s="41" t="n"/>
      <c r="H7" s="41" t="n"/>
      <c r="I7" s="41" t="inlineStr">
        <is>
          <t>(Todos)</t>
        </is>
      </c>
      <c r="J7" s="41" t="n"/>
      <c r="K7" s="41" t="n"/>
      <c r="L7" s="41" t="inlineStr">
        <is>
          <t>(Todos)</t>
        </is>
      </c>
      <c r="M7" s="41" t="n"/>
      <c r="N7" s="41" t="n"/>
      <c r="O7" s="41" t="inlineStr">
        <is>
          <t>(Todos)</t>
        </is>
      </c>
      <c r="P7" s="41" t="n"/>
      <c r="Q7" s="41" t="inlineStr">
        <is>
          <t>(Todas)</t>
        </is>
      </c>
      <c r="R7" s="41" t="n"/>
      <c r="S7" s="41" t="n"/>
      <c r="V7" s="39" t="inlineStr">
        <is>
          <t>Cadastro incompleto</t>
        </is>
      </c>
      <c r="W7" s="39">
        <f>COUNTIFS('MTRs'!$AY$6:$AY$505,1,'MTRs'!$S$6:$S$505,V7)</f>
        <v>0</v>
      </c>
      <c r="X7" s="39" t="n"/>
      <c r="Y7" s="39" t="n"/>
    </row>
    <row r="8" ht="24" customHeight="1">
      <c r="B8" s="42" t="inlineStr">
        <is>
          <t>Os filtros de período usam a DATA DE EMISSÃO DO MTR. Deixe as datas em branco e as listas em (Todas)/(Todos) para ver tudo. MTRs com cancelamento informado ficam fora dos cards 02 a 06 e das quantidades.</t>
        </is>
      </c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V8" s="39" t="inlineStr">
        <is>
          <t>Informação a revisar</t>
        </is>
      </c>
      <c r="W8" s="39">
        <f>COUNTIFS('MTRs'!$AY$6:$AY$505,1,'MTRs'!$S$6:$S$505,V8)</f>
        <v>0</v>
      </c>
      <c r="X8" s="39" t="n"/>
      <c r="Y8" s="39" t="n"/>
    </row>
    <row r="9">
      <c r="V9" s="39" t="inlineStr">
        <is>
          <t>Aguardando recebimento</t>
        </is>
      </c>
      <c r="W9" s="39">
        <f>COUNTIFS('MTRs'!$AY$6:$AY$505,1,'MTRs'!$S$6:$S$505,V9)</f>
        <v>0</v>
      </c>
      <c r="X9" s="39" t="n"/>
      <c r="Y9" s="39" t="n"/>
    </row>
    <row r="10" ht="30" customHeight="1">
      <c r="B10" s="43" t="inlineStr">
        <is>
          <t>📄  TOTAL DE MTRs</t>
        </is>
      </c>
      <c r="C10" s="43" t="n"/>
      <c r="D10" s="43" t="n"/>
      <c r="E10" s="44" t="inlineStr">
        <is>
          <t>🚚⏱  AGUARDANDO RECEBIMENTO</t>
        </is>
      </c>
      <c r="F10" s="44" t="n"/>
      <c r="G10" s="44" t="n"/>
      <c r="H10" s="45" t="inlineStr">
        <is>
          <t>✅  RECEBIMENTO CONFIRMADO</t>
        </is>
      </c>
      <c r="I10" s="45" t="n"/>
      <c r="J10" s="45" t="n"/>
      <c r="K10" s="46" t="inlineStr">
        <is>
          <t>🔎  AGUARDANDO CDF</t>
        </is>
      </c>
      <c r="L10" s="46" t="n"/>
      <c r="M10" s="46" t="n"/>
      <c r="N10" s="45" t="inlineStr">
        <is>
          <t>🗂  DOCUMENTAÇÃO CONFERIDA</t>
        </is>
      </c>
      <c r="O10" s="45" t="n"/>
      <c r="P10" s="45" t="n"/>
      <c r="Q10" s="47" t="inlineStr">
        <is>
          <t>⚠  REGISTROS A REVISAR</t>
        </is>
      </c>
      <c r="R10" s="47" t="n"/>
      <c r="S10" s="47" t="n"/>
      <c r="V10" s="39" t="inlineStr">
        <is>
          <t>Aguardando CDF</t>
        </is>
      </c>
      <c r="W10" s="39">
        <f>COUNTIFS('MTRs'!$AY$6:$AY$505,1,'MTRs'!$S$6:$S$505,V10)</f>
        <v>0</v>
      </c>
      <c r="X10" s="39" t="n"/>
      <c r="Y10" s="39" t="n"/>
    </row>
    <row r="11" ht="30" customHeight="1">
      <c r="B11" s="48">
        <f>COUNTIFS('MTRs'!$AY$6:$AY$505,1)</f>
        <v>0</v>
      </c>
      <c r="C11" s="48" t="n"/>
      <c r="D11" s="48" t="n"/>
      <c r="E11" s="49">
        <f>COUNTIFS('MTRs'!$AY$6:$AY$505,1,'MTRs'!$AA$6:$AA$505,0,'MTRs'!$AN$6:$AN$505,0)</f>
        <v>0</v>
      </c>
      <c r="F11" s="49" t="n"/>
      <c r="G11" s="49" t="n"/>
      <c r="H11" s="50">
        <f>COUNTIFS('MTRs'!$AY$6:$AY$505,1,'MTRs'!$AA$6:$AA$505,0,'MTRs'!$AN$6:$AN$505,1)</f>
        <v>0</v>
      </c>
      <c r="I11" s="50" t="n"/>
      <c r="J11" s="50" t="n"/>
      <c r="K11" s="51">
        <f>COUNTIFS('MTRs'!$AY$6:$AY$505,1,'MTRs'!$AA$6:$AA$505,0,'MTRs'!$AN$6:$AN$505,1,'MTRs'!$AO$6:$AO$505,0)</f>
        <v>0</v>
      </c>
      <c r="L11" s="51" t="n"/>
      <c r="M11" s="51" t="n"/>
      <c r="N11" s="50">
        <f>COUNTIFS('MTRs'!$AY$6:$AY$505,1,'MTRs'!$S$6:$S$505,"Documentação conferida")</f>
        <v>0</v>
      </c>
      <c r="O11" s="50" t="n"/>
      <c r="P11" s="50" t="n"/>
      <c r="Q11" s="52">
        <f>COUNTIFS('MTRs'!$AY$6:$AY$505,1,'MTRs'!$S$6:$S$505,"Informação a revisar")+COUNTIFS('MTRs'!$AY$6:$AY$505,1,'MTRs'!$S$6:$S$505,"Cadastro incompleto")</f>
        <v>0</v>
      </c>
      <c r="R11" s="52" t="n"/>
      <c r="S11" s="52" t="n"/>
      <c r="V11" s="39" t="inlineStr">
        <is>
          <t>Vínculo de CDF parcial</t>
        </is>
      </c>
      <c r="W11" s="39">
        <f>COUNTIFS('MTRs'!$AY$6:$AY$505,1,'MTRs'!$S$6:$S$505,V11)</f>
        <v>0</v>
      </c>
      <c r="X11" s="39" t="n"/>
      <c r="Y11" s="39" t="n"/>
    </row>
    <row r="12" ht="22" customHeight="1">
      <c r="B12" s="48" t="n"/>
      <c r="C12" s="48" t="n"/>
      <c r="D12" s="48" t="n"/>
      <c r="E12" s="49" t="n"/>
      <c r="F12" s="49" t="n"/>
      <c r="G12" s="49" t="n"/>
      <c r="H12" s="50" t="n"/>
      <c r="I12" s="50" t="n"/>
      <c r="J12" s="50" t="n"/>
      <c r="K12" s="51" t="n"/>
      <c r="L12" s="51" t="n"/>
      <c r="M12" s="51" t="n"/>
      <c r="N12" s="50" t="n"/>
      <c r="O12" s="50" t="n"/>
      <c r="P12" s="50" t="n"/>
      <c r="Q12" s="52" t="n"/>
      <c r="R12" s="52" t="n"/>
      <c r="S12" s="52" t="n"/>
      <c r="V12" s="39" t="inlineStr">
        <is>
          <t>CDF localizado, a conferir</t>
        </is>
      </c>
      <c r="W12" s="39">
        <f>COUNTIFS('MTRs'!$AY$6:$AY$505,1,'MTRs'!$S$6:$S$505,V12)</f>
        <v>0</v>
      </c>
      <c r="X12" s="39" t="n"/>
      <c r="Y12" s="39" t="n"/>
    </row>
    <row r="13" ht="26" customHeight="1">
      <c r="B13" s="53" t="str">
        <f>"Inclui "&amp;COUNTIFS('MTRs'!$AY$6:$AY$505,1,'MTRs'!$AA$6:$AA$505,1)&amp;" com cancelamento informado"</f>
        <v>Inclui 0 com cancelamento informado</v>
      </c>
      <c r="C13" s="53" t="n"/>
      <c r="D13" s="53" t="n"/>
      <c r="E13" s="54" t="str">
        <f>"Sem recebimento informado e conferido"</f>
        <v>Sem recebimento informado e conferido</v>
      </c>
      <c r="F13" s="54" t="n"/>
      <c r="G13" s="54" t="n"/>
      <c r="H13" s="55" t="str">
        <f>"Todos os itens com recebimento conferido"</f>
        <v>Todos os itens com recebimento conferido</v>
      </c>
      <c r="I13" s="55" t="n"/>
      <c r="J13" s="55" t="n"/>
      <c r="K13" s="56" t="str">
        <f>"Recebidos, sem CDF suficiente ou conferido"</f>
        <v>Recebidos, sem CDF suficiente ou conferido</v>
      </c>
      <c r="L13" s="56" t="n"/>
      <c r="M13" s="56" t="n"/>
      <c r="N13" s="55" t="str">
        <f>"Conferência interna concluída"</f>
        <v>Conferência interna concluída</v>
      </c>
      <c r="O13" s="55" t="n"/>
      <c r="P13" s="55" t="n"/>
      <c r="Q13" s="57" t="str">
        <f>"Inconsistências pelas regras internas"</f>
        <v>Inconsistências pelas regras internas</v>
      </c>
      <c r="R13" s="57" t="n"/>
      <c r="S13" s="57" t="n"/>
      <c r="V13" s="39" t="inlineStr">
        <is>
          <t>Documentação conferida</t>
        </is>
      </c>
      <c r="W13" s="39">
        <f>COUNTIFS('MTRs'!$AY$6:$AY$505,1,'MTRs'!$S$6:$S$505,V13)</f>
        <v>0</v>
      </c>
      <c r="X13" s="39" t="n"/>
      <c r="Y13" s="39" t="n"/>
    </row>
    <row r="14">
      <c r="V14" s="39" t="inlineStr">
        <is>
          <t>Cancelado (informado)</t>
        </is>
      </c>
      <c r="W14" s="39">
        <f>COUNTIFS('MTRs'!$AY$6:$AY$505,1,'MTRs'!$S$6:$S$505,V14)</f>
        <v>0</v>
      </c>
      <c r="X14" s="39" t="n"/>
      <c r="Y14" s="39" t="n"/>
    </row>
    <row r="15">
      <c r="B15" s="58" t="inlineStr">
        <is>
          <t>INDICADORES COMPLEMENTARES</t>
        </is>
      </c>
      <c r="C15" s="58" t="n"/>
      <c r="D15" s="58" t="n"/>
      <c r="E15" s="58" t="n"/>
      <c r="F15" s="58" t="n"/>
      <c r="G15" s="58" t="n"/>
      <c r="H15" s="58" t="n"/>
      <c r="I15" s="58" t="n"/>
      <c r="J15" s="58" t="n"/>
      <c r="K15" s="58" t="n"/>
      <c r="L15" s="58" t="n"/>
      <c r="M15" s="58" t="n"/>
      <c r="N15" s="58" t="n"/>
      <c r="O15" s="58" t="n"/>
      <c r="P15" s="58" t="n"/>
      <c r="Q15" s="58" t="n"/>
      <c r="R15" s="58" t="n"/>
      <c r="S15" s="58" t="n"/>
      <c r="V15" s="39" t="n"/>
      <c r="W15" s="39" t="n"/>
      <c r="X15" s="39" t="n"/>
      <c r="Y15" s="39" t="n"/>
    </row>
    <row r="16">
      <c r="B16" s="59" t="inlineStr">
        <is>
          <t>Quantidade movimentada (kg)</t>
        </is>
      </c>
      <c r="C16" s="59" t="n"/>
      <c r="D16" s="59" t="n"/>
      <c r="E16" s="59" t="inlineStr">
        <is>
          <t>Com recebimento informado (kg)</t>
        </is>
      </c>
      <c r="F16" s="59" t="n"/>
      <c r="G16" s="59" t="n"/>
      <c r="H16" s="59" t="inlineStr">
        <is>
          <t>Vinculada a CDF (kg)</t>
        </is>
      </c>
      <c r="I16" s="59" t="n"/>
      <c r="J16" s="59" t="n"/>
      <c r="K16" s="59" t="inlineStr">
        <is>
          <t>CDFs cadastrados</t>
        </is>
      </c>
      <c r="L16" s="59" t="n"/>
      <c r="M16" s="59" t="n"/>
      <c r="N16" s="59" t="inlineStr">
        <is>
          <t>CDFs conferidos</t>
        </is>
      </c>
      <c r="O16" s="59" t="n"/>
      <c r="P16" s="59" t="n"/>
      <c r="Q16" s="59" t="inlineStr">
        <is>
          <t>Pendências acompanhadas</t>
        </is>
      </c>
      <c r="R16" s="59" t="n"/>
      <c r="S16" s="59" t="n"/>
      <c r="V16" s="39" t="n"/>
      <c r="W16" s="39" t="n"/>
      <c r="X16" s="39" t="n"/>
      <c r="Y16" s="39" t="n"/>
    </row>
    <row r="17" ht="28" customHeight="1">
      <c r="B17" s="60">
        <f>SUMIFS('ITENS_MTR'!$I$6:$I$1005,'ITENS_MTR'!$AP$6:$AP$1005,1,'ITENS_MTR'!$Y$6:$Y$1005,1)</f>
        <v>0</v>
      </c>
      <c r="C17" s="60" t="n"/>
      <c r="D17" s="60" t="n"/>
      <c r="E17" s="60">
        <f>SUMIFS('ITENS_MTR'!$L$6:$L$1005,'ITENS_MTR'!$AP$6:$AP$1005,1)</f>
        <v>0</v>
      </c>
      <c r="F17" s="60" t="n"/>
      <c r="G17" s="60" t="n"/>
      <c r="H17" s="60">
        <f>SUMIFS('ITENS_MTR'!$M$6:$M$1005,'ITENS_MTR'!$AP$6:$AP$1005,1)</f>
        <v>0</v>
      </c>
      <c r="I17" s="60" t="n"/>
      <c r="J17" s="60" t="n"/>
      <c r="K17" s="61">
        <f>COUNTIF('CDFs'!$S$6:$S$505,1)</f>
        <v>0</v>
      </c>
      <c r="L17" s="61" t="n"/>
      <c r="M17" s="61" t="n"/>
      <c r="N17" s="61">
        <f>COUNTIF('CDFs'!$Q$6:$Q$505,"Conferido")</f>
        <v>0</v>
      </c>
      <c r="O17" s="61" t="n"/>
      <c r="P17" s="61" t="n"/>
      <c r="Q17" s="61">
        <f>COUNTIFS('MTRs'!$AY$6:$AY$505,1,'MTRs'!$AV$6:$AV$505,1)</f>
        <v>0</v>
      </c>
      <c r="R17" s="61" t="n"/>
      <c r="S17" s="61" t="n"/>
      <c r="V17" s="38" t="inlineStr">
        <is>
          <t>Mês</t>
        </is>
      </c>
      <c r="W17" s="38" t="inlineStr">
        <is>
          <t>Mês/ano</t>
        </is>
      </c>
      <c r="X17" s="38" t="inlineStr">
        <is>
          <t>kg</t>
        </is>
      </c>
      <c r="Y17" s="39" t="inlineStr">
        <is>
          <t>Base</t>
        </is>
      </c>
    </row>
    <row r="18" ht="24" customHeight="1">
      <c r="B18" s="62" t="str">
        <f>"Itens fora da soma por unidade ou quantidade a conferir: "&amp;COUNTIFS('ITENS_MTR'!$AP$6:$AP$1005,1,'ITENS_MTR'!$Y$6:$Y$1005,0)</f>
        <v>Itens fora da soma por unidade ou quantidade a conferir: 0</v>
      </c>
      <c r="C18" s="62" t="n"/>
      <c r="D18" s="62" t="n"/>
      <c r="E18" s="62" t="str">
        <f>"Soma dos recebimentos registrados"</f>
        <v>Soma dos recebimentos registrados</v>
      </c>
      <c r="F18" s="62" t="n"/>
      <c r="G18" s="62" t="n"/>
      <c r="H18" s="62" t="str">
        <f>"Soma dos vínculos registrados"</f>
        <v>Soma dos vínculos registrados</v>
      </c>
      <c r="I18" s="62" t="n"/>
      <c r="J18" s="62" t="n"/>
      <c r="K18" s="62" t="str">
        <f>"Total geral, sem filtros"</f>
        <v>Total geral, sem filtros</v>
      </c>
      <c r="L18" s="62" t="n"/>
      <c r="M18" s="62" t="n"/>
      <c r="N18" s="62" t="str">
        <f>"Total geral, sem filtros"</f>
        <v>Total geral, sem filtros</v>
      </c>
      <c r="O18" s="62" t="n"/>
      <c r="P18" s="62" t="n"/>
      <c r="Q18" s="62" t="str">
        <f>"MTRs com pendência principal"</f>
        <v>MTRs com pendência principal</v>
      </c>
      <c r="R18" s="62" t="n"/>
      <c r="S18" s="62" t="n"/>
      <c r="V18" s="63">
        <f>IF(ISNUMBER(f_ini),DATE(YEAR(f_ini),MONTH(f_ini),1),EDATE(DATE(YEAR(Y18),MONTH(Y18),1),-11))</f>
        <v>45962</v>
      </c>
      <c r="W18" s="39" t="str">
        <f>CHOOSE(MONTH(V18),"jan","fev","mar","abr","mai","jun","jul","ago","set","out","nov","dez")&amp;"/"&amp;RIGHT(YEAR(V18),2)</f>
        <v>nov/25</v>
      </c>
      <c r="X18" s="39">
        <f>SUMIFS('ITENS_MTR'!$I$6:$I$1005,'ITENS_MTR'!$AP$6:$AP$1005,1,'ITENS_MTR'!$Y$6:$Y$1005,1,'ITENS_MTR'!$AQ$6:$AQ$1005,V18)</f>
        <v>0</v>
      </c>
      <c r="Y18" s="63">
        <f>IF(ISNUMBER(f_fim),f_fim,IF(MAX('MTRs'!$E$6:$E$505)&gt;0,MAX('MTRs'!$E$6:$E$505),TODAY()))</f>
        <v>46314</v>
      </c>
    </row>
    <row r="19">
      <c r="V19" s="63">
        <f>EDATE(V18,1)</f>
        <v>45992</v>
      </c>
      <c r="W19" s="39" t="str">
        <f>CHOOSE(MONTH(V19),"jan","fev","mar","abr","mai","jun","jul","ago","set","out","nov","dez")&amp;"/"&amp;RIGHT(YEAR(V19),2)</f>
        <v>dez/25</v>
      </c>
      <c r="X19" s="39">
        <f>SUMIFS('ITENS_MTR'!$I$6:$I$1005,'ITENS_MTR'!$AP$6:$AP$1005,1,'ITENS_MTR'!$Y$6:$Y$1005,1,'ITENS_MTR'!$AQ$6:$AQ$1005,V19)</f>
        <v>0</v>
      </c>
      <c r="Y19" s="39" t="n"/>
    </row>
    <row r="20">
      <c r="B20" s="58" t="inlineStr">
        <is>
          <t>GRÁFICOS</t>
        </is>
      </c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  <c r="R20" s="58" t="n"/>
      <c r="S20" s="58" t="n"/>
      <c r="V20" s="63">
        <f>EDATE(V19,1)</f>
        <v>46023</v>
      </c>
      <c r="W20" s="39" t="str">
        <f>CHOOSE(MONTH(V20),"jan","fev","mar","abr","mai","jun","jul","ago","set","out","nov","dez")&amp;"/"&amp;RIGHT(YEAR(V20),2)</f>
        <v>jan/26</v>
      </c>
      <c r="X20" s="39">
        <f>SUMIFS('ITENS_MTR'!$I$6:$I$1005,'ITENS_MTR'!$AP$6:$AP$1005,1,'ITENS_MTR'!$Y$6:$Y$1005,1,'ITENS_MTR'!$AQ$6:$AQ$1005,V20)</f>
        <v>0</v>
      </c>
      <c r="Y20" s="39" t="n"/>
    </row>
    <row r="21">
      <c r="V21" s="63">
        <f>EDATE(V20,1)</f>
        <v>46054</v>
      </c>
      <c r="W21" s="39" t="str">
        <f>CHOOSE(MONTH(V21),"jan","fev","mar","abr","mai","jun","jul","ago","set","out","nov","dez")&amp;"/"&amp;RIGHT(YEAR(V21),2)</f>
        <v>fev/26</v>
      </c>
      <c r="X21" s="39">
        <f>SUMIFS('ITENS_MTR'!$I$6:$I$1005,'ITENS_MTR'!$AP$6:$AP$1005,1,'ITENS_MTR'!$Y$6:$Y$1005,1,'ITENS_MTR'!$AQ$6:$AQ$1005,V21)</f>
        <v>0</v>
      </c>
      <c r="Y21" s="39" t="n"/>
    </row>
    <row r="22">
      <c r="V22" s="63">
        <f>EDATE(V21,1)</f>
        <v>46082</v>
      </c>
      <c r="W22" s="39" t="str">
        <f>CHOOSE(MONTH(V22),"jan","fev","mar","abr","mai","jun","jul","ago","set","out","nov","dez")&amp;"/"&amp;RIGHT(YEAR(V22),2)</f>
        <v>mar/26</v>
      </c>
      <c r="X22" s="39">
        <f>SUMIFS('ITENS_MTR'!$I$6:$I$1005,'ITENS_MTR'!$AP$6:$AP$1005,1,'ITENS_MTR'!$Y$6:$Y$1005,1,'ITENS_MTR'!$AQ$6:$AQ$1005,V22)</f>
        <v>0</v>
      </c>
      <c r="Y22" s="39" t="n"/>
    </row>
    <row r="23">
      <c r="V23" s="63">
        <f>EDATE(V22,1)</f>
        <v>46113</v>
      </c>
      <c r="W23" s="39" t="str">
        <f>CHOOSE(MONTH(V23),"jan","fev","mar","abr","mai","jun","jul","ago","set","out","nov","dez")&amp;"/"&amp;RIGHT(YEAR(V23),2)</f>
        <v>abr/26</v>
      </c>
      <c r="X23" s="39">
        <f>SUMIFS('ITENS_MTR'!$I$6:$I$1005,'ITENS_MTR'!$AP$6:$AP$1005,1,'ITENS_MTR'!$Y$6:$Y$1005,1,'ITENS_MTR'!$AQ$6:$AQ$1005,V23)</f>
        <v>0</v>
      </c>
      <c r="Y23" s="39" t="n"/>
    </row>
    <row r="24">
      <c r="V24" s="63">
        <f>EDATE(V23,1)</f>
        <v>46143</v>
      </c>
      <c r="W24" s="39" t="str">
        <f>CHOOSE(MONTH(V24),"jan","fev","mar","abr","mai","jun","jul","ago","set","out","nov","dez")&amp;"/"&amp;RIGHT(YEAR(V24),2)</f>
        <v>mai/26</v>
      </c>
      <c r="X24" s="39">
        <f>SUMIFS('ITENS_MTR'!$I$6:$I$1005,'ITENS_MTR'!$AP$6:$AP$1005,1,'ITENS_MTR'!$Y$6:$Y$1005,1,'ITENS_MTR'!$AQ$6:$AQ$1005,V24)</f>
        <v>0</v>
      </c>
      <c r="Y24" s="39" t="n"/>
    </row>
    <row r="25">
      <c r="V25" s="63">
        <f>EDATE(V24,1)</f>
        <v>46174</v>
      </c>
      <c r="W25" s="39" t="str">
        <f>CHOOSE(MONTH(V25),"jan","fev","mar","abr","mai","jun","jul","ago","set","out","nov","dez")&amp;"/"&amp;RIGHT(YEAR(V25),2)</f>
        <v>jun/26</v>
      </c>
      <c r="X25" s="39">
        <f>SUMIFS('ITENS_MTR'!$I$6:$I$1005,'ITENS_MTR'!$AP$6:$AP$1005,1,'ITENS_MTR'!$Y$6:$Y$1005,1,'ITENS_MTR'!$AQ$6:$AQ$1005,V25)</f>
        <v>0</v>
      </c>
      <c r="Y25" s="39" t="n"/>
    </row>
    <row r="26">
      <c r="V26" s="63">
        <f>EDATE(V25,1)</f>
        <v>46204</v>
      </c>
      <c r="W26" s="39" t="str">
        <f>CHOOSE(MONTH(V26),"jan","fev","mar","abr","mai","jun","jul","ago","set","out","nov","dez")&amp;"/"&amp;RIGHT(YEAR(V26),2)</f>
        <v>jul/26</v>
      </c>
      <c r="X26" s="39">
        <f>SUMIFS('ITENS_MTR'!$I$6:$I$1005,'ITENS_MTR'!$AP$6:$AP$1005,1,'ITENS_MTR'!$Y$6:$Y$1005,1,'ITENS_MTR'!$AQ$6:$AQ$1005,V26)</f>
        <v>0</v>
      </c>
      <c r="Y26" s="39" t="n"/>
    </row>
    <row r="27">
      <c r="V27" s="63">
        <f>EDATE(V26,1)</f>
        <v>46235</v>
      </c>
      <c r="W27" s="39" t="str">
        <f>CHOOSE(MONTH(V27),"jan","fev","mar","abr","mai","jun","jul","ago","set","out","nov","dez")&amp;"/"&amp;RIGHT(YEAR(V27),2)</f>
        <v>ago/26</v>
      </c>
      <c r="X27" s="39">
        <f>SUMIFS('ITENS_MTR'!$I$6:$I$1005,'ITENS_MTR'!$AP$6:$AP$1005,1,'ITENS_MTR'!$Y$6:$Y$1005,1,'ITENS_MTR'!$AQ$6:$AQ$1005,V27)</f>
        <v>0</v>
      </c>
      <c r="Y27" s="39" t="n"/>
    </row>
    <row r="28">
      <c r="V28" s="63">
        <f>EDATE(V27,1)</f>
        <v>46266</v>
      </c>
      <c r="W28" s="39" t="str">
        <f>CHOOSE(MONTH(V28),"jan","fev","mar","abr","mai","jun","jul","ago","set","out","nov","dez")&amp;"/"&amp;RIGHT(YEAR(V28),2)</f>
        <v>set/26</v>
      </c>
      <c r="X28" s="39">
        <f>SUMIFS('ITENS_MTR'!$I$6:$I$1005,'ITENS_MTR'!$AP$6:$AP$1005,1,'ITENS_MTR'!$Y$6:$Y$1005,1,'ITENS_MTR'!$AQ$6:$AQ$1005,V28)</f>
        <v>0</v>
      </c>
      <c r="Y28" s="39" t="n"/>
    </row>
    <row r="29">
      <c r="V29" s="63">
        <f>EDATE(V28,1)</f>
        <v>46296</v>
      </c>
      <c r="W29" s="39" t="str">
        <f>CHOOSE(MONTH(V29),"jan","fev","mar","abr","mai","jun","jul","ago","set","out","nov","dez")&amp;"/"&amp;RIGHT(YEAR(V29),2)</f>
        <v>out/26</v>
      </c>
      <c r="X29" s="39">
        <f>SUMIFS('ITENS_MTR'!$I$6:$I$1005,'ITENS_MTR'!$AP$6:$AP$1005,1,'ITENS_MTR'!$Y$6:$Y$1005,1,'ITENS_MTR'!$AQ$6:$AQ$1005,V29)</f>
        <v>0</v>
      </c>
      <c r="Y29" s="39" t="n"/>
    </row>
    <row r="30">
      <c r="V30" s="39" t="n"/>
      <c r="W30" s="39" t="n"/>
      <c r="X30" s="39" t="n"/>
      <c r="Y30" s="39" t="n"/>
    </row>
    <row r="31">
      <c r="V31" s="39" t="n"/>
      <c r="W31" s="39" t="n"/>
      <c r="X31" s="39" t="n"/>
      <c r="Y31" s="39" t="n"/>
    </row>
    <row r="32">
      <c r="V32" s="38" t="inlineStr">
        <is>
          <t>chave</t>
        </is>
      </c>
      <c r="W32" s="38" t="inlineStr">
        <is>
          <t>Resíduo</t>
        </is>
      </c>
      <c r="X32" s="38" t="inlineStr">
        <is>
          <t>kg</t>
        </is>
      </c>
      <c r="Y32" s="39" t="n"/>
    </row>
    <row r="33">
      <c r="V33" s="39" t="str">
        <f>IFERROR(LARGE('CAD_RESÍDUOS'!$N$6:$N$205,1),"")</f>
        <v/>
      </c>
      <c r="W33" s="39" t="str">
        <f>IF(V33="","",INDEX('CAD_RESÍDUOS'!$B$6:$B$205,MATCH(V33,'CAD_RESÍDUOS'!$N$6:$N$205,0)))</f>
        <v/>
      </c>
      <c r="X33" s="39">
        <f>IF(V33="",0,INDEX('CAD_RESÍDUOS'!$M$6:$M$205,MATCH(V33,'CAD_RESÍDUOS'!$N$6:$N$205,0)))</f>
        <v>0</v>
      </c>
      <c r="Y33" s="39" t="n"/>
    </row>
    <row r="34">
      <c r="V34" s="39" t="str">
        <f>IFERROR(LARGE('CAD_RESÍDUOS'!$N$6:$N$205,2),"")</f>
        <v/>
      </c>
      <c r="W34" s="39" t="str">
        <f>IF(V34="","",INDEX('CAD_RESÍDUOS'!$B$6:$B$205,MATCH(V34,'CAD_RESÍDUOS'!$N$6:$N$205,0)))</f>
        <v/>
      </c>
      <c r="X34" s="39">
        <f>IF(V34="",0,INDEX('CAD_RESÍDUOS'!$M$6:$M$205,MATCH(V34,'CAD_RESÍDUOS'!$N$6:$N$205,0)))</f>
        <v>0</v>
      </c>
      <c r="Y34" s="39" t="n"/>
    </row>
    <row r="35">
      <c r="V35" s="39" t="str">
        <f>IFERROR(LARGE('CAD_RESÍDUOS'!$N$6:$N$205,3),"")</f>
        <v/>
      </c>
      <c r="W35" s="39" t="str">
        <f>IF(V35="","",INDEX('CAD_RESÍDUOS'!$B$6:$B$205,MATCH(V35,'CAD_RESÍDUOS'!$N$6:$N$205,0)))</f>
        <v/>
      </c>
      <c r="X35" s="39">
        <f>IF(V35="",0,INDEX('CAD_RESÍDUOS'!$M$6:$M$205,MATCH(V35,'CAD_RESÍDUOS'!$N$6:$N$205,0)))</f>
        <v>0</v>
      </c>
      <c r="Y35" s="39" t="n"/>
    </row>
    <row r="36">
      <c r="V36" s="39" t="str">
        <f>IFERROR(LARGE('CAD_RESÍDUOS'!$N$6:$N$205,4),"")</f>
        <v/>
      </c>
      <c r="W36" s="39" t="str">
        <f>IF(V36="","",INDEX('CAD_RESÍDUOS'!$B$6:$B$205,MATCH(V36,'CAD_RESÍDUOS'!$N$6:$N$205,0)))</f>
        <v/>
      </c>
      <c r="X36" s="39">
        <f>IF(V36="",0,INDEX('CAD_RESÍDUOS'!$M$6:$M$205,MATCH(V36,'CAD_RESÍDUOS'!$N$6:$N$205,0)))</f>
        <v>0</v>
      </c>
      <c r="Y36" s="39" t="n"/>
    </row>
    <row r="37">
      <c r="V37" s="39" t="str">
        <f>IFERROR(LARGE('CAD_RESÍDUOS'!$N$6:$N$205,5),"")</f>
        <v/>
      </c>
      <c r="W37" s="39" t="str">
        <f>IF(V37="","",INDEX('CAD_RESÍDUOS'!$B$6:$B$205,MATCH(V37,'CAD_RESÍDUOS'!$N$6:$N$205,0)))</f>
        <v/>
      </c>
      <c r="X37" s="39">
        <f>IF(V37="",0,INDEX('CAD_RESÍDUOS'!$M$6:$M$205,MATCH(V37,'CAD_RESÍDUOS'!$N$6:$N$205,0)))</f>
        <v>0</v>
      </c>
      <c r="Y37" s="39" t="n"/>
    </row>
    <row r="38">
      <c r="V38" s="39" t="str">
        <f>IFERROR(LARGE('CAD_RESÍDUOS'!$N$6:$N$205,6),"")</f>
        <v/>
      </c>
      <c r="W38" s="39" t="str">
        <f>IF(V38="","",INDEX('CAD_RESÍDUOS'!$B$6:$B$205,MATCH(V38,'CAD_RESÍDUOS'!$N$6:$N$205,0)))</f>
        <v/>
      </c>
      <c r="X38" s="39">
        <f>IF(V38="",0,INDEX('CAD_RESÍDUOS'!$M$6:$M$205,MATCH(V38,'CAD_RESÍDUOS'!$N$6:$N$205,0)))</f>
        <v>0</v>
      </c>
      <c r="Y38" s="39" t="n"/>
    </row>
    <row r="39">
      <c r="V39" s="39" t="str">
        <f>IFERROR(LARGE('CAD_RESÍDUOS'!$N$6:$N$205,7),"")</f>
        <v/>
      </c>
      <c r="W39" s="39" t="str">
        <f>IF(V39="","",INDEX('CAD_RESÍDUOS'!$B$6:$B$205,MATCH(V39,'CAD_RESÍDUOS'!$N$6:$N$205,0)))</f>
        <v/>
      </c>
      <c r="X39" s="39">
        <f>IF(V39="",0,INDEX('CAD_RESÍDUOS'!$M$6:$M$205,MATCH(V39,'CAD_RESÍDUOS'!$N$6:$N$205,0)))</f>
        <v>0</v>
      </c>
      <c r="Y39" s="39" t="n"/>
    </row>
    <row r="40">
      <c r="V40" s="39" t="str">
        <f>IFERROR(LARGE('CAD_RESÍDUOS'!$N$6:$N$205,8),"")</f>
        <v/>
      </c>
      <c r="W40" s="39" t="str">
        <f>IF(V40="","",INDEX('CAD_RESÍDUOS'!$B$6:$B$205,MATCH(V40,'CAD_RESÍDUOS'!$N$6:$N$205,0)))</f>
        <v/>
      </c>
      <c r="X40" s="39">
        <f>IF(V40="",0,INDEX('CAD_RESÍDUOS'!$M$6:$M$205,MATCH(V40,'CAD_RESÍDUOS'!$N$6:$N$205,0)))</f>
        <v>0</v>
      </c>
      <c r="Y40" s="39" t="n"/>
    </row>
    <row r="41">
      <c r="V41" s="39" t="n"/>
      <c r="W41" s="39" t="n"/>
      <c r="X41" s="39" t="n"/>
      <c r="Y41" s="39" t="n"/>
    </row>
    <row r="42">
      <c r="V42" s="39" t="n"/>
      <c r="W42" s="39" t="n"/>
      <c r="X42" s="39" t="n"/>
      <c r="Y42" s="39" t="n"/>
    </row>
    <row r="43">
      <c r="V43" s="38" t="inlineStr">
        <is>
          <t>chave</t>
        </is>
      </c>
      <c r="W43" s="38" t="inlineStr">
        <is>
          <t>Destinador</t>
        </is>
      </c>
      <c r="X43" s="38" t="inlineStr">
        <is>
          <t>MTRs</t>
        </is>
      </c>
      <c r="Y43" s="39" t="n"/>
    </row>
    <row r="44">
      <c r="V44" s="39" t="str">
        <f>IFERROR(LARGE('CAD_PARCEIROS'!$W$6:$W$205,1),"")</f>
        <v/>
      </c>
      <c r="W44" s="39" t="str">
        <f>IF(V44="","",INDEX('CAD_PARCEIROS'!$P$6:$P$205,MATCH(V44,'CAD_PARCEIROS'!$W$6:$W$205,0)))</f>
        <v/>
      </c>
      <c r="X44" s="39">
        <f>IF(V44="",0,INDEX('CAD_PARCEIROS'!$V$6:$V$205,MATCH(V44,'CAD_PARCEIROS'!$W$6:$W$205,0)))</f>
        <v>0</v>
      </c>
      <c r="Y44" s="39" t="n"/>
    </row>
    <row r="45">
      <c r="V45" s="39" t="str">
        <f>IFERROR(LARGE('CAD_PARCEIROS'!$W$6:$W$205,2),"")</f>
        <v/>
      </c>
      <c r="W45" s="39" t="str">
        <f>IF(V45="","",INDEX('CAD_PARCEIROS'!$P$6:$P$205,MATCH(V45,'CAD_PARCEIROS'!$W$6:$W$205,0)))</f>
        <v/>
      </c>
      <c r="X45" s="39">
        <f>IF(V45="",0,INDEX('CAD_PARCEIROS'!$V$6:$V$205,MATCH(V45,'CAD_PARCEIROS'!$W$6:$W$205,0)))</f>
        <v>0</v>
      </c>
      <c r="Y45" s="39" t="n"/>
    </row>
    <row r="46">
      <c r="V46" s="39" t="str">
        <f>IFERROR(LARGE('CAD_PARCEIROS'!$W$6:$W$205,3),"")</f>
        <v/>
      </c>
      <c r="W46" s="39" t="str">
        <f>IF(V46="","",INDEX('CAD_PARCEIROS'!$P$6:$P$205,MATCH(V46,'CAD_PARCEIROS'!$W$6:$W$205,0)))</f>
        <v/>
      </c>
      <c r="X46" s="39">
        <f>IF(V46="",0,INDEX('CAD_PARCEIROS'!$V$6:$V$205,MATCH(V46,'CAD_PARCEIROS'!$W$6:$W$205,0)))</f>
        <v>0</v>
      </c>
      <c r="Y46" s="39" t="n"/>
    </row>
    <row r="47">
      <c r="V47" s="39" t="str">
        <f>IFERROR(LARGE('CAD_PARCEIROS'!$W$6:$W$205,4),"")</f>
        <v/>
      </c>
      <c r="W47" s="39" t="str">
        <f>IF(V47="","",INDEX('CAD_PARCEIROS'!$P$6:$P$205,MATCH(V47,'CAD_PARCEIROS'!$W$6:$W$205,0)))</f>
        <v/>
      </c>
      <c r="X47" s="39">
        <f>IF(V47="",0,INDEX('CAD_PARCEIROS'!$V$6:$V$205,MATCH(V47,'CAD_PARCEIROS'!$W$6:$W$205,0)))</f>
        <v>0</v>
      </c>
      <c r="Y47" s="39" t="n"/>
    </row>
    <row r="48">
      <c r="V48" s="39" t="str">
        <f>IFERROR(LARGE('CAD_PARCEIROS'!$W$6:$W$205,5),"")</f>
        <v/>
      </c>
      <c r="W48" s="39" t="str">
        <f>IF(V48="","",INDEX('CAD_PARCEIROS'!$P$6:$P$205,MATCH(V48,'CAD_PARCEIROS'!$W$6:$W$205,0)))</f>
        <v/>
      </c>
      <c r="X48" s="39">
        <f>IF(V48="",0,INDEX('CAD_PARCEIROS'!$V$6:$V$205,MATCH(V48,'CAD_PARCEIROS'!$W$6:$W$205,0)))</f>
        <v>0</v>
      </c>
      <c r="Y48" s="39" t="n"/>
    </row>
    <row r="49">
      <c r="V49" s="39" t="str">
        <f>IFERROR(LARGE('CAD_PARCEIROS'!$W$6:$W$205,6),"")</f>
        <v/>
      </c>
      <c r="W49" s="39" t="str">
        <f>IF(V49="","",INDEX('CAD_PARCEIROS'!$P$6:$P$205,MATCH(V49,'CAD_PARCEIROS'!$W$6:$W$205,0)))</f>
        <v/>
      </c>
      <c r="X49" s="39">
        <f>IF(V49="",0,INDEX('CAD_PARCEIROS'!$V$6:$V$205,MATCH(V49,'CAD_PARCEIROS'!$W$6:$W$205,0)))</f>
        <v>0</v>
      </c>
      <c r="Y49" s="39" t="n"/>
    </row>
    <row r="50">
      <c r="V50" s="39" t="str">
        <f>IFERROR(LARGE('CAD_PARCEIROS'!$W$6:$W$205,7),"")</f>
        <v/>
      </c>
      <c r="W50" s="39" t="str">
        <f>IF(V50="","",INDEX('CAD_PARCEIROS'!$P$6:$P$205,MATCH(V50,'CAD_PARCEIROS'!$W$6:$W$205,0)))</f>
        <v/>
      </c>
      <c r="X50" s="39">
        <f>IF(V50="",0,INDEX('CAD_PARCEIROS'!$V$6:$V$205,MATCH(V50,'CAD_PARCEIROS'!$W$6:$W$205,0)))</f>
        <v>0</v>
      </c>
      <c r="Y50" s="39" t="n"/>
    </row>
    <row r="51">
      <c r="V51" s="39" t="str">
        <f>IFERROR(LARGE('CAD_PARCEIROS'!$W$6:$W$205,8),"")</f>
        <v/>
      </c>
      <c r="W51" s="39" t="str">
        <f>IF(V51="","",INDEX('CAD_PARCEIROS'!$P$6:$P$205,MATCH(V51,'CAD_PARCEIROS'!$W$6:$W$205,0)))</f>
        <v/>
      </c>
      <c r="X51" s="39">
        <f>IF(V51="",0,INDEX('CAD_PARCEIROS'!$V$6:$V$205,MATCH(V51,'CAD_PARCEIROS'!$W$6:$W$205,0)))</f>
        <v>0</v>
      </c>
      <c r="Y51" s="39" t="n"/>
    </row>
    <row r="59" ht="26" customHeight="1">
      <c r="B59" s="64" t="inlineStr">
        <is>
          <t>⚠  PENDÊNCIAS QUE PRECISAM DE ACOMPANHAMENTO</t>
        </is>
      </c>
      <c r="C59" s="64" t="n"/>
      <c r="D59" s="64" t="n"/>
      <c r="E59" s="64" t="n"/>
      <c r="F59" s="64" t="n"/>
      <c r="G59" s="64" t="n"/>
      <c r="H59" s="64" t="n"/>
      <c r="I59" s="64" t="n"/>
      <c r="J59" s="64" t="n"/>
      <c r="K59" s="64" t="n"/>
      <c r="L59" s="64" t="n"/>
      <c r="M59" s="64" t="n"/>
      <c r="N59" s="64" t="n"/>
      <c r="O59" s="64" t="n"/>
      <c r="P59" s="64" t="n"/>
      <c r="Q59" s="64" t="n"/>
      <c r="R59" s="64" t="n"/>
      <c r="S59" s="64" t="n"/>
    </row>
    <row r="60">
      <c r="B60" s="65" t="inlineStr">
        <is>
          <t>As 8 primeiras da Central de Pendências, por prioridade e tempo. Este quadro mostra todos os registros, sem os filtros do topo.</t>
        </is>
      </c>
      <c r="C60" s="65" t="n"/>
      <c r="D60" s="65" t="n"/>
      <c r="E60" s="65" t="n"/>
      <c r="F60" s="65" t="n"/>
      <c r="G60" s="65" t="n"/>
      <c r="H60" s="65" t="n"/>
      <c r="I60" s="65" t="n"/>
      <c r="J60" s="65" t="n"/>
      <c r="K60" s="65" t="n"/>
      <c r="L60" s="65" t="n"/>
      <c r="M60" s="65" t="n"/>
      <c r="N60" s="65" t="n"/>
      <c r="O60" s="65" t="n"/>
      <c r="P60" s="65" t="n"/>
      <c r="Q60" s="65" t="n"/>
      <c r="R60" s="65" t="n"/>
      <c r="S60" s="65" t="n"/>
    </row>
    <row r="61" ht="22" customHeight="1">
      <c r="B61" s="43" t="inlineStr">
        <is>
          <t>ID do MTR</t>
        </is>
      </c>
      <c r="C61" s="43" t="n"/>
      <c r="D61" s="43" t="inlineStr">
        <is>
          <t>Nº oficial</t>
        </is>
      </c>
      <c r="E61" s="43" t="n"/>
      <c r="F61" s="43" t="inlineStr">
        <is>
          <t>Destinador</t>
        </is>
      </c>
      <c r="G61" s="43" t="n"/>
      <c r="H61" s="43" t="n"/>
      <c r="I61" s="43" t="n"/>
      <c r="J61" s="43" t="inlineStr">
        <is>
          <t>Tipo de pendência</t>
        </is>
      </c>
      <c r="K61" s="43" t="n"/>
      <c r="L61" s="43" t="n"/>
      <c r="M61" s="43" t="n"/>
      <c r="N61" s="43" t="inlineStr">
        <is>
          <t>Tempo (dias)</t>
        </is>
      </c>
      <c r="O61" s="43" t="n"/>
      <c r="P61" s="43" t="inlineStr">
        <is>
          <t>Próxima ação</t>
        </is>
      </c>
      <c r="Q61" s="43" t="n"/>
      <c r="R61" s="43" t="n"/>
      <c r="S61" s="43" t="n"/>
    </row>
    <row r="62" ht="30" customHeight="1">
      <c r="B62" s="66" t="str">
        <f>'PENDÊNCIAS'!B11&amp;""</f>
        <v/>
      </c>
      <c r="C62" s="66" t="n"/>
      <c r="D62" s="67" t="str">
        <f>'PENDÊNCIAS'!C11&amp;""</f>
        <v/>
      </c>
      <c r="E62" s="67" t="n"/>
      <c r="F62" s="68" t="str">
        <f>'PENDÊNCIAS'!F11&amp;""</f>
        <v/>
      </c>
      <c r="G62" s="68" t="n"/>
      <c r="H62" s="68" t="n"/>
      <c r="I62" s="68" t="n"/>
      <c r="J62" s="69" t="str">
        <f>'PENDÊNCIAS'!G11&amp;""</f>
        <v/>
      </c>
      <c r="K62" s="69" t="n"/>
      <c r="L62" s="69" t="n"/>
      <c r="M62" s="69" t="n"/>
      <c r="N62" s="70" t="str">
        <f>'PENDÊNCIAS'!I11</f>
        <v/>
      </c>
      <c r="O62" s="70" t="n"/>
      <c r="P62" s="68" t="str">
        <f>'PENDÊNCIAS'!K11&amp;""</f>
        <v/>
      </c>
      <c r="Q62" s="68" t="n"/>
      <c r="R62" s="68" t="n"/>
      <c r="S62" s="68" t="n"/>
    </row>
    <row r="63" ht="30" customHeight="1">
      <c r="B63" s="71" t="str">
        <f>'PENDÊNCIAS'!B12&amp;""</f>
        <v/>
      </c>
      <c r="C63" s="71" t="n"/>
      <c r="D63" s="72" t="str">
        <f>'PENDÊNCIAS'!C12&amp;""</f>
        <v/>
      </c>
      <c r="E63" s="72" t="n"/>
      <c r="F63" s="73" t="str">
        <f>'PENDÊNCIAS'!F12&amp;""</f>
        <v/>
      </c>
      <c r="G63" s="73" t="n"/>
      <c r="H63" s="73" t="n"/>
      <c r="I63" s="73" t="n"/>
      <c r="J63" s="74" t="str">
        <f>'PENDÊNCIAS'!G12&amp;""</f>
        <v/>
      </c>
      <c r="K63" s="74" t="n"/>
      <c r="L63" s="74" t="n"/>
      <c r="M63" s="74" t="n"/>
      <c r="N63" s="75" t="str">
        <f>'PENDÊNCIAS'!I12</f>
        <v/>
      </c>
      <c r="O63" s="75" t="n"/>
      <c r="P63" s="73" t="str">
        <f>'PENDÊNCIAS'!K12&amp;""</f>
        <v/>
      </c>
      <c r="Q63" s="73" t="n"/>
      <c r="R63" s="73" t="n"/>
      <c r="S63" s="73" t="n"/>
    </row>
    <row r="64" ht="30" customHeight="1">
      <c r="B64" s="66" t="str">
        <f>'PENDÊNCIAS'!B13&amp;""</f>
        <v/>
      </c>
      <c r="C64" s="66" t="n"/>
      <c r="D64" s="67" t="str">
        <f>'PENDÊNCIAS'!C13&amp;""</f>
        <v/>
      </c>
      <c r="E64" s="67" t="n"/>
      <c r="F64" s="68" t="str">
        <f>'PENDÊNCIAS'!F13&amp;""</f>
        <v/>
      </c>
      <c r="G64" s="68" t="n"/>
      <c r="H64" s="68" t="n"/>
      <c r="I64" s="68" t="n"/>
      <c r="J64" s="69" t="str">
        <f>'PENDÊNCIAS'!G13&amp;""</f>
        <v/>
      </c>
      <c r="K64" s="69" t="n"/>
      <c r="L64" s="69" t="n"/>
      <c r="M64" s="69" t="n"/>
      <c r="N64" s="70" t="str">
        <f>'PENDÊNCIAS'!I13</f>
        <v/>
      </c>
      <c r="O64" s="70" t="n"/>
      <c r="P64" s="68" t="str">
        <f>'PENDÊNCIAS'!K13&amp;""</f>
        <v/>
      </c>
      <c r="Q64" s="68" t="n"/>
      <c r="R64" s="68" t="n"/>
      <c r="S64" s="68" t="n"/>
    </row>
    <row r="65" ht="30" customHeight="1">
      <c r="B65" s="71" t="str">
        <f>'PENDÊNCIAS'!B14&amp;""</f>
        <v/>
      </c>
      <c r="C65" s="71" t="n"/>
      <c r="D65" s="72" t="str">
        <f>'PENDÊNCIAS'!C14&amp;""</f>
        <v/>
      </c>
      <c r="E65" s="72" t="n"/>
      <c r="F65" s="73" t="str">
        <f>'PENDÊNCIAS'!F14&amp;""</f>
        <v/>
      </c>
      <c r="G65" s="73" t="n"/>
      <c r="H65" s="73" t="n"/>
      <c r="I65" s="73" t="n"/>
      <c r="J65" s="74" t="str">
        <f>'PENDÊNCIAS'!G14&amp;""</f>
        <v/>
      </c>
      <c r="K65" s="74" t="n"/>
      <c r="L65" s="74" t="n"/>
      <c r="M65" s="74" t="n"/>
      <c r="N65" s="75" t="str">
        <f>'PENDÊNCIAS'!I14</f>
        <v/>
      </c>
      <c r="O65" s="75" t="n"/>
      <c r="P65" s="73" t="str">
        <f>'PENDÊNCIAS'!K14&amp;""</f>
        <v/>
      </c>
      <c r="Q65" s="73" t="n"/>
      <c r="R65" s="73" t="n"/>
      <c r="S65" s="73" t="n"/>
    </row>
    <row r="66" ht="30" customHeight="1">
      <c r="B66" s="66" t="str">
        <f>'PENDÊNCIAS'!B15&amp;""</f>
        <v/>
      </c>
      <c r="C66" s="66" t="n"/>
      <c r="D66" s="67" t="str">
        <f>'PENDÊNCIAS'!C15&amp;""</f>
        <v/>
      </c>
      <c r="E66" s="67" t="n"/>
      <c r="F66" s="68" t="str">
        <f>'PENDÊNCIAS'!F15&amp;""</f>
        <v/>
      </c>
      <c r="G66" s="68" t="n"/>
      <c r="H66" s="68" t="n"/>
      <c r="I66" s="68" t="n"/>
      <c r="J66" s="69" t="str">
        <f>'PENDÊNCIAS'!G15&amp;""</f>
        <v/>
      </c>
      <c r="K66" s="69" t="n"/>
      <c r="L66" s="69" t="n"/>
      <c r="M66" s="69" t="n"/>
      <c r="N66" s="70" t="str">
        <f>'PENDÊNCIAS'!I15</f>
        <v/>
      </c>
      <c r="O66" s="70" t="n"/>
      <c r="P66" s="68" t="str">
        <f>'PENDÊNCIAS'!K15&amp;""</f>
        <v/>
      </c>
      <c r="Q66" s="68" t="n"/>
      <c r="R66" s="68" t="n"/>
      <c r="S66" s="68" t="n"/>
    </row>
    <row r="67" ht="30" customHeight="1">
      <c r="B67" s="71" t="str">
        <f>'PENDÊNCIAS'!B16&amp;""</f>
        <v/>
      </c>
      <c r="C67" s="71" t="n"/>
      <c r="D67" s="72" t="str">
        <f>'PENDÊNCIAS'!C16&amp;""</f>
        <v/>
      </c>
      <c r="E67" s="72" t="n"/>
      <c r="F67" s="73" t="str">
        <f>'PENDÊNCIAS'!F16&amp;""</f>
        <v/>
      </c>
      <c r="G67" s="73" t="n"/>
      <c r="H67" s="73" t="n"/>
      <c r="I67" s="73" t="n"/>
      <c r="J67" s="74" t="str">
        <f>'PENDÊNCIAS'!G16&amp;""</f>
        <v/>
      </c>
      <c r="K67" s="74" t="n"/>
      <c r="L67" s="74" t="n"/>
      <c r="M67" s="74" t="n"/>
      <c r="N67" s="75" t="str">
        <f>'PENDÊNCIAS'!I16</f>
        <v/>
      </c>
      <c r="O67" s="75" t="n"/>
      <c r="P67" s="73" t="str">
        <f>'PENDÊNCIAS'!K16&amp;""</f>
        <v/>
      </c>
      <c r="Q67" s="73" t="n"/>
      <c r="R67" s="73" t="n"/>
      <c r="S67" s="73" t="n"/>
    </row>
    <row r="68" ht="30" customHeight="1">
      <c r="B68" s="66" t="str">
        <f>'PENDÊNCIAS'!B17&amp;""</f>
        <v/>
      </c>
      <c r="C68" s="66" t="n"/>
      <c r="D68" s="67" t="str">
        <f>'PENDÊNCIAS'!C17&amp;""</f>
        <v/>
      </c>
      <c r="E68" s="67" t="n"/>
      <c r="F68" s="68" t="str">
        <f>'PENDÊNCIAS'!F17&amp;""</f>
        <v/>
      </c>
      <c r="G68" s="68" t="n"/>
      <c r="H68" s="68" t="n"/>
      <c r="I68" s="68" t="n"/>
      <c r="J68" s="69" t="str">
        <f>'PENDÊNCIAS'!G17&amp;""</f>
        <v/>
      </c>
      <c r="K68" s="69" t="n"/>
      <c r="L68" s="69" t="n"/>
      <c r="M68" s="69" t="n"/>
      <c r="N68" s="70" t="str">
        <f>'PENDÊNCIAS'!I17</f>
        <v/>
      </c>
      <c r="O68" s="70" t="n"/>
      <c r="P68" s="68" t="str">
        <f>'PENDÊNCIAS'!K17&amp;""</f>
        <v/>
      </c>
      <c r="Q68" s="68" t="n"/>
      <c r="R68" s="68" t="n"/>
      <c r="S68" s="68" t="n"/>
    </row>
    <row r="69" ht="30" customHeight="1">
      <c r="B69" s="71" t="str">
        <f>'PENDÊNCIAS'!B18&amp;""</f>
        <v/>
      </c>
      <c r="C69" s="71" t="n"/>
      <c r="D69" s="72" t="str">
        <f>'PENDÊNCIAS'!C18&amp;""</f>
        <v/>
      </c>
      <c r="E69" s="72" t="n"/>
      <c r="F69" s="73" t="str">
        <f>'PENDÊNCIAS'!F18&amp;""</f>
        <v/>
      </c>
      <c r="G69" s="73" t="n"/>
      <c r="H69" s="73" t="n"/>
      <c r="I69" s="73" t="n"/>
      <c r="J69" s="74" t="str">
        <f>'PENDÊNCIAS'!G18&amp;""</f>
        <v/>
      </c>
      <c r="K69" s="74" t="n"/>
      <c r="L69" s="74" t="n"/>
      <c r="M69" s="74" t="n"/>
      <c r="N69" s="75" t="str">
        <f>'PENDÊNCIAS'!I18</f>
        <v/>
      </c>
      <c r="O69" s="75" t="n"/>
      <c r="P69" s="73" t="str">
        <f>'PENDÊNCIAS'!K18&amp;""</f>
        <v/>
      </c>
      <c r="Q69" s="73" t="n"/>
      <c r="R69" s="73" t="n"/>
      <c r="S69" s="73" t="n"/>
    </row>
    <row r="70">
      <c r="B70" s="76" t="str">
        <f>IF(COUNT('MTRs'!$AU$6:$AU$505)=0,"Nenhuma pendência no momento.","Total de pendências na central: "&amp;COUNT('MTRs'!$AU$6:$AU$505))</f>
        <v>Nenhuma pendência no momento.</v>
      </c>
      <c r="C70" s="76" t="n"/>
      <c r="D70" s="76" t="n"/>
      <c r="E70" s="76" t="n"/>
      <c r="F70" s="76" t="n"/>
      <c r="G70" s="76" t="n"/>
      <c r="H70" s="76" t="n"/>
      <c r="I70" s="76" t="n"/>
      <c r="J70" s="76" t="n"/>
      <c r="K70" s="76" t="n"/>
      <c r="L70" s="76" t="n"/>
      <c r="M70" s="76" t="n"/>
      <c r="N70" s="76" t="n"/>
      <c r="O70" s="76" t="n"/>
      <c r="P70" s="76" t="n"/>
      <c r="Q70" s="76" t="n"/>
      <c r="R70" s="76" t="n"/>
      <c r="S70" s="76" t="n"/>
    </row>
    <row r="71">
      <c r="P71" s="77" t="inlineStr">
        <is>
          <t>Abrir a central completa ▶</t>
        </is>
      </c>
      <c r="Q71" s="77" t="n"/>
      <c r="R71" s="77" t="n"/>
      <c r="S71" s="77" t="n"/>
    </row>
    <row r="73" ht="30" customHeight="1">
      <c r="B73" s="78" t="inlineStr">
        <is>
          <t>Esta ferramenta organiza registros internos e não substitui os documentos oficiais nem os procedimentos exigíveis.</t>
        </is>
      </c>
      <c r="C73" s="78" t="n"/>
      <c r="D73" s="78" t="n"/>
      <c r="E73" s="78" t="n"/>
      <c r="F73" s="78" t="n"/>
      <c r="G73" s="78" t="n"/>
      <c r="H73" s="78" t="n"/>
      <c r="I73" s="78" t="n"/>
      <c r="J73" s="78" t="n"/>
      <c r="K73" s="78" t="n"/>
      <c r="L73" s="78" t="n"/>
      <c r="M73" s="78" t="n"/>
      <c r="N73" s="78" t="n"/>
      <c r="O73" s="78" t="n"/>
      <c r="P73" s="78" t="n"/>
      <c r="Q73" s="78" t="n"/>
      <c r="R73" s="78" t="n"/>
      <c r="S73" s="78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17">
    <mergeCell ref="O7:P7"/>
    <mergeCell ref="E13:G13"/>
    <mergeCell ref="F67:I67"/>
    <mergeCell ref="O6:P6"/>
    <mergeCell ref="N17:P17"/>
    <mergeCell ref="N66:O66"/>
    <mergeCell ref="H17:J17"/>
    <mergeCell ref="Q6:S6"/>
    <mergeCell ref="D6:E6"/>
    <mergeCell ref="N68:O68"/>
    <mergeCell ref="B67:C67"/>
    <mergeCell ref="B61:C61"/>
    <mergeCell ref="D61:E61"/>
    <mergeCell ref="K17:M17"/>
    <mergeCell ref="J67:M67"/>
    <mergeCell ref="N61:O61"/>
    <mergeCell ref="F68:I68"/>
    <mergeCell ref="E16:G16"/>
    <mergeCell ref="B69:C69"/>
    <mergeCell ref="H11:J12"/>
    <mergeCell ref="D7:E7"/>
    <mergeCell ref="K10:M10"/>
    <mergeCell ref="P69:S69"/>
    <mergeCell ref="J69:M69"/>
    <mergeCell ref="E18:G18"/>
    <mergeCell ref="D62:E62"/>
    <mergeCell ref="K16:M16"/>
    <mergeCell ref="B64:C64"/>
    <mergeCell ref="P61:S61"/>
    <mergeCell ref="D64:E64"/>
    <mergeCell ref="E11:G12"/>
    <mergeCell ref="B63:C63"/>
    <mergeCell ref="F7:H7"/>
    <mergeCell ref="N65:O65"/>
    <mergeCell ref="Q11:S12"/>
    <mergeCell ref="N63:O63"/>
    <mergeCell ref="N18:P18"/>
    <mergeCell ref="B17:D17"/>
    <mergeCell ref="B66:C66"/>
    <mergeCell ref="J62:M62"/>
    <mergeCell ref="B10:D10"/>
    <mergeCell ref="H16:J16"/>
    <mergeCell ref="N10:P10"/>
    <mergeCell ref="J64:M64"/>
    <mergeCell ref="F63:I63"/>
    <mergeCell ref="D66:E66"/>
    <mergeCell ref="B15:S15"/>
    <mergeCell ref="N67:O67"/>
    <mergeCell ref="Q13:S13"/>
    <mergeCell ref="K18:M18"/>
    <mergeCell ref="J68:M68"/>
    <mergeCell ref="Q7:S7"/>
    <mergeCell ref="Q16:S16"/>
    <mergeCell ref="N69:O69"/>
    <mergeCell ref="B6:C6"/>
    <mergeCell ref="Q18:S18"/>
    <mergeCell ref="F62:I62"/>
    <mergeCell ref="E17:G17"/>
    <mergeCell ref="E10:G10"/>
    <mergeCell ref="B7:C7"/>
    <mergeCell ref="Q10:S10"/>
    <mergeCell ref="F61:I61"/>
    <mergeCell ref="D63:E63"/>
    <mergeCell ref="B13:D13"/>
    <mergeCell ref="B60:S60"/>
    <mergeCell ref="P62:S62"/>
    <mergeCell ref="D65:E65"/>
    <mergeCell ref="P71:S71"/>
    <mergeCell ref="J61:M61"/>
    <mergeCell ref="F64:I64"/>
    <mergeCell ref="H13:J13"/>
    <mergeCell ref="P64:S64"/>
    <mergeCell ref="Q17:S17"/>
    <mergeCell ref="P63:S63"/>
    <mergeCell ref="B11:D12"/>
    <mergeCell ref="H18:J18"/>
    <mergeCell ref="K13:M13"/>
    <mergeCell ref="B20:S20"/>
    <mergeCell ref="K11:M12"/>
    <mergeCell ref="J65:M65"/>
    <mergeCell ref="H10:J10"/>
    <mergeCell ref="F6:H6"/>
    <mergeCell ref="P67:S67"/>
    <mergeCell ref="B59:S59"/>
    <mergeCell ref="B3:P3"/>
    <mergeCell ref="D67:E67"/>
    <mergeCell ref="F66:I66"/>
    <mergeCell ref="I7:K7"/>
    <mergeCell ref="P66:S66"/>
    <mergeCell ref="D69:E69"/>
    <mergeCell ref="B70:S70"/>
    <mergeCell ref="B62:C62"/>
    <mergeCell ref="J66:M66"/>
    <mergeCell ref="B2:P2"/>
    <mergeCell ref="N11:P12"/>
    <mergeCell ref="P68:S68"/>
    <mergeCell ref="B8:S8"/>
    <mergeCell ref="B73:S73"/>
    <mergeCell ref="N13:P13"/>
    <mergeCell ref="F69:I69"/>
    <mergeCell ref="N62:O62"/>
    <mergeCell ref="F65:I65"/>
    <mergeCell ref="L6:N6"/>
    <mergeCell ref="V5:Y5"/>
    <mergeCell ref="Q2:S2"/>
    <mergeCell ref="N64:O64"/>
    <mergeCell ref="B65:C65"/>
    <mergeCell ref="B16:D16"/>
    <mergeCell ref="I6:K6"/>
    <mergeCell ref="L7:N7"/>
    <mergeCell ref="Q3:S3"/>
    <mergeCell ref="P65:S65"/>
    <mergeCell ref="B68:C68"/>
    <mergeCell ref="N16:P16"/>
    <mergeCell ref="D68:E68"/>
    <mergeCell ref="B18:D18"/>
    <mergeCell ref="J63:M63"/>
  </mergeCells>
  <conditionalFormatting sqref="J62:J69">
    <cfRule type="expression" priority="1" dxfId="0" stopIfTrue="1">
      <formula>OR(ISNUMBER(SEARCH("Cancelado",J62)),ISNUMBER(SEARCH("cancelado",J62)))</formula>
    </cfRule>
    <cfRule type="expression" priority="2" dxfId="1" stopIfTrue="1">
      <formula>OR(ISNUMBER(SEARCH("revisar",J62)),ISNUMBER(SEARCH("REVISAR",J62)),ISNUMBER(SEARCH("incompleto",J62)),ISNUMBER(SEARCH("INCOMPLETO",J62)),ISNUMBER(SEARCH("inexistente",J62)),ISNUMBER(SEARCH("inválid",J62)),ISNUMBER(SEARCH("não informad",J62)),ISNUMBER(SEARCH("fora do cadastro",J62)),ISNUMBER(SEARCH("duplicidade",J62)),ISNUMBER(SEARCH("DUPLICIDADE",J62)),ISNUMBER(SEARCH("UNIDADE A CONFERIR",J62)),ISNUMBER(SEARCH("Unidade a conferir",J62)),ISNUMBER(SEARCH("sem evidência",J62)),ISNUMBER(SEARCH("anterior à emissão",J62)),ISNUMBER(SEARCH("não positiva",J62)),ISNUMBER(SEARCH("não identificado",J62)),ISNUMBER(SEARCH("Sem MTR",J62)),ISNUMBER(SEARCH("Necessita",J62)),ISNUMBER(SEARCH("incompletas",J62)),ISNUMBER(SEARCH("Nome repetido",J62)),ISNUMBER(SEARCH("Informe",J62)),ISNUMBER(SEARCH("vencida",J62)))</formula>
    </cfRule>
    <cfRule type="expression" priority="3" dxfId="2" stopIfTrue="1">
      <formula>OR(ISNUMBER(SEARCH("a conferir",J62)),ISNUMBER(SEARCH("A CONFERIR",J62)),ISNUMBER(SEARCH("Aguardando conferência",J62)),ISNUMBER(SEARCH("Localizado",J62)),ISNUMBER(SEARCH("ver diferença",J62)),ISNUMBER(SEARCH("analisado",J62)),ISNUMBER(SEARCH("Data futura",J62)),ISNUMBER(SEARCH("Não calculável",J62)))</formula>
    </cfRule>
    <cfRule type="expression" priority="4" dxfId="3" stopIfTrue="1">
      <formula>OR(ISNUMBER(SEARCH("Aguardando",J62)),ISNUMBER(SEARCH("parcial",J62)),ISNUMBER(SEARCH("Cadastrado",J62)),ISNUMBER(SEARCH("NÃO CONFIRMADO",J62)),ISNUMBER(SEARCH("NÃO LOCALIZADO",J62)),ISNUMBER(SEARCH("VÍNCULO INCOMPLETO",J62)))</formula>
    </cfRule>
    <cfRule type="expression" priority="5" dxfId="4" stopIfTrue="1">
      <formula>OR(EXACT(J62,"OK"),ISNUMBER(SEARCH("conferida",J62)),ISNUMBER(SEARCH("Conferido",J62)),ISNUMBER(SEARCH("Nenhuma",J62)))</formula>
    </cfRule>
  </conditionalFormatting>
  <dataValidations count="7">
    <dataValidation sqref="B7" showDropDown="0" showInputMessage="0" showErrorMessage="1" allowBlank="1" errorTitle="Data" error="Informe uma data válida (dd/mm/aaaa)." type="date" errorStyle="warning" operator="between">
      <formula1>36526</formula1>
      <formula2>73050</formula2>
    </dataValidation>
    <dataValidation sqref="D7" showDropDown="0" showInputMessage="0" showErrorMessage="1" allowBlank="1" errorTitle="Data" error="Informe uma data válida (dd/mm/aaaa)." type="date" errorStyle="warning" operator="between">
      <formula1>36526</formula1>
      <formula2>73050</formula2>
    </dataValidation>
    <dataValidation sqref="F7" showDropDown="0" showInputMessage="0" showErrorMessage="1" allowBlank="1" errorTitle="Valor fora da lista" error="Valor fora da lista. Confira o cadastro ou ajuste a lista em CONFIGURAÇÕES." type="list" errorStyle="warning">
      <formula1>=lst_f_unid</formula1>
    </dataValidation>
    <dataValidation sqref="I7" showDropDown="0" showInputMessage="0" showErrorMessage="1" allowBlank="1" errorTitle="Valor fora da lista" error="Valor fora da lista. Confira o cadastro ou ajuste a lista em CONFIGURAÇÕES." type="list" errorStyle="warning">
      <formula1>=lst_f_transp</formula1>
    </dataValidation>
    <dataValidation sqref="L7" showDropDown="0" showInputMessage="0" showErrorMessage="1" allowBlank="1" errorTitle="Valor fora da lista" error="Valor fora da lista. Confira o cadastro ou ajuste a lista em CONFIGURAÇÕES." type="list" errorStyle="warning">
      <formula1>=lst_f_dest</formula1>
    </dataValidation>
    <dataValidation sqref="O7" showDropDown="0" showInputMessage="0" showErrorMessage="1" allowBlank="1" errorTitle="Valor fora da lista" error="Valor fora da lista. Confira o cadastro ou ajuste a lista em CONFIGURAÇÕES." type="list" errorStyle="warning">
      <formula1>=lst_f_res</formula1>
    </dataValidation>
    <dataValidation sqref="Q7" showDropDown="0" showInputMessage="0" showErrorMessage="1" allowBlank="1" errorTitle="Valor fora da lista" error="Valor fora da lista. Confira o cadastro ou ajuste a lista em CONFIGURAÇÕES." type="list" errorStyle="warning">
      <formula1>=lst_f_sit</formula1>
    </dataValidation>
  </dataValidations>
  <hyperlinks>
    <hyperlink ref="B4" location="'INÍCIO'!A1"/>
    <hyperlink ref="D4" location="'PENDÊNCIAS'!A1"/>
    <hyperlink ref="F4" location="'RELATÓRIOS'!A1"/>
    <hyperlink ref="H4" location="'MTRs'!A1"/>
    <hyperlink ref="P71" location="'PENDÊNCIAS'!A1"/>
  </hyperlinks>
  <pageMargins left="0.75" right="0.75" top="1" bottom="1" header="0.5" footer="0.5"/>
  <pageSetup orientation="portrait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766A9"/>
    <outlinePr summaryBelow="1" summaryRight="1"/>
    <pageSetUpPr fitToPage="1"/>
  </sheetPr>
  <dimension ref="A1:BF505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8" customWidth="1" min="4" max="4"/>
    <col width="12" customWidth="1" min="5" max="5"/>
    <col width="12" customWidth="1" min="6" max="6"/>
    <col width="26" customWidth="1" min="7" max="7"/>
    <col width="28" customWidth="1" min="8" max="8"/>
    <col width="28" customWidth="1" min="9" max="9"/>
    <col width="8" customWidth="1" min="10" max="10"/>
    <col width="18" customWidth="1" min="11" max="11"/>
    <col width="12" customWidth="1" min="12" max="12"/>
    <col width="30" customWidth="1" min="13" max="13"/>
    <col width="18" customWidth="1" min="14" max="14"/>
    <col width="30" customWidth="1" min="15" max="15"/>
    <col width="14" customWidth="1" min="16" max="16"/>
    <col width="14" customWidth="1" min="17" max="17"/>
    <col width="14" customWidth="1" min="18" max="18"/>
    <col width="26" customWidth="1" min="19" max="19"/>
    <col width="26" customWidth="1" min="20" max="20"/>
    <col width="15" customWidth="1" min="21" max="21"/>
    <col width="14" customWidth="1" min="22" max="22"/>
    <col width="11" customWidth="1" min="23" max="23"/>
    <col width="16" customWidth="1" min="24" max="24"/>
    <col width="42" customWidth="1" min="25" max="25"/>
    <col hidden="1" width="6" customWidth="1" min="26" max="26"/>
    <col hidden="1" width="6" customWidth="1" min="27" max="27"/>
    <col hidden="1" width="6" customWidth="1" min="28" max="28"/>
    <col hidden="1" width="6" customWidth="1" min="29" max="29"/>
    <col hidden="1" width="6" customWidth="1" min="30" max="30"/>
    <col hidden="1" width="6" customWidth="1" min="31" max="31"/>
    <col hidden="1" width="6" customWidth="1" min="32" max="32"/>
    <col hidden="1" width="6" customWidth="1" min="33" max="33"/>
    <col hidden="1" width="6" customWidth="1" min="34" max="34"/>
    <col hidden="1" width="6" customWidth="1" min="35" max="35"/>
    <col hidden="1" width="6" customWidth="1" min="36" max="36"/>
    <col hidden="1" width="6" customWidth="1" min="37" max="37"/>
    <col hidden="1" width="6" customWidth="1" min="38" max="38"/>
    <col hidden="1" width="6" customWidth="1" min="39" max="39"/>
    <col hidden="1" width="6" customWidth="1" min="40" max="40"/>
    <col hidden="1" width="6" customWidth="1" min="41" max="41"/>
    <col hidden="1" width="6" customWidth="1" min="42" max="42"/>
    <col hidden="1" width="6" customWidth="1" min="43" max="43"/>
    <col hidden="1" width="6" customWidth="1" min="44" max="44"/>
    <col hidden="1" width="6" customWidth="1" min="45" max="45"/>
    <col hidden="1" width="6" customWidth="1" min="46" max="46"/>
    <col hidden="1" width="6" customWidth="1" min="47" max="47"/>
    <col hidden="1" width="6" customWidth="1" min="48" max="48"/>
    <col hidden="1" width="6" customWidth="1" min="49" max="49"/>
    <col hidden="1" width="6" customWidth="1" min="50" max="50"/>
    <col hidden="1" width="6" customWidth="1" min="51" max="51"/>
    <col hidden="1" width="6" customWidth="1" min="52" max="52"/>
    <col hidden="1" width="6" customWidth="1" min="53" max="53"/>
    <col hidden="1" width="6" customWidth="1" min="54" max="54"/>
    <col hidden="1" width="6" customWidth="1" min="55" max="55"/>
    <col hidden="1" width="6" customWidth="1" min="56" max="56"/>
    <col hidden="1" width="6" customWidth="1" min="57" max="57"/>
    <col hidden="1" width="6" customWidth="1" min="58" max="58"/>
  </cols>
  <sheetData>
    <row r="1" ht="34" customHeight="1">
      <c r="A1" s="79" t="inlineStr">
        <is>
          <t>CADASTRO DE MTRs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79" t="n"/>
      <c r="K1" s="79" t="n"/>
      <c r="L1" s="79" t="n"/>
      <c r="M1" s="79" t="n"/>
      <c r="N1" s="79" t="n"/>
      <c r="O1" s="79" t="n"/>
      <c r="P1" s="79" t="n"/>
      <c r="Q1" s="79" t="n"/>
      <c r="R1" s="79" t="n"/>
      <c r="S1" s="79" t="n"/>
      <c r="T1" s="79" t="n"/>
      <c r="U1" s="79" t="n"/>
      <c r="V1" s="79" t="n"/>
      <c r="W1" s="79" t="n"/>
      <c r="X1" s="79" t="n"/>
      <c r="Y1" s="79" t="n"/>
    </row>
    <row r="2" ht="30" customHeight="1">
      <c r="A2" s="80" t="inlineStr">
        <is>
          <t>Cada linha é um MTR. Preencha as colunas azuis com os dados do documento oficial. As colunas cinzas são calculadas pela planilha.  Depois de cadastrar o MTR, registre os resíduos dele na aba ITENS_MTR.</t>
        </is>
      </c>
      <c r="B2" s="80" t="n"/>
      <c r="C2" s="80" t="n"/>
      <c r="D2" s="80" t="n"/>
      <c r="E2" s="80" t="n"/>
      <c r="F2" s="80" t="n"/>
      <c r="G2" s="80" t="n"/>
      <c r="H2" s="80" t="n"/>
      <c r="I2" s="80" t="n"/>
      <c r="J2" s="80" t="n"/>
      <c r="K2" s="80" t="n"/>
      <c r="L2" s="80" t="n"/>
      <c r="M2" s="80" t="n"/>
      <c r="N2" s="80" t="n"/>
      <c r="O2" s="80" t="n"/>
      <c r="P2" s="80" t="n"/>
      <c r="Q2" s="80" t="n"/>
      <c r="R2" s="80" t="n"/>
      <c r="S2" s="80" t="n"/>
      <c r="T2" s="80" t="n"/>
      <c r="U2" s="80" t="n"/>
      <c r="V2" s="80" t="n"/>
      <c r="W2" s="80" t="n"/>
      <c r="X2" s="80" t="n"/>
      <c r="Y2" s="80" t="n"/>
    </row>
    <row r="3" ht="20" customHeight="1">
      <c r="A3" s="81" t="inlineStr">
        <is>
          <t>◀ INÍCIO</t>
        </is>
      </c>
      <c r="B3" s="81" t="inlineStr">
        <is>
          <t>PAINEL</t>
        </is>
      </c>
      <c r="C3" s="81" t="inlineStr">
        <is>
          <t>PENDÊNCIAS</t>
        </is>
      </c>
      <c r="D3" s="82" t="inlineStr">
        <is>
          <t>Azul-claro = preencher   |   Cinza = automático   |   Linhas prontas: 500 registros</t>
        </is>
      </c>
    </row>
    <row r="4">
      <c r="A4" s="83" t="inlineStr">
        <is>
          <t>ID FIXO</t>
        </is>
      </c>
      <c r="B4" s="84" t="inlineStr">
        <is>
          <t>PREENCHER</t>
        </is>
      </c>
      <c r="C4" s="84" t="inlineStr">
        <is>
          <t>PREENCHER</t>
        </is>
      </c>
      <c r="D4" s="84" t="inlineStr">
        <is>
          <t>PREENCHER</t>
        </is>
      </c>
      <c r="E4" s="84" t="inlineStr">
        <is>
          <t>PREENCHER</t>
        </is>
      </c>
      <c r="F4" s="84" t="inlineStr">
        <is>
          <t>PREENCHER</t>
        </is>
      </c>
      <c r="G4" s="84" t="inlineStr">
        <is>
          <t>PREENCHER</t>
        </is>
      </c>
      <c r="H4" s="84" t="inlineStr">
        <is>
          <t>PREENCHER</t>
        </is>
      </c>
      <c r="I4" s="84" t="inlineStr">
        <is>
          <t>PREENCHER</t>
        </is>
      </c>
      <c r="J4" s="84" t="inlineStr">
        <is>
          <t>PREENCHER</t>
        </is>
      </c>
      <c r="K4" s="84" t="inlineStr">
        <is>
          <t>PREENCHER</t>
        </is>
      </c>
      <c r="L4" s="84" t="inlineStr">
        <is>
          <t>PREENCHER</t>
        </is>
      </c>
      <c r="M4" s="84" t="inlineStr">
        <is>
          <t>PREENCHER</t>
        </is>
      </c>
      <c r="N4" s="84" t="inlineStr">
        <is>
          <t>PREENCHER</t>
        </is>
      </c>
      <c r="O4" s="84" t="inlineStr">
        <is>
          <t>PREENCHER</t>
        </is>
      </c>
      <c r="P4" s="85" t="inlineStr">
        <is>
          <t>AUTOMÁTICO</t>
        </is>
      </c>
      <c r="Q4" s="85" t="inlineStr">
        <is>
          <t>AUTOMÁTICO</t>
        </is>
      </c>
      <c r="R4" s="85" t="inlineStr">
        <is>
          <t>AUTOMÁTICO</t>
        </is>
      </c>
      <c r="S4" s="85" t="inlineStr">
        <is>
          <t>AUTOMÁTICO</t>
        </is>
      </c>
      <c r="T4" s="85" t="inlineStr">
        <is>
          <t>AUTOMÁTICO</t>
        </is>
      </c>
      <c r="U4" s="85" t="inlineStr">
        <is>
          <t>AUTOMÁTICO</t>
        </is>
      </c>
      <c r="V4" s="85" t="inlineStr">
        <is>
          <t>AUTOMÁTICO</t>
        </is>
      </c>
      <c r="W4" s="85" t="inlineStr">
        <is>
          <t>AUTOMÁTICO</t>
        </is>
      </c>
      <c r="X4" s="85" t="inlineStr">
        <is>
          <t>AUTOMÁTICO</t>
        </is>
      </c>
      <c r="Y4" s="85" t="inlineStr">
        <is>
          <t>AUTOMÁTICO</t>
        </is>
      </c>
    </row>
    <row r="5" ht="46" customHeight="1">
      <c r="A5" s="86" t="inlineStr">
        <is>
          <t>ID interno do MTR</t>
        </is>
      </c>
      <c r="B5" s="86" t="inlineStr">
        <is>
          <t>Número oficial do MTR</t>
        </is>
      </c>
      <c r="C5" s="86" t="inlineStr">
        <is>
          <t>Sistema de origem</t>
        </is>
      </c>
      <c r="D5" s="86" t="inlineStr">
        <is>
          <t>UF do sistema</t>
        </is>
      </c>
      <c r="E5" s="86" t="inlineStr">
        <is>
          <t>Data de emissão</t>
        </is>
      </c>
      <c r="F5" s="86" t="inlineStr">
        <is>
          <t>Data de saída</t>
        </is>
      </c>
      <c r="G5" s="86" t="inlineStr">
        <is>
          <t>Unidade geradora</t>
        </is>
      </c>
      <c r="H5" s="86" t="inlineStr">
        <is>
          <t>Transportador</t>
        </is>
      </c>
      <c r="I5" s="86" t="inlineStr">
        <is>
          <t>Unidade destinatária</t>
        </is>
      </c>
      <c r="J5" s="86" t="inlineStr">
        <is>
          <t>UF de destino</t>
        </is>
      </c>
      <c r="K5" s="86" t="inlineStr">
        <is>
          <t>Situação informada no sistema</t>
        </is>
      </c>
      <c r="L5" s="86" t="inlineStr">
        <is>
          <t>Data da última consulta</t>
        </is>
      </c>
      <c r="M5" s="86" t="inlineStr">
        <is>
          <t>Link ou caminho do arquivo MTR</t>
        </is>
      </c>
      <c r="N5" s="86" t="inlineStr">
        <is>
          <t>Responsável pelo lançamento</t>
        </is>
      </c>
      <c r="O5" s="86" t="inlineStr">
        <is>
          <t>Observações</t>
        </is>
      </c>
      <c r="P5" s="87" t="inlineStr">
        <is>
          <t>Quantidade total vinculada ao MTR (kg)</t>
        </is>
      </c>
      <c r="Q5" s="87" t="inlineStr">
        <is>
          <t>Quantidade recebida registrada (kg)</t>
        </is>
      </c>
      <c r="R5" s="87" t="inlineStr">
        <is>
          <t>Quantidade vinculada a CDF (kg)</t>
        </is>
      </c>
      <c r="S5" s="87" t="inlineStr">
        <is>
          <t>Situação interna de acompanhamento</t>
        </is>
      </c>
      <c r="T5" s="87" t="inlineStr">
        <is>
          <t>Pendência principal</t>
        </is>
      </c>
      <c r="U5" s="87" t="inlineStr">
        <is>
          <t>Dias em acompanhamento</t>
        </is>
      </c>
      <c r="V5" s="87" t="inlineStr">
        <is>
          <t>Quantidade recebida conferida (kg)</t>
        </is>
      </c>
      <c r="W5" s="87" t="inlineStr">
        <is>
          <t>Nº de itens</t>
        </is>
      </c>
      <c r="X5" s="87" t="inlineStr">
        <is>
          <t>Alerta de duplicidade</t>
        </is>
      </c>
      <c r="Y5" s="87" t="inlineStr">
        <is>
          <t>Todas as pendências identificadas</t>
        </is>
      </c>
      <c r="Z5" s="88" t="inlineStr">
        <is>
          <t>aux registro ativo</t>
        </is>
      </c>
      <c r="AA5" s="88" t="inlineStr">
        <is>
          <t>aux cancelado</t>
        </is>
      </c>
      <c r="AB5" s="88" t="inlineStr">
        <is>
          <t>aux chave duplicidade</t>
        </is>
      </c>
      <c r="AC5" s="88" t="inlineStr">
        <is>
          <t>aux duplicado</t>
        </is>
      </c>
      <c r="AD5" s="88" t="inlineStr">
        <is>
          <t>aux identificação a revisar</t>
        </is>
      </c>
      <c r="AE5" s="88" t="inlineStr">
        <is>
          <t>aux incompleto</t>
        </is>
      </c>
      <c r="AF5" s="88" t="inlineStr">
        <is>
          <t>aux itens com dado a revisar</t>
        </is>
      </c>
      <c r="AG5" s="88" t="inlineStr">
        <is>
          <t>aux itens recebidos conferidos</t>
        </is>
      </c>
      <c r="AH5" s="88" t="inlineStr">
        <is>
          <t>aux itens com quantidade a revisar</t>
        </is>
      </c>
      <c r="AI5" s="88" t="inlineStr">
        <is>
          <t>aux itens com CDF ok</t>
        </is>
      </c>
      <c r="AJ5" s="88" t="inlineStr">
        <is>
          <t>aux itens com cobertura</t>
        </is>
      </c>
      <c r="AK5" s="88" t="inlineStr">
        <is>
          <t>aux recebimentos com alerta</t>
        </is>
      </c>
      <c r="AL5" s="88" t="inlineStr">
        <is>
          <t>aux vínculos com alerta</t>
        </is>
      </c>
      <c r="AM5" s="88" t="inlineStr">
        <is>
          <t>aux nº recebimentos</t>
        </is>
      </c>
      <c r="AN5" s="88" t="inlineStr">
        <is>
          <t>aux recebimento conferido</t>
        </is>
      </c>
      <c r="AO5" s="88" t="inlineStr">
        <is>
          <t>aux cdf completo</t>
        </is>
      </c>
      <c r="AP5" s="88" t="inlineStr">
        <is>
          <t>aux última data recebimento</t>
        </is>
      </c>
      <c r="AQ5" s="88" t="inlineStr">
        <is>
          <t>aux data de referência</t>
        </is>
      </c>
      <c r="AR5" s="88" t="inlineStr">
        <is>
          <t>aux acima do prazo interno</t>
        </is>
      </c>
      <c r="AS5" s="88" t="inlineStr">
        <is>
          <t>aux prioridade</t>
        </is>
      </c>
      <c r="AT5" s="88" t="inlineStr">
        <is>
          <t>aux providência</t>
        </is>
      </c>
      <c r="AU5" s="88" t="inlineStr">
        <is>
          <t>aux ordem pendência</t>
        </is>
      </c>
      <c r="AV5" s="88" t="inlineStr">
        <is>
          <t>aux tem pendência</t>
        </is>
      </c>
      <c r="AW5" s="88" t="inlineStr">
        <is>
          <t>aux texto pendências</t>
        </is>
      </c>
      <c r="AX5" s="88" t="inlineStr">
        <is>
          <t>aux filtro painel sem resíduo</t>
        </is>
      </c>
      <c r="AY5" s="88" t="inlineStr">
        <is>
          <t>aux filtro painel</t>
        </is>
      </c>
      <c r="AZ5" s="88" t="inlineStr">
        <is>
          <t>aux mês emissão</t>
        </is>
      </c>
      <c r="BA5" s="88" t="inlineStr">
        <is>
          <t>aux filtro relatórios</t>
        </is>
      </c>
      <c r="BB5" s="88" t="inlineStr">
        <is>
          <t>aux ordem relatório 06</t>
        </is>
      </c>
      <c r="BC5" s="88" t="inlineStr">
        <is>
          <t>aux ordem relatório 05</t>
        </is>
      </c>
      <c r="BD5" s="88" t="inlineStr">
        <is>
          <t>aux rótulo seleção</t>
        </is>
      </c>
      <c r="BE5" s="88" t="inlineStr">
        <is>
          <t>aux ordem seleção</t>
        </is>
      </c>
      <c r="BF5" s="88" t="inlineStr">
        <is>
          <t>aux participante</t>
        </is>
      </c>
    </row>
    <row r="6">
      <c r="A6" s="89" t="inlineStr">
        <is>
          <t>MTR-000001</t>
        </is>
      </c>
      <c r="B6" s="90" t="n"/>
      <c r="C6" s="91" t="n"/>
      <c r="D6" s="91" t="n"/>
      <c r="E6" s="92" t="n"/>
      <c r="F6" s="92" t="n"/>
      <c r="G6" s="91" t="n"/>
      <c r="H6" s="91" t="n"/>
      <c r="I6" s="91" t="n"/>
      <c r="J6" s="91" t="n"/>
      <c r="K6" s="91" t="n"/>
      <c r="L6" s="92" t="n"/>
      <c r="M6" s="91" t="n"/>
      <c r="N6" s="91" t="n"/>
      <c r="O6" s="91" t="n"/>
      <c r="P6" s="93" t="str">
        <f>IF(Z6=0,"",SUMIFS('ITENS_MTR'!$I$6:$I$1005,'ITENS_MTR'!$S$6:$S$1005,A6,'ITENS_MTR'!$Y$6:$Y$1005,1))</f>
        <v/>
      </c>
      <c r="Q6" s="93" t="str">
        <f>IF(Z6=0,"",SUMIFS('RECEBIMENTOS'!$H$6:$H$1005,'RECEBIMENTOS'!$B$6:$B$1005,A6,'RECEBIMENTOS'!$X$6:$X$1005,1))</f>
        <v/>
      </c>
      <c r="R6" s="93" t="str">
        <f>IF(Z6=0,"",SUMIFS('VÍNCULOS_CDF'!$H$6:$H$1005,'VÍNCULOS_CDF'!$D$6:$D$1005,A6,'VÍNCULOS_CDF'!$V$6:$V$1005,1))</f>
        <v/>
      </c>
      <c r="S6" s="94" t="str">
        <f>IF(Z6=0,"",IF(AA6=1,"Cancelado (informado)",IF(AE6=1,"Cadastro incompleto",IF(OR(AC6=1,AD6=1,AF6&gt;0,AH6&gt;0,AK6&gt;0,AL6&gt;0),"Informação a revisar",IF(AN6=0,"Aguardando recebimento",IF(N(R6)=0,"Aguardando CDF",IF(AJ6&lt;N(W6),"Vínculo de CDF parcial",IF(AO6=0,"CDF localizado, a conferir","Documentação conferida"))))))))</f>
        <v/>
      </c>
      <c r="T6" s="94" t="str">
        <f>IF(Z6=0,"",IF(S6="Cadastro incompleto","MTR INCOMPLETO",IF(S6="Informação a revisar",IF(AND(AH6&gt;0,AC6=0,AD6=0,AF6=0,AK6=0,AL6=0),"QUANTIDADE A REVISAR","IDENTIFICAÇÃO A REVISAR"),IF(S6="Aguardando recebimento","RECEBIMENTO NÃO CONFIRMADO",IF(S6="Aguardando CDF","CDF NÃO LOCALIZADO",IF(S6="Vínculo de CDF parcial","VÍNCULO INCOMPLETO",IF(S6="CDF localizado, a conferir","CDF A CONFERIR","")))))))</f>
        <v/>
      </c>
      <c r="U6" s="95" t="str">
        <f>IF(T6="","",IF(AQ6="","Não calculável",IF(AQ6&gt;TODAY(),"Data futura",TODAY()-AQ6)))</f>
        <v/>
      </c>
      <c r="V6" s="93" t="str">
        <f>IF(Z6=0,"",SUMIFS('RECEBIMENTOS'!$H$6:$H$1005,'RECEBIMENTOS'!$B$6:$B$1005,A6,'RECEBIMENTOS'!$Z$6:$Z$1005,1))</f>
        <v/>
      </c>
      <c r="W6" s="95" t="str">
        <f>IF(Z6=0,"",COUNTIFS('ITENS_MTR'!$S$6:$S$1005,A6,'ITENS_MTR'!$R$6:$R$1005,1))</f>
        <v/>
      </c>
      <c r="X6" s="94" t="str">
        <f>IF(AC6=1,"POSSÍVEL DUPLICIDADE","")</f>
        <v/>
      </c>
      <c r="Y6" s="94" t="str">
        <f>IF(Z6=0,"",IF(AW6="","Nenhuma",LEFT(AW6,LEN(AW6)-2)))</f>
        <v/>
      </c>
      <c r="Z6" s="96">
        <f>IF(COUNTA(B6:O6)&gt;0,1,0)</f>
        <v>0</v>
      </c>
      <c r="AA6" s="96">
        <f>IF(AND(Z6=1,K6&lt;&gt;""),IF(TRIM(K6)=TRIM(cfg_cancel),1,0),0)</f>
        <v>0</v>
      </c>
      <c r="AB6" s="96" t="str">
        <f>IF(AND(Z6=1,B6&lt;&gt;""),C6&amp;"|"&amp;D6&amp;"|"&amp;G6&amp;"|"&amp;TRIM(B6),"")</f>
        <v/>
      </c>
      <c r="AC6" s="96">
        <f>IF(AB6="",0,IF(SUMPRODUCT(--($AB$6:$AB$505=AB6))&gt;1,1,0))</f>
        <v>0</v>
      </c>
      <c r="AD6" s="96">
        <f>IF(Z6=0,0,IF(OR(AND(G6&lt;&gt;"",ISNA(MATCH(G6,'CAD_UNIDADES'!$C$6:$C$105,0))),AND(H6&lt;&gt;"",ISNA(MATCH(H6,cmp_transp,0))),AND(I6&lt;&gt;"",ISNA(MATCH(I6,cmp_dest,0))),AND(E6&lt;&gt;"",NOT(ISNUMBER(E6))),AND(F6&lt;&gt;"",NOT(ISNUMBER(F6))),AND(ISNUMBER(E6),ISNUMBER(F6),F6&lt;E6)),1,0))</f>
        <v>0</v>
      </c>
      <c r="AE6" s="96">
        <f>IF(Z6=0,0,IF(OR(B6="",C6="",E6="",G6="",H6="",I6="",N(W6)=0),1,0))</f>
        <v>0</v>
      </c>
      <c r="AF6" s="96">
        <f>IF(Z6=0,0,COUNTIFS('ITENS_MTR'!$S$6:$S$1005,A6,'ITENS_MTR'!$AI$6:$AI$1005,1))</f>
        <v>0</v>
      </c>
      <c r="AG6" s="96">
        <f>IF(Z6=0,0,COUNTIFS('ITENS_MTR'!$S$6:$S$1005,A6,'ITENS_MTR'!$AJ$6:$AJ$1005,1))</f>
        <v>0</v>
      </c>
      <c r="AH6" s="96">
        <f>IF(Z6=0,0,COUNTIFS('ITENS_MTR'!$S$6:$S$1005,A6,'ITENS_MTR'!$AM$6:$AM$1005,1))</f>
        <v>0</v>
      </c>
      <c r="AI6" s="96">
        <f>IF(Z6=0,0,COUNTIFS('ITENS_MTR'!$S$6:$S$1005,A6,'ITENS_MTR'!$AO$6:$AO$1005,1))</f>
        <v>0</v>
      </c>
      <c r="AJ6" s="96">
        <f>IF(Z6=0,0,COUNTIFS('ITENS_MTR'!$S$6:$S$1005,A6,'ITENS_MTR'!$AN$6:$AN$1005,1))</f>
        <v>0</v>
      </c>
      <c r="AK6" s="96">
        <f>IF(Z6=0,0,COUNTIFS('RECEBIMENTOS'!$B$6:$B$1005,A6,'RECEBIMENTOS'!$Y$6:$Y$1005,1))</f>
        <v>0</v>
      </c>
      <c r="AL6" s="96">
        <f>IF(Z6=0,0,COUNTIFS('VÍNCULOS_CDF'!$D$6:$D$1005,A6,'VÍNCULOS_CDF'!$Y$6:$Y$1005,1))</f>
        <v>0</v>
      </c>
      <c r="AM6" s="96">
        <f>IF(Z6=0,0,COUNTIFS('RECEBIMENTOS'!$B$6:$B$1005,A6,'RECEBIMENTOS'!$Q$6:$Q$1005,1))</f>
        <v>0</v>
      </c>
      <c r="AN6" s="96">
        <f>IF(AND(Z6=1,N(W6)&gt;0,AG6=N(W6)),1,0)</f>
        <v>0</v>
      </c>
      <c r="AO6" s="96">
        <f>IF(AND(Z6=1,N(W6)&gt;0,AI6=N(W6)),1,0)</f>
        <v>0</v>
      </c>
      <c r="AP6" s="97">
        <f>IF(Z6=0,0,_xlfn.MAXIFS('RECEBIMENTOS'!$E$6:$E$1005,'RECEBIMENTOS'!$B$6:$B$1005,A6))</f>
        <v>0</v>
      </c>
      <c r="AQ6" s="97" t="str">
        <f>IF(T6="","",IF(T6="RECEBIMENTO NÃO CONFIRMADO",IF(ISNUMBER(F6),F6,IF(ISNUMBER(E6),E6,"")),IF(OR(T6="CDF NÃO LOCALIZADO",T6="VÍNCULO INCOMPLETO",T6="CDF A CONFERIR"),IF(AP6&gt;0,AP6,IF(ISNUMBER(E6),E6,"")),IF(ISNUMBER(E6),E6,""))))</f>
        <v/>
      </c>
      <c r="AR6" s="96">
        <f>IF(NOT(ISNUMBER(U6)),0,IF(T6="RECEBIMENTO NÃO CONFIRMADO",IF(AND(ISNUMBER(cfg_rec),U6&gt;cfg_rec),1,0),IF(OR(T6="CDF NÃO LOCALIZADO",T6="VÍNCULO INCOMPLETO",T6="CDF A CONFERIR"),IF(AND(ISNUMBER(cfg_cdf),U6&gt;cfg_cdf),1,0),0)))</f>
        <v>0</v>
      </c>
      <c r="AS6" s="96" t="str">
        <f>IF(T6="","",IF(AR6=1,"Alta",IFERROR(INDEX(cfg_pp,MATCH(T6,cfg_pt,0))&amp;"","Média")))</f>
        <v/>
      </c>
      <c r="AT6" s="96" t="str">
        <f>IF(T6="","",IFERROR(INDEX(cfg_pv,MATCH(T6,cfg_pt,0))&amp;"",""))</f>
        <v/>
      </c>
      <c r="AU6" s="96" t="str">
        <f>IF(T6="","",IF(AS6="Alta",1,IF(AS6="Média",2,3))*1000000000+(999999-IF(ISNUMBER(U6),MIN(U6,999999),0))*1000+1)</f>
        <v/>
      </c>
      <c r="AV6" s="96">
        <f>IF(T6&lt;&gt;"",1,0)</f>
        <v>0</v>
      </c>
      <c r="AW6" s="96" t="str">
        <f>IF(Z6=0,"",IF(AA6=1,"Cancelamento informado; ","")&amp;IF(AE6=1,"Campos essenciais ou itens faltando; ","")&amp;IF(AC6=1,"Possível duplicidade do número; ","")&amp;IF(AD6=1,"Cadastro ou datas a revisar; ","")&amp;IF(AF6&gt;0,"Item de resíduo com dado a revisar; ","")&amp;IF(AH6&gt;0,"Diferença de quantidade a analisar; ","")&amp;IF(AK6&gt;0,"Recebimento com alerta; ","")&amp;IF(AL6&gt;0,"Vínculo de CDF com alerta; ","")&amp;IF(AND(AA6=0,AN6=0),"Recebimento não confirmado; ","")&amp;IF(AND(AA6=0,AN6=1,AO6=0),"CDF pendente ou a conferir; ",""))</f>
        <v/>
      </c>
      <c r="AX6" s="96">
        <f>IF(Z6=0,0,IF(AND(OR(f_ini="",AND(ISNUMBER(E6),E6&gt;=f_ini)),OR(f_fim="",AND(ISNUMBER(E6),E6&lt;=f_fim)),OR(f_un="",f_un="(Todas)",G6=f_un),OR(f_tr="",f_tr="(Todos)",H6=f_tr),OR(f_de="",f_de="(Todos)",I6=f_de),OR(f_sit="",f_sit="(Todas)",S6=f_sit)),1,0))</f>
        <v>0</v>
      </c>
      <c r="AY6" s="96">
        <f>IF(AX6=0,0,IF(OR(f_res="",f_res="(Todos)"),1,IF(COUNTIFS('ITENS_MTR'!$S$6:$S$1005,A6,'ITENS_MTR'!$C$6:$C$1005,f_res)&gt;0,1,0)))</f>
        <v>0</v>
      </c>
      <c r="AZ6" s="97" t="str">
        <f>IF(ISNUMBER(E6),DATE(YEAR(E6),MONTH(E6),1),"")</f>
        <v/>
      </c>
      <c r="BA6" s="96">
        <f>IF(Z6=0,0,IF(AND(OR(r_ini="",AND(ISNUMBER(E6),E6&gt;=r_ini)),OR(r_fim="",AND(ISNUMBER(E6),E6&lt;=r_fim)),OR(r_un="",r_un="(Todas)",G6=r_un),OR(r_de="",r_de="(Todos)",I6=r_de)),1,0))</f>
        <v>0</v>
      </c>
      <c r="BB6" s="96" t="str">
        <f>IF(BA6=1,COUNTIF($BA$6:BA6,1),"")</f>
        <v/>
      </c>
      <c r="BC6" s="96" t="str">
        <f>IF(AND(AU6&lt;&gt;"",OR(r_un="",r_un="(Todas)",G6=r_un),OR(r_de="",r_de="(Todos)",I6=r_de)),AU6,"")</f>
        <v/>
      </c>
      <c r="BD6" s="96" t="str">
        <f>IF(Z6=1,A6&amp;" | nº "&amp;IF(B6="","(sem número)",B6)&amp;" | "&amp;IF(G6="","(sem unidade)",G6),"")</f>
        <v/>
      </c>
      <c r="BE6" s="96" t="str">
        <f>IF(Z6=1,COUNTIF($Z$6:Z6,1),"")</f>
        <v/>
      </c>
      <c r="BF6" s="96" t="str">
        <f>IF(T6="","",IF(T6="RECEBIMENTO NÃO CONFIRMADO","Transp.: "&amp;H6&amp;" | Dest.: "&amp;I6,IF(OR(T6="CDF NÃO LOCALIZADO",T6="VÍNCULO INCOMPLETO",T6="CDF A CONFERIR"),"Dest.: "&amp;I6,"Gerador: "&amp;G6)))</f>
        <v/>
      </c>
    </row>
    <row r="7">
      <c r="A7" s="89" t="inlineStr">
        <is>
          <t>MTR-000002</t>
        </is>
      </c>
      <c r="B7" s="90" t="n"/>
      <c r="C7" s="91" t="n"/>
      <c r="D7" s="91" t="n"/>
      <c r="E7" s="92" t="n"/>
      <c r="F7" s="92" t="n"/>
      <c r="G7" s="91" t="n"/>
      <c r="H7" s="91" t="n"/>
      <c r="I7" s="91" t="n"/>
      <c r="J7" s="91" t="n"/>
      <c r="K7" s="91" t="n"/>
      <c r="L7" s="92" t="n"/>
      <c r="M7" s="91" t="n"/>
      <c r="N7" s="91" t="n"/>
      <c r="O7" s="91" t="n"/>
      <c r="P7" s="93" t="str">
        <f>IF(Z7=0,"",SUMIFS('ITENS_MTR'!$I$6:$I$1005,'ITENS_MTR'!$S$6:$S$1005,A7,'ITENS_MTR'!$Y$6:$Y$1005,1))</f>
        <v/>
      </c>
      <c r="Q7" s="93" t="str">
        <f>IF(Z7=0,"",SUMIFS('RECEBIMENTOS'!$H$6:$H$1005,'RECEBIMENTOS'!$B$6:$B$1005,A7,'RECEBIMENTOS'!$X$6:$X$1005,1))</f>
        <v/>
      </c>
      <c r="R7" s="93" t="str">
        <f>IF(Z7=0,"",SUMIFS('VÍNCULOS_CDF'!$H$6:$H$1005,'VÍNCULOS_CDF'!$D$6:$D$1005,A7,'VÍNCULOS_CDF'!$V$6:$V$1005,1))</f>
        <v/>
      </c>
      <c r="S7" s="94" t="str">
        <f>IF(Z7=0,"",IF(AA7=1,"Cancelado (informado)",IF(AE7=1,"Cadastro incompleto",IF(OR(AC7=1,AD7=1,AF7&gt;0,AH7&gt;0,AK7&gt;0,AL7&gt;0),"Informação a revisar",IF(AN7=0,"Aguardando recebimento",IF(N(R7)=0,"Aguardando CDF",IF(AJ7&lt;N(W7),"Vínculo de CDF parcial",IF(AO7=0,"CDF localizado, a conferir","Documentação conferida"))))))))</f>
        <v/>
      </c>
      <c r="T7" s="94" t="str">
        <f>IF(Z7=0,"",IF(S7="Cadastro incompleto","MTR INCOMPLETO",IF(S7="Informação a revisar",IF(AND(AH7&gt;0,AC7=0,AD7=0,AF7=0,AK7=0,AL7=0),"QUANTIDADE A REVISAR","IDENTIFICAÇÃO A REVISAR"),IF(S7="Aguardando recebimento","RECEBIMENTO NÃO CONFIRMADO",IF(S7="Aguardando CDF","CDF NÃO LOCALIZADO",IF(S7="Vínculo de CDF parcial","VÍNCULO INCOMPLETO",IF(S7="CDF localizado, a conferir","CDF A CONFERIR","")))))))</f>
        <v/>
      </c>
      <c r="U7" s="95" t="str">
        <f>IF(T7="","",IF(AQ7="","Não calculável",IF(AQ7&gt;TODAY(),"Data futura",TODAY()-AQ7)))</f>
        <v/>
      </c>
      <c r="V7" s="93" t="str">
        <f>IF(Z7=0,"",SUMIFS('RECEBIMENTOS'!$H$6:$H$1005,'RECEBIMENTOS'!$B$6:$B$1005,A7,'RECEBIMENTOS'!$Z$6:$Z$1005,1))</f>
        <v/>
      </c>
      <c r="W7" s="95" t="str">
        <f>IF(Z7=0,"",COUNTIFS('ITENS_MTR'!$S$6:$S$1005,A7,'ITENS_MTR'!$R$6:$R$1005,1))</f>
        <v/>
      </c>
      <c r="X7" s="94" t="str">
        <f>IF(AC7=1,"POSSÍVEL DUPLICIDADE","")</f>
        <v/>
      </c>
      <c r="Y7" s="94" t="str">
        <f>IF(Z7=0,"",IF(AW7="","Nenhuma",LEFT(AW7,LEN(AW7)-2)))</f>
        <v/>
      </c>
      <c r="Z7" s="96">
        <f>IF(COUNTA(B7:O7)&gt;0,1,0)</f>
        <v>0</v>
      </c>
      <c r="AA7" s="96">
        <f>IF(AND(Z7=1,K7&lt;&gt;""),IF(TRIM(K7)=TRIM(cfg_cancel),1,0),0)</f>
        <v>0</v>
      </c>
      <c r="AB7" s="96" t="str">
        <f>IF(AND(Z7=1,B7&lt;&gt;""),C7&amp;"|"&amp;D7&amp;"|"&amp;G7&amp;"|"&amp;TRIM(B7),"")</f>
        <v/>
      </c>
      <c r="AC7" s="96">
        <f>IF(AB7="",0,IF(SUMPRODUCT(--($AB$6:$AB$505=AB7))&gt;1,1,0))</f>
        <v>0</v>
      </c>
      <c r="AD7" s="96">
        <f>IF(Z7=0,0,IF(OR(AND(G7&lt;&gt;"",ISNA(MATCH(G7,'CAD_UNIDADES'!$C$6:$C$105,0))),AND(H7&lt;&gt;"",ISNA(MATCH(H7,cmp_transp,0))),AND(I7&lt;&gt;"",ISNA(MATCH(I7,cmp_dest,0))),AND(E7&lt;&gt;"",NOT(ISNUMBER(E7))),AND(F7&lt;&gt;"",NOT(ISNUMBER(F7))),AND(ISNUMBER(E7),ISNUMBER(F7),F7&lt;E7)),1,0))</f>
        <v>0</v>
      </c>
      <c r="AE7" s="96">
        <f>IF(Z7=0,0,IF(OR(B7="",C7="",E7="",G7="",H7="",I7="",N(W7)=0),1,0))</f>
        <v>0</v>
      </c>
      <c r="AF7" s="96">
        <f>IF(Z7=0,0,COUNTIFS('ITENS_MTR'!$S$6:$S$1005,A7,'ITENS_MTR'!$AI$6:$AI$1005,1))</f>
        <v>0</v>
      </c>
      <c r="AG7" s="96">
        <f>IF(Z7=0,0,COUNTIFS('ITENS_MTR'!$S$6:$S$1005,A7,'ITENS_MTR'!$AJ$6:$AJ$1005,1))</f>
        <v>0</v>
      </c>
      <c r="AH7" s="96">
        <f>IF(Z7=0,0,COUNTIFS('ITENS_MTR'!$S$6:$S$1005,A7,'ITENS_MTR'!$AM$6:$AM$1005,1))</f>
        <v>0</v>
      </c>
      <c r="AI7" s="96">
        <f>IF(Z7=0,0,COUNTIFS('ITENS_MTR'!$S$6:$S$1005,A7,'ITENS_MTR'!$AO$6:$AO$1005,1))</f>
        <v>0</v>
      </c>
      <c r="AJ7" s="96">
        <f>IF(Z7=0,0,COUNTIFS('ITENS_MTR'!$S$6:$S$1005,A7,'ITENS_MTR'!$AN$6:$AN$1005,1))</f>
        <v>0</v>
      </c>
      <c r="AK7" s="96">
        <f>IF(Z7=0,0,COUNTIFS('RECEBIMENTOS'!$B$6:$B$1005,A7,'RECEBIMENTOS'!$Y$6:$Y$1005,1))</f>
        <v>0</v>
      </c>
      <c r="AL7" s="96">
        <f>IF(Z7=0,0,COUNTIFS('VÍNCULOS_CDF'!$D$6:$D$1005,A7,'VÍNCULOS_CDF'!$Y$6:$Y$1005,1))</f>
        <v>0</v>
      </c>
      <c r="AM7" s="96">
        <f>IF(Z7=0,0,COUNTIFS('RECEBIMENTOS'!$B$6:$B$1005,A7,'RECEBIMENTOS'!$Q$6:$Q$1005,1))</f>
        <v>0</v>
      </c>
      <c r="AN7" s="96">
        <f>IF(AND(Z7=1,N(W7)&gt;0,AG7=N(W7)),1,0)</f>
        <v>0</v>
      </c>
      <c r="AO7" s="96">
        <f>IF(AND(Z7=1,N(W7)&gt;0,AI7=N(W7)),1,0)</f>
        <v>0</v>
      </c>
      <c r="AP7" s="97">
        <f>IF(Z7=0,0,_xlfn.MAXIFS('RECEBIMENTOS'!$E$6:$E$1005,'RECEBIMENTOS'!$B$6:$B$1005,A7))</f>
        <v>0</v>
      </c>
      <c r="AQ7" s="97" t="str">
        <f>IF(T7="","",IF(T7="RECEBIMENTO NÃO CONFIRMADO",IF(ISNUMBER(F7),F7,IF(ISNUMBER(E7),E7,"")),IF(OR(T7="CDF NÃO LOCALIZADO",T7="VÍNCULO INCOMPLETO",T7="CDF A CONFERIR"),IF(AP7&gt;0,AP7,IF(ISNUMBER(E7),E7,"")),IF(ISNUMBER(E7),E7,""))))</f>
        <v/>
      </c>
      <c r="AR7" s="96">
        <f>IF(NOT(ISNUMBER(U7)),0,IF(T7="RECEBIMENTO NÃO CONFIRMADO",IF(AND(ISNUMBER(cfg_rec),U7&gt;cfg_rec),1,0),IF(OR(T7="CDF NÃO LOCALIZADO",T7="VÍNCULO INCOMPLETO",T7="CDF A CONFERIR"),IF(AND(ISNUMBER(cfg_cdf),U7&gt;cfg_cdf),1,0),0)))</f>
        <v>0</v>
      </c>
      <c r="AS7" s="96" t="str">
        <f>IF(T7="","",IF(AR7=1,"Alta",IFERROR(INDEX(cfg_pp,MATCH(T7,cfg_pt,0))&amp;"","Média")))</f>
        <v/>
      </c>
      <c r="AT7" s="96" t="str">
        <f>IF(T7="","",IFERROR(INDEX(cfg_pv,MATCH(T7,cfg_pt,0))&amp;"",""))</f>
        <v/>
      </c>
      <c r="AU7" s="96" t="str">
        <f>IF(T7="","",IF(AS7="Alta",1,IF(AS7="Média",2,3))*1000000000+(999999-IF(ISNUMBER(U7),MIN(U7,999999),0))*1000+2)</f>
        <v/>
      </c>
      <c r="AV7" s="96">
        <f>IF(T7&lt;&gt;"",1,0)</f>
        <v>0</v>
      </c>
      <c r="AW7" s="96" t="str">
        <f>IF(Z7=0,"",IF(AA7=1,"Cancelamento informado; ","")&amp;IF(AE7=1,"Campos essenciais ou itens faltando; ","")&amp;IF(AC7=1,"Possível duplicidade do número; ","")&amp;IF(AD7=1,"Cadastro ou datas a revisar; ","")&amp;IF(AF7&gt;0,"Item de resíduo com dado a revisar; ","")&amp;IF(AH7&gt;0,"Diferença de quantidade a analisar; ","")&amp;IF(AK7&gt;0,"Recebimento com alerta; ","")&amp;IF(AL7&gt;0,"Vínculo de CDF com alerta; ","")&amp;IF(AND(AA7=0,AN7=0),"Recebimento não confirmado; ","")&amp;IF(AND(AA7=0,AN7=1,AO7=0),"CDF pendente ou a conferir; ",""))</f>
        <v/>
      </c>
      <c r="AX7" s="96">
        <f>IF(Z7=0,0,IF(AND(OR(f_ini="",AND(ISNUMBER(E7),E7&gt;=f_ini)),OR(f_fim="",AND(ISNUMBER(E7),E7&lt;=f_fim)),OR(f_un="",f_un="(Todas)",G7=f_un),OR(f_tr="",f_tr="(Todos)",H7=f_tr),OR(f_de="",f_de="(Todos)",I7=f_de),OR(f_sit="",f_sit="(Todas)",S7=f_sit)),1,0))</f>
        <v>0</v>
      </c>
      <c r="AY7" s="96">
        <f>IF(AX7=0,0,IF(OR(f_res="",f_res="(Todos)"),1,IF(COUNTIFS('ITENS_MTR'!$S$6:$S$1005,A7,'ITENS_MTR'!$C$6:$C$1005,f_res)&gt;0,1,0)))</f>
        <v>0</v>
      </c>
      <c r="AZ7" s="97" t="str">
        <f>IF(ISNUMBER(E7),DATE(YEAR(E7),MONTH(E7),1),"")</f>
        <v/>
      </c>
      <c r="BA7" s="96">
        <f>IF(Z7=0,0,IF(AND(OR(r_ini="",AND(ISNUMBER(E7),E7&gt;=r_ini)),OR(r_fim="",AND(ISNUMBER(E7),E7&lt;=r_fim)),OR(r_un="",r_un="(Todas)",G7=r_un),OR(r_de="",r_de="(Todos)",I7=r_de)),1,0))</f>
        <v>0</v>
      </c>
      <c r="BB7" s="96" t="str">
        <f>IF(BA7=1,COUNTIF($BA$6:BA7,1),"")</f>
        <v/>
      </c>
      <c r="BC7" s="96" t="str">
        <f>IF(AND(AU7&lt;&gt;"",OR(r_un="",r_un="(Todas)",G7=r_un),OR(r_de="",r_de="(Todos)",I7=r_de)),AU7,"")</f>
        <v/>
      </c>
      <c r="BD7" s="96" t="str">
        <f>IF(Z7=1,A7&amp;" | nº "&amp;IF(B7="","(sem número)",B7)&amp;" | "&amp;IF(G7="","(sem unidade)",G7),"")</f>
        <v/>
      </c>
      <c r="BE7" s="96" t="str">
        <f>IF(Z7=1,COUNTIF($Z$6:Z7,1),"")</f>
        <v/>
      </c>
      <c r="BF7" s="96" t="str">
        <f>IF(T7="","",IF(T7="RECEBIMENTO NÃO CONFIRMADO","Transp.: "&amp;H7&amp;" | Dest.: "&amp;I7,IF(OR(T7="CDF NÃO LOCALIZADO",T7="VÍNCULO INCOMPLETO",T7="CDF A CONFERIR"),"Dest.: "&amp;I7,"Gerador: "&amp;G7)))</f>
        <v/>
      </c>
    </row>
    <row r="8">
      <c r="A8" s="89" t="inlineStr">
        <is>
          <t>MTR-000003</t>
        </is>
      </c>
      <c r="B8" s="90" t="n"/>
      <c r="C8" s="91" t="n"/>
      <c r="D8" s="91" t="n"/>
      <c r="E8" s="92" t="n"/>
      <c r="F8" s="92" t="n"/>
      <c r="G8" s="91" t="n"/>
      <c r="H8" s="91" t="n"/>
      <c r="I8" s="91" t="n"/>
      <c r="J8" s="91" t="n"/>
      <c r="K8" s="91" t="n"/>
      <c r="L8" s="92" t="n"/>
      <c r="M8" s="91" t="n"/>
      <c r="N8" s="91" t="n"/>
      <c r="O8" s="91" t="n"/>
      <c r="P8" s="93" t="str">
        <f>IF(Z8=0,"",SUMIFS('ITENS_MTR'!$I$6:$I$1005,'ITENS_MTR'!$S$6:$S$1005,A8,'ITENS_MTR'!$Y$6:$Y$1005,1))</f>
        <v/>
      </c>
      <c r="Q8" s="93" t="str">
        <f>IF(Z8=0,"",SUMIFS('RECEBIMENTOS'!$H$6:$H$1005,'RECEBIMENTOS'!$B$6:$B$1005,A8,'RECEBIMENTOS'!$X$6:$X$1005,1))</f>
        <v/>
      </c>
      <c r="R8" s="93" t="str">
        <f>IF(Z8=0,"",SUMIFS('VÍNCULOS_CDF'!$H$6:$H$1005,'VÍNCULOS_CDF'!$D$6:$D$1005,A8,'VÍNCULOS_CDF'!$V$6:$V$1005,1))</f>
        <v/>
      </c>
      <c r="S8" s="94" t="str">
        <f>IF(Z8=0,"",IF(AA8=1,"Cancelado (informado)",IF(AE8=1,"Cadastro incompleto",IF(OR(AC8=1,AD8=1,AF8&gt;0,AH8&gt;0,AK8&gt;0,AL8&gt;0),"Informação a revisar",IF(AN8=0,"Aguardando recebimento",IF(N(R8)=0,"Aguardando CDF",IF(AJ8&lt;N(W8),"Vínculo de CDF parcial",IF(AO8=0,"CDF localizado, a conferir","Documentação conferida"))))))))</f>
        <v/>
      </c>
      <c r="T8" s="94" t="str">
        <f>IF(Z8=0,"",IF(S8="Cadastro incompleto","MTR INCOMPLETO",IF(S8="Informação a revisar",IF(AND(AH8&gt;0,AC8=0,AD8=0,AF8=0,AK8=0,AL8=0),"QUANTIDADE A REVISAR","IDENTIFICAÇÃO A REVISAR"),IF(S8="Aguardando recebimento","RECEBIMENTO NÃO CONFIRMADO",IF(S8="Aguardando CDF","CDF NÃO LOCALIZADO",IF(S8="Vínculo de CDF parcial","VÍNCULO INCOMPLETO",IF(S8="CDF localizado, a conferir","CDF A CONFERIR","")))))))</f>
        <v/>
      </c>
      <c r="U8" s="95" t="str">
        <f>IF(T8="","",IF(AQ8="","Não calculável",IF(AQ8&gt;TODAY(),"Data futura",TODAY()-AQ8)))</f>
        <v/>
      </c>
      <c r="V8" s="93" t="str">
        <f>IF(Z8=0,"",SUMIFS('RECEBIMENTOS'!$H$6:$H$1005,'RECEBIMENTOS'!$B$6:$B$1005,A8,'RECEBIMENTOS'!$Z$6:$Z$1005,1))</f>
        <v/>
      </c>
      <c r="W8" s="95" t="str">
        <f>IF(Z8=0,"",COUNTIFS('ITENS_MTR'!$S$6:$S$1005,A8,'ITENS_MTR'!$R$6:$R$1005,1))</f>
        <v/>
      </c>
      <c r="X8" s="94" t="str">
        <f>IF(AC8=1,"POSSÍVEL DUPLICIDADE","")</f>
        <v/>
      </c>
      <c r="Y8" s="94" t="str">
        <f>IF(Z8=0,"",IF(AW8="","Nenhuma",LEFT(AW8,LEN(AW8)-2)))</f>
        <v/>
      </c>
      <c r="Z8" s="96">
        <f>IF(COUNTA(B8:O8)&gt;0,1,0)</f>
        <v>0</v>
      </c>
      <c r="AA8" s="96">
        <f>IF(AND(Z8=1,K8&lt;&gt;""),IF(TRIM(K8)=TRIM(cfg_cancel),1,0),0)</f>
        <v>0</v>
      </c>
      <c r="AB8" s="96" t="str">
        <f>IF(AND(Z8=1,B8&lt;&gt;""),C8&amp;"|"&amp;D8&amp;"|"&amp;G8&amp;"|"&amp;TRIM(B8),"")</f>
        <v/>
      </c>
      <c r="AC8" s="96">
        <f>IF(AB8="",0,IF(SUMPRODUCT(--($AB$6:$AB$505=AB8))&gt;1,1,0))</f>
        <v>0</v>
      </c>
      <c r="AD8" s="96">
        <f>IF(Z8=0,0,IF(OR(AND(G8&lt;&gt;"",ISNA(MATCH(G8,'CAD_UNIDADES'!$C$6:$C$105,0))),AND(H8&lt;&gt;"",ISNA(MATCH(H8,cmp_transp,0))),AND(I8&lt;&gt;"",ISNA(MATCH(I8,cmp_dest,0))),AND(E8&lt;&gt;"",NOT(ISNUMBER(E8))),AND(F8&lt;&gt;"",NOT(ISNUMBER(F8))),AND(ISNUMBER(E8),ISNUMBER(F8),F8&lt;E8)),1,0))</f>
        <v>0</v>
      </c>
      <c r="AE8" s="96">
        <f>IF(Z8=0,0,IF(OR(B8="",C8="",E8="",G8="",H8="",I8="",N(W8)=0),1,0))</f>
        <v>0</v>
      </c>
      <c r="AF8" s="96">
        <f>IF(Z8=0,0,COUNTIFS('ITENS_MTR'!$S$6:$S$1005,A8,'ITENS_MTR'!$AI$6:$AI$1005,1))</f>
        <v>0</v>
      </c>
      <c r="AG8" s="96">
        <f>IF(Z8=0,0,COUNTIFS('ITENS_MTR'!$S$6:$S$1005,A8,'ITENS_MTR'!$AJ$6:$AJ$1005,1))</f>
        <v>0</v>
      </c>
      <c r="AH8" s="96">
        <f>IF(Z8=0,0,COUNTIFS('ITENS_MTR'!$S$6:$S$1005,A8,'ITENS_MTR'!$AM$6:$AM$1005,1))</f>
        <v>0</v>
      </c>
      <c r="AI8" s="96">
        <f>IF(Z8=0,0,COUNTIFS('ITENS_MTR'!$S$6:$S$1005,A8,'ITENS_MTR'!$AO$6:$AO$1005,1))</f>
        <v>0</v>
      </c>
      <c r="AJ8" s="96">
        <f>IF(Z8=0,0,COUNTIFS('ITENS_MTR'!$S$6:$S$1005,A8,'ITENS_MTR'!$AN$6:$AN$1005,1))</f>
        <v>0</v>
      </c>
      <c r="AK8" s="96">
        <f>IF(Z8=0,0,COUNTIFS('RECEBIMENTOS'!$B$6:$B$1005,A8,'RECEBIMENTOS'!$Y$6:$Y$1005,1))</f>
        <v>0</v>
      </c>
      <c r="AL8" s="96">
        <f>IF(Z8=0,0,COUNTIFS('VÍNCULOS_CDF'!$D$6:$D$1005,A8,'VÍNCULOS_CDF'!$Y$6:$Y$1005,1))</f>
        <v>0</v>
      </c>
      <c r="AM8" s="96">
        <f>IF(Z8=0,0,COUNTIFS('RECEBIMENTOS'!$B$6:$B$1005,A8,'RECEBIMENTOS'!$Q$6:$Q$1005,1))</f>
        <v>0</v>
      </c>
      <c r="AN8" s="96">
        <f>IF(AND(Z8=1,N(W8)&gt;0,AG8=N(W8)),1,0)</f>
        <v>0</v>
      </c>
      <c r="AO8" s="96">
        <f>IF(AND(Z8=1,N(W8)&gt;0,AI8=N(W8)),1,0)</f>
        <v>0</v>
      </c>
      <c r="AP8" s="97">
        <f>IF(Z8=0,0,_xlfn.MAXIFS('RECEBIMENTOS'!$E$6:$E$1005,'RECEBIMENTOS'!$B$6:$B$1005,A8))</f>
        <v>0</v>
      </c>
      <c r="AQ8" s="97" t="str">
        <f>IF(T8="","",IF(T8="RECEBIMENTO NÃO CONFIRMADO",IF(ISNUMBER(F8),F8,IF(ISNUMBER(E8),E8,"")),IF(OR(T8="CDF NÃO LOCALIZADO",T8="VÍNCULO INCOMPLETO",T8="CDF A CONFERIR"),IF(AP8&gt;0,AP8,IF(ISNUMBER(E8),E8,"")),IF(ISNUMBER(E8),E8,""))))</f>
        <v/>
      </c>
      <c r="AR8" s="96">
        <f>IF(NOT(ISNUMBER(U8)),0,IF(T8="RECEBIMENTO NÃO CONFIRMADO",IF(AND(ISNUMBER(cfg_rec),U8&gt;cfg_rec),1,0),IF(OR(T8="CDF NÃO LOCALIZADO",T8="VÍNCULO INCOMPLETO",T8="CDF A CONFERIR"),IF(AND(ISNUMBER(cfg_cdf),U8&gt;cfg_cdf),1,0),0)))</f>
        <v>0</v>
      </c>
      <c r="AS8" s="96" t="str">
        <f>IF(T8="","",IF(AR8=1,"Alta",IFERROR(INDEX(cfg_pp,MATCH(T8,cfg_pt,0))&amp;"","Média")))</f>
        <v/>
      </c>
      <c r="AT8" s="96" t="str">
        <f>IF(T8="","",IFERROR(INDEX(cfg_pv,MATCH(T8,cfg_pt,0))&amp;"",""))</f>
        <v/>
      </c>
      <c r="AU8" s="96" t="str">
        <f>IF(T8="","",IF(AS8="Alta",1,IF(AS8="Média",2,3))*1000000000+(999999-IF(ISNUMBER(U8),MIN(U8,999999),0))*1000+3)</f>
        <v/>
      </c>
      <c r="AV8" s="96">
        <f>IF(T8&lt;&gt;"",1,0)</f>
        <v>0</v>
      </c>
      <c r="AW8" s="96" t="str">
        <f>IF(Z8=0,"",IF(AA8=1,"Cancelamento informado; ","")&amp;IF(AE8=1,"Campos essenciais ou itens faltando; ","")&amp;IF(AC8=1,"Possível duplicidade do número; ","")&amp;IF(AD8=1,"Cadastro ou datas a revisar; ","")&amp;IF(AF8&gt;0,"Item de resíduo com dado a revisar; ","")&amp;IF(AH8&gt;0,"Diferença de quantidade a analisar; ","")&amp;IF(AK8&gt;0,"Recebimento com alerta; ","")&amp;IF(AL8&gt;0,"Vínculo de CDF com alerta; ","")&amp;IF(AND(AA8=0,AN8=0),"Recebimento não confirmado; ","")&amp;IF(AND(AA8=0,AN8=1,AO8=0),"CDF pendente ou a conferir; ",""))</f>
        <v/>
      </c>
      <c r="AX8" s="96">
        <f>IF(Z8=0,0,IF(AND(OR(f_ini="",AND(ISNUMBER(E8),E8&gt;=f_ini)),OR(f_fim="",AND(ISNUMBER(E8),E8&lt;=f_fim)),OR(f_un="",f_un="(Todas)",G8=f_un),OR(f_tr="",f_tr="(Todos)",H8=f_tr),OR(f_de="",f_de="(Todos)",I8=f_de),OR(f_sit="",f_sit="(Todas)",S8=f_sit)),1,0))</f>
        <v>0</v>
      </c>
      <c r="AY8" s="96">
        <f>IF(AX8=0,0,IF(OR(f_res="",f_res="(Todos)"),1,IF(COUNTIFS('ITENS_MTR'!$S$6:$S$1005,A8,'ITENS_MTR'!$C$6:$C$1005,f_res)&gt;0,1,0)))</f>
        <v>0</v>
      </c>
      <c r="AZ8" s="97" t="str">
        <f>IF(ISNUMBER(E8),DATE(YEAR(E8),MONTH(E8),1),"")</f>
        <v/>
      </c>
      <c r="BA8" s="96">
        <f>IF(Z8=0,0,IF(AND(OR(r_ini="",AND(ISNUMBER(E8),E8&gt;=r_ini)),OR(r_fim="",AND(ISNUMBER(E8),E8&lt;=r_fim)),OR(r_un="",r_un="(Todas)",G8=r_un),OR(r_de="",r_de="(Todos)",I8=r_de)),1,0))</f>
        <v>0</v>
      </c>
      <c r="BB8" s="96" t="str">
        <f>IF(BA8=1,COUNTIF($BA$6:BA8,1),"")</f>
        <v/>
      </c>
      <c r="BC8" s="96" t="str">
        <f>IF(AND(AU8&lt;&gt;"",OR(r_un="",r_un="(Todas)",G8=r_un),OR(r_de="",r_de="(Todos)",I8=r_de)),AU8,"")</f>
        <v/>
      </c>
      <c r="BD8" s="96" t="str">
        <f>IF(Z8=1,A8&amp;" | nº "&amp;IF(B8="","(sem número)",B8)&amp;" | "&amp;IF(G8="","(sem unidade)",G8),"")</f>
        <v/>
      </c>
      <c r="BE8" s="96" t="str">
        <f>IF(Z8=1,COUNTIF($Z$6:Z8,1),"")</f>
        <v/>
      </c>
      <c r="BF8" s="96" t="str">
        <f>IF(T8="","",IF(T8="RECEBIMENTO NÃO CONFIRMADO","Transp.: "&amp;H8&amp;" | Dest.: "&amp;I8,IF(OR(T8="CDF NÃO LOCALIZADO",T8="VÍNCULO INCOMPLETO",T8="CDF A CONFERIR"),"Dest.: "&amp;I8,"Gerador: "&amp;G8)))</f>
        <v/>
      </c>
    </row>
    <row r="9">
      <c r="A9" s="89" t="inlineStr">
        <is>
          <t>MTR-000004</t>
        </is>
      </c>
      <c r="B9" s="90" t="n"/>
      <c r="C9" s="91" t="n"/>
      <c r="D9" s="91" t="n"/>
      <c r="E9" s="92" t="n"/>
      <c r="F9" s="92" t="n"/>
      <c r="G9" s="91" t="n"/>
      <c r="H9" s="91" t="n"/>
      <c r="I9" s="91" t="n"/>
      <c r="J9" s="91" t="n"/>
      <c r="K9" s="91" t="n"/>
      <c r="L9" s="92" t="n"/>
      <c r="M9" s="91" t="n"/>
      <c r="N9" s="91" t="n"/>
      <c r="O9" s="91" t="n"/>
      <c r="P9" s="93" t="str">
        <f>IF(Z9=0,"",SUMIFS('ITENS_MTR'!$I$6:$I$1005,'ITENS_MTR'!$S$6:$S$1005,A9,'ITENS_MTR'!$Y$6:$Y$1005,1))</f>
        <v/>
      </c>
      <c r="Q9" s="93" t="str">
        <f>IF(Z9=0,"",SUMIFS('RECEBIMENTOS'!$H$6:$H$1005,'RECEBIMENTOS'!$B$6:$B$1005,A9,'RECEBIMENTOS'!$X$6:$X$1005,1))</f>
        <v/>
      </c>
      <c r="R9" s="93" t="str">
        <f>IF(Z9=0,"",SUMIFS('VÍNCULOS_CDF'!$H$6:$H$1005,'VÍNCULOS_CDF'!$D$6:$D$1005,A9,'VÍNCULOS_CDF'!$V$6:$V$1005,1))</f>
        <v/>
      </c>
      <c r="S9" s="94" t="str">
        <f>IF(Z9=0,"",IF(AA9=1,"Cancelado (informado)",IF(AE9=1,"Cadastro incompleto",IF(OR(AC9=1,AD9=1,AF9&gt;0,AH9&gt;0,AK9&gt;0,AL9&gt;0),"Informação a revisar",IF(AN9=0,"Aguardando recebimento",IF(N(R9)=0,"Aguardando CDF",IF(AJ9&lt;N(W9),"Vínculo de CDF parcial",IF(AO9=0,"CDF localizado, a conferir","Documentação conferida"))))))))</f>
        <v/>
      </c>
      <c r="T9" s="94" t="str">
        <f>IF(Z9=0,"",IF(S9="Cadastro incompleto","MTR INCOMPLETO",IF(S9="Informação a revisar",IF(AND(AH9&gt;0,AC9=0,AD9=0,AF9=0,AK9=0,AL9=0),"QUANTIDADE A REVISAR","IDENTIFICAÇÃO A REVISAR"),IF(S9="Aguardando recebimento","RECEBIMENTO NÃO CONFIRMADO",IF(S9="Aguardando CDF","CDF NÃO LOCALIZADO",IF(S9="Vínculo de CDF parcial","VÍNCULO INCOMPLETO",IF(S9="CDF localizado, a conferir","CDF A CONFERIR","")))))))</f>
        <v/>
      </c>
      <c r="U9" s="95" t="str">
        <f>IF(T9="","",IF(AQ9="","Não calculável",IF(AQ9&gt;TODAY(),"Data futura",TODAY()-AQ9)))</f>
        <v/>
      </c>
      <c r="V9" s="93" t="str">
        <f>IF(Z9=0,"",SUMIFS('RECEBIMENTOS'!$H$6:$H$1005,'RECEBIMENTOS'!$B$6:$B$1005,A9,'RECEBIMENTOS'!$Z$6:$Z$1005,1))</f>
        <v/>
      </c>
      <c r="W9" s="95" t="str">
        <f>IF(Z9=0,"",COUNTIFS('ITENS_MTR'!$S$6:$S$1005,A9,'ITENS_MTR'!$R$6:$R$1005,1))</f>
        <v/>
      </c>
      <c r="X9" s="94" t="str">
        <f>IF(AC9=1,"POSSÍVEL DUPLICIDADE","")</f>
        <v/>
      </c>
      <c r="Y9" s="94" t="str">
        <f>IF(Z9=0,"",IF(AW9="","Nenhuma",LEFT(AW9,LEN(AW9)-2)))</f>
        <v/>
      </c>
      <c r="Z9" s="96">
        <f>IF(COUNTA(B9:O9)&gt;0,1,0)</f>
        <v>0</v>
      </c>
      <c r="AA9" s="96">
        <f>IF(AND(Z9=1,K9&lt;&gt;""),IF(TRIM(K9)=TRIM(cfg_cancel),1,0),0)</f>
        <v>0</v>
      </c>
      <c r="AB9" s="96" t="str">
        <f>IF(AND(Z9=1,B9&lt;&gt;""),C9&amp;"|"&amp;D9&amp;"|"&amp;G9&amp;"|"&amp;TRIM(B9),"")</f>
        <v/>
      </c>
      <c r="AC9" s="96">
        <f>IF(AB9="",0,IF(SUMPRODUCT(--($AB$6:$AB$505=AB9))&gt;1,1,0))</f>
        <v>0</v>
      </c>
      <c r="AD9" s="96">
        <f>IF(Z9=0,0,IF(OR(AND(G9&lt;&gt;"",ISNA(MATCH(G9,'CAD_UNIDADES'!$C$6:$C$105,0))),AND(H9&lt;&gt;"",ISNA(MATCH(H9,cmp_transp,0))),AND(I9&lt;&gt;"",ISNA(MATCH(I9,cmp_dest,0))),AND(E9&lt;&gt;"",NOT(ISNUMBER(E9))),AND(F9&lt;&gt;"",NOT(ISNUMBER(F9))),AND(ISNUMBER(E9),ISNUMBER(F9),F9&lt;E9)),1,0))</f>
        <v>0</v>
      </c>
      <c r="AE9" s="96">
        <f>IF(Z9=0,0,IF(OR(B9="",C9="",E9="",G9="",H9="",I9="",N(W9)=0),1,0))</f>
        <v>0</v>
      </c>
      <c r="AF9" s="96">
        <f>IF(Z9=0,0,COUNTIFS('ITENS_MTR'!$S$6:$S$1005,A9,'ITENS_MTR'!$AI$6:$AI$1005,1))</f>
        <v>0</v>
      </c>
      <c r="AG9" s="96">
        <f>IF(Z9=0,0,COUNTIFS('ITENS_MTR'!$S$6:$S$1005,A9,'ITENS_MTR'!$AJ$6:$AJ$1005,1))</f>
        <v>0</v>
      </c>
      <c r="AH9" s="96">
        <f>IF(Z9=0,0,COUNTIFS('ITENS_MTR'!$S$6:$S$1005,A9,'ITENS_MTR'!$AM$6:$AM$1005,1))</f>
        <v>0</v>
      </c>
      <c r="AI9" s="96">
        <f>IF(Z9=0,0,COUNTIFS('ITENS_MTR'!$S$6:$S$1005,A9,'ITENS_MTR'!$AO$6:$AO$1005,1))</f>
        <v>0</v>
      </c>
      <c r="AJ9" s="96">
        <f>IF(Z9=0,0,COUNTIFS('ITENS_MTR'!$S$6:$S$1005,A9,'ITENS_MTR'!$AN$6:$AN$1005,1))</f>
        <v>0</v>
      </c>
      <c r="AK9" s="96">
        <f>IF(Z9=0,0,COUNTIFS('RECEBIMENTOS'!$B$6:$B$1005,A9,'RECEBIMENTOS'!$Y$6:$Y$1005,1))</f>
        <v>0</v>
      </c>
      <c r="AL9" s="96">
        <f>IF(Z9=0,0,COUNTIFS('VÍNCULOS_CDF'!$D$6:$D$1005,A9,'VÍNCULOS_CDF'!$Y$6:$Y$1005,1))</f>
        <v>0</v>
      </c>
      <c r="AM9" s="96">
        <f>IF(Z9=0,0,COUNTIFS('RECEBIMENTOS'!$B$6:$B$1005,A9,'RECEBIMENTOS'!$Q$6:$Q$1005,1))</f>
        <v>0</v>
      </c>
      <c r="AN9" s="96">
        <f>IF(AND(Z9=1,N(W9)&gt;0,AG9=N(W9)),1,0)</f>
        <v>0</v>
      </c>
      <c r="AO9" s="96">
        <f>IF(AND(Z9=1,N(W9)&gt;0,AI9=N(W9)),1,0)</f>
        <v>0</v>
      </c>
      <c r="AP9" s="97">
        <f>IF(Z9=0,0,_xlfn.MAXIFS('RECEBIMENTOS'!$E$6:$E$1005,'RECEBIMENTOS'!$B$6:$B$1005,A9))</f>
        <v>0</v>
      </c>
      <c r="AQ9" s="97" t="str">
        <f>IF(T9="","",IF(T9="RECEBIMENTO NÃO CONFIRMADO",IF(ISNUMBER(F9),F9,IF(ISNUMBER(E9),E9,"")),IF(OR(T9="CDF NÃO LOCALIZADO",T9="VÍNCULO INCOMPLETO",T9="CDF A CONFERIR"),IF(AP9&gt;0,AP9,IF(ISNUMBER(E9),E9,"")),IF(ISNUMBER(E9),E9,""))))</f>
        <v/>
      </c>
      <c r="AR9" s="96">
        <f>IF(NOT(ISNUMBER(U9)),0,IF(T9="RECEBIMENTO NÃO CONFIRMADO",IF(AND(ISNUMBER(cfg_rec),U9&gt;cfg_rec),1,0),IF(OR(T9="CDF NÃO LOCALIZADO",T9="VÍNCULO INCOMPLETO",T9="CDF A CONFERIR"),IF(AND(ISNUMBER(cfg_cdf),U9&gt;cfg_cdf),1,0),0)))</f>
        <v>0</v>
      </c>
      <c r="AS9" s="96" t="str">
        <f>IF(T9="","",IF(AR9=1,"Alta",IFERROR(INDEX(cfg_pp,MATCH(T9,cfg_pt,0))&amp;"","Média")))</f>
        <v/>
      </c>
      <c r="AT9" s="96" t="str">
        <f>IF(T9="","",IFERROR(INDEX(cfg_pv,MATCH(T9,cfg_pt,0))&amp;"",""))</f>
        <v/>
      </c>
      <c r="AU9" s="96" t="str">
        <f>IF(T9="","",IF(AS9="Alta",1,IF(AS9="Média",2,3))*1000000000+(999999-IF(ISNUMBER(U9),MIN(U9,999999),0))*1000+4)</f>
        <v/>
      </c>
      <c r="AV9" s="96">
        <f>IF(T9&lt;&gt;"",1,0)</f>
        <v>0</v>
      </c>
      <c r="AW9" s="96" t="str">
        <f>IF(Z9=0,"",IF(AA9=1,"Cancelamento informado; ","")&amp;IF(AE9=1,"Campos essenciais ou itens faltando; ","")&amp;IF(AC9=1,"Possível duplicidade do número; ","")&amp;IF(AD9=1,"Cadastro ou datas a revisar; ","")&amp;IF(AF9&gt;0,"Item de resíduo com dado a revisar; ","")&amp;IF(AH9&gt;0,"Diferença de quantidade a analisar; ","")&amp;IF(AK9&gt;0,"Recebimento com alerta; ","")&amp;IF(AL9&gt;0,"Vínculo de CDF com alerta; ","")&amp;IF(AND(AA9=0,AN9=0),"Recebimento não confirmado; ","")&amp;IF(AND(AA9=0,AN9=1,AO9=0),"CDF pendente ou a conferir; ",""))</f>
        <v/>
      </c>
      <c r="AX9" s="96">
        <f>IF(Z9=0,0,IF(AND(OR(f_ini="",AND(ISNUMBER(E9),E9&gt;=f_ini)),OR(f_fim="",AND(ISNUMBER(E9),E9&lt;=f_fim)),OR(f_un="",f_un="(Todas)",G9=f_un),OR(f_tr="",f_tr="(Todos)",H9=f_tr),OR(f_de="",f_de="(Todos)",I9=f_de),OR(f_sit="",f_sit="(Todas)",S9=f_sit)),1,0))</f>
        <v>0</v>
      </c>
      <c r="AY9" s="96">
        <f>IF(AX9=0,0,IF(OR(f_res="",f_res="(Todos)"),1,IF(COUNTIFS('ITENS_MTR'!$S$6:$S$1005,A9,'ITENS_MTR'!$C$6:$C$1005,f_res)&gt;0,1,0)))</f>
        <v>0</v>
      </c>
      <c r="AZ9" s="97" t="str">
        <f>IF(ISNUMBER(E9),DATE(YEAR(E9),MONTH(E9),1),"")</f>
        <v/>
      </c>
      <c r="BA9" s="96">
        <f>IF(Z9=0,0,IF(AND(OR(r_ini="",AND(ISNUMBER(E9),E9&gt;=r_ini)),OR(r_fim="",AND(ISNUMBER(E9),E9&lt;=r_fim)),OR(r_un="",r_un="(Todas)",G9=r_un),OR(r_de="",r_de="(Todos)",I9=r_de)),1,0))</f>
        <v>0</v>
      </c>
      <c r="BB9" s="96" t="str">
        <f>IF(BA9=1,COUNTIF($BA$6:BA9,1),"")</f>
        <v/>
      </c>
      <c r="BC9" s="96" t="str">
        <f>IF(AND(AU9&lt;&gt;"",OR(r_un="",r_un="(Todas)",G9=r_un),OR(r_de="",r_de="(Todos)",I9=r_de)),AU9,"")</f>
        <v/>
      </c>
      <c r="BD9" s="96" t="str">
        <f>IF(Z9=1,A9&amp;" | nº "&amp;IF(B9="","(sem número)",B9)&amp;" | "&amp;IF(G9="","(sem unidade)",G9),"")</f>
        <v/>
      </c>
      <c r="BE9" s="96" t="str">
        <f>IF(Z9=1,COUNTIF($Z$6:Z9,1),"")</f>
        <v/>
      </c>
      <c r="BF9" s="96" t="str">
        <f>IF(T9="","",IF(T9="RECEBIMENTO NÃO CONFIRMADO","Transp.: "&amp;H9&amp;" | Dest.: "&amp;I9,IF(OR(T9="CDF NÃO LOCALIZADO",T9="VÍNCULO INCOMPLETO",T9="CDF A CONFERIR"),"Dest.: "&amp;I9,"Gerador: "&amp;G9)))</f>
        <v/>
      </c>
    </row>
    <row r="10">
      <c r="A10" s="89" t="inlineStr">
        <is>
          <t>MTR-000005</t>
        </is>
      </c>
      <c r="B10" s="90" t="n"/>
      <c r="C10" s="91" t="n"/>
      <c r="D10" s="91" t="n"/>
      <c r="E10" s="92" t="n"/>
      <c r="F10" s="92" t="n"/>
      <c r="G10" s="91" t="n"/>
      <c r="H10" s="91" t="n"/>
      <c r="I10" s="91" t="n"/>
      <c r="J10" s="91" t="n"/>
      <c r="K10" s="91" t="n"/>
      <c r="L10" s="92" t="n"/>
      <c r="M10" s="91" t="n"/>
      <c r="N10" s="91" t="n"/>
      <c r="O10" s="91" t="n"/>
      <c r="P10" s="93" t="str">
        <f>IF(Z10=0,"",SUMIFS('ITENS_MTR'!$I$6:$I$1005,'ITENS_MTR'!$S$6:$S$1005,A10,'ITENS_MTR'!$Y$6:$Y$1005,1))</f>
        <v/>
      </c>
      <c r="Q10" s="93" t="str">
        <f>IF(Z10=0,"",SUMIFS('RECEBIMENTOS'!$H$6:$H$1005,'RECEBIMENTOS'!$B$6:$B$1005,A10,'RECEBIMENTOS'!$X$6:$X$1005,1))</f>
        <v/>
      </c>
      <c r="R10" s="93" t="str">
        <f>IF(Z10=0,"",SUMIFS('VÍNCULOS_CDF'!$H$6:$H$1005,'VÍNCULOS_CDF'!$D$6:$D$1005,A10,'VÍNCULOS_CDF'!$V$6:$V$1005,1))</f>
        <v/>
      </c>
      <c r="S10" s="94" t="str">
        <f>IF(Z10=0,"",IF(AA10=1,"Cancelado (informado)",IF(AE10=1,"Cadastro incompleto",IF(OR(AC10=1,AD10=1,AF10&gt;0,AH10&gt;0,AK10&gt;0,AL10&gt;0),"Informação a revisar",IF(AN10=0,"Aguardando recebimento",IF(N(R10)=0,"Aguardando CDF",IF(AJ10&lt;N(W10),"Vínculo de CDF parcial",IF(AO10=0,"CDF localizado, a conferir","Documentação conferida"))))))))</f>
        <v/>
      </c>
      <c r="T10" s="94" t="str">
        <f>IF(Z10=0,"",IF(S10="Cadastro incompleto","MTR INCOMPLETO",IF(S10="Informação a revisar",IF(AND(AH10&gt;0,AC10=0,AD10=0,AF10=0,AK10=0,AL10=0),"QUANTIDADE A REVISAR","IDENTIFICAÇÃO A REVISAR"),IF(S10="Aguardando recebimento","RECEBIMENTO NÃO CONFIRMADO",IF(S10="Aguardando CDF","CDF NÃO LOCALIZADO",IF(S10="Vínculo de CDF parcial","VÍNCULO INCOMPLETO",IF(S10="CDF localizado, a conferir","CDF A CONFERIR","")))))))</f>
        <v/>
      </c>
      <c r="U10" s="95" t="str">
        <f>IF(T10="","",IF(AQ10="","Não calculável",IF(AQ10&gt;TODAY(),"Data futura",TODAY()-AQ10)))</f>
        <v/>
      </c>
      <c r="V10" s="93" t="str">
        <f>IF(Z10=0,"",SUMIFS('RECEBIMENTOS'!$H$6:$H$1005,'RECEBIMENTOS'!$B$6:$B$1005,A10,'RECEBIMENTOS'!$Z$6:$Z$1005,1))</f>
        <v/>
      </c>
      <c r="W10" s="95" t="str">
        <f>IF(Z10=0,"",COUNTIFS('ITENS_MTR'!$S$6:$S$1005,A10,'ITENS_MTR'!$R$6:$R$1005,1))</f>
        <v/>
      </c>
      <c r="X10" s="94" t="str">
        <f>IF(AC10=1,"POSSÍVEL DUPLICIDADE","")</f>
        <v/>
      </c>
      <c r="Y10" s="94" t="str">
        <f>IF(Z10=0,"",IF(AW10="","Nenhuma",LEFT(AW10,LEN(AW10)-2)))</f>
        <v/>
      </c>
      <c r="Z10" s="96">
        <f>IF(COUNTA(B10:O10)&gt;0,1,0)</f>
        <v>0</v>
      </c>
      <c r="AA10" s="96">
        <f>IF(AND(Z10=1,K10&lt;&gt;""),IF(TRIM(K10)=TRIM(cfg_cancel),1,0),0)</f>
        <v>0</v>
      </c>
      <c r="AB10" s="96" t="str">
        <f>IF(AND(Z10=1,B10&lt;&gt;""),C10&amp;"|"&amp;D10&amp;"|"&amp;G10&amp;"|"&amp;TRIM(B10),"")</f>
        <v/>
      </c>
      <c r="AC10" s="96">
        <f>IF(AB10="",0,IF(SUMPRODUCT(--($AB$6:$AB$505=AB10))&gt;1,1,0))</f>
        <v>0</v>
      </c>
      <c r="AD10" s="96">
        <f>IF(Z10=0,0,IF(OR(AND(G10&lt;&gt;"",ISNA(MATCH(G10,'CAD_UNIDADES'!$C$6:$C$105,0))),AND(H10&lt;&gt;"",ISNA(MATCH(H10,cmp_transp,0))),AND(I10&lt;&gt;"",ISNA(MATCH(I10,cmp_dest,0))),AND(E10&lt;&gt;"",NOT(ISNUMBER(E10))),AND(F10&lt;&gt;"",NOT(ISNUMBER(F10))),AND(ISNUMBER(E10),ISNUMBER(F10),F10&lt;E10)),1,0))</f>
        <v>0</v>
      </c>
      <c r="AE10" s="96">
        <f>IF(Z10=0,0,IF(OR(B10="",C10="",E10="",G10="",H10="",I10="",N(W10)=0),1,0))</f>
        <v>0</v>
      </c>
      <c r="AF10" s="96">
        <f>IF(Z10=0,0,COUNTIFS('ITENS_MTR'!$S$6:$S$1005,A10,'ITENS_MTR'!$AI$6:$AI$1005,1))</f>
        <v>0</v>
      </c>
      <c r="AG10" s="96">
        <f>IF(Z10=0,0,COUNTIFS('ITENS_MTR'!$S$6:$S$1005,A10,'ITENS_MTR'!$AJ$6:$AJ$1005,1))</f>
        <v>0</v>
      </c>
      <c r="AH10" s="96">
        <f>IF(Z10=0,0,COUNTIFS('ITENS_MTR'!$S$6:$S$1005,A10,'ITENS_MTR'!$AM$6:$AM$1005,1))</f>
        <v>0</v>
      </c>
      <c r="AI10" s="96">
        <f>IF(Z10=0,0,COUNTIFS('ITENS_MTR'!$S$6:$S$1005,A10,'ITENS_MTR'!$AO$6:$AO$1005,1))</f>
        <v>0</v>
      </c>
      <c r="AJ10" s="96">
        <f>IF(Z10=0,0,COUNTIFS('ITENS_MTR'!$S$6:$S$1005,A10,'ITENS_MTR'!$AN$6:$AN$1005,1))</f>
        <v>0</v>
      </c>
      <c r="AK10" s="96">
        <f>IF(Z10=0,0,COUNTIFS('RECEBIMENTOS'!$B$6:$B$1005,A10,'RECEBIMENTOS'!$Y$6:$Y$1005,1))</f>
        <v>0</v>
      </c>
      <c r="AL10" s="96">
        <f>IF(Z10=0,0,COUNTIFS('VÍNCULOS_CDF'!$D$6:$D$1005,A10,'VÍNCULOS_CDF'!$Y$6:$Y$1005,1))</f>
        <v>0</v>
      </c>
      <c r="AM10" s="96">
        <f>IF(Z10=0,0,COUNTIFS('RECEBIMENTOS'!$B$6:$B$1005,A10,'RECEBIMENTOS'!$Q$6:$Q$1005,1))</f>
        <v>0</v>
      </c>
      <c r="AN10" s="96">
        <f>IF(AND(Z10=1,N(W10)&gt;0,AG10=N(W10)),1,0)</f>
        <v>0</v>
      </c>
      <c r="AO10" s="96">
        <f>IF(AND(Z10=1,N(W10)&gt;0,AI10=N(W10)),1,0)</f>
        <v>0</v>
      </c>
      <c r="AP10" s="97">
        <f>IF(Z10=0,0,_xlfn.MAXIFS('RECEBIMENTOS'!$E$6:$E$1005,'RECEBIMENTOS'!$B$6:$B$1005,A10))</f>
        <v>0</v>
      </c>
      <c r="AQ10" s="97" t="str">
        <f>IF(T10="","",IF(T10="RECEBIMENTO NÃO CONFIRMADO",IF(ISNUMBER(F10),F10,IF(ISNUMBER(E10),E10,"")),IF(OR(T10="CDF NÃO LOCALIZADO",T10="VÍNCULO INCOMPLETO",T10="CDF A CONFERIR"),IF(AP10&gt;0,AP10,IF(ISNUMBER(E10),E10,"")),IF(ISNUMBER(E10),E10,""))))</f>
        <v/>
      </c>
      <c r="AR10" s="96">
        <f>IF(NOT(ISNUMBER(U10)),0,IF(T10="RECEBIMENTO NÃO CONFIRMADO",IF(AND(ISNUMBER(cfg_rec),U10&gt;cfg_rec),1,0),IF(OR(T10="CDF NÃO LOCALIZADO",T10="VÍNCULO INCOMPLETO",T10="CDF A CONFERIR"),IF(AND(ISNUMBER(cfg_cdf),U10&gt;cfg_cdf),1,0),0)))</f>
        <v>0</v>
      </c>
      <c r="AS10" s="96" t="str">
        <f>IF(T10="","",IF(AR10=1,"Alta",IFERROR(INDEX(cfg_pp,MATCH(T10,cfg_pt,0))&amp;"","Média")))</f>
        <v/>
      </c>
      <c r="AT10" s="96" t="str">
        <f>IF(T10="","",IFERROR(INDEX(cfg_pv,MATCH(T10,cfg_pt,0))&amp;"",""))</f>
        <v/>
      </c>
      <c r="AU10" s="96" t="str">
        <f>IF(T10="","",IF(AS10="Alta",1,IF(AS10="Média",2,3))*1000000000+(999999-IF(ISNUMBER(U10),MIN(U10,999999),0))*1000+5)</f>
        <v/>
      </c>
      <c r="AV10" s="96">
        <f>IF(T10&lt;&gt;"",1,0)</f>
        <v>0</v>
      </c>
      <c r="AW10" s="96" t="str">
        <f>IF(Z10=0,"",IF(AA10=1,"Cancelamento informado; ","")&amp;IF(AE10=1,"Campos essenciais ou itens faltando; ","")&amp;IF(AC10=1,"Possível duplicidade do número; ","")&amp;IF(AD10=1,"Cadastro ou datas a revisar; ","")&amp;IF(AF10&gt;0,"Item de resíduo com dado a revisar; ","")&amp;IF(AH10&gt;0,"Diferença de quantidade a analisar; ","")&amp;IF(AK10&gt;0,"Recebimento com alerta; ","")&amp;IF(AL10&gt;0,"Vínculo de CDF com alerta; ","")&amp;IF(AND(AA10=0,AN10=0),"Recebimento não confirmado; ","")&amp;IF(AND(AA10=0,AN10=1,AO10=0),"CDF pendente ou a conferir; ",""))</f>
        <v/>
      </c>
      <c r="AX10" s="96">
        <f>IF(Z10=0,0,IF(AND(OR(f_ini="",AND(ISNUMBER(E10),E10&gt;=f_ini)),OR(f_fim="",AND(ISNUMBER(E10),E10&lt;=f_fim)),OR(f_un="",f_un="(Todas)",G10=f_un),OR(f_tr="",f_tr="(Todos)",H10=f_tr),OR(f_de="",f_de="(Todos)",I10=f_de),OR(f_sit="",f_sit="(Todas)",S10=f_sit)),1,0))</f>
        <v>0</v>
      </c>
      <c r="AY10" s="96">
        <f>IF(AX10=0,0,IF(OR(f_res="",f_res="(Todos)"),1,IF(COUNTIFS('ITENS_MTR'!$S$6:$S$1005,A10,'ITENS_MTR'!$C$6:$C$1005,f_res)&gt;0,1,0)))</f>
        <v>0</v>
      </c>
      <c r="AZ10" s="97" t="str">
        <f>IF(ISNUMBER(E10),DATE(YEAR(E10),MONTH(E10),1),"")</f>
        <v/>
      </c>
      <c r="BA10" s="96">
        <f>IF(Z10=0,0,IF(AND(OR(r_ini="",AND(ISNUMBER(E10),E10&gt;=r_ini)),OR(r_fim="",AND(ISNUMBER(E10),E10&lt;=r_fim)),OR(r_un="",r_un="(Todas)",G10=r_un),OR(r_de="",r_de="(Todos)",I10=r_de)),1,0))</f>
        <v>0</v>
      </c>
      <c r="BB10" s="96" t="str">
        <f>IF(BA10=1,COUNTIF($BA$6:BA10,1),"")</f>
        <v/>
      </c>
      <c r="BC10" s="96" t="str">
        <f>IF(AND(AU10&lt;&gt;"",OR(r_un="",r_un="(Todas)",G10=r_un),OR(r_de="",r_de="(Todos)",I10=r_de)),AU10,"")</f>
        <v/>
      </c>
      <c r="BD10" s="96" t="str">
        <f>IF(Z10=1,A10&amp;" | nº "&amp;IF(B10="","(sem número)",B10)&amp;" | "&amp;IF(G10="","(sem unidade)",G10),"")</f>
        <v/>
      </c>
      <c r="BE10" s="96" t="str">
        <f>IF(Z10=1,COUNTIF($Z$6:Z10,1),"")</f>
        <v/>
      </c>
      <c r="BF10" s="96" t="str">
        <f>IF(T10="","",IF(T10="RECEBIMENTO NÃO CONFIRMADO","Transp.: "&amp;H10&amp;" | Dest.: "&amp;I10,IF(OR(T10="CDF NÃO LOCALIZADO",T10="VÍNCULO INCOMPLETO",T10="CDF A CONFERIR"),"Dest.: "&amp;I10,"Gerador: "&amp;G10)))</f>
        <v/>
      </c>
    </row>
    <row r="11">
      <c r="A11" s="89" t="inlineStr">
        <is>
          <t>MTR-000006</t>
        </is>
      </c>
      <c r="B11" s="90" t="n"/>
      <c r="C11" s="91" t="n"/>
      <c r="D11" s="91" t="n"/>
      <c r="E11" s="92" t="n"/>
      <c r="F11" s="92" t="n"/>
      <c r="G11" s="91" t="n"/>
      <c r="H11" s="91" t="n"/>
      <c r="I11" s="91" t="n"/>
      <c r="J11" s="91" t="n"/>
      <c r="K11" s="91" t="n"/>
      <c r="L11" s="92" t="n"/>
      <c r="M11" s="91" t="n"/>
      <c r="N11" s="91" t="n"/>
      <c r="O11" s="91" t="n"/>
      <c r="P11" s="93" t="str">
        <f>IF(Z11=0,"",SUMIFS('ITENS_MTR'!$I$6:$I$1005,'ITENS_MTR'!$S$6:$S$1005,A11,'ITENS_MTR'!$Y$6:$Y$1005,1))</f>
        <v/>
      </c>
      <c r="Q11" s="93" t="str">
        <f>IF(Z11=0,"",SUMIFS('RECEBIMENTOS'!$H$6:$H$1005,'RECEBIMENTOS'!$B$6:$B$1005,A11,'RECEBIMENTOS'!$X$6:$X$1005,1))</f>
        <v/>
      </c>
      <c r="R11" s="93" t="str">
        <f>IF(Z11=0,"",SUMIFS('VÍNCULOS_CDF'!$H$6:$H$1005,'VÍNCULOS_CDF'!$D$6:$D$1005,A11,'VÍNCULOS_CDF'!$V$6:$V$1005,1))</f>
        <v/>
      </c>
      <c r="S11" s="94" t="str">
        <f>IF(Z11=0,"",IF(AA11=1,"Cancelado (informado)",IF(AE11=1,"Cadastro incompleto",IF(OR(AC11=1,AD11=1,AF11&gt;0,AH11&gt;0,AK11&gt;0,AL11&gt;0),"Informação a revisar",IF(AN11=0,"Aguardando recebimento",IF(N(R11)=0,"Aguardando CDF",IF(AJ11&lt;N(W11),"Vínculo de CDF parcial",IF(AO11=0,"CDF localizado, a conferir","Documentação conferida"))))))))</f>
        <v/>
      </c>
      <c r="T11" s="94" t="str">
        <f>IF(Z11=0,"",IF(S11="Cadastro incompleto","MTR INCOMPLETO",IF(S11="Informação a revisar",IF(AND(AH11&gt;0,AC11=0,AD11=0,AF11=0,AK11=0,AL11=0),"QUANTIDADE A REVISAR","IDENTIFICAÇÃO A REVISAR"),IF(S11="Aguardando recebimento","RECEBIMENTO NÃO CONFIRMADO",IF(S11="Aguardando CDF","CDF NÃO LOCALIZADO",IF(S11="Vínculo de CDF parcial","VÍNCULO INCOMPLETO",IF(S11="CDF localizado, a conferir","CDF A CONFERIR","")))))))</f>
        <v/>
      </c>
      <c r="U11" s="95" t="str">
        <f>IF(T11="","",IF(AQ11="","Não calculável",IF(AQ11&gt;TODAY(),"Data futura",TODAY()-AQ11)))</f>
        <v/>
      </c>
      <c r="V11" s="93" t="str">
        <f>IF(Z11=0,"",SUMIFS('RECEBIMENTOS'!$H$6:$H$1005,'RECEBIMENTOS'!$B$6:$B$1005,A11,'RECEBIMENTOS'!$Z$6:$Z$1005,1))</f>
        <v/>
      </c>
      <c r="W11" s="95" t="str">
        <f>IF(Z11=0,"",COUNTIFS('ITENS_MTR'!$S$6:$S$1005,A11,'ITENS_MTR'!$R$6:$R$1005,1))</f>
        <v/>
      </c>
      <c r="X11" s="94" t="str">
        <f>IF(AC11=1,"POSSÍVEL DUPLICIDADE","")</f>
        <v/>
      </c>
      <c r="Y11" s="94" t="str">
        <f>IF(Z11=0,"",IF(AW11="","Nenhuma",LEFT(AW11,LEN(AW11)-2)))</f>
        <v/>
      </c>
      <c r="Z11" s="96">
        <f>IF(COUNTA(B11:O11)&gt;0,1,0)</f>
        <v>0</v>
      </c>
      <c r="AA11" s="96">
        <f>IF(AND(Z11=1,K11&lt;&gt;""),IF(TRIM(K11)=TRIM(cfg_cancel),1,0),0)</f>
        <v>0</v>
      </c>
      <c r="AB11" s="96" t="str">
        <f>IF(AND(Z11=1,B11&lt;&gt;""),C11&amp;"|"&amp;D11&amp;"|"&amp;G11&amp;"|"&amp;TRIM(B11),"")</f>
        <v/>
      </c>
      <c r="AC11" s="96">
        <f>IF(AB11="",0,IF(SUMPRODUCT(--($AB$6:$AB$505=AB11))&gt;1,1,0))</f>
        <v>0</v>
      </c>
      <c r="AD11" s="96">
        <f>IF(Z11=0,0,IF(OR(AND(G11&lt;&gt;"",ISNA(MATCH(G11,'CAD_UNIDADES'!$C$6:$C$105,0))),AND(H11&lt;&gt;"",ISNA(MATCH(H11,cmp_transp,0))),AND(I11&lt;&gt;"",ISNA(MATCH(I11,cmp_dest,0))),AND(E11&lt;&gt;"",NOT(ISNUMBER(E11))),AND(F11&lt;&gt;"",NOT(ISNUMBER(F11))),AND(ISNUMBER(E11),ISNUMBER(F11),F11&lt;E11)),1,0))</f>
        <v>0</v>
      </c>
      <c r="AE11" s="96">
        <f>IF(Z11=0,0,IF(OR(B11="",C11="",E11="",G11="",H11="",I11="",N(W11)=0),1,0))</f>
        <v>0</v>
      </c>
      <c r="AF11" s="96">
        <f>IF(Z11=0,0,COUNTIFS('ITENS_MTR'!$S$6:$S$1005,A11,'ITENS_MTR'!$AI$6:$AI$1005,1))</f>
        <v>0</v>
      </c>
      <c r="AG11" s="96">
        <f>IF(Z11=0,0,COUNTIFS('ITENS_MTR'!$S$6:$S$1005,A11,'ITENS_MTR'!$AJ$6:$AJ$1005,1))</f>
        <v>0</v>
      </c>
      <c r="AH11" s="96">
        <f>IF(Z11=0,0,COUNTIFS('ITENS_MTR'!$S$6:$S$1005,A11,'ITENS_MTR'!$AM$6:$AM$1005,1))</f>
        <v>0</v>
      </c>
      <c r="AI11" s="96">
        <f>IF(Z11=0,0,COUNTIFS('ITENS_MTR'!$S$6:$S$1005,A11,'ITENS_MTR'!$AO$6:$AO$1005,1))</f>
        <v>0</v>
      </c>
      <c r="AJ11" s="96">
        <f>IF(Z11=0,0,COUNTIFS('ITENS_MTR'!$S$6:$S$1005,A11,'ITENS_MTR'!$AN$6:$AN$1005,1))</f>
        <v>0</v>
      </c>
      <c r="AK11" s="96">
        <f>IF(Z11=0,0,COUNTIFS('RECEBIMENTOS'!$B$6:$B$1005,A11,'RECEBIMENTOS'!$Y$6:$Y$1005,1))</f>
        <v>0</v>
      </c>
      <c r="AL11" s="96">
        <f>IF(Z11=0,0,COUNTIFS('VÍNCULOS_CDF'!$D$6:$D$1005,A11,'VÍNCULOS_CDF'!$Y$6:$Y$1005,1))</f>
        <v>0</v>
      </c>
      <c r="AM11" s="96">
        <f>IF(Z11=0,0,COUNTIFS('RECEBIMENTOS'!$B$6:$B$1005,A11,'RECEBIMENTOS'!$Q$6:$Q$1005,1))</f>
        <v>0</v>
      </c>
      <c r="AN11" s="96">
        <f>IF(AND(Z11=1,N(W11)&gt;0,AG11=N(W11)),1,0)</f>
        <v>0</v>
      </c>
      <c r="AO11" s="96">
        <f>IF(AND(Z11=1,N(W11)&gt;0,AI11=N(W11)),1,0)</f>
        <v>0</v>
      </c>
      <c r="AP11" s="97">
        <f>IF(Z11=0,0,_xlfn.MAXIFS('RECEBIMENTOS'!$E$6:$E$1005,'RECEBIMENTOS'!$B$6:$B$1005,A11))</f>
        <v>0</v>
      </c>
      <c r="AQ11" s="97" t="str">
        <f>IF(T11="","",IF(T11="RECEBIMENTO NÃO CONFIRMADO",IF(ISNUMBER(F11),F11,IF(ISNUMBER(E11),E11,"")),IF(OR(T11="CDF NÃO LOCALIZADO",T11="VÍNCULO INCOMPLETO",T11="CDF A CONFERIR"),IF(AP11&gt;0,AP11,IF(ISNUMBER(E11),E11,"")),IF(ISNUMBER(E11),E11,""))))</f>
        <v/>
      </c>
      <c r="AR11" s="96">
        <f>IF(NOT(ISNUMBER(U11)),0,IF(T11="RECEBIMENTO NÃO CONFIRMADO",IF(AND(ISNUMBER(cfg_rec),U11&gt;cfg_rec),1,0),IF(OR(T11="CDF NÃO LOCALIZADO",T11="VÍNCULO INCOMPLETO",T11="CDF A CONFERIR"),IF(AND(ISNUMBER(cfg_cdf),U11&gt;cfg_cdf),1,0),0)))</f>
        <v>0</v>
      </c>
      <c r="AS11" s="96" t="str">
        <f>IF(T11="","",IF(AR11=1,"Alta",IFERROR(INDEX(cfg_pp,MATCH(T11,cfg_pt,0))&amp;"","Média")))</f>
        <v/>
      </c>
      <c r="AT11" s="96" t="str">
        <f>IF(T11="","",IFERROR(INDEX(cfg_pv,MATCH(T11,cfg_pt,0))&amp;"",""))</f>
        <v/>
      </c>
      <c r="AU11" s="96" t="str">
        <f>IF(T11="","",IF(AS11="Alta",1,IF(AS11="Média",2,3))*1000000000+(999999-IF(ISNUMBER(U11),MIN(U11,999999),0))*1000+6)</f>
        <v/>
      </c>
      <c r="AV11" s="96">
        <f>IF(T11&lt;&gt;"",1,0)</f>
        <v>0</v>
      </c>
      <c r="AW11" s="96" t="str">
        <f>IF(Z11=0,"",IF(AA11=1,"Cancelamento informado; ","")&amp;IF(AE11=1,"Campos essenciais ou itens faltando; ","")&amp;IF(AC11=1,"Possível duplicidade do número; ","")&amp;IF(AD11=1,"Cadastro ou datas a revisar; ","")&amp;IF(AF11&gt;0,"Item de resíduo com dado a revisar; ","")&amp;IF(AH11&gt;0,"Diferença de quantidade a analisar; ","")&amp;IF(AK11&gt;0,"Recebimento com alerta; ","")&amp;IF(AL11&gt;0,"Vínculo de CDF com alerta; ","")&amp;IF(AND(AA11=0,AN11=0),"Recebimento não confirmado; ","")&amp;IF(AND(AA11=0,AN11=1,AO11=0),"CDF pendente ou a conferir; ",""))</f>
        <v/>
      </c>
      <c r="AX11" s="96">
        <f>IF(Z11=0,0,IF(AND(OR(f_ini="",AND(ISNUMBER(E11),E11&gt;=f_ini)),OR(f_fim="",AND(ISNUMBER(E11),E11&lt;=f_fim)),OR(f_un="",f_un="(Todas)",G11=f_un),OR(f_tr="",f_tr="(Todos)",H11=f_tr),OR(f_de="",f_de="(Todos)",I11=f_de),OR(f_sit="",f_sit="(Todas)",S11=f_sit)),1,0))</f>
        <v>0</v>
      </c>
      <c r="AY11" s="96">
        <f>IF(AX11=0,0,IF(OR(f_res="",f_res="(Todos)"),1,IF(COUNTIFS('ITENS_MTR'!$S$6:$S$1005,A11,'ITENS_MTR'!$C$6:$C$1005,f_res)&gt;0,1,0)))</f>
        <v>0</v>
      </c>
      <c r="AZ11" s="97" t="str">
        <f>IF(ISNUMBER(E11),DATE(YEAR(E11),MONTH(E11),1),"")</f>
        <v/>
      </c>
      <c r="BA11" s="96">
        <f>IF(Z11=0,0,IF(AND(OR(r_ini="",AND(ISNUMBER(E11),E11&gt;=r_ini)),OR(r_fim="",AND(ISNUMBER(E11),E11&lt;=r_fim)),OR(r_un="",r_un="(Todas)",G11=r_un),OR(r_de="",r_de="(Todos)",I11=r_de)),1,0))</f>
        <v>0</v>
      </c>
      <c r="BB11" s="96" t="str">
        <f>IF(BA11=1,COUNTIF($BA$6:BA11,1),"")</f>
        <v/>
      </c>
      <c r="BC11" s="96" t="str">
        <f>IF(AND(AU11&lt;&gt;"",OR(r_un="",r_un="(Todas)",G11=r_un),OR(r_de="",r_de="(Todos)",I11=r_de)),AU11,"")</f>
        <v/>
      </c>
      <c r="BD11" s="96" t="str">
        <f>IF(Z11=1,A11&amp;" | nº "&amp;IF(B11="","(sem número)",B11)&amp;" | "&amp;IF(G11="","(sem unidade)",G11),"")</f>
        <v/>
      </c>
      <c r="BE11" s="96" t="str">
        <f>IF(Z11=1,COUNTIF($Z$6:Z11,1),"")</f>
        <v/>
      </c>
      <c r="BF11" s="96" t="str">
        <f>IF(T11="","",IF(T11="RECEBIMENTO NÃO CONFIRMADO","Transp.: "&amp;H11&amp;" | Dest.: "&amp;I11,IF(OR(T11="CDF NÃO LOCALIZADO",T11="VÍNCULO INCOMPLETO",T11="CDF A CONFERIR"),"Dest.: "&amp;I11,"Gerador: "&amp;G11)))</f>
        <v/>
      </c>
    </row>
    <row r="12">
      <c r="A12" s="89" t="inlineStr">
        <is>
          <t>MTR-000007</t>
        </is>
      </c>
      <c r="B12" s="90" t="n"/>
      <c r="C12" s="91" t="n"/>
      <c r="D12" s="91" t="n"/>
      <c r="E12" s="92" t="n"/>
      <c r="F12" s="92" t="n"/>
      <c r="G12" s="91" t="n"/>
      <c r="H12" s="91" t="n"/>
      <c r="I12" s="91" t="n"/>
      <c r="J12" s="91" t="n"/>
      <c r="K12" s="91" t="n"/>
      <c r="L12" s="92" t="n"/>
      <c r="M12" s="91" t="n"/>
      <c r="N12" s="91" t="n"/>
      <c r="O12" s="91" t="n"/>
      <c r="P12" s="93" t="str">
        <f>IF(Z12=0,"",SUMIFS('ITENS_MTR'!$I$6:$I$1005,'ITENS_MTR'!$S$6:$S$1005,A12,'ITENS_MTR'!$Y$6:$Y$1005,1))</f>
        <v/>
      </c>
      <c r="Q12" s="93" t="str">
        <f>IF(Z12=0,"",SUMIFS('RECEBIMENTOS'!$H$6:$H$1005,'RECEBIMENTOS'!$B$6:$B$1005,A12,'RECEBIMENTOS'!$X$6:$X$1005,1))</f>
        <v/>
      </c>
      <c r="R12" s="93" t="str">
        <f>IF(Z12=0,"",SUMIFS('VÍNCULOS_CDF'!$H$6:$H$1005,'VÍNCULOS_CDF'!$D$6:$D$1005,A12,'VÍNCULOS_CDF'!$V$6:$V$1005,1))</f>
        <v/>
      </c>
      <c r="S12" s="94" t="str">
        <f>IF(Z12=0,"",IF(AA12=1,"Cancelado (informado)",IF(AE12=1,"Cadastro incompleto",IF(OR(AC12=1,AD12=1,AF12&gt;0,AH12&gt;0,AK12&gt;0,AL12&gt;0),"Informação a revisar",IF(AN12=0,"Aguardando recebimento",IF(N(R12)=0,"Aguardando CDF",IF(AJ12&lt;N(W12),"Vínculo de CDF parcial",IF(AO12=0,"CDF localizado, a conferir","Documentação conferida"))))))))</f>
        <v/>
      </c>
      <c r="T12" s="94" t="str">
        <f>IF(Z12=0,"",IF(S12="Cadastro incompleto","MTR INCOMPLETO",IF(S12="Informação a revisar",IF(AND(AH12&gt;0,AC12=0,AD12=0,AF12=0,AK12=0,AL12=0),"QUANTIDADE A REVISAR","IDENTIFICAÇÃO A REVISAR"),IF(S12="Aguardando recebimento","RECEBIMENTO NÃO CONFIRMADO",IF(S12="Aguardando CDF","CDF NÃO LOCALIZADO",IF(S12="Vínculo de CDF parcial","VÍNCULO INCOMPLETO",IF(S12="CDF localizado, a conferir","CDF A CONFERIR","")))))))</f>
        <v/>
      </c>
      <c r="U12" s="95" t="str">
        <f>IF(T12="","",IF(AQ12="","Não calculável",IF(AQ12&gt;TODAY(),"Data futura",TODAY()-AQ12)))</f>
        <v/>
      </c>
      <c r="V12" s="93" t="str">
        <f>IF(Z12=0,"",SUMIFS('RECEBIMENTOS'!$H$6:$H$1005,'RECEBIMENTOS'!$B$6:$B$1005,A12,'RECEBIMENTOS'!$Z$6:$Z$1005,1))</f>
        <v/>
      </c>
      <c r="W12" s="95" t="str">
        <f>IF(Z12=0,"",COUNTIFS('ITENS_MTR'!$S$6:$S$1005,A12,'ITENS_MTR'!$R$6:$R$1005,1))</f>
        <v/>
      </c>
      <c r="X12" s="94" t="str">
        <f>IF(AC12=1,"POSSÍVEL DUPLICIDADE","")</f>
        <v/>
      </c>
      <c r="Y12" s="94" t="str">
        <f>IF(Z12=0,"",IF(AW12="","Nenhuma",LEFT(AW12,LEN(AW12)-2)))</f>
        <v/>
      </c>
      <c r="Z12" s="96">
        <f>IF(COUNTA(B12:O12)&gt;0,1,0)</f>
        <v>0</v>
      </c>
      <c r="AA12" s="96">
        <f>IF(AND(Z12=1,K12&lt;&gt;""),IF(TRIM(K12)=TRIM(cfg_cancel),1,0),0)</f>
        <v>0</v>
      </c>
      <c r="AB12" s="96" t="str">
        <f>IF(AND(Z12=1,B12&lt;&gt;""),C12&amp;"|"&amp;D12&amp;"|"&amp;G12&amp;"|"&amp;TRIM(B12),"")</f>
        <v/>
      </c>
      <c r="AC12" s="96">
        <f>IF(AB12="",0,IF(SUMPRODUCT(--($AB$6:$AB$505=AB12))&gt;1,1,0))</f>
        <v>0</v>
      </c>
      <c r="AD12" s="96">
        <f>IF(Z12=0,0,IF(OR(AND(G12&lt;&gt;"",ISNA(MATCH(G12,'CAD_UNIDADES'!$C$6:$C$105,0))),AND(H12&lt;&gt;"",ISNA(MATCH(H12,cmp_transp,0))),AND(I12&lt;&gt;"",ISNA(MATCH(I12,cmp_dest,0))),AND(E12&lt;&gt;"",NOT(ISNUMBER(E12))),AND(F12&lt;&gt;"",NOT(ISNUMBER(F12))),AND(ISNUMBER(E12),ISNUMBER(F12),F12&lt;E12)),1,0))</f>
        <v>0</v>
      </c>
      <c r="AE12" s="96">
        <f>IF(Z12=0,0,IF(OR(B12="",C12="",E12="",G12="",H12="",I12="",N(W12)=0),1,0))</f>
        <v>0</v>
      </c>
      <c r="AF12" s="96">
        <f>IF(Z12=0,0,COUNTIFS('ITENS_MTR'!$S$6:$S$1005,A12,'ITENS_MTR'!$AI$6:$AI$1005,1))</f>
        <v>0</v>
      </c>
      <c r="AG12" s="96">
        <f>IF(Z12=0,0,COUNTIFS('ITENS_MTR'!$S$6:$S$1005,A12,'ITENS_MTR'!$AJ$6:$AJ$1005,1))</f>
        <v>0</v>
      </c>
      <c r="AH12" s="96">
        <f>IF(Z12=0,0,COUNTIFS('ITENS_MTR'!$S$6:$S$1005,A12,'ITENS_MTR'!$AM$6:$AM$1005,1))</f>
        <v>0</v>
      </c>
      <c r="AI12" s="96">
        <f>IF(Z12=0,0,COUNTIFS('ITENS_MTR'!$S$6:$S$1005,A12,'ITENS_MTR'!$AO$6:$AO$1005,1))</f>
        <v>0</v>
      </c>
      <c r="AJ12" s="96">
        <f>IF(Z12=0,0,COUNTIFS('ITENS_MTR'!$S$6:$S$1005,A12,'ITENS_MTR'!$AN$6:$AN$1005,1))</f>
        <v>0</v>
      </c>
      <c r="AK12" s="96">
        <f>IF(Z12=0,0,COUNTIFS('RECEBIMENTOS'!$B$6:$B$1005,A12,'RECEBIMENTOS'!$Y$6:$Y$1005,1))</f>
        <v>0</v>
      </c>
      <c r="AL12" s="96">
        <f>IF(Z12=0,0,COUNTIFS('VÍNCULOS_CDF'!$D$6:$D$1005,A12,'VÍNCULOS_CDF'!$Y$6:$Y$1005,1))</f>
        <v>0</v>
      </c>
      <c r="AM12" s="96">
        <f>IF(Z12=0,0,COUNTIFS('RECEBIMENTOS'!$B$6:$B$1005,A12,'RECEBIMENTOS'!$Q$6:$Q$1005,1))</f>
        <v>0</v>
      </c>
      <c r="AN12" s="96">
        <f>IF(AND(Z12=1,N(W12)&gt;0,AG12=N(W12)),1,0)</f>
        <v>0</v>
      </c>
      <c r="AO12" s="96">
        <f>IF(AND(Z12=1,N(W12)&gt;0,AI12=N(W12)),1,0)</f>
        <v>0</v>
      </c>
      <c r="AP12" s="97">
        <f>IF(Z12=0,0,_xlfn.MAXIFS('RECEBIMENTOS'!$E$6:$E$1005,'RECEBIMENTOS'!$B$6:$B$1005,A12))</f>
        <v>0</v>
      </c>
      <c r="AQ12" s="97" t="str">
        <f>IF(T12="","",IF(T12="RECEBIMENTO NÃO CONFIRMADO",IF(ISNUMBER(F12),F12,IF(ISNUMBER(E12),E12,"")),IF(OR(T12="CDF NÃO LOCALIZADO",T12="VÍNCULO INCOMPLETO",T12="CDF A CONFERIR"),IF(AP12&gt;0,AP12,IF(ISNUMBER(E12),E12,"")),IF(ISNUMBER(E12),E12,""))))</f>
        <v/>
      </c>
      <c r="AR12" s="96">
        <f>IF(NOT(ISNUMBER(U12)),0,IF(T12="RECEBIMENTO NÃO CONFIRMADO",IF(AND(ISNUMBER(cfg_rec),U12&gt;cfg_rec),1,0),IF(OR(T12="CDF NÃO LOCALIZADO",T12="VÍNCULO INCOMPLETO",T12="CDF A CONFERIR"),IF(AND(ISNUMBER(cfg_cdf),U12&gt;cfg_cdf),1,0),0)))</f>
        <v>0</v>
      </c>
      <c r="AS12" s="96" t="str">
        <f>IF(T12="","",IF(AR12=1,"Alta",IFERROR(INDEX(cfg_pp,MATCH(T12,cfg_pt,0))&amp;"","Média")))</f>
        <v/>
      </c>
      <c r="AT12" s="96" t="str">
        <f>IF(T12="","",IFERROR(INDEX(cfg_pv,MATCH(T12,cfg_pt,0))&amp;"",""))</f>
        <v/>
      </c>
      <c r="AU12" s="96" t="str">
        <f>IF(T12="","",IF(AS12="Alta",1,IF(AS12="Média",2,3))*1000000000+(999999-IF(ISNUMBER(U12),MIN(U12,999999),0))*1000+7)</f>
        <v/>
      </c>
      <c r="AV12" s="96">
        <f>IF(T12&lt;&gt;"",1,0)</f>
        <v>0</v>
      </c>
      <c r="AW12" s="96" t="str">
        <f>IF(Z12=0,"",IF(AA12=1,"Cancelamento informado; ","")&amp;IF(AE12=1,"Campos essenciais ou itens faltando; ","")&amp;IF(AC12=1,"Possível duplicidade do número; ","")&amp;IF(AD12=1,"Cadastro ou datas a revisar; ","")&amp;IF(AF12&gt;0,"Item de resíduo com dado a revisar; ","")&amp;IF(AH12&gt;0,"Diferença de quantidade a analisar; ","")&amp;IF(AK12&gt;0,"Recebimento com alerta; ","")&amp;IF(AL12&gt;0,"Vínculo de CDF com alerta; ","")&amp;IF(AND(AA12=0,AN12=0),"Recebimento não confirmado; ","")&amp;IF(AND(AA12=0,AN12=1,AO12=0),"CDF pendente ou a conferir; ",""))</f>
        <v/>
      </c>
      <c r="AX12" s="96">
        <f>IF(Z12=0,0,IF(AND(OR(f_ini="",AND(ISNUMBER(E12),E12&gt;=f_ini)),OR(f_fim="",AND(ISNUMBER(E12),E12&lt;=f_fim)),OR(f_un="",f_un="(Todas)",G12=f_un),OR(f_tr="",f_tr="(Todos)",H12=f_tr),OR(f_de="",f_de="(Todos)",I12=f_de),OR(f_sit="",f_sit="(Todas)",S12=f_sit)),1,0))</f>
        <v>0</v>
      </c>
      <c r="AY12" s="96">
        <f>IF(AX12=0,0,IF(OR(f_res="",f_res="(Todos)"),1,IF(COUNTIFS('ITENS_MTR'!$S$6:$S$1005,A12,'ITENS_MTR'!$C$6:$C$1005,f_res)&gt;0,1,0)))</f>
        <v>0</v>
      </c>
      <c r="AZ12" s="97" t="str">
        <f>IF(ISNUMBER(E12),DATE(YEAR(E12),MONTH(E12),1),"")</f>
        <v/>
      </c>
      <c r="BA12" s="96">
        <f>IF(Z12=0,0,IF(AND(OR(r_ini="",AND(ISNUMBER(E12),E12&gt;=r_ini)),OR(r_fim="",AND(ISNUMBER(E12),E12&lt;=r_fim)),OR(r_un="",r_un="(Todas)",G12=r_un),OR(r_de="",r_de="(Todos)",I12=r_de)),1,0))</f>
        <v>0</v>
      </c>
      <c r="BB12" s="96" t="str">
        <f>IF(BA12=1,COUNTIF($BA$6:BA12,1),"")</f>
        <v/>
      </c>
      <c r="BC12" s="96" t="str">
        <f>IF(AND(AU12&lt;&gt;"",OR(r_un="",r_un="(Todas)",G12=r_un),OR(r_de="",r_de="(Todos)",I12=r_de)),AU12,"")</f>
        <v/>
      </c>
      <c r="BD12" s="96" t="str">
        <f>IF(Z12=1,A12&amp;" | nº "&amp;IF(B12="","(sem número)",B12)&amp;" | "&amp;IF(G12="","(sem unidade)",G12),"")</f>
        <v/>
      </c>
      <c r="BE12" s="96" t="str">
        <f>IF(Z12=1,COUNTIF($Z$6:Z12,1),"")</f>
        <v/>
      </c>
      <c r="BF12" s="96" t="str">
        <f>IF(T12="","",IF(T12="RECEBIMENTO NÃO CONFIRMADO","Transp.: "&amp;H12&amp;" | Dest.: "&amp;I12,IF(OR(T12="CDF NÃO LOCALIZADO",T12="VÍNCULO INCOMPLETO",T12="CDF A CONFERIR"),"Dest.: "&amp;I12,"Gerador: "&amp;G12)))</f>
        <v/>
      </c>
    </row>
    <row r="13">
      <c r="A13" s="89" t="inlineStr">
        <is>
          <t>MTR-000008</t>
        </is>
      </c>
      <c r="B13" s="90" t="n"/>
      <c r="C13" s="91" t="n"/>
      <c r="D13" s="91" t="n"/>
      <c r="E13" s="92" t="n"/>
      <c r="F13" s="92" t="n"/>
      <c r="G13" s="91" t="n"/>
      <c r="H13" s="91" t="n"/>
      <c r="I13" s="91" t="n"/>
      <c r="J13" s="91" t="n"/>
      <c r="K13" s="91" t="n"/>
      <c r="L13" s="92" t="n"/>
      <c r="M13" s="91" t="n"/>
      <c r="N13" s="91" t="n"/>
      <c r="O13" s="91" t="n"/>
      <c r="P13" s="93" t="str">
        <f>IF(Z13=0,"",SUMIFS('ITENS_MTR'!$I$6:$I$1005,'ITENS_MTR'!$S$6:$S$1005,A13,'ITENS_MTR'!$Y$6:$Y$1005,1))</f>
        <v/>
      </c>
      <c r="Q13" s="93" t="str">
        <f>IF(Z13=0,"",SUMIFS('RECEBIMENTOS'!$H$6:$H$1005,'RECEBIMENTOS'!$B$6:$B$1005,A13,'RECEBIMENTOS'!$X$6:$X$1005,1))</f>
        <v/>
      </c>
      <c r="R13" s="93" t="str">
        <f>IF(Z13=0,"",SUMIFS('VÍNCULOS_CDF'!$H$6:$H$1005,'VÍNCULOS_CDF'!$D$6:$D$1005,A13,'VÍNCULOS_CDF'!$V$6:$V$1005,1))</f>
        <v/>
      </c>
      <c r="S13" s="94" t="str">
        <f>IF(Z13=0,"",IF(AA13=1,"Cancelado (informado)",IF(AE13=1,"Cadastro incompleto",IF(OR(AC13=1,AD13=1,AF13&gt;0,AH13&gt;0,AK13&gt;0,AL13&gt;0),"Informação a revisar",IF(AN13=0,"Aguardando recebimento",IF(N(R13)=0,"Aguardando CDF",IF(AJ13&lt;N(W13),"Vínculo de CDF parcial",IF(AO13=0,"CDF localizado, a conferir","Documentação conferida"))))))))</f>
        <v/>
      </c>
      <c r="T13" s="94" t="str">
        <f>IF(Z13=0,"",IF(S13="Cadastro incompleto","MTR INCOMPLETO",IF(S13="Informação a revisar",IF(AND(AH13&gt;0,AC13=0,AD13=0,AF13=0,AK13=0,AL13=0),"QUANTIDADE A REVISAR","IDENTIFICAÇÃO A REVISAR"),IF(S13="Aguardando recebimento","RECEBIMENTO NÃO CONFIRMADO",IF(S13="Aguardando CDF","CDF NÃO LOCALIZADO",IF(S13="Vínculo de CDF parcial","VÍNCULO INCOMPLETO",IF(S13="CDF localizado, a conferir","CDF A CONFERIR","")))))))</f>
        <v/>
      </c>
      <c r="U13" s="95" t="str">
        <f>IF(T13="","",IF(AQ13="","Não calculável",IF(AQ13&gt;TODAY(),"Data futura",TODAY()-AQ13)))</f>
        <v/>
      </c>
      <c r="V13" s="93" t="str">
        <f>IF(Z13=0,"",SUMIFS('RECEBIMENTOS'!$H$6:$H$1005,'RECEBIMENTOS'!$B$6:$B$1005,A13,'RECEBIMENTOS'!$Z$6:$Z$1005,1))</f>
        <v/>
      </c>
      <c r="W13" s="95" t="str">
        <f>IF(Z13=0,"",COUNTIFS('ITENS_MTR'!$S$6:$S$1005,A13,'ITENS_MTR'!$R$6:$R$1005,1))</f>
        <v/>
      </c>
      <c r="X13" s="94" t="str">
        <f>IF(AC13=1,"POSSÍVEL DUPLICIDADE","")</f>
        <v/>
      </c>
      <c r="Y13" s="94" t="str">
        <f>IF(Z13=0,"",IF(AW13="","Nenhuma",LEFT(AW13,LEN(AW13)-2)))</f>
        <v/>
      </c>
      <c r="Z13" s="96">
        <f>IF(COUNTA(B13:O13)&gt;0,1,0)</f>
        <v>0</v>
      </c>
      <c r="AA13" s="96">
        <f>IF(AND(Z13=1,K13&lt;&gt;""),IF(TRIM(K13)=TRIM(cfg_cancel),1,0),0)</f>
        <v>0</v>
      </c>
      <c r="AB13" s="96" t="str">
        <f>IF(AND(Z13=1,B13&lt;&gt;""),C13&amp;"|"&amp;D13&amp;"|"&amp;G13&amp;"|"&amp;TRIM(B13),"")</f>
        <v/>
      </c>
      <c r="AC13" s="96">
        <f>IF(AB13="",0,IF(SUMPRODUCT(--($AB$6:$AB$505=AB13))&gt;1,1,0))</f>
        <v>0</v>
      </c>
      <c r="AD13" s="96">
        <f>IF(Z13=0,0,IF(OR(AND(G13&lt;&gt;"",ISNA(MATCH(G13,'CAD_UNIDADES'!$C$6:$C$105,0))),AND(H13&lt;&gt;"",ISNA(MATCH(H13,cmp_transp,0))),AND(I13&lt;&gt;"",ISNA(MATCH(I13,cmp_dest,0))),AND(E13&lt;&gt;"",NOT(ISNUMBER(E13))),AND(F13&lt;&gt;"",NOT(ISNUMBER(F13))),AND(ISNUMBER(E13),ISNUMBER(F13),F13&lt;E13)),1,0))</f>
        <v>0</v>
      </c>
      <c r="AE13" s="96">
        <f>IF(Z13=0,0,IF(OR(B13="",C13="",E13="",G13="",H13="",I13="",N(W13)=0),1,0))</f>
        <v>0</v>
      </c>
      <c r="AF13" s="96">
        <f>IF(Z13=0,0,COUNTIFS('ITENS_MTR'!$S$6:$S$1005,A13,'ITENS_MTR'!$AI$6:$AI$1005,1))</f>
        <v>0</v>
      </c>
      <c r="AG13" s="96">
        <f>IF(Z13=0,0,COUNTIFS('ITENS_MTR'!$S$6:$S$1005,A13,'ITENS_MTR'!$AJ$6:$AJ$1005,1))</f>
        <v>0</v>
      </c>
      <c r="AH13" s="96">
        <f>IF(Z13=0,0,COUNTIFS('ITENS_MTR'!$S$6:$S$1005,A13,'ITENS_MTR'!$AM$6:$AM$1005,1))</f>
        <v>0</v>
      </c>
      <c r="AI13" s="96">
        <f>IF(Z13=0,0,COUNTIFS('ITENS_MTR'!$S$6:$S$1005,A13,'ITENS_MTR'!$AO$6:$AO$1005,1))</f>
        <v>0</v>
      </c>
      <c r="AJ13" s="96">
        <f>IF(Z13=0,0,COUNTIFS('ITENS_MTR'!$S$6:$S$1005,A13,'ITENS_MTR'!$AN$6:$AN$1005,1))</f>
        <v>0</v>
      </c>
      <c r="AK13" s="96">
        <f>IF(Z13=0,0,COUNTIFS('RECEBIMENTOS'!$B$6:$B$1005,A13,'RECEBIMENTOS'!$Y$6:$Y$1005,1))</f>
        <v>0</v>
      </c>
      <c r="AL13" s="96">
        <f>IF(Z13=0,0,COUNTIFS('VÍNCULOS_CDF'!$D$6:$D$1005,A13,'VÍNCULOS_CDF'!$Y$6:$Y$1005,1))</f>
        <v>0</v>
      </c>
      <c r="AM13" s="96">
        <f>IF(Z13=0,0,COUNTIFS('RECEBIMENTOS'!$B$6:$B$1005,A13,'RECEBIMENTOS'!$Q$6:$Q$1005,1))</f>
        <v>0</v>
      </c>
      <c r="AN13" s="96">
        <f>IF(AND(Z13=1,N(W13)&gt;0,AG13=N(W13)),1,0)</f>
        <v>0</v>
      </c>
      <c r="AO13" s="96">
        <f>IF(AND(Z13=1,N(W13)&gt;0,AI13=N(W13)),1,0)</f>
        <v>0</v>
      </c>
      <c r="AP13" s="97">
        <f>IF(Z13=0,0,_xlfn.MAXIFS('RECEBIMENTOS'!$E$6:$E$1005,'RECEBIMENTOS'!$B$6:$B$1005,A13))</f>
        <v>0</v>
      </c>
      <c r="AQ13" s="97" t="str">
        <f>IF(T13="","",IF(T13="RECEBIMENTO NÃO CONFIRMADO",IF(ISNUMBER(F13),F13,IF(ISNUMBER(E13),E13,"")),IF(OR(T13="CDF NÃO LOCALIZADO",T13="VÍNCULO INCOMPLETO",T13="CDF A CONFERIR"),IF(AP13&gt;0,AP13,IF(ISNUMBER(E13),E13,"")),IF(ISNUMBER(E13),E13,""))))</f>
        <v/>
      </c>
      <c r="AR13" s="96">
        <f>IF(NOT(ISNUMBER(U13)),0,IF(T13="RECEBIMENTO NÃO CONFIRMADO",IF(AND(ISNUMBER(cfg_rec),U13&gt;cfg_rec),1,0),IF(OR(T13="CDF NÃO LOCALIZADO",T13="VÍNCULO INCOMPLETO",T13="CDF A CONFERIR"),IF(AND(ISNUMBER(cfg_cdf),U13&gt;cfg_cdf),1,0),0)))</f>
        <v>0</v>
      </c>
      <c r="AS13" s="96" t="str">
        <f>IF(T13="","",IF(AR13=1,"Alta",IFERROR(INDEX(cfg_pp,MATCH(T13,cfg_pt,0))&amp;"","Média")))</f>
        <v/>
      </c>
      <c r="AT13" s="96" t="str">
        <f>IF(T13="","",IFERROR(INDEX(cfg_pv,MATCH(T13,cfg_pt,0))&amp;"",""))</f>
        <v/>
      </c>
      <c r="AU13" s="96" t="str">
        <f>IF(T13="","",IF(AS13="Alta",1,IF(AS13="Média",2,3))*1000000000+(999999-IF(ISNUMBER(U13),MIN(U13,999999),0))*1000+8)</f>
        <v/>
      </c>
      <c r="AV13" s="96">
        <f>IF(T13&lt;&gt;"",1,0)</f>
        <v>0</v>
      </c>
      <c r="AW13" s="96" t="str">
        <f>IF(Z13=0,"",IF(AA13=1,"Cancelamento informado; ","")&amp;IF(AE13=1,"Campos essenciais ou itens faltando; ","")&amp;IF(AC13=1,"Possível duplicidade do número; ","")&amp;IF(AD13=1,"Cadastro ou datas a revisar; ","")&amp;IF(AF13&gt;0,"Item de resíduo com dado a revisar; ","")&amp;IF(AH13&gt;0,"Diferença de quantidade a analisar; ","")&amp;IF(AK13&gt;0,"Recebimento com alerta; ","")&amp;IF(AL13&gt;0,"Vínculo de CDF com alerta; ","")&amp;IF(AND(AA13=0,AN13=0),"Recebimento não confirmado; ","")&amp;IF(AND(AA13=0,AN13=1,AO13=0),"CDF pendente ou a conferir; ",""))</f>
        <v/>
      </c>
      <c r="AX13" s="96">
        <f>IF(Z13=0,0,IF(AND(OR(f_ini="",AND(ISNUMBER(E13),E13&gt;=f_ini)),OR(f_fim="",AND(ISNUMBER(E13),E13&lt;=f_fim)),OR(f_un="",f_un="(Todas)",G13=f_un),OR(f_tr="",f_tr="(Todos)",H13=f_tr),OR(f_de="",f_de="(Todos)",I13=f_de),OR(f_sit="",f_sit="(Todas)",S13=f_sit)),1,0))</f>
        <v>0</v>
      </c>
      <c r="AY13" s="96">
        <f>IF(AX13=0,0,IF(OR(f_res="",f_res="(Todos)"),1,IF(COUNTIFS('ITENS_MTR'!$S$6:$S$1005,A13,'ITENS_MTR'!$C$6:$C$1005,f_res)&gt;0,1,0)))</f>
        <v>0</v>
      </c>
      <c r="AZ13" s="97" t="str">
        <f>IF(ISNUMBER(E13),DATE(YEAR(E13),MONTH(E13),1),"")</f>
        <v/>
      </c>
      <c r="BA13" s="96">
        <f>IF(Z13=0,0,IF(AND(OR(r_ini="",AND(ISNUMBER(E13),E13&gt;=r_ini)),OR(r_fim="",AND(ISNUMBER(E13),E13&lt;=r_fim)),OR(r_un="",r_un="(Todas)",G13=r_un),OR(r_de="",r_de="(Todos)",I13=r_de)),1,0))</f>
        <v>0</v>
      </c>
      <c r="BB13" s="96" t="str">
        <f>IF(BA13=1,COUNTIF($BA$6:BA13,1),"")</f>
        <v/>
      </c>
      <c r="BC13" s="96" t="str">
        <f>IF(AND(AU13&lt;&gt;"",OR(r_un="",r_un="(Todas)",G13=r_un),OR(r_de="",r_de="(Todos)",I13=r_de)),AU13,"")</f>
        <v/>
      </c>
      <c r="BD13" s="96" t="str">
        <f>IF(Z13=1,A13&amp;" | nº "&amp;IF(B13="","(sem número)",B13)&amp;" | "&amp;IF(G13="","(sem unidade)",G13),"")</f>
        <v/>
      </c>
      <c r="BE13" s="96" t="str">
        <f>IF(Z13=1,COUNTIF($Z$6:Z13,1),"")</f>
        <v/>
      </c>
      <c r="BF13" s="96" t="str">
        <f>IF(T13="","",IF(T13="RECEBIMENTO NÃO CONFIRMADO","Transp.: "&amp;H13&amp;" | Dest.: "&amp;I13,IF(OR(T13="CDF NÃO LOCALIZADO",T13="VÍNCULO INCOMPLETO",T13="CDF A CONFERIR"),"Dest.: "&amp;I13,"Gerador: "&amp;G13)))</f>
        <v/>
      </c>
    </row>
    <row r="14">
      <c r="A14" s="89" t="inlineStr">
        <is>
          <t>MTR-000009</t>
        </is>
      </c>
      <c r="B14" s="90" t="n"/>
      <c r="C14" s="91" t="n"/>
      <c r="D14" s="91" t="n"/>
      <c r="E14" s="92" t="n"/>
      <c r="F14" s="92" t="n"/>
      <c r="G14" s="91" t="n"/>
      <c r="H14" s="91" t="n"/>
      <c r="I14" s="91" t="n"/>
      <c r="J14" s="91" t="n"/>
      <c r="K14" s="91" t="n"/>
      <c r="L14" s="92" t="n"/>
      <c r="M14" s="91" t="n"/>
      <c r="N14" s="91" t="n"/>
      <c r="O14" s="91" t="n"/>
      <c r="P14" s="93" t="str">
        <f>IF(Z14=0,"",SUMIFS('ITENS_MTR'!$I$6:$I$1005,'ITENS_MTR'!$S$6:$S$1005,A14,'ITENS_MTR'!$Y$6:$Y$1005,1))</f>
        <v/>
      </c>
      <c r="Q14" s="93" t="str">
        <f>IF(Z14=0,"",SUMIFS('RECEBIMENTOS'!$H$6:$H$1005,'RECEBIMENTOS'!$B$6:$B$1005,A14,'RECEBIMENTOS'!$X$6:$X$1005,1))</f>
        <v/>
      </c>
      <c r="R14" s="93" t="str">
        <f>IF(Z14=0,"",SUMIFS('VÍNCULOS_CDF'!$H$6:$H$1005,'VÍNCULOS_CDF'!$D$6:$D$1005,A14,'VÍNCULOS_CDF'!$V$6:$V$1005,1))</f>
        <v/>
      </c>
      <c r="S14" s="94" t="str">
        <f>IF(Z14=0,"",IF(AA14=1,"Cancelado (informado)",IF(AE14=1,"Cadastro incompleto",IF(OR(AC14=1,AD14=1,AF14&gt;0,AH14&gt;0,AK14&gt;0,AL14&gt;0),"Informação a revisar",IF(AN14=0,"Aguardando recebimento",IF(N(R14)=0,"Aguardando CDF",IF(AJ14&lt;N(W14),"Vínculo de CDF parcial",IF(AO14=0,"CDF localizado, a conferir","Documentação conferida"))))))))</f>
        <v/>
      </c>
      <c r="T14" s="94" t="str">
        <f>IF(Z14=0,"",IF(S14="Cadastro incompleto","MTR INCOMPLETO",IF(S14="Informação a revisar",IF(AND(AH14&gt;0,AC14=0,AD14=0,AF14=0,AK14=0,AL14=0),"QUANTIDADE A REVISAR","IDENTIFICAÇÃO A REVISAR"),IF(S14="Aguardando recebimento","RECEBIMENTO NÃO CONFIRMADO",IF(S14="Aguardando CDF","CDF NÃO LOCALIZADO",IF(S14="Vínculo de CDF parcial","VÍNCULO INCOMPLETO",IF(S14="CDF localizado, a conferir","CDF A CONFERIR","")))))))</f>
        <v/>
      </c>
      <c r="U14" s="95" t="str">
        <f>IF(T14="","",IF(AQ14="","Não calculável",IF(AQ14&gt;TODAY(),"Data futura",TODAY()-AQ14)))</f>
        <v/>
      </c>
      <c r="V14" s="93" t="str">
        <f>IF(Z14=0,"",SUMIFS('RECEBIMENTOS'!$H$6:$H$1005,'RECEBIMENTOS'!$B$6:$B$1005,A14,'RECEBIMENTOS'!$Z$6:$Z$1005,1))</f>
        <v/>
      </c>
      <c r="W14" s="95" t="str">
        <f>IF(Z14=0,"",COUNTIFS('ITENS_MTR'!$S$6:$S$1005,A14,'ITENS_MTR'!$R$6:$R$1005,1))</f>
        <v/>
      </c>
      <c r="X14" s="94" t="str">
        <f>IF(AC14=1,"POSSÍVEL DUPLICIDADE","")</f>
        <v/>
      </c>
      <c r="Y14" s="94" t="str">
        <f>IF(Z14=0,"",IF(AW14="","Nenhuma",LEFT(AW14,LEN(AW14)-2)))</f>
        <v/>
      </c>
      <c r="Z14" s="96">
        <f>IF(COUNTA(B14:O14)&gt;0,1,0)</f>
        <v>0</v>
      </c>
      <c r="AA14" s="96">
        <f>IF(AND(Z14=1,K14&lt;&gt;""),IF(TRIM(K14)=TRIM(cfg_cancel),1,0),0)</f>
        <v>0</v>
      </c>
      <c r="AB14" s="96" t="str">
        <f>IF(AND(Z14=1,B14&lt;&gt;""),C14&amp;"|"&amp;D14&amp;"|"&amp;G14&amp;"|"&amp;TRIM(B14),"")</f>
        <v/>
      </c>
      <c r="AC14" s="96">
        <f>IF(AB14="",0,IF(SUMPRODUCT(--($AB$6:$AB$505=AB14))&gt;1,1,0))</f>
        <v>0</v>
      </c>
      <c r="AD14" s="96">
        <f>IF(Z14=0,0,IF(OR(AND(G14&lt;&gt;"",ISNA(MATCH(G14,'CAD_UNIDADES'!$C$6:$C$105,0))),AND(H14&lt;&gt;"",ISNA(MATCH(H14,cmp_transp,0))),AND(I14&lt;&gt;"",ISNA(MATCH(I14,cmp_dest,0))),AND(E14&lt;&gt;"",NOT(ISNUMBER(E14))),AND(F14&lt;&gt;"",NOT(ISNUMBER(F14))),AND(ISNUMBER(E14),ISNUMBER(F14),F14&lt;E14)),1,0))</f>
        <v>0</v>
      </c>
      <c r="AE14" s="96">
        <f>IF(Z14=0,0,IF(OR(B14="",C14="",E14="",G14="",H14="",I14="",N(W14)=0),1,0))</f>
        <v>0</v>
      </c>
      <c r="AF14" s="96">
        <f>IF(Z14=0,0,COUNTIFS('ITENS_MTR'!$S$6:$S$1005,A14,'ITENS_MTR'!$AI$6:$AI$1005,1))</f>
        <v>0</v>
      </c>
      <c r="AG14" s="96">
        <f>IF(Z14=0,0,COUNTIFS('ITENS_MTR'!$S$6:$S$1005,A14,'ITENS_MTR'!$AJ$6:$AJ$1005,1))</f>
        <v>0</v>
      </c>
      <c r="AH14" s="96">
        <f>IF(Z14=0,0,COUNTIFS('ITENS_MTR'!$S$6:$S$1005,A14,'ITENS_MTR'!$AM$6:$AM$1005,1))</f>
        <v>0</v>
      </c>
      <c r="AI14" s="96">
        <f>IF(Z14=0,0,COUNTIFS('ITENS_MTR'!$S$6:$S$1005,A14,'ITENS_MTR'!$AO$6:$AO$1005,1))</f>
        <v>0</v>
      </c>
      <c r="AJ14" s="96">
        <f>IF(Z14=0,0,COUNTIFS('ITENS_MTR'!$S$6:$S$1005,A14,'ITENS_MTR'!$AN$6:$AN$1005,1))</f>
        <v>0</v>
      </c>
      <c r="AK14" s="96">
        <f>IF(Z14=0,0,COUNTIFS('RECEBIMENTOS'!$B$6:$B$1005,A14,'RECEBIMENTOS'!$Y$6:$Y$1005,1))</f>
        <v>0</v>
      </c>
      <c r="AL14" s="96">
        <f>IF(Z14=0,0,COUNTIFS('VÍNCULOS_CDF'!$D$6:$D$1005,A14,'VÍNCULOS_CDF'!$Y$6:$Y$1005,1))</f>
        <v>0</v>
      </c>
      <c r="AM14" s="96">
        <f>IF(Z14=0,0,COUNTIFS('RECEBIMENTOS'!$B$6:$B$1005,A14,'RECEBIMENTOS'!$Q$6:$Q$1005,1))</f>
        <v>0</v>
      </c>
      <c r="AN14" s="96">
        <f>IF(AND(Z14=1,N(W14)&gt;0,AG14=N(W14)),1,0)</f>
        <v>0</v>
      </c>
      <c r="AO14" s="96">
        <f>IF(AND(Z14=1,N(W14)&gt;0,AI14=N(W14)),1,0)</f>
        <v>0</v>
      </c>
      <c r="AP14" s="97">
        <f>IF(Z14=0,0,_xlfn.MAXIFS('RECEBIMENTOS'!$E$6:$E$1005,'RECEBIMENTOS'!$B$6:$B$1005,A14))</f>
        <v>0</v>
      </c>
      <c r="AQ14" s="97" t="str">
        <f>IF(T14="","",IF(T14="RECEBIMENTO NÃO CONFIRMADO",IF(ISNUMBER(F14),F14,IF(ISNUMBER(E14),E14,"")),IF(OR(T14="CDF NÃO LOCALIZADO",T14="VÍNCULO INCOMPLETO",T14="CDF A CONFERIR"),IF(AP14&gt;0,AP14,IF(ISNUMBER(E14),E14,"")),IF(ISNUMBER(E14),E14,""))))</f>
        <v/>
      </c>
      <c r="AR14" s="96">
        <f>IF(NOT(ISNUMBER(U14)),0,IF(T14="RECEBIMENTO NÃO CONFIRMADO",IF(AND(ISNUMBER(cfg_rec),U14&gt;cfg_rec),1,0),IF(OR(T14="CDF NÃO LOCALIZADO",T14="VÍNCULO INCOMPLETO",T14="CDF A CONFERIR"),IF(AND(ISNUMBER(cfg_cdf),U14&gt;cfg_cdf),1,0),0)))</f>
        <v>0</v>
      </c>
      <c r="AS14" s="96" t="str">
        <f>IF(T14="","",IF(AR14=1,"Alta",IFERROR(INDEX(cfg_pp,MATCH(T14,cfg_pt,0))&amp;"","Média")))</f>
        <v/>
      </c>
      <c r="AT14" s="96" t="str">
        <f>IF(T14="","",IFERROR(INDEX(cfg_pv,MATCH(T14,cfg_pt,0))&amp;"",""))</f>
        <v/>
      </c>
      <c r="AU14" s="96" t="str">
        <f>IF(T14="","",IF(AS14="Alta",1,IF(AS14="Média",2,3))*1000000000+(999999-IF(ISNUMBER(U14),MIN(U14,999999),0))*1000+9)</f>
        <v/>
      </c>
      <c r="AV14" s="96">
        <f>IF(T14&lt;&gt;"",1,0)</f>
        <v>0</v>
      </c>
      <c r="AW14" s="96" t="str">
        <f>IF(Z14=0,"",IF(AA14=1,"Cancelamento informado; ","")&amp;IF(AE14=1,"Campos essenciais ou itens faltando; ","")&amp;IF(AC14=1,"Possível duplicidade do número; ","")&amp;IF(AD14=1,"Cadastro ou datas a revisar; ","")&amp;IF(AF14&gt;0,"Item de resíduo com dado a revisar; ","")&amp;IF(AH14&gt;0,"Diferença de quantidade a analisar; ","")&amp;IF(AK14&gt;0,"Recebimento com alerta; ","")&amp;IF(AL14&gt;0,"Vínculo de CDF com alerta; ","")&amp;IF(AND(AA14=0,AN14=0),"Recebimento não confirmado; ","")&amp;IF(AND(AA14=0,AN14=1,AO14=0),"CDF pendente ou a conferir; ",""))</f>
        <v/>
      </c>
      <c r="AX14" s="96">
        <f>IF(Z14=0,0,IF(AND(OR(f_ini="",AND(ISNUMBER(E14),E14&gt;=f_ini)),OR(f_fim="",AND(ISNUMBER(E14),E14&lt;=f_fim)),OR(f_un="",f_un="(Todas)",G14=f_un),OR(f_tr="",f_tr="(Todos)",H14=f_tr),OR(f_de="",f_de="(Todos)",I14=f_de),OR(f_sit="",f_sit="(Todas)",S14=f_sit)),1,0))</f>
        <v>0</v>
      </c>
      <c r="AY14" s="96">
        <f>IF(AX14=0,0,IF(OR(f_res="",f_res="(Todos)"),1,IF(COUNTIFS('ITENS_MTR'!$S$6:$S$1005,A14,'ITENS_MTR'!$C$6:$C$1005,f_res)&gt;0,1,0)))</f>
        <v>0</v>
      </c>
      <c r="AZ14" s="97" t="str">
        <f>IF(ISNUMBER(E14),DATE(YEAR(E14),MONTH(E14),1),"")</f>
        <v/>
      </c>
      <c r="BA14" s="96">
        <f>IF(Z14=0,0,IF(AND(OR(r_ini="",AND(ISNUMBER(E14),E14&gt;=r_ini)),OR(r_fim="",AND(ISNUMBER(E14),E14&lt;=r_fim)),OR(r_un="",r_un="(Todas)",G14=r_un),OR(r_de="",r_de="(Todos)",I14=r_de)),1,0))</f>
        <v>0</v>
      </c>
      <c r="BB14" s="96" t="str">
        <f>IF(BA14=1,COUNTIF($BA$6:BA14,1),"")</f>
        <v/>
      </c>
      <c r="BC14" s="96" t="str">
        <f>IF(AND(AU14&lt;&gt;"",OR(r_un="",r_un="(Todas)",G14=r_un),OR(r_de="",r_de="(Todos)",I14=r_de)),AU14,"")</f>
        <v/>
      </c>
      <c r="BD14" s="96" t="str">
        <f>IF(Z14=1,A14&amp;" | nº "&amp;IF(B14="","(sem número)",B14)&amp;" | "&amp;IF(G14="","(sem unidade)",G14),"")</f>
        <v/>
      </c>
      <c r="BE14" s="96" t="str">
        <f>IF(Z14=1,COUNTIF($Z$6:Z14,1),"")</f>
        <v/>
      </c>
      <c r="BF14" s="96" t="str">
        <f>IF(T14="","",IF(T14="RECEBIMENTO NÃO CONFIRMADO","Transp.: "&amp;H14&amp;" | Dest.: "&amp;I14,IF(OR(T14="CDF NÃO LOCALIZADO",T14="VÍNCULO INCOMPLETO",T14="CDF A CONFERIR"),"Dest.: "&amp;I14,"Gerador: "&amp;G14)))</f>
        <v/>
      </c>
    </row>
    <row r="15">
      <c r="A15" s="89" t="inlineStr">
        <is>
          <t>MTR-000010</t>
        </is>
      </c>
      <c r="B15" s="90" t="n"/>
      <c r="C15" s="91" t="n"/>
      <c r="D15" s="91" t="n"/>
      <c r="E15" s="92" t="n"/>
      <c r="F15" s="92" t="n"/>
      <c r="G15" s="91" t="n"/>
      <c r="H15" s="91" t="n"/>
      <c r="I15" s="91" t="n"/>
      <c r="J15" s="91" t="n"/>
      <c r="K15" s="91" t="n"/>
      <c r="L15" s="92" t="n"/>
      <c r="M15" s="91" t="n"/>
      <c r="N15" s="91" t="n"/>
      <c r="O15" s="91" t="n"/>
      <c r="P15" s="93" t="str">
        <f>IF(Z15=0,"",SUMIFS('ITENS_MTR'!$I$6:$I$1005,'ITENS_MTR'!$S$6:$S$1005,A15,'ITENS_MTR'!$Y$6:$Y$1005,1))</f>
        <v/>
      </c>
      <c r="Q15" s="93" t="str">
        <f>IF(Z15=0,"",SUMIFS('RECEBIMENTOS'!$H$6:$H$1005,'RECEBIMENTOS'!$B$6:$B$1005,A15,'RECEBIMENTOS'!$X$6:$X$1005,1))</f>
        <v/>
      </c>
      <c r="R15" s="93" t="str">
        <f>IF(Z15=0,"",SUMIFS('VÍNCULOS_CDF'!$H$6:$H$1005,'VÍNCULOS_CDF'!$D$6:$D$1005,A15,'VÍNCULOS_CDF'!$V$6:$V$1005,1))</f>
        <v/>
      </c>
      <c r="S15" s="94" t="str">
        <f>IF(Z15=0,"",IF(AA15=1,"Cancelado (informado)",IF(AE15=1,"Cadastro incompleto",IF(OR(AC15=1,AD15=1,AF15&gt;0,AH15&gt;0,AK15&gt;0,AL15&gt;0),"Informação a revisar",IF(AN15=0,"Aguardando recebimento",IF(N(R15)=0,"Aguardando CDF",IF(AJ15&lt;N(W15),"Vínculo de CDF parcial",IF(AO15=0,"CDF localizado, a conferir","Documentação conferida"))))))))</f>
        <v/>
      </c>
      <c r="T15" s="94" t="str">
        <f>IF(Z15=0,"",IF(S15="Cadastro incompleto","MTR INCOMPLETO",IF(S15="Informação a revisar",IF(AND(AH15&gt;0,AC15=0,AD15=0,AF15=0,AK15=0,AL15=0),"QUANTIDADE A REVISAR","IDENTIFICAÇÃO A REVISAR"),IF(S15="Aguardando recebimento","RECEBIMENTO NÃO CONFIRMADO",IF(S15="Aguardando CDF","CDF NÃO LOCALIZADO",IF(S15="Vínculo de CDF parcial","VÍNCULO INCOMPLETO",IF(S15="CDF localizado, a conferir","CDF A CONFERIR","")))))))</f>
        <v/>
      </c>
      <c r="U15" s="95" t="str">
        <f>IF(T15="","",IF(AQ15="","Não calculável",IF(AQ15&gt;TODAY(),"Data futura",TODAY()-AQ15)))</f>
        <v/>
      </c>
      <c r="V15" s="93" t="str">
        <f>IF(Z15=0,"",SUMIFS('RECEBIMENTOS'!$H$6:$H$1005,'RECEBIMENTOS'!$B$6:$B$1005,A15,'RECEBIMENTOS'!$Z$6:$Z$1005,1))</f>
        <v/>
      </c>
      <c r="W15" s="95" t="str">
        <f>IF(Z15=0,"",COUNTIFS('ITENS_MTR'!$S$6:$S$1005,A15,'ITENS_MTR'!$R$6:$R$1005,1))</f>
        <v/>
      </c>
      <c r="X15" s="94" t="str">
        <f>IF(AC15=1,"POSSÍVEL DUPLICIDADE","")</f>
        <v/>
      </c>
      <c r="Y15" s="94" t="str">
        <f>IF(Z15=0,"",IF(AW15="","Nenhuma",LEFT(AW15,LEN(AW15)-2)))</f>
        <v/>
      </c>
      <c r="Z15" s="96">
        <f>IF(COUNTA(B15:O15)&gt;0,1,0)</f>
        <v>0</v>
      </c>
      <c r="AA15" s="96">
        <f>IF(AND(Z15=1,K15&lt;&gt;""),IF(TRIM(K15)=TRIM(cfg_cancel),1,0),0)</f>
        <v>0</v>
      </c>
      <c r="AB15" s="96" t="str">
        <f>IF(AND(Z15=1,B15&lt;&gt;""),C15&amp;"|"&amp;D15&amp;"|"&amp;G15&amp;"|"&amp;TRIM(B15),"")</f>
        <v/>
      </c>
      <c r="AC15" s="96">
        <f>IF(AB15="",0,IF(SUMPRODUCT(--($AB$6:$AB$505=AB15))&gt;1,1,0))</f>
        <v>0</v>
      </c>
      <c r="AD15" s="96">
        <f>IF(Z15=0,0,IF(OR(AND(G15&lt;&gt;"",ISNA(MATCH(G15,'CAD_UNIDADES'!$C$6:$C$105,0))),AND(H15&lt;&gt;"",ISNA(MATCH(H15,cmp_transp,0))),AND(I15&lt;&gt;"",ISNA(MATCH(I15,cmp_dest,0))),AND(E15&lt;&gt;"",NOT(ISNUMBER(E15))),AND(F15&lt;&gt;"",NOT(ISNUMBER(F15))),AND(ISNUMBER(E15),ISNUMBER(F15),F15&lt;E15)),1,0))</f>
        <v>0</v>
      </c>
      <c r="AE15" s="96">
        <f>IF(Z15=0,0,IF(OR(B15="",C15="",E15="",G15="",H15="",I15="",N(W15)=0),1,0))</f>
        <v>0</v>
      </c>
      <c r="AF15" s="96">
        <f>IF(Z15=0,0,COUNTIFS('ITENS_MTR'!$S$6:$S$1005,A15,'ITENS_MTR'!$AI$6:$AI$1005,1))</f>
        <v>0</v>
      </c>
      <c r="AG15" s="96">
        <f>IF(Z15=0,0,COUNTIFS('ITENS_MTR'!$S$6:$S$1005,A15,'ITENS_MTR'!$AJ$6:$AJ$1005,1))</f>
        <v>0</v>
      </c>
      <c r="AH15" s="96">
        <f>IF(Z15=0,0,COUNTIFS('ITENS_MTR'!$S$6:$S$1005,A15,'ITENS_MTR'!$AM$6:$AM$1005,1))</f>
        <v>0</v>
      </c>
      <c r="AI15" s="96">
        <f>IF(Z15=0,0,COUNTIFS('ITENS_MTR'!$S$6:$S$1005,A15,'ITENS_MTR'!$AO$6:$AO$1005,1))</f>
        <v>0</v>
      </c>
      <c r="AJ15" s="96">
        <f>IF(Z15=0,0,COUNTIFS('ITENS_MTR'!$S$6:$S$1005,A15,'ITENS_MTR'!$AN$6:$AN$1005,1))</f>
        <v>0</v>
      </c>
      <c r="AK15" s="96">
        <f>IF(Z15=0,0,COUNTIFS('RECEBIMENTOS'!$B$6:$B$1005,A15,'RECEBIMENTOS'!$Y$6:$Y$1005,1))</f>
        <v>0</v>
      </c>
      <c r="AL15" s="96">
        <f>IF(Z15=0,0,COUNTIFS('VÍNCULOS_CDF'!$D$6:$D$1005,A15,'VÍNCULOS_CDF'!$Y$6:$Y$1005,1))</f>
        <v>0</v>
      </c>
      <c r="AM15" s="96">
        <f>IF(Z15=0,0,COUNTIFS('RECEBIMENTOS'!$B$6:$B$1005,A15,'RECEBIMENTOS'!$Q$6:$Q$1005,1))</f>
        <v>0</v>
      </c>
      <c r="AN15" s="96">
        <f>IF(AND(Z15=1,N(W15)&gt;0,AG15=N(W15)),1,0)</f>
        <v>0</v>
      </c>
      <c r="AO15" s="96">
        <f>IF(AND(Z15=1,N(W15)&gt;0,AI15=N(W15)),1,0)</f>
        <v>0</v>
      </c>
      <c r="AP15" s="97">
        <f>IF(Z15=0,0,_xlfn.MAXIFS('RECEBIMENTOS'!$E$6:$E$1005,'RECEBIMENTOS'!$B$6:$B$1005,A15))</f>
        <v>0</v>
      </c>
      <c r="AQ15" s="97" t="str">
        <f>IF(T15="","",IF(T15="RECEBIMENTO NÃO CONFIRMADO",IF(ISNUMBER(F15),F15,IF(ISNUMBER(E15),E15,"")),IF(OR(T15="CDF NÃO LOCALIZADO",T15="VÍNCULO INCOMPLETO",T15="CDF A CONFERIR"),IF(AP15&gt;0,AP15,IF(ISNUMBER(E15),E15,"")),IF(ISNUMBER(E15),E15,""))))</f>
        <v/>
      </c>
      <c r="AR15" s="96">
        <f>IF(NOT(ISNUMBER(U15)),0,IF(T15="RECEBIMENTO NÃO CONFIRMADO",IF(AND(ISNUMBER(cfg_rec),U15&gt;cfg_rec),1,0),IF(OR(T15="CDF NÃO LOCALIZADO",T15="VÍNCULO INCOMPLETO",T15="CDF A CONFERIR"),IF(AND(ISNUMBER(cfg_cdf),U15&gt;cfg_cdf),1,0),0)))</f>
        <v>0</v>
      </c>
      <c r="AS15" s="96" t="str">
        <f>IF(T15="","",IF(AR15=1,"Alta",IFERROR(INDEX(cfg_pp,MATCH(T15,cfg_pt,0))&amp;"","Média")))</f>
        <v/>
      </c>
      <c r="AT15" s="96" t="str">
        <f>IF(T15="","",IFERROR(INDEX(cfg_pv,MATCH(T15,cfg_pt,0))&amp;"",""))</f>
        <v/>
      </c>
      <c r="AU15" s="96" t="str">
        <f>IF(T15="","",IF(AS15="Alta",1,IF(AS15="Média",2,3))*1000000000+(999999-IF(ISNUMBER(U15),MIN(U15,999999),0))*1000+10)</f>
        <v/>
      </c>
      <c r="AV15" s="96">
        <f>IF(T15&lt;&gt;"",1,0)</f>
        <v>0</v>
      </c>
      <c r="AW15" s="96" t="str">
        <f>IF(Z15=0,"",IF(AA15=1,"Cancelamento informado; ","")&amp;IF(AE15=1,"Campos essenciais ou itens faltando; ","")&amp;IF(AC15=1,"Possível duplicidade do número; ","")&amp;IF(AD15=1,"Cadastro ou datas a revisar; ","")&amp;IF(AF15&gt;0,"Item de resíduo com dado a revisar; ","")&amp;IF(AH15&gt;0,"Diferença de quantidade a analisar; ","")&amp;IF(AK15&gt;0,"Recebimento com alerta; ","")&amp;IF(AL15&gt;0,"Vínculo de CDF com alerta; ","")&amp;IF(AND(AA15=0,AN15=0),"Recebimento não confirmado; ","")&amp;IF(AND(AA15=0,AN15=1,AO15=0),"CDF pendente ou a conferir; ",""))</f>
        <v/>
      </c>
      <c r="AX15" s="96">
        <f>IF(Z15=0,0,IF(AND(OR(f_ini="",AND(ISNUMBER(E15),E15&gt;=f_ini)),OR(f_fim="",AND(ISNUMBER(E15),E15&lt;=f_fim)),OR(f_un="",f_un="(Todas)",G15=f_un),OR(f_tr="",f_tr="(Todos)",H15=f_tr),OR(f_de="",f_de="(Todos)",I15=f_de),OR(f_sit="",f_sit="(Todas)",S15=f_sit)),1,0))</f>
        <v>0</v>
      </c>
      <c r="AY15" s="96">
        <f>IF(AX15=0,0,IF(OR(f_res="",f_res="(Todos)"),1,IF(COUNTIFS('ITENS_MTR'!$S$6:$S$1005,A15,'ITENS_MTR'!$C$6:$C$1005,f_res)&gt;0,1,0)))</f>
        <v>0</v>
      </c>
      <c r="AZ15" s="97" t="str">
        <f>IF(ISNUMBER(E15),DATE(YEAR(E15),MONTH(E15),1),"")</f>
        <v/>
      </c>
      <c r="BA15" s="96">
        <f>IF(Z15=0,0,IF(AND(OR(r_ini="",AND(ISNUMBER(E15),E15&gt;=r_ini)),OR(r_fim="",AND(ISNUMBER(E15),E15&lt;=r_fim)),OR(r_un="",r_un="(Todas)",G15=r_un),OR(r_de="",r_de="(Todos)",I15=r_de)),1,0))</f>
        <v>0</v>
      </c>
      <c r="BB15" s="96" t="str">
        <f>IF(BA15=1,COUNTIF($BA$6:BA15,1),"")</f>
        <v/>
      </c>
      <c r="BC15" s="96" t="str">
        <f>IF(AND(AU15&lt;&gt;"",OR(r_un="",r_un="(Todas)",G15=r_un),OR(r_de="",r_de="(Todos)",I15=r_de)),AU15,"")</f>
        <v/>
      </c>
      <c r="BD15" s="96" t="str">
        <f>IF(Z15=1,A15&amp;" | nº "&amp;IF(B15="","(sem número)",B15)&amp;" | "&amp;IF(G15="","(sem unidade)",G15),"")</f>
        <v/>
      </c>
      <c r="BE15" s="96" t="str">
        <f>IF(Z15=1,COUNTIF($Z$6:Z15,1),"")</f>
        <v/>
      </c>
      <c r="BF15" s="96" t="str">
        <f>IF(T15="","",IF(T15="RECEBIMENTO NÃO CONFIRMADO","Transp.: "&amp;H15&amp;" | Dest.: "&amp;I15,IF(OR(T15="CDF NÃO LOCALIZADO",T15="VÍNCULO INCOMPLETO",T15="CDF A CONFERIR"),"Dest.: "&amp;I15,"Gerador: "&amp;G15)))</f>
        <v/>
      </c>
    </row>
    <row r="16">
      <c r="A16" s="89" t="inlineStr">
        <is>
          <t>MTR-000011</t>
        </is>
      </c>
      <c r="B16" s="90" t="n"/>
      <c r="C16" s="91" t="n"/>
      <c r="D16" s="91" t="n"/>
      <c r="E16" s="92" t="n"/>
      <c r="F16" s="92" t="n"/>
      <c r="G16" s="91" t="n"/>
      <c r="H16" s="91" t="n"/>
      <c r="I16" s="91" t="n"/>
      <c r="J16" s="91" t="n"/>
      <c r="K16" s="91" t="n"/>
      <c r="L16" s="92" t="n"/>
      <c r="M16" s="91" t="n"/>
      <c r="N16" s="91" t="n"/>
      <c r="O16" s="91" t="n"/>
      <c r="P16" s="93" t="str">
        <f>IF(Z16=0,"",SUMIFS('ITENS_MTR'!$I$6:$I$1005,'ITENS_MTR'!$S$6:$S$1005,A16,'ITENS_MTR'!$Y$6:$Y$1005,1))</f>
        <v/>
      </c>
      <c r="Q16" s="93" t="str">
        <f>IF(Z16=0,"",SUMIFS('RECEBIMENTOS'!$H$6:$H$1005,'RECEBIMENTOS'!$B$6:$B$1005,A16,'RECEBIMENTOS'!$X$6:$X$1005,1))</f>
        <v/>
      </c>
      <c r="R16" s="93" t="str">
        <f>IF(Z16=0,"",SUMIFS('VÍNCULOS_CDF'!$H$6:$H$1005,'VÍNCULOS_CDF'!$D$6:$D$1005,A16,'VÍNCULOS_CDF'!$V$6:$V$1005,1))</f>
        <v/>
      </c>
      <c r="S16" s="94" t="str">
        <f>IF(Z16=0,"",IF(AA16=1,"Cancelado (informado)",IF(AE16=1,"Cadastro incompleto",IF(OR(AC16=1,AD16=1,AF16&gt;0,AH16&gt;0,AK16&gt;0,AL16&gt;0),"Informação a revisar",IF(AN16=0,"Aguardando recebimento",IF(N(R16)=0,"Aguardando CDF",IF(AJ16&lt;N(W16),"Vínculo de CDF parcial",IF(AO16=0,"CDF localizado, a conferir","Documentação conferida"))))))))</f>
        <v/>
      </c>
      <c r="T16" s="94" t="str">
        <f>IF(Z16=0,"",IF(S16="Cadastro incompleto","MTR INCOMPLETO",IF(S16="Informação a revisar",IF(AND(AH16&gt;0,AC16=0,AD16=0,AF16=0,AK16=0,AL16=0),"QUANTIDADE A REVISAR","IDENTIFICAÇÃO A REVISAR"),IF(S16="Aguardando recebimento","RECEBIMENTO NÃO CONFIRMADO",IF(S16="Aguardando CDF","CDF NÃO LOCALIZADO",IF(S16="Vínculo de CDF parcial","VÍNCULO INCOMPLETO",IF(S16="CDF localizado, a conferir","CDF A CONFERIR","")))))))</f>
        <v/>
      </c>
      <c r="U16" s="95" t="str">
        <f>IF(T16="","",IF(AQ16="","Não calculável",IF(AQ16&gt;TODAY(),"Data futura",TODAY()-AQ16)))</f>
        <v/>
      </c>
      <c r="V16" s="93" t="str">
        <f>IF(Z16=0,"",SUMIFS('RECEBIMENTOS'!$H$6:$H$1005,'RECEBIMENTOS'!$B$6:$B$1005,A16,'RECEBIMENTOS'!$Z$6:$Z$1005,1))</f>
        <v/>
      </c>
      <c r="W16" s="95" t="str">
        <f>IF(Z16=0,"",COUNTIFS('ITENS_MTR'!$S$6:$S$1005,A16,'ITENS_MTR'!$R$6:$R$1005,1))</f>
        <v/>
      </c>
      <c r="X16" s="94" t="str">
        <f>IF(AC16=1,"POSSÍVEL DUPLICIDADE","")</f>
        <v/>
      </c>
      <c r="Y16" s="94" t="str">
        <f>IF(Z16=0,"",IF(AW16="","Nenhuma",LEFT(AW16,LEN(AW16)-2)))</f>
        <v/>
      </c>
      <c r="Z16" s="96">
        <f>IF(COUNTA(B16:O16)&gt;0,1,0)</f>
        <v>0</v>
      </c>
      <c r="AA16" s="96">
        <f>IF(AND(Z16=1,K16&lt;&gt;""),IF(TRIM(K16)=TRIM(cfg_cancel),1,0),0)</f>
        <v>0</v>
      </c>
      <c r="AB16" s="96" t="str">
        <f>IF(AND(Z16=1,B16&lt;&gt;""),C16&amp;"|"&amp;D16&amp;"|"&amp;G16&amp;"|"&amp;TRIM(B16),"")</f>
        <v/>
      </c>
      <c r="AC16" s="96">
        <f>IF(AB16="",0,IF(SUMPRODUCT(--($AB$6:$AB$505=AB16))&gt;1,1,0))</f>
        <v>0</v>
      </c>
      <c r="AD16" s="96">
        <f>IF(Z16=0,0,IF(OR(AND(G16&lt;&gt;"",ISNA(MATCH(G16,'CAD_UNIDADES'!$C$6:$C$105,0))),AND(H16&lt;&gt;"",ISNA(MATCH(H16,cmp_transp,0))),AND(I16&lt;&gt;"",ISNA(MATCH(I16,cmp_dest,0))),AND(E16&lt;&gt;"",NOT(ISNUMBER(E16))),AND(F16&lt;&gt;"",NOT(ISNUMBER(F16))),AND(ISNUMBER(E16),ISNUMBER(F16),F16&lt;E16)),1,0))</f>
        <v>0</v>
      </c>
      <c r="AE16" s="96">
        <f>IF(Z16=0,0,IF(OR(B16="",C16="",E16="",G16="",H16="",I16="",N(W16)=0),1,0))</f>
        <v>0</v>
      </c>
      <c r="AF16" s="96">
        <f>IF(Z16=0,0,COUNTIFS('ITENS_MTR'!$S$6:$S$1005,A16,'ITENS_MTR'!$AI$6:$AI$1005,1))</f>
        <v>0</v>
      </c>
      <c r="AG16" s="96">
        <f>IF(Z16=0,0,COUNTIFS('ITENS_MTR'!$S$6:$S$1005,A16,'ITENS_MTR'!$AJ$6:$AJ$1005,1))</f>
        <v>0</v>
      </c>
      <c r="AH16" s="96">
        <f>IF(Z16=0,0,COUNTIFS('ITENS_MTR'!$S$6:$S$1005,A16,'ITENS_MTR'!$AM$6:$AM$1005,1))</f>
        <v>0</v>
      </c>
      <c r="AI16" s="96">
        <f>IF(Z16=0,0,COUNTIFS('ITENS_MTR'!$S$6:$S$1005,A16,'ITENS_MTR'!$AO$6:$AO$1005,1))</f>
        <v>0</v>
      </c>
      <c r="AJ16" s="96">
        <f>IF(Z16=0,0,COUNTIFS('ITENS_MTR'!$S$6:$S$1005,A16,'ITENS_MTR'!$AN$6:$AN$1005,1))</f>
        <v>0</v>
      </c>
      <c r="AK16" s="96">
        <f>IF(Z16=0,0,COUNTIFS('RECEBIMENTOS'!$B$6:$B$1005,A16,'RECEBIMENTOS'!$Y$6:$Y$1005,1))</f>
        <v>0</v>
      </c>
      <c r="AL16" s="96">
        <f>IF(Z16=0,0,COUNTIFS('VÍNCULOS_CDF'!$D$6:$D$1005,A16,'VÍNCULOS_CDF'!$Y$6:$Y$1005,1))</f>
        <v>0</v>
      </c>
      <c r="AM16" s="96">
        <f>IF(Z16=0,0,COUNTIFS('RECEBIMENTOS'!$B$6:$B$1005,A16,'RECEBIMENTOS'!$Q$6:$Q$1005,1))</f>
        <v>0</v>
      </c>
      <c r="AN16" s="96">
        <f>IF(AND(Z16=1,N(W16)&gt;0,AG16=N(W16)),1,0)</f>
        <v>0</v>
      </c>
      <c r="AO16" s="96">
        <f>IF(AND(Z16=1,N(W16)&gt;0,AI16=N(W16)),1,0)</f>
        <v>0</v>
      </c>
      <c r="AP16" s="97">
        <f>IF(Z16=0,0,_xlfn.MAXIFS('RECEBIMENTOS'!$E$6:$E$1005,'RECEBIMENTOS'!$B$6:$B$1005,A16))</f>
        <v>0</v>
      </c>
      <c r="AQ16" s="97" t="str">
        <f>IF(T16="","",IF(T16="RECEBIMENTO NÃO CONFIRMADO",IF(ISNUMBER(F16),F16,IF(ISNUMBER(E16),E16,"")),IF(OR(T16="CDF NÃO LOCALIZADO",T16="VÍNCULO INCOMPLETO",T16="CDF A CONFERIR"),IF(AP16&gt;0,AP16,IF(ISNUMBER(E16),E16,"")),IF(ISNUMBER(E16),E16,""))))</f>
        <v/>
      </c>
      <c r="AR16" s="96">
        <f>IF(NOT(ISNUMBER(U16)),0,IF(T16="RECEBIMENTO NÃO CONFIRMADO",IF(AND(ISNUMBER(cfg_rec),U16&gt;cfg_rec),1,0),IF(OR(T16="CDF NÃO LOCALIZADO",T16="VÍNCULO INCOMPLETO",T16="CDF A CONFERIR"),IF(AND(ISNUMBER(cfg_cdf),U16&gt;cfg_cdf),1,0),0)))</f>
        <v>0</v>
      </c>
      <c r="AS16" s="96" t="str">
        <f>IF(T16="","",IF(AR16=1,"Alta",IFERROR(INDEX(cfg_pp,MATCH(T16,cfg_pt,0))&amp;"","Média")))</f>
        <v/>
      </c>
      <c r="AT16" s="96" t="str">
        <f>IF(T16="","",IFERROR(INDEX(cfg_pv,MATCH(T16,cfg_pt,0))&amp;"",""))</f>
        <v/>
      </c>
      <c r="AU16" s="96" t="str">
        <f>IF(T16="","",IF(AS16="Alta",1,IF(AS16="Média",2,3))*1000000000+(999999-IF(ISNUMBER(U16),MIN(U16,999999),0))*1000+11)</f>
        <v/>
      </c>
      <c r="AV16" s="96">
        <f>IF(T16&lt;&gt;"",1,0)</f>
        <v>0</v>
      </c>
      <c r="AW16" s="96" t="str">
        <f>IF(Z16=0,"",IF(AA16=1,"Cancelamento informado; ","")&amp;IF(AE16=1,"Campos essenciais ou itens faltando; ","")&amp;IF(AC16=1,"Possível duplicidade do número; ","")&amp;IF(AD16=1,"Cadastro ou datas a revisar; ","")&amp;IF(AF16&gt;0,"Item de resíduo com dado a revisar; ","")&amp;IF(AH16&gt;0,"Diferença de quantidade a analisar; ","")&amp;IF(AK16&gt;0,"Recebimento com alerta; ","")&amp;IF(AL16&gt;0,"Vínculo de CDF com alerta; ","")&amp;IF(AND(AA16=0,AN16=0),"Recebimento não confirmado; ","")&amp;IF(AND(AA16=0,AN16=1,AO16=0),"CDF pendente ou a conferir; ",""))</f>
        <v/>
      </c>
      <c r="AX16" s="96">
        <f>IF(Z16=0,0,IF(AND(OR(f_ini="",AND(ISNUMBER(E16),E16&gt;=f_ini)),OR(f_fim="",AND(ISNUMBER(E16),E16&lt;=f_fim)),OR(f_un="",f_un="(Todas)",G16=f_un),OR(f_tr="",f_tr="(Todos)",H16=f_tr),OR(f_de="",f_de="(Todos)",I16=f_de),OR(f_sit="",f_sit="(Todas)",S16=f_sit)),1,0))</f>
        <v>0</v>
      </c>
      <c r="AY16" s="96">
        <f>IF(AX16=0,0,IF(OR(f_res="",f_res="(Todos)"),1,IF(COUNTIFS('ITENS_MTR'!$S$6:$S$1005,A16,'ITENS_MTR'!$C$6:$C$1005,f_res)&gt;0,1,0)))</f>
        <v>0</v>
      </c>
      <c r="AZ16" s="97" t="str">
        <f>IF(ISNUMBER(E16),DATE(YEAR(E16),MONTH(E16),1),"")</f>
        <v/>
      </c>
      <c r="BA16" s="96">
        <f>IF(Z16=0,0,IF(AND(OR(r_ini="",AND(ISNUMBER(E16),E16&gt;=r_ini)),OR(r_fim="",AND(ISNUMBER(E16),E16&lt;=r_fim)),OR(r_un="",r_un="(Todas)",G16=r_un),OR(r_de="",r_de="(Todos)",I16=r_de)),1,0))</f>
        <v>0</v>
      </c>
      <c r="BB16" s="96" t="str">
        <f>IF(BA16=1,COUNTIF($BA$6:BA16,1),"")</f>
        <v/>
      </c>
      <c r="BC16" s="96" t="str">
        <f>IF(AND(AU16&lt;&gt;"",OR(r_un="",r_un="(Todas)",G16=r_un),OR(r_de="",r_de="(Todos)",I16=r_de)),AU16,"")</f>
        <v/>
      </c>
      <c r="BD16" s="96" t="str">
        <f>IF(Z16=1,A16&amp;" | nº "&amp;IF(B16="","(sem número)",B16)&amp;" | "&amp;IF(G16="","(sem unidade)",G16),"")</f>
        <v/>
      </c>
      <c r="BE16" s="96" t="str">
        <f>IF(Z16=1,COUNTIF($Z$6:Z16,1),"")</f>
        <v/>
      </c>
      <c r="BF16" s="96" t="str">
        <f>IF(T16="","",IF(T16="RECEBIMENTO NÃO CONFIRMADO","Transp.: "&amp;H16&amp;" | Dest.: "&amp;I16,IF(OR(T16="CDF NÃO LOCALIZADO",T16="VÍNCULO INCOMPLETO",T16="CDF A CONFERIR"),"Dest.: "&amp;I16,"Gerador: "&amp;G16)))</f>
        <v/>
      </c>
    </row>
    <row r="17">
      <c r="A17" s="89" t="inlineStr">
        <is>
          <t>MTR-000012</t>
        </is>
      </c>
      <c r="B17" s="90" t="n"/>
      <c r="C17" s="91" t="n"/>
      <c r="D17" s="91" t="n"/>
      <c r="E17" s="92" t="n"/>
      <c r="F17" s="92" t="n"/>
      <c r="G17" s="91" t="n"/>
      <c r="H17" s="91" t="n"/>
      <c r="I17" s="91" t="n"/>
      <c r="J17" s="91" t="n"/>
      <c r="K17" s="91" t="n"/>
      <c r="L17" s="92" t="n"/>
      <c r="M17" s="91" t="n"/>
      <c r="N17" s="91" t="n"/>
      <c r="O17" s="91" t="n"/>
      <c r="P17" s="93" t="str">
        <f>IF(Z17=0,"",SUMIFS('ITENS_MTR'!$I$6:$I$1005,'ITENS_MTR'!$S$6:$S$1005,A17,'ITENS_MTR'!$Y$6:$Y$1005,1))</f>
        <v/>
      </c>
      <c r="Q17" s="93" t="str">
        <f>IF(Z17=0,"",SUMIFS('RECEBIMENTOS'!$H$6:$H$1005,'RECEBIMENTOS'!$B$6:$B$1005,A17,'RECEBIMENTOS'!$X$6:$X$1005,1))</f>
        <v/>
      </c>
      <c r="R17" s="93" t="str">
        <f>IF(Z17=0,"",SUMIFS('VÍNCULOS_CDF'!$H$6:$H$1005,'VÍNCULOS_CDF'!$D$6:$D$1005,A17,'VÍNCULOS_CDF'!$V$6:$V$1005,1))</f>
        <v/>
      </c>
      <c r="S17" s="94" t="str">
        <f>IF(Z17=0,"",IF(AA17=1,"Cancelado (informado)",IF(AE17=1,"Cadastro incompleto",IF(OR(AC17=1,AD17=1,AF17&gt;0,AH17&gt;0,AK17&gt;0,AL17&gt;0),"Informação a revisar",IF(AN17=0,"Aguardando recebimento",IF(N(R17)=0,"Aguardando CDF",IF(AJ17&lt;N(W17),"Vínculo de CDF parcial",IF(AO17=0,"CDF localizado, a conferir","Documentação conferida"))))))))</f>
        <v/>
      </c>
      <c r="T17" s="94" t="str">
        <f>IF(Z17=0,"",IF(S17="Cadastro incompleto","MTR INCOMPLETO",IF(S17="Informação a revisar",IF(AND(AH17&gt;0,AC17=0,AD17=0,AF17=0,AK17=0,AL17=0),"QUANTIDADE A REVISAR","IDENTIFICAÇÃO A REVISAR"),IF(S17="Aguardando recebimento","RECEBIMENTO NÃO CONFIRMADO",IF(S17="Aguardando CDF","CDF NÃO LOCALIZADO",IF(S17="Vínculo de CDF parcial","VÍNCULO INCOMPLETO",IF(S17="CDF localizado, a conferir","CDF A CONFERIR","")))))))</f>
        <v/>
      </c>
      <c r="U17" s="95" t="str">
        <f>IF(T17="","",IF(AQ17="","Não calculável",IF(AQ17&gt;TODAY(),"Data futura",TODAY()-AQ17)))</f>
        <v/>
      </c>
      <c r="V17" s="93" t="str">
        <f>IF(Z17=0,"",SUMIFS('RECEBIMENTOS'!$H$6:$H$1005,'RECEBIMENTOS'!$B$6:$B$1005,A17,'RECEBIMENTOS'!$Z$6:$Z$1005,1))</f>
        <v/>
      </c>
      <c r="W17" s="95" t="str">
        <f>IF(Z17=0,"",COUNTIFS('ITENS_MTR'!$S$6:$S$1005,A17,'ITENS_MTR'!$R$6:$R$1005,1))</f>
        <v/>
      </c>
      <c r="X17" s="94" t="str">
        <f>IF(AC17=1,"POSSÍVEL DUPLICIDADE","")</f>
        <v/>
      </c>
      <c r="Y17" s="94" t="str">
        <f>IF(Z17=0,"",IF(AW17="","Nenhuma",LEFT(AW17,LEN(AW17)-2)))</f>
        <v/>
      </c>
      <c r="Z17" s="96">
        <f>IF(COUNTA(B17:O17)&gt;0,1,0)</f>
        <v>0</v>
      </c>
      <c r="AA17" s="96">
        <f>IF(AND(Z17=1,K17&lt;&gt;""),IF(TRIM(K17)=TRIM(cfg_cancel),1,0),0)</f>
        <v>0</v>
      </c>
      <c r="AB17" s="96" t="str">
        <f>IF(AND(Z17=1,B17&lt;&gt;""),C17&amp;"|"&amp;D17&amp;"|"&amp;G17&amp;"|"&amp;TRIM(B17),"")</f>
        <v/>
      </c>
      <c r="AC17" s="96">
        <f>IF(AB17="",0,IF(SUMPRODUCT(--($AB$6:$AB$505=AB17))&gt;1,1,0))</f>
        <v>0</v>
      </c>
      <c r="AD17" s="96">
        <f>IF(Z17=0,0,IF(OR(AND(G17&lt;&gt;"",ISNA(MATCH(G17,'CAD_UNIDADES'!$C$6:$C$105,0))),AND(H17&lt;&gt;"",ISNA(MATCH(H17,cmp_transp,0))),AND(I17&lt;&gt;"",ISNA(MATCH(I17,cmp_dest,0))),AND(E17&lt;&gt;"",NOT(ISNUMBER(E17))),AND(F17&lt;&gt;"",NOT(ISNUMBER(F17))),AND(ISNUMBER(E17),ISNUMBER(F17),F17&lt;E17)),1,0))</f>
        <v>0</v>
      </c>
      <c r="AE17" s="96">
        <f>IF(Z17=0,0,IF(OR(B17="",C17="",E17="",G17="",H17="",I17="",N(W17)=0),1,0))</f>
        <v>0</v>
      </c>
      <c r="AF17" s="96">
        <f>IF(Z17=0,0,COUNTIFS('ITENS_MTR'!$S$6:$S$1005,A17,'ITENS_MTR'!$AI$6:$AI$1005,1))</f>
        <v>0</v>
      </c>
      <c r="AG17" s="96">
        <f>IF(Z17=0,0,COUNTIFS('ITENS_MTR'!$S$6:$S$1005,A17,'ITENS_MTR'!$AJ$6:$AJ$1005,1))</f>
        <v>0</v>
      </c>
      <c r="AH17" s="96">
        <f>IF(Z17=0,0,COUNTIFS('ITENS_MTR'!$S$6:$S$1005,A17,'ITENS_MTR'!$AM$6:$AM$1005,1))</f>
        <v>0</v>
      </c>
      <c r="AI17" s="96">
        <f>IF(Z17=0,0,COUNTIFS('ITENS_MTR'!$S$6:$S$1005,A17,'ITENS_MTR'!$AO$6:$AO$1005,1))</f>
        <v>0</v>
      </c>
      <c r="AJ17" s="96">
        <f>IF(Z17=0,0,COUNTIFS('ITENS_MTR'!$S$6:$S$1005,A17,'ITENS_MTR'!$AN$6:$AN$1005,1))</f>
        <v>0</v>
      </c>
      <c r="AK17" s="96">
        <f>IF(Z17=0,0,COUNTIFS('RECEBIMENTOS'!$B$6:$B$1005,A17,'RECEBIMENTOS'!$Y$6:$Y$1005,1))</f>
        <v>0</v>
      </c>
      <c r="AL17" s="96">
        <f>IF(Z17=0,0,COUNTIFS('VÍNCULOS_CDF'!$D$6:$D$1005,A17,'VÍNCULOS_CDF'!$Y$6:$Y$1005,1))</f>
        <v>0</v>
      </c>
      <c r="AM17" s="96">
        <f>IF(Z17=0,0,COUNTIFS('RECEBIMENTOS'!$B$6:$B$1005,A17,'RECEBIMENTOS'!$Q$6:$Q$1005,1))</f>
        <v>0</v>
      </c>
      <c r="AN17" s="96">
        <f>IF(AND(Z17=1,N(W17)&gt;0,AG17=N(W17)),1,0)</f>
        <v>0</v>
      </c>
      <c r="AO17" s="96">
        <f>IF(AND(Z17=1,N(W17)&gt;0,AI17=N(W17)),1,0)</f>
        <v>0</v>
      </c>
      <c r="AP17" s="97">
        <f>IF(Z17=0,0,_xlfn.MAXIFS('RECEBIMENTOS'!$E$6:$E$1005,'RECEBIMENTOS'!$B$6:$B$1005,A17))</f>
        <v>0</v>
      </c>
      <c r="AQ17" s="97" t="str">
        <f>IF(T17="","",IF(T17="RECEBIMENTO NÃO CONFIRMADO",IF(ISNUMBER(F17),F17,IF(ISNUMBER(E17),E17,"")),IF(OR(T17="CDF NÃO LOCALIZADO",T17="VÍNCULO INCOMPLETO",T17="CDF A CONFERIR"),IF(AP17&gt;0,AP17,IF(ISNUMBER(E17),E17,"")),IF(ISNUMBER(E17),E17,""))))</f>
        <v/>
      </c>
      <c r="AR17" s="96">
        <f>IF(NOT(ISNUMBER(U17)),0,IF(T17="RECEBIMENTO NÃO CONFIRMADO",IF(AND(ISNUMBER(cfg_rec),U17&gt;cfg_rec),1,0),IF(OR(T17="CDF NÃO LOCALIZADO",T17="VÍNCULO INCOMPLETO",T17="CDF A CONFERIR"),IF(AND(ISNUMBER(cfg_cdf),U17&gt;cfg_cdf),1,0),0)))</f>
        <v>0</v>
      </c>
      <c r="AS17" s="96" t="str">
        <f>IF(T17="","",IF(AR17=1,"Alta",IFERROR(INDEX(cfg_pp,MATCH(T17,cfg_pt,0))&amp;"","Média")))</f>
        <v/>
      </c>
      <c r="AT17" s="96" t="str">
        <f>IF(T17="","",IFERROR(INDEX(cfg_pv,MATCH(T17,cfg_pt,0))&amp;"",""))</f>
        <v/>
      </c>
      <c r="AU17" s="96" t="str">
        <f>IF(T17="","",IF(AS17="Alta",1,IF(AS17="Média",2,3))*1000000000+(999999-IF(ISNUMBER(U17),MIN(U17,999999),0))*1000+12)</f>
        <v/>
      </c>
      <c r="AV17" s="96">
        <f>IF(T17&lt;&gt;"",1,0)</f>
        <v>0</v>
      </c>
      <c r="AW17" s="96" t="str">
        <f>IF(Z17=0,"",IF(AA17=1,"Cancelamento informado; ","")&amp;IF(AE17=1,"Campos essenciais ou itens faltando; ","")&amp;IF(AC17=1,"Possível duplicidade do número; ","")&amp;IF(AD17=1,"Cadastro ou datas a revisar; ","")&amp;IF(AF17&gt;0,"Item de resíduo com dado a revisar; ","")&amp;IF(AH17&gt;0,"Diferença de quantidade a analisar; ","")&amp;IF(AK17&gt;0,"Recebimento com alerta; ","")&amp;IF(AL17&gt;0,"Vínculo de CDF com alerta; ","")&amp;IF(AND(AA17=0,AN17=0),"Recebimento não confirmado; ","")&amp;IF(AND(AA17=0,AN17=1,AO17=0),"CDF pendente ou a conferir; ",""))</f>
        <v/>
      </c>
      <c r="AX17" s="96">
        <f>IF(Z17=0,0,IF(AND(OR(f_ini="",AND(ISNUMBER(E17),E17&gt;=f_ini)),OR(f_fim="",AND(ISNUMBER(E17),E17&lt;=f_fim)),OR(f_un="",f_un="(Todas)",G17=f_un),OR(f_tr="",f_tr="(Todos)",H17=f_tr),OR(f_de="",f_de="(Todos)",I17=f_de),OR(f_sit="",f_sit="(Todas)",S17=f_sit)),1,0))</f>
        <v>0</v>
      </c>
      <c r="AY17" s="96">
        <f>IF(AX17=0,0,IF(OR(f_res="",f_res="(Todos)"),1,IF(COUNTIFS('ITENS_MTR'!$S$6:$S$1005,A17,'ITENS_MTR'!$C$6:$C$1005,f_res)&gt;0,1,0)))</f>
        <v>0</v>
      </c>
      <c r="AZ17" s="97" t="str">
        <f>IF(ISNUMBER(E17),DATE(YEAR(E17),MONTH(E17),1),"")</f>
        <v/>
      </c>
      <c r="BA17" s="96">
        <f>IF(Z17=0,0,IF(AND(OR(r_ini="",AND(ISNUMBER(E17),E17&gt;=r_ini)),OR(r_fim="",AND(ISNUMBER(E17),E17&lt;=r_fim)),OR(r_un="",r_un="(Todas)",G17=r_un),OR(r_de="",r_de="(Todos)",I17=r_de)),1,0))</f>
        <v>0</v>
      </c>
      <c r="BB17" s="96" t="str">
        <f>IF(BA17=1,COUNTIF($BA$6:BA17,1),"")</f>
        <v/>
      </c>
      <c r="BC17" s="96" t="str">
        <f>IF(AND(AU17&lt;&gt;"",OR(r_un="",r_un="(Todas)",G17=r_un),OR(r_de="",r_de="(Todos)",I17=r_de)),AU17,"")</f>
        <v/>
      </c>
      <c r="BD17" s="96" t="str">
        <f>IF(Z17=1,A17&amp;" | nº "&amp;IF(B17="","(sem número)",B17)&amp;" | "&amp;IF(G17="","(sem unidade)",G17),"")</f>
        <v/>
      </c>
      <c r="BE17" s="96" t="str">
        <f>IF(Z17=1,COUNTIF($Z$6:Z17,1),"")</f>
        <v/>
      </c>
      <c r="BF17" s="96" t="str">
        <f>IF(T17="","",IF(T17="RECEBIMENTO NÃO CONFIRMADO","Transp.: "&amp;H17&amp;" | Dest.: "&amp;I17,IF(OR(T17="CDF NÃO LOCALIZADO",T17="VÍNCULO INCOMPLETO",T17="CDF A CONFERIR"),"Dest.: "&amp;I17,"Gerador: "&amp;G17)))</f>
        <v/>
      </c>
    </row>
    <row r="18">
      <c r="A18" s="89" t="inlineStr">
        <is>
          <t>MTR-000013</t>
        </is>
      </c>
      <c r="B18" s="90" t="n"/>
      <c r="C18" s="91" t="n"/>
      <c r="D18" s="91" t="n"/>
      <c r="E18" s="92" t="n"/>
      <c r="F18" s="92" t="n"/>
      <c r="G18" s="91" t="n"/>
      <c r="H18" s="91" t="n"/>
      <c r="I18" s="91" t="n"/>
      <c r="J18" s="91" t="n"/>
      <c r="K18" s="91" t="n"/>
      <c r="L18" s="92" t="n"/>
      <c r="M18" s="91" t="n"/>
      <c r="N18" s="91" t="n"/>
      <c r="O18" s="91" t="n"/>
      <c r="P18" s="93" t="str">
        <f>IF(Z18=0,"",SUMIFS('ITENS_MTR'!$I$6:$I$1005,'ITENS_MTR'!$S$6:$S$1005,A18,'ITENS_MTR'!$Y$6:$Y$1005,1))</f>
        <v/>
      </c>
      <c r="Q18" s="93" t="str">
        <f>IF(Z18=0,"",SUMIFS('RECEBIMENTOS'!$H$6:$H$1005,'RECEBIMENTOS'!$B$6:$B$1005,A18,'RECEBIMENTOS'!$X$6:$X$1005,1))</f>
        <v/>
      </c>
      <c r="R18" s="93" t="str">
        <f>IF(Z18=0,"",SUMIFS('VÍNCULOS_CDF'!$H$6:$H$1005,'VÍNCULOS_CDF'!$D$6:$D$1005,A18,'VÍNCULOS_CDF'!$V$6:$V$1005,1))</f>
        <v/>
      </c>
      <c r="S18" s="94" t="str">
        <f>IF(Z18=0,"",IF(AA18=1,"Cancelado (informado)",IF(AE18=1,"Cadastro incompleto",IF(OR(AC18=1,AD18=1,AF18&gt;0,AH18&gt;0,AK18&gt;0,AL18&gt;0),"Informação a revisar",IF(AN18=0,"Aguardando recebimento",IF(N(R18)=0,"Aguardando CDF",IF(AJ18&lt;N(W18),"Vínculo de CDF parcial",IF(AO18=0,"CDF localizado, a conferir","Documentação conferida"))))))))</f>
        <v/>
      </c>
      <c r="T18" s="94" t="str">
        <f>IF(Z18=0,"",IF(S18="Cadastro incompleto","MTR INCOMPLETO",IF(S18="Informação a revisar",IF(AND(AH18&gt;0,AC18=0,AD18=0,AF18=0,AK18=0,AL18=0),"QUANTIDADE A REVISAR","IDENTIFICAÇÃO A REVISAR"),IF(S18="Aguardando recebimento","RECEBIMENTO NÃO CONFIRMADO",IF(S18="Aguardando CDF","CDF NÃO LOCALIZADO",IF(S18="Vínculo de CDF parcial","VÍNCULO INCOMPLETO",IF(S18="CDF localizado, a conferir","CDF A CONFERIR","")))))))</f>
        <v/>
      </c>
      <c r="U18" s="95" t="str">
        <f>IF(T18="","",IF(AQ18="","Não calculável",IF(AQ18&gt;TODAY(),"Data futura",TODAY()-AQ18)))</f>
        <v/>
      </c>
      <c r="V18" s="93" t="str">
        <f>IF(Z18=0,"",SUMIFS('RECEBIMENTOS'!$H$6:$H$1005,'RECEBIMENTOS'!$B$6:$B$1005,A18,'RECEBIMENTOS'!$Z$6:$Z$1005,1))</f>
        <v/>
      </c>
      <c r="W18" s="95" t="str">
        <f>IF(Z18=0,"",COUNTIFS('ITENS_MTR'!$S$6:$S$1005,A18,'ITENS_MTR'!$R$6:$R$1005,1))</f>
        <v/>
      </c>
      <c r="X18" s="94" t="str">
        <f>IF(AC18=1,"POSSÍVEL DUPLICIDADE","")</f>
        <v/>
      </c>
      <c r="Y18" s="94" t="str">
        <f>IF(Z18=0,"",IF(AW18="","Nenhuma",LEFT(AW18,LEN(AW18)-2)))</f>
        <v/>
      </c>
      <c r="Z18" s="96">
        <f>IF(COUNTA(B18:O18)&gt;0,1,0)</f>
        <v>0</v>
      </c>
      <c r="AA18" s="96">
        <f>IF(AND(Z18=1,K18&lt;&gt;""),IF(TRIM(K18)=TRIM(cfg_cancel),1,0),0)</f>
        <v>0</v>
      </c>
      <c r="AB18" s="96" t="str">
        <f>IF(AND(Z18=1,B18&lt;&gt;""),C18&amp;"|"&amp;D18&amp;"|"&amp;G18&amp;"|"&amp;TRIM(B18),"")</f>
        <v/>
      </c>
      <c r="AC18" s="96">
        <f>IF(AB18="",0,IF(SUMPRODUCT(--($AB$6:$AB$505=AB18))&gt;1,1,0))</f>
        <v>0</v>
      </c>
      <c r="AD18" s="96">
        <f>IF(Z18=0,0,IF(OR(AND(G18&lt;&gt;"",ISNA(MATCH(G18,'CAD_UNIDADES'!$C$6:$C$105,0))),AND(H18&lt;&gt;"",ISNA(MATCH(H18,cmp_transp,0))),AND(I18&lt;&gt;"",ISNA(MATCH(I18,cmp_dest,0))),AND(E18&lt;&gt;"",NOT(ISNUMBER(E18))),AND(F18&lt;&gt;"",NOT(ISNUMBER(F18))),AND(ISNUMBER(E18),ISNUMBER(F18),F18&lt;E18)),1,0))</f>
        <v>0</v>
      </c>
      <c r="AE18" s="96">
        <f>IF(Z18=0,0,IF(OR(B18="",C18="",E18="",G18="",H18="",I18="",N(W18)=0),1,0))</f>
        <v>0</v>
      </c>
      <c r="AF18" s="96">
        <f>IF(Z18=0,0,COUNTIFS('ITENS_MTR'!$S$6:$S$1005,A18,'ITENS_MTR'!$AI$6:$AI$1005,1))</f>
        <v>0</v>
      </c>
      <c r="AG18" s="96">
        <f>IF(Z18=0,0,COUNTIFS('ITENS_MTR'!$S$6:$S$1005,A18,'ITENS_MTR'!$AJ$6:$AJ$1005,1))</f>
        <v>0</v>
      </c>
      <c r="AH18" s="96">
        <f>IF(Z18=0,0,COUNTIFS('ITENS_MTR'!$S$6:$S$1005,A18,'ITENS_MTR'!$AM$6:$AM$1005,1))</f>
        <v>0</v>
      </c>
      <c r="AI18" s="96">
        <f>IF(Z18=0,0,COUNTIFS('ITENS_MTR'!$S$6:$S$1005,A18,'ITENS_MTR'!$AO$6:$AO$1005,1))</f>
        <v>0</v>
      </c>
      <c r="AJ18" s="96">
        <f>IF(Z18=0,0,COUNTIFS('ITENS_MTR'!$S$6:$S$1005,A18,'ITENS_MTR'!$AN$6:$AN$1005,1))</f>
        <v>0</v>
      </c>
      <c r="AK18" s="96">
        <f>IF(Z18=0,0,COUNTIFS('RECEBIMENTOS'!$B$6:$B$1005,A18,'RECEBIMENTOS'!$Y$6:$Y$1005,1))</f>
        <v>0</v>
      </c>
      <c r="AL18" s="96">
        <f>IF(Z18=0,0,COUNTIFS('VÍNCULOS_CDF'!$D$6:$D$1005,A18,'VÍNCULOS_CDF'!$Y$6:$Y$1005,1))</f>
        <v>0</v>
      </c>
      <c r="AM18" s="96">
        <f>IF(Z18=0,0,COUNTIFS('RECEBIMENTOS'!$B$6:$B$1005,A18,'RECEBIMENTOS'!$Q$6:$Q$1005,1))</f>
        <v>0</v>
      </c>
      <c r="AN18" s="96">
        <f>IF(AND(Z18=1,N(W18)&gt;0,AG18=N(W18)),1,0)</f>
        <v>0</v>
      </c>
      <c r="AO18" s="96">
        <f>IF(AND(Z18=1,N(W18)&gt;0,AI18=N(W18)),1,0)</f>
        <v>0</v>
      </c>
      <c r="AP18" s="97">
        <f>IF(Z18=0,0,_xlfn.MAXIFS('RECEBIMENTOS'!$E$6:$E$1005,'RECEBIMENTOS'!$B$6:$B$1005,A18))</f>
        <v>0</v>
      </c>
      <c r="AQ18" s="97" t="str">
        <f>IF(T18="","",IF(T18="RECEBIMENTO NÃO CONFIRMADO",IF(ISNUMBER(F18),F18,IF(ISNUMBER(E18),E18,"")),IF(OR(T18="CDF NÃO LOCALIZADO",T18="VÍNCULO INCOMPLETO",T18="CDF A CONFERIR"),IF(AP18&gt;0,AP18,IF(ISNUMBER(E18),E18,"")),IF(ISNUMBER(E18),E18,""))))</f>
        <v/>
      </c>
      <c r="AR18" s="96">
        <f>IF(NOT(ISNUMBER(U18)),0,IF(T18="RECEBIMENTO NÃO CONFIRMADO",IF(AND(ISNUMBER(cfg_rec),U18&gt;cfg_rec),1,0),IF(OR(T18="CDF NÃO LOCALIZADO",T18="VÍNCULO INCOMPLETO",T18="CDF A CONFERIR"),IF(AND(ISNUMBER(cfg_cdf),U18&gt;cfg_cdf),1,0),0)))</f>
        <v>0</v>
      </c>
      <c r="AS18" s="96" t="str">
        <f>IF(T18="","",IF(AR18=1,"Alta",IFERROR(INDEX(cfg_pp,MATCH(T18,cfg_pt,0))&amp;"","Média")))</f>
        <v/>
      </c>
      <c r="AT18" s="96" t="str">
        <f>IF(T18="","",IFERROR(INDEX(cfg_pv,MATCH(T18,cfg_pt,0))&amp;"",""))</f>
        <v/>
      </c>
      <c r="AU18" s="96" t="str">
        <f>IF(T18="","",IF(AS18="Alta",1,IF(AS18="Média",2,3))*1000000000+(999999-IF(ISNUMBER(U18),MIN(U18,999999),0))*1000+13)</f>
        <v/>
      </c>
      <c r="AV18" s="96">
        <f>IF(T18&lt;&gt;"",1,0)</f>
        <v>0</v>
      </c>
      <c r="AW18" s="96" t="str">
        <f>IF(Z18=0,"",IF(AA18=1,"Cancelamento informado; ","")&amp;IF(AE18=1,"Campos essenciais ou itens faltando; ","")&amp;IF(AC18=1,"Possível duplicidade do número; ","")&amp;IF(AD18=1,"Cadastro ou datas a revisar; ","")&amp;IF(AF18&gt;0,"Item de resíduo com dado a revisar; ","")&amp;IF(AH18&gt;0,"Diferença de quantidade a analisar; ","")&amp;IF(AK18&gt;0,"Recebimento com alerta; ","")&amp;IF(AL18&gt;0,"Vínculo de CDF com alerta; ","")&amp;IF(AND(AA18=0,AN18=0),"Recebimento não confirmado; ","")&amp;IF(AND(AA18=0,AN18=1,AO18=0),"CDF pendente ou a conferir; ",""))</f>
        <v/>
      </c>
      <c r="AX18" s="96">
        <f>IF(Z18=0,0,IF(AND(OR(f_ini="",AND(ISNUMBER(E18),E18&gt;=f_ini)),OR(f_fim="",AND(ISNUMBER(E18),E18&lt;=f_fim)),OR(f_un="",f_un="(Todas)",G18=f_un),OR(f_tr="",f_tr="(Todos)",H18=f_tr),OR(f_de="",f_de="(Todos)",I18=f_de),OR(f_sit="",f_sit="(Todas)",S18=f_sit)),1,0))</f>
        <v>0</v>
      </c>
      <c r="AY18" s="96">
        <f>IF(AX18=0,0,IF(OR(f_res="",f_res="(Todos)"),1,IF(COUNTIFS('ITENS_MTR'!$S$6:$S$1005,A18,'ITENS_MTR'!$C$6:$C$1005,f_res)&gt;0,1,0)))</f>
        <v>0</v>
      </c>
      <c r="AZ18" s="97" t="str">
        <f>IF(ISNUMBER(E18),DATE(YEAR(E18),MONTH(E18),1),"")</f>
        <v/>
      </c>
      <c r="BA18" s="96">
        <f>IF(Z18=0,0,IF(AND(OR(r_ini="",AND(ISNUMBER(E18),E18&gt;=r_ini)),OR(r_fim="",AND(ISNUMBER(E18),E18&lt;=r_fim)),OR(r_un="",r_un="(Todas)",G18=r_un),OR(r_de="",r_de="(Todos)",I18=r_de)),1,0))</f>
        <v>0</v>
      </c>
      <c r="BB18" s="96" t="str">
        <f>IF(BA18=1,COUNTIF($BA$6:BA18,1),"")</f>
        <v/>
      </c>
      <c r="BC18" s="96" t="str">
        <f>IF(AND(AU18&lt;&gt;"",OR(r_un="",r_un="(Todas)",G18=r_un),OR(r_de="",r_de="(Todos)",I18=r_de)),AU18,"")</f>
        <v/>
      </c>
      <c r="BD18" s="96" t="str">
        <f>IF(Z18=1,A18&amp;" | nº "&amp;IF(B18="","(sem número)",B18)&amp;" | "&amp;IF(G18="","(sem unidade)",G18),"")</f>
        <v/>
      </c>
      <c r="BE18" s="96" t="str">
        <f>IF(Z18=1,COUNTIF($Z$6:Z18,1),"")</f>
        <v/>
      </c>
      <c r="BF18" s="96" t="str">
        <f>IF(T18="","",IF(T18="RECEBIMENTO NÃO CONFIRMADO","Transp.: "&amp;H18&amp;" | Dest.: "&amp;I18,IF(OR(T18="CDF NÃO LOCALIZADO",T18="VÍNCULO INCOMPLETO",T18="CDF A CONFERIR"),"Dest.: "&amp;I18,"Gerador: "&amp;G18)))</f>
        <v/>
      </c>
    </row>
    <row r="19">
      <c r="A19" s="89" t="inlineStr">
        <is>
          <t>MTR-000014</t>
        </is>
      </c>
      <c r="B19" s="90" t="n"/>
      <c r="C19" s="91" t="n"/>
      <c r="D19" s="91" t="n"/>
      <c r="E19" s="92" t="n"/>
      <c r="F19" s="92" t="n"/>
      <c r="G19" s="91" t="n"/>
      <c r="H19" s="91" t="n"/>
      <c r="I19" s="91" t="n"/>
      <c r="J19" s="91" t="n"/>
      <c r="K19" s="91" t="n"/>
      <c r="L19" s="92" t="n"/>
      <c r="M19" s="91" t="n"/>
      <c r="N19" s="91" t="n"/>
      <c r="O19" s="91" t="n"/>
      <c r="P19" s="93" t="str">
        <f>IF(Z19=0,"",SUMIFS('ITENS_MTR'!$I$6:$I$1005,'ITENS_MTR'!$S$6:$S$1005,A19,'ITENS_MTR'!$Y$6:$Y$1005,1))</f>
        <v/>
      </c>
      <c r="Q19" s="93" t="str">
        <f>IF(Z19=0,"",SUMIFS('RECEBIMENTOS'!$H$6:$H$1005,'RECEBIMENTOS'!$B$6:$B$1005,A19,'RECEBIMENTOS'!$X$6:$X$1005,1))</f>
        <v/>
      </c>
      <c r="R19" s="93" t="str">
        <f>IF(Z19=0,"",SUMIFS('VÍNCULOS_CDF'!$H$6:$H$1005,'VÍNCULOS_CDF'!$D$6:$D$1005,A19,'VÍNCULOS_CDF'!$V$6:$V$1005,1))</f>
        <v/>
      </c>
      <c r="S19" s="94" t="str">
        <f>IF(Z19=0,"",IF(AA19=1,"Cancelado (informado)",IF(AE19=1,"Cadastro incompleto",IF(OR(AC19=1,AD19=1,AF19&gt;0,AH19&gt;0,AK19&gt;0,AL19&gt;0),"Informação a revisar",IF(AN19=0,"Aguardando recebimento",IF(N(R19)=0,"Aguardando CDF",IF(AJ19&lt;N(W19),"Vínculo de CDF parcial",IF(AO19=0,"CDF localizado, a conferir","Documentação conferida"))))))))</f>
        <v/>
      </c>
      <c r="T19" s="94" t="str">
        <f>IF(Z19=0,"",IF(S19="Cadastro incompleto","MTR INCOMPLETO",IF(S19="Informação a revisar",IF(AND(AH19&gt;0,AC19=0,AD19=0,AF19=0,AK19=0,AL19=0),"QUANTIDADE A REVISAR","IDENTIFICAÇÃO A REVISAR"),IF(S19="Aguardando recebimento","RECEBIMENTO NÃO CONFIRMADO",IF(S19="Aguardando CDF","CDF NÃO LOCALIZADO",IF(S19="Vínculo de CDF parcial","VÍNCULO INCOMPLETO",IF(S19="CDF localizado, a conferir","CDF A CONFERIR","")))))))</f>
        <v/>
      </c>
      <c r="U19" s="95" t="str">
        <f>IF(T19="","",IF(AQ19="","Não calculável",IF(AQ19&gt;TODAY(),"Data futura",TODAY()-AQ19)))</f>
        <v/>
      </c>
      <c r="V19" s="93" t="str">
        <f>IF(Z19=0,"",SUMIFS('RECEBIMENTOS'!$H$6:$H$1005,'RECEBIMENTOS'!$B$6:$B$1005,A19,'RECEBIMENTOS'!$Z$6:$Z$1005,1))</f>
        <v/>
      </c>
      <c r="W19" s="95" t="str">
        <f>IF(Z19=0,"",COUNTIFS('ITENS_MTR'!$S$6:$S$1005,A19,'ITENS_MTR'!$R$6:$R$1005,1))</f>
        <v/>
      </c>
      <c r="X19" s="94" t="str">
        <f>IF(AC19=1,"POSSÍVEL DUPLICIDADE","")</f>
        <v/>
      </c>
      <c r="Y19" s="94" t="str">
        <f>IF(Z19=0,"",IF(AW19="","Nenhuma",LEFT(AW19,LEN(AW19)-2)))</f>
        <v/>
      </c>
      <c r="Z19" s="96">
        <f>IF(COUNTA(B19:O19)&gt;0,1,0)</f>
        <v>0</v>
      </c>
      <c r="AA19" s="96">
        <f>IF(AND(Z19=1,K19&lt;&gt;""),IF(TRIM(K19)=TRIM(cfg_cancel),1,0),0)</f>
        <v>0</v>
      </c>
      <c r="AB19" s="96" t="str">
        <f>IF(AND(Z19=1,B19&lt;&gt;""),C19&amp;"|"&amp;D19&amp;"|"&amp;G19&amp;"|"&amp;TRIM(B19),"")</f>
        <v/>
      </c>
      <c r="AC19" s="96">
        <f>IF(AB19="",0,IF(SUMPRODUCT(--($AB$6:$AB$505=AB19))&gt;1,1,0))</f>
        <v>0</v>
      </c>
      <c r="AD19" s="96">
        <f>IF(Z19=0,0,IF(OR(AND(G19&lt;&gt;"",ISNA(MATCH(G19,'CAD_UNIDADES'!$C$6:$C$105,0))),AND(H19&lt;&gt;"",ISNA(MATCH(H19,cmp_transp,0))),AND(I19&lt;&gt;"",ISNA(MATCH(I19,cmp_dest,0))),AND(E19&lt;&gt;"",NOT(ISNUMBER(E19))),AND(F19&lt;&gt;"",NOT(ISNUMBER(F19))),AND(ISNUMBER(E19),ISNUMBER(F19),F19&lt;E19)),1,0))</f>
        <v>0</v>
      </c>
      <c r="AE19" s="96">
        <f>IF(Z19=0,0,IF(OR(B19="",C19="",E19="",G19="",H19="",I19="",N(W19)=0),1,0))</f>
        <v>0</v>
      </c>
      <c r="AF19" s="96">
        <f>IF(Z19=0,0,COUNTIFS('ITENS_MTR'!$S$6:$S$1005,A19,'ITENS_MTR'!$AI$6:$AI$1005,1))</f>
        <v>0</v>
      </c>
      <c r="AG19" s="96">
        <f>IF(Z19=0,0,COUNTIFS('ITENS_MTR'!$S$6:$S$1005,A19,'ITENS_MTR'!$AJ$6:$AJ$1005,1))</f>
        <v>0</v>
      </c>
      <c r="AH19" s="96">
        <f>IF(Z19=0,0,COUNTIFS('ITENS_MTR'!$S$6:$S$1005,A19,'ITENS_MTR'!$AM$6:$AM$1005,1))</f>
        <v>0</v>
      </c>
      <c r="AI19" s="96">
        <f>IF(Z19=0,0,COUNTIFS('ITENS_MTR'!$S$6:$S$1005,A19,'ITENS_MTR'!$AO$6:$AO$1005,1))</f>
        <v>0</v>
      </c>
      <c r="AJ19" s="96">
        <f>IF(Z19=0,0,COUNTIFS('ITENS_MTR'!$S$6:$S$1005,A19,'ITENS_MTR'!$AN$6:$AN$1005,1))</f>
        <v>0</v>
      </c>
      <c r="AK19" s="96">
        <f>IF(Z19=0,0,COUNTIFS('RECEBIMENTOS'!$B$6:$B$1005,A19,'RECEBIMENTOS'!$Y$6:$Y$1005,1))</f>
        <v>0</v>
      </c>
      <c r="AL19" s="96">
        <f>IF(Z19=0,0,COUNTIFS('VÍNCULOS_CDF'!$D$6:$D$1005,A19,'VÍNCULOS_CDF'!$Y$6:$Y$1005,1))</f>
        <v>0</v>
      </c>
      <c r="AM19" s="96">
        <f>IF(Z19=0,0,COUNTIFS('RECEBIMENTOS'!$B$6:$B$1005,A19,'RECEBIMENTOS'!$Q$6:$Q$1005,1))</f>
        <v>0</v>
      </c>
      <c r="AN19" s="96">
        <f>IF(AND(Z19=1,N(W19)&gt;0,AG19=N(W19)),1,0)</f>
        <v>0</v>
      </c>
      <c r="AO19" s="96">
        <f>IF(AND(Z19=1,N(W19)&gt;0,AI19=N(W19)),1,0)</f>
        <v>0</v>
      </c>
      <c r="AP19" s="97">
        <f>IF(Z19=0,0,_xlfn.MAXIFS('RECEBIMENTOS'!$E$6:$E$1005,'RECEBIMENTOS'!$B$6:$B$1005,A19))</f>
        <v>0</v>
      </c>
      <c r="AQ19" s="97" t="str">
        <f>IF(T19="","",IF(T19="RECEBIMENTO NÃO CONFIRMADO",IF(ISNUMBER(F19),F19,IF(ISNUMBER(E19),E19,"")),IF(OR(T19="CDF NÃO LOCALIZADO",T19="VÍNCULO INCOMPLETO",T19="CDF A CONFERIR"),IF(AP19&gt;0,AP19,IF(ISNUMBER(E19),E19,"")),IF(ISNUMBER(E19),E19,""))))</f>
        <v/>
      </c>
      <c r="AR19" s="96">
        <f>IF(NOT(ISNUMBER(U19)),0,IF(T19="RECEBIMENTO NÃO CONFIRMADO",IF(AND(ISNUMBER(cfg_rec),U19&gt;cfg_rec),1,0),IF(OR(T19="CDF NÃO LOCALIZADO",T19="VÍNCULO INCOMPLETO",T19="CDF A CONFERIR"),IF(AND(ISNUMBER(cfg_cdf),U19&gt;cfg_cdf),1,0),0)))</f>
        <v>0</v>
      </c>
      <c r="AS19" s="96" t="str">
        <f>IF(T19="","",IF(AR19=1,"Alta",IFERROR(INDEX(cfg_pp,MATCH(T19,cfg_pt,0))&amp;"","Média")))</f>
        <v/>
      </c>
      <c r="AT19" s="96" t="str">
        <f>IF(T19="","",IFERROR(INDEX(cfg_pv,MATCH(T19,cfg_pt,0))&amp;"",""))</f>
        <v/>
      </c>
      <c r="AU19" s="96" t="str">
        <f>IF(T19="","",IF(AS19="Alta",1,IF(AS19="Média",2,3))*1000000000+(999999-IF(ISNUMBER(U19),MIN(U19,999999),0))*1000+14)</f>
        <v/>
      </c>
      <c r="AV19" s="96">
        <f>IF(T19&lt;&gt;"",1,0)</f>
        <v>0</v>
      </c>
      <c r="AW19" s="96" t="str">
        <f>IF(Z19=0,"",IF(AA19=1,"Cancelamento informado; ","")&amp;IF(AE19=1,"Campos essenciais ou itens faltando; ","")&amp;IF(AC19=1,"Possível duplicidade do número; ","")&amp;IF(AD19=1,"Cadastro ou datas a revisar; ","")&amp;IF(AF19&gt;0,"Item de resíduo com dado a revisar; ","")&amp;IF(AH19&gt;0,"Diferença de quantidade a analisar; ","")&amp;IF(AK19&gt;0,"Recebimento com alerta; ","")&amp;IF(AL19&gt;0,"Vínculo de CDF com alerta; ","")&amp;IF(AND(AA19=0,AN19=0),"Recebimento não confirmado; ","")&amp;IF(AND(AA19=0,AN19=1,AO19=0),"CDF pendente ou a conferir; ",""))</f>
        <v/>
      </c>
      <c r="AX19" s="96">
        <f>IF(Z19=0,0,IF(AND(OR(f_ini="",AND(ISNUMBER(E19),E19&gt;=f_ini)),OR(f_fim="",AND(ISNUMBER(E19),E19&lt;=f_fim)),OR(f_un="",f_un="(Todas)",G19=f_un),OR(f_tr="",f_tr="(Todos)",H19=f_tr),OR(f_de="",f_de="(Todos)",I19=f_de),OR(f_sit="",f_sit="(Todas)",S19=f_sit)),1,0))</f>
        <v>0</v>
      </c>
      <c r="AY19" s="96">
        <f>IF(AX19=0,0,IF(OR(f_res="",f_res="(Todos)"),1,IF(COUNTIFS('ITENS_MTR'!$S$6:$S$1005,A19,'ITENS_MTR'!$C$6:$C$1005,f_res)&gt;0,1,0)))</f>
        <v>0</v>
      </c>
      <c r="AZ19" s="97" t="str">
        <f>IF(ISNUMBER(E19),DATE(YEAR(E19),MONTH(E19),1),"")</f>
        <v/>
      </c>
      <c r="BA19" s="96">
        <f>IF(Z19=0,0,IF(AND(OR(r_ini="",AND(ISNUMBER(E19),E19&gt;=r_ini)),OR(r_fim="",AND(ISNUMBER(E19),E19&lt;=r_fim)),OR(r_un="",r_un="(Todas)",G19=r_un),OR(r_de="",r_de="(Todos)",I19=r_de)),1,0))</f>
        <v>0</v>
      </c>
      <c r="BB19" s="96" t="str">
        <f>IF(BA19=1,COUNTIF($BA$6:BA19,1),"")</f>
        <v/>
      </c>
      <c r="BC19" s="96" t="str">
        <f>IF(AND(AU19&lt;&gt;"",OR(r_un="",r_un="(Todas)",G19=r_un),OR(r_de="",r_de="(Todos)",I19=r_de)),AU19,"")</f>
        <v/>
      </c>
      <c r="BD19" s="96" t="str">
        <f>IF(Z19=1,A19&amp;" | nº "&amp;IF(B19="","(sem número)",B19)&amp;" | "&amp;IF(G19="","(sem unidade)",G19),"")</f>
        <v/>
      </c>
      <c r="BE19" s="96" t="str">
        <f>IF(Z19=1,COUNTIF($Z$6:Z19,1),"")</f>
        <v/>
      </c>
      <c r="BF19" s="96" t="str">
        <f>IF(T19="","",IF(T19="RECEBIMENTO NÃO CONFIRMADO","Transp.: "&amp;H19&amp;" | Dest.: "&amp;I19,IF(OR(T19="CDF NÃO LOCALIZADO",T19="VÍNCULO INCOMPLETO",T19="CDF A CONFERIR"),"Dest.: "&amp;I19,"Gerador: "&amp;G19)))</f>
        <v/>
      </c>
    </row>
    <row r="20">
      <c r="A20" s="89" t="inlineStr">
        <is>
          <t>MTR-000015</t>
        </is>
      </c>
      <c r="B20" s="90" t="n"/>
      <c r="C20" s="91" t="n"/>
      <c r="D20" s="91" t="n"/>
      <c r="E20" s="92" t="n"/>
      <c r="F20" s="92" t="n"/>
      <c r="G20" s="91" t="n"/>
      <c r="H20" s="91" t="n"/>
      <c r="I20" s="91" t="n"/>
      <c r="J20" s="91" t="n"/>
      <c r="K20" s="91" t="n"/>
      <c r="L20" s="92" t="n"/>
      <c r="M20" s="91" t="n"/>
      <c r="N20" s="91" t="n"/>
      <c r="O20" s="91" t="n"/>
      <c r="P20" s="93" t="str">
        <f>IF(Z20=0,"",SUMIFS('ITENS_MTR'!$I$6:$I$1005,'ITENS_MTR'!$S$6:$S$1005,A20,'ITENS_MTR'!$Y$6:$Y$1005,1))</f>
        <v/>
      </c>
      <c r="Q20" s="93" t="str">
        <f>IF(Z20=0,"",SUMIFS('RECEBIMENTOS'!$H$6:$H$1005,'RECEBIMENTOS'!$B$6:$B$1005,A20,'RECEBIMENTOS'!$X$6:$X$1005,1))</f>
        <v/>
      </c>
      <c r="R20" s="93" t="str">
        <f>IF(Z20=0,"",SUMIFS('VÍNCULOS_CDF'!$H$6:$H$1005,'VÍNCULOS_CDF'!$D$6:$D$1005,A20,'VÍNCULOS_CDF'!$V$6:$V$1005,1))</f>
        <v/>
      </c>
      <c r="S20" s="94" t="str">
        <f>IF(Z20=0,"",IF(AA20=1,"Cancelado (informado)",IF(AE20=1,"Cadastro incompleto",IF(OR(AC20=1,AD20=1,AF20&gt;0,AH20&gt;0,AK20&gt;0,AL20&gt;0),"Informação a revisar",IF(AN20=0,"Aguardando recebimento",IF(N(R20)=0,"Aguardando CDF",IF(AJ20&lt;N(W20),"Vínculo de CDF parcial",IF(AO20=0,"CDF localizado, a conferir","Documentação conferida"))))))))</f>
        <v/>
      </c>
      <c r="T20" s="94" t="str">
        <f>IF(Z20=0,"",IF(S20="Cadastro incompleto","MTR INCOMPLETO",IF(S20="Informação a revisar",IF(AND(AH20&gt;0,AC20=0,AD20=0,AF20=0,AK20=0,AL20=0),"QUANTIDADE A REVISAR","IDENTIFICAÇÃO A REVISAR"),IF(S20="Aguardando recebimento","RECEBIMENTO NÃO CONFIRMADO",IF(S20="Aguardando CDF","CDF NÃO LOCALIZADO",IF(S20="Vínculo de CDF parcial","VÍNCULO INCOMPLETO",IF(S20="CDF localizado, a conferir","CDF A CONFERIR","")))))))</f>
        <v/>
      </c>
      <c r="U20" s="95" t="str">
        <f>IF(T20="","",IF(AQ20="","Não calculável",IF(AQ20&gt;TODAY(),"Data futura",TODAY()-AQ20)))</f>
        <v/>
      </c>
      <c r="V20" s="93" t="str">
        <f>IF(Z20=0,"",SUMIFS('RECEBIMENTOS'!$H$6:$H$1005,'RECEBIMENTOS'!$B$6:$B$1005,A20,'RECEBIMENTOS'!$Z$6:$Z$1005,1))</f>
        <v/>
      </c>
      <c r="W20" s="95" t="str">
        <f>IF(Z20=0,"",COUNTIFS('ITENS_MTR'!$S$6:$S$1005,A20,'ITENS_MTR'!$R$6:$R$1005,1))</f>
        <v/>
      </c>
      <c r="X20" s="94" t="str">
        <f>IF(AC20=1,"POSSÍVEL DUPLICIDADE","")</f>
        <v/>
      </c>
      <c r="Y20" s="94" t="str">
        <f>IF(Z20=0,"",IF(AW20="","Nenhuma",LEFT(AW20,LEN(AW20)-2)))</f>
        <v/>
      </c>
      <c r="Z20" s="96">
        <f>IF(COUNTA(B20:O20)&gt;0,1,0)</f>
        <v>0</v>
      </c>
      <c r="AA20" s="96">
        <f>IF(AND(Z20=1,K20&lt;&gt;""),IF(TRIM(K20)=TRIM(cfg_cancel),1,0),0)</f>
        <v>0</v>
      </c>
      <c r="AB20" s="96" t="str">
        <f>IF(AND(Z20=1,B20&lt;&gt;""),C20&amp;"|"&amp;D20&amp;"|"&amp;G20&amp;"|"&amp;TRIM(B20),"")</f>
        <v/>
      </c>
      <c r="AC20" s="96">
        <f>IF(AB20="",0,IF(SUMPRODUCT(--($AB$6:$AB$505=AB20))&gt;1,1,0))</f>
        <v>0</v>
      </c>
      <c r="AD20" s="96">
        <f>IF(Z20=0,0,IF(OR(AND(G20&lt;&gt;"",ISNA(MATCH(G20,'CAD_UNIDADES'!$C$6:$C$105,0))),AND(H20&lt;&gt;"",ISNA(MATCH(H20,cmp_transp,0))),AND(I20&lt;&gt;"",ISNA(MATCH(I20,cmp_dest,0))),AND(E20&lt;&gt;"",NOT(ISNUMBER(E20))),AND(F20&lt;&gt;"",NOT(ISNUMBER(F20))),AND(ISNUMBER(E20),ISNUMBER(F20),F20&lt;E20)),1,0))</f>
        <v>0</v>
      </c>
      <c r="AE20" s="96">
        <f>IF(Z20=0,0,IF(OR(B20="",C20="",E20="",G20="",H20="",I20="",N(W20)=0),1,0))</f>
        <v>0</v>
      </c>
      <c r="AF20" s="96">
        <f>IF(Z20=0,0,COUNTIFS('ITENS_MTR'!$S$6:$S$1005,A20,'ITENS_MTR'!$AI$6:$AI$1005,1))</f>
        <v>0</v>
      </c>
      <c r="AG20" s="96">
        <f>IF(Z20=0,0,COUNTIFS('ITENS_MTR'!$S$6:$S$1005,A20,'ITENS_MTR'!$AJ$6:$AJ$1005,1))</f>
        <v>0</v>
      </c>
      <c r="AH20" s="96">
        <f>IF(Z20=0,0,COUNTIFS('ITENS_MTR'!$S$6:$S$1005,A20,'ITENS_MTR'!$AM$6:$AM$1005,1))</f>
        <v>0</v>
      </c>
      <c r="AI20" s="96">
        <f>IF(Z20=0,0,COUNTIFS('ITENS_MTR'!$S$6:$S$1005,A20,'ITENS_MTR'!$AO$6:$AO$1005,1))</f>
        <v>0</v>
      </c>
      <c r="AJ20" s="96">
        <f>IF(Z20=0,0,COUNTIFS('ITENS_MTR'!$S$6:$S$1005,A20,'ITENS_MTR'!$AN$6:$AN$1005,1))</f>
        <v>0</v>
      </c>
      <c r="AK20" s="96">
        <f>IF(Z20=0,0,COUNTIFS('RECEBIMENTOS'!$B$6:$B$1005,A20,'RECEBIMENTOS'!$Y$6:$Y$1005,1))</f>
        <v>0</v>
      </c>
      <c r="AL20" s="96">
        <f>IF(Z20=0,0,COUNTIFS('VÍNCULOS_CDF'!$D$6:$D$1005,A20,'VÍNCULOS_CDF'!$Y$6:$Y$1005,1))</f>
        <v>0</v>
      </c>
      <c r="AM20" s="96">
        <f>IF(Z20=0,0,COUNTIFS('RECEBIMENTOS'!$B$6:$B$1005,A20,'RECEBIMENTOS'!$Q$6:$Q$1005,1))</f>
        <v>0</v>
      </c>
      <c r="AN20" s="96">
        <f>IF(AND(Z20=1,N(W20)&gt;0,AG20=N(W20)),1,0)</f>
        <v>0</v>
      </c>
      <c r="AO20" s="96">
        <f>IF(AND(Z20=1,N(W20)&gt;0,AI20=N(W20)),1,0)</f>
        <v>0</v>
      </c>
      <c r="AP20" s="97">
        <f>IF(Z20=0,0,_xlfn.MAXIFS('RECEBIMENTOS'!$E$6:$E$1005,'RECEBIMENTOS'!$B$6:$B$1005,A20))</f>
        <v>0</v>
      </c>
      <c r="AQ20" s="97" t="str">
        <f>IF(T20="","",IF(T20="RECEBIMENTO NÃO CONFIRMADO",IF(ISNUMBER(F20),F20,IF(ISNUMBER(E20),E20,"")),IF(OR(T20="CDF NÃO LOCALIZADO",T20="VÍNCULO INCOMPLETO",T20="CDF A CONFERIR"),IF(AP20&gt;0,AP20,IF(ISNUMBER(E20),E20,"")),IF(ISNUMBER(E20),E20,""))))</f>
        <v/>
      </c>
      <c r="AR20" s="96">
        <f>IF(NOT(ISNUMBER(U20)),0,IF(T20="RECEBIMENTO NÃO CONFIRMADO",IF(AND(ISNUMBER(cfg_rec),U20&gt;cfg_rec),1,0),IF(OR(T20="CDF NÃO LOCALIZADO",T20="VÍNCULO INCOMPLETO",T20="CDF A CONFERIR"),IF(AND(ISNUMBER(cfg_cdf),U20&gt;cfg_cdf),1,0),0)))</f>
        <v>0</v>
      </c>
      <c r="AS20" s="96" t="str">
        <f>IF(T20="","",IF(AR20=1,"Alta",IFERROR(INDEX(cfg_pp,MATCH(T20,cfg_pt,0))&amp;"","Média")))</f>
        <v/>
      </c>
      <c r="AT20" s="96" t="str">
        <f>IF(T20="","",IFERROR(INDEX(cfg_pv,MATCH(T20,cfg_pt,0))&amp;"",""))</f>
        <v/>
      </c>
      <c r="AU20" s="96" t="str">
        <f>IF(T20="","",IF(AS20="Alta",1,IF(AS20="Média",2,3))*1000000000+(999999-IF(ISNUMBER(U20),MIN(U20,999999),0))*1000+15)</f>
        <v/>
      </c>
      <c r="AV20" s="96">
        <f>IF(T20&lt;&gt;"",1,0)</f>
        <v>0</v>
      </c>
      <c r="AW20" s="96" t="str">
        <f>IF(Z20=0,"",IF(AA20=1,"Cancelamento informado; ","")&amp;IF(AE20=1,"Campos essenciais ou itens faltando; ","")&amp;IF(AC20=1,"Possível duplicidade do número; ","")&amp;IF(AD20=1,"Cadastro ou datas a revisar; ","")&amp;IF(AF20&gt;0,"Item de resíduo com dado a revisar; ","")&amp;IF(AH20&gt;0,"Diferença de quantidade a analisar; ","")&amp;IF(AK20&gt;0,"Recebimento com alerta; ","")&amp;IF(AL20&gt;0,"Vínculo de CDF com alerta; ","")&amp;IF(AND(AA20=0,AN20=0),"Recebimento não confirmado; ","")&amp;IF(AND(AA20=0,AN20=1,AO20=0),"CDF pendente ou a conferir; ",""))</f>
        <v/>
      </c>
      <c r="AX20" s="96">
        <f>IF(Z20=0,0,IF(AND(OR(f_ini="",AND(ISNUMBER(E20),E20&gt;=f_ini)),OR(f_fim="",AND(ISNUMBER(E20),E20&lt;=f_fim)),OR(f_un="",f_un="(Todas)",G20=f_un),OR(f_tr="",f_tr="(Todos)",H20=f_tr),OR(f_de="",f_de="(Todos)",I20=f_de),OR(f_sit="",f_sit="(Todas)",S20=f_sit)),1,0))</f>
        <v>0</v>
      </c>
      <c r="AY20" s="96">
        <f>IF(AX20=0,0,IF(OR(f_res="",f_res="(Todos)"),1,IF(COUNTIFS('ITENS_MTR'!$S$6:$S$1005,A20,'ITENS_MTR'!$C$6:$C$1005,f_res)&gt;0,1,0)))</f>
        <v>0</v>
      </c>
      <c r="AZ20" s="97" t="str">
        <f>IF(ISNUMBER(E20),DATE(YEAR(E20),MONTH(E20),1),"")</f>
        <v/>
      </c>
      <c r="BA20" s="96">
        <f>IF(Z20=0,0,IF(AND(OR(r_ini="",AND(ISNUMBER(E20),E20&gt;=r_ini)),OR(r_fim="",AND(ISNUMBER(E20),E20&lt;=r_fim)),OR(r_un="",r_un="(Todas)",G20=r_un),OR(r_de="",r_de="(Todos)",I20=r_de)),1,0))</f>
        <v>0</v>
      </c>
      <c r="BB20" s="96" t="str">
        <f>IF(BA20=1,COUNTIF($BA$6:BA20,1),"")</f>
        <v/>
      </c>
      <c r="BC20" s="96" t="str">
        <f>IF(AND(AU20&lt;&gt;"",OR(r_un="",r_un="(Todas)",G20=r_un),OR(r_de="",r_de="(Todos)",I20=r_de)),AU20,"")</f>
        <v/>
      </c>
      <c r="BD20" s="96" t="str">
        <f>IF(Z20=1,A20&amp;" | nº "&amp;IF(B20="","(sem número)",B20)&amp;" | "&amp;IF(G20="","(sem unidade)",G20),"")</f>
        <v/>
      </c>
      <c r="BE20" s="96" t="str">
        <f>IF(Z20=1,COUNTIF($Z$6:Z20,1),"")</f>
        <v/>
      </c>
      <c r="BF20" s="96" t="str">
        <f>IF(T20="","",IF(T20="RECEBIMENTO NÃO CONFIRMADO","Transp.: "&amp;H20&amp;" | Dest.: "&amp;I20,IF(OR(T20="CDF NÃO LOCALIZADO",T20="VÍNCULO INCOMPLETO",T20="CDF A CONFERIR"),"Dest.: "&amp;I20,"Gerador: "&amp;G20)))</f>
        <v/>
      </c>
    </row>
    <row r="21">
      <c r="A21" s="89" t="inlineStr">
        <is>
          <t>MTR-000016</t>
        </is>
      </c>
      <c r="B21" s="90" t="n"/>
      <c r="C21" s="91" t="n"/>
      <c r="D21" s="91" t="n"/>
      <c r="E21" s="92" t="n"/>
      <c r="F21" s="92" t="n"/>
      <c r="G21" s="91" t="n"/>
      <c r="H21" s="91" t="n"/>
      <c r="I21" s="91" t="n"/>
      <c r="J21" s="91" t="n"/>
      <c r="K21" s="91" t="n"/>
      <c r="L21" s="92" t="n"/>
      <c r="M21" s="91" t="n"/>
      <c r="N21" s="91" t="n"/>
      <c r="O21" s="91" t="n"/>
      <c r="P21" s="93" t="str">
        <f>IF(Z21=0,"",SUMIFS('ITENS_MTR'!$I$6:$I$1005,'ITENS_MTR'!$S$6:$S$1005,A21,'ITENS_MTR'!$Y$6:$Y$1005,1))</f>
        <v/>
      </c>
      <c r="Q21" s="93" t="str">
        <f>IF(Z21=0,"",SUMIFS('RECEBIMENTOS'!$H$6:$H$1005,'RECEBIMENTOS'!$B$6:$B$1005,A21,'RECEBIMENTOS'!$X$6:$X$1005,1))</f>
        <v/>
      </c>
      <c r="R21" s="93" t="str">
        <f>IF(Z21=0,"",SUMIFS('VÍNCULOS_CDF'!$H$6:$H$1005,'VÍNCULOS_CDF'!$D$6:$D$1005,A21,'VÍNCULOS_CDF'!$V$6:$V$1005,1))</f>
        <v/>
      </c>
      <c r="S21" s="94" t="str">
        <f>IF(Z21=0,"",IF(AA21=1,"Cancelado (informado)",IF(AE21=1,"Cadastro incompleto",IF(OR(AC21=1,AD21=1,AF21&gt;0,AH21&gt;0,AK21&gt;0,AL21&gt;0),"Informação a revisar",IF(AN21=0,"Aguardando recebimento",IF(N(R21)=0,"Aguardando CDF",IF(AJ21&lt;N(W21),"Vínculo de CDF parcial",IF(AO21=0,"CDF localizado, a conferir","Documentação conferida"))))))))</f>
        <v/>
      </c>
      <c r="T21" s="94" t="str">
        <f>IF(Z21=0,"",IF(S21="Cadastro incompleto","MTR INCOMPLETO",IF(S21="Informação a revisar",IF(AND(AH21&gt;0,AC21=0,AD21=0,AF21=0,AK21=0,AL21=0),"QUANTIDADE A REVISAR","IDENTIFICAÇÃO A REVISAR"),IF(S21="Aguardando recebimento","RECEBIMENTO NÃO CONFIRMADO",IF(S21="Aguardando CDF","CDF NÃO LOCALIZADO",IF(S21="Vínculo de CDF parcial","VÍNCULO INCOMPLETO",IF(S21="CDF localizado, a conferir","CDF A CONFERIR","")))))))</f>
        <v/>
      </c>
      <c r="U21" s="95" t="str">
        <f>IF(T21="","",IF(AQ21="","Não calculável",IF(AQ21&gt;TODAY(),"Data futura",TODAY()-AQ21)))</f>
        <v/>
      </c>
      <c r="V21" s="93" t="str">
        <f>IF(Z21=0,"",SUMIFS('RECEBIMENTOS'!$H$6:$H$1005,'RECEBIMENTOS'!$B$6:$B$1005,A21,'RECEBIMENTOS'!$Z$6:$Z$1005,1))</f>
        <v/>
      </c>
      <c r="W21" s="95" t="str">
        <f>IF(Z21=0,"",COUNTIFS('ITENS_MTR'!$S$6:$S$1005,A21,'ITENS_MTR'!$R$6:$R$1005,1))</f>
        <v/>
      </c>
      <c r="X21" s="94" t="str">
        <f>IF(AC21=1,"POSSÍVEL DUPLICIDADE","")</f>
        <v/>
      </c>
      <c r="Y21" s="94" t="str">
        <f>IF(Z21=0,"",IF(AW21="","Nenhuma",LEFT(AW21,LEN(AW21)-2)))</f>
        <v/>
      </c>
      <c r="Z21" s="96">
        <f>IF(COUNTA(B21:O21)&gt;0,1,0)</f>
        <v>0</v>
      </c>
      <c r="AA21" s="96">
        <f>IF(AND(Z21=1,K21&lt;&gt;""),IF(TRIM(K21)=TRIM(cfg_cancel),1,0),0)</f>
        <v>0</v>
      </c>
      <c r="AB21" s="96" t="str">
        <f>IF(AND(Z21=1,B21&lt;&gt;""),C21&amp;"|"&amp;D21&amp;"|"&amp;G21&amp;"|"&amp;TRIM(B21),"")</f>
        <v/>
      </c>
      <c r="AC21" s="96">
        <f>IF(AB21="",0,IF(SUMPRODUCT(--($AB$6:$AB$505=AB21))&gt;1,1,0))</f>
        <v>0</v>
      </c>
      <c r="AD21" s="96">
        <f>IF(Z21=0,0,IF(OR(AND(G21&lt;&gt;"",ISNA(MATCH(G21,'CAD_UNIDADES'!$C$6:$C$105,0))),AND(H21&lt;&gt;"",ISNA(MATCH(H21,cmp_transp,0))),AND(I21&lt;&gt;"",ISNA(MATCH(I21,cmp_dest,0))),AND(E21&lt;&gt;"",NOT(ISNUMBER(E21))),AND(F21&lt;&gt;"",NOT(ISNUMBER(F21))),AND(ISNUMBER(E21),ISNUMBER(F21),F21&lt;E21)),1,0))</f>
        <v>0</v>
      </c>
      <c r="AE21" s="96">
        <f>IF(Z21=0,0,IF(OR(B21="",C21="",E21="",G21="",H21="",I21="",N(W21)=0),1,0))</f>
        <v>0</v>
      </c>
      <c r="AF21" s="96">
        <f>IF(Z21=0,0,COUNTIFS('ITENS_MTR'!$S$6:$S$1005,A21,'ITENS_MTR'!$AI$6:$AI$1005,1))</f>
        <v>0</v>
      </c>
      <c r="AG21" s="96">
        <f>IF(Z21=0,0,COUNTIFS('ITENS_MTR'!$S$6:$S$1005,A21,'ITENS_MTR'!$AJ$6:$AJ$1005,1))</f>
        <v>0</v>
      </c>
      <c r="AH21" s="96">
        <f>IF(Z21=0,0,COUNTIFS('ITENS_MTR'!$S$6:$S$1005,A21,'ITENS_MTR'!$AM$6:$AM$1005,1))</f>
        <v>0</v>
      </c>
      <c r="AI21" s="96">
        <f>IF(Z21=0,0,COUNTIFS('ITENS_MTR'!$S$6:$S$1005,A21,'ITENS_MTR'!$AO$6:$AO$1005,1))</f>
        <v>0</v>
      </c>
      <c r="AJ21" s="96">
        <f>IF(Z21=0,0,COUNTIFS('ITENS_MTR'!$S$6:$S$1005,A21,'ITENS_MTR'!$AN$6:$AN$1005,1))</f>
        <v>0</v>
      </c>
      <c r="AK21" s="96">
        <f>IF(Z21=0,0,COUNTIFS('RECEBIMENTOS'!$B$6:$B$1005,A21,'RECEBIMENTOS'!$Y$6:$Y$1005,1))</f>
        <v>0</v>
      </c>
      <c r="AL21" s="96">
        <f>IF(Z21=0,0,COUNTIFS('VÍNCULOS_CDF'!$D$6:$D$1005,A21,'VÍNCULOS_CDF'!$Y$6:$Y$1005,1))</f>
        <v>0</v>
      </c>
      <c r="AM21" s="96">
        <f>IF(Z21=0,0,COUNTIFS('RECEBIMENTOS'!$B$6:$B$1005,A21,'RECEBIMENTOS'!$Q$6:$Q$1005,1))</f>
        <v>0</v>
      </c>
      <c r="AN21" s="96">
        <f>IF(AND(Z21=1,N(W21)&gt;0,AG21=N(W21)),1,0)</f>
        <v>0</v>
      </c>
      <c r="AO21" s="96">
        <f>IF(AND(Z21=1,N(W21)&gt;0,AI21=N(W21)),1,0)</f>
        <v>0</v>
      </c>
      <c r="AP21" s="97">
        <f>IF(Z21=0,0,_xlfn.MAXIFS('RECEBIMENTOS'!$E$6:$E$1005,'RECEBIMENTOS'!$B$6:$B$1005,A21))</f>
        <v>0</v>
      </c>
      <c r="AQ21" s="97" t="str">
        <f>IF(T21="","",IF(T21="RECEBIMENTO NÃO CONFIRMADO",IF(ISNUMBER(F21),F21,IF(ISNUMBER(E21),E21,"")),IF(OR(T21="CDF NÃO LOCALIZADO",T21="VÍNCULO INCOMPLETO",T21="CDF A CONFERIR"),IF(AP21&gt;0,AP21,IF(ISNUMBER(E21),E21,"")),IF(ISNUMBER(E21),E21,""))))</f>
        <v/>
      </c>
      <c r="AR21" s="96">
        <f>IF(NOT(ISNUMBER(U21)),0,IF(T21="RECEBIMENTO NÃO CONFIRMADO",IF(AND(ISNUMBER(cfg_rec),U21&gt;cfg_rec),1,0),IF(OR(T21="CDF NÃO LOCALIZADO",T21="VÍNCULO INCOMPLETO",T21="CDF A CONFERIR"),IF(AND(ISNUMBER(cfg_cdf),U21&gt;cfg_cdf),1,0),0)))</f>
        <v>0</v>
      </c>
      <c r="AS21" s="96" t="str">
        <f>IF(T21="","",IF(AR21=1,"Alta",IFERROR(INDEX(cfg_pp,MATCH(T21,cfg_pt,0))&amp;"","Média")))</f>
        <v/>
      </c>
      <c r="AT21" s="96" t="str">
        <f>IF(T21="","",IFERROR(INDEX(cfg_pv,MATCH(T21,cfg_pt,0))&amp;"",""))</f>
        <v/>
      </c>
      <c r="AU21" s="96" t="str">
        <f>IF(T21="","",IF(AS21="Alta",1,IF(AS21="Média",2,3))*1000000000+(999999-IF(ISNUMBER(U21),MIN(U21,999999),0))*1000+16)</f>
        <v/>
      </c>
      <c r="AV21" s="96">
        <f>IF(T21&lt;&gt;"",1,0)</f>
        <v>0</v>
      </c>
      <c r="AW21" s="96" t="str">
        <f>IF(Z21=0,"",IF(AA21=1,"Cancelamento informado; ","")&amp;IF(AE21=1,"Campos essenciais ou itens faltando; ","")&amp;IF(AC21=1,"Possível duplicidade do número; ","")&amp;IF(AD21=1,"Cadastro ou datas a revisar; ","")&amp;IF(AF21&gt;0,"Item de resíduo com dado a revisar; ","")&amp;IF(AH21&gt;0,"Diferença de quantidade a analisar; ","")&amp;IF(AK21&gt;0,"Recebimento com alerta; ","")&amp;IF(AL21&gt;0,"Vínculo de CDF com alerta; ","")&amp;IF(AND(AA21=0,AN21=0),"Recebimento não confirmado; ","")&amp;IF(AND(AA21=0,AN21=1,AO21=0),"CDF pendente ou a conferir; ",""))</f>
        <v/>
      </c>
      <c r="AX21" s="96">
        <f>IF(Z21=0,0,IF(AND(OR(f_ini="",AND(ISNUMBER(E21),E21&gt;=f_ini)),OR(f_fim="",AND(ISNUMBER(E21),E21&lt;=f_fim)),OR(f_un="",f_un="(Todas)",G21=f_un),OR(f_tr="",f_tr="(Todos)",H21=f_tr),OR(f_de="",f_de="(Todos)",I21=f_de),OR(f_sit="",f_sit="(Todas)",S21=f_sit)),1,0))</f>
        <v>0</v>
      </c>
      <c r="AY21" s="96">
        <f>IF(AX21=0,0,IF(OR(f_res="",f_res="(Todos)"),1,IF(COUNTIFS('ITENS_MTR'!$S$6:$S$1005,A21,'ITENS_MTR'!$C$6:$C$1005,f_res)&gt;0,1,0)))</f>
        <v>0</v>
      </c>
      <c r="AZ21" s="97" t="str">
        <f>IF(ISNUMBER(E21),DATE(YEAR(E21),MONTH(E21),1),"")</f>
        <v/>
      </c>
      <c r="BA21" s="96">
        <f>IF(Z21=0,0,IF(AND(OR(r_ini="",AND(ISNUMBER(E21),E21&gt;=r_ini)),OR(r_fim="",AND(ISNUMBER(E21),E21&lt;=r_fim)),OR(r_un="",r_un="(Todas)",G21=r_un),OR(r_de="",r_de="(Todos)",I21=r_de)),1,0))</f>
        <v>0</v>
      </c>
      <c r="BB21" s="96" t="str">
        <f>IF(BA21=1,COUNTIF($BA$6:BA21,1),"")</f>
        <v/>
      </c>
      <c r="BC21" s="96" t="str">
        <f>IF(AND(AU21&lt;&gt;"",OR(r_un="",r_un="(Todas)",G21=r_un),OR(r_de="",r_de="(Todos)",I21=r_de)),AU21,"")</f>
        <v/>
      </c>
      <c r="BD21" s="96" t="str">
        <f>IF(Z21=1,A21&amp;" | nº "&amp;IF(B21="","(sem número)",B21)&amp;" | "&amp;IF(G21="","(sem unidade)",G21),"")</f>
        <v/>
      </c>
      <c r="BE21" s="96" t="str">
        <f>IF(Z21=1,COUNTIF($Z$6:Z21,1),"")</f>
        <v/>
      </c>
      <c r="BF21" s="96" t="str">
        <f>IF(T21="","",IF(T21="RECEBIMENTO NÃO CONFIRMADO","Transp.: "&amp;H21&amp;" | Dest.: "&amp;I21,IF(OR(T21="CDF NÃO LOCALIZADO",T21="VÍNCULO INCOMPLETO",T21="CDF A CONFERIR"),"Dest.: "&amp;I21,"Gerador: "&amp;G21)))</f>
        <v/>
      </c>
    </row>
    <row r="22">
      <c r="A22" s="89" t="inlineStr">
        <is>
          <t>MTR-000017</t>
        </is>
      </c>
      <c r="B22" s="90" t="n"/>
      <c r="C22" s="91" t="n"/>
      <c r="D22" s="91" t="n"/>
      <c r="E22" s="92" t="n"/>
      <c r="F22" s="92" t="n"/>
      <c r="G22" s="91" t="n"/>
      <c r="H22" s="91" t="n"/>
      <c r="I22" s="91" t="n"/>
      <c r="J22" s="91" t="n"/>
      <c r="K22" s="91" t="n"/>
      <c r="L22" s="92" t="n"/>
      <c r="M22" s="91" t="n"/>
      <c r="N22" s="91" t="n"/>
      <c r="O22" s="91" t="n"/>
      <c r="P22" s="93" t="str">
        <f>IF(Z22=0,"",SUMIFS('ITENS_MTR'!$I$6:$I$1005,'ITENS_MTR'!$S$6:$S$1005,A22,'ITENS_MTR'!$Y$6:$Y$1005,1))</f>
        <v/>
      </c>
      <c r="Q22" s="93" t="str">
        <f>IF(Z22=0,"",SUMIFS('RECEBIMENTOS'!$H$6:$H$1005,'RECEBIMENTOS'!$B$6:$B$1005,A22,'RECEBIMENTOS'!$X$6:$X$1005,1))</f>
        <v/>
      </c>
      <c r="R22" s="93" t="str">
        <f>IF(Z22=0,"",SUMIFS('VÍNCULOS_CDF'!$H$6:$H$1005,'VÍNCULOS_CDF'!$D$6:$D$1005,A22,'VÍNCULOS_CDF'!$V$6:$V$1005,1))</f>
        <v/>
      </c>
      <c r="S22" s="94" t="str">
        <f>IF(Z22=0,"",IF(AA22=1,"Cancelado (informado)",IF(AE22=1,"Cadastro incompleto",IF(OR(AC22=1,AD22=1,AF22&gt;0,AH22&gt;0,AK22&gt;0,AL22&gt;0),"Informação a revisar",IF(AN22=0,"Aguardando recebimento",IF(N(R22)=0,"Aguardando CDF",IF(AJ22&lt;N(W22),"Vínculo de CDF parcial",IF(AO22=0,"CDF localizado, a conferir","Documentação conferida"))))))))</f>
        <v/>
      </c>
      <c r="T22" s="94" t="str">
        <f>IF(Z22=0,"",IF(S22="Cadastro incompleto","MTR INCOMPLETO",IF(S22="Informação a revisar",IF(AND(AH22&gt;0,AC22=0,AD22=0,AF22=0,AK22=0,AL22=0),"QUANTIDADE A REVISAR","IDENTIFICAÇÃO A REVISAR"),IF(S22="Aguardando recebimento","RECEBIMENTO NÃO CONFIRMADO",IF(S22="Aguardando CDF","CDF NÃO LOCALIZADO",IF(S22="Vínculo de CDF parcial","VÍNCULO INCOMPLETO",IF(S22="CDF localizado, a conferir","CDF A CONFERIR","")))))))</f>
        <v/>
      </c>
      <c r="U22" s="95" t="str">
        <f>IF(T22="","",IF(AQ22="","Não calculável",IF(AQ22&gt;TODAY(),"Data futura",TODAY()-AQ22)))</f>
        <v/>
      </c>
      <c r="V22" s="93" t="str">
        <f>IF(Z22=0,"",SUMIFS('RECEBIMENTOS'!$H$6:$H$1005,'RECEBIMENTOS'!$B$6:$B$1005,A22,'RECEBIMENTOS'!$Z$6:$Z$1005,1))</f>
        <v/>
      </c>
      <c r="W22" s="95" t="str">
        <f>IF(Z22=0,"",COUNTIFS('ITENS_MTR'!$S$6:$S$1005,A22,'ITENS_MTR'!$R$6:$R$1005,1))</f>
        <v/>
      </c>
      <c r="X22" s="94" t="str">
        <f>IF(AC22=1,"POSSÍVEL DUPLICIDADE","")</f>
        <v/>
      </c>
      <c r="Y22" s="94" t="str">
        <f>IF(Z22=0,"",IF(AW22="","Nenhuma",LEFT(AW22,LEN(AW22)-2)))</f>
        <v/>
      </c>
      <c r="Z22" s="96">
        <f>IF(COUNTA(B22:O22)&gt;0,1,0)</f>
        <v>0</v>
      </c>
      <c r="AA22" s="96">
        <f>IF(AND(Z22=1,K22&lt;&gt;""),IF(TRIM(K22)=TRIM(cfg_cancel),1,0),0)</f>
        <v>0</v>
      </c>
      <c r="AB22" s="96" t="str">
        <f>IF(AND(Z22=1,B22&lt;&gt;""),C22&amp;"|"&amp;D22&amp;"|"&amp;G22&amp;"|"&amp;TRIM(B22),"")</f>
        <v/>
      </c>
      <c r="AC22" s="96">
        <f>IF(AB22="",0,IF(SUMPRODUCT(--($AB$6:$AB$505=AB22))&gt;1,1,0))</f>
        <v>0</v>
      </c>
      <c r="AD22" s="96">
        <f>IF(Z22=0,0,IF(OR(AND(G22&lt;&gt;"",ISNA(MATCH(G22,'CAD_UNIDADES'!$C$6:$C$105,0))),AND(H22&lt;&gt;"",ISNA(MATCH(H22,cmp_transp,0))),AND(I22&lt;&gt;"",ISNA(MATCH(I22,cmp_dest,0))),AND(E22&lt;&gt;"",NOT(ISNUMBER(E22))),AND(F22&lt;&gt;"",NOT(ISNUMBER(F22))),AND(ISNUMBER(E22),ISNUMBER(F22),F22&lt;E22)),1,0))</f>
        <v>0</v>
      </c>
      <c r="AE22" s="96">
        <f>IF(Z22=0,0,IF(OR(B22="",C22="",E22="",G22="",H22="",I22="",N(W22)=0),1,0))</f>
        <v>0</v>
      </c>
      <c r="AF22" s="96">
        <f>IF(Z22=0,0,COUNTIFS('ITENS_MTR'!$S$6:$S$1005,A22,'ITENS_MTR'!$AI$6:$AI$1005,1))</f>
        <v>0</v>
      </c>
      <c r="AG22" s="96">
        <f>IF(Z22=0,0,COUNTIFS('ITENS_MTR'!$S$6:$S$1005,A22,'ITENS_MTR'!$AJ$6:$AJ$1005,1))</f>
        <v>0</v>
      </c>
      <c r="AH22" s="96">
        <f>IF(Z22=0,0,COUNTIFS('ITENS_MTR'!$S$6:$S$1005,A22,'ITENS_MTR'!$AM$6:$AM$1005,1))</f>
        <v>0</v>
      </c>
      <c r="AI22" s="96">
        <f>IF(Z22=0,0,COUNTIFS('ITENS_MTR'!$S$6:$S$1005,A22,'ITENS_MTR'!$AO$6:$AO$1005,1))</f>
        <v>0</v>
      </c>
      <c r="AJ22" s="96">
        <f>IF(Z22=0,0,COUNTIFS('ITENS_MTR'!$S$6:$S$1005,A22,'ITENS_MTR'!$AN$6:$AN$1005,1))</f>
        <v>0</v>
      </c>
      <c r="AK22" s="96">
        <f>IF(Z22=0,0,COUNTIFS('RECEBIMENTOS'!$B$6:$B$1005,A22,'RECEBIMENTOS'!$Y$6:$Y$1005,1))</f>
        <v>0</v>
      </c>
      <c r="AL22" s="96">
        <f>IF(Z22=0,0,COUNTIFS('VÍNCULOS_CDF'!$D$6:$D$1005,A22,'VÍNCULOS_CDF'!$Y$6:$Y$1005,1))</f>
        <v>0</v>
      </c>
      <c r="AM22" s="96">
        <f>IF(Z22=0,0,COUNTIFS('RECEBIMENTOS'!$B$6:$B$1005,A22,'RECEBIMENTOS'!$Q$6:$Q$1005,1))</f>
        <v>0</v>
      </c>
      <c r="AN22" s="96">
        <f>IF(AND(Z22=1,N(W22)&gt;0,AG22=N(W22)),1,0)</f>
        <v>0</v>
      </c>
      <c r="AO22" s="96">
        <f>IF(AND(Z22=1,N(W22)&gt;0,AI22=N(W22)),1,0)</f>
        <v>0</v>
      </c>
      <c r="AP22" s="97">
        <f>IF(Z22=0,0,_xlfn.MAXIFS('RECEBIMENTOS'!$E$6:$E$1005,'RECEBIMENTOS'!$B$6:$B$1005,A22))</f>
        <v>0</v>
      </c>
      <c r="AQ22" s="97" t="str">
        <f>IF(T22="","",IF(T22="RECEBIMENTO NÃO CONFIRMADO",IF(ISNUMBER(F22),F22,IF(ISNUMBER(E22),E22,"")),IF(OR(T22="CDF NÃO LOCALIZADO",T22="VÍNCULO INCOMPLETO",T22="CDF A CONFERIR"),IF(AP22&gt;0,AP22,IF(ISNUMBER(E22),E22,"")),IF(ISNUMBER(E22),E22,""))))</f>
        <v/>
      </c>
      <c r="AR22" s="96">
        <f>IF(NOT(ISNUMBER(U22)),0,IF(T22="RECEBIMENTO NÃO CONFIRMADO",IF(AND(ISNUMBER(cfg_rec),U22&gt;cfg_rec),1,0),IF(OR(T22="CDF NÃO LOCALIZADO",T22="VÍNCULO INCOMPLETO",T22="CDF A CONFERIR"),IF(AND(ISNUMBER(cfg_cdf),U22&gt;cfg_cdf),1,0),0)))</f>
        <v>0</v>
      </c>
      <c r="AS22" s="96" t="str">
        <f>IF(T22="","",IF(AR22=1,"Alta",IFERROR(INDEX(cfg_pp,MATCH(T22,cfg_pt,0))&amp;"","Média")))</f>
        <v/>
      </c>
      <c r="AT22" s="96" t="str">
        <f>IF(T22="","",IFERROR(INDEX(cfg_pv,MATCH(T22,cfg_pt,0))&amp;"",""))</f>
        <v/>
      </c>
      <c r="AU22" s="96" t="str">
        <f>IF(T22="","",IF(AS22="Alta",1,IF(AS22="Média",2,3))*1000000000+(999999-IF(ISNUMBER(U22),MIN(U22,999999),0))*1000+17)</f>
        <v/>
      </c>
      <c r="AV22" s="96">
        <f>IF(T22&lt;&gt;"",1,0)</f>
        <v>0</v>
      </c>
      <c r="AW22" s="96" t="str">
        <f>IF(Z22=0,"",IF(AA22=1,"Cancelamento informado; ","")&amp;IF(AE22=1,"Campos essenciais ou itens faltando; ","")&amp;IF(AC22=1,"Possível duplicidade do número; ","")&amp;IF(AD22=1,"Cadastro ou datas a revisar; ","")&amp;IF(AF22&gt;0,"Item de resíduo com dado a revisar; ","")&amp;IF(AH22&gt;0,"Diferença de quantidade a analisar; ","")&amp;IF(AK22&gt;0,"Recebimento com alerta; ","")&amp;IF(AL22&gt;0,"Vínculo de CDF com alerta; ","")&amp;IF(AND(AA22=0,AN22=0),"Recebimento não confirmado; ","")&amp;IF(AND(AA22=0,AN22=1,AO22=0),"CDF pendente ou a conferir; ",""))</f>
        <v/>
      </c>
      <c r="AX22" s="96">
        <f>IF(Z22=0,0,IF(AND(OR(f_ini="",AND(ISNUMBER(E22),E22&gt;=f_ini)),OR(f_fim="",AND(ISNUMBER(E22),E22&lt;=f_fim)),OR(f_un="",f_un="(Todas)",G22=f_un),OR(f_tr="",f_tr="(Todos)",H22=f_tr),OR(f_de="",f_de="(Todos)",I22=f_de),OR(f_sit="",f_sit="(Todas)",S22=f_sit)),1,0))</f>
        <v>0</v>
      </c>
      <c r="AY22" s="96">
        <f>IF(AX22=0,0,IF(OR(f_res="",f_res="(Todos)"),1,IF(COUNTIFS('ITENS_MTR'!$S$6:$S$1005,A22,'ITENS_MTR'!$C$6:$C$1005,f_res)&gt;0,1,0)))</f>
        <v>0</v>
      </c>
      <c r="AZ22" s="97" t="str">
        <f>IF(ISNUMBER(E22),DATE(YEAR(E22),MONTH(E22),1),"")</f>
        <v/>
      </c>
      <c r="BA22" s="96">
        <f>IF(Z22=0,0,IF(AND(OR(r_ini="",AND(ISNUMBER(E22),E22&gt;=r_ini)),OR(r_fim="",AND(ISNUMBER(E22),E22&lt;=r_fim)),OR(r_un="",r_un="(Todas)",G22=r_un),OR(r_de="",r_de="(Todos)",I22=r_de)),1,0))</f>
        <v>0</v>
      </c>
      <c r="BB22" s="96" t="str">
        <f>IF(BA22=1,COUNTIF($BA$6:BA22,1),"")</f>
        <v/>
      </c>
      <c r="BC22" s="96" t="str">
        <f>IF(AND(AU22&lt;&gt;"",OR(r_un="",r_un="(Todas)",G22=r_un),OR(r_de="",r_de="(Todos)",I22=r_de)),AU22,"")</f>
        <v/>
      </c>
      <c r="BD22" s="96" t="str">
        <f>IF(Z22=1,A22&amp;" | nº "&amp;IF(B22="","(sem número)",B22)&amp;" | "&amp;IF(G22="","(sem unidade)",G22),"")</f>
        <v/>
      </c>
      <c r="BE22" s="96" t="str">
        <f>IF(Z22=1,COUNTIF($Z$6:Z22,1),"")</f>
        <v/>
      </c>
      <c r="BF22" s="96" t="str">
        <f>IF(T22="","",IF(T22="RECEBIMENTO NÃO CONFIRMADO","Transp.: "&amp;H22&amp;" | Dest.: "&amp;I22,IF(OR(T22="CDF NÃO LOCALIZADO",T22="VÍNCULO INCOMPLETO",T22="CDF A CONFERIR"),"Dest.: "&amp;I22,"Gerador: "&amp;G22)))</f>
        <v/>
      </c>
    </row>
    <row r="23">
      <c r="A23" s="89" t="inlineStr">
        <is>
          <t>MTR-000018</t>
        </is>
      </c>
      <c r="B23" s="90" t="n"/>
      <c r="C23" s="91" t="n"/>
      <c r="D23" s="91" t="n"/>
      <c r="E23" s="92" t="n"/>
      <c r="F23" s="92" t="n"/>
      <c r="G23" s="91" t="n"/>
      <c r="H23" s="91" t="n"/>
      <c r="I23" s="91" t="n"/>
      <c r="J23" s="91" t="n"/>
      <c r="K23" s="91" t="n"/>
      <c r="L23" s="92" t="n"/>
      <c r="M23" s="91" t="n"/>
      <c r="N23" s="91" t="n"/>
      <c r="O23" s="91" t="n"/>
      <c r="P23" s="93" t="str">
        <f>IF(Z23=0,"",SUMIFS('ITENS_MTR'!$I$6:$I$1005,'ITENS_MTR'!$S$6:$S$1005,A23,'ITENS_MTR'!$Y$6:$Y$1005,1))</f>
        <v/>
      </c>
      <c r="Q23" s="93" t="str">
        <f>IF(Z23=0,"",SUMIFS('RECEBIMENTOS'!$H$6:$H$1005,'RECEBIMENTOS'!$B$6:$B$1005,A23,'RECEBIMENTOS'!$X$6:$X$1005,1))</f>
        <v/>
      </c>
      <c r="R23" s="93" t="str">
        <f>IF(Z23=0,"",SUMIFS('VÍNCULOS_CDF'!$H$6:$H$1005,'VÍNCULOS_CDF'!$D$6:$D$1005,A23,'VÍNCULOS_CDF'!$V$6:$V$1005,1))</f>
        <v/>
      </c>
      <c r="S23" s="94" t="str">
        <f>IF(Z23=0,"",IF(AA23=1,"Cancelado (informado)",IF(AE23=1,"Cadastro incompleto",IF(OR(AC23=1,AD23=1,AF23&gt;0,AH23&gt;0,AK23&gt;0,AL23&gt;0),"Informação a revisar",IF(AN23=0,"Aguardando recebimento",IF(N(R23)=0,"Aguardando CDF",IF(AJ23&lt;N(W23),"Vínculo de CDF parcial",IF(AO23=0,"CDF localizado, a conferir","Documentação conferida"))))))))</f>
        <v/>
      </c>
      <c r="T23" s="94" t="str">
        <f>IF(Z23=0,"",IF(S23="Cadastro incompleto","MTR INCOMPLETO",IF(S23="Informação a revisar",IF(AND(AH23&gt;0,AC23=0,AD23=0,AF23=0,AK23=0,AL23=0),"QUANTIDADE A REVISAR","IDENTIFICAÇÃO A REVISAR"),IF(S23="Aguardando recebimento","RECEBIMENTO NÃO CONFIRMADO",IF(S23="Aguardando CDF","CDF NÃO LOCALIZADO",IF(S23="Vínculo de CDF parcial","VÍNCULO INCOMPLETO",IF(S23="CDF localizado, a conferir","CDF A CONFERIR","")))))))</f>
        <v/>
      </c>
      <c r="U23" s="95" t="str">
        <f>IF(T23="","",IF(AQ23="","Não calculável",IF(AQ23&gt;TODAY(),"Data futura",TODAY()-AQ23)))</f>
        <v/>
      </c>
      <c r="V23" s="93" t="str">
        <f>IF(Z23=0,"",SUMIFS('RECEBIMENTOS'!$H$6:$H$1005,'RECEBIMENTOS'!$B$6:$B$1005,A23,'RECEBIMENTOS'!$Z$6:$Z$1005,1))</f>
        <v/>
      </c>
      <c r="W23" s="95" t="str">
        <f>IF(Z23=0,"",COUNTIFS('ITENS_MTR'!$S$6:$S$1005,A23,'ITENS_MTR'!$R$6:$R$1005,1))</f>
        <v/>
      </c>
      <c r="X23" s="94" t="str">
        <f>IF(AC23=1,"POSSÍVEL DUPLICIDADE","")</f>
        <v/>
      </c>
      <c r="Y23" s="94" t="str">
        <f>IF(Z23=0,"",IF(AW23="","Nenhuma",LEFT(AW23,LEN(AW23)-2)))</f>
        <v/>
      </c>
      <c r="Z23" s="96">
        <f>IF(COUNTA(B23:O23)&gt;0,1,0)</f>
        <v>0</v>
      </c>
      <c r="AA23" s="96">
        <f>IF(AND(Z23=1,K23&lt;&gt;""),IF(TRIM(K23)=TRIM(cfg_cancel),1,0),0)</f>
        <v>0</v>
      </c>
      <c r="AB23" s="96" t="str">
        <f>IF(AND(Z23=1,B23&lt;&gt;""),C23&amp;"|"&amp;D23&amp;"|"&amp;G23&amp;"|"&amp;TRIM(B23),"")</f>
        <v/>
      </c>
      <c r="AC23" s="96">
        <f>IF(AB23="",0,IF(SUMPRODUCT(--($AB$6:$AB$505=AB23))&gt;1,1,0))</f>
        <v>0</v>
      </c>
      <c r="AD23" s="96">
        <f>IF(Z23=0,0,IF(OR(AND(G23&lt;&gt;"",ISNA(MATCH(G23,'CAD_UNIDADES'!$C$6:$C$105,0))),AND(H23&lt;&gt;"",ISNA(MATCH(H23,cmp_transp,0))),AND(I23&lt;&gt;"",ISNA(MATCH(I23,cmp_dest,0))),AND(E23&lt;&gt;"",NOT(ISNUMBER(E23))),AND(F23&lt;&gt;"",NOT(ISNUMBER(F23))),AND(ISNUMBER(E23),ISNUMBER(F23),F23&lt;E23)),1,0))</f>
        <v>0</v>
      </c>
      <c r="AE23" s="96">
        <f>IF(Z23=0,0,IF(OR(B23="",C23="",E23="",G23="",H23="",I23="",N(W23)=0),1,0))</f>
        <v>0</v>
      </c>
      <c r="AF23" s="96">
        <f>IF(Z23=0,0,COUNTIFS('ITENS_MTR'!$S$6:$S$1005,A23,'ITENS_MTR'!$AI$6:$AI$1005,1))</f>
        <v>0</v>
      </c>
      <c r="AG23" s="96">
        <f>IF(Z23=0,0,COUNTIFS('ITENS_MTR'!$S$6:$S$1005,A23,'ITENS_MTR'!$AJ$6:$AJ$1005,1))</f>
        <v>0</v>
      </c>
      <c r="AH23" s="96">
        <f>IF(Z23=0,0,COUNTIFS('ITENS_MTR'!$S$6:$S$1005,A23,'ITENS_MTR'!$AM$6:$AM$1005,1))</f>
        <v>0</v>
      </c>
      <c r="AI23" s="96">
        <f>IF(Z23=0,0,COUNTIFS('ITENS_MTR'!$S$6:$S$1005,A23,'ITENS_MTR'!$AO$6:$AO$1005,1))</f>
        <v>0</v>
      </c>
      <c r="AJ23" s="96">
        <f>IF(Z23=0,0,COUNTIFS('ITENS_MTR'!$S$6:$S$1005,A23,'ITENS_MTR'!$AN$6:$AN$1005,1))</f>
        <v>0</v>
      </c>
      <c r="AK23" s="96">
        <f>IF(Z23=0,0,COUNTIFS('RECEBIMENTOS'!$B$6:$B$1005,A23,'RECEBIMENTOS'!$Y$6:$Y$1005,1))</f>
        <v>0</v>
      </c>
      <c r="AL23" s="96">
        <f>IF(Z23=0,0,COUNTIFS('VÍNCULOS_CDF'!$D$6:$D$1005,A23,'VÍNCULOS_CDF'!$Y$6:$Y$1005,1))</f>
        <v>0</v>
      </c>
      <c r="AM23" s="96">
        <f>IF(Z23=0,0,COUNTIFS('RECEBIMENTOS'!$B$6:$B$1005,A23,'RECEBIMENTOS'!$Q$6:$Q$1005,1))</f>
        <v>0</v>
      </c>
      <c r="AN23" s="96">
        <f>IF(AND(Z23=1,N(W23)&gt;0,AG23=N(W23)),1,0)</f>
        <v>0</v>
      </c>
      <c r="AO23" s="96">
        <f>IF(AND(Z23=1,N(W23)&gt;0,AI23=N(W23)),1,0)</f>
        <v>0</v>
      </c>
      <c r="AP23" s="97">
        <f>IF(Z23=0,0,_xlfn.MAXIFS('RECEBIMENTOS'!$E$6:$E$1005,'RECEBIMENTOS'!$B$6:$B$1005,A23))</f>
        <v>0</v>
      </c>
      <c r="AQ23" s="97" t="str">
        <f>IF(T23="","",IF(T23="RECEBIMENTO NÃO CONFIRMADO",IF(ISNUMBER(F23),F23,IF(ISNUMBER(E23),E23,"")),IF(OR(T23="CDF NÃO LOCALIZADO",T23="VÍNCULO INCOMPLETO",T23="CDF A CONFERIR"),IF(AP23&gt;0,AP23,IF(ISNUMBER(E23),E23,"")),IF(ISNUMBER(E23),E23,""))))</f>
        <v/>
      </c>
      <c r="AR23" s="96">
        <f>IF(NOT(ISNUMBER(U23)),0,IF(T23="RECEBIMENTO NÃO CONFIRMADO",IF(AND(ISNUMBER(cfg_rec),U23&gt;cfg_rec),1,0),IF(OR(T23="CDF NÃO LOCALIZADO",T23="VÍNCULO INCOMPLETO",T23="CDF A CONFERIR"),IF(AND(ISNUMBER(cfg_cdf),U23&gt;cfg_cdf),1,0),0)))</f>
        <v>0</v>
      </c>
      <c r="AS23" s="96" t="str">
        <f>IF(T23="","",IF(AR23=1,"Alta",IFERROR(INDEX(cfg_pp,MATCH(T23,cfg_pt,0))&amp;"","Média")))</f>
        <v/>
      </c>
      <c r="AT23" s="96" t="str">
        <f>IF(T23="","",IFERROR(INDEX(cfg_pv,MATCH(T23,cfg_pt,0))&amp;"",""))</f>
        <v/>
      </c>
      <c r="AU23" s="96" t="str">
        <f>IF(T23="","",IF(AS23="Alta",1,IF(AS23="Média",2,3))*1000000000+(999999-IF(ISNUMBER(U23),MIN(U23,999999),0))*1000+18)</f>
        <v/>
      </c>
      <c r="AV23" s="96">
        <f>IF(T23&lt;&gt;"",1,0)</f>
        <v>0</v>
      </c>
      <c r="AW23" s="96" t="str">
        <f>IF(Z23=0,"",IF(AA23=1,"Cancelamento informado; ","")&amp;IF(AE23=1,"Campos essenciais ou itens faltando; ","")&amp;IF(AC23=1,"Possível duplicidade do número; ","")&amp;IF(AD23=1,"Cadastro ou datas a revisar; ","")&amp;IF(AF23&gt;0,"Item de resíduo com dado a revisar; ","")&amp;IF(AH23&gt;0,"Diferença de quantidade a analisar; ","")&amp;IF(AK23&gt;0,"Recebimento com alerta; ","")&amp;IF(AL23&gt;0,"Vínculo de CDF com alerta; ","")&amp;IF(AND(AA23=0,AN23=0),"Recebimento não confirmado; ","")&amp;IF(AND(AA23=0,AN23=1,AO23=0),"CDF pendente ou a conferir; ",""))</f>
        <v/>
      </c>
      <c r="AX23" s="96">
        <f>IF(Z23=0,0,IF(AND(OR(f_ini="",AND(ISNUMBER(E23),E23&gt;=f_ini)),OR(f_fim="",AND(ISNUMBER(E23),E23&lt;=f_fim)),OR(f_un="",f_un="(Todas)",G23=f_un),OR(f_tr="",f_tr="(Todos)",H23=f_tr),OR(f_de="",f_de="(Todos)",I23=f_de),OR(f_sit="",f_sit="(Todas)",S23=f_sit)),1,0))</f>
        <v>0</v>
      </c>
      <c r="AY23" s="96">
        <f>IF(AX23=0,0,IF(OR(f_res="",f_res="(Todos)"),1,IF(COUNTIFS('ITENS_MTR'!$S$6:$S$1005,A23,'ITENS_MTR'!$C$6:$C$1005,f_res)&gt;0,1,0)))</f>
        <v>0</v>
      </c>
      <c r="AZ23" s="97" t="str">
        <f>IF(ISNUMBER(E23),DATE(YEAR(E23),MONTH(E23),1),"")</f>
        <v/>
      </c>
      <c r="BA23" s="96">
        <f>IF(Z23=0,0,IF(AND(OR(r_ini="",AND(ISNUMBER(E23),E23&gt;=r_ini)),OR(r_fim="",AND(ISNUMBER(E23),E23&lt;=r_fim)),OR(r_un="",r_un="(Todas)",G23=r_un),OR(r_de="",r_de="(Todos)",I23=r_de)),1,0))</f>
        <v>0</v>
      </c>
      <c r="BB23" s="96" t="str">
        <f>IF(BA23=1,COUNTIF($BA$6:BA23,1),"")</f>
        <v/>
      </c>
      <c r="BC23" s="96" t="str">
        <f>IF(AND(AU23&lt;&gt;"",OR(r_un="",r_un="(Todas)",G23=r_un),OR(r_de="",r_de="(Todos)",I23=r_de)),AU23,"")</f>
        <v/>
      </c>
      <c r="BD23" s="96" t="str">
        <f>IF(Z23=1,A23&amp;" | nº "&amp;IF(B23="","(sem número)",B23)&amp;" | "&amp;IF(G23="","(sem unidade)",G23),"")</f>
        <v/>
      </c>
      <c r="BE23" s="96" t="str">
        <f>IF(Z23=1,COUNTIF($Z$6:Z23,1),"")</f>
        <v/>
      </c>
      <c r="BF23" s="96" t="str">
        <f>IF(T23="","",IF(T23="RECEBIMENTO NÃO CONFIRMADO","Transp.: "&amp;H23&amp;" | Dest.: "&amp;I23,IF(OR(T23="CDF NÃO LOCALIZADO",T23="VÍNCULO INCOMPLETO",T23="CDF A CONFERIR"),"Dest.: "&amp;I23,"Gerador: "&amp;G23)))</f>
        <v/>
      </c>
    </row>
    <row r="24">
      <c r="A24" s="89" t="inlineStr">
        <is>
          <t>MTR-000019</t>
        </is>
      </c>
      <c r="B24" s="90" t="n"/>
      <c r="C24" s="91" t="n"/>
      <c r="D24" s="91" t="n"/>
      <c r="E24" s="92" t="n"/>
      <c r="F24" s="92" t="n"/>
      <c r="G24" s="91" t="n"/>
      <c r="H24" s="91" t="n"/>
      <c r="I24" s="91" t="n"/>
      <c r="J24" s="91" t="n"/>
      <c r="K24" s="91" t="n"/>
      <c r="L24" s="92" t="n"/>
      <c r="M24" s="91" t="n"/>
      <c r="N24" s="91" t="n"/>
      <c r="O24" s="91" t="n"/>
      <c r="P24" s="93" t="str">
        <f>IF(Z24=0,"",SUMIFS('ITENS_MTR'!$I$6:$I$1005,'ITENS_MTR'!$S$6:$S$1005,A24,'ITENS_MTR'!$Y$6:$Y$1005,1))</f>
        <v/>
      </c>
      <c r="Q24" s="93" t="str">
        <f>IF(Z24=0,"",SUMIFS('RECEBIMENTOS'!$H$6:$H$1005,'RECEBIMENTOS'!$B$6:$B$1005,A24,'RECEBIMENTOS'!$X$6:$X$1005,1))</f>
        <v/>
      </c>
      <c r="R24" s="93" t="str">
        <f>IF(Z24=0,"",SUMIFS('VÍNCULOS_CDF'!$H$6:$H$1005,'VÍNCULOS_CDF'!$D$6:$D$1005,A24,'VÍNCULOS_CDF'!$V$6:$V$1005,1))</f>
        <v/>
      </c>
      <c r="S24" s="94" t="str">
        <f>IF(Z24=0,"",IF(AA24=1,"Cancelado (informado)",IF(AE24=1,"Cadastro incompleto",IF(OR(AC24=1,AD24=1,AF24&gt;0,AH24&gt;0,AK24&gt;0,AL24&gt;0),"Informação a revisar",IF(AN24=0,"Aguardando recebimento",IF(N(R24)=0,"Aguardando CDF",IF(AJ24&lt;N(W24),"Vínculo de CDF parcial",IF(AO24=0,"CDF localizado, a conferir","Documentação conferida"))))))))</f>
        <v/>
      </c>
      <c r="T24" s="94" t="str">
        <f>IF(Z24=0,"",IF(S24="Cadastro incompleto","MTR INCOMPLETO",IF(S24="Informação a revisar",IF(AND(AH24&gt;0,AC24=0,AD24=0,AF24=0,AK24=0,AL24=0),"QUANTIDADE A REVISAR","IDENTIFICAÇÃO A REVISAR"),IF(S24="Aguardando recebimento","RECEBIMENTO NÃO CONFIRMADO",IF(S24="Aguardando CDF","CDF NÃO LOCALIZADO",IF(S24="Vínculo de CDF parcial","VÍNCULO INCOMPLETO",IF(S24="CDF localizado, a conferir","CDF A CONFERIR","")))))))</f>
        <v/>
      </c>
      <c r="U24" s="95" t="str">
        <f>IF(T24="","",IF(AQ24="","Não calculável",IF(AQ24&gt;TODAY(),"Data futura",TODAY()-AQ24)))</f>
        <v/>
      </c>
      <c r="V24" s="93" t="str">
        <f>IF(Z24=0,"",SUMIFS('RECEBIMENTOS'!$H$6:$H$1005,'RECEBIMENTOS'!$B$6:$B$1005,A24,'RECEBIMENTOS'!$Z$6:$Z$1005,1))</f>
        <v/>
      </c>
      <c r="W24" s="95" t="str">
        <f>IF(Z24=0,"",COUNTIFS('ITENS_MTR'!$S$6:$S$1005,A24,'ITENS_MTR'!$R$6:$R$1005,1))</f>
        <v/>
      </c>
      <c r="X24" s="94" t="str">
        <f>IF(AC24=1,"POSSÍVEL DUPLICIDADE","")</f>
        <v/>
      </c>
      <c r="Y24" s="94" t="str">
        <f>IF(Z24=0,"",IF(AW24="","Nenhuma",LEFT(AW24,LEN(AW24)-2)))</f>
        <v/>
      </c>
      <c r="Z24" s="96">
        <f>IF(COUNTA(B24:O24)&gt;0,1,0)</f>
        <v>0</v>
      </c>
      <c r="AA24" s="96">
        <f>IF(AND(Z24=1,K24&lt;&gt;""),IF(TRIM(K24)=TRIM(cfg_cancel),1,0),0)</f>
        <v>0</v>
      </c>
      <c r="AB24" s="96" t="str">
        <f>IF(AND(Z24=1,B24&lt;&gt;""),C24&amp;"|"&amp;D24&amp;"|"&amp;G24&amp;"|"&amp;TRIM(B24),"")</f>
        <v/>
      </c>
      <c r="AC24" s="96">
        <f>IF(AB24="",0,IF(SUMPRODUCT(--($AB$6:$AB$505=AB24))&gt;1,1,0))</f>
        <v>0</v>
      </c>
      <c r="AD24" s="96">
        <f>IF(Z24=0,0,IF(OR(AND(G24&lt;&gt;"",ISNA(MATCH(G24,'CAD_UNIDADES'!$C$6:$C$105,0))),AND(H24&lt;&gt;"",ISNA(MATCH(H24,cmp_transp,0))),AND(I24&lt;&gt;"",ISNA(MATCH(I24,cmp_dest,0))),AND(E24&lt;&gt;"",NOT(ISNUMBER(E24))),AND(F24&lt;&gt;"",NOT(ISNUMBER(F24))),AND(ISNUMBER(E24),ISNUMBER(F24),F24&lt;E24)),1,0))</f>
        <v>0</v>
      </c>
      <c r="AE24" s="96">
        <f>IF(Z24=0,0,IF(OR(B24="",C24="",E24="",G24="",H24="",I24="",N(W24)=0),1,0))</f>
        <v>0</v>
      </c>
      <c r="AF24" s="96">
        <f>IF(Z24=0,0,COUNTIFS('ITENS_MTR'!$S$6:$S$1005,A24,'ITENS_MTR'!$AI$6:$AI$1005,1))</f>
        <v>0</v>
      </c>
      <c r="AG24" s="96">
        <f>IF(Z24=0,0,COUNTIFS('ITENS_MTR'!$S$6:$S$1005,A24,'ITENS_MTR'!$AJ$6:$AJ$1005,1))</f>
        <v>0</v>
      </c>
      <c r="AH24" s="96">
        <f>IF(Z24=0,0,COUNTIFS('ITENS_MTR'!$S$6:$S$1005,A24,'ITENS_MTR'!$AM$6:$AM$1005,1))</f>
        <v>0</v>
      </c>
      <c r="AI24" s="96">
        <f>IF(Z24=0,0,COUNTIFS('ITENS_MTR'!$S$6:$S$1005,A24,'ITENS_MTR'!$AO$6:$AO$1005,1))</f>
        <v>0</v>
      </c>
      <c r="AJ24" s="96">
        <f>IF(Z24=0,0,COUNTIFS('ITENS_MTR'!$S$6:$S$1005,A24,'ITENS_MTR'!$AN$6:$AN$1005,1))</f>
        <v>0</v>
      </c>
      <c r="AK24" s="96">
        <f>IF(Z24=0,0,COUNTIFS('RECEBIMENTOS'!$B$6:$B$1005,A24,'RECEBIMENTOS'!$Y$6:$Y$1005,1))</f>
        <v>0</v>
      </c>
      <c r="AL24" s="96">
        <f>IF(Z24=0,0,COUNTIFS('VÍNCULOS_CDF'!$D$6:$D$1005,A24,'VÍNCULOS_CDF'!$Y$6:$Y$1005,1))</f>
        <v>0</v>
      </c>
      <c r="AM24" s="96">
        <f>IF(Z24=0,0,COUNTIFS('RECEBIMENTOS'!$B$6:$B$1005,A24,'RECEBIMENTOS'!$Q$6:$Q$1005,1))</f>
        <v>0</v>
      </c>
      <c r="AN24" s="96">
        <f>IF(AND(Z24=1,N(W24)&gt;0,AG24=N(W24)),1,0)</f>
        <v>0</v>
      </c>
      <c r="AO24" s="96">
        <f>IF(AND(Z24=1,N(W24)&gt;0,AI24=N(W24)),1,0)</f>
        <v>0</v>
      </c>
      <c r="AP24" s="97">
        <f>IF(Z24=0,0,_xlfn.MAXIFS('RECEBIMENTOS'!$E$6:$E$1005,'RECEBIMENTOS'!$B$6:$B$1005,A24))</f>
        <v>0</v>
      </c>
      <c r="AQ24" s="97" t="str">
        <f>IF(T24="","",IF(T24="RECEBIMENTO NÃO CONFIRMADO",IF(ISNUMBER(F24),F24,IF(ISNUMBER(E24),E24,"")),IF(OR(T24="CDF NÃO LOCALIZADO",T24="VÍNCULO INCOMPLETO",T24="CDF A CONFERIR"),IF(AP24&gt;0,AP24,IF(ISNUMBER(E24),E24,"")),IF(ISNUMBER(E24),E24,""))))</f>
        <v/>
      </c>
      <c r="AR24" s="96">
        <f>IF(NOT(ISNUMBER(U24)),0,IF(T24="RECEBIMENTO NÃO CONFIRMADO",IF(AND(ISNUMBER(cfg_rec),U24&gt;cfg_rec),1,0),IF(OR(T24="CDF NÃO LOCALIZADO",T24="VÍNCULO INCOMPLETO",T24="CDF A CONFERIR"),IF(AND(ISNUMBER(cfg_cdf),U24&gt;cfg_cdf),1,0),0)))</f>
        <v>0</v>
      </c>
      <c r="AS24" s="96" t="str">
        <f>IF(T24="","",IF(AR24=1,"Alta",IFERROR(INDEX(cfg_pp,MATCH(T24,cfg_pt,0))&amp;"","Média")))</f>
        <v/>
      </c>
      <c r="AT24" s="96" t="str">
        <f>IF(T24="","",IFERROR(INDEX(cfg_pv,MATCH(T24,cfg_pt,0))&amp;"",""))</f>
        <v/>
      </c>
      <c r="AU24" s="96" t="str">
        <f>IF(T24="","",IF(AS24="Alta",1,IF(AS24="Média",2,3))*1000000000+(999999-IF(ISNUMBER(U24),MIN(U24,999999),0))*1000+19)</f>
        <v/>
      </c>
      <c r="AV24" s="96">
        <f>IF(T24&lt;&gt;"",1,0)</f>
        <v>0</v>
      </c>
      <c r="AW24" s="96" t="str">
        <f>IF(Z24=0,"",IF(AA24=1,"Cancelamento informado; ","")&amp;IF(AE24=1,"Campos essenciais ou itens faltando; ","")&amp;IF(AC24=1,"Possível duplicidade do número; ","")&amp;IF(AD24=1,"Cadastro ou datas a revisar; ","")&amp;IF(AF24&gt;0,"Item de resíduo com dado a revisar; ","")&amp;IF(AH24&gt;0,"Diferença de quantidade a analisar; ","")&amp;IF(AK24&gt;0,"Recebimento com alerta; ","")&amp;IF(AL24&gt;0,"Vínculo de CDF com alerta; ","")&amp;IF(AND(AA24=0,AN24=0),"Recebimento não confirmado; ","")&amp;IF(AND(AA24=0,AN24=1,AO24=0),"CDF pendente ou a conferir; ",""))</f>
        <v/>
      </c>
      <c r="AX24" s="96">
        <f>IF(Z24=0,0,IF(AND(OR(f_ini="",AND(ISNUMBER(E24),E24&gt;=f_ini)),OR(f_fim="",AND(ISNUMBER(E24),E24&lt;=f_fim)),OR(f_un="",f_un="(Todas)",G24=f_un),OR(f_tr="",f_tr="(Todos)",H24=f_tr),OR(f_de="",f_de="(Todos)",I24=f_de),OR(f_sit="",f_sit="(Todas)",S24=f_sit)),1,0))</f>
        <v>0</v>
      </c>
      <c r="AY24" s="96">
        <f>IF(AX24=0,0,IF(OR(f_res="",f_res="(Todos)"),1,IF(COUNTIFS('ITENS_MTR'!$S$6:$S$1005,A24,'ITENS_MTR'!$C$6:$C$1005,f_res)&gt;0,1,0)))</f>
        <v>0</v>
      </c>
      <c r="AZ24" s="97" t="str">
        <f>IF(ISNUMBER(E24),DATE(YEAR(E24),MONTH(E24),1),"")</f>
        <v/>
      </c>
      <c r="BA24" s="96">
        <f>IF(Z24=0,0,IF(AND(OR(r_ini="",AND(ISNUMBER(E24),E24&gt;=r_ini)),OR(r_fim="",AND(ISNUMBER(E24),E24&lt;=r_fim)),OR(r_un="",r_un="(Todas)",G24=r_un),OR(r_de="",r_de="(Todos)",I24=r_de)),1,0))</f>
        <v>0</v>
      </c>
      <c r="BB24" s="96" t="str">
        <f>IF(BA24=1,COUNTIF($BA$6:BA24,1),"")</f>
        <v/>
      </c>
      <c r="BC24" s="96" t="str">
        <f>IF(AND(AU24&lt;&gt;"",OR(r_un="",r_un="(Todas)",G24=r_un),OR(r_de="",r_de="(Todos)",I24=r_de)),AU24,"")</f>
        <v/>
      </c>
      <c r="BD24" s="96" t="str">
        <f>IF(Z24=1,A24&amp;" | nº "&amp;IF(B24="","(sem número)",B24)&amp;" | "&amp;IF(G24="","(sem unidade)",G24),"")</f>
        <v/>
      </c>
      <c r="BE24" s="96" t="str">
        <f>IF(Z24=1,COUNTIF($Z$6:Z24,1),"")</f>
        <v/>
      </c>
      <c r="BF24" s="96" t="str">
        <f>IF(T24="","",IF(T24="RECEBIMENTO NÃO CONFIRMADO","Transp.: "&amp;H24&amp;" | Dest.: "&amp;I24,IF(OR(T24="CDF NÃO LOCALIZADO",T24="VÍNCULO INCOMPLETO",T24="CDF A CONFERIR"),"Dest.: "&amp;I24,"Gerador: "&amp;G24)))</f>
        <v/>
      </c>
    </row>
    <row r="25">
      <c r="A25" s="89" t="inlineStr">
        <is>
          <t>MTR-000020</t>
        </is>
      </c>
      <c r="B25" s="90" t="n"/>
      <c r="C25" s="91" t="n"/>
      <c r="D25" s="91" t="n"/>
      <c r="E25" s="92" t="n"/>
      <c r="F25" s="92" t="n"/>
      <c r="G25" s="91" t="n"/>
      <c r="H25" s="91" t="n"/>
      <c r="I25" s="91" t="n"/>
      <c r="J25" s="91" t="n"/>
      <c r="K25" s="91" t="n"/>
      <c r="L25" s="92" t="n"/>
      <c r="M25" s="91" t="n"/>
      <c r="N25" s="91" t="n"/>
      <c r="O25" s="91" t="n"/>
      <c r="P25" s="93" t="str">
        <f>IF(Z25=0,"",SUMIFS('ITENS_MTR'!$I$6:$I$1005,'ITENS_MTR'!$S$6:$S$1005,A25,'ITENS_MTR'!$Y$6:$Y$1005,1))</f>
        <v/>
      </c>
      <c r="Q25" s="93" t="str">
        <f>IF(Z25=0,"",SUMIFS('RECEBIMENTOS'!$H$6:$H$1005,'RECEBIMENTOS'!$B$6:$B$1005,A25,'RECEBIMENTOS'!$X$6:$X$1005,1))</f>
        <v/>
      </c>
      <c r="R25" s="93" t="str">
        <f>IF(Z25=0,"",SUMIFS('VÍNCULOS_CDF'!$H$6:$H$1005,'VÍNCULOS_CDF'!$D$6:$D$1005,A25,'VÍNCULOS_CDF'!$V$6:$V$1005,1))</f>
        <v/>
      </c>
      <c r="S25" s="94" t="str">
        <f>IF(Z25=0,"",IF(AA25=1,"Cancelado (informado)",IF(AE25=1,"Cadastro incompleto",IF(OR(AC25=1,AD25=1,AF25&gt;0,AH25&gt;0,AK25&gt;0,AL25&gt;0),"Informação a revisar",IF(AN25=0,"Aguardando recebimento",IF(N(R25)=0,"Aguardando CDF",IF(AJ25&lt;N(W25),"Vínculo de CDF parcial",IF(AO25=0,"CDF localizado, a conferir","Documentação conferida"))))))))</f>
        <v/>
      </c>
      <c r="T25" s="94" t="str">
        <f>IF(Z25=0,"",IF(S25="Cadastro incompleto","MTR INCOMPLETO",IF(S25="Informação a revisar",IF(AND(AH25&gt;0,AC25=0,AD25=0,AF25=0,AK25=0,AL25=0),"QUANTIDADE A REVISAR","IDENTIFICAÇÃO A REVISAR"),IF(S25="Aguardando recebimento","RECEBIMENTO NÃO CONFIRMADO",IF(S25="Aguardando CDF","CDF NÃO LOCALIZADO",IF(S25="Vínculo de CDF parcial","VÍNCULO INCOMPLETO",IF(S25="CDF localizado, a conferir","CDF A CONFERIR","")))))))</f>
        <v/>
      </c>
      <c r="U25" s="95" t="str">
        <f>IF(T25="","",IF(AQ25="","Não calculável",IF(AQ25&gt;TODAY(),"Data futura",TODAY()-AQ25)))</f>
        <v/>
      </c>
      <c r="V25" s="93" t="str">
        <f>IF(Z25=0,"",SUMIFS('RECEBIMENTOS'!$H$6:$H$1005,'RECEBIMENTOS'!$B$6:$B$1005,A25,'RECEBIMENTOS'!$Z$6:$Z$1005,1))</f>
        <v/>
      </c>
      <c r="W25" s="95" t="str">
        <f>IF(Z25=0,"",COUNTIFS('ITENS_MTR'!$S$6:$S$1005,A25,'ITENS_MTR'!$R$6:$R$1005,1))</f>
        <v/>
      </c>
      <c r="X25" s="94" t="str">
        <f>IF(AC25=1,"POSSÍVEL DUPLICIDADE","")</f>
        <v/>
      </c>
      <c r="Y25" s="94" t="str">
        <f>IF(Z25=0,"",IF(AW25="","Nenhuma",LEFT(AW25,LEN(AW25)-2)))</f>
        <v/>
      </c>
      <c r="Z25" s="96">
        <f>IF(COUNTA(B25:O25)&gt;0,1,0)</f>
        <v>0</v>
      </c>
      <c r="AA25" s="96">
        <f>IF(AND(Z25=1,K25&lt;&gt;""),IF(TRIM(K25)=TRIM(cfg_cancel),1,0),0)</f>
        <v>0</v>
      </c>
      <c r="AB25" s="96" t="str">
        <f>IF(AND(Z25=1,B25&lt;&gt;""),C25&amp;"|"&amp;D25&amp;"|"&amp;G25&amp;"|"&amp;TRIM(B25),"")</f>
        <v/>
      </c>
      <c r="AC25" s="96">
        <f>IF(AB25="",0,IF(SUMPRODUCT(--($AB$6:$AB$505=AB25))&gt;1,1,0))</f>
        <v>0</v>
      </c>
      <c r="AD25" s="96">
        <f>IF(Z25=0,0,IF(OR(AND(G25&lt;&gt;"",ISNA(MATCH(G25,'CAD_UNIDADES'!$C$6:$C$105,0))),AND(H25&lt;&gt;"",ISNA(MATCH(H25,cmp_transp,0))),AND(I25&lt;&gt;"",ISNA(MATCH(I25,cmp_dest,0))),AND(E25&lt;&gt;"",NOT(ISNUMBER(E25))),AND(F25&lt;&gt;"",NOT(ISNUMBER(F25))),AND(ISNUMBER(E25),ISNUMBER(F25),F25&lt;E25)),1,0))</f>
        <v>0</v>
      </c>
      <c r="AE25" s="96">
        <f>IF(Z25=0,0,IF(OR(B25="",C25="",E25="",G25="",H25="",I25="",N(W25)=0),1,0))</f>
        <v>0</v>
      </c>
      <c r="AF25" s="96">
        <f>IF(Z25=0,0,COUNTIFS('ITENS_MTR'!$S$6:$S$1005,A25,'ITENS_MTR'!$AI$6:$AI$1005,1))</f>
        <v>0</v>
      </c>
      <c r="AG25" s="96">
        <f>IF(Z25=0,0,COUNTIFS('ITENS_MTR'!$S$6:$S$1005,A25,'ITENS_MTR'!$AJ$6:$AJ$1005,1))</f>
        <v>0</v>
      </c>
      <c r="AH25" s="96">
        <f>IF(Z25=0,0,COUNTIFS('ITENS_MTR'!$S$6:$S$1005,A25,'ITENS_MTR'!$AM$6:$AM$1005,1))</f>
        <v>0</v>
      </c>
      <c r="AI25" s="96">
        <f>IF(Z25=0,0,COUNTIFS('ITENS_MTR'!$S$6:$S$1005,A25,'ITENS_MTR'!$AO$6:$AO$1005,1))</f>
        <v>0</v>
      </c>
      <c r="AJ25" s="96">
        <f>IF(Z25=0,0,COUNTIFS('ITENS_MTR'!$S$6:$S$1005,A25,'ITENS_MTR'!$AN$6:$AN$1005,1))</f>
        <v>0</v>
      </c>
      <c r="AK25" s="96">
        <f>IF(Z25=0,0,COUNTIFS('RECEBIMENTOS'!$B$6:$B$1005,A25,'RECEBIMENTOS'!$Y$6:$Y$1005,1))</f>
        <v>0</v>
      </c>
      <c r="AL25" s="96">
        <f>IF(Z25=0,0,COUNTIFS('VÍNCULOS_CDF'!$D$6:$D$1005,A25,'VÍNCULOS_CDF'!$Y$6:$Y$1005,1))</f>
        <v>0</v>
      </c>
      <c r="AM25" s="96">
        <f>IF(Z25=0,0,COUNTIFS('RECEBIMENTOS'!$B$6:$B$1005,A25,'RECEBIMENTOS'!$Q$6:$Q$1005,1))</f>
        <v>0</v>
      </c>
      <c r="AN25" s="96">
        <f>IF(AND(Z25=1,N(W25)&gt;0,AG25=N(W25)),1,0)</f>
        <v>0</v>
      </c>
      <c r="AO25" s="96">
        <f>IF(AND(Z25=1,N(W25)&gt;0,AI25=N(W25)),1,0)</f>
        <v>0</v>
      </c>
      <c r="AP25" s="97">
        <f>IF(Z25=0,0,_xlfn.MAXIFS('RECEBIMENTOS'!$E$6:$E$1005,'RECEBIMENTOS'!$B$6:$B$1005,A25))</f>
        <v>0</v>
      </c>
      <c r="AQ25" s="97" t="str">
        <f>IF(T25="","",IF(T25="RECEBIMENTO NÃO CONFIRMADO",IF(ISNUMBER(F25),F25,IF(ISNUMBER(E25),E25,"")),IF(OR(T25="CDF NÃO LOCALIZADO",T25="VÍNCULO INCOMPLETO",T25="CDF A CONFERIR"),IF(AP25&gt;0,AP25,IF(ISNUMBER(E25),E25,"")),IF(ISNUMBER(E25),E25,""))))</f>
        <v/>
      </c>
      <c r="AR25" s="96">
        <f>IF(NOT(ISNUMBER(U25)),0,IF(T25="RECEBIMENTO NÃO CONFIRMADO",IF(AND(ISNUMBER(cfg_rec),U25&gt;cfg_rec),1,0),IF(OR(T25="CDF NÃO LOCALIZADO",T25="VÍNCULO INCOMPLETO",T25="CDF A CONFERIR"),IF(AND(ISNUMBER(cfg_cdf),U25&gt;cfg_cdf),1,0),0)))</f>
        <v>0</v>
      </c>
      <c r="AS25" s="96" t="str">
        <f>IF(T25="","",IF(AR25=1,"Alta",IFERROR(INDEX(cfg_pp,MATCH(T25,cfg_pt,0))&amp;"","Média")))</f>
        <v/>
      </c>
      <c r="AT25" s="96" t="str">
        <f>IF(T25="","",IFERROR(INDEX(cfg_pv,MATCH(T25,cfg_pt,0))&amp;"",""))</f>
        <v/>
      </c>
      <c r="AU25" s="96" t="str">
        <f>IF(T25="","",IF(AS25="Alta",1,IF(AS25="Média",2,3))*1000000000+(999999-IF(ISNUMBER(U25),MIN(U25,999999),0))*1000+20)</f>
        <v/>
      </c>
      <c r="AV25" s="96">
        <f>IF(T25&lt;&gt;"",1,0)</f>
        <v>0</v>
      </c>
      <c r="AW25" s="96" t="str">
        <f>IF(Z25=0,"",IF(AA25=1,"Cancelamento informado; ","")&amp;IF(AE25=1,"Campos essenciais ou itens faltando; ","")&amp;IF(AC25=1,"Possível duplicidade do número; ","")&amp;IF(AD25=1,"Cadastro ou datas a revisar; ","")&amp;IF(AF25&gt;0,"Item de resíduo com dado a revisar; ","")&amp;IF(AH25&gt;0,"Diferença de quantidade a analisar; ","")&amp;IF(AK25&gt;0,"Recebimento com alerta; ","")&amp;IF(AL25&gt;0,"Vínculo de CDF com alerta; ","")&amp;IF(AND(AA25=0,AN25=0),"Recebimento não confirmado; ","")&amp;IF(AND(AA25=0,AN25=1,AO25=0),"CDF pendente ou a conferir; ",""))</f>
        <v/>
      </c>
      <c r="AX25" s="96">
        <f>IF(Z25=0,0,IF(AND(OR(f_ini="",AND(ISNUMBER(E25),E25&gt;=f_ini)),OR(f_fim="",AND(ISNUMBER(E25),E25&lt;=f_fim)),OR(f_un="",f_un="(Todas)",G25=f_un),OR(f_tr="",f_tr="(Todos)",H25=f_tr),OR(f_de="",f_de="(Todos)",I25=f_de),OR(f_sit="",f_sit="(Todas)",S25=f_sit)),1,0))</f>
        <v>0</v>
      </c>
      <c r="AY25" s="96">
        <f>IF(AX25=0,0,IF(OR(f_res="",f_res="(Todos)"),1,IF(COUNTIFS('ITENS_MTR'!$S$6:$S$1005,A25,'ITENS_MTR'!$C$6:$C$1005,f_res)&gt;0,1,0)))</f>
        <v>0</v>
      </c>
      <c r="AZ25" s="97" t="str">
        <f>IF(ISNUMBER(E25),DATE(YEAR(E25),MONTH(E25),1),"")</f>
        <v/>
      </c>
      <c r="BA25" s="96">
        <f>IF(Z25=0,0,IF(AND(OR(r_ini="",AND(ISNUMBER(E25),E25&gt;=r_ini)),OR(r_fim="",AND(ISNUMBER(E25),E25&lt;=r_fim)),OR(r_un="",r_un="(Todas)",G25=r_un),OR(r_de="",r_de="(Todos)",I25=r_de)),1,0))</f>
        <v>0</v>
      </c>
      <c r="BB25" s="96" t="str">
        <f>IF(BA25=1,COUNTIF($BA$6:BA25,1),"")</f>
        <v/>
      </c>
      <c r="BC25" s="96" t="str">
        <f>IF(AND(AU25&lt;&gt;"",OR(r_un="",r_un="(Todas)",G25=r_un),OR(r_de="",r_de="(Todos)",I25=r_de)),AU25,"")</f>
        <v/>
      </c>
      <c r="BD25" s="96" t="str">
        <f>IF(Z25=1,A25&amp;" | nº "&amp;IF(B25="","(sem número)",B25)&amp;" | "&amp;IF(G25="","(sem unidade)",G25),"")</f>
        <v/>
      </c>
      <c r="BE25" s="96" t="str">
        <f>IF(Z25=1,COUNTIF($Z$6:Z25,1),"")</f>
        <v/>
      </c>
      <c r="BF25" s="96" t="str">
        <f>IF(T25="","",IF(T25="RECEBIMENTO NÃO CONFIRMADO","Transp.: "&amp;H25&amp;" | Dest.: "&amp;I25,IF(OR(T25="CDF NÃO LOCALIZADO",T25="VÍNCULO INCOMPLETO",T25="CDF A CONFERIR"),"Dest.: "&amp;I25,"Gerador: "&amp;G25)))</f>
        <v/>
      </c>
    </row>
    <row r="26">
      <c r="A26" s="89" t="inlineStr">
        <is>
          <t>MTR-000021</t>
        </is>
      </c>
      <c r="B26" s="90" t="n"/>
      <c r="C26" s="91" t="n"/>
      <c r="D26" s="91" t="n"/>
      <c r="E26" s="92" t="n"/>
      <c r="F26" s="92" t="n"/>
      <c r="G26" s="91" t="n"/>
      <c r="H26" s="91" t="n"/>
      <c r="I26" s="91" t="n"/>
      <c r="J26" s="91" t="n"/>
      <c r="K26" s="91" t="n"/>
      <c r="L26" s="92" t="n"/>
      <c r="M26" s="91" t="n"/>
      <c r="N26" s="91" t="n"/>
      <c r="O26" s="91" t="n"/>
      <c r="P26" s="93" t="str">
        <f>IF(Z26=0,"",SUMIFS('ITENS_MTR'!$I$6:$I$1005,'ITENS_MTR'!$S$6:$S$1005,A26,'ITENS_MTR'!$Y$6:$Y$1005,1))</f>
        <v/>
      </c>
      <c r="Q26" s="93" t="str">
        <f>IF(Z26=0,"",SUMIFS('RECEBIMENTOS'!$H$6:$H$1005,'RECEBIMENTOS'!$B$6:$B$1005,A26,'RECEBIMENTOS'!$X$6:$X$1005,1))</f>
        <v/>
      </c>
      <c r="R26" s="93" t="str">
        <f>IF(Z26=0,"",SUMIFS('VÍNCULOS_CDF'!$H$6:$H$1005,'VÍNCULOS_CDF'!$D$6:$D$1005,A26,'VÍNCULOS_CDF'!$V$6:$V$1005,1))</f>
        <v/>
      </c>
      <c r="S26" s="94" t="str">
        <f>IF(Z26=0,"",IF(AA26=1,"Cancelado (informado)",IF(AE26=1,"Cadastro incompleto",IF(OR(AC26=1,AD26=1,AF26&gt;0,AH26&gt;0,AK26&gt;0,AL26&gt;0),"Informação a revisar",IF(AN26=0,"Aguardando recebimento",IF(N(R26)=0,"Aguardando CDF",IF(AJ26&lt;N(W26),"Vínculo de CDF parcial",IF(AO26=0,"CDF localizado, a conferir","Documentação conferida"))))))))</f>
        <v/>
      </c>
      <c r="T26" s="94" t="str">
        <f>IF(Z26=0,"",IF(S26="Cadastro incompleto","MTR INCOMPLETO",IF(S26="Informação a revisar",IF(AND(AH26&gt;0,AC26=0,AD26=0,AF26=0,AK26=0,AL26=0),"QUANTIDADE A REVISAR","IDENTIFICAÇÃO A REVISAR"),IF(S26="Aguardando recebimento","RECEBIMENTO NÃO CONFIRMADO",IF(S26="Aguardando CDF","CDF NÃO LOCALIZADO",IF(S26="Vínculo de CDF parcial","VÍNCULO INCOMPLETO",IF(S26="CDF localizado, a conferir","CDF A CONFERIR","")))))))</f>
        <v/>
      </c>
      <c r="U26" s="95" t="str">
        <f>IF(T26="","",IF(AQ26="","Não calculável",IF(AQ26&gt;TODAY(),"Data futura",TODAY()-AQ26)))</f>
        <v/>
      </c>
      <c r="V26" s="93" t="str">
        <f>IF(Z26=0,"",SUMIFS('RECEBIMENTOS'!$H$6:$H$1005,'RECEBIMENTOS'!$B$6:$B$1005,A26,'RECEBIMENTOS'!$Z$6:$Z$1005,1))</f>
        <v/>
      </c>
      <c r="W26" s="95" t="str">
        <f>IF(Z26=0,"",COUNTIFS('ITENS_MTR'!$S$6:$S$1005,A26,'ITENS_MTR'!$R$6:$R$1005,1))</f>
        <v/>
      </c>
      <c r="X26" s="94" t="str">
        <f>IF(AC26=1,"POSSÍVEL DUPLICIDADE","")</f>
        <v/>
      </c>
      <c r="Y26" s="94" t="str">
        <f>IF(Z26=0,"",IF(AW26="","Nenhuma",LEFT(AW26,LEN(AW26)-2)))</f>
        <v/>
      </c>
      <c r="Z26" s="96">
        <f>IF(COUNTA(B26:O26)&gt;0,1,0)</f>
        <v>0</v>
      </c>
      <c r="AA26" s="96">
        <f>IF(AND(Z26=1,K26&lt;&gt;""),IF(TRIM(K26)=TRIM(cfg_cancel),1,0),0)</f>
        <v>0</v>
      </c>
      <c r="AB26" s="96" t="str">
        <f>IF(AND(Z26=1,B26&lt;&gt;""),C26&amp;"|"&amp;D26&amp;"|"&amp;G26&amp;"|"&amp;TRIM(B26),"")</f>
        <v/>
      </c>
      <c r="AC26" s="96">
        <f>IF(AB26="",0,IF(SUMPRODUCT(--($AB$6:$AB$505=AB26))&gt;1,1,0))</f>
        <v>0</v>
      </c>
      <c r="AD26" s="96">
        <f>IF(Z26=0,0,IF(OR(AND(G26&lt;&gt;"",ISNA(MATCH(G26,'CAD_UNIDADES'!$C$6:$C$105,0))),AND(H26&lt;&gt;"",ISNA(MATCH(H26,cmp_transp,0))),AND(I26&lt;&gt;"",ISNA(MATCH(I26,cmp_dest,0))),AND(E26&lt;&gt;"",NOT(ISNUMBER(E26))),AND(F26&lt;&gt;"",NOT(ISNUMBER(F26))),AND(ISNUMBER(E26),ISNUMBER(F26),F26&lt;E26)),1,0))</f>
        <v>0</v>
      </c>
      <c r="AE26" s="96">
        <f>IF(Z26=0,0,IF(OR(B26="",C26="",E26="",G26="",H26="",I26="",N(W26)=0),1,0))</f>
        <v>0</v>
      </c>
      <c r="AF26" s="96">
        <f>IF(Z26=0,0,COUNTIFS('ITENS_MTR'!$S$6:$S$1005,A26,'ITENS_MTR'!$AI$6:$AI$1005,1))</f>
        <v>0</v>
      </c>
      <c r="AG26" s="96">
        <f>IF(Z26=0,0,COUNTIFS('ITENS_MTR'!$S$6:$S$1005,A26,'ITENS_MTR'!$AJ$6:$AJ$1005,1))</f>
        <v>0</v>
      </c>
      <c r="AH26" s="96">
        <f>IF(Z26=0,0,COUNTIFS('ITENS_MTR'!$S$6:$S$1005,A26,'ITENS_MTR'!$AM$6:$AM$1005,1))</f>
        <v>0</v>
      </c>
      <c r="AI26" s="96">
        <f>IF(Z26=0,0,COUNTIFS('ITENS_MTR'!$S$6:$S$1005,A26,'ITENS_MTR'!$AO$6:$AO$1005,1))</f>
        <v>0</v>
      </c>
      <c r="AJ26" s="96">
        <f>IF(Z26=0,0,COUNTIFS('ITENS_MTR'!$S$6:$S$1005,A26,'ITENS_MTR'!$AN$6:$AN$1005,1))</f>
        <v>0</v>
      </c>
      <c r="AK26" s="96">
        <f>IF(Z26=0,0,COUNTIFS('RECEBIMENTOS'!$B$6:$B$1005,A26,'RECEBIMENTOS'!$Y$6:$Y$1005,1))</f>
        <v>0</v>
      </c>
      <c r="AL26" s="96">
        <f>IF(Z26=0,0,COUNTIFS('VÍNCULOS_CDF'!$D$6:$D$1005,A26,'VÍNCULOS_CDF'!$Y$6:$Y$1005,1))</f>
        <v>0</v>
      </c>
      <c r="AM26" s="96">
        <f>IF(Z26=0,0,COUNTIFS('RECEBIMENTOS'!$B$6:$B$1005,A26,'RECEBIMENTOS'!$Q$6:$Q$1005,1))</f>
        <v>0</v>
      </c>
      <c r="AN26" s="96">
        <f>IF(AND(Z26=1,N(W26)&gt;0,AG26=N(W26)),1,0)</f>
        <v>0</v>
      </c>
      <c r="AO26" s="96">
        <f>IF(AND(Z26=1,N(W26)&gt;0,AI26=N(W26)),1,0)</f>
        <v>0</v>
      </c>
      <c r="AP26" s="97">
        <f>IF(Z26=0,0,_xlfn.MAXIFS('RECEBIMENTOS'!$E$6:$E$1005,'RECEBIMENTOS'!$B$6:$B$1005,A26))</f>
        <v>0</v>
      </c>
      <c r="AQ26" s="97" t="str">
        <f>IF(T26="","",IF(T26="RECEBIMENTO NÃO CONFIRMADO",IF(ISNUMBER(F26),F26,IF(ISNUMBER(E26),E26,"")),IF(OR(T26="CDF NÃO LOCALIZADO",T26="VÍNCULO INCOMPLETO",T26="CDF A CONFERIR"),IF(AP26&gt;0,AP26,IF(ISNUMBER(E26),E26,"")),IF(ISNUMBER(E26),E26,""))))</f>
        <v/>
      </c>
      <c r="AR26" s="96">
        <f>IF(NOT(ISNUMBER(U26)),0,IF(T26="RECEBIMENTO NÃO CONFIRMADO",IF(AND(ISNUMBER(cfg_rec),U26&gt;cfg_rec),1,0),IF(OR(T26="CDF NÃO LOCALIZADO",T26="VÍNCULO INCOMPLETO",T26="CDF A CONFERIR"),IF(AND(ISNUMBER(cfg_cdf),U26&gt;cfg_cdf),1,0),0)))</f>
        <v>0</v>
      </c>
      <c r="AS26" s="96" t="str">
        <f>IF(T26="","",IF(AR26=1,"Alta",IFERROR(INDEX(cfg_pp,MATCH(T26,cfg_pt,0))&amp;"","Média")))</f>
        <v/>
      </c>
      <c r="AT26" s="96" t="str">
        <f>IF(T26="","",IFERROR(INDEX(cfg_pv,MATCH(T26,cfg_pt,0))&amp;"",""))</f>
        <v/>
      </c>
      <c r="AU26" s="96" t="str">
        <f>IF(T26="","",IF(AS26="Alta",1,IF(AS26="Média",2,3))*1000000000+(999999-IF(ISNUMBER(U26),MIN(U26,999999),0))*1000+21)</f>
        <v/>
      </c>
      <c r="AV26" s="96">
        <f>IF(T26&lt;&gt;"",1,0)</f>
        <v>0</v>
      </c>
      <c r="AW26" s="96" t="str">
        <f>IF(Z26=0,"",IF(AA26=1,"Cancelamento informado; ","")&amp;IF(AE26=1,"Campos essenciais ou itens faltando; ","")&amp;IF(AC26=1,"Possível duplicidade do número; ","")&amp;IF(AD26=1,"Cadastro ou datas a revisar; ","")&amp;IF(AF26&gt;0,"Item de resíduo com dado a revisar; ","")&amp;IF(AH26&gt;0,"Diferença de quantidade a analisar; ","")&amp;IF(AK26&gt;0,"Recebimento com alerta; ","")&amp;IF(AL26&gt;0,"Vínculo de CDF com alerta; ","")&amp;IF(AND(AA26=0,AN26=0),"Recebimento não confirmado; ","")&amp;IF(AND(AA26=0,AN26=1,AO26=0),"CDF pendente ou a conferir; ",""))</f>
        <v/>
      </c>
      <c r="AX26" s="96">
        <f>IF(Z26=0,0,IF(AND(OR(f_ini="",AND(ISNUMBER(E26),E26&gt;=f_ini)),OR(f_fim="",AND(ISNUMBER(E26),E26&lt;=f_fim)),OR(f_un="",f_un="(Todas)",G26=f_un),OR(f_tr="",f_tr="(Todos)",H26=f_tr),OR(f_de="",f_de="(Todos)",I26=f_de),OR(f_sit="",f_sit="(Todas)",S26=f_sit)),1,0))</f>
        <v>0</v>
      </c>
      <c r="AY26" s="96">
        <f>IF(AX26=0,0,IF(OR(f_res="",f_res="(Todos)"),1,IF(COUNTIFS('ITENS_MTR'!$S$6:$S$1005,A26,'ITENS_MTR'!$C$6:$C$1005,f_res)&gt;0,1,0)))</f>
        <v>0</v>
      </c>
      <c r="AZ26" s="97" t="str">
        <f>IF(ISNUMBER(E26),DATE(YEAR(E26),MONTH(E26),1),"")</f>
        <v/>
      </c>
      <c r="BA26" s="96">
        <f>IF(Z26=0,0,IF(AND(OR(r_ini="",AND(ISNUMBER(E26),E26&gt;=r_ini)),OR(r_fim="",AND(ISNUMBER(E26),E26&lt;=r_fim)),OR(r_un="",r_un="(Todas)",G26=r_un),OR(r_de="",r_de="(Todos)",I26=r_de)),1,0))</f>
        <v>0</v>
      </c>
      <c r="BB26" s="96" t="str">
        <f>IF(BA26=1,COUNTIF($BA$6:BA26,1),"")</f>
        <v/>
      </c>
      <c r="BC26" s="96" t="str">
        <f>IF(AND(AU26&lt;&gt;"",OR(r_un="",r_un="(Todas)",G26=r_un),OR(r_de="",r_de="(Todos)",I26=r_de)),AU26,"")</f>
        <v/>
      </c>
      <c r="BD26" s="96" t="str">
        <f>IF(Z26=1,A26&amp;" | nº "&amp;IF(B26="","(sem número)",B26)&amp;" | "&amp;IF(G26="","(sem unidade)",G26),"")</f>
        <v/>
      </c>
      <c r="BE26" s="96" t="str">
        <f>IF(Z26=1,COUNTIF($Z$6:Z26,1),"")</f>
        <v/>
      </c>
      <c r="BF26" s="96" t="str">
        <f>IF(T26="","",IF(T26="RECEBIMENTO NÃO CONFIRMADO","Transp.: "&amp;H26&amp;" | Dest.: "&amp;I26,IF(OR(T26="CDF NÃO LOCALIZADO",T26="VÍNCULO INCOMPLETO",T26="CDF A CONFERIR"),"Dest.: "&amp;I26,"Gerador: "&amp;G26)))</f>
        <v/>
      </c>
    </row>
    <row r="27">
      <c r="A27" s="89" t="inlineStr">
        <is>
          <t>MTR-000022</t>
        </is>
      </c>
      <c r="B27" s="90" t="n"/>
      <c r="C27" s="91" t="n"/>
      <c r="D27" s="91" t="n"/>
      <c r="E27" s="92" t="n"/>
      <c r="F27" s="92" t="n"/>
      <c r="G27" s="91" t="n"/>
      <c r="H27" s="91" t="n"/>
      <c r="I27" s="91" t="n"/>
      <c r="J27" s="91" t="n"/>
      <c r="K27" s="91" t="n"/>
      <c r="L27" s="92" t="n"/>
      <c r="M27" s="91" t="n"/>
      <c r="N27" s="91" t="n"/>
      <c r="O27" s="91" t="n"/>
      <c r="P27" s="93" t="str">
        <f>IF(Z27=0,"",SUMIFS('ITENS_MTR'!$I$6:$I$1005,'ITENS_MTR'!$S$6:$S$1005,A27,'ITENS_MTR'!$Y$6:$Y$1005,1))</f>
        <v/>
      </c>
      <c r="Q27" s="93" t="str">
        <f>IF(Z27=0,"",SUMIFS('RECEBIMENTOS'!$H$6:$H$1005,'RECEBIMENTOS'!$B$6:$B$1005,A27,'RECEBIMENTOS'!$X$6:$X$1005,1))</f>
        <v/>
      </c>
      <c r="R27" s="93" t="str">
        <f>IF(Z27=0,"",SUMIFS('VÍNCULOS_CDF'!$H$6:$H$1005,'VÍNCULOS_CDF'!$D$6:$D$1005,A27,'VÍNCULOS_CDF'!$V$6:$V$1005,1))</f>
        <v/>
      </c>
      <c r="S27" s="94" t="str">
        <f>IF(Z27=0,"",IF(AA27=1,"Cancelado (informado)",IF(AE27=1,"Cadastro incompleto",IF(OR(AC27=1,AD27=1,AF27&gt;0,AH27&gt;0,AK27&gt;0,AL27&gt;0),"Informação a revisar",IF(AN27=0,"Aguardando recebimento",IF(N(R27)=0,"Aguardando CDF",IF(AJ27&lt;N(W27),"Vínculo de CDF parcial",IF(AO27=0,"CDF localizado, a conferir","Documentação conferida"))))))))</f>
        <v/>
      </c>
      <c r="T27" s="94" t="str">
        <f>IF(Z27=0,"",IF(S27="Cadastro incompleto","MTR INCOMPLETO",IF(S27="Informação a revisar",IF(AND(AH27&gt;0,AC27=0,AD27=0,AF27=0,AK27=0,AL27=0),"QUANTIDADE A REVISAR","IDENTIFICAÇÃO A REVISAR"),IF(S27="Aguardando recebimento","RECEBIMENTO NÃO CONFIRMADO",IF(S27="Aguardando CDF","CDF NÃO LOCALIZADO",IF(S27="Vínculo de CDF parcial","VÍNCULO INCOMPLETO",IF(S27="CDF localizado, a conferir","CDF A CONFERIR","")))))))</f>
        <v/>
      </c>
      <c r="U27" s="95" t="str">
        <f>IF(T27="","",IF(AQ27="","Não calculável",IF(AQ27&gt;TODAY(),"Data futura",TODAY()-AQ27)))</f>
        <v/>
      </c>
      <c r="V27" s="93" t="str">
        <f>IF(Z27=0,"",SUMIFS('RECEBIMENTOS'!$H$6:$H$1005,'RECEBIMENTOS'!$B$6:$B$1005,A27,'RECEBIMENTOS'!$Z$6:$Z$1005,1))</f>
        <v/>
      </c>
      <c r="W27" s="95" t="str">
        <f>IF(Z27=0,"",COUNTIFS('ITENS_MTR'!$S$6:$S$1005,A27,'ITENS_MTR'!$R$6:$R$1005,1))</f>
        <v/>
      </c>
      <c r="X27" s="94" t="str">
        <f>IF(AC27=1,"POSSÍVEL DUPLICIDADE","")</f>
        <v/>
      </c>
      <c r="Y27" s="94" t="str">
        <f>IF(Z27=0,"",IF(AW27="","Nenhuma",LEFT(AW27,LEN(AW27)-2)))</f>
        <v/>
      </c>
      <c r="Z27" s="96">
        <f>IF(COUNTA(B27:O27)&gt;0,1,0)</f>
        <v>0</v>
      </c>
      <c r="AA27" s="96">
        <f>IF(AND(Z27=1,K27&lt;&gt;""),IF(TRIM(K27)=TRIM(cfg_cancel),1,0),0)</f>
        <v>0</v>
      </c>
      <c r="AB27" s="96" t="str">
        <f>IF(AND(Z27=1,B27&lt;&gt;""),C27&amp;"|"&amp;D27&amp;"|"&amp;G27&amp;"|"&amp;TRIM(B27),"")</f>
        <v/>
      </c>
      <c r="AC27" s="96">
        <f>IF(AB27="",0,IF(SUMPRODUCT(--($AB$6:$AB$505=AB27))&gt;1,1,0))</f>
        <v>0</v>
      </c>
      <c r="AD27" s="96">
        <f>IF(Z27=0,0,IF(OR(AND(G27&lt;&gt;"",ISNA(MATCH(G27,'CAD_UNIDADES'!$C$6:$C$105,0))),AND(H27&lt;&gt;"",ISNA(MATCH(H27,cmp_transp,0))),AND(I27&lt;&gt;"",ISNA(MATCH(I27,cmp_dest,0))),AND(E27&lt;&gt;"",NOT(ISNUMBER(E27))),AND(F27&lt;&gt;"",NOT(ISNUMBER(F27))),AND(ISNUMBER(E27),ISNUMBER(F27),F27&lt;E27)),1,0))</f>
        <v>0</v>
      </c>
      <c r="AE27" s="96">
        <f>IF(Z27=0,0,IF(OR(B27="",C27="",E27="",G27="",H27="",I27="",N(W27)=0),1,0))</f>
        <v>0</v>
      </c>
      <c r="AF27" s="96">
        <f>IF(Z27=0,0,COUNTIFS('ITENS_MTR'!$S$6:$S$1005,A27,'ITENS_MTR'!$AI$6:$AI$1005,1))</f>
        <v>0</v>
      </c>
      <c r="AG27" s="96">
        <f>IF(Z27=0,0,COUNTIFS('ITENS_MTR'!$S$6:$S$1005,A27,'ITENS_MTR'!$AJ$6:$AJ$1005,1))</f>
        <v>0</v>
      </c>
      <c r="AH27" s="96">
        <f>IF(Z27=0,0,COUNTIFS('ITENS_MTR'!$S$6:$S$1005,A27,'ITENS_MTR'!$AM$6:$AM$1005,1))</f>
        <v>0</v>
      </c>
      <c r="AI27" s="96">
        <f>IF(Z27=0,0,COUNTIFS('ITENS_MTR'!$S$6:$S$1005,A27,'ITENS_MTR'!$AO$6:$AO$1005,1))</f>
        <v>0</v>
      </c>
      <c r="AJ27" s="96">
        <f>IF(Z27=0,0,COUNTIFS('ITENS_MTR'!$S$6:$S$1005,A27,'ITENS_MTR'!$AN$6:$AN$1005,1))</f>
        <v>0</v>
      </c>
      <c r="AK27" s="96">
        <f>IF(Z27=0,0,COUNTIFS('RECEBIMENTOS'!$B$6:$B$1005,A27,'RECEBIMENTOS'!$Y$6:$Y$1005,1))</f>
        <v>0</v>
      </c>
      <c r="AL27" s="96">
        <f>IF(Z27=0,0,COUNTIFS('VÍNCULOS_CDF'!$D$6:$D$1005,A27,'VÍNCULOS_CDF'!$Y$6:$Y$1005,1))</f>
        <v>0</v>
      </c>
      <c r="AM27" s="96">
        <f>IF(Z27=0,0,COUNTIFS('RECEBIMENTOS'!$B$6:$B$1005,A27,'RECEBIMENTOS'!$Q$6:$Q$1005,1))</f>
        <v>0</v>
      </c>
      <c r="AN27" s="96">
        <f>IF(AND(Z27=1,N(W27)&gt;0,AG27=N(W27)),1,0)</f>
        <v>0</v>
      </c>
      <c r="AO27" s="96">
        <f>IF(AND(Z27=1,N(W27)&gt;0,AI27=N(W27)),1,0)</f>
        <v>0</v>
      </c>
      <c r="AP27" s="97">
        <f>IF(Z27=0,0,_xlfn.MAXIFS('RECEBIMENTOS'!$E$6:$E$1005,'RECEBIMENTOS'!$B$6:$B$1005,A27))</f>
        <v>0</v>
      </c>
      <c r="AQ27" s="97" t="str">
        <f>IF(T27="","",IF(T27="RECEBIMENTO NÃO CONFIRMADO",IF(ISNUMBER(F27),F27,IF(ISNUMBER(E27),E27,"")),IF(OR(T27="CDF NÃO LOCALIZADO",T27="VÍNCULO INCOMPLETO",T27="CDF A CONFERIR"),IF(AP27&gt;0,AP27,IF(ISNUMBER(E27),E27,"")),IF(ISNUMBER(E27),E27,""))))</f>
        <v/>
      </c>
      <c r="AR27" s="96">
        <f>IF(NOT(ISNUMBER(U27)),0,IF(T27="RECEBIMENTO NÃO CONFIRMADO",IF(AND(ISNUMBER(cfg_rec),U27&gt;cfg_rec),1,0),IF(OR(T27="CDF NÃO LOCALIZADO",T27="VÍNCULO INCOMPLETO",T27="CDF A CONFERIR"),IF(AND(ISNUMBER(cfg_cdf),U27&gt;cfg_cdf),1,0),0)))</f>
        <v>0</v>
      </c>
      <c r="AS27" s="96" t="str">
        <f>IF(T27="","",IF(AR27=1,"Alta",IFERROR(INDEX(cfg_pp,MATCH(T27,cfg_pt,0))&amp;"","Média")))</f>
        <v/>
      </c>
      <c r="AT27" s="96" t="str">
        <f>IF(T27="","",IFERROR(INDEX(cfg_pv,MATCH(T27,cfg_pt,0))&amp;"",""))</f>
        <v/>
      </c>
      <c r="AU27" s="96" t="str">
        <f>IF(T27="","",IF(AS27="Alta",1,IF(AS27="Média",2,3))*1000000000+(999999-IF(ISNUMBER(U27),MIN(U27,999999),0))*1000+22)</f>
        <v/>
      </c>
      <c r="AV27" s="96">
        <f>IF(T27&lt;&gt;"",1,0)</f>
        <v>0</v>
      </c>
      <c r="AW27" s="96" t="str">
        <f>IF(Z27=0,"",IF(AA27=1,"Cancelamento informado; ","")&amp;IF(AE27=1,"Campos essenciais ou itens faltando; ","")&amp;IF(AC27=1,"Possível duplicidade do número; ","")&amp;IF(AD27=1,"Cadastro ou datas a revisar; ","")&amp;IF(AF27&gt;0,"Item de resíduo com dado a revisar; ","")&amp;IF(AH27&gt;0,"Diferença de quantidade a analisar; ","")&amp;IF(AK27&gt;0,"Recebimento com alerta; ","")&amp;IF(AL27&gt;0,"Vínculo de CDF com alerta; ","")&amp;IF(AND(AA27=0,AN27=0),"Recebimento não confirmado; ","")&amp;IF(AND(AA27=0,AN27=1,AO27=0),"CDF pendente ou a conferir; ",""))</f>
        <v/>
      </c>
      <c r="AX27" s="96">
        <f>IF(Z27=0,0,IF(AND(OR(f_ini="",AND(ISNUMBER(E27),E27&gt;=f_ini)),OR(f_fim="",AND(ISNUMBER(E27),E27&lt;=f_fim)),OR(f_un="",f_un="(Todas)",G27=f_un),OR(f_tr="",f_tr="(Todos)",H27=f_tr),OR(f_de="",f_de="(Todos)",I27=f_de),OR(f_sit="",f_sit="(Todas)",S27=f_sit)),1,0))</f>
        <v>0</v>
      </c>
      <c r="AY27" s="96">
        <f>IF(AX27=0,0,IF(OR(f_res="",f_res="(Todos)"),1,IF(COUNTIFS('ITENS_MTR'!$S$6:$S$1005,A27,'ITENS_MTR'!$C$6:$C$1005,f_res)&gt;0,1,0)))</f>
        <v>0</v>
      </c>
      <c r="AZ27" s="97" t="str">
        <f>IF(ISNUMBER(E27),DATE(YEAR(E27),MONTH(E27),1),"")</f>
        <v/>
      </c>
      <c r="BA27" s="96">
        <f>IF(Z27=0,0,IF(AND(OR(r_ini="",AND(ISNUMBER(E27),E27&gt;=r_ini)),OR(r_fim="",AND(ISNUMBER(E27),E27&lt;=r_fim)),OR(r_un="",r_un="(Todas)",G27=r_un),OR(r_de="",r_de="(Todos)",I27=r_de)),1,0))</f>
        <v>0</v>
      </c>
      <c r="BB27" s="96" t="str">
        <f>IF(BA27=1,COUNTIF($BA$6:BA27,1),"")</f>
        <v/>
      </c>
      <c r="BC27" s="96" t="str">
        <f>IF(AND(AU27&lt;&gt;"",OR(r_un="",r_un="(Todas)",G27=r_un),OR(r_de="",r_de="(Todos)",I27=r_de)),AU27,"")</f>
        <v/>
      </c>
      <c r="BD27" s="96" t="str">
        <f>IF(Z27=1,A27&amp;" | nº "&amp;IF(B27="","(sem número)",B27)&amp;" | "&amp;IF(G27="","(sem unidade)",G27),"")</f>
        <v/>
      </c>
      <c r="BE27" s="96" t="str">
        <f>IF(Z27=1,COUNTIF($Z$6:Z27,1),"")</f>
        <v/>
      </c>
      <c r="BF27" s="96" t="str">
        <f>IF(T27="","",IF(T27="RECEBIMENTO NÃO CONFIRMADO","Transp.: "&amp;H27&amp;" | Dest.: "&amp;I27,IF(OR(T27="CDF NÃO LOCALIZADO",T27="VÍNCULO INCOMPLETO",T27="CDF A CONFERIR"),"Dest.: "&amp;I27,"Gerador: "&amp;G27)))</f>
        <v/>
      </c>
    </row>
    <row r="28">
      <c r="A28" s="89" t="inlineStr">
        <is>
          <t>MTR-000023</t>
        </is>
      </c>
      <c r="B28" s="90" t="n"/>
      <c r="C28" s="91" t="n"/>
      <c r="D28" s="91" t="n"/>
      <c r="E28" s="92" t="n"/>
      <c r="F28" s="92" t="n"/>
      <c r="G28" s="91" t="n"/>
      <c r="H28" s="91" t="n"/>
      <c r="I28" s="91" t="n"/>
      <c r="J28" s="91" t="n"/>
      <c r="K28" s="91" t="n"/>
      <c r="L28" s="92" t="n"/>
      <c r="M28" s="91" t="n"/>
      <c r="N28" s="91" t="n"/>
      <c r="O28" s="91" t="n"/>
      <c r="P28" s="93" t="str">
        <f>IF(Z28=0,"",SUMIFS('ITENS_MTR'!$I$6:$I$1005,'ITENS_MTR'!$S$6:$S$1005,A28,'ITENS_MTR'!$Y$6:$Y$1005,1))</f>
        <v/>
      </c>
      <c r="Q28" s="93" t="str">
        <f>IF(Z28=0,"",SUMIFS('RECEBIMENTOS'!$H$6:$H$1005,'RECEBIMENTOS'!$B$6:$B$1005,A28,'RECEBIMENTOS'!$X$6:$X$1005,1))</f>
        <v/>
      </c>
      <c r="R28" s="93" t="str">
        <f>IF(Z28=0,"",SUMIFS('VÍNCULOS_CDF'!$H$6:$H$1005,'VÍNCULOS_CDF'!$D$6:$D$1005,A28,'VÍNCULOS_CDF'!$V$6:$V$1005,1))</f>
        <v/>
      </c>
      <c r="S28" s="94" t="str">
        <f>IF(Z28=0,"",IF(AA28=1,"Cancelado (informado)",IF(AE28=1,"Cadastro incompleto",IF(OR(AC28=1,AD28=1,AF28&gt;0,AH28&gt;0,AK28&gt;0,AL28&gt;0),"Informação a revisar",IF(AN28=0,"Aguardando recebimento",IF(N(R28)=0,"Aguardando CDF",IF(AJ28&lt;N(W28),"Vínculo de CDF parcial",IF(AO28=0,"CDF localizado, a conferir","Documentação conferida"))))))))</f>
        <v/>
      </c>
      <c r="T28" s="94" t="str">
        <f>IF(Z28=0,"",IF(S28="Cadastro incompleto","MTR INCOMPLETO",IF(S28="Informação a revisar",IF(AND(AH28&gt;0,AC28=0,AD28=0,AF28=0,AK28=0,AL28=0),"QUANTIDADE A REVISAR","IDENTIFICAÇÃO A REVISAR"),IF(S28="Aguardando recebimento","RECEBIMENTO NÃO CONFIRMADO",IF(S28="Aguardando CDF","CDF NÃO LOCALIZADO",IF(S28="Vínculo de CDF parcial","VÍNCULO INCOMPLETO",IF(S28="CDF localizado, a conferir","CDF A CONFERIR","")))))))</f>
        <v/>
      </c>
      <c r="U28" s="95" t="str">
        <f>IF(T28="","",IF(AQ28="","Não calculável",IF(AQ28&gt;TODAY(),"Data futura",TODAY()-AQ28)))</f>
        <v/>
      </c>
      <c r="V28" s="93" t="str">
        <f>IF(Z28=0,"",SUMIFS('RECEBIMENTOS'!$H$6:$H$1005,'RECEBIMENTOS'!$B$6:$B$1005,A28,'RECEBIMENTOS'!$Z$6:$Z$1005,1))</f>
        <v/>
      </c>
      <c r="W28" s="95" t="str">
        <f>IF(Z28=0,"",COUNTIFS('ITENS_MTR'!$S$6:$S$1005,A28,'ITENS_MTR'!$R$6:$R$1005,1))</f>
        <v/>
      </c>
      <c r="X28" s="94" t="str">
        <f>IF(AC28=1,"POSSÍVEL DUPLICIDADE","")</f>
        <v/>
      </c>
      <c r="Y28" s="94" t="str">
        <f>IF(Z28=0,"",IF(AW28="","Nenhuma",LEFT(AW28,LEN(AW28)-2)))</f>
        <v/>
      </c>
      <c r="Z28" s="96">
        <f>IF(COUNTA(B28:O28)&gt;0,1,0)</f>
        <v>0</v>
      </c>
      <c r="AA28" s="96">
        <f>IF(AND(Z28=1,K28&lt;&gt;""),IF(TRIM(K28)=TRIM(cfg_cancel),1,0),0)</f>
        <v>0</v>
      </c>
      <c r="AB28" s="96" t="str">
        <f>IF(AND(Z28=1,B28&lt;&gt;""),C28&amp;"|"&amp;D28&amp;"|"&amp;G28&amp;"|"&amp;TRIM(B28),"")</f>
        <v/>
      </c>
      <c r="AC28" s="96">
        <f>IF(AB28="",0,IF(SUMPRODUCT(--($AB$6:$AB$505=AB28))&gt;1,1,0))</f>
        <v>0</v>
      </c>
      <c r="AD28" s="96">
        <f>IF(Z28=0,0,IF(OR(AND(G28&lt;&gt;"",ISNA(MATCH(G28,'CAD_UNIDADES'!$C$6:$C$105,0))),AND(H28&lt;&gt;"",ISNA(MATCH(H28,cmp_transp,0))),AND(I28&lt;&gt;"",ISNA(MATCH(I28,cmp_dest,0))),AND(E28&lt;&gt;"",NOT(ISNUMBER(E28))),AND(F28&lt;&gt;"",NOT(ISNUMBER(F28))),AND(ISNUMBER(E28),ISNUMBER(F28),F28&lt;E28)),1,0))</f>
        <v>0</v>
      </c>
      <c r="AE28" s="96">
        <f>IF(Z28=0,0,IF(OR(B28="",C28="",E28="",G28="",H28="",I28="",N(W28)=0),1,0))</f>
        <v>0</v>
      </c>
      <c r="AF28" s="96">
        <f>IF(Z28=0,0,COUNTIFS('ITENS_MTR'!$S$6:$S$1005,A28,'ITENS_MTR'!$AI$6:$AI$1005,1))</f>
        <v>0</v>
      </c>
      <c r="AG28" s="96">
        <f>IF(Z28=0,0,COUNTIFS('ITENS_MTR'!$S$6:$S$1005,A28,'ITENS_MTR'!$AJ$6:$AJ$1005,1))</f>
        <v>0</v>
      </c>
      <c r="AH28" s="96">
        <f>IF(Z28=0,0,COUNTIFS('ITENS_MTR'!$S$6:$S$1005,A28,'ITENS_MTR'!$AM$6:$AM$1005,1))</f>
        <v>0</v>
      </c>
      <c r="AI28" s="96">
        <f>IF(Z28=0,0,COUNTIFS('ITENS_MTR'!$S$6:$S$1005,A28,'ITENS_MTR'!$AO$6:$AO$1005,1))</f>
        <v>0</v>
      </c>
      <c r="AJ28" s="96">
        <f>IF(Z28=0,0,COUNTIFS('ITENS_MTR'!$S$6:$S$1005,A28,'ITENS_MTR'!$AN$6:$AN$1005,1))</f>
        <v>0</v>
      </c>
      <c r="AK28" s="96">
        <f>IF(Z28=0,0,COUNTIFS('RECEBIMENTOS'!$B$6:$B$1005,A28,'RECEBIMENTOS'!$Y$6:$Y$1005,1))</f>
        <v>0</v>
      </c>
      <c r="AL28" s="96">
        <f>IF(Z28=0,0,COUNTIFS('VÍNCULOS_CDF'!$D$6:$D$1005,A28,'VÍNCULOS_CDF'!$Y$6:$Y$1005,1))</f>
        <v>0</v>
      </c>
      <c r="AM28" s="96">
        <f>IF(Z28=0,0,COUNTIFS('RECEBIMENTOS'!$B$6:$B$1005,A28,'RECEBIMENTOS'!$Q$6:$Q$1005,1))</f>
        <v>0</v>
      </c>
      <c r="AN28" s="96">
        <f>IF(AND(Z28=1,N(W28)&gt;0,AG28=N(W28)),1,0)</f>
        <v>0</v>
      </c>
      <c r="AO28" s="96">
        <f>IF(AND(Z28=1,N(W28)&gt;0,AI28=N(W28)),1,0)</f>
        <v>0</v>
      </c>
      <c r="AP28" s="97">
        <f>IF(Z28=0,0,_xlfn.MAXIFS('RECEBIMENTOS'!$E$6:$E$1005,'RECEBIMENTOS'!$B$6:$B$1005,A28))</f>
        <v>0</v>
      </c>
      <c r="AQ28" s="97" t="str">
        <f>IF(T28="","",IF(T28="RECEBIMENTO NÃO CONFIRMADO",IF(ISNUMBER(F28),F28,IF(ISNUMBER(E28),E28,"")),IF(OR(T28="CDF NÃO LOCALIZADO",T28="VÍNCULO INCOMPLETO",T28="CDF A CONFERIR"),IF(AP28&gt;0,AP28,IF(ISNUMBER(E28),E28,"")),IF(ISNUMBER(E28),E28,""))))</f>
        <v/>
      </c>
      <c r="AR28" s="96">
        <f>IF(NOT(ISNUMBER(U28)),0,IF(T28="RECEBIMENTO NÃO CONFIRMADO",IF(AND(ISNUMBER(cfg_rec),U28&gt;cfg_rec),1,0),IF(OR(T28="CDF NÃO LOCALIZADO",T28="VÍNCULO INCOMPLETO",T28="CDF A CONFERIR"),IF(AND(ISNUMBER(cfg_cdf),U28&gt;cfg_cdf),1,0),0)))</f>
        <v>0</v>
      </c>
      <c r="AS28" s="96" t="str">
        <f>IF(T28="","",IF(AR28=1,"Alta",IFERROR(INDEX(cfg_pp,MATCH(T28,cfg_pt,0))&amp;"","Média")))</f>
        <v/>
      </c>
      <c r="AT28" s="96" t="str">
        <f>IF(T28="","",IFERROR(INDEX(cfg_pv,MATCH(T28,cfg_pt,0))&amp;"",""))</f>
        <v/>
      </c>
      <c r="AU28" s="96" t="str">
        <f>IF(T28="","",IF(AS28="Alta",1,IF(AS28="Média",2,3))*1000000000+(999999-IF(ISNUMBER(U28),MIN(U28,999999),0))*1000+23)</f>
        <v/>
      </c>
      <c r="AV28" s="96">
        <f>IF(T28&lt;&gt;"",1,0)</f>
        <v>0</v>
      </c>
      <c r="AW28" s="96" t="str">
        <f>IF(Z28=0,"",IF(AA28=1,"Cancelamento informado; ","")&amp;IF(AE28=1,"Campos essenciais ou itens faltando; ","")&amp;IF(AC28=1,"Possível duplicidade do número; ","")&amp;IF(AD28=1,"Cadastro ou datas a revisar; ","")&amp;IF(AF28&gt;0,"Item de resíduo com dado a revisar; ","")&amp;IF(AH28&gt;0,"Diferença de quantidade a analisar; ","")&amp;IF(AK28&gt;0,"Recebimento com alerta; ","")&amp;IF(AL28&gt;0,"Vínculo de CDF com alerta; ","")&amp;IF(AND(AA28=0,AN28=0),"Recebimento não confirmado; ","")&amp;IF(AND(AA28=0,AN28=1,AO28=0),"CDF pendente ou a conferir; ",""))</f>
        <v/>
      </c>
      <c r="AX28" s="96">
        <f>IF(Z28=0,0,IF(AND(OR(f_ini="",AND(ISNUMBER(E28),E28&gt;=f_ini)),OR(f_fim="",AND(ISNUMBER(E28),E28&lt;=f_fim)),OR(f_un="",f_un="(Todas)",G28=f_un),OR(f_tr="",f_tr="(Todos)",H28=f_tr),OR(f_de="",f_de="(Todos)",I28=f_de),OR(f_sit="",f_sit="(Todas)",S28=f_sit)),1,0))</f>
        <v>0</v>
      </c>
      <c r="AY28" s="96">
        <f>IF(AX28=0,0,IF(OR(f_res="",f_res="(Todos)"),1,IF(COUNTIFS('ITENS_MTR'!$S$6:$S$1005,A28,'ITENS_MTR'!$C$6:$C$1005,f_res)&gt;0,1,0)))</f>
        <v>0</v>
      </c>
      <c r="AZ28" s="97" t="str">
        <f>IF(ISNUMBER(E28),DATE(YEAR(E28),MONTH(E28),1),"")</f>
        <v/>
      </c>
      <c r="BA28" s="96">
        <f>IF(Z28=0,0,IF(AND(OR(r_ini="",AND(ISNUMBER(E28),E28&gt;=r_ini)),OR(r_fim="",AND(ISNUMBER(E28),E28&lt;=r_fim)),OR(r_un="",r_un="(Todas)",G28=r_un),OR(r_de="",r_de="(Todos)",I28=r_de)),1,0))</f>
        <v>0</v>
      </c>
      <c r="BB28" s="96" t="str">
        <f>IF(BA28=1,COUNTIF($BA$6:BA28,1),"")</f>
        <v/>
      </c>
      <c r="BC28" s="96" t="str">
        <f>IF(AND(AU28&lt;&gt;"",OR(r_un="",r_un="(Todas)",G28=r_un),OR(r_de="",r_de="(Todos)",I28=r_de)),AU28,"")</f>
        <v/>
      </c>
      <c r="BD28" s="96" t="str">
        <f>IF(Z28=1,A28&amp;" | nº "&amp;IF(B28="","(sem número)",B28)&amp;" | "&amp;IF(G28="","(sem unidade)",G28),"")</f>
        <v/>
      </c>
      <c r="BE28" s="96" t="str">
        <f>IF(Z28=1,COUNTIF($Z$6:Z28,1),"")</f>
        <v/>
      </c>
      <c r="BF28" s="96" t="str">
        <f>IF(T28="","",IF(T28="RECEBIMENTO NÃO CONFIRMADO","Transp.: "&amp;H28&amp;" | Dest.: "&amp;I28,IF(OR(T28="CDF NÃO LOCALIZADO",T28="VÍNCULO INCOMPLETO",T28="CDF A CONFERIR"),"Dest.: "&amp;I28,"Gerador: "&amp;G28)))</f>
        <v/>
      </c>
    </row>
    <row r="29">
      <c r="A29" s="89" t="inlineStr">
        <is>
          <t>MTR-000024</t>
        </is>
      </c>
      <c r="B29" s="90" t="n"/>
      <c r="C29" s="91" t="n"/>
      <c r="D29" s="91" t="n"/>
      <c r="E29" s="92" t="n"/>
      <c r="F29" s="92" t="n"/>
      <c r="G29" s="91" t="n"/>
      <c r="H29" s="91" t="n"/>
      <c r="I29" s="91" t="n"/>
      <c r="J29" s="91" t="n"/>
      <c r="K29" s="91" t="n"/>
      <c r="L29" s="92" t="n"/>
      <c r="M29" s="91" t="n"/>
      <c r="N29" s="91" t="n"/>
      <c r="O29" s="91" t="n"/>
      <c r="P29" s="93" t="str">
        <f>IF(Z29=0,"",SUMIFS('ITENS_MTR'!$I$6:$I$1005,'ITENS_MTR'!$S$6:$S$1005,A29,'ITENS_MTR'!$Y$6:$Y$1005,1))</f>
        <v/>
      </c>
      <c r="Q29" s="93" t="str">
        <f>IF(Z29=0,"",SUMIFS('RECEBIMENTOS'!$H$6:$H$1005,'RECEBIMENTOS'!$B$6:$B$1005,A29,'RECEBIMENTOS'!$X$6:$X$1005,1))</f>
        <v/>
      </c>
      <c r="R29" s="93" t="str">
        <f>IF(Z29=0,"",SUMIFS('VÍNCULOS_CDF'!$H$6:$H$1005,'VÍNCULOS_CDF'!$D$6:$D$1005,A29,'VÍNCULOS_CDF'!$V$6:$V$1005,1))</f>
        <v/>
      </c>
      <c r="S29" s="94" t="str">
        <f>IF(Z29=0,"",IF(AA29=1,"Cancelado (informado)",IF(AE29=1,"Cadastro incompleto",IF(OR(AC29=1,AD29=1,AF29&gt;0,AH29&gt;0,AK29&gt;0,AL29&gt;0),"Informação a revisar",IF(AN29=0,"Aguardando recebimento",IF(N(R29)=0,"Aguardando CDF",IF(AJ29&lt;N(W29),"Vínculo de CDF parcial",IF(AO29=0,"CDF localizado, a conferir","Documentação conferida"))))))))</f>
        <v/>
      </c>
      <c r="T29" s="94" t="str">
        <f>IF(Z29=0,"",IF(S29="Cadastro incompleto","MTR INCOMPLETO",IF(S29="Informação a revisar",IF(AND(AH29&gt;0,AC29=0,AD29=0,AF29=0,AK29=0,AL29=0),"QUANTIDADE A REVISAR","IDENTIFICAÇÃO A REVISAR"),IF(S29="Aguardando recebimento","RECEBIMENTO NÃO CONFIRMADO",IF(S29="Aguardando CDF","CDF NÃO LOCALIZADO",IF(S29="Vínculo de CDF parcial","VÍNCULO INCOMPLETO",IF(S29="CDF localizado, a conferir","CDF A CONFERIR","")))))))</f>
        <v/>
      </c>
      <c r="U29" s="95" t="str">
        <f>IF(T29="","",IF(AQ29="","Não calculável",IF(AQ29&gt;TODAY(),"Data futura",TODAY()-AQ29)))</f>
        <v/>
      </c>
      <c r="V29" s="93" t="str">
        <f>IF(Z29=0,"",SUMIFS('RECEBIMENTOS'!$H$6:$H$1005,'RECEBIMENTOS'!$B$6:$B$1005,A29,'RECEBIMENTOS'!$Z$6:$Z$1005,1))</f>
        <v/>
      </c>
      <c r="W29" s="95" t="str">
        <f>IF(Z29=0,"",COUNTIFS('ITENS_MTR'!$S$6:$S$1005,A29,'ITENS_MTR'!$R$6:$R$1005,1))</f>
        <v/>
      </c>
      <c r="X29" s="94" t="str">
        <f>IF(AC29=1,"POSSÍVEL DUPLICIDADE","")</f>
        <v/>
      </c>
      <c r="Y29" s="94" t="str">
        <f>IF(Z29=0,"",IF(AW29="","Nenhuma",LEFT(AW29,LEN(AW29)-2)))</f>
        <v/>
      </c>
      <c r="Z29" s="96">
        <f>IF(COUNTA(B29:O29)&gt;0,1,0)</f>
        <v>0</v>
      </c>
      <c r="AA29" s="96">
        <f>IF(AND(Z29=1,K29&lt;&gt;""),IF(TRIM(K29)=TRIM(cfg_cancel),1,0),0)</f>
        <v>0</v>
      </c>
      <c r="AB29" s="96" t="str">
        <f>IF(AND(Z29=1,B29&lt;&gt;""),C29&amp;"|"&amp;D29&amp;"|"&amp;G29&amp;"|"&amp;TRIM(B29),"")</f>
        <v/>
      </c>
      <c r="AC29" s="96">
        <f>IF(AB29="",0,IF(SUMPRODUCT(--($AB$6:$AB$505=AB29))&gt;1,1,0))</f>
        <v>0</v>
      </c>
      <c r="AD29" s="96">
        <f>IF(Z29=0,0,IF(OR(AND(G29&lt;&gt;"",ISNA(MATCH(G29,'CAD_UNIDADES'!$C$6:$C$105,0))),AND(H29&lt;&gt;"",ISNA(MATCH(H29,cmp_transp,0))),AND(I29&lt;&gt;"",ISNA(MATCH(I29,cmp_dest,0))),AND(E29&lt;&gt;"",NOT(ISNUMBER(E29))),AND(F29&lt;&gt;"",NOT(ISNUMBER(F29))),AND(ISNUMBER(E29),ISNUMBER(F29),F29&lt;E29)),1,0))</f>
        <v>0</v>
      </c>
      <c r="AE29" s="96">
        <f>IF(Z29=0,0,IF(OR(B29="",C29="",E29="",G29="",H29="",I29="",N(W29)=0),1,0))</f>
        <v>0</v>
      </c>
      <c r="AF29" s="96">
        <f>IF(Z29=0,0,COUNTIFS('ITENS_MTR'!$S$6:$S$1005,A29,'ITENS_MTR'!$AI$6:$AI$1005,1))</f>
        <v>0</v>
      </c>
      <c r="AG29" s="96">
        <f>IF(Z29=0,0,COUNTIFS('ITENS_MTR'!$S$6:$S$1005,A29,'ITENS_MTR'!$AJ$6:$AJ$1005,1))</f>
        <v>0</v>
      </c>
      <c r="AH29" s="96">
        <f>IF(Z29=0,0,COUNTIFS('ITENS_MTR'!$S$6:$S$1005,A29,'ITENS_MTR'!$AM$6:$AM$1005,1))</f>
        <v>0</v>
      </c>
      <c r="AI29" s="96">
        <f>IF(Z29=0,0,COUNTIFS('ITENS_MTR'!$S$6:$S$1005,A29,'ITENS_MTR'!$AO$6:$AO$1005,1))</f>
        <v>0</v>
      </c>
      <c r="AJ29" s="96">
        <f>IF(Z29=0,0,COUNTIFS('ITENS_MTR'!$S$6:$S$1005,A29,'ITENS_MTR'!$AN$6:$AN$1005,1))</f>
        <v>0</v>
      </c>
      <c r="AK29" s="96">
        <f>IF(Z29=0,0,COUNTIFS('RECEBIMENTOS'!$B$6:$B$1005,A29,'RECEBIMENTOS'!$Y$6:$Y$1005,1))</f>
        <v>0</v>
      </c>
      <c r="AL29" s="96">
        <f>IF(Z29=0,0,COUNTIFS('VÍNCULOS_CDF'!$D$6:$D$1005,A29,'VÍNCULOS_CDF'!$Y$6:$Y$1005,1))</f>
        <v>0</v>
      </c>
      <c r="AM29" s="96">
        <f>IF(Z29=0,0,COUNTIFS('RECEBIMENTOS'!$B$6:$B$1005,A29,'RECEBIMENTOS'!$Q$6:$Q$1005,1))</f>
        <v>0</v>
      </c>
      <c r="AN29" s="96">
        <f>IF(AND(Z29=1,N(W29)&gt;0,AG29=N(W29)),1,0)</f>
        <v>0</v>
      </c>
      <c r="AO29" s="96">
        <f>IF(AND(Z29=1,N(W29)&gt;0,AI29=N(W29)),1,0)</f>
        <v>0</v>
      </c>
      <c r="AP29" s="97">
        <f>IF(Z29=0,0,_xlfn.MAXIFS('RECEBIMENTOS'!$E$6:$E$1005,'RECEBIMENTOS'!$B$6:$B$1005,A29))</f>
        <v>0</v>
      </c>
      <c r="AQ29" s="97" t="str">
        <f>IF(T29="","",IF(T29="RECEBIMENTO NÃO CONFIRMADO",IF(ISNUMBER(F29),F29,IF(ISNUMBER(E29),E29,"")),IF(OR(T29="CDF NÃO LOCALIZADO",T29="VÍNCULO INCOMPLETO",T29="CDF A CONFERIR"),IF(AP29&gt;0,AP29,IF(ISNUMBER(E29),E29,"")),IF(ISNUMBER(E29),E29,""))))</f>
        <v/>
      </c>
      <c r="AR29" s="96">
        <f>IF(NOT(ISNUMBER(U29)),0,IF(T29="RECEBIMENTO NÃO CONFIRMADO",IF(AND(ISNUMBER(cfg_rec),U29&gt;cfg_rec),1,0),IF(OR(T29="CDF NÃO LOCALIZADO",T29="VÍNCULO INCOMPLETO",T29="CDF A CONFERIR"),IF(AND(ISNUMBER(cfg_cdf),U29&gt;cfg_cdf),1,0),0)))</f>
        <v>0</v>
      </c>
      <c r="AS29" s="96" t="str">
        <f>IF(T29="","",IF(AR29=1,"Alta",IFERROR(INDEX(cfg_pp,MATCH(T29,cfg_pt,0))&amp;"","Média")))</f>
        <v/>
      </c>
      <c r="AT29" s="96" t="str">
        <f>IF(T29="","",IFERROR(INDEX(cfg_pv,MATCH(T29,cfg_pt,0))&amp;"",""))</f>
        <v/>
      </c>
      <c r="AU29" s="96" t="str">
        <f>IF(T29="","",IF(AS29="Alta",1,IF(AS29="Média",2,3))*1000000000+(999999-IF(ISNUMBER(U29),MIN(U29,999999),0))*1000+24)</f>
        <v/>
      </c>
      <c r="AV29" s="96">
        <f>IF(T29&lt;&gt;"",1,0)</f>
        <v>0</v>
      </c>
      <c r="AW29" s="96" t="str">
        <f>IF(Z29=0,"",IF(AA29=1,"Cancelamento informado; ","")&amp;IF(AE29=1,"Campos essenciais ou itens faltando; ","")&amp;IF(AC29=1,"Possível duplicidade do número; ","")&amp;IF(AD29=1,"Cadastro ou datas a revisar; ","")&amp;IF(AF29&gt;0,"Item de resíduo com dado a revisar; ","")&amp;IF(AH29&gt;0,"Diferença de quantidade a analisar; ","")&amp;IF(AK29&gt;0,"Recebimento com alerta; ","")&amp;IF(AL29&gt;0,"Vínculo de CDF com alerta; ","")&amp;IF(AND(AA29=0,AN29=0),"Recebimento não confirmado; ","")&amp;IF(AND(AA29=0,AN29=1,AO29=0),"CDF pendente ou a conferir; ",""))</f>
        <v/>
      </c>
      <c r="AX29" s="96">
        <f>IF(Z29=0,0,IF(AND(OR(f_ini="",AND(ISNUMBER(E29),E29&gt;=f_ini)),OR(f_fim="",AND(ISNUMBER(E29),E29&lt;=f_fim)),OR(f_un="",f_un="(Todas)",G29=f_un),OR(f_tr="",f_tr="(Todos)",H29=f_tr),OR(f_de="",f_de="(Todos)",I29=f_de),OR(f_sit="",f_sit="(Todas)",S29=f_sit)),1,0))</f>
        <v>0</v>
      </c>
      <c r="AY29" s="96">
        <f>IF(AX29=0,0,IF(OR(f_res="",f_res="(Todos)"),1,IF(COUNTIFS('ITENS_MTR'!$S$6:$S$1005,A29,'ITENS_MTR'!$C$6:$C$1005,f_res)&gt;0,1,0)))</f>
        <v>0</v>
      </c>
      <c r="AZ29" s="97" t="str">
        <f>IF(ISNUMBER(E29),DATE(YEAR(E29),MONTH(E29),1),"")</f>
        <v/>
      </c>
      <c r="BA29" s="96">
        <f>IF(Z29=0,0,IF(AND(OR(r_ini="",AND(ISNUMBER(E29),E29&gt;=r_ini)),OR(r_fim="",AND(ISNUMBER(E29),E29&lt;=r_fim)),OR(r_un="",r_un="(Todas)",G29=r_un),OR(r_de="",r_de="(Todos)",I29=r_de)),1,0))</f>
        <v>0</v>
      </c>
      <c r="BB29" s="96" t="str">
        <f>IF(BA29=1,COUNTIF($BA$6:BA29,1),"")</f>
        <v/>
      </c>
      <c r="BC29" s="96" t="str">
        <f>IF(AND(AU29&lt;&gt;"",OR(r_un="",r_un="(Todas)",G29=r_un),OR(r_de="",r_de="(Todos)",I29=r_de)),AU29,"")</f>
        <v/>
      </c>
      <c r="BD29" s="96" t="str">
        <f>IF(Z29=1,A29&amp;" | nº "&amp;IF(B29="","(sem número)",B29)&amp;" | "&amp;IF(G29="","(sem unidade)",G29),"")</f>
        <v/>
      </c>
      <c r="BE29" s="96" t="str">
        <f>IF(Z29=1,COUNTIF($Z$6:Z29,1),"")</f>
        <v/>
      </c>
      <c r="BF29" s="96" t="str">
        <f>IF(T29="","",IF(T29="RECEBIMENTO NÃO CONFIRMADO","Transp.: "&amp;H29&amp;" | Dest.: "&amp;I29,IF(OR(T29="CDF NÃO LOCALIZADO",T29="VÍNCULO INCOMPLETO",T29="CDF A CONFERIR"),"Dest.: "&amp;I29,"Gerador: "&amp;G29)))</f>
        <v/>
      </c>
    </row>
    <row r="30">
      <c r="A30" s="89" t="inlineStr">
        <is>
          <t>MTR-000025</t>
        </is>
      </c>
      <c r="B30" s="90" t="n"/>
      <c r="C30" s="91" t="n"/>
      <c r="D30" s="91" t="n"/>
      <c r="E30" s="92" t="n"/>
      <c r="F30" s="92" t="n"/>
      <c r="G30" s="91" t="n"/>
      <c r="H30" s="91" t="n"/>
      <c r="I30" s="91" t="n"/>
      <c r="J30" s="91" t="n"/>
      <c r="K30" s="91" t="n"/>
      <c r="L30" s="92" t="n"/>
      <c r="M30" s="91" t="n"/>
      <c r="N30" s="91" t="n"/>
      <c r="O30" s="91" t="n"/>
      <c r="P30" s="93" t="str">
        <f>IF(Z30=0,"",SUMIFS('ITENS_MTR'!$I$6:$I$1005,'ITENS_MTR'!$S$6:$S$1005,A30,'ITENS_MTR'!$Y$6:$Y$1005,1))</f>
        <v/>
      </c>
      <c r="Q30" s="93" t="str">
        <f>IF(Z30=0,"",SUMIFS('RECEBIMENTOS'!$H$6:$H$1005,'RECEBIMENTOS'!$B$6:$B$1005,A30,'RECEBIMENTOS'!$X$6:$X$1005,1))</f>
        <v/>
      </c>
      <c r="R30" s="93" t="str">
        <f>IF(Z30=0,"",SUMIFS('VÍNCULOS_CDF'!$H$6:$H$1005,'VÍNCULOS_CDF'!$D$6:$D$1005,A30,'VÍNCULOS_CDF'!$V$6:$V$1005,1))</f>
        <v/>
      </c>
      <c r="S30" s="94" t="str">
        <f>IF(Z30=0,"",IF(AA30=1,"Cancelado (informado)",IF(AE30=1,"Cadastro incompleto",IF(OR(AC30=1,AD30=1,AF30&gt;0,AH30&gt;0,AK30&gt;0,AL30&gt;0),"Informação a revisar",IF(AN30=0,"Aguardando recebimento",IF(N(R30)=0,"Aguardando CDF",IF(AJ30&lt;N(W30),"Vínculo de CDF parcial",IF(AO30=0,"CDF localizado, a conferir","Documentação conferida"))))))))</f>
        <v/>
      </c>
      <c r="T30" s="94" t="str">
        <f>IF(Z30=0,"",IF(S30="Cadastro incompleto","MTR INCOMPLETO",IF(S30="Informação a revisar",IF(AND(AH30&gt;0,AC30=0,AD30=0,AF30=0,AK30=0,AL30=0),"QUANTIDADE A REVISAR","IDENTIFICAÇÃO A REVISAR"),IF(S30="Aguardando recebimento","RECEBIMENTO NÃO CONFIRMADO",IF(S30="Aguardando CDF","CDF NÃO LOCALIZADO",IF(S30="Vínculo de CDF parcial","VÍNCULO INCOMPLETO",IF(S30="CDF localizado, a conferir","CDF A CONFERIR","")))))))</f>
        <v/>
      </c>
      <c r="U30" s="95" t="str">
        <f>IF(T30="","",IF(AQ30="","Não calculável",IF(AQ30&gt;TODAY(),"Data futura",TODAY()-AQ30)))</f>
        <v/>
      </c>
      <c r="V30" s="93" t="str">
        <f>IF(Z30=0,"",SUMIFS('RECEBIMENTOS'!$H$6:$H$1005,'RECEBIMENTOS'!$B$6:$B$1005,A30,'RECEBIMENTOS'!$Z$6:$Z$1005,1))</f>
        <v/>
      </c>
      <c r="W30" s="95" t="str">
        <f>IF(Z30=0,"",COUNTIFS('ITENS_MTR'!$S$6:$S$1005,A30,'ITENS_MTR'!$R$6:$R$1005,1))</f>
        <v/>
      </c>
      <c r="X30" s="94" t="str">
        <f>IF(AC30=1,"POSSÍVEL DUPLICIDADE","")</f>
        <v/>
      </c>
      <c r="Y30" s="94" t="str">
        <f>IF(Z30=0,"",IF(AW30="","Nenhuma",LEFT(AW30,LEN(AW30)-2)))</f>
        <v/>
      </c>
      <c r="Z30" s="96">
        <f>IF(COUNTA(B30:O30)&gt;0,1,0)</f>
        <v>0</v>
      </c>
      <c r="AA30" s="96">
        <f>IF(AND(Z30=1,K30&lt;&gt;""),IF(TRIM(K30)=TRIM(cfg_cancel),1,0),0)</f>
        <v>0</v>
      </c>
      <c r="AB30" s="96" t="str">
        <f>IF(AND(Z30=1,B30&lt;&gt;""),C30&amp;"|"&amp;D30&amp;"|"&amp;G30&amp;"|"&amp;TRIM(B30),"")</f>
        <v/>
      </c>
      <c r="AC30" s="96">
        <f>IF(AB30="",0,IF(SUMPRODUCT(--($AB$6:$AB$505=AB30))&gt;1,1,0))</f>
        <v>0</v>
      </c>
      <c r="AD30" s="96">
        <f>IF(Z30=0,0,IF(OR(AND(G30&lt;&gt;"",ISNA(MATCH(G30,'CAD_UNIDADES'!$C$6:$C$105,0))),AND(H30&lt;&gt;"",ISNA(MATCH(H30,cmp_transp,0))),AND(I30&lt;&gt;"",ISNA(MATCH(I30,cmp_dest,0))),AND(E30&lt;&gt;"",NOT(ISNUMBER(E30))),AND(F30&lt;&gt;"",NOT(ISNUMBER(F30))),AND(ISNUMBER(E30),ISNUMBER(F30),F30&lt;E30)),1,0))</f>
        <v>0</v>
      </c>
      <c r="AE30" s="96">
        <f>IF(Z30=0,0,IF(OR(B30="",C30="",E30="",G30="",H30="",I30="",N(W30)=0),1,0))</f>
        <v>0</v>
      </c>
      <c r="AF30" s="96">
        <f>IF(Z30=0,0,COUNTIFS('ITENS_MTR'!$S$6:$S$1005,A30,'ITENS_MTR'!$AI$6:$AI$1005,1))</f>
        <v>0</v>
      </c>
      <c r="AG30" s="96">
        <f>IF(Z30=0,0,COUNTIFS('ITENS_MTR'!$S$6:$S$1005,A30,'ITENS_MTR'!$AJ$6:$AJ$1005,1))</f>
        <v>0</v>
      </c>
      <c r="AH30" s="96">
        <f>IF(Z30=0,0,COUNTIFS('ITENS_MTR'!$S$6:$S$1005,A30,'ITENS_MTR'!$AM$6:$AM$1005,1))</f>
        <v>0</v>
      </c>
      <c r="AI30" s="96">
        <f>IF(Z30=0,0,COUNTIFS('ITENS_MTR'!$S$6:$S$1005,A30,'ITENS_MTR'!$AO$6:$AO$1005,1))</f>
        <v>0</v>
      </c>
      <c r="AJ30" s="96">
        <f>IF(Z30=0,0,COUNTIFS('ITENS_MTR'!$S$6:$S$1005,A30,'ITENS_MTR'!$AN$6:$AN$1005,1))</f>
        <v>0</v>
      </c>
      <c r="AK30" s="96">
        <f>IF(Z30=0,0,COUNTIFS('RECEBIMENTOS'!$B$6:$B$1005,A30,'RECEBIMENTOS'!$Y$6:$Y$1005,1))</f>
        <v>0</v>
      </c>
      <c r="AL30" s="96">
        <f>IF(Z30=0,0,COUNTIFS('VÍNCULOS_CDF'!$D$6:$D$1005,A30,'VÍNCULOS_CDF'!$Y$6:$Y$1005,1))</f>
        <v>0</v>
      </c>
      <c r="AM30" s="96">
        <f>IF(Z30=0,0,COUNTIFS('RECEBIMENTOS'!$B$6:$B$1005,A30,'RECEBIMENTOS'!$Q$6:$Q$1005,1))</f>
        <v>0</v>
      </c>
      <c r="AN30" s="96">
        <f>IF(AND(Z30=1,N(W30)&gt;0,AG30=N(W30)),1,0)</f>
        <v>0</v>
      </c>
      <c r="AO30" s="96">
        <f>IF(AND(Z30=1,N(W30)&gt;0,AI30=N(W30)),1,0)</f>
        <v>0</v>
      </c>
      <c r="AP30" s="97">
        <f>IF(Z30=0,0,_xlfn.MAXIFS('RECEBIMENTOS'!$E$6:$E$1005,'RECEBIMENTOS'!$B$6:$B$1005,A30))</f>
        <v>0</v>
      </c>
      <c r="AQ30" s="97" t="str">
        <f>IF(T30="","",IF(T30="RECEBIMENTO NÃO CONFIRMADO",IF(ISNUMBER(F30),F30,IF(ISNUMBER(E30),E30,"")),IF(OR(T30="CDF NÃO LOCALIZADO",T30="VÍNCULO INCOMPLETO",T30="CDF A CONFERIR"),IF(AP30&gt;0,AP30,IF(ISNUMBER(E30),E30,"")),IF(ISNUMBER(E30),E30,""))))</f>
        <v/>
      </c>
      <c r="AR30" s="96">
        <f>IF(NOT(ISNUMBER(U30)),0,IF(T30="RECEBIMENTO NÃO CONFIRMADO",IF(AND(ISNUMBER(cfg_rec),U30&gt;cfg_rec),1,0),IF(OR(T30="CDF NÃO LOCALIZADO",T30="VÍNCULO INCOMPLETO",T30="CDF A CONFERIR"),IF(AND(ISNUMBER(cfg_cdf),U30&gt;cfg_cdf),1,0),0)))</f>
        <v>0</v>
      </c>
      <c r="AS30" s="96" t="str">
        <f>IF(T30="","",IF(AR30=1,"Alta",IFERROR(INDEX(cfg_pp,MATCH(T30,cfg_pt,0))&amp;"","Média")))</f>
        <v/>
      </c>
      <c r="AT30" s="96" t="str">
        <f>IF(T30="","",IFERROR(INDEX(cfg_pv,MATCH(T30,cfg_pt,0))&amp;"",""))</f>
        <v/>
      </c>
      <c r="AU30" s="96" t="str">
        <f>IF(T30="","",IF(AS30="Alta",1,IF(AS30="Média",2,3))*1000000000+(999999-IF(ISNUMBER(U30),MIN(U30,999999),0))*1000+25)</f>
        <v/>
      </c>
      <c r="AV30" s="96">
        <f>IF(T30&lt;&gt;"",1,0)</f>
        <v>0</v>
      </c>
      <c r="AW30" s="96" t="str">
        <f>IF(Z30=0,"",IF(AA30=1,"Cancelamento informado; ","")&amp;IF(AE30=1,"Campos essenciais ou itens faltando; ","")&amp;IF(AC30=1,"Possível duplicidade do número; ","")&amp;IF(AD30=1,"Cadastro ou datas a revisar; ","")&amp;IF(AF30&gt;0,"Item de resíduo com dado a revisar; ","")&amp;IF(AH30&gt;0,"Diferença de quantidade a analisar; ","")&amp;IF(AK30&gt;0,"Recebimento com alerta; ","")&amp;IF(AL30&gt;0,"Vínculo de CDF com alerta; ","")&amp;IF(AND(AA30=0,AN30=0),"Recebimento não confirmado; ","")&amp;IF(AND(AA30=0,AN30=1,AO30=0),"CDF pendente ou a conferir; ",""))</f>
        <v/>
      </c>
      <c r="AX30" s="96">
        <f>IF(Z30=0,0,IF(AND(OR(f_ini="",AND(ISNUMBER(E30),E30&gt;=f_ini)),OR(f_fim="",AND(ISNUMBER(E30),E30&lt;=f_fim)),OR(f_un="",f_un="(Todas)",G30=f_un),OR(f_tr="",f_tr="(Todos)",H30=f_tr),OR(f_de="",f_de="(Todos)",I30=f_de),OR(f_sit="",f_sit="(Todas)",S30=f_sit)),1,0))</f>
        <v>0</v>
      </c>
      <c r="AY30" s="96">
        <f>IF(AX30=0,0,IF(OR(f_res="",f_res="(Todos)"),1,IF(COUNTIFS('ITENS_MTR'!$S$6:$S$1005,A30,'ITENS_MTR'!$C$6:$C$1005,f_res)&gt;0,1,0)))</f>
        <v>0</v>
      </c>
      <c r="AZ30" s="97" t="str">
        <f>IF(ISNUMBER(E30),DATE(YEAR(E30),MONTH(E30),1),"")</f>
        <v/>
      </c>
      <c r="BA30" s="96">
        <f>IF(Z30=0,0,IF(AND(OR(r_ini="",AND(ISNUMBER(E30),E30&gt;=r_ini)),OR(r_fim="",AND(ISNUMBER(E30),E30&lt;=r_fim)),OR(r_un="",r_un="(Todas)",G30=r_un),OR(r_de="",r_de="(Todos)",I30=r_de)),1,0))</f>
        <v>0</v>
      </c>
      <c r="BB30" s="96" t="str">
        <f>IF(BA30=1,COUNTIF($BA$6:BA30,1),"")</f>
        <v/>
      </c>
      <c r="BC30" s="96" t="str">
        <f>IF(AND(AU30&lt;&gt;"",OR(r_un="",r_un="(Todas)",G30=r_un),OR(r_de="",r_de="(Todos)",I30=r_de)),AU30,"")</f>
        <v/>
      </c>
      <c r="BD30" s="96" t="str">
        <f>IF(Z30=1,A30&amp;" | nº "&amp;IF(B30="","(sem número)",B30)&amp;" | "&amp;IF(G30="","(sem unidade)",G30),"")</f>
        <v/>
      </c>
      <c r="BE30" s="96" t="str">
        <f>IF(Z30=1,COUNTIF($Z$6:Z30,1),"")</f>
        <v/>
      </c>
      <c r="BF30" s="96" t="str">
        <f>IF(T30="","",IF(T30="RECEBIMENTO NÃO CONFIRMADO","Transp.: "&amp;H30&amp;" | Dest.: "&amp;I30,IF(OR(T30="CDF NÃO LOCALIZADO",T30="VÍNCULO INCOMPLETO",T30="CDF A CONFERIR"),"Dest.: "&amp;I30,"Gerador: "&amp;G30)))</f>
        <v/>
      </c>
    </row>
    <row r="31">
      <c r="A31" s="89" t="inlineStr">
        <is>
          <t>MTR-000026</t>
        </is>
      </c>
      <c r="B31" s="90" t="n"/>
      <c r="C31" s="91" t="n"/>
      <c r="D31" s="91" t="n"/>
      <c r="E31" s="92" t="n"/>
      <c r="F31" s="92" t="n"/>
      <c r="G31" s="91" t="n"/>
      <c r="H31" s="91" t="n"/>
      <c r="I31" s="91" t="n"/>
      <c r="J31" s="91" t="n"/>
      <c r="K31" s="91" t="n"/>
      <c r="L31" s="92" t="n"/>
      <c r="M31" s="91" t="n"/>
      <c r="N31" s="91" t="n"/>
      <c r="O31" s="91" t="n"/>
      <c r="P31" s="93" t="str">
        <f>IF(Z31=0,"",SUMIFS('ITENS_MTR'!$I$6:$I$1005,'ITENS_MTR'!$S$6:$S$1005,A31,'ITENS_MTR'!$Y$6:$Y$1005,1))</f>
        <v/>
      </c>
      <c r="Q31" s="93" t="str">
        <f>IF(Z31=0,"",SUMIFS('RECEBIMENTOS'!$H$6:$H$1005,'RECEBIMENTOS'!$B$6:$B$1005,A31,'RECEBIMENTOS'!$X$6:$X$1005,1))</f>
        <v/>
      </c>
      <c r="R31" s="93" t="str">
        <f>IF(Z31=0,"",SUMIFS('VÍNCULOS_CDF'!$H$6:$H$1005,'VÍNCULOS_CDF'!$D$6:$D$1005,A31,'VÍNCULOS_CDF'!$V$6:$V$1005,1))</f>
        <v/>
      </c>
      <c r="S31" s="94" t="str">
        <f>IF(Z31=0,"",IF(AA31=1,"Cancelado (informado)",IF(AE31=1,"Cadastro incompleto",IF(OR(AC31=1,AD31=1,AF31&gt;0,AH31&gt;0,AK31&gt;0,AL31&gt;0),"Informação a revisar",IF(AN31=0,"Aguardando recebimento",IF(N(R31)=0,"Aguardando CDF",IF(AJ31&lt;N(W31),"Vínculo de CDF parcial",IF(AO31=0,"CDF localizado, a conferir","Documentação conferida"))))))))</f>
        <v/>
      </c>
      <c r="T31" s="94" t="str">
        <f>IF(Z31=0,"",IF(S31="Cadastro incompleto","MTR INCOMPLETO",IF(S31="Informação a revisar",IF(AND(AH31&gt;0,AC31=0,AD31=0,AF31=0,AK31=0,AL31=0),"QUANTIDADE A REVISAR","IDENTIFICAÇÃO A REVISAR"),IF(S31="Aguardando recebimento","RECEBIMENTO NÃO CONFIRMADO",IF(S31="Aguardando CDF","CDF NÃO LOCALIZADO",IF(S31="Vínculo de CDF parcial","VÍNCULO INCOMPLETO",IF(S31="CDF localizado, a conferir","CDF A CONFERIR","")))))))</f>
        <v/>
      </c>
      <c r="U31" s="95" t="str">
        <f>IF(T31="","",IF(AQ31="","Não calculável",IF(AQ31&gt;TODAY(),"Data futura",TODAY()-AQ31)))</f>
        <v/>
      </c>
      <c r="V31" s="93" t="str">
        <f>IF(Z31=0,"",SUMIFS('RECEBIMENTOS'!$H$6:$H$1005,'RECEBIMENTOS'!$B$6:$B$1005,A31,'RECEBIMENTOS'!$Z$6:$Z$1005,1))</f>
        <v/>
      </c>
      <c r="W31" s="95" t="str">
        <f>IF(Z31=0,"",COUNTIFS('ITENS_MTR'!$S$6:$S$1005,A31,'ITENS_MTR'!$R$6:$R$1005,1))</f>
        <v/>
      </c>
      <c r="X31" s="94" t="str">
        <f>IF(AC31=1,"POSSÍVEL DUPLICIDADE","")</f>
        <v/>
      </c>
      <c r="Y31" s="94" t="str">
        <f>IF(Z31=0,"",IF(AW31="","Nenhuma",LEFT(AW31,LEN(AW31)-2)))</f>
        <v/>
      </c>
      <c r="Z31" s="96">
        <f>IF(COUNTA(B31:O31)&gt;0,1,0)</f>
        <v>0</v>
      </c>
      <c r="AA31" s="96">
        <f>IF(AND(Z31=1,K31&lt;&gt;""),IF(TRIM(K31)=TRIM(cfg_cancel),1,0),0)</f>
        <v>0</v>
      </c>
      <c r="AB31" s="96" t="str">
        <f>IF(AND(Z31=1,B31&lt;&gt;""),C31&amp;"|"&amp;D31&amp;"|"&amp;G31&amp;"|"&amp;TRIM(B31),"")</f>
        <v/>
      </c>
      <c r="AC31" s="96">
        <f>IF(AB31="",0,IF(SUMPRODUCT(--($AB$6:$AB$505=AB31))&gt;1,1,0))</f>
        <v>0</v>
      </c>
      <c r="AD31" s="96">
        <f>IF(Z31=0,0,IF(OR(AND(G31&lt;&gt;"",ISNA(MATCH(G31,'CAD_UNIDADES'!$C$6:$C$105,0))),AND(H31&lt;&gt;"",ISNA(MATCH(H31,cmp_transp,0))),AND(I31&lt;&gt;"",ISNA(MATCH(I31,cmp_dest,0))),AND(E31&lt;&gt;"",NOT(ISNUMBER(E31))),AND(F31&lt;&gt;"",NOT(ISNUMBER(F31))),AND(ISNUMBER(E31),ISNUMBER(F31),F31&lt;E31)),1,0))</f>
        <v>0</v>
      </c>
      <c r="AE31" s="96">
        <f>IF(Z31=0,0,IF(OR(B31="",C31="",E31="",G31="",H31="",I31="",N(W31)=0),1,0))</f>
        <v>0</v>
      </c>
      <c r="AF31" s="96">
        <f>IF(Z31=0,0,COUNTIFS('ITENS_MTR'!$S$6:$S$1005,A31,'ITENS_MTR'!$AI$6:$AI$1005,1))</f>
        <v>0</v>
      </c>
      <c r="AG31" s="96">
        <f>IF(Z31=0,0,COUNTIFS('ITENS_MTR'!$S$6:$S$1005,A31,'ITENS_MTR'!$AJ$6:$AJ$1005,1))</f>
        <v>0</v>
      </c>
      <c r="AH31" s="96">
        <f>IF(Z31=0,0,COUNTIFS('ITENS_MTR'!$S$6:$S$1005,A31,'ITENS_MTR'!$AM$6:$AM$1005,1))</f>
        <v>0</v>
      </c>
      <c r="AI31" s="96">
        <f>IF(Z31=0,0,COUNTIFS('ITENS_MTR'!$S$6:$S$1005,A31,'ITENS_MTR'!$AO$6:$AO$1005,1))</f>
        <v>0</v>
      </c>
      <c r="AJ31" s="96">
        <f>IF(Z31=0,0,COUNTIFS('ITENS_MTR'!$S$6:$S$1005,A31,'ITENS_MTR'!$AN$6:$AN$1005,1))</f>
        <v>0</v>
      </c>
      <c r="AK31" s="96">
        <f>IF(Z31=0,0,COUNTIFS('RECEBIMENTOS'!$B$6:$B$1005,A31,'RECEBIMENTOS'!$Y$6:$Y$1005,1))</f>
        <v>0</v>
      </c>
      <c r="AL31" s="96">
        <f>IF(Z31=0,0,COUNTIFS('VÍNCULOS_CDF'!$D$6:$D$1005,A31,'VÍNCULOS_CDF'!$Y$6:$Y$1005,1))</f>
        <v>0</v>
      </c>
      <c r="AM31" s="96">
        <f>IF(Z31=0,0,COUNTIFS('RECEBIMENTOS'!$B$6:$B$1005,A31,'RECEBIMENTOS'!$Q$6:$Q$1005,1))</f>
        <v>0</v>
      </c>
      <c r="AN31" s="96">
        <f>IF(AND(Z31=1,N(W31)&gt;0,AG31=N(W31)),1,0)</f>
        <v>0</v>
      </c>
      <c r="AO31" s="96">
        <f>IF(AND(Z31=1,N(W31)&gt;0,AI31=N(W31)),1,0)</f>
        <v>0</v>
      </c>
      <c r="AP31" s="97">
        <f>IF(Z31=0,0,_xlfn.MAXIFS('RECEBIMENTOS'!$E$6:$E$1005,'RECEBIMENTOS'!$B$6:$B$1005,A31))</f>
        <v>0</v>
      </c>
      <c r="AQ31" s="97" t="str">
        <f>IF(T31="","",IF(T31="RECEBIMENTO NÃO CONFIRMADO",IF(ISNUMBER(F31),F31,IF(ISNUMBER(E31),E31,"")),IF(OR(T31="CDF NÃO LOCALIZADO",T31="VÍNCULO INCOMPLETO",T31="CDF A CONFERIR"),IF(AP31&gt;0,AP31,IF(ISNUMBER(E31),E31,"")),IF(ISNUMBER(E31),E31,""))))</f>
        <v/>
      </c>
      <c r="AR31" s="96">
        <f>IF(NOT(ISNUMBER(U31)),0,IF(T31="RECEBIMENTO NÃO CONFIRMADO",IF(AND(ISNUMBER(cfg_rec),U31&gt;cfg_rec),1,0),IF(OR(T31="CDF NÃO LOCALIZADO",T31="VÍNCULO INCOMPLETO",T31="CDF A CONFERIR"),IF(AND(ISNUMBER(cfg_cdf),U31&gt;cfg_cdf),1,0),0)))</f>
        <v>0</v>
      </c>
      <c r="AS31" s="96" t="str">
        <f>IF(T31="","",IF(AR31=1,"Alta",IFERROR(INDEX(cfg_pp,MATCH(T31,cfg_pt,0))&amp;"","Média")))</f>
        <v/>
      </c>
      <c r="AT31" s="96" t="str">
        <f>IF(T31="","",IFERROR(INDEX(cfg_pv,MATCH(T31,cfg_pt,0))&amp;"",""))</f>
        <v/>
      </c>
      <c r="AU31" s="96" t="str">
        <f>IF(T31="","",IF(AS31="Alta",1,IF(AS31="Média",2,3))*1000000000+(999999-IF(ISNUMBER(U31),MIN(U31,999999),0))*1000+26)</f>
        <v/>
      </c>
      <c r="AV31" s="96">
        <f>IF(T31&lt;&gt;"",1,0)</f>
        <v>0</v>
      </c>
      <c r="AW31" s="96" t="str">
        <f>IF(Z31=0,"",IF(AA31=1,"Cancelamento informado; ","")&amp;IF(AE31=1,"Campos essenciais ou itens faltando; ","")&amp;IF(AC31=1,"Possível duplicidade do número; ","")&amp;IF(AD31=1,"Cadastro ou datas a revisar; ","")&amp;IF(AF31&gt;0,"Item de resíduo com dado a revisar; ","")&amp;IF(AH31&gt;0,"Diferença de quantidade a analisar; ","")&amp;IF(AK31&gt;0,"Recebimento com alerta; ","")&amp;IF(AL31&gt;0,"Vínculo de CDF com alerta; ","")&amp;IF(AND(AA31=0,AN31=0),"Recebimento não confirmado; ","")&amp;IF(AND(AA31=0,AN31=1,AO31=0),"CDF pendente ou a conferir; ",""))</f>
        <v/>
      </c>
      <c r="AX31" s="96">
        <f>IF(Z31=0,0,IF(AND(OR(f_ini="",AND(ISNUMBER(E31),E31&gt;=f_ini)),OR(f_fim="",AND(ISNUMBER(E31),E31&lt;=f_fim)),OR(f_un="",f_un="(Todas)",G31=f_un),OR(f_tr="",f_tr="(Todos)",H31=f_tr),OR(f_de="",f_de="(Todos)",I31=f_de),OR(f_sit="",f_sit="(Todas)",S31=f_sit)),1,0))</f>
        <v>0</v>
      </c>
      <c r="AY31" s="96">
        <f>IF(AX31=0,0,IF(OR(f_res="",f_res="(Todos)"),1,IF(COUNTIFS('ITENS_MTR'!$S$6:$S$1005,A31,'ITENS_MTR'!$C$6:$C$1005,f_res)&gt;0,1,0)))</f>
        <v>0</v>
      </c>
      <c r="AZ31" s="97" t="str">
        <f>IF(ISNUMBER(E31),DATE(YEAR(E31),MONTH(E31),1),"")</f>
        <v/>
      </c>
      <c r="BA31" s="96">
        <f>IF(Z31=0,0,IF(AND(OR(r_ini="",AND(ISNUMBER(E31),E31&gt;=r_ini)),OR(r_fim="",AND(ISNUMBER(E31),E31&lt;=r_fim)),OR(r_un="",r_un="(Todas)",G31=r_un),OR(r_de="",r_de="(Todos)",I31=r_de)),1,0))</f>
        <v>0</v>
      </c>
      <c r="BB31" s="96" t="str">
        <f>IF(BA31=1,COUNTIF($BA$6:BA31,1),"")</f>
        <v/>
      </c>
      <c r="BC31" s="96" t="str">
        <f>IF(AND(AU31&lt;&gt;"",OR(r_un="",r_un="(Todas)",G31=r_un),OR(r_de="",r_de="(Todos)",I31=r_de)),AU31,"")</f>
        <v/>
      </c>
      <c r="BD31" s="96" t="str">
        <f>IF(Z31=1,A31&amp;" | nº "&amp;IF(B31="","(sem número)",B31)&amp;" | "&amp;IF(G31="","(sem unidade)",G31),"")</f>
        <v/>
      </c>
      <c r="BE31" s="96" t="str">
        <f>IF(Z31=1,COUNTIF($Z$6:Z31,1),"")</f>
        <v/>
      </c>
      <c r="BF31" s="96" t="str">
        <f>IF(T31="","",IF(T31="RECEBIMENTO NÃO CONFIRMADO","Transp.: "&amp;H31&amp;" | Dest.: "&amp;I31,IF(OR(T31="CDF NÃO LOCALIZADO",T31="VÍNCULO INCOMPLETO",T31="CDF A CONFERIR"),"Dest.: "&amp;I31,"Gerador: "&amp;G31)))</f>
        <v/>
      </c>
    </row>
    <row r="32">
      <c r="A32" s="89" t="inlineStr">
        <is>
          <t>MTR-000027</t>
        </is>
      </c>
      <c r="B32" s="90" t="n"/>
      <c r="C32" s="91" t="n"/>
      <c r="D32" s="91" t="n"/>
      <c r="E32" s="92" t="n"/>
      <c r="F32" s="92" t="n"/>
      <c r="G32" s="91" t="n"/>
      <c r="H32" s="91" t="n"/>
      <c r="I32" s="91" t="n"/>
      <c r="J32" s="91" t="n"/>
      <c r="K32" s="91" t="n"/>
      <c r="L32" s="92" t="n"/>
      <c r="M32" s="91" t="n"/>
      <c r="N32" s="91" t="n"/>
      <c r="O32" s="91" t="n"/>
      <c r="P32" s="93" t="str">
        <f>IF(Z32=0,"",SUMIFS('ITENS_MTR'!$I$6:$I$1005,'ITENS_MTR'!$S$6:$S$1005,A32,'ITENS_MTR'!$Y$6:$Y$1005,1))</f>
        <v/>
      </c>
      <c r="Q32" s="93" t="str">
        <f>IF(Z32=0,"",SUMIFS('RECEBIMENTOS'!$H$6:$H$1005,'RECEBIMENTOS'!$B$6:$B$1005,A32,'RECEBIMENTOS'!$X$6:$X$1005,1))</f>
        <v/>
      </c>
      <c r="R32" s="93" t="str">
        <f>IF(Z32=0,"",SUMIFS('VÍNCULOS_CDF'!$H$6:$H$1005,'VÍNCULOS_CDF'!$D$6:$D$1005,A32,'VÍNCULOS_CDF'!$V$6:$V$1005,1))</f>
        <v/>
      </c>
      <c r="S32" s="94" t="str">
        <f>IF(Z32=0,"",IF(AA32=1,"Cancelado (informado)",IF(AE32=1,"Cadastro incompleto",IF(OR(AC32=1,AD32=1,AF32&gt;0,AH32&gt;0,AK32&gt;0,AL32&gt;0),"Informação a revisar",IF(AN32=0,"Aguardando recebimento",IF(N(R32)=0,"Aguardando CDF",IF(AJ32&lt;N(W32),"Vínculo de CDF parcial",IF(AO32=0,"CDF localizado, a conferir","Documentação conferida"))))))))</f>
        <v/>
      </c>
      <c r="T32" s="94" t="str">
        <f>IF(Z32=0,"",IF(S32="Cadastro incompleto","MTR INCOMPLETO",IF(S32="Informação a revisar",IF(AND(AH32&gt;0,AC32=0,AD32=0,AF32=0,AK32=0,AL32=0),"QUANTIDADE A REVISAR","IDENTIFICAÇÃO A REVISAR"),IF(S32="Aguardando recebimento","RECEBIMENTO NÃO CONFIRMADO",IF(S32="Aguardando CDF","CDF NÃO LOCALIZADO",IF(S32="Vínculo de CDF parcial","VÍNCULO INCOMPLETO",IF(S32="CDF localizado, a conferir","CDF A CONFERIR","")))))))</f>
        <v/>
      </c>
      <c r="U32" s="95" t="str">
        <f>IF(T32="","",IF(AQ32="","Não calculável",IF(AQ32&gt;TODAY(),"Data futura",TODAY()-AQ32)))</f>
        <v/>
      </c>
      <c r="V32" s="93" t="str">
        <f>IF(Z32=0,"",SUMIFS('RECEBIMENTOS'!$H$6:$H$1005,'RECEBIMENTOS'!$B$6:$B$1005,A32,'RECEBIMENTOS'!$Z$6:$Z$1005,1))</f>
        <v/>
      </c>
      <c r="W32" s="95" t="str">
        <f>IF(Z32=0,"",COUNTIFS('ITENS_MTR'!$S$6:$S$1005,A32,'ITENS_MTR'!$R$6:$R$1005,1))</f>
        <v/>
      </c>
      <c r="X32" s="94" t="str">
        <f>IF(AC32=1,"POSSÍVEL DUPLICIDADE","")</f>
        <v/>
      </c>
      <c r="Y32" s="94" t="str">
        <f>IF(Z32=0,"",IF(AW32="","Nenhuma",LEFT(AW32,LEN(AW32)-2)))</f>
        <v/>
      </c>
      <c r="Z32" s="96">
        <f>IF(COUNTA(B32:O32)&gt;0,1,0)</f>
        <v>0</v>
      </c>
      <c r="AA32" s="96">
        <f>IF(AND(Z32=1,K32&lt;&gt;""),IF(TRIM(K32)=TRIM(cfg_cancel),1,0),0)</f>
        <v>0</v>
      </c>
      <c r="AB32" s="96" t="str">
        <f>IF(AND(Z32=1,B32&lt;&gt;""),C32&amp;"|"&amp;D32&amp;"|"&amp;G32&amp;"|"&amp;TRIM(B32),"")</f>
        <v/>
      </c>
      <c r="AC32" s="96">
        <f>IF(AB32="",0,IF(SUMPRODUCT(--($AB$6:$AB$505=AB32))&gt;1,1,0))</f>
        <v>0</v>
      </c>
      <c r="AD32" s="96">
        <f>IF(Z32=0,0,IF(OR(AND(G32&lt;&gt;"",ISNA(MATCH(G32,'CAD_UNIDADES'!$C$6:$C$105,0))),AND(H32&lt;&gt;"",ISNA(MATCH(H32,cmp_transp,0))),AND(I32&lt;&gt;"",ISNA(MATCH(I32,cmp_dest,0))),AND(E32&lt;&gt;"",NOT(ISNUMBER(E32))),AND(F32&lt;&gt;"",NOT(ISNUMBER(F32))),AND(ISNUMBER(E32),ISNUMBER(F32),F32&lt;E32)),1,0))</f>
        <v>0</v>
      </c>
      <c r="AE32" s="96">
        <f>IF(Z32=0,0,IF(OR(B32="",C32="",E32="",G32="",H32="",I32="",N(W32)=0),1,0))</f>
        <v>0</v>
      </c>
      <c r="AF32" s="96">
        <f>IF(Z32=0,0,COUNTIFS('ITENS_MTR'!$S$6:$S$1005,A32,'ITENS_MTR'!$AI$6:$AI$1005,1))</f>
        <v>0</v>
      </c>
      <c r="AG32" s="96">
        <f>IF(Z32=0,0,COUNTIFS('ITENS_MTR'!$S$6:$S$1005,A32,'ITENS_MTR'!$AJ$6:$AJ$1005,1))</f>
        <v>0</v>
      </c>
      <c r="AH32" s="96">
        <f>IF(Z32=0,0,COUNTIFS('ITENS_MTR'!$S$6:$S$1005,A32,'ITENS_MTR'!$AM$6:$AM$1005,1))</f>
        <v>0</v>
      </c>
      <c r="AI32" s="96">
        <f>IF(Z32=0,0,COUNTIFS('ITENS_MTR'!$S$6:$S$1005,A32,'ITENS_MTR'!$AO$6:$AO$1005,1))</f>
        <v>0</v>
      </c>
      <c r="AJ32" s="96">
        <f>IF(Z32=0,0,COUNTIFS('ITENS_MTR'!$S$6:$S$1005,A32,'ITENS_MTR'!$AN$6:$AN$1005,1))</f>
        <v>0</v>
      </c>
      <c r="AK32" s="96">
        <f>IF(Z32=0,0,COUNTIFS('RECEBIMENTOS'!$B$6:$B$1005,A32,'RECEBIMENTOS'!$Y$6:$Y$1005,1))</f>
        <v>0</v>
      </c>
      <c r="AL32" s="96">
        <f>IF(Z32=0,0,COUNTIFS('VÍNCULOS_CDF'!$D$6:$D$1005,A32,'VÍNCULOS_CDF'!$Y$6:$Y$1005,1))</f>
        <v>0</v>
      </c>
      <c r="AM32" s="96">
        <f>IF(Z32=0,0,COUNTIFS('RECEBIMENTOS'!$B$6:$B$1005,A32,'RECEBIMENTOS'!$Q$6:$Q$1005,1))</f>
        <v>0</v>
      </c>
      <c r="AN32" s="96">
        <f>IF(AND(Z32=1,N(W32)&gt;0,AG32=N(W32)),1,0)</f>
        <v>0</v>
      </c>
      <c r="AO32" s="96">
        <f>IF(AND(Z32=1,N(W32)&gt;0,AI32=N(W32)),1,0)</f>
        <v>0</v>
      </c>
      <c r="AP32" s="97">
        <f>IF(Z32=0,0,_xlfn.MAXIFS('RECEBIMENTOS'!$E$6:$E$1005,'RECEBIMENTOS'!$B$6:$B$1005,A32))</f>
        <v>0</v>
      </c>
      <c r="AQ32" s="97" t="str">
        <f>IF(T32="","",IF(T32="RECEBIMENTO NÃO CONFIRMADO",IF(ISNUMBER(F32),F32,IF(ISNUMBER(E32),E32,"")),IF(OR(T32="CDF NÃO LOCALIZADO",T32="VÍNCULO INCOMPLETO",T32="CDF A CONFERIR"),IF(AP32&gt;0,AP32,IF(ISNUMBER(E32),E32,"")),IF(ISNUMBER(E32),E32,""))))</f>
        <v/>
      </c>
      <c r="AR32" s="96">
        <f>IF(NOT(ISNUMBER(U32)),0,IF(T32="RECEBIMENTO NÃO CONFIRMADO",IF(AND(ISNUMBER(cfg_rec),U32&gt;cfg_rec),1,0),IF(OR(T32="CDF NÃO LOCALIZADO",T32="VÍNCULO INCOMPLETO",T32="CDF A CONFERIR"),IF(AND(ISNUMBER(cfg_cdf),U32&gt;cfg_cdf),1,0),0)))</f>
        <v>0</v>
      </c>
      <c r="AS32" s="96" t="str">
        <f>IF(T32="","",IF(AR32=1,"Alta",IFERROR(INDEX(cfg_pp,MATCH(T32,cfg_pt,0))&amp;"","Média")))</f>
        <v/>
      </c>
      <c r="AT32" s="96" t="str">
        <f>IF(T32="","",IFERROR(INDEX(cfg_pv,MATCH(T32,cfg_pt,0))&amp;"",""))</f>
        <v/>
      </c>
      <c r="AU32" s="96" t="str">
        <f>IF(T32="","",IF(AS32="Alta",1,IF(AS32="Média",2,3))*1000000000+(999999-IF(ISNUMBER(U32),MIN(U32,999999),0))*1000+27)</f>
        <v/>
      </c>
      <c r="AV32" s="96">
        <f>IF(T32&lt;&gt;"",1,0)</f>
        <v>0</v>
      </c>
      <c r="AW32" s="96" t="str">
        <f>IF(Z32=0,"",IF(AA32=1,"Cancelamento informado; ","")&amp;IF(AE32=1,"Campos essenciais ou itens faltando; ","")&amp;IF(AC32=1,"Possível duplicidade do número; ","")&amp;IF(AD32=1,"Cadastro ou datas a revisar; ","")&amp;IF(AF32&gt;0,"Item de resíduo com dado a revisar; ","")&amp;IF(AH32&gt;0,"Diferença de quantidade a analisar; ","")&amp;IF(AK32&gt;0,"Recebimento com alerta; ","")&amp;IF(AL32&gt;0,"Vínculo de CDF com alerta; ","")&amp;IF(AND(AA32=0,AN32=0),"Recebimento não confirmado; ","")&amp;IF(AND(AA32=0,AN32=1,AO32=0),"CDF pendente ou a conferir; ",""))</f>
        <v/>
      </c>
      <c r="AX32" s="96">
        <f>IF(Z32=0,0,IF(AND(OR(f_ini="",AND(ISNUMBER(E32),E32&gt;=f_ini)),OR(f_fim="",AND(ISNUMBER(E32),E32&lt;=f_fim)),OR(f_un="",f_un="(Todas)",G32=f_un),OR(f_tr="",f_tr="(Todos)",H32=f_tr),OR(f_de="",f_de="(Todos)",I32=f_de),OR(f_sit="",f_sit="(Todas)",S32=f_sit)),1,0))</f>
        <v>0</v>
      </c>
      <c r="AY32" s="96">
        <f>IF(AX32=0,0,IF(OR(f_res="",f_res="(Todos)"),1,IF(COUNTIFS('ITENS_MTR'!$S$6:$S$1005,A32,'ITENS_MTR'!$C$6:$C$1005,f_res)&gt;0,1,0)))</f>
        <v>0</v>
      </c>
      <c r="AZ32" s="97" t="str">
        <f>IF(ISNUMBER(E32),DATE(YEAR(E32),MONTH(E32),1),"")</f>
        <v/>
      </c>
      <c r="BA32" s="96">
        <f>IF(Z32=0,0,IF(AND(OR(r_ini="",AND(ISNUMBER(E32),E32&gt;=r_ini)),OR(r_fim="",AND(ISNUMBER(E32),E32&lt;=r_fim)),OR(r_un="",r_un="(Todas)",G32=r_un),OR(r_de="",r_de="(Todos)",I32=r_de)),1,0))</f>
        <v>0</v>
      </c>
      <c r="BB32" s="96" t="str">
        <f>IF(BA32=1,COUNTIF($BA$6:BA32,1),"")</f>
        <v/>
      </c>
      <c r="BC32" s="96" t="str">
        <f>IF(AND(AU32&lt;&gt;"",OR(r_un="",r_un="(Todas)",G32=r_un),OR(r_de="",r_de="(Todos)",I32=r_de)),AU32,"")</f>
        <v/>
      </c>
      <c r="BD32" s="96" t="str">
        <f>IF(Z32=1,A32&amp;" | nº "&amp;IF(B32="","(sem número)",B32)&amp;" | "&amp;IF(G32="","(sem unidade)",G32),"")</f>
        <v/>
      </c>
      <c r="BE32" s="96" t="str">
        <f>IF(Z32=1,COUNTIF($Z$6:Z32,1),"")</f>
        <v/>
      </c>
      <c r="BF32" s="96" t="str">
        <f>IF(T32="","",IF(T32="RECEBIMENTO NÃO CONFIRMADO","Transp.: "&amp;H32&amp;" | Dest.: "&amp;I32,IF(OR(T32="CDF NÃO LOCALIZADO",T32="VÍNCULO INCOMPLETO",T32="CDF A CONFERIR"),"Dest.: "&amp;I32,"Gerador: "&amp;G32)))</f>
        <v/>
      </c>
    </row>
    <row r="33">
      <c r="A33" s="89" t="inlineStr">
        <is>
          <t>MTR-000028</t>
        </is>
      </c>
      <c r="B33" s="90" t="n"/>
      <c r="C33" s="91" t="n"/>
      <c r="D33" s="91" t="n"/>
      <c r="E33" s="92" t="n"/>
      <c r="F33" s="92" t="n"/>
      <c r="G33" s="91" t="n"/>
      <c r="H33" s="91" t="n"/>
      <c r="I33" s="91" t="n"/>
      <c r="J33" s="91" t="n"/>
      <c r="K33" s="91" t="n"/>
      <c r="L33" s="92" t="n"/>
      <c r="M33" s="91" t="n"/>
      <c r="N33" s="91" t="n"/>
      <c r="O33" s="91" t="n"/>
      <c r="P33" s="93" t="str">
        <f>IF(Z33=0,"",SUMIFS('ITENS_MTR'!$I$6:$I$1005,'ITENS_MTR'!$S$6:$S$1005,A33,'ITENS_MTR'!$Y$6:$Y$1005,1))</f>
        <v/>
      </c>
      <c r="Q33" s="93" t="str">
        <f>IF(Z33=0,"",SUMIFS('RECEBIMENTOS'!$H$6:$H$1005,'RECEBIMENTOS'!$B$6:$B$1005,A33,'RECEBIMENTOS'!$X$6:$X$1005,1))</f>
        <v/>
      </c>
      <c r="R33" s="93" t="str">
        <f>IF(Z33=0,"",SUMIFS('VÍNCULOS_CDF'!$H$6:$H$1005,'VÍNCULOS_CDF'!$D$6:$D$1005,A33,'VÍNCULOS_CDF'!$V$6:$V$1005,1))</f>
        <v/>
      </c>
      <c r="S33" s="94" t="str">
        <f>IF(Z33=0,"",IF(AA33=1,"Cancelado (informado)",IF(AE33=1,"Cadastro incompleto",IF(OR(AC33=1,AD33=1,AF33&gt;0,AH33&gt;0,AK33&gt;0,AL33&gt;0),"Informação a revisar",IF(AN33=0,"Aguardando recebimento",IF(N(R33)=0,"Aguardando CDF",IF(AJ33&lt;N(W33),"Vínculo de CDF parcial",IF(AO33=0,"CDF localizado, a conferir","Documentação conferida"))))))))</f>
        <v/>
      </c>
      <c r="T33" s="94" t="str">
        <f>IF(Z33=0,"",IF(S33="Cadastro incompleto","MTR INCOMPLETO",IF(S33="Informação a revisar",IF(AND(AH33&gt;0,AC33=0,AD33=0,AF33=0,AK33=0,AL33=0),"QUANTIDADE A REVISAR","IDENTIFICAÇÃO A REVISAR"),IF(S33="Aguardando recebimento","RECEBIMENTO NÃO CONFIRMADO",IF(S33="Aguardando CDF","CDF NÃO LOCALIZADO",IF(S33="Vínculo de CDF parcial","VÍNCULO INCOMPLETO",IF(S33="CDF localizado, a conferir","CDF A CONFERIR","")))))))</f>
        <v/>
      </c>
      <c r="U33" s="95" t="str">
        <f>IF(T33="","",IF(AQ33="","Não calculável",IF(AQ33&gt;TODAY(),"Data futura",TODAY()-AQ33)))</f>
        <v/>
      </c>
      <c r="V33" s="93" t="str">
        <f>IF(Z33=0,"",SUMIFS('RECEBIMENTOS'!$H$6:$H$1005,'RECEBIMENTOS'!$B$6:$B$1005,A33,'RECEBIMENTOS'!$Z$6:$Z$1005,1))</f>
        <v/>
      </c>
      <c r="W33" s="95" t="str">
        <f>IF(Z33=0,"",COUNTIFS('ITENS_MTR'!$S$6:$S$1005,A33,'ITENS_MTR'!$R$6:$R$1005,1))</f>
        <v/>
      </c>
      <c r="X33" s="94" t="str">
        <f>IF(AC33=1,"POSSÍVEL DUPLICIDADE","")</f>
        <v/>
      </c>
      <c r="Y33" s="94" t="str">
        <f>IF(Z33=0,"",IF(AW33="","Nenhuma",LEFT(AW33,LEN(AW33)-2)))</f>
        <v/>
      </c>
      <c r="Z33" s="96">
        <f>IF(COUNTA(B33:O33)&gt;0,1,0)</f>
        <v>0</v>
      </c>
      <c r="AA33" s="96">
        <f>IF(AND(Z33=1,K33&lt;&gt;""),IF(TRIM(K33)=TRIM(cfg_cancel),1,0),0)</f>
        <v>0</v>
      </c>
      <c r="AB33" s="96" t="str">
        <f>IF(AND(Z33=1,B33&lt;&gt;""),C33&amp;"|"&amp;D33&amp;"|"&amp;G33&amp;"|"&amp;TRIM(B33),"")</f>
        <v/>
      </c>
      <c r="AC33" s="96">
        <f>IF(AB33="",0,IF(SUMPRODUCT(--($AB$6:$AB$505=AB33))&gt;1,1,0))</f>
        <v>0</v>
      </c>
      <c r="AD33" s="96">
        <f>IF(Z33=0,0,IF(OR(AND(G33&lt;&gt;"",ISNA(MATCH(G33,'CAD_UNIDADES'!$C$6:$C$105,0))),AND(H33&lt;&gt;"",ISNA(MATCH(H33,cmp_transp,0))),AND(I33&lt;&gt;"",ISNA(MATCH(I33,cmp_dest,0))),AND(E33&lt;&gt;"",NOT(ISNUMBER(E33))),AND(F33&lt;&gt;"",NOT(ISNUMBER(F33))),AND(ISNUMBER(E33),ISNUMBER(F33),F33&lt;E33)),1,0))</f>
        <v>0</v>
      </c>
      <c r="AE33" s="96">
        <f>IF(Z33=0,0,IF(OR(B33="",C33="",E33="",G33="",H33="",I33="",N(W33)=0),1,0))</f>
        <v>0</v>
      </c>
      <c r="AF33" s="96">
        <f>IF(Z33=0,0,COUNTIFS('ITENS_MTR'!$S$6:$S$1005,A33,'ITENS_MTR'!$AI$6:$AI$1005,1))</f>
        <v>0</v>
      </c>
      <c r="AG33" s="96">
        <f>IF(Z33=0,0,COUNTIFS('ITENS_MTR'!$S$6:$S$1005,A33,'ITENS_MTR'!$AJ$6:$AJ$1005,1))</f>
        <v>0</v>
      </c>
      <c r="AH33" s="96">
        <f>IF(Z33=0,0,COUNTIFS('ITENS_MTR'!$S$6:$S$1005,A33,'ITENS_MTR'!$AM$6:$AM$1005,1))</f>
        <v>0</v>
      </c>
      <c r="AI33" s="96">
        <f>IF(Z33=0,0,COUNTIFS('ITENS_MTR'!$S$6:$S$1005,A33,'ITENS_MTR'!$AO$6:$AO$1005,1))</f>
        <v>0</v>
      </c>
      <c r="AJ33" s="96">
        <f>IF(Z33=0,0,COUNTIFS('ITENS_MTR'!$S$6:$S$1005,A33,'ITENS_MTR'!$AN$6:$AN$1005,1))</f>
        <v>0</v>
      </c>
      <c r="AK33" s="96">
        <f>IF(Z33=0,0,COUNTIFS('RECEBIMENTOS'!$B$6:$B$1005,A33,'RECEBIMENTOS'!$Y$6:$Y$1005,1))</f>
        <v>0</v>
      </c>
      <c r="AL33" s="96">
        <f>IF(Z33=0,0,COUNTIFS('VÍNCULOS_CDF'!$D$6:$D$1005,A33,'VÍNCULOS_CDF'!$Y$6:$Y$1005,1))</f>
        <v>0</v>
      </c>
      <c r="AM33" s="96">
        <f>IF(Z33=0,0,COUNTIFS('RECEBIMENTOS'!$B$6:$B$1005,A33,'RECEBIMENTOS'!$Q$6:$Q$1005,1))</f>
        <v>0</v>
      </c>
      <c r="AN33" s="96">
        <f>IF(AND(Z33=1,N(W33)&gt;0,AG33=N(W33)),1,0)</f>
        <v>0</v>
      </c>
      <c r="AO33" s="96">
        <f>IF(AND(Z33=1,N(W33)&gt;0,AI33=N(W33)),1,0)</f>
        <v>0</v>
      </c>
      <c r="AP33" s="97">
        <f>IF(Z33=0,0,_xlfn.MAXIFS('RECEBIMENTOS'!$E$6:$E$1005,'RECEBIMENTOS'!$B$6:$B$1005,A33))</f>
        <v>0</v>
      </c>
      <c r="AQ33" s="97" t="str">
        <f>IF(T33="","",IF(T33="RECEBIMENTO NÃO CONFIRMADO",IF(ISNUMBER(F33),F33,IF(ISNUMBER(E33),E33,"")),IF(OR(T33="CDF NÃO LOCALIZADO",T33="VÍNCULO INCOMPLETO",T33="CDF A CONFERIR"),IF(AP33&gt;0,AP33,IF(ISNUMBER(E33),E33,"")),IF(ISNUMBER(E33),E33,""))))</f>
        <v/>
      </c>
      <c r="AR33" s="96">
        <f>IF(NOT(ISNUMBER(U33)),0,IF(T33="RECEBIMENTO NÃO CONFIRMADO",IF(AND(ISNUMBER(cfg_rec),U33&gt;cfg_rec),1,0),IF(OR(T33="CDF NÃO LOCALIZADO",T33="VÍNCULO INCOMPLETO",T33="CDF A CONFERIR"),IF(AND(ISNUMBER(cfg_cdf),U33&gt;cfg_cdf),1,0),0)))</f>
        <v>0</v>
      </c>
      <c r="AS33" s="96" t="str">
        <f>IF(T33="","",IF(AR33=1,"Alta",IFERROR(INDEX(cfg_pp,MATCH(T33,cfg_pt,0))&amp;"","Média")))</f>
        <v/>
      </c>
      <c r="AT33" s="96" t="str">
        <f>IF(T33="","",IFERROR(INDEX(cfg_pv,MATCH(T33,cfg_pt,0))&amp;"",""))</f>
        <v/>
      </c>
      <c r="AU33" s="96" t="str">
        <f>IF(T33="","",IF(AS33="Alta",1,IF(AS33="Média",2,3))*1000000000+(999999-IF(ISNUMBER(U33),MIN(U33,999999),0))*1000+28)</f>
        <v/>
      </c>
      <c r="AV33" s="96">
        <f>IF(T33&lt;&gt;"",1,0)</f>
        <v>0</v>
      </c>
      <c r="AW33" s="96" t="str">
        <f>IF(Z33=0,"",IF(AA33=1,"Cancelamento informado; ","")&amp;IF(AE33=1,"Campos essenciais ou itens faltando; ","")&amp;IF(AC33=1,"Possível duplicidade do número; ","")&amp;IF(AD33=1,"Cadastro ou datas a revisar; ","")&amp;IF(AF33&gt;0,"Item de resíduo com dado a revisar; ","")&amp;IF(AH33&gt;0,"Diferença de quantidade a analisar; ","")&amp;IF(AK33&gt;0,"Recebimento com alerta; ","")&amp;IF(AL33&gt;0,"Vínculo de CDF com alerta; ","")&amp;IF(AND(AA33=0,AN33=0),"Recebimento não confirmado; ","")&amp;IF(AND(AA33=0,AN33=1,AO33=0),"CDF pendente ou a conferir; ",""))</f>
        <v/>
      </c>
      <c r="AX33" s="96">
        <f>IF(Z33=0,0,IF(AND(OR(f_ini="",AND(ISNUMBER(E33),E33&gt;=f_ini)),OR(f_fim="",AND(ISNUMBER(E33),E33&lt;=f_fim)),OR(f_un="",f_un="(Todas)",G33=f_un),OR(f_tr="",f_tr="(Todos)",H33=f_tr),OR(f_de="",f_de="(Todos)",I33=f_de),OR(f_sit="",f_sit="(Todas)",S33=f_sit)),1,0))</f>
        <v>0</v>
      </c>
      <c r="AY33" s="96">
        <f>IF(AX33=0,0,IF(OR(f_res="",f_res="(Todos)"),1,IF(COUNTIFS('ITENS_MTR'!$S$6:$S$1005,A33,'ITENS_MTR'!$C$6:$C$1005,f_res)&gt;0,1,0)))</f>
        <v>0</v>
      </c>
      <c r="AZ33" s="97" t="str">
        <f>IF(ISNUMBER(E33),DATE(YEAR(E33),MONTH(E33),1),"")</f>
        <v/>
      </c>
      <c r="BA33" s="96">
        <f>IF(Z33=0,0,IF(AND(OR(r_ini="",AND(ISNUMBER(E33),E33&gt;=r_ini)),OR(r_fim="",AND(ISNUMBER(E33),E33&lt;=r_fim)),OR(r_un="",r_un="(Todas)",G33=r_un),OR(r_de="",r_de="(Todos)",I33=r_de)),1,0))</f>
        <v>0</v>
      </c>
      <c r="BB33" s="96" t="str">
        <f>IF(BA33=1,COUNTIF($BA$6:BA33,1),"")</f>
        <v/>
      </c>
      <c r="BC33" s="96" t="str">
        <f>IF(AND(AU33&lt;&gt;"",OR(r_un="",r_un="(Todas)",G33=r_un),OR(r_de="",r_de="(Todos)",I33=r_de)),AU33,"")</f>
        <v/>
      </c>
      <c r="BD33" s="96" t="str">
        <f>IF(Z33=1,A33&amp;" | nº "&amp;IF(B33="","(sem número)",B33)&amp;" | "&amp;IF(G33="","(sem unidade)",G33),"")</f>
        <v/>
      </c>
      <c r="BE33" s="96" t="str">
        <f>IF(Z33=1,COUNTIF($Z$6:Z33,1),"")</f>
        <v/>
      </c>
      <c r="BF33" s="96" t="str">
        <f>IF(T33="","",IF(T33="RECEBIMENTO NÃO CONFIRMADO","Transp.: "&amp;H33&amp;" | Dest.: "&amp;I33,IF(OR(T33="CDF NÃO LOCALIZADO",T33="VÍNCULO INCOMPLETO",T33="CDF A CONFERIR"),"Dest.: "&amp;I33,"Gerador: "&amp;G33)))</f>
        <v/>
      </c>
    </row>
    <row r="34">
      <c r="A34" s="89" t="inlineStr">
        <is>
          <t>MTR-000029</t>
        </is>
      </c>
      <c r="B34" s="90" t="n"/>
      <c r="C34" s="91" t="n"/>
      <c r="D34" s="91" t="n"/>
      <c r="E34" s="92" t="n"/>
      <c r="F34" s="92" t="n"/>
      <c r="G34" s="91" t="n"/>
      <c r="H34" s="91" t="n"/>
      <c r="I34" s="91" t="n"/>
      <c r="J34" s="91" t="n"/>
      <c r="K34" s="91" t="n"/>
      <c r="L34" s="92" t="n"/>
      <c r="M34" s="91" t="n"/>
      <c r="N34" s="91" t="n"/>
      <c r="O34" s="91" t="n"/>
      <c r="P34" s="93" t="str">
        <f>IF(Z34=0,"",SUMIFS('ITENS_MTR'!$I$6:$I$1005,'ITENS_MTR'!$S$6:$S$1005,A34,'ITENS_MTR'!$Y$6:$Y$1005,1))</f>
        <v/>
      </c>
      <c r="Q34" s="93" t="str">
        <f>IF(Z34=0,"",SUMIFS('RECEBIMENTOS'!$H$6:$H$1005,'RECEBIMENTOS'!$B$6:$B$1005,A34,'RECEBIMENTOS'!$X$6:$X$1005,1))</f>
        <v/>
      </c>
      <c r="R34" s="93" t="str">
        <f>IF(Z34=0,"",SUMIFS('VÍNCULOS_CDF'!$H$6:$H$1005,'VÍNCULOS_CDF'!$D$6:$D$1005,A34,'VÍNCULOS_CDF'!$V$6:$V$1005,1))</f>
        <v/>
      </c>
      <c r="S34" s="94" t="str">
        <f>IF(Z34=0,"",IF(AA34=1,"Cancelado (informado)",IF(AE34=1,"Cadastro incompleto",IF(OR(AC34=1,AD34=1,AF34&gt;0,AH34&gt;0,AK34&gt;0,AL34&gt;0),"Informação a revisar",IF(AN34=0,"Aguardando recebimento",IF(N(R34)=0,"Aguardando CDF",IF(AJ34&lt;N(W34),"Vínculo de CDF parcial",IF(AO34=0,"CDF localizado, a conferir","Documentação conferida"))))))))</f>
        <v/>
      </c>
      <c r="T34" s="94" t="str">
        <f>IF(Z34=0,"",IF(S34="Cadastro incompleto","MTR INCOMPLETO",IF(S34="Informação a revisar",IF(AND(AH34&gt;0,AC34=0,AD34=0,AF34=0,AK34=0,AL34=0),"QUANTIDADE A REVISAR","IDENTIFICAÇÃO A REVISAR"),IF(S34="Aguardando recebimento","RECEBIMENTO NÃO CONFIRMADO",IF(S34="Aguardando CDF","CDF NÃO LOCALIZADO",IF(S34="Vínculo de CDF parcial","VÍNCULO INCOMPLETO",IF(S34="CDF localizado, a conferir","CDF A CONFERIR","")))))))</f>
        <v/>
      </c>
      <c r="U34" s="95" t="str">
        <f>IF(T34="","",IF(AQ34="","Não calculável",IF(AQ34&gt;TODAY(),"Data futura",TODAY()-AQ34)))</f>
        <v/>
      </c>
      <c r="V34" s="93" t="str">
        <f>IF(Z34=0,"",SUMIFS('RECEBIMENTOS'!$H$6:$H$1005,'RECEBIMENTOS'!$B$6:$B$1005,A34,'RECEBIMENTOS'!$Z$6:$Z$1005,1))</f>
        <v/>
      </c>
      <c r="W34" s="95" t="str">
        <f>IF(Z34=0,"",COUNTIFS('ITENS_MTR'!$S$6:$S$1005,A34,'ITENS_MTR'!$R$6:$R$1005,1))</f>
        <v/>
      </c>
      <c r="X34" s="94" t="str">
        <f>IF(AC34=1,"POSSÍVEL DUPLICIDADE","")</f>
        <v/>
      </c>
      <c r="Y34" s="94" t="str">
        <f>IF(Z34=0,"",IF(AW34="","Nenhuma",LEFT(AW34,LEN(AW34)-2)))</f>
        <v/>
      </c>
      <c r="Z34" s="96">
        <f>IF(COUNTA(B34:O34)&gt;0,1,0)</f>
        <v>0</v>
      </c>
      <c r="AA34" s="96">
        <f>IF(AND(Z34=1,K34&lt;&gt;""),IF(TRIM(K34)=TRIM(cfg_cancel),1,0),0)</f>
        <v>0</v>
      </c>
      <c r="AB34" s="96" t="str">
        <f>IF(AND(Z34=1,B34&lt;&gt;""),C34&amp;"|"&amp;D34&amp;"|"&amp;G34&amp;"|"&amp;TRIM(B34),"")</f>
        <v/>
      </c>
      <c r="AC34" s="96">
        <f>IF(AB34="",0,IF(SUMPRODUCT(--($AB$6:$AB$505=AB34))&gt;1,1,0))</f>
        <v>0</v>
      </c>
      <c r="AD34" s="96">
        <f>IF(Z34=0,0,IF(OR(AND(G34&lt;&gt;"",ISNA(MATCH(G34,'CAD_UNIDADES'!$C$6:$C$105,0))),AND(H34&lt;&gt;"",ISNA(MATCH(H34,cmp_transp,0))),AND(I34&lt;&gt;"",ISNA(MATCH(I34,cmp_dest,0))),AND(E34&lt;&gt;"",NOT(ISNUMBER(E34))),AND(F34&lt;&gt;"",NOT(ISNUMBER(F34))),AND(ISNUMBER(E34),ISNUMBER(F34),F34&lt;E34)),1,0))</f>
        <v>0</v>
      </c>
      <c r="AE34" s="96">
        <f>IF(Z34=0,0,IF(OR(B34="",C34="",E34="",G34="",H34="",I34="",N(W34)=0),1,0))</f>
        <v>0</v>
      </c>
      <c r="AF34" s="96">
        <f>IF(Z34=0,0,COUNTIFS('ITENS_MTR'!$S$6:$S$1005,A34,'ITENS_MTR'!$AI$6:$AI$1005,1))</f>
        <v>0</v>
      </c>
      <c r="AG34" s="96">
        <f>IF(Z34=0,0,COUNTIFS('ITENS_MTR'!$S$6:$S$1005,A34,'ITENS_MTR'!$AJ$6:$AJ$1005,1))</f>
        <v>0</v>
      </c>
      <c r="AH34" s="96">
        <f>IF(Z34=0,0,COUNTIFS('ITENS_MTR'!$S$6:$S$1005,A34,'ITENS_MTR'!$AM$6:$AM$1005,1))</f>
        <v>0</v>
      </c>
      <c r="AI34" s="96">
        <f>IF(Z34=0,0,COUNTIFS('ITENS_MTR'!$S$6:$S$1005,A34,'ITENS_MTR'!$AO$6:$AO$1005,1))</f>
        <v>0</v>
      </c>
      <c r="AJ34" s="96">
        <f>IF(Z34=0,0,COUNTIFS('ITENS_MTR'!$S$6:$S$1005,A34,'ITENS_MTR'!$AN$6:$AN$1005,1))</f>
        <v>0</v>
      </c>
      <c r="AK34" s="96">
        <f>IF(Z34=0,0,COUNTIFS('RECEBIMENTOS'!$B$6:$B$1005,A34,'RECEBIMENTOS'!$Y$6:$Y$1005,1))</f>
        <v>0</v>
      </c>
      <c r="AL34" s="96">
        <f>IF(Z34=0,0,COUNTIFS('VÍNCULOS_CDF'!$D$6:$D$1005,A34,'VÍNCULOS_CDF'!$Y$6:$Y$1005,1))</f>
        <v>0</v>
      </c>
      <c r="AM34" s="96">
        <f>IF(Z34=0,0,COUNTIFS('RECEBIMENTOS'!$B$6:$B$1005,A34,'RECEBIMENTOS'!$Q$6:$Q$1005,1))</f>
        <v>0</v>
      </c>
      <c r="AN34" s="96">
        <f>IF(AND(Z34=1,N(W34)&gt;0,AG34=N(W34)),1,0)</f>
        <v>0</v>
      </c>
      <c r="AO34" s="96">
        <f>IF(AND(Z34=1,N(W34)&gt;0,AI34=N(W34)),1,0)</f>
        <v>0</v>
      </c>
      <c r="AP34" s="97">
        <f>IF(Z34=0,0,_xlfn.MAXIFS('RECEBIMENTOS'!$E$6:$E$1005,'RECEBIMENTOS'!$B$6:$B$1005,A34))</f>
        <v>0</v>
      </c>
      <c r="AQ34" s="97" t="str">
        <f>IF(T34="","",IF(T34="RECEBIMENTO NÃO CONFIRMADO",IF(ISNUMBER(F34),F34,IF(ISNUMBER(E34),E34,"")),IF(OR(T34="CDF NÃO LOCALIZADO",T34="VÍNCULO INCOMPLETO",T34="CDF A CONFERIR"),IF(AP34&gt;0,AP34,IF(ISNUMBER(E34),E34,"")),IF(ISNUMBER(E34),E34,""))))</f>
        <v/>
      </c>
      <c r="AR34" s="96">
        <f>IF(NOT(ISNUMBER(U34)),0,IF(T34="RECEBIMENTO NÃO CONFIRMADO",IF(AND(ISNUMBER(cfg_rec),U34&gt;cfg_rec),1,0),IF(OR(T34="CDF NÃO LOCALIZADO",T34="VÍNCULO INCOMPLETO",T34="CDF A CONFERIR"),IF(AND(ISNUMBER(cfg_cdf),U34&gt;cfg_cdf),1,0),0)))</f>
        <v>0</v>
      </c>
      <c r="AS34" s="96" t="str">
        <f>IF(T34="","",IF(AR34=1,"Alta",IFERROR(INDEX(cfg_pp,MATCH(T34,cfg_pt,0))&amp;"","Média")))</f>
        <v/>
      </c>
      <c r="AT34" s="96" t="str">
        <f>IF(T34="","",IFERROR(INDEX(cfg_pv,MATCH(T34,cfg_pt,0))&amp;"",""))</f>
        <v/>
      </c>
      <c r="AU34" s="96" t="str">
        <f>IF(T34="","",IF(AS34="Alta",1,IF(AS34="Média",2,3))*1000000000+(999999-IF(ISNUMBER(U34),MIN(U34,999999),0))*1000+29)</f>
        <v/>
      </c>
      <c r="AV34" s="96">
        <f>IF(T34&lt;&gt;"",1,0)</f>
        <v>0</v>
      </c>
      <c r="AW34" s="96" t="str">
        <f>IF(Z34=0,"",IF(AA34=1,"Cancelamento informado; ","")&amp;IF(AE34=1,"Campos essenciais ou itens faltando; ","")&amp;IF(AC34=1,"Possível duplicidade do número; ","")&amp;IF(AD34=1,"Cadastro ou datas a revisar; ","")&amp;IF(AF34&gt;0,"Item de resíduo com dado a revisar; ","")&amp;IF(AH34&gt;0,"Diferença de quantidade a analisar; ","")&amp;IF(AK34&gt;0,"Recebimento com alerta; ","")&amp;IF(AL34&gt;0,"Vínculo de CDF com alerta; ","")&amp;IF(AND(AA34=0,AN34=0),"Recebimento não confirmado; ","")&amp;IF(AND(AA34=0,AN34=1,AO34=0),"CDF pendente ou a conferir; ",""))</f>
        <v/>
      </c>
      <c r="AX34" s="96">
        <f>IF(Z34=0,0,IF(AND(OR(f_ini="",AND(ISNUMBER(E34),E34&gt;=f_ini)),OR(f_fim="",AND(ISNUMBER(E34),E34&lt;=f_fim)),OR(f_un="",f_un="(Todas)",G34=f_un),OR(f_tr="",f_tr="(Todos)",H34=f_tr),OR(f_de="",f_de="(Todos)",I34=f_de),OR(f_sit="",f_sit="(Todas)",S34=f_sit)),1,0))</f>
        <v>0</v>
      </c>
      <c r="AY34" s="96">
        <f>IF(AX34=0,0,IF(OR(f_res="",f_res="(Todos)"),1,IF(COUNTIFS('ITENS_MTR'!$S$6:$S$1005,A34,'ITENS_MTR'!$C$6:$C$1005,f_res)&gt;0,1,0)))</f>
        <v>0</v>
      </c>
      <c r="AZ34" s="97" t="str">
        <f>IF(ISNUMBER(E34),DATE(YEAR(E34),MONTH(E34),1),"")</f>
        <v/>
      </c>
      <c r="BA34" s="96">
        <f>IF(Z34=0,0,IF(AND(OR(r_ini="",AND(ISNUMBER(E34),E34&gt;=r_ini)),OR(r_fim="",AND(ISNUMBER(E34),E34&lt;=r_fim)),OR(r_un="",r_un="(Todas)",G34=r_un),OR(r_de="",r_de="(Todos)",I34=r_de)),1,0))</f>
        <v>0</v>
      </c>
      <c r="BB34" s="96" t="str">
        <f>IF(BA34=1,COUNTIF($BA$6:BA34,1),"")</f>
        <v/>
      </c>
      <c r="BC34" s="96" t="str">
        <f>IF(AND(AU34&lt;&gt;"",OR(r_un="",r_un="(Todas)",G34=r_un),OR(r_de="",r_de="(Todos)",I34=r_de)),AU34,"")</f>
        <v/>
      </c>
      <c r="BD34" s="96" t="str">
        <f>IF(Z34=1,A34&amp;" | nº "&amp;IF(B34="","(sem número)",B34)&amp;" | "&amp;IF(G34="","(sem unidade)",G34),"")</f>
        <v/>
      </c>
      <c r="BE34" s="96" t="str">
        <f>IF(Z34=1,COUNTIF($Z$6:Z34,1),"")</f>
        <v/>
      </c>
      <c r="BF34" s="96" t="str">
        <f>IF(T34="","",IF(T34="RECEBIMENTO NÃO CONFIRMADO","Transp.: "&amp;H34&amp;" | Dest.: "&amp;I34,IF(OR(T34="CDF NÃO LOCALIZADO",T34="VÍNCULO INCOMPLETO",T34="CDF A CONFERIR"),"Dest.: "&amp;I34,"Gerador: "&amp;G34)))</f>
        <v/>
      </c>
    </row>
    <row r="35">
      <c r="A35" s="89" t="inlineStr">
        <is>
          <t>MTR-000030</t>
        </is>
      </c>
      <c r="B35" s="90" t="n"/>
      <c r="C35" s="91" t="n"/>
      <c r="D35" s="91" t="n"/>
      <c r="E35" s="92" t="n"/>
      <c r="F35" s="92" t="n"/>
      <c r="G35" s="91" t="n"/>
      <c r="H35" s="91" t="n"/>
      <c r="I35" s="91" t="n"/>
      <c r="J35" s="91" t="n"/>
      <c r="K35" s="91" t="n"/>
      <c r="L35" s="92" t="n"/>
      <c r="M35" s="91" t="n"/>
      <c r="N35" s="91" t="n"/>
      <c r="O35" s="91" t="n"/>
      <c r="P35" s="93" t="str">
        <f>IF(Z35=0,"",SUMIFS('ITENS_MTR'!$I$6:$I$1005,'ITENS_MTR'!$S$6:$S$1005,A35,'ITENS_MTR'!$Y$6:$Y$1005,1))</f>
        <v/>
      </c>
      <c r="Q35" s="93" t="str">
        <f>IF(Z35=0,"",SUMIFS('RECEBIMENTOS'!$H$6:$H$1005,'RECEBIMENTOS'!$B$6:$B$1005,A35,'RECEBIMENTOS'!$X$6:$X$1005,1))</f>
        <v/>
      </c>
      <c r="R35" s="93" t="str">
        <f>IF(Z35=0,"",SUMIFS('VÍNCULOS_CDF'!$H$6:$H$1005,'VÍNCULOS_CDF'!$D$6:$D$1005,A35,'VÍNCULOS_CDF'!$V$6:$V$1005,1))</f>
        <v/>
      </c>
      <c r="S35" s="94" t="str">
        <f>IF(Z35=0,"",IF(AA35=1,"Cancelado (informado)",IF(AE35=1,"Cadastro incompleto",IF(OR(AC35=1,AD35=1,AF35&gt;0,AH35&gt;0,AK35&gt;0,AL35&gt;0),"Informação a revisar",IF(AN35=0,"Aguardando recebimento",IF(N(R35)=0,"Aguardando CDF",IF(AJ35&lt;N(W35),"Vínculo de CDF parcial",IF(AO35=0,"CDF localizado, a conferir","Documentação conferida"))))))))</f>
        <v/>
      </c>
      <c r="T35" s="94" t="str">
        <f>IF(Z35=0,"",IF(S35="Cadastro incompleto","MTR INCOMPLETO",IF(S35="Informação a revisar",IF(AND(AH35&gt;0,AC35=0,AD35=0,AF35=0,AK35=0,AL35=0),"QUANTIDADE A REVISAR","IDENTIFICAÇÃO A REVISAR"),IF(S35="Aguardando recebimento","RECEBIMENTO NÃO CONFIRMADO",IF(S35="Aguardando CDF","CDF NÃO LOCALIZADO",IF(S35="Vínculo de CDF parcial","VÍNCULO INCOMPLETO",IF(S35="CDF localizado, a conferir","CDF A CONFERIR","")))))))</f>
        <v/>
      </c>
      <c r="U35" s="95" t="str">
        <f>IF(T35="","",IF(AQ35="","Não calculável",IF(AQ35&gt;TODAY(),"Data futura",TODAY()-AQ35)))</f>
        <v/>
      </c>
      <c r="V35" s="93" t="str">
        <f>IF(Z35=0,"",SUMIFS('RECEBIMENTOS'!$H$6:$H$1005,'RECEBIMENTOS'!$B$6:$B$1005,A35,'RECEBIMENTOS'!$Z$6:$Z$1005,1))</f>
        <v/>
      </c>
      <c r="W35" s="95" t="str">
        <f>IF(Z35=0,"",COUNTIFS('ITENS_MTR'!$S$6:$S$1005,A35,'ITENS_MTR'!$R$6:$R$1005,1))</f>
        <v/>
      </c>
      <c r="X35" s="94" t="str">
        <f>IF(AC35=1,"POSSÍVEL DUPLICIDADE","")</f>
        <v/>
      </c>
      <c r="Y35" s="94" t="str">
        <f>IF(Z35=0,"",IF(AW35="","Nenhuma",LEFT(AW35,LEN(AW35)-2)))</f>
        <v/>
      </c>
      <c r="Z35" s="96">
        <f>IF(COUNTA(B35:O35)&gt;0,1,0)</f>
        <v>0</v>
      </c>
      <c r="AA35" s="96">
        <f>IF(AND(Z35=1,K35&lt;&gt;""),IF(TRIM(K35)=TRIM(cfg_cancel),1,0),0)</f>
        <v>0</v>
      </c>
      <c r="AB35" s="96" t="str">
        <f>IF(AND(Z35=1,B35&lt;&gt;""),C35&amp;"|"&amp;D35&amp;"|"&amp;G35&amp;"|"&amp;TRIM(B35),"")</f>
        <v/>
      </c>
      <c r="AC35" s="96">
        <f>IF(AB35="",0,IF(SUMPRODUCT(--($AB$6:$AB$505=AB35))&gt;1,1,0))</f>
        <v>0</v>
      </c>
      <c r="AD35" s="96">
        <f>IF(Z35=0,0,IF(OR(AND(G35&lt;&gt;"",ISNA(MATCH(G35,'CAD_UNIDADES'!$C$6:$C$105,0))),AND(H35&lt;&gt;"",ISNA(MATCH(H35,cmp_transp,0))),AND(I35&lt;&gt;"",ISNA(MATCH(I35,cmp_dest,0))),AND(E35&lt;&gt;"",NOT(ISNUMBER(E35))),AND(F35&lt;&gt;"",NOT(ISNUMBER(F35))),AND(ISNUMBER(E35),ISNUMBER(F35),F35&lt;E35)),1,0))</f>
        <v>0</v>
      </c>
      <c r="AE35" s="96">
        <f>IF(Z35=0,0,IF(OR(B35="",C35="",E35="",G35="",H35="",I35="",N(W35)=0),1,0))</f>
        <v>0</v>
      </c>
      <c r="AF35" s="96">
        <f>IF(Z35=0,0,COUNTIFS('ITENS_MTR'!$S$6:$S$1005,A35,'ITENS_MTR'!$AI$6:$AI$1005,1))</f>
        <v>0</v>
      </c>
      <c r="AG35" s="96">
        <f>IF(Z35=0,0,COUNTIFS('ITENS_MTR'!$S$6:$S$1005,A35,'ITENS_MTR'!$AJ$6:$AJ$1005,1))</f>
        <v>0</v>
      </c>
      <c r="AH35" s="96">
        <f>IF(Z35=0,0,COUNTIFS('ITENS_MTR'!$S$6:$S$1005,A35,'ITENS_MTR'!$AM$6:$AM$1005,1))</f>
        <v>0</v>
      </c>
      <c r="AI35" s="96">
        <f>IF(Z35=0,0,COUNTIFS('ITENS_MTR'!$S$6:$S$1005,A35,'ITENS_MTR'!$AO$6:$AO$1005,1))</f>
        <v>0</v>
      </c>
      <c r="AJ35" s="96">
        <f>IF(Z35=0,0,COUNTIFS('ITENS_MTR'!$S$6:$S$1005,A35,'ITENS_MTR'!$AN$6:$AN$1005,1))</f>
        <v>0</v>
      </c>
      <c r="AK35" s="96">
        <f>IF(Z35=0,0,COUNTIFS('RECEBIMENTOS'!$B$6:$B$1005,A35,'RECEBIMENTOS'!$Y$6:$Y$1005,1))</f>
        <v>0</v>
      </c>
      <c r="AL35" s="96">
        <f>IF(Z35=0,0,COUNTIFS('VÍNCULOS_CDF'!$D$6:$D$1005,A35,'VÍNCULOS_CDF'!$Y$6:$Y$1005,1))</f>
        <v>0</v>
      </c>
      <c r="AM35" s="96">
        <f>IF(Z35=0,0,COUNTIFS('RECEBIMENTOS'!$B$6:$B$1005,A35,'RECEBIMENTOS'!$Q$6:$Q$1005,1))</f>
        <v>0</v>
      </c>
      <c r="AN35" s="96">
        <f>IF(AND(Z35=1,N(W35)&gt;0,AG35=N(W35)),1,0)</f>
        <v>0</v>
      </c>
      <c r="AO35" s="96">
        <f>IF(AND(Z35=1,N(W35)&gt;0,AI35=N(W35)),1,0)</f>
        <v>0</v>
      </c>
      <c r="AP35" s="97">
        <f>IF(Z35=0,0,_xlfn.MAXIFS('RECEBIMENTOS'!$E$6:$E$1005,'RECEBIMENTOS'!$B$6:$B$1005,A35))</f>
        <v>0</v>
      </c>
      <c r="AQ35" s="97" t="str">
        <f>IF(T35="","",IF(T35="RECEBIMENTO NÃO CONFIRMADO",IF(ISNUMBER(F35),F35,IF(ISNUMBER(E35),E35,"")),IF(OR(T35="CDF NÃO LOCALIZADO",T35="VÍNCULO INCOMPLETO",T35="CDF A CONFERIR"),IF(AP35&gt;0,AP35,IF(ISNUMBER(E35),E35,"")),IF(ISNUMBER(E35),E35,""))))</f>
        <v/>
      </c>
      <c r="AR35" s="96">
        <f>IF(NOT(ISNUMBER(U35)),0,IF(T35="RECEBIMENTO NÃO CONFIRMADO",IF(AND(ISNUMBER(cfg_rec),U35&gt;cfg_rec),1,0),IF(OR(T35="CDF NÃO LOCALIZADO",T35="VÍNCULO INCOMPLETO",T35="CDF A CONFERIR"),IF(AND(ISNUMBER(cfg_cdf),U35&gt;cfg_cdf),1,0),0)))</f>
        <v>0</v>
      </c>
      <c r="AS35" s="96" t="str">
        <f>IF(T35="","",IF(AR35=1,"Alta",IFERROR(INDEX(cfg_pp,MATCH(T35,cfg_pt,0))&amp;"","Média")))</f>
        <v/>
      </c>
      <c r="AT35" s="96" t="str">
        <f>IF(T35="","",IFERROR(INDEX(cfg_pv,MATCH(T35,cfg_pt,0))&amp;"",""))</f>
        <v/>
      </c>
      <c r="AU35" s="96" t="str">
        <f>IF(T35="","",IF(AS35="Alta",1,IF(AS35="Média",2,3))*1000000000+(999999-IF(ISNUMBER(U35),MIN(U35,999999),0))*1000+30)</f>
        <v/>
      </c>
      <c r="AV35" s="96">
        <f>IF(T35&lt;&gt;"",1,0)</f>
        <v>0</v>
      </c>
      <c r="AW35" s="96" t="str">
        <f>IF(Z35=0,"",IF(AA35=1,"Cancelamento informado; ","")&amp;IF(AE35=1,"Campos essenciais ou itens faltando; ","")&amp;IF(AC35=1,"Possível duplicidade do número; ","")&amp;IF(AD35=1,"Cadastro ou datas a revisar; ","")&amp;IF(AF35&gt;0,"Item de resíduo com dado a revisar; ","")&amp;IF(AH35&gt;0,"Diferença de quantidade a analisar; ","")&amp;IF(AK35&gt;0,"Recebimento com alerta; ","")&amp;IF(AL35&gt;0,"Vínculo de CDF com alerta; ","")&amp;IF(AND(AA35=0,AN35=0),"Recebimento não confirmado; ","")&amp;IF(AND(AA35=0,AN35=1,AO35=0),"CDF pendente ou a conferir; ",""))</f>
        <v/>
      </c>
      <c r="AX35" s="96">
        <f>IF(Z35=0,0,IF(AND(OR(f_ini="",AND(ISNUMBER(E35),E35&gt;=f_ini)),OR(f_fim="",AND(ISNUMBER(E35),E35&lt;=f_fim)),OR(f_un="",f_un="(Todas)",G35=f_un),OR(f_tr="",f_tr="(Todos)",H35=f_tr),OR(f_de="",f_de="(Todos)",I35=f_de),OR(f_sit="",f_sit="(Todas)",S35=f_sit)),1,0))</f>
        <v>0</v>
      </c>
      <c r="AY35" s="96">
        <f>IF(AX35=0,0,IF(OR(f_res="",f_res="(Todos)"),1,IF(COUNTIFS('ITENS_MTR'!$S$6:$S$1005,A35,'ITENS_MTR'!$C$6:$C$1005,f_res)&gt;0,1,0)))</f>
        <v>0</v>
      </c>
      <c r="AZ35" s="97" t="str">
        <f>IF(ISNUMBER(E35),DATE(YEAR(E35),MONTH(E35),1),"")</f>
        <v/>
      </c>
      <c r="BA35" s="96">
        <f>IF(Z35=0,0,IF(AND(OR(r_ini="",AND(ISNUMBER(E35),E35&gt;=r_ini)),OR(r_fim="",AND(ISNUMBER(E35),E35&lt;=r_fim)),OR(r_un="",r_un="(Todas)",G35=r_un),OR(r_de="",r_de="(Todos)",I35=r_de)),1,0))</f>
        <v>0</v>
      </c>
      <c r="BB35" s="96" t="str">
        <f>IF(BA35=1,COUNTIF($BA$6:BA35,1),"")</f>
        <v/>
      </c>
      <c r="BC35" s="96" t="str">
        <f>IF(AND(AU35&lt;&gt;"",OR(r_un="",r_un="(Todas)",G35=r_un),OR(r_de="",r_de="(Todos)",I35=r_de)),AU35,"")</f>
        <v/>
      </c>
      <c r="BD35" s="96" t="str">
        <f>IF(Z35=1,A35&amp;" | nº "&amp;IF(B35="","(sem número)",B35)&amp;" | "&amp;IF(G35="","(sem unidade)",G35),"")</f>
        <v/>
      </c>
      <c r="BE35" s="96" t="str">
        <f>IF(Z35=1,COUNTIF($Z$6:Z35,1),"")</f>
        <v/>
      </c>
      <c r="BF35" s="96" t="str">
        <f>IF(T35="","",IF(T35="RECEBIMENTO NÃO CONFIRMADO","Transp.: "&amp;H35&amp;" | Dest.: "&amp;I35,IF(OR(T35="CDF NÃO LOCALIZADO",T35="VÍNCULO INCOMPLETO",T35="CDF A CONFERIR"),"Dest.: "&amp;I35,"Gerador: "&amp;G35)))</f>
        <v/>
      </c>
    </row>
    <row r="36">
      <c r="A36" s="89" t="inlineStr">
        <is>
          <t>MTR-000031</t>
        </is>
      </c>
      <c r="B36" s="90" t="n"/>
      <c r="C36" s="91" t="n"/>
      <c r="D36" s="91" t="n"/>
      <c r="E36" s="92" t="n"/>
      <c r="F36" s="92" t="n"/>
      <c r="G36" s="91" t="n"/>
      <c r="H36" s="91" t="n"/>
      <c r="I36" s="91" t="n"/>
      <c r="J36" s="91" t="n"/>
      <c r="K36" s="91" t="n"/>
      <c r="L36" s="92" t="n"/>
      <c r="M36" s="91" t="n"/>
      <c r="N36" s="91" t="n"/>
      <c r="O36" s="91" t="n"/>
      <c r="P36" s="93" t="str">
        <f>IF(Z36=0,"",SUMIFS('ITENS_MTR'!$I$6:$I$1005,'ITENS_MTR'!$S$6:$S$1005,A36,'ITENS_MTR'!$Y$6:$Y$1005,1))</f>
        <v/>
      </c>
      <c r="Q36" s="93" t="str">
        <f>IF(Z36=0,"",SUMIFS('RECEBIMENTOS'!$H$6:$H$1005,'RECEBIMENTOS'!$B$6:$B$1005,A36,'RECEBIMENTOS'!$X$6:$X$1005,1))</f>
        <v/>
      </c>
      <c r="R36" s="93" t="str">
        <f>IF(Z36=0,"",SUMIFS('VÍNCULOS_CDF'!$H$6:$H$1005,'VÍNCULOS_CDF'!$D$6:$D$1005,A36,'VÍNCULOS_CDF'!$V$6:$V$1005,1))</f>
        <v/>
      </c>
      <c r="S36" s="94" t="str">
        <f>IF(Z36=0,"",IF(AA36=1,"Cancelado (informado)",IF(AE36=1,"Cadastro incompleto",IF(OR(AC36=1,AD36=1,AF36&gt;0,AH36&gt;0,AK36&gt;0,AL36&gt;0),"Informação a revisar",IF(AN36=0,"Aguardando recebimento",IF(N(R36)=0,"Aguardando CDF",IF(AJ36&lt;N(W36),"Vínculo de CDF parcial",IF(AO36=0,"CDF localizado, a conferir","Documentação conferida"))))))))</f>
        <v/>
      </c>
      <c r="T36" s="94" t="str">
        <f>IF(Z36=0,"",IF(S36="Cadastro incompleto","MTR INCOMPLETO",IF(S36="Informação a revisar",IF(AND(AH36&gt;0,AC36=0,AD36=0,AF36=0,AK36=0,AL36=0),"QUANTIDADE A REVISAR","IDENTIFICAÇÃO A REVISAR"),IF(S36="Aguardando recebimento","RECEBIMENTO NÃO CONFIRMADO",IF(S36="Aguardando CDF","CDF NÃO LOCALIZADO",IF(S36="Vínculo de CDF parcial","VÍNCULO INCOMPLETO",IF(S36="CDF localizado, a conferir","CDF A CONFERIR","")))))))</f>
        <v/>
      </c>
      <c r="U36" s="95" t="str">
        <f>IF(T36="","",IF(AQ36="","Não calculável",IF(AQ36&gt;TODAY(),"Data futura",TODAY()-AQ36)))</f>
        <v/>
      </c>
      <c r="V36" s="93" t="str">
        <f>IF(Z36=0,"",SUMIFS('RECEBIMENTOS'!$H$6:$H$1005,'RECEBIMENTOS'!$B$6:$B$1005,A36,'RECEBIMENTOS'!$Z$6:$Z$1005,1))</f>
        <v/>
      </c>
      <c r="W36" s="95" t="str">
        <f>IF(Z36=0,"",COUNTIFS('ITENS_MTR'!$S$6:$S$1005,A36,'ITENS_MTR'!$R$6:$R$1005,1))</f>
        <v/>
      </c>
      <c r="X36" s="94" t="str">
        <f>IF(AC36=1,"POSSÍVEL DUPLICIDADE","")</f>
        <v/>
      </c>
      <c r="Y36" s="94" t="str">
        <f>IF(Z36=0,"",IF(AW36="","Nenhuma",LEFT(AW36,LEN(AW36)-2)))</f>
        <v/>
      </c>
      <c r="Z36" s="96">
        <f>IF(COUNTA(B36:O36)&gt;0,1,0)</f>
        <v>0</v>
      </c>
      <c r="AA36" s="96">
        <f>IF(AND(Z36=1,K36&lt;&gt;""),IF(TRIM(K36)=TRIM(cfg_cancel),1,0),0)</f>
        <v>0</v>
      </c>
      <c r="AB36" s="96" t="str">
        <f>IF(AND(Z36=1,B36&lt;&gt;""),C36&amp;"|"&amp;D36&amp;"|"&amp;G36&amp;"|"&amp;TRIM(B36),"")</f>
        <v/>
      </c>
      <c r="AC36" s="96">
        <f>IF(AB36="",0,IF(SUMPRODUCT(--($AB$6:$AB$505=AB36))&gt;1,1,0))</f>
        <v>0</v>
      </c>
      <c r="AD36" s="96">
        <f>IF(Z36=0,0,IF(OR(AND(G36&lt;&gt;"",ISNA(MATCH(G36,'CAD_UNIDADES'!$C$6:$C$105,0))),AND(H36&lt;&gt;"",ISNA(MATCH(H36,cmp_transp,0))),AND(I36&lt;&gt;"",ISNA(MATCH(I36,cmp_dest,0))),AND(E36&lt;&gt;"",NOT(ISNUMBER(E36))),AND(F36&lt;&gt;"",NOT(ISNUMBER(F36))),AND(ISNUMBER(E36),ISNUMBER(F36),F36&lt;E36)),1,0))</f>
        <v>0</v>
      </c>
      <c r="AE36" s="96">
        <f>IF(Z36=0,0,IF(OR(B36="",C36="",E36="",G36="",H36="",I36="",N(W36)=0),1,0))</f>
        <v>0</v>
      </c>
      <c r="AF36" s="96">
        <f>IF(Z36=0,0,COUNTIFS('ITENS_MTR'!$S$6:$S$1005,A36,'ITENS_MTR'!$AI$6:$AI$1005,1))</f>
        <v>0</v>
      </c>
      <c r="AG36" s="96">
        <f>IF(Z36=0,0,COUNTIFS('ITENS_MTR'!$S$6:$S$1005,A36,'ITENS_MTR'!$AJ$6:$AJ$1005,1))</f>
        <v>0</v>
      </c>
      <c r="AH36" s="96">
        <f>IF(Z36=0,0,COUNTIFS('ITENS_MTR'!$S$6:$S$1005,A36,'ITENS_MTR'!$AM$6:$AM$1005,1))</f>
        <v>0</v>
      </c>
      <c r="AI36" s="96">
        <f>IF(Z36=0,0,COUNTIFS('ITENS_MTR'!$S$6:$S$1005,A36,'ITENS_MTR'!$AO$6:$AO$1005,1))</f>
        <v>0</v>
      </c>
      <c r="AJ36" s="96">
        <f>IF(Z36=0,0,COUNTIFS('ITENS_MTR'!$S$6:$S$1005,A36,'ITENS_MTR'!$AN$6:$AN$1005,1))</f>
        <v>0</v>
      </c>
      <c r="AK36" s="96">
        <f>IF(Z36=0,0,COUNTIFS('RECEBIMENTOS'!$B$6:$B$1005,A36,'RECEBIMENTOS'!$Y$6:$Y$1005,1))</f>
        <v>0</v>
      </c>
      <c r="AL36" s="96">
        <f>IF(Z36=0,0,COUNTIFS('VÍNCULOS_CDF'!$D$6:$D$1005,A36,'VÍNCULOS_CDF'!$Y$6:$Y$1005,1))</f>
        <v>0</v>
      </c>
      <c r="AM36" s="96">
        <f>IF(Z36=0,0,COUNTIFS('RECEBIMENTOS'!$B$6:$B$1005,A36,'RECEBIMENTOS'!$Q$6:$Q$1005,1))</f>
        <v>0</v>
      </c>
      <c r="AN36" s="96">
        <f>IF(AND(Z36=1,N(W36)&gt;0,AG36=N(W36)),1,0)</f>
        <v>0</v>
      </c>
      <c r="AO36" s="96">
        <f>IF(AND(Z36=1,N(W36)&gt;0,AI36=N(W36)),1,0)</f>
        <v>0</v>
      </c>
      <c r="AP36" s="97">
        <f>IF(Z36=0,0,_xlfn.MAXIFS('RECEBIMENTOS'!$E$6:$E$1005,'RECEBIMENTOS'!$B$6:$B$1005,A36))</f>
        <v>0</v>
      </c>
      <c r="AQ36" s="97" t="str">
        <f>IF(T36="","",IF(T36="RECEBIMENTO NÃO CONFIRMADO",IF(ISNUMBER(F36),F36,IF(ISNUMBER(E36),E36,"")),IF(OR(T36="CDF NÃO LOCALIZADO",T36="VÍNCULO INCOMPLETO",T36="CDF A CONFERIR"),IF(AP36&gt;0,AP36,IF(ISNUMBER(E36),E36,"")),IF(ISNUMBER(E36),E36,""))))</f>
        <v/>
      </c>
      <c r="AR36" s="96">
        <f>IF(NOT(ISNUMBER(U36)),0,IF(T36="RECEBIMENTO NÃO CONFIRMADO",IF(AND(ISNUMBER(cfg_rec),U36&gt;cfg_rec),1,0),IF(OR(T36="CDF NÃO LOCALIZADO",T36="VÍNCULO INCOMPLETO",T36="CDF A CONFERIR"),IF(AND(ISNUMBER(cfg_cdf),U36&gt;cfg_cdf),1,0),0)))</f>
        <v>0</v>
      </c>
      <c r="AS36" s="96" t="str">
        <f>IF(T36="","",IF(AR36=1,"Alta",IFERROR(INDEX(cfg_pp,MATCH(T36,cfg_pt,0))&amp;"","Média")))</f>
        <v/>
      </c>
      <c r="AT36" s="96" t="str">
        <f>IF(T36="","",IFERROR(INDEX(cfg_pv,MATCH(T36,cfg_pt,0))&amp;"",""))</f>
        <v/>
      </c>
      <c r="AU36" s="96" t="str">
        <f>IF(T36="","",IF(AS36="Alta",1,IF(AS36="Média",2,3))*1000000000+(999999-IF(ISNUMBER(U36),MIN(U36,999999),0))*1000+31)</f>
        <v/>
      </c>
      <c r="AV36" s="96">
        <f>IF(T36&lt;&gt;"",1,0)</f>
        <v>0</v>
      </c>
      <c r="AW36" s="96" t="str">
        <f>IF(Z36=0,"",IF(AA36=1,"Cancelamento informado; ","")&amp;IF(AE36=1,"Campos essenciais ou itens faltando; ","")&amp;IF(AC36=1,"Possível duplicidade do número; ","")&amp;IF(AD36=1,"Cadastro ou datas a revisar; ","")&amp;IF(AF36&gt;0,"Item de resíduo com dado a revisar; ","")&amp;IF(AH36&gt;0,"Diferença de quantidade a analisar; ","")&amp;IF(AK36&gt;0,"Recebimento com alerta; ","")&amp;IF(AL36&gt;0,"Vínculo de CDF com alerta; ","")&amp;IF(AND(AA36=0,AN36=0),"Recebimento não confirmado; ","")&amp;IF(AND(AA36=0,AN36=1,AO36=0),"CDF pendente ou a conferir; ",""))</f>
        <v/>
      </c>
      <c r="AX36" s="96">
        <f>IF(Z36=0,0,IF(AND(OR(f_ini="",AND(ISNUMBER(E36),E36&gt;=f_ini)),OR(f_fim="",AND(ISNUMBER(E36),E36&lt;=f_fim)),OR(f_un="",f_un="(Todas)",G36=f_un),OR(f_tr="",f_tr="(Todos)",H36=f_tr),OR(f_de="",f_de="(Todos)",I36=f_de),OR(f_sit="",f_sit="(Todas)",S36=f_sit)),1,0))</f>
        <v>0</v>
      </c>
      <c r="AY36" s="96">
        <f>IF(AX36=0,0,IF(OR(f_res="",f_res="(Todos)"),1,IF(COUNTIFS('ITENS_MTR'!$S$6:$S$1005,A36,'ITENS_MTR'!$C$6:$C$1005,f_res)&gt;0,1,0)))</f>
        <v>0</v>
      </c>
      <c r="AZ36" s="97" t="str">
        <f>IF(ISNUMBER(E36),DATE(YEAR(E36),MONTH(E36),1),"")</f>
        <v/>
      </c>
      <c r="BA36" s="96">
        <f>IF(Z36=0,0,IF(AND(OR(r_ini="",AND(ISNUMBER(E36),E36&gt;=r_ini)),OR(r_fim="",AND(ISNUMBER(E36),E36&lt;=r_fim)),OR(r_un="",r_un="(Todas)",G36=r_un),OR(r_de="",r_de="(Todos)",I36=r_de)),1,0))</f>
        <v>0</v>
      </c>
      <c r="BB36" s="96" t="str">
        <f>IF(BA36=1,COUNTIF($BA$6:BA36,1),"")</f>
        <v/>
      </c>
      <c r="BC36" s="96" t="str">
        <f>IF(AND(AU36&lt;&gt;"",OR(r_un="",r_un="(Todas)",G36=r_un),OR(r_de="",r_de="(Todos)",I36=r_de)),AU36,"")</f>
        <v/>
      </c>
      <c r="BD36" s="96" t="str">
        <f>IF(Z36=1,A36&amp;" | nº "&amp;IF(B36="","(sem número)",B36)&amp;" | "&amp;IF(G36="","(sem unidade)",G36),"")</f>
        <v/>
      </c>
      <c r="BE36" s="96" t="str">
        <f>IF(Z36=1,COUNTIF($Z$6:Z36,1),"")</f>
        <v/>
      </c>
      <c r="BF36" s="96" t="str">
        <f>IF(T36="","",IF(T36="RECEBIMENTO NÃO CONFIRMADO","Transp.: "&amp;H36&amp;" | Dest.: "&amp;I36,IF(OR(T36="CDF NÃO LOCALIZADO",T36="VÍNCULO INCOMPLETO",T36="CDF A CONFERIR"),"Dest.: "&amp;I36,"Gerador: "&amp;G36)))</f>
        <v/>
      </c>
    </row>
    <row r="37">
      <c r="A37" s="89" t="inlineStr">
        <is>
          <t>MTR-000032</t>
        </is>
      </c>
      <c r="B37" s="90" t="n"/>
      <c r="C37" s="91" t="n"/>
      <c r="D37" s="91" t="n"/>
      <c r="E37" s="92" t="n"/>
      <c r="F37" s="92" t="n"/>
      <c r="G37" s="91" t="n"/>
      <c r="H37" s="91" t="n"/>
      <c r="I37" s="91" t="n"/>
      <c r="J37" s="91" t="n"/>
      <c r="K37" s="91" t="n"/>
      <c r="L37" s="92" t="n"/>
      <c r="M37" s="91" t="n"/>
      <c r="N37" s="91" t="n"/>
      <c r="O37" s="91" t="n"/>
      <c r="P37" s="93" t="str">
        <f>IF(Z37=0,"",SUMIFS('ITENS_MTR'!$I$6:$I$1005,'ITENS_MTR'!$S$6:$S$1005,A37,'ITENS_MTR'!$Y$6:$Y$1005,1))</f>
        <v/>
      </c>
      <c r="Q37" s="93" t="str">
        <f>IF(Z37=0,"",SUMIFS('RECEBIMENTOS'!$H$6:$H$1005,'RECEBIMENTOS'!$B$6:$B$1005,A37,'RECEBIMENTOS'!$X$6:$X$1005,1))</f>
        <v/>
      </c>
      <c r="R37" s="93" t="str">
        <f>IF(Z37=0,"",SUMIFS('VÍNCULOS_CDF'!$H$6:$H$1005,'VÍNCULOS_CDF'!$D$6:$D$1005,A37,'VÍNCULOS_CDF'!$V$6:$V$1005,1))</f>
        <v/>
      </c>
      <c r="S37" s="94" t="str">
        <f>IF(Z37=0,"",IF(AA37=1,"Cancelado (informado)",IF(AE37=1,"Cadastro incompleto",IF(OR(AC37=1,AD37=1,AF37&gt;0,AH37&gt;0,AK37&gt;0,AL37&gt;0),"Informação a revisar",IF(AN37=0,"Aguardando recebimento",IF(N(R37)=0,"Aguardando CDF",IF(AJ37&lt;N(W37),"Vínculo de CDF parcial",IF(AO37=0,"CDF localizado, a conferir","Documentação conferida"))))))))</f>
        <v/>
      </c>
      <c r="T37" s="94" t="str">
        <f>IF(Z37=0,"",IF(S37="Cadastro incompleto","MTR INCOMPLETO",IF(S37="Informação a revisar",IF(AND(AH37&gt;0,AC37=0,AD37=0,AF37=0,AK37=0,AL37=0),"QUANTIDADE A REVISAR","IDENTIFICAÇÃO A REVISAR"),IF(S37="Aguardando recebimento","RECEBIMENTO NÃO CONFIRMADO",IF(S37="Aguardando CDF","CDF NÃO LOCALIZADO",IF(S37="Vínculo de CDF parcial","VÍNCULO INCOMPLETO",IF(S37="CDF localizado, a conferir","CDF A CONFERIR","")))))))</f>
        <v/>
      </c>
      <c r="U37" s="95" t="str">
        <f>IF(T37="","",IF(AQ37="","Não calculável",IF(AQ37&gt;TODAY(),"Data futura",TODAY()-AQ37)))</f>
        <v/>
      </c>
      <c r="V37" s="93" t="str">
        <f>IF(Z37=0,"",SUMIFS('RECEBIMENTOS'!$H$6:$H$1005,'RECEBIMENTOS'!$B$6:$B$1005,A37,'RECEBIMENTOS'!$Z$6:$Z$1005,1))</f>
        <v/>
      </c>
      <c r="W37" s="95" t="str">
        <f>IF(Z37=0,"",COUNTIFS('ITENS_MTR'!$S$6:$S$1005,A37,'ITENS_MTR'!$R$6:$R$1005,1))</f>
        <v/>
      </c>
      <c r="X37" s="94" t="str">
        <f>IF(AC37=1,"POSSÍVEL DUPLICIDADE","")</f>
        <v/>
      </c>
      <c r="Y37" s="94" t="str">
        <f>IF(Z37=0,"",IF(AW37="","Nenhuma",LEFT(AW37,LEN(AW37)-2)))</f>
        <v/>
      </c>
      <c r="Z37" s="96">
        <f>IF(COUNTA(B37:O37)&gt;0,1,0)</f>
        <v>0</v>
      </c>
      <c r="AA37" s="96">
        <f>IF(AND(Z37=1,K37&lt;&gt;""),IF(TRIM(K37)=TRIM(cfg_cancel),1,0),0)</f>
        <v>0</v>
      </c>
      <c r="AB37" s="96" t="str">
        <f>IF(AND(Z37=1,B37&lt;&gt;""),C37&amp;"|"&amp;D37&amp;"|"&amp;G37&amp;"|"&amp;TRIM(B37),"")</f>
        <v/>
      </c>
      <c r="AC37" s="96">
        <f>IF(AB37="",0,IF(SUMPRODUCT(--($AB$6:$AB$505=AB37))&gt;1,1,0))</f>
        <v>0</v>
      </c>
      <c r="AD37" s="96">
        <f>IF(Z37=0,0,IF(OR(AND(G37&lt;&gt;"",ISNA(MATCH(G37,'CAD_UNIDADES'!$C$6:$C$105,0))),AND(H37&lt;&gt;"",ISNA(MATCH(H37,cmp_transp,0))),AND(I37&lt;&gt;"",ISNA(MATCH(I37,cmp_dest,0))),AND(E37&lt;&gt;"",NOT(ISNUMBER(E37))),AND(F37&lt;&gt;"",NOT(ISNUMBER(F37))),AND(ISNUMBER(E37),ISNUMBER(F37),F37&lt;E37)),1,0))</f>
        <v>0</v>
      </c>
      <c r="AE37" s="96">
        <f>IF(Z37=0,0,IF(OR(B37="",C37="",E37="",G37="",H37="",I37="",N(W37)=0),1,0))</f>
        <v>0</v>
      </c>
      <c r="AF37" s="96">
        <f>IF(Z37=0,0,COUNTIFS('ITENS_MTR'!$S$6:$S$1005,A37,'ITENS_MTR'!$AI$6:$AI$1005,1))</f>
        <v>0</v>
      </c>
      <c r="AG37" s="96">
        <f>IF(Z37=0,0,COUNTIFS('ITENS_MTR'!$S$6:$S$1005,A37,'ITENS_MTR'!$AJ$6:$AJ$1005,1))</f>
        <v>0</v>
      </c>
      <c r="AH37" s="96">
        <f>IF(Z37=0,0,COUNTIFS('ITENS_MTR'!$S$6:$S$1005,A37,'ITENS_MTR'!$AM$6:$AM$1005,1))</f>
        <v>0</v>
      </c>
      <c r="AI37" s="96">
        <f>IF(Z37=0,0,COUNTIFS('ITENS_MTR'!$S$6:$S$1005,A37,'ITENS_MTR'!$AO$6:$AO$1005,1))</f>
        <v>0</v>
      </c>
      <c r="AJ37" s="96">
        <f>IF(Z37=0,0,COUNTIFS('ITENS_MTR'!$S$6:$S$1005,A37,'ITENS_MTR'!$AN$6:$AN$1005,1))</f>
        <v>0</v>
      </c>
      <c r="AK37" s="96">
        <f>IF(Z37=0,0,COUNTIFS('RECEBIMENTOS'!$B$6:$B$1005,A37,'RECEBIMENTOS'!$Y$6:$Y$1005,1))</f>
        <v>0</v>
      </c>
      <c r="AL37" s="96">
        <f>IF(Z37=0,0,COUNTIFS('VÍNCULOS_CDF'!$D$6:$D$1005,A37,'VÍNCULOS_CDF'!$Y$6:$Y$1005,1))</f>
        <v>0</v>
      </c>
      <c r="AM37" s="96">
        <f>IF(Z37=0,0,COUNTIFS('RECEBIMENTOS'!$B$6:$B$1005,A37,'RECEBIMENTOS'!$Q$6:$Q$1005,1))</f>
        <v>0</v>
      </c>
      <c r="AN37" s="96">
        <f>IF(AND(Z37=1,N(W37)&gt;0,AG37=N(W37)),1,0)</f>
        <v>0</v>
      </c>
      <c r="AO37" s="96">
        <f>IF(AND(Z37=1,N(W37)&gt;0,AI37=N(W37)),1,0)</f>
        <v>0</v>
      </c>
      <c r="AP37" s="97">
        <f>IF(Z37=0,0,_xlfn.MAXIFS('RECEBIMENTOS'!$E$6:$E$1005,'RECEBIMENTOS'!$B$6:$B$1005,A37))</f>
        <v>0</v>
      </c>
      <c r="AQ37" s="97" t="str">
        <f>IF(T37="","",IF(T37="RECEBIMENTO NÃO CONFIRMADO",IF(ISNUMBER(F37),F37,IF(ISNUMBER(E37),E37,"")),IF(OR(T37="CDF NÃO LOCALIZADO",T37="VÍNCULO INCOMPLETO",T37="CDF A CONFERIR"),IF(AP37&gt;0,AP37,IF(ISNUMBER(E37),E37,"")),IF(ISNUMBER(E37),E37,""))))</f>
        <v/>
      </c>
      <c r="AR37" s="96">
        <f>IF(NOT(ISNUMBER(U37)),0,IF(T37="RECEBIMENTO NÃO CONFIRMADO",IF(AND(ISNUMBER(cfg_rec),U37&gt;cfg_rec),1,0),IF(OR(T37="CDF NÃO LOCALIZADO",T37="VÍNCULO INCOMPLETO",T37="CDF A CONFERIR"),IF(AND(ISNUMBER(cfg_cdf),U37&gt;cfg_cdf),1,0),0)))</f>
        <v>0</v>
      </c>
      <c r="AS37" s="96" t="str">
        <f>IF(T37="","",IF(AR37=1,"Alta",IFERROR(INDEX(cfg_pp,MATCH(T37,cfg_pt,0))&amp;"","Média")))</f>
        <v/>
      </c>
      <c r="AT37" s="96" t="str">
        <f>IF(T37="","",IFERROR(INDEX(cfg_pv,MATCH(T37,cfg_pt,0))&amp;"",""))</f>
        <v/>
      </c>
      <c r="AU37" s="96" t="str">
        <f>IF(T37="","",IF(AS37="Alta",1,IF(AS37="Média",2,3))*1000000000+(999999-IF(ISNUMBER(U37),MIN(U37,999999),0))*1000+32)</f>
        <v/>
      </c>
      <c r="AV37" s="96">
        <f>IF(T37&lt;&gt;"",1,0)</f>
        <v>0</v>
      </c>
      <c r="AW37" s="96" t="str">
        <f>IF(Z37=0,"",IF(AA37=1,"Cancelamento informado; ","")&amp;IF(AE37=1,"Campos essenciais ou itens faltando; ","")&amp;IF(AC37=1,"Possível duplicidade do número; ","")&amp;IF(AD37=1,"Cadastro ou datas a revisar; ","")&amp;IF(AF37&gt;0,"Item de resíduo com dado a revisar; ","")&amp;IF(AH37&gt;0,"Diferença de quantidade a analisar; ","")&amp;IF(AK37&gt;0,"Recebimento com alerta; ","")&amp;IF(AL37&gt;0,"Vínculo de CDF com alerta; ","")&amp;IF(AND(AA37=0,AN37=0),"Recebimento não confirmado; ","")&amp;IF(AND(AA37=0,AN37=1,AO37=0),"CDF pendente ou a conferir; ",""))</f>
        <v/>
      </c>
      <c r="AX37" s="96">
        <f>IF(Z37=0,0,IF(AND(OR(f_ini="",AND(ISNUMBER(E37),E37&gt;=f_ini)),OR(f_fim="",AND(ISNUMBER(E37),E37&lt;=f_fim)),OR(f_un="",f_un="(Todas)",G37=f_un),OR(f_tr="",f_tr="(Todos)",H37=f_tr),OR(f_de="",f_de="(Todos)",I37=f_de),OR(f_sit="",f_sit="(Todas)",S37=f_sit)),1,0))</f>
        <v>0</v>
      </c>
      <c r="AY37" s="96">
        <f>IF(AX37=0,0,IF(OR(f_res="",f_res="(Todos)"),1,IF(COUNTIFS('ITENS_MTR'!$S$6:$S$1005,A37,'ITENS_MTR'!$C$6:$C$1005,f_res)&gt;0,1,0)))</f>
        <v>0</v>
      </c>
      <c r="AZ37" s="97" t="str">
        <f>IF(ISNUMBER(E37),DATE(YEAR(E37),MONTH(E37),1),"")</f>
        <v/>
      </c>
      <c r="BA37" s="96">
        <f>IF(Z37=0,0,IF(AND(OR(r_ini="",AND(ISNUMBER(E37),E37&gt;=r_ini)),OR(r_fim="",AND(ISNUMBER(E37),E37&lt;=r_fim)),OR(r_un="",r_un="(Todas)",G37=r_un),OR(r_de="",r_de="(Todos)",I37=r_de)),1,0))</f>
        <v>0</v>
      </c>
      <c r="BB37" s="96" t="str">
        <f>IF(BA37=1,COUNTIF($BA$6:BA37,1),"")</f>
        <v/>
      </c>
      <c r="BC37" s="96" t="str">
        <f>IF(AND(AU37&lt;&gt;"",OR(r_un="",r_un="(Todas)",G37=r_un),OR(r_de="",r_de="(Todos)",I37=r_de)),AU37,"")</f>
        <v/>
      </c>
      <c r="BD37" s="96" t="str">
        <f>IF(Z37=1,A37&amp;" | nº "&amp;IF(B37="","(sem número)",B37)&amp;" | "&amp;IF(G37="","(sem unidade)",G37),"")</f>
        <v/>
      </c>
      <c r="BE37" s="96" t="str">
        <f>IF(Z37=1,COUNTIF($Z$6:Z37,1),"")</f>
        <v/>
      </c>
      <c r="BF37" s="96" t="str">
        <f>IF(T37="","",IF(T37="RECEBIMENTO NÃO CONFIRMADO","Transp.: "&amp;H37&amp;" | Dest.: "&amp;I37,IF(OR(T37="CDF NÃO LOCALIZADO",T37="VÍNCULO INCOMPLETO",T37="CDF A CONFERIR"),"Dest.: "&amp;I37,"Gerador: "&amp;G37)))</f>
        <v/>
      </c>
    </row>
    <row r="38">
      <c r="A38" s="89" t="inlineStr">
        <is>
          <t>MTR-000033</t>
        </is>
      </c>
      <c r="B38" s="90" t="n"/>
      <c r="C38" s="91" t="n"/>
      <c r="D38" s="91" t="n"/>
      <c r="E38" s="92" t="n"/>
      <c r="F38" s="92" t="n"/>
      <c r="G38" s="91" t="n"/>
      <c r="H38" s="91" t="n"/>
      <c r="I38" s="91" t="n"/>
      <c r="J38" s="91" t="n"/>
      <c r="K38" s="91" t="n"/>
      <c r="L38" s="92" t="n"/>
      <c r="M38" s="91" t="n"/>
      <c r="N38" s="91" t="n"/>
      <c r="O38" s="91" t="n"/>
      <c r="P38" s="93" t="str">
        <f>IF(Z38=0,"",SUMIFS('ITENS_MTR'!$I$6:$I$1005,'ITENS_MTR'!$S$6:$S$1005,A38,'ITENS_MTR'!$Y$6:$Y$1005,1))</f>
        <v/>
      </c>
      <c r="Q38" s="93" t="str">
        <f>IF(Z38=0,"",SUMIFS('RECEBIMENTOS'!$H$6:$H$1005,'RECEBIMENTOS'!$B$6:$B$1005,A38,'RECEBIMENTOS'!$X$6:$X$1005,1))</f>
        <v/>
      </c>
      <c r="R38" s="93" t="str">
        <f>IF(Z38=0,"",SUMIFS('VÍNCULOS_CDF'!$H$6:$H$1005,'VÍNCULOS_CDF'!$D$6:$D$1005,A38,'VÍNCULOS_CDF'!$V$6:$V$1005,1))</f>
        <v/>
      </c>
      <c r="S38" s="94" t="str">
        <f>IF(Z38=0,"",IF(AA38=1,"Cancelado (informado)",IF(AE38=1,"Cadastro incompleto",IF(OR(AC38=1,AD38=1,AF38&gt;0,AH38&gt;0,AK38&gt;0,AL38&gt;0),"Informação a revisar",IF(AN38=0,"Aguardando recebimento",IF(N(R38)=0,"Aguardando CDF",IF(AJ38&lt;N(W38),"Vínculo de CDF parcial",IF(AO38=0,"CDF localizado, a conferir","Documentação conferida"))))))))</f>
        <v/>
      </c>
      <c r="T38" s="94" t="str">
        <f>IF(Z38=0,"",IF(S38="Cadastro incompleto","MTR INCOMPLETO",IF(S38="Informação a revisar",IF(AND(AH38&gt;0,AC38=0,AD38=0,AF38=0,AK38=0,AL38=0),"QUANTIDADE A REVISAR","IDENTIFICAÇÃO A REVISAR"),IF(S38="Aguardando recebimento","RECEBIMENTO NÃO CONFIRMADO",IF(S38="Aguardando CDF","CDF NÃO LOCALIZADO",IF(S38="Vínculo de CDF parcial","VÍNCULO INCOMPLETO",IF(S38="CDF localizado, a conferir","CDF A CONFERIR","")))))))</f>
        <v/>
      </c>
      <c r="U38" s="95" t="str">
        <f>IF(T38="","",IF(AQ38="","Não calculável",IF(AQ38&gt;TODAY(),"Data futura",TODAY()-AQ38)))</f>
        <v/>
      </c>
      <c r="V38" s="93" t="str">
        <f>IF(Z38=0,"",SUMIFS('RECEBIMENTOS'!$H$6:$H$1005,'RECEBIMENTOS'!$B$6:$B$1005,A38,'RECEBIMENTOS'!$Z$6:$Z$1005,1))</f>
        <v/>
      </c>
      <c r="W38" s="95" t="str">
        <f>IF(Z38=0,"",COUNTIFS('ITENS_MTR'!$S$6:$S$1005,A38,'ITENS_MTR'!$R$6:$R$1005,1))</f>
        <v/>
      </c>
      <c r="X38" s="94" t="str">
        <f>IF(AC38=1,"POSSÍVEL DUPLICIDADE","")</f>
        <v/>
      </c>
      <c r="Y38" s="94" t="str">
        <f>IF(Z38=0,"",IF(AW38="","Nenhuma",LEFT(AW38,LEN(AW38)-2)))</f>
        <v/>
      </c>
      <c r="Z38" s="96">
        <f>IF(COUNTA(B38:O38)&gt;0,1,0)</f>
        <v>0</v>
      </c>
      <c r="AA38" s="96">
        <f>IF(AND(Z38=1,K38&lt;&gt;""),IF(TRIM(K38)=TRIM(cfg_cancel),1,0),0)</f>
        <v>0</v>
      </c>
      <c r="AB38" s="96" t="str">
        <f>IF(AND(Z38=1,B38&lt;&gt;""),C38&amp;"|"&amp;D38&amp;"|"&amp;G38&amp;"|"&amp;TRIM(B38),"")</f>
        <v/>
      </c>
      <c r="AC38" s="96">
        <f>IF(AB38="",0,IF(SUMPRODUCT(--($AB$6:$AB$505=AB38))&gt;1,1,0))</f>
        <v>0</v>
      </c>
      <c r="AD38" s="96">
        <f>IF(Z38=0,0,IF(OR(AND(G38&lt;&gt;"",ISNA(MATCH(G38,'CAD_UNIDADES'!$C$6:$C$105,0))),AND(H38&lt;&gt;"",ISNA(MATCH(H38,cmp_transp,0))),AND(I38&lt;&gt;"",ISNA(MATCH(I38,cmp_dest,0))),AND(E38&lt;&gt;"",NOT(ISNUMBER(E38))),AND(F38&lt;&gt;"",NOT(ISNUMBER(F38))),AND(ISNUMBER(E38),ISNUMBER(F38),F38&lt;E38)),1,0))</f>
        <v>0</v>
      </c>
      <c r="AE38" s="96">
        <f>IF(Z38=0,0,IF(OR(B38="",C38="",E38="",G38="",H38="",I38="",N(W38)=0),1,0))</f>
        <v>0</v>
      </c>
      <c r="AF38" s="96">
        <f>IF(Z38=0,0,COUNTIFS('ITENS_MTR'!$S$6:$S$1005,A38,'ITENS_MTR'!$AI$6:$AI$1005,1))</f>
        <v>0</v>
      </c>
      <c r="AG38" s="96">
        <f>IF(Z38=0,0,COUNTIFS('ITENS_MTR'!$S$6:$S$1005,A38,'ITENS_MTR'!$AJ$6:$AJ$1005,1))</f>
        <v>0</v>
      </c>
      <c r="AH38" s="96">
        <f>IF(Z38=0,0,COUNTIFS('ITENS_MTR'!$S$6:$S$1005,A38,'ITENS_MTR'!$AM$6:$AM$1005,1))</f>
        <v>0</v>
      </c>
      <c r="AI38" s="96">
        <f>IF(Z38=0,0,COUNTIFS('ITENS_MTR'!$S$6:$S$1005,A38,'ITENS_MTR'!$AO$6:$AO$1005,1))</f>
        <v>0</v>
      </c>
      <c r="AJ38" s="96">
        <f>IF(Z38=0,0,COUNTIFS('ITENS_MTR'!$S$6:$S$1005,A38,'ITENS_MTR'!$AN$6:$AN$1005,1))</f>
        <v>0</v>
      </c>
      <c r="AK38" s="96">
        <f>IF(Z38=0,0,COUNTIFS('RECEBIMENTOS'!$B$6:$B$1005,A38,'RECEBIMENTOS'!$Y$6:$Y$1005,1))</f>
        <v>0</v>
      </c>
      <c r="AL38" s="96">
        <f>IF(Z38=0,0,COUNTIFS('VÍNCULOS_CDF'!$D$6:$D$1005,A38,'VÍNCULOS_CDF'!$Y$6:$Y$1005,1))</f>
        <v>0</v>
      </c>
      <c r="AM38" s="96">
        <f>IF(Z38=0,0,COUNTIFS('RECEBIMENTOS'!$B$6:$B$1005,A38,'RECEBIMENTOS'!$Q$6:$Q$1005,1))</f>
        <v>0</v>
      </c>
      <c r="AN38" s="96">
        <f>IF(AND(Z38=1,N(W38)&gt;0,AG38=N(W38)),1,0)</f>
        <v>0</v>
      </c>
      <c r="AO38" s="96">
        <f>IF(AND(Z38=1,N(W38)&gt;0,AI38=N(W38)),1,0)</f>
        <v>0</v>
      </c>
      <c r="AP38" s="97">
        <f>IF(Z38=0,0,_xlfn.MAXIFS('RECEBIMENTOS'!$E$6:$E$1005,'RECEBIMENTOS'!$B$6:$B$1005,A38))</f>
        <v>0</v>
      </c>
      <c r="AQ38" s="97" t="str">
        <f>IF(T38="","",IF(T38="RECEBIMENTO NÃO CONFIRMADO",IF(ISNUMBER(F38),F38,IF(ISNUMBER(E38),E38,"")),IF(OR(T38="CDF NÃO LOCALIZADO",T38="VÍNCULO INCOMPLETO",T38="CDF A CONFERIR"),IF(AP38&gt;0,AP38,IF(ISNUMBER(E38),E38,"")),IF(ISNUMBER(E38),E38,""))))</f>
        <v/>
      </c>
      <c r="AR38" s="96">
        <f>IF(NOT(ISNUMBER(U38)),0,IF(T38="RECEBIMENTO NÃO CONFIRMADO",IF(AND(ISNUMBER(cfg_rec),U38&gt;cfg_rec),1,0),IF(OR(T38="CDF NÃO LOCALIZADO",T38="VÍNCULO INCOMPLETO",T38="CDF A CONFERIR"),IF(AND(ISNUMBER(cfg_cdf),U38&gt;cfg_cdf),1,0),0)))</f>
        <v>0</v>
      </c>
      <c r="AS38" s="96" t="str">
        <f>IF(T38="","",IF(AR38=1,"Alta",IFERROR(INDEX(cfg_pp,MATCH(T38,cfg_pt,0))&amp;"","Média")))</f>
        <v/>
      </c>
      <c r="AT38" s="96" t="str">
        <f>IF(T38="","",IFERROR(INDEX(cfg_pv,MATCH(T38,cfg_pt,0))&amp;"",""))</f>
        <v/>
      </c>
      <c r="AU38" s="96" t="str">
        <f>IF(T38="","",IF(AS38="Alta",1,IF(AS38="Média",2,3))*1000000000+(999999-IF(ISNUMBER(U38),MIN(U38,999999),0))*1000+33)</f>
        <v/>
      </c>
      <c r="AV38" s="96">
        <f>IF(T38&lt;&gt;"",1,0)</f>
        <v>0</v>
      </c>
      <c r="AW38" s="96" t="str">
        <f>IF(Z38=0,"",IF(AA38=1,"Cancelamento informado; ","")&amp;IF(AE38=1,"Campos essenciais ou itens faltando; ","")&amp;IF(AC38=1,"Possível duplicidade do número; ","")&amp;IF(AD38=1,"Cadastro ou datas a revisar; ","")&amp;IF(AF38&gt;0,"Item de resíduo com dado a revisar; ","")&amp;IF(AH38&gt;0,"Diferença de quantidade a analisar; ","")&amp;IF(AK38&gt;0,"Recebimento com alerta; ","")&amp;IF(AL38&gt;0,"Vínculo de CDF com alerta; ","")&amp;IF(AND(AA38=0,AN38=0),"Recebimento não confirmado; ","")&amp;IF(AND(AA38=0,AN38=1,AO38=0),"CDF pendente ou a conferir; ",""))</f>
        <v/>
      </c>
      <c r="AX38" s="96">
        <f>IF(Z38=0,0,IF(AND(OR(f_ini="",AND(ISNUMBER(E38),E38&gt;=f_ini)),OR(f_fim="",AND(ISNUMBER(E38),E38&lt;=f_fim)),OR(f_un="",f_un="(Todas)",G38=f_un),OR(f_tr="",f_tr="(Todos)",H38=f_tr),OR(f_de="",f_de="(Todos)",I38=f_de),OR(f_sit="",f_sit="(Todas)",S38=f_sit)),1,0))</f>
        <v>0</v>
      </c>
      <c r="AY38" s="96">
        <f>IF(AX38=0,0,IF(OR(f_res="",f_res="(Todos)"),1,IF(COUNTIFS('ITENS_MTR'!$S$6:$S$1005,A38,'ITENS_MTR'!$C$6:$C$1005,f_res)&gt;0,1,0)))</f>
        <v>0</v>
      </c>
      <c r="AZ38" s="97" t="str">
        <f>IF(ISNUMBER(E38),DATE(YEAR(E38),MONTH(E38),1),"")</f>
        <v/>
      </c>
      <c r="BA38" s="96">
        <f>IF(Z38=0,0,IF(AND(OR(r_ini="",AND(ISNUMBER(E38),E38&gt;=r_ini)),OR(r_fim="",AND(ISNUMBER(E38),E38&lt;=r_fim)),OR(r_un="",r_un="(Todas)",G38=r_un),OR(r_de="",r_de="(Todos)",I38=r_de)),1,0))</f>
        <v>0</v>
      </c>
      <c r="BB38" s="96" t="str">
        <f>IF(BA38=1,COUNTIF($BA$6:BA38,1),"")</f>
        <v/>
      </c>
      <c r="BC38" s="96" t="str">
        <f>IF(AND(AU38&lt;&gt;"",OR(r_un="",r_un="(Todas)",G38=r_un),OR(r_de="",r_de="(Todos)",I38=r_de)),AU38,"")</f>
        <v/>
      </c>
      <c r="BD38" s="96" t="str">
        <f>IF(Z38=1,A38&amp;" | nº "&amp;IF(B38="","(sem número)",B38)&amp;" | "&amp;IF(G38="","(sem unidade)",G38),"")</f>
        <v/>
      </c>
      <c r="BE38" s="96" t="str">
        <f>IF(Z38=1,COUNTIF($Z$6:Z38,1),"")</f>
        <v/>
      </c>
      <c r="BF38" s="96" t="str">
        <f>IF(T38="","",IF(T38="RECEBIMENTO NÃO CONFIRMADO","Transp.: "&amp;H38&amp;" | Dest.: "&amp;I38,IF(OR(T38="CDF NÃO LOCALIZADO",T38="VÍNCULO INCOMPLETO",T38="CDF A CONFERIR"),"Dest.: "&amp;I38,"Gerador: "&amp;G38)))</f>
        <v/>
      </c>
    </row>
    <row r="39">
      <c r="A39" s="89" t="inlineStr">
        <is>
          <t>MTR-000034</t>
        </is>
      </c>
      <c r="B39" s="90" t="n"/>
      <c r="C39" s="91" t="n"/>
      <c r="D39" s="91" t="n"/>
      <c r="E39" s="92" t="n"/>
      <c r="F39" s="92" t="n"/>
      <c r="G39" s="91" t="n"/>
      <c r="H39" s="91" t="n"/>
      <c r="I39" s="91" t="n"/>
      <c r="J39" s="91" t="n"/>
      <c r="K39" s="91" t="n"/>
      <c r="L39" s="92" t="n"/>
      <c r="M39" s="91" t="n"/>
      <c r="N39" s="91" t="n"/>
      <c r="O39" s="91" t="n"/>
      <c r="P39" s="93" t="str">
        <f>IF(Z39=0,"",SUMIFS('ITENS_MTR'!$I$6:$I$1005,'ITENS_MTR'!$S$6:$S$1005,A39,'ITENS_MTR'!$Y$6:$Y$1005,1))</f>
        <v/>
      </c>
      <c r="Q39" s="93" t="str">
        <f>IF(Z39=0,"",SUMIFS('RECEBIMENTOS'!$H$6:$H$1005,'RECEBIMENTOS'!$B$6:$B$1005,A39,'RECEBIMENTOS'!$X$6:$X$1005,1))</f>
        <v/>
      </c>
      <c r="R39" s="93" t="str">
        <f>IF(Z39=0,"",SUMIFS('VÍNCULOS_CDF'!$H$6:$H$1005,'VÍNCULOS_CDF'!$D$6:$D$1005,A39,'VÍNCULOS_CDF'!$V$6:$V$1005,1))</f>
        <v/>
      </c>
      <c r="S39" s="94" t="str">
        <f>IF(Z39=0,"",IF(AA39=1,"Cancelado (informado)",IF(AE39=1,"Cadastro incompleto",IF(OR(AC39=1,AD39=1,AF39&gt;0,AH39&gt;0,AK39&gt;0,AL39&gt;0),"Informação a revisar",IF(AN39=0,"Aguardando recebimento",IF(N(R39)=0,"Aguardando CDF",IF(AJ39&lt;N(W39),"Vínculo de CDF parcial",IF(AO39=0,"CDF localizado, a conferir","Documentação conferida"))))))))</f>
        <v/>
      </c>
      <c r="T39" s="94" t="str">
        <f>IF(Z39=0,"",IF(S39="Cadastro incompleto","MTR INCOMPLETO",IF(S39="Informação a revisar",IF(AND(AH39&gt;0,AC39=0,AD39=0,AF39=0,AK39=0,AL39=0),"QUANTIDADE A REVISAR","IDENTIFICAÇÃO A REVISAR"),IF(S39="Aguardando recebimento","RECEBIMENTO NÃO CONFIRMADO",IF(S39="Aguardando CDF","CDF NÃO LOCALIZADO",IF(S39="Vínculo de CDF parcial","VÍNCULO INCOMPLETO",IF(S39="CDF localizado, a conferir","CDF A CONFERIR","")))))))</f>
        <v/>
      </c>
      <c r="U39" s="95" t="str">
        <f>IF(T39="","",IF(AQ39="","Não calculável",IF(AQ39&gt;TODAY(),"Data futura",TODAY()-AQ39)))</f>
        <v/>
      </c>
      <c r="V39" s="93" t="str">
        <f>IF(Z39=0,"",SUMIFS('RECEBIMENTOS'!$H$6:$H$1005,'RECEBIMENTOS'!$B$6:$B$1005,A39,'RECEBIMENTOS'!$Z$6:$Z$1005,1))</f>
        <v/>
      </c>
      <c r="W39" s="95" t="str">
        <f>IF(Z39=0,"",COUNTIFS('ITENS_MTR'!$S$6:$S$1005,A39,'ITENS_MTR'!$R$6:$R$1005,1))</f>
        <v/>
      </c>
      <c r="X39" s="94" t="str">
        <f>IF(AC39=1,"POSSÍVEL DUPLICIDADE","")</f>
        <v/>
      </c>
      <c r="Y39" s="94" t="str">
        <f>IF(Z39=0,"",IF(AW39="","Nenhuma",LEFT(AW39,LEN(AW39)-2)))</f>
        <v/>
      </c>
      <c r="Z39" s="96">
        <f>IF(COUNTA(B39:O39)&gt;0,1,0)</f>
        <v>0</v>
      </c>
      <c r="AA39" s="96">
        <f>IF(AND(Z39=1,K39&lt;&gt;""),IF(TRIM(K39)=TRIM(cfg_cancel),1,0),0)</f>
        <v>0</v>
      </c>
      <c r="AB39" s="96" t="str">
        <f>IF(AND(Z39=1,B39&lt;&gt;""),C39&amp;"|"&amp;D39&amp;"|"&amp;G39&amp;"|"&amp;TRIM(B39),"")</f>
        <v/>
      </c>
      <c r="AC39" s="96">
        <f>IF(AB39="",0,IF(SUMPRODUCT(--($AB$6:$AB$505=AB39))&gt;1,1,0))</f>
        <v>0</v>
      </c>
      <c r="AD39" s="96">
        <f>IF(Z39=0,0,IF(OR(AND(G39&lt;&gt;"",ISNA(MATCH(G39,'CAD_UNIDADES'!$C$6:$C$105,0))),AND(H39&lt;&gt;"",ISNA(MATCH(H39,cmp_transp,0))),AND(I39&lt;&gt;"",ISNA(MATCH(I39,cmp_dest,0))),AND(E39&lt;&gt;"",NOT(ISNUMBER(E39))),AND(F39&lt;&gt;"",NOT(ISNUMBER(F39))),AND(ISNUMBER(E39),ISNUMBER(F39),F39&lt;E39)),1,0))</f>
        <v>0</v>
      </c>
      <c r="AE39" s="96">
        <f>IF(Z39=0,0,IF(OR(B39="",C39="",E39="",G39="",H39="",I39="",N(W39)=0),1,0))</f>
        <v>0</v>
      </c>
      <c r="AF39" s="96">
        <f>IF(Z39=0,0,COUNTIFS('ITENS_MTR'!$S$6:$S$1005,A39,'ITENS_MTR'!$AI$6:$AI$1005,1))</f>
        <v>0</v>
      </c>
      <c r="AG39" s="96">
        <f>IF(Z39=0,0,COUNTIFS('ITENS_MTR'!$S$6:$S$1005,A39,'ITENS_MTR'!$AJ$6:$AJ$1005,1))</f>
        <v>0</v>
      </c>
      <c r="AH39" s="96">
        <f>IF(Z39=0,0,COUNTIFS('ITENS_MTR'!$S$6:$S$1005,A39,'ITENS_MTR'!$AM$6:$AM$1005,1))</f>
        <v>0</v>
      </c>
      <c r="AI39" s="96">
        <f>IF(Z39=0,0,COUNTIFS('ITENS_MTR'!$S$6:$S$1005,A39,'ITENS_MTR'!$AO$6:$AO$1005,1))</f>
        <v>0</v>
      </c>
      <c r="AJ39" s="96">
        <f>IF(Z39=0,0,COUNTIFS('ITENS_MTR'!$S$6:$S$1005,A39,'ITENS_MTR'!$AN$6:$AN$1005,1))</f>
        <v>0</v>
      </c>
      <c r="AK39" s="96">
        <f>IF(Z39=0,0,COUNTIFS('RECEBIMENTOS'!$B$6:$B$1005,A39,'RECEBIMENTOS'!$Y$6:$Y$1005,1))</f>
        <v>0</v>
      </c>
      <c r="AL39" s="96">
        <f>IF(Z39=0,0,COUNTIFS('VÍNCULOS_CDF'!$D$6:$D$1005,A39,'VÍNCULOS_CDF'!$Y$6:$Y$1005,1))</f>
        <v>0</v>
      </c>
      <c r="AM39" s="96">
        <f>IF(Z39=0,0,COUNTIFS('RECEBIMENTOS'!$B$6:$B$1005,A39,'RECEBIMENTOS'!$Q$6:$Q$1005,1))</f>
        <v>0</v>
      </c>
      <c r="AN39" s="96">
        <f>IF(AND(Z39=1,N(W39)&gt;0,AG39=N(W39)),1,0)</f>
        <v>0</v>
      </c>
      <c r="AO39" s="96">
        <f>IF(AND(Z39=1,N(W39)&gt;0,AI39=N(W39)),1,0)</f>
        <v>0</v>
      </c>
      <c r="AP39" s="97">
        <f>IF(Z39=0,0,_xlfn.MAXIFS('RECEBIMENTOS'!$E$6:$E$1005,'RECEBIMENTOS'!$B$6:$B$1005,A39))</f>
        <v>0</v>
      </c>
      <c r="AQ39" s="97" t="str">
        <f>IF(T39="","",IF(T39="RECEBIMENTO NÃO CONFIRMADO",IF(ISNUMBER(F39),F39,IF(ISNUMBER(E39),E39,"")),IF(OR(T39="CDF NÃO LOCALIZADO",T39="VÍNCULO INCOMPLETO",T39="CDF A CONFERIR"),IF(AP39&gt;0,AP39,IF(ISNUMBER(E39),E39,"")),IF(ISNUMBER(E39),E39,""))))</f>
        <v/>
      </c>
      <c r="AR39" s="96">
        <f>IF(NOT(ISNUMBER(U39)),0,IF(T39="RECEBIMENTO NÃO CONFIRMADO",IF(AND(ISNUMBER(cfg_rec),U39&gt;cfg_rec),1,0),IF(OR(T39="CDF NÃO LOCALIZADO",T39="VÍNCULO INCOMPLETO",T39="CDF A CONFERIR"),IF(AND(ISNUMBER(cfg_cdf),U39&gt;cfg_cdf),1,0),0)))</f>
        <v>0</v>
      </c>
      <c r="AS39" s="96" t="str">
        <f>IF(T39="","",IF(AR39=1,"Alta",IFERROR(INDEX(cfg_pp,MATCH(T39,cfg_pt,0))&amp;"","Média")))</f>
        <v/>
      </c>
      <c r="AT39" s="96" t="str">
        <f>IF(T39="","",IFERROR(INDEX(cfg_pv,MATCH(T39,cfg_pt,0))&amp;"",""))</f>
        <v/>
      </c>
      <c r="AU39" s="96" t="str">
        <f>IF(T39="","",IF(AS39="Alta",1,IF(AS39="Média",2,3))*1000000000+(999999-IF(ISNUMBER(U39),MIN(U39,999999),0))*1000+34)</f>
        <v/>
      </c>
      <c r="AV39" s="96">
        <f>IF(T39&lt;&gt;"",1,0)</f>
        <v>0</v>
      </c>
      <c r="AW39" s="96" t="str">
        <f>IF(Z39=0,"",IF(AA39=1,"Cancelamento informado; ","")&amp;IF(AE39=1,"Campos essenciais ou itens faltando; ","")&amp;IF(AC39=1,"Possível duplicidade do número; ","")&amp;IF(AD39=1,"Cadastro ou datas a revisar; ","")&amp;IF(AF39&gt;0,"Item de resíduo com dado a revisar; ","")&amp;IF(AH39&gt;0,"Diferença de quantidade a analisar; ","")&amp;IF(AK39&gt;0,"Recebimento com alerta; ","")&amp;IF(AL39&gt;0,"Vínculo de CDF com alerta; ","")&amp;IF(AND(AA39=0,AN39=0),"Recebimento não confirmado; ","")&amp;IF(AND(AA39=0,AN39=1,AO39=0),"CDF pendente ou a conferir; ",""))</f>
        <v/>
      </c>
      <c r="AX39" s="96">
        <f>IF(Z39=0,0,IF(AND(OR(f_ini="",AND(ISNUMBER(E39),E39&gt;=f_ini)),OR(f_fim="",AND(ISNUMBER(E39),E39&lt;=f_fim)),OR(f_un="",f_un="(Todas)",G39=f_un),OR(f_tr="",f_tr="(Todos)",H39=f_tr),OR(f_de="",f_de="(Todos)",I39=f_de),OR(f_sit="",f_sit="(Todas)",S39=f_sit)),1,0))</f>
        <v>0</v>
      </c>
      <c r="AY39" s="96">
        <f>IF(AX39=0,0,IF(OR(f_res="",f_res="(Todos)"),1,IF(COUNTIFS('ITENS_MTR'!$S$6:$S$1005,A39,'ITENS_MTR'!$C$6:$C$1005,f_res)&gt;0,1,0)))</f>
        <v>0</v>
      </c>
      <c r="AZ39" s="97" t="str">
        <f>IF(ISNUMBER(E39),DATE(YEAR(E39),MONTH(E39),1),"")</f>
        <v/>
      </c>
      <c r="BA39" s="96">
        <f>IF(Z39=0,0,IF(AND(OR(r_ini="",AND(ISNUMBER(E39),E39&gt;=r_ini)),OR(r_fim="",AND(ISNUMBER(E39),E39&lt;=r_fim)),OR(r_un="",r_un="(Todas)",G39=r_un),OR(r_de="",r_de="(Todos)",I39=r_de)),1,0))</f>
        <v>0</v>
      </c>
      <c r="BB39" s="96" t="str">
        <f>IF(BA39=1,COUNTIF($BA$6:BA39,1),"")</f>
        <v/>
      </c>
      <c r="BC39" s="96" t="str">
        <f>IF(AND(AU39&lt;&gt;"",OR(r_un="",r_un="(Todas)",G39=r_un),OR(r_de="",r_de="(Todos)",I39=r_de)),AU39,"")</f>
        <v/>
      </c>
      <c r="BD39" s="96" t="str">
        <f>IF(Z39=1,A39&amp;" | nº "&amp;IF(B39="","(sem número)",B39)&amp;" | "&amp;IF(G39="","(sem unidade)",G39),"")</f>
        <v/>
      </c>
      <c r="BE39" s="96" t="str">
        <f>IF(Z39=1,COUNTIF($Z$6:Z39,1),"")</f>
        <v/>
      </c>
      <c r="BF39" s="96" t="str">
        <f>IF(T39="","",IF(T39="RECEBIMENTO NÃO CONFIRMADO","Transp.: "&amp;H39&amp;" | Dest.: "&amp;I39,IF(OR(T39="CDF NÃO LOCALIZADO",T39="VÍNCULO INCOMPLETO",T39="CDF A CONFERIR"),"Dest.: "&amp;I39,"Gerador: "&amp;G39)))</f>
        <v/>
      </c>
    </row>
    <row r="40">
      <c r="A40" s="89" t="inlineStr">
        <is>
          <t>MTR-000035</t>
        </is>
      </c>
      <c r="B40" s="90" t="n"/>
      <c r="C40" s="91" t="n"/>
      <c r="D40" s="91" t="n"/>
      <c r="E40" s="92" t="n"/>
      <c r="F40" s="92" t="n"/>
      <c r="G40" s="91" t="n"/>
      <c r="H40" s="91" t="n"/>
      <c r="I40" s="91" t="n"/>
      <c r="J40" s="91" t="n"/>
      <c r="K40" s="91" t="n"/>
      <c r="L40" s="92" t="n"/>
      <c r="M40" s="91" t="n"/>
      <c r="N40" s="91" t="n"/>
      <c r="O40" s="91" t="n"/>
      <c r="P40" s="93" t="str">
        <f>IF(Z40=0,"",SUMIFS('ITENS_MTR'!$I$6:$I$1005,'ITENS_MTR'!$S$6:$S$1005,A40,'ITENS_MTR'!$Y$6:$Y$1005,1))</f>
        <v/>
      </c>
      <c r="Q40" s="93" t="str">
        <f>IF(Z40=0,"",SUMIFS('RECEBIMENTOS'!$H$6:$H$1005,'RECEBIMENTOS'!$B$6:$B$1005,A40,'RECEBIMENTOS'!$X$6:$X$1005,1))</f>
        <v/>
      </c>
      <c r="R40" s="93" t="str">
        <f>IF(Z40=0,"",SUMIFS('VÍNCULOS_CDF'!$H$6:$H$1005,'VÍNCULOS_CDF'!$D$6:$D$1005,A40,'VÍNCULOS_CDF'!$V$6:$V$1005,1))</f>
        <v/>
      </c>
      <c r="S40" s="94" t="str">
        <f>IF(Z40=0,"",IF(AA40=1,"Cancelado (informado)",IF(AE40=1,"Cadastro incompleto",IF(OR(AC40=1,AD40=1,AF40&gt;0,AH40&gt;0,AK40&gt;0,AL40&gt;0),"Informação a revisar",IF(AN40=0,"Aguardando recebimento",IF(N(R40)=0,"Aguardando CDF",IF(AJ40&lt;N(W40),"Vínculo de CDF parcial",IF(AO40=0,"CDF localizado, a conferir","Documentação conferida"))))))))</f>
        <v/>
      </c>
      <c r="T40" s="94" t="str">
        <f>IF(Z40=0,"",IF(S40="Cadastro incompleto","MTR INCOMPLETO",IF(S40="Informação a revisar",IF(AND(AH40&gt;0,AC40=0,AD40=0,AF40=0,AK40=0,AL40=0),"QUANTIDADE A REVISAR","IDENTIFICAÇÃO A REVISAR"),IF(S40="Aguardando recebimento","RECEBIMENTO NÃO CONFIRMADO",IF(S40="Aguardando CDF","CDF NÃO LOCALIZADO",IF(S40="Vínculo de CDF parcial","VÍNCULO INCOMPLETO",IF(S40="CDF localizado, a conferir","CDF A CONFERIR","")))))))</f>
        <v/>
      </c>
      <c r="U40" s="95" t="str">
        <f>IF(T40="","",IF(AQ40="","Não calculável",IF(AQ40&gt;TODAY(),"Data futura",TODAY()-AQ40)))</f>
        <v/>
      </c>
      <c r="V40" s="93" t="str">
        <f>IF(Z40=0,"",SUMIFS('RECEBIMENTOS'!$H$6:$H$1005,'RECEBIMENTOS'!$B$6:$B$1005,A40,'RECEBIMENTOS'!$Z$6:$Z$1005,1))</f>
        <v/>
      </c>
      <c r="W40" s="95" t="str">
        <f>IF(Z40=0,"",COUNTIFS('ITENS_MTR'!$S$6:$S$1005,A40,'ITENS_MTR'!$R$6:$R$1005,1))</f>
        <v/>
      </c>
      <c r="X40" s="94" t="str">
        <f>IF(AC40=1,"POSSÍVEL DUPLICIDADE","")</f>
        <v/>
      </c>
      <c r="Y40" s="94" t="str">
        <f>IF(Z40=0,"",IF(AW40="","Nenhuma",LEFT(AW40,LEN(AW40)-2)))</f>
        <v/>
      </c>
      <c r="Z40" s="96">
        <f>IF(COUNTA(B40:O40)&gt;0,1,0)</f>
        <v>0</v>
      </c>
      <c r="AA40" s="96">
        <f>IF(AND(Z40=1,K40&lt;&gt;""),IF(TRIM(K40)=TRIM(cfg_cancel),1,0),0)</f>
        <v>0</v>
      </c>
      <c r="AB40" s="96" t="str">
        <f>IF(AND(Z40=1,B40&lt;&gt;""),C40&amp;"|"&amp;D40&amp;"|"&amp;G40&amp;"|"&amp;TRIM(B40),"")</f>
        <v/>
      </c>
      <c r="AC40" s="96">
        <f>IF(AB40="",0,IF(SUMPRODUCT(--($AB$6:$AB$505=AB40))&gt;1,1,0))</f>
        <v>0</v>
      </c>
      <c r="AD40" s="96">
        <f>IF(Z40=0,0,IF(OR(AND(G40&lt;&gt;"",ISNA(MATCH(G40,'CAD_UNIDADES'!$C$6:$C$105,0))),AND(H40&lt;&gt;"",ISNA(MATCH(H40,cmp_transp,0))),AND(I40&lt;&gt;"",ISNA(MATCH(I40,cmp_dest,0))),AND(E40&lt;&gt;"",NOT(ISNUMBER(E40))),AND(F40&lt;&gt;"",NOT(ISNUMBER(F40))),AND(ISNUMBER(E40),ISNUMBER(F40),F40&lt;E40)),1,0))</f>
        <v>0</v>
      </c>
      <c r="AE40" s="96">
        <f>IF(Z40=0,0,IF(OR(B40="",C40="",E40="",G40="",H40="",I40="",N(W40)=0),1,0))</f>
        <v>0</v>
      </c>
      <c r="AF40" s="96">
        <f>IF(Z40=0,0,COUNTIFS('ITENS_MTR'!$S$6:$S$1005,A40,'ITENS_MTR'!$AI$6:$AI$1005,1))</f>
        <v>0</v>
      </c>
      <c r="AG40" s="96">
        <f>IF(Z40=0,0,COUNTIFS('ITENS_MTR'!$S$6:$S$1005,A40,'ITENS_MTR'!$AJ$6:$AJ$1005,1))</f>
        <v>0</v>
      </c>
      <c r="AH40" s="96">
        <f>IF(Z40=0,0,COUNTIFS('ITENS_MTR'!$S$6:$S$1005,A40,'ITENS_MTR'!$AM$6:$AM$1005,1))</f>
        <v>0</v>
      </c>
      <c r="AI40" s="96">
        <f>IF(Z40=0,0,COUNTIFS('ITENS_MTR'!$S$6:$S$1005,A40,'ITENS_MTR'!$AO$6:$AO$1005,1))</f>
        <v>0</v>
      </c>
      <c r="AJ40" s="96">
        <f>IF(Z40=0,0,COUNTIFS('ITENS_MTR'!$S$6:$S$1005,A40,'ITENS_MTR'!$AN$6:$AN$1005,1))</f>
        <v>0</v>
      </c>
      <c r="AK40" s="96">
        <f>IF(Z40=0,0,COUNTIFS('RECEBIMENTOS'!$B$6:$B$1005,A40,'RECEBIMENTOS'!$Y$6:$Y$1005,1))</f>
        <v>0</v>
      </c>
      <c r="AL40" s="96">
        <f>IF(Z40=0,0,COUNTIFS('VÍNCULOS_CDF'!$D$6:$D$1005,A40,'VÍNCULOS_CDF'!$Y$6:$Y$1005,1))</f>
        <v>0</v>
      </c>
      <c r="AM40" s="96">
        <f>IF(Z40=0,0,COUNTIFS('RECEBIMENTOS'!$B$6:$B$1005,A40,'RECEBIMENTOS'!$Q$6:$Q$1005,1))</f>
        <v>0</v>
      </c>
      <c r="AN40" s="96">
        <f>IF(AND(Z40=1,N(W40)&gt;0,AG40=N(W40)),1,0)</f>
        <v>0</v>
      </c>
      <c r="AO40" s="96">
        <f>IF(AND(Z40=1,N(W40)&gt;0,AI40=N(W40)),1,0)</f>
        <v>0</v>
      </c>
      <c r="AP40" s="97">
        <f>IF(Z40=0,0,_xlfn.MAXIFS('RECEBIMENTOS'!$E$6:$E$1005,'RECEBIMENTOS'!$B$6:$B$1005,A40))</f>
        <v>0</v>
      </c>
      <c r="AQ40" s="97" t="str">
        <f>IF(T40="","",IF(T40="RECEBIMENTO NÃO CONFIRMADO",IF(ISNUMBER(F40),F40,IF(ISNUMBER(E40),E40,"")),IF(OR(T40="CDF NÃO LOCALIZADO",T40="VÍNCULO INCOMPLETO",T40="CDF A CONFERIR"),IF(AP40&gt;0,AP40,IF(ISNUMBER(E40),E40,"")),IF(ISNUMBER(E40),E40,""))))</f>
        <v/>
      </c>
      <c r="AR40" s="96">
        <f>IF(NOT(ISNUMBER(U40)),0,IF(T40="RECEBIMENTO NÃO CONFIRMADO",IF(AND(ISNUMBER(cfg_rec),U40&gt;cfg_rec),1,0),IF(OR(T40="CDF NÃO LOCALIZADO",T40="VÍNCULO INCOMPLETO",T40="CDF A CONFERIR"),IF(AND(ISNUMBER(cfg_cdf),U40&gt;cfg_cdf),1,0),0)))</f>
        <v>0</v>
      </c>
      <c r="AS40" s="96" t="str">
        <f>IF(T40="","",IF(AR40=1,"Alta",IFERROR(INDEX(cfg_pp,MATCH(T40,cfg_pt,0))&amp;"","Média")))</f>
        <v/>
      </c>
      <c r="AT40" s="96" t="str">
        <f>IF(T40="","",IFERROR(INDEX(cfg_pv,MATCH(T40,cfg_pt,0))&amp;"",""))</f>
        <v/>
      </c>
      <c r="AU40" s="96" t="str">
        <f>IF(T40="","",IF(AS40="Alta",1,IF(AS40="Média",2,3))*1000000000+(999999-IF(ISNUMBER(U40),MIN(U40,999999),0))*1000+35)</f>
        <v/>
      </c>
      <c r="AV40" s="96">
        <f>IF(T40&lt;&gt;"",1,0)</f>
        <v>0</v>
      </c>
      <c r="AW40" s="96" t="str">
        <f>IF(Z40=0,"",IF(AA40=1,"Cancelamento informado; ","")&amp;IF(AE40=1,"Campos essenciais ou itens faltando; ","")&amp;IF(AC40=1,"Possível duplicidade do número; ","")&amp;IF(AD40=1,"Cadastro ou datas a revisar; ","")&amp;IF(AF40&gt;0,"Item de resíduo com dado a revisar; ","")&amp;IF(AH40&gt;0,"Diferença de quantidade a analisar; ","")&amp;IF(AK40&gt;0,"Recebimento com alerta; ","")&amp;IF(AL40&gt;0,"Vínculo de CDF com alerta; ","")&amp;IF(AND(AA40=0,AN40=0),"Recebimento não confirmado; ","")&amp;IF(AND(AA40=0,AN40=1,AO40=0),"CDF pendente ou a conferir; ",""))</f>
        <v/>
      </c>
      <c r="AX40" s="96">
        <f>IF(Z40=0,0,IF(AND(OR(f_ini="",AND(ISNUMBER(E40),E40&gt;=f_ini)),OR(f_fim="",AND(ISNUMBER(E40),E40&lt;=f_fim)),OR(f_un="",f_un="(Todas)",G40=f_un),OR(f_tr="",f_tr="(Todos)",H40=f_tr),OR(f_de="",f_de="(Todos)",I40=f_de),OR(f_sit="",f_sit="(Todas)",S40=f_sit)),1,0))</f>
        <v>0</v>
      </c>
      <c r="AY40" s="96">
        <f>IF(AX40=0,0,IF(OR(f_res="",f_res="(Todos)"),1,IF(COUNTIFS('ITENS_MTR'!$S$6:$S$1005,A40,'ITENS_MTR'!$C$6:$C$1005,f_res)&gt;0,1,0)))</f>
        <v>0</v>
      </c>
      <c r="AZ40" s="97" t="str">
        <f>IF(ISNUMBER(E40),DATE(YEAR(E40),MONTH(E40),1),"")</f>
        <v/>
      </c>
      <c r="BA40" s="96">
        <f>IF(Z40=0,0,IF(AND(OR(r_ini="",AND(ISNUMBER(E40),E40&gt;=r_ini)),OR(r_fim="",AND(ISNUMBER(E40),E40&lt;=r_fim)),OR(r_un="",r_un="(Todas)",G40=r_un),OR(r_de="",r_de="(Todos)",I40=r_de)),1,0))</f>
        <v>0</v>
      </c>
      <c r="BB40" s="96" t="str">
        <f>IF(BA40=1,COUNTIF($BA$6:BA40,1),"")</f>
        <v/>
      </c>
      <c r="BC40" s="96" t="str">
        <f>IF(AND(AU40&lt;&gt;"",OR(r_un="",r_un="(Todas)",G40=r_un),OR(r_de="",r_de="(Todos)",I40=r_de)),AU40,"")</f>
        <v/>
      </c>
      <c r="BD40" s="96" t="str">
        <f>IF(Z40=1,A40&amp;" | nº "&amp;IF(B40="","(sem número)",B40)&amp;" | "&amp;IF(G40="","(sem unidade)",G40),"")</f>
        <v/>
      </c>
      <c r="BE40" s="96" t="str">
        <f>IF(Z40=1,COUNTIF($Z$6:Z40,1),"")</f>
        <v/>
      </c>
      <c r="BF40" s="96" t="str">
        <f>IF(T40="","",IF(T40="RECEBIMENTO NÃO CONFIRMADO","Transp.: "&amp;H40&amp;" | Dest.: "&amp;I40,IF(OR(T40="CDF NÃO LOCALIZADO",T40="VÍNCULO INCOMPLETO",T40="CDF A CONFERIR"),"Dest.: "&amp;I40,"Gerador: "&amp;G40)))</f>
        <v/>
      </c>
    </row>
    <row r="41">
      <c r="A41" s="89" t="inlineStr">
        <is>
          <t>MTR-000036</t>
        </is>
      </c>
      <c r="B41" s="90" t="n"/>
      <c r="C41" s="91" t="n"/>
      <c r="D41" s="91" t="n"/>
      <c r="E41" s="92" t="n"/>
      <c r="F41" s="92" t="n"/>
      <c r="G41" s="91" t="n"/>
      <c r="H41" s="91" t="n"/>
      <c r="I41" s="91" t="n"/>
      <c r="J41" s="91" t="n"/>
      <c r="K41" s="91" t="n"/>
      <c r="L41" s="92" t="n"/>
      <c r="M41" s="91" t="n"/>
      <c r="N41" s="91" t="n"/>
      <c r="O41" s="91" t="n"/>
      <c r="P41" s="93" t="str">
        <f>IF(Z41=0,"",SUMIFS('ITENS_MTR'!$I$6:$I$1005,'ITENS_MTR'!$S$6:$S$1005,A41,'ITENS_MTR'!$Y$6:$Y$1005,1))</f>
        <v/>
      </c>
      <c r="Q41" s="93" t="str">
        <f>IF(Z41=0,"",SUMIFS('RECEBIMENTOS'!$H$6:$H$1005,'RECEBIMENTOS'!$B$6:$B$1005,A41,'RECEBIMENTOS'!$X$6:$X$1005,1))</f>
        <v/>
      </c>
      <c r="R41" s="93" t="str">
        <f>IF(Z41=0,"",SUMIFS('VÍNCULOS_CDF'!$H$6:$H$1005,'VÍNCULOS_CDF'!$D$6:$D$1005,A41,'VÍNCULOS_CDF'!$V$6:$V$1005,1))</f>
        <v/>
      </c>
      <c r="S41" s="94" t="str">
        <f>IF(Z41=0,"",IF(AA41=1,"Cancelado (informado)",IF(AE41=1,"Cadastro incompleto",IF(OR(AC41=1,AD41=1,AF41&gt;0,AH41&gt;0,AK41&gt;0,AL41&gt;0),"Informação a revisar",IF(AN41=0,"Aguardando recebimento",IF(N(R41)=0,"Aguardando CDF",IF(AJ41&lt;N(W41),"Vínculo de CDF parcial",IF(AO41=0,"CDF localizado, a conferir","Documentação conferida"))))))))</f>
        <v/>
      </c>
      <c r="T41" s="94" t="str">
        <f>IF(Z41=0,"",IF(S41="Cadastro incompleto","MTR INCOMPLETO",IF(S41="Informação a revisar",IF(AND(AH41&gt;0,AC41=0,AD41=0,AF41=0,AK41=0,AL41=0),"QUANTIDADE A REVISAR","IDENTIFICAÇÃO A REVISAR"),IF(S41="Aguardando recebimento","RECEBIMENTO NÃO CONFIRMADO",IF(S41="Aguardando CDF","CDF NÃO LOCALIZADO",IF(S41="Vínculo de CDF parcial","VÍNCULO INCOMPLETO",IF(S41="CDF localizado, a conferir","CDF A CONFERIR","")))))))</f>
        <v/>
      </c>
      <c r="U41" s="95" t="str">
        <f>IF(T41="","",IF(AQ41="","Não calculável",IF(AQ41&gt;TODAY(),"Data futura",TODAY()-AQ41)))</f>
        <v/>
      </c>
      <c r="V41" s="93" t="str">
        <f>IF(Z41=0,"",SUMIFS('RECEBIMENTOS'!$H$6:$H$1005,'RECEBIMENTOS'!$B$6:$B$1005,A41,'RECEBIMENTOS'!$Z$6:$Z$1005,1))</f>
        <v/>
      </c>
      <c r="W41" s="95" t="str">
        <f>IF(Z41=0,"",COUNTIFS('ITENS_MTR'!$S$6:$S$1005,A41,'ITENS_MTR'!$R$6:$R$1005,1))</f>
        <v/>
      </c>
      <c r="X41" s="94" t="str">
        <f>IF(AC41=1,"POSSÍVEL DUPLICIDADE","")</f>
        <v/>
      </c>
      <c r="Y41" s="94" t="str">
        <f>IF(Z41=0,"",IF(AW41="","Nenhuma",LEFT(AW41,LEN(AW41)-2)))</f>
        <v/>
      </c>
      <c r="Z41" s="96">
        <f>IF(COUNTA(B41:O41)&gt;0,1,0)</f>
        <v>0</v>
      </c>
      <c r="AA41" s="96">
        <f>IF(AND(Z41=1,K41&lt;&gt;""),IF(TRIM(K41)=TRIM(cfg_cancel),1,0),0)</f>
        <v>0</v>
      </c>
      <c r="AB41" s="96" t="str">
        <f>IF(AND(Z41=1,B41&lt;&gt;""),C41&amp;"|"&amp;D41&amp;"|"&amp;G41&amp;"|"&amp;TRIM(B41),"")</f>
        <v/>
      </c>
      <c r="AC41" s="96">
        <f>IF(AB41="",0,IF(SUMPRODUCT(--($AB$6:$AB$505=AB41))&gt;1,1,0))</f>
        <v>0</v>
      </c>
      <c r="AD41" s="96">
        <f>IF(Z41=0,0,IF(OR(AND(G41&lt;&gt;"",ISNA(MATCH(G41,'CAD_UNIDADES'!$C$6:$C$105,0))),AND(H41&lt;&gt;"",ISNA(MATCH(H41,cmp_transp,0))),AND(I41&lt;&gt;"",ISNA(MATCH(I41,cmp_dest,0))),AND(E41&lt;&gt;"",NOT(ISNUMBER(E41))),AND(F41&lt;&gt;"",NOT(ISNUMBER(F41))),AND(ISNUMBER(E41),ISNUMBER(F41),F41&lt;E41)),1,0))</f>
        <v>0</v>
      </c>
      <c r="AE41" s="96">
        <f>IF(Z41=0,0,IF(OR(B41="",C41="",E41="",G41="",H41="",I41="",N(W41)=0),1,0))</f>
        <v>0</v>
      </c>
      <c r="AF41" s="96">
        <f>IF(Z41=0,0,COUNTIFS('ITENS_MTR'!$S$6:$S$1005,A41,'ITENS_MTR'!$AI$6:$AI$1005,1))</f>
        <v>0</v>
      </c>
      <c r="AG41" s="96">
        <f>IF(Z41=0,0,COUNTIFS('ITENS_MTR'!$S$6:$S$1005,A41,'ITENS_MTR'!$AJ$6:$AJ$1005,1))</f>
        <v>0</v>
      </c>
      <c r="AH41" s="96">
        <f>IF(Z41=0,0,COUNTIFS('ITENS_MTR'!$S$6:$S$1005,A41,'ITENS_MTR'!$AM$6:$AM$1005,1))</f>
        <v>0</v>
      </c>
      <c r="AI41" s="96">
        <f>IF(Z41=0,0,COUNTIFS('ITENS_MTR'!$S$6:$S$1005,A41,'ITENS_MTR'!$AO$6:$AO$1005,1))</f>
        <v>0</v>
      </c>
      <c r="AJ41" s="96">
        <f>IF(Z41=0,0,COUNTIFS('ITENS_MTR'!$S$6:$S$1005,A41,'ITENS_MTR'!$AN$6:$AN$1005,1))</f>
        <v>0</v>
      </c>
      <c r="AK41" s="96">
        <f>IF(Z41=0,0,COUNTIFS('RECEBIMENTOS'!$B$6:$B$1005,A41,'RECEBIMENTOS'!$Y$6:$Y$1005,1))</f>
        <v>0</v>
      </c>
      <c r="AL41" s="96">
        <f>IF(Z41=0,0,COUNTIFS('VÍNCULOS_CDF'!$D$6:$D$1005,A41,'VÍNCULOS_CDF'!$Y$6:$Y$1005,1))</f>
        <v>0</v>
      </c>
      <c r="AM41" s="96">
        <f>IF(Z41=0,0,COUNTIFS('RECEBIMENTOS'!$B$6:$B$1005,A41,'RECEBIMENTOS'!$Q$6:$Q$1005,1))</f>
        <v>0</v>
      </c>
      <c r="AN41" s="96">
        <f>IF(AND(Z41=1,N(W41)&gt;0,AG41=N(W41)),1,0)</f>
        <v>0</v>
      </c>
      <c r="AO41" s="96">
        <f>IF(AND(Z41=1,N(W41)&gt;0,AI41=N(W41)),1,0)</f>
        <v>0</v>
      </c>
      <c r="AP41" s="97">
        <f>IF(Z41=0,0,_xlfn.MAXIFS('RECEBIMENTOS'!$E$6:$E$1005,'RECEBIMENTOS'!$B$6:$B$1005,A41))</f>
        <v>0</v>
      </c>
      <c r="AQ41" s="97" t="str">
        <f>IF(T41="","",IF(T41="RECEBIMENTO NÃO CONFIRMADO",IF(ISNUMBER(F41),F41,IF(ISNUMBER(E41),E41,"")),IF(OR(T41="CDF NÃO LOCALIZADO",T41="VÍNCULO INCOMPLETO",T41="CDF A CONFERIR"),IF(AP41&gt;0,AP41,IF(ISNUMBER(E41),E41,"")),IF(ISNUMBER(E41),E41,""))))</f>
        <v/>
      </c>
      <c r="AR41" s="96">
        <f>IF(NOT(ISNUMBER(U41)),0,IF(T41="RECEBIMENTO NÃO CONFIRMADO",IF(AND(ISNUMBER(cfg_rec),U41&gt;cfg_rec),1,0),IF(OR(T41="CDF NÃO LOCALIZADO",T41="VÍNCULO INCOMPLETO",T41="CDF A CONFERIR"),IF(AND(ISNUMBER(cfg_cdf),U41&gt;cfg_cdf),1,0),0)))</f>
        <v>0</v>
      </c>
      <c r="AS41" s="96" t="str">
        <f>IF(T41="","",IF(AR41=1,"Alta",IFERROR(INDEX(cfg_pp,MATCH(T41,cfg_pt,0))&amp;"","Média")))</f>
        <v/>
      </c>
      <c r="AT41" s="96" t="str">
        <f>IF(T41="","",IFERROR(INDEX(cfg_pv,MATCH(T41,cfg_pt,0))&amp;"",""))</f>
        <v/>
      </c>
      <c r="AU41" s="96" t="str">
        <f>IF(T41="","",IF(AS41="Alta",1,IF(AS41="Média",2,3))*1000000000+(999999-IF(ISNUMBER(U41),MIN(U41,999999),0))*1000+36)</f>
        <v/>
      </c>
      <c r="AV41" s="96">
        <f>IF(T41&lt;&gt;"",1,0)</f>
        <v>0</v>
      </c>
      <c r="AW41" s="96" t="str">
        <f>IF(Z41=0,"",IF(AA41=1,"Cancelamento informado; ","")&amp;IF(AE41=1,"Campos essenciais ou itens faltando; ","")&amp;IF(AC41=1,"Possível duplicidade do número; ","")&amp;IF(AD41=1,"Cadastro ou datas a revisar; ","")&amp;IF(AF41&gt;0,"Item de resíduo com dado a revisar; ","")&amp;IF(AH41&gt;0,"Diferença de quantidade a analisar; ","")&amp;IF(AK41&gt;0,"Recebimento com alerta; ","")&amp;IF(AL41&gt;0,"Vínculo de CDF com alerta; ","")&amp;IF(AND(AA41=0,AN41=0),"Recebimento não confirmado; ","")&amp;IF(AND(AA41=0,AN41=1,AO41=0),"CDF pendente ou a conferir; ",""))</f>
        <v/>
      </c>
      <c r="AX41" s="96">
        <f>IF(Z41=0,0,IF(AND(OR(f_ini="",AND(ISNUMBER(E41),E41&gt;=f_ini)),OR(f_fim="",AND(ISNUMBER(E41),E41&lt;=f_fim)),OR(f_un="",f_un="(Todas)",G41=f_un),OR(f_tr="",f_tr="(Todos)",H41=f_tr),OR(f_de="",f_de="(Todos)",I41=f_de),OR(f_sit="",f_sit="(Todas)",S41=f_sit)),1,0))</f>
        <v>0</v>
      </c>
      <c r="AY41" s="96">
        <f>IF(AX41=0,0,IF(OR(f_res="",f_res="(Todos)"),1,IF(COUNTIFS('ITENS_MTR'!$S$6:$S$1005,A41,'ITENS_MTR'!$C$6:$C$1005,f_res)&gt;0,1,0)))</f>
        <v>0</v>
      </c>
      <c r="AZ41" s="97" t="str">
        <f>IF(ISNUMBER(E41),DATE(YEAR(E41),MONTH(E41),1),"")</f>
        <v/>
      </c>
      <c r="BA41" s="96">
        <f>IF(Z41=0,0,IF(AND(OR(r_ini="",AND(ISNUMBER(E41),E41&gt;=r_ini)),OR(r_fim="",AND(ISNUMBER(E41),E41&lt;=r_fim)),OR(r_un="",r_un="(Todas)",G41=r_un),OR(r_de="",r_de="(Todos)",I41=r_de)),1,0))</f>
        <v>0</v>
      </c>
      <c r="BB41" s="96" t="str">
        <f>IF(BA41=1,COUNTIF($BA$6:BA41,1),"")</f>
        <v/>
      </c>
      <c r="BC41" s="96" t="str">
        <f>IF(AND(AU41&lt;&gt;"",OR(r_un="",r_un="(Todas)",G41=r_un),OR(r_de="",r_de="(Todos)",I41=r_de)),AU41,"")</f>
        <v/>
      </c>
      <c r="BD41" s="96" t="str">
        <f>IF(Z41=1,A41&amp;" | nº "&amp;IF(B41="","(sem número)",B41)&amp;" | "&amp;IF(G41="","(sem unidade)",G41),"")</f>
        <v/>
      </c>
      <c r="BE41" s="96" t="str">
        <f>IF(Z41=1,COUNTIF($Z$6:Z41,1),"")</f>
        <v/>
      </c>
      <c r="BF41" s="96" t="str">
        <f>IF(T41="","",IF(T41="RECEBIMENTO NÃO CONFIRMADO","Transp.: "&amp;H41&amp;" | Dest.: "&amp;I41,IF(OR(T41="CDF NÃO LOCALIZADO",T41="VÍNCULO INCOMPLETO",T41="CDF A CONFERIR"),"Dest.: "&amp;I41,"Gerador: "&amp;G41)))</f>
        <v/>
      </c>
    </row>
    <row r="42">
      <c r="A42" s="89" t="inlineStr">
        <is>
          <t>MTR-000037</t>
        </is>
      </c>
      <c r="B42" s="90" t="n"/>
      <c r="C42" s="91" t="n"/>
      <c r="D42" s="91" t="n"/>
      <c r="E42" s="92" t="n"/>
      <c r="F42" s="92" t="n"/>
      <c r="G42" s="91" t="n"/>
      <c r="H42" s="91" t="n"/>
      <c r="I42" s="91" t="n"/>
      <c r="J42" s="91" t="n"/>
      <c r="K42" s="91" t="n"/>
      <c r="L42" s="92" t="n"/>
      <c r="M42" s="91" t="n"/>
      <c r="N42" s="91" t="n"/>
      <c r="O42" s="91" t="n"/>
      <c r="P42" s="93" t="str">
        <f>IF(Z42=0,"",SUMIFS('ITENS_MTR'!$I$6:$I$1005,'ITENS_MTR'!$S$6:$S$1005,A42,'ITENS_MTR'!$Y$6:$Y$1005,1))</f>
        <v/>
      </c>
      <c r="Q42" s="93" t="str">
        <f>IF(Z42=0,"",SUMIFS('RECEBIMENTOS'!$H$6:$H$1005,'RECEBIMENTOS'!$B$6:$B$1005,A42,'RECEBIMENTOS'!$X$6:$X$1005,1))</f>
        <v/>
      </c>
      <c r="R42" s="93" t="str">
        <f>IF(Z42=0,"",SUMIFS('VÍNCULOS_CDF'!$H$6:$H$1005,'VÍNCULOS_CDF'!$D$6:$D$1005,A42,'VÍNCULOS_CDF'!$V$6:$V$1005,1))</f>
        <v/>
      </c>
      <c r="S42" s="94" t="str">
        <f>IF(Z42=0,"",IF(AA42=1,"Cancelado (informado)",IF(AE42=1,"Cadastro incompleto",IF(OR(AC42=1,AD42=1,AF42&gt;0,AH42&gt;0,AK42&gt;0,AL42&gt;0),"Informação a revisar",IF(AN42=0,"Aguardando recebimento",IF(N(R42)=0,"Aguardando CDF",IF(AJ42&lt;N(W42),"Vínculo de CDF parcial",IF(AO42=0,"CDF localizado, a conferir","Documentação conferida"))))))))</f>
        <v/>
      </c>
      <c r="T42" s="94" t="str">
        <f>IF(Z42=0,"",IF(S42="Cadastro incompleto","MTR INCOMPLETO",IF(S42="Informação a revisar",IF(AND(AH42&gt;0,AC42=0,AD42=0,AF42=0,AK42=0,AL42=0),"QUANTIDADE A REVISAR","IDENTIFICAÇÃO A REVISAR"),IF(S42="Aguardando recebimento","RECEBIMENTO NÃO CONFIRMADO",IF(S42="Aguardando CDF","CDF NÃO LOCALIZADO",IF(S42="Vínculo de CDF parcial","VÍNCULO INCOMPLETO",IF(S42="CDF localizado, a conferir","CDF A CONFERIR","")))))))</f>
        <v/>
      </c>
      <c r="U42" s="95" t="str">
        <f>IF(T42="","",IF(AQ42="","Não calculável",IF(AQ42&gt;TODAY(),"Data futura",TODAY()-AQ42)))</f>
        <v/>
      </c>
      <c r="V42" s="93" t="str">
        <f>IF(Z42=0,"",SUMIFS('RECEBIMENTOS'!$H$6:$H$1005,'RECEBIMENTOS'!$B$6:$B$1005,A42,'RECEBIMENTOS'!$Z$6:$Z$1005,1))</f>
        <v/>
      </c>
      <c r="W42" s="95" t="str">
        <f>IF(Z42=0,"",COUNTIFS('ITENS_MTR'!$S$6:$S$1005,A42,'ITENS_MTR'!$R$6:$R$1005,1))</f>
        <v/>
      </c>
      <c r="X42" s="94" t="str">
        <f>IF(AC42=1,"POSSÍVEL DUPLICIDADE","")</f>
        <v/>
      </c>
      <c r="Y42" s="94" t="str">
        <f>IF(Z42=0,"",IF(AW42="","Nenhuma",LEFT(AW42,LEN(AW42)-2)))</f>
        <v/>
      </c>
      <c r="Z42" s="96">
        <f>IF(COUNTA(B42:O42)&gt;0,1,0)</f>
        <v>0</v>
      </c>
      <c r="AA42" s="96">
        <f>IF(AND(Z42=1,K42&lt;&gt;""),IF(TRIM(K42)=TRIM(cfg_cancel),1,0),0)</f>
        <v>0</v>
      </c>
      <c r="AB42" s="96" t="str">
        <f>IF(AND(Z42=1,B42&lt;&gt;""),C42&amp;"|"&amp;D42&amp;"|"&amp;G42&amp;"|"&amp;TRIM(B42),"")</f>
        <v/>
      </c>
      <c r="AC42" s="96">
        <f>IF(AB42="",0,IF(SUMPRODUCT(--($AB$6:$AB$505=AB42))&gt;1,1,0))</f>
        <v>0</v>
      </c>
      <c r="AD42" s="96">
        <f>IF(Z42=0,0,IF(OR(AND(G42&lt;&gt;"",ISNA(MATCH(G42,'CAD_UNIDADES'!$C$6:$C$105,0))),AND(H42&lt;&gt;"",ISNA(MATCH(H42,cmp_transp,0))),AND(I42&lt;&gt;"",ISNA(MATCH(I42,cmp_dest,0))),AND(E42&lt;&gt;"",NOT(ISNUMBER(E42))),AND(F42&lt;&gt;"",NOT(ISNUMBER(F42))),AND(ISNUMBER(E42),ISNUMBER(F42),F42&lt;E42)),1,0))</f>
        <v>0</v>
      </c>
      <c r="AE42" s="96">
        <f>IF(Z42=0,0,IF(OR(B42="",C42="",E42="",G42="",H42="",I42="",N(W42)=0),1,0))</f>
        <v>0</v>
      </c>
      <c r="AF42" s="96">
        <f>IF(Z42=0,0,COUNTIFS('ITENS_MTR'!$S$6:$S$1005,A42,'ITENS_MTR'!$AI$6:$AI$1005,1))</f>
        <v>0</v>
      </c>
      <c r="AG42" s="96">
        <f>IF(Z42=0,0,COUNTIFS('ITENS_MTR'!$S$6:$S$1005,A42,'ITENS_MTR'!$AJ$6:$AJ$1005,1))</f>
        <v>0</v>
      </c>
      <c r="AH42" s="96">
        <f>IF(Z42=0,0,COUNTIFS('ITENS_MTR'!$S$6:$S$1005,A42,'ITENS_MTR'!$AM$6:$AM$1005,1))</f>
        <v>0</v>
      </c>
      <c r="AI42" s="96">
        <f>IF(Z42=0,0,COUNTIFS('ITENS_MTR'!$S$6:$S$1005,A42,'ITENS_MTR'!$AO$6:$AO$1005,1))</f>
        <v>0</v>
      </c>
      <c r="AJ42" s="96">
        <f>IF(Z42=0,0,COUNTIFS('ITENS_MTR'!$S$6:$S$1005,A42,'ITENS_MTR'!$AN$6:$AN$1005,1))</f>
        <v>0</v>
      </c>
      <c r="AK42" s="96">
        <f>IF(Z42=0,0,COUNTIFS('RECEBIMENTOS'!$B$6:$B$1005,A42,'RECEBIMENTOS'!$Y$6:$Y$1005,1))</f>
        <v>0</v>
      </c>
      <c r="AL42" s="96">
        <f>IF(Z42=0,0,COUNTIFS('VÍNCULOS_CDF'!$D$6:$D$1005,A42,'VÍNCULOS_CDF'!$Y$6:$Y$1005,1))</f>
        <v>0</v>
      </c>
      <c r="AM42" s="96">
        <f>IF(Z42=0,0,COUNTIFS('RECEBIMENTOS'!$B$6:$B$1005,A42,'RECEBIMENTOS'!$Q$6:$Q$1005,1))</f>
        <v>0</v>
      </c>
      <c r="AN42" s="96">
        <f>IF(AND(Z42=1,N(W42)&gt;0,AG42=N(W42)),1,0)</f>
        <v>0</v>
      </c>
      <c r="AO42" s="96">
        <f>IF(AND(Z42=1,N(W42)&gt;0,AI42=N(W42)),1,0)</f>
        <v>0</v>
      </c>
      <c r="AP42" s="97">
        <f>IF(Z42=0,0,_xlfn.MAXIFS('RECEBIMENTOS'!$E$6:$E$1005,'RECEBIMENTOS'!$B$6:$B$1005,A42))</f>
        <v>0</v>
      </c>
      <c r="AQ42" s="97" t="str">
        <f>IF(T42="","",IF(T42="RECEBIMENTO NÃO CONFIRMADO",IF(ISNUMBER(F42),F42,IF(ISNUMBER(E42),E42,"")),IF(OR(T42="CDF NÃO LOCALIZADO",T42="VÍNCULO INCOMPLETO",T42="CDF A CONFERIR"),IF(AP42&gt;0,AP42,IF(ISNUMBER(E42),E42,"")),IF(ISNUMBER(E42),E42,""))))</f>
        <v/>
      </c>
      <c r="AR42" s="96">
        <f>IF(NOT(ISNUMBER(U42)),0,IF(T42="RECEBIMENTO NÃO CONFIRMADO",IF(AND(ISNUMBER(cfg_rec),U42&gt;cfg_rec),1,0),IF(OR(T42="CDF NÃO LOCALIZADO",T42="VÍNCULO INCOMPLETO",T42="CDF A CONFERIR"),IF(AND(ISNUMBER(cfg_cdf),U42&gt;cfg_cdf),1,0),0)))</f>
        <v>0</v>
      </c>
      <c r="AS42" s="96" t="str">
        <f>IF(T42="","",IF(AR42=1,"Alta",IFERROR(INDEX(cfg_pp,MATCH(T42,cfg_pt,0))&amp;"","Média")))</f>
        <v/>
      </c>
      <c r="AT42" s="96" t="str">
        <f>IF(T42="","",IFERROR(INDEX(cfg_pv,MATCH(T42,cfg_pt,0))&amp;"",""))</f>
        <v/>
      </c>
      <c r="AU42" s="96" t="str">
        <f>IF(T42="","",IF(AS42="Alta",1,IF(AS42="Média",2,3))*1000000000+(999999-IF(ISNUMBER(U42),MIN(U42,999999),0))*1000+37)</f>
        <v/>
      </c>
      <c r="AV42" s="96">
        <f>IF(T42&lt;&gt;"",1,0)</f>
        <v>0</v>
      </c>
      <c r="AW42" s="96" t="str">
        <f>IF(Z42=0,"",IF(AA42=1,"Cancelamento informado; ","")&amp;IF(AE42=1,"Campos essenciais ou itens faltando; ","")&amp;IF(AC42=1,"Possível duplicidade do número; ","")&amp;IF(AD42=1,"Cadastro ou datas a revisar; ","")&amp;IF(AF42&gt;0,"Item de resíduo com dado a revisar; ","")&amp;IF(AH42&gt;0,"Diferença de quantidade a analisar; ","")&amp;IF(AK42&gt;0,"Recebimento com alerta; ","")&amp;IF(AL42&gt;0,"Vínculo de CDF com alerta; ","")&amp;IF(AND(AA42=0,AN42=0),"Recebimento não confirmado; ","")&amp;IF(AND(AA42=0,AN42=1,AO42=0),"CDF pendente ou a conferir; ",""))</f>
        <v/>
      </c>
      <c r="AX42" s="96">
        <f>IF(Z42=0,0,IF(AND(OR(f_ini="",AND(ISNUMBER(E42),E42&gt;=f_ini)),OR(f_fim="",AND(ISNUMBER(E42),E42&lt;=f_fim)),OR(f_un="",f_un="(Todas)",G42=f_un),OR(f_tr="",f_tr="(Todos)",H42=f_tr),OR(f_de="",f_de="(Todos)",I42=f_de),OR(f_sit="",f_sit="(Todas)",S42=f_sit)),1,0))</f>
        <v>0</v>
      </c>
      <c r="AY42" s="96">
        <f>IF(AX42=0,0,IF(OR(f_res="",f_res="(Todos)"),1,IF(COUNTIFS('ITENS_MTR'!$S$6:$S$1005,A42,'ITENS_MTR'!$C$6:$C$1005,f_res)&gt;0,1,0)))</f>
        <v>0</v>
      </c>
      <c r="AZ42" s="97" t="str">
        <f>IF(ISNUMBER(E42),DATE(YEAR(E42),MONTH(E42),1),"")</f>
        <v/>
      </c>
      <c r="BA42" s="96">
        <f>IF(Z42=0,0,IF(AND(OR(r_ini="",AND(ISNUMBER(E42),E42&gt;=r_ini)),OR(r_fim="",AND(ISNUMBER(E42),E42&lt;=r_fim)),OR(r_un="",r_un="(Todas)",G42=r_un),OR(r_de="",r_de="(Todos)",I42=r_de)),1,0))</f>
        <v>0</v>
      </c>
      <c r="BB42" s="96" t="str">
        <f>IF(BA42=1,COUNTIF($BA$6:BA42,1),"")</f>
        <v/>
      </c>
      <c r="BC42" s="96" t="str">
        <f>IF(AND(AU42&lt;&gt;"",OR(r_un="",r_un="(Todas)",G42=r_un),OR(r_de="",r_de="(Todos)",I42=r_de)),AU42,"")</f>
        <v/>
      </c>
      <c r="BD42" s="96" t="str">
        <f>IF(Z42=1,A42&amp;" | nº "&amp;IF(B42="","(sem número)",B42)&amp;" | "&amp;IF(G42="","(sem unidade)",G42),"")</f>
        <v/>
      </c>
      <c r="BE42" s="96" t="str">
        <f>IF(Z42=1,COUNTIF($Z$6:Z42,1),"")</f>
        <v/>
      </c>
      <c r="BF42" s="96" t="str">
        <f>IF(T42="","",IF(T42="RECEBIMENTO NÃO CONFIRMADO","Transp.: "&amp;H42&amp;" | Dest.: "&amp;I42,IF(OR(T42="CDF NÃO LOCALIZADO",T42="VÍNCULO INCOMPLETO",T42="CDF A CONFERIR"),"Dest.: "&amp;I42,"Gerador: "&amp;G42)))</f>
        <v/>
      </c>
    </row>
    <row r="43">
      <c r="A43" s="89" t="inlineStr">
        <is>
          <t>MTR-000038</t>
        </is>
      </c>
      <c r="B43" s="90" t="n"/>
      <c r="C43" s="91" t="n"/>
      <c r="D43" s="91" t="n"/>
      <c r="E43" s="92" t="n"/>
      <c r="F43" s="92" t="n"/>
      <c r="G43" s="91" t="n"/>
      <c r="H43" s="91" t="n"/>
      <c r="I43" s="91" t="n"/>
      <c r="J43" s="91" t="n"/>
      <c r="K43" s="91" t="n"/>
      <c r="L43" s="92" t="n"/>
      <c r="M43" s="91" t="n"/>
      <c r="N43" s="91" t="n"/>
      <c r="O43" s="91" t="n"/>
      <c r="P43" s="93" t="str">
        <f>IF(Z43=0,"",SUMIFS('ITENS_MTR'!$I$6:$I$1005,'ITENS_MTR'!$S$6:$S$1005,A43,'ITENS_MTR'!$Y$6:$Y$1005,1))</f>
        <v/>
      </c>
      <c r="Q43" s="93" t="str">
        <f>IF(Z43=0,"",SUMIFS('RECEBIMENTOS'!$H$6:$H$1005,'RECEBIMENTOS'!$B$6:$B$1005,A43,'RECEBIMENTOS'!$X$6:$X$1005,1))</f>
        <v/>
      </c>
      <c r="R43" s="93" t="str">
        <f>IF(Z43=0,"",SUMIFS('VÍNCULOS_CDF'!$H$6:$H$1005,'VÍNCULOS_CDF'!$D$6:$D$1005,A43,'VÍNCULOS_CDF'!$V$6:$V$1005,1))</f>
        <v/>
      </c>
      <c r="S43" s="94" t="str">
        <f>IF(Z43=0,"",IF(AA43=1,"Cancelado (informado)",IF(AE43=1,"Cadastro incompleto",IF(OR(AC43=1,AD43=1,AF43&gt;0,AH43&gt;0,AK43&gt;0,AL43&gt;0),"Informação a revisar",IF(AN43=0,"Aguardando recebimento",IF(N(R43)=0,"Aguardando CDF",IF(AJ43&lt;N(W43),"Vínculo de CDF parcial",IF(AO43=0,"CDF localizado, a conferir","Documentação conferida"))))))))</f>
        <v/>
      </c>
      <c r="T43" s="94" t="str">
        <f>IF(Z43=0,"",IF(S43="Cadastro incompleto","MTR INCOMPLETO",IF(S43="Informação a revisar",IF(AND(AH43&gt;0,AC43=0,AD43=0,AF43=0,AK43=0,AL43=0),"QUANTIDADE A REVISAR","IDENTIFICAÇÃO A REVISAR"),IF(S43="Aguardando recebimento","RECEBIMENTO NÃO CONFIRMADO",IF(S43="Aguardando CDF","CDF NÃO LOCALIZADO",IF(S43="Vínculo de CDF parcial","VÍNCULO INCOMPLETO",IF(S43="CDF localizado, a conferir","CDF A CONFERIR","")))))))</f>
        <v/>
      </c>
      <c r="U43" s="95" t="str">
        <f>IF(T43="","",IF(AQ43="","Não calculável",IF(AQ43&gt;TODAY(),"Data futura",TODAY()-AQ43)))</f>
        <v/>
      </c>
      <c r="V43" s="93" t="str">
        <f>IF(Z43=0,"",SUMIFS('RECEBIMENTOS'!$H$6:$H$1005,'RECEBIMENTOS'!$B$6:$B$1005,A43,'RECEBIMENTOS'!$Z$6:$Z$1005,1))</f>
        <v/>
      </c>
      <c r="W43" s="95" t="str">
        <f>IF(Z43=0,"",COUNTIFS('ITENS_MTR'!$S$6:$S$1005,A43,'ITENS_MTR'!$R$6:$R$1005,1))</f>
        <v/>
      </c>
      <c r="X43" s="94" t="str">
        <f>IF(AC43=1,"POSSÍVEL DUPLICIDADE","")</f>
        <v/>
      </c>
      <c r="Y43" s="94" t="str">
        <f>IF(Z43=0,"",IF(AW43="","Nenhuma",LEFT(AW43,LEN(AW43)-2)))</f>
        <v/>
      </c>
      <c r="Z43" s="96">
        <f>IF(COUNTA(B43:O43)&gt;0,1,0)</f>
        <v>0</v>
      </c>
      <c r="AA43" s="96">
        <f>IF(AND(Z43=1,K43&lt;&gt;""),IF(TRIM(K43)=TRIM(cfg_cancel),1,0),0)</f>
        <v>0</v>
      </c>
      <c r="AB43" s="96" t="str">
        <f>IF(AND(Z43=1,B43&lt;&gt;""),C43&amp;"|"&amp;D43&amp;"|"&amp;G43&amp;"|"&amp;TRIM(B43),"")</f>
        <v/>
      </c>
      <c r="AC43" s="96">
        <f>IF(AB43="",0,IF(SUMPRODUCT(--($AB$6:$AB$505=AB43))&gt;1,1,0))</f>
        <v>0</v>
      </c>
      <c r="AD43" s="96">
        <f>IF(Z43=0,0,IF(OR(AND(G43&lt;&gt;"",ISNA(MATCH(G43,'CAD_UNIDADES'!$C$6:$C$105,0))),AND(H43&lt;&gt;"",ISNA(MATCH(H43,cmp_transp,0))),AND(I43&lt;&gt;"",ISNA(MATCH(I43,cmp_dest,0))),AND(E43&lt;&gt;"",NOT(ISNUMBER(E43))),AND(F43&lt;&gt;"",NOT(ISNUMBER(F43))),AND(ISNUMBER(E43),ISNUMBER(F43),F43&lt;E43)),1,0))</f>
        <v>0</v>
      </c>
      <c r="AE43" s="96">
        <f>IF(Z43=0,0,IF(OR(B43="",C43="",E43="",G43="",H43="",I43="",N(W43)=0),1,0))</f>
        <v>0</v>
      </c>
      <c r="AF43" s="96">
        <f>IF(Z43=0,0,COUNTIFS('ITENS_MTR'!$S$6:$S$1005,A43,'ITENS_MTR'!$AI$6:$AI$1005,1))</f>
        <v>0</v>
      </c>
      <c r="AG43" s="96">
        <f>IF(Z43=0,0,COUNTIFS('ITENS_MTR'!$S$6:$S$1005,A43,'ITENS_MTR'!$AJ$6:$AJ$1005,1))</f>
        <v>0</v>
      </c>
      <c r="AH43" s="96">
        <f>IF(Z43=0,0,COUNTIFS('ITENS_MTR'!$S$6:$S$1005,A43,'ITENS_MTR'!$AM$6:$AM$1005,1))</f>
        <v>0</v>
      </c>
      <c r="AI43" s="96">
        <f>IF(Z43=0,0,COUNTIFS('ITENS_MTR'!$S$6:$S$1005,A43,'ITENS_MTR'!$AO$6:$AO$1005,1))</f>
        <v>0</v>
      </c>
      <c r="AJ43" s="96">
        <f>IF(Z43=0,0,COUNTIFS('ITENS_MTR'!$S$6:$S$1005,A43,'ITENS_MTR'!$AN$6:$AN$1005,1))</f>
        <v>0</v>
      </c>
      <c r="AK43" s="96">
        <f>IF(Z43=0,0,COUNTIFS('RECEBIMENTOS'!$B$6:$B$1005,A43,'RECEBIMENTOS'!$Y$6:$Y$1005,1))</f>
        <v>0</v>
      </c>
      <c r="AL43" s="96">
        <f>IF(Z43=0,0,COUNTIFS('VÍNCULOS_CDF'!$D$6:$D$1005,A43,'VÍNCULOS_CDF'!$Y$6:$Y$1005,1))</f>
        <v>0</v>
      </c>
      <c r="AM43" s="96">
        <f>IF(Z43=0,0,COUNTIFS('RECEBIMENTOS'!$B$6:$B$1005,A43,'RECEBIMENTOS'!$Q$6:$Q$1005,1))</f>
        <v>0</v>
      </c>
      <c r="AN43" s="96">
        <f>IF(AND(Z43=1,N(W43)&gt;0,AG43=N(W43)),1,0)</f>
        <v>0</v>
      </c>
      <c r="AO43" s="96">
        <f>IF(AND(Z43=1,N(W43)&gt;0,AI43=N(W43)),1,0)</f>
        <v>0</v>
      </c>
      <c r="AP43" s="97">
        <f>IF(Z43=0,0,_xlfn.MAXIFS('RECEBIMENTOS'!$E$6:$E$1005,'RECEBIMENTOS'!$B$6:$B$1005,A43))</f>
        <v>0</v>
      </c>
      <c r="AQ43" s="97" t="str">
        <f>IF(T43="","",IF(T43="RECEBIMENTO NÃO CONFIRMADO",IF(ISNUMBER(F43),F43,IF(ISNUMBER(E43),E43,"")),IF(OR(T43="CDF NÃO LOCALIZADO",T43="VÍNCULO INCOMPLETO",T43="CDF A CONFERIR"),IF(AP43&gt;0,AP43,IF(ISNUMBER(E43),E43,"")),IF(ISNUMBER(E43),E43,""))))</f>
        <v/>
      </c>
      <c r="AR43" s="96">
        <f>IF(NOT(ISNUMBER(U43)),0,IF(T43="RECEBIMENTO NÃO CONFIRMADO",IF(AND(ISNUMBER(cfg_rec),U43&gt;cfg_rec),1,0),IF(OR(T43="CDF NÃO LOCALIZADO",T43="VÍNCULO INCOMPLETO",T43="CDF A CONFERIR"),IF(AND(ISNUMBER(cfg_cdf),U43&gt;cfg_cdf),1,0),0)))</f>
        <v>0</v>
      </c>
      <c r="AS43" s="96" t="str">
        <f>IF(T43="","",IF(AR43=1,"Alta",IFERROR(INDEX(cfg_pp,MATCH(T43,cfg_pt,0))&amp;"","Média")))</f>
        <v/>
      </c>
      <c r="AT43" s="96" t="str">
        <f>IF(T43="","",IFERROR(INDEX(cfg_pv,MATCH(T43,cfg_pt,0))&amp;"",""))</f>
        <v/>
      </c>
      <c r="AU43" s="96" t="str">
        <f>IF(T43="","",IF(AS43="Alta",1,IF(AS43="Média",2,3))*1000000000+(999999-IF(ISNUMBER(U43),MIN(U43,999999),0))*1000+38)</f>
        <v/>
      </c>
      <c r="AV43" s="96">
        <f>IF(T43&lt;&gt;"",1,0)</f>
        <v>0</v>
      </c>
      <c r="AW43" s="96" t="str">
        <f>IF(Z43=0,"",IF(AA43=1,"Cancelamento informado; ","")&amp;IF(AE43=1,"Campos essenciais ou itens faltando; ","")&amp;IF(AC43=1,"Possível duplicidade do número; ","")&amp;IF(AD43=1,"Cadastro ou datas a revisar; ","")&amp;IF(AF43&gt;0,"Item de resíduo com dado a revisar; ","")&amp;IF(AH43&gt;0,"Diferença de quantidade a analisar; ","")&amp;IF(AK43&gt;0,"Recebimento com alerta; ","")&amp;IF(AL43&gt;0,"Vínculo de CDF com alerta; ","")&amp;IF(AND(AA43=0,AN43=0),"Recebimento não confirmado; ","")&amp;IF(AND(AA43=0,AN43=1,AO43=0),"CDF pendente ou a conferir; ",""))</f>
        <v/>
      </c>
      <c r="AX43" s="96">
        <f>IF(Z43=0,0,IF(AND(OR(f_ini="",AND(ISNUMBER(E43),E43&gt;=f_ini)),OR(f_fim="",AND(ISNUMBER(E43),E43&lt;=f_fim)),OR(f_un="",f_un="(Todas)",G43=f_un),OR(f_tr="",f_tr="(Todos)",H43=f_tr),OR(f_de="",f_de="(Todos)",I43=f_de),OR(f_sit="",f_sit="(Todas)",S43=f_sit)),1,0))</f>
        <v>0</v>
      </c>
      <c r="AY43" s="96">
        <f>IF(AX43=0,0,IF(OR(f_res="",f_res="(Todos)"),1,IF(COUNTIFS('ITENS_MTR'!$S$6:$S$1005,A43,'ITENS_MTR'!$C$6:$C$1005,f_res)&gt;0,1,0)))</f>
        <v>0</v>
      </c>
      <c r="AZ43" s="97" t="str">
        <f>IF(ISNUMBER(E43),DATE(YEAR(E43),MONTH(E43),1),"")</f>
        <v/>
      </c>
      <c r="BA43" s="96">
        <f>IF(Z43=0,0,IF(AND(OR(r_ini="",AND(ISNUMBER(E43),E43&gt;=r_ini)),OR(r_fim="",AND(ISNUMBER(E43),E43&lt;=r_fim)),OR(r_un="",r_un="(Todas)",G43=r_un),OR(r_de="",r_de="(Todos)",I43=r_de)),1,0))</f>
        <v>0</v>
      </c>
      <c r="BB43" s="96" t="str">
        <f>IF(BA43=1,COUNTIF($BA$6:BA43,1),"")</f>
        <v/>
      </c>
      <c r="BC43" s="96" t="str">
        <f>IF(AND(AU43&lt;&gt;"",OR(r_un="",r_un="(Todas)",G43=r_un),OR(r_de="",r_de="(Todos)",I43=r_de)),AU43,"")</f>
        <v/>
      </c>
      <c r="BD43" s="96" t="str">
        <f>IF(Z43=1,A43&amp;" | nº "&amp;IF(B43="","(sem número)",B43)&amp;" | "&amp;IF(G43="","(sem unidade)",G43),"")</f>
        <v/>
      </c>
      <c r="BE43" s="96" t="str">
        <f>IF(Z43=1,COUNTIF($Z$6:Z43,1),"")</f>
        <v/>
      </c>
      <c r="BF43" s="96" t="str">
        <f>IF(T43="","",IF(T43="RECEBIMENTO NÃO CONFIRMADO","Transp.: "&amp;H43&amp;" | Dest.: "&amp;I43,IF(OR(T43="CDF NÃO LOCALIZADO",T43="VÍNCULO INCOMPLETO",T43="CDF A CONFERIR"),"Dest.: "&amp;I43,"Gerador: "&amp;G43)))</f>
        <v/>
      </c>
    </row>
    <row r="44">
      <c r="A44" s="89" t="inlineStr">
        <is>
          <t>MTR-000039</t>
        </is>
      </c>
      <c r="B44" s="90" t="n"/>
      <c r="C44" s="91" t="n"/>
      <c r="D44" s="91" t="n"/>
      <c r="E44" s="92" t="n"/>
      <c r="F44" s="92" t="n"/>
      <c r="G44" s="91" t="n"/>
      <c r="H44" s="91" t="n"/>
      <c r="I44" s="91" t="n"/>
      <c r="J44" s="91" t="n"/>
      <c r="K44" s="91" t="n"/>
      <c r="L44" s="92" t="n"/>
      <c r="M44" s="91" t="n"/>
      <c r="N44" s="91" t="n"/>
      <c r="O44" s="91" t="n"/>
      <c r="P44" s="93" t="str">
        <f>IF(Z44=0,"",SUMIFS('ITENS_MTR'!$I$6:$I$1005,'ITENS_MTR'!$S$6:$S$1005,A44,'ITENS_MTR'!$Y$6:$Y$1005,1))</f>
        <v/>
      </c>
      <c r="Q44" s="93" t="str">
        <f>IF(Z44=0,"",SUMIFS('RECEBIMENTOS'!$H$6:$H$1005,'RECEBIMENTOS'!$B$6:$B$1005,A44,'RECEBIMENTOS'!$X$6:$X$1005,1))</f>
        <v/>
      </c>
      <c r="R44" s="93" t="str">
        <f>IF(Z44=0,"",SUMIFS('VÍNCULOS_CDF'!$H$6:$H$1005,'VÍNCULOS_CDF'!$D$6:$D$1005,A44,'VÍNCULOS_CDF'!$V$6:$V$1005,1))</f>
        <v/>
      </c>
      <c r="S44" s="94" t="str">
        <f>IF(Z44=0,"",IF(AA44=1,"Cancelado (informado)",IF(AE44=1,"Cadastro incompleto",IF(OR(AC44=1,AD44=1,AF44&gt;0,AH44&gt;0,AK44&gt;0,AL44&gt;0),"Informação a revisar",IF(AN44=0,"Aguardando recebimento",IF(N(R44)=0,"Aguardando CDF",IF(AJ44&lt;N(W44),"Vínculo de CDF parcial",IF(AO44=0,"CDF localizado, a conferir","Documentação conferida"))))))))</f>
        <v/>
      </c>
      <c r="T44" s="94" t="str">
        <f>IF(Z44=0,"",IF(S44="Cadastro incompleto","MTR INCOMPLETO",IF(S44="Informação a revisar",IF(AND(AH44&gt;0,AC44=0,AD44=0,AF44=0,AK44=0,AL44=0),"QUANTIDADE A REVISAR","IDENTIFICAÇÃO A REVISAR"),IF(S44="Aguardando recebimento","RECEBIMENTO NÃO CONFIRMADO",IF(S44="Aguardando CDF","CDF NÃO LOCALIZADO",IF(S44="Vínculo de CDF parcial","VÍNCULO INCOMPLETO",IF(S44="CDF localizado, a conferir","CDF A CONFERIR","")))))))</f>
        <v/>
      </c>
      <c r="U44" s="95" t="str">
        <f>IF(T44="","",IF(AQ44="","Não calculável",IF(AQ44&gt;TODAY(),"Data futura",TODAY()-AQ44)))</f>
        <v/>
      </c>
      <c r="V44" s="93" t="str">
        <f>IF(Z44=0,"",SUMIFS('RECEBIMENTOS'!$H$6:$H$1005,'RECEBIMENTOS'!$B$6:$B$1005,A44,'RECEBIMENTOS'!$Z$6:$Z$1005,1))</f>
        <v/>
      </c>
      <c r="W44" s="95" t="str">
        <f>IF(Z44=0,"",COUNTIFS('ITENS_MTR'!$S$6:$S$1005,A44,'ITENS_MTR'!$R$6:$R$1005,1))</f>
        <v/>
      </c>
      <c r="X44" s="94" t="str">
        <f>IF(AC44=1,"POSSÍVEL DUPLICIDADE","")</f>
        <v/>
      </c>
      <c r="Y44" s="94" t="str">
        <f>IF(Z44=0,"",IF(AW44="","Nenhuma",LEFT(AW44,LEN(AW44)-2)))</f>
        <v/>
      </c>
      <c r="Z44" s="96">
        <f>IF(COUNTA(B44:O44)&gt;0,1,0)</f>
        <v>0</v>
      </c>
      <c r="AA44" s="96">
        <f>IF(AND(Z44=1,K44&lt;&gt;""),IF(TRIM(K44)=TRIM(cfg_cancel),1,0),0)</f>
        <v>0</v>
      </c>
      <c r="AB44" s="96" t="str">
        <f>IF(AND(Z44=1,B44&lt;&gt;""),C44&amp;"|"&amp;D44&amp;"|"&amp;G44&amp;"|"&amp;TRIM(B44),"")</f>
        <v/>
      </c>
      <c r="AC44" s="96">
        <f>IF(AB44="",0,IF(SUMPRODUCT(--($AB$6:$AB$505=AB44))&gt;1,1,0))</f>
        <v>0</v>
      </c>
      <c r="AD44" s="96">
        <f>IF(Z44=0,0,IF(OR(AND(G44&lt;&gt;"",ISNA(MATCH(G44,'CAD_UNIDADES'!$C$6:$C$105,0))),AND(H44&lt;&gt;"",ISNA(MATCH(H44,cmp_transp,0))),AND(I44&lt;&gt;"",ISNA(MATCH(I44,cmp_dest,0))),AND(E44&lt;&gt;"",NOT(ISNUMBER(E44))),AND(F44&lt;&gt;"",NOT(ISNUMBER(F44))),AND(ISNUMBER(E44),ISNUMBER(F44),F44&lt;E44)),1,0))</f>
        <v>0</v>
      </c>
      <c r="AE44" s="96">
        <f>IF(Z44=0,0,IF(OR(B44="",C44="",E44="",G44="",H44="",I44="",N(W44)=0),1,0))</f>
        <v>0</v>
      </c>
      <c r="AF44" s="96">
        <f>IF(Z44=0,0,COUNTIFS('ITENS_MTR'!$S$6:$S$1005,A44,'ITENS_MTR'!$AI$6:$AI$1005,1))</f>
        <v>0</v>
      </c>
      <c r="AG44" s="96">
        <f>IF(Z44=0,0,COUNTIFS('ITENS_MTR'!$S$6:$S$1005,A44,'ITENS_MTR'!$AJ$6:$AJ$1005,1))</f>
        <v>0</v>
      </c>
      <c r="AH44" s="96">
        <f>IF(Z44=0,0,COUNTIFS('ITENS_MTR'!$S$6:$S$1005,A44,'ITENS_MTR'!$AM$6:$AM$1005,1))</f>
        <v>0</v>
      </c>
      <c r="AI44" s="96">
        <f>IF(Z44=0,0,COUNTIFS('ITENS_MTR'!$S$6:$S$1005,A44,'ITENS_MTR'!$AO$6:$AO$1005,1))</f>
        <v>0</v>
      </c>
      <c r="AJ44" s="96">
        <f>IF(Z44=0,0,COUNTIFS('ITENS_MTR'!$S$6:$S$1005,A44,'ITENS_MTR'!$AN$6:$AN$1005,1))</f>
        <v>0</v>
      </c>
      <c r="AK44" s="96">
        <f>IF(Z44=0,0,COUNTIFS('RECEBIMENTOS'!$B$6:$B$1005,A44,'RECEBIMENTOS'!$Y$6:$Y$1005,1))</f>
        <v>0</v>
      </c>
      <c r="AL44" s="96">
        <f>IF(Z44=0,0,COUNTIFS('VÍNCULOS_CDF'!$D$6:$D$1005,A44,'VÍNCULOS_CDF'!$Y$6:$Y$1005,1))</f>
        <v>0</v>
      </c>
      <c r="AM44" s="96">
        <f>IF(Z44=0,0,COUNTIFS('RECEBIMENTOS'!$B$6:$B$1005,A44,'RECEBIMENTOS'!$Q$6:$Q$1005,1))</f>
        <v>0</v>
      </c>
      <c r="AN44" s="96">
        <f>IF(AND(Z44=1,N(W44)&gt;0,AG44=N(W44)),1,0)</f>
        <v>0</v>
      </c>
      <c r="AO44" s="96">
        <f>IF(AND(Z44=1,N(W44)&gt;0,AI44=N(W44)),1,0)</f>
        <v>0</v>
      </c>
      <c r="AP44" s="97">
        <f>IF(Z44=0,0,_xlfn.MAXIFS('RECEBIMENTOS'!$E$6:$E$1005,'RECEBIMENTOS'!$B$6:$B$1005,A44))</f>
        <v>0</v>
      </c>
      <c r="AQ44" s="97" t="str">
        <f>IF(T44="","",IF(T44="RECEBIMENTO NÃO CONFIRMADO",IF(ISNUMBER(F44),F44,IF(ISNUMBER(E44),E44,"")),IF(OR(T44="CDF NÃO LOCALIZADO",T44="VÍNCULO INCOMPLETO",T44="CDF A CONFERIR"),IF(AP44&gt;0,AP44,IF(ISNUMBER(E44),E44,"")),IF(ISNUMBER(E44),E44,""))))</f>
        <v/>
      </c>
      <c r="AR44" s="96">
        <f>IF(NOT(ISNUMBER(U44)),0,IF(T44="RECEBIMENTO NÃO CONFIRMADO",IF(AND(ISNUMBER(cfg_rec),U44&gt;cfg_rec),1,0),IF(OR(T44="CDF NÃO LOCALIZADO",T44="VÍNCULO INCOMPLETO",T44="CDF A CONFERIR"),IF(AND(ISNUMBER(cfg_cdf),U44&gt;cfg_cdf),1,0),0)))</f>
        <v>0</v>
      </c>
      <c r="AS44" s="96" t="str">
        <f>IF(T44="","",IF(AR44=1,"Alta",IFERROR(INDEX(cfg_pp,MATCH(T44,cfg_pt,0))&amp;"","Média")))</f>
        <v/>
      </c>
      <c r="AT44" s="96" t="str">
        <f>IF(T44="","",IFERROR(INDEX(cfg_pv,MATCH(T44,cfg_pt,0))&amp;"",""))</f>
        <v/>
      </c>
      <c r="AU44" s="96" t="str">
        <f>IF(T44="","",IF(AS44="Alta",1,IF(AS44="Média",2,3))*1000000000+(999999-IF(ISNUMBER(U44),MIN(U44,999999),0))*1000+39)</f>
        <v/>
      </c>
      <c r="AV44" s="96">
        <f>IF(T44&lt;&gt;"",1,0)</f>
        <v>0</v>
      </c>
      <c r="AW44" s="96" t="str">
        <f>IF(Z44=0,"",IF(AA44=1,"Cancelamento informado; ","")&amp;IF(AE44=1,"Campos essenciais ou itens faltando; ","")&amp;IF(AC44=1,"Possível duplicidade do número; ","")&amp;IF(AD44=1,"Cadastro ou datas a revisar; ","")&amp;IF(AF44&gt;0,"Item de resíduo com dado a revisar; ","")&amp;IF(AH44&gt;0,"Diferença de quantidade a analisar; ","")&amp;IF(AK44&gt;0,"Recebimento com alerta; ","")&amp;IF(AL44&gt;0,"Vínculo de CDF com alerta; ","")&amp;IF(AND(AA44=0,AN44=0),"Recebimento não confirmado; ","")&amp;IF(AND(AA44=0,AN44=1,AO44=0),"CDF pendente ou a conferir; ",""))</f>
        <v/>
      </c>
      <c r="AX44" s="96">
        <f>IF(Z44=0,0,IF(AND(OR(f_ini="",AND(ISNUMBER(E44),E44&gt;=f_ini)),OR(f_fim="",AND(ISNUMBER(E44),E44&lt;=f_fim)),OR(f_un="",f_un="(Todas)",G44=f_un),OR(f_tr="",f_tr="(Todos)",H44=f_tr),OR(f_de="",f_de="(Todos)",I44=f_de),OR(f_sit="",f_sit="(Todas)",S44=f_sit)),1,0))</f>
        <v>0</v>
      </c>
      <c r="AY44" s="96">
        <f>IF(AX44=0,0,IF(OR(f_res="",f_res="(Todos)"),1,IF(COUNTIFS('ITENS_MTR'!$S$6:$S$1005,A44,'ITENS_MTR'!$C$6:$C$1005,f_res)&gt;0,1,0)))</f>
        <v>0</v>
      </c>
      <c r="AZ44" s="97" t="str">
        <f>IF(ISNUMBER(E44),DATE(YEAR(E44),MONTH(E44),1),"")</f>
        <v/>
      </c>
      <c r="BA44" s="96">
        <f>IF(Z44=0,0,IF(AND(OR(r_ini="",AND(ISNUMBER(E44),E44&gt;=r_ini)),OR(r_fim="",AND(ISNUMBER(E44),E44&lt;=r_fim)),OR(r_un="",r_un="(Todas)",G44=r_un),OR(r_de="",r_de="(Todos)",I44=r_de)),1,0))</f>
        <v>0</v>
      </c>
      <c r="BB44" s="96" t="str">
        <f>IF(BA44=1,COUNTIF($BA$6:BA44,1),"")</f>
        <v/>
      </c>
      <c r="BC44" s="96" t="str">
        <f>IF(AND(AU44&lt;&gt;"",OR(r_un="",r_un="(Todas)",G44=r_un),OR(r_de="",r_de="(Todos)",I44=r_de)),AU44,"")</f>
        <v/>
      </c>
      <c r="BD44" s="96" t="str">
        <f>IF(Z44=1,A44&amp;" | nº "&amp;IF(B44="","(sem número)",B44)&amp;" | "&amp;IF(G44="","(sem unidade)",G44),"")</f>
        <v/>
      </c>
      <c r="BE44" s="96" t="str">
        <f>IF(Z44=1,COUNTIF($Z$6:Z44,1),"")</f>
        <v/>
      </c>
      <c r="BF44" s="96" t="str">
        <f>IF(T44="","",IF(T44="RECEBIMENTO NÃO CONFIRMADO","Transp.: "&amp;H44&amp;" | Dest.: "&amp;I44,IF(OR(T44="CDF NÃO LOCALIZADO",T44="VÍNCULO INCOMPLETO",T44="CDF A CONFERIR"),"Dest.: "&amp;I44,"Gerador: "&amp;G44)))</f>
        <v/>
      </c>
    </row>
    <row r="45">
      <c r="A45" s="89" t="inlineStr">
        <is>
          <t>MTR-000040</t>
        </is>
      </c>
      <c r="B45" s="90" t="n"/>
      <c r="C45" s="91" t="n"/>
      <c r="D45" s="91" t="n"/>
      <c r="E45" s="92" t="n"/>
      <c r="F45" s="92" t="n"/>
      <c r="G45" s="91" t="n"/>
      <c r="H45" s="91" t="n"/>
      <c r="I45" s="91" t="n"/>
      <c r="J45" s="91" t="n"/>
      <c r="K45" s="91" t="n"/>
      <c r="L45" s="92" t="n"/>
      <c r="M45" s="91" t="n"/>
      <c r="N45" s="91" t="n"/>
      <c r="O45" s="91" t="n"/>
      <c r="P45" s="93" t="str">
        <f>IF(Z45=0,"",SUMIFS('ITENS_MTR'!$I$6:$I$1005,'ITENS_MTR'!$S$6:$S$1005,A45,'ITENS_MTR'!$Y$6:$Y$1005,1))</f>
        <v/>
      </c>
      <c r="Q45" s="93" t="str">
        <f>IF(Z45=0,"",SUMIFS('RECEBIMENTOS'!$H$6:$H$1005,'RECEBIMENTOS'!$B$6:$B$1005,A45,'RECEBIMENTOS'!$X$6:$X$1005,1))</f>
        <v/>
      </c>
      <c r="R45" s="93" t="str">
        <f>IF(Z45=0,"",SUMIFS('VÍNCULOS_CDF'!$H$6:$H$1005,'VÍNCULOS_CDF'!$D$6:$D$1005,A45,'VÍNCULOS_CDF'!$V$6:$V$1005,1))</f>
        <v/>
      </c>
      <c r="S45" s="94" t="str">
        <f>IF(Z45=0,"",IF(AA45=1,"Cancelado (informado)",IF(AE45=1,"Cadastro incompleto",IF(OR(AC45=1,AD45=1,AF45&gt;0,AH45&gt;0,AK45&gt;0,AL45&gt;0),"Informação a revisar",IF(AN45=0,"Aguardando recebimento",IF(N(R45)=0,"Aguardando CDF",IF(AJ45&lt;N(W45),"Vínculo de CDF parcial",IF(AO45=0,"CDF localizado, a conferir","Documentação conferida"))))))))</f>
        <v/>
      </c>
      <c r="T45" s="94" t="str">
        <f>IF(Z45=0,"",IF(S45="Cadastro incompleto","MTR INCOMPLETO",IF(S45="Informação a revisar",IF(AND(AH45&gt;0,AC45=0,AD45=0,AF45=0,AK45=0,AL45=0),"QUANTIDADE A REVISAR","IDENTIFICAÇÃO A REVISAR"),IF(S45="Aguardando recebimento","RECEBIMENTO NÃO CONFIRMADO",IF(S45="Aguardando CDF","CDF NÃO LOCALIZADO",IF(S45="Vínculo de CDF parcial","VÍNCULO INCOMPLETO",IF(S45="CDF localizado, a conferir","CDF A CONFERIR","")))))))</f>
        <v/>
      </c>
      <c r="U45" s="95" t="str">
        <f>IF(T45="","",IF(AQ45="","Não calculável",IF(AQ45&gt;TODAY(),"Data futura",TODAY()-AQ45)))</f>
        <v/>
      </c>
      <c r="V45" s="93" t="str">
        <f>IF(Z45=0,"",SUMIFS('RECEBIMENTOS'!$H$6:$H$1005,'RECEBIMENTOS'!$B$6:$B$1005,A45,'RECEBIMENTOS'!$Z$6:$Z$1005,1))</f>
        <v/>
      </c>
      <c r="W45" s="95" t="str">
        <f>IF(Z45=0,"",COUNTIFS('ITENS_MTR'!$S$6:$S$1005,A45,'ITENS_MTR'!$R$6:$R$1005,1))</f>
        <v/>
      </c>
      <c r="X45" s="94" t="str">
        <f>IF(AC45=1,"POSSÍVEL DUPLICIDADE","")</f>
        <v/>
      </c>
      <c r="Y45" s="94" t="str">
        <f>IF(Z45=0,"",IF(AW45="","Nenhuma",LEFT(AW45,LEN(AW45)-2)))</f>
        <v/>
      </c>
      <c r="Z45" s="96">
        <f>IF(COUNTA(B45:O45)&gt;0,1,0)</f>
        <v>0</v>
      </c>
      <c r="AA45" s="96">
        <f>IF(AND(Z45=1,K45&lt;&gt;""),IF(TRIM(K45)=TRIM(cfg_cancel),1,0),0)</f>
        <v>0</v>
      </c>
      <c r="AB45" s="96" t="str">
        <f>IF(AND(Z45=1,B45&lt;&gt;""),C45&amp;"|"&amp;D45&amp;"|"&amp;G45&amp;"|"&amp;TRIM(B45),"")</f>
        <v/>
      </c>
      <c r="AC45" s="96">
        <f>IF(AB45="",0,IF(SUMPRODUCT(--($AB$6:$AB$505=AB45))&gt;1,1,0))</f>
        <v>0</v>
      </c>
      <c r="AD45" s="96">
        <f>IF(Z45=0,0,IF(OR(AND(G45&lt;&gt;"",ISNA(MATCH(G45,'CAD_UNIDADES'!$C$6:$C$105,0))),AND(H45&lt;&gt;"",ISNA(MATCH(H45,cmp_transp,0))),AND(I45&lt;&gt;"",ISNA(MATCH(I45,cmp_dest,0))),AND(E45&lt;&gt;"",NOT(ISNUMBER(E45))),AND(F45&lt;&gt;"",NOT(ISNUMBER(F45))),AND(ISNUMBER(E45),ISNUMBER(F45),F45&lt;E45)),1,0))</f>
        <v>0</v>
      </c>
      <c r="AE45" s="96">
        <f>IF(Z45=0,0,IF(OR(B45="",C45="",E45="",G45="",H45="",I45="",N(W45)=0),1,0))</f>
        <v>0</v>
      </c>
      <c r="AF45" s="96">
        <f>IF(Z45=0,0,COUNTIFS('ITENS_MTR'!$S$6:$S$1005,A45,'ITENS_MTR'!$AI$6:$AI$1005,1))</f>
        <v>0</v>
      </c>
      <c r="AG45" s="96">
        <f>IF(Z45=0,0,COUNTIFS('ITENS_MTR'!$S$6:$S$1005,A45,'ITENS_MTR'!$AJ$6:$AJ$1005,1))</f>
        <v>0</v>
      </c>
      <c r="AH45" s="96">
        <f>IF(Z45=0,0,COUNTIFS('ITENS_MTR'!$S$6:$S$1005,A45,'ITENS_MTR'!$AM$6:$AM$1005,1))</f>
        <v>0</v>
      </c>
      <c r="AI45" s="96">
        <f>IF(Z45=0,0,COUNTIFS('ITENS_MTR'!$S$6:$S$1005,A45,'ITENS_MTR'!$AO$6:$AO$1005,1))</f>
        <v>0</v>
      </c>
      <c r="AJ45" s="96">
        <f>IF(Z45=0,0,COUNTIFS('ITENS_MTR'!$S$6:$S$1005,A45,'ITENS_MTR'!$AN$6:$AN$1005,1))</f>
        <v>0</v>
      </c>
      <c r="AK45" s="96">
        <f>IF(Z45=0,0,COUNTIFS('RECEBIMENTOS'!$B$6:$B$1005,A45,'RECEBIMENTOS'!$Y$6:$Y$1005,1))</f>
        <v>0</v>
      </c>
      <c r="AL45" s="96">
        <f>IF(Z45=0,0,COUNTIFS('VÍNCULOS_CDF'!$D$6:$D$1005,A45,'VÍNCULOS_CDF'!$Y$6:$Y$1005,1))</f>
        <v>0</v>
      </c>
      <c r="AM45" s="96">
        <f>IF(Z45=0,0,COUNTIFS('RECEBIMENTOS'!$B$6:$B$1005,A45,'RECEBIMENTOS'!$Q$6:$Q$1005,1))</f>
        <v>0</v>
      </c>
      <c r="AN45" s="96">
        <f>IF(AND(Z45=1,N(W45)&gt;0,AG45=N(W45)),1,0)</f>
        <v>0</v>
      </c>
      <c r="AO45" s="96">
        <f>IF(AND(Z45=1,N(W45)&gt;0,AI45=N(W45)),1,0)</f>
        <v>0</v>
      </c>
      <c r="AP45" s="97">
        <f>IF(Z45=0,0,_xlfn.MAXIFS('RECEBIMENTOS'!$E$6:$E$1005,'RECEBIMENTOS'!$B$6:$B$1005,A45))</f>
        <v>0</v>
      </c>
      <c r="AQ45" s="97" t="str">
        <f>IF(T45="","",IF(T45="RECEBIMENTO NÃO CONFIRMADO",IF(ISNUMBER(F45),F45,IF(ISNUMBER(E45),E45,"")),IF(OR(T45="CDF NÃO LOCALIZADO",T45="VÍNCULO INCOMPLETO",T45="CDF A CONFERIR"),IF(AP45&gt;0,AP45,IF(ISNUMBER(E45),E45,"")),IF(ISNUMBER(E45),E45,""))))</f>
        <v/>
      </c>
      <c r="AR45" s="96">
        <f>IF(NOT(ISNUMBER(U45)),0,IF(T45="RECEBIMENTO NÃO CONFIRMADO",IF(AND(ISNUMBER(cfg_rec),U45&gt;cfg_rec),1,0),IF(OR(T45="CDF NÃO LOCALIZADO",T45="VÍNCULO INCOMPLETO",T45="CDF A CONFERIR"),IF(AND(ISNUMBER(cfg_cdf),U45&gt;cfg_cdf),1,0),0)))</f>
        <v>0</v>
      </c>
      <c r="AS45" s="96" t="str">
        <f>IF(T45="","",IF(AR45=1,"Alta",IFERROR(INDEX(cfg_pp,MATCH(T45,cfg_pt,0))&amp;"","Média")))</f>
        <v/>
      </c>
      <c r="AT45" s="96" t="str">
        <f>IF(T45="","",IFERROR(INDEX(cfg_pv,MATCH(T45,cfg_pt,0))&amp;"",""))</f>
        <v/>
      </c>
      <c r="AU45" s="96" t="str">
        <f>IF(T45="","",IF(AS45="Alta",1,IF(AS45="Média",2,3))*1000000000+(999999-IF(ISNUMBER(U45),MIN(U45,999999),0))*1000+40)</f>
        <v/>
      </c>
      <c r="AV45" s="96">
        <f>IF(T45&lt;&gt;"",1,0)</f>
        <v>0</v>
      </c>
      <c r="AW45" s="96" t="str">
        <f>IF(Z45=0,"",IF(AA45=1,"Cancelamento informado; ","")&amp;IF(AE45=1,"Campos essenciais ou itens faltando; ","")&amp;IF(AC45=1,"Possível duplicidade do número; ","")&amp;IF(AD45=1,"Cadastro ou datas a revisar; ","")&amp;IF(AF45&gt;0,"Item de resíduo com dado a revisar; ","")&amp;IF(AH45&gt;0,"Diferença de quantidade a analisar; ","")&amp;IF(AK45&gt;0,"Recebimento com alerta; ","")&amp;IF(AL45&gt;0,"Vínculo de CDF com alerta; ","")&amp;IF(AND(AA45=0,AN45=0),"Recebimento não confirmado; ","")&amp;IF(AND(AA45=0,AN45=1,AO45=0),"CDF pendente ou a conferir; ",""))</f>
        <v/>
      </c>
      <c r="AX45" s="96">
        <f>IF(Z45=0,0,IF(AND(OR(f_ini="",AND(ISNUMBER(E45),E45&gt;=f_ini)),OR(f_fim="",AND(ISNUMBER(E45),E45&lt;=f_fim)),OR(f_un="",f_un="(Todas)",G45=f_un),OR(f_tr="",f_tr="(Todos)",H45=f_tr),OR(f_de="",f_de="(Todos)",I45=f_de),OR(f_sit="",f_sit="(Todas)",S45=f_sit)),1,0))</f>
        <v>0</v>
      </c>
      <c r="AY45" s="96">
        <f>IF(AX45=0,0,IF(OR(f_res="",f_res="(Todos)"),1,IF(COUNTIFS('ITENS_MTR'!$S$6:$S$1005,A45,'ITENS_MTR'!$C$6:$C$1005,f_res)&gt;0,1,0)))</f>
        <v>0</v>
      </c>
      <c r="AZ45" s="97" t="str">
        <f>IF(ISNUMBER(E45),DATE(YEAR(E45),MONTH(E45),1),"")</f>
        <v/>
      </c>
      <c r="BA45" s="96">
        <f>IF(Z45=0,0,IF(AND(OR(r_ini="",AND(ISNUMBER(E45),E45&gt;=r_ini)),OR(r_fim="",AND(ISNUMBER(E45),E45&lt;=r_fim)),OR(r_un="",r_un="(Todas)",G45=r_un),OR(r_de="",r_de="(Todos)",I45=r_de)),1,0))</f>
        <v>0</v>
      </c>
      <c r="BB45" s="96" t="str">
        <f>IF(BA45=1,COUNTIF($BA$6:BA45,1),"")</f>
        <v/>
      </c>
      <c r="BC45" s="96" t="str">
        <f>IF(AND(AU45&lt;&gt;"",OR(r_un="",r_un="(Todas)",G45=r_un),OR(r_de="",r_de="(Todos)",I45=r_de)),AU45,"")</f>
        <v/>
      </c>
      <c r="BD45" s="96" t="str">
        <f>IF(Z45=1,A45&amp;" | nº "&amp;IF(B45="","(sem número)",B45)&amp;" | "&amp;IF(G45="","(sem unidade)",G45),"")</f>
        <v/>
      </c>
      <c r="BE45" s="96" t="str">
        <f>IF(Z45=1,COUNTIF($Z$6:Z45,1),"")</f>
        <v/>
      </c>
      <c r="BF45" s="96" t="str">
        <f>IF(T45="","",IF(T45="RECEBIMENTO NÃO CONFIRMADO","Transp.: "&amp;H45&amp;" | Dest.: "&amp;I45,IF(OR(T45="CDF NÃO LOCALIZADO",T45="VÍNCULO INCOMPLETO",T45="CDF A CONFERIR"),"Dest.: "&amp;I45,"Gerador: "&amp;G45)))</f>
        <v/>
      </c>
    </row>
    <row r="46">
      <c r="A46" s="89" t="inlineStr">
        <is>
          <t>MTR-000041</t>
        </is>
      </c>
      <c r="B46" s="90" t="n"/>
      <c r="C46" s="91" t="n"/>
      <c r="D46" s="91" t="n"/>
      <c r="E46" s="92" t="n"/>
      <c r="F46" s="92" t="n"/>
      <c r="G46" s="91" t="n"/>
      <c r="H46" s="91" t="n"/>
      <c r="I46" s="91" t="n"/>
      <c r="J46" s="91" t="n"/>
      <c r="K46" s="91" t="n"/>
      <c r="L46" s="92" t="n"/>
      <c r="M46" s="91" t="n"/>
      <c r="N46" s="91" t="n"/>
      <c r="O46" s="91" t="n"/>
      <c r="P46" s="93" t="str">
        <f>IF(Z46=0,"",SUMIFS('ITENS_MTR'!$I$6:$I$1005,'ITENS_MTR'!$S$6:$S$1005,A46,'ITENS_MTR'!$Y$6:$Y$1005,1))</f>
        <v/>
      </c>
      <c r="Q46" s="93" t="str">
        <f>IF(Z46=0,"",SUMIFS('RECEBIMENTOS'!$H$6:$H$1005,'RECEBIMENTOS'!$B$6:$B$1005,A46,'RECEBIMENTOS'!$X$6:$X$1005,1))</f>
        <v/>
      </c>
      <c r="R46" s="93" t="str">
        <f>IF(Z46=0,"",SUMIFS('VÍNCULOS_CDF'!$H$6:$H$1005,'VÍNCULOS_CDF'!$D$6:$D$1005,A46,'VÍNCULOS_CDF'!$V$6:$V$1005,1))</f>
        <v/>
      </c>
      <c r="S46" s="94" t="str">
        <f>IF(Z46=0,"",IF(AA46=1,"Cancelado (informado)",IF(AE46=1,"Cadastro incompleto",IF(OR(AC46=1,AD46=1,AF46&gt;0,AH46&gt;0,AK46&gt;0,AL46&gt;0),"Informação a revisar",IF(AN46=0,"Aguardando recebimento",IF(N(R46)=0,"Aguardando CDF",IF(AJ46&lt;N(W46),"Vínculo de CDF parcial",IF(AO46=0,"CDF localizado, a conferir","Documentação conferida"))))))))</f>
        <v/>
      </c>
      <c r="T46" s="94" t="str">
        <f>IF(Z46=0,"",IF(S46="Cadastro incompleto","MTR INCOMPLETO",IF(S46="Informação a revisar",IF(AND(AH46&gt;0,AC46=0,AD46=0,AF46=0,AK46=0,AL46=0),"QUANTIDADE A REVISAR","IDENTIFICAÇÃO A REVISAR"),IF(S46="Aguardando recebimento","RECEBIMENTO NÃO CONFIRMADO",IF(S46="Aguardando CDF","CDF NÃO LOCALIZADO",IF(S46="Vínculo de CDF parcial","VÍNCULO INCOMPLETO",IF(S46="CDF localizado, a conferir","CDF A CONFERIR","")))))))</f>
        <v/>
      </c>
      <c r="U46" s="95" t="str">
        <f>IF(T46="","",IF(AQ46="","Não calculável",IF(AQ46&gt;TODAY(),"Data futura",TODAY()-AQ46)))</f>
        <v/>
      </c>
      <c r="V46" s="93" t="str">
        <f>IF(Z46=0,"",SUMIFS('RECEBIMENTOS'!$H$6:$H$1005,'RECEBIMENTOS'!$B$6:$B$1005,A46,'RECEBIMENTOS'!$Z$6:$Z$1005,1))</f>
        <v/>
      </c>
      <c r="W46" s="95" t="str">
        <f>IF(Z46=0,"",COUNTIFS('ITENS_MTR'!$S$6:$S$1005,A46,'ITENS_MTR'!$R$6:$R$1005,1))</f>
        <v/>
      </c>
      <c r="X46" s="94" t="str">
        <f>IF(AC46=1,"POSSÍVEL DUPLICIDADE","")</f>
        <v/>
      </c>
      <c r="Y46" s="94" t="str">
        <f>IF(Z46=0,"",IF(AW46="","Nenhuma",LEFT(AW46,LEN(AW46)-2)))</f>
        <v/>
      </c>
      <c r="Z46" s="96">
        <f>IF(COUNTA(B46:O46)&gt;0,1,0)</f>
        <v>0</v>
      </c>
      <c r="AA46" s="96">
        <f>IF(AND(Z46=1,K46&lt;&gt;""),IF(TRIM(K46)=TRIM(cfg_cancel),1,0),0)</f>
        <v>0</v>
      </c>
      <c r="AB46" s="96" t="str">
        <f>IF(AND(Z46=1,B46&lt;&gt;""),C46&amp;"|"&amp;D46&amp;"|"&amp;G46&amp;"|"&amp;TRIM(B46),"")</f>
        <v/>
      </c>
      <c r="AC46" s="96">
        <f>IF(AB46="",0,IF(SUMPRODUCT(--($AB$6:$AB$505=AB46))&gt;1,1,0))</f>
        <v>0</v>
      </c>
      <c r="AD46" s="96">
        <f>IF(Z46=0,0,IF(OR(AND(G46&lt;&gt;"",ISNA(MATCH(G46,'CAD_UNIDADES'!$C$6:$C$105,0))),AND(H46&lt;&gt;"",ISNA(MATCH(H46,cmp_transp,0))),AND(I46&lt;&gt;"",ISNA(MATCH(I46,cmp_dest,0))),AND(E46&lt;&gt;"",NOT(ISNUMBER(E46))),AND(F46&lt;&gt;"",NOT(ISNUMBER(F46))),AND(ISNUMBER(E46),ISNUMBER(F46),F46&lt;E46)),1,0))</f>
        <v>0</v>
      </c>
      <c r="AE46" s="96">
        <f>IF(Z46=0,0,IF(OR(B46="",C46="",E46="",G46="",H46="",I46="",N(W46)=0),1,0))</f>
        <v>0</v>
      </c>
      <c r="AF46" s="96">
        <f>IF(Z46=0,0,COUNTIFS('ITENS_MTR'!$S$6:$S$1005,A46,'ITENS_MTR'!$AI$6:$AI$1005,1))</f>
        <v>0</v>
      </c>
      <c r="AG46" s="96">
        <f>IF(Z46=0,0,COUNTIFS('ITENS_MTR'!$S$6:$S$1005,A46,'ITENS_MTR'!$AJ$6:$AJ$1005,1))</f>
        <v>0</v>
      </c>
      <c r="AH46" s="96">
        <f>IF(Z46=0,0,COUNTIFS('ITENS_MTR'!$S$6:$S$1005,A46,'ITENS_MTR'!$AM$6:$AM$1005,1))</f>
        <v>0</v>
      </c>
      <c r="AI46" s="96">
        <f>IF(Z46=0,0,COUNTIFS('ITENS_MTR'!$S$6:$S$1005,A46,'ITENS_MTR'!$AO$6:$AO$1005,1))</f>
        <v>0</v>
      </c>
      <c r="AJ46" s="96">
        <f>IF(Z46=0,0,COUNTIFS('ITENS_MTR'!$S$6:$S$1005,A46,'ITENS_MTR'!$AN$6:$AN$1005,1))</f>
        <v>0</v>
      </c>
      <c r="AK46" s="96">
        <f>IF(Z46=0,0,COUNTIFS('RECEBIMENTOS'!$B$6:$B$1005,A46,'RECEBIMENTOS'!$Y$6:$Y$1005,1))</f>
        <v>0</v>
      </c>
      <c r="AL46" s="96">
        <f>IF(Z46=0,0,COUNTIFS('VÍNCULOS_CDF'!$D$6:$D$1005,A46,'VÍNCULOS_CDF'!$Y$6:$Y$1005,1))</f>
        <v>0</v>
      </c>
      <c r="AM46" s="96">
        <f>IF(Z46=0,0,COUNTIFS('RECEBIMENTOS'!$B$6:$B$1005,A46,'RECEBIMENTOS'!$Q$6:$Q$1005,1))</f>
        <v>0</v>
      </c>
      <c r="AN46" s="96">
        <f>IF(AND(Z46=1,N(W46)&gt;0,AG46=N(W46)),1,0)</f>
        <v>0</v>
      </c>
      <c r="AO46" s="96">
        <f>IF(AND(Z46=1,N(W46)&gt;0,AI46=N(W46)),1,0)</f>
        <v>0</v>
      </c>
      <c r="AP46" s="97">
        <f>IF(Z46=0,0,_xlfn.MAXIFS('RECEBIMENTOS'!$E$6:$E$1005,'RECEBIMENTOS'!$B$6:$B$1005,A46))</f>
        <v>0</v>
      </c>
      <c r="AQ46" s="97" t="str">
        <f>IF(T46="","",IF(T46="RECEBIMENTO NÃO CONFIRMADO",IF(ISNUMBER(F46),F46,IF(ISNUMBER(E46),E46,"")),IF(OR(T46="CDF NÃO LOCALIZADO",T46="VÍNCULO INCOMPLETO",T46="CDF A CONFERIR"),IF(AP46&gt;0,AP46,IF(ISNUMBER(E46),E46,"")),IF(ISNUMBER(E46),E46,""))))</f>
        <v/>
      </c>
      <c r="AR46" s="96">
        <f>IF(NOT(ISNUMBER(U46)),0,IF(T46="RECEBIMENTO NÃO CONFIRMADO",IF(AND(ISNUMBER(cfg_rec),U46&gt;cfg_rec),1,0),IF(OR(T46="CDF NÃO LOCALIZADO",T46="VÍNCULO INCOMPLETO",T46="CDF A CONFERIR"),IF(AND(ISNUMBER(cfg_cdf),U46&gt;cfg_cdf),1,0),0)))</f>
        <v>0</v>
      </c>
      <c r="AS46" s="96" t="str">
        <f>IF(T46="","",IF(AR46=1,"Alta",IFERROR(INDEX(cfg_pp,MATCH(T46,cfg_pt,0))&amp;"","Média")))</f>
        <v/>
      </c>
      <c r="AT46" s="96" t="str">
        <f>IF(T46="","",IFERROR(INDEX(cfg_pv,MATCH(T46,cfg_pt,0))&amp;"",""))</f>
        <v/>
      </c>
      <c r="AU46" s="96" t="str">
        <f>IF(T46="","",IF(AS46="Alta",1,IF(AS46="Média",2,3))*1000000000+(999999-IF(ISNUMBER(U46),MIN(U46,999999),0))*1000+41)</f>
        <v/>
      </c>
      <c r="AV46" s="96">
        <f>IF(T46&lt;&gt;"",1,0)</f>
        <v>0</v>
      </c>
      <c r="AW46" s="96" t="str">
        <f>IF(Z46=0,"",IF(AA46=1,"Cancelamento informado; ","")&amp;IF(AE46=1,"Campos essenciais ou itens faltando; ","")&amp;IF(AC46=1,"Possível duplicidade do número; ","")&amp;IF(AD46=1,"Cadastro ou datas a revisar; ","")&amp;IF(AF46&gt;0,"Item de resíduo com dado a revisar; ","")&amp;IF(AH46&gt;0,"Diferença de quantidade a analisar; ","")&amp;IF(AK46&gt;0,"Recebimento com alerta; ","")&amp;IF(AL46&gt;0,"Vínculo de CDF com alerta; ","")&amp;IF(AND(AA46=0,AN46=0),"Recebimento não confirmado; ","")&amp;IF(AND(AA46=0,AN46=1,AO46=0),"CDF pendente ou a conferir; ",""))</f>
        <v/>
      </c>
      <c r="AX46" s="96">
        <f>IF(Z46=0,0,IF(AND(OR(f_ini="",AND(ISNUMBER(E46),E46&gt;=f_ini)),OR(f_fim="",AND(ISNUMBER(E46),E46&lt;=f_fim)),OR(f_un="",f_un="(Todas)",G46=f_un),OR(f_tr="",f_tr="(Todos)",H46=f_tr),OR(f_de="",f_de="(Todos)",I46=f_de),OR(f_sit="",f_sit="(Todas)",S46=f_sit)),1,0))</f>
        <v>0</v>
      </c>
      <c r="AY46" s="96">
        <f>IF(AX46=0,0,IF(OR(f_res="",f_res="(Todos)"),1,IF(COUNTIFS('ITENS_MTR'!$S$6:$S$1005,A46,'ITENS_MTR'!$C$6:$C$1005,f_res)&gt;0,1,0)))</f>
        <v>0</v>
      </c>
      <c r="AZ46" s="97" t="str">
        <f>IF(ISNUMBER(E46),DATE(YEAR(E46),MONTH(E46),1),"")</f>
        <v/>
      </c>
      <c r="BA46" s="96">
        <f>IF(Z46=0,0,IF(AND(OR(r_ini="",AND(ISNUMBER(E46),E46&gt;=r_ini)),OR(r_fim="",AND(ISNUMBER(E46),E46&lt;=r_fim)),OR(r_un="",r_un="(Todas)",G46=r_un),OR(r_de="",r_de="(Todos)",I46=r_de)),1,0))</f>
        <v>0</v>
      </c>
      <c r="BB46" s="96" t="str">
        <f>IF(BA46=1,COUNTIF($BA$6:BA46,1),"")</f>
        <v/>
      </c>
      <c r="BC46" s="96" t="str">
        <f>IF(AND(AU46&lt;&gt;"",OR(r_un="",r_un="(Todas)",G46=r_un),OR(r_de="",r_de="(Todos)",I46=r_de)),AU46,"")</f>
        <v/>
      </c>
      <c r="BD46" s="96" t="str">
        <f>IF(Z46=1,A46&amp;" | nº "&amp;IF(B46="","(sem número)",B46)&amp;" | "&amp;IF(G46="","(sem unidade)",G46),"")</f>
        <v/>
      </c>
      <c r="BE46" s="96" t="str">
        <f>IF(Z46=1,COUNTIF($Z$6:Z46,1),"")</f>
        <v/>
      </c>
      <c r="BF46" s="96" t="str">
        <f>IF(T46="","",IF(T46="RECEBIMENTO NÃO CONFIRMADO","Transp.: "&amp;H46&amp;" | Dest.: "&amp;I46,IF(OR(T46="CDF NÃO LOCALIZADO",T46="VÍNCULO INCOMPLETO",T46="CDF A CONFERIR"),"Dest.: "&amp;I46,"Gerador: "&amp;G46)))</f>
        <v/>
      </c>
    </row>
    <row r="47">
      <c r="A47" s="89" t="inlineStr">
        <is>
          <t>MTR-000042</t>
        </is>
      </c>
      <c r="B47" s="90" t="n"/>
      <c r="C47" s="91" t="n"/>
      <c r="D47" s="91" t="n"/>
      <c r="E47" s="92" t="n"/>
      <c r="F47" s="92" t="n"/>
      <c r="G47" s="91" t="n"/>
      <c r="H47" s="91" t="n"/>
      <c r="I47" s="91" t="n"/>
      <c r="J47" s="91" t="n"/>
      <c r="K47" s="91" t="n"/>
      <c r="L47" s="92" t="n"/>
      <c r="M47" s="91" t="n"/>
      <c r="N47" s="91" t="n"/>
      <c r="O47" s="91" t="n"/>
      <c r="P47" s="93" t="str">
        <f>IF(Z47=0,"",SUMIFS('ITENS_MTR'!$I$6:$I$1005,'ITENS_MTR'!$S$6:$S$1005,A47,'ITENS_MTR'!$Y$6:$Y$1005,1))</f>
        <v/>
      </c>
      <c r="Q47" s="93" t="str">
        <f>IF(Z47=0,"",SUMIFS('RECEBIMENTOS'!$H$6:$H$1005,'RECEBIMENTOS'!$B$6:$B$1005,A47,'RECEBIMENTOS'!$X$6:$X$1005,1))</f>
        <v/>
      </c>
      <c r="R47" s="93" t="str">
        <f>IF(Z47=0,"",SUMIFS('VÍNCULOS_CDF'!$H$6:$H$1005,'VÍNCULOS_CDF'!$D$6:$D$1005,A47,'VÍNCULOS_CDF'!$V$6:$V$1005,1))</f>
        <v/>
      </c>
      <c r="S47" s="94" t="str">
        <f>IF(Z47=0,"",IF(AA47=1,"Cancelado (informado)",IF(AE47=1,"Cadastro incompleto",IF(OR(AC47=1,AD47=1,AF47&gt;0,AH47&gt;0,AK47&gt;0,AL47&gt;0),"Informação a revisar",IF(AN47=0,"Aguardando recebimento",IF(N(R47)=0,"Aguardando CDF",IF(AJ47&lt;N(W47),"Vínculo de CDF parcial",IF(AO47=0,"CDF localizado, a conferir","Documentação conferida"))))))))</f>
        <v/>
      </c>
      <c r="T47" s="94" t="str">
        <f>IF(Z47=0,"",IF(S47="Cadastro incompleto","MTR INCOMPLETO",IF(S47="Informação a revisar",IF(AND(AH47&gt;0,AC47=0,AD47=0,AF47=0,AK47=0,AL47=0),"QUANTIDADE A REVISAR","IDENTIFICAÇÃO A REVISAR"),IF(S47="Aguardando recebimento","RECEBIMENTO NÃO CONFIRMADO",IF(S47="Aguardando CDF","CDF NÃO LOCALIZADO",IF(S47="Vínculo de CDF parcial","VÍNCULO INCOMPLETO",IF(S47="CDF localizado, a conferir","CDF A CONFERIR","")))))))</f>
        <v/>
      </c>
      <c r="U47" s="95" t="str">
        <f>IF(T47="","",IF(AQ47="","Não calculável",IF(AQ47&gt;TODAY(),"Data futura",TODAY()-AQ47)))</f>
        <v/>
      </c>
      <c r="V47" s="93" t="str">
        <f>IF(Z47=0,"",SUMIFS('RECEBIMENTOS'!$H$6:$H$1005,'RECEBIMENTOS'!$B$6:$B$1005,A47,'RECEBIMENTOS'!$Z$6:$Z$1005,1))</f>
        <v/>
      </c>
      <c r="W47" s="95" t="str">
        <f>IF(Z47=0,"",COUNTIFS('ITENS_MTR'!$S$6:$S$1005,A47,'ITENS_MTR'!$R$6:$R$1005,1))</f>
        <v/>
      </c>
      <c r="X47" s="94" t="str">
        <f>IF(AC47=1,"POSSÍVEL DUPLICIDADE","")</f>
        <v/>
      </c>
      <c r="Y47" s="94" t="str">
        <f>IF(Z47=0,"",IF(AW47="","Nenhuma",LEFT(AW47,LEN(AW47)-2)))</f>
        <v/>
      </c>
      <c r="Z47" s="96">
        <f>IF(COUNTA(B47:O47)&gt;0,1,0)</f>
        <v>0</v>
      </c>
      <c r="AA47" s="96">
        <f>IF(AND(Z47=1,K47&lt;&gt;""),IF(TRIM(K47)=TRIM(cfg_cancel),1,0),0)</f>
        <v>0</v>
      </c>
      <c r="AB47" s="96" t="str">
        <f>IF(AND(Z47=1,B47&lt;&gt;""),C47&amp;"|"&amp;D47&amp;"|"&amp;G47&amp;"|"&amp;TRIM(B47),"")</f>
        <v/>
      </c>
      <c r="AC47" s="96">
        <f>IF(AB47="",0,IF(SUMPRODUCT(--($AB$6:$AB$505=AB47))&gt;1,1,0))</f>
        <v>0</v>
      </c>
      <c r="AD47" s="96">
        <f>IF(Z47=0,0,IF(OR(AND(G47&lt;&gt;"",ISNA(MATCH(G47,'CAD_UNIDADES'!$C$6:$C$105,0))),AND(H47&lt;&gt;"",ISNA(MATCH(H47,cmp_transp,0))),AND(I47&lt;&gt;"",ISNA(MATCH(I47,cmp_dest,0))),AND(E47&lt;&gt;"",NOT(ISNUMBER(E47))),AND(F47&lt;&gt;"",NOT(ISNUMBER(F47))),AND(ISNUMBER(E47),ISNUMBER(F47),F47&lt;E47)),1,0))</f>
        <v>0</v>
      </c>
      <c r="AE47" s="96">
        <f>IF(Z47=0,0,IF(OR(B47="",C47="",E47="",G47="",H47="",I47="",N(W47)=0),1,0))</f>
        <v>0</v>
      </c>
      <c r="AF47" s="96">
        <f>IF(Z47=0,0,COUNTIFS('ITENS_MTR'!$S$6:$S$1005,A47,'ITENS_MTR'!$AI$6:$AI$1005,1))</f>
        <v>0</v>
      </c>
      <c r="AG47" s="96">
        <f>IF(Z47=0,0,COUNTIFS('ITENS_MTR'!$S$6:$S$1005,A47,'ITENS_MTR'!$AJ$6:$AJ$1005,1))</f>
        <v>0</v>
      </c>
      <c r="AH47" s="96">
        <f>IF(Z47=0,0,COUNTIFS('ITENS_MTR'!$S$6:$S$1005,A47,'ITENS_MTR'!$AM$6:$AM$1005,1))</f>
        <v>0</v>
      </c>
      <c r="AI47" s="96">
        <f>IF(Z47=0,0,COUNTIFS('ITENS_MTR'!$S$6:$S$1005,A47,'ITENS_MTR'!$AO$6:$AO$1005,1))</f>
        <v>0</v>
      </c>
      <c r="AJ47" s="96">
        <f>IF(Z47=0,0,COUNTIFS('ITENS_MTR'!$S$6:$S$1005,A47,'ITENS_MTR'!$AN$6:$AN$1005,1))</f>
        <v>0</v>
      </c>
      <c r="AK47" s="96">
        <f>IF(Z47=0,0,COUNTIFS('RECEBIMENTOS'!$B$6:$B$1005,A47,'RECEBIMENTOS'!$Y$6:$Y$1005,1))</f>
        <v>0</v>
      </c>
      <c r="AL47" s="96">
        <f>IF(Z47=0,0,COUNTIFS('VÍNCULOS_CDF'!$D$6:$D$1005,A47,'VÍNCULOS_CDF'!$Y$6:$Y$1005,1))</f>
        <v>0</v>
      </c>
      <c r="AM47" s="96">
        <f>IF(Z47=0,0,COUNTIFS('RECEBIMENTOS'!$B$6:$B$1005,A47,'RECEBIMENTOS'!$Q$6:$Q$1005,1))</f>
        <v>0</v>
      </c>
      <c r="AN47" s="96">
        <f>IF(AND(Z47=1,N(W47)&gt;0,AG47=N(W47)),1,0)</f>
        <v>0</v>
      </c>
      <c r="AO47" s="96">
        <f>IF(AND(Z47=1,N(W47)&gt;0,AI47=N(W47)),1,0)</f>
        <v>0</v>
      </c>
      <c r="AP47" s="97">
        <f>IF(Z47=0,0,_xlfn.MAXIFS('RECEBIMENTOS'!$E$6:$E$1005,'RECEBIMENTOS'!$B$6:$B$1005,A47))</f>
        <v>0</v>
      </c>
      <c r="AQ47" s="97" t="str">
        <f>IF(T47="","",IF(T47="RECEBIMENTO NÃO CONFIRMADO",IF(ISNUMBER(F47),F47,IF(ISNUMBER(E47),E47,"")),IF(OR(T47="CDF NÃO LOCALIZADO",T47="VÍNCULO INCOMPLETO",T47="CDF A CONFERIR"),IF(AP47&gt;0,AP47,IF(ISNUMBER(E47),E47,"")),IF(ISNUMBER(E47),E47,""))))</f>
        <v/>
      </c>
      <c r="AR47" s="96">
        <f>IF(NOT(ISNUMBER(U47)),0,IF(T47="RECEBIMENTO NÃO CONFIRMADO",IF(AND(ISNUMBER(cfg_rec),U47&gt;cfg_rec),1,0),IF(OR(T47="CDF NÃO LOCALIZADO",T47="VÍNCULO INCOMPLETO",T47="CDF A CONFERIR"),IF(AND(ISNUMBER(cfg_cdf),U47&gt;cfg_cdf),1,0),0)))</f>
        <v>0</v>
      </c>
      <c r="AS47" s="96" t="str">
        <f>IF(T47="","",IF(AR47=1,"Alta",IFERROR(INDEX(cfg_pp,MATCH(T47,cfg_pt,0))&amp;"","Média")))</f>
        <v/>
      </c>
      <c r="AT47" s="96" t="str">
        <f>IF(T47="","",IFERROR(INDEX(cfg_pv,MATCH(T47,cfg_pt,0))&amp;"",""))</f>
        <v/>
      </c>
      <c r="AU47" s="96" t="str">
        <f>IF(T47="","",IF(AS47="Alta",1,IF(AS47="Média",2,3))*1000000000+(999999-IF(ISNUMBER(U47),MIN(U47,999999),0))*1000+42)</f>
        <v/>
      </c>
      <c r="AV47" s="96">
        <f>IF(T47&lt;&gt;"",1,0)</f>
        <v>0</v>
      </c>
      <c r="AW47" s="96" t="str">
        <f>IF(Z47=0,"",IF(AA47=1,"Cancelamento informado; ","")&amp;IF(AE47=1,"Campos essenciais ou itens faltando; ","")&amp;IF(AC47=1,"Possível duplicidade do número; ","")&amp;IF(AD47=1,"Cadastro ou datas a revisar; ","")&amp;IF(AF47&gt;0,"Item de resíduo com dado a revisar; ","")&amp;IF(AH47&gt;0,"Diferença de quantidade a analisar; ","")&amp;IF(AK47&gt;0,"Recebimento com alerta; ","")&amp;IF(AL47&gt;0,"Vínculo de CDF com alerta; ","")&amp;IF(AND(AA47=0,AN47=0),"Recebimento não confirmado; ","")&amp;IF(AND(AA47=0,AN47=1,AO47=0),"CDF pendente ou a conferir; ",""))</f>
        <v/>
      </c>
      <c r="AX47" s="96">
        <f>IF(Z47=0,0,IF(AND(OR(f_ini="",AND(ISNUMBER(E47),E47&gt;=f_ini)),OR(f_fim="",AND(ISNUMBER(E47),E47&lt;=f_fim)),OR(f_un="",f_un="(Todas)",G47=f_un),OR(f_tr="",f_tr="(Todos)",H47=f_tr),OR(f_de="",f_de="(Todos)",I47=f_de),OR(f_sit="",f_sit="(Todas)",S47=f_sit)),1,0))</f>
        <v>0</v>
      </c>
      <c r="AY47" s="96">
        <f>IF(AX47=0,0,IF(OR(f_res="",f_res="(Todos)"),1,IF(COUNTIFS('ITENS_MTR'!$S$6:$S$1005,A47,'ITENS_MTR'!$C$6:$C$1005,f_res)&gt;0,1,0)))</f>
        <v>0</v>
      </c>
      <c r="AZ47" s="97" t="str">
        <f>IF(ISNUMBER(E47),DATE(YEAR(E47),MONTH(E47),1),"")</f>
        <v/>
      </c>
      <c r="BA47" s="96">
        <f>IF(Z47=0,0,IF(AND(OR(r_ini="",AND(ISNUMBER(E47),E47&gt;=r_ini)),OR(r_fim="",AND(ISNUMBER(E47),E47&lt;=r_fim)),OR(r_un="",r_un="(Todas)",G47=r_un),OR(r_de="",r_de="(Todos)",I47=r_de)),1,0))</f>
        <v>0</v>
      </c>
      <c r="BB47" s="96" t="str">
        <f>IF(BA47=1,COUNTIF($BA$6:BA47,1),"")</f>
        <v/>
      </c>
      <c r="BC47" s="96" t="str">
        <f>IF(AND(AU47&lt;&gt;"",OR(r_un="",r_un="(Todas)",G47=r_un),OR(r_de="",r_de="(Todos)",I47=r_de)),AU47,"")</f>
        <v/>
      </c>
      <c r="BD47" s="96" t="str">
        <f>IF(Z47=1,A47&amp;" | nº "&amp;IF(B47="","(sem número)",B47)&amp;" | "&amp;IF(G47="","(sem unidade)",G47),"")</f>
        <v/>
      </c>
      <c r="BE47" s="96" t="str">
        <f>IF(Z47=1,COUNTIF($Z$6:Z47,1),"")</f>
        <v/>
      </c>
      <c r="BF47" s="96" t="str">
        <f>IF(T47="","",IF(T47="RECEBIMENTO NÃO CONFIRMADO","Transp.: "&amp;H47&amp;" | Dest.: "&amp;I47,IF(OR(T47="CDF NÃO LOCALIZADO",T47="VÍNCULO INCOMPLETO",T47="CDF A CONFERIR"),"Dest.: "&amp;I47,"Gerador: "&amp;G47)))</f>
        <v/>
      </c>
    </row>
    <row r="48">
      <c r="A48" s="89" t="inlineStr">
        <is>
          <t>MTR-000043</t>
        </is>
      </c>
      <c r="B48" s="90" t="n"/>
      <c r="C48" s="91" t="n"/>
      <c r="D48" s="91" t="n"/>
      <c r="E48" s="92" t="n"/>
      <c r="F48" s="92" t="n"/>
      <c r="G48" s="91" t="n"/>
      <c r="H48" s="91" t="n"/>
      <c r="I48" s="91" t="n"/>
      <c r="J48" s="91" t="n"/>
      <c r="K48" s="91" t="n"/>
      <c r="L48" s="92" t="n"/>
      <c r="M48" s="91" t="n"/>
      <c r="N48" s="91" t="n"/>
      <c r="O48" s="91" t="n"/>
      <c r="P48" s="93" t="str">
        <f>IF(Z48=0,"",SUMIFS('ITENS_MTR'!$I$6:$I$1005,'ITENS_MTR'!$S$6:$S$1005,A48,'ITENS_MTR'!$Y$6:$Y$1005,1))</f>
        <v/>
      </c>
      <c r="Q48" s="93" t="str">
        <f>IF(Z48=0,"",SUMIFS('RECEBIMENTOS'!$H$6:$H$1005,'RECEBIMENTOS'!$B$6:$B$1005,A48,'RECEBIMENTOS'!$X$6:$X$1005,1))</f>
        <v/>
      </c>
      <c r="R48" s="93" t="str">
        <f>IF(Z48=0,"",SUMIFS('VÍNCULOS_CDF'!$H$6:$H$1005,'VÍNCULOS_CDF'!$D$6:$D$1005,A48,'VÍNCULOS_CDF'!$V$6:$V$1005,1))</f>
        <v/>
      </c>
      <c r="S48" s="94" t="str">
        <f>IF(Z48=0,"",IF(AA48=1,"Cancelado (informado)",IF(AE48=1,"Cadastro incompleto",IF(OR(AC48=1,AD48=1,AF48&gt;0,AH48&gt;0,AK48&gt;0,AL48&gt;0),"Informação a revisar",IF(AN48=0,"Aguardando recebimento",IF(N(R48)=0,"Aguardando CDF",IF(AJ48&lt;N(W48),"Vínculo de CDF parcial",IF(AO48=0,"CDF localizado, a conferir","Documentação conferida"))))))))</f>
        <v/>
      </c>
      <c r="T48" s="94" t="str">
        <f>IF(Z48=0,"",IF(S48="Cadastro incompleto","MTR INCOMPLETO",IF(S48="Informação a revisar",IF(AND(AH48&gt;0,AC48=0,AD48=0,AF48=0,AK48=0,AL48=0),"QUANTIDADE A REVISAR","IDENTIFICAÇÃO A REVISAR"),IF(S48="Aguardando recebimento","RECEBIMENTO NÃO CONFIRMADO",IF(S48="Aguardando CDF","CDF NÃO LOCALIZADO",IF(S48="Vínculo de CDF parcial","VÍNCULO INCOMPLETO",IF(S48="CDF localizado, a conferir","CDF A CONFERIR","")))))))</f>
        <v/>
      </c>
      <c r="U48" s="95" t="str">
        <f>IF(T48="","",IF(AQ48="","Não calculável",IF(AQ48&gt;TODAY(),"Data futura",TODAY()-AQ48)))</f>
        <v/>
      </c>
      <c r="V48" s="93" t="str">
        <f>IF(Z48=0,"",SUMIFS('RECEBIMENTOS'!$H$6:$H$1005,'RECEBIMENTOS'!$B$6:$B$1005,A48,'RECEBIMENTOS'!$Z$6:$Z$1005,1))</f>
        <v/>
      </c>
      <c r="W48" s="95" t="str">
        <f>IF(Z48=0,"",COUNTIFS('ITENS_MTR'!$S$6:$S$1005,A48,'ITENS_MTR'!$R$6:$R$1005,1))</f>
        <v/>
      </c>
      <c r="X48" s="94" t="str">
        <f>IF(AC48=1,"POSSÍVEL DUPLICIDADE","")</f>
        <v/>
      </c>
      <c r="Y48" s="94" t="str">
        <f>IF(Z48=0,"",IF(AW48="","Nenhuma",LEFT(AW48,LEN(AW48)-2)))</f>
        <v/>
      </c>
      <c r="Z48" s="96">
        <f>IF(COUNTA(B48:O48)&gt;0,1,0)</f>
        <v>0</v>
      </c>
      <c r="AA48" s="96">
        <f>IF(AND(Z48=1,K48&lt;&gt;""),IF(TRIM(K48)=TRIM(cfg_cancel),1,0),0)</f>
        <v>0</v>
      </c>
      <c r="AB48" s="96" t="str">
        <f>IF(AND(Z48=1,B48&lt;&gt;""),C48&amp;"|"&amp;D48&amp;"|"&amp;G48&amp;"|"&amp;TRIM(B48),"")</f>
        <v/>
      </c>
      <c r="AC48" s="96">
        <f>IF(AB48="",0,IF(SUMPRODUCT(--($AB$6:$AB$505=AB48))&gt;1,1,0))</f>
        <v>0</v>
      </c>
      <c r="AD48" s="96">
        <f>IF(Z48=0,0,IF(OR(AND(G48&lt;&gt;"",ISNA(MATCH(G48,'CAD_UNIDADES'!$C$6:$C$105,0))),AND(H48&lt;&gt;"",ISNA(MATCH(H48,cmp_transp,0))),AND(I48&lt;&gt;"",ISNA(MATCH(I48,cmp_dest,0))),AND(E48&lt;&gt;"",NOT(ISNUMBER(E48))),AND(F48&lt;&gt;"",NOT(ISNUMBER(F48))),AND(ISNUMBER(E48),ISNUMBER(F48),F48&lt;E48)),1,0))</f>
        <v>0</v>
      </c>
      <c r="AE48" s="96">
        <f>IF(Z48=0,0,IF(OR(B48="",C48="",E48="",G48="",H48="",I48="",N(W48)=0),1,0))</f>
        <v>0</v>
      </c>
      <c r="AF48" s="96">
        <f>IF(Z48=0,0,COUNTIFS('ITENS_MTR'!$S$6:$S$1005,A48,'ITENS_MTR'!$AI$6:$AI$1005,1))</f>
        <v>0</v>
      </c>
      <c r="AG48" s="96">
        <f>IF(Z48=0,0,COUNTIFS('ITENS_MTR'!$S$6:$S$1005,A48,'ITENS_MTR'!$AJ$6:$AJ$1005,1))</f>
        <v>0</v>
      </c>
      <c r="AH48" s="96">
        <f>IF(Z48=0,0,COUNTIFS('ITENS_MTR'!$S$6:$S$1005,A48,'ITENS_MTR'!$AM$6:$AM$1005,1))</f>
        <v>0</v>
      </c>
      <c r="AI48" s="96">
        <f>IF(Z48=0,0,COUNTIFS('ITENS_MTR'!$S$6:$S$1005,A48,'ITENS_MTR'!$AO$6:$AO$1005,1))</f>
        <v>0</v>
      </c>
      <c r="AJ48" s="96">
        <f>IF(Z48=0,0,COUNTIFS('ITENS_MTR'!$S$6:$S$1005,A48,'ITENS_MTR'!$AN$6:$AN$1005,1))</f>
        <v>0</v>
      </c>
      <c r="AK48" s="96">
        <f>IF(Z48=0,0,COUNTIFS('RECEBIMENTOS'!$B$6:$B$1005,A48,'RECEBIMENTOS'!$Y$6:$Y$1005,1))</f>
        <v>0</v>
      </c>
      <c r="AL48" s="96">
        <f>IF(Z48=0,0,COUNTIFS('VÍNCULOS_CDF'!$D$6:$D$1005,A48,'VÍNCULOS_CDF'!$Y$6:$Y$1005,1))</f>
        <v>0</v>
      </c>
      <c r="AM48" s="96">
        <f>IF(Z48=0,0,COUNTIFS('RECEBIMENTOS'!$B$6:$B$1005,A48,'RECEBIMENTOS'!$Q$6:$Q$1005,1))</f>
        <v>0</v>
      </c>
      <c r="AN48" s="96">
        <f>IF(AND(Z48=1,N(W48)&gt;0,AG48=N(W48)),1,0)</f>
        <v>0</v>
      </c>
      <c r="AO48" s="96">
        <f>IF(AND(Z48=1,N(W48)&gt;0,AI48=N(W48)),1,0)</f>
        <v>0</v>
      </c>
      <c r="AP48" s="97">
        <f>IF(Z48=0,0,_xlfn.MAXIFS('RECEBIMENTOS'!$E$6:$E$1005,'RECEBIMENTOS'!$B$6:$B$1005,A48))</f>
        <v>0</v>
      </c>
      <c r="AQ48" s="97" t="str">
        <f>IF(T48="","",IF(T48="RECEBIMENTO NÃO CONFIRMADO",IF(ISNUMBER(F48),F48,IF(ISNUMBER(E48),E48,"")),IF(OR(T48="CDF NÃO LOCALIZADO",T48="VÍNCULO INCOMPLETO",T48="CDF A CONFERIR"),IF(AP48&gt;0,AP48,IF(ISNUMBER(E48),E48,"")),IF(ISNUMBER(E48),E48,""))))</f>
        <v/>
      </c>
      <c r="AR48" s="96">
        <f>IF(NOT(ISNUMBER(U48)),0,IF(T48="RECEBIMENTO NÃO CONFIRMADO",IF(AND(ISNUMBER(cfg_rec),U48&gt;cfg_rec),1,0),IF(OR(T48="CDF NÃO LOCALIZADO",T48="VÍNCULO INCOMPLETO",T48="CDF A CONFERIR"),IF(AND(ISNUMBER(cfg_cdf),U48&gt;cfg_cdf),1,0),0)))</f>
        <v>0</v>
      </c>
      <c r="AS48" s="96" t="str">
        <f>IF(T48="","",IF(AR48=1,"Alta",IFERROR(INDEX(cfg_pp,MATCH(T48,cfg_pt,0))&amp;"","Média")))</f>
        <v/>
      </c>
      <c r="AT48" s="96" t="str">
        <f>IF(T48="","",IFERROR(INDEX(cfg_pv,MATCH(T48,cfg_pt,0))&amp;"",""))</f>
        <v/>
      </c>
      <c r="AU48" s="96" t="str">
        <f>IF(T48="","",IF(AS48="Alta",1,IF(AS48="Média",2,3))*1000000000+(999999-IF(ISNUMBER(U48),MIN(U48,999999),0))*1000+43)</f>
        <v/>
      </c>
      <c r="AV48" s="96">
        <f>IF(T48&lt;&gt;"",1,0)</f>
        <v>0</v>
      </c>
      <c r="AW48" s="96" t="str">
        <f>IF(Z48=0,"",IF(AA48=1,"Cancelamento informado; ","")&amp;IF(AE48=1,"Campos essenciais ou itens faltando; ","")&amp;IF(AC48=1,"Possível duplicidade do número; ","")&amp;IF(AD48=1,"Cadastro ou datas a revisar; ","")&amp;IF(AF48&gt;0,"Item de resíduo com dado a revisar; ","")&amp;IF(AH48&gt;0,"Diferença de quantidade a analisar; ","")&amp;IF(AK48&gt;0,"Recebimento com alerta; ","")&amp;IF(AL48&gt;0,"Vínculo de CDF com alerta; ","")&amp;IF(AND(AA48=0,AN48=0),"Recebimento não confirmado; ","")&amp;IF(AND(AA48=0,AN48=1,AO48=0),"CDF pendente ou a conferir; ",""))</f>
        <v/>
      </c>
      <c r="AX48" s="96">
        <f>IF(Z48=0,0,IF(AND(OR(f_ini="",AND(ISNUMBER(E48),E48&gt;=f_ini)),OR(f_fim="",AND(ISNUMBER(E48),E48&lt;=f_fim)),OR(f_un="",f_un="(Todas)",G48=f_un),OR(f_tr="",f_tr="(Todos)",H48=f_tr),OR(f_de="",f_de="(Todos)",I48=f_de),OR(f_sit="",f_sit="(Todas)",S48=f_sit)),1,0))</f>
        <v>0</v>
      </c>
      <c r="AY48" s="96">
        <f>IF(AX48=0,0,IF(OR(f_res="",f_res="(Todos)"),1,IF(COUNTIFS('ITENS_MTR'!$S$6:$S$1005,A48,'ITENS_MTR'!$C$6:$C$1005,f_res)&gt;0,1,0)))</f>
        <v>0</v>
      </c>
      <c r="AZ48" s="97" t="str">
        <f>IF(ISNUMBER(E48),DATE(YEAR(E48),MONTH(E48),1),"")</f>
        <v/>
      </c>
      <c r="BA48" s="96">
        <f>IF(Z48=0,0,IF(AND(OR(r_ini="",AND(ISNUMBER(E48),E48&gt;=r_ini)),OR(r_fim="",AND(ISNUMBER(E48),E48&lt;=r_fim)),OR(r_un="",r_un="(Todas)",G48=r_un),OR(r_de="",r_de="(Todos)",I48=r_de)),1,0))</f>
        <v>0</v>
      </c>
      <c r="BB48" s="96" t="str">
        <f>IF(BA48=1,COUNTIF($BA$6:BA48,1),"")</f>
        <v/>
      </c>
      <c r="BC48" s="96" t="str">
        <f>IF(AND(AU48&lt;&gt;"",OR(r_un="",r_un="(Todas)",G48=r_un),OR(r_de="",r_de="(Todos)",I48=r_de)),AU48,"")</f>
        <v/>
      </c>
      <c r="BD48" s="96" t="str">
        <f>IF(Z48=1,A48&amp;" | nº "&amp;IF(B48="","(sem número)",B48)&amp;" | "&amp;IF(G48="","(sem unidade)",G48),"")</f>
        <v/>
      </c>
      <c r="BE48" s="96" t="str">
        <f>IF(Z48=1,COUNTIF($Z$6:Z48,1),"")</f>
        <v/>
      </c>
      <c r="BF48" s="96" t="str">
        <f>IF(T48="","",IF(T48="RECEBIMENTO NÃO CONFIRMADO","Transp.: "&amp;H48&amp;" | Dest.: "&amp;I48,IF(OR(T48="CDF NÃO LOCALIZADO",T48="VÍNCULO INCOMPLETO",T48="CDF A CONFERIR"),"Dest.: "&amp;I48,"Gerador: "&amp;G48)))</f>
        <v/>
      </c>
    </row>
    <row r="49">
      <c r="A49" s="89" t="inlineStr">
        <is>
          <t>MTR-000044</t>
        </is>
      </c>
      <c r="B49" s="90" t="n"/>
      <c r="C49" s="91" t="n"/>
      <c r="D49" s="91" t="n"/>
      <c r="E49" s="92" t="n"/>
      <c r="F49" s="92" t="n"/>
      <c r="G49" s="91" t="n"/>
      <c r="H49" s="91" t="n"/>
      <c r="I49" s="91" t="n"/>
      <c r="J49" s="91" t="n"/>
      <c r="K49" s="91" t="n"/>
      <c r="L49" s="92" t="n"/>
      <c r="M49" s="91" t="n"/>
      <c r="N49" s="91" t="n"/>
      <c r="O49" s="91" t="n"/>
      <c r="P49" s="93" t="str">
        <f>IF(Z49=0,"",SUMIFS('ITENS_MTR'!$I$6:$I$1005,'ITENS_MTR'!$S$6:$S$1005,A49,'ITENS_MTR'!$Y$6:$Y$1005,1))</f>
        <v/>
      </c>
      <c r="Q49" s="93" t="str">
        <f>IF(Z49=0,"",SUMIFS('RECEBIMENTOS'!$H$6:$H$1005,'RECEBIMENTOS'!$B$6:$B$1005,A49,'RECEBIMENTOS'!$X$6:$X$1005,1))</f>
        <v/>
      </c>
      <c r="R49" s="93" t="str">
        <f>IF(Z49=0,"",SUMIFS('VÍNCULOS_CDF'!$H$6:$H$1005,'VÍNCULOS_CDF'!$D$6:$D$1005,A49,'VÍNCULOS_CDF'!$V$6:$V$1005,1))</f>
        <v/>
      </c>
      <c r="S49" s="94" t="str">
        <f>IF(Z49=0,"",IF(AA49=1,"Cancelado (informado)",IF(AE49=1,"Cadastro incompleto",IF(OR(AC49=1,AD49=1,AF49&gt;0,AH49&gt;0,AK49&gt;0,AL49&gt;0),"Informação a revisar",IF(AN49=0,"Aguardando recebimento",IF(N(R49)=0,"Aguardando CDF",IF(AJ49&lt;N(W49),"Vínculo de CDF parcial",IF(AO49=0,"CDF localizado, a conferir","Documentação conferida"))))))))</f>
        <v/>
      </c>
      <c r="T49" s="94" t="str">
        <f>IF(Z49=0,"",IF(S49="Cadastro incompleto","MTR INCOMPLETO",IF(S49="Informação a revisar",IF(AND(AH49&gt;0,AC49=0,AD49=0,AF49=0,AK49=0,AL49=0),"QUANTIDADE A REVISAR","IDENTIFICAÇÃO A REVISAR"),IF(S49="Aguardando recebimento","RECEBIMENTO NÃO CONFIRMADO",IF(S49="Aguardando CDF","CDF NÃO LOCALIZADO",IF(S49="Vínculo de CDF parcial","VÍNCULO INCOMPLETO",IF(S49="CDF localizado, a conferir","CDF A CONFERIR","")))))))</f>
        <v/>
      </c>
      <c r="U49" s="95" t="str">
        <f>IF(T49="","",IF(AQ49="","Não calculável",IF(AQ49&gt;TODAY(),"Data futura",TODAY()-AQ49)))</f>
        <v/>
      </c>
      <c r="V49" s="93" t="str">
        <f>IF(Z49=0,"",SUMIFS('RECEBIMENTOS'!$H$6:$H$1005,'RECEBIMENTOS'!$B$6:$B$1005,A49,'RECEBIMENTOS'!$Z$6:$Z$1005,1))</f>
        <v/>
      </c>
      <c r="W49" s="95" t="str">
        <f>IF(Z49=0,"",COUNTIFS('ITENS_MTR'!$S$6:$S$1005,A49,'ITENS_MTR'!$R$6:$R$1005,1))</f>
        <v/>
      </c>
      <c r="X49" s="94" t="str">
        <f>IF(AC49=1,"POSSÍVEL DUPLICIDADE","")</f>
        <v/>
      </c>
      <c r="Y49" s="94" t="str">
        <f>IF(Z49=0,"",IF(AW49="","Nenhuma",LEFT(AW49,LEN(AW49)-2)))</f>
        <v/>
      </c>
      <c r="Z49" s="96">
        <f>IF(COUNTA(B49:O49)&gt;0,1,0)</f>
        <v>0</v>
      </c>
      <c r="AA49" s="96">
        <f>IF(AND(Z49=1,K49&lt;&gt;""),IF(TRIM(K49)=TRIM(cfg_cancel),1,0),0)</f>
        <v>0</v>
      </c>
      <c r="AB49" s="96" t="str">
        <f>IF(AND(Z49=1,B49&lt;&gt;""),C49&amp;"|"&amp;D49&amp;"|"&amp;G49&amp;"|"&amp;TRIM(B49),"")</f>
        <v/>
      </c>
      <c r="AC49" s="96">
        <f>IF(AB49="",0,IF(SUMPRODUCT(--($AB$6:$AB$505=AB49))&gt;1,1,0))</f>
        <v>0</v>
      </c>
      <c r="AD49" s="96">
        <f>IF(Z49=0,0,IF(OR(AND(G49&lt;&gt;"",ISNA(MATCH(G49,'CAD_UNIDADES'!$C$6:$C$105,0))),AND(H49&lt;&gt;"",ISNA(MATCH(H49,cmp_transp,0))),AND(I49&lt;&gt;"",ISNA(MATCH(I49,cmp_dest,0))),AND(E49&lt;&gt;"",NOT(ISNUMBER(E49))),AND(F49&lt;&gt;"",NOT(ISNUMBER(F49))),AND(ISNUMBER(E49),ISNUMBER(F49),F49&lt;E49)),1,0))</f>
        <v>0</v>
      </c>
      <c r="AE49" s="96">
        <f>IF(Z49=0,0,IF(OR(B49="",C49="",E49="",G49="",H49="",I49="",N(W49)=0),1,0))</f>
        <v>0</v>
      </c>
      <c r="AF49" s="96">
        <f>IF(Z49=0,0,COUNTIFS('ITENS_MTR'!$S$6:$S$1005,A49,'ITENS_MTR'!$AI$6:$AI$1005,1))</f>
        <v>0</v>
      </c>
      <c r="AG49" s="96">
        <f>IF(Z49=0,0,COUNTIFS('ITENS_MTR'!$S$6:$S$1005,A49,'ITENS_MTR'!$AJ$6:$AJ$1005,1))</f>
        <v>0</v>
      </c>
      <c r="AH49" s="96">
        <f>IF(Z49=0,0,COUNTIFS('ITENS_MTR'!$S$6:$S$1005,A49,'ITENS_MTR'!$AM$6:$AM$1005,1))</f>
        <v>0</v>
      </c>
      <c r="AI49" s="96">
        <f>IF(Z49=0,0,COUNTIFS('ITENS_MTR'!$S$6:$S$1005,A49,'ITENS_MTR'!$AO$6:$AO$1005,1))</f>
        <v>0</v>
      </c>
      <c r="AJ49" s="96">
        <f>IF(Z49=0,0,COUNTIFS('ITENS_MTR'!$S$6:$S$1005,A49,'ITENS_MTR'!$AN$6:$AN$1005,1))</f>
        <v>0</v>
      </c>
      <c r="AK49" s="96">
        <f>IF(Z49=0,0,COUNTIFS('RECEBIMENTOS'!$B$6:$B$1005,A49,'RECEBIMENTOS'!$Y$6:$Y$1005,1))</f>
        <v>0</v>
      </c>
      <c r="AL49" s="96">
        <f>IF(Z49=0,0,COUNTIFS('VÍNCULOS_CDF'!$D$6:$D$1005,A49,'VÍNCULOS_CDF'!$Y$6:$Y$1005,1))</f>
        <v>0</v>
      </c>
      <c r="AM49" s="96">
        <f>IF(Z49=0,0,COUNTIFS('RECEBIMENTOS'!$B$6:$B$1005,A49,'RECEBIMENTOS'!$Q$6:$Q$1005,1))</f>
        <v>0</v>
      </c>
      <c r="AN49" s="96">
        <f>IF(AND(Z49=1,N(W49)&gt;0,AG49=N(W49)),1,0)</f>
        <v>0</v>
      </c>
      <c r="AO49" s="96">
        <f>IF(AND(Z49=1,N(W49)&gt;0,AI49=N(W49)),1,0)</f>
        <v>0</v>
      </c>
      <c r="AP49" s="97">
        <f>IF(Z49=0,0,_xlfn.MAXIFS('RECEBIMENTOS'!$E$6:$E$1005,'RECEBIMENTOS'!$B$6:$B$1005,A49))</f>
        <v>0</v>
      </c>
      <c r="AQ49" s="97" t="str">
        <f>IF(T49="","",IF(T49="RECEBIMENTO NÃO CONFIRMADO",IF(ISNUMBER(F49),F49,IF(ISNUMBER(E49),E49,"")),IF(OR(T49="CDF NÃO LOCALIZADO",T49="VÍNCULO INCOMPLETO",T49="CDF A CONFERIR"),IF(AP49&gt;0,AP49,IF(ISNUMBER(E49),E49,"")),IF(ISNUMBER(E49),E49,""))))</f>
        <v/>
      </c>
      <c r="AR49" s="96">
        <f>IF(NOT(ISNUMBER(U49)),0,IF(T49="RECEBIMENTO NÃO CONFIRMADO",IF(AND(ISNUMBER(cfg_rec),U49&gt;cfg_rec),1,0),IF(OR(T49="CDF NÃO LOCALIZADO",T49="VÍNCULO INCOMPLETO",T49="CDF A CONFERIR"),IF(AND(ISNUMBER(cfg_cdf),U49&gt;cfg_cdf),1,0),0)))</f>
        <v>0</v>
      </c>
      <c r="AS49" s="96" t="str">
        <f>IF(T49="","",IF(AR49=1,"Alta",IFERROR(INDEX(cfg_pp,MATCH(T49,cfg_pt,0))&amp;"","Média")))</f>
        <v/>
      </c>
      <c r="AT49" s="96" t="str">
        <f>IF(T49="","",IFERROR(INDEX(cfg_pv,MATCH(T49,cfg_pt,0))&amp;"",""))</f>
        <v/>
      </c>
      <c r="AU49" s="96" t="str">
        <f>IF(T49="","",IF(AS49="Alta",1,IF(AS49="Média",2,3))*1000000000+(999999-IF(ISNUMBER(U49),MIN(U49,999999),0))*1000+44)</f>
        <v/>
      </c>
      <c r="AV49" s="96">
        <f>IF(T49&lt;&gt;"",1,0)</f>
        <v>0</v>
      </c>
      <c r="AW49" s="96" t="str">
        <f>IF(Z49=0,"",IF(AA49=1,"Cancelamento informado; ","")&amp;IF(AE49=1,"Campos essenciais ou itens faltando; ","")&amp;IF(AC49=1,"Possível duplicidade do número; ","")&amp;IF(AD49=1,"Cadastro ou datas a revisar; ","")&amp;IF(AF49&gt;0,"Item de resíduo com dado a revisar; ","")&amp;IF(AH49&gt;0,"Diferença de quantidade a analisar; ","")&amp;IF(AK49&gt;0,"Recebimento com alerta; ","")&amp;IF(AL49&gt;0,"Vínculo de CDF com alerta; ","")&amp;IF(AND(AA49=0,AN49=0),"Recebimento não confirmado; ","")&amp;IF(AND(AA49=0,AN49=1,AO49=0),"CDF pendente ou a conferir; ",""))</f>
        <v/>
      </c>
      <c r="AX49" s="96">
        <f>IF(Z49=0,0,IF(AND(OR(f_ini="",AND(ISNUMBER(E49),E49&gt;=f_ini)),OR(f_fim="",AND(ISNUMBER(E49),E49&lt;=f_fim)),OR(f_un="",f_un="(Todas)",G49=f_un),OR(f_tr="",f_tr="(Todos)",H49=f_tr),OR(f_de="",f_de="(Todos)",I49=f_de),OR(f_sit="",f_sit="(Todas)",S49=f_sit)),1,0))</f>
        <v>0</v>
      </c>
      <c r="AY49" s="96">
        <f>IF(AX49=0,0,IF(OR(f_res="",f_res="(Todos)"),1,IF(COUNTIFS('ITENS_MTR'!$S$6:$S$1005,A49,'ITENS_MTR'!$C$6:$C$1005,f_res)&gt;0,1,0)))</f>
        <v>0</v>
      </c>
      <c r="AZ49" s="97" t="str">
        <f>IF(ISNUMBER(E49),DATE(YEAR(E49),MONTH(E49),1),"")</f>
        <v/>
      </c>
      <c r="BA49" s="96">
        <f>IF(Z49=0,0,IF(AND(OR(r_ini="",AND(ISNUMBER(E49),E49&gt;=r_ini)),OR(r_fim="",AND(ISNUMBER(E49),E49&lt;=r_fim)),OR(r_un="",r_un="(Todas)",G49=r_un),OR(r_de="",r_de="(Todos)",I49=r_de)),1,0))</f>
        <v>0</v>
      </c>
      <c r="BB49" s="96" t="str">
        <f>IF(BA49=1,COUNTIF($BA$6:BA49,1),"")</f>
        <v/>
      </c>
      <c r="BC49" s="96" t="str">
        <f>IF(AND(AU49&lt;&gt;"",OR(r_un="",r_un="(Todas)",G49=r_un),OR(r_de="",r_de="(Todos)",I49=r_de)),AU49,"")</f>
        <v/>
      </c>
      <c r="BD49" s="96" t="str">
        <f>IF(Z49=1,A49&amp;" | nº "&amp;IF(B49="","(sem número)",B49)&amp;" | "&amp;IF(G49="","(sem unidade)",G49),"")</f>
        <v/>
      </c>
      <c r="BE49" s="96" t="str">
        <f>IF(Z49=1,COUNTIF($Z$6:Z49,1),"")</f>
        <v/>
      </c>
      <c r="BF49" s="96" t="str">
        <f>IF(T49="","",IF(T49="RECEBIMENTO NÃO CONFIRMADO","Transp.: "&amp;H49&amp;" | Dest.: "&amp;I49,IF(OR(T49="CDF NÃO LOCALIZADO",T49="VÍNCULO INCOMPLETO",T49="CDF A CONFERIR"),"Dest.: "&amp;I49,"Gerador: "&amp;G49)))</f>
        <v/>
      </c>
    </row>
    <row r="50">
      <c r="A50" s="89" t="inlineStr">
        <is>
          <t>MTR-000045</t>
        </is>
      </c>
      <c r="B50" s="90" t="n"/>
      <c r="C50" s="91" t="n"/>
      <c r="D50" s="91" t="n"/>
      <c r="E50" s="92" t="n"/>
      <c r="F50" s="92" t="n"/>
      <c r="G50" s="91" t="n"/>
      <c r="H50" s="91" t="n"/>
      <c r="I50" s="91" t="n"/>
      <c r="J50" s="91" t="n"/>
      <c r="K50" s="91" t="n"/>
      <c r="L50" s="92" t="n"/>
      <c r="M50" s="91" t="n"/>
      <c r="N50" s="91" t="n"/>
      <c r="O50" s="91" t="n"/>
      <c r="P50" s="93" t="str">
        <f>IF(Z50=0,"",SUMIFS('ITENS_MTR'!$I$6:$I$1005,'ITENS_MTR'!$S$6:$S$1005,A50,'ITENS_MTR'!$Y$6:$Y$1005,1))</f>
        <v/>
      </c>
      <c r="Q50" s="93" t="str">
        <f>IF(Z50=0,"",SUMIFS('RECEBIMENTOS'!$H$6:$H$1005,'RECEBIMENTOS'!$B$6:$B$1005,A50,'RECEBIMENTOS'!$X$6:$X$1005,1))</f>
        <v/>
      </c>
      <c r="R50" s="93" t="str">
        <f>IF(Z50=0,"",SUMIFS('VÍNCULOS_CDF'!$H$6:$H$1005,'VÍNCULOS_CDF'!$D$6:$D$1005,A50,'VÍNCULOS_CDF'!$V$6:$V$1005,1))</f>
        <v/>
      </c>
      <c r="S50" s="94" t="str">
        <f>IF(Z50=0,"",IF(AA50=1,"Cancelado (informado)",IF(AE50=1,"Cadastro incompleto",IF(OR(AC50=1,AD50=1,AF50&gt;0,AH50&gt;0,AK50&gt;0,AL50&gt;0),"Informação a revisar",IF(AN50=0,"Aguardando recebimento",IF(N(R50)=0,"Aguardando CDF",IF(AJ50&lt;N(W50),"Vínculo de CDF parcial",IF(AO50=0,"CDF localizado, a conferir","Documentação conferida"))))))))</f>
        <v/>
      </c>
      <c r="T50" s="94" t="str">
        <f>IF(Z50=0,"",IF(S50="Cadastro incompleto","MTR INCOMPLETO",IF(S50="Informação a revisar",IF(AND(AH50&gt;0,AC50=0,AD50=0,AF50=0,AK50=0,AL50=0),"QUANTIDADE A REVISAR","IDENTIFICAÇÃO A REVISAR"),IF(S50="Aguardando recebimento","RECEBIMENTO NÃO CONFIRMADO",IF(S50="Aguardando CDF","CDF NÃO LOCALIZADO",IF(S50="Vínculo de CDF parcial","VÍNCULO INCOMPLETO",IF(S50="CDF localizado, a conferir","CDF A CONFERIR","")))))))</f>
        <v/>
      </c>
      <c r="U50" s="95" t="str">
        <f>IF(T50="","",IF(AQ50="","Não calculável",IF(AQ50&gt;TODAY(),"Data futura",TODAY()-AQ50)))</f>
        <v/>
      </c>
      <c r="V50" s="93" t="str">
        <f>IF(Z50=0,"",SUMIFS('RECEBIMENTOS'!$H$6:$H$1005,'RECEBIMENTOS'!$B$6:$B$1005,A50,'RECEBIMENTOS'!$Z$6:$Z$1005,1))</f>
        <v/>
      </c>
      <c r="W50" s="95" t="str">
        <f>IF(Z50=0,"",COUNTIFS('ITENS_MTR'!$S$6:$S$1005,A50,'ITENS_MTR'!$R$6:$R$1005,1))</f>
        <v/>
      </c>
      <c r="X50" s="94" t="str">
        <f>IF(AC50=1,"POSSÍVEL DUPLICIDADE","")</f>
        <v/>
      </c>
      <c r="Y50" s="94" t="str">
        <f>IF(Z50=0,"",IF(AW50="","Nenhuma",LEFT(AW50,LEN(AW50)-2)))</f>
        <v/>
      </c>
      <c r="Z50" s="96">
        <f>IF(COUNTA(B50:O50)&gt;0,1,0)</f>
        <v>0</v>
      </c>
      <c r="AA50" s="96">
        <f>IF(AND(Z50=1,K50&lt;&gt;""),IF(TRIM(K50)=TRIM(cfg_cancel),1,0),0)</f>
        <v>0</v>
      </c>
      <c r="AB50" s="96" t="str">
        <f>IF(AND(Z50=1,B50&lt;&gt;""),C50&amp;"|"&amp;D50&amp;"|"&amp;G50&amp;"|"&amp;TRIM(B50),"")</f>
        <v/>
      </c>
      <c r="AC50" s="96">
        <f>IF(AB50="",0,IF(SUMPRODUCT(--($AB$6:$AB$505=AB50))&gt;1,1,0))</f>
        <v>0</v>
      </c>
      <c r="AD50" s="96">
        <f>IF(Z50=0,0,IF(OR(AND(G50&lt;&gt;"",ISNA(MATCH(G50,'CAD_UNIDADES'!$C$6:$C$105,0))),AND(H50&lt;&gt;"",ISNA(MATCH(H50,cmp_transp,0))),AND(I50&lt;&gt;"",ISNA(MATCH(I50,cmp_dest,0))),AND(E50&lt;&gt;"",NOT(ISNUMBER(E50))),AND(F50&lt;&gt;"",NOT(ISNUMBER(F50))),AND(ISNUMBER(E50),ISNUMBER(F50),F50&lt;E50)),1,0))</f>
        <v>0</v>
      </c>
      <c r="AE50" s="96">
        <f>IF(Z50=0,0,IF(OR(B50="",C50="",E50="",G50="",H50="",I50="",N(W50)=0),1,0))</f>
        <v>0</v>
      </c>
      <c r="AF50" s="96">
        <f>IF(Z50=0,0,COUNTIFS('ITENS_MTR'!$S$6:$S$1005,A50,'ITENS_MTR'!$AI$6:$AI$1005,1))</f>
        <v>0</v>
      </c>
      <c r="AG50" s="96">
        <f>IF(Z50=0,0,COUNTIFS('ITENS_MTR'!$S$6:$S$1005,A50,'ITENS_MTR'!$AJ$6:$AJ$1005,1))</f>
        <v>0</v>
      </c>
      <c r="AH50" s="96">
        <f>IF(Z50=0,0,COUNTIFS('ITENS_MTR'!$S$6:$S$1005,A50,'ITENS_MTR'!$AM$6:$AM$1005,1))</f>
        <v>0</v>
      </c>
      <c r="AI50" s="96">
        <f>IF(Z50=0,0,COUNTIFS('ITENS_MTR'!$S$6:$S$1005,A50,'ITENS_MTR'!$AO$6:$AO$1005,1))</f>
        <v>0</v>
      </c>
      <c r="AJ50" s="96">
        <f>IF(Z50=0,0,COUNTIFS('ITENS_MTR'!$S$6:$S$1005,A50,'ITENS_MTR'!$AN$6:$AN$1005,1))</f>
        <v>0</v>
      </c>
      <c r="AK50" s="96">
        <f>IF(Z50=0,0,COUNTIFS('RECEBIMENTOS'!$B$6:$B$1005,A50,'RECEBIMENTOS'!$Y$6:$Y$1005,1))</f>
        <v>0</v>
      </c>
      <c r="AL50" s="96">
        <f>IF(Z50=0,0,COUNTIFS('VÍNCULOS_CDF'!$D$6:$D$1005,A50,'VÍNCULOS_CDF'!$Y$6:$Y$1005,1))</f>
        <v>0</v>
      </c>
      <c r="AM50" s="96">
        <f>IF(Z50=0,0,COUNTIFS('RECEBIMENTOS'!$B$6:$B$1005,A50,'RECEBIMENTOS'!$Q$6:$Q$1005,1))</f>
        <v>0</v>
      </c>
      <c r="AN50" s="96">
        <f>IF(AND(Z50=1,N(W50)&gt;0,AG50=N(W50)),1,0)</f>
        <v>0</v>
      </c>
      <c r="AO50" s="96">
        <f>IF(AND(Z50=1,N(W50)&gt;0,AI50=N(W50)),1,0)</f>
        <v>0</v>
      </c>
      <c r="AP50" s="97">
        <f>IF(Z50=0,0,_xlfn.MAXIFS('RECEBIMENTOS'!$E$6:$E$1005,'RECEBIMENTOS'!$B$6:$B$1005,A50))</f>
        <v>0</v>
      </c>
      <c r="AQ50" s="97" t="str">
        <f>IF(T50="","",IF(T50="RECEBIMENTO NÃO CONFIRMADO",IF(ISNUMBER(F50),F50,IF(ISNUMBER(E50),E50,"")),IF(OR(T50="CDF NÃO LOCALIZADO",T50="VÍNCULO INCOMPLETO",T50="CDF A CONFERIR"),IF(AP50&gt;0,AP50,IF(ISNUMBER(E50),E50,"")),IF(ISNUMBER(E50),E50,""))))</f>
        <v/>
      </c>
      <c r="AR50" s="96">
        <f>IF(NOT(ISNUMBER(U50)),0,IF(T50="RECEBIMENTO NÃO CONFIRMADO",IF(AND(ISNUMBER(cfg_rec),U50&gt;cfg_rec),1,0),IF(OR(T50="CDF NÃO LOCALIZADO",T50="VÍNCULO INCOMPLETO",T50="CDF A CONFERIR"),IF(AND(ISNUMBER(cfg_cdf),U50&gt;cfg_cdf),1,0),0)))</f>
        <v>0</v>
      </c>
      <c r="AS50" s="96" t="str">
        <f>IF(T50="","",IF(AR50=1,"Alta",IFERROR(INDEX(cfg_pp,MATCH(T50,cfg_pt,0))&amp;"","Média")))</f>
        <v/>
      </c>
      <c r="AT50" s="96" t="str">
        <f>IF(T50="","",IFERROR(INDEX(cfg_pv,MATCH(T50,cfg_pt,0))&amp;"",""))</f>
        <v/>
      </c>
      <c r="AU50" s="96" t="str">
        <f>IF(T50="","",IF(AS50="Alta",1,IF(AS50="Média",2,3))*1000000000+(999999-IF(ISNUMBER(U50),MIN(U50,999999),0))*1000+45)</f>
        <v/>
      </c>
      <c r="AV50" s="96">
        <f>IF(T50&lt;&gt;"",1,0)</f>
        <v>0</v>
      </c>
      <c r="AW50" s="96" t="str">
        <f>IF(Z50=0,"",IF(AA50=1,"Cancelamento informado; ","")&amp;IF(AE50=1,"Campos essenciais ou itens faltando; ","")&amp;IF(AC50=1,"Possível duplicidade do número; ","")&amp;IF(AD50=1,"Cadastro ou datas a revisar; ","")&amp;IF(AF50&gt;0,"Item de resíduo com dado a revisar; ","")&amp;IF(AH50&gt;0,"Diferença de quantidade a analisar; ","")&amp;IF(AK50&gt;0,"Recebimento com alerta; ","")&amp;IF(AL50&gt;0,"Vínculo de CDF com alerta; ","")&amp;IF(AND(AA50=0,AN50=0),"Recebimento não confirmado; ","")&amp;IF(AND(AA50=0,AN50=1,AO50=0),"CDF pendente ou a conferir; ",""))</f>
        <v/>
      </c>
      <c r="AX50" s="96">
        <f>IF(Z50=0,0,IF(AND(OR(f_ini="",AND(ISNUMBER(E50),E50&gt;=f_ini)),OR(f_fim="",AND(ISNUMBER(E50),E50&lt;=f_fim)),OR(f_un="",f_un="(Todas)",G50=f_un),OR(f_tr="",f_tr="(Todos)",H50=f_tr),OR(f_de="",f_de="(Todos)",I50=f_de),OR(f_sit="",f_sit="(Todas)",S50=f_sit)),1,0))</f>
        <v>0</v>
      </c>
      <c r="AY50" s="96">
        <f>IF(AX50=0,0,IF(OR(f_res="",f_res="(Todos)"),1,IF(COUNTIFS('ITENS_MTR'!$S$6:$S$1005,A50,'ITENS_MTR'!$C$6:$C$1005,f_res)&gt;0,1,0)))</f>
        <v>0</v>
      </c>
      <c r="AZ50" s="97" t="str">
        <f>IF(ISNUMBER(E50),DATE(YEAR(E50),MONTH(E50),1),"")</f>
        <v/>
      </c>
      <c r="BA50" s="96">
        <f>IF(Z50=0,0,IF(AND(OR(r_ini="",AND(ISNUMBER(E50),E50&gt;=r_ini)),OR(r_fim="",AND(ISNUMBER(E50),E50&lt;=r_fim)),OR(r_un="",r_un="(Todas)",G50=r_un),OR(r_de="",r_de="(Todos)",I50=r_de)),1,0))</f>
        <v>0</v>
      </c>
      <c r="BB50" s="96" t="str">
        <f>IF(BA50=1,COUNTIF($BA$6:BA50,1),"")</f>
        <v/>
      </c>
      <c r="BC50" s="96" t="str">
        <f>IF(AND(AU50&lt;&gt;"",OR(r_un="",r_un="(Todas)",G50=r_un),OR(r_de="",r_de="(Todos)",I50=r_de)),AU50,"")</f>
        <v/>
      </c>
      <c r="BD50" s="96" t="str">
        <f>IF(Z50=1,A50&amp;" | nº "&amp;IF(B50="","(sem número)",B50)&amp;" | "&amp;IF(G50="","(sem unidade)",G50),"")</f>
        <v/>
      </c>
      <c r="BE50" s="96" t="str">
        <f>IF(Z50=1,COUNTIF($Z$6:Z50,1),"")</f>
        <v/>
      </c>
      <c r="BF50" s="96" t="str">
        <f>IF(T50="","",IF(T50="RECEBIMENTO NÃO CONFIRMADO","Transp.: "&amp;H50&amp;" | Dest.: "&amp;I50,IF(OR(T50="CDF NÃO LOCALIZADO",T50="VÍNCULO INCOMPLETO",T50="CDF A CONFERIR"),"Dest.: "&amp;I50,"Gerador: "&amp;G50)))</f>
        <v/>
      </c>
    </row>
    <row r="51">
      <c r="A51" s="89" t="inlineStr">
        <is>
          <t>MTR-000046</t>
        </is>
      </c>
      <c r="B51" s="90" t="n"/>
      <c r="C51" s="91" t="n"/>
      <c r="D51" s="91" t="n"/>
      <c r="E51" s="92" t="n"/>
      <c r="F51" s="92" t="n"/>
      <c r="G51" s="91" t="n"/>
      <c r="H51" s="91" t="n"/>
      <c r="I51" s="91" t="n"/>
      <c r="J51" s="91" t="n"/>
      <c r="K51" s="91" t="n"/>
      <c r="L51" s="92" t="n"/>
      <c r="M51" s="91" t="n"/>
      <c r="N51" s="91" t="n"/>
      <c r="O51" s="91" t="n"/>
      <c r="P51" s="93" t="str">
        <f>IF(Z51=0,"",SUMIFS('ITENS_MTR'!$I$6:$I$1005,'ITENS_MTR'!$S$6:$S$1005,A51,'ITENS_MTR'!$Y$6:$Y$1005,1))</f>
        <v/>
      </c>
      <c r="Q51" s="93" t="str">
        <f>IF(Z51=0,"",SUMIFS('RECEBIMENTOS'!$H$6:$H$1005,'RECEBIMENTOS'!$B$6:$B$1005,A51,'RECEBIMENTOS'!$X$6:$X$1005,1))</f>
        <v/>
      </c>
      <c r="R51" s="93" t="str">
        <f>IF(Z51=0,"",SUMIFS('VÍNCULOS_CDF'!$H$6:$H$1005,'VÍNCULOS_CDF'!$D$6:$D$1005,A51,'VÍNCULOS_CDF'!$V$6:$V$1005,1))</f>
        <v/>
      </c>
      <c r="S51" s="94" t="str">
        <f>IF(Z51=0,"",IF(AA51=1,"Cancelado (informado)",IF(AE51=1,"Cadastro incompleto",IF(OR(AC51=1,AD51=1,AF51&gt;0,AH51&gt;0,AK51&gt;0,AL51&gt;0),"Informação a revisar",IF(AN51=0,"Aguardando recebimento",IF(N(R51)=0,"Aguardando CDF",IF(AJ51&lt;N(W51),"Vínculo de CDF parcial",IF(AO51=0,"CDF localizado, a conferir","Documentação conferida"))))))))</f>
        <v/>
      </c>
      <c r="T51" s="94" t="str">
        <f>IF(Z51=0,"",IF(S51="Cadastro incompleto","MTR INCOMPLETO",IF(S51="Informação a revisar",IF(AND(AH51&gt;0,AC51=0,AD51=0,AF51=0,AK51=0,AL51=0),"QUANTIDADE A REVISAR","IDENTIFICAÇÃO A REVISAR"),IF(S51="Aguardando recebimento","RECEBIMENTO NÃO CONFIRMADO",IF(S51="Aguardando CDF","CDF NÃO LOCALIZADO",IF(S51="Vínculo de CDF parcial","VÍNCULO INCOMPLETO",IF(S51="CDF localizado, a conferir","CDF A CONFERIR","")))))))</f>
        <v/>
      </c>
      <c r="U51" s="95" t="str">
        <f>IF(T51="","",IF(AQ51="","Não calculável",IF(AQ51&gt;TODAY(),"Data futura",TODAY()-AQ51)))</f>
        <v/>
      </c>
      <c r="V51" s="93" t="str">
        <f>IF(Z51=0,"",SUMIFS('RECEBIMENTOS'!$H$6:$H$1005,'RECEBIMENTOS'!$B$6:$B$1005,A51,'RECEBIMENTOS'!$Z$6:$Z$1005,1))</f>
        <v/>
      </c>
      <c r="W51" s="95" t="str">
        <f>IF(Z51=0,"",COUNTIFS('ITENS_MTR'!$S$6:$S$1005,A51,'ITENS_MTR'!$R$6:$R$1005,1))</f>
        <v/>
      </c>
      <c r="X51" s="94" t="str">
        <f>IF(AC51=1,"POSSÍVEL DUPLICIDADE","")</f>
        <v/>
      </c>
      <c r="Y51" s="94" t="str">
        <f>IF(Z51=0,"",IF(AW51="","Nenhuma",LEFT(AW51,LEN(AW51)-2)))</f>
        <v/>
      </c>
      <c r="Z51" s="96">
        <f>IF(COUNTA(B51:O51)&gt;0,1,0)</f>
        <v>0</v>
      </c>
      <c r="AA51" s="96">
        <f>IF(AND(Z51=1,K51&lt;&gt;""),IF(TRIM(K51)=TRIM(cfg_cancel),1,0),0)</f>
        <v>0</v>
      </c>
      <c r="AB51" s="96" t="str">
        <f>IF(AND(Z51=1,B51&lt;&gt;""),C51&amp;"|"&amp;D51&amp;"|"&amp;G51&amp;"|"&amp;TRIM(B51),"")</f>
        <v/>
      </c>
      <c r="AC51" s="96">
        <f>IF(AB51="",0,IF(SUMPRODUCT(--($AB$6:$AB$505=AB51))&gt;1,1,0))</f>
        <v>0</v>
      </c>
      <c r="AD51" s="96">
        <f>IF(Z51=0,0,IF(OR(AND(G51&lt;&gt;"",ISNA(MATCH(G51,'CAD_UNIDADES'!$C$6:$C$105,0))),AND(H51&lt;&gt;"",ISNA(MATCH(H51,cmp_transp,0))),AND(I51&lt;&gt;"",ISNA(MATCH(I51,cmp_dest,0))),AND(E51&lt;&gt;"",NOT(ISNUMBER(E51))),AND(F51&lt;&gt;"",NOT(ISNUMBER(F51))),AND(ISNUMBER(E51),ISNUMBER(F51),F51&lt;E51)),1,0))</f>
        <v>0</v>
      </c>
      <c r="AE51" s="96">
        <f>IF(Z51=0,0,IF(OR(B51="",C51="",E51="",G51="",H51="",I51="",N(W51)=0),1,0))</f>
        <v>0</v>
      </c>
      <c r="AF51" s="96">
        <f>IF(Z51=0,0,COUNTIFS('ITENS_MTR'!$S$6:$S$1005,A51,'ITENS_MTR'!$AI$6:$AI$1005,1))</f>
        <v>0</v>
      </c>
      <c r="AG51" s="96">
        <f>IF(Z51=0,0,COUNTIFS('ITENS_MTR'!$S$6:$S$1005,A51,'ITENS_MTR'!$AJ$6:$AJ$1005,1))</f>
        <v>0</v>
      </c>
      <c r="AH51" s="96">
        <f>IF(Z51=0,0,COUNTIFS('ITENS_MTR'!$S$6:$S$1005,A51,'ITENS_MTR'!$AM$6:$AM$1005,1))</f>
        <v>0</v>
      </c>
      <c r="AI51" s="96">
        <f>IF(Z51=0,0,COUNTIFS('ITENS_MTR'!$S$6:$S$1005,A51,'ITENS_MTR'!$AO$6:$AO$1005,1))</f>
        <v>0</v>
      </c>
      <c r="AJ51" s="96">
        <f>IF(Z51=0,0,COUNTIFS('ITENS_MTR'!$S$6:$S$1005,A51,'ITENS_MTR'!$AN$6:$AN$1005,1))</f>
        <v>0</v>
      </c>
      <c r="AK51" s="96">
        <f>IF(Z51=0,0,COUNTIFS('RECEBIMENTOS'!$B$6:$B$1005,A51,'RECEBIMENTOS'!$Y$6:$Y$1005,1))</f>
        <v>0</v>
      </c>
      <c r="AL51" s="96">
        <f>IF(Z51=0,0,COUNTIFS('VÍNCULOS_CDF'!$D$6:$D$1005,A51,'VÍNCULOS_CDF'!$Y$6:$Y$1005,1))</f>
        <v>0</v>
      </c>
      <c r="AM51" s="96">
        <f>IF(Z51=0,0,COUNTIFS('RECEBIMENTOS'!$B$6:$B$1005,A51,'RECEBIMENTOS'!$Q$6:$Q$1005,1))</f>
        <v>0</v>
      </c>
      <c r="AN51" s="96">
        <f>IF(AND(Z51=1,N(W51)&gt;0,AG51=N(W51)),1,0)</f>
        <v>0</v>
      </c>
      <c r="AO51" s="96">
        <f>IF(AND(Z51=1,N(W51)&gt;0,AI51=N(W51)),1,0)</f>
        <v>0</v>
      </c>
      <c r="AP51" s="97">
        <f>IF(Z51=0,0,_xlfn.MAXIFS('RECEBIMENTOS'!$E$6:$E$1005,'RECEBIMENTOS'!$B$6:$B$1005,A51))</f>
        <v>0</v>
      </c>
      <c r="AQ51" s="97" t="str">
        <f>IF(T51="","",IF(T51="RECEBIMENTO NÃO CONFIRMADO",IF(ISNUMBER(F51),F51,IF(ISNUMBER(E51),E51,"")),IF(OR(T51="CDF NÃO LOCALIZADO",T51="VÍNCULO INCOMPLETO",T51="CDF A CONFERIR"),IF(AP51&gt;0,AP51,IF(ISNUMBER(E51),E51,"")),IF(ISNUMBER(E51),E51,""))))</f>
        <v/>
      </c>
      <c r="AR51" s="96">
        <f>IF(NOT(ISNUMBER(U51)),0,IF(T51="RECEBIMENTO NÃO CONFIRMADO",IF(AND(ISNUMBER(cfg_rec),U51&gt;cfg_rec),1,0),IF(OR(T51="CDF NÃO LOCALIZADO",T51="VÍNCULO INCOMPLETO",T51="CDF A CONFERIR"),IF(AND(ISNUMBER(cfg_cdf),U51&gt;cfg_cdf),1,0),0)))</f>
        <v>0</v>
      </c>
      <c r="AS51" s="96" t="str">
        <f>IF(T51="","",IF(AR51=1,"Alta",IFERROR(INDEX(cfg_pp,MATCH(T51,cfg_pt,0))&amp;"","Média")))</f>
        <v/>
      </c>
      <c r="AT51" s="96" t="str">
        <f>IF(T51="","",IFERROR(INDEX(cfg_pv,MATCH(T51,cfg_pt,0))&amp;"",""))</f>
        <v/>
      </c>
      <c r="AU51" s="96" t="str">
        <f>IF(T51="","",IF(AS51="Alta",1,IF(AS51="Média",2,3))*1000000000+(999999-IF(ISNUMBER(U51),MIN(U51,999999),0))*1000+46)</f>
        <v/>
      </c>
      <c r="AV51" s="96">
        <f>IF(T51&lt;&gt;"",1,0)</f>
        <v>0</v>
      </c>
      <c r="AW51" s="96" t="str">
        <f>IF(Z51=0,"",IF(AA51=1,"Cancelamento informado; ","")&amp;IF(AE51=1,"Campos essenciais ou itens faltando; ","")&amp;IF(AC51=1,"Possível duplicidade do número; ","")&amp;IF(AD51=1,"Cadastro ou datas a revisar; ","")&amp;IF(AF51&gt;0,"Item de resíduo com dado a revisar; ","")&amp;IF(AH51&gt;0,"Diferença de quantidade a analisar; ","")&amp;IF(AK51&gt;0,"Recebimento com alerta; ","")&amp;IF(AL51&gt;0,"Vínculo de CDF com alerta; ","")&amp;IF(AND(AA51=0,AN51=0),"Recebimento não confirmado; ","")&amp;IF(AND(AA51=0,AN51=1,AO51=0),"CDF pendente ou a conferir; ",""))</f>
        <v/>
      </c>
      <c r="AX51" s="96">
        <f>IF(Z51=0,0,IF(AND(OR(f_ini="",AND(ISNUMBER(E51),E51&gt;=f_ini)),OR(f_fim="",AND(ISNUMBER(E51),E51&lt;=f_fim)),OR(f_un="",f_un="(Todas)",G51=f_un),OR(f_tr="",f_tr="(Todos)",H51=f_tr),OR(f_de="",f_de="(Todos)",I51=f_de),OR(f_sit="",f_sit="(Todas)",S51=f_sit)),1,0))</f>
        <v>0</v>
      </c>
      <c r="AY51" s="96">
        <f>IF(AX51=0,0,IF(OR(f_res="",f_res="(Todos)"),1,IF(COUNTIFS('ITENS_MTR'!$S$6:$S$1005,A51,'ITENS_MTR'!$C$6:$C$1005,f_res)&gt;0,1,0)))</f>
        <v>0</v>
      </c>
      <c r="AZ51" s="97" t="str">
        <f>IF(ISNUMBER(E51),DATE(YEAR(E51),MONTH(E51),1),"")</f>
        <v/>
      </c>
      <c r="BA51" s="96">
        <f>IF(Z51=0,0,IF(AND(OR(r_ini="",AND(ISNUMBER(E51),E51&gt;=r_ini)),OR(r_fim="",AND(ISNUMBER(E51),E51&lt;=r_fim)),OR(r_un="",r_un="(Todas)",G51=r_un),OR(r_de="",r_de="(Todos)",I51=r_de)),1,0))</f>
        <v>0</v>
      </c>
      <c r="BB51" s="96" t="str">
        <f>IF(BA51=1,COUNTIF($BA$6:BA51,1),"")</f>
        <v/>
      </c>
      <c r="BC51" s="96" t="str">
        <f>IF(AND(AU51&lt;&gt;"",OR(r_un="",r_un="(Todas)",G51=r_un),OR(r_de="",r_de="(Todos)",I51=r_de)),AU51,"")</f>
        <v/>
      </c>
      <c r="BD51" s="96" t="str">
        <f>IF(Z51=1,A51&amp;" | nº "&amp;IF(B51="","(sem número)",B51)&amp;" | "&amp;IF(G51="","(sem unidade)",G51),"")</f>
        <v/>
      </c>
      <c r="BE51" s="96" t="str">
        <f>IF(Z51=1,COUNTIF($Z$6:Z51,1),"")</f>
        <v/>
      </c>
      <c r="BF51" s="96" t="str">
        <f>IF(T51="","",IF(T51="RECEBIMENTO NÃO CONFIRMADO","Transp.: "&amp;H51&amp;" | Dest.: "&amp;I51,IF(OR(T51="CDF NÃO LOCALIZADO",T51="VÍNCULO INCOMPLETO",T51="CDF A CONFERIR"),"Dest.: "&amp;I51,"Gerador: "&amp;G51)))</f>
        <v/>
      </c>
    </row>
    <row r="52">
      <c r="A52" s="89" t="inlineStr">
        <is>
          <t>MTR-000047</t>
        </is>
      </c>
      <c r="B52" s="90" t="n"/>
      <c r="C52" s="91" t="n"/>
      <c r="D52" s="91" t="n"/>
      <c r="E52" s="92" t="n"/>
      <c r="F52" s="92" t="n"/>
      <c r="G52" s="91" t="n"/>
      <c r="H52" s="91" t="n"/>
      <c r="I52" s="91" t="n"/>
      <c r="J52" s="91" t="n"/>
      <c r="K52" s="91" t="n"/>
      <c r="L52" s="92" t="n"/>
      <c r="M52" s="91" t="n"/>
      <c r="N52" s="91" t="n"/>
      <c r="O52" s="91" t="n"/>
      <c r="P52" s="93" t="str">
        <f>IF(Z52=0,"",SUMIFS('ITENS_MTR'!$I$6:$I$1005,'ITENS_MTR'!$S$6:$S$1005,A52,'ITENS_MTR'!$Y$6:$Y$1005,1))</f>
        <v/>
      </c>
      <c r="Q52" s="93" t="str">
        <f>IF(Z52=0,"",SUMIFS('RECEBIMENTOS'!$H$6:$H$1005,'RECEBIMENTOS'!$B$6:$B$1005,A52,'RECEBIMENTOS'!$X$6:$X$1005,1))</f>
        <v/>
      </c>
      <c r="R52" s="93" t="str">
        <f>IF(Z52=0,"",SUMIFS('VÍNCULOS_CDF'!$H$6:$H$1005,'VÍNCULOS_CDF'!$D$6:$D$1005,A52,'VÍNCULOS_CDF'!$V$6:$V$1005,1))</f>
        <v/>
      </c>
      <c r="S52" s="94" t="str">
        <f>IF(Z52=0,"",IF(AA52=1,"Cancelado (informado)",IF(AE52=1,"Cadastro incompleto",IF(OR(AC52=1,AD52=1,AF52&gt;0,AH52&gt;0,AK52&gt;0,AL52&gt;0),"Informação a revisar",IF(AN52=0,"Aguardando recebimento",IF(N(R52)=0,"Aguardando CDF",IF(AJ52&lt;N(W52),"Vínculo de CDF parcial",IF(AO52=0,"CDF localizado, a conferir","Documentação conferida"))))))))</f>
        <v/>
      </c>
      <c r="T52" s="94" t="str">
        <f>IF(Z52=0,"",IF(S52="Cadastro incompleto","MTR INCOMPLETO",IF(S52="Informação a revisar",IF(AND(AH52&gt;0,AC52=0,AD52=0,AF52=0,AK52=0,AL52=0),"QUANTIDADE A REVISAR","IDENTIFICAÇÃO A REVISAR"),IF(S52="Aguardando recebimento","RECEBIMENTO NÃO CONFIRMADO",IF(S52="Aguardando CDF","CDF NÃO LOCALIZADO",IF(S52="Vínculo de CDF parcial","VÍNCULO INCOMPLETO",IF(S52="CDF localizado, a conferir","CDF A CONFERIR","")))))))</f>
        <v/>
      </c>
      <c r="U52" s="95" t="str">
        <f>IF(T52="","",IF(AQ52="","Não calculável",IF(AQ52&gt;TODAY(),"Data futura",TODAY()-AQ52)))</f>
        <v/>
      </c>
      <c r="V52" s="93" t="str">
        <f>IF(Z52=0,"",SUMIFS('RECEBIMENTOS'!$H$6:$H$1005,'RECEBIMENTOS'!$B$6:$B$1005,A52,'RECEBIMENTOS'!$Z$6:$Z$1005,1))</f>
        <v/>
      </c>
      <c r="W52" s="95" t="str">
        <f>IF(Z52=0,"",COUNTIFS('ITENS_MTR'!$S$6:$S$1005,A52,'ITENS_MTR'!$R$6:$R$1005,1))</f>
        <v/>
      </c>
      <c r="X52" s="94" t="str">
        <f>IF(AC52=1,"POSSÍVEL DUPLICIDADE","")</f>
        <v/>
      </c>
      <c r="Y52" s="94" t="str">
        <f>IF(Z52=0,"",IF(AW52="","Nenhuma",LEFT(AW52,LEN(AW52)-2)))</f>
        <v/>
      </c>
      <c r="Z52" s="96">
        <f>IF(COUNTA(B52:O52)&gt;0,1,0)</f>
        <v>0</v>
      </c>
      <c r="AA52" s="96">
        <f>IF(AND(Z52=1,K52&lt;&gt;""),IF(TRIM(K52)=TRIM(cfg_cancel),1,0),0)</f>
        <v>0</v>
      </c>
      <c r="AB52" s="96" t="str">
        <f>IF(AND(Z52=1,B52&lt;&gt;""),C52&amp;"|"&amp;D52&amp;"|"&amp;G52&amp;"|"&amp;TRIM(B52),"")</f>
        <v/>
      </c>
      <c r="AC52" s="96">
        <f>IF(AB52="",0,IF(SUMPRODUCT(--($AB$6:$AB$505=AB52))&gt;1,1,0))</f>
        <v>0</v>
      </c>
      <c r="AD52" s="96">
        <f>IF(Z52=0,0,IF(OR(AND(G52&lt;&gt;"",ISNA(MATCH(G52,'CAD_UNIDADES'!$C$6:$C$105,0))),AND(H52&lt;&gt;"",ISNA(MATCH(H52,cmp_transp,0))),AND(I52&lt;&gt;"",ISNA(MATCH(I52,cmp_dest,0))),AND(E52&lt;&gt;"",NOT(ISNUMBER(E52))),AND(F52&lt;&gt;"",NOT(ISNUMBER(F52))),AND(ISNUMBER(E52),ISNUMBER(F52),F52&lt;E52)),1,0))</f>
        <v>0</v>
      </c>
      <c r="AE52" s="96">
        <f>IF(Z52=0,0,IF(OR(B52="",C52="",E52="",G52="",H52="",I52="",N(W52)=0),1,0))</f>
        <v>0</v>
      </c>
      <c r="AF52" s="96">
        <f>IF(Z52=0,0,COUNTIFS('ITENS_MTR'!$S$6:$S$1005,A52,'ITENS_MTR'!$AI$6:$AI$1005,1))</f>
        <v>0</v>
      </c>
      <c r="AG52" s="96">
        <f>IF(Z52=0,0,COUNTIFS('ITENS_MTR'!$S$6:$S$1005,A52,'ITENS_MTR'!$AJ$6:$AJ$1005,1))</f>
        <v>0</v>
      </c>
      <c r="AH52" s="96">
        <f>IF(Z52=0,0,COUNTIFS('ITENS_MTR'!$S$6:$S$1005,A52,'ITENS_MTR'!$AM$6:$AM$1005,1))</f>
        <v>0</v>
      </c>
      <c r="AI52" s="96">
        <f>IF(Z52=0,0,COUNTIFS('ITENS_MTR'!$S$6:$S$1005,A52,'ITENS_MTR'!$AO$6:$AO$1005,1))</f>
        <v>0</v>
      </c>
      <c r="AJ52" s="96">
        <f>IF(Z52=0,0,COUNTIFS('ITENS_MTR'!$S$6:$S$1005,A52,'ITENS_MTR'!$AN$6:$AN$1005,1))</f>
        <v>0</v>
      </c>
      <c r="AK52" s="96">
        <f>IF(Z52=0,0,COUNTIFS('RECEBIMENTOS'!$B$6:$B$1005,A52,'RECEBIMENTOS'!$Y$6:$Y$1005,1))</f>
        <v>0</v>
      </c>
      <c r="AL52" s="96">
        <f>IF(Z52=0,0,COUNTIFS('VÍNCULOS_CDF'!$D$6:$D$1005,A52,'VÍNCULOS_CDF'!$Y$6:$Y$1005,1))</f>
        <v>0</v>
      </c>
      <c r="AM52" s="96">
        <f>IF(Z52=0,0,COUNTIFS('RECEBIMENTOS'!$B$6:$B$1005,A52,'RECEBIMENTOS'!$Q$6:$Q$1005,1))</f>
        <v>0</v>
      </c>
      <c r="AN52" s="96">
        <f>IF(AND(Z52=1,N(W52)&gt;0,AG52=N(W52)),1,0)</f>
        <v>0</v>
      </c>
      <c r="AO52" s="96">
        <f>IF(AND(Z52=1,N(W52)&gt;0,AI52=N(W52)),1,0)</f>
        <v>0</v>
      </c>
      <c r="AP52" s="97">
        <f>IF(Z52=0,0,_xlfn.MAXIFS('RECEBIMENTOS'!$E$6:$E$1005,'RECEBIMENTOS'!$B$6:$B$1005,A52))</f>
        <v>0</v>
      </c>
      <c r="AQ52" s="97" t="str">
        <f>IF(T52="","",IF(T52="RECEBIMENTO NÃO CONFIRMADO",IF(ISNUMBER(F52),F52,IF(ISNUMBER(E52),E52,"")),IF(OR(T52="CDF NÃO LOCALIZADO",T52="VÍNCULO INCOMPLETO",T52="CDF A CONFERIR"),IF(AP52&gt;0,AP52,IF(ISNUMBER(E52),E52,"")),IF(ISNUMBER(E52),E52,""))))</f>
        <v/>
      </c>
      <c r="AR52" s="96">
        <f>IF(NOT(ISNUMBER(U52)),0,IF(T52="RECEBIMENTO NÃO CONFIRMADO",IF(AND(ISNUMBER(cfg_rec),U52&gt;cfg_rec),1,0),IF(OR(T52="CDF NÃO LOCALIZADO",T52="VÍNCULO INCOMPLETO",T52="CDF A CONFERIR"),IF(AND(ISNUMBER(cfg_cdf),U52&gt;cfg_cdf),1,0),0)))</f>
        <v>0</v>
      </c>
      <c r="AS52" s="96" t="str">
        <f>IF(T52="","",IF(AR52=1,"Alta",IFERROR(INDEX(cfg_pp,MATCH(T52,cfg_pt,0))&amp;"","Média")))</f>
        <v/>
      </c>
      <c r="AT52" s="96" t="str">
        <f>IF(T52="","",IFERROR(INDEX(cfg_pv,MATCH(T52,cfg_pt,0))&amp;"",""))</f>
        <v/>
      </c>
      <c r="AU52" s="96" t="str">
        <f>IF(T52="","",IF(AS52="Alta",1,IF(AS52="Média",2,3))*1000000000+(999999-IF(ISNUMBER(U52),MIN(U52,999999),0))*1000+47)</f>
        <v/>
      </c>
      <c r="AV52" s="96">
        <f>IF(T52&lt;&gt;"",1,0)</f>
        <v>0</v>
      </c>
      <c r="AW52" s="96" t="str">
        <f>IF(Z52=0,"",IF(AA52=1,"Cancelamento informado; ","")&amp;IF(AE52=1,"Campos essenciais ou itens faltando; ","")&amp;IF(AC52=1,"Possível duplicidade do número; ","")&amp;IF(AD52=1,"Cadastro ou datas a revisar; ","")&amp;IF(AF52&gt;0,"Item de resíduo com dado a revisar; ","")&amp;IF(AH52&gt;0,"Diferença de quantidade a analisar; ","")&amp;IF(AK52&gt;0,"Recebimento com alerta; ","")&amp;IF(AL52&gt;0,"Vínculo de CDF com alerta; ","")&amp;IF(AND(AA52=0,AN52=0),"Recebimento não confirmado; ","")&amp;IF(AND(AA52=0,AN52=1,AO52=0),"CDF pendente ou a conferir; ",""))</f>
        <v/>
      </c>
      <c r="AX52" s="96">
        <f>IF(Z52=0,0,IF(AND(OR(f_ini="",AND(ISNUMBER(E52),E52&gt;=f_ini)),OR(f_fim="",AND(ISNUMBER(E52),E52&lt;=f_fim)),OR(f_un="",f_un="(Todas)",G52=f_un),OR(f_tr="",f_tr="(Todos)",H52=f_tr),OR(f_de="",f_de="(Todos)",I52=f_de),OR(f_sit="",f_sit="(Todas)",S52=f_sit)),1,0))</f>
        <v>0</v>
      </c>
      <c r="AY52" s="96">
        <f>IF(AX52=0,0,IF(OR(f_res="",f_res="(Todos)"),1,IF(COUNTIFS('ITENS_MTR'!$S$6:$S$1005,A52,'ITENS_MTR'!$C$6:$C$1005,f_res)&gt;0,1,0)))</f>
        <v>0</v>
      </c>
      <c r="AZ52" s="97" t="str">
        <f>IF(ISNUMBER(E52),DATE(YEAR(E52),MONTH(E52),1),"")</f>
        <v/>
      </c>
      <c r="BA52" s="96">
        <f>IF(Z52=0,0,IF(AND(OR(r_ini="",AND(ISNUMBER(E52),E52&gt;=r_ini)),OR(r_fim="",AND(ISNUMBER(E52),E52&lt;=r_fim)),OR(r_un="",r_un="(Todas)",G52=r_un),OR(r_de="",r_de="(Todos)",I52=r_de)),1,0))</f>
        <v>0</v>
      </c>
      <c r="BB52" s="96" t="str">
        <f>IF(BA52=1,COUNTIF($BA$6:BA52,1),"")</f>
        <v/>
      </c>
      <c r="BC52" s="96" t="str">
        <f>IF(AND(AU52&lt;&gt;"",OR(r_un="",r_un="(Todas)",G52=r_un),OR(r_de="",r_de="(Todos)",I52=r_de)),AU52,"")</f>
        <v/>
      </c>
      <c r="BD52" s="96" t="str">
        <f>IF(Z52=1,A52&amp;" | nº "&amp;IF(B52="","(sem número)",B52)&amp;" | "&amp;IF(G52="","(sem unidade)",G52),"")</f>
        <v/>
      </c>
      <c r="BE52" s="96" t="str">
        <f>IF(Z52=1,COUNTIF($Z$6:Z52,1),"")</f>
        <v/>
      </c>
      <c r="BF52" s="96" t="str">
        <f>IF(T52="","",IF(T52="RECEBIMENTO NÃO CONFIRMADO","Transp.: "&amp;H52&amp;" | Dest.: "&amp;I52,IF(OR(T52="CDF NÃO LOCALIZADO",T52="VÍNCULO INCOMPLETO",T52="CDF A CONFERIR"),"Dest.: "&amp;I52,"Gerador: "&amp;G52)))</f>
        <v/>
      </c>
    </row>
    <row r="53">
      <c r="A53" s="89" t="inlineStr">
        <is>
          <t>MTR-000048</t>
        </is>
      </c>
      <c r="B53" s="90" t="n"/>
      <c r="C53" s="91" t="n"/>
      <c r="D53" s="91" t="n"/>
      <c r="E53" s="92" t="n"/>
      <c r="F53" s="92" t="n"/>
      <c r="G53" s="91" t="n"/>
      <c r="H53" s="91" t="n"/>
      <c r="I53" s="91" t="n"/>
      <c r="J53" s="91" t="n"/>
      <c r="K53" s="91" t="n"/>
      <c r="L53" s="92" t="n"/>
      <c r="M53" s="91" t="n"/>
      <c r="N53" s="91" t="n"/>
      <c r="O53" s="91" t="n"/>
      <c r="P53" s="93" t="str">
        <f>IF(Z53=0,"",SUMIFS('ITENS_MTR'!$I$6:$I$1005,'ITENS_MTR'!$S$6:$S$1005,A53,'ITENS_MTR'!$Y$6:$Y$1005,1))</f>
        <v/>
      </c>
      <c r="Q53" s="93" t="str">
        <f>IF(Z53=0,"",SUMIFS('RECEBIMENTOS'!$H$6:$H$1005,'RECEBIMENTOS'!$B$6:$B$1005,A53,'RECEBIMENTOS'!$X$6:$X$1005,1))</f>
        <v/>
      </c>
      <c r="R53" s="93" t="str">
        <f>IF(Z53=0,"",SUMIFS('VÍNCULOS_CDF'!$H$6:$H$1005,'VÍNCULOS_CDF'!$D$6:$D$1005,A53,'VÍNCULOS_CDF'!$V$6:$V$1005,1))</f>
        <v/>
      </c>
      <c r="S53" s="94" t="str">
        <f>IF(Z53=0,"",IF(AA53=1,"Cancelado (informado)",IF(AE53=1,"Cadastro incompleto",IF(OR(AC53=1,AD53=1,AF53&gt;0,AH53&gt;0,AK53&gt;0,AL53&gt;0),"Informação a revisar",IF(AN53=0,"Aguardando recebimento",IF(N(R53)=0,"Aguardando CDF",IF(AJ53&lt;N(W53),"Vínculo de CDF parcial",IF(AO53=0,"CDF localizado, a conferir","Documentação conferida"))))))))</f>
        <v/>
      </c>
      <c r="T53" s="94" t="str">
        <f>IF(Z53=0,"",IF(S53="Cadastro incompleto","MTR INCOMPLETO",IF(S53="Informação a revisar",IF(AND(AH53&gt;0,AC53=0,AD53=0,AF53=0,AK53=0,AL53=0),"QUANTIDADE A REVISAR","IDENTIFICAÇÃO A REVISAR"),IF(S53="Aguardando recebimento","RECEBIMENTO NÃO CONFIRMADO",IF(S53="Aguardando CDF","CDF NÃO LOCALIZADO",IF(S53="Vínculo de CDF parcial","VÍNCULO INCOMPLETO",IF(S53="CDF localizado, a conferir","CDF A CONFERIR","")))))))</f>
        <v/>
      </c>
      <c r="U53" s="95" t="str">
        <f>IF(T53="","",IF(AQ53="","Não calculável",IF(AQ53&gt;TODAY(),"Data futura",TODAY()-AQ53)))</f>
        <v/>
      </c>
      <c r="V53" s="93" t="str">
        <f>IF(Z53=0,"",SUMIFS('RECEBIMENTOS'!$H$6:$H$1005,'RECEBIMENTOS'!$B$6:$B$1005,A53,'RECEBIMENTOS'!$Z$6:$Z$1005,1))</f>
        <v/>
      </c>
      <c r="W53" s="95" t="str">
        <f>IF(Z53=0,"",COUNTIFS('ITENS_MTR'!$S$6:$S$1005,A53,'ITENS_MTR'!$R$6:$R$1005,1))</f>
        <v/>
      </c>
      <c r="X53" s="94" t="str">
        <f>IF(AC53=1,"POSSÍVEL DUPLICIDADE","")</f>
        <v/>
      </c>
      <c r="Y53" s="94" t="str">
        <f>IF(Z53=0,"",IF(AW53="","Nenhuma",LEFT(AW53,LEN(AW53)-2)))</f>
        <v/>
      </c>
      <c r="Z53" s="96">
        <f>IF(COUNTA(B53:O53)&gt;0,1,0)</f>
        <v>0</v>
      </c>
      <c r="AA53" s="96">
        <f>IF(AND(Z53=1,K53&lt;&gt;""),IF(TRIM(K53)=TRIM(cfg_cancel),1,0),0)</f>
        <v>0</v>
      </c>
      <c r="AB53" s="96" t="str">
        <f>IF(AND(Z53=1,B53&lt;&gt;""),C53&amp;"|"&amp;D53&amp;"|"&amp;G53&amp;"|"&amp;TRIM(B53),"")</f>
        <v/>
      </c>
      <c r="AC53" s="96">
        <f>IF(AB53="",0,IF(SUMPRODUCT(--($AB$6:$AB$505=AB53))&gt;1,1,0))</f>
        <v>0</v>
      </c>
      <c r="AD53" s="96">
        <f>IF(Z53=0,0,IF(OR(AND(G53&lt;&gt;"",ISNA(MATCH(G53,'CAD_UNIDADES'!$C$6:$C$105,0))),AND(H53&lt;&gt;"",ISNA(MATCH(H53,cmp_transp,0))),AND(I53&lt;&gt;"",ISNA(MATCH(I53,cmp_dest,0))),AND(E53&lt;&gt;"",NOT(ISNUMBER(E53))),AND(F53&lt;&gt;"",NOT(ISNUMBER(F53))),AND(ISNUMBER(E53),ISNUMBER(F53),F53&lt;E53)),1,0))</f>
        <v>0</v>
      </c>
      <c r="AE53" s="96">
        <f>IF(Z53=0,0,IF(OR(B53="",C53="",E53="",G53="",H53="",I53="",N(W53)=0),1,0))</f>
        <v>0</v>
      </c>
      <c r="AF53" s="96">
        <f>IF(Z53=0,0,COUNTIFS('ITENS_MTR'!$S$6:$S$1005,A53,'ITENS_MTR'!$AI$6:$AI$1005,1))</f>
        <v>0</v>
      </c>
      <c r="AG53" s="96">
        <f>IF(Z53=0,0,COUNTIFS('ITENS_MTR'!$S$6:$S$1005,A53,'ITENS_MTR'!$AJ$6:$AJ$1005,1))</f>
        <v>0</v>
      </c>
      <c r="AH53" s="96">
        <f>IF(Z53=0,0,COUNTIFS('ITENS_MTR'!$S$6:$S$1005,A53,'ITENS_MTR'!$AM$6:$AM$1005,1))</f>
        <v>0</v>
      </c>
      <c r="AI53" s="96">
        <f>IF(Z53=0,0,COUNTIFS('ITENS_MTR'!$S$6:$S$1005,A53,'ITENS_MTR'!$AO$6:$AO$1005,1))</f>
        <v>0</v>
      </c>
      <c r="AJ53" s="96">
        <f>IF(Z53=0,0,COUNTIFS('ITENS_MTR'!$S$6:$S$1005,A53,'ITENS_MTR'!$AN$6:$AN$1005,1))</f>
        <v>0</v>
      </c>
      <c r="AK53" s="96">
        <f>IF(Z53=0,0,COUNTIFS('RECEBIMENTOS'!$B$6:$B$1005,A53,'RECEBIMENTOS'!$Y$6:$Y$1005,1))</f>
        <v>0</v>
      </c>
      <c r="AL53" s="96">
        <f>IF(Z53=0,0,COUNTIFS('VÍNCULOS_CDF'!$D$6:$D$1005,A53,'VÍNCULOS_CDF'!$Y$6:$Y$1005,1))</f>
        <v>0</v>
      </c>
      <c r="AM53" s="96">
        <f>IF(Z53=0,0,COUNTIFS('RECEBIMENTOS'!$B$6:$B$1005,A53,'RECEBIMENTOS'!$Q$6:$Q$1005,1))</f>
        <v>0</v>
      </c>
      <c r="AN53" s="96">
        <f>IF(AND(Z53=1,N(W53)&gt;0,AG53=N(W53)),1,0)</f>
        <v>0</v>
      </c>
      <c r="AO53" s="96">
        <f>IF(AND(Z53=1,N(W53)&gt;0,AI53=N(W53)),1,0)</f>
        <v>0</v>
      </c>
      <c r="AP53" s="97">
        <f>IF(Z53=0,0,_xlfn.MAXIFS('RECEBIMENTOS'!$E$6:$E$1005,'RECEBIMENTOS'!$B$6:$B$1005,A53))</f>
        <v>0</v>
      </c>
      <c r="AQ53" s="97" t="str">
        <f>IF(T53="","",IF(T53="RECEBIMENTO NÃO CONFIRMADO",IF(ISNUMBER(F53),F53,IF(ISNUMBER(E53),E53,"")),IF(OR(T53="CDF NÃO LOCALIZADO",T53="VÍNCULO INCOMPLETO",T53="CDF A CONFERIR"),IF(AP53&gt;0,AP53,IF(ISNUMBER(E53),E53,"")),IF(ISNUMBER(E53),E53,""))))</f>
        <v/>
      </c>
      <c r="AR53" s="96">
        <f>IF(NOT(ISNUMBER(U53)),0,IF(T53="RECEBIMENTO NÃO CONFIRMADO",IF(AND(ISNUMBER(cfg_rec),U53&gt;cfg_rec),1,0),IF(OR(T53="CDF NÃO LOCALIZADO",T53="VÍNCULO INCOMPLETO",T53="CDF A CONFERIR"),IF(AND(ISNUMBER(cfg_cdf),U53&gt;cfg_cdf),1,0),0)))</f>
        <v>0</v>
      </c>
      <c r="AS53" s="96" t="str">
        <f>IF(T53="","",IF(AR53=1,"Alta",IFERROR(INDEX(cfg_pp,MATCH(T53,cfg_pt,0))&amp;"","Média")))</f>
        <v/>
      </c>
      <c r="AT53" s="96" t="str">
        <f>IF(T53="","",IFERROR(INDEX(cfg_pv,MATCH(T53,cfg_pt,0))&amp;"",""))</f>
        <v/>
      </c>
      <c r="AU53" s="96" t="str">
        <f>IF(T53="","",IF(AS53="Alta",1,IF(AS53="Média",2,3))*1000000000+(999999-IF(ISNUMBER(U53),MIN(U53,999999),0))*1000+48)</f>
        <v/>
      </c>
      <c r="AV53" s="96">
        <f>IF(T53&lt;&gt;"",1,0)</f>
        <v>0</v>
      </c>
      <c r="AW53" s="96" t="str">
        <f>IF(Z53=0,"",IF(AA53=1,"Cancelamento informado; ","")&amp;IF(AE53=1,"Campos essenciais ou itens faltando; ","")&amp;IF(AC53=1,"Possível duplicidade do número; ","")&amp;IF(AD53=1,"Cadastro ou datas a revisar; ","")&amp;IF(AF53&gt;0,"Item de resíduo com dado a revisar; ","")&amp;IF(AH53&gt;0,"Diferença de quantidade a analisar; ","")&amp;IF(AK53&gt;0,"Recebimento com alerta; ","")&amp;IF(AL53&gt;0,"Vínculo de CDF com alerta; ","")&amp;IF(AND(AA53=0,AN53=0),"Recebimento não confirmado; ","")&amp;IF(AND(AA53=0,AN53=1,AO53=0),"CDF pendente ou a conferir; ",""))</f>
        <v/>
      </c>
      <c r="AX53" s="96">
        <f>IF(Z53=0,0,IF(AND(OR(f_ini="",AND(ISNUMBER(E53),E53&gt;=f_ini)),OR(f_fim="",AND(ISNUMBER(E53),E53&lt;=f_fim)),OR(f_un="",f_un="(Todas)",G53=f_un),OR(f_tr="",f_tr="(Todos)",H53=f_tr),OR(f_de="",f_de="(Todos)",I53=f_de),OR(f_sit="",f_sit="(Todas)",S53=f_sit)),1,0))</f>
        <v>0</v>
      </c>
      <c r="AY53" s="96">
        <f>IF(AX53=0,0,IF(OR(f_res="",f_res="(Todos)"),1,IF(COUNTIFS('ITENS_MTR'!$S$6:$S$1005,A53,'ITENS_MTR'!$C$6:$C$1005,f_res)&gt;0,1,0)))</f>
        <v>0</v>
      </c>
      <c r="AZ53" s="97" t="str">
        <f>IF(ISNUMBER(E53),DATE(YEAR(E53),MONTH(E53),1),"")</f>
        <v/>
      </c>
      <c r="BA53" s="96">
        <f>IF(Z53=0,0,IF(AND(OR(r_ini="",AND(ISNUMBER(E53),E53&gt;=r_ini)),OR(r_fim="",AND(ISNUMBER(E53),E53&lt;=r_fim)),OR(r_un="",r_un="(Todas)",G53=r_un),OR(r_de="",r_de="(Todos)",I53=r_de)),1,0))</f>
        <v>0</v>
      </c>
      <c r="BB53" s="96" t="str">
        <f>IF(BA53=1,COUNTIF($BA$6:BA53,1),"")</f>
        <v/>
      </c>
      <c r="BC53" s="96" t="str">
        <f>IF(AND(AU53&lt;&gt;"",OR(r_un="",r_un="(Todas)",G53=r_un),OR(r_de="",r_de="(Todos)",I53=r_de)),AU53,"")</f>
        <v/>
      </c>
      <c r="BD53" s="96" t="str">
        <f>IF(Z53=1,A53&amp;" | nº "&amp;IF(B53="","(sem número)",B53)&amp;" | "&amp;IF(G53="","(sem unidade)",G53),"")</f>
        <v/>
      </c>
      <c r="BE53" s="96" t="str">
        <f>IF(Z53=1,COUNTIF($Z$6:Z53,1),"")</f>
        <v/>
      </c>
      <c r="BF53" s="96" t="str">
        <f>IF(T53="","",IF(T53="RECEBIMENTO NÃO CONFIRMADO","Transp.: "&amp;H53&amp;" | Dest.: "&amp;I53,IF(OR(T53="CDF NÃO LOCALIZADO",T53="VÍNCULO INCOMPLETO",T53="CDF A CONFERIR"),"Dest.: "&amp;I53,"Gerador: "&amp;G53)))</f>
        <v/>
      </c>
    </row>
    <row r="54">
      <c r="A54" s="89" t="inlineStr">
        <is>
          <t>MTR-000049</t>
        </is>
      </c>
      <c r="B54" s="90" t="n"/>
      <c r="C54" s="91" t="n"/>
      <c r="D54" s="91" t="n"/>
      <c r="E54" s="92" t="n"/>
      <c r="F54" s="92" t="n"/>
      <c r="G54" s="91" t="n"/>
      <c r="H54" s="91" t="n"/>
      <c r="I54" s="91" t="n"/>
      <c r="J54" s="91" t="n"/>
      <c r="K54" s="91" t="n"/>
      <c r="L54" s="92" t="n"/>
      <c r="M54" s="91" t="n"/>
      <c r="N54" s="91" t="n"/>
      <c r="O54" s="91" t="n"/>
      <c r="P54" s="93" t="str">
        <f>IF(Z54=0,"",SUMIFS('ITENS_MTR'!$I$6:$I$1005,'ITENS_MTR'!$S$6:$S$1005,A54,'ITENS_MTR'!$Y$6:$Y$1005,1))</f>
        <v/>
      </c>
      <c r="Q54" s="93" t="str">
        <f>IF(Z54=0,"",SUMIFS('RECEBIMENTOS'!$H$6:$H$1005,'RECEBIMENTOS'!$B$6:$B$1005,A54,'RECEBIMENTOS'!$X$6:$X$1005,1))</f>
        <v/>
      </c>
      <c r="R54" s="93" t="str">
        <f>IF(Z54=0,"",SUMIFS('VÍNCULOS_CDF'!$H$6:$H$1005,'VÍNCULOS_CDF'!$D$6:$D$1005,A54,'VÍNCULOS_CDF'!$V$6:$V$1005,1))</f>
        <v/>
      </c>
      <c r="S54" s="94" t="str">
        <f>IF(Z54=0,"",IF(AA54=1,"Cancelado (informado)",IF(AE54=1,"Cadastro incompleto",IF(OR(AC54=1,AD54=1,AF54&gt;0,AH54&gt;0,AK54&gt;0,AL54&gt;0),"Informação a revisar",IF(AN54=0,"Aguardando recebimento",IF(N(R54)=0,"Aguardando CDF",IF(AJ54&lt;N(W54),"Vínculo de CDF parcial",IF(AO54=0,"CDF localizado, a conferir","Documentação conferida"))))))))</f>
        <v/>
      </c>
      <c r="T54" s="94" t="str">
        <f>IF(Z54=0,"",IF(S54="Cadastro incompleto","MTR INCOMPLETO",IF(S54="Informação a revisar",IF(AND(AH54&gt;0,AC54=0,AD54=0,AF54=0,AK54=0,AL54=0),"QUANTIDADE A REVISAR","IDENTIFICAÇÃO A REVISAR"),IF(S54="Aguardando recebimento","RECEBIMENTO NÃO CONFIRMADO",IF(S54="Aguardando CDF","CDF NÃO LOCALIZADO",IF(S54="Vínculo de CDF parcial","VÍNCULO INCOMPLETO",IF(S54="CDF localizado, a conferir","CDF A CONFERIR","")))))))</f>
        <v/>
      </c>
      <c r="U54" s="95" t="str">
        <f>IF(T54="","",IF(AQ54="","Não calculável",IF(AQ54&gt;TODAY(),"Data futura",TODAY()-AQ54)))</f>
        <v/>
      </c>
      <c r="V54" s="93" t="str">
        <f>IF(Z54=0,"",SUMIFS('RECEBIMENTOS'!$H$6:$H$1005,'RECEBIMENTOS'!$B$6:$B$1005,A54,'RECEBIMENTOS'!$Z$6:$Z$1005,1))</f>
        <v/>
      </c>
      <c r="W54" s="95" t="str">
        <f>IF(Z54=0,"",COUNTIFS('ITENS_MTR'!$S$6:$S$1005,A54,'ITENS_MTR'!$R$6:$R$1005,1))</f>
        <v/>
      </c>
      <c r="X54" s="94" t="str">
        <f>IF(AC54=1,"POSSÍVEL DUPLICIDADE","")</f>
        <v/>
      </c>
      <c r="Y54" s="94" t="str">
        <f>IF(Z54=0,"",IF(AW54="","Nenhuma",LEFT(AW54,LEN(AW54)-2)))</f>
        <v/>
      </c>
      <c r="Z54" s="96">
        <f>IF(COUNTA(B54:O54)&gt;0,1,0)</f>
        <v>0</v>
      </c>
      <c r="AA54" s="96">
        <f>IF(AND(Z54=1,K54&lt;&gt;""),IF(TRIM(K54)=TRIM(cfg_cancel),1,0),0)</f>
        <v>0</v>
      </c>
      <c r="AB54" s="96" t="str">
        <f>IF(AND(Z54=1,B54&lt;&gt;""),C54&amp;"|"&amp;D54&amp;"|"&amp;G54&amp;"|"&amp;TRIM(B54),"")</f>
        <v/>
      </c>
      <c r="AC54" s="96">
        <f>IF(AB54="",0,IF(SUMPRODUCT(--($AB$6:$AB$505=AB54))&gt;1,1,0))</f>
        <v>0</v>
      </c>
      <c r="AD54" s="96">
        <f>IF(Z54=0,0,IF(OR(AND(G54&lt;&gt;"",ISNA(MATCH(G54,'CAD_UNIDADES'!$C$6:$C$105,0))),AND(H54&lt;&gt;"",ISNA(MATCH(H54,cmp_transp,0))),AND(I54&lt;&gt;"",ISNA(MATCH(I54,cmp_dest,0))),AND(E54&lt;&gt;"",NOT(ISNUMBER(E54))),AND(F54&lt;&gt;"",NOT(ISNUMBER(F54))),AND(ISNUMBER(E54),ISNUMBER(F54),F54&lt;E54)),1,0))</f>
        <v>0</v>
      </c>
      <c r="AE54" s="96">
        <f>IF(Z54=0,0,IF(OR(B54="",C54="",E54="",G54="",H54="",I54="",N(W54)=0),1,0))</f>
        <v>0</v>
      </c>
      <c r="AF54" s="96">
        <f>IF(Z54=0,0,COUNTIFS('ITENS_MTR'!$S$6:$S$1005,A54,'ITENS_MTR'!$AI$6:$AI$1005,1))</f>
        <v>0</v>
      </c>
      <c r="AG54" s="96">
        <f>IF(Z54=0,0,COUNTIFS('ITENS_MTR'!$S$6:$S$1005,A54,'ITENS_MTR'!$AJ$6:$AJ$1005,1))</f>
        <v>0</v>
      </c>
      <c r="AH54" s="96">
        <f>IF(Z54=0,0,COUNTIFS('ITENS_MTR'!$S$6:$S$1005,A54,'ITENS_MTR'!$AM$6:$AM$1005,1))</f>
        <v>0</v>
      </c>
      <c r="AI54" s="96">
        <f>IF(Z54=0,0,COUNTIFS('ITENS_MTR'!$S$6:$S$1005,A54,'ITENS_MTR'!$AO$6:$AO$1005,1))</f>
        <v>0</v>
      </c>
      <c r="AJ54" s="96">
        <f>IF(Z54=0,0,COUNTIFS('ITENS_MTR'!$S$6:$S$1005,A54,'ITENS_MTR'!$AN$6:$AN$1005,1))</f>
        <v>0</v>
      </c>
      <c r="AK54" s="96">
        <f>IF(Z54=0,0,COUNTIFS('RECEBIMENTOS'!$B$6:$B$1005,A54,'RECEBIMENTOS'!$Y$6:$Y$1005,1))</f>
        <v>0</v>
      </c>
      <c r="AL54" s="96">
        <f>IF(Z54=0,0,COUNTIFS('VÍNCULOS_CDF'!$D$6:$D$1005,A54,'VÍNCULOS_CDF'!$Y$6:$Y$1005,1))</f>
        <v>0</v>
      </c>
      <c r="AM54" s="96">
        <f>IF(Z54=0,0,COUNTIFS('RECEBIMENTOS'!$B$6:$B$1005,A54,'RECEBIMENTOS'!$Q$6:$Q$1005,1))</f>
        <v>0</v>
      </c>
      <c r="AN54" s="96">
        <f>IF(AND(Z54=1,N(W54)&gt;0,AG54=N(W54)),1,0)</f>
        <v>0</v>
      </c>
      <c r="AO54" s="96">
        <f>IF(AND(Z54=1,N(W54)&gt;0,AI54=N(W54)),1,0)</f>
        <v>0</v>
      </c>
      <c r="AP54" s="97">
        <f>IF(Z54=0,0,_xlfn.MAXIFS('RECEBIMENTOS'!$E$6:$E$1005,'RECEBIMENTOS'!$B$6:$B$1005,A54))</f>
        <v>0</v>
      </c>
      <c r="AQ54" s="97" t="str">
        <f>IF(T54="","",IF(T54="RECEBIMENTO NÃO CONFIRMADO",IF(ISNUMBER(F54),F54,IF(ISNUMBER(E54),E54,"")),IF(OR(T54="CDF NÃO LOCALIZADO",T54="VÍNCULO INCOMPLETO",T54="CDF A CONFERIR"),IF(AP54&gt;0,AP54,IF(ISNUMBER(E54),E54,"")),IF(ISNUMBER(E54),E54,""))))</f>
        <v/>
      </c>
      <c r="AR54" s="96">
        <f>IF(NOT(ISNUMBER(U54)),0,IF(T54="RECEBIMENTO NÃO CONFIRMADO",IF(AND(ISNUMBER(cfg_rec),U54&gt;cfg_rec),1,0),IF(OR(T54="CDF NÃO LOCALIZADO",T54="VÍNCULO INCOMPLETO",T54="CDF A CONFERIR"),IF(AND(ISNUMBER(cfg_cdf),U54&gt;cfg_cdf),1,0),0)))</f>
        <v>0</v>
      </c>
      <c r="AS54" s="96" t="str">
        <f>IF(T54="","",IF(AR54=1,"Alta",IFERROR(INDEX(cfg_pp,MATCH(T54,cfg_pt,0))&amp;"","Média")))</f>
        <v/>
      </c>
      <c r="AT54" s="96" t="str">
        <f>IF(T54="","",IFERROR(INDEX(cfg_pv,MATCH(T54,cfg_pt,0))&amp;"",""))</f>
        <v/>
      </c>
      <c r="AU54" s="96" t="str">
        <f>IF(T54="","",IF(AS54="Alta",1,IF(AS54="Média",2,3))*1000000000+(999999-IF(ISNUMBER(U54),MIN(U54,999999),0))*1000+49)</f>
        <v/>
      </c>
      <c r="AV54" s="96">
        <f>IF(T54&lt;&gt;"",1,0)</f>
        <v>0</v>
      </c>
      <c r="AW54" s="96" t="str">
        <f>IF(Z54=0,"",IF(AA54=1,"Cancelamento informado; ","")&amp;IF(AE54=1,"Campos essenciais ou itens faltando; ","")&amp;IF(AC54=1,"Possível duplicidade do número; ","")&amp;IF(AD54=1,"Cadastro ou datas a revisar; ","")&amp;IF(AF54&gt;0,"Item de resíduo com dado a revisar; ","")&amp;IF(AH54&gt;0,"Diferença de quantidade a analisar; ","")&amp;IF(AK54&gt;0,"Recebimento com alerta; ","")&amp;IF(AL54&gt;0,"Vínculo de CDF com alerta; ","")&amp;IF(AND(AA54=0,AN54=0),"Recebimento não confirmado; ","")&amp;IF(AND(AA54=0,AN54=1,AO54=0),"CDF pendente ou a conferir; ",""))</f>
        <v/>
      </c>
      <c r="AX54" s="96">
        <f>IF(Z54=0,0,IF(AND(OR(f_ini="",AND(ISNUMBER(E54),E54&gt;=f_ini)),OR(f_fim="",AND(ISNUMBER(E54),E54&lt;=f_fim)),OR(f_un="",f_un="(Todas)",G54=f_un),OR(f_tr="",f_tr="(Todos)",H54=f_tr),OR(f_de="",f_de="(Todos)",I54=f_de),OR(f_sit="",f_sit="(Todas)",S54=f_sit)),1,0))</f>
        <v>0</v>
      </c>
      <c r="AY54" s="96">
        <f>IF(AX54=0,0,IF(OR(f_res="",f_res="(Todos)"),1,IF(COUNTIFS('ITENS_MTR'!$S$6:$S$1005,A54,'ITENS_MTR'!$C$6:$C$1005,f_res)&gt;0,1,0)))</f>
        <v>0</v>
      </c>
      <c r="AZ54" s="97" t="str">
        <f>IF(ISNUMBER(E54),DATE(YEAR(E54),MONTH(E54),1),"")</f>
        <v/>
      </c>
      <c r="BA54" s="96">
        <f>IF(Z54=0,0,IF(AND(OR(r_ini="",AND(ISNUMBER(E54),E54&gt;=r_ini)),OR(r_fim="",AND(ISNUMBER(E54),E54&lt;=r_fim)),OR(r_un="",r_un="(Todas)",G54=r_un),OR(r_de="",r_de="(Todos)",I54=r_de)),1,0))</f>
        <v>0</v>
      </c>
      <c r="BB54" s="96" t="str">
        <f>IF(BA54=1,COUNTIF($BA$6:BA54,1),"")</f>
        <v/>
      </c>
      <c r="BC54" s="96" t="str">
        <f>IF(AND(AU54&lt;&gt;"",OR(r_un="",r_un="(Todas)",G54=r_un),OR(r_de="",r_de="(Todos)",I54=r_de)),AU54,"")</f>
        <v/>
      </c>
      <c r="BD54" s="96" t="str">
        <f>IF(Z54=1,A54&amp;" | nº "&amp;IF(B54="","(sem número)",B54)&amp;" | "&amp;IF(G54="","(sem unidade)",G54),"")</f>
        <v/>
      </c>
      <c r="BE54" s="96" t="str">
        <f>IF(Z54=1,COUNTIF($Z$6:Z54,1),"")</f>
        <v/>
      </c>
      <c r="BF54" s="96" t="str">
        <f>IF(T54="","",IF(T54="RECEBIMENTO NÃO CONFIRMADO","Transp.: "&amp;H54&amp;" | Dest.: "&amp;I54,IF(OR(T54="CDF NÃO LOCALIZADO",T54="VÍNCULO INCOMPLETO",T54="CDF A CONFERIR"),"Dest.: "&amp;I54,"Gerador: "&amp;G54)))</f>
        <v/>
      </c>
    </row>
    <row r="55">
      <c r="A55" s="89" t="inlineStr">
        <is>
          <t>MTR-000050</t>
        </is>
      </c>
      <c r="B55" s="90" t="n"/>
      <c r="C55" s="91" t="n"/>
      <c r="D55" s="91" t="n"/>
      <c r="E55" s="92" t="n"/>
      <c r="F55" s="92" t="n"/>
      <c r="G55" s="91" t="n"/>
      <c r="H55" s="91" t="n"/>
      <c r="I55" s="91" t="n"/>
      <c r="J55" s="91" t="n"/>
      <c r="K55" s="91" t="n"/>
      <c r="L55" s="92" t="n"/>
      <c r="M55" s="91" t="n"/>
      <c r="N55" s="91" t="n"/>
      <c r="O55" s="91" t="n"/>
      <c r="P55" s="93" t="str">
        <f>IF(Z55=0,"",SUMIFS('ITENS_MTR'!$I$6:$I$1005,'ITENS_MTR'!$S$6:$S$1005,A55,'ITENS_MTR'!$Y$6:$Y$1005,1))</f>
        <v/>
      </c>
      <c r="Q55" s="93" t="str">
        <f>IF(Z55=0,"",SUMIFS('RECEBIMENTOS'!$H$6:$H$1005,'RECEBIMENTOS'!$B$6:$B$1005,A55,'RECEBIMENTOS'!$X$6:$X$1005,1))</f>
        <v/>
      </c>
      <c r="R55" s="93" t="str">
        <f>IF(Z55=0,"",SUMIFS('VÍNCULOS_CDF'!$H$6:$H$1005,'VÍNCULOS_CDF'!$D$6:$D$1005,A55,'VÍNCULOS_CDF'!$V$6:$V$1005,1))</f>
        <v/>
      </c>
      <c r="S55" s="94" t="str">
        <f>IF(Z55=0,"",IF(AA55=1,"Cancelado (informado)",IF(AE55=1,"Cadastro incompleto",IF(OR(AC55=1,AD55=1,AF55&gt;0,AH55&gt;0,AK55&gt;0,AL55&gt;0),"Informação a revisar",IF(AN55=0,"Aguardando recebimento",IF(N(R55)=0,"Aguardando CDF",IF(AJ55&lt;N(W55),"Vínculo de CDF parcial",IF(AO55=0,"CDF localizado, a conferir","Documentação conferida"))))))))</f>
        <v/>
      </c>
      <c r="T55" s="94" t="str">
        <f>IF(Z55=0,"",IF(S55="Cadastro incompleto","MTR INCOMPLETO",IF(S55="Informação a revisar",IF(AND(AH55&gt;0,AC55=0,AD55=0,AF55=0,AK55=0,AL55=0),"QUANTIDADE A REVISAR","IDENTIFICAÇÃO A REVISAR"),IF(S55="Aguardando recebimento","RECEBIMENTO NÃO CONFIRMADO",IF(S55="Aguardando CDF","CDF NÃO LOCALIZADO",IF(S55="Vínculo de CDF parcial","VÍNCULO INCOMPLETO",IF(S55="CDF localizado, a conferir","CDF A CONFERIR","")))))))</f>
        <v/>
      </c>
      <c r="U55" s="95" t="str">
        <f>IF(T55="","",IF(AQ55="","Não calculável",IF(AQ55&gt;TODAY(),"Data futura",TODAY()-AQ55)))</f>
        <v/>
      </c>
      <c r="V55" s="93" t="str">
        <f>IF(Z55=0,"",SUMIFS('RECEBIMENTOS'!$H$6:$H$1005,'RECEBIMENTOS'!$B$6:$B$1005,A55,'RECEBIMENTOS'!$Z$6:$Z$1005,1))</f>
        <v/>
      </c>
      <c r="W55" s="95" t="str">
        <f>IF(Z55=0,"",COUNTIFS('ITENS_MTR'!$S$6:$S$1005,A55,'ITENS_MTR'!$R$6:$R$1005,1))</f>
        <v/>
      </c>
      <c r="X55" s="94" t="str">
        <f>IF(AC55=1,"POSSÍVEL DUPLICIDADE","")</f>
        <v/>
      </c>
      <c r="Y55" s="94" t="str">
        <f>IF(Z55=0,"",IF(AW55="","Nenhuma",LEFT(AW55,LEN(AW55)-2)))</f>
        <v/>
      </c>
      <c r="Z55" s="96">
        <f>IF(COUNTA(B55:O55)&gt;0,1,0)</f>
        <v>0</v>
      </c>
      <c r="AA55" s="96">
        <f>IF(AND(Z55=1,K55&lt;&gt;""),IF(TRIM(K55)=TRIM(cfg_cancel),1,0),0)</f>
        <v>0</v>
      </c>
      <c r="AB55" s="96" t="str">
        <f>IF(AND(Z55=1,B55&lt;&gt;""),C55&amp;"|"&amp;D55&amp;"|"&amp;G55&amp;"|"&amp;TRIM(B55),"")</f>
        <v/>
      </c>
      <c r="AC55" s="96">
        <f>IF(AB55="",0,IF(SUMPRODUCT(--($AB$6:$AB$505=AB55))&gt;1,1,0))</f>
        <v>0</v>
      </c>
      <c r="AD55" s="96">
        <f>IF(Z55=0,0,IF(OR(AND(G55&lt;&gt;"",ISNA(MATCH(G55,'CAD_UNIDADES'!$C$6:$C$105,0))),AND(H55&lt;&gt;"",ISNA(MATCH(H55,cmp_transp,0))),AND(I55&lt;&gt;"",ISNA(MATCH(I55,cmp_dest,0))),AND(E55&lt;&gt;"",NOT(ISNUMBER(E55))),AND(F55&lt;&gt;"",NOT(ISNUMBER(F55))),AND(ISNUMBER(E55),ISNUMBER(F55),F55&lt;E55)),1,0))</f>
        <v>0</v>
      </c>
      <c r="AE55" s="96">
        <f>IF(Z55=0,0,IF(OR(B55="",C55="",E55="",G55="",H55="",I55="",N(W55)=0),1,0))</f>
        <v>0</v>
      </c>
      <c r="AF55" s="96">
        <f>IF(Z55=0,0,COUNTIFS('ITENS_MTR'!$S$6:$S$1005,A55,'ITENS_MTR'!$AI$6:$AI$1005,1))</f>
        <v>0</v>
      </c>
      <c r="AG55" s="96">
        <f>IF(Z55=0,0,COUNTIFS('ITENS_MTR'!$S$6:$S$1005,A55,'ITENS_MTR'!$AJ$6:$AJ$1005,1))</f>
        <v>0</v>
      </c>
      <c r="AH55" s="96">
        <f>IF(Z55=0,0,COUNTIFS('ITENS_MTR'!$S$6:$S$1005,A55,'ITENS_MTR'!$AM$6:$AM$1005,1))</f>
        <v>0</v>
      </c>
      <c r="AI55" s="96">
        <f>IF(Z55=0,0,COUNTIFS('ITENS_MTR'!$S$6:$S$1005,A55,'ITENS_MTR'!$AO$6:$AO$1005,1))</f>
        <v>0</v>
      </c>
      <c r="AJ55" s="96">
        <f>IF(Z55=0,0,COUNTIFS('ITENS_MTR'!$S$6:$S$1005,A55,'ITENS_MTR'!$AN$6:$AN$1005,1))</f>
        <v>0</v>
      </c>
      <c r="AK55" s="96">
        <f>IF(Z55=0,0,COUNTIFS('RECEBIMENTOS'!$B$6:$B$1005,A55,'RECEBIMENTOS'!$Y$6:$Y$1005,1))</f>
        <v>0</v>
      </c>
      <c r="AL55" s="96">
        <f>IF(Z55=0,0,COUNTIFS('VÍNCULOS_CDF'!$D$6:$D$1005,A55,'VÍNCULOS_CDF'!$Y$6:$Y$1005,1))</f>
        <v>0</v>
      </c>
      <c r="AM55" s="96">
        <f>IF(Z55=0,0,COUNTIFS('RECEBIMENTOS'!$B$6:$B$1005,A55,'RECEBIMENTOS'!$Q$6:$Q$1005,1))</f>
        <v>0</v>
      </c>
      <c r="AN55" s="96">
        <f>IF(AND(Z55=1,N(W55)&gt;0,AG55=N(W55)),1,0)</f>
        <v>0</v>
      </c>
      <c r="AO55" s="96">
        <f>IF(AND(Z55=1,N(W55)&gt;0,AI55=N(W55)),1,0)</f>
        <v>0</v>
      </c>
      <c r="AP55" s="97">
        <f>IF(Z55=0,0,_xlfn.MAXIFS('RECEBIMENTOS'!$E$6:$E$1005,'RECEBIMENTOS'!$B$6:$B$1005,A55))</f>
        <v>0</v>
      </c>
      <c r="AQ55" s="97" t="str">
        <f>IF(T55="","",IF(T55="RECEBIMENTO NÃO CONFIRMADO",IF(ISNUMBER(F55),F55,IF(ISNUMBER(E55),E55,"")),IF(OR(T55="CDF NÃO LOCALIZADO",T55="VÍNCULO INCOMPLETO",T55="CDF A CONFERIR"),IF(AP55&gt;0,AP55,IF(ISNUMBER(E55),E55,"")),IF(ISNUMBER(E55),E55,""))))</f>
        <v/>
      </c>
      <c r="AR55" s="96">
        <f>IF(NOT(ISNUMBER(U55)),0,IF(T55="RECEBIMENTO NÃO CONFIRMADO",IF(AND(ISNUMBER(cfg_rec),U55&gt;cfg_rec),1,0),IF(OR(T55="CDF NÃO LOCALIZADO",T55="VÍNCULO INCOMPLETO",T55="CDF A CONFERIR"),IF(AND(ISNUMBER(cfg_cdf),U55&gt;cfg_cdf),1,0),0)))</f>
        <v>0</v>
      </c>
      <c r="AS55" s="96" t="str">
        <f>IF(T55="","",IF(AR55=1,"Alta",IFERROR(INDEX(cfg_pp,MATCH(T55,cfg_pt,0))&amp;"","Média")))</f>
        <v/>
      </c>
      <c r="AT55" s="96" t="str">
        <f>IF(T55="","",IFERROR(INDEX(cfg_pv,MATCH(T55,cfg_pt,0))&amp;"",""))</f>
        <v/>
      </c>
      <c r="AU55" s="96" t="str">
        <f>IF(T55="","",IF(AS55="Alta",1,IF(AS55="Média",2,3))*1000000000+(999999-IF(ISNUMBER(U55),MIN(U55,999999),0))*1000+50)</f>
        <v/>
      </c>
      <c r="AV55" s="96">
        <f>IF(T55&lt;&gt;"",1,0)</f>
        <v>0</v>
      </c>
      <c r="AW55" s="96" t="str">
        <f>IF(Z55=0,"",IF(AA55=1,"Cancelamento informado; ","")&amp;IF(AE55=1,"Campos essenciais ou itens faltando; ","")&amp;IF(AC55=1,"Possível duplicidade do número; ","")&amp;IF(AD55=1,"Cadastro ou datas a revisar; ","")&amp;IF(AF55&gt;0,"Item de resíduo com dado a revisar; ","")&amp;IF(AH55&gt;0,"Diferença de quantidade a analisar; ","")&amp;IF(AK55&gt;0,"Recebimento com alerta; ","")&amp;IF(AL55&gt;0,"Vínculo de CDF com alerta; ","")&amp;IF(AND(AA55=0,AN55=0),"Recebimento não confirmado; ","")&amp;IF(AND(AA55=0,AN55=1,AO55=0),"CDF pendente ou a conferir; ",""))</f>
        <v/>
      </c>
      <c r="AX55" s="96">
        <f>IF(Z55=0,0,IF(AND(OR(f_ini="",AND(ISNUMBER(E55),E55&gt;=f_ini)),OR(f_fim="",AND(ISNUMBER(E55),E55&lt;=f_fim)),OR(f_un="",f_un="(Todas)",G55=f_un),OR(f_tr="",f_tr="(Todos)",H55=f_tr),OR(f_de="",f_de="(Todos)",I55=f_de),OR(f_sit="",f_sit="(Todas)",S55=f_sit)),1,0))</f>
        <v>0</v>
      </c>
      <c r="AY55" s="96">
        <f>IF(AX55=0,0,IF(OR(f_res="",f_res="(Todos)"),1,IF(COUNTIFS('ITENS_MTR'!$S$6:$S$1005,A55,'ITENS_MTR'!$C$6:$C$1005,f_res)&gt;0,1,0)))</f>
        <v>0</v>
      </c>
      <c r="AZ55" s="97" t="str">
        <f>IF(ISNUMBER(E55),DATE(YEAR(E55),MONTH(E55),1),"")</f>
        <v/>
      </c>
      <c r="BA55" s="96">
        <f>IF(Z55=0,0,IF(AND(OR(r_ini="",AND(ISNUMBER(E55),E55&gt;=r_ini)),OR(r_fim="",AND(ISNUMBER(E55),E55&lt;=r_fim)),OR(r_un="",r_un="(Todas)",G55=r_un),OR(r_de="",r_de="(Todos)",I55=r_de)),1,0))</f>
        <v>0</v>
      </c>
      <c r="BB55" s="96" t="str">
        <f>IF(BA55=1,COUNTIF($BA$6:BA55,1),"")</f>
        <v/>
      </c>
      <c r="BC55" s="96" t="str">
        <f>IF(AND(AU55&lt;&gt;"",OR(r_un="",r_un="(Todas)",G55=r_un),OR(r_de="",r_de="(Todos)",I55=r_de)),AU55,"")</f>
        <v/>
      </c>
      <c r="BD55" s="96" t="str">
        <f>IF(Z55=1,A55&amp;" | nº "&amp;IF(B55="","(sem número)",B55)&amp;" | "&amp;IF(G55="","(sem unidade)",G55),"")</f>
        <v/>
      </c>
      <c r="BE55" s="96" t="str">
        <f>IF(Z55=1,COUNTIF($Z$6:Z55,1),"")</f>
        <v/>
      </c>
      <c r="BF55" s="96" t="str">
        <f>IF(T55="","",IF(T55="RECEBIMENTO NÃO CONFIRMADO","Transp.: "&amp;H55&amp;" | Dest.: "&amp;I55,IF(OR(T55="CDF NÃO LOCALIZADO",T55="VÍNCULO INCOMPLETO",T55="CDF A CONFERIR"),"Dest.: "&amp;I55,"Gerador: "&amp;G55)))</f>
        <v/>
      </c>
    </row>
    <row r="56">
      <c r="A56" s="89" t="inlineStr">
        <is>
          <t>MTR-000051</t>
        </is>
      </c>
      <c r="B56" s="90" t="n"/>
      <c r="C56" s="91" t="n"/>
      <c r="D56" s="91" t="n"/>
      <c r="E56" s="92" t="n"/>
      <c r="F56" s="92" t="n"/>
      <c r="G56" s="91" t="n"/>
      <c r="H56" s="91" t="n"/>
      <c r="I56" s="91" t="n"/>
      <c r="J56" s="91" t="n"/>
      <c r="K56" s="91" t="n"/>
      <c r="L56" s="92" t="n"/>
      <c r="M56" s="91" t="n"/>
      <c r="N56" s="91" t="n"/>
      <c r="O56" s="91" t="n"/>
      <c r="P56" s="93" t="str">
        <f>IF(Z56=0,"",SUMIFS('ITENS_MTR'!$I$6:$I$1005,'ITENS_MTR'!$S$6:$S$1005,A56,'ITENS_MTR'!$Y$6:$Y$1005,1))</f>
        <v/>
      </c>
      <c r="Q56" s="93" t="str">
        <f>IF(Z56=0,"",SUMIFS('RECEBIMENTOS'!$H$6:$H$1005,'RECEBIMENTOS'!$B$6:$B$1005,A56,'RECEBIMENTOS'!$X$6:$X$1005,1))</f>
        <v/>
      </c>
      <c r="R56" s="93" t="str">
        <f>IF(Z56=0,"",SUMIFS('VÍNCULOS_CDF'!$H$6:$H$1005,'VÍNCULOS_CDF'!$D$6:$D$1005,A56,'VÍNCULOS_CDF'!$V$6:$V$1005,1))</f>
        <v/>
      </c>
      <c r="S56" s="94" t="str">
        <f>IF(Z56=0,"",IF(AA56=1,"Cancelado (informado)",IF(AE56=1,"Cadastro incompleto",IF(OR(AC56=1,AD56=1,AF56&gt;0,AH56&gt;0,AK56&gt;0,AL56&gt;0),"Informação a revisar",IF(AN56=0,"Aguardando recebimento",IF(N(R56)=0,"Aguardando CDF",IF(AJ56&lt;N(W56),"Vínculo de CDF parcial",IF(AO56=0,"CDF localizado, a conferir","Documentação conferida"))))))))</f>
        <v/>
      </c>
      <c r="T56" s="94" t="str">
        <f>IF(Z56=0,"",IF(S56="Cadastro incompleto","MTR INCOMPLETO",IF(S56="Informação a revisar",IF(AND(AH56&gt;0,AC56=0,AD56=0,AF56=0,AK56=0,AL56=0),"QUANTIDADE A REVISAR","IDENTIFICAÇÃO A REVISAR"),IF(S56="Aguardando recebimento","RECEBIMENTO NÃO CONFIRMADO",IF(S56="Aguardando CDF","CDF NÃO LOCALIZADO",IF(S56="Vínculo de CDF parcial","VÍNCULO INCOMPLETO",IF(S56="CDF localizado, a conferir","CDF A CONFERIR","")))))))</f>
        <v/>
      </c>
      <c r="U56" s="95" t="str">
        <f>IF(T56="","",IF(AQ56="","Não calculável",IF(AQ56&gt;TODAY(),"Data futura",TODAY()-AQ56)))</f>
        <v/>
      </c>
      <c r="V56" s="93" t="str">
        <f>IF(Z56=0,"",SUMIFS('RECEBIMENTOS'!$H$6:$H$1005,'RECEBIMENTOS'!$B$6:$B$1005,A56,'RECEBIMENTOS'!$Z$6:$Z$1005,1))</f>
        <v/>
      </c>
      <c r="W56" s="95" t="str">
        <f>IF(Z56=0,"",COUNTIFS('ITENS_MTR'!$S$6:$S$1005,A56,'ITENS_MTR'!$R$6:$R$1005,1))</f>
        <v/>
      </c>
      <c r="X56" s="94" t="str">
        <f>IF(AC56=1,"POSSÍVEL DUPLICIDADE","")</f>
        <v/>
      </c>
      <c r="Y56" s="94" t="str">
        <f>IF(Z56=0,"",IF(AW56="","Nenhuma",LEFT(AW56,LEN(AW56)-2)))</f>
        <v/>
      </c>
      <c r="Z56" s="96">
        <f>IF(COUNTA(B56:O56)&gt;0,1,0)</f>
        <v>0</v>
      </c>
      <c r="AA56" s="96">
        <f>IF(AND(Z56=1,K56&lt;&gt;""),IF(TRIM(K56)=TRIM(cfg_cancel),1,0),0)</f>
        <v>0</v>
      </c>
      <c r="AB56" s="96" t="str">
        <f>IF(AND(Z56=1,B56&lt;&gt;""),C56&amp;"|"&amp;D56&amp;"|"&amp;G56&amp;"|"&amp;TRIM(B56),"")</f>
        <v/>
      </c>
      <c r="AC56" s="96">
        <f>IF(AB56="",0,IF(SUMPRODUCT(--($AB$6:$AB$505=AB56))&gt;1,1,0))</f>
        <v>0</v>
      </c>
      <c r="AD56" s="96">
        <f>IF(Z56=0,0,IF(OR(AND(G56&lt;&gt;"",ISNA(MATCH(G56,'CAD_UNIDADES'!$C$6:$C$105,0))),AND(H56&lt;&gt;"",ISNA(MATCH(H56,cmp_transp,0))),AND(I56&lt;&gt;"",ISNA(MATCH(I56,cmp_dest,0))),AND(E56&lt;&gt;"",NOT(ISNUMBER(E56))),AND(F56&lt;&gt;"",NOT(ISNUMBER(F56))),AND(ISNUMBER(E56),ISNUMBER(F56),F56&lt;E56)),1,0))</f>
        <v>0</v>
      </c>
      <c r="AE56" s="96">
        <f>IF(Z56=0,0,IF(OR(B56="",C56="",E56="",G56="",H56="",I56="",N(W56)=0),1,0))</f>
        <v>0</v>
      </c>
      <c r="AF56" s="96">
        <f>IF(Z56=0,0,COUNTIFS('ITENS_MTR'!$S$6:$S$1005,A56,'ITENS_MTR'!$AI$6:$AI$1005,1))</f>
        <v>0</v>
      </c>
      <c r="AG56" s="96">
        <f>IF(Z56=0,0,COUNTIFS('ITENS_MTR'!$S$6:$S$1005,A56,'ITENS_MTR'!$AJ$6:$AJ$1005,1))</f>
        <v>0</v>
      </c>
      <c r="AH56" s="96">
        <f>IF(Z56=0,0,COUNTIFS('ITENS_MTR'!$S$6:$S$1005,A56,'ITENS_MTR'!$AM$6:$AM$1005,1))</f>
        <v>0</v>
      </c>
      <c r="AI56" s="96">
        <f>IF(Z56=0,0,COUNTIFS('ITENS_MTR'!$S$6:$S$1005,A56,'ITENS_MTR'!$AO$6:$AO$1005,1))</f>
        <v>0</v>
      </c>
      <c r="AJ56" s="96">
        <f>IF(Z56=0,0,COUNTIFS('ITENS_MTR'!$S$6:$S$1005,A56,'ITENS_MTR'!$AN$6:$AN$1005,1))</f>
        <v>0</v>
      </c>
      <c r="AK56" s="96">
        <f>IF(Z56=0,0,COUNTIFS('RECEBIMENTOS'!$B$6:$B$1005,A56,'RECEBIMENTOS'!$Y$6:$Y$1005,1))</f>
        <v>0</v>
      </c>
      <c r="AL56" s="96">
        <f>IF(Z56=0,0,COUNTIFS('VÍNCULOS_CDF'!$D$6:$D$1005,A56,'VÍNCULOS_CDF'!$Y$6:$Y$1005,1))</f>
        <v>0</v>
      </c>
      <c r="AM56" s="96">
        <f>IF(Z56=0,0,COUNTIFS('RECEBIMENTOS'!$B$6:$B$1005,A56,'RECEBIMENTOS'!$Q$6:$Q$1005,1))</f>
        <v>0</v>
      </c>
      <c r="AN56" s="96">
        <f>IF(AND(Z56=1,N(W56)&gt;0,AG56=N(W56)),1,0)</f>
        <v>0</v>
      </c>
      <c r="AO56" s="96">
        <f>IF(AND(Z56=1,N(W56)&gt;0,AI56=N(W56)),1,0)</f>
        <v>0</v>
      </c>
      <c r="AP56" s="97">
        <f>IF(Z56=0,0,_xlfn.MAXIFS('RECEBIMENTOS'!$E$6:$E$1005,'RECEBIMENTOS'!$B$6:$B$1005,A56))</f>
        <v>0</v>
      </c>
      <c r="AQ56" s="97" t="str">
        <f>IF(T56="","",IF(T56="RECEBIMENTO NÃO CONFIRMADO",IF(ISNUMBER(F56),F56,IF(ISNUMBER(E56),E56,"")),IF(OR(T56="CDF NÃO LOCALIZADO",T56="VÍNCULO INCOMPLETO",T56="CDF A CONFERIR"),IF(AP56&gt;0,AP56,IF(ISNUMBER(E56),E56,"")),IF(ISNUMBER(E56),E56,""))))</f>
        <v/>
      </c>
      <c r="AR56" s="96">
        <f>IF(NOT(ISNUMBER(U56)),0,IF(T56="RECEBIMENTO NÃO CONFIRMADO",IF(AND(ISNUMBER(cfg_rec),U56&gt;cfg_rec),1,0),IF(OR(T56="CDF NÃO LOCALIZADO",T56="VÍNCULO INCOMPLETO",T56="CDF A CONFERIR"),IF(AND(ISNUMBER(cfg_cdf),U56&gt;cfg_cdf),1,0),0)))</f>
        <v>0</v>
      </c>
      <c r="AS56" s="96" t="str">
        <f>IF(T56="","",IF(AR56=1,"Alta",IFERROR(INDEX(cfg_pp,MATCH(T56,cfg_pt,0))&amp;"","Média")))</f>
        <v/>
      </c>
      <c r="AT56" s="96" t="str">
        <f>IF(T56="","",IFERROR(INDEX(cfg_pv,MATCH(T56,cfg_pt,0))&amp;"",""))</f>
        <v/>
      </c>
      <c r="AU56" s="96" t="str">
        <f>IF(T56="","",IF(AS56="Alta",1,IF(AS56="Média",2,3))*1000000000+(999999-IF(ISNUMBER(U56),MIN(U56,999999),0))*1000+51)</f>
        <v/>
      </c>
      <c r="AV56" s="96">
        <f>IF(T56&lt;&gt;"",1,0)</f>
        <v>0</v>
      </c>
      <c r="AW56" s="96" t="str">
        <f>IF(Z56=0,"",IF(AA56=1,"Cancelamento informado; ","")&amp;IF(AE56=1,"Campos essenciais ou itens faltando; ","")&amp;IF(AC56=1,"Possível duplicidade do número; ","")&amp;IF(AD56=1,"Cadastro ou datas a revisar; ","")&amp;IF(AF56&gt;0,"Item de resíduo com dado a revisar; ","")&amp;IF(AH56&gt;0,"Diferença de quantidade a analisar; ","")&amp;IF(AK56&gt;0,"Recebimento com alerta; ","")&amp;IF(AL56&gt;0,"Vínculo de CDF com alerta; ","")&amp;IF(AND(AA56=0,AN56=0),"Recebimento não confirmado; ","")&amp;IF(AND(AA56=0,AN56=1,AO56=0),"CDF pendente ou a conferir; ",""))</f>
        <v/>
      </c>
      <c r="AX56" s="96">
        <f>IF(Z56=0,0,IF(AND(OR(f_ini="",AND(ISNUMBER(E56),E56&gt;=f_ini)),OR(f_fim="",AND(ISNUMBER(E56),E56&lt;=f_fim)),OR(f_un="",f_un="(Todas)",G56=f_un),OR(f_tr="",f_tr="(Todos)",H56=f_tr),OR(f_de="",f_de="(Todos)",I56=f_de),OR(f_sit="",f_sit="(Todas)",S56=f_sit)),1,0))</f>
        <v>0</v>
      </c>
      <c r="AY56" s="96">
        <f>IF(AX56=0,0,IF(OR(f_res="",f_res="(Todos)"),1,IF(COUNTIFS('ITENS_MTR'!$S$6:$S$1005,A56,'ITENS_MTR'!$C$6:$C$1005,f_res)&gt;0,1,0)))</f>
        <v>0</v>
      </c>
      <c r="AZ56" s="97" t="str">
        <f>IF(ISNUMBER(E56),DATE(YEAR(E56),MONTH(E56),1),"")</f>
        <v/>
      </c>
      <c r="BA56" s="96">
        <f>IF(Z56=0,0,IF(AND(OR(r_ini="",AND(ISNUMBER(E56),E56&gt;=r_ini)),OR(r_fim="",AND(ISNUMBER(E56),E56&lt;=r_fim)),OR(r_un="",r_un="(Todas)",G56=r_un),OR(r_de="",r_de="(Todos)",I56=r_de)),1,0))</f>
        <v>0</v>
      </c>
      <c r="BB56" s="96" t="str">
        <f>IF(BA56=1,COUNTIF($BA$6:BA56,1),"")</f>
        <v/>
      </c>
      <c r="BC56" s="96" t="str">
        <f>IF(AND(AU56&lt;&gt;"",OR(r_un="",r_un="(Todas)",G56=r_un),OR(r_de="",r_de="(Todos)",I56=r_de)),AU56,"")</f>
        <v/>
      </c>
      <c r="BD56" s="96" t="str">
        <f>IF(Z56=1,A56&amp;" | nº "&amp;IF(B56="","(sem número)",B56)&amp;" | "&amp;IF(G56="","(sem unidade)",G56),"")</f>
        <v/>
      </c>
      <c r="BE56" s="96" t="str">
        <f>IF(Z56=1,COUNTIF($Z$6:Z56,1),"")</f>
        <v/>
      </c>
      <c r="BF56" s="96" t="str">
        <f>IF(T56="","",IF(T56="RECEBIMENTO NÃO CONFIRMADO","Transp.: "&amp;H56&amp;" | Dest.: "&amp;I56,IF(OR(T56="CDF NÃO LOCALIZADO",T56="VÍNCULO INCOMPLETO",T56="CDF A CONFERIR"),"Dest.: "&amp;I56,"Gerador: "&amp;G56)))</f>
        <v/>
      </c>
    </row>
    <row r="57">
      <c r="A57" s="89" t="inlineStr">
        <is>
          <t>MTR-000052</t>
        </is>
      </c>
      <c r="B57" s="90" t="n"/>
      <c r="C57" s="91" t="n"/>
      <c r="D57" s="91" t="n"/>
      <c r="E57" s="92" t="n"/>
      <c r="F57" s="92" t="n"/>
      <c r="G57" s="91" t="n"/>
      <c r="H57" s="91" t="n"/>
      <c r="I57" s="91" t="n"/>
      <c r="J57" s="91" t="n"/>
      <c r="K57" s="91" t="n"/>
      <c r="L57" s="92" t="n"/>
      <c r="M57" s="91" t="n"/>
      <c r="N57" s="91" t="n"/>
      <c r="O57" s="91" t="n"/>
      <c r="P57" s="93" t="str">
        <f>IF(Z57=0,"",SUMIFS('ITENS_MTR'!$I$6:$I$1005,'ITENS_MTR'!$S$6:$S$1005,A57,'ITENS_MTR'!$Y$6:$Y$1005,1))</f>
        <v/>
      </c>
      <c r="Q57" s="93" t="str">
        <f>IF(Z57=0,"",SUMIFS('RECEBIMENTOS'!$H$6:$H$1005,'RECEBIMENTOS'!$B$6:$B$1005,A57,'RECEBIMENTOS'!$X$6:$X$1005,1))</f>
        <v/>
      </c>
      <c r="R57" s="93" t="str">
        <f>IF(Z57=0,"",SUMIFS('VÍNCULOS_CDF'!$H$6:$H$1005,'VÍNCULOS_CDF'!$D$6:$D$1005,A57,'VÍNCULOS_CDF'!$V$6:$V$1005,1))</f>
        <v/>
      </c>
      <c r="S57" s="94" t="str">
        <f>IF(Z57=0,"",IF(AA57=1,"Cancelado (informado)",IF(AE57=1,"Cadastro incompleto",IF(OR(AC57=1,AD57=1,AF57&gt;0,AH57&gt;0,AK57&gt;0,AL57&gt;0),"Informação a revisar",IF(AN57=0,"Aguardando recebimento",IF(N(R57)=0,"Aguardando CDF",IF(AJ57&lt;N(W57),"Vínculo de CDF parcial",IF(AO57=0,"CDF localizado, a conferir","Documentação conferida"))))))))</f>
        <v/>
      </c>
      <c r="T57" s="94" t="str">
        <f>IF(Z57=0,"",IF(S57="Cadastro incompleto","MTR INCOMPLETO",IF(S57="Informação a revisar",IF(AND(AH57&gt;0,AC57=0,AD57=0,AF57=0,AK57=0,AL57=0),"QUANTIDADE A REVISAR","IDENTIFICAÇÃO A REVISAR"),IF(S57="Aguardando recebimento","RECEBIMENTO NÃO CONFIRMADO",IF(S57="Aguardando CDF","CDF NÃO LOCALIZADO",IF(S57="Vínculo de CDF parcial","VÍNCULO INCOMPLETO",IF(S57="CDF localizado, a conferir","CDF A CONFERIR","")))))))</f>
        <v/>
      </c>
      <c r="U57" s="95" t="str">
        <f>IF(T57="","",IF(AQ57="","Não calculável",IF(AQ57&gt;TODAY(),"Data futura",TODAY()-AQ57)))</f>
        <v/>
      </c>
      <c r="V57" s="93" t="str">
        <f>IF(Z57=0,"",SUMIFS('RECEBIMENTOS'!$H$6:$H$1005,'RECEBIMENTOS'!$B$6:$B$1005,A57,'RECEBIMENTOS'!$Z$6:$Z$1005,1))</f>
        <v/>
      </c>
      <c r="W57" s="95" t="str">
        <f>IF(Z57=0,"",COUNTIFS('ITENS_MTR'!$S$6:$S$1005,A57,'ITENS_MTR'!$R$6:$R$1005,1))</f>
        <v/>
      </c>
      <c r="X57" s="94" t="str">
        <f>IF(AC57=1,"POSSÍVEL DUPLICIDADE","")</f>
        <v/>
      </c>
      <c r="Y57" s="94" t="str">
        <f>IF(Z57=0,"",IF(AW57="","Nenhuma",LEFT(AW57,LEN(AW57)-2)))</f>
        <v/>
      </c>
      <c r="Z57" s="96">
        <f>IF(COUNTA(B57:O57)&gt;0,1,0)</f>
        <v>0</v>
      </c>
      <c r="AA57" s="96">
        <f>IF(AND(Z57=1,K57&lt;&gt;""),IF(TRIM(K57)=TRIM(cfg_cancel),1,0),0)</f>
        <v>0</v>
      </c>
      <c r="AB57" s="96" t="str">
        <f>IF(AND(Z57=1,B57&lt;&gt;""),C57&amp;"|"&amp;D57&amp;"|"&amp;G57&amp;"|"&amp;TRIM(B57),"")</f>
        <v/>
      </c>
      <c r="AC57" s="96">
        <f>IF(AB57="",0,IF(SUMPRODUCT(--($AB$6:$AB$505=AB57))&gt;1,1,0))</f>
        <v>0</v>
      </c>
      <c r="AD57" s="96">
        <f>IF(Z57=0,0,IF(OR(AND(G57&lt;&gt;"",ISNA(MATCH(G57,'CAD_UNIDADES'!$C$6:$C$105,0))),AND(H57&lt;&gt;"",ISNA(MATCH(H57,cmp_transp,0))),AND(I57&lt;&gt;"",ISNA(MATCH(I57,cmp_dest,0))),AND(E57&lt;&gt;"",NOT(ISNUMBER(E57))),AND(F57&lt;&gt;"",NOT(ISNUMBER(F57))),AND(ISNUMBER(E57),ISNUMBER(F57),F57&lt;E57)),1,0))</f>
        <v>0</v>
      </c>
      <c r="AE57" s="96">
        <f>IF(Z57=0,0,IF(OR(B57="",C57="",E57="",G57="",H57="",I57="",N(W57)=0),1,0))</f>
        <v>0</v>
      </c>
      <c r="AF57" s="96">
        <f>IF(Z57=0,0,COUNTIFS('ITENS_MTR'!$S$6:$S$1005,A57,'ITENS_MTR'!$AI$6:$AI$1005,1))</f>
        <v>0</v>
      </c>
      <c r="AG57" s="96">
        <f>IF(Z57=0,0,COUNTIFS('ITENS_MTR'!$S$6:$S$1005,A57,'ITENS_MTR'!$AJ$6:$AJ$1005,1))</f>
        <v>0</v>
      </c>
      <c r="AH57" s="96">
        <f>IF(Z57=0,0,COUNTIFS('ITENS_MTR'!$S$6:$S$1005,A57,'ITENS_MTR'!$AM$6:$AM$1005,1))</f>
        <v>0</v>
      </c>
      <c r="AI57" s="96">
        <f>IF(Z57=0,0,COUNTIFS('ITENS_MTR'!$S$6:$S$1005,A57,'ITENS_MTR'!$AO$6:$AO$1005,1))</f>
        <v>0</v>
      </c>
      <c r="AJ57" s="96">
        <f>IF(Z57=0,0,COUNTIFS('ITENS_MTR'!$S$6:$S$1005,A57,'ITENS_MTR'!$AN$6:$AN$1005,1))</f>
        <v>0</v>
      </c>
      <c r="AK57" s="96">
        <f>IF(Z57=0,0,COUNTIFS('RECEBIMENTOS'!$B$6:$B$1005,A57,'RECEBIMENTOS'!$Y$6:$Y$1005,1))</f>
        <v>0</v>
      </c>
      <c r="AL57" s="96">
        <f>IF(Z57=0,0,COUNTIFS('VÍNCULOS_CDF'!$D$6:$D$1005,A57,'VÍNCULOS_CDF'!$Y$6:$Y$1005,1))</f>
        <v>0</v>
      </c>
      <c r="AM57" s="96">
        <f>IF(Z57=0,0,COUNTIFS('RECEBIMENTOS'!$B$6:$B$1005,A57,'RECEBIMENTOS'!$Q$6:$Q$1005,1))</f>
        <v>0</v>
      </c>
      <c r="AN57" s="96">
        <f>IF(AND(Z57=1,N(W57)&gt;0,AG57=N(W57)),1,0)</f>
        <v>0</v>
      </c>
      <c r="AO57" s="96">
        <f>IF(AND(Z57=1,N(W57)&gt;0,AI57=N(W57)),1,0)</f>
        <v>0</v>
      </c>
      <c r="AP57" s="97">
        <f>IF(Z57=0,0,_xlfn.MAXIFS('RECEBIMENTOS'!$E$6:$E$1005,'RECEBIMENTOS'!$B$6:$B$1005,A57))</f>
        <v>0</v>
      </c>
      <c r="AQ57" s="97" t="str">
        <f>IF(T57="","",IF(T57="RECEBIMENTO NÃO CONFIRMADO",IF(ISNUMBER(F57),F57,IF(ISNUMBER(E57),E57,"")),IF(OR(T57="CDF NÃO LOCALIZADO",T57="VÍNCULO INCOMPLETO",T57="CDF A CONFERIR"),IF(AP57&gt;0,AP57,IF(ISNUMBER(E57),E57,"")),IF(ISNUMBER(E57),E57,""))))</f>
        <v/>
      </c>
      <c r="AR57" s="96">
        <f>IF(NOT(ISNUMBER(U57)),0,IF(T57="RECEBIMENTO NÃO CONFIRMADO",IF(AND(ISNUMBER(cfg_rec),U57&gt;cfg_rec),1,0),IF(OR(T57="CDF NÃO LOCALIZADO",T57="VÍNCULO INCOMPLETO",T57="CDF A CONFERIR"),IF(AND(ISNUMBER(cfg_cdf),U57&gt;cfg_cdf),1,0),0)))</f>
        <v>0</v>
      </c>
      <c r="AS57" s="96" t="str">
        <f>IF(T57="","",IF(AR57=1,"Alta",IFERROR(INDEX(cfg_pp,MATCH(T57,cfg_pt,0))&amp;"","Média")))</f>
        <v/>
      </c>
      <c r="AT57" s="96" t="str">
        <f>IF(T57="","",IFERROR(INDEX(cfg_pv,MATCH(T57,cfg_pt,0))&amp;"",""))</f>
        <v/>
      </c>
      <c r="AU57" s="96" t="str">
        <f>IF(T57="","",IF(AS57="Alta",1,IF(AS57="Média",2,3))*1000000000+(999999-IF(ISNUMBER(U57),MIN(U57,999999),0))*1000+52)</f>
        <v/>
      </c>
      <c r="AV57" s="96">
        <f>IF(T57&lt;&gt;"",1,0)</f>
        <v>0</v>
      </c>
      <c r="AW57" s="96" t="str">
        <f>IF(Z57=0,"",IF(AA57=1,"Cancelamento informado; ","")&amp;IF(AE57=1,"Campos essenciais ou itens faltando; ","")&amp;IF(AC57=1,"Possível duplicidade do número; ","")&amp;IF(AD57=1,"Cadastro ou datas a revisar; ","")&amp;IF(AF57&gt;0,"Item de resíduo com dado a revisar; ","")&amp;IF(AH57&gt;0,"Diferença de quantidade a analisar; ","")&amp;IF(AK57&gt;0,"Recebimento com alerta; ","")&amp;IF(AL57&gt;0,"Vínculo de CDF com alerta; ","")&amp;IF(AND(AA57=0,AN57=0),"Recebimento não confirmado; ","")&amp;IF(AND(AA57=0,AN57=1,AO57=0),"CDF pendente ou a conferir; ",""))</f>
        <v/>
      </c>
      <c r="AX57" s="96">
        <f>IF(Z57=0,0,IF(AND(OR(f_ini="",AND(ISNUMBER(E57),E57&gt;=f_ini)),OR(f_fim="",AND(ISNUMBER(E57),E57&lt;=f_fim)),OR(f_un="",f_un="(Todas)",G57=f_un),OR(f_tr="",f_tr="(Todos)",H57=f_tr),OR(f_de="",f_de="(Todos)",I57=f_de),OR(f_sit="",f_sit="(Todas)",S57=f_sit)),1,0))</f>
        <v>0</v>
      </c>
      <c r="AY57" s="96">
        <f>IF(AX57=0,0,IF(OR(f_res="",f_res="(Todos)"),1,IF(COUNTIFS('ITENS_MTR'!$S$6:$S$1005,A57,'ITENS_MTR'!$C$6:$C$1005,f_res)&gt;0,1,0)))</f>
        <v>0</v>
      </c>
      <c r="AZ57" s="97" t="str">
        <f>IF(ISNUMBER(E57),DATE(YEAR(E57),MONTH(E57),1),"")</f>
        <v/>
      </c>
      <c r="BA57" s="96">
        <f>IF(Z57=0,0,IF(AND(OR(r_ini="",AND(ISNUMBER(E57),E57&gt;=r_ini)),OR(r_fim="",AND(ISNUMBER(E57),E57&lt;=r_fim)),OR(r_un="",r_un="(Todas)",G57=r_un),OR(r_de="",r_de="(Todos)",I57=r_de)),1,0))</f>
        <v>0</v>
      </c>
      <c r="BB57" s="96" t="str">
        <f>IF(BA57=1,COUNTIF($BA$6:BA57,1),"")</f>
        <v/>
      </c>
      <c r="BC57" s="96" t="str">
        <f>IF(AND(AU57&lt;&gt;"",OR(r_un="",r_un="(Todas)",G57=r_un),OR(r_de="",r_de="(Todos)",I57=r_de)),AU57,"")</f>
        <v/>
      </c>
      <c r="BD57" s="96" t="str">
        <f>IF(Z57=1,A57&amp;" | nº "&amp;IF(B57="","(sem número)",B57)&amp;" | "&amp;IF(G57="","(sem unidade)",G57),"")</f>
        <v/>
      </c>
      <c r="BE57" s="96" t="str">
        <f>IF(Z57=1,COUNTIF($Z$6:Z57,1),"")</f>
        <v/>
      </c>
      <c r="BF57" s="96" t="str">
        <f>IF(T57="","",IF(T57="RECEBIMENTO NÃO CONFIRMADO","Transp.: "&amp;H57&amp;" | Dest.: "&amp;I57,IF(OR(T57="CDF NÃO LOCALIZADO",T57="VÍNCULO INCOMPLETO",T57="CDF A CONFERIR"),"Dest.: "&amp;I57,"Gerador: "&amp;G57)))</f>
        <v/>
      </c>
    </row>
    <row r="58">
      <c r="A58" s="89" t="inlineStr">
        <is>
          <t>MTR-000053</t>
        </is>
      </c>
      <c r="B58" s="90" t="n"/>
      <c r="C58" s="91" t="n"/>
      <c r="D58" s="91" t="n"/>
      <c r="E58" s="92" t="n"/>
      <c r="F58" s="92" t="n"/>
      <c r="G58" s="91" t="n"/>
      <c r="H58" s="91" t="n"/>
      <c r="I58" s="91" t="n"/>
      <c r="J58" s="91" t="n"/>
      <c r="K58" s="91" t="n"/>
      <c r="L58" s="92" t="n"/>
      <c r="M58" s="91" t="n"/>
      <c r="N58" s="91" t="n"/>
      <c r="O58" s="91" t="n"/>
      <c r="P58" s="93" t="str">
        <f>IF(Z58=0,"",SUMIFS('ITENS_MTR'!$I$6:$I$1005,'ITENS_MTR'!$S$6:$S$1005,A58,'ITENS_MTR'!$Y$6:$Y$1005,1))</f>
        <v/>
      </c>
      <c r="Q58" s="93" t="str">
        <f>IF(Z58=0,"",SUMIFS('RECEBIMENTOS'!$H$6:$H$1005,'RECEBIMENTOS'!$B$6:$B$1005,A58,'RECEBIMENTOS'!$X$6:$X$1005,1))</f>
        <v/>
      </c>
      <c r="R58" s="93" t="str">
        <f>IF(Z58=0,"",SUMIFS('VÍNCULOS_CDF'!$H$6:$H$1005,'VÍNCULOS_CDF'!$D$6:$D$1005,A58,'VÍNCULOS_CDF'!$V$6:$V$1005,1))</f>
        <v/>
      </c>
      <c r="S58" s="94" t="str">
        <f>IF(Z58=0,"",IF(AA58=1,"Cancelado (informado)",IF(AE58=1,"Cadastro incompleto",IF(OR(AC58=1,AD58=1,AF58&gt;0,AH58&gt;0,AK58&gt;0,AL58&gt;0),"Informação a revisar",IF(AN58=0,"Aguardando recebimento",IF(N(R58)=0,"Aguardando CDF",IF(AJ58&lt;N(W58),"Vínculo de CDF parcial",IF(AO58=0,"CDF localizado, a conferir","Documentação conferida"))))))))</f>
        <v/>
      </c>
      <c r="T58" s="94" t="str">
        <f>IF(Z58=0,"",IF(S58="Cadastro incompleto","MTR INCOMPLETO",IF(S58="Informação a revisar",IF(AND(AH58&gt;0,AC58=0,AD58=0,AF58=0,AK58=0,AL58=0),"QUANTIDADE A REVISAR","IDENTIFICAÇÃO A REVISAR"),IF(S58="Aguardando recebimento","RECEBIMENTO NÃO CONFIRMADO",IF(S58="Aguardando CDF","CDF NÃO LOCALIZADO",IF(S58="Vínculo de CDF parcial","VÍNCULO INCOMPLETO",IF(S58="CDF localizado, a conferir","CDF A CONFERIR","")))))))</f>
        <v/>
      </c>
      <c r="U58" s="95" t="str">
        <f>IF(T58="","",IF(AQ58="","Não calculável",IF(AQ58&gt;TODAY(),"Data futura",TODAY()-AQ58)))</f>
        <v/>
      </c>
      <c r="V58" s="93" t="str">
        <f>IF(Z58=0,"",SUMIFS('RECEBIMENTOS'!$H$6:$H$1005,'RECEBIMENTOS'!$B$6:$B$1005,A58,'RECEBIMENTOS'!$Z$6:$Z$1005,1))</f>
        <v/>
      </c>
      <c r="W58" s="95" t="str">
        <f>IF(Z58=0,"",COUNTIFS('ITENS_MTR'!$S$6:$S$1005,A58,'ITENS_MTR'!$R$6:$R$1005,1))</f>
        <v/>
      </c>
      <c r="X58" s="94" t="str">
        <f>IF(AC58=1,"POSSÍVEL DUPLICIDADE","")</f>
        <v/>
      </c>
      <c r="Y58" s="94" t="str">
        <f>IF(Z58=0,"",IF(AW58="","Nenhuma",LEFT(AW58,LEN(AW58)-2)))</f>
        <v/>
      </c>
      <c r="Z58" s="96">
        <f>IF(COUNTA(B58:O58)&gt;0,1,0)</f>
        <v>0</v>
      </c>
      <c r="AA58" s="96">
        <f>IF(AND(Z58=1,K58&lt;&gt;""),IF(TRIM(K58)=TRIM(cfg_cancel),1,0),0)</f>
        <v>0</v>
      </c>
      <c r="AB58" s="96" t="str">
        <f>IF(AND(Z58=1,B58&lt;&gt;""),C58&amp;"|"&amp;D58&amp;"|"&amp;G58&amp;"|"&amp;TRIM(B58),"")</f>
        <v/>
      </c>
      <c r="AC58" s="96">
        <f>IF(AB58="",0,IF(SUMPRODUCT(--($AB$6:$AB$505=AB58))&gt;1,1,0))</f>
        <v>0</v>
      </c>
      <c r="AD58" s="96">
        <f>IF(Z58=0,0,IF(OR(AND(G58&lt;&gt;"",ISNA(MATCH(G58,'CAD_UNIDADES'!$C$6:$C$105,0))),AND(H58&lt;&gt;"",ISNA(MATCH(H58,cmp_transp,0))),AND(I58&lt;&gt;"",ISNA(MATCH(I58,cmp_dest,0))),AND(E58&lt;&gt;"",NOT(ISNUMBER(E58))),AND(F58&lt;&gt;"",NOT(ISNUMBER(F58))),AND(ISNUMBER(E58),ISNUMBER(F58),F58&lt;E58)),1,0))</f>
        <v>0</v>
      </c>
      <c r="AE58" s="96">
        <f>IF(Z58=0,0,IF(OR(B58="",C58="",E58="",G58="",H58="",I58="",N(W58)=0),1,0))</f>
        <v>0</v>
      </c>
      <c r="AF58" s="96">
        <f>IF(Z58=0,0,COUNTIFS('ITENS_MTR'!$S$6:$S$1005,A58,'ITENS_MTR'!$AI$6:$AI$1005,1))</f>
        <v>0</v>
      </c>
      <c r="AG58" s="96">
        <f>IF(Z58=0,0,COUNTIFS('ITENS_MTR'!$S$6:$S$1005,A58,'ITENS_MTR'!$AJ$6:$AJ$1005,1))</f>
        <v>0</v>
      </c>
      <c r="AH58" s="96">
        <f>IF(Z58=0,0,COUNTIFS('ITENS_MTR'!$S$6:$S$1005,A58,'ITENS_MTR'!$AM$6:$AM$1005,1))</f>
        <v>0</v>
      </c>
      <c r="AI58" s="96">
        <f>IF(Z58=0,0,COUNTIFS('ITENS_MTR'!$S$6:$S$1005,A58,'ITENS_MTR'!$AO$6:$AO$1005,1))</f>
        <v>0</v>
      </c>
      <c r="AJ58" s="96">
        <f>IF(Z58=0,0,COUNTIFS('ITENS_MTR'!$S$6:$S$1005,A58,'ITENS_MTR'!$AN$6:$AN$1005,1))</f>
        <v>0</v>
      </c>
      <c r="AK58" s="96">
        <f>IF(Z58=0,0,COUNTIFS('RECEBIMENTOS'!$B$6:$B$1005,A58,'RECEBIMENTOS'!$Y$6:$Y$1005,1))</f>
        <v>0</v>
      </c>
      <c r="AL58" s="96">
        <f>IF(Z58=0,0,COUNTIFS('VÍNCULOS_CDF'!$D$6:$D$1005,A58,'VÍNCULOS_CDF'!$Y$6:$Y$1005,1))</f>
        <v>0</v>
      </c>
      <c r="AM58" s="96">
        <f>IF(Z58=0,0,COUNTIFS('RECEBIMENTOS'!$B$6:$B$1005,A58,'RECEBIMENTOS'!$Q$6:$Q$1005,1))</f>
        <v>0</v>
      </c>
      <c r="AN58" s="96">
        <f>IF(AND(Z58=1,N(W58)&gt;0,AG58=N(W58)),1,0)</f>
        <v>0</v>
      </c>
      <c r="AO58" s="96">
        <f>IF(AND(Z58=1,N(W58)&gt;0,AI58=N(W58)),1,0)</f>
        <v>0</v>
      </c>
      <c r="AP58" s="97">
        <f>IF(Z58=0,0,_xlfn.MAXIFS('RECEBIMENTOS'!$E$6:$E$1005,'RECEBIMENTOS'!$B$6:$B$1005,A58))</f>
        <v>0</v>
      </c>
      <c r="AQ58" s="97" t="str">
        <f>IF(T58="","",IF(T58="RECEBIMENTO NÃO CONFIRMADO",IF(ISNUMBER(F58),F58,IF(ISNUMBER(E58),E58,"")),IF(OR(T58="CDF NÃO LOCALIZADO",T58="VÍNCULO INCOMPLETO",T58="CDF A CONFERIR"),IF(AP58&gt;0,AP58,IF(ISNUMBER(E58),E58,"")),IF(ISNUMBER(E58),E58,""))))</f>
        <v/>
      </c>
      <c r="AR58" s="96">
        <f>IF(NOT(ISNUMBER(U58)),0,IF(T58="RECEBIMENTO NÃO CONFIRMADO",IF(AND(ISNUMBER(cfg_rec),U58&gt;cfg_rec),1,0),IF(OR(T58="CDF NÃO LOCALIZADO",T58="VÍNCULO INCOMPLETO",T58="CDF A CONFERIR"),IF(AND(ISNUMBER(cfg_cdf),U58&gt;cfg_cdf),1,0),0)))</f>
        <v>0</v>
      </c>
      <c r="AS58" s="96" t="str">
        <f>IF(T58="","",IF(AR58=1,"Alta",IFERROR(INDEX(cfg_pp,MATCH(T58,cfg_pt,0))&amp;"","Média")))</f>
        <v/>
      </c>
      <c r="AT58" s="96" t="str">
        <f>IF(T58="","",IFERROR(INDEX(cfg_pv,MATCH(T58,cfg_pt,0))&amp;"",""))</f>
        <v/>
      </c>
      <c r="AU58" s="96" t="str">
        <f>IF(T58="","",IF(AS58="Alta",1,IF(AS58="Média",2,3))*1000000000+(999999-IF(ISNUMBER(U58),MIN(U58,999999),0))*1000+53)</f>
        <v/>
      </c>
      <c r="AV58" s="96">
        <f>IF(T58&lt;&gt;"",1,0)</f>
        <v>0</v>
      </c>
      <c r="AW58" s="96" t="str">
        <f>IF(Z58=0,"",IF(AA58=1,"Cancelamento informado; ","")&amp;IF(AE58=1,"Campos essenciais ou itens faltando; ","")&amp;IF(AC58=1,"Possível duplicidade do número; ","")&amp;IF(AD58=1,"Cadastro ou datas a revisar; ","")&amp;IF(AF58&gt;0,"Item de resíduo com dado a revisar; ","")&amp;IF(AH58&gt;0,"Diferença de quantidade a analisar; ","")&amp;IF(AK58&gt;0,"Recebimento com alerta; ","")&amp;IF(AL58&gt;0,"Vínculo de CDF com alerta; ","")&amp;IF(AND(AA58=0,AN58=0),"Recebimento não confirmado; ","")&amp;IF(AND(AA58=0,AN58=1,AO58=0),"CDF pendente ou a conferir; ",""))</f>
        <v/>
      </c>
      <c r="AX58" s="96">
        <f>IF(Z58=0,0,IF(AND(OR(f_ini="",AND(ISNUMBER(E58),E58&gt;=f_ini)),OR(f_fim="",AND(ISNUMBER(E58),E58&lt;=f_fim)),OR(f_un="",f_un="(Todas)",G58=f_un),OR(f_tr="",f_tr="(Todos)",H58=f_tr),OR(f_de="",f_de="(Todos)",I58=f_de),OR(f_sit="",f_sit="(Todas)",S58=f_sit)),1,0))</f>
        <v>0</v>
      </c>
      <c r="AY58" s="96">
        <f>IF(AX58=0,0,IF(OR(f_res="",f_res="(Todos)"),1,IF(COUNTIFS('ITENS_MTR'!$S$6:$S$1005,A58,'ITENS_MTR'!$C$6:$C$1005,f_res)&gt;0,1,0)))</f>
        <v>0</v>
      </c>
      <c r="AZ58" s="97" t="str">
        <f>IF(ISNUMBER(E58),DATE(YEAR(E58),MONTH(E58),1),"")</f>
        <v/>
      </c>
      <c r="BA58" s="96">
        <f>IF(Z58=0,0,IF(AND(OR(r_ini="",AND(ISNUMBER(E58),E58&gt;=r_ini)),OR(r_fim="",AND(ISNUMBER(E58),E58&lt;=r_fim)),OR(r_un="",r_un="(Todas)",G58=r_un),OR(r_de="",r_de="(Todos)",I58=r_de)),1,0))</f>
        <v>0</v>
      </c>
      <c r="BB58" s="96" t="str">
        <f>IF(BA58=1,COUNTIF($BA$6:BA58,1),"")</f>
        <v/>
      </c>
      <c r="BC58" s="96" t="str">
        <f>IF(AND(AU58&lt;&gt;"",OR(r_un="",r_un="(Todas)",G58=r_un),OR(r_de="",r_de="(Todos)",I58=r_de)),AU58,"")</f>
        <v/>
      </c>
      <c r="BD58" s="96" t="str">
        <f>IF(Z58=1,A58&amp;" | nº "&amp;IF(B58="","(sem número)",B58)&amp;" | "&amp;IF(G58="","(sem unidade)",G58),"")</f>
        <v/>
      </c>
      <c r="BE58" s="96" t="str">
        <f>IF(Z58=1,COUNTIF($Z$6:Z58,1),"")</f>
        <v/>
      </c>
      <c r="BF58" s="96" t="str">
        <f>IF(T58="","",IF(T58="RECEBIMENTO NÃO CONFIRMADO","Transp.: "&amp;H58&amp;" | Dest.: "&amp;I58,IF(OR(T58="CDF NÃO LOCALIZADO",T58="VÍNCULO INCOMPLETO",T58="CDF A CONFERIR"),"Dest.: "&amp;I58,"Gerador: "&amp;G58)))</f>
        <v/>
      </c>
    </row>
    <row r="59">
      <c r="A59" s="89" t="inlineStr">
        <is>
          <t>MTR-000054</t>
        </is>
      </c>
      <c r="B59" s="90" t="n"/>
      <c r="C59" s="91" t="n"/>
      <c r="D59" s="91" t="n"/>
      <c r="E59" s="92" t="n"/>
      <c r="F59" s="92" t="n"/>
      <c r="G59" s="91" t="n"/>
      <c r="H59" s="91" t="n"/>
      <c r="I59" s="91" t="n"/>
      <c r="J59" s="91" t="n"/>
      <c r="K59" s="91" t="n"/>
      <c r="L59" s="92" t="n"/>
      <c r="M59" s="91" t="n"/>
      <c r="N59" s="91" t="n"/>
      <c r="O59" s="91" t="n"/>
      <c r="P59" s="93" t="str">
        <f>IF(Z59=0,"",SUMIFS('ITENS_MTR'!$I$6:$I$1005,'ITENS_MTR'!$S$6:$S$1005,A59,'ITENS_MTR'!$Y$6:$Y$1005,1))</f>
        <v/>
      </c>
      <c r="Q59" s="93" t="str">
        <f>IF(Z59=0,"",SUMIFS('RECEBIMENTOS'!$H$6:$H$1005,'RECEBIMENTOS'!$B$6:$B$1005,A59,'RECEBIMENTOS'!$X$6:$X$1005,1))</f>
        <v/>
      </c>
      <c r="R59" s="93" t="str">
        <f>IF(Z59=0,"",SUMIFS('VÍNCULOS_CDF'!$H$6:$H$1005,'VÍNCULOS_CDF'!$D$6:$D$1005,A59,'VÍNCULOS_CDF'!$V$6:$V$1005,1))</f>
        <v/>
      </c>
      <c r="S59" s="94" t="str">
        <f>IF(Z59=0,"",IF(AA59=1,"Cancelado (informado)",IF(AE59=1,"Cadastro incompleto",IF(OR(AC59=1,AD59=1,AF59&gt;0,AH59&gt;0,AK59&gt;0,AL59&gt;0),"Informação a revisar",IF(AN59=0,"Aguardando recebimento",IF(N(R59)=0,"Aguardando CDF",IF(AJ59&lt;N(W59),"Vínculo de CDF parcial",IF(AO59=0,"CDF localizado, a conferir","Documentação conferida"))))))))</f>
        <v/>
      </c>
      <c r="T59" s="94" t="str">
        <f>IF(Z59=0,"",IF(S59="Cadastro incompleto","MTR INCOMPLETO",IF(S59="Informação a revisar",IF(AND(AH59&gt;0,AC59=0,AD59=0,AF59=0,AK59=0,AL59=0),"QUANTIDADE A REVISAR","IDENTIFICAÇÃO A REVISAR"),IF(S59="Aguardando recebimento","RECEBIMENTO NÃO CONFIRMADO",IF(S59="Aguardando CDF","CDF NÃO LOCALIZADO",IF(S59="Vínculo de CDF parcial","VÍNCULO INCOMPLETO",IF(S59="CDF localizado, a conferir","CDF A CONFERIR","")))))))</f>
        <v/>
      </c>
      <c r="U59" s="95" t="str">
        <f>IF(T59="","",IF(AQ59="","Não calculável",IF(AQ59&gt;TODAY(),"Data futura",TODAY()-AQ59)))</f>
        <v/>
      </c>
      <c r="V59" s="93" t="str">
        <f>IF(Z59=0,"",SUMIFS('RECEBIMENTOS'!$H$6:$H$1005,'RECEBIMENTOS'!$B$6:$B$1005,A59,'RECEBIMENTOS'!$Z$6:$Z$1005,1))</f>
        <v/>
      </c>
      <c r="W59" s="95" t="str">
        <f>IF(Z59=0,"",COUNTIFS('ITENS_MTR'!$S$6:$S$1005,A59,'ITENS_MTR'!$R$6:$R$1005,1))</f>
        <v/>
      </c>
      <c r="X59" s="94" t="str">
        <f>IF(AC59=1,"POSSÍVEL DUPLICIDADE","")</f>
        <v/>
      </c>
      <c r="Y59" s="94" t="str">
        <f>IF(Z59=0,"",IF(AW59="","Nenhuma",LEFT(AW59,LEN(AW59)-2)))</f>
        <v/>
      </c>
      <c r="Z59" s="96">
        <f>IF(COUNTA(B59:O59)&gt;0,1,0)</f>
        <v>0</v>
      </c>
      <c r="AA59" s="96">
        <f>IF(AND(Z59=1,K59&lt;&gt;""),IF(TRIM(K59)=TRIM(cfg_cancel),1,0),0)</f>
        <v>0</v>
      </c>
      <c r="AB59" s="96" t="str">
        <f>IF(AND(Z59=1,B59&lt;&gt;""),C59&amp;"|"&amp;D59&amp;"|"&amp;G59&amp;"|"&amp;TRIM(B59),"")</f>
        <v/>
      </c>
      <c r="AC59" s="96">
        <f>IF(AB59="",0,IF(SUMPRODUCT(--($AB$6:$AB$505=AB59))&gt;1,1,0))</f>
        <v>0</v>
      </c>
      <c r="AD59" s="96">
        <f>IF(Z59=0,0,IF(OR(AND(G59&lt;&gt;"",ISNA(MATCH(G59,'CAD_UNIDADES'!$C$6:$C$105,0))),AND(H59&lt;&gt;"",ISNA(MATCH(H59,cmp_transp,0))),AND(I59&lt;&gt;"",ISNA(MATCH(I59,cmp_dest,0))),AND(E59&lt;&gt;"",NOT(ISNUMBER(E59))),AND(F59&lt;&gt;"",NOT(ISNUMBER(F59))),AND(ISNUMBER(E59),ISNUMBER(F59),F59&lt;E59)),1,0))</f>
        <v>0</v>
      </c>
      <c r="AE59" s="96">
        <f>IF(Z59=0,0,IF(OR(B59="",C59="",E59="",G59="",H59="",I59="",N(W59)=0),1,0))</f>
        <v>0</v>
      </c>
      <c r="AF59" s="96">
        <f>IF(Z59=0,0,COUNTIFS('ITENS_MTR'!$S$6:$S$1005,A59,'ITENS_MTR'!$AI$6:$AI$1005,1))</f>
        <v>0</v>
      </c>
      <c r="AG59" s="96">
        <f>IF(Z59=0,0,COUNTIFS('ITENS_MTR'!$S$6:$S$1005,A59,'ITENS_MTR'!$AJ$6:$AJ$1005,1))</f>
        <v>0</v>
      </c>
      <c r="AH59" s="96">
        <f>IF(Z59=0,0,COUNTIFS('ITENS_MTR'!$S$6:$S$1005,A59,'ITENS_MTR'!$AM$6:$AM$1005,1))</f>
        <v>0</v>
      </c>
      <c r="AI59" s="96">
        <f>IF(Z59=0,0,COUNTIFS('ITENS_MTR'!$S$6:$S$1005,A59,'ITENS_MTR'!$AO$6:$AO$1005,1))</f>
        <v>0</v>
      </c>
      <c r="AJ59" s="96">
        <f>IF(Z59=0,0,COUNTIFS('ITENS_MTR'!$S$6:$S$1005,A59,'ITENS_MTR'!$AN$6:$AN$1005,1))</f>
        <v>0</v>
      </c>
      <c r="AK59" s="96">
        <f>IF(Z59=0,0,COUNTIFS('RECEBIMENTOS'!$B$6:$B$1005,A59,'RECEBIMENTOS'!$Y$6:$Y$1005,1))</f>
        <v>0</v>
      </c>
      <c r="AL59" s="96">
        <f>IF(Z59=0,0,COUNTIFS('VÍNCULOS_CDF'!$D$6:$D$1005,A59,'VÍNCULOS_CDF'!$Y$6:$Y$1005,1))</f>
        <v>0</v>
      </c>
      <c r="AM59" s="96">
        <f>IF(Z59=0,0,COUNTIFS('RECEBIMENTOS'!$B$6:$B$1005,A59,'RECEBIMENTOS'!$Q$6:$Q$1005,1))</f>
        <v>0</v>
      </c>
      <c r="AN59" s="96">
        <f>IF(AND(Z59=1,N(W59)&gt;0,AG59=N(W59)),1,0)</f>
        <v>0</v>
      </c>
      <c r="AO59" s="96">
        <f>IF(AND(Z59=1,N(W59)&gt;0,AI59=N(W59)),1,0)</f>
        <v>0</v>
      </c>
      <c r="AP59" s="97">
        <f>IF(Z59=0,0,_xlfn.MAXIFS('RECEBIMENTOS'!$E$6:$E$1005,'RECEBIMENTOS'!$B$6:$B$1005,A59))</f>
        <v>0</v>
      </c>
      <c r="AQ59" s="97" t="str">
        <f>IF(T59="","",IF(T59="RECEBIMENTO NÃO CONFIRMADO",IF(ISNUMBER(F59),F59,IF(ISNUMBER(E59),E59,"")),IF(OR(T59="CDF NÃO LOCALIZADO",T59="VÍNCULO INCOMPLETO",T59="CDF A CONFERIR"),IF(AP59&gt;0,AP59,IF(ISNUMBER(E59),E59,"")),IF(ISNUMBER(E59),E59,""))))</f>
        <v/>
      </c>
      <c r="AR59" s="96">
        <f>IF(NOT(ISNUMBER(U59)),0,IF(T59="RECEBIMENTO NÃO CONFIRMADO",IF(AND(ISNUMBER(cfg_rec),U59&gt;cfg_rec),1,0),IF(OR(T59="CDF NÃO LOCALIZADO",T59="VÍNCULO INCOMPLETO",T59="CDF A CONFERIR"),IF(AND(ISNUMBER(cfg_cdf),U59&gt;cfg_cdf),1,0),0)))</f>
        <v>0</v>
      </c>
      <c r="AS59" s="96" t="str">
        <f>IF(T59="","",IF(AR59=1,"Alta",IFERROR(INDEX(cfg_pp,MATCH(T59,cfg_pt,0))&amp;"","Média")))</f>
        <v/>
      </c>
      <c r="AT59" s="96" t="str">
        <f>IF(T59="","",IFERROR(INDEX(cfg_pv,MATCH(T59,cfg_pt,0))&amp;"",""))</f>
        <v/>
      </c>
      <c r="AU59" s="96" t="str">
        <f>IF(T59="","",IF(AS59="Alta",1,IF(AS59="Média",2,3))*1000000000+(999999-IF(ISNUMBER(U59),MIN(U59,999999),0))*1000+54)</f>
        <v/>
      </c>
      <c r="AV59" s="96">
        <f>IF(T59&lt;&gt;"",1,0)</f>
        <v>0</v>
      </c>
      <c r="AW59" s="96" t="str">
        <f>IF(Z59=0,"",IF(AA59=1,"Cancelamento informado; ","")&amp;IF(AE59=1,"Campos essenciais ou itens faltando; ","")&amp;IF(AC59=1,"Possível duplicidade do número; ","")&amp;IF(AD59=1,"Cadastro ou datas a revisar; ","")&amp;IF(AF59&gt;0,"Item de resíduo com dado a revisar; ","")&amp;IF(AH59&gt;0,"Diferença de quantidade a analisar; ","")&amp;IF(AK59&gt;0,"Recebimento com alerta; ","")&amp;IF(AL59&gt;0,"Vínculo de CDF com alerta; ","")&amp;IF(AND(AA59=0,AN59=0),"Recebimento não confirmado; ","")&amp;IF(AND(AA59=0,AN59=1,AO59=0),"CDF pendente ou a conferir; ",""))</f>
        <v/>
      </c>
      <c r="AX59" s="96">
        <f>IF(Z59=0,0,IF(AND(OR(f_ini="",AND(ISNUMBER(E59),E59&gt;=f_ini)),OR(f_fim="",AND(ISNUMBER(E59),E59&lt;=f_fim)),OR(f_un="",f_un="(Todas)",G59=f_un),OR(f_tr="",f_tr="(Todos)",H59=f_tr),OR(f_de="",f_de="(Todos)",I59=f_de),OR(f_sit="",f_sit="(Todas)",S59=f_sit)),1,0))</f>
        <v>0</v>
      </c>
      <c r="AY59" s="96">
        <f>IF(AX59=0,0,IF(OR(f_res="",f_res="(Todos)"),1,IF(COUNTIFS('ITENS_MTR'!$S$6:$S$1005,A59,'ITENS_MTR'!$C$6:$C$1005,f_res)&gt;0,1,0)))</f>
        <v>0</v>
      </c>
      <c r="AZ59" s="97" t="str">
        <f>IF(ISNUMBER(E59),DATE(YEAR(E59),MONTH(E59),1),"")</f>
        <v/>
      </c>
      <c r="BA59" s="96">
        <f>IF(Z59=0,0,IF(AND(OR(r_ini="",AND(ISNUMBER(E59),E59&gt;=r_ini)),OR(r_fim="",AND(ISNUMBER(E59),E59&lt;=r_fim)),OR(r_un="",r_un="(Todas)",G59=r_un),OR(r_de="",r_de="(Todos)",I59=r_de)),1,0))</f>
        <v>0</v>
      </c>
      <c r="BB59" s="96" t="str">
        <f>IF(BA59=1,COUNTIF($BA$6:BA59,1),"")</f>
        <v/>
      </c>
      <c r="BC59" s="96" t="str">
        <f>IF(AND(AU59&lt;&gt;"",OR(r_un="",r_un="(Todas)",G59=r_un),OR(r_de="",r_de="(Todos)",I59=r_de)),AU59,"")</f>
        <v/>
      </c>
      <c r="BD59" s="96" t="str">
        <f>IF(Z59=1,A59&amp;" | nº "&amp;IF(B59="","(sem número)",B59)&amp;" | "&amp;IF(G59="","(sem unidade)",G59),"")</f>
        <v/>
      </c>
      <c r="BE59" s="96" t="str">
        <f>IF(Z59=1,COUNTIF($Z$6:Z59,1),"")</f>
        <v/>
      </c>
      <c r="BF59" s="96" t="str">
        <f>IF(T59="","",IF(T59="RECEBIMENTO NÃO CONFIRMADO","Transp.: "&amp;H59&amp;" | Dest.: "&amp;I59,IF(OR(T59="CDF NÃO LOCALIZADO",T59="VÍNCULO INCOMPLETO",T59="CDF A CONFERIR"),"Dest.: "&amp;I59,"Gerador: "&amp;G59)))</f>
        <v/>
      </c>
    </row>
    <row r="60">
      <c r="A60" s="89" t="inlineStr">
        <is>
          <t>MTR-000055</t>
        </is>
      </c>
      <c r="B60" s="90" t="n"/>
      <c r="C60" s="91" t="n"/>
      <c r="D60" s="91" t="n"/>
      <c r="E60" s="92" t="n"/>
      <c r="F60" s="92" t="n"/>
      <c r="G60" s="91" t="n"/>
      <c r="H60" s="91" t="n"/>
      <c r="I60" s="91" t="n"/>
      <c r="J60" s="91" t="n"/>
      <c r="K60" s="91" t="n"/>
      <c r="L60" s="92" t="n"/>
      <c r="M60" s="91" t="n"/>
      <c r="N60" s="91" t="n"/>
      <c r="O60" s="91" t="n"/>
      <c r="P60" s="93" t="str">
        <f>IF(Z60=0,"",SUMIFS('ITENS_MTR'!$I$6:$I$1005,'ITENS_MTR'!$S$6:$S$1005,A60,'ITENS_MTR'!$Y$6:$Y$1005,1))</f>
        <v/>
      </c>
      <c r="Q60" s="93" t="str">
        <f>IF(Z60=0,"",SUMIFS('RECEBIMENTOS'!$H$6:$H$1005,'RECEBIMENTOS'!$B$6:$B$1005,A60,'RECEBIMENTOS'!$X$6:$X$1005,1))</f>
        <v/>
      </c>
      <c r="R60" s="93" t="str">
        <f>IF(Z60=0,"",SUMIFS('VÍNCULOS_CDF'!$H$6:$H$1005,'VÍNCULOS_CDF'!$D$6:$D$1005,A60,'VÍNCULOS_CDF'!$V$6:$V$1005,1))</f>
        <v/>
      </c>
      <c r="S60" s="94" t="str">
        <f>IF(Z60=0,"",IF(AA60=1,"Cancelado (informado)",IF(AE60=1,"Cadastro incompleto",IF(OR(AC60=1,AD60=1,AF60&gt;0,AH60&gt;0,AK60&gt;0,AL60&gt;0),"Informação a revisar",IF(AN60=0,"Aguardando recebimento",IF(N(R60)=0,"Aguardando CDF",IF(AJ60&lt;N(W60),"Vínculo de CDF parcial",IF(AO60=0,"CDF localizado, a conferir","Documentação conferida"))))))))</f>
        <v/>
      </c>
      <c r="T60" s="94" t="str">
        <f>IF(Z60=0,"",IF(S60="Cadastro incompleto","MTR INCOMPLETO",IF(S60="Informação a revisar",IF(AND(AH60&gt;0,AC60=0,AD60=0,AF60=0,AK60=0,AL60=0),"QUANTIDADE A REVISAR","IDENTIFICAÇÃO A REVISAR"),IF(S60="Aguardando recebimento","RECEBIMENTO NÃO CONFIRMADO",IF(S60="Aguardando CDF","CDF NÃO LOCALIZADO",IF(S60="Vínculo de CDF parcial","VÍNCULO INCOMPLETO",IF(S60="CDF localizado, a conferir","CDF A CONFERIR","")))))))</f>
        <v/>
      </c>
      <c r="U60" s="95" t="str">
        <f>IF(T60="","",IF(AQ60="","Não calculável",IF(AQ60&gt;TODAY(),"Data futura",TODAY()-AQ60)))</f>
        <v/>
      </c>
      <c r="V60" s="93" t="str">
        <f>IF(Z60=0,"",SUMIFS('RECEBIMENTOS'!$H$6:$H$1005,'RECEBIMENTOS'!$B$6:$B$1005,A60,'RECEBIMENTOS'!$Z$6:$Z$1005,1))</f>
        <v/>
      </c>
      <c r="W60" s="95" t="str">
        <f>IF(Z60=0,"",COUNTIFS('ITENS_MTR'!$S$6:$S$1005,A60,'ITENS_MTR'!$R$6:$R$1005,1))</f>
        <v/>
      </c>
      <c r="X60" s="94" t="str">
        <f>IF(AC60=1,"POSSÍVEL DUPLICIDADE","")</f>
        <v/>
      </c>
      <c r="Y60" s="94" t="str">
        <f>IF(Z60=0,"",IF(AW60="","Nenhuma",LEFT(AW60,LEN(AW60)-2)))</f>
        <v/>
      </c>
      <c r="Z60" s="96">
        <f>IF(COUNTA(B60:O60)&gt;0,1,0)</f>
        <v>0</v>
      </c>
      <c r="AA60" s="96">
        <f>IF(AND(Z60=1,K60&lt;&gt;""),IF(TRIM(K60)=TRIM(cfg_cancel),1,0),0)</f>
        <v>0</v>
      </c>
      <c r="AB60" s="96" t="str">
        <f>IF(AND(Z60=1,B60&lt;&gt;""),C60&amp;"|"&amp;D60&amp;"|"&amp;G60&amp;"|"&amp;TRIM(B60),"")</f>
        <v/>
      </c>
      <c r="AC60" s="96">
        <f>IF(AB60="",0,IF(SUMPRODUCT(--($AB$6:$AB$505=AB60))&gt;1,1,0))</f>
        <v>0</v>
      </c>
      <c r="AD60" s="96">
        <f>IF(Z60=0,0,IF(OR(AND(G60&lt;&gt;"",ISNA(MATCH(G60,'CAD_UNIDADES'!$C$6:$C$105,0))),AND(H60&lt;&gt;"",ISNA(MATCH(H60,cmp_transp,0))),AND(I60&lt;&gt;"",ISNA(MATCH(I60,cmp_dest,0))),AND(E60&lt;&gt;"",NOT(ISNUMBER(E60))),AND(F60&lt;&gt;"",NOT(ISNUMBER(F60))),AND(ISNUMBER(E60),ISNUMBER(F60),F60&lt;E60)),1,0))</f>
        <v>0</v>
      </c>
      <c r="AE60" s="96">
        <f>IF(Z60=0,0,IF(OR(B60="",C60="",E60="",G60="",H60="",I60="",N(W60)=0),1,0))</f>
        <v>0</v>
      </c>
      <c r="AF60" s="96">
        <f>IF(Z60=0,0,COUNTIFS('ITENS_MTR'!$S$6:$S$1005,A60,'ITENS_MTR'!$AI$6:$AI$1005,1))</f>
        <v>0</v>
      </c>
      <c r="AG60" s="96">
        <f>IF(Z60=0,0,COUNTIFS('ITENS_MTR'!$S$6:$S$1005,A60,'ITENS_MTR'!$AJ$6:$AJ$1005,1))</f>
        <v>0</v>
      </c>
      <c r="AH60" s="96">
        <f>IF(Z60=0,0,COUNTIFS('ITENS_MTR'!$S$6:$S$1005,A60,'ITENS_MTR'!$AM$6:$AM$1005,1))</f>
        <v>0</v>
      </c>
      <c r="AI60" s="96">
        <f>IF(Z60=0,0,COUNTIFS('ITENS_MTR'!$S$6:$S$1005,A60,'ITENS_MTR'!$AO$6:$AO$1005,1))</f>
        <v>0</v>
      </c>
      <c r="AJ60" s="96">
        <f>IF(Z60=0,0,COUNTIFS('ITENS_MTR'!$S$6:$S$1005,A60,'ITENS_MTR'!$AN$6:$AN$1005,1))</f>
        <v>0</v>
      </c>
      <c r="AK60" s="96">
        <f>IF(Z60=0,0,COUNTIFS('RECEBIMENTOS'!$B$6:$B$1005,A60,'RECEBIMENTOS'!$Y$6:$Y$1005,1))</f>
        <v>0</v>
      </c>
      <c r="AL60" s="96">
        <f>IF(Z60=0,0,COUNTIFS('VÍNCULOS_CDF'!$D$6:$D$1005,A60,'VÍNCULOS_CDF'!$Y$6:$Y$1005,1))</f>
        <v>0</v>
      </c>
      <c r="AM60" s="96">
        <f>IF(Z60=0,0,COUNTIFS('RECEBIMENTOS'!$B$6:$B$1005,A60,'RECEBIMENTOS'!$Q$6:$Q$1005,1))</f>
        <v>0</v>
      </c>
      <c r="AN60" s="96">
        <f>IF(AND(Z60=1,N(W60)&gt;0,AG60=N(W60)),1,0)</f>
        <v>0</v>
      </c>
      <c r="AO60" s="96">
        <f>IF(AND(Z60=1,N(W60)&gt;0,AI60=N(W60)),1,0)</f>
        <v>0</v>
      </c>
      <c r="AP60" s="97">
        <f>IF(Z60=0,0,_xlfn.MAXIFS('RECEBIMENTOS'!$E$6:$E$1005,'RECEBIMENTOS'!$B$6:$B$1005,A60))</f>
        <v>0</v>
      </c>
      <c r="AQ60" s="97" t="str">
        <f>IF(T60="","",IF(T60="RECEBIMENTO NÃO CONFIRMADO",IF(ISNUMBER(F60),F60,IF(ISNUMBER(E60),E60,"")),IF(OR(T60="CDF NÃO LOCALIZADO",T60="VÍNCULO INCOMPLETO",T60="CDF A CONFERIR"),IF(AP60&gt;0,AP60,IF(ISNUMBER(E60),E60,"")),IF(ISNUMBER(E60),E60,""))))</f>
        <v/>
      </c>
      <c r="AR60" s="96">
        <f>IF(NOT(ISNUMBER(U60)),0,IF(T60="RECEBIMENTO NÃO CONFIRMADO",IF(AND(ISNUMBER(cfg_rec),U60&gt;cfg_rec),1,0),IF(OR(T60="CDF NÃO LOCALIZADO",T60="VÍNCULO INCOMPLETO",T60="CDF A CONFERIR"),IF(AND(ISNUMBER(cfg_cdf),U60&gt;cfg_cdf),1,0),0)))</f>
        <v>0</v>
      </c>
      <c r="AS60" s="96" t="str">
        <f>IF(T60="","",IF(AR60=1,"Alta",IFERROR(INDEX(cfg_pp,MATCH(T60,cfg_pt,0))&amp;"","Média")))</f>
        <v/>
      </c>
      <c r="AT60" s="96" t="str">
        <f>IF(T60="","",IFERROR(INDEX(cfg_pv,MATCH(T60,cfg_pt,0))&amp;"",""))</f>
        <v/>
      </c>
      <c r="AU60" s="96" t="str">
        <f>IF(T60="","",IF(AS60="Alta",1,IF(AS60="Média",2,3))*1000000000+(999999-IF(ISNUMBER(U60),MIN(U60,999999),0))*1000+55)</f>
        <v/>
      </c>
      <c r="AV60" s="96">
        <f>IF(T60&lt;&gt;"",1,0)</f>
        <v>0</v>
      </c>
      <c r="AW60" s="96" t="str">
        <f>IF(Z60=0,"",IF(AA60=1,"Cancelamento informado; ","")&amp;IF(AE60=1,"Campos essenciais ou itens faltando; ","")&amp;IF(AC60=1,"Possível duplicidade do número; ","")&amp;IF(AD60=1,"Cadastro ou datas a revisar; ","")&amp;IF(AF60&gt;0,"Item de resíduo com dado a revisar; ","")&amp;IF(AH60&gt;0,"Diferença de quantidade a analisar; ","")&amp;IF(AK60&gt;0,"Recebimento com alerta; ","")&amp;IF(AL60&gt;0,"Vínculo de CDF com alerta; ","")&amp;IF(AND(AA60=0,AN60=0),"Recebimento não confirmado; ","")&amp;IF(AND(AA60=0,AN60=1,AO60=0),"CDF pendente ou a conferir; ",""))</f>
        <v/>
      </c>
      <c r="AX60" s="96">
        <f>IF(Z60=0,0,IF(AND(OR(f_ini="",AND(ISNUMBER(E60),E60&gt;=f_ini)),OR(f_fim="",AND(ISNUMBER(E60),E60&lt;=f_fim)),OR(f_un="",f_un="(Todas)",G60=f_un),OR(f_tr="",f_tr="(Todos)",H60=f_tr),OR(f_de="",f_de="(Todos)",I60=f_de),OR(f_sit="",f_sit="(Todas)",S60=f_sit)),1,0))</f>
        <v>0</v>
      </c>
      <c r="AY60" s="96">
        <f>IF(AX60=0,0,IF(OR(f_res="",f_res="(Todos)"),1,IF(COUNTIFS('ITENS_MTR'!$S$6:$S$1005,A60,'ITENS_MTR'!$C$6:$C$1005,f_res)&gt;0,1,0)))</f>
        <v>0</v>
      </c>
      <c r="AZ60" s="97" t="str">
        <f>IF(ISNUMBER(E60),DATE(YEAR(E60),MONTH(E60),1),"")</f>
        <v/>
      </c>
      <c r="BA60" s="96">
        <f>IF(Z60=0,0,IF(AND(OR(r_ini="",AND(ISNUMBER(E60),E60&gt;=r_ini)),OR(r_fim="",AND(ISNUMBER(E60),E60&lt;=r_fim)),OR(r_un="",r_un="(Todas)",G60=r_un),OR(r_de="",r_de="(Todos)",I60=r_de)),1,0))</f>
        <v>0</v>
      </c>
      <c r="BB60" s="96" t="str">
        <f>IF(BA60=1,COUNTIF($BA$6:BA60,1),"")</f>
        <v/>
      </c>
      <c r="BC60" s="96" t="str">
        <f>IF(AND(AU60&lt;&gt;"",OR(r_un="",r_un="(Todas)",G60=r_un),OR(r_de="",r_de="(Todos)",I60=r_de)),AU60,"")</f>
        <v/>
      </c>
      <c r="BD60" s="96" t="str">
        <f>IF(Z60=1,A60&amp;" | nº "&amp;IF(B60="","(sem número)",B60)&amp;" | "&amp;IF(G60="","(sem unidade)",G60),"")</f>
        <v/>
      </c>
      <c r="BE60" s="96" t="str">
        <f>IF(Z60=1,COUNTIF($Z$6:Z60,1),"")</f>
        <v/>
      </c>
      <c r="BF60" s="96" t="str">
        <f>IF(T60="","",IF(T60="RECEBIMENTO NÃO CONFIRMADO","Transp.: "&amp;H60&amp;" | Dest.: "&amp;I60,IF(OR(T60="CDF NÃO LOCALIZADO",T60="VÍNCULO INCOMPLETO",T60="CDF A CONFERIR"),"Dest.: "&amp;I60,"Gerador: "&amp;G60)))</f>
        <v/>
      </c>
    </row>
    <row r="61">
      <c r="A61" s="89" t="inlineStr">
        <is>
          <t>MTR-000056</t>
        </is>
      </c>
      <c r="B61" s="90" t="n"/>
      <c r="C61" s="91" t="n"/>
      <c r="D61" s="91" t="n"/>
      <c r="E61" s="92" t="n"/>
      <c r="F61" s="92" t="n"/>
      <c r="G61" s="91" t="n"/>
      <c r="H61" s="91" t="n"/>
      <c r="I61" s="91" t="n"/>
      <c r="J61" s="91" t="n"/>
      <c r="K61" s="91" t="n"/>
      <c r="L61" s="92" t="n"/>
      <c r="M61" s="91" t="n"/>
      <c r="N61" s="91" t="n"/>
      <c r="O61" s="91" t="n"/>
      <c r="P61" s="93" t="str">
        <f>IF(Z61=0,"",SUMIFS('ITENS_MTR'!$I$6:$I$1005,'ITENS_MTR'!$S$6:$S$1005,A61,'ITENS_MTR'!$Y$6:$Y$1005,1))</f>
        <v/>
      </c>
      <c r="Q61" s="93" t="str">
        <f>IF(Z61=0,"",SUMIFS('RECEBIMENTOS'!$H$6:$H$1005,'RECEBIMENTOS'!$B$6:$B$1005,A61,'RECEBIMENTOS'!$X$6:$X$1005,1))</f>
        <v/>
      </c>
      <c r="R61" s="93" t="str">
        <f>IF(Z61=0,"",SUMIFS('VÍNCULOS_CDF'!$H$6:$H$1005,'VÍNCULOS_CDF'!$D$6:$D$1005,A61,'VÍNCULOS_CDF'!$V$6:$V$1005,1))</f>
        <v/>
      </c>
      <c r="S61" s="94" t="str">
        <f>IF(Z61=0,"",IF(AA61=1,"Cancelado (informado)",IF(AE61=1,"Cadastro incompleto",IF(OR(AC61=1,AD61=1,AF61&gt;0,AH61&gt;0,AK61&gt;0,AL61&gt;0),"Informação a revisar",IF(AN61=0,"Aguardando recebimento",IF(N(R61)=0,"Aguardando CDF",IF(AJ61&lt;N(W61),"Vínculo de CDF parcial",IF(AO61=0,"CDF localizado, a conferir","Documentação conferida"))))))))</f>
        <v/>
      </c>
      <c r="T61" s="94" t="str">
        <f>IF(Z61=0,"",IF(S61="Cadastro incompleto","MTR INCOMPLETO",IF(S61="Informação a revisar",IF(AND(AH61&gt;0,AC61=0,AD61=0,AF61=0,AK61=0,AL61=0),"QUANTIDADE A REVISAR","IDENTIFICAÇÃO A REVISAR"),IF(S61="Aguardando recebimento","RECEBIMENTO NÃO CONFIRMADO",IF(S61="Aguardando CDF","CDF NÃO LOCALIZADO",IF(S61="Vínculo de CDF parcial","VÍNCULO INCOMPLETO",IF(S61="CDF localizado, a conferir","CDF A CONFERIR","")))))))</f>
        <v/>
      </c>
      <c r="U61" s="95" t="str">
        <f>IF(T61="","",IF(AQ61="","Não calculável",IF(AQ61&gt;TODAY(),"Data futura",TODAY()-AQ61)))</f>
        <v/>
      </c>
      <c r="V61" s="93" t="str">
        <f>IF(Z61=0,"",SUMIFS('RECEBIMENTOS'!$H$6:$H$1005,'RECEBIMENTOS'!$B$6:$B$1005,A61,'RECEBIMENTOS'!$Z$6:$Z$1005,1))</f>
        <v/>
      </c>
      <c r="W61" s="95" t="str">
        <f>IF(Z61=0,"",COUNTIFS('ITENS_MTR'!$S$6:$S$1005,A61,'ITENS_MTR'!$R$6:$R$1005,1))</f>
        <v/>
      </c>
      <c r="X61" s="94" t="str">
        <f>IF(AC61=1,"POSSÍVEL DUPLICIDADE","")</f>
        <v/>
      </c>
      <c r="Y61" s="94" t="str">
        <f>IF(Z61=0,"",IF(AW61="","Nenhuma",LEFT(AW61,LEN(AW61)-2)))</f>
        <v/>
      </c>
      <c r="Z61" s="96">
        <f>IF(COUNTA(B61:O61)&gt;0,1,0)</f>
        <v>0</v>
      </c>
      <c r="AA61" s="96">
        <f>IF(AND(Z61=1,K61&lt;&gt;""),IF(TRIM(K61)=TRIM(cfg_cancel),1,0),0)</f>
        <v>0</v>
      </c>
      <c r="AB61" s="96" t="str">
        <f>IF(AND(Z61=1,B61&lt;&gt;""),C61&amp;"|"&amp;D61&amp;"|"&amp;G61&amp;"|"&amp;TRIM(B61),"")</f>
        <v/>
      </c>
      <c r="AC61" s="96">
        <f>IF(AB61="",0,IF(SUMPRODUCT(--($AB$6:$AB$505=AB61))&gt;1,1,0))</f>
        <v>0</v>
      </c>
      <c r="AD61" s="96">
        <f>IF(Z61=0,0,IF(OR(AND(G61&lt;&gt;"",ISNA(MATCH(G61,'CAD_UNIDADES'!$C$6:$C$105,0))),AND(H61&lt;&gt;"",ISNA(MATCH(H61,cmp_transp,0))),AND(I61&lt;&gt;"",ISNA(MATCH(I61,cmp_dest,0))),AND(E61&lt;&gt;"",NOT(ISNUMBER(E61))),AND(F61&lt;&gt;"",NOT(ISNUMBER(F61))),AND(ISNUMBER(E61),ISNUMBER(F61),F61&lt;E61)),1,0))</f>
        <v>0</v>
      </c>
      <c r="AE61" s="96">
        <f>IF(Z61=0,0,IF(OR(B61="",C61="",E61="",G61="",H61="",I61="",N(W61)=0),1,0))</f>
        <v>0</v>
      </c>
      <c r="AF61" s="96">
        <f>IF(Z61=0,0,COUNTIFS('ITENS_MTR'!$S$6:$S$1005,A61,'ITENS_MTR'!$AI$6:$AI$1005,1))</f>
        <v>0</v>
      </c>
      <c r="AG61" s="96">
        <f>IF(Z61=0,0,COUNTIFS('ITENS_MTR'!$S$6:$S$1005,A61,'ITENS_MTR'!$AJ$6:$AJ$1005,1))</f>
        <v>0</v>
      </c>
      <c r="AH61" s="96">
        <f>IF(Z61=0,0,COUNTIFS('ITENS_MTR'!$S$6:$S$1005,A61,'ITENS_MTR'!$AM$6:$AM$1005,1))</f>
        <v>0</v>
      </c>
      <c r="AI61" s="96">
        <f>IF(Z61=0,0,COUNTIFS('ITENS_MTR'!$S$6:$S$1005,A61,'ITENS_MTR'!$AO$6:$AO$1005,1))</f>
        <v>0</v>
      </c>
      <c r="AJ61" s="96">
        <f>IF(Z61=0,0,COUNTIFS('ITENS_MTR'!$S$6:$S$1005,A61,'ITENS_MTR'!$AN$6:$AN$1005,1))</f>
        <v>0</v>
      </c>
      <c r="AK61" s="96">
        <f>IF(Z61=0,0,COUNTIFS('RECEBIMENTOS'!$B$6:$B$1005,A61,'RECEBIMENTOS'!$Y$6:$Y$1005,1))</f>
        <v>0</v>
      </c>
      <c r="AL61" s="96">
        <f>IF(Z61=0,0,COUNTIFS('VÍNCULOS_CDF'!$D$6:$D$1005,A61,'VÍNCULOS_CDF'!$Y$6:$Y$1005,1))</f>
        <v>0</v>
      </c>
      <c r="AM61" s="96">
        <f>IF(Z61=0,0,COUNTIFS('RECEBIMENTOS'!$B$6:$B$1005,A61,'RECEBIMENTOS'!$Q$6:$Q$1005,1))</f>
        <v>0</v>
      </c>
      <c r="AN61" s="96">
        <f>IF(AND(Z61=1,N(W61)&gt;0,AG61=N(W61)),1,0)</f>
        <v>0</v>
      </c>
      <c r="AO61" s="96">
        <f>IF(AND(Z61=1,N(W61)&gt;0,AI61=N(W61)),1,0)</f>
        <v>0</v>
      </c>
      <c r="AP61" s="97">
        <f>IF(Z61=0,0,_xlfn.MAXIFS('RECEBIMENTOS'!$E$6:$E$1005,'RECEBIMENTOS'!$B$6:$B$1005,A61))</f>
        <v>0</v>
      </c>
      <c r="AQ61" s="97" t="str">
        <f>IF(T61="","",IF(T61="RECEBIMENTO NÃO CONFIRMADO",IF(ISNUMBER(F61),F61,IF(ISNUMBER(E61),E61,"")),IF(OR(T61="CDF NÃO LOCALIZADO",T61="VÍNCULO INCOMPLETO",T61="CDF A CONFERIR"),IF(AP61&gt;0,AP61,IF(ISNUMBER(E61),E61,"")),IF(ISNUMBER(E61),E61,""))))</f>
        <v/>
      </c>
      <c r="AR61" s="96">
        <f>IF(NOT(ISNUMBER(U61)),0,IF(T61="RECEBIMENTO NÃO CONFIRMADO",IF(AND(ISNUMBER(cfg_rec),U61&gt;cfg_rec),1,0),IF(OR(T61="CDF NÃO LOCALIZADO",T61="VÍNCULO INCOMPLETO",T61="CDF A CONFERIR"),IF(AND(ISNUMBER(cfg_cdf),U61&gt;cfg_cdf),1,0),0)))</f>
        <v>0</v>
      </c>
      <c r="AS61" s="96" t="str">
        <f>IF(T61="","",IF(AR61=1,"Alta",IFERROR(INDEX(cfg_pp,MATCH(T61,cfg_pt,0))&amp;"","Média")))</f>
        <v/>
      </c>
      <c r="AT61" s="96" t="str">
        <f>IF(T61="","",IFERROR(INDEX(cfg_pv,MATCH(T61,cfg_pt,0))&amp;"",""))</f>
        <v/>
      </c>
      <c r="AU61" s="96" t="str">
        <f>IF(T61="","",IF(AS61="Alta",1,IF(AS61="Média",2,3))*1000000000+(999999-IF(ISNUMBER(U61),MIN(U61,999999),0))*1000+56)</f>
        <v/>
      </c>
      <c r="AV61" s="96">
        <f>IF(T61&lt;&gt;"",1,0)</f>
        <v>0</v>
      </c>
      <c r="AW61" s="96" t="str">
        <f>IF(Z61=0,"",IF(AA61=1,"Cancelamento informado; ","")&amp;IF(AE61=1,"Campos essenciais ou itens faltando; ","")&amp;IF(AC61=1,"Possível duplicidade do número; ","")&amp;IF(AD61=1,"Cadastro ou datas a revisar; ","")&amp;IF(AF61&gt;0,"Item de resíduo com dado a revisar; ","")&amp;IF(AH61&gt;0,"Diferença de quantidade a analisar; ","")&amp;IF(AK61&gt;0,"Recebimento com alerta; ","")&amp;IF(AL61&gt;0,"Vínculo de CDF com alerta; ","")&amp;IF(AND(AA61=0,AN61=0),"Recebimento não confirmado; ","")&amp;IF(AND(AA61=0,AN61=1,AO61=0),"CDF pendente ou a conferir; ",""))</f>
        <v/>
      </c>
      <c r="AX61" s="96">
        <f>IF(Z61=0,0,IF(AND(OR(f_ini="",AND(ISNUMBER(E61),E61&gt;=f_ini)),OR(f_fim="",AND(ISNUMBER(E61),E61&lt;=f_fim)),OR(f_un="",f_un="(Todas)",G61=f_un),OR(f_tr="",f_tr="(Todos)",H61=f_tr),OR(f_de="",f_de="(Todos)",I61=f_de),OR(f_sit="",f_sit="(Todas)",S61=f_sit)),1,0))</f>
        <v>0</v>
      </c>
      <c r="AY61" s="96">
        <f>IF(AX61=0,0,IF(OR(f_res="",f_res="(Todos)"),1,IF(COUNTIFS('ITENS_MTR'!$S$6:$S$1005,A61,'ITENS_MTR'!$C$6:$C$1005,f_res)&gt;0,1,0)))</f>
        <v>0</v>
      </c>
      <c r="AZ61" s="97" t="str">
        <f>IF(ISNUMBER(E61),DATE(YEAR(E61),MONTH(E61),1),"")</f>
        <v/>
      </c>
      <c r="BA61" s="96">
        <f>IF(Z61=0,0,IF(AND(OR(r_ini="",AND(ISNUMBER(E61),E61&gt;=r_ini)),OR(r_fim="",AND(ISNUMBER(E61),E61&lt;=r_fim)),OR(r_un="",r_un="(Todas)",G61=r_un),OR(r_de="",r_de="(Todos)",I61=r_de)),1,0))</f>
        <v>0</v>
      </c>
      <c r="BB61" s="96" t="str">
        <f>IF(BA61=1,COUNTIF($BA$6:BA61,1),"")</f>
        <v/>
      </c>
      <c r="BC61" s="96" t="str">
        <f>IF(AND(AU61&lt;&gt;"",OR(r_un="",r_un="(Todas)",G61=r_un),OR(r_de="",r_de="(Todos)",I61=r_de)),AU61,"")</f>
        <v/>
      </c>
      <c r="BD61" s="96" t="str">
        <f>IF(Z61=1,A61&amp;" | nº "&amp;IF(B61="","(sem número)",B61)&amp;" | "&amp;IF(G61="","(sem unidade)",G61),"")</f>
        <v/>
      </c>
      <c r="BE61" s="96" t="str">
        <f>IF(Z61=1,COUNTIF($Z$6:Z61,1),"")</f>
        <v/>
      </c>
      <c r="BF61" s="96" t="str">
        <f>IF(T61="","",IF(T61="RECEBIMENTO NÃO CONFIRMADO","Transp.: "&amp;H61&amp;" | Dest.: "&amp;I61,IF(OR(T61="CDF NÃO LOCALIZADO",T61="VÍNCULO INCOMPLETO",T61="CDF A CONFERIR"),"Dest.: "&amp;I61,"Gerador: "&amp;G61)))</f>
        <v/>
      </c>
    </row>
    <row r="62">
      <c r="A62" s="89" t="inlineStr">
        <is>
          <t>MTR-000057</t>
        </is>
      </c>
      <c r="B62" s="90" t="n"/>
      <c r="C62" s="91" t="n"/>
      <c r="D62" s="91" t="n"/>
      <c r="E62" s="92" t="n"/>
      <c r="F62" s="92" t="n"/>
      <c r="G62" s="91" t="n"/>
      <c r="H62" s="91" t="n"/>
      <c r="I62" s="91" t="n"/>
      <c r="J62" s="91" t="n"/>
      <c r="K62" s="91" t="n"/>
      <c r="L62" s="92" t="n"/>
      <c r="M62" s="91" t="n"/>
      <c r="N62" s="91" t="n"/>
      <c r="O62" s="91" t="n"/>
      <c r="P62" s="93" t="str">
        <f>IF(Z62=0,"",SUMIFS('ITENS_MTR'!$I$6:$I$1005,'ITENS_MTR'!$S$6:$S$1005,A62,'ITENS_MTR'!$Y$6:$Y$1005,1))</f>
        <v/>
      </c>
      <c r="Q62" s="93" t="str">
        <f>IF(Z62=0,"",SUMIFS('RECEBIMENTOS'!$H$6:$H$1005,'RECEBIMENTOS'!$B$6:$B$1005,A62,'RECEBIMENTOS'!$X$6:$X$1005,1))</f>
        <v/>
      </c>
      <c r="R62" s="93" t="str">
        <f>IF(Z62=0,"",SUMIFS('VÍNCULOS_CDF'!$H$6:$H$1005,'VÍNCULOS_CDF'!$D$6:$D$1005,A62,'VÍNCULOS_CDF'!$V$6:$V$1005,1))</f>
        <v/>
      </c>
      <c r="S62" s="94" t="str">
        <f>IF(Z62=0,"",IF(AA62=1,"Cancelado (informado)",IF(AE62=1,"Cadastro incompleto",IF(OR(AC62=1,AD62=1,AF62&gt;0,AH62&gt;0,AK62&gt;0,AL62&gt;0),"Informação a revisar",IF(AN62=0,"Aguardando recebimento",IF(N(R62)=0,"Aguardando CDF",IF(AJ62&lt;N(W62),"Vínculo de CDF parcial",IF(AO62=0,"CDF localizado, a conferir","Documentação conferida"))))))))</f>
        <v/>
      </c>
      <c r="T62" s="94" t="str">
        <f>IF(Z62=0,"",IF(S62="Cadastro incompleto","MTR INCOMPLETO",IF(S62="Informação a revisar",IF(AND(AH62&gt;0,AC62=0,AD62=0,AF62=0,AK62=0,AL62=0),"QUANTIDADE A REVISAR","IDENTIFICAÇÃO A REVISAR"),IF(S62="Aguardando recebimento","RECEBIMENTO NÃO CONFIRMADO",IF(S62="Aguardando CDF","CDF NÃO LOCALIZADO",IF(S62="Vínculo de CDF parcial","VÍNCULO INCOMPLETO",IF(S62="CDF localizado, a conferir","CDF A CONFERIR","")))))))</f>
        <v/>
      </c>
      <c r="U62" s="95" t="str">
        <f>IF(T62="","",IF(AQ62="","Não calculável",IF(AQ62&gt;TODAY(),"Data futura",TODAY()-AQ62)))</f>
        <v/>
      </c>
      <c r="V62" s="93" t="str">
        <f>IF(Z62=0,"",SUMIFS('RECEBIMENTOS'!$H$6:$H$1005,'RECEBIMENTOS'!$B$6:$B$1005,A62,'RECEBIMENTOS'!$Z$6:$Z$1005,1))</f>
        <v/>
      </c>
      <c r="W62" s="95" t="str">
        <f>IF(Z62=0,"",COUNTIFS('ITENS_MTR'!$S$6:$S$1005,A62,'ITENS_MTR'!$R$6:$R$1005,1))</f>
        <v/>
      </c>
      <c r="X62" s="94" t="str">
        <f>IF(AC62=1,"POSSÍVEL DUPLICIDADE","")</f>
        <v/>
      </c>
      <c r="Y62" s="94" t="str">
        <f>IF(Z62=0,"",IF(AW62="","Nenhuma",LEFT(AW62,LEN(AW62)-2)))</f>
        <v/>
      </c>
      <c r="Z62" s="96">
        <f>IF(COUNTA(B62:O62)&gt;0,1,0)</f>
        <v>0</v>
      </c>
      <c r="AA62" s="96">
        <f>IF(AND(Z62=1,K62&lt;&gt;""),IF(TRIM(K62)=TRIM(cfg_cancel),1,0),0)</f>
        <v>0</v>
      </c>
      <c r="AB62" s="96" t="str">
        <f>IF(AND(Z62=1,B62&lt;&gt;""),C62&amp;"|"&amp;D62&amp;"|"&amp;G62&amp;"|"&amp;TRIM(B62),"")</f>
        <v/>
      </c>
      <c r="AC62" s="96">
        <f>IF(AB62="",0,IF(SUMPRODUCT(--($AB$6:$AB$505=AB62))&gt;1,1,0))</f>
        <v>0</v>
      </c>
      <c r="AD62" s="96">
        <f>IF(Z62=0,0,IF(OR(AND(G62&lt;&gt;"",ISNA(MATCH(G62,'CAD_UNIDADES'!$C$6:$C$105,0))),AND(H62&lt;&gt;"",ISNA(MATCH(H62,cmp_transp,0))),AND(I62&lt;&gt;"",ISNA(MATCH(I62,cmp_dest,0))),AND(E62&lt;&gt;"",NOT(ISNUMBER(E62))),AND(F62&lt;&gt;"",NOT(ISNUMBER(F62))),AND(ISNUMBER(E62),ISNUMBER(F62),F62&lt;E62)),1,0))</f>
        <v>0</v>
      </c>
      <c r="AE62" s="96">
        <f>IF(Z62=0,0,IF(OR(B62="",C62="",E62="",G62="",H62="",I62="",N(W62)=0),1,0))</f>
        <v>0</v>
      </c>
      <c r="AF62" s="96">
        <f>IF(Z62=0,0,COUNTIFS('ITENS_MTR'!$S$6:$S$1005,A62,'ITENS_MTR'!$AI$6:$AI$1005,1))</f>
        <v>0</v>
      </c>
      <c r="AG62" s="96">
        <f>IF(Z62=0,0,COUNTIFS('ITENS_MTR'!$S$6:$S$1005,A62,'ITENS_MTR'!$AJ$6:$AJ$1005,1))</f>
        <v>0</v>
      </c>
      <c r="AH62" s="96">
        <f>IF(Z62=0,0,COUNTIFS('ITENS_MTR'!$S$6:$S$1005,A62,'ITENS_MTR'!$AM$6:$AM$1005,1))</f>
        <v>0</v>
      </c>
      <c r="AI62" s="96">
        <f>IF(Z62=0,0,COUNTIFS('ITENS_MTR'!$S$6:$S$1005,A62,'ITENS_MTR'!$AO$6:$AO$1005,1))</f>
        <v>0</v>
      </c>
      <c r="AJ62" s="96">
        <f>IF(Z62=0,0,COUNTIFS('ITENS_MTR'!$S$6:$S$1005,A62,'ITENS_MTR'!$AN$6:$AN$1005,1))</f>
        <v>0</v>
      </c>
      <c r="AK62" s="96">
        <f>IF(Z62=0,0,COUNTIFS('RECEBIMENTOS'!$B$6:$B$1005,A62,'RECEBIMENTOS'!$Y$6:$Y$1005,1))</f>
        <v>0</v>
      </c>
      <c r="AL62" s="96">
        <f>IF(Z62=0,0,COUNTIFS('VÍNCULOS_CDF'!$D$6:$D$1005,A62,'VÍNCULOS_CDF'!$Y$6:$Y$1005,1))</f>
        <v>0</v>
      </c>
      <c r="AM62" s="96">
        <f>IF(Z62=0,0,COUNTIFS('RECEBIMENTOS'!$B$6:$B$1005,A62,'RECEBIMENTOS'!$Q$6:$Q$1005,1))</f>
        <v>0</v>
      </c>
      <c r="AN62" s="96">
        <f>IF(AND(Z62=1,N(W62)&gt;0,AG62=N(W62)),1,0)</f>
        <v>0</v>
      </c>
      <c r="AO62" s="96">
        <f>IF(AND(Z62=1,N(W62)&gt;0,AI62=N(W62)),1,0)</f>
        <v>0</v>
      </c>
      <c r="AP62" s="97">
        <f>IF(Z62=0,0,_xlfn.MAXIFS('RECEBIMENTOS'!$E$6:$E$1005,'RECEBIMENTOS'!$B$6:$B$1005,A62))</f>
        <v>0</v>
      </c>
      <c r="AQ62" s="97" t="str">
        <f>IF(T62="","",IF(T62="RECEBIMENTO NÃO CONFIRMADO",IF(ISNUMBER(F62),F62,IF(ISNUMBER(E62),E62,"")),IF(OR(T62="CDF NÃO LOCALIZADO",T62="VÍNCULO INCOMPLETO",T62="CDF A CONFERIR"),IF(AP62&gt;0,AP62,IF(ISNUMBER(E62),E62,"")),IF(ISNUMBER(E62),E62,""))))</f>
        <v/>
      </c>
      <c r="AR62" s="96">
        <f>IF(NOT(ISNUMBER(U62)),0,IF(T62="RECEBIMENTO NÃO CONFIRMADO",IF(AND(ISNUMBER(cfg_rec),U62&gt;cfg_rec),1,0),IF(OR(T62="CDF NÃO LOCALIZADO",T62="VÍNCULO INCOMPLETO",T62="CDF A CONFERIR"),IF(AND(ISNUMBER(cfg_cdf),U62&gt;cfg_cdf),1,0),0)))</f>
        <v>0</v>
      </c>
      <c r="AS62" s="96" t="str">
        <f>IF(T62="","",IF(AR62=1,"Alta",IFERROR(INDEX(cfg_pp,MATCH(T62,cfg_pt,0))&amp;"","Média")))</f>
        <v/>
      </c>
      <c r="AT62" s="96" t="str">
        <f>IF(T62="","",IFERROR(INDEX(cfg_pv,MATCH(T62,cfg_pt,0))&amp;"",""))</f>
        <v/>
      </c>
      <c r="AU62" s="96" t="str">
        <f>IF(T62="","",IF(AS62="Alta",1,IF(AS62="Média",2,3))*1000000000+(999999-IF(ISNUMBER(U62),MIN(U62,999999),0))*1000+57)</f>
        <v/>
      </c>
      <c r="AV62" s="96">
        <f>IF(T62&lt;&gt;"",1,0)</f>
        <v>0</v>
      </c>
      <c r="AW62" s="96" t="str">
        <f>IF(Z62=0,"",IF(AA62=1,"Cancelamento informado; ","")&amp;IF(AE62=1,"Campos essenciais ou itens faltando; ","")&amp;IF(AC62=1,"Possível duplicidade do número; ","")&amp;IF(AD62=1,"Cadastro ou datas a revisar; ","")&amp;IF(AF62&gt;0,"Item de resíduo com dado a revisar; ","")&amp;IF(AH62&gt;0,"Diferença de quantidade a analisar; ","")&amp;IF(AK62&gt;0,"Recebimento com alerta; ","")&amp;IF(AL62&gt;0,"Vínculo de CDF com alerta; ","")&amp;IF(AND(AA62=0,AN62=0),"Recebimento não confirmado; ","")&amp;IF(AND(AA62=0,AN62=1,AO62=0),"CDF pendente ou a conferir; ",""))</f>
        <v/>
      </c>
      <c r="AX62" s="96">
        <f>IF(Z62=0,0,IF(AND(OR(f_ini="",AND(ISNUMBER(E62),E62&gt;=f_ini)),OR(f_fim="",AND(ISNUMBER(E62),E62&lt;=f_fim)),OR(f_un="",f_un="(Todas)",G62=f_un),OR(f_tr="",f_tr="(Todos)",H62=f_tr),OR(f_de="",f_de="(Todos)",I62=f_de),OR(f_sit="",f_sit="(Todas)",S62=f_sit)),1,0))</f>
        <v>0</v>
      </c>
      <c r="AY62" s="96">
        <f>IF(AX62=0,0,IF(OR(f_res="",f_res="(Todos)"),1,IF(COUNTIFS('ITENS_MTR'!$S$6:$S$1005,A62,'ITENS_MTR'!$C$6:$C$1005,f_res)&gt;0,1,0)))</f>
        <v>0</v>
      </c>
      <c r="AZ62" s="97" t="str">
        <f>IF(ISNUMBER(E62),DATE(YEAR(E62),MONTH(E62),1),"")</f>
        <v/>
      </c>
      <c r="BA62" s="96">
        <f>IF(Z62=0,0,IF(AND(OR(r_ini="",AND(ISNUMBER(E62),E62&gt;=r_ini)),OR(r_fim="",AND(ISNUMBER(E62),E62&lt;=r_fim)),OR(r_un="",r_un="(Todas)",G62=r_un),OR(r_de="",r_de="(Todos)",I62=r_de)),1,0))</f>
        <v>0</v>
      </c>
      <c r="BB62" s="96" t="str">
        <f>IF(BA62=1,COUNTIF($BA$6:BA62,1),"")</f>
        <v/>
      </c>
      <c r="BC62" s="96" t="str">
        <f>IF(AND(AU62&lt;&gt;"",OR(r_un="",r_un="(Todas)",G62=r_un),OR(r_de="",r_de="(Todos)",I62=r_de)),AU62,"")</f>
        <v/>
      </c>
      <c r="BD62" s="96" t="str">
        <f>IF(Z62=1,A62&amp;" | nº "&amp;IF(B62="","(sem número)",B62)&amp;" | "&amp;IF(G62="","(sem unidade)",G62),"")</f>
        <v/>
      </c>
      <c r="BE62" s="96" t="str">
        <f>IF(Z62=1,COUNTIF($Z$6:Z62,1),"")</f>
        <v/>
      </c>
      <c r="BF62" s="96" t="str">
        <f>IF(T62="","",IF(T62="RECEBIMENTO NÃO CONFIRMADO","Transp.: "&amp;H62&amp;" | Dest.: "&amp;I62,IF(OR(T62="CDF NÃO LOCALIZADO",T62="VÍNCULO INCOMPLETO",T62="CDF A CONFERIR"),"Dest.: "&amp;I62,"Gerador: "&amp;G62)))</f>
        <v/>
      </c>
    </row>
    <row r="63">
      <c r="A63" s="89" t="inlineStr">
        <is>
          <t>MTR-000058</t>
        </is>
      </c>
      <c r="B63" s="90" t="n"/>
      <c r="C63" s="91" t="n"/>
      <c r="D63" s="91" t="n"/>
      <c r="E63" s="92" t="n"/>
      <c r="F63" s="92" t="n"/>
      <c r="G63" s="91" t="n"/>
      <c r="H63" s="91" t="n"/>
      <c r="I63" s="91" t="n"/>
      <c r="J63" s="91" t="n"/>
      <c r="K63" s="91" t="n"/>
      <c r="L63" s="92" t="n"/>
      <c r="M63" s="91" t="n"/>
      <c r="N63" s="91" t="n"/>
      <c r="O63" s="91" t="n"/>
      <c r="P63" s="93" t="str">
        <f>IF(Z63=0,"",SUMIFS('ITENS_MTR'!$I$6:$I$1005,'ITENS_MTR'!$S$6:$S$1005,A63,'ITENS_MTR'!$Y$6:$Y$1005,1))</f>
        <v/>
      </c>
      <c r="Q63" s="93" t="str">
        <f>IF(Z63=0,"",SUMIFS('RECEBIMENTOS'!$H$6:$H$1005,'RECEBIMENTOS'!$B$6:$B$1005,A63,'RECEBIMENTOS'!$X$6:$X$1005,1))</f>
        <v/>
      </c>
      <c r="R63" s="93" t="str">
        <f>IF(Z63=0,"",SUMIFS('VÍNCULOS_CDF'!$H$6:$H$1005,'VÍNCULOS_CDF'!$D$6:$D$1005,A63,'VÍNCULOS_CDF'!$V$6:$V$1005,1))</f>
        <v/>
      </c>
      <c r="S63" s="94" t="str">
        <f>IF(Z63=0,"",IF(AA63=1,"Cancelado (informado)",IF(AE63=1,"Cadastro incompleto",IF(OR(AC63=1,AD63=1,AF63&gt;0,AH63&gt;0,AK63&gt;0,AL63&gt;0),"Informação a revisar",IF(AN63=0,"Aguardando recebimento",IF(N(R63)=0,"Aguardando CDF",IF(AJ63&lt;N(W63),"Vínculo de CDF parcial",IF(AO63=0,"CDF localizado, a conferir","Documentação conferida"))))))))</f>
        <v/>
      </c>
      <c r="T63" s="94" t="str">
        <f>IF(Z63=0,"",IF(S63="Cadastro incompleto","MTR INCOMPLETO",IF(S63="Informação a revisar",IF(AND(AH63&gt;0,AC63=0,AD63=0,AF63=0,AK63=0,AL63=0),"QUANTIDADE A REVISAR","IDENTIFICAÇÃO A REVISAR"),IF(S63="Aguardando recebimento","RECEBIMENTO NÃO CONFIRMADO",IF(S63="Aguardando CDF","CDF NÃO LOCALIZADO",IF(S63="Vínculo de CDF parcial","VÍNCULO INCOMPLETO",IF(S63="CDF localizado, a conferir","CDF A CONFERIR","")))))))</f>
        <v/>
      </c>
      <c r="U63" s="95" t="str">
        <f>IF(T63="","",IF(AQ63="","Não calculável",IF(AQ63&gt;TODAY(),"Data futura",TODAY()-AQ63)))</f>
        <v/>
      </c>
      <c r="V63" s="93" t="str">
        <f>IF(Z63=0,"",SUMIFS('RECEBIMENTOS'!$H$6:$H$1005,'RECEBIMENTOS'!$B$6:$B$1005,A63,'RECEBIMENTOS'!$Z$6:$Z$1005,1))</f>
        <v/>
      </c>
      <c r="W63" s="95" t="str">
        <f>IF(Z63=0,"",COUNTIFS('ITENS_MTR'!$S$6:$S$1005,A63,'ITENS_MTR'!$R$6:$R$1005,1))</f>
        <v/>
      </c>
      <c r="X63" s="94" t="str">
        <f>IF(AC63=1,"POSSÍVEL DUPLICIDADE","")</f>
        <v/>
      </c>
      <c r="Y63" s="94" t="str">
        <f>IF(Z63=0,"",IF(AW63="","Nenhuma",LEFT(AW63,LEN(AW63)-2)))</f>
        <v/>
      </c>
      <c r="Z63" s="96">
        <f>IF(COUNTA(B63:O63)&gt;0,1,0)</f>
        <v>0</v>
      </c>
      <c r="AA63" s="96">
        <f>IF(AND(Z63=1,K63&lt;&gt;""),IF(TRIM(K63)=TRIM(cfg_cancel),1,0),0)</f>
        <v>0</v>
      </c>
      <c r="AB63" s="96" t="str">
        <f>IF(AND(Z63=1,B63&lt;&gt;""),C63&amp;"|"&amp;D63&amp;"|"&amp;G63&amp;"|"&amp;TRIM(B63),"")</f>
        <v/>
      </c>
      <c r="AC63" s="96">
        <f>IF(AB63="",0,IF(SUMPRODUCT(--($AB$6:$AB$505=AB63))&gt;1,1,0))</f>
        <v>0</v>
      </c>
      <c r="AD63" s="96">
        <f>IF(Z63=0,0,IF(OR(AND(G63&lt;&gt;"",ISNA(MATCH(G63,'CAD_UNIDADES'!$C$6:$C$105,0))),AND(H63&lt;&gt;"",ISNA(MATCH(H63,cmp_transp,0))),AND(I63&lt;&gt;"",ISNA(MATCH(I63,cmp_dest,0))),AND(E63&lt;&gt;"",NOT(ISNUMBER(E63))),AND(F63&lt;&gt;"",NOT(ISNUMBER(F63))),AND(ISNUMBER(E63),ISNUMBER(F63),F63&lt;E63)),1,0))</f>
        <v>0</v>
      </c>
      <c r="AE63" s="96">
        <f>IF(Z63=0,0,IF(OR(B63="",C63="",E63="",G63="",H63="",I63="",N(W63)=0),1,0))</f>
        <v>0</v>
      </c>
      <c r="AF63" s="96">
        <f>IF(Z63=0,0,COUNTIFS('ITENS_MTR'!$S$6:$S$1005,A63,'ITENS_MTR'!$AI$6:$AI$1005,1))</f>
        <v>0</v>
      </c>
      <c r="AG63" s="96">
        <f>IF(Z63=0,0,COUNTIFS('ITENS_MTR'!$S$6:$S$1005,A63,'ITENS_MTR'!$AJ$6:$AJ$1005,1))</f>
        <v>0</v>
      </c>
      <c r="AH63" s="96">
        <f>IF(Z63=0,0,COUNTIFS('ITENS_MTR'!$S$6:$S$1005,A63,'ITENS_MTR'!$AM$6:$AM$1005,1))</f>
        <v>0</v>
      </c>
      <c r="AI63" s="96">
        <f>IF(Z63=0,0,COUNTIFS('ITENS_MTR'!$S$6:$S$1005,A63,'ITENS_MTR'!$AO$6:$AO$1005,1))</f>
        <v>0</v>
      </c>
      <c r="AJ63" s="96">
        <f>IF(Z63=0,0,COUNTIFS('ITENS_MTR'!$S$6:$S$1005,A63,'ITENS_MTR'!$AN$6:$AN$1005,1))</f>
        <v>0</v>
      </c>
      <c r="AK63" s="96">
        <f>IF(Z63=0,0,COUNTIFS('RECEBIMENTOS'!$B$6:$B$1005,A63,'RECEBIMENTOS'!$Y$6:$Y$1005,1))</f>
        <v>0</v>
      </c>
      <c r="AL63" s="96">
        <f>IF(Z63=0,0,COUNTIFS('VÍNCULOS_CDF'!$D$6:$D$1005,A63,'VÍNCULOS_CDF'!$Y$6:$Y$1005,1))</f>
        <v>0</v>
      </c>
      <c r="AM63" s="96">
        <f>IF(Z63=0,0,COUNTIFS('RECEBIMENTOS'!$B$6:$B$1005,A63,'RECEBIMENTOS'!$Q$6:$Q$1005,1))</f>
        <v>0</v>
      </c>
      <c r="AN63" s="96">
        <f>IF(AND(Z63=1,N(W63)&gt;0,AG63=N(W63)),1,0)</f>
        <v>0</v>
      </c>
      <c r="AO63" s="96">
        <f>IF(AND(Z63=1,N(W63)&gt;0,AI63=N(W63)),1,0)</f>
        <v>0</v>
      </c>
      <c r="AP63" s="97">
        <f>IF(Z63=0,0,_xlfn.MAXIFS('RECEBIMENTOS'!$E$6:$E$1005,'RECEBIMENTOS'!$B$6:$B$1005,A63))</f>
        <v>0</v>
      </c>
      <c r="AQ63" s="97" t="str">
        <f>IF(T63="","",IF(T63="RECEBIMENTO NÃO CONFIRMADO",IF(ISNUMBER(F63),F63,IF(ISNUMBER(E63),E63,"")),IF(OR(T63="CDF NÃO LOCALIZADO",T63="VÍNCULO INCOMPLETO",T63="CDF A CONFERIR"),IF(AP63&gt;0,AP63,IF(ISNUMBER(E63),E63,"")),IF(ISNUMBER(E63),E63,""))))</f>
        <v/>
      </c>
      <c r="AR63" s="96">
        <f>IF(NOT(ISNUMBER(U63)),0,IF(T63="RECEBIMENTO NÃO CONFIRMADO",IF(AND(ISNUMBER(cfg_rec),U63&gt;cfg_rec),1,0),IF(OR(T63="CDF NÃO LOCALIZADO",T63="VÍNCULO INCOMPLETO",T63="CDF A CONFERIR"),IF(AND(ISNUMBER(cfg_cdf),U63&gt;cfg_cdf),1,0),0)))</f>
        <v>0</v>
      </c>
      <c r="AS63" s="96" t="str">
        <f>IF(T63="","",IF(AR63=1,"Alta",IFERROR(INDEX(cfg_pp,MATCH(T63,cfg_pt,0))&amp;"","Média")))</f>
        <v/>
      </c>
      <c r="AT63" s="96" t="str">
        <f>IF(T63="","",IFERROR(INDEX(cfg_pv,MATCH(T63,cfg_pt,0))&amp;"",""))</f>
        <v/>
      </c>
      <c r="AU63" s="96" t="str">
        <f>IF(T63="","",IF(AS63="Alta",1,IF(AS63="Média",2,3))*1000000000+(999999-IF(ISNUMBER(U63),MIN(U63,999999),0))*1000+58)</f>
        <v/>
      </c>
      <c r="AV63" s="96">
        <f>IF(T63&lt;&gt;"",1,0)</f>
        <v>0</v>
      </c>
      <c r="AW63" s="96" t="str">
        <f>IF(Z63=0,"",IF(AA63=1,"Cancelamento informado; ","")&amp;IF(AE63=1,"Campos essenciais ou itens faltando; ","")&amp;IF(AC63=1,"Possível duplicidade do número; ","")&amp;IF(AD63=1,"Cadastro ou datas a revisar; ","")&amp;IF(AF63&gt;0,"Item de resíduo com dado a revisar; ","")&amp;IF(AH63&gt;0,"Diferença de quantidade a analisar; ","")&amp;IF(AK63&gt;0,"Recebimento com alerta; ","")&amp;IF(AL63&gt;0,"Vínculo de CDF com alerta; ","")&amp;IF(AND(AA63=0,AN63=0),"Recebimento não confirmado; ","")&amp;IF(AND(AA63=0,AN63=1,AO63=0),"CDF pendente ou a conferir; ",""))</f>
        <v/>
      </c>
      <c r="AX63" s="96">
        <f>IF(Z63=0,0,IF(AND(OR(f_ini="",AND(ISNUMBER(E63),E63&gt;=f_ini)),OR(f_fim="",AND(ISNUMBER(E63),E63&lt;=f_fim)),OR(f_un="",f_un="(Todas)",G63=f_un),OR(f_tr="",f_tr="(Todos)",H63=f_tr),OR(f_de="",f_de="(Todos)",I63=f_de),OR(f_sit="",f_sit="(Todas)",S63=f_sit)),1,0))</f>
        <v>0</v>
      </c>
      <c r="AY63" s="96">
        <f>IF(AX63=0,0,IF(OR(f_res="",f_res="(Todos)"),1,IF(COUNTIFS('ITENS_MTR'!$S$6:$S$1005,A63,'ITENS_MTR'!$C$6:$C$1005,f_res)&gt;0,1,0)))</f>
        <v>0</v>
      </c>
      <c r="AZ63" s="97" t="str">
        <f>IF(ISNUMBER(E63),DATE(YEAR(E63),MONTH(E63),1),"")</f>
        <v/>
      </c>
      <c r="BA63" s="96">
        <f>IF(Z63=0,0,IF(AND(OR(r_ini="",AND(ISNUMBER(E63),E63&gt;=r_ini)),OR(r_fim="",AND(ISNUMBER(E63),E63&lt;=r_fim)),OR(r_un="",r_un="(Todas)",G63=r_un),OR(r_de="",r_de="(Todos)",I63=r_de)),1,0))</f>
        <v>0</v>
      </c>
      <c r="BB63" s="96" t="str">
        <f>IF(BA63=1,COUNTIF($BA$6:BA63,1),"")</f>
        <v/>
      </c>
      <c r="BC63" s="96" t="str">
        <f>IF(AND(AU63&lt;&gt;"",OR(r_un="",r_un="(Todas)",G63=r_un),OR(r_de="",r_de="(Todos)",I63=r_de)),AU63,"")</f>
        <v/>
      </c>
      <c r="BD63" s="96" t="str">
        <f>IF(Z63=1,A63&amp;" | nº "&amp;IF(B63="","(sem número)",B63)&amp;" | "&amp;IF(G63="","(sem unidade)",G63),"")</f>
        <v/>
      </c>
      <c r="BE63" s="96" t="str">
        <f>IF(Z63=1,COUNTIF($Z$6:Z63,1),"")</f>
        <v/>
      </c>
      <c r="BF63" s="96" t="str">
        <f>IF(T63="","",IF(T63="RECEBIMENTO NÃO CONFIRMADO","Transp.: "&amp;H63&amp;" | Dest.: "&amp;I63,IF(OR(T63="CDF NÃO LOCALIZADO",T63="VÍNCULO INCOMPLETO",T63="CDF A CONFERIR"),"Dest.: "&amp;I63,"Gerador: "&amp;G63)))</f>
        <v/>
      </c>
    </row>
    <row r="64">
      <c r="A64" s="89" t="inlineStr">
        <is>
          <t>MTR-000059</t>
        </is>
      </c>
      <c r="B64" s="90" t="n"/>
      <c r="C64" s="91" t="n"/>
      <c r="D64" s="91" t="n"/>
      <c r="E64" s="92" t="n"/>
      <c r="F64" s="92" t="n"/>
      <c r="G64" s="91" t="n"/>
      <c r="H64" s="91" t="n"/>
      <c r="I64" s="91" t="n"/>
      <c r="J64" s="91" t="n"/>
      <c r="K64" s="91" t="n"/>
      <c r="L64" s="92" t="n"/>
      <c r="M64" s="91" t="n"/>
      <c r="N64" s="91" t="n"/>
      <c r="O64" s="91" t="n"/>
      <c r="P64" s="93" t="str">
        <f>IF(Z64=0,"",SUMIFS('ITENS_MTR'!$I$6:$I$1005,'ITENS_MTR'!$S$6:$S$1005,A64,'ITENS_MTR'!$Y$6:$Y$1005,1))</f>
        <v/>
      </c>
      <c r="Q64" s="93" t="str">
        <f>IF(Z64=0,"",SUMIFS('RECEBIMENTOS'!$H$6:$H$1005,'RECEBIMENTOS'!$B$6:$B$1005,A64,'RECEBIMENTOS'!$X$6:$X$1005,1))</f>
        <v/>
      </c>
      <c r="R64" s="93" t="str">
        <f>IF(Z64=0,"",SUMIFS('VÍNCULOS_CDF'!$H$6:$H$1005,'VÍNCULOS_CDF'!$D$6:$D$1005,A64,'VÍNCULOS_CDF'!$V$6:$V$1005,1))</f>
        <v/>
      </c>
      <c r="S64" s="94" t="str">
        <f>IF(Z64=0,"",IF(AA64=1,"Cancelado (informado)",IF(AE64=1,"Cadastro incompleto",IF(OR(AC64=1,AD64=1,AF64&gt;0,AH64&gt;0,AK64&gt;0,AL64&gt;0),"Informação a revisar",IF(AN64=0,"Aguardando recebimento",IF(N(R64)=0,"Aguardando CDF",IF(AJ64&lt;N(W64),"Vínculo de CDF parcial",IF(AO64=0,"CDF localizado, a conferir","Documentação conferida"))))))))</f>
        <v/>
      </c>
      <c r="T64" s="94" t="str">
        <f>IF(Z64=0,"",IF(S64="Cadastro incompleto","MTR INCOMPLETO",IF(S64="Informação a revisar",IF(AND(AH64&gt;0,AC64=0,AD64=0,AF64=0,AK64=0,AL64=0),"QUANTIDADE A REVISAR","IDENTIFICAÇÃO A REVISAR"),IF(S64="Aguardando recebimento","RECEBIMENTO NÃO CONFIRMADO",IF(S64="Aguardando CDF","CDF NÃO LOCALIZADO",IF(S64="Vínculo de CDF parcial","VÍNCULO INCOMPLETO",IF(S64="CDF localizado, a conferir","CDF A CONFERIR","")))))))</f>
        <v/>
      </c>
      <c r="U64" s="95" t="str">
        <f>IF(T64="","",IF(AQ64="","Não calculável",IF(AQ64&gt;TODAY(),"Data futura",TODAY()-AQ64)))</f>
        <v/>
      </c>
      <c r="V64" s="93" t="str">
        <f>IF(Z64=0,"",SUMIFS('RECEBIMENTOS'!$H$6:$H$1005,'RECEBIMENTOS'!$B$6:$B$1005,A64,'RECEBIMENTOS'!$Z$6:$Z$1005,1))</f>
        <v/>
      </c>
      <c r="W64" s="95" t="str">
        <f>IF(Z64=0,"",COUNTIFS('ITENS_MTR'!$S$6:$S$1005,A64,'ITENS_MTR'!$R$6:$R$1005,1))</f>
        <v/>
      </c>
      <c r="X64" s="94" t="str">
        <f>IF(AC64=1,"POSSÍVEL DUPLICIDADE","")</f>
        <v/>
      </c>
      <c r="Y64" s="94" t="str">
        <f>IF(Z64=0,"",IF(AW64="","Nenhuma",LEFT(AW64,LEN(AW64)-2)))</f>
        <v/>
      </c>
      <c r="Z64" s="96">
        <f>IF(COUNTA(B64:O64)&gt;0,1,0)</f>
        <v>0</v>
      </c>
      <c r="AA64" s="96">
        <f>IF(AND(Z64=1,K64&lt;&gt;""),IF(TRIM(K64)=TRIM(cfg_cancel),1,0),0)</f>
        <v>0</v>
      </c>
      <c r="AB64" s="96" t="str">
        <f>IF(AND(Z64=1,B64&lt;&gt;""),C64&amp;"|"&amp;D64&amp;"|"&amp;G64&amp;"|"&amp;TRIM(B64),"")</f>
        <v/>
      </c>
      <c r="AC64" s="96">
        <f>IF(AB64="",0,IF(SUMPRODUCT(--($AB$6:$AB$505=AB64))&gt;1,1,0))</f>
        <v>0</v>
      </c>
      <c r="AD64" s="96">
        <f>IF(Z64=0,0,IF(OR(AND(G64&lt;&gt;"",ISNA(MATCH(G64,'CAD_UNIDADES'!$C$6:$C$105,0))),AND(H64&lt;&gt;"",ISNA(MATCH(H64,cmp_transp,0))),AND(I64&lt;&gt;"",ISNA(MATCH(I64,cmp_dest,0))),AND(E64&lt;&gt;"",NOT(ISNUMBER(E64))),AND(F64&lt;&gt;"",NOT(ISNUMBER(F64))),AND(ISNUMBER(E64),ISNUMBER(F64),F64&lt;E64)),1,0))</f>
        <v>0</v>
      </c>
      <c r="AE64" s="96">
        <f>IF(Z64=0,0,IF(OR(B64="",C64="",E64="",G64="",H64="",I64="",N(W64)=0),1,0))</f>
        <v>0</v>
      </c>
      <c r="AF64" s="96">
        <f>IF(Z64=0,0,COUNTIFS('ITENS_MTR'!$S$6:$S$1005,A64,'ITENS_MTR'!$AI$6:$AI$1005,1))</f>
        <v>0</v>
      </c>
      <c r="AG64" s="96">
        <f>IF(Z64=0,0,COUNTIFS('ITENS_MTR'!$S$6:$S$1005,A64,'ITENS_MTR'!$AJ$6:$AJ$1005,1))</f>
        <v>0</v>
      </c>
      <c r="AH64" s="96">
        <f>IF(Z64=0,0,COUNTIFS('ITENS_MTR'!$S$6:$S$1005,A64,'ITENS_MTR'!$AM$6:$AM$1005,1))</f>
        <v>0</v>
      </c>
      <c r="AI64" s="96">
        <f>IF(Z64=0,0,COUNTIFS('ITENS_MTR'!$S$6:$S$1005,A64,'ITENS_MTR'!$AO$6:$AO$1005,1))</f>
        <v>0</v>
      </c>
      <c r="AJ64" s="96">
        <f>IF(Z64=0,0,COUNTIFS('ITENS_MTR'!$S$6:$S$1005,A64,'ITENS_MTR'!$AN$6:$AN$1005,1))</f>
        <v>0</v>
      </c>
      <c r="AK64" s="96">
        <f>IF(Z64=0,0,COUNTIFS('RECEBIMENTOS'!$B$6:$B$1005,A64,'RECEBIMENTOS'!$Y$6:$Y$1005,1))</f>
        <v>0</v>
      </c>
      <c r="AL64" s="96">
        <f>IF(Z64=0,0,COUNTIFS('VÍNCULOS_CDF'!$D$6:$D$1005,A64,'VÍNCULOS_CDF'!$Y$6:$Y$1005,1))</f>
        <v>0</v>
      </c>
      <c r="AM64" s="96">
        <f>IF(Z64=0,0,COUNTIFS('RECEBIMENTOS'!$B$6:$B$1005,A64,'RECEBIMENTOS'!$Q$6:$Q$1005,1))</f>
        <v>0</v>
      </c>
      <c r="AN64" s="96">
        <f>IF(AND(Z64=1,N(W64)&gt;0,AG64=N(W64)),1,0)</f>
        <v>0</v>
      </c>
      <c r="AO64" s="96">
        <f>IF(AND(Z64=1,N(W64)&gt;0,AI64=N(W64)),1,0)</f>
        <v>0</v>
      </c>
      <c r="AP64" s="97">
        <f>IF(Z64=0,0,_xlfn.MAXIFS('RECEBIMENTOS'!$E$6:$E$1005,'RECEBIMENTOS'!$B$6:$B$1005,A64))</f>
        <v>0</v>
      </c>
      <c r="AQ64" s="97" t="str">
        <f>IF(T64="","",IF(T64="RECEBIMENTO NÃO CONFIRMADO",IF(ISNUMBER(F64),F64,IF(ISNUMBER(E64),E64,"")),IF(OR(T64="CDF NÃO LOCALIZADO",T64="VÍNCULO INCOMPLETO",T64="CDF A CONFERIR"),IF(AP64&gt;0,AP64,IF(ISNUMBER(E64),E64,"")),IF(ISNUMBER(E64),E64,""))))</f>
        <v/>
      </c>
      <c r="AR64" s="96">
        <f>IF(NOT(ISNUMBER(U64)),0,IF(T64="RECEBIMENTO NÃO CONFIRMADO",IF(AND(ISNUMBER(cfg_rec),U64&gt;cfg_rec),1,0),IF(OR(T64="CDF NÃO LOCALIZADO",T64="VÍNCULO INCOMPLETO",T64="CDF A CONFERIR"),IF(AND(ISNUMBER(cfg_cdf),U64&gt;cfg_cdf),1,0),0)))</f>
        <v>0</v>
      </c>
      <c r="AS64" s="96" t="str">
        <f>IF(T64="","",IF(AR64=1,"Alta",IFERROR(INDEX(cfg_pp,MATCH(T64,cfg_pt,0))&amp;"","Média")))</f>
        <v/>
      </c>
      <c r="AT64" s="96" t="str">
        <f>IF(T64="","",IFERROR(INDEX(cfg_pv,MATCH(T64,cfg_pt,0))&amp;"",""))</f>
        <v/>
      </c>
      <c r="AU64" s="96" t="str">
        <f>IF(T64="","",IF(AS64="Alta",1,IF(AS64="Média",2,3))*1000000000+(999999-IF(ISNUMBER(U64),MIN(U64,999999),0))*1000+59)</f>
        <v/>
      </c>
      <c r="AV64" s="96">
        <f>IF(T64&lt;&gt;"",1,0)</f>
        <v>0</v>
      </c>
      <c r="AW64" s="96" t="str">
        <f>IF(Z64=0,"",IF(AA64=1,"Cancelamento informado; ","")&amp;IF(AE64=1,"Campos essenciais ou itens faltando; ","")&amp;IF(AC64=1,"Possível duplicidade do número; ","")&amp;IF(AD64=1,"Cadastro ou datas a revisar; ","")&amp;IF(AF64&gt;0,"Item de resíduo com dado a revisar; ","")&amp;IF(AH64&gt;0,"Diferença de quantidade a analisar; ","")&amp;IF(AK64&gt;0,"Recebimento com alerta; ","")&amp;IF(AL64&gt;0,"Vínculo de CDF com alerta; ","")&amp;IF(AND(AA64=0,AN64=0),"Recebimento não confirmado; ","")&amp;IF(AND(AA64=0,AN64=1,AO64=0),"CDF pendente ou a conferir; ",""))</f>
        <v/>
      </c>
      <c r="AX64" s="96">
        <f>IF(Z64=0,0,IF(AND(OR(f_ini="",AND(ISNUMBER(E64),E64&gt;=f_ini)),OR(f_fim="",AND(ISNUMBER(E64),E64&lt;=f_fim)),OR(f_un="",f_un="(Todas)",G64=f_un),OR(f_tr="",f_tr="(Todos)",H64=f_tr),OR(f_de="",f_de="(Todos)",I64=f_de),OR(f_sit="",f_sit="(Todas)",S64=f_sit)),1,0))</f>
        <v>0</v>
      </c>
      <c r="AY64" s="96">
        <f>IF(AX64=0,0,IF(OR(f_res="",f_res="(Todos)"),1,IF(COUNTIFS('ITENS_MTR'!$S$6:$S$1005,A64,'ITENS_MTR'!$C$6:$C$1005,f_res)&gt;0,1,0)))</f>
        <v>0</v>
      </c>
      <c r="AZ64" s="97" t="str">
        <f>IF(ISNUMBER(E64),DATE(YEAR(E64),MONTH(E64),1),"")</f>
        <v/>
      </c>
      <c r="BA64" s="96">
        <f>IF(Z64=0,0,IF(AND(OR(r_ini="",AND(ISNUMBER(E64),E64&gt;=r_ini)),OR(r_fim="",AND(ISNUMBER(E64),E64&lt;=r_fim)),OR(r_un="",r_un="(Todas)",G64=r_un),OR(r_de="",r_de="(Todos)",I64=r_de)),1,0))</f>
        <v>0</v>
      </c>
      <c r="BB64" s="96" t="str">
        <f>IF(BA64=1,COUNTIF($BA$6:BA64,1),"")</f>
        <v/>
      </c>
      <c r="BC64" s="96" t="str">
        <f>IF(AND(AU64&lt;&gt;"",OR(r_un="",r_un="(Todas)",G64=r_un),OR(r_de="",r_de="(Todos)",I64=r_de)),AU64,"")</f>
        <v/>
      </c>
      <c r="BD64" s="96" t="str">
        <f>IF(Z64=1,A64&amp;" | nº "&amp;IF(B64="","(sem número)",B64)&amp;" | "&amp;IF(G64="","(sem unidade)",G64),"")</f>
        <v/>
      </c>
      <c r="BE64" s="96" t="str">
        <f>IF(Z64=1,COUNTIF($Z$6:Z64,1),"")</f>
        <v/>
      </c>
      <c r="BF64" s="96" t="str">
        <f>IF(T64="","",IF(T64="RECEBIMENTO NÃO CONFIRMADO","Transp.: "&amp;H64&amp;" | Dest.: "&amp;I64,IF(OR(T64="CDF NÃO LOCALIZADO",T64="VÍNCULO INCOMPLETO",T64="CDF A CONFERIR"),"Dest.: "&amp;I64,"Gerador: "&amp;G64)))</f>
        <v/>
      </c>
    </row>
    <row r="65">
      <c r="A65" s="89" t="inlineStr">
        <is>
          <t>MTR-000060</t>
        </is>
      </c>
      <c r="B65" s="90" t="n"/>
      <c r="C65" s="91" t="n"/>
      <c r="D65" s="91" t="n"/>
      <c r="E65" s="92" t="n"/>
      <c r="F65" s="92" t="n"/>
      <c r="G65" s="91" t="n"/>
      <c r="H65" s="91" t="n"/>
      <c r="I65" s="91" t="n"/>
      <c r="J65" s="91" t="n"/>
      <c r="K65" s="91" t="n"/>
      <c r="L65" s="92" t="n"/>
      <c r="M65" s="91" t="n"/>
      <c r="N65" s="91" t="n"/>
      <c r="O65" s="91" t="n"/>
      <c r="P65" s="93" t="str">
        <f>IF(Z65=0,"",SUMIFS('ITENS_MTR'!$I$6:$I$1005,'ITENS_MTR'!$S$6:$S$1005,A65,'ITENS_MTR'!$Y$6:$Y$1005,1))</f>
        <v/>
      </c>
      <c r="Q65" s="93" t="str">
        <f>IF(Z65=0,"",SUMIFS('RECEBIMENTOS'!$H$6:$H$1005,'RECEBIMENTOS'!$B$6:$B$1005,A65,'RECEBIMENTOS'!$X$6:$X$1005,1))</f>
        <v/>
      </c>
      <c r="R65" s="93" t="str">
        <f>IF(Z65=0,"",SUMIFS('VÍNCULOS_CDF'!$H$6:$H$1005,'VÍNCULOS_CDF'!$D$6:$D$1005,A65,'VÍNCULOS_CDF'!$V$6:$V$1005,1))</f>
        <v/>
      </c>
      <c r="S65" s="94" t="str">
        <f>IF(Z65=0,"",IF(AA65=1,"Cancelado (informado)",IF(AE65=1,"Cadastro incompleto",IF(OR(AC65=1,AD65=1,AF65&gt;0,AH65&gt;0,AK65&gt;0,AL65&gt;0),"Informação a revisar",IF(AN65=0,"Aguardando recebimento",IF(N(R65)=0,"Aguardando CDF",IF(AJ65&lt;N(W65),"Vínculo de CDF parcial",IF(AO65=0,"CDF localizado, a conferir","Documentação conferida"))))))))</f>
        <v/>
      </c>
      <c r="T65" s="94" t="str">
        <f>IF(Z65=0,"",IF(S65="Cadastro incompleto","MTR INCOMPLETO",IF(S65="Informação a revisar",IF(AND(AH65&gt;0,AC65=0,AD65=0,AF65=0,AK65=0,AL65=0),"QUANTIDADE A REVISAR","IDENTIFICAÇÃO A REVISAR"),IF(S65="Aguardando recebimento","RECEBIMENTO NÃO CONFIRMADO",IF(S65="Aguardando CDF","CDF NÃO LOCALIZADO",IF(S65="Vínculo de CDF parcial","VÍNCULO INCOMPLETO",IF(S65="CDF localizado, a conferir","CDF A CONFERIR","")))))))</f>
        <v/>
      </c>
      <c r="U65" s="95" t="str">
        <f>IF(T65="","",IF(AQ65="","Não calculável",IF(AQ65&gt;TODAY(),"Data futura",TODAY()-AQ65)))</f>
        <v/>
      </c>
      <c r="V65" s="93" t="str">
        <f>IF(Z65=0,"",SUMIFS('RECEBIMENTOS'!$H$6:$H$1005,'RECEBIMENTOS'!$B$6:$B$1005,A65,'RECEBIMENTOS'!$Z$6:$Z$1005,1))</f>
        <v/>
      </c>
      <c r="W65" s="95" t="str">
        <f>IF(Z65=0,"",COUNTIFS('ITENS_MTR'!$S$6:$S$1005,A65,'ITENS_MTR'!$R$6:$R$1005,1))</f>
        <v/>
      </c>
      <c r="X65" s="94" t="str">
        <f>IF(AC65=1,"POSSÍVEL DUPLICIDADE","")</f>
        <v/>
      </c>
      <c r="Y65" s="94" t="str">
        <f>IF(Z65=0,"",IF(AW65="","Nenhuma",LEFT(AW65,LEN(AW65)-2)))</f>
        <v/>
      </c>
      <c r="Z65" s="96">
        <f>IF(COUNTA(B65:O65)&gt;0,1,0)</f>
        <v>0</v>
      </c>
      <c r="AA65" s="96">
        <f>IF(AND(Z65=1,K65&lt;&gt;""),IF(TRIM(K65)=TRIM(cfg_cancel),1,0),0)</f>
        <v>0</v>
      </c>
      <c r="AB65" s="96" t="str">
        <f>IF(AND(Z65=1,B65&lt;&gt;""),C65&amp;"|"&amp;D65&amp;"|"&amp;G65&amp;"|"&amp;TRIM(B65),"")</f>
        <v/>
      </c>
      <c r="AC65" s="96">
        <f>IF(AB65="",0,IF(SUMPRODUCT(--($AB$6:$AB$505=AB65))&gt;1,1,0))</f>
        <v>0</v>
      </c>
      <c r="AD65" s="96">
        <f>IF(Z65=0,0,IF(OR(AND(G65&lt;&gt;"",ISNA(MATCH(G65,'CAD_UNIDADES'!$C$6:$C$105,0))),AND(H65&lt;&gt;"",ISNA(MATCH(H65,cmp_transp,0))),AND(I65&lt;&gt;"",ISNA(MATCH(I65,cmp_dest,0))),AND(E65&lt;&gt;"",NOT(ISNUMBER(E65))),AND(F65&lt;&gt;"",NOT(ISNUMBER(F65))),AND(ISNUMBER(E65),ISNUMBER(F65),F65&lt;E65)),1,0))</f>
        <v>0</v>
      </c>
      <c r="AE65" s="96">
        <f>IF(Z65=0,0,IF(OR(B65="",C65="",E65="",G65="",H65="",I65="",N(W65)=0),1,0))</f>
        <v>0</v>
      </c>
      <c r="AF65" s="96">
        <f>IF(Z65=0,0,COUNTIFS('ITENS_MTR'!$S$6:$S$1005,A65,'ITENS_MTR'!$AI$6:$AI$1005,1))</f>
        <v>0</v>
      </c>
      <c r="AG65" s="96">
        <f>IF(Z65=0,0,COUNTIFS('ITENS_MTR'!$S$6:$S$1005,A65,'ITENS_MTR'!$AJ$6:$AJ$1005,1))</f>
        <v>0</v>
      </c>
      <c r="AH65" s="96">
        <f>IF(Z65=0,0,COUNTIFS('ITENS_MTR'!$S$6:$S$1005,A65,'ITENS_MTR'!$AM$6:$AM$1005,1))</f>
        <v>0</v>
      </c>
      <c r="AI65" s="96">
        <f>IF(Z65=0,0,COUNTIFS('ITENS_MTR'!$S$6:$S$1005,A65,'ITENS_MTR'!$AO$6:$AO$1005,1))</f>
        <v>0</v>
      </c>
      <c r="AJ65" s="96">
        <f>IF(Z65=0,0,COUNTIFS('ITENS_MTR'!$S$6:$S$1005,A65,'ITENS_MTR'!$AN$6:$AN$1005,1))</f>
        <v>0</v>
      </c>
      <c r="AK65" s="96">
        <f>IF(Z65=0,0,COUNTIFS('RECEBIMENTOS'!$B$6:$B$1005,A65,'RECEBIMENTOS'!$Y$6:$Y$1005,1))</f>
        <v>0</v>
      </c>
      <c r="AL65" s="96">
        <f>IF(Z65=0,0,COUNTIFS('VÍNCULOS_CDF'!$D$6:$D$1005,A65,'VÍNCULOS_CDF'!$Y$6:$Y$1005,1))</f>
        <v>0</v>
      </c>
      <c r="AM65" s="96">
        <f>IF(Z65=0,0,COUNTIFS('RECEBIMENTOS'!$B$6:$B$1005,A65,'RECEBIMENTOS'!$Q$6:$Q$1005,1))</f>
        <v>0</v>
      </c>
      <c r="AN65" s="96">
        <f>IF(AND(Z65=1,N(W65)&gt;0,AG65=N(W65)),1,0)</f>
        <v>0</v>
      </c>
      <c r="AO65" s="96">
        <f>IF(AND(Z65=1,N(W65)&gt;0,AI65=N(W65)),1,0)</f>
        <v>0</v>
      </c>
      <c r="AP65" s="97">
        <f>IF(Z65=0,0,_xlfn.MAXIFS('RECEBIMENTOS'!$E$6:$E$1005,'RECEBIMENTOS'!$B$6:$B$1005,A65))</f>
        <v>0</v>
      </c>
      <c r="AQ65" s="97" t="str">
        <f>IF(T65="","",IF(T65="RECEBIMENTO NÃO CONFIRMADO",IF(ISNUMBER(F65),F65,IF(ISNUMBER(E65),E65,"")),IF(OR(T65="CDF NÃO LOCALIZADO",T65="VÍNCULO INCOMPLETO",T65="CDF A CONFERIR"),IF(AP65&gt;0,AP65,IF(ISNUMBER(E65),E65,"")),IF(ISNUMBER(E65),E65,""))))</f>
        <v/>
      </c>
      <c r="AR65" s="96">
        <f>IF(NOT(ISNUMBER(U65)),0,IF(T65="RECEBIMENTO NÃO CONFIRMADO",IF(AND(ISNUMBER(cfg_rec),U65&gt;cfg_rec),1,0),IF(OR(T65="CDF NÃO LOCALIZADO",T65="VÍNCULO INCOMPLETO",T65="CDF A CONFERIR"),IF(AND(ISNUMBER(cfg_cdf),U65&gt;cfg_cdf),1,0),0)))</f>
        <v>0</v>
      </c>
      <c r="AS65" s="96" t="str">
        <f>IF(T65="","",IF(AR65=1,"Alta",IFERROR(INDEX(cfg_pp,MATCH(T65,cfg_pt,0))&amp;"","Média")))</f>
        <v/>
      </c>
      <c r="AT65" s="96" t="str">
        <f>IF(T65="","",IFERROR(INDEX(cfg_pv,MATCH(T65,cfg_pt,0))&amp;"",""))</f>
        <v/>
      </c>
      <c r="AU65" s="96" t="str">
        <f>IF(T65="","",IF(AS65="Alta",1,IF(AS65="Média",2,3))*1000000000+(999999-IF(ISNUMBER(U65),MIN(U65,999999),0))*1000+60)</f>
        <v/>
      </c>
      <c r="AV65" s="96">
        <f>IF(T65&lt;&gt;"",1,0)</f>
        <v>0</v>
      </c>
      <c r="AW65" s="96" t="str">
        <f>IF(Z65=0,"",IF(AA65=1,"Cancelamento informado; ","")&amp;IF(AE65=1,"Campos essenciais ou itens faltando; ","")&amp;IF(AC65=1,"Possível duplicidade do número; ","")&amp;IF(AD65=1,"Cadastro ou datas a revisar; ","")&amp;IF(AF65&gt;0,"Item de resíduo com dado a revisar; ","")&amp;IF(AH65&gt;0,"Diferença de quantidade a analisar; ","")&amp;IF(AK65&gt;0,"Recebimento com alerta; ","")&amp;IF(AL65&gt;0,"Vínculo de CDF com alerta; ","")&amp;IF(AND(AA65=0,AN65=0),"Recebimento não confirmado; ","")&amp;IF(AND(AA65=0,AN65=1,AO65=0),"CDF pendente ou a conferir; ",""))</f>
        <v/>
      </c>
      <c r="AX65" s="96">
        <f>IF(Z65=0,0,IF(AND(OR(f_ini="",AND(ISNUMBER(E65),E65&gt;=f_ini)),OR(f_fim="",AND(ISNUMBER(E65),E65&lt;=f_fim)),OR(f_un="",f_un="(Todas)",G65=f_un),OR(f_tr="",f_tr="(Todos)",H65=f_tr),OR(f_de="",f_de="(Todos)",I65=f_de),OR(f_sit="",f_sit="(Todas)",S65=f_sit)),1,0))</f>
        <v>0</v>
      </c>
      <c r="AY65" s="96">
        <f>IF(AX65=0,0,IF(OR(f_res="",f_res="(Todos)"),1,IF(COUNTIFS('ITENS_MTR'!$S$6:$S$1005,A65,'ITENS_MTR'!$C$6:$C$1005,f_res)&gt;0,1,0)))</f>
        <v>0</v>
      </c>
      <c r="AZ65" s="97" t="str">
        <f>IF(ISNUMBER(E65),DATE(YEAR(E65),MONTH(E65),1),"")</f>
        <v/>
      </c>
      <c r="BA65" s="96">
        <f>IF(Z65=0,0,IF(AND(OR(r_ini="",AND(ISNUMBER(E65),E65&gt;=r_ini)),OR(r_fim="",AND(ISNUMBER(E65),E65&lt;=r_fim)),OR(r_un="",r_un="(Todas)",G65=r_un),OR(r_de="",r_de="(Todos)",I65=r_de)),1,0))</f>
        <v>0</v>
      </c>
      <c r="BB65" s="96" t="str">
        <f>IF(BA65=1,COUNTIF($BA$6:BA65,1),"")</f>
        <v/>
      </c>
      <c r="BC65" s="96" t="str">
        <f>IF(AND(AU65&lt;&gt;"",OR(r_un="",r_un="(Todas)",G65=r_un),OR(r_de="",r_de="(Todos)",I65=r_de)),AU65,"")</f>
        <v/>
      </c>
      <c r="BD65" s="96" t="str">
        <f>IF(Z65=1,A65&amp;" | nº "&amp;IF(B65="","(sem número)",B65)&amp;" | "&amp;IF(G65="","(sem unidade)",G65),"")</f>
        <v/>
      </c>
      <c r="BE65" s="96" t="str">
        <f>IF(Z65=1,COUNTIF($Z$6:Z65,1),"")</f>
        <v/>
      </c>
      <c r="BF65" s="96" t="str">
        <f>IF(T65="","",IF(T65="RECEBIMENTO NÃO CONFIRMADO","Transp.: "&amp;H65&amp;" | Dest.: "&amp;I65,IF(OR(T65="CDF NÃO LOCALIZADO",T65="VÍNCULO INCOMPLETO",T65="CDF A CONFERIR"),"Dest.: "&amp;I65,"Gerador: "&amp;G65)))</f>
        <v/>
      </c>
    </row>
    <row r="66">
      <c r="A66" s="89" t="inlineStr">
        <is>
          <t>MTR-000061</t>
        </is>
      </c>
      <c r="B66" s="90" t="n"/>
      <c r="C66" s="91" t="n"/>
      <c r="D66" s="91" t="n"/>
      <c r="E66" s="92" t="n"/>
      <c r="F66" s="92" t="n"/>
      <c r="G66" s="91" t="n"/>
      <c r="H66" s="91" t="n"/>
      <c r="I66" s="91" t="n"/>
      <c r="J66" s="91" t="n"/>
      <c r="K66" s="91" t="n"/>
      <c r="L66" s="92" t="n"/>
      <c r="M66" s="91" t="n"/>
      <c r="N66" s="91" t="n"/>
      <c r="O66" s="91" t="n"/>
      <c r="P66" s="93" t="str">
        <f>IF(Z66=0,"",SUMIFS('ITENS_MTR'!$I$6:$I$1005,'ITENS_MTR'!$S$6:$S$1005,A66,'ITENS_MTR'!$Y$6:$Y$1005,1))</f>
        <v/>
      </c>
      <c r="Q66" s="93" t="str">
        <f>IF(Z66=0,"",SUMIFS('RECEBIMENTOS'!$H$6:$H$1005,'RECEBIMENTOS'!$B$6:$B$1005,A66,'RECEBIMENTOS'!$X$6:$X$1005,1))</f>
        <v/>
      </c>
      <c r="R66" s="93" t="str">
        <f>IF(Z66=0,"",SUMIFS('VÍNCULOS_CDF'!$H$6:$H$1005,'VÍNCULOS_CDF'!$D$6:$D$1005,A66,'VÍNCULOS_CDF'!$V$6:$V$1005,1))</f>
        <v/>
      </c>
      <c r="S66" s="94" t="str">
        <f>IF(Z66=0,"",IF(AA66=1,"Cancelado (informado)",IF(AE66=1,"Cadastro incompleto",IF(OR(AC66=1,AD66=1,AF66&gt;0,AH66&gt;0,AK66&gt;0,AL66&gt;0),"Informação a revisar",IF(AN66=0,"Aguardando recebimento",IF(N(R66)=0,"Aguardando CDF",IF(AJ66&lt;N(W66),"Vínculo de CDF parcial",IF(AO66=0,"CDF localizado, a conferir","Documentação conferida"))))))))</f>
        <v/>
      </c>
      <c r="T66" s="94" t="str">
        <f>IF(Z66=0,"",IF(S66="Cadastro incompleto","MTR INCOMPLETO",IF(S66="Informação a revisar",IF(AND(AH66&gt;0,AC66=0,AD66=0,AF66=0,AK66=0,AL66=0),"QUANTIDADE A REVISAR","IDENTIFICAÇÃO A REVISAR"),IF(S66="Aguardando recebimento","RECEBIMENTO NÃO CONFIRMADO",IF(S66="Aguardando CDF","CDF NÃO LOCALIZADO",IF(S66="Vínculo de CDF parcial","VÍNCULO INCOMPLETO",IF(S66="CDF localizado, a conferir","CDF A CONFERIR","")))))))</f>
        <v/>
      </c>
      <c r="U66" s="95" t="str">
        <f>IF(T66="","",IF(AQ66="","Não calculável",IF(AQ66&gt;TODAY(),"Data futura",TODAY()-AQ66)))</f>
        <v/>
      </c>
      <c r="V66" s="93" t="str">
        <f>IF(Z66=0,"",SUMIFS('RECEBIMENTOS'!$H$6:$H$1005,'RECEBIMENTOS'!$B$6:$B$1005,A66,'RECEBIMENTOS'!$Z$6:$Z$1005,1))</f>
        <v/>
      </c>
      <c r="W66" s="95" t="str">
        <f>IF(Z66=0,"",COUNTIFS('ITENS_MTR'!$S$6:$S$1005,A66,'ITENS_MTR'!$R$6:$R$1005,1))</f>
        <v/>
      </c>
      <c r="X66" s="94" t="str">
        <f>IF(AC66=1,"POSSÍVEL DUPLICIDADE","")</f>
        <v/>
      </c>
      <c r="Y66" s="94" t="str">
        <f>IF(Z66=0,"",IF(AW66="","Nenhuma",LEFT(AW66,LEN(AW66)-2)))</f>
        <v/>
      </c>
      <c r="Z66" s="96">
        <f>IF(COUNTA(B66:O66)&gt;0,1,0)</f>
        <v>0</v>
      </c>
      <c r="AA66" s="96">
        <f>IF(AND(Z66=1,K66&lt;&gt;""),IF(TRIM(K66)=TRIM(cfg_cancel),1,0),0)</f>
        <v>0</v>
      </c>
      <c r="AB66" s="96" t="str">
        <f>IF(AND(Z66=1,B66&lt;&gt;""),C66&amp;"|"&amp;D66&amp;"|"&amp;G66&amp;"|"&amp;TRIM(B66),"")</f>
        <v/>
      </c>
      <c r="AC66" s="96">
        <f>IF(AB66="",0,IF(SUMPRODUCT(--($AB$6:$AB$505=AB66))&gt;1,1,0))</f>
        <v>0</v>
      </c>
      <c r="AD66" s="96">
        <f>IF(Z66=0,0,IF(OR(AND(G66&lt;&gt;"",ISNA(MATCH(G66,'CAD_UNIDADES'!$C$6:$C$105,0))),AND(H66&lt;&gt;"",ISNA(MATCH(H66,cmp_transp,0))),AND(I66&lt;&gt;"",ISNA(MATCH(I66,cmp_dest,0))),AND(E66&lt;&gt;"",NOT(ISNUMBER(E66))),AND(F66&lt;&gt;"",NOT(ISNUMBER(F66))),AND(ISNUMBER(E66),ISNUMBER(F66),F66&lt;E66)),1,0))</f>
        <v>0</v>
      </c>
      <c r="AE66" s="96">
        <f>IF(Z66=0,0,IF(OR(B66="",C66="",E66="",G66="",H66="",I66="",N(W66)=0),1,0))</f>
        <v>0</v>
      </c>
      <c r="AF66" s="96">
        <f>IF(Z66=0,0,COUNTIFS('ITENS_MTR'!$S$6:$S$1005,A66,'ITENS_MTR'!$AI$6:$AI$1005,1))</f>
        <v>0</v>
      </c>
      <c r="AG66" s="96">
        <f>IF(Z66=0,0,COUNTIFS('ITENS_MTR'!$S$6:$S$1005,A66,'ITENS_MTR'!$AJ$6:$AJ$1005,1))</f>
        <v>0</v>
      </c>
      <c r="AH66" s="96">
        <f>IF(Z66=0,0,COUNTIFS('ITENS_MTR'!$S$6:$S$1005,A66,'ITENS_MTR'!$AM$6:$AM$1005,1))</f>
        <v>0</v>
      </c>
      <c r="AI66" s="96">
        <f>IF(Z66=0,0,COUNTIFS('ITENS_MTR'!$S$6:$S$1005,A66,'ITENS_MTR'!$AO$6:$AO$1005,1))</f>
        <v>0</v>
      </c>
      <c r="AJ66" s="96">
        <f>IF(Z66=0,0,COUNTIFS('ITENS_MTR'!$S$6:$S$1005,A66,'ITENS_MTR'!$AN$6:$AN$1005,1))</f>
        <v>0</v>
      </c>
      <c r="AK66" s="96">
        <f>IF(Z66=0,0,COUNTIFS('RECEBIMENTOS'!$B$6:$B$1005,A66,'RECEBIMENTOS'!$Y$6:$Y$1005,1))</f>
        <v>0</v>
      </c>
      <c r="AL66" s="96">
        <f>IF(Z66=0,0,COUNTIFS('VÍNCULOS_CDF'!$D$6:$D$1005,A66,'VÍNCULOS_CDF'!$Y$6:$Y$1005,1))</f>
        <v>0</v>
      </c>
      <c r="AM66" s="96">
        <f>IF(Z66=0,0,COUNTIFS('RECEBIMENTOS'!$B$6:$B$1005,A66,'RECEBIMENTOS'!$Q$6:$Q$1005,1))</f>
        <v>0</v>
      </c>
      <c r="AN66" s="96">
        <f>IF(AND(Z66=1,N(W66)&gt;0,AG66=N(W66)),1,0)</f>
        <v>0</v>
      </c>
      <c r="AO66" s="96">
        <f>IF(AND(Z66=1,N(W66)&gt;0,AI66=N(W66)),1,0)</f>
        <v>0</v>
      </c>
      <c r="AP66" s="97">
        <f>IF(Z66=0,0,_xlfn.MAXIFS('RECEBIMENTOS'!$E$6:$E$1005,'RECEBIMENTOS'!$B$6:$B$1005,A66))</f>
        <v>0</v>
      </c>
      <c r="AQ66" s="97" t="str">
        <f>IF(T66="","",IF(T66="RECEBIMENTO NÃO CONFIRMADO",IF(ISNUMBER(F66),F66,IF(ISNUMBER(E66),E66,"")),IF(OR(T66="CDF NÃO LOCALIZADO",T66="VÍNCULO INCOMPLETO",T66="CDF A CONFERIR"),IF(AP66&gt;0,AP66,IF(ISNUMBER(E66),E66,"")),IF(ISNUMBER(E66),E66,""))))</f>
        <v/>
      </c>
      <c r="AR66" s="96">
        <f>IF(NOT(ISNUMBER(U66)),0,IF(T66="RECEBIMENTO NÃO CONFIRMADO",IF(AND(ISNUMBER(cfg_rec),U66&gt;cfg_rec),1,0),IF(OR(T66="CDF NÃO LOCALIZADO",T66="VÍNCULO INCOMPLETO",T66="CDF A CONFERIR"),IF(AND(ISNUMBER(cfg_cdf),U66&gt;cfg_cdf),1,0),0)))</f>
        <v>0</v>
      </c>
      <c r="AS66" s="96" t="str">
        <f>IF(T66="","",IF(AR66=1,"Alta",IFERROR(INDEX(cfg_pp,MATCH(T66,cfg_pt,0))&amp;"","Média")))</f>
        <v/>
      </c>
      <c r="AT66" s="96" t="str">
        <f>IF(T66="","",IFERROR(INDEX(cfg_pv,MATCH(T66,cfg_pt,0))&amp;"",""))</f>
        <v/>
      </c>
      <c r="AU66" s="96" t="str">
        <f>IF(T66="","",IF(AS66="Alta",1,IF(AS66="Média",2,3))*1000000000+(999999-IF(ISNUMBER(U66),MIN(U66,999999),0))*1000+61)</f>
        <v/>
      </c>
      <c r="AV66" s="96">
        <f>IF(T66&lt;&gt;"",1,0)</f>
        <v>0</v>
      </c>
      <c r="AW66" s="96" t="str">
        <f>IF(Z66=0,"",IF(AA66=1,"Cancelamento informado; ","")&amp;IF(AE66=1,"Campos essenciais ou itens faltando; ","")&amp;IF(AC66=1,"Possível duplicidade do número; ","")&amp;IF(AD66=1,"Cadastro ou datas a revisar; ","")&amp;IF(AF66&gt;0,"Item de resíduo com dado a revisar; ","")&amp;IF(AH66&gt;0,"Diferença de quantidade a analisar; ","")&amp;IF(AK66&gt;0,"Recebimento com alerta; ","")&amp;IF(AL66&gt;0,"Vínculo de CDF com alerta; ","")&amp;IF(AND(AA66=0,AN66=0),"Recebimento não confirmado; ","")&amp;IF(AND(AA66=0,AN66=1,AO66=0),"CDF pendente ou a conferir; ",""))</f>
        <v/>
      </c>
      <c r="AX66" s="96">
        <f>IF(Z66=0,0,IF(AND(OR(f_ini="",AND(ISNUMBER(E66),E66&gt;=f_ini)),OR(f_fim="",AND(ISNUMBER(E66),E66&lt;=f_fim)),OR(f_un="",f_un="(Todas)",G66=f_un),OR(f_tr="",f_tr="(Todos)",H66=f_tr),OR(f_de="",f_de="(Todos)",I66=f_de),OR(f_sit="",f_sit="(Todas)",S66=f_sit)),1,0))</f>
        <v>0</v>
      </c>
      <c r="AY66" s="96">
        <f>IF(AX66=0,0,IF(OR(f_res="",f_res="(Todos)"),1,IF(COUNTIFS('ITENS_MTR'!$S$6:$S$1005,A66,'ITENS_MTR'!$C$6:$C$1005,f_res)&gt;0,1,0)))</f>
        <v>0</v>
      </c>
      <c r="AZ66" s="97" t="str">
        <f>IF(ISNUMBER(E66),DATE(YEAR(E66),MONTH(E66),1),"")</f>
        <v/>
      </c>
      <c r="BA66" s="96">
        <f>IF(Z66=0,0,IF(AND(OR(r_ini="",AND(ISNUMBER(E66),E66&gt;=r_ini)),OR(r_fim="",AND(ISNUMBER(E66),E66&lt;=r_fim)),OR(r_un="",r_un="(Todas)",G66=r_un),OR(r_de="",r_de="(Todos)",I66=r_de)),1,0))</f>
        <v>0</v>
      </c>
      <c r="BB66" s="96" t="str">
        <f>IF(BA66=1,COUNTIF($BA$6:BA66,1),"")</f>
        <v/>
      </c>
      <c r="BC66" s="96" t="str">
        <f>IF(AND(AU66&lt;&gt;"",OR(r_un="",r_un="(Todas)",G66=r_un),OR(r_de="",r_de="(Todos)",I66=r_de)),AU66,"")</f>
        <v/>
      </c>
      <c r="BD66" s="96" t="str">
        <f>IF(Z66=1,A66&amp;" | nº "&amp;IF(B66="","(sem número)",B66)&amp;" | "&amp;IF(G66="","(sem unidade)",G66),"")</f>
        <v/>
      </c>
      <c r="BE66" s="96" t="str">
        <f>IF(Z66=1,COUNTIF($Z$6:Z66,1),"")</f>
        <v/>
      </c>
      <c r="BF66" s="96" t="str">
        <f>IF(T66="","",IF(T66="RECEBIMENTO NÃO CONFIRMADO","Transp.: "&amp;H66&amp;" | Dest.: "&amp;I66,IF(OR(T66="CDF NÃO LOCALIZADO",T66="VÍNCULO INCOMPLETO",T66="CDF A CONFERIR"),"Dest.: "&amp;I66,"Gerador: "&amp;G66)))</f>
        <v/>
      </c>
    </row>
    <row r="67">
      <c r="A67" s="89" t="inlineStr">
        <is>
          <t>MTR-000062</t>
        </is>
      </c>
      <c r="B67" s="90" t="n"/>
      <c r="C67" s="91" t="n"/>
      <c r="D67" s="91" t="n"/>
      <c r="E67" s="92" t="n"/>
      <c r="F67" s="92" t="n"/>
      <c r="G67" s="91" t="n"/>
      <c r="H67" s="91" t="n"/>
      <c r="I67" s="91" t="n"/>
      <c r="J67" s="91" t="n"/>
      <c r="K67" s="91" t="n"/>
      <c r="L67" s="92" t="n"/>
      <c r="M67" s="91" t="n"/>
      <c r="N67" s="91" t="n"/>
      <c r="O67" s="91" t="n"/>
      <c r="P67" s="93" t="str">
        <f>IF(Z67=0,"",SUMIFS('ITENS_MTR'!$I$6:$I$1005,'ITENS_MTR'!$S$6:$S$1005,A67,'ITENS_MTR'!$Y$6:$Y$1005,1))</f>
        <v/>
      </c>
      <c r="Q67" s="93" t="str">
        <f>IF(Z67=0,"",SUMIFS('RECEBIMENTOS'!$H$6:$H$1005,'RECEBIMENTOS'!$B$6:$B$1005,A67,'RECEBIMENTOS'!$X$6:$X$1005,1))</f>
        <v/>
      </c>
      <c r="R67" s="93" t="str">
        <f>IF(Z67=0,"",SUMIFS('VÍNCULOS_CDF'!$H$6:$H$1005,'VÍNCULOS_CDF'!$D$6:$D$1005,A67,'VÍNCULOS_CDF'!$V$6:$V$1005,1))</f>
        <v/>
      </c>
      <c r="S67" s="94" t="str">
        <f>IF(Z67=0,"",IF(AA67=1,"Cancelado (informado)",IF(AE67=1,"Cadastro incompleto",IF(OR(AC67=1,AD67=1,AF67&gt;0,AH67&gt;0,AK67&gt;0,AL67&gt;0),"Informação a revisar",IF(AN67=0,"Aguardando recebimento",IF(N(R67)=0,"Aguardando CDF",IF(AJ67&lt;N(W67),"Vínculo de CDF parcial",IF(AO67=0,"CDF localizado, a conferir","Documentação conferida"))))))))</f>
        <v/>
      </c>
      <c r="T67" s="94" t="str">
        <f>IF(Z67=0,"",IF(S67="Cadastro incompleto","MTR INCOMPLETO",IF(S67="Informação a revisar",IF(AND(AH67&gt;0,AC67=0,AD67=0,AF67=0,AK67=0,AL67=0),"QUANTIDADE A REVISAR","IDENTIFICAÇÃO A REVISAR"),IF(S67="Aguardando recebimento","RECEBIMENTO NÃO CONFIRMADO",IF(S67="Aguardando CDF","CDF NÃO LOCALIZADO",IF(S67="Vínculo de CDF parcial","VÍNCULO INCOMPLETO",IF(S67="CDF localizado, a conferir","CDF A CONFERIR","")))))))</f>
        <v/>
      </c>
      <c r="U67" s="95" t="str">
        <f>IF(T67="","",IF(AQ67="","Não calculável",IF(AQ67&gt;TODAY(),"Data futura",TODAY()-AQ67)))</f>
        <v/>
      </c>
      <c r="V67" s="93" t="str">
        <f>IF(Z67=0,"",SUMIFS('RECEBIMENTOS'!$H$6:$H$1005,'RECEBIMENTOS'!$B$6:$B$1005,A67,'RECEBIMENTOS'!$Z$6:$Z$1005,1))</f>
        <v/>
      </c>
      <c r="W67" s="95" t="str">
        <f>IF(Z67=0,"",COUNTIFS('ITENS_MTR'!$S$6:$S$1005,A67,'ITENS_MTR'!$R$6:$R$1005,1))</f>
        <v/>
      </c>
      <c r="X67" s="94" t="str">
        <f>IF(AC67=1,"POSSÍVEL DUPLICIDADE","")</f>
        <v/>
      </c>
      <c r="Y67" s="94" t="str">
        <f>IF(Z67=0,"",IF(AW67="","Nenhuma",LEFT(AW67,LEN(AW67)-2)))</f>
        <v/>
      </c>
      <c r="Z67" s="96">
        <f>IF(COUNTA(B67:O67)&gt;0,1,0)</f>
        <v>0</v>
      </c>
      <c r="AA67" s="96">
        <f>IF(AND(Z67=1,K67&lt;&gt;""),IF(TRIM(K67)=TRIM(cfg_cancel),1,0),0)</f>
        <v>0</v>
      </c>
      <c r="AB67" s="96" t="str">
        <f>IF(AND(Z67=1,B67&lt;&gt;""),C67&amp;"|"&amp;D67&amp;"|"&amp;G67&amp;"|"&amp;TRIM(B67),"")</f>
        <v/>
      </c>
      <c r="AC67" s="96">
        <f>IF(AB67="",0,IF(SUMPRODUCT(--($AB$6:$AB$505=AB67))&gt;1,1,0))</f>
        <v>0</v>
      </c>
      <c r="AD67" s="96">
        <f>IF(Z67=0,0,IF(OR(AND(G67&lt;&gt;"",ISNA(MATCH(G67,'CAD_UNIDADES'!$C$6:$C$105,0))),AND(H67&lt;&gt;"",ISNA(MATCH(H67,cmp_transp,0))),AND(I67&lt;&gt;"",ISNA(MATCH(I67,cmp_dest,0))),AND(E67&lt;&gt;"",NOT(ISNUMBER(E67))),AND(F67&lt;&gt;"",NOT(ISNUMBER(F67))),AND(ISNUMBER(E67),ISNUMBER(F67),F67&lt;E67)),1,0))</f>
        <v>0</v>
      </c>
      <c r="AE67" s="96">
        <f>IF(Z67=0,0,IF(OR(B67="",C67="",E67="",G67="",H67="",I67="",N(W67)=0),1,0))</f>
        <v>0</v>
      </c>
      <c r="AF67" s="96">
        <f>IF(Z67=0,0,COUNTIFS('ITENS_MTR'!$S$6:$S$1005,A67,'ITENS_MTR'!$AI$6:$AI$1005,1))</f>
        <v>0</v>
      </c>
      <c r="AG67" s="96">
        <f>IF(Z67=0,0,COUNTIFS('ITENS_MTR'!$S$6:$S$1005,A67,'ITENS_MTR'!$AJ$6:$AJ$1005,1))</f>
        <v>0</v>
      </c>
      <c r="AH67" s="96">
        <f>IF(Z67=0,0,COUNTIFS('ITENS_MTR'!$S$6:$S$1005,A67,'ITENS_MTR'!$AM$6:$AM$1005,1))</f>
        <v>0</v>
      </c>
      <c r="AI67" s="96">
        <f>IF(Z67=0,0,COUNTIFS('ITENS_MTR'!$S$6:$S$1005,A67,'ITENS_MTR'!$AO$6:$AO$1005,1))</f>
        <v>0</v>
      </c>
      <c r="AJ67" s="96">
        <f>IF(Z67=0,0,COUNTIFS('ITENS_MTR'!$S$6:$S$1005,A67,'ITENS_MTR'!$AN$6:$AN$1005,1))</f>
        <v>0</v>
      </c>
      <c r="AK67" s="96">
        <f>IF(Z67=0,0,COUNTIFS('RECEBIMENTOS'!$B$6:$B$1005,A67,'RECEBIMENTOS'!$Y$6:$Y$1005,1))</f>
        <v>0</v>
      </c>
      <c r="AL67" s="96">
        <f>IF(Z67=0,0,COUNTIFS('VÍNCULOS_CDF'!$D$6:$D$1005,A67,'VÍNCULOS_CDF'!$Y$6:$Y$1005,1))</f>
        <v>0</v>
      </c>
      <c r="AM67" s="96">
        <f>IF(Z67=0,0,COUNTIFS('RECEBIMENTOS'!$B$6:$B$1005,A67,'RECEBIMENTOS'!$Q$6:$Q$1005,1))</f>
        <v>0</v>
      </c>
      <c r="AN67" s="96">
        <f>IF(AND(Z67=1,N(W67)&gt;0,AG67=N(W67)),1,0)</f>
        <v>0</v>
      </c>
      <c r="AO67" s="96">
        <f>IF(AND(Z67=1,N(W67)&gt;0,AI67=N(W67)),1,0)</f>
        <v>0</v>
      </c>
      <c r="AP67" s="97">
        <f>IF(Z67=0,0,_xlfn.MAXIFS('RECEBIMENTOS'!$E$6:$E$1005,'RECEBIMENTOS'!$B$6:$B$1005,A67))</f>
        <v>0</v>
      </c>
      <c r="AQ67" s="97" t="str">
        <f>IF(T67="","",IF(T67="RECEBIMENTO NÃO CONFIRMADO",IF(ISNUMBER(F67),F67,IF(ISNUMBER(E67),E67,"")),IF(OR(T67="CDF NÃO LOCALIZADO",T67="VÍNCULO INCOMPLETO",T67="CDF A CONFERIR"),IF(AP67&gt;0,AP67,IF(ISNUMBER(E67),E67,"")),IF(ISNUMBER(E67),E67,""))))</f>
        <v/>
      </c>
      <c r="AR67" s="96">
        <f>IF(NOT(ISNUMBER(U67)),0,IF(T67="RECEBIMENTO NÃO CONFIRMADO",IF(AND(ISNUMBER(cfg_rec),U67&gt;cfg_rec),1,0),IF(OR(T67="CDF NÃO LOCALIZADO",T67="VÍNCULO INCOMPLETO",T67="CDF A CONFERIR"),IF(AND(ISNUMBER(cfg_cdf),U67&gt;cfg_cdf),1,0),0)))</f>
        <v>0</v>
      </c>
      <c r="AS67" s="96" t="str">
        <f>IF(T67="","",IF(AR67=1,"Alta",IFERROR(INDEX(cfg_pp,MATCH(T67,cfg_pt,0))&amp;"","Média")))</f>
        <v/>
      </c>
      <c r="AT67" s="96" t="str">
        <f>IF(T67="","",IFERROR(INDEX(cfg_pv,MATCH(T67,cfg_pt,0))&amp;"",""))</f>
        <v/>
      </c>
      <c r="AU67" s="96" t="str">
        <f>IF(T67="","",IF(AS67="Alta",1,IF(AS67="Média",2,3))*1000000000+(999999-IF(ISNUMBER(U67),MIN(U67,999999),0))*1000+62)</f>
        <v/>
      </c>
      <c r="AV67" s="96">
        <f>IF(T67&lt;&gt;"",1,0)</f>
        <v>0</v>
      </c>
      <c r="AW67" s="96" t="str">
        <f>IF(Z67=0,"",IF(AA67=1,"Cancelamento informado; ","")&amp;IF(AE67=1,"Campos essenciais ou itens faltando; ","")&amp;IF(AC67=1,"Possível duplicidade do número; ","")&amp;IF(AD67=1,"Cadastro ou datas a revisar; ","")&amp;IF(AF67&gt;0,"Item de resíduo com dado a revisar; ","")&amp;IF(AH67&gt;0,"Diferença de quantidade a analisar; ","")&amp;IF(AK67&gt;0,"Recebimento com alerta; ","")&amp;IF(AL67&gt;0,"Vínculo de CDF com alerta; ","")&amp;IF(AND(AA67=0,AN67=0),"Recebimento não confirmado; ","")&amp;IF(AND(AA67=0,AN67=1,AO67=0),"CDF pendente ou a conferir; ",""))</f>
        <v/>
      </c>
      <c r="AX67" s="96">
        <f>IF(Z67=0,0,IF(AND(OR(f_ini="",AND(ISNUMBER(E67),E67&gt;=f_ini)),OR(f_fim="",AND(ISNUMBER(E67),E67&lt;=f_fim)),OR(f_un="",f_un="(Todas)",G67=f_un),OR(f_tr="",f_tr="(Todos)",H67=f_tr),OR(f_de="",f_de="(Todos)",I67=f_de),OR(f_sit="",f_sit="(Todas)",S67=f_sit)),1,0))</f>
        <v>0</v>
      </c>
      <c r="AY67" s="96">
        <f>IF(AX67=0,0,IF(OR(f_res="",f_res="(Todos)"),1,IF(COUNTIFS('ITENS_MTR'!$S$6:$S$1005,A67,'ITENS_MTR'!$C$6:$C$1005,f_res)&gt;0,1,0)))</f>
        <v>0</v>
      </c>
      <c r="AZ67" s="97" t="str">
        <f>IF(ISNUMBER(E67),DATE(YEAR(E67),MONTH(E67),1),"")</f>
        <v/>
      </c>
      <c r="BA67" s="96">
        <f>IF(Z67=0,0,IF(AND(OR(r_ini="",AND(ISNUMBER(E67),E67&gt;=r_ini)),OR(r_fim="",AND(ISNUMBER(E67),E67&lt;=r_fim)),OR(r_un="",r_un="(Todas)",G67=r_un),OR(r_de="",r_de="(Todos)",I67=r_de)),1,0))</f>
        <v>0</v>
      </c>
      <c r="BB67" s="96" t="str">
        <f>IF(BA67=1,COUNTIF($BA$6:BA67,1),"")</f>
        <v/>
      </c>
      <c r="BC67" s="96" t="str">
        <f>IF(AND(AU67&lt;&gt;"",OR(r_un="",r_un="(Todas)",G67=r_un),OR(r_de="",r_de="(Todos)",I67=r_de)),AU67,"")</f>
        <v/>
      </c>
      <c r="BD67" s="96" t="str">
        <f>IF(Z67=1,A67&amp;" | nº "&amp;IF(B67="","(sem número)",B67)&amp;" | "&amp;IF(G67="","(sem unidade)",G67),"")</f>
        <v/>
      </c>
      <c r="BE67" s="96" t="str">
        <f>IF(Z67=1,COUNTIF($Z$6:Z67,1),"")</f>
        <v/>
      </c>
      <c r="BF67" s="96" t="str">
        <f>IF(T67="","",IF(T67="RECEBIMENTO NÃO CONFIRMADO","Transp.: "&amp;H67&amp;" | Dest.: "&amp;I67,IF(OR(T67="CDF NÃO LOCALIZADO",T67="VÍNCULO INCOMPLETO",T67="CDF A CONFERIR"),"Dest.: "&amp;I67,"Gerador: "&amp;G67)))</f>
        <v/>
      </c>
    </row>
    <row r="68">
      <c r="A68" s="89" t="inlineStr">
        <is>
          <t>MTR-000063</t>
        </is>
      </c>
      <c r="B68" s="90" t="n"/>
      <c r="C68" s="91" t="n"/>
      <c r="D68" s="91" t="n"/>
      <c r="E68" s="92" t="n"/>
      <c r="F68" s="92" t="n"/>
      <c r="G68" s="91" t="n"/>
      <c r="H68" s="91" t="n"/>
      <c r="I68" s="91" t="n"/>
      <c r="J68" s="91" t="n"/>
      <c r="K68" s="91" t="n"/>
      <c r="L68" s="92" t="n"/>
      <c r="M68" s="91" t="n"/>
      <c r="N68" s="91" t="n"/>
      <c r="O68" s="91" t="n"/>
      <c r="P68" s="93" t="str">
        <f>IF(Z68=0,"",SUMIFS('ITENS_MTR'!$I$6:$I$1005,'ITENS_MTR'!$S$6:$S$1005,A68,'ITENS_MTR'!$Y$6:$Y$1005,1))</f>
        <v/>
      </c>
      <c r="Q68" s="93" t="str">
        <f>IF(Z68=0,"",SUMIFS('RECEBIMENTOS'!$H$6:$H$1005,'RECEBIMENTOS'!$B$6:$B$1005,A68,'RECEBIMENTOS'!$X$6:$X$1005,1))</f>
        <v/>
      </c>
      <c r="R68" s="93" t="str">
        <f>IF(Z68=0,"",SUMIFS('VÍNCULOS_CDF'!$H$6:$H$1005,'VÍNCULOS_CDF'!$D$6:$D$1005,A68,'VÍNCULOS_CDF'!$V$6:$V$1005,1))</f>
        <v/>
      </c>
      <c r="S68" s="94" t="str">
        <f>IF(Z68=0,"",IF(AA68=1,"Cancelado (informado)",IF(AE68=1,"Cadastro incompleto",IF(OR(AC68=1,AD68=1,AF68&gt;0,AH68&gt;0,AK68&gt;0,AL68&gt;0),"Informação a revisar",IF(AN68=0,"Aguardando recebimento",IF(N(R68)=0,"Aguardando CDF",IF(AJ68&lt;N(W68),"Vínculo de CDF parcial",IF(AO68=0,"CDF localizado, a conferir","Documentação conferida"))))))))</f>
        <v/>
      </c>
      <c r="T68" s="94" t="str">
        <f>IF(Z68=0,"",IF(S68="Cadastro incompleto","MTR INCOMPLETO",IF(S68="Informação a revisar",IF(AND(AH68&gt;0,AC68=0,AD68=0,AF68=0,AK68=0,AL68=0),"QUANTIDADE A REVISAR","IDENTIFICAÇÃO A REVISAR"),IF(S68="Aguardando recebimento","RECEBIMENTO NÃO CONFIRMADO",IF(S68="Aguardando CDF","CDF NÃO LOCALIZADO",IF(S68="Vínculo de CDF parcial","VÍNCULO INCOMPLETO",IF(S68="CDF localizado, a conferir","CDF A CONFERIR","")))))))</f>
        <v/>
      </c>
      <c r="U68" s="95" t="str">
        <f>IF(T68="","",IF(AQ68="","Não calculável",IF(AQ68&gt;TODAY(),"Data futura",TODAY()-AQ68)))</f>
        <v/>
      </c>
      <c r="V68" s="93" t="str">
        <f>IF(Z68=0,"",SUMIFS('RECEBIMENTOS'!$H$6:$H$1005,'RECEBIMENTOS'!$B$6:$B$1005,A68,'RECEBIMENTOS'!$Z$6:$Z$1005,1))</f>
        <v/>
      </c>
      <c r="W68" s="95" t="str">
        <f>IF(Z68=0,"",COUNTIFS('ITENS_MTR'!$S$6:$S$1005,A68,'ITENS_MTR'!$R$6:$R$1005,1))</f>
        <v/>
      </c>
      <c r="X68" s="94" t="str">
        <f>IF(AC68=1,"POSSÍVEL DUPLICIDADE","")</f>
        <v/>
      </c>
      <c r="Y68" s="94" t="str">
        <f>IF(Z68=0,"",IF(AW68="","Nenhuma",LEFT(AW68,LEN(AW68)-2)))</f>
        <v/>
      </c>
      <c r="Z68" s="96">
        <f>IF(COUNTA(B68:O68)&gt;0,1,0)</f>
        <v>0</v>
      </c>
      <c r="AA68" s="96">
        <f>IF(AND(Z68=1,K68&lt;&gt;""),IF(TRIM(K68)=TRIM(cfg_cancel),1,0),0)</f>
        <v>0</v>
      </c>
      <c r="AB68" s="96" t="str">
        <f>IF(AND(Z68=1,B68&lt;&gt;""),C68&amp;"|"&amp;D68&amp;"|"&amp;G68&amp;"|"&amp;TRIM(B68),"")</f>
        <v/>
      </c>
      <c r="AC68" s="96">
        <f>IF(AB68="",0,IF(SUMPRODUCT(--($AB$6:$AB$505=AB68))&gt;1,1,0))</f>
        <v>0</v>
      </c>
      <c r="AD68" s="96">
        <f>IF(Z68=0,0,IF(OR(AND(G68&lt;&gt;"",ISNA(MATCH(G68,'CAD_UNIDADES'!$C$6:$C$105,0))),AND(H68&lt;&gt;"",ISNA(MATCH(H68,cmp_transp,0))),AND(I68&lt;&gt;"",ISNA(MATCH(I68,cmp_dest,0))),AND(E68&lt;&gt;"",NOT(ISNUMBER(E68))),AND(F68&lt;&gt;"",NOT(ISNUMBER(F68))),AND(ISNUMBER(E68),ISNUMBER(F68),F68&lt;E68)),1,0))</f>
        <v>0</v>
      </c>
      <c r="AE68" s="96">
        <f>IF(Z68=0,0,IF(OR(B68="",C68="",E68="",G68="",H68="",I68="",N(W68)=0),1,0))</f>
        <v>0</v>
      </c>
      <c r="AF68" s="96">
        <f>IF(Z68=0,0,COUNTIFS('ITENS_MTR'!$S$6:$S$1005,A68,'ITENS_MTR'!$AI$6:$AI$1005,1))</f>
        <v>0</v>
      </c>
      <c r="AG68" s="96">
        <f>IF(Z68=0,0,COUNTIFS('ITENS_MTR'!$S$6:$S$1005,A68,'ITENS_MTR'!$AJ$6:$AJ$1005,1))</f>
        <v>0</v>
      </c>
      <c r="AH68" s="96">
        <f>IF(Z68=0,0,COUNTIFS('ITENS_MTR'!$S$6:$S$1005,A68,'ITENS_MTR'!$AM$6:$AM$1005,1))</f>
        <v>0</v>
      </c>
      <c r="AI68" s="96">
        <f>IF(Z68=0,0,COUNTIFS('ITENS_MTR'!$S$6:$S$1005,A68,'ITENS_MTR'!$AO$6:$AO$1005,1))</f>
        <v>0</v>
      </c>
      <c r="AJ68" s="96">
        <f>IF(Z68=0,0,COUNTIFS('ITENS_MTR'!$S$6:$S$1005,A68,'ITENS_MTR'!$AN$6:$AN$1005,1))</f>
        <v>0</v>
      </c>
      <c r="AK68" s="96">
        <f>IF(Z68=0,0,COUNTIFS('RECEBIMENTOS'!$B$6:$B$1005,A68,'RECEBIMENTOS'!$Y$6:$Y$1005,1))</f>
        <v>0</v>
      </c>
      <c r="AL68" s="96">
        <f>IF(Z68=0,0,COUNTIFS('VÍNCULOS_CDF'!$D$6:$D$1005,A68,'VÍNCULOS_CDF'!$Y$6:$Y$1005,1))</f>
        <v>0</v>
      </c>
      <c r="AM68" s="96">
        <f>IF(Z68=0,0,COUNTIFS('RECEBIMENTOS'!$B$6:$B$1005,A68,'RECEBIMENTOS'!$Q$6:$Q$1005,1))</f>
        <v>0</v>
      </c>
      <c r="AN68" s="96">
        <f>IF(AND(Z68=1,N(W68)&gt;0,AG68=N(W68)),1,0)</f>
        <v>0</v>
      </c>
      <c r="AO68" s="96">
        <f>IF(AND(Z68=1,N(W68)&gt;0,AI68=N(W68)),1,0)</f>
        <v>0</v>
      </c>
      <c r="AP68" s="97">
        <f>IF(Z68=0,0,_xlfn.MAXIFS('RECEBIMENTOS'!$E$6:$E$1005,'RECEBIMENTOS'!$B$6:$B$1005,A68))</f>
        <v>0</v>
      </c>
      <c r="AQ68" s="97" t="str">
        <f>IF(T68="","",IF(T68="RECEBIMENTO NÃO CONFIRMADO",IF(ISNUMBER(F68),F68,IF(ISNUMBER(E68),E68,"")),IF(OR(T68="CDF NÃO LOCALIZADO",T68="VÍNCULO INCOMPLETO",T68="CDF A CONFERIR"),IF(AP68&gt;0,AP68,IF(ISNUMBER(E68),E68,"")),IF(ISNUMBER(E68),E68,""))))</f>
        <v/>
      </c>
      <c r="AR68" s="96">
        <f>IF(NOT(ISNUMBER(U68)),0,IF(T68="RECEBIMENTO NÃO CONFIRMADO",IF(AND(ISNUMBER(cfg_rec),U68&gt;cfg_rec),1,0),IF(OR(T68="CDF NÃO LOCALIZADO",T68="VÍNCULO INCOMPLETO",T68="CDF A CONFERIR"),IF(AND(ISNUMBER(cfg_cdf),U68&gt;cfg_cdf),1,0),0)))</f>
        <v>0</v>
      </c>
      <c r="AS68" s="96" t="str">
        <f>IF(T68="","",IF(AR68=1,"Alta",IFERROR(INDEX(cfg_pp,MATCH(T68,cfg_pt,0))&amp;"","Média")))</f>
        <v/>
      </c>
      <c r="AT68" s="96" t="str">
        <f>IF(T68="","",IFERROR(INDEX(cfg_pv,MATCH(T68,cfg_pt,0))&amp;"",""))</f>
        <v/>
      </c>
      <c r="AU68" s="96" t="str">
        <f>IF(T68="","",IF(AS68="Alta",1,IF(AS68="Média",2,3))*1000000000+(999999-IF(ISNUMBER(U68),MIN(U68,999999),0))*1000+63)</f>
        <v/>
      </c>
      <c r="AV68" s="96">
        <f>IF(T68&lt;&gt;"",1,0)</f>
        <v>0</v>
      </c>
      <c r="AW68" s="96" t="str">
        <f>IF(Z68=0,"",IF(AA68=1,"Cancelamento informado; ","")&amp;IF(AE68=1,"Campos essenciais ou itens faltando; ","")&amp;IF(AC68=1,"Possível duplicidade do número; ","")&amp;IF(AD68=1,"Cadastro ou datas a revisar; ","")&amp;IF(AF68&gt;0,"Item de resíduo com dado a revisar; ","")&amp;IF(AH68&gt;0,"Diferença de quantidade a analisar; ","")&amp;IF(AK68&gt;0,"Recebimento com alerta; ","")&amp;IF(AL68&gt;0,"Vínculo de CDF com alerta; ","")&amp;IF(AND(AA68=0,AN68=0),"Recebimento não confirmado; ","")&amp;IF(AND(AA68=0,AN68=1,AO68=0),"CDF pendente ou a conferir; ",""))</f>
        <v/>
      </c>
      <c r="AX68" s="96">
        <f>IF(Z68=0,0,IF(AND(OR(f_ini="",AND(ISNUMBER(E68),E68&gt;=f_ini)),OR(f_fim="",AND(ISNUMBER(E68),E68&lt;=f_fim)),OR(f_un="",f_un="(Todas)",G68=f_un),OR(f_tr="",f_tr="(Todos)",H68=f_tr),OR(f_de="",f_de="(Todos)",I68=f_de),OR(f_sit="",f_sit="(Todas)",S68=f_sit)),1,0))</f>
        <v>0</v>
      </c>
      <c r="AY68" s="96">
        <f>IF(AX68=0,0,IF(OR(f_res="",f_res="(Todos)"),1,IF(COUNTIFS('ITENS_MTR'!$S$6:$S$1005,A68,'ITENS_MTR'!$C$6:$C$1005,f_res)&gt;0,1,0)))</f>
        <v>0</v>
      </c>
      <c r="AZ68" s="97" t="str">
        <f>IF(ISNUMBER(E68),DATE(YEAR(E68),MONTH(E68),1),"")</f>
        <v/>
      </c>
      <c r="BA68" s="96">
        <f>IF(Z68=0,0,IF(AND(OR(r_ini="",AND(ISNUMBER(E68),E68&gt;=r_ini)),OR(r_fim="",AND(ISNUMBER(E68),E68&lt;=r_fim)),OR(r_un="",r_un="(Todas)",G68=r_un),OR(r_de="",r_de="(Todos)",I68=r_de)),1,0))</f>
        <v>0</v>
      </c>
      <c r="BB68" s="96" t="str">
        <f>IF(BA68=1,COUNTIF($BA$6:BA68,1),"")</f>
        <v/>
      </c>
      <c r="BC68" s="96" t="str">
        <f>IF(AND(AU68&lt;&gt;"",OR(r_un="",r_un="(Todas)",G68=r_un),OR(r_de="",r_de="(Todos)",I68=r_de)),AU68,"")</f>
        <v/>
      </c>
      <c r="BD68" s="96" t="str">
        <f>IF(Z68=1,A68&amp;" | nº "&amp;IF(B68="","(sem número)",B68)&amp;" | "&amp;IF(G68="","(sem unidade)",G68),"")</f>
        <v/>
      </c>
      <c r="BE68" s="96" t="str">
        <f>IF(Z68=1,COUNTIF($Z$6:Z68,1),"")</f>
        <v/>
      </c>
      <c r="BF68" s="96" t="str">
        <f>IF(T68="","",IF(T68="RECEBIMENTO NÃO CONFIRMADO","Transp.: "&amp;H68&amp;" | Dest.: "&amp;I68,IF(OR(T68="CDF NÃO LOCALIZADO",T68="VÍNCULO INCOMPLETO",T68="CDF A CONFERIR"),"Dest.: "&amp;I68,"Gerador: "&amp;G68)))</f>
        <v/>
      </c>
    </row>
    <row r="69">
      <c r="A69" s="89" t="inlineStr">
        <is>
          <t>MTR-000064</t>
        </is>
      </c>
      <c r="B69" s="90" t="n"/>
      <c r="C69" s="91" t="n"/>
      <c r="D69" s="91" t="n"/>
      <c r="E69" s="92" t="n"/>
      <c r="F69" s="92" t="n"/>
      <c r="G69" s="91" t="n"/>
      <c r="H69" s="91" t="n"/>
      <c r="I69" s="91" t="n"/>
      <c r="J69" s="91" t="n"/>
      <c r="K69" s="91" t="n"/>
      <c r="L69" s="92" t="n"/>
      <c r="M69" s="91" t="n"/>
      <c r="N69" s="91" t="n"/>
      <c r="O69" s="91" t="n"/>
      <c r="P69" s="93" t="str">
        <f>IF(Z69=0,"",SUMIFS('ITENS_MTR'!$I$6:$I$1005,'ITENS_MTR'!$S$6:$S$1005,A69,'ITENS_MTR'!$Y$6:$Y$1005,1))</f>
        <v/>
      </c>
      <c r="Q69" s="93" t="str">
        <f>IF(Z69=0,"",SUMIFS('RECEBIMENTOS'!$H$6:$H$1005,'RECEBIMENTOS'!$B$6:$B$1005,A69,'RECEBIMENTOS'!$X$6:$X$1005,1))</f>
        <v/>
      </c>
      <c r="R69" s="93" t="str">
        <f>IF(Z69=0,"",SUMIFS('VÍNCULOS_CDF'!$H$6:$H$1005,'VÍNCULOS_CDF'!$D$6:$D$1005,A69,'VÍNCULOS_CDF'!$V$6:$V$1005,1))</f>
        <v/>
      </c>
      <c r="S69" s="94" t="str">
        <f>IF(Z69=0,"",IF(AA69=1,"Cancelado (informado)",IF(AE69=1,"Cadastro incompleto",IF(OR(AC69=1,AD69=1,AF69&gt;0,AH69&gt;0,AK69&gt;0,AL69&gt;0),"Informação a revisar",IF(AN69=0,"Aguardando recebimento",IF(N(R69)=0,"Aguardando CDF",IF(AJ69&lt;N(W69),"Vínculo de CDF parcial",IF(AO69=0,"CDF localizado, a conferir","Documentação conferida"))))))))</f>
        <v/>
      </c>
      <c r="T69" s="94" t="str">
        <f>IF(Z69=0,"",IF(S69="Cadastro incompleto","MTR INCOMPLETO",IF(S69="Informação a revisar",IF(AND(AH69&gt;0,AC69=0,AD69=0,AF69=0,AK69=0,AL69=0),"QUANTIDADE A REVISAR","IDENTIFICAÇÃO A REVISAR"),IF(S69="Aguardando recebimento","RECEBIMENTO NÃO CONFIRMADO",IF(S69="Aguardando CDF","CDF NÃO LOCALIZADO",IF(S69="Vínculo de CDF parcial","VÍNCULO INCOMPLETO",IF(S69="CDF localizado, a conferir","CDF A CONFERIR","")))))))</f>
        <v/>
      </c>
      <c r="U69" s="95" t="str">
        <f>IF(T69="","",IF(AQ69="","Não calculável",IF(AQ69&gt;TODAY(),"Data futura",TODAY()-AQ69)))</f>
        <v/>
      </c>
      <c r="V69" s="93" t="str">
        <f>IF(Z69=0,"",SUMIFS('RECEBIMENTOS'!$H$6:$H$1005,'RECEBIMENTOS'!$B$6:$B$1005,A69,'RECEBIMENTOS'!$Z$6:$Z$1005,1))</f>
        <v/>
      </c>
      <c r="W69" s="95" t="str">
        <f>IF(Z69=0,"",COUNTIFS('ITENS_MTR'!$S$6:$S$1005,A69,'ITENS_MTR'!$R$6:$R$1005,1))</f>
        <v/>
      </c>
      <c r="X69" s="94" t="str">
        <f>IF(AC69=1,"POSSÍVEL DUPLICIDADE","")</f>
        <v/>
      </c>
      <c r="Y69" s="94" t="str">
        <f>IF(Z69=0,"",IF(AW69="","Nenhuma",LEFT(AW69,LEN(AW69)-2)))</f>
        <v/>
      </c>
      <c r="Z69" s="96">
        <f>IF(COUNTA(B69:O69)&gt;0,1,0)</f>
        <v>0</v>
      </c>
      <c r="AA69" s="96">
        <f>IF(AND(Z69=1,K69&lt;&gt;""),IF(TRIM(K69)=TRIM(cfg_cancel),1,0),0)</f>
        <v>0</v>
      </c>
      <c r="AB69" s="96" t="str">
        <f>IF(AND(Z69=1,B69&lt;&gt;""),C69&amp;"|"&amp;D69&amp;"|"&amp;G69&amp;"|"&amp;TRIM(B69),"")</f>
        <v/>
      </c>
      <c r="AC69" s="96">
        <f>IF(AB69="",0,IF(SUMPRODUCT(--($AB$6:$AB$505=AB69))&gt;1,1,0))</f>
        <v>0</v>
      </c>
      <c r="AD69" s="96">
        <f>IF(Z69=0,0,IF(OR(AND(G69&lt;&gt;"",ISNA(MATCH(G69,'CAD_UNIDADES'!$C$6:$C$105,0))),AND(H69&lt;&gt;"",ISNA(MATCH(H69,cmp_transp,0))),AND(I69&lt;&gt;"",ISNA(MATCH(I69,cmp_dest,0))),AND(E69&lt;&gt;"",NOT(ISNUMBER(E69))),AND(F69&lt;&gt;"",NOT(ISNUMBER(F69))),AND(ISNUMBER(E69),ISNUMBER(F69),F69&lt;E69)),1,0))</f>
        <v>0</v>
      </c>
      <c r="AE69" s="96">
        <f>IF(Z69=0,0,IF(OR(B69="",C69="",E69="",G69="",H69="",I69="",N(W69)=0),1,0))</f>
        <v>0</v>
      </c>
      <c r="AF69" s="96">
        <f>IF(Z69=0,0,COUNTIFS('ITENS_MTR'!$S$6:$S$1005,A69,'ITENS_MTR'!$AI$6:$AI$1005,1))</f>
        <v>0</v>
      </c>
      <c r="AG69" s="96">
        <f>IF(Z69=0,0,COUNTIFS('ITENS_MTR'!$S$6:$S$1005,A69,'ITENS_MTR'!$AJ$6:$AJ$1005,1))</f>
        <v>0</v>
      </c>
      <c r="AH69" s="96">
        <f>IF(Z69=0,0,COUNTIFS('ITENS_MTR'!$S$6:$S$1005,A69,'ITENS_MTR'!$AM$6:$AM$1005,1))</f>
        <v>0</v>
      </c>
      <c r="AI69" s="96">
        <f>IF(Z69=0,0,COUNTIFS('ITENS_MTR'!$S$6:$S$1005,A69,'ITENS_MTR'!$AO$6:$AO$1005,1))</f>
        <v>0</v>
      </c>
      <c r="AJ69" s="96">
        <f>IF(Z69=0,0,COUNTIFS('ITENS_MTR'!$S$6:$S$1005,A69,'ITENS_MTR'!$AN$6:$AN$1005,1))</f>
        <v>0</v>
      </c>
      <c r="AK69" s="96">
        <f>IF(Z69=0,0,COUNTIFS('RECEBIMENTOS'!$B$6:$B$1005,A69,'RECEBIMENTOS'!$Y$6:$Y$1005,1))</f>
        <v>0</v>
      </c>
      <c r="AL69" s="96">
        <f>IF(Z69=0,0,COUNTIFS('VÍNCULOS_CDF'!$D$6:$D$1005,A69,'VÍNCULOS_CDF'!$Y$6:$Y$1005,1))</f>
        <v>0</v>
      </c>
      <c r="AM69" s="96">
        <f>IF(Z69=0,0,COUNTIFS('RECEBIMENTOS'!$B$6:$B$1005,A69,'RECEBIMENTOS'!$Q$6:$Q$1005,1))</f>
        <v>0</v>
      </c>
      <c r="AN69" s="96">
        <f>IF(AND(Z69=1,N(W69)&gt;0,AG69=N(W69)),1,0)</f>
        <v>0</v>
      </c>
      <c r="AO69" s="96">
        <f>IF(AND(Z69=1,N(W69)&gt;0,AI69=N(W69)),1,0)</f>
        <v>0</v>
      </c>
      <c r="AP69" s="97">
        <f>IF(Z69=0,0,_xlfn.MAXIFS('RECEBIMENTOS'!$E$6:$E$1005,'RECEBIMENTOS'!$B$6:$B$1005,A69))</f>
        <v>0</v>
      </c>
      <c r="AQ69" s="97" t="str">
        <f>IF(T69="","",IF(T69="RECEBIMENTO NÃO CONFIRMADO",IF(ISNUMBER(F69),F69,IF(ISNUMBER(E69),E69,"")),IF(OR(T69="CDF NÃO LOCALIZADO",T69="VÍNCULO INCOMPLETO",T69="CDF A CONFERIR"),IF(AP69&gt;0,AP69,IF(ISNUMBER(E69),E69,"")),IF(ISNUMBER(E69),E69,""))))</f>
        <v/>
      </c>
      <c r="AR69" s="96">
        <f>IF(NOT(ISNUMBER(U69)),0,IF(T69="RECEBIMENTO NÃO CONFIRMADO",IF(AND(ISNUMBER(cfg_rec),U69&gt;cfg_rec),1,0),IF(OR(T69="CDF NÃO LOCALIZADO",T69="VÍNCULO INCOMPLETO",T69="CDF A CONFERIR"),IF(AND(ISNUMBER(cfg_cdf),U69&gt;cfg_cdf),1,0),0)))</f>
        <v>0</v>
      </c>
      <c r="AS69" s="96" t="str">
        <f>IF(T69="","",IF(AR69=1,"Alta",IFERROR(INDEX(cfg_pp,MATCH(T69,cfg_pt,0))&amp;"","Média")))</f>
        <v/>
      </c>
      <c r="AT69" s="96" t="str">
        <f>IF(T69="","",IFERROR(INDEX(cfg_pv,MATCH(T69,cfg_pt,0))&amp;"",""))</f>
        <v/>
      </c>
      <c r="AU69" s="96" t="str">
        <f>IF(T69="","",IF(AS69="Alta",1,IF(AS69="Média",2,3))*1000000000+(999999-IF(ISNUMBER(U69),MIN(U69,999999),0))*1000+64)</f>
        <v/>
      </c>
      <c r="AV69" s="96">
        <f>IF(T69&lt;&gt;"",1,0)</f>
        <v>0</v>
      </c>
      <c r="AW69" s="96" t="str">
        <f>IF(Z69=0,"",IF(AA69=1,"Cancelamento informado; ","")&amp;IF(AE69=1,"Campos essenciais ou itens faltando; ","")&amp;IF(AC69=1,"Possível duplicidade do número; ","")&amp;IF(AD69=1,"Cadastro ou datas a revisar; ","")&amp;IF(AF69&gt;0,"Item de resíduo com dado a revisar; ","")&amp;IF(AH69&gt;0,"Diferença de quantidade a analisar; ","")&amp;IF(AK69&gt;0,"Recebimento com alerta; ","")&amp;IF(AL69&gt;0,"Vínculo de CDF com alerta; ","")&amp;IF(AND(AA69=0,AN69=0),"Recebimento não confirmado; ","")&amp;IF(AND(AA69=0,AN69=1,AO69=0),"CDF pendente ou a conferir; ",""))</f>
        <v/>
      </c>
      <c r="AX69" s="96">
        <f>IF(Z69=0,0,IF(AND(OR(f_ini="",AND(ISNUMBER(E69),E69&gt;=f_ini)),OR(f_fim="",AND(ISNUMBER(E69),E69&lt;=f_fim)),OR(f_un="",f_un="(Todas)",G69=f_un),OR(f_tr="",f_tr="(Todos)",H69=f_tr),OR(f_de="",f_de="(Todos)",I69=f_de),OR(f_sit="",f_sit="(Todas)",S69=f_sit)),1,0))</f>
        <v>0</v>
      </c>
      <c r="AY69" s="96">
        <f>IF(AX69=0,0,IF(OR(f_res="",f_res="(Todos)"),1,IF(COUNTIFS('ITENS_MTR'!$S$6:$S$1005,A69,'ITENS_MTR'!$C$6:$C$1005,f_res)&gt;0,1,0)))</f>
        <v>0</v>
      </c>
      <c r="AZ69" s="97" t="str">
        <f>IF(ISNUMBER(E69),DATE(YEAR(E69),MONTH(E69),1),"")</f>
        <v/>
      </c>
      <c r="BA69" s="96">
        <f>IF(Z69=0,0,IF(AND(OR(r_ini="",AND(ISNUMBER(E69),E69&gt;=r_ini)),OR(r_fim="",AND(ISNUMBER(E69),E69&lt;=r_fim)),OR(r_un="",r_un="(Todas)",G69=r_un),OR(r_de="",r_de="(Todos)",I69=r_de)),1,0))</f>
        <v>0</v>
      </c>
      <c r="BB69" s="96" t="str">
        <f>IF(BA69=1,COUNTIF($BA$6:BA69,1),"")</f>
        <v/>
      </c>
      <c r="BC69" s="96" t="str">
        <f>IF(AND(AU69&lt;&gt;"",OR(r_un="",r_un="(Todas)",G69=r_un),OR(r_de="",r_de="(Todos)",I69=r_de)),AU69,"")</f>
        <v/>
      </c>
      <c r="BD69" s="96" t="str">
        <f>IF(Z69=1,A69&amp;" | nº "&amp;IF(B69="","(sem número)",B69)&amp;" | "&amp;IF(G69="","(sem unidade)",G69),"")</f>
        <v/>
      </c>
      <c r="BE69" s="96" t="str">
        <f>IF(Z69=1,COUNTIF($Z$6:Z69,1),"")</f>
        <v/>
      </c>
      <c r="BF69" s="96" t="str">
        <f>IF(T69="","",IF(T69="RECEBIMENTO NÃO CONFIRMADO","Transp.: "&amp;H69&amp;" | Dest.: "&amp;I69,IF(OR(T69="CDF NÃO LOCALIZADO",T69="VÍNCULO INCOMPLETO",T69="CDF A CONFERIR"),"Dest.: "&amp;I69,"Gerador: "&amp;G69)))</f>
        <v/>
      </c>
    </row>
    <row r="70">
      <c r="A70" s="89" t="inlineStr">
        <is>
          <t>MTR-000065</t>
        </is>
      </c>
      <c r="B70" s="90" t="n"/>
      <c r="C70" s="91" t="n"/>
      <c r="D70" s="91" t="n"/>
      <c r="E70" s="92" t="n"/>
      <c r="F70" s="92" t="n"/>
      <c r="G70" s="91" t="n"/>
      <c r="H70" s="91" t="n"/>
      <c r="I70" s="91" t="n"/>
      <c r="J70" s="91" t="n"/>
      <c r="K70" s="91" t="n"/>
      <c r="L70" s="92" t="n"/>
      <c r="M70" s="91" t="n"/>
      <c r="N70" s="91" t="n"/>
      <c r="O70" s="91" t="n"/>
      <c r="P70" s="93" t="str">
        <f>IF(Z70=0,"",SUMIFS('ITENS_MTR'!$I$6:$I$1005,'ITENS_MTR'!$S$6:$S$1005,A70,'ITENS_MTR'!$Y$6:$Y$1005,1))</f>
        <v/>
      </c>
      <c r="Q70" s="93" t="str">
        <f>IF(Z70=0,"",SUMIFS('RECEBIMENTOS'!$H$6:$H$1005,'RECEBIMENTOS'!$B$6:$B$1005,A70,'RECEBIMENTOS'!$X$6:$X$1005,1))</f>
        <v/>
      </c>
      <c r="R70" s="93" t="str">
        <f>IF(Z70=0,"",SUMIFS('VÍNCULOS_CDF'!$H$6:$H$1005,'VÍNCULOS_CDF'!$D$6:$D$1005,A70,'VÍNCULOS_CDF'!$V$6:$V$1005,1))</f>
        <v/>
      </c>
      <c r="S70" s="94" t="str">
        <f>IF(Z70=0,"",IF(AA70=1,"Cancelado (informado)",IF(AE70=1,"Cadastro incompleto",IF(OR(AC70=1,AD70=1,AF70&gt;0,AH70&gt;0,AK70&gt;0,AL70&gt;0),"Informação a revisar",IF(AN70=0,"Aguardando recebimento",IF(N(R70)=0,"Aguardando CDF",IF(AJ70&lt;N(W70),"Vínculo de CDF parcial",IF(AO70=0,"CDF localizado, a conferir","Documentação conferida"))))))))</f>
        <v/>
      </c>
      <c r="T70" s="94" t="str">
        <f>IF(Z70=0,"",IF(S70="Cadastro incompleto","MTR INCOMPLETO",IF(S70="Informação a revisar",IF(AND(AH70&gt;0,AC70=0,AD70=0,AF70=0,AK70=0,AL70=0),"QUANTIDADE A REVISAR","IDENTIFICAÇÃO A REVISAR"),IF(S70="Aguardando recebimento","RECEBIMENTO NÃO CONFIRMADO",IF(S70="Aguardando CDF","CDF NÃO LOCALIZADO",IF(S70="Vínculo de CDF parcial","VÍNCULO INCOMPLETO",IF(S70="CDF localizado, a conferir","CDF A CONFERIR","")))))))</f>
        <v/>
      </c>
      <c r="U70" s="95" t="str">
        <f>IF(T70="","",IF(AQ70="","Não calculável",IF(AQ70&gt;TODAY(),"Data futura",TODAY()-AQ70)))</f>
        <v/>
      </c>
      <c r="V70" s="93" t="str">
        <f>IF(Z70=0,"",SUMIFS('RECEBIMENTOS'!$H$6:$H$1005,'RECEBIMENTOS'!$B$6:$B$1005,A70,'RECEBIMENTOS'!$Z$6:$Z$1005,1))</f>
        <v/>
      </c>
      <c r="W70" s="95" t="str">
        <f>IF(Z70=0,"",COUNTIFS('ITENS_MTR'!$S$6:$S$1005,A70,'ITENS_MTR'!$R$6:$R$1005,1))</f>
        <v/>
      </c>
      <c r="X70" s="94" t="str">
        <f>IF(AC70=1,"POSSÍVEL DUPLICIDADE","")</f>
        <v/>
      </c>
      <c r="Y70" s="94" t="str">
        <f>IF(Z70=0,"",IF(AW70="","Nenhuma",LEFT(AW70,LEN(AW70)-2)))</f>
        <v/>
      </c>
      <c r="Z70" s="96">
        <f>IF(COUNTA(B70:O70)&gt;0,1,0)</f>
        <v>0</v>
      </c>
      <c r="AA70" s="96">
        <f>IF(AND(Z70=1,K70&lt;&gt;""),IF(TRIM(K70)=TRIM(cfg_cancel),1,0),0)</f>
        <v>0</v>
      </c>
      <c r="AB70" s="96" t="str">
        <f>IF(AND(Z70=1,B70&lt;&gt;""),C70&amp;"|"&amp;D70&amp;"|"&amp;G70&amp;"|"&amp;TRIM(B70),"")</f>
        <v/>
      </c>
      <c r="AC70" s="96">
        <f>IF(AB70="",0,IF(SUMPRODUCT(--($AB$6:$AB$505=AB70))&gt;1,1,0))</f>
        <v>0</v>
      </c>
      <c r="AD70" s="96">
        <f>IF(Z70=0,0,IF(OR(AND(G70&lt;&gt;"",ISNA(MATCH(G70,'CAD_UNIDADES'!$C$6:$C$105,0))),AND(H70&lt;&gt;"",ISNA(MATCH(H70,cmp_transp,0))),AND(I70&lt;&gt;"",ISNA(MATCH(I70,cmp_dest,0))),AND(E70&lt;&gt;"",NOT(ISNUMBER(E70))),AND(F70&lt;&gt;"",NOT(ISNUMBER(F70))),AND(ISNUMBER(E70),ISNUMBER(F70),F70&lt;E70)),1,0))</f>
        <v>0</v>
      </c>
      <c r="AE70" s="96">
        <f>IF(Z70=0,0,IF(OR(B70="",C70="",E70="",G70="",H70="",I70="",N(W70)=0),1,0))</f>
        <v>0</v>
      </c>
      <c r="AF70" s="96">
        <f>IF(Z70=0,0,COUNTIFS('ITENS_MTR'!$S$6:$S$1005,A70,'ITENS_MTR'!$AI$6:$AI$1005,1))</f>
        <v>0</v>
      </c>
      <c r="AG70" s="96">
        <f>IF(Z70=0,0,COUNTIFS('ITENS_MTR'!$S$6:$S$1005,A70,'ITENS_MTR'!$AJ$6:$AJ$1005,1))</f>
        <v>0</v>
      </c>
      <c r="AH70" s="96">
        <f>IF(Z70=0,0,COUNTIFS('ITENS_MTR'!$S$6:$S$1005,A70,'ITENS_MTR'!$AM$6:$AM$1005,1))</f>
        <v>0</v>
      </c>
      <c r="AI70" s="96">
        <f>IF(Z70=0,0,COUNTIFS('ITENS_MTR'!$S$6:$S$1005,A70,'ITENS_MTR'!$AO$6:$AO$1005,1))</f>
        <v>0</v>
      </c>
      <c r="AJ70" s="96">
        <f>IF(Z70=0,0,COUNTIFS('ITENS_MTR'!$S$6:$S$1005,A70,'ITENS_MTR'!$AN$6:$AN$1005,1))</f>
        <v>0</v>
      </c>
      <c r="AK70" s="96">
        <f>IF(Z70=0,0,COUNTIFS('RECEBIMENTOS'!$B$6:$B$1005,A70,'RECEBIMENTOS'!$Y$6:$Y$1005,1))</f>
        <v>0</v>
      </c>
      <c r="AL70" s="96">
        <f>IF(Z70=0,0,COUNTIFS('VÍNCULOS_CDF'!$D$6:$D$1005,A70,'VÍNCULOS_CDF'!$Y$6:$Y$1005,1))</f>
        <v>0</v>
      </c>
      <c r="AM70" s="96">
        <f>IF(Z70=0,0,COUNTIFS('RECEBIMENTOS'!$B$6:$B$1005,A70,'RECEBIMENTOS'!$Q$6:$Q$1005,1))</f>
        <v>0</v>
      </c>
      <c r="AN70" s="96">
        <f>IF(AND(Z70=1,N(W70)&gt;0,AG70=N(W70)),1,0)</f>
        <v>0</v>
      </c>
      <c r="AO70" s="96">
        <f>IF(AND(Z70=1,N(W70)&gt;0,AI70=N(W70)),1,0)</f>
        <v>0</v>
      </c>
      <c r="AP70" s="97">
        <f>IF(Z70=0,0,_xlfn.MAXIFS('RECEBIMENTOS'!$E$6:$E$1005,'RECEBIMENTOS'!$B$6:$B$1005,A70))</f>
        <v>0</v>
      </c>
      <c r="AQ70" s="97" t="str">
        <f>IF(T70="","",IF(T70="RECEBIMENTO NÃO CONFIRMADO",IF(ISNUMBER(F70),F70,IF(ISNUMBER(E70),E70,"")),IF(OR(T70="CDF NÃO LOCALIZADO",T70="VÍNCULO INCOMPLETO",T70="CDF A CONFERIR"),IF(AP70&gt;0,AP70,IF(ISNUMBER(E70),E70,"")),IF(ISNUMBER(E70),E70,""))))</f>
        <v/>
      </c>
      <c r="AR70" s="96">
        <f>IF(NOT(ISNUMBER(U70)),0,IF(T70="RECEBIMENTO NÃO CONFIRMADO",IF(AND(ISNUMBER(cfg_rec),U70&gt;cfg_rec),1,0),IF(OR(T70="CDF NÃO LOCALIZADO",T70="VÍNCULO INCOMPLETO",T70="CDF A CONFERIR"),IF(AND(ISNUMBER(cfg_cdf),U70&gt;cfg_cdf),1,0),0)))</f>
        <v>0</v>
      </c>
      <c r="AS70" s="96" t="str">
        <f>IF(T70="","",IF(AR70=1,"Alta",IFERROR(INDEX(cfg_pp,MATCH(T70,cfg_pt,0))&amp;"","Média")))</f>
        <v/>
      </c>
      <c r="AT70" s="96" t="str">
        <f>IF(T70="","",IFERROR(INDEX(cfg_pv,MATCH(T70,cfg_pt,0))&amp;"",""))</f>
        <v/>
      </c>
      <c r="AU70" s="96" t="str">
        <f>IF(T70="","",IF(AS70="Alta",1,IF(AS70="Média",2,3))*1000000000+(999999-IF(ISNUMBER(U70),MIN(U70,999999),0))*1000+65)</f>
        <v/>
      </c>
      <c r="AV70" s="96">
        <f>IF(T70&lt;&gt;"",1,0)</f>
        <v>0</v>
      </c>
      <c r="AW70" s="96" t="str">
        <f>IF(Z70=0,"",IF(AA70=1,"Cancelamento informado; ","")&amp;IF(AE70=1,"Campos essenciais ou itens faltando; ","")&amp;IF(AC70=1,"Possível duplicidade do número; ","")&amp;IF(AD70=1,"Cadastro ou datas a revisar; ","")&amp;IF(AF70&gt;0,"Item de resíduo com dado a revisar; ","")&amp;IF(AH70&gt;0,"Diferença de quantidade a analisar; ","")&amp;IF(AK70&gt;0,"Recebimento com alerta; ","")&amp;IF(AL70&gt;0,"Vínculo de CDF com alerta; ","")&amp;IF(AND(AA70=0,AN70=0),"Recebimento não confirmado; ","")&amp;IF(AND(AA70=0,AN70=1,AO70=0),"CDF pendente ou a conferir; ",""))</f>
        <v/>
      </c>
      <c r="AX70" s="96">
        <f>IF(Z70=0,0,IF(AND(OR(f_ini="",AND(ISNUMBER(E70),E70&gt;=f_ini)),OR(f_fim="",AND(ISNUMBER(E70),E70&lt;=f_fim)),OR(f_un="",f_un="(Todas)",G70=f_un),OR(f_tr="",f_tr="(Todos)",H70=f_tr),OR(f_de="",f_de="(Todos)",I70=f_de),OR(f_sit="",f_sit="(Todas)",S70=f_sit)),1,0))</f>
        <v>0</v>
      </c>
      <c r="AY70" s="96">
        <f>IF(AX70=0,0,IF(OR(f_res="",f_res="(Todos)"),1,IF(COUNTIFS('ITENS_MTR'!$S$6:$S$1005,A70,'ITENS_MTR'!$C$6:$C$1005,f_res)&gt;0,1,0)))</f>
        <v>0</v>
      </c>
      <c r="AZ70" s="97" t="str">
        <f>IF(ISNUMBER(E70),DATE(YEAR(E70),MONTH(E70),1),"")</f>
        <v/>
      </c>
      <c r="BA70" s="96">
        <f>IF(Z70=0,0,IF(AND(OR(r_ini="",AND(ISNUMBER(E70),E70&gt;=r_ini)),OR(r_fim="",AND(ISNUMBER(E70),E70&lt;=r_fim)),OR(r_un="",r_un="(Todas)",G70=r_un),OR(r_de="",r_de="(Todos)",I70=r_de)),1,0))</f>
        <v>0</v>
      </c>
      <c r="BB70" s="96" t="str">
        <f>IF(BA70=1,COUNTIF($BA$6:BA70,1),"")</f>
        <v/>
      </c>
      <c r="BC70" s="96" t="str">
        <f>IF(AND(AU70&lt;&gt;"",OR(r_un="",r_un="(Todas)",G70=r_un),OR(r_de="",r_de="(Todos)",I70=r_de)),AU70,"")</f>
        <v/>
      </c>
      <c r="BD70" s="96" t="str">
        <f>IF(Z70=1,A70&amp;" | nº "&amp;IF(B70="","(sem número)",B70)&amp;" | "&amp;IF(G70="","(sem unidade)",G70),"")</f>
        <v/>
      </c>
      <c r="BE70" s="96" t="str">
        <f>IF(Z70=1,COUNTIF($Z$6:Z70,1),"")</f>
        <v/>
      </c>
      <c r="BF70" s="96" t="str">
        <f>IF(T70="","",IF(T70="RECEBIMENTO NÃO CONFIRMADO","Transp.: "&amp;H70&amp;" | Dest.: "&amp;I70,IF(OR(T70="CDF NÃO LOCALIZADO",T70="VÍNCULO INCOMPLETO",T70="CDF A CONFERIR"),"Dest.: "&amp;I70,"Gerador: "&amp;G70)))</f>
        <v/>
      </c>
    </row>
    <row r="71">
      <c r="A71" s="89" t="inlineStr">
        <is>
          <t>MTR-000066</t>
        </is>
      </c>
      <c r="B71" s="90" t="n"/>
      <c r="C71" s="91" t="n"/>
      <c r="D71" s="91" t="n"/>
      <c r="E71" s="92" t="n"/>
      <c r="F71" s="92" t="n"/>
      <c r="G71" s="91" t="n"/>
      <c r="H71" s="91" t="n"/>
      <c r="I71" s="91" t="n"/>
      <c r="J71" s="91" t="n"/>
      <c r="K71" s="91" t="n"/>
      <c r="L71" s="92" t="n"/>
      <c r="M71" s="91" t="n"/>
      <c r="N71" s="91" t="n"/>
      <c r="O71" s="91" t="n"/>
      <c r="P71" s="93" t="str">
        <f>IF(Z71=0,"",SUMIFS('ITENS_MTR'!$I$6:$I$1005,'ITENS_MTR'!$S$6:$S$1005,A71,'ITENS_MTR'!$Y$6:$Y$1005,1))</f>
        <v/>
      </c>
      <c r="Q71" s="93" t="str">
        <f>IF(Z71=0,"",SUMIFS('RECEBIMENTOS'!$H$6:$H$1005,'RECEBIMENTOS'!$B$6:$B$1005,A71,'RECEBIMENTOS'!$X$6:$X$1005,1))</f>
        <v/>
      </c>
      <c r="R71" s="93" t="str">
        <f>IF(Z71=0,"",SUMIFS('VÍNCULOS_CDF'!$H$6:$H$1005,'VÍNCULOS_CDF'!$D$6:$D$1005,A71,'VÍNCULOS_CDF'!$V$6:$V$1005,1))</f>
        <v/>
      </c>
      <c r="S71" s="94" t="str">
        <f>IF(Z71=0,"",IF(AA71=1,"Cancelado (informado)",IF(AE71=1,"Cadastro incompleto",IF(OR(AC71=1,AD71=1,AF71&gt;0,AH71&gt;0,AK71&gt;0,AL71&gt;0),"Informação a revisar",IF(AN71=0,"Aguardando recebimento",IF(N(R71)=0,"Aguardando CDF",IF(AJ71&lt;N(W71),"Vínculo de CDF parcial",IF(AO71=0,"CDF localizado, a conferir","Documentação conferida"))))))))</f>
        <v/>
      </c>
      <c r="T71" s="94" t="str">
        <f>IF(Z71=0,"",IF(S71="Cadastro incompleto","MTR INCOMPLETO",IF(S71="Informação a revisar",IF(AND(AH71&gt;0,AC71=0,AD71=0,AF71=0,AK71=0,AL71=0),"QUANTIDADE A REVISAR","IDENTIFICAÇÃO A REVISAR"),IF(S71="Aguardando recebimento","RECEBIMENTO NÃO CONFIRMADO",IF(S71="Aguardando CDF","CDF NÃO LOCALIZADO",IF(S71="Vínculo de CDF parcial","VÍNCULO INCOMPLETO",IF(S71="CDF localizado, a conferir","CDF A CONFERIR","")))))))</f>
        <v/>
      </c>
      <c r="U71" s="95" t="str">
        <f>IF(T71="","",IF(AQ71="","Não calculável",IF(AQ71&gt;TODAY(),"Data futura",TODAY()-AQ71)))</f>
        <v/>
      </c>
      <c r="V71" s="93" t="str">
        <f>IF(Z71=0,"",SUMIFS('RECEBIMENTOS'!$H$6:$H$1005,'RECEBIMENTOS'!$B$6:$B$1005,A71,'RECEBIMENTOS'!$Z$6:$Z$1005,1))</f>
        <v/>
      </c>
      <c r="W71" s="95" t="str">
        <f>IF(Z71=0,"",COUNTIFS('ITENS_MTR'!$S$6:$S$1005,A71,'ITENS_MTR'!$R$6:$R$1005,1))</f>
        <v/>
      </c>
      <c r="X71" s="94" t="str">
        <f>IF(AC71=1,"POSSÍVEL DUPLICIDADE","")</f>
        <v/>
      </c>
      <c r="Y71" s="94" t="str">
        <f>IF(Z71=0,"",IF(AW71="","Nenhuma",LEFT(AW71,LEN(AW71)-2)))</f>
        <v/>
      </c>
      <c r="Z71" s="96">
        <f>IF(COUNTA(B71:O71)&gt;0,1,0)</f>
        <v>0</v>
      </c>
      <c r="AA71" s="96">
        <f>IF(AND(Z71=1,K71&lt;&gt;""),IF(TRIM(K71)=TRIM(cfg_cancel),1,0),0)</f>
        <v>0</v>
      </c>
      <c r="AB71" s="96" t="str">
        <f>IF(AND(Z71=1,B71&lt;&gt;""),C71&amp;"|"&amp;D71&amp;"|"&amp;G71&amp;"|"&amp;TRIM(B71),"")</f>
        <v/>
      </c>
      <c r="AC71" s="96">
        <f>IF(AB71="",0,IF(SUMPRODUCT(--($AB$6:$AB$505=AB71))&gt;1,1,0))</f>
        <v>0</v>
      </c>
      <c r="AD71" s="96">
        <f>IF(Z71=0,0,IF(OR(AND(G71&lt;&gt;"",ISNA(MATCH(G71,'CAD_UNIDADES'!$C$6:$C$105,0))),AND(H71&lt;&gt;"",ISNA(MATCH(H71,cmp_transp,0))),AND(I71&lt;&gt;"",ISNA(MATCH(I71,cmp_dest,0))),AND(E71&lt;&gt;"",NOT(ISNUMBER(E71))),AND(F71&lt;&gt;"",NOT(ISNUMBER(F71))),AND(ISNUMBER(E71),ISNUMBER(F71),F71&lt;E71)),1,0))</f>
        <v>0</v>
      </c>
      <c r="AE71" s="96">
        <f>IF(Z71=0,0,IF(OR(B71="",C71="",E71="",G71="",H71="",I71="",N(W71)=0),1,0))</f>
        <v>0</v>
      </c>
      <c r="AF71" s="96">
        <f>IF(Z71=0,0,COUNTIFS('ITENS_MTR'!$S$6:$S$1005,A71,'ITENS_MTR'!$AI$6:$AI$1005,1))</f>
        <v>0</v>
      </c>
      <c r="AG71" s="96">
        <f>IF(Z71=0,0,COUNTIFS('ITENS_MTR'!$S$6:$S$1005,A71,'ITENS_MTR'!$AJ$6:$AJ$1005,1))</f>
        <v>0</v>
      </c>
      <c r="AH71" s="96">
        <f>IF(Z71=0,0,COUNTIFS('ITENS_MTR'!$S$6:$S$1005,A71,'ITENS_MTR'!$AM$6:$AM$1005,1))</f>
        <v>0</v>
      </c>
      <c r="AI71" s="96">
        <f>IF(Z71=0,0,COUNTIFS('ITENS_MTR'!$S$6:$S$1005,A71,'ITENS_MTR'!$AO$6:$AO$1005,1))</f>
        <v>0</v>
      </c>
      <c r="AJ71" s="96">
        <f>IF(Z71=0,0,COUNTIFS('ITENS_MTR'!$S$6:$S$1005,A71,'ITENS_MTR'!$AN$6:$AN$1005,1))</f>
        <v>0</v>
      </c>
      <c r="AK71" s="96">
        <f>IF(Z71=0,0,COUNTIFS('RECEBIMENTOS'!$B$6:$B$1005,A71,'RECEBIMENTOS'!$Y$6:$Y$1005,1))</f>
        <v>0</v>
      </c>
      <c r="AL71" s="96">
        <f>IF(Z71=0,0,COUNTIFS('VÍNCULOS_CDF'!$D$6:$D$1005,A71,'VÍNCULOS_CDF'!$Y$6:$Y$1005,1))</f>
        <v>0</v>
      </c>
      <c r="AM71" s="96">
        <f>IF(Z71=0,0,COUNTIFS('RECEBIMENTOS'!$B$6:$B$1005,A71,'RECEBIMENTOS'!$Q$6:$Q$1005,1))</f>
        <v>0</v>
      </c>
      <c r="AN71" s="96">
        <f>IF(AND(Z71=1,N(W71)&gt;0,AG71=N(W71)),1,0)</f>
        <v>0</v>
      </c>
      <c r="AO71" s="96">
        <f>IF(AND(Z71=1,N(W71)&gt;0,AI71=N(W71)),1,0)</f>
        <v>0</v>
      </c>
      <c r="AP71" s="97">
        <f>IF(Z71=0,0,_xlfn.MAXIFS('RECEBIMENTOS'!$E$6:$E$1005,'RECEBIMENTOS'!$B$6:$B$1005,A71))</f>
        <v>0</v>
      </c>
      <c r="AQ71" s="97" t="str">
        <f>IF(T71="","",IF(T71="RECEBIMENTO NÃO CONFIRMADO",IF(ISNUMBER(F71),F71,IF(ISNUMBER(E71),E71,"")),IF(OR(T71="CDF NÃO LOCALIZADO",T71="VÍNCULO INCOMPLETO",T71="CDF A CONFERIR"),IF(AP71&gt;0,AP71,IF(ISNUMBER(E71),E71,"")),IF(ISNUMBER(E71),E71,""))))</f>
        <v/>
      </c>
      <c r="AR71" s="96">
        <f>IF(NOT(ISNUMBER(U71)),0,IF(T71="RECEBIMENTO NÃO CONFIRMADO",IF(AND(ISNUMBER(cfg_rec),U71&gt;cfg_rec),1,0),IF(OR(T71="CDF NÃO LOCALIZADO",T71="VÍNCULO INCOMPLETO",T71="CDF A CONFERIR"),IF(AND(ISNUMBER(cfg_cdf),U71&gt;cfg_cdf),1,0),0)))</f>
        <v>0</v>
      </c>
      <c r="AS71" s="96" t="str">
        <f>IF(T71="","",IF(AR71=1,"Alta",IFERROR(INDEX(cfg_pp,MATCH(T71,cfg_pt,0))&amp;"","Média")))</f>
        <v/>
      </c>
      <c r="AT71" s="96" t="str">
        <f>IF(T71="","",IFERROR(INDEX(cfg_pv,MATCH(T71,cfg_pt,0))&amp;"",""))</f>
        <v/>
      </c>
      <c r="AU71" s="96" t="str">
        <f>IF(T71="","",IF(AS71="Alta",1,IF(AS71="Média",2,3))*1000000000+(999999-IF(ISNUMBER(U71),MIN(U71,999999),0))*1000+66)</f>
        <v/>
      </c>
      <c r="AV71" s="96">
        <f>IF(T71&lt;&gt;"",1,0)</f>
        <v>0</v>
      </c>
      <c r="AW71" s="96" t="str">
        <f>IF(Z71=0,"",IF(AA71=1,"Cancelamento informado; ","")&amp;IF(AE71=1,"Campos essenciais ou itens faltando; ","")&amp;IF(AC71=1,"Possível duplicidade do número; ","")&amp;IF(AD71=1,"Cadastro ou datas a revisar; ","")&amp;IF(AF71&gt;0,"Item de resíduo com dado a revisar; ","")&amp;IF(AH71&gt;0,"Diferença de quantidade a analisar; ","")&amp;IF(AK71&gt;0,"Recebimento com alerta; ","")&amp;IF(AL71&gt;0,"Vínculo de CDF com alerta; ","")&amp;IF(AND(AA71=0,AN71=0),"Recebimento não confirmado; ","")&amp;IF(AND(AA71=0,AN71=1,AO71=0),"CDF pendente ou a conferir; ",""))</f>
        <v/>
      </c>
      <c r="AX71" s="96">
        <f>IF(Z71=0,0,IF(AND(OR(f_ini="",AND(ISNUMBER(E71),E71&gt;=f_ini)),OR(f_fim="",AND(ISNUMBER(E71),E71&lt;=f_fim)),OR(f_un="",f_un="(Todas)",G71=f_un),OR(f_tr="",f_tr="(Todos)",H71=f_tr),OR(f_de="",f_de="(Todos)",I71=f_de),OR(f_sit="",f_sit="(Todas)",S71=f_sit)),1,0))</f>
        <v>0</v>
      </c>
      <c r="AY71" s="96">
        <f>IF(AX71=0,0,IF(OR(f_res="",f_res="(Todos)"),1,IF(COUNTIFS('ITENS_MTR'!$S$6:$S$1005,A71,'ITENS_MTR'!$C$6:$C$1005,f_res)&gt;0,1,0)))</f>
        <v>0</v>
      </c>
      <c r="AZ71" s="97" t="str">
        <f>IF(ISNUMBER(E71),DATE(YEAR(E71),MONTH(E71),1),"")</f>
        <v/>
      </c>
      <c r="BA71" s="96">
        <f>IF(Z71=0,0,IF(AND(OR(r_ini="",AND(ISNUMBER(E71),E71&gt;=r_ini)),OR(r_fim="",AND(ISNUMBER(E71),E71&lt;=r_fim)),OR(r_un="",r_un="(Todas)",G71=r_un),OR(r_de="",r_de="(Todos)",I71=r_de)),1,0))</f>
        <v>0</v>
      </c>
      <c r="BB71" s="96" t="str">
        <f>IF(BA71=1,COUNTIF($BA$6:BA71,1),"")</f>
        <v/>
      </c>
      <c r="BC71" s="96" t="str">
        <f>IF(AND(AU71&lt;&gt;"",OR(r_un="",r_un="(Todas)",G71=r_un),OR(r_de="",r_de="(Todos)",I71=r_de)),AU71,"")</f>
        <v/>
      </c>
      <c r="BD71" s="96" t="str">
        <f>IF(Z71=1,A71&amp;" | nº "&amp;IF(B71="","(sem número)",B71)&amp;" | "&amp;IF(G71="","(sem unidade)",G71),"")</f>
        <v/>
      </c>
      <c r="BE71" s="96" t="str">
        <f>IF(Z71=1,COUNTIF($Z$6:Z71,1),"")</f>
        <v/>
      </c>
      <c r="BF71" s="96" t="str">
        <f>IF(T71="","",IF(T71="RECEBIMENTO NÃO CONFIRMADO","Transp.: "&amp;H71&amp;" | Dest.: "&amp;I71,IF(OR(T71="CDF NÃO LOCALIZADO",T71="VÍNCULO INCOMPLETO",T71="CDF A CONFERIR"),"Dest.: "&amp;I71,"Gerador: "&amp;G71)))</f>
        <v/>
      </c>
    </row>
    <row r="72">
      <c r="A72" s="89" t="inlineStr">
        <is>
          <t>MTR-000067</t>
        </is>
      </c>
      <c r="B72" s="90" t="n"/>
      <c r="C72" s="91" t="n"/>
      <c r="D72" s="91" t="n"/>
      <c r="E72" s="92" t="n"/>
      <c r="F72" s="92" t="n"/>
      <c r="G72" s="91" t="n"/>
      <c r="H72" s="91" t="n"/>
      <c r="I72" s="91" t="n"/>
      <c r="J72" s="91" t="n"/>
      <c r="K72" s="91" t="n"/>
      <c r="L72" s="92" t="n"/>
      <c r="M72" s="91" t="n"/>
      <c r="N72" s="91" t="n"/>
      <c r="O72" s="91" t="n"/>
      <c r="P72" s="93" t="str">
        <f>IF(Z72=0,"",SUMIFS('ITENS_MTR'!$I$6:$I$1005,'ITENS_MTR'!$S$6:$S$1005,A72,'ITENS_MTR'!$Y$6:$Y$1005,1))</f>
        <v/>
      </c>
      <c r="Q72" s="93" t="str">
        <f>IF(Z72=0,"",SUMIFS('RECEBIMENTOS'!$H$6:$H$1005,'RECEBIMENTOS'!$B$6:$B$1005,A72,'RECEBIMENTOS'!$X$6:$X$1005,1))</f>
        <v/>
      </c>
      <c r="R72" s="93" t="str">
        <f>IF(Z72=0,"",SUMIFS('VÍNCULOS_CDF'!$H$6:$H$1005,'VÍNCULOS_CDF'!$D$6:$D$1005,A72,'VÍNCULOS_CDF'!$V$6:$V$1005,1))</f>
        <v/>
      </c>
      <c r="S72" s="94" t="str">
        <f>IF(Z72=0,"",IF(AA72=1,"Cancelado (informado)",IF(AE72=1,"Cadastro incompleto",IF(OR(AC72=1,AD72=1,AF72&gt;0,AH72&gt;0,AK72&gt;0,AL72&gt;0),"Informação a revisar",IF(AN72=0,"Aguardando recebimento",IF(N(R72)=0,"Aguardando CDF",IF(AJ72&lt;N(W72),"Vínculo de CDF parcial",IF(AO72=0,"CDF localizado, a conferir","Documentação conferida"))))))))</f>
        <v/>
      </c>
      <c r="T72" s="94" t="str">
        <f>IF(Z72=0,"",IF(S72="Cadastro incompleto","MTR INCOMPLETO",IF(S72="Informação a revisar",IF(AND(AH72&gt;0,AC72=0,AD72=0,AF72=0,AK72=0,AL72=0),"QUANTIDADE A REVISAR","IDENTIFICAÇÃO A REVISAR"),IF(S72="Aguardando recebimento","RECEBIMENTO NÃO CONFIRMADO",IF(S72="Aguardando CDF","CDF NÃO LOCALIZADO",IF(S72="Vínculo de CDF parcial","VÍNCULO INCOMPLETO",IF(S72="CDF localizado, a conferir","CDF A CONFERIR","")))))))</f>
        <v/>
      </c>
      <c r="U72" s="95" t="str">
        <f>IF(T72="","",IF(AQ72="","Não calculável",IF(AQ72&gt;TODAY(),"Data futura",TODAY()-AQ72)))</f>
        <v/>
      </c>
      <c r="V72" s="93" t="str">
        <f>IF(Z72=0,"",SUMIFS('RECEBIMENTOS'!$H$6:$H$1005,'RECEBIMENTOS'!$B$6:$B$1005,A72,'RECEBIMENTOS'!$Z$6:$Z$1005,1))</f>
        <v/>
      </c>
      <c r="W72" s="95" t="str">
        <f>IF(Z72=0,"",COUNTIFS('ITENS_MTR'!$S$6:$S$1005,A72,'ITENS_MTR'!$R$6:$R$1005,1))</f>
        <v/>
      </c>
      <c r="X72" s="94" t="str">
        <f>IF(AC72=1,"POSSÍVEL DUPLICIDADE","")</f>
        <v/>
      </c>
      <c r="Y72" s="94" t="str">
        <f>IF(Z72=0,"",IF(AW72="","Nenhuma",LEFT(AW72,LEN(AW72)-2)))</f>
        <v/>
      </c>
      <c r="Z72" s="96">
        <f>IF(COUNTA(B72:O72)&gt;0,1,0)</f>
        <v>0</v>
      </c>
      <c r="AA72" s="96">
        <f>IF(AND(Z72=1,K72&lt;&gt;""),IF(TRIM(K72)=TRIM(cfg_cancel),1,0),0)</f>
        <v>0</v>
      </c>
      <c r="AB72" s="96" t="str">
        <f>IF(AND(Z72=1,B72&lt;&gt;""),C72&amp;"|"&amp;D72&amp;"|"&amp;G72&amp;"|"&amp;TRIM(B72),"")</f>
        <v/>
      </c>
      <c r="AC72" s="96">
        <f>IF(AB72="",0,IF(SUMPRODUCT(--($AB$6:$AB$505=AB72))&gt;1,1,0))</f>
        <v>0</v>
      </c>
      <c r="AD72" s="96">
        <f>IF(Z72=0,0,IF(OR(AND(G72&lt;&gt;"",ISNA(MATCH(G72,'CAD_UNIDADES'!$C$6:$C$105,0))),AND(H72&lt;&gt;"",ISNA(MATCH(H72,cmp_transp,0))),AND(I72&lt;&gt;"",ISNA(MATCH(I72,cmp_dest,0))),AND(E72&lt;&gt;"",NOT(ISNUMBER(E72))),AND(F72&lt;&gt;"",NOT(ISNUMBER(F72))),AND(ISNUMBER(E72),ISNUMBER(F72),F72&lt;E72)),1,0))</f>
        <v>0</v>
      </c>
      <c r="AE72" s="96">
        <f>IF(Z72=0,0,IF(OR(B72="",C72="",E72="",G72="",H72="",I72="",N(W72)=0),1,0))</f>
        <v>0</v>
      </c>
      <c r="AF72" s="96">
        <f>IF(Z72=0,0,COUNTIFS('ITENS_MTR'!$S$6:$S$1005,A72,'ITENS_MTR'!$AI$6:$AI$1005,1))</f>
        <v>0</v>
      </c>
      <c r="AG72" s="96">
        <f>IF(Z72=0,0,COUNTIFS('ITENS_MTR'!$S$6:$S$1005,A72,'ITENS_MTR'!$AJ$6:$AJ$1005,1))</f>
        <v>0</v>
      </c>
      <c r="AH72" s="96">
        <f>IF(Z72=0,0,COUNTIFS('ITENS_MTR'!$S$6:$S$1005,A72,'ITENS_MTR'!$AM$6:$AM$1005,1))</f>
        <v>0</v>
      </c>
      <c r="AI72" s="96">
        <f>IF(Z72=0,0,COUNTIFS('ITENS_MTR'!$S$6:$S$1005,A72,'ITENS_MTR'!$AO$6:$AO$1005,1))</f>
        <v>0</v>
      </c>
      <c r="AJ72" s="96">
        <f>IF(Z72=0,0,COUNTIFS('ITENS_MTR'!$S$6:$S$1005,A72,'ITENS_MTR'!$AN$6:$AN$1005,1))</f>
        <v>0</v>
      </c>
      <c r="AK72" s="96">
        <f>IF(Z72=0,0,COUNTIFS('RECEBIMENTOS'!$B$6:$B$1005,A72,'RECEBIMENTOS'!$Y$6:$Y$1005,1))</f>
        <v>0</v>
      </c>
      <c r="AL72" s="96">
        <f>IF(Z72=0,0,COUNTIFS('VÍNCULOS_CDF'!$D$6:$D$1005,A72,'VÍNCULOS_CDF'!$Y$6:$Y$1005,1))</f>
        <v>0</v>
      </c>
      <c r="AM72" s="96">
        <f>IF(Z72=0,0,COUNTIFS('RECEBIMENTOS'!$B$6:$B$1005,A72,'RECEBIMENTOS'!$Q$6:$Q$1005,1))</f>
        <v>0</v>
      </c>
      <c r="AN72" s="96">
        <f>IF(AND(Z72=1,N(W72)&gt;0,AG72=N(W72)),1,0)</f>
        <v>0</v>
      </c>
      <c r="AO72" s="96">
        <f>IF(AND(Z72=1,N(W72)&gt;0,AI72=N(W72)),1,0)</f>
        <v>0</v>
      </c>
      <c r="AP72" s="97">
        <f>IF(Z72=0,0,_xlfn.MAXIFS('RECEBIMENTOS'!$E$6:$E$1005,'RECEBIMENTOS'!$B$6:$B$1005,A72))</f>
        <v>0</v>
      </c>
      <c r="AQ72" s="97" t="str">
        <f>IF(T72="","",IF(T72="RECEBIMENTO NÃO CONFIRMADO",IF(ISNUMBER(F72),F72,IF(ISNUMBER(E72),E72,"")),IF(OR(T72="CDF NÃO LOCALIZADO",T72="VÍNCULO INCOMPLETO",T72="CDF A CONFERIR"),IF(AP72&gt;0,AP72,IF(ISNUMBER(E72),E72,"")),IF(ISNUMBER(E72),E72,""))))</f>
        <v/>
      </c>
      <c r="AR72" s="96">
        <f>IF(NOT(ISNUMBER(U72)),0,IF(T72="RECEBIMENTO NÃO CONFIRMADO",IF(AND(ISNUMBER(cfg_rec),U72&gt;cfg_rec),1,0),IF(OR(T72="CDF NÃO LOCALIZADO",T72="VÍNCULO INCOMPLETO",T72="CDF A CONFERIR"),IF(AND(ISNUMBER(cfg_cdf),U72&gt;cfg_cdf),1,0),0)))</f>
        <v>0</v>
      </c>
      <c r="AS72" s="96" t="str">
        <f>IF(T72="","",IF(AR72=1,"Alta",IFERROR(INDEX(cfg_pp,MATCH(T72,cfg_pt,0))&amp;"","Média")))</f>
        <v/>
      </c>
      <c r="AT72" s="96" t="str">
        <f>IF(T72="","",IFERROR(INDEX(cfg_pv,MATCH(T72,cfg_pt,0))&amp;"",""))</f>
        <v/>
      </c>
      <c r="AU72" s="96" t="str">
        <f>IF(T72="","",IF(AS72="Alta",1,IF(AS72="Média",2,3))*1000000000+(999999-IF(ISNUMBER(U72),MIN(U72,999999),0))*1000+67)</f>
        <v/>
      </c>
      <c r="AV72" s="96">
        <f>IF(T72&lt;&gt;"",1,0)</f>
        <v>0</v>
      </c>
      <c r="AW72" s="96" t="str">
        <f>IF(Z72=0,"",IF(AA72=1,"Cancelamento informado; ","")&amp;IF(AE72=1,"Campos essenciais ou itens faltando; ","")&amp;IF(AC72=1,"Possível duplicidade do número; ","")&amp;IF(AD72=1,"Cadastro ou datas a revisar; ","")&amp;IF(AF72&gt;0,"Item de resíduo com dado a revisar; ","")&amp;IF(AH72&gt;0,"Diferença de quantidade a analisar; ","")&amp;IF(AK72&gt;0,"Recebimento com alerta; ","")&amp;IF(AL72&gt;0,"Vínculo de CDF com alerta; ","")&amp;IF(AND(AA72=0,AN72=0),"Recebimento não confirmado; ","")&amp;IF(AND(AA72=0,AN72=1,AO72=0),"CDF pendente ou a conferir; ",""))</f>
        <v/>
      </c>
      <c r="AX72" s="96">
        <f>IF(Z72=0,0,IF(AND(OR(f_ini="",AND(ISNUMBER(E72),E72&gt;=f_ini)),OR(f_fim="",AND(ISNUMBER(E72),E72&lt;=f_fim)),OR(f_un="",f_un="(Todas)",G72=f_un),OR(f_tr="",f_tr="(Todos)",H72=f_tr),OR(f_de="",f_de="(Todos)",I72=f_de),OR(f_sit="",f_sit="(Todas)",S72=f_sit)),1,0))</f>
        <v>0</v>
      </c>
      <c r="AY72" s="96">
        <f>IF(AX72=0,0,IF(OR(f_res="",f_res="(Todos)"),1,IF(COUNTIFS('ITENS_MTR'!$S$6:$S$1005,A72,'ITENS_MTR'!$C$6:$C$1005,f_res)&gt;0,1,0)))</f>
        <v>0</v>
      </c>
      <c r="AZ72" s="97" t="str">
        <f>IF(ISNUMBER(E72),DATE(YEAR(E72),MONTH(E72),1),"")</f>
        <v/>
      </c>
      <c r="BA72" s="96">
        <f>IF(Z72=0,0,IF(AND(OR(r_ini="",AND(ISNUMBER(E72),E72&gt;=r_ini)),OR(r_fim="",AND(ISNUMBER(E72),E72&lt;=r_fim)),OR(r_un="",r_un="(Todas)",G72=r_un),OR(r_de="",r_de="(Todos)",I72=r_de)),1,0))</f>
        <v>0</v>
      </c>
      <c r="BB72" s="96" t="str">
        <f>IF(BA72=1,COUNTIF($BA$6:BA72,1),"")</f>
        <v/>
      </c>
      <c r="BC72" s="96" t="str">
        <f>IF(AND(AU72&lt;&gt;"",OR(r_un="",r_un="(Todas)",G72=r_un),OR(r_de="",r_de="(Todos)",I72=r_de)),AU72,"")</f>
        <v/>
      </c>
      <c r="BD72" s="96" t="str">
        <f>IF(Z72=1,A72&amp;" | nº "&amp;IF(B72="","(sem número)",B72)&amp;" | "&amp;IF(G72="","(sem unidade)",G72),"")</f>
        <v/>
      </c>
      <c r="BE72" s="96" t="str">
        <f>IF(Z72=1,COUNTIF($Z$6:Z72,1),"")</f>
        <v/>
      </c>
      <c r="BF72" s="96" t="str">
        <f>IF(T72="","",IF(T72="RECEBIMENTO NÃO CONFIRMADO","Transp.: "&amp;H72&amp;" | Dest.: "&amp;I72,IF(OR(T72="CDF NÃO LOCALIZADO",T72="VÍNCULO INCOMPLETO",T72="CDF A CONFERIR"),"Dest.: "&amp;I72,"Gerador: "&amp;G72)))</f>
        <v/>
      </c>
    </row>
    <row r="73">
      <c r="A73" s="89" t="inlineStr">
        <is>
          <t>MTR-000068</t>
        </is>
      </c>
      <c r="B73" s="90" t="n"/>
      <c r="C73" s="91" t="n"/>
      <c r="D73" s="91" t="n"/>
      <c r="E73" s="92" t="n"/>
      <c r="F73" s="92" t="n"/>
      <c r="G73" s="91" t="n"/>
      <c r="H73" s="91" t="n"/>
      <c r="I73" s="91" t="n"/>
      <c r="J73" s="91" t="n"/>
      <c r="K73" s="91" t="n"/>
      <c r="L73" s="92" t="n"/>
      <c r="M73" s="91" t="n"/>
      <c r="N73" s="91" t="n"/>
      <c r="O73" s="91" t="n"/>
      <c r="P73" s="93" t="str">
        <f>IF(Z73=0,"",SUMIFS('ITENS_MTR'!$I$6:$I$1005,'ITENS_MTR'!$S$6:$S$1005,A73,'ITENS_MTR'!$Y$6:$Y$1005,1))</f>
        <v/>
      </c>
      <c r="Q73" s="93" t="str">
        <f>IF(Z73=0,"",SUMIFS('RECEBIMENTOS'!$H$6:$H$1005,'RECEBIMENTOS'!$B$6:$B$1005,A73,'RECEBIMENTOS'!$X$6:$X$1005,1))</f>
        <v/>
      </c>
      <c r="R73" s="93" t="str">
        <f>IF(Z73=0,"",SUMIFS('VÍNCULOS_CDF'!$H$6:$H$1005,'VÍNCULOS_CDF'!$D$6:$D$1005,A73,'VÍNCULOS_CDF'!$V$6:$V$1005,1))</f>
        <v/>
      </c>
      <c r="S73" s="94" t="str">
        <f>IF(Z73=0,"",IF(AA73=1,"Cancelado (informado)",IF(AE73=1,"Cadastro incompleto",IF(OR(AC73=1,AD73=1,AF73&gt;0,AH73&gt;0,AK73&gt;0,AL73&gt;0),"Informação a revisar",IF(AN73=0,"Aguardando recebimento",IF(N(R73)=0,"Aguardando CDF",IF(AJ73&lt;N(W73),"Vínculo de CDF parcial",IF(AO73=0,"CDF localizado, a conferir","Documentação conferida"))))))))</f>
        <v/>
      </c>
      <c r="T73" s="94" t="str">
        <f>IF(Z73=0,"",IF(S73="Cadastro incompleto","MTR INCOMPLETO",IF(S73="Informação a revisar",IF(AND(AH73&gt;0,AC73=0,AD73=0,AF73=0,AK73=0,AL73=0),"QUANTIDADE A REVISAR","IDENTIFICAÇÃO A REVISAR"),IF(S73="Aguardando recebimento","RECEBIMENTO NÃO CONFIRMADO",IF(S73="Aguardando CDF","CDF NÃO LOCALIZADO",IF(S73="Vínculo de CDF parcial","VÍNCULO INCOMPLETO",IF(S73="CDF localizado, a conferir","CDF A CONFERIR","")))))))</f>
        <v/>
      </c>
      <c r="U73" s="95" t="str">
        <f>IF(T73="","",IF(AQ73="","Não calculável",IF(AQ73&gt;TODAY(),"Data futura",TODAY()-AQ73)))</f>
        <v/>
      </c>
      <c r="V73" s="93" t="str">
        <f>IF(Z73=0,"",SUMIFS('RECEBIMENTOS'!$H$6:$H$1005,'RECEBIMENTOS'!$B$6:$B$1005,A73,'RECEBIMENTOS'!$Z$6:$Z$1005,1))</f>
        <v/>
      </c>
      <c r="W73" s="95" t="str">
        <f>IF(Z73=0,"",COUNTIFS('ITENS_MTR'!$S$6:$S$1005,A73,'ITENS_MTR'!$R$6:$R$1005,1))</f>
        <v/>
      </c>
      <c r="X73" s="94" t="str">
        <f>IF(AC73=1,"POSSÍVEL DUPLICIDADE","")</f>
        <v/>
      </c>
      <c r="Y73" s="94" t="str">
        <f>IF(Z73=0,"",IF(AW73="","Nenhuma",LEFT(AW73,LEN(AW73)-2)))</f>
        <v/>
      </c>
      <c r="Z73" s="96">
        <f>IF(COUNTA(B73:O73)&gt;0,1,0)</f>
        <v>0</v>
      </c>
      <c r="AA73" s="96">
        <f>IF(AND(Z73=1,K73&lt;&gt;""),IF(TRIM(K73)=TRIM(cfg_cancel),1,0),0)</f>
        <v>0</v>
      </c>
      <c r="AB73" s="96" t="str">
        <f>IF(AND(Z73=1,B73&lt;&gt;""),C73&amp;"|"&amp;D73&amp;"|"&amp;G73&amp;"|"&amp;TRIM(B73),"")</f>
        <v/>
      </c>
      <c r="AC73" s="96">
        <f>IF(AB73="",0,IF(SUMPRODUCT(--($AB$6:$AB$505=AB73))&gt;1,1,0))</f>
        <v>0</v>
      </c>
      <c r="AD73" s="96">
        <f>IF(Z73=0,0,IF(OR(AND(G73&lt;&gt;"",ISNA(MATCH(G73,'CAD_UNIDADES'!$C$6:$C$105,0))),AND(H73&lt;&gt;"",ISNA(MATCH(H73,cmp_transp,0))),AND(I73&lt;&gt;"",ISNA(MATCH(I73,cmp_dest,0))),AND(E73&lt;&gt;"",NOT(ISNUMBER(E73))),AND(F73&lt;&gt;"",NOT(ISNUMBER(F73))),AND(ISNUMBER(E73),ISNUMBER(F73),F73&lt;E73)),1,0))</f>
        <v>0</v>
      </c>
      <c r="AE73" s="96">
        <f>IF(Z73=0,0,IF(OR(B73="",C73="",E73="",G73="",H73="",I73="",N(W73)=0),1,0))</f>
        <v>0</v>
      </c>
      <c r="AF73" s="96">
        <f>IF(Z73=0,0,COUNTIFS('ITENS_MTR'!$S$6:$S$1005,A73,'ITENS_MTR'!$AI$6:$AI$1005,1))</f>
        <v>0</v>
      </c>
      <c r="AG73" s="96">
        <f>IF(Z73=0,0,COUNTIFS('ITENS_MTR'!$S$6:$S$1005,A73,'ITENS_MTR'!$AJ$6:$AJ$1005,1))</f>
        <v>0</v>
      </c>
      <c r="AH73" s="96">
        <f>IF(Z73=0,0,COUNTIFS('ITENS_MTR'!$S$6:$S$1005,A73,'ITENS_MTR'!$AM$6:$AM$1005,1))</f>
        <v>0</v>
      </c>
      <c r="AI73" s="96">
        <f>IF(Z73=0,0,COUNTIFS('ITENS_MTR'!$S$6:$S$1005,A73,'ITENS_MTR'!$AO$6:$AO$1005,1))</f>
        <v>0</v>
      </c>
      <c r="AJ73" s="96">
        <f>IF(Z73=0,0,COUNTIFS('ITENS_MTR'!$S$6:$S$1005,A73,'ITENS_MTR'!$AN$6:$AN$1005,1))</f>
        <v>0</v>
      </c>
      <c r="AK73" s="96">
        <f>IF(Z73=0,0,COUNTIFS('RECEBIMENTOS'!$B$6:$B$1005,A73,'RECEBIMENTOS'!$Y$6:$Y$1005,1))</f>
        <v>0</v>
      </c>
      <c r="AL73" s="96">
        <f>IF(Z73=0,0,COUNTIFS('VÍNCULOS_CDF'!$D$6:$D$1005,A73,'VÍNCULOS_CDF'!$Y$6:$Y$1005,1))</f>
        <v>0</v>
      </c>
      <c r="AM73" s="96">
        <f>IF(Z73=0,0,COUNTIFS('RECEBIMENTOS'!$B$6:$B$1005,A73,'RECEBIMENTOS'!$Q$6:$Q$1005,1))</f>
        <v>0</v>
      </c>
      <c r="AN73" s="96">
        <f>IF(AND(Z73=1,N(W73)&gt;0,AG73=N(W73)),1,0)</f>
        <v>0</v>
      </c>
      <c r="AO73" s="96">
        <f>IF(AND(Z73=1,N(W73)&gt;0,AI73=N(W73)),1,0)</f>
        <v>0</v>
      </c>
      <c r="AP73" s="97">
        <f>IF(Z73=0,0,_xlfn.MAXIFS('RECEBIMENTOS'!$E$6:$E$1005,'RECEBIMENTOS'!$B$6:$B$1005,A73))</f>
        <v>0</v>
      </c>
      <c r="AQ73" s="97" t="str">
        <f>IF(T73="","",IF(T73="RECEBIMENTO NÃO CONFIRMADO",IF(ISNUMBER(F73),F73,IF(ISNUMBER(E73),E73,"")),IF(OR(T73="CDF NÃO LOCALIZADO",T73="VÍNCULO INCOMPLETO",T73="CDF A CONFERIR"),IF(AP73&gt;0,AP73,IF(ISNUMBER(E73),E73,"")),IF(ISNUMBER(E73),E73,""))))</f>
        <v/>
      </c>
      <c r="AR73" s="96">
        <f>IF(NOT(ISNUMBER(U73)),0,IF(T73="RECEBIMENTO NÃO CONFIRMADO",IF(AND(ISNUMBER(cfg_rec),U73&gt;cfg_rec),1,0),IF(OR(T73="CDF NÃO LOCALIZADO",T73="VÍNCULO INCOMPLETO",T73="CDF A CONFERIR"),IF(AND(ISNUMBER(cfg_cdf),U73&gt;cfg_cdf),1,0),0)))</f>
        <v>0</v>
      </c>
      <c r="AS73" s="96" t="str">
        <f>IF(T73="","",IF(AR73=1,"Alta",IFERROR(INDEX(cfg_pp,MATCH(T73,cfg_pt,0))&amp;"","Média")))</f>
        <v/>
      </c>
      <c r="AT73" s="96" t="str">
        <f>IF(T73="","",IFERROR(INDEX(cfg_pv,MATCH(T73,cfg_pt,0))&amp;"",""))</f>
        <v/>
      </c>
      <c r="AU73" s="96" t="str">
        <f>IF(T73="","",IF(AS73="Alta",1,IF(AS73="Média",2,3))*1000000000+(999999-IF(ISNUMBER(U73),MIN(U73,999999),0))*1000+68)</f>
        <v/>
      </c>
      <c r="AV73" s="96">
        <f>IF(T73&lt;&gt;"",1,0)</f>
        <v>0</v>
      </c>
      <c r="AW73" s="96" t="str">
        <f>IF(Z73=0,"",IF(AA73=1,"Cancelamento informado; ","")&amp;IF(AE73=1,"Campos essenciais ou itens faltando; ","")&amp;IF(AC73=1,"Possível duplicidade do número; ","")&amp;IF(AD73=1,"Cadastro ou datas a revisar; ","")&amp;IF(AF73&gt;0,"Item de resíduo com dado a revisar; ","")&amp;IF(AH73&gt;0,"Diferença de quantidade a analisar; ","")&amp;IF(AK73&gt;0,"Recebimento com alerta; ","")&amp;IF(AL73&gt;0,"Vínculo de CDF com alerta; ","")&amp;IF(AND(AA73=0,AN73=0),"Recebimento não confirmado; ","")&amp;IF(AND(AA73=0,AN73=1,AO73=0),"CDF pendente ou a conferir; ",""))</f>
        <v/>
      </c>
      <c r="AX73" s="96">
        <f>IF(Z73=0,0,IF(AND(OR(f_ini="",AND(ISNUMBER(E73),E73&gt;=f_ini)),OR(f_fim="",AND(ISNUMBER(E73),E73&lt;=f_fim)),OR(f_un="",f_un="(Todas)",G73=f_un),OR(f_tr="",f_tr="(Todos)",H73=f_tr),OR(f_de="",f_de="(Todos)",I73=f_de),OR(f_sit="",f_sit="(Todas)",S73=f_sit)),1,0))</f>
        <v>0</v>
      </c>
      <c r="AY73" s="96">
        <f>IF(AX73=0,0,IF(OR(f_res="",f_res="(Todos)"),1,IF(COUNTIFS('ITENS_MTR'!$S$6:$S$1005,A73,'ITENS_MTR'!$C$6:$C$1005,f_res)&gt;0,1,0)))</f>
        <v>0</v>
      </c>
      <c r="AZ73" s="97" t="str">
        <f>IF(ISNUMBER(E73),DATE(YEAR(E73),MONTH(E73),1),"")</f>
        <v/>
      </c>
      <c r="BA73" s="96">
        <f>IF(Z73=0,0,IF(AND(OR(r_ini="",AND(ISNUMBER(E73),E73&gt;=r_ini)),OR(r_fim="",AND(ISNUMBER(E73),E73&lt;=r_fim)),OR(r_un="",r_un="(Todas)",G73=r_un),OR(r_de="",r_de="(Todos)",I73=r_de)),1,0))</f>
        <v>0</v>
      </c>
      <c r="BB73" s="96" t="str">
        <f>IF(BA73=1,COUNTIF($BA$6:BA73,1),"")</f>
        <v/>
      </c>
      <c r="BC73" s="96" t="str">
        <f>IF(AND(AU73&lt;&gt;"",OR(r_un="",r_un="(Todas)",G73=r_un),OR(r_de="",r_de="(Todos)",I73=r_de)),AU73,"")</f>
        <v/>
      </c>
      <c r="BD73" s="96" t="str">
        <f>IF(Z73=1,A73&amp;" | nº "&amp;IF(B73="","(sem número)",B73)&amp;" | "&amp;IF(G73="","(sem unidade)",G73),"")</f>
        <v/>
      </c>
      <c r="BE73" s="96" t="str">
        <f>IF(Z73=1,COUNTIF($Z$6:Z73,1),"")</f>
        <v/>
      </c>
      <c r="BF73" s="96" t="str">
        <f>IF(T73="","",IF(T73="RECEBIMENTO NÃO CONFIRMADO","Transp.: "&amp;H73&amp;" | Dest.: "&amp;I73,IF(OR(T73="CDF NÃO LOCALIZADO",T73="VÍNCULO INCOMPLETO",T73="CDF A CONFERIR"),"Dest.: "&amp;I73,"Gerador: "&amp;G73)))</f>
        <v/>
      </c>
    </row>
    <row r="74">
      <c r="A74" s="89" t="inlineStr">
        <is>
          <t>MTR-000069</t>
        </is>
      </c>
      <c r="B74" s="90" t="n"/>
      <c r="C74" s="91" t="n"/>
      <c r="D74" s="91" t="n"/>
      <c r="E74" s="92" t="n"/>
      <c r="F74" s="92" t="n"/>
      <c r="G74" s="91" t="n"/>
      <c r="H74" s="91" t="n"/>
      <c r="I74" s="91" t="n"/>
      <c r="J74" s="91" t="n"/>
      <c r="K74" s="91" t="n"/>
      <c r="L74" s="92" t="n"/>
      <c r="M74" s="91" t="n"/>
      <c r="N74" s="91" t="n"/>
      <c r="O74" s="91" t="n"/>
      <c r="P74" s="93" t="str">
        <f>IF(Z74=0,"",SUMIFS('ITENS_MTR'!$I$6:$I$1005,'ITENS_MTR'!$S$6:$S$1005,A74,'ITENS_MTR'!$Y$6:$Y$1005,1))</f>
        <v/>
      </c>
      <c r="Q74" s="93" t="str">
        <f>IF(Z74=0,"",SUMIFS('RECEBIMENTOS'!$H$6:$H$1005,'RECEBIMENTOS'!$B$6:$B$1005,A74,'RECEBIMENTOS'!$X$6:$X$1005,1))</f>
        <v/>
      </c>
      <c r="R74" s="93" t="str">
        <f>IF(Z74=0,"",SUMIFS('VÍNCULOS_CDF'!$H$6:$H$1005,'VÍNCULOS_CDF'!$D$6:$D$1005,A74,'VÍNCULOS_CDF'!$V$6:$V$1005,1))</f>
        <v/>
      </c>
      <c r="S74" s="94" t="str">
        <f>IF(Z74=0,"",IF(AA74=1,"Cancelado (informado)",IF(AE74=1,"Cadastro incompleto",IF(OR(AC74=1,AD74=1,AF74&gt;0,AH74&gt;0,AK74&gt;0,AL74&gt;0),"Informação a revisar",IF(AN74=0,"Aguardando recebimento",IF(N(R74)=0,"Aguardando CDF",IF(AJ74&lt;N(W74),"Vínculo de CDF parcial",IF(AO74=0,"CDF localizado, a conferir","Documentação conferida"))))))))</f>
        <v/>
      </c>
      <c r="T74" s="94" t="str">
        <f>IF(Z74=0,"",IF(S74="Cadastro incompleto","MTR INCOMPLETO",IF(S74="Informação a revisar",IF(AND(AH74&gt;0,AC74=0,AD74=0,AF74=0,AK74=0,AL74=0),"QUANTIDADE A REVISAR","IDENTIFICAÇÃO A REVISAR"),IF(S74="Aguardando recebimento","RECEBIMENTO NÃO CONFIRMADO",IF(S74="Aguardando CDF","CDF NÃO LOCALIZADO",IF(S74="Vínculo de CDF parcial","VÍNCULO INCOMPLETO",IF(S74="CDF localizado, a conferir","CDF A CONFERIR","")))))))</f>
        <v/>
      </c>
      <c r="U74" s="95" t="str">
        <f>IF(T74="","",IF(AQ74="","Não calculável",IF(AQ74&gt;TODAY(),"Data futura",TODAY()-AQ74)))</f>
        <v/>
      </c>
      <c r="V74" s="93" t="str">
        <f>IF(Z74=0,"",SUMIFS('RECEBIMENTOS'!$H$6:$H$1005,'RECEBIMENTOS'!$B$6:$B$1005,A74,'RECEBIMENTOS'!$Z$6:$Z$1005,1))</f>
        <v/>
      </c>
      <c r="W74" s="95" t="str">
        <f>IF(Z74=0,"",COUNTIFS('ITENS_MTR'!$S$6:$S$1005,A74,'ITENS_MTR'!$R$6:$R$1005,1))</f>
        <v/>
      </c>
      <c r="X74" s="94" t="str">
        <f>IF(AC74=1,"POSSÍVEL DUPLICIDADE","")</f>
        <v/>
      </c>
      <c r="Y74" s="94" t="str">
        <f>IF(Z74=0,"",IF(AW74="","Nenhuma",LEFT(AW74,LEN(AW74)-2)))</f>
        <v/>
      </c>
      <c r="Z74" s="96">
        <f>IF(COUNTA(B74:O74)&gt;0,1,0)</f>
        <v>0</v>
      </c>
      <c r="AA74" s="96">
        <f>IF(AND(Z74=1,K74&lt;&gt;""),IF(TRIM(K74)=TRIM(cfg_cancel),1,0),0)</f>
        <v>0</v>
      </c>
      <c r="AB74" s="96" t="str">
        <f>IF(AND(Z74=1,B74&lt;&gt;""),C74&amp;"|"&amp;D74&amp;"|"&amp;G74&amp;"|"&amp;TRIM(B74),"")</f>
        <v/>
      </c>
      <c r="AC74" s="96">
        <f>IF(AB74="",0,IF(SUMPRODUCT(--($AB$6:$AB$505=AB74))&gt;1,1,0))</f>
        <v>0</v>
      </c>
      <c r="AD74" s="96">
        <f>IF(Z74=0,0,IF(OR(AND(G74&lt;&gt;"",ISNA(MATCH(G74,'CAD_UNIDADES'!$C$6:$C$105,0))),AND(H74&lt;&gt;"",ISNA(MATCH(H74,cmp_transp,0))),AND(I74&lt;&gt;"",ISNA(MATCH(I74,cmp_dest,0))),AND(E74&lt;&gt;"",NOT(ISNUMBER(E74))),AND(F74&lt;&gt;"",NOT(ISNUMBER(F74))),AND(ISNUMBER(E74),ISNUMBER(F74),F74&lt;E74)),1,0))</f>
        <v>0</v>
      </c>
      <c r="AE74" s="96">
        <f>IF(Z74=0,0,IF(OR(B74="",C74="",E74="",G74="",H74="",I74="",N(W74)=0),1,0))</f>
        <v>0</v>
      </c>
      <c r="AF74" s="96">
        <f>IF(Z74=0,0,COUNTIFS('ITENS_MTR'!$S$6:$S$1005,A74,'ITENS_MTR'!$AI$6:$AI$1005,1))</f>
        <v>0</v>
      </c>
      <c r="AG74" s="96">
        <f>IF(Z74=0,0,COUNTIFS('ITENS_MTR'!$S$6:$S$1005,A74,'ITENS_MTR'!$AJ$6:$AJ$1005,1))</f>
        <v>0</v>
      </c>
      <c r="AH74" s="96">
        <f>IF(Z74=0,0,COUNTIFS('ITENS_MTR'!$S$6:$S$1005,A74,'ITENS_MTR'!$AM$6:$AM$1005,1))</f>
        <v>0</v>
      </c>
      <c r="AI74" s="96">
        <f>IF(Z74=0,0,COUNTIFS('ITENS_MTR'!$S$6:$S$1005,A74,'ITENS_MTR'!$AO$6:$AO$1005,1))</f>
        <v>0</v>
      </c>
      <c r="AJ74" s="96">
        <f>IF(Z74=0,0,COUNTIFS('ITENS_MTR'!$S$6:$S$1005,A74,'ITENS_MTR'!$AN$6:$AN$1005,1))</f>
        <v>0</v>
      </c>
      <c r="AK74" s="96">
        <f>IF(Z74=0,0,COUNTIFS('RECEBIMENTOS'!$B$6:$B$1005,A74,'RECEBIMENTOS'!$Y$6:$Y$1005,1))</f>
        <v>0</v>
      </c>
      <c r="AL74" s="96">
        <f>IF(Z74=0,0,COUNTIFS('VÍNCULOS_CDF'!$D$6:$D$1005,A74,'VÍNCULOS_CDF'!$Y$6:$Y$1005,1))</f>
        <v>0</v>
      </c>
      <c r="AM74" s="96">
        <f>IF(Z74=0,0,COUNTIFS('RECEBIMENTOS'!$B$6:$B$1005,A74,'RECEBIMENTOS'!$Q$6:$Q$1005,1))</f>
        <v>0</v>
      </c>
      <c r="AN74" s="96">
        <f>IF(AND(Z74=1,N(W74)&gt;0,AG74=N(W74)),1,0)</f>
        <v>0</v>
      </c>
      <c r="AO74" s="96">
        <f>IF(AND(Z74=1,N(W74)&gt;0,AI74=N(W74)),1,0)</f>
        <v>0</v>
      </c>
      <c r="AP74" s="97">
        <f>IF(Z74=0,0,_xlfn.MAXIFS('RECEBIMENTOS'!$E$6:$E$1005,'RECEBIMENTOS'!$B$6:$B$1005,A74))</f>
        <v>0</v>
      </c>
      <c r="AQ74" s="97" t="str">
        <f>IF(T74="","",IF(T74="RECEBIMENTO NÃO CONFIRMADO",IF(ISNUMBER(F74),F74,IF(ISNUMBER(E74),E74,"")),IF(OR(T74="CDF NÃO LOCALIZADO",T74="VÍNCULO INCOMPLETO",T74="CDF A CONFERIR"),IF(AP74&gt;0,AP74,IF(ISNUMBER(E74),E74,"")),IF(ISNUMBER(E74),E74,""))))</f>
        <v/>
      </c>
      <c r="AR74" s="96">
        <f>IF(NOT(ISNUMBER(U74)),0,IF(T74="RECEBIMENTO NÃO CONFIRMADO",IF(AND(ISNUMBER(cfg_rec),U74&gt;cfg_rec),1,0),IF(OR(T74="CDF NÃO LOCALIZADO",T74="VÍNCULO INCOMPLETO",T74="CDF A CONFERIR"),IF(AND(ISNUMBER(cfg_cdf),U74&gt;cfg_cdf),1,0),0)))</f>
        <v>0</v>
      </c>
      <c r="AS74" s="96" t="str">
        <f>IF(T74="","",IF(AR74=1,"Alta",IFERROR(INDEX(cfg_pp,MATCH(T74,cfg_pt,0))&amp;"","Média")))</f>
        <v/>
      </c>
      <c r="AT74" s="96" t="str">
        <f>IF(T74="","",IFERROR(INDEX(cfg_pv,MATCH(T74,cfg_pt,0))&amp;"",""))</f>
        <v/>
      </c>
      <c r="AU74" s="96" t="str">
        <f>IF(T74="","",IF(AS74="Alta",1,IF(AS74="Média",2,3))*1000000000+(999999-IF(ISNUMBER(U74),MIN(U74,999999),0))*1000+69)</f>
        <v/>
      </c>
      <c r="AV74" s="96">
        <f>IF(T74&lt;&gt;"",1,0)</f>
        <v>0</v>
      </c>
      <c r="AW74" s="96" t="str">
        <f>IF(Z74=0,"",IF(AA74=1,"Cancelamento informado; ","")&amp;IF(AE74=1,"Campos essenciais ou itens faltando; ","")&amp;IF(AC74=1,"Possível duplicidade do número; ","")&amp;IF(AD74=1,"Cadastro ou datas a revisar; ","")&amp;IF(AF74&gt;0,"Item de resíduo com dado a revisar; ","")&amp;IF(AH74&gt;0,"Diferença de quantidade a analisar; ","")&amp;IF(AK74&gt;0,"Recebimento com alerta; ","")&amp;IF(AL74&gt;0,"Vínculo de CDF com alerta; ","")&amp;IF(AND(AA74=0,AN74=0),"Recebimento não confirmado; ","")&amp;IF(AND(AA74=0,AN74=1,AO74=0),"CDF pendente ou a conferir; ",""))</f>
        <v/>
      </c>
      <c r="AX74" s="96">
        <f>IF(Z74=0,0,IF(AND(OR(f_ini="",AND(ISNUMBER(E74),E74&gt;=f_ini)),OR(f_fim="",AND(ISNUMBER(E74),E74&lt;=f_fim)),OR(f_un="",f_un="(Todas)",G74=f_un),OR(f_tr="",f_tr="(Todos)",H74=f_tr),OR(f_de="",f_de="(Todos)",I74=f_de),OR(f_sit="",f_sit="(Todas)",S74=f_sit)),1,0))</f>
        <v>0</v>
      </c>
      <c r="AY74" s="96">
        <f>IF(AX74=0,0,IF(OR(f_res="",f_res="(Todos)"),1,IF(COUNTIFS('ITENS_MTR'!$S$6:$S$1005,A74,'ITENS_MTR'!$C$6:$C$1005,f_res)&gt;0,1,0)))</f>
        <v>0</v>
      </c>
      <c r="AZ74" s="97" t="str">
        <f>IF(ISNUMBER(E74),DATE(YEAR(E74),MONTH(E74),1),"")</f>
        <v/>
      </c>
      <c r="BA74" s="96">
        <f>IF(Z74=0,0,IF(AND(OR(r_ini="",AND(ISNUMBER(E74),E74&gt;=r_ini)),OR(r_fim="",AND(ISNUMBER(E74),E74&lt;=r_fim)),OR(r_un="",r_un="(Todas)",G74=r_un),OR(r_de="",r_de="(Todos)",I74=r_de)),1,0))</f>
        <v>0</v>
      </c>
      <c r="BB74" s="96" t="str">
        <f>IF(BA74=1,COUNTIF($BA$6:BA74,1),"")</f>
        <v/>
      </c>
      <c r="BC74" s="96" t="str">
        <f>IF(AND(AU74&lt;&gt;"",OR(r_un="",r_un="(Todas)",G74=r_un),OR(r_de="",r_de="(Todos)",I74=r_de)),AU74,"")</f>
        <v/>
      </c>
      <c r="BD74" s="96" t="str">
        <f>IF(Z74=1,A74&amp;" | nº "&amp;IF(B74="","(sem número)",B74)&amp;" | "&amp;IF(G74="","(sem unidade)",G74),"")</f>
        <v/>
      </c>
      <c r="BE74" s="96" t="str">
        <f>IF(Z74=1,COUNTIF($Z$6:Z74,1),"")</f>
        <v/>
      </c>
      <c r="BF74" s="96" t="str">
        <f>IF(T74="","",IF(T74="RECEBIMENTO NÃO CONFIRMADO","Transp.: "&amp;H74&amp;" | Dest.: "&amp;I74,IF(OR(T74="CDF NÃO LOCALIZADO",T74="VÍNCULO INCOMPLETO",T74="CDF A CONFERIR"),"Dest.: "&amp;I74,"Gerador: "&amp;G74)))</f>
        <v/>
      </c>
    </row>
    <row r="75">
      <c r="A75" s="89" t="inlineStr">
        <is>
          <t>MTR-000070</t>
        </is>
      </c>
      <c r="B75" s="90" t="n"/>
      <c r="C75" s="91" t="n"/>
      <c r="D75" s="91" t="n"/>
      <c r="E75" s="92" t="n"/>
      <c r="F75" s="92" t="n"/>
      <c r="G75" s="91" t="n"/>
      <c r="H75" s="91" t="n"/>
      <c r="I75" s="91" t="n"/>
      <c r="J75" s="91" t="n"/>
      <c r="K75" s="91" t="n"/>
      <c r="L75" s="92" t="n"/>
      <c r="M75" s="91" t="n"/>
      <c r="N75" s="91" t="n"/>
      <c r="O75" s="91" t="n"/>
      <c r="P75" s="93" t="str">
        <f>IF(Z75=0,"",SUMIFS('ITENS_MTR'!$I$6:$I$1005,'ITENS_MTR'!$S$6:$S$1005,A75,'ITENS_MTR'!$Y$6:$Y$1005,1))</f>
        <v/>
      </c>
      <c r="Q75" s="93" t="str">
        <f>IF(Z75=0,"",SUMIFS('RECEBIMENTOS'!$H$6:$H$1005,'RECEBIMENTOS'!$B$6:$B$1005,A75,'RECEBIMENTOS'!$X$6:$X$1005,1))</f>
        <v/>
      </c>
      <c r="R75" s="93" t="str">
        <f>IF(Z75=0,"",SUMIFS('VÍNCULOS_CDF'!$H$6:$H$1005,'VÍNCULOS_CDF'!$D$6:$D$1005,A75,'VÍNCULOS_CDF'!$V$6:$V$1005,1))</f>
        <v/>
      </c>
      <c r="S75" s="94" t="str">
        <f>IF(Z75=0,"",IF(AA75=1,"Cancelado (informado)",IF(AE75=1,"Cadastro incompleto",IF(OR(AC75=1,AD75=1,AF75&gt;0,AH75&gt;0,AK75&gt;0,AL75&gt;0),"Informação a revisar",IF(AN75=0,"Aguardando recebimento",IF(N(R75)=0,"Aguardando CDF",IF(AJ75&lt;N(W75),"Vínculo de CDF parcial",IF(AO75=0,"CDF localizado, a conferir","Documentação conferida"))))))))</f>
        <v/>
      </c>
      <c r="T75" s="94" t="str">
        <f>IF(Z75=0,"",IF(S75="Cadastro incompleto","MTR INCOMPLETO",IF(S75="Informação a revisar",IF(AND(AH75&gt;0,AC75=0,AD75=0,AF75=0,AK75=0,AL75=0),"QUANTIDADE A REVISAR","IDENTIFICAÇÃO A REVISAR"),IF(S75="Aguardando recebimento","RECEBIMENTO NÃO CONFIRMADO",IF(S75="Aguardando CDF","CDF NÃO LOCALIZADO",IF(S75="Vínculo de CDF parcial","VÍNCULO INCOMPLETO",IF(S75="CDF localizado, a conferir","CDF A CONFERIR","")))))))</f>
        <v/>
      </c>
      <c r="U75" s="95" t="str">
        <f>IF(T75="","",IF(AQ75="","Não calculável",IF(AQ75&gt;TODAY(),"Data futura",TODAY()-AQ75)))</f>
        <v/>
      </c>
      <c r="V75" s="93" t="str">
        <f>IF(Z75=0,"",SUMIFS('RECEBIMENTOS'!$H$6:$H$1005,'RECEBIMENTOS'!$B$6:$B$1005,A75,'RECEBIMENTOS'!$Z$6:$Z$1005,1))</f>
        <v/>
      </c>
      <c r="W75" s="95" t="str">
        <f>IF(Z75=0,"",COUNTIFS('ITENS_MTR'!$S$6:$S$1005,A75,'ITENS_MTR'!$R$6:$R$1005,1))</f>
        <v/>
      </c>
      <c r="X75" s="94" t="str">
        <f>IF(AC75=1,"POSSÍVEL DUPLICIDADE","")</f>
        <v/>
      </c>
      <c r="Y75" s="94" t="str">
        <f>IF(Z75=0,"",IF(AW75="","Nenhuma",LEFT(AW75,LEN(AW75)-2)))</f>
        <v/>
      </c>
      <c r="Z75" s="96">
        <f>IF(COUNTA(B75:O75)&gt;0,1,0)</f>
        <v>0</v>
      </c>
      <c r="AA75" s="96">
        <f>IF(AND(Z75=1,K75&lt;&gt;""),IF(TRIM(K75)=TRIM(cfg_cancel),1,0),0)</f>
        <v>0</v>
      </c>
      <c r="AB75" s="96" t="str">
        <f>IF(AND(Z75=1,B75&lt;&gt;""),C75&amp;"|"&amp;D75&amp;"|"&amp;G75&amp;"|"&amp;TRIM(B75),"")</f>
        <v/>
      </c>
      <c r="AC75" s="96">
        <f>IF(AB75="",0,IF(SUMPRODUCT(--($AB$6:$AB$505=AB75))&gt;1,1,0))</f>
        <v>0</v>
      </c>
      <c r="AD75" s="96">
        <f>IF(Z75=0,0,IF(OR(AND(G75&lt;&gt;"",ISNA(MATCH(G75,'CAD_UNIDADES'!$C$6:$C$105,0))),AND(H75&lt;&gt;"",ISNA(MATCH(H75,cmp_transp,0))),AND(I75&lt;&gt;"",ISNA(MATCH(I75,cmp_dest,0))),AND(E75&lt;&gt;"",NOT(ISNUMBER(E75))),AND(F75&lt;&gt;"",NOT(ISNUMBER(F75))),AND(ISNUMBER(E75),ISNUMBER(F75),F75&lt;E75)),1,0))</f>
        <v>0</v>
      </c>
      <c r="AE75" s="96">
        <f>IF(Z75=0,0,IF(OR(B75="",C75="",E75="",G75="",H75="",I75="",N(W75)=0),1,0))</f>
        <v>0</v>
      </c>
      <c r="AF75" s="96">
        <f>IF(Z75=0,0,COUNTIFS('ITENS_MTR'!$S$6:$S$1005,A75,'ITENS_MTR'!$AI$6:$AI$1005,1))</f>
        <v>0</v>
      </c>
      <c r="AG75" s="96">
        <f>IF(Z75=0,0,COUNTIFS('ITENS_MTR'!$S$6:$S$1005,A75,'ITENS_MTR'!$AJ$6:$AJ$1005,1))</f>
        <v>0</v>
      </c>
      <c r="AH75" s="96">
        <f>IF(Z75=0,0,COUNTIFS('ITENS_MTR'!$S$6:$S$1005,A75,'ITENS_MTR'!$AM$6:$AM$1005,1))</f>
        <v>0</v>
      </c>
      <c r="AI75" s="96">
        <f>IF(Z75=0,0,COUNTIFS('ITENS_MTR'!$S$6:$S$1005,A75,'ITENS_MTR'!$AO$6:$AO$1005,1))</f>
        <v>0</v>
      </c>
      <c r="AJ75" s="96">
        <f>IF(Z75=0,0,COUNTIFS('ITENS_MTR'!$S$6:$S$1005,A75,'ITENS_MTR'!$AN$6:$AN$1005,1))</f>
        <v>0</v>
      </c>
      <c r="AK75" s="96">
        <f>IF(Z75=0,0,COUNTIFS('RECEBIMENTOS'!$B$6:$B$1005,A75,'RECEBIMENTOS'!$Y$6:$Y$1005,1))</f>
        <v>0</v>
      </c>
      <c r="AL75" s="96">
        <f>IF(Z75=0,0,COUNTIFS('VÍNCULOS_CDF'!$D$6:$D$1005,A75,'VÍNCULOS_CDF'!$Y$6:$Y$1005,1))</f>
        <v>0</v>
      </c>
      <c r="AM75" s="96">
        <f>IF(Z75=0,0,COUNTIFS('RECEBIMENTOS'!$B$6:$B$1005,A75,'RECEBIMENTOS'!$Q$6:$Q$1005,1))</f>
        <v>0</v>
      </c>
      <c r="AN75" s="96">
        <f>IF(AND(Z75=1,N(W75)&gt;0,AG75=N(W75)),1,0)</f>
        <v>0</v>
      </c>
      <c r="AO75" s="96">
        <f>IF(AND(Z75=1,N(W75)&gt;0,AI75=N(W75)),1,0)</f>
        <v>0</v>
      </c>
      <c r="AP75" s="97">
        <f>IF(Z75=0,0,_xlfn.MAXIFS('RECEBIMENTOS'!$E$6:$E$1005,'RECEBIMENTOS'!$B$6:$B$1005,A75))</f>
        <v>0</v>
      </c>
      <c r="AQ75" s="97" t="str">
        <f>IF(T75="","",IF(T75="RECEBIMENTO NÃO CONFIRMADO",IF(ISNUMBER(F75),F75,IF(ISNUMBER(E75),E75,"")),IF(OR(T75="CDF NÃO LOCALIZADO",T75="VÍNCULO INCOMPLETO",T75="CDF A CONFERIR"),IF(AP75&gt;0,AP75,IF(ISNUMBER(E75),E75,"")),IF(ISNUMBER(E75),E75,""))))</f>
        <v/>
      </c>
      <c r="AR75" s="96">
        <f>IF(NOT(ISNUMBER(U75)),0,IF(T75="RECEBIMENTO NÃO CONFIRMADO",IF(AND(ISNUMBER(cfg_rec),U75&gt;cfg_rec),1,0),IF(OR(T75="CDF NÃO LOCALIZADO",T75="VÍNCULO INCOMPLETO",T75="CDF A CONFERIR"),IF(AND(ISNUMBER(cfg_cdf),U75&gt;cfg_cdf),1,0),0)))</f>
        <v>0</v>
      </c>
      <c r="AS75" s="96" t="str">
        <f>IF(T75="","",IF(AR75=1,"Alta",IFERROR(INDEX(cfg_pp,MATCH(T75,cfg_pt,0))&amp;"","Média")))</f>
        <v/>
      </c>
      <c r="AT75" s="96" t="str">
        <f>IF(T75="","",IFERROR(INDEX(cfg_pv,MATCH(T75,cfg_pt,0))&amp;"",""))</f>
        <v/>
      </c>
      <c r="AU75" s="96" t="str">
        <f>IF(T75="","",IF(AS75="Alta",1,IF(AS75="Média",2,3))*1000000000+(999999-IF(ISNUMBER(U75),MIN(U75,999999),0))*1000+70)</f>
        <v/>
      </c>
      <c r="AV75" s="96">
        <f>IF(T75&lt;&gt;"",1,0)</f>
        <v>0</v>
      </c>
      <c r="AW75" s="96" t="str">
        <f>IF(Z75=0,"",IF(AA75=1,"Cancelamento informado; ","")&amp;IF(AE75=1,"Campos essenciais ou itens faltando; ","")&amp;IF(AC75=1,"Possível duplicidade do número; ","")&amp;IF(AD75=1,"Cadastro ou datas a revisar; ","")&amp;IF(AF75&gt;0,"Item de resíduo com dado a revisar; ","")&amp;IF(AH75&gt;0,"Diferença de quantidade a analisar; ","")&amp;IF(AK75&gt;0,"Recebimento com alerta; ","")&amp;IF(AL75&gt;0,"Vínculo de CDF com alerta; ","")&amp;IF(AND(AA75=0,AN75=0),"Recebimento não confirmado; ","")&amp;IF(AND(AA75=0,AN75=1,AO75=0),"CDF pendente ou a conferir; ",""))</f>
        <v/>
      </c>
      <c r="AX75" s="96">
        <f>IF(Z75=0,0,IF(AND(OR(f_ini="",AND(ISNUMBER(E75),E75&gt;=f_ini)),OR(f_fim="",AND(ISNUMBER(E75),E75&lt;=f_fim)),OR(f_un="",f_un="(Todas)",G75=f_un),OR(f_tr="",f_tr="(Todos)",H75=f_tr),OR(f_de="",f_de="(Todos)",I75=f_de),OR(f_sit="",f_sit="(Todas)",S75=f_sit)),1,0))</f>
        <v>0</v>
      </c>
      <c r="AY75" s="96">
        <f>IF(AX75=0,0,IF(OR(f_res="",f_res="(Todos)"),1,IF(COUNTIFS('ITENS_MTR'!$S$6:$S$1005,A75,'ITENS_MTR'!$C$6:$C$1005,f_res)&gt;0,1,0)))</f>
        <v>0</v>
      </c>
      <c r="AZ75" s="97" t="str">
        <f>IF(ISNUMBER(E75),DATE(YEAR(E75),MONTH(E75),1),"")</f>
        <v/>
      </c>
      <c r="BA75" s="96">
        <f>IF(Z75=0,0,IF(AND(OR(r_ini="",AND(ISNUMBER(E75),E75&gt;=r_ini)),OR(r_fim="",AND(ISNUMBER(E75),E75&lt;=r_fim)),OR(r_un="",r_un="(Todas)",G75=r_un),OR(r_de="",r_de="(Todos)",I75=r_de)),1,0))</f>
        <v>0</v>
      </c>
      <c r="BB75" s="96" t="str">
        <f>IF(BA75=1,COUNTIF($BA$6:BA75,1),"")</f>
        <v/>
      </c>
      <c r="BC75" s="96" t="str">
        <f>IF(AND(AU75&lt;&gt;"",OR(r_un="",r_un="(Todas)",G75=r_un),OR(r_de="",r_de="(Todos)",I75=r_de)),AU75,"")</f>
        <v/>
      </c>
      <c r="BD75" s="96" t="str">
        <f>IF(Z75=1,A75&amp;" | nº "&amp;IF(B75="","(sem número)",B75)&amp;" | "&amp;IF(G75="","(sem unidade)",G75),"")</f>
        <v/>
      </c>
      <c r="BE75" s="96" t="str">
        <f>IF(Z75=1,COUNTIF($Z$6:Z75,1),"")</f>
        <v/>
      </c>
      <c r="BF75" s="96" t="str">
        <f>IF(T75="","",IF(T75="RECEBIMENTO NÃO CONFIRMADO","Transp.: "&amp;H75&amp;" | Dest.: "&amp;I75,IF(OR(T75="CDF NÃO LOCALIZADO",T75="VÍNCULO INCOMPLETO",T75="CDF A CONFERIR"),"Dest.: "&amp;I75,"Gerador: "&amp;G75)))</f>
        <v/>
      </c>
    </row>
    <row r="76">
      <c r="A76" s="89" t="inlineStr">
        <is>
          <t>MTR-000071</t>
        </is>
      </c>
      <c r="B76" s="90" t="n"/>
      <c r="C76" s="91" t="n"/>
      <c r="D76" s="91" t="n"/>
      <c r="E76" s="92" t="n"/>
      <c r="F76" s="92" t="n"/>
      <c r="G76" s="91" t="n"/>
      <c r="H76" s="91" t="n"/>
      <c r="I76" s="91" t="n"/>
      <c r="J76" s="91" t="n"/>
      <c r="K76" s="91" t="n"/>
      <c r="L76" s="92" t="n"/>
      <c r="M76" s="91" t="n"/>
      <c r="N76" s="91" t="n"/>
      <c r="O76" s="91" t="n"/>
      <c r="P76" s="93" t="str">
        <f>IF(Z76=0,"",SUMIFS('ITENS_MTR'!$I$6:$I$1005,'ITENS_MTR'!$S$6:$S$1005,A76,'ITENS_MTR'!$Y$6:$Y$1005,1))</f>
        <v/>
      </c>
      <c r="Q76" s="93" t="str">
        <f>IF(Z76=0,"",SUMIFS('RECEBIMENTOS'!$H$6:$H$1005,'RECEBIMENTOS'!$B$6:$B$1005,A76,'RECEBIMENTOS'!$X$6:$X$1005,1))</f>
        <v/>
      </c>
      <c r="R76" s="93" t="str">
        <f>IF(Z76=0,"",SUMIFS('VÍNCULOS_CDF'!$H$6:$H$1005,'VÍNCULOS_CDF'!$D$6:$D$1005,A76,'VÍNCULOS_CDF'!$V$6:$V$1005,1))</f>
        <v/>
      </c>
      <c r="S76" s="94" t="str">
        <f>IF(Z76=0,"",IF(AA76=1,"Cancelado (informado)",IF(AE76=1,"Cadastro incompleto",IF(OR(AC76=1,AD76=1,AF76&gt;0,AH76&gt;0,AK76&gt;0,AL76&gt;0),"Informação a revisar",IF(AN76=0,"Aguardando recebimento",IF(N(R76)=0,"Aguardando CDF",IF(AJ76&lt;N(W76),"Vínculo de CDF parcial",IF(AO76=0,"CDF localizado, a conferir","Documentação conferida"))))))))</f>
        <v/>
      </c>
      <c r="T76" s="94" t="str">
        <f>IF(Z76=0,"",IF(S76="Cadastro incompleto","MTR INCOMPLETO",IF(S76="Informação a revisar",IF(AND(AH76&gt;0,AC76=0,AD76=0,AF76=0,AK76=0,AL76=0),"QUANTIDADE A REVISAR","IDENTIFICAÇÃO A REVISAR"),IF(S76="Aguardando recebimento","RECEBIMENTO NÃO CONFIRMADO",IF(S76="Aguardando CDF","CDF NÃO LOCALIZADO",IF(S76="Vínculo de CDF parcial","VÍNCULO INCOMPLETO",IF(S76="CDF localizado, a conferir","CDF A CONFERIR","")))))))</f>
        <v/>
      </c>
      <c r="U76" s="95" t="str">
        <f>IF(T76="","",IF(AQ76="","Não calculável",IF(AQ76&gt;TODAY(),"Data futura",TODAY()-AQ76)))</f>
        <v/>
      </c>
      <c r="V76" s="93" t="str">
        <f>IF(Z76=0,"",SUMIFS('RECEBIMENTOS'!$H$6:$H$1005,'RECEBIMENTOS'!$B$6:$B$1005,A76,'RECEBIMENTOS'!$Z$6:$Z$1005,1))</f>
        <v/>
      </c>
      <c r="W76" s="95" t="str">
        <f>IF(Z76=0,"",COUNTIFS('ITENS_MTR'!$S$6:$S$1005,A76,'ITENS_MTR'!$R$6:$R$1005,1))</f>
        <v/>
      </c>
      <c r="X76" s="94" t="str">
        <f>IF(AC76=1,"POSSÍVEL DUPLICIDADE","")</f>
        <v/>
      </c>
      <c r="Y76" s="94" t="str">
        <f>IF(Z76=0,"",IF(AW76="","Nenhuma",LEFT(AW76,LEN(AW76)-2)))</f>
        <v/>
      </c>
      <c r="Z76" s="96">
        <f>IF(COUNTA(B76:O76)&gt;0,1,0)</f>
        <v>0</v>
      </c>
      <c r="AA76" s="96">
        <f>IF(AND(Z76=1,K76&lt;&gt;""),IF(TRIM(K76)=TRIM(cfg_cancel),1,0),0)</f>
        <v>0</v>
      </c>
      <c r="AB76" s="96" t="str">
        <f>IF(AND(Z76=1,B76&lt;&gt;""),C76&amp;"|"&amp;D76&amp;"|"&amp;G76&amp;"|"&amp;TRIM(B76),"")</f>
        <v/>
      </c>
      <c r="AC76" s="96">
        <f>IF(AB76="",0,IF(SUMPRODUCT(--($AB$6:$AB$505=AB76))&gt;1,1,0))</f>
        <v>0</v>
      </c>
      <c r="AD76" s="96">
        <f>IF(Z76=0,0,IF(OR(AND(G76&lt;&gt;"",ISNA(MATCH(G76,'CAD_UNIDADES'!$C$6:$C$105,0))),AND(H76&lt;&gt;"",ISNA(MATCH(H76,cmp_transp,0))),AND(I76&lt;&gt;"",ISNA(MATCH(I76,cmp_dest,0))),AND(E76&lt;&gt;"",NOT(ISNUMBER(E76))),AND(F76&lt;&gt;"",NOT(ISNUMBER(F76))),AND(ISNUMBER(E76),ISNUMBER(F76),F76&lt;E76)),1,0))</f>
        <v>0</v>
      </c>
      <c r="AE76" s="96">
        <f>IF(Z76=0,0,IF(OR(B76="",C76="",E76="",G76="",H76="",I76="",N(W76)=0),1,0))</f>
        <v>0</v>
      </c>
      <c r="AF76" s="96">
        <f>IF(Z76=0,0,COUNTIFS('ITENS_MTR'!$S$6:$S$1005,A76,'ITENS_MTR'!$AI$6:$AI$1005,1))</f>
        <v>0</v>
      </c>
      <c r="AG76" s="96">
        <f>IF(Z76=0,0,COUNTIFS('ITENS_MTR'!$S$6:$S$1005,A76,'ITENS_MTR'!$AJ$6:$AJ$1005,1))</f>
        <v>0</v>
      </c>
      <c r="AH76" s="96">
        <f>IF(Z76=0,0,COUNTIFS('ITENS_MTR'!$S$6:$S$1005,A76,'ITENS_MTR'!$AM$6:$AM$1005,1))</f>
        <v>0</v>
      </c>
      <c r="AI76" s="96">
        <f>IF(Z76=0,0,COUNTIFS('ITENS_MTR'!$S$6:$S$1005,A76,'ITENS_MTR'!$AO$6:$AO$1005,1))</f>
        <v>0</v>
      </c>
      <c r="AJ76" s="96">
        <f>IF(Z76=0,0,COUNTIFS('ITENS_MTR'!$S$6:$S$1005,A76,'ITENS_MTR'!$AN$6:$AN$1005,1))</f>
        <v>0</v>
      </c>
      <c r="AK76" s="96">
        <f>IF(Z76=0,0,COUNTIFS('RECEBIMENTOS'!$B$6:$B$1005,A76,'RECEBIMENTOS'!$Y$6:$Y$1005,1))</f>
        <v>0</v>
      </c>
      <c r="AL76" s="96">
        <f>IF(Z76=0,0,COUNTIFS('VÍNCULOS_CDF'!$D$6:$D$1005,A76,'VÍNCULOS_CDF'!$Y$6:$Y$1005,1))</f>
        <v>0</v>
      </c>
      <c r="AM76" s="96">
        <f>IF(Z76=0,0,COUNTIFS('RECEBIMENTOS'!$B$6:$B$1005,A76,'RECEBIMENTOS'!$Q$6:$Q$1005,1))</f>
        <v>0</v>
      </c>
      <c r="AN76" s="96">
        <f>IF(AND(Z76=1,N(W76)&gt;0,AG76=N(W76)),1,0)</f>
        <v>0</v>
      </c>
      <c r="AO76" s="96">
        <f>IF(AND(Z76=1,N(W76)&gt;0,AI76=N(W76)),1,0)</f>
        <v>0</v>
      </c>
      <c r="AP76" s="97">
        <f>IF(Z76=0,0,_xlfn.MAXIFS('RECEBIMENTOS'!$E$6:$E$1005,'RECEBIMENTOS'!$B$6:$B$1005,A76))</f>
        <v>0</v>
      </c>
      <c r="AQ76" s="97" t="str">
        <f>IF(T76="","",IF(T76="RECEBIMENTO NÃO CONFIRMADO",IF(ISNUMBER(F76),F76,IF(ISNUMBER(E76),E76,"")),IF(OR(T76="CDF NÃO LOCALIZADO",T76="VÍNCULO INCOMPLETO",T76="CDF A CONFERIR"),IF(AP76&gt;0,AP76,IF(ISNUMBER(E76),E76,"")),IF(ISNUMBER(E76),E76,""))))</f>
        <v/>
      </c>
      <c r="AR76" s="96">
        <f>IF(NOT(ISNUMBER(U76)),0,IF(T76="RECEBIMENTO NÃO CONFIRMADO",IF(AND(ISNUMBER(cfg_rec),U76&gt;cfg_rec),1,0),IF(OR(T76="CDF NÃO LOCALIZADO",T76="VÍNCULO INCOMPLETO",T76="CDF A CONFERIR"),IF(AND(ISNUMBER(cfg_cdf),U76&gt;cfg_cdf),1,0),0)))</f>
        <v>0</v>
      </c>
      <c r="AS76" s="96" t="str">
        <f>IF(T76="","",IF(AR76=1,"Alta",IFERROR(INDEX(cfg_pp,MATCH(T76,cfg_pt,0))&amp;"","Média")))</f>
        <v/>
      </c>
      <c r="AT76" s="96" t="str">
        <f>IF(T76="","",IFERROR(INDEX(cfg_pv,MATCH(T76,cfg_pt,0))&amp;"",""))</f>
        <v/>
      </c>
      <c r="AU76" s="96" t="str">
        <f>IF(T76="","",IF(AS76="Alta",1,IF(AS76="Média",2,3))*1000000000+(999999-IF(ISNUMBER(U76),MIN(U76,999999),0))*1000+71)</f>
        <v/>
      </c>
      <c r="AV76" s="96">
        <f>IF(T76&lt;&gt;"",1,0)</f>
        <v>0</v>
      </c>
      <c r="AW76" s="96" t="str">
        <f>IF(Z76=0,"",IF(AA76=1,"Cancelamento informado; ","")&amp;IF(AE76=1,"Campos essenciais ou itens faltando; ","")&amp;IF(AC76=1,"Possível duplicidade do número; ","")&amp;IF(AD76=1,"Cadastro ou datas a revisar; ","")&amp;IF(AF76&gt;0,"Item de resíduo com dado a revisar; ","")&amp;IF(AH76&gt;0,"Diferença de quantidade a analisar; ","")&amp;IF(AK76&gt;0,"Recebimento com alerta; ","")&amp;IF(AL76&gt;0,"Vínculo de CDF com alerta; ","")&amp;IF(AND(AA76=0,AN76=0),"Recebimento não confirmado; ","")&amp;IF(AND(AA76=0,AN76=1,AO76=0),"CDF pendente ou a conferir; ",""))</f>
        <v/>
      </c>
      <c r="AX76" s="96">
        <f>IF(Z76=0,0,IF(AND(OR(f_ini="",AND(ISNUMBER(E76),E76&gt;=f_ini)),OR(f_fim="",AND(ISNUMBER(E76),E76&lt;=f_fim)),OR(f_un="",f_un="(Todas)",G76=f_un),OR(f_tr="",f_tr="(Todos)",H76=f_tr),OR(f_de="",f_de="(Todos)",I76=f_de),OR(f_sit="",f_sit="(Todas)",S76=f_sit)),1,0))</f>
        <v>0</v>
      </c>
      <c r="AY76" s="96">
        <f>IF(AX76=0,0,IF(OR(f_res="",f_res="(Todos)"),1,IF(COUNTIFS('ITENS_MTR'!$S$6:$S$1005,A76,'ITENS_MTR'!$C$6:$C$1005,f_res)&gt;0,1,0)))</f>
        <v>0</v>
      </c>
      <c r="AZ76" s="97" t="str">
        <f>IF(ISNUMBER(E76),DATE(YEAR(E76),MONTH(E76),1),"")</f>
        <v/>
      </c>
      <c r="BA76" s="96">
        <f>IF(Z76=0,0,IF(AND(OR(r_ini="",AND(ISNUMBER(E76),E76&gt;=r_ini)),OR(r_fim="",AND(ISNUMBER(E76),E76&lt;=r_fim)),OR(r_un="",r_un="(Todas)",G76=r_un),OR(r_de="",r_de="(Todos)",I76=r_de)),1,0))</f>
        <v>0</v>
      </c>
      <c r="BB76" s="96" t="str">
        <f>IF(BA76=1,COUNTIF($BA$6:BA76,1),"")</f>
        <v/>
      </c>
      <c r="BC76" s="96" t="str">
        <f>IF(AND(AU76&lt;&gt;"",OR(r_un="",r_un="(Todas)",G76=r_un),OR(r_de="",r_de="(Todos)",I76=r_de)),AU76,"")</f>
        <v/>
      </c>
      <c r="BD76" s="96" t="str">
        <f>IF(Z76=1,A76&amp;" | nº "&amp;IF(B76="","(sem número)",B76)&amp;" | "&amp;IF(G76="","(sem unidade)",G76),"")</f>
        <v/>
      </c>
      <c r="BE76" s="96" t="str">
        <f>IF(Z76=1,COUNTIF($Z$6:Z76,1),"")</f>
        <v/>
      </c>
      <c r="BF76" s="96" t="str">
        <f>IF(T76="","",IF(T76="RECEBIMENTO NÃO CONFIRMADO","Transp.: "&amp;H76&amp;" | Dest.: "&amp;I76,IF(OR(T76="CDF NÃO LOCALIZADO",T76="VÍNCULO INCOMPLETO",T76="CDF A CONFERIR"),"Dest.: "&amp;I76,"Gerador: "&amp;G76)))</f>
        <v/>
      </c>
    </row>
    <row r="77">
      <c r="A77" s="89" t="inlineStr">
        <is>
          <t>MTR-000072</t>
        </is>
      </c>
      <c r="B77" s="90" t="n"/>
      <c r="C77" s="91" t="n"/>
      <c r="D77" s="91" t="n"/>
      <c r="E77" s="92" t="n"/>
      <c r="F77" s="92" t="n"/>
      <c r="G77" s="91" t="n"/>
      <c r="H77" s="91" t="n"/>
      <c r="I77" s="91" t="n"/>
      <c r="J77" s="91" t="n"/>
      <c r="K77" s="91" t="n"/>
      <c r="L77" s="92" t="n"/>
      <c r="M77" s="91" t="n"/>
      <c r="N77" s="91" t="n"/>
      <c r="O77" s="91" t="n"/>
      <c r="P77" s="93" t="str">
        <f>IF(Z77=0,"",SUMIFS('ITENS_MTR'!$I$6:$I$1005,'ITENS_MTR'!$S$6:$S$1005,A77,'ITENS_MTR'!$Y$6:$Y$1005,1))</f>
        <v/>
      </c>
      <c r="Q77" s="93" t="str">
        <f>IF(Z77=0,"",SUMIFS('RECEBIMENTOS'!$H$6:$H$1005,'RECEBIMENTOS'!$B$6:$B$1005,A77,'RECEBIMENTOS'!$X$6:$X$1005,1))</f>
        <v/>
      </c>
      <c r="R77" s="93" t="str">
        <f>IF(Z77=0,"",SUMIFS('VÍNCULOS_CDF'!$H$6:$H$1005,'VÍNCULOS_CDF'!$D$6:$D$1005,A77,'VÍNCULOS_CDF'!$V$6:$V$1005,1))</f>
        <v/>
      </c>
      <c r="S77" s="94" t="str">
        <f>IF(Z77=0,"",IF(AA77=1,"Cancelado (informado)",IF(AE77=1,"Cadastro incompleto",IF(OR(AC77=1,AD77=1,AF77&gt;0,AH77&gt;0,AK77&gt;0,AL77&gt;0),"Informação a revisar",IF(AN77=0,"Aguardando recebimento",IF(N(R77)=0,"Aguardando CDF",IF(AJ77&lt;N(W77),"Vínculo de CDF parcial",IF(AO77=0,"CDF localizado, a conferir","Documentação conferida"))))))))</f>
        <v/>
      </c>
      <c r="T77" s="94" t="str">
        <f>IF(Z77=0,"",IF(S77="Cadastro incompleto","MTR INCOMPLETO",IF(S77="Informação a revisar",IF(AND(AH77&gt;0,AC77=0,AD77=0,AF77=0,AK77=0,AL77=0),"QUANTIDADE A REVISAR","IDENTIFICAÇÃO A REVISAR"),IF(S77="Aguardando recebimento","RECEBIMENTO NÃO CONFIRMADO",IF(S77="Aguardando CDF","CDF NÃO LOCALIZADO",IF(S77="Vínculo de CDF parcial","VÍNCULO INCOMPLETO",IF(S77="CDF localizado, a conferir","CDF A CONFERIR","")))))))</f>
        <v/>
      </c>
      <c r="U77" s="95" t="str">
        <f>IF(T77="","",IF(AQ77="","Não calculável",IF(AQ77&gt;TODAY(),"Data futura",TODAY()-AQ77)))</f>
        <v/>
      </c>
      <c r="V77" s="93" t="str">
        <f>IF(Z77=0,"",SUMIFS('RECEBIMENTOS'!$H$6:$H$1005,'RECEBIMENTOS'!$B$6:$B$1005,A77,'RECEBIMENTOS'!$Z$6:$Z$1005,1))</f>
        <v/>
      </c>
      <c r="W77" s="95" t="str">
        <f>IF(Z77=0,"",COUNTIFS('ITENS_MTR'!$S$6:$S$1005,A77,'ITENS_MTR'!$R$6:$R$1005,1))</f>
        <v/>
      </c>
      <c r="X77" s="94" t="str">
        <f>IF(AC77=1,"POSSÍVEL DUPLICIDADE","")</f>
        <v/>
      </c>
      <c r="Y77" s="94" t="str">
        <f>IF(Z77=0,"",IF(AW77="","Nenhuma",LEFT(AW77,LEN(AW77)-2)))</f>
        <v/>
      </c>
      <c r="Z77" s="96">
        <f>IF(COUNTA(B77:O77)&gt;0,1,0)</f>
        <v>0</v>
      </c>
      <c r="AA77" s="96">
        <f>IF(AND(Z77=1,K77&lt;&gt;""),IF(TRIM(K77)=TRIM(cfg_cancel),1,0),0)</f>
        <v>0</v>
      </c>
      <c r="AB77" s="96" t="str">
        <f>IF(AND(Z77=1,B77&lt;&gt;""),C77&amp;"|"&amp;D77&amp;"|"&amp;G77&amp;"|"&amp;TRIM(B77),"")</f>
        <v/>
      </c>
      <c r="AC77" s="96">
        <f>IF(AB77="",0,IF(SUMPRODUCT(--($AB$6:$AB$505=AB77))&gt;1,1,0))</f>
        <v>0</v>
      </c>
      <c r="AD77" s="96">
        <f>IF(Z77=0,0,IF(OR(AND(G77&lt;&gt;"",ISNA(MATCH(G77,'CAD_UNIDADES'!$C$6:$C$105,0))),AND(H77&lt;&gt;"",ISNA(MATCH(H77,cmp_transp,0))),AND(I77&lt;&gt;"",ISNA(MATCH(I77,cmp_dest,0))),AND(E77&lt;&gt;"",NOT(ISNUMBER(E77))),AND(F77&lt;&gt;"",NOT(ISNUMBER(F77))),AND(ISNUMBER(E77),ISNUMBER(F77),F77&lt;E77)),1,0))</f>
        <v>0</v>
      </c>
      <c r="AE77" s="96">
        <f>IF(Z77=0,0,IF(OR(B77="",C77="",E77="",G77="",H77="",I77="",N(W77)=0),1,0))</f>
        <v>0</v>
      </c>
      <c r="AF77" s="96">
        <f>IF(Z77=0,0,COUNTIFS('ITENS_MTR'!$S$6:$S$1005,A77,'ITENS_MTR'!$AI$6:$AI$1005,1))</f>
        <v>0</v>
      </c>
      <c r="AG77" s="96">
        <f>IF(Z77=0,0,COUNTIFS('ITENS_MTR'!$S$6:$S$1005,A77,'ITENS_MTR'!$AJ$6:$AJ$1005,1))</f>
        <v>0</v>
      </c>
      <c r="AH77" s="96">
        <f>IF(Z77=0,0,COUNTIFS('ITENS_MTR'!$S$6:$S$1005,A77,'ITENS_MTR'!$AM$6:$AM$1005,1))</f>
        <v>0</v>
      </c>
      <c r="AI77" s="96">
        <f>IF(Z77=0,0,COUNTIFS('ITENS_MTR'!$S$6:$S$1005,A77,'ITENS_MTR'!$AO$6:$AO$1005,1))</f>
        <v>0</v>
      </c>
      <c r="AJ77" s="96">
        <f>IF(Z77=0,0,COUNTIFS('ITENS_MTR'!$S$6:$S$1005,A77,'ITENS_MTR'!$AN$6:$AN$1005,1))</f>
        <v>0</v>
      </c>
      <c r="AK77" s="96">
        <f>IF(Z77=0,0,COUNTIFS('RECEBIMENTOS'!$B$6:$B$1005,A77,'RECEBIMENTOS'!$Y$6:$Y$1005,1))</f>
        <v>0</v>
      </c>
      <c r="AL77" s="96">
        <f>IF(Z77=0,0,COUNTIFS('VÍNCULOS_CDF'!$D$6:$D$1005,A77,'VÍNCULOS_CDF'!$Y$6:$Y$1005,1))</f>
        <v>0</v>
      </c>
      <c r="AM77" s="96">
        <f>IF(Z77=0,0,COUNTIFS('RECEBIMENTOS'!$B$6:$B$1005,A77,'RECEBIMENTOS'!$Q$6:$Q$1005,1))</f>
        <v>0</v>
      </c>
      <c r="AN77" s="96">
        <f>IF(AND(Z77=1,N(W77)&gt;0,AG77=N(W77)),1,0)</f>
        <v>0</v>
      </c>
      <c r="AO77" s="96">
        <f>IF(AND(Z77=1,N(W77)&gt;0,AI77=N(W77)),1,0)</f>
        <v>0</v>
      </c>
      <c r="AP77" s="97">
        <f>IF(Z77=0,0,_xlfn.MAXIFS('RECEBIMENTOS'!$E$6:$E$1005,'RECEBIMENTOS'!$B$6:$B$1005,A77))</f>
        <v>0</v>
      </c>
      <c r="AQ77" s="97" t="str">
        <f>IF(T77="","",IF(T77="RECEBIMENTO NÃO CONFIRMADO",IF(ISNUMBER(F77),F77,IF(ISNUMBER(E77),E77,"")),IF(OR(T77="CDF NÃO LOCALIZADO",T77="VÍNCULO INCOMPLETO",T77="CDF A CONFERIR"),IF(AP77&gt;0,AP77,IF(ISNUMBER(E77),E77,"")),IF(ISNUMBER(E77),E77,""))))</f>
        <v/>
      </c>
      <c r="AR77" s="96">
        <f>IF(NOT(ISNUMBER(U77)),0,IF(T77="RECEBIMENTO NÃO CONFIRMADO",IF(AND(ISNUMBER(cfg_rec),U77&gt;cfg_rec),1,0),IF(OR(T77="CDF NÃO LOCALIZADO",T77="VÍNCULO INCOMPLETO",T77="CDF A CONFERIR"),IF(AND(ISNUMBER(cfg_cdf),U77&gt;cfg_cdf),1,0),0)))</f>
        <v>0</v>
      </c>
      <c r="AS77" s="96" t="str">
        <f>IF(T77="","",IF(AR77=1,"Alta",IFERROR(INDEX(cfg_pp,MATCH(T77,cfg_pt,0))&amp;"","Média")))</f>
        <v/>
      </c>
      <c r="AT77" s="96" t="str">
        <f>IF(T77="","",IFERROR(INDEX(cfg_pv,MATCH(T77,cfg_pt,0))&amp;"",""))</f>
        <v/>
      </c>
      <c r="AU77" s="96" t="str">
        <f>IF(T77="","",IF(AS77="Alta",1,IF(AS77="Média",2,3))*1000000000+(999999-IF(ISNUMBER(U77),MIN(U77,999999),0))*1000+72)</f>
        <v/>
      </c>
      <c r="AV77" s="96">
        <f>IF(T77&lt;&gt;"",1,0)</f>
        <v>0</v>
      </c>
      <c r="AW77" s="96" t="str">
        <f>IF(Z77=0,"",IF(AA77=1,"Cancelamento informado; ","")&amp;IF(AE77=1,"Campos essenciais ou itens faltando; ","")&amp;IF(AC77=1,"Possível duplicidade do número; ","")&amp;IF(AD77=1,"Cadastro ou datas a revisar; ","")&amp;IF(AF77&gt;0,"Item de resíduo com dado a revisar; ","")&amp;IF(AH77&gt;0,"Diferença de quantidade a analisar; ","")&amp;IF(AK77&gt;0,"Recebimento com alerta; ","")&amp;IF(AL77&gt;0,"Vínculo de CDF com alerta; ","")&amp;IF(AND(AA77=0,AN77=0),"Recebimento não confirmado; ","")&amp;IF(AND(AA77=0,AN77=1,AO77=0),"CDF pendente ou a conferir; ",""))</f>
        <v/>
      </c>
      <c r="AX77" s="96">
        <f>IF(Z77=0,0,IF(AND(OR(f_ini="",AND(ISNUMBER(E77),E77&gt;=f_ini)),OR(f_fim="",AND(ISNUMBER(E77),E77&lt;=f_fim)),OR(f_un="",f_un="(Todas)",G77=f_un),OR(f_tr="",f_tr="(Todos)",H77=f_tr),OR(f_de="",f_de="(Todos)",I77=f_de),OR(f_sit="",f_sit="(Todas)",S77=f_sit)),1,0))</f>
        <v>0</v>
      </c>
      <c r="AY77" s="96">
        <f>IF(AX77=0,0,IF(OR(f_res="",f_res="(Todos)"),1,IF(COUNTIFS('ITENS_MTR'!$S$6:$S$1005,A77,'ITENS_MTR'!$C$6:$C$1005,f_res)&gt;0,1,0)))</f>
        <v>0</v>
      </c>
      <c r="AZ77" s="97" t="str">
        <f>IF(ISNUMBER(E77),DATE(YEAR(E77),MONTH(E77),1),"")</f>
        <v/>
      </c>
      <c r="BA77" s="96">
        <f>IF(Z77=0,0,IF(AND(OR(r_ini="",AND(ISNUMBER(E77),E77&gt;=r_ini)),OR(r_fim="",AND(ISNUMBER(E77),E77&lt;=r_fim)),OR(r_un="",r_un="(Todas)",G77=r_un),OR(r_de="",r_de="(Todos)",I77=r_de)),1,0))</f>
        <v>0</v>
      </c>
      <c r="BB77" s="96" t="str">
        <f>IF(BA77=1,COUNTIF($BA$6:BA77,1),"")</f>
        <v/>
      </c>
      <c r="BC77" s="96" t="str">
        <f>IF(AND(AU77&lt;&gt;"",OR(r_un="",r_un="(Todas)",G77=r_un),OR(r_de="",r_de="(Todos)",I77=r_de)),AU77,"")</f>
        <v/>
      </c>
      <c r="BD77" s="96" t="str">
        <f>IF(Z77=1,A77&amp;" | nº "&amp;IF(B77="","(sem número)",B77)&amp;" | "&amp;IF(G77="","(sem unidade)",G77),"")</f>
        <v/>
      </c>
      <c r="BE77" s="96" t="str">
        <f>IF(Z77=1,COUNTIF($Z$6:Z77,1),"")</f>
        <v/>
      </c>
      <c r="BF77" s="96" t="str">
        <f>IF(T77="","",IF(T77="RECEBIMENTO NÃO CONFIRMADO","Transp.: "&amp;H77&amp;" | Dest.: "&amp;I77,IF(OR(T77="CDF NÃO LOCALIZADO",T77="VÍNCULO INCOMPLETO",T77="CDF A CONFERIR"),"Dest.: "&amp;I77,"Gerador: "&amp;G77)))</f>
        <v/>
      </c>
    </row>
    <row r="78">
      <c r="A78" s="89" t="inlineStr">
        <is>
          <t>MTR-000073</t>
        </is>
      </c>
      <c r="B78" s="90" t="n"/>
      <c r="C78" s="91" t="n"/>
      <c r="D78" s="91" t="n"/>
      <c r="E78" s="92" t="n"/>
      <c r="F78" s="92" t="n"/>
      <c r="G78" s="91" t="n"/>
      <c r="H78" s="91" t="n"/>
      <c r="I78" s="91" t="n"/>
      <c r="J78" s="91" t="n"/>
      <c r="K78" s="91" t="n"/>
      <c r="L78" s="92" t="n"/>
      <c r="M78" s="91" t="n"/>
      <c r="N78" s="91" t="n"/>
      <c r="O78" s="91" t="n"/>
      <c r="P78" s="93" t="str">
        <f>IF(Z78=0,"",SUMIFS('ITENS_MTR'!$I$6:$I$1005,'ITENS_MTR'!$S$6:$S$1005,A78,'ITENS_MTR'!$Y$6:$Y$1005,1))</f>
        <v/>
      </c>
      <c r="Q78" s="93" t="str">
        <f>IF(Z78=0,"",SUMIFS('RECEBIMENTOS'!$H$6:$H$1005,'RECEBIMENTOS'!$B$6:$B$1005,A78,'RECEBIMENTOS'!$X$6:$X$1005,1))</f>
        <v/>
      </c>
      <c r="R78" s="93" t="str">
        <f>IF(Z78=0,"",SUMIFS('VÍNCULOS_CDF'!$H$6:$H$1005,'VÍNCULOS_CDF'!$D$6:$D$1005,A78,'VÍNCULOS_CDF'!$V$6:$V$1005,1))</f>
        <v/>
      </c>
      <c r="S78" s="94" t="str">
        <f>IF(Z78=0,"",IF(AA78=1,"Cancelado (informado)",IF(AE78=1,"Cadastro incompleto",IF(OR(AC78=1,AD78=1,AF78&gt;0,AH78&gt;0,AK78&gt;0,AL78&gt;0),"Informação a revisar",IF(AN78=0,"Aguardando recebimento",IF(N(R78)=0,"Aguardando CDF",IF(AJ78&lt;N(W78),"Vínculo de CDF parcial",IF(AO78=0,"CDF localizado, a conferir","Documentação conferida"))))))))</f>
        <v/>
      </c>
      <c r="T78" s="94" t="str">
        <f>IF(Z78=0,"",IF(S78="Cadastro incompleto","MTR INCOMPLETO",IF(S78="Informação a revisar",IF(AND(AH78&gt;0,AC78=0,AD78=0,AF78=0,AK78=0,AL78=0),"QUANTIDADE A REVISAR","IDENTIFICAÇÃO A REVISAR"),IF(S78="Aguardando recebimento","RECEBIMENTO NÃO CONFIRMADO",IF(S78="Aguardando CDF","CDF NÃO LOCALIZADO",IF(S78="Vínculo de CDF parcial","VÍNCULO INCOMPLETO",IF(S78="CDF localizado, a conferir","CDF A CONFERIR","")))))))</f>
        <v/>
      </c>
      <c r="U78" s="95" t="str">
        <f>IF(T78="","",IF(AQ78="","Não calculável",IF(AQ78&gt;TODAY(),"Data futura",TODAY()-AQ78)))</f>
        <v/>
      </c>
      <c r="V78" s="93" t="str">
        <f>IF(Z78=0,"",SUMIFS('RECEBIMENTOS'!$H$6:$H$1005,'RECEBIMENTOS'!$B$6:$B$1005,A78,'RECEBIMENTOS'!$Z$6:$Z$1005,1))</f>
        <v/>
      </c>
      <c r="W78" s="95" t="str">
        <f>IF(Z78=0,"",COUNTIFS('ITENS_MTR'!$S$6:$S$1005,A78,'ITENS_MTR'!$R$6:$R$1005,1))</f>
        <v/>
      </c>
      <c r="X78" s="94" t="str">
        <f>IF(AC78=1,"POSSÍVEL DUPLICIDADE","")</f>
        <v/>
      </c>
      <c r="Y78" s="94" t="str">
        <f>IF(Z78=0,"",IF(AW78="","Nenhuma",LEFT(AW78,LEN(AW78)-2)))</f>
        <v/>
      </c>
      <c r="Z78" s="96">
        <f>IF(COUNTA(B78:O78)&gt;0,1,0)</f>
        <v>0</v>
      </c>
      <c r="AA78" s="96">
        <f>IF(AND(Z78=1,K78&lt;&gt;""),IF(TRIM(K78)=TRIM(cfg_cancel),1,0),0)</f>
        <v>0</v>
      </c>
      <c r="AB78" s="96" t="str">
        <f>IF(AND(Z78=1,B78&lt;&gt;""),C78&amp;"|"&amp;D78&amp;"|"&amp;G78&amp;"|"&amp;TRIM(B78),"")</f>
        <v/>
      </c>
      <c r="AC78" s="96">
        <f>IF(AB78="",0,IF(SUMPRODUCT(--($AB$6:$AB$505=AB78))&gt;1,1,0))</f>
        <v>0</v>
      </c>
      <c r="AD78" s="96">
        <f>IF(Z78=0,0,IF(OR(AND(G78&lt;&gt;"",ISNA(MATCH(G78,'CAD_UNIDADES'!$C$6:$C$105,0))),AND(H78&lt;&gt;"",ISNA(MATCH(H78,cmp_transp,0))),AND(I78&lt;&gt;"",ISNA(MATCH(I78,cmp_dest,0))),AND(E78&lt;&gt;"",NOT(ISNUMBER(E78))),AND(F78&lt;&gt;"",NOT(ISNUMBER(F78))),AND(ISNUMBER(E78),ISNUMBER(F78),F78&lt;E78)),1,0))</f>
        <v>0</v>
      </c>
      <c r="AE78" s="96">
        <f>IF(Z78=0,0,IF(OR(B78="",C78="",E78="",G78="",H78="",I78="",N(W78)=0),1,0))</f>
        <v>0</v>
      </c>
      <c r="AF78" s="96">
        <f>IF(Z78=0,0,COUNTIFS('ITENS_MTR'!$S$6:$S$1005,A78,'ITENS_MTR'!$AI$6:$AI$1005,1))</f>
        <v>0</v>
      </c>
      <c r="AG78" s="96">
        <f>IF(Z78=0,0,COUNTIFS('ITENS_MTR'!$S$6:$S$1005,A78,'ITENS_MTR'!$AJ$6:$AJ$1005,1))</f>
        <v>0</v>
      </c>
      <c r="AH78" s="96">
        <f>IF(Z78=0,0,COUNTIFS('ITENS_MTR'!$S$6:$S$1005,A78,'ITENS_MTR'!$AM$6:$AM$1005,1))</f>
        <v>0</v>
      </c>
      <c r="AI78" s="96">
        <f>IF(Z78=0,0,COUNTIFS('ITENS_MTR'!$S$6:$S$1005,A78,'ITENS_MTR'!$AO$6:$AO$1005,1))</f>
        <v>0</v>
      </c>
      <c r="AJ78" s="96">
        <f>IF(Z78=0,0,COUNTIFS('ITENS_MTR'!$S$6:$S$1005,A78,'ITENS_MTR'!$AN$6:$AN$1005,1))</f>
        <v>0</v>
      </c>
      <c r="AK78" s="96">
        <f>IF(Z78=0,0,COUNTIFS('RECEBIMENTOS'!$B$6:$B$1005,A78,'RECEBIMENTOS'!$Y$6:$Y$1005,1))</f>
        <v>0</v>
      </c>
      <c r="AL78" s="96">
        <f>IF(Z78=0,0,COUNTIFS('VÍNCULOS_CDF'!$D$6:$D$1005,A78,'VÍNCULOS_CDF'!$Y$6:$Y$1005,1))</f>
        <v>0</v>
      </c>
      <c r="AM78" s="96">
        <f>IF(Z78=0,0,COUNTIFS('RECEBIMENTOS'!$B$6:$B$1005,A78,'RECEBIMENTOS'!$Q$6:$Q$1005,1))</f>
        <v>0</v>
      </c>
      <c r="AN78" s="96">
        <f>IF(AND(Z78=1,N(W78)&gt;0,AG78=N(W78)),1,0)</f>
        <v>0</v>
      </c>
      <c r="AO78" s="96">
        <f>IF(AND(Z78=1,N(W78)&gt;0,AI78=N(W78)),1,0)</f>
        <v>0</v>
      </c>
      <c r="AP78" s="97">
        <f>IF(Z78=0,0,_xlfn.MAXIFS('RECEBIMENTOS'!$E$6:$E$1005,'RECEBIMENTOS'!$B$6:$B$1005,A78))</f>
        <v>0</v>
      </c>
      <c r="AQ78" s="97" t="str">
        <f>IF(T78="","",IF(T78="RECEBIMENTO NÃO CONFIRMADO",IF(ISNUMBER(F78),F78,IF(ISNUMBER(E78),E78,"")),IF(OR(T78="CDF NÃO LOCALIZADO",T78="VÍNCULO INCOMPLETO",T78="CDF A CONFERIR"),IF(AP78&gt;0,AP78,IF(ISNUMBER(E78),E78,"")),IF(ISNUMBER(E78),E78,""))))</f>
        <v/>
      </c>
      <c r="AR78" s="96">
        <f>IF(NOT(ISNUMBER(U78)),0,IF(T78="RECEBIMENTO NÃO CONFIRMADO",IF(AND(ISNUMBER(cfg_rec),U78&gt;cfg_rec),1,0),IF(OR(T78="CDF NÃO LOCALIZADO",T78="VÍNCULO INCOMPLETO",T78="CDF A CONFERIR"),IF(AND(ISNUMBER(cfg_cdf),U78&gt;cfg_cdf),1,0),0)))</f>
        <v>0</v>
      </c>
      <c r="AS78" s="96" t="str">
        <f>IF(T78="","",IF(AR78=1,"Alta",IFERROR(INDEX(cfg_pp,MATCH(T78,cfg_pt,0))&amp;"","Média")))</f>
        <v/>
      </c>
      <c r="AT78" s="96" t="str">
        <f>IF(T78="","",IFERROR(INDEX(cfg_pv,MATCH(T78,cfg_pt,0))&amp;"",""))</f>
        <v/>
      </c>
      <c r="AU78" s="96" t="str">
        <f>IF(T78="","",IF(AS78="Alta",1,IF(AS78="Média",2,3))*1000000000+(999999-IF(ISNUMBER(U78),MIN(U78,999999),0))*1000+73)</f>
        <v/>
      </c>
      <c r="AV78" s="96">
        <f>IF(T78&lt;&gt;"",1,0)</f>
        <v>0</v>
      </c>
      <c r="AW78" s="96" t="str">
        <f>IF(Z78=0,"",IF(AA78=1,"Cancelamento informado; ","")&amp;IF(AE78=1,"Campos essenciais ou itens faltando; ","")&amp;IF(AC78=1,"Possível duplicidade do número; ","")&amp;IF(AD78=1,"Cadastro ou datas a revisar; ","")&amp;IF(AF78&gt;0,"Item de resíduo com dado a revisar; ","")&amp;IF(AH78&gt;0,"Diferença de quantidade a analisar; ","")&amp;IF(AK78&gt;0,"Recebimento com alerta; ","")&amp;IF(AL78&gt;0,"Vínculo de CDF com alerta; ","")&amp;IF(AND(AA78=0,AN78=0),"Recebimento não confirmado; ","")&amp;IF(AND(AA78=0,AN78=1,AO78=0),"CDF pendente ou a conferir; ",""))</f>
        <v/>
      </c>
      <c r="AX78" s="96">
        <f>IF(Z78=0,0,IF(AND(OR(f_ini="",AND(ISNUMBER(E78),E78&gt;=f_ini)),OR(f_fim="",AND(ISNUMBER(E78),E78&lt;=f_fim)),OR(f_un="",f_un="(Todas)",G78=f_un),OR(f_tr="",f_tr="(Todos)",H78=f_tr),OR(f_de="",f_de="(Todos)",I78=f_de),OR(f_sit="",f_sit="(Todas)",S78=f_sit)),1,0))</f>
        <v>0</v>
      </c>
      <c r="AY78" s="96">
        <f>IF(AX78=0,0,IF(OR(f_res="",f_res="(Todos)"),1,IF(COUNTIFS('ITENS_MTR'!$S$6:$S$1005,A78,'ITENS_MTR'!$C$6:$C$1005,f_res)&gt;0,1,0)))</f>
        <v>0</v>
      </c>
      <c r="AZ78" s="97" t="str">
        <f>IF(ISNUMBER(E78),DATE(YEAR(E78),MONTH(E78),1),"")</f>
        <v/>
      </c>
      <c r="BA78" s="96">
        <f>IF(Z78=0,0,IF(AND(OR(r_ini="",AND(ISNUMBER(E78),E78&gt;=r_ini)),OR(r_fim="",AND(ISNUMBER(E78),E78&lt;=r_fim)),OR(r_un="",r_un="(Todas)",G78=r_un),OR(r_de="",r_de="(Todos)",I78=r_de)),1,0))</f>
        <v>0</v>
      </c>
      <c r="BB78" s="96" t="str">
        <f>IF(BA78=1,COUNTIF($BA$6:BA78,1),"")</f>
        <v/>
      </c>
      <c r="BC78" s="96" t="str">
        <f>IF(AND(AU78&lt;&gt;"",OR(r_un="",r_un="(Todas)",G78=r_un),OR(r_de="",r_de="(Todos)",I78=r_de)),AU78,"")</f>
        <v/>
      </c>
      <c r="BD78" s="96" t="str">
        <f>IF(Z78=1,A78&amp;" | nº "&amp;IF(B78="","(sem número)",B78)&amp;" | "&amp;IF(G78="","(sem unidade)",G78),"")</f>
        <v/>
      </c>
      <c r="BE78" s="96" t="str">
        <f>IF(Z78=1,COUNTIF($Z$6:Z78,1),"")</f>
        <v/>
      </c>
      <c r="BF78" s="96" t="str">
        <f>IF(T78="","",IF(T78="RECEBIMENTO NÃO CONFIRMADO","Transp.: "&amp;H78&amp;" | Dest.: "&amp;I78,IF(OR(T78="CDF NÃO LOCALIZADO",T78="VÍNCULO INCOMPLETO",T78="CDF A CONFERIR"),"Dest.: "&amp;I78,"Gerador: "&amp;G78)))</f>
        <v/>
      </c>
    </row>
    <row r="79">
      <c r="A79" s="89" t="inlineStr">
        <is>
          <t>MTR-000074</t>
        </is>
      </c>
      <c r="B79" s="90" t="n"/>
      <c r="C79" s="91" t="n"/>
      <c r="D79" s="91" t="n"/>
      <c r="E79" s="92" t="n"/>
      <c r="F79" s="92" t="n"/>
      <c r="G79" s="91" t="n"/>
      <c r="H79" s="91" t="n"/>
      <c r="I79" s="91" t="n"/>
      <c r="J79" s="91" t="n"/>
      <c r="K79" s="91" t="n"/>
      <c r="L79" s="92" t="n"/>
      <c r="M79" s="91" t="n"/>
      <c r="N79" s="91" t="n"/>
      <c r="O79" s="91" t="n"/>
      <c r="P79" s="93" t="str">
        <f>IF(Z79=0,"",SUMIFS('ITENS_MTR'!$I$6:$I$1005,'ITENS_MTR'!$S$6:$S$1005,A79,'ITENS_MTR'!$Y$6:$Y$1005,1))</f>
        <v/>
      </c>
      <c r="Q79" s="93" t="str">
        <f>IF(Z79=0,"",SUMIFS('RECEBIMENTOS'!$H$6:$H$1005,'RECEBIMENTOS'!$B$6:$B$1005,A79,'RECEBIMENTOS'!$X$6:$X$1005,1))</f>
        <v/>
      </c>
      <c r="R79" s="93" t="str">
        <f>IF(Z79=0,"",SUMIFS('VÍNCULOS_CDF'!$H$6:$H$1005,'VÍNCULOS_CDF'!$D$6:$D$1005,A79,'VÍNCULOS_CDF'!$V$6:$V$1005,1))</f>
        <v/>
      </c>
      <c r="S79" s="94" t="str">
        <f>IF(Z79=0,"",IF(AA79=1,"Cancelado (informado)",IF(AE79=1,"Cadastro incompleto",IF(OR(AC79=1,AD79=1,AF79&gt;0,AH79&gt;0,AK79&gt;0,AL79&gt;0),"Informação a revisar",IF(AN79=0,"Aguardando recebimento",IF(N(R79)=0,"Aguardando CDF",IF(AJ79&lt;N(W79),"Vínculo de CDF parcial",IF(AO79=0,"CDF localizado, a conferir","Documentação conferida"))))))))</f>
        <v/>
      </c>
      <c r="T79" s="94" t="str">
        <f>IF(Z79=0,"",IF(S79="Cadastro incompleto","MTR INCOMPLETO",IF(S79="Informação a revisar",IF(AND(AH79&gt;0,AC79=0,AD79=0,AF79=0,AK79=0,AL79=0),"QUANTIDADE A REVISAR","IDENTIFICAÇÃO A REVISAR"),IF(S79="Aguardando recebimento","RECEBIMENTO NÃO CONFIRMADO",IF(S79="Aguardando CDF","CDF NÃO LOCALIZADO",IF(S79="Vínculo de CDF parcial","VÍNCULO INCOMPLETO",IF(S79="CDF localizado, a conferir","CDF A CONFERIR","")))))))</f>
        <v/>
      </c>
      <c r="U79" s="95" t="str">
        <f>IF(T79="","",IF(AQ79="","Não calculável",IF(AQ79&gt;TODAY(),"Data futura",TODAY()-AQ79)))</f>
        <v/>
      </c>
      <c r="V79" s="93" t="str">
        <f>IF(Z79=0,"",SUMIFS('RECEBIMENTOS'!$H$6:$H$1005,'RECEBIMENTOS'!$B$6:$B$1005,A79,'RECEBIMENTOS'!$Z$6:$Z$1005,1))</f>
        <v/>
      </c>
      <c r="W79" s="95" t="str">
        <f>IF(Z79=0,"",COUNTIFS('ITENS_MTR'!$S$6:$S$1005,A79,'ITENS_MTR'!$R$6:$R$1005,1))</f>
        <v/>
      </c>
      <c r="X79" s="94" t="str">
        <f>IF(AC79=1,"POSSÍVEL DUPLICIDADE","")</f>
        <v/>
      </c>
      <c r="Y79" s="94" t="str">
        <f>IF(Z79=0,"",IF(AW79="","Nenhuma",LEFT(AW79,LEN(AW79)-2)))</f>
        <v/>
      </c>
      <c r="Z79" s="96">
        <f>IF(COUNTA(B79:O79)&gt;0,1,0)</f>
        <v>0</v>
      </c>
      <c r="AA79" s="96">
        <f>IF(AND(Z79=1,K79&lt;&gt;""),IF(TRIM(K79)=TRIM(cfg_cancel),1,0),0)</f>
        <v>0</v>
      </c>
      <c r="AB79" s="96" t="str">
        <f>IF(AND(Z79=1,B79&lt;&gt;""),C79&amp;"|"&amp;D79&amp;"|"&amp;G79&amp;"|"&amp;TRIM(B79),"")</f>
        <v/>
      </c>
      <c r="AC79" s="96">
        <f>IF(AB79="",0,IF(SUMPRODUCT(--($AB$6:$AB$505=AB79))&gt;1,1,0))</f>
        <v>0</v>
      </c>
      <c r="AD79" s="96">
        <f>IF(Z79=0,0,IF(OR(AND(G79&lt;&gt;"",ISNA(MATCH(G79,'CAD_UNIDADES'!$C$6:$C$105,0))),AND(H79&lt;&gt;"",ISNA(MATCH(H79,cmp_transp,0))),AND(I79&lt;&gt;"",ISNA(MATCH(I79,cmp_dest,0))),AND(E79&lt;&gt;"",NOT(ISNUMBER(E79))),AND(F79&lt;&gt;"",NOT(ISNUMBER(F79))),AND(ISNUMBER(E79),ISNUMBER(F79),F79&lt;E79)),1,0))</f>
        <v>0</v>
      </c>
      <c r="AE79" s="96">
        <f>IF(Z79=0,0,IF(OR(B79="",C79="",E79="",G79="",H79="",I79="",N(W79)=0),1,0))</f>
        <v>0</v>
      </c>
      <c r="AF79" s="96">
        <f>IF(Z79=0,0,COUNTIFS('ITENS_MTR'!$S$6:$S$1005,A79,'ITENS_MTR'!$AI$6:$AI$1005,1))</f>
        <v>0</v>
      </c>
      <c r="AG79" s="96">
        <f>IF(Z79=0,0,COUNTIFS('ITENS_MTR'!$S$6:$S$1005,A79,'ITENS_MTR'!$AJ$6:$AJ$1005,1))</f>
        <v>0</v>
      </c>
      <c r="AH79" s="96">
        <f>IF(Z79=0,0,COUNTIFS('ITENS_MTR'!$S$6:$S$1005,A79,'ITENS_MTR'!$AM$6:$AM$1005,1))</f>
        <v>0</v>
      </c>
      <c r="AI79" s="96">
        <f>IF(Z79=0,0,COUNTIFS('ITENS_MTR'!$S$6:$S$1005,A79,'ITENS_MTR'!$AO$6:$AO$1005,1))</f>
        <v>0</v>
      </c>
      <c r="AJ79" s="96">
        <f>IF(Z79=0,0,COUNTIFS('ITENS_MTR'!$S$6:$S$1005,A79,'ITENS_MTR'!$AN$6:$AN$1005,1))</f>
        <v>0</v>
      </c>
      <c r="AK79" s="96">
        <f>IF(Z79=0,0,COUNTIFS('RECEBIMENTOS'!$B$6:$B$1005,A79,'RECEBIMENTOS'!$Y$6:$Y$1005,1))</f>
        <v>0</v>
      </c>
      <c r="AL79" s="96">
        <f>IF(Z79=0,0,COUNTIFS('VÍNCULOS_CDF'!$D$6:$D$1005,A79,'VÍNCULOS_CDF'!$Y$6:$Y$1005,1))</f>
        <v>0</v>
      </c>
      <c r="AM79" s="96">
        <f>IF(Z79=0,0,COUNTIFS('RECEBIMENTOS'!$B$6:$B$1005,A79,'RECEBIMENTOS'!$Q$6:$Q$1005,1))</f>
        <v>0</v>
      </c>
      <c r="AN79" s="96">
        <f>IF(AND(Z79=1,N(W79)&gt;0,AG79=N(W79)),1,0)</f>
        <v>0</v>
      </c>
      <c r="AO79" s="96">
        <f>IF(AND(Z79=1,N(W79)&gt;0,AI79=N(W79)),1,0)</f>
        <v>0</v>
      </c>
      <c r="AP79" s="97">
        <f>IF(Z79=0,0,_xlfn.MAXIFS('RECEBIMENTOS'!$E$6:$E$1005,'RECEBIMENTOS'!$B$6:$B$1005,A79))</f>
        <v>0</v>
      </c>
      <c r="AQ79" s="97" t="str">
        <f>IF(T79="","",IF(T79="RECEBIMENTO NÃO CONFIRMADO",IF(ISNUMBER(F79),F79,IF(ISNUMBER(E79),E79,"")),IF(OR(T79="CDF NÃO LOCALIZADO",T79="VÍNCULO INCOMPLETO",T79="CDF A CONFERIR"),IF(AP79&gt;0,AP79,IF(ISNUMBER(E79),E79,"")),IF(ISNUMBER(E79),E79,""))))</f>
        <v/>
      </c>
      <c r="AR79" s="96">
        <f>IF(NOT(ISNUMBER(U79)),0,IF(T79="RECEBIMENTO NÃO CONFIRMADO",IF(AND(ISNUMBER(cfg_rec),U79&gt;cfg_rec),1,0),IF(OR(T79="CDF NÃO LOCALIZADO",T79="VÍNCULO INCOMPLETO",T79="CDF A CONFERIR"),IF(AND(ISNUMBER(cfg_cdf),U79&gt;cfg_cdf),1,0),0)))</f>
        <v>0</v>
      </c>
      <c r="AS79" s="96" t="str">
        <f>IF(T79="","",IF(AR79=1,"Alta",IFERROR(INDEX(cfg_pp,MATCH(T79,cfg_pt,0))&amp;"","Média")))</f>
        <v/>
      </c>
      <c r="AT79" s="96" t="str">
        <f>IF(T79="","",IFERROR(INDEX(cfg_pv,MATCH(T79,cfg_pt,0))&amp;"",""))</f>
        <v/>
      </c>
      <c r="AU79" s="96" t="str">
        <f>IF(T79="","",IF(AS79="Alta",1,IF(AS79="Média",2,3))*1000000000+(999999-IF(ISNUMBER(U79),MIN(U79,999999),0))*1000+74)</f>
        <v/>
      </c>
      <c r="AV79" s="96">
        <f>IF(T79&lt;&gt;"",1,0)</f>
        <v>0</v>
      </c>
      <c r="AW79" s="96" t="str">
        <f>IF(Z79=0,"",IF(AA79=1,"Cancelamento informado; ","")&amp;IF(AE79=1,"Campos essenciais ou itens faltando; ","")&amp;IF(AC79=1,"Possível duplicidade do número; ","")&amp;IF(AD79=1,"Cadastro ou datas a revisar; ","")&amp;IF(AF79&gt;0,"Item de resíduo com dado a revisar; ","")&amp;IF(AH79&gt;0,"Diferença de quantidade a analisar; ","")&amp;IF(AK79&gt;0,"Recebimento com alerta; ","")&amp;IF(AL79&gt;0,"Vínculo de CDF com alerta; ","")&amp;IF(AND(AA79=0,AN79=0),"Recebimento não confirmado; ","")&amp;IF(AND(AA79=0,AN79=1,AO79=0),"CDF pendente ou a conferir; ",""))</f>
        <v/>
      </c>
      <c r="AX79" s="96">
        <f>IF(Z79=0,0,IF(AND(OR(f_ini="",AND(ISNUMBER(E79),E79&gt;=f_ini)),OR(f_fim="",AND(ISNUMBER(E79),E79&lt;=f_fim)),OR(f_un="",f_un="(Todas)",G79=f_un),OR(f_tr="",f_tr="(Todos)",H79=f_tr),OR(f_de="",f_de="(Todos)",I79=f_de),OR(f_sit="",f_sit="(Todas)",S79=f_sit)),1,0))</f>
        <v>0</v>
      </c>
      <c r="AY79" s="96">
        <f>IF(AX79=0,0,IF(OR(f_res="",f_res="(Todos)"),1,IF(COUNTIFS('ITENS_MTR'!$S$6:$S$1005,A79,'ITENS_MTR'!$C$6:$C$1005,f_res)&gt;0,1,0)))</f>
        <v>0</v>
      </c>
      <c r="AZ79" s="97" t="str">
        <f>IF(ISNUMBER(E79),DATE(YEAR(E79),MONTH(E79),1),"")</f>
        <v/>
      </c>
      <c r="BA79" s="96">
        <f>IF(Z79=0,0,IF(AND(OR(r_ini="",AND(ISNUMBER(E79),E79&gt;=r_ini)),OR(r_fim="",AND(ISNUMBER(E79),E79&lt;=r_fim)),OR(r_un="",r_un="(Todas)",G79=r_un),OR(r_de="",r_de="(Todos)",I79=r_de)),1,0))</f>
        <v>0</v>
      </c>
      <c r="BB79" s="96" t="str">
        <f>IF(BA79=1,COUNTIF($BA$6:BA79,1),"")</f>
        <v/>
      </c>
      <c r="BC79" s="96" t="str">
        <f>IF(AND(AU79&lt;&gt;"",OR(r_un="",r_un="(Todas)",G79=r_un),OR(r_de="",r_de="(Todos)",I79=r_de)),AU79,"")</f>
        <v/>
      </c>
      <c r="BD79" s="96" t="str">
        <f>IF(Z79=1,A79&amp;" | nº "&amp;IF(B79="","(sem número)",B79)&amp;" | "&amp;IF(G79="","(sem unidade)",G79),"")</f>
        <v/>
      </c>
      <c r="BE79" s="96" t="str">
        <f>IF(Z79=1,COUNTIF($Z$6:Z79,1),"")</f>
        <v/>
      </c>
      <c r="BF79" s="96" t="str">
        <f>IF(T79="","",IF(T79="RECEBIMENTO NÃO CONFIRMADO","Transp.: "&amp;H79&amp;" | Dest.: "&amp;I79,IF(OR(T79="CDF NÃO LOCALIZADO",T79="VÍNCULO INCOMPLETO",T79="CDF A CONFERIR"),"Dest.: "&amp;I79,"Gerador: "&amp;G79)))</f>
        <v/>
      </c>
    </row>
    <row r="80">
      <c r="A80" s="89" t="inlineStr">
        <is>
          <t>MTR-000075</t>
        </is>
      </c>
      <c r="B80" s="90" t="n"/>
      <c r="C80" s="91" t="n"/>
      <c r="D80" s="91" t="n"/>
      <c r="E80" s="92" t="n"/>
      <c r="F80" s="92" t="n"/>
      <c r="G80" s="91" t="n"/>
      <c r="H80" s="91" t="n"/>
      <c r="I80" s="91" t="n"/>
      <c r="J80" s="91" t="n"/>
      <c r="K80" s="91" t="n"/>
      <c r="L80" s="92" t="n"/>
      <c r="M80" s="91" t="n"/>
      <c r="N80" s="91" t="n"/>
      <c r="O80" s="91" t="n"/>
      <c r="P80" s="93" t="str">
        <f>IF(Z80=0,"",SUMIFS('ITENS_MTR'!$I$6:$I$1005,'ITENS_MTR'!$S$6:$S$1005,A80,'ITENS_MTR'!$Y$6:$Y$1005,1))</f>
        <v/>
      </c>
      <c r="Q80" s="93" t="str">
        <f>IF(Z80=0,"",SUMIFS('RECEBIMENTOS'!$H$6:$H$1005,'RECEBIMENTOS'!$B$6:$B$1005,A80,'RECEBIMENTOS'!$X$6:$X$1005,1))</f>
        <v/>
      </c>
      <c r="R80" s="93" t="str">
        <f>IF(Z80=0,"",SUMIFS('VÍNCULOS_CDF'!$H$6:$H$1005,'VÍNCULOS_CDF'!$D$6:$D$1005,A80,'VÍNCULOS_CDF'!$V$6:$V$1005,1))</f>
        <v/>
      </c>
      <c r="S80" s="94" t="str">
        <f>IF(Z80=0,"",IF(AA80=1,"Cancelado (informado)",IF(AE80=1,"Cadastro incompleto",IF(OR(AC80=1,AD80=1,AF80&gt;0,AH80&gt;0,AK80&gt;0,AL80&gt;0),"Informação a revisar",IF(AN80=0,"Aguardando recebimento",IF(N(R80)=0,"Aguardando CDF",IF(AJ80&lt;N(W80),"Vínculo de CDF parcial",IF(AO80=0,"CDF localizado, a conferir","Documentação conferida"))))))))</f>
        <v/>
      </c>
      <c r="T80" s="94" t="str">
        <f>IF(Z80=0,"",IF(S80="Cadastro incompleto","MTR INCOMPLETO",IF(S80="Informação a revisar",IF(AND(AH80&gt;0,AC80=0,AD80=0,AF80=0,AK80=0,AL80=0),"QUANTIDADE A REVISAR","IDENTIFICAÇÃO A REVISAR"),IF(S80="Aguardando recebimento","RECEBIMENTO NÃO CONFIRMADO",IF(S80="Aguardando CDF","CDF NÃO LOCALIZADO",IF(S80="Vínculo de CDF parcial","VÍNCULO INCOMPLETO",IF(S80="CDF localizado, a conferir","CDF A CONFERIR","")))))))</f>
        <v/>
      </c>
      <c r="U80" s="95" t="str">
        <f>IF(T80="","",IF(AQ80="","Não calculável",IF(AQ80&gt;TODAY(),"Data futura",TODAY()-AQ80)))</f>
        <v/>
      </c>
      <c r="V80" s="93" t="str">
        <f>IF(Z80=0,"",SUMIFS('RECEBIMENTOS'!$H$6:$H$1005,'RECEBIMENTOS'!$B$6:$B$1005,A80,'RECEBIMENTOS'!$Z$6:$Z$1005,1))</f>
        <v/>
      </c>
      <c r="W80" s="95" t="str">
        <f>IF(Z80=0,"",COUNTIFS('ITENS_MTR'!$S$6:$S$1005,A80,'ITENS_MTR'!$R$6:$R$1005,1))</f>
        <v/>
      </c>
      <c r="X80" s="94" t="str">
        <f>IF(AC80=1,"POSSÍVEL DUPLICIDADE","")</f>
        <v/>
      </c>
      <c r="Y80" s="94" t="str">
        <f>IF(Z80=0,"",IF(AW80="","Nenhuma",LEFT(AW80,LEN(AW80)-2)))</f>
        <v/>
      </c>
      <c r="Z80" s="96">
        <f>IF(COUNTA(B80:O80)&gt;0,1,0)</f>
        <v>0</v>
      </c>
      <c r="AA80" s="96">
        <f>IF(AND(Z80=1,K80&lt;&gt;""),IF(TRIM(K80)=TRIM(cfg_cancel),1,0),0)</f>
        <v>0</v>
      </c>
      <c r="AB80" s="96" t="str">
        <f>IF(AND(Z80=1,B80&lt;&gt;""),C80&amp;"|"&amp;D80&amp;"|"&amp;G80&amp;"|"&amp;TRIM(B80),"")</f>
        <v/>
      </c>
      <c r="AC80" s="96">
        <f>IF(AB80="",0,IF(SUMPRODUCT(--($AB$6:$AB$505=AB80))&gt;1,1,0))</f>
        <v>0</v>
      </c>
      <c r="AD80" s="96">
        <f>IF(Z80=0,0,IF(OR(AND(G80&lt;&gt;"",ISNA(MATCH(G80,'CAD_UNIDADES'!$C$6:$C$105,0))),AND(H80&lt;&gt;"",ISNA(MATCH(H80,cmp_transp,0))),AND(I80&lt;&gt;"",ISNA(MATCH(I80,cmp_dest,0))),AND(E80&lt;&gt;"",NOT(ISNUMBER(E80))),AND(F80&lt;&gt;"",NOT(ISNUMBER(F80))),AND(ISNUMBER(E80),ISNUMBER(F80),F80&lt;E80)),1,0))</f>
        <v>0</v>
      </c>
      <c r="AE80" s="96">
        <f>IF(Z80=0,0,IF(OR(B80="",C80="",E80="",G80="",H80="",I80="",N(W80)=0),1,0))</f>
        <v>0</v>
      </c>
      <c r="AF80" s="96">
        <f>IF(Z80=0,0,COUNTIFS('ITENS_MTR'!$S$6:$S$1005,A80,'ITENS_MTR'!$AI$6:$AI$1005,1))</f>
        <v>0</v>
      </c>
      <c r="AG80" s="96">
        <f>IF(Z80=0,0,COUNTIFS('ITENS_MTR'!$S$6:$S$1005,A80,'ITENS_MTR'!$AJ$6:$AJ$1005,1))</f>
        <v>0</v>
      </c>
      <c r="AH80" s="96">
        <f>IF(Z80=0,0,COUNTIFS('ITENS_MTR'!$S$6:$S$1005,A80,'ITENS_MTR'!$AM$6:$AM$1005,1))</f>
        <v>0</v>
      </c>
      <c r="AI80" s="96">
        <f>IF(Z80=0,0,COUNTIFS('ITENS_MTR'!$S$6:$S$1005,A80,'ITENS_MTR'!$AO$6:$AO$1005,1))</f>
        <v>0</v>
      </c>
      <c r="AJ80" s="96">
        <f>IF(Z80=0,0,COUNTIFS('ITENS_MTR'!$S$6:$S$1005,A80,'ITENS_MTR'!$AN$6:$AN$1005,1))</f>
        <v>0</v>
      </c>
      <c r="AK80" s="96">
        <f>IF(Z80=0,0,COUNTIFS('RECEBIMENTOS'!$B$6:$B$1005,A80,'RECEBIMENTOS'!$Y$6:$Y$1005,1))</f>
        <v>0</v>
      </c>
      <c r="AL80" s="96">
        <f>IF(Z80=0,0,COUNTIFS('VÍNCULOS_CDF'!$D$6:$D$1005,A80,'VÍNCULOS_CDF'!$Y$6:$Y$1005,1))</f>
        <v>0</v>
      </c>
      <c r="AM80" s="96">
        <f>IF(Z80=0,0,COUNTIFS('RECEBIMENTOS'!$B$6:$B$1005,A80,'RECEBIMENTOS'!$Q$6:$Q$1005,1))</f>
        <v>0</v>
      </c>
      <c r="AN80" s="96">
        <f>IF(AND(Z80=1,N(W80)&gt;0,AG80=N(W80)),1,0)</f>
        <v>0</v>
      </c>
      <c r="AO80" s="96">
        <f>IF(AND(Z80=1,N(W80)&gt;0,AI80=N(W80)),1,0)</f>
        <v>0</v>
      </c>
      <c r="AP80" s="97">
        <f>IF(Z80=0,0,_xlfn.MAXIFS('RECEBIMENTOS'!$E$6:$E$1005,'RECEBIMENTOS'!$B$6:$B$1005,A80))</f>
        <v>0</v>
      </c>
      <c r="AQ80" s="97" t="str">
        <f>IF(T80="","",IF(T80="RECEBIMENTO NÃO CONFIRMADO",IF(ISNUMBER(F80),F80,IF(ISNUMBER(E80),E80,"")),IF(OR(T80="CDF NÃO LOCALIZADO",T80="VÍNCULO INCOMPLETO",T80="CDF A CONFERIR"),IF(AP80&gt;0,AP80,IF(ISNUMBER(E80),E80,"")),IF(ISNUMBER(E80),E80,""))))</f>
        <v/>
      </c>
      <c r="AR80" s="96">
        <f>IF(NOT(ISNUMBER(U80)),0,IF(T80="RECEBIMENTO NÃO CONFIRMADO",IF(AND(ISNUMBER(cfg_rec),U80&gt;cfg_rec),1,0),IF(OR(T80="CDF NÃO LOCALIZADO",T80="VÍNCULO INCOMPLETO",T80="CDF A CONFERIR"),IF(AND(ISNUMBER(cfg_cdf),U80&gt;cfg_cdf),1,0),0)))</f>
        <v>0</v>
      </c>
      <c r="AS80" s="96" t="str">
        <f>IF(T80="","",IF(AR80=1,"Alta",IFERROR(INDEX(cfg_pp,MATCH(T80,cfg_pt,0))&amp;"","Média")))</f>
        <v/>
      </c>
      <c r="AT80" s="96" t="str">
        <f>IF(T80="","",IFERROR(INDEX(cfg_pv,MATCH(T80,cfg_pt,0))&amp;"",""))</f>
        <v/>
      </c>
      <c r="AU80" s="96" t="str">
        <f>IF(T80="","",IF(AS80="Alta",1,IF(AS80="Média",2,3))*1000000000+(999999-IF(ISNUMBER(U80),MIN(U80,999999),0))*1000+75)</f>
        <v/>
      </c>
      <c r="AV80" s="96">
        <f>IF(T80&lt;&gt;"",1,0)</f>
        <v>0</v>
      </c>
      <c r="AW80" s="96" t="str">
        <f>IF(Z80=0,"",IF(AA80=1,"Cancelamento informado; ","")&amp;IF(AE80=1,"Campos essenciais ou itens faltando; ","")&amp;IF(AC80=1,"Possível duplicidade do número; ","")&amp;IF(AD80=1,"Cadastro ou datas a revisar; ","")&amp;IF(AF80&gt;0,"Item de resíduo com dado a revisar; ","")&amp;IF(AH80&gt;0,"Diferença de quantidade a analisar; ","")&amp;IF(AK80&gt;0,"Recebimento com alerta; ","")&amp;IF(AL80&gt;0,"Vínculo de CDF com alerta; ","")&amp;IF(AND(AA80=0,AN80=0),"Recebimento não confirmado; ","")&amp;IF(AND(AA80=0,AN80=1,AO80=0),"CDF pendente ou a conferir; ",""))</f>
        <v/>
      </c>
      <c r="AX80" s="96">
        <f>IF(Z80=0,0,IF(AND(OR(f_ini="",AND(ISNUMBER(E80),E80&gt;=f_ini)),OR(f_fim="",AND(ISNUMBER(E80),E80&lt;=f_fim)),OR(f_un="",f_un="(Todas)",G80=f_un),OR(f_tr="",f_tr="(Todos)",H80=f_tr),OR(f_de="",f_de="(Todos)",I80=f_de),OR(f_sit="",f_sit="(Todas)",S80=f_sit)),1,0))</f>
        <v>0</v>
      </c>
      <c r="AY80" s="96">
        <f>IF(AX80=0,0,IF(OR(f_res="",f_res="(Todos)"),1,IF(COUNTIFS('ITENS_MTR'!$S$6:$S$1005,A80,'ITENS_MTR'!$C$6:$C$1005,f_res)&gt;0,1,0)))</f>
        <v>0</v>
      </c>
      <c r="AZ80" s="97" t="str">
        <f>IF(ISNUMBER(E80),DATE(YEAR(E80),MONTH(E80),1),"")</f>
        <v/>
      </c>
      <c r="BA80" s="96">
        <f>IF(Z80=0,0,IF(AND(OR(r_ini="",AND(ISNUMBER(E80),E80&gt;=r_ini)),OR(r_fim="",AND(ISNUMBER(E80),E80&lt;=r_fim)),OR(r_un="",r_un="(Todas)",G80=r_un),OR(r_de="",r_de="(Todos)",I80=r_de)),1,0))</f>
        <v>0</v>
      </c>
      <c r="BB80" s="96" t="str">
        <f>IF(BA80=1,COUNTIF($BA$6:BA80,1),"")</f>
        <v/>
      </c>
      <c r="BC80" s="96" t="str">
        <f>IF(AND(AU80&lt;&gt;"",OR(r_un="",r_un="(Todas)",G80=r_un),OR(r_de="",r_de="(Todos)",I80=r_de)),AU80,"")</f>
        <v/>
      </c>
      <c r="BD80" s="96" t="str">
        <f>IF(Z80=1,A80&amp;" | nº "&amp;IF(B80="","(sem número)",B80)&amp;" | "&amp;IF(G80="","(sem unidade)",G80),"")</f>
        <v/>
      </c>
      <c r="BE80" s="96" t="str">
        <f>IF(Z80=1,COUNTIF($Z$6:Z80,1),"")</f>
        <v/>
      </c>
      <c r="BF80" s="96" t="str">
        <f>IF(T80="","",IF(T80="RECEBIMENTO NÃO CONFIRMADO","Transp.: "&amp;H80&amp;" | Dest.: "&amp;I80,IF(OR(T80="CDF NÃO LOCALIZADO",T80="VÍNCULO INCOMPLETO",T80="CDF A CONFERIR"),"Dest.: "&amp;I80,"Gerador: "&amp;G80)))</f>
        <v/>
      </c>
    </row>
    <row r="81">
      <c r="A81" s="89" t="inlineStr">
        <is>
          <t>MTR-000076</t>
        </is>
      </c>
      <c r="B81" s="90" t="n"/>
      <c r="C81" s="91" t="n"/>
      <c r="D81" s="91" t="n"/>
      <c r="E81" s="92" t="n"/>
      <c r="F81" s="92" t="n"/>
      <c r="G81" s="91" t="n"/>
      <c r="H81" s="91" t="n"/>
      <c r="I81" s="91" t="n"/>
      <c r="J81" s="91" t="n"/>
      <c r="K81" s="91" t="n"/>
      <c r="L81" s="92" t="n"/>
      <c r="M81" s="91" t="n"/>
      <c r="N81" s="91" t="n"/>
      <c r="O81" s="91" t="n"/>
      <c r="P81" s="93" t="str">
        <f>IF(Z81=0,"",SUMIFS('ITENS_MTR'!$I$6:$I$1005,'ITENS_MTR'!$S$6:$S$1005,A81,'ITENS_MTR'!$Y$6:$Y$1005,1))</f>
        <v/>
      </c>
      <c r="Q81" s="93" t="str">
        <f>IF(Z81=0,"",SUMIFS('RECEBIMENTOS'!$H$6:$H$1005,'RECEBIMENTOS'!$B$6:$B$1005,A81,'RECEBIMENTOS'!$X$6:$X$1005,1))</f>
        <v/>
      </c>
      <c r="R81" s="93" t="str">
        <f>IF(Z81=0,"",SUMIFS('VÍNCULOS_CDF'!$H$6:$H$1005,'VÍNCULOS_CDF'!$D$6:$D$1005,A81,'VÍNCULOS_CDF'!$V$6:$V$1005,1))</f>
        <v/>
      </c>
      <c r="S81" s="94" t="str">
        <f>IF(Z81=0,"",IF(AA81=1,"Cancelado (informado)",IF(AE81=1,"Cadastro incompleto",IF(OR(AC81=1,AD81=1,AF81&gt;0,AH81&gt;0,AK81&gt;0,AL81&gt;0),"Informação a revisar",IF(AN81=0,"Aguardando recebimento",IF(N(R81)=0,"Aguardando CDF",IF(AJ81&lt;N(W81),"Vínculo de CDF parcial",IF(AO81=0,"CDF localizado, a conferir","Documentação conferida"))))))))</f>
        <v/>
      </c>
      <c r="T81" s="94" t="str">
        <f>IF(Z81=0,"",IF(S81="Cadastro incompleto","MTR INCOMPLETO",IF(S81="Informação a revisar",IF(AND(AH81&gt;0,AC81=0,AD81=0,AF81=0,AK81=0,AL81=0),"QUANTIDADE A REVISAR","IDENTIFICAÇÃO A REVISAR"),IF(S81="Aguardando recebimento","RECEBIMENTO NÃO CONFIRMADO",IF(S81="Aguardando CDF","CDF NÃO LOCALIZADO",IF(S81="Vínculo de CDF parcial","VÍNCULO INCOMPLETO",IF(S81="CDF localizado, a conferir","CDF A CONFERIR","")))))))</f>
        <v/>
      </c>
      <c r="U81" s="95" t="str">
        <f>IF(T81="","",IF(AQ81="","Não calculável",IF(AQ81&gt;TODAY(),"Data futura",TODAY()-AQ81)))</f>
        <v/>
      </c>
      <c r="V81" s="93" t="str">
        <f>IF(Z81=0,"",SUMIFS('RECEBIMENTOS'!$H$6:$H$1005,'RECEBIMENTOS'!$B$6:$B$1005,A81,'RECEBIMENTOS'!$Z$6:$Z$1005,1))</f>
        <v/>
      </c>
      <c r="W81" s="95" t="str">
        <f>IF(Z81=0,"",COUNTIFS('ITENS_MTR'!$S$6:$S$1005,A81,'ITENS_MTR'!$R$6:$R$1005,1))</f>
        <v/>
      </c>
      <c r="X81" s="94" t="str">
        <f>IF(AC81=1,"POSSÍVEL DUPLICIDADE","")</f>
        <v/>
      </c>
      <c r="Y81" s="94" t="str">
        <f>IF(Z81=0,"",IF(AW81="","Nenhuma",LEFT(AW81,LEN(AW81)-2)))</f>
        <v/>
      </c>
      <c r="Z81" s="96">
        <f>IF(COUNTA(B81:O81)&gt;0,1,0)</f>
        <v>0</v>
      </c>
      <c r="AA81" s="96">
        <f>IF(AND(Z81=1,K81&lt;&gt;""),IF(TRIM(K81)=TRIM(cfg_cancel),1,0),0)</f>
        <v>0</v>
      </c>
      <c r="AB81" s="96" t="str">
        <f>IF(AND(Z81=1,B81&lt;&gt;""),C81&amp;"|"&amp;D81&amp;"|"&amp;G81&amp;"|"&amp;TRIM(B81),"")</f>
        <v/>
      </c>
      <c r="AC81" s="96">
        <f>IF(AB81="",0,IF(SUMPRODUCT(--($AB$6:$AB$505=AB81))&gt;1,1,0))</f>
        <v>0</v>
      </c>
      <c r="AD81" s="96">
        <f>IF(Z81=0,0,IF(OR(AND(G81&lt;&gt;"",ISNA(MATCH(G81,'CAD_UNIDADES'!$C$6:$C$105,0))),AND(H81&lt;&gt;"",ISNA(MATCH(H81,cmp_transp,0))),AND(I81&lt;&gt;"",ISNA(MATCH(I81,cmp_dest,0))),AND(E81&lt;&gt;"",NOT(ISNUMBER(E81))),AND(F81&lt;&gt;"",NOT(ISNUMBER(F81))),AND(ISNUMBER(E81),ISNUMBER(F81),F81&lt;E81)),1,0))</f>
        <v>0</v>
      </c>
      <c r="AE81" s="96">
        <f>IF(Z81=0,0,IF(OR(B81="",C81="",E81="",G81="",H81="",I81="",N(W81)=0),1,0))</f>
        <v>0</v>
      </c>
      <c r="AF81" s="96">
        <f>IF(Z81=0,0,COUNTIFS('ITENS_MTR'!$S$6:$S$1005,A81,'ITENS_MTR'!$AI$6:$AI$1005,1))</f>
        <v>0</v>
      </c>
      <c r="AG81" s="96">
        <f>IF(Z81=0,0,COUNTIFS('ITENS_MTR'!$S$6:$S$1005,A81,'ITENS_MTR'!$AJ$6:$AJ$1005,1))</f>
        <v>0</v>
      </c>
      <c r="AH81" s="96">
        <f>IF(Z81=0,0,COUNTIFS('ITENS_MTR'!$S$6:$S$1005,A81,'ITENS_MTR'!$AM$6:$AM$1005,1))</f>
        <v>0</v>
      </c>
      <c r="AI81" s="96">
        <f>IF(Z81=0,0,COUNTIFS('ITENS_MTR'!$S$6:$S$1005,A81,'ITENS_MTR'!$AO$6:$AO$1005,1))</f>
        <v>0</v>
      </c>
      <c r="AJ81" s="96">
        <f>IF(Z81=0,0,COUNTIFS('ITENS_MTR'!$S$6:$S$1005,A81,'ITENS_MTR'!$AN$6:$AN$1005,1))</f>
        <v>0</v>
      </c>
      <c r="AK81" s="96">
        <f>IF(Z81=0,0,COUNTIFS('RECEBIMENTOS'!$B$6:$B$1005,A81,'RECEBIMENTOS'!$Y$6:$Y$1005,1))</f>
        <v>0</v>
      </c>
      <c r="AL81" s="96">
        <f>IF(Z81=0,0,COUNTIFS('VÍNCULOS_CDF'!$D$6:$D$1005,A81,'VÍNCULOS_CDF'!$Y$6:$Y$1005,1))</f>
        <v>0</v>
      </c>
      <c r="AM81" s="96">
        <f>IF(Z81=0,0,COUNTIFS('RECEBIMENTOS'!$B$6:$B$1005,A81,'RECEBIMENTOS'!$Q$6:$Q$1005,1))</f>
        <v>0</v>
      </c>
      <c r="AN81" s="96">
        <f>IF(AND(Z81=1,N(W81)&gt;0,AG81=N(W81)),1,0)</f>
        <v>0</v>
      </c>
      <c r="AO81" s="96">
        <f>IF(AND(Z81=1,N(W81)&gt;0,AI81=N(W81)),1,0)</f>
        <v>0</v>
      </c>
      <c r="AP81" s="97">
        <f>IF(Z81=0,0,_xlfn.MAXIFS('RECEBIMENTOS'!$E$6:$E$1005,'RECEBIMENTOS'!$B$6:$B$1005,A81))</f>
        <v>0</v>
      </c>
      <c r="AQ81" s="97" t="str">
        <f>IF(T81="","",IF(T81="RECEBIMENTO NÃO CONFIRMADO",IF(ISNUMBER(F81),F81,IF(ISNUMBER(E81),E81,"")),IF(OR(T81="CDF NÃO LOCALIZADO",T81="VÍNCULO INCOMPLETO",T81="CDF A CONFERIR"),IF(AP81&gt;0,AP81,IF(ISNUMBER(E81),E81,"")),IF(ISNUMBER(E81),E81,""))))</f>
        <v/>
      </c>
      <c r="AR81" s="96">
        <f>IF(NOT(ISNUMBER(U81)),0,IF(T81="RECEBIMENTO NÃO CONFIRMADO",IF(AND(ISNUMBER(cfg_rec),U81&gt;cfg_rec),1,0),IF(OR(T81="CDF NÃO LOCALIZADO",T81="VÍNCULO INCOMPLETO",T81="CDF A CONFERIR"),IF(AND(ISNUMBER(cfg_cdf),U81&gt;cfg_cdf),1,0),0)))</f>
        <v>0</v>
      </c>
      <c r="AS81" s="96" t="str">
        <f>IF(T81="","",IF(AR81=1,"Alta",IFERROR(INDEX(cfg_pp,MATCH(T81,cfg_pt,0))&amp;"","Média")))</f>
        <v/>
      </c>
      <c r="AT81" s="96" t="str">
        <f>IF(T81="","",IFERROR(INDEX(cfg_pv,MATCH(T81,cfg_pt,0))&amp;"",""))</f>
        <v/>
      </c>
      <c r="AU81" s="96" t="str">
        <f>IF(T81="","",IF(AS81="Alta",1,IF(AS81="Média",2,3))*1000000000+(999999-IF(ISNUMBER(U81),MIN(U81,999999),0))*1000+76)</f>
        <v/>
      </c>
      <c r="AV81" s="96">
        <f>IF(T81&lt;&gt;"",1,0)</f>
        <v>0</v>
      </c>
      <c r="AW81" s="96" t="str">
        <f>IF(Z81=0,"",IF(AA81=1,"Cancelamento informado; ","")&amp;IF(AE81=1,"Campos essenciais ou itens faltando; ","")&amp;IF(AC81=1,"Possível duplicidade do número; ","")&amp;IF(AD81=1,"Cadastro ou datas a revisar; ","")&amp;IF(AF81&gt;0,"Item de resíduo com dado a revisar; ","")&amp;IF(AH81&gt;0,"Diferença de quantidade a analisar; ","")&amp;IF(AK81&gt;0,"Recebimento com alerta; ","")&amp;IF(AL81&gt;0,"Vínculo de CDF com alerta; ","")&amp;IF(AND(AA81=0,AN81=0),"Recebimento não confirmado; ","")&amp;IF(AND(AA81=0,AN81=1,AO81=0),"CDF pendente ou a conferir; ",""))</f>
        <v/>
      </c>
      <c r="AX81" s="96">
        <f>IF(Z81=0,0,IF(AND(OR(f_ini="",AND(ISNUMBER(E81),E81&gt;=f_ini)),OR(f_fim="",AND(ISNUMBER(E81),E81&lt;=f_fim)),OR(f_un="",f_un="(Todas)",G81=f_un),OR(f_tr="",f_tr="(Todos)",H81=f_tr),OR(f_de="",f_de="(Todos)",I81=f_de),OR(f_sit="",f_sit="(Todas)",S81=f_sit)),1,0))</f>
        <v>0</v>
      </c>
      <c r="AY81" s="96">
        <f>IF(AX81=0,0,IF(OR(f_res="",f_res="(Todos)"),1,IF(COUNTIFS('ITENS_MTR'!$S$6:$S$1005,A81,'ITENS_MTR'!$C$6:$C$1005,f_res)&gt;0,1,0)))</f>
        <v>0</v>
      </c>
      <c r="AZ81" s="97" t="str">
        <f>IF(ISNUMBER(E81),DATE(YEAR(E81),MONTH(E81),1),"")</f>
        <v/>
      </c>
      <c r="BA81" s="96">
        <f>IF(Z81=0,0,IF(AND(OR(r_ini="",AND(ISNUMBER(E81),E81&gt;=r_ini)),OR(r_fim="",AND(ISNUMBER(E81),E81&lt;=r_fim)),OR(r_un="",r_un="(Todas)",G81=r_un),OR(r_de="",r_de="(Todos)",I81=r_de)),1,0))</f>
        <v>0</v>
      </c>
      <c r="BB81" s="96" t="str">
        <f>IF(BA81=1,COUNTIF($BA$6:BA81,1),"")</f>
        <v/>
      </c>
      <c r="BC81" s="96" t="str">
        <f>IF(AND(AU81&lt;&gt;"",OR(r_un="",r_un="(Todas)",G81=r_un),OR(r_de="",r_de="(Todos)",I81=r_de)),AU81,"")</f>
        <v/>
      </c>
      <c r="BD81" s="96" t="str">
        <f>IF(Z81=1,A81&amp;" | nº "&amp;IF(B81="","(sem número)",B81)&amp;" | "&amp;IF(G81="","(sem unidade)",G81),"")</f>
        <v/>
      </c>
      <c r="BE81" s="96" t="str">
        <f>IF(Z81=1,COUNTIF($Z$6:Z81,1),"")</f>
        <v/>
      </c>
      <c r="BF81" s="96" t="str">
        <f>IF(T81="","",IF(T81="RECEBIMENTO NÃO CONFIRMADO","Transp.: "&amp;H81&amp;" | Dest.: "&amp;I81,IF(OR(T81="CDF NÃO LOCALIZADO",T81="VÍNCULO INCOMPLETO",T81="CDF A CONFERIR"),"Dest.: "&amp;I81,"Gerador: "&amp;G81)))</f>
        <v/>
      </c>
    </row>
    <row r="82">
      <c r="A82" s="89" t="inlineStr">
        <is>
          <t>MTR-000077</t>
        </is>
      </c>
      <c r="B82" s="90" t="n"/>
      <c r="C82" s="91" t="n"/>
      <c r="D82" s="91" t="n"/>
      <c r="E82" s="92" t="n"/>
      <c r="F82" s="92" t="n"/>
      <c r="G82" s="91" t="n"/>
      <c r="H82" s="91" t="n"/>
      <c r="I82" s="91" t="n"/>
      <c r="J82" s="91" t="n"/>
      <c r="K82" s="91" t="n"/>
      <c r="L82" s="92" t="n"/>
      <c r="M82" s="91" t="n"/>
      <c r="N82" s="91" t="n"/>
      <c r="O82" s="91" t="n"/>
      <c r="P82" s="93" t="str">
        <f>IF(Z82=0,"",SUMIFS('ITENS_MTR'!$I$6:$I$1005,'ITENS_MTR'!$S$6:$S$1005,A82,'ITENS_MTR'!$Y$6:$Y$1005,1))</f>
        <v/>
      </c>
      <c r="Q82" s="93" t="str">
        <f>IF(Z82=0,"",SUMIFS('RECEBIMENTOS'!$H$6:$H$1005,'RECEBIMENTOS'!$B$6:$B$1005,A82,'RECEBIMENTOS'!$X$6:$X$1005,1))</f>
        <v/>
      </c>
      <c r="R82" s="93" t="str">
        <f>IF(Z82=0,"",SUMIFS('VÍNCULOS_CDF'!$H$6:$H$1005,'VÍNCULOS_CDF'!$D$6:$D$1005,A82,'VÍNCULOS_CDF'!$V$6:$V$1005,1))</f>
        <v/>
      </c>
      <c r="S82" s="94" t="str">
        <f>IF(Z82=0,"",IF(AA82=1,"Cancelado (informado)",IF(AE82=1,"Cadastro incompleto",IF(OR(AC82=1,AD82=1,AF82&gt;0,AH82&gt;0,AK82&gt;0,AL82&gt;0),"Informação a revisar",IF(AN82=0,"Aguardando recebimento",IF(N(R82)=0,"Aguardando CDF",IF(AJ82&lt;N(W82),"Vínculo de CDF parcial",IF(AO82=0,"CDF localizado, a conferir","Documentação conferida"))))))))</f>
        <v/>
      </c>
      <c r="T82" s="94" t="str">
        <f>IF(Z82=0,"",IF(S82="Cadastro incompleto","MTR INCOMPLETO",IF(S82="Informação a revisar",IF(AND(AH82&gt;0,AC82=0,AD82=0,AF82=0,AK82=0,AL82=0),"QUANTIDADE A REVISAR","IDENTIFICAÇÃO A REVISAR"),IF(S82="Aguardando recebimento","RECEBIMENTO NÃO CONFIRMADO",IF(S82="Aguardando CDF","CDF NÃO LOCALIZADO",IF(S82="Vínculo de CDF parcial","VÍNCULO INCOMPLETO",IF(S82="CDF localizado, a conferir","CDF A CONFERIR","")))))))</f>
        <v/>
      </c>
      <c r="U82" s="95" t="str">
        <f>IF(T82="","",IF(AQ82="","Não calculável",IF(AQ82&gt;TODAY(),"Data futura",TODAY()-AQ82)))</f>
        <v/>
      </c>
      <c r="V82" s="93" t="str">
        <f>IF(Z82=0,"",SUMIFS('RECEBIMENTOS'!$H$6:$H$1005,'RECEBIMENTOS'!$B$6:$B$1005,A82,'RECEBIMENTOS'!$Z$6:$Z$1005,1))</f>
        <v/>
      </c>
      <c r="W82" s="95" t="str">
        <f>IF(Z82=0,"",COUNTIFS('ITENS_MTR'!$S$6:$S$1005,A82,'ITENS_MTR'!$R$6:$R$1005,1))</f>
        <v/>
      </c>
      <c r="X82" s="94" t="str">
        <f>IF(AC82=1,"POSSÍVEL DUPLICIDADE","")</f>
        <v/>
      </c>
      <c r="Y82" s="94" t="str">
        <f>IF(Z82=0,"",IF(AW82="","Nenhuma",LEFT(AW82,LEN(AW82)-2)))</f>
        <v/>
      </c>
      <c r="Z82" s="96">
        <f>IF(COUNTA(B82:O82)&gt;0,1,0)</f>
        <v>0</v>
      </c>
      <c r="AA82" s="96">
        <f>IF(AND(Z82=1,K82&lt;&gt;""),IF(TRIM(K82)=TRIM(cfg_cancel),1,0),0)</f>
        <v>0</v>
      </c>
      <c r="AB82" s="96" t="str">
        <f>IF(AND(Z82=1,B82&lt;&gt;""),C82&amp;"|"&amp;D82&amp;"|"&amp;G82&amp;"|"&amp;TRIM(B82),"")</f>
        <v/>
      </c>
      <c r="AC82" s="96">
        <f>IF(AB82="",0,IF(SUMPRODUCT(--($AB$6:$AB$505=AB82))&gt;1,1,0))</f>
        <v>0</v>
      </c>
      <c r="AD82" s="96">
        <f>IF(Z82=0,0,IF(OR(AND(G82&lt;&gt;"",ISNA(MATCH(G82,'CAD_UNIDADES'!$C$6:$C$105,0))),AND(H82&lt;&gt;"",ISNA(MATCH(H82,cmp_transp,0))),AND(I82&lt;&gt;"",ISNA(MATCH(I82,cmp_dest,0))),AND(E82&lt;&gt;"",NOT(ISNUMBER(E82))),AND(F82&lt;&gt;"",NOT(ISNUMBER(F82))),AND(ISNUMBER(E82),ISNUMBER(F82),F82&lt;E82)),1,0))</f>
        <v>0</v>
      </c>
      <c r="AE82" s="96">
        <f>IF(Z82=0,0,IF(OR(B82="",C82="",E82="",G82="",H82="",I82="",N(W82)=0),1,0))</f>
        <v>0</v>
      </c>
      <c r="AF82" s="96">
        <f>IF(Z82=0,0,COUNTIFS('ITENS_MTR'!$S$6:$S$1005,A82,'ITENS_MTR'!$AI$6:$AI$1005,1))</f>
        <v>0</v>
      </c>
      <c r="AG82" s="96">
        <f>IF(Z82=0,0,COUNTIFS('ITENS_MTR'!$S$6:$S$1005,A82,'ITENS_MTR'!$AJ$6:$AJ$1005,1))</f>
        <v>0</v>
      </c>
      <c r="AH82" s="96">
        <f>IF(Z82=0,0,COUNTIFS('ITENS_MTR'!$S$6:$S$1005,A82,'ITENS_MTR'!$AM$6:$AM$1005,1))</f>
        <v>0</v>
      </c>
      <c r="AI82" s="96">
        <f>IF(Z82=0,0,COUNTIFS('ITENS_MTR'!$S$6:$S$1005,A82,'ITENS_MTR'!$AO$6:$AO$1005,1))</f>
        <v>0</v>
      </c>
      <c r="AJ82" s="96">
        <f>IF(Z82=0,0,COUNTIFS('ITENS_MTR'!$S$6:$S$1005,A82,'ITENS_MTR'!$AN$6:$AN$1005,1))</f>
        <v>0</v>
      </c>
      <c r="AK82" s="96">
        <f>IF(Z82=0,0,COUNTIFS('RECEBIMENTOS'!$B$6:$B$1005,A82,'RECEBIMENTOS'!$Y$6:$Y$1005,1))</f>
        <v>0</v>
      </c>
      <c r="AL82" s="96">
        <f>IF(Z82=0,0,COUNTIFS('VÍNCULOS_CDF'!$D$6:$D$1005,A82,'VÍNCULOS_CDF'!$Y$6:$Y$1005,1))</f>
        <v>0</v>
      </c>
      <c r="AM82" s="96">
        <f>IF(Z82=0,0,COUNTIFS('RECEBIMENTOS'!$B$6:$B$1005,A82,'RECEBIMENTOS'!$Q$6:$Q$1005,1))</f>
        <v>0</v>
      </c>
      <c r="AN82" s="96">
        <f>IF(AND(Z82=1,N(W82)&gt;0,AG82=N(W82)),1,0)</f>
        <v>0</v>
      </c>
      <c r="AO82" s="96">
        <f>IF(AND(Z82=1,N(W82)&gt;0,AI82=N(W82)),1,0)</f>
        <v>0</v>
      </c>
      <c r="AP82" s="97">
        <f>IF(Z82=0,0,_xlfn.MAXIFS('RECEBIMENTOS'!$E$6:$E$1005,'RECEBIMENTOS'!$B$6:$B$1005,A82))</f>
        <v>0</v>
      </c>
      <c r="AQ82" s="97" t="str">
        <f>IF(T82="","",IF(T82="RECEBIMENTO NÃO CONFIRMADO",IF(ISNUMBER(F82),F82,IF(ISNUMBER(E82),E82,"")),IF(OR(T82="CDF NÃO LOCALIZADO",T82="VÍNCULO INCOMPLETO",T82="CDF A CONFERIR"),IF(AP82&gt;0,AP82,IF(ISNUMBER(E82),E82,"")),IF(ISNUMBER(E82),E82,""))))</f>
        <v/>
      </c>
      <c r="AR82" s="96">
        <f>IF(NOT(ISNUMBER(U82)),0,IF(T82="RECEBIMENTO NÃO CONFIRMADO",IF(AND(ISNUMBER(cfg_rec),U82&gt;cfg_rec),1,0),IF(OR(T82="CDF NÃO LOCALIZADO",T82="VÍNCULO INCOMPLETO",T82="CDF A CONFERIR"),IF(AND(ISNUMBER(cfg_cdf),U82&gt;cfg_cdf),1,0),0)))</f>
        <v>0</v>
      </c>
      <c r="AS82" s="96" t="str">
        <f>IF(T82="","",IF(AR82=1,"Alta",IFERROR(INDEX(cfg_pp,MATCH(T82,cfg_pt,0))&amp;"","Média")))</f>
        <v/>
      </c>
      <c r="AT82" s="96" t="str">
        <f>IF(T82="","",IFERROR(INDEX(cfg_pv,MATCH(T82,cfg_pt,0))&amp;"",""))</f>
        <v/>
      </c>
      <c r="AU82" s="96" t="str">
        <f>IF(T82="","",IF(AS82="Alta",1,IF(AS82="Média",2,3))*1000000000+(999999-IF(ISNUMBER(U82),MIN(U82,999999),0))*1000+77)</f>
        <v/>
      </c>
      <c r="AV82" s="96">
        <f>IF(T82&lt;&gt;"",1,0)</f>
        <v>0</v>
      </c>
      <c r="AW82" s="96" t="str">
        <f>IF(Z82=0,"",IF(AA82=1,"Cancelamento informado; ","")&amp;IF(AE82=1,"Campos essenciais ou itens faltando; ","")&amp;IF(AC82=1,"Possível duplicidade do número; ","")&amp;IF(AD82=1,"Cadastro ou datas a revisar; ","")&amp;IF(AF82&gt;0,"Item de resíduo com dado a revisar; ","")&amp;IF(AH82&gt;0,"Diferença de quantidade a analisar; ","")&amp;IF(AK82&gt;0,"Recebimento com alerta; ","")&amp;IF(AL82&gt;0,"Vínculo de CDF com alerta; ","")&amp;IF(AND(AA82=0,AN82=0),"Recebimento não confirmado; ","")&amp;IF(AND(AA82=0,AN82=1,AO82=0),"CDF pendente ou a conferir; ",""))</f>
        <v/>
      </c>
      <c r="AX82" s="96">
        <f>IF(Z82=0,0,IF(AND(OR(f_ini="",AND(ISNUMBER(E82),E82&gt;=f_ini)),OR(f_fim="",AND(ISNUMBER(E82),E82&lt;=f_fim)),OR(f_un="",f_un="(Todas)",G82=f_un),OR(f_tr="",f_tr="(Todos)",H82=f_tr),OR(f_de="",f_de="(Todos)",I82=f_de),OR(f_sit="",f_sit="(Todas)",S82=f_sit)),1,0))</f>
        <v>0</v>
      </c>
      <c r="AY82" s="96">
        <f>IF(AX82=0,0,IF(OR(f_res="",f_res="(Todos)"),1,IF(COUNTIFS('ITENS_MTR'!$S$6:$S$1005,A82,'ITENS_MTR'!$C$6:$C$1005,f_res)&gt;0,1,0)))</f>
        <v>0</v>
      </c>
      <c r="AZ82" s="97" t="str">
        <f>IF(ISNUMBER(E82),DATE(YEAR(E82),MONTH(E82),1),"")</f>
        <v/>
      </c>
      <c r="BA82" s="96">
        <f>IF(Z82=0,0,IF(AND(OR(r_ini="",AND(ISNUMBER(E82),E82&gt;=r_ini)),OR(r_fim="",AND(ISNUMBER(E82),E82&lt;=r_fim)),OR(r_un="",r_un="(Todas)",G82=r_un),OR(r_de="",r_de="(Todos)",I82=r_de)),1,0))</f>
        <v>0</v>
      </c>
      <c r="BB82" s="96" t="str">
        <f>IF(BA82=1,COUNTIF($BA$6:BA82,1),"")</f>
        <v/>
      </c>
      <c r="BC82" s="96" t="str">
        <f>IF(AND(AU82&lt;&gt;"",OR(r_un="",r_un="(Todas)",G82=r_un),OR(r_de="",r_de="(Todos)",I82=r_de)),AU82,"")</f>
        <v/>
      </c>
      <c r="BD82" s="96" t="str">
        <f>IF(Z82=1,A82&amp;" | nº "&amp;IF(B82="","(sem número)",B82)&amp;" | "&amp;IF(G82="","(sem unidade)",G82),"")</f>
        <v/>
      </c>
      <c r="BE82" s="96" t="str">
        <f>IF(Z82=1,COUNTIF($Z$6:Z82,1),"")</f>
        <v/>
      </c>
      <c r="BF82" s="96" t="str">
        <f>IF(T82="","",IF(T82="RECEBIMENTO NÃO CONFIRMADO","Transp.: "&amp;H82&amp;" | Dest.: "&amp;I82,IF(OR(T82="CDF NÃO LOCALIZADO",T82="VÍNCULO INCOMPLETO",T82="CDF A CONFERIR"),"Dest.: "&amp;I82,"Gerador: "&amp;G82)))</f>
        <v/>
      </c>
    </row>
    <row r="83">
      <c r="A83" s="89" t="inlineStr">
        <is>
          <t>MTR-000078</t>
        </is>
      </c>
      <c r="B83" s="90" t="n"/>
      <c r="C83" s="91" t="n"/>
      <c r="D83" s="91" t="n"/>
      <c r="E83" s="92" t="n"/>
      <c r="F83" s="92" t="n"/>
      <c r="G83" s="91" t="n"/>
      <c r="H83" s="91" t="n"/>
      <c r="I83" s="91" t="n"/>
      <c r="J83" s="91" t="n"/>
      <c r="K83" s="91" t="n"/>
      <c r="L83" s="92" t="n"/>
      <c r="M83" s="91" t="n"/>
      <c r="N83" s="91" t="n"/>
      <c r="O83" s="91" t="n"/>
      <c r="P83" s="93" t="str">
        <f>IF(Z83=0,"",SUMIFS('ITENS_MTR'!$I$6:$I$1005,'ITENS_MTR'!$S$6:$S$1005,A83,'ITENS_MTR'!$Y$6:$Y$1005,1))</f>
        <v/>
      </c>
      <c r="Q83" s="93" t="str">
        <f>IF(Z83=0,"",SUMIFS('RECEBIMENTOS'!$H$6:$H$1005,'RECEBIMENTOS'!$B$6:$B$1005,A83,'RECEBIMENTOS'!$X$6:$X$1005,1))</f>
        <v/>
      </c>
      <c r="R83" s="93" t="str">
        <f>IF(Z83=0,"",SUMIFS('VÍNCULOS_CDF'!$H$6:$H$1005,'VÍNCULOS_CDF'!$D$6:$D$1005,A83,'VÍNCULOS_CDF'!$V$6:$V$1005,1))</f>
        <v/>
      </c>
      <c r="S83" s="94" t="str">
        <f>IF(Z83=0,"",IF(AA83=1,"Cancelado (informado)",IF(AE83=1,"Cadastro incompleto",IF(OR(AC83=1,AD83=1,AF83&gt;0,AH83&gt;0,AK83&gt;0,AL83&gt;0),"Informação a revisar",IF(AN83=0,"Aguardando recebimento",IF(N(R83)=0,"Aguardando CDF",IF(AJ83&lt;N(W83),"Vínculo de CDF parcial",IF(AO83=0,"CDF localizado, a conferir","Documentação conferida"))))))))</f>
        <v/>
      </c>
      <c r="T83" s="94" t="str">
        <f>IF(Z83=0,"",IF(S83="Cadastro incompleto","MTR INCOMPLETO",IF(S83="Informação a revisar",IF(AND(AH83&gt;0,AC83=0,AD83=0,AF83=0,AK83=0,AL83=0),"QUANTIDADE A REVISAR","IDENTIFICAÇÃO A REVISAR"),IF(S83="Aguardando recebimento","RECEBIMENTO NÃO CONFIRMADO",IF(S83="Aguardando CDF","CDF NÃO LOCALIZADO",IF(S83="Vínculo de CDF parcial","VÍNCULO INCOMPLETO",IF(S83="CDF localizado, a conferir","CDF A CONFERIR","")))))))</f>
        <v/>
      </c>
      <c r="U83" s="95" t="str">
        <f>IF(T83="","",IF(AQ83="","Não calculável",IF(AQ83&gt;TODAY(),"Data futura",TODAY()-AQ83)))</f>
        <v/>
      </c>
      <c r="V83" s="93" t="str">
        <f>IF(Z83=0,"",SUMIFS('RECEBIMENTOS'!$H$6:$H$1005,'RECEBIMENTOS'!$B$6:$B$1005,A83,'RECEBIMENTOS'!$Z$6:$Z$1005,1))</f>
        <v/>
      </c>
      <c r="W83" s="95" t="str">
        <f>IF(Z83=0,"",COUNTIFS('ITENS_MTR'!$S$6:$S$1005,A83,'ITENS_MTR'!$R$6:$R$1005,1))</f>
        <v/>
      </c>
      <c r="X83" s="94" t="str">
        <f>IF(AC83=1,"POSSÍVEL DUPLICIDADE","")</f>
        <v/>
      </c>
      <c r="Y83" s="94" t="str">
        <f>IF(Z83=0,"",IF(AW83="","Nenhuma",LEFT(AW83,LEN(AW83)-2)))</f>
        <v/>
      </c>
      <c r="Z83" s="96">
        <f>IF(COUNTA(B83:O83)&gt;0,1,0)</f>
        <v>0</v>
      </c>
      <c r="AA83" s="96">
        <f>IF(AND(Z83=1,K83&lt;&gt;""),IF(TRIM(K83)=TRIM(cfg_cancel),1,0),0)</f>
        <v>0</v>
      </c>
      <c r="AB83" s="96" t="str">
        <f>IF(AND(Z83=1,B83&lt;&gt;""),C83&amp;"|"&amp;D83&amp;"|"&amp;G83&amp;"|"&amp;TRIM(B83),"")</f>
        <v/>
      </c>
      <c r="AC83" s="96">
        <f>IF(AB83="",0,IF(SUMPRODUCT(--($AB$6:$AB$505=AB83))&gt;1,1,0))</f>
        <v>0</v>
      </c>
      <c r="AD83" s="96">
        <f>IF(Z83=0,0,IF(OR(AND(G83&lt;&gt;"",ISNA(MATCH(G83,'CAD_UNIDADES'!$C$6:$C$105,0))),AND(H83&lt;&gt;"",ISNA(MATCH(H83,cmp_transp,0))),AND(I83&lt;&gt;"",ISNA(MATCH(I83,cmp_dest,0))),AND(E83&lt;&gt;"",NOT(ISNUMBER(E83))),AND(F83&lt;&gt;"",NOT(ISNUMBER(F83))),AND(ISNUMBER(E83),ISNUMBER(F83),F83&lt;E83)),1,0))</f>
        <v>0</v>
      </c>
      <c r="AE83" s="96">
        <f>IF(Z83=0,0,IF(OR(B83="",C83="",E83="",G83="",H83="",I83="",N(W83)=0),1,0))</f>
        <v>0</v>
      </c>
      <c r="AF83" s="96">
        <f>IF(Z83=0,0,COUNTIFS('ITENS_MTR'!$S$6:$S$1005,A83,'ITENS_MTR'!$AI$6:$AI$1005,1))</f>
        <v>0</v>
      </c>
      <c r="AG83" s="96">
        <f>IF(Z83=0,0,COUNTIFS('ITENS_MTR'!$S$6:$S$1005,A83,'ITENS_MTR'!$AJ$6:$AJ$1005,1))</f>
        <v>0</v>
      </c>
      <c r="AH83" s="96">
        <f>IF(Z83=0,0,COUNTIFS('ITENS_MTR'!$S$6:$S$1005,A83,'ITENS_MTR'!$AM$6:$AM$1005,1))</f>
        <v>0</v>
      </c>
      <c r="AI83" s="96">
        <f>IF(Z83=0,0,COUNTIFS('ITENS_MTR'!$S$6:$S$1005,A83,'ITENS_MTR'!$AO$6:$AO$1005,1))</f>
        <v>0</v>
      </c>
      <c r="AJ83" s="96">
        <f>IF(Z83=0,0,COUNTIFS('ITENS_MTR'!$S$6:$S$1005,A83,'ITENS_MTR'!$AN$6:$AN$1005,1))</f>
        <v>0</v>
      </c>
      <c r="AK83" s="96">
        <f>IF(Z83=0,0,COUNTIFS('RECEBIMENTOS'!$B$6:$B$1005,A83,'RECEBIMENTOS'!$Y$6:$Y$1005,1))</f>
        <v>0</v>
      </c>
      <c r="AL83" s="96">
        <f>IF(Z83=0,0,COUNTIFS('VÍNCULOS_CDF'!$D$6:$D$1005,A83,'VÍNCULOS_CDF'!$Y$6:$Y$1005,1))</f>
        <v>0</v>
      </c>
      <c r="AM83" s="96">
        <f>IF(Z83=0,0,COUNTIFS('RECEBIMENTOS'!$B$6:$B$1005,A83,'RECEBIMENTOS'!$Q$6:$Q$1005,1))</f>
        <v>0</v>
      </c>
      <c r="AN83" s="96">
        <f>IF(AND(Z83=1,N(W83)&gt;0,AG83=N(W83)),1,0)</f>
        <v>0</v>
      </c>
      <c r="AO83" s="96">
        <f>IF(AND(Z83=1,N(W83)&gt;0,AI83=N(W83)),1,0)</f>
        <v>0</v>
      </c>
      <c r="AP83" s="97">
        <f>IF(Z83=0,0,_xlfn.MAXIFS('RECEBIMENTOS'!$E$6:$E$1005,'RECEBIMENTOS'!$B$6:$B$1005,A83))</f>
        <v>0</v>
      </c>
      <c r="AQ83" s="97" t="str">
        <f>IF(T83="","",IF(T83="RECEBIMENTO NÃO CONFIRMADO",IF(ISNUMBER(F83),F83,IF(ISNUMBER(E83),E83,"")),IF(OR(T83="CDF NÃO LOCALIZADO",T83="VÍNCULO INCOMPLETO",T83="CDF A CONFERIR"),IF(AP83&gt;0,AP83,IF(ISNUMBER(E83),E83,"")),IF(ISNUMBER(E83),E83,""))))</f>
        <v/>
      </c>
      <c r="AR83" s="96">
        <f>IF(NOT(ISNUMBER(U83)),0,IF(T83="RECEBIMENTO NÃO CONFIRMADO",IF(AND(ISNUMBER(cfg_rec),U83&gt;cfg_rec),1,0),IF(OR(T83="CDF NÃO LOCALIZADO",T83="VÍNCULO INCOMPLETO",T83="CDF A CONFERIR"),IF(AND(ISNUMBER(cfg_cdf),U83&gt;cfg_cdf),1,0),0)))</f>
        <v>0</v>
      </c>
      <c r="AS83" s="96" t="str">
        <f>IF(T83="","",IF(AR83=1,"Alta",IFERROR(INDEX(cfg_pp,MATCH(T83,cfg_pt,0))&amp;"","Média")))</f>
        <v/>
      </c>
      <c r="AT83" s="96" t="str">
        <f>IF(T83="","",IFERROR(INDEX(cfg_pv,MATCH(T83,cfg_pt,0))&amp;"",""))</f>
        <v/>
      </c>
      <c r="AU83" s="96" t="str">
        <f>IF(T83="","",IF(AS83="Alta",1,IF(AS83="Média",2,3))*1000000000+(999999-IF(ISNUMBER(U83),MIN(U83,999999),0))*1000+78)</f>
        <v/>
      </c>
      <c r="AV83" s="96">
        <f>IF(T83&lt;&gt;"",1,0)</f>
        <v>0</v>
      </c>
      <c r="AW83" s="96" t="str">
        <f>IF(Z83=0,"",IF(AA83=1,"Cancelamento informado; ","")&amp;IF(AE83=1,"Campos essenciais ou itens faltando; ","")&amp;IF(AC83=1,"Possível duplicidade do número; ","")&amp;IF(AD83=1,"Cadastro ou datas a revisar; ","")&amp;IF(AF83&gt;0,"Item de resíduo com dado a revisar; ","")&amp;IF(AH83&gt;0,"Diferença de quantidade a analisar; ","")&amp;IF(AK83&gt;0,"Recebimento com alerta; ","")&amp;IF(AL83&gt;0,"Vínculo de CDF com alerta; ","")&amp;IF(AND(AA83=0,AN83=0),"Recebimento não confirmado; ","")&amp;IF(AND(AA83=0,AN83=1,AO83=0),"CDF pendente ou a conferir; ",""))</f>
        <v/>
      </c>
      <c r="AX83" s="96">
        <f>IF(Z83=0,0,IF(AND(OR(f_ini="",AND(ISNUMBER(E83),E83&gt;=f_ini)),OR(f_fim="",AND(ISNUMBER(E83),E83&lt;=f_fim)),OR(f_un="",f_un="(Todas)",G83=f_un),OR(f_tr="",f_tr="(Todos)",H83=f_tr),OR(f_de="",f_de="(Todos)",I83=f_de),OR(f_sit="",f_sit="(Todas)",S83=f_sit)),1,0))</f>
        <v>0</v>
      </c>
      <c r="AY83" s="96">
        <f>IF(AX83=0,0,IF(OR(f_res="",f_res="(Todos)"),1,IF(COUNTIFS('ITENS_MTR'!$S$6:$S$1005,A83,'ITENS_MTR'!$C$6:$C$1005,f_res)&gt;0,1,0)))</f>
        <v>0</v>
      </c>
      <c r="AZ83" s="97" t="str">
        <f>IF(ISNUMBER(E83),DATE(YEAR(E83),MONTH(E83),1),"")</f>
        <v/>
      </c>
      <c r="BA83" s="96">
        <f>IF(Z83=0,0,IF(AND(OR(r_ini="",AND(ISNUMBER(E83),E83&gt;=r_ini)),OR(r_fim="",AND(ISNUMBER(E83),E83&lt;=r_fim)),OR(r_un="",r_un="(Todas)",G83=r_un),OR(r_de="",r_de="(Todos)",I83=r_de)),1,0))</f>
        <v>0</v>
      </c>
      <c r="BB83" s="96" t="str">
        <f>IF(BA83=1,COUNTIF($BA$6:BA83,1),"")</f>
        <v/>
      </c>
      <c r="BC83" s="96" t="str">
        <f>IF(AND(AU83&lt;&gt;"",OR(r_un="",r_un="(Todas)",G83=r_un),OR(r_de="",r_de="(Todos)",I83=r_de)),AU83,"")</f>
        <v/>
      </c>
      <c r="BD83" s="96" t="str">
        <f>IF(Z83=1,A83&amp;" | nº "&amp;IF(B83="","(sem número)",B83)&amp;" | "&amp;IF(G83="","(sem unidade)",G83),"")</f>
        <v/>
      </c>
      <c r="BE83" s="96" t="str">
        <f>IF(Z83=1,COUNTIF($Z$6:Z83,1),"")</f>
        <v/>
      </c>
      <c r="BF83" s="96" t="str">
        <f>IF(T83="","",IF(T83="RECEBIMENTO NÃO CONFIRMADO","Transp.: "&amp;H83&amp;" | Dest.: "&amp;I83,IF(OR(T83="CDF NÃO LOCALIZADO",T83="VÍNCULO INCOMPLETO",T83="CDF A CONFERIR"),"Dest.: "&amp;I83,"Gerador: "&amp;G83)))</f>
        <v/>
      </c>
    </row>
    <row r="84">
      <c r="A84" s="89" t="inlineStr">
        <is>
          <t>MTR-000079</t>
        </is>
      </c>
      <c r="B84" s="90" t="n"/>
      <c r="C84" s="91" t="n"/>
      <c r="D84" s="91" t="n"/>
      <c r="E84" s="92" t="n"/>
      <c r="F84" s="92" t="n"/>
      <c r="G84" s="91" t="n"/>
      <c r="H84" s="91" t="n"/>
      <c r="I84" s="91" t="n"/>
      <c r="J84" s="91" t="n"/>
      <c r="K84" s="91" t="n"/>
      <c r="L84" s="92" t="n"/>
      <c r="M84" s="91" t="n"/>
      <c r="N84" s="91" t="n"/>
      <c r="O84" s="91" t="n"/>
      <c r="P84" s="93" t="str">
        <f>IF(Z84=0,"",SUMIFS('ITENS_MTR'!$I$6:$I$1005,'ITENS_MTR'!$S$6:$S$1005,A84,'ITENS_MTR'!$Y$6:$Y$1005,1))</f>
        <v/>
      </c>
      <c r="Q84" s="93" t="str">
        <f>IF(Z84=0,"",SUMIFS('RECEBIMENTOS'!$H$6:$H$1005,'RECEBIMENTOS'!$B$6:$B$1005,A84,'RECEBIMENTOS'!$X$6:$X$1005,1))</f>
        <v/>
      </c>
      <c r="R84" s="93" t="str">
        <f>IF(Z84=0,"",SUMIFS('VÍNCULOS_CDF'!$H$6:$H$1005,'VÍNCULOS_CDF'!$D$6:$D$1005,A84,'VÍNCULOS_CDF'!$V$6:$V$1005,1))</f>
        <v/>
      </c>
      <c r="S84" s="94" t="str">
        <f>IF(Z84=0,"",IF(AA84=1,"Cancelado (informado)",IF(AE84=1,"Cadastro incompleto",IF(OR(AC84=1,AD84=1,AF84&gt;0,AH84&gt;0,AK84&gt;0,AL84&gt;0),"Informação a revisar",IF(AN84=0,"Aguardando recebimento",IF(N(R84)=0,"Aguardando CDF",IF(AJ84&lt;N(W84),"Vínculo de CDF parcial",IF(AO84=0,"CDF localizado, a conferir","Documentação conferida"))))))))</f>
        <v/>
      </c>
      <c r="T84" s="94" t="str">
        <f>IF(Z84=0,"",IF(S84="Cadastro incompleto","MTR INCOMPLETO",IF(S84="Informação a revisar",IF(AND(AH84&gt;0,AC84=0,AD84=0,AF84=0,AK84=0,AL84=0),"QUANTIDADE A REVISAR","IDENTIFICAÇÃO A REVISAR"),IF(S84="Aguardando recebimento","RECEBIMENTO NÃO CONFIRMADO",IF(S84="Aguardando CDF","CDF NÃO LOCALIZADO",IF(S84="Vínculo de CDF parcial","VÍNCULO INCOMPLETO",IF(S84="CDF localizado, a conferir","CDF A CONFERIR","")))))))</f>
        <v/>
      </c>
      <c r="U84" s="95" t="str">
        <f>IF(T84="","",IF(AQ84="","Não calculável",IF(AQ84&gt;TODAY(),"Data futura",TODAY()-AQ84)))</f>
        <v/>
      </c>
      <c r="V84" s="93" t="str">
        <f>IF(Z84=0,"",SUMIFS('RECEBIMENTOS'!$H$6:$H$1005,'RECEBIMENTOS'!$B$6:$B$1005,A84,'RECEBIMENTOS'!$Z$6:$Z$1005,1))</f>
        <v/>
      </c>
      <c r="W84" s="95" t="str">
        <f>IF(Z84=0,"",COUNTIFS('ITENS_MTR'!$S$6:$S$1005,A84,'ITENS_MTR'!$R$6:$R$1005,1))</f>
        <v/>
      </c>
      <c r="X84" s="94" t="str">
        <f>IF(AC84=1,"POSSÍVEL DUPLICIDADE","")</f>
        <v/>
      </c>
      <c r="Y84" s="94" t="str">
        <f>IF(Z84=0,"",IF(AW84="","Nenhuma",LEFT(AW84,LEN(AW84)-2)))</f>
        <v/>
      </c>
      <c r="Z84" s="96">
        <f>IF(COUNTA(B84:O84)&gt;0,1,0)</f>
        <v>0</v>
      </c>
      <c r="AA84" s="96">
        <f>IF(AND(Z84=1,K84&lt;&gt;""),IF(TRIM(K84)=TRIM(cfg_cancel),1,0),0)</f>
        <v>0</v>
      </c>
      <c r="AB84" s="96" t="str">
        <f>IF(AND(Z84=1,B84&lt;&gt;""),C84&amp;"|"&amp;D84&amp;"|"&amp;G84&amp;"|"&amp;TRIM(B84),"")</f>
        <v/>
      </c>
      <c r="AC84" s="96">
        <f>IF(AB84="",0,IF(SUMPRODUCT(--($AB$6:$AB$505=AB84))&gt;1,1,0))</f>
        <v>0</v>
      </c>
      <c r="AD84" s="96">
        <f>IF(Z84=0,0,IF(OR(AND(G84&lt;&gt;"",ISNA(MATCH(G84,'CAD_UNIDADES'!$C$6:$C$105,0))),AND(H84&lt;&gt;"",ISNA(MATCH(H84,cmp_transp,0))),AND(I84&lt;&gt;"",ISNA(MATCH(I84,cmp_dest,0))),AND(E84&lt;&gt;"",NOT(ISNUMBER(E84))),AND(F84&lt;&gt;"",NOT(ISNUMBER(F84))),AND(ISNUMBER(E84),ISNUMBER(F84),F84&lt;E84)),1,0))</f>
        <v>0</v>
      </c>
      <c r="AE84" s="96">
        <f>IF(Z84=0,0,IF(OR(B84="",C84="",E84="",G84="",H84="",I84="",N(W84)=0),1,0))</f>
        <v>0</v>
      </c>
      <c r="AF84" s="96">
        <f>IF(Z84=0,0,COUNTIFS('ITENS_MTR'!$S$6:$S$1005,A84,'ITENS_MTR'!$AI$6:$AI$1005,1))</f>
        <v>0</v>
      </c>
      <c r="AG84" s="96">
        <f>IF(Z84=0,0,COUNTIFS('ITENS_MTR'!$S$6:$S$1005,A84,'ITENS_MTR'!$AJ$6:$AJ$1005,1))</f>
        <v>0</v>
      </c>
      <c r="AH84" s="96">
        <f>IF(Z84=0,0,COUNTIFS('ITENS_MTR'!$S$6:$S$1005,A84,'ITENS_MTR'!$AM$6:$AM$1005,1))</f>
        <v>0</v>
      </c>
      <c r="AI84" s="96">
        <f>IF(Z84=0,0,COUNTIFS('ITENS_MTR'!$S$6:$S$1005,A84,'ITENS_MTR'!$AO$6:$AO$1005,1))</f>
        <v>0</v>
      </c>
      <c r="AJ84" s="96">
        <f>IF(Z84=0,0,COUNTIFS('ITENS_MTR'!$S$6:$S$1005,A84,'ITENS_MTR'!$AN$6:$AN$1005,1))</f>
        <v>0</v>
      </c>
      <c r="AK84" s="96">
        <f>IF(Z84=0,0,COUNTIFS('RECEBIMENTOS'!$B$6:$B$1005,A84,'RECEBIMENTOS'!$Y$6:$Y$1005,1))</f>
        <v>0</v>
      </c>
      <c r="AL84" s="96">
        <f>IF(Z84=0,0,COUNTIFS('VÍNCULOS_CDF'!$D$6:$D$1005,A84,'VÍNCULOS_CDF'!$Y$6:$Y$1005,1))</f>
        <v>0</v>
      </c>
      <c r="AM84" s="96">
        <f>IF(Z84=0,0,COUNTIFS('RECEBIMENTOS'!$B$6:$B$1005,A84,'RECEBIMENTOS'!$Q$6:$Q$1005,1))</f>
        <v>0</v>
      </c>
      <c r="AN84" s="96">
        <f>IF(AND(Z84=1,N(W84)&gt;0,AG84=N(W84)),1,0)</f>
        <v>0</v>
      </c>
      <c r="AO84" s="96">
        <f>IF(AND(Z84=1,N(W84)&gt;0,AI84=N(W84)),1,0)</f>
        <v>0</v>
      </c>
      <c r="AP84" s="97">
        <f>IF(Z84=0,0,_xlfn.MAXIFS('RECEBIMENTOS'!$E$6:$E$1005,'RECEBIMENTOS'!$B$6:$B$1005,A84))</f>
        <v>0</v>
      </c>
      <c r="AQ84" s="97" t="str">
        <f>IF(T84="","",IF(T84="RECEBIMENTO NÃO CONFIRMADO",IF(ISNUMBER(F84),F84,IF(ISNUMBER(E84),E84,"")),IF(OR(T84="CDF NÃO LOCALIZADO",T84="VÍNCULO INCOMPLETO",T84="CDF A CONFERIR"),IF(AP84&gt;0,AP84,IF(ISNUMBER(E84),E84,"")),IF(ISNUMBER(E84),E84,""))))</f>
        <v/>
      </c>
      <c r="AR84" s="96">
        <f>IF(NOT(ISNUMBER(U84)),0,IF(T84="RECEBIMENTO NÃO CONFIRMADO",IF(AND(ISNUMBER(cfg_rec),U84&gt;cfg_rec),1,0),IF(OR(T84="CDF NÃO LOCALIZADO",T84="VÍNCULO INCOMPLETO",T84="CDF A CONFERIR"),IF(AND(ISNUMBER(cfg_cdf),U84&gt;cfg_cdf),1,0),0)))</f>
        <v>0</v>
      </c>
      <c r="AS84" s="96" t="str">
        <f>IF(T84="","",IF(AR84=1,"Alta",IFERROR(INDEX(cfg_pp,MATCH(T84,cfg_pt,0))&amp;"","Média")))</f>
        <v/>
      </c>
      <c r="AT84" s="96" t="str">
        <f>IF(T84="","",IFERROR(INDEX(cfg_pv,MATCH(T84,cfg_pt,0))&amp;"",""))</f>
        <v/>
      </c>
      <c r="AU84" s="96" t="str">
        <f>IF(T84="","",IF(AS84="Alta",1,IF(AS84="Média",2,3))*1000000000+(999999-IF(ISNUMBER(U84),MIN(U84,999999),0))*1000+79)</f>
        <v/>
      </c>
      <c r="AV84" s="96">
        <f>IF(T84&lt;&gt;"",1,0)</f>
        <v>0</v>
      </c>
      <c r="AW84" s="96" t="str">
        <f>IF(Z84=0,"",IF(AA84=1,"Cancelamento informado; ","")&amp;IF(AE84=1,"Campos essenciais ou itens faltando; ","")&amp;IF(AC84=1,"Possível duplicidade do número; ","")&amp;IF(AD84=1,"Cadastro ou datas a revisar; ","")&amp;IF(AF84&gt;0,"Item de resíduo com dado a revisar; ","")&amp;IF(AH84&gt;0,"Diferença de quantidade a analisar; ","")&amp;IF(AK84&gt;0,"Recebimento com alerta; ","")&amp;IF(AL84&gt;0,"Vínculo de CDF com alerta; ","")&amp;IF(AND(AA84=0,AN84=0),"Recebimento não confirmado; ","")&amp;IF(AND(AA84=0,AN84=1,AO84=0),"CDF pendente ou a conferir; ",""))</f>
        <v/>
      </c>
      <c r="AX84" s="96">
        <f>IF(Z84=0,0,IF(AND(OR(f_ini="",AND(ISNUMBER(E84),E84&gt;=f_ini)),OR(f_fim="",AND(ISNUMBER(E84),E84&lt;=f_fim)),OR(f_un="",f_un="(Todas)",G84=f_un),OR(f_tr="",f_tr="(Todos)",H84=f_tr),OR(f_de="",f_de="(Todos)",I84=f_de),OR(f_sit="",f_sit="(Todas)",S84=f_sit)),1,0))</f>
        <v>0</v>
      </c>
      <c r="AY84" s="96">
        <f>IF(AX84=0,0,IF(OR(f_res="",f_res="(Todos)"),1,IF(COUNTIFS('ITENS_MTR'!$S$6:$S$1005,A84,'ITENS_MTR'!$C$6:$C$1005,f_res)&gt;0,1,0)))</f>
        <v>0</v>
      </c>
      <c r="AZ84" s="97" t="str">
        <f>IF(ISNUMBER(E84),DATE(YEAR(E84),MONTH(E84),1),"")</f>
        <v/>
      </c>
      <c r="BA84" s="96">
        <f>IF(Z84=0,0,IF(AND(OR(r_ini="",AND(ISNUMBER(E84),E84&gt;=r_ini)),OR(r_fim="",AND(ISNUMBER(E84),E84&lt;=r_fim)),OR(r_un="",r_un="(Todas)",G84=r_un),OR(r_de="",r_de="(Todos)",I84=r_de)),1,0))</f>
        <v>0</v>
      </c>
      <c r="BB84" s="96" t="str">
        <f>IF(BA84=1,COUNTIF($BA$6:BA84,1),"")</f>
        <v/>
      </c>
      <c r="BC84" s="96" t="str">
        <f>IF(AND(AU84&lt;&gt;"",OR(r_un="",r_un="(Todas)",G84=r_un),OR(r_de="",r_de="(Todos)",I84=r_de)),AU84,"")</f>
        <v/>
      </c>
      <c r="BD84" s="96" t="str">
        <f>IF(Z84=1,A84&amp;" | nº "&amp;IF(B84="","(sem número)",B84)&amp;" | "&amp;IF(G84="","(sem unidade)",G84),"")</f>
        <v/>
      </c>
      <c r="BE84" s="96" t="str">
        <f>IF(Z84=1,COUNTIF($Z$6:Z84,1),"")</f>
        <v/>
      </c>
      <c r="BF84" s="96" t="str">
        <f>IF(T84="","",IF(T84="RECEBIMENTO NÃO CONFIRMADO","Transp.: "&amp;H84&amp;" | Dest.: "&amp;I84,IF(OR(T84="CDF NÃO LOCALIZADO",T84="VÍNCULO INCOMPLETO",T84="CDF A CONFERIR"),"Dest.: "&amp;I84,"Gerador: "&amp;G84)))</f>
        <v/>
      </c>
    </row>
    <row r="85">
      <c r="A85" s="89" t="inlineStr">
        <is>
          <t>MTR-000080</t>
        </is>
      </c>
      <c r="B85" s="90" t="n"/>
      <c r="C85" s="91" t="n"/>
      <c r="D85" s="91" t="n"/>
      <c r="E85" s="92" t="n"/>
      <c r="F85" s="92" t="n"/>
      <c r="G85" s="91" t="n"/>
      <c r="H85" s="91" t="n"/>
      <c r="I85" s="91" t="n"/>
      <c r="J85" s="91" t="n"/>
      <c r="K85" s="91" t="n"/>
      <c r="L85" s="92" t="n"/>
      <c r="M85" s="91" t="n"/>
      <c r="N85" s="91" t="n"/>
      <c r="O85" s="91" t="n"/>
      <c r="P85" s="93" t="str">
        <f>IF(Z85=0,"",SUMIFS('ITENS_MTR'!$I$6:$I$1005,'ITENS_MTR'!$S$6:$S$1005,A85,'ITENS_MTR'!$Y$6:$Y$1005,1))</f>
        <v/>
      </c>
      <c r="Q85" s="93" t="str">
        <f>IF(Z85=0,"",SUMIFS('RECEBIMENTOS'!$H$6:$H$1005,'RECEBIMENTOS'!$B$6:$B$1005,A85,'RECEBIMENTOS'!$X$6:$X$1005,1))</f>
        <v/>
      </c>
      <c r="R85" s="93" t="str">
        <f>IF(Z85=0,"",SUMIFS('VÍNCULOS_CDF'!$H$6:$H$1005,'VÍNCULOS_CDF'!$D$6:$D$1005,A85,'VÍNCULOS_CDF'!$V$6:$V$1005,1))</f>
        <v/>
      </c>
      <c r="S85" s="94" t="str">
        <f>IF(Z85=0,"",IF(AA85=1,"Cancelado (informado)",IF(AE85=1,"Cadastro incompleto",IF(OR(AC85=1,AD85=1,AF85&gt;0,AH85&gt;0,AK85&gt;0,AL85&gt;0),"Informação a revisar",IF(AN85=0,"Aguardando recebimento",IF(N(R85)=0,"Aguardando CDF",IF(AJ85&lt;N(W85),"Vínculo de CDF parcial",IF(AO85=0,"CDF localizado, a conferir","Documentação conferida"))))))))</f>
        <v/>
      </c>
      <c r="T85" s="94" t="str">
        <f>IF(Z85=0,"",IF(S85="Cadastro incompleto","MTR INCOMPLETO",IF(S85="Informação a revisar",IF(AND(AH85&gt;0,AC85=0,AD85=0,AF85=0,AK85=0,AL85=0),"QUANTIDADE A REVISAR","IDENTIFICAÇÃO A REVISAR"),IF(S85="Aguardando recebimento","RECEBIMENTO NÃO CONFIRMADO",IF(S85="Aguardando CDF","CDF NÃO LOCALIZADO",IF(S85="Vínculo de CDF parcial","VÍNCULO INCOMPLETO",IF(S85="CDF localizado, a conferir","CDF A CONFERIR","")))))))</f>
        <v/>
      </c>
      <c r="U85" s="95" t="str">
        <f>IF(T85="","",IF(AQ85="","Não calculável",IF(AQ85&gt;TODAY(),"Data futura",TODAY()-AQ85)))</f>
        <v/>
      </c>
      <c r="V85" s="93" t="str">
        <f>IF(Z85=0,"",SUMIFS('RECEBIMENTOS'!$H$6:$H$1005,'RECEBIMENTOS'!$B$6:$B$1005,A85,'RECEBIMENTOS'!$Z$6:$Z$1005,1))</f>
        <v/>
      </c>
      <c r="W85" s="95" t="str">
        <f>IF(Z85=0,"",COUNTIFS('ITENS_MTR'!$S$6:$S$1005,A85,'ITENS_MTR'!$R$6:$R$1005,1))</f>
        <v/>
      </c>
      <c r="X85" s="94" t="str">
        <f>IF(AC85=1,"POSSÍVEL DUPLICIDADE","")</f>
        <v/>
      </c>
      <c r="Y85" s="94" t="str">
        <f>IF(Z85=0,"",IF(AW85="","Nenhuma",LEFT(AW85,LEN(AW85)-2)))</f>
        <v/>
      </c>
      <c r="Z85" s="96">
        <f>IF(COUNTA(B85:O85)&gt;0,1,0)</f>
        <v>0</v>
      </c>
      <c r="AA85" s="96">
        <f>IF(AND(Z85=1,K85&lt;&gt;""),IF(TRIM(K85)=TRIM(cfg_cancel),1,0),0)</f>
        <v>0</v>
      </c>
      <c r="AB85" s="96" t="str">
        <f>IF(AND(Z85=1,B85&lt;&gt;""),C85&amp;"|"&amp;D85&amp;"|"&amp;G85&amp;"|"&amp;TRIM(B85),"")</f>
        <v/>
      </c>
      <c r="AC85" s="96">
        <f>IF(AB85="",0,IF(SUMPRODUCT(--($AB$6:$AB$505=AB85))&gt;1,1,0))</f>
        <v>0</v>
      </c>
      <c r="AD85" s="96">
        <f>IF(Z85=0,0,IF(OR(AND(G85&lt;&gt;"",ISNA(MATCH(G85,'CAD_UNIDADES'!$C$6:$C$105,0))),AND(H85&lt;&gt;"",ISNA(MATCH(H85,cmp_transp,0))),AND(I85&lt;&gt;"",ISNA(MATCH(I85,cmp_dest,0))),AND(E85&lt;&gt;"",NOT(ISNUMBER(E85))),AND(F85&lt;&gt;"",NOT(ISNUMBER(F85))),AND(ISNUMBER(E85),ISNUMBER(F85),F85&lt;E85)),1,0))</f>
        <v>0</v>
      </c>
      <c r="AE85" s="96">
        <f>IF(Z85=0,0,IF(OR(B85="",C85="",E85="",G85="",H85="",I85="",N(W85)=0),1,0))</f>
        <v>0</v>
      </c>
      <c r="AF85" s="96">
        <f>IF(Z85=0,0,COUNTIFS('ITENS_MTR'!$S$6:$S$1005,A85,'ITENS_MTR'!$AI$6:$AI$1005,1))</f>
        <v>0</v>
      </c>
      <c r="AG85" s="96">
        <f>IF(Z85=0,0,COUNTIFS('ITENS_MTR'!$S$6:$S$1005,A85,'ITENS_MTR'!$AJ$6:$AJ$1005,1))</f>
        <v>0</v>
      </c>
      <c r="AH85" s="96">
        <f>IF(Z85=0,0,COUNTIFS('ITENS_MTR'!$S$6:$S$1005,A85,'ITENS_MTR'!$AM$6:$AM$1005,1))</f>
        <v>0</v>
      </c>
      <c r="AI85" s="96">
        <f>IF(Z85=0,0,COUNTIFS('ITENS_MTR'!$S$6:$S$1005,A85,'ITENS_MTR'!$AO$6:$AO$1005,1))</f>
        <v>0</v>
      </c>
      <c r="AJ85" s="96">
        <f>IF(Z85=0,0,COUNTIFS('ITENS_MTR'!$S$6:$S$1005,A85,'ITENS_MTR'!$AN$6:$AN$1005,1))</f>
        <v>0</v>
      </c>
      <c r="AK85" s="96">
        <f>IF(Z85=0,0,COUNTIFS('RECEBIMENTOS'!$B$6:$B$1005,A85,'RECEBIMENTOS'!$Y$6:$Y$1005,1))</f>
        <v>0</v>
      </c>
      <c r="AL85" s="96">
        <f>IF(Z85=0,0,COUNTIFS('VÍNCULOS_CDF'!$D$6:$D$1005,A85,'VÍNCULOS_CDF'!$Y$6:$Y$1005,1))</f>
        <v>0</v>
      </c>
      <c r="AM85" s="96">
        <f>IF(Z85=0,0,COUNTIFS('RECEBIMENTOS'!$B$6:$B$1005,A85,'RECEBIMENTOS'!$Q$6:$Q$1005,1))</f>
        <v>0</v>
      </c>
      <c r="AN85" s="96">
        <f>IF(AND(Z85=1,N(W85)&gt;0,AG85=N(W85)),1,0)</f>
        <v>0</v>
      </c>
      <c r="AO85" s="96">
        <f>IF(AND(Z85=1,N(W85)&gt;0,AI85=N(W85)),1,0)</f>
        <v>0</v>
      </c>
      <c r="AP85" s="97">
        <f>IF(Z85=0,0,_xlfn.MAXIFS('RECEBIMENTOS'!$E$6:$E$1005,'RECEBIMENTOS'!$B$6:$B$1005,A85))</f>
        <v>0</v>
      </c>
      <c r="AQ85" s="97" t="str">
        <f>IF(T85="","",IF(T85="RECEBIMENTO NÃO CONFIRMADO",IF(ISNUMBER(F85),F85,IF(ISNUMBER(E85),E85,"")),IF(OR(T85="CDF NÃO LOCALIZADO",T85="VÍNCULO INCOMPLETO",T85="CDF A CONFERIR"),IF(AP85&gt;0,AP85,IF(ISNUMBER(E85),E85,"")),IF(ISNUMBER(E85),E85,""))))</f>
        <v/>
      </c>
      <c r="AR85" s="96">
        <f>IF(NOT(ISNUMBER(U85)),0,IF(T85="RECEBIMENTO NÃO CONFIRMADO",IF(AND(ISNUMBER(cfg_rec),U85&gt;cfg_rec),1,0),IF(OR(T85="CDF NÃO LOCALIZADO",T85="VÍNCULO INCOMPLETO",T85="CDF A CONFERIR"),IF(AND(ISNUMBER(cfg_cdf),U85&gt;cfg_cdf),1,0),0)))</f>
        <v>0</v>
      </c>
      <c r="AS85" s="96" t="str">
        <f>IF(T85="","",IF(AR85=1,"Alta",IFERROR(INDEX(cfg_pp,MATCH(T85,cfg_pt,0))&amp;"","Média")))</f>
        <v/>
      </c>
      <c r="AT85" s="96" t="str">
        <f>IF(T85="","",IFERROR(INDEX(cfg_pv,MATCH(T85,cfg_pt,0))&amp;"",""))</f>
        <v/>
      </c>
      <c r="AU85" s="96" t="str">
        <f>IF(T85="","",IF(AS85="Alta",1,IF(AS85="Média",2,3))*1000000000+(999999-IF(ISNUMBER(U85),MIN(U85,999999),0))*1000+80)</f>
        <v/>
      </c>
      <c r="AV85" s="96">
        <f>IF(T85&lt;&gt;"",1,0)</f>
        <v>0</v>
      </c>
      <c r="AW85" s="96" t="str">
        <f>IF(Z85=0,"",IF(AA85=1,"Cancelamento informado; ","")&amp;IF(AE85=1,"Campos essenciais ou itens faltando; ","")&amp;IF(AC85=1,"Possível duplicidade do número; ","")&amp;IF(AD85=1,"Cadastro ou datas a revisar; ","")&amp;IF(AF85&gt;0,"Item de resíduo com dado a revisar; ","")&amp;IF(AH85&gt;0,"Diferença de quantidade a analisar; ","")&amp;IF(AK85&gt;0,"Recebimento com alerta; ","")&amp;IF(AL85&gt;0,"Vínculo de CDF com alerta; ","")&amp;IF(AND(AA85=0,AN85=0),"Recebimento não confirmado; ","")&amp;IF(AND(AA85=0,AN85=1,AO85=0),"CDF pendente ou a conferir; ",""))</f>
        <v/>
      </c>
      <c r="AX85" s="96">
        <f>IF(Z85=0,0,IF(AND(OR(f_ini="",AND(ISNUMBER(E85),E85&gt;=f_ini)),OR(f_fim="",AND(ISNUMBER(E85),E85&lt;=f_fim)),OR(f_un="",f_un="(Todas)",G85=f_un),OR(f_tr="",f_tr="(Todos)",H85=f_tr),OR(f_de="",f_de="(Todos)",I85=f_de),OR(f_sit="",f_sit="(Todas)",S85=f_sit)),1,0))</f>
        <v>0</v>
      </c>
      <c r="AY85" s="96">
        <f>IF(AX85=0,0,IF(OR(f_res="",f_res="(Todos)"),1,IF(COUNTIFS('ITENS_MTR'!$S$6:$S$1005,A85,'ITENS_MTR'!$C$6:$C$1005,f_res)&gt;0,1,0)))</f>
        <v>0</v>
      </c>
      <c r="AZ85" s="97" t="str">
        <f>IF(ISNUMBER(E85),DATE(YEAR(E85),MONTH(E85),1),"")</f>
        <v/>
      </c>
      <c r="BA85" s="96">
        <f>IF(Z85=0,0,IF(AND(OR(r_ini="",AND(ISNUMBER(E85),E85&gt;=r_ini)),OR(r_fim="",AND(ISNUMBER(E85),E85&lt;=r_fim)),OR(r_un="",r_un="(Todas)",G85=r_un),OR(r_de="",r_de="(Todos)",I85=r_de)),1,0))</f>
        <v>0</v>
      </c>
      <c r="BB85" s="96" t="str">
        <f>IF(BA85=1,COUNTIF($BA$6:BA85,1),"")</f>
        <v/>
      </c>
      <c r="BC85" s="96" t="str">
        <f>IF(AND(AU85&lt;&gt;"",OR(r_un="",r_un="(Todas)",G85=r_un),OR(r_de="",r_de="(Todos)",I85=r_de)),AU85,"")</f>
        <v/>
      </c>
      <c r="BD85" s="96" t="str">
        <f>IF(Z85=1,A85&amp;" | nº "&amp;IF(B85="","(sem número)",B85)&amp;" | "&amp;IF(G85="","(sem unidade)",G85),"")</f>
        <v/>
      </c>
      <c r="BE85" s="96" t="str">
        <f>IF(Z85=1,COUNTIF($Z$6:Z85,1),"")</f>
        <v/>
      </c>
      <c r="BF85" s="96" t="str">
        <f>IF(T85="","",IF(T85="RECEBIMENTO NÃO CONFIRMADO","Transp.: "&amp;H85&amp;" | Dest.: "&amp;I85,IF(OR(T85="CDF NÃO LOCALIZADO",T85="VÍNCULO INCOMPLETO",T85="CDF A CONFERIR"),"Dest.: "&amp;I85,"Gerador: "&amp;G85)))</f>
        <v/>
      </c>
    </row>
    <row r="86">
      <c r="A86" s="89" t="inlineStr">
        <is>
          <t>MTR-000081</t>
        </is>
      </c>
      <c r="B86" s="90" t="n"/>
      <c r="C86" s="91" t="n"/>
      <c r="D86" s="91" t="n"/>
      <c r="E86" s="92" t="n"/>
      <c r="F86" s="92" t="n"/>
      <c r="G86" s="91" t="n"/>
      <c r="H86" s="91" t="n"/>
      <c r="I86" s="91" t="n"/>
      <c r="J86" s="91" t="n"/>
      <c r="K86" s="91" t="n"/>
      <c r="L86" s="92" t="n"/>
      <c r="M86" s="91" t="n"/>
      <c r="N86" s="91" t="n"/>
      <c r="O86" s="91" t="n"/>
      <c r="P86" s="93" t="str">
        <f>IF(Z86=0,"",SUMIFS('ITENS_MTR'!$I$6:$I$1005,'ITENS_MTR'!$S$6:$S$1005,A86,'ITENS_MTR'!$Y$6:$Y$1005,1))</f>
        <v/>
      </c>
      <c r="Q86" s="93" t="str">
        <f>IF(Z86=0,"",SUMIFS('RECEBIMENTOS'!$H$6:$H$1005,'RECEBIMENTOS'!$B$6:$B$1005,A86,'RECEBIMENTOS'!$X$6:$X$1005,1))</f>
        <v/>
      </c>
      <c r="R86" s="93" t="str">
        <f>IF(Z86=0,"",SUMIFS('VÍNCULOS_CDF'!$H$6:$H$1005,'VÍNCULOS_CDF'!$D$6:$D$1005,A86,'VÍNCULOS_CDF'!$V$6:$V$1005,1))</f>
        <v/>
      </c>
      <c r="S86" s="94" t="str">
        <f>IF(Z86=0,"",IF(AA86=1,"Cancelado (informado)",IF(AE86=1,"Cadastro incompleto",IF(OR(AC86=1,AD86=1,AF86&gt;0,AH86&gt;0,AK86&gt;0,AL86&gt;0),"Informação a revisar",IF(AN86=0,"Aguardando recebimento",IF(N(R86)=0,"Aguardando CDF",IF(AJ86&lt;N(W86),"Vínculo de CDF parcial",IF(AO86=0,"CDF localizado, a conferir","Documentação conferida"))))))))</f>
        <v/>
      </c>
      <c r="T86" s="94" t="str">
        <f>IF(Z86=0,"",IF(S86="Cadastro incompleto","MTR INCOMPLETO",IF(S86="Informação a revisar",IF(AND(AH86&gt;0,AC86=0,AD86=0,AF86=0,AK86=0,AL86=0),"QUANTIDADE A REVISAR","IDENTIFICAÇÃO A REVISAR"),IF(S86="Aguardando recebimento","RECEBIMENTO NÃO CONFIRMADO",IF(S86="Aguardando CDF","CDF NÃO LOCALIZADO",IF(S86="Vínculo de CDF parcial","VÍNCULO INCOMPLETO",IF(S86="CDF localizado, a conferir","CDF A CONFERIR","")))))))</f>
        <v/>
      </c>
      <c r="U86" s="95" t="str">
        <f>IF(T86="","",IF(AQ86="","Não calculável",IF(AQ86&gt;TODAY(),"Data futura",TODAY()-AQ86)))</f>
        <v/>
      </c>
      <c r="V86" s="93" t="str">
        <f>IF(Z86=0,"",SUMIFS('RECEBIMENTOS'!$H$6:$H$1005,'RECEBIMENTOS'!$B$6:$B$1005,A86,'RECEBIMENTOS'!$Z$6:$Z$1005,1))</f>
        <v/>
      </c>
      <c r="W86" s="95" t="str">
        <f>IF(Z86=0,"",COUNTIFS('ITENS_MTR'!$S$6:$S$1005,A86,'ITENS_MTR'!$R$6:$R$1005,1))</f>
        <v/>
      </c>
      <c r="X86" s="94" t="str">
        <f>IF(AC86=1,"POSSÍVEL DUPLICIDADE","")</f>
        <v/>
      </c>
      <c r="Y86" s="94" t="str">
        <f>IF(Z86=0,"",IF(AW86="","Nenhuma",LEFT(AW86,LEN(AW86)-2)))</f>
        <v/>
      </c>
      <c r="Z86" s="96">
        <f>IF(COUNTA(B86:O86)&gt;0,1,0)</f>
        <v>0</v>
      </c>
      <c r="AA86" s="96">
        <f>IF(AND(Z86=1,K86&lt;&gt;""),IF(TRIM(K86)=TRIM(cfg_cancel),1,0),0)</f>
        <v>0</v>
      </c>
      <c r="AB86" s="96" t="str">
        <f>IF(AND(Z86=1,B86&lt;&gt;""),C86&amp;"|"&amp;D86&amp;"|"&amp;G86&amp;"|"&amp;TRIM(B86),"")</f>
        <v/>
      </c>
      <c r="AC86" s="96">
        <f>IF(AB86="",0,IF(SUMPRODUCT(--($AB$6:$AB$505=AB86))&gt;1,1,0))</f>
        <v>0</v>
      </c>
      <c r="AD86" s="96">
        <f>IF(Z86=0,0,IF(OR(AND(G86&lt;&gt;"",ISNA(MATCH(G86,'CAD_UNIDADES'!$C$6:$C$105,0))),AND(H86&lt;&gt;"",ISNA(MATCH(H86,cmp_transp,0))),AND(I86&lt;&gt;"",ISNA(MATCH(I86,cmp_dest,0))),AND(E86&lt;&gt;"",NOT(ISNUMBER(E86))),AND(F86&lt;&gt;"",NOT(ISNUMBER(F86))),AND(ISNUMBER(E86),ISNUMBER(F86),F86&lt;E86)),1,0))</f>
        <v>0</v>
      </c>
      <c r="AE86" s="96">
        <f>IF(Z86=0,0,IF(OR(B86="",C86="",E86="",G86="",H86="",I86="",N(W86)=0),1,0))</f>
        <v>0</v>
      </c>
      <c r="AF86" s="96">
        <f>IF(Z86=0,0,COUNTIFS('ITENS_MTR'!$S$6:$S$1005,A86,'ITENS_MTR'!$AI$6:$AI$1005,1))</f>
        <v>0</v>
      </c>
      <c r="AG86" s="96">
        <f>IF(Z86=0,0,COUNTIFS('ITENS_MTR'!$S$6:$S$1005,A86,'ITENS_MTR'!$AJ$6:$AJ$1005,1))</f>
        <v>0</v>
      </c>
      <c r="AH86" s="96">
        <f>IF(Z86=0,0,COUNTIFS('ITENS_MTR'!$S$6:$S$1005,A86,'ITENS_MTR'!$AM$6:$AM$1005,1))</f>
        <v>0</v>
      </c>
      <c r="AI86" s="96">
        <f>IF(Z86=0,0,COUNTIFS('ITENS_MTR'!$S$6:$S$1005,A86,'ITENS_MTR'!$AO$6:$AO$1005,1))</f>
        <v>0</v>
      </c>
      <c r="AJ86" s="96">
        <f>IF(Z86=0,0,COUNTIFS('ITENS_MTR'!$S$6:$S$1005,A86,'ITENS_MTR'!$AN$6:$AN$1005,1))</f>
        <v>0</v>
      </c>
      <c r="AK86" s="96">
        <f>IF(Z86=0,0,COUNTIFS('RECEBIMENTOS'!$B$6:$B$1005,A86,'RECEBIMENTOS'!$Y$6:$Y$1005,1))</f>
        <v>0</v>
      </c>
      <c r="AL86" s="96">
        <f>IF(Z86=0,0,COUNTIFS('VÍNCULOS_CDF'!$D$6:$D$1005,A86,'VÍNCULOS_CDF'!$Y$6:$Y$1005,1))</f>
        <v>0</v>
      </c>
      <c r="AM86" s="96">
        <f>IF(Z86=0,0,COUNTIFS('RECEBIMENTOS'!$B$6:$B$1005,A86,'RECEBIMENTOS'!$Q$6:$Q$1005,1))</f>
        <v>0</v>
      </c>
      <c r="AN86" s="96">
        <f>IF(AND(Z86=1,N(W86)&gt;0,AG86=N(W86)),1,0)</f>
        <v>0</v>
      </c>
      <c r="AO86" s="96">
        <f>IF(AND(Z86=1,N(W86)&gt;0,AI86=N(W86)),1,0)</f>
        <v>0</v>
      </c>
      <c r="AP86" s="97">
        <f>IF(Z86=0,0,_xlfn.MAXIFS('RECEBIMENTOS'!$E$6:$E$1005,'RECEBIMENTOS'!$B$6:$B$1005,A86))</f>
        <v>0</v>
      </c>
      <c r="AQ86" s="97" t="str">
        <f>IF(T86="","",IF(T86="RECEBIMENTO NÃO CONFIRMADO",IF(ISNUMBER(F86),F86,IF(ISNUMBER(E86),E86,"")),IF(OR(T86="CDF NÃO LOCALIZADO",T86="VÍNCULO INCOMPLETO",T86="CDF A CONFERIR"),IF(AP86&gt;0,AP86,IF(ISNUMBER(E86),E86,"")),IF(ISNUMBER(E86),E86,""))))</f>
        <v/>
      </c>
      <c r="AR86" s="96">
        <f>IF(NOT(ISNUMBER(U86)),0,IF(T86="RECEBIMENTO NÃO CONFIRMADO",IF(AND(ISNUMBER(cfg_rec),U86&gt;cfg_rec),1,0),IF(OR(T86="CDF NÃO LOCALIZADO",T86="VÍNCULO INCOMPLETO",T86="CDF A CONFERIR"),IF(AND(ISNUMBER(cfg_cdf),U86&gt;cfg_cdf),1,0),0)))</f>
        <v>0</v>
      </c>
      <c r="AS86" s="96" t="str">
        <f>IF(T86="","",IF(AR86=1,"Alta",IFERROR(INDEX(cfg_pp,MATCH(T86,cfg_pt,0))&amp;"","Média")))</f>
        <v/>
      </c>
      <c r="AT86" s="96" t="str">
        <f>IF(T86="","",IFERROR(INDEX(cfg_pv,MATCH(T86,cfg_pt,0))&amp;"",""))</f>
        <v/>
      </c>
      <c r="AU86" s="96" t="str">
        <f>IF(T86="","",IF(AS86="Alta",1,IF(AS86="Média",2,3))*1000000000+(999999-IF(ISNUMBER(U86),MIN(U86,999999),0))*1000+81)</f>
        <v/>
      </c>
      <c r="AV86" s="96">
        <f>IF(T86&lt;&gt;"",1,0)</f>
        <v>0</v>
      </c>
      <c r="AW86" s="96" t="str">
        <f>IF(Z86=0,"",IF(AA86=1,"Cancelamento informado; ","")&amp;IF(AE86=1,"Campos essenciais ou itens faltando; ","")&amp;IF(AC86=1,"Possível duplicidade do número; ","")&amp;IF(AD86=1,"Cadastro ou datas a revisar; ","")&amp;IF(AF86&gt;0,"Item de resíduo com dado a revisar; ","")&amp;IF(AH86&gt;0,"Diferença de quantidade a analisar; ","")&amp;IF(AK86&gt;0,"Recebimento com alerta; ","")&amp;IF(AL86&gt;0,"Vínculo de CDF com alerta; ","")&amp;IF(AND(AA86=0,AN86=0),"Recebimento não confirmado; ","")&amp;IF(AND(AA86=0,AN86=1,AO86=0),"CDF pendente ou a conferir; ",""))</f>
        <v/>
      </c>
      <c r="AX86" s="96">
        <f>IF(Z86=0,0,IF(AND(OR(f_ini="",AND(ISNUMBER(E86),E86&gt;=f_ini)),OR(f_fim="",AND(ISNUMBER(E86),E86&lt;=f_fim)),OR(f_un="",f_un="(Todas)",G86=f_un),OR(f_tr="",f_tr="(Todos)",H86=f_tr),OR(f_de="",f_de="(Todos)",I86=f_de),OR(f_sit="",f_sit="(Todas)",S86=f_sit)),1,0))</f>
        <v>0</v>
      </c>
      <c r="AY86" s="96">
        <f>IF(AX86=0,0,IF(OR(f_res="",f_res="(Todos)"),1,IF(COUNTIFS('ITENS_MTR'!$S$6:$S$1005,A86,'ITENS_MTR'!$C$6:$C$1005,f_res)&gt;0,1,0)))</f>
        <v>0</v>
      </c>
      <c r="AZ86" s="97" t="str">
        <f>IF(ISNUMBER(E86),DATE(YEAR(E86),MONTH(E86),1),"")</f>
        <v/>
      </c>
      <c r="BA86" s="96">
        <f>IF(Z86=0,0,IF(AND(OR(r_ini="",AND(ISNUMBER(E86),E86&gt;=r_ini)),OR(r_fim="",AND(ISNUMBER(E86),E86&lt;=r_fim)),OR(r_un="",r_un="(Todas)",G86=r_un),OR(r_de="",r_de="(Todos)",I86=r_de)),1,0))</f>
        <v>0</v>
      </c>
      <c r="BB86" s="96" t="str">
        <f>IF(BA86=1,COUNTIF($BA$6:BA86,1),"")</f>
        <v/>
      </c>
      <c r="BC86" s="96" t="str">
        <f>IF(AND(AU86&lt;&gt;"",OR(r_un="",r_un="(Todas)",G86=r_un),OR(r_de="",r_de="(Todos)",I86=r_de)),AU86,"")</f>
        <v/>
      </c>
      <c r="BD86" s="96" t="str">
        <f>IF(Z86=1,A86&amp;" | nº "&amp;IF(B86="","(sem número)",B86)&amp;" | "&amp;IF(G86="","(sem unidade)",G86),"")</f>
        <v/>
      </c>
      <c r="BE86" s="96" t="str">
        <f>IF(Z86=1,COUNTIF($Z$6:Z86,1),"")</f>
        <v/>
      </c>
      <c r="BF86" s="96" t="str">
        <f>IF(T86="","",IF(T86="RECEBIMENTO NÃO CONFIRMADO","Transp.: "&amp;H86&amp;" | Dest.: "&amp;I86,IF(OR(T86="CDF NÃO LOCALIZADO",T86="VÍNCULO INCOMPLETO",T86="CDF A CONFERIR"),"Dest.: "&amp;I86,"Gerador: "&amp;G86)))</f>
        <v/>
      </c>
    </row>
    <row r="87">
      <c r="A87" s="89" t="inlineStr">
        <is>
          <t>MTR-000082</t>
        </is>
      </c>
      <c r="B87" s="90" t="n"/>
      <c r="C87" s="91" t="n"/>
      <c r="D87" s="91" t="n"/>
      <c r="E87" s="92" t="n"/>
      <c r="F87" s="92" t="n"/>
      <c r="G87" s="91" t="n"/>
      <c r="H87" s="91" t="n"/>
      <c r="I87" s="91" t="n"/>
      <c r="J87" s="91" t="n"/>
      <c r="K87" s="91" t="n"/>
      <c r="L87" s="92" t="n"/>
      <c r="M87" s="91" t="n"/>
      <c r="N87" s="91" t="n"/>
      <c r="O87" s="91" t="n"/>
      <c r="P87" s="93" t="str">
        <f>IF(Z87=0,"",SUMIFS('ITENS_MTR'!$I$6:$I$1005,'ITENS_MTR'!$S$6:$S$1005,A87,'ITENS_MTR'!$Y$6:$Y$1005,1))</f>
        <v/>
      </c>
      <c r="Q87" s="93" t="str">
        <f>IF(Z87=0,"",SUMIFS('RECEBIMENTOS'!$H$6:$H$1005,'RECEBIMENTOS'!$B$6:$B$1005,A87,'RECEBIMENTOS'!$X$6:$X$1005,1))</f>
        <v/>
      </c>
      <c r="R87" s="93" t="str">
        <f>IF(Z87=0,"",SUMIFS('VÍNCULOS_CDF'!$H$6:$H$1005,'VÍNCULOS_CDF'!$D$6:$D$1005,A87,'VÍNCULOS_CDF'!$V$6:$V$1005,1))</f>
        <v/>
      </c>
      <c r="S87" s="94" t="str">
        <f>IF(Z87=0,"",IF(AA87=1,"Cancelado (informado)",IF(AE87=1,"Cadastro incompleto",IF(OR(AC87=1,AD87=1,AF87&gt;0,AH87&gt;0,AK87&gt;0,AL87&gt;0),"Informação a revisar",IF(AN87=0,"Aguardando recebimento",IF(N(R87)=0,"Aguardando CDF",IF(AJ87&lt;N(W87),"Vínculo de CDF parcial",IF(AO87=0,"CDF localizado, a conferir","Documentação conferida"))))))))</f>
        <v/>
      </c>
      <c r="T87" s="94" t="str">
        <f>IF(Z87=0,"",IF(S87="Cadastro incompleto","MTR INCOMPLETO",IF(S87="Informação a revisar",IF(AND(AH87&gt;0,AC87=0,AD87=0,AF87=0,AK87=0,AL87=0),"QUANTIDADE A REVISAR","IDENTIFICAÇÃO A REVISAR"),IF(S87="Aguardando recebimento","RECEBIMENTO NÃO CONFIRMADO",IF(S87="Aguardando CDF","CDF NÃO LOCALIZADO",IF(S87="Vínculo de CDF parcial","VÍNCULO INCOMPLETO",IF(S87="CDF localizado, a conferir","CDF A CONFERIR","")))))))</f>
        <v/>
      </c>
      <c r="U87" s="95" t="str">
        <f>IF(T87="","",IF(AQ87="","Não calculável",IF(AQ87&gt;TODAY(),"Data futura",TODAY()-AQ87)))</f>
        <v/>
      </c>
      <c r="V87" s="93" t="str">
        <f>IF(Z87=0,"",SUMIFS('RECEBIMENTOS'!$H$6:$H$1005,'RECEBIMENTOS'!$B$6:$B$1005,A87,'RECEBIMENTOS'!$Z$6:$Z$1005,1))</f>
        <v/>
      </c>
      <c r="W87" s="95" t="str">
        <f>IF(Z87=0,"",COUNTIFS('ITENS_MTR'!$S$6:$S$1005,A87,'ITENS_MTR'!$R$6:$R$1005,1))</f>
        <v/>
      </c>
      <c r="X87" s="94" t="str">
        <f>IF(AC87=1,"POSSÍVEL DUPLICIDADE","")</f>
        <v/>
      </c>
      <c r="Y87" s="94" t="str">
        <f>IF(Z87=0,"",IF(AW87="","Nenhuma",LEFT(AW87,LEN(AW87)-2)))</f>
        <v/>
      </c>
      <c r="Z87" s="96">
        <f>IF(COUNTA(B87:O87)&gt;0,1,0)</f>
        <v>0</v>
      </c>
      <c r="AA87" s="96">
        <f>IF(AND(Z87=1,K87&lt;&gt;""),IF(TRIM(K87)=TRIM(cfg_cancel),1,0),0)</f>
        <v>0</v>
      </c>
      <c r="AB87" s="96" t="str">
        <f>IF(AND(Z87=1,B87&lt;&gt;""),C87&amp;"|"&amp;D87&amp;"|"&amp;G87&amp;"|"&amp;TRIM(B87),"")</f>
        <v/>
      </c>
      <c r="AC87" s="96">
        <f>IF(AB87="",0,IF(SUMPRODUCT(--($AB$6:$AB$505=AB87))&gt;1,1,0))</f>
        <v>0</v>
      </c>
      <c r="AD87" s="96">
        <f>IF(Z87=0,0,IF(OR(AND(G87&lt;&gt;"",ISNA(MATCH(G87,'CAD_UNIDADES'!$C$6:$C$105,0))),AND(H87&lt;&gt;"",ISNA(MATCH(H87,cmp_transp,0))),AND(I87&lt;&gt;"",ISNA(MATCH(I87,cmp_dest,0))),AND(E87&lt;&gt;"",NOT(ISNUMBER(E87))),AND(F87&lt;&gt;"",NOT(ISNUMBER(F87))),AND(ISNUMBER(E87),ISNUMBER(F87),F87&lt;E87)),1,0))</f>
        <v>0</v>
      </c>
      <c r="AE87" s="96">
        <f>IF(Z87=0,0,IF(OR(B87="",C87="",E87="",G87="",H87="",I87="",N(W87)=0),1,0))</f>
        <v>0</v>
      </c>
      <c r="AF87" s="96">
        <f>IF(Z87=0,0,COUNTIFS('ITENS_MTR'!$S$6:$S$1005,A87,'ITENS_MTR'!$AI$6:$AI$1005,1))</f>
        <v>0</v>
      </c>
      <c r="AG87" s="96">
        <f>IF(Z87=0,0,COUNTIFS('ITENS_MTR'!$S$6:$S$1005,A87,'ITENS_MTR'!$AJ$6:$AJ$1005,1))</f>
        <v>0</v>
      </c>
      <c r="AH87" s="96">
        <f>IF(Z87=0,0,COUNTIFS('ITENS_MTR'!$S$6:$S$1005,A87,'ITENS_MTR'!$AM$6:$AM$1005,1))</f>
        <v>0</v>
      </c>
      <c r="AI87" s="96">
        <f>IF(Z87=0,0,COUNTIFS('ITENS_MTR'!$S$6:$S$1005,A87,'ITENS_MTR'!$AO$6:$AO$1005,1))</f>
        <v>0</v>
      </c>
      <c r="AJ87" s="96">
        <f>IF(Z87=0,0,COUNTIFS('ITENS_MTR'!$S$6:$S$1005,A87,'ITENS_MTR'!$AN$6:$AN$1005,1))</f>
        <v>0</v>
      </c>
      <c r="AK87" s="96">
        <f>IF(Z87=0,0,COUNTIFS('RECEBIMENTOS'!$B$6:$B$1005,A87,'RECEBIMENTOS'!$Y$6:$Y$1005,1))</f>
        <v>0</v>
      </c>
      <c r="AL87" s="96">
        <f>IF(Z87=0,0,COUNTIFS('VÍNCULOS_CDF'!$D$6:$D$1005,A87,'VÍNCULOS_CDF'!$Y$6:$Y$1005,1))</f>
        <v>0</v>
      </c>
      <c r="AM87" s="96">
        <f>IF(Z87=0,0,COUNTIFS('RECEBIMENTOS'!$B$6:$B$1005,A87,'RECEBIMENTOS'!$Q$6:$Q$1005,1))</f>
        <v>0</v>
      </c>
      <c r="AN87" s="96">
        <f>IF(AND(Z87=1,N(W87)&gt;0,AG87=N(W87)),1,0)</f>
        <v>0</v>
      </c>
      <c r="AO87" s="96">
        <f>IF(AND(Z87=1,N(W87)&gt;0,AI87=N(W87)),1,0)</f>
        <v>0</v>
      </c>
      <c r="AP87" s="97">
        <f>IF(Z87=0,0,_xlfn.MAXIFS('RECEBIMENTOS'!$E$6:$E$1005,'RECEBIMENTOS'!$B$6:$B$1005,A87))</f>
        <v>0</v>
      </c>
      <c r="AQ87" s="97" t="str">
        <f>IF(T87="","",IF(T87="RECEBIMENTO NÃO CONFIRMADO",IF(ISNUMBER(F87),F87,IF(ISNUMBER(E87),E87,"")),IF(OR(T87="CDF NÃO LOCALIZADO",T87="VÍNCULO INCOMPLETO",T87="CDF A CONFERIR"),IF(AP87&gt;0,AP87,IF(ISNUMBER(E87),E87,"")),IF(ISNUMBER(E87),E87,""))))</f>
        <v/>
      </c>
      <c r="AR87" s="96">
        <f>IF(NOT(ISNUMBER(U87)),0,IF(T87="RECEBIMENTO NÃO CONFIRMADO",IF(AND(ISNUMBER(cfg_rec),U87&gt;cfg_rec),1,0),IF(OR(T87="CDF NÃO LOCALIZADO",T87="VÍNCULO INCOMPLETO",T87="CDF A CONFERIR"),IF(AND(ISNUMBER(cfg_cdf),U87&gt;cfg_cdf),1,0),0)))</f>
        <v>0</v>
      </c>
      <c r="AS87" s="96" t="str">
        <f>IF(T87="","",IF(AR87=1,"Alta",IFERROR(INDEX(cfg_pp,MATCH(T87,cfg_pt,0))&amp;"","Média")))</f>
        <v/>
      </c>
      <c r="AT87" s="96" t="str">
        <f>IF(T87="","",IFERROR(INDEX(cfg_pv,MATCH(T87,cfg_pt,0))&amp;"",""))</f>
        <v/>
      </c>
      <c r="AU87" s="96" t="str">
        <f>IF(T87="","",IF(AS87="Alta",1,IF(AS87="Média",2,3))*1000000000+(999999-IF(ISNUMBER(U87),MIN(U87,999999),0))*1000+82)</f>
        <v/>
      </c>
      <c r="AV87" s="96">
        <f>IF(T87&lt;&gt;"",1,0)</f>
        <v>0</v>
      </c>
      <c r="AW87" s="96" t="str">
        <f>IF(Z87=0,"",IF(AA87=1,"Cancelamento informado; ","")&amp;IF(AE87=1,"Campos essenciais ou itens faltando; ","")&amp;IF(AC87=1,"Possível duplicidade do número; ","")&amp;IF(AD87=1,"Cadastro ou datas a revisar; ","")&amp;IF(AF87&gt;0,"Item de resíduo com dado a revisar; ","")&amp;IF(AH87&gt;0,"Diferença de quantidade a analisar; ","")&amp;IF(AK87&gt;0,"Recebimento com alerta; ","")&amp;IF(AL87&gt;0,"Vínculo de CDF com alerta; ","")&amp;IF(AND(AA87=0,AN87=0),"Recebimento não confirmado; ","")&amp;IF(AND(AA87=0,AN87=1,AO87=0),"CDF pendente ou a conferir; ",""))</f>
        <v/>
      </c>
      <c r="AX87" s="96">
        <f>IF(Z87=0,0,IF(AND(OR(f_ini="",AND(ISNUMBER(E87),E87&gt;=f_ini)),OR(f_fim="",AND(ISNUMBER(E87),E87&lt;=f_fim)),OR(f_un="",f_un="(Todas)",G87=f_un),OR(f_tr="",f_tr="(Todos)",H87=f_tr),OR(f_de="",f_de="(Todos)",I87=f_de),OR(f_sit="",f_sit="(Todas)",S87=f_sit)),1,0))</f>
        <v>0</v>
      </c>
      <c r="AY87" s="96">
        <f>IF(AX87=0,0,IF(OR(f_res="",f_res="(Todos)"),1,IF(COUNTIFS('ITENS_MTR'!$S$6:$S$1005,A87,'ITENS_MTR'!$C$6:$C$1005,f_res)&gt;0,1,0)))</f>
        <v>0</v>
      </c>
      <c r="AZ87" s="97" t="str">
        <f>IF(ISNUMBER(E87),DATE(YEAR(E87),MONTH(E87),1),"")</f>
        <v/>
      </c>
      <c r="BA87" s="96">
        <f>IF(Z87=0,0,IF(AND(OR(r_ini="",AND(ISNUMBER(E87),E87&gt;=r_ini)),OR(r_fim="",AND(ISNUMBER(E87),E87&lt;=r_fim)),OR(r_un="",r_un="(Todas)",G87=r_un),OR(r_de="",r_de="(Todos)",I87=r_de)),1,0))</f>
        <v>0</v>
      </c>
      <c r="BB87" s="96" t="str">
        <f>IF(BA87=1,COUNTIF($BA$6:BA87,1),"")</f>
        <v/>
      </c>
      <c r="BC87" s="96" t="str">
        <f>IF(AND(AU87&lt;&gt;"",OR(r_un="",r_un="(Todas)",G87=r_un),OR(r_de="",r_de="(Todos)",I87=r_de)),AU87,"")</f>
        <v/>
      </c>
      <c r="BD87" s="96" t="str">
        <f>IF(Z87=1,A87&amp;" | nº "&amp;IF(B87="","(sem número)",B87)&amp;" | "&amp;IF(G87="","(sem unidade)",G87),"")</f>
        <v/>
      </c>
      <c r="BE87" s="96" t="str">
        <f>IF(Z87=1,COUNTIF($Z$6:Z87,1),"")</f>
        <v/>
      </c>
      <c r="BF87" s="96" t="str">
        <f>IF(T87="","",IF(T87="RECEBIMENTO NÃO CONFIRMADO","Transp.: "&amp;H87&amp;" | Dest.: "&amp;I87,IF(OR(T87="CDF NÃO LOCALIZADO",T87="VÍNCULO INCOMPLETO",T87="CDF A CONFERIR"),"Dest.: "&amp;I87,"Gerador: "&amp;G87)))</f>
        <v/>
      </c>
    </row>
    <row r="88">
      <c r="A88" s="89" t="inlineStr">
        <is>
          <t>MTR-000083</t>
        </is>
      </c>
      <c r="B88" s="90" t="n"/>
      <c r="C88" s="91" t="n"/>
      <c r="D88" s="91" t="n"/>
      <c r="E88" s="92" t="n"/>
      <c r="F88" s="92" t="n"/>
      <c r="G88" s="91" t="n"/>
      <c r="H88" s="91" t="n"/>
      <c r="I88" s="91" t="n"/>
      <c r="J88" s="91" t="n"/>
      <c r="K88" s="91" t="n"/>
      <c r="L88" s="92" t="n"/>
      <c r="M88" s="91" t="n"/>
      <c r="N88" s="91" t="n"/>
      <c r="O88" s="91" t="n"/>
      <c r="P88" s="93" t="str">
        <f>IF(Z88=0,"",SUMIFS('ITENS_MTR'!$I$6:$I$1005,'ITENS_MTR'!$S$6:$S$1005,A88,'ITENS_MTR'!$Y$6:$Y$1005,1))</f>
        <v/>
      </c>
      <c r="Q88" s="93" t="str">
        <f>IF(Z88=0,"",SUMIFS('RECEBIMENTOS'!$H$6:$H$1005,'RECEBIMENTOS'!$B$6:$B$1005,A88,'RECEBIMENTOS'!$X$6:$X$1005,1))</f>
        <v/>
      </c>
      <c r="R88" s="93" t="str">
        <f>IF(Z88=0,"",SUMIFS('VÍNCULOS_CDF'!$H$6:$H$1005,'VÍNCULOS_CDF'!$D$6:$D$1005,A88,'VÍNCULOS_CDF'!$V$6:$V$1005,1))</f>
        <v/>
      </c>
      <c r="S88" s="94" t="str">
        <f>IF(Z88=0,"",IF(AA88=1,"Cancelado (informado)",IF(AE88=1,"Cadastro incompleto",IF(OR(AC88=1,AD88=1,AF88&gt;0,AH88&gt;0,AK88&gt;0,AL88&gt;0),"Informação a revisar",IF(AN88=0,"Aguardando recebimento",IF(N(R88)=0,"Aguardando CDF",IF(AJ88&lt;N(W88),"Vínculo de CDF parcial",IF(AO88=0,"CDF localizado, a conferir","Documentação conferida"))))))))</f>
        <v/>
      </c>
      <c r="T88" s="94" t="str">
        <f>IF(Z88=0,"",IF(S88="Cadastro incompleto","MTR INCOMPLETO",IF(S88="Informação a revisar",IF(AND(AH88&gt;0,AC88=0,AD88=0,AF88=0,AK88=0,AL88=0),"QUANTIDADE A REVISAR","IDENTIFICAÇÃO A REVISAR"),IF(S88="Aguardando recebimento","RECEBIMENTO NÃO CONFIRMADO",IF(S88="Aguardando CDF","CDF NÃO LOCALIZADO",IF(S88="Vínculo de CDF parcial","VÍNCULO INCOMPLETO",IF(S88="CDF localizado, a conferir","CDF A CONFERIR","")))))))</f>
        <v/>
      </c>
      <c r="U88" s="95" t="str">
        <f>IF(T88="","",IF(AQ88="","Não calculável",IF(AQ88&gt;TODAY(),"Data futura",TODAY()-AQ88)))</f>
        <v/>
      </c>
      <c r="V88" s="93" t="str">
        <f>IF(Z88=0,"",SUMIFS('RECEBIMENTOS'!$H$6:$H$1005,'RECEBIMENTOS'!$B$6:$B$1005,A88,'RECEBIMENTOS'!$Z$6:$Z$1005,1))</f>
        <v/>
      </c>
      <c r="W88" s="95" t="str">
        <f>IF(Z88=0,"",COUNTIFS('ITENS_MTR'!$S$6:$S$1005,A88,'ITENS_MTR'!$R$6:$R$1005,1))</f>
        <v/>
      </c>
      <c r="X88" s="94" t="str">
        <f>IF(AC88=1,"POSSÍVEL DUPLICIDADE","")</f>
        <v/>
      </c>
      <c r="Y88" s="94" t="str">
        <f>IF(Z88=0,"",IF(AW88="","Nenhuma",LEFT(AW88,LEN(AW88)-2)))</f>
        <v/>
      </c>
      <c r="Z88" s="96">
        <f>IF(COUNTA(B88:O88)&gt;0,1,0)</f>
        <v>0</v>
      </c>
      <c r="AA88" s="96">
        <f>IF(AND(Z88=1,K88&lt;&gt;""),IF(TRIM(K88)=TRIM(cfg_cancel),1,0),0)</f>
        <v>0</v>
      </c>
      <c r="AB88" s="96" t="str">
        <f>IF(AND(Z88=1,B88&lt;&gt;""),C88&amp;"|"&amp;D88&amp;"|"&amp;G88&amp;"|"&amp;TRIM(B88),"")</f>
        <v/>
      </c>
      <c r="AC88" s="96">
        <f>IF(AB88="",0,IF(SUMPRODUCT(--($AB$6:$AB$505=AB88))&gt;1,1,0))</f>
        <v>0</v>
      </c>
      <c r="AD88" s="96">
        <f>IF(Z88=0,0,IF(OR(AND(G88&lt;&gt;"",ISNA(MATCH(G88,'CAD_UNIDADES'!$C$6:$C$105,0))),AND(H88&lt;&gt;"",ISNA(MATCH(H88,cmp_transp,0))),AND(I88&lt;&gt;"",ISNA(MATCH(I88,cmp_dest,0))),AND(E88&lt;&gt;"",NOT(ISNUMBER(E88))),AND(F88&lt;&gt;"",NOT(ISNUMBER(F88))),AND(ISNUMBER(E88),ISNUMBER(F88),F88&lt;E88)),1,0))</f>
        <v>0</v>
      </c>
      <c r="AE88" s="96">
        <f>IF(Z88=0,0,IF(OR(B88="",C88="",E88="",G88="",H88="",I88="",N(W88)=0),1,0))</f>
        <v>0</v>
      </c>
      <c r="AF88" s="96">
        <f>IF(Z88=0,0,COUNTIFS('ITENS_MTR'!$S$6:$S$1005,A88,'ITENS_MTR'!$AI$6:$AI$1005,1))</f>
        <v>0</v>
      </c>
      <c r="AG88" s="96">
        <f>IF(Z88=0,0,COUNTIFS('ITENS_MTR'!$S$6:$S$1005,A88,'ITENS_MTR'!$AJ$6:$AJ$1005,1))</f>
        <v>0</v>
      </c>
      <c r="AH88" s="96">
        <f>IF(Z88=0,0,COUNTIFS('ITENS_MTR'!$S$6:$S$1005,A88,'ITENS_MTR'!$AM$6:$AM$1005,1))</f>
        <v>0</v>
      </c>
      <c r="AI88" s="96">
        <f>IF(Z88=0,0,COUNTIFS('ITENS_MTR'!$S$6:$S$1005,A88,'ITENS_MTR'!$AO$6:$AO$1005,1))</f>
        <v>0</v>
      </c>
      <c r="AJ88" s="96">
        <f>IF(Z88=0,0,COUNTIFS('ITENS_MTR'!$S$6:$S$1005,A88,'ITENS_MTR'!$AN$6:$AN$1005,1))</f>
        <v>0</v>
      </c>
      <c r="AK88" s="96">
        <f>IF(Z88=0,0,COUNTIFS('RECEBIMENTOS'!$B$6:$B$1005,A88,'RECEBIMENTOS'!$Y$6:$Y$1005,1))</f>
        <v>0</v>
      </c>
      <c r="AL88" s="96">
        <f>IF(Z88=0,0,COUNTIFS('VÍNCULOS_CDF'!$D$6:$D$1005,A88,'VÍNCULOS_CDF'!$Y$6:$Y$1005,1))</f>
        <v>0</v>
      </c>
      <c r="AM88" s="96">
        <f>IF(Z88=0,0,COUNTIFS('RECEBIMENTOS'!$B$6:$B$1005,A88,'RECEBIMENTOS'!$Q$6:$Q$1005,1))</f>
        <v>0</v>
      </c>
      <c r="AN88" s="96">
        <f>IF(AND(Z88=1,N(W88)&gt;0,AG88=N(W88)),1,0)</f>
        <v>0</v>
      </c>
      <c r="AO88" s="96">
        <f>IF(AND(Z88=1,N(W88)&gt;0,AI88=N(W88)),1,0)</f>
        <v>0</v>
      </c>
      <c r="AP88" s="97">
        <f>IF(Z88=0,0,_xlfn.MAXIFS('RECEBIMENTOS'!$E$6:$E$1005,'RECEBIMENTOS'!$B$6:$B$1005,A88))</f>
        <v>0</v>
      </c>
      <c r="AQ88" s="97" t="str">
        <f>IF(T88="","",IF(T88="RECEBIMENTO NÃO CONFIRMADO",IF(ISNUMBER(F88),F88,IF(ISNUMBER(E88),E88,"")),IF(OR(T88="CDF NÃO LOCALIZADO",T88="VÍNCULO INCOMPLETO",T88="CDF A CONFERIR"),IF(AP88&gt;0,AP88,IF(ISNUMBER(E88),E88,"")),IF(ISNUMBER(E88),E88,""))))</f>
        <v/>
      </c>
      <c r="AR88" s="96">
        <f>IF(NOT(ISNUMBER(U88)),0,IF(T88="RECEBIMENTO NÃO CONFIRMADO",IF(AND(ISNUMBER(cfg_rec),U88&gt;cfg_rec),1,0),IF(OR(T88="CDF NÃO LOCALIZADO",T88="VÍNCULO INCOMPLETO",T88="CDF A CONFERIR"),IF(AND(ISNUMBER(cfg_cdf),U88&gt;cfg_cdf),1,0),0)))</f>
        <v>0</v>
      </c>
      <c r="AS88" s="96" t="str">
        <f>IF(T88="","",IF(AR88=1,"Alta",IFERROR(INDEX(cfg_pp,MATCH(T88,cfg_pt,0))&amp;"","Média")))</f>
        <v/>
      </c>
      <c r="AT88" s="96" t="str">
        <f>IF(T88="","",IFERROR(INDEX(cfg_pv,MATCH(T88,cfg_pt,0))&amp;"",""))</f>
        <v/>
      </c>
      <c r="AU88" s="96" t="str">
        <f>IF(T88="","",IF(AS88="Alta",1,IF(AS88="Média",2,3))*1000000000+(999999-IF(ISNUMBER(U88),MIN(U88,999999),0))*1000+83)</f>
        <v/>
      </c>
      <c r="AV88" s="96">
        <f>IF(T88&lt;&gt;"",1,0)</f>
        <v>0</v>
      </c>
      <c r="AW88" s="96" t="str">
        <f>IF(Z88=0,"",IF(AA88=1,"Cancelamento informado; ","")&amp;IF(AE88=1,"Campos essenciais ou itens faltando; ","")&amp;IF(AC88=1,"Possível duplicidade do número; ","")&amp;IF(AD88=1,"Cadastro ou datas a revisar; ","")&amp;IF(AF88&gt;0,"Item de resíduo com dado a revisar; ","")&amp;IF(AH88&gt;0,"Diferença de quantidade a analisar; ","")&amp;IF(AK88&gt;0,"Recebimento com alerta; ","")&amp;IF(AL88&gt;0,"Vínculo de CDF com alerta; ","")&amp;IF(AND(AA88=0,AN88=0),"Recebimento não confirmado; ","")&amp;IF(AND(AA88=0,AN88=1,AO88=0),"CDF pendente ou a conferir; ",""))</f>
        <v/>
      </c>
      <c r="AX88" s="96">
        <f>IF(Z88=0,0,IF(AND(OR(f_ini="",AND(ISNUMBER(E88),E88&gt;=f_ini)),OR(f_fim="",AND(ISNUMBER(E88),E88&lt;=f_fim)),OR(f_un="",f_un="(Todas)",G88=f_un),OR(f_tr="",f_tr="(Todos)",H88=f_tr),OR(f_de="",f_de="(Todos)",I88=f_de),OR(f_sit="",f_sit="(Todas)",S88=f_sit)),1,0))</f>
        <v>0</v>
      </c>
      <c r="AY88" s="96">
        <f>IF(AX88=0,0,IF(OR(f_res="",f_res="(Todos)"),1,IF(COUNTIFS('ITENS_MTR'!$S$6:$S$1005,A88,'ITENS_MTR'!$C$6:$C$1005,f_res)&gt;0,1,0)))</f>
        <v>0</v>
      </c>
      <c r="AZ88" s="97" t="str">
        <f>IF(ISNUMBER(E88),DATE(YEAR(E88),MONTH(E88),1),"")</f>
        <v/>
      </c>
      <c r="BA88" s="96">
        <f>IF(Z88=0,0,IF(AND(OR(r_ini="",AND(ISNUMBER(E88),E88&gt;=r_ini)),OR(r_fim="",AND(ISNUMBER(E88),E88&lt;=r_fim)),OR(r_un="",r_un="(Todas)",G88=r_un),OR(r_de="",r_de="(Todos)",I88=r_de)),1,0))</f>
        <v>0</v>
      </c>
      <c r="BB88" s="96" t="str">
        <f>IF(BA88=1,COUNTIF($BA$6:BA88,1),"")</f>
        <v/>
      </c>
      <c r="BC88" s="96" t="str">
        <f>IF(AND(AU88&lt;&gt;"",OR(r_un="",r_un="(Todas)",G88=r_un),OR(r_de="",r_de="(Todos)",I88=r_de)),AU88,"")</f>
        <v/>
      </c>
      <c r="BD88" s="96" t="str">
        <f>IF(Z88=1,A88&amp;" | nº "&amp;IF(B88="","(sem número)",B88)&amp;" | "&amp;IF(G88="","(sem unidade)",G88),"")</f>
        <v/>
      </c>
      <c r="BE88" s="96" t="str">
        <f>IF(Z88=1,COUNTIF($Z$6:Z88,1),"")</f>
        <v/>
      </c>
      <c r="BF88" s="96" t="str">
        <f>IF(T88="","",IF(T88="RECEBIMENTO NÃO CONFIRMADO","Transp.: "&amp;H88&amp;" | Dest.: "&amp;I88,IF(OR(T88="CDF NÃO LOCALIZADO",T88="VÍNCULO INCOMPLETO",T88="CDF A CONFERIR"),"Dest.: "&amp;I88,"Gerador: "&amp;G88)))</f>
        <v/>
      </c>
    </row>
    <row r="89">
      <c r="A89" s="89" t="inlineStr">
        <is>
          <t>MTR-000084</t>
        </is>
      </c>
      <c r="B89" s="90" t="n"/>
      <c r="C89" s="91" t="n"/>
      <c r="D89" s="91" t="n"/>
      <c r="E89" s="92" t="n"/>
      <c r="F89" s="92" t="n"/>
      <c r="G89" s="91" t="n"/>
      <c r="H89" s="91" t="n"/>
      <c r="I89" s="91" t="n"/>
      <c r="J89" s="91" t="n"/>
      <c r="K89" s="91" t="n"/>
      <c r="L89" s="92" t="n"/>
      <c r="M89" s="91" t="n"/>
      <c r="N89" s="91" t="n"/>
      <c r="O89" s="91" t="n"/>
      <c r="P89" s="93" t="str">
        <f>IF(Z89=0,"",SUMIFS('ITENS_MTR'!$I$6:$I$1005,'ITENS_MTR'!$S$6:$S$1005,A89,'ITENS_MTR'!$Y$6:$Y$1005,1))</f>
        <v/>
      </c>
      <c r="Q89" s="93" t="str">
        <f>IF(Z89=0,"",SUMIFS('RECEBIMENTOS'!$H$6:$H$1005,'RECEBIMENTOS'!$B$6:$B$1005,A89,'RECEBIMENTOS'!$X$6:$X$1005,1))</f>
        <v/>
      </c>
      <c r="R89" s="93" t="str">
        <f>IF(Z89=0,"",SUMIFS('VÍNCULOS_CDF'!$H$6:$H$1005,'VÍNCULOS_CDF'!$D$6:$D$1005,A89,'VÍNCULOS_CDF'!$V$6:$V$1005,1))</f>
        <v/>
      </c>
      <c r="S89" s="94" t="str">
        <f>IF(Z89=0,"",IF(AA89=1,"Cancelado (informado)",IF(AE89=1,"Cadastro incompleto",IF(OR(AC89=1,AD89=1,AF89&gt;0,AH89&gt;0,AK89&gt;0,AL89&gt;0),"Informação a revisar",IF(AN89=0,"Aguardando recebimento",IF(N(R89)=0,"Aguardando CDF",IF(AJ89&lt;N(W89),"Vínculo de CDF parcial",IF(AO89=0,"CDF localizado, a conferir","Documentação conferida"))))))))</f>
        <v/>
      </c>
      <c r="T89" s="94" t="str">
        <f>IF(Z89=0,"",IF(S89="Cadastro incompleto","MTR INCOMPLETO",IF(S89="Informação a revisar",IF(AND(AH89&gt;0,AC89=0,AD89=0,AF89=0,AK89=0,AL89=0),"QUANTIDADE A REVISAR","IDENTIFICAÇÃO A REVISAR"),IF(S89="Aguardando recebimento","RECEBIMENTO NÃO CONFIRMADO",IF(S89="Aguardando CDF","CDF NÃO LOCALIZADO",IF(S89="Vínculo de CDF parcial","VÍNCULO INCOMPLETO",IF(S89="CDF localizado, a conferir","CDF A CONFERIR","")))))))</f>
        <v/>
      </c>
      <c r="U89" s="95" t="str">
        <f>IF(T89="","",IF(AQ89="","Não calculável",IF(AQ89&gt;TODAY(),"Data futura",TODAY()-AQ89)))</f>
        <v/>
      </c>
      <c r="V89" s="93" t="str">
        <f>IF(Z89=0,"",SUMIFS('RECEBIMENTOS'!$H$6:$H$1005,'RECEBIMENTOS'!$B$6:$B$1005,A89,'RECEBIMENTOS'!$Z$6:$Z$1005,1))</f>
        <v/>
      </c>
      <c r="W89" s="95" t="str">
        <f>IF(Z89=0,"",COUNTIFS('ITENS_MTR'!$S$6:$S$1005,A89,'ITENS_MTR'!$R$6:$R$1005,1))</f>
        <v/>
      </c>
      <c r="X89" s="94" t="str">
        <f>IF(AC89=1,"POSSÍVEL DUPLICIDADE","")</f>
        <v/>
      </c>
      <c r="Y89" s="94" t="str">
        <f>IF(Z89=0,"",IF(AW89="","Nenhuma",LEFT(AW89,LEN(AW89)-2)))</f>
        <v/>
      </c>
      <c r="Z89" s="96">
        <f>IF(COUNTA(B89:O89)&gt;0,1,0)</f>
        <v>0</v>
      </c>
      <c r="AA89" s="96">
        <f>IF(AND(Z89=1,K89&lt;&gt;""),IF(TRIM(K89)=TRIM(cfg_cancel),1,0),0)</f>
        <v>0</v>
      </c>
      <c r="AB89" s="96" t="str">
        <f>IF(AND(Z89=1,B89&lt;&gt;""),C89&amp;"|"&amp;D89&amp;"|"&amp;G89&amp;"|"&amp;TRIM(B89),"")</f>
        <v/>
      </c>
      <c r="AC89" s="96">
        <f>IF(AB89="",0,IF(SUMPRODUCT(--($AB$6:$AB$505=AB89))&gt;1,1,0))</f>
        <v>0</v>
      </c>
      <c r="AD89" s="96">
        <f>IF(Z89=0,0,IF(OR(AND(G89&lt;&gt;"",ISNA(MATCH(G89,'CAD_UNIDADES'!$C$6:$C$105,0))),AND(H89&lt;&gt;"",ISNA(MATCH(H89,cmp_transp,0))),AND(I89&lt;&gt;"",ISNA(MATCH(I89,cmp_dest,0))),AND(E89&lt;&gt;"",NOT(ISNUMBER(E89))),AND(F89&lt;&gt;"",NOT(ISNUMBER(F89))),AND(ISNUMBER(E89),ISNUMBER(F89),F89&lt;E89)),1,0))</f>
        <v>0</v>
      </c>
      <c r="AE89" s="96">
        <f>IF(Z89=0,0,IF(OR(B89="",C89="",E89="",G89="",H89="",I89="",N(W89)=0),1,0))</f>
        <v>0</v>
      </c>
      <c r="AF89" s="96">
        <f>IF(Z89=0,0,COUNTIFS('ITENS_MTR'!$S$6:$S$1005,A89,'ITENS_MTR'!$AI$6:$AI$1005,1))</f>
        <v>0</v>
      </c>
      <c r="AG89" s="96">
        <f>IF(Z89=0,0,COUNTIFS('ITENS_MTR'!$S$6:$S$1005,A89,'ITENS_MTR'!$AJ$6:$AJ$1005,1))</f>
        <v>0</v>
      </c>
      <c r="AH89" s="96">
        <f>IF(Z89=0,0,COUNTIFS('ITENS_MTR'!$S$6:$S$1005,A89,'ITENS_MTR'!$AM$6:$AM$1005,1))</f>
        <v>0</v>
      </c>
      <c r="AI89" s="96">
        <f>IF(Z89=0,0,COUNTIFS('ITENS_MTR'!$S$6:$S$1005,A89,'ITENS_MTR'!$AO$6:$AO$1005,1))</f>
        <v>0</v>
      </c>
      <c r="AJ89" s="96">
        <f>IF(Z89=0,0,COUNTIFS('ITENS_MTR'!$S$6:$S$1005,A89,'ITENS_MTR'!$AN$6:$AN$1005,1))</f>
        <v>0</v>
      </c>
      <c r="AK89" s="96">
        <f>IF(Z89=0,0,COUNTIFS('RECEBIMENTOS'!$B$6:$B$1005,A89,'RECEBIMENTOS'!$Y$6:$Y$1005,1))</f>
        <v>0</v>
      </c>
      <c r="AL89" s="96">
        <f>IF(Z89=0,0,COUNTIFS('VÍNCULOS_CDF'!$D$6:$D$1005,A89,'VÍNCULOS_CDF'!$Y$6:$Y$1005,1))</f>
        <v>0</v>
      </c>
      <c r="AM89" s="96">
        <f>IF(Z89=0,0,COUNTIFS('RECEBIMENTOS'!$B$6:$B$1005,A89,'RECEBIMENTOS'!$Q$6:$Q$1005,1))</f>
        <v>0</v>
      </c>
      <c r="AN89" s="96">
        <f>IF(AND(Z89=1,N(W89)&gt;0,AG89=N(W89)),1,0)</f>
        <v>0</v>
      </c>
      <c r="AO89" s="96">
        <f>IF(AND(Z89=1,N(W89)&gt;0,AI89=N(W89)),1,0)</f>
        <v>0</v>
      </c>
      <c r="AP89" s="97">
        <f>IF(Z89=0,0,_xlfn.MAXIFS('RECEBIMENTOS'!$E$6:$E$1005,'RECEBIMENTOS'!$B$6:$B$1005,A89))</f>
        <v>0</v>
      </c>
      <c r="AQ89" s="97" t="str">
        <f>IF(T89="","",IF(T89="RECEBIMENTO NÃO CONFIRMADO",IF(ISNUMBER(F89),F89,IF(ISNUMBER(E89),E89,"")),IF(OR(T89="CDF NÃO LOCALIZADO",T89="VÍNCULO INCOMPLETO",T89="CDF A CONFERIR"),IF(AP89&gt;0,AP89,IF(ISNUMBER(E89),E89,"")),IF(ISNUMBER(E89),E89,""))))</f>
        <v/>
      </c>
      <c r="AR89" s="96">
        <f>IF(NOT(ISNUMBER(U89)),0,IF(T89="RECEBIMENTO NÃO CONFIRMADO",IF(AND(ISNUMBER(cfg_rec),U89&gt;cfg_rec),1,0),IF(OR(T89="CDF NÃO LOCALIZADO",T89="VÍNCULO INCOMPLETO",T89="CDF A CONFERIR"),IF(AND(ISNUMBER(cfg_cdf),U89&gt;cfg_cdf),1,0),0)))</f>
        <v>0</v>
      </c>
      <c r="AS89" s="96" t="str">
        <f>IF(T89="","",IF(AR89=1,"Alta",IFERROR(INDEX(cfg_pp,MATCH(T89,cfg_pt,0))&amp;"","Média")))</f>
        <v/>
      </c>
      <c r="AT89" s="96" t="str">
        <f>IF(T89="","",IFERROR(INDEX(cfg_pv,MATCH(T89,cfg_pt,0))&amp;"",""))</f>
        <v/>
      </c>
      <c r="AU89" s="96" t="str">
        <f>IF(T89="","",IF(AS89="Alta",1,IF(AS89="Média",2,3))*1000000000+(999999-IF(ISNUMBER(U89),MIN(U89,999999),0))*1000+84)</f>
        <v/>
      </c>
      <c r="AV89" s="96">
        <f>IF(T89&lt;&gt;"",1,0)</f>
        <v>0</v>
      </c>
      <c r="AW89" s="96" t="str">
        <f>IF(Z89=0,"",IF(AA89=1,"Cancelamento informado; ","")&amp;IF(AE89=1,"Campos essenciais ou itens faltando; ","")&amp;IF(AC89=1,"Possível duplicidade do número; ","")&amp;IF(AD89=1,"Cadastro ou datas a revisar; ","")&amp;IF(AF89&gt;0,"Item de resíduo com dado a revisar; ","")&amp;IF(AH89&gt;0,"Diferença de quantidade a analisar; ","")&amp;IF(AK89&gt;0,"Recebimento com alerta; ","")&amp;IF(AL89&gt;0,"Vínculo de CDF com alerta; ","")&amp;IF(AND(AA89=0,AN89=0),"Recebimento não confirmado; ","")&amp;IF(AND(AA89=0,AN89=1,AO89=0),"CDF pendente ou a conferir; ",""))</f>
        <v/>
      </c>
      <c r="AX89" s="96">
        <f>IF(Z89=0,0,IF(AND(OR(f_ini="",AND(ISNUMBER(E89),E89&gt;=f_ini)),OR(f_fim="",AND(ISNUMBER(E89),E89&lt;=f_fim)),OR(f_un="",f_un="(Todas)",G89=f_un),OR(f_tr="",f_tr="(Todos)",H89=f_tr),OR(f_de="",f_de="(Todos)",I89=f_de),OR(f_sit="",f_sit="(Todas)",S89=f_sit)),1,0))</f>
        <v>0</v>
      </c>
      <c r="AY89" s="96">
        <f>IF(AX89=0,0,IF(OR(f_res="",f_res="(Todos)"),1,IF(COUNTIFS('ITENS_MTR'!$S$6:$S$1005,A89,'ITENS_MTR'!$C$6:$C$1005,f_res)&gt;0,1,0)))</f>
        <v>0</v>
      </c>
      <c r="AZ89" s="97" t="str">
        <f>IF(ISNUMBER(E89),DATE(YEAR(E89),MONTH(E89),1),"")</f>
        <v/>
      </c>
      <c r="BA89" s="96">
        <f>IF(Z89=0,0,IF(AND(OR(r_ini="",AND(ISNUMBER(E89),E89&gt;=r_ini)),OR(r_fim="",AND(ISNUMBER(E89),E89&lt;=r_fim)),OR(r_un="",r_un="(Todas)",G89=r_un),OR(r_de="",r_de="(Todos)",I89=r_de)),1,0))</f>
        <v>0</v>
      </c>
      <c r="BB89" s="96" t="str">
        <f>IF(BA89=1,COUNTIF($BA$6:BA89,1),"")</f>
        <v/>
      </c>
      <c r="BC89" s="96" t="str">
        <f>IF(AND(AU89&lt;&gt;"",OR(r_un="",r_un="(Todas)",G89=r_un),OR(r_de="",r_de="(Todos)",I89=r_de)),AU89,"")</f>
        <v/>
      </c>
      <c r="BD89" s="96" t="str">
        <f>IF(Z89=1,A89&amp;" | nº "&amp;IF(B89="","(sem número)",B89)&amp;" | "&amp;IF(G89="","(sem unidade)",G89),"")</f>
        <v/>
      </c>
      <c r="BE89" s="96" t="str">
        <f>IF(Z89=1,COUNTIF($Z$6:Z89,1),"")</f>
        <v/>
      </c>
      <c r="BF89" s="96" t="str">
        <f>IF(T89="","",IF(T89="RECEBIMENTO NÃO CONFIRMADO","Transp.: "&amp;H89&amp;" | Dest.: "&amp;I89,IF(OR(T89="CDF NÃO LOCALIZADO",T89="VÍNCULO INCOMPLETO",T89="CDF A CONFERIR"),"Dest.: "&amp;I89,"Gerador: "&amp;G89)))</f>
        <v/>
      </c>
    </row>
    <row r="90">
      <c r="A90" s="89" t="inlineStr">
        <is>
          <t>MTR-000085</t>
        </is>
      </c>
      <c r="B90" s="90" t="n"/>
      <c r="C90" s="91" t="n"/>
      <c r="D90" s="91" t="n"/>
      <c r="E90" s="92" t="n"/>
      <c r="F90" s="92" t="n"/>
      <c r="G90" s="91" t="n"/>
      <c r="H90" s="91" t="n"/>
      <c r="I90" s="91" t="n"/>
      <c r="J90" s="91" t="n"/>
      <c r="K90" s="91" t="n"/>
      <c r="L90" s="92" t="n"/>
      <c r="M90" s="91" t="n"/>
      <c r="N90" s="91" t="n"/>
      <c r="O90" s="91" t="n"/>
      <c r="P90" s="93" t="str">
        <f>IF(Z90=0,"",SUMIFS('ITENS_MTR'!$I$6:$I$1005,'ITENS_MTR'!$S$6:$S$1005,A90,'ITENS_MTR'!$Y$6:$Y$1005,1))</f>
        <v/>
      </c>
      <c r="Q90" s="93" t="str">
        <f>IF(Z90=0,"",SUMIFS('RECEBIMENTOS'!$H$6:$H$1005,'RECEBIMENTOS'!$B$6:$B$1005,A90,'RECEBIMENTOS'!$X$6:$X$1005,1))</f>
        <v/>
      </c>
      <c r="R90" s="93" t="str">
        <f>IF(Z90=0,"",SUMIFS('VÍNCULOS_CDF'!$H$6:$H$1005,'VÍNCULOS_CDF'!$D$6:$D$1005,A90,'VÍNCULOS_CDF'!$V$6:$V$1005,1))</f>
        <v/>
      </c>
      <c r="S90" s="94" t="str">
        <f>IF(Z90=0,"",IF(AA90=1,"Cancelado (informado)",IF(AE90=1,"Cadastro incompleto",IF(OR(AC90=1,AD90=1,AF90&gt;0,AH90&gt;0,AK90&gt;0,AL90&gt;0),"Informação a revisar",IF(AN90=0,"Aguardando recebimento",IF(N(R90)=0,"Aguardando CDF",IF(AJ90&lt;N(W90),"Vínculo de CDF parcial",IF(AO90=0,"CDF localizado, a conferir","Documentação conferida"))))))))</f>
        <v/>
      </c>
      <c r="T90" s="94" t="str">
        <f>IF(Z90=0,"",IF(S90="Cadastro incompleto","MTR INCOMPLETO",IF(S90="Informação a revisar",IF(AND(AH90&gt;0,AC90=0,AD90=0,AF90=0,AK90=0,AL90=0),"QUANTIDADE A REVISAR","IDENTIFICAÇÃO A REVISAR"),IF(S90="Aguardando recebimento","RECEBIMENTO NÃO CONFIRMADO",IF(S90="Aguardando CDF","CDF NÃO LOCALIZADO",IF(S90="Vínculo de CDF parcial","VÍNCULO INCOMPLETO",IF(S90="CDF localizado, a conferir","CDF A CONFERIR","")))))))</f>
        <v/>
      </c>
      <c r="U90" s="95" t="str">
        <f>IF(T90="","",IF(AQ90="","Não calculável",IF(AQ90&gt;TODAY(),"Data futura",TODAY()-AQ90)))</f>
        <v/>
      </c>
      <c r="V90" s="93" t="str">
        <f>IF(Z90=0,"",SUMIFS('RECEBIMENTOS'!$H$6:$H$1005,'RECEBIMENTOS'!$B$6:$B$1005,A90,'RECEBIMENTOS'!$Z$6:$Z$1005,1))</f>
        <v/>
      </c>
      <c r="W90" s="95" t="str">
        <f>IF(Z90=0,"",COUNTIFS('ITENS_MTR'!$S$6:$S$1005,A90,'ITENS_MTR'!$R$6:$R$1005,1))</f>
        <v/>
      </c>
      <c r="X90" s="94" t="str">
        <f>IF(AC90=1,"POSSÍVEL DUPLICIDADE","")</f>
        <v/>
      </c>
      <c r="Y90" s="94" t="str">
        <f>IF(Z90=0,"",IF(AW90="","Nenhuma",LEFT(AW90,LEN(AW90)-2)))</f>
        <v/>
      </c>
      <c r="Z90" s="96">
        <f>IF(COUNTA(B90:O90)&gt;0,1,0)</f>
        <v>0</v>
      </c>
      <c r="AA90" s="96">
        <f>IF(AND(Z90=1,K90&lt;&gt;""),IF(TRIM(K90)=TRIM(cfg_cancel),1,0),0)</f>
        <v>0</v>
      </c>
      <c r="AB90" s="96" t="str">
        <f>IF(AND(Z90=1,B90&lt;&gt;""),C90&amp;"|"&amp;D90&amp;"|"&amp;G90&amp;"|"&amp;TRIM(B90),"")</f>
        <v/>
      </c>
      <c r="AC90" s="96">
        <f>IF(AB90="",0,IF(SUMPRODUCT(--($AB$6:$AB$505=AB90))&gt;1,1,0))</f>
        <v>0</v>
      </c>
      <c r="AD90" s="96">
        <f>IF(Z90=0,0,IF(OR(AND(G90&lt;&gt;"",ISNA(MATCH(G90,'CAD_UNIDADES'!$C$6:$C$105,0))),AND(H90&lt;&gt;"",ISNA(MATCH(H90,cmp_transp,0))),AND(I90&lt;&gt;"",ISNA(MATCH(I90,cmp_dest,0))),AND(E90&lt;&gt;"",NOT(ISNUMBER(E90))),AND(F90&lt;&gt;"",NOT(ISNUMBER(F90))),AND(ISNUMBER(E90),ISNUMBER(F90),F90&lt;E90)),1,0))</f>
        <v>0</v>
      </c>
      <c r="AE90" s="96">
        <f>IF(Z90=0,0,IF(OR(B90="",C90="",E90="",G90="",H90="",I90="",N(W90)=0),1,0))</f>
        <v>0</v>
      </c>
      <c r="AF90" s="96">
        <f>IF(Z90=0,0,COUNTIFS('ITENS_MTR'!$S$6:$S$1005,A90,'ITENS_MTR'!$AI$6:$AI$1005,1))</f>
        <v>0</v>
      </c>
      <c r="AG90" s="96">
        <f>IF(Z90=0,0,COUNTIFS('ITENS_MTR'!$S$6:$S$1005,A90,'ITENS_MTR'!$AJ$6:$AJ$1005,1))</f>
        <v>0</v>
      </c>
      <c r="AH90" s="96">
        <f>IF(Z90=0,0,COUNTIFS('ITENS_MTR'!$S$6:$S$1005,A90,'ITENS_MTR'!$AM$6:$AM$1005,1))</f>
        <v>0</v>
      </c>
      <c r="AI90" s="96">
        <f>IF(Z90=0,0,COUNTIFS('ITENS_MTR'!$S$6:$S$1005,A90,'ITENS_MTR'!$AO$6:$AO$1005,1))</f>
        <v>0</v>
      </c>
      <c r="AJ90" s="96">
        <f>IF(Z90=0,0,COUNTIFS('ITENS_MTR'!$S$6:$S$1005,A90,'ITENS_MTR'!$AN$6:$AN$1005,1))</f>
        <v>0</v>
      </c>
      <c r="AK90" s="96">
        <f>IF(Z90=0,0,COUNTIFS('RECEBIMENTOS'!$B$6:$B$1005,A90,'RECEBIMENTOS'!$Y$6:$Y$1005,1))</f>
        <v>0</v>
      </c>
      <c r="AL90" s="96">
        <f>IF(Z90=0,0,COUNTIFS('VÍNCULOS_CDF'!$D$6:$D$1005,A90,'VÍNCULOS_CDF'!$Y$6:$Y$1005,1))</f>
        <v>0</v>
      </c>
      <c r="AM90" s="96">
        <f>IF(Z90=0,0,COUNTIFS('RECEBIMENTOS'!$B$6:$B$1005,A90,'RECEBIMENTOS'!$Q$6:$Q$1005,1))</f>
        <v>0</v>
      </c>
      <c r="AN90" s="96">
        <f>IF(AND(Z90=1,N(W90)&gt;0,AG90=N(W90)),1,0)</f>
        <v>0</v>
      </c>
      <c r="AO90" s="96">
        <f>IF(AND(Z90=1,N(W90)&gt;0,AI90=N(W90)),1,0)</f>
        <v>0</v>
      </c>
      <c r="AP90" s="97">
        <f>IF(Z90=0,0,_xlfn.MAXIFS('RECEBIMENTOS'!$E$6:$E$1005,'RECEBIMENTOS'!$B$6:$B$1005,A90))</f>
        <v>0</v>
      </c>
      <c r="AQ90" s="97" t="str">
        <f>IF(T90="","",IF(T90="RECEBIMENTO NÃO CONFIRMADO",IF(ISNUMBER(F90),F90,IF(ISNUMBER(E90),E90,"")),IF(OR(T90="CDF NÃO LOCALIZADO",T90="VÍNCULO INCOMPLETO",T90="CDF A CONFERIR"),IF(AP90&gt;0,AP90,IF(ISNUMBER(E90),E90,"")),IF(ISNUMBER(E90),E90,""))))</f>
        <v/>
      </c>
      <c r="AR90" s="96">
        <f>IF(NOT(ISNUMBER(U90)),0,IF(T90="RECEBIMENTO NÃO CONFIRMADO",IF(AND(ISNUMBER(cfg_rec),U90&gt;cfg_rec),1,0),IF(OR(T90="CDF NÃO LOCALIZADO",T90="VÍNCULO INCOMPLETO",T90="CDF A CONFERIR"),IF(AND(ISNUMBER(cfg_cdf),U90&gt;cfg_cdf),1,0),0)))</f>
        <v>0</v>
      </c>
      <c r="AS90" s="96" t="str">
        <f>IF(T90="","",IF(AR90=1,"Alta",IFERROR(INDEX(cfg_pp,MATCH(T90,cfg_pt,0))&amp;"","Média")))</f>
        <v/>
      </c>
      <c r="AT90" s="96" t="str">
        <f>IF(T90="","",IFERROR(INDEX(cfg_pv,MATCH(T90,cfg_pt,0))&amp;"",""))</f>
        <v/>
      </c>
      <c r="AU90" s="96" t="str">
        <f>IF(T90="","",IF(AS90="Alta",1,IF(AS90="Média",2,3))*1000000000+(999999-IF(ISNUMBER(U90),MIN(U90,999999),0))*1000+85)</f>
        <v/>
      </c>
      <c r="AV90" s="96">
        <f>IF(T90&lt;&gt;"",1,0)</f>
        <v>0</v>
      </c>
      <c r="AW90" s="96" t="str">
        <f>IF(Z90=0,"",IF(AA90=1,"Cancelamento informado; ","")&amp;IF(AE90=1,"Campos essenciais ou itens faltando; ","")&amp;IF(AC90=1,"Possível duplicidade do número; ","")&amp;IF(AD90=1,"Cadastro ou datas a revisar; ","")&amp;IF(AF90&gt;0,"Item de resíduo com dado a revisar; ","")&amp;IF(AH90&gt;0,"Diferença de quantidade a analisar; ","")&amp;IF(AK90&gt;0,"Recebimento com alerta; ","")&amp;IF(AL90&gt;0,"Vínculo de CDF com alerta; ","")&amp;IF(AND(AA90=0,AN90=0),"Recebimento não confirmado; ","")&amp;IF(AND(AA90=0,AN90=1,AO90=0),"CDF pendente ou a conferir; ",""))</f>
        <v/>
      </c>
      <c r="AX90" s="96">
        <f>IF(Z90=0,0,IF(AND(OR(f_ini="",AND(ISNUMBER(E90),E90&gt;=f_ini)),OR(f_fim="",AND(ISNUMBER(E90),E90&lt;=f_fim)),OR(f_un="",f_un="(Todas)",G90=f_un),OR(f_tr="",f_tr="(Todos)",H90=f_tr),OR(f_de="",f_de="(Todos)",I90=f_de),OR(f_sit="",f_sit="(Todas)",S90=f_sit)),1,0))</f>
        <v>0</v>
      </c>
      <c r="AY90" s="96">
        <f>IF(AX90=0,0,IF(OR(f_res="",f_res="(Todos)"),1,IF(COUNTIFS('ITENS_MTR'!$S$6:$S$1005,A90,'ITENS_MTR'!$C$6:$C$1005,f_res)&gt;0,1,0)))</f>
        <v>0</v>
      </c>
      <c r="AZ90" s="97" t="str">
        <f>IF(ISNUMBER(E90),DATE(YEAR(E90),MONTH(E90),1),"")</f>
        <v/>
      </c>
      <c r="BA90" s="96">
        <f>IF(Z90=0,0,IF(AND(OR(r_ini="",AND(ISNUMBER(E90),E90&gt;=r_ini)),OR(r_fim="",AND(ISNUMBER(E90),E90&lt;=r_fim)),OR(r_un="",r_un="(Todas)",G90=r_un),OR(r_de="",r_de="(Todos)",I90=r_de)),1,0))</f>
        <v>0</v>
      </c>
      <c r="BB90" s="96" t="str">
        <f>IF(BA90=1,COUNTIF($BA$6:BA90,1),"")</f>
        <v/>
      </c>
      <c r="BC90" s="96" t="str">
        <f>IF(AND(AU90&lt;&gt;"",OR(r_un="",r_un="(Todas)",G90=r_un),OR(r_de="",r_de="(Todos)",I90=r_de)),AU90,"")</f>
        <v/>
      </c>
      <c r="BD90" s="96" t="str">
        <f>IF(Z90=1,A90&amp;" | nº "&amp;IF(B90="","(sem número)",B90)&amp;" | "&amp;IF(G90="","(sem unidade)",G90),"")</f>
        <v/>
      </c>
      <c r="BE90" s="96" t="str">
        <f>IF(Z90=1,COUNTIF($Z$6:Z90,1),"")</f>
        <v/>
      </c>
      <c r="BF90" s="96" t="str">
        <f>IF(T90="","",IF(T90="RECEBIMENTO NÃO CONFIRMADO","Transp.: "&amp;H90&amp;" | Dest.: "&amp;I90,IF(OR(T90="CDF NÃO LOCALIZADO",T90="VÍNCULO INCOMPLETO",T90="CDF A CONFERIR"),"Dest.: "&amp;I90,"Gerador: "&amp;G90)))</f>
        <v/>
      </c>
    </row>
    <row r="91">
      <c r="A91" s="89" t="inlineStr">
        <is>
          <t>MTR-000086</t>
        </is>
      </c>
      <c r="B91" s="90" t="n"/>
      <c r="C91" s="91" t="n"/>
      <c r="D91" s="91" t="n"/>
      <c r="E91" s="92" t="n"/>
      <c r="F91" s="92" t="n"/>
      <c r="G91" s="91" t="n"/>
      <c r="H91" s="91" t="n"/>
      <c r="I91" s="91" t="n"/>
      <c r="J91" s="91" t="n"/>
      <c r="K91" s="91" t="n"/>
      <c r="L91" s="92" t="n"/>
      <c r="M91" s="91" t="n"/>
      <c r="N91" s="91" t="n"/>
      <c r="O91" s="91" t="n"/>
      <c r="P91" s="93" t="str">
        <f>IF(Z91=0,"",SUMIFS('ITENS_MTR'!$I$6:$I$1005,'ITENS_MTR'!$S$6:$S$1005,A91,'ITENS_MTR'!$Y$6:$Y$1005,1))</f>
        <v/>
      </c>
      <c r="Q91" s="93" t="str">
        <f>IF(Z91=0,"",SUMIFS('RECEBIMENTOS'!$H$6:$H$1005,'RECEBIMENTOS'!$B$6:$B$1005,A91,'RECEBIMENTOS'!$X$6:$X$1005,1))</f>
        <v/>
      </c>
      <c r="R91" s="93" t="str">
        <f>IF(Z91=0,"",SUMIFS('VÍNCULOS_CDF'!$H$6:$H$1005,'VÍNCULOS_CDF'!$D$6:$D$1005,A91,'VÍNCULOS_CDF'!$V$6:$V$1005,1))</f>
        <v/>
      </c>
      <c r="S91" s="94" t="str">
        <f>IF(Z91=0,"",IF(AA91=1,"Cancelado (informado)",IF(AE91=1,"Cadastro incompleto",IF(OR(AC91=1,AD91=1,AF91&gt;0,AH91&gt;0,AK91&gt;0,AL91&gt;0),"Informação a revisar",IF(AN91=0,"Aguardando recebimento",IF(N(R91)=0,"Aguardando CDF",IF(AJ91&lt;N(W91),"Vínculo de CDF parcial",IF(AO91=0,"CDF localizado, a conferir","Documentação conferida"))))))))</f>
        <v/>
      </c>
      <c r="T91" s="94" t="str">
        <f>IF(Z91=0,"",IF(S91="Cadastro incompleto","MTR INCOMPLETO",IF(S91="Informação a revisar",IF(AND(AH91&gt;0,AC91=0,AD91=0,AF91=0,AK91=0,AL91=0),"QUANTIDADE A REVISAR","IDENTIFICAÇÃO A REVISAR"),IF(S91="Aguardando recebimento","RECEBIMENTO NÃO CONFIRMADO",IF(S91="Aguardando CDF","CDF NÃO LOCALIZADO",IF(S91="Vínculo de CDF parcial","VÍNCULO INCOMPLETO",IF(S91="CDF localizado, a conferir","CDF A CONFERIR","")))))))</f>
        <v/>
      </c>
      <c r="U91" s="95" t="str">
        <f>IF(T91="","",IF(AQ91="","Não calculável",IF(AQ91&gt;TODAY(),"Data futura",TODAY()-AQ91)))</f>
        <v/>
      </c>
      <c r="V91" s="93" t="str">
        <f>IF(Z91=0,"",SUMIFS('RECEBIMENTOS'!$H$6:$H$1005,'RECEBIMENTOS'!$B$6:$B$1005,A91,'RECEBIMENTOS'!$Z$6:$Z$1005,1))</f>
        <v/>
      </c>
      <c r="W91" s="95" t="str">
        <f>IF(Z91=0,"",COUNTIFS('ITENS_MTR'!$S$6:$S$1005,A91,'ITENS_MTR'!$R$6:$R$1005,1))</f>
        <v/>
      </c>
      <c r="X91" s="94" t="str">
        <f>IF(AC91=1,"POSSÍVEL DUPLICIDADE","")</f>
        <v/>
      </c>
      <c r="Y91" s="94" t="str">
        <f>IF(Z91=0,"",IF(AW91="","Nenhuma",LEFT(AW91,LEN(AW91)-2)))</f>
        <v/>
      </c>
      <c r="Z91" s="96">
        <f>IF(COUNTA(B91:O91)&gt;0,1,0)</f>
        <v>0</v>
      </c>
      <c r="AA91" s="96">
        <f>IF(AND(Z91=1,K91&lt;&gt;""),IF(TRIM(K91)=TRIM(cfg_cancel),1,0),0)</f>
        <v>0</v>
      </c>
      <c r="AB91" s="96" t="str">
        <f>IF(AND(Z91=1,B91&lt;&gt;""),C91&amp;"|"&amp;D91&amp;"|"&amp;G91&amp;"|"&amp;TRIM(B91),"")</f>
        <v/>
      </c>
      <c r="AC91" s="96">
        <f>IF(AB91="",0,IF(SUMPRODUCT(--($AB$6:$AB$505=AB91))&gt;1,1,0))</f>
        <v>0</v>
      </c>
      <c r="AD91" s="96">
        <f>IF(Z91=0,0,IF(OR(AND(G91&lt;&gt;"",ISNA(MATCH(G91,'CAD_UNIDADES'!$C$6:$C$105,0))),AND(H91&lt;&gt;"",ISNA(MATCH(H91,cmp_transp,0))),AND(I91&lt;&gt;"",ISNA(MATCH(I91,cmp_dest,0))),AND(E91&lt;&gt;"",NOT(ISNUMBER(E91))),AND(F91&lt;&gt;"",NOT(ISNUMBER(F91))),AND(ISNUMBER(E91),ISNUMBER(F91),F91&lt;E91)),1,0))</f>
        <v>0</v>
      </c>
      <c r="AE91" s="96">
        <f>IF(Z91=0,0,IF(OR(B91="",C91="",E91="",G91="",H91="",I91="",N(W91)=0),1,0))</f>
        <v>0</v>
      </c>
      <c r="AF91" s="96">
        <f>IF(Z91=0,0,COUNTIFS('ITENS_MTR'!$S$6:$S$1005,A91,'ITENS_MTR'!$AI$6:$AI$1005,1))</f>
        <v>0</v>
      </c>
      <c r="AG91" s="96">
        <f>IF(Z91=0,0,COUNTIFS('ITENS_MTR'!$S$6:$S$1005,A91,'ITENS_MTR'!$AJ$6:$AJ$1005,1))</f>
        <v>0</v>
      </c>
      <c r="AH91" s="96">
        <f>IF(Z91=0,0,COUNTIFS('ITENS_MTR'!$S$6:$S$1005,A91,'ITENS_MTR'!$AM$6:$AM$1005,1))</f>
        <v>0</v>
      </c>
      <c r="AI91" s="96">
        <f>IF(Z91=0,0,COUNTIFS('ITENS_MTR'!$S$6:$S$1005,A91,'ITENS_MTR'!$AO$6:$AO$1005,1))</f>
        <v>0</v>
      </c>
      <c r="AJ91" s="96">
        <f>IF(Z91=0,0,COUNTIFS('ITENS_MTR'!$S$6:$S$1005,A91,'ITENS_MTR'!$AN$6:$AN$1005,1))</f>
        <v>0</v>
      </c>
      <c r="AK91" s="96">
        <f>IF(Z91=0,0,COUNTIFS('RECEBIMENTOS'!$B$6:$B$1005,A91,'RECEBIMENTOS'!$Y$6:$Y$1005,1))</f>
        <v>0</v>
      </c>
      <c r="AL91" s="96">
        <f>IF(Z91=0,0,COUNTIFS('VÍNCULOS_CDF'!$D$6:$D$1005,A91,'VÍNCULOS_CDF'!$Y$6:$Y$1005,1))</f>
        <v>0</v>
      </c>
      <c r="AM91" s="96">
        <f>IF(Z91=0,0,COUNTIFS('RECEBIMENTOS'!$B$6:$B$1005,A91,'RECEBIMENTOS'!$Q$6:$Q$1005,1))</f>
        <v>0</v>
      </c>
      <c r="AN91" s="96">
        <f>IF(AND(Z91=1,N(W91)&gt;0,AG91=N(W91)),1,0)</f>
        <v>0</v>
      </c>
      <c r="AO91" s="96">
        <f>IF(AND(Z91=1,N(W91)&gt;0,AI91=N(W91)),1,0)</f>
        <v>0</v>
      </c>
      <c r="AP91" s="97">
        <f>IF(Z91=0,0,_xlfn.MAXIFS('RECEBIMENTOS'!$E$6:$E$1005,'RECEBIMENTOS'!$B$6:$B$1005,A91))</f>
        <v>0</v>
      </c>
      <c r="AQ91" s="97" t="str">
        <f>IF(T91="","",IF(T91="RECEBIMENTO NÃO CONFIRMADO",IF(ISNUMBER(F91),F91,IF(ISNUMBER(E91),E91,"")),IF(OR(T91="CDF NÃO LOCALIZADO",T91="VÍNCULO INCOMPLETO",T91="CDF A CONFERIR"),IF(AP91&gt;0,AP91,IF(ISNUMBER(E91),E91,"")),IF(ISNUMBER(E91),E91,""))))</f>
        <v/>
      </c>
      <c r="AR91" s="96">
        <f>IF(NOT(ISNUMBER(U91)),0,IF(T91="RECEBIMENTO NÃO CONFIRMADO",IF(AND(ISNUMBER(cfg_rec),U91&gt;cfg_rec),1,0),IF(OR(T91="CDF NÃO LOCALIZADO",T91="VÍNCULO INCOMPLETO",T91="CDF A CONFERIR"),IF(AND(ISNUMBER(cfg_cdf),U91&gt;cfg_cdf),1,0),0)))</f>
        <v>0</v>
      </c>
      <c r="AS91" s="96" t="str">
        <f>IF(T91="","",IF(AR91=1,"Alta",IFERROR(INDEX(cfg_pp,MATCH(T91,cfg_pt,0))&amp;"","Média")))</f>
        <v/>
      </c>
      <c r="AT91" s="96" t="str">
        <f>IF(T91="","",IFERROR(INDEX(cfg_pv,MATCH(T91,cfg_pt,0))&amp;"",""))</f>
        <v/>
      </c>
      <c r="AU91" s="96" t="str">
        <f>IF(T91="","",IF(AS91="Alta",1,IF(AS91="Média",2,3))*1000000000+(999999-IF(ISNUMBER(U91),MIN(U91,999999),0))*1000+86)</f>
        <v/>
      </c>
      <c r="AV91" s="96">
        <f>IF(T91&lt;&gt;"",1,0)</f>
        <v>0</v>
      </c>
      <c r="AW91" s="96" t="str">
        <f>IF(Z91=0,"",IF(AA91=1,"Cancelamento informado; ","")&amp;IF(AE91=1,"Campos essenciais ou itens faltando; ","")&amp;IF(AC91=1,"Possível duplicidade do número; ","")&amp;IF(AD91=1,"Cadastro ou datas a revisar; ","")&amp;IF(AF91&gt;0,"Item de resíduo com dado a revisar; ","")&amp;IF(AH91&gt;0,"Diferença de quantidade a analisar; ","")&amp;IF(AK91&gt;0,"Recebimento com alerta; ","")&amp;IF(AL91&gt;0,"Vínculo de CDF com alerta; ","")&amp;IF(AND(AA91=0,AN91=0),"Recebimento não confirmado; ","")&amp;IF(AND(AA91=0,AN91=1,AO91=0),"CDF pendente ou a conferir; ",""))</f>
        <v/>
      </c>
      <c r="AX91" s="96">
        <f>IF(Z91=0,0,IF(AND(OR(f_ini="",AND(ISNUMBER(E91),E91&gt;=f_ini)),OR(f_fim="",AND(ISNUMBER(E91),E91&lt;=f_fim)),OR(f_un="",f_un="(Todas)",G91=f_un),OR(f_tr="",f_tr="(Todos)",H91=f_tr),OR(f_de="",f_de="(Todos)",I91=f_de),OR(f_sit="",f_sit="(Todas)",S91=f_sit)),1,0))</f>
        <v>0</v>
      </c>
      <c r="AY91" s="96">
        <f>IF(AX91=0,0,IF(OR(f_res="",f_res="(Todos)"),1,IF(COUNTIFS('ITENS_MTR'!$S$6:$S$1005,A91,'ITENS_MTR'!$C$6:$C$1005,f_res)&gt;0,1,0)))</f>
        <v>0</v>
      </c>
      <c r="AZ91" s="97" t="str">
        <f>IF(ISNUMBER(E91),DATE(YEAR(E91),MONTH(E91),1),"")</f>
        <v/>
      </c>
      <c r="BA91" s="96">
        <f>IF(Z91=0,0,IF(AND(OR(r_ini="",AND(ISNUMBER(E91),E91&gt;=r_ini)),OR(r_fim="",AND(ISNUMBER(E91),E91&lt;=r_fim)),OR(r_un="",r_un="(Todas)",G91=r_un),OR(r_de="",r_de="(Todos)",I91=r_de)),1,0))</f>
        <v>0</v>
      </c>
      <c r="BB91" s="96" t="str">
        <f>IF(BA91=1,COUNTIF($BA$6:BA91,1),"")</f>
        <v/>
      </c>
      <c r="BC91" s="96" t="str">
        <f>IF(AND(AU91&lt;&gt;"",OR(r_un="",r_un="(Todas)",G91=r_un),OR(r_de="",r_de="(Todos)",I91=r_de)),AU91,"")</f>
        <v/>
      </c>
      <c r="BD91" s="96" t="str">
        <f>IF(Z91=1,A91&amp;" | nº "&amp;IF(B91="","(sem número)",B91)&amp;" | "&amp;IF(G91="","(sem unidade)",G91),"")</f>
        <v/>
      </c>
      <c r="BE91" s="96" t="str">
        <f>IF(Z91=1,COUNTIF($Z$6:Z91,1),"")</f>
        <v/>
      </c>
      <c r="BF91" s="96" t="str">
        <f>IF(T91="","",IF(T91="RECEBIMENTO NÃO CONFIRMADO","Transp.: "&amp;H91&amp;" | Dest.: "&amp;I91,IF(OR(T91="CDF NÃO LOCALIZADO",T91="VÍNCULO INCOMPLETO",T91="CDF A CONFERIR"),"Dest.: "&amp;I91,"Gerador: "&amp;G91)))</f>
        <v/>
      </c>
    </row>
    <row r="92">
      <c r="A92" s="89" t="inlineStr">
        <is>
          <t>MTR-000087</t>
        </is>
      </c>
      <c r="B92" s="90" t="n"/>
      <c r="C92" s="91" t="n"/>
      <c r="D92" s="91" t="n"/>
      <c r="E92" s="92" t="n"/>
      <c r="F92" s="92" t="n"/>
      <c r="G92" s="91" t="n"/>
      <c r="H92" s="91" t="n"/>
      <c r="I92" s="91" t="n"/>
      <c r="J92" s="91" t="n"/>
      <c r="K92" s="91" t="n"/>
      <c r="L92" s="92" t="n"/>
      <c r="M92" s="91" t="n"/>
      <c r="N92" s="91" t="n"/>
      <c r="O92" s="91" t="n"/>
      <c r="P92" s="93" t="str">
        <f>IF(Z92=0,"",SUMIFS('ITENS_MTR'!$I$6:$I$1005,'ITENS_MTR'!$S$6:$S$1005,A92,'ITENS_MTR'!$Y$6:$Y$1005,1))</f>
        <v/>
      </c>
      <c r="Q92" s="93" t="str">
        <f>IF(Z92=0,"",SUMIFS('RECEBIMENTOS'!$H$6:$H$1005,'RECEBIMENTOS'!$B$6:$B$1005,A92,'RECEBIMENTOS'!$X$6:$X$1005,1))</f>
        <v/>
      </c>
      <c r="R92" s="93" t="str">
        <f>IF(Z92=0,"",SUMIFS('VÍNCULOS_CDF'!$H$6:$H$1005,'VÍNCULOS_CDF'!$D$6:$D$1005,A92,'VÍNCULOS_CDF'!$V$6:$V$1005,1))</f>
        <v/>
      </c>
      <c r="S92" s="94" t="str">
        <f>IF(Z92=0,"",IF(AA92=1,"Cancelado (informado)",IF(AE92=1,"Cadastro incompleto",IF(OR(AC92=1,AD92=1,AF92&gt;0,AH92&gt;0,AK92&gt;0,AL92&gt;0),"Informação a revisar",IF(AN92=0,"Aguardando recebimento",IF(N(R92)=0,"Aguardando CDF",IF(AJ92&lt;N(W92),"Vínculo de CDF parcial",IF(AO92=0,"CDF localizado, a conferir","Documentação conferida"))))))))</f>
        <v/>
      </c>
      <c r="T92" s="94" t="str">
        <f>IF(Z92=0,"",IF(S92="Cadastro incompleto","MTR INCOMPLETO",IF(S92="Informação a revisar",IF(AND(AH92&gt;0,AC92=0,AD92=0,AF92=0,AK92=0,AL92=0),"QUANTIDADE A REVISAR","IDENTIFICAÇÃO A REVISAR"),IF(S92="Aguardando recebimento","RECEBIMENTO NÃO CONFIRMADO",IF(S92="Aguardando CDF","CDF NÃO LOCALIZADO",IF(S92="Vínculo de CDF parcial","VÍNCULO INCOMPLETO",IF(S92="CDF localizado, a conferir","CDF A CONFERIR","")))))))</f>
        <v/>
      </c>
      <c r="U92" s="95" t="str">
        <f>IF(T92="","",IF(AQ92="","Não calculável",IF(AQ92&gt;TODAY(),"Data futura",TODAY()-AQ92)))</f>
        <v/>
      </c>
      <c r="V92" s="93" t="str">
        <f>IF(Z92=0,"",SUMIFS('RECEBIMENTOS'!$H$6:$H$1005,'RECEBIMENTOS'!$B$6:$B$1005,A92,'RECEBIMENTOS'!$Z$6:$Z$1005,1))</f>
        <v/>
      </c>
      <c r="W92" s="95" t="str">
        <f>IF(Z92=0,"",COUNTIFS('ITENS_MTR'!$S$6:$S$1005,A92,'ITENS_MTR'!$R$6:$R$1005,1))</f>
        <v/>
      </c>
      <c r="X92" s="94" t="str">
        <f>IF(AC92=1,"POSSÍVEL DUPLICIDADE","")</f>
        <v/>
      </c>
      <c r="Y92" s="94" t="str">
        <f>IF(Z92=0,"",IF(AW92="","Nenhuma",LEFT(AW92,LEN(AW92)-2)))</f>
        <v/>
      </c>
      <c r="Z92" s="96">
        <f>IF(COUNTA(B92:O92)&gt;0,1,0)</f>
        <v>0</v>
      </c>
      <c r="AA92" s="96">
        <f>IF(AND(Z92=1,K92&lt;&gt;""),IF(TRIM(K92)=TRIM(cfg_cancel),1,0),0)</f>
        <v>0</v>
      </c>
      <c r="AB92" s="96" t="str">
        <f>IF(AND(Z92=1,B92&lt;&gt;""),C92&amp;"|"&amp;D92&amp;"|"&amp;G92&amp;"|"&amp;TRIM(B92),"")</f>
        <v/>
      </c>
      <c r="AC92" s="96">
        <f>IF(AB92="",0,IF(SUMPRODUCT(--($AB$6:$AB$505=AB92))&gt;1,1,0))</f>
        <v>0</v>
      </c>
      <c r="AD92" s="96">
        <f>IF(Z92=0,0,IF(OR(AND(G92&lt;&gt;"",ISNA(MATCH(G92,'CAD_UNIDADES'!$C$6:$C$105,0))),AND(H92&lt;&gt;"",ISNA(MATCH(H92,cmp_transp,0))),AND(I92&lt;&gt;"",ISNA(MATCH(I92,cmp_dest,0))),AND(E92&lt;&gt;"",NOT(ISNUMBER(E92))),AND(F92&lt;&gt;"",NOT(ISNUMBER(F92))),AND(ISNUMBER(E92),ISNUMBER(F92),F92&lt;E92)),1,0))</f>
        <v>0</v>
      </c>
      <c r="AE92" s="96">
        <f>IF(Z92=0,0,IF(OR(B92="",C92="",E92="",G92="",H92="",I92="",N(W92)=0),1,0))</f>
        <v>0</v>
      </c>
      <c r="AF92" s="96">
        <f>IF(Z92=0,0,COUNTIFS('ITENS_MTR'!$S$6:$S$1005,A92,'ITENS_MTR'!$AI$6:$AI$1005,1))</f>
        <v>0</v>
      </c>
      <c r="AG92" s="96">
        <f>IF(Z92=0,0,COUNTIFS('ITENS_MTR'!$S$6:$S$1005,A92,'ITENS_MTR'!$AJ$6:$AJ$1005,1))</f>
        <v>0</v>
      </c>
      <c r="AH92" s="96">
        <f>IF(Z92=0,0,COUNTIFS('ITENS_MTR'!$S$6:$S$1005,A92,'ITENS_MTR'!$AM$6:$AM$1005,1))</f>
        <v>0</v>
      </c>
      <c r="AI92" s="96">
        <f>IF(Z92=0,0,COUNTIFS('ITENS_MTR'!$S$6:$S$1005,A92,'ITENS_MTR'!$AO$6:$AO$1005,1))</f>
        <v>0</v>
      </c>
      <c r="AJ92" s="96">
        <f>IF(Z92=0,0,COUNTIFS('ITENS_MTR'!$S$6:$S$1005,A92,'ITENS_MTR'!$AN$6:$AN$1005,1))</f>
        <v>0</v>
      </c>
      <c r="AK92" s="96">
        <f>IF(Z92=0,0,COUNTIFS('RECEBIMENTOS'!$B$6:$B$1005,A92,'RECEBIMENTOS'!$Y$6:$Y$1005,1))</f>
        <v>0</v>
      </c>
      <c r="AL92" s="96">
        <f>IF(Z92=0,0,COUNTIFS('VÍNCULOS_CDF'!$D$6:$D$1005,A92,'VÍNCULOS_CDF'!$Y$6:$Y$1005,1))</f>
        <v>0</v>
      </c>
      <c r="AM92" s="96">
        <f>IF(Z92=0,0,COUNTIFS('RECEBIMENTOS'!$B$6:$B$1005,A92,'RECEBIMENTOS'!$Q$6:$Q$1005,1))</f>
        <v>0</v>
      </c>
      <c r="AN92" s="96">
        <f>IF(AND(Z92=1,N(W92)&gt;0,AG92=N(W92)),1,0)</f>
        <v>0</v>
      </c>
      <c r="AO92" s="96">
        <f>IF(AND(Z92=1,N(W92)&gt;0,AI92=N(W92)),1,0)</f>
        <v>0</v>
      </c>
      <c r="AP92" s="97">
        <f>IF(Z92=0,0,_xlfn.MAXIFS('RECEBIMENTOS'!$E$6:$E$1005,'RECEBIMENTOS'!$B$6:$B$1005,A92))</f>
        <v>0</v>
      </c>
      <c r="AQ92" s="97" t="str">
        <f>IF(T92="","",IF(T92="RECEBIMENTO NÃO CONFIRMADO",IF(ISNUMBER(F92),F92,IF(ISNUMBER(E92),E92,"")),IF(OR(T92="CDF NÃO LOCALIZADO",T92="VÍNCULO INCOMPLETO",T92="CDF A CONFERIR"),IF(AP92&gt;0,AP92,IF(ISNUMBER(E92),E92,"")),IF(ISNUMBER(E92),E92,""))))</f>
        <v/>
      </c>
      <c r="AR92" s="96">
        <f>IF(NOT(ISNUMBER(U92)),0,IF(T92="RECEBIMENTO NÃO CONFIRMADO",IF(AND(ISNUMBER(cfg_rec),U92&gt;cfg_rec),1,0),IF(OR(T92="CDF NÃO LOCALIZADO",T92="VÍNCULO INCOMPLETO",T92="CDF A CONFERIR"),IF(AND(ISNUMBER(cfg_cdf),U92&gt;cfg_cdf),1,0),0)))</f>
        <v>0</v>
      </c>
      <c r="AS92" s="96" t="str">
        <f>IF(T92="","",IF(AR92=1,"Alta",IFERROR(INDEX(cfg_pp,MATCH(T92,cfg_pt,0))&amp;"","Média")))</f>
        <v/>
      </c>
      <c r="AT92" s="96" t="str">
        <f>IF(T92="","",IFERROR(INDEX(cfg_pv,MATCH(T92,cfg_pt,0))&amp;"",""))</f>
        <v/>
      </c>
      <c r="AU92" s="96" t="str">
        <f>IF(T92="","",IF(AS92="Alta",1,IF(AS92="Média",2,3))*1000000000+(999999-IF(ISNUMBER(U92),MIN(U92,999999),0))*1000+87)</f>
        <v/>
      </c>
      <c r="AV92" s="96">
        <f>IF(T92&lt;&gt;"",1,0)</f>
        <v>0</v>
      </c>
      <c r="AW92" s="96" t="str">
        <f>IF(Z92=0,"",IF(AA92=1,"Cancelamento informado; ","")&amp;IF(AE92=1,"Campos essenciais ou itens faltando; ","")&amp;IF(AC92=1,"Possível duplicidade do número; ","")&amp;IF(AD92=1,"Cadastro ou datas a revisar; ","")&amp;IF(AF92&gt;0,"Item de resíduo com dado a revisar; ","")&amp;IF(AH92&gt;0,"Diferença de quantidade a analisar; ","")&amp;IF(AK92&gt;0,"Recebimento com alerta; ","")&amp;IF(AL92&gt;0,"Vínculo de CDF com alerta; ","")&amp;IF(AND(AA92=0,AN92=0),"Recebimento não confirmado; ","")&amp;IF(AND(AA92=0,AN92=1,AO92=0),"CDF pendente ou a conferir; ",""))</f>
        <v/>
      </c>
      <c r="AX92" s="96">
        <f>IF(Z92=0,0,IF(AND(OR(f_ini="",AND(ISNUMBER(E92),E92&gt;=f_ini)),OR(f_fim="",AND(ISNUMBER(E92),E92&lt;=f_fim)),OR(f_un="",f_un="(Todas)",G92=f_un),OR(f_tr="",f_tr="(Todos)",H92=f_tr),OR(f_de="",f_de="(Todos)",I92=f_de),OR(f_sit="",f_sit="(Todas)",S92=f_sit)),1,0))</f>
        <v>0</v>
      </c>
      <c r="AY92" s="96">
        <f>IF(AX92=0,0,IF(OR(f_res="",f_res="(Todos)"),1,IF(COUNTIFS('ITENS_MTR'!$S$6:$S$1005,A92,'ITENS_MTR'!$C$6:$C$1005,f_res)&gt;0,1,0)))</f>
        <v>0</v>
      </c>
      <c r="AZ92" s="97" t="str">
        <f>IF(ISNUMBER(E92),DATE(YEAR(E92),MONTH(E92),1),"")</f>
        <v/>
      </c>
      <c r="BA92" s="96">
        <f>IF(Z92=0,0,IF(AND(OR(r_ini="",AND(ISNUMBER(E92),E92&gt;=r_ini)),OR(r_fim="",AND(ISNUMBER(E92),E92&lt;=r_fim)),OR(r_un="",r_un="(Todas)",G92=r_un),OR(r_de="",r_de="(Todos)",I92=r_de)),1,0))</f>
        <v>0</v>
      </c>
      <c r="BB92" s="96" t="str">
        <f>IF(BA92=1,COUNTIF($BA$6:BA92,1),"")</f>
        <v/>
      </c>
      <c r="BC92" s="96" t="str">
        <f>IF(AND(AU92&lt;&gt;"",OR(r_un="",r_un="(Todas)",G92=r_un),OR(r_de="",r_de="(Todos)",I92=r_de)),AU92,"")</f>
        <v/>
      </c>
      <c r="BD92" s="96" t="str">
        <f>IF(Z92=1,A92&amp;" | nº "&amp;IF(B92="","(sem número)",B92)&amp;" | "&amp;IF(G92="","(sem unidade)",G92),"")</f>
        <v/>
      </c>
      <c r="BE92" s="96" t="str">
        <f>IF(Z92=1,COUNTIF($Z$6:Z92,1),"")</f>
        <v/>
      </c>
      <c r="BF92" s="96" t="str">
        <f>IF(T92="","",IF(T92="RECEBIMENTO NÃO CONFIRMADO","Transp.: "&amp;H92&amp;" | Dest.: "&amp;I92,IF(OR(T92="CDF NÃO LOCALIZADO",T92="VÍNCULO INCOMPLETO",T92="CDF A CONFERIR"),"Dest.: "&amp;I92,"Gerador: "&amp;G92)))</f>
        <v/>
      </c>
    </row>
    <row r="93">
      <c r="A93" s="89" t="inlineStr">
        <is>
          <t>MTR-000088</t>
        </is>
      </c>
      <c r="B93" s="90" t="n"/>
      <c r="C93" s="91" t="n"/>
      <c r="D93" s="91" t="n"/>
      <c r="E93" s="92" t="n"/>
      <c r="F93" s="92" t="n"/>
      <c r="G93" s="91" t="n"/>
      <c r="H93" s="91" t="n"/>
      <c r="I93" s="91" t="n"/>
      <c r="J93" s="91" t="n"/>
      <c r="K93" s="91" t="n"/>
      <c r="L93" s="92" t="n"/>
      <c r="M93" s="91" t="n"/>
      <c r="N93" s="91" t="n"/>
      <c r="O93" s="91" t="n"/>
      <c r="P93" s="93" t="str">
        <f>IF(Z93=0,"",SUMIFS('ITENS_MTR'!$I$6:$I$1005,'ITENS_MTR'!$S$6:$S$1005,A93,'ITENS_MTR'!$Y$6:$Y$1005,1))</f>
        <v/>
      </c>
      <c r="Q93" s="93" t="str">
        <f>IF(Z93=0,"",SUMIFS('RECEBIMENTOS'!$H$6:$H$1005,'RECEBIMENTOS'!$B$6:$B$1005,A93,'RECEBIMENTOS'!$X$6:$X$1005,1))</f>
        <v/>
      </c>
      <c r="R93" s="93" t="str">
        <f>IF(Z93=0,"",SUMIFS('VÍNCULOS_CDF'!$H$6:$H$1005,'VÍNCULOS_CDF'!$D$6:$D$1005,A93,'VÍNCULOS_CDF'!$V$6:$V$1005,1))</f>
        <v/>
      </c>
      <c r="S93" s="94" t="str">
        <f>IF(Z93=0,"",IF(AA93=1,"Cancelado (informado)",IF(AE93=1,"Cadastro incompleto",IF(OR(AC93=1,AD93=1,AF93&gt;0,AH93&gt;0,AK93&gt;0,AL93&gt;0),"Informação a revisar",IF(AN93=0,"Aguardando recebimento",IF(N(R93)=0,"Aguardando CDF",IF(AJ93&lt;N(W93),"Vínculo de CDF parcial",IF(AO93=0,"CDF localizado, a conferir","Documentação conferida"))))))))</f>
        <v/>
      </c>
      <c r="T93" s="94" t="str">
        <f>IF(Z93=0,"",IF(S93="Cadastro incompleto","MTR INCOMPLETO",IF(S93="Informação a revisar",IF(AND(AH93&gt;0,AC93=0,AD93=0,AF93=0,AK93=0,AL93=0),"QUANTIDADE A REVISAR","IDENTIFICAÇÃO A REVISAR"),IF(S93="Aguardando recebimento","RECEBIMENTO NÃO CONFIRMADO",IF(S93="Aguardando CDF","CDF NÃO LOCALIZADO",IF(S93="Vínculo de CDF parcial","VÍNCULO INCOMPLETO",IF(S93="CDF localizado, a conferir","CDF A CONFERIR","")))))))</f>
        <v/>
      </c>
      <c r="U93" s="95" t="str">
        <f>IF(T93="","",IF(AQ93="","Não calculável",IF(AQ93&gt;TODAY(),"Data futura",TODAY()-AQ93)))</f>
        <v/>
      </c>
      <c r="V93" s="93" t="str">
        <f>IF(Z93=0,"",SUMIFS('RECEBIMENTOS'!$H$6:$H$1005,'RECEBIMENTOS'!$B$6:$B$1005,A93,'RECEBIMENTOS'!$Z$6:$Z$1005,1))</f>
        <v/>
      </c>
      <c r="W93" s="95" t="str">
        <f>IF(Z93=0,"",COUNTIFS('ITENS_MTR'!$S$6:$S$1005,A93,'ITENS_MTR'!$R$6:$R$1005,1))</f>
        <v/>
      </c>
      <c r="X93" s="94" t="str">
        <f>IF(AC93=1,"POSSÍVEL DUPLICIDADE","")</f>
        <v/>
      </c>
      <c r="Y93" s="94" t="str">
        <f>IF(Z93=0,"",IF(AW93="","Nenhuma",LEFT(AW93,LEN(AW93)-2)))</f>
        <v/>
      </c>
      <c r="Z93" s="96">
        <f>IF(COUNTA(B93:O93)&gt;0,1,0)</f>
        <v>0</v>
      </c>
      <c r="AA93" s="96">
        <f>IF(AND(Z93=1,K93&lt;&gt;""),IF(TRIM(K93)=TRIM(cfg_cancel),1,0),0)</f>
        <v>0</v>
      </c>
      <c r="AB93" s="96" t="str">
        <f>IF(AND(Z93=1,B93&lt;&gt;""),C93&amp;"|"&amp;D93&amp;"|"&amp;G93&amp;"|"&amp;TRIM(B93),"")</f>
        <v/>
      </c>
      <c r="AC93" s="96">
        <f>IF(AB93="",0,IF(SUMPRODUCT(--($AB$6:$AB$505=AB93))&gt;1,1,0))</f>
        <v>0</v>
      </c>
      <c r="AD93" s="96">
        <f>IF(Z93=0,0,IF(OR(AND(G93&lt;&gt;"",ISNA(MATCH(G93,'CAD_UNIDADES'!$C$6:$C$105,0))),AND(H93&lt;&gt;"",ISNA(MATCH(H93,cmp_transp,0))),AND(I93&lt;&gt;"",ISNA(MATCH(I93,cmp_dest,0))),AND(E93&lt;&gt;"",NOT(ISNUMBER(E93))),AND(F93&lt;&gt;"",NOT(ISNUMBER(F93))),AND(ISNUMBER(E93),ISNUMBER(F93),F93&lt;E93)),1,0))</f>
        <v>0</v>
      </c>
      <c r="AE93" s="96">
        <f>IF(Z93=0,0,IF(OR(B93="",C93="",E93="",G93="",H93="",I93="",N(W93)=0),1,0))</f>
        <v>0</v>
      </c>
      <c r="AF93" s="96">
        <f>IF(Z93=0,0,COUNTIFS('ITENS_MTR'!$S$6:$S$1005,A93,'ITENS_MTR'!$AI$6:$AI$1005,1))</f>
        <v>0</v>
      </c>
      <c r="AG93" s="96">
        <f>IF(Z93=0,0,COUNTIFS('ITENS_MTR'!$S$6:$S$1005,A93,'ITENS_MTR'!$AJ$6:$AJ$1005,1))</f>
        <v>0</v>
      </c>
      <c r="AH93" s="96">
        <f>IF(Z93=0,0,COUNTIFS('ITENS_MTR'!$S$6:$S$1005,A93,'ITENS_MTR'!$AM$6:$AM$1005,1))</f>
        <v>0</v>
      </c>
      <c r="AI93" s="96">
        <f>IF(Z93=0,0,COUNTIFS('ITENS_MTR'!$S$6:$S$1005,A93,'ITENS_MTR'!$AO$6:$AO$1005,1))</f>
        <v>0</v>
      </c>
      <c r="AJ93" s="96">
        <f>IF(Z93=0,0,COUNTIFS('ITENS_MTR'!$S$6:$S$1005,A93,'ITENS_MTR'!$AN$6:$AN$1005,1))</f>
        <v>0</v>
      </c>
      <c r="AK93" s="96">
        <f>IF(Z93=0,0,COUNTIFS('RECEBIMENTOS'!$B$6:$B$1005,A93,'RECEBIMENTOS'!$Y$6:$Y$1005,1))</f>
        <v>0</v>
      </c>
      <c r="AL93" s="96">
        <f>IF(Z93=0,0,COUNTIFS('VÍNCULOS_CDF'!$D$6:$D$1005,A93,'VÍNCULOS_CDF'!$Y$6:$Y$1005,1))</f>
        <v>0</v>
      </c>
      <c r="AM93" s="96">
        <f>IF(Z93=0,0,COUNTIFS('RECEBIMENTOS'!$B$6:$B$1005,A93,'RECEBIMENTOS'!$Q$6:$Q$1005,1))</f>
        <v>0</v>
      </c>
      <c r="AN93" s="96">
        <f>IF(AND(Z93=1,N(W93)&gt;0,AG93=N(W93)),1,0)</f>
        <v>0</v>
      </c>
      <c r="AO93" s="96">
        <f>IF(AND(Z93=1,N(W93)&gt;0,AI93=N(W93)),1,0)</f>
        <v>0</v>
      </c>
      <c r="AP93" s="97">
        <f>IF(Z93=0,0,_xlfn.MAXIFS('RECEBIMENTOS'!$E$6:$E$1005,'RECEBIMENTOS'!$B$6:$B$1005,A93))</f>
        <v>0</v>
      </c>
      <c r="AQ93" s="97" t="str">
        <f>IF(T93="","",IF(T93="RECEBIMENTO NÃO CONFIRMADO",IF(ISNUMBER(F93),F93,IF(ISNUMBER(E93),E93,"")),IF(OR(T93="CDF NÃO LOCALIZADO",T93="VÍNCULO INCOMPLETO",T93="CDF A CONFERIR"),IF(AP93&gt;0,AP93,IF(ISNUMBER(E93),E93,"")),IF(ISNUMBER(E93),E93,""))))</f>
        <v/>
      </c>
      <c r="AR93" s="96">
        <f>IF(NOT(ISNUMBER(U93)),0,IF(T93="RECEBIMENTO NÃO CONFIRMADO",IF(AND(ISNUMBER(cfg_rec),U93&gt;cfg_rec),1,0),IF(OR(T93="CDF NÃO LOCALIZADO",T93="VÍNCULO INCOMPLETO",T93="CDF A CONFERIR"),IF(AND(ISNUMBER(cfg_cdf),U93&gt;cfg_cdf),1,0),0)))</f>
        <v>0</v>
      </c>
      <c r="AS93" s="96" t="str">
        <f>IF(T93="","",IF(AR93=1,"Alta",IFERROR(INDEX(cfg_pp,MATCH(T93,cfg_pt,0))&amp;"","Média")))</f>
        <v/>
      </c>
      <c r="AT93" s="96" t="str">
        <f>IF(T93="","",IFERROR(INDEX(cfg_pv,MATCH(T93,cfg_pt,0))&amp;"",""))</f>
        <v/>
      </c>
      <c r="AU93" s="96" t="str">
        <f>IF(T93="","",IF(AS93="Alta",1,IF(AS93="Média",2,3))*1000000000+(999999-IF(ISNUMBER(U93),MIN(U93,999999),0))*1000+88)</f>
        <v/>
      </c>
      <c r="AV93" s="96">
        <f>IF(T93&lt;&gt;"",1,0)</f>
        <v>0</v>
      </c>
      <c r="AW93" s="96" t="str">
        <f>IF(Z93=0,"",IF(AA93=1,"Cancelamento informado; ","")&amp;IF(AE93=1,"Campos essenciais ou itens faltando; ","")&amp;IF(AC93=1,"Possível duplicidade do número; ","")&amp;IF(AD93=1,"Cadastro ou datas a revisar; ","")&amp;IF(AF93&gt;0,"Item de resíduo com dado a revisar; ","")&amp;IF(AH93&gt;0,"Diferença de quantidade a analisar; ","")&amp;IF(AK93&gt;0,"Recebimento com alerta; ","")&amp;IF(AL93&gt;0,"Vínculo de CDF com alerta; ","")&amp;IF(AND(AA93=0,AN93=0),"Recebimento não confirmado; ","")&amp;IF(AND(AA93=0,AN93=1,AO93=0),"CDF pendente ou a conferir; ",""))</f>
        <v/>
      </c>
      <c r="AX93" s="96">
        <f>IF(Z93=0,0,IF(AND(OR(f_ini="",AND(ISNUMBER(E93),E93&gt;=f_ini)),OR(f_fim="",AND(ISNUMBER(E93),E93&lt;=f_fim)),OR(f_un="",f_un="(Todas)",G93=f_un),OR(f_tr="",f_tr="(Todos)",H93=f_tr),OR(f_de="",f_de="(Todos)",I93=f_de),OR(f_sit="",f_sit="(Todas)",S93=f_sit)),1,0))</f>
        <v>0</v>
      </c>
      <c r="AY93" s="96">
        <f>IF(AX93=0,0,IF(OR(f_res="",f_res="(Todos)"),1,IF(COUNTIFS('ITENS_MTR'!$S$6:$S$1005,A93,'ITENS_MTR'!$C$6:$C$1005,f_res)&gt;0,1,0)))</f>
        <v>0</v>
      </c>
      <c r="AZ93" s="97" t="str">
        <f>IF(ISNUMBER(E93),DATE(YEAR(E93),MONTH(E93),1),"")</f>
        <v/>
      </c>
      <c r="BA93" s="96">
        <f>IF(Z93=0,0,IF(AND(OR(r_ini="",AND(ISNUMBER(E93),E93&gt;=r_ini)),OR(r_fim="",AND(ISNUMBER(E93),E93&lt;=r_fim)),OR(r_un="",r_un="(Todas)",G93=r_un),OR(r_de="",r_de="(Todos)",I93=r_de)),1,0))</f>
        <v>0</v>
      </c>
      <c r="BB93" s="96" t="str">
        <f>IF(BA93=1,COUNTIF($BA$6:BA93,1),"")</f>
        <v/>
      </c>
      <c r="BC93" s="96" t="str">
        <f>IF(AND(AU93&lt;&gt;"",OR(r_un="",r_un="(Todas)",G93=r_un),OR(r_de="",r_de="(Todos)",I93=r_de)),AU93,"")</f>
        <v/>
      </c>
      <c r="BD93" s="96" t="str">
        <f>IF(Z93=1,A93&amp;" | nº "&amp;IF(B93="","(sem número)",B93)&amp;" | "&amp;IF(G93="","(sem unidade)",G93),"")</f>
        <v/>
      </c>
      <c r="BE93" s="96" t="str">
        <f>IF(Z93=1,COUNTIF($Z$6:Z93,1),"")</f>
        <v/>
      </c>
      <c r="BF93" s="96" t="str">
        <f>IF(T93="","",IF(T93="RECEBIMENTO NÃO CONFIRMADO","Transp.: "&amp;H93&amp;" | Dest.: "&amp;I93,IF(OR(T93="CDF NÃO LOCALIZADO",T93="VÍNCULO INCOMPLETO",T93="CDF A CONFERIR"),"Dest.: "&amp;I93,"Gerador: "&amp;G93)))</f>
        <v/>
      </c>
    </row>
    <row r="94">
      <c r="A94" s="89" t="inlineStr">
        <is>
          <t>MTR-000089</t>
        </is>
      </c>
      <c r="B94" s="90" t="n"/>
      <c r="C94" s="91" t="n"/>
      <c r="D94" s="91" t="n"/>
      <c r="E94" s="92" t="n"/>
      <c r="F94" s="92" t="n"/>
      <c r="G94" s="91" t="n"/>
      <c r="H94" s="91" t="n"/>
      <c r="I94" s="91" t="n"/>
      <c r="J94" s="91" t="n"/>
      <c r="K94" s="91" t="n"/>
      <c r="L94" s="92" t="n"/>
      <c r="M94" s="91" t="n"/>
      <c r="N94" s="91" t="n"/>
      <c r="O94" s="91" t="n"/>
      <c r="P94" s="93" t="str">
        <f>IF(Z94=0,"",SUMIFS('ITENS_MTR'!$I$6:$I$1005,'ITENS_MTR'!$S$6:$S$1005,A94,'ITENS_MTR'!$Y$6:$Y$1005,1))</f>
        <v/>
      </c>
      <c r="Q94" s="93" t="str">
        <f>IF(Z94=0,"",SUMIFS('RECEBIMENTOS'!$H$6:$H$1005,'RECEBIMENTOS'!$B$6:$B$1005,A94,'RECEBIMENTOS'!$X$6:$X$1005,1))</f>
        <v/>
      </c>
      <c r="R94" s="93" t="str">
        <f>IF(Z94=0,"",SUMIFS('VÍNCULOS_CDF'!$H$6:$H$1005,'VÍNCULOS_CDF'!$D$6:$D$1005,A94,'VÍNCULOS_CDF'!$V$6:$V$1005,1))</f>
        <v/>
      </c>
      <c r="S94" s="94" t="str">
        <f>IF(Z94=0,"",IF(AA94=1,"Cancelado (informado)",IF(AE94=1,"Cadastro incompleto",IF(OR(AC94=1,AD94=1,AF94&gt;0,AH94&gt;0,AK94&gt;0,AL94&gt;0),"Informação a revisar",IF(AN94=0,"Aguardando recebimento",IF(N(R94)=0,"Aguardando CDF",IF(AJ94&lt;N(W94),"Vínculo de CDF parcial",IF(AO94=0,"CDF localizado, a conferir","Documentação conferida"))))))))</f>
        <v/>
      </c>
      <c r="T94" s="94" t="str">
        <f>IF(Z94=0,"",IF(S94="Cadastro incompleto","MTR INCOMPLETO",IF(S94="Informação a revisar",IF(AND(AH94&gt;0,AC94=0,AD94=0,AF94=0,AK94=0,AL94=0),"QUANTIDADE A REVISAR","IDENTIFICAÇÃO A REVISAR"),IF(S94="Aguardando recebimento","RECEBIMENTO NÃO CONFIRMADO",IF(S94="Aguardando CDF","CDF NÃO LOCALIZADO",IF(S94="Vínculo de CDF parcial","VÍNCULO INCOMPLETO",IF(S94="CDF localizado, a conferir","CDF A CONFERIR","")))))))</f>
        <v/>
      </c>
      <c r="U94" s="95" t="str">
        <f>IF(T94="","",IF(AQ94="","Não calculável",IF(AQ94&gt;TODAY(),"Data futura",TODAY()-AQ94)))</f>
        <v/>
      </c>
      <c r="V94" s="93" t="str">
        <f>IF(Z94=0,"",SUMIFS('RECEBIMENTOS'!$H$6:$H$1005,'RECEBIMENTOS'!$B$6:$B$1005,A94,'RECEBIMENTOS'!$Z$6:$Z$1005,1))</f>
        <v/>
      </c>
      <c r="W94" s="95" t="str">
        <f>IF(Z94=0,"",COUNTIFS('ITENS_MTR'!$S$6:$S$1005,A94,'ITENS_MTR'!$R$6:$R$1005,1))</f>
        <v/>
      </c>
      <c r="X94" s="94" t="str">
        <f>IF(AC94=1,"POSSÍVEL DUPLICIDADE","")</f>
        <v/>
      </c>
      <c r="Y94" s="94" t="str">
        <f>IF(Z94=0,"",IF(AW94="","Nenhuma",LEFT(AW94,LEN(AW94)-2)))</f>
        <v/>
      </c>
      <c r="Z94" s="96">
        <f>IF(COUNTA(B94:O94)&gt;0,1,0)</f>
        <v>0</v>
      </c>
      <c r="AA94" s="96">
        <f>IF(AND(Z94=1,K94&lt;&gt;""),IF(TRIM(K94)=TRIM(cfg_cancel),1,0),0)</f>
        <v>0</v>
      </c>
      <c r="AB94" s="96" t="str">
        <f>IF(AND(Z94=1,B94&lt;&gt;""),C94&amp;"|"&amp;D94&amp;"|"&amp;G94&amp;"|"&amp;TRIM(B94),"")</f>
        <v/>
      </c>
      <c r="AC94" s="96">
        <f>IF(AB94="",0,IF(SUMPRODUCT(--($AB$6:$AB$505=AB94))&gt;1,1,0))</f>
        <v>0</v>
      </c>
      <c r="AD94" s="96">
        <f>IF(Z94=0,0,IF(OR(AND(G94&lt;&gt;"",ISNA(MATCH(G94,'CAD_UNIDADES'!$C$6:$C$105,0))),AND(H94&lt;&gt;"",ISNA(MATCH(H94,cmp_transp,0))),AND(I94&lt;&gt;"",ISNA(MATCH(I94,cmp_dest,0))),AND(E94&lt;&gt;"",NOT(ISNUMBER(E94))),AND(F94&lt;&gt;"",NOT(ISNUMBER(F94))),AND(ISNUMBER(E94),ISNUMBER(F94),F94&lt;E94)),1,0))</f>
        <v>0</v>
      </c>
      <c r="AE94" s="96">
        <f>IF(Z94=0,0,IF(OR(B94="",C94="",E94="",G94="",H94="",I94="",N(W94)=0),1,0))</f>
        <v>0</v>
      </c>
      <c r="AF94" s="96">
        <f>IF(Z94=0,0,COUNTIFS('ITENS_MTR'!$S$6:$S$1005,A94,'ITENS_MTR'!$AI$6:$AI$1005,1))</f>
        <v>0</v>
      </c>
      <c r="AG94" s="96">
        <f>IF(Z94=0,0,COUNTIFS('ITENS_MTR'!$S$6:$S$1005,A94,'ITENS_MTR'!$AJ$6:$AJ$1005,1))</f>
        <v>0</v>
      </c>
      <c r="AH94" s="96">
        <f>IF(Z94=0,0,COUNTIFS('ITENS_MTR'!$S$6:$S$1005,A94,'ITENS_MTR'!$AM$6:$AM$1005,1))</f>
        <v>0</v>
      </c>
      <c r="AI94" s="96">
        <f>IF(Z94=0,0,COUNTIFS('ITENS_MTR'!$S$6:$S$1005,A94,'ITENS_MTR'!$AO$6:$AO$1005,1))</f>
        <v>0</v>
      </c>
      <c r="AJ94" s="96">
        <f>IF(Z94=0,0,COUNTIFS('ITENS_MTR'!$S$6:$S$1005,A94,'ITENS_MTR'!$AN$6:$AN$1005,1))</f>
        <v>0</v>
      </c>
      <c r="AK94" s="96">
        <f>IF(Z94=0,0,COUNTIFS('RECEBIMENTOS'!$B$6:$B$1005,A94,'RECEBIMENTOS'!$Y$6:$Y$1005,1))</f>
        <v>0</v>
      </c>
      <c r="AL94" s="96">
        <f>IF(Z94=0,0,COUNTIFS('VÍNCULOS_CDF'!$D$6:$D$1005,A94,'VÍNCULOS_CDF'!$Y$6:$Y$1005,1))</f>
        <v>0</v>
      </c>
      <c r="AM94" s="96">
        <f>IF(Z94=0,0,COUNTIFS('RECEBIMENTOS'!$B$6:$B$1005,A94,'RECEBIMENTOS'!$Q$6:$Q$1005,1))</f>
        <v>0</v>
      </c>
      <c r="AN94" s="96">
        <f>IF(AND(Z94=1,N(W94)&gt;0,AG94=N(W94)),1,0)</f>
        <v>0</v>
      </c>
      <c r="AO94" s="96">
        <f>IF(AND(Z94=1,N(W94)&gt;0,AI94=N(W94)),1,0)</f>
        <v>0</v>
      </c>
      <c r="AP94" s="97">
        <f>IF(Z94=0,0,_xlfn.MAXIFS('RECEBIMENTOS'!$E$6:$E$1005,'RECEBIMENTOS'!$B$6:$B$1005,A94))</f>
        <v>0</v>
      </c>
      <c r="AQ94" s="97" t="str">
        <f>IF(T94="","",IF(T94="RECEBIMENTO NÃO CONFIRMADO",IF(ISNUMBER(F94),F94,IF(ISNUMBER(E94),E94,"")),IF(OR(T94="CDF NÃO LOCALIZADO",T94="VÍNCULO INCOMPLETO",T94="CDF A CONFERIR"),IF(AP94&gt;0,AP94,IF(ISNUMBER(E94),E94,"")),IF(ISNUMBER(E94),E94,""))))</f>
        <v/>
      </c>
      <c r="AR94" s="96">
        <f>IF(NOT(ISNUMBER(U94)),0,IF(T94="RECEBIMENTO NÃO CONFIRMADO",IF(AND(ISNUMBER(cfg_rec),U94&gt;cfg_rec),1,0),IF(OR(T94="CDF NÃO LOCALIZADO",T94="VÍNCULO INCOMPLETO",T94="CDF A CONFERIR"),IF(AND(ISNUMBER(cfg_cdf),U94&gt;cfg_cdf),1,0),0)))</f>
        <v>0</v>
      </c>
      <c r="AS94" s="96" t="str">
        <f>IF(T94="","",IF(AR94=1,"Alta",IFERROR(INDEX(cfg_pp,MATCH(T94,cfg_pt,0))&amp;"","Média")))</f>
        <v/>
      </c>
      <c r="AT94" s="96" t="str">
        <f>IF(T94="","",IFERROR(INDEX(cfg_pv,MATCH(T94,cfg_pt,0))&amp;"",""))</f>
        <v/>
      </c>
      <c r="AU94" s="96" t="str">
        <f>IF(T94="","",IF(AS94="Alta",1,IF(AS94="Média",2,3))*1000000000+(999999-IF(ISNUMBER(U94),MIN(U94,999999),0))*1000+89)</f>
        <v/>
      </c>
      <c r="AV94" s="96">
        <f>IF(T94&lt;&gt;"",1,0)</f>
        <v>0</v>
      </c>
      <c r="AW94" s="96" t="str">
        <f>IF(Z94=0,"",IF(AA94=1,"Cancelamento informado; ","")&amp;IF(AE94=1,"Campos essenciais ou itens faltando; ","")&amp;IF(AC94=1,"Possível duplicidade do número; ","")&amp;IF(AD94=1,"Cadastro ou datas a revisar; ","")&amp;IF(AF94&gt;0,"Item de resíduo com dado a revisar; ","")&amp;IF(AH94&gt;0,"Diferença de quantidade a analisar; ","")&amp;IF(AK94&gt;0,"Recebimento com alerta; ","")&amp;IF(AL94&gt;0,"Vínculo de CDF com alerta; ","")&amp;IF(AND(AA94=0,AN94=0),"Recebimento não confirmado; ","")&amp;IF(AND(AA94=0,AN94=1,AO94=0),"CDF pendente ou a conferir; ",""))</f>
        <v/>
      </c>
      <c r="AX94" s="96">
        <f>IF(Z94=0,0,IF(AND(OR(f_ini="",AND(ISNUMBER(E94),E94&gt;=f_ini)),OR(f_fim="",AND(ISNUMBER(E94),E94&lt;=f_fim)),OR(f_un="",f_un="(Todas)",G94=f_un),OR(f_tr="",f_tr="(Todos)",H94=f_tr),OR(f_de="",f_de="(Todos)",I94=f_de),OR(f_sit="",f_sit="(Todas)",S94=f_sit)),1,0))</f>
        <v>0</v>
      </c>
      <c r="AY94" s="96">
        <f>IF(AX94=0,0,IF(OR(f_res="",f_res="(Todos)"),1,IF(COUNTIFS('ITENS_MTR'!$S$6:$S$1005,A94,'ITENS_MTR'!$C$6:$C$1005,f_res)&gt;0,1,0)))</f>
        <v>0</v>
      </c>
      <c r="AZ94" s="97" t="str">
        <f>IF(ISNUMBER(E94),DATE(YEAR(E94),MONTH(E94),1),"")</f>
        <v/>
      </c>
      <c r="BA94" s="96">
        <f>IF(Z94=0,0,IF(AND(OR(r_ini="",AND(ISNUMBER(E94),E94&gt;=r_ini)),OR(r_fim="",AND(ISNUMBER(E94),E94&lt;=r_fim)),OR(r_un="",r_un="(Todas)",G94=r_un),OR(r_de="",r_de="(Todos)",I94=r_de)),1,0))</f>
        <v>0</v>
      </c>
      <c r="BB94" s="96" t="str">
        <f>IF(BA94=1,COUNTIF($BA$6:BA94,1),"")</f>
        <v/>
      </c>
      <c r="BC94" s="96" t="str">
        <f>IF(AND(AU94&lt;&gt;"",OR(r_un="",r_un="(Todas)",G94=r_un),OR(r_de="",r_de="(Todos)",I94=r_de)),AU94,"")</f>
        <v/>
      </c>
      <c r="BD94" s="96" t="str">
        <f>IF(Z94=1,A94&amp;" | nº "&amp;IF(B94="","(sem número)",B94)&amp;" | "&amp;IF(G94="","(sem unidade)",G94),"")</f>
        <v/>
      </c>
      <c r="BE94" s="96" t="str">
        <f>IF(Z94=1,COUNTIF($Z$6:Z94,1),"")</f>
        <v/>
      </c>
      <c r="BF94" s="96" t="str">
        <f>IF(T94="","",IF(T94="RECEBIMENTO NÃO CONFIRMADO","Transp.: "&amp;H94&amp;" | Dest.: "&amp;I94,IF(OR(T94="CDF NÃO LOCALIZADO",T94="VÍNCULO INCOMPLETO",T94="CDF A CONFERIR"),"Dest.: "&amp;I94,"Gerador: "&amp;G94)))</f>
        <v/>
      </c>
    </row>
    <row r="95">
      <c r="A95" s="89" t="inlineStr">
        <is>
          <t>MTR-000090</t>
        </is>
      </c>
      <c r="B95" s="90" t="n"/>
      <c r="C95" s="91" t="n"/>
      <c r="D95" s="91" t="n"/>
      <c r="E95" s="92" t="n"/>
      <c r="F95" s="92" t="n"/>
      <c r="G95" s="91" t="n"/>
      <c r="H95" s="91" t="n"/>
      <c r="I95" s="91" t="n"/>
      <c r="J95" s="91" t="n"/>
      <c r="K95" s="91" t="n"/>
      <c r="L95" s="92" t="n"/>
      <c r="M95" s="91" t="n"/>
      <c r="N95" s="91" t="n"/>
      <c r="O95" s="91" t="n"/>
      <c r="P95" s="93" t="str">
        <f>IF(Z95=0,"",SUMIFS('ITENS_MTR'!$I$6:$I$1005,'ITENS_MTR'!$S$6:$S$1005,A95,'ITENS_MTR'!$Y$6:$Y$1005,1))</f>
        <v/>
      </c>
      <c r="Q95" s="93" t="str">
        <f>IF(Z95=0,"",SUMIFS('RECEBIMENTOS'!$H$6:$H$1005,'RECEBIMENTOS'!$B$6:$B$1005,A95,'RECEBIMENTOS'!$X$6:$X$1005,1))</f>
        <v/>
      </c>
      <c r="R95" s="93" t="str">
        <f>IF(Z95=0,"",SUMIFS('VÍNCULOS_CDF'!$H$6:$H$1005,'VÍNCULOS_CDF'!$D$6:$D$1005,A95,'VÍNCULOS_CDF'!$V$6:$V$1005,1))</f>
        <v/>
      </c>
      <c r="S95" s="94" t="str">
        <f>IF(Z95=0,"",IF(AA95=1,"Cancelado (informado)",IF(AE95=1,"Cadastro incompleto",IF(OR(AC95=1,AD95=1,AF95&gt;0,AH95&gt;0,AK95&gt;0,AL95&gt;0),"Informação a revisar",IF(AN95=0,"Aguardando recebimento",IF(N(R95)=0,"Aguardando CDF",IF(AJ95&lt;N(W95),"Vínculo de CDF parcial",IF(AO95=0,"CDF localizado, a conferir","Documentação conferida"))))))))</f>
        <v/>
      </c>
      <c r="T95" s="94" t="str">
        <f>IF(Z95=0,"",IF(S95="Cadastro incompleto","MTR INCOMPLETO",IF(S95="Informação a revisar",IF(AND(AH95&gt;0,AC95=0,AD95=0,AF95=0,AK95=0,AL95=0),"QUANTIDADE A REVISAR","IDENTIFICAÇÃO A REVISAR"),IF(S95="Aguardando recebimento","RECEBIMENTO NÃO CONFIRMADO",IF(S95="Aguardando CDF","CDF NÃO LOCALIZADO",IF(S95="Vínculo de CDF parcial","VÍNCULO INCOMPLETO",IF(S95="CDF localizado, a conferir","CDF A CONFERIR","")))))))</f>
        <v/>
      </c>
      <c r="U95" s="95" t="str">
        <f>IF(T95="","",IF(AQ95="","Não calculável",IF(AQ95&gt;TODAY(),"Data futura",TODAY()-AQ95)))</f>
        <v/>
      </c>
      <c r="V95" s="93" t="str">
        <f>IF(Z95=0,"",SUMIFS('RECEBIMENTOS'!$H$6:$H$1005,'RECEBIMENTOS'!$B$6:$B$1005,A95,'RECEBIMENTOS'!$Z$6:$Z$1005,1))</f>
        <v/>
      </c>
      <c r="W95" s="95" t="str">
        <f>IF(Z95=0,"",COUNTIFS('ITENS_MTR'!$S$6:$S$1005,A95,'ITENS_MTR'!$R$6:$R$1005,1))</f>
        <v/>
      </c>
      <c r="X95" s="94" t="str">
        <f>IF(AC95=1,"POSSÍVEL DUPLICIDADE","")</f>
        <v/>
      </c>
      <c r="Y95" s="94" t="str">
        <f>IF(Z95=0,"",IF(AW95="","Nenhuma",LEFT(AW95,LEN(AW95)-2)))</f>
        <v/>
      </c>
      <c r="Z95" s="96">
        <f>IF(COUNTA(B95:O95)&gt;0,1,0)</f>
        <v>0</v>
      </c>
      <c r="AA95" s="96">
        <f>IF(AND(Z95=1,K95&lt;&gt;""),IF(TRIM(K95)=TRIM(cfg_cancel),1,0),0)</f>
        <v>0</v>
      </c>
      <c r="AB95" s="96" t="str">
        <f>IF(AND(Z95=1,B95&lt;&gt;""),C95&amp;"|"&amp;D95&amp;"|"&amp;G95&amp;"|"&amp;TRIM(B95),"")</f>
        <v/>
      </c>
      <c r="AC95" s="96">
        <f>IF(AB95="",0,IF(SUMPRODUCT(--($AB$6:$AB$505=AB95))&gt;1,1,0))</f>
        <v>0</v>
      </c>
      <c r="AD95" s="96">
        <f>IF(Z95=0,0,IF(OR(AND(G95&lt;&gt;"",ISNA(MATCH(G95,'CAD_UNIDADES'!$C$6:$C$105,0))),AND(H95&lt;&gt;"",ISNA(MATCH(H95,cmp_transp,0))),AND(I95&lt;&gt;"",ISNA(MATCH(I95,cmp_dest,0))),AND(E95&lt;&gt;"",NOT(ISNUMBER(E95))),AND(F95&lt;&gt;"",NOT(ISNUMBER(F95))),AND(ISNUMBER(E95),ISNUMBER(F95),F95&lt;E95)),1,0))</f>
        <v>0</v>
      </c>
      <c r="AE95" s="96">
        <f>IF(Z95=0,0,IF(OR(B95="",C95="",E95="",G95="",H95="",I95="",N(W95)=0),1,0))</f>
        <v>0</v>
      </c>
      <c r="AF95" s="96">
        <f>IF(Z95=0,0,COUNTIFS('ITENS_MTR'!$S$6:$S$1005,A95,'ITENS_MTR'!$AI$6:$AI$1005,1))</f>
        <v>0</v>
      </c>
      <c r="AG95" s="96">
        <f>IF(Z95=0,0,COUNTIFS('ITENS_MTR'!$S$6:$S$1005,A95,'ITENS_MTR'!$AJ$6:$AJ$1005,1))</f>
        <v>0</v>
      </c>
      <c r="AH95" s="96">
        <f>IF(Z95=0,0,COUNTIFS('ITENS_MTR'!$S$6:$S$1005,A95,'ITENS_MTR'!$AM$6:$AM$1005,1))</f>
        <v>0</v>
      </c>
      <c r="AI95" s="96">
        <f>IF(Z95=0,0,COUNTIFS('ITENS_MTR'!$S$6:$S$1005,A95,'ITENS_MTR'!$AO$6:$AO$1005,1))</f>
        <v>0</v>
      </c>
      <c r="AJ95" s="96">
        <f>IF(Z95=0,0,COUNTIFS('ITENS_MTR'!$S$6:$S$1005,A95,'ITENS_MTR'!$AN$6:$AN$1005,1))</f>
        <v>0</v>
      </c>
      <c r="AK95" s="96">
        <f>IF(Z95=0,0,COUNTIFS('RECEBIMENTOS'!$B$6:$B$1005,A95,'RECEBIMENTOS'!$Y$6:$Y$1005,1))</f>
        <v>0</v>
      </c>
      <c r="AL95" s="96">
        <f>IF(Z95=0,0,COUNTIFS('VÍNCULOS_CDF'!$D$6:$D$1005,A95,'VÍNCULOS_CDF'!$Y$6:$Y$1005,1))</f>
        <v>0</v>
      </c>
      <c r="AM95" s="96">
        <f>IF(Z95=0,0,COUNTIFS('RECEBIMENTOS'!$B$6:$B$1005,A95,'RECEBIMENTOS'!$Q$6:$Q$1005,1))</f>
        <v>0</v>
      </c>
      <c r="AN95" s="96">
        <f>IF(AND(Z95=1,N(W95)&gt;0,AG95=N(W95)),1,0)</f>
        <v>0</v>
      </c>
      <c r="AO95" s="96">
        <f>IF(AND(Z95=1,N(W95)&gt;0,AI95=N(W95)),1,0)</f>
        <v>0</v>
      </c>
      <c r="AP95" s="97">
        <f>IF(Z95=0,0,_xlfn.MAXIFS('RECEBIMENTOS'!$E$6:$E$1005,'RECEBIMENTOS'!$B$6:$B$1005,A95))</f>
        <v>0</v>
      </c>
      <c r="AQ95" s="97" t="str">
        <f>IF(T95="","",IF(T95="RECEBIMENTO NÃO CONFIRMADO",IF(ISNUMBER(F95),F95,IF(ISNUMBER(E95),E95,"")),IF(OR(T95="CDF NÃO LOCALIZADO",T95="VÍNCULO INCOMPLETO",T95="CDF A CONFERIR"),IF(AP95&gt;0,AP95,IF(ISNUMBER(E95),E95,"")),IF(ISNUMBER(E95),E95,""))))</f>
        <v/>
      </c>
      <c r="AR95" s="96">
        <f>IF(NOT(ISNUMBER(U95)),0,IF(T95="RECEBIMENTO NÃO CONFIRMADO",IF(AND(ISNUMBER(cfg_rec),U95&gt;cfg_rec),1,0),IF(OR(T95="CDF NÃO LOCALIZADO",T95="VÍNCULO INCOMPLETO",T95="CDF A CONFERIR"),IF(AND(ISNUMBER(cfg_cdf),U95&gt;cfg_cdf),1,0),0)))</f>
        <v>0</v>
      </c>
      <c r="AS95" s="96" t="str">
        <f>IF(T95="","",IF(AR95=1,"Alta",IFERROR(INDEX(cfg_pp,MATCH(T95,cfg_pt,0))&amp;"","Média")))</f>
        <v/>
      </c>
      <c r="AT95" s="96" t="str">
        <f>IF(T95="","",IFERROR(INDEX(cfg_pv,MATCH(T95,cfg_pt,0))&amp;"",""))</f>
        <v/>
      </c>
      <c r="AU95" s="96" t="str">
        <f>IF(T95="","",IF(AS95="Alta",1,IF(AS95="Média",2,3))*1000000000+(999999-IF(ISNUMBER(U95),MIN(U95,999999),0))*1000+90)</f>
        <v/>
      </c>
      <c r="AV95" s="96">
        <f>IF(T95&lt;&gt;"",1,0)</f>
        <v>0</v>
      </c>
      <c r="AW95" s="96" t="str">
        <f>IF(Z95=0,"",IF(AA95=1,"Cancelamento informado; ","")&amp;IF(AE95=1,"Campos essenciais ou itens faltando; ","")&amp;IF(AC95=1,"Possível duplicidade do número; ","")&amp;IF(AD95=1,"Cadastro ou datas a revisar; ","")&amp;IF(AF95&gt;0,"Item de resíduo com dado a revisar; ","")&amp;IF(AH95&gt;0,"Diferença de quantidade a analisar; ","")&amp;IF(AK95&gt;0,"Recebimento com alerta; ","")&amp;IF(AL95&gt;0,"Vínculo de CDF com alerta; ","")&amp;IF(AND(AA95=0,AN95=0),"Recebimento não confirmado; ","")&amp;IF(AND(AA95=0,AN95=1,AO95=0),"CDF pendente ou a conferir; ",""))</f>
        <v/>
      </c>
      <c r="AX95" s="96">
        <f>IF(Z95=0,0,IF(AND(OR(f_ini="",AND(ISNUMBER(E95),E95&gt;=f_ini)),OR(f_fim="",AND(ISNUMBER(E95),E95&lt;=f_fim)),OR(f_un="",f_un="(Todas)",G95=f_un),OR(f_tr="",f_tr="(Todos)",H95=f_tr),OR(f_de="",f_de="(Todos)",I95=f_de),OR(f_sit="",f_sit="(Todas)",S95=f_sit)),1,0))</f>
        <v>0</v>
      </c>
      <c r="AY95" s="96">
        <f>IF(AX95=0,0,IF(OR(f_res="",f_res="(Todos)"),1,IF(COUNTIFS('ITENS_MTR'!$S$6:$S$1005,A95,'ITENS_MTR'!$C$6:$C$1005,f_res)&gt;0,1,0)))</f>
        <v>0</v>
      </c>
      <c r="AZ95" s="97" t="str">
        <f>IF(ISNUMBER(E95),DATE(YEAR(E95),MONTH(E95),1),"")</f>
        <v/>
      </c>
      <c r="BA95" s="96">
        <f>IF(Z95=0,0,IF(AND(OR(r_ini="",AND(ISNUMBER(E95),E95&gt;=r_ini)),OR(r_fim="",AND(ISNUMBER(E95),E95&lt;=r_fim)),OR(r_un="",r_un="(Todas)",G95=r_un),OR(r_de="",r_de="(Todos)",I95=r_de)),1,0))</f>
        <v>0</v>
      </c>
      <c r="BB95" s="96" t="str">
        <f>IF(BA95=1,COUNTIF($BA$6:BA95,1),"")</f>
        <v/>
      </c>
      <c r="BC95" s="96" t="str">
        <f>IF(AND(AU95&lt;&gt;"",OR(r_un="",r_un="(Todas)",G95=r_un),OR(r_de="",r_de="(Todos)",I95=r_de)),AU95,"")</f>
        <v/>
      </c>
      <c r="BD95" s="96" t="str">
        <f>IF(Z95=1,A95&amp;" | nº "&amp;IF(B95="","(sem número)",B95)&amp;" | "&amp;IF(G95="","(sem unidade)",G95),"")</f>
        <v/>
      </c>
      <c r="BE95" s="96" t="str">
        <f>IF(Z95=1,COUNTIF($Z$6:Z95,1),"")</f>
        <v/>
      </c>
      <c r="BF95" s="96" t="str">
        <f>IF(T95="","",IF(T95="RECEBIMENTO NÃO CONFIRMADO","Transp.: "&amp;H95&amp;" | Dest.: "&amp;I95,IF(OR(T95="CDF NÃO LOCALIZADO",T95="VÍNCULO INCOMPLETO",T95="CDF A CONFERIR"),"Dest.: "&amp;I95,"Gerador: "&amp;G95)))</f>
        <v/>
      </c>
    </row>
    <row r="96">
      <c r="A96" s="89" t="inlineStr">
        <is>
          <t>MTR-000091</t>
        </is>
      </c>
      <c r="B96" s="90" t="n"/>
      <c r="C96" s="91" t="n"/>
      <c r="D96" s="91" t="n"/>
      <c r="E96" s="92" t="n"/>
      <c r="F96" s="92" t="n"/>
      <c r="G96" s="91" t="n"/>
      <c r="H96" s="91" t="n"/>
      <c r="I96" s="91" t="n"/>
      <c r="J96" s="91" t="n"/>
      <c r="K96" s="91" t="n"/>
      <c r="L96" s="92" t="n"/>
      <c r="M96" s="91" t="n"/>
      <c r="N96" s="91" t="n"/>
      <c r="O96" s="91" t="n"/>
      <c r="P96" s="93" t="str">
        <f>IF(Z96=0,"",SUMIFS('ITENS_MTR'!$I$6:$I$1005,'ITENS_MTR'!$S$6:$S$1005,A96,'ITENS_MTR'!$Y$6:$Y$1005,1))</f>
        <v/>
      </c>
      <c r="Q96" s="93" t="str">
        <f>IF(Z96=0,"",SUMIFS('RECEBIMENTOS'!$H$6:$H$1005,'RECEBIMENTOS'!$B$6:$B$1005,A96,'RECEBIMENTOS'!$X$6:$X$1005,1))</f>
        <v/>
      </c>
      <c r="R96" s="93" t="str">
        <f>IF(Z96=0,"",SUMIFS('VÍNCULOS_CDF'!$H$6:$H$1005,'VÍNCULOS_CDF'!$D$6:$D$1005,A96,'VÍNCULOS_CDF'!$V$6:$V$1005,1))</f>
        <v/>
      </c>
      <c r="S96" s="94" t="str">
        <f>IF(Z96=0,"",IF(AA96=1,"Cancelado (informado)",IF(AE96=1,"Cadastro incompleto",IF(OR(AC96=1,AD96=1,AF96&gt;0,AH96&gt;0,AK96&gt;0,AL96&gt;0),"Informação a revisar",IF(AN96=0,"Aguardando recebimento",IF(N(R96)=0,"Aguardando CDF",IF(AJ96&lt;N(W96),"Vínculo de CDF parcial",IF(AO96=0,"CDF localizado, a conferir","Documentação conferida"))))))))</f>
        <v/>
      </c>
      <c r="T96" s="94" t="str">
        <f>IF(Z96=0,"",IF(S96="Cadastro incompleto","MTR INCOMPLETO",IF(S96="Informação a revisar",IF(AND(AH96&gt;0,AC96=0,AD96=0,AF96=0,AK96=0,AL96=0),"QUANTIDADE A REVISAR","IDENTIFICAÇÃO A REVISAR"),IF(S96="Aguardando recebimento","RECEBIMENTO NÃO CONFIRMADO",IF(S96="Aguardando CDF","CDF NÃO LOCALIZADO",IF(S96="Vínculo de CDF parcial","VÍNCULO INCOMPLETO",IF(S96="CDF localizado, a conferir","CDF A CONFERIR","")))))))</f>
        <v/>
      </c>
      <c r="U96" s="95" t="str">
        <f>IF(T96="","",IF(AQ96="","Não calculável",IF(AQ96&gt;TODAY(),"Data futura",TODAY()-AQ96)))</f>
        <v/>
      </c>
      <c r="V96" s="93" t="str">
        <f>IF(Z96=0,"",SUMIFS('RECEBIMENTOS'!$H$6:$H$1005,'RECEBIMENTOS'!$B$6:$B$1005,A96,'RECEBIMENTOS'!$Z$6:$Z$1005,1))</f>
        <v/>
      </c>
      <c r="W96" s="95" t="str">
        <f>IF(Z96=0,"",COUNTIFS('ITENS_MTR'!$S$6:$S$1005,A96,'ITENS_MTR'!$R$6:$R$1005,1))</f>
        <v/>
      </c>
      <c r="X96" s="94" t="str">
        <f>IF(AC96=1,"POSSÍVEL DUPLICIDADE","")</f>
        <v/>
      </c>
      <c r="Y96" s="94" t="str">
        <f>IF(Z96=0,"",IF(AW96="","Nenhuma",LEFT(AW96,LEN(AW96)-2)))</f>
        <v/>
      </c>
      <c r="Z96" s="96">
        <f>IF(COUNTA(B96:O96)&gt;0,1,0)</f>
        <v>0</v>
      </c>
      <c r="AA96" s="96">
        <f>IF(AND(Z96=1,K96&lt;&gt;""),IF(TRIM(K96)=TRIM(cfg_cancel),1,0),0)</f>
        <v>0</v>
      </c>
      <c r="AB96" s="96" t="str">
        <f>IF(AND(Z96=1,B96&lt;&gt;""),C96&amp;"|"&amp;D96&amp;"|"&amp;G96&amp;"|"&amp;TRIM(B96),"")</f>
        <v/>
      </c>
      <c r="AC96" s="96">
        <f>IF(AB96="",0,IF(SUMPRODUCT(--($AB$6:$AB$505=AB96))&gt;1,1,0))</f>
        <v>0</v>
      </c>
      <c r="AD96" s="96">
        <f>IF(Z96=0,0,IF(OR(AND(G96&lt;&gt;"",ISNA(MATCH(G96,'CAD_UNIDADES'!$C$6:$C$105,0))),AND(H96&lt;&gt;"",ISNA(MATCH(H96,cmp_transp,0))),AND(I96&lt;&gt;"",ISNA(MATCH(I96,cmp_dest,0))),AND(E96&lt;&gt;"",NOT(ISNUMBER(E96))),AND(F96&lt;&gt;"",NOT(ISNUMBER(F96))),AND(ISNUMBER(E96),ISNUMBER(F96),F96&lt;E96)),1,0))</f>
        <v>0</v>
      </c>
      <c r="AE96" s="96">
        <f>IF(Z96=0,0,IF(OR(B96="",C96="",E96="",G96="",H96="",I96="",N(W96)=0),1,0))</f>
        <v>0</v>
      </c>
      <c r="AF96" s="96">
        <f>IF(Z96=0,0,COUNTIFS('ITENS_MTR'!$S$6:$S$1005,A96,'ITENS_MTR'!$AI$6:$AI$1005,1))</f>
        <v>0</v>
      </c>
      <c r="AG96" s="96">
        <f>IF(Z96=0,0,COUNTIFS('ITENS_MTR'!$S$6:$S$1005,A96,'ITENS_MTR'!$AJ$6:$AJ$1005,1))</f>
        <v>0</v>
      </c>
      <c r="AH96" s="96">
        <f>IF(Z96=0,0,COUNTIFS('ITENS_MTR'!$S$6:$S$1005,A96,'ITENS_MTR'!$AM$6:$AM$1005,1))</f>
        <v>0</v>
      </c>
      <c r="AI96" s="96">
        <f>IF(Z96=0,0,COUNTIFS('ITENS_MTR'!$S$6:$S$1005,A96,'ITENS_MTR'!$AO$6:$AO$1005,1))</f>
        <v>0</v>
      </c>
      <c r="AJ96" s="96">
        <f>IF(Z96=0,0,COUNTIFS('ITENS_MTR'!$S$6:$S$1005,A96,'ITENS_MTR'!$AN$6:$AN$1005,1))</f>
        <v>0</v>
      </c>
      <c r="AK96" s="96">
        <f>IF(Z96=0,0,COUNTIFS('RECEBIMENTOS'!$B$6:$B$1005,A96,'RECEBIMENTOS'!$Y$6:$Y$1005,1))</f>
        <v>0</v>
      </c>
      <c r="AL96" s="96">
        <f>IF(Z96=0,0,COUNTIFS('VÍNCULOS_CDF'!$D$6:$D$1005,A96,'VÍNCULOS_CDF'!$Y$6:$Y$1005,1))</f>
        <v>0</v>
      </c>
      <c r="AM96" s="96">
        <f>IF(Z96=0,0,COUNTIFS('RECEBIMENTOS'!$B$6:$B$1005,A96,'RECEBIMENTOS'!$Q$6:$Q$1005,1))</f>
        <v>0</v>
      </c>
      <c r="AN96" s="96">
        <f>IF(AND(Z96=1,N(W96)&gt;0,AG96=N(W96)),1,0)</f>
        <v>0</v>
      </c>
      <c r="AO96" s="96">
        <f>IF(AND(Z96=1,N(W96)&gt;0,AI96=N(W96)),1,0)</f>
        <v>0</v>
      </c>
      <c r="AP96" s="97">
        <f>IF(Z96=0,0,_xlfn.MAXIFS('RECEBIMENTOS'!$E$6:$E$1005,'RECEBIMENTOS'!$B$6:$B$1005,A96))</f>
        <v>0</v>
      </c>
      <c r="AQ96" s="97" t="str">
        <f>IF(T96="","",IF(T96="RECEBIMENTO NÃO CONFIRMADO",IF(ISNUMBER(F96),F96,IF(ISNUMBER(E96),E96,"")),IF(OR(T96="CDF NÃO LOCALIZADO",T96="VÍNCULO INCOMPLETO",T96="CDF A CONFERIR"),IF(AP96&gt;0,AP96,IF(ISNUMBER(E96),E96,"")),IF(ISNUMBER(E96),E96,""))))</f>
        <v/>
      </c>
      <c r="AR96" s="96">
        <f>IF(NOT(ISNUMBER(U96)),0,IF(T96="RECEBIMENTO NÃO CONFIRMADO",IF(AND(ISNUMBER(cfg_rec),U96&gt;cfg_rec),1,0),IF(OR(T96="CDF NÃO LOCALIZADO",T96="VÍNCULO INCOMPLETO",T96="CDF A CONFERIR"),IF(AND(ISNUMBER(cfg_cdf),U96&gt;cfg_cdf),1,0),0)))</f>
        <v>0</v>
      </c>
      <c r="AS96" s="96" t="str">
        <f>IF(T96="","",IF(AR96=1,"Alta",IFERROR(INDEX(cfg_pp,MATCH(T96,cfg_pt,0))&amp;"","Média")))</f>
        <v/>
      </c>
      <c r="AT96" s="96" t="str">
        <f>IF(T96="","",IFERROR(INDEX(cfg_pv,MATCH(T96,cfg_pt,0))&amp;"",""))</f>
        <v/>
      </c>
      <c r="AU96" s="96" t="str">
        <f>IF(T96="","",IF(AS96="Alta",1,IF(AS96="Média",2,3))*1000000000+(999999-IF(ISNUMBER(U96),MIN(U96,999999),0))*1000+91)</f>
        <v/>
      </c>
      <c r="AV96" s="96">
        <f>IF(T96&lt;&gt;"",1,0)</f>
        <v>0</v>
      </c>
      <c r="AW96" s="96" t="str">
        <f>IF(Z96=0,"",IF(AA96=1,"Cancelamento informado; ","")&amp;IF(AE96=1,"Campos essenciais ou itens faltando; ","")&amp;IF(AC96=1,"Possível duplicidade do número; ","")&amp;IF(AD96=1,"Cadastro ou datas a revisar; ","")&amp;IF(AF96&gt;0,"Item de resíduo com dado a revisar; ","")&amp;IF(AH96&gt;0,"Diferença de quantidade a analisar; ","")&amp;IF(AK96&gt;0,"Recebimento com alerta; ","")&amp;IF(AL96&gt;0,"Vínculo de CDF com alerta; ","")&amp;IF(AND(AA96=0,AN96=0),"Recebimento não confirmado; ","")&amp;IF(AND(AA96=0,AN96=1,AO96=0),"CDF pendente ou a conferir; ",""))</f>
        <v/>
      </c>
      <c r="AX96" s="96">
        <f>IF(Z96=0,0,IF(AND(OR(f_ini="",AND(ISNUMBER(E96),E96&gt;=f_ini)),OR(f_fim="",AND(ISNUMBER(E96),E96&lt;=f_fim)),OR(f_un="",f_un="(Todas)",G96=f_un),OR(f_tr="",f_tr="(Todos)",H96=f_tr),OR(f_de="",f_de="(Todos)",I96=f_de),OR(f_sit="",f_sit="(Todas)",S96=f_sit)),1,0))</f>
        <v>0</v>
      </c>
      <c r="AY96" s="96">
        <f>IF(AX96=0,0,IF(OR(f_res="",f_res="(Todos)"),1,IF(COUNTIFS('ITENS_MTR'!$S$6:$S$1005,A96,'ITENS_MTR'!$C$6:$C$1005,f_res)&gt;0,1,0)))</f>
        <v>0</v>
      </c>
      <c r="AZ96" s="97" t="str">
        <f>IF(ISNUMBER(E96),DATE(YEAR(E96),MONTH(E96),1),"")</f>
        <v/>
      </c>
      <c r="BA96" s="96">
        <f>IF(Z96=0,0,IF(AND(OR(r_ini="",AND(ISNUMBER(E96),E96&gt;=r_ini)),OR(r_fim="",AND(ISNUMBER(E96),E96&lt;=r_fim)),OR(r_un="",r_un="(Todas)",G96=r_un),OR(r_de="",r_de="(Todos)",I96=r_de)),1,0))</f>
        <v>0</v>
      </c>
      <c r="BB96" s="96" t="str">
        <f>IF(BA96=1,COUNTIF($BA$6:BA96,1),"")</f>
        <v/>
      </c>
      <c r="BC96" s="96" t="str">
        <f>IF(AND(AU96&lt;&gt;"",OR(r_un="",r_un="(Todas)",G96=r_un),OR(r_de="",r_de="(Todos)",I96=r_de)),AU96,"")</f>
        <v/>
      </c>
      <c r="BD96" s="96" t="str">
        <f>IF(Z96=1,A96&amp;" | nº "&amp;IF(B96="","(sem número)",B96)&amp;" | "&amp;IF(G96="","(sem unidade)",G96),"")</f>
        <v/>
      </c>
      <c r="BE96" s="96" t="str">
        <f>IF(Z96=1,COUNTIF($Z$6:Z96,1),"")</f>
        <v/>
      </c>
      <c r="BF96" s="96" t="str">
        <f>IF(T96="","",IF(T96="RECEBIMENTO NÃO CONFIRMADO","Transp.: "&amp;H96&amp;" | Dest.: "&amp;I96,IF(OR(T96="CDF NÃO LOCALIZADO",T96="VÍNCULO INCOMPLETO",T96="CDF A CONFERIR"),"Dest.: "&amp;I96,"Gerador: "&amp;G96)))</f>
        <v/>
      </c>
    </row>
    <row r="97">
      <c r="A97" s="89" t="inlineStr">
        <is>
          <t>MTR-000092</t>
        </is>
      </c>
      <c r="B97" s="90" t="n"/>
      <c r="C97" s="91" t="n"/>
      <c r="D97" s="91" t="n"/>
      <c r="E97" s="92" t="n"/>
      <c r="F97" s="92" t="n"/>
      <c r="G97" s="91" t="n"/>
      <c r="H97" s="91" t="n"/>
      <c r="I97" s="91" t="n"/>
      <c r="J97" s="91" t="n"/>
      <c r="K97" s="91" t="n"/>
      <c r="L97" s="92" t="n"/>
      <c r="M97" s="91" t="n"/>
      <c r="N97" s="91" t="n"/>
      <c r="O97" s="91" t="n"/>
      <c r="P97" s="93" t="str">
        <f>IF(Z97=0,"",SUMIFS('ITENS_MTR'!$I$6:$I$1005,'ITENS_MTR'!$S$6:$S$1005,A97,'ITENS_MTR'!$Y$6:$Y$1005,1))</f>
        <v/>
      </c>
      <c r="Q97" s="93" t="str">
        <f>IF(Z97=0,"",SUMIFS('RECEBIMENTOS'!$H$6:$H$1005,'RECEBIMENTOS'!$B$6:$B$1005,A97,'RECEBIMENTOS'!$X$6:$X$1005,1))</f>
        <v/>
      </c>
      <c r="R97" s="93" t="str">
        <f>IF(Z97=0,"",SUMIFS('VÍNCULOS_CDF'!$H$6:$H$1005,'VÍNCULOS_CDF'!$D$6:$D$1005,A97,'VÍNCULOS_CDF'!$V$6:$V$1005,1))</f>
        <v/>
      </c>
      <c r="S97" s="94" t="str">
        <f>IF(Z97=0,"",IF(AA97=1,"Cancelado (informado)",IF(AE97=1,"Cadastro incompleto",IF(OR(AC97=1,AD97=1,AF97&gt;0,AH97&gt;0,AK97&gt;0,AL97&gt;0),"Informação a revisar",IF(AN97=0,"Aguardando recebimento",IF(N(R97)=0,"Aguardando CDF",IF(AJ97&lt;N(W97),"Vínculo de CDF parcial",IF(AO97=0,"CDF localizado, a conferir","Documentação conferida"))))))))</f>
        <v/>
      </c>
      <c r="T97" s="94" t="str">
        <f>IF(Z97=0,"",IF(S97="Cadastro incompleto","MTR INCOMPLETO",IF(S97="Informação a revisar",IF(AND(AH97&gt;0,AC97=0,AD97=0,AF97=0,AK97=0,AL97=0),"QUANTIDADE A REVISAR","IDENTIFICAÇÃO A REVISAR"),IF(S97="Aguardando recebimento","RECEBIMENTO NÃO CONFIRMADO",IF(S97="Aguardando CDF","CDF NÃO LOCALIZADO",IF(S97="Vínculo de CDF parcial","VÍNCULO INCOMPLETO",IF(S97="CDF localizado, a conferir","CDF A CONFERIR","")))))))</f>
        <v/>
      </c>
      <c r="U97" s="95" t="str">
        <f>IF(T97="","",IF(AQ97="","Não calculável",IF(AQ97&gt;TODAY(),"Data futura",TODAY()-AQ97)))</f>
        <v/>
      </c>
      <c r="V97" s="93" t="str">
        <f>IF(Z97=0,"",SUMIFS('RECEBIMENTOS'!$H$6:$H$1005,'RECEBIMENTOS'!$B$6:$B$1005,A97,'RECEBIMENTOS'!$Z$6:$Z$1005,1))</f>
        <v/>
      </c>
      <c r="W97" s="95" t="str">
        <f>IF(Z97=0,"",COUNTIFS('ITENS_MTR'!$S$6:$S$1005,A97,'ITENS_MTR'!$R$6:$R$1005,1))</f>
        <v/>
      </c>
      <c r="X97" s="94" t="str">
        <f>IF(AC97=1,"POSSÍVEL DUPLICIDADE","")</f>
        <v/>
      </c>
      <c r="Y97" s="94" t="str">
        <f>IF(Z97=0,"",IF(AW97="","Nenhuma",LEFT(AW97,LEN(AW97)-2)))</f>
        <v/>
      </c>
      <c r="Z97" s="96">
        <f>IF(COUNTA(B97:O97)&gt;0,1,0)</f>
        <v>0</v>
      </c>
      <c r="AA97" s="96">
        <f>IF(AND(Z97=1,K97&lt;&gt;""),IF(TRIM(K97)=TRIM(cfg_cancel),1,0),0)</f>
        <v>0</v>
      </c>
      <c r="AB97" s="96" t="str">
        <f>IF(AND(Z97=1,B97&lt;&gt;""),C97&amp;"|"&amp;D97&amp;"|"&amp;G97&amp;"|"&amp;TRIM(B97),"")</f>
        <v/>
      </c>
      <c r="AC97" s="96">
        <f>IF(AB97="",0,IF(SUMPRODUCT(--($AB$6:$AB$505=AB97))&gt;1,1,0))</f>
        <v>0</v>
      </c>
      <c r="AD97" s="96">
        <f>IF(Z97=0,0,IF(OR(AND(G97&lt;&gt;"",ISNA(MATCH(G97,'CAD_UNIDADES'!$C$6:$C$105,0))),AND(H97&lt;&gt;"",ISNA(MATCH(H97,cmp_transp,0))),AND(I97&lt;&gt;"",ISNA(MATCH(I97,cmp_dest,0))),AND(E97&lt;&gt;"",NOT(ISNUMBER(E97))),AND(F97&lt;&gt;"",NOT(ISNUMBER(F97))),AND(ISNUMBER(E97),ISNUMBER(F97),F97&lt;E97)),1,0))</f>
        <v>0</v>
      </c>
      <c r="AE97" s="96">
        <f>IF(Z97=0,0,IF(OR(B97="",C97="",E97="",G97="",H97="",I97="",N(W97)=0),1,0))</f>
        <v>0</v>
      </c>
      <c r="AF97" s="96">
        <f>IF(Z97=0,0,COUNTIFS('ITENS_MTR'!$S$6:$S$1005,A97,'ITENS_MTR'!$AI$6:$AI$1005,1))</f>
        <v>0</v>
      </c>
      <c r="AG97" s="96">
        <f>IF(Z97=0,0,COUNTIFS('ITENS_MTR'!$S$6:$S$1005,A97,'ITENS_MTR'!$AJ$6:$AJ$1005,1))</f>
        <v>0</v>
      </c>
      <c r="AH97" s="96">
        <f>IF(Z97=0,0,COUNTIFS('ITENS_MTR'!$S$6:$S$1005,A97,'ITENS_MTR'!$AM$6:$AM$1005,1))</f>
        <v>0</v>
      </c>
      <c r="AI97" s="96">
        <f>IF(Z97=0,0,COUNTIFS('ITENS_MTR'!$S$6:$S$1005,A97,'ITENS_MTR'!$AO$6:$AO$1005,1))</f>
        <v>0</v>
      </c>
      <c r="AJ97" s="96">
        <f>IF(Z97=0,0,COUNTIFS('ITENS_MTR'!$S$6:$S$1005,A97,'ITENS_MTR'!$AN$6:$AN$1005,1))</f>
        <v>0</v>
      </c>
      <c r="AK97" s="96">
        <f>IF(Z97=0,0,COUNTIFS('RECEBIMENTOS'!$B$6:$B$1005,A97,'RECEBIMENTOS'!$Y$6:$Y$1005,1))</f>
        <v>0</v>
      </c>
      <c r="AL97" s="96">
        <f>IF(Z97=0,0,COUNTIFS('VÍNCULOS_CDF'!$D$6:$D$1005,A97,'VÍNCULOS_CDF'!$Y$6:$Y$1005,1))</f>
        <v>0</v>
      </c>
      <c r="AM97" s="96">
        <f>IF(Z97=0,0,COUNTIFS('RECEBIMENTOS'!$B$6:$B$1005,A97,'RECEBIMENTOS'!$Q$6:$Q$1005,1))</f>
        <v>0</v>
      </c>
      <c r="AN97" s="96">
        <f>IF(AND(Z97=1,N(W97)&gt;0,AG97=N(W97)),1,0)</f>
        <v>0</v>
      </c>
      <c r="AO97" s="96">
        <f>IF(AND(Z97=1,N(W97)&gt;0,AI97=N(W97)),1,0)</f>
        <v>0</v>
      </c>
      <c r="AP97" s="97">
        <f>IF(Z97=0,0,_xlfn.MAXIFS('RECEBIMENTOS'!$E$6:$E$1005,'RECEBIMENTOS'!$B$6:$B$1005,A97))</f>
        <v>0</v>
      </c>
      <c r="AQ97" s="97" t="str">
        <f>IF(T97="","",IF(T97="RECEBIMENTO NÃO CONFIRMADO",IF(ISNUMBER(F97),F97,IF(ISNUMBER(E97),E97,"")),IF(OR(T97="CDF NÃO LOCALIZADO",T97="VÍNCULO INCOMPLETO",T97="CDF A CONFERIR"),IF(AP97&gt;0,AP97,IF(ISNUMBER(E97),E97,"")),IF(ISNUMBER(E97),E97,""))))</f>
        <v/>
      </c>
      <c r="AR97" s="96">
        <f>IF(NOT(ISNUMBER(U97)),0,IF(T97="RECEBIMENTO NÃO CONFIRMADO",IF(AND(ISNUMBER(cfg_rec),U97&gt;cfg_rec),1,0),IF(OR(T97="CDF NÃO LOCALIZADO",T97="VÍNCULO INCOMPLETO",T97="CDF A CONFERIR"),IF(AND(ISNUMBER(cfg_cdf),U97&gt;cfg_cdf),1,0),0)))</f>
        <v>0</v>
      </c>
      <c r="AS97" s="96" t="str">
        <f>IF(T97="","",IF(AR97=1,"Alta",IFERROR(INDEX(cfg_pp,MATCH(T97,cfg_pt,0))&amp;"","Média")))</f>
        <v/>
      </c>
      <c r="AT97" s="96" t="str">
        <f>IF(T97="","",IFERROR(INDEX(cfg_pv,MATCH(T97,cfg_pt,0))&amp;"",""))</f>
        <v/>
      </c>
      <c r="AU97" s="96" t="str">
        <f>IF(T97="","",IF(AS97="Alta",1,IF(AS97="Média",2,3))*1000000000+(999999-IF(ISNUMBER(U97),MIN(U97,999999),0))*1000+92)</f>
        <v/>
      </c>
      <c r="AV97" s="96">
        <f>IF(T97&lt;&gt;"",1,0)</f>
        <v>0</v>
      </c>
      <c r="AW97" s="96" t="str">
        <f>IF(Z97=0,"",IF(AA97=1,"Cancelamento informado; ","")&amp;IF(AE97=1,"Campos essenciais ou itens faltando; ","")&amp;IF(AC97=1,"Possível duplicidade do número; ","")&amp;IF(AD97=1,"Cadastro ou datas a revisar; ","")&amp;IF(AF97&gt;0,"Item de resíduo com dado a revisar; ","")&amp;IF(AH97&gt;0,"Diferença de quantidade a analisar; ","")&amp;IF(AK97&gt;0,"Recebimento com alerta; ","")&amp;IF(AL97&gt;0,"Vínculo de CDF com alerta; ","")&amp;IF(AND(AA97=0,AN97=0),"Recebimento não confirmado; ","")&amp;IF(AND(AA97=0,AN97=1,AO97=0),"CDF pendente ou a conferir; ",""))</f>
        <v/>
      </c>
      <c r="AX97" s="96">
        <f>IF(Z97=0,0,IF(AND(OR(f_ini="",AND(ISNUMBER(E97),E97&gt;=f_ini)),OR(f_fim="",AND(ISNUMBER(E97),E97&lt;=f_fim)),OR(f_un="",f_un="(Todas)",G97=f_un),OR(f_tr="",f_tr="(Todos)",H97=f_tr),OR(f_de="",f_de="(Todos)",I97=f_de),OR(f_sit="",f_sit="(Todas)",S97=f_sit)),1,0))</f>
        <v>0</v>
      </c>
      <c r="AY97" s="96">
        <f>IF(AX97=0,0,IF(OR(f_res="",f_res="(Todos)"),1,IF(COUNTIFS('ITENS_MTR'!$S$6:$S$1005,A97,'ITENS_MTR'!$C$6:$C$1005,f_res)&gt;0,1,0)))</f>
        <v>0</v>
      </c>
      <c r="AZ97" s="97" t="str">
        <f>IF(ISNUMBER(E97),DATE(YEAR(E97),MONTH(E97),1),"")</f>
        <v/>
      </c>
      <c r="BA97" s="96">
        <f>IF(Z97=0,0,IF(AND(OR(r_ini="",AND(ISNUMBER(E97),E97&gt;=r_ini)),OR(r_fim="",AND(ISNUMBER(E97),E97&lt;=r_fim)),OR(r_un="",r_un="(Todas)",G97=r_un),OR(r_de="",r_de="(Todos)",I97=r_de)),1,0))</f>
        <v>0</v>
      </c>
      <c r="BB97" s="96" t="str">
        <f>IF(BA97=1,COUNTIF($BA$6:BA97,1),"")</f>
        <v/>
      </c>
      <c r="BC97" s="96" t="str">
        <f>IF(AND(AU97&lt;&gt;"",OR(r_un="",r_un="(Todas)",G97=r_un),OR(r_de="",r_de="(Todos)",I97=r_de)),AU97,"")</f>
        <v/>
      </c>
      <c r="BD97" s="96" t="str">
        <f>IF(Z97=1,A97&amp;" | nº "&amp;IF(B97="","(sem número)",B97)&amp;" | "&amp;IF(G97="","(sem unidade)",G97),"")</f>
        <v/>
      </c>
      <c r="BE97" s="96" t="str">
        <f>IF(Z97=1,COUNTIF($Z$6:Z97,1),"")</f>
        <v/>
      </c>
      <c r="BF97" s="96" t="str">
        <f>IF(T97="","",IF(T97="RECEBIMENTO NÃO CONFIRMADO","Transp.: "&amp;H97&amp;" | Dest.: "&amp;I97,IF(OR(T97="CDF NÃO LOCALIZADO",T97="VÍNCULO INCOMPLETO",T97="CDF A CONFERIR"),"Dest.: "&amp;I97,"Gerador: "&amp;G97)))</f>
        <v/>
      </c>
    </row>
    <row r="98">
      <c r="A98" s="89" t="inlineStr">
        <is>
          <t>MTR-000093</t>
        </is>
      </c>
      <c r="B98" s="90" t="n"/>
      <c r="C98" s="91" t="n"/>
      <c r="D98" s="91" t="n"/>
      <c r="E98" s="92" t="n"/>
      <c r="F98" s="92" t="n"/>
      <c r="G98" s="91" t="n"/>
      <c r="H98" s="91" t="n"/>
      <c r="I98" s="91" t="n"/>
      <c r="J98" s="91" t="n"/>
      <c r="K98" s="91" t="n"/>
      <c r="L98" s="92" t="n"/>
      <c r="M98" s="91" t="n"/>
      <c r="N98" s="91" t="n"/>
      <c r="O98" s="91" t="n"/>
      <c r="P98" s="93" t="str">
        <f>IF(Z98=0,"",SUMIFS('ITENS_MTR'!$I$6:$I$1005,'ITENS_MTR'!$S$6:$S$1005,A98,'ITENS_MTR'!$Y$6:$Y$1005,1))</f>
        <v/>
      </c>
      <c r="Q98" s="93" t="str">
        <f>IF(Z98=0,"",SUMIFS('RECEBIMENTOS'!$H$6:$H$1005,'RECEBIMENTOS'!$B$6:$B$1005,A98,'RECEBIMENTOS'!$X$6:$X$1005,1))</f>
        <v/>
      </c>
      <c r="R98" s="93" t="str">
        <f>IF(Z98=0,"",SUMIFS('VÍNCULOS_CDF'!$H$6:$H$1005,'VÍNCULOS_CDF'!$D$6:$D$1005,A98,'VÍNCULOS_CDF'!$V$6:$V$1005,1))</f>
        <v/>
      </c>
      <c r="S98" s="94" t="str">
        <f>IF(Z98=0,"",IF(AA98=1,"Cancelado (informado)",IF(AE98=1,"Cadastro incompleto",IF(OR(AC98=1,AD98=1,AF98&gt;0,AH98&gt;0,AK98&gt;0,AL98&gt;0),"Informação a revisar",IF(AN98=0,"Aguardando recebimento",IF(N(R98)=0,"Aguardando CDF",IF(AJ98&lt;N(W98),"Vínculo de CDF parcial",IF(AO98=0,"CDF localizado, a conferir","Documentação conferida"))))))))</f>
        <v/>
      </c>
      <c r="T98" s="94" t="str">
        <f>IF(Z98=0,"",IF(S98="Cadastro incompleto","MTR INCOMPLETO",IF(S98="Informação a revisar",IF(AND(AH98&gt;0,AC98=0,AD98=0,AF98=0,AK98=0,AL98=0),"QUANTIDADE A REVISAR","IDENTIFICAÇÃO A REVISAR"),IF(S98="Aguardando recebimento","RECEBIMENTO NÃO CONFIRMADO",IF(S98="Aguardando CDF","CDF NÃO LOCALIZADO",IF(S98="Vínculo de CDF parcial","VÍNCULO INCOMPLETO",IF(S98="CDF localizado, a conferir","CDF A CONFERIR","")))))))</f>
        <v/>
      </c>
      <c r="U98" s="95" t="str">
        <f>IF(T98="","",IF(AQ98="","Não calculável",IF(AQ98&gt;TODAY(),"Data futura",TODAY()-AQ98)))</f>
        <v/>
      </c>
      <c r="V98" s="93" t="str">
        <f>IF(Z98=0,"",SUMIFS('RECEBIMENTOS'!$H$6:$H$1005,'RECEBIMENTOS'!$B$6:$B$1005,A98,'RECEBIMENTOS'!$Z$6:$Z$1005,1))</f>
        <v/>
      </c>
      <c r="W98" s="95" t="str">
        <f>IF(Z98=0,"",COUNTIFS('ITENS_MTR'!$S$6:$S$1005,A98,'ITENS_MTR'!$R$6:$R$1005,1))</f>
        <v/>
      </c>
      <c r="X98" s="94" t="str">
        <f>IF(AC98=1,"POSSÍVEL DUPLICIDADE","")</f>
        <v/>
      </c>
      <c r="Y98" s="94" t="str">
        <f>IF(Z98=0,"",IF(AW98="","Nenhuma",LEFT(AW98,LEN(AW98)-2)))</f>
        <v/>
      </c>
      <c r="Z98" s="96">
        <f>IF(COUNTA(B98:O98)&gt;0,1,0)</f>
        <v>0</v>
      </c>
      <c r="AA98" s="96">
        <f>IF(AND(Z98=1,K98&lt;&gt;""),IF(TRIM(K98)=TRIM(cfg_cancel),1,0),0)</f>
        <v>0</v>
      </c>
      <c r="AB98" s="96" t="str">
        <f>IF(AND(Z98=1,B98&lt;&gt;""),C98&amp;"|"&amp;D98&amp;"|"&amp;G98&amp;"|"&amp;TRIM(B98),"")</f>
        <v/>
      </c>
      <c r="AC98" s="96">
        <f>IF(AB98="",0,IF(SUMPRODUCT(--($AB$6:$AB$505=AB98))&gt;1,1,0))</f>
        <v>0</v>
      </c>
      <c r="AD98" s="96">
        <f>IF(Z98=0,0,IF(OR(AND(G98&lt;&gt;"",ISNA(MATCH(G98,'CAD_UNIDADES'!$C$6:$C$105,0))),AND(H98&lt;&gt;"",ISNA(MATCH(H98,cmp_transp,0))),AND(I98&lt;&gt;"",ISNA(MATCH(I98,cmp_dest,0))),AND(E98&lt;&gt;"",NOT(ISNUMBER(E98))),AND(F98&lt;&gt;"",NOT(ISNUMBER(F98))),AND(ISNUMBER(E98),ISNUMBER(F98),F98&lt;E98)),1,0))</f>
        <v>0</v>
      </c>
      <c r="AE98" s="96">
        <f>IF(Z98=0,0,IF(OR(B98="",C98="",E98="",G98="",H98="",I98="",N(W98)=0),1,0))</f>
        <v>0</v>
      </c>
      <c r="AF98" s="96">
        <f>IF(Z98=0,0,COUNTIFS('ITENS_MTR'!$S$6:$S$1005,A98,'ITENS_MTR'!$AI$6:$AI$1005,1))</f>
        <v>0</v>
      </c>
      <c r="AG98" s="96">
        <f>IF(Z98=0,0,COUNTIFS('ITENS_MTR'!$S$6:$S$1005,A98,'ITENS_MTR'!$AJ$6:$AJ$1005,1))</f>
        <v>0</v>
      </c>
      <c r="AH98" s="96">
        <f>IF(Z98=0,0,COUNTIFS('ITENS_MTR'!$S$6:$S$1005,A98,'ITENS_MTR'!$AM$6:$AM$1005,1))</f>
        <v>0</v>
      </c>
      <c r="AI98" s="96">
        <f>IF(Z98=0,0,COUNTIFS('ITENS_MTR'!$S$6:$S$1005,A98,'ITENS_MTR'!$AO$6:$AO$1005,1))</f>
        <v>0</v>
      </c>
      <c r="AJ98" s="96">
        <f>IF(Z98=0,0,COUNTIFS('ITENS_MTR'!$S$6:$S$1005,A98,'ITENS_MTR'!$AN$6:$AN$1005,1))</f>
        <v>0</v>
      </c>
      <c r="AK98" s="96">
        <f>IF(Z98=0,0,COUNTIFS('RECEBIMENTOS'!$B$6:$B$1005,A98,'RECEBIMENTOS'!$Y$6:$Y$1005,1))</f>
        <v>0</v>
      </c>
      <c r="AL98" s="96">
        <f>IF(Z98=0,0,COUNTIFS('VÍNCULOS_CDF'!$D$6:$D$1005,A98,'VÍNCULOS_CDF'!$Y$6:$Y$1005,1))</f>
        <v>0</v>
      </c>
      <c r="AM98" s="96">
        <f>IF(Z98=0,0,COUNTIFS('RECEBIMENTOS'!$B$6:$B$1005,A98,'RECEBIMENTOS'!$Q$6:$Q$1005,1))</f>
        <v>0</v>
      </c>
      <c r="AN98" s="96">
        <f>IF(AND(Z98=1,N(W98)&gt;0,AG98=N(W98)),1,0)</f>
        <v>0</v>
      </c>
      <c r="AO98" s="96">
        <f>IF(AND(Z98=1,N(W98)&gt;0,AI98=N(W98)),1,0)</f>
        <v>0</v>
      </c>
      <c r="AP98" s="97">
        <f>IF(Z98=0,0,_xlfn.MAXIFS('RECEBIMENTOS'!$E$6:$E$1005,'RECEBIMENTOS'!$B$6:$B$1005,A98))</f>
        <v>0</v>
      </c>
      <c r="AQ98" s="97" t="str">
        <f>IF(T98="","",IF(T98="RECEBIMENTO NÃO CONFIRMADO",IF(ISNUMBER(F98),F98,IF(ISNUMBER(E98),E98,"")),IF(OR(T98="CDF NÃO LOCALIZADO",T98="VÍNCULO INCOMPLETO",T98="CDF A CONFERIR"),IF(AP98&gt;0,AP98,IF(ISNUMBER(E98),E98,"")),IF(ISNUMBER(E98),E98,""))))</f>
        <v/>
      </c>
      <c r="AR98" s="96">
        <f>IF(NOT(ISNUMBER(U98)),0,IF(T98="RECEBIMENTO NÃO CONFIRMADO",IF(AND(ISNUMBER(cfg_rec),U98&gt;cfg_rec),1,0),IF(OR(T98="CDF NÃO LOCALIZADO",T98="VÍNCULO INCOMPLETO",T98="CDF A CONFERIR"),IF(AND(ISNUMBER(cfg_cdf),U98&gt;cfg_cdf),1,0),0)))</f>
        <v>0</v>
      </c>
      <c r="AS98" s="96" t="str">
        <f>IF(T98="","",IF(AR98=1,"Alta",IFERROR(INDEX(cfg_pp,MATCH(T98,cfg_pt,0))&amp;"","Média")))</f>
        <v/>
      </c>
      <c r="AT98" s="96" t="str">
        <f>IF(T98="","",IFERROR(INDEX(cfg_pv,MATCH(T98,cfg_pt,0))&amp;"",""))</f>
        <v/>
      </c>
      <c r="AU98" s="96" t="str">
        <f>IF(T98="","",IF(AS98="Alta",1,IF(AS98="Média",2,3))*1000000000+(999999-IF(ISNUMBER(U98),MIN(U98,999999),0))*1000+93)</f>
        <v/>
      </c>
      <c r="AV98" s="96">
        <f>IF(T98&lt;&gt;"",1,0)</f>
        <v>0</v>
      </c>
      <c r="AW98" s="96" t="str">
        <f>IF(Z98=0,"",IF(AA98=1,"Cancelamento informado; ","")&amp;IF(AE98=1,"Campos essenciais ou itens faltando; ","")&amp;IF(AC98=1,"Possível duplicidade do número; ","")&amp;IF(AD98=1,"Cadastro ou datas a revisar; ","")&amp;IF(AF98&gt;0,"Item de resíduo com dado a revisar; ","")&amp;IF(AH98&gt;0,"Diferença de quantidade a analisar; ","")&amp;IF(AK98&gt;0,"Recebimento com alerta; ","")&amp;IF(AL98&gt;0,"Vínculo de CDF com alerta; ","")&amp;IF(AND(AA98=0,AN98=0),"Recebimento não confirmado; ","")&amp;IF(AND(AA98=0,AN98=1,AO98=0),"CDF pendente ou a conferir; ",""))</f>
        <v/>
      </c>
      <c r="AX98" s="96">
        <f>IF(Z98=0,0,IF(AND(OR(f_ini="",AND(ISNUMBER(E98),E98&gt;=f_ini)),OR(f_fim="",AND(ISNUMBER(E98),E98&lt;=f_fim)),OR(f_un="",f_un="(Todas)",G98=f_un),OR(f_tr="",f_tr="(Todos)",H98=f_tr),OR(f_de="",f_de="(Todos)",I98=f_de),OR(f_sit="",f_sit="(Todas)",S98=f_sit)),1,0))</f>
        <v>0</v>
      </c>
      <c r="AY98" s="96">
        <f>IF(AX98=0,0,IF(OR(f_res="",f_res="(Todos)"),1,IF(COUNTIFS('ITENS_MTR'!$S$6:$S$1005,A98,'ITENS_MTR'!$C$6:$C$1005,f_res)&gt;0,1,0)))</f>
        <v>0</v>
      </c>
      <c r="AZ98" s="97" t="str">
        <f>IF(ISNUMBER(E98),DATE(YEAR(E98),MONTH(E98),1),"")</f>
        <v/>
      </c>
      <c r="BA98" s="96">
        <f>IF(Z98=0,0,IF(AND(OR(r_ini="",AND(ISNUMBER(E98),E98&gt;=r_ini)),OR(r_fim="",AND(ISNUMBER(E98),E98&lt;=r_fim)),OR(r_un="",r_un="(Todas)",G98=r_un),OR(r_de="",r_de="(Todos)",I98=r_de)),1,0))</f>
        <v>0</v>
      </c>
      <c r="BB98" s="96" t="str">
        <f>IF(BA98=1,COUNTIF($BA$6:BA98,1),"")</f>
        <v/>
      </c>
      <c r="BC98" s="96" t="str">
        <f>IF(AND(AU98&lt;&gt;"",OR(r_un="",r_un="(Todas)",G98=r_un),OR(r_de="",r_de="(Todos)",I98=r_de)),AU98,"")</f>
        <v/>
      </c>
      <c r="BD98" s="96" t="str">
        <f>IF(Z98=1,A98&amp;" | nº "&amp;IF(B98="","(sem número)",B98)&amp;" | "&amp;IF(G98="","(sem unidade)",G98),"")</f>
        <v/>
      </c>
      <c r="BE98" s="96" t="str">
        <f>IF(Z98=1,COUNTIF($Z$6:Z98,1),"")</f>
        <v/>
      </c>
      <c r="BF98" s="96" t="str">
        <f>IF(T98="","",IF(T98="RECEBIMENTO NÃO CONFIRMADO","Transp.: "&amp;H98&amp;" | Dest.: "&amp;I98,IF(OR(T98="CDF NÃO LOCALIZADO",T98="VÍNCULO INCOMPLETO",T98="CDF A CONFERIR"),"Dest.: "&amp;I98,"Gerador: "&amp;G98)))</f>
        <v/>
      </c>
    </row>
    <row r="99">
      <c r="A99" s="89" t="inlineStr">
        <is>
          <t>MTR-000094</t>
        </is>
      </c>
      <c r="B99" s="90" t="n"/>
      <c r="C99" s="91" t="n"/>
      <c r="D99" s="91" t="n"/>
      <c r="E99" s="92" t="n"/>
      <c r="F99" s="92" t="n"/>
      <c r="G99" s="91" t="n"/>
      <c r="H99" s="91" t="n"/>
      <c r="I99" s="91" t="n"/>
      <c r="J99" s="91" t="n"/>
      <c r="K99" s="91" t="n"/>
      <c r="L99" s="92" t="n"/>
      <c r="M99" s="91" t="n"/>
      <c r="N99" s="91" t="n"/>
      <c r="O99" s="91" t="n"/>
      <c r="P99" s="93" t="str">
        <f>IF(Z99=0,"",SUMIFS('ITENS_MTR'!$I$6:$I$1005,'ITENS_MTR'!$S$6:$S$1005,A99,'ITENS_MTR'!$Y$6:$Y$1005,1))</f>
        <v/>
      </c>
      <c r="Q99" s="93" t="str">
        <f>IF(Z99=0,"",SUMIFS('RECEBIMENTOS'!$H$6:$H$1005,'RECEBIMENTOS'!$B$6:$B$1005,A99,'RECEBIMENTOS'!$X$6:$X$1005,1))</f>
        <v/>
      </c>
      <c r="R99" s="93" t="str">
        <f>IF(Z99=0,"",SUMIFS('VÍNCULOS_CDF'!$H$6:$H$1005,'VÍNCULOS_CDF'!$D$6:$D$1005,A99,'VÍNCULOS_CDF'!$V$6:$V$1005,1))</f>
        <v/>
      </c>
      <c r="S99" s="94" t="str">
        <f>IF(Z99=0,"",IF(AA99=1,"Cancelado (informado)",IF(AE99=1,"Cadastro incompleto",IF(OR(AC99=1,AD99=1,AF99&gt;0,AH99&gt;0,AK99&gt;0,AL99&gt;0),"Informação a revisar",IF(AN99=0,"Aguardando recebimento",IF(N(R99)=0,"Aguardando CDF",IF(AJ99&lt;N(W99),"Vínculo de CDF parcial",IF(AO99=0,"CDF localizado, a conferir","Documentação conferida"))))))))</f>
        <v/>
      </c>
      <c r="T99" s="94" t="str">
        <f>IF(Z99=0,"",IF(S99="Cadastro incompleto","MTR INCOMPLETO",IF(S99="Informação a revisar",IF(AND(AH99&gt;0,AC99=0,AD99=0,AF99=0,AK99=0,AL99=0),"QUANTIDADE A REVISAR","IDENTIFICAÇÃO A REVISAR"),IF(S99="Aguardando recebimento","RECEBIMENTO NÃO CONFIRMADO",IF(S99="Aguardando CDF","CDF NÃO LOCALIZADO",IF(S99="Vínculo de CDF parcial","VÍNCULO INCOMPLETO",IF(S99="CDF localizado, a conferir","CDF A CONFERIR","")))))))</f>
        <v/>
      </c>
      <c r="U99" s="95" t="str">
        <f>IF(T99="","",IF(AQ99="","Não calculável",IF(AQ99&gt;TODAY(),"Data futura",TODAY()-AQ99)))</f>
        <v/>
      </c>
      <c r="V99" s="93" t="str">
        <f>IF(Z99=0,"",SUMIFS('RECEBIMENTOS'!$H$6:$H$1005,'RECEBIMENTOS'!$B$6:$B$1005,A99,'RECEBIMENTOS'!$Z$6:$Z$1005,1))</f>
        <v/>
      </c>
      <c r="W99" s="95" t="str">
        <f>IF(Z99=0,"",COUNTIFS('ITENS_MTR'!$S$6:$S$1005,A99,'ITENS_MTR'!$R$6:$R$1005,1))</f>
        <v/>
      </c>
      <c r="X99" s="94" t="str">
        <f>IF(AC99=1,"POSSÍVEL DUPLICIDADE","")</f>
        <v/>
      </c>
      <c r="Y99" s="94" t="str">
        <f>IF(Z99=0,"",IF(AW99="","Nenhuma",LEFT(AW99,LEN(AW99)-2)))</f>
        <v/>
      </c>
      <c r="Z99" s="96">
        <f>IF(COUNTA(B99:O99)&gt;0,1,0)</f>
        <v>0</v>
      </c>
      <c r="AA99" s="96">
        <f>IF(AND(Z99=1,K99&lt;&gt;""),IF(TRIM(K99)=TRIM(cfg_cancel),1,0),0)</f>
        <v>0</v>
      </c>
      <c r="AB99" s="96" t="str">
        <f>IF(AND(Z99=1,B99&lt;&gt;""),C99&amp;"|"&amp;D99&amp;"|"&amp;G99&amp;"|"&amp;TRIM(B99),"")</f>
        <v/>
      </c>
      <c r="AC99" s="96">
        <f>IF(AB99="",0,IF(SUMPRODUCT(--($AB$6:$AB$505=AB99))&gt;1,1,0))</f>
        <v>0</v>
      </c>
      <c r="AD99" s="96">
        <f>IF(Z99=0,0,IF(OR(AND(G99&lt;&gt;"",ISNA(MATCH(G99,'CAD_UNIDADES'!$C$6:$C$105,0))),AND(H99&lt;&gt;"",ISNA(MATCH(H99,cmp_transp,0))),AND(I99&lt;&gt;"",ISNA(MATCH(I99,cmp_dest,0))),AND(E99&lt;&gt;"",NOT(ISNUMBER(E99))),AND(F99&lt;&gt;"",NOT(ISNUMBER(F99))),AND(ISNUMBER(E99),ISNUMBER(F99),F99&lt;E99)),1,0))</f>
        <v>0</v>
      </c>
      <c r="AE99" s="96">
        <f>IF(Z99=0,0,IF(OR(B99="",C99="",E99="",G99="",H99="",I99="",N(W99)=0),1,0))</f>
        <v>0</v>
      </c>
      <c r="AF99" s="96">
        <f>IF(Z99=0,0,COUNTIFS('ITENS_MTR'!$S$6:$S$1005,A99,'ITENS_MTR'!$AI$6:$AI$1005,1))</f>
        <v>0</v>
      </c>
      <c r="AG99" s="96">
        <f>IF(Z99=0,0,COUNTIFS('ITENS_MTR'!$S$6:$S$1005,A99,'ITENS_MTR'!$AJ$6:$AJ$1005,1))</f>
        <v>0</v>
      </c>
      <c r="AH99" s="96">
        <f>IF(Z99=0,0,COUNTIFS('ITENS_MTR'!$S$6:$S$1005,A99,'ITENS_MTR'!$AM$6:$AM$1005,1))</f>
        <v>0</v>
      </c>
      <c r="AI99" s="96">
        <f>IF(Z99=0,0,COUNTIFS('ITENS_MTR'!$S$6:$S$1005,A99,'ITENS_MTR'!$AO$6:$AO$1005,1))</f>
        <v>0</v>
      </c>
      <c r="AJ99" s="96">
        <f>IF(Z99=0,0,COUNTIFS('ITENS_MTR'!$S$6:$S$1005,A99,'ITENS_MTR'!$AN$6:$AN$1005,1))</f>
        <v>0</v>
      </c>
      <c r="AK99" s="96">
        <f>IF(Z99=0,0,COUNTIFS('RECEBIMENTOS'!$B$6:$B$1005,A99,'RECEBIMENTOS'!$Y$6:$Y$1005,1))</f>
        <v>0</v>
      </c>
      <c r="AL99" s="96">
        <f>IF(Z99=0,0,COUNTIFS('VÍNCULOS_CDF'!$D$6:$D$1005,A99,'VÍNCULOS_CDF'!$Y$6:$Y$1005,1))</f>
        <v>0</v>
      </c>
      <c r="AM99" s="96">
        <f>IF(Z99=0,0,COUNTIFS('RECEBIMENTOS'!$B$6:$B$1005,A99,'RECEBIMENTOS'!$Q$6:$Q$1005,1))</f>
        <v>0</v>
      </c>
      <c r="AN99" s="96">
        <f>IF(AND(Z99=1,N(W99)&gt;0,AG99=N(W99)),1,0)</f>
        <v>0</v>
      </c>
      <c r="AO99" s="96">
        <f>IF(AND(Z99=1,N(W99)&gt;0,AI99=N(W99)),1,0)</f>
        <v>0</v>
      </c>
      <c r="AP99" s="97">
        <f>IF(Z99=0,0,_xlfn.MAXIFS('RECEBIMENTOS'!$E$6:$E$1005,'RECEBIMENTOS'!$B$6:$B$1005,A99))</f>
        <v>0</v>
      </c>
      <c r="AQ99" s="97" t="str">
        <f>IF(T99="","",IF(T99="RECEBIMENTO NÃO CONFIRMADO",IF(ISNUMBER(F99),F99,IF(ISNUMBER(E99),E99,"")),IF(OR(T99="CDF NÃO LOCALIZADO",T99="VÍNCULO INCOMPLETO",T99="CDF A CONFERIR"),IF(AP99&gt;0,AP99,IF(ISNUMBER(E99),E99,"")),IF(ISNUMBER(E99),E99,""))))</f>
        <v/>
      </c>
      <c r="AR99" s="96">
        <f>IF(NOT(ISNUMBER(U99)),0,IF(T99="RECEBIMENTO NÃO CONFIRMADO",IF(AND(ISNUMBER(cfg_rec),U99&gt;cfg_rec),1,0),IF(OR(T99="CDF NÃO LOCALIZADO",T99="VÍNCULO INCOMPLETO",T99="CDF A CONFERIR"),IF(AND(ISNUMBER(cfg_cdf),U99&gt;cfg_cdf),1,0),0)))</f>
        <v>0</v>
      </c>
      <c r="AS99" s="96" t="str">
        <f>IF(T99="","",IF(AR99=1,"Alta",IFERROR(INDEX(cfg_pp,MATCH(T99,cfg_pt,0))&amp;"","Média")))</f>
        <v/>
      </c>
      <c r="AT99" s="96" t="str">
        <f>IF(T99="","",IFERROR(INDEX(cfg_pv,MATCH(T99,cfg_pt,0))&amp;"",""))</f>
        <v/>
      </c>
      <c r="AU99" s="96" t="str">
        <f>IF(T99="","",IF(AS99="Alta",1,IF(AS99="Média",2,3))*1000000000+(999999-IF(ISNUMBER(U99),MIN(U99,999999),0))*1000+94)</f>
        <v/>
      </c>
      <c r="AV99" s="96">
        <f>IF(T99&lt;&gt;"",1,0)</f>
        <v>0</v>
      </c>
      <c r="AW99" s="96" t="str">
        <f>IF(Z99=0,"",IF(AA99=1,"Cancelamento informado; ","")&amp;IF(AE99=1,"Campos essenciais ou itens faltando; ","")&amp;IF(AC99=1,"Possível duplicidade do número; ","")&amp;IF(AD99=1,"Cadastro ou datas a revisar; ","")&amp;IF(AF99&gt;0,"Item de resíduo com dado a revisar; ","")&amp;IF(AH99&gt;0,"Diferença de quantidade a analisar; ","")&amp;IF(AK99&gt;0,"Recebimento com alerta; ","")&amp;IF(AL99&gt;0,"Vínculo de CDF com alerta; ","")&amp;IF(AND(AA99=0,AN99=0),"Recebimento não confirmado; ","")&amp;IF(AND(AA99=0,AN99=1,AO99=0),"CDF pendente ou a conferir; ",""))</f>
        <v/>
      </c>
      <c r="AX99" s="96">
        <f>IF(Z99=0,0,IF(AND(OR(f_ini="",AND(ISNUMBER(E99),E99&gt;=f_ini)),OR(f_fim="",AND(ISNUMBER(E99),E99&lt;=f_fim)),OR(f_un="",f_un="(Todas)",G99=f_un),OR(f_tr="",f_tr="(Todos)",H99=f_tr),OR(f_de="",f_de="(Todos)",I99=f_de),OR(f_sit="",f_sit="(Todas)",S99=f_sit)),1,0))</f>
        <v>0</v>
      </c>
      <c r="AY99" s="96">
        <f>IF(AX99=0,0,IF(OR(f_res="",f_res="(Todos)"),1,IF(COUNTIFS('ITENS_MTR'!$S$6:$S$1005,A99,'ITENS_MTR'!$C$6:$C$1005,f_res)&gt;0,1,0)))</f>
        <v>0</v>
      </c>
      <c r="AZ99" s="97" t="str">
        <f>IF(ISNUMBER(E99),DATE(YEAR(E99),MONTH(E99),1),"")</f>
        <v/>
      </c>
      <c r="BA99" s="96">
        <f>IF(Z99=0,0,IF(AND(OR(r_ini="",AND(ISNUMBER(E99),E99&gt;=r_ini)),OR(r_fim="",AND(ISNUMBER(E99),E99&lt;=r_fim)),OR(r_un="",r_un="(Todas)",G99=r_un),OR(r_de="",r_de="(Todos)",I99=r_de)),1,0))</f>
        <v>0</v>
      </c>
      <c r="BB99" s="96" t="str">
        <f>IF(BA99=1,COUNTIF($BA$6:BA99,1),"")</f>
        <v/>
      </c>
      <c r="BC99" s="96" t="str">
        <f>IF(AND(AU99&lt;&gt;"",OR(r_un="",r_un="(Todas)",G99=r_un),OR(r_de="",r_de="(Todos)",I99=r_de)),AU99,"")</f>
        <v/>
      </c>
      <c r="BD99" s="96" t="str">
        <f>IF(Z99=1,A99&amp;" | nº "&amp;IF(B99="","(sem número)",B99)&amp;" | "&amp;IF(G99="","(sem unidade)",G99),"")</f>
        <v/>
      </c>
      <c r="BE99" s="96" t="str">
        <f>IF(Z99=1,COUNTIF($Z$6:Z99,1),"")</f>
        <v/>
      </c>
      <c r="BF99" s="96" t="str">
        <f>IF(T99="","",IF(T99="RECEBIMENTO NÃO CONFIRMADO","Transp.: "&amp;H99&amp;" | Dest.: "&amp;I99,IF(OR(T99="CDF NÃO LOCALIZADO",T99="VÍNCULO INCOMPLETO",T99="CDF A CONFERIR"),"Dest.: "&amp;I99,"Gerador: "&amp;G99)))</f>
        <v/>
      </c>
    </row>
    <row r="100">
      <c r="A100" s="89" t="inlineStr">
        <is>
          <t>MTR-000095</t>
        </is>
      </c>
      <c r="B100" s="90" t="n"/>
      <c r="C100" s="91" t="n"/>
      <c r="D100" s="91" t="n"/>
      <c r="E100" s="92" t="n"/>
      <c r="F100" s="92" t="n"/>
      <c r="G100" s="91" t="n"/>
      <c r="H100" s="91" t="n"/>
      <c r="I100" s="91" t="n"/>
      <c r="J100" s="91" t="n"/>
      <c r="K100" s="91" t="n"/>
      <c r="L100" s="92" t="n"/>
      <c r="M100" s="91" t="n"/>
      <c r="N100" s="91" t="n"/>
      <c r="O100" s="91" t="n"/>
      <c r="P100" s="93" t="str">
        <f>IF(Z100=0,"",SUMIFS('ITENS_MTR'!$I$6:$I$1005,'ITENS_MTR'!$S$6:$S$1005,A100,'ITENS_MTR'!$Y$6:$Y$1005,1))</f>
        <v/>
      </c>
      <c r="Q100" s="93" t="str">
        <f>IF(Z100=0,"",SUMIFS('RECEBIMENTOS'!$H$6:$H$1005,'RECEBIMENTOS'!$B$6:$B$1005,A100,'RECEBIMENTOS'!$X$6:$X$1005,1))</f>
        <v/>
      </c>
      <c r="R100" s="93" t="str">
        <f>IF(Z100=0,"",SUMIFS('VÍNCULOS_CDF'!$H$6:$H$1005,'VÍNCULOS_CDF'!$D$6:$D$1005,A100,'VÍNCULOS_CDF'!$V$6:$V$1005,1))</f>
        <v/>
      </c>
      <c r="S100" s="94" t="str">
        <f>IF(Z100=0,"",IF(AA100=1,"Cancelado (informado)",IF(AE100=1,"Cadastro incompleto",IF(OR(AC100=1,AD100=1,AF100&gt;0,AH100&gt;0,AK100&gt;0,AL100&gt;0),"Informação a revisar",IF(AN100=0,"Aguardando recebimento",IF(N(R100)=0,"Aguardando CDF",IF(AJ100&lt;N(W100),"Vínculo de CDF parcial",IF(AO100=0,"CDF localizado, a conferir","Documentação conferida"))))))))</f>
        <v/>
      </c>
      <c r="T100" s="94" t="str">
        <f>IF(Z100=0,"",IF(S100="Cadastro incompleto","MTR INCOMPLETO",IF(S100="Informação a revisar",IF(AND(AH100&gt;0,AC100=0,AD100=0,AF100=0,AK100=0,AL100=0),"QUANTIDADE A REVISAR","IDENTIFICAÇÃO A REVISAR"),IF(S100="Aguardando recebimento","RECEBIMENTO NÃO CONFIRMADO",IF(S100="Aguardando CDF","CDF NÃO LOCALIZADO",IF(S100="Vínculo de CDF parcial","VÍNCULO INCOMPLETO",IF(S100="CDF localizado, a conferir","CDF A CONFERIR","")))))))</f>
        <v/>
      </c>
      <c r="U100" s="95" t="str">
        <f>IF(T100="","",IF(AQ100="","Não calculável",IF(AQ100&gt;TODAY(),"Data futura",TODAY()-AQ100)))</f>
        <v/>
      </c>
      <c r="V100" s="93" t="str">
        <f>IF(Z100=0,"",SUMIFS('RECEBIMENTOS'!$H$6:$H$1005,'RECEBIMENTOS'!$B$6:$B$1005,A100,'RECEBIMENTOS'!$Z$6:$Z$1005,1))</f>
        <v/>
      </c>
      <c r="W100" s="95" t="str">
        <f>IF(Z100=0,"",COUNTIFS('ITENS_MTR'!$S$6:$S$1005,A100,'ITENS_MTR'!$R$6:$R$1005,1))</f>
        <v/>
      </c>
      <c r="X100" s="94" t="str">
        <f>IF(AC100=1,"POSSÍVEL DUPLICIDADE","")</f>
        <v/>
      </c>
      <c r="Y100" s="94" t="str">
        <f>IF(Z100=0,"",IF(AW100="","Nenhuma",LEFT(AW100,LEN(AW100)-2)))</f>
        <v/>
      </c>
      <c r="Z100" s="96">
        <f>IF(COUNTA(B100:O100)&gt;0,1,0)</f>
        <v>0</v>
      </c>
      <c r="AA100" s="96">
        <f>IF(AND(Z100=1,K100&lt;&gt;""),IF(TRIM(K100)=TRIM(cfg_cancel),1,0),0)</f>
        <v>0</v>
      </c>
      <c r="AB100" s="96" t="str">
        <f>IF(AND(Z100=1,B100&lt;&gt;""),C100&amp;"|"&amp;D100&amp;"|"&amp;G100&amp;"|"&amp;TRIM(B100),"")</f>
        <v/>
      </c>
      <c r="AC100" s="96">
        <f>IF(AB100="",0,IF(SUMPRODUCT(--($AB$6:$AB$505=AB100))&gt;1,1,0))</f>
        <v>0</v>
      </c>
      <c r="AD100" s="96">
        <f>IF(Z100=0,0,IF(OR(AND(G100&lt;&gt;"",ISNA(MATCH(G100,'CAD_UNIDADES'!$C$6:$C$105,0))),AND(H100&lt;&gt;"",ISNA(MATCH(H100,cmp_transp,0))),AND(I100&lt;&gt;"",ISNA(MATCH(I100,cmp_dest,0))),AND(E100&lt;&gt;"",NOT(ISNUMBER(E100))),AND(F100&lt;&gt;"",NOT(ISNUMBER(F100))),AND(ISNUMBER(E100),ISNUMBER(F100),F100&lt;E100)),1,0))</f>
        <v>0</v>
      </c>
      <c r="AE100" s="96">
        <f>IF(Z100=0,0,IF(OR(B100="",C100="",E100="",G100="",H100="",I100="",N(W100)=0),1,0))</f>
        <v>0</v>
      </c>
      <c r="AF100" s="96">
        <f>IF(Z100=0,0,COUNTIFS('ITENS_MTR'!$S$6:$S$1005,A100,'ITENS_MTR'!$AI$6:$AI$1005,1))</f>
        <v>0</v>
      </c>
      <c r="AG100" s="96">
        <f>IF(Z100=0,0,COUNTIFS('ITENS_MTR'!$S$6:$S$1005,A100,'ITENS_MTR'!$AJ$6:$AJ$1005,1))</f>
        <v>0</v>
      </c>
      <c r="AH100" s="96">
        <f>IF(Z100=0,0,COUNTIFS('ITENS_MTR'!$S$6:$S$1005,A100,'ITENS_MTR'!$AM$6:$AM$1005,1))</f>
        <v>0</v>
      </c>
      <c r="AI100" s="96">
        <f>IF(Z100=0,0,COUNTIFS('ITENS_MTR'!$S$6:$S$1005,A100,'ITENS_MTR'!$AO$6:$AO$1005,1))</f>
        <v>0</v>
      </c>
      <c r="AJ100" s="96">
        <f>IF(Z100=0,0,COUNTIFS('ITENS_MTR'!$S$6:$S$1005,A100,'ITENS_MTR'!$AN$6:$AN$1005,1))</f>
        <v>0</v>
      </c>
      <c r="AK100" s="96">
        <f>IF(Z100=0,0,COUNTIFS('RECEBIMENTOS'!$B$6:$B$1005,A100,'RECEBIMENTOS'!$Y$6:$Y$1005,1))</f>
        <v>0</v>
      </c>
      <c r="AL100" s="96">
        <f>IF(Z100=0,0,COUNTIFS('VÍNCULOS_CDF'!$D$6:$D$1005,A100,'VÍNCULOS_CDF'!$Y$6:$Y$1005,1))</f>
        <v>0</v>
      </c>
      <c r="AM100" s="96">
        <f>IF(Z100=0,0,COUNTIFS('RECEBIMENTOS'!$B$6:$B$1005,A100,'RECEBIMENTOS'!$Q$6:$Q$1005,1))</f>
        <v>0</v>
      </c>
      <c r="AN100" s="96">
        <f>IF(AND(Z100=1,N(W100)&gt;0,AG100=N(W100)),1,0)</f>
        <v>0</v>
      </c>
      <c r="AO100" s="96">
        <f>IF(AND(Z100=1,N(W100)&gt;0,AI100=N(W100)),1,0)</f>
        <v>0</v>
      </c>
      <c r="AP100" s="97">
        <f>IF(Z100=0,0,_xlfn.MAXIFS('RECEBIMENTOS'!$E$6:$E$1005,'RECEBIMENTOS'!$B$6:$B$1005,A100))</f>
        <v>0</v>
      </c>
      <c r="AQ100" s="97" t="str">
        <f>IF(T100="","",IF(T100="RECEBIMENTO NÃO CONFIRMADO",IF(ISNUMBER(F100),F100,IF(ISNUMBER(E100),E100,"")),IF(OR(T100="CDF NÃO LOCALIZADO",T100="VÍNCULO INCOMPLETO",T100="CDF A CONFERIR"),IF(AP100&gt;0,AP100,IF(ISNUMBER(E100),E100,"")),IF(ISNUMBER(E100),E100,""))))</f>
        <v/>
      </c>
      <c r="AR100" s="96">
        <f>IF(NOT(ISNUMBER(U100)),0,IF(T100="RECEBIMENTO NÃO CONFIRMADO",IF(AND(ISNUMBER(cfg_rec),U100&gt;cfg_rec),1,0),IF(OR(T100="CDF NÃO LOCALIZADO",T100="VÍNCULO INCOMPLETO",T100="CDF A CONFERIR"),IF(AND(ISNUMBER(cfg_cdf),U100&gt;cfg_cdf),1,0),0)))</f>
        <v>0</v>
      </c>
      <c r="AS100" s="96" t="str">
        <f>IF(T100="","",IF(AR100=1,"Alta",IFERROR(INDEX(cfg_pp,MATCH(T100,cfg_pt,0))&amp;"","Média")))</f>
        <v/>
      </c>
      <c r="AT100" s="96" t="str">
        <f>IF(T100="","",IFERROR(INDEX(cfg_pv,MATCH(T100,cfg_pt,0))&amp;"",""))</f>
        <v/>
      </c>
      <c r="AU100" s="96" t="str">
        <f>IF(T100="","",IF(AS100="Alta",1,IF(AS100="Média",2,3))*1000000000+(999999-IF(ISNUMBER(U100),MIN(U100,999999),0))*1000+95)</f>
        <v/>
      </c>
      <c r="AV100" s="96">
        <f>IF(T100&lt;&gt;"",1,0)</f>
        <v>0</v>
      </c>
      <c r="AW100" s="96" t="str">
        <f>IF(Z100=0,"",IF(AA100=1,"Cancelamento informado; ","")&amp;IF(AE100=1,"Campos essenciais ou itens faltando; ","")&amp;IF(AC100=1,"Possível duplicidade do número; ","")&amp;IF(AD100=1,"Cadastro ou datas a revisar; ","")&amp;IF(AF100&gt;0,"Item de resíduo com dado a revisar; ","")&amp;IF(AH100&gt;0,"Diferença de quantidade a analisar; ","")&amp;IF(AK100&gt;0,"Recebimento com alerta; ","")&amp;IF(AL100&gt;0,"Vínculo de CDF com alerta; ","")&amp;IF(AND(AA100=0,AN100=0),"Recebimento não confirmado; ","")&amp;IF(AND(AA100=0,AN100=1,AO100=0),"CDF pendente ou a conferir; ",""))</f>
        <v/>
      </c>
      <c r="AX100" s="96">
        <f>IF(Z100=0,0,IF(AND(OR(f_ini="",AND(ISNUMBER(E100),E100&gt;=f_ini)),OR(f_fim="",AND(ISNUMBER(E100),E100&lt;=f_fim)),OR(f_un="",f_un="(Todas)",G100=f_un),OR(f_tr="",f_tr="(Todos)",H100=f_tr),OR(f_de="",f_de="(Todos)",I100=f_de),OR(f_sit="",f_sit="(Todas)",S100=f_sit)),1,0))</f>
        <v>0</v>
      </c>
      <c r="AY100" s="96">
        <f>IF(AX100=0,0,IF(OR(f_res="",f_res="(Todos)"),1,IF(COUNTIFS('ITENS_MTR'!$S$6:$S$1005,A100,'ITENS_MTR'!$C$6:$C$1005,f_res)&gt;0,1,0)))</f>
        <v>0</v>
      </c>
      <c r="AZ100" s="97" t="str">
        <f>IF(ISNUMBER(E100),DATE(YEAR(E100),MONTH(E100),1),"")</f>
        <v/>
      </c>
      <c r="BA100" s="96">
        <f>IF(Z100=0,0,IF(AND(OR(r_ini="",AND(ISNUMBER(E100),E100&gt;=r_ini)),OR(r_fim="",AND(ISNUMBER(E100),E100&lt;=r_fim)),OR(r_un="",r_un="(Todas)",G100=r_un),OR(r_de="",r_de="(Todos)",I100=r_de)),1,0))</f>
        <v>0</v>
      </c>
      <c r="BB100" s="96" t="str">
        <f>IF(BA100=1,COUNTIF($BA$6:BA100,1),"")</f>
        <v/>
      </c>
      <c r="BC100" s="96" t="str">
        <f>IF(AND(AU100&lt;&gt;"",OR(r_un="",r_un="(Todas)",G100=r_un),OR(r_de="",r_de="(Todos)",I100=r_de)),AU100,"")</f>
        <v/>
      </c>
      <c r="BD100" s="96" t="str">
        <f>IF(Z100=1,A100&amp;" | nº "&amp;IF(B100="","(sem número)",B100)&amp;" | "&amp;IF(G100="","(sem unidade)",G100),"")</f>
        <v/>
      </c>
      <c r="BE100" s="96" t="str">
        <f>IF(Z100=1,COUNTIF($Z$6:Z100,1),"")</f>
        <v/>
      </c>
      <c r="BF100" s="96" t="str">
        <f>IF(T100="","",IF(T100="RECEBIMENTO NÃO CONFIRMADO","Transp.: "&amp;H100&amp;" | Dest.: "&amp;I100,IF(OR(T100="CDF NÃO LOCALIZADO",T100="VÍNCULO INCOMPLETO",T100="CDF A CONFERIR"),"Dest.: "&amp;I100,"Gerador: "&amp;G100)))</f>
        <v/>
      </c>
    </row>
    <row r="101">
      <c r="A101" s="89" t="inlineStr">
        <is>
          <t>MTR-000096</t>
        </is>
      </c>
      <c r="B101" s="90" t="n"/>
      <c r="C101" s="91" t="n"/>
      <c r="D101" s="91" t="n"/>
      <c r="E101" s="92" t="n"/>
      <c r="F101" s="92" t="n"/>
      <c r="G101" s="91" t="n"/>
      <c r="H101" s="91" t="n"/>
      <c r="I101" s="91" t="n"/>
      <c r="J101" s="91" t="n"/>
      <c r="K101" s="91" t="n"/>
      <c r="L101" s="92" t="n"/>
      <c r="M101" s="91" t="n"/>
      <c r="N101" s="91" t="n"/>
      <c r="O101" s="91" t="n"/>
      <c r="P101" s="93" t="str">
        <f>IF(Z101=0,"",SUMIFS('ITENS_MTR'!$I$6:$I$1005,'ITENS_MTR'!$S$6:$S$1005,A101,'ITENS_MTR'!$Y$6:$Y$1005,1))</f>
        <v/>
      </c>
      <c r="Q101" s="93" t="str">
        <f>IF(Z101=0,"",SUMIFS('RECEBIMENTOS'!$H$6:$H$1005,'RECEBIMENTOS'!$B$6:$B$1005,A101,'RECEBIMENTOS'!$X$6:$X$1005,1))</f>
        <v/>
      </c>
      <c r="R101" s="93" t="str">
        <f>IF(Z101=0,"",SUMIFS('VÍNCULOS_CDF'!$H$6:$H$1005,'VÍNCULOS_CDF'!$D$6:$D$1005,A101,'VÍNCULOS_CDF'!$V$6:$V$1005,1))</f>
        <v/>
      </c>
      <c r="S101" s="94" t="str">
        <f>IF(Z101=0,"",IF(AA101=1,"Cancelado (informado)",IF(AE101=1,"Cadastro incompleto",IF(OR(AC101=1,AD101=1,AF101&gt;0,AH101&gt;0,AK101&gt;0,AL101&gt;0),"Informação a revisar",IF(AN101=0,"Aguardando recebimento",IF(N(R101)=0,"Aguardando CDF",IF(AJ101&lt;N(W101),"Vínculo de CDF parcial",IF(AO101=0,"CDF localizado, a conferir","Documentação conferida"))))))))</f>
        <v/>
      </c>
      <c r="T101" s="94" t="str">
        <f>IF(Z101=0,"",IF(S101="Cadastro incompleto","MTR INCOMPLETO",IF(S101="Informação a revisar",IF(AND(AH101&gt;0,AC101=0,AD101=0,AF101=0,AK101=0,AL101=0),"QUANTIDADE A REVISAR","IDENTIFICAÇÃO A REVISAR"),IF(S101="Aguardando recebimento","RECEBIMENTO NÃO CONFIRMADO",IF(S101="Aguardando CDF","CDF NÃO LOCALIZADO",IF(S101="Vínculo de CDF parcial","VÍNCULO INCOMPLETO",IF(S101="CDF localizado, a conferir","CDF A CONFERIR","")))))))</f>
        <v/>
      </c>
      <c r="U101" s="95" t="str">
        <f>IF(T101="","",IF(AQ101="","Não calculável",IF(AQ101&gt;TODAY(),"Data futura",TODAY()-AQ101)))</f>
        <v/>
      </c>
      <c r="V101" s="93" t="str">
        <f>IF(Z101=0,"",SUMIFS('RECEBIMENTOS'!$H$6:$H$1005,'RECEBIMENTOS'!$B$6:$B$1005,A101,'RECEBIMENTOS'!$Z$6:$Z$1005,1))</f>
        <v/>
      </c>
      <c r="W101" s="95" t="str">
        <f>IF(Z101=0,"",COUNTIFS('ITENS_MTR'!$S$6:$S$1005,A101,'ITENS_MTR'!$R$6:$R$1005,1))</f>
        <v/>
      </c>
      <c r="X101" s="94" t="str">
        <f>IF(AC101=1,"POSSÍVEL DUPLICIDADE","")</f>
        <v/>
      </c>
      <c r="Y101" s="94" t="str">
        <f>IF(Z101=0,"",IF(AW101="","Nenhuma",LEFT(AW101,LEN(AW101)-2)))</f>
        <v/>
      </c>
      <c r="Z101" s="96">
        <f>IF(COUNTA(B101:O101)&gt;0,1,0)</f>
        <v>0</v>
      </c>
      <c r="AA101" s="96">
        <f>IF(AND(Z101=1,K101&lt;&gt;""),IF(TRIM(K101)=TRIM(cfg_cancel),1,0),0)</f>
        <v>0</v>
      </c>
      <c r="AB101" s="96" t="str">
        <f>IF(AND(Z101=1,B101&lt;&gt;""),C101&amp;"|"&amp;D101&amp;"|"&amp;G101&amp;"|"&amp;TRIM(B101),"")</f>
        <v/>
      </c>
      <c r="AC101" s="96">
        <f>IF(AB101="",0,IF(SUMPRODUCT(--($AB$6:$AB$505=AB101))&gt;1,1,0))</f>
        <v>0</v>
      </c>
      <c r="AD101" s="96">
        <f>IF(Z101=0,0,IF(OR(AND(G101&lt;&gt;"",ISNA(MATCH(G101,'CAD_UNIDADES'!$C$6:$C$105,0))),AND(H101&lt;&gt;"",ISNA(MATCH(H101,cmp_transp,0))),AND(I101&lt;&gt;"",ISNA(MATCH(I101,cmp_dest,0))),AND(E101&lt;&gt;"",NOT(ISNUMBER(E101))),AND(F101&lt;&gt;"",NOT(ISNUMBER(F101))),AND(ISNUMBER(E101),ISNUMBER(F101),F101&lt;E101)),1,0))</f>
        <v>0</v>
      </c>
      <c r="AE101" s="96">
        <f>IF(Z101=0,0,IF(OR(B101="",C101="",E101="",G101="",H101="",I101="",N(W101)=0),1,0))</f>
        <v>0</v>
      </c>
      <c r="AF101" s="96">
        <f>IF(Z101=0,0,COUNTIFS('ITENS_MTR'!$S$6:$S$1005,A101,'ITENS_MTR'!$AI$6:$AI$1005,1))</f>
        <v>0</v>
      </c>
      <c r="AG101" s="96">
        <f>IF(Z101=0,0,COUNTIFS('ITENS_MTR'!$S$6:$S$1005,A101,'ITENS_MTR'!$AJ$6:$AJ$1005,1))</f>
        <v>0</v>
      </c>
      <c r="AH101" s="96">
        <f>IF(Z101=0,0,COUNTIFS('ITENS_MTR'!$S$6:$S$1005,A101,'ITENS_MTR'!$AM$6:$AM$1005,1))</f>
        <v>0</v>
      </c>
      <c r="AI101" s="96">
        <f>IF(Z101=0,0,COUNTIFS('ITENS_MTR'!$S$6:$S$1005,A101,'ITENS_MTR'!$AO$6:$AO$1005,1))</f>
        <v>0</v>
      </c>
      <c r="AJ101" s="96">
        <f>IF(Z101=0,0,COUNTIFS('ITENS_MTR'!$S$6:$S$1005,A101,'ITENS_MTR'!$AN$6:$AN$1005,1))</f>
        <v>0</v>
      </c>
      <c r="AK101" s="96">
        <f>IF(Z101=0,0,COUNTIFS('RECEBIMENTOS'!$B$6:$B$1005,A101,'RECEBIMENTOS'!$Y$6:$Y$1005,1))</f>
        <v>0</v>
      </c>
      <c r="AL101" s="96">
        <f>IF(Z101=0,0,COUNTIFS('VÍNCULOS_CDF'!$D$6:$D$1005,A101,'VÍNCULOS_CDF'!$Y$6:$Y$1005,1))</f>
        <v>0</v>
      </c>
      <c r="AM101" s="96">
        <f>IF(Z101=0,0,COUNTIFS('RECEBIMENTOS'!$B$6:$B$1005,A101,'RECEBIMENTOS'!$Q$6:$Q$1005,1))</f>
        <v>0</v>
      </c>
      <c r="AN101" s="96">
        <f>IF(AND(Z101=1,N(W101)&gt;0,AG101=N(W101)),1,0)</f>
        <v>0</v>
      </c>
      <c r="AO101" s="96">
        <f>IF(AND(Z101=1,N(W101)&gt;0,AI101=N(W101)),1,0)</f>
        <v>0</v>
      </c>
      <c r="AP101" s="97">
        <f>IF(Z101=0,0,_xlfn.MAXIFS('RECEBIMENTOS'!$E$6:$E$1005,'RECEBIMENTOS'!$B$6:$B$1005,A101))</f>
        <v>0</v>
      </c>
      <c r="AQ101" s="97" t="str">
        <f>IF(T101="","",IF(T101="RECEBIMENTO NÃO CONFIRMADO",IF(ISNUMBER(F101),F101,IF(ISNUMBER(E101),E101,"")),IF(OR(T101="CDF NÃO LOCALIZADO",T101="VÍNCULO INCOMPLETO",T101="CDF A CONFERIR"),IF(AP101&gt;0,AP101,IF(ISNUMBER(E101),E101,"")),IF(ISNUMBER(E101),E101,""))))</f>
        <v/>
      </c>
      <c r="AR101" s="96">
        <f>IF(NOT(ISNUMBER(U101)),0,IF(T101="RECEBIMENTO NÃO CONFIRMADO",IF(AND(ISNUMBER(cfg_rec),U101&gt;cfg_rec),1,0),IF(OR(T101="CDF NÃO LOCALIZADO",T101="VÍNCULO INCOMPLETO",T101="CDF A CONFERIR"),IF(AND(ISNUMBER(cfg_cdf),U101&gt;cfg_cdf),1,0),0)))</f>
        <v>0</v>
      </c>
      <c r="AS101" s="96" t="str">
        <f>IF(T101="","",IF(AR101=1,"Alta",IFERROR(INDEX(cfg_pp,MATCH(T101,cfg_pt,0))&amp;"","Média")))</f>
        <v/>
      </c>
      <c r="AT101" s="96" t="str">
        <f>IF(T101="","",IFERROR(INDEX(cfg_pv,MATCH(T101,cfg_pt,0))&amp;"",""))</f>
        <v/>
      </c>
      <c r="AU101" s="96" t="str">
        <f>IF(T101="","",IF(AS101="Alta",1,IF(AS101="Média",2,3))*1000000000+(999999-IF(ISNUMBER(U101),MIN(U101,999999),0))*1000+96)</f>
        <v/>
      </c>
      <c r="AV101" s="96">
        <f>IF(T101&lt;&gt;"",1,0)</f>
        <v>0</v>
      </c>
      <c r="AW101" s="96" t="str">
        <f>IF(Z101=0,"",IF(AA101=1,"Cancelamento informado; ","")&amp;IF(AE101=1,"Campos essenciais ou itens faltando; ","")&amp;IF(AC101=1,"Possível duplicidade do número; ","")&amp;IF(AD101=1,"Cadastro ou datas a revisar; ","")&amp;IF(AF101&gt;0,"Item de resíduo com dado a revisar; ","")&amp;IF(AH101&gt;0,"Diferença de quantidade a analisar; ","")&amp;IF(AK101&gt;0,"Recebimento com alerta; ","")&amp;IF(AL101&gt;0,"Vínculo de CDF com alerta; ","")&amp;IF(AND(AA101=0,AN101=0),"Recebimento não confirmado; ","")&amp;IF(AND(AA101=0,AN101=1,AO101=0),"CDF pendente ou a conferir; ",""))</f>
        <v/>
      </c>
      <c r="AX101" s="96">
        <f>IF(Z101=0,0,IF(AND(OR(f_ini="",AND(ISNUMBER(E101),E101&gt;=f_ini)),OR(f_fim="",AND(ISNUMBER(E101),E101&lt;=f_fim)),OR(f_un="",f_un="(Todas)",G101=f_un),OR(f_tr="",f_tr="(Todos)",H101=f_tr),OR(f_de="",f_de="(Todos)",I101=f_de),OR(f_sit="",f_sit="(Todas)",S101=f_sit)),1,0))</f>
        <v>0</v>
      </c>
      <c r="AY101" s="96">
        <f>IF(AX101=0,0,IF(OR(f_res="",f_res="(Todos)"),1,IF(COUNTIFS('ITENS_MTR'!$S$6:$S$1005,A101,'ITENS_MTR'!$C$6:$C$1005,f_res)&gt;0,1,0)))</f>
        <v>0</v>
      </c>
      <c r="AZ101" s="97" t="str">
        <f>IF(ISNUMBER(E101),DATE(YEAR(E101),MONTH(E101),1),"")</f>
        <v/>
      </c>
      <c r="BA101" s="96">
        <f>IF(Z101=0,0,IF(AND(OR(r_ini="",AND(ISNUMBER(E101),E101&gt;=r_ini)),OR(r_fim="",AND(ISNUMBER(E101),E101&lt;=r_fim)),OR(r_un="",r_un="(Todas)",G101=r_un),OR(r_de="",r_de="(Todos)",I101=r_de)),1,0))</f>
        <v>0</v>
      </c>
      <c r="BB101" s="96" t="str">
        <f>IF(BA101=1,COUNTIF($BA$6:BA101,1),"")</f>
        <v/>
      </c>
      <c r="BC101" s="96" t="str">
        <f>IF(AND(AU101&lt;&gt;"",OR(r_un="",r_un="(Todas)",G101=r_un),OR(r_de="",r_de="(Todos)",I101=r_de)),AU101,"")</f>
        <v/>
      </c>
      <c r="BD101" s="96" t="str">
        <f>IF(Z101=1,A101&amp;" | nº "&amp;IF(B101="","(sem número)",B101)&amp;" | "&amp;IF(G101="","(sem unidade)",G101),"")</f>
        <v/>
      </c>
      <c r="BE101" s="96" t="str">
        <f>IF(Z101=1,COUNTIF($Z$6:Z101,1),"")</f>
        <v/>
      </c>
      <c r="BF101" s="96" t="str">
        <f>IF(T101="","",IF(T101="RECEBIMENTO NÃO CONFIRMADO","Transp.: "&amp;H101&amp;" | Dest.: "&amp;I101,IF(OR(T101="CDF NÃO LOCALIZADO",T101="VÍNCULO INCOMPLETO",T101="CDF A CONFERIR"),"Dest.: "&amp;I101,"Gerador: "&amp;G101)))</f>
        <v/>
      </c>
    </row>
    <row r="102">
      <c r="A102" s="89" t="inlineStr">
        <is>
          <t>MTR-000097</t>
        </is>
      </c>
      <c r="B102" s="90" t="n"/>
      <c r="C102" s="91" t="n"/>
      <c r="D102" s="91" t="n"/>
      <c r="E102" s="92" t="n"/>
      <c r="F102" s="92" t="n"/>
      <c r="G102" s="91" t="n"/>
      <c r="H102" s="91" t="n"/>
      <c r="I102" s="91" t="n"/>
      <c r="J102" s="91" t="n"/>
      <c r="K102" s="91" t="n"/>
      <c r="L102" s="92" t="n"/>
      <c r="M102" s="91" t="n"/>
      <c r="N102" s="91" t="n"/>
      <c r="O102" s="91" t="n"/>
      <c r="P102" s="93" t="str">
        <f>IF(Z102=0,"",SUMIFS('ITENS_MTR'!$I$6:$I$1005,'ITENS_MTR'!$S$6:$S$1005,A102,'ITENS_MTR'!$Y$6:$Y$1005,1))</f>
        <v/>
      </c>
      <c r="Q102" s="93" t="str">
        <f>IF(Z102=0,"",SUMIFS('RECEBIMENTOS'!$H$6:$H$1005,'RECEBIMENTOS'!$B$6:$B$1005,A102,'RECEBIMENTOS'!$X$6:$X$1005,1))</f>
        <v/>
      </c>
      <c r="R102" s="93" t="str">
        <f>IF(Z102=0,"",SUMIFS('VÍNCULOS_CDF'!$H$6:$H$1005,'VÍNCULOS_CDF'!$D$6:$D$1005,A102,'VÍNCULOS_CDF'!$V$6:$V$1005,1))</f>
        <v/>
      </c>
      <c r="S102" s="94" t="str">
        <f>IF(Z102=0,"",IF(AA102=1,"Cancelado (informado)",IF(AE102=1,"Cadastro incompleto",IF(OR(AC102=1,AD102=1,AF102&gt;0,AH102&gt;0,AK102&gt;0,AL102&gt;0),"Informação a revisar",IF(AN102=0,"Aguardando recebimento",IF(N(R102)=0,"Aguardando CDF",IF(AJ102&lt;N(W102),"Vínculo de CDF parcial",IF(AO102=0,"CDF localizado, a conferir","Documentação conferida"))))))))</f>
        <v/>
      </c>
      <c r="T102" s="94" t="str">
        <f>IF(Z102=0,"",IF(S102="Cadastro incompleto","MTR INCOMPLETO",IF(S102="Informação a revisar",IF(AND(AH102&gt;0,AC102=0,AD102=0,AF102=0,AK102=0,AL102=0),"QUANTIDADE A REVISAR","IDENTIFICAÇÃO A REVISAR"),IF(S102="Aguardando recebimento","RECEBIMENTO NÃO CONFIRMADO",IF(S102="Aguardando CDF","CDF NÃO LOCALIZADO",IF(S102="Vínculo de CDF parcial","VÍNCULO INCOMPLETO",IF(S102="CDF localizado, a conferir","CDF A CONFERIR","")))))))</f>
        <v/>
      </c>
      <c r="U102" s="95" t="str">
        <f>IF(T102="","",IF(AQ102="","Não calculável",IF(AQ102&gt;TODAY(),"Data futura",TODAY()-AQ102)))</f>
        <v/>
      </c>
      <c r="V102" s="93" t="str">
        <f>IF(Z102=0,"",SUMIFS('RECEBIMENTOS'!$H$6:$H$1005,'RECEBIMENTOS'!$B$6:$B$1005,A102,'RECEBIMENTOS'!$Z$6:$Z$1005,1))</f>
        <v/>
      </c>
      <c r="W102" s="95" t="str">
        <f>IF(Z102=0,"",COUNTIFS('ITENS_MTR'!$S$6:$S$1005,A102,'ITENS_MTR'!$R$6:$R$1005,1))</f>
        <v/>
      </c>
      <c r="X102" s="94" t="str">
        <f>IF(AC102=1,"POSSÍVEL DUPLICIDADE","")</f>
        <v/>
      </c>
      <c r="Y102" s="94" t="str">
        <f>IF(Z102=0,"",IF(AW102="","Nenhuma",LEFT(AW102,LEN(AW102)-2)))</f>
        <v/>
      </c>
      <c r="Z102" s="96">
        <f>IF(COUNTA(B102:O102)&gt;0,1,0)</f>
        <v>0</v>
      </c>
      <c r="AA102" s="96">
        <f>IF(AND(Z102=1,K102&lt;&gt;""),IF(TRIM(K102)=TRIM(cfg_cancel),1,0),0)</f>
        <v>0</v>
      </c>
      <c r="AB102" s="96" t="str">
        <f>IF(AND(Z102=1,B102&lt;&gt;""),C102&amp;"|"&amp;D102&amp;"|"&amp;G102&amp;"|"&amp;TRIM(B102),"")</f>
        <v/>
      </c>
      <c r="AC102" s="96">
        <f>IF(AB102="",0,IF(SUMPRODUCT(--($AB$6:$AB$505=AB102))&gt;1,1,0))</f>
        <v>0</v>
      </c>
      <c r="AD102" s="96">
        <f>IF(Z102=0,0,IF(OR(AND(G102&lt;&gt;"",ISNA(MATCH(G102,'CAD_UNIDADES'!$C$6:$C$105,0))),AND(H102&lt;&gt;"",ISNA(MATCH(H102,cmp_transp,0))),AND(I102&lt;&gt;"",ISNA(MATCH(I102,cmp_dest,0))),AND(E102&lt;&gt;"",NOT(ISNUMBER(E102))),AND(F102&lt;&gt;"",NOT(ISNUMBER(F102))),AND(ISNUMBER(E102),ISNUMBER(F102),F102&lt;E102)),1,0))</f>
        <v>0</v>
      </c>
      <c r="AE102" s="96">
        <f>IF(Z102=0,0,IF(OR(B102="",C102="",E102="",G102="",H102="",I102="",N(W102)=0),1,0))</f>
        <v>0</v>
      </c>
      <c r="AF102" s="96">
        <f>IF(Z102=0,0,COUNTIFS('ITENS_MTR'!$S$6:$S$1005,A102,'ITENS_MTR'!$AI$6:$AI$1005,1))</f>
        <v>0</v>
      </c>
      <c r="AG102" s="96">
        <f>IF(Z102=0,0,COUNTIFS('ITENS_MTR'!$S$6:$S$1005,A102,'ITENS_MTR'!$AJ$6:$AJ$1005,1))</f>
        <v>0</v>
      </c>
      <c r="AH102" s="96">
        <f>IF(Z102=0,0,COUNTIFS('ITENS_MTR'!$S$6:$S$1005,A102,'ITENS_MTR'!$AM$6:$AM$1005,1))</f>
        <v>0</v>
      </c>
      <c r="AI102" s="96">
        <f>IF(Z102=0,0,COUNTIFS('ITENS_MTR'!$S$6:$S$1005,A102,'ITENS_MTR'!$AO$6:$AO$1005,1))</f>
        <v>0</v>
      </c>
      <c r="AJ102" s="96">
        <f>IF(Z102=0,0,COUNTIFS('ITENS_MTR'!$S$6:$S$1005,A102,'ITENS_MTR'!$AN$6:$AN$1005,1))</f>
        <v>0</v>
      </c>
      <c r="AK102" s="96">
        <f>IF(Z102=0,0,COUNTIFS('RECEBIMENTOS'!$B$6:$B$1005,A102,'RECEBIMENTOS'!$Y$6:$Y$1005,1))</f>
        <v>0</v>
      </c>
      <c r="AL102" s="96">
        <f>IF(Z102=0,0,COUNTIFS('VÍNCULOS_CDF'!$D$6:$D$1005,A102,'VÍNCULOS_CDF'!$Y$6:$Y$1005,1))</f>
        <v>0</v>
      </c>
      <c r="AM102" s="96">
        <f>IF(Z102=0,0,COUNTIFS('RECEBIMENTOS'!$B$6:$B$1005,A102,'RECEBIMENTOS'!$Q$6:$Q$1005,1))</f>
        <v>0</v>
      </c>
      <c r="AN102" s="96">
        <f>IF(AND(Z102=1,N(W102)&gt;0,AG102=N(W102)),1,0)</f>
        <v>0</v>
      </c>
      <c r="AO102" s="96">
        <f>IF(AND(Z102=1,N(W102)&gt;0,AI102=N(W102)),1,0)</f>
        <v>0</v>
      </c>
      <c r="AP102" s="97">
        <f>IF(Z102=0,0,_xlfn.MAXIFS('RECEBIMENTOS'!$E$6:$E$1005,'RECEBIMENTOS'!$B$6:$B$1005,A102))</f>
        <v>0</v>
      </c>
      <c r="AQ102" s="97" t="str">
        <f>IF(T102="","",IF(T102="RECEBIMENTO NÃO CONFIRMADO",IF(ISNUMBER(F102),F102,IF(ISNUMBER(E102),E102,"")),IF(OR(T102="CDF NÃO LOCALIZADO",T102="VÍNCULO INCOMPLETO",T102="CDF A CONFERIR"),IF(AP102&gt;0,AP102,IF(ISNUMBER(E102),E102,"")),IF(ISNUMBER(E102),E102,""))))</f>
        <v/>
      </c>
      <c r="AR102" s="96">
        <f>IF(NOT(ISNUMBER(U102)),0,IF(T102="RECEBIMENTO NÃO CONFIRMADO",IF(AND(ISNUMBER(cfg_rec),U102&gt;cfg_rec),1,0),IF(OR(T102="CDF NÃO LOCALIZADO",T102="VÍNCULO INCOMPLETO",T102="CDF A CONFERIR"),IF(AND(ISNUMBER(cfg_cdf),U102&gt;cfg_cdf),1,0),0)))</f>
        <v>0</v>
      </c>
      <c r="AS102" s="96" t="str">
        <f>IF(T102="","",IF(AR102=1,"Alta",IFERROR(INDEX(cfg_pp,MATCH(T102,cfg_pt,0))&amp;"","Média")))</f>
        <v/>
      </c>
      <c r="AT102" s="96" t="str">
        <f>IF(T102="","",IFERROR(INDEX(cfg_pv,MATCH(T102,cfg_pt,0))&amp;"",""))</f>
        <v/>
      </c>
      <c r="AU102" s="96" t="str">
        <f>IF(T102="","",IF(AS102="Alta",1,IF(AS102="Média",2,3))*1000000000+(999999-IF(ISNUMBER(U102),MIN(U102,999999),0))*1000+97)</f>
        <v/>
      </c>
      <c r="AV102" s="96">
        <f>IF(T102&lt;&gt;"",1,0)</f>
        <v>0</v>
      </c>
      <c r="AW102" s="96" t="str">
        <f>IF(Z102=0,"",IF(AA102=1,"Cancelamento informado; ","")&amp;IF(AE102=1,"Campos essenciais ou itens faltando; ","")&amp;IF(AC102=1,"Possível duplicidade do número; ","")&amp;IF(AD102=1,"Cadastro ou datas a revisar; ","")&amp;IF(AF102&gt;0,"Item de resíduo com dado a revisar; ","")&amp;IF(AH102&gt;0,"Diferença de quantidade a analisar; ","")&amp;IF(AK102&gt;0,"Recebimento com alerta; ","")&amp;IF(AL102&gt;0,"Vínculo de CDF com alerta; ","")&amp;IF(AND(AA102=0,AN102=0),"Recebimento não confirmado; ","")&amp;IF(AND(AA102=0,AN102=1,AO102=0),"CDF pendente ou a conferir; ",""))</f>
        <v/>
      </c>
      <c r="AX102" s="96">
        <f>IF(Z102=0,0,IF(AND(OR(f_ini="",AND(ISNUMBER(E102),E102&gt;=f_ini)),OR(f_fim="",AND(ISNUMBER(E102),E102&lt;=f_fim)),OR(f_un="",f_un="(Todas)",G102=f_un),OR(f_tr="",f_tr="(Todos)",H102=f_tr),OR(f_de="",f_de="(Todos)",I102=f_de),OR(f_sit="",f_sit="(Todas)",S102=f_sit)),1,0))</f>
        <v>0</v>
      </c>
      <c r="AY102" s="96">
        <f>IF(AX102=0,0,IF(OR(f_res="",f_res="(Todos)"),1,IF(COUNTIFS('ITENS_MTR'!$S$6:$S$1005,A102,'ITENS_MTR'!$C$6:$C$1005,f_res)&gt;0,1,0)))</f>
        <v>0</v>
      </c>
      <c r="AZ102" s="97" t="str">
        <f>IF(ISNUMBER(E102),DATE(YEAR(E102),MONTH(E102),1),"")</f>
        <v/>
      </c>
      <c r="BA102" s="96">
        <f>IF(Z102=0,0,IF(AND(OR(r_ini="",AND(ISNUMBER(E102),E102&gt;=r_ini)),OR(r_fim="",AND(ISNUMBER(E102),E102&lt;=r_fim)),OR(r_un="",r_un="(Todas)",G102=r_un),OR(r_de="",r_de="(Todos)",I102=r_de)),1,0))</f>
        <v>0</v>
      </c>
      <c r="BB102" s="96" t="str">
        <f>IF(BA102=1,COUNTIF($BA$6:BA102,1),"")</f>
        <v/>
      </c>
      <c r="BC102" s="96" t="str">
        <f>IF(AND(AU102&lt;&gt;"",OR(r_un="",r_un="(Todas)",G102=r_un),OR(r_de="",r_de="(Todos)",I102=r_de)),AU102,"")</f>
        <v/>
      </c>
      <c r="BD102" s="96" t="str">
        <f>IF(Z102=1,A102&amp;" | nº "&amp;IF(B102="","(sem número)",B102)&amp;" | "&amp;IF(G102="","(sem unidade)",G102),"")</f>
        <v/>
      </c>
      <c r="BE102" s="96" t="str">
        <f>IF(Z102=1,COUNTIF($Z$6:Z102,1),"")</f>
        <v/>
      </c>
      <c r="BF102" s="96" t="str">
        <f>IF(T102="","",IF(T102="RECEBIMENTO NÃO CONFIRMADO","Transp.: "&amp;H102&amp;" | Dest.: "&amp;I102,IF(OR(T102="CDF NÃO LOCALIZADO",T102="VÍNCULO INCOMPLETO",T102="CDF A CONFERIR"),"Dest.: "&amp;I102,"Gerador: "&amp;G102)))</f>
        <v/>
      </c>
    </row>
    <row r="103">
      <c r="A103" s="89" t="inlineStr">
        <is>
          <t>MTR-000098</t>
        </is>
      </c>
      <c r="B103" s="90" t="n"/>
      <c r="C103" s="91" t="n"/>
      <c r="D103" s="91" t="n"/>
      <c r="E103" s="92" t="n"/>
      <c r="F103" s="92" t="n"/>
      <c r="G103" s="91" t="n"/>
      <c r="H103" s="91" t="n"/>
      <c r="I103" s="91" t="n"/>
      <c r="J103" s="91" t="n"/>
      <c r="K103" s="91" t="n"/>
      <c r="L103" s="92" t="n"/>
      <c r="M103" s="91" t="n"/>
      <c r="N103" s="91" t="n"/>
      <c r="O103" s="91" t="n"/>
      <c r="P103" s="93" t="str">
        <f>IF(Z103=0,"",SUMIFS('ITENS_MTR'!$I$6:$I$1005,'ITENS_MTR'!$S$6:$S$1005,A103,'ITENS_MTR'!$Y$6:$Y$1005,1))</f>
        <v/>
      </c>
      <c r="Q103" s="93" t="str">
        <f>IF(Z103=0,"",SUMIFS('RECEBIMENTOS'!$H$6:$H$1005,'RECEBIMENTOS'!$B$6:$B$1005,A103,'RECEBIMENTOS'!$X$6:$X$1005,1))</f>
        <v/>
      </c>
      <c r="R103" s="93" t="str">
        <f>IF(Z103=0,"",SUMIFS('VÍNCULOS_CDF'!$H$6:$H$1005,'VÍNCULOS_CDF'!$D$6:$D$1005,A103,'VÍNCULOS_CDF'!$V$6:$V$1005,1))</f>
        <v/>
      </c>
      <c r="S103" s="94" t="str">
        <f>IF(Z103=0,"",IF(AA103=1,"Cancelado (informado)",IF(AE103=1,"Cadastro incompleto",IF(OR(AC103=1,AD103=1,AF103&gt;0,AH103&gt;0,AK103&gt;0,AL103&gt;0),"Informação a revisar",IF(AN103=0,"Aguardando recebimento",IF(N(R103)=0,"Aguardando CDF",IF(AJ103&lt;N(W103),"Vínculo de CDF parcial",IF(AO103=0,"CDF localizado, a conferir","Documentação conferida"))))))))</f>
        <v/>
      </c>
      <c r="T103" s="94" t="str">
        <f>IF(Z103=0,"",IF(S103="Cadastro incompleto","MTR INCOMPLETO",IF(S103="Informação a revisar",IF(AND(AH103&gt;0,AC103=0,AD103=0,AF103=0,AK103=0,AL103=0),"QUANTIDADE A REVISAR","IDENTIFICAÇÃO A REVISAR"),IF(S103="Aguardando recebimento","RECEBIMENTO NÃO CONFIRMADO",IF(S103="Aguardando CDF","CDF NÃO LOCALIZADO",IF(S103="Vínculo de CDF parcial","VÍNCULO INCOMPLETO",IF(S103="CDF localizado, a conferir","CDF A CONFERIR","")))))))</f>
        <v/>
      </c>
      <c r="U103" s="95" t="str">
        <f>IF(T103="","",IF(AQ103="","Não calculável",IF(AQ103&gt;TODAY(),"Data futura",TODAY()-AQ103)))</f>
        <v/>
      </c>
      <c r="V103" s="93" t="str">
        <f>IF(Z103=0,"",SUMIFS('RECEBIMENTOS'!$H$6:$H$1005,'RECEBIMENTOS'!$B$6:$B$1005,A103,'RECEBIMENTOS'!$Z$6:$Z$1005,1))</f>
        <v/>
      </c>
      <c r="W103" s="95" t="str">
        <f>IF(Z103=0,"",COUNTIFS('ITENS_MTR'!$S$6:$S$1005,A103,'ITENS_MTR'!$R$6:$R$1005,1))</f>
        <v/>
      </c>
      <c r="X103" s="94" t="str">
        <f>IF(AC103=1,"POSSÍVEL DUPLICIDADE","")</f>
        <v/>
      </c>
      <c r="Y103" s="94" t="str">
        <f>IF(Z103=0,"",IF(AW103="","Nenhuma",LEFT(AW103,LEN(AW103)-2)))</f>
        <v/>
      </c>
      <c r="Z103" s="96">
        <f>IF(COUNTA(B103:O103)&gt;0,1,0)</f>
        <v>0</v>
      </c>
      <c r="AA103" s="96">
        <f>IF(AND(Z103=1,K103&lt;&gt;""),IF(TRIM(K103)=TRIM(cfg_cancel),1,0),0)</f>
        <v>0</v>
      </c>
      <c r="AB103" s="96" t="str">
        <f>IF(AND(Z103=1,B103&lt;&gt;""),C103&amp;"|"&amp;D103&amp;"|"&amp;G103&amp;"|"&amp;TRIM(B103),"")</f>
        <v/>
      </c>
      <c r="AC103" s="96">
        <f>IF(AB103="",0,IF(SUMPRODUCT(--($AB$6:$AB$505=AB103))&gt;1,1,0))</f>
        <v>0</v>
      </c>
      <c r="AD103" s="96">
        <f>IF(Z103=0,0,IF(OR(AND(G103&lt;&gt;"",ISNA(MATCH(G103,'CAD_UNIDADES'!$C$6:$C$105,0))),AND(H103&lt;&gt;"",ISNA(MATCH(H103,cmp_transp,0))),AND(I103&lt;&gt;"",ISNA(MATCH(I103,cmp_dest,0))),AND(E103&lt;&gt;"",NOT(ISNUMBER(E103))),AND(F103&lt;&gt;"",NOT(ISNUMBER(F103))),AND(ISNUMBER(E103),ISNUMBER(F103),F103&lt;E103)),1,0))</f>
        <v>0</v>
      </c>
      <c r="AE103" s="96">
        <f>IF(Z103=0,0,IF(OR(B103="",C103="",E103="",G103="",H103="",I103="",N(W103)=0),1,0))</f>
        <v>0</v>
      </c>
      <c r="AF103" s="96">
        <f>IF(Z103=0,0,COUNTIFS('ITENS_MTR'!$S$6:$S$1005,A103,'ITENS_MTR'!$AI$6:$AI$1005,1))</f>
        <v>0</v>
      </c>
      <c r="AG103" s="96">
        <f>IF(Z103=0,0,COUNTIFS('ITENS_MTR'!$S$6:$S$1005,A103,'ITENS_MTR'!$AJ$6:$AJ$1005,1))</f>
        <v>0</v>
      </c>
      <c r="AH103" s="96">
        <f>IF(Z103=0,0,COUNTIFS('ITENS_MTR'!$S$6:$S$1005,A103,'ITENS_MTR'!$AM$6:$AM$1005,1))</f>
        <v>0</v>
      </c>
      <c r="AI103" s="96">
        <f>IF(Z103=0,0,COUNTIFS('ITENS_MTR'!$S$6:$S$1005,A103,'ITENS_MTR'!$AO$6:$AO$1005,1))</f>
        <v>0</v>
      </c>
      <c r="AJ103" s="96">
        <f>IF(Z103=0,0,COUNTIFS('ITENS_MTR'!$S$6:$S$1005,A103,'ITENS_MTR'!$AN$6:$AN$1005,1))</f>
        <v>0</v>
      </c>
      <c r="AK103" s="96">
        <f>IF(Z103=0,0,COUNTIFS('RECEBIMENTOS'!$B$6:$B$1005,A103,'RECEBIMENTOS'!$Y$6:$Y$1005,1))</f>
        <v>0</v>
      </c>
      <c r="AL103" s="96">
        <f>IF(Z103=0,0,COUNTIFS('VÍNCULOS_CDF'!$D$6:$D$1005,A103,'VÍNCULOS_CDF'!$Y$6:$Y$1005,1))</f>
        <v>0</v>
      </c>
      <c r="AM103" s="96">
        <f>IF(Z103=0,0,COUNTIFS('RECEBIMENTOS'!$B$6:$B$1005,A103,'RECEBIMENTOS'!$Q$6:$Q$1005,1))</f>
        <v>0</v>
      </c>
      <c r="AN103" s="96">
        <f>IF(AND(Z103=1,N(W103)&gt;0,AG103=N(W103)),1,0)</f>
        <v>0</v>
      </c>
      <c r="AO103" s="96">
        <f>IF(AND(Z103=1,N(W103)&gt;0,AI103=N(W103)),1,0)</f>
        <v>0</v>
      </c>
      <c r="AP103" s="97">
        <f>IF(Z103=0,0,_xlfn.MAXIFS('RECEBIMENTOS'!$E$6:$E$1005,'RECEBIMENTOS'!$B$6:$B$1005,A103))</f>
        <v>0</v>
      </c>
      <c r="AQ103" s="97" t="str">
        <f>IF(T103="","",IF(T103="RECEBIMENTO NÃO CONFIRMADO",IF(ISNUMBER(F103),F103,IF(ISNUMBER(E103),E103,"")),IF(OR(T103="CDF NÃO LOCALIZADO",T103="VÍNCULO INCOMPLETO",T103="CDF A CONFERIR"),IF(AP103&gt;0,AP103,IF(ISNUMBER(E103),E103,"")),IF(ISNUMBER(E103),E103,""))))</f>
        <v/>
      </c>
      <c r="AR103" s="96">
        <f>IF(NOT(ISNUMBER(U103)),0,IF(T103="RECEBIMENTO NÃO CONFIRMADO",IF(AND(ISNUMBER(cfg_rec),U103&gt;cfg_rec),1,0),IF(OR(T103="CDF NÃO LOCALIZADO",T103="VÍNCULO INCOMPLETO",T103="CDF A CONFERIR"),IF(AND(ISNUMBER(cfg_cdf),U103&gt;cfg_cdf),1,0),0)))</f>
        <v>0</v>
      </c>
      <c r="AS103" s="96" t="str">
        <f>IF(T103="","",IF(AR103=1,"Alta",IFERROR(INDEX(cfg_pp,MATCH(T103,cfg_pt,0))&amp;"","Média")))</f>
        <v/>
      </c>
      <c r="AT103" s="96" t="str">
        <f>IF(T103="","",IFERROR(INDEX(cfg_pv,MATCH(T103,cfg_pt,0))&amp;"",""))</f>
        <v/>
      </c>
      <c r="AU103" s="96" t="str">
        <f>IF(T103="","",IF(AS103="Alta",1,IF(AS103="Média",2,3))*1000000000+(999999-IF(ISNUMBER(U103),MIN(U103,999999),0))*1000+98)</f>
        <v/>
      </c>
      <c r="AV103" s="96">
        <f>IF(T103&lt;&gt;"",1,0)</f>
        <v>0</v>
      </c>
      <c r="AW103" s="96" t="str">
        <f>IF(Z103=0,"",IF(AA103=1,"Cancelamento informado; ","")&amp;IF(AE103=1,"Campos essenciais ou itens faltando; ","")&amp;IF(AC103=1,"Possível duplicidade do número; ","")&amp;IF(AD103=1,"Cadastro ou datas a revisar; ","")&amp;IF(AF103&gt;0,"Item de resíduo com dado a revisar; ","")&amp;IF(AH103&gt;0,"Diferença de quantidade a analisar; ","")&amp;IF(AK103&gt;0,"Recebimento com alerta; ","")&amp;IF(AL103&gt;0,"Vínculo de CDF com alerta; ","")&amp;IF(AND(AA103=0,AN103=0),"Recebimento não confirmado; ","")&amp;IF(AND(AA103=0,AN103=1,AO103=0),"CDF pendente ou a conferir; ",""))</f>
        <v/>
      </c>
      <c r="AX103" s="96">
        <f>IF(Z103=0,0,IF(AND(OR(f_ini="",AND(ISNUMBER(E103),E103&gt;=f_ini)),OR(f_fim="",AND(ISNUMBER(E103),E103&lt;=f_fim)),OR(f_un="",f_un="(Todas)",G103=f_un),OR(f_tr="",f_tr="(Todos)",H103=f_tr),OR(f_de="",f_de="(Todos)",I103=f_de),OR(f_sit="",f_sit="(Todas)",S103=f_sit)),1,0))</f>
        <v>0</v>
      </c>
      <c r="AY103" s="96">
        <f>IF(AX103=0,0,IF(OR(f_res="",f_res="(Todos)"),1,IF(COUNTIFS('ITENS_MTR'!$S$6:$S$1005,A103,'ITENS_MTR'!$C$6:$C$1005,f_res)&gt;0,1,0)))</f>
        <v>0</v>
      </c>
      <c r="AZ103" s="97" t="str">
        <f>IF(ISNUMBER(E103),DATE(YEAR(E103),MONTH(E103),1),"")</f>
        <v/>
      </c>
      <c r="BA103" s="96">
        <f>IF(Z103=0,0,IF(AND(OR(r_ini="",AND(ISNUMBER(E103),E103&gt;=r_ini)),OR(r_fim="",AND(ISNUMBER(E103),E103&lt;=r_fim)),OR(r_un="",r_un="(Todas)",G103=r_un),OR(r_de="",r_de="(Todos)",I103=r_de)),1,0))</f>
        <v>0</v>
      </c>
      <c r="BB103" s="96" t="str">
        <f>IF(BA103=1,COUNTIF($BA$6:BA103,1),"")</f>
        <v/>
      </c>
      <c r="BC103" s="96" t="str">
        <f>IF(AND(AU103&lt;&gt;"",OR(r_un="",r_un="(Todas)",G103=r_un),OR(r_de="",r_de="(Todos)",I103=r_de)),AU103,"")</f>
        <v/>
      </c>
      <c r="BD103" s="96" t="str">
        <f>IF(Z103=1,A103&amp;" | nº "&amp;IF(B103="","(sem número)",B103)&amp;" | "&amp;IF(G103="","(sem unidade)",G103),"")</f>
        <v/>
      </c>
      <c r="BE103" s="96" t="str">
        <f>IF(Z103=1,COUNTIF($Z$6:Z103,1),"")</f>
        <v/>
      </c>
      <c r="BF103" s="96" t="str">
        <f>IF(T103="","",IF(T103="RECEBIMENTO NÃO CONFIRMADO","Transp.: "&amp;H103&amp;" | Dest.: "&amp;I103,IF(OR(T103="CDF NÃO LOCALIZADO",T103="VÍNCULO INCOMPLETO",T103="CDF A CONFERIR"),"Dest.: "&amp;I103,"Gerador: "&amp;G103)))</f>
        <v/>
      </c>
    </row>
    <row r="104">
      <c r="A104" s="89" t="inlineStr">
        <is>
          <t>MTR-000099</t>
        </is>
      </c>
      <c r="B104" s="90" t="n"/>
      <c r="C104" s="91" t="n"/>
      <c r="D104" s="91" t="n"/>
      <c r="E104" s="92" t="n"/>
      <c r="F104" s="92" t="n"/>
      <c r="G104" s="91" t="n"/>
      <c r="H104" s="91" t="n"/>
      <c r="I104" s="91" t="n"/>
      <c r="J104" s="91" t="n"/>
      <c r="K104" s="91" t="n"/>
      <c r="L104" s="92" t="n"/>
      <c r="M104" s="91" t="n"/>
      <c r="N104" s="91" t="n"/>
      <c r="O104" s="91" t="n"/>
      <c r="P104" s="93" t="str">
        <f>IF(Z104=0,"",SUMIFS('ITENS_MTR'!$I$6:$I$1005,'ITENS_MTR'!$S$6:$S$1005,A104,'ITENS_MTR'!$Y$6:$Y$1005,1))</f>
        <v/>
      </c>
      <c r="Q104" s="93" t="str">
        <f>IF(Z104=0,"",SUMIFS('RECEBIMENTOS'!$H$6:$H$1005,'RECEBIMENTOS'!$B$6:$B$1005,A104,'RECEBIMENTOS'!$X$6:$X$1005,1))</f>
        <v/>
      </c>
      <c r="R104" s="93" t="str">
        <f>IF(Z104=0,"",SUMIFS('VÍNCULOS_CDF'!$H$6:$H$1005,'VÍNCULOS_CDF'!$D$6:$D$1005,A104,'VÍNCULOS_CDF'!$V$6:$V$1005,1))</f>
        <v/>
      </c>
      <c r="S104" s="94" t="str">
        <f>IF(Z104=0,"",IF(AA104=1,"Cancelado (informado)",IF(AE104=1,"Cadastro incompleto",IF(OR(AC104=1,AD104=1,AF104&gt;0,AH104&gt;0,AK104&gt;0,AL104&gt;0),"Informação a revisar",IF(AN104=0,"Aguardando recebimento",IF(N(R104)=0,"Aguardando CDF",IF(AJ104&lt;N(W104),"Vínculo de CDF parcial",IF(AO104=0,"CDF localizado, a conferir","Documentação conferida"))))))))</f>
        <v/>
      </c>
      <c r="T104" s="94" t="str">
        <f>IF(Z104=0,"",IF(S104="Cadastro incompleto","MTR INCOMPLETO",IF(S104="Informação a revisar",IF(AND(AH104&gt;0,AC104=0,AD104=0,AF104=0,AK104=0,AL104=0),"QUANTIDADE A REVISAR","IDENTIFICAÇÃO A REVISAR"),IF(S104="Aguardando recebimento","RECEBIMENTO NÃO CONFIRMADO",IF(S104="Aguardando CDF","CDF NÃO LOCALIZADO",IF(S104="Vínculo de CDF parcial","VÍNCULO INCOMPLETO",IF(S104="CDF localizado, a conferir","CDF A CONFERIR","")))))))</f>
        <v/>
      </c>
      <c r="U104" s="95" t="str">
        <f>IF(T104="","",IF(AQ104="","Não calculável",IF(AQ104&gt;TODAY(),"Data futura",TODAY()-AQ104)))</f>
        <v/>
      </c>
      <c r="V104" s="93" t="str">
        <f>IF(Z104=0,"",SUMIFS('RECEBIMENTOS'!$H$6:$H$1005,'RECEBIMENTOS'!$B$6:$B$1005,A104,'RECEBIMENTOS'!$Z$6:$Z$1005,1))</f>
        <v/>
      </c>
      <c r="W104" s="95" t="str">
        <f>IF(Z104=0,"",COUNTIFS('ITENS_MTR'!$S$6:$S$1005,A104,'ITENS_MTR'!$R$6:$R$1005,1))</f>
        <v/>
      </c>
      <c r="X104" s="94" t="str">
        <f>IF(AC104=1,"POSSÍVEL DUPLICIDADE","")</f>
        <v/>
      </c>
      <c r="Y104" s="94" t="str">
        <f>IF(Z104=0,"",IF(AW104="","Nenhuma",LEFT(AW104,LEN(AW104)-2)))</f>
        <v/>
      </c>
      <c r="Z104" s="96">
        <f>IF(COUNTA(B104:O104)&gt;0,1,0)</f>
        <v>0</v>
      </c>
      <c r="AA104" s="96">
        <f>IF(AND(Z104=1,K104&lt;&gt;""),IF(TRIM(K104)=TRIM(cfg_cancel),1,0),0)</f>
        <v>0</v>
      </c>
      <c r="AB104" s="96" t="str">
        <f>IF(AND(Z104=1,B104&lt;&gt;""),C104&amp;"|"&amp;D104&amp;"|"&amp;G104&amp;"|"&amp;TRIM(B104),"")</f>
        <v/>
      </c>
      <c r="AC104" s="96">
        <f>IF(AB104="",0,IF(SUMPRODUCT(--($AB$6:$AB$505=AB104))&gt;1,1,0))</f>
        <v>0</v>
      </c>
      <c r="AD104" s="96">
        <f>IF(Z104=0,0,IF(OR(AND(G104&lt;&gt;"",ISNA(MATCH(G104,'CAD_UNIDADES'!$C$6:$C$105,0))),AND(H104&lt;&gt;"",ISNA(MATCH(H104,cmp_transp,0))),AND(I104&lt;&gt;"",ISNA(MATCH(I104,cmp_dest,0))),AND(E104&lt;&gt;"",NOT(ISNUMBER(E104))),AND(F104&lt;&gt;"",NOT(ISNUMBER(F104))),AND(ISNUMBER(E104),ISNUMBER(F104),F104&lt;E104)),1,0))</f>
        <v>0</v>
      </c>
      <c r="AE104" s="96">
        <f>IF(Z104=0,0,IF(OR(B104="",C104="",E104="",G104="",H104="",I104="",N(W104)=0),1,0))</f>
        <v>0</v>
      </c>
      <c r="AF104" s="96">
        <f>IF(Z104=0,0,COUNTIFS('ITENS_MTR'!$S$6:$S$1005,A104,'ITENS_MTR'!$AI$6:$AI$1005,1))</f>
        <v>0</v>
      </c>
      <c r="AG104" s="96">
        <f>IF(Z104=0,0,COUNTIFS('ITENS_MTR'!$S$6:$S$1005,A104,'ITENS_MTR'!$AJ$6:$AJ$1005,1))</f>
        <v>0</v>
      </c>
      <c r="AH104" s="96">
        <f>IF(Z104=0,0,COUNTIFS('ITENS_MTR'!$S$6:$S$1005,A104,'ITENS_MTR'!$AM$6:$AM$1005,1))</f>
        <v>0</v>
      </c>
      <c r="AI104" s="96">
        <f>IF(Z104=0,0,COUNTIFS('ITENS_MTR'!$S$6:$S$1005,A104,'ITENS_MTR'!$AO$6:$AO$1005,1))</f>
        <v>0</v>
      </c>
      <c r="AJ104" s="96">
        <f>IF(Z104=0,0,COUNTIFS('ITENS_MTR'!$S$6:$S$1005,A104,'ITENS_MTR'!$AN$6:$AN$1005,1))</f>
        <v>0</v>
      </c>
      <c r="AK104" s="96">
        <f>IF(Z104=0,0,COUNTIFS('RECEBIMENTOS'!$B$6:$B$1005,A104,'RECEBIMENTOS'!$Y$6:$Y$1005,1))</f>
        <v>0</v>
      </c>
      <c r="AL104" s="96">
        <f>IF(Z104=0,0,COUNTIFS('VÍNCULOS_CDF'!$D$6:$D$1005,A104,'VÍNCULOS_CDF'!$Y$6:$Y$1005,1))</f>
        <v>0</v>
      </c>
      <c r="AM104" s="96">
        <f>IF(Z104=0,0,COUNTIFS('RECEBIMENTOS'!$B$6:$B$1005,A104,'RECEBIMENTOS'!$Q$6:$Q$1005,1))</f>
        <v>0</v>
      </c>
      <c r="AN104" s="96">
        <f>IF(AND(Z104=1,N(W104)&gt;0,AG104=N(W104)),1,0)</f>
        <v>0</v>
      </c>
      <c r="AO104" s="96">
        <f>IF(AND(Z104=1,N(W104)&gt;0,AI104=N(W104)),1,0)</f>
        <v>0</v>
      </c>
      <c r="AP104" s="97">
        <f>IF(Z104=0,0,_xlfn.MAXIFS('RECEBIMENTOS'!$E$6:$E$1005,'RECEBIMENTOS'!$B$6:$B$1005,A104))</f>
        <v>0</v>
      </c>
      <c r="AQ104" s="97" t="str">
        <f>IF(T104="","",IF(T104="RECEBIMENTO NÃO CONFIRMADO",IF(ISNUMBER(F104),F104,IF(ISNUMBER(E104),E104,"")),IF(OR(T104="CDF NÃO LOCALIZADO",T104="VÍNCULO INCOMPLETO",T104="CDF A CONFERIR"),IF(AP104&gt;0,AP104,IF(ISNUMBER(E104),E104,"")),IF(ISNUMBER(E104),E104,""))))</f>
        <v/>
      </c>
      <c r="AR104" s="96">
        <f>IF(NOT(ISNUMBER(U104)),0,IF(T104="RECEBIMENTO NÃO CONFIRMADO",IF(AND(ISNUMBER(cfg_rec),U104&gt;cfg_rec),1,0),IF(OR(T104="CDF NÃO LOCALIZADO",T104="VÍNCULO INCOMPLETO",T104="CDF A CONFERIR"),IF(AND(ISNUMBER(cfg_cdf),U104&gt;cfg_cdf),1,0),0)))</f>
        <v>0</v>
      </c>
      <c r="AS104" s="96" t="str">
        <f>IF(T104="","",IF(AR104=1,"Alta",IFERROR(INDEX(cfg_pp,MATCH(T104,cfg_pt,0))&amp;"","Média")))</f>
        <v/>
      </c>
      <c r="AT104" s="96" t="str">
        <f>IF(T104="","",IFERROR(INDEX(cfg_pv,MATCH(T104,cfg_pt,0))&amp;"",""))</f>
        <v/>
      </c>
      <c r="AU104" s="96" t="str">
        <f>IF(T104="","",IF(AS104="Alta",1,IF(AS104="Média",2,3))*1000000000+(999999-IF(ISNUMBER(U104),MIN(U104,999999),0))*1000+99)</f>
        <v/>
      </c>
      <c r="AV104" s="96">
        <f>IF(T104&lt;&gt;"",1,0)</f>
        <v>0</v>
      </c>
      <c r="AW104" s="96" t="str">
        <f>IF(Z104=0,"",IF(AA104=1,"Cancelamento informado; ","")&amp;IF(AE104=1,"Campos essenciais ou itens faltando; ","")&amp;IF(AC104=1,"Possível duplicidade do número; ","")&amp;IF(AD104=1,"Cadastro ou datas a revisar; ","")&amp;IF(AF104&gt;0,"Item de resíduo com dado a revisar; ","")&amp;IF(AH104&gt;0,"Diferença de quantidade a analisar; ","")&amp;IF(AK104&gt;0,"Recebimento com alerta; ","")&amp;IF(AL104&gt;0,"Vínculo de CDF com alerta; ","")&amp;IF(AND(AA104=0,AN104=0),"Recebimento não confirmado; ","")&amp;IF(AND(AA104=0,AN104=1,AO104=0),"CDF pendente ou a conferir; ",""))</f>
        <v/>
      </c>
      <c r="AX104" s="96">
        <f>IF(Z104=0,0,IF(AND(OR(f_ini="",AND(ISNUMBER(E104),E104&gt;=f_ini)),OR(f_fim="",AND(ISNUMBER(E104),E104&lt;=f_fim)),OR(f_un="",f_un="(Todas)",G104=f_un),OR(f_tr="",f_tr="(Todos)",H104=f_tr),OR(f_de="",f_de="(Todos)",I104=f_de),OR(f_sit="",f_sit="(Todas)",S104=f_sit)),1,0))</f>
        <v>0</v>
      </c>
      <c r="AY104" s="96">
        <f>IF(AX104=0,0,IF(OR(f_res="",f_res="(Todos)"),1,IF(COUNTIFS('ITENS_MTR'!$S$6:$S$1005,A104,'ITENS_MTR'!$C$6:$C$1005,f_res)&gt;0,1,0)))</f>
        <v>0</v>
      </c>
      <c r="AZ104" s="97" t="str">
        <f>IF(ISNUMBER(E104),DATE(YEAR(E104),MONTH(E104),1),"")</f>
        <v/>
      </c>
      <c r="BA104" s="96">
        <f>IF(Z104=0,0,IF(AND(OR(r_ini="",AND(ISNUMBER(E104),E104&gt;=r_ini)),OR(r_fim="",AND(ISNUMBER(E104),E104&lt;=r_fim)),OR(r_un="",r_un="(Todas)",G104=r_un),OR(r_de="",r_de="(Todos)",I104=r_de)),1,0))</f>
        <v>0</v>
      </c>
      <c r="BB104" s="96" t="str">
        <f>IF(BA104=1,COUNTIF($BA$6:BA104,1),"")</f>
        <v/>
      </c>
      <c r="BC104" s="96" t="str">
        <f>IF(AND(AU104&lt;&gt;"",OR(r_un="",r_un="(Todas)",G104=r_un),OR(r_de="",r_de="(Todos)",I104=r_de)),AU104,"")</f>
        <v/>
      </c>
      <c r="BD104" s="96" t="str">
        <f>IF(Z104=1,A104&amp;" | nº "&amp;IF(B104="","(sem número)",B104)&amp;" | "&amp;IF(G104="","(sem unidade)",G104),"")</f>
        <v/>
      </c>
      <c r="BE104" s="96" t="str">
        <f>IF(Z104=1,COUNTIF($Z$6:Z104,1),"")</f>
        <v/>
      </c>
      <c r="BF104" s="96" t="str">
        <f>IF(T104="","",IF(T104="RECEBIMENTO NÃO CONFIRMADO","Transp.: "&amp;H104&amp;" | Dest.: "&amp;I104,IF(OR(T104="CDF NÃO LOCALIZADO",T104="VÍNCULO INCOMPLETO",T104="CDF A CONFERIR"),"Dest.: "&amp;I104,"Gerador: "&amp;G104)))</f>
        <v/>
      </c>
    </row>
    <row r="105">
      <c r="A105" s="89" t="inlineStr">
        <is>
          <t>MTR-000100</t>
        </is>
      </c>
      <c r="B105" s="90" t="n"/>
      <c r="C105" s="91" t="n"/>
      <c r="D105" s="91" t="n"/>
      <c r="E105" s="92" t="n"/>
      <c r="F105" s="92" t="n"/>
      <c r="G105" s="91" t="n"/>
      <c r="H105" s="91" t="n"/>
      <c r="I105" s="91" t="n"/>
      <c r="J105" s="91" t="n"/>
      <c r="K105" s="91" t="n"/>
      <c r="L105" s="92" t="n"/>
      <c r="M105" s="91" t="n"/>
      <c r="N105" s="91" t="n"/>
      <c r="O105" s="91" t="n"/>
      <c r="P105" s="93" t="str">
        <f>IF(Z105=0,"",SUMIFS('ITENS_MTR'!$I$6:$I$1005,'ITENS_MTR'!$S$6:$S$1005,A105,'ITENS_MTR'!$Y$6:$Y$1005,1))</f>
        <v/>
      </c>
      <c r="Q105" s="93" t="str">
        <f>IF(Z105=0,"",SUMIFS('RECEBIMENTOS'!$H$6:$H$1005,'RECEBIMENTOS'!$B$6:$B$1005,A105,'RECEBIMENTOS'!$X$6:$X$1005,1))</f>
        <v/>
      </c>
      <c r="R105" s="93" t="str">
        <f>IF(Z105=0,"",SUMIFS('VÍNCULOS_CDF'!$H$6:$H$1005,'VÍNCULOS_CDF'!$D$6:$D$1005,A105,'VÍNCULOS_CDF'!$V$6:$V$1005,1))</f>
        <v/>
      </c>
      <c r="S105" s="94" t="str">
        <f>IF(Z105=0,"",IF(AA105=1,"Cancelado (informado)",IF(AE105=1,"Cadastro incompleto",IF(OR(AC105=1,AD105=1,AF105&gt;0,AH105&gt;0,AK105&gt;0,AL105&gt;0),"Informação a revisar",IF(AN105=0,"Aguardando recebimento",IF(N(R105)=0,"Aguardando CDF",IF(AJ105&lt;N(W105),"Vínculo de CDF parcial",IF(AO105=0,"CDF localizado, a conferir","Documentação conferida"))))))))</f>
        <v/>
      </c>
      <c r="T105" s="94" t="str">
        <f>IF(Z105=0,"",IF(S105="Cadastro incompleto","MTR INCOMPLETO",IF(S105="Informação a revisar",IF(AND(AH105&gt;0,AC105=0,AD105=0,AF105=0,AK105=0,AL105=0),"QUANTIDADE A REVISAR","IDENTIFICAÇÃO A REVISAR"),IF(S105="Aguardando recebimento","RECEBIMENTO NÃO CONFIRMADO",IF(S105="Aguardando CDF","CDF NÃO LOCALIZADO",IF(S105="Vínculo de CDF parcial","VÍNCULO INCOMPLETO",IF(S105="CDF localizado, a conferir","CDF A CONFERIR","")))))))</f>
        <v/>
      </c>
      <c r="U105" s="95" t="str">
        <f>IF(T105="","",IF(AQ105="","Não calculável",IF(AQ105&gt;TODAY(),"Data futura",TODAY()-AQ105)))</f>
        <v/>
      </c>
      <c r="V105" s="93" t="str">
        <f>IF(Z105=0,"",SUMIFS('RECEBIMENTOS'!$H$6:$H$1005,'RECEBIMENTOS'!$B$6:$B$1005,A105,'RECEBIMENTOS'!$Z$6:$Z$1005,1))</f>
        <v/>
      </c>
      <c r="W105" s="95" t="str">
        <f>IF(Z105=0,"",COUNTIFS('ITENS_MTR'!$S$6:$S$1005,A105,'ITENS_MTR'!$R$6:$R$1005,1))</f>
        <v/>
      </c>
      <c r="X105" s="94" t="str">
        <f>IF(AC105=1,"POSSÍVEL DUPLICIDADE","")</f>
        <v/>
      </c>
      <c r="Y105" s="94" t="str">
        <f>IF(Z105=0,"",IF(AW105="","Nenhuma",LEFT(AW105,LEN(AW105)-2)))</f>
        <v/>
      </c>
      <c r="Z105" s="96">
        <f>IF(COUNTA(B105:O105)&gt;0,1,0)</f>
        <v>0</v>
      </c>
      <c r="AA105" s="96">
        <f>IF(AND(Z105=1,K105&lt;&gt;""),IF(TRIM(K105)=TRIM(cfg_cancel),1,0),0)</f>
        <v>0</v>
      </c>
      <c r="AB105" s="96" t="str">
        <f>IF(AND(Z105=1,B105&lt;&gt;""),C105&amp;"|"&amp;D105&amp;"|"&amp;G105&amp;"|"&amp;TRIM(B105),"")</f>
        <v/>
      </c>
      <c r="AC105" s="96">
        <f>IF(AB105="",0,IF(SUMPRODUCT(--($AB$6:$AB$505=AB105))&gt;1,1,0))</f>
        <v>0</v>
      </c>
      <c r="AD105" s="96">
        <f>IF(Z105=0,0,IF(OR(AND(G105&lt;&gt;"",ISNA(MATCH(G105,'CAD_UNIDADES'!$C$6:$C$105,0))),AND(H105&lt;&gt;"",ISNA(MATCH(H105,cmp_transp,0))),AND(I105&lt;&gt;"",ISNA(MATCH(I105,cmp_dest,0))),AND(E105&lt;&gt;"",NOT(ISNUMBER(E105))),AND(F105&lt;&gt;"",NOT(ISNUMBER(F105))),AND(ISNUMBER(E105),ISNUMBER(F105),F105&lt;E105)),1,0))</f>
        <v>0</v>
      </c>
      <c r="AE105" s="96">
        <f>IF(Z105=0,0,IF(OR(B105="",C105="",E105="",G105="",H105="",I105="",N(W105)=0),1,0))</f>
        <v>0</v>
      </c>
      <c r="AF105" s="96">
        <f>IF(Z105=0,0,COUNTIFS('ITENS_MTR'!$S$6:$S$1005,A105,'ITENS_MTR'!$AI$6:$AI$1005,1))</f>
        <v>0</v>
      </c>
      <c r="AG105" s="96">
        <f>IF(Z105=0,0,COUNTIFS('ITENS_MTR'!$S$6:$S$1005,A105,'ITENS_MTR'!$AJ$6:$AJ$1005,1))</f>
        <v>0</v>
      </c>
      <c r="AH105" s="96">
        <f>IF(Z105=0,0,COUNTIFS('ITENS_MTR'!$S$6:$S$1005,A105,'ITENS_MTR'!$AM$6:$AM$1005,1))</f>
        <v>0</v>
      </c>
      <c r="AI105" s="96">
        <f>IF(Z105=0,0,COUNTIFS('ITENS_MTR'!$S$6:$S$1005,A105,'ITENS_MTR'!$AO$6:$AO$1005,1))</f>
        <v>0</v>
      </c>
      <c r="AJ105" s="96">
        <f>IF(Z105=0,0,COUNTIFS('ITENS_MTR'!$S$6:$S$1005,A105,'ITENS_MTR'!$AN$6:$AN$1005,1))</f>
        <v>0</v>
      </c>
      <c r="AK105" s="96">
        <f>IF(Z105=0,0,COUNTIFS('RECEBIMENTOS'!$B$6:$B$1005,A105,'RECEBIMENTOS'!$Y$6:$Y$1005,1))</f>
        <v>0</v>
      </c>
      <c r="AL105" s="96">
        <f>IF(Z105=0,0,COUNTIFS('VÍNCULOS_CDF'!$D$6:$D$1005,A105,'VÍNCULOS_CDF'!$Y$6:$Y$1005,1))</f>
        <v>0</v>
      </c>
      <c r="AM105" s="96">
        <f>IF(Z105=0,0,COUNTIFS('RECEBIMENTOS'!$B$6:$B$1005,A105,'RECEBIMENTOS'!$Q$6:$Q$1005,1))</f>
        <v>0</v>
      </c>
      <c r="AN105" s="96">
        <f>IF(AND(Z105=1,N(W105)&gt;0,AG105=N(W105)),1,0)</f>
        <v>0</v>
      </c>
      <c r="AO105" s="96">
        <f>IF(AND(Z105=1,N(W105)&gt;0,AI105=N(W105)),1,0)</f>
        <v>0</v>
      </c>
      <c r="AP105" s="97">
        <f>IF(Z105=0,0,_xlfn.MAXIFS('RECEBIMENTOS'!$E$6:$E$1005,'RECEBIMENTOS'!$B$6:$B$1005,A105))</f>
        <v>0</v>
      </c>
      <c r="AQ105" s="97" t="str">
        <f>IF(T105="","",IF(T105="RECEBIMENTO NÃO CONFIRMADO",IF(ISNUMBER(F105),F105,IF(ISNUMBER(E105),E105,"")),IF(OR(T105="CDF NÃO LOCALIZADO",T105="VÍNCULO INCOMPLETO",T105="CDF A CONFERIR"),IF(AP105&gt;0,AP105,IF(ISNUMBER(E105),E105,"")),IF(ISNUMBER(E105),E105,""))))</f>
        <v/>
      </c>
      <c r="AR105" s="96">
        <f>IF(NOT(ISNUMBER(U105)),0,IF(T105="RECEBIMENTO NÃO CONFIRMADO",IF(AND(ISNUMBER(cfg_rec),U105&gt;cfg_rec),1,0),IF(OR(T105="CDF NÃO LOCALIZADO",T105="VÍNCULO INCOMPLETO",T105="CDF A CONFERIR"),IF(AND(ISNUMBER(cfg_cdf),U105&gt;cfg_cdf),1,0),0)))</f>
        <v>0</v>
      </c>
      <c r="AS105" s="96" t="str">
        <f>IF(T105="","",IF(AR105=1,"Alta",IFERROR(INDEX(cfg_pp,MATCH(T105,cfg_pt,0))&amp;"","Média")))</f>
        <v/>
      </c>
      <c r="AT105" s="96" t="str">
        <f>IF(T105="","",IFERROR(INDEX(cfg_pv,MATCH(T105,cfg_pt,0))&amp;"",""))</f>
        <v/>
      </c>
      <c r="AU105" s="96" t="str">
        <f>IF(T105="","",IF(AS105="Alta",1,IF(AS105="Média",2,3))*1000000000+(999999-IF(ISNUMBER(U105),MIN(U105,999999),0))*1000+100)</f>
        <v/>
      </c>
      <c r="AV105" s="96">
        <f>IF(T105&lt;&gt;"",1,0)</f>
        <v>0</v>
      </c>
      <c r="AW105" s="96" t="str">
        <f>IF(Z105=0,"",IF(AA105=1,"Cancelamento informado; ","")&amp;IF(AE105=1,"Campos essenciais ou itens faltando; ","")&amp;IF(AC105=1,"Possível duplicidade do número; ","")&amp;IF(AD105=1,"Cadastro ou datas a revisar; ","")&amp;IF(AF105&gt;0,"Item de resíduo com dado a revisar; ","")&amp;IF(AH105&gt;0,"Diferença de quantidade a analisar; ","")&amp;IF(AK105&gt;0,"Recebimento com alerta; ","")&amp;IF(AL105&gt;0,"Vínculo de CDF com alerta; ","")&amp;IF(AND(AA105=0,AN105=0),"Recebimento não confirmado; ","")&amp;IF(AND(AA105=0,AN105=1,AO105=0),"CDF pendente ou a conferir; ",""))</f>
        <v/>
      </c>
      <c r="AX105" s="96">
        <f>IF(Z105=0,0,IF(AND(OR(f_ini="",AND(ISNUMBER(E105),E105&gt;=f_ini)),OR(f_fim="",AND(ISNUMBER(E105),E105&lt;=f_fim)),OR(f_un="",f_un="(Todas)",G105=f_un),OR(f_tr="",f_tr="(Todos)",H105=f_tr),OR(f_de="",f_de="(Todos)",I105=f_de),OR(f_sit="",f_sit="(Todas)",S105=f_sit)),1,0))</f>
        <v>0</v>
      </c>
      <c r="AY105" s="96">
        <f>IF(AX105=0,0,IF(OR(f_res="",f_res="(Todos)"),1,IF(COUNTIFS('ITENS_MTR'!$S$6:$S$1005,A105,'ITENS_MTR'!$C$6:$C$1005,f_res)&gt;0,1,0)))</f>
        <v>0</v>
      </c>
      <c r="AZ105" s="97" t="str">
        <f>IF(ISNUMBER(E105),DATE(YEAR(E105),MONTH(E105),1),"")</f>
        <v/>
      </c>
      <c r="BA105" s="96">
        <f>IF(Z105=0,0,IF(AND(OR(r_ini="",AND(ISNUMBER(E105),E105&gt;=r_ini)),OR(r_fim="",AND(ISNUMBER(E105),E105&lt;=r_fim)),OR(r_un="",r_un="(Todas)",G105=r_un),OR(r_de="",r_de="(Todos)",I105=r_de)),1,0))</f>
        <v>0</v>
      </c>
      <c r="BB105" s="96" t="str">
        <f>IF(BA105=1,COUNTIF($BA$6:BA105,1),"")</f>
        <v/>
      </c>
      <c r="BC105" s="96" t="str">
        <f>IF(AND(AU105&lt;&gt;"",OR(r_un="",r_un="(Todas)",G105=r_un),OR(r_de="",r_de="(Todos)",I105=r_de)),AU105,"")</f>
        <v/>
      </c>
      <c r="BD105" s="96" t="str">
        <f>IF(Z105=1,A105&amp;" | nº "&amp;IF(B105="","(sem número)",B105)&amp;" | "&amp;IF(G105="","(sem unidade)",G105),"")</f>
        <v/>
      </c>
      <c r="BE105" s="96" t="str">
        <f>IF(Z105=1,COUNTIF($Z$6:Z105,1),"")</f>
        <v/>
      </c>
      <c r="BF105" s="96" t="str">
        <f>IF(T105="","",IF(T105="RECEBIMENTO NÃO CONFIRMADO","Transp.: "&amp;H105&amp;" | Dest.: "&amp;I105,IF(OR(T105="CDF NÃO LOCALIZADO",T105="VÍNCULO INCOMPLETO",T105="CDF A CONFERIR"),"Dest.: "&amp;I105,"Gerador: "&amp;G105)))</f>
        <v/>
      </c>
    </row>
    <row r="106">
      <c r="A106" s="89" t="inlineStr">
        <is>
          <t>MTR-000101</t>
        </is>
      </c>
      <c r="B106" s="90" t="n"/>
      <c r="C106" s="91" t="n"/>
      <c r="D106" s="91" t="n"/>
      <c r="E106" s="92" t="n"/>
      <c r="F106" s="92" t="n"/>
      <c r="G106" s="91" t="n"/>
      <c r="H106" s="91" t="n"/>
      <c r="I106" s="91" t="n"/>
      <c r="J106" s="91" t="n"/>
      <c r="K106" s="91" t="n"/>
      <c r="L106" s="92" t="n"/>
      <c r="M106" s="91" t="n"/>
      <c r="N106" s="91" t="n"/>
      <c r="O106" s="91" t="n"/>
      <c r="P106" s="93" t="str">
        <f>IF(Z106=0,"",SUMIFS('ITENS_MTR'!$I$6:$I$1005,'ITENS_MTR'!$S$6:$S$1005,A106,'ITENS_MTR'!$Y$6:$Y$1005,1))</f>
        <v/>
      </c>
      <c r="Q106" s="93" t="str">
        <f>IF(Z106=0,"",SUMIFS('RECEBIMENTOS'!$H$6:$H$1005,'RECEBIMENTOS'!$B$6:$B$1005,A106,'RECEBIMENTOS'!$X$6:$X$1005,1))</f>
        <v/>
      </c>
      <c r="R106" s="93" t="str">
        <f>IF(Z106=0,"",SUMIFS('VÍNCULOS_CDF'!$H$6:$H$1005,'VÍNCULOS_CDF'!$D$6:$D$1005,A106,'VÍNCULOS_CDF'!$V$6:$V$1005,1))</f>
        <v/>
      </c>
      <c r="S106" s="94" t="str">
        <f>IF(Z106=0,"",IF(AA106=1,"Cancelado (informado)",IF(AE106=1,"Cadastro incompleto",IF(OR(AC106=1,AD106=1,AF106&gt;0,AH106&gt;0,AK106&gt;0,AL106&gt;0),"Informação a revisar",IF(AN106=0,"Aguardando recebimento",IF(N(R106)=0,"Aguardando CDF",IF(AJ106&lt;N(W106),"Vínculo de CDF parcial",IF(AO106=0,"CDF localizado, a conferir","Documentação conferida"))))))))</f>
        <v/>
      </c>
      <c r="T106" s="94" t="str">
        <f>IF(Z106=0,"",IF(S106="Cadastro incompleto","MTR INCOMPLETO",IF(S106="Informação a revisar",IF(AND(AH106&gt;0,AC106=0,AD106=0,AF106=0,AK106=0,AL106=0),"QUANTIDADE A REVISAR","IDENTIFICAÇÃO A REVISAR"),IF(S106="Aguardando recebimento","RECEBIMENTO NÃO CONFIRMADO",IF(S106="Aguardando CDF","CDF NÃO LOCALIZADO",IF(S106="Vínculo de CDF parcial","VÍNCULO INCOMPLETO",IF(S106="CDF localizado, a conferir","CDF A CONFERIR","")))))))</f>
        <v/>
      </c>
      <c r="U106" s="95" t="str">
        <f>IF(T106="","",IF(AQ106="","Não calculável",IF(AQ106&gt;TODAY(),"Data futura",TODAY()-AQ106)))</f>
        <v/>
      </c>
      <c r="V106" s="93" t="str">
        <f>IF(Z106=0,"",SUMIFS('RECEBIMENTOS'!$H$6:$H$1005,'RECEBIMENTOS'!$B$6:$B$1005,A106,'RECEBIMENTOS'!$Z$6:$Z$1005,1))</f>
        <v/>
      </c>
      <c r="W106" s="95" t="str">
        <f>IF(Z106=0,"",COUNTIFS('ITENS_MTR'!$S$6:$S$1005,A106,'ITENS_MTR'!$R$6:$R$1005,1))</f>
        <v/>
      </c>
      <c r="X106" s="94" t="str">
        <f>IF(AC106=1,"POSSÍVEL DUPLICIDADE","")</f>
        <v/>
      </c>
      <c r="Y106" s="94" t="str">
        <f>IF(Z106=0,"",IF(AW106="","Nenhuma",LEFT(AW106,LEN(AW106)-2)))</f>
        <v/>
      </c>
      <c r="Z106" s="96">
        <f>IF(COUNTA(B106:O106)&gt;0,1,0)</f>
        <v>0</v>
      </c>
      <c r="AA106" s="96">
        <f>IF(AND(Z106=1,K106&lt;&gt;""),IF(TRIM(K106)=TRIM(cfg_cancel),1,0),0)</f>
        <v>0</v>
      </c>
      <c r="AB106" s="96" t="str">
        <f>IF(AND(Z106=1,B106&lt;&gt;""),C106&amp;"|"&amp;D106&amp;"|"&amp;G106&amp;"|"&amp;TRIM(B106),"")</f>
        <v/>
      </c>
      <c r="AC106" s="96">
        <f>IF(AB106="",0,IF(SUMPRODUCT(--($AB$6:$AB$505=AB106))&gt;1,1,0))</f>
        <v>0</v>
      </c>
      <c r="AD106" s="96">
        <f>IF(Z106=0,0,IF(OR(AND(G106&lt;&gt;"",ISNA(MATCH(G106,'CAD_UNIDADES'!$C$6:$C$105,0))),AND(H106&lt;&gt;"",ISNA(MATCH(H106,cmp_transp,0))),AND(I106&lt;&gt;"",ISNA(MATCH(I106,cmp_dest,0))),AND(E106&lt;&gt;"",NOT(ISNUMBER(E106))),AND(F106&lt;&gt;"",NOT(ISNUMBER(F106))),AND(ISNUMBER(E106),ISNUMBER(F106),F106&lt;E106)),1,0))</f>
        <v>0</v>
      </c>
      <c r="AE106" s="96">
        <f>IF(Z106=0,0,IF(OR(B106="",C106="",E106="",G106="",H106="",I106="",N(W106)=0),1,0))</f>
        <v>0</v>
      </c>
      <c r="AF106" s="96">
        <f>IF(Z106=0,0,COUNTIFS('ITENS_MTR'!$S$6:$S$1005,A106,'ITENS_MTR'!$AI$6:$AI$1005,1))</f>
        <v>0</v>
      </c>
      <c r="AG106" s="96">
        <f>IF(Z106=0,0,COUNTIFS('ITENS_MTR'!$S$6:$S$1005,A106,'ITENS_MTR'!$AJ$6:$AJ$1005,1))</f>
        <v>0</v>
      </c>
      <c r="AH106" s="96">
        <f>IF(Z106=0,0,COUNTIFS('ITENS_MTR'!$S$6:$S$1005,A106,'ITENS_MTR'!$AM$6:$AM$1005,1))</f>
        <v>0</v>
      </c>
      <c r="AI106" s="96">
        <f>IF(Z106=0,0,COUNTIFS('ITENS_MTR'!$S$6:$S$1005,A106,'ITENS_MTR'!$AO$6:$AO$1005,1))</f>
        <v>0</v>
      </c>
      <c r="AJ106" s="96">
        <f>IF(Z106=0,0,COUNTIFS('ITENS_MTR'!$S$6:$S$1005,A106,'ITENS_MTR'!$AN$6:$AN$1005,1))</f>
        <v>0</v>
      </c>
      <c r="AK106" s="96">
        <f>IF(Z106=0,0,COUNTIFS('RECEBIMENTOS'!$B$6:$B$1005,A106,'RECEBIMENTOS'!$Y$6:$Y$1005,1))</f>
        <v>0</v>
      </c>
      <c r="AL106" s="96">
        <f>IF(Z106=0,0,COUNTIFS('VÍNCULOS_CDF'!$D$6:$D$1005,A106,'VÍNCULOS_CDF'!$Y$6:$Y$1005,1))</f>
        <v>0</v>
      </c>
      <c r="AM106" s="96">
        <f>IF(Z106=0,0,COUNTIFS('RECEBIMENTOS'!$B$6:$B$1005,A106,'RECEBIMENTOS'!$Q$6:$Q$1005,1))</f>
        <v>0</v>
      </c>
      <c r="AN106" s="96">
        <f>IF(AND(Z106=1,N(W106)&gt;0,AG106=N(W106)),1,0)</f>
        <v>0</v>
      </c>
      <c r="AO106" s="96">
        <f>IF(AND(Z106=1,N(W106)&gt;0,AI106=N(W106)),1,0)</f>
        <v>0</v>
      </c>
      <c r="AP106" s="97">
        <f>IF(Z106=0,0,_xlfn.MAXIFS('RECEBIMENTOS'!$E$6:$E$1005,'RECEBIMENTOS'!$B$6:$B$1005,A106))</f>
        <v>0</v>
      </c>
      <c r="AQ106" s="97" t="str">
        <f>IF(T106="","",IF(T106="RECEBIMENTO NÃO CONFIRMADO",IF(ISNUMBER(F106),F106,IF(ISNUMBER(E106),E106,"")),IF(OR(T106="CDF NÃO LOCALIZADO",T106="VÍNCULO INCOMPLETO",T106="CDF A CONFERIR"),IF(AP106&gt;0,AP106,IF(ISNUMBER(E106),E106,"")),IF(ISNUMBER(E106),E106,""))))</f>
        <v/>
      </c>
      <c r="AR106" s="96">
        <f>IF(NOT(ISNUMBER(U106)),0,IF(T106="RECEBIMENTO NÃO CONFIRMADO",IF(AND(ISNUMBER(cfg_rec),U106&gt;cfg_rec),1,0),IF(OR(T106="CDF NÃO LOCALIZADO",T106="VÍNCULO INCOMPLETO",T106="CDF A CONFERIR"),IF(AND(ISNUMBER(cfg_cdf),U106&gt;cfg_cdf),1,0),0)))</f>
        <v>0</v>
      </c>
      <c r="AS106" s="96" t="str">
        <f>IF(T106="","",IF(AR106=1,"Alta",IFERROR(INDEX(cfg_pp,MATCH(T106,cfg_pt,0))&amp;"","Média")))</f>
        <v/>
      </c>
      <c r="AT106" s="96" t="str">
        <f>IF(T106="","",IFERROR(INDEX(cfg_pv,MATCH(T106,cfg_pt,0))&amp;"",""))</f>
        <v/>
      </c>
      <c r="AU106" s="96" t="str">
        <f>IF(T106="","",IF(AS106="Alta",1,IF(AS106="Média",2,3))*1000000000+(999999-IF(ISNUMBER(U106),MIN(U106,999999),0))*1000+101)</f>
        <v/>
      </c>
      <c r="AV106" s="96">
        <f>IF(T106&lt;&gt;"",1,0)</f>
        <v>0</v>
      </c>
      <c r="AW106" s="96" t="str">
        <f>IF(Z106=0,"",IF(AA106=1,"Cancelamento informado; ","")&amp;IF(AE106=1,"Campos essenciais ou itens faltando; ","")&amp;IF(AC106=1,"Possível duplicidade do número; ","")&amp;IF(AD106=1,"Cadastro ou datas a revisar; ","")&amp;IF(AF106&gt;0,"Item de resíduo com dado a revisar; ","")&amp;IF(AH106&gt;0,"Diferença de quantidade a analisar; ","")&amp;IF(AK106&gt;0,"Recebimento com alerta; ","")&amp;IF(AL106&gt;0,"Vínculo de CDF com alerta; ","")&amp;IF(AND(AA106=0,AN106=0),"Recebimento não confirmado; ","")&amp;IF(AND(AA106=0,AN106=1,AO106=0),"CDF pendente ou a conferir; ",""))</f>
        <v/>
      </c>
      <c r="AX106" s="96">
        <f>IF(Z106=0,0,IF(AND(OR(f_ini="",AND(ISNUMBER(E106),E106&gt;=f_ini)),OR(f_fim="",AND(ISNUMBER(E106),E106&lt;=f_fim)),OR(f_un="",f_un="(Todas)",G106=f_un),OR(f_tr="",f_tr="(Todos)",H106=f_tr),OR(f_de="",f_de="(Todos)",I106=f_de),OR(f_sit="",f_sit="(Todas)",S106=f_sit)),1,0))</f>
        <v>0</v>
      </c>
      <c r="AY106" s="96">
        <f>IF(AX106=0,0,IF(OR(f_res="",f_res="(Todos)"),1,IF(COUNTIFS('ITENS_MTR'!$S$6:$S$1005,A106,'ITENS_MTR'!$C$6:$C$1005,f_res)&gt;0,1,0)))</f>
        <v>0</v>
      </c>
      <c r="AZ106" s="97" t="str">
        <f>IF(ISNUMBER(E106),DATE(YEAR(E106),MONTH(E106),1),"")</f>
        <v/>
      </c>
      <c r="BA106" s="96">
        <f>IF(Z106=0,0,IF(AND(OR(r_ini="",AND(ISNUMBER(E106),E106&gt;=r_ini)),OR(r_fim="",AND(ISNUMBER(E106),E106&lt;=r_fim)),OR(r_un="",r_un="(Todas)",G106=r_un),OR(r_de="",r_de="(Todos)",I106=r_de)),1,0))</f>
        <v>0</v>
      </c>
      <c r="BB106" s="96" t="str">
        <f>IF(BA106=1,COUNTIF($BA$6:BA106,1),"")</f>
        <v/>
      </c>
      <c r="BC106" s="96" t="str">
        <f>IF(AND(AU106&lt;&gt;"",OR(r_un="",r_un="(Todas)",G106=r_un),OR(r_de="",r_de="(Todos)",I106=r_de)),AU106,"")</f>
        <v/>
      </c>
      <c r="BD106" s="96" t="str">
        <f>IF(Z106=1,A106&amp;" | nº "&amp;IF(B106="","(sem número)",B106)&amp;" | "&amp;IF(G106="","(sem unidade)",G106),"")</f>
        <v/>
      </c>
      <c r="BE106" s="96" t="str">
        <f>IF(Z106=1,COUNTIF($Z$6:Z106,1),"")</f>
        <v/>
      </c>
      <c r="BF106" s="96" t="str">
        <f>IF(T106="","",IF(T106="RECEBIMENTO NÃO CONFIRMADO","Transp.: "&amp;H106&amp;" | Dest.: "&amp;I106,IF(OR(T106="CDF NÃO LOCALIZADO",T106="VÍNCULO INCOMPLETO",T106="CDF A CONFERIR"),"Dest.: "&amp;I106,"Gerador: "&amp;G106)))</f>
        <v/>
      </c>
    </row>
    <row r="107">
      <c r="A107" s="89" t="inlineStr">
        <is>
          <t>MTR-000102</t>
        </is>
      </c>
      <c r="B107" s="90" t="n"/>
      <c r="C107" s="91" t="n"/>
      <c r="D107" s="91" t="n"/>
      <c r="E107" s="92" t="n"/>
      <c r="F107" s="92" t="n"/>
      <c r="G107" s="91" t="n"/>
      <c r="H107" s="91" t="n"/>
      <c r="I107" s="91" t="n"/>
      <c r="J107" s="91" t="n"/>
      <c r="K107" s="91" t="n"/>
      <c r="L107" s="92" t="n"/>
      <c r="M107" s="91" t="n"/>
      <c r="N107" s="91" t="n"/>
      <c r="O107" s="91" t="n"/>
      <c r="P107" s="93" t="str">
        <f>IF(Z107=0,"",SUMIFS('ITENS_MTR'!$I$6:$I$1005,'ITENS_MTR'!$S$6:$S$1005,A107,'ITENS_MTR'!$Y$6:$Y$1005,1))</f>
        <v/>
      </c>
      <c r="Q107" s="93" t="str">
        <f>IF(Z107=0,"",SUMIFS('RECEBIMENTOS'!$H$6:$H$1005,'RECEBIMENTOS'!$B$6:$B$1005,A107,'RECEBIMENTOS'!$X$6:$X$1005,1))</f>
        <v/>
      </c>
      <c r="R107" s="93" t="str">
        <f>IF(Z107=0,"",SUMIFS('VÍNCULOS_CDF'!$H$6:$H$1005,'VÍNCULOS_CDF'!$D$6:$D$1005,A107,'VÍNCULOS_CDF'!$V$6:$V$1005,1))</f>
        <v/>
      </c>
      <c r="S107" s="94" t="str">
        <f>IF(Z107=0,"",IF(AA107=1,"Cancelado (informado)",IF(AE107=1,"Cadastro incompleto",IF(OR(AC107=1,AD107=1,AF107&gt;0,AH107&gt;0,AK107&gt;0,AL107&gt;0),"Informação a revisar",IF(AN107=0,"Aguardando recebimento",IF(N(R107)=0,"Aguardando CDF",IF(AJ107&lt;N(W107),"Vínculo de CDF parcial",IF(AO107=0,"CDF localizado, a conferir","Documentação conferida"))))))))</f>
        <v/>
      </c>
      <c r="T107" s="94" t="str">
        <f>IF(Z107=0,"",IF(S107="Cadastro incompleto","MTR INCOMPLETO",IF(S107="Informação a revisar",IF(AND(AH107&gt;0,AC107=0,AD107=0,AF107=0,AK107=0,AL107=0),"QUANTIDADE A REVISAR","IDENTIFICAÇÃO A REVISAR"),IF(S107="Aguardando recebimento","RECEBIMENTO NÃO CONFIRMADO",IF(S107="Aguardando CDF","CDF NÃO LOCALIZADO",IF(S107="Vínculo de CDF parcial","VÍNCULO INCOMPLETO",IF(S107="CDF localizado, a conferir","CDF A CONFERIR","")))))))</f>
        <v/>
      </c>
      <c r="U107" s="95" t="str">
        <f>IF(T107="","",IF(AQ107="","Não calculável",IF(AQ107&gt;TODAY(),"Data futura",TODAY()-AQ107)))</f>
        <v/>
      </c>
      <c r="V107" s="93" t="str">
        <f>IF(Z107=0,"",SUMIFS('RECEBIMENTOS'!$H$6:$H$1005,'RECEBIMENTOS'!$B$6:$B$1005,A107,'RECEBIMENTOS'!$Z$6:$Z$1005,1))</f>
        <v/>
      </c>
      <c r="W107" s="95" t="str">
        <f>IF(Z107=0,"",COUNTIFS('ITENS_MTR'!$S$6:$S$1005,A107,'ITENS_MTR'!$R$6:$R$1005,1))</f>
        <v/>
      </c>
      <c r="X107" s="94" t="str">
        <f>IF(AC107=1,"POSSÍVEL DUPLICIDADE","")</f>
        <v/>
      </c>
      <c r="Y107" s="94" t="str">
        <f>IF(Z107=0,"",IF(AW107="","Nenhuma",LEFT(AW107,LEN(AW107)-2)))</f>
        <v/>
      </c>
      <c r="Z107" s="96">
        <f>IF(COUNTA(B107:O107)&gt;0,1,0)</f>
        <v>0</v>
      </c>
      <c r="AA107" s="96">
        <f>IF(AND(Z107=1,K107&lt;&gt;""),IF(TRIM(K107)=TRIM(cfg_cancel),1,0),0)</f>
        <v>0</v>
      </c>
      <c r="AB107" s="96" t="str">
        <f>IF(AND(Z107=1,B107&lt;&gt;""),C107&amp;"|"&amp;D107&amp;"|"&amp;G107&amp;"|"&amp;TRIM(B107),"")</f>
        <v/>
      </c>
      <c r="AC107" s="96">
        <f>IF(AB107="",0,IF(SUMPRODUCT(--($AB$6:$AB$505=AB107))&gt;1,1,0))</f>
        <v>0</v>
      </c>
      <c r="AD107" s="96">
        <f>IF(Z107=0,0,IF(OR(AND(G107&lt;&gt;"",ISNA(MATCH(G107,'CAD_UNIDADES'!$C$6:$C$105,0))),AND(H107&lt;&gt;"",ISNA(MATCH(H107,cmp_transp,0))),AND(I107&lt;&gt;"",ISNA(MATCH(I107,cmp_dest,0))),AND(E107&lt;&gt;"",NOT(ISNUMBER(E107))),AND(F107&lt;&gt;"",NOT(ISNUMBER(F107))),AND(ISNUMBER(E107),ISNUMBER(F107),F107&lt;E107)),1,0))</f>
        <v>0</v>
      </c>
      <c r="AE107" s="96">
        <f>IF(Z107=0,0,IF(OR(B107="",C107="",E107="",G107="",H107="",I107="",N(W107)=0),1,0))</f>
        <v>0</v>
      </c>
      <c r="AF107" s="96">
        <f>IF(Z107=0,0,COUNTIFS('ITENS_MTR'!$S$6:$S$1005,A107,'ITENS_MTR'!$AI$6:$AI$1005,1))</f>
        <v>0</v>
      </c>
      <c r="AG107" s="96">
        <f>IF(Z107=0,0,COUNTIFS('ITENS_MTR'!$S$6:$S$1005,A107,'ITENS_MTR'!$AJ$6:$AJ$1005,1))</f>
        <v>0</v>
      </c>
      <c r="AH107" s="96">
        <f>IF(Z107=0,0,COUNTIFS('ITENS_MTR'!$S$6:$S$1005,A107,'ITENS_MTR'!$AM$6:$AM$1005,1))</f>
        <v>0</v>
      </c>
      <c r="AI107" s="96">
        <f>IF(Z107=0,0,COUNTIFS('ITENS_MTR'!$S$6:$S$1005,A107,'ITENS_MTR'!$AO$6:$AO$1005,1))</f>
        <v>0</v>
      </c>
      <c r="AJ107" s="96">
        <f>IF(Z107=0,0,COUNTIFS('ITENS_MTR'!$S$6:$S$1005,A107,'ITENS_MTR'!$AN$6:$AN$1005,1))</f>
        <v>0</v>
      </c>
      <c r="AK107" s="96">
        <f>IF(Z107=0,0,COUNTIFS('RECEBIMENTOS'!$B$6:$B$1005,A107,'RECEBIMENTOS'!$Y$6:$Y$1005,1))</f>
        <v>0</v>
      </c>
      <c r="AL107" s="96">
        <f>IF(Z107=0,0,COUNTIFS('VÍNCULOS_CDF'!$D$6:$D$1005,A107,'VÍNCULOS_CDF'!$Y$6:$Y$1005,1))</f>
        <v>0</v>
      </c>
      <c r="AM107" s="96">
        <f>IF(Z107=0,0,COUNTIFS('RECEBIMENTOS'!$B$6:$B$1005,A107,'RECEBIMENTOS'!$Q$6:$Q$1005,1))</f>
        <v>0</v>
      </c>
      <c r="AN107" s="96">
        <f>IF(AND(Z107=1,N(W107)&gt;0,AG107=N(W107)),1,0)</f>
        <v>0</v>
      </c>
      <c r="AO107" s="96">
        <f>IF(AND(Z107=1,N(W107)&gt;0,AI107=N(W107)),1,0)</f>
        <v>0</v>
      </c>
      <c r="AP107" s="97">
        <f>IF(Z107=0,0,_xlfn.MAXIFS('RECEBIMENTOS'!$E$6:$E$1005,'RECEBIMENTOS'!$B$6:$B$1005,A107))</f>
        <v>0</v>
      </c>
      <c r="AQ107" s="97" t="str">
        <f>IF(T107="","",IF(T107="RECEBIMENTO NÃO CONFIRMADO",IF(ISNUMBER(F107),F107,IF(ISNUMBER(E107),E107,"")),IF(OR(T107="CDF NÃO LOCALIZADO",T107="VÍNCULO INCOMPLETO",T107="CDF A CONFERIR"),IF(AP107&gt;0,AP107,IF(ISNUMBER(E107),E107,"")),IF(ISNUMBER(E107),E107,""))))</f>
        <v/>
      </c>
      <c r="AR107" s="96">
        <f>IF(NOT(ISNUMBER(U107)),0,IF(T107="RECEBIMENTO NÃO CONFIRMADO",IF(AND(ISNUMBER(cfg_rec),U107&gt;cfg_rec),1,0),IF(OR(T107="CDF NÃO LOCALIZADO",T107="VÍNCULO INCOMPLETO",T107="CDF A CONFERIR"),IF(AND(ISNUMBER(cfg_cdf),U107&gt;cfg_cdf),1,0),0)))</f>
        <v>0</v>
      </c>
      <c r="AS107" s="96" t="str">
        <f>IF(T107="","",IF(AR107=1,"Alta",IFERROR(INDEX(cfg_pp,MATCH(T107,cfg_pt,0))&amp;"","Média")))</f>
        <v/>
      </c>
      <c r="AT107" s="96" t="str">
        <f>IF(T107="","",IFERROR(INDEX(cfg_pv,MATCH(T107,cfg_pt,0))&amp;"",""))</f>
        <v/>
      </c>
      <c r="AU107" s="96" t="str">
        <f>IF(T107="","",IF(AS107="Alta",1,IF(AS107="Média",2,3))*1000000000+(999999-IF(ISNUMBER(U107),MIN(U107,999999),0))*1000+102)</f>
        <v/>
      </c>
      <c r="AV107" s="96">
        <f>IF(T107&lt;&gt;"",1,0)</f>
        <v>0</v>
      </c>
      <c r="AW107" s="96" t="str">
        <f>IF(Z107=0,"",IF(AA107=1,"Cancelamento informado; ","")&amp;IF(AE107=1,"Campos essenciais ou itens faltando; ","")&amp;IF(AC107=1,"Possível duplicidade do número; ","")&amp;IF(AD107=1,"Cadastro ou datas a revisar; ","")&amp;IF(AF107&gt;0,"Item de resíduo com dado a revisar; ","")&amp;IF(AH107&gt;0,"Diferença de quantidade a analisar; ","")&amp;IF(AK107&gt;0,"Recebimento com alerta; ","")&amp;IF(AL107&gt;0,"Vínculo de CDF com alerta; ","")&amp;IF(AND(AA107=0,AN107=0),"Recebimento não confirmado; ","")&amp;IF(AND(AA107=0,AN107=1,AO107=0),"CDF pendente ou a conferir; ",""))</f>
        <v/>
      </c>
      <c r="AX107" s="96">
        <f>IF(Z107=0,0,IF(AND(OR(f_ini="",AND(ISNUMBER(E107),E107&gt;=f_ini)),OR(f_fim="",AND(ISNUMBER(E107),E107&lt;=f_fim)),OR(f_un="",f_un="(Todas)",G107=f_un),OR(f_tr="",f_tr="(Todos)",H107=f_tr),OR(f_de="",f_de="(Todos)",I107=f_de),OR(f_sit="",f_sit="(Todas)",S107=f_sit)),1,0))</f>
        <v>0</v>
      </c>
      <c r="AY107" s="96">
        <f>IF(AX107=0,0,IF(OR(f_res="",f_res="(Todos)"),1,IF(COUNTIFS('ITENS_MTR'!$S$6:$S$1005,A107,'ITENS_MTR'!$C$6:$C$1005,f_res)&gt;0,1,0)))</f>
        <v>0</v>
      </c>
      <c r="AZ107" s="97" t="str">
        <f>IF(ISNUMBER(E107),DATE(YEAR(E107),MONTH(E107),1),"")</f>
        <v/>
      </c>
      <c r="BA107" s="96">
        <f>IF(Z107=0,0,IF(AND(OR(r_ini="",AND(ISNUMBER(E107),E107&gt;=r_ini)),OR(r_fim="",AND(ISNUMBER(E107),E107&lt;=r_fim)),OR(r_un="",r_un="(Todas)",G107=r_un),OR(r_de="",r_de="(Todos)",I107=r_de)),1,0))</f>
        <v>0</v>
      </c>
      <c r="BB107" s="96" t="str">
        <f>IF(BA107=1,COUNTIF($BA$6:BA107,1),"")</f>
        <v/>
      </c>
      <c r="BC107" s="96" t="str">
        <f>IF(AND(AU107&lt;&gt;"",OR(r_un="",r_un="(Todas)",G107=r_un),OR(r_de="",r_de="(Todos)",I107=r_de)),AU107,"")</f>
        <v/>
      </c>
      <c r="BD107" s="96" t="str">
        <f>IF(Z107=1,A107&amp;" | nº "&amp;IF(B107="","(sem número)",B107)&amp;" | "&amp;IF(G107="","(sem unidade)",G107),"")</f>
        <v/>
      </c>
      <c r="BE107" s="96" t="str">
        <f>IF(Z107=1,COUNTIF($Z$6:Z107,1),"")</f>
        <v/>
      </c>
      <c r="BF107" s="96" t="str">
        <f>IF(T107="","",IF(T107="RECEBIMENTO NÃO CONFIRMADO","Transp.: "&amp;H107&amp;" | Dest.: "&amp;I107,IF(OR(T107="CDF NÃO LOCALIZADO",T107="VÍNCULO INCOMPLETO",T107="CDF A CONFERIR"),"Dest.: "&amp;I107,"Gerador: "&amp;G107)))</f>
        <v/>
      </c>
    </row>
    <row r="108">
      <c r="A108" s="89" t="inlineStr">
        <is>
          <t>MTR-000103</t>
        </is>
      </c>
      <c r="B108" s="90" t="n"/>
      <c r="C108" s="91" t="n"/>
      <c r="D108" s="91" t="n"/>
      <c r="E108" s="92" t="n"/>
      <c r="F108" s="92" t="n"/>
      <c r="G108" s="91" t="n"/>
      <c r="H108" s="91" t="n"/>
      <c r="I108" s="91" t="n"/>
      <c r="J108" s="91" t="n"/>
      <c r="K108" s="91" t="n"/>
      <c r="L108" s="92" t="n"/>
      <c r="M108" s="91" t="n"/>
      <c r="N108" s="91" t="n"/>
      <c r="O108" s="91" t="n"/>
      <c r="P108" s="93" t="str">
        <f>IF(Z108=0,"",SUMIFS('ITENS_MTR'!$I$6:$I$1005,'ITENS_MTR'!$S$6:$S$1005,A108,'ITENS_MTR'!$Y$6:$Y$1005,1))</f>
        <v/>
      </c>
      <c r="Q108" s="93" t="str">
        <f>IF(Z108=0,"",SUMIFS('RECEBIMENTOS'!$H$6:$H$1005,'RECEBIMENTOS'!$B$6:$B$1005,A108,'RECEBIMENTOS'!$X$6:$X$1005,1))</f>
        <v/>
      </c>
      <c r="R108" s="93" t="str">
        <f>IF(Z108=0,"",SUMIFS('VÍNCULOS_CDF'!$H$6:$H$1005,'VÍNCULOS_CDF'!$D$6:$D$1005,A108,'VÍNCULOS_CDF'!$V$6:$V$1005,1))</f>
        <v/>
      </c>
      <c r="S108" s="94" t="str">
        <f>IF(Z108=0,"",IF(AA108=1,"Cancelado (informado)",IF(AE108=1,"Cadastro incompleto",IF(OR(AC108=1,AD108=1,AF108&gt;0,AH108&gt;0,AK108&gt;0,AL108&gt;0),"Informação a revisar",IF(AN108=0,"Aguardando recebimento",IF(N(R108)=0,"Aguardando CDF",IF(AJ108&lt;N(W108),"Vínculo de CDF parcial",IF(AO108=0,"CDF localizado, a conferir","Documentação conferida"))))))))</f>
        <v/>
      </c>
      <c r="T108" s="94" t="str">
        <f>IF(Z108=0,"",IF(S108="Cadastro incompleto","MTR INCOMPLETO",IF(S108="Informação a revisar",IF(AND(AH108&gt;0,AC108=0,AD108=0,AF108=0,AK108=0,AL108=0),"QUANTIDADE A REVISAR","IDENTIFICAÇÃO A REVISAR"),IF(S108="Aguardando recebimento","RECEBIMENTO NÃO CONFIRMADO",IF(S108="Aguardando CDF","CDF NÃO LOCALIZADO",IF(S108="Vínculo de CDF parcial","VÍNCULO INCOMPLETO",IF(S108="CDF localizado, a conferir","CDF A CONFERIR","")))))))</f>
        <v/>
      </c>
      <c r="U108" s="95" t="str">
        <f>IF(T108="","",IF(AQ108="","Não calculável",IF(AQ108&gt;TODAY(),"Data futura",TODAY()-AQ108)))</f>
        <v/>
      </c>
      <c r="V108" s="93" t="str">
        <f>IF(Z108=0,"",SUMIFS('RECEBIMENTOS'!$H$6:$H$1005,'RECEBIMENTOS'!$B$6:$B$1005,A108,'RECEBIMENTOS'!$Z$6:$Z$1005,1))</f>
        <v/>
      </c>
      <c r="W108" s="95" t="str">
        <f>IF(Z108=0,"",COUNTIFS('ITENS_MTR'!$S$6:$S$1005,A108,'ITENS_MTR'!$R$6:$R$1005,1))</f>
        <v/>
      </c>
      <c r="X108" s="94" t="str">
        <f>IF(AC108=1,"POSSÍVEL DUPLICIDADE","")</f>
        <v/>
      </c>
      <c r="Y108" s="94" t="str">
        <f>IF(Z108=0,"",IF(AW108="","Nenhuma",LEFT(AW108,LEN(AW108)-2)))</f>
        <v/>
      </c>
      <c r="Z108" s="96">
        <f>IF(COUNTA(B108:O108)&gt;0,1,0)</f>
        <v>0</v>
      </c>
      <c r="AA108" s="96">
        <f>IF(AND(Z108=1,K108&lt;&gt;""),IF(TRIM(K108)=TRIM(cfg_cancel),1,0),0)</f>
        <v>0</v>
      </c>
      <c r="AB108" s="96" t="str">
        <f>IF(AND(Z108=1,B108&lt;&gt;""),C108&amp;"|"&amp;D108&amp;"|"&amp;G108&amp;"|"&amp;TRIM(B108),"")</f>
        <v/>
      </c>
      <c r="AC108" s="96">
        <f>IF(AB108="",0,IF(SUMPRODUCT(--($AB$6:$AB$505=AB108))&gt;1,1,0))</f>
        <v>0</v>
      </c>
      <c r="AD108" s="96">
        <f>IF(Z108=0,0,IF(OR(AND(G108&lt;&gt;"",ISNA(MATCH(G108,'CAD_UNIDADES'!$C$6:$C$105,0))),AND(H108&lt;&gt;"",ISNA(MATCH(H108,cmp_transp,0))),AND(I108&lt;&gt;"",ISNA(MATCH(I108,cmp_dest,0))),AND(E108&lt;&gt;"",NOT(ISNUMBER(E108))),AND(F108&lt;&gt;"",NOT(ISNUMBER(F108))),AND(ISNUMBER(E108),ISNUMBER(F108),F108&lt;E108)),1,0))</f>
        <v>0</v>
      </c>
      <c r="AE108" s="96">
        <f>IF(Z108=0,0,IF(OR(B108="",C108="",E108="",G108="",H108="",I108="",N(W108)=0),1,0))</f>
        <v>0</v>
      </c>
      <c r="AF108" s="96">
        <f>IF(Z108=0,0,COUNTIFS('ITENS_MTR'!$S$6:$S$1005,A108,'ITENS_MTR'!$AI$6:$AI$1005,1))</f>
        <v>0</v>
      </c>
      <c r="AG108" s="96">
        <f>IF(Z108=0,0,COUNTIFS('ITENS_MTR'!$S$6:$S$1005,A108,'ITENS_MTR'!$AJ$6:$AJ$1005,1))</f>
        <v>0</v>
      </c>
      <c r="AH108" s="96">
        <f>IF(Z108=0,0,COUNTIFS('ITENS_MTR'!$S$6:$S$1005,A108,'ITENS_MTR'!$AM$6:$AM$1005,1))</f>
        <v>0</v>
      </c>
      <c r="AI108" s="96">
        <f>IF(Z108=0,0,COUNTIFS('ITENS_MTR'!$S$6:$S$1005,A108,'ITENS_MTR'!$AO$6:$AO$1005,1))</f>
        <v>0</v>
      </c>
      <c r="AJ108" s="96">
        <f>IF(Z108=0,0,COUNTIFS('ITENS_MTR'!$S$6:$S$1005,A108,'ITENS_MTR'!$AN$6:$AN$1005,1))</f>
        <v>0</v>
      </c>
      <c r="AK108" s="96">
        <f>IF(Z108=0,0,COUNTIFS('RECEBIMENTOS'!$B$6:$B$1005,A108,'RECEBIMENTOS'!$Y$6:$Y$1005,1))</f>
        <v>0</v>
      </c>
      <c r="AL108" s="96">
        <f>IF(Z108=0,0,COUNTIFS('VÍNCULOS_CDF'!$D$6:$D$1005,A108,'VÍNCULOS_CDF'!$Y$6:$Y$1005,1))</f>
        <v>0</v>
      </c>
      <c r="AM108" s="96">
        <f>IF(Z108=0,0,COUNTIFS('RECEBIMENTOS'!$B$6:$B$1005,A108,'RECEBIMENTOS'!$Q$6:$Q$1005,1))</f>
        <v>0</v>
      </c>
      <c r="AN108" s="96">
        <f>IF(AND(Z108=1,N(W108)&gt;0,AG108=N(W108)),1,0)</f>
        <v>0</v>
      </c>
      <c r="AO108" s="96">
        <f>IF(AND(Z108=1,N(W108)&gt;0,AI108=N(W108)),1,0)</f>
        <v>0</v>
      </c>
      <c r="AP108" s="97">
        <f>IF(Z108=0,0,_xlfn.MAXIFS('RECEBIMENTOS'!$E$6:$E$1005,'RECEBIMENTOS'!$B$6:$B$1005,A108))</f>
        <v>0</v>
      </c>
      <c r="AQ108" s="97" t="str">
        <f>IF(T108="","",IF(T108="RECEBIMENTO NÃO CONFIRMADO",IF(ISNUMBER(F108),F108,IF(ISNUMBER(E108),E108,"")),IF(OR(T108="CDF NÃO LOCALIZADO",T108="VÍNCULO INCOMPLETO",T108="CDF A CONFERIR"),IF(AP108&gt;0,AP108,IF(ISNUMBER(E108),E108,"")),IF(ISNUMBER(E108),E108,""))))</f>
        <v/>
      </c>
      <c r="AR108" s="96">
        <f>IF(NOT(ISNUMBER(U108)),0,IF(T108="RECEBIMENTO NÃO CONFIRMADO",IF(AND(ISNUMBER(cfg_rec),U108&gt;cfg_rec),1,0),IF(OR(T108="CDF NÃO LOCALIZADO",T108="VÍNCULO INCOMPLETO",T108="CDF A CONFERIR"),IF(AND(ISNUMBER(cfg_cdf),U108&gt;cfg_cdf),1,0),0)))</f>
        <v>0</v>
      </c>
      <c r="AS108" s="96" t="str">
        <f>IF(T108="","",IF(AR108=1,"Alta",IFERROR(INDEX(cfg_pp,MATCH(T108,cfg_pt,0))&amp;"","Média")))</f>
        <v/>
      </c>
      <c r="AT108" s="96" t="str">
        <f>IF(T108="","",IFERROR(INDEX(cfg_pv,MATCH(T108,cfg_pt,0))&amp;"",""))</f>
        <v/>
      </c>
      <c r="AU108" s="96" t="str">
        <f>IF(T108="","",IF(AS108="Alta",1,IF(AS108="Média",2,3))*1000000000+(999999-IF(ISNUMBER(U108),MIN(U108,999999),0))*1000+103)</f>
        <v/>
      </c>
      <c r="AV108" s="96">
        <f>IF(T108&lt;&gt;"",1,0)</f>
        <v>0</v>
      </c>
      <c r="AW108" s="96" t="str">
        <f>IF(Z108=0,"",IF(AA108=1,"Cancelamento informado; ","")&amp;IF(AE108=1,"Campos essenciais ou itens faltando; ","")&amp;IF(AC108=1,"Possível duplicidade do número; ","")&amp;IF(AD108=1,"Cadastro ou datas a revisar; ","")&amp;IF(AF108&gt;0,"Item de resíduo com dado a revisar; ","")&amp;IF(AH108&gt;0,"Diferença de quantidade a analisar; ","")&amp;IF(AK108&gt;0,"Recebimento com alerta; ","")&amp;IF(AL108&gt;0,"Vínculo de CDF com alerta; ","")&amp;IF(AND(AA108=0,AN108=0),"Recebimento não confirmado; ","")&amp;IF(AND(AA108=0,AN108=1,AO108=0),"CDF pendente ou a conferir; ",""))</f>
        <v/>
      </c>
      <c r="AX108" s="96">
        <f>IF(Z108=0,0,IF(AND(OR(f_ini="",AND(ISNUMBER(E108),E108&gt;=f_ini)),OR(f_fim="",AND(ISNUMBER(E108),E108&lt;=f_fim)),OR(f_un="",f_un="(Todas)",G108=f_un),OR(f_tr="",f_tr="(Todos)",H108=f_tr),OR(f_de="",f_de="(Todos)",I108=f_de),OR(f_sit="",f_sit="(Todas)",S108=f_sit)),1,0))</f>
        <v>0</v>
      </c>
      <c r="AY108" s="96">
        <f>IF(AX108=0,0,IF(OR(f_res="",f_res="(Todos)"),1,IF(COUNTIFS('ITENS_MTR'!$S$6:$S$1005,A108,'ITENS_MTR'!$C$6:$C$1005,f_res)&gt;0,1,0)))</f>
        <v>0</v>
      </c>
      <c r="AZ108" s="97" t="str">
        <f>IF(ISNUMBER(E108),DATE(YEAR(E108),MONTH(E108),1),"")</f>
        <v/>
      </c>
      <c r="BA108" s="96">
        <f>IF(Z108=0,0,IF(AND(OR(r_ini="",AND(ISNUMBER(E108),E108&gt;=r_ini)),OR(r_fim="",AND(ISNUMBER(E108),E108&lt;=r_fim)),OR(r_un="",r_un="(Todas)",G108=r_un),OR(r_de="",r_de="(Todos)",I108=r_de)),1,0))</f>
        <v>0</v>
      </c>
      <c r="BB108" s="96" t="str">
        <f>IF(BA108=1,COUNTIF($BA$6:BA108,1),"")</f>
        <v/>
      </c>
      <c r="BC108" s="96" t="str">
        <f>IF(AND(AU108&lt;&gt;"",OR(r_un="",r_un="(Todas)",G108=r_un),OR(r_de="",r_de="(Todos)",I108=r_de)),AU108,"")</f>
        <v/>
      </c>
      <c r="BD108" s="96" t="str">
        <f>IF(Z108=1,A108&amp;" | nº "&amp;IF(B108="","(sem número)",B108)&amp;" | "&amp;IF(G108="","(sem unidade)",G108),"")</f>
        <v/>
      </c>
      <c r="BE108" s="96" t="str">
        <f>IF(Z108=1,COUNTIF($Z$6:Z108,1),"")</f>
        <v/>
      </c>
      <c r="BF108" s="96" t="str">
        <f>IF(T108="","",IF(T108="RECEBIMENTO NÃO CONFIRMADO","Transp.: "&amp;H108&amp;" | Dest.: "&amp;I108,IF(OR(T108="CDF NÃO LOCALIZADO",T108="VÍNCULO INCOMPLETO",T108="CDF A CONFERIR"),"Dest.: "&amp;I108,"Gerador: "&amp;G108)))</f>
        <v/>
      </c>
    </row>
    <row r="109">
      <c r="A109" s="89" t="inlineStr">
        <is>
          <t>MTR-000104</t>
        </is>
      </c>
      <c r="B109" s="90" t="n"/>
      <c r="C109" s="91" t="n"/>
      <c r="D109" s="91" t="n"/>
      <c r="E109" s="92" t="n"/>
      <c r="F109" s="92" t="n"/>
      <c r="G109" s="91" t="n"/>
      <c r="H109" s="91" t="n"/>
      <c r="I109" s="91" t="n"/>
      <c r="J109" s="91" t="n"/>
      <c r="K109" s="91" t="n"/>
      <c r="L109" s="92" t="n"/>
      <c r="M109" s="91" t="n"/>
      <c r="N109" s="91" t="n"/>
      <c r="O109" s="91" t="n"/>
      <c r="P109" s="93" t="str">
        <f>IF(Z109=0,"",SUMIFS('ITENS_MTR'!$I$6:$I$1005,'ITENS_MTR'!$S$6:$S$1005,A109,'ITENS_MTR'!$Y$6:$Y$1005,1))</f>
        <v/>
      </c>
      <c r="Q109" s="93" t="str">
        <f>IF(Z109=0,"",SUMIFS('RECEBIMENTOS'!$H$6:$H$1005,'RECEBIMENTOS'!$B$6:$B$1005,A109,'RECEBIMENTOS'!$X$6:$X$1005,1))</f>
        <v/>
      </c>
      <c r="R109" s="93" t="str">
        <f>IF(Z109=0,"",SUMIFS('VÍNCULOS_CDF'!$H$6:$H$1005,'VÍNCULOS_CDF'!$D$6:$D$1005,A109,'VÍNCULOS_CDF'!$V$6:$V$1005,1))</f>
        <v/>
      </c>
      <c r="S109" s="94" t="str">
        <f>IF(Z109=0,"",IF(AA109=1,"Cancelado (informado)",IF(AE109=1,"Cadastro incompleto",IF(OR(AC109=1,AD109=1,AF109&gt;0,AH109&gt;0,AK109&gt;0,AL109&gt;0),"Informação a revisar",IF(AN109=0,"Aguardando recebimento",IF(N(R109)=0,"Aguardando CDF",IF(AJ109&lt;N(W109),"Vínculo de CDF parcial",IF(AO109=0,"CDF localizado, a conferir","Documentação conferida"))))))))</f>
        <v/>
      </c>
      <c r="T109" s="94" t="str">
        <f>IF(Z109=0,"",IF(S109="Cadastro incompleto","MTR INCOMPLETO",IF(S109="Informação a revisar",IF(AND(AH109&gt;0,AC109=0,AD109=0,AF109=0,AK109=0,AL109=0),"QUANTIDADE A REVISAR","IDENTIFICAÇÃO A REVISAR"),IF(S109="Aguardando recebimento","RECEBIMENTO NÃO CONFIRMADO",IF(S109="Aguardando CDF","CDF NÃO LOCALIZADO",IF(S109="Vínculo de CDF parcial","VÍNCULO INCOMPLETO",IF(S109="CDF localizado, a conferir","CDF A CONFERIR","")))))))</f>
        <v/>
      </c>
      <c r="U109" s="95" t="str">
        <f>IF(T109="","",IF(AQ109="","Não calculável",IF(AQ109&gt;TODAY(),"Data futura",TODAY()-AQ109)))</f>
        <v/>
      </c>
      <c r="V109" s="93" t="str">
        <f>IF(Z109=0,"",SUMIFS('RECEBIMENTOS'!$H$6:$H$1005,'RECEBIMENTOS'!$B$6:$B$1005,A109,'RECEBIMENTOS'!$Z$6:$Z$1005,1))</f>
        <v/>
      </c>
      <c r="W109" s="95" t="str">
        <f>IF(Z109=0,"",COUNTIFS('ITENS_MTR'!$S$6:$S$1005,A109,'ITENS_MTR'!$R$6:$R$1005,1))</f>
        <v/>
      </c>
      <c r="X109" s="94" t="str">
        <f>IF(AC109=1,"POSSÍVEL DUPLICIDADE","")</f>
        <v/>
      </c>
      <c r="Y109" s="94" t="str">
        <f>IF(Z109=0,"",IF(AW109="","Nenhuma",LEFT(AW109,LEN(AW109)-2)))</f>
        <v/>
      </c>
      <c r="Z109" s="96">
        <f>IF(COUNTA(B109:O109)&gt;0,1,0)</f>
        <v>0</v>
      </c>
      <c r="AA109" s="96">
        <f>IF(AND(Z109=1,K109&lt;&gt;""),IF(TRIM(K109)=TRIM(cfg_cancel),1,0),0)</f>
        <v>0</v>
      </c>
      <c r="AB109" s="96" t="str">
        <f>IF(AND(Z109=1,B109&lt;&gt;""),C109&amp;"|"&amp;D109&amp;"|"&amp;G109&amp;"|"&amp;TRIM(B109),"")</f>
        <v/>
      </c>
      <c r="AC109" s="96">
        <f>IF(AB109="",0,IF(SUMPRODUCT(--($AB$6:$AB$505=AB109))&gt;1,1,0))</f>
        <v>0</v>
      </c>
      <c r="AD109" s="96">
        <f>IF(Z109=0,0,IF(OR(AND(G109&lt;&gt;"",ISNA(MATCH(G109,'CAD_UNIDADES'!$C$6:$C$105,0))),AND(H109&lt;&gt;"",ISNA(MATCH(H109,cmp_transp,0))),AND(I109&lt;&gt;"",ISNA(MATCH(I109,cmp_dest,0))),AND(E109&lt;&gt;"",NOT(ISNUMBER(E109))),AND(F109&lt;&gt;"",NOT(ISNUMBER(F109))),AND(ISNUMBER(E109),ISNUMBER(F109),F109&lt;E109)),1,0))</f>
        <v>0</v>
      </c>
      <c r="AE109" s="96">
        <f>IF(Z109=0,0,IF(OR(B109="",C109="",E109="",G109="",H109="",I109="",N(W109)=0),1,0))</f>
        <v>0</v>
      </c>
      <c r="AF109" s="96">
        <f>IF(Z109=0,0,COUNTIFS('ITENS_MTR'!$S$6:$S$1005,A109,'ITENS_MTR'!$AI$6:$AI$1005,1))</f>
        <v>0</v>
      </c>
      <c r="AG109" s="96">
        <f>IF(Z109=0,0,COUNTIFS('ITENS_MTR'!$S$6:$S$1005,A109,'ITENS_MTR'!$AJ$6:$AJ$1005,1))</f>
        <v>0</v>
      </c>
      <c r="AH109" s="96">
        <f>IF(Z109=0,0,COUNTIFS('ITENS_MTR'!$S$6:$S$1005,A109,'ITENS_MTR'!$AM$6:$AM$1005,1))</f>
        <v>0</v>
      </c>
      <c r="AI109" s="96">
        <f>IF(Z109=0,0,COUNTIFS('ITENS_MTR'!$S$6:$S$1005,A109,'ITENS_MTR'!$AO$6:$AO$1005,1))</f>
        <v>0</v>
      </c>
      <c r="AJ109" s="96">
        <f>IF(Z109=0,0,COUNTIFS('ITENS_MTR'!$S$6:$S$1005,A109,'ITENS_MTR'!$AN$6:$AN$1005,1))</f>
        <v>0</v>
      </c>
      <c r="AK109" s="96">
        <f>IF(Z109=0,0,COUNTIFS('RECEBIMENTOS'!$B$6:$B$1005,A109,'RECEBIMENTOS'!$Y$6:$Y$1005,1))</f>
        <v>0</v>
      </c>
      <c r="AL109" s="96">
        <f>IF(Z109=0,0,COUNTIFS('VÍNCULOS_CDF'!$D$6:$D$1005,A109,'VÍNCULOS_CDF'!$Y$6:$Y$1005,1))</f>
        <v>0</v>
      </c>
      <c r="AM109" s="96">
        <f>IF(Z109=0,0,COUNTIFS('RECEBIMENTOS'!$B$6:$B$1005,A109,'RECEBIMENTOS'!$Q$6:$Q$1005,1))</f>
        <v>0</v>
      </c>
      <c r="AN109" s="96">
        <f>IF(AND(Z109=1,N(W109)&gt;0,AG109=N(W109)),1,0)</f>
        <v>0</v>
      </c>
      <c r="AO109" s="96">
        <f>IF(AND(Z109=1,N(W109)&gt;0,AI109=N(W109)),1,0)</f>
        <v>0</v>
      </c>
      <c r="AP109" s="97">
        <f>IF(Z109=0,0,_xlfn.MAXIFS('RECEBIMENTOS'!$E$6:$E$1005,'RECEBIMENTOS'!$B$6:$B$1005,A109))</f>
        <v>0</v>
      </c>
      <c r="AQ109" s="97" t="str">
        <f>IF(T109="","",IF(T109="RECEBIMENTO NÃO CONFIRMADO",IF(ISNUMBER(F109),F109,IF(ISNUMBER(E109),E109,"")),IF(OR(T109="CDF NÃO LOCALIZADO",T109="VÍNCULO INCOMPLETO",T109="CDF A CONFERIR"),IF(AP109&gt;0,AP109,IF(ISNUMBER(E109),E109,"")),IF(ISNUMBER(E109),E109,""))))</f>
        <v/>
      </c>
      <c r="AR109" s="96">
        <f>IF(NOT(ISNUMBER(U109)),0,IF(T109="RECEBIMENTO NÃO CONFIRMADO",IF(AND(ISNUMBER(cfg_rec),U109&gt;cfg_rec),1,0),IF(OR(T109="CDF NÃO LOCALIZADO",T109="VÍNCULO INCOMPLETO",T109="CDF A CONFERIR"),IF(AND(ISNUMBER(cfg_cdf),U109&gt;cfg_cdf),1,0),0)))</f>
        <v>0</v>
      </c>
      <c r="AS109" s="96" t="str">
        <f>IF(T109="","",IF(AR109=1,"Alta",IFERROR(INDEX(cfg_pp,MATCH(T109,cfg_pt,0))&amp;"","Média")))</f>
        <v/>
      </c>
      <c r="AT109" s="96" t="str">
        <f>IF(T109="","",IFERROR(INDEX(cfg_pv,MATCH(T109,cfg_pt,0))&amp;"",""))</f>
        <v/>
      </c>
      <c r="AU109" s="96" t="str">
        <f>IF(T109="","",IF(AS109="Alta",1,IF(AS109="Média",2,3))*1000000000+(999999-IF(ISNUMBER(U109),MIN(U109,999999),0))*1000+104)</f>
        <v/>
      </c>
      <c r="AV109" s="96">
        <f>IF(T109&lt;&gt;"",1,0)</f>
        <v>0</v>
      </c>
      <c r="AW109" s="96" t="str">
        <f>IF(Z109=0,"",IF(AA109=1,"Cancelamento informado; ","")&amp;IF(AE109=1,"Campos essenciais ou itens faltando; ","")&amp;IF(AC109=1,"Possível duplicidade do número; ","")&amp;IF(AD109=1,"Cadastro ou datas a revisar; ","")&amp;IF(AF109&gt;0,"Item de resíduo com dado a revisar; ","")&amp;IF(AH109&gt;0,"Diferença de quantidade a analisar; ","")&amp;IF(AK109&gt;0,"Recebimento com alerta; ","")&amp;IF(AL109&gt;0,"Vínculo de CDF com alerta; ","")&amp;IF(AND(AA109=0,AN109=0),"Recebimento não confirmado; ","")&amp;IF(AND(AA109=0,AN109=1,AO109=0),"CDF pendente ou a conferir; ",""))</f>
        <v/>
      </c>
      <c r="AX109" s="96">
        <f>IF(Z109=0,0,IF(AND(OR(f_ini="",AND(ISNUMBER(E109),E109&gt;=f_ini)),OR(f_fim="",AND(ISNUMBER(E109),E109&lt;=f_fim)),OR(f_un="",f_un="(Todas)",G109=f_un),OR(f_tr="",f_tr="(Todos)",H109=f_tr),OR(f_de="",f_de="(Todos)",I109=f_de),OR(f_sit="",f_sit="(Todas)",S109=f_sit)),1,0))</f>
        <v>0</v>
      </c>
      <c r="AY109" s="96">
        <f>IF(AX109=0,0,IF(OR(f_res="",f_res="(Todos)"),1,IF(COUNTIFS('ITENS_MTR'!$S$6:$S$1005,A109,'ITENS_MTR'!$C$6:$C$1005,f_res)&gt;0,1,0)))</f>
        <v>0</v>
      </c>
      <c r="AZ109" s="97" t="str">
        <f>IF(ISNUMBER(E109),DATE(YEAR(E109),MONTH(E109),1),"")</f>
        <v/>
      </c>
      <c r="BA109" s="96">
        <f>IF(Z109=0,0,IF(AND(OR(r_ini="",AND(ISNUMBER(E109),E109&gt;=r_ini)),OR(r_fim="",AND(ISNUMBER(E109),E109&lt;=r_fim)),OR(r_un="",r_un="(Todas)",G109=r_un),OR(r_de="",r_de="(Todos)",I109=r_de)),1,0))</f>
        <v>0</v>
      </c>
      <c r="BB109" s="96" t="str">
        <f>IF(BA109=1,COUNTIF($BA$6:BA109,1),"")</f>
        <v/>
      </c>
      <c r="BC109" s="96" t="str">
        <f>IF(AND(AU109&lt;&gt;"",OR(r_un="",r_un="(Todas)",G109=r_un),OR(r_de="",r_de="(Todos)",I109=r_de)),AU109,"")</f>
        <v/>
      </c>
      <c r="BD109" s="96" t="str">
        <f>IF(Z109=1,A109&amp;" | nº "&amp;IF(B109="","(sem número)",B109)&amp;" | "&amp;IF(G109="","(sem unidade)",G109),"")</f>
        <v/>
      </c>
      <c r="BE109" s="96" t="str">
        <f>IF(Z109=1,COUNTIF($Z$6:Z109,1),"")</f>
        <v/>
      </c>
      <c r="BF109" s="96" t="str">
        <f>IF(T109="","",IF(T109="RECEBIMENTO NÃO CONFIRMADO","Transp.: "&amp;H109&amp;" | Dest.: "&amp;I109,IF(OR(T109="CDF NÃO LOCALIZADO",T109="VÍNCULO INCOMPLETO",T109="CDF A CONFERIR"),"Dest.: "&amp;I109,"Gerador: "&amp;G109)))</f>
        <v/>
      </c>
    </row>
    <row r="110">
      <c r="A110" s="89" t="inlineStr">
        <is>
          <t>MTR-000105</t>
        </is>
      </c>
      <c r="B110" s="90" t="n"/>
      <c r="C110" s="91" t="n"/>
      <c r="D110" s="91" t="n"/>
      <c r="E110" s="92" t="n"/>
      <c r="F110" s="92" t="n"/>
      <c r="G110" s="91" t="n"/>
      <c r="H110" s="91" t="n"/>
      <c r="I110" s="91" t="n"/>
      <c r="J110" s="91" t="n"/>
      <c r="K110" s="91" t="n"/>
      <c r="L110" s="92" t="n"/>
      <c r="M110" s="91" t="n"/>
      <c r="N110" s="91" t="n"/>
      <c r="O110" s="91" t="n"/>
      <c r="P110" s="93" t="str">
        <f>IF(Z110=0,"",SUMIFS('ITENS_MTR'!$I$6:$I$1005,'ITENS_MTR'!$S$6:$S$1005,A110,'ITENS_MTR'!$Y$6:$Y$1005,1))</f>
        <v/>
      </c>
      <c r="Q110" s="93" t="str">
        <f>IF(Z110=0,"",SUMIFS('RECEBIMENTOS'!$H$6:$H$1005,'RECEBIMENTOS'!$B$6:$B$1005,A110,'RECEBIMENTOS'!$X$6:$X$1005,1))</f>
        <v/>
      </c>
      <c r="R110" s="93" t="str">
        <f>IF(Z110=0,"",SUMIFS('VÍNCULOS_CDF'!$H$6:$H$1005,'VÍNCULOS_CDF'!$D$6:$D$1005,A110,'VÍNCULOS_CDF'!$V$6:$V$1005,1))</f>
        <v/>
      </c>
      <c r="S110" s="94" t="str">
        <f>IF(Z110=0,"",IF(AA110=1,"Cancelado (informado)",IF(AE110=1,"Cadastro incompleto",IF(OR(AC110=1,AD110=1,AF110&gt;0,AH110&gt;0,AK110&gt;0,AL110&gt;0),"Informação a revisar",IF(AN110=0,"Aguardando recebimento",IF(N(R110)=0,"Aguardando CDF",IF(AJ110&lt;N(W110),"Vínculo de CDF parcial",IF(AO110=0,"CDF localizado, a conferir","Documentação conferida"))))))))</f>
        <v/>
      </c>
      <c r="T110" s="94" t="str">
        <f>IF(Z110=0,"",IF(S110="Cadastro incompleto","MTR INCOMPLETO",IF(S110="Informação a revisar",IF(AND(AH110&gt;0,AC110=0,AD110=0,AF110=0,AK110=0,AL110=0),"QUANTIDADE A REVISAR","IDENTIFICAÇÃO A REVISAR"),IF(S110="Aguardando recebimento","RECEBIMENTO NÃO CONFIRMADO",IF(S110="Aguardando CDF","CDF NÃO LOCALIZADO",IF(S110="Vínculo de CDF parcial","VÍNCULO INCOMPLETO",IF(S110="CDF localizado, a conferir","CDF A CONFERIR","")))))))</f>
        <v/>
      </c>
      <c r="U110" s="95" t="str">
        <f>IF(T110="","",IF(AQ110="","Não calculável",IF(AQ110&gt;TODAY(),"Data futura",TODAY()-AQ110)))</f>
        <v/>
      </c>
      <c r="V110" s="93" t="str">
        <f>IF(Z110=0,"",SUMIFS('RECEBIMENTOS'!$H$6:$H$1005,'RECEBIMENTOS'!$B$6:$B$1005,A110,'RECEBIMENTOS'!$Z$6:$Z$1005,1))</f>
        <v/>
      </c>
      <c r="W110" s="95" t="str">
        <f>IF(Z110=0,"",COUNTIFS('ITENS_MTR'!$S$6:$S$1005,A110,'ITENS_MTR'!$R$6:$R$1005,1))</f>
        <v/>
      </c>
      <c r="X110" s="94" t="str">
        <f>IF(AC110=1,"POSSÍVEL DUPLICIDADE","")</f>
        <v/>
      </c>
      <c r="Y110" s="94" t="str">
        <f>IF(Z110=0,"",IF(AW110="","Nenhuma",LEFT(AW110,LEN(AW110)-2)))</f>
        <v/>
      </c>
      <c r="Z110" s="96">
        <f>IF(COUNTA(B110:O110)&gt;0,1,0)</f>
        <v>0</v>
      </c>
      <c r="AA110" s="96">
        <f>IF(AND(Z110=1,K110&lt;&gt;""),IF(TRIM(K110)=TRIM(cfg_cancel),1,0),0)</f>
        <v>0</v>
      </c>
      <c r="AB110" s="96" t="str">
        <f>IF(AND(Z110=1,B110&lt;&gt;""),C110&amp;"|"&amp;D110&amp;"|"&amp;G110&amp;"|"&amp;TRIM(B110),"")</f>
        <v/>
      </c>
      <c r="AC110" s="96">
        <f>IF(AB110="",0,IF(SUMPRODUCT(--($AB$6:$AB$505=AB110))&gt;1,1,0))</f>
        <v>0</v>
      </c>
      <c r="AD110" s="96">
        <f>IF(Z110=0,0,IF(OR(AND(G110&lt;&gt;"",ISNA(MATCH(G110,'CAD_UNIDADES'!$C$6:$C$105,0))),AND(H110&lt;&gt;"",ISNA(MATCH(H110,cmp_transp,0))),AND(I110&lt;&gt;"",ISNA(MATCH(I110,cmp_dest,0))),AND(E110&lt;&gt;"",NOT(ISNUMBER(E110))),AND(F110&lt;&gt;"",NOT(ISNUMBER(F110))),AND(ISNUMBER(E110),ISNUMBER(F110),F110&lt;E110)),1,0))</f>
        <v>0</v>
      </c>
      <c r="AE110" s="96">
        <f>IF(Z110=0,0,IF(OR(B110="",C110="",E110="",G110="",H110="",I110="",N(W110)=0),1,0))</f>
        <v>0</v>
      </c>
      <c r="AF110" s="96">
        <f>IF(Z110=0,0,COUNTIFS('ITENS_MTR'!$S$6:$S$1005,A110,'ITENS_MTR'!$AI$6:$AI$1005,1))</f>
        <v>0</v>
      </c>
      <c r="AG110" s="96">
        <f>IF(Z110=0,0,COUNTIFS('ITENS_MTR'!$S$6:$S$1005,A110,'ITENS_MTR'!$AJ$6:$AJ$1005,1))</f>
        <v>0</v>
      </c>
      <c r="AH110" s="96">
        <f>IF(Z110=0,0,COUNTIFS('ITENS_MTR'!$S$6:$S$1005,A110,'ITENS_MTR'!$AM$6:$AM$1005,1))</f>
        <v>0</v>
      </c>
      <c r="AI110" s="96">
        <f>IF(Z110=0,0,COUNTIFS('ITENS_MTR'!$S$6:$S$1005,A110,'ITENS_MTR'!$AO$6:$AO$1005,1))</f>
        <v>0</v>
      </c>
      <c r="AJ110" s="96">
        <f>IF(Z110=0,0,COUNTIFS('ITENS_MTR'!$S$6:$S$1005,A110,'ITENS_MTR'!$AN$6:$AN$1005,1))</f>
        <v>0</v>
      </c>
      <c r="AK110" s="96">
        <f>IF(Z110=0,0,COUNTIFS('RECEBIMENTOS'!$B$6:$B$1005,A110,'RECEBIMENTOS'!$Y$6:$Y$1005,1))</f>
        <v>0</v>
      </c>
      <c r="AL110" s="96">
        <f>IF(Z110=0,0,COUNTIFS('VÍNCULOS_CDF'!$D$6:$D$1005,A110,'VÍNCULOS_CDF'!$Y$6:$Y$1005,1))</f>
        <v>0</v>
      </c>
      <c r="AM110" s="96">
        <f>IF(Z110=0,0,COUNTIFS('RECEBIMENTOS'!$B$6:$B$1005,A110,'RECEBIMENTOS'!$Q$6:$Q$1005,1))</f>
        <v>0</v>
      </c>
      <c r="AN110" s="96">
        <f>IF(AND(Z110=1,N(W110)&gt;0,AG110=N(W110)),1,0)</f>
        <v>0</v>
      </c>
      <c r="AO110" s="96">
        <f>IF(AND(Z110=1,N(W110)&gt;0,AI110=N(W110)),1,0)</f>
        <v>0</v>
      </c>
      <c r="AP110" s="97">
        <f>IF(Z110=0,0,_xlfn.MAXIFS('RECEBIMENTOS'!$E$6:$E$1005,'RECEBIMENTOS'!$B$6:$B$1005,A110))</f>
        <v>0</v>
      </c>
      <c r="AQ110" s="97" t="str">
        <f>IF(T110="","",IF(T110="RECEBIMENTO NÃO CONFIRMADO",IF(ISNUMBER(F110),F110,IF(ISNUMBER(E110),E110,"")),IF(OR(T110="CDF NÃO LOCALIZADO",T110="VÍNCULO INCOMPLETO",T110="CDF A CONFERIR"),IF(AP110&gt;0,AP110,IF(ISNUMBER(E110),E110,"")),IF(ISNUMBER(E110),E110,""))))</f>
        <v/>
      </c>
      <c r="AR110" s="96">
        <f>IF(NOT(ISNUMBER(U110)),0,IF(T110="RECEBIMENTO NÃO CONFIRMADO",IF(AND(ISNUMBER(cfg_rec),U110&gt;cfg_rec),1,0),IF(OR(T110="CDF NÃO LOCALIZADO",T110="VÍNCULO INCOMPLETO",T110="CDF A CONFERIR"),IF(AND(ISNUMBER(cfg_cdf),U110&gt;cfg_cdf),1,0),0)))</f>
        <v>0</v>
      </c>
      <c r="AS110" s="96" t="str">
        <f>IF(T110="","",IF(AR110=1,"Alta",IFERROR(INDEX(cfg_pp,MATCH(T110,cfg_pt,0))&amp;"","Média")))</f>
        <v/>
      </c>
      <c r="AT110" s="96" t="str">
        <f>IF(T110="","",IFERROR(INDEX(cfg_pv,MATCH(T110,cfg_pt,0))&amp;"",""))</f>
        <v/>
      </c>
      <c r="AU110" s="96" t="str">
        <f>IF(T110="","",IF(AS110="Alta",1,IF(AS110="Média",2,3))*1000000000+(999999-IF(ISNUMBER(U110),MIN(U110,999999),0))*1000+105)</f>
        <v/>
      </c>
      <c r="AV110" s="96">
        <f>IF(T110&lt;&gt;"",1,0)</f>
        <v>0</v>
      </c>
      <c r="AW110" s="96" t="str">
        <f>IF(Z110=0,"",IF(AA110=1,"Cancelamento informado; ","")&amp;IF(AE110=1,"Campos essenciais ou itens faltando; ","")&amp;IF(AC110=1,"Possível duplicidade do número; ","")&amp;IF(AD110=1,"Cadastro ou datas a revisar; ","")&amp;IF(AF110&gt;0,"Item de resíduo com dado a revisar; ","")&amp;IF(AH110&gt;0,"Diferença de quantidade a analisar; ","")&amp;IF(AK110&gt;0,"Recebimento com alerta; ","")&amp;IF(AL110&gt;0,"Vínculo de CDF com alerta; ","")&amp;IF(AND(AA110=0,AN110=0),"Recebimento não confirmado; ","")&amp;IF(AND(AA110=0,AN110=1,AO110=0),"CDF pendente ou a conferir; ",""))</f>
        <v/>
      </c>
      <c r="AX110" s="96">
        <f>IF(Z110=0,0,IF(AND(OR(f_ini="",AND(ISNUMBER(E110),E110&gt;=f_ini)),OR(f_fim="",AND(ISNUMBER(E110),E110&lt;=f_fim)),OR(f_un="",f_un="(Todas)",G110=f_un),OR(f_tr="",f_tr="(Todos)",H110=f_tr),OR(f_de="",f_de="(Todos)",I110=f_de),OR(f_sit="",f_sit="(Todas)",S110=f_sit)),1,0))</f>
        <v>0</v>
      </c>
      <c r="AY110" s="96">
        <f>IF(AX110=0,0,IF(OR(f_res="",f_res="(Todos)"),1,IF(COUNTIFS('ITENS_MTR'!$S$6:$S$1005,A110,'ITENS_MTR'!$C$6:$C$1005,f_res)&gt;0,1,0)))</f>
        <v>0</v>
      </c>
      <c r="AZ110" s="97" t="str">
        <f>IF(ISNUMBER(E110),DATE(YEAR(E110),MONTH(E110),1),"")</f>
        <v/>
      </c>
      <c r="BA110" s="96">
        <f>IF(Z110=0,0,IF(AND(OR(r_ini="",AND(ISNUMBER(E110),E110&gt;=r_ini)),OR(r_fim="",AND(ISNUMBER(E110),E110&lt;=r_fim)),OR(r_un="",r_un="(Todas)",G110=r_un),OR(r_de="",r_de="(Todos)",I110=r_de)),1,0))</f>
        <v>0</v>
      </c>
      <c r="BB110" s="96" t="str">
        <f>IF(BA110=1,COUNTIF($BA$6:BA110,1),"")</f>
        <v/>
      </c>
      <c r="BC110" s="96" t="str">
        <f>IF(AND(AU110&lt;&gt;"",OR(r_un="",r_un="(Todas)",G110=r_un),OR(r_de="",r_de="(Todos)",I110=r_de)),AU110,"")</f>
        <v/>
      </c>
      <c r="BD110" s="96" t="str">
        <f>IF(Z110=1,A110&amp;" | nº "&amp;IF(B110="","(sem número)",B110)&amp;" | "&amp;IF(G110="","(sem unidade)",G110),"")</f>
        <v/>
      </c>
      <c r="BE110" s="96" t="str">
        <f>IF(Z110=1,COUNTIF($Z$6:Z110,1),"")</f>
        <v/>
      </c>
      <c r="BF110" s="96" t="str">
        <f>IF(T110="","",IF(T110="RECEBIMENTO NÃO CONFIRMADO","Transp.: "&amp;H110&amp;" | Dest.: "&amp;I110,IF(OR(T110="CDF NÃO LOCALIZADO",T110="VÍNCULO INCOMPLETO",T110="CDF A CONFERIR"),"Dest.: "&amp;I110,"Gerador: "&amp;G110)))</f>
        <v/>
      </c>
    </row>
    <row r="111">
      <c r="A111" s="89" t="inlineStr">
        <is>
          <t>MTR-000106</t>
        </is>
      </c>
      <c r="B111" s="90" t="n"/>
      <c r="C111" s="91" t="n"/>
      <c r="D111" s="91" t="n"/>
      <c r="E111" s="92" t="n"/>
      <c r="F111" s="92" t="n"/>
      <c r="G111" s="91" t="n"/>
      <c r="H111" s="91" t="n"/>
      <c r="I111" s="91" t="n"/>
      <c r="J111" s="91" t="n"/>
      <c r="K111" s="91" t="n"/>
      <c r="L111" s="92" t="n"/>
      <c r="M111" s="91" t="n"/>
      <c r="N111" s="91" t="n"/>
      <c r="O111" s="91" t="n"/>
      <c r="P111" s="93" t="str">
        <f>IF(Z111=0,"",SUMIFS('ITENS_MTR'!$I$6:$I$1005,'ITENS_MTR'!$S$6:$S$1005,A111,'ITENS_MTR'!$Y$6:$Y$1005,1))</f>
        <v/>
      </c>
      <c r="Q111" s="93" t="str">
        <f>IF(Z111=0,"",SUMIFS('RECEBIMENTOS'!$H$6:$H$1005,'RECEBIMENTOS'!$B$6:$B$1005,A111,'RECEBIMENTOS'!$X$6:$X$1005,1))</f>
        <v/>
      </c>
      <c r="R111" s="93" t="str">
        <f>IF(Z111=0,"",SUMIFS('VÍNCULOS_CDF'!$H$6:$H$1005,'VÍNCULOS_CDF'!$D$6:$D$1005,A111,'VÍNCULOS_CDF'!$V$6:$V$1005,1))</f>
        <v/>
      </c>
      <c r="S111" s="94" t="str">
        <f>IF(Z111=0,"",IF(AA111=1,"Cancelado (informado)",IF(AE111=1,"Cadastro incompleto",IF(OR(AC111=1,AD111=1,AF111&gt;0,AH111&gt;0,AK111&gt;0,AL111&gt;0),"Informação a revisar",IF(AN111=0,"Aguardando recebimento",IF(N(R111)=0,"Aguardando CDF",IF(AJ111&lt;N(W111),"Vínculo de CDF parcial",IF(AO111=0,"CDF localizado, a conferir","Documentação conferida"))))))))</f>
        <v/>
      </c>
      <c r="T111" s="94" t="str">
        <f>IF(Z111=0,"",IF(S111="Cadastro incompleto","MTR INCOMPLETO",IF(S111="Informação a revisar",IF(AND(AH111&gt;0,AC111=0,AD111=0,AF111=0,AK111=0,AL111=0),"QUANTIDADE A REVISAR","IDENTIFICAÇÃO A REVISAR"),IF(S111="Aguardando recebimento","RECEBIMENTO NÃO CONFIRMADO",IF(S111="Aguardando CDF","CDF NÃO LOCALIZADO",IF(S111="Vínculo de CDF parcial","VÍNCULO INCOMPLETO",IF(S111="CDF localizado, a conferir","CDF A CONFERIR","")))))))</f>
        <v/>
      </c>
      <c r="U111" s="95" t="str">
        <f>IF(T111="","",IF(AQ111="","Não calculável",IF(AQ111&gt;TODAY(),"Data futura",TODAY()-AQ111)))</f>
        <v/>
      </c>
      <c r="V111" s="93" t="str">
        <f>IF(Z111=0,"",SUMIFS('RECEBIMENTOS'!$H$6:$H$1005,'RECEBIMENTOS'!$B$6:$B$1005,A111,'RECEBIMENTOS'!$Z$6:$Z$1005,1))</f>
        <v/>
      </c>
      <c r="W111" s="95" t="str">
        <f>IF(Z111=0,"",COUNTIFS('ITENS_MTR'!$S$6:$S$1005,A111,'ITENS_MTR'!$R$6:$R$1005,1))</f>
        <v/>
      </c>
      <c r="X111" s="94" t="str">
        <f>IF(AC111=1,"POSSÍVEL DUPLICIDADE","")</f>
        <v/>
      </c>
      <c r="Y111" s="94" t="str">
        <f>IF(Z111=0,"",IF(AW111="","Nenhuma",LEFT(AW111,LEN(AW111)-2)))</f>
        <v/>
      </c>
      <c r="Z111" s="96">
        <f>IF(COUNTA(B111:O111)&gt;0,1,0)</f>
        <v>0</v>
      </c>
      <c r="AA111" s="96">
        <f>IF(AND(Z111=1,K111&lt;&gt;""),IF(TRIM(K111)=TRIM(cfg_cancel),1,0),0)</f>
        <v>0</v>
      </c>
      <c r="AB111" s="96" t="str">
        <f>IF(AND(Z111=1,B111&lt;&gt;""),C111&amp;"|"&amp;D111&amp;"|"&amp;G111&amp;"|"&amp;TRIM(B111),"")</f>
        <v/>
      </c>
      <c r="AC111" s="96">
        <f>IF(AB111="",0,IF(SUMPRODUCT(--($AB$6:$AB$505=AB111))&gt;1,1,0))</f>
        <v>0</v>
      </c>
      <c r="AD111" s="96">
        <f>IF(Z111=0,0,IF(OR(AND(G111&lt;&gt;"",ISNA(MATCH(G111,'CAD_UNIDADES'!$C$6:$C$105,0))),AND(H111&lt;&gt;"",ISNA(MATCH(H111,cmp_transp,0))),AND(I111&lt;&gt;"",ISNA(MATCH(I111,cmp_dest,0))),AND(E111&lt;&gt;"",NOT(ISNUMBER(E111))),AND(F111&lt;&gt;"",NOT(ISNUMBER(F111))),AND(ISNUMBER(E111),ISNUMBER(F111),F111&lt;E111)),1,0))</f>
        <v>0</v>
      </c>
      <c r="AE111" s="96">
        <f>IF(Z111=0,0,IF(OR(B111="",C111="",E111="",G111="",H111="",I111="",N(W111)=0),1,0))</f>
        <v>0</v>
      </c>
      <c r="AF111" s="96">
        <f>IF(Z111=0,0,COUNTIFS('ITENS_MTR'!$S$6:$S$1005,A111,'ITENS_MTR'!$AI$6:$AI$1005,1))</f>
        <v>0</v>
      </c>
      <c r="AG111" s="96">
        <f>IF(Z111=0,0,COUNTIFS('ITENS_MTR'!$S$6:$S$1005,A111,'ITENS_MTR'!$AJ$6:$AJ$1005,1))</f>
        <v>0</v>
      </c>
      <c r="AH111" s="96">
        <f>IF(Z111=0,0,COUNTIFS('ITENS_MTR'!$S$6:$S$1005,A111,'ITENS_MTR'!$AM$6:$AM$1005,1))</f>
        <v>0</v>
      </c>
      <c r="AI111" s="96">
        <f>IF(Z111=0,0,COUNTIFS('ITENS_MTR'!$S$6:$S$1005,A111,'ITENS_MTR'!$AO$6:$AO$1005,1))</f>
        <v>0</v>
      </c>
      <c r="AJ111" s="96">
        <f>IF(Z111=0,0,COUNTIFS('ITENS_MTR'!$S$6:$S$1005,A111,'ITENS_MTR'!$AN$6:$AN$1005,1))</f>
        <v>0</v>
      </c>
      <c r="AK111" s="96">
        <f>IF(Z111=0,0,COUNTIFS('RECEBIMENTOS'!$B$6:$B$1005,A111,'RECEBIMENTOS'!$Y$6:$Y$1005,1))</f>
        <v>0</v>
      </c>
      <c r="AL111" s="96">
        <f>IF(Z111=0,0,COUNTIFS('VÍNCULOS_CDF'!$D$6:$D$1005,A111,'VÍNCULOS_CDF'!$Y$6:$Y$1005,1))</f>
        <v>0</v>
      </c>
      <c r="AM111" s="96">
        <f>IF(Z111=0,0,COUNTIFS('RECEBIMENTOS'!$B$6:$B$1005,A111,'RECEBIMENTOS'!$Q$6:$Q$1005,1))</f>
        <v>0</v>
      </c>
      <c r="AN111" s="96">
        <f>IF(AND(Z111=1,N(W111)&gt;0,AG111=N(W111)),1,0)</f>
        <v>0</v>
      </c>
      <c r="AO111" s="96">
        <f>IF(AND(Z111=1,N(W111)&gt;0,AI111=N(W111)),1,0)</f>
        <v>0</v>
      </c>
      <c r="AP111" s="97">
        <f>IF(Z111=0,0,_xlfn.MAXIFS('RECEBIMENTOS'!$E$6:$E$1005,'RECEBIMENTOS'!$B$6:$B$1005,A111))</f>
        <v>0</v>
      </c>
      <c r="AQ111" s="97" t="str">
        <f>IF(T111="","",IF(T111="RECEBIMENTO NÃO CONFIRMADO",IF(ISNUMBER(F111),F111,IF(ISNUMBER(E111),E111,"")),IF(OR(T111="CDF NÃO LOCALIZADO",T111="VÍNCULO INCOMPLETO",T111="CDF A CONFERIR"),IF(AP111&gt;0,AP111,IF(ISNUMBER(E111),E111,"")),IF(ISNUMBER(E111),E111,""))))</f>
        <v/>
      </c>
      <c r="AR111" s="96">
        <f>IF(NOT(ISNUMBER(U111)),0,IF(T111="RECEBIMENTO NÃO CONFIRMADO",IF(AND(ISNUMBER(cfg_rec),U111&gt;cfg_rec),1,0),IF(OR(T111="CDF NÃO LOCALIZADO",T111="VÍNCULO INCOMPLETO",T111="CDF A CONFERIR"),IF(AND(ISNUMBER(cfg_cdf),U111&gt;cfg_cdf),1,0),0)))</f>
        <v>0</v>
      </c>
      <c r="AS111" s="96" t="str">
        <f>IF(T111="","",IF(AR111=1,"Alta",IFERROR(INDEX(cfg_pp,MATCH(T111,cfg_pt,0))&amp;"","Média")))</f>
        <v/>
      </c>
      <c r="AT111" s="96" t="str">
        <f>IF(T111="","",IFERROR(INDEX(cfg_pv,MATCH(T111,cfg_pt,0))&amp;"",""))</f>
        <v/>
      </c>
      <c r="AU111" s="96" t="str">
        <f>IF(T111="","",IF(AS111="Alta",1,IF(AS111="Média",2,3))*1000000000+(999999-IF(ISNUMBER(U111),MIN(U111,999999),0))*1000+106)</f>
        <v/>
      </c>
      <c r="AV111" s="96">
        <f>IF(T111&lt;&gt;"",1,0)</f>
        <v>0</v>
      </c>
      <c r="AW111" s="96" t="str">
        <f>IF(Z111=0,"",IF(AA111=1,"Cancelamento informado; ","")&amp;IF(AE111=1,"Campos essenciais ou itens faltando; ","")&amp;IF(AC111=1,"Possível duplicidade do número; ","")&amp;IF(AD111=1,"Cadastro ou datas a revisar; ","")&amp;IF(AF111&gt;0,"Item de resíduo com dado a revisar; ","")&amp;IF(AH111&gt;0,"Diferença de quantidade a analisar; ","")&amp;IF(AK111&gt;0,"Recebimento com alerta; ","")&amp;IF(AL111&gt;0,"Vínculo de CDF com alerta; ","")&amp;IF(AND(AA111=0,AN111=0),"Recebimento não confirmado; ","")&amp;IF(AND(AA111=0,AN111=1,AO111=0),"CDF pendente ou a conferir; ",""))</f>
        <v/>
      </c>
      <c r="AX111" s="96">
        <f>IF(Z111=0,0,IF(AND(OR(f_ini="",AND(ISNUMBER(E111),E111&gt;=f_ini)),OR(f_fim="",AND(ISNUMBER(E111),E111&lt;=f_fim)),OR(f_un="",f_un="(Todas)",G111=f_un),OR(f_tr="",f_tr="(Todos)",H111=f_tr),OR(f_de="",f_de="(Todos)",I111=f_de),OR(f_sit="",f_sit="(Todas)",S111=f_sit)),1,0))</f>
        <v>0</v>
      </c>
      <c r="AY111" s="96">
        <f>IF(AX111=0,0,IF(OR(f_res="",f_res="(Todos)"),1,IF(COUNTIFS('ITENS_MTR'!$S$6:$S$1005,A111,'ITENS_MTR'!$C$6:$C$1005,f_res)&gt;0,1,0)))</f>
        <v>0</v>
      </c>
      <c r="AZ111" s="97" t="str">
        <f>IF(ISNUMBER(E111),DATE(YEAR(E111),MONTH(E111),1),"")</f>
        <v/>
      </c>
      <c r="BA111" s="96">
        <f>IF(Z111=0,0,IF(AND(OR(r_ini="",AND(ISNUMBER(E111),E111&gt;=r_ini)),OR(r_fim="",AND(ISNUMBER(E111),E111&lt;=r_fim)),OR(r_un="",r_un="(Todas)",G111=r_un),OR(r_de="",r_de="(Todos)",I111=r_de)),1,0))</f>
        <v>0</v>
      </c>
      <c r="BB111" s="96" t="str">
        <f>IF(BA111=1,COUNTIF($BA$6:BA111,1),"")</f>
        <v/>
      </c>
      <c r="BC111" s="96" t="str">
        <f>IF(AND(AU111&lt;&gt;"",OR(r_un="",r_un="(Todas)",G111=r_un),OR(r_de="",r_de="(Todos)",I111=r_de)),AU111,"")</f>
        <v/>
      </c>
      <c r="BD111" s="96" t="str">
        <f>IF(Z111=1,A111&amp;" | nº "&amp;IF(B111="","(sem número)",B111)&amp;" | "&amp;IF(G111="","(sem unidade)",G111),"")</f>
        <v/>
      </c>
      <c r="BE111" s="96" t="str">
        <f>IF(Z111=1,COUNTIF($Z$6:Z111,1),"")</f>
        <v/>
      </c>
      <c r="BF111" s="96" t="str">
        <f>IF(T111="","",IF(T111="RECEBIMENTO NÃO CONFIRMADO","Transp.: "&amp;H111&amp;" | Dest.: "&amp;I111,IF(OR(T111="CDF NÃO LOCALIZADO",T111="VÍNCULO INCOMPLETO",T111="CDF A CONFERIR"),"Dest.: "&amp;I111,"Gerador: "&amp;G111)))</f>
        <v/>
      </c>
    </row>
    <row r="112">
      <c r="A112" s="89" t="inlineStr">
        <is>
          <t>MTR-000107</t>
        </is>
      </c>
      <c r="B112" s="90" t="n"/>
      <c r="C112" s="91" t="n"/>
      <c r="D112" s="91" t="n"/>
      <c r="E112" s="92" t="n"/>
      <c r="F112" s="92" t="n"/>
      <c r="G112" s="91" t="n"/>
      <c r="H112" s="91" t="n"/>
      <c r="I112" s="91" t="n"/>
      <c r="J112" s="91" t="n"/>
      <c r="K112" s="91" t="n"/>
      <c r="L112" s="92" t="n"/>
      <c r="M112" s="91" t="n"/>
      <c r="N112" s="91" t="n"/>
      <c r="O112" s="91" t="n"/>
      <c r="P112" s="93" t="str">
        <f>IF(Z112=0,"",SUMIFS('ITENS_MTR'!$I$6:$I$1005,'ITENS_MTR'!$S$6:$S$1005,A112,'ITENS_MTR'!$Y$6:$Y$1005,1))</f>
        <v/>
      </c>
      <c r="Q112" s="93" t="str">
        <f>IF(Z112=0,"",SUMIFS('RECEBIMENTOS'!$H$6:$H$1005,'RECEBIMENTOS'!$B$6:$B$1005,A112,'RECEBIMENTOS'!$X$6:$X$1005,1))</f>
        <v/>
      </c>
      <c r="R112" s="93" t="str">
        <f>IF(Z112=0,"",SUMIFS('VÍNCULOS_CDF'!$H$6:$H$1005,'VÍNCULOS_CDF'!$D$6:$D$1005,A112,'VÍNCULOS_CDF'!$V$6:$V$1005,1))</f>
        <v/>
      </c>
      <c r="S112" s="94" t="str">
        <f>IF(Z112=0,"",IF(AA112=1,"Cancelado (informado)",IF(AE112=1,"Cadastro incompleto",IF(OR(AC112=1,AD112=1,AF112&gt;0,AH112&gt;0,AK112&gt;0,AL112&gt;0),"Informação a revisar",IF(AN112=0,"Aguardando recebimento",IF(N(R112)=0,"Aguardando CDF",IF(AJ112&lt;N(W112),"Vínculo de CDF parcial",IF(AO112=0,"CDF localizado, a conferir","Documentação conferida"))))))))</f>
        <v/>
      </c>
      <c r="T112" s="94" t="str">
        <f>IF(Z112=0,"",IF(S112="Cadastro incompleto","MTR INCOMPLETO",IF(S112="Informação a revisar",IF(AND(AH112&gt;0,AC112=0,AD112=0,AF112=0,AK112=0,AL112=0),"QUANTIDADE A REVISAR","IDENTIFICAÇÃO A REVISAR"),IF(S112="Aguardando recebimento","RECEBIMENTO NÃO CONFIRMADO",IF(S112="Aguardando CDF","CDF NÃO LOCALIZADO",IF(S112="Vínculo de CDF parcial","VÍNCULO INCOMPLETO",IF(S112="CDF localizado, a conferir","CDF A CONFERIR","")))))))</f>
        <v/>
      </c>
      <c r="U112" s="95" t="str">
        <f>IF(T112="","",IF(AQ112="","Não calculável",IF(AQ112&gt;TODAY(),"Data futura",TODAY()-AQ112)))</f>
        <v/>
      </c>
      <c r="V112" s="93" t="str">
        <f>IF(Z112=0,"",SUMIFS('RECEBIMENTOS'!$H$6:$H$1005,'RECEBIMENTOS'!$B$6:$B$1005,A112,'RECEBIMENTOS'!$Z$6:$Z$1005,1))</f>
        <v/>
      </c>
      <c r="W112" s="95" t="str">
        <f>IF(Z112=0,"",COUNTIFS('ITENS_MTR'!$S$6:$S$1005,A112,'ITENS_MTR'!$R$6:$R$1005,1))</f>
        <v/>
      </c>
      <c r="X112" s="94" t="str">
        <f>IF(AC112=1,"POSSÍVEL DUPLICIDADE","")</f>
        <v/>
      </c>
      <c r="Y112" s="94" t="str">
        <f>IF(Z112=0,"",IF(AW112="","Nenhuma",LEFT(AW112,LEN(AW112)-2)))</f>
        <v/>
      </c>
      <c r="Z112" s="96">
        <f>IF(COUNTA(B112:O112)&gt;0,1,0)</f>
        <v>0</v>
      </c>
      <c r="AA112" s="96">
        <f>IF(AND(Z112=1,K112&lt;&gt;""),IF(TRIM(K112)=TRIM(cfg_cancel),1,0),0)</f>
        <v>0</v>
      </c>
      <c r="AB112" s="96" t="str">
        <f>IF(AND(Z112=1,B112&lt;&gt;""),C112&amp;"|"&amp;D112&amp;"|"&amp;G112&amp;"|"&amp;TRIM(B112),"")</f>
        <v/>
      </c>
      <c r="AC112" s="96">
        <f>IF(AB112="",0,IF(SUMPRODUCT(--($AB$6:$AB$505=AB112))&gt;1,1,0))</f>
        <v>0</v>
      </c>
      <c r="AD112" s="96">
        <f>IF(Z112=0,0,IF(OR(AND(G112&lt;&gt;"",ISNA(MATCH(G112,'CAD_UNIDADES'!$C$6:$C$105,0))),AND(H112&lt;&gt;"",ISNA(MATCH(H112,cmp_transp,0))),AND(I112&lt;&gt;"",ISNA(MATCH(I112,cmp_dest,0))),AND(E112&lt;&gt;"",NOT(ISNUMBER(E112))),AND(F112&lt;&gt;"",NOT(ISNUMBER(F112))),AND(ISNUMBER(E112),ISNUMBER(F112),F112&lt;E112)),1,0))</f>
        <v>0</v>
      </c>
      <c r="AE112" s="96">
        <f>IF(Z112=0,0,IF(OR(B112="",C112="",E112="",G112="",H112="",I112="",N(W112)=0),1,0))</f>
        <v>0</v>
      </c>
      <c r="AF112" s="96">
        <f>IF(Z112=0,0,COUNTIFS('ITENS_MTR'!$S$6:$S$1005,A112,'ITENS_MTR'!$AI$6:$AI$1005,1))</f>
        <v>0</v>
      </c>
      <c r="AG112" s="96">
        <f>IF(Z112=0,0,COUNTIFS('ITENS_MTR'!$S$6:$S$1005,A112,'ITENS_MTR'!$AJ$6:$AJ$1005,1))</f>
        <v>0</v>
      </c>
      <c r="AH112" s="96">
        <f>IF(Z112=0,0,COUNTIFS('ITENS_MTR'!$S$6:$S$1005,A112,'ITENS_MTR'!$AM$6:$AM$1005,1))</f>
        <v>0</v>
      </c>
      <c r="AI112" s="96">
        <f>IF(Z112=0,0,COUNTIFS('ITENS_MTR'!$S$6:$S$1005,A112,'ITENS_MTR'!$AO$6:$AO$1005,1))</f>
        <v>0</v>
      </c>
      <c r="AJ112" s="96">
        <f>IF(Z112=0,0,COUNTIFS('ITENS_MTR'!$S$6:$S$1005,A112,'ITENS_MTR'!$AN$6:$AN$1005,1))</f>
        <v>0</v>
      </c>
      <c r="AK112" s="96">
        <f>IF(Z112=0,0,COUNTIFS('RECEBIMENTOS'!$B$6:$B$1005,A112,'RECEBIMENTOS'!$Y$6:$Y$1005,1))</f>
        <v>0</v>
      </c>
      <c r="AL112" s="96">
        <f>IF(Z112=0,0,COUNTIFS('VÍNCULOS_CDF'!$D$6:$D$1005,A112,'VÍNCULOS_CDF'!$Y$6:$Y$1005,1))</f>
        <v>0</v>
      </c>
      <c r="AM112" s="96">
        <f>IF(Z112=0,0,COUNTIFS('RECEBIMENTOS'!$B$6:$B$1005,A112,'RECEBIMENTOS'!$Q$6:$Q$1005,1))</f>
        <v>0</v>
      </c>
      <c r="AN112" s="96">
        <f>IF(AND(Z112=1,N(W112)&gt;0,AG112=N(W112)),1,0)</f>
        <v>0</v>
      </c>
      <c r="AO112" s="96">
        <f>IF(AND(Z112=1,N(W112)&gt;0,AI112=N(W112)),1,0)</f>
        <v>0</v>
      </c>
      <c r="AP112" s="97">
        <f>IF(Z112=0,0,_xlfn.MAXIFS('RECEBIMENTOS'!$E$6:$E$1005,'RECEBIMENTOS'!$B$6:$B$1005,A112))</f>
        <v>0</v>
      </c>
      <c r="AQ112" s="97" t="str">
        <f>IF(T112="","",IF(T112="RECEBIMENTO NÃO CONFIRMADO",IF(ISNUMBER(F112),F112,IF(ISNUMBER(E112),E112,"")),IF(OR(T112="CDF NÃO LOCALIZADO",T112="VÍNCULO INCOMPLETO",T112="CDF A CONFERIR"),IF(AP112&gt;0,AP112,IF(ISNUMBER(E112),E112,"")),IF(ISNUMBER(E112),E112,""))))</f>
        <v/>
      </c>
      <c r="AR112" s="96">
        <f>IF(NOT(ISNUMBER(U112)),0,IF(T112="RECEBIMENTO NÃO CONFIRMADO",IF(AND(ISNUMBER(cfg_rec),U112&gt;cfg_rec),1,0),IF(OR(T112="CDF NÃO LOCALIZADO",T112="VÍNCULO INCOMPLETO",T112="CDF A CONFERIR"),IF(AND(ISNUMBER(cfg_cdf),U112&gt;cfg_cdf),1,0),0)))</f>
        <v>0</v>
      </c>
      <c r="AS112" s="96" t="str">
        <f>IF(T112="","",IF(AR112=1,"Alta",IFERROR(INDEX(cfg_pp,MATCH(T112,cfg_pt,0))&amp;"","Média")))</f>
        <v/>
      </c>
      <c r="AT112" s="96" t="str">
        <f>IF(T112="","",IFERROR(INDEX(cfg_pv,MATCH(T112,cfg_pt,0))&amp;"",""))</f>
        <v/>
      </c>
      <c r="AU112" s="96" t="str">
        <f>IF(T112="","",IF(AS112="Alta",1,IF(AS112="Média",2,3))*1000000000+(999999-IF(ISNUMBER(U112),MIN(U112,999999),0))*1000+107)</f>
        <v/>
      </c>
      <c r="AV112" s="96">
        <f>IF(T112&lt;&gt;"",1,0)</f>
        <v>0</v>
      </c>
      <c r="AW112" s="96" t="str">
        <f>IF(Z112=0,"",IF(AA112=1,"Cancelamento informado; ","")&amp;IF(AE112=1,"Campos essenciais ou itens faltando; ","")&amp;IF(AC112=1,"Possível duplicidade do número; ","")&amp;IF(AD112=1,"Cadastro ou datas a revisar; ","")&amp;IF(AF112&gt;0,"Item de resíduo com dado a revisar; ","")&amp;IF(AH112&gt;0,"Diferença de quantidade a analisar; ","")&amp;IF(AK112&gt;0,"Recebimento com alerta; ","")&amp;IF(AL112&gt;0,"Vínculo de CDF com alerta; ","")&amp;IF(AND(AA112=0,AN112=0),"Recebimento não confirmado; ","")&amp;IF(AND(AA112=0,AN112=1,AO112=0),"CDF pendente ou a conferir; ",""))</f>
        <v/>
      </c>
      <c r="AX112" s="96">
        <f>IF(Z112=0,0,IF(AND(OR(f_ini="",AND(ISNUMBER(E112),E112&gt;=f_ini)),OR(f_fim="",AND(ISNUMBER(E112),E112&lt;=f_fim)),OR(f_un="",f_un="(Todas)",G112=f_un),OR(f_tr="",f_tr="(Todos)",H112=f_tr),OR(f_de="",f_de="(Todos)",I112=f_de),OR(f_sit="",f_sit="(Todas)",S112=f_sit)),1,0))</f>
        <v>0</v>
      </c>
      <c r="AY112" s="96">
        <f>IF(AX112=0,0,IF(OR(f_res="",f_res="(Todos)"),1,IF(COUNTIFS('ITENS_MTR'!$S$6:$S$1005,A112,'ITENS_MTR'!$C$6:$C$1005,f_res)&gt;0,1,0)))</f>
        <v>0</v>
      </c>
      <c r="AZ112" s="97" t="str">
        <f>IF(ISNUMBER(E112),DATE(YEAR(E112),MONTH(E112),1),"")</f>
        <v/>
      </c>
      <c r="BA112" s="96">
        <f>IF(Z112=0,0,IF(AND(OR(r_ini="",AND(ISNUMBER(E112),E112&gt;=r_ini)),OR(r_fim="",AND(ISNUMBER(E112),E112&lt;=r_fim)),OR(r_un="",r_un="(Todas)",G112=r_un),OR(r_de="",r_de="(Todos)",I112=r_de)),1,0))</f>
        <v>0</v>
      </c>
      <c r="BB112" s="96" t="str">
        <f>IF(BA112=1,COUNTIF($BA$6:BA112,1),"")</f>
        <v/>
      </c>
      <c r="BC112" s="96" t="str">
        <f>IF(AND(AU112&lt;&gt;"",OR(r_un="",r_un="(Todas)",G112=r_un),OR(r_de="",r_de="(Todos)",I112=r_de)),AU112,"")</f>
        <v/>
      </c>
      <c r="BD112" s="96" t="str">
        <f>IF(Z112=1,A112&amp;" | nº "&amp;IF(B112="","(sem número)",B112)&amp;" | "&amp;IF(G112="","(sem unidade)",G112),"")</f>
        <v/>
      </c>
      <c r="BE112" s="96" t="str">
        <f>IF(Z112=1,COUNTIF($Z$6:Z112,1),"")</f>
        <v/>
      </c>
      <c r="BF112" s="96" t="str">
        <f>IF(T112="","",IF(T112="RECEBIMENTO NÃO CONFIRMADO","Transp.: "&amp;H112&amp;" | Dest.: "&amp;I112,IF(OR(T112="CDF NÃO LOCALIZADO",T112="VÍNCULO INCOMPLETO",T112="CDF A CONFERIR"),"Dest.: "&amp;I112,"Gerador: "&amp;G112)))</f>
        <v/>
      </c>
    </row>
    <row r="113">
      <c r="A113" s="89" t="inlineStr">
        <is>
          <t>MTR-000108</t>
        </is>
      </c>
      <c r="B113" s="90" t="n"/>
      <c r="C113" s="91" t="n"/>
      <c r="D113" s="91" t="n"/>
      <c r="E113" s="92" t="n"/>
      <c r="F113" s="92" t="n"/>
      <c r="G113" s="91" t="n"/>
      <c r="H113" s="91" t="n"/>
      <c r="I113" s="91" t="n"/>
      <c r="J113" s="91" t="n"/>
      <c r="K113" s="91" t="n"/>
      <c r="L113" s="92" t="n"/>
      <c r="M113" s="91" t="n"/>
      <c r="N113" s="91" t="n"/>
      <c r="O113" s="91" t="n"/>
      <c r="P113" s="93" t="str">
        <f>IF(Z113=0,"",SUMIFS('ITENS_MTR'!$I$6:$I$1005,'ITENS_MTR'!$S$6:$S$1005,A113,'ITENS_MTR'!$Y$6:$Y$1005,1))</f>
        <v/>
      </c>
      <c r="Q113" s="93" t="str">
        <f>IF(Z113=0,"",SUMIFS('RECEBIMENTOS'!$H$6:$H$1005,'RECEBIMENTOS'!$B$6:$B$1005,A113,'RECEBIMENTOS'!$X$6:$X$1005,1))</f>
        <v/>
      </c>
      <c r="R113" s="93" t="str">
        <f>IF(Z113=0,"",SUMIFS('VÍNCULOS_CDF'!$H$6:$H$1005,'VÍNCULOS_CDF'!$D$6:$D$1005,A113,'VÍNCULOS_CDF'!$V$6:$V$1005,1))</f>
        <v/>
      </c>
      <c r="S113" s="94" t="str">
        <f>IF(Z113=0,"",IF(AA113=1,"Cancelado (informado)",IF(AE113=1,"Cadastro incompleto",IF(OR(AC113=1,AD113=1,AF113&gt;0,AH113&gt;0,AK113&gt;0,AL113&gt;0),"Informação a revisar",IF(AN113=0,"Aguardando recebimento",IF(N(R113)=0,"Aguardando CDF",IF(AJ113&lt;N(W113),"Vínculo de CDF parcial",IF(AO113=0,"CDF localizado, a conferir","Documentação conferida"))))))))</f>
        <v/>
      </c>
      <c r="T113" s="94" t="str">
        <f>IF(Z113=0,"",IF(S113="Cadastro incompleto","MTR INCOMPLETO",IF(S113="Informação a revisar",IF(AND(AH113&gt;0,AC113=0,AD113=0,AF113=0,AK113=0,AL113=0),"QUANTIDADE A REVISAR","IDENTIFICAÇÃO A REVISAR"),IF(S113="Aguardando recebimento","RECEBIMENTO NÃO CONFIRMADO",IF(S113="Aguardando CDF","CDF NÃO LOCALIZADO",IF(S113="Vínculo de CDF parcial","VÍNCULO INCOMPLETO",IF(S113="CDF localizado, a conferir","CDF A CONFERIR","")))))))</f>
        <v/>
      </c>
      <c r="U113" s="95" t="str">
        <f>IF(T113="","",IF(AQ113="","Não calculável",IF(AQ113&gt;TODAY(),"Data futura",TODAY()-AQ113)))</f>
        <v/>
      </c>
      <c r="V113" s="93" t="str">
        <f>IF(Z113=0,"",SUMIFS('RECEBIMENTOS'!$H$6:$H$1005,'RECEBIMENTOS'!$B$6:$B$1005,A113,'RECEBIMENTOS'!$Z$6:$Z$1005,1))</f>
        <v/>
      </c>
      <c r="W113" s="95" t="str">
        <f>IF(Z113=0,"",COUNTIFS('ITENS_MTR'!$S$6:$S$1005,A113,'ITENS_MTR'!$R$6:$R$1005,1))</f>
        <v/>
      </c>
      <c r="X113" s="94" t="str">
        <f>IF(AC113=1,"POSSÍVEL DUPLICIDADE","")</f>
        <v/>
      </c>
      <c r="Y113" s="94" t="str">
        <f>IF(Z113=0,"",IF(AW113="","Nenhuma",LEFT(AW113,LEN(AW113)-2)))</f>
        <v/>
      </c>
      <c r="Z113" s="96">
        <f>IF(COUNTA(B113:O113)&gt;0,1,0)</f>
        <v>0</v>
      </c>
      <c r="AA113" s="96">
        <f>IF(AND(Z113=1,K113&lt;&gt;""),IF(TRIM(K113)=TRIM(cfg_cancel),1,0),0)</f>
        <v>0</v>
      </c>
      <c r="AB113" s="96" t="str">
        <f>IF(AND(Z113=1,B113&lt;&gt;""),C113&amp;"|"&amp;D113&amp;"|"&amp;G113&amp;"|"&amp;TRIM(B113),"")</f>
        <v/>
      </c>
      <c r="AC113" s="96">
        <f>IF(AB113="",0,IF(SUMPRODUCT(--($AB$6:$AB$505=AB113))&gt;1,1,0))</f>
        <v>0</v>
      </c>
      <c r="AD113" s="96">
        <f>IF(Z113=0,0,IF(OR(AND(G113&lt;&gt;"",ISNA(MATCH(G113,'CAD_UNIDADES'!$C$6:$C$105,0))),AND(H113&lt;&gt;"",ISNA(MATCH(H113,cmp_transp,0))),AND(I113&lt;&gt;"",ISNA(MATCH(I113,cmp_dest,0))),AND(E113&lt;&gt;"",NOT(ISNUMBER(E113))),AND(F113&lt;&gt;"",NOT(ISNUMBER(F113))),AND(ISNUMBER(E113),ISNUMBER(F113),F113&lt;E113)),1,0))</f>
        <v>0</v>
      </c>
      <c r="AE113" s="96">
        <f>IF(Z113=0,0,IF(OR(B113="",C113="",E113="",G113="",H113="",I113="",N(W113)=0),1,0))</f>
        <v>0</v>
      </c>
      <c r="AF113" s="96">
        <f>IF(Z113=0,0,COUNTIFS('ITENS_MTR'!$S$6:$S$1005,A113,'ITENS_MTR'!$AI$6:$AI$1005,1))</f>
        <v>0</v>
      </c>
      <c r="AG113" s="96">
        <f>IF(Z113=0,0,COUNTIFS('ITENS_MTR'!$S$6:$S$1005,A113,'ITENS_MTR'!$AJ$6:$AJ$1005,1))</f>
        <v>0</v>
      </c>
      <c r="AH113" s="96">
        <f>IF(Z113=0,0,COUNTIFS('ITENS_MTR'!$S$6:$S$1005,A113,'ITENS_MTR'!$AM$6:$AM$1005,1))</f>
        <v>0</v>
      </c>
      <c r="AI113" s="96">
        <f>IF(Z113=0,0,COUNTIFS('ITENS_MTR'!$S$6:$S$1005,A113,'ITENS_MTR'!$AO$6:$AO$1005,1))</f>
        <v>0</v>
      </c>
      <c r="AJ113" s="96">
        <f>IF(Z113=0,0,COUNTIFS('ITENS_MTR'!$S$6:$S$1005,A113,'ITENS_MTR'!$AN$6:$AN$1005,1))</f>
        <v>0</v>
      </c>
      <c r="AK113" s="96">
        <f>IF(Z113=0,0,COUNTIFS('RECEBIMENTOS'!$B$6:$B$1005,A113,'RECEBIMENTOS'!$Y$6:$Y$1005,1))</f>
        <v>0</v>
      </c>
      <c r="AL113" s="96">
        <f>IF(Z113=0,0,COUNTIFS('VÍNCULOS_CDF'!$D$6:$D$1005,A113,'VÍNCULOS_CDF'!$Y$6:$Y$1005,1))</f>
        <v>0</v>
      </c>
      <c r="AM113" s="96">
        <f>IF(Z113=0,0,COUNTIFS('RECEBIMENTOS'!$B$6:$B$1005,A113,'RECEBIMENTOS'!$Q$6:$Q$1005,1))</f>
        <v>0</v>
      </c>
      <c r="AN113" s="96">
        <f>IF(AND(Z113=1,N(W113)&gt;0,AG113=N(W113)),1,0)</f>
        <v>0</v>
      </c>
      <c r="AO113" s="96">
        <f>IF(AND(Z113=1,N(W113)&gt;0,AI113=N(W113)),1,0)</f>
        <v>0</v>
      </c>
      <c r="AP113" s="97">
        <f>IF(Z113=0,0,_xlfn.MAXIFS('RECEBIMENTOS'!$E$6:$E$1005,'RECEBIMENTOS'!$B$6:$B$1005,A113))</f>
        <v>0</v>
      </c>
      <c r="AQ113" s="97" t="str">
        <f>IF(T113="","",IF(T113="RECEBIMENTO NÃO CONFIRMADO",IF(ISNUMBER(F113),F113,IF(ISNUMBER(E113),E113,"")),IF(OR(T113="CDF NÃO LOCALIZADO",T113="VÍNCULO INCOMPLETO",T113="CDF A CONFERIR"),IF(AP113&gt;0,AP113,IF(ISNUMBER(E113),E113,"")),IF(ISNUMBER(E113),E113,""))))</f>
        <v/>
      </c>
      <c r="AR113" s="96">
        <f>IF(NOT(ISNUMBER(U113)),0,IF(T113="RECEBIMENTO NÃO CONFIRMADO",IF(AND(ISNUMBER(cfg_rec),U113&gt;cfg_rec),1,0),IF(OR(T113="CDF NÃO LOCALIZADO",T113="VÍNCULO INCOMPLETO",T113="CDF A CONFERIR"),IF(AND(ISNUMBER(cfg_cdf),U113&gt;cfg_cdf),1,0),0)))</f>
        <v>0</v>
      </c>
      <c r="AS113" s="96" t="str">
        <f>IF(T113="","",IF(AR113=1,"Alta",IFERROR(INDEX(cfg_pp,MATCH(T113,cfg_pt,0))&amp;"","Média")))</f>
        <v/>
      </c>
      <c r="AT113" s="96" t="str">
        <f>IF(T113="","",IFERROR(INDEX(cfg_pv,MATCH(T113,cfg_pt,0))&amp;"",""))</f>
        <v/>
      </c>
      <c r="AU113" s="96" t="str">
        <f>IF(T113="","",IF(AS113="Alta",1,IF(AS113="Média",2,3))*1000000000+(999999-IF(ISNUMBER(U113),MIN(U113,999999),0))*1000+108)</f>
        <v/>
      </c>
      <c r="AV113" s="96">
        <f>IF(T113&lt;&gt;"",1,0)</f>
        <v>0</v>
      </c>
      <c r="AW113" s="96" t="str">
        <f>IF(Z113=0,"",IF(AA113=1,"Cancelamento informado; ","")&amp;IF(AE113=1,"Campos essenciais ou itens faltando; ","")&amp;IF(AC113=1,"Possível duplicidade do número; ","")&amp;IF(AD113=1,"Cadastro ou datas a revisar; ","")&amp;IF(AF113&gt;0,"Item de resíduo com dado a revisar; ","")&amp;IF(AH113&gt;0,"Diferença de quantidade a analisar; ","")&amp;IF(AK113&gt;0,"Recebimento com alerta; ","")&amp;IF(AL113&gt;0,"Vínculo de CDF com alerta; ","")&amp;IF(AND(AA113=0,AN113=0),"Recebimento não confirmado; ","")&amp;IF(AND(AA113=0,AN113=1,AO113=0),"CDF pendente ou a conferir; ",""))</f>
        <v/>
      </c>
      <c r="AX113" s="96">
        <f>IF(Z113=0,0,IF(AND(OR(f_ini="",AND(ISNUMBER(E113),E113&gt;=f_ini)),OR(f_fim="",AND(ISNUMBER(E113),E113&lt;=f_fim)),OR(f_un="",f_un="(Todas)",G113=f_un),OR(f_tr="",f_tr="(Todos)",H113=f_tr),OR(f_de="",f_de="(Todos)",I113=f_de),OR(f_sit="",f_sit="(Todas)",S113=f_sit)),1,0))</f>
        <v>0</v>
      </c>
      <c r="AY113" s="96">
        <f>IF(AX113=0,0,IF(OR(f_res="",f_res="(Todos)"),1,IF(COUNTIFS('ITENS_MTR'!$S$6:$S$1005,A113,'ITENS_MTR'!$C$6:$C$1005,f_res)&gt;0,1,0)))</f>
        <v>0</v>
      </c>
      <c r="AZ113" s="97" t="str">
        <f>IF(ISNUMBER(E113),DATE(YEAR(E113),MONTH(E113),1),"")</f>
        <v/>
      </c>
      <c r="BA113" s="96">
        <f>IF(Z113=0,0,IF(AND(OR(r_ini="",AND(ISNUMBER(E113),E113&gt;=r_ini)),OR(r_fim="",AND(ISNUMBER(E113),E113&lt;=r_fim)),OR(r_un="",r_un="(Todas)",G113=r_un),OR(r_de="",r_de="(Todos)",I113=r_de)),1,0))</f>
        <v>0</v>
      </c>
      <c r="BB113" s="96" t="str">
        <f>IF(BA113=1,COUNTIF($BA$6:BA113,1),"")</f>
        <v/>
      </c>
      <c r="BC113" s="96" t="str">
        <f>IF(AND(AU113&lt;&gt;"",OR(r_un="",r_un="(Todas)",G113=r_un),OR(r_de="",r_de="(Todos)",I113=r_de)),AU113,"")</f>
        <v/>
      </c>
      <c r="BD113" s="96" t="str">
        <f>IF(Z113=1,A113&amp;" | nº "&amp;IF(B113="","(sem número)",B113)&amp;" | "&amp;IF(G113="","(sem unidade)",G113),"")</f>
        <v/>
      </c>
      <c r="BE113" s="96" t="str">
        <f>IF(Z113=1,COUNTIF($Z$6:Z113,1),"")</f>
        <v/>
      </c>
      <c r="BF113" s="96" t="str">
        <f>IF(T113="","",IF(T113="RECEBIMENTO NÃO CONFIRMADO","Transp.: "&amp;H113&amp;" | Dest.: "&amp;I113,IF(OR(T113="CDF NÃO LOCALIZADO",T113="VÍNCULO INCOMPLETO",T113="CDF A CONFERIR"),"Dest.: "&amp;I113,"Gerador: "&amp;G113)))</f>
        <v/>
      </c>
    </row>
    <row r="114">
      <c r="A114" s="89" t="inlineStr">
        <is>
          <t>MTR-000109</t>
        </is>
      </c>
      <c r="B114" s="90" t="n"/>
      <c r="C114" s="91" t="n"/>
      <c r="D114" s="91" t="n"/>
      <c r="E114" s="92" t="n"/>
      <c r="F114" s="92" t="n"/>
      <c r="G114" s="91" t="n"/>
      <c r="H114" s="91" t="n"/>
      <c r="I114" s="91" t="n"/>
      <c r="J114" s="91" t="n"/>
      <c r="K114" s="91" t="n"/>
      <c r="L114" s="92" t="n"/>
      <c r="M114" s="91" t="n"/>
      <c r="N114" s="91" t="n"/>
      <c r="O114" s="91" t="n"/>
      <c r="P114" s="93" t="str">
        <f>IF(Z114=0,"",SUMIFS('ITENS_MTR'!$I$6:$I$1005,'ITENS_MTR'!$S$6:$S$1005,A114,'ITENS_MTR'!$Y$6:$Y$1005,1))</f>
        <v/>
      </c>
      <c r="Q114" s="93" t="str">
        <f>IF(Z114=0,"",SUMIFS('RECEBIMENTOS'!$H$6:$H$1005,'RECEBIMENTOS'!$B$6:$B$1005,A114,'RECEBIMENTOS'!$X$6:$X$1005,1))</f>
        <v/>
      </c>
      <c r="R114" s="93" t="str">
        <f>IF(Z114=0,"",SUMIFS('VÍNCULOS_CDF'!$H$6:$H$1005,'VÍNCULOS_CDF'!$D$6:$D$1005,A114,'VÍNCULOS_CDF'!$V$6:$V$1005,1))</f>
        <v/>
      </c>
      <c r="S114" s="94" t="str">
        <f>IF(Z114=0,"",IF(AA114=1,"Cancelado (informado)",IF(AE114=1,"Cadastro incompleto",IF(OR(AC114=1,AD114=1,AF114&gt;0,AH114&gt;0,AK114&gt;0,AL114&gt;0),"Informação a revisar",IF(AN114=0,"Aguardando recebimento",IF(N(R114)=0,"Aguardando CDF",IF(AJ114&lt;N(W114),"Vínculo de CDF parcial",IF(AO114=0,"CDF localizado, a conferir","Documentação conferida"))))))))</f>
        <v/>
      </c>
      <c r="T114" s="94" t="str">
        <f>IF(Z114=0,"",IF(S114="Cadastro incompleto","MTR INCOMPLETO",IF(S114="Informação a revisar",IF(AND(AH114&gt;0,AC114=0,AD114=0,AF114=0,AK114=0,AL114=0),"QUANTIDADE A REVISAR","IDENTIFICAÇÃO A REVISAR"),IF(S114="Aguardando recebimento","RECEBIMENTO NÃO CONFIRMADO",IF(S114="Aguardando CDF","CDF NÃO LOCALIZADO",IF(S114="Vínculo de CDF parcial","VÍNCULO INCOMPLETO",IF(S114="CDF localizado, a conferir","CDF A CONFERIR","")))))))</f>
        <v/>
      </c>
      <c r="U114" s="95" t="str">
        <f>IF(T114="","",IF(AQ114="","Não calculável",IF(AQ114&gt;TODAY(),"Data futura",TODAY()-AQ114)))</f>
        <v/>
      </c>
      <c r="V114" s="93" t="str">
        <f>IF(Z114=0,"",SUMIFS('RECEBIMENTOS'!$H$6:$H$1005,'RECEBIMENTOS'!$B$6:$B$1005,A114,'RECEBIMENTOS'!$Z$6:$Z$1005,1))</f>
        <v/>
      </c>
      <c r="W114" s="95" t="str">
        <f>IF(Z114=0,"",COUNTIFS('ITENS_MTR'!$S$6:$S$1005,A114,'ITENS_MTR'!$R$6:$R$1005,1))</f>
        <v/>
      </c>
      <c r="X114" s="94" t="str">
        <f>IF(AC114=1,"POSSÍVEL DUPLICIDADE","")</f>
        <v/>
      </c>
      <c r="Y114" s="94" t="str">
        <f>IF(Z114=0,"",IF(AW114="","Nenhuma",LEFT(AW114,LEN(AW114)-2)))</f>
        <v/>
      </c>
      <c r="Z114" s="96">
        <f>IF(COUNTA(B114:O114)&gt;0,1,0)</f>
        <v>0</v>
      </c>
      <c r="AA114" s="96">
        <f>IF(AND(Z114=1,K114&lt;&gt;""),IF(TRIM(K114)=TRIM(cfg_cancel),1,0),0)</f>
        <v>0</v>
      </c>
      <c r="AB114" s="96" t="str">
        <f>IF(AND(Z114=1,B114&lt;&gt;""),C114&amp;"|"&amp;D114&amp;"|"&amp;G114&amp;"|"&amp;TRIM(B114),"")</f>
        <v/>
      </c>
      <c r="AC114" s="96">
        <f>IF(AB114="",0,IF(SUMPRODUCT(--($AB$6:$AB$505=AB114))&gt;1,1,0))</f>
        <v>0</v>
      </c>
      <c r="AD114" s="96">
        <f>IF(Z114=0,0,IF(OR(AND(G114&lt;&gt;"",ISNA(MATCH(G114,'CAD_UNIDADES'!$C$6:$C$105,0))),AND(H114&lt;&gt;"",ISNA(MATCH(H114,cmp_transp,0))),AND(I114&lt;&gt;"",ISNA(MATCH(I114,cmp_dest,0))),AND(E114&lt;&gt;"",NOT(ISNUMBER(E114))),AND(F114&lt;&gt;"",NOT(ISNUMBER(F114))),AND(ISNUMBER(E114),ISNUMBER(F114),F114&lt;E114)),1,0))</f>
        <v>0</v>
      </c>
      <c r="AE114" s="96">
        <f>IF(Z114=0,0,IF(OR(B114="",C114="",E114="",G114="",H114="",I114="",N(W114)=0),1,0))</f>
        <v>0</v>
      </c>
      <c r="AF114" s="96">
        <f>IF(Z114=0,0,COUNTIFS('ITENS_MTR'!$S$6:$S$1005,A114,'ITENS_MTR'!$AI$6:$AI$1005,1))</f>
        <v>0</v>
      </c>
      <c r="AG114" s="96">
        <f>IF(Z114=0,0,COUNTIFS('ITENS_MTR'!$S$6:$S$1005,A114,'ITENS_MTR'!$AJ$6:$AJ$1005,1))</f>
        <v>0</v>
      </c>
      <c r="AH114" s="96">
        <f>IF(Z114=0,0,COUNTIFS('ITENS_MTR'!$S$6:$S$1005,A114,'ITENS_MTR'!$AM$6:$AM$1005,1))</f>
        <v>0</v>
      </c>
      <c r="AI114" s="96">
        <f>IF(Z114=0,0,COUNTIFS('ITENS_MTR'!$S$6:$S$1005,A114,'ITENS_MTR'!$AO$6:$AO$1005,1))</f>
        <v>0</v>
      </c>
      <c r="AJ114" s="96">
        <f>IF(Z114=0,0,COUNTIFS('ITENS_MTR'!$S$6:$S$1005,A114,'ITENS_MTR'!$AN$6:$AN$1005,1))</f>
        <v>0</v>
      </c>
      <c r="AK114" s="96">
        <f>IF(Z114=0,0,COUNTIFS('RECEBIMENTOS'!$B$6:$B$1005,A114,'RECEBIMENTOS'!$Y$6:$Y$1005,1))</f>
        <v>0</v>
      </c>
      <c r="AL114" s="96">
        <f>IF(Z114=0,0,COUNTIFS('VÍNCULOS_CDF'!$D$6:$D$1005,A114,'VÍNCULOS_CDF'!$Y$6:$Y$1005,1))</f>
        <v>0</v>
      </c>
      <c r="AM114" s="96">
        <f>IF(Z114=0,0,COUNTIFS('RECEBIMENTOS'!$B$6:$B$1005,A114,'RECEBIMENTOS'!$Q$6:$Q$1005,1))</f>
        <v>0</v>
      </c>
      <c r="AN114" s="96">
        <f>IF(AND(Z114=1,N(W114)&gt;0,AG114=N(W114)),1,0)</f>
        <v>0</v>
      </c>
      <c r="AO114" s="96">
        <f>IF(AND(Z114=1,N(W114)&gt;0,AI114=N(W114)),1,0)</f>
        <v>0</v>
      </c>
      <c r="AP114" s="97">
        <f>IF(Z114=0,0,_xlfn.MAXIFS('RECEBIMENTOS'!$E$6:$E$1005,'RECEBIMENTOS'!$B$6:$B$1005,A114))</f>
        <v>0</v>
      </c>
      <c r="AQ114" s="97" t="str">
        <f>IF(T114="","",IF(T114="RECEBIMENTO NÃO CONFIRMADO",IF(ISNUMBER(F114),F114,IF(ISNUMBER(E114),E114,"")),IF(OR(T114="CDF NÃO LOCALIZADO",T114="VÍNCULO INCOMPLETO",T114="CDF A CONFERIR"),IF(AP114&gt;0,AP114,IF(ISNUMBER(E114),E114,"")),IF(ISNUMBER(E114),E114,""))))</f>
        <v/>
      </c>
      <c r="AR114" s="96">
        <f>IF(NOT(ISNUMBER(U114)),0,IF(T114="RECEBIMENTO NÃO CONFIRMADO",IF(AND(ISNUMBER(cfg_rec),U114&gt;cfg_rec),1,0),IF(OR(T114="CDF NÃO LOCALIZADO",T114="VÍNCULO INCOMPLETO",T114="CDF A CONFERIR"),IF(AND(ISNUMBER(cfg_cdf),U114&gt;cfg_cdf),1,0),0)))</f>
        <v>0</v>
      </c>
      <c r="AS114" s="96" t="str">
        <f>IF(T114="","",IF(AR114=1,"Alta",IFERROR(INDEX(cfg_pp,MATCH(T114,cfg_pt,0))&amp;"","Média")))</f>
        <v/>
      </c>
      <c r="AT114" s="96" t="str">
        <f>IF(T114="","",IFERROR(INDEX(cfg_pv,MATCH(T114,cfg_pt,0))&amp;"",""))</f>
        <v/>
      </c>
      <c r="AU114" s="96" t="str">
        <f>IF(T114="","",IF(AS114="Alta",1,IF(AS114="Média",2,3))*1000000000+(999999-IF(ISNUMBER(U114),MIN(U114,999999),0))*1000+109)</f>
        <v/>
      </c>
      <c r="AV114" s="96">
        <f>IF(T114&lt;&gt;"",1,0)</f>
        <v>0</v>
      </c>
      <c r="AW114" s="96" t="str">
        <f>IF(Z114=0,"",IF(AA114=1,"Cancelamento informado; ","")&amp;IF(AE114=1,"Campos essenciais ou itens faltando; ","")&amp;IF(AC114=1,"Possível duplicidade do número; ","")&amp;IF(AD114=1,"Cadastro ou datas a revisar; ","")&amp;IF(AF114&gt;0,"Item de resíduo com dado a revisar; ","")&amp;IF(AH114&gt;0,"Diferença de quantidade a analisar; ","")&amp;IF(AK114&gt;0,"Recebimento com alerta; ","")&amp;IF(AL114&gt;0,"Vínculo de CDF com alerta; ","")&amp;IF(AND(AA114=0,AN114=0),"Recebimento não confirmado; ","")&amp;IF(AND(AA114=0,AN114=1,AO114=0),"CDF pendente ou a conferir; ",""))</f>
        <v/>
      </c>
      <c r="AX114" s="96">
        <f>IF(Z114=0,0,IF(AND(OR(f_ini="",AND(ISNUMBER(E114),E114&gt;=f_ini)),OR(f_fim="",AND(ISNUMBER(E114),E114&lt;=f_fim)),OR(f_un="",f_un="(Todas)",G114=f_un),OR(f_tr="",f_tr="(Todos)",H114=f_tr),OR(f_de="",f_de="(Todos)",I114=f_de),OR(f_sit="",f_sit="(Todas)",S114=f_sit)),1,0))</f>
        <v>0</v>
      </c>
      <c r="AY114" s="96">
        <f>IF(AX114=0,0,IF(OR(f_res="",f_res="(Todos)"),1,IF(COUNTIFS('ITENS_MTR'!$S$6:$S$1005,A114,'ITENS_MTR'!$C$6:$C$1005,f_res)&gt;0,1,0)))</f>
        <v>0</v>
      </c>
      <c r="AZ114" s="97" t="str">
        <f>IF(ISNUMBER(E114),DATE(YEAR(E114),MONTH(E114),1),"")</f>
        <v/>
      </c>
      <c r="BA114" s="96">
        <f>IF(Z114=0,0,IF(AND(OR(r_ini="",AND(ISNUMBER(E114),E114&gt;=r_ini)),OR(r_fim="",AND(ISNUMBER(E114),E114&lt;=r_fim)),OR(r_un="",r_un="(Todas)",G114=r_un),OR(r_de="",r_de="(Todos)",I114=r_de)),1,0))</f>
        <v>0</v>
      </c>
      <c r="BB114" s="96" t="str">
        <f>IF(BA114=1,COUNTIF($BA$6:BA114,1),"")</f>
        <v/>
      </c>
      <c r="BC114" s="96" t="str">
        <f>IF(AND(AU114&lt;&gt;"",OR(r_un="",r_un="(Todas)",G114=r_un),OR(r_de="",r_de="(Todos)",I114=r_de)),AU114,"")</f>
        <v/>
      </c>
      <c r="BD114" s="96" t="str">
        <f>IF(Z114=1,A114&amp;" | nº "&amp;IF(B114="","(sem número)",B114)&amp;" | "&amp;IF(G114="","(sem unidade)",G114),"")</f>
        <v/>
      </c>
      <c r="BE114" s="96" t="str">
        <f>IF(Z114=1,COUNTIF($Z$6:Z114,1),"")</f>
        <v/>
      </c>
      <c r="BF114" s="96" t="str">
        <f>IF(T114="","",IF(T114="RECEBIMENTO NÃO CONFIRMADO","Transp.: "&amp;H114&amp;" | Dest.: "&amp;I114,IF(OR(T114="CDF NÃO LOCALIZADO",T114="VÍNCULO INCOMPLETO",T114="CDF A CONFERIR"),"Dest.: "&amp;I114,"Gerador: "&amp;G114)))</f>
        <v/>
      </c>
    </row>
    <row r="115">
      <c r="A115" s="89" t="inlineStr">
        <is>
          <t>MTR-000110</t>
        </is>
      </c>
      <c r="B115" s="90" t="n"/>
      <c r="C115" s="91" t="n"/>
      <c r="D115" s="91" t="n"/>
      <c r="E115" s="92" t="n"/>
      <c r="F115" s="92" t="n"/>
      <c r="G115" s="91" t="n"/>
      <c r="H115" s="91" t="n"/>
      <c r="I115" s="91" t="n"/>
      <c r="J115" s="91" t="n"/>
      <c r="K115" s="91" t="n"/>
      <c r="L115" s="92" t="n"/>
      <c r="M115" s="91" t="n"/>
      <c r="N115" s="91" t="n"/>
      <c r="O115" s="91" t="n"/>
      <c r="P115" s="93" t="str">
        <f>IF(Z115=0,"",SUMIFS('ITENS_MTR'!$I$6:$I$1005,'ITENS_MTR'!$S$6:$S$1005,A115,'ITENS_MTR'!$Y$6:$Y$1005,1))</f>
        <v/>
      </c>
      <c r="Q115" s="93" t="str">
        <f>IF(Z115=0,"",SUMIFS('RECEBIMENTOS'!$H$6:$H$1005,'RECEBIMENTOS'!$B$6:$B$1005,A115,'RECEBIMENTOS'!$X$6:$X$1005,1))</f>
        <v/>
      </c>
      <c r="R115" s="93" t="str">
        <f>IF(Z115=0,"",SUMIFS('VÍNCULOS_CDF'!$H$6:$H$1005,'VÍNCULOS_CDF'!$D$6:$D$1005,A115,'VÍNCULOS_CDF'!$V$6:$V$1005,1))</f>
        <v/>
      </c>
      <c r="S115" s="94" t="str">
        <f>IF(Z115=0,"",IF(AA115=1,"Cancelado (informado)",IF(AE115=1,"Cadastro incompleto",IF(OR(AC115=1,AD115=1,AF115&gt;0,AH115&gt;0,AK115&gt;0,AL115&gt;0),"Informação a revisar",IF(AN115=0,"Aguardando recebimento",IF(N(R115)=0,"Aguardando CDF",IF(AJ115&lt;N(W115),"Vínculo de CDF parcial",IF(AO115=0,"CDF localizado, a conferir","Documentação conferida"))))))))</f>
        <v/>
      </c>
      <c r="T115" s="94" t="str">
        <f>IF(Z115=0,"",IF(S115="Cadastro incompleto","MTR INCOMPLETO",IF(S115="Informação a revisar",IF(AND(AH115&gt;0,AC115=0,AD115=0,AF115=0,AK115=0,AL115=0),"QUANTIDADE A REVISAR","IDENTIFICAÇÃO A REVISAR"),IF(S115="Aguardando recebimento","RECEBIMENTO NÃO CONFIRMADO",IF(S115="Aguardando CDF","CDF NÃO LOCALIZADO",IF(S115="Vínculo de CDF parcial","VÍNCULO INCOMPLETO",IF(S115="CDF localizado, a conferir","CDF A CONFERIR","")))))))</f>
        <v/>
      </c>
      <c r="U115" s="95" t="str">
        <f>IF(T115="","",IF(AQ115="","Não calculável",IF(AQ115&gt;TODAY(),"Data futura",TODAY()-AQ115)))</f>
        <v/>
      </c>
      <c r="V115" s="93" t="str">
        <f>IF(Z115=0,"",SUMIFS('RECEBIMENTOS'!$H$6:$H$1005,'RECEBIMENTOS'!$B$6:$B$1005,A115,'RECEBIMENTOS'!$Z$6:$Z$1005,1))</f>
        <v/>
      </c>
      <c r="W115" s="95" t="str">
        <f>IF(Z115=0,"",COUNTIFS('ITENS_MTR'!$S$6:$S$1005,A115,'ITENS_MTR'!$R$6:$R$1005,1))</f>
        <v/>
      </c>
      <c r="X115" s="94" t="str">
        <f>IF(AC115=1,"POSSÍVEL DUPLICIDADE","")</f>
        <v/>
      </c>
      <c r="Y115" s="94" t="str">
        <f>IF(Z115=0,"",IF(AW115="","Nenhuma",LEFT(AW115,LEN(AW115)-2)))</f>
        <v/>
      </c>
      <c r="Z115" s="96">
        <f>IF(COUNTA(B115:O115)&gt;0,1,0)</f>
        <v>0</v>
      </c>
      <c r="AA115" s="96">
        <f>IF(AND(Z115=1,K115&lt;&gt;""),IF(TRIM(K115)=TRIM(cfg_cancel),1,0),0)</f>
        <v>0</v>
      </c>
      <c r="AB115" s="96" t="str">
        <f>IF(AND(Z115=1,B115&lt;&gt;""),C115&amp;"|"&amp;D115&amp;"|"&amp;G115&amp;"|"&amp;TRIM(B115),"")</f>
        <v/>
      </c>
      <c r="AC115" s="96">
        <f>IF(AB115="",0,IF(SUMPRODUCT(--($AB$6:$AB$505=AB115))&gt;1,1,0))</f>
        <v>0</v>
      </c>
      <c r="AD115" s="96">
        <f>IF(Z115=0,0,IF(OR(AND(G115&lt;&gt;"",ISNA(MATCH(G115,'CAD_UNIDADES'!$C$6:$C$105,0))),AND(H115&lt;&gt;"",ISNA(MATCH(H115,cmp_transp,0))),AND(I115&lt;&gt;"",ISNA(MATCH(I115,cmp_dest,0))),AND(E115&lt;&gt;"",NOT(ISNUMBER(E115))),AND(F115&lt;&gt;"",NOT(ISNUMBER(F115))),AND(ISNUMBER(E115),ISNUMBER(F115),F115&lt;E115)),1,0))</f>
        <v>0</v>
      </c>
      <c r="AE115" s="96">
        <f>IF(Z115=0,0,IF(OR(B115="",C115="",E115="",G115="",H115="",I115="",N(W115)=0),1,0))</f>
        <v>0</v>
      </c>
      <c r="AF115" s="96">
        <f>IF(Z115=0,0,COUNTIFS('ITENS_MTR'!$S$6:$S$1005,A115,'ITENS_MTR'!$AI$6:$AI$1005,1))</f>
        <v>0</v>
      </c>
      <c r="AG115" s="96">
        <f>IF(Z115=0,0,COUNTIFS('ITENS_MTR'!$S$6:$S$1005,A115,'ITENS_MTR'!$AJ$6:$AJ$1005,1))</f>
        <v>0</v>
      </c>
      <c r="AH115" s="96">
        <f>IF(Z115=0,0,COUNTIFS('ITENS_MTR'!$S$6:$S$1005,A115,'ITENS_MTR'!$AM$6:$AM$1005,1))</f>
        <v>0</v>
      </c>
      <c r="AI115" s="96">
        <f>IF(Z115=0,0,COUNTIFS('ITENS_MTR'!$S$6:$S$1005,A115,'ITENS_MTR'!$AO$6:$AO$1005,1))</f>
        <v>0</v>
      </c>
      <c r="AJ115" s="96">
        <f>IF(Z115=0,0,COUNTIFS('ITENS_MTR'!$S$6:$S$1005,A115,'ITENS_MTR'!$AN$6:$AN$1005,1))</f>
        <v>0</v>
      </c>
      <c r="AK115" s="96">
        <f>IF(Z115=0,0,COUNTIFS('RECEBIMENTOS'!$B$6:$B$1005,A115,'RECEBIMENTOS'!$Y$6:$Y$1005,1))</f>
        <v>0</v>
      </c>
      <c r="AL115" s="96">
        <f>IF(Z115=0,0,COUNTIFS('VÍNCULOS_CDF'!$D$6:$D$1005,A115,'VÍNCULOS_CDF'!$Y$6:$Y$1005,1))</f>
        <v>0</v>
      </c>
      <c r="AM115" s="96">
        <f>IF(Z115=0,0,COUNTIFS('RECEBIMENTOS'!$B$6:$B$1005,A115,'RECEBIMENTOS'!$Q$6:$Q$1005,1))</f>
        <v>0</v>
      </c>
      <c r="AN115" s="96">
        <f>IF(AND(Z115=1,N(W115)&gt;0,AG115=N(W115)),1,0)</f>
        <v>0</v>
      </c>
      <c r="AO115" s="96">
        <f>IF(AND(Z115=1,N(W115)&gt;0,AI115=N(W115)),1,0)</f>
        <v>0</v>
      </c>
      <c r="AP115" s="97">
        <f>IF(Z115=0,0,_xlfn.MAXIFS('RECEBIMENTOS'!$E$6:$E$1005,'RECEBIMENTOS'!$B$6:$B$1005,A115))</f>
        <v>0</v>
      </c>
      <c r="AQ115" s="97" t="str">
        <f>IF(T115="","",IF(T115="RECEBIMENTO NÃO CONFIRMADO",IF(ISNUMBER(F115),F115,IF(ISNUMBER(E115),E115,"")),IF(OR(T115="CDF NÃO LOCALIZADO",T115="VÍNCULO INCOMPLETO",T115="CDF A CONFERIR"),IF(AP115&gt;0,AP115,IF(ISNUMBER(E115),E115,"")),IF(ISNUMBER(E115),E115,""))))</f>
        <v/>
      </c>
      <c r="AR115" s="96">
        <f>IF(NOT(ISNUMBER(U115)),0,IF(T115="RECEBIMENTO NÃO CONFIRMADO",IF(AND(ISNUMBER(cfg_rec),U115&gt;cfg_rec),1,0),IF(OR(T115="CDF NÃO LOCALIZADO",T115="VÍNCULO INCOMPLETO",T115="CDF A CONFERIR"),IF(AND(ISNUMBER(cfg_cdf),U115&gt;cfg_cdf),1,0),0)))</f>
        <v>0</v>
      </c>
      <c r="AS115" s="96" t="str">
        <f>IF(T115="","",IF(AR115=1,"Alta",IFERROR(INDEX(cfg_pp,MATCH(T115,cfg_pt,0))&amp;"","Média")))</f>
        <v/>
      </c>
      <c r="AT115" s="96" t="str">
        <f>IF(T115="","",IFERROR(INDEX(cfg_pv,MATCH(T115,cfg_pt,0))&amp;"",""))</f>
        <v/>
      </c>
      <c r="AU115" s="96" t="str">
        <f>IF(T115="","",IF(AS115="Alta",1,IF(AS115="Média",2,3))*1000000000+(999999-IF(ISNUMBER(U115),MIN(U115,999999),0))*1000+110)</f>
        <v/>
      </c>
      <c r="AV115" s="96">
        <f>IF(T115&lt;&gt;"",1,0)</f>
        <v>0</v>
      </c>
      <c r="AW115" s="96" t="str">
        <f>IF(Z115=0,"",IF(AA115=1,"Cancelamento informado; ","")&amp;IF(AE115=1,"Campos essenciais ou itens faltando; ","")&amp;IF(AC115=1,"Possível duplicidade do número; ","")&amp;IF(AD115=1,"Cadastro ou datas a revisar; ","")&amp;IF(AF115&gt;0,"Item de resíduo com dado a revisar; ","")&amp;IF(AH115&gt;0,"Diferença de quantidade a analisar; ","")&amp;IF(AK115&gt;0,"Recebimento com alerta; ","")&amp;IF(AL115&gt;0,"Vínculo de CDF com alerta; ","")&amp;IF(AND(AA115=0,AN115=0),"Recebimento não confirmado; ","")&amp;IF(AND(AA115=0,AN115=1,AO115=0),"CDF pendente ou a conferir; ",""))</f>
        <v/>
      </c>
      <c r="AX115" s="96">
        <f>IF(Z115=0,0,IF(AND(OR(f_ini="",AND(ISNUMBER(E115),E115&gt;=f_ini)),OR(f_fim="",AND(ISNUMBER(E115),E115&lt;=f_fim)),OR(f_un="",f_un="(Todas)",G115=f_un),OR(f_tr="",f_tr="(Todos)",H115=f_tr),OR(f_de="",f_de="(Todos)",I115=f_de),OR(f_sit="",f_sit="(Todas)",S115=f_sit)),1,0))</f>
        <v>0</v>
      </c>
      <c r="AY115" s="96">
        <f>IF(AX115=0,0,IF(OR(f_res="",f_res="(Todos)"),1,IF(COUNTIFS('ITENS_MTR'!$S$6:$S$1005,A115,'ITENS_MTR'!$C$6:$C$1005,f_res)&gt;0,1,0)))</f>
        <v>0</v>
      </c>
      <c r="AZ115" s="97" t="str">
        <f>IF(ISNUMBER(E115),DATE(YEAR(E115),MONTH(E115),1),"")</f>
        <v/>
      </c>
      <c r="BA115" s="96">
        <f>IF(Z115=0,0,IF(AND(OR(r_ini="",AND(ISNUMBER(E115),E115&gt;=r_ini)),OR(r_fim="",AND(ISNUMBER(E115),E115&lt;=r_fim)),OR(r_un="",r_un="(Todas)",G115=r_un),OR(r_de="",r_de="(Todos)",I115=r_de)),1,0))</f>
        <v>0</v>
      </c>
      <c r="BB115" s="96" t="str">
        <f>IF(BA115=1,COUNTIF($BA$6:BA115,1),"")</f>
        <v/>
      </c>
      <c r="BC115" s="96" t="str">
        <f>IF(AND(AU115&lt;&gt;"",OR(r_un="",r_un="(Todas)",G115=r_un),OR(r_de="",r_de="(Todos)",I115=r_de)),AU115,"")</f>
        <v/>
      </c>
      <c r="BD115" s="96" t="str">
        <f>IF(Z115=1,A115&amp;" | nº "&amp;IF(B115="","(sem número)",B115)&amp;" | "&amp;IF(G115="","(sem unidade)",G115),"")</f>
        <v/>
      </c>
      <c r="BE115" s="96" t="str">
        <f>IF(Z115=1,COUNTIF($Z$6:Z115,1),"")</f>
        <v/>
      </c>
      <c r="BF115" s="96" t="str">
        <f>IF(T115="","",IF(T115="RECEBIMENTO NÃO CONFIRMADO","Transp.: "&amp;H115&amp;" | Dest.: "&amp;I115,IF(OR(T115="CDF NÃO LOCALIZADO",T115="VÍNCULO INCOMPLETO",T115="CDF A CONFERIR"),"Dest.: "&amp;I115,"Gerador: "&amp;G115)))</f>
        <v/>
      </c>
    </row>
    <row r="116">
      <c r="A116" s="89" t="inlineStr">
        <is>
          <t>MTR-000111</t>
        </is>
      </c>
      <c r="B116" s="90" t="n"/>
      <c r="C116" s="91" t="n"/>
      <c r="D116" s="91" t="n"/>
      <c r="E116" s="92" t="n"/>
      <c r="F116" s="92" t="n"/>
      <c r="G116" s="91" t="n"/>
      <c r="H116" s="91" t="n"/>
      <c r="I116" s="91" t="n"/>
      <c r="J116" s="91" t="n"/>
      <c r="K116" s="91" t="n"/>
      <c r="L116" s="92" t="n"/>
      <c r="M116" s="91" t="n"/>
      <c r="N116" s="91" t="n"/>
      <c r="O116" s="91" t="n"/>
      <c r="P116" s="93" t="str">
        <f>IF(Z116=0,"",SUMIFS('ITENS_MTR'!$I$6:$I$1005,'ITENS_MTR'!$S$6:$S$1005,A116,'ITENS_MTR'!$Y$6:$Y$1005,1))</f>
        <v/>
      </c>
      <c r="Q116" s="93" t="str">
        <f>IF(Z116=0,"",SUMIFS('RECEBIMENTOS'!$H$6:$H$1005,'RECEBIMENTOS'!$B$6:$B$1005,A116,'RECEBIMENTOS'!$X$6:$X$1005,1))</f>
        <v/>
      </c>
      <c r="R116" s="93" t="str">
        <f>IF(Z116=0,"",SUMIFS('VÍNCULOS_CDF'!$H$6:$H$1005,'VÍNCULOS_CDF'!$D$6:$D$1005,A116,'VÍNCULOS_CDF'!$V$6:$V$1005,1))</f>
        <v/>
      </c>
      <c r="S116" s="94" t="str">
        <f>IF(Z116=0,"",IF(AA116=1,"Cancelado (informado)",IF(AE116=1,"Cadastro incompleto",IF(OR(AC116=1,AD116=1,AF116&gt;0,AH116&gt;0,AK116&gt;0,AL116&gt;0),"Informação a revisar",IF(AN116=0,"Aguardando recebimento",IF(N(R116)=0,"Aguardando CDF",IF(AJ116&lt;N(W116),"Vínculo de CDF parcial",IF(AO116=0,"CDF localizado, a conferir","Documentação conferida"))))))))</f>
        <v/>
      </c>
      <c r="T116" s="94" t="str">
        <f>IF(Z116=0,"",IF(S116="Cadastro incompleto","MTR INCOMPLETO",IF(S116="Informação a revisar",IF(AND(AH116&gt;0,AC116=0,AD116=0,AF116=0,AK116=0,AL116=0),"QUANTIDADE A REVISAR","IDENTIFICAÇÃO A REVISAR"),IF(S116="Aguardando recebimento","RECEBIMENTO NÃO CONFIRMADO",IF(S116="Aguardando CDF","CDF NÃO LOCALIZADO",IF(S116="Vínculo de CDF parcial","VÍNCULO INCOMPLETO",IF(S116="CDF localizado, a conferir","CDF A CONFERIR","")))))))</f>
        <v/>
      </c>
      <c r="U116" s="95" t="str">
        <f>IF(T116="","",IF(AQ116="","Não calculável",IF(AQ116&gt;TODAY(),"Data futura",TODAY()-AQ116)))</f>
        <v/>
      </c>
      <c r="V116" s="93" t="str">
        <f>IF(Z116=0,"",SUMIFS('RECEBIMENTOS'!$H$6:$H$1005,'RECEBIMENTOS'!$B$6:$B$1005,A116,'RECEBIMENTOS'!$Z$6:$Z$1005,1))</f>
        <v/>
      </c>
      <c r="W116" s="95" t="str">
        <f>IF(Z116=0,"",COUNTIFS('ITENS_MTR'!$S$6:$S$1005,A116,'ITENS_MTR'!$R$6:$R$1005,1))</f>
        <v/>
      </c>
      <c r="X116" s="94" t="str">
        <f>IF(AC116=1,"POSSÍVEL DUPLICIDADE","")</f>
        <v/>
      </c>
      <c r="Y116" s="94" t="str">
        <f>IF(Z116=0,"",IF(AW116="","Nenhuma",LEFT(AW116,LEN(AW116)-2)))</f>
        <v/>
      </c>
      <c r="Z116" s="96">
        <f>IF(COUNTA(B116:O116)&gt;0,1,0)</f>
        <v>0</v>
      </c>
      <c r="AA116" s="96">
        <f>IF(AND(Z116=1,K116&lt;&gt;""),IF(TRIM(K116)=TRIM(cfg_cancel),1,0),0)</f>
        <v>0</v>
      </c>
      <c r="AB116" s="96" t="str">
        <f>IF(AND(Z116=1,B116&lt;&gt;""),C116&amp;"|"&amp;D116&amp;"|"&amp;G116&amp;"|"&amp;TRIM(B116),"")</f>
        <v/>
      </c>
      <c r="AC116" s="96">
        <f>IF(AB116="",0,IF(SUMPRODUCT(--($AB$6:$AB$505=AB116))&gt;1,1,0))</f>
        <v>0</v>
      </c>
      <c r="AD116" s="96">
        <f>IF(Z116=0,0,IF(OR(AND(G116&lt;&gt;"",ISNA(MATCH(G116,'CAD_UNIDADES'!$C$6:$C$105,0))),AND(H116&lt;&gt;"",ISNA(MATCH(H116,cmp_transp,0))),AND(I116&lt;&gt;"",ISNA(MATCH(I116,cmp_dest,0))),AND(E116&lt;&gt;"",NOT(ISNUMBER(E116))),AND(F116&lt;&gt;"",NOT(ISNUMBER(F116))),AND(ISNUMBER(E116),ISNUMBER(F116),F116&lt;E116)),1,0))</f>
        <v>0</v>
      </c>
      <c r="AE116" s="96">
        <f>IF(Z116=0,0,IF(OR(B116="",C116="",E116="",G116="",H116="",I116="",N(W116)=0),1,0))</f>
        <v>0</v>
      </c>
      <c r="AF116" s="96">
        <f>IF(Z116=0,0,COUNTIFS('ITENS_MTR'!$S$6:$S$1005,A116,'ITENS_MTR'!$AI$6:$AI$1005,1))</f>
        <v>0</v>
      </c>
      <c r="AG116" s="96">
        <f>IF(Z116=0,0,COUNTIFS('ITENS_MTR'!$S$6:$S$1005,A116,'ITENS_MTR'!$AJ$6:$AJ$1005,1))</f>
        <v>0</v>
      </c>
      <c r="AH116" s="96">
        <f>IF(Z116=0,0,COUNTIFS('ITENS_MTR'!$S$6:$S$1005,A116,'ITENS_MTR'!$AM$6:$AM$1005,1))</f>
        <v>0</v>
      </c>
      <c r="AI116" s="96">
        <f>IF(Z116=0,0,COUNTIFS('ITENS_MTR'!$S$6:$S$1005,A116,'ITENS_MTR'!$AO$6:$AO$1005,1))</f>
        <v>0</v>
      </c>
      <c r="AJ116" s="96">
        <f>IF(Z116=0,0,COUNTIFS('ITENS_MTR'!$S$6:$S$1005,A116,'ITENS_MTR'!$AN$6:$AN$1005,1))</f>
        <v>0</v>
      </c>
      <c r="AK116" s="96">
        <f>IF(Z116=0,0,COUNTIFS('RECEBIMENTOS'!$B$6:$B$1005,A116,'RECEBIMENTOS'!$Y$6:$Y$1005,1))</f>
        <v>0</v>
      </c>
      <c r="AL116" s="96">
        <f>IF(Z116=0,0,COUNTIFS('VÍNCULOS_CDF'!$D$6:$D$1005,A116,'VÍNCULOS_CDF'!$Y$6:$Y$1005,1))</f>
        <v>0</v>
      </c>
      <c r="AM116" s="96">
        <f>IF(Z116=0,0,COUNTIFS('RECEBIMENTOS'!$B$6:$B$1005,A116,'RECEBIMENTOS'!$Q$6:$Q$1005,1))</f>
        <v>0</v>
      </c>
      <c r="AN116" s="96">
        <f>IF(AND(Z116=1,N(W116)&gt;0,AG116=N(W116)),1,0)</f>
        <v>0</v>
      </c>
      <c r="AO116" s="96">
        <f>IF(AND(Z116=1,N(W116)&gt;0,AI116=N(W116)),1,0)</f>
        <v>0</v>
      </c>
      <c r="AP116" s="97">
        <f>IF(Z116=0,0,_xlfn.MAXIFS('RECEBIMENTOS'!$E$6:$E$1005,'RECEBIMENTOS'!$B$6:$B$1005,A116))</f>
        <v>0</v>
      </c>
      <c r="AQ116" s="97" t="str">
        <f>IF(T116="","",IF(T116="RECEBIMENTO NÃO CONFIRMADO",IF(ISNUMBER(F116),F116,IF(ISNUMBER(E116),E116,"")),IF(OR(T116="CDF NÃO LOCALIZADO",T116="VÍNCULO INCOMPLETO",T116="CDF A CONFERIR"),IF(AP116&gt;0,AP116,IF(ISNUMBER(E116),E116,"")),IF(ISNUMBER(E116),E116,""))))</f>
        <v/>
      </c>
      <c r="AR116" s="96">
        <f>IF(NOT(ISNUMBER(U116)),0,IF(T116="RECEBIMENTO NÃO CONFIRMADO",IF(AND(ISNUMBER(cfg_rec),U116&gt;cfg_rec),1,0),IF(OR(T116="CDF NÃO LOCALIZADO",T116="VÍNCULO INCOMPLETO",T116="CDF A CONFERIR"),IF(AND(ISNUMBER(cfg_cdf),U116&gt;cfg_cdf),1,0),0)))</f>
        <v>0</v>
      </c>
      <c r="AS116" s="96" t="str">
        <f>IF(T116="","",IF(AR116=1,"Alta",IFERROR(INDEX(cfg_pp,MATCH(T116,cfg_pt,0))&amp;"","Média")))</f>
        <v/>
      </c>
      <c r="AT116" s="96" t="str">
        <f>IF(T116="","",IFERROR(INDEX(cfg_pv,MATCH(T116,cfg_pt,0))&amp;"",""))</f>
        <v/>
      </c>
      <c r="AU116" s="96" t="str">
        <f>IF(T116="","",IF(AS116="Alta",1,IF(AS116="Média",2,3))*1000000000+(999999-IF(ISNUMBER(U116),MIN(U116,999999),0))*1000+111)</f>
        <v/>
      </c>
      <c r="AV116" s="96">
        <f>IF(T116&lt;&gt;"",1,0)</f>
        <v>0</v>
      </c>
      <c r="AW116" s="96" t="str">
        <f>IF(Z116=0,"",IF(AA116=1,"Cancelamento informado; ","")&amp;IF(AE116=1,"Campos essenciais ou itens faltando; ","")&amp;IF(AC116=1,"Possível duplicidade do número; ","")&amp;IF(AD116=1,"Cadastro ou datas a revisar; ","")&amp;IF(AF116&gt;0,"Item de resíduo com dado a revisar; ","")&amp;IF(AH116&gt;0,"Diferença de quantidade a analisar; ","")&amp;IF(AK116&gt;0,"Recebimento com alerta; ","")&amp;IF(AL116&gt;0,"Vínculo de CDF com alerta; ","")&amp;IF(AND(AA116=0,AN116=0),"Recebimento não confirmado; ","")&amp;IF(AND(AA116=0,AN116=1,AO116=0),"CDF pendente ou a conferir; ",""))</f>
        <v/>
      </c>
      <c r="AX116" s="96">
        <f>IF(Z116=0,0,IF(AND(OR(f_ini="",AND(ISNUMBER(E116),E116&gt;=f_ini)),OR(f_fim="",AND(ISNUMBER(E116),E116&lt;=f_fim)),OR(f_un="",f_un="(Todas)",G116=f_un),OR(f_tr="",f_tr="(Todos)",H116=f_tr),OR(f_de="",f_de="(Todos)",I116=f_de),OR(f_sit="",f_sit="(Todas)",S116=f_sit)),1,0))</f>
        <v>0</v>
      </c>
      <c r="AY116" s="96">
        <f>IF(AX116=0,0,IF(OR(f_res="",f_res="(Todos)"),1,IF(COUNTIFS('ITENS_MTR'!$S$6:$S$1005,A116,'ITENS_MTR'!$C$6:$C$1005,f_res)&gt;0,1,0)))</f>
        <v>0</v>
      </c>
      <c r="AZ116" s="97" t="str">
        <f>IF(ISNUMBER(E116),DATE(YEAR(E116),MONTH(E116),1),"")</f>
        <v/>
      </c>
      <c r="BA116" s="96">
        <f>IF(Z116=0,0,IF(AND(OR(r_ini="",AND(ISNUMBER(E116),E116&gt;=r_ini)),OR(r_fim="",AND(ISNUMBER(E116),E116&lt;=r_fim)),OR(r_un="",r_un="(Todas)",G116=r_un),OR(r_de="",r_de="(Todos)",I116=r_de)),1,0))</f>
        <v>0</v>
      </c>
      <c r="BB116" s="96" t="str">
        <f>IF(BA116=1,COUNTIF($BA$6:BA116,1),"")</f>
        <v/>
      </c>
      <c r="BC116" s="96" t="str">
        <f>IF(AND(AU116&lt;&gt;"",OR(r_un="",r_un="(Todas)",G116=r_un),OR(r_de="",r_de="(Todos)",I116=r_de)),AU116,"")</f>
        <v/>
      </c>
      <c r="BD116" s="96" t="str">
        <f>IF(Z116=1,A116&amp;" | nº "&amp;IF(B116="","(sem número)",B116)&amp;" | "&amp;IF(G116="","(sem unidade)",G116),"")</f>
        <v/>
      </c>
      <c r="BE116" s="96" t="str">
        <f>IF(Z116=1,COUNTIF($Z$6:Z116,1),"")</f>
        <v/>
      </c>
      <c r="BF116" s="96" t="str">
        <f>IF(T116="","",IF(T116="RECEBIMENTO NÃO CONFIRMADO","Transp.: "&amp;H116&amp;" | Dest.: "&amp;I116,IF(OR(T116="CDF NÃO LOCALIZADO",T116="VÍNCULO INCOMPLETO",T116="CDF A CONFERIR"),"Dest.: "&amp;I116,"Gerador: "&amp;G116)))</f>
        <v/>
      </c>
    </row>
    <row r="117">
      <c r="A117" s="89" t="inlineStr">
        <is>
          <t>MTR-000112</t>
        </is>
      </c>
      <c r="B117" s="90" t="n"/>
      <c r="C117" s="91" t="n"/>
      <c r="D117" s="91" t="n"/>
      <c r="E117" s="92" t="n"/>
      <c r="F117" s="92" t="n"/>
      <c r="G117" s="91" t="n"/>
      <c r="H117" s="91" t="n"/>
      <c r="I117" s="91" t="n"/>
      <c r="J117" s="91" t="n"/>
      <c r="K117" s="91" t="n"/>
      <c r="L117" s="92" t="n"/>
      <c r="M117" s="91" t="n"/>
      <c r="N117" s="91" t="n"/>
      <c r="O117" s="91" t="n"/>
      <c r="P117" s="93" t="str">
        <f>IF(Z117=0,"",SUMIFS('ITENS_MTR'!$I$6:$I$1005,'ITENS_MTR'!$S$6:$S$1005,A117,'ITENS_MTR'!$Y$6:$Y$1005,1))</f>
        <v/>
      </c>
      <c r="Q117" s="93" t="str">
        <f>IF(Z117=0,"",SUMIFS('RECEBIMENTOS'!$H$6:$H$1005,'RECEBIMENTOS'!$B$6:$B$1005,A117,'RECEBIMENTOS'!$X$6:$X$1005,1))</f>
        <v/>
      </c>
      <c r="R117" s="93" t="str">
        <f>IF(Z117=0,"",SUMIFS('VÍNCULOS_CDF'!$H$6:$H$1005,'VÍNCULOS_CDF'!$D$6:$D$1005,A117,'VÍNCULOS_CDF'!$V$6:$V$1005,1))</f>
        <v/>
      </c>
      <c r="S117" s="94" t="str">
        <f>IF(Z117=0,"",IF(AA117=1,"Cancelado (informado)",IF(AE117=1,"Cadastro incompleto",IF(OR(AC117=1,AD117=1,AF117&gt;0,AH117&gt;0,AK117&gt;0,AL117&gt;0),"Informação a revisar",IF(AN117=0,"Aguardando recebimento",IF(N(R117)=0,"Aguardando CDF",IF(AJ117&lt;N(W117),"Vínculo de CDF parcial",IF(AO117=0,"CDF localizado, a conferir","Documentação conferida"))))))))</f>
        <v/>
      </c>
      <c r="T117" s="94" t="str">
        <f>IF(Z117=0,"",IF(S117="Cadastro incompleto","MTR INCOMPLETO",IF(S117="Informação a revisar",IF(AND(AH117&gt;0,AC117=0,AD117=0,AF117=0,AK117=0,AL117=0),"QUANTIDADE A REVISAR","IDENTIFICAÇÃO A REVISAR"),IF(S117="Aguardando recebimento","RECEBIMENTO NÃO CONFIRMADO",IF(S117="Aguardando CDF","CDF NÃO LOCALIZADO",IF(S117="Vínculo de CDF parcial","VÍNCULO INCOMPLETO",IF(S117="CDF localizado, a conferir","CDF A CONFERIR","")))))))</f>
        <v/>
      </c>
      <c r="U117" s="95" t="str">
        <f>IF(T117="","",IF(AQ117="","Não calculável",IF(AQ117&gt;TODAY(),"Data futura",TODAY()-AQ117)))</f>
        <v/>
      </c>
      <c r="V117" s="93" t="str">
        <f>IF(Z117=0,"",SUMIFS('RECEBIMENTOS'!$H$6:$H$1005,'RECEBIMENTOS'!$B$6:$B$1005,A117,'RECEBIMENTOS'!$Z$6:$Z$1005,1))</f>
        <v/>
      </c>
      <c r="W117" s="95" t="str">
        <f>IF(Z117=0,"",COUNTIFS('ITENS_MTR'!$S$6:$S$1005,A117,'ITENS_MTR'!$R$6:$R$1005,1))</f>
        <v/>
      </c>
      <c r="X117" s="94" t="str">
        <f>IF(AC117=1,"POSSÍVEL DUPLICIDADE","")</f>
        <v/>
      </c>
      <c r="Y117" s="94" t="str">
        <f>IF(Z117=0,"",IF(AW117="","Nenhuma",LEFT(AW117,LEN(AW117)-2)))</f>
        <v/>
      </c>
      <c r="Z117" s="96">
        <f>IF(COUNTA(B117:O117)&gt;0,1,0)</f>
        <v>0</v>
      </c>
      <c r="AA117" s="96">
        <f>IF(AND(Z117=1,K117&lt;&gt;""),IF(TRIM(K117)=TRIM(cfg_cancel),1,0),0)</f>
        <v>0</v>
      </c>
      <c r="AB117" s="96" t="str">
        <f>IF(AND(Z117=1,B117&lt;&gt;""),C117&amp;"|"&amp;D117&amp;"|"&amp;G117&amp;"|"&amp;TRIM(B117),"")</f>
        <v/>
      </c>
      <c r="AC117" s="96">
        <f>IF(AB117="",0,IF(SUMPRODUCT(--($AB$6:$AB$505=AB117))&gt;1,1,0))</f>
        <v>0</v>
      </c>
      <c r="AD117" s="96">
        <f>IF(Z117=0,0,IF(OR(AND(G117&lt;&gt;"",ISNA(MATCH(G117,'CAD_UNIDADES'!$C$6:$C$105,0))),AND(H117&lt;&gt;"",ISNA(MATCH(H117,cmp_transp,0))),AND(I117&lt;&gt;"",ISNA(MATCH(I117,cmp_dest,0))),AND(E117&lt;&gt;"",NOT(ISNUMBER(E117))),AND(F117&lt;&gt;"",NOT(ISNUMBER(F117))),AND(ISNUMBER(E117),ISNUMBER(F117),F117&lt;E117)),1,0))</f>
        <v>0</v>
      </c>
      <c r="AE117" s="96">
        <f>IF(Z117=0,0,IF(OR(B117="",C117="",E117="",G117="",H117="",I117="",N(W117)=0),1,0))</f>
        <v>0</v>
      </c>
      <c r="AF117" s="96">
        <f>IF(Z117=0,0,COUNTIFS('ITENS_MTR'!$S$6:$S$1005,A117,'ITENS_MTR'!$AI$6:$AI$1005,1))</f>
        <v>0</v>
      </c>
      <c r="AG117" s="96">
        <f>IF(Z117=0,0,COUNTIFS('ITENS_MTR'!$S$6:$S$1005,A117,'ITENS_MTR'!$AJ$6:$AJ$1005,1))</f>
        <v>0</v>
      </c>
      <c r="AH117" s="96">
        <f>IF(Z117=0,0,COUNTIFS('ITENS_MTR'!$S$6:$S$1005,A117,'ITENS_MTR'!$AM$6:$AM$1005,1))</f>
        <v>0</v>
      </c>
      <c r="AI117" s="96">
        <f>IF(Z117=0,0,COUNTIFS('ITENS_MTR'!$S$6:$S$1005,A117,'ITENS_MTR'!$AO$6:$AO$1005,1))</f>
        <v>0</v>
      </c>
      <c r="AJ117" s="96">
        <f>IF(Z117=0,0,COUNTIFS('ITENS_MTR'!$S$6:$S$1005,A117,'ITENS_MTR'!$AN$6:$AN$1005,1))</f>
        <v>0</v>
      </c>
      <c r="AK117" s="96">
        <f>IF(Z117=0,0,COUNTIFS('RECEBIMENTOS'!$B$6:$B$1005,A117,'RECEBIMENTOS'!$Y$6:$Y$1005,1))</f>
        <v>0</v>
      </c>
      <c r="AL117" s="96">
        <f>IF(Z117=0,0,COUNTIFS('VÍNCULOS_CDF'!$D$6:$D$1005,A117,'VÍNCULOS_CDF'!$Y$6:$Y$1005,1))</f>
        <v>0</v>
      </c>
      <c r="AM117" s="96">
        <f>IF(Z117=0,0,COUNTIFS('RECEBIMENTOS'!$B$6:$B$1005,A117,'RECEBIMENTOS'!$Q$6:$Q$1005,1))</f>
        <v>0</v>
      </c>
      <c r="AN117" s="96">
        <f>IF(AND(Z117=1,N(W117)&gt;0,AG117=N(W117)),1,0)</f>
        <v>0</v>
      </c>
      <c r="AO117" s="96">
        <f>IF(AND(Z117=1,N(W117)&gt;0,AI117=N(W117)),1,0)</f>
        <v>0</v>
      </c>
      <c r="AP117" s="97">
        <f>IF(Z117=0,0,_xlfn.MAXIFS('RECEBIMENTOS'!$E$6:$E$1005,'RECEBIMENTOS'!$B$6:$B$1005,A117))</f>
        <v>0</v>
      </c>
      <c r="AQ117" s="97" t="str">
        <f>IF(T117="","",IF(T117="RECEBIMENTO NÃO CONFIRMADO",IF(ISNUMBER(F117),F117,IF(ISNUMBER(E117),E117,"")),IF(OR(T117="CDF NÃO LOCALIZADO",T117="VÍNCULO INCOMPLETO",T117="CDF A CONFERIR"),IF(AP117&gt;0,AP117,IF(ISNUMBER(E117),E117,"")),IF(ISNUMBER(E117),E117,""))))</f>
        <v/>
      </c>
      <c r="AR117" s="96">
        <f>IF(NOT(ISNUMBER(U117)),0,IF(T117="RECEBIMENTO NÃO CONFIRMADO",IF(AND(ISNUMBER(cfg_rec),U117&gt;cfg_rec),1,0),IF(OR(T117="CDF NÃO LOCALIZADO",T117="VÍNCULO INCOMPLETO",T117="CDF A CONFERIR"),IF(AND(ISNUMBER(cfg_cdf),U117&gt;cfg_cdf),1,0),0)))</f>
        <v>0</v>
      </c>
      <c r="AS117" s="96" t="str">
        <f>IF(T117="","",IF(AR117=1,"Alta",IFERROR(INDEX(cfg_pp,MATCH(T117,cfg_pt,0))&amp;"","Média")))</f>
        <v/>
      </c>
      <c r="AT117" s="96" t="str">
        <f>IF(T117="","",IFERROR(INDEX(cfg_pv,MATCH(T117,cfg_pt,0))&amp;"",""))</f>
        <v/>
      </c>
      <c r="AU117" s="96" t="str">
        <f>IF(T117="","",IF(AS117="Alta",1,IF(AS117="Média",2,3))*1000000000+(999999-IF(ISNUMBER(U117),MIN(U117,999999),0))*1000+112)</f>
        <v/>
      </c>
      <c r="AV117" s="96">
        <f>IF(T117&lt;&gt;"",1,0)</f>
        <v>0</v>
      </c>
      <c r="AW117" s="96" t="str">
        <f>IF(Z117=0,"",IF(AA117=1,"Cancelamento informado; ","")&amp;IF(AE117=1,"Campos essenciais ou itens faltando; ","")&amp;IF(AC117=1,"Possível duplicidade do número; ","")&amp;IF(AD117=1,"Cadastro ou datas a revisar; ","")&amp;IF(AF117&gt;0,"Item de resíduo com dado a revisar; ","")&amp;IF(AH117&gt;0,"Diferença de quantidade a analisar; ","")&amp;IF(AK117&gt;0,"Recebimento com alerta; ","")&amp;IF(AL117&gt;0,"Vínculo de CDF com alerta; ","")&amp;IF(AND(AA117=0,AN117=0),"Recebimento não confirmado; ","")&amp;IF(AND(AA117=0,AN117=1,AO117=0),"CDF pendente ou a conferir; ",""))</f>
        <v/>
      </c>
      <c r="AX117" s="96">
        <f>IF(Z117=0,0,IF(AND(OR(f_ini="",AND(ISNUMBER(E117),E117&gt;=f_ini)),OR(f_fim="",AND(ISNUMBER(E117),E117&lt;=f_fim)),OR(f_un="",f_un="(Todas)",G117=f_un),OR(f_tr="",f_tr="(Todos)",H117=f_tr),OR(f_de="",f_de="(Todos)",I117=f_de),OR(f_sit="",f_sit="(Todas)",S117=f_sit)),1,0))</f>
        <v>0</v>
      </c>
      <c r="AY117" s="96">
        <f>IF(AX117=0,0,IF(OR(f_res="",f_res="(Todos)"),1,IF(COUNTIFS('ITENS_MTR'!$S$6:$S$1005,A117,'ITENS_MTR'!$C$6:$C$1005,f_res)&gt;0,1,0)))</f>
        <v>0</v>
      </c>
      <c r="AZ117" s="97" t="str">
        <f>IF(ISNUMBER(E117),DATE(YEAR(E117),MONTH(E117),1),"")</f>
        <v/>
      </c>
      <c r="BA117" s="96">
        <f>IF(Z117=0,0,IF(AND(OR(r_ini="",AND(ISNUMBER(E117),E117&gt;=r_ini)),OR(r_fim="",AND(ISNUMBER(E117),E117&lt;=r_fim)),OR(r_un="",r_un="(Todas)",G117=r_un),OR(r_de="",r_de="(Todos)",I117=r_de)),1,0))</f>
        <v>0</v>
      </c>
      <c r="BB117" s="96" t="str">
        <f>IF(BA117=1,COUNTIF($BA$6:BA117,1),"")</f>
        <v/>
      </c>
      <c r="BC117" s="96" t="str">
        <f>IF(AND(AU117&lt;&gt;"",OR(r_un="",r_un="(Todas)",G117=r_un),OR(r_de="",r_de="(Todos)",I117=r_de)),AU117,"")</f>
        <v/>
      </c>
      <c r="BD117" s="96" t="str">
        <f>IF(Z117=1,A117&amp;" | nº "&amp;IF(B117="","(sem número)",B117)&amp;" | "&amp;IF(G117="","(sem unidade)",G117),"")</f>
        <v/>
      </c>
      <c r="BE117" s="96" t="str">
        <f>IF(Z117=1,COUNTIF($Z$6:Z117,1),"")</f>
        <v/>
      </c>
      <c r="BF117" s="96" t="str">
        <f>IF(T117="","",IF(T117="RECEBIMENTO NÃO CONFIRMADO","Transp.: "&amp;H117&amp;" | Dest.: "&amp;I117,IF(OR(T117="CDF NÃO LOCALIZADO",T117="VÍNCULO INCOMPLETO",T117="CDF A CONFERIR"),"Dest.: "&amp;I117,"Gerador: "&amp;G117)))</f>
        <v/>
      </c>
    </row>
    <row r="118">
      <c r="A118" s="89" t="inlineStr">
        <is>
          <t>MTR-000113</t>
        </is>
      </c>
      <c r="B118" s="90" t="n"/>
      <c r="C118" s="91" t="n"/>
      <c r="D118" s="91" t="n"/>
      <c r="E118" s="92" t="n"/>
      <c r="F118" s="92" t="n"/>
      <c r="G118" s="91" t="n"/>
      <c r="H118" s="91" t="n"/>
      <c r="I118" s="91" t="n"/>
      <c r="J118" s="91" t="n"/>
      <c r="K118" s="91" t="n"/>
      <c r="L118" s="92" t="n"/>
      <c r="M118" s="91" t="n"/>
      <c r="N118" s="91" t="n"/>
      <c r="O118" s="91" t="n"/>
      <c r="P118" s="93" t="str">
        <f>IF(Z118=0,"",SUMIFS('ITENS_MTR'!$I$6:$I$1005,'ITENS_MTR'!$S$6:$S$1005,A118,'ITENS_MTR'!$Y$6:$Y$1005,1))</f>
        <v/>
      </c>
      <c r="Q118" s="93" t="str">
        <f>IF(Z118=0,"",SUMIFS('RECEBIMENTOS'!$H$6:$H$1005,'RECEBIMENTOS'!$B$6:$B$1005,A118,'RECEBIMENTOS'!$X$6:$X$1005,1))</f>
        <v/>
      </c>
      <c r="R118" s="93" t="str">
        <f>IF(Z118=0,"",SUMIFS('VÍNCULOS_CDF'!$H$6:$H$1005,'VÍNCULOS_CDF'!$D$6:$D$1005,A118,'VÍNCULOS_CDF'!$V$6:$V$1005,1))</f>
        <v/>
      </c>
      <c r="S118" s="94" t="str">
        <f>IF(Z118=0,"",IF(AA118=1,"Cancelado (informado)",IF(AE118=1,"Cadastro incompleto",IF(OR(AC118=1,AD118=1,AF118&gt;0,AH118&gt;0,AK118&gt;0,AL118&gt;0),"Informação a revisar",IF(AN118=0,"Aguardando recebimento",IF(N(R118)=0,"Aguardando CDF",IF(AJ118&lt;N(W118),"Vínculo de CDF parcial",IF(AO118=0,"CDF localizado, a conferir","Documentação conferida"))))))))</f>
        <v/>
      </c>
      <c r="T118" s="94" t="str">
        <f>IF(Z118=0,"",IF(S118="Cadastro incompleto","MTR INCOMPLETO",IF(S118="Informação a revisar",IF(AND(AH118&gt;0,AC118=0,AD118=0,AF118=0,AK118=0,AL118=0),"QUANTIDADE A REVISAR","IDENTIFICAÇÃO A REVISAR"),IF(S118="Aguardando recebimento","RECEBIMENTO NÃO CONFIRMADO",IF(S118="Aguardando CDF","CDF NÃO LOCALIZADO",IF(S118="Vínculo de CDF parcial","VÍNCULO INCOMPLETO",IF(S118="CDF localizado, a conferir","CDF A CONFERIR","")))))))</f>
        <v/>
      </c>
      <c r="U118" s="95" t="str">
        <f>IF(T118="","",IF(AQ118="","Não calculável",IF(AQ118&gt;TODAY(),"Data futura",TODAY()-AQ118)))</f>
        <v/>
      </c>
      <c r="V118" s="93" t="str">
        <f>IF(Z118=0,"",SUMIFS('RECEBIMENTOS'!$H$6:$H$1005,'RECEBIMENTOS'!$B$6:$B$1005,A118,'RECEBIMENTOS'!$Z$6:$Z$1005,1))</f>
        <v/>
      </c>
      <c r="W118" s="95" t="str">
        <f>IF(Z118=0,"",COUNTIFS('ITENS_MTR'!$S$6:$S$1005,A118,'ITENS_MTR'!$R$6:$R$1005,1))</f>
        <v/>
      </c>
      <c r="X118" s="94" t="str">
        <f>IF(AC118=1,"POSSÍVEL DUPLICIDADE","")</f>
        <v/>
      </c>
      <c r="Y118" s="94" t="str">
        <f>IF(Z118=0,"",IF(AW118="","Nenhuma",LEFT(AW118,LEN(AW118)-2)))</f>
        <v/>
      </c>
      <c r="Z118" s="96">
        <f>IF(COUNTA(B118:O118)&gt;0,1,0)</f>
        <v>0</v>
      </c>
      <c r="AA118" s="96">
        <f>IF(AND(Z118=1,K118&lt;&gt;""),IF(TRIM(K118)=TRIM(cfg_cancel),1,0),0)</f>
        <v>0</v>
      </c>
      <c r="AB118" s="96" t="str">
        <f>IF(AND(Z118=1,B118&lt;&gt;""),C118&amp;"|"&amp;D118&amp;"|"&amp;G118&amp;"|"&amp;TRIM(B118),"")</f>
        <v/>
      </c>
      <c r="AC118" s="96">
        <f>IF(AB118="",0,IF(SUMPRODUCT(--($AB$6:$AB$505=AB118))&gt;1,1,0))</f>
        <v>0</v>
      </c>
      <c r="AD118" s="96">
        <f>IF(Z118=0,0,IF(OR(AND(G118&lt;&gt;"",ISNA(MATCH(G118,'CAD_UNIDADES'!$C$6:$C$105,0))),AND(H118&lt;&gt;"",ISNA(MATCH(H118,cmp_transp,0))),AND(I118&lt;&gt;"",ISNA(MATCH(I118,cmp_dest,0))),AND(E118&lt;&gt;"",NOT(ISNUMBER(E118))),AND(F118&lt;&gt;"",NOT(ISNUMBER(F118))),AND(ISNUMBER(E118),ISNUMBER(F118),F118&lt;E118)),1,0))</f>
        <v>0</v>
      </c>
      <c r="AE118" s="96">
        <f>IF(Z118=0,0,IF(OR(B118="",C118="",E118="",G118="",H118="",I118="",N(W118)=0),1,0))</f>
        <v>0</v>
      </c>
      <c r="AF118" s="96">
        <f>IF(Z118=0,0,COUNTIFS('ITENS_MTR'!$S$6:$S$1005,A118,'ITENS_MTR'!$AI$6:$AI$1005,1))</f>
        <v>0</v>
      </c>
      <c r="AG118" s="96">
        <f>IF(Z118=0,0,COUNTIFS('ITENS_MTR'!$S$6:$S$1005,A118,'ITENS_MTR'!$AJ$6:$AJ$1005,1))</f>
        <v>0</v>
      </c>
      <c r="AH118" s="96">
        <f>IF(Z118=0,0,COUNTIFS('ITENS_MTR'!$S$6:$S$1005,A118,'ITENS_MTR'!$AM$6:$AM$1005,1))</f>
        <v>0</v>
      </c>
      <c r="AI118" s="96">
        <f>IF(Z118=0,0,COUNTIFS('ITENS_MTR'!$S$6:$S$1005,A118,'ITENS_MTR'!$AO$6:$AO$1005,1))</f>
        <v>0</v>
      </c>
      <c r="AJ118" s="96">
        <f>IF(Z118=0,0,COUNTIFS('ITENS_MTR'!$S$6:$S$1005,A118,'ITENS_MTR'!$AN$6:$AN$1005,1))</f>
        <v>0</v>
      </c>
      <c r="AK118" s="96">
        <f>IF(Z118=0,0,COUNTIFS('RECEBIMENTOS'!$B$6:$B$1005,A118,'RECEBIMENTOS'!$Y$6:$Y$1005,1))</f>
        <v>0</v>
      </c>
      <c r="AL118" s="96">
        <f>IF(Z118=0,0,COUNTIFS('VÍNCULOS_CDF'!$D$6:$D$1005,A118,'VÍNCULOS_CDF'!$Y$6:$Y$1005,1))</f>
        <v>0</v>
      </c>
      <c r="AM118" s="96">
        <f>IF(Z118=0,0,COUNTIFS('RECEBIMENTOS'!$B$6:$B$1005,A118,'RECEBIMENTOS'!$Q$6:$Q$1005,1))</f>
        <v>0</v>
      </c>
      <c r="AN118" s="96">
        <f>IF(AND(Z118=1,N(W118)&gt;0,AG118=N(W118)),1,0)</f>
        <v>0</v>
      </c>
      <c r="AO118" s="96">
        <f>IF(AND(Z118=1,N(W118)&gt;0,AI118=N(W118)),1,0)</f>
        <v>0</v>
      </c>
      <c r="AP118" s="97">
        <f>IF(Z118=0,0,_xlfn.MAXIFS('RECEBIMENTOS'!$E$6:$E$1005,'RECEBIMENTOS'!$B$6:$B$1005,A118))</f>
        <v>0</v>
      </c>
      <c r="AQ118" s="97" t="str">
        <f>IF(T118="","",IF(T118="RECEBIMENTO NÃO CONFIRMADO",IF(ISNUMBER(F118),F118,IF(ISNUMBER(E118),E118,"")),IF(OR(T118="CDF NÃO LOCALIZADO",T118="VÍNCULO INCOMPLETO",T118="CDF A CONFERIR"),IF(AP118&gt;0,AP118,IF(ISNUMBER(E118),E118,"")),IF(ISNUMBER(E118),E118,""))))</f>
        <v/>
      </c>
      <c r="AR118" s="96">
        <f>IF(NOT(ISNUMBER(U118)),0,IF(T118="RECEBIMENTO NÃO CONFIRMADO",IF(AND(ISNUMBER(cfg_rec),U118&gt;cfg_rec),1,0),IF(OR(T118="CDF NÃO LOCALIZADO",T118="VÍNCULO INCOMPLETO",T118="CDF A CONFERIR"),IF(AND(ISNUMBER(cfg_cdf),U118&gt;cfg_cdf),1,0),0)))</f>
        <v>0</v>
      </c>
      <c r="AS118" s="96" t="str">
        <f>IF(T118="","",IF(AR118=1,"Alta",IFERROR(INDEX(cfg_pp,MATCH(T118,cfg_pt,0))&amp;"","Média")))</f>
        <v/>
      </c>
      <c r="AT118" s="96" t="str">
        <f>IF(T118="","",IFERROR(INDEX(cfg_pv,MATCH(T118,cfg_pt,0))&amp;"",""))</f>
        <v/>
      </c>
      <c r="AU118" s="96" t="str">
        <f>IF(T118="","",IF(AS118="Alta",1,IF(AS118="Média",2,3))*1000000000+(999999-IF(ISNUMBER(U118),MIN(U118,999999),0))*1000+113)</f>
        <v/>
      </c>
      <c r="AV118" s="96">
        <f>IF(T118&lt;&gt;"",1,0)</f>
        <v>0</v>
      </c>
      <c r="AW118" s="96" t="str">
        <f>IF(Z118=0,"",IF(AA118=1,"Cancelamento informado; ","")&amp;IF(AE118=1,"Campos essenciais ou itens faltando; ","")&amp;IF(AC118=1,"Possível duplicidade do número; ","")&amp;IF(AD118=1,"Cadastro ou datas a revisar; ","")&amp;IF(AF118&gt;0,"Item de resíduo com dado a revisar; ","")&amp;IF(AH118&gt;0,"Diferença de quantidade a analisar; ","")&amp;IF(AK118&gt;0,"Recebimento com alerta; ","")&amp;IF(AL118&gt;0,"Vínculo de CDF com alerta; ","")&amp;IF(AND(AA118=0,AN118=0),"Recebimento não confirmado; ","")&amp;IF(AND(AA118=0,AN118=1,AO118=0),"CDF pendente ou a conferir; ",""))</f>
        <v/>
      </c>
      <c r="AX118" s="96">
        <f>IF(Z118=0,0,IF(AND(OR(f_ini="",AND(ISNUMBER(E118),E118&gt;=f_ini)),OR(f_fim="",AND(ISNUMBER(E118),E118&lt;=f_fim)),OR(f_un="",f_un="(Todas)",G118=f_un),OR(f_tr="",f_tr="(Todos)",H118=f_tr),OR(f_de="",f_de="(Todos)",I118=f_de),OR(f_sit="",f_sit="(Todas)",S118=f_sit)),1,0))</f>
        <v>0</v>
      </c>
      <c r="AY118" s="96">
        <f>IF(AX118=0,0,IF(OR(f_res="",f_res="(Todos)"),1,IF(COUNTIFS('ITENS_MTR'!$S$6:$S$1005,A118,'ITENS_MTR'!$C$6:$C$1005,f_res)&gt;0,1,0)))</f>
        <v>0</v>
      </c>
      <c r="AZ118" s="97" t="str">
        <f>IF(ISNUMBER(E118),DATE(YEAR(E118),MONTH(E118),1),"")</f>
        <v/>
      </c>
      <c r="BA118" s="96">
        <f>IF(Z118=0,0,IF(AND(OR(r_ini="",AND(ISNUMBER(E118),E118&gt;=r_ini)),OR(r_fim="",AND(ISNUMBER(E118),E118&lt;=r_fim)),OR(r_un="",r_un="(Todas)",G118=r_un),OR(r_de="",r_de="(Todos)",I118=r_de)),1,0))</f>
        <v>0</v>
      </c>
      <c r="BB118" s="96" t="str">
        <f>IF(BA118=1,COUNTIF($BA$6:BA118,1),"")</f>
        <v/>
      </c>
      <c r="BC118" s="96" t="str">
        <f>IF(AND(AU118&lt;&gt;"",OR(r_un="",r_un="(Todas)",G118=r_un),OR(r_de="",r_de="(Todos)",I118=r_de)),AU118,"")</f>
        <v/>
      </c>
      <c r="BD118" s="96" t="str">
        <f>IF(Z118=1,A118&amp;" | nº "&amp;IF(B118="","(sem número)",B118)&amp;" | "&amp;IF(G118="","(sem unidade)",G118),"")</f>
        <v/>
      </c>
      <c r="BE118" s="96" t="str">
        <f>IF(Z118=1,COUNTIF($Z$6:Z118,1),"")</f>
        <v/>
      </c>
      <c r="BF118" s="96" t="str">
        <f>IF(T118="","",IF(T118="RECEBIMENTO NÃO CONFIRMADO","Transp.: "&amp;H118&amp;" | Dest.: "&amp;I118,IF(OR(T118="CDF NÃO LOCALIZADO",T118="VÍNCULO INCOMPLETO",T118="CDF A CONFERIR"),"Dest.: "&amp;I118,"Gerador: "&amp;G118)))</f>
        <v/>
      </c>
    </row>
    <row r="119">
      <c r="A119" s="89" t="inlineStr">
        <is>
          <t>MTR-000114</t>
        </is>
      </c>
      <c r="B119" s="90" t="n"/>
      <c r="C119" s="91" t="n"/>
      <c r="D119" s="91" t="n"/>
      <c r="E119" s="92" t="n"/>
      <c r="F119" s="92" t="n"/>
      <c r="G119" s="91" t="n"/>
      <c r="H119" s="91" t="n"/>
      <c r="I119" s="91" t="n"/>
      <c r="J119" s="91" t="n"/>
      <c r="K119" s="91" t="n"/>
      <c r="L119" s="92" t="n"/>
      <c r="M119" s="91" t="n"/>
      <c r="N119" s="91" t="n"/>
      <c r="O119" s="91" t="n"/>
      <c r="P119" s="93" t="str">
        <f>IF(Z119=0,"",SUMIFS('ITENS_MTR'!$I$6:$I$1005,'ITENS_MTR'!$S$6:$S$1005,A119,'ITENS_MTR'!$Y$6:$Y$1005,1))</f>
        <v/>
      </c>
      <c r="Q119" s="93" t="str">
        <f>IF(Z119=0,"",SUMIFS('RECEBIMENTOS'!$H$6:$H$1005,'RECEBIMENTOS'!$B$6:$B$1005,A119,'RECEBIMENTOS'!$X$6:$X$1005,1))</f>
        <v/>
      </c>
      <c r="R119" s="93" t="str">
        <f>IF(Z119=0,"",SUMIFS('VÍNCULOS_CDF'!$H$6:$H$1005,'VÍNCULOS_CDF'!$D$6:$D$1005,A119,'VÍNCULOS_CDF'!$V$6:$V$1005,1))</f>
        <v/>
      </c>
      <c r="S119" s="94" t="str">
        <f>IF(Z119=0,"",IF(AA119=1,"Cancelado (informado)",IF(AE119=1,"Cadastro incompleto",IF(OR(AC119=1,AD119=1,AF119&gt;0,AH119&gt;0,AK119&gt;0,AL119&gt;0),"Informação a revisar",IF(AN119=0,"Aguardando recebimento",IF(N(R119)=0,"Aguardando CDF",IF(AJ119&lt;N(W119),"Vínculo de CDF parcial",IF(AO119=0,"CDF localizado, a conferir","Documentação conferida"))))))))</f>
        <v/>
      </c>
      <c r="T119" s="94" t="str">
        <f>IF(Z119=0,"",IF(S119="Cadastro incompleto","MTR INCOMPLETO",IF(S119="Informação a revisar",IF(AND(AH119&gt;0,AC119=0,AD119=0,AF119=0,AK119=0,AL119=0),"QUANTIDADE A REVISAR","IDENTIFICAÇÃO A REVISAR"),IF(S119="Aguardando recebimento","RECEBIMENTO NÃO CONFIRMADO",IF(S119="Aguardando CDF","CDF NÃO LOCALIZADO",IF(S119="Vínculo de CDF parcial","VÍNCULO INCOMPLETO",IF(S119="CDF localizado, a conferir","CDF A CONFERIR","")))))))</f>
        <v/>
      </c>
      <c r="U119" s="95" t="str">
        <f>IF(T119="","",IF(AQ119="","Não calculável",IF(AQ119&gt;TODAY(),"Data futura",TODAY()-AQ119)))</f>
        <v/>
      </c>
      <c r="V119" s="93" t="str">
        <f>IF(Z119=0,"",SUMIFS('RECEBIMENTOS'!$H$6:$H$1005,'RECEBIMENTOS'!$B$6:$B$1005,A119,'RECEBIMENTOS'!$Z$6:$Z$1005,1))</f>
        <v/>
      </c>
      <c r="W119" s="95" t="str">
        <f>IF(Z119=0,"",COUNTIFS('ITENS_MTR'!$S$6:$S$1005,A119,'ITENS_MTR'!$R$6:$R$1005,1))</f>
        <v/>
      </c>
      <c r="X119" s="94" t="str">
        <f>IF(AC119=1,"POSSÍVEL DUPLICIDADE","")</f>
        <v/>
      </c>
      <c r="Y119" s="94" t="str">
        <f>IF(Z119=0,"",IF(AW119="","Nenhuma",LEFT(AW119,LEN(AW119)-2)))</f>
        <v/>
      </c>
      <c r="Z119" s="96">
        <f>IF(COUNTA(B119:O119)&gt;0,1,0)</f>
        <v>0</v>
      </c>
      <c r="AA119" s="96">
        <f>IF(AND(Z119=1,K119&lt;&gt;""),IF(TRIM(K119)=TRIM(cfg_cancel),1,0),0)</f>
        <v>0</v>
      </c>
      <c r="AB119" s="96" t="str">
        <f>IF(AND(Z119=1,B119&lt;&gt;""),C119&amp;"|"&amp;D119&amp;"|"&amp;G119&amp;"|"&amp;TRIM(B119),"")</f>
        <v/>
      </c>
      <c r="AC119" s="96">
        <f>IF(AB119="",0,IF(SUMPRODUCT(--($AB$6:$AB$505=AB119))&gt;1,1,0))</f>
        <v>0</v>
      </c>
      <c r="AD119" s="96">
        <f>IF(Z119=0,0,IF(OR(AND(G119&lt;&gt;"",ISNA(MATCH(G119,'CAD_UNIDADES'!$C$6:$C$105,0))),AND(H119&lt;&gt;"",ISNA(MATCH(H119,cmp_transp,0))),AND(I119&lt;&gt;"",ISNA(MATCH(I119,cmp_dest,0))),AND(E119&lt;&gt;"",NOT(ISNUMBER(E119))),AND(F119&lt;&gt;"",NOT(ISNUMBER(F119))),AND(ISNUMBER(E119),ISNUMBER(F119),F119&lt;E119)),1,0))</f>
        <v>0</v>
      </c>
      <c r="AE119" s="96">
        <f>IF(Z119=0,0,IF(OR(B119="",C119="",E119="",G119="",H119="",I119="",N(W119)=0),1,0))</f>
        <v>0</v>
      </c>
      <c r="AF119" s="96">
        <f>IF(Z119=0,0,COUNTIFS('ITENS_MTR'!$S$6:$S$1005,A119,'ITENS_MTR'!$AI$6:$AI$1005,1))</f>
        <v>0</v>
      </c>
      <c r="AG119" s="96">
        <f>IF(Z119=0,0,COUNTIFS('ITENS_MTR'!$S$6:$S$1005,A119,'ITENS_MTR'!$AJ$6:$AJ$1005,1))</f>
        <v>0</v>
      </c>
      <c r="AH119" s="96">
        <f>IF(Z119=0,0,COUNTIFS('ITENS_MTR'!$S$6:$S$1005,A119,'ITENS_MTR'!$AM$6:$AM$1005,1))</f>
        <v>0</v>
      </c>
      <c r="AI119" s="96">
        <f>IF(Z119=0,0,COUNTIFS('ITENS_MTR'!$S$6:$S$1005,A119,'ITENS_MTR'!$AO$6:$AO$1005,1))</f>
        <v>0</v>
      </c>
      <c r="AJ119" s="96">
        <f>IF(Z119=0,0,COUNTIFS('ITENS_MTR'!$S$6:$S$1005,A119,'ITENS_MTR'!$AN$6:$AN$1005,1))</f>
        <v>0</v>
      </c>
      <c r="AK119" s="96">
        <f>IF(Z119=0,0,COUNTIFS('RECEBIMENTOS'!$B$6:$B$1005,A119,'RECEBIMENTOS'!$Y$6:$Y$1005,1))</f>
        <v>0</v>
      </c>
      <c r="AL119" s="96">
        <f>IF(Z119=0,0,COUNTIFS('VÍNCULOS_CDF'!$D$6:$D$1005,A119,'VÍNCULOS_CDF'!$Y$6:$Y$1005,1))</f>
        <v>0</v>
      </c>
      <c r="AM119" s="96">
        <f>IF(Z119=0,0,COUNTIFS('RECEBIMENTOS'!$B$6:$B$1005,A119,'RECEBIMENTOS'!$Q$6:$Q$1005,1))</f>
        <v>0</v>
      </c>
      <c r="AN119" s="96">
        <f>IF(AND(Z119=1,N(W119)&gt;0,AG119=N(W119)),1,0)</f>
        <v>0</v>
      </c>
      <c r="AO119" s="96">
        <f>IF(AND(Z119=1,N(W119)&gt;0,AI119=N(W119)),1,0)</f>
        <v>0</v>
      </c>
      <c r="AP119" s="97">
        <f>IF(Z119=0,0,_xlfn.MAXIFS('RECEBIMENTOS'!$E$6:$E$1005,'RECEBIMENTOS'!$B$6:$B$1005,A119))</f>
        <v>0</v>
      </c>
      <c r="AQ119" s="97" t="str">
        <f>IF(T119="","",IF(T119="RECEBIMENTO NÃO CONFIRMADO",IF(ISNUMBER(F119),F119,IF(ISNUMBER(E119),E119,"")),IF(OR(T119="CDF NÃO LOCALIZADO",T119="VÍNCULO INCOMPLETO",T119="CDF A CONFERIR"),IF(AP119&gt;0,AP119,IF(ISNUMBER(E119),E119,"")),IF(ISNUMBER(E119),E119,""))))</f>
        <v/>
      </c>
      <c r="AR119" s="96">
        <f>IF(NOT(ISNUMBER(U119)),0,IF(T119="RECEBIMENTO NÃO CONFIRMADO",IF(AND(ISNUMBER(cfg_rec),U119&gt;cfg_rec),1,0),IF(OR(T119="CDF NÃO LOCALIZADO",T119="VÍNCULO INCOMPLETO",T119="CDF A CONFERIR"),IF(AND(ISNUMBER(cfg_cdf),U119&gt;cfg_cdf),1,0),0)))</f>
        <v>0</v>
      </c>
      <c r="AS119" s="96" t="str">
        <f>IF(T119="","",IF(AR119=1,"Alta",IFERROR(INDEX(cfg_pp,MATCH(T119,cfg_pt,0))&amp;"","Média")))</f>
        <v/>
      </c>
      <c r="AT119" s="96" t="str">
        <f>IF(T119="","",IFERROR(INDEX(cfg_pv,MATCH(T119,cfg_pt,0))&amp;"",""))</f>
        <v/>
      </c>
      <c r="AU119" s="96" t="str">
        <f>IF(T119="","",IF(AS119="Alta",1,IF(AS119="Média",2,3))*1000000000+(999999-IF(ISNUMBER(U119),MIN(U119,999999),0))*1000+114)</f>
        <v/>
      </c>
      <c r="AV119" s="96">
        <f>IF(T119&lt;&gt;"",1,0)</f>
        <v>0</v>
      </c>
      <c r="AW119" s="96" t="str">
        <f>IF(Z119=0,"",IF(AA119=1,"Cancelamento informado; ","")&amp;IF(AE119=1,"Campos essenciais ou itens faltando; ","")&amp;IF(AC119=1,"Possível duplicidade do número; ","")&amp;IF(AD119=1,"Cadastro ou datas a revisar; ","")&amp;IF(AF119&gt;0,"Item de resíduo com dado a revisar; ","")&amp;IF(AH119&gt;0,"Diferença de quantidade a analisar; ","")&amp;IF(AK119&gt;0,"Recebimento com alerta; ","")&amp;IF(AL119&gt;0,"Vínculo de CDF com alerta; ","")&amp;IF(AND(AA119=0,AN119=0),"Recebimento não confirmado; ","")&amp;IF(AND(AA119=0,AN119=1,AO119=0),"CDF pendente ou a conferir; ",""))</f>
        <v/>
      </c>
      <c r="AX119" s="96">
        <f>IF(Z119=0,0,IF(AND(OR(f_ini="",AND(ISNUMBER(E119),E119&gt;=f_ini)),OR(f_fim="",AND(ISNUMBER(E119),E119&lt;=f_fim)),OR(f_un="",f_un="(Todas)",G119=f_un),OR(f_tr="",f_tr="(Todos)",H119=f_tr),OR(f_de="",f_de="(Todos)",I119=f_de),OR(f_sit="",f_sit="(Todas)",S119=f_sit)),1,0))</f>
        <v>0</v>
      </c>
      <c r="AY119" s="96">
        <f>IF(AX119=0,0,IF(OR(f_res="",f_res="(Todos)"),1,IF(COUNTIFS('ITENS_MTR'!$S$6:$S$1005,A119,'ITENS_MTR'!$C$6:$C$1005,f_res)&gt;0,1,0)))</f>
        <v>0</v>
      </c>
      <c r="AZ119" s="97" t="str">
        <f>IF(ISNUMBER(E119),DATE(YEAR(E119),MONTH(E119),1),"")</f>
        <v/>
      </c>
      <c r="BA119" s="96">
        <f>IF(Z119=0,0,IF(AND(OR(r_ini="",AND(ISNUMBER(E119),E119&gt;=r_ini)),OR(r_fim="",AND(ISNUMBER(E119),E119&lt;=r_fim)),OR(r_un="",r_un="(Todas)",G119=r_un),OR(r_de="",r_de="(Todos)",I119=r_de)),1,0))</f>
        <v>0</v>
      </c>
      <c r="BB119" s="96" t="str">
        <f>IF(BA119=1,COUNTIF($BA$6:BA119,1),"")</f>
        <v/>
      </c>
      <c r="BC119" s="96" t="str">
        <f>IF(AND(AU119&lt;&gt;"",OR(r_un="",r_un="(Todas)",G119=r_un),OR(r_de="",r_de="(Todos)",I119=r_de)),AU119,"")</f>
        <v/>
      </c>
      <c r="BD119" s="96" t="str">
        <f>IF(Z119=1,A119&amp;" | nº "&amp;IF(B119="","(sem número)",B119)&amp;" | "&amp;IF(G119="","(sem unidade)",G119),"")</f>
        <v/>
      </c>
      <c r="BE119" s="96" t="str">
        <f>IF(Z119=1,COUNTIF($Z$6:Z119,1),"")</f>
        <v/>
      </c>
      <c r="BF119" s="96" t="str">
        <f>IF(T119="","",IF(T119="RECEBIMENTO NÃO CONFIRMADO","Transp.: "&amp;H119&amp;" | Dest.: "&amp;I119,IF(OR(T119="CDF NÃO LOCALIZADO",T119="VÍNCULO INCOMPLETO",T119="CDF A CONFERIR"),"Dest.: "&amp;I119,"Gerador: "&amp;G119)))</f>
        <v/>
      </c>
    </row>
    <row r="120">
      <c r="A120" s="89" t="inlineStr">
        <is>
          <t>MTR-000115</t>
        </is>
      </c>
      <c r="B120" s="90" t="n"/>
      <c r="C120" s="91" t="n"/>
      <c r="D120" s="91" t="n"/>
      <c r="E120" s="92" t="n"/>
      <c r="F120" s="92" t="n"/>
      <c r="G120" s="91" t="n"/>
      <c r="H120" s="91" t="n"/>
      <c r="I120" s="91" t="n"/>
      <c r="J120" s="91" t="n"/>
      <c r="K120" s="91" t="n"/>
      <c r="L120" s="92" t="n"/>
      <c r="M120" s="91" t="n"/>
      <c r="N120" s="91" t="n"/>
      <c r="O120" s="91" t="n"/>
      <c r="P120" s="93" t="str">
        <f>IF(Z120=0,"",SUMIFS('ITENS_MTR'!$I$6:$I$1005,'ITENS_MTR'!$S$6:$S$1005,A120,'ITENS_MTR'!$Y$6:$Y$1005,1))</f>
        <v/>
      </c>
      <c r="Q120" s="93" t="str">
        <f>IF(Z120=0,"",SUMIFS('RECEBIMENTOS'!$H$6:$H$1005,'RECEBIMENTOS'!$B$6:$B$1005,A120,'RECEBIMENTOS'!$X$6:$X$1005,1))</f>
        <v/>
      </c>
      <c r="R120" s="93" t="str">
        <f>IF(Z120=0,"",SUMIFS('VÍNCULOS_CDF'!$H$6:$H$1005,'VÍNCULOS_CDF'!$D$6:$D$1005,A120,'VÍNCULOS_CDF'!$V$6:$V$1005,1))</f>
        <v/>
      </c>
      <c r="S120" s="94" t="str">
        <f>IF(Z120=0,"",IF(AA120=1,"Cancelado (informado)",IF(AE120=1,"Cadastro incompleto",IF(OR(AC120=1,AD120=1,AF120&gt;0,AH120&gt;0,AK120&gt;0,AL120&gt;0),"Informação a revisar",IF(AN120=0,"Aguardando recebimento",IF(N(R120)=0,"Aguardando CDF",IF(AJ120&lt;N(W120),"Vínculo de CDF parcial",IF(AO120=0,"CDF localizado, a conferir","Documentação conferida"))))))))</f>
        <v/>
      </c>
      <c r="T120" s="94" t="str">
        <f>IF(Z120=0,"",IF(S120="Cadastro incompleto","MTR INCOMPLETO",IF(S120="Informação a revisar",IF(AND(AH120&gt;0,AC120=0,AD120=0,AF120=0,AK120=0,AL120=0),"QUANTIDADE A REVISAR","IDENTIFICAÇÃO A REVISAR"),IF(S120="Aguardando recebimento","RECEBIMENTO NÃO CONFIRMADO",IF(S120="Aguardando CDF","CDF NÃO LOCALIZADO",IF(S120="Vínculo de CDF parcial","VÍNCULO INCOMPLETO",IF(S120="CDF localizado, a conferir","CDF A CONFERIR","")))))))</f>
        <v/>
      </c>
      <c r="U120" s="95" t="str">
        <f>IF(T120="","",IF(AQ120="","Não calculável",IF(AQ120&gt;TODAY(),"Data futura",TODAY()-AQ120)))</f>
        <v/>
      </c>
      <c r="V120" s="93" t="str">
        <f>IF(Z120=0,"",SUMIFS('RECEBIMENTOS'!$H$6:$H$1005,'RECEBIMENTOS'!$B$6:$B$1005,A120,'RECEBIMENTOS'!$Z$6:$Z$1005,1))</f>
        <v/>
      </c>
      <c r="W120" s="95" t="str">
        <f>IF(Z120=0,"",COUNTIFS('ITENS_MTR'!$S$6:$S$1005,A120,'ITENS_MTR'!$R$6:$R$1005,1))</f>
        <v/>
      </c>
      <c r="X120" s="94" t="str">
        <f>IF(AC120=1,"POSSÍVEL DUPLICIDADE","")</f>
        <v/>
      </c>
      <c r="Y120" s="94" t="str">
        <f>IF(Z120=0,"",IF(AW120="","Nenhuma",LEFT(AW120,LEN(AW120)-2)))</f>
        <v/>
      </c>
      <c r="Z120" s="96">
        <f>IF(COUNTA(B120:O120)&gt;0,1,0)</f>
        <v>0</v>
      </c>
      <c r="AA120" s="96">
        <f>IF(AND(Z120=1,K120&lt;&gt;""),IF(TRIM(K120)=TRIM(cfg_cancel),1,0),0)</f>
        <v>0</v>
      </c>
      <c r="AB120" s="96" t="str">
        <f>IF(AND(Z120=1,B120&lt;&gt;""),C120&amp;"|"&amp;D120&amp;"|"&amp;G120&amp;"|"&amp;TRIM(B120),"")</f>
        <v/>
      </c>
      <c r="AC120" s="96">
        <f>IF(AB120="",0,IF(SUMPRODUCT(--($AB$6:$AB$505=AB120))&gt;1,1,0))</f>
        <v>0</v>
      </c>
      <c r="AD120" s="96">
        <f>IF(Z120=0,0,IF(OR(AND(G120&lt;&gt;"",ISNA(MATCH(G120,'CAD_UNIDADES'!$C$6:$C$105,0))),AND(H120&lt;&gt;"",ISNA(MATCH(H120,cmp_transp,0))),AND(I120&lt;&gt;"",ISNA(MATCH(I120,cmp_dest,0))),AND(E120&lt;&gt;"",NOT(ISNUMBER(E120))),AND(F120&lt;&gt;"",NOT(ISNUMBER(F120))),AND(ISNUMBER(E120),ISNUMBER(F120),F120&lt;E120)),1,0))</f>
        <v>0</v>
      </c>
      <c r="AE120" s="96">
        <f>IF(Z120=0,0,IF(OR(B120="",C120="",E120="",G120="",H120="",I120="",N(W120)=0),1,0))</f>
        <v>0</v>
      </c>
      <c r="AF120" s="96">
        <f>IF(Z120=0,0,COUNTIFS('ITENS_MTR'!$S$6:$S$1005,A120,'ITENS_MTR'!$AI$6:$AI$1005,1))</f>
        <v>0</v>
      </c>
      <c r="AG120" s="96">
        <f>IF(Z120=0,0,COUNTIFS('ITENS_MTR'!$S$6:$S$1005,A120,'ITENS_MTR'!$AJ$6:$AJ$1005,1))</f>
        <v>0</v>
      </c>
      <c r="AH120" s="96">
        <f>IF(Z120=0,0,COUNTIFS('ITENS_MTR'!$S$6:$S$1005,A120,'ITENS_MTR'!$AM$6:$AM$1005,1))</f>
        <v>0</v>
      </c>
      <c r="AI120" s="96">
        <f>IF(Z120=0,0,COUNTIFS('ITENS_MTR'!$S$6:$S$1005,A120,'ITENS_MTR'!$AO$6:$AO$1005,1))</f>
        <v>0</v>
      </c>
      <c r="AJ120" s="96">
        <f>IF(Z120=0,0,COUNTIFS('ITENS_MTR'!$S$6:$S$1005,A120,'ITENS_MTR'!$AN$6:$AN$1005,1))</f>
        <v>0</v>
      </c>
      <c r="AK120" s="96">
        <f>IF(Z120=0,0,COUNTIFS('RECEBIMENTOS'!$B$6:$B$1005,A120,'RECEBIMENTOS'!$Y$6:$Y$1005,1))</f>
        <v>0</v>
      </c>
      <c r="AL120" s="96">
        <f>IF(Z120=0,0,COUNTIFS('VÍNCULOS_CDF'!$D$6:$D$1005,A120,'VÍNCULOS_CDF'!$Y$6:$Y$1005,1))</f>
        <v>0</v>
      </c>
      <c r="AM120" s="96">
        <f>IF(Z120=0,0,COUNTIFS('RECEBIMENTOS'!$B$6:$B$1005,A120,'RECEBIMENTOS'!$Q$6:$Q$1005,1))</f>
        <v>0</v>
      </c>
      <c r="AN120" s="96">
        <f>IF(AND(Z120=1,N(W120)&gt;0,AG120=N(W120)),1,0)</f>
        <v>0</v>
      </c>
      <c r="AO120" s="96">
        <f>IF(AND(Z120=1,N(W120)&gt;0,AI120=N(W120)),1,0)</f>
        <v>0</v>
      </c>
      <c r="AP120" s="97">
        <f>IF(Z120=0,0,_xlfn.MAXIFS('RECEBIMENTOS'!$E$6:$E$1005,'RECEBIMENTOS'!$B$6:$B$1005,A120))</f>
        <v>0</v>
      </c>
      <c r="AQ120" s="97" t="str">
        <f>IF(T120="","",IF(T120="RECEBIMENTO NÃO CONFIRMADO",IF(ISNUMBER(F120),F120,IF(ISNUMBER(E120),E120,"")),IF(OR(T120="CDF NÃO LOCALIZADO",T120="VÍNCULO INCOMPLETO",T120="CDF A CONFERIR"),IF(AP120&gt;0,AP120,IF(ISNUMBER(E120),E120,"")),IF(ISNUMBER(E120),E120,""))))</f>
        <v/>
      </c>
      <c r="AR120" s="96">
        <f>IF(NOT(ISNUMBER(U120)),0,IF(T120="RECEBIMENTO NÃO CONFIRMADO",IF(AND(ISNUMBER(cfg_rec),U120&gt;cfg_rec),1,0),IF(OR(T120="CDF NÃO LOCALIZADO",T120="VÍNCULO INCOMPLETO",T120="CDF A CONFERIR"),IF(AND(ISNUMBER(cfg_cdf),U120&gt;cfg_cdf),1,0),0)))</f>
        <v>0</v>
      </c>
      <c r="AS120" s="96" t="str">
        <f>IF(T120="","",IF(AR120=1,"Alta",IFERROR(INDEX(cfg_pp,MATCH(T120,cfg_pt,0))&amp;"","Média")))</f>
        <v/>
      </c>
      <c r="AT120" s="96" t="str">
        <f>IF(T120="","",IFERROR(INDEX(cfg_pv,MATCH(T120,cfg_pt,0))&amp;"",""))</f>
        <v/>
      </c>
      <c r="AU120" s="96" t="str">
        <f>IF(T120="","",IF(AS120="Alta",1,IF(AS120="Média",2,3))*1000000000+(999999-IF(ISNUMBER(U120),MIN(U120,999999),0))*1000+115)</f>
        <v/>
      </c>
      <c r="AV120" s="96">
        <f>IF(T120&lt;&gt;"",1,0)</f>
        <v>0</v>
      </c>
      <c r="AW120" s="96" t="str">
        <f>IF(Z120=0,"",IF(AA120=1,"Cancelamento informado; ","")&amp;IF(AE120=1,"Campos essenciais ou itens faltando; ","")&amp;IF(AC120=1,"Possível duplicidade do número; ","")&amp;IF(AD120=1,"Cadastro ou datas a revisar; ","")&amp;IF(AF120&gt;0,"Item de resíduo com dado a revisar; ","")&amp;IF(AH120&gt;0,"Diferença de quantidade a analisar; ","")&amp;IF(AK120&gt;0,"Recebimento com alerta; ","")&amp;IF(AL120&gt;0,"Vínculo de CDF com alerta; ","")&amp;IF(AND(AA120=0,AN120=0),"Recebimento não confirmado; ","")&amp;IF(AND(AA120=0,AN120=1,AO120=0),"CDF pendente ou a conferir; ",""))</f>
        <v/>
      </c>
      <c r="AX120" s="96">
        <f>IF(Z120=0,0,IF(AND(OR(f_ini="",AND(ISNUMBER(E120),E120&gt;=f_ini)),OR(f_fim="",AND(ISNUMBER(E120),E120&lt;=f_fim)),OR(f_un="",f_un="(Todas)",G120=f_un),OR(f_tr="",f_tr="(Todos)",H120=f_tr),OR(f_de="",f_de="(Todos)",I120=f_de),OR(f_sit="",f_sit="(Todas)",S120=f_sit)),1,0))</f>
        <v>0</v>
      </c>
      <c r="AY120" s="96">
        <f>IF(AX120=0,0,IF(OR(f_res="",f_res="(Todos)"),1,IF(COUNTIFS('ITENS_MTR'!$S$6:$S$1005,A120,'ITENS_MTR'!$C$6:$C$1005,f_res)&gt;0,1,0)))</f>
        <v>0</v>
      </c>
      <c r="AZ120" s="97" t="str">
        <f>IF(ISNUMBER(E120),DATE(YEAR(E120),MONTH(E120),1),"")</f>
        <v/>
      </c>
      <c r="BA120" s="96">
        <f>IF(Z120=0,0,IF(AND(OR(r_ini="",AND(ISNUMBER(E120),E120&gt;=r_ini)),OR(r_fim="",AND(ISNUMBER(E120),E120&lt;=r_fim)),OR(r_un="",r_un="(Todas)",G120=r_un),OR(r_de="",r_de="(Todos)",I120=r_de)),1,0))</f>
        <v>0</v>
      </c>
      <c r="BB120" s="96" t="str">
        <f>IF(BA120=1,COUNTIF($BA$6:BA120,1),"")</f>
        <v/>
      </c>
      <c r="BC120" s="96" t="str">
        <f>IF(AND(AU120&lt;&gt;"",OR(r_un="",r_un="(Todas)",G120=r_un),OR(r_de="",r_de="(Todos)",I120=r_de)),AU120,"")</f>
        <v/>
      </c>
      <c r="BD120" s="96" t="str">
        <f>IF(Z120=1,A120&amp;" | nº "&amp;IF(B120="","(sem número)",B120)&amp;" | "&amp;IF(G120="","(sem unidade)",G120),"")</f>
        <v/>
      </c>
      <c r="BE120" s="96" t="str">
        <f>IF(Z120=1,COUNTIF($Z$6:Z120,1),"")</f>
        <v/>
      </c>
      <c r="BF120" s="96" t="str">
        <f>IF(T120="","",IF(T120="RECEBIMENTO NÃO CONFIRMADO","Transp.: "&amp;H120&amp;" | Dest.: "&amp;I120,IF(OR(T120="CDF NÃO LOCALIZADO",T120="VÍNCULO INCOMPLETO",T120="CDF A CONFERIR"),"Dest.: "&amp;I120,"Gerador: "&amp;G120)))</f>
        <v/>
      </c>
    </row>
    <row r="121">
      <c r="A121" s="89" t="inlineStr">
        <is>
          <t>MTR-000116</t>
        </is>
      </c>
      <c r="B121" s="90" t="n"/>
      <c r="C121" s="91" t="n"/>
      <c r="D121" s="91" t="n"/>
      <c r="E121" s="92" t="n"/>
      <c r="F121" s="92" t="n"/>
      <c r="G121" s="91" t="n"/>
      <c r="H121" s="91" t="n"/>
      <c r="I121" s="91" t="n"/>
      <c r="J121" s="91" t="n"/>
      <c r="K121" s="91" t="n"/>
      <c r="L121" s="92" t="n"/>
      <c r="M121" s="91" t="n"/>
      <c r="N121" s="91" t="n"/>
      <c r="O121" s="91" t="n"/>
      <c r="P121" s="93" t="str">
        <f>IF(Z121=0,"",SUMIFS('ITENS_MTR'!$I$6:$I$1005,'ITENS_MTR'!$S$6:$S$1005,A121,'ITENS_MTR'!$Y$6:$Y$1005,1))</f>
        <v/>
      </c>
      <c r="Q121" s="93" t="str">
        <f>IF(Z121=0,"",SUMIFS('RECEBIMENTOS'!$H$6:$H$1005,'RECEBIMENTOS'!$B$6:$B$1005,A121,'RECEBIMENTOS'!$X$6:$X$1005,1))</f>
        <v/>
      </c>
      <c r="R121" s="93" t="str">
        <f>IF(Z121=0,"",SUMIFS('VÍNCULOS_CDF'!$H$6:$H$1005,'VÍNCULOS_CDF'!$D$6:$D$1005,A121,'VÍNCULOS_CDF'!$V$6:$V$1005,1))</f>
        <v/>
      </c>
      <c r="S121" s="94" t="str">
        <f>IF(Z121=0,"",IF(AA121=1,"Cancelado (informado)",IF(AE121=1,"Cadastro incompleto",IF(OR(AC121=1,AD121=1,AF121&gt;0,AH121&gt;0,AK121&gt;0,AL121&gt;0),"Informação a revisar",IF(AN121=0,"Aguardando recebimento",IF(N(R121)=0,"Aguardando CDF",IF(AJ121&lt;N(W121),"Vínculo de CDF parcial",IF(AO121=0,"CDF localizado, a conferir","Documentação conferida"))))))))</f>
        <v/>
      </c>
      <c r="T121" s="94" t="str">
        <f>IF(Z121=0,"",IF(S121="Cadastro incompleto","MTR INCOMPLETO",IF(S121="Informação a revisar",IF(AND(AH121&gt;0,AC121=0,AD121=0,AF121=0,AK121=0,AL121=0),"QUANTIDADE A REVISAR","IDENTIFICAÇÃO A REVISAR"),IF(S121="Aguardando recebimento","RECEBIMENTO NÃO CONFIRMADO",IF(S121="Aguardando CDF","CDF NÃO LOCALIZADO",IF(S121="Vínculo de CDF parcial","VÍNCULO INCOMPLETO",IF(S121="CDF localizado, a conferir","CDF A CONFERIR","")))))))</f>
        <v/>
      </c>
      <c r="U121" s="95" t="str">
        <f>IF(T121="","",IF(AQ121="","Não calculável",IF(AQ121&gt;TODAY(),"Data futura",TODAY()-AQ121)))</f>
        <v/>
      </c>
      <c r="V121" s="93" t="str">
        <f>IF(Z121=0,"",SUMIFS('RECEBIMENTOS'!$H$6:$H$1005,'RECEBIMENTOS'!$B$6:$B$1005,A121,'RECEBIMENTOS'!$Z$6:$Z$1005,1))</f>
        <v/>
      </c>
      <c r="W121" s="95" t="str">
        <f>IF(Z121=0,"",COUNTIFS('ITENS_MTR'!$S$6:$S$1005,A121,'ITENS_MTR'!$R$6:$R$1005,1))</f>
        <v/>
      </c>
      <c r="X121" s="94" t="str">
        <f>IF(AC121=1,"POSSÍVEL DUPLICIDADE","")</f>
        <v/>
      </c>
      <c r="Y121" s="94" t="str">
        <f>IF(Z121=0,"",IF(AW121="","Nenhuma",LEFT(AW121,LEN(AW121)-2)))</f>
        <v/>
      </c>
      <c r="Z121" s="96">
        <f>IF(COUNTA(B121:O121)&gt;0,1,0)</f>
        <v>0</v>
      </c>
      <c r="AA121" s="96">
        <f>IF(AND(Z121=1,K121&lt;&gt;""),IF(TRIM(K121)=TRIM(cfg_cancel),1,0),0)</f>
        <v>0</v>
      </c>
      <c r="AB121" s="96" t="str">
        <f>IF(AND(Z121=1,B121&lt;&gt;""),C121&amp;"|"&amp;D121&amp;"|"&amp;G121&amp;"|"&amp;TRIM(B121),"")</f>
        <v/>
      </c>
      <c r="AC121" s="96">
        <f>IF(AB121="",0,IF(SUMPRODUCT(--($AB$6:$AB$505=AB121))&gt;1,1,0))</f>
        <v>0</v>
      </c>
      <c r="AD121" s="96">
        <f>IF(Z121=0,0,IF(OR(AND(G121&lt;&gt;"",ISNA(MATCH(G121,'CAD_UNIDADES'!$C$6:$C$105,0))),AND(H121&lt;&gt;"",ISNA(MATCH(H121,cmp_transp,0))),AND(I121&lt;&gt;"",ISNA(MATCH(I121,cmp_dest,0))),AND(E121&lt;&gt;"",NOT(ISNUMBER(E121))),AND(F121&lt;&gt;"",NOT(ISNUMBER(F121))),AND(ISNUMBER(E121),ISNUMBER(F121),F121&lt;E121)),1,0))</f>
        <v>0</v>
      </c>
      <c r="AE121" s="96">
        <f>IF(Z121=0,0,IF(OR(B121="",C121="",E121="",G121="",H121="",I121="",N(W121)=0),1,0))</f>
        <v>0</v>
      </c>
      <c r="AF121" s="96">
        <f>IF(Z121=0,0,COUNTIFS('ITENS_MTR'!$S$6:$S$1005,A121,'ITENS_MTR'!$AI$6:$AI$1005,1))</f>
        <v>0</v>
      </c>
      <c r="AG121" s="96">
        <f>IF(Z121=0,0,COUNTIFS('ITENS_MTR'!$S$6:$S$1005,A121,'ITENS_MTR'!$AJ$6:$AJ$1005,1))</f>
        <v>0</v>
      </c>
      <c r="AH121" s="96">
        <f>IF(Z121=0,0,COUNTIFS('ITENS_MTR'!$S$6:$S$1005,A121,'ITENS_MTR'!$AM$6:$AM$1005,1))</f>
        <v>0</v>
      </c>
      <c r="AI121" s="96">
        <f>IF(Z121=0,0,COUNTIFS('ITENS_MTR'!$S$6:$S$1005,A121,'ITENS_MTR'!$AO$6:$AO$1005,1))</f>
        <v>0</v>
      </c>
      <c r="AJ121" s="96">
        <f>IF(Z121=0,0,COUNTIFS('ITENS_MTR'!$S$6:$S$1005,A121,'ITENS_MTR'!$AN$6:$AN$1005,1))</f>
        <v>0</v>
      </c>
      <c r="AK121" s="96">
        <f>IF(Z121=0,0,COUNTIFS('RECEBIMENTOS'!$B$6:$B$1005,A121,'RECEBIMENTOS'!$Y$6:$Y$1005,1))</f>
        <v>0</v>
      </c>
      <c r="AL121" s="96">
        <f>IF(Z121=0,0,COUNTIFS('VÍNCULOS_CDF'!$D$6:$D$1005,A121,'VÍNCULOS_CDF'!$Y$6:$Y$1005,1))</f>
        <v>0</v>
      </c>
      <c r="AM121" s="96">
        <f>IF(Z121=0,0,COUNTIFS('RECEBIMENTOS'!$B$6:$B$1005,A121,'RECEBIMENTOS'!$Q$6:$Q$1005,1))</f>
        <v>0</v>
      </c>
      <c r="AN121" s="96">
        <f>IF(AND(Z121=1,N(W121)&gt;0,AG121=N(W121)),1,0)</f>
        <v>0</v>
      </c>
      <c r="AO121" s="96">
        <f>IF(AND(Z121=1,N(W121)&gt;0,AI121=N(W121)),1,0)</f>
        <v>0</v>
      </c>
      <c r="AP121" s="97">
        <f>IF(Z121=0,0,_xlfn.MAXIFS('RECEBIMENTOS'!$E$6:$E$1005,'RECEBIMENTOS'!$B$6:$B$1005,A121))</f>
        <v>0</v>
      </c>
      <c r="AQ121" s="97" t="str">
        <f>IF(T121="","",IF(T121="RECEBIMENTO NÃO CONFIRMADO",IF(ISNUMBER(F121),F121,IF(ISNUMBER(E121),E121,"")),IF(OR(T121="CDF NÃO LOCALIZADO",T121="VÍNCULO INCOMPLETO",T121="CDF A CONFERIR"),IF(AP121&gt;0,AP121,IF(ISNUMBER(E121),E121,"")),IF(ISNUMBER(E121),E121,""))))</f>
        <v/>
      </c>
      <c r="AR121" s="96">
        <f>IF(NOT(ISNUMBER(U121)),0,IF(T121="RECEBIMENTO NÃO CONFIRMADO",IF(AND(ISNUMBER(cfg_rec),U121&gt;cfg_rec),1,0),IF(OR(T121="CDF NÃO LOCALIZADO",T121="VÍNCULO INCOMPLETO",T121="CDF A CONFERIR"),IF(AND(ISNUMBER(cfg_cdf),U121&gt;cfg_cdf),1,0),0)))</f>
        <v>0</v>
      </c>
      <c r="AS121" s="96" t="str">
        <f>IF(T121="","",IF(AR121=1,"Alta",IFERROR(INDEX(cfg_pp,MATCH(T121,cfg_pt,0))&amp;"","Média")))</f>
        <v/>
      </c>
      <c r="AT121" s="96" t="str">
        <f>IF(T121="","",IFERROR(INDEX(cfg_pv,MATCH(T121,cfg_pt,0))&amp;"",""))</f>
        <v/>
      </c>
      <c r="AU121" s="96" t="str">
        <f>IF(T121="","",IF(AS121="Alta",1,IF(AS121="Média",2,3))*1000000000+(999999-IF(ISNUMBER(U121),MIN(U121,999999),0))*1000+116)</f>
        <v/>
      </c>
      <c r="AV121" s="96">
        <f>IF(T121&lt;&gt;"",1,0)</f>
        <v>0</v>
      </c>
      <c r="AW121" s="96" t="str">
        <f>IF(Z121=0,"",IF(AA121=1,"Cancelamento informado; ","")&amp;IF(AE121=1,"Campos essenciais ou itens faltando; ","")&amp;IF(AC121=1,"Possível duplicidade do número; ","")&amp;IF(AD121=1,"Cadastro ou datas a revisar; ","")&amp;IF(AF121&gt;0,"Item de resíduo com dado a revisar; ","")&amp;IF(AH121&gt;0,"Diferença de quantidade a analisar; ","")&amp;IF(AK121&gt;0,"Recebimento com alerta; ","")&amp;IF(AL121&gt;0,"Vínculo de CDF com alerta; ","")&amp;IF(AND(AA121=0,AN121=0),"Recebimento não confirmado; ","")&amp;IF(AND(AA121=0,AN121=1,AO121=0),"CDF pendente ou a conferir; ",""))</f>
        <v/>
      </c>
      <c r="AX121" s="96">
        <f>IF(Z121=0,0,IF(AND(OR(f_ini="",AND(ISNUMBER(E121),E121&gt;=f_ini)),OR(f_fim="",AND(ISNUMBER(E121),E121&lt;=f_fim)),OR(f_un="",f_un="(Todas)",G121=f_un),OR(f_tr="",f_tr="(Todos)",H121=f_tr),OR(f_de="",f_de="(Todos)",I121=f_de),OR(f_sit="",f_sit="(Todas)",S121=f_sit)),1,0))</f>
        <v>0</v>
      </c>
      <c r="AY121" s="96">
        <f>IF(AX121=0,0,IF(OR(f_res="",f_res="(Todos)"),1,IF(COUNTIFS('ITENS_MTR'!$S$6:$S$1005,A121,'ITENS_MTR'!$C$6:$C$1005,f_res)&gt;0,1,0)))</f>
        <v>0</v>
      </c>
      <c r="AZ121" s="97" t="str">
        <f>IF(ISNUMBER(E121),DATE(YEAR(E121),MONTH(E121),1),"")</f>
        <v/>
      </c>
      <c r="BA121" s="96">
        <f>IF(Z121=0,0,IF(AND(OR(r_ini="",AND(ISNUMBER(E121),E121&gt;=r_ini)),OR(r_fim="",AND(ISNUMBER(E121),E121&lt;=r_fim)),OR(r_un="",r_un="(Todas)",G121=r_un),OR(r_de="",r_de="(Todos)",I121=r_de)),1,0))</f>
        <v>0</v>
      </c>
      <c r="BB121" s="96" t="str">
        <f>IF(BA121=1,COUNTIF($BA$6:BA121,1),"")</f>
        <v/>
      </c>
      <c r="BC121" s="96" t="str">
        <f>IF(AND(AU121&lt;&gt;"",OR(r_un="",r_un="(Todas)",G121=r_un),OR(r_de="",r_de="(Todos)",I121=r_de)),AU121,"")</f>
        <v/>
      </c>
      <c r="BD121" s="96" t="str">
        <f>IF(Z121=1,A121&amp;" | nº "&amp;IF(B121="","(sem número)",B121)&amp;" | "&amp;IF(G121="","(sem unidade)",G121),"")</f>
        <v/>
      </c>
      <c r="BE121" s="96" t="str">
        <f>IF(Z121=1,COUNTIF($Z$6:Z121,1),"")</f>
        <v/>
      </c>
      <c r="BF121" s="96" t="str">
        <f>IF(T121="","",IF(T121="RECEBIMENTO NÃO CONFIRMADO","Transp.: "&amp;H121&amp;" | Dest.: "&amp;I121,IF(OR(T121="CDF NÃO LOCALIZADO",T121="VÍNCULO INCOMPLETO",T121="CDF A CONFERIR"),"Dest.: "&amp;I121,"Gerador: "&amp;G121)))</f>
        <v/>
      </c>
    </row>
    <row r="122">
      <c r="A122" s="89" t="inlineStr">
        <is>
          <t>MTR-000117</t>
        </is>
      </c>
      <c r="B122" s="90" t="n"/>
      <c r="C122" s="91" t="n"/>
      <c r="D122" s="91" t="n"/>
      <c r="E122" s="92" t="n"/>
      <c r="F122" s="92" t="n"/>
      <c r="G122" s="91" t="n"/>
      <c r="H122" s="91" t="n"/>
      <c r="I122" s="91" t="n"/>
      <c r="J122" s="91" t="n"/>
      <c r="K122" s="91" t="n"/>
      <c r="L122" s="92" t="n"/>
      <c r="M122" s="91" t="n"/>
      <c r="N122" s="91" t="n"/>
      <c r="O122" s="91" t="n"/>
      <c r="P122" s="93" t="str">
        <f>IF(Z122=0,"",SUMIFS('ITENS_MTR'!$I$6:$I$1005,'ITENS_MTR'!$S$6:$S$1005,A122,'ITENS_MTR'!$Y$6:$Y$1005,1))</f>
        <v/>
      </c>
      <c r="Q122" s="93" t="str">
        <f>IF(Z122=0,"",SUMIFS('RECEBIMENTOS'!$H$6:$H$1005,'RECEBIMENTOS'!$B$6:$B$1005,A122,'RECEBIMENTOS'!$X$6:$X$1005,1))</f>
        <v/>
      </c>
      <c r="R122" s="93" t="str">
        <f>IF(Z122=0,"",SUMIFS('VÍNCULOS_CDF'!$H$6:$H$1005,'VÍNCULOS_CDF'!$D$6:$D$1005,A122,'VÍNCULOS_CDF'!$V$6:$V$1005,1))</f>
        <v/>
      </c>
      <c r="S122" s="94" t="str">
        <f>IF(Z122=0,"",IF(AA122=1,"Cancelado (informado)",IF(AE122=1,"Cadastro incompleto",IF(OR(AC122=1,AD122=1,AF122&gt;0,AH122&gt;0,AK122&gt;0,AL122&gt;0),"Informação a revisar",IF(AN122=0,"Aguardando recebimento",IF(N(R122)=0,"Aguardando CDF",IF(AJ122&lt;N(W122),"Vínculo de CDF parcial",IF(AO122=0,"CDF localizado, a conferir","Documentação conferida"))))))))</f>
        <v/>
      </c>
      <c r="T122" s="94" t="str">
        <f>IF(Z122=0,"",IF(S122="Cadastro incompleto","MTR INCOMPLETO",IF(S122="Informação a revisar",IF(AND(AH122&gt;0,AC122=0,AD122=0,AF122=0,AK122=0,AL122=0),"QUANTIDADE A REVISAR","IDENTIFICAÇÃO A REVISAR"),IF(S122="Aguardando recebimento","RECEBIMENTO NÃO CONFIRMADO",IF(S122="Aguardando CDF","CDF NÃO LOCALIZADO",IF(S122="Vínculo de CDF parcial","VÍNCULO INCOMPLETO",IF(S122="CDF localizado, a conferir","CDF A CONFERIR","")))))))</f>
        <v/>
      </c>
      <c r="U122" s="95" t="str">
        <f>IF(T122="","",IF(AQ122="","Não calculável",IF(AQ122&gt;TODAY(),"Data futura",TODAY()-AQ122)))</f>
        <v/>
      </c>
      <c r="V122" s="93" t="str">
        <f>IF(Z122=0,"",SUMIFS('RECEBIMENTOS'!$H$6:$H$1005,'RECEBIMENTOS'!$B$6:$B$1005,A122,'RECEBIMENTOS'!$Z$6:$Z$1005,1))</f>
        <v/>
      </c>
      <c r="W122" s="95" t="str">
        <f>IF(Z122=0,"",COUNTIFS('ITENS_MTR'!$S$6:$S$1005,A122,'ITENS_MTR'!$R$6:$R$1005,1))</f>
        <v/>
      </c>
      <c r="X122" s="94" t="str">
        <f>IF(AC122=1,"POSSÍVEL DUPLICIDADE","")</f>
        <v/>
      </c>
      <c r="Y122" s="94" t="str">
        <f>IF(Z122=0,"",IF(AW122="","Nenhuma",LEFT(AW122,LEN(AW122)-2)))</f>
        <v/>
      </c>
      <c r="Z122" s="96">
        <f>IF(COUNTA(B122:O122)&gt;0,1,0)</f>
        <v>0</v>
      </c>
      <c r="AA122" s="96">
        <f>IF(AND(Z122=1,K122&lt;&gt;""),IF(TRIM(K122)=TRIM(cfg_cancel),1,0),0)</f>
        <v>0</v>
      </c>
      <c r="AB122" s="96" t="str">
        <f>IF(AND(Z122=1,B122&lt;&gt;""),C122&amp;"|"&amp;D122&amp;"|"&amp;G122&amp;"|"&amp;TRIM(B122),"")</f>
        <v/>
      </c>
      <c r="AC122" s="96">
        <f>IF(AB122="",0,IF(SUMPRODUCT(--($AB$6:$AB$505=AB122))&gt;1,1,0))</f>
        <v>0</v>
      </c>
      <c r="AD122" s="96">
        <f>IF(Z122=0,0,IF(OR(AND(G122&lt;&gt;"",ISNA(MATCH(G122,'CAD_UNIDADES'!$C$6:$C$105,0))),AND(H122&lt;&gt;"",ISNA(MATCH(H122,cmp_transp,0))),AND(I122&lt;&gt;"",ISNA(MATCH(I122,cmp_dest,0))),AND(E122&lt;&gt;"",NOT(ISNUMBER(E122))),AND(F122&lt;&gt;"",NOT(ISNUMBER(F122))),AND(ISNUMBER(E122),ISNUMBER(F122),F122&lt;E122)),1,0))</f>
        <v>0</v>
      </c>
      <c r="AE122" s="96">
        <f>IF(Z122=0,0,IF(OR(B122="",C122="",E122="",G122="",H122="",I122="",N(W122)=0),1,0))</f>
        <v>0</v>
      </c>
      <c r="AF122" s="96">
        <f>IF(Z122=0,0,COUNTIFS('ITENS_MTR'!$S$6:$S$1005,A122,'ITENS_MTR'!$AI$6:$AI$1005,1))</f>
        <v>0</v>
      </c>
      <c r="AG122" s="96">
        <f>IF(Z122=0,0,COUNTIFS('ITENS_MTR'!$S$6:$S$1005,A122,'ITENS_MTR'!$AJ$6:$AJ$1005,1))</f>
        <v>0</v>
      </c>
      <c r="AH122" s="96">
        <f>IF(Z122=0,0,COUNTIFS('ITENS_MTR'!$S$6:$S$1005,A122,'ITENS_MTR'!$AM$6:$AM$1005,1))</f>
        <v>0</v>
      </c>
      <c r="AI122" s="96">
        <f>IF(Z122=0,0,COUNTIFS('ITENS_MTR'!$S$6:$S$1005,A122,'ITENS_MTR'!$AO$6:$AO$1005,1))</f>
        <v>0</v>
      </c>
      <c r="AJ122" s="96">
        <f>IF(Z122=0,0,COUNTIFS('ITENS_MTR'!$S$6:$S$1005,A122,'ITENS_MTR'!$AN$6:$AN$1005,1))</f>
        <v>0</v>
      </c>
      <c r="AK122" s="96">
        <f>IF(Z122=0,0,COUNTIFS('RECEBIMENTOS'!$B$6:$B$1005,A122,'RECEBIMENTOS'!$Y$6:$Y$1005,1))</f>
        <v>0</v>
      </c>
      <c r="AL122" s="96">
        <f>IF(Z122=0,0,COUNTIFS('VÍNCULOS_CDF'!$D$6:$D$1005,A122,'VÍNCULOS_CDF'!$Y$6:$Y$1005,1))</f>
        <v>0</v>
      </c>
      <c r="AM122" s="96">
        <f>IF(Z122=0,0,COUNTIFS('RECEBIMENTOS'!$B$6:$B$1005,A122,'RECEBIMENTOS'!$Q$6:$Q$1005,1))</f>
        <v>0</v>
      </c>
      <c r="AN122" s="96">
        <f>IF(AND(Z122=1,N(W122)&gt;0,AG122=N(W122)),1,0)</f>
        <v>0</v>
      </c>
      <c r="AO122" s="96">
        <f>IF(AND(Z122=1,N(W122)&gt;0,AI122=N(W122)),1,0)</f>
        <v>0</v>
      </c>
      <c r="AP122" s="97">
        <f>IF(Z122=0,0,_xlfn.MAXIFS('RECEBIMENTOS'!$E$6:$E$1005,'RECEBIMENTOS'!$B$6:$B$1005,A122))</f>
        <v>0</v>
      </c>
      <c r="AQ122" s="97" t="str">
        <f>IF(T122="","",IF(T122="RECEBIMENTO NÃO CONFIRMADO",IF(ISNUMBER(F122),F122,IF(ISNUMBER(E122),E122,"")),IF(OR(T122="CDF NÃO LOCALIZADO",T122="VÍNCULO INCOMPLETO",T122="CDF A CONFERIR"),IF(AP122&gt;0,AP122,IF(ISNUMBER(E122),E122,"")),IF(ISNUMBER(E122),E122,""))))</f>
        <v/>
      </c>
      <c r="AR122" s="96">
        <f>IF(NOT(ISNUMBER(U122)),0,IF(T122="RECEBIMENTO NÃO CONFIRMADO",IF(AND(ISNUMBER(cfg_rec),U122&gt;cfg_rec),1,0),IF(OR(T122="CDF NÃO LOCALIZADO",T122="VÍNCULO INCOMPLETO",T122="CDF A CONFERIR"),IF(AND(ISNUMBER(cfg_cdf),U122&gt;cfg_cdf),1,0),0)))</f>
        <v>0</v>
      </c>
      <c r="AS122" s="96" t="str">
        <f>IF(T122="","",IF(AR122=1,"Alta",IFERROR(INDEX(cfg_pp,MATCH(T122,cfg_pt,0))&amp;"","Média")))</f>
        <v/>
      </c>
      <c r="AT122" s="96" t="str">
        <f>IF(T122="","",IFERROR(INDEX(cfg_pv,MATCH(T122,cfg_pt,0))&amp;"",""))</f>
        <v/>
      </c>
      <c r="AU122" s="96" t="str">
        <f>IF(T122="","",IF(AS122="Alta",1,IF(AS122="Média",2,3))*1000000000+(999999-IF(ISNUMBER(U122),MIN(U122,999999),0))*1000+117)</f>
        <v/>
      </c>
      <c r="AV122" s="96">
        <f>IF(T122&lt;&gt;"",1,0)</f>
        <v>0</v>
      </c>
      <c r="AW122" s="96" t="str">
        <f>IF(Z122=0,"",IF(AA122=1,"Cancelamento informado; ","")&amp;IF(AE122=1,"Campos essenciais ou itens faltando; ","")&amp;IF(AC122=1,"Possível duplicidade do número; ","")&amp;IF(AD122=1,"Cadastro ou datas a revisar; ","")&amp;IF(AF122&gt;0,"Item de resíduo com dado a revisar; ","")&amp;IF(AH122&gt;0,"Diferença de quantidade a analisar; ","")&amp;IF(AK122&gt;0,"Recebimento com alerta; ","")&amp;IF(AL122&gt;0,"Vínculo de CDF com alerta; ","")&amp;IF(AND(AA122=0,AN122=0),"Recebimento não confirmado; ","")&amp;IF(AND(AA122=0,AN122=1,AO122=0),"CDF pendente ou a conferir; ",""))</f>
        <v/>
      </c>
      <c r="AX122" s="96">
        <f>IF(Z122=0,0,IF(AND(OR(f_ini="",AND(ISNUMBER(E122),E122&gt;=f_ini)),OR(f_fim="",AND(ISNUMBER(E122),E122&lt;=f_fim)),OR(f_un="",f_un="(Todas)",G122=f_un),OR(f_tr="",f_tr="(Todos)",H122=f_tr),OR(f_de="",f_de="(Todos)",I122=f_de),OR(f_sit="",f_sit="(Todas)",S122=f_sit)),1,0))</f>
        <v>0</v>
      </c>
      <c r="AY122" s="96">
        <f>IF(AX122=0,0,IF(OR(f_res="",f_res="(Todos)"),1,IF(COUNTIFS('ITENS_MTR'!$S$6:$S$1005,A122,'ITENS_MTR'!$C$6:$C$1005,f_res)&gt;0,1,0)))</f>
        <v>0</v>
      </c>
      <c r="AZ122" s="97" t="str">
        <f>IF(ISNUMBER(E122),DATE(YEAR(E122),MONTH(E122),1),"")</f>
        <v/>
      </c>
      <c r="BA122" s="96">
        <f>IF(Z122=0,0,IF(AND(OR(r_ini="",AND(ISNUMBER(E122),E122&gt;=r_ini)),OR(r_fim="",AND(ISNUMBER(E122),E122&lt;=r_fim)),OR(r_un="",r_un="(Todas)",G122=r_un),OR(r_de="",r_de="(Todos)",I122=r_de)),1,0))</f>
        <v>0</v>
      </c>
      <c r="BB122" s="96" t="str">
        <f>IF(BA122=1,COUNTIF($BA$6:BA122,1),"")</f>
        <v/>
      </c>
      <c r="BC122" s="96" t="str">
        <f>IF(AND(AU122&lt;&gt;"",OR(r_un="",r_un="(Todas)",G122=r_un),OR(r_de="",r_de="(Todos)",I122=r_de)),AU122,"")</f>
        <v/>
      </c>
      <c r="BD122" s="96" t="str">
        <f>IF(Z122=1,A122&amp;" | nº "&amp;IF(B122="","(sem número)",B122)&amp;" | "&amp;IF(G122="","(sem unidade)",G122),"")</f>
        <v/>
      </c>
      <c r="BE122" s="96" t="str">
        <f>IF(Z122=1,COUNTIF($Z$6:Z122,1),"")</f>
        <v/>
      </c>
      <c r="BF122" s="96" t="str">
        <f>IF(T122="","",IF(T122="RECEBIMENTO NÃO CONFIRMADO","Transp.: "&amp;H122&amp;" | Dest.: "&amp;I122,IF(OR(T122="CDF NÃO LOCALIZADO",T122="VÍNCULO INCOMPLETO",T122="CDF A CONFERIR"),"Dest.: "&amp;I122,"Gerador: "&amp;G122)))</f>
        <v/>
      </c>
    </row>
    <row r="123">
      <c r="A123" s="89" t="inlineStr">
        <is>
          <t>MTR-000118</t>
        </is>
      </c>
      <c r="B123" s="90" t="n"/>
      <c r="C123" s="91" t="n"/>
      <c r="D123" s="91" t="n"/>
      <c r="E123" s="92" t="n"/>
      <c r="F123" s="92" t="n"/>
      <c r="G123" s="91" t="n"/>
      <c r="H123" s="91" t="n"/>
      <c r="I123" s="91" t="n"/>
      <c r="J123" s="91" t="n"/>
      <c r="K123" s="91" t="n"/>
      <c r="L123" s="92" t="n"/>
      <c r="M123" s="91" t="n"/>
      <c r="N123" s="91" t="n"/>
      <c r="O123" s="91" t="n"/>
      <c r="P123" s="93" t="str">
        <f>IF(Z123=0,"",SUMIFS('ITENS_MTR'!$I$6:$I$1005,'ITENS_MTR'!$S$6:$S$1005,A123,'ITENS_MTR'!$Y$6:$Y$1005,1))</f>
        <v/>
      </c>
      <c r="Q123" s="93" t="str">
        <f>IF(Z123=0,"",SUMIFS('RECEBIMENTOS'!$H$6:$H$1005,'RECEBIMENTOS'!$B$6:$B$1005,A123,'RECEBIMENTOS'!$X$6:$X$1005,1))</f>
        <v/>
      </c>
      <c r="R123" s="93" t="str">
        <f>IF(Z123=0,"",SUMIFS('VÍNCULOS_CDF'!$H$6:$H$1005,'VÍNCULOS_CDF'!$D$6:$D$1005,A123,'VÍNCULOS_CDF'!$V$6:$V$1005,1))</f>
        <v/>
      </c>
      <c r="S123" s="94" t="str">
        <f>IF(Z123=0,"",IF(AA123=1,"Cancelado (informado)",IF(AE123=1,"Cadastro incompleto",IF(OR(AC123=1,AD123=1,AF123&gt;0,AH123&gt;0,AK123&gt;0,AL123&gt;0),"Informação a revisar",IF(AN123=0,"Aguardando recebimento",IF(N(R123)=0,"Aguardando CDF",IF(AJ123&lt;N(W123),"Vínculo de CDF parcial",IF(AO123=0,"CDF localizado, a conferir","Documentação conferida"))))))))</f>
        <v/>
      </c>
      <c r="T123" s="94" t="str">
        <f>IF(Z123=0,"",IF(S123="Cadastro incompleto","MTR INCOMPLETO",IF(S123="Informação a revisar",IF(AND(AH123&gt;0,AC123=0,AD123=0,AF123=0,AK123=0,AL123=0),"QUANTIDADE A REVISAR","IDENTIFICAÇÃO A REVISAR"),IF(S123="Aguardando recebimento","RECEBIMENTO NÃO CONFIRMADO",IF(S123="Aguardando CDF","CDF NÃO LOCALIZADO",IF(S123="Vínculo de CDF parcial","VÍNCULO INCOMPLETO",IF(S123="CDF localizado, a conferir","CDF A CONFERIR","")))))))</f>
        <v/>
      </c>
      <c r="U123" s="95" t="str">
        <f>IF(T123="","",IF(AQ123="","Não calculável",IF(AQ123&gt;TODAY(),"Data futura",TODAY()-AQ123)))</f>
        <v/>
      </c>
      <c r="V123" s="93" t="str">
        <f>IF(Z123=0,"",SUMIFS('RECEBIMENTOS'!$H$6:$H$1005,'RECEBIMENTOS'!$B$6:$B$1005,A123,'RECEBIMENTOS'!$Z$6:$Z$1005,1))</f>
        <v/>
      </c>
      <c r="W123" s="95" t="str">
        <f>IF(Z123=0,"",COUNTIFS('ITENS_MTR'!$S$6:$S$1005,A123,'ITENS_MTR'!$R$6:$R$1005,1))</f>
        <v/>
      </c>
      <c r="X123" s="94" t="str">
        <f>IF(AC123=1,"POSSÍVEL DUPLICIDADE","")</f>
        <v/>
      </c>
      <c r="Y123" s="94" t="str">
        <f>IF(Z123=0,"",IF(AW123="","Nenhuma",LEFT(AW123,LEN(AW123)-2)))</f>
        <v/>
      </c>
      <c r="Z123" s="96">
        <f>IF(COUNTA(B123:O123)&gt;0,1,0)</f>
        <v>0</v>
      </c>
      <c r="AA123" s="96">
        <f>IF(AND(Z123=1,K123&lt;&gt;""),IF(TRIM(K123)=TRIM(cfg_cancel),1,0),0)</f>
        <v>0</v>
      </c>
      <c r="AB123" s="96" t="str">
        <f>IF(AND(Z123=1,B123&lt;&gt;""),C123&amp;"|"&amp;D123&amp;"|"&amp;G123&amp;"|"&amp;TRIM(B123),"")</f>
        <v/>
      </c>
      <c r="AC123" s="96">
        <f>IF(AB123="",0,IF(SUMPRODUCT(--($AB$6:$AB$505=AB123))&gt;1,1,0))</f>
        <v>0</v>
      </c>
      <c r="AD123" s="96">
        <f>IF(Z123=0,0,IF(OR(AND(G123&lt;&gt;"",ISNA(MATCH(G123,'CAD_UNIDADES'!$C$6:$C$105,0))),AND(H123&lt;&gt;"",ISNA(MATCH(H123,cmp_transp,0))),AND(I123&lt;&gt;"",ISNA(MATCH(I123,cmp_dest,0))),AND(E123&lt;&gt;"",NOT(ISNUMBER(E123))),AND(F123&lt;&gt;"",NOT(ISNUMBER(F123))),AND(ISNUMBER(E123),ISNUMBER(F123),F123&lt;E123)),1,0))</f>
        <v>0</v>
      </c>
      <c r="AE123" s="96">
        <f>IF(Z123=0,0,IF(OR(B123="",C123="",E123="",G123="",H123="",I123="",N(W123)=0),1,0))</f>
        <v>0</v>
      </c>
      <c r="AF123" s="96">
        <f>IF(Z123=0,0,COUNTIFS('ITENS_MTR'!$S$6:$S$1005,A123,'ITENS_MTR'!$AI$6:$AI$1005,1))</f>
        <v>0</v>
      </c>
      <c r="AG123" s="96">
        <f>IF(Z123=0,0,COUNTIFS('ITENS_MTR'!$S$6:$S$1005,A123,'ITENS_MTR'!$AJ$6:$AJ$1005,1))</f>
        <v>0</v>
      </c>
      <c r="AH123" s="96">
        <f>IF(Z123=0,0,COUNTIFS('ITENS_MTR'!$S$6:$S$1005,A123,'ITENS_MTR'!$AM$6:$AM$1005,1))</f>
        <v>0</v>
      </c>
      <c r="AI123" s="96">
        <f>IF(Z123=0,0,COUNTIFS('ITENS_MTR'!$S$6:$S$1005,A123,'ITENS_MTR'!$AO$6:$AO$1005,1))</f>
        <v>0</v>
      </c>
      <c r="AJ123" s="96">
        <f>IF(Z123=0,0,COUNTIFS('ITENS_MTR'!$S$6:$S$1005,A123,'ITENS_MTR'!$AN$6:$AN$1005,1))</f>
        <v>0</v>
      </c>
      <c r="AK123" s="96">
        <f>IF(Z123=0,0,COUNTIFS('RECEBIMENTOS'!$B$6:$B$1005,A123,'RECEBIMENTOS'!$Y$6:$Y$1005,1))</f>
        <v>0</v>
      </c>
      <c r="AL123" s="96">
        <f>IF(Z123=0,0,COUNTIFS('VÍNCULOS_CDF'!$D$6:$D$1005,A123,'VÍNCULOS_CDF'!$Y$6:$Y$1005,1))</f>
        <v>0</v>
      </c>
      <c r="AM123" s="96">
        <f>IF(Z123=0,0,COUNTIFS('RECEBIMENTOS'!$B$6:$B$1005,A123,'RECEBIMENTOS'!$Q$6:$Q$1005,1))</f>
        <v>0</v>
      </c>
      <c r="AN123" s="96">
        <f>IF(AND(Z123=1,N(W123)&gt;0,AG123=N(W123)),1,0)</f>
        <v>0</v>
      </c>
      <c r="AO123" s="96">
        <f>IF(AND(Z123=1,N(W123)&gt;0,AI123=N(W123)),1,0)</f>
        <v>0</v>
      </c>
      <c r="AP123" s="97">
        <f>IF(Z123=0,0,_xlfn.MAXIFS('RECEBIMENTOS'!$E$6:$E$1005,'RECEBIMENTOS'!$B$6:$B$1005,A123))</f>
        <v>0</v>
      </c>
      <c r="AQ123" s="97" t="str">
        <f>IF(T123="","",IF(T123="RECEBIMENTO NÃO CONFIRMADO",IF(ISNUMBER(F123),F123,IF(ISNUMBER(E123),E123,"")),IF(OR(T123="CDF NÃO LOCALIZADO",T123="VÍNCULO INCOMPLETO",T123="CDF A CONFERIR"),IF(AP123&gt;0,AP123,IF(ISNUMBER(E123),E123,"")),IF(ISNUMBER(E123),E123,""))))</f>
        <v/>
      </c>
      <c r="AR123" s="96">
        <f>IF(NOT(ISNUMBER(U123)),0,IF(T123="RECEBIMENTO NÃO CONFIRMADO",IF(AND(ISNUMBER(cfg_rec),U123&gt;cfg_rec),1,0),IF(OR(T123="CDF NÃO LOCALIZADO",T123="VÍNCULO INCOMPLETO",T123="CDF A CONFERIR"),IF(AND(ISNUMBER(cfg_cdf),U123&gt;cfg_cdf),1,0),0)))</f>
        <v>0</v>
      </c>
      <c r="AS123" s="96" t="str">
        <f>IF(T123="","",IF(AR123=1,"Alta",IFERROR(INDEX(cfg_pp,MATCH(T123,cfg_pt,0))&amp;"","Média")))</f>
        <v/>
      </c>
      <c r="AT123" s="96" t="str">
        <f>IF(T123="","",IFERROR(INDEX(cfg_pv,MATCH(T123,cfg_pt,0))&amp;"",""))</f>
        <v/>
      </c>
      <c r="AU123" s="96" t="str">
        <f>IF(T123="","",IF(AS123="Alta",1,IF(AS123="Média",2,3))*1000000000+(999999-IF(ISNUMBER(U123),MIN(U123,999999),0))*1000+118)</f>
        <v/>
      </c>
      <c r="AV123" s="96">
        <f>IF(T123&lt;&gt;"",1,0)</f>
        <v>0</v>
      </c>
      <c r="AW123" s="96" t="str">
        <f>IF(Z123=0,"",IF(AA123=1,"Cancelamento informado; ","")&amp;IF(AE123=1,"Campos essenciais ou itens faltando; ","")&amp;IF(AC123=1,"Possível duplicidade do número; ","")&amp;IF(AD123=1,"Cadastro ou datas a revisar; ","")&amp;IF(AF123&gt;0,"Item de resíduo com dado a revisar; ","")&amp;IF(AH123&gt;0,"Diferença de quantidade a analisar; ","")&amp;IF(AK123&gt;0,"Recebimento com alerta; ","")&amp;IF(AL123&gt;0,"Vínculo de CDF com alerta; ","")&amp;IF(AND(AA123=0,AN123=0),"Recebimento não confirmado; ","")&amp;IF(AND(AA123=0,AN123=1,AO123=0),"CDF pendente ou a conferir; ",""))</f>
        <v/>
      </c>
      <c r="AX123" s="96">
        <f>IF(Z123=0,0,IF(AND(OR(f_ini="",AND(ISNUMBER(E123),E123&gt;=f_ini)),OR(f_fim="",AND(ISNUMBER(E123),E123&lt;=f_fim)),OR(f_un="",f_un="(Todas)",G123=f_un),OR(f_tr="",f_tr="(Todos)",H123=f_tr),OR(f_de="",f_de="(Todos)",I123=f_de),OR(f_sit="",f_sit="(Todas)",S123=f_sit)),1,0))</f>
        <v>0</v>
      </c>
      <c r="AY123" s="96">
        <f>IF(AX123=0,0,IF(OR(f_res="",f_res="(Todos)"),1,IF(COUNTIFS('ITENS_MTR'!$S$6:$S$1005,A123,'ITENS_MTR'!$C$6:$C$1005,f_res)&gt;0,1,0)))</f>
        <v>0</v>
      </c>
      <c r="AZ123" s="97" t="str">
        <f>IF(ISNUMBER(E123),DATE(YEAR(E123),MONTH(E123),1),"")</f>
        <v/>
      </c>
      <c r="BA123" s="96">
        <f>IF(Z123=0,0,IF(AND(OR(r_ini="",AND(ISNUMBER(E123),E123&gt;=r_ini)),OR(r_fim="",AND(ISNUMBER(E123),E123&lt;=r_fim)),OR(r_un="",r_un="(Todas)",G123=r_un),OR(r_de="",r_de="(Todos)",I123=r_de)),1,0))</f>
        <v>0</v>
      </c>
      <c r="BB123" s="96" t="str">
        <f>IF(BA123=1,COUNTIF($BA$6:BA123,1),"")</f>
        <v/>
      </c>
      <c r="BC123" s="96" t="str">
        <f>IF(AND(AU123&lt;&gt;"",OR(r_un="",r_un="(Todas)",G123=r_un),OR(r_de="",r_de="(Todos)",I123=r_de)),AU123,"")</f>
        <v/>
      </c>
      <c r="BD123" s="96" t="str">
        <f>IF(Z123=1,A123&amp;" | nº "&amp;IF(B123="","(sem número)",B123)&amp;" | "&amp;IF(G123="","(sem unidade)",G123),"")</f>
        <v/>
      </c>
      <c r="BE123" s="96" t="str">
        <f>IF(Z123=1,COUNTIF($Z$6:Z123,1),"")</f>
        <v/>
      </c>
      <c r="BF123" s="96" t="str">
        <f>IF(T123="","",IF(T123="RECEBIMENTO NÃO CONFIRMADO","Transp.: "&amp;H123&amp;" | Dest.: "&amp;I123,IF(OR(T123="CDF NÃO LOCALIZADO",T123="VÍNCULO INCOMPLETO",T123="CDF A CONFERIR"),"Dest.: "&amp;I123,"Gerador: "&amp;G123)))</f>
        <v/>
      </c>
    </row>
    <row r="124">
      <c r="A124" s="89" t="inlineStr">
        <is>
          <t>MTR-000119</t>
        </is>
      </c>
      <c r="B124" s="90" t="n"/>
      <c r="C124" s="91" t="n"/>
      <c r="D124" s="91" t="n"/>
      <c r="E124" s="92" t="n"/>
      <c r="F124" s="92" t="n"/>
      <c r="G124" s="91" t="n"/>
      <c r="H124" s="91" t="n"/>
      <c r="I124" s="91" t="n"/>
      <c r="J124" s="91" t="n"/>
      <c r="K124" s="91" t="n"/>
      <c r="L124" s="92" t="n"/>
      <c r="M124" s="91" t="n"/>
      <c r="N124" s="91" t="n"/>
      <c r="O124" s="91" t="n"/>
      <c r="P124" s="93" t="str">
        <f>IF(Z124=0,"",SUMIFS('ITENS_MTR'!$I$6:$I$1005,'ITENS_MTR'!$S$6:$S$1005,A124,'ITENS_MTR'!$Y$6:$Y$1005,1))</f>
        <v/>
      </c>
      <c r="Q124" s="93" t="str">
        <f>IF(Z124=0,"",SUMIFS('RECEBIMENTOS'!$H$6:$H$1005,'RECEBIMENTOS'!$B$6:$B$1005,A124,'RECEBIMENTOS'!$X$6:$X$1005,1))</f>
        <v/>
      </c>
      <c r="R124" s="93" t="str">
        <f>IF(Z124=0,"",SUMIFS('VÍNCULOS_CDF'!$H$6:$H$1005,'VÍNCULOS_CDF'!$D$6:$D$1005,A124,'VÍNCULOS_CDF'!$V$6:$V$1005,1))</f>
        <v/>
      </c>
      <c r="S124" s="94" t="str">
        <f>IF(Z124=0,"",IF(AA124=1,"Cancelado (informado)",IF(AE124=1,"Cadastro incompleto",IF(OR(AC124=1,AD124=1,AF124&gt;0,AH124&gt;0,AK124&gt;0,AL124&gt;0),"Informação a revisar",IF(AN124=0,"Aguardando recebimento",IF(N(R124)=0,"Aguardando CDF",IF(AJ124&lt;N(W124),"Vínculo de CDF parcial",IF(AO124=0,"CDF localizado, a conferir","Documentação conferida"))))))))</f>
        <v/>
      </c>
      <c r="T124" s="94" t="str">
        <f>IF(Z124=0,"",IF(S124="Cadastro incompleto","MTR INCOMPLETO",IF(S124="Informação a revisar",IF(AND(AH124&gt;0,AC124=0,AD124=0,AF124=0,AK124=0,AL124=0),"QUANTIDADE A REVISAR","IDENTIFICAÇÃO A REVISAR"),IF(S124="Aguardando recebimento","RECEBIMENTO NÃO CONFIRMADO",IF(S124="Aguardando CDF","CDF NÃO LOCALIZADO",IF(S124="Vínculo de CDF parcial","VÍNCULO INCOMPLETO",IF(S124="CDF localizado, a conferir","CDF A CONFERIR","")))))))</f>
        <v/>
      </c>
      <c r="U124" s="95" t="str">
        <f>IF(T124="","",IF(AQ124="","Não calculável",IF(AQ124&gt;TODAY(),"Data futura",TODAY()-AQ124)))</f>
        <v/>
      </c>
      <c r="V124" s="93" t="str">
        <f>IF(Z124=0,"",SUMIFS('RECEBIMENTOS'!$H$6:$H$1005,'RECEBIMENTOS'!$B$6:$B$1005,A124,'RECEBIMENTOS'!$Z$6:$Z$1005,1))</f>
        <v/>
      </c>
      <c r="W124" s="95" t="str">
        <f>IF(Z124=0,"",COUNTIFS('ITENS_MTR'!$S$6:$S$1005,A124,'ITENS_MTR'!$R$6:$R$1005,1))</f>
        <v/>
      </c>
      <c r="X124" s="94" t="str">
        <f>IF(AC124=1,"POSSÍVEL DUPLICIDADE","")</f>
        <v/>
      </c>
      <c r="Y124" s="94" t="str">
        <f>IF(Z124=0,"",IF(AW124="","Nenhuma",LEFT(AW124,LEN(AW124)-2)))</f>
        <v/>
      </c>
      <c r="Z124" s="96">
        <f>IF(COUNTA(B124:O124)&gt;0,1,0)</f>
        <v>0</v>
      </c>
      <c r="AA124" s="96">
        <f>IF(AND(Z124=1,K124&lt;&gt;""),IF(TRIM(K124)=TRIM(cfg_cancel),1,0),0)</f>
        <v>0</v>
      </c>
      <c r="AB124" s="96" t="str">
        <f>IF(AND(Z124=1,B124&lt;&gt;""),C124&amp;"|"&amp;D124&amp;"|"&amp;G124&amp;"|"&amp;TRIM(B124),"")</f>
        <v/>
      </c>
      <c r="AC124" s="96">
        <f>IF(AB124="",0,IF(SUMPRODUCT(--($AB$6:$AB$505=AB124))&gt;1,1,0))</f>
        <v>0</v>
      </c>
      <c r="AD124" s="96">
        <f>IF(Z124=0,0,IF(OR(AND(G124&lt;&gt;"",ISNA(MATCH(G124,'CAD_UNIDADES'!$C$6:$C$105,0))),AND(H124&lt;&gt;"",ISNA(MATCH(H124,cmp_transp,0))),AND(I124&lt;&gt;"",ISNA(MATCH(I124,cmp_dest,0))),AND(E124&lt;&gt;"",NOT(ISNUMBER(E124))),AND(F124&lt;&gt;"",NOT(ISNUMBER(F124))),AND(ISNUMBER(E124),ISNUMBER(F124),F124&lt;E124)),1,0))</f>
        <v>0</v>
      </c>
      <c r="AE124" s="96">
        <f>IF(Z124=0,0,IF(OR(B124="",C124="",E124="",G124="",H124="",I124="",N(W124)=0),1,0))</f>
        <v>0</v>
      </c>
      <c r="AF124" s="96">
        <f>IF(Z124=0,0,COUNTIFS('ITENS_MTR'!$S$6:$S$1005,A124,'ITENS_MTR'!$AI$6:$AI$1005,1))</f>
        <v>0</v>
      </c>
      <c r="AG124" s="96">
        <f>IF(Z124=0,0,COUNTIFS('ITENS_MTR'!$S$6:$S$1005,A124,'ITENS_MTR'!$AJ$6:$AJ$1005,1))</f>
        <v>0</v>
      </c>
      <c r="AH124" s="96">
        <f>IF(Z124=0,0,COUNTIFS('ITENS_MTR'!$S$6:$S$1005,A124,'ITENS_MTR'!$AM$6:$AM$1005,1))</f>
        <v>0</v>
      </c>
      <c r="AI124" s="96">
        <f>IF(Z124=0,0,COUNTIFS('ITENS_MTR'!$S$6:$S$1005,A124,'ITENS_MTR'!$AO$6:$AO$1005,1))</f>
        <v>0</v>
      </c>
      <c r="AJ124" s="96">
        <f>IF(Z124=0,0,COUNTIFS('ITENS_MTR'!$S$6:$S$1005,A124,'ITENS_MTR'!$AN$6:$AN$1005,1))</f>
        <v>0</v>
      </c>
      <c r="AK124" s="96">
        <f>IF(Z124=0,0,COUNTIFS('RECEBIMENTOS'!$B$6:$B$1005,A124,'RECEBIMENTOS'!$Y$6:$Y$1005,1))</f>
        <v>0</v>
      </c>
      <c r="AL124" s="96">
        <f>IF(Z124=0,0,COUNTIFS('VÍNCULOS_CDF'!$D$6:$D$1005,A124,'VÍNCULOS_CDF'!$Y$6:$Y$1005,1))</f>
        <v>0</v>
      </c>
      <c r="AM124" s="96">
        <f>IF(Z124=0,0,COUNTIFS('RECEBIMENTOS'!$B$6:$B$1005,A124,'RECEBIMENTOS'!$Q$6:$Q$1005,1))</f>
        <v>0</v>
      </c>
      <c r="AN124" s="96">
        <f>IF(AND(Z124=1,N(W124)&gt;0,AG124=N(W124)),1,0)</f>
        <v>0</v>
      </c>
      <c r="AO124" s="96">
        <f>IF(AND(Z124=1,N(W124)&gt;0,AI124=N(W124)),1,0)</f>
        <v>0</v>
      </c>
      <c r="AP124" s="97">
        <f>IF(Z124=0,0,_xlfn.MAXIFS('RECEBIMENTOS'!$E$6:$E$1005,'RECEBIMENTOS'!$B$6:$B$1005,A124))</f>
        <v>0</v>
      </c>
      <c r="AQ124" s="97" t="str">
        <f>IF(T124="","",IF(T124="RECEBIMENTO NÃO CONFIRMADO",IF(ISNUMBER(F124),F124,IF(ISNUMBER(E124),E124,"")),IF(OR(T124="CDF NÃO LOCALIZADO",T124="VÍNCULO INCOMPLETO",T124="CDF A CONFERIR"),IF(AP124&gt;0,AP124,IF(ISNUMBER(E124),E124,"")),IF(ISNUMBER(E124),E124,""))))</f>
        <v/>
      </c>
      <c r="AR124" s="96">
        <f>IF(NOT(ISNUMBER(U124)),0,IF(T124="RECEBIMENTO NÃO CONFIRMADO",IF(AND(ISNUMBER(cfg_rec),U124&gt;cfg_rec),1,0),IF(OR(T124="CDF NÃO LOCALIZADO",T124="VÍNCULO INCOMPLETO",T124="CDF A CONFERIR"),IF(AND(ISNUMBER(cfg_cdf),U124&gt;cfg_cdf),1,0),0)))</f>
        <v>0</v>
      </c>
      <c r="AS124" s="96" t="str">
        <f>IF(T124="","",IF(AR124=1,"Alta",IFERROR(INDEX(cfg_pp,MATCH(T124,cfg_pt,0))&amp;"","Média")))</f>
        <v/>
      </c>
      <c r="AT124" s="96" t="str">
        <f>IF(T124="","",IFERROR(INDEX(cfg_pv,MATCH(T124,cfg_pt,0))&amp;"",""))</f>
        <v/>
      </c>
      <c r="AU124" s="96" t="str">
        <f>IF(T124="","",IF(AS124="Alta",1,IF(AS124="Média",2,3))*1000000000+(999999-IF(ISNUMBER(U124),MIN(U124,999999),0))*1000+119)</f>
        <v/>
      </c>
      <c r="AV124" s="96">
        <f>IF(T124&lt;&gt;"",1,0)</f>
        <v>0</v>
      </c>
      <c r="AW124" s="96" t="str">
        <f>IF(Z124=0,"",IF(AA124=1,"Cancelamento informado; ","")&amp;IF(AE124=1,"Campos essenciais ou itens faltando; ","")&amp;IF(AC124=1,"Possível duplicidade do número; ","")&amp;IF(AD124=1,"Cadastro ou datas a revisar; ","")&amp;IF(AF124&gt;0,"Item de resíduo com dado a revisar; ","")&amp;IF(AH124&gt;0,"Diferença de quantidade a analisar; ","")&amp;IF(AK124&gt;0,"Recebimento com alerta; ","")&amp;IF(AL124&gt;0,"Vínculo de CDF com alerta; ","")&amp;IF(AND(AA124=0,AN124=0),"Recebimento não confirmado; ","")&amp;IF(AND(AA124=0,AN124=1,AO124=0),"CDF pendente ou a conferir; ",""))</f>
        <v/>
      </c>
      <c r="AX124" s="96">
        <f>IF(Z124=0,0,IF(AND(OR(f_ini="",AND(ISNUMBER(E124),E124&gt;=f_ini)),OR(f_fim="",AND(ISNUMBER(E124),E124&lt;=f_fim)),OR(f_un="",f_un="(Todas)",G124=f_un),OR(f_tr="",f_tr="(Todos)",H124=f_tr),OR(f_de="",f_de="(Todos)",I124=f_de),OR(f_sit="",f_sit="(Todas)",S124=f_sit)),1,0))</f>
        <v>0</v>
      </c>
      <c r="AY124" s="96">
        <f>IF(AX124=0,0,IF(OR(f_res="",f_res="(Todos)"),1,IF(COUNTIFS('ITENS_MTR'!$S$6:$S$1005,A124,'ITENS_MTR'!$C$6:$C$1005,f_res)&gt;0,1,0)))</f>
        <v>0</v>
      </c>
      <c r="AZ124" s="97" t="str">
        <f>IF(ISNUMBER(E124),DATE(YEAR(E124),MONTH(E124),1),"")</f>
        <v/>
      </c>
      <c r="BA124" s="96">
        <f>IF(Z124=0,0,IF(AND(OR(r_ini="",AND(ISNUMBER(E124),E124&gt;=r_ini)),OR(r_fim="",AND(ISNUMBER(E124),E124&lt;=r_fim)),OR(r_un="",r_un="(Todas)",G124=r_un),OR(r_de="",r_de="(Todos)",I124=r_de)),1,0))</f>
        <v>0</v>
      </c>
      <c r="BB124" s="96" t="str">
        <f>IF(BA124=1,COUNTIF($BA$6:BA124,1),"")</f>
        <v/>
      </c>
      <c r="BC124" s="96" t="str">
        <f>IF(AND(AU124&lt;&gt;"",OR(r_un="",r_un="(Todas)",G124=r_un),OR(r_de="",r_de="(Todos)",I124=r_de)),AU124,"")</f>
        <v/>
      </c>
      <c r="BD124" s="96" t="str">
        <f>IF(Z124=1,A124&amp;" | nº "&amp;IF(B124="","(sem número)",B124)&amp;" | "&amp;IF(G124="","(sem unidade)",G124),"")</f>
        <v/>
      </c>
      <c r="BE124" s="96" t="str">
        <f>IF(Z124=1,COUNTIF($Z$6:Z124,1),"")</f>
        <v/>
      </c>
      <c r="BF124" s="96" t="str">
        <f>IF(T124="","",IF(T124="RECEBIMENTO NÃO CONFIRMADO","Transp.: "&amp;H124&amp;" | Dest.: "&amp;I124,IF(OR(T124="CDF NÃO LOCALIZADO",T124="VÍNCULO INCOMPLETO",T124="CDF A CONFERIR"),"Dest.: "&amp;I124,"Gerador: "&amp;G124)))</f>
        <v/>
      </c>
    </row>
    <row r="125">
      <c r="A125" s="89" t="inlineStr">
        <is>
          <t>MTR-000120</t>
        </is>
      </c>
      <c r="B125" s="90" t="n"/>
      <c r="C125" s="91" t="n"/>
      <c r="D125" s="91" t="n"/>
      <c r="E125" s="92" t="n"/>
      <c r="F125" s="92" t="n"/>
      <c r="G125" s="91" t="n"/>
      <c r="H125" s="91" t="n"/>
      <c r="I125" s="91" t="n"/>
      <c r="J125" s="91" t="n"/>
      <c r="K125" s="91" t="n"/>
      <c r="L125" s="92" t="n"/>
      <c r="M125" s="91" t="n"/>
      <c r="N125" s="91" t="n"/>
      <c r="O125" s="91" t="n"/>
      <c r="P125" s="93" t="str">
        <f>IF(Z125=0,"",SUMIFS('ITENS_MTR'!$I$6:$I$1005,'ITENS_MTR'!$S$6:$S$1005,A125,'ITENS_MTR'!$Y$6:$Y$1005,1))</f>
        <v/>
      </c>
      <c r="Q125" s="93" t="str">
        <f>IF(Z125=0,"",SUMIFS('RECEBIMENTOS'!$H$6:$H$1005,'RECEBIMENTOS'!$B$6:$B$1005,A125,'RECEBIMENTOS'!$X$6:$X$1005,1))</f>
        <v/>
      </c>
      <c r="R125" s="93" t="str">
        <f>IF(Z125=0,"",SUMIFS('VÍNCULOS_CDF'!$H$6:$H$1005,'VÍNCULOS_CDF'!$D$6:$D$1005,A125,'VÍNCULOS_CDF'!$V$6:$V$1005,1))</f>
        <v/>
      </c>
      <c r="S125" s="94" t="str">
        <f>IF(Z125=0,"",IF(AA125=1,"Cancelado (informado)",IF(AE125=1,"Cadastro incompleto",IF(OR(AC125=1,AD125=1,AF125&gt;0,AH125&gt;0,AK125&gt;0,AL125&gt;0),"Informação a revisar",IF(AN125=0,"Aguardando recebimento",IF(N(R125)=0,"Aguardando CDF",IF(AJ125&lt;N(W125),"Vínculo de CDF parcial",IF(AO125=0,"CDF localizado, a conferir","Documentação conferida"))))))))</f>
        <v/>
      </c>
      <c r="T125" s="94" t="str">
        <f>IF(Z125=0,"",IF(S125="Cadastro incompleto","MTR INCOMPLETO",IF(S125="Informação a revisar",IF(AND(AH125&gt;0,AC125=0,AD125=0,AF125=0,AK125=0,AL125=0),"QUANTIDADE A REVISAR","IDENTIFICAÇÃO A REVISAR"),IF(S125="Aguardando recebimento","RECEBIMENTO NÃO CONFIRMADO",IF(S125="Aguardando CDF","CDF NÃO LOCALIZADO",IF(S125="Vínculo de CDF parcial","VÍNCULO INCOMPLETO",IF(S125="CDF localizado, a conferir","CDF A CONFERIR","")))))))</f>
        <v/>
      </c>
      <c r="U125" s="95" t="str">
        <f>IF(T125="","",IF(AQ125="","Não calculável",IF(AQ125&gt;TODAY(),"Data futura",TODAY()-AQ125)))</f>
        <v/>
      </c>
      <c r="V125" s="93" t="str">
        <f>IF(Z125=0,"",SUMIFS('RECEBIMENTOS'!$H$6:$H$1005,'RECEBIMENTOS'!$B$6:$B$1005,A125,'RECEBIMENTOS'!$Z$6:$Z$1005,1))</f>
        <v/>
      </c>
      <c r="W125" s="95" t="str">
        <f>IF(Z125=0,"",COUNTIFS('ITENS_MTR'!$S$6:$S$1005,A125,'ITENS_MTR'!$R$6:$R$1005,1))</f>
        <v/>
      </c>
      <c r="X125" s="94" t="str">
        <f>IF(AC125=1,"POSSÍVEL DUPLICIDADE","")</f>
        <v/>
      </c>
      <c r="Y125" s="94" t="str">
        <f>IF(Z125=0,"",IF(AW125="","Nenhuma",LEFT(AW125,LEN(AW125)-2)))</f>
        <v/>
      </c>
      <c r="Z125" s="96">
        <f>IF(COUNTA(B125:O125)&gt;0,1,0)</f>
        <v>0</v>
      </c>
      <c r="AA125" s="96">
        <f>IF(AND(Z125=1,K125&lt;&gt;""),IF(TRIM(K125)=TRIM(cfg_cancel),1,0),0)</f>
        <v>0</v>
      </c>
      <c r="AB125" s="96" t="str">
        <f>IF(AND(Z125=1,B125&lt;&gt;""),C125&amp;"|"&amp;D125&amp;"|"&amp;G125&amp;"|"&amp;TRIM(B125),"")</f>
        <v/>
      </c>
      <c r="AC125" s="96">
        <f>IF(AB125="",0,IF(SUMPRODUCT(--($AB$6:$AB$505=AB125))&gt;1,1,0))</f>
        <v>0</v>
      </c>
      <c r="AD125" s="96">
        <f>IF(Z125=0,0,IF(OR(AND(G125&lt;&gt;"",ISNA(MATCH(G125,'CAD_UNIDADES'!$C$6:$C$105,0))),AND(H125&lt;&gt;"",ISNA(MATCH(H125,cmp_transp,0))),AND(I125&lt;&gt;"",ISNA(MATCH(I125,cmp_dest,0))),AND(E125&lt;&gt;"",NOT(ISNUMBER(E125))),AND(F125&lt;&gt;"",NOT(ISNUMBER(F125))),AND(ISNUMBER(E125),ISNUMBER(F125),F125&lt;E125)),1,0))</f>
        <v>0</v>
      </c>
      <c r="AE125" s="96">
        <f>IF(Z125=0,0,IF(OR(B125="",C125="",E125="",G125="",H125="",I125="",N(W125)=0),1,0))</f>
        <v>0</v>
      </c>
      <c r="AF125" s="96">
        <f>IF(Z125=0,0,COUNTIFS('ITENS_MTR'!$S$6:$S$1005,A125,'ITENS_MTR'!$AI$6:$AI$1005,1))</f>
        <v>0</v>
      </c>
      <c r="AG125" s="96">
        <f>IF(Z125=0,0,COUNTIFS('ITENS_MTR'!$S$6:$S$1005,A125,'ITENS_MTR'!$AJ$6:$AJ$1005,1))</f>
        <v>0</v>
      </c>
      <c r="AH125" s="96">
        <f>IF(Z125=0,0,COUNTIFS('ITENS_MTR'!$S$6:$S$1005,A125,'ITENS_MTR'!$AM$6:$AM$1005,1))</f>
        <v>0</v>
      </c>
      <c r="AI125" s="96">
        <f>IF(Z125=0,0,COUNTIFS('ITENS_MTR'!$S$6:$S$1005,A125,'ITENS_MTR'!$AO$6:$AO$1005,1))</f>
        <v>0</v>
      </c>
      <c r="AJ125" s="96">
        <f>IF(Z125=0,0,COUNTIFS('ITENS_MTR'!$S$6:$S$1005,A125,'ITENS_MTR'!$AN$6:$AN$1005,1))</f>
        <v>0</v>
      </c>
      <c r="AK125" s="96">
        <f>IF(Z125=0,0,COUNTIFS('RECEBIMENTOS'!$B$6:$B$1005,A125,'RECEBIMENTOS'!$Y$6:$Y$1005,1))</f>
        <v>0</v>
      </c>
      <c r="AL125" s="96">
        <f>IF(Z125=0,0,COUNTIFS('VÍNCULOS_CDF'!$D$6:$D$1005,A125,'VÍNCULOS_CDF'!$Y$6:$Y$1005,1))</f>
        <v>0</v>
      </c>
      <c r="AM125" s="96">
        <f>IF(Z125=0,0,COUNTIFS('RECEBIMENTOS'!$B$6:$B$1005,A125,'RECEBIMENTOS'!$Q$6:$Q$1005,1))</f>
        <v>0</v>
      </c>
      <c r="AN125" s="96">
        <f>IF(AND(Z125=1,N(W125)&gt;0,AG125=N(W125)),1,0)</f>
        <v>0</v>
      </c>
      <c r="AO125" s="96">
        <f>IF(AND(Z125=1,N(W125)&gt;0,AI125=N(W125)),1,0)</f>
        <v>0</v>
      </c>
      <c r="AP125" s="97">
        <f>IF(Z125=0,0,_xlfn.MAXIFS('RECEBIMENTOS'!$E$6:$E$1005,'RECEBIMENTOS'!$B$6:$B$1005,A125))</f>
        <v>0</v>
      </c>
      <c r="AQ125" s="97" t="str">
        <f>IF(T125="","",IF(T125="RECEBIMENTO NÃO CONFIRMADO",IF(ISNUMBER(F125),F125,IF(ISNUMBER(E125),E125,"")),IF(OR(T125="CDF NÃO LOCALIZADO",T125="VÍNCULO INCOMPLETO",T125="CDF A CONFERIR"),IF(AP125&gt;0,AP125,IF(ISNUMBER(E125),E125,"")),IF(ISNUMBER(E125),E125,""))))</f>
        <v/>
      </c>
      <c r="AR125" s="96">
        <f>IF(NOT(ISNUMBER(U125)),0,IF(T125="RECEBIMENTO NÃO CONFIRMADO",IF(AND(ISNUMBER(cfg_rec),U125&gt;cfg_rec),1,0),IF(OR(T125="CDF NÃO LOCALIZADO",T125="VÍNCULO INCOMPLETO",T125="CDF A CONFERIR"),IF(AND(ISNUMBER(cfg_cdf),U125&gt;cfg_cdf),1,0),0)))</f>
        <v>0</v>
      </c>
      <c r="AS125" s="96" t="str">
        <f>IF(T125="","",IF(AR125=1,"Alta",IFERROR(INDEX(cfg_pp,MATCH(T125,cfg_pt,0))&amp;"","Média")))</f>
        <v/>
      </c>
      <c r="AT125" s="96" t="str">
        <f>IF(T125="","",IFERROR(INDEX(cfg_pv,MATCH(T125,cfg_pt,0))&amp;"",""))</f>
        <v/>
      </c>
      <c r="AU125" s="96" t="str">
        <f>IF(T125="","",IF(AS125="Alta",1,IF(AS125="Média",2,3))*1000000000+(999999-IF(ISNUMBER(U125),MIN(U125,999999),0))*1000+120)</f>
        <v/>
      </c>
      <c r="AV125" s="96">
        <f>IF(T125&lt;&gt;"",1,0)</f>
        <v>0</v>
      </c>
      <c r="AW125" s="96" t="str">
        <f>IF(Z125=0,"",IF(AA125=1,"Cancelamento informado; ","")&amp;IF(AE125=1,"Campos essenciais ou itens faltando; ","")&amp;IF(AC125=1,"Possível duplicidade do número; ","")&amp;IF(AD125=1,"Cadastro ou datas a revisar; ","")&amp;IF(AF125&gt;0,"Item de resíduo com dado a revisar; ","")&amp;IF(AH125&gt;0,"Diferença de quantidade a analisar; ","")&amp;IF(AK125&gt;0,"Recebimento com alerta; ","")&amp;IF(AL125&gt;0,"Vínculo de CDF com alerta; ","")&amp;IF(AND(AA125=0,AN125=0),"Recebimento não confirmado; ","")&amp;IF(AND(AA125=0,AN125=1,AO125=0),"CDF pendente ou a conferir; ",""))</f>
        <v/>
      </c>
      <c r="AX125" s="96">
        <f>IF(Z125=0,0,IF(AND(OR(f_ini="",AND(ISNUMBER(E125),E125&gt;=f_ini)),OR(f_fim="",AND(ISNUMBER(E125),E125&lt;=f_fim)),OR(f_un="",f_un="(Todas)",G125=f_un),OR(f_tr="",f_tr="(Todos)",H125=f_tr),OR(f_de="",f_de="(Todos)",I125=f_de),OR(f_sit="",f_sit="(Todas)",S125=f_sit)),1,0))</f>
        <v>0</v>
      </c>
      <c r="AY125" s="96">
        <f>IF(AX125=0,0,IF(OR(f_res="",f_res="(Todos)"),1,IF(COUNTIFS('ITENS_MTR'!$S$6:$S$1005,A125,'ITENS_MTR'!$C$6:$C$1005,f_res)&gt;0,1,0)))</f>
        <v>0</v>
      </c>
      <c r="AZ125" s="97" t="str">
        <f>IF(ISNUMBER(E125),DATE(YEAR(E125),MONTH(E125),1),"")</f>
        <v/>
      </c>
      <c r="BA125" s="96">
        <f>IF(Z125=0,0,IF(AND(OR(r_ini="",AND(ISNUMBER(E125),E125&gt;=r_ini)),OR(r_fim="",AND(ISNUMBER(E125),E125&lt;=r_fim)),OR(r_un="",r_un="(Todas)",G125=r_un),OR(r_de="",r_de="(Todos)",I125=r_de)),1,0))</f>
        <v>0</v>
      </c>
      <c r="BB125" s="96" t="str">
        <f>IF(BA125=1,COUNTIF($BA$6:BA125,1),"")</f>
        <v/>
      </c>
      <c r="BC125" s="96" t="str">
        <f>IF(AND(AU125&lt;&gt;"",OR(r_un="",r_un="(Todas)",G125=r_un),OR(r_de="",r_de="(Todos)",I125=r_de)),AU125,"")</f>
        <v/>
      </c>
      <c r="BD125" s="96" t="str">
        <f>IF(Z125=1,A125&amp;" | nº "&amp;IF(B125="","(sem número)",B125)&amp;" | "&amp;IF(G125="","(sem unidade)",G125),"")</f>
        <v/>
      </c>
      <c r="BE125" s="96" t="str">
        <f>IF(Z125=1,COUNTIF($Z$6:Z125,1),"")</f>
        <v/>
      </c>
      <c r="BF125" s="96" t="str">
        <f>IF(T125="","",IF(T125="RECEBIMENTO NÃO CONFIRMADO","Transp.: "&amp;H125&amp;" | Dest.: "&amp;I125,IF(OR(T125="CDF NÃO LOCALIZADO",T125="VÍNCULO INCOMPLETO",T125="CDF A CONFERIR"),"Dest.: "&amp;I125,"Gerador: "&amp;G125)))</f>
        <v/>
      </c>
    </row>
    <row r="126">
      <c r="A126" s="89" t="inlineStr">
        <is>
          <t>MTR-000121</t>
        </is>
      </c>
      <c r="B126" s="90" t="n"/>
      <c r="C126" s="91" t="n"/>
      <c r="D126" s="91" t="n"/>
      <c r="E126" s="92" t="n"/>
      <c r="F126" s="92" t="n"/>
      <c r="G126" s="91" t="n"/>
      <c r="H126" s="91" t="n"/>
      <c r="I126" s="91" t="n"/>
      <c r="J126" s="91" t="n"/>
      <c r="K126" s="91" t="n"/>
      <c r="L126" s="92" t="n"/>
      <c r="M126" s="91" t="n"/>
      <c r="N126" s="91" t="n"/>
      <c r="O126" s="91" t="n"/>
      <c r="P126" s="93" t="str">
        <f>IF(Z126=0,"",SUMIFS('ITENS_MTR'!$I$6:$I$1005,'ITENS_MTR'!$S$6:$S$1005,A126,'ITENS_MTR'!$Y$6:$Y$1005,1))</f>
        <v/>
      </c>
      <c r="Q126" s="93" t="str">
        <f>IF(Z126=0,"",SUMIFS('RECEBIMENTOS'!$H$6:$H$1005,'RECEBIMENTOS'!$B$6:$B$1005,A126,'RECEBIMENTOS'!$X$6:$X$1005,1))</f>
        <v/>
      </c>
      <c r="R126" s="93" t="str">
        <f>IF(Z126=0,"",SUMIFS('VÍNCULOS_CDF'!$H$6:$H$1005,'VÍNCULOS_CDF'!$D$6:$D$1005,A126,'VÍNCULOS_CDF'!$V$6:$V$1005,1))</f>
        <v/>
      </c>
      <c r="S126" s="94" t="str">
        <f>IF(Z126=0,"",IF(AA126=1,"Cancelado (informado)",IF(AE126=1,"Cadastro incompleto",IF(OR(AC126=1,AD126=1,AF126&gt;0,AH126&gt;0,AK126&gt;0,AL126&gt;0),"Informação a revisar",IF(AN126=0,"Aguardando recebimento",IF(N(R126)=0,"Aguardando CDF",IF(AJ126&lt;N(W126),"Vínculo de CDF parcial",IF(AO126=0,"CDF localizado, a conferir","Documentação conferida"))))))))</f>
        <v/>
      </c>
      <c r="T126" s="94" t="str">
        <f>IF(Z126=0,"",IF(S126="Cadastro incompleto","MTR INCOMPLETO",IF(S126="Informação a revisar",IF(AND(AH126&gt;0,AC126=0,AD126=0,AF126=0,AK126=0,AL126=0),"QUANTIDADE A REVISAR","IDENTIFICAÇÃO A REVISAR"),IF(S126="Aguardando recebimento","RECEBIMENTO NÃO CONFIRMADO",IF(S126="Aguardando CDF","CDF NÃO LOCALIZADO",IF(S126="Vínculo de CDF parcial","VÍNCULO INCOMPLETO",IF(S126="CDF localizado, a conferir","CDF A CONFERIR","")))))))</f>
        <v/>
      </c>
      <c r="U126" s="95" t="str">
        <f>IF(T126="","",IF(AQ126="","Não calculável",IF(AQ126&gt;TODAY(),"Data futura",TODAY()-AQ126)))</f>
        <v/>
      </c>
      <c r="V126" s="93" t="str">
        <f>IF(Z126=0,"",SUMIFS('RECEBIMENTOS'!$H$6:$H$1005,'RECEBIMENTOS'!$B$6:$B$1005,A126,'RECEBIMENTOS'!$Z$6:$Z$1005,1))</f>
        <v/>
      </c>
      <c r="W126" s="95" t="str">
        <f>IF(Z126=0,"",COUNTIFS('ITENS_MTR'!$S$6:$S$1005,A126,'ITENS_MTR'!$R$6:$R$1005,1))</f>
        <v/>
      </c>
      <c r="X126" s="94" t="str">
        <f>IF(AC126=1,"POSSÍVEL DUPLICIDADE","")</f>
        <v/>
      </c>
      <c r="Y126" s="94" t="str">
        <f>IF(Z126=0,"",IF(AW126="","Nenhuma",LEFT(AW126,LEN(AW126)-2)))</f>
        <v/>
      </c>
      <c r="Z126" s="96">
        <f>IF(COUNTA(B126:O126)&gt;0,1,0)</f>
        <v>0</v>
      </c>
      <c r="AA126" s="96">
        <f>IF(AND(Z126=1,K126&lt;&gt;""),IF(TRIM(K126)=TRIM(cfg_cancel),1,0),0)</f>
        <v>0</v>
      </c>
      <c r="AB126" s="96" t="str">
        <f>IF(AND(Z126=1,B126&lt;&gt;""),C126&amp;"|"&amp;D126&amp;"|"&amp;G126&amp;"|"&amp;TRIM(B126),"")</f>
        <v/>
      </c>
      <c r="AC126" s="96">
        <f>IF(AB126="",0,IF(SUMPRODUCT(--($AB$6:$AB$505=AB126))&gt;1,1,0))</f>
        <v>0</v>
      </c>
      <c r="AD126" s="96">
        <f>IF(Z126=0,0,IF(OR(AND(G126&lt;&gt;"",ISNA(MATCH(G126,'CAD_UNIDADES'!$C$6:$C$105,0))),AND(H126&lt;&gt;"",ISNA(MATCH(H126,cmp_transp,0))),AND(I126&lt;&gt;"",ISNA(MATCH(I126,cmp_dest,0))),AND(E126&lt;&gt;"",NOT(ISNUMBER(E126))),AND(F126&lt;&gt;"",NOT(ISNUMBER(F126))),AND(ISNUMBER(E126),ISNUMBER(F126),F126&lt;E126)),1,0))</f>
        <v>0</v>
      </c>
      <c r="AE126" s="96">
        <f>IF(Z126=0,0,IF(OR(B126="",C126="",E126="",G126="",H126="",I126="",N(W126)=0),1,0))</f>
        <v>0</v>
      </c>
      <c r="AF126" s="96">
        <f>IF(Z126=0,0,COUNTIFS('ITENS_MTR'!$S$6:$S$1005,A126,'ITENS_MTR'!$AI$6:$AI$1005,1))</f>
        <v>0</v>
      </c>
      <c r="AG126" s="96">
        <f>IF(Z126=0,0,COUNTIFS('ITENS_MTR'!$S$6:$S$1005,A126,'ITENS_MTR'!$AJ$6:$AJ$1005,1))</f>
        <v>0</v>
      </c>
      <c r="AH126" s="96">
        <f>IF(Z126=0,0,COUNTIFS('ITENS_MTR'!$S$6:$S$1005,A126,'ITENS_MTR'!$AM$6:$AM$1005,1))</f>
        <v>0</v>
      </c>
      <c r="AI126" s="96">
        <f>IF(Z126=0,0,COUNTIFS('ITENS_MTR'!$S$6:$S$1005,A126,'ITENS_MTR'!$AO$6:$AO$1005,1))</f>
        <v>0</v>
      </c>
      <c r="AJ126" s="96">
        <f>IF(Z126=0,0,COUNTIFS('ITENS_MTR'!$S$6:$S$1005,A126,'ITENS_MTR'!$AN$6:$AN$1005,1))</f>
        <v>0</v>
      </c>
      <c r="AK126" s="96">
        <f>IF(Z126=0,0,COUNTIFS('RECEBIMENTOS'!$B$6:$B$1005,A126,'RECEBIMENTOS'!$Y$6:$Y$1005,1))</f>
        <v>0</v>
      </c>
      <c r="AL126" s="96">
        <f>IF(Z126=0,0,COUNTIFS('VÍNCULOS_CDF'!$D$6:$D$1005,A126,'VÍNCULOS_CDF'!$Y$6:$Y$1005,1))</f>
        <v>0</v>
      </c>
      <c r="AM126" s="96">
        <f>IF(Z126=0,0,COUNTIFS('RECEBIMENTOS'!$B$6:$B$1005,A126,'RECEBIMENTOS'!$Q$6:$Q$1005,1))</f>
        <v>0</v>
      </c>
      <c r="AN126" s="96">
        <f>IF(AND(Z126=1,N(W126)&gt;0,AG126=N(W126)),1,0)</f>
        <v>0</v>
      </c>
      <c r="AO126" s="96">
        <f>IF(AND(Z126=1,N(W126)&gt;0,AI126=N(W126)),1,0)</f>
        <v>0</v>
      </c>
      <c r="AP126" s="97">
        <f>IF(Z126=0,0,_xlfn.MAXIFS('RECEBIMENTOS'!$E$6:$E$1005,'RECEBIMENTOS'!$B$6:$B$1005,A126))</f>
        <v>0</v>
      </c>
      <c r="AQ126" s="97" t="str">
        <f>IF(T126="","",IF(T126="RECEBIMENTO NÃO CONFIRMADO",IF(ISNUMBER(F126),F126,IF(ISNUMBER(E126),E126,"")),IF(OR(T126="CDF NÃO LOCALIZADO",T126="VÍNCULO INCOMPLETO",T126="CDF A CONFERIR"),IF(AP126&gt;0,AP126,IF(ISNUMBER(E126),E126,"")),IF(ISNUMBER(E126),E126,""))))</f>
        <v/>
      </c>
      <c r="AR126" s="96">
        <f>IF(NOT(ISNUMBER(U126)),0,IF(T126="RECEBIMENTO NÃO CONFIRMADO",IF(AND(ISNUMBER(cfg_rec),U126&gt;cfg_rec),1,0),IF(OR(T126="CDF NÃO LOCALIZADO",T126="VÍNCULO INCOMPLETO",T126="CDF A CONFERIR"),IF(AND(ISNUMBER(cfg_cdf),U126&gt;cfg_cdf),1,0),0)))</f>
        <v>0</v>
      </c>
      <c r="AS126" s="96" t="str">
        <f>IF(T126="","",IF(AR126=1,"Alta",IFERROR(INDEX(cfg_pp,MATCH(T126,cfg_pt,0))&amp;"","Média")))</f>
        <v/>
      </c>
      <c r="AT126" s="96" t="str">
        <f>IF(T126="","",IFERROR(INDEX(cfg_pv,MATCH(T126,cfg_pt,0))&amp;"",""))</f>
        <v/>
      </c>
      <c r="AU126" s="96" t="str">
        <f>IF(T126="","",IF(AS126="Alta",1,IF(AS126="Média",2,3))*1000000000+(999999-IF(ISNUMBER(U126),MIN(U126,999999),0))*1000+121)</f>
        <v/>
      </c>
      <c r="AV126" s="96">
        <f>IF(T126&lt;&gt;"",1,0)</f>
        <v>0</v>
      </c>
      <c r="AW126" s="96" t="str">
        <f>IF(Z126=0,"",IF(AA126=1,"Cancelamento informado; ","")&amp;IF(AE126=1,"Campos essenciais ou itens faltando; ","")&amp;IF(AC126=1,"Possível duplicidade do número; ","")&amp;IF(AD126=1,"Cadastro ou datas a revisar; ","")&amp;IF(AF126&gt;0,"Item de resíduo com dado a revisar; ","")&amp;IF(AH126&gt;0,"Diferença de quantidade a analisar; ","")&amp;IF(AK126&gt;0,"Recebimento com alerta; ","")&amp;IF(AL126&gt;0,"Vínculo de CDF com alerta; ","")&amp;IF(AND(AA126=0,AN126=0),"Recebimento não confirmado; ","")&amp;IF(AND(AA126=0,AN126=1,AO126=0),"CDF pendente ou a conferir; ",""))</f>
        <v/>
      </c>
      <c r="AX126" s="96">
        <f>IF(Z126=0,0,IF(AND(OR(f_ini="",AND(ISNUMBER(E126),E126&gt;=f_ini)),OR(f_fim="",AND(ISNUMBER(E126),E126&lt;=f_fim)),OR(f_un="",f_un="(Todas)",G126=f_un),OR(f_tr="",f_tr="(Todos)",H126=f_tr),OR(f_de="",f_de="(Todos)",I126=f_de),OR(f_sit="",f_sit="(Todas)",S126=f_sit)),1,0))</f>
        <v>0</v>
      </c>
      <c r="AY126" s="96">
        <f>IF(AX126=0,0,IF(OR(f_res="",f_res="(Todos)"),1,IF(COUNTIFS('ITENS_MTR'!$S$6:$S$1005,A126,'ITENS_MTR'!$C$6:$C$1005,f_res)&gt;0,1,0)))</f>
        <v>0</v>
      </c>
      <c r="AZ126" s="97" t="str">
        <f>IF(ISNUMBER(E126),DATE(YEAR(E126),MONTH(E126),1),"")</f>
        <v/>
      </c>
      <c r="BA126" s="96">
        <f>IF(Z126=0,0,IF(AND(OR(r_ini="",AND(ISNUMBER(E126),E126&gt;=r_ini)),OR(r_fim="",AND(ISNUMBER(E126),E126&lt;=r_fim)),OR(r_un="",r_un="(Todas)",G126=r_un),OR(r_de="",r_de="(Todos)",I126=r_de)),1,0))</f>
        <v>0</v>
      </c>
      <c r="BB126" s="96" t="str">
        <f>IF(BA126=1,COUNTIF($BA$6:BA126,1),"")</f>
        <v/>
      </c>
      <c r="BC126" s="96" t="str">
        <f>IF(AND(AU126&lt;&gt;"",OR(r_un="",r_un="(Todas)",G126=r_un),OR(r_de="",r_de="(Todos)",I126=r_de)),AU126,"")</f>
        <v/>
      </c>
      <c r="BD126" s="96" t="str">
        <f>IF(Z126=1,A126&amp;" | nº "&amp;IF(B126="","(sem número)",B126)&amp;" | "&amp;IF(G126="","(sem unidade)",G126),"")</f>
        <v/>
      </c>
      <c r="BE126" s="96" t="str">
        <f>IF(Z126=1,COUNTIF($Z$6:Z126,1),"")</f>
        <v/>
      </c>
      <c r="BF126" s="96" t="str">
        <f>IF(T126="","",IF(T126="RECEBIMENTO NÃO CONFIRMADO","Transp.: "&amp;H126&amp;" | Dest.: "&amp;I126,IF(OR(T126="CDF NÃO LOCALIZADO",T126="VÍNCULO INCOMPLETO",T126="CDF A CONFERIR"),"Dest.: "&amp;I126,"Gerador: "&amp;G126)))</f>
        <v/>
      </c>
    </row>
    <row r="127">
      <c r="A127" s="89" t="inlineStr">
        <is>
          <t>MTR-000122</t>
        </is>
      </c>
      <c r="B127" s="90" t="n"/>
      <c r="C127" s="91" t="n"/>
      <c r="D127" s="91" t="n"/>
      <c r="E127" s="92" t="n"/>
      <c r="F127" s="92" t="n"/>
      <c r="G127" s="91" t="n"/>
      <c r="H127" s="91" t="n"/>
      <c r="I127" s="91" t="n"/>
      <c r="J127" s="91" t="n"/>
      <c r="K127" s="91" t="n"/>
      <c r="L127" s="92" t="n"/>
      <c r="M127" s="91" t="n"/>
      <c r="N127" s="91" t="n"/>
      <c r="O127" s="91" t="n"/>
      <c r="P127" s="93" t="str">
        <f>IF(Z127=0,"",SUMIFS('ITENS_MTR'!$I$6:$I$1005,'ITENS_MTR'!$S$6:$S$1005,A127,'ITENS_MTR'!$Y$6:$Y$1005,1))</f>
        <v/>
      </c>
      <c r="Q127" s="93" t="str">
        <f>IF(Z127=0,"",SUMIFS('RECEBIMENTOS'!$H$6:$H$1005,'RECEBIMENTOS'!$B$6:$B$1005,A127,'RECEBIMENTOS'!$X$6:$X$1005,1))</f>
        <v/>
      </c>
      <c r="R127" s="93" t="str">
        <f>IF(Z127=0,"",SUMIFS('VÍNCULOS_CDF'!$H$6:$H$1005,'VÍNCULOS_CDF'!$D$6:$D$1005,A127,'VÍNCULOS_CDF'!$V$6:$V$1005,1))</f>
        <v/>
      </c>
      <c r="S127" s="94" t="str">
        <f>IF(Z127=0,"",IF(AA127=1,"Cancelado (informado)",IF(AE127=1,"Cadastro incompleto",IF(OR(AC127=1,AD127=1,AF127&gt;0,AH127&gt;0,AK127&gt;0,AL127&gt;0),"Informação a revisar",IF(AN127=0,"Aguardando recebimento",IF(N(R127)=0,"Aguardando CDF",IF(AJ127&lt;N(W127),"Vínculo de CDF parcial",IF(AO127=0,"CDF localizado, a conferir","Documentação conferida"))))))))</f>
        <v/>
      </c>
      <c r="T127" s="94" t="str">
        <f>IF(Z127=0,"",IF(S127="Cadastro incompleto","MTR INCOMPLETO",IF(S127="Informação a revisar",IF(AND(AH127&gt;0,AC127=0,AD127=0,AF127=0,AK127=0,AL127=0),"QUANTIDADE A REVISAR","IDENTIFICAÇÃO A REVISAR"),IF(S127="Aguardando recebimento","RECEBIMENTO NÃO CONFIRMADO",IF(S127="Aguardando CDF","CDF NÃO LOCALIZADO",IF(S127="Vínculo de CDF parcial","VÍNCULO INCOMPLETO",IF(S127="CDF localizado, a conferir","CDF A CONFERIR","")))))))</f>
        <v/>
      </c>
      <c r="U127" s="95" t="str">
        <f>IF(T127="","",IF(AQ127="","Não calculável",IF(AQ127&gt;TODAY(),"Data futura",TODAY()-AQ127)))</f>
        <v/>
      </c>
      <c r="V127" s="93" t="str">
        <f>IF(Z127=0,"",SUMIFS('RECEBIMENTOS'!$H$6:$H$1005,'RECEBIMENTOS'!$B$6:$B$1005,A127,'RECEBIMENTOS'!$Z$6:$Z$1005,1))</f>
        <v/>
      </c>
      <c r="W127" s="95" t="str">
        <f>IF(Z127=0,"",COUNTIFS('ITENS_MTR'!$S$6:$S$1005,A127,'ITENS_MTR'!$R$6:$R$1005,1))</f>
        <v/>
      </c>
      <c r="X127" s="94" t="str">
        <f>IF(AC127=1,"POSSÍVEL DUPLICIDADE","")</f>
        <v/>
      </c>
      <c r="Y127" s="94" t="str">
        <f>IF(Z127=0,"",IF(AW127="","Nenhuma",LEFT(AW127,LEN(AW127)-2)))</f>
        <v/>
      </c>
      <c r="Z127" s="96">
        <f>IF(COUNTA(B127:O127)&gt;0,1,0)</f>
        <v>0</v>
      </c>
      <c r="AA127" s="96">
        <f>IF(AND(Z127=1,K127&lt;&gt;""),IF(TRIM(K127)=TRIM(cfg_cancel),1,0),0)</f>
        <v>0</v>
      </c>
      <c r="AB127" s="96" t="str">
        <f>IF(AND(Z127=1,B127&lt;&gt;""),C127&amp;"|"&amp;D127&amp;"|"&amp;G127&amp;"|"&amp;TRIM(B127),"")</f>
        <v/>
      </c>
      <c r="AC127" s="96">
        <f>IF(AB127="",0,IF(SUMPRODUCT(--($AB$6:$AB$505=AB127))&gt;1,1,0))</f>
        <v>0</v>
      </c>
      <c r="AD127" s="96">
        <f>IF(Z127=0,0,IF(OR(AND(G127&lt;&gt;"",ISNA(MATCH(G127,'CAD_UNIDADES'!$C$6:$C$105,0))),AND(H127&lt;&gt;"",ISNA(MATCH(H127,cmp_transp,0))),AND(I127&lt;&gt;"",ISNA(MATCH(I127,cmp_dest,0))),AND(E127&lt;&gt;"",NOT(ISNUMBER(E127))),AND(F127&lt;&gt;"",NOT(ISNUMBER(F127))),AND(ISNUMBER(E127),ISNUMBER(F127),F127&lt;E127)),1,0))</f>
        <v>0</v>
      </c>
      <c r="AE127" s="96">
        <f>IF(Z127=0,0,IF(OR(B127="",C127="",E127="",G127="",H127="",I127="",N(W127)=0),1,0))</f>
        <v>0</v>
      </c>
      <c r="AF127" s="96">
        <f>IF(Z127=0,0,COUNTIFS('ITENS_MTR'!$S$6:$S$1005,A127,'ITENS_MTR'!$AI$6:$AI$1005,1))</f>
        <v>0</v>
      </c>
      <c r="AG127" s="96">
        <f>IF(Z127=0,0,COUNTIFS('ITENS_MTR'!$S$6:$S$1005,A127,'ITENS_MTR'!$AJ$6:$AJ$1005,1))</f>
        <v>0</v>
      </c>
      <c r="AH127" s="96">
        <f>IF(Z127=0,0,COUNTIFS('ITENS_MTR'!$S$6:$S$1005,A127,'ITENS_MTR'!$AM$6:$AM$1005,1))</f>
        <v>0</v>
      </c>
      <c r="AI127" s="96">
        <f>IF(Z127=0,0,COUNTIFS('ITENS_MTR'!$S$6:$S$1005,A127,'ITENS_MTR'!$AO$6:$AO$1005,1))</f>
        <v>0</v>
      </c>
      <c r="AJ127" s="96">
        <f>IF(Z127=0,0,COUNTIFS('ITENS_MTR'!$S$6:$S$1005,A127,'ITENS_MTR'!$AN$6:$AN$1005,1))</f>
        <v>0</v>
      </c>
      <c r="AK127" s="96">
        <f>IF(Z127=0,0,COUNTIFS('RECEBIMENTOS'!$B$6:$B$1005,A127,'RECEBIMENTOS'!$Y$6:$Y$1005,1))</f>
        <v>0</v>
      </c>
      <c r="AL127" s="96">
        <f>IF(Z127=0,0,COUNTIFS('VÍNCULOS_CDF'!$D$6:$D$1005,A127,'VÍNCULOS_CDF'!$Y$6:$Y$1005,1))</f>
        <v>0</v>
      </c>
      <c r="AM127" s="96">
        <f>IF(Z127=0,0,COUNTIFS('RECEBIMENTOS'!$B$6:$B$1005,A127,'RECEBIMENTOS'!$Q$6:$Q$1005,1))</f>
        <v>0</v>
      </c>
      <c r="AN127" s="96">
        <f>IF(AND(Z127=1,N(W127)&gt;0,AG127=N(W127)),1,0)</f>
        <v>0</v>
      </c>
      <c r="AO127" s="96">
        <f>IF(AND(Z127=1,N(W127)&gt;0,AI127=N(W127)),1,0)</f>
        <v>0</v>
      </c>
      <c r="AP127" s="97">
        <f>IF(Z127=0,0,_xlfn.MAXIFS('RECEBIMENTOS'!$E$6:$E$1005,'RECEBIMENTOS'!$B$6:$B$1005,A127))</f>
        <v>0</v>
      </c>
      <c r="AQ127" s="97" t="str">
        <f>IF(T127="","",IF(T127="RECEBIMENTO NÃO CONFIRMADO",IF(ISNUMBER(F127),F127,IF(ISNUMBER(E127),E127,"")),IF(OR(T127="CDF NÃO LOCALIZADO",T127="VÍNCULO INCOMPLETO",T127="CDF A CONFERIR"),IF(AP127&gt;0,AP127,IF(ISNUMBER(E127),E127,"")),IF(ISNUMBER(E127),E127,""))))</f>
        <v/>
      </c>
      <c r="AR127" s="96">
        <f>IF(NOT(ISNUMBER(U127)),0,IF(T127="RECEBIMENTO NÃO CONFIRMADO",IF(AND(ISNUMBER(cfg_rec),U127&gt;cfg_rec),1,0),IF(OR(T127="CDF NÃO LOCALIZADO",T127="VÍNCULO INCOMPLETO",T127="CDF A CONFERIR"),IF(AND(ISNUMBER(cfg_cdf),U127&gt;cfg_cdf),1,0),0)))</f>
        <v>0</v>
      </c>
      <c r="AS127" s="96" t="str">
        <f>IF(T127="","",IF(AR127=1,"Alta",IFERROR(INDEX(cfg_pp,MATCH(T127,cfg_pt,0))&amp;"","Média")))</f>
        <v/>
      </c>
      <c r="AT127" s="96" t="str">
        <f>IF(T127="","",IFERROR(INDEX(cfg_pv,MATCH(T127,cfg_pt,0))&amp;"",""))</f>
        <v/>
      </c>
      <c r="AU127" s="96" t="str">
        <f>IF(T127="","",IF(AS127="Alta",1,IF(AS127="Média",2,3))*1000000000+(999999-IF(ISNUMBER(U127),MIN(U127,999999),0))*1000+122)</f>
        <v/>
      </c>
      <c r="AV127" s="96">
        <f>IF(T127&lt;&gt;"",1,0)</f>
        <v>0</v>
      </c>
      <c r="AW127" s="96" t="str">
        <f>IF(Z127=0,"",IF(AA127=1,"Cancelamento informado; ","")&amp;IF(AE127=1,"Campos essenciais ou itens faltando; ","")&amp;IF(AC127=1,"Possível duplicidade do número; ","")&amp;IF(AD127=1,"Cadastro ou datas a revisar; ","")&amp;IF(AF127&gt;0,"Item de resíduo com dado a revisar; ","")&amp;IF(AH127&gt;0,"Diferença de quantidade a analisar; ","")&amp;IF(AK127&gt;0,"Recebimento com alerta; ","")&amp;IF(AL127&gt;0,"Vínculo de CDF com alerta; ","")&amp;IF(AND(AA127=0,AN127=0),"Recebimento não confirmado; ","")&amp;IF(AND(AA127=0,AN127=1,AO127=0),"CDF pendente ou a conferir; ",""))</f>
        <v/>
      </c>
      <c r="AX127" s="96">
        <f>IF(Z127=0,0,IF(AND(OR(f_ini="",AND(ISNUMBER(E127),E127&gt;=f_ini)),OR(f_fim="",AND(ISNUMBER(E127),E127&lt;=f_fim)),OR(f_un="",f_un="(Todas)",G127=f_un),OR(f_tr="",f_tr="(Todos)",H127=f_tr),OR(f_de="",f_de="(Todos)",I127=f_de),OR(f_sit="",f_sit="(Todas)",S127=f_sit)),1,0))</f>
        <v>0</v>
      </c>
      <c r="AY127" s="96">
        <f>IF(AX127=0,0,IF(OR(f_res="",f_res="(Todos)"),1,IF(COUNTIFS('ITENS_MTR'!$S$6:$S$1005,A127,'ITENS_MTR'!$C$6:$C$1005,f_res)&gt;0,1,0)))</f>
        <v>0</v>
      </c>
      <c r="AZ127" s="97" t="str">
        <f>IF(ISNUMBER(E127),DATE(YEAR(E127),MONTH(E127),1),"")</f>
        <v/>
      </c>
      <c r="BA127" s="96">
        <f>IF(Z127=0,0,IF(AND(OR(r_ini="",AND(ISNUMBER(E127),E127&gt;=r_ini)),OR(r_fim="",AND(ISNUMBER(E127),E127&lt;=r_fim)),OR(r_un="",r_un="(Todas)",G127=r_un),OR(r_de="",r_de="(Todos)",I127=r_de)),1,0))</f>
        <v>0</v>
      </c>
      <c r="BB127" s="96" t="str">
        <f>IF(BA127=1,COUNTIF($BA$6:BA127,1),"")</f>
        <v/>
      </c>
      <c r="BC127" s="96" t="str">
        <f>IF(AND(AU127&lt;&gt;"",OR(r_un="",r_un="(Todas)",G127=r_un),OR(r_de="",r_de="(Todos)",I127=r_de)),AU127,"")</f>
        <v/>
      </c>
      <c r="BD127" s="96" t="str">
        <f>IF(Z127=1,A127&amp;" | nº "&amp;IF(B127="","(sem número)",B127)&amp;" | "&amp;IF(G127="","(sem unidade)",G127),"")</f>
        <v/>
      </c>
      <c r="BE127" s="96" t="str">
        <f>IF(Z127=1,COUNTIF($Z$6:Z127,1),"")</f>
        <v/>
      </c>
      <c r="BF127" s="96" t="str">
        <f>IF(T127="","",IF(T127="RECEBIMENTO NÃO CONFIRMADO","Transp.: "&amp;H127&amp;" | Dest.: "&amp;I127,IF(OR(T127="CDF NÃO LOCALIZADO",T127="VÍNCULO INCOMPLETO",T127="CDF A CONFERIR"),"Dest.: "&amp;I127,"Gerador: "&amp;G127)))</f>
        <v/>
      </c>
    </row>
    <row r="128">
      <c r="A128" s="89" t="inlineStr">
        <is>
          <t>MTR-000123</t>
        </is>
      </c>
      <c r="B128" s="90" t="n"/>
      <c r="C128" s="91" t="n"/>
      <c r="D128" s="91" t="n"/>
      <c r="E128" s="92" t="n"/>
      <c r="F128" s="92" t="n"/>
      <c r="G128" s="91" t="n"/>
      <c r="H128" s="91" t="n"/>
      <c r="I128" s="91" t="n"/>
      <c r="J128" s="91" t="n"/>
      <c r="K128" s="91" t="n"/>
      <c r="L128" s="92" t="n"/>
      <c r="M128" s="91" t="n"/>
      <c r="N128" s="91" t="n"/>
      <c r="O128" s="91" t="n"/>
      <c r="P128" s="93" t="str">
        <f>IF(Z128=0,"",SUMIFS('ITENS_MTR'!$I$6:$I$1005,'ITENS_MTR'!$S$6:$S$1005,A128,'ITENS_MTR'!$Y$6:$Y$1005,1))</f>
        <v/>
      </c>
      <c r="Q128" s="93" t="str">
        <f>IF(Z128=0,"",SUMIFS('RECEBIMENTOS'!$H$6:$H$1005,'RECEBIMENTOS'!$B$6:$B$1005,A128,'RECEBIMENTOS'!$X$6:$X$1005,1))</f>
        <v/>
      </c>
      <c r="R128" s="93" t="str">
        <f>IF(Z128=0,"",SUMIFS('VÍNCULOS_CDF'!$H$6:$H$1005,'VÍNCULOS_CDF'!$D$6:$D$1005,A128,'VÍNCULOS_CDF'!$V$6:$V$1005,1))</f>
        <v/>
      </c>
      <c r="S128" s="94" t="str">
        <f>IF(Z128=0,"",IF(AA128=1,"Cancelado (informado)",IF(AE128=1,"Cadastro incompleto",IF(OR(AC128=1,AD128=1,AF128&gt;0,AH128&gt;0,AK128&gt;0,AL128&gt;0),"Informação a revisar",IF(AN128=0,"Aguardando recebimento",IF(N(R128)=0,"Aguardando CDF",IF(AJ128&lt;N(W128),"Vínculo de CDF parcial",IF(AO128=0,"CDF localizado, a conferir","Documentação conferida"))))))))</f>
        <v/>
      </c>
      <c r="T128" s="94" t="str">
        <f>IF(Z128=0,"",IF(S128="Cadastro incompleto","MTR INCOMPLETO",IF(S128="Informação a revisar",IF(AND(AH128&gt;0,AC128=0,AD128=0,AF128=0,AK128=0,AL128=0),"QUANTIDADE A REVISAR","IDENTIFICAÇÃO A REVISAR"),IF(S128="Aguardando recebimento","RECEBIMENTO NÃO CONFIRMADO",IF(S128="Aguardando CDF","CDF NÃO LOCALIZADO",IF(S128="Vínculo de CDF parcial","VÍNCULO INCOMPLETO",IF(S128="CDF localizado, a conferir","CDF A CONFERIR","")))))))</f>
        <v/>
      </c>
      <c r="U128" s="95" t="str">
        <f>IF(T128="","",IF(AQ128="","Não calculável",IF(AQ128&gt;TODAY(),"Data futura",TODAY()-AQ128)))</f>
        <v/>
      </c>
      <c r="V128" s="93" t="str">
        <f>IF(Z128=0,"",SUMIFS('RECEBIMENTOS'!$H$6:$H$1005,'RECEBIMENTOS'!$B$6:$B$1005,A128,'RECEBIMENTOS'!$Z$6:$Z$1005,1))</f>
        <v/>
      </c>
      <c r="W128" s="95" t="str">
        <f>IF(Z128=0,"",COUNTIFS('ITENS_MTR'!$S$6:$S$1005,A128,'ITENS_MTR'!$R$6:$R$1005,1))</f>
        <v/>
      </c>
      <c r="X128" s="94" t="str">
        <f>IF(AC128=1,"POSSÍVEL DUPLICIDADE","")</f>
        <v/>
      </c>
      <c r="Y128" s="94" t="str">
        <f>IF(Z128=0,"",IF(AW128="","Nenhuma",LEFT(AW128,LEN(AW128)-2)))</f>
        <v/>
      </c>
      <c r="Z128" s="96">
        <f>IF(COUNTA(B128:O128)&gt;0,1,0)</f>
        <v>0</v>
      </c>
      <c r="AA128" s="96">
        <f>IF(AND(Z128=1,K128&lt;&gt;""),IF(TRIM(K128)=TRIM(cfg_cancel),1,0),0)</f>
        <v>0</v>
      </c>
      <c r="AB128" s="96" t="str">
        <f>IF(AND(Z128=1,B128&lt;&gt;""),C128&amp;"|"&amp;D128&amp;"|"&amp;G128&amp;"|"&amp;TRIM(B128),"")</f>
        <v/>
      </c>
      <c r="AC128" s="96">
        <f>IF(AB128="",0,IF(SUMPRODUCT(--($AB$6:$AB$505=AB128))&gt;1,1,0))</f>
        <v>0</v>
      </c>
      <c r="AD128" s="96">
        <f>IF(Z128=0,0,IF(OR(AND(G128&lt;&gt;"",ISNA(MATCH(G128,'CAD_UNIDADES'!$C$6:$C$105,0))),AND(H128&lt;&gt;"",ISNA(MATCH(H128,cmp_transp,0))),AND(I128&lt;&gt;"",ISNA(MATCH(I128,cmp_dest,0))),AND(E128&lt;&gt;"",NOT(ISNUMBER(E128))),AND(F128&lt;&gt;"",NOT(ISNUMBER(F128))),AND(ISNUMBER(E128),ISNUMBER(F128),F128&lt;E128)),1,0))</f>
        <v>0</v>
      </c>
      <c r="AE128" s="96">
        <f>IF(Z128=0,0,IF(OR(B128="",C128="",E128="",G128="",H128="",I128="",N(W128)=0),1,0))</f>
        <v>0</v>
      </c>
      <c r="AF128" s="96">
        <f>IF(Z128=0,0,COUNTIFS('ITENS_MTR'!$S$6:$S$1005,A128,'ITENS_MTR'!$AI$6:$AI$1005,1))</f>
        <v>0</v>
      </c>
      <c r="AG128" s="96">
        <f>IF(Z128=0,0,COUNTIFS('ITENS_MTR'!$S$6:$S$1005,A128,'ITENS_MTR'!$AJ$6:$AJ$1005,1))</f>
        <v>0</v>
      </c>
      <c r="AH128" s="96">
        <f>IF(Z128=0,0,COUNTIFS('ITENS_MTR'!$S$6:$S$1005,A128,'ITENS_MTR'!$AM$6:$AM$1005,1))</f>
        <v>0</v>
      </c>
      <c r="AI128" s="96">
        <f>IF(Z128=0,0,COUNTIFS('ITENS_MTR'!$S$6:$S$1005,A128,'ITENS_MTR'!$AO$6:$AO$1005,1))</f>
        <v>0</v>
      </c>
      <c r="AJ128" s="96">
        <f>IF(Z128=0,0,COUNTIFS('ITENS_MTR'!$S$6:$S$1005,A128,'ITENS_MTR'!$AN$6:$AN$1005,1))</f>
        <v>0</v>
      </c>
      <c r="AK128" s="96">
        <f>IF(Z128=0,0,COUNTIFS('RECEBIMENTOS'!$B$6:$B$1005,A128,'RECEBIMENTOS'!$Y$6:$Y$1005,1))</f>
        <v>0</v>
      </c>
      <c r="AL128" s="96">
        <f>IF(Z128=0,0,COUNTIFS('VÍNCULOS_CDF'!$D$6:$D$1005,A128,'VÍNCULOS_CDF'!$Y$6:$Y$1005,1))</f>
        <v>0</v>
      </c>
      <c r="AM128" s="96">
        <f>IF(Z128=0,0,COUNTIFS('RECEBIMENTOS'!$B$6:$B$1005,A128,'RECEBIMENTOS'!$Q$6:$Q$1005,1))</f>
        <v>0</v>
      </c>
      <c r="AN128" s="96">
        <f>IF(AND(Z128=1,N(W128)&gt;0,AG128=N(W128)),1,0)</f>
        <v>0</v>
      </c>
      <c r="AO128" s="96">
        <f>IF(AND(Z128=1,N(W128)&gt;0,AI128=N(W128)),1,0)</f>
        <v>0</v>
      </c>
      <c r="AP128" s="97">
        <f>IF(Z128=0,0,_xlfn.MAXIFS('RECEBIMENTOS'!$E$6:$E$1005,'RECEBIMENTOS'!$B$6:$B$1005,A128))</f>
        <v>0</v>
      </c>
      <c r="AQ128" s="97" t="str">
        <f>IF(T128="","",IF(T128="RECEBIMENTO NÃO CONFIRMADO",IF(ISNUMBER(F128),F128,IF(ISNUMBER(E128),E128,"")),IF(OR(T128="CDF NÃO LOCALIZADO",T128="VÍNCULO INCOMPLETO",T128="CDF A CONFERIR"),IF(AP128&gt;0,AP128,IF(ISNUMBER(E128),E128,"")),IF(ISNUMBER(E128),E128,""))))</f>
        <v/>
      </c>
      <c r="AR128" s="96">
        <f>IF(NOT(ISNUMBER(U128)),0,IF(T128="RECEBIMENTO NÃO CONFIRMADO",IF(AND(ISNUMBER(cfg_rec),U128&gt;cfg_rec),1,0),IF(OR(T128="CDF NÃO LOCALIZADO",T128="VÍNCULO INCOMPLETO",T128="CDF A CONFERIR"),IF(AND(ISNUMBER(cfg_cdf),U128&gt;cfg_cdf),1,0),0)))</f>
        <v>0</v>
      </c>
      <c r="AS128" s="96" t="str">
        <f>IF(T128="","",IF(AR128=1,"Alta",IFERROR(INDEX(cfg_pp,MATCH(T128,cfg_pt,0))&amp;"","Média")))</f>
        <v/>
      </c>
      <c r="AT128" s="96" t="str">
        <f>IF(T128="","",IFERROR(INDEX(cfg_pv,MATCH(T128,cfg_pt,0))&amp;"",""))</f>
        <v/>
      </c>
      <c r="AU128" s="96" t="str">
        <f>IF(T128="","",IF(AS128="Alta",1,IF(AS128="Média",2,3))*1000000000+(999999-IF(ISNUMBER(U128),MIN(U128,999999),0))*1000+123)</f>
        <v/>
      </c>
      <c r="AV128" s="96">
        <f>IF(T128&lt;&gt;"",1,0)</f>
        <v>0</v>
      </c>
      <c r="AW128" s="96" t="str">
        <f>IF(Z128=0,"",IF(AA128=1,"Cancelamento informado; ","")&amp;IF(AE128=1,"Campos essenciais ou itens faltando; ","")&amp;IF(AC128=1,"Possível duplicidade do número; ","")&amp;IF(AD128=1,"Cadastro ou datas a revisar; ","")&amp;IF(AF128&gt;0,"Item de resíduo com dado a revisar; ","")&amp;IF(AH128&gt;0,"Diferença de quantidade a analisar; ","")&amp;IF(AK128&gt;0,"Recebimento com alerta; ","")&amp;IF(AL128&gt;0,"Vínculo de CDF com alerta; ","")&amp;IF(AND(AA128=0,AN128=0),"Recebimento não confirmado; ","")&amp;IF(AND(AA128=0,AN128=1,AO128=0),"CDF pendente ou a conferir; ",""))</f>
        <v/>
      </c>
      <c r="AX128" s="96">
        <f>IF(Z128=0,0,IF(AND(OR(f_ini="",AND(ISNUMBER(E128),E128&gt;=f_ini)),OR(f_fim="",AND(ISNUMBER(E128),E128&lt;=f_fim)),OR(f_un="",f_un="(Todas)",G128=f_un),OR(f_tr="",f_tr="(Todos)",H128=f_tr),OR(f_de="",f_de="(Todos)",I128=f_de),OR(f_sit="",f_sit="(Todas)",S128=f_sit)),1,0))</f>
        <v>0</v>
      </c>
      <c r="AY128" s="96">
        <f>IF(AX128=0,0,IF(OR(f_res="",f_res="(Todos)"),1,IF(COUNTIFS('ITENS_MTR'!$S$6:$S$1005,A128,'ITENS_MTR'!$C$6:$C$1005,f_res)&gt;0,1,0)))</f>
        <v>0</v>
      </c>
      <c r="AZ128" s="97" t="str">
        <f>IF(ISNUMBER(E128),DATE(YEAR(E128),MONTH(E128),1),"")</f>
        <v/>
      </c>
      <c r="BA128" s="96">
        <f>IF(Z128=0,0,IF(AND(OR(r_ini="",AND(ISNUMBER(E128),E128&gt;=r_ini)),OR(r_fim="",AND(ISNUMBER(E128),E128&lt;=r_fim)),OR(r_un="",r_un="(Todas)",G128=r_un),OR(r_de="",r_de="(Todos)",I128=r_de)),1,0))</f>
        <v>0</v>
      </c>
      <c r="BB128" s="96" t="str">
        <f>IF(BA128=1,COUNTIF($BA$6:BA128,1),"")</f>
        <v/>
      </c>
      <c r="BC128" s="96" t="str">
        <f>IF(AND(AU128&lt;&gt;"",OR(r_un="",r_un="(Todas)",G128=r_un),OR(r_de="",r_de="(Todos)",I128=r_de)),AU128,"")</f>
        <v/>
      </c>
      <c r="BD128" s="96" t="str">
        <f>IF(Z128=1,A128&amp;" | nº "&amp;IF(B128="","(sem número)",B128)&amp;" | "&amp;IF(G128="","(sem unidade)",G128),"")</f>
        <v/>
      </c>
      <c r="BE128" s="96" t="str">
        <f>IF(Z128=1,COUNTIF($Z$6:Z128,1),"")</f>
        <v/>
      </c>
      <c r="BF128" s="96" t="str">
        <f>IF(T128="","",IF(T128="RECEBIMENTO NÃO CONFIRMADO","Transp.: "&amp;H128&amp;" | Dest.: "&amp;I128,IF(OR(T128="CDF NÃO LOCALIZADO",T128="VÍNCULO INCOMPLETO",T128="CDF A CONFERIR"),"Dest.: "&amp;I128,"Gerador: "&amp;G128)))</f>
        <v/>
      </c>
    </row>
    <row r="129">
      <c r="A129" s="89" t="inlineStr">
        <is>
          <t>MTR-000124</t>
        </is>
      </c>
      <c r="B129" s="90" t="n"/>
      <c r="C129" s="91" t="n"/>
      <c r="D129" s="91" t="n"/>
      <c r="E129" s="92" t="n"/>
      <c r="F129" s="92" t="n"/>
      <c r="G129" s="91" t="n"/>
      <c r="H129" s="91" t="n"/>
      <c r="I129" s="91" t="n"/>
      <c r="J129" s="91" t="n"/>
      <c r="K129" s="91" t="n"/>
      <c r="L129" s="92" t="n"/>
      <c r="M129" s="91" t="n"/>
      <c r="N129" s="91" t="n"/>
      <c r="O129" s="91" t="n"/>
      <c r="P129" s="93" t="str">
        <f>IF(Z129=0,"",SUMIFS('ITENS_MTR'!$I$6:$I$1005,'ITENS_MTR'!$S$6:$S$1005,A129,'ITENS_MTR'!$Y$6:$Y$1005,1))</f>
        <v/>
      </c>
      <c r="Q129" s="93" t="str">
        <f>IF(Z129=0,"",SUMIFS('RECEBIMENTOS'!$H$6:$H$1005,'RECEBIMENTOS'!$B$6:$B$1005,A129,'RECEBIMENTOS'!$X$6:$X$1005,1))</f>
        <v/>
      </c>
      <c r="R129" s="93" t="str">
        <f>IF(Z129=0,"",SUMIFS('VÍNCULOS_CDF'!$H$6:$H$1005,'VÍNCULOS_CDF'!$D$6:$D$1005,A129,'VÍNCULOS_CDF'!$V$6:$V$1005,1))</f>
        <v/>
      </c>
      <c r="S129" s="94" t="str">
        <f>IF(Z129=0,"",IF(AA129=1,"Cancelado (informado)",IF(AE129=1,"Cadastro incompleto",IF(OR(AC129=1,AD129=1,AF129&gt;0,AH129&gt;0,AK129&gt;0,AL129&gt;0),"Informação a revisar",IF(AN129=0,"Aguardando recebimento",IF(N(R129)=0,"Aguardando CDF",IF(AJ129&lt;N(W129),"Vínculo de CDF parcial",IF(AO129=0,"CDF localizado, a conferir","Documentação conferida"))))))))</f>
        <v/>
      </c>
      <c r="T129" s="94" t="str">
        <f>IF(Z129=0,"",IF(S129="Cadastro incompleto","MTR INCOMPLETO",IF(S129="Informação a revisar",IF(AND(AH129&gt;0,AC129=0,AD129=0,AF129=0,AK129=0,AL129=0),"QUANTIDADE A REVISAR","IDENTIFICAÇÃO A REVISAR"),IF(S129="Aguardando recebimento","RECEBIMENTO NÃO CONFIRMADO",IF(S129="Aguardando CDF","CDF NÃO LOCALIZADO",IF(S129="Vínculo de CDF parcial","VÍNCULO INCOMPLETO",IF(S129="CDF localizado, a conferir","CDF A CONFERIR","")))))))</f>
        <v/>
      </c>
      <c r="U129" s="95" t="str">
        <f>IF(T129="","",IF(AQ129="","Não calculável",IF(AQ129&gt;TODAY(),"Data futura",TODAY()-AQ129)))</f>
        <v/>
      </c>
      <c r="V129" s="93" t="str">
        <f>IF(Z129=0,"",SUMIFS('RECEBIMENTOS'!$H$6:$H$1005,'RECEBIMENTOS'!$B$6:$B$1005,A129,'RECEBIMENTOS'!$Z$6:$Z$1005,1))</f>
        <v/>
      </c>
      <c r="W129" s="95" t="str">
        <f>IF(Z129=0,"",COUNTIFS('ITENS_MTR'!$S$6:$S$1005,A129,'ITENS_MTR'!$R$6:$R$1005,1))</f>
        <v/>
      </c>
      <c r="X129" s="94" t="str">
        <f>IF(AC129=1,"POSSÍVEL DUPLICIDADE","")</f>
        <v/>
      </c>
      <c r="Y129" s="94" t="str">
        <f>IF(Z129=0,"",IF(AW129="","Nenhuma",LEFT(AW129,LEN(AW129)-2)))</f>
        <v/>
      </c>
      <c r="Z129" s="96">
        <f>IF(COUNTA(B129:O129)&gt;0,1,0)</f>
        <v>0</v>
      </c>
      <c r="AA129" s="96">
        <f>IF(AND(Z129=1,K129&lt;&gt;""),IF(TRIM(K129)=TRIM(cfg_cancel),1,0),0)</f>
        <v>0</v>
      </c>
      <c r="AB129" s="96" t="str">
        <f>IF(AND(Z129=1,B129&lt;&gt;""),C129&amp;"|"&amp;D129&amp;"|"&amp;G129&amp;"|"&amp;TRIM(B129),"")</f>
        <v/>
      </c>
      <c r="AC129" s="96">
        <f>IF(AB129="",0,IF(SUMPRODUCT(--($AB$6:$AB$505=AB129))&gt;1,1,0))</f>
        <v>0</v>
      </c>
      <c r="AD129" s="96">
        <f>IF(Z129=0,0,IF(OR(AND(G129&lt;&gt;"",ISNA(MATCH(G129,'CAD_UNIDADES'!$C$6:$C$105,0))),AND(H129&lt;&gt;"",ISNA(MATCH(H129,cmp_transp,0))),AND(I129&lt;&gt;"",ISNA(MATCH(I129,cmp_dest,0))),AND(E129&lt;&gt;"",NOT(ISNUMBER(E129))),AND(F129&lt;&gt;"",NOT(ISNUMBER(F129))),AND(ISNUMBER(E129),ISNUMBER(F129),F129&lt;E129)),1,0))</f>
        <v>0</v>
      </c>
      <c r="AE129" s="96">
        <f>IF(Z129=0,0,IF(OR(B129="",C129="",E129="",G129="",H129="",I129="",N(W129)=0),1,0))</f>
        <v>0</v>
      </c>
      <c r="AF129" s="96">
        <f>IF(Z129=0,0,COUNTIFS('ITENS_MTR'!$S$6:$S$1005,A129,'ITENS_MTR'!$AI$6:$AI$1005,1))</f>
        <v>0</v>
      </c>
      <c r="AG129" s="96">
        <f>IF(Z129=0,0,COUNTIFS('ITENS_MTR'!$S$6:$S$1005,A129,'ITENS_MTR'!$AJ$6:$AJ$1005,1))</f>
        <v>0</v>
      </c>
      <c r="AH129" s="96">
        <f>IF(Z129=0,0,COUNTIFS('ITENS_MTR'!$S$6:$S$1005,A129,'ITENS_MTR'!$AM$6:$AM$1005,1))</f>
        <v>0</v>
      </c>
      <c r="AI129" s="96">
        <f>IF(Z129=0,0,COUNTIFS('ITENS_MTR'!$S$6:$S$1005,A129,'ITENS_MTR'!$AO$6:$AO$1005,1))</f>
        <v>0</v>
      </c>
      <c r="AJ129" s="96">
        <f>IF(Z129=0,0,COUNTIFS('ITENS_MTR'!$S$6:$S$1005,A129,'ITENS_MTR'!$AN$6:$AN$1005,1))</f>
        <v>0</v>
      </c>
      <c r="AK129" s="96">
        <f>IF(Z129=0,0,COUNTIFS('RECEBIMENTOS'!$B$6:$B$1005,A129,'RECEBIMENTOS'!$Y$6:$Y$1005,1))</f>
        <v>0</v>
      </c>
      <c r="AL129" s="96">
        <f>IF(Z129=0,0,COUNTIFS('VÍNCULOS_CDF'!$D$6:$D$1005,A129,'VÍNCULOS_CDF'!$Y$6:$Y$1005,1))</f>
        <v>0</v>
      </c>
      <c r="AM129" s="96">
        <f>IF(Z129=0,0,COUNTIFS('RECEBIMENTOS'!$B$6:$B$1005,A129,'RECEBIMENTOS'!$Q$6:$Q$1005,1))</f>
        <v>0</v>
      </c>
      <c r="AN129" s="96">
        <f>IF(AND(Z129=1,N(W129)&gt;0,AG129=N(W129)),1,0)</f>
        <v>0</v>
      </c>
      <c r="AO129" s="96">
        <f>IF(AND(Z129=1,N(W129)&gt;0,AI129=N(W129)),1,0)</f>
        <v>0</v>
      </c>
      <c r="AP129" s="97">
        <f>IF(Z129=0,0,_xlfn.MAXIFS('RECEBIMENTOS'!$E$6:$E$1005,'RECEBIMENTOS'!$B$6:$B$1005,A129))</f>
        <v>0</v>
      </c>
      <c r="AQ129" s="97" t="str">
        <f>IF(T129="","",IF(T129="RECEBIMENTO NÃO CONFIRMADO",IF(ISNUMBER(F129),F129,IF(ISNUMBER(E129),E129,"")),IF(OR(T129="CDF NÃO LOCALIZADO",T129="VÍNCULO INCOMPLETO",T129="CDF A CONFERIR"),IF(AP129&gt;0,AP129,IF(ISNUMBER(E129),E129,"")),IF(ISNUMBER(E129),E129,""))))</f>
        <v/>
      </c>
      <c r="AR129" s="96">
        <f>IF(NOT(ISNUMBER(U129)),0,IF(T129="RECEBIMENTO NÃO CONFIRMADO",IF(AND(ISNUMBER(cfg_rec),U129&gt;cfg_rec),1,0),IF(OR(T129="CDF NÃO LOCALIZADO",T129="VÍNCULO INCOMPLETO",T129="CDF A CONFERIR"),IF(AND(ISNUMBER(cfg_cdf),U129&gt;cfg_cdf),1,0),0)))</f>
        <v>0</v>
      </c>
      <c r="AS129" s="96" t="str">
        <f>IF(T129="","",IF(AR129=1,"Alta",IFERROR(INDEX(cfg_pp,MATCH(T129,cfg_pt,0))&amp;"","Média")))</f>
        <v/>
      </c>
      <c r="AT129" s="96" t="str">
        <f>IF(T129="","",IFERROR(INDEX(cfg_pv,MATCH(T129,cfg_pt,0))&amp;"",""))</f>
        <v/>
      </c>
      <c r="AU129" s="96" t="str">
        <f>IF(T129="","",IF(AS129="Alta",1,IF(AS129="Média",2,3))*1000000000+(999999-IF(ISNUMBER(U129),MIN(U129,999999),0))*1000+124)</f>
        <v/>
      </c>
      <c r="AV129" s="96">
        <f>IF(T129&lt;&gt;"",1,0)</f>
        <v>0</v>
      </c>
      <c r="AW129" s="96" t="str">
        <f>IF(Z129=0,"",IF(AA129=1,"Cancelamento informado; ","")&amp;IF(AE129=1,"Campos essenciais ou itens faltando; ","")&amp;IF(AC129=1,"Possível duplicidade do número; ","")&amp;IF(AD129=1,"Cadastro ou datas a revisar; ","")&amp;IF(AF129&gt;0,"Item de resíduo com dado a revisar; ","")&amp;IF(AH129&gt;0,"Diferença de quantidade a analisar; ","")&amp;IF(AK129&gt;0,"Recebimento com alerta; ","")&amp;IF(AL129&gt;0,"Vínculo de CDF com alerta; ","")&amp;IF(AND(AA129=0,AN129=0),"Recebimento não confirmado; ","")&amp;IF(AND(AA129=0,AN129=1,AO129=0),"CDF pendente ou a conferir; ",""))</f>
        <v/>
      </c>
      <c r="AX129" s="96">
        <f>IF(Z129=0,0,IF(AND(OR(f_ini="",AND(ISNUMBER(E129),E129&gt;=f_ini)),OR(f_fim="",AND(ISNUMBER(E129),E129&lt;=f_fim)),OR(f_un="",f_un="(Todas)",G129=f_un),OR(f_tr="",f_tr="(Todos)",H129=f_tr),OR(f_de="",f_de="(Todos)",I129=f_de),OR(f_sit="",f_sit="(Todas)",S129=f_sit)),1,0))</f>
        <v>0</v>
      </c>
      <c r="AY129" s="96">
        <f>IF(AX129=0,0,IF(OR(f_res="",f_res="(Todos)"),1,IF(COUNTIFS('ITENS_MTR'!$S$6:$S$1005,A129,'ITENS_MTR'!$C$6:$C$1005,f_res)&gt;0,1,0)))</f>
        <v>0</v>
      </c>
      <c r="AZ129" s="97" t="str">
        <f>IF(ISNUMBER(E129),DATE(YEAR(E129),MONTH(E129),1),"")</f>
        <v/>
      </c>
      <c r="BA129" s="96">
        <f>IF(Z129=0,0,IF(AND(OR(r_ini="",AND(ISNUMBER(E129),E129&gt;=r_ini)),OR(r_fim="",AND(ISNUMBER(E129),E129&lt;=r_fim)),OR(r_un="",r_un="(Todas)",G129=r_un),OR(r_de="",r_de="(Todos)",I129=r_de)),1,0))</f>
        <v>0</v>
      </c>
      <c r="BB129" s="96" t="str">
        <f>IF(BA129=1,COUNTIF($BA$6:BA129,1),"")</f>
        <v/>
      </c>
      <c r="BC129" s="96" t="str">
        <f>IF(AND(AU129&lt;&gt;"",OR(r_un="",r_un="(Todas)",G129=r_un),OR(r_de="",r_de="(Todos)",I129=r_de)),AU129,"")</f>
        <v/>
      </c>
      <c r="BD129" s="96" t="str">
        <f>IF(Z129=1,A129&amp;" | nº "&amp;IF(B129="","(sem número)",B129)&amp;" | "&amp;IF(G129="","(sem unidade)",G129),"")</f>
        <v/>
      </c>
      <c r="BE129" s="96" t="str">
        <f>IF(Z129=1,COUNTIF($Z$6:Z129,1),"")</f>
        <v/>
      </c>
      <c r="BF129" s="96" t="str">
        <f>IF(T129="","",IF(T129="RECEBIMENTO NÃO CONFIRMADO","Transp.: "&amp;H129&amp;" | Dest.: "&amp;I129,IF(OR(T129="CDF NÃO LOCALIZADO",T129="VÍNCULO INCOMPLETO",T129="CDF A CONFERIR"),"Dest.: "&amp;I129,"Gerador: "&amp;G129)))</f>
        <v/>
      </c>
    </row>
    <row r="130">
      <c r="A130" s="89" t="inlineStr">
        <is>
          <t>MTR-000125</t>
        </is>
      </c>
      <c r="B130" s="90" t="n"/>
      <c r="C130" s="91" t="n"/>
      <c r="D130" s="91" t="n"/>
      <c r="E130" s="92" t="n"/>
      <c r="F130" s="92" t="n"/>
      <c r="G130" s="91" t="n"/>
      <c r="H130" s="91" t="n"/>
      <c r="I130" s="91" t="n"/>
      <c r="J130" s="91" t="n"/>
      <c r="K130" s="91" t="n"/>
      <c r="L130" s="92" t="n"/>
      <c r="M130" s="91" t="n"/>
      <c r="N130" s="91" t="n"/>
      <c r="O130" s="91" t="n"/>
      <c r="P130" s="93" t="str">
        <f>IF(Z130=0,"",SUMIFS('ITENS_MTR'!$I$6:$I$1005,'ITENS_MTR'!$S$6:$S$1005,A130,'ITENS_MTR'!$Y$6:$Y$1005,1))</f>
        <v/>
      </c>
      <c r="Q130" s="93" t="str">
        <f>IF(Z130=0,"",SUMIFS('RECEBIMENTOS'!$H$6:$H$1005,'RECEBIMENTOS'!$B$6:$B$1005,A130,'RECEBIMENTOS'!$X$6:$X$1005,1))</f>
        <v/>
      </c>
      <c r="R130" s="93" t="str">
        <f>IF(Z130=0,"",SUMIFS('VÍNCULOS_CDF'!$H$6:$H$1005,'VÍNCULOS_CDF'!$D$6:$D$1005,A130,'VÍNCULOS_CDF'!$V$6:$V$1005,1))</f>
        <v/>
      </c>
      <c r="S130" s="94" t="str">
        <f>IF(Z130=0,"",IF(AA130=1,"Cancelado (informado)",IF(AE130=1,"Cadastro incompleto",IF(OR(AC130=1,AD130=1,AF130&gt;0,AH130&gt;0,AK130&gt;0,AL130&gt;0),"Informação a revisar",IF(AN130=0,"Aguardando recebimento",IF(N(R130)=0,"Aguardando CDF",IF(AJ130&lt;N(W130),"Vínculo de CDF parcial",IF(AO130=0,"CDF localizado, a conferir","Documentação conferida"))))))))</f>
        <v/>
      </c>
      <c r="T130" s="94" t="str">
        <f>IF(Z130=0,"",IF(S130="Cadastro incompleto","MTR INCOMPLETO",IF(S130="Informação a revisar",IF(AND(AH130&gt;0,AC130=0,AD130=0,AF130=0,AK130=0,AL130=0),"QUANTIDADE A REVISAR","IDENTIFICAÇÃO A REVISAR"),IF(S130="Aguardando recebimento","RECEBIMENTO NÃO CONFIRMADO",IF(S130="Aguardando CDF","CDF NÃO LOCALIZADO",IF(S130="Vínculo de CDF parcial","VÍNCULO INCOMPLETO",IF(S130="CDF localizado, a conferir","CDF A CONFERIR","")))))))</f>
        <v/>
      </c>
      <c r="U130" s="95" t="str">
        <f>IF(T130="","",IF(AQ130="","Não calculável",IF(AQ130&gt;TODAY(),"Data futura",TODAY()-AQ130)))</f>
        <v/>
      </c>
      <c r="V130" s="93" t="str">
        <f>IF(Z130=0,"",SUMIFS('RECEBIMENTOS'!$H$6:$H$1005,'RECEBIMENTOS'!$B$6:$B$1005,A130,'RECEBIMENTOS'!$Z$6:$Z$1005,1))</f>
        <v/>
      </c>
      <c r="W130" s="95" t="str">
        <f>IF(Z130=0,"",COUNTIFS('ITENS_MTR'!$S$6:$S$1005,A130,'ITENS_MTR'!$R$6:$R$1005,1))</f>
        <v/>
      </c>
      <c r="X130" s="94" t="str">
        <f>IF(AC130=1,"POSSÍVEL DUPLICIDADE","")</f>
        <v/>
      </c>
      <c r="Y130" s="94" t="str">
        <f>IF(Z130=0,"",IF(AW130="","Nenhuma",LEFT(AW130,LEN(AW130)-2)))</f>
        <v/>
      </c>
      <c r="Z130" s="96">
        <f>IF(COUNTA(B130:O130)&gt;0,1,0)</f>
        <v>0</v>
      </c>
      <c r="AA130" s="96">
        <f>IF(AND(Z130=1,K130&lt;&gt;""),IF(TRIM(K130)=TRIM(cfg_cancel),1,0),0)</f>
        <v>0</v>
      </c>
      <c r="AB130" s="96" t="str">
        <f>IF(AND(Z130=1,B130&lt;&gt;""),C130&amp;"|"&amp;D130&amp;"|"&amp;G130&amp;"|"&amp;TRIM(B130),"")</f>
        <v/>
      </c>
      <c r="AC130" s="96">
        <f>IF(AB130="",0,IF(SUMPRODUCT(--($AB$6:$AB$505=AB130))&gt;1,1,0))</f>
        <v>0</v>
      </c>
      <c r="AD130" s="96">
        <f>IF(Z130=0,0,IF(OR(AND(G130&lt;&gt;"",ISNA(MATCH(G130,'CAD_UNIDADES'!$C$6:$C$105,0))),AND(H130&lt;&gt;"",ISNA(MATCH(H130,cmp_transp,0))),AND(I130&lt;&gt;"",ISNA(MATCH(I130,cmp_dest,0))),AND(E130&lt;&gt;"",NOT(ISNUMBER(E130))),AND(F130&lt;&gt;"",NOT(ISNUMBER(F130))),AND(ISNUMBER(E130),ISNUMBER(F130),F130&lt;E130)),1,0))</f>
        <v>0</v>
      </c>
      <c r="AE130" s="96">
        <f>IF(Z130=0,0,IF(OR(B130="",C130="",E130="",G130="",H130="",I130="",N(W130)=0),1,0))</f>
        <v>0</v>
      </c>
      <c r="AF130" s="96">
        <f>IF(Z130=0,0,COUNTIFS('ITENS_MTR'!$S$6:$S$1005,A130,'ITENS_MTR'!$AI$6:$AI$1005,1))</f>
        <v>0</v>
      </c>
      <c r="AG130" s="96">
        <f>IF(Z130=0,0,COUNTIFS('ITENS_MTR'!$S$6:$S$1005,A130,'ITENS_MTR'!$AJ$6:$AJ$1005,1))</f>
        <v>0</v>
      </c>
      <c r="AH130" s="96">
        <f>IF(Z130=0,0,COUNTIFS('ITENS_MTR'!$S$6:$S$1005,A130,'ITENS_MTR'!$AM$6:$AM$1005,1))</f>
        <v>0</v>
      </c>
      <c r="AI130" s="96">
        <f>IF(Z130=0,0,COUNTIFS('ITENS_MTR'!$S$6:$S$1005,A130,'ITENS_MTR'!$AO$6:$AO$1005,1))</f>
        <v>0</v>
      </c>
      <c r="AJ130" s="96">
        <f>IF(Z130=0,0,COUNTIFS('ITENS_MTR'!$S$6:$S$1005,A130,'ITENS_MTR'!$AN$6:$AN$1005,1))</f>
        <v>0</v>
      </c>
      <c r="AK130" s="96">
        <f>IF(Z130=0,0,COUNTIFS('RECEBIMENTOS'!$B$6:$B$1005,A130,'RECEBIMENTOS'!$Y$6:$Y$1005,1))</f>
        <v>0</v>
      </c>
      <c r="AL130" s="96">
        <f>IF(Z130=0,0,COUNTIFS('VÍNCULOS_CDF'!$D$6:$D$1005,A130,'VÍNCULOS_CDF'!$Y$6:$Y$1005,1))</f>
        <v>0</v>
      </c>
      <c r="AM130" s="96">
        <f>IF(Z130=0,0,COUNTIFS('RECEBIMENTOS'!$B$6:$B$1005,A130,'RECEBIMENTOS'!$Q$6:$Q$1005,1))</f>
        <v>0</v>
      </c>
      <c r="AN130" s="96">
        <f>IF(AND(Z130=1,N(W130)&gt;0,AG130=N(W130)),1,0)</f>
        <v>0</v>
      </c>
      <c r="AO130" s="96">
        <f>IF(AND(Z130=1,N(W130)&gt;0,AI130=N(W130)),1,0)</f>
        <v>0</v>
      </c>
      <c r="AP130" s="97">
        <f>IF(Z130=0,0,_xlfn.MAXIFS('RECEBIMENTOS'!$E$6:$E$1005,'RECEBIMENTOS'!$B$6:$B$1005,A130))</f>
        <v>0</v>
      </c>
      <c r="AQ130" s="97" t="str">
        <f>IF(T130="","",IF(T130="RECEBIMENTO NÃO CONFIRMADO",IF(ISNUMBER(F130),F130,IF(ISNUMBER(E130),E130,"")),IF(OR(T130="CDF NÃO LOCALIZADO",T130="VÍNCULO INCOMPLETO",T130="CDF A CONFERIR"),IF(AP130&gt;0,AP130,IF(ISNUMBER(E130),E130,"")),IF(ISNUMBER(E130),E130,""))))</f>
        <v/>
      </c>
      <c r="AR130" s="96">
        <f>IF(NOT(ISNUMBER(U130)),0,IF(T130="RECEBIMENTO NÃO CONFIRMADO",IF(AND(ISNUMBER(cfg_rec),U130&gt;cfg_rec),1,0),IF(OR(T130="CDF NÃO LOCALIZADO",T130="VÍNCULO INCOMPLETO",T130="CDF A CONFERIR"),IF(AND(ISNUMBER(cfg_cdf),U130&gt;cfg_cdf),1,0),0)))</f>
        <v>0</v>
      </c>
      <c r="AS130" s="96" t="str">
        <f>IF(T130="","",IF(AR130=1,"Alta",IFERROR(INDEX(cfg_pp,MATCH(T130,cfg_pt,0))&amp;"","Média")))</f>
        <v/>
      </c>
      <c r="AT130" s="96" t="str">
        <f>IF(T130="","",IFERROR(INDEX(cfg_pv,MATCH(T130,cfg_pt,0))&amp;"",""))</f>
        <v/>
      </c>
      <c r="AU130" s="96" t="str">
        <f>IF(T130="","",IF(AS130="Alta",1,IF(AS130="Média",2,3))*1000000000+(999999-IF(ISNUMBER(U130),MIN(U130,999999),0))*1000+125)</f>
        <v/>
      </c>
      <c r="AV130" s="96">
        <f>IF(T130&lt;&gt;"",1,0)</f>
        <v>0</v>
      </c>
      <c r="AW130" s="96" t="str">
        <f>IF(Z130=0,"",IF(AA130=1,"Cancelamento informado; ","")&amp;IF(AE130=1,"Campos essenciais ou itens faltando; ","")&amp;IF(AC130=1,"Possível duplicidade do número; ","")&amp;IF(AD130=1,"Cadastro ou datas a revisar; ","")&amp;IF(AF130&gt;0,"Item de resíduo com dado a revisar; ","")&amp;IF(AH130&gt;0,"Diferença de quantidade a analisar; ","")&amp;IF(AK130&gt;0,"Recebimento com alerta; ","")&amp;IF(AL130&gt;0,"Vínculo de CDF com alerta; ","")&amp;IF(AND(AA130=0,AN130=0),"Recebimento não confirmado; ","")&amp;IF(AND(AA130=0,AN130=1,AO130=0),"CDF pendente ou a conferir; ",""))</f>
        <v/>
      </c>
      <c r="AX130" s="96">
        <f>IF(Z130=0,0,IF(AND(OR(f_ini="",AND(ISNUMBER(E130),E130&gt;=f_ini)),OR(f_fim="",AND(ISNUMBER(E130),E130&lt;=f_fim)),OR(f_un="",f_un="(Todas)",G130=f_un),OR(f_tr="",f_tr="(Todos)",H130=f_tr),OR(f_de="",f_de="(Todos)",I130=f_de),OR(f_sit="",f_sit="(Todas)",S130=f_sit)),1,0))</f>
        <v>0</v>
      </c>
      <c r="AY130" s="96">
        <f>IF(AX130=0,0,IF(OR(f_res="",f_res="(Todos)"),1,IF(COUNTIFS('ITENS_MTR'!$S$6:$S$1005,A130,'ITENS_MTR'!$C$6:$C$1005,f_res)&gt;0,1,0)))</f>
        <v>0</v>
      </c>
      <c r="AZ130" s="97" t="str">
        <f>IF(ISNUMBER(E130),DATE(YEAR(E130),MONTH(E130),1),"")</f>
        <v/>
      </c>
      <c r="BA130" s="96">
        <f>IF(Z130=0,0,IF(AND(OR(r_ini="",AND(ISNUMBER(E130),E130&gt;=r_ini)),OR(r_fim="",AND(ISNUMBER(E130),E130&lt;=r_fim)),OR(r_un="",r_un="(Todas)",G130=r_un),OR(r_de="",r_de="(Todos)",I130=r_de)),1,0))</f>
        <v>0</v>
      </c>
      <c r="BB130" s="96" t="str">
        <f>IF(BA130=1,COUNTIF($BA$6:BA130,1),"")</f>
        <v/>
      </c>
      <c r="BC130" s="96" t="str">
        <f>IF(AND(AU130&lt;&gt;"",OR(r_un="",r_un="(Todas)",G130=r_un),OR(r_de="",r_de="(Todos)",I130=r_de)),AU130,"")</f>
        <v/>
      </c>
      <c r="BD130" s="96" t="str">
        <f>IF(Z130=1,A130&amp;" | nº "&amp;IF(B130="","(sem número)",B130)&amp;" | "&amp;IF(G130="","(sem unidade)",G130),"")</f>
        <v/>
      </c>
      <c r="BE130" s="96" t="str">
        <f>IF(Z130=1,COUNTIF($Z$6:Z130,1),"")</f>
        <v/>
      </c>
      <c r="BF130" s="96" t="str">
        <f>IF(T130="","",IF(T130="RECEBIMENTO NÃO CONFIRMADO","Transp.: "&amp;H130&amp;" | Dest.: "&amp;I130,IF(OR(T130="CDF NÃO LOCALIZADO",T130="VÍNCULO INCOMPLETO",T130="CDF A CONFERIR"),"Dest.: "&amp;I130,"Gerador: "&amp;G130)))</f>
        <v/>
      </c>
    </row>
    <row r="131">
      <c r="A131" s="89" t="inlineStr">
        <is>
          <t>MTR-000126</t>
        </is>
      </c>
      <c r="B131" s="90" t="n"/>
      <c r="C131" s="91" t="n"/>
      <c r="D131" s="91" t="n"/>
      <c r="E131" s="92" t="n"/>
      <c r="F131" s="92" t="n"/>
      <c r="G131" s="91" t="n"/>
      <c r="H131" s="91" t="n"/>
      <c r="I131" s="91" t="n"/>
      <c r="J131" s="91" t="n"/>
      <c r="K131" s="91" t="n"/>
      <c r="L131" s="92" t="n"/>
      <c r="M131" s="91" t="n"/>
      <c r="N131" s="91" t="n"/>
      <c r="O131" s="91" t="n"/>
      <c r="P131" s="93" t="str">
        <f>IF(Z131=0,"",SUMIFS('ITENS_MTR'!$I$6:$I$1005,'ITENS_MTR'!$S$6:$S$1005,A131,'ITENS_MTR'!$Y$6:$Y$1005,1))</f>
        <v/>
      </c>
      <c r="Q131" s="93" t="str">
        <f>IF(Z131=0,"",SUMIFS('RECEBIMENTOS'!$H$6:$H$1005,'RECEBIMENTOS'!$B$6:$B$1005,A131,'RECEBIMENTOS'!$X$6:$X$1005,1))</f>
        <v/>
      </c>
      <c r="R131" s="93" t="str">
        <f>IF(Z131=0,"",SUMIFS('VÍNCULOS_CDF'!$H$6:$H$1005,'VÍNCULOS_CDF'!$D$6:$D$1005,A131,'VÍNCULOS_CDF'!$V$6:$V$1005,1))</f>
        <v/>
      </c>
      <c r="S131" s="94" t="str">
        <f>IF(Z131=0,"",IF(AA131=1,"Cancelado (informado)",IF(AE131=1,"Cadastro incompleto",IF(OR(AC131=1,AD131=1,AF131&gt;0,AH131&gt;0,AK131&gt;0,AL131&gt;0),"Informação a revisar",IF(AN131=0,"Aguardando recebimento",IF(N(R131)=0,"Aguardando CDF",IF(AJ131&lt;N(W131),"Vínculo de CDF parcial",IF(AO131=0,"CDF localizado, a conferir","Documentação conferida"))))))))</f>
        <v/>
      </c>
      <c r="T131" s="94" t="str">
        <f>IF(Z131=0,"",IF(S131="Cadastro incompleto","MTR INCOMPLETO",IF(S131="Informação a revisar",IF(AND(AH131&gt;0,AC131=0,AD131=0,AF131=0,AK131=0,AL131=0),"QUANTIDADE A REVISAR","IDENTIFICAÇÃO A REVISAR"),IF(S131="Aguardando recebimento","RECEBIMENTO NÃO CONFIRMADO",IF(S131="Aguardando CDF","CDF NÃO LOCALIZADO",IF(S131="Vínculo de CDF parcial","VÍNCULO INCOMPLETO",IF(S131="CDF localizado, a conferir","CDF A CONFERIR","")))))))</f>
        <v/>
      </c>
      <c r="U131" s="95" t="str">
        <f>IF(T131="","",IF(AQ131="","Não calculável",IF(AQ131&gt;TODAY(),"Data futura",TODAY()-AQ131)))</f>
        <v/>
      </c>
      <c r="V131" s="93" t="str">
        <f>IF(Z131=0,"",SUMIFS('RECEBIMENTOS'!$H$6:$H$1005,'RECEBIMENTOS'!$B$6:$B$1005,A131,'RECEBIMENTOS'!$Z$6:$Z$1005,1))</f>
        <v/>
      </c>
      <c r="W131" s="95" t="str">
        <f>IF(Z131=0,"",COUNTIFS('ITENS_MTR'!$S$6:$S$1005,A131,'ITENS_MTR'!$R$6:$R$1005,1))</f>
        <v/>
      </c>
      <c r="X131" s="94" t="str">
        <f>IF(AC131=1,"POSSÍVEL DUPLICIDADE","")</f>
        <v/>
      </c>
      <c r="Y131" s="94" t="str">
        <f>IF(Z131=0,"",IF(AW131="","Nenhuma",LEFT(AW131,LEN(AW131)-2)))</f>
        <v/>
      </c>
      <c r="Z131" s="96">
        <f>IF(COUNTA(B131:O131)&gt;0,1,0)</f>
        <v>0</v>
      </c>
      <c r="AA131" s="96">
        <f>IF(AND(Z131=1,K131&lt;&gt;""),IF(TRIM(K131)=TRIM(cfg_cancel),1,0),0)</f>
        <v>0</v>
      </c>
      <c r="AB131" s="96" t="str">
        <f>IF(AND(Z131=1,B131&lt;&gt;""),C131&amp;"|"&amp;D131&amp;"|"&amp;G131&amp;"|"&amp;TRIM(B131),"")</f>
        <v/>
      </c>
      <c r="AC131" s="96">
        <f>IF(AB131="",0,IF(SUMPRODUCT(--($AB$6:$AB$505=AB131))&gt;1,1,0))</f>
        <v>0</v>
      </c>
      <c r="AD131" s="96">
        <f>IF(Z131=0,0,IF(OR(AND(G131&lt;&gt;"",ISNA(MATCH(G131,'CAD_UNIDADES'!$C$6:$C$105,0))),AND(H131&lt;&gt;"",ISNA(MATCH(H131,cmp_transp,0))),AND(I131&lt;&gt;"",ISNA(MATCH(I131,cmp_dest,0))),AND(E131&lt;&gt;"",NOT(ISNUMBER(E131))),AND(F131&lt;&gt;"",NOT(ISNUMBER(F131))),AND(ISNUMBER(E131),ISNUMBER(F131),F131&lt;E131)),1,0))</f>
        <v>0</v>
      </c>
      <c r="AE131" s="96">
        <f>IF(Z131=0,0,IF(OR(B131="",C131="",E131="",G131="",H131="",I131="",N(W131)=0),1,0))</f>
        <v>0</v>
      </c>
      <c r="AF131" s="96">
        <f>IF(Z131=0,0,COUNTIFS('ITENS_MTR'!$S$6:$S$1005,A131,'ITENS_MTR'!$AI$6:$AI$1005,1))</f>
        <v>0</v>
      </c>
      <c r="AG131" s="96">
        <f>IF(Z131=0,0,COUNTIFS('ITENS_MTR'!$S$6:$S$1005,A131,'ITENS_MTR'!$AJ$6:$AJ$1005,1))</f>
        <v>0</v>
      </c>
      <c r="AH131" s="96">
        <f>IF(Z131=0,0,COUNTIFS('ITENS_MTR'!$S$6:$S$1005,A131,'ITENS_MTR'!$AM$6:$AM$1005,1))</f>
        <v>0</v>
      </c>
      <c r="AI131" s="96">
        <f>IF(Z131=0,0,COUNTIFS('ITENS_MTR'!$S$6:$S$1005,A131,'ITENS_MTR'!$AO$6:$AO$1005,1))</f>
        <v>0</v>
      </c>
      <c r="AJ131" s="96">
        <f>IF(Z131=0,0,COUNTIFS('ITENS_MTR'!$S$6:$S$1005,A131,'ITENS_MTR'!$AN$6:$AN$1005,1))</f>
        <v>0</v>
      </c>
      <c r="AK131" s="96">
        <f>IF(Z131=0,0,COUNTIFS('RECEBIMENTOS'!$B$6:$B$1005,A131,'RECEBIMENTOS'!$Y$6:$Y$1005,1))</f>
        <v>0</v>
      </c>
      <c r="AL131" s="96">
        <f>IF(Z131=0,0,COUNTIFS('VÍNCULOS_CDF'!$D$6:$D$1005,A131,'VÍNCULOS_CDF'!$Y$6:$Y$1005,1))</f>
        <v>0</v>
      </c>
      <c r="AM131" s="96">
        <f>IF(Z131=0,0,COUNTIFS('RECEBIMENTOS'!$B$6:$B$1005,A131,'RECEBIMENTOS'!$Q$6:$Q$1005,1))</f>
        <v>0</v>
      </c>
      <c r="AN131" s="96">
        <f>IF(AND(Z131=1,N(W131)&gt;0,AG131=N(W131)),1,0)</f>
        <v>0</v>
      </c>
      <c r="AO131" s="96">
        <f>IF(AND(Z131=1,N(W131)&gt;0,AI131=N(W131)),1,0)</f>
        <v>0</v>
      </c>
      <c r="AP131" s="97">
        <f>IF(Z131=0,0,_xlfn.MAXIFS('RECEBIMENTOS'!$E$6:$E$1005,'RECEBIMENTOS'!$B$6:$B$1005,A131))</f>
        <v>0</v>
      </c>
      <c r="AQ131" s="97" t="str">
        <f>IF(T131="","",IF(T131="RECEBIMENTO NÃO CONFIRMADO",IF(ISNUMBER(F131),F131,IF(ISNUMBER(E131),E131,"")),IF(OR(T131="CDF NÃO LOCALIZADO",T131="VÍNCULO INCOMPLETO",T131="CDF A CONFERIR"),IF(AP131&gt;0,AP131,IF(ISNUMBER(E131),E131,"")),IF(ISNUMBER(E131),E131,""))))</f>
        <v/>
      </c>
      <c r="AR131" s="96">
        <f>IF(NOT(ISNUMBER(U131)),0,IF(T131="RECEBIMENTO NÃO CONFIRMADO",IF(AND(ISNUMBER(cfg_rec),U131&gt;cfg_rec),1,0),IF(OR(T131="CDF NÃO LOCALIZADO",T131="VÍNCULO INCOMPLETO",T131="CDF A CONFERIR"),IF(AND(ISNUMBER(cfg_cdf),U131&gt;cfg_cdf),1,0),0)))</f>
        <v>0</v>
      </c>
      <c r="AS131" s="96" t="str">
        <f>IF(T131="","",IF(AR131=1,"Alta",IFERROR(INDEX(cfg_pp,MATCH(T131,cfg_pt,0))&amp;"","Média")))</f>
        <v/>
      </c>
      <c r="AT131" s="96" t="str">
        <f>IF(T131="","",IFERROR(INDEX(cfg_pv,MATCH(T131,cfg_pt,0))&amp;"",""))</f>
        <v/>
      </c>
      <c r="AU131" s="96" t="str">
        <f>IF(T131="","",IF(AS131="Alta",1,IF(AS131="Média",2,3))*1000000000+(999999-IF(ISNUMBER(U131),MIN(U131,999999),0))*1000+126)</f>
        <v/>
      </c>
      <c r="AV131" s="96">
        <f>IF(T131&lt;&gt;"",1,0)</f>
        <v>0</v>
      </c>
      <c r="AW131" s="96" t="str">
        <f>IF(Z131=0,"",IF(AA131=1,"Cancelamento informado; ","")&amp;IF(AE131=1,"Campos essenciais ou itens faltando; ","")&amp;IF(AC131=1,"Possível duplicidade do número; ","")&amp;IF(AD131=1,"Cadastro ou datas a revisar; ","")&amp;IF(AF131&gt;0,"Item de resíduo com dado a revisar; ","")&amp;IF(AH131&gt;0,"Diferença de quantidade a analisar; ","")&amp;IF(AK131&gt;0,"Recebimento com alerta; ","")&amp;IF(AL131&gt;0,"Vínculo de CDF com alerta; ","")&amp;IF(AND(AA131=0,AN131=0),"Recebimento não confirmado; ","")&amp;IF(AND(AA131=0,AN131=1,AO131=0),"CDF pendente ou a conferir; ",""))</f>
        <v/>
      </c>
      <c r="AX131" s="96">
        <f>IF(Z131=0,0,IF(AND(OR(f_ini="",AND(ISNUMBER(E131),E131&gt;=f_ini)),OR(f_fim="",AND(ISNUMBER(E131),E131&lt;=f_fim)),OR(f_un="",f_un="(Todas)",G131=f_un),OR(f_tr="",f_tr="(Todos)",H131=f_tr),OR(f_de="",f_de="(Todos)",I131=f_de),OR(f_sit="",f_sit="(Todas)",S131=f_sit)),1,0))</f>
        <v>0</v>
      </c>
      <c r="AY131" s="96">
        <f>IF(AX131=0,0,IF(OR(f_res="",f_res="(Todos)"),1,IF(COUNTIFS('ITENS_MTR'!$S$6:$S$1005,A131,'ITENS_MTR'!$C$6:$C$1005,f_res)&gt;0,1,0)))</f>
        <v>0</v>
      </c>
      <c r="AZ131" s="97" t="str">
        <f>IF(ISNUMBER(E131),DATE(YEAR(E131),MONTH(E131),1),"")</f>
        <v/>
      </c>
      <c r="BA131" s="96">
        <f>IF(Z131=0,0,IF(AND(OR(r_ini="",AND(ISNUMBER(E131),E131&gt;=r_ini)),OR(r_fim="",AND(ISNUMBER(E131),E131&lt;=r_fim)),OR(r_un="",r_un="(Todas)",G131=r_un),OR(r_de="",r_de="(Todos)",I131=r_de)),1,0))</f>
        <v>0</v>
      </c>
      <c r="BB131" s="96" t="str">
        <f>IF(BA131=1,COUNTIF($BA$6:BA131,1),"")</f>
        <v/>
      </c>
      <c r="BC131" s="96" t="str">
        <f>IF(AND(AU131&lt;&gt;"",OR(r_un="",r_un="(Todas)",G131=r_un),OR(r_de="",r_de="(Todos)",I131=r_de)),AU131,"")</f>
        <v/>
      </c>
      <c r="BD131" s="96" t="str">
        <f>IF(Z131=1,A131&amp;" | nº "&amp;IF(B131="","(sem número)",B131)&amp;" | "&amp;IF(G131="","(sem unidade)",G131),"")</f>
        <v/>
      </c>
      <c r="BE131" s="96" t="str">
        <f>IF(Z131=1,COUNTIF($Z$6:Z131,1),"")</f>
        <v/>
      </c>
      <c r="BF131" s="96" t="str">
        <f>IF(T131="","",IF(T131="RECEBIMENTO NÃO CONFIRMADO","Transp.: "&amp;H131&amp;" | Dest.: "&amp;I131,IF(OR(T131="CDF NÃO LOCALIZADO",T131="VÍNCULO INCOMPLETO",T131="CDF A CONFERIR"),"Dest.: "&amp;I131,"Gerador: "&amp;G131)))</f>
        <v/>
      </c>
    </row>
    <row r="132">
      <c r="A132" s="89" t="inlineStr">
        <is>
          <t>MTR-000127</t>
        </is>
      </c>
      <c r="B132" s="90" t="n"/>
      <c r="C132" s="91" t="n"/>
      <c r="D132" s="91" t="n"/>
      <c r="E132" s="92" t="n"/>
      <c r="F132" s="92" t="n"/>
      <c r="G132" s="91" t="n"/>
      <c r="H132" s="91" t="n"/>
      <c r="I132" s="91" t="n"/>
      <c r="J132" s="91" t="n"/>
      <c r="K132" s="91" t="n"/>
      <c r="L132" s="92" t="n"/>
      <c r="M132" s="91" t="n"/>
      <c r="N132" s="91" t="n"/>
      <c r="O132" s="91" t="n"/>
      <c r="P132" s="93" t="str">
        <f>IF(Z132=0,"",SUMIFS('ITENS_MTR'!$I$6:$I$1005,'ITENS_MTR'!$S$6:$S$1005,A132,'ITENS_MTR'!$Y$6:$Y$1005,1))</f>
        <v/>
      </c>
      <c r="Q132" s="93" t="str">
        <f>IF(Z132=0,"",SUMIFS('RECEBIMENTOS'!$H$6:$H$1005,'RECEBIMENTOS'!$B$6:$B$1005,A132,'RECEBIMENTOS'!$X$6:$X$1005,1))</f>
        <v/>
      </c>
      <c r="R132" s="93" t="str">
        <f>IF(Z132=0,"",SUMIFS('VÍNCULOS_CDF'!$H$6:$H$1005,'VÍNCULOS_CDF'!$D$6:$D$1005,A132,'VÍNCULOS_CDF'!$V$6:$V$1005,1))</f>
        <v/>
      </c>
      <c r="S132" s="94" t="str">
        <f>IF(Z132=0,"",IF(AA132=1,"Cancelado (informado)",IF(AE132=1,"Cadastro incompleto",IF(OR(AC132=1,AD132=1,AF132&gt;0,AH132&gt;0,AK132&gt;0,AL132&gt;0),"Informação a revisar",IF(AN132=0,"Aguardando recebimento",IF(N(R132)=0,"Aguardando CDF",IF(AJ132&lt;N(W132),"Vínculo de CDF parcial",IF(AO132=0,"CDF localizado, a conferir","Documentação conferida"))))))))</f>
        <v/>
      </c>
      <c r="T132" s="94" t="str">
        <f>IF(Z132=0,"",IF(S132="Cadastro incompleto","MTR INCOMPLETO",IF(S132="Informação a revisar",IF(AND(AH132&gt;0,AC132=0,AD132=0,AF132=0,AK132=0,AL132=0),"QUANTIDADE A REVISAR","IDENTIFICAÇÃO A REVISAR"),IF(S132="Aguardando recebimento","RECEBIMENTO NÃO CONFIRMADO",IF(S132="Aguardando CDF","CDF NÃO LOCALIZADO",IF(S132="Vínculo de CDF parcial","VÍNCULO INCOMPLETO",IF(S132="CDF localizado, a conferir","CDF A CONFERIR","")))))))</f>
        <v/>
      </c>
      <c r="U132" s="95" t="str">
        <f>IF(T132="","",IF(AQ132="","Não calculável",IF(AQ132&gt;TODAY(),"Data futura",TODAY()-AQ132)))</f>
        <v/>
      </c>
      <c r="V132" s="93" t="str">
        <f>IF(Z132=0,"",SUMIFS('RECEBIMENTOS'!$H$6:$H$1005,'RECEBIMENTOS'!$B$6:$B$1005,A132,'RECEBIMENTOS'!$Z$6:$Z$1005,1))</f>
        <v/>
      </c>
      <c r="W132" s="95" t="str">
        <f>IF(Z132=0,"",COUNTIFS('ITENS_MTR'!$S$6:$S$1005,A132,'ITENS_MTR'!$R$6:$R$1005,1))</f>
        <v/>
      </c>
      <c r="X132" s="94" t="str">
        <f>IF(AC132=1,"POSSÍVEL DUPLICIDADE","")</f>
        <v/>
      </c>
      <c r="Y132" s="94" t="str">
        <f>IF(Z132=0,"",IF(AW132="","Nenhuma",LEFT(AW132,LEN(AW132)-2)))</f>
        <v/>
      </c>
      <c r="Z132" s="96">
        <f>IF(COUNTA(B132:O132)&gt;0,1,0)</f>
        <v>0</v>
      </c>
      <c r="AA132" s="96">
        <f>IF(AND(Z132=1,K132&lt;&gt;""),IF(TRIM(K132)=TRIM(cfg_cancel),1,0),0)</f>
        <v>0</v>
      </c>
      <c r="AB132" s="96" t="str">
        <f>IF(AND(Z132=1,B132&lt;&gt;""),C132&amp;"|"&amp;D132&amp;"|"&amp;G132&amp;"|"&amp;TRIM(B132),"")</f>
        <v/>
      </c>
      <c r="AC132" s="96">
        <f>IF(AB132="",0,IF(SUMPRODUCT(--($AB$6:$AB$505=AB132))&gt;1,1,0))</f>
        <v>0</v>
      </c>
      <c r="AD132" s="96">
        <f>IF(Z132=0,0,IF(OR(AND(G132&lt;&gt;"",ISNA(MATCH(G132,'CAD_UNIDADES'!$C$6:$C$105,0))),AND(H132&lt;&gt;"",ISNA(MATCH(H132,cmp_transp,0))),AND(I132&lt;&gt;"",ISNA(MATCH(I132,cmp_dest,0))),AND(E132&lt;&gt;"",NOT(ISNUMBER(E132))),AND(F132&lt;&gt;"",NOT(ISNUMBER(F132))),AND(ISNUMBER(E132),ISNUMBER(F132),F132&lt;E132)),1,0))</f>
        <v>0</v>
      </c>
      <c r="AE132" s="96">
        <f>IF(Z132=0,0,IF(OR(B132="",C132="",E132="",G132="",H132="",I132="",N(W132)=0),1,0))</f>
        <v>0</v>
      </c>
      <c r="AF132" s="96">
        <f>IF(Z132=0,0,COUNTIFS('ITENS_MTR'!$S$6:$S$1005,A132,'ITENS_MTR'!$AI$6:$AI$1005,1))</f>
        <v>0</v>
      </c>
      <c r="AG132" s="96">
        <f>IF(Z132=0,0,COUNTIFS('ITENS_MTR'!$S$6:$S$1005,A132,'ITENS_MTR'!$AJ$6:$AJ$1005,1))</f>
        <v>0</v>
      </c>
      <c r="AH132" s="96">
        <f>IF(Z132=0,0,COUNTIFS('ITENS_MTR'!$S$6:$S$1005,A132,'ITENS_MTR'!$AM$6:$AM$1005,1))</f>
        <v>0</v>
      </c>
      <c r="AI132" s="96">
        <f>IF(Z132=0,0,COUNTIFS('ITENS_MTR'!$S$6:$S$1005,A132,'ITENS_MTR'!$AO$6:$AO$1005,1))</f>
        <v>0</v>
      </c>
      <c r="AJ132" s="96">
        <f>IF(Z132=0,0,COUNTIFS('ITENS_MTR'!$S$6:$S$1005,A132,'ITENS_MTR'!$AN$6:$AN$1005,1))</f>
        <v>0</v>
      </c>
      <c r="AK132" s="96">
        <f>IF(Z132=0,0,COUNTIFS('RECEBIMENTOS'!$B$6:$B$1005,A132,'RECEBIMENTOS'!$Y$6:$Y$1005,1))</f>
        <v>0</v>
      </c>
      <c r="AL132" s="96">
        <f>IF(Z132=0,0,COUNTIFS('VÍNCULOS_CDF'!$D$6:$D$1005,A132,'VÍNCULOS_CDF'!$Y$6:$Y$1005,1))</f>
        <v>0</v>
      </c>
      <c r="AM132" s="96">
        <f>IF(Z132=0,0,COUNTIFS('RECEBIMENTOS'!$B$6:$B$1005,A132,'RECEBIMENTOS'!$Q$6:$Q$1005,1))</f>
        <v>0</v>
      </c>
      <c r="AN132" s="96">
        <f>IF(AND(Z132=1,N(W132)&gt;0,AG132=N(W132)),1,0)</f>
        <v>0</v>
      </c>
      <c r="AO132" s="96">
        <f>IF(AND(Z132=1,N(W132)&gt;0,AI132=N(W132)),1,0)</f>
        <v>0</v>
      </c>
      <c r="AP132" s="97">
        <f>IF(Z132=0,0,_xlfn.MAXIFS('RECEBIMENTOS'!$E$6:$E$1005,'RECEBIMENTOS'!$B$6:$B$1005,A132))</f>
        <v>0</v>
      </c>
      <c r="AQ132" s="97" t="str">
        <f>IF(T132="","",IF(T132="RECEBIMENTO NÃO CONFIRMADO",IF(ISNUMBER(F132),F132,IF(ISNUMBER(E132),E132,"")),IF(OR(T132="CDF NÃO LOCALIZADO",T132="VÍNCULO INCOMPLETO",T132="CDF A CONFERIR"),IF(AP132&gt;0,AP132,IF(ISNUMBER(E132),E132,"")),IF(ISNUMBER(E132),E132,""))))</f>
        <v/>
      </c>
      <c r="AR132" s="96">
        <f>IF(NOT(ISNUMBER(U132)),0,IF(T132="RECEBIMENTO NÃO CONFIRMADO",IF(AND(ISNUMBER(cfg_rec),U132&gt;cfg_rec),1,0),IF(OR(T132="CDF NÃO LOCALIZADO",T132="VÍNCULO INCOMPLETO",T132="CDF A CONFERIR"),IF(AND(ISNUMBER(cfg_cdf),U132&gt;cfg_cdf),1,0),0)))</f>
        <v>0</v>
      </c>
      <c r="AS132" s="96" t="str">
        <f>IF(T132="","",IF(AR132=1,"Alta",IFERROR(INDEX(cfg_pp,MATCH(T132,cfg_pt,0))&amp;"","Média")))</f>
        <v/>
      </c>
      <c r="AT132" s="96" t="str">
        <f>IF(T132="","",IFERROR(INDEX(cfg_pv,MATCH(T132,cfg_pt,0))&amp;"",""))</f>
        <v/>
      </c>
      <c r="AU132" s="96" t="str">
        <f>IF(T132="","",IF(AS132="Alta",1,IF(AS132="Média",2,3))*1000000000+(999999-IF(ISNUMBER(U132),MIN(U132,999999),0))*1000+127)</f>
        <v/>
      </c>
      <c r="AV132" s="96">
        <f>IF(T132&lt;&gt;"",1,0)</f>
        <v>0</v>
      </c>
      <c r="AW132" s="96" t="str">
        <f>IF(Z132=0,"",IF(AA132=1,"Cancelamento informado; ","")&amp;IF(AE132=1,"Campos essenciais ou itens faltando; ","")&amp;IF(AC132=1,"Possível duplicidade do número; ","")&amp;IF(AD132=1,"Cadastro ou datas a revisar; ","")&amp;IF(AF132&gt;0,"Item de resíduo com dado a revisar; ","")&amp;IF(AH132&gt;0,"Diferença de quantidade a analisar; ","")&amp;IF(AK132&gt;0,"Recebimento com alerta; ","")&amp;IF(AL132&gt;0,"Vínculo de CDF com alerta; ","")&amp;IF(AND(AA132=0,AN132=0),"Recebimento não confirmado; ","")&amp;IF(AND(AA132=0,AN132=1,AO132=0),"CDF pendente ou a conferir; ",""))</f>
        <v/>
      </c>
      <c r="AX132" s="96">
        <f>IF(Z132=0,0,IF(AND(OR(f_ini="",AND(ISNUMBER(E132),E132&gt;=f_ini)),OR(f_fim="",AND(ISNUMBER(E132),E132&lt;=f_fim)),OR(f_un="",f_un="(Todas)",G132=f_un),OR(f_tr="",f_tr="(Todos)",H132=f_tr),OR(f_de="",f_de="(Todos)",I132=f_de),OR(f_sit="",f_sit="(Todas)",S132=f_sit)),1,0))</f>
        <v>0</v>
      </c>
      <c r="AY132" s="96">
        <f>IF(AX132=0,0,IF(OR(f_res="",f_res="(Todos)"),1,IF(COUNTIFS('ITENS_MTR'!$S$6:$S$1005,A132,'ITENS_MTR'!$C$6:$C$1005,f_res)&gt;0,1,0)))</f>
        <v>0</v>
      </c>
      <c r="AZ132" s="97" t="str">
        <f>IF(ISNUMBER(E132),DATE(YEAR(E132),MONTH(E132),1),"")</f>
        <v/>
      </c>
      <c r="BA132" s="96">
        <f>IF(Z132=0,0,IF(AND(OR(r_ini="",AND(ISNUMBER(E132),E132&gt;=r_ini)),OR(r_fim="",AND(ISNUMBER(E132),E132&lt;=r_fim)),OR(r_un="",r_un="(Todas)",G132=r_un),OR(r_de="",r_de="(Todos)",I132=r_de)),1,0))</f>
        <v>0</v>
      </c>
      <c r="BB132" s="96" t="str">
        <f>IF(BA132=1,COUNTIF($BA$6:BA132,1),"")</f>
        <v/>
      </c>
      <c r="BC132" s="96" t="str">
        <f>IF(AND(AU132&lt;&gt;"",OR(r_un="",r_un="(Todas)",G132=r_un),OR(r_de="",r_de="(Todos)",I132=r_de)),AU132,"")</f>
        <v/>
      </c>
      <c r="BD132" s="96" t="str">
        <f>IF(Z132=1,A132&amp;" | nº "&amp;IF(B132="","(sem número)",B132)&amp;" | "&amp;IF(G132="","(sem unidade)",G132),"")</f>
        <v/>
      </c>
      <c r="BE132" s="96" t="str">
        <f>IF(Z132=1,COUNTIF($Z$6:Z132,1),"")</f>
        <v/>
      </c>
      <c r="BF132" s="96" t="str">
        <f>IF(T132="","",IF(T132="RECEBIMENTO NÃO CONFIRMADO","Transp.: "&amp;H132&amp;" | Dest.: "&amp;I132,IF(OR(T132="CDF NÃO LOCALIZADO",T132="VÍNCULO INCOMPLETO",T132="CDF A CONFERIR"),"Dest.: "&amp;I132,"Gerador: "&amp;G132)))</f>
        <v/>
      </c>
    </row>
    <row r="133">
      <c r="A133" s="89" t="inlineStr">
        <is>
          <t>MTR-000128</t>
        </is>
      </c>
      <c r="B133" s="90" t="n"/>
      <c r="C133" s="91" t="n"/>
      <c r="D133" s="91" t="n"/>
      <c r="E133" s="92" t="n"/>
      <c r="F133" s="92" t="n"/>
      <c r="G133" s="91" t="n"/>
      <c r="H133" s="91" t="n"/>
      <c r="I133" s="91" t="n"/>
      <c r="J133" s="91" t="n"/>
      <c r="K133" s="91" t="n"/>
      <c r="L133" s="92" t="n"/>
      <c r="M133" s="91" t="n"/>
      <c r="N133" s="91" t="n"/>
      <c r="O133" s="91" t="n"/>
      <c r="P133" s="93" t="str">
        <f>IF(Z133=0,"",SUMIFS('ITENS_MTR'!$I$6:$I$1005,'ITENS_MTR'!$S$6:$S$1005,A133,'ITENS_MTR'!$Y$6:$Y$1005,1))</f>
        <v/>
      </c>
      <c r="Q133" s="93" t="str">
        <f>IF(Z133=0,"",SUMIFS('RECEBIMENTOS'!$H$6:$H$1005,'RECEBIMENTOS'!$B$6:$B$1005,A133,'RECEBIMENTOS'!$X$6:$X$1005,1))</f>
        <v/>
      </c>
      <c r="R133" s="93" t="str">
        <f>IF(Z133=0,"",SUMIFS('VÍNCULOS_CDF'!$H$6:$H$1005,'VÍNCULOS_CDF'!$D$6:$D$1005,A133,'VÍNCULOS_CDF'!$V$6:$V$1005,1))</f>
        <v/>
      </c>
      <c r="S133" s="94" t="str">
        <f>IF(Z133=0,"",IF(AA133=1,"Cancelado (informado)",IF(AE133=1,"Cadastro incompleto",IF(OR(AC133=1,AD133=1,AF133&gt;0,AH133&gt;0,AK133&gt;0,AL133&gt;0),"Informação a revisar",IF(AN133=0,"Aguardando recebimento",IF(N(R133)=0,"Aguardando CDF",IF(AJ133&lt;N(W133),"Vínculo de CDF parcial",IF(AO133=0,"CDF localizado, a conferir","Documentação conferida"))))))))</f>
        <v/>
      </c>
      <c r="T133" s="94" t="str">
        <f>IF(Z133=0,"",IF(S133="Cadastro incompleto","MTR INCOMPLETO",IF(S133="Informação a revisar",IF(AND(AH133&gt;0,AC133=0,AD133=0,AF133=0,AK133=0,AL133=0),"QUANTIDADE A REVISAR","IDENTIFICAÇÃO A REVISAR"),IF(S133="Aguardando recebimento","RECEBIMENTO NÃO CONFIRMADO",IF(S133="Aguardando CDF","CDF NÃO LOCALIZADO",IF(S133="Vínculo de CDF parcial","VÍNCULO INCOMPLETO",IF(S133="CDF localizado, a conferir","CDF A CONFERIR","")))))))</f>
        <v/>
      </c>
      <c r="U133" s="95" t="str">
        <f>IF(T133="","",IF(AQ133="","Não calculável",IF(AQ133&gt;TODAY(),"Data futura",TODAY()-AQ133)))</f>
        <v/>
      </c>
      <c r="V133" s="93" t="str">
        <f>IF(Z133=0,"",SUMIFS('RECEBIMENTOS'!$H$6:$H$1005,'RECEBIMENTOS'!$B$6:$B$1005,A133,'RECEBIMENTOS'!$Z$6:$Z$1005,1))</f>
        <v/>
      </c>
      <c r="W133" s="95" t="str">
        <f>IF(Z133=0,"",COUNTIFS('ITENS_MTR'!$S$6:$S$1005,A133,'ITENS_MTR'!$R$6:$R$1005,1))</f>
        <v/>
      </c>
      <c r="X133" s="94" t="str">
        <f>IF(AC133=1,"POSSÍVEL DUPLICIDADE","")</f>
        <v/>
      </c>
      <c r="Y133" s="94" t="str">
        <f>IF(Z133=0,"",IF(AW133="","Nenhuma",LEFT(AW133,LEN(AW133)-2)))</f>
        <v/>
      </c>
      <c r="Z133" s="96">
        <f>IF(COUNTA(B133:O133)&gt;0,1,0)</f>
        <v>0</v>
      </c>
      <c r="AA133" s="96">
        <f>IF(AND(Z133=1,K133&lt;&gt;""),IF(TRIM(K133)=TRIM(cfg_cancel),1,0),0)</f>
        <v>0</v>
      </c>
      <c r="AB133" s="96" t="str">
        <f>IF(AND(Z133=1,B133&lt;&gt;""),C133&amp;"|"&amp;D133&amp;"|"&amp;G133&amp;"|"&amp;TRIM(B133),"")</f>
        <v/>
      </c>
      <c r="AC133" s="96">
        <f>IF(AB133="",0,IF(SUMPRODUCT(--($AB$6:$AB$505=AB133))&gt;1,1,0))</f>
        <v>0</v>
      </c>
      <c r="AD133" s="96">
        <f>IF(Z133=0,0,IF(OR(AND(G133&lt;&gt;"",ISNA(MATCH(G133,'CAD_UNIDADES'!$C$6:$C$105,0))),AND(H133&lt;&gt;"",ISNA(MATCH(H133,cmp_transp,0))),AND(I133&lt;&gt;"",ISNA(MATCH(I133,cmp_dest,0))),AND(E133&lt;&gt;"",NOT(ISNUMBER(E133))),AND(F133&lt;&gt;"",NOT(ISNUMBER(F133))),AND(ISNUMBER(E133),ISNUMBER(F133),F133&lt;E133)),1,0))</f>
        <v>0</v>
      </c>
      <c r="AE133" s="96">
        <f>IF(Z133=0,0,IF(OR(B133="",C133="",E133="",G133="",H133="",I133="",N(W133)=0),1,0))</f>
        <v>0</v>
      </c>
      <c r="AF133" s="96">
        <f>IF(Z133=0,0,COUNTIFS('ITENS_MTR'!$S$6:$S$1005,A133,'ITENS_MTR'!$AI$6:$AI$1005,1))</f>
        <v>0</v>
      </c>
      <c r="AG133" s="96">
        <f>IF(Z133=0,0,COUNTIFS('ITENS_MTR'!$S$6:$S$1005,A133,'ITENS_MTR'!$AJ$6:$AJ$1005,1))</f>
        <v>0</v>
      </c>
      <c r="AH133" s="96">
        <f>IF(Z133=0,0,COUNTIFS('ITENS_MTR'!$S$6:$S$1005,A133,'ITENS_MTR'!$AM$6:$AM$1005,1))</f>
        <v>0</v>
      </c>
      <c r="AI133" s="96">
        <f>IF(Z133=0,0,COUNTIFS('ITENS_MTR'!$S$6:$S$1005,A133,'ITENS_MTR'!$AO$6:$AO$1005,1))</f>
        <v>0</v>
      </c>
      <c r="AJ133" s="96">
        <f>IF(Z133=0,0,COUNTIFS('ITENS_MTR'!$S$6:$S$1005,A133,'ITENS_MTR'!$AN$6:$AN$1005,1))</f>
        <v>0</v>
      </c>
      <c r="AK133" s="96">
        <f>IF(Z133=0,0,COUNTIFS('RECEBIMENTOS'!$B$6:$B$1005,A133,'RECEBIMENTOS'!$Y$6:$Y$1005,1))</f>
        <v>0</v>
      </c>
      <c r="AL133" s="96">
        <f>IF(Z133=0,0,COUNTIFS('VÍNCULOS_CDF'!$D$6:$D$1005,A133,'VÍNCULOS_CDF'!$Y$6:$Y$1005,1))</f>
        <v>0</v>
      </c>
      <c r="AM133" s="96">
        <f>IF(Z133=0,0,COUNTIFS('RECEBIMENTOS'!$B$6:$B$1005,A133,'RECEBIMENTOS'!$Q$6:$Q$1005,1))</f>
        <v>0</v>
      </c>
      <c r="AN133" s="96">
        <f>IF(AND(Z133=1,N(W133)&gt;0,AG133=N(W133)),1,0)</f>
        <v>0</v>
      </c>
      <c r="AO133" s="96">
        <f>IF(AND(Z133=1,N(W133)&gt;0,AI133=N(W133)),1,0)</f>
        <v>0</v>
      </c>
      <c r="AP133" s="97">
        <f>IF(Z133=0,0,_xlfn.MAXIFS('RECEBIMENTOS'!$E$6:$E$1005,'RECEBIMENTOS'!$B$6:$B$1005,A133))</f>
        <v>0</v>
      </c>
      <c r="AQ133" s="97" t="str">
        <f>IF(T133="","",IF(T133="RECEBIMENTO NÃO CONFIRMADO",IF(ISNUMBER(F133),F133,IF(ISNUMBER(E133),E133,"")),IF(OR(T133="CDF NÃO LOCALIZADO",T133="VÍNCULO INCOMPLETO",T133="CDF A CONFERIR"),IF(AP133&gt;0,AP133,IF(ISNUMBER(E133),E133,"")),IF(ISNUMBER(E133),E133,""))))</f>
        <v/>
      </c>
      <c r="AR133" s="96">
        <f>IF(NOT(ISNUMBER(U133)),0,IF(T133="RECEBIMENTO NÃO CONFIRMADO",IF(AND(ISNUMBER(cfg_rec),U133&gt;cfg_rec),1,0),IF(OR(T133="CDF NÃO LOCALIZADO",T133="VÍNCULO INCOMPLETO",T133="CDF A CONFERIR"),IF(AND(ISNUMBER(cfg_cdf),U133&gt;cfg_cdf),1,0),0)))</f>
        <v>0</v>
      </c>
      <c r="AS133" s="96" t="str">
        <f>IF(T133="","",IF(AR133=1,"Alta",IFERROR(INDEX(cfg_pp,MATCH(T133,cfg_pt,0))&amp;"","Média")))</f>
        <v/>
      </c>
      <c r="AT133" s="96" t="str">
        <f>IF(T133="","",IFERROR(INDEX(cfg_pv,MATCH(T133,cfg_pt,0))&amp;"",""))</f>
        <v/>
      </c>
      <c r="AU133" s="96" t="str">
        <f>IF(T133="","",IF(AS133="Alta",1,IF(AS133="Média",2,3))*1000000000+(999999-IF(ISNUMBER(U133),MIN(U133,999999),0))*1000+128)</f>
        <v/>
      </c>
      <c r="AV133" s="96">
        <f>IF(T133&lt;&gt;"",1,0)</f>
        <v>0</v>
      </c>
      <c r="AW133" s="96" t="str">
        <f>IF(Z133=0,"",IF(AA133=1,"Cancelamento informado; ","")&amp;IF(AE133=1,"Campos essenciais ou itens faltando; ","")&amp;IF(AC133=1,"Possível duplicidade do número; ","")&amp;IF(AD133=1,"Cadastro ou datas a revisar; ","")&amp;IF(AF133&gt;0,"Item de resíduo com dado a revisar; ","")&amp;IF(AH133&gt;0,"Diferença de quantidade a analisar; ","")&amp;IF(AK133&gt;0,"Recebimento com alerta; ","")&amp;IF(AL133&gt;0,"Vínculo de CDF com alerta; ","")&amp;IF(AND(AA133=0,AN133=0),"Recebimento não confirmado; ","")&amp;IF(AND(AA133=0,AN133=1,AO133=0),"CDF pendente ou a conferir; ",""))</f>
        <v/>
      </c>
      <c r="AX133" s="96">
        <f>IF(Z133=0,0,IF(AND(OR(f_ini="",AND(ISNUMBER(E133),E133&gt;=f_ini)),OR(f_fim="",AND(ISNUMBER(E133),E133&lt;=f_fim)),OR(f_un="",f_un="(Todas)",G133=f_un),OR(f_tr="",f_tr="(Todos)",H133=f_tr),OR(f_de="",f_de="(Todos)",I133=f_de),OR(f_sit="",f_sit="(Todas)",S133=f_sit)),1,0))</f>
        <v>0</v>
      </c>
      <c r="AY133" s="96">
        <f>IF(AX133=0,0,IF(OR(f_res="",f_res="(Todos)"),1,IF(COUNTIFS('ITENS_MTR'!$S$6:$S$1005,A133,'ITENS_MTR'!$C$6:$C$1005,f_res)&gt;0,1,0)))</f>
        <v>0</v>
      </c>
      <c r="AZ133" s="97" t="str">
        <f>IF(ISNUMBER(E133),DATE(YEAR(E133),MONTH(E133),1),"")</f>
        <v/>
      </c>
      <c r="BA133" s="96">
        <f>IF(Z133=0,0,IF(AND(OR(r_ini="",AND(ISNUMBER(E133),E133&gt;=r_ini)),OR(r_fim="",AND(ISNUMBER(E133),E133&lt;=r_fim)),OR(r_un="",r_un="(Todas)",G133=r_un),OR(r_de="",r_de="(Todos)",I133=r_de)),1,0))</f>
        <v>0</v>
      </c>
      <c r="BB133" s="96" t="str">
        <f>IF(BA133=1,COUNTIF($BA$6:BA133,1),"")</f>
        <v/>
      </c>
      <c r="BC133" s="96" t="str">
        <f>IF(AND(AU133&lt;&gt;"",OR(r_un="",r_un="(Todas)",G133=r_un),OR(r_de="",r_de="(Todos)",I133=r_de)),AU133,"")</f>
        <v/>
      </c>
      <c r="BD133" s="96" t="str">
        <f>IF(Z133=1,A133&amp;" | nº "&amp;IF(B133="","(sem número)",B133)&amp;" | "&amp;IF(G133="","(sem unidade)",G133),"")</f>
        <v/>
      </c>
      <c r="BE133" s="96" t="str">
        <f>IF(Z133=1,COUNTIF($Z$6:Z133,1),"")</f>
        <v/>
      </c>
      <c r="BF133" s="96" t="str">
        <f>IF(T133="","",IF(T133="RECEBIMENTO NÃO CONFIRMADO","Transp.: "&amp;H133&amp;" | Dest.: "&amp;I133,IF(OR(T133="CDF NÃO LOCALIZADO",T133="VÍNCULO INCOMPLETO",T133="CDF A CONFERIR"),"Dest.: "&amp;I133,"Gerador: "&amp;G133)))</f>
        <v/>
      </c>
    </row>
    <row r="134">
      <c r="A134" s="89" t="inlineStr">
        <is>
          <t>MTR-000129</t>
        </is>
      </c>
      <c r="B134" s="90" t="n"/>
      <c r="C134" s="91" t="n"/>
      <c r="D134" s="91" t="n"/>
      <c r="E134" s="92" t="n"/>
      <c r="F134" s="92" t="n"/>
      <c r="G134" s="91" t="n"/>
      <c r="H134" s="91" t="n"/>
      <c r="I134" s="91" t="n"/>
      <c r="J134" s="91" t="n"/>
      <c r="K134" s="91" t="n"/>
      <c r="L134" s="92" t="n"/>
      <c r="M134" s="91" t="n"/>
      <c r="N134" s="91" t="n"/>
      <c r="O134" s="91" t="n"/>
      <c r="P134" s="93" t="str">
        <f>IF(Z134=0,"",SUMIFS('ITENS_MTR'!$I$6:$I$1005,'ITENS_MTR'!$S$6:$S$1005,A134,'ITENS_MTR'!$Y$6:$Y$1005,1))</f>
        <v/>
      </c>
      <c r="Q134" s="93" t="str">
        <f>IF(Z134=0,"",SUMIFS('RECEBIMENTOS'!$H$6:$H$1005,'RECEBIMENTOS'!$B$6:$B$1005,A134,'RECEBIMENTOS'!$X$6:$X$1005,1))</f>
        <v/>
      </c>
      <c r="R134" s="93" t="str">
        <f>IF(Z134=0,"",SUMIFS('VÍNCULOS_CDF'!$H$6:$H$1005,'VÍNCULOS_CDF'!$D$6:$D$1005,A134,'VÍNCULOS_CDF'!$V$6:$V$1005,1))</f>
        <v/>
      </c>
      <c r="S134" s="94" t="str">
        <f>IF(Z134=0,"",IF(AA134=1,"Cancelado (informado)",IF(AE134=1,"Cadastro incompleto",IF(OR(AC134=1,AD134=1,AF134&gt;0,AH134&gt;0,AK134&gt;0,AL134&gt;0),"Informação a revisar",IF(AN134=0,"Aguardando recebimento",IF(N(R134)=0,"Aguardando CDF",IF(AJ134&lt;N(W134),"Vínculo de CDF parcial",IF(AO134=0,"CDF localizado, a conferir","Documentação conferida"))))))))</f>
        <v/>
      </c>
      <c r="T134" s="94" t="str">
        <f>IF(Z134=0,"",IF(S134="Cadastro incompleto","MTR INCOMPLETO",IF(S134="Informação a revisar",IF(AND(AH134&gt;0,AC134=0,AD134=0,AF134=0,AK134=0,AL134=0),"QUANTIDADE A REVISAR","IDENTIFICAÇÃO A REVISAR"),IF(S134="Aguardando recebimento","RECEBIMENTO NÃO CONFIRMADO",IF(S134="Aguardando CDF","CDF NÃO LOCALIZADO",IF(S134="Vínculo de CDF parcial","VÍNCULO INCOMPLETO",IF(S134="CDF localizado, a conferir","CDF A CONFERIR","")))))))</f>
        <v/>
      </c>
      <c r="U134" s="95" t="str">
        <f>IF(T134="","",IF(AQ134="","Não calculável",IF(AQ134&gt;TODAY(),"Data futura",TODAY()-AQ134)))</f>
        <v/>
      </c>
      <c r="V134" s="93" t="str">
        <f>IF(Z134=0,"",SUMIFS('RECEBIMENTOS'!$H$6:$H$1005,'RECEBIMENTOS'!$B$6:$B$1005,A134,'RECEBIMENTOS'!$Z$6:$Z$1005,1))</f>
        <v/>
      </c>
      <c r="W134" s="95" t="str">
        <f>IF(Z134=0,"",COUNTIFS('ITENS_MTR'!$S$6:$S$1005,A134,'ITENS_MTR'!$R$6:$R$1005,1))</f>
        <v/>
      </c>
      <c r="X134" s="94" t="str">
        <f>IF(AC134=1,"POSSÍVEL DUPLICIDADE","")</f>
        <v/>
      </c>
      <c r="Y134" s="94" t="str">
        <f>IF(Z134=0,"",IF(AW134="","Nenhuma",LEFT(AW134,LEN(AW134)-2)))</f>
        <v/>
      </c>
      <c r="Z134" s="96">
        <f>IF(COUNTA(B134:O134)&gt;0,1,0)</f>
        <v>0</v>
      </c>
      <c r="AA134" s="96">
        <f>IF(AND(Z134=1,K134&lt;&gt;""),IF(TRIM(K134)=TRIM(cfg_cancel),1,0),0)</f>
        <v>0</v>
      </c>
      <c r="AB134" s="96" t="str">
        <f>IF(AND(Z134=1,B134&lt;&gt;""),C134&amp;"|"&amp;D134&amp;"|"&amp;G134&amp;"|"&amp;TRIM(B134),"")</f>
        <v/>
      </c>
      <c r="AC134" s="96">
        <f>IF(AB134="",0,IF(SUMPRODUCT(--($AB$6:$AB$505=AB134))&gt;1,1,0))</f>
        <v>0</v>
      </c>
      <c r="AD134" s="96">
        <f>IF(Z134=0,0,IF(OR(AND(G134&lt;&gt;"",ISNA(MATCH(G134,'CAD_UNIDADES'!$C$6:$C$105,0))),AND(H134&lt;&gt;"",ISNA(MATCH(H134,cmp_transp,0))),AND(I134&lt;&gt;"",ISNA(MATCH(I134,cmp_dest,0))),AND(E134&lt;&gt;"",NOT(ISNUMBER(E134))),AND(F134&lt;&gt;"",NOT(ISNUMBER(F134))),AND(ISNUMBER(E134),ISNUMBER(F134),F134&lt;E134)),1,0))</f>
        <v>0</v>
      </c>
      <c r="AE134" s="96">
        <f>IF(Z134=0,0,IF(OR(B134="",C134="",E134="",G134="",H134="",I134="",N(W134)=0),1,0))</f>
        <v>0</v>
      </c>
      <c r="AF134" s="96">
        <f>IF(Z134=0,0,COUNTIFS('ITENS_MTR'!$S$6:$S$1005,A134,'ITENS_MTR'!$AI$6:$AI$1005,1))</f>
        <v>0</v>
      </c>
      <c r="AG134" s="96">
        <f>IF(Z134=0,0,COUNTIFS('ITENS_MTR'!$S$6:$S$1005,A134,'ITENS_MTR'!$AJ$6:$AJ$1005,1))</f>
        <v>0</v>
      </c>
      <c r="AH134" s="96">
        <f>IF(Z134=0,0,COUNTIFS('ITENS_MTR'!$S$6:$S$1005,A134,'ITENS_MTR'!$AM$6:$AM$1005,1))</f>
        <v>0</v>
      </c>
      <c r="AI134" s="96">
        <f>IF(Z134=0,0,COUNTIFS('ITENS_MTR'!$S$6:$S$1005,A134,'ITENS_MTR'!$AO$6:$AO$1005,1))</f>
        <v>0</v>
      </c>
      <c r="AJ134" s="96">
        <f>IF(Z134=0,0,COUNTIFS('ITENS_MTR'!$S$6:$S$1005,A134,'ITENS_MTR'!$AN$6:$AN$1005,1))</f>
        <v>0</v>
      </c>
      <c r="AK134" s="96">
        <f>IF(Z134=0,0,COUNTIFS('RECEBIMENTOS'!$B$6:$B$1005,A134,'RECEBIMENTOS'!$Y$6:$Y$1005,1))</f>
        <v>0</v>
      </c>
      <c r="AL134" s="96">
        <f>IF(Z134=0,0,COUNTIFS('VÍNCULOS_CDF'!$D$6:$D$1005,A134,'VÍNCULOS_CDF'!$Y$6:$Y$1005,1))</f>
        <v>0</v>
      </c>
      <c r="AM134" s="96">
        <f>IF(Z134=0,0,COUNTIFS('RECEBIMENTOS'!$B$6:$B$1005,A134,'RECEBIMENTOS'!$Q$6:$Q$1005,1))</f>
        <v>0</v>
      </c>
      <c r="AN134" s="96">
        <f>IF(AND(Z134=1,N(W134)&gt;0,AG134=N(W134)),1,0)</f>
        <v>0</v>
      </c>
      <c r="AO134" s="96">
        <f>IF(AND(Z134=1,N(W134)&gt;0,AI134=N(W134)),1,0)</f>
        <v>0</v>
      </c>
      <c r="AP134" s="97">
        <f>IF(Z134=0,0,_xlfn.MAXIFS('RECEBIMENTOS'!$E$6:$E$1005,'RECEBIMENTOS'!$B$6:$B$1005,A134))</f>
        <v>0</v>
      </c>
      <c r="AQ134" s="97" t="str">
        <f>IF(T134="","",IF(T134="RECEBIMENTO NÃO CONFIRMADO",IF(ISNUMBER(F134),F134,IF(ISNUMBER(E134),E134,"")),IF(OR(T134="CDF NÃO LOCALIZADO",T134="VÍNCULO INCOMPLETO",T134="CDF A CONFERIR"),IF(AP134&gt;0,AP134,IF(ISNUMBER(E134),E134,"")),IF(ISNUMBER(E134),E134,""))))</f>
        <v/>
      </c>
      <c r="AR134" s="96">
        <f>IF(NOT(ISNUMBER(U134)),0,IF(T134="RECEBIMENTO NÃO CONFIRMADO",IF(AND(ISNUMBER(cfg_rec),U134&gt;cfg_rec),1,0),IF(OR(T134="CDF NÃO LOCALIZADO",T134="VÍNCULO INCOMPLETO",T134="CDF A CONFERIR"),IF(AND(ISNUMBER(cfg_cdf),U134&gt;cfg_cdf),1,0),0)))</f>
        <v>0</v>
      </c>
      <c r="AS134" s="96" t="str">
        <f>IF(T134="","",IF(AR134=1,"Alta",IFERROR(INDEX(cfg_pp,MATCH(T134,cfg_pt,0))&amp;"","Média")))</f>
        <v/>
      </c>
      <c r="AT134" s="96" t="str">
        <f>IF(T134="","",IFERROR(INDEX(cfg_pv,MATCH(T134,cfg_pt,0))&amp;"",""))</f>
        <v/>
      </c>
      <c r="AU134" s="96" t="str">
        <f>IF(T134="","",IF(AS134="Alta",1,IF(AS134="Média",2,3))*1000000000+(999999-IF(ISNUMBER(U134),MIN(U134,999999),0))*1000+129)</f>
        <v/>
      </c>
      <c r="AV134" s="96">
        <f>IF(T134&lt;&gt;"",1,0)</f>
        <v>0</v>
      </c>
      <c r="AW134" s="96" t="str">
        <f>IF(Z134=0,"",IF(AA134=1,"Cancelamento informado; ","")&amp;IF(AE134=1,"Campos essenciais ou itens faltando; ","")&amp;IF(AC134=1,"Possível duplicidade do número; ","")&amp;IF(AD134=1,"Cadastro ou datas a revisar; ","")&amp;IF(AF134&gt;0,"Item de resíduo com dado a revisar; ","")&amp;IF(AH134&gt;0,"Diferença de quantidade a analisar; ","")&amp;IF(AK134&gt;0,"Recebimento com alerta; ","")&amp;IF(AL134&gt;0,"Vínculo de CDF com alerta; ","")&amp;IF(AND(AA134=0,AN134=0),"Recebimento não confirmado; ","")&amp;IF(AND(AA134=0,AN134=1,AO134=0),"CDF pendente ou a conferir; ",""))</f>
        <v/>
      </c>
      <c r="AX134" s="96">
        <f>IF(Z134=0,0,IF(AND(OR(f_ini="",AND(ISNUMBER(E134),E134&gt;=f_ini)),OR(f_fim="",AND(ISNUMBER(E134),E134&lt;=f_fim)),OR(f_un="",f_un="(Todas)",G134=f_un),OR(f_tr="",f_tr="(Todos)",H134=f_tr),OR(f_de="",f_de="(Todos)",I134=f_de),OR(f_sit="",f_sit="(Todas)",S134=f_sit)),1,0))</f>
        <v>0</v>
      </c>
      <c r="AY134" s="96">
        <f>IF(AX134=0,0,IF(OR(f_res="",f_res="(Todos)"),1,IF(COUNTIFS('ITENS_MTR'!$S$6:$S$1005,A134,'ITENS_MTR'!$C$6:$C$1005,f_res)&gt;0,1,0)))</f>
        <v>0</v>
      </c>
      <c r="AZ134" s="97" t="str">
        <f>IF(ISNUMBER(E134),DATE(YEAR(E134),MONTH(E134),1),"")</f>
        <v/>
      </c>
      <c r="BA134" s="96">
        <f>IF(Z134=0,0,IF(AND(OR(r_ini="",AND(ISNUMBER(E134),E134&gt;=r_ini)),OR(r_fim="",AND(ISNUMBER(E134),E134&lt;=r_fim)),OR(r_un="",r_un="(Todas)",G134=r_un),OR(r_de="",r_de="(Todos)",I134=r_de)),1,0))</f>
        <v>0</v>
      </c>
      <c r="BB134" s="96" t="str">
        <f>IF(BA134=1,COUNTIF($BA$6:BA134,1),"")</f>
        <v/>
      </c>
      <c r="BC134" s="96" t="str">
        <f>IF(AND(AU134&lt;&gt;"",OR(r_un="",r_un="(Todas)",G134=r_un),OR(r_de="",r_de="(Todos)",I134=r_de)),AU134,"")</f>
        <v/>
      </c>
      <c r="BD134" s="96" t="str">
        <f>IF(Z134=1,A134&amp;" | nº "&amp;IF(B134="","(sem número)",B134)&amp;" | "&amp;IF(G134="","(sem unidade)",G134),"")</f>
        <v/>
      </c>
      <c r="BE134" s="96" t="str">
        <f>IF(Z134=1,COUNTIF($Z$6:Z134,1),"")</f>
        <v/>
      </c>
      <c r="BF134" s="96" t="str">
        <f>IF(T134="","",IF(T134="RECEBIMENTO NÃO CONFIRMADO","Transp.: "&amp;H134&amp;" | Dest.: "&amp;I134,IF(OR(T134="CDF NÃO LOCALIZADO",T134="VÍNCULO INCOMPLETO",T134="CDF A CONFERIR"),"Dest.: "&amp;I134,"Gerador: "&amp;G134)))</f>
        <v/>
      </c>
    </row>
    <row r="135">
      <c r="A135" s="89" t="inlineStr">
        <is>
          <t>MTR-000130</t>
        </is>
      </c>
      <c r="B135" s="90" t="n"/>
      <c r="C135" s="91" t="n"/>
      <c r="D135" s="91" t="n"/>
      <c r="E135" s="92" t="n"/>
      <c r="F135" s="92" t="n"/>
      <c r="G135" s="91" t="n"/>
      <c r="H135" s="91" t="n"/>
      <c r="I135" s="91" t="n"/>
      <c r="J135" s="91" t="n"/>
      <c r="K135" s="91" t="n"/>
      <c r="L135" s="92" t="n"/>
      <c r="M135" s="91" t="n"/>
      <c r="N135" s="91" t="n"/>
      <c r="O135" s="91" t="n"/>
      <c r="P135" s="93" t="str">
        <f>IF(Z135=0,"",SUMIFS('ITENS_MTR'!$I$6:$I$1005,'ITENS_MTR'!$S$6:$S$1005,A135,'ITENS_MTR'!$Y$6:$Y$1005,1))</f>
        <v/>
      </c>
      <c r="Q135" s="93" t="str">
        <f>IF(Z135=0,"",SUMIFS('RECEBIMENTOS'!$H$6:$H$1005,'RECEBIMENTOS'!$B$6:$B$1005,A135,'RECEBIMENTOS'!$X$6:$X$1005,1))</f>
        <v/>
      </c>
      <c r="R135" s="93" t="str">
        <f>IF(Z135=0,"",SUMIFS('VÍNCULOS_CDF'!$H$6:$H$1005,'VÍNCULOS_CDF'!$D$6:$D$1005,A135,'VÍNCULOS_CDF'!$V$6:$V$1005,1))</f>
        <v/>
      </c>
      <c r="S135" s="94" t="str">
        <f>IF(Z135=0,"",IF(AA135=1,"Cancelado (informado)",IF(AE135=1,"Cadastro incompleto",IF(OR(AC135=1,AD135=1,AF135&gt;0,AH135&gt;0,AK135&gt;0,AL135&gt;0),"Informação a revisar",IF(AN135=0,"Aguardando recebimento",IF(N(R135)=0,"Aguardando CDF",IF(AJ135&lt;N(W135),"Vínculo de CDF parcial",IF(AO135=0,"CDF localizado, a conferir","Documentação conferida"))))))))</f>
        <v/>
      </c>
      <c r="T135" s="94" t="str">
        <f>IF(Z135=0,"",IF(S135="Cadastro incompleto","MTR INCOMPLETO",IF(S135="Informação a revisar",IF(AND(AH135&gt;0,AC135=0,AD135=0,AF135=0,AK135=0,AL135=0),"QUANTIDADE A REVISAR","IDENTIFICAÇÃO A REVISAR"),IF(S135="Aguardando recebimento","RECEBIMENTO NÃO CONFIRMADO",IF(S135="Aguardando CDF","CDF NÃO LOCALIZADO",IF(S135="Vínculo de CDF parcial","VÍNCULO INCOMPLETO",IF(S135="CDF localizado, a conferir","CDF A CONFERIR","")))))))</f>
        <v/>
      </c>
      <c r="U135" s="95" t="str">
        <f>IF(T135="","",IF(AQ135="","Não calculável",IF(AQ135&gt;TODAY(),"Data futura",TODAY()-AQ135)))</f>
        <v/>
      </c>
      <c r="V135" s="93" t="str">
        <f>IF(Z135=0,"",SUMIFS('RECEBIMENTOS'!$H$6:$H$1005,'RECEBIMENTOS'!$B$6:$B$1005,A135,'RECEBIMENTOS'!$Z$6:$Z$1005,1))</f>
        <v/>
      </c>
      <c r="W135" s="95" t="str">
        <f>IF(Z135=0,"",COUNTIFS('ITENS_MTR'!$S$6:$S$1005,A135,'ITENS_MTR'!$R$6:$R$1005,1))</f>
        <v/>
      </c>
      <c r="X135" s="94" t="str">
        <f>IF(AC135=1,"POSSÍVEL DUPLICIDADE","")</f>
        <v/>
      </c>
      <c r="Y135" s="94" t="str">
        <f>IF(Z135=0,"",IF(AW135="","Nenhuma",LEFT(AW135,LEN(AW135)-2)))</f>
        <v/>
      </c>
      <c r="Z135" s="96">
        <f>IF(COUNTA(B135:O135)&gt;0,1,0)</f>
        <v>0</v>
      </c>
      <c r="AA135" s="96">
        <f>IF(AND(Z135=1,K135&lt;&gt;""),IF(TRIM(K135)=TRIM(cfg_cancel),1,0),0)</f>
        <v>0</v>
      </c>
      <c r="AB135" s="96" t="str">
        <f>IF(AND(Z135=1,B135&lt;&gt;""),C135&amp;"|"&amp;D135&amp;"|"&amp;G135&amp;"|"&amp;TRIM(B135),"")</f>
        <v/>
      </c>
      <c r="AC135" s="96">
        <f>IF(AB135="",0,IF(SUMPRODUCT(--($AB$6:$AB$505=AB135))&gt;1,1,0))</f>
        <v>0</v>
      </c>
      <c r="AD135" s="96">
        <f>IF(Z135=0,0,IF(OR(AND(G135&lt;&gt;"",ISNA(MATCH(G135,'CAD_UNIDADES'!$C$6:$C$105,0))),AND(H135&lt;&gt;"",ISNA(MATCH(H135,cmp_transp,0))),AND(I135&lt;&gt;"",ISNA(MATCH(I135,cmp_dest,0))),AND(E135&lt;&gt;"",NOT(ISNUMBER(E135))),AND(F135&lt;&gt;"",NOT(ISNUMBER(F135))),AND(ISNUMBER(E135),ISNUMBER(F135),F135&lt;E135)),1,0))</f>
        <v>0</v>
      </c>
      <c r="AE135" s="96">
        <f>IF(Z135=0,0,IF(OR(B135="",C135="",E135="",G135="",H135="",I135="",N(W135)=0),1,0))</f>
        <v>0</v>
      </c>
      <c r="AF135" s="96">
        <f>IF(Z135=0,0,COUNTIFS('ITENS_MTR'!$S$6:$S$1005,A135,'ITENS_MTR'!$AI$6:$AI$1005,1))</f>
        <v>0</v>
      </c>
      <c r="AG135" s="96">
        <f>IF(Z135=0,0,COUNTIFS('ITENS_MTR'!$S$6:$S$1005,A135,'ITENS_MTR'!$AJ$6:$AJ$1005,1))</f>
        <v>0</v>
      </c>
      <c r="AH135" s="96">
        <f>IF(Z135=0,0,COUNTIFS('ITENS_MTR'!$S$6:$S$1005,A135,'ITENS_MTR'!$AM$6:$AM$1005,1))</f>
        <v>0</v>
      </c>
      <c r="AI135" s="96">
        <f>IF(Z135=0,0,COUNTIFS('ITENS_MTR'!$S$6:$S$1005,A135,'ITENS_MTR'!$AO$6:$AO$1005,1))</f>
        <v>0</v>
      </c>
      <c r="AJ135" s="96">
        <f>IF(Z135=0,0,COUNTIFS('ITENS_MTR'!$S$6:$S$1005,A135,'ITENS_MTR'!$AN$6:$AN$1005,1))</f>
        <v>0</v>
      </c>
      <c r="AK135" s="96">
        <f>IF(Z135=0,0,COUNTIFS('RECEBIMENTOS'!$B$6:$B$1005,A135,'RECEBIMENTOS'!$Y$6:$Y$1005,1))</f>
        <v>0</v>
      </c>
      <c r="AL135" s="96">
        <f>IF(Z135=0,0,COUNTIFS('VÍNCULOS_CDF'!$D$6:$D$1005,A135,'VÍNCULOS_CDF'!$Y$6:$Y$1005,1))</f>
        <v>0</v>
      </c>
      <c r="AM135" s="96">
        <f>IF(Z135=0,0,COUNTIFS('RECEBIMENTOS'!$B$6:$B$1005,A135,'RECEBIMENTOS'!$Q$6:$Q$1005,1))</f>
        <v>0</v>
      </c>
      <c r="AN135" s="96">
        <f>IF(AND(Z135=1,N(W135)&gt;0,AG135=N(W135)),1,0)</f>
        <v>0</v>
      </c>
      <c r="AO135" s="96">
        <f>IF(AND(Z135=1,N(W135)&gt;0,AI135=N(W135)),1,0)</f>
        <v>0</v>
      </c>
      <c r="AP135" s="97">
        <f>IF(Z135=0,0,_xlfn.MAXIFS('RECEBIMENTOS'!$E$6:$E$1005,'RECEBIMENTOS'!$B$6:$B$1005,A135))</f>
        <v>0</v>
      </c>
      <c r="AQ135" s="97" t="str">
        <f>IF(T135="","",IF(T135="RECEBIMENTO NÃO CONFIRMADO",IF(ISNUMBER(F135),F135,IF(ISNUMBER(E135),E135,"")),IF(OR(T135="CDF NÃO LOCALIZADO",T135="VÍNCULO INCOMPLETO",T135="CDF A CONFERIR"),IF(AP135&gt;0,AP135,IF(ISNUMBER(E135),E135,"")),IF(ISNUMBER(E135),E135,""))))</f>
        <v/>
      </c>
      <c r="AR135" s="96">
        <f>IF(NOT(ISNUMBER(U135)),0,IF(T135="RECEBIMENTO NÃO CONFIRMADO",IF(AND(ISNUMBER(cfg_rec),U135&gt;cfg_rec),1,0),IF(OR(T135="CDF NÃO LOCALIZADO",T135="VÍNCULO INCOMPLETO",T135="CDF A CONFERIR"),IF(AND(ISNUMBER(cfg_cdf),U135&gt;cfg_cdf),1,0),0)))</f>
        <v>0</v>
      </c>
      <c r="AS135" s="96" t="str">
        <f>IF(T135="","",IF(AR135=1,"Alta",IFERROR(INDEX(cfg_pp,MATCH(T135,cfg_pt,0))&amp;"","Média")))</f>
        <v/>
      </c>
      <c r="AT135" s="96" t="str">
        <f>IF(T135="","",IFERROR(INDEX(cfg_pv,MATCH(T135,cfg_pt,0))&amp;"",""))</f>
        <v/>
      </c>
      <c r="AU135" s="96" t="str">
        <f>IF(T135="","",IF(AS135="Alta",1,IF(AS135="Média",2,3))*1000000000+(999999-IF(ISNUMBER(U135),MIN(U135,999999),0))*1000+130)</f>
        <v/>
      </c>
      <c r="AV135" s="96">
        <f>IF(T135&lt;&gt;"",1,0)</f>
        <v>0</v>
      </c>
      <c r="AW135" s="96" t="str">
        <f>IF(Z135=0,"",IF(AA135=1,"Cancelamento informado; ","")&amp;IF(AE135=1,"Campos essenciais ou itens faltando; ","")&amp;IF(AC135=1,"Possível duplicidade do número; ","")&amp;IF(AD135=1,"Cadastro ou datas a revisar; ","")&amp;IF(AF135&gt;0,"Item de resíduo com dado a revisar; ","")&amp;IF(AH135&gt;0,"Diferença de quantidade a analisar; ","")&amp;IF(AK135&gt;0,"Recebimento com alerta; ","")&amp;IF(AL135&gt;0,"Vínculo de CDF com alerta; ","")&amp;IF(AND(AA135=0,AN135=0),"Recebimento não confirmado; ","")&amp;IF(AND(AA135=0,AN135=1,AO135=0),"CDF pendente ou a conferir; ",""))</f>
        <v/>
      </c>
      <c r="AX135" s="96">
        <f>IF(Z135=0,0,IF(AND(OR(f_ini="",AND(ISNUMBER(E135),E135&gt;=f_ini)),OR(f_fim="",AND(ISNUMBER(E135),E135&lt;=f_fim)),OR(f_un="",f_un="(Todas)",G135=f_un),OR(f_tr="",f_tr="(Todos)",H135=f_tr),OR(f_de="",f_de="(Todos)",I135=f_de),OR(f_sit="",f_sit="(Todas)",S135=f_sit)),1,0))</f>
        <v>0</v>
      </c>
      <c r="AY135" s="96">
        <f>IF(AX135=0,0,IF(OR(f_res="",f_res="(Todos)"),1,IF(COUNTIFS('ITENS_MTR'!$S$6:$S$1005,A135,'ITENS_MTR'!$C$6:$C$1005,f_res)&gt;0,1,0)))</f>
        <v>0</v>
      </c>
      <c r="AZ135" s="97" t="str">
        <f>IF(ISNUMBER(E135),DATE(YEAR(E135),MONTH(E135),1),"")</f>
        <v/>
      </c>
      <c r="BA135" s="96">
        <f>IF(Z135=0,0,IF(AND(OR(r_ini="",AND(ISNUMBER(E135),E135&gt;=r_ini)),OR(r_fim="",AND(ISNUMBER(E135),E135&lt;=r_fim)),OR(r_un="",r_un="(Todas)",G135=r_un),OR(r_de="",r_de="(Todos)",I135=r_de)),1,0))</f>
        <v>0</v>
      </c>
      <c r="BB135" s="96" t="str">
        <f>IF(BA135=1,COUNTIF($BA$6:BA135,1),"")</f>
        <v/>
      </c>
      <c r="BC135" s="96" t="str">
        <f>IF(AND(AU135&lt;&gt;"",OR(r_un="",r_un="(Todas)",G135=r_un),OR(r_de="",r_de="(Todos)",I135=r_de)),AU135,"")</f>
        <v/>
      </c>
      <c r="BD135" s="96" t="str">
        <f>IF(Z135=1,A135&amp;" | nº "&amp;IF(B135="","(sem número)",B135)&amp;" | "&amp;IF(G135="","(sem unidade)",G135),"")</f>
        <v/>
      </c>
      <c r="BE135" s="96" t="str">
        <f>IF(Z135=1,COUNTIF($Z$6:Z135,1),"")</f>
        <v/>
      </c>
      <c r="BF135" s="96" t="str">
        <f>IF(T135="","",IF(T135="RECEBIMENTO NÃO CONFIRMADO","Transp.: "&amp;H135&amp;" | Dest.: "&amp;I135,IF(OR(T135="CDF NÃO LOCALIZADO",T135="VÍNCULO INCOMPLETO",T135="CDF A CONFERIR"),"Dest.: "&amp;I135,"Gerador: "&amp;G135)))</f>
        <v/>
      </c>
    </row>
    <row r="136">
      <c r="A136" s="89" t="inlineStr">
        <is>
          <t>MTR-000131</t>
        </is>
      </c>
      <c r="B136" s="90" t="n"/>
      <c r="C136" s="91" t="n"/>
      <c r="D136" s="91" t="n"/>
      <c r="E136" s="92" t="n"/>
      <c r="F136" s="92" t="n"/>
      <c r="G136" s="91" t="n"/>
      <c r="H136" s="91" t="n"/>
      <c r="I136" s="91" t="n"/>
      <c r="J136" s="91" t="n"/>
      <c r="K136" s="91" t="n"/>
      <c r="L136" s="92" t="n"/>
      <c r="M136" s="91" t="n"/>
      <c r="N136" s="91" t="n"/>
      <c r="O136" s="91" t="n"/>
      <c r="P136" s="93" t="str">
        <f>IF(Z136=0,"",SUMIFS('ITENS_MTR'!$I$6:$I$1005,'ITENS_MTR'!$S$6:$S$1005,A136,'ITENS_MTR'!$Y$6:$Y$1005,1))</f>
        <v/>
      </c>
      <c r="Q136" s="93" t="str">
        <f>IF(Z136=0,"",SUMIFS('RECEBIMENTOS'!$H$6:$H$1005,'RECEBIMENTOS'!$B$6:$B$1005,A136,'RECEBIMENTOS'!$X$6:$X$1005,1))</f>
        <v/>
      </c>
      <c r="R136" s="93" t="str">
        <f>IF(Z136=0,"",SUMIFS('VÍNCULOS_CDF'!$H$6:$H$1005,'VÍNCULOS_CDF'!$D$6:$D$1005,A136,'VÍNCULOS_CDF'!$V$6:$V$1005,1))</f>
        <v/>
      </c>
      <c r="S136" s="94" t="str">
        <f>IF(Z136=0,"",IF(AA136=1,"Cancelado (informado)",IF(AE136=1,"Cadastro incompleto",IF(OR(AC136=1,AD136=1,AF136&gt;0,AH136&gt;0,AK136&gt;0,AL136&gt;0),"Informação a revisar",IF(AN136=0,"Aguardando recebimento",IF(N(R136)=0,"Aguardando CDF",IF(AJ136&lt;N(W136),"Vínculo de CDF parcial",IF(AO136=0,"CDF localizado, a conferir","Documentação conferida"))))))))</f>
        <v/>
      </c>
      <c r="T136" s="94" t="str">
        <f>IF(Z136=0,"",IF(S136="Cadastro incompleto","MTR INCOMPLETO",IF(S136="Informação a revisar",IF(AND(AH136&gt;0,AC136=0,AD136=0,AF136=0,AK136=0,AL136=0),"QUANTIDADE A REVISAR","IDENTIFICAÇÃO A REVISAR"),IF(S136="Aguardando recebimento","RECEBIMENTO NÃO CONFIRMADO",IF(S136="Aguardando CDF","CDF NÃO LOCALIZADO",IF(S136="Vínculo de CDF parcial","VÍNCULO INCOMPLETO",IF(S136="CDF localizado, a conferir","CDF A CONFERIR","")))))))</f>
        <v/>
      </c>
      <c r="U136" s="95" t="str">
        <f>IF(T136="","",IF(AQ136="","Não calculável",IF(AQ136&gt;TODAY(),"Data futura",TODAY()-AQ136)))</f>
        <v/>
      </c>
      <c r="V136" s="93" t="str">
        <f>IF(Z136=0,"",SUMIFS('RECEBIMENTOS'!$H$6:$H$1005,'RECEBIMENTOS'!$B$6:$B$1005,A136,'RECEBIMENTOS'!$Z$6:$Z$1005,1))</f>
        <v/>
      </c>
      <c r="W136" s="95" t="str">
        <f>IF(Z136=0,"",COUNTIFS('ITENS_MTR'!$S$6:$S$1005,A136,'ITENS_MTR'!$R$6:$R$1005,1))</f>
        <v/>
      </c>
      <c r="X136" s="94" t="str">
        <f>IF(AC136=1,"POSSÍVEL DUPLICIDADE","")</f>
        <v/>
      </c>
      <c r="Y136" s="94" t="str">
        <f>IF(Z136=0,"",IF(AW136="","Nenhuma",LEFT(AW136,LEN(AW136)-2)))</f>
        <v/>
      </c>
      <c r="Z136" s="96">
        <f>IF(COUNTA(B136:O136)&gt;0,1,0)</f>
        <v>0</v>
      </c>
      <c r="AA136" s="96">
        <f>IF(AND(Z136=1,K136&lt;&gt;""),IF(TRIM(K136)=TRIM(cfg_cancel),1,0),0)</f>
        <v>0</v>
      </c>
      <c r="AB136" s="96" t="str">
        <f>IF(AND(Z136=1,B136&lt;&gt;""),C136&amp;"|"&amp;D136&amp;"|"&amp;G136&amp;"|"&amp;TRIM(B136),"")</f>
        <v/>
      </c>
      <c r="AC136" s="96">
        <f>IF(AB136="",0,IF(SUMPRODUCT(--($AB$6:$AB$505=AB136))&gt;1,1,0))</f>
        <v>0</v>
      </c>
      <c r="AD136" s="96">
        <f>IF(Z136=0,0,IF(OR(AND(G136&lt;&gt;"",ISNA(MATCH(G136,'CAD_UNIDADES'!$C$6:$C$105,0))),AND(H136&lt;&gt;"",ISNA(MATCH(H136,cmp_transp,0))),AND(I136&lt;&gt;"",ISNA(MATCH(I136,cmp_dest,0))),AND(E136&lt;&gt;"",NOT(ISNUMBER(E136))),AND(F136&lt;&gt;"",NOT(ISNUMBER(F136))),AND(ISNUMBER(E136),ISNUMBER(F136),F136&lt;E136)),1,0))</f>
        <v>0</v>
      </c>
      <c r="AE136" s="96">
        <f>IF(Z136=0,0,IF(OR(B136="",C136="",E136="",G136="",H136="",I136="",N(W136)=0),1,0))</f>
        <v>0</v>
      </c>
      <c r="AF136" s="96">
        <f>IF(Z136=0,0,COUNTIFS('ITENS_MTR'!$S$6:$S$1005,A136,'ITENS_MTR'!$AI$6:$AI$1005,1))</f>
        <v>0</v>
      </c>
      <c r="AG136" s="96">
        <f>IF(Z136=0,0,COUNTIFS('ITENS_MTR'!$S$6:$S$1005,A136,'ITENS_MTR'!$AJ$6:$AJ$1005,1))</f>
        <v>0</v>
      </c>
      <c r="AH136" s="96">
        <f>IF(Z136=0,0,COUNTIFS('ITENS_MTR'!$S$6:$S$1005,A136,'ITENS_MTR'!$AM$6:$AM$1005,1))</f>
        <v>0</v>
      </c>
      <c r="AI136" s="96">
        <f>IF(Z136=0,0,COUNTIFS('ITENS_MTR'!$S$6:$S$1005,A136,'ITENS_MTR'!$AO$6:$AO$1005,1))</f>
        <v>0</v>
      </c>
      <c r="AJ136" s="96">
        <f>IF(Z136=0,0,COUNTIFS('ITENS_MTR'!$S$6:$S$1005,A136,'ITENS_MTR'!$AN$6:$AN$1005,1))</f>
        <v>0</v>
      </c>
      <c r="AK136" s="96">
        <f>IF(Z136=0,0,COUNTIFS('RECEBIMENTOS'!$B$6:$B$1005,A136,'RECEBIMENTOS'!$Y$6:$Y$1005,1))</f>
        <v>0</v>
      </c>
      <c r="AL136" s="96">
        <f>IF(Z136=0,0,COUNTIFS('VÍNCULOS_CDF'!$D$6:$D$1005,A136,'VÍNCULOS_CDF'!$Y$6:$Y$1005,1))</f>
        <v>0</v>
      </c>
      <c r="AM136" s="96">
        <f>IF(Z136=0,0,COUNTIFS('RECEBIMENTOS'!$B$6:$B$1005,A136,'RECEBIMENTOS'!$Q$6:$Q$1005,1))</f>
        <v>0</v>
      </c>
      <c r="AN136" s="96">
        <f>IF(AND(Z136=1,N(W136)&gt;0,AG136=N(W136)),1,0)</f>
        <v>0</v>
      </c>
      <c r="AO136" s="96">
        <f>IF(AND(Z136=1,N(W136)&gt;0,AI136=N(W136)),1,0)</f>
        <v>0</v>
      </c>
      <c r="AP136" s="97">
        <f>IF(Z136=0,0,_xlfn.MAXIFS('RECEBIMENTOS'!$E$6:$E$1005,'RECEBIMENTOS'!$B$6:$B$1005,A136))</f>
        <v>0</v>
      </c>
      <c r="AQ136" s="97" t="str">
        <f>IF(T136="","",IF(T136="RECEBIMENTO NÃO CONFIRMADO",IF(ISNUMBER(F136),F136,IF(ISNUMBER(E136),E136,"")),IF(OR(T136="CDF NÃO LOCALIZADO",T136="VÍNCULO INCOMPLETO",T136="CDF A CONFERIR"),IF(AP136&gt;0,AP136,IF(ISNUMBER(E136),E136,"")),IF(ISNUMBER(E136),E136,""))))</f>
        <v/>
      </c>
      <c r="AR136" s="96">
        <f>IF(NOT(ISNUMBER(U136)),0,IF(T136="RECEBIMENTO NÃO CONFIRMADO",IF(AND(ISNUMBER(cfg_rec),U136&gt;cfg_rec),1,0),IF(OR(T136="CDF NÃO LOCALIZADO",T136="VÍNCULO INCOMPLETO",T136="CDF A CONFERIR"),IF(AND(ISNUMBER(cfg_cdf),U136&gt;cfg_cdf),1,0),0)))</f>
        <v>0</v>
      </c>
      <c r="AS136" s="96" t="str">
        <f>IF(T136="","",IF(AR136=1,"Alta",IFERROR(INDEX(cfg_pp,MATCH(T136,cfg_pt,0))&amp;"","Média")))</f>
        <v/>
      </c>
      <c r="AT136" s="96" t="str">
        <f>IF(T136="","",IFERROR(INDEX(cfg_pv,MATCH(T136,cfg_pt,0))&amp;"",""))</f>
        <v/>
      </c>
      <c r="AU136" s="96" t="str">
        <f>IF(T136="","",IF(AS136="Alta",1,IF(AS136="Média",2,3))*1000000000+(999999-IF(ISNUMBER(U136),MIN(U136,999999),0))*1000+131)</f>
        <v/>
      </c>
      <c r="AV136" s="96">
        <f>IF(T136&lt;&gt;"",1,0)</f>
        <v>0</v>
      </c>
      <c r="AW136" s="96" t="str">
        <f>IF(Z136=0,"",IF(AA136=1,"Cancelamento informado; ","")&amp;IF(AE136=1,"Campos essenciais ou itens faltando; ","")&amp;IF(AC136=1,"Possível duplicidade do número; ","")&amp;IF(AD136=1,"Cadastro ou datas a revisar; ","")&amp;IF(AF136&gt;0,"Item de resíduo com dado a revisar; ","")&amp;IF(AH136&gt;0,"Diferença de quantidade a analisar; ","")&amp;IF(AK136&gt;0,"Recebimento com alerta; ","")&amp;IF(AL136&gt;0,"Vínculo de CDF com alerta; ","")&amp;IF(AND(AA136=0,AN136=0),"Recebimento não confirmado; ","")&amp;IF(AND(AA136=0,AN136=1,AO136=0),"CDF pendente ou a conferir; ",""))</f>
        <v/>
      </c>
      <c r="AX136" s="96">
        <f>IF(Z136=0,0,IF(AND(OR(f_ini="",AND(ISNUMBER(E136),E136&gt;=f_ini)),OR(f_fim="",AND(ISNUMBER(E136),E136&lt;=f_fim)),OR(f_un="",f_un="(Todas)",G136=f_un),OR(f_tr="",f_tr="(Todos)",H136=f_tr),OR(f_de="",f_de="(Todos)",I136=f_de),OR(f_sit="",f_sit="(Todas)",S136=f_sit)),1,0))</f>
        <v>0</v>
      </c>
      <c r="AY136" s="96">
        <f>IF(AX136=0,0,IF(OR(f_res="",f_res="(Todos)"),1,IF(COUNTIFS('ITENS_MTR'!$S$6:$S$1005,A136,'ITENS_MTR'!$C$6:$C$1005,f_res)&gt;0,1,0)))</f>
        <v>0</v>
      </c>
      <c r="AZ136" s="97" t="str">
        <f>IF(ISNUMBER(E136),DATE(YEAR(E136),MONTH(E136),1),"")</f>
        <v/>
      </c>
      <c r="BA136" s="96">
        <f>IF(Z136=0,0,IF(AND(OR(r_ini="",AND(ISNUMBER(E136),E136&gt;=r_ini)),OR(r_fim="",AND(ISNUMBER(E136),E136&lt;=r_fim)),OR(r_un="",r_un="(Todas)",G136=r_un),OR(r_de="",r_de="(Todos)",I136=r_de)),1,0))</f>
        <v>0</v>
      </c>
      <c r="BB136" s="96" t="str">
        <f>IF(BA136=1,COUNTIF($BA$6:BA136,1),"")</f>
        <v/>
      </c>
      <c r="BC136" s="96" t="str">
        <f>IF(AND(AU136&lt;&gt;"",OR(r_un="",r_un="(Todas)",G136=r_un),OR(r_de="",r_de="(Todos)",I136=r_de)),AU136,"")</f>
        <v/>
      </c>
      <c r="BD136" s="96" t="str">
        <f>IF(Z136=1,A136&amp;" | nº "&amp;IF(B136="","(sem número)",B136)&amp;" | "&amp;IF(G136="","(sem unidade)",G136),"")</f>
        <v/>
      </c>
      <c r="BE136" s="96" t="str">
        <f>IF(Z136=1,COUNTIF($Z$6:Z136,1),"")</f>
        <v/>
      </c>
      <c r="BF136" s="96" t="str">
        <f>IF(T136="","",IF(T136="RECEBIMENTO NÃO CONFIRMADO","Transp.: "&amp;H136&amp;" | Dest.: "&amp;I136,IF(OR(T136="CDF NÃO LOCALIZADO",T136="VÍNCULO INCOMPLETO",T136="CDF A CONFERIR"),"Dest.: "&amp;I136,"Gerador: "&amp;G136)))</f>
        <v/>
      </c>
    </row>
    <row r="137">
      <c r="A137" s="89" t="inlineStr">
        <is>
          <t>MTR-000132</t>
        </is>
      </c>
      <c r="B137" s="90" t="n"/>
      <c r="C137" s="91" t="n"/>
      <c r="D137" s="91" t="n"/>
      <c r="E137" s="92" t="n"/>
      <c r="F137" s="92" t="n"/>
      <c r="G137" s="91" t="n"/>
      <c r="H137" s="91" t="n"/>
      <c r="I137" s="91" t="n"/>
      <c r="J137" s="91" t="n"/>
      <c r="K137" s="91" t="n"/>
      <c r="L137" s="92" t="n"/>
      <c r="M137" s="91" t="n"/>
      <c r="N137" s="91" t="n"/>
      <c r="O137" s="91" t="n"/>
      <c r="P137" s="93" t="str">
        <f>IF(Z137=0,"",SUMIFS('ITENS_MTR'!$I$6:$I$1005,'ITENS_MTR'!$S$6:$S$1005,A137,'ITENS_MTR'!$Y$6:$Y$1005,1))</f>
        <v/>
      </c>
      <c r="Q137" s="93" t="str">
        <f>IF(Z137=0,"",SUMIFS('RECEBIMENTOS'!$H$6:$H$1005,'RECEBIMENTOS'!$B$6:$B$1005,A137,'RECEBIMENTOS'!$X$6:$X$1005,1))</f>
        <v/>
      </c>
      <c r="R137" s="93" t="str">
        <f>IF(Z137=0,"",SUMIFS('VÍNCULOS_CDF'!$H$6:$H$1005,'VÍNCULOS_CDF'!$D$6:$D$1005,A137,'VÍNCULOS_CDF'!$V$6:$V$1005,1))</f>
        <v/>
      </c>
      <c r="S137" s="94" t="str">
        <f>IF(Z137=0,"",IF(AA137=1,"Cancelado (informado)",IF(AE137=1,"Cadastro incompleto",IF(OR(AC137=1,AD137=1,AF137&gt;0,AH137&gt;0,AK137&gt;0,AL137&gt;0),"Informação a revisar",IF(AN137=0,"Aguardando recebimento",IF(N(R137)=0,"Aguardando CDF",IF(AJ137&lt;N(W137),"Vínculo de CDF parcial",IF(AO137=0,"CDF localizado, a conferir","Documentação conferida"))))))))</f>
        <v/>
      </c>
      <c r="T137" s="94" t="str">
        <f>IF(Z137=0,"",IF(S137="Cadastro incompleto","MTR INCOMPLETO",IF(S137="Informação a revisar",IF(AND(AH137&gt;0,AC137=0,AD137=0,AF137=0,AK137=0,AL137=0),"QUANTIDADE A REVISAR","IDENTIFICAÇÃO A REVISAR"),IF(S137="Aguardando recebimento","RECEBIMENTO NÃO CONFIRMADO",IF(S137="Aguardando CDF","CDF NÃO LOCALIZADO",IF(S137="Vínculo de CDF parcial","VÍNCULO INCOMPLETO",IF(S137="CDF localizado, a conferir","CDF A CONFERIR","")))))))</f>
        <v/>
      </c>
      <c r="U137" s="95" t="str">
        <f>IF(T137="","",IF(AQ137="","Não calculável",IF(AQ137&gt;TODAY(),"Data futura",TODAY()-AQ137)))</f>
        <v/>
      </c>
      <c r="V137" s="93" t="str">
        <f>IF(Z137=0,"",SUMIFS('RECEBIMENTOS'!$H$6:$H$1005,'RECEBIMENTOS'!$B$6:$B$1005,A137,'RECEBIMENTOS'!$Z$6:$Z$1005,1))</f>
        <v/>
      </c>
      <c r="W137" s="95" t="str">
        <f>IF(Z137=0,"",COUNTIFS('ITENS_MTR'!$S$6:$S$1005,A137,'ITENS_MTR'!$R$6:$R$1005,1))</f>
        <v/>
      </c>
      <c r="X137" s="94" t="str">
        <f>IF(AC137=1,"POSSÍVEL DUPLICIDADE","")</f>
        <v/>
      </c>
      <c r="Y137" s="94" t="str">
        <f>IF(Z137=0,"",IF(AW137="","Nenhuma",LEFT(AW137,LEN(AW137)-2)))</f>
        <v/>
      </c>
      <c r="Z137" s="96">
        <f>IF(COUNTA(B137:O137)&gt;0,1,0)</f>
        <v>0</v>
      </c>
      <c r="AA137" s="96">
        <f>IF(AND(Z137=1,K137&lt;&gt;""),IF(TRIM(K137)=TRIM(cfg_cancel),1,0),0)</f>
        <v>0</v>
      </c>
      <c r="AB137" s="96" t="str">
        <f>IF(AND(Z137=1,B137&lt;&gt;""),C137&amp;"|"&amp;D137&amp;"|"&amp;G137&amp;"|"&amp;TRIM(B137),"")</f>
        <v/>
      </c>
      <c r="AC137" s="96">
        <f>IF(AB137="",0,IF(SUMPRODUCT(--($AB$6:$AB$505=AB137))&gt;1,1,0))</f>
        <v>0</v>
      </c>
      <c r="AD137" s="96">
        <f>IF(Z137=0,0,IF(OR(AND(G137&lt;&gt;"",ISNA(MATCH(G137,'CAD_UNIDADES'!$C$6:$C$105,0))),AND(H137&lt;&gt;"",ISNA(MATCH(H137,cmp_transp,0))),AND(I137&lt;&gt;"",ISNA(MATCH(I137,cmp_dest,0))),AND(E137&lt;&gt;"",NOT(ISNUMBER(E137))),AND(F137&lt;&gt;"",NOT(ISNUMBER(F137))),AND(ISNUMBER(E137),ISNUMBER(F137),F137&lt;E137)),1,0))</f>
        <v>0</v>
      </c>
      <c r="AE137" s="96">
        <f>IF(Z137=0,0,IF(OR(B137="",C137="",E137="",G137="",H137="",I137="",N(W137)=0),1,0))</f>
        <v>0</v>
      </c>
      <c r="AF137" s="96">
        <f>IF(Z137=0,0,COUNTIFS('ITENS_MTR'!$S$6:$S$1005,A137,'ITENS_MTR'!$AI$6:$AI$1005,1))</f>
        <v>0</v>
      </c>
      <c r="AG137" s="96">
        <f>IF(Z137=0,0,COUNTIFS('ITENS_MTR'!$S$6:$S$1005,A137,'ITENS_MTR'!$AJ$6:$AJ$1005,1))</f>
        <v>0</v>
      </c>
      <c r="AH137" s="96">
        <f>IF(Z137=0,0,COUNTIFS('ITENS_MTR'!$S$6:$S$1005,A137,'ITENS_MTR'!$AM$6:$AM$1005,1))</f>
        <v>0</v>
      </c>
      <c r="AI137" s="96">
        <f>IF(Z137=0,0,COUNTIFS('ITENS_MTR'!$S$6:$S$1005,A137,'ITENS_MTR'!$AO$6:$AO$1005,1))</f>
        <v>0</v>
      </c>
      <c r="AJ137" s="96">
        <f>IF(Z137=0,0,COUNTIFS('ITENS_MTR'!$S$6:$S$1005,A137,'ITENS_MTR'!$AN$6:$AN$1005,1))</f>
        <v>0</v>
      </c>
      <c r="AK137" s="96">
        <f>IF(Z137=0,0,COUNTIFS('RECEBIMENTOS'!$B$6:$B$1005,A137,'RECEBIMENTOS'!$Y$6:$Y$1005,1))</f>
        <v>0</v>
      </c>
      <c r="AL137" s="96">
        <f>IF(Z137=0,0,COUNTIFS('VÍNCULOS_CDF'!$D$6:$D$1005,A137,'VÍNCULOS_CDF'!$Y$6:$Y$1005,1))</f>
        <v>0</v>
      </c>
      <c r="AM137" s="96">
        <f>IF(Z137=0,0,COUNTIFS('RECEBIMENTOS'!$B$6:$B$1005,A137,'RECEBIMENTOS'!$Q$6:$Q$1005,1))</f>
        <v>0</v>
      </c>
      <c r="AN137" s="96">
        <f>IF(AND(Z137=1,N(W137)&gt;0,AG137=N(W137)),1,0)</f>
        <v>0</v>
      </c>
      <c r="AO137" s="96">
        <f>IF(AND(Z137=1,N(W137)&gt;0,AI137=N(W137)),1,0)</f>
        <v>0</v>
      </c>
      <c r="AP137" s="97">
        <f>IF(Z137=0,0,_xlfn.MAXIFS('RECEBIMENTOS'!$E$6:$E$1005,'RECEBIMENTOS'!$B$6:$B$1005,A137))</f>
        <v>0</v>
      </c>
      <c r="AQ137" s="97" t="str">
        <f>IF(T137="","",IF(T137="RECEBIMENTO NÃO CONFIRMADO",IF(ISNUMBER(F137),F137,IF(ISNUMBER(E137),E137,"")),IF(OR(T137="CDF NÃO LOCALIZADO",T137="VÍNCULO INCOMPLETO",T137="CDF A CONFERIR"),IF(AP137&gt;0,AP137,IF(ISNUMBER(E137),E137,"")),IF(ISNUMBER(E137),E137,""))))</f>
        <v/>
      </c>
      <c r="AR137" s="96">
        <f>IF(NOT(ISNUMBER(U137)),0,IF(T137="RECEBIMENTO NÃO CONFIRMADO",IF(AND(ISNUMBER(cfg_rec),U137&gt;cfg_rec),1,0),IF(OR(T137="CDF NÃO LOCALIZADO",T137="VÍNCULO INCOMPLETO",T137="CDF A CONFERIR"),IF(AND(ISNUMBER(cfg_cdf),U137&gt;cfg_cdf),1,0),0)))</f>
        <v>0</v>
      </c>
      <c r="AS137" s="96" t="str">
        <f>IF(T137="","",IF(AR137=1,"Alta",IFERROR(INDEX(cfg_pp,MATCH(T137,cfg_pt,0))&amp;"","Média")))</f>
        <v/>
      </c>
      <c r="AT137" s="96" t="str">
        <f>IF(T137="","",IFERROR(INDEX(cfg_pv,MATCH(T137,cfg_pt,0))&amp;"",""))</f>
        <v/>
      </c>
      <c r="AU137" s="96" t="str">
        <f>IF(T137="","",IF(AS137="Alta",1,IF(AS137="Média",2,3))*1000000000+(999999-IF(ISNUMBER(U137),MIN(U137,999999),0))*1000+132)</f>
        <v/>
      </c>
      <c r="AV137" s="96">
        <f>IF(T137&lt;&gt;"",1,0)</f>
        <v>0</v>
      </c>
      <c r="AW137" s="96" t="str">
        <f>IF(Z137=0,"",IF(AA137=1,"Cancelamento informado; ","")&amp;IF(AE137=1,"Campos essenciais ou itens faltando; ","")&amp;IF(AC137=1,"Possível duplicidade do número; ","")&amp;IF(AD137=1,"Cadastro ou datas a revisar; ","")&amp;IF(AF137&gt;0,"Item de resíduo com dado a revisar; ","")&amp;IF(AH137&gt;0,"Diferença de quantidade a analisar; ","")&amp;IF(AK137&gt;0,"Recebimento com alerta; ","")&amp;IF(AL137&gt;0,"Vínculo de CDF com alerta; ","")&amp;IF(AND(AA137=0,AN137=0),"Recebimento não confirmado; ","")&amp;IF(AND(AA137=0,AN137=1,AO137=0),"CDF pendente ou a conferir; ",""))</f>
        <v/>
      </c>
      <c r="AX137" s="96">
        <f>IF(Z137=0,0,IF(AND(OR(f_ini="",AND(ISNUMBER(E137),E137&gt;=f_ini)),OR(f_fim="",AND(ISNUMBER(E137),E137&lt;=f_fim)),OR(f_un="",f_un="(Todas)",G137=f_un),OR(f_tr="",f_tr="(Todos)",H137=f_tr),OR(f_de="",f_de="(Todos)",I137=f_de),OR(f_sit="",f_sit="(Todas)",S137=f_sit)),1,0))</f>
        <v>0</v>
      </c>
      <c r="AY137" s="96">
        <f>IF(AX137=0,0,IF(OR(f_res="",f_res="(Todos)"),1,IF(COUNTIFS('ITENS_MTR'!$S$6:$S$1005,A137,'ITENS_MTR'!$C$6:$C$1005,f_res)&gt;0,1,0)))</f>
        <v>0</v>
      </c>
      <c r="AZ137" s="97" t="str">
        <f>IF(ISNUMBER(E137),DATE(YEAR(E137),MONTH(E137),1),"")</f>
        <v/>
      </c>
      <c r="BA137" s="96">
        <f>IF(Z137=0,0,IF(AND(OR(r_ini="",AND(ISNUMBER(E137),E137&gt;=r_ini)),OR(r_fim="",AND(ISNUMBER(E137),E137&lt;=r_fim)),OR(r_un="",r_un="(Todas)",G137=r_un),OR(r_de="",r_de="(Todos)",I137=r_de)),1,0))</f>
        <v>0</v>
      </c>
      <c r="BB137" s="96" t="str">
        <f>IF(BA137=1,COUNTIF($BA$6:BA137,1),"")</f>
        <v/>
      </c>
      <c r="BC137" s="96" t="str">
        <f>IF(AND(AU137&lt;&gt;"",OR(r_un="",r_un="(Todas)",G137=r_un),OR(r_de="",r_de="(Todos)",I137=r_de)),AU137,"")</f>
        <v/>
      </c>
      <c r="BD137" s="96" t="str">
        <f>IF(Z137=1,A137&amp;" | nº "&amp;IF(B137="","(sem número)",B137)&amp;" | "&amp;IF(G137="","(sem unidade)",G137),"")</f>
        <v/>
      </c>
      <c r="BE137" s="96" t="str">
        <f>IF(Z137=1,COUNTIF($Z$6:Z137,1),"")</f>
        <v/>
      </c>
      <c r="BF137" s="96" t="str">
        <f>IF(T137="","",IF(T137="RECEBIMENTO NÃO CONFIRMADO","Transp.: "&amp;H137&amp;" | Dest.: "&amp;I137,IF(OR(T137="CDF NÃO LOCALIZADO",T137="VÍNCULO INCOMPLETO",T137="CDF A CONFERIR"),"Dest.: "&amp;I137,"Gerador: "&amp;G137)))</f>
        <v/>
      </c>
    </row>
    <row r="138">
      <c r="A138" s="89" t="inlineStr">
        <is>
          <t>MTR-000133</t>
        </is>
      </c>
      <c r="B138" s="90" t="n"/>
      <c r="C138" s="91" t="n"/>
      <c r="D138" s="91" t="n"/>
      <c r="E138" s="92" t="n"/>
      <c r="F138" s="92" t="n"/>
      <c r="G138" s="91" t="n"/>
      <c r="H138" s="91" t="n"/>
      <c r="I138" s="91" t="n"/>
      <c r="J138" s="91" t="n"/>
      <c r="K138" s="91" t="n"/>
      <c r="L138" s="92" t="n"/>
      <c r="M138" s="91" t="n"/>
      <c r="N138" s="91" t="n"/>
      <c r="O138" s="91" t="n"/>
      <c r="P138" s="93" t="str">
        <f>IF(Z138=0,"",SUMIFS('ITENS_MTR'!$I$6:$I$1005,'ITENS_MTR'!$S$6:$S$1005,A138,'ITENS_MTR'!$Y$6:$Y$1005,1))</f>
        <v/>
      </c>
      <c r="Q138" s="93" t="str">
        <f>IF(Z138=0,"",SUMIFS('RECEBIMENTOS'!$H$6:$H$1005,'RECEBIMENTOS'!$B$6:$B$1005,A138,'RECEBIMENTOS'!$X$6:$X$1005,1))</f>
        <v/>
      </c>
      <c r="R138" s="93" t="str">
        <f>IF(Z138=0,"",SUMIFS('VÍNCULOS_CDF'!$H$6:$H$1005,'VÍNCULOS_CDF'!$D$6:$D$1005,A138,'VÍNCULOS_CDF'!$V$6:$V$1005,1))</f>
        <v/>
      </c>
      <c r="S138" s="94" t="str">
        <f>IF(Z138=0,"",IF(AA138=1,"Cancelado (informado)",IF(AE138=1,"Cadastro incompleto",IF(OR(AC138=1,AD138=1,AF138&gt;0,AH138&gt;0,AK138&gt;0,AL138&gt;0),"Informação a revisar",IF(AN138=0,"Aguardando recebimento",IF(N(R138)=0,"Aguardando CDF",IF(AJ138&lt;N(W138),"Vínculo de CDF parcial",IF(AO138=0,"CDF localizado, a conferir","Documentação conferida"))))))))</f>
        <v/>
      </c>
      <c r="T138" s="94" t="str">
        <f>IF(Z138=0,"",IF(S138="Cadastro incompleto","MTR INCOMPLETO",IF(S138="Informação a revisar",IF(AND(AH138&gt;0,AC138=0,AD138=0,AF138=0,AK138=0,AL138=0),"QUANTIDADE A REVISAR","IDENTIFICAÇÃO A REVISAR"),IF(S138="Aguardando recebimento","RECEBIMENTO NÃO CONFIRMADO",IF(S138="Aguardando CDF","CDF NÃO LOCALIZADO",IF(S138="Vínculo de CDF parcial","VÍNCULO INCOMPLETO",IF(S138="CDF localizado, a conferir","CDF A CONFERIR","")))))))</f>
        <v/>
      </c>
      <c r="U138" s="95" t="str">
        <f>IF(T138="","",IF(AQ138="","Não calculável",IF(AQ138&gt;TODAY(),"Data futura",TODAY()-AQ138)))</f>
        <v/>
      </c>
      <c r="V138" s="93" t="str">
        <f>IF(Z138=0,"",SUMIFS('RECEBIMENTOS'!$H$6:$H$1005,'RECEBIMENTOS'!$B$6:$B$1005,A138,'RECEBIMENTOS'!$Z$6:$Z$1005,1))</f>
        <v/>
      </c>
      <c r="W138" s="95" t="str">
        <f>IF(Z138=0,"",COUNTIFS('ITENS_MTR'!$S$6:$S$1005,A138,'ITENS_MTR'!$R$6:$R$1005,1))</f>
        <v/>
      </c>
      <c r="X138" s="94" t="str">
        <f>IF(AC138=1,"POSSÍVEL DUPLICIDADE","")</f>
        <v/>
      </c>
      <c r="Y138" s="94" t="str">
        <f>IF(Z138=0,"",IF(AW138="","Nenhuma",LEFT(AW138,LEN(AW138)-2)))</f>
        <v/>
      </c>
      <c r="Z138" s="96">
        <f>IF(COUNTA(B138:O138)&gt;0,1,0)</f>
        <v>0</v>
      </c>
      <c r="AA138" s="96">
        <f>IF(AND(Z138=1,K138&lt;&gt;""),IF(TRIM(K138)=TRIM(cfg_cancel),1,0),0)</f>
        <v>0</v>
      </c>
      <c r="AB138" s="96" t="str">
        <f>IF(AND(Z138=1,B138&lt;&gt;""),C138&amp;"|"&amp;D138&amp;"|"&amp;G138&amp;"|"&amp;TRIM(B138),"")</f>
        <v/>
      </c>
      <c r="AC138" s="96">
        <f>IF(AB138="",0,IF(SUMPRODUCT(--($AB$6:$AB$505=AB138))&gt;1,1,0))</f>
        <v>0</v>
      </c>
      <c r="AD138" s="96">
        <f>IF(Z138=0,0,IF(OR(AND(G138&lt;&gt;"",ISNA(MATCH(G138,'CAD_UNIDADES'!$C$6:$C$105,0))),AND(H138&lt;&gt;"",ISNA(MATCH(H138,cmp_transp,0))),AND(I138&lt;&gt;"",ISNA(MATCH(I138,cmp_dest,0))),AND(E138&lt;&gt;"",NOT(ISNUMBER(E138))),AND(F138&lt;&gt;"",NOT(ISNUMBER(F138))),AND(ISNUMBER(E138),ISNUMBER(F138),F138&lt;E138)),1,0))</f>
        <v>0</v>
      </c>
      <c r="AE138" s="96">
        <f>IF(Z138=0,0,IF(OR(B138="",C138="",E138="",G138="",H138="",I138="",N(W138)=0),1,0))</f>
        <v>0</v>
      </c>
      <c r="AF138" s="96">
        <f>IF(Z138=0,0,COUNTIFS('ITENS_MTR'!$S$6:$S$1005,A138,'ITENS_MTR'!$AI$6:$AI$1005,1))</f>
        <v>0</v>
      </c>
      <c r="AG138" s="96">
        <f>IF(Z138=0,0,COUNTIFS('ITENS_MTR'!$S$6:$S$1005,A138,'ITENS_MTR'!$AJ$6:$AJ$1005,1))</f>
        <v>0</v>
      </c>
      <c r="AH138" s="96">
        <f>IF(Z138=0,0,COUNTIFS('ITENS_MTR'!$S$6:$S$1005,A138,'ITENS_MTR'!$AM$6:$AM$1005,1))</f>
        <v>0</v>
      </c>
      <c r="AI138" s="96">
        <f>IF(Z138=0,0,COUNTIFS('ITENS_MTR'!$S$6:$S$1005,A138,'ITENS_MTR'!$AO$6:$AO$1005,1))</f>
        <v>0</v>
      </c>
      <c r="AJ138" s="96">
        <f>IF(Z138=0,0,COUNTIFS('ITENS_MTR'!$S$6:$S$1005,A138,'ITENS_MTR'!$AN$6:$AN$1005,1))</f>
        <v>0</v>
      </c>
      <c r="AK138" s="96">
        <f>IF(Z138=0,0,COUNTIFS('RECEBIMENTOS'!$B$6:$B$1005,A138,'RECEBIMENTOS'!$Y$6:$Y$1005,1))</f>
        <v>0</v>
      </c>
      <c r="AL138" s="96">
        <f>IF(Z138=0,0,COUNTIFS('VÍNCULOS_CDF'!$D$6:$D$1005,A138,'VÍNCULOS_CDF'!$Y$6:$Y$1005,1))</f>
        <v>0</v>
      </c>
      <c r="AM138" s="96">
        <f>IF(Z138=0,0,COUNTIFS('RECEBIMENTOS'!$B$6:$B$1005,A138,'RECEBIMENTOS'!$Q$6:$Q$1005,1))</f>
        <v>0</v>
      </c>
      <c r="AN138" s="96">
        <f>IF(AND(Z138=1,N(W138)&gt;0,AG138=N(W138)),1,0)</f>
        <v>0</v>
      </c>
      <c r="AO138" s="96">
        <f>IF(AND(Z138=1,N(W138)&gt;0,AI138=N(W138)),1,0)</f>
        <v>0</v>
      </c>
      <c r="AP138" s="97">
        <f>IF(Z138=0,0,_xlfn.MAXIFS('RECEBIMENTOS'!$E$6:$E$1005,'RECEBIMENTOS'!$B$6:$B$1005,A138))</f>
        <v>0</v>
      </c>
      <c r="AQ138" s="97" t="str">
        <f>IF(T138="","",IF(T138="RECEBIMENTO NÃO CONFIRMADO",IF(ISNUMBER(F138),F138,IF(ISNUMBER(E138),E138,"")),IF(OR(T138="CDF NÃO LOCALIZADO",T138="VÍNCULO INCOMPLETO",T138="CDF A CONFERIR"),IF(AP138&gt;0,AP138,IF(ISNUMBER(E138),E138,"")),IF(ISNUMBER(E138),E138,""))))</f>
        <v/>
      </c>
      <c r="AR138" s="96">
        <f>IF(NOT(ISNUMBER(U138)),0,IF(T138="RECEBIMENTO NÃO CONFIRMADO",IF(AND(ISNUMBER(cfg_rec),U138&gt;cfg_rec),1,0),IF(OR(T138="CDF NÃO LOCALIZADO",T138="VÍNCULO INCOMPLETO",T138="CDF A CONFERIR"),IF(AND(ISNUMBER(cfg_cdf),U138&gt;cfg_cdf),1,0),0)))</f>
        <v>0</v>
      </c>
      <c r="AS138" s="96" t="str">
        <f>IF(T138="","",IF(AR138=1,"Alta",IFERROR(INDEX(cfg_pp,MATCH(T138,cfg_pt,0))&amp;"","Média")))</f>
        <v/>
      </c>
      <c r="AT138" s="96" t="str">
        <f>IF(T138="","",IFERROR(INDEX(cfg_pv,MATCH(T138,cfg_pt,0))&amp;"",""))</f>
        <v/>
      </c>
      <c r="AU138" s="96" t="str">
        <f>IF(T138="","",IF(AS138="Alta",1,IF(AS138="Média",2,3))*1000000000+(999999-IF(ISNUMBER(U138),MIN(U138,999999),0))*1000+133)</f>
        <v/>
      </c>
      <c r="AV138" s="96">
        <f>IF(T138&lt;&gt;"",1,0)</f>
        <v>0</v>
      </c>
      <c r="AW138" s="96" t="str">
        <f>IF(Z138=0,"",IF(AA138=1,"Cancelamento informado; ","")&amp;IF(AE138=1,"Campos essenciais ou itens faltando; ","")&amp;IF(AC138=1,"Possível duplicidade do número; ","")&amp;IF(AD138=1,"Cadastro ou datas a revisar; ","")&amp;IF(AF138&gt;0,"Item de resíduo com dado a revisar; ","")&amp;IF(AH138&gt;0,"Diferença de quantidade a analisar; ","")&amp;IF(AK138&gt;0,"Recebimento com alerta; ","")&amp;IF(AL138&gt;0,"Vínculo de CDF com alerta; ","")&amp;IF(AND(AA138=0,AN138=0),"Recebimento não confirmado; ","")&amp;IF(AND(AA138=0,AN138=1,AO138=0),"CDF pendente ou a conferir; ",""))</f>
        <v/>
      </c>
      <c r="AX138" s="96">
        <f>IF(Z138=0,0,IF(AND(OR(f_ini="",AND(ISNUMBER(E138),E138&gt;=f_ini)),OR(f_fim="",AND(ISNUMBER(E138),E138&lt;=f_fim)),OR(f_un="",f_un="(Todas)",G138=f_un),OR(f_tr="",f_tr="(Todos)",H138=f_tr),OR(f_de="",f_de="(Todos)",I138=f_de),OR(f_sit="",f_sit="(Todas)",S138=f_sit)),1,0))</f>
        <v>0</v>
      </c>
      <c r="AY138" s="96">
        <f>IF(AX138=0,0,IF(OR(f_res="",f_res="(Todos)"),1,IF(COUNTIFS('ITENS_MTR'!$S$6:$S$1005,A138,'ITENS_MTR'!$C$6:$C$1005,f_res)&gt;0,1,0)))</f>
        <v>0</v>
      </c>
      <c r="AZ138" s="97" t="str">
        <f>IF(ISNUMBER(E138),DATE(YEAR(E138),MONTH(E138),1),"")</f>
        <v/>
      </c>
      <c r="BA138" s="96">
        <f>IF(Z138=0,0,IF(AND(OR(r_ini="",AND(ISNUMBER(E138),E138&gt;=r_ini)),OR(r_fim="",AND(ISNUMBER(E138),E138&lt;=r_fim)),OR(r_un="",r_un="(Todas)",G138=r_un),OR(r_de="",r_de="(Todos)",I138=r_de)),1,0))</f>
        <v>0</v>
      </c>
      <c r="BB138" s="96" t="str">
        <f>IF(BA138=1,COUNTIF($BA$6:BA138,1),"")</f>
        <v/>
      </c>
      <c r="BC138" s="96" t="str">
        <f>IF(AND(AU138&lt;&gt;"",OR(r_un="",r_un="(Todas)",G138=r_un),OR(r_de="",r_de="(Todos)",I138=r_de)),AU138,"")</f>
        <v/>
      </c>
      <c r="BD138" s="96" t="str">
        <f>IF(Z138=1,A138&amp;" | nº "&amp;IF(B138="","(sem número)",B138)&amp;" | "&amp;IF(G138="","(sem unidade)",G138),"")</f>
        <v/>
      </c>
      <c r="BE138" s="96" t="str">
        <f>IF(Z138=1,COUNTIF($Z$6:Z138,1),"")</f>
        <v/>
      </c>
      <c r="BF138" s="96" t="str">
        <f>IF(T138="","",IF(T138="RECEBIMENTO NÃO CONFIRMADO","Transp.: "&amp;H138&amp;" | Dest.: "&amp;I138,IF(OR(T138="CDF NÃO LOCALIZADO",T138="VÍNCULO INCOMPLETO",T138="CDF A CONFERIR"),"Dest.: "&amp;I138,"Gerador: "&amp;G138)))</f>
        <v/>
      </c>
    </row>
    <row r="139">
      <c r="A139" s="89" t="inlineStr">
        <is>
          <t>MTR-000134</t>
        </is>
      </c>
      <c r="B139" s="90" t="n"/>
      <c r="C139" s="91" t="n"/>
      <c r="D139" s="91" t="n"/>
      <c r="E139" s="92" t="n"/>
      <c r="F139" s="92" t="n"/>
      <c r="G139" s="91" t="n"/>
      <c r="H139" s="91" t="n"/>
      <c r="I139" s="91" t="n"/>
      <c r="J139" s="91" t="n"/>
      <c r="K139" s="91" t="n"/>
      <c r="L139" s="92" t="n"/>
      <c r="M139" s="91" t="n"/>
      <c r="N139" s="91" t="n"/>
      <c r="O139" s="91" t="n"/>
      <c r="P139" s="93" t="str">
        <f>IF(Z139=0,"",SUMIFS('ITENS_MTR'!$I$6:$I$1005,'ITENS_MTR'!$S$6:$S$1005,A139,'ITENS_MTR'!$Y$6:$Y$1005,1))</f>
        <v/>
      </c>
      <c r="Q139" s="93" t="str">
        <f>IF(Z139=0,"",SUMIFS('RECEBIMENTOS'!$H$6:$H$1005,'RECEBIMENTOS'!$B$6:$B$1005,A139,'RECEBIMENTOS'!$X$6:$X$1005,1))</f>
        <v/>
      </c>
      <c r="R139" s="93" t="str">
        <f>IF(Z139=0,"",SUMIFS('VÍNCULOS_CDF'!$H$6:$H$1005,'VÍNCULOS_CDF'!$D$6:$D$1005,A139,'VÍNCULOS_CDF'!$V$6:$V$1005,1))</f>
        <v/>
      </c>
      <c r="S139" s="94" t="str">
        <f>IF(Z139=0,"",IF(AA139=1,"Cancelado (informado)",IF(AE139=1,"Cadastro incompleto",IF(OR(AC139=1,AD139=1,AF139&gt;0,AH139&gt;0,AK139&gt;0,AL139&gt;0),"Informação a revisar",IF(AN139=0,"Aguardando recebimento",IF(N(R139)=0,"Aguardando CDF",IF(AJ139&lt;N(W139),"Vínculo de CDF parcial",IF(AO139=0,"CDF localizado, a conferir","Documentação conferida"))))))))</f>
        <v/>
      </c>
      <c r="T139" s="94" t="str">
        <f>IF(Z139=0,"",IF(S139="Cadastro incompleto","MTR INCOMPLETO",IF(S139="Informação a revisar",IF(AND(AH139&gt;0,AC139=0,AD139=0,AF139=0,AK139=0,AL139=0),"QUANTIDADE A REVISAR","IDENTIFICAÇÃO A REVISAR"),IF(S139="Aguardando recebimento","RECEBIMENTO NÃO CONFIRMADO",IF(S139="Aguardando CDF","CDF NÃO LOCALIZADO",IF(S139="Vínculo de CDF parcial","VÍNCULO INCOMPLETO",IF(S139="CDF localizado, a conferir","CDF A CONFERIR","")))))))</f>
        <v/>
      </c>
      <c r="U139" s="95" t="str">
        <f>IF(T139="","",IF(AQ139="","Não calculável",IF(AQ139&gt;TODAY(),"Data futura",TODAY()-AQ139)))</f>
        <v/>
      </c>
      <c r="V139" s="93" t="str">
        <f>IF(Z139=0,"",SUMIFS('RECEBIMENTOS'!$H$6:$H$1005,'RECEBIMENTOS'!$B$6:$B$1005,A139,'RECEBIMENTOS'!$Z$6:$Z$1005,1))</f>
        <v/>
      </c>
      <c r="W139" s="95" t="str">
        <f>IF(Z139=0,"",COUNTIFS('ITENS_MTR'!$S$6:$S$1005,A139,'ITENS_MTR'!$R$6:$R$1005,1))</f>
        <v/>
      </c>
      <c r="X139" s="94" t="str">
        <f>IF(AC139=1,"POSSÍVEL DUPLICIDADE","")</f>
        <v/>
      </c>
      <c r="Y139" s="94" t="str">
        <f>IF(Z139=0,"",IF(AW139="","Nenhuma",LEFT(AW139,LEN(AW139)-2)))</f>
        <v/>
      </c>
      <c r="Z139" s="96">
        <f>IF(COUNTA(B139:O139)&gt;0,1,0)</f>
        <v>0</v>
      </c>
      <c r="AA139" s="96">
        <f>IF(AND(Z139=1,K139&lt;&gt;""),IF(TRIM(K139)=TRIM(cfg_cancel),1,0),0)</f>
        <v>0</v>
      </c>
      <c r="AB139" s="96" t="str">
        <f>IF(AND(Z139=1,B139&lt;&gt;""),C139&amp;"|"&amp;D139&amp;"|"&amp;G139&amp;"|"&amp;TRIM(B139),"")</f>
        <v/>
      </c>
      <c r="AC139" s="96">
        <f>IF(AB139="",0,IF(SUMPRODUCT(--($AB$6:$AB$505=AB139))&gt;1,1,0))</f>
        <v>0</v>
      </c>
      <c r="AD139" s="96">
        <f>IF(Z139=0,0,IF(OR(AND(G139&lt;&gt;"",ISNA(MATCH(G139,'CAD_UNIDADES'!$C$6:$C$105,0))),AND(H139&lt;&gt;"",ISNA(MATCH(H139,cmp_transp,0))),AND(I139&lt;&gt;"",ISNA(MATCH(I139,cmp_dest,0))),AND(E139&lt;&gt;"",NOT(ISNUMBER(E139))),AND(F139&lt;&gt;"",NOT(ISNUMBER(F139))),AND(ISNUMBER(E139),ISNUMBER(F139),F139&lt;E139)),1,0))</f>
        <v>0</v>
      </c>
      <c r="AE139" s="96">
        <f>IF(Z139=0,0,IF(OR(B139="",C139="",E139="",G139="",H139="",I139="",N(W139)=0),1,0))</f>
        <v>0</v>
      </c>
      <c r="AF139" s="96">
        <f>IF(Z139=0,0,COUNTIFS('ITENS_MTR'!$S$6:$S$1005,A139,'ITENS_MTR'!$AI$6:$AI$1005,1))</f>
        <v>0</v>
      </c>
      <c r="AG139" s="96">
        <f>IF(Z139=0,0,COUNTIFS('ITENS_MTR'!$S$6:$S$1005,A139,'ITENS_MTR'!$AJ$6:$AJ$1005,1))</f>
        <v>0</v>
      </c>
      <c r="AH139" s="96">
        <f>IF(Z139=0,0,COUNTIFS('ITENS_MTR'!$S$6:$S$1005,A139,'ITENS_MTR'!$AM$6:$AM$1005,1))</f>
        <v>0</v>
      </c>
      <c r="AI139" s="96">
        <f>IF(Z139=0,0,COUNTIFS('ITENS_MTR'!$S$6:$S$1005,A139,'ITENS_MTR'!$AO$6:$AO$1005,1))</f>
        <v>0</v>
      </c>
      <c r="AJ139" s="96">
        <f>IF(Z139=0,0,COUNTIFS('ITENS_MTR'!$S$6:$S$1005,A139,'ITENS_MTR'!$AN$6:$AN$1005,1))</f>
        <v>0</v>
      </c>
      <c r="AK139" s="96">
        <f>IF(Z139=0,0,COUNTIFS('RECEBIMENTOS'!$B$6:$B$1005,A139,'RECEBIMENTOS'!$Y$6:$Y$1005,1))</f>
        <v>0</v>
      </c>
      <c r="AL139" s="96">
        <f>IF(Z139=0,0,COUNTIFS('VÍNCULOS_CDF'!$D$6:$D$1005,A139,'VÍNCULOS_CDF'!$Y$6:$Y$1005,1))</f>
        <v>0</v>
      </c>
      <c r="AM139" s="96">
        <f>IF(Z139=0,0,COUNTIFS('RECEBIMENTOS'!$B$6:$B$1005,A139,'RECEBIMENTOS'!$Q$6:$Q$1005,1))</f>
        <v>0</v>
      </c>
      <c r="AN139" s="96">
        <f>IF(AND(Z139=1,N(W139)&gt;0,AG139=N(W139)),1,0)</f>
        <v>0</v>
      </c>
      <c r="AO139" s="96">
        <f>IF(AND(Z139=1,N(W139)&gt;0,AI139=N(W139)),1,0)</f>
        <v>0</v>
      </c>
      <c r="AP139" s="97">
        <f>IF(Z139=0,0,_xlfn.MAXIFS('RECEBIMENTOS'!$E$6:$E$1005,'RECEBIMENTOS'!$B$6:$B$1005,A139))</f>
        <v>0</v>
      </c>
      <c r="AQ139" s="97" t="str">
        <f>IF(T139="","",IF(T139="RECEBIMENTO NÃO CONFIRMADO",IF(ISNUMBER(F139),F139,IF(ISNUMBER(E139),E139,"")),IF(OR(T139="CDF NÃO LOCALIZADO",T139="VÍNCULO INCOMPLETO",T139="CDF A CONFERIR"),IF(AP139&gt;0,AP139,IF(ISNUMBER(E139),E139,"")),IF(ISNUMBER(E139),E139,""))))</f>
        <v/>
      </c>
      <c r="AR139" s="96">
        <f>IF(NOT(ISNUMBER(U139)),0,IF(T139="RECEBIMENTO NÃO CONFIRMADO",IF(AND(ISNUMBER(cfg_rec),U139&gt;cfg_rec),1,0),IF(OR(T139="CDF NÃO LOCALIZADO",T139="VÍNCULO INCOMPLETO",T139="CDF A CONFERIR"),IF(AND(ISNUMBER(cfg_cdf),U139&gt;cfg_cdf),1,0),0)))</f>
        <v>0</v>
      </c>
      <c r="AS139" s="96" t="str">
        <f>IF(T139="","",IF(AR139=1,"Alta",IFERROR(INDEX(cfg_pp,MATCH(T139,cfg_pt,0))&amp;"","Média")))</f>
        <v/>
      </c>
      <c r="AT139" s="96" t="str">
        <f>IF(T139="","",IFERROR(INDEX(cfg_pv,MATCH(T139,cfg_pt,0))&amp;"",""))</f>
        <v/>
      </c>
      <c r="AU139" s="96" t="str">
        <f>IF(T139="","",IF(AS139="Alta",1,IF(AS139="Média",2,3))*1000000000+(999999-IF(ISNUMBER(U139),MIN(U139,999999),0))*1000+134)</f>
        <v/>
      </c>
      <c r="AV139" s="96">
        <f>IF(T139&lt;&gt;"",1,0)</f>
        <v>0</v>
      </c>
      <c r="AW139" s="96" t="str">
        <f>IF(Z139=0,"",IF(AA139=1,"Cancelamento informado; ","")&amp;IF(AE139=1,"Campos essenciais ou itens faltando; ","")&amp;IF(AC139=1,"Possível duplicidade do número; ","")&amp;IF(AD139=1,"Cadastro ou datas a revisar; ","")&amp;IF(AF139&gt;0,"Item de resíduo com dado a revisar; ","")&amp;IF(AH139&gt;0,"Diferença de quantidade a analisar; ","")&amp;IF(AK139&gt;0,"Recebimento com alerta; ","")&amp;IF(AL139&gt;0,"Vínculo de CDF com alerta; ","")&amp;IF(AND(AA139=0,AN139=0),"Recebimento não confirmado; ","")&amp;IF(AND(AA139=0,AN139=1,AO139=0),"CDF pendente ou a conferir; ",""))</f>
        <v/>
      </c>
      <c r="AX139" s="96">
        <f>IF(Z139=0,0,IF(AND(OR(f_ini="",AND(ISNUMBER(E139),E139&gt;=f_ini)),OR(f_fim="",AND(ISNUMBER(E139),E139&lt;=f_fim)),OR(f_un="",f_un="(Todas)",G139=f_un),OR(f_tr="",f_tr="(Todos)",H139=f_tr),OR(f_de="",f_de="(Todos)",I139=f_de),OR(f_sit="",f_sit="(Todas)",S139=f_sit)),1,0))</f>
        <v>0</v>
      </c>
      <c r="AY139" s="96">
        <f>IF(AX139=0,0,IF(OR(f_res="",f_res="(Todos)"),1,IF(COUNTIFS('ITENS_MTR'!$S$6:$S$1005,A139,'ITENS_MTR'!$C$6:$C$1005,f_res)&gt;0,1,0)))</f>
        <v>0</v>
      </c>
      <c r="AZ139" s="97" t="str">
        <f>IF(ISNUMBER(E139),DATE(YEAR(E139),MONTH(E139),1),"")</f>
        <v/>
      </c>
      <c r="BA139" s="96">
        <f>IF(Z139=0,0,IF(AND(OR(r_ini="",AND(ISNUMBER(E139),E139&gt;=r_ini)),OR(r_fim="",AND(ISNUMBER(E139),E139&lt;=r_fim)),OR(r_un="",r_un="(Todas)",G139=r_un),OR(r_de="",r_de="(Todos)",I139=r_de)),1,0))</f>
        <v>0</v>
      </c>
      <c r="BB139" s="96" t="str">
        <f>IF(BA139=1,COUNTIF($BA$6:BA139,1),"")</f>
        <v/>
      </c>
      <c r="BC139" s="96" t="str">
        <f>IF(AND(AU139&lt;&gt;"",OR(r_un="",r_un="(Todas)",G139=r_un),OR(r_de="",r_de="(Todos)",I139=r_de)),AU139,"")</f>
        <v/>
      </c>
      <c r="BD139" s="96" t="str">
        <f>IF(Z139=1,A139&amp;" | nº "&amp;IF(B139="","(sem número)",B139)&amp;" | "&amp;IF(G139="","(sem unidade)",G139),"")</f>
        <v/>
      </c>
      <c r="BE139" s="96" t="str">
        <f>IF(Z139=1,COUNTIF($Z$6:Z139,1),"")</f>
        <v/>
      </c>
      <c r="BF139" s="96" t="str">
        <f>IF(T139="","",IF(T139="RECEBIMENTO NÃO CONFIRMADO","Transp.: "&amp;H139&amp;" | Dest.: "&amp;I139,IF(OR(T139="CDF NÃO LOCALIZADO",T139="VÍNCULO INCOMPLETO",T139="CDF A CONFERIR"),"Dest.: "&amp;I139,"Gerador: "&amp;G139)))</f>
        <v/>
      </c>
    </row>
    <row r="140">
      <c r="A140" s="89" t="inlineStr">
        <is>
          <t>MTR-000135</t>
        </is>
      </c>
      <c r="B140" s="90" t="n"/>
      <c r="C140" s="91" t="n"/>
      <c r="D140" s="91" t="n"/>
      <c r="E140" s="92" t="n"/>
      <c r="F140" s="92" t="n"/>
      <c r="G140" s="91" t="n"/>
      <c r="H140" s="91" t="n"/>
      <c r="I140" s="91" t="n"/>
      <c r="J140" s="91" t="n"/>
      <c r="K140" s="91" t="n"/>
      <c r="L140" s="92" t="n"/>
      <c r="M140" s="91" t="n"/>
      <c r="N140" s="91" t="n"/>
      <c r="O140" s="91" t="n"/>
      <c r="P140" s="93" t="str">
        <f>IF(Z140=0,"",SUMIFS('ITENS_MTR'!$I$6:$I$1005,'ITENS_MTR'!$S$6:$S$1005,A140,'ITENS_MTR'!$Y$6:$Y$1005,1))</f>
        <v/>
      </c>
      <c r="Q140" s="93" t="str">
        <f>IF(Z140=0,"",SUMIFS('RECEBIMENTOS'!$H$6:$H$1005,'RECEBIMENTOS'!$B$6:$B$1005,A140,'RECEBIMENTOS'!$X$6:$X$1005,1))</f>
        <v/>
      </c>
      <c r="R140" s="93" t="str">
        <f>IF(Z140=0,"",SUMIFS('VÍNCULOS_CDF'!$H$6:$H$1005,'VÍNCULOS_CDF'!$D$6:$D$1005,A140,'VÍNCULOS_CDF'!$V$6:$V$1005,1))</f>
        <v/>
      </c>
      <c r="S140" s="94" t="str">
        <f>IF(Z140=0,"",IF(AA140=1,"Cancelado (informado)",IF(AE140=1,"Cadastro incompleto",IF(OR(AC140=1,AD140=1,AF140&gt;0,AH140&gt;0,AK140&gt;0,AL140&gt;0),"Informação a revisar",IF(AN140=0,"Aguardando recebimento",IF(N(R140)=0,"Aguardando CDF",IF(AJ140&lt;N(W140),"Vínculo de CDF parcial",IF(AO140=0,"CDF localizado, a conferir","Documentação conferida"))))))))</f>
        <v/>
      </c>
      <c r="T140" s="94" t="str">
        <f>IF(Z140=0,"",IF(S140="Cadastro incompleto","MTR INCOMPLETO",IF(S140="Informação a revisar",IF(AND(AH140&gt;0,AC140=0,AD140=0,AF140=0,AK140=0,AL140=0),"QUANTIDADE A REVISAR","IDENTIFICAÇÃO A REVISAR"),IF(S140="Aguardando recebimento","RECEBIMENTO NÃO CONFIRMADO",IF(S140="Aguardando CDF","CDF NÃO LOCALIZADO",IF(S140="Vínculo de CDF parcial","VÍNCULO INCOMPLETO",IF(S140="CDF localizado, a conferir","CDF A CONFERIR","")))))))</f>
        <v/>
      </c>
      <c r="U140" s="95" t="str">
        <f>IF(T140="","",IF(AQ140="","Não calculável",IF(AQ140&gt;TODAY(),"Data futura",TODAY()-AQ140)))</f>
        <v/>
      </c>
      <c r="V140" s="93" t="str">
        <f>IF(Z140=0,"",SUMIFS('RECEBIMENTOS'!$H$6:$H$1005,'RECEBIMENTOS'!$B$6:$B$1005,A140,'RECEBIMENTOS'!$Z$6:$Z$1005,1))</f>
        <v/>
      </c>
      <c r="W140" s="95" t="str">
        <f>IF(Z140=0,"",COUNTIFS('ITENS_MTR'!$S$6:$S$1005,A140,'ITENS_MTR'!$R$6:$R$1005,1))</f>
        <v/>
      </c>
      <c r="X140" s="94" t="str">
        <f>IF(AC140=1,"POSSÍVEL DUPLICIDADE","")</f>
        <v/>
      </c>
      <c r="Y140" s="94" t="str">
        <f>IF(Z140=0,"",IF(AW140="","Nenhuma",LEFT(AW140,LEN(AW140)-2)))</f>
        <v/>
      </c>
      <c r="Z140" s="96">
        <f>IF(COUNTA(B140:O140)&gt;0,1,0)</f>
        <v>0</v>
      </c>
      <c r="AA140" s="96">
        <f>IF(AND(Z140=1,K140&lt;&gt;""),IF(TRIM(K140)=TRIM(cfg_cancel),1,0),0)</f>
        <v>0</v>
      </c>
      <c r="AB140" s="96" t="str">
        <f>IF(AND(Z140=1,B140&lt;&gt;""),C140&amp;"|"&amp;D140&amp;"|"&amp;G140&amp;"|"&amp;TRIM(B140),"")</f>
        <v/>
      </c>
      <c r="AC140" s="96">
        <f>IF(AB140="",0,IF(SUMPRODUCT(--($AB$6:$AB$505=AB140))&gt;1,1,0))</f>
        <v>0</v>
      </c>
      <c r="AD140" s="96">
        <f>IF(Z140=0,0,IF(OR(AND(G140&lt;&gt;"",ISNA(MATCH(G140,'CAD_UNIDADES'!$C$6:$C$105,0))),AND(H140&lt;&gt;"",ISNA(MATCH(H140,cmp_transp,0))),AND(I140&lt;&gt;"",ISNA(MATCH(I140,cmp_dest,0))),AND(E140&lt;&gt;"",NOT(ISNUMBER(E140))),AND(F140&lt;&gt;"",NOT(ISNUMBER(F140))),AND(ISNUMBER(E140),ISNUMBER(F140),F140&lt;E140)),1,0))</f>
        <v>0</v>
      </c>
      <c r="AE140" s="96">
        <f>IF(Z140=0,0,IF(OR(B140="",C140="",E140="",G140="",H140="",I140="",N(W140)=0),1,0))</f>
        <v>0</v>
      </c>
      <c r="AF140" s="96">
        <f>IF(Z140=0,0,COUNTIFS('ITENS_MTR'!$S$6:$S$1005,A140,'ITENS_MTR'!$AI$6:$AI$1005,1))</f>
        <v>0</v>
      </c>
      <c r="AG140" s="96">
        <f>IF(Z140=0,0,COUNTIFS('ITENS_MTR'!$S$6:$S$1005,A140,'ITENS_MTR'!$AJ$6:$AJ$1005,1))</f>
        <v>0</v>
      </c>
      <c r="AH140" s="96">
        <f>IF(Z140=0,0,COUNTIFS('ITENS_MTR'!$S$6:$S$1005,A140,'ITENS_MTR'!$AM$6:$AM$1005,1))</f>
        <v>0</v>
      </c>
      <c r="AI140" s="96">
        <f>IF(Z140=0,0,COUNTIFS('ITENS_MTR'!$S$6:$S$1005,A140,'ITENS_MTR'!$AO$6:$AO$1005,1))</f>
        <v>0</v>
      </c>
      <c r="AJ140" s="96">
        <f>IF(Z140=0,0,COUNTIFS('ITENS_MTR'!$S$6:$S$1005,A140,'ITENS_MTR'!$AN$6:$AN$1005,1))</f>
        <v>0</v>
      </c>
      <c r="AK140" s="96">
        <f>IF(Z140=0,0,COUNTIFS('RECEBIMENTOS'!$B$6:$B$1005,A140,'RECEBIMENTOS'!$Y$6:$Y$1005,1))</f>
        <v>0</v>
      </c>
      <c r="AL140" s="96">
        <f>IF(Z140=0,0,COUNTIFS('VÍNCULOS_CDF'!$D$6:$D$1005,A140,'VÍNCULOS_CDF'!$Y$6:$Y$1005,1))</f>
        <v>0</v>
      </c>
      <c r="AM140" s="96">
        <f>IF(Z140=0,0,COUNTIFS('RECEBIMENTOS'!$B$6:$B$1005,A140,'RECEBIMENTOS'!$Q$6:$Q$1005,1))</f>
        <v>0</v>
      </c>
      <c r="AN140" s="96">
        <f>IF(AND(Z140=1,N(W140)&gt;0,AG140=N(W140)),1,0)</f>
        <v>0</v>
      </c>
      <c r="AO140" s="96">
        <f>IF(AND(Z140=1,N(W140)&gt;0,AI140=N(W140)),1,0)</f>
        <v>0</v>
      </c>
      <c r="AP140" s="97">
        <f>IF(Z140=0,0,_xlfn.MAXIFS('RECEBIMENTOS'!$E$6:$E$1005,'RECEBIMENTOS'!$B$6:$B$1005,A140))</f>
        <v>0</v>
      </c>
      <c r="AQ140" s="97" t="str">
        <f>IF(T140="","",IF(T140="RECEBIMENTO NÃO CONFIRMADO",IF(ISNUMBER(F140),F140,IF(ISNUMBER(E140),E140,"")),IF(OR(T140="CDF NÃO LOCALIZADO",T140="VÍNCULO INCOMPLETO",T140="CDF A CONFERIR"),IF(AP140&gt;0,AP140,IF(ISNUMBER(E140),E140,"")),IF(ISNUMBER(E140),E140,""))))</f>
        <v/>
      </c>
      <c r="AR140" s="96">
        <f>IF(NOT(ISNUMBER(U140)),0,IF(T140="RECEBIMENTO NÃO CONFIRMADO",IF(AND(ISNUMBER(cfg_rec),U140&gt;cfg_rec),1,0),IF(OR(T140="CDF NÃO LOCALIZADO",T140="VÍNCULO INCOMPLETO",T140="CDF A CONFERIR"),IF(AND(ISNUMBER(cfg_cdf),U140&gt;cfg_cdf),1,0),0)))</f>
        <v>0</v>
      </c>
      <c r="AS140" s="96" t="str">
        <f>IF(T140="","",IF(AR140=1,"Alta",IFERROR(INDEX(cfg_pp,MATCH(T140,cfg_pt,0))&amp;"","Média")))</f>
        <v/>
      </c>
      <c r="AT140" s="96" t="str">
        <f>IF(T140="","",IFERROR(INDEX(cfg_pv,MATCH(T140,cfg_pt,0))&amp;"",""))</f>
        <v/>
      </c>
      <c r="AU140" s="96" t="str">
        <f>IF(T140="","",IF(AS140="Alta",1,IF(AS140="Média",2,3))*1000000000+(999999-IF(ISNUMBER(U140),MIN(U140,999999),0))*1000+135)</f>
        <v/>
      </c>
      <c r="AV140" s="96">
        <f>IF(T140&lt;&gt;"",1,0)</f>
        <v>0</v>
      </c>
      <c r="AW140" s="96" t="str">
        <f>IF(Z140=0,"",IF(AA140=1,"Cancelamento informado; ","")&amp;IF(AE140=1,"Campos essenciais ou itens faltando; ","")&amp;IF(AC140=1,"Possível duplicidade do número; ","")&amp;IF(AD140=1,"Cadastro ou datas a revisar; ","")&amp;IF(AF140&gt;0,"Item de resíduo com dado a revisar; ","")&amp;IF(AH140&gt;0,"Diferença de quantidade a analisar; ","")&amp;IF(AK140&gt;0,"Recebimento com alerta; ","")&amp;IF(AL140&gt;0,"Vínculo de CDF com alerta; ","")&amp;IF(AND(AA140=0,AN140=0),"Recebimento não confirmado; ","")&amp;IF(AND(AA140=0,AN140=1,AO140=0),"CDF pendente ou a conferir; ",""))</f>
        <v/>
      </c>
      <c r="AX140" s="96">
        <f>IF(Z140=0,0,IF(AND(OR(f_ini="",AND(ISNUMBER(E140),E140&gt;=f_ini)),OR(f_fim="",AND(ISNUMBER(E140),E140&lt;=f_fim)),OR(f_un="",f_un="(Todas)",G140=f_un),OR(f_tr="",f_tr="(Todos)",H140=f_tr),OR(f_de="",f_de="(Todos)",I140=f_de),OR(f_sit="",f_sit="(Todas)",S140=f_sit)),1,0))</f>
        <v>0</v>
      </c>
      <c r="AY140" s="96">
        <f>IF(AX140=0,0,IF(OR(f_res="",f_res="(Todos)"),1,IF(COUNTIFS('ITENS_MTR'!$S$6:$S$1005,A140,'ITENS_MTR'!$C$6:$C$1005,f_res)&gt;0,1,0)))</f>
        <v>0</v>
      </c>
      <c r="AZ140" s="97" t="str">
        <f>IF(ISNUMBER(E140),DATE(YEAR(E140),MONTH(E140),1),"")</f>
        <v/>
      </c>
      <c r="BA140" s="96">
        <f>IF(Z140=0,0,IF(AND(OR(r_ini="",AND(ISNUMBER(E140),E140&gt;=r_ini)),OR(r_fim="",AND(ISNUMBER(E140),E140&lt;=r_fim)),OR(r_un="",r_un="(Todas)",G140=r_un),OR(r_de="",r_de="(Todos)",I140=r_de)),1,0))</f>
        <v>0</v>
      </c>
      <c r="BB140" s="96" t="str">
        <f>IF(BA140=1,COUNTIF($BA$6:BA140,1),"")</f>
        <v/>
      </c>
      <c r="BC140" s="96" t="str">
        <f>IF(AND(AU140&lt;&gt;"",OR(r_un="",r_un="(Todas)",G140=r_un),OR(r_de="",r_de="(Todos)",I140=r_de)),AU140,"")</f>
        <v/>
      </c>
      <c r="BD140" s="96" t="str">
        <f>IF(Z140=1,A140&amp;" | nº "&amp;IF(B140="","(sem número)",B140)&amp;" | "&amp;IF(G140="","(sem unidade)",G140),"")</f>
        <v/>
      </c>
      <c r="BE140" s="96" t="str">
        <f>IF(Z140=1,COUNTIF($Z$6:Z140,1),"")</f>
        <v/>
      </c>
      <c r="BF140" s="96" t="str">
        <f>IF(T140="","",IF(T140="RECEBIMENTO NÃO CONFIRMADO","Transp.: "&amp;H140&amp;" | Dest.: "&amp;I140,IF(OR(T140="CDF NÃO LOCALIZADO",T140="VÍNCULO INCOMPLETO",T140="CDF A CONFERIR"),"Dest.: "&amp;I140,"Gerador: "&amp;G140)))</f>
        <v/>
      </c>
    </row>
    <row r="141">
      <c r="A141" s="89" t="inlineStr">
        <is>
          <t>MTR-000136</t>
        </is>
      </c>
      <c r="B141" s="90" t="n"/>
      <c r="C141" s="91" t="n"/>
      <c r="D141" s="91" t="n"/>
      <c r="E141" s="92" t="n"/>
      <c r="F141" s="92" t="n"/>
      <c r="G141" s="91" t="n"/>
      <c r="H141" s="91" t="n"/>
      <c r="I141" s="91" t="n"/>
      <c r="J141" s="91" t="n"/>
      <c r="K141" s="91" t="n"/>
      <c r="L141" s="92" t="n"/>
      <c r="M141" s="91" t="n"/>
      <c r="N141" s="91" t="n"/>
      <c r="O141" s="91" t="n"/>
      <c r="P141" s="93" t="str">
        <f>IF(Z141=0,"",SUMIFS('ITENS_MTR'!$I$6:$I$1005,'ITENS_MTR'!$S$6:$S$1005,A141,'ITENS_MTR'!$Y$6:$Y$1005,1))</f>
        <v/>
      </c>
      <c r="Q141" s="93" t="str">
        <f>IF(Z141=0,"",SUMIFS('RECEBIMENTOS'!$H$6:$H$1005,'RECEBIMENTOS'!$B$6:$B$1005,A141,'RECEBIMENTOS'!$X$6:$X$1005,1))</f>
        <v/>
      </c>
      <c r="R141" s="93" t="str">
        <f>IF(Z141=0,"",SUMIFS('VÍNCULOS_CDF'!$H$6:$H$1005,'VÍNCULOS_CDF'!$D$6:$D$1005,A141,'VÍNCULOS_CDF'!$V$6:$V$1005,1))</f>
        <v/>
      </c>
      <c r="S141" s="94" t="str">
        <f>IF(Z141=0,"",IF(AA141=1,"Cancelado (informado)",IF(AE141=1,"Cadastro incompleto",IF(OR(AC141=1,AD141=1,AF141&gt;0,AH141&gt;0,AK141&gt;0,AL141&gt;0),"Informação a revisar",IF(AN141=0,"Aguardando recebimento",IF(N(R141)=0,"Aguardando CDF",IF(AJ141&lt;N(W141),"Vínculo de CDF parcial",IF(AO141=0,"CDF localizado, a conferir","Documentação conferida"))))))))</f>
        <v/>
      </c>
      <c r="T141" s="94" t="str">
        <f>IF(Z141=0,"",IF(S141="Cadastro incompleto","MTR INCOMPLETO",IF(S141="Informação a revisar",IF(AND(AH141&gt;0,AC141=0,AD141=0,AF141=0,AK141=0,AL141=0),"QUANTIDADE A REVISAR","IDENTIFICAÇÃO A REVISAR"),IF(S141="Aguardando recebimento","RECEBIMENTO NÃO CONFIRMADO",IF(S141="Aguardando CDF","CDF NÃO LOCALIZADO",IF(S141="Vínculo de CDF parcial","VÍNCULO INCOMPLETO",IF(S141="CDF localizado, a conferir","CDF A CONFERIR","")))))))</f>
        <v/>
      </c>
      <c r="U141" s="95" t="str">
        <f>IF(T141="","",IF(AQ141="","Não calculável",IF(AQ141&gt;TODAY(),"Data futura",TODAY()-AQ141)))</f>
        <v/>
      </c>
      <c r="V141" s="93" t="str">
        <f>IF(Z141=0,"",SUMIFS('RECEBIMENTOS'!$H$6:$H$1005,'RECEBIMENTOS'!$B$6:$B$1005,A141,'RECEBIMENTOS'!$Z$6:$Z$1005,1))</f>
        <v/>
      </c>
      <c r="W141" s="95" t="str">
        <f>IF(Z141=0,"",COUNTIFS('ITENS_MTR'!$S$6:$S$1005,A141,'ITENS_MTR'!$R$6:$R$1005,1))</f>
        <v/>
      </c>
      <c r="X141" s="94" t="str">
        <f>IF(AC141=1,"POSSÍVEL DUPLICIDADE","")</f>
        <v/>
      </c>
      <c r="Y141" s="94" t="str">
        <f>IF(Z141=0,"",IF(AW141="","Nenhuma",LEFT(AW141,LEN(AW141)-2)))</f>
        <v/>
      </c>
      <c r="Z141" s="96">
        <f>IF(COUNTA(B141:O141)&gt;0,1,0)</f>
        <v>0</v>
      </c>
      <c r="AA141" s="96">
        <f>IF(AND(Z141=1,K141&lt;&gt;""),IF(TRIM(K141)=TRIM(cfg_cancel),1,0),0)</f>
        <v>0</v>
      </c>
      <c r="AB141" s="96" t="str">
        <f>IF(AND(Z141=1,B141&lt;&gt;""),C141&amp;"|"&amp;D141&amp;"|"&amp;G141&amp;"|"&amp;TRIM(B141),"")</f>
        <v/>
      </c>
      <c r="AC141" s="96">
        <f>IF(AB141="",0,IF(SUMPRODUCT(--($AB$6:$AB$505=AB141))&gt;1,1,0))</f>
        <v>0</v>
      </c>
      <c r="AD141" s="96">
        <f>IF(Z141=0,0,IF(OR(AND(G141&lt;&gt;"",ISNA(MATCH(G141,'CAD_UNIDADES'!$C$6:$C$105,0))),AND(H141&lt;&gt;"",ISNA(MATCH(H141,cmp_transp,0))),AND(I141&lt;&gt;"",ISNA(MATCH(I141,cmp_dest,0))),AND(E141&lt;&gt;"",NOT(ISNUMBER(E141))),AND(F141&lt;&gt;"",NOT(ISNUMBER(F141))),AND(ISNUMBER(E141),ISNUMBER(F141),F141&lt;E141)),1,0))</f>
        <v>0</v>
      </c>
      <c r="AE141" s="96">
        <f>IF(Z141=0,0,IF(OR(B141="",C141="",E141="",G141="",H141="",I141="",N(W141)=0),1,0))</f>
        <v>0</v>
      </c>
      <c r="AF141" s="96">
        <f>IF(Z141=0,0,COUNTIFS('ITENS_MTR'!$S$6:$S$1005,A141,'ITENS_MTR'!$AI$6:$AI$1005,1))</f>
        <v>0</v>
      </c>
      <c r="AG141" s="96">
        <f>IF(Z141=0,0,COUNTIFS('ITENS_MTR'!$S$6:$S$1005,A141,'ITENS_MTR'!$AJ$6:$AJ$1005,1))</f>
        <v>0</v>
      </c>
      <c r="AH141" s="96">
        <f>IF(Z141=0,0,COUNTIFS('ITENS_MTR'!$S$6:$S$1005,A141,'ITENS_MTR'!$AM$6:$AM$1005,1))</f>
        <v>0</v>
      </c>
      <c r="AI141" s="96">
        <f>IF(Z141=0,0,COUNTIFS('ITENS_MTR'!$S$6:$S$1005,A141,'ITENS_MTR'!$AO$6:$AO$1005,1))</f>
        <v>0</v>
      </c>
      <c r="AJ141" s="96">
        <f>IF(Z141=0,0,COUNTIFS('ITENS_MTR'!$S$6:$S$1005,A141,'ITENS_MTR'!$AN$6:$AN$1005,1))</f>
        <v>0</v>
      </c>
      <c r="AK141" s="96">
        <f>IF(Z141=0,0,COUNTIFS('RECEBIMENTOS'!$B$6:$B$1005,A141,'RECEBIMENTOS'!$Y$6:$Y$1005,1))</f>
        <v>0</v>
      </c>
      <c r="AL141" s="96">
        <f>IF(Z141=0,0,COUNTIFS('VÍNCULOS_CDF'!$D$6:$D$1005,A141,'VÍNCULOS_CDF'!$Y$6:$Y$1005,1))</f>
        <v>0</v>
      </c>
      <c r="AM141" s="96">
        <f>IF(Z141=0,0,COUNTIFS('RECEBIMENTOS'!$B$6:$B$1005,A141,'RECEBIMENTOS'!$Q$6:$Q$1005,1))</f>
        <v>0</v>
      </c>
      <c r="AN141" s="96">
        <f>IF(AND(Z141=1,N(W141)&gt;0,AG141=N(W141)),1,0)</f>
        <v>0</v>
      </c>
      <c r="AO141" s="96">
        <f>IF(AND(Z141=1,N(W141)&gt;0,AI141=N(W141)),1,0)</f>
        <v>0</v>
      </c>
      <c r="AP141" s="97">
        <f>IF(Z141=0,0,_xlfn.MAXIFS('RECEBIMENTOS'!$E$6:$E$1005,'RECEBIMENTOS'!$B$6:$B$1005,A141))</f>
        <v>0</v>
      </c>
      <c r="AQ141" s="97" t="str">
        <f>IF(T141="","",IF(T141="RECEBIMENTO NÃO CONFIRMADO",IF(ISNUMBER(F141),F141,IF(ISNUMBER(E141),E141,"")),IF(OR(T141="CDF NÃO LOCALIZADO",T141="VÍNCULO INCOMPLETO",T141="CDF A CONFERIR"),IF(AP141&gt;0,AP141,IF(ISNUMBER(E141),E141,"")),IF(ISNUMBER(E141),E141,""))))</f>
        <v/>
      </c>
      <c r="AR141" s="96">
        <f>IF(NOT(ISNUMBER(U141)),0,IF(T141="RECEBIMENTO NÃO CONFIRMADO",IF(AND(ISNUMBER(cfg_rec),U141&gt;cfg_rec),1,0),IF(OR(T141="CDF NÃO LOCALIZADO",T141="VÍNCULO INCOMPLETO",T141="CDF A CONFERIR"),IF(AND(ISNUMBER(cfg_cdf),U141&gt;cfg_cdf),1,0),0)))</f>
        <v>0</v>
      </c>
      <c r="AS141" s="96" t="str">
        <f>IF(T141="","",IF(AR141=1,"Alta",IFERROR(INDEX(cfg_pp,MATCH(T141,cfg_pt,0))&amp;"","Média")))</f>
        <v/>
      </c>
      <c r="AT141" s="96" t="str">
        <f>IF(T141="","",IFERROR(INDEX(cfg_pv,MATCH(T141,cfg_pt,0))&amp;"",""))</f>
        <v/>
      </c>
      <c r="AU141" s="96" t="str">
        <f>IF(T141="","",IF(AS141="Alta",1,IF(AS141="Média",2,3))*1000000000+(999999-IF(ISNUMBER(U141),MIN(U141,999999),0))*1000+136)</f>
        <v/>
      </c>
      <c r="AV141" s="96">
        <f>IF(T141&lt;&gt;"",1,0)</f>
        <v>0</v>
      </c>
      <c r="AW141" s="96" t="str">
        <f>IF(Z141=0,"",IF(AA141=1,"Cancelamento informado; ","")&amp;IF(AE141=1,"Campos essenciais ou itens faltando; ","")&amp;IF(AC141=1,"Possível duplicidade do número; ","")&amp;IF(AD141=1,"Cadastro ou datas a revisar; ","")&amp;IF(AF141&gt;0,"Item de resíduo com dado a revisar; ","")&amp;IF(AH141&gt;0,"Diferença de quantidade a analisar; ","")&amp;IF(AK141&gt;0,"Recebimento com alerta; ","")&amp;IF(AL141&gt;0,"Vínculo de CDF com alerta; ","")&amp;IF(AND(AA141=0,AN141=0),"Recebimento não confirmado; ","")&amp;IF(AND(AA141=0,AN141=1,AO141=0),"CDF pendente ou a conferir; ",""))</f>
        <v/>
      </c>
      <c r="AX141" s="96">
        <f>IF(Z141=0,0,IF(AND(OR(f_ini="",AND(ISNUMBER(E141),E141&gt;=f_ini)),OR(f_fim="",AND(ISNUMBER(E141),E141&lt;=f_fim)),OR(f_un="",f_un="(Todas)",G141=f_un),OR(f_tr="",f_tr="(Todos)",H141=f_tr),OR(f_de="",f_de="(Todos)",I141=f_de),OR(f_sit="",f_sit="(Todas)",S141=f_sit)),1,0))</f>
        <v>0</v>
      </c>
      <c r="AY141" s="96">
        <f>IF(AX141=0,0,IF(OR(f_res="",f_res="(Todos)"),1,IF(COUNTIFS('ITENS_MTR'!$S$6:$S$1005,A141,'ITENS_MTR'!$C$6:$C$1005,f_res)&gt;0,1,0)))</f>
        <v>0</v>
      </c>
      <c r="AZ141" s="97" t="str">
        <f>IF(ISNUMBER(E141),DATE(YEAR(E141),MONTH(E141),1),"")</f>
        <v/>
      </c>
      <c r="BA141" s="96">
        <f>IF(Z141=0,0,IF(AND(OR(r_ini="",AND(ISNUMBER(E141),E141&gt;=r_ini)),OR(r_fim="",AND(ISNUMBER(E141),E141&lt;=r_fim)),OR(r_un="",r_un="(Todas)",G141=r_un),OR(r_de="",r_de="(Todos)",I141=r_de)),1,0))</f>
        <v>0</v>
      </c>
      <c r="BB141" s="96" t="str">
        <f>IF(BA141=1,COUNTIF($BA$6:BA141,1),"")</f>
        <v/>
      </c>
      <c r="BC141" s="96" t="str">
        <f>IF(AND(AU141&lt;&gt;"",OR(r_un="",r_un="(Todas)",G141=r_un),OR(r_de="",r_de="(Todos)",I141=r_de)),AU141,"")</f>
        <v/>
      </c>
      <c r="BD141" s="96" t="str">
        <f>IF(Z141=1,A141&amp;" | nº "&amp;IF(B141="","(sem número)",B141)&amp;" | "&amp;IF(G141="","(sem unidade)",G141),"")</f>
        <v/>
      </c>
      <c r="BE141" s="96" t="str">
        <f>IF(Z141=1,COUNTIF($Z$6:Z141,1),"")</f>
        <v/>
      </c>
      <c r="BF141" s="96" t="str">
        <f>IF(T141="","",IF(T141="RECEBIMENTO NÃO CONFIRMADO","Transp.: "&amp;H141&amp;" | Dest.: "&amp;I141,IF(OR(T141="CDF NÃO LOCALIZADO",T141="VÍNCULO INCOMPLETO",T141="CDF A CONFERIR"),"Dest.: "&amp;I141,"Gerador: "&amp;G141)))</f>
        <v/>
      </c>
    </row>
    <row r="142">
      <c r="A142" s="89" t="inlineStr">
        <is>
          <t>MTR-000137</t>
        </is>
      </c>
      <c r="B142" s="90" t="n"/>
      <c r="C142" s="91" t="n"/>
      <c r="D142" s="91" t="n"/>
      <c r="E142" s="92" t="n"/>
      <c r="F142" s="92" t="n"/>
      <c r="G142" s="91" t="n"/>
      <c r="H142" s="91" t="n"/>
      <c r="I142" s="91" t="n"/>
      <c r="J142" s="91" t="n"/>
      <c r="K142" s="91" t="n"/>
      <c r="L142" s="92" t="n"/>
      <c r="M142" s="91" t="n"/>
      <c r="N142" s="91" t="n"/>
      <c r="O142" s="91" t="n"/>
      <c r="P142" s="93" t="str">
        <f>IF(Z142=0,"",SUMIFS('ITENS_MTR'!$I$6:$I$1005,'ITENS_MTR'!$S$6:$S$1005,A142,'ITENS_MTR'!$Y$6:$Y$1005,1))</f>
        <v/>
      </c>
      <c r="Q142" s="93" t="str">
        <f>IF(Z142=0,"",SUMIFS('RECEBIMENTOS'!$H$6:$H$1005,'RECEBIMENTOS'!$B$6:$B$1005,A142,'RECEBIMENTOS'!$X$6:$X$1005,1))</f>
        <v/>
      </c>
      <c r="R142" s="93" t="str">
        <f>IF(Z142=0,"",SUMIFS('VÍNCULOS_CDF'!$H$6:$H$1005,'VÍNCULOS_CDF'!$D$6:$D$1005,A142,'VÍNCULOS_CDF'!$V$6:$V$1005,1))</f>
        <v/>
      </c>
      <c r="S142" s="94" t="str">
        <f>IF(Z142=0,"",IF(AA142=1,"Cancelado (informado)",IF(AE142=1,"Cadastro incompleto",IF(OR(AC142=1,AD142=1,AF142&gt;0,AH142&gt;0,AK142&gt;0,AL142&gt;0),"Informação a revisar",IF(AN142=0,"Aguardando recebimento",IF(N(R142)=0,"Aguardando CDF",IF(AJ142&lt;N(W142),"Vínculo de CDF parcial",IF(AO142=0,"CDF localizado, a conferir","Documentação conferida"))))))))</f>
        <v/>
      </c>
      <c r="T142" s="94" t="str">
        <f>IF(Z142=0,"",IF(S142="Cadastro incompleto","MTR INCOMPLETO",IF(S142="Informação a revisar",IF(AND(AH142&gt;0,AC142=0,AD142=0,AF142=0,AK142=0,AL142=0),"QUANTIDADE A REVISAR","IDENTIFICAÇÃO A REVISAR"),IF(S142="Aguardando recebimento","RECEBIMENTO NÃO CONFIRMADO",IF(S142="Aguardando CDF","CDF NÃO LOCALIZADO",IF(S142="Vínculo de CDF parcial","VÍNCULO INCOMPLETO",IF(S142="CDF localizado, a conferir","CDF A CONFERIR","")))))))</f>
        <v/>
      </c>
      <c r="U142" s="95" t="str">
        <f>IF(T142="","",IF(AQ142="","Não calculável",IF(AQ142&gt;TODAY(),"Data futura",TODAY()-AQ142)))</f>
        <v/>
      </c>
      <c r="V142" s="93" t="str">
        <f>IF(Z142=0,"",SUMIFS('RECEBIMENTOS'!$H$6:$H$1005,'RECEBIMENTOS'!$B$6:$B$1005,A142,'RECEBIMENTOS'!$Z$6:$Z$1005,1))</f>
        <v/>
      </c>
      <c r="W142" s="95" t="str">
        <f>IF(Z142=0,"",COUNTIFS('ITENS_MTR'!$S$6:$S$1005,A142,'ITENS_MTR'!$R$6:$R$1005,1))</f>
        <v/>
      </c>
      <c r="X142" s="94" t="str">
        <f>IF(AC142=1,"POSSÍVEL DUPLICIDADE","")</f>
        <v/>
      </c>
      <c r="Y142" s="94" t="str">
        <f>IF(Z142=0,"",IF(AW142="","Nenhuma",LEFT(AW142,LEN(AW142)-2)))</f>
        <v/>
      </c>
      <c r="Z142" s="96">
        <f>IF(COUNTA(B142:O142)&gt;0,1,0)</f>
        <v>0</v>
      </c>
      <c r="AA142" s="96">
        <f>IF(AND(Z142=1,K142&lt;&gt;""),IF(TRIM(K142)=TRIM(cfg_cancel),1,0),0)</f>
        <v>0</v>
      </c>
      <c r="AB142" s="96" t="str">
        <f>IF(AND(Z142=1,B142&lt;&gt;""),C142&amp;"|"&amp;D142&amp;"|"&amp;G142&amp;"|"&amp;TRIM(B142),"")</f>
        <v/>
      </c>
      <c r="AC142" s="96">
        <f>IF(AB142="",0,IF(SUMPRODUCT(--($AB$6:$AB$505=AB142))&gt;1,1,0))</f>
        <v>0</v>
      </c>
      <c r="AD142" s="96">
        <f>IF(Z142=0,0,IF(OR(AND(G142&lt;&gt;"",ISNA(MATCH(G142,'CAD_UNIDADES'!$C$6:$C$105,0))),AND(H142&lt;&gt;"",ISNA(MATCH(H142,cmp_transp,0))),AND(I142&lt;&gt;"",ISNA(MATCH(I142,cmp_dest,0))),AND(E142&lt;&gt;"",NOT(ISNUMBER(E142))),AND(F142&lt;&gt;"",NOT(ISNUMBER(F142))),AND(ISNUMBER(E142),ISNUMBER(F142),F142&lt;E142)),1,0))</f>
        <v>0</v>
      </c>
      <c r="AE142" s="96">
        <f>IF(Z142=0,0,IF(OR(B142="",C142="",E142="",G142="",H142="",I142="",N(W142)=0),1,0))</f>
        <v>0</v>
      </c>
      <c r="AF142" s="96">
        <f>IF(Z142=0,0,COUNTIFS('ITENS_MTR'!$S$6:$S$1005,A142,'ITENS_MTR'!$AI$6:$AI$1005,1))</f>
        <v>0</v>
      </c>
      <c r="AG142" s="96">
        <f>IF(Z142=0,0,COUNTIFS('ITENS_MTR'!$S$6:$S$1005,A142,'ITENS_MTR'!$AJ$6:$AJ$1005,1))</f>
        <v>0</v>
      </c>
      <c r="AH142" s="96">
        <f>IF(Z142=0,0,COUNTIFS('ITENS_MTR'!$S$6:$S$1005,A142,'ITENS_MTR'!$AM$6:$AM$1005,1))</f>
        <v>0</v>
      </c>
      <c r="AI142" s="96">
        <f>IF(Z142=0,0,COUNTIFS('ITENS_MTR'!$S$6:$S$1005,A142,'ITENS_MTR'!$AO$6:$AO$1005,1))</f>
        <v>0</v>
      </c>
      <c r="AJ142" s="96">
        <f>IF(Z142=0,0,COUNTIFS('ITENS_MTR'!$S$6:$S$1005,A142,'ITENS_MTR'!$AN$6:$AN$1005,1))</f>
        <v>0</v>
      </c>
      <c r="AK142" s="96">
        <f>IF(Z142=0,0,COUNTIFS('RECEBIMENTOS'!$B$6:$B$1005,A142,'RECEBIMENTOS'!$Y$6:$Y$1005,1))</f>
        <v>0</v>
      </c>
      <c r="AL142" s="96">
        <f>IF(Z142=0,0,COUNTIFS('VÍNCULOS_CDF'!$D$6:$D$1005,A142,'VÍNCULOS_CDF'!$Y$6:$Y$1005,1))</f>
        <v>0</v>
      </c>
      <c r="AM142" s="96">
        <f>IF(Z142=0,0,COUNTIFS('RECEBIMENTOS'!$B$6:$B$1005,A142,'RECEBIMENTOS'!$Q$6:$Q$1005,1))</f>
        <v>0</v>
      </c>
      <c r="AN142" s="96">
        <f>IF(AND(Z142=1,N(W142)&gt;0,AG142=N(W142)),1,0)</f>
        <v>0</v>
      </c>
      <c r="AO142" s="96">
        <f>IF(AND(Z142=1,N(W142)&gt;0,AI142=N(W142)),1,0)</f>
        <v>0</v>
      </c>
      <c r="AP142" s="97">
        <f>IF(Z142=0,0,_xlfn.MAXIFS('RECEBIMENTOS'!$E$6:$E$1005,'RECEBIMENTOS'!$B$6:$B$1005,A142))</f>
        <v>0</v>
      </c>
      <c r="AQ142" s="97" t="str">
        <f>IF(T142="","",IF(T142="RECEBIMENTO NÃO CONFIRMADO",IF(ISNUMBER(F142),F142,IF(ISNUMBER(E142),E142,"")),IF(OR(T142="CDF NÃO LOCALIZADO",T142="VÍNCULO INCOMPLETO",T142="CDF A CONFERIR"),IF(AP142&gt;0,AP142,IF(ISNUMBER(E142),E142,"")),IF(ISNUMBER(E142),E142,""))))</f>
        <v/>
      </c>
      <c r="AR142" s="96">
        <f>IF(NOT(ISNUMBER(U142)),0,IF(T142="RECEBIMENTO NÃO CONFIRMADO",IF(AND(ISNUMBER(cfg_rec),U142&gt;cfg_rec),1,0),IF(OR(T142="CDF NÃO LOCALIZADO",T142="VÍNCULO INCOMPLETO",T142="CDF A CONFERIR"),IF(AND(ISNUMBER(cfg_cdf),U142&gt;cfg_cdf),1,0),0)))</f>
        <v>0</v>
      </c>
      <c r="AS142" s="96" t="str">
        <f>IF(T142="","",IF(AR142=1,"Alta",IFERROR(INDEX(cfg_pp,MATCH(T142,cfg_pt,0))&amp;"","Média")))</f>
        <v/>
      </c>
      <c r="AT142" s="96" t="str">
        <f>IF(T142="","",IFERROR(INDEX(cfg_pv,MATCH(T142,cfg_pt,0))&amp;"",""))</f>
        <v/>
      </c>
      <c r="AU142" s="96" t="str">
        <f>IF(T142="","",IF(AS142="Alta",1,IF(AS142="Média",2,3))*1000000000+(999999-IF(ISNUMBER(U142),MIN(U142,999999),0))*1000+137)</f>
        <v/>
      </c>
      <c r="AV142" s="96">
        <f>IF(T142&lt;&gt;"",1,0)</f>
        <v>0</v>
      </c>
      <c r="AW142" s="96" t="str">
        <f>IF(Z142=0,"",IF(AA142=1,"Cancelamento informado; ","")&amp;IF(AE142=1,"Campos essenciais ou itens faltando; ","")&amp;IF(AC142=1,"Possível duplicidade do número; ","")&amp;IF(AD142=1,"Cadastro ou datas a revisar; ","")&amp;IF(AF142&gt;0,"Item de resíduo com dado a revisar; ","")&amp;IF(AH142&gt;0,"Diferença de quantidade a analisar; ","")&amp;IF(AK142&gt;0,"Recebimento com alerta; ","")&amp;IF(AL142&gt;0,"Vínculo de CDF com alerta; ","")&amp;IF(AND(AA142=0,AN142=0),"Recebimento não confirmado; ","")&amp;IF(AND(AA142=0,AN142=1,AO142=0),"CDF pendente ou a conferir; ",""))</f>
        <v/>
      </c>
      <c r="AX142" s="96">
        <f>IF(Z142=0,0,IF(AND(OR(f_ini="",AND(ISNUMBER(E142),E142&gt;=f_ini)),OR(f_fim="",AND(ISNUMBER(E142),E142&lt;=f_fim)),OR(f_un="",f_un="(Todas)",G142=f_un),OR(f_tr="",f_tr="(Todos)",H142=f_tr),OR(f_de="",f_de="(Todos)",I142=f_de),OR(f_sit="",f_sit="(Todas)",S142=f_sit)),1,0))</f>
        <v>0</v>
      </c>
      <c r="AY142" s="96">
        <f>IF(AX142=0,0,IF(OR(f_res="",f_res="(Todos)"),1,IF(COUNTIFS('ITENS_MTR'!$S$6:$S$1005,A142,'ITENS_MTR'!$C$6:$C$1005,f_res)&gt;0,1,0)))</f>
        <v>0</v>
      </c>
      <c r="AZ142" s="97" t="str">
        <f>IF(ISNUMBER(E142),DATE(YEAR(E142),MONTH(E142),1),"")</f>
        <v/>
      </c>
      <c r="BA142" s="96">
        <f>IF(Z142=0,0,IF(AND(OR(r_ini="",AND(ISNUMBER(E142),E142&gt;=r_ini)),OR(r_fim="",AND(ISNUMBER(E142),E142&lt;=r_fim)),OR(r_un="",r_un="(Todas)",G142=r_un),OR(r_de="",r_de="(Todos)",I142=r_de)),1,0))</f>
        <v>0</v>
      </c>
      <c r="BB142" s="96" t="str">
        <f>IF(BA142=1,COUNTIF($BA$6:BA142,1),"")</f>
        <v/>
      </c>
      <c r="BC142" s="96" t="str">
        <f>IF(AND(AU142&lt;&gt;"",OR(r_un="",r_un="(Todas)",G142=r_un),OR(r_de="",r_de="(Todos)",I142=r_de)),AU142,"")</f>
        <v/>
      </c>
      <c r="BD142" s="96" t="str">
        <f>IF(Z142=1,A142&amp;" | nº "&amp;IF(B142="","(sem número)",B142)&amp;" | "&amp;IF(G142="","(sem unidade)",G142),"")</f>
        <v/>
      </c>
      <c r="BE142" s="96" t="str">
        <f>IF(Z142=1,COUNTIF($Z$6:Z142,1),"")</f>
        <v/>
      </c>
      <c r="BF142" s="96" t="str">
        <f>IF(T142="","",IF(T142="RECEBIMENTO NÃO CONFIRMADO","Transp.: "&amp;H142&amp;" | Dest.: "&amp;I142,IF(OR(T142="CDF NÃO LOCALIZADO",T142="VÍNCULO INCOMPLETO",T142="CDF A CONFERIR"),"Dest.: "&amp;I142,"Gerador: "&amp;G142)))</f>
        <v/>
      </c>
    </row>
    <row r="143">
      <c r="A143" s="89" t="inlineStr">
        <is>
          <t>MTR-000138</t>
        </is>
      </c>
      <c r="B143" s="90" t="n"/>
      <c r="C143" s="91" t="n"/>
      <c r="D143" s="91" t="n"/>
      <c r="E143" s="92" t="n"/>
      <c r="F143" s="92" t="n"/>
      <c r="G143" s="91" t="n"/>
      <c r="H143" s="91" t="n"/>
      <c r="I143" s="91" t="n"/>
      <c r="J143" s="91" t="n"/>
      <c r="K143" s="91" t="n"/>
      <c r="L143" s="92" t="n"/>
      <c r="M143" s="91" t="n"/>
      <c r="N143" s="91" t="n"/>
      <c r="O143" s="91" t="n"/>
      <c r="P143" s="93" t="str">
        <f>IF(Z143=0,"",SUMIFS('ITENS_MTR'!$I$6:$I$1005,'ITENS_MTR'!$S$6:$S$1005,A143,'ITENS_MTR'!$Y$6:$Y$1005,1))</f>
        <v/>
      </c>
      <c r="Q143" s="93" t="str">
        <f>IF(Z143=0,"",SUMIFS('RECEBIMENTOS'!$H$6:$H$1005,'RECEBIMENTOS'!$B$6:$B$1005,A143,'RECEBIMENTOS'!$X$6:$X$1005,1))</f>
        <v/>
      </c>
      <c r="R143" s="93" t="str">
        <f>IF(Z143=0,"",SUMIFS('VÍNCULOS_CDF'!$H$6:$H$1005,'VÍNCULOS_CDF'!$D$6:$D$1005,A143,'VÍNCULOS_CDF'!$V$6:$V$1005,1))</f>
        <v/>
      </c>
      <c r="S143" s="94" t="str">
        <f>IF(Z143=0,"",IF(AA143=1,"Cancelado (informado)",IF(AE143=1,"Cadastro incompleto",IF(OR(AC143=1,AD143=1,AF143&gt;0,AH143&gt;0,AK143&gt;0,AL143&gt;0),"Informação a revisar",IF(AN143=0,"Aguardando recebimento",IF(N(R143)=0,"Aguardando CDF",IF(AJ143&lt;N(W143),"Vínculo de CDF parcial",IF(AO143=0,"CDF localizado, a conferir","Documentação conferida"))))))))</f>
        <v/>
      </c>
      <c r="T143" s="94" t="str">
        <f>IF(Z143=0,"",IF(S143="Cadastro incompleto","MTR INCOMPLETO",IF(S143="Informação a revisar",IF(AND(AH143&gt;0,AC143=0,AD143=0,AF143=0,AK143=0,AL143=0),"QUANTIDADE A REVISAR","IDENTIFICAÇÃO A REVISAR"),IF(S143="Aguardando recebimento","RECEBIMENTO NÃO CONFIRMADO",IF(S143="Aguardando CDF","CDF NÃO LOCALIZADO",IF(S143="Vínculo de CDF parcial","VÍNCULO INCOMPLETO",IF(S143="CDF localizado, a conferir","CDF A CONFERIR","")))))))</f>
        <v/>
      </c>
      <c r="U143" s="95" t="str">
        <f>IF(T143="","",IF(AQ143="","Não calculável",IF(AQ143&gt;TODAY(),"Data futura",TODAY()-AQ143)))</f>
        <v/>
      </c>
      <c r="V143" s="93" t="str">
        <f>IF(Z143=0,"",SUMIFS('RECEBIMENTOS'!$H$6:$H$1005,'RECEBIMENTOS'!$B$6:$B$1005,A143,'RECEBIMENTOS'!$Z$6:$Z$1005,1))</f>
        <v/>
      </c>
      <c r="W143" s="95" t="str">
        <f>IF(Z143=0,"",COUNTIFS('ITENS_MTR'!$S$6:$S$1005,A143,'ITENS_MTR'!$R$6:$R$1005,1))</f>
        <v/>
      </c>
      <c r="X143" s="94" t="str">
        <f>IF(AC143=1,"POSSÍVEL DUPLICIDADE","")</f>
        <v/>
      </c>
      <c r="Y143" s="94" t="str">
        <f>IF(Z143=0,"",IF(AW143="","Nenhuma",LEFT(AW143,LEN(AW143)-2)))</f>
        <v/>
      </c>
      <c r="Z143" s="96">
        <f>IF(COUNTA(B143:O143)&gt;0,1,0)</f>
        <v>0</v>
      </c>
      <c r="AA143" s="96">
        <f>IF(AND(Z143=1,K143&lt;&gt;""),IF(TRIM(K143)=TRIM(cfg_cancel),1,0),0)</f>
        <v>0</v>
      </c>
      <c r="AB143" s="96" t="str">
        <f>IF(AND(Z143=1,B143&lt;&gt;""),C143&amp;"|"&amp;D143&amp;"|"&amp;G143&amp;"|"&amp;TRIM(B143),"")</f>
        <v/>
      </c>
      <c r="AC143" s="96">
        <f>IF(AB143="",0,IF(SUMPRODUCT(--($AB$6:$AB$505=AB143))&gt;1,1,0))</f>
        <v>0</v>
      </c>
      <c r="AD143" s="96">
        <f>IF(Z143=0,0,IF(OR(AND(G143&lt;&gt;"",ISNA(MATCH(G143,'CAD_UNIDADES'!$C$6:$C$105,0))),AND(H143&lt;&gt;"",ISNA(MATCH(H143,cmp_transp,0))),AND(I143&lt;&gt;"",ISNA(MATCH(I143,cmp_dest,0))),AND(E143&lt;&gt;"",NOT(ISNUMBER(E143))),AND(F143&lt;&gt;"",NOT(ISNUMBER(F143))),AND(ISNUMBER(E143),ISNUMBER(F143),F143&lt;E143)),1,0))</f>
        <v>0</v>
      </c>
      <c r="AE143" s="96">
        <f>IF(Z143=0,0,IF(OR(B143="",C143="",E143="",G143="",H143="",I143="",N(W143)=0),1,0))</f>
        <v>0</v>
      </c>
      <c r="AF143" s="96">
        <f>IF(Z143=0,0,COUNTIFS('ITENS_MTR'!$S$6:$S$1005,A143,'ITENS_MTR'!$AI$6:$AI$1005,1))</f>
        <v>0</v>
      </c>
      <c r="AG143" s="96">
        <f>IF(Z143=0,0,COUNTIFS('ITENS_MTR'!$S$6:$S$1005,A143,'ITENS_MTR'!$AJ$6:$AJ$1005,1))</f>
        <v>0</v>
      </c>
      <c r="AH143" s="96">
        <f>IF(Z143=0,0,COUNTIFS('ITENS_MTR'!$S$6:$S$1005,A143,'ITENS_MTR'!$AM$6:$AM$1005,1))</f>
        <v>0</v>
      </c>
      <c r="AI143" s="96">
        <f>IF(Z143=0,0,COUNTIFS('ITENS_MTR'!$S$6:$S$1005,A143,'ITENS_MTR'!$AO$6:$AO$1005,1))</f>
        <v>0</v>
      </c>
      <c r="AJ143" s="96">
        <f>IF(Z143=0,0,COUNTIFS('ITENS_MTR'!$S$6:$S$1005,A143,'ITENS_MTR'!$AN$6:$AN$1005,1))</f>
        <v>0</v>
      </c>
      <c r="AK143" s="96">
        <f>IF(Z143=0,0,COUNTIFS('RECEBIMENTOS'!$B$6:$B$1005,A143,'RECEBIMENTOS'!$Y$6:$Y$1005,1))</f>
        <v>0</v>
      </c>
      <c r="AL143" s="96">
        <f>IF(Z143=0,0,COUNTIFS('VÍNCULOS_CDF'!$D$6:$D$1005,A143,'VÍNCULOS_CDF'!$Y$6:$Y$1005,1))</f>
        <v>0</v>
      </c>
      <c r="AM143" s="96">
        <f>IF(Z143=0,0,COUNTIFS('RECEBIMENTOS'!$B$6:$B$1005,A143,'RECEBIMENTOS'!$Q$6:$Q$1005,1))</f>
        <v>0</v>
      </c>
      <c r="AN143" s="96">
        <f>IF(AND(Z143=1,N(W143)&gt;0,AG143=N(W143)),1,0)</f>
        <v>0</v>
      </c>
      <c r="AO143" s="96">
        <f>IF(AND(Z143=1,N(W143)&gt;0,AI143=N(W143)),1,0)</f>
        <v>0</v>
      </c>
      <c r="AP143" s="97">
        <f>IF(Z143=0,0,_xlfn.MAXIFS('RECEBIMENTOS'!$E$6:$E$1005,'RECEBIMENTOS'!$B$6:$B$1005,A143))</f>
        <v>0</v>
      </c>
      <c r="AQ143" s="97" t="str">
        <f>IF(T143="","",IF(T143="RECEBIMENTO NÃO CONFIRMADO",IF(ISNUMBER(F143),F143,IF(ISNUMBER(E143),E143,"")),IF(OR(T143="CDF NÃO LOCALIZADO",T143="VÍNCULO INCOMPLETO",T143="CDF A CONFERIR"),IF(AP143&gt;0,AP143,IF(ISNUMBER(E143),E143,"")),IF(ISNUMBER(E143),E143,""))))</f>
        <v/>
      </c>
      <c r="AR143" s="96">
        <f>IF(NOT(ISNUMBER(U143)),0,IF(T143="RECEBIMENTO NÃO CONFIRMADO",IF(AND(ISNUMBER(cfg_rec),U143&gt;cfg_rec),1,0),IF(OR(T143="CDF NÃO LOCALIZADO",T143="VÍNCULO INCOMPLETO",T143="CDF A CONFERIR"),IF(AND(ISNUMBER(cfg_cdf),U143&gt;cfg_cdf),1,0),0)))</f>
        <v>0</v>
      </c>
      <c r="AS143" s="96" t="str">
        <f>IF(T143="","",IF(AR143=1,"Alta",IFERROR(INDEX(cfg_pp,MATCH(T143,cfg_pt,0))&amp;"","Média")))</f>
        <v/>
      </c>
      <c r="AT143" s="96" t="str">
        <f>IF(T143="","",IFERROR(INDEX(cfg_pv,MATCH(T143,cfg_pt,0))&amp;"",""))</f>
        <v/>
      </c>
      <c r="AU143" s="96" t="str">
        <f>IF(T143="","",IF(AS143="Alta",1,IF(AS143="Média",2,3))*1000000000+(999999-IF(ISNUMBER(U143),MIN(U143,999999),0))*1000+138)</f>
        <v/>
      </c>
      <c r="AV143" s="96">
        <f>IF(T143&lt;&gt;"",1,0)</f>
        <v>0</v>
      </c>
      <c r="AW143" s="96" t="str">
        <f>IF(Z143=0,"",IF(AA143=1,"Cancelamento informado; ","")&amp;IF(AE143=1,"Campos essenciais ou itens faltando; ","")&amp;IF(AC143=1,"Possível duplicidade do número; ","")&amp;IF(AD143=1,"Cadastro ou datas a revisar; ","")&amp;IF(AF143&gt;0,"Item de resíduo com dado a revisar; ","")&amp;IF(AH143&gt;0,"Diferença de quantidade a analisar; ","")&amp;IF(AK143&gt;0,"Recebimento com alerta; ","")&amp;IF(AL143&gt;0,"Vínculo de CDF com alerta; ","")&amp;IF(AND(AA143=0,AN143=0),"Recebimento não confirmado; ","")&amp;IF(AND(AA143=0,AN143=1,AO143=0),"CDF pendente ou a conferir; ",""))</f>
        <v/>
      </c>
      <c r="AX143" s="96">
        <f>IF(Z143=0,0,IF(AND(OR(f_ini="",AND(ISNUMBER(E143),E143&gt;=f_ini)),OR(f_fim="",AND(ISNUMBER(E143),E143&lt;=f_fim)),OR(f_un="",f_un="(Todas)",G143=f_un),OR(f_tr="",f_tr="(Todos)",H143=f_tr),OR(f_de="",f_de="(Todos)",I143=f_de),OR(f_sit="",f_sit="(Todas)",S143=f_sit)),1,0))</f>
        <v>0</v>
      </c>
      <c r="AY143" s="96">
        <f>IF(AX143=0,0,IF(OR(f_res="",f_res="(Todos)"),1,IF(COUNTIFS('ITENS_MTR'!$S$6:$S$1005,A143,'ITENS_MTR'!$C$6:$C$1005,f_res)&gt;0,1,0)))</f>
        <v>0</v>
      </c>
      <c r="AZ143" s="97" t="str">
        <f>IF(ISNUMBER(E143),DATE(YEAR(E143),MONTH(E143),1),"")</f>
        <v/>
      </c>
      <c r="BA143" s="96">
        <f>IF(Z143=0,0,IF(AND(OR(r_ini="",AND(ISNUMBER(E143),E143&gt;=r_ini)),OR(r_fim="",AND(ISNUMBER(E143),E143&lt;=r_fim)),OR(r_un="",r_un="(Todas)",G143=r_un),OR(r_de="",r_de="(Todos)",I143=r_de)),1,0))</f>
        <v>0</v>
      </c>
      <c r="BB143" s="96" t="str">
        <f>IF(BA143=1,COUNTIF($BA$6:BA143,1),"")</f>
        <v/>
      </c>
      <c r="BC143" s="96" t="str">
        <f>IF(AND(AU143&lt;&gt;"",OR(r_un="",r_un="(Todas)",G143=r_un),OR(r_de="",r_de="(Todos)",I143=r_de)),AU143,"")</f>
        <v/>
      </c>
      <c r="BD143" s="96" t="str">
        <f>IF(Z143=1,A143&amp;" | nº "&amp;IF(B143="","(sem número)",B143)&amp;" | "&amp;IF(G143="","(sem unidade)",G143),"")</f>
        <v/>
      </c>
      <c r="BE143" s="96" t="str">
        <f>IF(Z143=1,COUNTIF($Z$6:Z143,1),"")</f>
        <v/>
      </c>
      <c r="BF143" s="96" t="str">
        <f>IF(T143="","",IF(T143="RECEBIMENTO NÃO CONFIRMADO","Transp.: "&amp;H143&amp;" | Dest.: "&amp;I143,IF(OR(T143="CDF NÃO LOCALIZADO",T143="VÍNCULO INCOMPLETO",T143="CDF A CONFERIR"),"Dest.: "&amp;I143,"Gerador: "&amp;G143)))</f>
        <v/>
      </c>
    </row>
    <row r="144">
      <c r="A144" s="89" t="inlineStr">
        <is>
          <t>MTR-000139</t>
        </is>
      </c>
      <c r="B144" s="90" t="n"/>
      <c r="C144" s="91" t="n"/>
      <c r="D144" s="91" t="n"/>
      <c r="E144" s="92" t="n"/>
      <c r="F144" s="92" t="n"/>
      <c r="G144" s="91" t="n"/>
      <c r="H144" s="91" t="n"/>
      <c r="I144" s="91" t="n"/>
      <c r="J144" s="91" t="n"/>
      <c r="K144" s="91" t="n"/>
      <c r="L144" s="92" t="n"/>
      <c r="M144" s="91" t="n"/>
      <c r="N144" s="91" t="n"/>
      <c r="O144" s="91" t="n"/>
      <c r="P144" s="93" t="str">
        <f>IF(Z144=0,"",SUMIFS('ITENS_MTR'!$I$6:$I$1005,'ITENS_MTR'!$S$6:$S$1005,A144,'ITENS_MTR'!$Y$6:$Y$1005,1))</f>
        <v/>
      </c>
      <c r="Q144" s="93" t="str">
        <f>IF(Z144=0,"",SUMIFS('RECEBIMENTOS'!$H$6:$H$1005,'RECEBIMENTOS'!$B$6:$B$1005,A144,'RECEBIMENTOS'!$X$6:$X$1005,1))</f>
        <v/>
      </c>
      <c r="R144" s="93" t="str">
        <f>IF(Z144=0,"",SUMIFS('VÍNCULOS_CDF'!$H$6:$H$1005,'VÍNCULOS_CDF'!$D$6:$D$1005,A144,'VÍNCULOS_CDF'!$V$6:$V$1005,1))</f>
        <v/>
      </c>
      <c r="S144" s="94" t="str">
        <f>IF(Z144=0,"",IF(AA144=1,"Cancelado (informado)",IF(AE144=1,"Cadastro incompleto",IF(OR(AC144=1,AD144=1,AF144&gt;0,AH144&gt;0,AK144&gt;0,AL144&gt;0),"Informação a revisar",IF(AN144=0,"Aguardando recebimento",IF(N(R144)=0,"Aguardando CDF",IF(AJ144&lt;N(W144),"Vínculo de CDF parcial",IF(AO144=0,"CDF localizado, a conferir","Documentação conferida"))))))))</f>
        <v/>
      </c>
      <c r="T144" s="94" t="str">
        <f>IF(Z144=0,"",IF(S144="Cadastro incompleto","MTR INCOMPLETO",IF(S144="Informação a revisar",IF(AND(AH144&gt;0,AC144=0,AD144=0,AF144=0,AK144=0,AL144=0),"QUANTIDADE A REVISAR","IDENTIFICAÇÃO A REVISAR"),IF(S144="Aguardando recebimento","RECEBIMENTO NÃO CONFIRMADO",IF(S144="Aguardando CDF","CDF NÃO LOCALIZADO",IF(S144="Vínculo de CDF parcial","VÍNCULO INCOMPLETO",IF(S144="CDF localizado, a conferir","CDF A CONFERIR","")))))))</f>
        <v/>
      </c>
      <c r="U144" s="95" t="str">
        <f>IF(T144="","",IF(AQ144="","Não calculável",IF(AQ144&gt;TODAY(),"Data futura",TODAY()-AQ144)))</f>
        <v/>
      </c>
      <c r="V144" s="93" t="str">
        <f>IF(Z144=0,"",SUMIFS('RECEBIMENTOS'!$H$6:$H$1005,'RECEBIMENTOS'!$B$6:$B$1005,A144,'RECEBIMENTOS'!$Z$6:$Z$1005,1))</f>
        <v/>
      </c>
      <c r="W144" s="95" t="str">
        <f>IF(Z144=0,"",COUNTIFS('ITENS_MTR'!$S$6:$S$1005,A144,'ITENS_MTR'!$R$6:$R$1005,1))</f>
        <v/>
      </c>
      <c r="X144" s="94" t="str">
        <f>IF(AC144=1,"POSSÍVEL DUPLICIDADE","")</f>
        <v/>
      </c>
      <c r="Y144" s="94" t="str">
        <f>IF(Z144=0,"",IF(AW144="","Nenhuma",LEFT(AW144,LEN(AW144)-2)))</f>
        <v/>
      </c>
      <c r="Z144" s="96">
        <f>IF(COUNTA(B144:O144)&gt;0,1,0)</f>
        <v>0</v>
      </c>
      <c r="AA144" s="96">
        <f>IF(AND(Z144=1,K144&lt;&gt;""),IF(TRIM(K144)=TRIM(cfg_cancel),1,0),0)</f>
        <v>0</v>
      </c>
      <c r="AB144" s="96" t="str">
        <f>IF(AND(Z144=1,B144&lt;&gt;""),C144&amp;"|"&amp;D144&amp;"|"&amp;G144&amp;"|"&amp;TRIM(B144),"")</f>
        <v/>
      </c>
      <c r="AC144" s="96">
        <f>IF(AB144="",0,IF(SUMPRODUCT(--($AB$6:$AB$505=AB144))&gt;1,1,0))</f>
        <v>0</v>
      </c>
      <c r="AD144" s="96">
        <f>IF(Z144=0,0,IF(OR(AND(G144&lt;&gt;"",ISNA(MATCH(G144,'CAD_UNIDADES'!$C$6:$C$105,0))),AND(H144&lt;&gt;"",ISNA(MATCH(H144,cmp_transp,0))),AND(I144&lt;&gt;"",ISNA(MATCH(I144,cmp_dest,0))),AND(E144&lt;&gt;"",NOT(ISNUMBER(E144))),AND(F144&lt;&gt;"",NOT(ISNUMBER(F144))),AND(ISNUMBER(E144),ISNUMBER(F144),F144&lt;E144)),1,0))</f>
        <v>0</v>
      </c>
      <c r="AE144" s="96">
        <f>IF(Z144=0,0,IF(OR(B144="",C144="",E144="",G144="",H144="",I144="",N(W144)=0),1,0))</f>
        <v>0</v>
      </c>
      <c r="AF144" s="96">
        <f>IF(Z144=0,0,COUNTIFS('ITENS_MTR'!$S$6:$S$1005,A144,'ITENS_MTR'!$AI$6:$AI$1005,1))</f>
        <v>0</v>
      </c>
      <c r="AG144" s="96">
        <f>IF(Z144=0,0,COUNTIFS('ITENS_MTR'!$S$6:$S$1005,A144,'ITENS_MTR'!$AJ$6:$AJ$1005,1))</f>
        <v>0</v>
      </c>
      <c r="AH144" s="96">
        <f>IF(Z144=0,0,COUNTIFS('ITENS_MTR'!$S$6:$S$1005,A144,'ITENS_MTR'!$AM$6:$AM$1005,1))</f>
        <v>0</v>
      </c>
      <c r="AI144" s="96">
        <f>IF(Z144=0,0,COUNTIFS('ITENS_MTR'!$S$6:$S$1005,A144,'ITENS_MTR'!$AO$6:$AO$1005,1))</f>
        <v>0</v>
      </c>
      <c r="AJ144" s="96">
        <f>IF(Z144=0,0,COUNTIFS('ITENS_MTR'!$S$6:$S$1005,A144,'ITENS_MTR'!$AN$6:$AN$1005,1))</f>
        <v>0</v>
      </c>
      <c r="AK144" s="96">
        <f>IF(Z144=0,0,COUNTIFS('RECEBIMENTOS'!$B$6:$B$1005,A144,'RECEBIMENTOS'!$Y$6:$Y$1005,1))</f>
        <v>0</v>
      </c>
      <c r="AL144" s="96">
        <f>IF(Z144=0,0,COUNTIFS('VÍNCULOS_CDF'!$D$6:$D$1005,A144,'VÍNCULOS_CDF'!$Y$6:$Y$1005,1))</f>
        <v>0</v>
      </c>
      <c r="AM144" s="96">
        <f>IF(Z144=0,0,COUNTIFS('RECEBIMENTOS'!$B$6:$B$1005,A144,'RECEBIMENTOS'!$Q$6:$Q$1005,1))</f>
        <v>0</v>
      </c>
      <c r="AN144" s="96">
        <f>IF(AND(Z144=1,N(W144)&gt;0,AG144=N(W144)),1,0)</f>
        <v>0</v>
      </c>
      <c r="AO144" s="96">
        <f>IF(AND(Z144=1,N(W144)&gt;0,AI144=N(W144)),1,0)</f>
        <v>0</v>
      </c>
      <c r="AP144" s="97">
        <f>IF(Z144=0,0,_xlfn.MAXIFS('RECEBIMENTOS'!$E$6:$E$1005,'RECEBIMENTOS'!$B$6:$B$1005,A144))</f>
        <v>0</v>
      </c>
      <c r="AQ144" s="97" t="str">
        <f>IF(T144="","",IF(T144="RECEBIMENTO NÃO CONFIRMADO",IF(ISNUMBER(F144),F144,IF(ISNUMBER(E144),E144,"")),IF(OR(T144="CDF NÃO LOCALIZADO",T144="VÍNCULO INCOMPLETO",T144="CDF A CONFERIR"),IF(AP144&gt;0,AP144,IF(ISNUMBER(E144),E144,"")),IF(ISNUMBER(E144),E144,""))))</f>
        <v/>
      </c>
      <c r="AR144" s="96">
        <f>IF(NOT(ISNUMBER(U144)),0,IF(T144="RECEBIMENTO NÃO CONFIRMADO",IF(AND(ISNUMBER(cfg_rec),U144&gt;cfg_rec),1,0),IF(OR(T144="CDF NÃO LOCALIZADO",T144="VÍNCULO INCOMPLETO",T144="CDF A CONFERIR"),IF(AND(ISNUMBER(cfg_cdf),U144&gt;cfg_cdf),1,0),0)))</f>
        <v>0</v>
      </c>
      <c r="AS144" s="96" t="str">
        <f>IF(T144="","",IF(AR144=1,"Alta",IFERROR(INDEX(cfg_pp,MATCH(T144,cfg_pt,0))&amp;"","Média")))</f>
        <v/>
      </c>
      <c r="AT144" s="96" t="str">
        <f>IF(T144="","",IFERROR(INDEX(cfg_pv,MATCH(T144,cfg_pt,0))&amp;"",""))</f>
        <v/>
      </c>
      <c r="AU144" s="96" t="str">
        <f>IF(T144="","",IF(AS144="Alta",1,IF(AS144="Média",2,3))*1000000000+(999999-IF(ISNUMBER(U144),MIN(U144,999999),0))*1000+139)</f>
        <v/>
      </c>
      <c r="AV144" s="96">
        <f>IF(T144&lt;&gt;"",1,0)</f>
        <v>0</v>
      </c>
      <c r="AW144" s="96" t="str">
        <f>IF(Z144=0,"",IF(AA144=1,"Cancelamento informado; ","")&amp;IF(AE144=1,"Campos essenciais ou itens faltando; ","")&amp;IF(AC144=1,"Possível duplicidade do número; ","")&amp;IF(AD144=1,"Cadastro ou datas a revisar; ","")&amp;IF(AF144&gt;0,"Item de resíduo com dado a revisar; ","")&amp;IF(AH144&gt;0,"Diferença de quantidade a analisar; ","")&amp;IF(AK144&gt;0,"Recebimento com alerta; ","")&amp;IF(AL144&gt;0,"Vínculo de CDF com alerta; ","")&amp;IF(AND(AA144=0,AN144=0),"Recebimento não confirmado; ","")&amp;IF(AND(AA144=0,AN144=1,AO144=0),"CDF pendente ou a conferir; ",""))</f>
        <v/>
      </c>
      <c r="AX144" s="96">
        <f>IF(Z144=0,0,IF(AND(OR(f_ini="",AND(ISNUMBER(E144),E144&gt;=f_ini)),OR(f_fim="",AND(ISNUMBER(E144),E144&lt;=f_fim)),OR(f_un="",f_un="(Todas)",G144=f_un),OR(f_tr="",f_tr="(Todos)",H144=f_tr),OR(f_de="",f_de="(Todos)",I144=f_de),OR(f_sit="",f_sit="(Todas)",S144=f_sit)),1,0))</f>
        <v>0</v>
      </c>
      <c r="AY144" s="96">
        <f>IF(AX144=0,0,IF(OR(f_res="",f_res="(Todos)"),1,IF(COUNTIFS('ITENS_MTR'!$S$6:$S$1005,A144,'ITENS_MTR'!$C$6:$C$1005,f_res)&gt;0,1,0)))</f>
        <v>0</v>
      </c>
      <c r="AZ144" s="97" t="str">
        <f>IF(ISNUMBER(E144),DATE(YEAR(E144),MONTH(E144),1),"")</f>
        <v/>
      </c>
      <c r="BA144" s="96">
        <f>IF(Z144=0,0,IF(AND(OR(r_ini="",AND(ISNUMBER(E144),E144&gt;=r_ini)),OR(r_fim="",AND(ISNUMBER(E144),E144&lt;=r_fim)),OR(r_un="",r_un="(Todas)",G144=r_un),OR(r_de="",r_de="(Todos)",I144=r_de)),1,0))</f>
        <v>0</v>
      </c>
      <c r="BB144" s="96" t="str">
        <f>IF(BA144=1,COUNTIF($BA$6:BA144,1),"")</f>
        <v/>
      </c>
      <c r="BC144" s="96" t="str">
        <f>IF(AND(AU144&lt;&gt;"",OR(r_un="",r_un="(Todas)",G144=r_un),OR(r_de="",r_de="(Todos)",I144=r_de)),AU144,"")</f>
        <v/>
      </c>
      <c r="BD144" s="96" t="str">
        <f>IF(Z144=1,A144&amp;" | nº "&amp;IF(B144="","(sem número)",B144)&amp;" | "&amp;IF(G144="","(sem unidade)",G144),"")</f>
        <v/>
      </c>
      <c r="BE144" s="96" t="str">
        <f>IF(Z144=1,COUNTIF($Z$6:Z144,1),"")</f>
        <v/>
      </c>
      <c r="BF144" s="96" t="str">
        <f>IF(T144="","",IF(T144="RECEBIMENTO NÃO CONFIRMADO","Transp.: "&amp;H144&amp;" | Dest.: "&amp;I144,IF(OR(T144="CDF NÃO LOCALIZADO",T144="VÍNCULO INCOMPLETO",T144="CDF A CONFERIR"),"Dest.: "&amp;I144,"Gerador: "&amp;G144)))</f>
        <v/>
      </c>
    </row>
    <row r="145">
      <c r="A145" s="89" t="inlineStr">
        <is>
          <t>MTR-000140</t>
        </is>
      </c>
      <c r="B145" s="90" t="n"/>
      <c r="C145" s="91" t="n"/>
      <c r="D145" s="91" t="n"/>
      <c r="E145" s="92" t="n"/>
      <c r="F145" s="92" t="n"/>
      <c r="G145" s="91" t="n"/>
      <c r="H145" s="91" t="n"/>
      <c r="I145" s="91" t="n"/>
      <c r="J145" s="91" t="n"/>
      <c r="K145" s="91" t="n"/>
      <c r="L145" s="92" t="n"/>
      <c r="M145" s="91" t="n"/>
      <c r="N145" s="91" t="n"/>
      <c r="O145" s="91" t="n"/>
      <c r="P145" s="93" t="str">
        <f>IF(Z145=0,"",SUMIFS('ITENS_MTR'!$I$6:$I$1005,'ITENS_MTR'!$S$6:$S$1005,A145,'ITENS_MTR'!$Y$6:$Y$1005,1))</f>
        <v/>
      </c>
      <c r="Q145" s="93" t="str">
        <f>IF(Z145=0,"",SUMIFS('RECEBIMENTOS'!$H$6:$H$1005,'RECEBIMENTOS'!$B$6:$B$1005,A145,'RECEBIMENTOS'!$X$6:$X$1005,1))</f>
        <v/>
      </c>
      <c r="R145" s="93" t="str">
        <f>IF(Z145=0,"",SUMIFS('VÍNCULOS_CDF'!$H$6:$H$1005,'VÍNCULOS_CDF'!$D$6:$D$1005,A145,'VÍNCULOS_CDF'!$V$6:$V$1005,1))</f>
        <v/>
      </c>
      <c r="S145" s="94" t="str">
        <f>IF(Z145=0,"",IF(AA145=1,"Cancelado (informado)",IF(AE145=1,"Cadastro incompleto",IF(OR(AC145=1,AD145=1,AF145&gt;0,AH145&gt;0,AK145&gt;0,AL145&gt;0),"Informação a revisar",IF(AN145=0,"Aguardando recebimento",IF(N(R145)=0,"Aguardando CDF",IF(AJ145&lt;N(W145),"Vínculo de CDF parcial",IF(AO145=0,"CDF localizado, a conferir","Documentação conferida"))))))))</f>
        <v/>
      </c>
      <c r="T145" s="94" t="str">
        <f>IF(Z145=0,"",IF(S145="Cadastro incompleto","MTR INCOMPLETO",IF(S145="Informação a revisar",IF(AND(AH145&gt;0,AC145=0,AD145=0,AF145=0,AK145=0,AL145=0),"QUANTIDADE A REVISAR","IDENTIFICAÇÃO A REVISAR"),IF(S145="Aguardando recebimento","RECEBIMENTO NÃO CONFIRMADO",IF(S145="Aguardando CDF","CDF NÃO LOCALIZADO",IF(S145="Vínculo de CDF parcial","VÍNCULO INCOMPLETO",IF(S145="CDF localizado, a conferir","CDF A CONFERIR","")))))))</f>
        <v/>
      </c>
      <c r="U145" s="95" t="str">
        <f>IF(T145="","",IF(AQ145="","Não calculável",IF(AQ145&gt;TODAY(),"Data futura",TODAY()-AQ145)))</f>
        <v/>
      </c>
      <c r="V145" s="93" t="str">
        <f>IF(Z145=0,"",SUMIFS('RECEBIMENTOS'!$H$6:$H$1005,'RECEBIMENTOS'!$B$6:$B$1005,A145,'RECEBIMENTOS'!$Z$6:$Z$1005,1))</f>
        <v/>
      </c>
      <c r="W145" s="95" t="str">
        <f>IF(Z145=0,"",COUNTIFS('ITENS_MTR'!$S$6:$S$1005,A145,'ITENS_MTR'!$R$6:$R$1005,1))</f>
        <v/>
      </c>
      <c r="X145" s="94" t="str">
        <f>IF(AC145=1,"POSSÍVEL DUPLICIDADE","")</f>
        <v/>
      </c>
      <c r="Y145" s="94" t="str">
        <f>IF(Z145=0,"",IF(AW145="","Nenhuma",LEFT(AW145,LEN(AW145)-2)))</f>
        <v/>
      </c>
      <c r="Z145" s="96">
        <f>IF(COUNTA(B145:O145)&gt;0,1,0)</f>
        <v>0</v>
      </c>
      <c r="AA145" s="96">
        <f>IF(AND(Z145=1,K145&lt;&gt;""),IF(TRIM(K145)=TRIM(cfg_cancel),1,0),0)</f>
        <v>0</v>
      </c>
      <c r="AB145" s="96" t="str">
        <f>IF(AND(Z145=1,B145&lt;&gt;""),C145&amp;"|"&amp;D145&amp;"|"&amp;G145&amp;"|"&amp;TRIM(B145),"")</f>
        <v/>
      </c>
      <c r="AC145" s="96">
        <f>IF(AB145="",0,IF(SUMPRODUCT(--($AB$6:$AB$505=AB145))&gt;1,1,0))</f>
        <v>0</v>
      </c>
      <c r="AD145" s="96">
        <f>IF(Z145=0,0,IF(OR(AND(G145&lt;&gt;"",ISNA(MATCH(G145,'CAD_UNIDADES'!$C$6:$C$105,0))),AND(H145&lt;&gt;"",ISNA(MATCH(H145,cmp_transp,0))),AND(I145&lt;&gt;"",ISNA(MATCH(I145,cmp_dest,0))),AND(E145&lt;&gt;"",NOT(ISNUMBER(E145))),AND(F145&lt;&gt;"",NOT(ISNUMBER(F145))),AND(ISNUMBER(E145),ISNUMBER(F145),F145&lt;E145)),1,0))</f>
        <v>0</v>
      </c>
      <c r="AE145" s="96">
        <f>IF(Z145=0,0,IF(OR(B145="",C145="",E145="",G145="",H145="",I145="",N(W145)=0),1,0))</f>
        <v>0</v>
      </c>
      <c r="AF145" s="96">
        <f>IF(Z145=0,0,COUNTIFS('ITENS_MTR'!$S$6:$S$1005,A145,'ITENS_MTR'!$AI$6:$AI$1005,1))</f>
        <v>0</v>
      </c>
      <c r="AG145" s="96">
        <f>IF(Z145=0,0,COUNTIFS('ITENS_MTR'!$S$6:$S$1005,A145,'ITENS_MTR'!$AJ$6:$AJ$1005,1))</f>
        <v>0</v>
      </c>
      <c r="AH145" s="96">
        <f>IF(Z145=0,0,COUNTIFS('ITENS_MTR'!$S$6:$S$1005,A145,'ITENS_MTR'!$AM$6:$AM$1005,1))</f>
        <v>0</v>
      </c>
      <c r="AI145" s="96">
        <f>IF(Z145=0,0,COUNTIFS('ITENS_MTR'!$S$6:$S$1005,A145,'ITENS_MTR'!$AO$6:$AO$1005,1))</f>
        <v>0</v>
      </c>
      <c r="AJ145" s="96">
        <f>IF(Z145=0,0,COUNTIFS('ITENS_MTR'!$S$6:$S$1005,A145,'ITENS_MTR'!$AN$6:$AN$1005,1))</f>
        <v>0</v>
      </c>
      <c r="AK145" s="96">
        <f>IF(Z145=0,0,COUNTIFS('RECEBIMENTOS'!$B$6:$B$1005,A145,'RECEBIMENTOS'!$Y$6:$Y$1005,1))</f>
        <v>0</v>
      </c>
      <c r="AL145" s="96">
        <f>IF(Z145=0,0,COUNTIFS('VÍNCULOS_CDF'!$D$6:$D$1005,A145,'VÍNCULOS_CDF'!$Y$6:$Y$1005,1))</f>
        <v>0</v>
      </c>
      <c r="AM145" s="96">
        <f>IF(Z145=0,0,COUNTIFS('RECEBIMENTOS'!$B$6:$B$1005,A145,'RECEBIMENTOS'!$Q$6:$Q$1005,1))</f>
        <v>0</v>
      </c>
      <c r="AN145" s="96">
        <f>IF(AND(Z145=1,N(W145)&gt;0,AG145=N(W145)),1,0)</f>
        <v>0</v>
      </c>
      <c r="AO145" s="96">
        <f>IF(AND(Z145=1,N(W145)&gt;0,AI145=N(W145)),1,0)</f>
        <v>0</v>
      </c>
      <c r="AP145" s="97">
        <f>IF(Z145=0,0,_xlfn.MAXIFS('RECEBIMENTOS'!$E$6:$E$1005,'RECEBIMENTOS'!$B$6:$B$1005,A145))</f>
        <v>0</v>
      </c>
      <c r="AQ145" s="97" t="str">
        <f>IF(T145="","",IF(T145="RECEBIMENTO NÃO CONFIRMADO",IF(ISNUMBER(F145),F145,IF(ISNUMBER(E145),E145,"")),IF(OR(T145="CDF NÃO LOCALIZADO",T145="VÍNCULO INCOMPLETO",T145="CDF A CONFERIR"),IF(AP145&gt;0,AP145,IF(ISNUMBER(E145),E145,"")),IF(ISNUMBER(E145),E145,""))))</f>
        <v/>
      </c>
      <c r="AR145" s="96">
        <f>IF(NOT(ISNUMBER(U145)),0,IF(T145="RECEBIMENTO NÃO CONFIRMADO",IF(AND(ISNUMBER(cfg_rec),U145&gt;cfg_rec),1,0),IF(OR(T145="CDF NÃO LOCALIZADO",T145="VÍNCULO INCOMPLETO",T145="CDF A CONFERIR"),IF(AND(ISNUMBER(cfg_cdf),U145&gt;cfg_cdf),1,0),0)))</f>
        <v>0</v>
      </c>
      <c r="AS145" s="96" t="str">
        <f>IF(T145="","",IF(AR145=1,"Alta",IFERROR(INDEX(cfg_pp,MATCH(T145,cfg_pt,0))&amp;"","Média")))</f>
        <v/>
      </c>
      <c r="AT145" s="96" t="str">
        <f>IF(T145="","",IFERROR(INDEX(cfg_pv,MATCH(T145,cfg_pt,0))&amp;"",""))</f>
        <v/>
      </c>
      <c r="AU145" s="96" t="str">
        <f>IF(T145="","",IF(AS145="Alta",1,IF(AS145="Média",2,3))*1000000000+(999999-IF(ISNUMBER(U145),MIN(U145,999999),0))*1000+140)</f>
        <v/>
      </c>
      <c r="AV145" s="96">
        <f>IF(T145&lt;&gt;"",1,0)</f>
        <v>0</v>
      </c>
      <c r="AW145" s="96" t="str">
        <f>IF(Z145=0,"",IF(AA145=1,"Cancelamento informado; ","")&amp;IF(AE145=1,"Campos essenciais ou itens faltando; ","")&amp;IF(AC145=1,"Possível duplicidade do número; ","")&amp;IF(AD145=1,"Cadastro ou datas a revisar; ","")&amp;IF(AF145&gt;0,"Item de resíduo com dado a revisar; ","")&amp;IF(AH145&gt;0,"Diferença de quantidade a analisar; ","")&amp;IF(AK145&gt;0,"Recebimento com alerta; ","")&amp;IF(AL145&gt;0,"Vínculo de CDF com alerta; ","")&amp;IF(AND(AA145=0,AN145=0),"Recebimento não confirmado; ","")&amp;IF(AND(AA145=0,AN145=1,AO145=0),"CDF pendente ou a conferir; ",""))</f>
        <v/>
      </c>
      <c r="AX145" s="96">
        <f>IF(Z145=0,0,IF(AND(OR(f_ini="",AND(ISNUMBER(E145),E145&gt;=f_ini)),OR(f_fim="",AND(ISNUMBER(E145),E145&lt;=f_fim)),OR(f_un="",f_un="(Todas)",G145=f_un),OR(f_tr="",f_tr="(Todos)",H145=f_tr),OR(f_de="",f_de="(Todos)",I145=f_de),OR(f_sit="",f_sit="(Todas)",S145=f_sit)),1,0))</f>
        <v>0</v>
      </c>
      <c r="AY145" s="96">
        <f>IF(AX145=0,0,IF(OR(f_res="",f_res="(Todos)"),1,IF(COUNTIFS('ITENS_MTR'!$S$6:$S$1005,A145,'ITENS_MTR'!$C$6:$C$1005,f_res)&gt;0,1,0)))</f>
        <v>0</v>
      </c>
      <c r="AZ145" s="97" t="str">
        <f>IF(ISNUMBER(E145),DATE(YEAR(E145),MONTH(E145),1),"")</f>
        <v/>
      </c>
      <c r="BA145" s="96">
        <f>IF(Z145=0,0,IF(AND(OR(r_ini="",AND(ISNUMBER(E145),E145&gt;=r_ini)),OR(r_fim="",AND(ISNUMBER(E145),E145&lt;=r_fim)),OR(r_un="",r_un="(Todas)",G145=r_un),OR(r_de="",r_de="(Todos)",I145=r_de)),1,0))</f>
        <v>0</v>
      </c>
      <c r="BB145" s="96" t="str">
        <f>IF(BA145=1,COUNTIF($BA$6:BA145,1),"")</f>
        <v/>
      </c>
      <c r="BC145" s="96" t="str">
        <f>IF(AND(AU145&lt;&gt;"",OR(r_un="",r_un="(Todas)",G145=r_un),OR(r_de="",r_de="(Todos)",I145=r_de)),AU145,"")</f>
        <v/>
      </c>
      <c r="BD145" s="96" t="str">
        <f>IF(Z145=1,A145&amp;" | nº "&amp;IF(B145="","(sem número)",B145)&amp;" | "&amp;IF(G145="","(sem unidade)",G145),"")</f>
        <v/>
      </c>
      <c r="BE145" s="96" t="str">
        <f>IF(Z145=1,COUNTIF($Z$6:Z145,1),"")</f>
        <v/>
      </c>
      <c r="BF145" s="96" t="str">
        <f>IF(T145="","",IF(T145="RECEBIMENTO NÃO CONFIRMADO","Transp.: "&amp;H145&amp;" | Dest.: "&amp;I145,IF(OR(T145="CDF NÃO LOCALIZADO",T145="VÍNCULO INCOMPLETO",T145="CDF A CONFERIR"),"Dest.: "&amp;I145,"Gerador: "&amp;G145)))</f>
        <v/>
      </c>
    </row>
    <row r="146">
      <c r="A146" s="89" t="inlineStr">
        <is>
          <t>MTR-000141</t>
        </is>
      </c>
      <c r="B146" s="90" t="n"/>
      <c r="C146" s="91" t="n"/>
      <c r="D146" s="91" t="n"/>
      <c r="E146" s="92" t="n"/>
      <c r="F146" s="92" t="n"/>
      <c r="G146" s="91" t="n"/>
      <c r="H146" s="91" t="n"/>
      <c r="I146" s="91" t="n"/>
      <c r="J146" s="91" t="n"/>
      <c r="K146" s="91" t="n"/>
      <c r="L146" s="92" t="n"/>
      <c r="M146" s="91" t="n"/>
      <c r="N146" s="91" t="n"/>
      <c r="O146" s="91" t="n"/>
      <c r="P146" s="93" t="str">
        <f>IF(Z146=0,"",SUMIFS('ITENS_MTR'!$I$6:$I$1005,'ITENS_MTR'!$S$6:$S$1005,A146,'ITENS_MTR'!$Y$6:$Y$1005,1))</f>
        <v/>
      </c>
      <c r="Q146" s="93" t="str">
        <f>IF(Z146=0,"",SUMIFS('RECEBIMENTOS'!$H$6:$H$1005,'RECEBIMENTOS'!$B$6:$B$1005,A146,'RECEBIMENTOS'!$X$6:$X$1005,1))</f>
        <v/>
      </c>
      <c r="R146" s="93" t="str">
        <f>IF(Z146=0,"",SUMIFS('VÍNCULOS_CDF'!$H$6:$H$1005,'VÍNCULOS_CDF'!$D$6:$D$1005,A146,'VÍNCULOS_CDF'!$V$6:$V$1005,1))</f>
        <v/>
      </c>
      <c r="S146" s="94" t="str">
        <f>IF(Z146=0,"",IF(AA146=1,"Cancelado (informado)",IF(AE146=1,"Cadastro incompleto",IF(OR(AC146=1,AD146=1,AF146&gt;0,AH146&gt;0,AK146&gt;0,AL146&gt;0),"Informação a revisar",IF(AN146=0,"Aguardando recebimento",IF(N(R146)=0,"Aguardando CDF",IF(AJ146&lt;N(W146),"Vínculo de CDF parcial",IF(AO146=0,"CDF localizado, a conferir","Documentação conferida"))))))))</f>
        <v/>
      </c>
      <c r="T146" s="94" t="str">
        <f>IF(Z146=0,"",IF(S146="Cadastro incompleto","MTR INCOMPLETO",IF(S146="Informação a revisar",IF(AND(AH146&gt;0,AC146=0,AD146=0,AF146=0,AK146=0,AL146=0),"QUANTIDADE A REVISAR","IDENTIFICAÇÃO A REVISAR"),IF(S146="Aguardando recebimento","RECEBIMENTO NÃO CONFIRMADO",IF(S146="Aguardando CDF","CDF NÃO LOCALIZADO",IF(S146="Vínculo de CDF parcial","VÍNCULO INCOMPLETO",IF(S146="CDF localizado, a conferir","CDF A CONFERIR","")))))))</f>
        <v/>
      </c>
      <c r="U146" s="95" t="str">
        <f>IF(T146="","",IF(AQ146="","Não calculável",IF(AQ146&gt;TODAY(),"Data futura",TODAY()-AQ146)))</f>
        <v/>
      </c>
      <c r="V146" s="93" t="str">
        <f>IF(Z146=0,"",SUMIFS('RECEBIMENTOS'!$H$6:$H$1005,'RECEBIMENTOS'!$B$6:$B$1005,A146,'RECEBIMENTOS'!$Z$6:$Z$1005,1))</f>
        <v/>
      </c>
      <c r="W146" s="95" t="str">
        <f>IF(Z146=0,"",COUNTIFS('ITENS_MTR'!$S$6:$S$1005,A146,'ITENS_MTR'!$R$6:$R$1005,1))</f>
        <v/>
      </c>
      <c r="X146" s="94" t="str">
        <f>IF(AC146=1,"POSSÍVEL DUPLICIDADE","")</f>
        <v/>
      </c>
      <c r="Y146" s="94" t="str">
        <f>IF(Z146=0,"",IF(AW146="","Nenhuma",LEFT(AW146,LEN(AW146)-2)))</f>
        <v/>
      </c>
      <c r="Z146" s="96">
        <f>IF(COUNTA(B146:O146)&gt;0,1,0)</f>
        <v>0</v>
      </c>
      <c r="AA146" s="96">
        <f>IF(AND(Z146=1,K146&lt;&gt;""),IF(TRIM(K146)=TRIM(cfg_cancel),1,0),0)</f>
        <v>0</v>
      </c>
      <c r="AB146" s="96" t="str">
        <f>IF(AND(Z146=1,B146&lt;&gt;""),C146&amp;"|"&amp;D146&amp;"|"&amp;G146&amp;"|"&amp;TRIM(B146),"")</f>
        <v/>
      </c>
      <c r="AC146" s="96">
        <f>IF(AB146="",0,IF(SUMPRODUCT(--($AB$6:$AB$505=AB146))&gt;1,1,0))</f>
        <v>0</v>
      </c>
      <c r="AD146" s="96">
        <f>IF(Z146=0,0,IF(OR(AND(G146&lt;&gt;"",ISNA(MATCH(G146,'CAD_UNIDADES'!$C$6:$C$105,0))),AND(H146&lt;&gt;"",ISNA(MATCH(H146,cmp_transp,0))),AND(I146&lt;&gt;"",ISNA(MATCH(I146,cmp_dest,0))),AND(E146&lt;&gt;"",NOT(ISNUMBER(E146))),AND(F146&lt;&gt;"",NOT(ISNUMBER(F146))),AND(ISNUMBER(E146),ISNUMBER(F146),F146&lt;E146)),1,0))</f>
        <v>0</v>
      </c>
      <c r="AE146" s="96">
        <f>IF(Z146=0,0,IF(OR(B146="",C146="",E146="",G146="",H146="",I146="",N(W146)=0),1,0))</f>
        <v>0</v>
      </c>
      <c r="AF146" s="96">
        <f>IF(Z146=0,0,COUNTIFS('ITENS_MTR'!$S$6:$S$1005,A146,'ITENS_MTR'!$AI$6:$AI$1005,1))</f>
        <v>0</v>
      </c>
      <c r="AG146" s="96">
        <f>IF(Z146=0,0,COUNTIFS('ITENS_MTR'!$S$6:$S$1005,A146,'ITENS_MTR'!$AJ$6:$AJ$1005,1))</f>
        <v>0</v>
      </c>
      <c r="AH146" s="96">
        <f>IF(Z146=0,0,COUNTIFS('ITENS_MTR'!$S$6:$S$1005,A146,'ITENS_MTR'!$AM$6:$AM$1005,1))</f>
        <v>0</v>
      </c>
      <c r="AI146" s="96">
        <f>IF(Z146=0,0,COUNTIFS('ITENS_MTR'!$S$6:$S$1005,A146,'ITENS_MTR'!$AO$6:$AO$1005,1))</f>
        <v>0</v>
      </c>
      <c r="AJ146" s="96">
        <f>IF(Z146=0,0,COUNTIFS('ITENS_MTR'!$S$6:$S$1005,A146,'ITENS_MTR'!$AN$6:$AN$1005,1))</f>
        <v>0</v>
      </c>
      <c r="AK146" s="96">
        <f>IF(Z146=0,0,COUNTIFS('RECEBIMENTOS'!$B$6:$B$1005,A146,'RECEBIMENTOS'!$Y$6:$Y$1005,1))</f>
        <v>0</v>
      </c>
      <c r="AL146" s="96">
        <f>IF(Z146=0,0,COUNTIFS('VÍNCULOS_CDF'!$D$6:$D$1005,A146,'VÍNCULOS_CDF'!$Y$6:$Y$1005,1))</f>
        <v>0</v>
      </c>
      <c r="AM146" s="96">
        <f>IF(Z146=0,0,COUNTIFS('RECEBIMENTOS'!$B$6:$B$1005,A146,'RECEBIMENTOS'!$Q$6:$Q$1005,1))</f>
        <v>0</v>
      </c>
      <c r="AN146" s="96">
        <f>IF(AND(Z146=1,N(W146)&gt;0,AG146=N(W146)),1,0)</f>
        <v>0</v>
      </c>
      <c r="AO146" s="96">
        <f>IF(AND(Z146=1,N(W146)&gt;0,AI146=N(W146)),1,0)</f>
        <v>0</v>
      </c>
      <c r="AP146" s="97">
        <f>IF(Z146=0,0,_xlfn.MAXIFS('RECEBIMENTOS'!$E$6:$E$1005,'RECEBIMENTOS'!$B$6:$B$1005,A146))</f>
        <v>0</v>
      </c>
      <c r="AQ146" s="97" t="str">
        <f>IF(T146="","",IF(T146="RECEBIMENTO NÃO CONFIRMADO",IF(ISNUMBER(F146),F146,IF(ISNUMBER(E146),E146,"")),IF(OR(T146="CDF NÃO LOCALIZADO",T146="VÍNCULO INCOMPLETO",T146="CDF A CONFERIR"),IF(AP146&gt;0,AP146,IF(ISNUMBER(E146),E146,"")),IF(ISNUMBER(E146),E146,""))))</f>
        <v/>
      </c>
      <c r="AR146" s="96">
        <f>IF(NOT(ISNUMBER(U146)),0,IF(T146="RECEBIMENTO NÃO CONFIRMADO",IF(AND(ISNUMBER(cfg_rec),U146&gt;cfg_rec),1,0),IF(OR(T146="CDF NÃO LOCALIZADO",T146="VÍNCULO INCOMPLETO",T146="CDF A CONFERIR"),IF(AND(ISNUMBER(cfg_cdf),U146&gt;cfg_cdf),1,0),0)))</f>
        <v>0</v>
      </c>
      <c r="AS146" s="96" t="str">
        <f>IF(T146="","",IF(AR146=1,"Alta",IFERROR(INDEX(cfg_pp,MATCH(T146,cfg_pt,0))&amp;"","Média")))</f>
        <v/>
      </c>
      <c r="AT146" s="96" t="str">
        <f>IF(T146="","",IFERROR(INDEX(cfg_pv,MATCH(T146,cfg_pt,0))&amp;"",""))</f>
        <v/>
      </c>
      <c r="AU146" s="96" t="str">
        <f>IF(T146="","",IF(AS146="Alta",1,IF(AS146="Média",2,3))*1000000000+(999999-IF(ISNUMBER(U146),MIN(U146,999999),0))*1000+141)</f>
        <v/>
      </c>
      <c r="AV146" s="96">
        <f>IF(T146&lt;&gt;"",1,0)</f>
        <v>0</v>
      </c>
      <c r="AW146" s="96" t="str">
        <f>IF(Z146=0,"",IF(AA146=1,"Cancelamento informado; ","")&amp;IF(AE146=1,"Campos essenciais ou itens faltando; ","")&amp;IF(AC146=1,"Possível duplicidade do número; ","")&amp;IF(AD146=1,"Cadastro ou datas a revisar; ","")&amp;IF(AF146&gt;0,"Item de resíduo com dado a revisar; ","")&amp;IF(AH146&gt;0,"Diferença de quantidade a analisar; ","")&amp;IF(AK146&gt;0,"Recebimento com alerta; ","")&amp;IF(AL146&gt;0,"Vínculo de CDF com alerta; ","")&amp;IF(AND(AA146=0,AN146=0),"Recebimento não confirmado; ","")&amp;IF(AND(AA146=0,AN146=1,AO146=0),"CDF pendente ou a conferir; ",""))</f>
        <v/>
      </c>
      <c r="AX146" s="96">
        <f>IF(Z146=0,0,IF(AND(OR(f_ini="",AND(ISNUMBER(E146),E146&gt;=f_ini)),OR(f_fim="",AND(ISNUMBER(E146),E146&lt;=f_fim)),OR(f_un="",f_un="(Todas)",G146=f_un),OR(f_tr="",f_tr="(Todos)",H146=f_tr),OR(f_de="",f_de="(Todos)",I146=f_de),OR(f_sit="",f_sit="(Todas)",S146=f_sit)),1,0))</f>
        <v>0</v>
      </c>
      <c r="AY146" s="96">
        <f>IF(AX146=0,0,IF(OR(f_res="",f_res="(Todos)"),1,IF(COUNTIFS('ITENS_MTR'!$S$6:$S$1005,A146,'ITENS_MTR'!$C$6:$C$1005,f_res)&gt;0,1,0)))</f>
        <v>0</v>
      </c>
      <c r="AZ146" s="97" t="str">
        <f>IF(ISNUMBER(E146),DATE(YEAR(E146),MONTH(E146),1),"")</f>
        <v/>
      </c>
      <c r="BA146" s="96">
        <f>IF(Z146=0,0,IF(AND(OR(r_ini="",AND(ISNUMBER(E146),E146&gt;=r_ini)),OR(r_fim="",AND(ISNUMBER(E146),E146&lt;=r_fim)),OR(r_un="",r_un="(Todas)",G146=r_un),OR(r_de="",r_de="(Todos)",I146=r_de)),1,0))</f>
        <v>0</v>
      </c>
      <c r="BB146" s="96" t="str">
        <f>IF(BA146=1,COUNTIF($BA$6:BA146,1),"")</f>
        <v/>
      </c>
      <c r="BC146" s="96" t="str">
        <f>IF(AND(AU146&lt;&gt;"",OR(r_un="",r_un="(Todas)",G146=r_un),OR(r_de="",r_de="(Todos)",I146=r_de)),AU146,"")</f>
        <v/>
      </c>
      <c r="BD146" s="96" t="str">
        <f>IF(Z146=1,A146&amp;" | nº "&amp;IF(B146="","(sem número)",B146)&amp;" | "&amp;IF(G146="","(sem unidade)",G146),"")</f>
        <v/>
      </c>
      <c r="BE146" s="96" t="str">
        <f>IF(Z146=1,COUNTIF($Z$6:Z146,1),"")</f>
        <v/>
      </c>
      <c r="BF146" s="96" t="str">
        <f>IF(T146="","",IF(T146="RECEBIMENTO NÃO CONFIRMADO","Transp.: "&amp;H146&amp;" | Dest.: "&amp;I146,IF(OR(T146="CDF NÃO LOCALIZADO",T146="VÍNCULO INCOMPLETO",T146="CDF A CONFERIR"),"Dest.: "&amp;I146,"Gerador: "&amp;G146)))</f>
        <v/>
      </c>
    </row>
    <row r="147">
      <c r="A147" s="89" t="inlineStr">
        <is>
          <t>MTR-000142</t>
        </is>
      </c>
      <c r="B147" s="90" t="n"/>
      <c r="C147" s="91" t="n"/>
      <c r="D147" s="91" t="n"/>
      <c r="E147" s="92" t="n"/>
      <c r="F147" s="92" t="n"/>
      <c r="G147" s="91" t="n"/>
      <c r="H147" s="91" t="n"/>
      <c r="I147" s="91" t="n"/>
      <c r="J147" s="91" t="n"/>
      <c r="K147" s="91" t="n"/>
      <c r="L147" s="92" t="n"/>
      <c r="M147" s="91" t="n"/>
      <c r="N147" s="91" t="n"/>
      <c r="O147" s="91" t="n"/>
      <c r="P147" s="93" t="str">
        <f>IF(Z147=0,"",SUMIFS('ITENS_MTR'!$I$6:$I$1005,'ITENS_MTR'!$S$6:$S$1005,A147,'ITENS_MTR'!$Y$6:$Y$1005,1))</f>
        <v/>
      </c>
      <c r="Q147" s="93" t="str">
        <f>IF(Z147=0,"",SUMIFS('RECEBIMENTOS'!$H$6:$H$1005,'RECEBIMENTOS'!$B$6:$B$1005,A147,'RECEBIMENTOS'!$X$6:$X$1005,1))</f>
        <v/>
      </c>
      <c r="R147" s="93" t="str">
        <f>IF(Z147=0,"",SUMIFS('VÍNCULOS_CDF'!$H$6:$H$1005,'VÍNCULOS_CDF'!$D$6:$D$1005,A147,'VÍNCULOS_CDF'!$V$6:$V$1005,1))</f>
        <v/>
      </c>
      <c r="S147" s="94" t="str">
        <f>IF(Z147=0,"",IF(AA147=1,"Cancelado (informado)",IF(AE147=1,"Cadastro incompleto",IF(OR(AC147=1,AD147=1,AF147&gt;0,AH147&gt;0,AK147&gt;0,AL147&gt;0),"Informação a revisar",IF(AN147=0,"Aguardando recebimento",IF(N(R147)=0,"Aguardando CDF",IF(AJ147&lt;N(W147),"Vínculo de CDF parcial",IF(AO147=0,"CDF localizado, a conferir","Documentação conferida"))))))))</f>
        <v/>
      </c>
      <c r="T147" s="94" t="str">
        <f>IF(Z147=0,"",IF(S147="Cadastro incompleto","MTR INCOMPLETO",IF(S147="Informação a revisar",IF(AND(AH147&gt;0,AC147=0,AD147=0,AF147=0,AK147=0,AL147=0),"QUANTIDADE A REVISAR","IDENTIFICAÇÃO A REVISAR"),IF(S147="Aguardando recebimento","RECEBIMENTO NÃO CONFIRMADO",IF(S147="Aguardando CDF","CDF NÃO LOCALIZADO",IF(S147="Vínculo de CDF parcial","VÍNCULO INCOMPLETO",IF(S147="CDF localizado, a conferir","CDF A CONFERIR","")))))))</f>
        <v/>
      </c>
      <c r="U147" s="95" t="str">
        <f>IF(T147="","",IF(AQ147="","Não calculável",IF(AQ147&gt;TODAY(),"Data futura",TODAY()-AQ147)))</f>
        <v/>
      </c>
      <c r="V147" s="93" t="str">
        <f>IF(Z147=0,"",SUMIFS('RECEBIMENTOS'!$H$6:$H$1005,'RECEBIMENTOS'!$B$6:$B$1005,A147,'RECEBIMENTOS'!$Z$6:$Z$1005,1))</f>
        <v/>
      </c>
      <c r="W147" s="95" t="str">
        <f>IF(Z147=0,"",COUNTIFS('ITENS_MTR'!$S$6:$S$1005,A147,'ITENS_MTR'!$R$6:$R$1005,1))</f>
        <v/>
      </c>
      <c r="X147" s="94" t="str">
        <f>IF(AC147=1,"POSSÍVEL DUPLICIDADE","")</f>
        <v/>
      </c>
      <c r="Y147" s="94" t="str">
        <f>IF(Z147=0,"",IF(AW147="","Nenhuma",LEFT(AW147,LEN(AW147)-2)))</f>
        <v/>
      </c>
      <c r="Z147" s="96">
        <f>IF(COUNTA(B147:O147)&gt;0,1,0)</f>
        <v>0</v>
      </c>
      <c r="AA147" s="96">
        <f>IF(AND(Z147=1,K147&lt;&gt;""),IF(TRIM(K147)=TRIM(cfg_cancel),1,0),0)</f>
        <v>0</v>
      </c>
      <c r="AB147" s="96" t="str">
        <f>IF(AND(Z147=1,B147&lt;&gt;""),C147&amp;"|"&amp;D147&amp;"|"&amp;G147&amp;"|"&amp;TRIM(B147),"")</f>
        <v/>
      </c>
      <c r="AC147" s="96">
        <f>IF(AB147="",0,IF(SUMPRODUCT(--($AB$6:$AB$505=AB147))&gt;1,1,0))</f>
        <v>0</v>
      </c>
      <c r="AD147" s="96">
        <f>IF(Z147=0,0,IF(OR(AND(G147&lt;&gt;"",ISNA(MATCH(G147,'CAD_UNIDADES'!$C$6:$C$105,0))),AND(H147&lt;&gt;"",ISNA(MATCH(H147,cmp_transp,0))),AND(I147&lt;&gt;"",ISNA(MATCH(I147,cmp_dest,0))),AND(E147&lt;&gt;"",NOT(ISNUMBER(E147))),AND(F147&lt;&gt;"",NOT(ISNUMBER(F147))),AND(ISNUMBER(E147),ISNUMBER(F147),F147&lt;E147)),1,0))</f>
        <v>0</v>
      </c>
      <c r="AE147" s="96">
        <f>IF(Z147=0,0,IF(OR(B147="",C147="",E147="",G147="",H147="",I147="",N(W147)=0),1,0))</f>
        <v>0</v>
      </c>
      <c r="AF147" s="96">
        <f>IF(Z147=0,0,COUNTIFS('ITENS_MTR'!$S$6:$S$1005,A147,'ITENS_MTR'!$AI$6:$AI$1005,1))</f>
        <v>0</v>
      </c>
      <c r="AG147" s="96">
        <f>IF(Z147=0,0,COUNTIFS('ITENS_MTR'!$S$6:$S$1005,A147,'ITENS_MTR'!$AJ$6:$AJ$1005,1))</f>
        <v>0</v>
      </c>
      <c r="AH147" s="96">
        <f>IF(Z147=0,0,COUNTIFS('ITENS_MTR'!$S$6:$S$1005,A147,'ITENS_MTR'!$AM$6:$AM$1005,1))</f>
        <v>0</v>
      </c>
      <c r="AI147" s="96">
        <f>IF(Z147=0,0,COUNTIFS('ITENS_MTR'!$S$6:$S$1005,A147,'ITENS_MTR'!$AO$6:$AO$1005,1))</f>
        <v>0</v>
      </c>
      <c r="AJ147" s="96">
        <f>IF(Z147=0,0,COUNTIFS('ITENS_MTR'!$S$6:$S$1005,A147,'ITENS_MTR'!$AN$6:$AN$1005,1))</f>
        <v>0</v>
      </c>
      <c r="AK147" s="96">
        <f>IF(Z147=0,0,COUNTIFS('RECEBIMENTOS'!$B$6:$B$1005,A147,'RECEBIMENTOS'!$Y$6:$Y$1005,1))</f>
        <v>0</v>
      </c>
      <c r="AL147" s="96">
        <f>IF(Z147=0,0,COUNTIFS('VÍNCULOS_CDF'!$D$6:$D$1005,A147,'VÍNCULOS_CDF'!$Y$6:$Y$1005,1))</f>
        <v>0</v>
      </c>
      <c r="AM147" s="96">
        <f>IF(Z147=0,0,COUNTIFS('RECEBIMENTOS'!$B$6:$B$1005,A147,'RECEBIMENTOS'!$Q$6:$Q$1005,1))</f>
        <v>0</v>
      </c>
      <c r="AN147" s="96">
        <f>IF(AND(Z147=1,N(W147)&gt;0,AG147=N(W147)),1,0)</f>
        <v>0</v>
      </c>
      <c r="AO147" s="96">
        <f>IF(AND(Z147=1,N(W147)&gt;0,AI147=N(W147)),1,0)</f>
        <v>0</v>
      </c>
      <c r="AP147" s="97">
        <f>IF(Z147=0,0,_xlfn.MAXIFS('RECEBIMENTOS'!$E$6:$E$1005,'RECEBIMENTOS'!$B$6:$B$1005,A147))</f>
        <v>0</v>
      </c>
      <c r="AQ147" s="97" t="str">
        <f>IF(T147="","",IF(T147="RECEBIMENTO NÃO CONFIRMADO",IF(ISNUMBER(F147),F147,IF(ISNUMBER(E147),E147,"")),IF(OR(T147="CDF NÃO LOCALIZADO",T147="VÍNCULO INCOMPLETO",T147="CDF A CONFERIR"),IF(AP147&gt;0,AP147,IF(ISNUMBER(E147),E147,"")),IF(ISNUMBER(E147),E147,""))))</f>
        <v/>
      </c>
      <c r="AR147" s="96">
        <f>IF(NOT(ISNUMBER(U147)),0,IF(T147="RECEBIMENTO NÃO CONFIRMADO",IF(AND(ISNUMBER(cfg_rec),U147&gt;cfg_rec),1,0),IF(OR(T147="CDF NÃO LOCALIZADO",T147="VÍNCULO INCOMPLETO",T147="CDF A CONFERIR"),IF(AND(ISNUMBER(cfg_cdf),U147&gt;cfg_cdf),1,0),0)))</f>
        <v>0</v>
      </c>
      <c r="AS147" s="96" t="str">
        <f>IF(T147="","",IF(AR147=1,"Alta",IFERROR(INDEX(cfg_pp,MATCH(T147,cfg_pt,0))&amp;"","Média")))</f>
        <v/>
      </c>
      <c r="AT147" s="96" t="str">
        <f>IF(T147="","",IFERROR(INDEX(cfg_pv,MATCH(T147,cfg_pt,0))&amp;"",""))</f>
        <v/>
      </c>
      <c r="AU147" s="96" t="str">
        <f>IF(T147="","",IF(AS147="Alta",1,IF(AS147="Média",2,3))*1000000000+(999999-IF(ISNUMBER(U147),MIN(U147,999999),0))*1000+142)</f>
        <v/>
      </c>
      <c r="AV147" s="96">
        <f>IF(T147&lt;&gt;"",1,0)</f>
        <v>0</v>
      </c>
      <c r="AW147" s="96" t="str">
        <f>IF(Z147=0,"",IF(AA147=1,"Cancelamento informado; ","")&amp;IF(AE147=1,"Campos essenciais ou itens faltando; ","")&amp;IF(AC147=1,"Possível duplicidade do número; ","")&amp;IF(AD147=1,"Cadastro ou datas a revisar; ","")&amp;IF(AF147&gt;0,"Item de resíduo com dado a revisar; ","")&amp;IF(AH147&gt;0,"Diferença de quantidade a analisar; ","")&amp;IF(AK147&gt;0,"Recebimento com alerta; ","")&amp;IF(AL147&gt;0,"Vínculo de CDF com alerta; ","")&amp;IF(AND(AA147=0,AN147=0),"Recebimento não confirmado; ","")&amp;IF(AND(AA147=0,AN147=1,AO147=0),"CDF pendente ou a conferir; ",""))</f>
        <v/>
      </c>
      <c r="AX147" s="96">
        <f>IF(Z147=0,0,IF(AND(OR(f_ini="",AND(ISNUMBER(E147),E147&gt;=f_ini)),OR(f_fim="",AND(ISNUMBER(E147),E147&lt;=f_fim)),OR(f_un="",f_un="(Todas)",G147=f_un),OR(f_tr="",f_tr="(Todos)",H147=f_tr),OR(f_de="",f_de="(Todos)",I147=f_de),OR(f_sit="",f_sit="(Todas)",S147=f_sit)),1,0))</f>
        <v>0</v>
      </c>
      <c r="AY147" s="96">
        <f>IF(AX147=0,0,IF(OR(f_res="",f_res="(Todos)"),1,IF(COUNTIFS('ITENS_MTR'!$S$6:$S$1005,A147,'ITENS_MTR'!$C$6:$C$1005,f_res)&gt;0,1,0)))</f>
        <v>0</v>
      </c>
      <c r="AZ147" s="97" t="str">
        <f>IF(ISNUMBER(E147),DATE(YEAR(E147),MONTH(E147),1),"")</f>
        <v/>
      </c>
      <c r="BA147" s="96">
        <f>IF(Z147=0,0,IF(AND(OR(r_ini="",AND(ISNUMBER(E147),E147&gt;=r_ini)),OR(r_fim="",AND(ISNUMBER(E147),E147&lt;=r_fim)),OR(r_un="",r_un="(Todas)",G147=r_un),OR(r_de="",r_de="(Todos)",I147=r_de)),1,0))</f>
        <v>0</v>
      </c>
      <c r="BB147" s="96" t="str">
        <f>IF(BA147=1,COUNTIF($BA$6:BA147,1),"")</f>
        <v/>
      </c>
      <c r="BC147" s="96" t="str">
        <f>IF(AND(AU147&lt;&gt;"",OR(r_un="",r_un="(Todas)",G147=r_un),OR(r_de="",r_de="(Todos)",I147=r_de)),AU147,"")</f>
        <v/>
      </c>
      <c r="BD147" s="96" t="str">
        <f>IF(Z147=1,A147&amp;" | nº "&amp;IF(B147="","(sem número)",B147)&amp;" | "&amp;IF(G147="","(sem unidade)",G147),"")</f>
        <v/>
      </c>
      <c r="BE147" s="96" t="str">
        <f>IF(Z147=1,COUNTIF($Z$6:Z147,1),"")</f>
        <v/>
      </c>
      <c r="BF147" s="96" t="str">
        <f>IF(T147="","",IF(T147="RECEBIMENTO NÃO CONFIRMADO","Transp.: "&amp;H147&amp;" | Dest.: "&amp;I147,IF(OR(T147="CDF NÃO LOCALIZADO",T147="VÍNCULO INCOMPLETO",T147="CDF A CONFERIR"),"Dest.: "&amp;I147,"Gerador: "&amp;G147)))</f>
        <v/>
      </c>
    </row>
    <row r="148">
      <c r="A148" s="89" t="inlineStr">
        <is>
          <t>MTR-000143</t>
        </is>
      </c>
      <c r="B148" s="90" t="n"/>
      <c r="C148" s="91" t="n"/>
      <c r="D148" s="91" t="n"/>
      <c r="E148" s="92" t="n"/>
      <c r="F148" s="92" t="n"/>
      <c r="G148" s="91" t="n"/>
      <c r="H148" s="91" t="n"/>
      <c r="I148" s="91" t="n"/>
      <c r="J148" s="91" t="n"/>
      <c r="K148" s="91" t="n"/>
      <c r="L148" s="92" t="n"/>
      <c r="M148" s="91" t="n"/>
      <c r="N148" s="91" t="n"/>
      <c r="O148" s="91" t="n"/>
      <c r="P148" s="93" t="str">
        <f>IF(Z148=0,"",SUMIFS('ITENS_MTR'!$I$6:$I$1005,'ITENS_MTR'!$S$6:$S$1005,A148,'ITENS_MTR'!$Y$6:$Y$1005,1))</f>
        <v/>
      </c>
      <c r="Q148" s="93" t="str">
        <f>IF(Z148=0,"",SUMIFS('RECEBIMENTOS'!$H$6:$H$1005,'RECEBIMENTOS'!$B$6:$B$1005,A148,'RECEBIMENTOS'!$X$6:$X$1005,1))</f>
        <v/>
      </c>
      <c r="R148" s="93" t="str">
        <f>IF(Z148=0,"",SUMIFS('VÍNCULOS_CDF'!$H$6:$H$1005,'VÍNCULOS_CDF'!$D$6:$D$1005,A148,'VÍNCULOS_CDF'!$V$6:$V$1005,1))</f>
        <v/>
      </c>
      <c r="S148" s="94" t="str">
        <f>IF(Z148=0,"",IF(AA148=1,"Cancelado (informado)",IF(AE148=1,"Cadastro incompleto",IF(OR(AC148=1,AD148=1,AF148&gt;0,AH148&gt;0,AK148&gt;0,AL148&gt;0),"Informação a revisar",IF(AN148=0,"Aguardando recebimento",IF(N(R148)=0,"Aguardando CDF",IF(AJ148&lt;N(W148),"Vínculo de CDF parcial",IF(AO148=0,"CDF localizado, a conferir","Documentação conferida"))))))))</f>
        <v/>
      </c>
      <c r="T148" s="94" t="str">
        <f>IF(Z148=0,"",IF(S148="Cadastro incompleto","MTR INCOMPLETO",IF(S148="Informação a revisar",IF(AND(AH148&gt;0,AC148=0,AD148=0,AF148=0,AK148=0,AL148=0),"QUANTIDADE A REVISAR","IDENTIFICAÇÃO A REVISAR"),IF(S148="Aguardando recebimento","RECEBIMENTO NÃO CONFIRMADO",IF(S148="Aguardando CDF","CDF NÃO LOCALIZADO",IF(S148="Vínculo de CDF parcial","VÍNCULO INCOMPLETO",IF(S148="CDF localizado, a conferir","CDF A CONFERIR","")))))))</f>
        <v/>
      </c>
      <c r="U148" s="95" t="str">
        <f>IF(T148="","",IF(AQ148="","Não calculável",IF(AQ148&gt;TODAY(),"Data futura",TODAY()-AQ148)))</f>
        <v/>
      </c>
      <c r="V148" s="93" t="str">
        <f>IF(Z148=0,"",SUMIFS('RECEBIMENTOS'!$H$6:$H$1005,'RECEBIMENTOS'!$B$6:$B$1005,A148,'RECEBIMENTOS'!$Z$6:$Z$1005,1))</f>
        <v/>
      </c>
      <c r="W148" s="95" t="str">
        <f>IF(Z148=0,"",COUNTIFS('ITENS_MTR'!$S$6:$S$1005,A148,'ITENS_MTR'!$R$6:$R$1005,1))</f>
        <v/>
      </c>
      <c r="X148" s="94" t="str">
        <f>IF(AC148=1,"POSSÍVEL DUPLICIDADE","")</f>
        <v/>
      </c>
      <c r="Y148" s="94" t="str">
        <f>IF(Z148=0,"",IF(AW148="","Nenhuma",LEFT(AW148,LEN(AW148)-2)))</f>
        <v/>
      </c>
      <c r="Z148" s="96">
        <f>IF(COUNTA(B148:O148)&gt;0,1,0)</f>
        <v>0</v>
      </c>
      <c r="AA148" s="96">
        <f>IF(AND(Z148=1,K148&lt;&gt;""),IF(TRIM(K148)=TRIM(cfg_cancel),1,0),0)</f>
        <v>0</v>
      </c>
      <c r="AB148" s="96" t="str">
        <f>IF(AND(Z148=1,B148&lt;&gt;""),C148&amp;"|"&amp;D148&amp;"|"&amp;G148&amp;"|"&amp;TRIM(B148),"")</f>
        <v/>
      </c>
      <c r="AC148" s="96">
        <f>IF(AB148="",0,IF(SUMPRODUCT(--($AB$6:$AB$505=AB148))&gt;1,1,0))</f>
        <v>0</v>
      </c>
      <c r="AD148" s="96">
        <f>IF(Z148=0,0,IF(OR(AND(G148&lt;&gt;"",ISNA(MATCH(G148,'CAD_UNIDADES'!$C$6:$C$105,0))),AND(H148&lt;&gt;"",ISNA(MATCH(H148,cmp_transp,0))),AND(I148&lt;&gt;"",ISNA(MATCH(I148,cmp_dest,0))),AND(E148&lt;&gt;"",NOT(ISNUMBER(E148))),AND(F148&lt;&gt;"",NOT(ISNUMBER(F148))),AND(ISNUMBER(E148),ISNUMBER(F148),F148&lt;E148)),1,0))</f>
        <v>0</v>
      </c>
      <c r="AE148" s="96">
        <f>IF(Z148=0,0,IF(OR(B148="",C148="",E148="",G148="",H148="",I148="",N(W148)=0),1,0))</f>
        <v>0</v>
      </c>
      <c r="AF148" s="96">
        <f>IF(Z148=0,0,COUNTIFS('ITENS_MTR'!$S$6:$S$1005,A148,'ITENS_MTR'!$AI$6:$AI$1005,1))</f>
        <v>0</v>
      </c>
      <c r="AG148" s="96">
        <f>IF(Z148=0,0,COUNTIFS('ITENS_MTR'!$S$6:$S$1005,A148,'ITENS_MTR'!$AJ$6:$AJ$1005,1))</f>
        <v>0</v>
      </c>
      <c r="AH148" s="96">
        <f>IF(Z148=0,0,COUNTIFS('ITENS_MTR'!$S$6:$S$1005,A148,'ITENS_MTR'!$AM$6:$AM$1005,1))</f>
        <v>0</v>
      </c>
      <c r="AI148" s="96">
        <f>IF(Z148=0,0,COUNTIFS('ITENS_MTR'!$S$6:$S$1005,A148,'ITENS_MTR'!$AO$6:$AO$1005,1))</f>
        <v>0</v>
      </c>
      <c r="AJ148" s="96">
        <f>IF(Z148=0,0,COUNTIFS('ITENS_MTR'!$S$6:$S$1005,A148,'ITENS_MTR'!$AN$6:$AN$1005,1))</f>
        <v>0</v>
      </c>
      <c r="AK148" s="96">
        <f>IF(Z148=0,0,COUNTIFS('RECEBIMENTOS'!$B$6:$B$1005,A148,'RECEBIMENTOS'!$Y$6:$Y$1005,1))</f>
        <v>0</v>
      </c>
      <c r="AL148" s="96">
        <f>IF(Z148=0,0,COUNTIFS('VÍNCULOS_CDF'!$D$6:$D$1005,A148,'VÍNCULOS_CDF'!$Y$6:$Y$1005,1))</f>
        <v>0</v>
      </c>
      <c r="AM148" s="96">
        <f>IF(Z148=0,0,COUNTIFS('RECEBIMENTOS'!$B$6:$B$1005,A148,'RECEBIMENTOS'!$Q$6:$Q$1005,1))</f>
        <v>0</v>
      </c>
      <c r="AN148" s="96">
        <f>IF(AND(Z148=1,N(W148)&gt;0,AG148=N(W148)),1,0)</f>
        <v>0</v>
      </c>
      <c r="AO148" s="96">
        <f>IF(AND(Z148=1,N(W148)&gt;0,AI148=N(W148)),1,0)</f>
        <v>0</v>
      </c>
      <c r="AP148" s="97">
        <f>IF(Z148=0,0,_xlfn.MAXIFS('RECEBIMENTOS'!$E$6:$E$1005,'RECEBIMENTOS'!$B$6:$B$1005,A148))</f>
        <v>0</v>
      </c>
      <c r="AQ148" s="97" t="str">
        <f>IF(T148="","",IF(T148="RECEBIMENTO NÃO CONFIRMADO",IF(ISNUMBER(F148),F148,IF(ISNUMBER(E148),E148,"")),IF(OR(T148="CDF NÃO LOCALIZADO",T148="VÍNCULO INCOMPLETO",T148="CDF A CONFERIR"),IF(AP148&gt;0,AP148,IF(ISNUMBER(E148),E148,"")),IF(ISNUMBER(E148),E148,""))))</f>
        <v/>
      </c>
      <c r="AR148" s="96">
        <f>IF(NOT(ISNUMBER(U148)),0,IF(T148="RECEBIMENTO NÃO CONFIRMADO",IF(AND(ISNUMBER(cfg_rec),U148&gt;cfg_rec),1,0),IF(OR(T148="CDF NÃO LOCALIZADO",T148="VÍNCULO INCOMPLETO",T148="CDF A CONFERIR"),IF(AND(ISNUMBER(cfg_cdf),U148&gt;cfg_cdf),1,0),0)))</f>
        <v>0</v>
      </c>
      <c r="AS148" s="96" t="str">
        <f>IF(T148="","",IF(AR148=1,"Alta",IFERROR(INDEX(cfg_pp,MATCH(T148,cfg_pt,0))&amp;"","Média")))</f>
        <v/>
      </c>
      <c r="AT148" s="96" t="str">
        <f>IF(T148="","",IFERROR(INDEX(cfg_pv,MATCH(T148,cfg_pt,0))&amp;"",""))</f>
        <v/>
      </c>
      <c r="AU148" s="96" t="str">
        <f>IF(T148="","",IF(AS148="Alta",1,IF(AS148="Média",2,3))*1000000000+(999999-IF(ISNUMBER(U148),MIN(U148,999999),0))*1000+143)</f>
        <v/>
      </c>
      <c r="AV148" s="96">
        <f>IF(T148&lt;&gt;"",1,0)</f>
        <v>0</v>
      </c>
      <c r="AW148" s="96" t="str">
        <f>IF(Z148=0,"",IF(AA148=1,"Cancelamento informado; ","")&amp;IF(AE148=1,"Campos essenciais ou itens faltando; ","")&amp;IF(AC148=1,"Possível duplicidade do número; ","")&amp;IF(AD148=1,"Cadastro ou datas a revisar; ","")&amp;IF(AF148&gt;0,"Item de resíduo com dado a revisar; ","")&amp;IF(AH148&gt;0,"Diferença de quantidade a analisar; ","")&amp;IF(AK148&gt;0,"Recebimento com alerta; ","")&amp;IF(AL148&gt;0,"Vínculo de CDF com alerta; ","")&amp;IF(AND(AA148=0,AN148=0),"Recebimento não confirmado; ","")&amp;IF(AND(AA148=0,AN148=1,AO148=0),"CDF pendente ou a conferir; ",""))</f>
        <v/>
      </c>
      <c r="AX148" s="96">
        <f>IF(Z148=0,0,IF(AND(OR(f_ini="",AND(ISNUMBER(E148),E148&gt;=f_ini)),OR(f_fim="",AND(ISNUMBER(E148),E148&lt;=f_fim)),OR(f_un="",f_un="(Todas)",G148=f_un),OR(f_tr="",f_tr="(Todos)",H148=f_tr),OR(f_de="",f_de="(Todos)",I148=f_de),OR(f_sit="",f_sit="(Todas)",S148=f_sit)),1,0))</f>
        <v>0</v>
      </c>
      <c r="AY148" s="96">
        <f>IF(AX148=0,0,IF(OR(f_res="",f_res="(Todos)"),1,IF(COUNTIFS('ITENS_MTR'!$S$6:$S$1005,A148,'ITENS_MTR'!$C$6:$C$1005,f_res)&gt;0,1,0)))</f>
        <v>0</v>
      </c>
      <c r="AZ148" s="97" t="str">
        <f>IF(ISNUMBER(E148),DATE(YEAR(E148),MONTH(E148),1),"")</f>
        <v/>
      </c>
      <c r="BA148" s="96">
        <f>IF(Z148=0,0,IF(AND(OR(r_ini="",AND(ISNUMBER(E148),E148&gt;=r_ini)),OR(r_fim="",AND(ISNUMBER(E148),E148&lt;=r_fim)),OR(r_un="",r_un="(Todas)",G148=r_un),OR(r_de="",r_de="(Todos)",I148=r_de)),1,0))</f>
        <v>0</v>
      </c>
      <c r="BB148" s="96" t="str">
        <f>IF(BA148=1,COUNTIF($BA$6:BA148,1),"")</f>
        <v/>
      </c>
      <c r="BC148" s="96" t="str">
        <f>IF(AND(AU148&lt;&gt;"",OR(r_un="",r_un="(Todas)",G148=r_un),OR(r_de="",r_de="(Todos)",I148=r_de)),AU148,"")</f>
        <v/>
      </c>
      <c r="BD148" s="96" t="str">
        <f>IF(Z148=1,A148&amp;" | nº "&amp;IF(B148="","(sem número)",B148)&amp;" | "&amp;IF(G148="","(sem unidade)",G148),"")</f>
        <v/>
      </c>
      <c r="BE148" s="96" t="str">
        <f>IF(Z148=1,COUNTIF($Z$6:Z148,1),"")</f>
        <v/>
      </c>
      <c r="BF148" s="96" t="str">
        <f>IF(T148="","",IF(T148="RECEBIMENTO NÃO CONFIRMADO","Transp.: "&amp;H148&amp;" | Dest.: "&amp;I148,IF(OR(T148="CDF NÃO LOCALIZADO",T148="VÍNCULO INCOMPLETO",T148="CDF A CONFERIR"),"Dest.: "&amp;I148,"Gerador: "&amp;G148)))</f>
        <v/>
      </c>
    </row>
    <row r="149">
      <c r="A149" s="89" t="inlineStr">
        <is>
          <t>MTR-000144</t>
        </is>
      </c>
      <c r="B149" s="90" t="n"/>
      <c r="C149" s="91" t="n"/>
      <c r="D149" s="91" t="n"/>
      <c r="E149" s="92" t="n"/>
      <c r="F149" s="92" t="n"/>
      <c r="G149" s="91" t="n"/>
      <c r="H149" s="91" t="n"/>
      <c r="I149" s="91" t="n"/>
      <c r="J149" s="91" t="n"/>
      <c r="K149" s="91" t="n"/>
      <c r="L149" s="92" t="n"/>
      <c r="M149" s="91" t="n"/>
      <c r="N149" s="91" t="n"/>
      <c r="O149" s="91" t="n"/>
      <c r="P149" s="93" t="str">
        <f>IF(Z149=0,"",SUMIFS('ITENS_MTR'!$I$6:$I$1005,'ITENS_MTR'!$S$6:$S$1005,A149,'ITENS_MTR'!$Y$6:$Y$1005,1))</f>
        <v/>
      </c>
      <c r="Q149" s="93" t="str">
        <f>IF(Z149=0,"",SUMIFS('RECEBIMENTOS'!$H$6:$H$1005,'RECEBIMENTOS'!$B$6:$B$1005,A149,'RECEBIMENTOS'!$X$6:$X$1005,1))</f>
        <v/>
      </c>
      <c r="R149" s="93" t="str">
        <f>IF(Z149=0,"",SUMIFS('VÍNCULOS_CDF'!$H$6:$H$1005,'VÍNCULOS_CDF'!$D$6:$D$1005,A149,'VÍNCULOS_CDF'!$V$6:$V$1005,1))</f>
        <v/>
      </c>
      <c r="S149" s="94" t="str">
        <f>IF(Z149=0,"",IF(AA149=1,"Cancelado (informado)",IF(AE149=1,"Cadastro incompleto",IF(OR(AC149=1,AD149=1,AF149&gt;0,AH149&gt;0,AK149&gt;0,AL149&gt;0),"Informação a revisar",IF(AN149=0,"Aguardando recebimento",IF(N(R149)=0,"Aguardando CDF",IF(AJ149&lt;N(W149),"Vínculo de CDF parcial",IF(AO149=0,"CDF localizado, a conferir","Documentação conferida"))))))))</f>
        <v/>
      </c>
      <c r="T149" s="94" t="str">
        <f>IF(Z149=0,"",IF(S149="Cadastro incompleto","MTR INCOMPLETO",IF(S149="Informação a revisar",IF(AND(AH149&gt;0,AC149=0,AD149=0,AF149=0,AK149=0,AL149=0),"QUANTIDADE A REVISAR","IDENTIFICAÇÃO A REVISAR"),IF(S149="Aguardando recebimento","RECEBIMENTO NÃO CONFIRMADO",IF(S149="Aguardando CDF","CDF NÃO LOCALIZADO",IF(S149="Vínculo de CDF parcial","VÍNCULO INCOMPLETO",IF(S149="CDF localizado, a conferir","CDF A CONFERIR","")))))))</f>
        <v/>
      </c>
      <c r="U149" s="95" t="str">
        <f>IF(T149="","",IF(AQ149="","Não calculável",IF(AQ149&gt;TODAY(),"Data futura",TODAY()-AQ149)))</f>
        <v/>
      </c>
      <c r="V149" s="93" t="str">
        <f>IF(Z149=0,"",SUMIFS('RECEBIMENTOS'!$H$6:$H$1005,'RECEBIMENTOS'!$B$6:$B$1005,A149,'RECEBIMENTOS'!$Z$6:$Z$1005,1))</f>
        <v/>
      </c>
      <c r="W149" s="95" t="str">
        <f>IF(Z149=0,"",COUNTIFS('ITENS_MTR'!$S$6:$S$1005,A149,'ITENS_MTR'!$R$6:$R$1005,1))</f>
        <v/>
      </c>
      <c r="X149" s="94" t="str">
        <f>IF(AC149=1,"POSSÍVEL DUPLICIDADE","")</f>
        <v/>
      </c>
      <c r="Y149" s="94" t="str">
        <f>IF(Z149=0,"",IF(AW149="","Nenhuma",LEFT(AW149,LEN(AW149)-2)))</f>
        <v/>
      </c>
      <c r="Z149" s="96">
        <f>IF(COUNTA(B149:O149)&gt;0,1,0)</f>
        <v>0</v>
      </c>
      <c r="AA149" s="96">
        <f>IF(AND(Z149=1,K149&lt;&gt;""),IF(TRIM(K149)=TRIM(cfg_cancel),1,0),0)</f>
        <v>0</v>
      </c>
      <c r="AB149" s="96" t="str">
        <f>IF(AND(Z149=1,B149&lt;&gt;""),C149&amp;"|"&amp;D149&amp;"|"&amp;G149&amp;"|"&amp;TRIM(B149),"")</f>
        <v/>
      </c>
      <c r="AC149" s="96">
        <f>IF(AB149="",0,IF(SUMPRODUCT(--($AB$6:$AB$505=AB149))&gt;1,1,0))</f>
        <v>0</v>
      </c>
      <c r="AD149" s="96">
        <f>IF(Z149=0,0,IF(OR(AND(G149&lt;&gt;"",ISNA(MATCH(G149,'CAD_UNIDADES'!$C$6:$C$105,0))),AND(H149&lt;&gt;"",ISNA(MATCH(H149,cmp_transp,0))),AND(I149&lt;&gt;"",ISNA(MATCH(I149,cmp_dest,0))),AND(E149&lt;&gt;"",NOT(ISNUMBER(E149))),AND(F149&lt;&gt;"",NOT(ISNUMBER(F149))),AND(ISNUMBER(E149),ISNUMBER(F149),F149&lt;E149)),1,0))</f>
        <v>0</v>
      </c>
      <c r="AE149" s="96">
        <f>IF(Z149=0,0,IF(OR(B149="",C149="",E149="",G149="",H149="",I149="",N(W149)=0),1,0))</f>
        <v>0</v>
      </c>
      <c r="AF149" s="96">
        <f>IF(Z149=0,0,COUNTIFS('ITENS_MTR'!$S$6:$S$1005,A149,'ITENS_MTR'!$AI$6:$AI$1005,1))</f>
        <v>0</v>
      </c>
      <c r="AG149" s="96">
        <f>IF(Z149=0,0,COUNTIFS('ITENS_MTR'!$S$6:$S$1005,A149,'ITENS_MTR'!$AJ$6:$AJ$1005,1))</f>
        <v>0</v>
      </c>
      <c r="AH149" s="96">
        <f>IF(Z149=0,0,COUNTIFS('ITENS_MTR'!$S$6:$S$1005,A149,'ITENS_MTR'!$AM$6:$AM$1005,1))</f>
        <v>0</v>
      </c>
      <c r="AI149" s="96">
        <f>IF(Z149=0,0,COUNTIFS('ITENS_MTR'!$S$6:$S$1005,A149,'ITENS_MTR'!$AO$6:$AO$1005,1))</f>
        <v>0</v>
      </c>
      <c r="AJ149" s="96">
        <f>IF(Z149=0,0,COUNTIFS('ITENS_MTR'!$S$6:$S$1005,A149,'ITENS_MTR'!$AN$6:$AN$1005,1))</f>
        <v>0</v>
      </c>
      <c r="AK149" s="96">
        <f>IF(Z149=0,0,COUNTIFS('RECEBIMENTOS'!$B$6:$B$1005,A149,'RECEBIMENTOS'!$Y$6:$Y$1005,1))</f>
        <v>0</v>
      </c>
      <c r="AL149" s="96">
        <f>IF(Z149=0,0,COUNTIFS('VÍNCULOS_CDF'!$D$6:$D$1005,A149,'VÍNCULOS_CDF'!$Y$6:$Y$1005,1))</f>
        <v>0</v>
      </c>
      <c r="AM149" s="96">
        <f>IF(Z149=0,0,COUNTIFS('RECEBIMENTOS'!$B$6:$B$1005,A149,'RECEBIMENTOS'!$Q$6:$Q$1005,1))</f>
        <v>0</v>
      </c>
      <c r="AN149" s="96">
        <f>IF(AND(Z149=1,N(W149)&gt;0,AG149=N(W149)),1,0)</f>
        <v>0</v>
      </c>
      <c r="AO149" s="96">
        <f>IF(AND(Z149=1,N(W149)&gt;0,AI149=N(W149)),1,0)</f>
        <v>0</v>
      </c>
      <c r="AP149" s="97">
        <f>IF(Z149=0,0,_xlfn.MAXIFS('RECEBIMENTOS'!$E$6:$E$1005,'RECEBIMENTOS'!$B$6:$B$1005,A149))</f>
        <v>0</v>
      </c>
      <c r="AQ149" s="97" t="str">
        <f>IF(T149="","",IF(T149="RECEBIMENTO NÃO CONFIRMADO",IF(ISNUMBER(F149),F149,IF(ISNUMBER(E149),E149,"")),IF(OR(T149="CDF NÃO LOCALIZADO",T149="VÍNCULO INCOMPLETO",T149="CDF A CONFERIR"),IF(AP149&gt;0,AP149,IF(ISNUMBER(E149),E149,"")),IF(ISNUMBER(E149),E149,""))))</f>
        <v/>
      </c>
      <c r="AR149" s="96">
        <f>IF(NOT(ISNUMBER(U149)),0,IF(T149="RECEBIMENTO NÃO CONFIRMADO",IF(AND(ISNUMBER(cfg_rec),U149&gt;cfg_rec),1,0),IF(OR(T149="CDF NÃO LOCALIZADO",T149="VÍNCULO INCOMPLETO",T149="CDF A CONFERIR"),IF(AND(ISNUMBER(cfg_cdf),U149&gt;cfg_cdf),1,0),0)))</f>
        <v>0</v>
      </c>
      <c r="AS149" s="96" t="str">
        <f>IF(T149="","",IF(AR149=1,"Alta",IFERROR(INDEX(cfg_pp,MATCH(T149,cfg_pt,0))&amp;"","Média")))</f>
        <v/>
      </c>
      <c r="AT149" s="96" t="str">
        <f>IF(T149="","",IFERROR(INDEX(cfg_pv,MATCH(T149,cfg_pt,0))&amp;"",""))</f>
        <v/>
      </c>
      <c r="AU149" s="96" t="str">
        <f>IF(T149="","",IF(AS149="Alta",1,IF(AS149="Média",2,3))*1000000000+(999999-IF(ISNUMBER(U149),MIN(U149,999999),0))*1000+144)</f>
        <v/>
      </c>
      <c r="AV149" s="96">
        <f>IF(T149&lt;&gt;"",1,0)</f>
        <v>0</v>
      </c>
      <c r="AW149" s="96" t="str">
        <f>IF(Z149=0,"",IF(AA149=1,"Cancelamento informado; ","")&amp;IF(AE149=1,"Campos essenciais ou itens faltando; ","")&amp;IF(AC149=1,"Possível duplicidade do número; ","")&amp;IF(AD149=1,"Cadastro ou datas a revisar; ","")&amp;IF(AF149&gt;0,"Item de resíduo com dado a revisar; ","")&amp;IF(AH149&gt;0,"Diferença de quantidade a analisar; ","")&amp;IF(AK149&gt;0,"Recebimento com alerta; ","")&amp;IF(AL149&gt;0,"Vínculo de CDF com alerta; ","")&amp;IF(AND(AA149=0,AN149=0),"Recebimento não confirmado; ","")&amp;IF(AND(AA149=0,AN149=1,AO149=0),"CDF pendente ou a conferir; ",""))</f>
        <v/>
      </c>
      <c r="AX149" s="96">
        <f>IF(Z149=0,0,IF(AND(OR(f_ini="",AND(ISNUMBER(E149),E149&gt;=f_ini)),OR(f_fim="",AND(ISNUMBER(E149),E149&lt;=f_fim)),OR(f_un="",f_un="(Todas)",G149=f_un),OR(f_tr="",f_tr="(Todos)",H149=f_tr),OR(f_de="",f_de="(Todos)",I149=f_de),OR(f_sit="",f_sit="(Todas)",S149=f_sit)),1,0))</f>
        <v>0</v>
      </c>
      <c r="AY149" s="96">
        <f>IF(AX149=0,0,IF(OR(f_res="",f_res="(Todos)"),1,IF(COUNTIFS('ITENS_MTR'!$S$6:$S$1005,A149,'ITENS_MTR'!$C$6:$C$1005,f_res)&gt;0,1,0)))</f>
        <v>0</v>
      </c>
      <c r="AZ149" s="97" t="str">
        <f>IF(ISNUMBER(E149),DATE(YEAR(E149),MONTH(E149),1),"")</f>
        <v/>
      </c>
      <c r="BA149" s="96">
        <f>IF(Z149=0,0,IF(AND(OR(r_ini="",AND(ISNUMBER(E149),E149&gt;=r_ini)),OR(r_fim="",AND(ISNUMBER(E149),E149&lt;=r_fim)),OR(r_un="",r_un="(Todas)",G149=r_un),OR(r_de="",r_de="(Todos)",I149=r_de)),1,0))</f>
        <v>0</v>
      </c>
      <c r="BB149" s="96" t="str">
        <f>IF(BA149=1,COUNTIF($BA$6:BA149,1),"")</f>
        <v/>
      </c>
      <c r="BC149" s="96" t="str">
        <f>IF(AND(AU149&lt;&gt;"",OR(r_un="",r_un="(Todas)",G149=r_un),OR(r_de="",r_de="(Todos)",I149=r_de)),AU149,"")</f>
        <v/>
      </c>
      <c r="BD149" s="96" t="str">
        <f>IF(Z149=1,A149&amp;" | nº "&amp;IF(B149="","(sem número)",B149)&amp;" | "&amp;IF(G149="","(sem unidade)",G149),"")</f>
        <v/>
      </c>
      <c r="BE149" s="96" t="str">
        <f>IF(Z149=1,COUNTIF($Z$6:Z149,1),"")</f>
        <v/>
      </c>
      <c r="BF149" s="96" t="str">
        <f>IF(T149="","",IF(T149="RECEBIMENTO NÃO CONFIRMADO","Transp.: "&amp;H149&amp;" | Dest.: "&amp;I149,IF(OR(T149="CDF NÃO LOCALIZADO",T149="VÍNCULO INCOMPLETO",T149="CDF A CONFERIR"),"Dest.: "&amp;I149,"Gerador: "&amp;G149)))</f>
        <v/>
      </c>
    </row>
    <row r="150">
      <c r="A150" s="89" t="inlineStr">
        <is>
          <t>MTR-000145</t>
        </is>
      </c>
      <c r="B150" s="90" t="n"/>
      <c r="C150" s="91" t="n"/>
      <c r="D150" s="91" t="n"/>
      <c r="E150" s="92" t="n"/>
      <c r="F150" s="92" t="n"/>
      <c r="G150" s="91" t="n"/>
      <c r="H150" s="91" t="n"/>
      <c r="I150" s="91" t="n"/>
      <c r="J150" s="91" t="n"/>
      <c r="K150" s="91" t="n"/>
      <c r="L150" s="92" t="n"/>
      <c r="M150" s="91" t="n"/>
      <c r="N150" s="91" t="n"/>
      <c r="O150" s="91" t="n"/>
      <c r="P150" s="93" t="str">
        <f>IF(Z150=0,"",SUMIFS('ITENS_MTR'!$I$6:$I$1005,'ITENS_MTR'!$S$6:$S$1005,A150,'ITENS_MTR'!$Y$6:$Y$1005,1))</f>
        <v/>
      </c>
      <c r="Q150" s="93" t="str">
        <f>IF(Z150=0,"",SUMIFS('RECEBIMENTOS'!$H$6:$H$1005,'RECEBIMENTOS'!$B$6:$B$1005,A150,'RECEBIMENTOS'!$X$6:$X$1005,1))</f>
        <v/>
      </c>
      <c r="R150" s="93" t="str">
        <f>IF(Z150=0,"",SUMIFS('VÍNCULOS_CDF'!$H$6:$H$1005,'VÍNCULOS_CDF'!$D$6:$D$1005,A150,'VÍNCULOS_CDF'!$V$6:$V$1005,1))</f>
        <v/>
      </c>
      <c r="S150" s="94" t="str">
        <f>IF(Z150=0,"",IF(AA150=1,"Cancelado (informado)",IF(AE150=1,"Cadastro incompleto",IF(OR(AC150=1,AD150=1,AF150&gt;0,AH150&gt;0,AK150&gt;0,AL150&gt;0),"Informação a revisar",IF(AN150=0,"Aguardando recebimento",IF(N(R150)=0,"Aguardando CDF",IF(AJ150&lt;N(W150),"Vínculo de CDF parcial",IF(AO150=0,"CDF localizado, a conferir","Documentação conferida"))))))))</f>
        <v/>
      </c>
      <c r="T150" s="94" t="str">
        <f>IF(Z150=0,"",IF(S150="Cadastro incompleto","MTR INCOMPLETO",IF(S150="Informação a revisar",IF(AND(AH150&gt;0,AC150=0,AD150=0,AF150=0,AK150=0,AL150=0),"QUANTIDADE A REVISAR","IDENTIFICAÇÃO A REVISAR"),IF(S150="Aguardando recebimento","RECEBIMENTO NÃO CONFIRMADO",IF(S150="Aguardando CDF","CDF NÃO LOCALIZADO",IF(S150="Vínculo de CDF parcial","VÍNCULO INCOMPLETO",IF(S150="CDF localizado, a conferir","CDF A CONFERIR","")))))))</f>
        <v/>
      </c>
      <c r="U150" s="95" t="str">
        <f>IF(T150="","",IF(AQ150="","Não calculável",IF(AQ150&gt;TODAY(),"Data futura",TODAY()-AQ150)))</f>
        <v/>
      </c>
      <c r="V150" s="93" t="str">
        <f>IF(Z150=0,"",SUMIFS('RECEBIMENTOS'!$H$6:$H$1005,'RECEBIMENTOS'!$B$6:$B$1005,A150,'RECEBIMENTOS'!$Z$6:$Z$1005,1))</f>
        <v/>
      </c>
      <c r="W150" s="95" t="str">
        <f>IF(Z150=0,"",COUNTIFS('ITENS_MTR'!$S$6:$S$1005,A150,'ITENS_MTR'!$R$6:$R$1005,1))</f>
        <v/>
      </c>
      <c r="X150" s="94" t="str">
        <f>IF(AC150=1,"POSSÍVEL DUPLICIDADE","")</f>
        <v/>
      </c>
      <c r="Y150" s="94" t="str">
        <f>IF(Z150=0,"",IF(AW150="","Nenhuma",LEFT(AW150,LEN(AW150)-2)))</f>
        <v/>
      </c>
      <c r="Z150" s="96">
        <f>IF(COUNTA(B150:O150)&gt;0,1,0)</f>
        <v>0</v>
      </c>
      <c r="AA150" s="96">
        <f>IF(AND(Z150=1,K150&lt;&gt;""),IF(TRIM(K150)=TRIM(cfg_cancel),1,0),0)</f>
        <v>0</v>
      </c>
      <c r="AB150" s="96" t="str">
        <f>IF(AND(Z150=1,B150&lt;&gt;""),C150&amp;"|"&amp;D150&amp;"|"&amp;G150&amp;"|"&amp;TRIM(B150),"")</f>
        <v/>
      </c>
      <c r="AC150" s="96">
        <f>IF(AB150="",0,IF(SUMPRODUCT(--($AB$6:$AB$505=AB150))&gt;1,1,0))</f>
        <v>0</v>
      </c>
      <c r="AD150" s="96">
        <f>IF(Z150=0,0,IF(OR(AND(G150&lt;&gt;"",ISNA(MATCH(G150,'CAD_UNIDADES'!$C$6:$C$105,0))),AND(H150&lt;&gt;"",ISNA(MATCH(H150,cmp_transp,0))),AND(I150&lt;&gt;"",ISNA(MATCH(I150,cmp_dest,0))),AND(E150&lt;&gt;"",NOT(ISNUMBER(E150))),AND(F150&lt;&gt;"",NOT(ISNUMBER(F150))),AND(ISNUMBER(E150),ISNUMBER(F150),F150&lt;E150)),1,0))</f>
        <v>0</v>
      </c>
      <c r="AE150" s="96">
        <f>IF(Z150=0,0,IF(OR(B150="",C150="",E150="",G150="",H150="",I150="",N(W150)=0),1,0))</f>
        <v>0</v>
      </c>
      <c r="AF150" s="96">
        <f>IF(Z150=0,0,COUNTIFS('ITENS_MTR'!$S$6:$S$1005,A150,'ITENS_MTR'!$AI$6:$AI$1005,1))</f>
        <v>0</v>
      </c>
      <c r="AG150" s="96">
        <f>IF(Z150=0,0,COUNTIFS('ITENS_MTR'!$S$6:$S$1005,A150,'ITENS_MTR'!$AJ$6:$AJ$1005,1))</f>
        <v>0</v>
      </c>
      <c r="AH150" s="96">
        <f>IF(Z150=0,0,COUNTIFS('ITENS_MTR'!$S$6:$S$1005,A150,'ITENS_MTR'!$AM$6:$AM$1005,1))</f>
        <v>0</v>
      </c>
      <c r="AI150" s="96">
        <f>IF(Z150=0,0,COUNTIFS('ITENS_MTR'!$S$6:$S$1005,A150,'ITENS_MTR'!$AO$6:$AO$1005,1))</f>
        <v>0</v>
      </c>
      <c r="AJ150" s="96">
        <f>IF(Z150=0,0,COUNTIFS('ITENS_MTR'!$S$6:$S$1005,A150,'ITENS_MTR'!$AN$6:$AN$1005,1))</f>
        <v>0</v>
      </c>
      <c r="AK150" s="96">
        <f>IF(Z150=0,0,COUNTIFS('RECEBIMENTOS'!$B$6:$B$1005,A150,'RECEBIMENTOS'!$Y$6:$Y$1005,1))</f>
        <v>0</v>
      </c>
      <c r="AL150" s="96">
        <f>IF(Z150=0,0,COUNTIFS('VÍNCULOS_CDF'!$D$6:$D$1005,A150,'VÍNCULOS_CDF'!$Y$6:$Y$1005,1))</f>
        <v>0</v>
      </c>
      <c r="AM150" s="96">
        <f>IF(Z150=0,0,COUNTIFS('RECEBIMENTOS'!$B$6:$B$1005,A150,'RECEBIMENTOS'!$Q$6:$Q$1005,1))</f>
        <v>0</v>
      </c>
      <c r="AN150" s="96">
        <f>IF(AND(Z150=1,N(W150)&gt;0,AG150=N(W150)),1,0)</f>
        <v>0</v>
      </c>
      <c r="AO150" s="96">
        <f>IF(AND(Z150=1,N(W150)&gt;0,AI150=N(W150)),1,0)</f>
        <v>0</v>
      </c>
      <c r="AP150" s="97">
        <f>IF(Z150=0,0,_xlfn.MAXIFS('RECEBIMENTOS'!$E$6:$E$1005,'RECEBIMENTOS'!$B$6:$B$1005,A150))</f>
        <v>0</v>
      </c>
      <c r="AQ150" s="97" t="str">
        <f>IF(T150="","",IF(T150="RECEBIMENTO NÃO CONFIRMADO",IF(ISNUMBER(F150),F150,IF(ISNUMBER(E150),E150,"")),IF(OR(T150="CDF NÃO LOCALIZADO",T150="VÍNCULO INCOMPLETO",T150="CDF A CONFERIR"),IF(AP150&gt;0,AP150,IF(ISNUMBER(E150),E150,"")),IF(ISNUMBER(E150),E150,""))))</f>
        <v/>
      </c>
      <c r="AR150" s="96">
        <f>IF(NOT(ISNUMBER(U150)),0,IF(T150="RECEBIMENTO NÃO CONFIRMADO",IF(AND(ISNUMBER(cfg_rec),U150&gt;cfg_rec),1,0),IF(OR(T150="CDF NÃO LOCALIZADO",T150="VÍNCULO INCOMPLETO",T150="CDF A CONFERIR"),IF(AND(ISNUMBER(cfg_cdf),U150&gt;cfg_cdf),1,0),0)))</f>
        <v>0</v>
      </c>
      <c r="AS150" s="96" t="str">
        <f>IF(T150="","",IF(AR150=1,"Alta",IFERROR(INDEX(cfg_pp,MATCH(T150,cfg_pt,0))&amp;"","Média")))</f>
        <v/>
      </c>
      <c r="AT150" s="96" t="str">
        <f>IF(T150="","",IFERROR(INDEX(cfg_pv,MATCH(T150,cfg_pt,0))&amp;"",""))</f>
        <v/>
      </c>
      <c r="AU150" s="96" t="str">
        <f>IF(T150="","",IF(AS150="Alta",1,IF(AS150="Média",2,3))*1000000000+(999999-IF(ISNUMBER(U150),MIN(U150,999999),0))*1000+145)</f>
        <v/>
      </c>
      <c r="AV150" s="96">
        <f>IF(T150&lt;&gt;"",1,0)</f>
        <v>0</v>
      </c>
      <c r="AW150" s="96" t="str">
        <f>IF(Z150=0,"",IF(AA150=1,"Cancelamento informado; ","")&amp;IF(AE150=1,"Campos essenciais ou itens faltando; ","")&amp;IF(AC150=1,"Possível duplicidade do número; ","")&amp;IF(AD150=1,"Cadastro ou datas a revisar; ","")&amp;IF(AF150&gt;0,"Item de resíduo com dado a revisar; ","")&amp;IF(AH150&gt;0,"Diferença de quantidade a analisar; ","")&amp;IF(AK150&gt;0,"Recebimento com alerta; ","")&amp;IF(AL150&gt;0,"Vínculo de CDF com alerta; ","")&amp;IF(AND(AA150=0,AN150=0),"Recebimento não confirmado; ","")&amp;IF(AND(AA150=0,AN150=1,AO150=0),"CDF pendente ou a conferir; ",""))</f>
        <v/>
      </c>
      <c r="AX150" s="96">
        <f>IF(Z150=0,0,IF(AND(OR(f_ini="",AND(ISNUMBER(E150),E150&gt;=f_ini)),OR(f_fim="",AND(ISNUMBER(E150),E150&lt;=f_fim)),OR(f_un="",f_un="(Todas)",G150=f_un),OR(f_tr="",f_tr="(Todos)",H150=f_tr),OR(f_de="",f_de="(Todos)",I150=f_de),OR(f_sit="",f_sit="(Todas)",S150=f_sit)),1,0))</f>
        <v>0</v>
      </c>
      <c r="AY150" s="96">
        <f>IF(AX150=0,0,IF(OR(f_res="",f_res="(Todos)"),1,IF(COUNTIFS('ITENS_MTR'!$S$6:$S$1005,A150,'ITENS_MTR'!$C$6:$C$1005,f_res)&gt;0,1,0)))</f>
        <v>0</v>
      </c>
      <c r="AZ150" s="97" t="str">
        <f>IF(ISNUMBER(E150),DATE(YEAR(E150),MONTH(E150),1),"")</f>
        <v/>
      </c>
      <c r="BA150" s="96">
        <f>IF(Z150=0,0,IF(AND(OR(r_ini="",AND(ISNUMBER(E150),E150&gt;=r_ini)),OR(r_fim="",AND(ISNUMBER(E150),E150&lt;=r_fim)),OR(r_un="",r_un="(Todas)",G150=r_un),OR(r_de="",r_de="(Todos)",I150=r_de)),1,0))</f>
        <v>0</v>
      </c>
      <c r="BB150" s="96" t="str">
        <f>IF(BA150=1,COUNTIF($BA$6:BA150,1),"")</f>
        <v/>
      </c>
      <c r="BC150" s="96" t="str">
        <f>IF(AND(AU150&lt;&gt;"",OR(r_un="",r_un="(Todas)",G150=r_un),OR(r_de="",r_de="(Todos)",I150=r_de)),AU150,"")</f>
        <v/>
      </c>
      <c r="BD150" s="96" t="str">
        <f>IF(Z150=1,A150&amp;" | nº "&amp;IF(B150="","(sem número)",B150)&amp;" | "&amp;IF(G150="","(sem unidade)",G150),"")</f>
        <v/>
      </c>
      <c r="BE150" s="96" t="str">
        <f>IF(Z150=1,COUNTIF($Z$6:Z150,1),"")</f>
        <v/>
      </c>
      <c r="BF150" s="96" t="str">
        <f>IF(T150="","",IF(T150="RECEBIMENTO NÃO CONFIRMADO","Transp.: "&amp;H150&amp;" | Dest.: "&amp;I150,IF(OR(T150="CDF NÃO LOCALIZADO",T150="VÍNCULO INCOMPLETO",T150="CDF A CONFERIR"),"Dest.: "&amp;I150,"Gerador: "&amp;G150)))</f>
        <v/>
      </c>
    </row>
    <row r="151">
      <c r="A151" s="89" t="inlineStr">
        <is>
          <t>MTR-000146</t>
        </is>
      </c>
      <c r="B151" s="90" t="n"/>
      <c r="C151" s="91" t="n"/>
      <c r="D151" s="91" t="n"/>
      <c r="E151" s="92" t="n"/>
      <c r="F151" s="92" t="n"/>
      <c r="G151" s="91" t="n"/>
      <c r="H151" s="91" t="n"/>
      <c r="I151" s="91" t="n"/>
      <c r="J151" s="91" t="n"/>
      <c r="K151" s="91" t="n"/>
      <c r="L151" s="92" t="n"/>
      <c r="M151" s="91" t="n"/>
      <c r="N151" s="91" t="n"/>
      <c r="O151" s="91" t="n"/>
      <c r="P151" s="93" t="str">
        <f>IF(Z151=0,"",SUMIFS('ITENS_MTR'!$I$6:$I$1005,'ITENS_MTR'!$S$6:$S$1005,A151,'ITENS_MTR'!$Y$6:$Y$1005,1))</f>
        <v/>
      </c>
      <c r="Q151" s="93" t="str">
        <f>IF(Z151=0,"",SUMIFS('RECEBIMENTOS'!$H$6:$H$1005,'RECEBIMENTOS'!$B$6:$B$1005,A151,'RECEBIMENTOS'!$X$6:$X$1005,1))</f>
        <v/>
      </c>
      <c r="R151" s="93" t="str">
        <f>IF(Z151=0,"",SUMIFS('VÍNCULOS_CDF'!$H$6:$H$1005,'VÍNCULOS_CDF'!$D$6:$D$1005,A151,'VÍNCULOS_CDF'!$V$6:$V$1005,1))</f>
        <v/>
      </c>
      <c r="S151" s="94" t="str">
        <f>IF(Z151=0,"",IF(AA151=1,"Cancelado (informado)",IF(AE151=1,"Cadastro incompleto",IF(OR(AC151=1,AD151=1,AF151&gt;0,AH151&gt;0,AK151&gt;0,AL151&gt;0),"Informação a revisar",IF(AN151=0,"Aguardando recebimento",IF(N(R151)=0,"Aguardando CDF",IF(AJ151&lt;N(W151),"Vínculo de CDF parcial",IF(AO151=0,"CDF localizado, a conferir","Documentação conferida"))))))))</f>
        <v/>
      </c>
      <c r="T151" s="94" t="str">
        <f>IF(Z151=0,"",IF(S151="Cadastro incompleto","MTR INCOMPLETO",IF(S151="Informação a revisar",IF(AND(AH151&gt;0,AC151=0,AD151=0,AF151=0,AK151=0,AL151=0),"QUANTIDADE A REVISAR","IDENTIFICAÇÃO A REVISAR"),IF(S151="Aguardando recebimento","RECEBIMENTO NÃO CONFIRMADO",IF(S151="Aguardando CDF","CDF NÃO LOCALIZADO",IF(S151="Vínculo de CDF parcial","VÍNCULO INCOMPLETO",IF(S151="CDF localizado, a conferir","CDF A CONFERIR","")))))))</f>
        <v/>
      </c>
      <c r="U151" s="95" t="str">
        <f>IF(T151="","",IF(AQ151="","Não calculável",IF(AQ151&gt;TODAY(),"Data futura",TODAY()-AQ151)))</f>
        <v/>
      </c>
      <c r="V151" s="93" t="str">
        <f>IF(Z151=0,"",SUMIFS('RECEBIMENTOS'!$H$6:$H$1005,'RECEBIMENTOS'!$B$6:$B$1005,A151,'RECEBIMENTOS'!$Z$6:$Z$1005,1))</f>
        <v/>
      </c>
      <c r="W151" s="95" t="str">
        <f>IF(Z151=0,"",COUNTIFS('ITENS_MTR'!$S$6:$S$1005,A151,'ITENS_MTR'!$R$6:$R$1005,1))</f>
        <v/>
      </c>
      <c r="X151" s="94" t="str">
        <f>IF(AC151=1,"POSSÍVEL DUPLICIDADE","")</f>
        <v/>
      </c>
      <c r="Y151" s="94" t="str">
        <f>IF(Z151=0,"",IF(AW151="","Nenhuma",LEFT(AW151,LEN(AW151)-2)))</f>
        <v/>
      </c>
      <c r="Z151" s="96">
        <f>IF(COUNTA(B151:O151)&gt;0,1,0)</f>
        <v>0</v>
      </c>
      <c r="AA151" s="96">
        <f>IF(AND(Z151=1,K151&lt;&gt;""),IF(TRIM(K151)=TRIM(cfg_cancel),1,0),0)</f>
        <v>0</v>
      </c>
      <c r="AB151" s="96" t="str">
        <f>IF(AND(Z151=1,B151&lt;&gt;""),C151&amp;"|"&amp;D151&amp;"|"&amp;G151&amp;"|"&amp;TRIM(B151),"")</f>
        <v/>
      </c>
      <c r="AC151" s="96">
        <f>IF(AB151="",0,IF(SUMPRODUCT(--($AB$6:$AB$505=AB151))&gt;1,1,0))</f>
        <v>0</v>
      </c>
      <c r="AD151" s="96">
        <f>IF(Z151=0,0,IF(OR(AND(G151&lt;&gt;"",ISNA(MATCH(G151,'CAD_UNIDADES'!$C$6:$C$105,0))),AND(H151&lt;&gt;"",ISNA(MATCH(H151,cmp_transp,0))),AND(I151&lt;&gt;"",ISNA(MATCH(I151,cmp_dest,0))),AND(E151&lt;&gt;"",NOT(ISNUMBER(E151))),AND(F151&lt;&gt;"",NOT(ISNUMBER(F151))),AND(ISNUMBER(E151),ISNUMBER(F151),F151&lt;E151)),1,0))</f>
        <v>0</v>
      </c>
      <c r="AE151" s="96">
        <f>IF(Z151=0,0,IF(OR(B151="",C151="",E151="",G151="",H151="",I151="",N(W151)=0),1,0))</f>
        <v>0</v>
      </c>
      <c r="AF151" s="96">
        <f>IF(Z151=0,0,COUNTIFS('ITENS_MTR'!$S$6:$S$1005,A151,'ITENS_MTR'!$AI$6:$AI$1005,1))</f>
        <v>0</v>
      </c>
      <c r="AG151" s="96">
        <f>IF(Z151=0,0,COUNTIFS('ITENS_MTR'!$S$6:$S$1005,A151,'ITENS_MTR'!$AJ$6:$AJ$1005,1))</f>
        <v>0</v>
      </c>
      <c r="AH151" s="96">
        <f>IF(Z151=0,0,COUNTIFS('ITENS_MTR'!$S$6:$S$1005,A151,'ITENS_MTR'!$AM$6:$AM$1005,1))</f>
        <v>0</v>
      </c>
      <c r="AI151" s="96">
        <f>IF(Z151=0,0,COUNTIFS('ITENS_MTR'!$S$6:$S$1005,A151,'ITENS_MTR'!$AO$6:$AO$1005,1))</f>
        <v>0</v>
      </c>
      <c r="AJ151" s="96">
        <f>IF(Z151=0,0,COUNTIFS('ITENS_MTR'!$S$6:$S$1005,A151,'ITENS_MTR'!$AN$6:$AN$1005,1))</f>
        <v>0</v>
      </c>
      <c r="AK151" s="96">
        <f>IF(Z151=0,0,COUNTIFS('RECEBIMENTOS'!$B$6:$B$1005,A151,'RECEBIMENTOS'!$Y$6:$Y$1005,1))</f>
        <v>0</v>
      </c>
      <c r="AL151" s="96">
        <f>IF(Z151=0,0,COUNTIFS('VÍNCULOS_CDF'!$D$6:$D$1005,A151,'VÍNCULOS_CDF'!$Y$6:$Y$1005,1))</f>
        <v>0</v>
      </c>
      <c r="AM151" s="96">
        <f>IF(Z151=0,0,COUNTIFS('RECEBIMENTOS'!$B$6:$B$1005,A151,'RECEBIMENTOS'!$Q$6:$Q$1005,1))</f>
        <v>0</v>
      </c>
      <c r="AN151" s="96">
        <f>IF(AND(Z151=1,N(W151)&gt;0,AG151=N(W151)),1,0)</f>
        <v>0</v>
      </c>
      <c r="AO151" s="96">
        <f>IF(AND(Z151=1,N(W151)&gt;0,AI151=N(W151)),1,0)</f>
        <v>0</v>
      </c>
      <c r="AP151" s="97">
        <f>IF(Z151=0,0,_xlfn.MAXIFS('RECEBIMENTOS'!$E$6:$E$1005,'RECEBIMENTOS'!$B$6:$B$1005,A151))</f>
        <v>0</v>
      </c>
      <c r="AQ151" s="97" t="str">
        <f>IF(T151="","",IF(T151="RECEBIMENTO NÃO CONFIRMADO",IF(ISNUMBER(F151),F151,IF(ISNUMBER(E151),E151,"")),IF(OR(T151="CDF NÃO LOCALIZADO",T151="VÍNCULO INCOMPLETO",T151="CDF A CONFERIR"),IF(AP151&gt;0,AP151,IF(ISNUMBER(E151),E151,"")),IF(ISNUMBER(E151),E151,""))))</f>
        <v/>
      </c>
      <c r="AR151" s="96">
        <f>IF(NOT(ISNUMBER(U151)),0,IF(T151="RECEBIMENTO NÃO CONFIRMADO",IF(AND(ISNUMBER(cfg_rec),U151&gt;cfg_rec),1,0),IF(OR(T151="CDF NÃO LOCALIZADO",T151="VÍNCULO INCOMPLETO",T151="CDF A CONFERIR"),IF(AND(ISNUMBER(cfg_cdf),U151&gt;cfg_cdf),1,0),0)))</f>
        <v>0</v>
      </c>
      <c r="AS151" s="96" t="str">
        <f>IF(T151="","",IF(AR151=1,"Alta",IFERROR(INDEX(cfg_pp,MATCH(T151,cfg_pt,0))&amp;"","Média")))</f>
        <v/>
      </c>
      <c r="AT151" s="96" t="str">
        <f>IF(T151="","",IFERROR(INDEX(cfg_pv,MATCH(T151,cfg_pt,0))&amp;"",""))</f>
        <v/>
      </c>
      <c r="AU151" s="96" t="str">
        <f>IF(T151="","",IF(AS151="Alta",1,IF(AS151="Média",2,3))*1000000000+(999999-IF(ISNUMBER(U151),MIN(U151,999999),0))*1000+146)</f>
        <v/>
      </c>
      <c r="AV151" s="96">
        <f>IF(T151&lt;&gt;"",1,0)</f>
        <v>0</v>
      </c>
      <c r="AW151" s="96" t="str">
        <f>IF(Z151=0,"",IF(AA151=1,"Cancelamento informado; ","")&amp;IF(AE151=1,"Campos essenciais ou itens faltando; ","")&amp;IF(AC151=1,"Possível duplicidade do número; ","")&amp;IF(AD151=1,"Cadastro ou datas a revisar; ","")&amp;IF(AF151&gt;0,"Item de resíduo com dado a revisar; ","")&amp;IF(AH151&gt;0,"Diferença de quantidade a analisar; ","")&amp;IF(AK151&gt;0,"Recebimento com alerta; ","")&amp;IF(AL151&gt;0,"Vínculo de CDF com alerta; ","")&amp;IF(AND(AA151=0,AN151=0),"Recebimento não confirmado; ","")&amp;IF(AND(AA151=0,AN151=1,AO151=0),"CDF pendente ou a conferir; ",""))</f>
        <v/>
      </c>
      <c r="AX151" s="96">
        <f>IF(Z151=0,0,IF(AND(OR(f_ini="",AND(ISNUMBER(E151),E151&gt;=f_ini)),OR(f_fim="",AND(ISNUMBER(E151),E151&lt;=f_fim)),OR(f_un="",f_un="(Todas)",G151=f_un),OR(f_tr="",f_tr="(Todos)",H151=f_tr),OR(f_de="",f_de="(Todos)",I151=f_de),OR(f_sit="",f_sit="(Todas)",S151=f_sit)),1,0))</f>
        <v>0</v>
      </c>
      <c r="AY151" s="96">
        <f>IF(AX151=0,0,IF(OR(f_res="",f_res="(Todos)"),1,IF(COUNTIFS('ITENS_MTR'!$S$6:$S$1005,A151,'ITENS_MTR'!$C$6:$C$1005,f_res)&gt;0,1,0)))</f>
        <v>0</v>
      </c>
      <c r="AZ151" s="97" t="str">
        <f>IF(ISNUMBER(E151),DATE(YEAR(E151),MONTH(E151),1),"")</f>
        <v/>
      </c>
      <c r="BA151" s="96">
        <f>IF(Z151=0,0,IF(AND(OR(r_ini="",AND(ISNUMBER(E151),E151&gt;=r_ini)),OR(r_fim="",AND(ISNUMBER(E151),E151&lt;=r_fim)),OR(r_un="",r_un="(Todas)",G151=r_un),OR(r_de="",r_de="(Todos)",I151=r_de)),1,0))</f>
        <v>0</v>
      </c>
      <c r="BB151" s="96" t="str">
        <f>IF(BA151=1,COUNTIF($BA$6:BA151,1),"")</f>
        <v/>
      </c>
      <c r="BC151" s="96" t="str">
        <f>IF(AND(AU151&lt;&gt;"",OR(r_un="",r_un="(Todas)",G151=r_un),OR(r_de="",r_de="(Todos)",I151=r_de)),AU151,"")</f>
        <v/>
      </c>
      <c r="BD151" s="96" t="str">
        <f>IF(Z151=1,A151&amp;" | nº "&amp;IF(B151="","(sem número)",B151)&amp;" | "&amp;IF(G151="","(sem unidade)",G151),"")</f>
        <v/>
      </c>
      <c r="BE151" s="96" t="str">
        <f>IF(Z151=1,COUNTIF($Z$6:Z151,1),"")</f>
        <v/>
      </c>
      <c r="BF151" s="96" t="str">
        <f>IF(T151="","",IF(T151="RECEBIMENTO NÃO CONFIRMADO","Transp.: "&amp;H151&amp;" | Dest.: "&amp;I151,IF(OR(T151="CDF NÃO LOCALIZADO",T151="VÍNCULO INCOMPLETO",T151="CDF A CONFERIR"),"Dest.: "&amp;I151,"Gerador: "&amp;G151)))</f>
        <v/>
      </c>
    </row>
    <row r="152">
      <c r="A152" s="89" t="inlineStr">
        <is>
          <t>MTR-000147</t>
        </is>
      </c>
      <c r="B152" s="90" t="n"/>
      <c r="C152" s="91" t="n"/>
      <c r="D152" s="91" t="n"/>
      <c r="E152" s="92" t="n"/>
      <c r="F152" s="92" t="n"/>
      <c r="G152" s="91" t="n"/>
      <c r="H152" s="91" t="n"/>
      <c r="I152" s="91" t="n"/>
      <c r="J152" s="91" t="n"/>
      <c r="K152" s="91" t="n"/>
      <c r="L152" s="92" t="n"/>
      <c r="M152" s="91" t="n"/>
      <c r="N152" s="91" t="n"/>
      <c r="O152" s="91" t="n"/>
      <c r="P152" s="93" t="str">
        <f>IF(Z152=0,"",SUMIFS('ITENS_MTR'!$I$6:$I$1005,'ITENS_MTR'!$S$6:$S$1005,A152,'ITENS_MTR'!$Y$6:$Y$1005,1))</f>
        <v/>
      </c>
      <c r="Q152" s="93" t="str">
        <f>IF(Z152=0,"",SUMIFS('RECEBIMENTOS'!$H$6:$H$1005,'RECEBIMENTOS'!$B$6:$B$1005,A152,'RECEBIMENTOS'!$X$6:$X$1005,1))</f>
        <v/>
      </c>
      <c r="R152" s="93" t="str">
        <f>IF(Z152=0,"",SUMIFS('VÍNCULOS_CDF'!$H$6:$H$1005,'VÍNCULOS_CDF'!$D$6:$D$1005,A152,'VÍNCULOS_CDF'!$V$6:$V$1005,1))</f>
        <v/>
      </c>
      <c r="S152" s="94" t="str">
        <f>IF(Z152=0,"",IF(AA152=1,"Cancelado (informado)",IF(AE152=1,"Cadastro incompleto",IF(OR(AC152=1,AD152=1,AF152&gt;0,AH152&gt;0,AK152&gt;0,AL152&gt;0),"Informação a revisar",IF(AN152=0,"Aguardando recebimento",IF(N(R152)=0,"Aguardando CDF",IF(AJ152&lt;N(W152),"Vínculo de CDF parcial",IF(AO152=0,"CDF localizado, a conferir","Documentação conferida"))))))))</f>
        <v/>
      </c>
      <c r="T152" s="94" t="str">
        <f>IF(Z152=0,"",IF(S152="Cadastro incompleto","MTR INCOMPLETO",IF(S152="Informação a revisar",IF(AND(AH152&gt;0,AC152=0,AD152=0,AF152=0,AK152=0,AL152=0),"QUANTIDADE A REVISAR","IDENTIFICAÇÃO A REVISAR"),IF(S152="Aguardando recebimento","RECEBIMENTO NÃO CONFIRMADO",IF(S152="Aguardando CDF","CDF NÃO LOCALIZADO",IF(S152="Vínculo de CDF parcial","VÍNCULO INCOMPLETO",IF(S152="CDF localizado, a conferir","CDF A CONFERIR","")))))))</f>
        <v/>
      </c>
      <c r="U152" s="95" t="str">
        <f>IF(T152="","",IF(AQ152="","Não calculável",IF(AQ152&gt;TODAY(),"Data futura",TODAY()-AQ152)))</f>
        <v/>
      </c>
      <c r="V152" s="93" t="str">
        <f>IF(Z152=0,"",SUMIFS('RECEBIMENTOS'!$H$6:$H$1005,'RECEBIMENTOS'!$B$6:$B$1005,A152,'RECEBIMENTOS'!$Z$6:$Z$1005,1))</f>
        <v/>
      </c>
      <c r="W152" s="95" t="str">
        <f>IF(Z152=0,"",COUNTIFS('ITENS_MTR'!$S$6:$S$1005,A152,'ITENS_MTR'!$R$6:$R$1005,1))</f>
        <v/>
      </c>
      <c r="X152" s="94" t="str">
        <f>IF(AC152=1,"POSSÍVEL DUPLICIDADE","")</f>
        <v/>
      </c>
      <c r="Y152" s="94" t="str">
        <f>IF(Z152=0,"",IF(AW152="","Nenhuma",LEFT(AW152,LEN(AW152)-2)))</f>
        <v/>
      </c>
      <c r="Z152" s="96">
        <f>IF(COUNTA(B152:O152)&gt;0,1,0)</f>
        <v>0</v>
      </c>
      <c r="AA152" s="96">
        <f>IF(AND(Z152=1,K152&lt;&gt;""),IF(TRIM(K152)=TRIM(cfg_cancel),1,0),0)</f>
        <v>0</v>
      </c>
      <c r="AB152" s="96" t="str">
        <f>IF(AND(Z152=1,B152&lt;&gt;""),C152&amp;"|"&amp;D152&amp;"|"&amp;G152&amp;"|"&amp;TRIM(B152),"")</f>
        <v/>
      </c>
      <c r="AC152" s="96">
        <f>IF(AB152="",0,IF(SUMPRODUCT(--($AB$6:$AB$505=AB152))&gt;1,1,0))</f>
        <v>0</v>
      </c>
      <c r="AD152" s="96">
        <f>IF(Z152=0,0,IF(OR(AND(G152&lt;&gt;"",ISNA(MATCH(G152,'CAD_UNIDADES'!$C$6:$C$105,0))),AND(H152&lt;&gt;"",ISNA(MATCH(H152,cmp_transp,0))),AND(I152&lt;&gt;"",ISNA(MATCH(I152,cmp_dest,0))),AND(E152&lt;&gt;"",NOT(ISNUMBER(E152))),AND(F152&lt;&gt;"",NOT(ISNUMBER(F152))),AND(ISNUMBER(E152),ISNUMBER(F152),F152&lt;E152)),1,0))</f>
        <v>0</v>
      </c>
      <c r="AE152" s="96">
        <f>IF(Z152=0,0,IF(OR(B152="",C152="",E152="",G152="",H152="",I152="",N(W152)=0),1,0))</f>
        <v>0</v>
      </c>
      <c r="AF152" s="96">
        <f>IF(Z152=0,0,COUNTIFS('ITENS_MTR'!$S$6:$S$1005,A152,'ITENS_MTR'!$AI$6:$AI$1005,1))</f>
        <v>0</v>
      </c>
      <c r="AG152" s="96">
        <f>IF(Z152=0,0,COUNTIFS('ITENS_MTR'!$S$6:$S$1005,A152,'ITENS_MTR'!$AJ$6:$AJ$1005,1))</f>
        <v>0</v>
      </c>
      <c r="AH152" s="96">
        <f>IF(Z152=0,0,COUNTIFS('ITENS_MTR'!$S$6:$S$1005,A152,'ITENS_MTR'!$AM$6:$AM$1005,1))</f>
        <v>0</v>
      </c>
      <c r="AI152" s="96">
        <f>IF(Z152=0,0,COUNTIFS('ITENS_MTR'!$S$6:$S$1005,A152,'ITENS_MTR'!$AO$6:$AO$1005,1))</f>
        <v>0</v>
      </c>
      <c r="AJ152" s="96">
        <f>IF(Z152=0,0,COUNTIFS('ITENS_MTR'!$S$6:$S$1005,A152,'ITENS_MTR'!$AN$6:$AN$1005,1))</f>
        <v>0</v>
      </c>
      <c r="AK152" s="96">
        <f>IF(Z152=0,0,COUNTIFS('RECEBIMENTOS'!$B$6:$B$1005,A152,'RECEBIMENTOS'!$Y$6:$Y$1005,1))</f>
        <v>0</v>
      </c>
      <c r="AL152" s="96">
        <f>IF(Z152=0,0,COUNTIFS('VÍNCULOS_CDF'!$D$6:$D$1005,A152,'VÍNCULOS_CDF'!$Y$6:$Y$1005,1))</f>
        <v>0</v>
      </c>
      <c r="AM152" s="96">
        <f>IF(Z152=0,0,COUNTIFS('RECEBIMENTOS'!$B$6:$B$1005,A152,'RECEBIMENTOS'!$Q$6:$Q$1005,1))</f>
        <v>0</v>
      </c>
      <c r="AN152" s="96">
        <f>IF(AND(Z152=1,N(W152)&gt;0,AG152=N(W152)),1,0)</f>
        <v>0</v>
      </c>
      <c r="AO152" s="96">
        <f>IF(AND(Z152=1,N(W152)&gt;0,AI152=N(W152)),1,0)</f>
        <v>0</v>
      </c>
      <c r="AP152" s="97">
        <f>IF(Z152=0,0,_xlfn.MAXIFS('RECEBIMENTOS'!$E$6:$E$1005,'RECEBIMENTOS'!$B$6:$B$1005,A152))</f>
        <v>0</v>
      </c>
      <c r="AQ152" s="97" t="str">
        <f>IF(T152="","",IF(T152="RECEBIMENTO NÃO CONFIRMADO",IF(ISNUMBER(F152),F152,IF(ISNUMBER(E152),E152,"")),IF(OR(T152="CDF NÃO LOCALIZADO",T152="VÍNCULO INCOMPLETO",T152="CDF A CONFERIR"),IF(AP152&gt;0,AP152,IF(ISNUMBER(E152),E152,"")),IF(ISNUMBER(E152),E152,""))))</f>
        <v/>
      </c>
      <c r="AR152" s="96">
        <f>IF(NOT(ISNUMBER(U152)),0,IF(T152="RECEBIMENTO NÃO CONFIRMADO",IF(AND(ISNUMBER(cfg_rec),U152&gt;cfg_rec),1,0),IF(OR(T152="CDF NÃO LOCALIZADO",T152="VÍNCULO INCOMPLETO",T152="CDF A CONFERIR"),IF(AND(ISNUMBER(cfg_cdf),U152&gt;cfg_cdf),1,0),0)))</f>
        <v>0</v>
      </c>
      <c r="AS152" s="96" t="str">
        <f>IF(T152="","",IF(AR152=1,"Alta",IFERROR(INDEX(cfg_pp,MATCH(T152,cfg_pt,0))&amp;"","Média")))</f>
        <v/>
      </c>
      <c r="AT152" s="96" t="str">
        <f>IF(T152="","",IFERROR(INDEX(cfg_pv,MATCH(T152,cfg_pt,0))&amp;"",""))</f>
        <v/>
      </c>
      <c r="AU152" s="96" t="str">
        <f>IF(T152="","",IF(AS152="Alta",1,IF(AS152="Média",2,3))*1000000000+(999999-IF(ISNUMBER(U152),MIN(U152,999999),0))*1000+147)</f>
        <v/>
      </c>
      <c r="AV152" s="96">
        <f>IF(T152&lt;&gt;"",1,0)</f>
        <v>0</v>
      </c>
      <c r="AW152" s="96" t="str">
        <f>IF(Z152=0,"",IF(AA152=1,"Cancelamento informado; ","")&amp;IF(AE152=1,"Campos essenciais ou itens faltando; ","")&amp;IF(AC152=1,"Possível duplicidade do número; ","")&amp;IF(AD152=1,"Cadastro ou datas a revisar; ","")&amp;IF(AF152&gt;0,"Item de resíduo com dado a revisar; ","")&amp;IF(AH152&gt;0,"Diferença de quantidade a analisar; ","")&amp;IF(AK152&gt;0,"Recebimento com alerta; ","")&amp;IF(AL152&gt;0,"Vínculo de CDF com alerta; ","")&amp;IF(AND(AA152=0,AN152=0),"Recebimento não confirmado; ","")&amp;IF(AND(AA152=0,AN152=1,AO152=0),"CDF pendente ou a conferir; ",""))</f>
        <v/>
      </c>
      <c r="AX152" s="96">
        <f>IF(Z152=0,0,IF(AND(OR(f_ini="",AND(ISNUMBER(E152),E152&gt;=f_ini)),OR(f_fim="",AND(ISNUMBER(E152),E152&lt;=f_fim)),OR(f_un="",f_un="(Todas)",G152=f_un),OR(f_tr="",f_tr="(Todos)",H152=f_tr),OR(f_de="",f_de="(Todos)",I152=f_de),OR(f_sit="",f_sit="(Todas)",S152=f_sit)),1,0))</f>
        <v>0</v>
      </c>
      <c r="AY152" s="96">
        <f>IF(AX152=0,0,IF(OR(f_res="",f_res="(Todos)"),1,IF(COUNTIFS('ITENS_MTR'!$S$6:$S$1005,A152,'ITENS_MTR'!$C$6:$C$1005,f_res)&gt;0,1,0)))</f>
        <v>0</v>
      </c>
      <c r="AZ152" s="97" t="str">
        <f>IF(ISNUMBER(E152),DATE(YEAR(E152),MONTH(E152),1),"")</f>
        <v/>
      </c>
      <c r="BA152" s="96">
        <f>IF(Z152=0,0,IF(AND(OR(r_ini="",AND(ISNUMBER(E152),E152&gt;=r_ini)),OR(r_fim="",AND(ISNUMBER(E152),E152&lt;=r_fim)),OR(r_un="",r_un="(Todas)",G152=r_un),OR(r_de="",r_de="(Todos)",I152=r_de)),1,0))</f>
        <v>0</v>
      </c>
      <c r="BB152" s="96" t="str">
        <f>IF(BA152=1,COUNTIF($BA$6:BA152,1),"")</f>
        <v/>
      </c>
      <c r="BC152" s="96" t="str">
        <f>IF(AND(AU152&lt;&gt;"",OR(r_un="",r_un="(Todas)",G152=r_un),OR(r_de="",r_de="(Todos)",I152=r_de)),AU152,"")</f>
        <v/>
      </c>
      <c r="BD152" s="96" t="str">
        <f>IF(Z152=1,A152&amp;" | nº "&amp;IF(B152="","(sem número)",B152)&amp;" | "&amp;IF(G152="","(sem unidade)",G152),"")</f>
        <v/>
      </c>
      <c r="BE152" s="96" t="str">
        <f>IF(Z152=1,COUNTIF($Z$6:Z152,1),"")</f>
        <v/>
      </c>
      <c r="BF152" s="96" t="str">
        <f>IF(T152="","",IF(T152="RECEBIMENTO NÃO CONFIRMADO","Transp.: "&amp;H152&amp;" | Dest.: "&amp;I152,IF(OR(T152="CDF NÃO LOCALIZADO",T152="VÍNCULO INCOMPLETO",T152="CDF A CONFERIR"),"Dest.: "&amp;I152,"Gerador: "&amp;G152)))</f>
        <v/>
      </c>
    </row>
    <row r="153">
      <c r="A153" s="89" t="inlineStr">
        <is>
          <t>MTR-000148</t>
        </is>
      </c>
      <c r="B153" s="90" t="n"/>
      <c r="C153" s="91" t="n"/>
      <c r="D153" s="91" t="n"/>
      <c r="E153" s="92" t="n"/>
      <c r="F153" s="92" t="n"/>
      <c r="G153" s="91" t="n"/>
      <c r="H153" s="91" t="n"/>
      <c r="I153" s="91" t="n"/>
      <c r="J153" s="91" t="n"/>
      <c r="K153" s="91" t="n"/>
      <c r="L153" s="92" t="n"/>
      <c r="M153" s="91" t="n"/>
      <c r="N153" s="91" t="n"/>
      <c r="O153" s="91" t="n"/>
      <c r="P153" s="93" t="str">
        <f>IF(Z153=0,"",SUMIFS('ITENS_MTR'!$I$6:$I$1005,'ITENS_MTR'!$S$6:$S$1005,A153,'ITENS_MTR'!$Y$6:$Y$1005,1))</f>
        <v/>
      </c>
      <c r="Q153" s="93" t="str">
        <f>IF(Z153=0,"",SUMIFS('RECEBIMENTOS'!$H$6:$H$1005,'RECEBIMENTOS'!$B$6:$B$1005,A153,'RECEBIMENTOS'!$X$6:$X$1005,1))</f>
        <v/>
      </c>
      <c r="R153" s="93" t="str">
        <f>IF(Z153=0,"",SUMIFS('VÍNCULOS_CDF'!$H$6:$H$1005,'VÍNCULOS_CDF'!$D$6:$D$1005,A153,'VÍNCULOS_CDF'!$V$6:$V$1005,1))</f>
        <v/>
      </c>
      <c r="S153" s="94" t="str">
        <f>IF(Z153=0,"",IF(AA153=1,"Cancelado (informado)",IF(AE153=1,"Cadastro incompleto",IF(OR(AC153=1,AD153=1,AF153&gt;0,AH153&gt;0,AK153&gt;0,AL153&gt;0),"Informação a revisar",IF(AN153=0,"Aguardando recebimento",IF(N(R153)=0,"Aguardando CDF",IF(AJ153&lt;N(W153),"Vínculo de CDF parcial",IF(AO153=0,"CDF localizado, a conferir","Documentação conferida"))))))))</f>
        <v/>
      </c>
      <c r="T153" s="94" t="str">
        <f>IF(Z153=0,"",IF(S153="Cadastro incompleto","MTR INCOMPLETO",IF(S153="Informação a revisar",IF(AND(AH153&gt;0,AC153=0,AD153=0,AF153=0,AK153=0,AL153=0),"QUANTIDADE A REVISAR","IDENTIFICAÇÃO A REVISAR"),IF(S153="Aguardando recebimento","RECEBIMENTO NÃO CONFIRMADO",IF(S153="Aguardando CDF","CDF NÃO LOCALIZADO",IF(S153="Vínculo de CDF parcial","VÍNCULO INCOMPLETO",IF(S153="CDF localizado, a conferir","CDF A CONFERIR","")))))))</f>
        <v/>
      </c>
      <c r="U153" s="95" t="str">
        <f>IF(T153="","",IF(AQ153="","Não calculável",IF(AQ153&gt;TODAY(),"Data futura",TODAY()-AQ153)))</f>
        <v/>
      </c>
      <c r="V153" s="93" t="str">
        <f>IF(Z153=0,"",SUMIFS('RECEBIMENTOS'!$H$6:$H$1005,'RECEBIMENTOS'!$B$6:$B$1005,A153,'RECEBIMENTOS'!$Z$6:$Z$1005,1))</f>
        <v/>
      </c>
      <c r="W153" s="95" t="str">
        <f>IF(Z153=0,"",COUNTIFS('ITENS_MTR'!$S$6:$S$1005,A153,'ITENS_MTR'!$R$6:$R$1005,1))</f>
        <v/>
      </c>
      <c r="X153" s="94" t="str">
        <f>IF(AC153=1,"POSSÍVEL DUPLICIDADE","")</f>
        <v/>
      </c>
      <c r="Y153" s="94" t="str">
        <f>IF(Z153=0,"",IF(AW153="","Nenhuma",LEFT(AW153,LEN(AW153)-2)))</f>
        <v/>
      </c>
      <c r="Z153" s="96">
        <f>IF(COUNTA(B153:O153)&gt;0,1,0)</f>
        <v>0</v>
      </c>
      <c r="AA153" s="96">
        <f>IF(AND(Z153=1,K153&lt;&gt;""),IF(TRIM(K153)=TRIM(cfg_cancel),1,0),0)</f>
        <v>0</v>
      </c>
      <c r="AB153" s="96" t="str">
        <f>IF(AND(Z153=1,B153&lt;&gt;""),C153&amp;"|"&amp;D153&amp;"|"&amp;G153&amp;"|"&amp;TRIM(B153),"")</f>
        <v/>
      </c>
      <c r="AC153" s="96">
        <f>IF(AB153="",0,IF(SUMPRODUCT(--($AB$6:$AB$505=AB153))&gt;1,1,0))</f>
        <v>0</v>
      </c>
      <c r="AD153" s="96">
        <f>IF(Z153=0,0,IF(OR(AND(G153&lt;&gt;"",ISNA(MATCH(G153,'CAD_UNIDADES'!$C$6:$C$105,0))),AND(H153&lt;&gt;"",ISNA(MATCH(H153,cmp_transp,0))),AND(I153&lt;&gt;"",ISNA(MATCH(I153,cmp_dest,0))),AND(E153&lt;&gt;"",NOT(ISNUMBER(E153))),AND(F153&lt;&gt;"",NOT(ISNUMBER(F153))),AND(ISNUMBER(E153),ISNUMBER(F153),F153&lt;E153)),1,0))</f>
        <v>0</v>
      </c>
      <c r="AE153" s="96">
        <f>IF(Z153=0,0,IF(OR(B153="",C153="",E153="",G153="",H153="",I153="",N(W153)=0),1,0))</f>
        <v>0</v>
      </c>
      <c r="AF153" s="96">
        <f>IF(Z153=0,0,COUNTIFS('ITENS_MTR'!$S$6:$S$1005,A153,'ITENS_MTR'!$AI$6:$AI$1005,1))</f>
        <v>0</v>
      </c>
      <c r="AG153" s="96">
        <f>IF(Z153=0,0,COUNTIFS('ITENS_MTR'!$S$6:$S$1005,A153,'ITENS_MTR'!$AJ$6:$AJ$1005,1))</f>
        <v>0</v>
      </c>
      <c r="AH153" s="96">
        <f>IF(Z153=0,0,COUNTIFS('ITENS_MTR'!$S$6:$S$1005,A153,'ITENS_MTR'!$AM$6:$AM$1005,1))</f>
        <v>0</v>
      </c>
      <c r="AI153" s="96">
        <f>IF(Z153=0,0,COUNTIFS('ITENS_MTR'!$S$6:$S$1005,A153,'ITENS_MTR'!$AO$6:$AO$1005,1))</f>
        <v>0</v>
      </c>
      <c r="AJ153" s="96">
        <f>IF(Z153=0,0,COUNTIFS('ITENS_MTR'!$S$6:$S$1005,A153,'ITENS_MTR'!$AN$6:$AN$1005,1))</f>
        <v>0</v>
      </c>
      <c r="AK153" s="96">
        <f>IF(Z153=0,0,COUNTIFS('RECEBIMENTOS'!$B$6:$B$1005,A153,'RECEBIMENTOS'!$Y$6:$Y$1005,1))</f>
        <v>0</v>
      </c>
      <c r="AL153" s="96">
        <f>IF(Z153=0,0,COUNTIFS('VÍNCULOS_CDF'!$D$6:$D$1005,A153,'VÍNCULOS_CDF'!$Y$6:$Y$1005,1))</f>
        <v>0</v>
      </c>
      <c r="AM153" s="96">
        <f>IF(Z153=0,0,COUNTIFS('RECEBIMENTOS'!$B$6:$B$1005,A153,'RECEBIMENTOS'!$Q$6:$Q$1005,1))</f>
        <v>0</v>
      </c>
      <c r="AN153" s="96">
        <f>IF(AND(Z153=1,N(W153)&gt;0,AG153=N(W153)),1,0)</f>
        <v>0</v>
      </c>
      <c r="AO153" s="96">
        <f>IF(AND(Z153=1,N(W153)&gt;0,AI153=N(W153)),1,0)</f>
        <v>0</v>
      </c>
      <c r="AP153" s="97">
        <f>IF(Z153=0,0,_xlfn.MAXIFS('RECEBIMENTOS'!$E$6:$E$1005,'RECEBIMENTOS'!$B$6:$B$1005,A153))</f>
        <v>0</v>
      </c>
      <c r="AQ153" s="97" t="str">
        <f>IF(T153="","",IF(T153="RECEBIMENTO NÃO CONFIRMADO",IF(ISNUMBER(F153),F153,IF(ISNUMBER(E153),E153,"")),IF(OR(T153="CDF NÃO LOCALIZADO",T153="VÍNCULO INCOMPLETO",T153="CDF A CONFERIR"),IF(AP153&gt;0,AP153,IF(ISNUMBER(E153),E153,"")),IF(ISNUMBER(E153),E153,""))))</f>
        <v/>
      </c>
      <c r="AR153" s="96">
        <f>IF(NOT(ISNUMBER(U153)),0,IF(T153="RECEBIMENTO NÃO CONFIRMADO",IF(AND(ISNUMBER(cfg_rec),U153&gt;cfg_rec),1,0),IF(OR(T153="CDF NÃO LOCALIZADO",T153="VÍNCULO INCOMPLETO",T153="CDF A CONFERIR"),IF(AND(ISNUMBER(cfg_cdf),U153&gt;cfg_cdf),1,0),0)))</f>
        <v>0</v>
      </c>
      <c r="AS153" s="96" t="str">
        <f>IF(T153="","",IF(AR153=1,"Alta",IFERROR(INDEX(cfg_pp,MATCH(T153,cfg_pt,0))&amp;"","Média")))</f>
        <v/>
      </c>
      <c r="AT153" s="96" t="str">
        <f>IF(T153="","",IFERROR(INDEX(cfg_pv,MATCH(T153,cfg_pt,0))&amp;"",""))</f>
        <v/>
      </c>
      <c r="AU153" s="96" t="str">
        <f>IF(T153="","",IF(AS153="Alta",1,IF(AS153="Média",2,3))*1000000000+(999999-IF(ISNUMBER(U153),MIN(U153,999999),0))*1000+148)</f>
        <v/>
      </c>
      <c r="AV153" s="96">
        <f>IF(T153&lt;&gt;"",1,0)</f>
        <v>0</v>
      </c>
      <c r="AW153" s="96" t="str">
        <f>IF(Z153=0,"",IF(AA153=1,"Cancelamento informado; ","")&amp;IF(AE153=1,"Campos essenciais ou itens faltando; ","")&amp;IF(AC153=1,"Possível duplicidade do número; ","")&amp;IF(AD153=1,"Cadastro ou datas a revisar; ","")&amp;IF(AF153&gt;0,"Item de resíduo com dado a revisar; ","")&amp;IF(AH153&gt;0,"Diferença de quantidade a analisar; ","")&amp;IF(AK153&gt;0,"Recebimento com alerta; ","")&amp;IF(AL153&gt;0,"Vínculo de CDF com alerta; ","")&amp;IF(AND(AA153=0,AN153=0),"Recebimento não confirmado; ","")&amp;IF(AND(AA153=0,AN153=1,AO153=0),"CDF pendente ou a conferir; ",""))</f>
        <v/>
      </c>
      <c r="AX153" s="96">
        <f>IF(Z153=0,0,IF(AND(OR(f_ini="",AND(ISNUMBER(E153),E153&gt;=f_ini)),OR(f_fim="",AND(ISNUMBER(E153),E153&lt;=f_fim)),OR(f_un="",f_un="(Todas)",G153=f_un),OR(f_tr="",f_tr="(Todos)",H153=f_tr),OR(f_de="",f_de="(Todos)",I153=f_de),OR(f_sit="",f_sit="(Todas)",S153=f_sit)),1,0))</f>
        <v>0</v>
      </c>
      <c r="AY153" s="96">
        <f>IF(AX153=0,0,IF(OR(f_res="",f_res="(Todos)"),1,IF(COUNTIFS('ITENS_MTR'!$S$6:$S$1005,A153,'ITENS_MTR'!$C$6:$C$1005,f_res)&gt;0,1,0)))</f>
        <v>0</v>
      </c>
      <c r="AZ153" s="97" t="str">
        <f>IF(ISNUMBER(E153),DATE(YEAR(E153),MONTH(E153),1),"")</f>
        <v/>
      </c>
      <c r="BA153" s="96">
        <f>IF(Z153=0,0,IF(AND(OR(r_ini="",AND(ISNUMBER(E153),E153&gt;=r_ini)),OR(r_fim="",AND(ISNUMBER(E153),E153&lt;=r_fim)),OR(r_un="",r_un="(Todas)",G153=r_un),OR(r_de="",r_de="(Todos)",I153=r_de)),1,0))</f>
        <v>0</v>
      </c>
      <c r="BB153" s="96" t="str">
        <f>IF(BA153=1,COUNTIF($BA$6:BA153,1),"")</f>
        <v/>
      </c>
      <c r="BC153" s="96" t="str">
        <f>IF(AND(AU153&lt;&gt;"",OR(r_un="",r_un="(Todas)",G153=r_un),OR(r_de="",r_de="(Todos)",I153=r_de)),AU153,"")</f>
        <v/>
      </c>
      <c r="BD153" s="96" t="str">
        <f>IF(Z153=1,A153&amp;" | nº "&amp;IF(B153="","(sem número)",B153)&amp;" | "&amp;IF(G153="","(sem unidade)",G153),"")</f>
        <v/>
      </c>
      <c r="BE153" s="96" t="str">
        <f>IF(Z153=1,COUNTIF($Z$6:Z153,1),"")</f>
        <v/>
      </c>
      <c r="BF153" s="96" t="str">
        <f>IF(T153="","",IF(T153="RECEBIMENTO NÃO CONFIRMADO","Transp.: "&amp;H153&amp;" | Dest.: "&amp;I153,IF(OR(T153="CDF NÃO LOCALIZADO",T153="VÍNCULO INCOMPLETO",T153="CDF A CONFERIR"),"Dest.: "&amp;I153,"Gerador: "&amp;G153)))</f>
        <v/>
      </c>
    </row>
    <row r="154">
      <c r="A154" s="89" t="inlineStr">
        <is>
          <t>MTR-000149</t>
        </is>
      </c>
      <c r="B154" s="90" t="n"/>
      <c r="C154" s="91" t="n"/>
      <c r="D154" s="91" t="n"/>
      <c r="E154" s="92" t="n"/>
      <c r="F154" s="92" t="n"/>
      <c r="G154" s="91" t="n"/>
      <c r="H154" s="91" t="n"/>
      <c r="I154" s="91" t="n"/>
      <c r="J154" s="91" t="n"/>
      <c r="K154" s="91" t="n"/>
      <c r="L154" s="92" t="n"/>
      <c r="M154" s="91" t="n"/>
      <c r="N154" s="91" t="n"/>
      <c r="O154" s="91" t="n"/>
      <c r="P154" s="93" t="str">
        <f>IF(Z154=0,"",SUMIFS('ITENS_MTR'!$I$6:$I$1005,'ITENS_MTR'!$S$6:$S$1005,A154,'ITENS_MTR'!$Y$6:$Y$1005,1))</f>
        <v/>
      </c>
      <c r="Q154" s="93" t="str">
        <f>IF(Z154=0,"",SUMIFS('RECEBIMENTOS'!$H$6:$H$1005,'RECEBIMENTOS'!$B$6:$B$1005,A154,'RECEBIMENTOS'!$X$6:$X$1005,1))</f>
        <v/>
      </c>
      <c r="R154" s="93" t="str">
        <f>IF(Z154=0,"",SUMIFS('VÍNCULOS_CDF'!$H$6:$H$1005,'VÍNCULOS_CDF'!$D$6:$D$1005,A154,'VÍNCULOS_CDF'!$V$6:$V$1005,1))</f>
        <v/>
      </c>
      <c r="S154" s="94" t="str">
        <f>IF(Z154=0,"",IF(AA154=1,"Cancelado (informado)",IF(AE154=1,"Cadastro incompleto",IF(OR(AC154=1,AD154=1,AF154&gt;0,AH154&gt;0,AK154&gt;0,AL154&gt;0),"Informação a revisar",IF(AN154=0,"Aguardando recebimento",IF(N(R154)=0,"Aguardando CDF",IF(AJ154&lt;N(W154),"Vínculo de CDF parcial",IF(AO154=0,"CDF localizado, a conferir","Documentação conferida"))))))))</f>
        <v/>
      </c>
      <c r="T154" s="94" t="str">
        <f>IF(Z154=0,"",IF(S154="Cadastro incompleto","MTR INCOMPLETO",IF(S154="Informação a revisar",IF(AND(AH154&gt;0,AC154=0,AD154=0,AF154=0,AK154=0,AL154=0),"QUANTIDADE A REVISAR","IDENTIFICAÇÃO A REVISAR"),IF(S154="Aguardando recebimento","RECEBIMENTO NÃO CONFIRMADO",IF(S154="Aguardando CDF","CDF NÃO LOCALIZADO",IF(S154="Vínculo de CDF parcial","VÍNCULO INCOMPLETO",IF(S154="CDF localizado, a conferir","CDF A CONFERIR","")))))))</f>
        <v/>
      </c>
      <c r="U154" s="95" t="str">
        <f>IF(T154="","",IF(AQ154="","Não calculável",IF(AQ154&gt;TODAY(),"Data futura",TODAY()-AQ154)))</f>
        <v/>
      </c>
      <c r="V154" s="93" t="str">
        <f>IF(Z154=0,"",SUMIFS('RECEBIMENTOS'!$H$6:$H$1005,'RECEBIMENTOS'!$B$6:$B$1005,A154,'RECEBIMENTOS'!$Z$6:$Z$1005,1))</f>
        <v/>
      </c>
      <c r="W154" s="95" t="str">
        <f>IF(Z154=0,"",COUNTIFS('ITENS_MTR'!$S$6:$S$1005,A154,'ITENS_MTR'!$R$6:$R$1005,1))</f>
        <v/>
      </c>
      <c r="X154" s="94" t="str">
        <f>IF(AC154=1,"POSSÍVEL DUPLICIDADE","")</f>
        <v/>
      </c>
      <c r="Y154" s="94" t="str">
        <f>IF(Z154=0,"",IF(AW154="","Nenhuma",LEFT(AW154,LEN(AW154)-2)))</f>
        <v/>
      </c>
      <c r="Z154" s="96">
        <f>IF(COUNTA(B154:O154)&gt;0,1,0)</f>
        <v>0</v>
      </c>
      <c r="AA154" s="96">
        <f>IF(AND(Z154=1,K154&lt;&gt;""),IF(TRIM(K154)=TRIM(cfg_cancel),1,0),0)</f>
        <v>0</v>
      </c>
      <c r="AB154" s="96" t="str">
        <f>IF(AND(Z154=1,B154&lt;&gt;""),C154&amp;"|"&amp;D154&amp;"|"&amp;G154&amp;"|"&amp;TRIM(B154),"")</f>
        <v/>
      </c>
      <c r="AC154" s="96">
        <f>IF(AB154="",0,IF(SUMPRODUCT(--($AB$6:$AB$505=AB154))&gt;1,1,0))</f>
        <v>0</v>
      </c>
      <c r="AD154" s="96">
        <f>IF(Z154=0,0,IF(OR(AND(G154&lt;&gt;"",ISNA(MATCH(G154,'CAD_UNIDADES'!$C$6:$C$105,0))),AND(H154&lt;&gt;"",ISNA(MATCH(H154,cmp_transp,0))),AND(I154&lt;&gt;"",ISNA(MATCH(I154,cmp_dest,0))),AND(E154&lt;&gt;"",NOT(ISNUMBER(E154))),AND(F154&lt;&gt;"",NOT(ISNUMBER(F154))),AND(ISNUMBER(E154),ISNUMBER(F154),F154&lt;E154)),1,0))</f>
        <v>0</v>
      </c>
      <c r="AE154" s="96">
        <f>IF(Z154=0,0,IF(OR(B154="",C154="",E154="",G154="",H154="",I154="",N(W154)=0),1,0))</f>
        <v>0</v>
      </c>
      <c r="AF154" s="96">
        <f>IF(Z154=0,0,COUNTIFS('ITENS_MTR'!$S$6:$S$1005,A154,'ITENS_MTR'!$AI$6:$AI$1005,1))</f>
        <v>0</v>
      </c>
      <c r="AG154" s="96">
        <f>IF(Z154=0,0,COUNTIFS('ITENS_MTR'!$S$6:$S$1005,A154,'ITENS_MTR'!$AJ$6:$AJ$1005,1))</f>
        <v>0</v>
      </c>
      <c r="AH154" s="96">
        <f>IF(Z154=0,0,COUNTIFS('ITENS_MTR'!$S$6:$S$1005,A154,'ITENS_MTR'!$AM$6:$AM$1005,1))</f>
        <v>0</v>
      </c>
      <c r="AI154" s="96">
        <f>IF(Z154=0,0,COUNTIFS('ITENS_MTR'!$S$6:$S$1005,A154,'ITENS_MTR'!$AO$6:$AO$1005,1))</f>
        <v>0</v>
      </c>
      <c r="AJ154" s="96">
        <f>IF(Z154=0,0,COUNTIFS('ITENS_MTR'!$S$6:$S$1005,A154,'ITENS_MTR'!$AN$6:$AN$1005,1))</f>
        <v>0</v>
      </c>
      <c r="AK154" s="96">
        <f>IF(Z154=0,0,COUNTIFS('RECEBIMENTOS'!$B$6:$B$1005,A154,'RECEBIMENTOS'!$Y$6:$Y$1005,1))</f>
        <v>0</v>
      </c>
      <c r="AL154" s="96">
        <f>IF(Z154=0,0,COUNTIFS('VÍNCULOS_CDF'!$D$6:$D$1005,A154,'VÍNCULOS_CDF'!$Y$6:$Y$1005,1))</f>
        <v>0</v>
      </c>
      <c r="AM154" s="96">
        <f>IF(Z154=0,0,COUNTIFS('RECEBIMENTOS'!$B$6:$B$1005,A154,'RECEBIMENTOS'!$Q$6:$Q$1005,1))</f>
        <v>0</v>
      </c>
      <c r="AN154" s="96">
        <f>IF(AND(Z154=1,N(W154)&gt;0,AG154=N(W154)),1,0)</f>
        <v>0</v>
      </c>
      <c r="AO154" s="96">
        <f>IF(AND(Z154=1,N(W154)&gt;0,AI154=N(W154)),1,0)</f>
        <v>0</v>
      </c>
      <c r="AP154" s="97">
        <f>IF(Z154=0,0,_xlfn.MAXIFS('RECEBIMENTOS'!$E$6:$E$1005,'RECEBIMENTOS'!$B$6:$B$1005,A154))</f>
        <v>0</v>
      </c>
      <c r="AQ154" s="97" t="str">
        <f>IF(T154="","",IF(T154="RECEBIMENTO NÃO CONFIRMADO",IF(ISNUMBER(F154),F154,IF(ISNUMBER(E154),E154,"")),IF(OR(T154="CDF NÃO LOCALIZADO",T154="VÍNCULO INCOMPLETO",T154="CDF A CONFERIR"),IF(AP154&gt;0,AP154,IF(ISNUMBER(E154),E154,"")),IF(ISNUMBER(E154),E154,""))))</f>
        <v/>
      </c>
      <c r="AR154" s="96">
        <f>IF(NOT(ISNUMBER(U154)),0,IF(T154="RECEBIMENTO NÃO CONFIRMADO",IF(AND(ISNUMBER(cfg_rec),U154&gt;cfg_rec),1,0),IF(OR(T154="CDF NÃO LOCALIZADO",T154="VÍNCULO INCOMPLETO",T154="CDF A CONFERIR"),IF(AND(ISNUMBER(cfg_cdf),U154&gt;cfg_cdf),1,0),0)))</f>
        <v>0</v>
      </c>
      <c r="AS154" s="96" t="str">
        <f>IF(T154="","",IF(AR154=1,"Alta",IFERROR(INDEX(cfg_pp,MATCH(T154,cfg_pt,0))&amp;"","Média")))</f>
        <v/>
      </c>
      <c r="AT154" s="96" t="str">
        <f>IF(T154="","",IFERROR(INDEX(cfg_pv,MATCH(T154,cfg_pt,0))&amp;"",""))</f>
        <v/>
      </c>
      <c r="AU154" s="96" t="str">
        <f>IF(T154="","",IF(AS154="Alta",1,IF(AS154="Média",2,3))*1000000000+(999999-IF(ISNUMBER(U154),MIN(U154,999999),0))*1000+149)</f>
        <v/>
      </c>
      <c r="AV154" s="96">
        <f>IF(T154&lt;&gt;"",1,0)</f>
        <v>0</v>
      </c>
      <c r="AW154" s="96" t="str">
        <f>IF(Z154=0,"",IF(AA154=1,"Cancelamento informado; ","")&amp;IF(AE154=1,"Campos essenciais ou itens faltando; ","")&amp;IF(AC154=1,"Possível duplicidade do número; ","")&amp;IF(AD154=1,"Cadastro ou datas a revisar; ","")&amp;IF(AF154&gt;0,"Item de resíduo com dado a revisar; ","")&amp;IF(AH154&gt;0,"Diferença de quantidade a analisar; ","")&amp;IF(AK154&gt;0,"Recebimento com alerta; ","")&amp;IF(AL154&gt;0,"Vínculo de CDF com alerta; ","")&amp;IF(AND(AA154=0,AN154=0),"Recebimento não confirmado; ","")&amp;IF(AND(AA154=0,AN154=1,AO154=0),"CDF pendente ou a conferir; ",""))</f>
        <v/>
      </c>
      <c r="AX154" s="96">
        <f>IF(Z154=0,0,IF(AND(OR(f_ini="",AND(ISNUMBER(E154),E154&gt;=f_ini)),OR(f_fim="",AND(ISNUMBER(E154),E154&lt;=f_fim)),OR(f_un="",f_un="(Todas)",G154=f_un),OR(f_tr="",f_tr="(Todos)",H154=f_tr),OR(f_de="",f_de="(Todos)",I154=f_de),OR(f_sit="",f_sit="(Todas)",S154=f_sit)),1,0))</f>
        <v>0</v>
      </c>
      <c r="AY154" s="96">
        <f>IF(AX154=0,0,IF(OR(f_res="",f_res="(Todos)"),1,IF(COUNTIFS('ITENS_MTR'!$S$6:$S$1005,A154,'ITENS_MTR'!$C$6:$C$1005,f_res)&gt;0,1,0)))</f>
        <v>0</v>
      </c>
      <c r="AZ154" s="97" t="str">
        <f>IF(ISNUMBER(E154),DATE(YEAR(E154),MONTH(E154),1),"")</f>
        <v/>
      </c>
      <c r="BA154" s="96">
        <f>IF(Z154=0,0,IF(AND(OR(r_ini="",AND(ISNUMBER(E154),E154&gt;=r_ini)),OR(r_fim="",AND(ISNUMBER(E154),E154&lt;=r_fim)),OR(r_un="",r_un="(Todas)",G154=r_un),OR(r_de="",r_de="(Todos)",I154=r_de)),1,0))</f>
        <v>0</v>
      </c>
      <c r="BB154" s="96" t="str">
        <f>IF(BA154=1,COUNTIF($BA$6:BA154,1),"")</f>
        <v/>
      </c>
      <c r="BC154" s="96" t="str">
        <f>IF(AND(AU154&lt;&gt;"",OR(r_un="",r_un="(Todas)",G154=r_un),OR(r_de="",r_de="(Todos)",I154=r_de)),AU154,"")</f>
        <v/>
      </c>
      <c r="BD154" s="96" t="str">
        <f>IF(Z154=1,A154&amp;" | nº "&amp;IF(B154="","(sem número)",B154)&amp;" | "&amp;IF(G154="","(sem unidade)",G154),"")</f>
        <v/>
      </c>
      <c r="BE154" s="96" t="str">
        <f>IF(Z154=1,COUNTIF($Z$6:Z154,1),"")</f>
        <v/>
      </c>
      <c r="BF154" s="96" t="str">
        <f>IF(T154="","",IF(T154="RECEBIMENTO NÃO CONFIRMADO","Transp.: "&amp;H154&amp;" | Dest.: "&amp;I154,IF(OR(T154="CDF NÃO LOCALIZADO",T154="VÍNCULO INCOMPLETO",T154="CDF A CONFERIR"),"Dest.: "&amp;I154,"Gerador: "&amp;G154)))</f>
        <v/>
      </c>
    </row>
    <row r="155">
      <c r="A155" s="89" t="inlineStr">
        <is>
          <t>MTR-000150</t>
        </is>
      </c>
      <c r="B155" s="90" t="n"/>
      <c r="C155" s="91" t="n"/>
      <c r="D155" s="91" t="n"/>
      <c r="E155" s="92" t="n"/>
      <c r="F155" s="92" t="n"/>
      <c r="G155" s="91" t="n"/>
      <c r="H155" s="91" t="n"/>
      <c r="I155" s="91" t="n"/>
      <c r="J155" s="91" t="n"/>
      <c r="K155" s="91" t="n"/>
      <c r="L155" s="92" t="n"/>
      <c r="M155" s="91" t="n"/>
      <c r="N155" s="91" t="n"/>
      <c r="O155" s="91" t="n"/>
      <c r="P155" s="93" t="str">
        <f>IF(Z155=0,"",SUMIFS('ITENS_MTR'!$I$6:$I$1005,'ITENS_MTR'!$S$6:$S$1005,A155,'ITENS_MTR'!$Y$6:$Y$1005,1))</f>
        <v/>
      </c>
      <c r="Q155" s="93" t="str">
        <f>IF(Z155=0,"",SUMIFS('RECEBIMENTOS'!$H$6:$H$1005,'RECEBIMENTOS'!$B$6:$B$1005,A155,'RECEBIMENTOS'!$X$6:$X$1005,1))</f>
        <v/>
      </c>
      <c r="R155" s="93" t="str">
        <f>IF(Z155=0,"",SUMIFS('VÍNCULOS_CDF'!$H$6:$H$1005,'VÍNCULOS_CDF'!$D$6:$D$1005,A155,'VÍNCULOS_CDF'!$V$6:$V$1005,1))</f>
        <v/>
      </c>
      <c r="S155" s="94" t="str">
        <f>IF(Z155=0,"",IF(AA155=1,"Cancelado (informado)",IF(AE155=1,"Cadastro incompleto",IF(OR(AC155=1,AD155=1,AF155&gt;0,AH155&gt;0,AK155&gt;0,AL155&gt;0),"Informação a revisar",IF(AN155=0,"Aguardando recebimento",IF(N(R155)=0,"Aguardando CDF",IF(AJ155&lt;N(W155),"Vínculo de CDF parcial",IF(AO155=0,"CDF localizado, a conferir","Documentação conferida"))))))))</f>
        <v/>
      </c>
      <c r="T155" s="94" t="str">
        <f>IF(Z155=0,"",IF(S155="Cadastro incompleto","MTR INCOMPLETO",IF(S155="Informação a revisar",IF(AND(AH155&gt;0,AC155=0,AD155=0,AF155=0,AK155=0,AL155=0),"QUANTIDADE A REVISAR","IDENTIFICAÇÃO A REVISAR"),IF(S155="Aguardando recebimento","RECEBIMENTO NÃO CONFIRMADO",IF(S155="Aguardando CDF","CDF NÃO LOCALIZADO",IF(S155="Vínculo de CDF parcial","VÍNCULO INCOMPLETO",IF(S155="CDF localizado, a conferir","CDF A CONFERIR","")))))))</f>
        <v/>
      </c>
      <c r="U155" s="95" t="str">
        <f>IF(T155="","",IF(AQ155="","Não calculável",IF(AQ155&gt;TODAY(),"Data futura",TODAY()-AQ155)))</f>
        <v/>
      </c>
      <c r="V155" s="93" t="str">
        <f>IF(Z155=0,"",SUMIFS('RECEBIMENTOS'!$H$6:$H$1005,'RECEBIMENTOS'!$B$6:$B$1005,A155,'RECEBIMENTOS'!$Z$6:$Z$1005,1))</f>
        <v/>
      </c>
      <c r="W155" s="95" t="str">
        <f>IF(Z155=0,"",COUNTIFS('ITENS_MTR'!$S$6:$S$1005,A155,'ITENS_MTR'!$R$6:$R$1005,1))</f>
        <v/>
      </c>
      <c r="X155" s="94" t="str">
        <f>IF(AC155=1,"POSSÍVEL DUPLICIDADE","")</f>
        <v/>
      </c>
      <c r="Y155" s="94" t="str">
        <f>IF(Z155=0,"",IF(AW155="","Nenhuma",LEFT(AW155,LEN(AW155)-2)))</f>
        <v/>
      </c>
      <c r="Z155" s="96">
        <f>IF(COUNTA(B155:O155)&gt;0,1,0)</f>
        <v>0</v>
      </c>
      <c r="AA155" s="96">
        <f>IF(AND(Z155=1,K155&lt;&gt;""),IF(TRIM(K155)=TRIM(cfg_cancel),1,0),0)</f>
        <v>0</v>
      </c>
      <c r="AB155" s="96" t="str">
        <f>IF(AND(Z155=1,B155&lt;&gt;""),C155&amp;"|"&amp;D155&amp;"|"&amp;G155&amp;"|"&amp;TRIM(B155),"")</f>
        <v/>
      </c>
      <c r="AC155" s="96">
        <f>IF(AB155="",0,IF(SUMPRODUCT(--($AB$6:$AB$505=AB155))&gt;1,1,0))</f>
        <v>0</v>
      </c>
      <c r="AD155" s="96">
        <f>IF(Z155=0,0,IF(OR(AND(G155&lt;&gt;"",ISNA(MATCH(G155,'CAD_UNIDADES'!$C$6:$C$105,0))),AND(H155&lt;&gt;"",ISNA(MATCH(H155,cmp_transp,0))),AND(I155&lt;&gt;"",ISNA(MATCH(I155,cmp_dest,0))),AND(E155&lt;&gt;"",NOT(ISNUMBER(E155))),AND(F155&lt;&gt;"",NOT(ISNUMBER(F155))),AND(ISNUMBER(E155),ISNUMBER(F155),F155&lt;E155)),1,0))</f>
        <v>0</v>
      </c>
      <c r="AE155" s="96">
        <f>IF(Z155=0,0,IF(OR(B155="",C155="",E155="",G155="",H155="",I155="",N(W155)=0),1,0))</f>
        <v>0</v>
      </c>
      <c r="AF155" s="96">
        <f>IF(Z155=0,0,COUNTIFS('ITENS_MTR'!$S$6:$S$1005,A155,'ITENS_MTR'!$AI$6:$AI$1005,1))</f>
        <v>0</v>
      </c>
      <c r="AG155" s="96">
        <f>IF(Z155=0,0,COUNTIFS('ITENS_MTR'!$S$6:$S$1005,A155,'ITENS_MTR'!$AJ$6:$AJ$1005,1))</f>
        <v>0</v>
      </c>
      <c r="AH155" s="96">
        <f>IF(Z155=0,0,COUNTIFS('ITENS_MTR'!$S$6:$S$1005,A155,'ITENS_MTR'!$AM$6:$AM$1005,1))</f>
        <v>0</v>
      </c>
      <c r="AI155" s="96">
        <f>IF(Z155=0,0,COUNTIFS('ITENS_MTR'!$S$6:$S$1005,A155,'ITENS_MTR'!$AO$6:$AO$1005,1))</f>
        <v>0</v>
      </c>
      <c r="AJ155" s="96">
        <f>IF(Z155=0,0,COUNTIFS('ITENS_MTR'!$S$6:$S$1005,A155,'ITENS_MTR'!$AN$6:$AN$1005,1))</f>
        <v>0</v>
      </c>
      <c r="AK155" s="96">
        <f>IF(Z155=0,0,COUNTIFS('RECEBIMENTOS'!$B$6:$B$1005,A155,'RECEBIMENTOS'!$Y$6:$Y$1005,1))</f>
        <v>0</v>
      </c>
      <c r="AL155" s="96">
        <f>IF(Z155=0,0,COUNTIFS('VÍNCULOS_CDF'!$D$6:$D$1005,A155,'VÍNCULOS_CDF'!$Y$6:$Y$1005,1))</f>
        <v>0</v>
      </c>
      <c r="AM155" s="96">
        <f>IF(Z155=0,0,COUNTIFS('RECEBIMENTOS'!$B$6:$B$1005,A155,'RECEBIMENTOS'!$Q$6:$Q$1005,1))</f>
        <v>0</v>
      </c>
      <c r="AN155" s="96">
        <f>IF(AND(Z155=1,N(W155)&gt;0,AG155=N(W155)),1,0)</f>
        <v>0</v>
      </c>
      <c r="AO155" s="96">
        <f>IF(AND(Z155=1,N(W155)&gt;0,AI155=N(W155)),1,0)</f>
        <v>0</v>
      </c>
      <c r="AP155" s="97">
        <f>IF(Z155=0,0,_xlfn.MAXIFS('RECEBIMENTOS'!$E$6:$E$1005,'RECEBIMENTOS'!$B$6:$B$1005,A155))</f>
        <v>0</v>
      </c>
      <c r="AQ155" s="97" t="str">
        <f>IF(T155="","",IF(T155="RECEBIMENTO NÃO CONFIRMADO",IF(ISNUMBER(F155),F155,IF(ISNUMBER(E155),E155,"")),IF(OR(T155="CDF NÃO LOCALIZADO",T155="VÍNCULO INCOMPLETO",T155="CDF A CONFERIR"),IF(AP155&gt;0,AP155,IF(ISNUMBER(E155),E155,"")),IF(ISNUMBER(E155),E155,""))))</f>
        <v/>
      </c>
      <c r="AR155" s="96">
        <f>IF(NOT(ISNUMBER(U155)),0,IF(T155="RECEBIMENTO NÃO CONFIRMADO",IF(AND(ISNUMBER(cfg_rec),U155&gt;cfg_rec),1,0),IF(OR(T155="CDF NÃO LOCALIZADO",T155="VÍNCULO INCOMPLETO",T155="CDF A CONFERIR"),IF(AND(ISNUMBER(cfg_cdf),U155&gt;cfg_cdf),1,0),0)))</f>
        <v>0</v>
      </c>
      <c r="AS155" s="96" t="str">
        <f>IF(T155="","",IF(AR155=1,"Alta",IFERROR(INDEX(cfg_pp,MATCH(T155,cfg_pt,0))&amp;"","Média")))</f>
        <v/>
      </c>
      <c r="AT155" s="96" t="str">
        <f>IF(T155="","",IFERROR(INDEX(cfg_pv,MATCH(T155,cfg_pt,0))&amp;"",""))</f>
        <v/>
      </c>
      <c r="AU155" s="96" t="str">
        <f>IF(T155="","",IF(AS155="Alta",1,IF(AS155="Média",2,3))*1000000000+(999999-IF(ISNUMBER(U155),MIN(U155,999999),0))*1000+150)</f>
        <v/>
      </c>
      <c r="AV155" s="96">
        <f>IF(T155&lt;&gt;"",1,0)</f>
        <v>0</v>
      </c>
      <c r="AW155" s="96" t="str">
        <f>IF(Z155=0,"",IF(AA155=1,"Cancelamento informado; ","")&amp;IF(AE155=1,"Campos essenciais ou itens faltando; ","")&amp;IF(AC155=1,"Possível duplicidade do número; ","")&amp;IF(AD155=1,"Cadastro ou datas a revisar; ","")&amp;IF(AF155&gt;0,"Item de resíduo com dado a revisar; ","")&amp;IF(AH155&gt;0,"Diferença de quantidade a analisar; ","")&amp;IF(AK155&gt;0,"Recebimento com alerta; ","")&amp;IF(AL155&gt;0,"Vínculo de CDF com alerta; ","")&amp;IF(AND(AA155=0,AN155=0),"Recebimento não confirmado; ","")&amp;IF(AND(AA155=0,AN155=1,AO155=0),"CDF pendente ou a conferir; ",""))</f>
        <v/>
      </c>
      <c r="AX155" s="96">
        <f>IF(Z155=0,0,IF(AND(OR(f_ini="",AND(ISNUMBER(E155),E155&gt;=f_ini)),OR(f_fim="",AND(ISNUMBER(E155),E155&lt;=f_fim)),OR(f_un="",f_un="(Todas)",G155=f_un),OR(f_tr="",f_tr="(Todos)",H155=f_tr),OR(f_de="",f_de="(Todos)",I155=f_de),OR(f_sit="",f_sit="(Todas)",S155=f_sit)),1,0))</f>
        <v>0</v>
      </c>
      <c r="AY155" s="96">
        <f>IF(AX155=0,0,IF(OR(f_res="",f_res="(Todos)"),1,IF(COUNTIFS('ITENS_MTR'!$S$6:$S$1005,A155,'ITENS_MTR'!$C$6:$C$1005,f_res)&gt;0,1,0)))</f>
        <v>0</v>
      </c>
      <c r="AZ155" s="97" t="str">
        <f>IF(ISNUMBER(E155),DATE(YEAR(E155),MONTH(E155),1),"")</f>
        <v/>
      </c>
      <c r="BA155" s="96">
        <f>IF(Z155=0,0,IF(AND(OR(r_ini="",AND(ISNUMBER(E155),E155&gt;=r_ini)),OR(r_fim="",AND(ISNUMBER(E155),E155&lt;=r_fim)),OR(r_un="",r_un="(Todas)",G155=r_un),OR(r_de="",r_de="(Todos)",I155=r_de)),1,0))</f>
        <v>0</v>
      </c>
      <c r="BB155" s="96" t="str">
        <f>IF(BA155=1,COUNTIF($BA$6:BA155,1),"")</f>
        <v/>
      </c>
      <c r="BC155" s="96" t="str">
        <f>IF(AND(AU155&lt;&gt;"",OR(r_un="",r_un="(Todas)",G155=r_un),OR(r_de="",r_de="(Todos)",I155=r_de)),AU155,"")</f>
        <v/>
      </c>
      <c r="BD155" s="96" t="str">
        <f>IF(Z155=1,A155&amp;" | nº "&amp;IF(B155="","(sem número)",B155)&amp;" | "&amp;IF(G155="","(sem unidade)",G155),"")</f>
        <v/>
      </c>
      <c r="BE155" s="96" t="str">
        <f>IF(Z155=1,COUNTIF($Z$6:Z155,1),"")</f>
        <v/>
      </c>
      <c r="BF155" s="96" t="str">
        <f>IF(T155="","",IF(T155="RECEBIMENTO NÃO CONFIRMADO","Transp.: "&amp;H155&amp;" | Dest.: "&amp;I155,IF(OR(T155="CDF NÃO LOCALIZADO",T155="VÍNCULO INCOMPLETO",T155="CDF A CONFERIR"),"Dest.: "&amp;I155,"Gerador: "&amp;G155)))</f>
        <v/>
      </c>
    </row>
    <row r="156">
      <c r="A156" s="89" t="inlineStr">
        <is>
          <t>MTR-000151</t>
        </is>
      </c>
      <c r="B156" s="90" t="n"/>
      <c r="C156" s="91" t="n"/>
      <c r="D156" s="91" t="n"/>
      <c r="E156" s="92" t="n"/>
      <c r="F156" s="92" t="n"/>
      <c r="G156" s="91" t="n"/>
      <c r="H156" s="91" t="n"/>
      <c r="I156" s="91" t="n"/>
      <c r="J156" s="91" t="n"/>
      <c r="K156" s="91" t="n"/>
      <c r="L156" s="92" t="n"/>
      <c r="M156" s="91" t="n"/>
      <c r="N156" s="91" t="n"/>
      <c r="O156" s="91" t="n"/>
      <c r="P156" s="93" t="str">
        <f>IF(Z156=0,"",SUMIFS('ITENS_MTR'!$I$6:$I$1005,'ITENS_MTR'!$S$6:$S$1005,A156,'ITENS_MTR'!$Y$6:$Y$1005,1))</f>
        <v/>
      </c>
      <c r="Q156" s="93" t="str">
        <f>IF(Z156=0,"",SUMIFS('RECEBIMENTOS'!$H$6:$H$1005,'RECEBIMENTOS'!$B$6:$B$1005,A156,'RECEBIMENTOS'!$X$6:$X$1005,1))</f>
        <v/>
      </c>
      <c r="R156" s="93" t="str">
        <f>IF(Z156=0,"",SUMIFS('VÍNCULOS_CDF'!$H$6:$H$1005,'VÍNCULOS_CDF'!$D$6:$D$1005,A156,'VÍNCULOS_CDF'!$V$6:$V$1005,1))</f>
        <v/>
      </c>
      <c r="S156" s="94" t="str">
        <f>IF(Z156=0,"",IF(AA156=1,"Cancelado (informado)",IF(AE156=1,"Cadastro incompleto",IF(OR(AC156=1,AD156=1,AF156&gt;0,AH156&gt;0,AK156&gt;0,AL156&gt;0),"Informação a revisar",IF(AN156=0,"Aguardando recebimento",IF(N(R156)=0,"Aguardando CDF",IF(AJ156&lt;N(W156),"Vínculo de CDF parcial",IF(AO156=0,"CDF localizado, a conferir","Documentação conferida"))))))))</f>
        <v/>
      </c>
      <c r="T156" s="94" t="str">
        <f>IF(Z156=0,"",IF(S156="Cadastro incompleto","MTR INCOMPLETO",IF(S156="Informação a revisar",IF(AND(AH156&gt;0,AC156=0,AD156=0,AF156=0,AK156=0,AL156=0),"QUANTIDADE A REVISAR","IDENTIFICAÇÃO A REVISAR"),IF(S156="Aguardando recebimento","RECEBIMENTO NÃO CONFIRMADO",IF(S156="Aguardando CDF","CDF NÃO LOCALIZADO",IF(S156="Vínculo de CDF parcial","VÍNCULO INCOMPLETO",IF(S156="CDF localizado, a conferir","CDF A CONFERIR","")))))))</f>
        <v/>
      </c>
      <c r="U156" s="95" t="str">
        <f>IF(T156="","",IF(AQ156="","Não calculável",IF(AQ156&gt;TODAY(),"Data futura",TODAY()-AQ156)))</f>
        <v/>
      </c>
      <c r="V156" s="93" t="str">
        <f>IF(Z156=0,"",SUMIFS('RECEBIMENTOS'!$H$6:$H$1005,'RECEBIMENTOS'!$B$6:$B$1005,A156,'RECEBIMENTOS'!$Z$6:$Z$1005,1))</f>
        <v/>
      </c>
      <c r="W156" s="95" t="str">
        <f>IF(Z156=0,"",COUNTIFS('ITENS_MTR'!$S$6:$S$1005,A156,'ITENS_MTR'!$R$6:$R$1005,1))</f>
        <v/>
      </c>
      <c r="X156" s="94" t="str">
        <f>IF(AC156=1,"POSSÍVEL DUPLICIDADE","")</f>
        <v/>
      </c>
      <c r="Y156" s="94" t="str">
        <f>IF(Z156=0,"",IF(AW156="","Nenhuma",LEFT(AW156,LEN(AW156)-2)))</f>
        <v/>
      </c>
      <c r="Z156" s="96">
        <f>IF(COUNTA(B156:O156)&gt;0,1,0)</f>
        <v>0</v>
      </c>
      <c r="AA156" s="96">
        <f>IF(AND(Z156=1,K156&lt;&gt;""),IF(TRIM(K156)=TRIM(cfg_cancel),1,0),0)</f>
        <v>0</v>
      </c>
      <c r="AB156" s="96" t="str">
        <f>IF(AND(Z156=1,B156&lt;&gt;""),C156&amp;"|"&amp;D156&amp;"|"&amp;G156&amp;"|"&amp;TRIM(B156),"")</f>
        <v/>
      </c>
      <c r="AC156" s="96">
        <f>IF(AB156="",0,IF(SUMPRODUCT(--($AB$6:$AB$505=AB156))&gt;1,1,0))</f>
        <v>0</v>
      </c>
      <c r="AD156" s="96">
        <f>IF(Z156=0,0,IF(OR(AND(G156&lt;&gt;"",ISNA(MATCH(G156,'CAD_UNIDADES'!$C$6:$C$105,0))),AND(H156&lt;&gt;"",ISNA(MATCH(H156,cmp_transp,0))),AND(I156&lt;&gt;"",ISNA(MATCH(I156,cmp_dest,0))),AND(E156&lt;&gt;"",NOT(ISNUMBER(E156))),AND(F156&lt;&gt;"",NOT(ISNUMBER(F156))),AND(ISNUMBER(E156),ISNUMBER(F156),F156&lt;E156)),1,0))</f>
        <v>0</v>
      </c>
      <c r="AE156" s="96">
        <f>IF(Z156=0,0,IF(OR(B156="",C156="",E156="",G156="",H156="",I156="",N(W156)=0),1,0))</f>
        <v>0</v>
      </c>
      <c r="AF156" s="96">
        <f>IF(Z156=0,0,COUNTIFS('ITENS_MTR'!$S$6:$S$1005,A156,'ITENS_MTR'!$AI$6:$AI$1005,1))</f>
        <v>0</v>
      </c>
      <c r="AG156" s="96">
        <f>IF(Z156=0,0,COUNTIFS('ITENS_MTR'!$S$6:$S$1005,A156,'ITENS_MTR'!$AJ$6:$AJ$1005,1))</f>
        <v>0</v>
      </c>
      <c r="AH156" s="96">
        <f>IF(Z156=0,0,COUNTIFS('ITENS_MTR'!$S$6:$S$1005,A156,'ITENS_MTR'!$AM$6:$AM$1005,1))</f>
        <v>0</v>
      </c>
      <c r="AI156" s="96">
        <f>IF(Z156=0,0,COUNTIFS('ITENS_MTR'!$S$6:$S$1005,A156,'ITENS_MTR'!$AO$6:$AO$1005,1))</f>
        <v>0</v>
      </c>
      <c r="AJ156" s="96">
        <f>IF(Z156=0,0,COUNTIFS('ITENS_MTR'!$S$6:$S$1005,A156,'ITENS_MTR'!$AN$6:$AN$1005,1))</f>
        <v>0</v>
      </c>
      <c r="AK156" s="96">
        <f>IF(Z156=0,0,COUNTIFS('RECEBIMENTOS'!$B$6:$B$1005,A156,'RECEBIMENTOS'!$Y$6:$Y$1005,1))</f>
        <v>0</v>
      </c>
      <c r="AL156" s="96">
        <f>IF(Z156=0,0,COUNTIFS('VÍNCULOS_CDF'!$D$6:$D$1005,A156,'VÍNCULOS_CDF'!$Y$6:$Y$1005,1))</f>
        <v>0</v>
      </c>
      <c r="AM156" s="96">
        <f>IF(Z156=0,0,COUNTIFS('RECEBIMENTOS'!$B$6:$B$1005,A156,'RECEBIMENTOS'!$Q$6:$Q$1005,1))</f>
        <v>0</v>
      </c>
      <c r="AN156" s="96">
        <f>IF(AND(Z156=1,N(W156)&gt;0,AG156=N(W156)),1,0)</f>
        <v>0</v>
      </c>
      <c r="AO156" s="96">
        <f>IF(AND(Z156=1,N(W156)&gt;0,AI156=N(W156)),1,0)</f>
        <v>0</v>
      </c>
      <c r="AP156" s="97">
        <f>IF(Z156=0,0,_xlfn.MAXIFS('RECEBIMENTOS'!$E$6:$E$1005,'RECEBIMENTOS'!$B$6:$B$1005,A156))</f>
        <v>0</v>
      </c>
      <c r="AQ156" s="97" t="str">
        <f>IF(T156="","",IF(T156="RECEBIMENTO NÃO CONFIRMADO",IF(ISNUMBER(F156),F156,IF(ISNUMBER(E156),E156,"")),IF(OR(T156="CDF NÃO LOCALIZADO",T156="VÍNCULO INCOMPLETO",T156="CDF A CONFERIR"),IF(AP156&gt;0,AP156,IF(ISNUMBER(E156),E156,"")),IF(ISNUMBER(E156),E156,""))))</f>
        <v/>
      </c>
      <c r="AR156" s="96">
        <f>IF(NOT(ISNUMBER(U156)),0,IF(T156="RECEBIMENTO NÃO CONFIRMADO",IF(AND(ISNUMBER(cfg_rec),U156&gt;cfg_rec),1,0),IF(OR(T156="CDF NÃO LOCALIZADO",T156="VÍNCULO INCOMPLETO",T156="CDF A CONFERIR"),IF(AND(ISNUMBER(cfg_cdf),U156&gt;cfg_cdf),1,0),0)))</f>
        <v>0</v>
      </c>
      <c r="AS156" s="96" t="str">
        <f>IF(T156="","",IF(AR156=1,"Alta",IFERROR(INDEX(cfg_pp,MATCH(T156,cfg_pt,0))&amp;"","Média")))</f>
        <v/>
      </c>
      <c r="AT156" s="96" t="str">
        <f>IF(T156="","",IFERROR(INDEX(cfg_pv,MATCH(T156,cfg_pt,0))&amp;"",""))</f>
        <v/>
      </c>
      <c r="AU156" s="96" t="str">
        <f>IF(T156="","",IF(AS156="Alta",1,IF(AS156="Média",2,3))*1000000000+(999999-IF(ISNUMBER(U156),MIN(U156,999999),0))*1000+151)</f>
        <v/>
      </c>
      <c r="AV156" s="96">
        <f>IF(T156&lt;&gt;"",1,0)</f>
        <v>0</v>
      </c>
      <c r="AW156" s="96" t="str">
        <f>IF(Z156=0,"",IF(AA156=1,"Cancelamento informado; ","")&amp;IF(AE156=1,"Campos essenciais ou itens faltando; ","")&amp;IF(AC156=1,"Possível duplicidade do número; ","")&amp;IF(AD156=1,"Cadastro ou datas a revisar; ","")&amp;IF(AF156&gt;0,"Item de resíduo com dado a revisar; ","")&amp;IF(AH156&gt;0,"Diferença de quantidade a analisar; ","")&amp;IF(AK156&gt;0,"Recebimento com alerta; ","")&amp;IF(AL156&gt;0,"Vínculo de CDF com alerta; ","")&amp;IF(AND(AA156=0,AN156=0),"Recebimento não confirmado; ","")&amp;IF(AND(AA156=0,AN156=1,AO156=0),"CDF pendente ou a conferir; ",""))</f>
        <v/>
      </c>
      <c r="AX156" s="96">
        <f>IF(Z156=0,0,IF(AND(OR(f_ini="",AND(ISNUMBER(E156),E156&gt;=f_ini)),OR(f_fim="",AND(ISNUMBER(E156),E156&lt;=f_fim)),OR(f_un="",f_un="(Todas)",G156=f_un),OR(f_tr="",f_tr="(Todos)",H156=f_tr),OR(f_de="",f_de="(Todos)",I156=f_de),OR(f_sit="",f_sit="(Todas)",S156=f_sit)),1,0))</f>
        <v>0</v>
      </c>
      <c r="AY156" s="96">
        <f>IF(AX156=0,0,IF(OR(f_res="",f_res="(Todos)"),1,IF(COUNTIFS('ITENS_MTR'!$S$6:$S$1005,A156,'ITENS_MTR'!$C$6:$C$1005,f_res)&gt;0,1,0)))</f>
        <v>0</v>
      </c>
      <c r="AZ156" s="97" t="str">
        <f>IF(ISNUMBER(E156),DATE(YEAR(E156),MONTH(E156),1),"")</f>
        <v/>
      </c>
      <c r="BA156" s="96">
        <f>IF(Z156=0,0,IF(AND(OR(r_ini="",AND(ISNUMBER(E156),E156&gt;=r_ini)),OR(r_fim="",AND(ISNUMBER(E156),E156&lt;=r_fim)),OR(r_un="",r_un="(Todas)",G156=r_un),OR(r_de="",r_de="(Todos)",I156=r_de)),1,0))</f>
        <v>0</v>
      </c>
      <c r="BB156" s="96" t="str">
        <f>IF(BA156=1,COUNTIF($BA$6:BA156,1),"")</f>
        <v/>
      </c>
      <c r="BC156" s="96" t="str">
        <f>IF(AND(AU156&lt;&gt;"",OR(r_un="",r_un="(Todas)",G156=r_un),OR(r_de="",r_de="(Todos)",I156=r_de)),AU156,"")</f>
        <v/>
      </c>
      <c r="BD156" s="96" t="str">
        <f>IF(Z156=1,A156&amp;" | nº "&amp;IF(B156="","(sem número)",B156)&amp;" | "&amp;IF(G156="","(sem unidade)",G156),"")</f>
        <v/>
      </c>
      <c r="BE156" s="96" t="str">
        <f>IF(Z156=1,COUNTIF($Z$6:Z156,1),"")</f>
        <v/>
      </c>
      <c r="BF156" s="96" t="str">
        <f>IF(T156="","",IF(T156="RECEBIMENTO NÃO CONFIRMADO","Transp.: "&amp;H156&amp;" | Dest.: "&amp;I156,IF(OR(T156="CDF NÃO LOCALIZADO",T156="VÍNCULO INCOMPLETO",T156="CDF A CONFERIR"),"Dest.: "&amp;I156,"Gerador: "&amp;G156)))</f>
        <v/>
      </c>
    </row>
    <row r="157">
      <c r="A157" s="89" t="inlineStr">
        <is>
          <t>MTR-000152</t>
        </is>
      </c>
      <c r="B157" s="90" t="n"/>
      <c r="C157" s="91" t="n"/>
      <c r="D157" s="91" t="n"/>
      <c r="E157" s="92" t="n"/>
      <c r="F157" s="92" t="n"/>
      <c r="G157" s="91" t="n"/>
      <c r="H157" s="91" t="n"/>
      <c r="I157" s="91" t="n"/>
      <c r="J157" s="91" t="n"/>
      <c r="K157" s="91" t="n"/>
      <c r="L157" s="92" t="n"/>
      <c r="M157" s="91" t="n"/>
      <c r="N157" s="91" t="n"/>
      <c r="O157" s="91" t="n"/>
      <c r="P157" s="93" t="str">
        <f>IF(Z157=0,"",SUMIFS('ITENS_MTR'!$I$6:$I$1005,'ITENS_MTR'!$S$6:$S$1005,A157,'ITENS_MTR'!$Y$6:$Y$1005,1))</f>
        <v/>
      </c>
      <c r="Q157" s="93" t="str">
        <f>IF(Z157=0,"",SUMIFS('RECEBIMENTOS'!$H$6:$H$1005,'RECEBIMENTOS'!$B$6:$B$1005,A157,'RECEBIMENTOS'!$X$6:$X$1005,1))</f>
        <v/>
      </c>
      <c r="R157" s="93" t="str">
        <f>IF(Z157=0,"",SUMIFS('VÍNCULOS_CDF'!$H$6:$H$1005,'VÍNCULOS_CDF'!$D$6:$D$1005,A157,'VÍNCULOS_CDF'!$V$6:$V$1005,1))</f>
        <v/>
      </c>
      <c r="S157" s="94" t="str">
        <f>IF(Z157=0,"",IF(AA157=1,"Cancelado (informado)",IF(AE157=1,"Cadastro incompleto",IF(OR(AC157=1,AD157=1,AF157&gt;0,AH157&gt;0,AK157&gt;0,AL157&gt;0),"Informação a revisar",IF(AN157=0,"Aguardando recebimento",IF(N(R157)=0,"Aguardando CDF",IF(AJ157&lt;N(W157),"Vínculo de CDF parcial",IF(AO157=0,"CDF localizado, a conferir","Documentação conferida"))))))))</f>
        <v/>
      </c>
      <c r="T157" s="94" t="str">
        <f>IF(Z157=0,"",IF(S157="Cadastro incompleto","MTR INCOMPLETO",IF(S157="Informação a revisar",IF(AND(AH157&gt;0,AC157=0,AD157=0,AF157=0,AK157=0,AL157=0),"QUANTIDADE A REVISAR","IDENTIFICAÇÃO A REVISAR"),IF(S157="Aguardando recebimento","RECEBIMENTO NÃO CONFIRMADO",IF(S157="Aguardando CDF","CDF NÃO LOCALIZADO",IF(S157="Vínculo de CDF parcial","VÍNCULO INCOMPLETO",IF(S157="CDF localizado, a conferir","CDF A CONFERIR","")))))))</f>
        <v/>
      </c>
      <c r="U157" s="95" t="str">
        <f>IF(T157="","",IF(AQ157="","Não calculável",IF(AQ157&gt;TODAY(),"Data futura",TODAY()-AQ157)))</f>
        <v/>
      </c>
      <c r="V157" s="93" t="str">
        <f>IF(Z157=0,"",SUMIFS('RECEBIMENTOS'!$H$6:$H$1005,'RECEBIMENTOS'!$B$6:$B$1005,A157,'RECEBIMENTOS'!$Z$6:$Z$1005,1))</f>
        <v/>
      </c>
      <c r="W157" s="95" t="str">
        <f>IF(Z157=0,"",COUNTIFS('ITENS_MTR'!$S$6:$S$1005,A157,'ITENS_MTR'!$R$6:$R$1005,1))</f>
        <v/>
      </c>
      <c r="X157" s="94" t="str">
        <f>IF(AC157=1,"POSSÍVEL DUPLICIDADE","")</f>
        <v/>
      </c>
      <c r="Y157" s="94" t="str">
        <f>IF(Z157=0,"",IF(AW157="","Nenhuma",LEFT(AW157,LEN(AW157)-2)))</f>
        <v/>
      </c>
      <c r="Z157" s="96">
        <f>IF(COUNTA(B157:O157)&gt;0,1,0)</f>
        <v>0</v>
      </c>
      <c r="AA157" s="96">
        <f>IF(AND(Z157=1,K157&lt;&gt;""),IF(TRIM(K157)=TRIM(cfg_cancel),1,0),0)</f>
        <v>0</v>
      </c>
      <c r="AB157" s="96" t="str">
        <f>IF(AND(Z157=1,B157&lt;&gt;""),C157&amp;"|"&amp;D157&amp;"|"&amp;G157&amp;"|"&amp;TRIM(B157),"")</f>
        <v/>
      </c>
      <c r="AC157" s="96">
        <f>IF(AB157="",0,IF(SUMPRODUCT(--($AB$6:$AB$505=AB157))&gt;1,1,0))</f>
        <v>0</v>
      </c>
      <c r="AD157" s="96">
        <f>IF(Z157=0,0,IF(OR(AND(G157&lt;&gt;"",ISNA(MATCH(G157,'CAD_UNIDADES'!$C$6:$C$105,0))),AND(H157&lt;&gt;"",ISNA(MATCH(H157,cmp_transp,0))),AND(I157&lt;&gt;"",ISNA(MATCH(I157,cmp_dest,0))),AND(E157&lt;&gt;"",NOT(ISNUMBER(E157))),AND(F157&lt;&gt;"",NOT(ISNUMBER(F157))),AND(ISNUMBER(E157),ISNUMBER(F157),F157&lt;E157)),1,0))</f>
        <v>0</v>
      </c>
      <c r="AE157" s="96">
        <f>IF(Z157=0,0,IF(OR(B157="",C157="",E157="",G157="",H157="",I157="",N(W157)=0),1,0))</f>
        <v>0</v>
      </c>
      <c r="AF157" s="96">
        <f>IF(Z157=0,0,COUNTIFS('ITENS_MTR'!$S$6:$S$1005,A157,'ITENS_MTR'!$AI$6:$AI$1005,1))</f>
        <v>0</v>
      </c>
      <c r="AG157" s="96">
        <f>IF(Z157=0,0,COUNTIFS('ITENS_MTR'!$S$6:$S$1005,A157,'ITENS_MTR'!$AJ$6:$AJ$1005,1))</f>
        <v>0</v>
      </c>
      <c r="AH157" s="96">
        <f>IF(Z157=0,0,COUNTIFS('ITENS_MTR'!$S$6:$S$1005,A157,'ITENS_MTR'!$AM$6:$AM$1005,1))</f>
        <v>0</v>
      </c>
      <c r="AI157" s="96">
        <f>IF(Z157=0,0,COUNTIFS('ITENS_MTR'!$S$6:$S$1005,A157,'ITENS_MTR'!$AO$6:$AO$1005,1))</f>
        <v>0</v>
      </c>
      <c r="AJ157" s="96">
        <f>IF(Z157=0,0,COUNTIFS('ITENS_MTR'!$S$6:$S$1005,A157,'ITENS_MTR'!$AN$6:$AN$1005,1))</f>
        <v>0</v>
      </c>
      <c r="AK157" s="96">
        <f>IF(Z157=0,0,COUNTIFS('RECEBIMENTOS'!$B$6:$B$1005,A157,'RECEBIMENTOS'!$Y$6:$Y$1005,1))</f>
        <v>0</v>
      </c>
      <c r="AL157" s="96">
        <f>IF(Z157=0,0,COUNTIFS('VÍNCULOS_CDF'!$D$6:$D$1005,A157,'VÍNCULOS_CDF'!$Y$6:$Y$1005,1))</f>
        <v>0</v>
      </c>
      <c r="AM157" s="96">
        <f>IF(Z157=0,0,COUNTIFS('RECEBIMENTOS'!$B$6:$B$1005,A157,'RECEBIMENTOS'!$Q$6:$Q$1005,1))</f>
        <v>0</v>
      </c>
      <c r="AN157" s="96">
        <f>IF(AND(Z157=1,N(W157)&gt;0,AG157=N(W157)),1,0)</f>
        <v>0</v>
      </c>
      <c r="AO157" s="96">
        <f>IF(AND(Z157=1,N(W157)&gt;0,AI157=N(W157)),1,0)</f>
        <v>0</v>
      </c>
      <c r="AP157" s="97">
        <f>IF(Z157=0,0,_xlfn.MAXIFS('RECEBIMENTOS'!$E$6:$E$1005,'RECEBIMENTOS'!$B$6:$B$1005,A157))</f>
        <v>0</v>
      </c>
      <c r="AQ157" s="97" t="str">
        <f>IF(T157="","",IF(T157="RECEBIMENTO NÃO CONFIRMADO",IF(ISNUMBER(F157),F157,IF(ISNUMBER(E157),E157,"")),IF(OR(T157="CDF NÃO LOCALIZADO",T157="VÍNCULO INCOMPLETO",T157="CDF A CONFERIR"),IF(AP157&gt;0,AP157,IF(ISNUMBER(E157),E157,"")),IF(ISNUMBER(E157),E157,""))))</f>
        <v/>
      </c>
      <c r="AR157" s="96">
        <f>IF(NOT(ISNUMBER(U157)),0,IF(T157="RECEBIMENTO NÃO CONFIRMADO",IF(AND(ISNUMBER(cfg_rec),U157&gt;cfg_rec),1,0),IF(OR(T157="CDF NÃO LOCALIZADO",T157="VÍNCULO INCOMPLETO",T157="CDF A CONFERIR"),IF(AND(ISNUMBER(cfg_cdf),U157&gt;cfg_cdf),1,0),0)))</f>
        <v>0</v>
      </c>
      <c r="AS157" s="96" t="str">
        <f>IF(T157="","",IF(AR157=1,"Alta",IFERROR(INDEX(cfg_pp,MATCH(T157,cfg_pt,0))&amp;"","Média")))</f>
        <v/>
      </c>
      <c r="AT157" s="96" t="str">
        <f>IF(T157="","",IFERROR(INDEX(cfg_pv,MATCH(T157,cfg_pt,0))&amp;"",""))</f>
        <v/>
      </c>
      <c r="AU157" s="96" t="str">
        <f>IF(T157="","",IF(AS157="Alta",1,IF(AS157="Média",2,3))*1000000000+(999999-IF(ISNUMBER(U157),MIN(U157,999999),0))*1000+152)</f>
        <v/>
      </c>
      <c r="AV157" s="96">
        <f>IF(T157&lt;&gt;"",1,0)</f>
        <v>0</v>
      </c>
      <c r="AW157" s="96" t="str">
        <f>IF(Z157=0,"",IF(AA157=1,"Cancelamento informado; ","")&amp;IF(AE157=1,"Campos essenciais ou itens faltando; ","")&amp;IF(AC157=1,"Possível duplicidade do número; ","")&amp;IF(AD157=1,"Cadastro ou datas a revisar; ","")&amp;IF(AF157&gt;0,"Item de resíduo com dado a revisar; ","")&amp;IF(AH157&gt;0,"Diferença de quantidade a analisar; ","")&amp;IF(AK157&gt;0,"Recebimento com alerta; ","")&amp;IF(AL157&gt;0,"Vínculo de CDF com alerta; ","")&amp;IF(AND(AA157=0,AN157=0),"Recebimento não confirmado; ","")&amp;IF(AND(AA157=0,AN157=1,AO157=0),"CDF pendente ou a conferir; ",""))</f>
        <v/>
      </c>
      <c r="AX157" s="96">
        <f>IF(Z157=0,0,IF(AND(OR(f_ini="",AND(ISNUMBER(E157),E157&gt;=f_ini)),OR(f_fim="",AND(ISNUMBER(E157),E157&lt;=f_fim)),OR(f_un="",f_un="(Todas)",G157=f_un),OR(f_tr="",f_tr="(Todos)",H157=f_tr),OR(f_de="",f_de="(Todos)",I157=f_de),OR(f_sit="",f_sit="(Todas)",S157=f_sit)),1,0))</f>
        <v>0</v>
      </c>
      <c r="AY157" s="96">
        <f>IF(AX157=0,0,IF(OR(f_res="",f_res="(Todos)"),1,IF(COUNTIFS('ITENS_MTR'!$S$6:$S$1005,A157,'ITENS_MTR'!$C$6:$C$1005,f_res)&gt;0,1,0)))</f>
        <v>0</v>
      </c>
      <c r="AZ157" s="97" t="str">
        <f>IF(ISNUMBER(E157),DATE(YEAR(E157),MONTH(E157),1),"")</f>
        <v/>
      </c>
      <c r="BA157" s="96">
        <f>IF(Z157=0,0,IF(AND(OR(r_ini="",AND(ISNUMBER(E157),E157&gt;=r_ini)),OR(r_fim="",AND(ISNUMBER(E157),E157&lt;=r_fim)),OR(r_un="",r_un="(Todas)",G157=r_un),OR(r_de="",r_de="(Todos)",I157=r_de)),1,0))</f>
        <v>0</v>
      </c>
      <c r="BB157" s="96" t="str">
        <f>IF(BA157=1,COUNTIF($BA$6:BA157,1),"")</f>
        <v/>
      </c>
      <c r="BC157" s="96" t="str">
        <f>IF(AND(AU157&lt;&gt;"",OR(r_un="",r_un="(Todas)",G157=r_un),OR(r_de="",r_de="(Todos)",I157=r_de)),AU157,"")</f>
        <v/>
      </c>
      <c r="BD157" s="96" t="str">
        <f>IF(Z157=1,A157&amp;" | nº "&amp;IF(B157="","(sem número)",B157)&amp;" | "&amp;IF(G157="","(sem unidade)",G157),"")</f>
        <v/>
      </c>
      <c r="BE157" s="96" t="str">
        <f>IF(Z157=1,COUNTIF($Z$6:Z157,1),"")</f>
        <v/>
      </c>
      <c r="BF157" s="96" t="str">
        <f>IF(T157="","",IF(T157="RECEBIMENTO NÃO CONFIRMADO","Transp.: "&amp;H157&amp;" | Dest.: "&amp;I157,IF(OR(T157="CDF NÃO LOCALIZADO",T157="VÍNCULO INCOMPLETO",T157="CDF A CONFERIR"),"Dest.: "&amp;I157,"Gerador: "&amp;G157)))</f>
        <v/>
      </c>
    </row>
    <row r="158">
      <c r="A158" s="89" t="inlineStr">
        <is>
          <t>MTR-000153</t>
        </is>
      </c>
      <c r="B158" s="90" t="n"/>
      <c r="C158" s="91" t="n"/>
      <c r="D158" s="91" t="n"/>
      <c r="E158" s="92" t="n"/>
      <c r="F158" s="92" t="n"/>
      <c r="G158" s="91" t="n"/>
      <c r="H158" s="91" t="n"/>
      <c r="I158" s="91" t="n"/>
      <c r="J158" s="91" t="n"/>
      <c r="K158" s="91" t="n"/>
      <c r="L158" s="92" t="n"/>
      <c r="M158" s="91" t="n"/>
      <c r="N158" s="91" t="n"/>
      <c r="O158" s="91" t="n"/>
      <c r="P158" s="93" t="str">
        <f>IF(Z158=0,"",SUMIFS('ITENS_MTR'!$I$6:$I$1005,'ITENS_MTR'!$S$6:$S$1005,A158,'ITENS_MTR'!$Y$6:$Y$1005,1))</f>
        <v/>
      </c>
      <c r="Q158" s="93" t="str">
        <f>IF(Z158=0,"",SUMIFS('RECEBIMENTOS'!$H$6:$H$1005,'RECEBIMENTOS'!$B$6:$B$1005,A158,'RECEBIMENTOS'!$X$6:$X$1005,1))</f>
        <v/>
      </c>
      <c r="R158" s="93" t="str">
        <f>IF(Z158=0,"",SUMIFS('VÍNCULOS_CDF'!$H$6:$H$1005,'VÍNCULOS_CDF'!$D$6:$D$1005,A158,'VÍNCULOS_CDF'!$V$6:$V$1005,1))</f>
        <v/>
      </c>
      <c r="S158" s="94" t="str">
        <f>IF(Z158=0,"",IF(AA158=1,"Cancelado (informado)",IF(AE158=1,"Cadastro incompleto",IF(OR(AC158=1,AD158=1,AF158&gt;0,AH158&gt;0,AK158&gt;0,AL158&gt;0),"Informação a revisar",IF(AN158=0,"Aguardando recebimento",IF(N(R158)=0,"Aguardando CDF",IF(AJ158&lt;N(W158),"Vínculo de CDF parcial",IF(AO158=0,"CDF localizado, a conferir","Documentação conferida"))))))))</f>
        <v/>
      </c>
      <c r="T158" s="94" t="str">
        <f>IF(Z158=0,"",IF(S158="Cadastro incompleto","MTR INCOMPLETO",IF(S158="Informação a revisar",IF(AND(AH158&gt;0,AC158=0,AD158=0,AF158=0,AK158=0,AL158=0),"QUANTIDADE A REVISAR","IDENTIFICAÇÃO A REVISAR"),IF(S158="Aguardando recebimento","RECEBIMENTO NÃO CONFIRMADO",IF(S158="Aguardando CDF","CDF NÃO LOCALIZADO",IF(S158="Vínculo de CDF parcial","VÍNCULO INCOMPLETO",IF(S158="CDF localizado, a conferir","CDF A CONFERIR","")))))))</f>
        <v/>
      </c>
      <c r="U158" s="95" t="str">
        <f>IF(T158="","",IF(AQ158="","Não calculável",IF(AQ158&gt;TODAY(),"Data futura",TODAY()-AQ158)))</f>
        <v/>
      </c>
      <c r="V158" s="93" t="str">
        <f>IF(Z158=0,"",SUMIFS('RECEBIMENTOS'!$H$6:$H$1005,'RECEBIMENTOS'!$B$6:$B$1005,A158,'RECEBIMENTOS'!$Z$6:$Z$1005,1))</f>
        <v/>
      </c>
      <c r="W158" s="95" t="str">
        <f>IF(Z158=0,"",COUNTIFS('ITENS_MTR'!$S$6:$S$1005,A158,'ITENS_MTR'!$R$6:$R$1005,1))</f>
        <v/>
      </c>
      <c r="X158" s="94" t="str">
        <f>IF(AC158=1,"POSSÍVEL DUPLICIDADE","")</f>
        <v/>
      </c>
      <c r="Y158" s="94" t="str">
        <f>IF(Z158=0,"",IF(AW158="","Nenhuma",LEFT(AW158,LEN(AW158)-2)))</f>
        <v/>
      </c>
      <c r="Z158" s="96">
        <f>IF(COUNTA(B158:O158)&gt;0,1,0)</f>
        <v>0</v>
      </c>
      <c r="AA158" s="96">
        <f>IF(AND(Z158=1,K158&lt;&gt;""),IF(TRIM(K158)=TRIM(cfg_cancel),1,0),0)</f>
        <v>0</v>
      </c>
      <c r="AB158" s="96" t="str">
        <f>IF(AND(Z158=1,B158&lt;&gt;""),C158&amp;"|"&amp;D158&amp;"|"&amp;G158&amp;"|"&amp;TRIM(B158),"")</f>
        <v/>
      </c>
      <c r="AC158" s="96">
        <f>IF(AB158="",0,IF(SUMPRODUCT(--($AB$6:$AB$505=AB158))&gt;1,1,0))</f>
        <v>0</v>
      </c>
      <c r="AD158" s="96">
        <f>IF(Z158=0,0,IF(OR(AND(G158&lt;&gt;"",ISNA(MATCH(G158,'CAD_UNIDADES'!$C$6:$C$105,0))),AND(H158&lt;&gt;"",ISNA(MATCH(H158,cmp_transp,0))),AND(I158&lt;&gt;"",ISNA(MATCH(I158,cmp_dest,0))),AND(E158&lt;&gt;"",NOT(ISNUMBER(E158))),AND(F158&lt;&gt;"",NOT(ISNUMBER(F158))),AND(ISNUMBER(E158),ISNUMBER(F158),F158&lt;E158)),1,0))</f>
        <v>0</v>
      </c>
      <c r="AE158" s="96">
        <f>IF(Z158=0,0,IF(OR(B158="",C158="",E158="",G158="",H158="",I158="",N(W158)=0),1,0))</f>
        <v>0</v>
      </c>
      <c r="AF158" s="96">
        <f>IF(Z158=0,0,COUNTIFS('ITENS_MTR'!$S$6:$S$1005,A158,'ITENS_MTR'!$AI$6:$AI$1005,1))</f>
        <v>0</v>
      </c>
      <c r="AG158" s="96">
        <f>IF(Z158=0,0,COUNTIFS('ITENS_MTR'!$S$6:$S$1005,A158,'ITENS_MTR'!$AJ$6:$AJ$1005,1))</f>
        <v>0</v>
      </c>
      <c r="AH158" s="96">
        <f>IF(Z158=0,0,COUNTIFS('ITENS_MTR'!$S$6:$S$1005,A158,'ITENS_MTR'!$AM$6:$AM$1005,1))</f>
        <v>0</v>
      </c>
      <c r="AI158" s="96">
        <f>IF(Z158=0,0,COUNTIFS('ITENS_MTR'!$S$6:$S$1005,A158,'ITENS_MTR'!$AO$6:$AO$1005,1))</f>
        <v>0</v>
      </c>
      <c r="AJ158" s="96">
        <f>IF(Z158=0,0,COUNTIFS('ITENS_MTR'!$S$6:$S$1005,A158,'ITENS_MTR'!$AN$6:$AN$1005,1))</f>
        <v>0</v>
      </c>
      <c r="AK158" s="96">
        <f>IF(Z158=0,0,COUNTIFS('RECEBIMENTOS'!$B$6:$B$1005,A158,'RECEBIMENTOS'!$Y$6:$Y$1005,1))</f>
        <v>0</v>
      </c>
      <c r="AL158" s="96">
        <f>IF(Z158=0,0,COUNTIFS('VÍNCULOS_CDF'!$D$6:$D$1005,A158,'VÍNCULOS_CDF'!$Y$6:$Y$1005,1))</f>
        <v>0</v>
      </c>
      <c r="AM158" s="96">
        <f>IF(Z158=0,0,COUNTIFS('RECEBIMENTOS'!$B$6:$B$1005,A158,'RECEBIMENTOS'!$Q$6:$Q$1005,1))</f>
        <v>0</v>
      </c>
      <c r="AN158" s="96">
        <f>IF(AND(Z158=1,N(W158)&gt;0,AG158=N(W158)),1,0)</f>
        <v>0</v>
      </c>
      <c r="AO158" s="96">
        <f>IF(AND(Z158=1,N(W158)&gt;0,AI158=N(W158)),1,0)</f>
        <v>0</v>
      </c>
      <c r="AP158" s="97">
        <f>IF(Z158=0,0,_xlfn.MAXIFS('RECEBIMENTOS'!$E$6:$E$1005,'RECEBIMENTOS'!$B$6:$B$1005,A158))</f>
        <v>0</v>
      </c>
      <c r="AQ158" s="97" t="str">
        <f>IF(T158="","",IF(T158="RECEBIMENTO NÃO CONFIRMADO",IF(ISNUMBER(F158),F158,IF(ISNUMBER(E158),E158,"")),IF(OR(T158="CDF NÃO LOCALIZADO",T158="VÍNCULO INCOMPLETO",T158="CDF A CONFERIR"),IF(AP158&gt;0,AP158,IF(ISNUMBER(E158),E158,"")),IF(ISNUMBER(E158),E158,""))))</f>
        <v/>
      </c>
      <c r="AR158" s="96">
        <f>IF(NOT(ISNUMBER(U158)),0,IF(T158="RECEBIMENTO NÃO CONFIRMADO",IF(AND(ISNUMBER(cfg_rec),U158&gt;cfg_rec),1,0),IF(OR(T158="CDF NÃO LOCALIZADO",T158="VÍNCULO INCOMPLETO",T158="CDF A CONFERIR"),IF(AND(ISNUMBER(cfg_cdf),U158&gt;cfg_cdf),1,0),0)))</f>
        <v>0</v>
      </c>
      <c r="AS158" s="96" t="str">
        <f>IF(T158="","",IF(AR158=1,"Alta",IFERROR(INDEX(cfg_pp,MATCH(T158,cfg_pt,0))&amp;"","Média")))</f>
        <v/>
      </c>
      <c r="AT158" s="96" t="str">
        <f>IF(T158="","",IFERROR(INDEX(cfg_pv,MATCH(T158,cfg_pt,0))&amp;"",""))</f>
        <v/>
      </c>
      <c r="AU158" s="96" t="str">
        <f>IF(T158="","",IF(AS158="Alta",1,IF(AS158="Média",2,3))*1000000000+(999999-IF(ISNUMBER(U158),MIN(U158,999999),0))*1000+153)</f>
        <v/>
      </c>
      <c r="AV158" s="96">
        <f>IF(T158&lt;&gt;"",1,0)</f>
        <v>0</v>
      </c>
      <c r="AW158" s="96" t="str">
        <f>IF(Z158=0,"",IF(AA158=1,"Cancelamento informado; ","")&amp;IF(AE158=1,"Campos essenciais ou itens faltando; ","")&amp;IF(AC158=1,"Possível duplicidade do número; ","")&amp;IF(AD158=1,"Cadastro ou datas a revisar; ","")&amp;IF(AF158&gt;0,"Item de resíduo com dado a revisar; ","")&amp;IF(AH158&gt;0,"Diferença de quantidade a analisar; ","")&amp;IF(AK158&gt;0,"Recebimento com alerta; ","")&amp;IF(AL158&gt;0,"Vínculo de CDF com alerta; ","")&amp;IF(AND(AA158=0,AN158=0),"Recebimento não confirmado; ","")&amp;IF(AND(AA158=0,AN158=1,AO158=0),"CDF pendente ou a conferir; ",""))</f>
        <v/>
      </c>
      <c r="AX158" s="96">
        <f>IF(Z158=0,0,IF(AND(OR(f_ini="",AND(ISNUMBER(E158),E158&gt;=f_ini)),OR(f_fim="",AND(ISNUMBER(E158),E158&lt;=f_fim)),OR(f_un="",f_un="(Todas)",G158=f_un),OR(f_tr="",f_tr="(Todos)",H158=f_tr),OR(f_de="",f_de="(Todos)",I158=f_de),OR(f_sit="",f_sit="(Todas)",S158=f_sit)),1,0))</f>
        <v>0</v>
      </c>
      <c r="AY158" s="96">
        <f>IF(AX158=0,0,IF(OR(f_res="",f_res="(Todos)"),1,IF(COUNTIFS('ITENS_MTR'!$S$6:$S$1005,A158,'ITENS_MTR'!$C$6:$C$1005,f_res)&gt;0,1,0)))</f>
        <v>0</v>
      </c>
      <c r="AZ158" s="97" t="str">
        <f>IF(ISNUMBER(E158),DATE(YEAR(E158),MONTH(E158),1),"")</f>
        <v/>
      </c>
      <c r="BA158" s="96">
        <f>IF(Z158=0,0,IF(AND(OR(r_ini="",AND(ISNUMBER(E158),E158&gt;=r_ini)),OR(r_fim="",AND(ISNUMBER(E158),E158&lt;=r_fim)),OR(r_un="",r_un="(Todas)",G158=r_un),OR(r_de="",r_de="(Todos)",I158=r_de)),1,0))</f>
        <v>0</v>
      </c>
      <c r="BB158" s="96" t="str">
        <f>IF(BA158=1,COUNTIF($BA$6:BA158,1),"")</f>
        <v/>
      </c>
      <c r="BC158" s="96" t="str">
        <f>IF(AND(AU158&lt;&gt;"",OR(r_un="",r_un="(Todas)",G158=r_un),OR(r_de="",r_de="(Todos)",I158=r_de)),AU158,"")</f>
        <v/>
      </c>
      <c r="BD158" s="96" t="str">
        <f>IF(Z158=1,A158&amp;" | nº "&amp;IF(B158="","(sem número)",B158)&amp;" | "&amp;IF(G158="","(sem unidade)",G158),"")</f>
        <v/>
      </c>
      <c r="BE158" s="96" t="str">
        <f>IF(Z158=1,COUNTIF($Z$6:Z158,1),"")</f>
        <v/>
      </c>
      <c r="BF158" s="96" t="str">
        <f>IF(T158="","",IF(T158="RECEBIMENTO NÃO CONFIRMADO","Transp.: "&amp;H158&amp;" | Dest.: "&amp;I158,IF(OR(T158="CDF NÃO LOCALIZADO",T158="VÍNCULO INCOMPLETO",T158="CDF A CONFERIR"),"Dest.: "&amp;I158,"Gerador: "&amp;G158)))</f>
        <v/>
      </c>
    </row>
    <row r="159">
      <c r="A159" s="89" t="inlineStr">
        <is>
          <t>MTR-000154</t>
        </is>
      </c>
      <c r="B159" s="90" t="n"/>
      <c r="C159" s="91" t="n"/>
      <c r="D159" s="91" t="n"/>
      <c r="E159" s="92" t="n"/>
      <c r="F159" s="92" t="n"/>
      <c r="G159" s="91" t="n"/>
      <c r="H159" s="91" t="n"/>
      <c r="I159" s="91" t="n"/>
      <c r="J159" s="91" t="n"/>
      <c r="K159" s="91" t="n"/>
      <c r="L159" s="92" t="n"/>
      <c r="M159" s="91" t="n"/>
      <c r="N159" s="91" t="n"/>
      <c r="O159" s="91" t="n"/>
      <c r="P159" s="93" t="str">
        <f>IF(Z159=0,"",SUMIFS('ITENS_MTR'!$I$6:$I$1005,'ITENS_MTR'!$S$6:$S$1005,A159,'ITENS_MTR'!$Y$6:$Y$1005,1))</f>
        <v/>
      </c>
      <c r="Q159" s="93" t="str">
        <f>IF(Z159=0,"",SUMIFS('RECEBIMENTOS'!$H$6:$H$1005,'RECEBIMENTOS'!$B$6:$B$1005,A159,'RECEBIMENTOS'!$X$6:$X$1005,1))</f>
        <v/>
      </c>
      <c r="R159" s="93" t="str">
        <f>IF(Z159=0,"",SUMIFS('VÍNCULOS_CDF'!$H$6:$H$1005,'VÍNCULOS_CDF'!$D$6:$D$1005,A159,'VÍNCULOS_CDF'!$V$6:$V$1005,1))</f>
        <v/>
      </c>
      <c r="S159" s="94" t="str">
        <f>IF(Z159=0,"",IF(AA159=1,"Cancelado (informado)",IF(AE159=1,"Cadastro incompleto",IF(OR(AC159=1,AD159=1,AF159&gt;0,AH159&gt;0,AK159&gt;0,AL159&gt;0),"Informação a revisar",IF(AN159=0,"Aguardando recebimento",IF(N(R159)=0,"Aguardando CDF",IF(AJ159&lt;N(W159),"Vínculo de CDF parcial",IF(AO159=0,"CDF localizado, a conferir","Documentação conferida"))))))))</f>
        <v/>
      </c>
      <c r="T159" s="94" t="str">
        <f>IF(Z159=0,"",IF(S159="Cadastro incompleto","MTR INCOMPLETO",IF(S159="Informação a revisar",IF(AND(AH159&gt;0,AC159=0,AD159=0,AF159=0,AK159=0,AL159=0),"QUANTIDADE A REVISAR","IDENTIFICAÇÃO A REVISAR"),IF(S159="Aguardando recebimento","RECEBIMENTO NÃO CONFIRMADO",IF(S159="Aguardando CDF","CDF NÃO LOCALIZADO",IF(S159="Vínculo de CDF parcial","VÍNCULO INCOMPLETO",IF(S159="CDF localizado, a conferir","CDF A CONFERIR","")))))))</f>
        <v/>
      </c>
      <c r="U159" s="95" t="str">
        <f>IF(T159="","",IF(AQ159="","Não calculável",IF(AQ159&gt;TODAY(),"Data futura",TODAY()-AQ159)))</f>
        <v/>
      </c>
      <c r="V159" s="93" t="str">
        <f>IF(Z159=0,"",SUMIFS('RECEBIMENTOS'!$H$6:$H$1005,'RECEBIMENTOS'!$B$6:$B$1005,A159,'RECEBIMENTOS'!$Z$6:$Z$1005,1))</f>
        <v/>
      </c>
      <c r="W159" s="95" t="str">
        <f>IF(Z159=0,"",COUNTIFS('ITENS_MTR'!$S$6:$S$1005,A159,'ITENS_MTR'!$R$6:$R$1005,1))</f>
        <v/>
      </c>
      <c r="X159" s="94" t="str">
        <f>IF(AC159=1,"POSSÍVEL DUPLICIDADE","")</f>
        <v/>
      </c>
      <c r="Y159" s="94" t="str">
        <f>IF(Z159=0,"",IF(AW159="","Nenhuma",LEFT(AW159,LEN(AW159)-2)))</f>
        <v/>
      </c>
      <c r="Z159" s="96">
        <f>IF(COUNTA(B159:O159)&gt;0,1,0)</f>
        <v>0</v>
      </c>
      <c r="AA159" s="96">
        <f>IF(AND(Z159=1,K159&lt;&gt;""),IF(TRIM(K159)=TRIM(cfg_cancel),1,0),0)</f>
        <v>0</v>
      </c>
      <c r="AB159" s="96" t="str">
        <f>IF(AND(Z159=1,B159&lt;&gt;""),C159&amp;"|"&amp;D159&amp;"|"&amp;G159&amp;"|"&amp;TRIM(B159),"")</f>
        <v/>
      </c>
      <c r="AC159" s="96">
        <f>IF(AB159="",0,IF(SUMPRODUCT(--($AB$6:$AB$505=AB159))&gt;1,1,0))</f>
        <v>0</v>
      </c>
      <c r="AD159" s="96">
        <f>IF(Z159=0,0,IF(OR(AND(G159&lt;&gt;"",ISNA(MATCH(G159,'CAD_UNIDADES'!$C$6:$C$105,0))),AND(H159&lt;&gt;"",ISNA(MATCH(H159,cmp_transp,0))),AND(I159&lt;&gt;"",ISNA(MATCH(I159,cmp_dest,0))),AND(E159&lt;&gt;"",NOT(ISNUMBER(E159))),AND(F159&lt;&gt;"",NOT(ISNUMBER(F159))),AND(ISNUMBER(E159),ISNUMBER(F159),F159&lt;E159)),1,0))</f>
        <v>0</v>
      </c>
      <c r="AE159" s="96">
        <f>IF(Z159=0,0,IF(OR(B159="",C159="",E159="",G159="",H159="",I159="",N(W159)=0),1,0))</f>
        <v>0</v>
      </c>
      <c r="AF159" s="96">
        <f>IF(Z159=0,0,COUNTIFS('ITENS_MTR'!$S$6:$S$1005,A159,'ITENS_MTR'!$AI$6:$AI$1005,1))</f>
        <v>0</v>
      </c>
      <c r="AG159" s="96">
        <f>IF(Z159=0,0,COUNTIFS('ITENS_MTR'!$S$6:$S$1005,A159,'ITENS_MTR'!$AJ$6:$AJ$1005,1))</f>
        <v>0</v>
      </c>
      <c r="AH159" s="96">
        <f>IF(Z159=0,0,COUNTIFS('ITENS_MTR'!$S$6:$S$1005,A159,'ITENS_MTR'!$AM$6:$AM$1005,1))</f>
        <v>0</v>
      </c>
      <c r="AI159" s="96">
        <f>IF(Z159=0,0,COUNTIFS('ITENS_MTR'!$S$6:$S$1005,A159,'ITENS_MTR'!$AO$6:$AO$1005,1))</f>
        <v>0</v>
      </c>
      <c r="AJ159" s="96">
        <f>IF(Z159=0,0,COUNTIFS('ITENS_MTR'!$S$6:$S$1005,A159,'ITENS_MTR'!$AN$6:$AN$1005,1))</f>
        <v>0</v>
      </c>
      <c r="AK159" s="96">
        <f>IF(Z159=0,0,COUNTIFS('RECEBIMENTOS'!$B$6:$B$1005,A159,'RECEBIMENTOS'!$Y$6:$Y$1005,1))</f>
        <v>0</v>
      </c>
      <c r="AL159" s="96">
        <f>IF(Z159=0,0,COUNTIFS('VÍNCULOS_CDF'!$D$6:$D$1005,A159,'VÍNCULOS_CDF'!$Y$6:$Y$1005,1))</f>
        <v>0</v>
      </c>
      <c r="AM159" s="96">
        <f>IF(Z159=0,0,COUNTIFS('RECEBIMENTOS'!$B$6:$B$1005,A159,'RECEBIMENTOS'!$Q$6:$Q$1005,1))</f>
        <v>0</v>
      </c>
      <c r="AN159" s="96">
        <f>IF(AND(Z159=1,N(W159)&gt;0,AG159=N(W159)),1,0)</f>
        <v>0</v>
      </c>
      <c r="AO159" s="96">
        <f>IF(AND(Z159=1,N(W159)&gt;0,AI159=N(W159)),1,0)</f>
        <v>0</v>
      </c>
      <c r="AP159" s="97">
        <f>IF(Z159=0,0,_xlfn.MAXIFS('RECEBIMENTOS'!$E$6:$E$1005,'RECEBIMENTOS'!$B$6:$B$1005,A159))</f>
        <v>0</v>
      </c>
      <c r="AQ159" s="97" t="str">
        <f>IF(T159="","",IF(T159="RECEBIMENTO NÃO CONFIRMADO",IF(ISNUMBER(F159),F159,IF(ISNUMBER(E159),E159,"")),IF(OR(T159="CDF NÃO LOCALIZADO",T159="VÍNCULO INCOMPLETO",T159="CDF A CONFERIR"),IF(AP159&gt;0,AP159,IF(ISNUMBER(E159),E159,"")),IF(ISNUMBER(E159),E159,""))))</f>
        <v/>
      </c>
      <c r="AR159" s="96">
        <f>IF(NOT(ISNUMBER(U159)),0,IF(T159="RECEBIMENTO NÃO CONFIRMADO",IF(AND(ISNUMBER(cfg_rec),U159&gt;cfg_rec),1,0),IF(OR(T159="CDF NÃO LOCALIZADO",T159="VÍNCULO INCOMPLETO",T159="CDF A CONFERIR"),IF(AND(ISNUMBER(cfg_cdf),U159&gt;cfg_cdf),1,0),0)))</f>
        <v>0</v>
      </c>
      <c r="AS159" s="96" t="str">
        <f>IF(T159="","",IF(AR159=1,"Alta",IFERROR(INDEX(cfg_pp,MATCH(T159,cfg_pt,0))&amp;"","Média")))</f>
        <v/>
      </c>
      <c r="AT159" s="96" t="str">
        <f>IF(T159="","",IFERROR(INDEX(cfg_pv,MATCH(T159,cfg_pt,0))&amp;"",""))</f>
        <v/>
      </c>
      <c r="AU159" s="96" t="str">
        <f>IF(T159="","",IF(AS159="Alta",1,IF(AS159="Média",2,3))*1000000000+(999999-IF(ISNUMBER(U159),MIN(U159,999999),0))*1000+154)</f>
        <v/>
      </c>
      <c r="AV159" s="96">
        <f>IF(T159&lt;&gt;"",1,0)</f>
        <v>0</v>
      </c>
      <c r="AW159" s="96" t="str">
        <f>IF(Z159=0,"",IF(AA159=1,"Cancelamento informado; ","")&amp;IF(AE159=1,"Campos essenciais ou itens faltando; ","")&amp;IF(AC159=1,"Possível duplicidade do número; ","")&amp;IF(AD159=1,"Cadastro ou datas a revisar; ","")&amp;IF(AF159&gt;0,"Item de resíduo com dado a revisar; ","")&amp;IF(AH159&gt;0,"Diferença de quantidade a analisar; ","")&amp;IF(AK159&gt;0,"Recebimento com alerta; ","")&amp;IF(AL159&gt;0,"Vínculo de CDF com alerta; ","")&amp;IF(AND(AA159=0,AN159=0),"Recebimento não confirmado; ","")&amp;IF(AND(AA159=0,AN159=1,AO159=0),"CDF pendente ou a conferir; ",""))</f>
        <v/>
      </c>
      <c r="AX159" s="96">
        <f>IF(Z159=0,0,IF(AND(OR(f_ini="",AND(ISNUMBER(E159),E159&gt;=f_ini)),OR(f_fim="",AND(ISNUMBER(E159),E159&lt;=f_fim)),OR(f_un="",f_un="(Todas)",G159=f_un),OR(f_tr="",f_tr="(Todos)",H159=f_tr),OR(f_de="",f_de="(Todos)",I159=f_de),OR(f_sit="",f_sit="(Todas)",S159=f_sit)),1,0))</f>
        <v>0</v>
      </c>
      <c r="AY159" s="96">
        <f>IF(AX159=0,0,IF(OR(f_res="",f_res="(Todos)"),1,IF(COUNTIFS('ITENS_MTR'!$S$6:$S$1005,A159,'ITENS_MTR'!$C$6:$C$1005,f_res)&gt;0,1,0)))</f>
        <v>0</v>
      </c>
      <c r="AZ159" s="97" t="str">
        <f>IF(ISNUMBER(E159),DATE(YEAR(E159),MONTH(E159),1),"")</f>
        <v/>
      </c>
      <c r="BA159" s="96">
        <f>IF(Z159=0,0,IF(AND(OR(r_ini="",AND(ISNUMBER(E159),E159&gt;=r_ini)),OR(r_fim="",AND(ISNUMBER(E159),E159&lt;=r_fim)),OR(r_un="",r_un="(Todas)",G159=r_un),OR(r_de="",r_de="(Todos)",I159=r_de)),1,0))</f>
        <v>0</v>
      </c>
      <c r="BB159" s="96" t="str">
        <f>IF(BA159=1,COUNTIF($BA$6:BA159,1),"")</f>
        <v/>
      </c>
      <c r="BC159" s="96" t="str">
        <f>IF(AND(AU159&lt;&gt;"",OR(r_un="",r_un="(Todas)",G159=r_un),OR(r_de="",r_de="(Todos)",I159=r_de)),AU159,"")</f>
        <v/>
      </c>
      <c r="BD159" s="96" t="str">
        <f>IF(Z159=1,A159&amp;" | nº "&amp;IF(B159="","(sem número)",B159)&amp;" | "&amp;IF(G159="","(sem unidade)",G159),"")</f>
        <v/>
      </c>
      <c r="BE159" s="96" t="str">
        <f>IF(Z159=1,COUNTIF($Z$6:Z159,1),"")</f>
        <v/>
      </c>
      <c r="BF159" s="96" t="str">
        <f>IF(T159="","",IF(T159="RECEBIMENTO NÃO CONFIRMADO","Transp.: "&amp;H159&amp;" | Dest.: "&amp;I159,IF(OR(T159="CDF NÃO LOCALIZADO",T159="VÍNCULO INCOMPLETO",T159="CDF A CONFERIR"),"Dest.: "&amp;I159,"Gerador: "&amp;G159)))</f>
        <v/>
      </c>
    </row>
    <row r="160">
      <c r="A160" s="89" t="inlineStr">
        <is>
          <t>MTR-000155</t>
        </is>
      </c>
      <c r="B160" s="90" t="n"/>
      <c r="C160" s="91" t="n"/>
      <c r="D160" s="91" t="n"/>
      <c r="E160" s="92" t="n"/>
      <c r="F160" s="92" t="n"/>
      <c r="G160" s="91" t="n"/>
      <c r="H160" s="91" t="n"/>
      <c r="I160" s="91" t="n"/>
      <c r="J160" s="91" t="n"/>
      <c r="K160" s="91" t="n"/>
      <c r="L160" s="92" t="n"/>
      <c r="M160" s="91" t="n"/>
      <c r="N160" s="91" t="n"/>
      <c r="O160" s="91" t="n"/>
      <c r="P160" s="93" t="str">
        <f>IF(Z160=0,"",SUMIFS('ITENS_MTR'!$I$6:$I$1005,'ITENS_MTR'!$S$6:$S$1005,A160,'ITENS_MTR'!$Y$6:$Y$1005,1))</f>
        <v/>
      </c>
      <c r="Q160" s="93" t="str">
        <f>IF(Z160=0,"",SUMIFS('RECEBIMENTOS'!$H$6:$H$1005,'RECEBIMENTOS'!$B$6:$B$1005,A160,'RECEBIMENTOS'!$X$6:$X$1005,1))</f>
        <v/>
      </c>
      <c r="R160" s="93" t="str">
        <f>IF(Z160=0,"",SUMIFS('VÍNCULOS_CDF'!$H$6:$H$1005,'VÍNCULOS_CDF'!$D$6:$D$1005,A160,'VÍNCULOS_CDF'!$V$6:$V$1005,1))</f>
        <v/>
      </c>
      <c r="S160" s="94" t="str">
        <f>IF(Z160=0,"",IF(AA160=1,"Cancelado (informado)",IF(AE160=1,"Cadastro incompleto",IF(OR(AC160=1,AD160=1,AF160&gt;0,AH160&gt;0,AK160&gt;0,AL160&gt;0),"Informação a revisar",IF(AN160=0,"Aguardando recebimento",IF(N(R160)=0,"Aguardando CDF",IF(AJ160&lt;N(W160),"Vínculo de CDF parcial",IF(AO160=0,"CDF localizado, a conferir","Documentação conferida"))))))))</f>
        <v/>
      </c>
      <c r="T160" s="94" t="str">
        <f>IF(Z160=0,"",IF(S160="Cadastro incompleto","MTR INCOMPLETO",IF(S160="Informação a revisar",IF(AND(AH160&gt;0,AC160=0,AD160=0,AF160=0,AK160=0,AL160=0),"QUANTIDADE A REVISAR","IDENTIFICAÇÃO A REVISAR"),IF(S160="Aguardando recebimento","RECEBIMENTO NÃO CONFIRMADO",IF(S160="Aguardando CDF","CDF NÃO LOCALIZADO",IF(S160="Vínculo de CDF parcial","VÍNCULO INCOMPLETO",IF(S160="CDF localizado, a conferir","CDF A CONFERIR","")))))))</f>
        <v/>
      </c>
      <c r="U160" s="95" t="str">
        <f>IF(T160="","",IF(AQ160="","Não calculável",IF(AQ160&gt;TODAY(),"Data futura",TODAY()-AQ160)))</f>
        <v/>
      </c>
      <c r="V160" s="93" t="str">
        <f>IF(Z160=0,"",SUMIFS('RECEBIMENTOS'!$H$6:$H$1005,'RECEBIMENTOS'!$B$6:$B$1005,A160,'RECEBIMENTOS'!$Z$6:$Z$1005,1))</f>
        <v/>
      </c>
      <c r="W160" s="95" t="str">
        <f>IF(Z160=0,"",COUNTIFS('ITENS_MTR'!$S$6:$S$1005,A160,'ITENS_MTR'!$R$6:$R$1005,1))</f>
        <v/>
      </c>
      <c r="X160" s="94" t="str">
        <f>IF(AC160=1,"POSSÍVEL DUPLICIDADE","")</f>
        <v/>
      </c>
      <c r="Y160" s="94" t="str">
        <f>IF(Z160=0,"",IF(AW160="","Nenhuma",LEFT(AW160,LEN(AW160)-2)))</f>
        <v/>
      </c>
      <c r="Z160" s="96">
        <f>IF(COUNTA(B160:O160)&gt;0,1,0)</f>
        <v>0</v>
      </c>
      <c r="AA160" s="96">
        <f>IF(AND(Z160=1,K160&lt;&gt;""),IF(TRIM(K160)=TRIM(cfg_cancel),1,0),0)</f>
        <v>0</v>
      </c>
      <c r="AB160" s="96" t="str">
        <f>IF(AND(Z160=1,B160&lt;&gt;""),C160&amp;"|"&amp;D160&amp;"|"&amp;G160&amp;"|"&amp;TRIM(B160),"")</f>
        <v/>
      </c>
      <c r="AC160" s="96">
        <f>IF(AB160="",0,IF(SUMPRODUCT(--($AB$6:$AB$505=AB160))&gt;1,1,0))</f>
        <v>0</v>
      </c>
      <c r="AD160" s="96">
        <f>IF(Z160=0,0,IF(OR(AND(G160&lt;&gt;"",ISNA(MATCH(G160,'CAD_UNIDADES'!$C$6:$C$105,0))),AND(H160&lt;&gt;"",ISNA(MATCH(H160,cmp_transp,0))),AND(I160&lt;&gt;"",ISNA(MATCH(I160,cmp_dest,0))),AND(E160&lt;&gt;"",NOT(ISNUMBER(E160))),AND(F160&lt;&gt;"",NOT(ISNUMBER(F160))),AND(ISNUMBER(E160),ISNUMBER(F160),F160&lt;E160)),1,0))</f>
        <v>0</v>
      </c>
      <c r="AE160" s="96">
        <f>IF(Z160=0,0,IF(OR(B160="",C160="",E160="",G160="",H160="",I160="",N(W160)=0),1,0))</f>
        <v>0</v>
      </c>
      <c r="AF160" s="96">
        <f>IF(Z160=0,0,COUNTIFS('ITENS_MTR'!$S$6:$S$1005,A160,'ITENS_MTR'!$AI$6:$AI$1005,1))</f>
        <v>0</v>
      </c>
      <c r="AG160" s="96">
        <f>IF(Z160=0,0,COUNTIFS('ITENS_MTR'!$S$6:$S$1005,A160,'ITENS_MTR'!$AJ$6:$AJ$1005,1))</f>
        <v>0</v>
      </c>
      <c r="AH160" s="96">
        <f>IF(Z160=0,0,COUNTIFS('ITENS_MTR'!$S$6:$S$1005,A160,'ITENS_MTR'!$AM$6:$AM$1005,1))</f>
        <v>0</v>
      </c>
      <c r="AI160" s="96">
        <f>IF(Z160=0,0,COUNTIFS('ITENS_MTR'!$S$6:$S$1005,A160,'ITENS_MTR'!$AO$6:$AO$1005,1))</f>
        <v>0</v>
      </c>
      <c r="AJ160" s="96">
        <f>IF(Z160=0,0,COUNTIFS('ITENS_MTR'!$S$6:$S$1005,A160,'ITENS_MTR'!$AN$6:$AN$1005,1))</f>
        <v>0</v>
      </c>
      <c r="AK160" s="96">
        <f>IF(Z160=0,0,COUNTIFS('RECEBIMENTOS'!$B$6:$B$1005,A160,'RECEBIMENTOS'!$Y$6:$Y$1005,1))</f>
        <v>0</v>
      </c>
      <c r="AL160" s="96">
        <f>IF(Z160=0,0,COUNTIFS('VÍNCULOS_CDF'!$D$6:$D$1005,A160,'VÍNCULOS_CDF'!$Y$6:$Y$1005,1))</f>
        <v>0</v>
      </c>
      <c r="AM160" s="96">
        <f>IF(Z160=0,0,COUNTIFS('RECEBIMENTOS'!$B$6:$B$1005,A160,'RECEBIMENTOS'!$Q$6:$Q$1005,1))</f>
        <v>0</v>
      </c>
      <c r="AN160" s="96">
        <f>IF(AND(Z160=1,N(W160)&gt;0,AG160=N(W160)),1,0)</f>
        <v>0</v>
      </c>
      <c r="AO160" s="96">
        <f>IF(AND(Z160=1,N(W160)&gt;0,AI160=N(W160)),1,0)</f>
        <v>0</v>
      </c>
      <c r="AP160" s="97">
        <f>IF(Z160=0,0,_xlfn.MAXIFS('RECEBIMENTOS'!$E$6:$E$1005,'RECEBIMENTOS'!$B$6:$B$1005,A160))</f>
        <v>0</v>
      </c>
      <c r="AQ160" s="97" t="str">
        <f>IF(T160="","",IF(T160="RECEBIMENTO NÃO CONFIRMADO",IF(ISNUMBER(F160),F160,IF(ISNUMBER(E160),E160,"")),IF(OR(T160="CDF NÃO LOCALIZADO",T160="VÍNCULO INCOMPLETO",T160="CDF A CONFERIR"),IF(AP160&gt;0,AP160,IF(ISNUMBER(E160),E160,"")),IF(ISNUMBER(E160),E160,""))))</f>
        <v/>
      </c>
      <c r="AR160" s="96">
        <f>IF(NOT(ISNUMBER(U160)),0,IF(T160="RECEBIMENTO NÃO CONFIRMADO",IF(AND(ISNUMBER(cfg_rec),U160&gt;cfg_rec),1,0),IF(OR(T160="CDF NÃO LOCALIZADO",T160="VÍNCULO INCOMPLETO",T160="CDF A CONFERIR"),IF(AND(ISNUMBER(cfg_cdf),U160&gt;cfg_cdf),1,0),0)))</f>
        <v>0</v>
      </c>
      <c r="AS160" s="96" t="str">
        <f>IF(T160="","",IF(AR160=1,"Alta",IFERROR(INDEX(cfg_pp,MATCH(T160,cfg_pt,0))&amp;"","Média")))</f>
        <v/>
      </c>
      <c r="AT160" s="96" t="str">
        <f>IF(T160="","",IFERROR(INDEX(cfg_pv,MATCH(T160,cfg_pt,0))&amp;"",""))</f>
        <v/>
      </c>
      <c r="AU160" s="96" t="str">
        <f>IF(T160="","",IF(AS160="Alta",1,IF(AS160="Média",2,3))*1000000000+(999999-IF(ISNUMBER(U160),MIN(U160,999999),0))*1000+155)</f>
        <v/>
      </c>
      <c r="AV160" s="96">
        <f>IF(T160&lt;&gt;"",1,0)</f>
        <v>0</v>
      </c>
      <c r="AW160" s="96" t="str">
        <f>IF(Z160=0,"",IF(AA160=1,"Cancelamento informado; ","")&amp;IF(AE160=1,"Campos essenciais ou itens faltando; ","")&amp;IF(AC160=1,"Possível duplicidade do número; ","")&amp;IF(AD160=1,"Cadastro ou datas a revisar; ","")&amp;IF(AF160&gt;0,"Item de resíduo com dado a revisar; ","")&amp;IF(AH160&gt;0,"Diferença de quantidade a analisar; ","")&amp;IF(AK160&gt;0,"Recebimento com alerta; ","")&amp;IF(AL160&gt;0,"Vínculo de CDF com alerta; ","")&amp;IF(AND(AA160=0,AN160=0),"Recebimento não confirmado; ","")&amp;IF(AND(AA160=0,AN160=1,AO160=0),"CDF pendente ou a conferir; ",""))</f>
        <v/>
      </c>
      <c r="AX160" s="96">
        <f>IF(Z160=0,0,IF(AND(OR(f_ini="",AND(ISNUMBER(E160),E160&gt;=f_ini)),OR(f_fim="",AND(ISNUMBER(E160),E160&lt;=f_fim)),OR(f_un="",f_un="(Todas)",G160=f_un),OR(f_tr="",f_tr="(Todos)",H160=f_tr),OR(f_de="",f_de="(Todos)",I160=f_de),OR(f_sit="",f_sit="(Todas)",S160=f_sit)),1,0))</f>
        <v>0</v>
      </c>
      <c r="AY160" s="96">
        <f>IF(AX160=0,0,IF(OR(f_res="",f_res="(Todos)"),1,IF(COUNTIFS('ITENS_MTR'!$S$6:$S$1005,A160,'ITENS_MTR'!$C$6:$C$1005,f_res)&gt;0,1,0)))</f>
        <v>0</v>
      </c>
      <c r="AZ160" s="97" t="str">
        <f>IF(ISNUMBER(E160),DATE(YEAR(E160),MONTH(E160),1),"")</f>
        <v/>
      </c>
      <c r="BA160" s="96">
        <f>IF(Z160=0,0,IF(AND(OR(r_ini="",AND(ISNUMBER(E160),E160&gt;=r_ini)),OR(r_fim="",AND(ISNUMBER(E160),E160&lt;=r_fim)),OR(r_un="",r_un="(Todas)",G160=r_un),OR(r_de="",r_de="(Todos)",I160=r_de)),1,0))</f>
        <v>0</v>
      </c>
      <c r="BB160" s="96" t="str">
        <f>IF(BA160=1,COUNTIF($BA$6:BA160,1),"")</f>
        <v/>
      </c>
      <c r="BC160" s="96" t="str">
        <f>IF(AND(AU160&lt;&gt;"",OR(r_un="",r_un="(Todas)",G160=r_un),OR(r_de="",r_de="(Todos)",I160=r_de)),AU160,"")</f>
        <v/>
      </c>
      <c r="BD160" s="96" t="str">
        <f>IF(Z160=1,A160&amp;" | nº "&amp;IF(B160="","(sem número)",B160)&amp;" | "&amp;IF(G160="","(sem unidade)",G160),"")</f>
        <v/>
      </c>
      <c r="BE160" s="96" t="str">
        <f>IF(Z160=1,COUNTIF($Z$6:Z160,1),"")</f>
        <v/>
      </c>
      <c r="BF160" s="96" t="str">
        <f>IF(T160="","",IF(T160="RECEBIMENTO NÃO CONFIRMADO","Transp.: "&amp;H160&amp;" | Dest.: "&amp;I160,IF(OR(T160="CDF NÃO LOCALIZADO",T160="VÍNCULO INCOMPLETO",T160="CDF A CONFERIR"),"Dest.: "&amp;I160,"Gerador: "&amp;G160)))</f>
        <v/>
      </c>
    </row>
    <row r="161">
      <c r="A161" s="89" t="inlineStr">
        <is>
          <t>MTR-000156</t>
        </is>
      </c>
      <c r="B161" s="90" t="n"/>
      <c r="C161" s="91" t="n"/>
      <c r="D161" s="91" t="n"/>
      <c r="E161" s="92" t="n"/>
      <c r="F161" s="92" t="n"/>
      <c r="G161" s="91" t="n"/>
      <c r="H161" s="91" t="n"/>
      <c r="I161" s="91" t="n"/>
      <c r="J161" s="91" t="n"/>
      <c r="K161" s="91" t="n"/>
      <c r="L161" s="92" t="n"/>
      <c r="M161" s="91" t="n"/>
      <c r="N161" s="91" t="n"/>
      <c r="O161" s="91" t="n"/>
      <c r="P161" s="93" t="str">
        <f>IF(Z161=0,"",SUMIFS('ITENS_MTR'!$I$6:$I$1005,'ITENS_MTR'!$S$6:$S$1005,A161,'ITENS_MTR'!$Y$6:$Y$1005,1))</f>
        <v/>
      </c>
      <c r="Q161" s="93" t="str">
        <f>IF(Z161=0,"",SUMIFS('RECEBIMENTOS'!$H$6:$H$1005,'RECEBIMENTOS'!$B$6:$B$1005,A161,'RECEBIMENTOS'!$X$6:$X$1005,1))</f>
        <v/>
      </c>
      <c r="R161" s="93" t="str">
        <f>IF(Z161=0,"",SUMIFS('VÍNCULOS_CDF'!$H$6:$H$1005,'VÍNCULOS_CDF'!$D$6:$D$1005,A161,'VÍNCULOS_CDF'!$V$6:$V$1005,1))</f>
        <v/>
      </c>
      <c r="S161" s="94" t="str">
        <f>IF(Z161=0,"",IF(AA161=1,"Cancelado (informado)",IF(AE161=1,"Cadastro incompleto",IF(OR(AC161=1,AD161=1,AF161&gt;0,AH161&gt;0,AK161&gt;0,AL161&gt;0),"Informação a revisar",IF(AN161=0,"Aguardando recebimento",IF(N(R161)=0,"Aguardando CDF",IF(AJ161&lt;N(W161),"Vínculo de CDF parcial",IF(AO161=0,"CDF localizado, a conferir","Documentação conferida"))))))))</f>
        <v/>
      </c>
      <c r="T161" s="94" t="str">
        <f>IF(Z161=0,"",IF(S161="Cadastro incompleto","MTR INCOMPLETO",IF(S161="Informação a revisar",IF(AND(AH161&gt;0,AC161=0,AD161=0,AF161=0,AK161=0,AL161=0),"QUANTIDADE A REVISAR","IDENTIFICAÇÃO A REVISAR"),IF(S161="Aguardando recebimento","RECEBIMENTO NÃO CONFIRMADO",IF(S161="Aguardando CDF","CDF NÃO LOCALIZADO",IF(S161="Vínculo de CDF parcial","VÍNCULO INCOMPLETO",IF(S161="CDF localizado, a conferir","CDF A CONFERIR","")))))))</f>
        <v/>
      </c>
      <c r="U161" s="95" t="str">
        <f>IF(T161="","",IF(AQ161="","Não calculável",IF(AQ161&gt;TODAY(),"Data futura",TODAY()-AQ161)))</f>
        <v/>
      </c>
      <c r="V161" s="93" t="str">
        <f>IF(Z161=0,"",SUMIFS('RECEBIMENTOS'!$H$6:$H$1005,'RECEBIMENTOS'!$B$6:$B$1005,A161,'RECEBIMENTOS'!$Z$6:$Z$1005,1))</f>
        <v/>
      </c>
      <c r="W161" s="95" t="str">
        <f>IF(Z161=0,"",COUNTIFS('ITENS_MTR'!$S$6:$S$1005,A161,'ITENS_MTR'!$R$6:$R$1005,1))</f>
        <v/>
      </c>
      <c r="X161" s="94" t="str">
        <f>IF(AC161=1,"POSSÍVEL DUPLICIDADE","")</f>
        <v/>
      </c>
      <c r="Y161" s="94" t="str">
        <f>IF(Z161=0,"",IF(AW161="","Nenhuma",LEFT(AW161,LEN(AW161)-2)))</f>
        <v/>
      </c>
      <c r="Z161" s="96">
        <f>IF(COUNTA(B161:O161)&gt;0,1,0)</f>
        <v>0</v>
      </c>
      <c r="AA161" s="96">
        <f>IF(AND(Z161=1,K161&lt;&gt;""),IF(TRIM(K161)=TRIM(cfg_cancel),1,0),0)</f>
        <v>0</v>
      </c>
      <c r="AB161" s="96" t="str">
        <f>IF(AND(Z161=1,B161&lt;&gt;""),C161&amp;"|"&amp;D161&amp;"|"&amp;G161&amp;"|"&amp;TRIM(B161),"")</f>
        <v/>
      </c>
      <c r="AC161" s="96">
        <f>IF(AB161="",0,IF(SUMPRODUCT(--($AB$6:$AB$505=AB161))&gt;1,1,0))</f>
        <v>0</v>
      </c>
      <c r="AD161" s="96">
        <f>IF(Z161=0,0,IF(OR(AND(G161&lt;&gt;"",ISNA(MATCH(G161,'CAD_UNIDADES'!$C$6:$C$105,0))),AND(H161&lt;&gt;"",ISNA(MATCH(H161,cmp_transp,0))),AND(I161&lt;&gt;"",ISNA(MATCH(I161,cmp_dest,0))),AND(E161&lt;&gt;"",NOT(ISNUMBER(E161))),AND(F161&lt;&gt;"",NOT(ISNUMBER(F161))),AND(ISNUMBER(E161),ISNUMBER(F161),F161&lt;E161)),1,0))</f>
        <v>0</v>
      </c>
      <c r="AE161" s="96">
        <f>IF(Z161=0,0,IF(OR(B161="",C161="",E161="",G161="",H161="",I161="",N(W161)=0),1,0))</f>
        <v>0</v>
      </c>
      <c r="AF161" s="96">
        <f>IF(Z161=0,0,COUNTIFS('ITENS_MTR'!$S$6:$S$1005,A161,'ITENS_MTR'!$AI$6:$AI$1005,1))</f>
        <v>0</v>
      </c>
      <c r="AG161" s="96">
        <f>IF(Z161=0,0,COUNTIFS('ITENS_MTR'!$S$6:$S$1005,A161,'ITENS_MTR'!$AJ$6:$AJ$1005,1))</f>
        <v>0</v>
      </c>
      <c r="AH161" s="96">
        <f>IF(Z161=0,0,COUNTIFS('ITENS_MTR'!$S$6:$S$1005,A161,'ITENS_MTR'!$AM$6:$AM$1005,1))</f>
        <v>0</v>
      </c>
      <c r="AI161" s="96">
        <f>IF(Z161=0,0,COUNTIFS('ITENS_MTR'!$S$6:$S$1005,A161,'ITENS_MTR'!$AO$6:$AO$1005,1))</f>
        <v>0</v>
      </c>
      <c r="AJ161" s="96">
        <f>IF(Z161=0,0,COUNTIFS('ITENS_MTR'!$S$6:$S$1005,A161,'ITENS_MTR'!$AN$6:$AN$1005,1))</f>
        <v>0</v>
      </c>
      <c r="AK161" s="96">
        <f>IF(Z161=0,0,COUNTIFS('RECEBIMENTOS'!$B$6:$B$1005,A161,'RECEBIMENTOS'!$Y$6:$Y$1005,1))</f>
        <v>0</v>
      </c>
      <c r="AL161" s="96">
        <f>IF(Z161=0,0,COUNTIFS('VÍNCULOS_CDF'!$D$6:$D$1005,A161,'VÍNCULOS_CDF'!$Y$6:$Y$1005,1))</f>
        <v>0</v>
      </c>
      <c r="AM161" s="96">
        <f>IF(Z161=0,0,COUNTIFS('RECEBIMENTOS'!$B$6:$B$1005,A161,'RECEBIMENTOS'!$Q$6:$Q$1005,1))</f>
        <v>0</v>
      </c>
      <c r="AN161" s="96">
        <f>IF(AND(Z161=1,N(W161)&gt;0,AG161=N(W161)),1,0)</f>
        <v>0</v>
      </c>
      <c r="AO161" s="96">
        <f>IF(AND(Z161=1,N(W161)&gt;0,AI161=N(W161)),1,0)</f>
        <v>0</v>
      </c>
      <c r="AP161" s="97">
        <f>IF(Z161=0,0,_xlfn.MAXIFS('RECEBIMENTOS'!$E$6:$E$1005,'RECEBIMENTOS'!$B$6:$B$1005,A161))</f>
        <v>0</v>
      </c>
      <c r="AQ161" s="97" t="str">
        <f>IF(T161="","",IF(T161="RECEBIMENTO NÃO CONFIRMADO",IF(ISNUMBER(F161),F161,IF(ISNUMBER(E161),E161,"")),IF(OR(T161="CDF NÃO LOCALIZADO",T161="VÍNCULO INCOMPLETO",T161="CDF A CONFERIR"),IF(AP161&gt;0,AP161,IF(ISNUMBER(E161),E161,"")),IF(ISNUMBER(E161),E161,""))))</f>
        <v/>
      </c>
      <c r="AR161" s="96">
        <f>IF(NOT(ISNUMBER(U161)),0,IF(T161="RECEBIMENTO NÃO CONFIRMADO",IF(AND(ISNUMBER(cfg_rec),U161&gt;cfg_rec),1,0),IF(OR(T161="CDF NÃO LOCALIZADO",T161="VÍNCULO INCOMPLETO",T161="CDF A CONFERIR"),IF(AND(ISNUMBER(cfg_cdf),U161&gt;cfg_cdf),1,0),0)))</f>
        <v>0</v>
      </c>
      <c r="AS161" s="96" t="str">
        <f>IF(T161="","",IF(AR161=1,"Alta",IFERROR(INDEX(cfg_pp,MATCH(T161,cfg_pt,0))&amp;"","Média")))</f>
        <v/>
      </c>
      <c r="AT161" s="96" t="str">
        <f>IF(T161="","",IFERROR(INDEX(cfg_pv,MATCH(T161,cfg_pt,0))&amp;"",""))</f>
        <v/>
      </c>
      <c r="AU161" s="96" t="str">
        <f>IF(T161="","",IF(AS161="Alta",1,IF(AS161="Média",2,3))*1000000000+(999999-IF(ISNUMBER(U161),MIN(U161,999999),0))*1000+156)</f>
        <v/>
      </c>
      <c r="AV161" s="96">
        <f>IF(T161&lt;&gt;"",1,0)</f>
        <v>0</v>
      </c>
      <c r="AW161" s="96" t="str">
        <f>IF(Z161=0,"",IF(AA161=1,"Cancelamento informado; ","")&amp;IF(AE161=1,"Campos essenciais ou itens faltando; ","")&amp;IF(AC161=1,"Possível duplicidade do número; ","")&amp;IF(AD161=1,"Cadastro ou datas a revisar; ","")&amp;IF(AF161&gt;0,"Item de resíduo com dado a revisar; ","")&amp;IF(AH161&gt;0,"Diferença de quantidade a analisar; ","")&amp;IF(AK161&gt;0,"Recebimento com alerta; ","")&amp;IF(AL161&gt;0,"Vínculo de CDF com alerta; ","")&amp;IF(AND(AA161=0,AN161=0),"Recebimento não confirmado; ","")&amp;IF(AND(AA161=0,AN161=1,AO161=0),"CDF pendente ou a conferir; ",""))</f>
        <v/>
      </c>
      <c r="AX161" s="96">
        <f>IF(Z161=0,0,IF(AND(OR(f_ini="",AND(ISNUMBER(E161),E161&gt;=f_ini)),OR(f_fim="",AND(ISNUMBER(E161),E161&lt;=f_fim)),OR(f_un="",f_un="(Todas)",G161=f_un),OR(f_tr="",f_tr="(Todos)",H161=f_tr),OR(f_de="",f_de="(Todos)",I161=f_de),OR(f_sit="",f_sit="(Todas)",S161=f_sit)),1,0))</f>
        <v>0</v>
      </c>
      <c r="AY161" s="96">
        <f>IF(AX161=0,0,IF(OR(f_res="",f_res="(Todos)"),1,IF(COUNTIFS('ITENS_MTR'!$S$6:$S$1005,A161,'ITENS_MTR'!$C$6:$C$1005,f_res)&gt;0,1,0)))</f>
        <v>0</v>
      </c>
      <c r="AZ161" s="97" t="str">
        <f>IF(ISNUMBER(E161),DATE(YEAR(E161),MONTH(E161),1),"")</f>
        <v/>
      </c>
      <c r="BA161" s="96">
        <f>IF(Z161=0,0,IF(AND(OR(r_ini="",AND(ISNUMBER(E161),E161&gt;=r_ini)),OR(r_fim="",AND(ISNUMBER(E161),E161&lt;=r_fim)),OR(r_un="",r_un="(Todas)",G161=r_un),OR(r_de="",r_de="(Todos)",I161=r_de)),1,0))</f>
        <v>0</v>
      </c>
      <c r="BB161" s="96" t="str">
        <f>IF(BA161=1,COUNTIF($BA$6:BA161,1),"")</f>
        <v/>
      </c>
      <c r="BC161" s="96" t="str">
        <f>IF(AND(AU161&lt;&gt;"",OR(r_un="",r_un="(Todas)",G161=r_un),OR(r_de="",r_de="(Todos)",I161=r_de)),AU161,"")</f>
        <v/>
      </c>
      <c r="BD161" s="96" t="str">
        <f>IF(Z161=1,A161&amp;" | nº "&amp;IF(B161="","(sem número)",B161)&amp;" | "&amp;IF(G161="","(sem unidade)",G161),"")</f>
        <v/>
      </c>
      <c r="BE161" s="96" t="str">
        <f>IF(Z161=1,COUNTIF($Z$6:Z161,1),"")</f>
        <v/>
      </c>
      <c r="BF161" s="96" t="str">
        <f>IF(T161="","",IF(T161="RECEBIMENTO NÃO CONFIRMADO","Transp.: "&amp;H161&amp;" | Dest.: "&amp;I161,IF(OR(T161="CDF NÃO LOCALIZADO",T161="VÍNCULO INCOMPLETO",T161="CDF A CONFERIR"),"Dest.: "&amp;I161,"Gerador: "&amp;G161)))</f>
        <v/>
      </c>
    </row>
    <row r="162">
      <c r="A162" s="89" t="inlineStr">
        <is>
          <t>MTR-000157</t>
        </is>
      </c>
      <c r="B162" s="90" t="n"/>
      <c r="C162" s="91" t="n"/>
      <c r="D162" s="91" t="n"/>
      <c r="E162" s="92" t="n"/>
      <c r="F162" s="92" t="n"/>
      <c r="G162" s="91" t="n"/>
      <c r="H162" s="91" t="n"/>
      <c r="I162" s="91" t="n"/>
      <c r="J162" s="91" t="n"/>
      <c r="K162" s="91" t="n"/>
      <c r="L162" s="92" t="n"/>
      <c r="M162" s="91" t="n"/>
      <c r="N162" s="91" t="n"/>
      <c r="O162" s="91" t="n"/>
      <c r="P162" s="93" t="str">
        <f>IF(Z162=0,"",SUMIFS('ITENS_MTR'!$I$6:$I$1005,'ITENS_MTR'!$S$6:$S$1005,A162,'ITENS_MTR'!$Y$6:$Y$1005,1))</f>
        <v/>
      </c>
      <c r="Q162" s="93" t="str">
        <f>IF(Z162=0,"",SUMIFS('RECEBIMENTOS'!$H$6:$H$1005,'RECEBIMENTOS'!$B$6:$B$1005,A162,'RECEBIMENTOS'!$X$6:$X$1005,1))</f>
        <v/>
      </c>
      <c r="R162" s="93" t="str">
        <f>IF(Z162=0,"",SUMIFS('VÍNCULOS_CDF'!$H$6:$H$1005,'VÍNCULOS_CDF'!$D$6:$D$1005,A162,'VÍNCULOS_CDF'!$V$6:$V$1005,1))</f>
        <v/>
      </c>
      <c r="S162" s="94" t="str">
        <f>IF(Z162=0,"",IF(AA162=1,"Cancelado (informado)",IF(AE162=1,"Cadastro incompleto",IF(OR(AC162=1,AD162=1,AF162&gt;0,AH162&gt;0,AK162&gt;0,AL162&gt;0),"Informação a revisar",IF(AN162=0,"Aguardando recebimento",IF(N(R162)=0,"Aguardando CDF",IF(AJ162&lt;N(W162),"Vínculo de CDF parcial",IF(AO162=0,"CDF localizado, a conferir","Documentação conferida"))))))))</f>
        <v/>
      </c>
      <c r="T162" s="94" t="str">
        <f>IF(Z162=0,"",IF(S162="Cadastro incompleto","MTR INCOMPLETO",IF(S162="Informação a revisar",IF(AND(AH162&gt;0,AC162=0,AD162=0,AF162=0,AK162=0,AL162=0),"QUANTIDADE A REVISAR","IDENTIFICAÇÃO A REVISAR"),IF(S162="Aguardando recebimento","RECEBIMENTO NÃO CONFIRMADO",IF(S162="Aguardando CDF","CDF NÃO LOCALIZADO",IF(S162="Vínculo de CDF parcial","VÍNCULO INCOMPLETO",IF(S162="CDF localizado, a conferir","CDF A CONFERIR","")))))))</f>
        <v/>
      </c>
      <c r="U162" s="95" t="str">
        <f>IF(T162="","",IF(AQ162="","Não calculável",IF(AQ162&gt;TODAY(),"Data futura",TODAY()-AQ162)))</f>
        <v/>
      </c>
      <c r="V162" s="93" t="str">
        <f>IF(Z162=0,"",SUMIFS('RECEBIMENTOS'!$H$6:$H$1005,'RECEBIMENTOS'!$B$6:$B$1005,A162,'RECEBIMENTOS'!$Z$6:$Z$1005,1))</f>
        <v/>
      </c>
      <c r="W162" s="95" t="str">
        <f>IF(Z162=0,"",COUNTIFS('ITENS_MTR'!$S$6:$S$1005,A162,'ITENS_MTR'!$R$6:$R$1005,1))</f>
        <v/>
      </c>
      <c r="X162" s="94" t="str">
        <f>IF(AC162=1,"POSSÍVEL DUPLICIDADE","")</f>
        <v/>
      </c>
      <c r="Y162" s="94" t="str">
        <f>IF(Z162=0,"",IF(AW162="","Nenhuma",LEFT(AW162,LEN(AW162)-2)))</f>
        <v/>
      </c>
      <c r="Z162" s="96">
        <f>IF(COUNTA(B162:O162)&gt;0,1,0)</f>
        <v>0</v>
      </c>
      <c r="AA162" s="96">
        <f>IF(AND(Z162=1,K162&lt;&gt;""),IF(TRIM(K162)=TRIM(cfg_cancel),1,0),0)</f>
        <v>0</v>
      </c>
      <c r="AB162" s="96" t="str">
        <f>IF(AND(Z162=1,B162&lt;&gt;""),C162&amp;"|"&amp;D162&amp;"|"&amp;G162&amp;"|"&amp;TRIM(B162),"")</f>
        <v/>
      </c>
      <c r="AC162" s="96">
        <f>IF(AB162="",0,IF(SUMPRODUCT(--($AB$6:$AB$505=AB162))&gt;1,1,0))</f>
        <v>0</v>
      </c>
      <c r="AD162" s="96">
        <f>IF(Z162=0,0,IF(OR(AND(G162&lt;&gt;"",ISNA(MATCH(G162,'CAD_UNIDADES'!$C$6:$C$105,0))),AND(H162&lt;&gt;"",ISNA(MATCH(H162,cmp_transp,0))),AND(I162&lt;&gt;"",ISNA(MATCH(I162,cmp_dest,0))),AND(E162&lt;&gt;"",NOT(ISNUMBER(E162))),AND(F162&lt;&gt;"",NOT(ISNUMBER(F162))),AND(ISNUMBER(E162),ISNUMBER(F162),F162&lt;E162)),1,0))</f>
        <v>0</v>
      </c>
      <c r="AE162" s="96">
        <f>IF(Z162=0,0,IF(OR(B162="",C162="",E162="",G162="",H162="",I162="",N(W162)=0),1,0))</f>
        <v>0</v>
      </c>
      <c r="AF162" s="96">
        <f>IF(Z162=0,0,COUNTIFS('ITENS_MTR'!$S$6:$S$1005,A162,'ITENS_MTR'!$AI$6:$AI$1005,1))</f>
        <v>0</v>
      </c>
      <c r="AG162" s="96">
        <f>IF(Z162=0,0,COUNTIFS('ITENS_MTR'!$S$6:$S$1005,A162,'ITENS_MTR'!$AJ$6:$AJ$1005,1))</f>
        <v>0</v>
      </c>
      <c r="AH162" s="96">
        <f>IF(Z162=0,0,COUNTIFS('ITENS_MTR'!$S$6:$S$1005,A162,'ITENS_MTR'!$AM$6:$AM$1005,1))</f>
        <v>0</v>
      </c>
      <c r="AI162" s="96">
        <f>IF(Z162=0,0,COUNTIFS('ITENS_MTR'!$S$6:$S$1005,A162,'ITENS_MTR'!$AO$6:$AO$1005,1))</f>
        <v>0</v>
      </c>
      <c r="AJ162" s="96">
        <f>IF(Z162=0,0,COUNTIFS('ITENS_MTR'!$S$6:$S$1005,A162,'ITENS_MTR'!$AN$6:$AN$1005,1))</f>
        <v>0</v>
      </c>
      <c r="AK162" s="96">
        <f>IF(Z162=0,0,COUNTIFS('RECEBIMENTOS'!$B$6:$B$1005,A162,'RECEBIMENTOS'!$Y$6:$Y$1005,1))</f>
        <v>0</v>
      </c>
      <c r="AL162" s="96">
        <f>IF(Z162=0,0,COUNTIFS('VÍNCULOS_CDF'!$D$6:$D$1005,A162,'VÍNCULOS_CDF'!$Y$6:$Y$1005,1))</f>
        <v>0</v>
      </c>
      <c r="AM162" s="96">
        <f>IF(Z162=0,0,COUNTIFS('RECEBIMENTOS'!$B$6:$B$1005,A162,'RECEBIMENTOS'!$Q$6:$Q$1005,1))</f>
        <v>0</v>
      </c>
      <c r="AN162" s="96">
        <f>IF(AND(Z162=1,N(W162)&gt;0,AG162=N(W162)),1,0)</f>
        <v>0</v>
      </c>
      <c r="AO162" s="96">
        <f>IF(AND(Z162=1,N(W162)&gt;0,AI162=N(W162)),1,0)</f>
        <v>0</v>
      </c>
      <c r="AP162" s="97">
        <f>IF(Z162=0,0,_xlfn.MAXIFS('RECEBIMENTOS'!$E$6:$E$1005,'RECEBIMENTOS'!$B$6:$B$1005,A162))</f>
        <v>0</v>
      </c>
      <c r="AQ162" s="97" t="str">
        <f>IF(T162="","",IF(T162="RECEBIMENTO NÃO CONFIRMADO",IF(ISNUMBER(F162),F162,IF(ISNUMBER(E162),E162,"")),IF(OR(T162="CDF NÃO LOCALIZADO",T162="VÍNCULO INCOMPLETO",T162="CDF A CONFERIR"),IF(AP162&gt;0,AP162,IF(ISNUMBER(E162),E162,"")),IF(ISNUMBER(E162),E162,""))))</f>
        <v/>
      </c>
      <c r="AR162" s="96">
        <f>IF(NOT(ISNUMBER(U162)),0,IF(T162="RECEBIMENTO NÃO CONFIRMADO",IF(AND(ISNUMBER(cfg_rec),U162&gt;cfg_rec),1,0),IF(OR(T162="CDF NÃO LOCALIZADO",T162="VÍNCULO INCOMPLETO",T162="CDF A CONFERIR"),IF(AND(ISNUMBER(cfg_cdf),U162&gt;cfg_cdf),1,0),0)))</f>
        <v>0</v>
      </c>
      <c r="AS162" s="96" t="str">
        <f>IF(T162="","",IF(AR162=1,"Alta",IFERROR(INDEX(cfg_pp,MATCH(T162,cfg_pt,0))&amp;"","Média")))</f>
        <v/>
      </c>
      <c r="AT162" s="96" t="str">
        <f>IF(T162="","",IFERROR(INDEX(cfg_pv,MATCH(T162,cfg_pt,0))&amp;"",""))</f>
        <v/>
      </c>
      <c r="AU162" s="96" t="str">
        <f>IF(T162="","",IF(AS162="Alta",1,IF(AS162="Média",2,3))*1000000000+(999999-IF(ISNUMBER(U162),MIN(U162,999999),0))*1000+157)</f>
        <v/>
      </c>
      <c r="AV162" s="96">
        <f>IF(T162&lt;&gt;"",1,0)</f>
        <v>0</v>
      </c>
      <c r="AW162" s="96" t="str">
        <f>IF(Z162=0,"",IF(AA162=1,"Cancelamento informado; ","")&amp;IF(AE162=1,"Campos essenciais ou itens faltando; ","")&amp;IF(AC162=1,"Possível duplicidade do número; ","")&amp;IF(AD162=1,"Cadastro ou datas a revisar; ","")&amp;IF(AF162&gt;0,"Item de resíduo com dado a revisar; ","")&amp;IF(AH162&gt;0,"Diferença de quantidade a analisar; ","")&amp;IF(AK162&gt;0,"Recebimento com alerta; ","")&amp;IF(AL162&gt;0,"Vínculo de CDF com alerta; ","")&amp;IF(AND(AA162=0,AN162=0),"Recebimento não confirmado; ","")&amp;IF(AND(AA162=0,AN162=1,AO162=0),"CDF pendente ou a conferir; ",""))</f>
        <v/>
      </c>
      <c r="AX162" s="96">
        <f>IF(Z162=0,0,IF(AND(OR(f_ini="",AND(ISNUMBER(E162),E162&gt;=f_ini)),OR(f_fim="",AND(ISNUMBER(E162),E162&lt;=f_fim)),OR(f_un="",f_un="(Todas)",G162=f_un),OR(f_tr="",f_tr="(Todos)",H162=f_tr),OR(f_de="",f_de="(Todos)",I162=f_de),OR(f_sit="",f_sit="(Todas)",S162=f_sit)),1,0))</f>
        <v>0</v>
      </c>
      <c r="AY162" s="96">
        <f>IF(AX162=0,0,IF(OR(f_res="",f_res="(Todos)"),1,IF(COUNTIFS('ITENS_MTR'!$S$6:$S$1005,A162,'ITENS_MTR'!$C$6:$C$1005,f_res)&gt;0,1,0)))</f>
        <v>0</v>
      </c>
      <c r="AZ162" s="97" t="str">
        <f>IF(ISNUMBER(E162),DATE(YEAR(E162),MONTH(E162),1),"")</f>
        <v/>
      </c>
      <c r="BA162" s="96">
        <f>IF(Z162=0,0,IF(AND(OR(r_ini="",AND(ISNUMBER(E162),E162&gt;=r_ini)),OR(r_fim="",AND(ISNUMBER(E162),E162&lt;=r_fim)),OR(r_un="",r_un="(Todas)",G162=r_un),OR(r_de="",r_de="(Todos)",I162=r_de)),1,0))</f>
        <v>0</v>
      </c>
      <c r="BB162" s="96" t="str">
        <f>IF(BA162=1,COUNTIF($BA$6:BA162,1),"")</f>
        <v/>
      </c>
      <c r="BC162" s="96" t="str">
        <f>IF(AND(AU162&lt;&gt;"",OR(r_un="",r_un="(Todas)",G162=r_un),OR(r_de="",r_de="(Todos)",I162=r_de)),AU162,"")</f>
        <v/>
      </c>
      <c r="BD162" s="96" t="str">
        <f>IF(Z162=1,A162&amp;" | nº "&amp;IF(B162="","(sem número)",B162)&amp;" | "&amp;IF(G162="","(sem unidade)",G162),"")</f>
        <v/>
      </c>
      <c r="BE162" s="96" t="str">
        <f>IF(Z162=1,COUNTIF($Z$6:Z162,1),"")</f>
        <v/>
      </c>
      <c r="BF162" s="96" t="str">
        <f>IF(T162="","",IF(T162="RECEBIMENTO NÃO CONFIRMADO","Transp.: "&amp;H162&amp;" | Dest.: "&amp;I162,IF(OR(T162="CDF NÃO LOCALIZADO",T162="VÍNCULO INCOMPLETO",T162="CDF A CONFERIR"),"Dest.: "&amp;I162,"Gerador: "&amp;G162)))</f>
        <v/>
      </c>
    </row>
    <row r="163">
      <c r="A163" s="89" t="inlineStr">
        <is>
          <t>MTR-000158</t>
        </is>
      </c>
      <c r="B163" s="90" t="n"/>
      <c r="C163" s="91" t="n"/>
      <c r="D163" s="91" t="n"/>
      <c r="E163" s="92" t="n"/>
      <c r="F163" s="92" t="n"/>
      <c r="G163" s="91" t="n"/>
      <c r="H163" s="91" t="n"/>
      <c r="I163" s="91" t="n"/>
      <c r="J163" s="91" t="n"/>
      <c r="K163" s="91" t="n"/>
      <c r="L163" s="92" t="n"/>
      <c r="M163" s="91" t="n"/>
      <c r="N163" s="91" t="n"/>
      <c r="O163" s="91" t="n"/>
      <c r="P163" s="93" t="str">
        <f>IF(Z163=0,"",SUMIFS('ITENS_MTR'!$I$6:$I$1005,'ITENS_MTR'!$S$6:$S$1005,A163,'ITENS_MTR'!$Y$6:$Y$1005,1))</f>
        <v/>
      </c>
      <c r="Q163" s="93" t="str">
        <f>IF(Z163=0,"",SUMIFS('RECEBIMENTOS'!$H$6:$H$1005,'RECEBIMENTOS'!$B$6:$B$1005,A163,'RECEBIMENTOS'!$X$6:$X$1005,1))</f>
        <v/>
      </c>
      <c r="R163" s="93" t="str">
        <f>IF(Z163=0,"",SUMIFS('VÍNCULOS_CDF'!$H$6:$H$1005,'VÍNCULOS_CDF'!$D$6:$D$1005,A163,'VÍNCULOS_CDF'!$V$6:$V$1005,1))</f>
        <v/>
      </c>
      <c r="S163" s="94" t="str">
        <f>IF(Z163=0,"",IF(AA163=1,"Cancelado (informado)",IF(AE163=1,"Cadastro incompleto",IF(OR(AC163=1,AD163=1,AF163&gt;0,AH163&gt;0,AK163&gt;0,AL163&gt;0),"Informação a revisar",IF(AN163=0,"Aguardando recebimento",IF(N(R163)=0,"Aguardando CDF",IF(AJ163&lt;N(W163),"Vínculo de CDF parcial",IF(AO163=0,"CDF localizado, a conferir","Documentação conferida"))))))))</f>
        <v/>
      </c>
      <c r="T163" s="94" t="str">
        <f>IF(Z163=0,"",IF(S163="Cadastro incompleto","MTR INCOMPLETO",IF(S163="Informação a revisar",IF(AND(AH163&gt;0,AC163=0,AD163=0,AF163=0,AK163=0,AL163=0),"QUANTIDADE A REVISAR","IDENTIFICAÇÃO A REVISAR"),IF(S163="Aguardando recebimento","RECEBIMENTO NÃO CONFIRMADO",IF(S163="Aguardando CDF","CDF NÃO LOCALIZADO",IF(S163="Vínculo de CDF parcial","VÍNCULO INCOMPLETO",IF(S163="CDF localizado, a conferir","CDF A CONFERIR","")))))))</f>
        <v/>
      </c>
      <c r="U163" s="95" t="str">
        <f>IF(T163="","",IF(AQ163="","Não calculável",IF(AQ163&gt;TODAY(),"Data futura",TODAY()-AQ163)))</f>
        <v/>
      </c>
      <c r="V163" s="93" t="str">
        <f>IF(Z163=0,"",SUMIFS('RECEBIMENTOS'!$H$6:$H$1005,'RECEBIMENTOS'!$B$6:$B$1005,A163,'RECEBIMENTOS'!$Z$6:$Z$1005,1))</f>
        <v/>
      </c>
      <c r="W163" s="95" t="str">
        <f>IF(Z163=0,"",COUNTIFS('ITENS_MTR'!$S$6:$S$1005,A163,'ITENS_MTR'!$R$6:$R$1005,1))</f>
        <v/>
      </c>
      <c r="X163" s="94" t="str">
        <f>IF(AC163=1,"POSSÍVEL DUPLICIDADE","")</f>
        <v/>
      </c>
      <c r="Y163" s="94" t="str">
        <f>IF(Z163=0,"",IF(AW163="","Nenhuma",LEFT(AW163,LEN(AW163)-2)))</f>
        <v/>
      </c>
      <c r="Z163" s="96">
        <f>IF(COUNTA(B163:O163)&gt;0,1,0)</f>
        <v>0</v>
      </c>
      <c r="AA163" s="96">
        <f>IF(AND(Z163=1,K163&lt;&gt;""),IF(TRIM(K163)=TRIM(cfg_cancel),1,0),0)</f>
        <v>0</v>
      </c>
      <c r="AB163" s="96" t="str">
        <f>IF(AND(Z163=1,B163&lt;&gt;""),C163&amp;"|"&amp;D163&amp;"|"&amp;G163&amp;"|"&amp;TRIM(B163),"")</f>
        <v/>
      </c>
      <c r="AC163" s="96">
        <f>IF(AB163="",0,IF(SUMPRODUCT(--($AB$6:$AB$505=AB163))&gt;1,1,0))</f>
        <v>0</v>
      </c>
      <c r="AD163" s="96">
        <f>IF(Z163=0,0,IF(OR(AND(G163&lt;&gt;"",ISNA(MATCH(G163,'CAD_UNIDADES'!$C$6:$C$105,0))),AND(H163&lt;&gt;"",ISNA(MATCH(H163,cmp_transp,0))),AND(I163&lt;&gt;"",ISNA(MATCH(I163,cmp_dest,0))),AND(E163&lt;&gt;"",NOT(ISNUMBER(E163))),AND(F163&lt;&gt;"",NOT(ISNUMBER(F163))),AND(ISNUMBER(E163),ISNUMBER(F163),F163&lt;E163)),1,0))</f>
        <v>0</v>
      </c>
      <c r="AE163" s="96">
        <f>IF(Z163=0,0,IF(OR(B163="",C163="",E163="",G163="",H163="",I163="",N(W163)=0),1,0))</f>
        <v>0</v>
      </c>
      <c r="AF163" s="96">
        <f>IF(Z163=0,0,COUNTIFS('ITENS_MTR'!$S$6:$S$1005,A163,'ITENS_MTR'!$AI$6:$AI$1005,1))</f>
        <v>0</v>
      </c>
      <c r="AG163" s="96">
        <f>IF(Z163=0,0,COUNTIFS('ITENS_MTR'!$S$6:$S$1005,A163,'ITENS_MTR'!$AJ$6:$AJ$1005,1))</f>
        <v>0</v>
      </c>
      <c r="AH163" s="96">
        <f>IF(Z163=0,0,COUNTIFS('ITENS_MTR'!$S$6:$S$1005,A163,'ITENS_MTR'!$AM$6:$AM$1005,1))</f>
        <v>0</v>
      </c>
      <c r="AI163" s="96">
        <f>IF(Z163=0,0,COUNTIFS('ITENS_MTR'!$S$6:$S$1005,A163,'ITENS_MTR'!$AO$6:$AO$1005,1))</f>
        <v>0</v>
      </c>
      <c r="AJ163" s="96">
        <f>IF(Z163=0,0,COUNTIFS('ITENS_MTR'!$S$6:$S$1005,A163,'ITENS_MTR'!$AN$6:$AN$1005,1))</f>
        <v>0</v>
      </c>
      <c r="AK163" s="96">
        <f>IF(Z163=0,0,COUNTIFS('RECEBIMENTOS'!$B$6:$B$1005,A163,'RECEBIMENTOS'!$Y$6:$Y$1005,1))</f>
        <v>0</v>
      </c>
      <c r="AL163" s="96">
        <f>IF(Z163=0,0,COUNTIFS('VÍNCULOS_CDF'!$D$6:$D$1005,A163,'VÍNCULOS_CDF'!$Y$6:$Y$1005,1))</f>
        <v>0</v>
      </c>
      <c r="AM163" s="96">
        <f>IF(Z163=0,0,COUNTIFS('RECEBIMENTOS'!$B$6:$B$1005,A163,'RECEBIMENTOS'!$Q$6:$Q$1005,1))</f>
        <v>0</v>
      </c>
      <c r="AN163" s="96">
        <f>IF(AND(Z163=1,N(W163)&gt;0,AG163=N(W163)),1,0)</f>
        <v>0</v>
      </c>
      <c r="AO163" s="96">
        <f>IF(AND(Z163=1,N(W163)&gt;0,AI163=N(W163)),1,0)</f>
        <v>0</v>
      </c>
      <c r="AP163" s="97">
        <f>IF(Z163=0,0,_xlfn.MAXIFS('RECEBIMENTOS'!$E$6:$E$1005,'RECEBIMENTOS'!$B$6:$B$1005,A163))</f>
        <v>0</v>
      </c>
      <c r="AQ163" s="97" t="str">
        <f>IF(T163="","",IF(T163="RECEBIMENTO NÃO CONFIRMADO",IF(ISNUMBER(F163),F163,IF(ISNUMBER(E163),E163,"")),IF(OR(T163="CDF NÃO LOCALIZADO",T163="VÍNCULO INCOMPLETO",T163="CDF A CONFERIR"),IF(AP163&gt;0,AP163,IF(ISNUMBER(E163),E163,"")),IF(ISNUMBER(E163),E163,""))))</f>
        <v/>
      </c>
      <c r="AR163" s="96">
        <f>IF(NOT(ISNUMBER(U163)),0,IF(T163="RECEBIMENTO NÃO CONFIRMADO",IF(AND(ISNUMBER(cfg_rec),U163&gt;cfg_rec),1,0),IF(OR(T163="CDF NÃO LOCALIZADO",T163="VÍNCULO INCOMPLETO",T163="CDF A CONFERIR"),IF(AND(ISNUMBER(cfg_cdf),U163&gt;cfg_cdf),1,0),0)))</f>
        <v>0</v>
      </c>
      <c r="AS163" s="96" t="str">
        <f>IF(T163="","",IF(AR163=1,"Alta",IFERROR(INDEX(cfg_pp,MATCH(T163,cfg_pt,0))&amp;"","Média")))</f>
        <v/>
      </c>
      <c r="AT163" s="96" t="str">
        <f>IF(T163="","",IFERROR(INDEX(cfg_pv,MATCH(T163,cfg_pt,0))&amp;"",""))</f>
        <v/>
      </c>
      <c r="AU163" s="96" t="str">
        <f>IF(T163="","",IF(AS163="Alta",1,IF(AS163="Média",2,3))*1000000000+(999999-IF(ISNUMBER(U163),MIN(U163,999999),0))*1000+158)</f>
        <v/>
      </c>
      <c r="AV163" s="96">
        <f>IF(T163&lt;&gt;"",1,0)</f>
        <v>0</v>
      </c>
      <c r="AW163" s="96" t="str">
        <f>IF(Z163=0,"",IF(AA163=1,"Cancelamento informado; ","")&amp;IF(AE163=1,"Campos essenciais ou itens faltando; ","")&amp;IF(AC163=1,"Possível duplicidade do número; ","")&amp;IF(AD163=1,"Cadastro ou datas a revisar; ","")&amp;IF(AF163&gt;0,"Item de resíduo com dado a revisar; ","")&amp;IF(AH163&gt;0,"Diferença de quantidade a analisar; ","")&amp;IF(AK163&gt;0,"Recebimento com alerta; ","")&amp;IF(AL163&gt;0,"Vínculo de CDF com alerta; ","")&amp;IF(AND(AA163=0,AN163=0),"Recebimento não confirmado; ","")&amp;IF(AND(AA163=0,AN163=1,AO163=0),"CDF pendente ou a conferir; ",""))</f>
        <v/>
      </c>
      <c r="AX163" s="96">
        <f>IF(Z163=0,0,IF(AND(OR(f_ini="",AND(ISNUMBER(E163),E163&gt;=f_ini)),OR(f_fim="",AND(ISNUMBER(E163),E163&lt;=f_fim)),OR(f_un="",f_un="(Todas)",G163=f_un),OR(f_tr="",f_tr="(Todos)",H163=f_tr),OR(f_de="",f_de="(Todos)",I163=f_de),OR(f_sit="",f_sit="(Todas)",S163=f_sit)),1,0))</f>
        <v>0</v>
      </c>
      <c r="AY163" s="96">
        <f>IF(AX163=0,0,IF(OR(f_res="",f_res="(Todos)"),1,IF(COUNTIFS('ITENS_MTR'!$S$6:$S$1005,A163,'ITENS_MTR'!$C$6:$C$1005,f_res)&gt;0,1,0)))</f>
        <v>0</v>
      </c>
      <c r="AZ163" s="97" t="str">
        <f>IF(ISNUMBER(E163),DATE(YEAR(E163),MONTH(E163),1),"")</f>
        <v/>
      </c>
      <c r="BA163" s="96">
        <f>IF(Z163=0,0,IF(AND(OR(r_ini="",AND(ISNUMBER(E163),E163&gt;=r_ini)),OR(r_fim="",AND(ISNUMBER(E163),E163&lt;=r_fim)),OR(r_un="",r_un="(Todas)",G163=r_un),OR(r_de="",r_de="(Todos)",I163=r_de)),1,0))</f>
        <v>0</v>
      </c>
      <c r="BB163" s="96" t="str">
        <f>IF(BA163=1,COUNTIF($BA$6:BA163,1),"")</f>
        <v/>
      </c>
      <c r="BC163" s="96" t="str">
        <f>IF(AND(AU163&lt;&gt;"",OR(r_un="",r_un="(Todas)",G163=r_un),OR(r_de="",r_de="(Todos)",I163=r_de)),AU163,"")</f>
        <v/>
      </c>
      <c r="BD163" s="96" t="str">
        <f>IF(Z163=1,A163&amp;" | nº "&amp;IF(B163="","(sem número)",B163)&amp;" | "&amp;IF(G163="","(sem unidade)",G163),"")</f>
        <v/>
      </c>
      <c r="BE163" s="96" t="str">
        <f>IF(Z163=1,COUNTIF($Z$6:Z163,1),"")</f>
        <v/>
      </c>
      <c r="BF163" s="96" t="str">
        <f>IF(T163="","",IF(T163="RECEBIMENTO NÃO CONFIRMADO","Transp.: "&amp;H163&amp;" | Dest.: "&amp;I163,IF(OR(T163="CDF NÃO LOCALIZADO",T163="VÍNCULO INCOMPLETO",T163="CDF A CONFERIR"),"Dest.: "&amp;I163,"Gerador: "&amp;G163)))</f>
        <v/>
      </c>
    </row>
    <row r="164">
      <c r="A164" s="89" t="inlineStr">
        <is>
          <t>MTR-000159</t>
        </is>
      </c>
      <c r="B164" s="90" t="n"/>
      <c r="C164" s="91" t="n"/>
      <c r="D164" s="91" t="n"/>
      <c r="E164" s="92" t="n"/>
      <c r="F164" s="92" t="n"/>
      <c r="G164" s="91" t="n"/>
      <c r="H164" s="91" t="n"/>
      <c r="I164" s="91" t="n"/>
      <c r="J164" s="91" t="n"/>
      <c r="K164" s="91" t="n"/>
      <c r="L164" s="92" t="n"/>
      <c r="M164" s="91" t="n"/>
      <c r="N164" s="91" t="n"/>
      <c r="O164" s="91" t="n"/>
      <c r="P164" s="93" t="str">
        <f>IF(Z164=0,"",SUMIFS('ITENS_MTR'!$I$6:$I$1005,'ITENS_MTR'!$S$6:$S$1005,A164,'ITENS_MTR'!$Y$6:$Y$1005,1))</f>
        <v/>
      </c>
      <c r="Q164" s="93" t="str">
        <f>IF(Z164=0,"",SUMIFS('RECEBIMENTOS'!$H$6:$H$1005,'RECEBIMENTOS'!$B$6:$B$1005,A164,'RECEBIMENTOS'!$X$6:$X$1005,1))</f>
        <v/>
      </c>
      <c r="R164" s="93" t="str">
        <f>IF(Z164=0,"",SUMIFS('VÍNCULOS_CDF'!$H$6:$H$1005,'VÍNCULOS_CDF'!$D$6:$D$1005,A164,'VÍNCULOS_CDF'!$V$6:$V$1005,1))</f>
        <v/>
      </c>
      <c r="S164" s="94" t="str">
        <f>IF(Z164=0,"",IF(AA164=1,"Cancelado (informado)",IF(AE164=1,"Cadastro incompleto",IF(OR(AC164=1,AD164=1,AF164&gt;0,AH164&gt;0,AK164&gt;0,AL164&gt;0),"Informação a revisar",IF(AN164=0,"Aguardando recebimento",IF(N(R164)=0,"Aguardando CDF",IF(AJ164&lt;N(W164),"Vínculo de CDF parcial",IF(AO164=0,"CDF localizado, a conferir","Documentação conferida"))))))))</f>
        <v/>
      </c>
      <c r="T164" s="94" t="str">
        <f>IF(Z164=0,"",IF(S164="Cadastro incompleto","MTR INCOMPLETO",IF(S164="Informação a revisar",IF(AND(AH164&gt;0,AC164=0,AD164=0,AF164=0,AK164=0,AL164=0),"QUANTIDADE A REVISAR","IDENTIFICAÇÃO A REVISAR"),IF(S164="Aguardando recebimento","RECEBIMENTO NÃO CONFIRMADO",IF(S164="Aguardando CDF","CDF NÃO LOCALIZADO",IF(S164="Vínculo de CDF parcial","VÍNCULO INCOMPLETO",IF(S164="CDF localizado, a conferir","CDF A CONFERIR","")))))))</f>
        <v/>
      </c>
      <c r="U164" s="95" t="str">
        <f>IF(T164="","",IF(AQ164="","Não calculável",IF(AQ164&gt;TODAY(),"Data futura",TODAY()-AQ164)))</f>
        <v/>
      </c>
      <c r="V164" s="93" t="str">
        <f>IF(Z164=0,"",SUMIFS('RECEBIMENTOS'!$H$6:$H$1005,'RECEBIMENTOS'!$B$6:$B$1005,A164,'RECEBIMENTOS'!$Z$6:$Z$1005,1))</f>
        <v/>
      </c>
      <c r="W164" s="95" t="str">
        <f>IF(Z164=0,"",COUNTIFS('ITENS_MTR'!$S$6:$S$1005,A164,'ITENS_MTR'!$R$6:$R$1005,1))</f>
        <v/>
      </c>
      <c r="X164" s="94" t="str">
        <f>IF(AC164=1,"POSSÍVEL DUPLICIDADE","")</f>
        <v/>
      </c>
      <c r="Y164" s="94" t="str">
        <f>IF(Z164=0,"",IF(AW164="","Nenhuma",LEFT(AW164,LEN(AW164)-2)))</f>
        <v/>
      </c>
      <c r="Z164" s="96">
        <f>IF(COUNTA(B164:O164)&gt;0,1,0)</f>
        <v>0</v>
      </c>
      <c r="AA164" s="96">
        <f>IF(AND(Z164=1,K164&lt;&gt;""),IF(TRIM(K164)=TRIM(cfg_cancel),1,0),0)</f>
        <v>0</v>
      </c>
      <c r="AB164" s="96" t="str">
        <f>IF(AND(Z164=1,B164&lt;&gt;""),C164&amp;"|"&amp;D164&amp;"|"&amp;G164&amp;"|"&amp;TRIM(B164),"")</f>
        <v/>
      </c>
      <c r="AC164" s="96">
        <f>IF(AB164="",0,IF(SUMPRODUCT(--($AB$6:$AB$505=AB164))&gt;1,1,0))</f>
        <v>0</v>
      </c>
      <c r="AD164" s="96">
        <f>IF(Z164=0,0,IF(OR(AND(G164&lt;&gt;"",ISNA(MATCH(G164,'CAD_UNIDADES'!$C$6:$C$105,0))),AND(H164&lt;&gt;"",ISNA(MATCH(H164,cmp_transp,0))),AND(I164&lt;&gt;"",ISNA(MATCH(I164,cmp_dest,0))),AND(E164&lt;&gt;"",NOT(ISNUMBER(E164))),AND(F164&lt;&gt;"",NOT(ISNUMBER(F164))),AND(ISNUMBER(E164),ISNUMBER(F164),F164&lt;E164)),1,0))</f>
        <v>0</v>
      </c>
      <c r="AE164" s="96">
        <f>IF(Z164=0,0,IF(OR(B164="",C164="",E164="",G164="",H164="",I164="",N(W164)=0),1,0))</f>
        <v>0</v>
      </c>
      <c r="AF164" s="96">
        <f>IF(Z164=0,0,COUNTIFS('ITENS_MTR'!$S$6:$S$1005,A164,'ITENS_MTR'!$AI$6:$AI$1005,1))</f>
        <v>0</v>
      </c>
      <c r="AG164" s="96">
        <f>IF(Z164=0,0,COUNTIFS('ITENS_MTR'!$S$6:$S$1005,A164,'ITENS_MTR'!$AJ$6:$AJ$1005,1))</f>
        <v>0</v>
      </c>
      <c r="AH164" s="96">
        <f>IF(Z164=0,0,COUNTIFS('ITENS_MTR'!$S$6:$S$1005,A164,'ITENS_MTR'!$AM$6:$AM$1005,1))</f>
        <v>0</v>
      </c>
      <c r="AI164" s="96">
        <f>IF(Z164=0,0,COUNTIFS('ITENS_MTR'!$S$6:$S$1005,A164,'ITENS_MTR'!$AO$6:$AO$1005,1))</f>
        <v>0</v>
      </c>
      <c r="AJ164" s="96">
        <f>IF(Z164=0,0,COUNTIFS('ITENS_MTR'!$S$6:$S$1005,A164,'ITENS_MTR'!$AN$6:$AN$1005,1))</f>
        <v>0</v>
      </c>
      <c r="AK164" s="96">
        <f>IF(Z164=0,0,COUNTIFS('RECEBIMENTOS'!$B$6:$B$1005,A164,'RECEBIMENTOS'!$Y$6:$Y$1005,1))</f>
        <v>0</v>
      </c>
      <c r="AL164" s="96">
        <f>IF(Z164=0,0,COUNTIFS('VÍNCULOS_CDF'!$D$6:$D$1005,A164,'VÍNCULOS_CDF'!$Y$6:$Y$1005,1))</f>
        <v>0</v>
      </c>
      <c r="AM164" s="96">
        <f>IF(Z164=0,0,COUNTIFS('RECEBIMENTOS'!$B$6:$B$1005,A164,'RECEBIMENTOS'!$Q$6:$Q$1005,1))</f>
        <v>0</v>
      </c>
      <c r="AN164" s="96">
        <f>IF(AND(Z164=1,N(W164)&gt;0,AG164=N(W164)),1,0)</f>
        <v>0</v>
      </c>
      <c r="AO164" s="96">
        <f>IF(AND(Z164=1,N(W164)&gt;0,AI164=N(W164)),1,0)</f>
        <v>0</v>
      </c>
      <c r="AP164" s="97">
        <f>IF(Z164=0,0,_xlfn.MAXIFS('RECEBIMENTOS'!$E$6:$E$1005,'RECEBIMENTOS'!$B$6:$B$1005,A164))</f>
        <v>0</v>
      </c>
      <c r="AQ164" s="97" t="str">
        <f>IF(T164="","",IF(T164="RECEBIMENTO NÃO CONFIRMADO",IF(ISNUMBER(F164),F164,IF(ISNUMBER(E164),E164,"")),IF(OR(T164="CDF NÃO LOCALIZADO",T164="VÍNCULO INCOMPLETO",T164="CDF A CONFERIR"),IF(AP164&gt;0,AP164,IF(ISNUMBER(E164),E164,"")),IF(ISNUMBER(E164),E164,""))))</f>
        <v/>
      </c>
      <c r="AR164" s="96">
        <f>IF(NOT(ISNUMBER(U164)),0,IF(T164="RECEBIMENTO NÃO CONFIRMADO",IF(AND(ISNUMBER(cfg_rec),U164&gt;cfg_rec),1,0),IF(OR(T164="CDF NÃO LOCALIZADO",T164="VÍNCULO INCOMPLETO",T164="CDF A CONFERIR"),IF(AND(ISNUMBER(cfg_cdf),U164&gt;cfg_cdf),1,0),0)))</f>
        <v>0</v>
      </c>
      <c r="AS164" s="96" t="str">
        <f>IF(T164="","",IF(AR164=1,"Alta",IFERROR(INDEX(cfg_pp,MATCH(T164,cfg_pt,0))&amp;"","Média")))</f>
        <v/>
      </c>
      <c r="AT164" s="96" t="str">
        <f>IF(T164="","",IFERROR(INDEX(cfg_pv,MATCH(T164,cfg_pt,0))&amp;"",""))</f>
        <v/>
      </c>
      <c r="AU164" s="96" t="str">
        <f>IF(T164="","",IF(AS164="Alta",1,IF(AS164="Média",2,3))*1000000000+(999999-IF(ISNUMBER(U164),MIN(U164,999999),0))*1000+159)</f>
        <v/>
      </c>
      <c r="AV164" s="96">
        <f>IF(T164&lt;&gt;"",1,0)</f>
        <v>0</v>
      </c>
      <c r="AW164" s="96" t="str">
        <f>IF(Z164=0,"",IF(AA164=1,"Cancelamento informado; ","")&amp;IF(AE164=1,"Campos essenciais ou itens faltando; ","")&amp;IF(AC164=1,"Possível duplicidade do número; ","")&amp;IF(AD164=1,"Cadastro ou datas a revisar; ","")&amp;IF(AF164&gt;0,"Item de resíduo com dado a revisar; ","")&amp;IF(AH164&gt;0,"Diferença de quantidade a analisar; ","")&amp;IF(AK164&gt;0,"Recebimento com alerta; ","")&amp;IF(AL164&gt;0,"Vínculo de CDF com alerta; ","")&amp;IF(AND(AA164=0,AN164=0),"Recebimento não confirmado; ","")&amp;IF(AND(AA164=0,AN164=1,AO164=0),"CDF pendente ou a conferir; ",""))</f>
        <v/>
      </c>
      <c r="AX164" s="96">
        <f>IF(Z164=0,0,IF(AND(OR(f_ini="",AND(ISNUMBER(E164),E164&gt;=f_ini)),OR(f_fim="",AND(ISNUMBER(E164),E164&lt;=f_fim)),OR(f_un="",f_un="(Todas)",G164=f_un),OR(f_tr="",f_tr="(Todos)",H164=f_tr),OR(f_de="",f_de="(Todos)",I164=f_de),OR(f_sit="",f_sit="(Todas)",S164=f_sit)),1,0))</f>
        <v>0</v>
      </c>
      <c r="AY164" s="96">
        <f>IF(AX164=0,0,IF(OR(f_res="",f_res="(Todos)"),1,IF(COUNTIFS('ITENS_MTR'!$S$6:$S$1005,A164,'ITENS_MTR'!$C$6:$C$1005,f_res)&gt;0,1,0)))</f>
        <v>0</v>
      </c>
      <c r="AZ164" s="97" t="str">
        <f>IF(ISNUMBER(E164),DATE(YEAR(E164),MONTH(E164),1),"")</f>
        <v/>
      </c>
      <c r="BA164" s="96">
        <f>IF(Z164=0,0,IF(AND(OR(r_ini="",AND(ISNUMBER(E164),E164&gt;=r_ini)),OR(r_fim="",AND(ISNUMBER(E164),E164&lt;=r_fim)),OR(r_un="",r_un="(Todas)",G164=r_un),OR(r_de="",r_de="(Todos)",I164=r_de)),1,0))</f>
        <v>0</v>
      </c>
      <c r="BB164" s="96" t="str">
        <f>IF(BA164=1,COUNTIF($BA$6:BA164,1),"")</f>
        <v/>
      </c>
      <c r="BC164" s="96" t="str">
        <f>IF(AND(AU164&lt;&gt;"",OR(r_un="",r_un="(Todas)",G164=r_un),OR(r_de="",r_de="(Todos)",I164=r_de)),AU164,"")</f>
        <v/>
      </c>
      <c r="BD164" s="96" t="str">
        <f>IF(Z164=1,A164&amp;" | nº "&amp;IF(B164="","(sem número)",B164)&amp;" | "&amp;IF(G164="","(sem unidade)",G164),"")</f>
        <v/>
      </c>
      <c r="BE164" s="96" t="str">
        <f>IF(Z164=1,COUNTIF($Z$6:Z164,1),"")</f>
        <v/>
      </c>
      <c r="BF164" s="96" t="str">
        <f>IF(T164="","",IF(T164="RECEBIMENTO NÃO CONFIRMADO","Transp.: "&amp;H164&amp;" | Dest.: "&amp;I164,IF(OR(T164="CDF NÃO LOCALIZADO",T164="VÍNCULO INCOMPLETO",T164="CDF A CONFERIR"),"Dest.: "&amp;I164,"Gerador: "&amp;G164)))</f>
        <v/>
      </c>
    </row>
    <row r="165">
      <c r="A165" s="89" t="inlineStr">
        <is>
          <t>MTR-000160</t>
        </is>
      </c>
      <c r="B165" s="90" t="n"/>
      <c r="C165" s="91" t="n"/>
      <c r="D165" s="91" t="n"/>
      <c r="E165" s="92" t="n"/>
      <c r="F165" s="92" t="n"/>
      <c r="G165" s="91" t="n"/>
      <c r="H165" s="91" t="n"/>
      <c r="I165" s="91" t="n"/>
      <c r="J165" s="91" t="n"/>
      <c r="K165" s="91" t="n"/>
      <c r="L165" s="92" t="n"/>
      <c r="M165" s="91" t="n"/>
      <c r="N165" s="91" t="n"/>
      <c r="O165" s="91" t="n"/>
      <c r="P165" s="93" t="str">
        <f>IF(Z165=0,"",SUMIFS('ITENS_MTR'!$I$6:$I$1005,'ITENS_MTR'!$S$6:$S$1005,A165,'ITENS_MTR'!$Y$6:$Y$1005,1))</f>
        <v/>
      </c>
      <c r="Q165" s="93" t="str">
        <f>IF(Z165=0,"",SUMIFS('RECEBIMENTOS'!$H$6:$H$1005,'RECEBIMENTOS'!$B$6:$B$1005,A165,'RECEBIMENTOS'!$X$6:$X$1005,1))</f>
        <v/>
      </c>
      <c r="R165" s="93" t="str">
        <f>IF(Z165=0,"",SUMIFS('VÍNCULOS_CDF'!$H$6:$H$1005,'VÍNCULOS_CDF'!$D$6:$D$1005,A165,'VÍNCULOS_CDF'!$V$6:$V$1005,1))</f>
        <v/>
      </c>
      <c r="S165" s="94" t="str">
        <f>IF(Z165=0,"",IF(AA165=1,"Cancelado (informado)",IF(AE165=1,"Cadastro incompleto",IF(OR(AC165=1,AD165=1,AF165&gt;0,AH165&gt;0,AK165&gt;0,AL165&gt;0),"Informação a revisar",IF(AN165=0,"Aguardando recebimento",IF(N(R165)=0,"Aguardando CDF",IF(AJ165&lt;N(W165),"Vínculo de CDF parcial",IF(AO165=0,"CDF localizado, a conferir","Documentação conferida"))))))))</f>
        <v/>
      </c>
      <c r="T165" s="94" t="str">
        <f>IF(Z165=0,"",IF(S165="Cadastro incompleto","MTR INCOMPLETO",IF(S165="Informação a revisar",IF(AND(AH165&gt;0,AC165=0,AD165=0,AF165=0,AK165=0,AL165=0),"QUANTIDADE A REVISAR","IDENTIFICAÇÃO A REVISAR"),IF(S165="Aguardando recebimento","RECEBIMENTO NÃO CONFIRMADO",IF(S165="Aguardando CDF","CDF NÃO LOCALIZADO",IF(S165="Vínculo de CDF parcial","VÍNCULO INCOMPLETO",IF(S165="CDF localizado, a conferir","CDF A CONFERIR","")))))))</f>
        <v/>
      </c>
      <c r="U165" s="95" t="str">
        <f>IF(T165="","",IF(AQ165="","Não calculável",IF(AQ165&gt;TODAY(),"Data futura",TODAY()-AQ165)))</f>
        <v/>
      </c>
      <c r="V165" s="93" t="str">
        <f>IF(Z165=0,"",SUMIFS('RECEBIMENTOS'!$H$6:$H$1005,'RECEBIMENTOS'!$B$6:$B$1005,A165,'RECEBIMENTOS'!$Z$6:$Z$1005,1))</f>
        <v/>
      </c>
      <c r="W165" s="95" t="str">
        <f>IF(Z165=0,"",COUNTIFS('ITENS_MTR'!$S$6:$S$1005,A165,'ITENS_MTR'!$R$6:$R$1005,1))</f>
        <v/>
      </c>
      <c r="X165" s="94" t="str">
        <f>IF(AC165=1,"POSSÍVEL DUPLICIDADE","")</f>
        <v/>
      </c>
      <c r="Y165" s="94" t="str">
        <f>IF(Z165=0,"",IF(AW165="","Nenhuma",LEFT(AW165,LEN(AW165)-2)))</f>
        <v/>
      </c>
      <c r="Z165" s="96">
        <f>IF(COUNTA(B165:O165)&gt;0,1,0)</f>
        <v>0</v>
      </c>
      <c r="AA165" s="96">
        <f>IF(AND(Z165=1,K165&lt;&gt;""),IF(TRIM(K165)=TRIM(cfg_cancel),1,0),0)</f>
        <v>0</v>
      </c>
      <c r="AB165" s="96" t="str">
        <f>IF(AND(Z165=1,B165&lt;&gt;""),C165&amp;"|"&amp;D165&amp;"|"&amp;G165&amp;"|"&amp;TRIM(B165),"")</f>
        <v/>
      </c>
      <c r="AC165" s="96">
        <f>IF(AB165="",0,IF(SUMPRODUCT(--($AB$6:$AB$505=AB165))&gt;1,1,0))</f>
        <v>0</v>
      </c>
      <c r="AD165" s="96">
        <f>IF(Z165=0,0,IF(OR(AND(G165&lt;&gt;"",ISNA(MATCH(G165,'CAD_UNIDADES'!$C$6:$C$105,0))),AND(H165&lt;&gt;"",ISNA(MATCH(H165,cmp_transp,0))),AND(I165&lt;&gt;"",ISNA(MATCH(I165,cmp_dest,0))),AND(E165&lt;&gt;"",NOT(ISNUMBER(E165))),AND(F165&lt;&gt;"",NOT(ISNUMBER(F165))),AND(ISNUMBER(E165),ISNUMBER(F165),F165&lt;E165)),1,0))</f>
        <v>0</v>
      </c>
      <c r="AE165" s="96">
        <f>IF(Z165=0,0,IF(OR(B165="",C165="",E165="",G165="",H165="",I165="",N(W165)=0),1,0))</f>
        <v>0</v>
      </c>
      <c r="AF165" s="96">
        <f>IF(Z165=0,0,COUNTIFS('ITENS_MTR'!$S$6:$S$1005,A165,'ITENS_MTR'!$AI$6:$AI$1005,1))</f>
        <v>0</v>
      </c>
      <c r="AG165" s="96">
        <f>IF(Z165=0,0,COUNTIFS('ITENS_MTR'!$S$6:$S$1005,A165,'ITENS_MTR'!$AJ$6:$AJ$1005,1))</f>
        <v>0</v>
      </c>
      <c r="AH165" s="96">
        <f>IF(Z165=0,0,COUNTIFS('ITENS_MTR'!$S$6:$S$1005,A165,'ITENS_MTR'!$AM$6:$AM$1005,1))</f>
        <v>0</v>
      </c>
      <c r="AI165" s="96">
        <f>IF(Z165=0,0,COUNTIFS('ITENS_MTR'!$S$6:$S$1005,A165,'ITENS_MTR'!$AO$6:$AO$1005,1))</f>
        <v>0</v>
      </c>
      <c r="AJ165" s="96">
        <f>IF(Z165=0,0,COUNTIFS('ITENS_MTR'!$S$6:$S$1005,A165,'ITENS_MTR'!$AN$6:$AN$1005,1))</f>
        <v>0</v>
      </c>
      <c r="AK165" s="96">
        <f>IF(Z165=0,0,COUNTIFS('RECEBIMENTOS'!$B$6:$B$1005,A165,'RECEBIMENTOS'!$Y$6:$Y$1005,1))</f>
        <v>0</v>
      </c>
      <c r="AL165" s="96">
        <f>IF(Z165=0,0,COUNTIFS('VÍNCULOS_CDF'!$D$6:$D$1005,A165,'VÍNCULOS_CDF'!$Y$6:$Y$1005,1))</f>
        <v>0</v>
      </c>
      <c r="AM165" s="96">
        <f>IF(Z165=0,0,COUNTIFS('RECEBIMENTOS'!$B$6:$B$1005,A165,'RECEBIMENTOS'!$Q$6:$Q$1005,1))</f>
        <v>0</v>
      </c>
      <c r="AN165" s="96">
        <f>IF(AND(Z165=1,N(W165)&gt;0,AG165=N(W165)),1,0)</f>
        <v>0</v>
      </c>
      <c r="AO165" s="96">
        <f>IF(AND(Z165=1,N(W165)&gt;0,AI165=N(W165)),1,0)</f>
        <v>0</v>
      </c>
      <c r="AP165" s="97">
        <f>IF(Z165=0,0,_xlfn.MAXIFS('RECEBIMENTOS'!$E$6:$E$1005,'RECEBIMENTOS'!$B$6:$B$1005,A165))</f>
        <v>0</v>
      </c>
      <c r="AQ165" s="97" t="str">
        <f>IF(T165="","",IF(T165="RECEBIMENTO NÃO CONFIRMADO",IF(ISNUMBER(F165),F165,IF(ISNUMBER(E165),E165,"")),IF(OR(T165="CDF NÃO LOCALIZADO",T165="VÍNCULO INCOMPLETO",T165="CDF A CONFERIR"),IF(AP165&gt;0,AP165,IF(ISNUMBER(E165),E165,"")),IF(ISNUMBER(E165),E165,""))))</f>
        <v/>
      </c>
      <c r="AR165" s="96">
        <f>IF(NOT(ISNUMBER(U165)),0,IF(T165="RECEBIMENTO NÃO CONFIRMADO",IF(AND(ISNUMBER(cfg_rec),U165&gt;cfg_rec),1,0),IF(OR(T165="CDF NÃO LOCALIZADO",T165="VÍNCULO INCOMPLETO",T165="CDF A CONFERIR"),IF(AND(ISNUMBER(cfg_cdf),U165&gt;cfg_cdf),1,0),0)))</f>
        <v>0</v>
      </c>
      <c r="AS165" s="96" t="str">
        <f>IF(T165="","",IF(AR165=1,"Alta",IFERROR(INDEX(cfg_pp,MATCH(T165,cfg_pt,0))&amp;"","Média")))</f>
        <v/>
      </c>
      <c r="AT165" s="96" t="str">
        <f>IF(T165="","",IFERROR(INDEX(cfg_pv,MATCH(T165,cfg_pt,0))&amp;"",""))</f>
        <v/>
      </c>
      <c r="AU165" s="96" t="str">
        <f>IF(T165="","",IF(AS165="Alta",1,IF(AS165="Média",2,3))*1000000000+(999999-IF(ISNUMBER(U165),MIN(U165,999999),0))*1000+160)</f>
        <v/>
      </c>
      <c r="AV165" s="96">
        <f>IF(T165&lt;&gt;"",1,0)</f>
        <v>0</v>
      </c>
      <c r="AW165" s="96" t="str">
        <f>IF(Z165=0,"",IF(AA165=1,"Cancelamento informado; ","")&amp;IF(AE165=1,"Campos essenciais ou itens faltando; ","")&amp;IF(AC165=1,"Possível duplicidade do número; ","")&amp;IF(AD165=1,"Cadastro ou datas a revisar; ","")&amp;IF(AF165&gt;0,"Item de resíduo com dado a revisar; ","")&amp;IF(AH165&gt;0,"Diferença de quantidade a analisar; ","")&amp;IF(AK165&gt;0,"Recebimento com alerta; ","")&amp;IF(AL165&gt;0,"Vínculo de CDF com alerta; ","")&amp;IF(AND(AA165=0,AN165=0),"Recebimento não confirmado; ","")&amp;IF(AND(AA165=0,AN165=1,AO165=0),"CDF pendente ou a conferir; ",""))</f>
        <v/>
      </c>
      <c r="AX165" s="96">
        <f>IF(Z165=0,0,IF(AND(OR(f_ini="",AND(ISNUMBER(E165),E165&gt;=f_ini)),OR(f_fim="",AND(ISNUMBER(E165),E165&lt;=f_fim)),OR(f_un="",f_un="(Todas)",G165=f_un),OR(f_tr="",f_tr="(Todos)",H165=f_tr),OR(f_de="",f_de="(Todos)",I165=f_de),OR(f_sit="",f_sit="(Todas)",S165=f_sit)),1,0))</f>
        <v>0</v>
      </c>
      <c r="AY165" s="96">
        <f>IF(AX165=0,0,IF(OR(f_res="",f_res="(Todos)"),1,IF(COUNTIFS('ITENS_MTR'!$S$6:$S$1005,A165,'ITENS_MTR'!$C$6:$C$1005,f_res)&gt;0,1,0)))</f>
        <v>0</v>
      </c>
      <c r="AZ165" s="97" t="str">
        <f>IF(ISNUMBER(E165),DATE(YEAR(E165),MONTH(E165),1),"")</f>
        <v/>
      </c>
      <c r="BA165" s="96">
        <f>IF(Z165=0,0,IF(AND(OR(r_ini="",AND(ISNUMBER(E165),E165&gt;=r_ini)),OR(r_fim="",AND(ISNUMBER(E165),E165&lt;=r_fim)),OR(r_un="",r_un="(Todas)",G165=r_un),OR(r_de="",r_de="(Todos)",I165=r_de)),1,0))</f>
        <v>0</v>
      </c>
      <c r="BB165" s="96" t="str">
        <f>IF(BA165=1,COUNTIF($BA$6:BA165,1),"")</f>
        <v/>
      </c>
      <c r="BC165" s="96" t="str">
        <f>IF(AND(AU165&lt;&gt;"",OR(r_un="",r_un="(Todas)",G165=r_un),OR(r_de="",r_de="(Todos)",I165=r_de)),AU165,"")</f>
        <v/>
      </c>
      <c r="BD165" s="96" t="str">
        <f>IF(Z165=1,A165&amp;" | nº "&amp;IF(B165="","(sem número)",B165)&amp;" | "&amp;IF(G165="","(sem unidade)",G165),"")</f>
        <v/>
      </c>
      <c r="BE165" s="96" t="str">
        <f>IF(Z165=1,COUNTIF($Z$6:Z165,1),"")</f>
        <v/>
      </c>
      <c r="BF165" s="96" t="str">
        <f>IF(T165="","",IF(T165="RECEBIMENTO NÃO CONFIRMADO","Transp.: "&amp;H165&amp;" | Dest.: "&amp;I165,IF(OR(T165="CDF NÃO LOCALIZADO",T165="VÍNCULO INCOMPLETO",T165="CDF A CONFERIR"),"Dest.: "&amp;I165,"Gerador: "&amp;G165)))</f>
        <v/>
      </c>
    </row>
    <row r="166">
      <c r="A166" s="89" t="inlineStr">
        <is>
          <t>MTR-000161</t>
        </is>
      </c>
      <c r="B166" s="90" t="n"/>
      <c r="C166" s="91" t="n"/>
      <c r="D166" s="91" t="n"/>
      <c r="E166" s="92" t="n"/>
      <c r="F166" s="92" t="n"/>
      <c r="G166" s="91" t="n"/>
      <c r="H166" s="91" t="n"/>
      <c r="I166" s="91" t="n"/>
      <c r="J166" s="91" t="n"/>
      <c r="K166" s="91" t="n"/>
      <c r="L166" s="92" t="n"/>
      <c r="M166" s="91" t="n"/>
      <c r="N166" s="91" t="n"/>
      <c r="O166" s="91" t="n"/>
      <c r="P166" s="93" t="str">
        <f>IF(Z166=0,"",SUMIFS('ITENS_MTR'!$I$6:$I$1005,'ITENS_MTR'!$S$6:$S$1005,A166,'ITENS_MTR'!$Y$6:$Y$1005,1))</f>
        <v/>
      </c>
      <c r="Q166" s="93" t="str">
        <f>IF(Z166=0,"",SUMIFS('RECEBIMENTOS'!$H$6:$H$1005,'RECEBIMENTOS'!$B$6:$B$1005,A166,'RECEBIMENTOS'!$X$6:$X$1005,1))</f>
        <v/>
      </c>
      <c r="R166" s="93" t="str">
        <f>IF(Z166=0,"",SUMIFS('VÍNCULOS_CDF'!$H$6:$H$1005,'VÍNCULOS_CDF'!$D$6:$D$1005,A166,'VÍNCULOS_CDF'!$V$6:$V$1005,1))</f>
        <v/>
      </c>
      <c r="S166" s="94" t="str">
        <f>IF(Z166=0,"",IF(AA166=1,"Cancelado (informado)",IF(AE166=1,"Cadastro incompleto",IF(OR(AC166=1,AD166=1,AF166&gt;0,AH166&gt;0,AK166&gt;0,AL166&gt;0),"Informação a revisar",IF(AN166=0,"Aguardando recebimento",IF(N(R166)=0,"Aguardando CDF",IF(AJ166&lt;N(W166),"Vínculo de CDF parcial",IF(AO166=0,"CDF localizado, a conferir","Documentação conferida"))))))))</f>
        <v/>
      </c>
      <c r="T166" s="94" t="str">
        <f>IF(Z166=0,"",IF(S166="Cadastro incompleto","MTR INCOMPLETO",IF(S166="Informação a revisar",IF(AND(AH166&gt;0,AC166=0,AD166=0,AF166=0,AK166=0,AL166=0),"QUANTIDADE A REVISAR","IDENTIFICAÇÃO A REVISAR"),IF(S166="Aguardando recebimento","RECEBIMENTO NÃO CONFIRMADO",IF(S166="Aguardando CDF","CDF NÃO LOCALIZADO",IF(S166="Vínculo de CDF parcial","VÍNCULO INCOMPLETO",IF(S166="CDF localizado, a conferir","CDF A CONFERIR","")))))))</f>
        <v/>
      </c>
      <c r="U166" s="95" t="str">
        <f>IF(T166="","",IF(AQ166="","Não calculável",IF(AQ166&gt;TODAY(),"Data futura",TODAY()-AQ166)))</f>
        <v/>
      </c>
      <c r="V166" s="93" t="str">
        <f>IF(Z166=0,"",SUMIFS('RECEBIMENTOS'!$H$6:$H$1005,'RECEBIMENTOS'!$B$6:$B$1005,A166,'RECEBIMENTOS'!$Z$6:$Z$1005,1))</f>
        <v/>
      </c>
      <c r="W166" s="95" t="str">
        <f>IF(Z166=0,"",COUNTIFS('ITENS_MTR'!$S$6:$S$1005,A166,'ITENS_MTR'!$R$6:$R$1005,1))</f>
        <v/>
      </c>
      <c r="X166" s="94" t="str">
        <f>IF(AC166=1,"POSSÍVEL DUPLICIDADE","")</f>
        <v/>
      </c>
      <c r="Y166" s="94" t="str">
        <f>IF(Z166=0,"",IF(AW166="","Nenhuma",LEFT(AW166,LEN(AW166)-2)))</f>
        <v/>
      </c>
      <c r="Z166" s="96">
        <f>IF(COUNTA(B166:O166)&gt;0,1,0)</f>
        <v>0</v>
      </c>
      <c r="AA166" s="96">
        <f>IF(AND(Z166=1,K166&lt;&gt;""),IF(TRIM(K166)=TRIM(cfg_cancel),1,0),0)</f>
        <v>0</v>
      </c>
      <c r="AB166" s="96" t="str">
        <f>IF(AND(Z166=1,B166&lt;&gt;""),C166&amp;"|"&amp;D166&amp;"|"&amp;G166&amp;"|"&amp;TRIM(B166),"")</f>
        <v/>
      </c>
      <c r="AC166" s="96">
        <f>IF(AB166="",0,IF(SUMPRODUCT(--($AB$6:$AB$505=AB166))&gt;1,1,0))</f>
        <v>0</v>
      </c>
      <c r="AD166" s="96">
        <f>IF(Z166=0,0,IF(OR(AND(G166&lt;&gt;"",ISNA(MATCH(G166,'CAD_UNIDADES'!$C$6:$C$105,0))),AND(H166&lt;&gt;"",ISNA(MATCH(H166,cmp_transp,0))),AND(I166&lt;&gt;"",ISNA(MATCH(I166,cmp_dest,0))),AND(E166&lt;&gt;"",NOT(ISNUMBER(E166))),AND(F166&lt;&gt;"",NOT(ISNUMBER(F166))),AND(ISNUMBER(E166),ISNUMBER(F166),F166&lt;E166)),1,0))</f>
        <v>0</v>
      </c>
      <c r="AE166" s="96">
        <f>IF(Z166=0,0,IF(OR(B166="",C166="",E166="",G166="",H166="",I166="",N(W166)=0),1,0))</f>
        <v>0</v>
      </c>
      <c r="AF166" s="96">
        <f>IF(Z166=0,0,COUNTIFS('ITENS_MTR'!$S$6:$S$1005,A166,'ITENS_MTR'!$AI$6:$AI$1005,1))</f>
        <v>0</v>
      </c>
      <c r="AG166" s="96">
        <f>IF(Z166=0,0,COUNTIFS('ITENS_MTR'!$S$6:$S$1005,A166,'ITENS_MTR'!$AJ$6:$AJ$1005,1))</f>
        <v>0</v>
      </c>
      <c r="AH166" s="96">
        <f>IF(Z166=0,0,COUNTIFS('ITENS_MTR'!$S$6:$S$1005,A166,'ITENS_MTR'!$AM$6:$AM$1005,1))</f>
        <v>0</v>
      </c>
      <c r="AI166" s="96">
        <f>IF(Z166=0,0,COUNTIFS('ITENS_MTR'!$S$6:$S$1005,A166,'ITENS_MTR'!$AO$6:$AO$1005,1))</f>
        <v>0</v>
      </c>
      <c r="AJ166" s="96">
        <f>IF(Z166=0,0,COUNTIFS('ITENS_MTR'!$S$6:$S$1005,A166,'ITENS_MTR'!$AN$6:$AN$1005,1))</f>
        <v>0</v>
      </c>
      <c r="AK166" s="96">
        <f>IF(Z166=0,0,COUNTIFS('RECEBIMENTOS'!$B$6:$B$1005,A166,'RECEBIMENTOS'!$Y$6:$Y$1005,1))</f>
        <v>0</v>
      </c>
      <c r="AL166" s="96">
        <f>IF(Z166=0,0,COUNTIFS('VÍNCULOS_CDF'!$D$6:$D$1005,A166,'VÍNCULOS_CDF'!$Y$6:$Y$1005,1))</f>
        <v>0</v>
      </c>
      <c r="AM166" s="96">
        <f>IF(Z166=0,0,COUNTIFS('RECEBIMENTOS'!$B$6:$B$1005,A166,'RECEBIMENTOS'!$Q$6:$Q$1005,1))</f>
        <v>0</v>
      </c>
      <c r="AN166" s="96">
        <f>IF(AND(Z166=1,N(W166)&gt;0,AG166=N(W166)),1,0)</f>
        <v>0</v>
      </c>
      <c r="AO166" s="96">
        <f>IF(AND(Z166=1,N(W166)&gt;0,AI166=N(W166)),1,0)</f>
        <v>0</v>
      </c>
      <c r="AP166" s="97">
        <f>IF(Z166=0,0,_xlfn.MAXIFS('RECEBIMENTOS'!$E$6:$E$1005,'RECEBIMENTOS'!$B$6:$B$1005,A166))</f>
        <v>0</v>
      </c>
      <c r="AQ166" s="97" t="str">
        <f>IF(T166="","",IF(T166="RECEBIMENTO NÃO CONFIRMADO",IF(ISNUMBER(F166),F166,IF(ISNUMBER(E166),E166,"")),IF(OR(T166="CDF NÃO LOCALIZADO",T166="VÍNCULO INCOMPLETO",T166="CDF A CONFERIR"),IF(AP166&gt;0,AP166,IF(ISNUMBER(E166),E166,"")),IF(ISNUMBER(E166),E166,""))))</f>
        <v/>
      </c>
      <c r="AR166" s="96">
        <f>IF(NOT(ISNUMBER(U166)),0,IF(T166="RECEBIMENTO NÃO CONFIRMADO",IF(AND(ISNUMBER(cfg_rec),U166&gt;cfg_rec),1,0),IF(OR(T166="CDF NÃO LOCALIZADO",T166="VÍNCULO INCOMPLETO",T166="CDF A CONFERIR"),IF(AND(ISNUMBER(cfg_cdf),U166&gt;cfg_cdf),1,0),0)))</f>
        <v>0</v>
      </c>
      <c r="AS166" s="96" t="str">
        <f>IF(T166="","",IF(AR166=1,"Alta",IFERROR(INDEX(cfg_pp,MATCH(T166,cfg_pt,0))&amp;"","Média")))</f>
        <v/>
      </c>
      <c r="AT166" s="96" t="str">
        <f>IF(T166="","",IFERROR(INDEX(cfg_pv,MATCH(T166,cfg_pt,0))&amp;"",""))</f>
        <v/>
      </c>
      <c r="AU166" s="96" t="str">
        <f>IF(T166="","",IF(AS166="Alta",1,IF(AS166="Média",2,3))*1000000000+(999999-IF(ISNUMBER(U166),MIN(U166,999999),0))*1000+161)</f>
        <v/>
      </c>
      <c r="AV166" s="96">
        <f>IF(T166&lt;&gt;"",1,0)</f>
        <v>0</v>
      </c>
      <c r="AW166" s="96" t="str">
        <f>IF(Z166=0,"",IF(AA166=1,"Cancelamento informado; ","")&amp;IF(AE166=1,"Campos essenciais ou itens faltando; ","")&amp;IF(AC166=1,"Possível duplicidade do número; ","")&amp;IF(AD166=1,"Cadastro ou datas a revisar; ","")&amp;IF(AF166&gt;0,"Item de resíduo com dado a revisar; ","")&amp;IF(AH166&gt;0,"Diferença de quantidade a analisar; ","")&amp;IF(AK166&gt;0,"Recebimento com alerta; ","")&amp;IF(AL166&gt;0,"Vínculo de CDF com alerta; ","")&amp;IF(AND(AA166=0,AN166=0),"Recebimento não confirmado; ","")&amp;IF(AND(AA166=0,AN166=1,AO166=0),"CDF pendente ou a conferir; ",""))</f>
        <v/>
      </c>
      <c r="AX166" s="96">
        <f>IF(Z166=0,0,IF(AND(OR(f_ini="",AND(ISNUMBER(E166),E166&gt;=f_ini)),OR(f_fim="",AND(ISNUMBER(E166),E166&lt;=f_fim)),OR(f_un="",f_un="(Todas)",G166=f_un),OR(f_tr="",f_tr="(Todos)",H166=f_tr),OR(f_de="",f_de="(Todos)",I166=f_de),OR(f_sit="",f_sit="(Todas)",S166=f_sit)),1,0))</f>
        <v>0</v>
      </c>
      <c r="AY166" s="96">
        <f>IF(AX166=0,0,IF(OR(f_res="",f_res="(Todos)"),1,IF(COUNTIFS('ITENS_MTR'!$S$6:$S$1005,A166,'ITENS_MTR'!$C$6:$C$1005,f_res)&gt;0,1,0)))</f>
        <v>0</v>
      </c>
      <c r="AZ166" s="97" t="str">
        <f>IF(ISNUMBER(E166),DATE(YEAR(E166),MONTH(E166),1),"")</f>
        <v/>
      </c>
      <c r="BA166" s="96">
        <f>IF(Z166=0,0,IF(AND(OR(r_ini="",AND(ISNUMBER(E166),E166&gt;=r_ini)),OR(r_fim="",AND(ISNUMBER(E166),E166&lt;=r_fim)),OR(r_un="",r_un="(Todas)",G166=r_un),OR(r_de="",r_de="(Todos)",I166=r_de)),1,0))</f>
        <v>0</v>
      </c>
      <c r="BB166" s="96" t="str">
        <f>IF(BA166=1,COUNTIF($BA$6:BA166,1),"")</f>
        <v/>
      </c>
      <c r="BC166" s="96" t="str">
        <f>IF(AND(AU166&lt;&gt;"",OR(r_un="",r_un="(Todas)",G166=r_un),OR(r_de="",r_de="(Todos)",I166=r_de)),AU166,"")</f>
        <v/>
      </c>
      <c r="BD166" s="96" t="str">
        <f>IF(Z166=1,A166&amp;" | nº "&amp;IF(B166="","(sem número)",B166)&amp;" | "&amp;IF(G166="","(sem unidade)",G166),"")</f>
        <v/>
      </c>
      <c r="BE166" s="96" t="str">
        <f>IF(Z166=1,COUNTIF($Z$6:Z166,1),"")</f>
        <v/>
      </c>
      <c r="BF166" s="96" t="str">
        <f>IF(T166="","",IF(T166="RECEBIMENTO NÃO CONFIRMADO","Transp.: "&amp;H166&amp;" | Dest.: "&amp;I166,IF(OR(T166="CDF NÃO LOCALIZADO",T166="VÍNCULO INCOMPLETO",T166="CDF A CONFERIR"),"Dest.: "&amp;I166,"Gerador: "&amp;G166)))</f>
        <v/>
      </c>
    </row>
    <row r="167">
      <c r="A167" s="89" t="inlineStr">
        <is>
          <t>MTR-000162</t>
        </is>
      </c>
      <c r="B167" s="90" t="n"/>
      <c r="C167" s="91" t="n"/>
      <c r="D167" s="91" t="n"/>
      <c r="E167" s="92" t="n"/>
      <c r="F167" s="92" t="n"/>
      <c r="G167" s="91" t="n"/>
      <c r="H167" s="91" t="n"/>
      <c r="I167" s="91" t="n"/>
      <c r="J167" s="91" t="n"/>
      <c r="K167" s="91" t="n"/>
      <c r="L167" s="92" t="n"/>
      <c r="M167" s="91" t="n"/>
      <c r="N167" s="91" t="n"/>
      <c r="O167" s="91" t="n"/>
      <c r="P167" s="93" t="str">
        <f>IF(Z167=0,"",SUMIFS('ITENS_MTR'!$I$6:$I$1005,'ITENS_MTR'!$S$6:$S$1005,A167,'ITENS_MTR'!$Y$6:$Y$1005,1))</f>
        <v/>
      </c>
      <c r="Q167" s="93" t="str">
        <f>IF(Z167=0,"",SUMIFS('RECEBIMENTOS'!$H$6:$H$1005,'RECEBIMENTOS'!$B$6:$B$1005,A167,'RECEBIMENTOS'!$X$6:$X$1005,1))</f>
        <v/>
      </c>
      <c r="R167" s="93" t="str">
        <f>IF(Z167=0,"",SUMIFS('VÍNCULOS_CDF'!$H$6:$H$1005,'VÍNCULOS_CDF'!$D$6:$D$1005,A167,'VÍNCULOS_CDF'!$V$6:$V$1005,1))</f>
        <v/>
      </c>
      <c r="S167" s="94" t="str">
        <f>IF(Z167=0,"",IF(AA167=1,"Cancelado (informado)",IF(AE167=1,"Cadastro incompleto",IF(OR(AC167=1,AD167=1,AF167&gt;0,AH167&gt;0,AK167&gt;0,AL167&gt;0),"Informação a revisar",IF(AN167=0,"Aguardando recebimento",IF(N(R167)=0,"Aguardando CDF",IF(AJ167&lt;N(W167),"Vínculo de CDF parcial",IF(AO167=0,"CDF localizado, a conferir","Documentação conferida"))))))))</f>
        <v/>
      </c>
      <c r="T167" s="94" t="str">
        <f>IF(Z167=0,"",IF(S167="Cadastro incompleto","MTR INCOMPLETO",IF(S167="Informação a revisar",IF(AND(AH167&gt;0,AC167=0,AD167=0,AF167=0,AK167=0,AL167=0),"QUANTIDADE A REVISAR","IDENTIFICAÇÃO A REVISAR"),IF(S167="Aguardando recebimento","RECEBIMENTO NÃO CONFIRMADO",IF(S167="Aguardando CDF","CDF NÃO LOCALIZADO",IF(S167="Vínculo de CDF parcial","VÍNCULO INCOMPLETO",IF(S167="CDF localizado, a conferir","CDF A CONFERIR","")))))))</f>
        <v/>
      </c>
      <c r="U167" s="95" t="str">
        <f>IF(T167="","",IF(AQ167="","Não calculável",IF(AQ167&gt;TODAY(),"Data futura",TODAY()-AQ167)))</f>
        <v/>
      </c>
      <c r="V167" s="93" t="str">
        <f>IF(Z167=0,"",SUMIFS('RECEBIMENTOS'!$H$6:$H$1005,'RECEBIMENTOS'!$B$6:$B$1005,A167,'RECEBIMENTOS'!$Z$6:$Z$1005,1))</f>
        <v/>
      </c>
      <c r="W167" s="95" t="str">
        <f>IF(Z167=0,"",COUNTIFS('ITENS_MTR'!$S$6:$S$1005,A167,'ITENS_MTR'!$R$6:$R$1005,1))</f>
        <v/>
      </c>
      <c r="X167" s="94" t="str">
        <f>IF(AC167=1,"POSSÍVEL DUPLICIDADE","")</f>
        <v/>
      </c>
      <c r="Y167" s="94" t="str">
        <f>IF(Z167=0,"",IF(AW167="","Nenhuma",LEFT(AW167,LEN(AW167)-2)))</f>
        <v/>
      </c>
      <c r="Z167" s="96">
        <f>IF(COUNTA(B167:O167)&gt;0,1,0)</f>
        <v>0</v>
      </c>
      <c r="AA167" s="96">
        <f>IF(AND(Z167=1,K167&lt;&gt;""),IF(TRIM(K167)=TRIM(cfg_cancel),1,0),0)</f>
        <v>0</v>
      </c>
      <c r="AB167" s="96" t="str">
        <f>IF(AND(Z167=1,B167&lt;&gt;""),C167&amp;"|"&amp;D167&amp;"|"&amp;G167&amp;"|"&amp;TRIM(B167),"")</f>
        <v/>
      </c>
      <c r="AC167" s="96">
        <f>IF(AB167="",0,IF(SUMPRODUCT(--($AB$6:$AB$505=AB167))&gt;1,1,0))</f>
        <v>0</v>
      </c>
      <c r="AD167" s="96">
        <f>IF(Z167=0,0,IF(OR(AND(G167&lt;&gt;"",ISNA(MATCH(G167,'CAD_UNIDADES'!$C$6:$C$105,0))),AND(H167&lt;&gt;"",ISNA(MATCH(H167,cmp_transp,0))),AND(I167&lt;&gt;"",ISNA(MATCH(I167,cmp_dest,0))),AND(E167&lt;&gt;"",NOT(ISNUMBER(E167))),AND(F167&lt;&gt;"",NOT(ISNUMBER(F167))),AND(ISNUMBER(E167),ISNUMBER(F167),F167&lt;E167)),1,0))</f>
        <v>0</v>
      </c>
      <c r="AE167" s="96">
        <f>IF(Z167=0,0,IF(OR(B167="",C167="",E167="",G167="",H167="",I167="",N(W167)=0),1,0))</f>
        <v>0</v>
      </c>
      <c r="AF167" s="96">
        <f>IF(Z167=0,0,COUNTIFS('ITENS_MTR'!$S$6:$S$1005,A167,'ITENS_MTR'!$AI$6:$AI$1005,1))</f>
        <v>0</v>
      </c>
      <c r="AG167" s="96">
        <f>IF(Z167=0,0,COUNTIFS('ITENS_MTR'!$S$6:$S$1005,A167,'ITENS_MTR'!$AJ$6:$AJ$1005,1))</f>
        <v>0</v>
      </c>
      <c r="AH167" s="96">
        <f>IF(Z167=0,0,COUNTIFS('ITENS_MTR'!$S$6:$S$1005,A167,'ITENS_MTR'!$AM$6:$AM$1005,1))</f>
        <v>0</v>
      </c>
      <c r="AI167" s="96">
        <f>IF(Z167=0,0,COUNTIFS('ITENS_MTR'!$S$6:$S$1005,A167,'ITENS_MTR'!$AO$6:$AO$1005,1))</f>
        <v>0</v>
      </c>
      <c r="AJ167" s="96">
        <f>IF(Z167=0,0,COUNTIFS('ITENS_MTR'!$S$6:$S$1005,A167,'ITENS_MTR'!$AN$6:$AN$1005,1))</f>
        <v>0</v>
      </c>
      <c r="AK167" s="96">
        <f>IF(Z167=0,0,COUNTIFS('RECEBIMENTOS'!$B$6:$B$1005,A167,'RECEBIMENTOS'!$Y$6:$Y$1005,1))</f>
        <v>0</v>
      </c>
      <c r="AL167" s="96">
        <f>IF(Z167=0,0,COUNTIFS('VÍNCULOS_CDF'!$D$6:$D$1005,A167,'VÍNCULOS_CDF'!$Y$6:$Y$1005,1))</f>
        <v>0</v>
      </c>
      <c r="AM167" s="96">
        <f>IF(Z167=0,0,COUNTIFS('RECEBIMENTOS'!$B$6:$B$1005,A167,'RECEBIMENTOS'!$Q$6:$Q$1005,1))</f>
        <v>0</v>
      </c>
      <c r="AN167" s="96">
        <f>IF(AND(Z167=1,N(W167)&gt;0,AG167=N(W167)),1,0)</f>
        <v>0</v>
      </c>
      <c r="AO167" s="96">
        <f>IF(AND(Z167=1,N(W167)&gt;0,AI167=N(W167)),1,0)</f>
        <v>0</v>
      </c>
      <c r="AP167" s="97">
        <f>IF(Z167=0,0,_xlfn.MAXIFS('RECEBIMENTOS'!$E$6:$E$1005,'RECEBIMENTOS'!$B$6:$B$1005,A167))</f>
        <v>0</v>
      </c>
      <c r="AQ167" s="97" t="str">
        <f>IF(T167="","",IF(T167="RECEBIMENTO NÃO CONFIRMADO",IF(ISNUMBER(F167),F167,IF(ISNUMBER(E167),E167,"")),IF(OR(T167="CDF NÃO LOCALIZADO",T167="VÍNCULO INCOMPLETO",T167="CDF A CONFERIR"),IF(AP167&gt;0,AP167,IF(ISNUMBER(E167),E167,"")),IF(ISNUMBER(E167),E167,""))))</f>
        <v/>
      </c>
      <c r="AR167" s="96">
        <f>IF(NOT(ISNUMBER(U167)),0,IF(T167="RECEBIMENTO NÃO CONFIRMADO",IF(AND(ISNUMBER(cfg_rec),U167&gt;cfg_rec),1,0),IF(OR(T167="CDF NÃO LOCALIZADO",T167="VÍNCULO INCOMPLETO",T167="CDF A CONFERIR"),IF(AND(ISNUMBER(cfg_cdf),U167&gt;cfg_cdf),1,0),0)))</f>
        <v>0</v>
      </c>
      <c r="AS167" s="96" t="str">
        <f>IF(T167="","",IF(AR167=1,"Alta",IFERROR(INDEX(cfg_pp,MATCH(T167,cfg_pt,0))&amp;"","Média")))</f>
        <v/>
      </c>
      <c r="AT167" s="96" t="str">
        <f>IF(T167="","",IFERROR(INDEX(cfg_pv,MATCH(T167,cfg_pt,0))&amp;"",""))</f>
        <v/>
      </c>
      <c r="AU167" s="96" t="str">
        <f>IF(T167="","",IF(AS167="Alta",1,IF(AS167="Média",2,3))*1000000000+(999999-IF(ISNUMBER(U167),MIN(U167,999999),0))*1000+162)</f>
        <v/>
      </c>
      <c r="AV167" s="96">
        <f>IF(T167&lt;&gt;"",1,0)</f>
        <v>0</v>
      </c>
      <c r="AW167" s="96" t="str">
        <f>IF(Z167=0,"",IF(AA167=1,"Cancelamento informado; ","")&amp;IF(AE167=1,"Campos essenciais ou itens faltando; ","")&amp;IF(AC167=1,"Possível duplicidade do número; ","")&amp;IF(AD167=1,"Cadastro ou datas a revisar; ","")&amp;IF(AF167&gt;0,"Item de resíduo com dado a revisar; ","")&amp;IF(AH167&gt;0,"Diferença de quantidade a analisar; ","")&amp;IF(AK167&gt;0,"Recebimento com alerta; ","")&amp;IF(AL167&gt;0,"Vínculo de CDF com alerta; ","")&amp;IF(AND(AA167=0,AN167=0),"Recebimento não confirmado; ","")&amp;IF(AND(AA167=0,AN167=1,AO167=0),"CDF pendente ou a conferir; ",""))</f>
        <v/>
      </c>
      <c r="AX167" s="96">
        <f>IF(Z167=0,0,IF(AND(OR(f_ini="",AND(ISNUMBER(E167),E167&gt;=f_ini)),OR(f_fim="",AND(ISNUMBER(E167),E167&lt;=f_fim)),OR(f_un="",f_un="(Todas)",G167=f_un),OR(f_tr="",f_tr="(Todos)",H167=f_tr),OR(f_de="",f_de="(Todos)",I167=f_de),OR(f_sit="",f_sit="(Todas)",S167=f_sit)),1,0))</f>
        <v>0</v>
      </c>
      <c r="AY167" s="96">
        <f>IF(AX167=0,0,IF(OR(f_res="",f_res="(Todos)"),1,IF(COUNTIFS('ITENS_MTR'!$S$6:$S$1005,A167,'ITENS_MTR'!$C$6:$C$1005,f_res)&gt;0,1,0)))</f>
        <v>0</v>
      </c>
      <c r="AZ167" s="97" t="str">
        <f>IF(ISNUMBER(E167),DATE(YEAR(E167),MONTH(E167),1),"")</f>
        <v/>
      </c>
      <c r="BA167" s="96">
        <f>IF(Z167=0,0,IF(AND(OR(r_ini="",AND(ISNUMBER(E167),E167&gt;=r_ini)),OR(r_fim="",AND(ISNUMBER(E167),E167&lt;=r_fim)),OR(r_un="",r_un="(Todas)",G167=r_un),OR(r_de="",r_de="(Todos)",I167=r_de)),1,0))</f>
        <v>0</v>
      </c>
      <c r="BB167" s="96" t="str">
        <f>IF(BA167=1,COUNTIF($BA$6:BA167,1),"")</f>
        <v/>
      </c>
      <c r="BC167" s="96" t="str">
        <f>IF(AND(AU167&lt;&gt;"",OR(r_un="",r_un="(Todas)",G167=r_un),OR(r_de="",r_de="(Todos)",I167=r_de)),AU167,"")</f>
        <v/>
      </c>
      <c r="BD167" s="96" t="str">
        <f>IF(Z167=1,A167&amp;" | nº "&amp;IF(B167="","(sem número)",B167)&amp;" | "&amp;IF(G167="","(sem unidade)",G167),"")</f>
        <v/>
      </c>
      <c r="BE167" s="96" t="str">
        <f>IF(Z167=1,COUNTIF($Z$6:Z167,1),"")</f>
        <v/>
      </c>
      <c r="BF167" s="96" t="str">
        <f>IF(T167="","",IF(T167="RECEBIMENTO NÃO CONFIRMADO","Transp.: "&amp;H167&amp;" | Dest.: "&amp;I167,IF(OR(T167="CDF NÃO LOCALIZADO",T167="VÍNCULO INCOMPLETO",T167="CDF A CONFERIR"),"Dest.: "&amp;I167,"Gerador: "&amp;G167)))</f>
        <v/>
      </c>
    </row>
    <row r="168">
      <c r="A168" s="89" t="inlineStr">
        <is>
          <t>MTR-000163</t>
        </is>
      </c>
      <c r="B168" s="90" t="n"/>
      <c r="C168" s="91" t="n"/>
      <c r="D168" s="91" t="n"/>
      <c r="E168" s="92" t="n"/>
      <c r="F168" s="92" t="n"/>
      <c r="G168" s="91" t="n"/>
      <c r="H168" s="91" t="n"/>
      <c r="I168" s="91" t="n"/>
      <c r="J168" s="91" t="n"/>
      <c r="K168" s="91" t="n"/>
      <c r="L168" s="92" t="n"/>
      <c r="M168" s="91" t="n"/>
      <c r="N168" s="91" t="n"/>
      <c r="O168" s="91" t="n"/>
      <c r="P168" s="93" t="str">
        <f>IF(Z168=0,"",SUMIFS('ITENS_MTR'!$I$6:$I$1005,'ITENS_MTR'!$S$6:$S$1005,A168,'ITENS_MTR'!$Y$6:$Y$1005,1))</f>
        <v/>
      </c>
      <c r="Q168" s="93" t="str">
        <f>IF(Z168=0,"",SUMIFS('RECEBIMENTOS'!$H$6:$H$1005,'RECEBIMENTOS'!$B$6:$B$1005,A168,'RECEBIMENTOS'!$X$6:$X$1005,1))</f>
        <v/>
      </c>
      <c r="R168" s="93" t="str">
        <f>IF(Z168=0,"",SUMIFS('VÍNCULOS_CDF'!$H$6:$H$1005,'VÍNCULOS_CDF'!$D$6:$D$1005,A168,'VÍNCULOS_CDF'!$V$6:$V$1005,1))</f>
        <v/>
      </c>
      <c r="S168" s="94" t="str">
        <f>IF(Z168=0,"",IF(AA168=1,"Cancelado (informado)",IF(AE168=1,"Cadastro incompleto",IF(OR(AC168=1,AD168=1,AF168&gt;0,AH168&gt;0,AK168&gt;0,AL168&gt;0),"Informação a revisar",IF(AN168=0,"Aguardando recebimento",IF(N(R168)=0,"Aguardando CDF",IF(AJ168&lt;N(W168),"Vínculo de CDF parcial",IF(AO168=0,"CDF localizado, a conferir","Documentação conferida"))))))))</f>
        <v/>
      </c>
      <c r="T168" s="94" t="str">
        <f>IF(Z168=0,"",IF(S168="Cadastro incompleto","MTR INCOMPLETO",IF(S168="Informação a revisar",IF(AND(AH168&gt;0,AC168=0,AD168=0,AF168=0,AK168=0,AL168=0),"QUANTIDADE A REVISAR","IDENTIFICAÇÃO A REVISAR"),IF(S168="Aguardando recebimento","RECEBIMENTO NÃO CONFIRMADO",IF(S168="Aguardando CDF","CDF NÃO LOCALIZADO",IF(S168="Vínculo de CDF parcial","VÍNCULO INCOMPLETO",IF(S168="CDF localizado, a conferir","CDF A CONFERIR","")))))))</f>
        <v/>
      </c>
      <c r="U168" s="95" t="str">
        <f>IF(T168="","",IF(AQ168="","Não calculável",IF(AQ168&gt;TODAY(),"Data futura",TODAY()-AQ168)))</f>
        <v/>
      </c>
      <c r="V168" s="93" t="str">
        <f>IF(Z168=0,"",SUMIFS('RECEBIMENTOS'!$H$6:$H$1005,'RECEBIMENTOS'!$B$6:$B$1005,A168,'RECEBIMENTOS'!$Z$6:$Z$1005,1))</f>
        <v/>
      </c>
      <c r="W168" s="95" t="str">
        <f>IF(Z168=0,"",COUNTIFS('ITENS_MTR'!$S$6:$S$1005,A168,'ITENS_MTR'!$R$6:$R$1005,1))</f>
        <v/>
      </c>
      <c r="X168" s="94" t="str">
        <f>IF(AC168=1,"POSSÍVEL DUPLICIDADE","")</f>
        <v/>
      </c>
      <c r="Y168" s="94" t="str">
        <f>IF(Z168=0,"",IF(AW168="","Nenhuma",LEFT(AW168,LEN(AW168)-2)))</f>
        <v/>
      </c>
      <c r="Z168" s="96">
        <f>IF(COUNTA(B168:O168)&gt;0,1,0)</f>
        <v>0</v>
      </c>
      <c r="AA168" s="96">
        <f>IF(AND(Z168=1,K168&lt;&gt;""),IF(TRIM(K168)=TRIM(cfg_cancel),1,0),0)</f>
        <v>0</v>
      </c>
      <c r="AB168" s="96" t="str">
        <f>IF(AND(Z168=1,B168&lt;&gt;""),C168&amp;"|"&amp;D168&amp;"|"&amp;G168&amp;"|"&amp;TRIM(B168),"")</f>
        <v/>
      </c>
      <c r="AC168" s="96">
        <f>IF(AB168="",0,IF(SUMPRODUCT(--($AB$6:$AB$505=AB168))&gt;1,1,0))</f>
        <v>0</v>
      </c>
      <c r="AD168" s="96">
        <f>IF(Z168=0,0,IF(OR(AND(G168&lt;&gt;"",ISNA(MATCH(G168,'CAD_UNIDADES'!$C$6:$C$105,0))),AND(H168&lt;&gt;"",ISNA(MATCH(H168,cmp_transp,0))),AND(I168&lt;&gt;"",ISNA(MATCH(I168,cmp_dest,0))),AND(E168&lt;&gt;"",NOT(ISNUMBER(E168))),AND(F168&lt;&gt;"",NOT(ISNUMBER(F168))),AND(ISNUMBER(E168),ISNUMBER(F168),F168&lt;E168)),1,0))</f>
        <v>0</v>
      </c>
      <c r="AE168" s="96">
        <f>IF(Z168=0,0,IF(OR(B168="",C168="",E168="",G168="",H168="",I168="",N(W168)=0),1,0))</f>
        <v>0</v>
      </c>
      <c r="AF168" s="96">
        <f>IF(Z168=0,0,COUNTIFS('ITENS_MTR'!$S$6:$S$1005,A168,'ITENS_MTR'!$AI$6:$AI$1005,1))</f>
        <v>0</v>
      </c>
      <c r="AG168" s="96">
        <f>IF(Z168=0,0,COUNTIFS('ITENS_MTR'!$S$6:$S$1005,A168,'ITENS_MTR'!$AJ$6:$AJ$1005,1))</f>
        <v>0</v>
      </c>
      <c r="AH168" s="96">
        <f>IF(Z168=0,0,COUNTIFS('ITENS_MTR'!$S$6:$S$1005,A168,'ITENS_MTR'!$AM$6:$AM$1005,1))</f>
        <v>0</v>
      </c>
      <c r="AI168" s="96">
        <f>IF(Z168=0,0,COUNTIFS('ITENS_MTR'!$S$6:$S$1005,A168,'ITENS_MTR'!$AO$6:$AO$1005,1))</f>
        <v>0</v>
      </c>
      <c r="AJ168" s="96">
        <f>IF(Z168=0,0,COUNTIFS('ITENS_MTR'!$S$6:$S$1005,A168,'ITENS_MTR'!$AN$6:$AN$1005,1))</f>
        <v>0</v>
      </c>
      <c r="AK168" s="96">
        <f>IF(Z168=0,0,COUNTIFS('RECEBIMENTOS'!$B$6:$B$1005,A168,'RECEBIMENTOS'!$Y$6:$Y$1005,1))</f>
        <v>0</v>
      </c>
      <c r="AL168" s="96">
        <f>IF(Z168=0,0,COUNTIFS('VÍNCULOS_CDF'!$D$6:$D$1005,A168,'VÍNCULOS_CDF'!$Y$6:$Y$1005,1))</f>
        <v>0</v>
      </c>
      <c r="AM168" s="96">
        <f>IF(Z168=0,0,COUNTIFS('RECEBIMENTOS'!$B$6:$B$1005,A168,'RECEBIMENTOS'!$Q$6:$Q$1005,1))</f>
        <v>0</v>
      </c>
      <c r="AN168" s="96">
        <f>IF(AND(Z168=1,N(W168)&gt;0,AG168=N(W168)),1,0)</f>
        <v>0</v>
      </c>
      <c r="AO168" s="96">
        <f>IF(AND(Z168=1,N(W168)&gt;0,AI168=N(W168)),1,0)</f>
        <v>0</v>
      </c>
      <c r="AP168" s="97">
        <f>IF(Z168=0,0,_xlfn.MAXIFS('RECEBIMENTOS'!$E$6:$E$1005,'RECEBIMENTOS'!$B$6:$B$1005,A168))</f>
        <v>0</v>
      </c>
      <c r="AQ168" s="97" t="str">
        <f>IF(T168="","",IF(T168="RECEBIMENTO NÃO CONFIRMADO",IF(ISNUMBER(F168),F168,IF(ISNUMBER(E168),E168,"")),IF(OR(T168="CDF NÃO LOCALIZADO",T168="VÍNCULO INCOMPLETO",T168="CDF A CONFERIR"),IF(AP168&gt;0,AP168,IF(ISNUMBER(E168),E168,"")),IF(ISNUMBER(E168),E168,""))))</f>
        <v/>
      </c>
      <c r="AR168" s="96">
        <f>IF(NOT(ISNUMBER(U168)),0,IF(T168="RECEBIMENTO NÃO CONFIRMADO",IF(AND(ISNUMBER(cfg_rec),U168&gt;cfg_rec),1,0),IF(OR(T168="CDF NÃO LOCALIZADO",T168="VÍNCULO INCOMPLETO",T168="CDF A CONFERIR"),IF(AND(ISNUMBER(cfg_cdf),U168&gt;cfg_cdf),1,0),0)))</f>
        <v>0</v>
      </c>
      <c r="AS168" s="96" t="str">
        <f>IF(T168="","",IF(AR168=1,"Alta",IFERROR(INDEX(cfg_pp,MATCH(T168,cfg_pt,0))&amp;"","Média")))</f>
        <v/>
      </c>
      <c r="AT168" s="96" t="str">
        <f>IF(T168="","",IFERROR(INDEX(cfg_pv,MATCH(T168,cfg_pt,0))&amp;"",""))</f>
        <v/>
      </c>
      <c r="AU168" s="96" t="str">
        <f>IF(T168="","",IF(AS168="Alta",1,IF(AS168="Média",2,3))*1000000000+(999999-IF(ISNUMBER(U168),MIN(U168,999999),0))*1000+163)</f>
        <v/>
      </c>
      <c r="AV168" s="96">
        <f>IF(T168&lt;&gt;"",1,0)</f>
        <v>0</v>
      </c>
      <c r="AW168" s="96" t="str">
        <f>IF(Z168=0,"",IF(AA168=1,"Cancelamento informado; ","")&amp;IF(AE168=1,"Campos essenciais ou itens faltando; ","")&amp;IF(AC168=1,"Possível duplicidade do número; ","")&amp;IF(AD168=1,"Cadastro ou datas a revisar; ","")&amp;IF(AF168&gt;0,"Item de resíduo com dado a revisar; ","")&amp;IF(AH168&gt;0,"Diferença de quantidade a analisar; ","")&amp;IF(AK168&gt;0,"Recebimento com alerta; ","")&amp;IF(AL168&gt;0,"Vínculo de CDF com alerta; ","")&amp;IF(AND(AA168=0,AN168=0),"Recebimento não confirmado; ","")&amp;IF(AND(AA168=0,AN168=1,AO168=0),"CDF pendente ou a conferir; ",""))</f>
        <v/>
      </c>
      <c r="AX168" s="96">
        <f>IF(Z168=0,0,IF(AND(OR(f_ini="",AND(ISNUMBER(E168),E168&gt;=f_ini)),OR(f_fim="",AND(ISNUMBER(E168),E168&lt;=f_fim)),OR(f_un="",f_un="(Todas)",G168=f_un),OR(f_tr="",f_tr="(Todos)",H168=f_tr),OR(f_de="",f_de="(Todos)",I168=f_de),OR(f_sit="",f_sit="(Todas)",S168=f_sit)),1,0))</f>
        <v>0</v>
      </c>
      <c r="AY168" s="96">
        <f>IF(AX168=0,0,IF(OR(f_res="",f_res="(Todos)"),1,IF(COUNTIFS('ITENS_MTR'!$S$6:$S$1005,A168,'ITENS_MTR'!$C$6:$C$1005,f_res)&gt;0,1,0)))</f>
        <v>0</v>
      </c>
      <c r="AZ168" s="97" t="str">
        <f>IF(ISNUMBER(E168),DATE(YEAR(E168),MONTH(E168),1),"")</f>
        <v/>
      </c>
      <c r="BA168" s="96">
        <f>IF(Z168=0,0,IF(AND(OR(r_ini="",AND(ISNUMBER(E168),E168&gt;=r_ini)),OR(r_fim="",AND(ISNUMBER(E168),E168&lt;=r_fim)),OR(r_un="",r_un="(Todas)",G168=r_un),OR(r_de="",r_de="(Todos)",I168=r_de)),1,0))</f>
        <v>0</v>
      </c>
      <c r="BB168" s="96" t="str">
        <f>IF(BA168=1,COUNTIF($BA$6:BA168,1),"")</f>
        <v/>
      </c>
      <c r="BC168" s="96" t="str">
        <f>IF(AND(AU168&lt;&gt;"",OR(r_un="",r_un="(Todas)",G168=r_un),OR(r_de="",r_de="(Todos)",I168=r_de)),AU168,"")</f>
        <v/>
      </c>
      <c r="BD168" s="96" t="str">
        <f>IF(Z168=1,A168&amp;" | nº "&amp;IF(B168="","(sem número)",B168)&amp;" | "&amp;IF(G168="","(sem unidade)",G168),"")</f>
        <v/>
      </c>
      <c r="BE168" s="96" t="str">
        <f>IF(Z168=1,COUNTIF($Z$6:Z168,1),"")</f>
        <v/>
      </c>
      <c r="BF168" s="96" t="str">
        <f>IF(T168="","",IF(T168="RECEBIMENTO NÃO CONFIRMADO","Transp.: "&amp;H168&amp;" | Dest.: "&amp;I168,IF(OR(T168="CDF NÃO LOCALIZADO",T168="VÍNCULO INCOMPLETO",T168="CDF A CONFERIR"),"Dest.: "&amp;I168,"Gerador: "&amp;G168)))</f>
        <v/>
      </c>
    </row>
    <row r="169">
      <c r="A169" s="89" t="inlineStr">
        <is>
          <t>MTR-000164</t>
        </is>
      </c>
      <c r="B169" s="90" t="n"/>
      <c r="C169" s="91" t="n"/>
      <c r="D169" s="91" t="n"/>
      <c r="E169" s="92" t="n"/>
      <c r="F169" s="92" t="n"/>
      <c r="G169" s="91" t="n"/>
      <c r="H169" s="91" t="n"/>
      <c r="I169" s="91" t="n"/>
      <c r="J169" s="91" t="n"/>
      <c r="K169" s="91" t="n"/>
      <c r="L169" s="92" t="n"/>
      <c r="M169" s="91" t="n"/>
      <c r="N169" s="91" t="n"/>
      <c r="O169" s="91" t="n"/>
      <c r="P169" s="93" t="str">
        <f>IF(Z169=0,"",SUMIFS('ITENS_MTR'!$I$6:$I$1005,'ITENS_MTR'!$S$6:$S$1005,A169,'ITENS_MTR'!$Y$6:$Y$1005,1))</f>
        <v/>
      </c>
      <c r="Q169" s="93" t="str">
        <f>IF(Z169=0,"",SUMIFS('RECEBIMENTOS'!$H$6:$H$1005,'RECEBIMENTOS'!$B$6:$B$1005,A169,'RECEBIMENTOS'!$X$6:$X$1005,1))</f>
        <v/>
      </c>
      <c r="R169" s="93" t="str">
        <f>IF(Z169=0,"",SUMIFS('VÍNCULOS_CDF'!$H$6:$H$1005,'VÍNCULOS_CDF'!$D$6:$D$1005,A169,'VÍNCULOS_CDF'!$V$6:$V$1005,1))</f>
        <v/>
      </c>
      <c r="S169" s="94" t="str">
        <f>IF(Z169=0,"",IF(AA169=1,"Cancelado (informado)",IF(AE169=1,"Cadastro incompleto",IF(OR(AC169=1,AD169=1,AF169&gt;0,AH169&gt;0,AK169&gt;0,AL169&gt;0),"Informação a revisar",IF(AN169=0,"Aguardando recebimento",IF(N(R169)=0,"Aguardando CDF",IF(AJ169&lt;N(W169),"Vínculo de CDF parcial",IF(AO169=0,"CDF localizado, a conferir","Documentação conferida"))))))))</f>
        <v/>
      </c>
      <c r="T169" s="94" t="str">
        <f>IF(Z169=0,"",IF(S169="Cadastro incompleto","MTR INCOMPLETO",IF(S169="Informação a revisar",IF(AND(AH169&gt;0,AC169=0,AD169=0,AF169=0,AK169=0,AL169=0),"QUANTIDADE A REVISAR","IDENTIFICAÇÃO A REVISAR"),IF(S169="Aguardando recebimento","RECEBIMENTO NÃO CONFIRMADO",IF(S169="Aguardando CDF","CDF NÃO LOCALIZADO",IF(S169="Vínculo de CDF parcial","VÍNCULO INCOMPLETO",IF(S169="CDF localizado, a conferir","CDF A CONFERIR","")))))))</f>
        <v/>
      </c>
      <c r="U169" s="95" t="str">
        <f>IF(T169="","",IF(AQ169="","Não calculável",IF(AQ169&gt;TODAY(),"Data futura",TODAY()-AQ169)))</f>
        <v/>
      </c>
      <c r="V169" s="93" t="str">
        <f>IF(Z169=0,"",SUMIFS('RECEBIMENTOS'!$H$6:$H$1005,'RECEBIMENTOS'!$B$6:$B$1005,A169,'RECEBIMENTOS'!$Z$6:$Z$1005,1))</f>
        <v/>
      </c>
      <c r="W169" s="95" t="str">
        <f>IF(Z169=0,"",COUNTIFS('ITENS_MTR'!$S$6:$S$1005,A169,'ITENS_MTR'!$R$6:$R$1005,1))</f>
        <v/>
      </c>
      <c r="X169" s="94" t="str">
        <f>IF(AC169=1,"POSSÍVEL DUPLICIDADE","")</f>
        <v/>
      </c>
      <c r="Y169" s="94" t="str">
        <f>IF(Z169=0,"",IF(AW169="","Nenhuma",LEFT(AW169,LEN(AW169)-2)))</f>
        <v/>
      </c>
      <c r="Z169" s="96">
        <f>IF(COUNTA(B169:O169)&gt;0,1,0)</f>
        <v>0</v>
      </c>
      <c r="AA169" s="96">
        <f>IF(AND(Z169=1,K169&lt;&gt;""),IF(TRIM(K169)=TRIM(cfg_cancel),1,0),0)</f>
        <v>0</v>
      </c>
      <c r="AB169" s="96" t="str">
        <f>IF(AND(Z169=1,B169&lt;&gt;""),C169&amp;"|"&amp;D169&amp;"|"&amp;G169&amp;"|"&amp;TRIM(B169),"")</f>
        <v/>
      </c>
      <c r="AC169" s="96">
        <f>IF(AB169="",0,IF(SUMPRODUCT(--($AB$6:$AB$505=AB169))&gt;1,1,0))</f>
        <v>0</v>
      </c>
      <c r="AD169" s="96">
        <f>IF(Z169=0,0,IF(OR(AND(G169&lt;&gt;"",ISNA(MATCH(G169,'CAD_UNIDADES'!$C$6:$C$105,0))),AND(H169&lt;&gt;"",ISNA(MATCH(H169,cmp_transp,0))),AND(I169&lt;&gt;"",ISNA(MATCH(I169,cmp_dest,0))),AND(E169&lt;&gt;"",NOT(ISNUMBER(E169))),AND(F169&lt;&gt;"",NOT(ISNUMBER(F169))),AND(ISNUMBER(E169),ISNUMBER(F169),F169&lt;E169)),1,0))</f>
        <v>0</v>
      </c>
      <c r="AE169" s="96">
        <f>IF(Z169=0,0,IF(OR(B169="",C169="",E169="",G169="",H169="",I169="",N(W169)=0),1,0))</f>
        <v>0</v>
      </c>
      <c r="AF169" s="96">
        <f>IF(Z169=0,0,COUNTIFS('ITENS_MTR'!$S$6:$S$1005,A169,'ITENS_MTR'!$AI$6:$AI$1005,1))</f>
        <v>0</v>
      </c>
      <c r="AG169" s="96">
        <f>IF(Z169=0,0,COUNTIFS('ITENS_MTR'!$S$6:$S$1005,A169,'ITENS_MTR'!$AJ$6:$AJ$1005,1))</f>
        <v>0</v>
      </c>
      <c r="AH169" s="96">
        <f>IF(Z169=0,0,COUNTIFS('ITENS_MTR'!$S$6:$S$1005,A169,'ITENS_MTR'!$AM$6:$AM$1005,1))</f>
        <v>0</v>
      </c>
      <c r="AI169" s="96">
        <f>IF(Z169=0,0,COUNTIFS('ITENS_MTR'!$S$6:$S$1005,A169,'ITENS_MTR'!$AO$6:$AO$1005,1))</f>
        <v>0</v>
      </c>
      <c r="AJ169" s="96">
        <f>IF(Z169=0,0,COUNTIFS('ITENS_MTR'!$S$6:$S$1005,A169,'ITENS_MTR'!$AN$6:$AN$1005,1))</f>
        <v>0</v>
      </c>
      <c r="AK169" s="96">
        <f>IF(Z169=0,0,COUNTIFS('RECEBIMENTOS'!$B$6:$B$1005,A169,'RECEBIMENTOS'!$Y$6:$Y$1005,1))</f>
        <v>0</v>
      </c>
      <c r="AL169" s="96">
        <f>IF(Z169=0,0,COUNTIFS('VÍNCULOS_CDF'!$D$6:$D$1005,A169,'VÍNCULOS_CDF'!$Y$6:$Y$1005,1))</f>
        <v>0</v>
      </c>
      <c r="AM169" s="96">
        <f>IF(Z169=0,0,COUNTIFS('RECEBIMENTOS'!$B$6:$B$1005,A169,'RECEBIMENTOS'!$Q$6:$Q$1005,1))</f>
        <v>0</v>
      </c>
      <c r="AN169" s="96">
        <f>IF(AND(Z169=1,N(W169)&gt;0,AG169=N(W169)),1,0)</f>
        <v>0</v>
      </c>
      <c r="AO169" s="96">
        <f>IF(AND(Z169=1,N(W169)&gt;0,AI169=N(W169)),1,0)</f>
        <v>0</v>
      </c>
      <c r="AP169" s="97">
        <f>IF(Z169=0,0,_xlfn.MAXIFS('RECEBIMENTOS'!$E$6:$E$1005,'RECEBIMENTOS'!$B$6:$B$1005,A169))</f>
        <v>0</v>
      </c>
      <c r="AQ169" s="97" t="str">
        <f>IF(T169="","",IF(T169="RECEBIMENTO NÃO CONFIRMADO",IF(ISNUMBER(F169),F169,IF(ISNUMBER(E169),E169,"")),IF(OR(T169="CDF NÃO LOCALIZADO",T169="VÍNCULO INCOMPLETO",T169="CDF A CONFERIR"),IF(AP169&gt;0,AP169,IF(ISNUMBER(E169),E169,"")),IF(ISNUMBER(E169),E169,""))))</f>
        <v/>
      </c>
      <c r="AR169" s="96">
        <f>IF(NOT(ISNUMBER(U169)),0,IF(T169="RECEBIMENTO NÃO CONFIRMADO",IF(AND(ISNUMBER(cfg_rec),U169&gt;cfg_rec),1,0),IF(OR(T169="CDF NÃO LOCALIZADO",T169="VÍNCULO INCOMPLETO",T169="CDF A CONFERIR"),IF(AND(ISNUMBER(cfg_cdf),U169&gt;cfg_cdf),1,0),0)))</f>
        <v>0</v>
      </c>
      <c r="AS169" s="96" t="str">
        <f>IF(T169="","",IF(AR169=1,"Alta",IFERROR(INDEX(cfg_pp,MATCH(T169,cfg_pt,0))&amp;"","Média")))</f>
        <v/>
      </c>
      <c r="AT169" s="96" t="str">
        <f>IF(T169="","",IFERROR(INDEX(cfg_pv,MATCH(T169,cfg_pt,0))&amp;"",""))</f>
        <v/>
      </c>
      <c r="AU169" s="96" t="str">
        <f>IF(T169="","",IF(AS169="Alta",1,IF(AS169="Média",2,3))*1000000000+(999999-IF(ISNUMBER(U169),MIN(U169,999999),0))*1000+164)</f>
        <v/>
      </c>
      <c r="AV169" s="96">
        <f>IF(T169&lt;&gt;"",1,0)</f>
        <v>0</v>
      </c>
      <c r="AW169" s="96" t="str">
        <f>IF(Z169=0,"",IF(AA169=1,"Cancelamento informado; ","")&amp;IF(AE169=1,"Campos essenciais ou itens faltando; ","")&amp;IF(AC169=1,"Possível duplicidade do número; ","")&amp;IF(AD169=1,"Cadastro ou datas a revisar; ","")&amp;IF(AF169&gt;0,"Item de resíduo com dado a revisar; ","")&amp;IF(AH169&gt;0,"Diferença de quantidade a analisar; ","")&amp;IF(AK169&gt;0,"Recebimento com alerta; ","")&amp;IF(AL169&gt;0,"Vínculo de CDF com alerta; ","")&amp;IF(AND(AA169=0,AN169=0),"Recebimento não confirmado; ","")&amp;IF(AND(AA169=0,AN169=1,AO169=0),"CDF pendente ou a conferir; ",""))</f>
        <v/>
      </c>
      <c r="AX169" s="96">
        <f>IF(Z169=0,0,IF(AND(OR(f_ini="",AND(ISNUMBER(E169),E169&gt;=f_ini)),OR(f_fim="",AND(ISNUMBER(E169),E169&lt;=f_fim)),OR(f_un="",f_un="(Todas)",G169=f_un),OR(f_tr="",f_tr="(Todos)",H169=f_tr),OR(f_de="",f_de="(Todos)",I169=f_de),OR(f_sit="",f_sit="(Todas)",S169=f_sit)),1,0))</f>
        <v>0</v>
      </c>
      <c r="AY169" s="96">
        <f>IF(AX169=0,0,IF(OR(f_res="",f_res="(Todos)"),1,IF(COUNTIFS('ITENS_MTR'!$S$6:$S$1005,A169,'ITENS_MTR'!$C$6:$C$1005,f_res)&gt;0,1,0)))</f>
        <v>0</v>
      </c>
      <c r="AZ169" s="97" t="str">
        <f>IF(ISNUMBER(E169),DATE(YEAR(E169),MONTH(E169),1),"")</f>
        <v/>
      </c>
      <c r="BA169" s="96">
        <f>IF(Z169=0,0,IF(AND(OR(r_ini="",AND(ISNUMBER(E169),E169&gt;=r_ini)),OR(r_fim="",AND(ISNUMBER(E169),E169&lt;=r_fim)),OR(r_un="",r_un="(Todas)",G169=r_un),OR(r_de="",r_de="(Todos)",I169=r_de)),1,0))</f>
        <v>0</v>
      </c>
      <c r="BB169" s="96" t="str">
        <f>IF(BA169=1,COUNTIF($BA$6:BA169,1),"")</f>
        <v/>
      </c>
      <c r="BC169" s="96" t="str">
        <f>IF(AND(AU169&lt;&gt;"",OR(r_un="",r_un="(Todas)",G169=r_un),OR(r_de="",r_de="(Todos)",I169=r_de)),AU169,"")</f>
        <v/>
      </c>
      <c r="BD169" s="96" t="str">
        <f>IF(Z169=1,A169&amp;" | nº "&amp;IF(B169="","(sem número)",B169)&amp;" | "&amp;IF(G169="","(sem unidade)",G169),"")</f>
        <v/>
      </c>
      <c r="BE169" s="96" t="str">
        <f>IF(Z169=1,COUNTIF($Z$6:Z169,1),"")</f>
        <v/>
      </c>
      <c r="BF169" s="96" t="str">
        <f>IF(T169="","",IF(T169="RECEBIMENTO NÃO CONFIRMADO","Transp.: "&amp;H169&amp;" | Dest.: "&amp;I169,IF(OR(T169="CDF NÃO LOCALIZADO",T169="VÍNCULO INCOMPLETO",T169="CDF A CONFERIR"),"Dest.: "&amp;I169,"Gerador: "&amp;G169)))</f>
        <v/>
      </c>
    </row>
    <row r="170">
      <c r="A170" s="89" t="inlineStr">
        <is>
          <t>MTR-000165</t>
        </is>
      </c>
      <c r="B170" s="90" t="n"/>
      <c r="C170" s="91" t="n"/>
      <c r="D170" s="91" t="n"/>
      <c r="E170" s="92" t="n"/>
      <c r="F170" s="92" t="n"/>
      <c r="G170" s="91" t="n"/>
      <c r="H170" s="91" t="n"/>
      <c r="I170" s="91" t="n"/>
      <c r="J170" s="91" t="n"/>
      <c r="K170" s="91" t="n"/>
      <c r="L170" s="92" t="n"/>
      <c r="M170" s="91" t="n"/>
      <c r="N170" s="91" t="n"/>
      <c r="O170" s="91" t="n"/>
      <c r="P170" s="93" t="str">
        <f>IF(Z170=0,"",SUMIFS('ITENS_MTR'!$I$6:$I$1005,'ITENS_MTR'!$S$6:$S$1005,A170,'ITENS_MTR'!$Y$6:$Y$1005,1))</f>
        <v/>
      </c>
      <c r="Q170" s="93" t="str">
        <f>IF(Z170=0,"",SUMIFS('RECEBIMENTOS'!$H$6:$H$1005,'RECEBIMENTOS'!$B$6:$B$1005,A170,'RECEBIMENTOS'!$X$6:$X$1005,1))</f>
        <v/>
      </c>
      <c r="R170" s="93" t="str">
        <f>IF(Z170=0,"",SUMIFS('VÍNCULOS_CDF'!$H$6:$H$1005,'VÍNCULOS_CDF'!$D$6:$D$1005,A170,'VÍNCULOS_CDF'!$V$6:$V$1005,1))</f>
        <v/>
      </c>
      <c r="S170" s="94" t="str">
        <f>IF(Z170=0,"",IF(AA170=1,"Cancelado (informado)",IF(AE170=1,"Cadastro incompleto",IF(OR(AC170=1,AD170=1,AF170&gt;0,AH170&gt;0,AK170&gt;0,AL170&gt;0),"Informação a revisar",IF(AN170=0,"Aguardando recebimento",IF(N(R170)=0,"Aguardando CDF",IF(AJ170&lt;N(W170),"Vínculo de CDF parcial",IF(AO170=0,"CDF localizado, a conferir","Documentação conferida"))))))))</f>
        <v/>
      </c>
      <c r="T170" s="94" t="str">
        <f>IF(Z170=0,"",IF(S170="Cadastro incompleto","MTR INCOMPLETO",IF(S170="Informação a revisar",IF(AND(AH170&gt;0,AC170=0,AD170=0,AF170=0,AK170=0,AL170=0),"QUANTIDADE A REVISAR","IDENTIFICAÇÃO A REVISAR"),IF(S170="Aguardando recebimento","RECEBIMENTO NÃO CONFIRMADO",IF(S170="Aguardando CDF","CDF NÃO LOCALIZADO",IF(S170="Vínculo de CDF parcial","VÍNCULO INCOMPLETO",IF(S170="CDF localizado, a conferir","CDF A CONFERIR","")))))))</f>
        <v/>
      </c>
      <c r="U170" s="95" t="str">
        <f>IF(T170="","",IF(AQ170="","Não calculável",IF(AQ170&gt;TODAY(),"Data futura",TODAY()-AQ170)))</f>
        <v/>
      </c>
      <c r="V170" s="93" t="str">
        <f>IF(Z170=0,"",SUMIFS('RECEBIMENTOS'!$H$6:$H$1005,'RECEBIMENTOS'!$B$6:$B$1005,A170,'RECEBIMENTOS'!$Z$6:$Z$1005,1))</f>
        <v/>
      </c>
      <c r="W170" s="95" t="str">
        <f>IF(Z170=0,"",COUNTIFS('ITENS_MTR'!$S$6:$S$1005,A170,'ITENS_MTR'!$R$6:$R$1005,1))</f>
        <v/>
      </c>
      <c r="X170" s="94" t="str">
        <f>IF(AC170=1,"POSSÍVEL DUPLICIDADE","")</f>
        <v/>
      </c>
      <c r="Y170" s="94" t="str">
        <f>IF(Z170=0,"",IF(AW170="","Nenhuma",LEFT(AW170,LEN(AW170)-2)))</f>
        <v/>
      </c>
      <c r="Z170" s="96">
        <f>IF(COUNTA(B170:O170)&gt;0,1,0)</f>
        <v>0</v>
      </c>
      <c r="AA170" s="96">
        <f>IF(AND(Z170=1,K170&lt;&gt;""),IF(TRIM(K170)=TRIM(cfg_cancel),1,0),0)</f>
        <v>0</v>
      </c>
      <c r="AB170" s="96" t="str">
        <f>IF(AND(Z170=1,B170&lt;&gt;""),C170&amp;"|"&amp;D170&amp;"|"&amp;G170&amp;"|"&amp;TRIM(B170),"")</f>
        <v/>
      </c>
      <c r="AC170" s="96">
        <f>IF(AB170="",0,IF(SUMPRODUCT(--($AB$6:$AB$505=AB170))&gt;1,1,0))</f>
        <v>0</v>
      </c>
      <c r="AD170" s="96">
        <f>IF(Z170=0,0,IF(OR(AND(G170&lt;&gt;"",ISNA(MATCH(G170,'CAD_UNIDADES'!$C$6:$C$105,0))),AND(H170&lt;&gt;"",ISNA(MATCH(H170,cmp_transp,0))),AND(I170&lt;&gt;"",ISNA(MATCH(I170,cmp_dest,0))),AND(E170&lt;&gt;"",NOT(ISNUMBER(E170))),AND(F170&lt;&gt;"",NOT(ISNUMBER(F170))),AND(ISNUMBER(E170),ISNUMBER(F170),F170&lt;E170)),1,0))</f>
        <v>0</v>
      </c>
      <c r="AE170" s="96">
        <f>IF(Z170=0,0,IF(OR(B170="",C170="",E170="",G170="",H170="",I170="",N(W170)=0),1,0))</f>
        <v>0</v>
      </c>
      <c r="AF170" s="96">
        <f>IF(Z170=0,0,COUNTIFS('ITENS_MTR'!$S$6:$S$1005,A170,'ITENS_MTR'!$AI$6:$AI$1005,1))</f>
        <v>0</v>
      </c>
      <c r="AG170" s="96">
        <f>IF(Z170=0,0,COUNTIFS('ITENS_MTR'!$S$6:$S$1005,A170,'ITENS_MTR'!$AJ$6:$AJ$1005,1))</f>
        <v>0</v>
      </c>
      <c r="AH170" s="96">
        <f>IF(Z170=0,0,COUNTIFS('ITENS_MTR'!$S$6:$S$1005,A170,'ITENS_MTR'!$AM$6:$AM$1005,1))</f>
        <v>0</v>
      </c>
      <c r="AI170" s="96">
        <f>IF(Z170=0,0,COUNTIFS('ITENS_MTR'!$S$6:$S$1005,A170,'ITENS_MTR'!$AO$6:$AO$1005,1))</f>
        <v>0</v>
      </c>
      <c r="AJ170" s="96">
        <f>IF(Z170=0,0,COUNTIFS('ITENS_MTR'!$S$6:$S$1005,A170,'ITENS_MTR'!$AN$6:$AN$1005,1))</f>
        <v>0</v>
      </c>
      <c r="AK170" s="96">
        <f>IF(Z170=0,0,COUNTIFS('RECEBIMENTOS'!$B$6:$B$1005,A170,'RECEBIMENTOS'!$Y$6:$Y$1005,1))</f>
        <v>0</v>
      </c>
      <c r="AL170" s="96">
        <f>IF(Z170=0,0,COUNTIFS('VÍNCULOS_CDF'!$D$6:$D$1005,A170,'VÍNCULOS_CDF'!$Y$6:$Y$1005,1))</f>
        <v>0</v>
      </c>
      <c r="AM170" s="96">
        <f>IF(Z170=0,0,COUNTIFS('RECEBIMENTOS'!$B$6:$B$1005,A170,'RECEBIMENTOS'!$Q$6:$Q$1005,1))</f>
        <v>0</v>
      </c>
      <c r="AN170" s="96">
        <f>IF(AND(Z170=1,N(W170)&gt;0,AG170=N(W170)),1,0)</f>
        <v>0</v>
      </c>
      <c r="AO170" s="96">
        <f>IF(AND(Z170=1,N(W170)&gt;0,AI170=N(W170)),1,0)</f>
        <v>0</v>
      </c>
      <c r="AP170" s="97">
        <f>IF(Z170=0,0,_xlfn.MAXIFS('RECEBIMENTOS'!$E$6:$E$1005,'RECEBIMENTOS'!$B$6:$B$1005,A170))</f>
        <v>0</v>
      </c>
      <c r="AQ170" s="97" t="str">
        <f>IF(T170="","",IF(T170="RECEBIMENTO NÃO CONFIRMADO",IF(ISNUMBER(F170),F170,IF(ISNUMBER(E170),E170,"")),IF(OR(T170="CDF NÃO LOCALIZADO",T170="VÍNCULO INCOMPLETO",T170="CDF A CONFERIR"),IF(AP170&gt;0,AP170,IF(ISNUMBER(E170),E170,"")),IF(ISNUMBER(E170),E170,""))))</f>
        <v/>
      </c>
      <c r="AR170" s="96">
        <f>IF(NOT(ISNUMBER(U170)),0,IF(T170="RECEBIMENTO NÃO CONFIRMADO",IF(AND(ISNUMBER(cfg_rec),U170&gt;cfg_rec),1,0),IF(OR(T170="CDF NÃO LOCALIZADO",T170="VÍNCULO INCOMPLETO",T170="CDF A CONFERIR"),IF(AND(ISNUMBER(cfg_cdf),U170&gt;cfg_cdf),1,0),0)))</f>
        <v>0</v>
      </c>
      <c r="AS170" s="96" t="str">
        <f>IF(T170="","",IF(AR170=1,"Alta",IFERROR(INDEX(cfg_pp,MATCH(T170,cfg_pt,0))&amp;"","Média")))</f>
        <v/>
      </c>
      <c r="AT170" s="96" t="str">
        <f>IF(T170="","",IFERROR(INDEX(cfg_pv,MATCH(T170,cfg_pt,0))&amp;"",""))</f>
        <v/>
      </c>
      <c r="AU170" s="96" t="str">
        <f>IF(T170="","",IF(AS170="Alta",1,IF(AS170="Média",2,3))*1000000000+(999999-IF(ISNUMBER(U170),MIN(U170,999999),0))*1000+165)</f>
        <v/>
      </c>
      <c r="AV170" s="96">
        <f>IF(T170&lt;&gt;"",1,0)</f>
        <v>0</v>
      </c>
      <c r="AW170" s="96" t="str">
        <f>IF(Z170=0,"",IF(AA170=1,"Cancelamento informado; ","")&amp;IF(AE170=1,"Campos essenciais ou itens faltando; ","")&amp;IF(AC170=1,"Possível duplicidade do número; ","")&amp;IF(AD170=1,"Cadastro ou datas a revisar; ","")&amp;IF(AF170&gt;0,"Item de resíduo com dado a revisar; ","")&amp;IF(AH170&gt;0,"Diferença de quantidade a analisar; ","")&amp;IF(AK170&gt;0,"Recebimento com alerta; ","")&amp;IF(AL170&gt;0,"Vínculo de CDF com alerta; ","")&amp;IF(AND(AA170=0,AN170=0),"Recebimento não confirmado; ","")&amp;IF(AND(AA170=0,AN170=1,AO170=0),"CDF pendente ou a conferir; ",""))</f>
        <v/>
      </c>
      <c r="AX170" s="96">
        <f>IF(Z170=0,0,IF(AND(OR(f_ini="",AND(ISNUMBER(E170),E170&gt;=f_ini)),OR(f_fim="",AND(ISNUMBER(E170),E170&lt;=f_fim)),OR(f_un="",f_un="(Todas)",G170=f_un),OR(f_tr="",f_tr="(Todos)",H170=f_tr),OR(f_de="",f_de="(Todos)",I170=f_de),OR(f_sit="",f_sit="(Todas)",S170=f_sit)),1,0))</f>
        <v>0</v>
      </c>
      <c r="AY170" s="96">
        <f>IF(AX170=0,0,IF(OR(f_res="",f_res="(Todos)"),1,IF(COUNTIFS('ITENS_MTR'!$S$6:$S$1005,A170,'ITENS_MTR'!$C$6:$C$1005,f_res)&gt;0,1,0)))</f>
        <v>0</v>
      </c>
      <c r="AZ170" s="97" t="str">
        <f>IF(ISNUMBER(E170),DATE(YEAR(E170),MONTH(E170),1),"")</f>
        <v/>
      </c>
      <c r="BA170" s="96">
        <f>IF(Z170=0,0,IF(AND(OR(r_ini="",AND(ISNUMBER(E170),E170&gt;=r_ini)),OR(r_fim="",AND(ISNUMBER(E170),E170&lt;=r_fim)),OR(r_un="",r_un="(Todas)",G170=r_un),OR(r_de="",r_de="(Todos)",I170=r_de)),1,0))</f>
        <v>0</v>
      </c>
      <c r="BB170" s="96" t="str">
        <f>IF(BA170=1,COUNTIF($BA$6:BA170,1),"")</f>
        <v/>
      </c>
      <c r="BC170" s="96" t="str">
        <f>IF(AND(AU170&lt;&gt;"",OR(r_un="",r_un="(Todas)",G170=r_un),OR(r_de="",r_de="(Todos)",I170=r_de)),AU170,"")</f>
        <v/>
      </c>
      <c r="BD170" s="96" t="str">
        <f>IF(Z170=1,A170&amp;" | nº "&amp;IF(B170="","(sem número)",B170)&amp;" | "&amp;IF(G170="","(sem unidade)",G170),"")</f>
        <v/>
      </c>
      <c r="BE170" s="96" t="str">
        <f>IF(Z170=1,COUNTIF($Z$6:Z170,1),"")</f>
        <v/>
      </c>
      <c r="BF170" s="96" t="str">
        <f>IF(T170="","",IF(T170="RECEBIMENTO NÃO CONFIRMADO","Transp.: "&amp;H170&amp;" | Dest.: "&amp;I170,IF(OR(T170="CDF NÃO LOCALIZADO",T170="VÍNCULO INCOMPLETO",T170="CDF A CONFERIR"),"Dest.: "&amp;I170,"Gerador: "&amp;G170)))</f>
        <v/>
      </c>
    </row>
    <row r="171">
      <c r="A171" s="89" t="inlineStr">
        <is>
          <t>MTR-000166</t>
        </is>
      </c>
      <c r="B171" s="90" t="n"/>
      <c r="C171" s="91" t="n"/>
      <c r="D171" s="91" t="n"/>
      <c r="E171" s="92" t="n"/>
      <c r="F171" s="92" t="n"/>
      <c r="G171" s="91" t="n"/>
      <c r="H171" s="91" t="n"/>
      <c r="I171" s="91" t="n"/>
      <c r="J171" s="91" t="n"/>
      <c r="K171" s="91" t="n"/>
      <c r="L171" s="92" t="n"/>
      <c r="M171" s="91" t="n"/>
      <c r="N171" s="91" t="n"/>
      <c r="O171" s="91" t="n"/>
      <c r="P171" s="93" t="str">
        <f>IF(Z171=0,"",SUMIFS('ITENS_MTR'!$I$6:$I$1005,'ITENS_MTR'!$S$6:$S$1005,A171,'ITENS_MTR'!$Y$6:$Y$1005,1))</f>
        <v/>
      </c>
      <c r="Q171" s="93" t="str">
        <f>IF(Z171=0,"",SUMIFS('RECEBIMENTOS'!$H$6:$H$1005,'RECEBIMENTOS'!$B$6:$B$1005,A171,'RECEBIMENTOS'!$X$6:$X$1005,1))</f>
        <v/>
      </c>
      <c r="R171" s="93" t="str">
        <f>IF(Z171=0,"",SUMIFS('VÍNCULOS_CDF'!$H$6:$H$1005,'VÍNCULOS_CDF'!$D$6:$D$1005,A171,'VÍNCULOS_CDF'!$V$6:$V$1005,1))</f>
        <v/>
      </c>
      <c r="S171" s="94" t="str">
        <f>IF(Z171=0,"",IF(AA171=1,"Cancelado (informado)",IF(AE171=1,"Cadastro incompleto",IF(OR(AC171=1,AD171=1,AF171&gt;0,AH171&gt;0,AK171&gt;0,AL171&gt;0),"Informação a revisar",IF(AN171=0,"Aguardando recebimento",IF(N(R171)=0,"Aguardando CDF",IF(AJ171&lt;N(W171),"Vínculo de CDF parcial",IF(AO171=0,"CDF localizado, a conferir","Documentação conferida"))))))))</f>
        <v/>
      </c>
      <c r="T171" s="94" t="str">
        <f>IF(Z171=0,"",IF(S171="Cadastro incompleto","MTR INCOMPLETO",IF(S171="Informação a revisar",IF(AND(AH171&gt;0,AC171=0,AD171=0,AF171=0,AK171=0,AL171=0),"QUANTIDADE A REVISAR","IDENTIFICAÇÃO A REVISAR"),IF(S171="Aguardando recebimento","RECEBIMENTO NÃO CONFIRMADO",IF(S171="Aguardando CDF","CDF NÃO LOCALIZADO",IF(S171="Vínculo de CDF parcial","VÍNCULO INCOMPLETO",IF(S171="CDF localizado, a conferir","CDF A CONFERIR","")))))))</f>
        <v/>
      </c>
      <c r="U171" s="95" t="str">
        <f>IF(T171="","",IF(AQ171="","Não calculável",IF(AQ171&gt;TODAY(),"Data futura",TODAY()-AQ171)))</f>
        <v/>
      </c>
      <c r="V171" s="93" t="str">
        <f>IF(Z171=0,"",SUMIFS('RECEBIMENTOS'!$H$6:$H$1005,'RECEBIMENTOS'!$B$6:$B$1005,A171,'RECEBIMENTOS'!$Z$6:$Z$1005,1))</f>
        <v/>
      </c>
      <c r="W171" s="95" t="str">
        <f>IF(Z171=0,"",COUNTIFS('ITENS_MTR'!$S$6:$S$1005,A171,'ITENS_MTR'!$R$6:$R$1005,1))</f>
        <v/>
      </c>
      <c r="X171" s="94" t="str">
        <f>IF(AC171=1,"POSSÍVEL DUPLICIDADE","")</f>
        <v/>
      </c>
      <c r="Y171" s="94" t="str">
        <f>IF(Z171=0,"",IF(AW171="","Nenhuma",LEFT(AW171,LEN(AW171)-2)))</f>
        <v/>
      </c>
      <c r="Z171" s="96">
        <f>IF(COUNTA(B171:O171)&gt;0,1,0)</f>
        <v>0</v>
      </c>
      <c r="AA171" s="96">
        <f>IF(AND(Z171=1,K171&lt;&gt;""),IF(TRIM(K171)=TRIM(cfg_cancel),1,0),0)</f>
        <v>0</v>
      </c>
      <c r="AB171" s="96" t="str">
        <f>IF(AND(Z171=1,B171&lt;&gt;""),C171&amp;"|"&amp;D171&amp;"|"&amp;G171&amp;"|"&amp;TRIM(B171),"")</f>
        <v/>
      </c>
      <c r="AC171" s="96">
        <f>IF(AB171="",0,IF(SUMPRODUCT(--($AB$6:$AB$505=AB171))&gt;1,1,0))</f>
        <v>0</v>
      </c>
      <c r="AD171" s="96">
        <f>IF(Z171=0,0,IF(OR(AND(G171&lt;&gt;"",ISNA(MATCH(G171,'CAD_UNIDADES'!$C$6:$C$105,0))),AND(H171&lt;&gt;"",ISNA(MATCH(H171,cmp_transp,0))),AND(I171&lt;&gt;"",ISNA(MATCH(I171,cmp_dest,0))),AND(E171&lt;&gt;"",NOT(ISNUMBER(E171))),AND(F171&lt;&gt;"",NOT(ISNUMBER(F171))),AND(ISNUMBER(E171),ISNUMBER(F171),F171&lt;E171)),1,0))</f>
        <v>0</v>
      </c>
      <c r="AE171" s="96">
        <f>IF(Z171=0,0,IF(OR(B171="",C171="",E171="",G171="",H171="",I171="",N(W171)=0),1,0))</f>
        <v>0</v>
      </c>
      <c r="AF171" s="96">
        <f>IF(Z171=0,0,COUNTIFS('ITENS_MTR'!$S$6:$S$1005,A171,'ITENS_MTR'!$AI$6:$AI$1005,1))</f>
        <v>0</v>
      </c>
      <c r="AG171" s="96">
        <f>IF(Z171=0,0,COUNTIFS('ITENS_MTR'!$S$6:$S$1005,A171,'ITENS_MTR'!$AJ$6:$AJ$1005,1))</f>
        <v>0</v>
      </c>
      <c r="AH171" s="96">
        <f>IF(Z171=0,0,COUNTIFS('ITENS_MTR'!$S$6:$S$1005,A171,'ITENS_MTR'!$AM$6:$AM$1005,1))</f>
        <v>0</v>
      </c>
      <c r="AI171" s="96">
        <f>IF(Z171=0,0,COUNTIFS('ITENS_MTR'!$S$6:$S$1005,A171,'ITENS_MTR'!$AO$6:$AO$1005,1))</f>
        <v>0</v>
      </c>
      <c r="AJ171" s="96">
        <f>IF(Z171=0,0,COUNTIFS('ITENS_MTR'!$S$6:$S$1005,A171,'ITENS_MTR'!$AN$6:$AN$1005,1))</f>
        <v>0</v>
      </c>
      <c r="AK171" s="96">
        <f>IF(Z171=0,0,COUNTIFS('RECEBIMENTOS'!$B$6:$B$1005,A171,'RECEBIMENTOS'!$Y$6:$Y$1005,1))</f>
        <v>0</v>
      </c>
      <c r="AL171" s="96">
        <f>IF(Z171=0,0,COUNTIFS('VÍNCULOS_CDF'!$D$6:$D$1005,A171,'VÍNCULOS_CDF'!$Y$6:$Y$1005,1))</f>
        <v>0</v>
      </c>
      <c r="AM171" s="96">
        <f>IF(Z171=0,0,COUNTIFS('RECEBIMENTOS'!$B$6:$B$1005,A171,'RECEBIMENTOS'!$Q$6:$Q$1005,1))</f>
        <v>0</v>
      </c>
      <c r="AN171" s="96">
        <f>IF(AND(Z171=1,N(W171)&gt;0,AG171=N(W171)),1,0)</f>
        <v>0</v>
      </c>
      <c r="AO171" s="96">
        <f>IF(AND(Z171=1,N(W171)&gt;0,AI171=N(W171)),1,0)</f>
        <v>0</v>
      </c>
      <c r="AP171" s="97">
        <f>IF(Z171=0,0,_xlfn.MAXIFS('RECEBIMENTOS'!$E$6:$E$1005,'RECEBIMENTOS'!$B$6:$B$1005,A171))</f>
        <v>0</v>
      </c>
      <c r="AQ171" s="97" t="str">
        <f>IF(T171="","",IF(T171="RECEBIMENTO NÃO CONFIRMADO",IF(ISNUMBER(F171),F171,IF(ISNUMBER(E171),E171,"")),IF(OR(T171="CDF NÃO LOCALIZADO",T171="VÍNCULO INCOMPLETO",T171="CDF A CONFERIR"),IF(AP171&gt;0,AP171,IF(ISNUMBER(E171),E171,"")),IF(ISNUMBER(E171),E171,""))))</f>
        <v/>
      </c>
      <c r="AR171" s="96">
        <f>IF(NOT(ISNUMBER(U171)),0,IF(T171="RECEBIMENTO NÃO CONFIRMADO",IF(AND(ISNUMBER(cfg_rec),U171&gt;cfg_rec),1,0),IF(OR(T171="CDF NÃO LOCALIZADO",T171="VÍNCULO INCOMPLETO",T171="CDF A CONFERIR"),IF(AND(ISNUMBER(cfg_cdf),U171&gt;cfg_cdf),1,0),0)))</f>
        <v>0</v>
      </c>
      <c r="AS171" s="96" t="str">
        <f>IF(T171="","",IF(AR171=1,"Alta",IFERROR(INDEX(cfg_pp,MATCH(T171,cfg_pt,0))&amp;"","Média")))</f>
        <v/>
      </c>
      <c r="AT171" s="96" t="str">
        <f>IF(T171="","",IFERROR(INDEX(cfg_pv,MATCH(T171,cfg_pt,0))&amp;"",""))</f>
        <v/>
      </c>
      <c r="AU171" s="96" t="str">
        <f>IF(T171="","",IF(AS171="Alta",1,IF(AS171="Média",2,3))*1000000000+(999999-IF(ISNUMBER(U171),MIN(U171,999999),0))*1000+166)</f>
        <v/>
      </c>
      <c r="AV171" s="96">
        <f>IF(T171&lt;&gt;"",1,0)</f>
        <v>0</v>
      </c>
      <c r="AW171" s="96" t="str">
        <f>IF(Z171=0,"",IF(AA171=1,"Cancelamento informado; ","")&amp;IF(AE171=1,"Campos essenciais ou itens faltando; ","")&amp;IF(AC171=1,"Possível duplicidade do número; ","")&amp;IF(AD171=1,"Cadastro ou datas a revisar; ","")&amp;IF(AF171&gt;0,"Item de resíduo com dado a revisar; ","")&amp;IF(AH171&gt;0,"Diferença de quantidade a analisar; ","")&amp;IF(AK171&gt;0,"Recebimento com alerta; ","")&amp;IF(AL171&gt;0,"Vínculo de CDF com alerta; ","")&amp;IF(AND(AA171=0,AN171=0),"Recebimento não confirmado; ","")&amp;IF(AND(AA171=0,AN171=1,AO171=0),"CDF pendente ou a conferir; ",""))</f>
        <v/>
      </c>
      <c r="AX171" s="96">
        <f>IF(Z171=0,0,IF(AND(OR(f_ini="",AND(ISNUMBER(E171),E171&gt;=f_ini)),OR(f_fim="",AND(ISNUMBER(E171),E171&lt;=f_fim)),OR(f_un="",f_un="(Todas)",G171=f_un),OR(f_tr="",f_tr="(Todos)",H171=f_tr),OR(f_de="",f_de="(Todos)",I171=f_de),OR(f_sit="",f_sit="(Todas)",S171=f_sit)),1,0))</f>
        <v>0</v>
      </c>
      <c r="AY171" s="96">
        <f>IF(AX171=0,0,IF(OR(f_res="",f_res="(Todos)"),1,IF(COUNTIFS('ITENS_MTR'!$S$6:$S$1005,A171,'ITENS_MTR'!$C$6:$C$1005,f_res)&gt;0,1,0)))</f>
        <v>0</v>
      </c>
      <c r="AZ171" s="97" t="str">
        <f>IF(ISNUMBER(E171),DATE(YEAR(E171),MONTH(E171),1),"")</f>
        <v/>
      </c>
      <c r="BA171" s="96">
        <f>IF(Z171=0,0,IF(AND(OR(r_ini="",AND(ISNUMBER(E171),E171&gt;=r_ini)),OR(r_fim="",AND(ISNUMBER(E171),E171&lt;=r_fim)),OR(r_un="",r_un="(Todas)",G171=r_un),OR(r_de="",r_de="(Todos)",I171=r_de)),1,0))</f>
        <v>0</v>
      </c>
      <c r="BB171" s="96" t="str">
        <f>IF(BA171=1,COUNTIF($BA$6:BA171,1),"")</f>
        <v/>
      </c>
      <c r="BC171" s="96" t="str">
        <f>IF(AND(AU171&lt;&gt;"",OR(r_un="",r_un="(Todas)",G171=r_un),OR(r_de="",r_de="(Todos)",I171=r_de)),AU171,"")</f>
        <v/>
      </c>
      <c r="BD171" s="96" t="str">
        <f>IF(Z171=1,A171&amp;" | nº "&amp;IF(B171="","(sem número)",B171)&amp;" | "&amp;IF(G171="","(sem unidade)",G171),"")</f>
        <v/>
      </c>
      <c r="BE171" s="96" t="str">
        <f>IF(Z171=1,COUNTIF($Z$6:Z171,1),"")</f>
        <v/>
      </c>
      <c r="BF171" s="96" t="str">
        <f>IF(T171="","",IF(T171="RECEBIMENTO NÃO CONFIRMADO","Transp.: "&amp;H171&amp;" | Dest.: "&amp;I171,IF(OR(T171="CDF NÃO LOCALIZADO",T171="VÍNCULO INCOMPLETO",T171="CDF A CONFERIR"),"Dest.: "&amp;I171,"Gerador: "&amp;G171)))</f>
        <v/>
      </c>
    </row>
    <row r="172">
      <c r="A172" s="89" t="inlineStr">
        <is>
          <t>MTR-000167</t>
        </is>
      </c>
      <c r="B172" s="90" t="n"/>
      <c r="C172" s="91" t="n"/>
      <c r="D172" s="91" t="n"/>
      <c r="E172" s="92" t="n"/>
      <c r="F172" s="92" t="n"/>
      <c r="G172" s="91" t="n"/>
      <c r="H172" s="91" t="n"/>
      <c r="I172" s="91" t="n"/>
      <c r="J172" s="91" t="n"/>
      <c r="K172" s="91" t="n"/>
      <c r="L172" s="92" t="n"/>
      <c r="M172" s="91" t="n"/>
      <c r="N172" s="91" t="n"/>
      <c r="O172" s="91" t="n"/>
      <c r="P172" s="93" t="str">
        <f>IF(Z172=0,"",SUMIFS('ITENS_MTR'!$I$6:$I$1005,'ITENS_MTR'!$S$6:$S$1005,A172,'ITENS_MTR'!$Y$6:$Y$1005,1))</f>
        <v/>
      </c>
      <c r="Q172" s="93" t="str">
        <f>IF(Z172=0,"",SUMIFS('RECEBIMENTOS'!$H$6:$H$1005,'RECEBIMENTOS'!$B$6:$B$1005,A172,'RECEBIMENTOS'!$X$6:$X$1005,1))</f>
        <v/>
      </c>
      <c r="R172" s="93" t="str">
        <f>IF(Z172=0,"",SUMIFS('VÍNCULOS_CDF'!$H$6:$H$1005,'VÍNCULOS_CDF'!$D$6:$D$1005,A172,'VÍNCULOS_CDF'!$V$6:$V$1005,1))</f>
        <v/>
      </c>
      <c r="S172" s="94" t="str">
        <f>IF(Z172=0,"",IF(AA172=1,"Cancelado (informado)",IF(AE172=1,"Cadastro incompleto",IF(OR(AC172=1,AD172=1,AF172&gt;0,AH172&gt;0,AK172&gt;0,AL172&gt;0),"Informação a revisar",IF(AN172=0,"Aguardando recebimento",IF(N(R172)=0,"Aguardando CDF",IF(AJ172&lt;N(W172),"Vínculo de CDF parcial",IF(AO172=0,"CDF localizado, a conferir","Documentação conferida"))))))))</f>
        <v/>
      </c>
      <c r="T172" s="94" t="str">
        <f>IF(Z172=0,"",IF(S172="Cadastro incompleto","MTR INCOMPLETO",IF(S172="Informação a revisar",IF(AND(AH172&gt;0,AC172=0,AD172=0,AF172=0,AK172=0,AL172=0),"QUANTIDADE A REVISAR","IDENTIFICAÇÃO A REVISAR"),IF(S172="Aguardando recebimento","RECEBIMENTO NÃO CONFIRMADO",IF(S172="Aguardando CDF","CDF NÃO LOCALIZADO",IF(S172="Vínculo de CDF parcial","VÍNCULO INCOMPLETO",IF(S172="CDF localizado, a conferir","CDF A CONFERIR","")))))))</f>
        <v/>
      </c>
      <c r="U172" s="95" t="str">
        <f>IF(T172="","",IF(AQ172="","Não calculável",IF(AQ172&gt;TODAY(),"Data futura",TODAY()-AQ172)))</f>
        <v/>
      </c>
      <c r="V172" s="93" t="str">
        <f>IF(Z172=0,"",SUMIFS('RECEBIMENTOS'!$H$6:$H$1005,'RECEBIMENTOS'!$B$6:$B$1005,A172,'RECEBIMENTOS'!$Z$6:$Z$1005,1))</f>
        <v/>
      </c>
      <c r="W172" s="95" t="str">
        <f>IF(Z172=0,"",COUNTIFS('ITENS_MTR'!$S$6:$S$1005,A172,'ITENS_MTR'!$R$6:$R$1005,1))</f>
        <v/>
      </c>
      <c r="X172" s="94" t="str">
        <f>IF(AC172=1,"POSSÍVEL DUPLICIDADE","")</f>
        <v/>
      </c>
      <c r="Y172" s="94" t="str">
        <f>IF(Z172=0,"",IF(AW172="","Nenhuma",LEFT(AW172,LEN(AW172)-2)))</f>
        <v/>
      </c>
      <c r="Z172" s="96">
        <f>IF(COUNTA(B172:O172)&gt;0,1,0)</f>
        <v>0</v>
      </c>
      <c r="AA172" s="96">
        <f>IF(AND(Z172=1,K172&lt;&gt;""),IF(TRIM(K172)=TRIM(cfg_cancel),1,0),0)</f>
        <v>0</v>
      </c>
      <c r="AB172" s="96" t="str">
        <f>IF(AND(Z172=1,B172&lt;&gt;""),C172&amp;"|"&amp;D172&amp;"|"&amp;G172&amp;"|"&amp;TRIM(B172),"")</f>
        <v/>
      </c>
      <c r="AC172" s="96">
        <f>IF(AB172="",0,IF(SUMPRODUCT(--($AB$6:$AB$505=AB172))&gt;1,1,0))</f>
        <v>0</v>
      </c>
      <c r="AD172" s="96">
        <f>IF(Z172=0,0,IF(OR(AND(G172&lt;&gt;"",ISNA(MATCH(G172,'CAD_UNIDADES'!$C$6:$C$105,0))),AND(H172&lt;&gt;"",ISNA(MATCH(H172,cmp_transp,0))),AND(I172&lt;&gt;"",ISNA(MATCH(I172,cmp_dest,0))),AND(E172&lt;&gt;"",NOT(ISNUMBER(E172))),AND(F172&lt;&gt;"",NOT(ISNUMBER(F172))),AND(ISNUMBER(E172),ISNUMBER(F172),F172&lt;E172)),1,0))</f>
        <v>0</v>
      </c>
      <c r="AE172" s="96">
        <f>IF(Z172=0,0,IF(OR(B172="",C172="",E172="",G172="",H172="",I172="",N(W172)=0),1,0))</f>
        <v>0</v>
      </c>
      <c r="AF172" s="96">
        <f>IF(Z172=0,0,COUNTIFS('ITENS_MTR'!$S$6:$S$1005,A172,'ITENS_MTR'!$AI$6:$AI$1005,1))</f>
        <v>0</v>
      </c>
      <c r="AG172" s="96">
        <f>IF(Z172=0,0,COUNTIFS('ITENS_MTR'!$S$6:$S$1005,A172,'ITENS_MTR'!$AJ$6:$AJ$1005,1))</f>
        <v>0</v>
      </c>
      <c r="AH172" s="96">
        <f>IF(Z172=0,0,COUNTIFS('ITENS_MTR'!$S$6:$S$1005,A172,'ITENS_MTR'!$AM$6:$AM$1005,1))</f>
        <v>0</v>
      </c>
      <c r="AI172" s="96">
        <f>IF(Z172=0,0,COUNTIFS('ITENS_MTR'!$S$6:$S$1005,A172,'ITENS_MTR'!$AO$6:$AO$1005,1))</f>
        <v>0</v>
      </c>
      <c r="AJ172" s="96">
        <f>IF(Z172=0,0,COUNTIFS('ITENS_MTR'!$S$6:$S$1005,A172,'ITENS_MTR'!$AN$6:$AN$1005,1))</f>
        <v>0</v>
      </c>
      <c r="AK172" s="96">
        <f>IF(Z172=0,0,COUNTIFS('RECEBIMENTOS'!$B$6:$B$1005,A172,'RECEBIMENTOS'!$Y$6:$Y$1005,1))</f>
        <v>0</v>
      </c>
      <c r="AL172" s="96">
        <f>IF(Z172=0,0,COUNTIFS('VÍNCULOS_CDF'!$D$6:$D$1005,A172,'VÍNCULOS_CDF'!$Y$6:$Y$1005,1))</f>
        <v>0</v>
      </c>
      <c r="AM172" s="96">
        <f>IF(Z172=0,0,COUNTIFS('RECEBIMENTOS'!$B$6:$B$1005,A172,'RECEBIMENTOS'!$Q$6:$Q$1005,1))</f>
        <v>0</v>
      </c>
      <c r="AN172" s="96">
        <f>IF(AND(Z172=1,N(W172)&gt;0,AG172=N(W172)),1,0)</f>
        <v>0</v>
      </c>
      <c r="AO172" s="96">
        <f>IF(AND(Z172=1,N(W172)&gt;0,AI172=N(W172)),1,0)</f>
        <v>0</v>
      </c>
      <c r="AP172" s="97">
        <f>IF(Z172=0,0,_xlfn.MAXIFS('RECEBIMENTOS'!$E$6:$E$1005,'RECEBIMENTOS'!$B$6:$B$1005,A172))</f>
        <v>0</v>
      </c>
      <c r="AQ172" s="97" t="str">
        <f>IF(T172="","",IF(T172="RECEBIMENTO NÃO CONFIRMADO",IF(ISNUMBER(F172),F172,IF(ISNUMBER(E172),E172,"")),IF(OR(T172="CDF NÃO LOCALIZADO",T172="VÍNCULO INCOMPLETO",T172="CDF A CONFERIR"),IF(AP172&gt;0,AP172,IF(ISNUMBER(E172),E172,"")),IF(ISNUMBER(E172),E172,""))))</f>
        <v/>
      </c>
      <c r="AR172" s="96">
        <f>IF(NOT(ISNUMBER(U172)),0,IF(T172="RECEBIMENTO NÃO CONFIRMADO",IF(AND(ISNUMBER(cfg_rec),U172&gt;cfg_rec),1,0),IF(OR(T172="CDF NÃO LOCALIZADO",T172="VÍNCULO INCOMPLETO",T172="CDF A CONFERIR"),IF(AND(ISNUMBER(cfg_cdf),U172&gt;cfg_cdf),1,0),0)))</f>
        <v>0</v>
      </c>
      <c r="AS172" s="96" t="str">
        <f>IF(T172="","",IF(AR172=1,"Alta",IFERROR(INDEX(cfg_pp,MATCH(T172,cfg_pt,0))&amp;"","Média")))</f>
        <v/>
      </c>
      <c r="AT172" s="96" t="str">
        <f>IF(T172="","",IFERROR(INDEX(cfg_pv,MATCH(T172,cfg_pt,0))&amp;"",""))</f>
        <v/>
      </c>
      <c r="AU172" s="96" t="str">
        <f>IF(T172="","",IF(AS172="Alta",1,IF(AS172="Média",2,3))*1000000000+(999999-IF(ISNUMBER(U172),MIN(U172,999999),0))*1000+167)</f>
        <v/>
      </c>
      <c r="AV172" s="96">
        <f>IF(T172&lt;&gt;"",1,0)</f>
        <v>0</v>
      </c>
      <c r="AW172" s="96" t="str">
        <f>IF(Z172=0,"",IF(AA172=1,"Cancelamento informado; ","")&amp;IF(AE172=1,"Campos essenciais ou itens faltando; ","")&amp;IF(AC172=1,"Possível duplicidade do número; ","")&amp;IF(AD172=1,"Cadastro ou datas a revisar; ","")&amp;IF(AF172&gt;0,"Item de resíduo com dado a revisar; ","")&amp;IF(AH172&gt;0,"Diferença de quantidade a analisar; ","")&amp;IF(AK172&gt;0,"Recebimento com alerta; ","")&amp;IF(AL172&gt;0,"Vínculo de CDF com alerta; ","")&amp;IF(AND(AA172=0,AN172=0),"Recebimento não confirmado; ","")&amp;IF(AND(AA172=0,AN172=1,AO172=0),"CDF pendente ou a conferir; ",""))</f>
        <v/>
      </c>
      <c r="AX172" s="96">
        <f>IF(Z172=0,0,IF(AND(OR(f_ini="",AND(ISNUMBER(E172),E172&gt;=f_ini)),OR(f_fim="",AND(ISNUMBER(E172),E172&lt;=f_fim)),OR(f_un="",f_un="(Todas)",G172=f_un),OR(f_tr="",f_tr="(Todos)",H172=f_tr),OR(f_de="",f_de="(Todos)",I172=f_de),OR(f_sit="",f_sit="(Todas)",S172=f_sit)),1,0))</f>
        <v>0</v>
      </c>
      <c r="AY172" s="96">
        <f>IF(AX172=0,0,IF(OR(f_res="",f_res="(Todos)"),1,IF(COUNTIFS('ITENS_MTR'!$S$6:$S$1005,A172,'ITENS_MTR'!$C$6:$C$1005,f_res)&gt;0,1,0)))</f>
        <v>0</v>
      </c>
      <c r="AZ172" s="97" t="str">
        <f>IF(ISNUMBER(E172),DATE(YEAR(E172),MONTH(E172),1),"")</f>
        <v/>
      </c>
      <c r="BA172" s="96">
        <f>IF(Z172=0,0,IF(AND(OR(r_ini="",AND(ISNUMBER(E172),E172&gt;=r_ini)),OR(r_fim="",AND(ISNUMBER(E172),E172&lt;=r_fim)),OR(r_un="",r_un="(Todas)",G172=r_un),OR(r_de="",r_de="(Todos)",I172=r_de)),1,0))</f>
        <v>0</v>
      </c>
      <c r="BB172" s="96" t="str">
        <f>IF(BA172=1,COUNTIF($BA$6:BA172,1),"")</f>
        <v/>
      </c>
      <c r="BC172" s="96" t="str">
        <f>IF(AND(AU172&lt;&gt;"",OR(r_un="",r_un="(Todas)",G172=r_un),OR(r_de="",r_de="(Todos)",I172=r_de)),AU172,"")</f>
        <v/>
      </c>
      <c r="BD172" s="96" t="str">
        <f>IF(Z172=1,A172&amp;" | nº "&amp;IF(B172="","(sem número)",B172)&amp;" | "&amp;IF(G172="","(sem unidade)",G172),"")</f>
        <v/>
      </c>
      <c r="BE172" s="96" t="str">
        <f>IF(Z172=1,COUNTIF($Z$6:Z172,1),"")</f>
        <v/>
      </c>
      <c r="BF172" s="96" t="str">
        <f>IF(T172="","",IF(T172="RECEBIMENTO NÃO CONFIRMADO","Transp.: "&amp;H172&amp;" | Dest.: "&amp;I172,IF(OR(T172="CDF NÃO LOCALIZADO",T172="VÍNCULO INCOMPLETO",T172="CDF A CONFERIR"),"Dest.: "&amp;I172,"Gerador: "&amp;G172)))</f>
        <v/>
      </c>
    </row>
    <row r="173">
      <c r="A173" s="89" t="inlineStr">
        <is>
          <t>MTR-000168</t>
        </is>
      </c>
      <c r="B173" s="90" t="n"/>
      <c r="C173" s="91" t="n"/>
      <c r="D173" s="91" t="n"/>
      <c r="E173" s="92" t="n"/>
      <c r="F173" s="92" t="n"/>
      <c r="G173" s="91" t="n"/>
      <c r="H173" s="91" t="n"/>
      <c r="I173" s="91" t="n"/>
      <c r="J173" s="91" t="n"/>
      <c r="K173" s="91" t="n"/>
      <c r="L173" s="92" t="n"/>
      <c r="M173" s="91" t="n"/>
      <c r="N173" s="91" t="n"/>
      <c r="O173" s="91" t="n"/>
      <c r="P173" s="93" t="str">
        <f>IF(Z173=0,"",SUMIFS('ITENS_MTR'!$I$6:$I$1005,'ITENS_MTR'!$S$6:$S$1005,A173,'ITENS_MTR'!$Y$6:$Y$1005,1))</f>
        <v/>
      </c>
      <c r="Q173" s="93" t="str">
        <f>IF(Z173=0,"",SUMIFS('RECEBIMENTOS'!$H$6:$H$1005,'RECEBIMENTOS'!$B$6:$B$1005,A173,'RECEBIMENTOS'!$X$6:$X$1005,1))</f>
        <v/>
      </c>
      <c r="R173" s="93" t="str">
        <f>IF(Z173=0,"",SUMIFS('VÍNCULOS_CDF'!$H$6:$H$1005,'VÍNCULOS_CDF'!$D$6:$D$1005,A173,'VÍNCULOS_CDF'!$V$6:$V$1005,1))</f>
        <v/>
      </c>
      <c r="S173" s="94" t="str">
        <f>IF(Z173=0,"",IF(AA173=1,"Cancelado (informado)",IF(AE173=1,"Cadastro incompleto",IF(OR(AC173=1,AD173=1,AF173&gt;0,AH173&gt;0,AK173&gt;0,AL173&gt;0),"Informação a revisar",IF(AN173=0,"Aguardando recebimento",IF(N(R173)=0,"Aguardando CDF",IF(AJ173&lt;N(W173),"Vínculo de CDF parcial",IF(AO173=0,"CDF localizado, a conferir","Documentação conferida"))))))))</f>
        <v/>
      </c>
      <c r="T173" s="94" t="str">
        <f>IF(Z173=0,"",IF(S173="Cadastro incompleto","MTR INCOMPLETO",IF(S173="Informação a revisar",IF(AND(AH173&gt;0,AC173=0,AD173=0,AF173=0,AK173=0,AL173=0),"QUANTIDADE A REVISAR","IDENTIFICAÇÃO A REVISAR"),IF(S173="Aguardando recebimento","RECEBIMENTO NÃO CONFIRMADO",IF(S173="Aguardando CDF","CDF NÃO LOCALIZADO",IF(S173="Vínculo de CDF parcial","VÍNCULO INCOMPLETO",IF(S173="CDF localizado, a conferir","CDF A CONFERIR","")))))))</f>
        <v/>
      </c>
      <c r="U173" s="95" t="str">
        <f>IF(T173="","",IF(AQ173="","Não calculável",IF(AQ173&gt;TODAY(),"Data futura",TODAY()-AQ173)))</f>
        <v/>
      </c>
      <c r="V173" s="93" t="str">
        <f>IF(Z173=0,"",SUMIFS('RECEBIMENTOS'!$H$6:$H$1005,'RECEBIMENTOS'!$B$6:$B$1005,A173,'RECEBIMENTOS'!$Z$6:$Z$1005,1))</f>
        <v/>
      </c>
      <c r="W173" s="95" t="str">
        <f>IF(Z173=0,"",COUNTIFS('ITENS_MTR'!$S$6:$S$1005,A173,'ITENS_MTR'!$R$6:$R$1005,1))</f>
        <v/>
      </c>
      <c r="X173" s="94" t="str">
        <f>IF(AC173=1,"POSSÍVEL DUPLICIDADE","")</f>
        <v/>
      </c>
      <c r="Y173" s="94" t="str">
        <f>IF(Z173=0,"",IF(AW173="","Nenhuma",LEFT(AW173,LEN(AW173)-2)))</f>
        <v/>
      </c>
      <c r="Z173" s="96">
        <f>IF(COUNTA(B173:O173)&gt;0,1,0)</f>
        <v>0</v>
      </c>
      <c r="AA173" s="96">
        <f>IF(AND(Z173=1,K173&lt;&gt;""),IF(TRIM(K173)=TRIM(cfg_cancel),1,0),0)</f>
        <v>0</v>
      </c>
      <c r="AB173" s="96" t="str">
        <f>IF(AND(Z173=1,B173&lt;&gt;""),C173&amp;"|"&amp;D173&amp;"|"&amp;G173&amp;"|"&amp;TRIM(B173),"")</f>
        <v/>
      </c>
      <c r="AC173" s="96">
        <f>IF(AB173="",0,IF(SUMPRODUCT(--($AB$6:$AB$505=AB173))&gt;1,1,0))</f>
        <v>0</v>
      </c>
      <c r="AD173" s="96">
        <f>IF(Z173=0,0,IF(OR(AND(G173&lt;&gt;"",ISNA(MATCH(G173,'CAD_UNIDADES'!$C$6:$C$105,0))),AND(H173&lt;&gt;"",ISNA(MATCH(H173,cmp_transp,0))),AND(I173&lt;&gt;"",ISNA(MATCH(I173,cmp_dest,0))),AND(E173&lt;&gt;"",NOT(ISNUMBER(E173))),AND(F173&lt;&gt;"",NOT(ISNUMBER(F173))),AND(ISNUMBER(E173),ISNUMBER(F173),F173&lt;E173)),1,0))</f>
        <v>0</v>
      </c>
      <c r="AE173" s="96">
        <f>IF(Z173=0,0,IF(OR(B173="",C173="",E173="",G173="",H173="",I173="",N(W173)=0),1,0))</f>
        <v>0</v>
      </c>
      <c r="AF173" s="96">
        <f>IF(Z173=0,0,COUNTIFS('ITENS_MTR'!$S$6:$S$1005,A173,'ITENS_MTR'!$AI$6:$AI$1005,1))</f>
        <v>0</v>
      </c>
      <c r="AG173" s="96">
        <f>IF(Z173=0,0,COUNTIFS('ITENS_MTR'!$S$6:$S$1005,A173,'ITENS_MTR'!$AJ$6:$AJ$1005,1))</f>
        <v>0</v>
      </c>
      <c r="AH173" s="96">
        <f>IF(Z173=0,0,COUNTIFS('ITENS_MTR'!$S$6:$S$1005,A173,'ITENS_MTR'!$AM$6:$AM$1005,1))</f>
        <v>0</v>
      </c>
      <c r="AI173" s="96">
        <f>IF(Z173=0,0,COUNTIFS('ITENS_MTR'!$S$6:$S$1005,A173,'ITENS_MTR'!$AO$6:$AO$1005,1))</f>
        <v>0</v>
      </c>
      <c r="AJ173" s="96">
        <f>IF(Z173=0,0,COUNTIFS('ITENS_MTR'!$S$6:$S$1005,A173,'ITENS_MTR'!$AN$6:$AN$1005,1))</f>
        <v>0</v>
      </c>
      <c r="AK173" s="96">
        <f>IF(Z173=0,0,COUNTIFS('RECEBIMENTOS'!$B$6:$B$1005,A173,'RECEBIMENTOS'!$Y$6:$Y$1005,1))</f>
        <v>0</v>
      </c>
      <c r="AL173" s="96">
        <f>IF(Z173=0,0,COUNTIFS('VÍNCULOS_CDF'!$D$6:$D$1005,A173,'VÍNCULOS_CDF'!$Y$6:$Y$1005,1))</f>
        <v>0</v>
      </c>
      <c r="AM173" s="96">
        <f>IF(Z173=0,0,COUNTIFS('RECEBIMENTOS'!$B$6:$B$1005,A173,'RECEBIMENTOS'!$Q$6:$Q$1005,1))</f>
        <v>0</v>
      </c>
      <c r="AN173" s="96">
        <f>IF(AND(Z173=1,N(W173)&gt;0,AG173=N(W173)),1,0)</f>
        <v>0</v>
      </c>
      <c r="AO173" s="96">
        <f>IF(AND(Z173=1,N(W173)&gt;0,AI173=N(W173)),1,0)</f>
        <v>0</v>
      </c>
      <c r="AP173" s="97">
        <f>IF(Z173=0,0,_xlfn.MAXIFS('RECEBIMENTOS'!$E$6:$E$1005,'RECEBIMENTOS'!$B$6:$B$1005,A173))</f>
        <v>0</v>
      </c>
      <c r="AQ173" s="97" t="str">
        <f>IF(T173="","",IF(T173="RECEBIMENTO NÃO CONFIRMADO",IF(ISNUMBER(F173),F173,IF(ISNUMBER(E173),E173,"")),IF(OR(T173="CDF NÃO LOCALIZADO",T173="VÍNCULO INCOMPLETO",T173="CDF A CONFERIR"),IF(AP173&gt;0,AP173,IF(ISNUMBER(E173),E173,"")),IF(ISNUMBER(E173),E173,""))))</f>
        <v/>
      </c>
      <c r="AR173" s="96">
        <f>IF(NOT(ISNUMBER(U173)),0,IF(T173="RECEBIMENTO NÃO CONFIRMADO",IF(AND(ISNUMBER(cfg_rec),U173&gt;cfg_rec),1,0),IF(OR(T173="CDF NÃO LOCALIZADO",T173="VÍNCULO INCOMPLETO",T173="CDF A CONFERIR"),IF(AND(ISNUMBER(cfg_cdf),U173&gt;cfg_cdf),1,0),0)))</f>
        <v>0</v>
      </c>
      <c r="AS173" s="96" t="str">
        <f>IF(T173="","",IF(AR173=1,"Alta",IFERROR(INDEX(cfg_pp,MATCH(T173,cfg_pt,0))&amp;"","Média")))</f>
        <v/>
      </c>
      <c r="AT173" s="96" t="str">
        <f>IF(T173="","",IFERROR(INDEX(cfg_pv,MATCH(T173,cfg_pt,0))&amp;"",""))</f>
        <v/>
      </c>
      <c r="AU173" s="96" t="str">
        <f>IF(T173="","",IF(AS173="Alta",1,IF(AS173="Média",2,3))*1000000000+(999999-IF(ISNUMBER(U173),MIN(U173,999999),0))*1000+168)</f>
        <v/>
      </c>
      <c r="AV173" s="96">
        <f>IF(T173&lt;&gt;"",1,0)</f>
        <v>0</v>
      </c>
      <c r="AW173" s="96" t="str">
        <f>IF(Z173=0,"",IF(AA173=1,"Cancelamento informado; ","")&amp;IF(AE173=1,"Campos essenciais ou itens faltando; ","")&amp;IF(AC173=1,"Possível duplicidade do número; ","")&amp;IF(AD173=1,"Cadastro ou datas a revisar; ","")&amp;IF(AF173&gt;0,"Item de resíduo com dado a revisar; ","")&amp;IF(AH173&gt;0,"Diferença de quantidade a analisar; ","")&amp;IF(AK173&gt;0,"Recebimento com alerta; ","")&amp;IF(AL173&gt;0,"Vínculo de CDF com alerta; ","")&amp;IF(AND(AA173=0,AN173=0),"Recebimento não confirmado; ","")&amp;IF(AND(AA173=0,AN173=1,AO173=0),"CDF pendente ou a conferir; ",""))</f>
        <v/>
      </c>
      <c r="AX173" s="96">
        <f>IF(Z173=0,0,IF(AND(OR(f_ini="",AND(ISNUMBER(E173),E173&gt;=f_ini)),OR(f_fim="",AND(ISNUMBER(E173),E173&lt;=f_fim)),OR(f_un="",f_un="(Todas)",G173=f_un),OR(f_tr="",f_tr="(Todos)",H173=f_tr),OR(f_de="",f_de="(Todos)",I173=f_de),OR(f_sit="",f_sit="(Todas)",S173=f_sit)),1,0))</f>
        <v>0</v>
      </c>
      <c r="AY173" s="96">
        <f>IF(AX173=0,0,IF(OR(f_res="",f_res="(Todos)"),1,IF(COUNTIFS('ITENS_MTR'!$S$6:$S$1005,A173,'ITENS_MTR'!$C$6:$C$1005,f_res)&gt;0,1,0)))</f>
        <v>0</v>
      </c>
      <c r="AZ173" s="97" t="str">
        <f>IF(ISNUMBER(E173),DATE(YEAR(E173),MONTH(E173),1),"")</f>
        <v/>
      </c>
      <c r="BA173" s="96">
        <f>IF(Z173=0,0,IF(AND(OR(r_ini="",AND(ISNUMBER(E173),E173&gt;=r_ini)),OR(r_fim="",AND(ISNUMBER(E173),E173&lt;=r_fim)),OR(r_un="",r_un="(Todas)",G173=r_un),OR(r_de="",r_de="(Todos)",I173=r_de)),1,0))</f>
        <v>0</v>
      </c>
      <c r="BB173" s="96" t="str">
        <f>IF(BA173=1,COUNTIF($BA$6:BA173,1),"")</f>
        <v/>
      </c>
      <c r="BC173" s="96" t="str">
        <f>IF(AND(AU173&lt;&gt;"",OR(r_un="",r_un="(Todas)",G173=r_un),OR(r_de="",r_de="(Todos)",I173=r_de)),AU173,"")</f>
        <v/>
      </c>
      <c r="BD173" s="96" t="str">
        <f>IF(Z173=1,A173&amp;" | nº "&amp;IF(B173="","(sem número)",B173)&amp;" | "&amp;IF(G173="","(sem unidade)",G173),"")</f>
        <v/>
      </c>
      <c r="BE173" s="96" t="str">
        <f>IF(Z173=1,COUNTIF($Z$6:Z173,1),"")</f>
        <v/>
      </c>
      <c r="BF173" s="96" t="str">
        <f>IF(T173="","",IF(T173="RECEBIMENTO NÃO CONFIRMADO","Transp.: "&amp;H173&amp;" | Dest.: "&amp;I173,IF(OR(T173="CDF NÃO LOCALIZADO",T173="VÍNCULO INCOMPLETO",T173="CDF A CONFERIR"),"Dest.: "&amp;I173,"Gerador: "&amp;G173)))</f>
        <v/>
      </c>
    </row>
    <row r="174">
      <c r="A174" s="89" t="inlineStr">
        <is>
          <t>MTR-000169</t>
        </is>
      </c>
      <c r="B174" s="90" t="n"/>
      <c r="C174" s="91" t="n"/>
      <c r="D174" s="91" t="n"/>
      <c r="E174" s="92" t="n"/>
      <c r="F174" s="92" t="n"/>
      <c r="G174" s="91" t="n"/>
      <c r="H174" s="91" t="n"/>
      <c r="I174" s="91" t="n"/>
      <c r="J174" s="91" t="n"/>
      <c r="K174" s="91" t="n"/>
      <c r="L174" s="92" t="n"/>
      <c r="M174" s="91" t="n"/>
      <c r="N174" s="91" t="n"/>
      <c r="O174" s="91" t="n"/>
      <c r="P174" s="93" t="str">
        <f>IF(Z174=0,"",SUMIFS('ITENS_MTR'!$I$6:$I$1005,'ITENS_MTR'!$S$6:$S$1005,A174,'ITENS_MTR'!$Y$6:$Y$1005,1))</f>
        <v/>
      </c>
      <c r="Q174" s="93" t="str">
        <f>IF(Z174=0,"",SUMIFS('RECEBIMENTOS'!$H$6:$H$1005,'RECEBIMENTOS'!$B$6:$B$1005,A174,'RECEBIMENTOS'!$X$6:$X$1005,1))</f>
        <v/>
      </c>
      <c r="R174" s="93" t="str">
        <f>IF(Z174=0,"",SUMIFS('VÍNCULOS_CDF'!$H$6:$H$1005,'VÍNCULOS_CDF'!$D$6:$D$1005,A174,'VÍNCULOS_CDF'!$V$6:$V$1005,1))</f>
        <v/>
      </c>
      <c r="S174" s="94" t="str">
        <f>IF(Z174=0,"",IF(AA174=1,"Cancelado (informado)",IF(AE174=1,"Cadastro incompleto",IF(OR(AC174=1,AD174=1,AF174&gt;0,AH174&gt;0,AK174&gt;0,AL174&gt;0),"Informação a revisar",IF(AN174=0,"Aguardando recebimento",IF(N(R174)=0,"Aguardando CDF",IF(AJ174&lt;N(W174),"Vínculo de CDF parcial",IF(AO174=0,"CDF localizado, a conferir","Documentação conferida"))))))))</f>
        <v/>
      </c>
      <c r="T174" s="94" t="str">
        <f>IF(Z174=0,"",IF(S174="Cadastro incompleto","MTR INCOMPLETO",IF(S174="Informação a revisar",IF(AND(AH174&gt;0,AC174=0,AD174=0,AF174=0,AK174=0,AL174=0),"QUANTIDADE A REVISAR","IDENTIFICAÇÃO A REVISAR"),IF(S174="Aguardando recebimento","RECEBIMENTO NÃO CONFIRMADO",IF(S174="Aguardando CDF","CDF NÃO LOCALIZADO",IF(S174="Vínculo de CDF parcial","VÍNCULO INCOMPLETO",IF(S174="CDF localizado, a conferir","CDF A CONFERIR","")))))))</f>
        <v/>
      </c>
      <c r="U174" s="95" t="str">
        <f>IF(T174="","",IF(AQ174="","Não calculável",IF(AQ174&gt;TODAY(),"Data futura",TODAY()-AQ174)))</f>
        <v/>
      </c>
      <c r="V174" s="93" t="str">
        <f>IF(Z174=0,"",SUMIFS('RECEBIMENTOS'!$H$6:$H$1005,'RECEBIMENTOS'!$B$6:$B$1005,A174,'RECEBIMENTOS'!$Z$6:$Z$1005,1))</f>
        <v/>
      </c>
      <c r="W174" s="95" t="str">
        <f>IF(Z174=0,"",COUNTIFS('ITENS_MTR'!$S$6:$S$1005,A174,'ITENS_MTR'!$R$6:$R$1005,1))</f>
        <v/>
      </c>
      <c r="X174" s="94" t="str">
        <f>IF(AC174=1,"POSSÍVEL DUPLICIDADE","")</f>
        <v/>
      </c>
      <c r="Y174" s="94" t="str">
        <f>IF(Z174=0,"",IF(AW174="","Nenhuma",LEFT(AW174,LEN(AW174)-2)))</f>
        <v/>
      </c>
      <c r="Z174" s="96">
        <f>IF(COUNTA(B174:O174)&gt;0,1,0)</f>
        <v>0</v>
      </c>
      <c r="AA174" s="96">
        <f>IF(AND(Z174=1,K174&lt;&gt;""),IF(TRIM(K174)=TRIM(cfg_cancel),1,0),0)</f>
        <v>0</v>
      </c>
      <c r="AB174" s="96" t="str">
        <f>IF(AND(Z174=1,B174&lt;&gt;""),C174&amp;"|"&amp;D174&amp;"|"&amp;G174&amp;"|"&amp;TRIM(B174),"")</f>
        <v/>
      </c>
      <c r="AC174" s="96">
        <f>IF(AB174="",0,IF(SUMPRODUCT(--($AB$6:$AB$505=AB174))&gt;1,1,0))</f>
        <v>0</v>
      </c>
      <c r="AD174" s="96">
        <f>IF(Z174=0,0,IF(OR(AND(G174&lt;&gt;"",ISNA(MATCH(G174,'CAD_UNIDADES'!$C$6:$C$105,0))),AND(H174&lt;&gt;"",ISNA(MATCH(H174,cmp_transp,0))),AND(I174&lt;&gt;"",ISNA(MATCH(I174,cmp_dest,0))),AND(E174&lt;&gt;"",NOT(ISNUMBER(E174))),AND(F174&lt;&gt;"",NOT(ISNUMBER(F174))),AND(ISNUMBER(E174),ISNUMBER(F174),F174&lt;E174)),1,0))</f>
        <v>0</v>
      </c>
      <c r="AE174" s="96">
        <f>IF(Z174=0,0,IF(OR(B174="",C174="",E174="",G174="",H174="",I174="",N(W174)=0),1,0))</f>
        <v>0</v>
      </c>
      <c r="AF174" s="96">
        <f>IF(Z174=0,0,COUNTIFS('ITENS_MTR'!$S$6:$S$1005,A174,'ITENS_MTR'!$AI$6:$AI$1005,1))</f>
        <v>0</v>
      </c>
      <c r="AG174" s="96">
        <f>IF(Z174=0,0,COUNTIFS('ITENS_MTR'!$S$6:$S$1005,A174,'ITENS_MTR'!$AJ$6:$AJ$1005,1))</f>
        <v>0</v>
      </c>
      <c r="AH174" s="96">
        <f>IF(Z174=0,0,COUNTIFS('ITENS_MTR'!$S$6:$S$1005,A174,'ITENS_MTR'!$AM$6:$AM$1005,1))</f>
        <v>0</v>
      </c>
      <c r="AI174" s="96">
        <f>IF(Z174=0,0,COUNTIFS('ITENS_MTR'!$S$6:$S$1005,A174,'ITENS_MTR'!$AO$6:$AO$1005,1))</f>
        <v>0</v>
      </c>
      <c r="AJ174" s="96">
        <f>IF(Z174=0,0,COUNTIFS('ITENS_MTR'!$S$6:$S$1005,A174,'ITENS_MTR'!$AN$6:$AN$1005,1))</f>
        <v>0</v>
      </c>
      <c r="AK174" s="96">
        <f>IF(Z174=0,0,COUNTIFS('RECEBIMENTOS'!$B$6:$B$1005,A174,'RECEBIMENTOS'!$Y$6:$Y$1005,1))</f>
        <v>0</v>
      </c>
      <c r="AL174" s="96">
        <f>IF(Z174=0,0,COUNTIFS('VÍNCULOS_CDF'!$D$6:$D$1005,A174,'VÍNCULOS_CDF'!$Y$6:$Y$1005,1))</f>
        <v>0</v>
      </c>
      <c r="AM174" s="96">
        <f>IF(Z174=0,0,COUNTIFS('RECEBIMENTOS'!$B$6:$B$1005,A174,'RECEBIMENTOS'!$Q$6:$Q$1005,1))</f>
        <v>0</v>
      </c>
      <c r="AN174" s="96">
        <f>IF(AND(Z174=1,N(W174)&gt;0,AG174=N(W174)),1,0)</f>
        <v>0</v>
      </c>
      <c r="AO174" s="96">
        <f>IF(AND(Z174=1,N(W174)&gt;0,AI174=N(W174)),1,0)</f>
        <v>0</v>
      </c>
      <c r="AP174" s="97">
        <f>IF(Z174=0,0,_xlfn.MAXIFS('RECEBIMENTOS'!$E$6:$E$1005,'RECEBIMENTOS'!$B$6:$B$1005,A174))</f>
        <v>0</v>
      </c>
      <c r="AQ174" s="97" t="str">
        <f>IF(T174="","",IF(T174="RECEBIMENTO NÃO CONFIRMADO",IF(ISNUMBER(F174),F174,IF(ISNUMBER(E174),E174,"")),IF(OR(T174="CDF NÃO LOCALIZADO",T174="VÍNCULO INCOMPLETO",T174="CDF A CONFERIR"),IF(AP174&gt;0,AP174,IF(ISNUMBER(E174),E174,"")),IF(ISNUMBER(E174),E174,""))))</f>
        <v/>
      </c>
      <c r="AR174" s="96">
        <f>IF(NOT(ISNUMBER(U174)),0,IF(T174="RECEBIMENTO NÃO CONFIRMADO",IF(AND(ISNUMBER(cfg_rec),U174&gt;cfg_rec),1,0),IF(OR(T174="CDF NÃO LOCALIZADO",T174="VÍNCULO INCOMPLETO",T174="CDF A CONFERIR"),IF(AND(ISNUMBER(cfg_cdf),U174&gt;cfg_cdf),1,0),0)))</f>
        <v>0</v>
      </c>
      <c r="AS174" s="96" t="str">
        <f>IF(T174="","",IF(AR174=1,"Alta",IFERROR(INDEX(cfg_pp,MATCH(T174,cfg_pt,0))&amp;"","Média")))</f>
        <v/>
      </c>
      <c r="AT174" s="96" t="str">
        <f>IF(T174="","",IFERROR(INDEX(cfg_pv,MATCH(T174,cfg_pt,0))&amp;"",""))</f>
        <v/>
      </c>
      <c r="AU174" s="96" t="str">
        <f>IF(T174="","",IF(AS174="Alta",1,IF(AS174="Média",2,3))*1000000000+(999999-IF(ISNUMBER(U174),MIN(U174,999999),0))*1000+169)</f>
        <v/>
      </c>
      <c r="AV174" s="96">
        <f>IF(T174&lt;&gt;"",1,0)</f>
        <v>0</v>
      </c>
      <c r="AW174" s="96" t="str">
        <f>IF(Z174=0,"",IF(AA174=1,"Cancelamento informado; ","")&amp;IF(AE174=1,"Campos essenciais ou itens faltando; ","")&amp;IF(AC174=1,"Possível duplicidade do número; ","")&amp;IF(AD174=1,"Cadastro ou datas a revisar; ","")&amp;IF(AF174&gt;0,"Item de resíduo com dado a revisar; ","")&amp;IF(AH174&gt;0,"Diferença de quantidade a analisar; ","")&amp;IF(AK174&gt;0,"Recebimento com alerta; ","")&amp;IF(AL174&gt;0,"Vínculo de CDF com alerta; ","")&amp;IF(AND(AA174=0,AN174=0),"Recebimento não confirmado; ","")&amp;IF(AND(AA174=0,AN174=1,AO174=0),"CDF pendente ou a conferir; ",""))</f>
        <v/>
      </c>
      <c r="AX174" s="96">
        <f>IF(Z174=0,0,IF(AND(OR(f_ini="",AND(ISNUMBER(E174),E174&gt;=f_ini)),OR(f_fim="",AND(ISNUMBER(E174),E174&lt;=f_fim)),OR(f_un="",f_un="(Todas)",G174=f_un),OR(f_tr="",f_tr="(Todos)",H174=f_tr),OR(f_de="",f_de="(Todos)",I174=f_de),OR(f_sit="",f_sit="(Todas)",S174=f_sit)),1,0))</f>
        <v>0</v>
      </c>
      <c r="AY174" s="96">
        <f>IF(AX174=0,0,IF(OR(f_res="",f_res="(Todos)"),1,IF(COUNTIFS('ITENS_MTR'!$S$6:$S$1005,A174,'ITENS_MTR'!$C$6:$C$1005,f_res)&gt;0,1,0)))</f>
        <v>0</v>
      </c>
      <c r="AZ174" s="97" t="str">
        <f>IF(ISNUMBER(E174),DATE(YEAR(E174),MONTH(E174),1),"")</f>
        <v/>
      </c>
      <c r="BA174" s="96">
        <f>IF(Z174=0,0,IF(AND(OR(r_ini="",AND(ISNUMBER(E174),E174&gt;=r_ini)),OR(r_fim="",AND(ISNUMBER(E174),E174&lt;=r_fim)),OR(r_un="",r_un="(Todas)",G174=r_un),OR(r_de="",r_de="(Todos)",I174=r_de)),1,0))</f>
        <v>0</v>
      </c>
      <c r="BB174" s="96" t="str">
        <f>IF(BA174=1,COUNTIF($BA$6:BA174,1),"")</f>
        <v/>
      </c>
      <c r="BC174" s="96" t="str">
        <f>IF(AND(AU174&lt;&gt;"",OR(r_un="",r_un="(Todas)",G174=r_un),OR(r_de="",r_de="(Todos)",I174=r_de)),AU174,"")</f>
        <v/>
      </c>
      <c r="BD174" s="96" t="str">
        <f>IF(Z174=1,A174&amp;" | nº "&amp;IF(B174="","(sem número)",B174)&amp;" | "&amp;IF(G174="","(sem unidade)",G174),"")</f>
        <v/>
      </c>
      <c r="BE174" s="96" t="str">
        <f>IF(Z174=1,COUNTIF($Z$6:Z174,1),"")</f>
        <v/>
      </c>
      <c r="BF174" s="96" t="str">
        <f>IF(T174="","",IF(T174="RECEBIMENTO NÃO CONFIRMADO","Transp.: "&amp;H174&amp;" | Dest.: "&amp;I174,IF(OR(T174="CDF NÃO LOCALIZADO",T174="VÍNCULO INCOMPLETO",T174="CDF A CONFERIR"),"Dest.: "&amp;I174,"Gerador: "&amp;G174)))</f>
        <v/>
      </c>
    </row>
    <row r="175">
      <c r="A175" s="89" t="inlineStr">
        <is>
          <t>MTR-000170</t>
        </is>
      </c>
      <c r="B175" s="90" t="n"/>
      <c r="C175" s="91" t="n"/>
      <c r="D175" s="91" t="n"/>
      <c r="E175" s="92" t="n"/>
      <c r="F175" s="92" t="n"/>
      <c r="G175" s="91" t="n"/>
      <c r="H175" s="91" t="n"/>
      <c r="I175" s="91" t="n"/>
      <c r="J175" s="91" t="n"/>
      <c r="K175" s="91" t="n"/>
      <c r="L175" s="92" t="n"/>
      <c r="M175" s="91" t="n"/>
      <c r="N175" s="91" t="n"/>
      <c r="O175" s="91" t="n"/>
      <c r="P175" s="93" t="str">
        <f>IF(Z175=0,"",SUMIFS('ITENS_MTR'!$I$6:$I$1005,'ITENS_MTR'!$S$6:$S$1005,A175,'ITENS_MTR'!$Y$6:$Y$1005,1))</f>
        <v/>
      </c>
      <c r="Q175" s="93" t="str">
        <f>IF(Z175=0,"",SUMIFS('RECEBIMENTOS'!$H$6:$H$1005,'RECEBIMENTOS'!$B$6:$B$1005,A175,'RECEBIMENTOS'!$X$6:$X$1005,1))</f>
        <v/>
      </c>
      <c r="R175" s="93" t="str">
        <f>IF(Z175=0,"",SUMIFS('VÍNCULOS_CDF'!$H$6:$H$1005,'VÍNCULOS_CDF'!$D$6:$D$1005,A175,'VÍNCULOS_CDF'!$V$6:$V$1005,1))</f>
        <v/>
      </c>
      <c r="S175" s="94" t="str">
        <f>IF(Z175=0,"",IF(AA175=1,"Cancelado (informado)",IF(AE175=1,"Cadastro incompleto",IF(OR(AC175=1,AD175=1,AF175&gt;0,AH175&gt;0,AK175&gt;0,AL175&gt;0),"Informação a revisar",IF(AN175=0,"Aguardando recebimento",IF(N(R175)=0,"Aguardando CDF",IF(AJ175&lt;N(W175),"Vínculo de CDF parcial",IF(AO175=0,"CDF localizado, a conferir","Documentação conferida"))))))))</f>
        <v/>
      </c>
      <c r="T175" s="94" t="str">
        <f>IF(Z175=0,"",IF(S175="Cadastro incompleto","MTR INCOMPLETO",IF(S175="Informação a revisar",IF(AND(AH175&gt;0,AC175=0,AD175=0,AF175=0,AK175=0,AL175=0),"QUANTIDADE A REVISAR","IDENTIFICAÇÃO A REVISAR"),IF(S175="Aguardando recebimento","RECEBIMENTO NÃO CONFIRMADO",IF(S175="Aguardando CDF","CDF NÃO LOCALIZADO",IF(S175="Vínculo de CDF parcial","VÍNCULO INCOMPLETO",IF(S175="CDF localizado, a conferir","CDF A CONFERIR","")))))))</f>
        <v/>
      </c>
      <c r="U175" s="95" t="str">
        <f>IF(T175="","",IF(AQ175="","Não calculável",IF(AQ175&gt;TODAY(),"Data futura",TODAY()-AQ175)))</f>
        <v/>
      </c>
      <c r="V175" s="93" t="str">
        <f>IF(Z175=0,"",SUMIFS('RECEBIMENTOS'!$H$6:$H$1005,'RECEBIMENTOS'!$B$6:$B$1005,A175,'RECEBIMENTOS'!$Z$6:$Z$1005,1))</f>
        <v/>
      </c>
      <c r="W175" s="95" t="str">
        <f>IF(Z175=0,"",COUNTIFS('ITENS_MTR'!$S$6:$S$1005,A175,'ITENS_MTR'!$R$6:$R$1005,1))</f>
        <v/>
      </c>
      <c r="X175" s="94" t="str">
        <f>IF(AC175=1,"POSSÍVEL DUPLICIDADE","")</f>
        <v/>
      </c>
      <c r="Y175" s="94" t="str">
        <f>IF(Z175=0,"",IF(AW175="","Nenhuma",LEFT(AW175,LEN(AW175)-2)))</f>
        <v/>
      </c>
      <c r="Z175" s="96">
        <f>IF(COUNTA(B175:O175)&gt;0,1,0)</f>
        <v>0</v>
      </c>
      <c r="AA175" s="96">
        <f>IF(AND(Z175=1,K175&lt;&gt;""),IF(TRIM(K175)=TRIM(cfg_cancel),1,0),0)</f>
        <v>0</v>
      </c>
      <c r="AB175" s="96" t="str">
        <f>IF(AND(Z175=1,B175&lt;&gt;""),C175&amp;"|"&amp;D175&amp;"|"&amp;G175&amp;"|"&amp;TRIM(B175),"")</f>
        <v/>
      </c>
      <c r="AC175" s="96">
        <f>IF(AB175="",0,IF(SUMPRODUCT(--($AB$6:$AB$505=AB175))&gt;1,1,0))</f>
        <v>0</v>
      </c>
      <c r="AD175" s="96">
        <f>IF(Z175=0,0,IF(OR(AND(G175&lt;&gt;"",ISNA(MATCH(G175,'CAD_UNIDADES'!$C$6:$C$105,0))),AND(H175&lt;&gt;"",ISNA(MATCH(H175,cmp_transp,0))),AND(I175&lt;&gt;"",ISNA(MATCH(I175,cmp_dest,0))),AND(E175&lt;&gt;"",NOT(ISNUMBER(E175))),AND(F175&lt;&gt;"",NOT(ISNUMBER(F175))),AND(ISNUMBER(E175),ISNUMBER(F175),F175&lt;E175)),1,0))</f>
        <v>0</v>
      </c>
      <c r="AE175" s="96">
        <f>IF(Z175=0,0,IF(OR(B175="",C175="",E175="",G175="",H175="",I175="",N(W175)=0),1,0))</f>
        <v>0</v>
      </c>
      <c r="AF175" s="96">
        <f>IF(Z175=0,0,COUNTIFS('ITENS_MTR'!$S$6:$S$1005,A175,'ITENS_MTR'!$AI$6:$AI$1005,1))</f>
        <v>0</v>
      </c>
      <c r="AG175" s="96">
        <f>IF(Z175=0,0,COUNTIFS('ITENS_MTR'!$S$6:$S$1005,A175,'ITENS_MTR'!$AJ$6:$AJ$1005,1))</f>
        <v>0</v>
      </c>
      <c r="AH175" s="96">
        <f>IF(Z175=0,0,COUNTIFS('ITENS_MTR'!$S$6:$S$1005,A175,'ITENS_MTR'!$AM$6:$AM$1005,1))</f>
        <v>0</v>
      </c>
      <c r="AI175" s="96">
        <f>IF(Z175=0,0,COUNTIFS('ITENS_MTR'!$S$6:$S$1005,A175,'ITENS_MTR'!$AO$6:$AO$1005,1))</f>
        <v>0</v>
      </c>
      <c r="AJ175" s="96">
        <f>IF(Z175=0,0,COUNTIFS('ITENS_MTR'!$S$6:$S$1005,A175,'ITENS_MTR'!$AN$6:$AN$1005,1))</f>
        <v>0</v>
      </c>
      <c r="AK175" s="96">
        <f>IF(Z175=0,0,COUNTIFS('RECEBIMENTOS'!$B$6:$B$1005,A175,'RECEBIMENTOS'!$Y$6:$Y$1005,1))</f>
        <v>0</v>
      </c>
      <c r="AL175" s="96">
        <f>IF(Z175=0,0,COUNTIFS('VÍNCULOS_CDF'!$D$6:$D$1005,A175,'VÍNCULOS_CDF'!$Y$6:$Y$1005,1))</f>
        <v>0</v>
      </c>
      <c r="AM175" s="96">
        <f>IF(Z175=0,0,COUNTIFS('RECEBIMENTOS'!$B$6:$B$1005,A175,'RECEBIMENTOS'!$Q$6:$Q$1005,1))</f>
        <v>0</v>
      </c>
      <c r="AN175" s="96">
        <f>IF(AND(Z175=1,N(W175)&gt;0,AG175=N(W175)),1,0)</f>
        <v>0</v>
      </c>
      <c r="AO175" s="96">
        <f>IF(AND(Z175=1,N(W175)&gt;0,AI175=N(W175)),1,0)</f>
        <v>0</v>
      </c>
      <c r="AP175" s="97">
        <f>IF(Z175=0,0,_xlfn.MAXIFS('RECEBIMENTOS'!$E$6:$E$1005,'RECEBIMENTOS'!$B$6:$B$1005,A175))</f>
        <v>0</v>
      </c>
      <c r="AQ175" s="97" t="str">
        <f>IF(T175="","",IF(T175="RECEBIMENTO NÃO CONFIRMADO",IF(ISNUMBER(F175),F175,IF(ISNUMBER(E175),E175,"")),IF(OR(T175="CDF NÃO LOCALIZADO",T175="VÍNCULO INCOMPLETO",T175="CDF A CONFERIR"),IF(AP175&gt;0,AP175,IF(ISNUMBER(E175),E175,"")),IF(ISNUMBER(E175),E175,""))))</f>
        <v/>
      </c>
      <c r="AR175" s="96">
        <f>IF(NOT(ISNUMBER(U175)),0,IF(T175="RECEBIMENTO NÃO CONFIRMADO",IF(AND(ISNUMBER(cfg_rec),U175&gt;cfg_rec),1,0),IF(OR(T175="CDF NÃO LOCALIZADO",T175="VÍNCULO INCOMPLETO",T175="CDF A CONFERIR"),IF(AND(ISNUMBER(cfg_cdf),U175&gt;cfg_cdf),1,0),0)))</f>
        <v>0</v>
      </c>
      <c r="AS175" s="96" t="str">
        <f>IF(T175="","",IF(AR175=1,"Alta",IFERROR(INDEX(cfg_pp,MATCH(T175,cfg_pt,0))&amp;"","Média")))</f>
        <v/>
      </c>
      <c r="AT175" s="96" t="str">
        <f>IF(T175="","",IFERROR(INDEX(cfg_pv,MATCH(T175,cfg_pt,0))&amp;"",""))</f>
        <v/>
      </c>
      <c r="AU175" s="96" t="str">
        <f>IF(T175="","",IF(AS175="Alta",1,IF(AS175="Média",2,3))*1000000000+(999999-IF(ISNUMBER(U175),MIN(U175,999999),0))*1000+170)</f>
        <v/>
      </c>
      <c r="AV175" s="96">
        <f>IF(T175&lt;&gt;"",1,0)</f>
        <v>0</v>
      </c>
      <c r="AW175" s="96" t="str">
        <f>IF(Z175=0,"",IF(AA175=1,"Cancelamento informado; ","")&amp;IF(AE175=1,"Campos essenciais ou itens faltando; ","")&amp;IF(AC175=1,"Possível duplicidade do número; ","")&amp;IF(AD175=1,"Cadastro ou datas a revisar; ","")&amp;IF(AF175&gt;0,"Item de resíduo com dado a revisar; ","")&amp;IF(AH175&gt;0,"Diferença de quantidade a analisar; ","")&amp;IF(AK175&gt;0,"Recebimento com alerta; ","")&amp;IF(AL175&gt;0,"Vínculo de CDF com alerta; ","")&amp;IF(AND(AA175=0,AN175=0),"Recebimento não confirmado; ","")&amp;IF(AND(AA175=0,AN175=1,AO175=0),"CDF pendente ou a conferir; ",""))</f>
        <v/>
      </c>
      <c r="AX175" s="96">
        <f>IF(Z175=0,0,IF(AND(OR(f_ini="",AND(ISNUMBER(E175),E175&gt;=f_ini)),OR(f_fim="",AND(ISNUMBER(E175),E175&lt;=f_fim)),OR(f_un="",f_un="(Todas)",G175=f_un),OR(f_tr="",f_tr="(Todos)",H175=f_tr),OR(f_de="",f_de="(Todos)",I175=f_de),OR(f_sit="",f_sit="(Todas)",S175=f_sit)),1,0))</f>
        <v>0</v>
      </c>
      <c r="AY175" s="96">
        <f>IF(AX175=0,0,IF(OR(f_res="",f_res="(Todos)"),1,IF(COUNTIFS('ITENS_MTR'!$S$6:$S$1005,A175,'ITENS_MTR'!$C$6:$C$1005,f_res)&gt;0,1,0)))</f>
        <v>0</v>
      </c>
      <c r="AZ175" s="97" t="str">
        <f>IF(ISNUMBER(E175),DATE(YEAR(E175),MONTH(E175),1),"")</f>
        <v/>
      </c>
      <c r="BA175" s="96">
        <f>IF(Z175=0,0,IF(AND(OR(r_ini="",AND(ISNUMBER(E175),E175&gt;=r_ini)),OR(r_fim="",AND(ISNUMBER(E175),E175&lt;=r_fim)),OR(r_un="",r_un="(Todas)",G175=r_un),OR(r_de="",r_de="(Todos)",I175=r_de)),1,0))</f>
        <v>0</v>
      </c>
      <c r="BB175" s="96" t="str">
        <f>IF(BA175=1,COUNTIF($BA$6:BA175,1),"")</f>
        <v/>
      </c>
      <c r="BC175" s="96" t="str">
        <f>IF(AND(AU175&lt;&gt;"",OR(r_un="",r_un="(Todas)",G175=r_un),OR(r_de="",r_de="(Todos)",I175=r_de)),AU175,"")</f>
        <v/>
      </c>
      <c r="BD175" s="96" t="str">
        <f>IF(Z175=1,A175&amp;" | nº "&amp;IF(B175="","(sem número)",B175)&amp;" | "&amp;IF(G175="","(sem unidade)",G175),"")</f>
        <v/>
      </c>
      <c r="BE175" s="96" t="str">
        <f>IF(Z175=1,COUNTIF($Z$6:Z175,1),"")</f>
        <v/>
      </c>
      <c r="BF175" s="96" t="str">
        <f>IF(T175="","",IF(T175="RECEBIMENTO NÃO CONFIRMADO","Transp.: "&amp;H175&amp;" | Dest.: "&amp;I175,IF(OR(T175="CDF NÃO LOCALIZADO",T175="VÍNCULO INCOMPLETO",T175="CDF A CONFERIR"),"Dest.: "&amp;I175,"Gerador: "&amp;G175)))</f>
        <v/>
      </c>
    </row>
    <row r="176">
      <c r="A176" s="89" t="inlineStr">
        <is>
          <t>MTR-000171</t>
        </is>
      </c>
      <c r="B176" s="90" t="n"/>
      <c r="C176" s="91" t="n"/>
      <c r="D176" s="91" t="n"/>
      <c r="E176" s="92" t="n"/>
      <c r="F176" s="92" t="n"/>
      <c r="G176" s="91" t="n"/>
      <c r="H176" s="91" t="n"/>
      <c r="I176" s="91" t="n"/>
      <c r="J176" s="91" t="n"/>
      <c r="K176" s="91" t="n"/>
      <c r="L176" s="92" t="n"/>
      <c r="M176" s="91" t="n"/>
      <c r="N176" s="91" t="n"/>
      <c r="O176" s="91" t="n"/>
      <c r="P176" s="93" t="str">
        <f>IF(Z176=0,"",SUMIFS('ITENS_MTR'!$I$6:$I$1005,'ITENS_MTR'!$S$6:$S$1005,A176,'ITENS_MTR'!$Y$6:$Y$1005,1))</f>
        <v/>
      </c>
      <c r="Q176" s="93" t="str">
        <f>IF(Z176=0,"",SUMIFS('RECEBIMENTOS'!$H$6:$H$1005,'RECEBIMENTOS'!$B$6:$B$1005,A176,'RECEBIMENTOS'!$X$6:$X$1005,1))</f>
        <v/>
      </c>
      <c r="R176" s="93" t="str">
        <f>IF(Z176=0,"",SUMIFS('VÍNCULOS_CDF'!$H$6:$H$1005,'VÍNCULOS_CDF'!$D$6:$D$1005,A176,'VÍNCULOS_CDF'!$V$6:$V$1005,1))</f>
        <v/>
      </c>
      <c r="S176" s="94" t="str">
        <f>IF(Z176=0,"",IF(AA176=1,"Cancelado (informado)",IF(AE176=1,"Cadastro incompleto",IF(OR(AC176=1,AD176=1,AF176&gt;0,AH176&gt;0,AK176&gt;0,AL176&gt;0),"Informação a revisar",IF(AN176=0,"Aguardando recebimento",IF(N(R176)=0,"Aguardando CDF",IF(AJ176&lt;N(W176),"Vínculo de CDF parcial",IF(AO176=0,"CDF localizado, a conferir","Documentação conferida"))))))))</f>
        <v/>
      </c>
      <c r="T176" s="94" t="str">
        <f>IF(Z176=0,"",IF(S176="Cadastro incompleto","MTR INCOMPLETO",IF(S176="Informação a revisar",IF(AND(AH176&gt;0,AC176=0,AD176=0,AF176=0,AK176=0,AL176=0),"QUANTIDADE A REVISAR","IDENTIFICAÇÃO A REVISAR"),IF(S176="Aguardando recebimento","RECEBIMENTO NÃO CONFIRMADO",IF(S176="Aguardando CDF","CDF NÃO LOCALIZADO",IF(S176="Vínculo de CDF parcial","VÍNCULO INCOMPLETO",IF(S176="CDF localizado, a conferir","CDF A CONFERIR","")))))))</f>
        <v/>
      </c>
      <c r="U176" s="95" t="str">
        <f>IF(T176="","",IF(AQ176="","Não calculável",IF(AQ176&gt;TODAY(),"Data futura",TODAY()-AQ176)))</f>
        <v/>
      </c>
      <c r="V176" s="93" t="str">
        <f>IF(Z176=0,"",SUMIFS('RECEBIMENTOS'!$H$6:$H$1005,'RECEBIMENTOS'!$B$6:$B$1005,A176,'RECEBIMENTOS'!$Z$6:$Z$1005,1))</f>
        <v/>
      </c>
      <c r="W176" s="95" t="str">
        <f>IF(Z176=0,"",COUNTIFS('ITENS_MTR'!$S$6:$S$1005,A176,'ITENS_MTR'!$R$6:$R$1005,1))</f>
        <v/>
      </c>
      <c r="X176" s="94" t="str">
        <f>IF(AC176=1,"POSSÍVEL DUPLICIDADE","")</f>
        <v/>
      </c>
      <c r="Y176" s="94" t="str">
        <f>IF(Z176=0,"",IF(AW176="","Nenhuma",LEFT(AW176,LEN(AW176)-2)))</f>
        <v/>
      </c>
      <c r="Z176" s="96">
        <f>IF(COUNTA(B176:O176)&gt;0,1,0)</f>
        <v>0</v>
      </c>
      <c r="AA176" s="96">
        <f>IF(AND(Z176=1,K176&lt;&gt;""),IF(TRIM(K176)=TRIM(cfg_cancel),1,0),0)</f>
        <v>0</v>
      </c>
      <c r="AB176" s="96" t="str">
        <f>IF(AND(Z176=1,B176&lt;&gt;""),C176&amp;"|"&amp;D176&amp;"|"&amp;G176&amp;"|"&amp;TRIM(B176),"")</f>
        <v/>
      </c>
      <c r="AC176" s="96">
        <f>IF(AB176="",0,IF(SUMPRODUCT(--($AB$6:$AB$505=AB176))&gt;1,1,0))</f>
        <v>0</v>
      </c>
      <c r="AD176" s="96">
        <f>IF(Z176=0,0,IF(OR(AND(G176&lt;&gt;"",ISNA(MATCH(G176,'CAD_UNIDADES'!$C$6:$C$105,0))),AND(H176&lt;&gt;"",ISNA(MATCH(H176,cmp_transp,0))),AND(I176&lt;&gt;"",ISNA(MATCH(I176,cmp_dest,0))),AND(E176&lt;&gt;"",NOT(ISNUMBER(E176))),AND(F176&lt;&gt;"",NOT(ISNUMBER(F176))),AND(ISNUMBER(E176),ISNUMBER(F176),F176&lt;E176)),1,0))</f>
        <v>0</v>
      </c>
      <c r="AE176" s="96">
        <f>IF(Z176=0,0,IF(OR(B176="",C176="",E176="",G176="",H176="",I176="",N(W176)=0),1,0))</f>
        <v>0</v>
      </c>
      <c r="AF176" s="96">
        <f>IF(Z176=0,0,COUNTIFS('ITENS_MTR'!$S$6:$S$1005,A176,'ITENS_MTR'!$AI$6:$AI$1005,1))</f>
        <v>0</v>
      </c>
      <c r="AG176" s="96">
        <f>IF(Z176=0,0,COUNTIFS('ITENS_MTR'!$S$6:$S$1005,A176,'ITENS_MTR'!$AJ$6:$AJ$1005,1))</f>
        <v>0</v>
      </c>
      <c r="AH176" s="96">
        <f>IF(Z176=0,0,COUNTIFS('ITENS_MTR'!$S$6:$S$1005,A176,'ITENS_MTR'!$AM$6:$AM$1005,1))</f>
        <v>0</v>
      </c>
      <c r="AI176" s="96">
        <f>IF(Z176=0,0,COUNTIFS('ITENS_MTR'!$S$6:$S$1005,A176,'ITENS_MTR'!$AO$6:$AO$1005,1))</f>
        <v>0</v>
      </c>
      <c r="AJ176" s="96">
        <f>IF(Z176=0,0,COUNTIFS('ITENS_MTR'!$S$6:$S$1005,A176,'ITENS_MTR'!$AN$6:$AN$1005,1))</f>
        <v>0</v>
      </c>
      <c r="AK176" s="96">
        <f>IF(Z176=0,0,COUNTIFS('RECEBIMENTOS'!$B$6:$B$1005,A176,'RECEBIMENTOS'!$Y$6:$Y$1005,1))</f>
        <v>0</v>
      </c>
      <c r="AL176" s="96">
        <f>IF(Z176=0,0,COUNTIFS('VÍNCULOS_CDF'!$D$6:$D$1005,A176,'VÍNCULOS_CDF'!$Y$6:$Y$1005,1))</f>
        <v>0</v>
      </c>
      <c r="AM176" s="96">
        <f>IF(Z176=0,0,COUNTIFS('RECEBIMENTOS'!$B$6:$B$1005,A176,'RECEBIMENTOS'!$Q$6:$Q$1005,1))</f>
        <v>0</v>
      </c>
      <c r="AN176" s="96">
        <f>IF(AND(Z176=1,N(W176)&gt;0,AG176=N(W176)),1,0)</f>
        <v>0</v>
      </c>
      <c r="AO176" s="96">
        <f>IF(AND(Z176=1,N(W176)&gt;0,AI176=N(W176)),1,0)</f>
        <v>0</v>
      </c>
      <c r="AP176" s="97">
        <f>IF(Z176=0,0,_xlfn.MAXIFS('RECEBIMENTOS'!$E$6:$E$1005,'RECEBIMENTOS'!$B$6:$B$1005,A176))</f>
        <v>0</v>
      </c>
      <c r="AQ176" s="97" t="str">
        <f>IF(T176="","",IF(T176="RECEBIMENTO NÃO CONFIRMADO",IF(ISNUMBER(F176),F176,IF(ISNUMBER(E176),E176,"")),IF(OR(T176="CDF NÃO LOCALIZADO",T176="VÍNCULO INCOMPLETO",T176="CDF A CONFERIR"),IF(AP176&gt;0,AP176,IF(ISNUMBER(E176),E176,"")),IF(ISNUMBER(E176),E176,""))))</f>
        <v/>
      </c>
      <c r="AR176" s="96">
        <f>IF(NOT(ISNUMBER(U176)),0,IF(T176="RECEBIMENTO NÃO CONFIRMADO",IF(AND(ISNUMBER(cfg_rec),U176&gt;cfg_rec),1,0),IF(OR(T176="CDF NÃO LOCALIZADO",T176="VÍNCULO INCOMPLETO",T176="CDF A CONFERIR"),IF(AND(ISNUMBER(cfg_cdf),U176&gt;cfg_cdf),1,0),0)))</f>
        <v>0</v>
      </c>
      <c r="AS176" s="96" t="str">
        <f>IF(T176="","",IF(AR176=1,"Alta",IFERROR(INDEX(cfg_pp,MATCH(T176,cfg_pt,0))&amp;"","Média")))</f>
        <v/>
      </c>
      <c r="AT176" s="96" t="str">
        <f>IF(T176="","",IFERROR(INDEX(cfg_pv,MATCH(T176,cfg_pt,0))&amp;"",""))</f>
        <v/>
      </c>
      <c r="AU176" s="96" t="str">
        <f>IF(T176="","",IF(AS176="Alta",1,IF(AS176="Média",2,3))*1000000000+(999999-IF(ISNUMBER(U176),MIN(U176,999999),0))*1000+171)</f>
        <v/>
      </c>
      <c r="AV176" s="96">
        <f>IF(T176&lt;&gt;"",1,0)</f>
        <v>0</v>
      </c>
      <c r="AW176" s="96" t="str">
        <f>IF(Z176=0,"",IF(AA176=1,"Cancelamento informado; ","")&amp;IF(AE176=1,"Campos essenciais ou itens faltando; ","")&amp;IF(AC176=1,"Possível duplicidade do número; ","")&amp;IF(AD176=1,"Cadastro ou datas a revisar; ","")&amp;IF(AF176&gt;0,"Item de resíduo com dado a revisar; ","")&amp;IF(AH176&gt;0,"Diferença de quantidade a analisar; ","")&amp;IF(AK176&gt;0,"Recebimento com alerta; ","")&amp;IF(AL176&gt;0,"Vínculo de CDF com alerta; ","")&amp;IF(AND(AA176=0,AN176=0),"Recebimento não confirmado; ","")&amp;IF(AND(AA176=0,AN176=1,AO176=0),"CDF pendente ou a conferir; ",""))</f>
        <v/>
      </c>
      <c r="AX176" s="96">
        <f>IF(Z176=0,0,IF(AND(OR(f_ini="",AND(ISNUMBER(E176),E176&gt;=f_ini)),OR(f_fim="",AND(ISNUMBER(E176),E176&lt;=f_fim)),OR(f_un="",f_un="(Todas)",G176=f_un),OR(f_tr="",f_tr="(Todos)",H176=f_tr),OR(f_de="",f_de="(Todos)",I176=f_de),OR(f_sit="",f_sit="(Todas)",S176=f_sit)),1,0))</f>
        <v>0</v>
      </c>
      <c r="AY176" s="96">
        <f>IF(AX176=0,0,IF(OR(f_res="",f_res="(Todos)"),1,IF(COUNTIFS('ITENS_MTR'!$S$6:$S$1005,A176,'ITENS_MTR'!$C$6:$C$1005,f_res)&gt;0,1,0)))</f>
        <v>0</v>
      </c>
      <c r="AZ176" s="97" t="str">
        <f>IF(ISNUMBER(E176),DATE(YEAR(E176),MONTH(E176),1),"")</f>
        <v/>
      </c>
      <c r="BA176" s="96">
        <f>IF(Z176=0,0,IF(AND(OR(r_ini="",AND(ISNUMBER(E176),E176&gt;=r_ini)),OR(r_fim="",AND(ISNUMBER(E176),E176&lt;=r_fim)),OR(r_un="",r_un="(Todas)",G176=r_un),OR(r_de="",r_de="(Todos)",I176=r_de)),1,0))</f>
        <v>0</v>
      </c>
      <c r="BB176" s="96" t="str">
        <f>IF(BA176=1,COUNTIF($BA$6:BA176,1),"")</f>
        <v/>
      </c>
      <c r="BC176" s="96" t="str">
        <f>IF(AND(AU176&lt;&gt;"",OR(r_un="",r_un="(Todas)",G176=r_un),OR(r_de="",r_de="(Todos)",I176=r_de)),AU176,"")</f>
        <v/>
      </c>
      <c r="BD176" s="96" t="str">
        <f>IF(Z176=1,A176&amp;" | nº "&amp;IF(B176="","(sem número)",B176)&amp;" | "&amp;IF(G176="","(sem unidade)",G176),"")</f>
        <v/>
      </c>
      <c r="BE176" s="96" t="str">
        <f>IF(Z176=1,COUNTIF($Z$6:Z176,1),"")</f>
        <v/>
      </c>
      <c r="BF176" s="96" t="str">
        <f>IF(T176="","",IF(T176="RECEBIMENTO NÃO CONFIRMADO","Transp.: "&amp;H176&amp;" | Dest.: "&amp;I176,IF(OR(T176="CDF NÃO LOCALIZADO",T176="VÍNCULO INCOMPLETO",T176="CDF A CONFERIR"),"Dest.: "&amp;I176,"Gerador: "&amp;G176)))</f>
        <v/>
      </c>
    </row>
    <row r="177">
      <c r="A177" s="89" t="inlineStr">
        <is>
          <t>MTR-000172</t>
        </is>
      </c>
      <c r="B177" s="90" t="n"/>
      <c r="C177" s="91" t="n"/>
      <c r="D177" s="91" t="n"/>
      <c r="E177" s="92" t="n"/>
      <c r="F177" s="92" t="n"/>
      <c r="G177" s="91" t="n"/>
      <c r="H177" s="91" t="n"/>
      <c r="I177" s="91" t="n"/>
      <c r="J177" s="91" t="n"/>
      <c r="K177" s="91" t="n"/>
      <c r="L177" s="92" t="n"/>
      <c r="M177" s="91" t="n"/>
      <c r="N177" s="91" t="n"/>
      <c r="O177" s="91" t="n"/>
      <c r="P177" s="93" t="str">
        <f>IF(Z177=0,"",SUMIFS('ITENS_MTR'!$I$6:$I$1005,'ITENS_MTR'!$S$6:$S$1005,A177,'ITENS_MTR'!$Y$6:$Y$1005,1))</f>
        <v/>
      </c>
      <c r="Q177" s="93" t="str">
        <f>IF(Z177=0,"",SUMIFS('RECEBIMENTOS'!$H$6:$H$1005,'RECEBIMENTOS'!$B$6:$B$1005,A177,'RECEBIMENTOS'!$X$6:$X$1005,1))</f>
        <v/>
      </c>
      <c r="R177" s="93" t="str">
        <f>IF(Z177=0,"",SUMIFS('VÍNCULOS_CDF'!$H$6:$H$1005,'VÍNCULOS_CDF'!$D$6:$D$1005,A177,'VÍNCULOS_CDF'!$V$6:$V$1005,1))</f>
        <v/>
      </c>
      <c r="S177" s="94" t="str">
        <f>IF(Z177=0,"",IF(AA177=1,"Cancelado (informado)",IF(AE177=1,"Cadastro incompleto",IF(OR(AC177=1,AD177=1,AF177&gt;0,AH177&gt;0,AK177&gt;0,AL177&gt;0),"Informação a revisar",IF(AN177=0,"Aguardando recebimento",IF(N(R177)=0,"Aguardando CDF",IF(AJ177&lt;N(W177),"Vínculo de CDF parcial",IF(AO177=0,"CDF localizado, a conferir","Documentação conferida"))))))))</f>
        <v/>
      </c>
      <c r="T177" s="94" t="str">
        <f>IF(Z177=0,"",IF(S177="Cadastro incompleto","MTR INCOMPLETO",IF(S177="Informação a revisar",IF(AND(AH177&gt;0,AC177=0,AD177=0,AF177=0,AK177=0,AL177=0),"QUANTIDADE A REVISAR","IDENTIFICAÇÃO A REVISAR"),IF(S177="Aguardando recebimento","RECEBIMENTO NÃO CONFIRMADO",IF(S177="Aguardando CDF","CDF NÃO LOCALIZADO",IF(S177="Vínculo de CDF parcial","VÍNCULO INCOMPLETO",IF(S177="CDF localizado, a conferir","CDF A CONFERIR","")))))))</f>
        <v/>
      </c>
      <c r="U177" s="95" t="str">
        <f>IF(T177="","",IF(AQ177="","Não calculável",IF(AQ177&gt;TODAY(),"Data futura",TODAY()-AQ177)))</f>
        <v/>
      </c>
      <c r="V177" s="93" t="str">
        <f>IF(Z177=0,"",SUMIFS('RECEBIMENTOS'!$H$6:$H$1005,'RECEBIMENTOS'!$B$6:$B$1005,A177,'RECEBIMENTOS'!$Z$6:$Z$1005,1))</f>
        <v/>
      </c>
      <c r="W177" s="95" t="str">
        <f>IF(Z177=0,"",COUNTIFS('ITENS_MTR'!$S$6:$S$1005,A177,'ITENS_MTR'!$R$6:$R$1005,1))</f>
        <v/>
      </c>
      <c r="X177" s="94" t="str">
        <f>IF(AC177=1,"POSSÍVEL DUPLICIDADE","")</f>
        <v/>
      </c>
      <c r="Y177" s="94" t="str">
        <f>IF(Z177=0,"",IF(AW177="","Nenhuma",LEFT(AW177,LEN(AW177)-2)))</f>
        <v/>
      </c>
      <c r="Z177" s="96">
        <f>IF(COUNTA(B177:O177)&gt;0,1,0)</f>
        <v>0</v>
      </c>
      <c r="AA177" s="96">
        <f>IF(AND(Z177=1,K177&lt;&gt;""),IF(TRIM(K177)=TRIM(cfg_cancel),1,0),0)</f>
        <v>0</v>
      </c>
      <c r="AB177" s="96" t="str">
        <f>IF(AND(Z177=1,B177&lt;&gt;""),C177&amp;"|"&amp;D177&amp;"|"&amp;G177&amp;"|"&amp;TRIM(B177),"")</f>
        <v/>
      </c>
      <c r="AC177" s="96">
        <f>IF(AB177="",0,IF(SUMPRODUCT(--($AB$6:$AB$505=AB177))&gt;1,1,0))</f>
        <v>0</v>
      </c>
      <c r="AD177" s="96">
        <f>IF(Z177=0,0,IF(OR(AND(G177&lt;&gt;"",ISNA(MATCH(G177,'CAD_UNIDADES'!$C$6:$C$105,0))),AND(H177&lt;&gt;"",ISNA(MATCH(H177,cmp_transp,0))),AND(I177&lt;&gt;"",ISNA(MATCH(I177,cmp_dest,0))),AND(E177&lt;&gt;"",NOT(ISNUMBER(E177))),AND(F177&lt;&gt;"",NOT(ISNUMBER(F177))),AND(ISNUMBER(E177),ISNUMBER(F177),F177&lt;E177)),1,0))</f>
        <v>0</v>
      </c>
      <c r="AE177" s="96">
        <f>IF(Z177=0,0,IF(OR(B177="",C177="",E177="",G177="",H177="",I177="",N(W177)=0),1,0))</f>
        <v>0</v>
      </c>
      <c r="AF177" s="96">
        <f>IF(Z177=0,0,COUNTIFS('ITENS_MTR'!$S$6:$S$1005,A177,'ITENS_MTR'!$AI$6:$AI$1005,1))</f>
        <v>0</v>
      </c>
      <c r="AG177" s="96">
        <f>IF(Z177=0,0,COUNTIFS('ITENS_MTR'!$S$6:$S$1005,A177,'ITENS_MTR'!$AJ$6:$AJ$1005,1))</f>
        <v>0</v>
      </c>
      <c r="AH177" s="96">
        <f>IF(Z177=0,0,COUNTIFS('ITENS_MTR'!$S$6:$S$1005,A177,'ITENS_MTR'!$AM$6:$AM$1005,1))</f>
        <v>0</v>
      </c>
      <c r="AI177" s="96">
        <f>IF(Z177=0,0,COUNTIFS('ITENS_MTR'!$S$6:$S$1005,A177,'ITENS_MTR'!$AO$6:$AO$1005,1))</f>
        <v>0</v>
      </c>
      <c r="AJ177" s="96">
        <f>IF(Z177=0,0,COUNTIFS('ITENS_MTR'!$S$6:$S$1005,A177,'ITENS_MTR'!$AN$6:$AN$1005,1))</f>
        <v>0</v>
      </c>
      <c r="AK177" s="96">
        <f>IF(Z177=0,0,COUNTIFS('RECEBIMENTOS'!$B$6:$B$1005,A177,'RECEBIMENTOS'!$Y$6:$Y$1005,1))</f>
        <v>0</v>
      </c>
      <c r="AL177" s="96">
        <f>IF(Z177=0,0,COUNTIFS('VÍNCULOS_CDF'!$D$6:$D$1005,A177,'VÍNCULOS_CDF'!$Y$6:$Y$1005,1))</f>
        <v>0</v>
      </c>
      <c r="AM177" s="96">
        <f>IF(Z177=0,0,COUNTIFS('RECEBIMENTOS'!$B$6:$B$1005,A177,'RECEBIMENTOS'!$Q$6:$Q$1005,1))</f>
        <v>0</v>
      </c>
      <c r="AN177" s="96">
        <f>IF(AND(Z177=1,N(W177)&gt;0,AG177=N(W177)),1,0)</f>
        <v>0</v>
      </c>
      <c r="AO177" s="96">
        <f>IF(AND(Z177=1,N(W177)&gt;0,AI177=N(W177)),1,0)</f>
        <v>0</v>
      </c>
      <c r="AP177" s="97">
        <f>IF(Z177=0,0,_xlfn.MAXIFS('RECEBIMENTOS'!$E$6:$E$1005,'RECEBIMENTOS'!$B$6:$B$1005,A177))</f>
        <v>0</v>
      </c>
      <c r="AQ177" s="97" t="str">
        <f>IF(T177="","",IF(T177="RECEBIMENTO NÃO CONFIRMADO",IF(ISNUMBER(F177),F177,IF(ISNUMBER(E177),E177,"")),IF(OR(T177="CDF NÃO LOCALIZADO",T177="VÍNCULO INCOMPLETO",T177="CDF A CONFERIR"),IF(AP177&gt;0,AP177,IF(ISNUMBER(E177),E177,"")),IF(ISNUMBER(E177),E177,""))))</f>
        <v/>
      </c>
      <c r="AR177" s="96">
        <f>IF(NOT(ISNUMBER(U177)),0,IF(T177="RECEBIMENTO NÃO CONFIRMADO",IF(AND(ISNUMBER(cfg_rec),U177&gt;cfg_rec),1,0),IF(OR(T177="CDF NÃO LOCALIZADO",T177="VÍNCULO INCOMPLETO",T177="CDF A CONFERIR"),IF(AND(ISNUMBER(cfg_cdf),U177&gt;cfg_cdf),1,0),0)))</f>
        <v>0</v>
      </c>
      <c r="AS177" s="96" t="str">
        <f>IF(T177="","",IF(AR177=1,"Alta",IFERROR(INDEX(cfg_pp,MATCH(T177,cfg_pt,0))&amp;"","Média")))</f>
        <v/>
      </c>
      <c r="AT177" s="96" t="str">
        <f>IF(T177="","",IFERROR(INDEX(cfg_pv,MATCH(T177,cfg_pt,0))&amp;"",""))</f>
        <v/>
      </c>
      <c r="AU177" s="96" t="str">
        <f>IF(T177="","",IF(AS177="Alta",1,IF(AS177="Média",2,3))*1000000000+(999999-IF(ISNUMBER(U177),MIN(U177,999999),0))*1000+172)</f>
        <v/>
      </c>
      <c r="AV177" s="96">
        <f>IF(T177&lt;&gt;"",1,0)</f>
        <v>0</v>
      </c>
      <c r="AW177" s="96" t="str">
        <f>IF(Z177=0,"",IF(AA177=1,"Cancelamento informado; ","")&amp;IF(AE177=1,"Campos essenciais ou itens faltando; ","")&amp;IF(AC177=1,"Possível duplicidade do número; ","")&amp;IF(AD177=1,"Cadastro ou datas a revisar; ","")&amp;IF(AF177&gt;0,"Item de resíduo com dado a revisar; ","")&amp;IF(AH177&gt;0,"Diferença de quantidade a analisar; ","")&amp;IF(AK177&gt;0,"Recebimento com alerta; ","")&amp;IF(AL177&gt;0,"Vínculo de CDF com alerta; ","")&amp;IF(AND(AA177=0,AN177=0),"Recebimento não confirmado; ","")&amp;IF(AND(AA177=0,AN177=1,AO177=0),"CDF pendente ou a conferir; ",""))</f>
        <v/>
      </c>
      <c r="AX177" s="96">
        <f>IF(Z177=0,0,IF(AND(OR(f_ini="",AND(ISNUMBER(E177),E177&gt;=f_ini)),OR(f_fim="",AND(ISNUMBER(E177),E177&lt;=f_fim)),OR(f_un="",f_un="(Todas)",G177=f_un),OR(f_tr="",f_tr="(Todos)",H177=f_tr),OR(f_de="",f_de="(Todos)",I177=f_de),OR(f_sit="",f_sit="(Todas)",S177=f_sit)),1,0))</f>
        <v>0</v>
      </c>
      <c r="AY177" s="96">
        <f>IF(AX177=0,0,IF(OR(f_res="",f_res="(Todos)"),1,IF(COUNTIFS('ITENS_MTR'!$S$6:$S$1005,A177,'ITENS_MTR'!$C$6:$C$1005,f_res)&gt;0,1,0)))</f>
        <v>0</v>
      </c>
      <c r="AZ177" s="97" t="str">
        <f>IF(ISNUMBER(E177),DATE(YEAR(E177),MONTH(E177),1),"")</f>
        <v/>
      </c>
      <c r="BA177" s="96">
        <f>IF(Z177=0,0,IF(AND(OR(r_ini="",AND(ISNUMBER(E177),E177&gt;=r_ini)),OR(r_fim="",AND(ISNUMBER(E177),E177&lt;=r_fim)),OR(r_un="",r_un="(Todas)",G177=r_un),OR(r_de="",r_de="(Todos)",I177=r_de)),1,0))</f>
        <v>0</v>
      </c>
      <c r="BB177" s="96" t="str">
        <f>IF(BA177=1,COUNTIF($BA$6:BA177,1),"")</f>
        <v/>
      </c>
      <c r="BC177" s="96" t="str">
        <f>IF(AND(AU177&lt;&gt;"",OR(r_un="",r_un="(Todas)",G177=r_un),OR(r_de="",r_de="(Todos)",I177=r_de)),AU177,"")</f>
        <v/>
      </c>
      <c r="BD177" s="96" t="str">
        <f>IF(Z177=1,A177&amp;" | nº "&amp;IF(B177="","(sem número)",B177)&amp;" | "&amp;IF(G177="","(sem unidade)",G177),"")</f>
        <v/>
      </c>
      <c r="BE177" s="96" t="str">
        <f>IF(Z177=1,COUNTIF($Z$6:Z177,1),"")</f>
        <v/>
      </c>
      <c r="BF177" s="96" t="str">
        <f>IF(T177="","",IF(T177="RECEBIMENTO NÃO CONFIRMADO","Transp.: "&amp;H177&amp;" | Dest.: "&amp;I177,IF(OR(T177="CDF NÃO LOCALIZADO",T177="VÍNCULO INCOMPLETO",T177="CDF A CONFERIR"),"Dest.: "&amp;I177,"Gerador: "&amp;G177)))</f>
        <v/>
      </c>
    </row>
    <row r="178">
      <c r="A178" s="89" t="inlineStr">
        <is>
          <t>MTR-000173</t>
        </is>
      </c>
      <c r="B178" s="90" t="n"/>
      <c r="C178" s="91" t="n"/>
      <c r="D178" s="91" t="n"/>
      <c r="E178" s="92" t="n"/>
      <c r="F178" s="92" t="n"/>
      <c r="G178" s="91" t="n"/>
      <c r="H178" s="91" t="n"/>
      <c r="I178" s="91" t="n"/>
      <c r="J178" s="91" t="n"/>
      <c r="K178" s="91" t="n"/>
      <c r="L178" s="92" t="n"/>
      <c r="M178" s="91" t="n"/>
      <c r="N178" s="91" t="n"/>
      <c r="O178" s="91" t="n"/>
      <c r="P178" s="93" t="str">
        <f>IF(Z178=0,"",SUMIFS('ITENS_MTR'!$I$6:$I$1005,'ITENS_MTR'!$S$6:$S$1005,A178,'ITENS_MTR'!$Y$6:$Y$1005,1))</f>
        <v/>
      </c>
      <c r="Q178" s="93" t="str">
        <f>IF(Z178=0,"",SUMIFS('RECEBIMENTOS'!$H$6:$H$1005,'RECEBIMENTOS'!$B$6:$B$1005,A178,'RECEBIMENTOS'!$X$6:$X$1005,1))</f>
        <v/>
      </c>
      <c r="R178" s="93" t="str">
        <f>IF(Z178=0,"",SUMIFS('VÍNCULOS_CDF'!$H$6:$H$1005,'VÍNCULOS_CDF'!$D$6:$D$1005,A178,'VÍNCULOS_CDF'!$V$6:$V$1005,1))</f>
        <v/>
      </c>
      <c r="S178" s="94" t="str">
        <f>IF(Z178=0,"",IF(AA178=1,"Cancelado (informado)",IF(AE178=1,"Cadastro incompleto",IF(OR(AC178=1,AD178=1,AF178&gt;0,AH178&gt;0,AK178&gt;0,AL178&gt;0),"Informação a revisar",IF(AN178=0,"Aguardando recebimento",IF(N(R178)=0,"Aguardando CDF",IF(AJ178&lt;N(W178),"Vínculo de CDF parcial",IF(AO178=0,"CDF localizado, a conferir","Documentação conferida"))))))))</f>
        <v/>
      </c>
      <c r="T178" s="94" t="str">
        <f>IF(Z178=0,"",IF(S178="Cadastro incompleto","MTR INCOMPLETO",IF(S178="Informação a revisar",IF(AND(AH178&gt;0,AC178=0,AD178=0,AF178=0,AK178=0,AL178=0),"QUANTIDADE A REVISAR","IDENTIFICAÇÃO A REVISAR"),IF(S178="Aguardando recebimento","RECEBIMENTO NÃO CONFIRMADO",IF(S178="Aguardando CDF","CDF NÃO LOCALIZADO",IF(S178="Vínculo de CDF parcial","VÍNCULO INCOMPLETO",IF(S178="CDF localizado, a conferir","CDF A CONFERIR","")))))))</f>
        <v/>
      </c>
      <c r="U178" s="95" t="str">
        <f>IF(T178="","",IF(AQ178="","Não calculável",IF(AQ178&gt;TODAY(),"Data futura",TODAY()-AQ178)))</f>
        <v/>
      </c>
      <c r="V178" s="93" t="str">
        <f>IF(Z178=0,"",SUMIFS('RECEBIMENTOS'!$H$6:$H$1005,'RECEBIMENTOS'!$B$6:$B$1005,A178,'RECEBIMENTOS'!$Z$6:$Z$1005,1))</f>
        <v/>
      </c>
      <c r="W178" s="95" t="str">
        <f>IF(Z178=0,"",COUNTIFS('ITENS_MTR'!$S$6:$S$1005,A178,'ITENS_MTR'!$R$6:$R$1005,1))</f>
        <v/>
      </c>
      <c r="X178" s="94" t="str">
        <f>IF(AC178=1,"POSSÍVEL DUPLICIDADE","")</f>
        <v/>
      </c>
      <c r="Y178" s="94" t="str">
        <f>IF(Z178=0,"",IF(AW178="","Nenhuma",LEFT(AW178,LEN(AW178)-2)))</f>
        <v/>
      </c>
      <c r="Z178" s="96">
        <f>IF(COUNTA(B178:O178)&gt;0,1,0)</f>
        <v>0</v>
      </c>
      <c r="AA178" s="96">
        <f>IF(AND(Z178=1,K178&lt;&gt;""),IF(TRIM(K178)=TRIM(cfg_cancel),1,0),0)</f>
        <v>0</v>
      </c>
      <c r="AB178" s="96" t="str">
        <f>IF(AND(Z178=1,B178&lt;&gt;""),C178&amp;"|"&amp;D178&amp;"|"&amp;G178&amp;"|"&amp;TRIM(B178),"")</f>
        <v/>
      </c>
      <c r="AC178" s="96">
        <f>IF(AB178="",0,IF(SUMPRODUCT(--($AB$6:$AB$505=AB178))&gt;1,1,0))</f>
        <v>0</v>
      </c>
      <c r="AD178" s="96">
        <f>IF(Z178=0,0,IF(OR(AND(G178&lt;&gt;"",ISNA(MATCH(G178,'CAD_UNIDADES'!$C$6:$C$105,0))),AND(H178&lt;&gt;"",ISNA(MATCH(H178,cmp_transp,0))),AND(I178&lt;&gt;"",ISNA(MATCH(I178,cmp_dest,0))),AND(E178&lt;&gt;"",NOT(ISNUMBER(E178))),AND(F178&lt;&gt;"",NOT(ISNUMBER(F178))),AND(ISNUMBER(E178),ISNUMBER(F178),F178&lt;E178)),1,0))</f>
        <v>0</v>
      </c>
      <c r="AE178" s="96">
        <f>IF(Z178=0,0,IF(OR(B178="",C178="",E178="",G178="",H178="",I178="",N(W178)=0),1,0))</f>
        <v>0</v>
      </c>
      <c r="AF178" s="96">
        <f>IF(Z178=0,0,COUNTIFS('ITENS_MTR'!$S$6:$S$1005,A178,'ITENS_MTR'!$AI$6:$AI$1005,1))</f>
        <v>0</v>
      </c>
      <c r="AG178" s="96">
        <f>IF(Z178=0,0,COUNTIFS('ITENS_MTR'!$S$6:$S$1005,A178,'ITENS_MTR'!$AJ$6:$AJ$1005,1))</f>
        <v>0</v>
      </c>
      <c r="AH178" s="96">
        <f>IF(Z178=0,0,COUNTIFS('ITENS_MTR'!$S$6:$S$1005,A178,'ITENS_MTR'!$AM$6:$AM$1005,1))</f>
        <v>0</v>
      </c>
      <c r="AI178" s="96">
        <f>IF(Z178=0,0,COUNTIFS('ITENS_MTR'!$S$6:$S$1005,A178,'ITENS_MTR'!$AO$6:$AO$1005,1))</f>
        <v>0</v>
      </c>
      <c r="AJ178" s="96">
        <f>IF(Z178=0,0,COUNTIFS('ITENS_MTR'!$S$6:$S$1005,A178,'ITENS_MTR'!$AN$6:$AN$1005,1))</f>
        <v>0</v>
      </c>
      <c r="AK178" s="96">
        <f>IF(Z178=0,0,COUNTIFS('RECEBIMENTOS'!$B$6:$B$1005,A178,'RECEBIMENTOS'!$Y$6:$Y$1005,1))</f>
        <v>0</v>
      </c>
      <c r="AL178" s="96">
        <f>IF(Z178=0,0,COUNTIFS('VÍNCULOS_CDF'!$D$6:$D$1005,A178,'VÍNCULOS_CDF'!$Y$6:$Y$1005,1))</f>
        <v>0</v>
      </c>
      <c r="AM178" s="96">
        <f>IF(Z178=0,0,COUNTIFS('RECEBIMENTOS'!$B$6:$B$1005,A178,'RECEBIMENTOS'!$Q$6:$Q$1005,1))</f>
        <v>0</v>
      </c>
      <c r="AN178" s="96">
        <f>IF(AND(Z178=1,N(W178)&gt;0,AG178=N(W178)),1,0)</f>
        <v>0</v>
      </c>
      <c r="AO178" s="96">
        <f>IF(AND(Z178=1,N(W178)&gt;0,AI178=N(W178)),1,0)</f>
        <v>0</v>
      </c>
      <c r="AP178" s="97">
        <f>IF(Z178=0,0,_xlfn.MAXIFS('RECEBIMENTOS'!$E$6:$E$1005,'RECEBIMENTOS'!$B$6:$B$1005,A178))</f>
        <v>0</v>
      </c>
      <c r="AQ178" s="97" t="str">
        <f>IF(T178="","",IF(T178="RECEBIMENTO NÃO CONFIRMADO",IF(ISNUMBER(F178),F178,IF(ISNUMBER(E178),E178,"")),IF(OR(T178="CDF NÃO LOCALIZADO",T178="VÍNCULO INCOMPLETO",T178="CDF A CONFERIR"),IF(AP178&gt;0,AP178,IF(ISNUMBER(E178),E178,"")),IF(ISNUMBER(E178),E178,""))))</f>
        <v/>
      </c>
      <c r="AR178" s="96">
        <f>IF(NOT(ISNUMBER(U178)),0,IF(T178="RECEBIMENTO NÃO CONFIRMADO",IF(AND(ISNUMBER(cfg_rec),U178&gt;cfg_rec),1,0),IF(OR(T178="CDF NÃO LOCALIZADO",T178="VÍNCULO INCOMPLETO",T178="CDF A CONFERIR"),IF(AND(ISNUMBER(cfg_cdf),U178&gt;cfg_cdf),1,0),0)))</f>
        <v>0</v>
      </c>
      <c r="AS178" s="96" t="str">
        <f>IF(T178="","",IF(AR178=1,"Alta",IFERROR(INDEX(cfg_pp,MATCH(T178,cfg_pt,0))&amp;"","Média")))</f>
        <v/>
      </c>
      <c r="AT178" s="96" t="str">
        <f>IF(T178="","",IFERROR(INDEX(cfg_pv,MATCH(T178,cfg_pt,0))&amp;"",""))</f>
        <v/>
      </c>
      <c r="AU178" s="96" t="str">
        <f>IF(T178="","",IF(AS178="Alta",1,IF(AS178="Média",2,3))*1000000000+(999999-IF(ISNUMBER(U178),MIN(U178,999999),0))*1000+173)</f>
        <v/>
      </c>
      <c r="AV178" s="96">
        <f>IF(T178&lt;&gt;"",1,0)</f>
        <v>0</v>
      </c>
      <c r="AW178" s="96" t="str">
        <f>IF(Z178=0,"",IF(AA178=1,"Cancelamento informado; ","")&amp;IF(AE178=1,"Campos essenciais ou itens faltando; ","")&amp;IF(AC178=1,"Possível duplicidade do número; ","")&amp;IF(AD178=1,"Cadastro ou datas a revisar; ","")&amp;IF(AF178&gt;0,"Item de resíduo com dado a revisar; ","")&amp;IF(AH178&gt;0,"Diferença de quantidade a analisar; ","")&amp;IF(AK178&gt;0,"Recebimento com alerta; ","")&amp;IF(AL178&gt;0,"Vínculo de CDF com alerta; ","")&amp;IF(AND(AA178=0,AN178=0),"Recebimento não confirmado; ","")&amp;IF(AND(AA178=0,AN178=1,AO178=0),"CDF pendente ou a conferir; ",""))</f>
        <v/>
      </c>
      <c r="AX178" s="96">
        <f>IF(Z178=0,0,IF(AND(OR(f_ini="",AND(ISNUMBER(E178),E178&gt;=f_ini)),OR(f_fim="",AND(ISNUMBER(E178),E178&lt;=f_fim)),OR(f_un="",f_un="(Todas)",G178=f_un),OR(f_tr="",f_tr="(Todos)",H178=f_tr),OR(f_de="",f_de="(Todos)",I178=f_de),OR(f_sit="",f_sit="(Todas)",S178=f_sit)),1,0))</f>
        <v>0</v>
      </c>
      <c r="AY178" s="96">
        <f>IF(AX178=0,0,IF(OR(f_res="",f_res="(Todos)"),1,IF(COUNTIFS('ITENS_MTR'!$S$6:$S$1005,A178,'ITENS_MTR'!$C$6:$C$1005,f_res)&gt;0,1,0)))</f>
        <v>0</v>
      </c>
      <c r="AZ178" s="97" t="str">
        <f>IF(ISNUMBER(E178),DATE(YEAR(E178),MONTH(E178),1),"")</f>
        <v/>
      </c>
      <c r="BA178" s="96">
        <f>IF(Z178=0,0,IF(AND(OR(r_ini="",AND(ISNUMBER(E178),E178&gt;=r_ini)),OR(r_fim="",AND(ISNUMBER(E178),E178&lt;=r_fim)),OR(r_un="",r_un="(Todas)",G178=r_un),OR(r_de="",r_de="(Todos)",I178=r_de)),1,0))</f>
        <v>0</v>
      </c>
      <c r="BB178" s="96" t="str">
        <f>IF(BA178=1,COUNTIF($BA$6:BA178,1),"")</f>
        <v/>
      </c>
      <c r="BC178" s="96" t="str">
        <f>IF(AND(AU178&lt;&gt;"",OR(r_un="",r_un="(Todas)",G178=r_un),OR(r_de="",r_de="(Todos)",I178=r_de)),AU178,"")</f>
        <v/>
      </c>
      <c r="BD178" s="96" t="str">
        <f>IF(Z178=1,A178&amp;" | nº "&amp;IF(B178="","(sem número)",B178)&amp;" | "&amp;IF(G178="","(sem unidade)",G178),"")</f>
        <v/>
      </c>
      <c r="BE178" s="96" t="str">
        <f>IF(Z178=1,COUNTIF($Z$6:Z178,1),"")</f>
        <v/>
      </c>
      <c r="BF178" s="96" t="str">
        <f>IF(T178="","",IF(T178="RECEBIMENTO NÃO CONFIRMADO","Transp.: "&amp;H178&amp;" | Dest.: "&amp;I178,IF(OR(T178="CDF NÃO LOCALIZADO",T178="VÍNCULO INCOMPLETO",T178="CDF A CONFERIR"),"Dest.: "&amp;I178,"Gerador: "&amp;G178)))</f>
        <v/>
      </c>
    </row>
    <row r="179">
      <c r="A179" s="89" t="inlineStr">
        <is>
          <t>MTR-000174</t>
        </is>
      </c>
      <c r="B179" s="90" t="n"/>
      <c r="C179" s="91" t="n"/>
      <c r="D179" s="91" t="n"/>
      <c r="E179" s="92" t="n"/>
      <c r="F179" s="92" t="n"/>
      <c r="G179" s="91" t="n"/>
      <c r="H179" s="91" t="n"/>
      <c r="I179" s="91" t="n"/>
      <c r="J179" s="91" t="n"/>
      <c r="K179" s="91" t="n"/>
      <c r="L179" s="92" t="n"/>
      <c r="M179" s="91" t="n"/>
      <c r="N179" s="91" t="n"/>
      <c r="O179" s="91" t="n"/>
      <c r="P179" s="93" t="str">
        <f>IF(Z179=0,"",SUMIFS('ITENS_MTR'!$I$6:$I$1005,'ITENS_MTR'!$S$6:$S$1005,A179,'ITENS_MTR'!$Y$6:$Y$1005,1))</f>
        <v/>
      </c>
      <c r="Q179" s="93" t="str">
        <f>IF(Z179=0,"",SUMIFS('RECEBIMENTOS'!$H$6:$H$1005,'RECEBIMENTOS'!$B$6:$B$1005,A179,'RECEBIMENTOS'!$X$6:$X$1005,1))</f>
        <v/>
      </c>
      <c r="R179" s="93" t="str">
        <f>IF(Z179=0,"",SUMIFS('VÍNCULOS_CDF'!$H$6:$H$1005,'VÍNCULOS_CDF'!$D$6:$D$1005,A179,'VÍNCULOS_CDF'!$V$6:$V$1005,1))</f>
        <v/>
      </c>
      <c r="S179" s="94" t="str">
        <f>IF(Z179=0,"",IF(AA179=1,"Cancelado (informado)",IF(AE179=1,"Cadastro incompleto",IF(OR(AC179=1,AD179=1,AF179&gt;0,AH179&gt;0,AK179&gt;0,AL179&gt;0),"Informação a revisar",IF(AN179=0,"Aguardando recebimento",IF(N(R179)=0,"Aguardando CDF",IF(AJ179&lt;N(W179),"Vínculo de CDF parcial",IF(AO179=0,"CDF localizado, a conferir","Documentação conferida"))))))))</f>
        <v/>
      </c>
      <c r="T179" s="94" t="str">
        <f>IF(Z179=0,"",IF(S179="Cadastro incompleto","MTR INCOMPLETO",IF(S179="Informação a revisar",IF(AND(AH179&gt;0,AC179=0,AD179=0,AF179=0,AK179=0,AL179=0),"QUANTIDADE A REVISAR","IDENTIFICAÇÃO A REVISAR"),IF(S179="Aguardando recebimento","RECEBIMENTO NÃO CONFIRMADO",IF(S179="Aguardando CDF","CDF NÃO LOCALIZADO",IF(S179="Vínculo de CDF parcial","VÍNCULO INCOMPLETO",IF(S179="CDF localizado, a conferir","CDF A CONFERIR","")))))))</f>
        <v/>
      </c>
      <c r="U179" s="95" t="str">
        <f>IF(T179="","",IF(AQ179="","Não calculável",IF(AQ179&gt;TODAY(),"Data futura",TODAY()-AQ179)))</f>
        <v/>
      </c>
      <c r="V179" s="93" t="str">
        <f>IF(Z179=0,"",SUMIFS('RECEBIMENTOS'!$H$6:$H$1005,'RECEBIMENTOS'!$B$6:$B$1005,A179,'RECEBIMENTOS'!$Z$6:$Z$1005,1))</f>
        <v/>
      </c>
      <c r="W179" s="95" t="str">
        <f>IF(Z179=0,"",COUNTIFS('ITENS_MTR'!$S$6:$S$1005,A179,'ITENS_MTR'!$R$6:$R$1005,1))</f>
        <v/>
      </c>
      <c r="X179" s="94" t="str">
        <f>IF(AC179=1,"POSSÍVEL DUPLICIDADE","")</f>
        <v/>
      </c>
      <c r="Y179" s="94" t="str">
        <f>IF(Z179=0,"",IF(AW179="","Nenhuma",LEFT(AW179,LEN(AW179)-2)))</f>
        <v/>
      </c>
      <c r="Z179" s="96">
        <f>IF(COUNTA(B179:O179)&gt;0,1,0)</f>
        <v>0</v>
      </c>
      <c r="AA179" s="96">
        <f>IF(AND(Z179=1,K179&lt;&gt;""),IF(TRIM(K179)=TRIM(cfg_cancel),1,0),0)</f>
        <v>0</v>
      </c>
      <c r="AB179" s="96" t="str">
        <f>IF(AND(Z179=1,B179&lt;&gt;""),C179&amp;"|"&amp;D179&amp;"|"&amp;G179&amp;"|"&amp;TRIM(B179),"")</f>
        <v/>
      </c>
      <c r="AC179" s="96">
        <f>IF(AB179="",0,IF(SUMPRODUCT(--($AB$6:$AB$505=AB179))&gt;1,1,0))</f>
        <v>0</v>
      </c>
      <c r="AD179" s="96">
        <f>IF(Z179=0,0,IF(OR(AND(G179&lt;&gt;"",ISNA(MATCH(G179,'CAD_UNIDADES'!$C$6:$C$105,0))),AND(H179&lt;&gt;"",ISNA(MATCH(H179,cmp_transp,0))),AND(I179&lt;&gt;"",ISNA(MATCH(I179,cmp_dest,0))),AND(E179&lt;&gt;"",NOT(ISNUMBER(E179))),AND(F179&lt;&gt;"",NOT(ISNUMBER(F179))),AND(ISNUMBER(E179),ISNUMBER(F179),F179&lt;E179)),1,0))</f>
        <v>0</v>
      </c>
      <c r="AE179" s="96">
        <f>IF(Z179=0,0,IF(OR(B179="",C179="",E179="",G179="",H179="",I179="",N(W179)=0),1,0))</f>
        <v>0</v>
      </c>
      <c r="AF179" s="96">
        <f>IF(Z179=0,0,COUNTIFS('ITENS_MTR'!$S$6:$S$1005,A179,'ITENS_MTR'!$AI$6:$AI$1005,1))</f>
        <v>0</v>
      </c>
      <c r="AG179" s="96">
        <f>IF(Z179=0,0,COUNTIFS('ITENS_MTR'!$S$6:$S$1005,A179,'ITENS_MTR'!$AJ$6:$AJ$1005,1))</f>
        <v>0</v>
      </c>
      <c r="AH179" s="96">
        <f>IF(Z179=0,0,COUNTIFS('ITENS_MTR'!$S$6:$S$1005,A179,'ITENS_MTR'!$AM$6:$AM$1005,1))</f>
        <v>0</v>
      </c>
      <c r="AI179" s="96">
        <f>IF(Z179=0,0,COUNTIFS('ITENS_MTR'!$S$6:$S$1005,A179,'ITENS_MTR'!$AO$6:$AO$1005,1))</f>
        <v>0</v>
      </c>
      <c r="AJ179" s="96">
        <f>IF(Z179=0,0,COUNTIFS('ITENS_MTR'!$S$6:$S$1005,A179,'ITENS_MTR'!$AN$6:$AN$1005,1))</f>
        <v>0</v>
      </c>
      <c r="AK179" s="96">
        <f>IF(Z179=0,0,COUNTIFS('RECEBIMENTOS'!$B$6:$B$1005,A179,'RECEBIMENTOS'!$Y$6:$Y$1005,1))</f>
        <v>0</v>
      </c>
      <c r="AL179" s="96">
        <f>IF(Z179=0,0,COUNTIFS('VÍNCULOS_CDF'!$D$6:$D$1005,A179,'VÍNCULOS_CDF'!$Y$6:$Y$1005,1))</f>
        <v>0</v>
      </c>
      <c r="AM179" s="96">
        <f>IF(Z179=0,0,COUNTIFS('RECEBIMENTOS'!$B$6:$B$1005,A179,'RECEBIMENTOS'!$Q$6:$Q$1005,1))</f>
        <v>0</v>
      </c>
      <c r="AN179" s="96">
        <f>IF(AND(Z179=1,N(W179)&gt;0,AG179=N(W179)),1,0)</f>
        <v>0</v>
      </c>
      <c r="AO179" s="96">
        <f>IF(AND(Z179=1,N(W179)&gt;0,AI179=N(W179)),1,0)</f>
        <v>0</v>
      </c>
      <c r="AP179" s="97">
        <f>IF(Z179=0,0,_xlfn.MAXIFS('RECEBIMENTOS'!$E$6:$E$1005,'RECEBIMENTOS'!$B$6:$B$1005,A179))</f>
        <v>0</v>
      </c>
      <c r="AQ179" s="97" t="str">
        <f>IF(T179="","",IF(T179="RECEBIMENTO NÃO CONFIRMADO",IF(ISNUMBER(F179),F179,IF(ISNUMBER(E179),E179,"")),IF(OR(T179="CDF NÃO LOCALIZADO",T179="VÍNCULO INCOMPLETO",T179="CDF A CONFERIR"),IF(AP179&gt;0,AP179,IF(ISNUMBER(E179),E179,"")),IF(ISNUMBER(E179),E179,""))))</f>
        <v/>
      </c>
      <c r="AR179" s="96">
        <f>IF(NOT(ISNUMBER(U179)),0,IF(T179="RECEBIMENTO NÃO CONFIRMADO",IF(AND(ISNUMBER(cfg_rec),U179&gt;cfg_rec),1,0),IF(OR(T179="CDF NÃO LOCALIZADO",T179="VÍNCULO INCOMPLETO",T179="CDF A CONFERIR"),IF(AND(ISNUMBER(cfg_cdf),U179&gt;cfg_cdf),1,0),0)))</f>
        <v>0</v>
      </c>
      <c r="AS179" s="96" t="str">
        <f>IF(T179="","",IF(AR179=1,"Alta",IFERROR(INDEX(cfg_pp,MATCH(T179,cfg_pt,0))&amp;"","Média")))</f>
        <v/>
      </c>
      <c r="AT179" s="96" t="str">
        <f>IF(T179="","",IFERROR(INDEX(cfg_pv,MATCH(T179,cfg_pt,0))&amp;"",""))</f>
        <v/>
      </c>
      <c r="AU179" s="96" t="str">
        <f>IF(T179="","",IF(AS179="Alta",1,IF(AS179="Média",2,3))*1000000000+(999999-IF(ISNUMBER(U179),MIN(U179,999999),0))*1000+174)</f>
        <v/>
      </c>
      <c r="AV179" s="96">
        <f>IF(T179&lt;&gt;"",1,0)</f>
        <v>0</v>
      </c>
      <c r="AW179" s="96" t="str">
        <f>IF(Z179=0,"",IF(AA179=1,"Cancelamento informado; ","")&amp;IF(AE179=1,"Campos essenciais ou itens faltando; ","")&amp;IF(AC179=1,"Possível duplicidade do número; ","")&amp;IF(AD179=1,"Cadastro ou datas a revisar; ","")&amp;IF(AF179&gt;0,"Item de resíduo com dado a revisar; ","")&amp;IF(AH179&gt;0,"Diferença de quantidade a analisar; ","")&amp;IF(AK179&gt;0,"Recebimento com alerta; ","")&amp;IF(AL179&gt;0,"Vínculo de CDF com alerta; ","")&amp;IF(AND(AA179=0,AN179=0),"Recebimento não confirmado; ","")&amp;IF(AND(AA179=0,AN179=1,AO179=0),"CDF pendente ou a conferir; ",""))</f>
        <v/>
      </c>
      <c r="AX179" s="96">
        <f>IF(Z179=0,0,IF(AND(OR(f_ini="",AND(ISNUMBER(E179),E179&gt;=f_ini)),OR(f_fim="",AND(ISNUMBER(E179),E179&lt;=f_fim)),OR(f_un="",f_un="(Todas)",G179=f_un),OR(f_tr="",f_tr="(Todos)",H179=f_tr),OR(f_de="",f_de="(Todos)",I179=f_de),OR(f_sit="",f_sit="(Todas)",S179=f_sit)),1,0))</f>
        <v>0</v>
      </c>
      <c r="AY179" s="96">
        <f>IF(AX179=0,0,IF(OR(f_res="",f_res="(Todos)"),1,IF(COUNTIFS('ITENS_MTR'!$S$6:$S$1005,A179,'ITENS_MTR'!$C$6:$C$1005,f_res)&gt;0,1,0)))</f>
        <v>0</v>
      </c>
      <c r="AZ179" s="97" t="str">
        <f>IF(ISNUMBER(E179),DATE(YEAR(E179),MONTH(E179),1),"")</f>
        <v/>
      </c>
      <c r="BA179" s="96">
        <f>IF(Z179=0,0,IF(AND(OR(r_ini="",AND(ISNUMBER(E179),E179&gt;=r_ini)),OR(r_fim="",AND(ISNUMBER(E179),E179&lt;=r_fim)),OR(r_un="",r_un="(Todas)",G179=r_un),OR(r_de="",r_de="(Todos)",I179=r_de)),1,0))</f>
        <v>0</v>
      </c>
      <c r="BB179" s="96" t="str">
        <f>IF(BA179=1,COUNTIF($BA$6:BA179,1),"")</f>
        <v/>
      </c>
      <c r="BC179" s="96" t="str">
        <f>IF(AND(AU179&lt;&gt;"",OR(r_un="",r_un="(Todas)",G179=r_un),OR(r_de="",r_de="(Todos)",I179=r_de)),AU179,"")</f>
        <v/>
      </c>
      <c r="BD179" s="96" t="str">
        <f>IF(Z179=1,A179&amp;" | nº "&amp;IF(B179="","(sem número)",B179)&amp;" | "&amp;IF(G179="","(sem unidade)",G179),"")</f>
        <v/>
      </c>
      <c r="BE179" s="96" t="str">
        <f>IF(Z179=1,COUNTIF($Z$6:Z179,1),"")</f>
        <v/>
      </c>
      <c r="BF179" s="96" t="str">
        <f>IF(T179="","",IF(T179="RECEBIMENTO NÃO CONFIRMADO","Transp.: "&amp;H179&amp;" | Dest.: "&amp;I179,IF(OR(T179="CDF NÃO LOCALIZADO",T179="VÍNCULO INCOMPLETO",T179="CDF A CONFERIR"),"Dest.: "&amp;I179,"Gerador: "&amp;G179)))</f>
        <v/>
      </c>
    </row>
    <row r="180">
      <c r="A180" s="89" t="inlineStr">
        <is>
          <t>MTR-000175</t>
        </is>
      </c>
      <c r="B180" s="90" t="n"/>
      <c r="C180" s="91" t="n"/>
      <c r="D180" s="91" t="n"/>
      <c r="E180" s="92" t="n"/>
      <c r="F180" s="92" t="n"/>
      <c r="G180" s="91" t="n"/>
      <c r="H180" s="91" t="n"/>
      <c r="I180" s="91" t="n"/>
      <c r="J180" s="91" t="n"/>
      <c r="K180" s="91" t="n"/>
      <c r="L180" s="92" t="n"/>
      <c r="M180" s="91" t="n"/>
      <c r="N180" s="91" t="n"/>
      <c r="O180" s="91" t="n"/>
      <c r="P180" s="93" t="str">
        <f>IF(Z180=0,"",SUMIFS('ITENS_MTR'!$I$6:$I$1005,'ITENS_MTR'!$S$6:$S$1005,A180,'ITENS_MTR'!$Y$6:$Y$1005,1))</f>
        <v/>
      </c>
      <c r="Q180" s="93" t="str">
        <f>IF(Z180=0,"",SUMIFS('RECEBIMENTOS'!$H$6:$H$1005,'RECEBIMENTOS'!$B$6:$B$1005,A180,'RECEBIMENTOS'!$X$6:$X$1005,1))</f>
        <v/>
      </c>
      <c r="R180" s="93" t="str">
        <f>IF(Z180=0,"",SUMIFS('VÍNCULOS_CDF'!$H$6:$H$1005,'VÍNCULOS_CDF'!$D$6:$D$1005,A180,'VÍNCULOS_CDF'!$V$6:$V$1005,1))</f>
        <v/>
      </c>
      <c r="S180" s="94" t="str">
        <f>IF(Z180=0,"",IF(AA180=1,"Cancelado (informado)",IF(AE180=1,"Cadastro incompleto",IF(OR(AC180=1,AD180=1,AF180&gt;0,AH180&gt;0,AK180&gt;0,AL180&gt;0),"Informação a revisar",IF(AN180=0,"Aguardando recebimento",IF(N(R180)=0,"Aguardando CDF",IF(AJ180&lt;N(W180),"Vínculo de CDF parcial",IF(AO180=0,"CDF localizado, a conferir","Documentação conferida"))))))))</f>
        <v/>
      </c>
      <c r="T180" s="94" t="str">
        <f>IF(Z180=0,"",IF(S180="Cadastro incompleto","MTR INCOMPLETO",IF(S180="Informação a revisar",IF(AND(AH180&gt;0,AC180=0,AD180=0,AF180=0,AK180=0,AL180=0),"QUANTIDADE A REVISAR","IDENTIFICAÇÃO A REVISAR"),IF(S180="Aguardando recebimento","RECEBIMENTO NÃO CONFIRMADO",IF(S180="Aguardando CDF","CDF NÃO LOCALIZADO",IF(S180="Vínculo de CDF parcial","VÍNCULO INCOMPLETO",IF(S180="CDF localizado, a conferir","CDF A CONFERIR","")))))))</f>
        <v/>
      </c>
      <c r="U180" s="95" t="str">
        <f>IF(T180="","",IF(AQ180="","Não calculável",IF(AQ180&gt;TODAY(),"Data futura",TODAY()-AQ180)))</f>
        <v/>
      </c>
      <c r="V180" s="93" t="str">
        <f>IF(Z180=0,"",SUMIFS('RECEBIMENTOS'!$H$6:$H$1005,'RECEBIMENTOS'!$B$6:$B$1005,A180,'RECEBIMENTOS'!$Z$6:$Z$1005,1))</f>
        <v/>
      </c>
      <c r="W180" s="95" t="str">
        <f>IF(Z180=0,"",COUNTIFS('ITENS_MTR'!$S$6:$S$1005,A180,'ITENS_MTR'!$R$6:$R$1005,1))</f>
        <v/>
      </c>
      <c r="X180" s="94" t="str">
        <f>IF(AC180=1,"POSSÍVEL DUPLICIDADE","")</f>
        <v/>
      </c>
      <c r="Y180" s="94" t="str">
        <f>IF(Z180=0,"",IF(AW180="","Nenhuma",LEFT(AW180,LEN(AW180)-2)))</f>
        <v/>
      </c>
      <c r="Z180" s="96">
        <f>IF(COUNTA(B180:O180)&gt;0,1,0)</f>
        <v>0</v>
      </c>
      <c r="AA180" s="96">
        <f>IF(AND(Z180=1,K180&lt;&gt;""),IF(TRIM(K180)=TRIM(cfg_cancel),1,0),0)</f>
        <v>0</v>
      </c>
      <c r="AB180" s="96" t="str">
        <f>IF(AND(Z180=1,B180&lt;&gt;""),C180&amp;"|"&amp;D180&amp;"|"&amp;G180&amp;"|"&amp;TRIM(B180),"")</f>
        <v/>
      </c>
      <c r="AC180" s="96">
        <f>IF(AB180="",0,IF(SUMPRODUCT(--($AB$6:$AB$505=AB180))&gt;1,1,0))</f>
        <v>0</v>
      </c>
      <c r="AD180" s="96">
        <f>IF(Z180=0,0,IF(OR(AND(G180&lt;&gt;"",ISNA(MATCH(G180,'CAD_UNIDADES'!$C$6:$C$105,0))),AND(H180&lt;&gt;"",ISNA(MATCH(H180,cmp_transp,0))),AND(I180&lt;&gt;"",ISNA(MATCH(I180,cmp_dest,0))),AND(E180&lt;&gt;"",NOT(ISNUMBER(E180))),AND(F180&lt;&gt;"",NOT(ISNUMBER(F180))),AND(ISNUMBER(E180),ISNUMBER(F180),F180&lt;E180)),1,0))</f>
        <v>0</v>
      </c>
      <c r="AE180" s="96">
        <f>IF(Z180=0,0,IF(OR(B180="",C180="",E180="",G180="",H180="",I180="",N(W180)=0),1,0))</f>
        <v>0</v>
      </c>
      <c r="AF180" s="96">
        <f>IF(Z180=0,0,COUNTIFS('ITENS_MTR'!$S$6:$S$1005,A180,'ITENS_MTR'!$AI$6:$AI$1005,1))</f>
        <v>0</v>
      </c>
      <c r="AG180" s="96">
        <f>IF(Z180=0,0,COUNTIFS('ITENS_MTR'!$S$6:$S$1005,A180,'ITENS_MTR'!$AJ$6:$AJ$1005,1))</f>
        <v>0</v>
      </c>
      <c r="AH180" s="96">
        <f>IF(Z180=0,0,COUNTIFS('ITENS_MTR'!$S$6:$S$1005,A180,'ITENS_MTR'!$AM$6:$AM$1005,1))</f>
        <v>0</v>
      </c>
      <c r="AI180" s="96">
        <f>IF(Z180=0,0,COUNTIFS('ITENS_MTR'!$S$6:$S$1005,A180,'ITENS_MTR'!$AO$6:$AO$1005,1))</f>
        <v>0</v>
      </c>
      <c r="AJ180" s="96">
        <f>IF(Z180=0,0,COUNTIFS('ITENS_MTR'!$S$6:$S$1005,A180,'ITENS_MTR'!$AN$6:$AN$1005,1))</f>
        <v>0</v>
      </c>
      <c r="AK180" s="96">
        <f>IF(Z180=0,0,COUNTIFS('RECEBIMENTOS'!$B$6:$B$1005,A180,'RECEBIMENTOS'!$Y$6:$Y$1005,1))</f>
        <v>0</v>
      </c>
      <c r="AL180" s="96">
        <f>IF(Z180=0,0,COUNTIFS('VÍNCULOS_CDF'!$D$6:$D$1005,A180,'VÍNCULOS_CDF'!$Y$6:$Y$1005,1))</f>
        <v>0</v>
      </c>
      <c r="AM180" s="96">
        <f>IF(Z180=0,0,COUNTIFS('RECEBIMENTOS'!$B$6:$B$1005,A180,'RECEBIMENTOS'!$Q$6:$Q$1005,1))</f>
        <v>0</v>
      </c>
      <c r="AN180" s="96">
        <f>IF(AND(Z180=1,N(W180)&gt;0,AG180=N(W180)),1,0)</f>
        <v>0</v>
      </c>
      <c r="AO180" s="96">
        <f>IF(AND(Z180=1,N(W180)&gt;0,AI180=N(W180)),1,0)</f>
        <v>0</v>
      </c>
      <c r="AP180" s="97">
        <f>IF(Z180=0,0,_xlfn.MAXIFS('RECEBIMENTOS'!$E$6:$E$1005,'RECEBIMENTOS'!$B$6:$B$1005,A180))</f>
        <v>0</v>
      </c>
      <c r="AQ180" s="97" t="str">
        <f>IF(T180="","",IF(T180="RECEBIMENTO NÃO CONFIRMADO",IF(ISNUMBER(F180),F180,IF(ISNUMBER(E180),E180,"")),IF(OR(T180="CDF NÃO LOCALIZADO",T180="VÍNCULO INCOMPLETO",T180="CDF A CONFERIR"),IF(AP180&gt;0,AP180,IF(ISNUMBER(E180),E180,"")),IF(ISNUMBER(E180),E180,""))))</f>
        <v/>
      </c>
      <c r="AR180" s="96">
        <f>IF(NOT(ISNUMBER(U180)),0,IF(T180="RECEBIMENTO NÃO CONFIRMADO",IF(AND(ISNUMBER(cfg_rec),U180&gt;cfg_rec),1,0),IF(OR(T180="CDF NÃO LOCALIZADO",T180="VÍNCULO INCOMPLETO",T180="CDF A CONFERIR"),IF(AND(ISNUMBER(cfg_cdf),U180&gt;cfg_cdf),1,0),0)))</f>
        <v>0</v>
      </c>
      <c r="AS180" s="96" t="str">
        <f>IF(T180="","",IF(AR180=1,"Alta",IFERROR(INDEX(cfg_pp,MATCH(T180,cfg_pt,0))&amp;"","Média")))</f>
        <v/>
      </c>
      <c r="AT180" s="96" t="str">
        <f>IF(T180="","",IFERROR(INDEX(cfg_pv,MATCH(T180,cfg_pt,0))&amp;"",""))</f>
        <v/>
      </c>
      <c r="AU180" s="96" t="str">
        <f>IF(T180="","",IF(AS180="Alta",1,IF(AS180="Média",2,3))*1000000000+(999999-IF(ISNUMBER(U180),MIN(U180,999999),0))*1000+175)</f>
        <v/>
      </c>
      <c r="AV180" s="96">
        <f>IF(T180&lt;&gt;"",1,0)</f>
        <v>0</v>
      </c>
      <c r="AW180" s="96" t="str">
        <f>IF(Z180=0,"",IF(AA180=1,"Cancelamento informado; ","")&amp;IF(AE180=1,"Campos essenciais ou itens faltando; ","")&amp;IF(AC180=1,"Possível duplicidade do número; ","")&amp;IF(AD180=1,"Cadastro ou datas a revisar; ","")&amp;IF(AF180&gt;0,"Item de resíduo com dado a revisar; ","")&amp;IF(AH180&gt;0,"Diferença de quantidade a analisar; ","")&amp;IF(AK180&gt;0,"Recebimento com alerta; ","")&amp;IF(AL180&gt;0,"Vínculo de CDF com alerta; ","")&amp;IF(AND(AA180=0,AN180=0),"Recebimento não confirmado; ","")&amp;IF(AND(AA180=0,AN180=1,AO180=0),"CDF pendente ou a conferir; ",""))</f>
        <v/>
      </c>
      <c r="AX180" s="96">
        <f>IF(Z180=0,0,IF(AND(OR(f_ini="",AND(ISNUMBER(E180),E180&gt;=f_ini)),OR(f_fim="",AND(ISNUMBER(E180),E180&lt;=f_fim)),OR(f_un="",f_un="(Todas)",G180=f_un),OR(f_tr="",f_tr="(Todos)",H180=f_tr),OR(f_de="",f_de="(Todos)",I180=f_de),OR(f_sit="",f_sit="(Todas)",S180=f_sit)),1,0))</f>
        <v>0</v>
      </c>
      <c r="AY180" s="96">
        <f>IF(AX180=0,0,IF(OR(f_res="",f_res="(Todos)"),1,IF(COUNTIFS('ITENS_MTR'!$S$6:$S$1005,A180,'ITENS_MTR'!$C$6:$C$1005,f_res)&gt;0,1,0)))</f>
        <v>0</v>
      </c>
      <c r="AZ180" s="97" t="str">
        <f>IF(ISNUMBER(E180),DATE(YEAR(E180),MONTH(E180),1),"")</f>
        <v/>
      </c>
      <c r="BA180" s="96">
        <f>IF(Z180=0,0,IF(AND(OR(r_ini="",AND(ISNUMBER(E180),E180&gt;=r_ini)),OR(r_fim="",AND(ISNUMBER(E180),E180&lt;=r_fim)),OR(r_un="",r_un="(Todas)",G180=r_un),OR(r_de="",r_de="(Todos)",I180=r_de)),1,0))</f>
        <v>0</v>
      </c>
      <c r="BB180" s="96" t="str">
        <f>IF(BA180=1,COUNTIF($BA$6:BA180,1),"")</f>
        <v/>
      </c>
      <c r="BC180" s="96" t="str">
        <f>IF(AND(AU180&lt;&gt;"",OR(r_un="",r_un="(Todas)",G180=r_un),OR(r_de="",r_de="(Todos)",I180=r_de)),AU180,"")</f>
        <v/>
      </c>
      <c r="BD180" s="96" t="str">
        <f>IF(Z180=1,A180&amp;" | nº "&amp;IF(B180="","(sem número)",B180)&amp;" | "&amp;IF(G180="","(sem unidade)",G180),"")</f>
        <v/>
      </c>
      <c r="BE180" s="96" t="str">
        <f>IF(Z180=1,COUNTIF($Z$6:Z180,1),"")</f>
        <v/>
      </c>
      <c r="BF180" s="96" t="str">
        <f>IF(T180="","",IF(T180="RECEBIMENTO NÃO CONFIRMADO","Transp.: "&amp;H180&amp;" | Dest.: "&amp;I180,IF(OR(T180="CDF NÃO LOCALIZADO",T180="VÍNCULO INCOMPLETO",T180="CDF A CONFERIR"),"Dest.: "&amp;I180,"Gerador: "&amp;G180)))</f>
        <v/>
      </c>
    </row>
    <row r="181">
      <c r="A181" s="89" t="inlineStr">
        <is>
          <t>MTR-000176</t>
        </is>
      </c>
      <c r="B181" s="90" t="n"/>
      <c r="C181" s="91" t="n"/>
      <c r="D181" s="91" t="n"/>
      <c r="E181" s="92" t="n"/>
      <c r="F181" s="92" t="n"/>
      <c r="G181" s="91" t="n"/>
      <c r="H181" s="91" t="n"/>
      <c r="I181" s="91" t="n"/>
      <c r="J181" s="91" t="n"/>
      <c r="K181" s="91" t="n"/>
      <c r="L181" s="92" t="n"/>
      <c r="M181" s="91" t="n"/>
      <c r="N181" s="91" t="n"/>
      <c r="O181" s="91" t="n"/>
      <c r="P181" s="93" t="str">
        <f>IF(Z181=0,"",SUMIFS('ITENS_MTR'!$I$6:$I$1005,'ITENS_MTR'!$S$6:$S$1005,A181,'ITENS_MTR'!$Y$6:$Y$1005,1))</f>
        <v/>
      </c>
      <c r="Q181" s="93" t="str">
        <f>IF(Z181=0,"",SUMIFS('RECEBIMENTOS'!$H$6:$H$1005,'RECEBIMENTOS'!$B$6:$B$1005,A181,'RECEBIMENTOS'!$X$6:$X$1005,1))</f>
        <v/>
      </c>
      <c r="R181" s="93" t="str">
        <f>IF(Z181=0,"",SUMIFS('VÍNCULOS_CDF'!$H$6:$H$1005,'VÍNCULOS_CDF'!$D$6:$D$1005,A181,'VÍNCULOS_CDF'!$V$6:$V$1005,1))</f>
        <v/>
      </c>
      <c r="S181" s="94" t="str">
        <f>IF(Z181=0,"",IF(AA181=1,"Cancelado (informado)",IF(AE181=1,"Cadastro incompleto",IF(OR(AC181=1,AD181=1,AF181&gt;0,AH181&gt;0,AK181&gt;0,AL181&gt;0),"Informação a revisar",IF(AN181=0,"Aguardando recebimento",IF(N(R181)=0,"Aguardando CDF",IF(AJ181&lt;N(W181),"Vínculo de CDF parcial",IF(AO181=0,"CDF localizado, a conferir","Documentação conferida"))))))))</f>
        <v/>
      </c>
      <c r="T181" s="94" t="str">
        <f>IF(Z181=0,"",IF(S181="Cadastro incompleto","MTR INCOMPLETO",IF(S181="Informação a revisar",IF(AND(AH181&gt;0,AC181=0,AD181=0,AF181=0,AK181=0,AL181=0),"QUANTIDADE A REVISAR","IDENTIFICAÇÃO A REVISAR"),IF(S181="Aguardando recebimento","RECEBIMENTO NÃO CONFIRMADO",IF(S181="Aguardando CDF","CDF NÃO LOCALIZADO",IF(S181="Vínculo de CDF parcial","VÍNCULO INCOMPLETO",IF(S181="CDF localizado, a conferir","CDF A CONFERIR","")))))))</f>
        <v/>
      </c>
      <c r="U181" s="95" t="str">
        <f>IF(T181="","",IF(AQ181="","Não calculável",IF(AQ181&gt;TODAY(),"Data futura",TODAY()-AQ181)))</f>
        <v/>
      </c>
      <c r="V181" s="93" t="str">
        <f>IF(Z181=0,"",SUMIFS('RECEBIMENTOS'!$H$6:$H$1005,'RECEBIMENTOS'!$B$6:$B$1005,A181,'RECEBIMENTOS'!$Z$6:$Z$1005,1))</f>
        <v/>
      </c>
      <c r="W181" s="95" t="str">
        <f>IF(Z181=0,"",COUNTIFS('ITENS_MTR'!$S$6:$S$1005,A181,'ITENS_MTR'!$R$6:$R$1005,1))</f>
        <v/>
      </c>
      <c r="X181" s="94" t="str">
        <f>IF(AC181=1,"POSSÍVEL DUPLICIDADE","")</f>
        <v/>
      </c>
      <c r="Y181" s="94" t="str">
        <f>IF(Z181=0,"",IF(AW181="","Nenhuma",LEFT(AW181,LEN(AW181)-2)))</f>
        <v/>
      </c>
      <c r="Z181" s="96">
        <f>IF(COUNTA(B181:O181)&gt;0,1,0)</f>
        <v>0</v>
      </c>
      <c r="AA181" s="96">
        <f>IF(AND(Z181=1,K181&lt;&gt;""),IF(TRIM(K181)=TRIM(cfg_cancel),1,0),0)</f>
        <v>0</v>
      </c>
      <c r="AB181" s="96" t="str">
        <f>IF(AND(Z181=1,B181&lt;&gt;""),C181&amp;"|"&amp;D181&amp;"|"&amp;G181&amp;"|"&amp;TRIM(B181),"")</f>
        <v/>
      </c>
      <c r="AC181" s="96">
        <f>IF(AB181="",0,IF(SUMPRODUCT(--($AB$6:$AB$505=AB181))&gt;1,1,0))</f>
        <v>0</v>
      </c>
      <c r="AD181" s="96">
        <f>IF(Z181=0,0,IF(OR(AND(G181&lt;&gt;"",ISNA(MATCH(G181,'CAD_UNIDADES'!$C$6:$C$105,0))),AND(H181&lt;&gt;"",ISNA(MATCH(H181,cmp_transp,0))),AND(I181&lt;&gt;"",ISNA(MATCH(I181,cmp_dest,0))),AND(E181&lt;&gt;"",NOT(ISNUMBER(E181))),AND(F181&lt;&gt;"",NOT(ISNUMBER(F181))),AND(ISNUMBER(E181),ISNUMBER(F181),F181&lt;E181)),1,0))</f>
        <v>0</v>
      </c>
      <c r="AE181" s="96">
        <f>IF(Z181=0,0,IF(OR(B181="",C181="",E181="",G181="",H181="",I181="",N(W181)=0),1,0))</f>
        <v>0</v>
      </c>
      <c r="AF181" s="96">
        <f>IF(Z181=0,0,COUNTIFS('ITENS_MTR'!$S$6:$S$1005,A181,'ITENS_MTR'!$AI$6:$AI$1005,1))</f>
        <v>0</v>
      </c>
      <c r="AG181" s="96">
        <f>IF(Z181=0,0,COUNTIFS('ITENS_MTR'!$S$6:$S$1005,A181,'ITENS_MTR'!$AJ$6:$AJ$1005,1))</f>
        <v>0</v>
      </c>
      <c r="AH181" s="96">
        <f>IF(Z181=0,0,COUNTIFS('ITENS_MTR'!$S$6:$S$1005,A181,'ITENS_MTR'!$AM$6:$AM$1005,1))</f>
        <v>0</v>
      </c>
      <c r="AI181" s="96">
        <f>IF(Z181=0,0,COUNTIFS('ITENS_MTR'!$S$6:$S$1005,A181,'ITENS_MTR'!$AO$6:$AO$1005,1))</f>
        <v>0</v>
      </c>
      <c r="AJ181" s="96">
        <f>IF(Z181=0,0,COUNTIFS('ITENS_MTR'!$S$6:$S$1005,A181,'ITENS_MTR'!$AN$6:$AN$1005,1))</f>
        <v>0</v>
      </c>
      <c r="AK181" s="96">
        <f>IF(Z181=0,0,COUNTIFS('RECEBIMENTOS'!$B$6:$B$1005,A181,'RECEBIMENTOS'!$Y$6:$Y$1005,1))</f>
        <v>0</v>
      </c>
      <c r="AL181" s="96">
        <f>IF(Z181=0,0,COUNTIFS('VÍNCULOS_CDF'!$D$6:$D$1005,A181,'VÍNCULOS_CDF'!$Y$6:$Y$1005,1))</f>
        <v>0</v>
      </c>
      <c r="AM181" s="96">
        <f>IF(Z181=0,0,COUNTIFS('RECEBIMENTOS'!$B$6:$B$1005,A181,'RECEBIMENTOS'!$Q$6:$Q$1005,1))</f>
        <v>0</v>
      </c>
      <c r="AN181" s="96">
        <f>IF(AND(Z181=1,N(W181)&gt;0,AG181=N(W181)),1,0)</f>
        <v>0</v>
      </c>
      <c r="AO181" s="96">
        <f>IF(AND(Z181=1,N(W181)&gt;0,AI181=N(W181)),1,0)</f>
        <v>0</v>
      </c>
      <c r="AP181" s="97">
        <f>IF(Z181=0,0,_xlfn.MAXIFS('RECEBIMENTOS'!$E$6:$E$1005,'RECEBIMENTOS'!$B$6:$B$1005,A181))</f>
        <v>0</v>
      </c>
      <c r="AQ181" s="97" t="str">
        <f>IF(T181="","",IF(T181="RECEBIMENTO NÃO CONFIRMADO",IF(ISNUMBER(F181),F181,IF(ISNUMBER(E181),E181,"")),IF(OR(T181="CDF NÃO LOCALIZADO",T181="VÍNCULO INCOMPLETO",T181="CDF A CONFERIR"),IF(AP181&gt;0,AP181,IF(ISNUMBER(E181),E181,"")),IF(ISNUMBER(E181),E181,""))))</f>
        <v/>
      </c>
      <c r="AR181" s="96">
        <f>IF(NOT(ISNUMBER(U181)),0,IF(T181="RECEBIMENTO NÃO CONFIRMADO",IF(AND(ISNUMBER(cfg_rec),U181&gt;cfg_rec),1,0),IF(OR(T181="CDF NÃO LOCALIZADO",T181="VÍNCULO INCOMPLETO",T181="CDF A CONFERIR"),IF(AND(ISNUMBER(cfg_cdf),U181&gt;cfg_cdf),1,0),0)))</f>
        <v>0</v>
      </c>
      <c r="AS181" s="96" t="str">
        <f>IF(T181="","",IF(AR181=1,"Alta",IFERROR(INDEX(cfg_pp,MATCH(T181,cfg_pt,0))&amp;"","Média")))</f>
        <v/>
      </c>
      <c r="AT181" s="96" t="str">
        <f>IF(T181="","",IFERROR(INDEX(cfg_pv,MATCH(T181,cfg_pt,0))&amp;"",""))</f>
        <v/>
      </c>
      <c r="AU181" s="96" t="str">
        <f>IF(T181="","",IF(AS181="Alta",1,IF(AS181="Média",2,3))*1000000000+(999999-IF(ISNUMBER(U181),MIN(U181,999999),0))*1000+176)</f>
        <v/>
      </c>
      <c r="AV181" s="96">
        <f>IF(T181&lt;&gt;"",1,0)</f>
        <v>0</v>
      </c>
      <c r="AW181" s="96" t="str">
        <f>IF(Z181=0,"",IF(AA181=1,"Cancelamento informado; ","")&amp;IF(AE181=1,"Campos essenciais ou itens faltando; ","")&amp;IF(AC181=1,"Possível duplicidade do número; ","")&amp;IF(AD181=1,"Cadastro ou datas a revisar; ","")&amp;IF(AF181&gt;0,"Item de resíduo com dado a revisar; ","")&amp;IF(AH181&gt;0,"Diferença de quantidade a analisar; ","")&amp;IF(AK181&gt;0,"Recebimento com alerta; ","")&amp;IF(AL181&gt;0,"Vínculo de CDF com alerta; ","")&amp;IF(AND(AA181=0,AN181=0),"Recebimento não confirmado; ","")&amp;IF(AND(AA181=0,AN181=1,AO181=0),"CDF pendente ou a conferir; ",""))</f>
        <v/>
      </c>
      <c r="AX181" s="96">
        <f>IF(Z181=0,0,IF(AND(OR(f_ini="",AND(ISNUMBER(E181),E181&gt;=f_ini)),OR(f_fim="",AND(ISNUMBER(E181),E181&lt;=f_fim)),OR(f_un="",f_un="(Todas)",G181=f_un),OR(f_tr="",f_tr="(Todos)",H181=f_tr),OR(f_de="",f_de="(Todos)",I181=f_de),OR(f_sit="",f_sit="(Todas)",S181=f_sit)),1,0))</f>
        <v>0</v>
      </c>
      <c r="AY181" s="96">
        <f>IF(AX181=0,0,IF(OR(f_res="",f_res="(Todos)"),1,IF(COUNTIFS('ITENS_MTR'!$S$6:$S$1005,A181,'ITENS_MTR'!$C$6:$C$1005,f_res)&gt;0,1,0)))</f>
        <v>0</v>
      </c>
      <c r="AZ181" s="97" t="str">
        <f>IF(ISNUMBER(E181),DATE(YEAR(E181),MONTH(E181),1),"")</f>
        <v/>
      </c>
      <c r="BA181" s="96">
        <f>IF(Z181=0,0,IF(AND(OR(r_ini="",AND(ISNUMBER(E181),E181&gt;=r_ini)),OR(r_fim="",AND(ISNUMBER(E181),E181&lt;=r_fim)),OR(r_un="",r_un="(Todas)",G181=r_un),OR(r_de="",r_de="(Todos)",I181=r_de)),1,0))</f>
        <v>0</v>
      </c>
      <c r="BB181" s="96" t="str">
        <f>IF(BA181=1,COUNTIF($BA$6:BA181,1),"")</f>
        <v/>
      </c>
      <c r="BC181" s="96" t="str">
        <f>IF(AND(AU181&lt;&gt;"",OR(r_un="",r_un="(Todas)",G181=r_un),OR(r_de="",r_de="(Todos)",I181=r_de)),AU181,"")</f>
        <v/>
      </c>
      <c r="BD181" s="96" t="str">
        <f>IF(Z181=1,A181&amp;" | nº "&amp;IF(B181="","(sem número)",B181)&amp;" | "&amp;IF(G181="","(sem unidade)",G181),"")</f>
        <v/>
      </c>
      <c r="BE181" s="96" t="str">
        <f>IF(Z181=1,COUNTIF($Z$6:Z181,1),"")</f>
        <v/>
      </c>
      <c r="BF181" s="96" t="str">
        <f>IF(T181="","",IF(T181="RECEBIMENTO NÃO CONFIRMADO","Transp.: "&amp;H181&amp;" | Dest.: "&amp;I181,IF(OR(T181="CDF NÃO LOCALIZADO",T181="VÍNCULO INCOMPLETO",T181="CDF A CONFERIR"),"Dest.: "&amp;I181,"Gerador: "&amp;G181)))</f>
        <v/>
      </c>
    </row>
    <row r="182">
      <c r="A182" s="89" t="inlineStr">
        <is>
          <t>MTR-000177</t>
        </is>
      </c>
      <c r="B182" s="90" t="n"/>
      <c r="C182" s="91" t="n"/>
      <c r="D182" s="91" t="n"/>
      <c r="E182" s="92" t="n"/>
      <c r="F182" s="92" t="n"/>
      <c r="G182" s="91" t="n"/>
      <c r="H182" s="91" t="n"/>
      <c r="I182" s="91" t="n"/>
      <c r="J182" s="91" t="n"/>
      <c r="K182" s="91" t="n"/>
      <c r="L182" s="92" t="n"/>
      <c r="M182" s="91" t="n"/>
      <c r="N182" s="91" t="n"/>
      <c r="O182" s="91" t="n"/>
      <c r="P182" s="93" t="str">
        <f>IF(Z182=0,"",SUMIFS('ITENS_MTR'!$I$6:$I$1005,'ITENS_MTR'!$S$6:$S$1005,A182,'ITENS_MTR'!$Y$6:$Y$1005,1))</f>
        <v/>
      </c>
      <c r="Q182" s="93" t="str">
        <f>IF(Z182=0,"",SUMIFS('RECEBIMENTOS'!$H$6:$H$1005,'RECEBIMENTOS'!$B$6:$B$1005,A182,'RECEBIMENTOS'!$X$6:$X$1005,1))</f>
        <v/>
      </c>
      <c r="R182" s="93" t="str">
        <f>IF(Z182=0,"",SUMIFS('VÍNCULOS_CDF'!$H$6:$H$1005,'VÍNCULOS_CDF'!$D$6:$D$1005,A182,'VÍNCULOS_CDF'!$V$6:$V$1005,1))</f>
        <v/>
      </c>
      <c r="S182" s="94" t="str">
        <f>IF(Z182=0,"",IF(AA182=1,"Cancelado (informado)",IF(AE182=1,"Cadastro incompleto",IF(OR(AC182=1,AD182=1,AF182&gt;0,AH182&gt;0,AK182&gt;0,AL182&gt;0),"Informação a revisar",IF(AN182=0,"Aguardando recebimento",IF(N(R182)=0,"Aguardando CDF",IF(AJ182&lt;N(W182),"Vínculo de CDF parcial",IF(AO182=0,"CDF localizado, a conferir","Documentação conferida"))))))))</f>
        <v/>
      </c>
      <c r="T182" s="94" t="str">
        <f>IF(Z182=0,"",IF(S182="Cadastro incompleto","MTR INCOMPLETO",IF(S182="Informação a revisar",IF(AND(AH182&gt;0,AC182=0,AD182=0,AF182=0,AK182=0,AL182=0),"QUANTIDADE A REVISAR","IDENTIFICAÇÃO A REVISAR"),IF(S182="Aguardando recebimento","RECEBIMENTO NÃO CONFIRMADO",IF(S182="Aguardando CDF","CDF NÃO LOCALIZADO",IF(S182="Vínculo de CDF parcial","VÍNCULO INCOMPLETO",IF(S182="CDF localizado, a conferir","CDF A CONFERIR","")))))))</f>
        <v/>
      </c>
      <c r="U182" s="95" t="str">
        <f>IF(T182="","",IF(AQ182="","Não calculável",IF(AQ182&gt;TODAY(),"Data futura",TODAY()-AQ182)))</f>
        <v/>
      </c>
      <c r="V182" s="93" t="str">
        <f>IF(Z182=0,"",SUMIFS('RECEBIMENTOS'!$H$6:$H$1005,'RECEBIMENTOS'!$B$6:$B$1005,A182,'RECEBIMENTOS'!$Z$6:$Z$1005,1))</f>
        <v/>
      </c>
      <c r="W182" s="95" t="str">
        <f>IF(Z182=0,"",COUNTIFS('ITENS_MTR'!$S$6:$S$1005,A182,'ITENS_MTR'!$R$6:$R$1005,1))</f>
        <v/>
      </c>
      <c r="X182" s="94" t="str">
        <f>IF(AC182=1,"POSSÍVEL DUPLICIDADE","")</f>
        <v/>
      </c>
      <c r="Y182" s="94" t="str">
        <f>IF(Z182=0,"",IF(AW182="","Nenhuma",LEFT(AW182,LEN(AW182)-2)))</f>
        <v/>
      </c>
      <c r="Z182" s="96">
        <f>IF(COUNTA(B182:O182)&gt;0,1,0)</f>
        <v>0</v>
      </c>
      <c r="AA182" s="96">
        <f>IF(AND(Z182=1,K182&lt;&gt;""),IF(TRIM(K182)=TRIM(cfg_cancel),1,0),0)</f>
        <v>0</v>
      </c>
      <c r="AB182" s="96" t="str">
        <f>IF(AND(Z182=1,B182&lt;&gt;""),C182&amp;"|"&amp;D182&amp;"|"&amp;G182&amp;"|"&amp;TRIM(B182),"")</f>
        <v/>
      </c>
      <c r="AC182" s="96">
        <f>IF(AB182="",0,IF(SUMPRODUCT(--($AB$6:$AB$505=AB182))&gt;1,1,0))</f>
        <v>0</v>
      </c>
      <c r="AD182" s="96">
        <f>IF(Z182=0,0,IF(OR(AND(G182&lt;&gt;"",ISNA(MATCH(G182,'CAD_UNIDADES'!$C$6:$C$105,0))),AND(H182&lt;&gt;"",ISNA(MATCH(H182,cmp_transp,0))),AND(I182&lt;&gt;"",ISNA(MATCH(I182,cmp_dest,0))),AND(E182&lt;&gt;"",NOT(ISNUMBER(E182))),AND(F182&lt;&gt;"",NOT(ISNUMBER(F182))),AND(ISNUMBER(E182),ISNUMBER(F182),F182&lt;E182)),1,0))</f>
        <v>0</v>
      </c>
      <c r="AE182" s="96">
        <f>IF(Z182=0,0,IF(OR(B182="",C182="",E182="",G182="",H182="",I182="",N(W182)=0),1,0))</f>
        <v>0</v>
      </c>
      <c r="AF182" s="96">
        <f>IF(Z182=0,0,COUNTIFS('ITENS_MTR'!$S$6:$S$1005,A182,'ITENS_MTR'!$AI$6:$AI$1005,1))</f>
        <v>0</v>
      </c>
      <c r="AG182" s="96">
        <f>IF(Z182=0,0,COUNTIFS('ITENS_MTR'!$S$6:$S$1005,A182,'ITENS_MTR'!$AJ$6:$AJ$1005,1))</f>
        <v>0</v>
      </c>
      <c r="AH182" s="96">
        <f>IF(Z182=0,0,COUNTIFS('ITENS_MTR'!$S$6:$S$1005,A182,'ITENS_MTR'!$AM$6:$AM$1005,1))</f>
        <v>0</v>
      </c>
      <c r="AI182" s="96">
        <f>IF(Z182=0,0,COUNTIFS('ITENS_MTR'!$S$6:$S$1005,A182,'ITENS_MTR'!$AO$6:$AO$1005,1))</f>
        <v>0</v>
      </c>
      <c r="AJ182" s="96">
        <f>IF(Z182=0,0,COUNTIFS('ITENS_MTR'!$S$6:$S$1005,A182,'ITENS_MTR'!$AN$6:$AN$1005,1))</f>
        <v>0</v>
      </c>
      <c r="AK182" s="96">
        <f>IF(Z182=0,0,COUNTIFS('RECEBIMENTOS'!$B$6:$B$1005,A182,'RECEBIMENTOS'!$Y$6:$Y$1005,1))</f>
        <v>0</v>
      </c>
      <c r="AL182" s="96">
        <f>IF(Z182=0,0,COUNTIFS('VÍNCULOS_CDF'!$D$6:$D$1005,A182,'VÍNCULOS_CDF'!$Y$6:$Y$1005,1))</f>
        <v>0</v>
      </c>
      <c r="AM182" s="96">
        <f>IF(Z182=0,0,COUNTIFS('RECEBIMENTOS'!$B$6:$B$1005,A182,'RECEBIMENTOS'!$Q$6:$Q$1005,1))</f>
        <v>0</v>
      </c>
      <c r="AN182" s="96">
        <f>IF(AND(Z182=1,N(W182)&gt;0,AG182=N(W182)),1,0)</f>
        <v>0</v>
      </c>
      <c r="AO182" s="96">
        <f>IF(AND(Z182=1,N(W182)&gt;0,AI182=N(W182)),1,0)</f>
        <v>0</v>
      </c>
      <c r="AP182" s="97">
        <f>IF(Z182=0,0,_xlfn.MAXIFS('RECEBIMENTOS'!$E$6:$E$1005,'RECEBIMENTOS'!$B$6:$B$1005,A182))</f>
        <v>0</v>
      </c>
      <c r="AQ182" s="97" t="str">
        <f>IF(T182="","",IF(T182="RECEBIMENTO NÃO CONFIRMADO",IF(ISNUMBER(F182),F182,IF(ISNUMBER(E182),E182,"")),IF(OR(T182="CDF NÃO LOCALIZADO",T182="VÍNCULO INCOMPLETO",T182="CDF A CONFERIR"),IF(AP182&gt;0,AP182,IF(ISNUMBER(E182),E182,"")),IF(ISNUMBER(E182),E182,""))))</f>
        <v/>
      </c>
      <c r="AR182" s="96">
        <f>IF(NOT(ISNUMBER(U182)),0,IF(T182="RECEBIMENTO NÃO CONFIRMADO",IF(AND(ISNUMBER(cfg_rec),U182&gt;cfg_rec),1,0),IF(OR(T182="CDF NÃO LOCALIZADO",T182="VÍNCULO INCOMPLETO",T182="CDF A CONFERIR"),IF(AND(ISNUMBER(cfg_cdf),U182&gt;cfg_cdf),1,0),0)))</f>
        <v>0</v>
      </c>
      <c r="AS182" s="96" t="str">
        <f>IF(T182="","",IF(AR182=1,"Alta",IFERROR(INDEX(cfg_pp,MATCH(T182,cfg_pt,0))&amp;"","Média")))</f>
        <v/>
      </c>
      <c r="AT182" s="96" t="str">
        <f>IF(T182="","",IFERROR(INDEX(cfg_pv,MATCH(T182,cfg_pt,0))&amp;"",""))</f>
        <v/>
      </c>
      <c r="AU182" s="96" t="str">
        <f>IF(T182="","",IF(AS182="Alta",1,IF(AS182="Média",2,3))*1000000000+(999999-IF(ISNUMBER(U182),MIN(U182,999999),0))*1000+177)</f>
        <v/>
      </c>
      <c r="AV182" s="96">
        <f>IF(T182&lt;&gt;"",1,0)</f>
        <v>0</v>
      </c>
      <c r="AW182" s="96" t="str">
        <f>IF(Z182=0,"",IF(AA182=1,"Cancelamento informado; ","")&amp;IF(AE182=1,"Campos essenciais ou itens faltando; ","")&amp;IF(AC182=1,"Possível duplicidade do número; ","")&amp;IF(AD182=1,"Cadastro ou datas a revisar; ","")&amp;IF(AF182&gt;0,"Item de resíduo com dado a revisar; ","")&amp;IF(AH182&gt;0,"Diferença de quantidade a analisar; ","")&amp;IF(AK182&gt;0,"Recebimento com alerta; ","")&amp;IF(AL182&gt;0,"Vínculo de CDF com alerta; ","")&amp;IF(AND(AA182=0,AN182=0),"Recebimento não confirmado; ","")&amp;IF(AND(AA182=0,AN182=1,AO182=0),"CDF pendente ou a conferir; ",""))</f>
        <v/>
      </c>
      <c r="AX182" s="96">
        <f>IF(Z182=0,0,IF(AND(OR(f_ini="",AND(ISNUMBER(E182),E182&gt;=f_ini)),OR(f_fim="",AND(ISNUMBER(E182),E182&lt;=f_fim)),OR(f_un="",f_un="(Todas)",G182=f_un),OR(f_tr="",f_tr="(Todos)",H182=f_tr),OR(f_de="",f_de="(Todos)",I182=f_de),OR(f_sit="",f_sit="(Todas)",S182=f_sit)),1,0))</f>
        <v>0</v>
      </c>
      <c r="AY182" s="96">
        <f>IF(AX182=0,0,IF(OR(f_res="",f_res="(Todos)"),1,IF(COUNTIFS('ITENS_MTR'!$S$6:$S$1005,A182,'ITENS_MTR'!$C$6:$C$1005,f_res)&gt;0,1,0)))</f>
        <v>0</v>
      </c>
      <c r="AZ182" s="97" t="str">
        <f>IF(ISNUMBER(E182),DATE(YEAR(E182),MONTH(E182),1),"")</f>
        <v/>
      </c>
      <c r="BA182" s="96">
        <f>IF(Z182=0,0,IF(AND(OR(r_ini="",AND(ISNUMBER(E182),E182&gt;=r_ini)),OR(r_fim="",AND(ISNUMBER(E182),E182&lt;=r_fim)),OR(r_un="",r_un="(Todas)",G182=r_un),OR(r_de="",r_de="(Todos)",I182=r_de)),1,0))</f>
        <v>0</v>
      </c>
      <c r="BB182" s="96" t="str">
        <f>IF(BA182=1,COUNTIF($BA$6:BA182,1),"")</f>
        <v/>
      </c>
      <c r="BC182" s="96" t="str">
        <f>IF(AND(AU182&lt;&gt;"",OR(r_un="",r_un="(Todas)",G182=r_un),OR(r_de="",r_de="(Todos)",I182=r_de)),AU182,"")</f>
        <v/>
      </c>
      <c r="BD182" s="96" t="str">
        <f>IF(Z182=1,A182&amp;" | nº "&amp;IF(B182="","(sem número)",B182)&amp;" | "&amp;IF(G182="","(sem unidade)",G182),"")</f>
        <v/>
      </c>
      <c r="BE182" s="96" t="str">
        <f>IF(Z182=1,COUNTIF($Z$6:Z182,1),"")</f>
        <v/>
      </c>
      <c r="BF182" s="96" t="str">
        <f>IF(T182="","",IF(T182="RECEBIMENTO NÃO CONFIRMADO","Transp.: "&amp;H182&amp;" | Dest.: "&amp;I182,IF(OR(T182="CDF NÃO LOCALIZADO",T182="VÍNCULO INCOMPLETO",T182="CDF A CONFERIR"),"Dest.: "&amp;I182,"Gerador: "&amp;G182)))</f>
        <v/>
      </c>
    </row>
    <row r="183">
      <c r="A183" s="89" t="inlineStr">
        <is>
          <t>MTR-000178</t>
        </is>
      </c>
      <c r="B183" s="90" t="n"/>
      <c r="C183" s="91" t="n"/>
      <c r="D183" s="91" t="n"/>
      <c r="E183" s="92" t="n"/>
      <c r="F183" s="92" t="n"/>
      <c r="G183" s="91" t="n"/>
      <c r="H183" s="91" t="n"/>
      <c r="I183" s="91" t="n"/>
      <c r="J183" s="91" t="n"/>
      <c r="K183" s="91" t="n"/>
      <c r="L183" s="92" t="n"/>
      <c r="M183" s="91" t="n"/>
      <c r="N183" s="91" t="n"/>
      <c r="O183" s="91" t="n"/>
      <c r="P183" s="93" t="str">
        <f>IF(Z183=0,"",SUMIFS('ITENS_MTR'!$I$6:$I$1005,'ITENS_MTR'!$S$6:$S$1005,A183,'ITENS_MTR'!$Y$6:$Y$1005,1))</f>
        <v/>
      </c>
      <c r="Q183" s="93" t="str">
        <f>IF(Z183=0,"",SUMIFS('RECEBIMENTOS'!$H$6:$H$1005,'RECEBIMENTOS'!$B$6:$B$1005,A183,'RECEBIMENTOS'!$X$6:$X$1005,1))</f>
        <v/>
      </c>
      <c r="R183" s="93" t="str">
        <f>IF(Z183=0,"",SUMIFS('VÍNCULOS_CDF'!$H$6:$H$1005,'VÍNCULOS_CDF'!$D$6:$D$1005,A183,'VÍNCULOS_CDF'!$V$6:$V$1005,1))</f>
        <v/>
      </c>
      <c r="S183" s="94" t="str">
        <f>IF(Z183=0,"",IF(AA183=1,"Cancelado (informado)",IF(AE183=1,"Cadastro incompleto",IF(OR(AC183=1,AD183=1,AF183&gt;0,AH183&gt;0,AK183&gt;0,AL183&gt;0),"Informação a revisar",IF(AN183=0,"Aguardando recebimento",IF(N(R183)=0,"Aguardando CDF",IF(AJ183&lt;N(W183),"Vínculo de CDF parcial",IF(AO183=0,"CDF localizado, a conferir","Documentação conferida"))))))))</f>
        <v/>
      </c>
      <c r="T183" s="94" t="str">
        <f>IF(Z183=0,"",IF(S183="Cadastro incompleto","MTR INCOMPLETO",IF(S183="Informação a revisar",IF(AND(AH183&gt;0,AC183=0,AD183=0,AF183=0,AK183=0,AL183=0),"QUANTIDADE A REVISAR","IDENTIFICAÇÃO A REVISAR"),IF(S183="Aguardando recebimento","RECEBIMENTO NÃO CONFIRMADO",IF(S183="Aguardando CDF","CDF NÃO LOCALIZADO",IF(S183="Vínculo de CDF parcial","VÍNCULO INCOMPLETO",IF(S183="CDF localizado, a conferir","CDF A CONFERIR","")))))))</f>
        <v/>
      </c>
      <c r="U183" s="95" t="str">
        <f>IF(T183="","",IF(AQ183="","Não calculável",IF(AQ183&gt;TODAY(),"Data futura",TODAY()-AQ183)))</f>
        <v/>
      </c>
      <c r="V183" s="93" t="str">
        <f>IF(Z183=0,"",SUMIFS('RECEBIMENTOS'!$H$6:$H$1005,'RECEBIMENTOS'!$B$6:$B$1005,A183,'RECEBIMENTOS'!$Z$6:$Z$1005,1))</f>
        <v/>
      </c>
      <c r="W183" s="95" t="str">
        <f>IF(Z183=0,"",COUNTIFS('ITENS_MTR'!$S$6:$S$1005,A183,'ITENS_MTR'!$R$6:$R$1005,1))</f>
        <v/>
      </c>
      <c r="X183" s="94" t="str">
        <f>IF(AC183=1,"POSSÍVEL DUPLICIDADE","")</f>
        <v/>
      </c>
      <c r="Y183" s="94" t="str">
        <f>IF(Z183=0,"",IF(AW183="","Nenhuma",LEFT(AW183,LEN(AW183)-2)))</f>
        <v/>
      </c>
      <c r="Z183" s="96">
        <f>IF(COUNTA(B183:O183)&gt;0,1,0)</f>
        <v>0</v>
      </c>
      <c r="AA183" s="96">
        <f>IF(AND(Z183=1,K183&lt;&gt;""),IF(TRIM(K183)=TRIM(cfg_cancel),1,0),0)</f>
        <v>0</v>
      </c>
      <c r="AB183" s="96" t="str">
        <f>IF(AND(Z183=1,B183&lt;&gt;""),C183&amp;"|"&amp;D183&amp;"|"&amp;G183&amp;"|"&amp;TRIM(B183),"")</f>
        <v/>
      </c>
      <c r="AC183" s="96">
        <f>IF(AB183="",0,IF(SUMPRODUCT(--($AB$6:$AB$505=AB183))&gt;1,1,0))</f>
        <v>0</v>
      </c>
      <c r="AD183" s="96">
        <f>IF(Z183=0,0,IF(OR(AND(G183&lt;&gt;"",ISNA(MATCH(G183,'CAD_UNIDADES'!$C$6:$C$105,0))),AND(H183&lt;&gt;"",ISNA(MATCH(H183,cmp_transp,0))),AND(I183&lt;&gt;"",ISNA(MATCH(I183,cmp_dest,0))),AND(E183&lt;&gt;"",NOT(ISNUMBER(E183))),AND(F183&lt;&gt;"",NOT(ISNUMBER(F183))),AND(ISNUMBER(E183),ISNUMBER(F183),F183&lt;E183)),1,0))</f>
        <v>0</v>
      </c>
      <c r="AE183" s="96">
        <f>IF(Z183=0,0,IF(OR(B183="",C183="",E183="",G183="",H183="",I183="",N(W183)=0),1,0))</f>
        <v>0</v>
      </c>
      <c r="AF183" s="96">
        <f>IF(Z183=0,0,COUNTIFS('ITENS_MTR'!$S$6:$S$1005,A183,'ITENS_MTR'!$AI$6:$AI$1005,1))</f>
        <v>0</v>
      </c>
      <c r="AG183" s="96">
        <f>IF(Z183=0,0,COUNTIFS('ITENS_MTR'!$S$6:$S$1005,A183,'ITENS_MTR'!$AJ$6:$AJ$1005,1))</f>
        <v>0</v>
      </c>
      <c r="AH183" s="96">
        <f>IF(Z183=0,0,COUNTIFS('ITENS_MTR'!$S$6:$S$1005,A183,'ITENS_MTR'!$AM$6:$AM$1005,1))</f>
        <v>0</v>
      </c>
      <c r="AI183" s="96">
        <f>IF(Z183=0,0,COUNTIFS('ITENS_MTR'!$S$6:$S$1005,A183,'ITENS_MTR'!$AO$6:$AO$1005,1))</f>
        <v>0</v>
      </c>
      <c r="AJ183" s="96">
        <f>IF(Z183=0,0,COUNTIFS('ITENS_MTR'!$S$6:$S$1005,A183,'ITENS_MTR'!$AN$6:$AN$1005,1))</f>
        <v>0</v>
      </c>
      <c r="AK183" s="96">
        <f>IF(Z183=0,0,COUNTIFS('RECEBIMENTOS'!$B$6:$B$1005,A183,'RECEBIMENTOS'!$Y$6:$Y$1005,1))</f>
        <v>0</v>
      </c>
      <c r="AL183" s="96">
        <f>IF(Z183=0,0,COUNTIFS('VÍNCULOS_CDF'!$D$6:$D$1005,A183,'VÍNCULOS_CDF'!$Y$6:$Y$1005,1))</f>
        <v>0</v>
      </c>
      <c r="AM183" s="96">
        <f>IF(Z183=0,0,COUNTIFS('RECEBIMENTOS'!$B$6:$B$1005,A183,'RECEBIMENTOS'!$Q$6:$Q$1005,1))</f>
        <v>0</v>
      </c>
      <c r="AN183" s="96">
        <f>IF(AND(Z183=1,N(W183)&gt;0,AG183=N(W183)),1,0)</f>
        <v>0</v>
      </c>
      <c r="AO183" s="96">
        <f>IF(AND(Z183=1,N(W183)&gt;0,AI183=N(W183)),1,0)</f>
        <v>0</v>
      </c>
      <c r="AP183" s="97">
        <f>IF(Z183=0,0,_xlfn.MAXIFS('RECEBIMENTOS'!$E$6:$E$1005,'RECEBIMENTOS'!$B$6:$B$1005,A183))</f>
        <v>0</v>
      </c>
      <c r="AQ183" s="97" t="str">
        <f>IF(T183="","",IF(T183="RECEBIMENTO NÃO CONFIRMADO",IF(ISNUMBER(F183),F183,IF(ISNUMBER(E183),E183,"")),IF(OR(T183="CDF NÃO LOCALIZADO",T183="VÍNCULO INCOMPLETO",T183="CDF A CONFERIR"),IF(AP183&gt;0,AP183,IF(ISNUMBER(E183),E183,"")),IF(ISNUMBER(E183),E183,""))))</f>
        <v/>
      </c>
      <c r="AR183" s="96">
        <f>IF(NOT(ISNUMBER(U183)),0,IF(T183="RECEBIMENTO NÃO CONFIRMADO",IF(AND(ISNUMBER(cfg_rec),U183&gt;cfg_rec),1,0),IF(OR(T183="CDF NÃO LOCALIZADO",T183="VÍNCULO INCOMPLETO",T183="CDF A CONFERIR"),IF(AND(ISNUMBER(cfg_cdf),U183&gt;cfg_cdf),1,0),0)))</f>
        <v>0</v>
      </c>
      <c r="AS183" s="96" t="str">
        <f>IF(T183="","",IF(AR183=1,"Alta",IFERROR(INDEX(cfg_pp,MATCH(T183,cfg_pt,0))&amp;"","Média")))</f>
        <v/>
      </c>
      <c r="AT183" s="96" t="str">
        <f>IF(T183="","",IFERROR(INDEX(cfg_pv,MATCH(T183,cfg_pt,0))&amp;"",""))</f>
        <v/>
      </c>
      <c r="AU183" s="96" t="str">
        <f>IF(T183="","",IF(AS183="Alta",1,IF(AS183="Média",2,3))*1000000000+(999999-IF(ISNUMBER(U183),MIN(U183,999999),0))*1000+178)</f>
        <v/>
      </c>
      <c r="AV183" s="96">
        <f>IF(T183&lt;&gt;"",1,0)</f>
        <v>0</v>
      </c>
      <c r="AW183" s="96" t="str">
        <f>IF(Z183=0,"",IF(AA183=1,"Cancelamento informado; ","")&amp;IF(AE183=1,"Campos essenciais ou itens faltando; ","")&amp;IF(AC183=1,"Possível duplicidade do número; ","")&amp;IF(AD183=1,"Cadastro ou datas a revisar; ","")&amp;IF(AF183&gt;0,"Item de resíduo com dado a revisar; ","")&amp;IF(AH183&gt;0,"Diferença de quantidade a analisar; ","")&amp;IF(AK183&gt;0,"Recebimento com alerta; ","")&amp;IF(AL183&gt;0,"Vínculo de CDF com alerta; ","")&amp;IF(AND(AA183=0,AN183=0),"Recebimento não confirmado; ","")&amp;IF(AND(AA183=0,AN183=1,AO183=0),"CDF pendente ou a conferir; ",""))</f>
        <v/>
      </c>
      <c r="AX183" s="96">
        <f>IF(Z183=0,0,IF(AND(OR(f_ini="",AND(ISNUMBER(E183),E183&gt;=f_ini)),OR(f_fim="",AND(ISNUMBER(E183),E183&lt;=f_fim)),OR(f_un="",f_un="(Todas)",G183=f_un),OR(f_tr="",f_tr="(Todos)",H183=f_tr),OR(f_de="",f_de="(Todos)",I183=f_de),OR(f_sit="",f_sit="(Todas)",S183=f_sit)),1,0))</f>
        <v>0</v>
      </c>
      <c r="AY183" s="96">
        <f>IF(AX183=0,0,IF(OR(f_res="",f_res="(Todos)"),1,IF(COUNTIFS('ITENS_MTR'!$S$6:$S$1005,A183,'ITENS_MTR'!$C$6:$C$1005,f_res)&gt;0,1,0)))</f>
        <v>0</v>
      </c>
      <c r="AZ183" s="97" t="str">
        <f>IF(ISNUMBER(E183),DATE(YEAR(E183),MONTH(E183),1),"")</f>
        <v/>
      </c>
      <c r="BA183" s="96">
        <f>IF(Z183=0,0,IF(AND(OR(r_ini="",AND(ISNUMBER(E183),E183&gt;=r_ini)),OR(r_fim="",AND(ISNUMBER(E183),E183&lt;=r_fim)),OR(r_un="",r_un="(Todas)",G183=r_un),OR(r_de="",r_de="(Todos)",I183=r_de)),1,0))</f>
        <v>0</v>
      </c>
      <c r="BB183" s="96" t="str">
        <f>IF(BA183=1,COUNTIF($BA$6:BA183,1),"")</f>
        <v/>
      </c>
      <c r="BC183" s="96" t="str">
        <f>IF(AND(AU183&lt;&gt;"",OR(r_un="",r_un="(Todas)",G183=r_un),OR(r_de="",r_de="(Todos)",I183=r_de)),AU183,"")</f>
        <v/>
      </c>
      <c r="BD183" s="96" t="str">
        <f>IF(Z183=1,A183&amp;" | nº "&amp;IF(B183="","(sem número)",B183)&amp;" | "&amp;IF(G183="","(sem unidade)",G183),"")</f>
        <v/>
      </c>
      <c r="BE183" s="96" t="str">
        <f>IF(Z183=1,COUNTIF($Z$6:Z183,1),"")</f>
        <v/>
      </c>
      <c r="BF183" s="96" t="str">
        <f>IF(T183="","",IF(T183="RECEBIMENTO NÃO CONFIRMADO","Transp.: "&amp;H183&amp;" | Dest.: "&amp;I183,IF(OR(T183="CDF NÃO LOCALIZADO",T183="VÍNCULO INCOMPLETO",T183="CDF A CONFERIR"),"Dest.: "&amp;I183,"Gerador: "&amp;G183)))</f>
        <v/>
      </c>
    </row>
    <row r="184">
      <c r="A184" s="89" t="inlineStr">
        <is>
          <t>MTR-000179</t>
        </is>
      </c>
      <c r="B184" s="90" t="n"/>
      <c r="C184" s="91" t="n"/>
      <c r="D184" s="91" t="n"/>
      <c r="E184" s="92" t="n"/>
      <c r="F184" s="92" t="n"/>
      <c r="G184" s="91" t="n"/>
      <c r="H184" s="91" t="n"/>
      <c r="I184" s="91" t="n"/>
      <c r="J184" s="91" t="n"/>
      <c r="K184" s="91" t="n"/>
      <c r="L184" s="92" t="n"/>
      <c r="M184" s="91" t="n"/>
      <c r="N184" s="91" t="n"/>
      <c r="O184" s="91" t="n"/>
      <c r="P184" s="93" t="str">
        <f>IF(Z184=0,"",SUMIFS('ITENS_MTR'!$I$6:$I$1005,'ITENS_MTR'!$S$6:$S$1005,A184,'ITENS_MTR'!$Y$6:$Y$1005,1))</f>
        <v/>
      </c>
      <c r="Q184" s="93" t="str">
        <f>IF(Z184=0,"",SUMIFS('RECEBIMENTOS'!$H$6:$H$1005,'RECEBIMENTOS'!$B$6:$B$1005,A184,'RECEBIMENTOS'!$X$6:$X$1005,1))</f>
        <v/>
      </c>
      <c r="R184" s="93" t="str">
        <f>IF(Z184=0,"",SUMIFS('VÍNCULOS_CDF'!$H$6:$H$1005,'VÍNCULOS_CDF'!$D$6:$D$1005,A184,'VÍNCULOS_CDF'!$V$6:$V$1005,1))</f>
        <v/>
      </c>
      <c r="S184" s="94" t="str">
        <f>IF(Z184=0,"",IF(AA184=1,"Cancelado (informado)",IF(AE184=1,"Cadastro incompleto",IF(OR(AC184=1,AD184=1,AF184&gt;0,AH184&gt;0,AK184&gt;0,AL184&gt;0),"Informação a revisar",IF(AN184=0,"Aguardando recebimento",IF(N(R184)=0,"Aguardando CDF",IF(AJ184&lt;N(W184),"Vínculo de CDF parcial",IF(AO184=0,"CDF localizado, a conferir","Documentação conferida"))))))))</f>
        <v/>
      </c>
      <c r="T184" s="94" t="str">
        <f>IF(Z184=0,"",IF(S184="Cadastro incompleto","MTR INCOMPLETO",IF(S184="Informação a revisar",IF(AND(AH184&gt;0,AC184=0,AD184=0,AF184=0,AK184=0,AL184=0),"QUANTIDADE A REVISAR","IDENTIFICAÇÃO A REVISAR"),IF(S184="Aguardando recebimento","RECEBIMENTO NÃO CONFIRMADO",IF(S184="Aguardando CDF","CDF NÃO LOCALIZADO",IF(S184="Vínculo de CDF parcial","VÍNCULO INCOMPLETO",IF(S184="CDF localizado, a conferir","CDF A CONFERIR","")))))))</f>
        <v/>
      </c>
      <c r="U184" s="95" t="str">
        <f>IF(T184="","",IF(AQ184="","Não calculável",IF(AQ184&gt;TODAY(),"Data futura",TODAY()-AQ184)))</f>
        <v/>
      </c>
      <c r="V184" s="93" t="str">
        <f>IF(Z184=0,"",SUMIFS('RECEBIMENTOS'!$H$6:$H$1005,'RECEBIMENTOS'!$B$6:$B$1005,A184,'RECEBIMENTOS'!$Z$6:$Z$1005,1))</f>
        <v/>
      </c>
      <c r="W184" s="95" t="str">
        <f>IF(Z184=0,"",COUNTIFS('ITENS_MTR'!$S$6:$S$1005,A184,'ITENS_MTR'!$R$6:$R$1005,1))</f>
        <v/>
      </c>
      <c r="X184" s="94" t="str">
        <f>IF(AC184=1,"POSSÍVEL DUPLICIDADE","")</f>
        <v/>
      </c>
      <c r="Y184" s="94" t="str">
        <f>IF(Z184=0,"",IF(AW184="","Nenhuma",LEFT(AW184,LEN(AW184)-2)))</f>
        <v/>
      </c>
      <c r="Z184" s="96">
        <f>IF(COUNTA(B184:O184)&gt;0,1,0)</f>
        <v>0</v>
      </c>
      <c r="AA184" s="96">
        <f>IF(AND(Z184=1,K184&lt;&gt;""),IF(TRIM(K184)=TRIM(cfg_cancel),1,0),0)</f>
        <v>0</v>
      </c>
      <c r="AB184" s="96" t="str">
        <f>IF(AND(Z184=1,B184&lt;&gt;""),C184&amp;"|"&amp;D184&amp;"|"&amp;G184&amp;"|"&amp;TRIM(B184),"")</f>
        <v/>
      </c>
      <c r="AC184" s="96">
        <f>IF(AB184="",0,IF(SUMPRODUCT(--($AB$6:$AB$505=AB184))&gt;1,1,0))</f>
        <v>0</v>
      </c>
      <c r="AD184" s="96">
        <f>IF(Z184=0,0,IF(OR(AND(G184&lt;&gt;"",ISNA(MATCH(G184,'CAD_UNIDADES'!$C$6:$C$105,0))),AND(H184&lt;&gt;"",ISNA(MATCH(H184,cmp_transp,0))),AND(I184&lt;&gt;"",ISNA(MATCH(I184,cmp_dest,0))),AND(E184&lt;&gt;"",NOT(ISNUMBER(E184))),AND(F184&lt;&gt;"",NOT(ISNUMBER(F184))),AND(ISNUMBER(E184),ISNUMBER(F184),F184&lt;E184)),1,0))</f>
        <v>0</v>
      </c>
      <c r="AE184" s="96">
        <f>IF(Z184=0,0,IF(OR(B184="",C184="",E184="",G184="",H184="",I184="",N(W184)=0),1,0))</f>
        <v>0</v>
      </c>
      <c r="AF184" s="96">
        <f>IF(Z184=0,0,COUNTIFS('ITENS_MTR'!$S$6:$S$1005,A184,'ITENS_MTR'!$AI$6:$AI$1005,1))</f>
        <v>0</v>
      </c>
      <c r="AG184" s="96">
        <f>IF(Z184=0,0,COUNTIFS('ITENS_MTR'!$S$6:$S$1005,A184,'ITENS_MTR'!$AJ$6:$AJ$1005,1))</f>
        <v>0</v>
      </c>
      <c r="AH184" s="96">
        <f>IF(Z184=0,0,COUNTIFS('ITENS_MTR'!$S$6:$S$1005,A184,'ITENS_MTR'!$AM$6:$AM$1005,1))</f>
        <v>0</v>
      </c>
      <c r="AI184" s="96">
        <f>IF(Z184=0,0,COUNTIFS('ITENS_MTR'!$S$6:$S$1005,A184,'ITENS_MTR'!$AO$6:$AO$1005,1))</f>
        <v>0</v>
      </c>
      <c r="AJ184" s="96">
        <f>IF(Z184=0,0,COUNTIFS('ITENS_MTR'!$S$6:$S$1005,A184,'ITENS_MTR'!$AN$6:$AN$1005,1))</f>
        <v>0</v>
      </c>
      <c r="AK184" s="96">
        <f>IF(Z184=0,0,COUNTIFS('RECEBIMENTOS'!$B$6:$B$1005,A184,'RECEBIMENTOS'!$Y$6:$Y$1005,1))</f>
        <v>0</v>
      </c>
      <c r="AL184" s="96">
        <f>IF(Z184=0,0,COUNTIFS('VÍNCULOS_CDF'!$D$6:$D$1005,A184,'VÍNCULOS_CDF'!$Y$6:$Y$1005,1))</f>
        <v>0</v>
      </c>
      <c r="AM184" s="96">
        <f>IF(Z184=0,0,COUNTIFS('RECEBIMENTOS'!$B$6:$B$1005,A184,'RECEBIMENTOS'!$Q$6:$Q$1005,1))</f>
        <v>0</v>
      </c>
      <c r="AN184" s="96">
        <f>IF(AND(Z184=1,N(W184)&gt;0,AG184=N(W184)),1,0)</f>
        <v>0</v>
      </c>
      <c r="AO184" s="96">
        <f>IF(AND(Z184=1,N(W184)&gt;0,AI184=N(W184)),1,0)</f>
        <v>0</v>
      </c>
      <c r="AP184" s="97">
        <f>IF(Z184=0,0,_xlfn.MAXIFS('RECEBIMENTOS'!$E$6:$E$1005,'RECEBIMENTOS'!$B$6:$B$1005,A184))</f>
        <v>0</v>
      </c>
      <c r="AQ184" s="97" t="str">
        <f>IF(T184="","",IF(T184="RECEBIMENTO NÃO CONFIRMADO",IF(ISNUMBER(F184),F184,IF(ISNUMBER(E184),E184,"")),IF(OR(T184="CDF NÃO LOCALIZADO",T184="VÍNCULO INCOMPLETO",T184="CDF A CONFERIR"),IF(AP184&gt;0,AP184,IF(ISNUMBER(E184),E184,"")),IF(ISNUMBER(E184),E184,""))))</f>
        <v/>
      </c>
      <c r="AR184" s="96">
        <f>IF(NOT(ISNUMBER(U184)),0,IF(T184="RECEBIMENTO NÃO CONFIRMADO",IF(AND(ISNUMBER(cfg_rec),U184&gt;cfg_rec),1,0),IF(OR(T184="CDF NÃO LOCALIZADO",T184="VÍNCULO INCOMPLETO",T184="CDF A CONFERIR"),IF(AND(ISNUMBER(cfg_cdf),U184&gt;cfg_cdf),1,0),0)))</f>
        <v>0</v>
      </c>
      <c r="AS184" s="96" t="str">
        <f>IF(T184="","",IF(AR184=1,"Alta",IFERROR(INDEX(cfg_pp,MATCH(T184,cfg_pt,0))&amp;"","Média")))</f>
        <v/>
      </c>
      <c r="AT184" s="96" t="str">
        <f>IF(T184="","",IFERROR(INDEX(cfg_pv,MATCH(T184,cfg_pt,0))&amp;"",""))</f>
        <v/>
      </c>
      <c r="AU184" s="96" t="str">
        <f>IF(T184="","",IF(AS184="Alta",1,IF(AS184="Média",2,3))*1000000000+(999999-IF(ISNUMBER(U184),MIN(U184,999999),0))*1000+179)</f>
        <v/>
      </c>
      <c r="AV184" s="96">
        <f>IF(T184&lt;&gt;"",1,0)</f>
        <v>0</v>
      </c>
      <c r="AW184" s="96" t="str">
        <f>IF(Z184=0,"",IF(AA184=1,"Cancelamento informado; ","")&amp;IF(AE184=1,"Campos essenciais ou itens faltando; ","")&amp;IF(AC184=1,"Possível duplicidade do número; ","")&amp;IF(AD184=1,"Cadastro ou datas a revisar; ","")&amp;IF(AF184&gt;0,"Item de resíduo com dado a revisar; ","")&amp;IF(AH184&gt;0,"Diferença de quantidade a analisar; ","")&amp;IF(AK184&gt;0,"Recebimento com alerta; ","")&amp;IF(AL184&gt;0,"Vínculo de CDF com alerta; ","")&amp;IF(AND(AA184=0,AN184=0),"Recebimento não confirmado; ","")&amp;IF(AND(AA184=0,AN184=1,AO184=0),"CDF pendente ou a conferir; ",""))</f>
        <v/>
      </c>
      <c r="AX184" s="96">
        <f>IF(Z184=0,0,IF(AND(OR(f_ini="",AND(ISNUMBER(E184),E184&gt;=f_ini)),OR(f_fim="",AND(ISNUMBER(E184),E184&lt;=f_fim)),OR(f_un="",f_un="(Todas)",G184=f_un),OR(f_tr="",f_tr="(Todos)",H184=f_tr),OR(f_de="",f_de="(Todos)",I184=f_de),OR(f_sit="",f_sit="(Todas)",S184=f_sit)),1,0))</f>
        <v>0</v>
      </c>
      <c r="AY184" s="96">
        <f>IF(AX184=0,0,IF(OR(f_res="",f_res="(Todos)"),1,IF(COUNTIFS('ITENS_MTR'!$S$6:$S$1005,A184,'ITENS_MTR'!$C$6:$C$1005,f_res)&gt;0,1,0)))</f>
        <v>0</v>
      </c>
      <c r="AZ184" s="97" t="str">
        <f>IF(ISNUMBER(E184),DATE(YEAR(E184),MONTH(E184),1),"")</f>
        <v/>
      </c>
      <c r="BA184" s="96">
        <f>IF(Z184=0,0,IF(AND(OR(r_ini="",AND(ISNUMBER(E184),E184&gt;=r_ini)),OR(r_fim="",AND(ISNUMBER(E184),E184&lt;=r_fim)),OR(r_un="",r_un="(Todas)",G184=r_un),OR(r_de="",r_de="(Todos)",I184=r_de)),1,0))</f>
        <v>0</v>
      </c>
      <c r="BB184" s="96" t="str">
        <f>IF(BA184=1,COUNTIF($BA$6:BA184,1),"")</f>
        <v/>
      </c>
      <c r="BC184" s="96" t="str">
        <f>IF(AND(AU184&lt;&gt;"",OR(r_un="",r_un="(Todas)",G184=r_un),OR(r_de="",r_de="(Todos)",I184=r_de)),AU184,"")</f>
        <v/>
      </c>
      <c r="BD184" s="96" t="str">
        <f>IF(Z184=1,A184&amp;" | nº "&amp;IF(B184="","(sem número)",B184)&amp;" | "&amp;IF(G184="","(sem unidade)",G184),"")</f>
        <v/>
      </c>
      <c r="BE184" s="96" t="str">
        <f>IF(Z184=1,COUNTIF($Z$6:Z184,1),"")</f>
        <v/>
      </c>
      <c r="BF184" s="96" t="str">
        <f>IF(T184="","",IF(T184="RECEBIMENTO NÃO CONFIRMADO","Transp.: "&amp;H184&amp;" | Dest.: "&amp;I184,IF(OR(T184="CDF NÃO LOCALIZADO",T184="VÍNCULO INCOMPLETO",T184="CDF A CONFERIR"),"Dest.: "&amp;I184,"Gerador: "&amp;G184)))</f>
        <v/>
      </c>
    </row>
    <row r="185">
      <c r="A185" s="89" t="inlineStr">
        <is>
          <t>MTR-000180</t>
        </is>
      </c>
      <c r="B185" s="90" t="n"/>
      <c r="C185" s="91" t="n"/>
      <c r="D185" s="91" t="n"/>
      <c r="E185" s="92" t="n"/>
      <c r="F185" s="92" t="n"/>
      <c r="G185" s="91" t="n"/>
      <c r="H185" s="91" t="n"/>
      <c r="I185" s="91" t="n"/>
      <c r="J185" s="91" t="n"/>
      <c r="K185" s="91" t="n"/>
      <c r="L185" s="92" t="n"/>
      <c r="M185" s="91" t="n"/>
      <c r="N185" s="91" t="n"/>
      <c r="O185" s="91" t="n"/>
      <c r="P185" s="93" t="str">
        <f>IF(Z185=0,"",SUMIFS('ITENS_MTR'!$I$6:$I$1005,'ITENS_MTR'!$S$6:$S$1005,A185,'ITENS_MTR'!$Y$6:$Y$1005,1))</f>
        <v/>
      </c>
      <c r="Q185" s="93" t="str">
        <f>IF(Z185=0,"",SUMIFS('RECEBIMENTOS'!$H$6:$H$1005,'RECEBIMENTOS'!$B$6:$B$1005,A185,'RECEBIMENTOS'!$X$6:$X$1005,1))</f>
        <v/>
      </c>
      <c r="R185" s="93" t="str">
        <f>IF(Z185=0,"",SUMIFS('VÍNCULOS_CDF'!$H$6:$H$1005,'VÍNCULOS_CDF'!$D$6:$D$1005,A185,'VÍNCULOS_CDF'!$V$6:$V$1005,1))</f>
        <v/>
      </c>
      <c r="S185" s="94" t="str">
        <f>IF(Z185=0,"",IF(AA185=1,"Cancelado (informado)",IF(AE185=1,"Cadastro incompleto",IF(OR(AC185=1,AD185=1,AF185&gt;0,AH185&gt;0,AK185&gt;0,AL185&gt;0),"Informação a revisar",IF(AN185=0,"Aguardando recebimento",IF(N(R185)=0,"Aguardando CDF",IF(AJ185&lt;N(W185),"Vínculo de CDF parcial",IF(AO185=0,"CDF localizado, a conferir","Documentação conferida"))))))))</f>
        <v/>
      </c>
      <c r="T185" s="94" t="str">
        <f>IF(Z185=0,"",IF(S185="Cadastro incompleto","MTR INCOMPLETO",IF(S185="Informação a revisar",IF(AND(AH185&gt;0,AC185=0,AD185=0,AF185=0,AK185=0,AL185=0),"QUANTIDADE A REVISAR","IDENTIFICAÇÃO A REVISAR"),IF(S185="Aguardando recebimento","RECEBIMENTO NÃO CONFIRMADO",IF(S185="Aguardando CDF","CDF NÃO LOCALIZADO",IF(S185="Vínculo de CDF parcial","VÍNCULO INCOMPLETO",IF(S185="CDF localizado, a conferir","CDF A CONFERIR","")))))))</f>
        <v/>
      </c>
      <c r="U185" s="95" t="str">
        <f>IF(T185="","",IF(AQ185="","Não calculável",IF(AQ185&gt;TODAY(),"Data futura",TODAY()-AQ185)))</f>
        <v/>
      </c>
      <c r="V185" s="93" t="str">
        <f>IF(Z185=0,"",SUMIFS('RECEBIMENTOS'!$H$6:$H$1005,'RECEBIMENTOS'!$B$6:$B$1005,A185,'RECEBIMENTOS'!$Z$6:$Z$1005,1))</f>
        <v/>
      </c>
      <c r="W185" s="95" t="str">
        <f>IF(Z185=0,"",COUNTIFS('ITENS_MTR'!$S$6:$S$1005,A185,'ITENS_MTR'!$R$6:$R$1005,1))</f>
        <v/>
      </c>
      <c r="X185" s="94" t="str">
        <f>IF(AC185=1,"POSSÍVEL DUPLICIDADE","")</f>
        <v/>
      </c>
      <c r="Y185" s="94" t="str">
        <f>IF(Z185=0,"",IF(AW185="","Nenhuma",LEFT(AW185,LEN(AW185)-2)))</f>
        <v/>
      </c>
      <c r="Z185" s="96">
        <f>IF(COUNTA(B185:O185)&gt;0,1,0)</f>
        <v>0</v>
      </c>
      <c r="AA185" s="96">
        <f>IF(AND(Z185=1,K185&lt;&gt;""),IF(TRIM(K185)=TRIM(cfg_cancel),1,0),0)</f>
        <v>0</v>
      </c>
      <c r="AB185" s="96" t="str">
        <f>IF(AND(Z185=1,B185&lt;&gt;""),C185&amp;"|"&amp;D185&amp;"|"&amp;G185&amp;"|"&amp;TRIM(B185),"")</f>
        <v/>
      </c>
      <c r="AC185" s="96">
        <f>IF(AB185="",0,IF(SUMPRODUCT(--($AB$6:$AB$505=AB185))&gt;1,1,0))</f>
        <v>0</v>
      </c>
      <c r="AD185" s="96">
        <f>IF(Z185=0,0,IF(OR(AND(G185&lt;&gt;"",ISNA(MATCH(G185,'CAD_UNIDADES'!$C$6:$C$105,0))),AND(H185&lt;&gt;"",ISNA(MATCH(H185,cmp_transp,0))),AND(I185&lt;&gt;"",ISNA(MATCH(I185,cmp_dest,0))),AND(E185&lt;&gt;"",NOT(ISNUMBER(E185))),AND(F185&lt;&gt;"",NOT(ISNUMBER(F185))),AND(ISNUMBER(E185),ISNUMBER(F185),F185&lt;E185)),1,0))</f>
        <v>0</v>
      </c>
      <c r="AE185" s="96">
        <f>IF(Z185=0,0,IF(OR(B185="",C185="",E185="",G185="",H185="",I185="",N(W185)=0),1,0))</f>
        <v>0</v>
      </c>
      <c r="AF185" s="96">
        <f>IF(Z185=0,0,COUNTIFS('ITENS_MTR'!$S$6:$S$1005,A185,'ITENS_MTR'!$AI$6:$AI$1005,1))</f>
        <v>0</v>
      </c>
      <c r="AG185" s="96">
        <f>IF(Z185=0,0,COUNTIFS('ITENS_MTR'!$S$6:$S$1005,A185,'ITENS_MTR'!$AJ$6:$AJ$1005,1))</f>
        <v>0</v>
      </c>
      <c r="AH185" s="96">
        <f>IF(Z185=0,0,COUNTIFS('ITENS_MTR'!$S$6:$S$1005,A185,'ITENS_MTR'!$AM$6:$AM$1005,1))</f>
        <v>0</v>
      </c>
      <c r="AI185" s="96">
        <f>IF(Z185=0,0,COUNTIFS('ITENS_MTR'!$S$6:$S$1005,A185,'ITENS_MTR'!$AO$6:$AO$1005,1))</f>
        <v>0</v>
      </c>
      <c r="AJ185" s="96">
        <f>IF(Z185=0,0,COUNTIFS('ITENS_MTR'!$S$6:$S$1005,A185,'ITENS_MTR'!$AN$6:$AN$1005,1))</f>
        <v>0</v>
      </c>
      <c r="AK185" s="96">
        <f>IF(Z185=0,0,COUNTIFS('RECEBIMENTOS'!$B$6:$B$1005,A185,'RECEBIMENTOS'!$Y$6:$Y$1005,1))</f>
        <v>0</v>
      </c>
      <c r="AL185" s="96">
        <f>IF(Z185=0,0,COUNTIFS('VÍNCULOS_CDF'!$D$6:$D$1005,A185,'VÍNCULOS_CDF'!$Y$6:$Y$1005,1))</f>
        <v>0</v>
      </c>
      <c r="AM185" s="96">
        <f>IF(Z185=0,0,COUNTIFS('RECEBIMENTOS'!$B$6:$B$1005,A185,'RECEBIMENTOS'!$Q$6:$Q$1005,1))</f>
        <v>0</v>
      </c>
      <c r="AN185" s="96">
        <f>IF(AND(Z185=1,N(W185)&gt;0,AG185=N(W185)),1,0)</f>
        <v>0</v>
      </c>
      <c r="AO185" s="96">
        <f>IF(AND(Z185=1,N(W185)&gt;0,AI185=N(W185)),1,0)</f>
        <v>0</v>
      </c>
      <c r="AP185" s="97">
        <f>IF(Z185=0,0,_xlfn.MAXIFS('RECEBIMENTOS'!$E$6:$E$1005,'RECEBIMENTOS'!$B$6:$B$1005,A185))</f>
        <v>0</v>
      </c>
      <c r="AQ185" s="97" t="str">
        <f>IF(T185="","",IF(T185="RECEBIMENTO NÃO CONFIRMADO",IF(ISNUMBER(F185),F185,IF(ISNUMBER(E185),E185,"")),IF(OR(T185="CDF NÃO LOCALIZADO",T185="VÍNCULO INCOMPLETO",T185="CDF A CONFERIR"),IF(AP185&gt;0,AP185,IF(ISNUMBER(E185),E185,"")),IF(ISNUMBER(E185),E185,""))))</f>
        <v/>
      </c>
      <c r="AR185" s="96">
        <f>IF(NOT(ISNUMBER(U185)),0,IF(T185="RECEBIMENTO NÃO CONFIRMADO",IF(AND(ISNUMBER(cfg_rec),U185&gt;cfg_rec),1,0),IF(OR(T185="CDF NÃO LOCALIZADO",T185="VÍNCULO INCOMPLETO",T185="CDF A CONFERIR"),IF(AND(ISNUMBER(cfg_cdf),U185&gt;cfg_cdf),1,0),0)))</f>
        <v>0</v>
      </c>
      <c r="AS185" s="96" t="str">
        <f>IF(T185="","",IF(AR185=1,"Alta",IFERROR(INDEX(cfg_pp,MATCH(T185,cfg_pt,0))&amp;"","Média")))</f>
        <v/>
      </c>
      <c r="AT185" s="96" t="str">
        <f>IF(T185="","",IFERROR(INDEX(cfg_pv,MATCH(T185,cfg_pt,0))&amp;"",""))</f>
        <v/>
      </c>
      <c r="AU185" s="96" t="str">
        <f>IF(T185="","",IF(AS185="Alta",1,IF(AS185="Média",2,3))*1000000000+(999999-IF(ISNUMBER(U185),MIN(U185,999999),0))*1000+180)</f>
        <v/>
      </c>
      <c r="AV185" s="96">
        <f>IF(T185&lt;&gt;"",1,0)</f>
        <v>0</v>
      </c>
      <c r="AW185" s="96" t="str">
        <f>IF(Z185=0,"",IF(AA185=1,"Cancelamento informado; ","")&amp;IF(AE185=1,"Campos essenciais ou itens faltando; ","")&amp;IF(AC185=1,"Possível duplicidade do número; ","")&amp;IF(AD185=1,"Cadastro ou datas a revisar; ","")&amp;IF(AF185&gt;0,"Item de resíduo com dado a revisar; ","")&amp;IF(AH185&gt;0,"Diferença de quantidade a analisar; ","")&amp;IF(AK185&gt;0,"Recebimento com alerta; ","")&amp;IF(AL185&gt;0,"Vínculo de CDF com alerta; ","")&amp;IF(AND(AA185=0,AN185=0),"Recebimento não confirmado; ","")&amp;IF(AND(AA185=0,AN185=1,AO185=0),"CDF pendente ou a conferir; ",""))</f>
        <v/>
      </c>
      <c r="AX185" s="96">
        <f>IF(Z185=0,0,IF(AND(OR(f_ini="",AND(ISNUMBER(E185),E185&gt;=f_ini)),OR(f_fim="",AND(ISNUMBER(E185),E185&lt;=f_fim)),OR(f_un="",f_un="(Todas)",G185=f_un),OR(f_tr="",f_tr="(Todos)",H185=f_tr),OR(f_de="",f_de="(Todos)",I185=f_de),OR(f_sit="",f_sit="(Todas)",S185=f_sit)),1,0))</f>
        <v>0</v>
      </c>
      <c r="AY185" s="96">
        <f>IF(AX185=0,0,IF(OR(f_res="",f_res="(Todos)"),1,IF(COUNTIFS('ITENS_MTR'!$S$6:$S$1005,A185,'ITENS_MTR'!$C$6:$C$1005,f_res)&gt;0,1,0)))</f>
        <v>0</v>
      </c>
      <c r="AZ185" s="97" t="str">
        <f>IF(ISNUMBER(E185),DATE(YEAR(E185),MONTH(E185),1),"")</f>
        <v/>
      </c>
      <c r="BA185" s="96">
        <f>IF(Z185=0,0,IF(AND(OR(r_ini="",AND(ISNUMBER(E185),E185&gt;=r_ini)),OR(r_fim="",AND(ISNUMBER(E185),E185&lt;=r_fim)),OR(r_un="",r_un="(Todas)",G185=r_un),OR(r_de="",r_de="(Todos)",I185=r_de)),1,0))</f>
        <v>0</v>
      </c>
      <c r="BB185" s="96" t="str">
        <f>IF(BA185=1,COUNTIF($BA$6:BA185,1),"")</f>
        <v/>
      </c>
      <c r="BC185" s="96" t="str">
        <f>IF(AND(AU185&lt;&gt;"",OR(r_un="",r_un="(Todas)",G185=r_un),OR(r_de="",r_de="(Todos)",I185=r_de)),AU185,"")</f>
        <v/>
      </c>
      <c r="BD185" s="96" t="str">
        <f>IF(Z185=1,A185&amp;" | nº "&amp;IF(B185="","(sem número)",B185)&amp;" | "&amp;IF(G185="","(sem unidade)",G185),"")</f>
        <v/>
      </c>
      <c r="BE185" s="96" t="str">
        <f>IF(Z185=1,COUNTIF($Z$6:Z185,1),"")</f>
        <v/>
      </c>
      <c r="BF185" s="96" t="str">
        <f>IF(T185="","",IF(T185="RECEBIMENTO NÃO CONFIRMADO","Transp.: "&amp;H185&amp;" | Dest.: "&amp;I185,IF(OR(T185="CDF NÃO LOCALIZADO",T185="VÍNCULO INCOMPLETO",T185="CDF A CONFERIR"),"Dest.: "&amp;I185,"Gerador: "&amp;G185)))</f>
        <v/>
      </c>
    </row>
    <row r="186">
      <c r="A186" s="89" t="inlineStr">
        <is>
          <t>MTR-000181</t>
        </is>
      </c>
      <c r="B186" s="90" t="n"/>
      <c r="C186" s="91" t="n"/>
      <c r="D186" s="91" t="n"/>
      <c r="E186" s="92" t="n"/>
      <c r="F186" s="92" t="n"/>
      <c r="G186" s="91" t="n"/>
      <c r="H186" s="91" t="n"/>
      <c r="I186" s="91" t="n"/>
      <c r="J186" s="91" t="n"/>
      <c r="K186" s="91" t="n"/>
      <c r="L186" s="92" t="n"/>
      <c r="M186" s="91" t="n"/>
      <c r="N186" s="91" t="n"/>
      <c r="O186" s="91" t="n"/>
      <c r="P186" s="93" t="str">
        <f>IF(Z186=0,"",SUMIFS('ITENS_MTR'!$I$6:$I$1005,'ITENS_MTR'!$S$6:$S$1005,A186,'ITENS_MTR'!$Y$6:$Y$1005,1))</f>
        <v/>
      </c>
      <c r="Q186" s="93" t="str">
        <f>IF(Z186=0,"",SUMIFS('RECEBIMENTOS'!$H$6:$H$1005,'RECEBIMENTOS'!$B$6:$B$1005,A186,'RECEBIMENTOS'!$X$6:$X$1005,1))</f>
        <v/>
      </c>
      <c r="R186" s="93" t="str">
        <f>IF(Z186=0,"",SUMIFS('VÍNCULOS_CDF'!$H$6:$H$1005,'VÍNCULOS_CDF'!$D$6:$D$1005,A186,'VÍNCULOS_CDF'!$V$6:$V$1005,1))</f>
        <v/>
      </c>
      <c r="S186" s="94" t="str">
        <f>IF(Z186=0,"",IF(AA186=1,"Cancelado (informado)",IF(AE186=1,"Cadastro incompleto",IF(OR(AC186=1,AD186=1,AF186&gt;0,AH186&gt;0,AK186&gt;0,AL186&gt;0),"Informação a revisar",IF(AN186=0,"Aguardando recebimento",IF(N(R186)=0,"Aguardando CDF",IF(AJ186&lt;N(W186),"Vínculo de CDF parcial",IF(AO186=0,"CDF localizado, a conferir","Documentação conferida"))))))))</f>
        <v/>
      </c>
      <c r="T186" s="94" t="str">
        <f>IF(Z186=0,"",IF(S186="Cadastro incompleto","MTR INCOMPLETO",IF(S186="Informação a revisar",IF(AND(AH186&gt;0,AC186=0,AD186=0,AF186=0,AK186=0,AL186=0),"QUANTIDADE A REVISAR","IDENTIFICAÇÃO A REVISAR"),IF(S186="Aguardando recebimento","RECEBIMENTO NÃO CONFIRMADO",IF(S186="Aguardando CDF","CDF NÃO LOCALIZADO",IF(S186="Vínculo de CDF parcial","VÍNCULO INCOMPLETO",IF(S186="CDF localizado, a conferir","CDF A CONFERIR","")))))))</f>
        <v/>
      </c>
      <c r="U186" s="95" t="str">
        <f>IF(T186="","",IF(AQ186="","Não calculável",IF(AQ186&gt;TODAY(),"Data futura",TODAY()-AQ186)))</f>
        <v/>
      </c>
      <c r="V186" s="93" t="str">
        <f>IF(Z186=0,"",SUMIFS('RECEBIMENTOS'!$H$6:$H$1005,'RECEBIMENTOS'!$B$6:$B$1005,A186,'RECEBIMENTOS'!$Z$6:$Z$1005,1))</f>
        <v/>
      </c>
      <c r="W186" s="95" t="str">
        <f>IF(Z186=0,"",COUNTIFS('ITENS_MTR'!$S$6:$S$1005,A186,'ITENS_MTR'!$R$6:$R$1005,1))</f>
        <v/>
      </c>
      <c r="X186" s="94" t="str">
        <f>IF(AC186=1,"POSSÍVEL DUPLICIDADE","")</f>
        <v/>
      </c>
      <c r="Y186" s="94" t="str">
        <f>IF(Z186=0,"",IF(AW186="","Nenhuma",LEFT(AW186,LEN(AW186)-2)))</f>
        <v/>
      </c>
      <c r="Z186" s="96">
        <f>IF(COUNTA(B186:O186)&gt;0,1,0)</f>
        <v>0</v>
      </c>
      <c r="AA186" s="96">
        <f>IF(AND(Z186=1,K186&lt;&gt;""),IF(TRIM(K186)=TRIM(cfg_cancel),1,0),0)</f>
        <v>0</v>
      </c>
      <c r="AB186" s="96" t="str">
        <f>IF(AND(Z186=1,B186&lt;&gt;""),C186&amp;"|"&amp;D186&amp;"|"&amp;G186&amp;"|"&amp;TRIM(B186),"")</f>
        <v/>
      </c>
      <c r="AC186" s="96">
        <f>IF(AB186="",0,IF(SUMPRODUCT(--($AB$6:$AB$505=AB186))&gt;1,1,0))</f>
        <v>0</v>
      </c>
      <c r="AD186" s="96">
        <f>IF(Z186=0,0,IF(OR(AND(G186&lt;&gt;"",ISNA(MATCH(G186,'CAD_UNIDADES'!$C$6:$C$105,0))),AND(H186&lt;&gt;"",ISNA(MATCH(H186,cmp_transp,0))),AND(I186&lt;&gt;"",ISNA(MATCH(I186,cmp_dest,0))),AND(E186&lt;&gt;"",NOT(ISNUMBER(E186))),AND(F186&lt;&gt;"",NOT(ISNUMBER(F186))),AND(ISNUMBER(E186),ISNUMBER(F186),F186&lt;E186)),1,0))</f>
        <v>0</v>
      </c>
      <c r="AE186" s="96">
        <f>IF(Z186=0,0,IF(OR(B186="",C186="",E186="",G186="",H186="",I186="",N(W186)=0),1,0))</f>
        <v>0</v>
      </c>
      <c r="AF186" s="96">
        <f>IF(Z186=0,0,COUNTIFS('ITENS_MTR'!$S$6:$S$1005,A186,'ITENS_MTR'!$AI$6:$AI$1005,1))</f>
        <v>0</v>
      </c>
      <c r="AG186" s="96">
        <f>IF(Z186=0,0,COUNTIFS('ITENS_MTR'!$S$6:$S$1005,A186,'ITENS_MTR'!$AJ$6:$AJ$1005,1))</f>
        <v>0</v>
      </c>
      <c r="AH186" s="96">
        <f>IF(Z186=0,0,COUNTIFS('ITENS_MTR'!$S$6:$S$1005,A186,'ITENS_MTR'!$AM$6:$AM$1005,1))</f>
        <v>0</v>
      </c>
      <c r="AI186" s="96">
        <f>IF(Z186=0,0,COUNTIFS('ITENS_MTR'!$S$6:$S$1005,A186,'ITENS_MTR'!$AO$6:$AO$1005,1))</f>
        <v>0</v>
      </c>
      <c r="AJ186" s="96">
        <f>IF(Z186=0,0,COUNTIFS('ITENS_MTR'!$S$6:$S$1005,A186,'ITENS_MTR'!$AN$6:$AN$1005,1))</f>
        <v>0</v>
      </c>
      <c r="AK186" s="96">
        <f>IF(Z186=0,0,COUNTIFS('RECEBIMENTOS'!$B$6:$B$1005,A186,'RECEBIMENTOS'!$Y$6:$Y$1005,1))</f>
        <v>0</v>
      </c>
      <c r="AL186" s="96">
        <f>IF(Z186=0,0,COUNTIFS('VÍNCULOS_CDF'!$D$6:$D$1005,A186,'VÍNCULOS_CDF'!$Y$6:$Y$1005,1))</f>
        <v>0</v>
      </c>
      <c r="AM186" s="96">
        <f>IF(Z186=0,0,COUNTIFS('RECEBIMENTOS'!$B$6:$B$1005,A186,'RECEBIMENTOS'!$Q$6:$Q$1005,1))</f>
        <v>0</v>
      </c>
      <c r="AN186" s="96">
        <f>IF(AND(Z186=1,N(W186)&gt;0,AG186=N(W186)),1,0)</f>
        <v>0</v>
      </c>
      <c r="AO186" s="96">
        <f>IF(AND(Z186=1,N(W186)&gt;0,AI186=N(W186)),1,0)</f>
        <v>0</v>
      </c>
      <c r="AP186" s="97">
        <f>IF(Z186=0,0,_xlfn.MAXIFS('RECEBIMENTOS'!$E$6:$E$1005,'RECEBIMENTOS'!$B$6:$B$1005,A186))</f>
        <v>0</v>
      </c>
      <c r="AQ186" s="97" t="str">
        <f>IF(T186="","",IF(T186="RECEBIMENTO NÃO CONFIRMADO",IF(ISNUMBER(F186),F186,IF(ISNUMBER(E186),E186,"")),IF(OR(T186="CDF NÃO LOCALIZADO",T186="VÍNCULO INCOMPLETO",T186="CDF A CONFERIR"),IF(AP186&gt;0,AP186,IF(ISNUMBER(E186),E186,"")),IF(ISNUMBER(E186),E186,""))))</f>
        <v/>
      </c>
      <c r="AR186" s="96">
        <f>IF(NOT(ISNUMBER(U186)),0,IF(T186="RECEBIMENTO NÃO CONFIRMADO",IF(AND(ISNUMBER(cfg_rec),U186&gt;cfg_rec),1,0),IF(OR(T186="CDF NÃO LOCALIZADO",T186="VÍNCULO INCOMPLETO",T186="CDF A CONFERIR"),IF(AND(ISNUMBER(cfg_cdf),U186&gt;cfg_cdf),1,0),0)))</f>
        <v>0</v>
      </c>
      <c r="AS186" s="96" t="str">
        <f>IF(T186="","",IF(AR186=1,"Alta",IFERROR(INDEX(cfg_pp,MATCH(T186,cfg_pt,0))&amp;"","Média")))</f>
        <v/>
      </c>
      <c r="AT186" s="96" t="str">
        <f>IF(T186="","",IFERROR(INDEX(cfg_pv,MATCH(T186,cfg_pt,0))&amp;"",""))</f>
        <v/>
      </c>
      <c r="AU186" s="96" t="str">
        <f>IF(T186="","",IF(AS186="Alta",1,IF(AS186="Média",2,3))*1000000000+(999999-IF(ISNUMBER(U186),MIN(U186,999999),0))*1000+181)</f>
        <v/>
      </c>
      <c r="AV186" s="96">
        <f>IF(T186&lt;&gt;"",1,0)</f>
        <v>0</v>
      </c>
      <c r="AW186" s="96" t="str">
        <f>IF(Z186=0,"",IF(AA186=1,"Cancelamento informado; ","")&amp;IF(AE186=1,"Campos essenciais ou itens faltando; ","")&amp;IF(AC186=1,"Possível duplicidade do número; ","")&amp;IF(AD186=1,"Cadastro ou datas a revisar; ","")&amp;IF(AF186&gt;0,"Item de resíduo com dado a revisar; ","")&amp;IF(AH186&gt;0,"Diferença de quantidade a analisar; ","")&amp;IF(AK186&gt;0,"Recebimento com alerta; ","")&amp;IF(AL186&gt;0,"Vínculo de CDF com alerta; ","")&amp;IF(AND(AA186=0,AN186=0),"Recebimento não confirmado; ","")&amp;IF(AND(AA186=0,AN186=1,AO186=0),"CDF pendente ou a conferir; ",""))</f>
        <v/>
      </c>
      <c r="AX186" s="96">
        <f>IF(Z186=0,0,IF(AND(OR(f_ini="",AND(ISNUMBER(E186),E186&gt;=f_ini)),OR(f_fim="",AND(ISNUMBER(E186),E186&lt;=f_fim)),OR(f_un="",f_un="(Todas)",G186=f_un),OR(f_tr="",f_tr="(Todos)",H186=f_tr),OR(f_de="",f_de="(Todos)",I186=f_de),OR(f_sit="",f_sit="(Todas)",S186=f_sit)),1,0))</f>
        <v>0</v>
      </c>
      <c r="AY186" s="96">
        <f>IF(AX186=0,0,IF(OR(f_res="",f_res="(Todos)"),1,IF(COUNTIFS('ITENS_MTR'!$S$6:$S$1005,A186,'ITENS_MTR'!$C$6:$C$1005,f_res)&gt;0,1,0)))</f>
        <v>0</v>
      </c>
      <c r="AZ186" s="97" t="str">
        <f>IF(ISNUMBER(E186),DATE(YEAR(E186),MONTH(E186),1),"")</f>
        <v/>
      </c>
      <c r="BA186" s="96">
        <f>IF(Z186=0,0,IF(AND(OR(r_ini="",AND(ISNUMBER(E186),E186&gt;=r_ini)),OR(r_fim="",AND(ISNUMBER(E186),E186&lt;=r_fim)),OR(r_un="",r_un="(Todas)",G186=r_un),OR(r_de="",r_de="(Todos)",I186=r_de)),1,0))</f>
        <v>0</v>
      </c>
      <c r="BB186" s="96" t="str">
        <f>IF(BA186=1,COUNTIF($BA$6:BA186,1),"")</f>
        <v/>
      </c>
      <c r="BC186" s="96" t="str">
        <f>IF(AND(AU186&lt;&gt;"",OR(r_un="",r_un="(Todas)",G186=r_un),OR(r_de="",r_de="(Todos)",I186=r_de)),AU186,"")</f>
        <v/>
      </c>
      <c r="BD186" s="96" t="str">
        <f>IF(Z186=1,A186&amp;" | nº "&amp;IF(B186="","(sem número)",B186)&amp;" | "&amp;IF(G186="","(sem unidade)",G186),"")</f>
        <v/>
      </c>
      <c r="BE186" s="96" t="str">
        <f>IF(Z186=1,COUNTIF($Z$6:Z186,1),"")</f>
        <v/>
      </c>
      <c r="BF186" s="96" t="str">
        <f>IF(T186="","",IF(T186="RECEBIMENTO NÃO CONFIRMADO","Transp.: "&amp;H186&amp;" | Dest.: "&amp;I186,IF(OR(T186="CDF NÃO LOCALIZADO",T186="VÍNCULO INCOMPLETO",T186="CDF A CONFERIR"),"Dest.: "&amp;I186,"Gerador: "&amp;G186)))</f>
        <v/>
      </c>
    </row>
    <row r="187">
      <c r="A187" s="89" t="inlineStr">
        <is>
          <t>MTR-000182</t>
        </is>
      </c>
      <c r="B187" s="90" t="n"/>
      <c r="C187" s="91" t="n"/>
      <c r="D187" s="91" t="n"/>
      <c r="E187" s="92" t="n"/>
      <c r="F187" s="92" t="n"/>
      <c r="G187" s="91" t="n"/>
      <c r="H187" s="91" t="n"/>
      <c r="I187" s="91" t="n"/>
      <c r="J187" s="91" t="n"/>
      <c r="K187" s="91" t="n"/>
      <c r="L187" s="92" t="n"/>
      <c r="M187" s="91" t="n"/>
      <c r="N187" s="91" t="n"/>
      <c r="O187" s="91" t="n"/>
      <c r="P187" s="93" t="str">
        <f>IF(Z187=0,"",SUMIFS('ITENS_MTR'!$I$6:$I$1005,'ITENS_MTR'!$S$6:$S$1005,A187,'ITENS_MTR'!$Y$6:$Y$1005,1))</f>
        <v/>
      </c>
      <c r="Q187" s="93" t="str">
        <f>IF(Z187=0,"",SUMIFS('RECEBIMENTOS'!$H$6:$H$1005,'RECEBIMENTOS'!$B$6:$B$1005,A187,'RECEBIMENTOS'!$X$6:$X$1005,1))</f>
        <v/>
      </c>
      <c r="R187" s="93" t="str">
        <f>IF(Z187=0,"",SUMIFS('VÍNCULOS_CDF'!$H$6:$H$1005,'VÍNCULOS_CDF'!$D$6:$D$1005,A187,'VÍNCULOS_CDF'!$V$6:$V$1005,1))</f>
        <v/>
      </c>
      <c r="S187" s="94" t="str">
        <f>IF(Z187=0,"",IF(AA187=1,"Cancelado (informado)",IF(AE187=1,"Cadastro incompleto",IF(OR(AC187=1,AD187=1,AF187&gt;0,AH187&gt;0,AK187&gt;0,AL187&gt;0),"Informação a revisar",IF(AN187=0,"Aguardando recebimento",IF(N(R187)=0,"Aguardando CDF",IF(AJ187&lt;N(W187),"Vínculo de CDF parcial",IF(AO187=0,"CDF localizado, a conferir","Documentação conferida"))))))))</f>
        <v/>
      </c>
      <c r="T187" s="94" t="str">
        <f>IF(Z187=0,"",IF(S187="Cadastro incompleto","MTR INCOMPLETO",IF(S187="Informação a revisar",IF(AND(AH187&gt;0,AC187=0,AD187=0,AF187=0,AK187=0,AL187=0),"QUANTIDADE A REVISAR","IDENTIFICAÇÃO A REVISAR"),IF(S187="Aguardando recebimento","RECEBIMENTO NÃO CONFIRMADO",IF(S187="Aguardando CDF","CDF NÃO LOCALIZADO",IF(S187="Vínculo de CDF parcial","VÍNCULO INCOMPLETO",IF(S187="CDF localizado, a conferir","CDF A CONFERIR","")))))))</f>
        <v/>
      </c>
      <c r="U187" s="95" t="str">
        <f>IF(T187="","",IF(AQ187="","Não calculável",IF(AQ187&gt;TODAY(),"Data futura",TODAY()-AQ187)))</f>
        <v/>
      </c>
      <c r="V187" s="93" t="str">
        <f>IF(Z187=0,"",SUMIFS('RECEBIMENTOS'!$H$6:$H$1005,'RECEBIMENTOS'!$B$6:$B$1005,A187,'RECEBIMENTOS'!$Z$6:$Z$1005,1))</f>
        <v/>
      </c>
      <c r="W187" s="95" t="str">
        <f>IF(Z187=0,"",COUNTIFS('ITENS_MTR'!$S$6:$S$1005,A187,'ITENS_MTR'!$R$6:$R$1005,1))</f>
        <v/>
      </c>
      <c r="X187" s="94" t="str">
        <f>IF(AC187=1,"POSSÍVEL DUPLICIDADE","")</f>
        <v/>
      </c>
      <c r="Y187" s="94" t="str">
        <f>IF(Z187=0,"",IF(AW187="","Nenhuma",LEFT(AW187,LEN(AW187)-2)))</f>
        <v/>
      </c>
      <c r="Z187" s="96">
        <f>IF(COUNTA(B187:O187)&gt;0,1,0)</f>
        <v>0</v>
      </c>
      <c r="AA187" s="96">
        <f>IF(AND(Z187=1,K187&lt;&gt;""),IF(TRIM(K187)=TRIM(cfg_cancel),1,0),0)</f>
        <v>0</v>
      </c>
      <c r="AB187" s="96" t="str">
        <f>IF(AND(Z187=1,B187&lt;&gt;""),C187&amp;"|"&amp;D187&amp;"|"&amp;G187&amp;"|"&amp;TRIM(B187),"")</f>
        <v/>
      </c>
      <c r="AC187" s="96">
        <f>IF(AB187="",0,IF(SUMPRODUCT(--($AB$6:$AB$505=AB187))&gt;1,1,0))</f>
        <v>0</v>
      </c>
      <c r="AD187" s="96">
        <f>IF(Z187=0,0,IF(OR(AND(G187&lt;&gt;"",ISNA(MATCH(G187,'CAD_UNIDADES'!$C$6:$C$105,0))),AND(H187&lt;&gt;"",ISNA(MATCH(H187,cmp_transp,0))),AND(I187&lt;&gt;"",ISNA(MATCH(I187,cmp_dest,0))),AND(E187&lt;&gt;"",NOT(ISNUMBER(E187))),AND(F187&lt;&gt;"",NOT(ISNUMBER(F187))),AND(ISNUMBER(E187),ISNUMBER(F187),F187&lt;E187)),1,0))</f>
        <v>0</v>
      </c>
      <c r="AE187" s="96">
        <f>IF(Z187=0,0,IF(OR(B187="",C187="",E187="",G187="",H187="",I187="",N(W187)=0),1,0))</f>
        <v>0</v>
      </c>
      <c r="AF187" s="96">
        <f>IF(Z187=0,0,COUNTIFS('ITENS_MTR'!$S$6:$S$1005,A187,'ITENS_MTR'!$AI$6:$AI$1005,1))</f>
        <v>0</v>
      </c>
      <c r="AG187" s="96">
        <f>IF(Z187=0,0,COUNTIFS('ITENS_MTR'!$S$6:$S$1005,A187,'ITENS_MTR'!$AJ$6:$AJ$1005,1))</f>
        <v>0</v>
      </c>
      <c r="AH187" s="96">
        <f>IF(Z187=0,0,COUNTIFS('ITENS_MTR'!$S$6:$S$1005,A187,'ITENS_MTR'!$AM$6:$AM$1005,1))</f>
        <v>0</v>
      </c>
      <c r="AI187" s="96">
        <f>IF(Z187=0,0,COUNTIFS('ITENS_MTR'!$S$6:$S$1005,A187,'ITENS_MTR'!$AO$6:$AO$1005,1))</f>
        <v>0</v>
      </c>
      <c r="AJ187" s="96">
        <f>IF(Z187=0,0,COUNTIFS('ITENS_MTR'!$S$6:$S$1005,A187,'ITENS_MTR'!$AN$6:$AN$1005,1))</f>
        <v>0</v>
      </c>
      <c r="AK187" s="96">
        <f>IF(Z187=0,0,COUNTIFS('RECEBIMENTOS'!$B$6:$B$1005,A187,'RECEBIMENTOS'!$Y$6:$Y$1005,1))</f>
        <v>0</v>
      </c>
      <c r="AL187" s="96">
        <f>IF(Z187=0,0,COUNTIFS('VÍNCULOS_CDF'!$D$6:$D$1005,A187,'VÍNCULOS_CDF'!$Y$6:$Y$1005,1))</f>
        <v>0</v>
      </c>
      <c r="AM187" s="96">
        <f>IF(Z187=0,0,COUNTIFS('RECEBIMENTOS'!$B$6:$B$1005,A187,'RECEBIMENTOS'!$Q$6:$Q$1005,1))</f>
        <v>0</v>
      </c>
      <c r="AN187" s="96">
        <f>IF(AND(Z187=1,N(W187)&gt;0,AG187=N(W187)),1,0)</f>
        <v>0</v>
      </c>
      <c r="AO187" s="96">
        <f>IF(AND(Z187=1,N(W187)&gt;0,AI187=N(W187)),1,0)</f>
        <v>0</v>
      </c>
      <c r="AP187" s="97">
        <f>IF(Z187=0,0,_xlfn.MAXIFS('RECEBIMENTOS'!$E$6:$E$1005,'RECEBIMENTOS'!$B$6:$B$1005,A187))</f>
        <v>0</v>
      </c>
      <c r="AQ187" s="97" t="str">
        <f>IF(T187="","",IF(T187="RECEBIMENTO NÃO CONFIRMADO",IF(ISNUMBER(F187),F187,IF(ISNUMBER(E187),E187,"")),IF(OR(T187="CDF NÃO LOCALIZADO",T187="VÍNCULO INCOMPLETO",T187="CDF A CONFERIR"),IF(AP187&gt;0,AP187,IF(ISNUMBER(E187),E187,"")),IF(ISNUMBER(E187),E187,""))))</f>
        <v/>
      </c>
      <c r="AR187" s="96">
        <f>IF(NOT(ISNUMBER(U187)),0,IF(T187="RECEBIMENTO NÃO CONFIRMADO",IF(AND(ISNUMBER(cfg_rec),U187&gt;cfg_rec),1,0),IF(OR(T187="CDF NÃO LOCALIZADO",T187="VÍNCULO INCOMPLETO",T187="CDF A CONFERIR"),IF(AND(ISNUMBER(cfg_cdf),U187&gt;cfg_cdf),1,0),0)))</f>
        <v>0</v>
      </c>
      <c r="AS187" s="96" t="str">
        <f>IF(T187="","",IF(AR187=1,"Alta",IFERROR(INDEX(cfg_pp,MATCH(T187,cfg_pt,0))&amp;"","Média")))</f>
        <v/>
      </c>
      <c r="AT187" s="96" t="str">
        <f>IF(T187="","",IFERROR(INDEX(cfg_pv,MATCH(T187,cfg_pt,0))&amp;"",""))</f>
        <v/>
      </c>
      <c r="AU187" s="96" t="str">
        <f>IF(T187="","",IF(AS187="Alta",1,IF(AS187="Média",2,3))*1000000000+(999999-IF(ISNUMBER(U187),MIN(U187,999999),0))*1000+182)</f>
        <v/>
      </c>
      <c r="AV187" s="96">
        <f>IF(T187&lt;&gt;"",1,0)</f>
        <v>0</v>
      </c>
      <c r="AW187" s="96" t="str">
        <f>IF(Z187=0,"",IF(AA187=1,"Cancelamento informado; ","")&amp;IF(AE187=1,"Campos essenciais ou itens faltando; ","")&amp;IF(AC187=1,"Possível duplicidade do número; ","")&amp;IF(AD187=1,"Cadastro ou datas a revisar; ","")&amp;IF(AF187&gt;0,"Item de resíduo com dado a revisar; ","")&amp;IF(AH187&gt;0,"Diferença de quantidade a analisar; ","")&amp;IF(AK187&gt;0,"Recebimento com alerta; ","")&amp;IF(AL187&gt;0,"Vínculo de CDF com alerta; ","")&amp;IF(AND(AA187=0,AN187=0),"Recebimento não confirmado; ","")&amp;IF(AND(AA187=0,AN187=1,AO187=0),"CDF pendente ou a conferir; ",""))</f>
        <v/>
      </c>
      <c r="AX187" s="96">
        <f>IF(Z187=0,0,IF(AND(OR(f_ini="",AND(ISNUMBER(E187),E187&gt;=f_ini)),OR(f_fim="",AND(ISNUMBER(E187),E187&lt;=f_fim)),OR(f_un="",f_un="(Todas)",G187=f_un),OR(f_tr="",f_tr="(Todos)",H187=f_tr),OR(f_de="",f_de="(Todos)",I187=f_de),OR(f_sit="",f_sit="(Todas)",S187=f_sit)),1,0))</f>
        <v>0</v>
      </c>
      <c r="AY187" s="96">
        <f>IF(AX187=0,0,IF(OR(f_res="",f_res="(Todos)"),1,IF(COUNTIFS('ITENS_MTR'!$S$6:$S$1005,A187,'ITENS_MTR'!$C$6:$C$1005,f_res)&gt;0,1,0)))</f>
        <v>0</v>
      </c>
      <c r="AZ187" s="97" t="str">
        <f>IF(ISNUMBER(E187),DATE(YEAR(E187),MONTH(E187),1),"")</f>
        <v/>
      </c>
      <c r="BA187" s="96">
        <f>IF(Z187=0,0,IF(AND(OR(r_ini="",AND(ISNUMBER(E187),E187&gt;=r_ini)),OR(r_fim="",AND(ISNUMBER(E187),E187&lt;=r_fim)),OR(r_un="",r_un="(Todas)",G187=r_un),OR(r_de="",r_de="(Todos)",I187=r_de)),1,0))</f>
        <v>0</v>
      </c>
      <c r="BB187" s="96" t="str">
        <f>IF(BA187=1,COUNTIF($BA$6:BA187,1),"")</f>
        <v/>
      </c>
      <c r="BC187" s="96" t="str">
        <f>IF(AND(AU187&lt;&gt;"",OR(r_un="",r_un="(Todas)",G187=r_un),OR(r_de="",r_de="(Todos)",I187=r_de)),AU187,"")</f>
        <v/>
      </c>
      <c r="BD187" s="96" t="str">
        <f>IF(Z187=1,A187&amp;" | nº "&amp;IF(B187="","(sem número)",B187)&amp;" | "&amp;IF(G187="","(sem unidade)",G187),"")</f>
        <v/>
      </c>
      <c r="BE187" s="96" t="str">
        <f>IF(Z187=1,COUNTIF($Z$6:Z187,1),"")</f>
        <v/>
      </c>
      <c r="BF187" s="96" t="str">
        <f>IF(T187="","",IF(T187="RECEBIMENTO NÃO CONFIRMADO","Transp.: "&amp;H187&amp;" | Dest.: "&amp;I187,IF(OR(T187="CDF NÃO LOCALIZADO",T187="VÍNCULO INCOMPLETO",T187="CDF A CONFERIR"),"Dest.: "&amp;I187,"Gerador: "&amp;G187)))</f>
        <v/>
      </c>
    </row>
    <row r="188">
      <c r="A188" s="89" t="inlineStr">
        <is>
          <t>MTR-000183</t>
        </is>
      </c>
      <c r="B188" s="90" t="n"/>
      <c r="C188" s="91" t="n"/>
      <c r="D188" s="91" t="n"/>
      <c r="E188" s="92" t="n"/>
      <c r="F188" s="92" t="n"/>
      <c r="G188" s="91" t="n"/>
      <c r="H188" s="91" t="n"/>
      <c r="I188" s="91" t="n"/>
      <c r="J188" s="91" t="n"/>
      <c r="K188" s="91" t="n"/>
      <c r="L188" s="92" t="n"/>
      <c r="M188" s="91" t="n"/>
      <c r="N188" s="91" t="n"/>
      <c r="O188" s="91" t="n"/>
      <c r="P188" s="93" t="str">
        <f>IF(Z188=0,"",SUMIFS('ITENS_MTR'!$I$6:$I$1005,'ITENS_MTR'!$S$6:$S$1005,A188,'ITENS_MTR'!$Y$6:$Y$1005,1))</f>
        <v/>
      </c>
      <c r="Q188" s="93" t="str">
        <f>IF(Z188=0,"",SUMIFS('RECEBIMENTOS'!$H$6:$H$1005,'RECEBIMENTOS'!$B$6:$B$1005,A188,'RECEBIMENTOS'!$X$6:$X$1005,1))</f>
        <v/>
      </c>
      <c r="R188" s="93" t="str">
        <f>IF(Z188=0,"",SUMIFS('VÍNCULOS_CDF'!$H$6:$H$1005,'VÍNCULOS_CDF'!$D$6:$D$1005,A188,'VÍNCULOS_CDF'!$V$6:$V$1005,1))</f>
        <v/>
      </c>
      <c r="S188" s="94" t="str">
        <f>IF(Z188=0,"",IF(AA188=1,"Cancelado (informado)",IF(AE188=1,"Cadastro incompleto",IF(OR(AC188=1,AD188=1,AF188&gt;0,AH188&gt;0,AK188&gt;0,AL188&gt;0),"Informação a revisar",IF(AN188=0,"Aguardando recebimento",IF(N(R188)=0,"Aguardando CDF",IF(AJ188&lt;N(W188),"Vínculo de CDF parcial",IF(AO188=0,"CDF localizado, a conferir","Documentação conferida"))))))))</f>
        <v/>
      </c>
      <c r="T188" s="94" t="str">
        <f>IF(Z188=0,"",IF(S188="Cadastro incompleto","MTR INCOMPLETO",IF(S188="Informação a revisar",IF(AND(AH188&gt;0,AC188=0,AD188=0,AF188=0,AK188=0,AL188=0),"QUANTIDADE A REVISAR","IDENTIFICAÇÃO A REVISAR"),IF(S188="Aguardando recebimento","RECEBIMENTO NÃO CONFIRMADO",IF(S188="Aguardando CDF","CDF NÃO LOCALIZADO",IF(S188="Vínculo de CDF parcial","VÍNCULO INCOMPLETO",IF(S188="CDF localizado, a conferir","CDF A CONFERIR","")))))))</f>
        <v/>
      </c>
      <c r="U188" s="95" t="str">
        <f>IF(T188="","",IF(AQ188="","Não calculável",IF(AQ188&gt;TODAY(),"Data futura",TODAY()-AQ188)))</f>
        <v/>
      </c>
      <c r="V188" s="93" t="str">
        <f>IF(Z188=0,"",SUMIFS('RECEBIMENTOS'!$H$6:$H$1005,'RECEBIMENTOS'!$B$6:$B$1005,A188,'RECEBIMENTOS'!$Z$6:$Z$1005,1))</f>
        <v/>
      </c>
      <c r="W188" s="95" t="str">
        <f>IF(Z188=0,"",COUNTIFS('ITENS_MTR'!$S$6:$S$1005,A188,'ITENS_MTR'!$R$6:$R$1005,1))</f>
        <v/>
      </c>
      <c r="X188" s="94" t="str">
        <f>IF(AC188=1,"POSSÍVEL DUPLICIDADE","")</f>
        <v/>
      </c>
      <c r="Y188" s="94" t="str">
        <f>IF(Z188=0,"",IF(AW188="","Nenhuma",LEFT(AW188,LEN(AW188)-2)))</f>
        <v/>
      </c>
      <c r="Z188" s="96">
        <f>IF(COUNTA(B188:O188)&gt;0,1,0)</f>
        <v>0</v>
      </c>
      <c r="AA188" s="96">
        <f>IF(AND(Z188=1,K188&lt;&gt;""),IF(TRIM(K188)=TRIM(cfg_cancel),1,0),0)</f>
        <v>0</v>
      </c>
      <c r="AB188" s="96" t="str">
        <f>IF(AND(Z188=1,B188&lt;&gt;""),C188&amp;"|"&amp;D188&amp;"|"&amp;G188&amp;"|"&amp;TRIM(B188),"")</f>
        <v/>
      </c>
      <c r="AC188" s="96">
        <f>IF(AB188="",0,IF(SUMPRODUCT(--($AB$6:$AB$505=AB188))&gt;1,1,0))</f>
        <v>0</v>
      </c>
      <c r="AD188" s="96">
        <f>IF(Z188=0,0,IF(OR(AND(G188&lt;&gt;"",ISNA(MATCH(G188,'CAD_UNIDADES'!$C$6:$C$105,0))),AND(H188&lt;&gt;"",ISNA(MATCH(H188,cmp_transp,0))),AND(I188&lt;&gt;"",ISNA(MATCH(I188,cmp_dest,0))),AND(E188&lt;&gt;"",NOT(ISNUMBER(E188))),AND(F188&lt;&gt;"",NOT(ISNUMBER(F188))),AND(ISNUMBER(E188),ISNUMBER(F188),F188&lt;E188)),1,0))</f>
        <v>0</v>
      </c>
      <c r="AE188" s="96">
        <f>IF(Z188=0,0,IF(OR(B188="",C188="",E188="",G188="",H188="",I188="",N(W188)=0),1,0))</f>
        <v>0</v>
      </c>
      <c r="AF188" s="96">
        <f>IF(Z188=0,0,COUNTIFS('ITENS_MTR'!$S$6:$S$1005,A188,'ITENS_MTR'!$AI$6:$AI$1005,1))</f>
        <v>0</v>
      </c>
      <c r="AG188" s="96">
        <f>IF(Z188=0,0,COUNTIFS('ITENS_MTR'!$S$6:$S$1005,A188,'ITENS_MTR'!$AJ$6:$AJ$1005,1))</f>
        <v>0</v>
      </c>
      <c r="AH188" s="96">
        <f>IF(Z188=0,0,COUNTIFS('ITENS_MTR'!$S$6:$S$1005,A188,'ITENS_MTR'!$AM$6:$AM$1005,1))</f>
        <v>0</v>
      </c>
      <c r="AI188" s="96">
        <f>IF(Z188=0,0,COUNTIFS('ITENS_MTR'!$S$6:$S$1005,A188,'ITENS_MTR'!$AO$6:$AO$1005,1))</f>
        <v>0</v>
      </c>
      <c r="AJ188" s="96">
        <f>IF(Z188=0,0,COUNTIFS('ITENS_MTR'!$S$6:$S$1005,A188,'ITENS_MTR'!$AN$6:$AN$1005,1))</f>
        <v>0</v>
      </c>
      <c r="AK188" s="96">
        <f>IF(Z188=0,0,COUNTIFS('RECEBIMENTOS'!$B$6:$B$1005,A188,'RECEBIMENTOS'!$Y$6:$Y$1005,1))</f>
        <v>0</v>
      </c>
      <c r="AL188" s="96">
        <f>IF(Z188=0,0,COUNTIFS('VÍNCULOS_CDF'!$D$6:$D$1005,A188,'VÍNCULOS_CDF'!$Y$6:$Y$1005,1))</f>
        <v>0</v>
      </c>
      <c r="AM188" s="96">
        <f>IF(Z188=0,0,COUNTIFS('RECEBIMENTOS'!$B$6:$B$1005,A188,'RECEBIMENTOS'!$Q$6:$Q$1005,1))</f>
        <v>0</v>
      </c>
      <c r="AN188" s="96">
        <f>IF(AND(Z188=1,N(W188)&gt;0,AG188=N(W188)),1,0)</f>
        <v>0</v>
      </c>
      <c r="AO188" s="96">
        <f>IF(AND(Z188=1,N(W188)&gt;0,AI188=N(W188)),1,0)</f>
        <v>0</v>
      </c>
      <c r="AP188" s="97">
        <f>IF(Z188=0,0,_xlfn.MAXIFS('RECEBIMENTOS'!$E$6:$E$1005,'RECEBIMENTOS'!$B$6:$B$1005,A188))</f>
        <v>0</v>
      </c>
      <c r="AQ188" s="97" t="str">
        <f>IF(T188="","",IF(T188="RECEBIMENTO NÃO CONFIRMADO",IF(ISNUMBER(F188),F188,IF(ISNUMBER(E188),E188,"")),IF(OR(T188="CDF NÃO LOCALIZADO",T188="VÍNCULO INCOMPLETO",T188="CDF A CONFERIR"),IF(AP188&gt;0,AP188,IF(ISNUMBER(E188),E188,"")),IF(ISNUMBER(E188),E188,""))))</f>
        <v/>
      </c>
      <c r="AR188" s="96">
        <f>IF(NOT(ISNUMBER(U188)),0,IF(T188="RECEBIMENTO NÃO CONFIRMADO",IF(AND(ISNUMBER(cfg_rec),U188&gt;cfg_rec),1,0),IF(OR(T188="CDF NÃO LOCALIZADO",T188="VÍNCULO INCOMPLETO",T188="CDF A CONFERIR"),IF(AND(ISNUMBER(cfg_cdf),U188&gt;cfg_cdf),1,0),0)))</f>
        <v>0</v>
      </c>
      <c r="AS188" s="96" t="str">
        <f>IF(T188="","",IF(AR188=1,"Alta",IFERROR(INDEX(cfg_pp,MATCH(T188,cfg_pt,0))&amp;"","Média")))</f>
        <v/>
      </c>
      <c r="AT188" s="96" t="str">
        <f>IF(T188="","",IFERROR(INDEX(cfg_pv,MATCH(T188,cfg_pt,0))&amp;"",""))</f>
        <v/>
      </c>
      <c r="AU188" s="96" t="str">
        <f>IF(T188="","",IF(AS188="Alta",1,IF(AS188="Média",2,3))*1000000000+(999999-IF(ISNUMBER(U188),MIN(U188,999999),0))*1000+183)</f>
        <v/>
      </c>
      <c r="AV188" s="96">
        <f>IF(T188&lt;&gt;"",1,0)</f>
        <v>0</v>
      </c>
      <c r="AW188" s="96" t="str">
        <f>IF(Z188=0,"",IF(AA188=1,"Cancelamento informado; ","")&amp;IF(AE188=1,"Campos essenciais ou itens faltando; ","")&amp;IF(AC188=1,"Possível duplicidade do número; ","")&amp;IF(AD188=1,"Cadastro ou datas a revisar; ","")&amp;IF(AF188&gt;0,"Item de resíduo com dado a revisar; ","")&amp;IF(AH188&gt;0,"Diferença de quantidade a analisar; ","")&amp;IF(AK188&gt;0,"Recebimento com alerta; ","")&amp;IF(AL188&gt;0,"Vínculo de CDF com alerta; ","")&amp;IF(AND(AA188=0,AN188=0),"Recebimento não confirmado; ","")&amp;IF(AND(AA188=0,AN188=1,AO188=0),"CDF pendente ou a conferir; ",""))</f>
        <v/>
      </c>
      <c r="AX188" s="96">
        <f>IF(Z188=0,0,IF(AND(OR(f_ini="",AND(ISNUMBER(E188),E188&gt;=f_ini)),OR(f_fim="",AND(ISNUMBER(E188),E188&lt;=f_fim)),OR(f_un="",f_un="(Todas)",G188=f_un),OR(f_tr="",f_tr="(Todos)",H188=f_tr),OR(f_de="",f_de="(Todos)",I188=f_de),OR(f_sit="",f_sit="(Todas)",S188=f_sit)),1,0))</f>
        <v>0</v>
      </c>
      <c r="AY188" s="96">
        <f>IF(AX188=0,0,IF(OR(f_res="",f_res="(Todos)"),1,IF(COUNTIFS('ITENS_MTR'!$S$6:$S$1005,A188,'ITENS_MTR'!$C$6:$C$1005,f_res)&gt;0,1,0)))</f>
        <v>0</v>
      </c>
      <c r="AZ188" s="97" t="str">
        <f>IF(ISNUMBER(E188),DATE(YEAR(E188),MONTH(E188),1),"")</f>
        <v/>
      </c>
      <c r="BA188" s="96">
        <f>IF(Z188=0,0,IF(AND(OR(r_ini="",AND(ISNUMBER(E188),E188&gt;=r_ini)),OR(r_fim="",AND(ISNUMBER(E188),E188&lt;=r_fim)),OR(r_un="",r_un="(Todas)",G188=r_un),OR(r_de="",r_de="(Todos)",I188=r_de)),1,0))</f>
        <v>0</v>
      </c>
      <c r="BB188" s="96" t="str">
        <f>IF(BA188=1,COUNTIF($BA$6:BA188,1),"")</f>
        <v/>
      </c>
      <c r="BC188" s="96" t="str">
        <f>IF(AND(AU188&lt;&gt;"",OR(r_un="",r_un="(Todas)",G188=r_un),OR(r_de="",r_de="(Todos)",I188=r_de)),AU188,"")</f>
        <v/>
      </c>
      <c r="BD188" s="96" t="str">
        <f>IF(Z188=1,A188&amp;" | nº "&amp;IF(B188="","(sem número)",B188)&amp;" | "&amp;IF(G188="","(sem unidade)",G188),"")</f>
        <v/>
      </c>
      <c r="BE188" s="96" t="str">
        <f>IF(Z188=1,COUNTIF($Z$6:Z188,1),"")</f>
        <v/>
      </c>
      <c r="BF188" s="96" t="str">
        <f>IF(T188="","",IF(T188="RECEBIMENTO NÃO CONFIRMADO","Transp.: "&amp;H188&amp;" | Dest.: "&amp;I188,IF(OR(T188="CDF NÃO LOCALIZADO",T188="VÍNCULO INCOMPLETO",T188="CDF A CONFERIR"),"Dest.: "&amp;I188,"Gerador: "&amp;G188)))</f>
        <v/>
      </c>
    </row>
    <row r="189">
      <c r="A189" s="89" t="inlineStr">
        <is>
          <t>MTR-000184</t>
        </is>
      </c>
      <c r="B189" s="90" t="n"/>
      <c r="C189" s="91" t="n"/>
      <c r="D189" s="91" t="n"/>
      <c r="E189" s="92" t="n"/>
      <c r="F189" s="92" t="n"/>
      <c r="G189" s="91" t="n"/>
      <c r="H189" s="91" t="n"/>
      <c r="I189" s="91" t="n"/>
      <c r="J189" s="91" t="n"/>
      <c r="K189" s="91" t="n"/>
      <c r="L189" s="92" t="n"/>
      <c r="M189" s="91" t="n"/>
      <c r="N189" s="91" t="n"/>
      <c r="O189" s="91" t="n"/>
      <c r="P189" s="93" t="str">
        <f>IF(Z189=0,"",SUMIFS('ITENS_MTR'!$I$6:$I$1005,'ITENS_MTR'!$S$6:$S$1005,A189,'ITENS_MTR'!$Y$6:$Y$1005,1))</f>
        <v/>
      </c>
      <c r="Q189" s="93" t="str">
        <f>IF(Z189=0,"",SUMIFS('RECEBIMENTOS'!$H$6:$H$1005,'RECEBIMENTOS'!$B$6:$B$1005,A189,'RECEBIMENTOS'!$X$6:$X$1005,1))</f>
        <v/>
      </c>
      <c r="R189" s="93" t="str">
        <f>IF(Z189=0,"",SUMIFS('VÍNCULOS_CDF'!$H$6:$H$1005,'VÍNCULOS_CDF'!$D$6:$D$1005,A189,'VÍNCULOS_CDF'!$V$6:$V$1005,1))</f>
        <v/>
      </c>
      <c r="S189" s="94" t="str">
        <f>IF(Z189=0,"",IF(AA189=1,"Cancelado (informado)",IF(AE189=1,"Cadastro incompleto",IF(OR(AC189=1,AD189=1,AF189&gt;0,AH189&gt;0,AK189&gt;0,AL189&gt;0),"Informação a revisar",IF(AN189=0,"Aguardando recebimento",IF(N(R189)=0,"Aguardando CDF",IF(AJ189&lt;N(W189),"Vínculo de CDF parcial",IF(AO189=0,"CDF localizado, a conferir","Documentação conferida"))))))))</f>
        <v/>
      </c>
      <c r="T189" s="94" t="str">
        <f>IF(Z189=0,"",IF(S189="Cadastro incompleto","MTR INCOMPLETO",IF(S189="Informação a revisar",IF(AND(AH189&gt;0,AC189=0,AD189=0,AF189=0,AK189=0,AL189=0),"QUANTIDADE A REVISAR","IDENTIFICAÇÃO A REVISAR"),IF(S189="Aguardando recebimento","RECEBIMENTO NÃO CONFIRMADO",IF(S189="Aguardando CDF","CDF NÃO LOCALIZADO",IF(S189="Vínculo de CDF parcial","VÍNCULO INCOMPLETO",IF(S189="CDF localizado, a conferir","CDF A CONFERIR","")))))))</f>
        <v/>
      </c>
      <c r="U189" s="95" t="str">
        <f>IF(T189="","",IF(AQ189="","Não calculável",IF(AQ189&gt;TODAY(),"Data futura",TODAY()-AQ189)))</f>
        <v/>
      </c>
      <c r="V189" s="93" t="str">
        <f>IF(Z189=0,"",SUMIFS('RECEBIMENTOS'!$H$6:$H$1005,'RECEBIMENTOS'!$B$6:$B$1005,A189,'RECEBIMENTOS'!$Z$6:$Z$1005,1))</f>
        <v/>
      </c>
      <c r="W189" s="95" t="str">
        <f>IF(Z189=0,"",COUNTIFS('ITENS_MTR'!$S$6:$S$1005,A189,'ITENS_MTR'!$R$6:$R$1005,1))</f>
        <v/>
      </c>
      <c r="X189" s="94" t="str">
        <f>IF(AC189=1,"POSSÍVEL DUPLICIDADE","")</f>
        <v/>
      </c>
      <c r="Y189" s="94" t="str">
        <f>IF(Z189=0,"",IF(AW189="","Nenhuma",LEFT(AW189,LEN(AW189)-2)))</f>
        <v/>
      </c>
      <c r="Z189" s="96">
        <f>IF(COUNTA(B189:O189)&gt;0,1,0)</f>
        <v>0</v>
      </c>
      <c r="AA189" s="96">
        <f>IF(AND(Z189=1,K189&lt;&gt;""),IF(TRIM(K189)=TRIM(cfg_cancel),1,0),0)</f>
        <v>0</v>
      </c>
      <c r="AB189" s="96" t="str">
        <f>IF(AND(Z189=1,B189&lt;&gt;""),C189&amp;"|"&amp;D189&amp;"|"&amp;G189&amp;"|"&amp;TRIM(B189),"")</f>
        <v/>
      </c>
      <c r="AC189" s="96">
        <f>IF(AB189="",0,IF(SUMPRODUCT(--($AB$6:$AB$505=AB189))&gt;1,1,0))</f>
        <v>0</v>
      </c>
      <c r="AD189" s="96">
        <f>IF(Z189=0,0,IF(OR(AND(G189&lt;&gt;"",ISNA(MATCH(G189,'CAD_UNIDADES'!$C$6:$C$105,0))),AND(H189&lt;&gt;"",ISNA(MATCH(H189,cmp_transp,0))),AND(I189&lt;&gt;"",ISNA(MATCH(I189,cmp_dest,0))),AND(E189&lt;&gt;"",NOT(ISNUMBER(E189))),AND(F189&lt;&gt;"",NOT(ISNUMBER(F189))),AND(ISNUMBER(E189),ISNUMBER(F189),F189&lt;E189)),1,0))</f>
        <v>0</v>
      </c>
      <c r="AE189" s="96">
        <f>IF(Z189=0,0,IF(OR(B189="",C189="",E189="",G189="",H189="",I189="",N(W189)=0),1,0))</f>
        <v>0</v>
      </c>
      <c r="AF189" s="96">
        <f>IF(Z189=0,0,COUNTIFS('ITENS_MTR'!$S$6:$S$1005,A189,'ITENS_MTR'!$AI$6:$AI$1005,1))</f>
        <v>0</v>
      </c>
      <c r="AG189" s="96">
        <f>IF(Z189=0,0,COUNTIFS('ITENS_MTR'!$S$6:$S$1005,A189,'ITENS_MTR'!$AJ$6:$AJ$1005,1))</f>
        <v>0</v>
      </c>
      <c r="AH189" s="96">
        <f>IF(Z189=0,0,COUNTIFS('ITENS_MTR'!$S$6:$S$1005,A189,'ITENS_MTR'!$AM$6:$AM$1005,1))</f>
        <v>0</v>
      </c>
      <c r="AI189" s="96">
        <f>IF(Z189=0,0,COUNTIFS('ITENS_MTR'!$S$6:$S$1005,A189,'ITENS_MTR'!$AO$6:$AO$1005,1))</f>
        <v>0</v>
      </c>
      <c r="AJ189" s="96">
        <f>IF(Z189=0,0,COUNTIFS('ITENS_MTR'!$S$6:$S$1005,A189,'ITENS_MTR'!$AN$6:$AN$1005,1))</f>
        <v>0</v>
      </c>
      <c r="AK189" s="96">
        <f>IF(Z189=0,0,COUNTIFS('RECEBIMENTOS'!$B$6:$B$1005,A189,'RECEBIMENTOS'!$Y$6:$Y$1005,1))</f>
        <v>0</v>
      </c>
      <c r="AL189" s="96">
        <f>IF(Z189=0,0,COUNTIFS('VÍNCULOS_CDF'!$D$6:$D$1005,A189,'VÍNCULOS_CDF'!$Y$6:$Y$1005,1))</f>
        <v>0</v>
      </c>
      <c r="AM189" s="96">
        <f>IF(Z189=0,0,COUNTIFS('RECEBIMENTOS'!$B$6:$B$1005,A189,'RECEBIMENTOS'!$Q$6:$Q$1005,1))</f>
        <v>0</v>
      </c>
      <c r="AN189" s="96">
        <f>IF(AND(Z189=1,N(W189)&gt;0,AG189=N(W189)),1,0)</f>
        <v>0</v>
      </c>
      <c r="AO189" s="96">
        <f>IF(AND(Z189=1,N(W189)&gt;0,AI189=N(W189)),1,0)</f>
        <v>0</v>
      </c>
      <c r="AP189" s="97">
        <f>IF(Z189=0,0,_xlfn.MAXIFS('RECEBIMENTOS'!$E$6:$E$1005,'RECEBIMENTOS'!$B$6:$B$1005,A189))</f>
        <v>0</v>
      </c>
      <c r="AQ189" s="97" t="str">
        <f>IF(T189="","",IF(T189="RECEBIMENTO NÃO CONFIRMADO",IF(ISNUMBER(F189),F189,IF(ISNUMBER(E189),E189,"")),IF(OR(T189="CDF NÃO LOCALIZADO",T189="VÍNCULO INCOMPLETO",T189="CDF A CONFERIR"),IF(AP189&gt;0,AP189,IF(ISNUMBER(E189),E189,"")),IF(ISNUMBER(E189),E189,""))))</f>
        <v/>
      </c>
      <c r="AR189" s="96">
        <f>IF(NOT(ISNUMBER(U189)),0,IF(T189="RECEBIMENTO NÃO CONFIRMADO",IF(AND(ISNUMBER(cfg_rec),U189&gt;cfg_rec),1,0),IF(OR(T189="CDF NÃO LOCALIZADO",T189="VÍNCULO INCOMPLETO",T189="CDF A CONFERIR"),IF(AND(ISNUMBER(cfg_cdf),U189&gt;cfg_cdf),1,0),0)))</f>
        <v>0</v>
      </c>
      <c r="AS189" s="96" t="str">
        <f>IF(T189="","",IF(AR189=1,"Alta",IFERROR(INDEX(cfg_pp,MATCH(T189,cfg_pt,0))&amp;"","Média")))</f>
        <v/>
      </c>
      <c r="AT189" s="96" t="str">
        <f>IF(T189="","",IFERROR(INDEX(cfg_pv,MATCH(T189,cfg_pt,0))&amp;"",""))</f>
        <v/>
      </c>
      <c r="AU189" s="96" t="str">
        <f>IF(T189="","",IF(AS189="Alta",1,IF(AS189="Média",2,3))*1000000000+(999999-IF(ISNUMBER(U189),MIN(U189,999999),0))*1000+184)</f>
        <v/>
      </c>
      <c r="AV189" s="96">
        <f>IF(T189&lt;&gt;"",1,0)</f>
        <v>0</v>
      </c>
      <c r="AW189" s="96" t="str">
        <f>IF(Z189=0,"",IF(AA189=1,"Cancelamento informado; ","")&amp;IF(AE189=1,"Campos essenciais ou itens faltando; ","")&amp;IF(AC189=1,"Possível duplicidade do número; ","")&amp;IF(AD189=1,"Cadastro ou datas a revisar; ","")&amp;IF(AF189&gt;0,"Item de resíduo com dado a revisar; ","")&amp;IF(AH189&gt;0,"Diferença de quantidade a analisar; ","")&amp;IF(AK189&gt;0,"Recebimento com alerta; ","")&amp;IF(AL189&gt;0,"Vínculo de CDF com alerta; ","")&amp;IF(AND(AA189=0,AN189=0),"Recebimento não confirmado; ","")&amp;IF(AND(AA189=0,AN189=1,AO189=0),"CDF pendente ou a conferir; ",""))</f>
        <v/>
      </c>
      <c r="AX189" s="96">
        <f>IF(Z189=0,0,IF(AND(OR(f_ini="",AND(ISNUMBER(E189),E189&gt;=f_ini)),OR(f_fim="",AND(ISNUMBER(E189),E189&lt;=f_fim)),OR(f_un="",f_un="(Todas)",G189=f_un),OR(f_tr="",f_tr="(Todos)",H189=f_tr),OR(f_de="",f_de="(Todos)",I189=f_de),OR(f_sit="",f_sit="(Todas)",S189=f_sit)),1,0))</f>
        <v>0</v>
      </c>
      <c r="AY189" s="96">
        <f>IF(AX189=0,0,IF(OR(f_res="",f_res="(Todos)"),1,IF(COUNTIFS('ITENS_MTR'!$S$6:$S$1005,A189,'ITENS_MTR'!$C$6:$C$1005,f_res)&gt;0,1,0)))</f>
        <v>0</v>
      </c>
      <c r="AZ189" s="97" t="str">
        <f>IF(ISNUMBER(E189),DATE(YEAR(E189),MONTH(E189),1),"")</f>
        <v/>
      </c>
      <c r="BA189" s="96">
        <f>IF(Z189=0,0,IF(AND(OR(r_ini="",AND(ISNUMBER(E189),E189&gt;=r_ini)),OR(r_fim="",AND(ISNUMBER(E189),E189&lt;=r_fim)),OR(r_un="",r_un="(Todas)",G189=r_un),OR(r_de="",r_de="(Todos)",I189=r_de)),1,0))</f>
        <v>0</v>
      </c>
      <c r="BB189" s="96" t="str">
        <f>IF(BA189=1,COUNTIF($BA$6:BA189,1),"")</f>
        <v/>
      </c>
      <c r="BC189" s="96" t="str">
        <f>IF(AND(AU189&lt;&gt;"",OR(r_un="",r_un="(Todas)",G189=r_un),OR(r_de="",r_de="(Todos)",I189=r_de)),AU189,"")</f>
        <v/>
      </c>
      <c r="BD189" s="96" t="str">
        <f>IF(Z189=1,A189&amp;" | nº "&amp;IF(B189="","(sem número)",B189)&amp;" | "&amp;IF(G189="","(sem unidade)",G189),"")</f>
        <v/>
      </c>
      <c r="BE189" s="96" t="str">
        <f>IF(Z189=1,COUNTIF($Z$6:Z189,1),"")</f>
        <v/>
      </c>
      <c r="BF189" s="96" t="str">
        <f>IF(T189="","",IF(T189="RECEBIMENTO NÃO CONFIRMADO","Transp.: "&amp;H189&amp;" | Dest.: "&amp;I189,IF(OR(T189="CDF NÃO LOCALIZADO",T189="VÍNCULO INCOMPLETO",T189="CDF A CONFERIR"),"Dest.: "&amp;I189,"Gerador: "&amp;G189)))</f>
        <v/>
      </c>
    </row>
    <row r="190">
      <c r="A190" s="89" t="inlineStr">
        <is>
          <t>MTR-000185</t>
        </is>
      </c>
      <c r="B190" s="90" t="n"/>
      <c r="C190" s="91" t="n"/>
      <c r="D190" s="91" t="n"/>
      <c r="E190" s="92" t="n"/>
      <c r="F190" s="92" t="n"/>
      <c r="G190" s="91" t="n"/>
      <c r="H190" s="91" t="n"/>
      <c r="I190" s="91" t="n"/>
      <c r="J190" s="91" t="n"/>
      <c r="K190" s="91" t="n"/>
      <c r="L190" s="92" t="n"/>
      <c r="M190" s="91" t="n"/>
      <c r="N190" s="91" t="n"/>
      <c r="O190" s="91" t="n"/>
      <c r="P190" s="93" t="str">
        <f>IF(Z190=0,"",SUMIFS('ITENS_MTR'!$I$6:$I$1005,'ITENS_MTR'!$S$6:$S$1005,A190,'ITENS_MTR'!$Y$6:$Y$1005,1))</f>
        <v/>
      </c>
      <c r="Q190" s="93" t="str">
        <f>IF(Z190=0,"",SUMIFS('RECEBIMENTOS'!$H$6:$H$1005,'RECEBIMENTOS'!$B$6:$B$1005,A190,'RECEBIMENTOS'!$X$6:$X$1005,1))</f>
        <v/>
      </c>
      <c r="R190" s="93" t="str">
        <f>IF(Z190=0,"",SUMIFS('VÍNCULOS_CDF'!$H$6:$H$1005,'VÍNCULOS_CDF'!$D$6:$D$1005,A190,'VÍNCULOS_CDF'!$V$6:$V$1005,1))</f>
        <v/>
      </c>
      <c r="S190" s="94" t="str">
        <f>IF(Z190=0,"",IF(AA190=1,"Cancelado (informado)",IF(AE190=1,"Cadastro incompleto",IF(OR(AC190=1,AD190=1,AF190&gt;0,AH190&gt;0,AK190&gt;0,AL190&gt;0),"Informação a revisar",IF(AN190=0,"Aguardando recebimento",IF(N(R190)=0,"Aguardando CDF",IF(AJ190&lt;N(W190),"Vínculo de CDF parcial",IF(AO190=0,"CDF localizado, a conferir","Documentação conferida"))))))))</f>
        <v/>
      </c>
      <c r="T190" s="94" t="str">
        <f>IF(Z190=0,"",IF(S190="Cadastro incompleto","MTR INCOMPLETO",IF(S190="Informação a revisar",IF(AND(AH190&gt;0,AC190=0,AD190=0,AF190=0,AK190=0,AL190=0),"QUANTIDADE A REVISAR","IDENTIFICAÇÃO A REVISAR"),IF(S190="Aguardando recebimento","RECEBIMENTO NÃO CONFIRMADO",IF(S190="Aguardando CDF","CDF NÃO LOCALIZADO",IF(S190="Vínculo de CDF parcial","VÍNCULO INCOMPLETO",IF(S190="CDF localizado, a conferir","CDF A CONFERIR","")))))))</f>
        <v/>
      </c>
      <c r="U190" s="95" t="str">
        <f>IF(T190="","",IF(AQ190="","Não calculável",IF(AQ190&gt;TODAY(),"Data futura",TODAY()-AQ190)))</f>
        <v/>
      </c>
      <c r="V190" s="93" t="str">
        <f>IF(Z190=0,"",SUMIFS('RECEBIMENTOS'!$H$6:$H$1005,'RECEBIMENTOS'!$B$6:$B$1005,A190,'RECEBIMENTOS'!$Z$6:$Z$1005,1))</f>
        <v/>
      </c>
      <c r="W190" s="95" t="str">
        <f>IF(Z190=0,"",COUNTIFS('ITENS_MTR'!$S$6:$S$1005,A190,'ITENS_MTR'!$R$6:$R$1005,1))</f>
        <v/>
      </c>
      <c r="X190" s="94" t="str">
        <f>IF(AC190=1,"POSSÍVEL DUPLICIDADE","")</f>
        <v/>
      </c>
      <c r="Y190" s="94" t="str">
        <f>IF(Z190=0,"",IF(AW190="","Nenhuma",LEFT(AW190,LEN(AW190)-2)))</f>
        <v/>
      </c>
      <c r="Z190" s="96">
        <f>IF(COUNTA(B190:O190)&gt;0,1,0)</f>
        <v>0</v>
      </c>
      <c r="AA190" s="96">
        <f>IF(AND(Z190=1,K190&lt;&gt;""),IF(TRIM(K190)=TRIM(cfg_cancel),1,0),0)</f>
        <v>0</v>
      </c>
      <c r="AB190" s="96" t="str">
        <f>IF(AND(Z190=1,B190&lt;&gt;""),C190&amp;"|"&amp;D190&amp;"|"&amp;G190&amp;"|"&amp;TRIM(B190),"")</f>
        <v/>
      </c>
      <c r="AC190" s="96">
        <f>IF(AB190="",0,IF(SUMPRODUCT(--($AB$6:$AB$505=AB190))&gt;1,1,0))</f>
        <v>0</v>
      </c>
      <c r="AD190" s="96">
        <f>IF(Z190=0,0,IF(OR(AND(G190&lt;&gt;"",ISNA(MATCH(G190,'CAD_UNIDADES'!$C$6:$C$105,0))),AND(H190&lt;&gt;"",ISNA(MATCH(H190,cmp_transp,0))),AND(I190&lt;&gt;"",ISNA(MATCH(I190,cmp_dest,0))),AND(E190&lt;&gt;"",NOT(ISNUMBER(E190))),AND(F190&lt;&gt;"",NOT(ISNUMBER(F190))),AND(ISNUMBER(E190),ISNUMBER(F190),F190&lt;E190)),1,0))</f>
        <v>0</v>
      </c>
      <c r="AE190" s="96">
        <f>IF(Z190=0,0,IF(OR(B190="",C190="",E190="",G190="",H190="",I190="",N(W190)=0),1,0))</f>
        <v>0</v>
      </c>
      <c r="AF190" s="96">
        <f>IF(Z190=0,0,COUNTIFS('ITENS_MTR'!$S$6:$S$1005,A190,'ITENS_MTR'!$AI$6:$AI$1005,1))</f>
        <v>0</v>
      </c>
      <c r="AG190" s="96">
        <f>IF(Z190=0,0,COUNTIFS('ITENS_MTR'!$S$6:$S$1005,A190,'ITENS_MTR'!$AJ$6:$AJ$1005,1))</f>
        <v>0</v>
      </c>
      <c r="AH190" s="96">
        <f>IF(Z190=0,0,COUNTIFS('ITENS_MTR'!$S$6:$S$1005,A190,'ITENS_MTR'!$AM$6:$AM$1005,1))</f>
        <v>0</v>
      </c>
      <c r="AI190" s="96">
        <f>IF(Z190=0,0,COUNTIFS('ITENS_MTR'!$S$6:$S$1005,A190,'ITENS_MTR'!$AO$6:$AO$1005,1))</f>
        <v>0</v>
      </c>
      <c r="AJ190" s="96">
        <f>IF(Z190=0,0,COUNTIFS('ITENS_MTR'!$S$6:$S$1005,A190,'ITENS_MTR'!$AN$6:$AN$1005,1))</f>
        <v>0</v>
      </c>
      <c r="AK190" s="96">
        <f>IF(Z190=0,0,COUNTIFS('RECEBIMENTOS'!$B$6:$B$1005,A190,'RECEBIMENTOS'!$Y$6:$Y$1005,1))</f>
        <v>0</v>
      </c>
      <c r="AL190" s="96">
        <f>IF(Z190=0,0,COUNTIFS('VÍNCULOS_CDF'!$D$6:$D$1005,A190,'VÍNCULOS_CDF'!$Y$6:$Y$1005,1))</f>
        <v>0</v>
      </c>
      <c r="AM190" s="96">
        <f>IF(Z190=0,0,COUNTIFS('RECEBIMENTOS'!$B$6:$B$1005,A190,'RECEBIMENTOS'!$Q$6:$Q$1005,1))</f>
        <v>0</v>
      </c>
      <c r="AN190" s="96">
        <f>IF(AND(Z190=1,N(W190)&gt;0,AG190=N(W190)),1,0)</f>
        <v>0</v>
      </c>
      <c r="AO190" s="96">
        <f>IF(AND(Z190=1,N(W190)&gt;0,AI190=N(W190)),1,0)</f>
        <v>0</v>
      </c>
      <c r="AP190" s="97">
        <f>IF(Z190=0,0,_xlfn.MAXIFS('RECEBIMENTOS'!$E$6:$E$1005,'RECEBIMENTOS'!$B$6:$B$1005,A190))</f>
        <v>0</v>
      </c>
      <c r="AQ190" s="97" t="str">
        <f>IF(T190="","",IF(T190="RECEBIMENTO NÃO CONFIRMADO",IF(ISNUMBER(F190),F190,IF(ISNUMBER(E190),E190,"")),IF(OR(T190="CDF NÃO LOCALIZADO",T190="VÍNCULO INCOMPLETO",T190="CDF A CONFERIR"),IF(AP190&gt;0,AP190,IF(ISNUMBER(E190),E190,"")),IF(ISNUMBER(E190),E190,""))))</f>
        <v/>
      </c>
      <c r="AR190" s="96">
        <f>IF(NOT(ISNUMBER(U190)),0,IF(T190="RECEBIMENTO NÃO CONFIRMADO",IF(AND(ISNUMBER(cfg_rec),U190&gt;cfg_rec),1,0),IF(OR(T190="CDF NÃO LOCALIZADO",T190="VÍNCULO INCOMPLETO",T190="CDF A CONFERIR"),IF(AND(ISNUMBER(cfg_cdf),U190&gt;cfg_cdf),1,0),0)))</f>
        <v>0</v>
      </c>
      <c r="AS190" s="96" t="str">
        <f>IF(T190="","",IF(AR190=1,"Alta",IFERROR(INDEX(cfg_pp,MATCH(T190,cfg_pt,0))&amp;"","Média")))</f>
        <v/>
      </c>
      <c r="AT190" s="96" t="str">
        <f>IF(T190="","",IFERROR(INDEX(cfg_pv,MATCH(T190,cfg_pt,0))&amp;"",""))</f>
        <v/>
      </c>
      <c r="AU190" s="96" t="str">
        <f>IF(T190="","",IF(AS190="Alta",1,IF(AS190="Média",2,3))*1000000000+(999999-IF(ISNUMBER(U190),MIN(U190,999999),0))*1000+185)</f>
        <v/>
      </c>
      <c r="AV190" s="96">
        <f>IF(T190&lt;&gt;"",1,0)</f>
        <v>0</v>
      </c>
      <c r="AW190" s="96" t="str">
        <f>IF(Z190=0,"",IF(AA190=1,"Cancelamento informado; ","")&amp;IF(AE190=1,"Campos essenciais ou itens faltando; ","")&amp;IF(AC190=1,"Possível duplicidade do número; ","")&amp;IF(AD190=1,"Cadastro ou datas a revisar; ","")&amp;IF(AF190&gt;0,"Item de resíduo com dado a revisar; ","")&amp;IF(AH190&gt;0,"Diferença de quantidade a analisar; ","")&amp;IF(AK190&gt;0,"Recebimento com alerta; ","")&amp;IF(AL190&gt;0,"Vínculo de CDF com alerta; ","")&amp;IF(AND(AA190=0,AN190=0),"Recebimento não confirmado; ","")&amp;IF(AND(AA190=0,AN190=1,AO190=0),"CDF pendente ou a conferir; ",""))</f>
        <v/>
      </c>
      <c r="AX190" s="96">
        <f>IF(Z190=0,0,IF(AND(OR(f_ini="",AND(ISNUMBER(E190),E190&gt;=f_ini)),OR(f_fim="",AND(ISNUMBER(E190),E190&lt;=f_fim)),OR(f_un="",f_un="(Todas)",G190=f_un),OR(f_tr="",f_tr="(Todos)",H190=f_tr),OR(f_de="",f_de="(Todos)",I190=f_de),OR(f_sit="",f_sit="(Todas)",S190=f_sit)),1,0))</f>
        <v>0</v>
      </c>
      <c r="AY190" s="96">
        <f>IF(AX190=0,0,IF(OR(f_res="",f_res="(Todos)"),1,IF(COUNTIFS('ITENS_MTR'!$S$6:$S$1005,A190,'ITENS_MTR'!$C$6:$C$1005,f_res)&gt;0,1,0)))</f>
        <v>0</v>
      </c>
      <c r="AZ190" s="97" t="str">
        <f>IF(ISNUMBER(E190),DATE(YEAR(E190),MONTH(E190),1),"")</f>
        <v/>
      </c>
      <c r="BA190" s="96">
        <f>IF(Z190=0,0,IF(AND(OR(r_ini="",AND(ISNUMBER(E190),E190&gt;=r_ini)),OR(r_fim="",AND(ISNUMBER(E190),E190&lt;=r_fim)),OR(r_un="",r_un="(Todas)",G190=r_un),OR(r_de="",r_de="(Todos)",I190=r_de)),1,0))</f>
        <v>0</v>
      </c>
      <c r="BB190" s="96" t="str">
        <f>IF(BA190=1,COUNTIF($BA$6:BA190,1),"")</f>
        <v/>
      </c>
      <c r="BC190" s="96" t="str">
        <f>IF(AND(AU190&lt;&gt;"",OR(r_un="",r_un="(Todas)",G190=r_un),OR(r_de="",r_de="(Todos)",I190=r_de)),AU190,"")</f>
        <v/>
      </c>
      <c r="BD190" s="96" t="str">
        <f>IF(Z190=1,A190&amp;" | nº "&amp;IF(B190="","(sem número)",B190)&amp;" | "&amp;IF(G190="","(sem unidade)",G190),"")</f>
        <v/>
      </c>
      <c r="BE190" s="96" t="str">
        <f>IF(Z190=1,COUNTIF($Z$6:Z190,1),"")</f>
        <v/>
      </c>
      <c r="BF190" s="96" t="str">
        <f>IF(T190="","",IF(T190="RECEBIMENTO NÃO CONFIRMADO","Transp.: "&amp;H190&amp;" | Dest.: "&amp;I190,IF(OR(T190="CDF NÃO LOCALIZADO",T190="VÍNCULO INCOMPLETO",T190="CDF A CONFERIR"),"Dest.: "&amp;I190,"Gerador: "&amp;G190)))</f>
        <v/>
      </c>
    </row>
    <row r="191">
      <c r="A191" s="89" t="inlineStr">
        <is>
          <t>MTR-000186</t>
        </is>
      </c>
      <c r="B191" s="90" t="n"/>
      <c r="C191" s="91" t="n"/>
      <c r="D191" s="91" t="n"/>
      <c r="E191" s="92" t="n"/>
      <c r="F191" s="92" t="n"/>
      <c r="G191" s="91" t="n"/>
      <c r="H191" s="91" t="n"/>
      <c r="I191" s="91" t="n"/>
      <c r="J191" s="91" t="n"/>
      <c r="K191" s="91" t="n"/>
      <c r="L191" s="92" t="n"/>
      <c r="M191" s="91" t="n"/>
      <c r="N191" s="91" t="n"/>
      <c r="O191" s="91" t="n"/>
      <c r="P191" s="93" t="str">
        <f>IF(Z191=0,"",SUMIFS('ITENS_MTR'!$I$6:$I$1005,'ITENS_MTR'!$S$6:$S$1005,A191,'ITENS_MTR'!$Y$6:$Y$1005,1))</f>
        <v/>
      </c>
      <c r="Q191" s="93" t="str">
        <f>IF(Z191=0,"",SUMIFS('RECEBIMENTOS'!$H$6:$H$1005,'RECEBIMENTOS'!$B$6:$B$1005,A191,'RECEBIMENTOS'!$X$6:$X$1005,1))</f>
        <v/>
      </c>
      <c r="R191" s="93" t="str">
        <f>IF(Z191=0,"",SUMIFS('VÍNCULOS_CDF'!$H$6:$H$1005,'VÍNCULOS_CDF'!$D$6:$D$1005,A191,'VÍNCULOS_CDF'!$V$6:$V$1005,1))</f>
        <v/>
      </c>
      <c r="S191" s="94" t="str">
        <f>IF(Z191=0,"",IF(AA191=1,"Cancelado (informado)",IF(AE191=1,"Cadastro incompleto",IF(OR(AC191=1,AD191=1,AF191&gt;0,AH191&gt;0,AK191&gt;0,AL191&gt;0),"Informação a revisar",IF(AN191=0,"Aguardando recebimento",IF(N(R191)=0,"Aguardando CDF",IF(AJ191&lt;N(W191),"Vínculo de CDF parcial",IF(AO191=0,"CDF localizado, a conferir","Documentação conferida"))))))))</f>
        <v/>
      </c>
      <c r="T191" s="94" t="str">
        <f>IF(Z191=0,"",IF(S191="Cadastro incompleto","MTR INCOMPLETO",IF(S191="Informação a revisar",IF(AND(AH191&gt;0,AC191=0,AD191=0,AF191=0,AK191=0,AL191=0),"QUANTIDADE A REVISAR","IDENTIFICAÇÃO A REVISAR"),IF(S191="Aguardando recebimento","RECEBIMENTO NÃO CONFIRMADO",IF(S191="Aguardando CDF","CDF NÃO LOCALIZADO",IF(S191="Vínculo de CDF parcial","VÍNCULO INCOMPLETO",IF(S191="CDF localizado, a conferir","CDF A CONFERIR","")))))))</f>
        <v/>
      </c>
      <c r="U191" s="95" t="str">
        <f>IF(T191="","",IF(AQ191="","Não calculável",IF(AQ191&gt;TODAY(),"Data futura",TODAY()-AQ191)))</f>
        <v/>
      </c>
      <c r="V191" s="93" t="str">
        <f>IF(Z191=0,"",SUMIFS('RECEBIMENTOS'!$H$6:$H$1005,'RECEBIMENTOS'!$B$6:$B$1005,A191,'RECEBIMENTOS'!$Z$6:$Z$1005,1))</f>
        <v/>
      </c>
      <c r="W191" s="95" t="str">
        <f>IF(Z191=0,"",COUNTIFS('ITENS_MTR'!$S$6:$S$1005,A191,'ITENS_MTR'!$R$6:$R$1005,1))</f>
        <v/>
      </c>
      <c r="X191" s="94" t="str">
        <f>IF(AC191=1,"POSSÍVEL DUPLICIDADE","")</f>
        <v/>
      </c>
      <c r="Y191" s="94" t="str">
        <f>IF(Z191=0,"",IF(AW191="","Nenhuma",LEFT(AW191,LEN(AW191)-2)))</f>
        <v/>
      </c>
      <c r="Z191" s="96">
        <f>IF(COUNTA(B191:O191)&gt;0,1,0)</f>
        <v>0</v>
      </c>
      <c r="AA191" s="96">
        <f>IF(AND(Z191=1,K191&lt;&gt;""),IF(TRIM(K191)=TRIM(cfg_cancel),1,0),0)</f>
        <v>0</v>
      </c>
      <c r="AB191" s="96" t="str">
        <f>IF(AND(Z191=1,B191&lt;&gt;""),C191&amp;"|"&amp;D191&amp;"|"&amp;G191&amp;"|"&amp;TRIM(B191),"")</f>
        <v/>
      </c>
      <c r="AC191" s="96">
        <f>IF(AB191="",0,IF(SUMPRODUCT(--($AB$6:$AB$505=AB191))&gt;1,1,0))</f>
        <v>0</v>
      </c>
      <c r="AD191" s="96">
        <f>IF(Z191=0,0,IF(OR(AND(G191&lt;&gt;"",ISNA(MATCH(G191,'CAD_UNIDADES'!$C$6:$C$105,0))),AND(H191&lt;&gt;"",ISNA(MATCH(H191,cmp_transp,0))),AND(I191&lt;&gt;"",ISNA(MATCH(I191,cmp_dest,0))),AND(E191&lt;&gt;"",NOT(ISNUMBER(E191))),AND(F191&lt;&gt;"",NOT(ISNUMBER(F191))),AND(ISNUMBER(E191),ISNUMBER(F191),F191&lt;E191)),1,0))</f>
        <v>0</v>
      </c>
      <c r="AE191" s="96">
        <f>IF(Z191=0,0,IF(OR(B191="",C191="",E191="",G191="",H191="",I191="",N(W191)=0),1,0))</f>
        <v>0</v>
      </c>
      <c r="AF191" s="96">
        <f>IF(Z191=0,0,COUNTIFS('ITENS_MTR'!$S$6:$S$1005,A191,'ITENS_MTR'!$AI$6:$AI$1005,1))</f>
        <v>0</v>
      </c>
      <c r="AG191" s="96">
        <f>IF(Z191=0,0,COUNTIFS('ITENS_MTR'!$S$6:$S$1005,A191,'ITENS_MTR'!$AJ$6:$AJ$1005,1))</f>
        <v>0</v>
      </c>
      <c r="AH191" s="96">
        <f>IF(Z191=0,0,COUNTIFS('ITENS_MTR'!$S$6:$S$1005,A191,'ITENS_MTR'!$AM$6:$AM$1005,1))</f>
        <v>0</v>
      </c>
      <c r="AI191" s="96">
        <f>IF(Z191=0,0,COUNTIFS('ITENS_MTR'!$S$6:$S$1005,A191,'ITENS_MTR'!$AO$6:$AO$1005,1))</f>
        <v>0</v>
      </c>
      <c r="AJ191" s="96">
        <f>IF(Z191=0,0,COUNTIFS('ITENS_MTR'!$S$6:$S$1005,A191,'ITENS_MTR'!$AN$6:$AN$1005,1))</f>
        <v>0</v>
      </c>
      <c r="AK191" s="96">
        <f>IF(Z191=0,0,COUNTIFS('RECEBIMENTOS'!$B$6:$B$1005,A191,'RECEBIMENTOS'!$Y$6:$Y$1005,1))</f>
        <v>0</v>
      </c>
      <c r="AL191" s="96">
        <f>IF(Z191=0,0,COUNTIFS('VÍNCULOS_CDF'!$D$6:$D$1005,A191,'VÍNCULOS_CDF'!$Y$6:$Y$1005,1))</f>
        <v>0</v>
      </c>
      <c r="AM191" s="96">
        <f>IF(Z191=0,0,COUNTIFS('RECEBIMENTOS'!$B$6:$B$1005,A191,'RECEBIMENTOS'!$Q$6:$Q$1005,1))</f>
        <v>0</v>
      </c>
      <c r="AN191" s="96">
        <f>IF(AND(Z191=1,N(W191)&gt;0,AG191=N(W191)),1,0)</f>
        <v>0</v>
      </c>
      <c r="AO191" s="96">
        <f>IF(AND(Z191=1,N(W191)&gt;0,AI191=N(W191)),1,0)</f>
        <v>0</v>
      </c>
      <c r="AP191" s="97">
        <f>IF(Z191=0,0,_xlfn.MAXIFS('RECEBIMENTOS'!$E$6:$E$1005,'RECEBIMENTOS'!$B$6:$B$1005,A191))</f>
        <v>0</v>
      </c>
      <c r="AQ191" s="97" t="str">
        <f>IF(T191="","",IF(T191="RECEBIMENTO NÃO CONFIRMADO",IF(ISNUMBER(F191),F191,IF(ISNUMBER(E191),E191,"")),IF(OR(T191="CDF NÃO LOCALIZADO",T191="VÍNCULO INCOMPLETO",T191="CDF A CONFERIR"),IF(AP191&gt;0,AP191,IF(ISNUMBER(E191),E191,"")),IF(ISNUMBER(E191),E191,""))))</f>
        <v/>
      </c>
      <c r="AR191" s="96">
        <f>IF(NOT(ISNUMBER(U191)),0,IF(T191="RECEBIMENTO NÃO CONFIRMADO",IF(AND(ISNUMBER(cfg_rec),U191&gt;cfg_rec),1,0),IF(OR(T191="CDF NÃO LOCALIZADO",T191="VÍNCULO INCOMPLETO",T191="CDF A CONFERIR"),IF(AND(ISNUMBER(cfg_cdf),U191&gt;cfg_cdf),1,0),0)))</f>
        <v>0</v>
      </c>
      <c r="AS191" s="96" t="str">
        <f>IF(T191="","",IF(AR191=1,"Alta",IFERROR(INDEX(cfg_pp,MATCH(T191,cfg_pt,0))&amp;"","Média")))</f>
        <v/>
      </c>
      <c r="AT191" s="96" t="str">
        <f>IF(T191="","",IFERROR(INDEX(cfg_pv,MATCH(T191,cfg_pt,0))&amp;"",""))</f>
        <v/>
      </c>
      <c r="AU191" s="96" t="str">
        <f>IF(T191="","",IF(AS191="Alta",1,IF(AS191="Média",2,3))*1000000000+(999999-IF(ISNUMBER(U191),MIN(U191,999999),0))*1000+186)</f>
        <v/>
      </c>
      <c r="AV191" s="96">
        <f>IF(T191&lt;&gt;"",1,0)</f>
        <v>0</v>
      </c>
      <c r="AW191" s="96" t="str">
        <f>IF(Z191=0,"",IF(AA191=1,"Cancelamento informado; ","")&amp;IF(AE191=1,"Campos essenciais ou itens faltando; ","")&amp;IF(AC191=1,"Possível duplicidade do número; ","")&amp;IF(AD191=1,"Cadastro ou datas a revisar; ","")&amp;IF(AF191&gt;0,"Item de resíduo com dado a revisar; ","")&amp;IF(AH191&gt;0,"Diferença de quantidade a analisar; ","")&amp;IF(AK191&gt;0,"Recebimento com alerta; ","")&amp;IF(AL191&gt;0,"Vínculo de CDF com alerta; ","")&amp;IF(AND(AA191=0,AN191=0),"Recebimento não confirmado; ","")&amp;IF(AND(AA191=0,AN191=1,AO191=0),"CDF pendente ou a conferir; ",""))</f>
        <v/>
      </c>
      <c r="AX191" s="96">
        <f>IF(Z191=0,0,IF(AND(OR(f_ini="",AND(ISNUMBER(E191),E191&gt;=f_ini)),OR(f_fim="",AND(ISNUMBER(E191),E191&lt;=f_fim)),OR(f_un="",f_un="(Todas)",G191=f_un),OR(f_tr="",f_tr="(Todos)",H191=f_tr),OR(f_de="",f_de="(Todos)",I191=f_de),OR(f_sit="",f_sit="(Todas)",S191=f_sit)),1,0))</f>
        <v>0</v>
      </c>
      <c r="AY191" s="96">
        <f>IF(AX191=0,0,IF(OR(f_res="",f_res="(Todos)"),1,IF(COUNTIFS('ITENS_MTR'!$S$6:$S$1005,A191,'ITENS_MTR'!$C$6:$C$1005,f_res)&gt;0,1,0)))</f>
        <v>0</v>
      </c>
      <c r="AZ191" s="97" t="str">
        <f>IF(ISNUMBER(E191),DATE(YEAR(E191),MONTH(E191),1),"")</f>
        <v/>
      </c>
      <c r="BA191" s="96">
        <f>IF(Z191=0,0,IF(AND(OR(r_ini="",AND(ISNUMBER(E191),E191&gt;=r_ini)),OR(r_fim="",AND(ISNUMBER(E191),E191&lt;=r_fim)),OR(r_un="",r_un="(Todas)",G191=r_un),OR(r_de="",r_de="(Todos)",I191=r_de)),1,0))</f>
        <v>0</v>
      </c>
      <c r="BB191" s="96" t="str">
        <f>IF(BA191=1,COUNTIF($BA$6:BA191,1),"")</f>
        <v/>
      </c>
      <c r="BC191" s="96" t="str">
        <f>IF(AND(AU191&lt;&gt;"",OR(r_un="",r_un="(Todas)",G191=r_un),OR(r_de="",r_de="(Todos)",I191=r_de)),AU191,"")</f>
        <v/>
      </c>
      <c r="BD191" s="96" t="str">
        <f>IF(Z191=1,A191&amp;" | nº "&amp;IF(B191="","(sem número)",B191)&amp;" | "&amp;IF(G191="","(sem unidade)",G191),"")</f>
        <v/>
      </c>
      <c r="BE191" s="96" t="str">
        <f>IF(Z191=1,COUNTIF($Z$6:Z191,1),"")</f>
        <v/>
      </c>
      <c r="BF191" s="96" t="str">
        <f>IF(T191="","",IF(T191="RECEBIMENTO NÃO CONFIRMADO","Transp.: "&amp;H191&amp;" | Dest.: "&amp;I191,IF(OR(T191="CDF NÃO LOCALIZADO",T191="VÍNCULO INCOMPLETO",T191="CDF A CONFERIR"),"Dest.: "&amp;I191,"Gerador: "&amp;G191)))</f>
        <v/>
      </c>
    </row>
    <row r="192">
      <c r="A192" s="89" t="inlineStr">
        <is>
          <t>MTR-000187</t>
        </is>
      </c>
      <c r="B192" s="90" t="n"/>
      <c r="C192" s="91" t="n"/>
      <c r="D192" s="91" t="n"/>
      <c r="E192" s="92" t="n"/>
      <c r="F192" s="92" t="n"/>
      <c r="G192" s="91" t="n"/>
      <c r="H192" s="91" t="n"/>
      <c r="I192" s="91" t="n"/>
      <c r="J192" s="91" t="n"/>
      <c r="K192" s="91" t="n"/>
      <c r="L192" s="92" t="n"/>
      <c r="M192" s="91" t="n"/>
      <c r="N192" s="91" t="n"/>
      <c r="O192" s="91" t="n"/>
      <c r="P192" s="93" t="str">
        <f>IF(Z192=0,"",SUMIFS('ITENS_MTR'!$I$6:$I$1005,'ITENS_MTR'!$S$6:$S$1005,A192,'ITENS_MTR'!$Y$6:$Y$1005,1))</f>
        <v/>
      </c>
      <c r="Q192" s="93" t="str">
        <f>IF(Z192=0,"",SUMIFS('RECEBIMENTOS'!$H$6:$H$1005,'RECEBIMENTOS'!$B$6:$B$1005,A192,'RECEBIMENTOS'!$X$6:$X$1005,1))</f>
        <v/>
      </c>
      <c r="R192" s="93" t="str">
        <f>IF(Z192=0,"",SUMIFS('VÍNCULOS_CDF'!$H$6:$H$1005,'VÍNCULOS_CDF'!$D$6:$D$1005,A192,'VÍNCULOS_CDF'!$V$6:$V$1005,1))</f>
        <v/>
      </c>
      <c r="S192" s="94" t="str">
        <f>IF(Z192=0,"",IF(AA192=1,"Cancelado (informado)",IF(AE192=1,"Cadastro incompleto",IF(OR(AC192=1,AD192=1,AF192&gt;0,AH192&gt;0,AK192&gt;0,AL192&gt;0),"Informação a revisar",IF(AN192=0,"Aguardando recebimento",IF(N(R192)=0,"Aguardando CDF",IF(AJ192&lt;N(W192),"Vínculo de CDF parcial",IF(AO192=0,"CDF localizado, a conferir","Documentação conferida"))))))))</f>
        <v/>
      </c>
      <c r="T192" s="94" t="str">
        <f>IF(Z192=0,"",IF(S192="Cadastro incompleto","MTR INCOMPLETO",IF(S192="Informação a revisar",IF(AND(AH192&gt;0,AC192=0,AD192=0,AF192=0,AK192=0,AL192=0),"QUANTIDADE A REVISAR","IDENTIFICAÇÃO A REVISAR"),IF(S192="Aguardando recebimento","RECEBIMENTO NÃO CONFIRMADO",IF(S192="Aguardando CDF","CDF NÃO LOCALIZADO",IF(S192="Vínculo de CDF parcial","VÍNCULO INCOMPLETO",IF(S192="CDF localizado, a conferir","CDF A CONFERIR","")))))))</f>
        <v/>
      </c>
      <c r="U192" s="95" t="str">
        <f>IF(T192="","",IF(AQ192="","Não calculável",IF(AQ192&gt;TODAY(),"Data futura",TODAY()-AQ192)))</f>
        <v/>
      </c>
      <c r="V192" s="93" t="str">
        <f>IF(Z192=0,"",SUMIFS('RECEBIMENTOS'!$H$6:$H$1005,'RECEBIMENTOS'!$B$6:$B$1005,A192,'RECEBIMENTOS'!$Z$6:$Z$1005,1))</f>
        <v/>
      </c>
      <c r="W192" s="95" t="str">
        <f>IF(Z192=0,"",COUNTIFS('ITENS_MTR'!$S$6:$S$1005,A192,'ITENS_MTR'!$R$6:$R$1005,1))</f>
        <v/>
      </c>
      <c r="X192" s="94" t="str">
        <f>IF(AC192=1,"POSSÍVEL DUPLICIDADE","")</f>
        <v/>
      </c>
      <c r="Y192" s="94" t="str">
        <f>IF(Z192=0,"",IF(AW192="","Nenhuma",LEFT(AW192,LEN(AW192)-2)))</f>
        <v/>
      </c>
      <c r="Z192" s="96">
        <f>IF(COUNTA(B192:O192)&gt;0,1,0)</f>
        <v>0</v>
      </c>
      <c r="AA192" s="96">
        <f>IF(AND(Z192=1,K192&lt;&gt;""),IF(TRIM(K192)=TRIM(cfg_cancel),1,0),0)</f>
        <v>0</v>
      </c>
      <c r="AB192" s="96" t="str">
        <f>IF(AND(Z192=1,B192&lt;&gt;""),C192&amp;"|"&amp;D192&amp;"|"&amp;G192&amp;"|"&amp;TRIM(B192),"")</f>
        <v/>
      </c>
      <c r="AC192" s="96">
        <f>IF(AB192="",0,IF(SUMPRODUCT(--($AB$6:$AB$505=AB192))&gt;1,1,0))</f>
        <v>0</v>
      </c>
      <c r="AD192" s="96">
        <f>IF(Z192=0,0,IF(OR(AND(G192&lt;&gt;"",ISNA(MATCH(G192,'CAD_UNIDADES'!$C$6:$C$105,0))),AND(H192&lt;&gt;"",ISNA(MATCH(H192,cmp_transp,0))),AND(I192&lt;&gt;"",ISNA(MATCH(I192,cmp_dest,0))),AND(E192&lt;&gt;"",NOT(ISNUMBER(E192))),AND(F192&lt;&gt;"",NOT(ISNUMBER(F192))),AND(ISNUMBER(E192),ISNUMBER(F192),F192&lt;E192)),1,0))</f>
        <v>0</v>
      </c>
      <c r="AE192" s="96">
        <f>IF(Z192=0,0,IF(OR(B192="",C192="",E192="",G192="",H192="",I192="",N(W192)=0),1,0))</f>
        <v>0</v>
      </c>
      <c r="AF192" s="96">
        <f>IF(Z192=0,0,COUNTIFS('ITENS_MTR'!$S$6:$S$1005,A192,'ITENS_MTR'!$AI$6:$AI$1005,1))</f>
        <v>0</v>
      </c>
      <c r="AG192" s="96">
        <f>IF(Z192=0,0,COUNTIFS('ITENS_MTR'!$S$6:$S$1005,A192,'ITENS_MTR'!$AJ$6:$AJ$1005,1))</f>
        <v>0</v>
      </c>
      <c r="AH192" s="96">
        <f>IF(Z192=0,0,COUNTIFS('ITENS_MTR'!$S$6:$S$1005,A192,'ITENS_MTR'!$AM$6:$AM$1005,1))</f>
        <v>0</v>
      </c>
      <c r="AI192" s="96">
        <f>IF(Z192=0,0,COUNTIFS('ITENS_MTR'!$S$6:$S$1005,A192,'ITENS_MTR'!$AO$6:$AO$1005,1))</f>
        <v>0</v>
      </c>
      <c r="AJ192" s="96">
        <f>IF(Z192=0,0,COUNTIFS('ITENS_MTR'!$S$6:$S$1005,A192,'ITENS_MTR'!$AN$6:$AN$1005,1))</f>
        <v>0</v>
      </c>
      <c r="AK192" s="96">
        <f>IF(Z192=0,0,COUNTIFS('RECEBIMENTOS'!$B$6:$B$1005,A192,'RECEBIMENTOS'!$Y$6:$Y$1005,1))</f>
        <v>0</v>
      </c>
      <c r="AL192" s="96">
        <f>IF(Z192=0,0,COUNTIFS('VÍNCULOS_CDF'!$D$6:$D$1005,A192,'VÍNCULOS_CDF'!$Y$6:$Y$1005,1))</f>
        <v>0</v>
      </c>
      <c r="AM192" s="96">
        <f>IF(Z192=0,0,COUNTIFS('RECEBIMENTOS'!$B$6:$B$1005,A192,'RECEBIMENTOS'!$Q$6:$Q$1005,1))</f>
        <v>0</v>
      </c>
      <c r="AN192" s="96">
        <f>IF(AND(Z192=1,N(W192)&gt;0,AG192=N(W192)),1,0)</f>
        <v>0</v>
      </c>
      <c r="AO192" s="96">
        <f>IF(AND(Z192=1,N(W192)&gt;0,AI192=N(W192)),1,0)</f>
        <v>0</v>
      </c>
      <c r="AP192" s="97">
        <f>IF(Z192=0,0,_xlfn.MAXIFS('RECEBIMENTOS'!$E$6:$E$1005,'RECEBIMENTOS'!$B$6:$B$1005,A192))</f>
        <v>0</v>
      </c>
      <c r="AQ192" s="97" t="str">
        <f>IF(T192="","",IF(T192="RECEBIMENTO NÃO CONFIRMADO",IF(ISNUMBER(F192),F192,IF(ISNUMBER(E192),E192,"")),IF(OR(T192="CDF NÃO LOCALIZADO",T192="VÍNCULO INCOMPLETO",T192="CDF A CONFERIR"),IF(AP192&gt;0,AP192,IF(ISNUMBER(E192),E192,"")),IF(ISNUMBER(E192),E192,""))))</f>
        <v/>
      </c>
      <c r="AR192" s="96">
        <f>IF(NOT(ISNUMBER(U192)),0,IF(T192="RECEBIMENTO NÃO CONFIRMADO",IF(AND(ISNUMBER(cfg_rec),U192&gt;cfg_rec),1,0),IF(OR(T192="CDF NÃO LOCALIZADO",T192="VÍNCULO INCOMPLETO",T192="CDF A CONFERIR"),IF(AND(ISNUMBER(cfg_cdf),U192&gt;cfg_cdf),1,0),0)))</f>
        <v>0</v>
      </c>
      <c r="AS192" s="96" t="str">
        <f>IF(T192="","",IF(AR192=1,"Alta",IFERROR(INDEX(cfg_pp,MATCH(T192,cfg_pt,0))&amp;"","Média")))</f>
        <v/>
      </c>
      <c r="AT192" s="96" t="str">
        <f>IF(T192="","",IFERROR(INDEX(cfg_pv,MATCH(T192,cfg_pt,0))&amp;"",""))</f>
        <v/>
      </c>
      <c r="AU192" s="96" t="str">
        <f>IF(T192="","",IF(AS192="Alta",1,IF(AS192="Média",2,3))*1000000000+(999999-IF(ISNUMBER(U192),MIN(U192,999999),0))*1000+187)</f>
        <v/>
      </c>
      <c r="AV192" s="96">
        <f>IF(T192&lt;&gt;"",1,0)</f>
        <v>0</v>
      </c>
      <c r="AW192" s="96" t="str">
        <f>IF(Z192=0,"",IF(AA192=1,"Cancelamento informado; ","")&amp;IF(AE192=1,"Campos essenciais ou itens faltando; ","")&amp;IF(AC192=1,"Possível duplicidade do número; ","")&amp;IF(AD192=1,"Cadastro ou datas a revisar; ","")&amp;IF(AF192&gt;0,"Item de resíduo com dado a revisar; ","")&amp;IF(AH192&gt;0,"Diferença de quantidade a analisar; ","")&amp;IF(AK192&gt;0,"Recebimento com alerta; ","")&amp;IF(AL192&gt;0,"Vínculo de CDF com alerta; ","")&amp;IF(AND(AA192=0,AN192=0),"Recebimento não confirmado; ","")&amp;IF(AND(AA192=0,AN192=1,AO192=0),"CDF pendente ou a conferir; ",""))</f>
        <v/>
      </c>
      <c r="AX192" s="96">
        <f>IF(Z192=0,0,IF(AND(OR(f_ini="",AND(ISNUMBER(E192),E192&gt;=f_ini)),OR(f_fim="",AND(ISNUMBER(E192),E192&lt;=f_fim)),OR(f_un="",f_un="(Todas)",G192=f_un),OR(f_tr="",f_tr="(Todos)",H192=f_tr),OR(f_de="",f_de="(Todos)",I192=f_de),OR(f_sit="",f_sit="(Todas)",S192=f_sit)),1,0))</f>
        <v>0</v>
      </c>
      <c r="AY192" s="96">
        <f>IF(AX192=0,0,IF(OR(f_res="",f_res="(Todos)"),1,IF(COUNTIFS('ITENS_MTR'!$S$6:$S$1005,A192,'ITENS_MTR'!$C$6:$C$1005,f_res)&gt;0,1,0)))</f>
        <v>0</v>
      </c>
      <c r="AZ192" s="97" t="str">
        <f>IF(ISNUMBER(E192),DATE(YEAR(E192),MONTH(E192),1),"")</f>
        <v/>
      </c>
      <c r="BA192" s="96">
        <f>IF(Z192=0,0,IF(AND(OR(r_ini="",AND(ISNUMBER(E192),E192&gt;=r_ini)),OR(r_fim="",AND(ISNUMBER(E192),E192&lt;=r_fim)),OR(r_un="",r_un="(Todas)",G192=r_un),OR(r_de="",r_de="(Todos)",I192=r_de)),1,0))</f>
        <v>0</v>
      </c>
      <c r="BB192" s="96" t="str">
        <f>IF(BA192=1,COUNTIF($BA$6:BA192,1),"")</f>
        <v/>
      </c>
      <c r="BC192" s="96" t="str">
        <f>IF(AND(AU192&lt;&gt;"",OR(r_un="",r_un="(Todas)",G192=r_un),OR(r_de="",r_de="(Todos)",I192=r_de)),AU192,"")</f>
        <v/>
      </c>
      <c r="BD192" s="96" t="str">
        <f>IF(Z192=1,A192&amp;" | nº "&amp;IF(B192="","(sem número)",B192)&amp;" | "&amp;IF(G192="","(sem unidade)",G192),"")</f>
        <v/>
      </c>
      <c r="BE192" s="96" t="str">
        <f>IF(Z192=1,COUNTIF($Z$6:Z192,1),"")</f>
        <v/>
      </c>
      <c r="BF192" s="96" t="str">
        <f>IF(T192="","",IF(T192="RECEBIMENTO NÃO CONFIRMADO","Transp.: "&amp;H192&amp;" | Dest.: "&amp;I192,IF(OR(T192="CDF NÃO LOCALIZADO",T192="VÍNCULO INCOMPLETO",T192="CDF A CONFERIR"),"Dest.: "&amp;I192,"Gerador: "&amp;G192)))</f>
        <v/>
      </c>
    </row>
    <row r="193">
      <c r="A193" s="89" t="inlineStr">
        <is>
          <t>MTR-000188</t>
        </is>
      </c>
      <c r="B193" s="90" t="n"/>
      <c r="C193" s="91" t="n"/>
      <c r="D193" s="91" t="n"/>
      <c r="E193" s="92" t="n"/>
      <c r="F193" s="92" t="n"/>
      <c r="G193" s="91" t="n"/>
      <c r="H193" s="91" t="n"/>
      <c r="I193" s="91" t="n"/>
      <c r="J193" s="91" t="n"/>
      <c r="K193" s="91" t="n"/>
      <c r="L193" s="92" t="n"/>
      <c r="M193" s="91" t="n"/>
      <c r="N193" s="91" t="n"/>
      <c r="O193" s="91" t="n"/>
      <c r="P193" s="93" t="str">
        <f>IF(Z193=0,"",SUMIFS('ITENS_MTR'!$I$6:$I$1005,'ITENS_MTR'!$S$6:$S$1005,A193,'ITENS_MTR'!$Y$6:$Y$1005,1))</f>
        <v/>
      </c>
      <c r="Q193" s="93" t="str">
        <f>IF(Z193=0,"",SUMIFS('RECEBIMENTOS'!$H$6:$H$1005,'RECEBIMENTOS'!$B$6:$B$1005,A193,'RECEBIMENTOS'!$X$6:$X$1005,1))</f>
        <v/>
      </c>
      <c r="R193" s="93" t="str">
        <f>IF(Z193=0,"",SUMIFS('VÍNCULOS_CDF'!$H$6:$H$1005,'VÍNCULOS_CDF'!$D$6:$D$1005,A193,'VÍNCULOS_CDF'!$V$6:$V$1005,1))</f>
        <v/>
      </c>
      <c r="S193" s="94" t="str">
        <f>IF(Z193=0,"",IF(AA193=1,"Cancelado (informado)",IF(AE193=1,"Cadastro incompleto",IF(OR(AC193=1,AD193=1,AF193&gt;0,AH193&gt;0,AK193&gt;0,AL193&gt;0),"Informação a revisar",IF(AN193=0,"Aguardando recebimento",IF(N(R193)=0,"Aguardando CDF",IF(AJ193&lt;N(W193),"Vínculo de CDF parcial",IF(AO193=0,"CDF localizado, a conferir","Documentação conferida"))))))))</f>
        <v/>
      </c>
      <c r="T193" s="94" t="str">
        <f>IF(Z193=0,"",IF(S193="Cadastro incompleto","MTR INCOMPLETO",IF(S193="Informação a revisar",IF(AND(AH193&gt;0,AC193=0,AD193=0,AF193=0,AK193=0,AL193=0),"QUANTIDADE A REVISAR","IDENTIFICAÇÃO A REVISAR"),IF(S193="Aguardando recebimento","RECEBIMENTO NÃO CONFIRMADO",IF(S193="Aguardando CDF","CDF NÃO LOCALIZADO",IF(S193="Vínculo de CDF parcial","VÍNCULO INCOMPLETO",IF(S193="CDF localizado, a conferir","CDF A CONFERIR","")))))))</f>
        <v/>
      </c>
      <c r="U193" s="95" t="str">
        <f>IF(T193="","",IF(AQ193="","Não calculável",IF(AQ193&gt;TODAY(),"Data futura",TODAY()-AQ193)))</f>
        <v/>
      </c>
      <c r="V193" s="93" t="str">
        <f>IF(Z193=0,"",SUMIFS('RECEBIMENTOS'!$H$6:$H$1005,'RECEBIMENTOS'!$B$6:$B$1005,A193,'RECEBIMENTOS'!$Z$6:$Z$1005,1))</f>
        <v/>
      </c>
      <c r="W193" s="95" t="str">
        <f>IF(Z193=0,"",COUNTIFS('ITENS_MTR'!$S$6:$S$1005,A193,'ITENS_MTR'!$R$6:$R$1005,1))</f>
        <v/>
      </c>
      <c r="X193" s="94" t="str">
        <f>IF(AC193=1,"POSSÍVEL DUPLICIDADE","")</f>
        <v/>
      </c>
      <c r="Y193" s="94" t="str">
        <f>IF(Z193=0,"",IF(AW193="","Nenhuma",LEFT(AW193,LEN(AW193)-2)))</f>
        <v/>
      </c>
      <c r="Z193" s="96">
        <f>IF(COUNTA(B193:O193)&gt;0,1,0)</f>
        <v>0</v>
      </c>
      <c r="AA193" s="96">
        <f>IF(AND(Z193=1,K193&lt;&gt;""),IF(TRIM(K193)=TRIM(cfg_cancel),1,0),0)</f>
        <v>0</v>
      </c>
      <c r="AB193" s="96" t="str">
        <f>IF(AND(Z193=1,B193&lt;&gt;""),C193&amp;"|"&amp;D193&amp;"|"&amp;G193&amp;"|"&amp;TRIM(B193),"")</f>
        <v/>
      </c>
      <c r="AC193" s="96">
        <f>IF(AB193="",0,IF(SUMPRODUCT(--($AB$6:$AB$505=AB193))&gt;1,1,0))</f>
        <v>0</v>
      </c>
      <c r="AD193" s="96">
        <f>IF(Z193=0,0,IF(OR(AND(G193&lt;&gt;"",ISNA(MATCH(G193,'CAD_UNIDADES'!$C$6:$C$105,0))),AND(H193&lt;&gt;"",ISNA(MATCH(H193,cmp_transp,0))),AND(I193&lt;&gt;"",ISNA(MATCH(I193,cmp_dest,0))),AND(E193&lt;&gt;"",NOT(ISNUMBER(E193))),AND(F193&lt;&gt;"",NOT(ISNUMBER(F193))),AND(ISNUMBER(E193),ISNUMBER(F193),F193&lt;E193)),1,0))</f>
        <v>0</v>
      </c>
      <c r="AE193" s="96">
        <f>IF(Z193=0,0,IF(OR(B193="",C193="",E193="",G193="",H193="",I193="",N(W193)=0),1,0))</f>
        <v>0</v>
      </c>
      <c r="AF193" s="96">
        <f>IF(Z193=0,0,COUNTIFS('ITENS_MTR'!$S$6:$S$1005,A193,'ITENS_MTR'!$AI$6:$AI$1005,1))</f>
        <v>0</v>
      </c>
      <c r="AG193" s="96">
        <f>IF(Z193=0,0,COUNTIFS('ITENS_MTR'!$S$6:$S$1005,A193,'ITENS_MTR'!$AJ$6:$AJ$1005,1))</f>
        <v>0</v>
      </c>
      <c r="AH193" s="96">
        <f>IF(Z193=0,0,COUNTIFS('ITENS_MTR'!$S$6:$S$1005,A193,'ITENS_MTR'!$AM$6:$AM$1005,1))</f>
        <v>0</v>
      </c>
      <c r="AI193" s="96">
        <f>IF(Z193=0,0,COUNTIFS('ITENS_MTR'!$S$6:$S$1005,A193,'ITENS_MTR'!$AO$6:$AO$1005,1))</f>
        <v>0</v>
      </c>
      <c r="AJ193" s="96">
        <f>IF(Z193=0,0,COUNTIFS('ITENS_MTR'!$S$6:$S$1005,A193,'ITENS_MTR'!$AN$6:$AN$1005,1))</f>
        <v>0</v>
      </c>
      <c r="AK193" s="96">
        <f>IF(Z193=0,0,COUNTIFS('RECEBIMENTOS'!$B$6:$B$1005,A193,'RECEBIMENTOS'!$Y$6:$Y$1005,1))</f>
        <v>0</v>
      </c>
      <c r="AL193" s="96">
        <f>IF(Z193=0,0,COUNTIFS('VÍNCULOS_CDF'!$D$6:$D$1005,A193,'VÍNCULOS_CDF'!$Y$6:$Y$1005,1))</f>
        <v>0</v>
      </c>
      <c r="AM193" s="96">
        <f>IF(Z193=0,0,COUNTIFS('RECEBIMENTOS'!$B$6:$B$1005,A193,'RECEBIMENTOS'!$Q$6:$Q$1005,1))</f>
        <v>0</v>
      </c>
      <c r="AN193" s="96">
        <f>IF(AND(Z193=1,N(W193)&gt;0,AG193=N(W193)),1,0)</f>
        <v>0</v>
      </c>
      <c r="AO193" s="96">
        <f>IF(AND(Z193=1,N(W193)&gt;0,AI193=N(W193)),1,0)</f>
        <v>0</v>
      </c>
      <c r="AP193" s="97">
        <f>IF(Z193=0,0,_xlfn.MAXIFS('RECEBIMENTOS'!$E$6:$E$1005,'RECEBIMENTOS'!$B$6:$B$1005,A193))</f>
        <v>0</v>
      </c>
      <c r="AQ193" s="97" t="str">
        <f>IF(T193="","",IF(T193="RECEBIMENTO NÃO CONFIRMADO",IF(ISNUMBER(F193),F193,IF(ISNUMBER(E193),E193,"")),IF(OR(T193="CDF NÃO LOCALIZADO",T193="VÍNCULO INCOMPLETO",T193="CDF A CONFERIR"),IF(AP193&gt;0,AP193,IF(ISNUMBER(E193),E193,"")),IF(ISNUMBER(E193),E193,""))))</f>
        <v/>
      </c>
      <c r="AR193" s="96">
        <f>IF(NOT(ISNUMBER(U193)),0,IF(T193="RECEBIMENTO NÃO CONFIRMADO",IF(AND(ISNUMBER(cfg_rec),U193&gt;cfg_rec),1,0),IF(OR(T193="CDF NÃO LOCALIZADO",T193="VÍNCULO INCOMPLETO",T193="CDF A CONFERIR"),IF(AND(ISNUMBER(cfg_cdf),U193&gt;cfg_cdf),1,0),0)))</f>
        <v>0</v>
      </c>
      <c r="AS193" s="96" t="str">
        <f>IF(T193="","",IF(AR193=1,"Alta",IFERROR(INDEX(cfg_pp,MATCH(T193,cfg_pt,0))&amp;"","Média")))</f>
        <v/>
      </c>
      <c r="AT193" s="96" t="str">
        <f>IF(T193="","",IFERROR(INDEX(cfg_pv,MATCH(T193,cfg_pt,0))&amp;"",""))</f>
        <v/>
      </c>
      <c r="AU193" s="96" t="str">
        <f>IF(T193="","",IF(AS193="Alta",1,IF(AS193="Média",2,3))*1000000000+(999999-IF(ISNUMBER(U193),MIN(U193,999999),0))*1000+188)</f>
        <v/>
      </c>
      <c r="AV193" s="96">
        <f>IF(T193&lt;&gt;"",1,0)</f>
        <v>0</v>
      </c>
      <c r="AW193" s="96" t="str">
        <f>IF(Z193=0,"",IF(AA193=1,"Cancelamento informado; ","")&amp;IF(AE193=1,"Campos essenciais ou itens faltando; ","")&amp;IF(AC193=1,"Possível duplicidade do número; ","")&amp;IF(AD193=1,"Cadastro ou datas a revisar; ","")&amp;IF(AF193&gt;0,"Item de resíduo com dado a revisar; ","")&amp;IF(AH193&gt;0,"Diferença de quantidade a analisar; ","")&amp;IF(AK193&gt;0,"Recebimento com alerta; ","")&amp;IF(AL193&gt;0,"Vínculo de CDF com alerta; ","")&amp;IF(AND(AA193=0,AN193=0),"Recebimento não confirmado; ","")&amp;IF(AND(AA193=0,AN193=1,AO193=0),"CDF pendente ou a conferir; ",""))</f>
        <v/>
      </c>
      <c r="AX193" s="96">
        <f>IF(Z193=0,0,IF(AND(OR(f_ini="",AND(ISNUMBER(E193),E193&gt;=f_ini)),OR(f_fim="",AND(ISNUMBER(E193),E193&lt;=f_fim)),OR(f_un="",f_un="(Todas)",G193=f_un),OR(f_tr="",f_tr="(Todos)",H193=f_tr),OR(f_de="",f_de="(Todos)",I193=f_de),OR(f_sit="",f_sit="(Todas)",S193=f_sit)),1,0))</f>
        <v>0</v>
      </c>
      <c r="AY193" s="96">
        <f>IF(AX193=0,0,IF(OR(f_res="",f_res="(Todos)"),1,IF(COUNTIFS('ITENS_MTR'!$S$6:$S$1005,A193,'ITENS_MTR'!$C$6:$C$1005,f_res)&gt;0,1,0)))</f>
        <v>0</v>
      </c>
      <c r="AZ193" s="97" t="str">
        <f>IF(ISNUMBER(E193),DATE(YEAR(E193),MONTH(E193),1),"")</f>
        <v/>
      </c>
      <c r="BA193" s="96">
        <f>IF(Z193=0,0,IF(AND(OR(r_ini="",AND(ISNUMBER(E193),E193&gt;=r_ini)),OR(r_fim="",AND(ISNUMBER(E193),E193&lt;=r_fim)),OR(r_un="",r_un="(Todas)",G193=r_un),OR(r_de="",r_de="(Todos)",I193=r_de)),1,0))</f>
        <v>0</v>
      </c>
      <c r="BB193" s="96" t="str">
        <f>IF(BA193=1,COUNTIF($BA$6:BA193,1),"")</f>
        <v/>
      </c>
      <c r="BC193" s="96" t="str">
        <f>IF(AND(AU193&lt;&gt;"",OR(r_un="",r_un="(Todas)",G193=r_un),OR(r_de="",r_de="(Todos)",I193=r_de)),AU193,"")</f>
        <v/>
      </c>
      <c r="BD193" s="96" t="str">
        <f>IF(Z193=1,A193&amp;" | nº "&amp;IF(B193="","(sem número)",B193)&amp;" | "&amp;IF(G193="","(sem unidade)",G193),"")</f>
        <v/>
      </c>
      <c r="BE193" s="96" t="str">
        <f>IF(Z193=1,COUNTIF($Z$6:Z193,1),"")</f>
        <v/>
      </c>
      <c r="BF193" s="96" t="str">
        <f>IF(T193="","",IF(T193="RECEBIMENTO NÃO CONFIRMADO","Transp.: "&amp;H193&amp;" | Dest.: "&amp;I193,IF(OR(T193="CDF NÃO LOCALIZADO",T193="VÍNCULO INCOMPLETO",T193="CDF A CONFERIR"),"Dest.: "&amp;I193,"Gerador: "&amp;G193)))</f>
        <v/>
      </c>
    </row>
    <row r="194">
      <c r="A194" s="89" t="inlineStr">
        <is>
          <t>MTR-000189</t>
        </is>
      </c>
      <c r="B194" s="90" t="n"/>
      <c r="C194" s="91" t="n"/>
      <c r="D194" s="91" t="n"/>
      <c r="E194" s="92" t="n"/>
      <c r="F194" s="92" t="n"/>
      <c r="G194" s="91" t="n"/>
      <c r="H194" s="91" t="n"/>
      <c r="I194" s="91" t="n"/>
      <c r="J194" s="91" t="n"/>
      <c r="K194" s="91" t="n"/>
      <c r="L194" s="92" t="n"/>
      <c r="M194" s="91" t="n"/>
      <c r="N194" s="91" t="n"/>
      <c r="O194" s="91" t="n"/>
      <c r="P194" s="93" t="str">
        <f>IF(Z194=0,"",SUMIFS('ITENS_MTR'!$I$6:$I$1005,'ITENS_MTR'!$S$6:$S$1005,A194,'ITENS_MTR'!$Y$6:$Y$1005,1))</f>
        <v/>
      </c>
      <c r="Q194" s="93" t="str">
        <f>IF(Z194=0,"",SUMIFS('RECEBIMENTOS'!$H$6:$H$1005,'RECEBIMENTOS'!$B$6:$B$1005,A194,'RECEBIMENTOS'!$X$6:$X$1005,1))</f>
        <v/>
      </c>
      <c r="R194" s="93" t="str">
        <f>IF(Z194=0,"",SUMIFS('VÍNCULOS_CDF'!$H$6:$H$1005,'VÍNCULOS_CDF'!$D$6:$D$1005,A194,'VÍNCULOS_CDF'!$V$6:$V$1005,1))</f>
        <v/>
      </c>
      <c r="S194" s="94" t="str">
        <f>IF(Z194=0,"",IF(AA194=1,"Cancelado (informado)",IF(AE194=1,"Cadastro incompleto",IF(OR(AC194=1,AD194=1,AF194&gt;0,AH194&gt;0,AK194&gt;0,AL194&gt;0),"Informação a revisar",IF(AN194=0,"Aguardando recebimento",IF(N(R194)=0,"Aguardando CDF",IF(AJ194&lt;N(W194),"Vínculo de CDF parcial",IF(AO194=0,"CDF localizado, a conferir","Documentação conferida"))))))))</f>
        <v/>
      </c>
      <c r="T194" s="94" t="str">
        <f>IF(Z194=0,"",IF(S194="Cadastro incompleto","MTR INCOMPLETO",IF(S194="Informação a revisar",IF(AND(AH194&gt;0,AC194=0,AD194=0,AF194=0,AK194=0,AL194=0),"QUANTIDADE A REVISAR","IDENTIFICAÇÃO A REVISAR"),IF(S194="Aguardando recebimento","RECEBIMENTO NÃO CONFIRMADO",IF(S194="Aguardando CDF","CDF NÃO LOCALIZADO",IF(S194="Vínculo de CDF parcial","VÍNCULO INCOMPLETO",IF(S194="CDF localizado, a conferir","CDF A CONFERIR","")))))))</f>
        <v/>
      </c>
      <c r="U194" s="95" t="str">
        <f>IF(T194="","",IF(AQ194="","Não calculável",IF(AQ194&gt;TODAY(),"Data futura",TODAY()-AQ194)))</f>
        <v/>
      </c>
      <c r="V194" s="93" t="str">
        <f>IF(Z194=0,"",SUMIFS('RECEBIMENTOS'!$H$6:$H$1005,'RECEBIMENTOS'!$B$6:$B$1005,A194,'RECEBIMENTOS'!$Z$6:$Z$1005,1))</f>
        <v/>
      </c>
      <c r="W194" s="95" t="str">
        <f>IF(Z194=0,"",COUNTIFS('ITENS_MTR'!$S$6:$S$1005,A194,'ITENS_MTR'!$R$6:$R$1005,1))</f>
        <v/>
      </c>
      <c r="X194" s="94" t="str">
        <f>IF(AC194=1,"POSSÍVEL DUPLICIDADE","")</f>
        <v/>
      </c>
      <c r="Y194" s="94" t="str">
        <f>IF(Z194=0,"",IF(AW194="","Nenhuma",LEFT(AW194,LEN(AW194)-2)))</f>
        <v/>
      </c>
      <c r="Z194" s="96">
        <f>IF(COUNTA(B194:O194)&gt;0,1,0)</f>
        <v>0</v>
      </c>
      <c r="AA194" s="96">
        <f>IF(AND(Z194=1,K194&lt;&gt;""),IF(TRIM(K194)=TRIM(cfg_cancel),1,0),0)</f>
        <v>0</v>
      </c>
      <c r="AB194" s="96" t="str">
        <f>IF(AND(Z194=1,B194&lt;&gt;""),C194&amp;"|"&amp;D194&amp;"|"&amp;G194&amp;"|"&amp;TRIM(B194),"")</f>
        <v/>
      </c>
      <c r="AC194" s="96">
        <f>IF(AB194="",0,IF(SUMPRODUCT(--($AB$6:$AB$505=AB194))&gt;1,1,0))</f>
        <v>0</v>
      </c>
      <c r="AD194" s="96">
        <f>IF(Z194=0,0,IF(OR(AND(G194&lt;&gt;"",ISNA(MATCH(G194,'CAD_UNIDADES'!$C$6:$C$105,0))),AND(H194&lt;&gt;"",ISNA(MATCH(H194,cmp_transp,0))),AND(I194&lt;&gt;"",ISNA(MATCH(I194,cmp_dest,0))),AND(E194&lt;&gt;"",NOT(ISNUMBER(E194))),AND(F194&lt;&gt;"",NOT(ISNUMBER(F194))),AND(ISNUMBER(E194),ISNUMBER(F194),F194&lt;E194)),1,0))</f>
        <v>0</v>
      </c>
      <c r="AE194" s="96">
        <f>IF(Z194=0,0,IF(OR(B194="",C194="",E194="",G194="",H194="",I194="",N(W194)=0),1,0))</f>
        <v>0</v>
      </c>
      <c r="AF194" s="96">
        <f>IF(Z194=0,0,COUNTIFS('ITENS_MTR'!$S$6:$S$1005,A194,'ITENS_MTR'!$AI$6:$AI$1005,1))</f>
        <v>0</v>
      </c>
      <c r="AG194" s="96">
        <f>IF(Z194=0,0,COUNTIFS('ITENS_MTR'!$S$6:$S$1005,A194,'ITENS_MTR'!$AJ$6:$AJ$1005,1))</f>
        <v>0</v>
      </c>
      <c r="AH194" s="96">
        <f>IF(Z194=0,0,COUNTIFS('ITENS_MTR'!$S$6:$S$1005,A194,'ITENS_MTR'!$AM$6:$AM$1005,1))</f>
        <v>0</v>
      </c>
      <c r="AI194" s="96">
        <f>IF(Z194=0,0,COUNTIFS('ITENS_MTR'!$S$6:$S$1005,A194,'ITENS_MTR'!$AO$6:$AO$1005,1))</f>
        <v>0</v>
      </c>
      <c r="AJ194" s="96">
        <f>IF(Z194=0,0,COUNTIFS('ITENS_MTR'!$S$6:$S$1005,A194,'ITENS_MTR'!$AN$6:$AN$1005,1))</f>
        <v>0</v>
      </c>
      <c r="AK194" s="96">
        <f>IF(Z194=0,0,COUNTIFS('RECEBIMENTOS'!$B$6:$B$1005,A194,'RECEBIMENTOS'!$Y$6:$Y$1005,1))</f>
        <v>0</v>
      </c>
      <c r="AL194" s="96">
        <f>IF(Z194=0,0,COUNTIFS('VÍNCULOS_CDF'!$D$6:$D$1005,A194,'VÍNCULOS_CDF'!$Y$6:$Y$1005,1))</f>
        <v>0</v>
      </c>
      <c r="AM194" s="96">
        <f>IF(Z194=0,0,COUNTIFS('RECEBIMENTOS'!$B$6:$B$1005,A194,'RECEBIMENTOS'!$Q$6:$Q$1005,1))</f>
        <v>0</v>
      </c>
      <c r="AN194" s="96">
        <f>IF(AND(Z194=1,N(W194)&gt;0,AG194=N(W194)),1,0)</f>
        <v>0</v>
      </c>
      <c r="AO194" s="96">
        <f>IF(AND(Z194=1,N(W194)&gt;0,AI194=N(W194)),1,0)</f>
        <v>0</v>
      </c>
      <c r="AP194" s="97">
        <f>IF(Z194=0,0,_xlfn.MAXIFS('RECEBIMENTOS'!$E$6:$E$1005,'RECEBIMENTOS'!$B$6:$B$1005,A194))</f>
        <v>0</v>
      </c>
      <c r="AQ194" s="97" t="str">
        <f>IF(T194="","",IF(T194="RECEBIMENTO NÃO CONFIRMADO",IF(ISNUMBER(F194),F194,IF(ISNUMBER(E194),E194,"")),IF(OR(T194="CDF NÃO LOCALIZADO",T194="VÍNCULO INCOMPLETO",T194="CDF A CONFERIR"),IF(AP194&gt;0,AP194,IF(ISNUMBER(E194),E194,"")),IF(ISNUMBER(E194),E194,""))))</f>
        <v/>
      </c>
      <c r="AR194" s="96">
        <f>IF(NOT(ISNUMBER(U194)),0,IF(T194="RECEBIMENTO NÃO CONFIRMADO",IF(AND(ISNUMBER(cfg_rec),U194&gt;cfg_rec),1,0),IF(OR(T194="CDF NÃO LOCALIZADO",T194="VÍNCULO INCOMPLETO",T194="CDF A CONFERIR"),IF(AND(ISNUMBER(cfg_cdf),U194&gt;cfg_cdf),1,0),0)))</f>
        <v>0</v>
      </c>
      <c r="AS194" s="96" t="str">
        <f>IF(T194="","",IF(AR194=1,"Alta",IFERROR(INDEX(cfg_pp,MATCH(T194,cfg_pt,0))&amp;"","Média")))</f>
        <v/>
      </c>
      <c r="AT194" s="96" t="str">
        <f>IF(T194="","",IFERROR(INDEX(cfg_pv,MATCH(T194,cfg_pt,0))&amp;"",""))</f>
        <v/>
      </c>
      <c r="AU194" s="96" t="str">
        <f>IF(T194="","",IF(AS194="Alta",1,IF(AS194="Média",2,3))*1000000000+(999999-IF(ISNUMBER(U194),MIN(U194,999999),0))*1000+189)</f>
        <v/>
      </c>
      <c r="AV194" s="96">
        <f>IF(T194&lt;&gt;"",1,0)</f>
        <v>0</v>
      </c>
      <c r="AW194" s="96" t="str">
        <f>IF(Z194=0,"",IF(AA194=1,"Cancelamento informado; ","")&amp;IF(AE194=1,"Campos essenciais ou itens faltando; ","")&amp;IF(AC194=1,"Possível duplicidade do número; ","")&amp;IF(AD194=1,"Cadastro ou datas a revisar; ","")&amp;IF(AF194&gt;0,"Item de resíduo com dado a revisar; ","")&amp;IF(AH194&gt;0,"Diferença de quantidade a analisar; ","")&amp;IF(AK194&gt;0,"Recebimento com alerta; ","")&amp;IF(AL194&gt;0,"Vínculo de CDF com alerta; ","")&amp;IF(AND(AA194=0,AN194=0),"Recebimento não confirmado; ","")&amp;IF(AND(AA194=0,AN194=1,AO194=0),"CDF pendente ou a conferir; ",""))</f>
        <v/>
      </c>
      <c r="AX194" s="96">
        <f>IF(Z194=0,0,IF(AND(OR(f_ini="",AND(ISNUMBER(E194),E194&gt;=f_ini)),OR(f_fim="",AND(ISNUMBER(E194),E194&lt;=f_fim)),OR(f_un="",f_un="(Todas)",G194=f_un),OR(f_tr="",f_tr="(Todos)",H194=f_tr),OR(f_de="",f_de="(Todos)",I194=f_de),OR(f_sit="",f_sit="(Todas)",S194=f_sit)),1,0))</f>
        <v>0</v>
      </c>
      <c r="AY194" s="96">
        <f>IF(AX194=0,0,IF(OR(f_res="",f_res="(Todos)"),1,IF(COUNTIFS('ITENS_MTR'!$S$6:$S$1005,A194,'ITENS_MTR'!$C$6:$C$1005,f_res)&gt;0,1,0)))</f>
        <v>0</v>
      </c>
      <c r="AZ194" s="97" t="str">
        <f>IF(ISNUMBER(E194),DATE(YEAR(E194),MONTH(E194),1),"")</f>
        <v/>
      </c>
      <c r="BA194" s="96">
        <f>IF(Z194=0,0,IF(AND(OR(r_ini="",AND(ISNUMBER(E194),E194&gt;=r_ini)),OR(r_fim="",AND(ISNUMBER(E194),E194&lt;=r_fim)),OR(r_un="",r_un="(Todas)",G194=r_un),OR(r_de="",r_de="(Todos)",I194=r_de)),1,0))</f>
        <v>0</v>
      </c>
      <c r="BB194" s="96" t="str">
        <f>IF(BA194=1,COUNTIF($BA$6:BA194,1),"")</f>
        <v/>
      </c>
      <c r="BC194" s="96" t="str">
        <f>IF(AND(AU194&lt;&gt;"",OR(r_un="",r_un="(Todas)",G194=r_un),OR(r_de="",r_de="(Todos)",I194=r_de)),AU194,"")</f>
        <v/>
      </c>
      <c r="BD194" s="96" t="str">
        <f>IF(Z194=1,A194&amp;" | nº "&amp;IF(B194="","(sem número)",B194)&amp;" | "&amp;IF(G194="","(sem unidade)",G194),"")</f>
        <v/>
      </c>
      <c r="BE194" s="96" t="str">
        <f>IF(Z194=1,COUNTIF($Z$6:Z194,1),"")</f>
        <v/>
      </c>
      <c r="BF194" s="96" t="str">
        <f>IF(T194="","",IF(T194="RECEBIMENTO NÃO CONFIRMADO","Transp.: "&amp;H194&amp;" | Dest.: "&amp;I194,IF(OR(T194="CDF NÃO LOCALIZADO",T194="VÍNCULO INCOMPLETO",T194="CDF A CONFERIR"),"Dest.: "&amp;I194,"Gerador: "&amp;G194)))</f>
        <v/>
      </c>
    </row>
    <row r="195">
      <c r="A195" s="89" t="inlineStr">
        <is>
          <t>MTR-000190</t>
        </is>
      </c>
      <c r="B195" s="90" t="n"/>
      <c r="C195" s="91" t="n"/>
      <c r="D195" s="91" t="n"/>
      <c r="E195" s="92" t="n"/>
      <c r="F195" s="92" t="n"/>
      <c r="G195" s="91" t="n"/>
      <c r="H195" s="91" t="n"/>
      <c r="I195" s="91" t="n"/>
      <c r="J195" s="91" t="n"/>
      <c r="K195" s="91" t="n"/>
      <c r="L195" s="92" t="n"/>
      <c r="M195" s="91" t="n"/>
      <c r="N195" s="91" t="n"/>
      <c r="O195" s="91" t="n"/>
      <c r="P195" s="93" t="str">
        <f>IF(Z195=0,"",SUMIFS('ITENS_MTR'!$I$6:$I$1005,'ITENS_MTR'!$S$6:$S$1005,A195,'ITENS_MTR'!$Y$6:$Y$1005,1))</f>
        <v/>
      </c>
      <c r="Q195" s="93" t="str">
        <f>IF(Z195=0,"",SUMIFS('RECEBIMENTOS'!$H$6:$H$1005,'RECEBIMENTOS'!$B$6:$B$1005,A195,'RECEBIMENTOS'!$X$6:$X$1005,1))</f>
        <v/>
      </c>
      <c r="R195" s="93" t="str">
        <f>IF(Z195=0,"",SUMIFS('VÍNCULOS_CDF'!$H$6:$H$1005,'VÍNCULOS_CDF'!$D$6:$D$1005,A195,'VÍNCULOS_CDF'!$V$6:$V$1005,1))</f>
        <v/>
      </c>
      <c r="S195" s="94" t="str">
        <f>IF(Z195=0,"",IF(AA195=1,"Cancelado (informado)",IF(AE195=1,"Cadastro incompleto",IF(OR(AC195=1,AD195=1,AF195&gt;0,AH195&gt;0,AK195&gt;0,AL195&gt;0),"Informação a revisar",IF(AN195=0,"Aguardando recebimento",IF(N(R195)=0,"Aguardando CDF",IF(AJ195&lt;N(W195),"Vínculo de CDF parcial",IF(AO195=0,"CDF localizado, a conferir","Documentação conferida"))))))))</f>
        <v/>
      </c>
      <c r="T195" s="94" t="str">
        <f>IF(Z195=0,"",IF(S195="Cadastro incompleto","MTR INCOMPLETO",IF(S195="Informação a revisar",IF(AND(AH195&gt;0,AC195=0,AD195=0,AF195=0,AK195=0,AL195=0),"QUANTIDADE A REVISAR","IDENTIFICAÇÃO A REVISAR"),IF(S195="Aguardando recebimento","RECEBIMENTO NÃO CONFIRMADO",IF(S195="Aguardando CDF","CDF NÃO LOCALIZADO",IF(S195="Vínculo de CDF parcial","VÍNCULO INCOMPLETO",IF(S195="CDF localizado, a conferir","CDF A CONFERIR","")))))))</f>
        <v/>
      </c>
      <c r="U195" s="95" t="str">
        <f>IF(T195="","",IF(AQ195="","Não calculável",IF(AQ195&gt;TODAY(),"Data futura",TODAY()-AQ195)))</f>
        <v/>
      </c>
      <c r="V195" s="93" t="str">
        <f>IF(Z195=0,"",SUMIFS('RECEBIMENTOS'!$H$6:$H$1005,'RECEBIMENTOS'!$B$6:$B$1005,A195,'RECEBIMENTOS'!$Z$6:$Z$1005,1))</f>
        <v/>
      </c>
      <c r="W195" s="95" t="str">
        <f>IF(Z195=0,"",COUNTIFS('ITENS_MTR'!$S$6:$S$1005,A195,'ITENS_MTR'!$R$6:$R$1005,1))</f>
        <v/>
      </c>
      <c r="X195" s="94" t="str">
        <f>IF(AC195=1,"POSSÍVEL DUPLICIDADE","")</f>
        <v/>
      </c>
      <c r="Y195" s="94" t="str">
        <f>IF(Z195=0,"",IF(AW195="","Nenhuma",LEFT(AW195,LEN(AW195)-2)))</f>
        <v/>
      </c>
      <c r="Z195" s="96">
        <f>IF(COUNTA(B195:O195)&gt;0,1,0)</f>
        <v>0</v>
      </c>
      <c r="AA195" s="96">
        <f>IF(AND(Z195=1,K195&lt;&gt;""),IF(TRIM(K195)=TRIM(cfg_cancel),1,0),0)</f>
        <v>0</v>
      </c>
      <c r="AB195" s="96" t="str">
        <f>IF(AND(Z195=1,B195&lt;&gt;""),C195&amp;"|"&amp;D195&amp;"|"&amp;G195&amp;"|"&amp;TRIM(B195),"")</f>
        <v/>
      </c>
      <c r="AC195" s="96">
        <f>IF(AB195="",0,IF(SUMPRODUCT(--($AB$6:$AB$505=AB195))&gt;1,1,0))</f>
        <v>0</v>
      </c>
      <c r="AD195" s="96">
        <f>IF(Z195=0,0,IF(OR(AND(G195&lt;&gt;"",ISNA(MATCH(G195,'CAD_UNIDADES'!$C$6:$C$105,0))),AND(H195&lt;&gt;"",ISNA(MATCH(H195,cmp_transp,0))),AND(I195&lt;&gt;"",ISNA(MATCH(I195,cmp_dest,0))),AND(E195&lt;&gt;"",NOT(ISNUMBER(E195))),AND(F195&lt;&gt;"",NOT(ISNUMBER(F195))),AND(ISNUMBER(E195),ISNUMBER(F195),F195&lt;E195)),1,0))</f>
        <v>0</v>
      </c>
      <c r="AE195" s="96">
        <f>IF(Z195=0,0,IF(OR(B195="",C195="",E195="",G195="",H195="",I195="",N(W195)=0),1,0))</f>
        <v>0</v>
      </c>
      <c r="AF195" s="96">
        <f>IF(Z195=0,0,COUNTIFS('ITENS_MTR'!$S$6:$S$1005,A195,'ITENS_MTR'!$AI$6:$AI$1005,1))</f>
        <v>0</v>
      </c>
      <c r="AG195" s="96">
        <f>IF(Z195=0,0,COUNTIFS('ITENS_MTR'!$S$6:$S$1005,A195,'ITENS_MTR'!$AJ$6:$AJ$1005,1))</f>
        <v>0</v>
      </c>
      <c r="AH195" s="96">
        <f>IF(Z195=0,0,COUNTIFS('ITENS_MTR'!$S$6:$S$1005,A195,'ITENS_MTR'!$AM$6:$AM$1005,1))</f>
        <v>0</v>
      </c>
      <c r="AI195" s="96">
        <f>IF(Z195=0,0,COUNTIFS('ITENS_MTR'!$S$6:$S$1005,A195,'ITENS_MTR'!$AO$6:$AO$1005,1))</f>
        <v>0</v>
      </c>
      <c r="AJ195" s="96">
        <f>IF(Z195=0,0,COUNTIFS('ITENS_MTR'!$S$6:$S$1005,A195,'ITENS_MTR'!$AN$6:$AN$1005,1))</f>
        <v>0</v>
      </c>
      <c r="AK195" s="96">
        <f>IF(Z195=0,0,COUNTIFS('RECEBIMENTOS'!$B$6:$B$1005,A195,'RECEBIMENTOS'!$Y$6:$Y$1005,1))</f>
        <v>0</v>
      </c>
      <c r="AL195" s="96">
        <f>IF(Z195=0,0,COUNTIFS('VÍNCULOS_CDF'!$D$6:$D$1005,A195,'VÍNCULOS_CDF'!$Y$6:$Y$1005,1))</f>
        <v>0</v>
      </c>
      <c r="AM195" s="96">
        <f>IF(Z195=0,0,COUNTIFS('RECEBIMENTOS'!$B$6:$B$1005,A195,'RECEBIMENTOS'!$Q$6:$Q$1005,1))</f>
        <v>0</v>
      </c>
      <c r="AN195" s="96">
        <f>IF(AND(Z195=1,N(W195)&gt;0,AG195=N(W195)),1,0)</f>
        <v>0</v>
      </c>
      <c r="AO195" s="96">
        <f>IF(AND(Z195=1,N(W195)&gt;0,AI195=N(W195)),1,0)</f>
        <v>0</v>
      </c>
      <c r="AP195" s="97">
        <f>IF(Z195=0,0,_xlfn.MAXIFS('RECEBIMENTOS'!$E$6:$E$1005,'RECEBIMENTOS'!$B$6:$B$1005,A195))</f>
        <v>0</v>
      </c>
      <c r="AQ195" s="97" t="str">
        <f>IF(T195="","",IF(T195="RECEBIMENTO NÃO CONFIRMADO",IF(ISNUMBER(F195),F195,IF(ISNUMBER(E195),E195,"")),IF(OR(T195="CDF NÃO LOCALIZADO",T195="VÍNCULO INCOMPLETO",T195="CDF A CONFERIR"),IF(AP195&gt;0,AP195,IF(ISNUMBER(E195),E195,"")),IF(ISNUMBER(E195),E195,""))))</f>
        <v/>
      </c>
      <c r="AR195" s="96">
        <f>IF(NOT(ISNUMBER(U195)),0,IF(T195="RECEBIMENTO NÃO CONFIRMADO",IF(AND(ISNUMBER(cfg_rec),U195&gt;cfg_rec),1,0),IF(OR(T195="CDF NÃO LOCALIZADO",T195="VÍNCULO INCOMPLETO",T195="CDF A CONFERIR"),IF(AND(ISNUMBER(cfg_cdf),U195&gt;cfg_cdf),1,0),0)))</f>
        <v>0</v>
      </c>
      <c r="AS195" s="96" t="str">
        <f>IF(T195="","",IF(AR195=1,"Alta",IFERROR(INDEX(cfg_pp,MATCH(T195,cfg_pt,0))&amp;"","Média")))</f>
        <v/>
      </c>
      <c r="AT195" s="96" t="str">
        <f>IF(T195="","",IFERROR(INDEX(cfg_pv,MATCH(T195,cfg_pt,0))&amp;"",""))</f>
        <v/>
      </c>
      <c r="AU195" s="96" t="str">
        <f>IF(T195="","",IF(AS195="Alta",1,IF(AS195="Média",2,3))*1000000000+(999999-IF(ISNUMBER(U195),MIN(U195,999999),0))*1000+190)</f>
        <v/>
      </c>
      <c r="AV195" s="96">
        <f>IF(T195&lt;&gt;"",1,0)</f>
        <v>0</v>
      </c>
      <c r="AW195" s="96" t="str">
        <f>IF(Z195=0,"",IF(AA195=1,"Cancelamento informado; ","")&amp;IF(AE195=1,"Campos essenciais ou itens faltando; ","")&amp;IF(AC195=1,"Possível duplicidade do número; ","")&amp;IF(AD195=1,"Cadastro ou datas a revisar; ","")&amp;IF(AF195&gt;0,"Item de resíduo com dado a revisar; ","")&amp;IF(AH195&gt;0,"Diferença de quantidade a analisar; ","")&amp;IF(AK195&gt;0,"Recebimento com alerta; ","")&amp;IF(AL195&gt;0,"Vínculo de CDF com alerta; ","")&amp;IF(AND(AA195=0,AN195=0),"Recebimento não confirmado; ","")&amp;IF(AND(AA195=0,AN195=1,AO195=0),"CDF pendente ou a conferir; ",""))</f>
        <v/>
      </c>
      <c r="AX195" s="96">
        <f>IF(Z195=0,0,IF(AND(OR(f_ini="",AND(ISNUMBER(E195),E195&gt;=f_ini)),OR(f_fim="",AND(ISNUMBER(E195),E195&lt;=f_fim)),OR(f_un="",f_un="(Todas)",G195=f_un),OR(f_tr="",f_tr="(Todos)",H195=f_tr),OR(f_de="",f_de="(Todos)",I195=f_de),OR(f_sit="",f_sit="(Todas)",S195=f_sit)),1,0))</f>
        <v>0</v>
      </c>
      <c r="AY195" s="96">
        <f>IF(AX195=0,0,IF(OR(f_res="",f_res="(Todos)"),1,IF(COUNTIFS('ITENS_MTR'!$S$6:$S$1005,A195,'ITENS_MTR'!$C$6:$C$1005,f_res)&gt;0,1,0)))</f>
        <v>0</v>
      </c>
      <c r="AZ195" s="97" t="str">
        <f>IF(ISNUMBER(E195),DATE(YEAR(E195),MONTH(E195),1),"")</f>
        <v/>
      </c>
      <c r="BA195" s="96">
        <f>IF(Z195=0,0,IF(AND(OR(r_ini="",AND(ISNUMBER(E195),E195&gt;=r_ini)),OR(r_fim="",AND(ISNUMBER(E195),E195&lt;=r_fim)),OR(r_un="",r_un="(Todas)",G195=r_un),OR(r_de="",r_de="(Todos)",I195=r_de)),1,0))</f>
        <v>0</v>
      </c>
      <c r="BB195" s="96" t="str">
        <f>IF(BA195=1,COUNTIF($BA$6:BA195,1),"")</f>
        <v/>
      </c>
      <c r="BC195" s="96" t="str">
        <f>IF(AND(AU195&lt;&gt;"",OR(r_un="",r_un="(Todas)",G195=r_un),OR(r_de="",r_de="(Todos)",I195=r_de)),AU195,"")</f>
        <v/>
      </c>
      <c r="BD195" s="96" t="str">
        <f>IF(Z195=1,A195&amp;" | nº "&amp;IF(B195="","(sem número)",B195)&amp;" | "&amp;IF(G195="","(sem unidade)",G195),"")</f>
        <v/>
      </c>
      <c r="BE195" s="96" t="str">
        <f>IF(Z195=1,COUNTIF($Z$6:Z195,1),"")</f>
        <v/>
      </c>
      <c r="BF195" s="96" t="str">
        <f>IF(T195="","",IF(T195="RECEBIMENTO NÃO CONFIRMADO","Transp.: "&amp;H195&amp;" | Dest.: "&amp;I195,IF(OR(T195="CDF NÃO LOCALIZADO",T195="VÍNCULO INCOMPLETO",T195="CDF A CONFERIR"),"Dest.: "&amp;I195,"Gerador: "&amp;G195)))</f>
        <v/>
      </c>
    </row>
    <row r="196">
      <c r="A196" s="89" t="inlineStr">
        <is>
          <t>MTR-000191</t>
        </is>
      </c>
      <c r="B196" s="90" t="n"/>
      <c r="C196" s="91" t="n"/>
      <c r="D196" s="91" t="n"/>
      <c r="E196" s="92" t="n"/>
      <c r="F196" s="92" t="n"/>
      <c r="G196" s="91" t="n"/>
      <c r="H196" s="91" t="n"/>
      <c r="I196" s="91" t="n"/>
      <c r="J196" s="91" t="n"/>
      <c r="K196" s="91" t="n"/>
      <c r="L196" s="92" t="n"/>
      <c r="M196" s="91" t="n"/>
      <c r="N196" s="91" t="n"/>
      <c r="O196" s="91" t="n"/>
      <c r="P196" s="93" t="str">
        <f>IF(Z196=0,"",SUMIFS('ITENS_MTR'!$I$6:$I$1005,'ITENS_MTR'!$S$6:$S$1005,A196,'ITENS_MTR'!$Y$6:$Y$1005,1))</f>
        <v/>
      </c>
      <c r="Q196" s="93" t="str">
        <f>IF(Z196=0,"",SUMIFS('RECEBIMENTOS'!$H$6:$H$1005,'RECEBIMENTOS'!$B$6:$B$1005,A196,'RECEBIMENTOS'!$X$6:$X$1005,1))</f>
        <v/>
      </c>
      <c r="R196" s="93" t="str">
        <f>IF(Z196=0,"",SUMIFS('VÍNCULOS_CDF'!$H$6:$H$1005,'VÍNCULOS_CDF'!$D$6:$D$1005,A196,'VÍNCULOS_CDF'!$V$6:$V$1005,1))</f>
        <v/>
      </c>
      <c r="S196" s="94" t="str">
        <f>IF(Z196=0,"",IF(AA196=1,"Cancelado (informado)",IF(AE196=1,"Cadastro incompleto",IF(OR(AC196=1,AD196=1,AF196&gt;0,AH196&gt;0,AK196&gt;0,AL196&gt;0),"Informação a revisar",IF(AN196=0,"Aguardando recebimento",IF(N(R196)=0,"Aguardando CDF",IF(AJ196&lt;N(W196),"Vínculo de CDF parcial",IF(AO196=0,"CDF localizado, a conferir","Documentação conferida"))))))))</f>
        <v/>
      </c>
      <c r="T196" s="94" t="str">
        <f>IF(Z196=0,"",IF(S196="Cadastro incompleto","MTR INCOMPLETO",IF(S196="Informação a revisar",IF(AND(AH196&gt;0,AC196=0,AD196=0,AF196=0,AK196=0,AL196=0),"QUANTIDADE A REVISAR","IDENTIFICAÇÃO A REVISAR"),IF(S196="Aguardando recebimento","RECEBIMENTO NÃO CONFIRMADO",IF(S196="Aguardando CDF","CDF NÃO LOCALIZADO",IF(S196="Vínculo de CDF parcial","VÍNCULO INCOMPLETO",IF(S196="CDF localizado, a conferir","CDF A CONFERIR","")))))))</f>
        <v/>
      </c>
      <c r="U196" s="95" t="str">
        <f>IF(T196="","",IF(AQ196="","Não calculável",IF(AQ196&gt;TODAY(),"Data futura",TODAY()-AQ196)))</f>
        <v/>
      </c>
      <c r="V196" s="93" t="str">
        <f>IF(Z196=0,"",SUMIFS('RECEBIMENTOS'!$H$6:$H$1005,'RECEBIMENTOS'!$B$6:$B$1005,A196,'RECEBIMENTOS'!$Z$6:$Z$1005,1))</f>
        <v/>
      </c>
      <c r="W196" s="95" t="str">
        <f>IF(Z196=0,"",COUNTIFS('ITENS_MTR'!$S$6:$S$1005,A196,'ITENS_MTR'!$R$6:$R$1005,1))</f>
        <v/>
      </c>
      <c r="X196" s="94" t="str">
        <f>IF(AC196=1,"POSSÍVEL DUPLICIDADE","")</f>
        <v/>
      </c>
      <c r="Y196" s="94" t="str">
        <f>IF(Z196=0,"",IF(AW196="","Nenhuma",LEFT(AW196,LEN(AW196)-2)))</f>
        <v/>
      </c>
      <c r="Z196" s="96">
        <f>IF(COUNTA(B196:O196)&gt;0,1,0)</f>
        <v>0</v>
      </c>
      <c r="AA196" s="96">
        <f>IF(AND(Z196=1,K196&lt;&gt;""),IF(TRIM(K196)=TRIM(cfg_cancel),1,0),0)</f>
        <v>0</v>
      </c>
      <c r="AB196" s="96" t="str">
        <f>IF(AND(Z196=1,B196&lt;&gt;""),C196&amp;"|"&amp;D196&amp;"|"&amp;G196&amp;"|"&amp;TRIM(B196),"")</f>
        <v/>
      </c>
      <c r="AC196" s="96">
        <f>IF(AB196="",0,IF(SUMPRODUCT(--($AB$6:$AB$505=AB196))&gt;1,1,0))</f>
        <v>0</v>
      </c>
      <c r="AD196" s="96">
        <f>IF(Z196=0,0,IF(OR(AND(G196&lt;&gt;"",ISNA(MATCH(G196,'CAD_UNIDADES'!$C$6:$C$105,0))),AND(H196&lt;&gt;"",ISNA(MATCH(H196,cmp_transp,0))),AND(I196&lt;&gt;"",ISNA(MATCH(I196,cmp_dest,0))),AND(E196&lt;&gt;"",NOT(ISNUMBER(E196))),AND(F196&lt;&gt;"",NOT(ISNUMBER(F196))),AND(ISNUMBER(E196),ISNUMBER(F196),F196&lt;E196)),1,0))</f>
        <v>0</v>
      </c>
      <c r="AE196" s="96">
        <f>IF(Z196=0,0,IF(OR(B196="",C196="",E196="",G196="",H196="",I196="",N(W196)=0),1,0))</f>
        <v>0</v>
      </c>
      <c r="AF196" s="96">
        <f>IF(Z196=0,0,COUNTIFS('ITENS_MTR'!$S$6:$S$1005,A196,'ITENS_MTR'!$AI$6:$AI$1005,1))</f>
        <v>0</v>
      </c>
      <c r="AG196" s="96">
        <f>IF(Z196=0,0,COUNTIFS('ITENS_MTR'!$S$6:$S$1005,A196,'ITENS_MTR'!$AJ$6:$AJ$1005,1))</f>
        <v>0</v>
      </c>
      <c r="AH196" s="96">
        <f>IF(Z196=0,0,COUNTIFS('ITENS_MTR'!$S$6:$S$1005,A196,'ITENS_MTR'!$AM$6:$AM$1005,1))</f>
        <v>0</v>
      </c>
      <c r="AI196" s="96">
        <f>IF(Z196=0,0,COUNTIFS('ITENS_MTR'!$S$6:$S$1005,A196,'ITENS_MTR'!$AO$6:$AO$1005,1))</f>
        <v>0</v>
      </c>
      <c r="AJ196" s="96">
        <f>IF(Z196=0,0,COUNTIFS('ITENS_MTR'!$S$6:$S$1005,A196,'ITENS_MTR'!$AN$6:$AN$1005,1))</f>
        <v>0</v>
      </c>
      <c r="AK196" s="96">
        <f>IF(Z196=0,0,COUNTIFS('RECEBIMENTOS'!$B$6:$B$1005,A196,'RECEBIMENTOS'!$Y$6:$Y$1005,1))</f>
        <v>0</v>
      </c>
      <c r="AL196" s="96">
        <f>IF(Z196=0,0,COUNTIFS('VÍNCULOS_CDF'!$D$6:$D$1005,A196,'VÍNCULOS_CDF'!$Y$6:$Y$1005,1))</f>
        <v>0</v>
      </c>
      <c r="AM196" s="96">
        <f>IF(Z196=0,0,COUNTIFS('RECEBIMENTOS'!$B$6:$B$1005,A196,'RECEBIMENTOS'!$Q$6:$Q$1005,1))</f>
        <v>0</v>
      </c>
      <c r="AN196" s="96">
        <f>IF(AND(Z196=1,N(W196)&gt;0,AG196=N(W196)),1,0)</f>
        <v>0</v>
      </c>
      <c r="AO196" s="96">
        <f>IF(AND(Z196=1,N(W196)&gt;0,AI196=N(W196)),1,0)</f>
        <v>0</v>
      </c>
      <c r="AP196" s="97">
        <f>IF(Z196=0,0,_xlfn.MAXIFS('RECEBIMENTOS'!$E$6:$E$1005,'RECEBIMENTOS'!$B$6:$B$1005,A196))</f>
        <v>0</v>
      </c>
      <c r="AQ196" s="97" t="str">
        <f>IF(T196="","",IF(T196="RECEBIMENTO NÃO CONFIRMADO",IF(ISNUMBER(F196),F196,IF(ISNUMBER(E196),E196,"")),IF(OR(T196="CDF NÃO LOCALIZADO",T196="VÍNCULO INCOMPLETO",T196="CDF A CONFERIR"),IF(AP196&gt;0,AP196,IF(ISNUMBER(E196),E196,"")),IF(ISNUMBER(E196),E196,""))))</f>
        <v/>
      </c>
      <c r="AR196" s="96">
        <f>IF(NOT(ISNUMBER(U196)),0,IF(T196="RECEBIMENTO NÃO CONFIRMADO",IF(AND(ISNUMBER(cfg_rec),U196&gt;cfg_rec),1,0),IF(OR(T196="CDF NÃO LOCALIZADO",T196="VÍNCULO INCOMPLETO",T196="CDF A CONFERIR"),IF(AND(ISNUMBER(cfg_cdf),U196&gt;cfg_cdf),1,0),0)))</f>
        <v>0</v>
      </c>
      <c r="AS196" s="96" t="str">
        <f>IF(T196="","",IF(AR196=1,"Alta",IFERROR(INDEX(cfg_pp,MATCH(T196,cfg_pt,0))&amp;"","Média")))</f>
        <v/>
      </c>
      <c r="AT196" s="96" t="str">
        <f>IF(T196="","",IFERROR(INDEX(cfg_pv,MATCH(T196,cfg_pt,0))&amp;"",""))</f>
        <v/>
      </c>
      <c r="AU196" s="96" t="str">
        <f>IF(T196="","",IF(AS196="Alta",1,IF(AS196="Média",2,3))*1000000000+(999999-IF(ISNUMBER(U196),MIN(U196,999999),0))*1000+191)</f>
        <v/>
      </c>
      <c r="AV196" s="96">
        <f>IF(T196&lt;&gt;"",1,0)</f>
        <v>0</v>
      </c>
      <c r="AW196" s="96" t="str">
        <f>IF(Z196=0,"",IF(AA196=1,"Cancelamento informado; ","")&amp;IF(AE196=1,"Campos essenciais ou itens faltando; ","")&amp;IF(AC196=1,"Possível duplicidade do número; ","")&amp;IF(AD196=1,"Cadastro ou datas a revisar; ","")&amp;IF(AF196&gt;0,"Item de resíduo com dado a revisar; ","")&amp;IF(AH196&gt;0,"Diferença de quantidade a analisar; ","")&amp;IF(AK196&gt;0,"Recebimento com alerta; ","")&amp;IF(AL196&gt;0,"Vínculo de CDF com alerta; ","")&amp;IF(AND(AA196=0,AN196=0),"Recebimento não confirmado; ","")&amp;IF(AND(AA196=0,AN196=1,AO196=0),"CDF pendente ou a conferir; ",""))</f>
        <v/>
      </c>
      <c r="AX196" s="96">
        <f>IF(Z196=0,0,IF(AND(OR(f_ini="",AND(ISNUMBER(E196),E196&gt;=f_ini)),OR(f_fim="",AND(ISNUMBER(E196),E196&lt;=f_fim)),OR(f_un="",f_un="(Todas)",G196=f_un),OR(f_tr="",f_tr="(Todos)",H196=f_tr),OR(f_de="",f_de="(Todos)",I196=f_de),OR(f_sit="",f_sit="(Todas)",S196=f_sit)),1,0))</f>
        <v>0</v>
      </c>
      <c r="AY196" s="96">
        <f>IF(AX196=0,0,IF(OR(f_res="",f_res="(Todos)"),1,IF(COUNTIFS('ITENS_MTR'!$S$6:$S$1005,A196,'ITENS_MTR'!$C$6:$C$1005,f_res)&gt;0,1,0)))</f>
        <v>0</v>
      </c>
      <c r="AZ196" s="97" t="str">
        <f>IF(ISNUMBER(E196),DATE(YEAR(E196),MONTH(E196),1),"")</f>
        <v/>
      </c>
      <c r="BA196" s="96">
        <f>IF(Z196=0,0,IF(AND(OR(r_ini="",AND(ISNUMBER(E196),E196&gt;=r_ini)),OR(r_fim="",AND(ISNUMBER(E196),E196&lt;=r_fim)),OR(r_un="",r_un="(Todas)",G196=r_un),OR(r_de="",r_de="(Todos)",I196=r_de)),1,0))</f>
        <v>0</v>
      </c>
      <c r="BB196" s="96" t="str">
        <f>IF(BA196=1,COUNTIF($BA$6:BA196,1),"")</f>
        <v/>
      </c>
      <c r="BC196" s="96" t="str">
        <f>IF(AND(AU196&lt;&gt;"",OR(r_un="",r_un="(Todas)",G196=r_un),OR(r_de="",r_de="(Todos)",I196=r_de)),AU196,"")</f>
        <v/>
      </c>
      <c r="BD196" s="96" t="str">
        <f>IF(Z196=1,A196&amp;" | nº "&amp;IF(B196="","(sem número)",B196)&amp;" | "&amp;IF(G196="","(sem unidade)",G196),"")</f>
        <v/>
      </c>
      <c r="BE196" s="96" t="str">
        <f>IF(Z196=1,COUNTIF($Z$6:Z196,1),"")</f>
        <v/>
      </c>
      <c r="BF196" s="96" t="str">
        <f>IF(T196="","",IF(T196="RECEBIMENTO NÃO CONFIRMADO","Transp.: "&amp;H196&amp;" | Dest.: "&amp;I196,IF(OR(T196="CDF NÃO LOCALIZADO",T196="VÍNCULO INCOMPLETO",T196="CDF A CONFERIR"),"Dest.: "&amp;I196,"Gerador: "&amp;G196)))</f>
        <v/>
      </c>
    </row>
    <row r="197">
      <c r="A197" s="89" t="inlineStr">
        <is>
          <t>MTR-000192</t>
        </is>
      </c>
      <c r="B197" s="90" t="n"/>
      <c r="C197" s="91" t="n"/>
      <c r="D197" s="91" t="n"/>
      <c r="E197" s="92" t="n"/>
      <c r="F197" s="92" t="n"/>
      <c r="G197" s="91" t="n"/>
      <c r="H197" s="91" t="n"/>
      <c r="I197" s="91" t="n"/>
      <c r="J197" s="91" t="n"/>
      <c r="K197" s="91" t="n"/>
      <c r="L197" s="92" t="n"/>
      <c r="M197" s="91" t="n"/>
      <c r="N197" s="91" t="n"/>
      <c r="O197" s="91" t="n"/>
      <c r="P197" s="93" t="str">
        <f>IF(Z197=0,"",SUMIFS('ITENS_MTR'!$I$6:$I$1005,'ITENS_MTR'!$S$6:$S$1005,A197,'ITENS_MTR'!$Y$6:$Y$1005,1))</f>
        <v/>
      </c>
      <c r="Q197" s="93" t="str">
        <f>IF(Z197=0,"",SUMIFS('RECEBIMENTOS'!$H$6:$H$1005,'RECEBIMENTOS'!$B$6:$B$1005,A197,'RECEBIMENTOS'!$X$6:$X$1005,1))</f>
        <v/>
      </c>
      <c r="R197" s="93" t="str">
        <f>IF(Z197=0,"",SUMIFS('VÍNCULOS_CDF'!$H$6:$H$1005,'VÍNCULOS_CDF'!$D$6:$D$1005,A197,'VÍNCULOS_CDF'!$V$6:$V$1005,1))</f>
        <v/>
      </c>
      <c r="S197" s="94" t="str">
        <f>IF(Z197=0,"",IF(AA197=1,"Cancelado (informado)",IF(AE197=1,"Cadastro incompleto",IF(OR(AC197=1,AD197=1,AF197&gt;0,AH197&gt;0,AK197&gt;0,AL197&gt;0),"Informação a revisar",IF(AN197=0,"Aguardando recebimento",IF(N(R197)=0,"Aguardando CDF",IF(AJ197&lt;N(W197),"Vínculo de CDF parcial",IF(AO197=0,"CDF localizado, a conferir","Documentação conferida"))))))))</f>
        <v/>
      </c>
      <c r="T197" s="94" t="str">
        <f>IF(Z197=0,"",IF(S197="Cadastro incompleto","MTR INCOMPLETO",IF(S197="Informação a revisar",IF(AND(AH197&gt;0,AC197=0,AD197=0,AF197=0,AK197=0,AL197=0),"QUANTIDADE A REVISAR","IDENTIFICAÇÃO A REVISAR"),IF(S197="Aguardando recebimento","RECEBIMENTO NÃO CONFIRMADO",IF(S197="Aguardando CDF","CDF NÃO LOCALIZADO",IF(S197="Vínculo de CDF parcial","VÍNCULO INCOMPLETO",IF(S197="CDF localizado, a conferir","CDF A CONFERIR","")))))))</f>
        <v/>
      </c>
      <c r="U197" s="95" t="str">
        <f>IF(T197="","",IF(AQ197="","Não calculável",IF(AQ197&gt;TODAY(),"Data futura",TODAY()-AQ197)))</f>
        <v/>
      </c>
      <c r="V197" s="93" t="str">
        <f>IF(Z197=0,"",SUMIFS('RECEBIMENTOS'!$H$6:$H$1005,'RECEBIMENTOS'!$B$6:$B$1005,A197,'RECEBIMENTOS'!$Z$6:$Z$1005,1))</f>
        <v/>
      </c>
      <c r="W197" s="95" t="str">
        <f>IF(Z197=0,"",COUNTIFS('ITENS_MTR'!$S$6:$S$1005,A197,'ITENS_MTR'!$R$6:$R$1005,1))</f>
        <v/>
      </c>
      <c r="X197" s="94" t="str">
        <f>IF(AC197=1,"POSSÍVEL DUPLICIDADE","")</f>
        <v/>
      </c>
      <c r="Y197" s="94" t="str">
        <f>IF(Z197=0,"",IF(AW197="","Nenhuma",LEFT(AW197,LEN(AW197)-2)))</f>
        <v/>
      </c>
      <c r="Z197" s="96">
        <f>IF(COUNTA(B197:O197)&gt;0,1,0)</f>
        <v>0</v>
      </c>
      <c r="AA197" s="96">
        <f>IF(AND(Z197=1,K197&lt;&gt;""),IF(TRIM(K197)=TRIM(cfg_cancel),1,0),0)</f>
        <v>0</v>
      </c>
      <c r="AB197" s="96" t="str">
        <f>IF(AND(Z197=1,B197&lt;&gt;""),C197&amp;"|"&amp;D197&amp;"|"&amp;G197&amp;"|"&amp;TRIM(B197),"")</f>
        <v/>
      </c>
      <c r="AC197" s="96">
        <f>IF(AB197="",0,IF(SUMPRODUCT(--($AB$6:$AB$505=AB197))&gt;1,1,0))</f>
        <v>0</v>
      </c>
      <c r="AD197" s="96">
        <f>IF(Z197=0,0,IF(OR(AND(G197&lt;&gt;"",ISNA(MATCH(G197,'CAD_UNIDADES'!$C$6:$C$105,0))),AND(H197&lt;&gt;"",ISNA(MATCH(H197,cmp_transp,0))),AND(I197&lt;&gt;"",ISNA(MATCH(I197,cmp_dest,0))),AND(E197&lt;&gt;"",NOT(ISNUMBER(E197))),AND(F197&lt;&gt;"",NOT(ISNUMBER(F197))),AND(ISNUMBER(E197),ISNUMBER(F197),F197&lt;E197)),1,0))</f>
        <v>0</v>
      </c>
      <c r="AE197" s="96">
        <f>IF(Z197=0,0,IF(OR(B197="",C197="",E197="",G197="",H197="",I197="",N(W197)=0),1,0))</f>
        <v>0</v>
      </c>
      <c r="AF197" s="96">
        <f>IF(Z197=0,0,COUNTIFS('ITENS_MTR'!$S$6:$S$1005,A197,'ITENS_MTR'!$AI$6:$AI$1005,1))</f>
        <v>0</v>
      </c>
      <c r="AG197" s="96">
        <f>IF(Z197=0,0,COUNTIFS('ITENS_MTR'!$S$6:$S$1005,A197,'ITENS_MTR'!$AJ$6:$AJ$1005,1))</f>
        <v>0</v>
      </c>
      <c r="AH197" s="96">
        <f>IF(Z197=0,0,COUNTIFS('ITENS_MTR'!$S$6:$S$1005,A197,'ITENS_MTR'!$AM$6:$AM$1005,1))</f>
        <v>0</v>
      </c>
      <c r="AI197" s="96">
        <f>IF(Z197=0,0,COUNTIFS('ITENS_MTR'!$S$6:$S$1005,A197,'ITENS_MTR'!$AO$6:$AO$1005,1))</f>
        <v>0</v>
      </c>
      <c r="AJ197" s="96">
        <f>IF(Z197=0,0,COUNTIFS('ITENS_MTR'!$S$6:$S$1005,A197,'ITENS_MTR'!$AN$6:$AN$1005,1))</f>
        <v>0</v>
      </c>
      <c r="AK197" s="96">
        <f>IF(Z197=0,0,COUNTIFS('RECEBIMENTOS'!$B$6:$B$1005,A197,'RECEBIMENTOS'!$Y$6:$Y$1005,1))</f>
        <v>0</v>
      </c>
      <c r="AL197" s="96">
        <f>IF(Z197=0,0,COUNTIFS('VÍNCULOS_CDF'!$D$6:$D$1005,A197,'VÍNCULOS_CDF'!$Y$6:$Y$1005,1))</f>
        <v>0</v>
      </c>
      <c r="AM197" s="96">
        <f>IF(Z197=0,0,COUNTIFS('RECEBIMENTOS'!$B$6:$B$1005,A197,'RECEBIMENTOS'!$Q$6:$Q$1005,1))</f>
        <v>0</v>
      </c>
      <c r="AN197" s="96">
        <f>IF(AND(Z197=1,N(W197)&gt;0,AG197=N(W197)),1,0)</f>
        <v>0</v>
      </c>
      <c r="AO197" s="96">
        <f>IF(AND(Z197=1,N(W197)&gt;0,AI197=N(W197)),1,0)</f>
        <v>0</v>
      </c>
      <c r="AP197" s="97">
        <f>IF(Z197=0,0,_xlfn.MAXIFS('RECEBIMENTOS'!$E$6:$E$1005,'RECEBIMENTOS'!$B$6:$B$1005,A197))</f>
        <v>0</v>
      </c>
      <c r="AQ197" s="97" t="str">
        <f>IF(T197="","",IF(T197="RECEBIMENTO NÃO CONFIRMADO",IF(ISNUMBER(F197),F197,IF(ISNUMBER(E197),E197,"")),IF(OR(T197="CDF NÃO LOCALIZADO",T197="VÍNCULO INCOMPLETO",T197="CDF A CONFERIR"),IF(AP197&gt;0,AP197,IF(ISNUMBER(E197),E197,"")),IF(ISNUMBER(E197),E197,""))))</f>
        <v/>
      </c>
      <c r="AR197" s="96">
        <f>IF(NOT(ISNUMBER(U197)),0,IF(T197="RECEBIMENTO NÃO CONFIRMADO",IF(AND(ISNUMBER(cfg_rec),U197&gt;cfg_rec),1,0),IF(OR(T197="CDF NÃO LOCALIZADO",T197="VÍNCULO INCOMPLETO",T197="CDF A CONFERIR"),IF(AND(ISNUMBER(cfg_cdf),U197&gt;cfg_cdf),1,0),0)))</f>
        <v>0</v>
      </c>
      <c r="AS197" s="96" t="str">
        <f>IF(T197="","",IF(AR197=1,"Alta",IFERROR(INDEX(cfg_pp,MATCH(T197,cfg_pt,0))&amp;"","Média")))</f>
        <v/>
      </c>
      <c r="AT197" s="96" t="str">
        <f>IF(T197="","",IFERROR(INDEX(cfg_pv,MATCH(T197,cfg_pt,0))&amp;"",""))</f>
        <v/>
      </c>
      <c r="AU197" s="96" t="str">
        <f>IF(T197="","",IF(AS197="Alta",1,IF(AS197="Média",2,3))*1000000000+(999999-IF(ISNUMBER(U197),MIN(U197,999999),0))*1000+192)</f>
        <v/>
      </c>
      <c r="AV197" s="96">
        <f>IF(T197&lt;&gt;"",1,0)</f>
        <v>0</v>
      </c>
      <c r="AW197" s="96" t="str">
        <f>IF(Z197=0,"",IF(AA197=1,"Cancelamento informado; ","")&amp;IF(AE197=1,"Campos essenciais ou itens faltando; ","")&amp;IF(AC197=1,"Possível duplicidade do número; ","")&amp;IF(AD197=1,"Cadastro ou datas a revisar; ","")&amp;IF(AF197&gt;0,"Item de resíduo com dado a revisar; ","")&amp;IF(AH197&gt;0,"Diferença de quantidade a analisar; ","")&amp;IF(AK197&gt;0,"Recebimento com alerta; ","")&amp;IF(AL197&gt;0,"Vínculo de CDF com alerta; ","")&amp;IF(AND(AA197=0,AN197=0),"Recebimento não confirmado; ","")&amp;IF(AND(AA197=0,AN197=1,AO197=0),"CDF pendente ou a conferir; ",""))</f>
        <v/>
      </c>
      <c r="AX197" s="96">
        <f>IF(Z197=0,0,IF(AND(OR(f_ini="",AND(ISNUMBER(E197),E197&gt;=f_ini)),OR(f_fim="",AND(ISNUMBER(E197),E197&lt;=f_fim)),OR(f_un="",f_un="(Todas)",G197=f_un),OR(f_tr="",f_tr="(Todos)",H197=f_tr),OR(f_de="",f_de="(Todos)",I197=f_de),OR(f_sit="",f_sit="(Todas)",S197=f_sit)),1,0))</f>
        <v>0</v>
      </c>
      <c r="AY197" s="96">
        <f>IF(AX197=0,0,IF(OR(f_res="",f_res="(Todos)"),1,IF(COUNTIFS('ITENS_MTR'!$S$6:$S$1005,A197,'ITENS_MTR'!$C$6:$C$1005,f_res)&gt;0,1,0)))</f>
        <v>0</v>
      </c>
      <c r="AZ197" s="97" t="str">
        <f>IF(ISNUMBER(E197),DATE(YEAR(E197),MONTH(E197),1),"")</f>
        <v/>
      </c>
      <c r="BA197" s="96">
        <f>IF(Z197=0,0,IF(AND(OR(r_ini="",AND(ISNUMBER(E197),E197&gt;=r_ini)),OR(r_fim="",AND(ISNUMBER(E197),E197&lt;=r_fim)),OR(r_un="",r_un="(Todas)",G197=r_un),OR(r_de="",r_de="(Todos)",I197=r_de)),1,0))</f>
        <v>0</v>
      </c>
      <c r="BB197" s="96" t="str">
        <f>IF(BA197=1,COUNTIF($BA$6:BA197,1),"")</f>
        <v/>
      </c>
      <c r="BC197" s="96" t="str">
        <f>IF(AND(AU197&lt;&gt;"",OR(r_un="",r_un="(Todas)",G197=r_un),OR(r_de="",r_de="(Todos)",I197=r_de)),AU197,"")</f>
        <v/>
      </c>
      <c r="BD197" s="96" t="str">
        <f>IF(Z197=1,A197&amp;" | nº "&amp;IF(B197="","(sem número)",B197)&amp;" | "&amp;IF(G197="","(sem unidade)",G197),"")</f>
        <v/>
      </c>
      <c r="BE197" s="96" t="str">
        <f>IF(Z197=1,COUNTIF($Z$6:Z197,1),"")</f>
        <v/>
      </c>
      <c r="BF197" s="96" t="str">
        <f>IF(T197="","",IF(T197="RECEBIMENTO NÃO CONFIRMADO","Transp.: "&amp;H197&amp;" | Dest.: "&amp;I197,IF(OR(T197="CDF NÃO LOCALIZADO",T197="VÍNCULO INCOMPLETO",T197="CDF A CONFERIR"),"Dest.: "&amp;I197,"Gerador: "&amp;G197)))</f>
        <v/>
      </c>
    </row>
    <row r="198">
      <c r="A198" s="89" t="inlineStr">
        <is>
          <t>MTR-000193</t>
        </is>
      </c>
      <c r="B198" s="90" t="n"/>
      <c r="C198" s="91" t="n"/>
      <c r="D198" s="91" t="n"/>
      <c r="E198" s="92" t="n"/>
      <c r="F198" s="92" t="n"/>
      <c r="G198" s="91" t="n"/>
      <c r="H198" s="91" t="n"/>
      <c r="I198" s="91" t="n"/>
      <c r="J198" s="91" t="n"/>
      <c r="K198" s="91" t="n"/>
      <c r="L198" s="92" t="n"/>
      <c r="M198" s="91" t="n"/>
      <c r="N198" s="91" t="n"/>
      <c r="O198" s="91" t="n"/>
      <c r="P198" s="93" t="str">
        <f>IF(Z198=0,"",SUMIFS('ITENS_MTR'!$I$6:$I$1005,'ITENS_MTR'!$S$6:$S$1005,A198,'ITENS_MTR'!$Y$6:$Y$1005,1))</f>
        <v/>
      </c>
      <c r="Q198" s="93" t="str">
        <f>IF(Z198=0,"",SUMIFS('RECEBIMENTOS'!$H$6:$H$1005,'RECEBIMENTOS'!$B$6:$B$1005,A198,'RECEBIMENTOS'!$X$6:$X$1005,1))</f>
        <v/>
      </c>
      <c r="R198" s="93" t="str">
        <f>IF(Z198=0,"",SUMIFS('VÍNCULOS_CDF'!$H$6:$H$1005,'VÍNCULOS_CDF'!$D$6:$D$1005,A198,'VÍNCULOS_CDF'!$V$6:$V$1005,1))</f>
        <v/>
      </c>
      <c r="S198" s="94" t="str">
        <f>IF(Z198=0,"",IF(AA198=1,"Cancelado (informado)",IF(AE198=1,"Cadastro incompleto",IF(OR(AC198=1,AD198=1,AF198&gt;0,AH198&gt;0,AK198&gt;0,AL198&gt;0),"Informação a revisar",IF(AN198=0,"Aguardando recebimento",IF(N(R198)=0,"Aguardando CDF",IF(AJ198&lt;N(W198),"Vínculo de CDF parcial",IF(AO198=0,"CDF localizado, a conferir","Documentação conferida"))))))))</f>
        <v/>
      </c>
      <c r="T198" s="94" t="str">
        <f>IF(Z198=0,"",IF(S198="Cadastro incompleto","MTR INCOMPLETO",IF(S198="Informação a revisar",IF(AND(AH198&gt;0,AC198=0,AD198=0,AF198=0,AK198=0,AL198=0),"QUANTIDADE A REVISAR","IDENTIFICAÇÃO A REVISAR"),IF(S198="Aguardando recebimento","RECEBIMENTO NÃO CONFIRMADO",IF(S198="Aguardando CDF","CDF NÃO LOCALIZADO",IF(S198="Vínculo de CDF parcial","VÍNCULO INCOMPLETO",IF(S198="CDF localizado, a conferir","CDF A CONFERIR","")))))))</f>
        <v/>
      </c>
      <c r="U198" s="95" t="str">
        <f>IF(T198="","",IF(AQ198="","Não calculável",IF(AQ198&gt;TODAY(),"Data futura",TODAY()-AQ198)))</f>
        <v/>
      </c>
      <c r="V198" s="93" t="str">
        <f>IF(Z198=0,"",SUMIFS('RECEBIMENTOS'!$H$6:$H$1005,'RECEBIMENTOS'!$B$6:$B$1005,A198,'RECEBIMENTOS'!$Z$6:$Z$1005,1))</f>
        <v/>
      </c>
      <c r="W198" s="95" t="str">
        <f>IF(Z198=0,"",COUNTIFS('ITENS_MTR'!$S$6:$S$1005,A198,'ITENS_MTR'!$R$6:$R$1005,1))</f>
        <v/>
      </c>
      <c r="X198" s="94" t="str">
        <f>IF(AC198=1,"POSSÍVEL DUPLICIDADE","")</f>
        <v/>
      </c>
      <c r="Y198" s="94" t="str">
        <f>IF(Z198=0,"",IF(AW198="","Nenhuma",LEFT(AW198,LEN(AW198)-2)))</f>
        <v/>
      </c>
      <c r="Z198" s="96">
        <f>IF(COUNTA(B198:O198)&gt;0,1,0)</f>
        <v>0</v>
      </c>
      <c r="AA198" s="96">
        <f>IF(AND(Z198=1,K198&lt;&gt;""),IF(TRIM(K198)=TRIM(cfg_cancel),1,0),0)</f>
        <v>0</v>
      </c>
      <c r="AB198" s="96" t="str">
        <f>IF(AND(Z198=1,B198&lt;&gt;""),C198&amp;"|"&amp;D198&amp;"|"&amp;G198&amp;"|"&amp;TRIM(B198),"")</f>
        <v/>
      </c>
      <c r="AC198" s="96">
        <f>IF(AB198="",0,IF(SUMPRODUCT(--($AB$6:$AB$505=AB198))&gt;1,1,0))</f>
        <v>0</v>
      </c>
      <c r="AD198" s="96">
        <f>IF(Z198=0,0,IF(OR(AND(G198&lt;&gt;"",ISNA(MATCH(G198,'CAD_UNIDADES'!$C$6:$C$105,0))),AND(H198&lt;&gt;"",ISNA(MATCH(H198,cmp_transp,0))),AND(I198&lt;&gt;"",ISNA(MATCH(I198,cmp_dest,0))),AND(E198&lt;&gt;"",NOT(ISNUMBER(E198))),AND(F198&lt;&gt;"",NOT(ISNUMBER(F198))),AND(ISNUMBER(E198),ISNUMBER(F198),F198&lt;E198)),1,0))</f>
        <v>0</v>
      </c>
      <c r="AE198" s="96">
        <f>IF(Z198=0,0,IF(OR(B198="",C198="",E198="",G198="",H198="",I198="",N(W198)=0),1,0))</f>
        <v>0</v>
      </c>
      <c r="AF198" s="96">
        <f>IF(Z198=0,0,COUNTIFS('ITENS_MTR'!$S$6:$S$1005,A198,'ITENS_MTR'!$AI$6:$AI$1005,1))</f>
        <v>0</v>
      </c>
      <c r="AG198" s="96">
        <f>IF(Z198=0,0,COUNTIFS('ITENS_MTR'!$S$6:$S$1005,A198,'ITENS_MTR'!$AJ$6:$AJ$1005,1))</f>
        <v>0</v>
      </c>
      <c r="AH198" s="96">
        <f>IF(Z198=0,0,COUNTIFS('ITENS_MTR'!$S$6:$S$1005,A198,'ITENS_MTR'!$AM$6:$AM$1005,1))</f>
        <v>0</v>
      </c>
      <c r="AI198" s="96">
        <f>IF(Z198=0,0,COUNTIFS('ITENS_MTR'!$S$6:$S$1005,A198,'ITENS_MTR'!$AO$6:$AO$1005,1))</f>
        <v>0</v>
      </c>
      <c r="AJ198" s="96">
        <f>IF(Z198=0,0,COUNTIFS('ITENS_MTR'!$S$6:$S$1005,A198,'ITENS_MTR'!$AN$6:$AN$1005,1))</f>
        <v>0</v>
      </c>
      <c r="AK198" s="96">
        <f>IF(Z198=0,0,COUNTIFS('RECEBIMENTOS'!$B$6:$B$1005,A198,'RECEBIMENTOS'!$Y$6:$Y$1005,1))</f>
        <v>0</v>
      </c>
      <c r="AL198" s="96">
        <f>IF(Z198=0,0,COUNTIFS('VÍNCULOS_CDF'!$D$6:$D$1005,A198,'VÍNCULOS_CDF'!$Y$6:$Y$1005,1))</f>
        <v>0</v>
      </c>
      <c r="AM198" s="96">
        <f>IF(Z198=0,0,COUNTIFS('RECEBIMENTOS'!$B$6:$B$1005,A198,'RECEBIMENTOS'!$Q$6:$Q$1005,1))</f>
        <v>0</v>
      </c>
      <c r="AN198" s="96">
        <f>IF(AND(Z198=1,N(W198)&gt;0,AG198=N(W198)),1,0)</f>
        <v>0</v>
      </c>
      <c r="AO198" s="96">
        <f>IF(AND(Z198=1,N(W198)&gt;0,AI198=N(W198)),1,0)</f>
        <v>0</v>
      </c>
      <c r="AP198" s="97">
        <f>IF(Z198=0,0,_xlfn.MAXIFS('RECEBIMENTOS'!$E$6:$E$1005,'RECEBIMENTOS'!$B$6:$B$1005,A198))</f>
        <v>0</v>
      </c>
      <c r="AQ198" s="97" t="str">
        <f>IF(T198="","",IF(T198="RECEBIMENTO NÃO CONFIRMADO",IF(ISNUMBER(F198),F198,IF(ISNUMBER(E198),E198,"")),IF(OR(T198="CDF NÃO LOCALIZADO",T198="VÍNCULO INCOMPLETO",T198="CDF A CONFERIR"),IF(AP198&gt;0,AP198,IF(ISNUMBER(E198),E198,"")),IF(ISNUMBER(E198),E198,""))))</f>
        <v/>
      </c>
      <c r="AR198" s="96">
        <f>IF(NOT(ISNUMBER(U198)),0,IF(T198="RECEBIMENTO NÃO CONFIRMADO",IF(AND(ISNUMBER(cfg_rec),U198&gt;cfg_rec),1,0),IF(OR(T198="CDF NÃO LOCALIZADO",T198="VÍNCULO INCOMPLETO",T198="CDF A CONFERIR"),IF(AND(ISNUMBER(cfg_cdf),U198&gt;cfg_cdf),1,0),0)))</f>
        <v>0</v>
      </c>
      <c r="AS198" s="96" t="str">
        <f>IF(T198="","",IF(AR198=1,"Alta",IFERROR(INDEX(cfg_pp,MATCH(T198,cfg_pt,0))&amp;"","Média")))</f>
        <v/>
      </c>
      <c r="AT198" s="96" t="str">
        <f>IF(T198="","",IFERROR(INDEX(cfg_pv,MATCH(T198,cfg_pt,0))&amp;"",""))</f>
        <v/>
      </c>
      <c r="AU198" s="96" t="str">
        <f>IF(T198="","",IF(AS198="Alta",1,IF(AS198="Média",2,3))*1000000000+(999999-IF(ISNUMBER(U198),MIN(U198,999999),0))*1000+193)</f>
        <v/>
      </c>
      <c r="AV198" s="96">
        <f>IF(T198&lt;&gt;"",1,0)</f>
        <v>0</v>
      </c>
      <c r="AW198" s="96" t="str">
        <f>IF(Z198=0,"",IF(AA198=1,"Cancelamento informado; ","")&amp;IF(AE198=1,"Campos essenciais ou itens faltando; ","")&amp;IF(AC198=1,"Possível duplicidade do número; ","")&amp;IF(AD198=1,"Cadastro ou datas a revisar; ","")&amp;IF(AF198&gt;0,"Item de resíduo com dado a revisar; ","")&amp;IF(AH198&gt;0,"Diferença de quantidade a analisar; ","")&amp;IF(AK198&gt;0,"Recebimento com alerta; ","")&amp;IF(AL198&gt;0,"Vínculo de CDF com alerta; ","")&amp;IF(AND(AA198=0,AN198=0),"Recebimento não confirmado; ","")&amp;IF(AND(AA198=0,AN198=1,AO198=0),"CDF pendente ou a conferir; ",""))</f>
        <v/>
      </c>
      <c r="AX198" s="96">
        <f>IF(Z198=0,0,IF(AND(OR(f_ini="",AND(ISNUMBER(E198),E198&gt;=f_ini)),OR(f_fim="",AND(ISNUMBER(E198),E198&lt;=f_fim)),OR(f_un="",f_un="(Todas)",G198=f_un),OR(f_tr="",f_tr="(Todos)",H198=f_tr),OR(f_de="",f_de="(Todos)",I198=f_de),OR(f_sit="",f_sit="(Todas)",S198=f_sit)),1,0))</f>
        <v>0</v>
      </c>
      <c r="AY198" s="96">
        <f>IF(AX198=0,0,IF(OR(f_res="",f_res="(Todos)"),1,IF(COUNTIFS('ITENS_MTR'!$S$6:$S$1005,A198,'ITENS_MTR'!$C$6:$C$1005,f_res)&gt;0,1,0)))</f>
        <v>0</v>
      </c>
      <c r="AZ198" s="97" t="str">
        <f>IF(ISNUMBER(E198),DATE(YEAR(E198),MONTH(E198),1),"")</f>
        <v/>
      </c>
      <c r="BA198" s="96">
        <f>IF(Z198=0,0,IF(AND(OR(r_ini="",AND(ISNUMBER(E198),E198&gt;=r_ini)),OR(r_fim="",AND(ISNUMBER(E198),E198&lt;=r_fim)),OR(r_un="",r_un="(Todas)",G198=r_un),OR(r_de="",r_de="(Todos)",I198=r_de)),1,0))</f>
        <v>0</v>
      </c>
      <c r="BB198" s="96" t="str">
        <f>IF(BA198=1,COUNTIF($BA$6:BA198,1),"")</f>
        <v/>
      </c>
      <c r="BC198" s="96" t="str">
        <f>IF(AND(AU198&lt;&gt;"",OR(r_un="",r_un="(Todas)",G198=r_un),OR(r_de="",r_de="(Todos)",I198=r_de)),AU198,"")</f>
        <v/>
      </c>
      <c r="BD198" s="96" t="str">
        <f>IF(Z198=1,A198&amp;" | nº "&amp;IF(B198="","(sem número)",B198)&amp;" | "&amp;IF(G198="","(sem unidade)",G198),"")</f>
        <v/>
      </c>
      <c r="BE198" s="96" t="str">
        <f>IF(Z198=1,COUNTIF($Z$6:Z198,1),"")</f>
        <v/>
      </c>
      <c r="BF198" s="96" t="str">
        <f>IF(T198="","",IF(T198="RECEBIMENTO NÃO CONFIRMADO","Transp.: "&amp;H198&amp;" | Dest.: "&amp;I198,IF(OR(T198="CDF NÃO LOCALIZADO",T198="VÍNCULO INCOMPLETO",T198="CDF A CONFERIR"),"Dest.: "&amp;I198,"Gerador: "&amp;G198)))</f>
        <v/>
      </c>
    </row>
    <row r="199">
      <c r="A199" s="89" t="inlineStr">
        <is>
          <t>MTR-000194</t>
        </is>
      </c>
      <c r="B199" s="90" t="n"/>
      <c r="C199" s="91" t="n"/>
      <c r="D199" s="91" t="n"/>
      <c r="E199" s="92" t="n"/>
      <c r="F199" s="92" t="n"/>
      <c r="G199" s="91" t="n"/>
      <c r="H199" s="91" t="n"/>
      <c r="I199" s="91" t="n"/>
      <c r="J199" s="91" t="n"/>
      <c r="K199" s="91" t="n"/>
      <c r="L199" s="92" t="n"/>
      <c r="M199" s="91" t="n"/>
      <c r="N199" s="91" t="n"/>
      <c r="O199" s="91" t="n"/>
      <c r="P199" s="93" t="str">
        <f>IF(Z199=0,"",SUMIFS('ITENS_MTR'!$I$6:$I$1005,'ITENS_MTR'!$S$6:$S$1005,A199,'ITENS_MTR'!$Y$6:$Y$1005,1))</f>
        <v/>
      </c>
      <c r="Q199" s="93" t="str">
        <f>IF(Z199=0,"",SUMIFS('RECEBIMENTOS'!$H$6:$H$1005,'RECEBIMENTOS'!$B$6:$B$1005,A199,'RECEBIMENTOS'!$X$6:$X$1005,1))</f>
        <v/>
      </c>
      <c r="R199" s="93" t="str">
        <f>IF(Z199=0,"",SUMIFS('VÍNCULOS_CDF'!$H$6:$H$1005,'VÍNCULOS_CDF'!$D$6:$D$1005,A199,'VÍNCULOS_CDF'!$V$6:$V$1005,1))</f>
        <v/>
      </c>
      <c r="S199" s="94" t="str">
        <f>IF(Z199=0,"",IF(AA199=1,"Cancelado (informado)",IF(AE199=1,"Cadastro incompleto",IF(OR(AC199=1,AD199=1,AF199&gt;0,AH199&gt;0,AK199&gt;0,AL199&gt;0),"Informação a revisar",IF(AN199=0,"Aguardando recebimento",IF(N(R199)=0,"Aguardando CDF",IF(AJ199&lt;N(W199),"Vínculo de CDF parcial",IF(AO199=0,"CDF localizado, a conferir","Documentação conferida"))))))))</f>
        <v/>
      </c>
      <c r="T199" s="94" t="str">
        <f>IF(Z199=0,"",IF(S199="Cadastro incompleto","MTR INCOMPLETO",IF(S199="Informação a revisar",IF(AND(AH199&gt;0,AC199=0,AD199=0,AF199=0,AK199=0,AL199=0),"QUANTIDADE A REVISAR","IDENTIFICAÇÃO A REVISAR"),IF(S199="Aguardando recebimento","RECEBIMENTO NÃO CONFIRMADO",IF(S199="Aguardando CDF","CDF NÃO LOCALIZADO",IF(S199="Vínculo de CDF parcial","VÍNCULO INCOMPLETO",IF(S199="CDF localizado, a conferir","CDF A CONFERIR","")))))))</f>
        <v/>
      </c>
      <c r="U199" s="95" t="str">
        <f>IF(T199="","",IF(AQ199="","Não calculável",IF(AQ199&gt;TODAY(),"Data futura",TODAY()-AQ199)))</f>
        <v/>
      </c>
      <c r="V199" s="93" t="str">
        <f>IF(Z199=0,"",SUMIFS('RECEBIMENTOS'!$H$6:$H$1005,'RECEBIMENTOS'!$B$6:$B$1005,A199,'RECEBIMENTOS'!$Z$6:$Z$1005,1))</f>
        <v/>
      </c>
      <c r="W199" s="95" t="str">
        <f>IF(Z199=0,"",COUNTIFS('ITENS_MTR'!$S$6:$S$1005,A199,'ITENS_MTR'!$R$6:$R$1005,1))</f>
        <v/>
      </c>
      <c r="X199" s="94" t="str">
        <f>IF(AC199=1,"POSSÍVEL DUPLICIDADE","")</f>
        <v/>
      </c>
      <c r="Y199" s="94" t="str">
        <f>IF(Z199=0,"",IF(AW199="","Nenhuma",LEFT(AW199,LEN(AW199)-2)))</f>
        <v/>
      </c>
      <c r="Z199" s="96">
        <f>IF(COUNTA(B199:O199)&gt;0,1,0)</f>
        <v>0</v>
      </c>
      <c r="AA199" s="96">
        <f>IF(AND(Z199=1,K199&lt;&gt;""),IF(TRIM(K199)=TRIM(cfg_cancel),1,0),0)</f>
        <v>0</v>
      </c>
      <c r="AB199" s="96" t="str">
        <f>IF(AND(Z199=1,B199&lt;&gt;""),C199&amp;"|"&amp;D199&amp;"|"&amp;G199&amp;"|"&amp;TRIM(B199),"")</f>
        <v/>
      </c>
      <c r="AC199" s="96">
        <f>IF(AB199="",0,IF(SUMPRODUCT(--($AB$6:$AB$505=AB199))&gt;1,1,0))</f>
        <v>0</v>
      </c>
      <c r="AD199" s="96">
        <f>IF(Z199=0,0,IF(OR(AND(G199&lt;&gt;"",ISNA(MATCH(G199,'CAD_UNIDADES'!$C$6:$C$105,0))),AND(H199&lt;&gt;"",ISNA(MATCH(H199,cmp_transp,0))),AND(I199&lt;&gt;"",ISNA(MATCH(I199,cmp_dest,0))),AND(E199&lt;&gt;"",NOT(ISNUMBER(E199))),AND(F199&lt;&gt;"",NOT(ISNUMBER(F199))),AND(ISNUMBER(E199),ISNUMBER(F199),F199&lt;E199)),1,0))</f>
        <v>0</v>
      </c>
      <c r="AE199" s="96">
        <f>IF(Z199=0,0,IF(OR(B199="",C199="",E199="",G199="",H199="",I199="",N(W199)=0),1,0))</f>
        <v>0</v>
      </c>
      <c r="AF199" s="96">
        <f>IF(Z199=0,0,COUNTIFS('ITENS_MTR'!$S$6:$S$1005,A199,'ITENS_MTR'!$AI$6:$AI$1005,1))</f>
        <v>0</v>
      </c>
      <c r="AG199" s="96">
        <f>IF(Z199=0,0,COUNTIFS('ITENS_MTR'!$S$6:$S$1005,A199,'ITENS_MTR'!$AJ$6:$AJ$1005,1))</f>
        <v>0</v>
      </c>
      <c r="AH199" s="96">
        <f>IF(Z199=0,0,COUNTIFS('ITENS_MTR'!$S$6:$S$1005,A199,'ITENS_MTR'!$AM$6:$AM$1005,1))</f>
        <v>0</v>
      </c>
      <c r="AI199" s="96">
        <f>IF(Z199=0,0,COUNTIFS('ITENS_MTR'!$S$6:$S$1005,A199,'ITENS_MTR'!$AO$6:$AO$1005,1))</f>
        <v>0</v>
      </c>
      <c r="AJ199" s="96">
        <f>IF(Z199=0,0,COUNTIFS('ITENS_MTR'!$S$6:$S$1005,A199,'ITENS_MTR'!$AN$6:$AN$1005,1))</f>
        <v>0</v>
      </c>
      <c r="AK199" s="96">
        <f>IF(Z199=0,0,COUNTIFS('RECEBIMENTOS'!$B$6:$B$1005,A199,'RECEBIMENTOS'!$Y$6:$Y$1005,1))</f>
        <v>0</v>
      </c>
      <c r="AL199" s="96">
        <f>IF(Z199=0,0,COUNTIFS('VÍNCULOS_CDF'!$D$6:$D$1005,A199,'VÍNCULOS_CDF'!$Y$6:$Y$1005,1))</f>
        <v>0</v>
      </c>
      <c r="AM199" s="96">
        <f>IF(Z199=0,0,COUNTIFS('RECEBIMENTOS'!$B$6:$B$1005,A199,'RECEBIMENTOS'!$Q$6:$Q$1005,1))</f>
        <v>0</v>
      </c>
      <c r="AN199" s="96">
        <f>IF(AND(Z199=1,N(W199)&gt;0,AG199=N(W199)),1,0)</f>
        <v>0</v>
      </c>
      <c r="AO199" s="96">
        <f>IF(AND(Z199=1,N(W199)&gt;0,AI199=N(W199)),1,0)</f>
        <v>0</v>
      </c>
      <c r="AP199" s="97">
        <f>IF(Z199=0,0,_xlfn.MAXIFS('RECEBIMENTOS'!$E$6:$E$1005,'RECEBIMENTOS'!$B$6:$B$1005,A199))</f>
        <v>0</v>
      </c>
      <c r="AQ199" s="97" t="str">
        <f>IF(T199="","",IF(T199="RECEBIMENTO NÃO CONFIRMADO",IF(ISNUMBER(F199),F199,IF(ISNUMBER(E199),E199,"")),IF(OR(T199="CDF NÃO LOCALIZADO",T199="VÍNCULO INCOMPLETO",T199="CDF A CONFERIR"),IF(AP199&gt;0,AP199,IF(ISNUMBER(E199),E199,"")),IF(ISNUMBER(E199),E199,""))))</f>
        <v/>
      </c>
      <c r="AR199" s="96">
        <f>IF(NOT(ISNUMBER(U199)),0,IF(T199="RECEBIMENTO NÃO CONFIRMADO",IF(AND(ISNUMBER(cfg_rec),U199&gt;cfg_rec),1,0),IF(OR(T199="CDF NÃO LOCALIZADO",T199="VÍNCULO INCOMPLETO",T199="CDF A CONFERIR"),IF(AND(ISNUMBER(cfg_cdf),U199&gt;cfg_cdf),1,0),0)))</f>
        <v>0</v>
      </c>
      <c r="AS199" s="96" t="str">
        <f>IF(T199="","",IF(AR199=1,"Alta",IFERROR(INDEX(cfg_pp,MATCH(T199,cfg_pt,0))&amp;"","Média")))</f>
        <v/>
      </c>
      <c r="AT199" s="96" t="str">
        <f>IF(T199="","",IFERROR(INDEX(cfg_pv,MATCH(T199,cfg_pt,0))&amp;"",""))</f>
        <v/>
      </c>
      <c r="AU199" s="96" t="str">
        <f>IF(T199="","",IF(AS199="Alta",1,IF(AS199="Média",2,3))*1000000000+(999999-IF(ISNUMBER(U199),MIN(U199,999999),0))*1000+194)</f>
        <v/>
      </c>
      <c r="AV199" s="96">
        <f>IF(T199&lt;&gt;"",1,0)</f>
        <v>0</v>
      </c>
      <c r="AW199" s="96" t="str">
        <f>IF(Z199=0,"",IF(AA199=1,"Cancelamento informado; ","")&amp;IF(AE199=1,"Campos essenciais ou itens faltando; ","")&amp;IF(AC199=1,"Possível duplicidade do número; ","")&amp;IF(AD199=1,"Cadastro ou datas a revisar; ","")&amp;IF(AF199&gt;0,"Item de resíduo com dado a revisar; ","")&amp;IF(AH199&gt;0,"Diferença de quantidade a analisar; ","")&amp;IF(AK199&gt;0,"Recebimento com alerta; ","")&amp;IF(AL199&gt;0,"Vínculo de CDF com alerta; ","")&amp;IF(AND(AA199=0,AN199=0),"Recebimento não confirmado; ","")&amp;IF(AND(AA199=0,AN199=1,AO199=0),"CDF pendente ou a conferir; ",""))</f>
        <v/>
      </c>
      <c r="AX199" s="96">
        <f>IF(Z199=0,0,IF(AND(OR(f_ini="",AND(ISNUMBER(E199),E199&gt;=f_ini)),OR(f_fim="",AND(ISNUMBER(E199),E199&lt;=f_fim)),OR(f_un="",f_un="(Todas)",G199=f_un),OR(f_tr="",f_tr="(Todos)",H199=f_tr),OR(f_de="",f_de="(Todos)",I199=f_de),OR(f_sit="",f_sit="(Todas)",S199=f_sit)),1,0))</f>
        <v>0</v>
      </c>
      <c r="AY199" s="96">
        <f>IF(AX199=0,0,IF(OR(f_res="",f_res="(Todos)"),1,IF(COUNTIFS('ITENS_MTR'!$S$6:$S$1005,A199,'ITENS_MTR'!$C$6:$C$1005,f_res)&gt;0,1,0)))</f>
        <v>0</v>
      </c>
      <c r="AZ199" s="97" t="str">
        <f>IF(ISNUMBER(E199),DATE(YEAR(E199),MONTH(E199),1),"")</f>
        <v/>
      </c>
      <c r="BA199" s="96">
        <f>IF(Z199=0,0,IF(AND(OR(r_ini="",AND(ISNUMBER(E199),E199&gt;=r_ini)),OR(r_fim="",AND(ISNUMBER(E199),E199&lt;=r_fim)),OR(r_un="",r_un="(Todas)",G199=r_un),OR(r_de="",r_de="(Todos)",I199=r_de)),1,0))</f>
        <v>0</v>
      </c>
      <c r="BB199" s="96" t="str">
        <f>IF(BA199=1,COUNTIF($BA$6:BA199,1),"")</f>
        <v/>
      </c>
      <c r="BC199" s="96" t="str">
        <f>IF(AND(AU199&lt;&gt;"",OR(r_un="",r_un="(Todas)",G199=r_un),OR(r_de="",r_de="(Todos)",I199=r_de)),AU199,"")</f>
        <v/>
      </c>
      <c r="BD199" s="96" t="str">
        <f>IF(Z199=1,A199&amp;" | nº "&amp;IF(B199="","(sem número)",B199)&amp;" | "&amp;IF(G199="","(sem unidade)",G199),"")</f>
        <v/>
      </c>
      <c r="BE199" s="96" t="str">
        <f>IF(Z199=1,COUNTIF($Z$6:Z199,1),"")</f>
        <v/>
      </c>
      <c r="BF199" s="96" t="str">
        <f>IF(T199="","",IF(T199="RECEBIMENTO NÃO CONFIRMADO","Transp.: "&amp;H199&amp;" | Dest.: "&amp;I199,IF(OR(T199="CDF NÃO LOCALIZADO",T199="VÍNCULO INCOMPLETO",T199="CDF A CONFERIR"),"Dest.: "&amp;I199,"Gerador: "&amp;G199)))</f>
        <v/>
      </c>
    </row>
    <row r="200">
      <c r="A200" s="89" t="inlineStr">
        <is>
          <t>MTR-000195</t>
        </is>
      </c>
      <c r="B200" s="90" t="n"/>
      <c r="C200" s="91" t="n"/>
      <c r="D200" s="91" t="n"/>
      <c r="E200" s="92" t="n"/>
      <c r="F200" s="92" t="n"/>
      <c r="G200" s="91" t="n"/>
      <c r="H200" s="91" t="n"/>
      <c r="I200" s="91" t="n"/>
      <c r="J200" s="91" t="n"/>
      <c r="K200" s="91" t="n"/>
      <c r="L200" s="92" t="n"/>
      <c r="M200" s="91" t="n"/>
      <c r="N200" s="91" t="n"/>
      <c r="O200" s="91" t="n"/>
      <c r="P200" s="93" t="str">
        <f>IF(Z200=0,"",SUMIFS('ITENS_MTR'!$I$6:$I$1005,'ITENS_MTR'!$S$6:$S$1005,A200,'ITENS_MTR'!$Y$6:$Y$1005,1))</f>
        <v/>
      </c>
      <c r="Q200" s="93" t="str">
        <f>IF(Z200=0,"",SUMIFS('RECEBIMENTOS'!$H$6:$H$1005,'RECEBIMENTOS'!$B$6:$B$1005,A200,'RECEBIMENTOS'!$X$6:$X$1005,1))</f>
        <v/>
      </c>
      <c r="R200" s="93" t="str">
        <f>IF(Z200=0,"",SUMIFS('VÍNCULOS_CDF'!$H$6:$H$1005,'VÍNCULOS_CDF'!$D$6:$D$1005,A200,'VÍNCULOS_CDF'!$V$6:$V$1005,1))</f>
        <v/>
      </c>
      <c r="S200" s="94" t="str">
        <f>IF(Z200=0,"",IF(AA200=1,"Cancelado (informado)",IF(AE200=1,"Cadastro incompleto",IF(OR(AC200=1,AD200=1,AF200&gt;0,AH200&gt;0,AK200&gt;0,AL200&gt;0),"Informação a revisar",IF(AN200=0,"Aguardando recebimento",IF(N(R200)=0,"Aguardando CDF",IF(AJ200&lt;N(W200),"Vínculo de CDF parcial",IF(AO200=0,"CDF localizado, a conferir","Documentação conferida"))))))))</f>
        <v/>
      </c>
      <c r="T200" s="94" t="str">
        <f>IF(Z200=0,"",IF(S200="Cadastro incompleto","MTR INCOMPLETO",IF(S200="Informação a revisar",IF(AND(AH200&gt;0,AC200=0,AD200=0,AF200=0,AK200=0,AL200=0),"QUANTIDADE A REVISAR","IDENTIFICAÇÃO A REVISAR"),IF(S200="Aguardando recebimento","RECEBIMENTO NÃO CONFIRMADO",IF(S200="Aguardando CDF","CDF NÃO LOCALIZADO",IF(S200="Vínculo de CDF parcial","VÍNCULO INCOMPLETO",IF(S200="CDF localizado, a conferir","CDF A CONFERIR","")))))))</f>
        <v/>
      </c>
      <c r="U200" s="95" t="str">
        <f>IF(T200="","",IF(AQ200="","Não calculável",IF(AQ200&gt;TODAY(),"Data futura",TODAY()-AQ200)))</f>
        <v/>
      </c>
      <c r="V200" s="93" t="str">
        <f>IF(Z200=0,"",SUMIFS('RECEBIMENTOS'!$H$6:$H$1005,'RECEBIMENTOS'!$B$6:$B$1005,A200,'RECEBIMENTOS'!$Z$6:$Z$1005,1))</f>
        <v/>
      </c>
      <c r="W200" s="95" t="str">
        <f>IF(Z200=0,"",COUNTIFS('ITENS_MTR'!$S$6:$S$1005,A200,'ITENS_MTR'!$R$6:$R$1005,1))</f>
        <v/>
      </c>
      <c r="X200" s="94" t="str">
        <f>IF(AC200=1,"POSSÍVEL DUPLICIDADE","")</f>
        <v/>
      </c>
      <c r="Y200" s="94" t="str">
        <f>IF(Z200=0,"",IF(AW200="","Nenhuma",LEFT(AW200,LEN(AW200)-2)))</f>
        <v/>
      </c>
      <c r="Z200" s="96">
        <f>IF(COUNTA(B200:O200)&gt;0,1,0)</f>
        <v>0</v>
      </c>
      <c r="AA200" s="96">
        <f>IF(AND(Z200=1,K200&lt;&gt;""),IF(TRIM(K200)=TRIM(cfg_cancel),1,0),0)</f>
        <v>0</v>
      </c>
      <c r="AB200" s="96" t="str">
        <f>IF(AND(Z200=1,B200&lt;&gt;""),C200&amp;"|"&amp;D200&amp;"|"&amp;G200&amp;"|"&amp;TRIM(B200),"")</f>
        <v/>
      </c>
      <c r="AC200" s="96">
        <f>IF(AB200="",0,IF(SUMPRODUCT(--($AB$6:$AB$505=AB200))&gt;1,1,0))</f>
        <v>0</v>
      </c>
      <c r="AD200" s="96">
        <f>IF(Z200=0,0,IF(OR(AND(G200&lt;&gt;"",ISNA(MATCH(G200,'CAD_UNIDADES'!$C$6:$C$105,0))),AND(H200&lt;&gt;"",ISNA(MATCH(H200,cmp_transp,0))),AND(I200&lt;&gt;"",ISNA(MATCH(I200,cmp_dest,0))),AND(E200&lt;&gt;"",NOT(ISNUMBER(E200))),AND(F200&lt;&gt;"",NOT(ISNUMBER(F200))),AND(ISNUMBER(E200),ISNUMBER(F200),F200&lt;E200)),1,0))</f>
        <v>0</v>
      </c>
      <c r="AE200" s="96">
        <f>IF(Z200=0,0,IF(OR(B200="",C200="",E200="",G200="",H200="",I200="",N(W200)=0),1,0))</f>
        <v>0</v>
      </c>
      <c r="AF200" s="96">
        <f>IF(Z200=0,0,COUNTIFS('ITENS_MTR'!$S$6:$S$1005,A200,'ITENS_MTR'!$AI$6:$AI$1005,1))</f>
        <v>0</v>
      </c>
      <c r="AG200" s="96">
        <f>IF(Z200=0,0,COUNTIFS('ITENS_MTR'!$S$6:$S$1005,A200,'ITENS_MTR'!$AJ$6:$AJ$1005,1))</f>
        <v>0</v>
      </c>
      <c r="AH200" s="96">
        <f>IF(Z200=0,0,COUNTIFS('ITENS_MTR'!$S$6:$S$1005,A200,'ITENS_MTR'!$AM$6:$AM$1005,1))</f>
        <v>0</v>
      </c>
      <c r="AI200" s="96">
        <f>IF(Z200=0,0,COUNTIFS('ITENS_MTR'!$S$6:$S$1005,A200,'ITENS_MTR'!$AO$6:$AO$1005,1))</f>
        <v>0</v>
      </c>
      <c r="AJ200" s="96">
        <f>IF(Z200=0,0,COUNTIFS('ITENS_MTR'!$S$6:$S$1005,A200,'ITENS_MTR'!$AN$6:$AN$1005,1))</f>
        <v>0</v>
      </c>
      <c r="AK200" s="96">
        <f>IF(Z200=0,0,COUNTIFS('RECEBIMENTOS'!$B$6:$B$1005,A200,'RECEBIMENTOS'!$Y$6:$Y$1005,1))</f>
        <v>0</v>
      </c>
      <c r="AL200" s="96">
        <f>IF(Z200=0,0,COUNTIFS('VÍNCULOS_CDF'!$D$6:$D$1005,A200,'VÍNCULOS_CDF'!$Y$6:$Y$1005,1))</f>
        <v>0</v>
      </c>
      <c r="AM200" s="96">
        <f>IF(Z200=0,0,COUNTIFS('RECEBIMENTOS'!$B$6:$B$1005,A200,'RECEBIMENTOS'!$Q$6:$Q$1005,1))</f>
        <v>0</v>
      </c>
      <c r="AN200" s="96">
        <f>IF(AND(Z200=1,N(W200)&gt;0,AG200=N(W200)),1,0)</f>
        <v>0</v>
      </c>
      <c r="AO200" s="96">
        <f>IF(AND(Z200=1,N(W200)&gt;0,AI200=N(W200)),1,0)</f>
        <v>0</v>
      </c>
      <c r="AP200" s="97">
        <f>IF(Z200=0,0,_xlfn.MAXIFS('RECEBIMENTOS'!$E$6:$E$1005,'RECEBIMENTOS'!$B$6:$B$1005,A200))</f>
        <v>0</v>
      </c>
      <c r="AQ200" s="97" t="str">
        <f>IF(T200="","",IF(T200="RECEBIMENTO NÃO CONFIRMADO",IF(ISNUMBER(F200),F200,IF(ISNUMBER(E200),E200,"")),IF(OR(T200="CDF NÃO LOCALIZADO",T200="VÍNCULO INCOMPLETO",T200="CDF A CONFERIR"),IF(AP200&gt;0,AP200,IF(ISNUMBER(E200),E200,"")),IF(ISNUMBER(E200),E200,""))))</f>
        <v/>
      </c>
      <c r="AR200" s="96">
        <f>IF(NOT(ISNUMBER(U200)),0,IF(T200="RECEBIMENTO NÃO CONFIRMADO",IF(AND(ISNUMBER(cfg_rec),U200&gt;cfg_rec),1,0),IF(OR(T200="CDF NÃO LOCALIZADO",T200="VÍNCULO INCOMPLETO",T200="CDF A CONFERIR"),IF(AND(ISNUMBER(cfg_cdf),U200&gt;cfg_cdf),1,0),0)))</f>
        <v>0</v>
      </c>
      <c r="AS200" s="96" t="str">
        <f>IF(T200="","",IF(AR200=1,"Alta",IFERROR(INDEX(cfg_pp,MATCH(T200,cfg_pt,0))&amp;"","Média")))</f>
        <v/>
      </c>
      <c r="AT200" s="96" t="str">
        <f>IF(T200="","",IFERROR(INDEX(cfg_pv,MATCH(T200,cfg_pt,0))&amp;"",""))</f>
        <v/>
      </c>
      <c r="AU200" s="96" t="str">
        <f>IF(T200="","",IF(AS200="Alta",1,IF(AS200="Média",2,3))*1000000000+(999999-IF(ISNUMBER(U200),MIN(U200,999999),0))*1000+195)</f>
        <v/>
      </c>
      <c r="AV200" s="96">
        <f>IF(T200&lt;&gt;"",1,0)</f>
        <v>0</v>
      </c>
      <c r="AW200" s="96" t="str">
        <f>IF(Z200=0,"",IF(AA200=1,"Cancelamento informado; ","")&amp;IF(AE200=1,"Campos essenciais ou itens faltando; ","")&amp;IF(AC200=1,"Possível duplicidade do número; ","")&amp;IF(AD200=1,"Cadastro ou datas a revisar; ","")&amp;IF(AF200&gt;0,"Item de resíduo com dado a revisar; ","")&amp;IF(AH200&gt;0,"Diferença de quantidade a analisar; ","")&amp;IF(AK200&gt;0,"Recebimento com alerta; ","")&amp;IF(AL200&gt;0,"Vínculo de CDF com alerta; ","")&amp;IF(AND(AA200=0,AN200=0),"Recebimento não confirmado; ","")&amp;IF(AND(AA200=0,AN200=1,AO200=0),"CDF pendente ou a conferir; ",""))</f>
        <v/>
      </c>
      <c r="AX200" s="96">
        <f>IF(Z200=0,0,IF(AND(OR(f_ini="",AND(ISNUMBER(E200),E200&gt;=f_ini)),OR(f_fim="",AND(ISNUMBER(E200),E200&lt;=f_fim)),OR(f_un="",f_un="(Todas)",G200=f_un),OR(f_tr="",f_tr="(Todos)",H200=f_tr),OR(f_de="",f_de="(Todos)",I200=f_de),OR(f_sit="",f_sit="(Todas)",S200=f_sit)),1,0))</f>
        <v>0</v>
      </c>
      <c r="AY200" s="96">
        <f>IF(AX200=0,0,IF(OR(f_res="",f_res="(Todos)"),1,IF(COUNTIFS('ITENS_MTR'!$S$6:$S$1005,A200,'ITENS_MTR'!$C$6:$C$1005,f_res)&gt;0,1,0)))</f>
        <v>0</v>
      </c>
      <c r="AZ200" s="97" t="str">
        <f>IF(ISNUMBER(E200),DATE(YEAR(E200),MONTH(E200),1),"")</f>
        <v/>
      </c>
      <c r="BA200" s="96">
        <f>IF(Z200=0,0,IF(AND(OR(r_ini="",AND(ISNUMBER(E200),E200&gt;=r_ini)),OR(r_fim="",AND(ISNUMBER(E200),E200&lt;=r_fim)),OR(r_un="",r_un="(Todas)",G200=r_un),OR(r_de="",r_de="(Todos)",I200=r_de)),1,0))</f>
        <v>0</v>
      </c>
      <c r="BB200" s="96" t="str">
        <f>IF(BA200=1,COUNTIF($BA$6:BA200,1),"")</f>
        <v/>
      </c>
      <c r="BC200" s="96" t="str">
        <f>IF(AND(AU200&lt;&gt;"",OR(r_un="",r_un="(Todas)",G200=r_un),OR(r_de="",r_de="(Todos)",I200=r_de)),AU200,"")</f>
        <v/>
      </c>
      <c r="BD200" s="96" t="str">
        <f>IF(Z200=1,A200&amp;" | nº "&amp;IF(B200="","(sem número)",B200)&amp;" | "&amp;IF(G200="","(sem unidade)",G200),"")</f>
        <v/>
      </c>
      <c r="BE200" s="96" t="str">
        <f>IF(Z200=1,COUNTIF($Z$6:Z200,1),"")</f>
        <v/>
      </c>
      <c r="BF200" s="96" t="str">
        <f>IF(T200="","",IF(T200="RECEBIMENTO NÃO CONFIRMADO","Transp.: "&amp;H200&amp;" | Dest.: "&amp;I200,IF(OR(T200="CDF NÃO LOCALIZADO",T200="VÍNCULO INCOMPLETO",T200="CDF A CONFERIR"),"Dest.: "&amp;I200,"Gerador: "&amp;G200)))</f>
        <v/>
      </c>
    </row>
    <row r="201">
      <c r="A201" s="89" t="inlineStr">
        <is>
          <t>MTR-000196</t>
        </is>
      </c>
      <c r="B201" s="90" t="n"/>
      <c r="C201" s="91" t="n"/>
      <c r="D201" s="91" t="n"/>
      <c r="E201" s="92" t="n"/>
      <c r="F201" s="92" t="n"/>
      <c r="G201" s="91" t="n"/>
      <c r="H201" s="91" t="n"/>
      <c r="I201" s="91" t="n"/>
      <c r="J201" s="91" t="n"/>
      <c r="K201" s="91" t="n"/>
      <c r="L201" s="92" t="n"/>
      <c r="M201" s="91" t="n"/>
      <c r="N201" s="91" t="n"/>
      <c r="O201" s="91" t="n"/>
      <c r="P201" s="93" t="str">
        <f>IF(Z201=0,"",SUMIFS('ITENS_MTR'!$I$6:$I$1005,'ITENS_MTR'!$S$6:$S$1005,A201,'ITENS_MTR'!$Y$6:$Y$1005,1))</f>
        <v/>
      </c>
      <c r="Q201" s="93" t="str">
        <f>IF(Z201=0,"",SUMIFS('RECEBIMENTOS'!$H$6:$H$1005,'RECEBIMENTOS'!$B$6:$B$1005,A201,'RECEBIMENTOS'!$X$6:$X$1005,1))</f>
        <v/>
      </c>
      <c r="R201" s="93" t="str">
        <f>IF(Z201=0,"",SUMIFS('VÍNCULOS_CDF'!$H$6:$H$1005,'VÍNCULOS_CDF'!$D$6:$D$1005,A201,'VÍNCULOS_CDF'!$V$6:$V$1005,1))</f>
        <v/>
      </c>
      <c r="S201" s="94" t="str">
        <f>IF(Z201=0,"",IF(AA201=1,"Cancelado (informado)",IF(AE201=1,"Cadastro incompleto",IF(OR(AC201=1,AD201=1,AF201&gt;0,AH201&gt;0,AK201&gt;0,AL201&gt;0),"Informação a revisar",IF(AN201=0,"Aguardando recebimento",IF(N(R201)=0,"Aguardando CDF",IF(AJ201&lt;N(W201),"Vínculo de CDF parcial",IF(AO201=0,"CDF localizado, a conferir","Documentação conferida"))))))))</f>
        <v/>
      </c>
      <c r="T201" s="94" t="str">
        <f>IF(Z201=0,"",IF(S201="Cadastro incompleto","MTR INCOMPLETO",IF(S201="Informação a revisar",IF(AND(AH201&gt;0,AC201=0,AD201=0,AF201=0,AK201=0,AL201=0),"QUANTIDADE A REVISAR","IDENTIFICAÇÃO A REVISAR"),IF(S201="Aguardando recebimento","RECEBIMENTO NÃO CONFIRMADO",IF(S201="Aguardando CDF","CDF NÃO LOCALIZADO",IF(S201="Vínculo de CDF parcial","VÍNCULO INCOMPLETO",IF(S201="CDF localizado, a conferir","CDF A CONFERIR","")))))))</f>
        <v/>
      </c>
      <c r="U201" s="95" t="str">
        <f>IF(T201="","",IF(AQ201="","Não calculável",IF(AQ201&gt;TODAY(),"Data futura",TODAY()-AQ201)))</f>
        <v/>
      </c>
      <c r="V201" s="93" t="str">
        <f>IF(Z201=0,"",SUMIFS('RECEBIMENTOS'!$H$6:$H$1005,'RECEBIMENTOS'!$B$6:$B$1005,A201,'RECEBIMENTOS'!$Z$6:$Z$1005,1))</f>
        <v/>
      </c>
      <c r="W201" s="95" t="str">
        <f>IF(Z201=0,"",COUNTIFS('ITENS_MTR'!$S$6:$S$1005,A201,'ITENS_MTR'!$R$6:$R$1005,1))</f>
        <v/>
      </c>
      <c r="X201" s="94" t="str">
        <f>IF(AC201=1,"POSSÍVEL DUPLICIDADE","")</f>
        <v/>
      </c>
      <c r="Y201" s="94" t="str">
        <f>IF(Z201=0,"",IF(AW201="","Nenhuma",LEFT(AW201,LEN(AW201)-2)))</f>
        <v/>
      </c>
      <c r="Z201" s="96">
        <f>IF(COUNTA(B201:O201)&gt;0,1,0)</f>
        <v>0</v>
      </c>
      <c r="AA201" s="96">
        <f>IF(AND(Z201=1,K201&lt;&gt;""),IF(TRIM(K201)=TRIM(cfg_cancel),1,0),0)</f>
        <v>0</v>
      </c>
      <c r="AB201" s="96" t="str">
        <f>IF(AND(Z201=1,B201&lt;&gt;""),C201&amp;"|"&amp;D201&amp;"|"&amp;G201&amp;"|"&amp;TRIM(B201),"")</f>
        <v/>
      </c>
      <c r="AC201" s="96">
        <f>IF(AB201="",0,IF(SUMPRODUCT(--($AB$6:$AB$505=AB201))&gt;1,1,0))</f>
        <v>0</v>
      </c>
      <c r="AD201" s="96">
        <f>IF(Z201=0,0,IF(OR(AND(G201&lt;&gt;"",ISNA(MATCH(G201,'CAD_UNIDADES'!$C$6:$C$105,0))),AND(H201&lt;&gt;"",ISNA(MATCH(H201,cmp_transp,0))),AND(I201&lt;&gt;"",ISNA(MATCH(I201,cmp_dest,0))),AND(E201&lt;&gt;"",NOT(ISNUMBER(E201))),AND(F201&lt;&gt;"",NOT(ISNUMBER(F201))),AND(ISNUMBER(E201),ISNUMBER(F201),F201&lt;E201)),1,0))</f>
        <v>0</v>
      </c>
      <c r="AE201" s="96">
        <f>IF(Z201=0,0,IF(OR(B201="",C201="",E201="",G201="",H201="",I201="",N(W201)=0),1,0))</f>
        <v>0</v>
      </c>
      <c r="AF201" s="96">
        <f>IF(Z201=0,0,COUNTIFS('ITENS_MTR'!$S$6:$S$1005,A201,'ITENS_MTR'!$AI$6:$AI$1005,1))</f>
        <v>0</v>
      </c>
      <c r="AG201" s="96">
        <f>IF(Z201=0,0,COUNTIFS('ITENS_MTR'!$S$6:$S$1005,A201,'ITENS_MTR'!$AJ$6:$AJ$1005,1))</f>
        <v>0</v>
      </c>
      <c r="AH201" s="96">
        <f>IF(Z201=0,0,COUNTIFS('ITENS_MTR'!$S$6:$S$1005,A201,'ITENS_MTR'!$AM$6:$AM$1005,1))</f>
        <v>0</v>
      </c>
      <c r="AI201" s="96">
        <f>IF(Z201=0,0,COUNTIFS('ITENS_MTR'!$S$6:$S$1005,A201,'ITENS_MTR'!$AO$6:$AO$1005,1))</f>
        <v>0</v>
      </c>
      <c r="AJ201" s="96">
        <f>IF(Z201=0,0,COUNTIFS('ITENS_MTR'!$S$6:$S$1005,A201,'ITENS_MTR'!$AN$6:$AN$1005,1))</f>
        <v>0</v>
      </c>
      <c r="AK201" s="96">
        <f>IF(Z201=0,0,COUNTIFS('RECEBIMENTOS'!$B$6:$B$1005,A201,'RECEBIMENTOS'!$Y$6:$Y$1005,1))</f>
        <v>0</v>
      </c>
      <c r="AL201" s="96">
        <f>IF(Z201=0,0,COUNTIFS('VÍNCULOS_CDF'!$D$6:$D$1005,A201,'VÍNCULOS_CDF'!$Y$6:$Y$1005,1))</f>
        <v>0</v>
      </c>
      <c r="AM201" s="96">
        <f>IF(Z201=0,0,COUNTIFS('RECEBIMENTOS'!$B$6:$B$1005,A201,'RECEBIMENTOS'!$Q$6:$Q$1005,1))</f>
        <v>0</v>
      </c>
      <c r="AN201" s="96">
        <f>IF(AND(Z201=1,N(W201)&gt;0,AG201=N(W201)),1,0)</f>
        <v>0</v>
      </c>
      <c r="AO201" s="96">
        <f>IF(AND(Z201=1,N(W201)&gt;0,AI201=N(W201)),1,0)</f>
        <v>0</v>
      </c>
      <c r="AP201" s="97">
        <f>IF(Z201=0,0,_xlfn.MAXIFS('RECEBIMENTOS'!$E$6:$E$1005,'RECEBIMENTOS'!$B$6:$B$1005,A201))</f>
        <v>0</v>
      </c>
      <c r="AQ201" s="97" t="str">
        <f>IF(T201="","",IF(T201="RECEBIMENTO NÃO CONFIRMADO",IF(ISNUMBER(F201),F201,IF(ISNUMBER(E201),E201,"")),IF(OR(T201="CDF NÃO LOCALIZADO",T201="VÍNCULO INCOMPLETO",T201="CDF A CONFERIR"),IF(AP201&gt;0,AP201,IF(ISNUMBER(E201),E201,"")),IF(ISNUMBER(E201),E201,""))))</f>
        <v/>
      </c>
      <c r="AR201" s="96">
        <f>IF(NOT(ISNUMBER(U201)),0,IF(T201="RECEBIMENTO NÃO CONFIRMADO",IF(AND(ISNUMBER(cfg_rec),U201&gt;cfg_rec),1,0),IF(OR(T201="CDF NÃO LOCALIZADO",T201="VÍNCULO INCOMPLETO",T201="CDF A CONFERIR"),IF(AND(ISNUMBER(cfg_cdf),U201&gt;cfg_cdf),1,0),0)))</f>
        <v>0</v>
      </c>
      <c r="AS201" s="96" t="str">
        <f>IF(T201="","",IF(AR201=1,"Alta",IFERROR(INDEX(cfg_pp,MATCH(T201,cfg_pt,0))&amp;"","Média")))</f>
        <v/>
      </c>
      <c r="AT201" s="96" t="str">
        <f>IF(T201="","",IFERROR(INDEX(cfg_pv,MATCH(T201,cfg_pt,0))&amp;"",""))</f>
        <v/>
      </c>
      <c r="AU201" s="96" t="str">
        <f>IF(T201="","",IF(AS201="Alta",1,IF(AS201="Média",2,3))*1000000000+(999999-IF(ISNUMBER(U201),MIN(U201,999999),0))*1000+196)</f>
        <v/>
      </c>
      <c r="AV201" s="96">
        <f>IF(T201&lt;&gt;"",1,0)</f>
        <v>0</v>
      </c>
      <c r="AW201" s="96" t="str">
        <f>IF(Z201=0,"",IF(AA201=1,"Cancelamento informado; ","")&amp;IF(AE201=1,"Campos essenciais ou itens faltando; ","")&amp;IF(AC201=1,"Possível duplicidade do número; ","")&amp;IF(AD201=1,"Cadastro ou datas a revisar; ","")&amp;IF(AF201&gt;0,"Item de resíduo com dado a revisar; ","")&amp;IF(AH201&gt;0,"Diferença de quantidade a analisar; ","")&amp;IF(AK201&gt;0,"Recebimento com alerta; ","")&amp;IF(AL201&gt;0,"Vínculo de CDF com alerta; ","")&amp;IF(AND(AA201=0,AN201=0),"Recebimento não confirmado; ","")&amp;IF(AND(AA201=0,AN201=1,AO201=0),"CDF pendente ou a conferir; ",""))</f>
        <v/>
      </c>
      <c r="AX201" s="96">
        <f>IF(Z201=0,0,IF(AND(OR(f_ini="",AND(ISNUMBER(E201),E201&gt;=f_ini)),OR(f_fim="",AND(ISNUMBER(E201),E201&lt;=f_fim)),OR(f_un="",f_un="(Todas)",G201=f_un),OR(f_tr="",f_tr="(Todos)",H201=f_tr),OR(f_de="",f_de="(Todos)",I201=f_de),OR(f_sit="",f_sit="(Todas)",S201=f_sit)),1,0))</f>
        <v>0</v>
      </c>
      <c r="AY201" s="96">
        <f>IF(AX201=0,0,IF(OR(f_res="",f_res="(Todos)"),1,IF(COUNTIFS('ITENS_MTR'!$S$6:$S$1005,A201,'ITENS_MTR'!$C$6:$C$1005,f_res)&gt;0,1,0)))</f>
        <v>0</v>
      </c>
      <c r="AZ201" s="97" t="str">
        <f>IF(ISNUMBER(E201),DATE(YEAR(E201),MONTH(E201),1),"")</f>
        <v/>
      </c>
      <c r="BA201" s="96">
        <f>IF(Z201=0,0,IF(AND(OR(r_ini="",AND(ISNUMBER(E201),E201&gt;=r_ini)),OR(r_fim="",AND(ISNUMBER(E201),E201&lt;=r_fim)),OR(r_un="",r_un="(Todas)",G201=r_un),OR(r_de="",r_de="(Todos)",I201=r_de)),1,0))</f>
        <v>0</v>
      </c>
      <c r="BB201" s="96" t="str">
        <f>IF(BA201=1,COUNTIF($BA$6:BA201,1),"")</f>
        <v/>
      </c>
      <c r="BC201" s="96" t="str">
        <f>IF(AND(AU201&lt;&gt;"",OR(r_un="",r_un="(Todas)",G201=r_un),OR(r_de="",r_de="(Todos)",I201=r_de)),AU201,"")</f>
        <v/>
      </c>
      <c r="BD201" s="96" t="str">
        <f>IF(Z201=1,A201&amp;" | nº "&amp;IF(B201="","(sem número)",B201)&amp;" | "&amp;IF(G201="","(sem unidade)",G201),"")</f>
        <v/>
      </c>
      <c r="BE201" s="96" t="str">
        <f>IF(Z201=1,COUNTIF($Z$6:Z201,1),"")</f>
        <v/>
      </c>
      <c r="BF201" s="96" t="str">
        <f>IF(T201="","",IF(T201="RECEBIMENTO NÃO CONFIRMADO","Transp.: "&amp;H201&amp;" | Dest.: "&amp;I201,IF(OR(T201="CDF NÃO LOCALIZADO",T201="VÍNCULO INCOMPLETO",T201="CDF A CONFERIR"),"Dest.: "&amp;I201,"Gerador: "&amp;G201)))</f>
        <v/>
      </c>
    </row>
    <row r="202">
      <c r="A202" s="89" t="inlineStr">
        <is>
          <t>MTR-000197</t>
        </is>
      </c>
      <c r="B202" s="90" t="n"/>
      <c r="C202" s="91" t="n"/>
      <c r="D202" s="91" t="n"/>
      <c r="E202" s="92" t="n"/>
      <c r="F202" s="92" t="n"/>
      <c r="G202" s="91" t="n"/>
      <c r="H202" s="91" t="n"/>
      <c r="I202" s="91" t="n"/>
      <c r="J202" s="91" t="n"/>
      <c r="K202" s="91" t="n"/>
      <c r="L202" s="92" t="n"/>
      <c r="M202" s="91" t="n"/>
      <c r="N202" s="91" t="n"/>
      <c r="O202" s="91" t="n"/>
      <c r="P202" s="93" t="str">
        <f>IF(Z202=0,"",SUMIFS('ITENS_MTR'!$I$6:$I$1005,'ITENS_MTR'!$S$6:$S$1005,A202,'ITENS_MTR'!$Y$6:$Y$1005,1))</f>
        <v/>
      </c>
      <c r="Q202" s="93" t="str">
        <f>IF(Z202=0,"",SUMIFS('RECEBIMENTOS'!$H$6:$H$1005,'RECEBIMENTOS'!$B$6:$B$1005,A202,'RECEBIMENTOS'!$X$6:$X$1005,1))</f>
        <v/>
      </c>
      <c r="R202" s="93" t="str">
        <f>IF(Z202=0,"",SUMIFS('VÍNCULOS_CDF'!$H$6:$H$1005,'VÍNCULOS_CDF'!$D$6:$D$1005,A202,'VÍNCULOS_CDF'!$V$6:$V$1005,1))</f>
        <v/>
      </c>
      <c r="S202" s="94" t="str">
        <f>IF(Z202=0,"",IF(AA202=1,"Cancelado (informado)",IF(AE202=1,"Cadastro incompleto",IF(OR(AC202=1,AD202=1,AF202&gt;0,AH202&gt;0,AK202&gt;0,AL202&gt;0),"Informação a revisar",IF(AN202=0,"Aguardando recebimento",IF(N(R202)=0,"Aguardando CDF",IF(AJ202&lt;N(W202),"Vínculo de CDF parcial",IF(AO202=0,"CDF localizado, a conferir","Documentação conferida"))))))))</f>
        <v/>
      </c>
      <c r="T202" s="94" t="str">
        <f>IF(Z202=0,"",IF(S202="Cadastro incompleto","MTR INCOMPLETO",IF(S202="Informação a revisar",IF(AND(AH202&gt;0,AC202=0,AD202=0,AF202=0,AK202=0,AL202=0),"QUANTIDADE A REVISAR","IDENTIFICAÇÃO A REVISAR"),IF(S202="Aguardando recebimento","RECEBIMENTO NÃO CONFIRMADO",IF(S202="Aguardando CDF","CDF NÃO LOCALIZADO",IF(S202="Vínculo de CDF parcial","VÍNCULO INCOMPLETO",IF(S202="CDF localizado, a conferir","CDF A CONFERIR","")))))))</f>
        <v/>
      </c>
      <c r="U202" s="95" t="str">
        <f>IF(T202="","",IF(AQ202="","Não calculável",IF(AQ202&gt;TODAY(),"Data futura",TODAY()-AQ202)))</f>
        <v/>
      </c>
      <c r="V202" s="93" t="str">
        <f>IF(Z202=0,"",SUMIFS('RECEBIMENTOS'!$H$6:$H$1005,'RECEBIMENTOS'!$B$6:$B$1005,A202,'RECEBIMENTOS'!$Z$6:$Z$1005,1))</f>
        <v/>
      </c>
      <c r="W202" s="95" t="str">
        <f>IF(Z202=0,"",COUNTIFS('ITENS_MTR'!$S$6:$S$1005,A202,'ITENS_MTR'!$R$6:$R$1005,1))</f>
        <v/>
      </c>
      <c r="X202" s="94" t="str">
        <f>IF(AC202=1,"POSSÍVEL DUPLICIDADE","")</f>
        <v/>
      </c>
      <c r="Y202" s="94" t="str">
        <f>IF(Z202=0,"",IF(AW202="","Nenhuma",LEFT(AW202,LEN(AW202)-2)))</f>
        <v/>
      </c>
      <c r="Z202" s="96">
        <f>IF(COUNTA(B202:O202)&gt;0,1,0)</f>
        <v>0</v>
      </c>
      <c r="AA202" s="96">
        <f>IF(AND(Z202=1,K202&lt;&gt;""),IF(TRIM(K202)=TRIM(cfg_cancel),1,0),0)</f>
        <v>0</v>
      </c>
      <c r="AB202" s="96" t="str">
        <f>IF(AND(Z202=1,B202&lt;&gt;""),C202&amp;"|"&amp;D202&amp;"|"&amp;G202&amp;"|"&amp;TRIM(B202),"")</f>
        <v/>
      </c>
      <c r="AC202" s="96">
        <f>IF(AB202="",0,IF(SUMPRODUCT(--($AB$6:$AB$505=AB202))&gt;1,1,0))</f>
        <v>0</v>
      </c>
      <c r="AD202" s="96">
        <f>IF(Z202=0,0,IF(OR(AND(G202&lt;&gt;"",ISNA(MATCH(G202,'CAD_UNIDADES'!$C$6:$C$105,0))),AND(H202&lt;&gt;"",ISNA(MATCH(H202,cmp_transp,0))),AND(I202&lt;&gt;"",ISNA(MATCH(I202,cmp_dest,0))),AND(E202&lt;&gt;"",NOT(ISNUMBER(E202))),AND(F202&lt;&gt;"",NOT(ISNUMBER(F202))),AND(ISNUMBER(E202),ISNUMBER(F202),F202&lt;E202)),1,0))</f>
        <v>0</v>
      </c>
      <c r="AE202" s="96">
        <f>IF(Z202=0,0,IF(OR(B202="",C202="",E202="",G202="",H202="",I202="",N(W202)=0),1,0))</f>
        <v>0</v>
      </c>
      <c r="AF202" s="96">
        <f>IF(Z202=0,0,COUNTIFS('ITENS_MTR'!$S$6:$S$1005,A202,'ITENS_MTR'!$AI$6:$AI$1005,1))</f>
        <v>0</v>
      </c>
      <c r="AG202" s="96">
        <f>IF(Z202=0,0,COUNTIFS('ITENS_MTR'!$S$6:$S$1005,A202,'ITENS_MTR'!$AJ$6:$AJ$1005,1))</f>
        <v>0</v>
      </c>
      <c r="AH202" s="96">
        <f>IF(Z202=0,0,COUNTIFS('ITENS_MTR'!$S$6:$S$1005,A202,'ITENS_MTR'!$AM$6:$AM$1005,1))</f>
        <v>0</v>
      </c>
      <c r="AI202" s="96">
        <f>IF(Z202=0,0,COUNTIFS('ITENS_MTR'!$S$6:$S$1005,A202,'ITENS_MTR'!$AO$6:$AO$1005,1))</f>
        <v>0</v>
      </c>
      <c r="AJ202" s="96">
        <f>IF(Z202=0,0,COUNTIFS('ITENS_MTR'!$S$6:$S$1005,A202,'ITENS_MTR'!$AN$6:$AN$1005,1))</f>
        <v>0</v>
      </c>
      <c r="AK202" s="96">
        <f>IF(Z202=0,0,COUNTIFS('RECEBIMENTOS'!$B$6:$B$1005,A202,'RECEBIMENTOS'!$Y$6:$Y$1005,1))</f>
        <v>0</v>
      </c>
      <c r="AL202" s="96">
        <f>IF(Z202=0,0,COUNTIFS('VÍNCULOS_CDF'!$D$6:$D$1005,A202,'VÍNCULOS_CDF'!$Y$6:$Y$1005,1))</f>
        <v>0</v>
      </c>
      <c r="AM202" s="96">
        <f>IF(Z202=0,0,COUNTIFS('RECEBIMENTOS'!$B$6:$B$1005,A202,'RECEBIMENTOS'!$Q$6:$Q$1005,1))</f>
        <v>0</v>
      </c>
      <c r="AN202" s="96">
        <f>IF(AND(Z202=1,N(W202)&gt;0,AG202=N(W202)),1,0)</f>
        <v>0</v>
      </c>
      <c r="AO202" s="96">
        <f>IF(AND(Z202=1,N(W202)&gt;0,AI202=N(W202)),1,0)</f>
        <v>0</v>
      </c>
      <c r="AP202" s="97">
        <f>IF(Z202=0,0,_xlfn.MAXIFS('RECEBIMENTOS'!$E$6:$E$1005,'RECEBIMENTOS'!$B$6:$B$1005,A202))</f>
        <v>0</v>
      </c>
      <c r="AQ202" s="97" t="str">
        <f>IF(T202="","",IF(T202="RECEBIMENTO NÃO CONFIRMADO",IF(ISNUMBER(F202),F202,IF(ISNUMBER(E202),E202,"")),IF(OR(T202="CDF NÃO LOCALIZADO",T202="VÍNCULO INCOMPLETO",T202="CDF A CONFERIR"),IF(AP202&gt;0,AP202,IF(ISNUMBER(E202),E202,"")),IF(ISNUMBER(E202),E202,""))))</f>
        <v/>
      </c>
      <c r="AR202" s="96">
        <f>IF(NOT(ISNUMBER(U202)),0,IF(T202="RECEBIMENTO NÃO CONFIRMADO",IF(AND(ISNUMBER(cfg_rec),U202&gt;cfg_rec),1,0),IF(OR(T202="CDF NÃO LOCALIZADO",T202="VÍNCULO INCOMPLETO",T202="CDF A CONFERIR"),IF(AND(ISNUMBER(cfg_cdf),U202&gt;cfg_cdf),1,0),0)))</f>
        <v>0</v>
      </c>
      <c r="AS202" s="96" t="str">
        <f>IF(T202="","",IF(AR202=1,"Alta",IFERROR(INDEX(cfg_pp,MATCH(T202,cfg_pt,0))&amp;"","Média")))</f>
        <v/>
      </c>
      <c r="AT202" s="96" t="str">
        <f>IF(T202="","",IFERROR(INDEX(cfg_pv,MATCH(T202,cfg_pt,0))&amp;"",""))</f>
        <v/>
      </c>
      <c r="AU202" s="96" t="str">
        <f>IF(T202="","",IF(AS202="Alta",1,IF(AS202="Média",2,3))*1000000000+(999999-IF(ISNUMBER(U202),MIN(U202,999999),0))*1000+197)</f>
        <v/>
      </c>
      <c r="AV202" s="96">
        <f>IF(T202&lt;&gt;"",1,0)</f>
        <v>0</v>
      </c>
      <c r="AW202" s="96" t="str">
        <f>IF(Z202=0,"",IF(AA202=1,"Cancelamento informado; ","")&amp;IF(AE202=1,"Campos essenciais ou itens faltando; ","")&amp;IF(AC202=1,"Possível duplicidade do número; ","")&amp;IF(AD202=1,"Cadastro ou datas a revisar; ","")&amp;IF(AF202&gt;0,"Item de resíduo com dado a revisar; ","")&amp;IF(AH202&gt;0,"Diferença de quantidade a analisar; ","")&amp;IF(AK202&gt;0,"Recebimento com alerta; ","")&amp;IF(AL202&gt;0,"Vínculo de CDF com alerta; ","")&amp;IF(AND(AA202=0,AN202=0),"Recebimento não confirmado; ","")&amp;IF(AND(AA202=0,AN202=1,AO202=0),"CDF pendente ou a conferir; ",""))</f>
        <v/>
      </c>
      <c r="AX202" s="96">
        <f>IF(Z202=0,0,IF(AND(OR(f_ini="",AND(ISNUMBER(E202),E202&gt;=f_ini)),OR(f_fim="",AND(ISNUMBER(E202),E202&lt;=f_fim)),OR(f_un="",f_un="(Todas)",G202=f_un),OR(f_tr="",f_tr="(Todos)",H202=f_tr),OR(f_de="",f_de="(Todos)",I202=f_de),OR(f_sit="",f_sit="(Todas)",S202=f_sit)),1,0))</f>
        <v>0</v>
      </c>
      <c r="AY202" s="96">
        <f>IF(AX202=0,0,IF(OR(f_res="",f_res="(Todos)"),1,IF(COUNTIFS('ITENS_MTR'!$S$6:$S$1005,A202,'ITENS_MTR'!$C$6:$C$1005,f_res)&gt;0,1,0)))</f>
        <v>0</v>
      </c>
      <c r="AZ202" s="97" t="str">
        <f>IF(ISNUMBER(E202),DATE(YEAR(E202),MONTH(E202),1),"")</f>
        <v/>
      </c>
      <c r="BA202" s="96">
        <f>IF(Z202=0,0,IF(AND(OR(r_ini="",AND(ISNUMBER(E202),E202&gt;=r_ini)),OR(r_fim="",AND(ISNUMBER(E202),E202&lt;=r_fim)),OR(r_un="",r_un="(Todas)",G202=r_un),OR(r_de="",r_de="(Todos)",I202=r_de)),1,0))</f>
        <v>0</v>
      </c>
      <c r="BB202" s="96" t="str">
        <f>IF(BA202=1,COUNTIF($BA$6:BA202,1),"")</f>
        <v/>
      </c>
      <c r="BC202" s="96" t="str">
        <f>IF(AND(AU202&lt;&gt;"",OR(r_un="",r_un="(Todas)",G202=r_un),OR(r_de="",r_de="(Todos)",I202=r_de)),AU202,"")</f>
        <v/>
      </c>
      <c r="BD202" s="96" t="str">
        <f>IF(Z202=1,A202&amp;" | nº "&amp;IF(B202="","(sem número)",B202)&amp;" | "&amp;IF(G202="","(sem unidade)",G202),"")</f>
        <v/>
      </c>
      <c r="BE202" s="96" t="str">
        <f>IF(Z202=1,COUNTIF($Z$6:Z202,1),"")</f>
        <v/>
      </c>
      <c r="BF202" s="96" t="str">
        <f>IF(T202="","",IF(T202="RECEBIMENTO NÃO CONFIRMADO","Transp.: "&amp;H202&amp;" | Dest.: "&amp;I202,IF(OR(T202="CDF NÃO LOCALIZADO",T202="VÍNCULO INCOMPLETO",T202="CDF A CONFERIR"),"Dest.: "&amp;I202,"Gerador: "&amp;G202)))</f>
        <v/>
      </c>
    </row>
    <row r="203">
      <c r="A203" s="89" t="inlineStr">
        <is>
          <t>MTR-000198</t>
        </is>
      </c>
      <c r="B203" s="90" t="n"/>
      <c r="C203" s="91" t="n"/>
      <c r="D203" s="91" t="n"/>
      <c r="E203" s="92" t="n"/>
      <c r="F203" s="92" t="n"/>
      <c r="G203" s="91" t="n"/>
      <c r="H203" s="91" t="n"/>
      <c r="I203" s="91" t="n"/>
      <c r="J203" s="91" t="n"/>
      <c r="K203" s="91" t="n"/>
      <c r="L203" s="92" t="n"/>
      <c r="M203" s="91" t="n"/>
      <c r="N203" s="91" t="n"/>
      <c r="O203" s="91" t="n"/>
      <c r="P203" s="93" t="str">
        <f>IF(Z203=0,"",SUMIFS('ITENS_MTR'!$I$6:$I$1005,'ITENS_MTR'!$S$6:$S$1005,A203,'ITENS_MTR'!$Y$6:$Y$1005,1))</f>
        <v/>
      </c>
      <c r="Q203" s="93" t="str">
        <f>IF(Z203=0,"",SUMIFS('RECEBIMENTOS'!$H$6:$H$1005,'RECEBIMENTOS'!$B$6:$B$1005,A203,'RECEBIMENTOS'!$X$6:$X$1005,1))</f>
        <v/>
      </c>
      <c r="R203" s="93" t="str">
        <f>IF(Z203=0,"",SUMIFS('VÍNCULOS_CDF'!$H$6:$H$1005,'VÍNCULOS_CDF'!$D$6:$D$1005,A203,'VÍNCULOS_CDF'!$V$6:$V$1005,1))</f>
        <v/>
      </c>
      <c r="S203" s="94" t="str">
        <f>IF(Z203=0,"",IF(AA203=1,"Cancelado (informado)",IF(AE203=1,"Cadastro incompleto",IF(OR(AC203=1,AD203=1,AF203&gt;0,AH203&gt;0,AK203&gt;0,AL203&gt;0),"Informação a revisar",IF(AN203=0,"Aguardando recebimento",IF(N(R203)=0,"Aguardando CDF",IF(AJ203&lt;N(W203),"Vínculo de CDF parcial",IF(AO203=0,"CDF localizado, a conferir","Documentação conferida"))))))))</f>
        <v/>
      </c>
      <c r="T203" s="94" t="str">
        <f>IF(Z203=0,"",IF(S203="Cadastro incompleto","MTR INCOMPLETO",IF(S203="Informação a revisar",IF(AND(AH203&gt;0,AC203=0,AD203=0,AF203=0,AK203=0,AL203=0),"QUANTIDADE A REVISAR","IDENTIFICAÇÃO A REVISAR"),IF(S203="Aguardando recebimento","RECEBIMENTO NÃO CONFIRMADO",IF(S203="Aguardando CDF","CDF NÃO LOCALIZADO",IF(S203="Vínculo de CDF parcial","VÍNCULO INCOMPLETO",IF(S203="CDF localizado, a conferir","CDF A CONFERIR","")))))))</f>
        <v/>
      </c>
      <c r="U203" s="95" t="str">
        <f>IF(T203="","",IF(AQ203="","Não calculável",IF(AQ203&gt;TODAY(),"Data futura",TODAY()-AQ203)))</f>
        <v/>
      </c>
      <c r="V203" s="93" t="str">
        <f>IF(Z203=0,"",SUMIFS('RECEBIMENTOS'!$H$6:$H$1005,'RECEBIMENTOS'!$B$6:$B$1005,A203,'RECEBIMENTOS'!$Z$6:$Z$1005,1))</f>
        <v/>
      </c>
      <c r="W203" s="95" t="str">
        <f>IF(Z203=0,"",COUNTIFS('ITENS_MTR'!$S$6:$S$1005,A203,'ITENS_MTR'!$R$6:$R$1005,1))</f>
        <v/>
      </c>
      <c r="X203" s="94" t="str">
        <f>IF(AC203=1,"POSSÍVEL DUPLICIDADE","")</f>
        <v/>
      </c>
      <c r="Y203" s="94" t="str">
        <f>IF(Z203=0,"",IF(AW203="","Nenhuma",LEFT(AW203,LEN(AW203)-2)))</f>
        <v/>
      </c>
      <c r="Z203" s="96">
        <f>IF(COUNTA(B203:O203)&gt;0,1,0)</f>
        <v>0</v>
      </c>
      <c r="AA203" s="96">
        <f>IF(AND(Z203=1,K203&lt;&gt;""),IF(TRIM(K203)=TRIM(cfg_cancel),1,0),0)</f>
        <v>0</v>
      </c>
      <c r="AB203" s="96" t="str">
        <f>IF(AND(Z203=1,B203&lt;&gt;""),C203&amp;"|"&amp;D203&amp;"|"&amp;G203&amp;"|"&amp;TRIM(B203),"")</f>
        <v/>
      </c>
      <c r="AC203" s="96">
        <f>IF(AB203="",0,IF(SUMPRODUCT(--($AB$6:$AB$505=AB203))&gt;1,1,0))</f>
        <v>0</v>
      </c>
      <c r="AD203" s="96">
        <f>IF(Z203=0,0,IF(OR(AND(G203&lt;&gt;"",ISNA(MATCH(G203,'CAD_UNIDADES'!$C$6:$C$105,0))),AND(H203&lt;&gt;"",ISNA(MATCH(H203,cmp_transp,0))),AND(I203&lt;&gt;"",ISNA(MATCH(I203,cmp_dest,0))),AND(E203&lt;&gt;"",NOT(ISNUMBER(E203))),AND(F203&lt;&gt;"",NOT(ISNUMBER(F203))),AND(ISNUMBER(E203),ISNUMBER(F203),F203&lt;E203)),1,0))</f>
        <v>0</v>
      </c>
      <c r="AE203" s="96">
        <f>IF(Z203=0,0,IF(OR(B203="",C203="",E203="",G203="",H203="",I203="",N(W203)=0),1,0))</f>
        <v>0</v>
      </c>
      <c r="AF203" s="96">
        <f>IF(Z203=0,0,COUNTIFS('ITENS_MTR'!$S$6:$S$1005,A203,'ITENS_MTR'!$AI$6:$AI$1005,1))</f>
        <v>0</v>
      </c>
      <c r="AG203" s="96">
        <f>IF(Z203=0,0,COUNTIFS('ITENS_MTR'!$S$6:$S$1005,A203,'ITENS_MTR'!$AJ$6:$AJ$1005,1))</f>
        <v>0</v>
      </c>
      <c r="AH203" s="96">
        <f>IF(Z203=0,0,COUNTIFS('ITENS_MTR'!$S$6:$S$1005,A203,'ITENS_MTR'!$AM$6:$AM$1005,1))</f>
        <v>0</v>
      </c>
      <c r="AI203" s="96">
        <f>IF(Z203=0,0,COUNTIFS('ITENS_MTR'!$S$6:$S$1005,A203,'ITENS_MTR'!$AO$6:$AO$1005,1))</f>
        <v>0</v>
      </c>
      <c r="AJ203" s="96">
        <f>IF(Z203=0,0,COUNTIFS('ITENS_MTR'!$S$6:$S$1005,A203,'ITENS_MTR'!$AN$6:$AN$1005,1))</f>
        <v>0</v>
      </c>
      <c r="AK203" s="96">
        <f>IF(Z203=0,0,COUNTIFS('RECEBIMENTOS'!$B$6:$B$1005,A203,'RECEBIMENTOS'!$Y$6:$Y$1005,1))</f>
        <v>0</v>
      </c>
      <c r="AL203" s="96">
        <f>IF(Z203=0,0,COUNTIFS('VÍNCULOS_CDF'!$D$6:$D$1005,A203,'VÍNCULOS_CDF'!$Y$6:$Y$1005,1))</f>
        <v>0</v>
      </c>
      <c r="AM203" s="96">
        <f>IF(Z203=0,0,COUNTIFS('RECEBIMENTOS'!$B$6:$B$1005,A203,'RECEBIMENTOS'!$Q$6:$Q$1005,1))</f>
        <v>0</v>
      </c>
      <c r="AN203" s="96">
        <f>IF(AND(Z203=1,N(W203)&gt;0,AG203=N(W203)),1,0)</f>
        <v>0</v>
      </c>
      <c r="AO203" s="96">
        <f>IF(AND(Z203=1,N(W203)&gt;0,AI203=N(W203)),1,0)</f>
        <v>0</v>
      </c>
      <c r="AP203" s="97">
        <f>IF(Z203=0,0,_xlfn.MAXIFS('RECEBIMENTOS'!$E$6:$E$1005,'RECEBIMENTOS'!$B$6:$B$1005,A203))</f>
        <v>0</v>
      </c>
      <c r="AQ203" s="97" t="str">
        <f>IF(T203="","",IF(T203="RECEBIMENTO NÃO CONFIRMADO",IF(ISNUMBER(F203),F203,IF(ISNUMBER(E203),E203,"")),IF(OR(T203="CDF NÃO LOCALIZADO",T203="VÍNCULO INCOMPLETO",T203="CDF A CONFERIR"),IF(AP203&gt;0,AP203,IF(ISNUMBER(E203),E203,"")),IF(ISNUMBER(E203),E203,""))))</f>
        <v/>
      </c>
      <c r="AR203" s="96">
        <f>IF(NOT(ISNUMBER(U203)),0,IF(T203="RECEBIMENTO NÃO CONFIRMADO",IF(AND(ISNUMBER(cfg_rec),U203&gt;cfg_rec),1,0),IF(OR(T203="CDF NÃO LOCALIZADO",T203="VÍNCULO INCOMPLETO",T203="CDF A CONFERIR"),IF(AND(ISNUMBER(cfg_cdf),U203&gt;cfg_cdf),1,0),0)))</f>
        <v>0</v>
      </c>
      <c r="AS203" s="96" t="str">
        <f>IF(T203="","",IF(AR203=1,"Alta",IFERROR(INDEX(cfg_pp,MATCH(T203,cfg_pt,0))&amp;"","Média")))</f>
        <v/>
      </c>
      <c r="AT203" s="96" t="str">
        <f>IF(T203="","",IFERROR(INDEX(cfg_pv,MATCH(T203,cfg_pt,0))&amp;"",""))</f>
        <v/>
      </c>
      <c r="AU203" s="96" t="str">
        <f>IF(T203="","",IF(AS203="Alta",1,IF(AS203="Média",2,3))*1000000000+(999999-IF(ISNUMBER(U203),MIN(U203,999999),0))*1000+198)</f>
        <v/>
      </c>
      <c r="AV203" s="96">
        <f>IF(T203&lt;&gt;"",1,0)</f>
        <v>0</v>
      </c>
      <c r="AW203" s="96" t="str">
        <f>IF(Z203=0,"",IF(AA203=1,"Cancelamento informado; ","")&amp;IF(AE203=1,"Campos essenciais ou itens faltando; ","")&amp;IF(AC203=1,"Possível duplicidade do número; ","")&amp;IF(AD203=1,"Cadastro ou datas a revisar; ","")&amp;IF(AF203&gt;0,"Item de resíduo com dado a revisar; ","")&amp;IF(AH203&gt;0,"Diferença de quantidade a analisar; ","")&amp;IF(AK203&gt;0,"Recebimento com alerta; ","")&amp;IF(AL203&gt;0,"Vínculo de CDF com alerta; ","")&amp;IF(AND(AA203=0,AN203=0),"Recebimento não confirmado; ","")&amp;IF(AND(AA203=0,AN203=1,AO203=0),"CDF pendente ou a conferir; ",""))</f>
        <v/>
      </c>
      <c r="AX203" s="96">
        <f>IF(Z203=0,0,IF(AND(OR(f_ini="",AND(ISNUMBER(E203),E203&gt;=f_ini)),OR(f_fim="",AND(ISNUMBER(E203),E203&lt;=f_fim)),OR(f_un="",f_un="(Todas)",G203=f_un),OR(f_tr="",f_tr="(Todos)",H203=f_tr),OR(f_de="",f_de="(Todos)",I203=f_de),OR(f_sit="",f_sit="(Todas)",S203=f_sit)),1,0))</f>
        <v>0</v>
      </c>
      <c r="AY203" s="96">
        <f>IF(AX203=0,0,IF(OR(f_res="",f_res="(Todos)"),1,IF(COUNTIFS('ITENS_MTR'!$S$6:$S$1005,A203,'ITENS_MTR'!$C$6:$C$1005,f_res)&gt;0,1,0)))</f>
        <v>0</v>
      </c>
      <c r="AZ203" s="97" t="str">
        <f>IF(ISNUMBER(E203),DATE(YEAR(E203),MONTH(E203),1),"")</f>
        <v/>
      </c>
      <c r="BA203" s="96">
        <f>IF(Z203=0,0,IF(AND(OR(r_ini="",AND(ISNUMBER(E203),E203&gt;=r_ini)),OR(r_fim="",AND(ISNUMBER(E203),E203&lt;=r_fim)),OR(r_un="",r_un="(Todas)",G203=r_un),OR(r_de="",r_de="(Todos)",I203=r_de)),1,0))</f>
        <v>0</v>
      </c>
      <c r="BB203" s="96" t="str">
        <f>IF(BA203=1,COUNTIF($BA$6:BA203,1),"")</f>
        <v/>
      </c>
      <c r="BC203" s="96" t="str">
        <f>IF(AND(AU203&lt;&gt;"",OR(r_un="",r_un="(Todas)",G203=r_un),OR(r_de="",r_de="(Todos)",I203=r_de)),AU203,"")</f>
        <v/>
      </c>
      <c r="BD203" s="96" t="str">
        <f>IF(Z203=1,A203&amp;" | nº "&amp;IF(B203="","(sem número)",B203)&amp;" | "&amp;IF(G203="","(sem unidade)",G203),"")</f>
        <v/>
      </c>
      <c r="BE203" s="96" t="str">
        <f>IF(Z203=1,COUNTIF($Z$6:Z203,1),"")</f>
        <v/>
      </c>
      <c r="BF203" s="96" t="str">
        <f>IF(T203="","",IF(T203="RECEBIMENTO NÃO CONFIRMADO","Transp.: "&amp;H203&amp;" | Dest.: "&amp;I203,IF(OR(T203="CDF NÃO LOCALIZADO",T203="VÍNCULO INCOMPLETO",T203="CDF A CONFERIR"),"Dest.: "&amp;I203,"Gerador: "&amp;G203)))</f>
        <v/>
      </c>
    </row>
    <row r="204">
      <c r="A204" s="89" t="inlineStr">
        <is>
          <t>MTR-000199</t>
        </is>
      </c>
      <c r="B204" s="90" t="n"/>
      <c r="C204" s="91" t="n"/>
      <c r="D204" s="91" t="n"/>
      <c r="E204" s="92" t="n"/>
      <c r="F204" s="92" t="n"/>
      <c r="G204" s="91" t="n"/>
      <c r="H204" s="91" t="n"/>
      <c r="I204" s="91" t="n"/>
      <c r="J204" s="91" t="n"/>
      <c r="K204" s="91" t="n"/>
      <c r="L204" s="92" t="n"/>
      <c r="M204" s="91" t="n"/>
      <c r="N204" s="91" t="n"/>
      <c r="O204" s="91" t="n"/>
      <c r="P204" s="93" t="str">
        <f>IF(Z204=0,"",SUMIFS('ITENS_MTR'!$I$6:$I$1005,'ITENS_MTR'!$S$6:$S$1005,A204,'ITENS_MTR'!$Y$6:$Y$1005,1))</f>
        <v/>
      </c>
      <c r="Q204" s="93" t="str">
        <f>IF(Z204=0,"",SUMIFS('RECEBIMENTOS'!$H$6:$H$1005,'RECEBIMENTOS'!$B$6:$B$1005,A204,'RECEBIMENTOS'!$X$6:$X$1005,1))</f>
        <v/>
      </c>
      <c r="R204" s="93" t="str">
        <f>IF(Z204=0,"",SUMIFS('VÍNCULOS_CDF'!$H$6:$H$1005,'VÍNCULOS_CDF'!$D$6:$D$1005,A204,'VÍNCULOS_CDF'!$V$6:$V$1005,1))</f>
        <v/>
      </c>
      <c r="S204" s="94" t="str">
        <f>IF(Z204=0,"",IF(AA204=1,"Cancelado (informado)",IF(AE204=1,"Cadastro incompleto",IF(OR(AC204=1,AD204=1,AF204&gt;0,AH204&gt;0,AK204&gt;0,AL204&gt;0),"Informação a revisar",IF(AN204=0,"Aguardando recebimento",IF(N(R204)=0,"Aguardando CDF",IF(AJ204&lt;N(W204),"Vínculo de CDF parcial",IF(AO204=0,"CDF localizado, a conferir","Documentação conferida"))))))))</f>
        <v/>
      </c>
      <c r="T204" s="94" t="str">
        <f>IF(Z204=0,"",IF(S204="Cadastro incompleto","MTR INCOMPLETO",IF(S204="Informação a revisar",IF(AND(AH204&gt;0,AC204=0,AD204=0,AF204=0,AK204=0,AL204=0),"QUANTIDADE A REVISAR","IDENTIFICAÇÃO A REVISAR"),IF(S204="Aguardando recebimento","RECEBIMENTO NÃO CONFIRMADO",IF(S204="Aguardando CDF","CDF NÃO LOCALIZADO",IF(S204="Vínculo de CDF parcial","VÍNCULO INCOMPLETO",IF(S204="CDF localizado, a conferir","CDF A CONFERIR","")))))))</f>
        <v/>
      </c>
      <c r="U204" s="95" t="str">
        <f>IF(T204="","",IF(AQ204="","Não calculável",IF(AQ204&gt;TODAY(),"Data futura",TODAY()-AQ204)))</f>
        <v/>
      </c>
      <c r="V204" s="93" t="str">
        <f>IF(Z204=0,"",SUMIFS('RECEBIMENTOS'!$H$6:$H$1005,'RECEBIMENTOS'!$B$6:$B$1005,A204,'RECEBIMENTOS'!$Z$6:$Z$1005,1))</f>
        <v/>
      </c>
      <c r="W204" s="95" t="str">
        <f>IF(Z204=0,"",COUNTIFS('ITENS_MTR'!$S$6:$S$1005,A204,'ITENS_MTR'!$R$6:$R$1005,1))</f>
        <v/>
      </c>
      <c r="X204" s="94" t="str">
        <f>IF(AC204=1,"POSSÍVEL DUPLICIDADE","")</f>
        <v/>
      </c>
      <c r="Y204" s="94" t="str">
        <f>IF(Z204=0,"",IF(AW204="","Nenhuma",LEFT(AW204,LEN(AW204)-2)))</f>
        <v/>
      </c>
      <c r="Z204" s="96">
        <f>IF(COUNTA(B204:O204)&gt;0,1,0)</f>
        <v>0</v>
      </c>
      <c r="AA204" s="96">
        <f>IF(AND(Z204=1,K204&lt;&gt;""),IF(TRIM(K204)=TRIM(cfg_cancel),1,0),0)</f>
        <v>0</v>
      </c>
      <c r="AB204" s="96" t="str">
        <f>IF(AND(Z204=1,B204&lt;&gt;""),C204&amp;"|"&amp;D204&amp;"|"&amp;G204&amp;"|"&amp;TRIM(B204),"")</f>
        <v/>
      </c>
      <c r="AC204" s="96">
        <f>IF(AB204="",0,IF(SUMPRODUCT(--($AB$6:$AB$505=AB204))&gt;1,1,0))</f>
        <v>0</v>
      </c>
      <c r="AD204" s="96">
        <f>IF(Z204=0,0,IF(OR(AND(G204&lt;&gt;"",ISNA(MATCH(G204,'CAD_UNIDADES'!$C$6:$C$105,0))),AND(H204&lt;&gt;"",ISNA(MATCH(H204,cmp_transp,0))),AND(I204&lt;&gt;"",ISNA(MATCH(I204,cmp_dest,0))),AND(E204&lt;&gt;"",NOT(ISNUMBER(E204))),AND(F204&lt;&gt;"",NOT(ISNUMBER(F204))),AND(ISNUMBER(E204),ISNUMBER(F204),F204&lt;E204)),1,0))</f>
        <v>0</v>
      </c>
      <c r="AE204" s="96">
        <f>IF(Z204=0,0,IF(OR(B204="",C204="",E204="",G204="",H204="",I204="",N(W204)=0),1,0))</f>
        <v>0</v>
      </c>
      <c r="AF204" s="96">
        <f>IF(Z204=0,0,COUNTIFS('ITENS_MTR'!$S$6:$S$1005,A204,'ITENS_MTR'!$AI$6:$AI$1005,1))</f>
        <v>0</v>
      </c>
      <c r="AG204" s="96">
        <f>IF(Z204=0,0,COUNTIFS('ITENS_MTR'!$S$6:$S$1005,A204,'ITENS_MTR'!$AJ$6:$AJ$1005,1))</f>
        <v>0</v>
      </c>
      <c r="AH204" s="96">
        <f>IF(Z204=0,0,COUNTIFS('ITENS_MTR'!$S$6:$S$1005,A204,'ITENS_MTR'!$AM$6:$AM$1005,1))</f>
        <v>0</v>
      </c>
      <c r="AI204" s="96">
        <f>IF(Z204=0,0,COUNTIFS('ITENS_MTR'!$S$6:$S$1005,A204,'ITENS_MTR'!$AO$6:$AO$1005,1))</f>
        <v>0</v>
      </c>
      <c r="AJ204" s="96">
        <f>IF(Z204=0,0,COUNTIFS('ITENS_MTR'!$S$6:$S$1005,A204,'ITENS_MTR'!$AN$6:$AN$1005,1))</f>
        <v>0</v>
      </c>
      <c r="AK204" s="96">
        <f>IF(Z204=0,0,COUNTIFS('RECEBIMENTOS'!$B$6:$B$1005,A204,'RECEBIMENTOS'!$Y$6:$Y$1005,1))</f>
        <v>0</v>
      </c>
      <c r="AL204" s="96">
        <f>IF(Z204=0,0,COUNTIFS('VÍNCULOS_CDF'!$D$6:$D$1005,A204,'VÍNCULOS_CDF'!$Y$6:$Y$1005,1))</f>
        <v>0</v>
      </c>
      <c r="AM204" s="96">
        <f>IF(Z204=0,0,COUNTIFS('RECEBIMENTOS'!$B$6:$B$1005,A204,'RECEBIMENTOS'!$Q$6:$Q$1005,1))</f>
        <v>0</v>
      </c>
      <c r="AN204" s="96">
        <f>IF(AND(Z204=1,N(W204)&gt;0,AG204=N(W204)),1,0)</f>
        <v>0</v>
      </c>
      <c r="AO204" s="96">
        <f>IF(AND(Z204=1,N(W204)&gt;0,AI204=N(W204)),1,0)</f>
        <v>0</v>
      </c>
      <c r="AP204" s="97">
        <f>IF(Z204=0,0,_xlfn.MAXIFS('RECEBIMENTOS'!$E$6:$E$1005,'RECEBIMENTOS'!$B$6:$B$1005,A204))</f>
        <v>0</v>
      </c>
      <c r="AQ204" s="97" t="str">
        <f>IF(T204="","",IF(T204="RECEBIMENTO NÃO CONFIRMADO",IF(ISNUMBER(F204),F204,IF(ISNUMBER(E204),E204,"")),IF(OR(T204="CDF NÃO LOCALIZADO",T204="VÍNCULO INCOMPLETO",T204="CDF A CONFERIR"),IF(AP204&gt;0,AP204,IF(ISNUMBER(E204),E204,"")),IF(ISNUMBER(E204),E204,""))))</f>
        <v/>
      </c>
      <c r="AR204" s="96">
        <f>IF(NOT(ISNUMBER(U204)),0,IF(T204="RECEBIMENTO NÃO CONFIRMADO",IF(AND(ISNUMBER(cfg_rec),U204&gt;cfg_rec),1,0),IF(OR(T204="CDF NÃO LOCALIZADO",T204="VÍNCULO INCOMPLETO",T204="CDF A CONFERIR"),IF(AND(ISNUMBER(cfg_cdf),U204&gt;cfg_cdf),1,0),0)))</f>
        <v>0</v>
      </c>
      <c r="AS204" s="96" t="str">
        <f>IF(T204="","",IF(AR204=1,"Alta",IFERROR(INDEX(cfg_pp,MATCH(T204,cfg_pt,0))&amp;"","Média")))</f>
        <v/>
      </c>
      <c r="AT204" s="96" t="str">
        <f>IF(T204="","",IFERROR(INDEX(cfg_pv,MATCH(T204,cfg_pt,0))&amp;"",""))</f>
        <v/>
      </c>
      <c r="AU204" s="96" t="str">
        <f>IF(T204="","",IF(AS204="Alta",1,IF(AS204="Média",2,3))*1000000000+(999999-IF(ISNUMBER(U204),MIN(U204,999999),0))*1000+199)</f>
        <v/>
      </c>
      <c r="AV204" s="96">
        <f>IF(T204&lt;&gt;"",1,0)</f>
        <v>0</v>
      </c>
      <c r="AW204" s="96" t="str">
        <f>IF(Z204=0,"",IF(AA204=1,"Cancelamento informado; ","")&amp;IF(AE204=1,"Campos essenciais ou itens faltando; ","")&amp;IF(AC204=1,"Possível duplicidade do número; ","")&amp;IF(AD204=1,"Cadastro ou datas a revisar; ","")&amp;IF(AF204&gt;0,"Item de resíduo com dado a revisar; ","")&amp;IF(AH204&gt;0,"Diferença de quantidade a analisar; ","")&amp;IF(AK204&gt;0,"Recebimento com alerta; ","")&amp;IF(AL204&gt;0,"Vínculo de CDF com alerta; ","")&amp;IF(AND(AA204=0,AN204=0),"Recebimento não confirmado; ","")&amp;IF(AND(AA204=0,AN204=1,AO204=0),"CDF pendente ou a conferir; ",""))</f>
        <v/>
      </c>
      <c r="AX204" s="96">
        <f>IF(Z204=0,0,IF(AND(OR(f_ini="",AND(ISNUMBER(E204),E204&gt;=f_ini)),OR(f_fim="",AND(ISNUMBER(E204),E204&lt;=f_fim)),OR(f_un="",f_un="(Todas)",G204=f_un),OR(f_tr="",f_tr="(Todos)",H204=f_tr),OR(f_de="",f_de="(Todos)",I204=f_de),OR(f_sit="",f_sit="(Todas)",S204=f_sit)),1,0))</f>
        <v>0</v>
      </c>
      <c r="AY204" s="96">
        <f>IF(AX204=0,0,IF(OR(f_res="",f_res="(Todos)"),1,IF(COUNTIFS('ITENS_MTR'!$S$6:$S$1005,A204,'ITENS_MTR'!$C$6:$C$1005,f_res)&gt;0,1,0)))</f>
        <v>0</v>
      </c>
      <c r="AZ204" s="97" t="str">
        <f>IF(ISNUMBER(E204),DATE(YEAR(E204),MONTH(E204),1),"")</f>
        <v/>
      </c>
      <c r="BA204" s="96">
        <f>IF(Z204=0,0,IF(AND(OR(r_ini="",AND(ISNUMBER(E204),E204&gt;=r_ini)),OR(r_fim="",AND(ISNUMBER(E204),E204&lt;=r_fim)),OR(r_un="",r_un="(Todas)",G204=r_un),OR(r_de="",r_de="(Todos)",I204=r_de)),1,0))</f>
        <v>0</v>
      </c>
      <c r="BB204" s="96" t="str">
        <f>IF(BA204=1,COUNTIF($BA$6:BA204,1),"")</f>
        <v/>
      </c>
      <c r="BC204" s="96" t="str">
        <f>IF(AND(AU204&lt;&gt;"",OR(r_un="",r_un="(Todas)",G204=r_un),OR(r_de="",r_de="(Todos)",I204=r_de)),AU204,"")</f>
        <v/>
      </c>
      <c r="BD204" s="96" t="str">
        <f>IF(Z204=1,A204&amp;" | nº "&amp;IF(B204="","(sem número)",B204)&amp;" | "&amp;IF(G204="","(sem unidade)",G204),"")</f>
        <v/>
      </c>
      <c r="BE204" s="96" t="str">
        <f>IF(Z204=1,COUNTIF($Z$6:Z204,1),"")</f>
        <v/>
      </c>
      <c r="BF204" s="96" t="str">
        <f>IF(T204="","",IF(T204="RECEBIMENTO NÃO CONFIRMADO","Transp.: "&amp;H204&amp;" | Dest.: "&amp;I204,IF(OR(T204="CDF NÃO LOCALIZADO",T204="VÍNCULO INCOMPLETO",T204="CDF A CONFERIR"),"Dest.: "&amp;I204,"Gerador: "&amp;G204)))</f>
        <v/>
      </c>
    </row>
    <row r="205">
      <c r="A205" s="89" t="inlineStr">
        <is>
          <t>MTR-000200</t>
        </is>
      </c>
      <c r="B205" s="90" t="n"/>
      <c r="C205" s="91" t="n"/>
      <c r="D205" s="91" t="n"/>
      <c r="E205" s="92" t="n"/>
      <c r="F205" s="92" t="n"/>
      <c r="G205" s="91" t="n"/>
      <c r="H205" s="91" t="n"/>
      <c r="I205" s="91" t="n"/>
      <c r="J205" s="91" t="n"/>
      <c r="K205" s="91" t="n"/>
      <c r="L205" s="92" t="n"/>
      <c r="M205" s="91" t="n"/>
      <c r="N205" s="91" t="n"/>
      <c r="O205" s="91" t="n"/>
      <c r="P205" s="93" t="str">
        <f>IF(Z205=0,"",SUMIFS('ITENS_MTR'!$I$6:$I$1005,'ITENS_MTR'!$S$6:$S$1005,A205,'ITENS_MTR'!$Y$6:$Y$1005,1))</f>
        <v/>
      </c>
      <c r="Q205" s="93" t="str">
        <f>IF(Z205=0,"",SUMIFS('RECEBIMENTOS'!$H$6:$H$1005,'RECEBIMENTOS'!$B$6:$B$1005,A205,'RECEBIMENTOS'!$X$6:$X$1005,1))</f>
        <v/>
      </c>
      <c r="R205" s="93" t="str">
        <f>IF(Z205=0,"",SUMIFS('VÍNCULOS_CDF'!$H$6:$H$1005,'VÍNCULOS_CDF'!$D$6:$D$1005,A205,'VÍNCULOS_CDF'!$V$6:$V$1005,1))</f>
        <v/>
      </c>
      <c r="S205" s="94" t="str">
        <f>IF(Z205=0,"",IF(AA205=1,"Cancelado (informado)",IF(AE205=1,"Cadastro incompleto",IF(OR(AC205=1,AD205=1,AF205&gt;0,AH205&gt;0,AK205&gt;0,AL205&gt;0),"Informação a revisar",IF(AN205=0,"Aguardando recebimento",IF(N(R205)=0,"Aguardando CDF",IF(AJ205&lt;N(W205),"Vínculo de CDF parcial",IF(AO205=0,"CDF localizado, a conferir","Documentação conferida"))))))))</f>
        <v/>
      </c>
      <c r="T205" s="94" t="str">
        <f>IF(Z205=0,"",IF(S205="Cadastro incompleto","MTR INCOMPLETO",IF(S205="Informação a revisar",IF(AND(AH205&gt;0,AC205=0,AD205=0,AF205=0,AK205=0,AL205=0),"QUANTIDADE A REVISAR","IDENTIFICAÇÃO A REVISAR"),IF(S205="Aguardando recebimento","RECEBIMENTO NÃO CONFIRMADO",IF(S205="Aguardando CDF","CDF NÃO LOCALIZADO",IF(S205="Vínculo de CDF parcial","VÍNCULO INCOMPLETO",IF(S205="CDF localizado, a conferir","CDF A CONFERIR","")))))))</f>
        <v/>
      </c>
      <c r="U205" s="95" t="str">
        <f>IF(T205="","",IF(AQ205="","Não calculável",IF(AQ205&gt;TODAY(),"Data futura",TODAY()-AQ205)))</f>
        <v/>
      </c>
      <c r="V205" s="93" t="str">
        <f>IF(Z205=0,"",SUMIFS('RECEBIMENTOS'!$H$6:$H$1005,'RECEBIMENTOS'!$B$6:$B$1005,A205,'RECEBIMENTOS'!$Z$6:$Z$1005,1))</f>
        <v/>
      </c>
      <c r="W205" s="95" t="str">
        <f>IF(Z205=0,"",COUNTIFS('ITENS_MTR'!$S$6:$S$1005,A205,'ITENS_MTR'!$R$6:$R$1005,1))</f>
        <v/>
      </c>
      <c r="X205" s="94" t="str">
        <f>IF(AC205=1,"POSSÍVEL DUPLICIDADE","")</f>
        <v/>
      </c>
      <c r="Y205" s="94" t="str">
        <f>IF(Z205=0,"",IF(AW205="","Nenhuma",LEFT(AW205,LEN(AW205)-2)))</f>
        <v/>
      </c>
      <c r="Z205" s="96">
        <f>IF(COUNTA(B205:O205)&gt;0,1,0)</f>
        <v>0</v>
      </c>
      <c r="AA205" s="96">
        <f>IF(AND(Z205=1,K205&lt;&gt;""),IF(TRIM(K205)=TRIM(cfg_cancel),1,0),0)</f>
        <v>0</v>
      </c>
      <c r="AB205" s="96" t="str">
        <f>IF(AND(Z205=1,B205&lt;&gt;""),C205&amp;"|"&amp;D205&amp;"|"&amp;G205&amp;"|"&amp;TRIM(B205),"")</f>
        <v/>
      </c>
      <c r="AC205" s="96">
        <f>IF(AB205="",0,IF(SUMPRODUCT(--($AB$6:$AB$505=AB205))&gt;1,1,0))</f>
        <v>0</v>
      </c>
      <c r="AD205" s="96">
        <f>IF(Z205=0,0,IF(OR(AND(G205&lt;&gt;"",ISNA(MATCH(G205,'CAD_UNIDADES'!$C$6:$C$105,0))),AND(H205&lt;&gt;"",ISNA(MATCH(H205,cmp_transp,0))),AND(I205&lt;&gt;"",ISNA(MATCH(I205,cmp_dest,0))),AND(E205&lt;&gt;"",NOT(ISNUMBER(E205))),AND(F205&lt;&gt;"",NOT(ISNUMBER(F205))),AND(ISNUMBER(E205),ISNUMBER(F205),F205&lt;E205)),1,0))</f>
        <v>0</v>
      </c>
      <c r="AE205" s="96">
        <f>IF(Z205=0,0,IF(OR(B205="",C205="",E205="",G205="",H205="",I205="",N(W205)=0),1,0))</f>
        <v>0</v>
      </c>
      <c r="AF205" s="96">
        <f>IF(Z205=0,0,COUNTIFS('ITENS_MTR'!$S$6:$S$1005,A205,'ITENS_MTR'!$AI$6:$AI$1005,1))</f>
        <v>0</v>
      </c>
      <c r="AG205" s="96">
        <f>IF(Z205=0,0,COUNTIFS('ITENS_MTR'!$S$6:$S$1005,A205,'ITENS_MTR'!$AJ$6:$AJ$1005,1))</f>
        <v>0</v>
      </c>
      <c r="AH205" s="96">
        <f>IF(Z205=0,0,COUNTIFS('ITENS_MTR'!$S$6:$S$1005,A205,'ITENS_MTR'!$AM$6:$AM$1005,1))</f>
        <v>0</v>
      </c>
      <c r="AI205" s="96">
        <f>IF(Z205=0,0,COUNTIFS('ITENS_MTR'!$S$6:$S$1005,A205,'ITENS_MTR'!$AO$6:$AO$1005,1))</f>
        <v>0</v>
      </c>
      <c r="AJ205" s="96">
        <f>IF(Z205=0,0,COUNTIFS('ITENS_MTR'!$S$6:$S$1005,A205,'ITENS_MTR'!$AN$6:$AN$1005,1))</f>
        <v>0</v>
      </c>
      <c r="AK205" s="96">
        <f>IF(Z205=0,0,COUNTIFS('RECEBIMENTOS'!$B$6:$B$1005,A205,'RECEBIMENTOS'!$Y$6:$Y$1005,1))</f>
        <v>0</v>
      </c>
      <c r="AL205" s="96">
        <f>IF(Z205=0,0,COUNTIFS('VÍNCULOS_CDF'!$D$6:$D$1005,A205,'VÍNCULOS_CDF'!$Y$6:$Y$1005,1))</f>
        <v>0</v>
      </c>
      <c r="AM205" s="96">
        <f>IF(Z205=0,0,COUNTIFS('RECEBIMENTOS'!$B$6:$B$1005,A205,'RECEBIMENTOS'!$Q$6:$Q$1005,1))</f>
        <v>0</v>
      </c>
      <c r="AN205" s="96">
        <f>IF(AND(Z205=1,N(W205)&gt;0,AG205=N(W205)),1,0)</f>
        <v>0</v>
      </c>
      <c r="AO205" s="96">
        <f>IF(AND(Z205=1,N(W205)&gt;0,AI205=N(W205)),1,0)</f>
        <v>0</v>
      </c>
      <c r="AP205" s="97">
        <f>IF(Z205=0,0,_xlfn.MAXIFS('RECEBIMENTOS'!$E$6:$E$1005,'RECEBIMENTOS'!$B$6:$B$1005,A205))</f>
        <v>0</v>
      </c>
      <c r="AQ205" s="97" t="str">
        <f>IF(T205="","",IF(T205="RECEBIMENTO NÃO CONFIRMADO",IF(ISNUMBER(F205),F205,IF(ISNUMBER(E205),E205,"")),IF(OR(T205="CDF NÃO LOCALIZADO",T205="VÍNCULO INCOMPLETO",T205="CDF A CONFERIR"),IF(AP205&gt;0,AP205,IF(ISNUMBER(E205),E205,"")),IF(ISNUMBER(E205),E205,""))))</f>
        <v/>
      </c>
      <c r="AR205" s="96">
        <f>IF(NOT(ISNUMBER(U205)),0,IF(T205="RECEBIMENTO NÃO CONFIRMADO",IF(AND(ISNUMBER(cfg_rec),U205&gt;cfg_rec),1,0),IF(OR(T205="CDF NÃO LOCALIZADO",T205="VÍNCULO INCOMPLETO",T205="CDF A CONFERIR"),IF(AND(ISNUMBER(cfg_cdf),U205&gt;cfg_cdf),1,0),0)))</f>
        <v>0</v>
      </c>
      <c r="AS205" s="96" t="str">
        <f>IF(T205="","",IF(AR205=1,"Alta",IFERROR(INDEX(cfg_pp,MATCH(T205,cfg_pt,0))&amp;"","Média")))</f>
        <v/>
      </c>
      <c r="AT205" s="96" t="str">
        <f>IF(T205="","",IFERROR(INDEX(cfg_pv,MATCH(T205,cfg_pt,0))&amp;"",""))</f>
        <v/>
      </c>
      <c r="AU205" s="96" t="str">
        <f>IF(T205="","",IF(AS205="Alta",1,IF(AS205="Média",2,3))*1000000000+(999999-IF(ISNUMBER(U205),MIN(U205,999999),0))*1000+200)</f>
        <v/>
      </c>
      <c r="AV205" s="96">
        <f>IF(T205&lt;&gt;"",1,0)</f>
        <v>0</v>
      </c>
      <c r="AW205" s="96" t="str">
        <f>IF(Z205=0,"",IF(AA205=1,"Cancelamento informado; ","")&amp;IF(AE205=1,"Campos essenciais ou itens faltando; ","")&amp;IF(AC205=1,"Possível duplicidade do número; ","")&amp;IF(AD205=1,"Cadastro ou datas a revisar; ","")&amp;IF(AF205&gt;0,"Item de resíduo com dado a revisar; ","")&amp;IF(AH205&gt;0,"Diferença de quantidade a analisar; ","")&amp;IF(AK205&gt;0,"Recebimento com alerta; ","")&amp;IF(AL205&gt;0,"Vínculo de CDF com alerta; ","")&amp;IF(AND(AA205=0,AN205=0),"Recebimento não confirmado; ","")&amp;IF(AND(AA205=0,AN205=1,AO205=0),"CDF pendente ou a conferir; ",""))</f>
        <v/>
      </c>
      <c r="AX205" s="96">
        <f>IF(Z205=0,0,IF(AND(OR(f_ini="",AND(ISNUMBER(E205),E205&gt;=f_ini)),OR(f_fim="",AND(ISNUMBER(E205),E205&lt;=f_fim)),OR(f_un="",f_un="(Todas)",G205=f_un),OR(f_tr="",f_tr="(Todos)",H205=f_tr),OR(f_de="",f_de="(Todos)",I205=f_de),OR(f_sit="",f_sit="(Todas)",S205=f_sit)),1,0))</f>
        <v>0</v>
      </c>
      <c r="AY205" s="96">
        <f>IF(AX205=0,0,IF(OR(f_res="",f_res="(Todos)"),1,IF(COUNTIFS('ITENS_MTR'!$S$6:$S$1005,A205,'ITENS_MTR'!$C$6:$C$1005,f_res)&gt;0,1,0)))</f>
        <v>0</v>
      </c>
      <c r="AZ205" s="97" t="str">
        <f>IF(ISNUMBER(E205),DATE(YEAR(E205),MONTH(E205),1),"")</f>
        <v/>
      </c>
      <c r="BA205" s="96">
        <f>IF(Z205=0,0,IF(AND(OR(r_ini="",AND(ISNUMBER(E205),E205&gt;=r_ini)),OR(r_fim="",AND(ISNUMBER(E205),E205&lt;=r_fim)),OR(r_un="",r_un="(Todas)",G205=r_un),OR(r_de="",r_de="(Todos)",I205=r_de)),1,0))</f>
        <v>0</v>
      </c>
      <c r="BB205" s="96" t="str">
        <f>IF(BA205=1,COUNTIF($BA$6:BA205,1),"")</f>
        <v/>
      </c>
      <c r="BC205" s="96" t="str">
        <f>IF(AND(AU205&lt;&gt;"",OR(r_un="",r_un="(Todas)",G205=r_un),OR(r_de="",r_de="(Todos)",I205=r_de)),AU205,"")</f>
        <v/>
      </c>
      <c r="BD205" s="96" t="str">
        <f>IF(Z205=1,A205&amp;" | nº "&amp;IF(B205="","(sem número)",B205)&amp;" | "&amp;IF(G205="","(sem unidade)",G205),"")</f>
        <v/>
      </c>
      <c r="BE205" s="96" t="str">
        <f>IF(Z205=1,COUNTIF($Z$6:Z205,1),"")</f>
        <v/>
      </c>
      <c r="BF205" s="96" t="str">
        <f>IF(T205="","",IF(T205="RECEBIMENTO NÃO CONFIRMADO","Transp.: "&amp;H205&amp;" | Dest.: "&amp;I205,IF(OR(T205="CDF NÃO LOCALIZADO",T205="VÍNCULO INCOMPLETO",T205="CDF A CONFERIR"),"Dest.: "&amp;I205,"Gerador: "&amp;G205)))</f>
        <v/>
      </c>
    </row>
    <row r="206">
      <c r="A206" s="89" t="inlineStr">
        <is>
          <t>MTR-000201</t>
        </is>
      </c>
      <c r="B206" s="90" t="n"/>
      <c r="C206" s="91" t="n"/>
      <c r="D206" s="91" t="n"/>
      <c r="E206" s="92" t="n"/>
      <c r="F206" s="92" t="n"/>
      <c r="G206" s="91" t="n"/>
      <c r="H206" s="91" t="n"/>
      <c r="I206" s="91" t="n"/>
      <c r="J206" s="91" t="n"/>
      <c r="K206" s="91" t="n"/>
      <c r="L206" s="92" t="n"/>
      <c r="M206" s="91" t="n"/>
      <c r="N206" s="91" t="n"/>
      <c r="O206" s="91" t="n"/>
      <c r="P206" s="93" t="str">
        <f>IF(Z206=0,"",SUMIFS('ITENS_MTR'!$I$6:$I$1005,'ITENS_MTR'!$S$6:$S$1005,A206,'ITENS_MTR'!$Y$6:$Y$1005,1))</f>
        <v/>
      </c>
      <c r="Q206" s="93" t="str">
        <f>IF(Z206=0,"",SUMIFS('RECEBIMENTOS'!$H$6:$H$1005,'RECEBIMENTOS'!$B$6:$B$1005,A206,'RECEBIMENTOS'!$X$6:$X$1005,1))</f>
        <v/>
      </c>
      <c r="R206" s="93" t="str">
        <f>IF(Z206=0,"",SUMIFS('VÍNCULOS_CDF'!$H$6:$H$1005,'VÍNCULOS_CDF'!$D$6:$D$1005,A206,'VÍNCULOS_CDF'!$V$6:$V$1005,1))</f>
        <v/>
      </c>
      <c r="S206" s="94" t="str">
        <f>IF(Z206=0,"",IF(AA206=1,"Cancelado (informado)",IF(AE206=1,"Cadastro incompleto",IF(OR(AC206=1,AD206=1,AF206&gt;0,AH206&gt;0,AK206&gt;0,AL206&gt;0),"Informação a revisar",IF(AN206=0,"Aguardando recebimento",IF(N(R206)=0,"Aguardando CDF",IF(AJ206&lt;N(W206),"Vínculo de CDF parcial",IF(AO206=0,"CDF localizado, a conferir","Documentação conferida"))))))))</f>
        <v/>
      </c>
      <c r="T206" s="94" t="str">
        <f>IF(Z206=0,"",IF(S206="Cadastro incompleto","MTR INCOMPLETO",IF(S206="Informação a revisar",IF(AND(AH206&gt;0,AC206=0,AD206=0,AF206=0,AK206=0,AL206=0),"QUANTIDADE A REVISAR","IDENTIFICAÇÃO A REVISAR"),IF(S206="Aguardando recebimento","RECEBIMENTO NÃO CONFIRMADO",IF(S206="Aguardando CDF","CDF NÃO LOCALIZADO",IF(S206="Vínculo de CDF parcial","VÍNCULO INCOMPLETO",IF(S206="CDF localizado, a conferir","CDF A CONFERIR","")))))))</f>
        <v/>
      </c>
      <c r="U206" s="95" t="str">
        <f>IF(T206="","",IF(AQ206="","Não calculável",IF(AQ206&gt;TODAY(),"Data futura",TODAY()-AQ206)))</f>
        <v/>
      </c>
      <c r="V206" s="93" t="str">
        <f>IF(Z206=0,"",SUMIFS('RECEBIMENTOS'!$H$6:$H$1005,'RECEBIMENTOS'!$B$6:$B$1005,A206,'RECEBIMENTOS'!$Z$6:$Z$1005,1))</f>
        <v/>
      </c>
      <c r="W206" s="95" t="str">
        <f>IF(Z206=0,"",COUNTIFS('ITENS_MTR'!$S$6:$S$1005,A206,'ITENS_MTR'!$R$6:$R$1005,1))</f>
        <v/>
      </c>
      <c r="X206" s="94" t="str">
        <f>IF(AC206=1,"POSSÍVEL DUPLICIDADE","")</f>
        <v/>
      </c>
      <c r="Y206" s="94" t="str">
        <f>IF(Z206=0,"",IF(AW206="","Nenhuma",LEFT(AW206,LEN(AW206)-2)))</f>
        <v/>
      </c>
      <c r="Z206" s="96">
        <f>IF(COUNTA(B206:O206)&gt;0,1,0)</f>
        <v>0</v>
      </c>
      <c r="AA206" s="96">
        <f>IF(AND(Z206=1,K206&lt;&gt;""),IF(TRIM(K206)=TRIM(cfg_cancel),1,0),0)</f>
        <v>0</v>
      </c>
      <c r="AB206" s="96" t="str">
        <f>IF(AND(Z206=1,B206&lt;&gt;""),C206&amp;"|"&amp;D206&amp;"|"&amp;G206&amp;"|"&amp;TRIM(B206),"")</f>
        <v/>
      </c>
      <c r="AC206" s="96">
        <f>IF(AB206="",0,IF(SUMPRODUCT(--($AB$6:$AB$505=AB206))&gt;1,1,0))</f>
        <v>0</v>
      </c>
      <c r="AD206" s="96">
        <f>IF(Z206=0,0,IF(OR(AND(G206&lt;&gt;"",ISNA(MATCH(G206,'CAD_UNIDADES'!$C$6:$C$105,0))),AND(H206&lt;&gt;"",ISNA(MATCH(H206,cmp_transp,0))),AND(I206&lt;&gt;"",ISNA(MATCH(I206,cmp_dest,0))),AND(E206&lt;&gt;"",NOT(ISNUMBER(E206))),AND(F206&lt;&gt;"",NOT(ISNUMBER(F206))),AND(ISNUMBER(E206),ISNUMBER(F206),F206&lt;E206)),1,0))</f>
        <v>0</v>
      </c>
      <c r="AE206" s="96">
        <f>IF(Z206=0,0,IF(OR(B206="",C206="",E206="",G206="",H206="",I206="",N(W206)=0),1,0))</f>
        <v>0</v>
      </c>
      <c r="AF206" s="96">
        <f>IF(Z206=0,0,COUNTIFS('ITENS_MTR'!$S$6:$S$1005,A206,'ITENS_MTR'!$AI$6:$AI$1005,1))</f>
        <v>0</v>
      </c>
      <c r="AG206" s="96">
        <f>IF(Z206=0,0,COUNTIFS('ITENS_MTR'!$S$6:$S$1005,A206,'ITENS_MTR'!$AJ$6:$AJ$1005,1))</f>
        <v>0</v>
      </c>
      <c r="AH206" s="96">
        <f>IF(Z206=0,0,COUNTIFS('ITENS_MTR'!$S$6:$S$1005,A206,'ITENS_MTR'!$AM$6:$AM$1005,1))</f>
        <v>0</v>
      </c>
      <c r="AI206" s="96">
        <f>IF(Z206=0,0,COUNTIFS('ITENS_MTR'!$S$6:$S$1005,A206,'ITENS_MTR'!$AO$6:$AO$1005,1))</f>
        <v>0</v>
      </c>
      <c r="AJ206" s="96">
        <f>IF(Z206=0,0,COUNTIFS('ITENS_MTR'!$S$6:$S$1005,A206,'ITENS_MTR'!$AN$6:$AN$1005,1))</f>
        <v>0</v>
      </c>
      <c r="AK206" s="96">
        <f>IF(Z206=0,0,COUNTIFS('RECEBIMENTOS'!$B$6:$B$1005,A206,'RECEBIMENTOS'!$Y$6:$Y$1005,1))</f>
        <v>0</v>
      </c>
      <c r="AL206" s="96">
        <f>IF(Z206=0,0,COUNTIFS('VÍNCULOS_CDF'!$D$6:$D$1005,A206,'VÍNCULOS_CDF'!$Y$6:$Y$1005,1))</f>
        <v>0</v>
      </c>
      <c r="AM206" s="96">
        <f>IF(Z206=0,0,COUNTIFS('RECEBIMENTOS'!$B$6:$B$1005,A206,'RECEBIMENTOS'!$Q$6:$Q$1005,1))</f>
        <v>0</v>
      </c>
      <c r="AN206" s="96">
        <f>IF(AND(Z206=1,N(W206)&gt;0,AG206=N(W206)),1,0)</f>
        <v>0</v>
      </c>
      <c r="AO206" s="96">
        <f>IF(AND(Z206=1,N(W206)&gt;0,AI206=N(W206)),1,0)</f>
        <v>0</v>
      </c>
      <c r="AP206" s="97">
        <f>IF(Z206=0,0,_xlfn.MAXIFS('RECEBIMENTOS'!$E$6:$E$1005,'RECEBIMENTOS'!$B$6:$B$1005,A206))</f>
        <v>0</v>
      </c>
      <c r="AQ206" s="97" t="str">
        <f>IF(T206="","",IF(T206="RECEBIMENTO NÃO CONFIRMADO",IF(ISNUMBER(F206),F206,IF(ISNUMBER(E206),E206,"")),IF(OR(T206="CDF NÃO LOCALIZADO",T206="VÍNCULO INCOMPLETO",T206="CDF A CONFERIR"),IF(AP206&gt;0,AP206,IF(ISNUMBER(E206),E206,"")),IF(ISNUMBER(E206),E206,""))))</f>
        <v/>
      </c>
      <c r="AR206" s="96">
        <f>IF(NOT(ISNUMBER(U206)),0,IF(T206="RECEBIMENTO NÃO CONFIRMADO",IF(AND(ISNUMBER(cfg_rec),U206&gt;cfg_rec),1,0),IF(OR(T206="CDF NÃO LOCALIZADO",T206="VÍNCULO INCOMPLETO",T206="CDF A CONFERIR"),IF(AND(ISNUMBER(cfg_cdf),U206&gt;cfg_cdf),1,0),0)))</f>
        <v>0</v>
      </c>
      <c r="AS206" s="96" t="str">
        <f>IF(T206="","",IF(AR206=1,"Alta",IFERROR(INDEX(cfg_pp,MATCH(T206,cfg_pt,0))&amp;"","Média")))</f>
        <v/>
      </c>
      <c r="AT206" s="96" t="str">
        <f>IF(T206="","",IFERROR(INDEX(cfg_pv,MATCH(T206,cfg_pt,0))&amp;"",""))</f>
        <v/>
      </c>
      <c r="AU206" s="96" t="str">
        <f>IF(T206="","",IF(AS206="Alta",1,IF(AS206="Média",2,3))*1000000000+(999999-IF(ISNUMBER(U206),MIN(U206,999999),0))*1000+201)</f>
        <v/>
      </c>
      <c r="AV206" s="96">
        <f>IF(T206&lt;&gt;"",1,0)</f>
        <v>0</v>
      </c>
      <c r="AW206" s="96" t="str">
        <f>IF(Z206=0,"",IF(AA206=1,"Cancelamento informado; ","")&amp;IF(AE206=1,"Campos essenciais ou itens faltando; ","")&amp;IF(AC206=1,"Possível duplicidade do número; ","")&amp;IF(AD206=1,"Cadastro ou datas a revisar; ","")&amp;IF(AF206&gt;0,"Item de resíduo com dado a revisar; ","")&amp;IF(AH206&gt;0,"Diferença de quantidade a analisar; ","")&amp;IF(AK206&gt;0,"Recebimento com alerta; ","")&amp;IF(AL206&gt;0,"Vínculo de CDF com alerta; ","")&amp;IF(AND(AA206=0,AN206=0),"Recebimento não confirmado; ","")&amp;IF(AND(AA206=0,AN206=1,AO206=0),"CDF pendente ou a conferir; ",""))</f>
        <v/>
      </c>
      <c r="AX206" s="96">
        <f>IF(Z206=0,0,IF(AND(OR(f_ini="",AND(ISNUMBER(E206),E206&gt;=f_ini)),OR(f_fim="",AND(ISNUMBER(E206),E206&lt;=f_fim)),OR(f_un="",f_un="(Todas)",G206=f_un),OR(f_tr="",f_tr="(Todos)",H206=f_tr),OR(f_de="",f_de="(Todos)",I206=f_de),OR(f_sit="",f_sit="(Todas)",S206=f_sit)),1,0))</f>
        <v>0</v>
      </c>
      <c r="AY206" s="96">
        <f>IF(AX206=0,0,IF(OR(f_res="",f_res="(Todos)"),1,IF(COUNTIFS('ITENS_MTR'!$S$6:$S$1005,A206,'ITENS_MTR'!$C$6:$C$1005,f_res)&gt;0,1,0)))</f>
        <v>0</v>
      </c>
      <c r="AZ206" s="97" t="str">
        <f>IF(ISNUMBER(E206),DATE(YEAR(E206),MONTH(E206),1),"")</f>
        <v/>
      </c>
      <c r="BA206" s="96">
        <f>IF(Z206=0,0,IF(AND(OR(r_ini="",AND(ISNUMBER(E206),E206&gt;=r_ini)),OR(r_fim="",AND(ISNUMBER(E206),E206&lt;=r_fim)),OR(r_un="",r_un="(Todas)",G206=r_un),OR(r_de="",r_de="(Todos)",I206=r_de)),1,0))</f>
        <v>0</v>
      </c>
      <c r="BB206" s="96" t="str">
        <f>IF(BA206=1,COUNTIF($BA$6:BA206,1),"")</f>
        <v/>
      </c>
      <c r="BC206" s="96" t="str">
        <f>IF(AND(AU206&lt;&gt;"",OR(r_un="",r_un="(Todas)",G206=r_un),OR(r_de="",r_de="(Todos)",I206=r_de)),AU206,"")</f>
        <v/>
      </c>
      <c r="BD206" s="96" t="str">
        <f>IF(Z206=1,A206&amp;" | nº "&amp;IF(B206="","(sem número)",B206)&amp;" | "&amp;IF(G206="","(sem unidade)",G206),"")</f>
        <v/>
      </c>
      <c r="BE206" s="96" t="str">
        <f>IF(Z206=1,COUNTIF($Z$6:Z206,1),"")</f>
        <v/>
      </c>
      <c r="BF206" s="96" t="str">
        <f>IF(T206="","",IF(T206="RECEBIMENTO NÃO CONFIRMADO","Transp.: "&amp;H206&amp;" | Dest.: "&amp;I206,IF(OR(T206="CDF NÃO LOCALIZADO",T206="VÍNCULO INCOMPLETO",T206="CDF A CONFERIR"),"Dest.: "&amp;I206,"Gerador: "&amp;G206)))</f>
        <v/>
      </c>
    </row>
    <row r="207">
      <c r="A207" s="89" t="inlineStr">
        <is>
          <t>MTR-000202</t>
        </is>
      </c>
      <c r="B207" s="90" t="n"/>
      <c r="C207" s="91" t="n"/>
      <c r="D207" s="91" t="n"/>
      <c r="E207" s="92" t="n"/>
      <c r="F207" s="92" t="n"/>
      <c r="G207" s="91" t="n"/>
      <c r="H207" s="91" t="n"/>
      <c r="I207" s="91" t="n"/>
      <c r="J207" s="91" t="n"/>
      <c r="K207" s="91" t="n"/>
      <c r="L207" s="92" t="n"/>
      <c r="M207" s="91" t="n"/>
      <c r="N207" s="91" t="n"/>
      <c r="O207" s="91" t="n"/>
      <c r="P207" s="93" t="str">
        <f>IF(Z207=0,"",SUMIFS('ITENS_MTR'!$I$6:$I$1005,'ITENS_MTR'!$S$6:$S$1005,A207,'ITENS_MTR'!$Y$6:$Y$1005,1))</f>
        <v/>
      </c>
      <c r="Q207" s="93" t="str">
        <f>IF(Z207=0,"",SUMIFS('RECEBIMENTOS'!$H$6:$H$1005,'RECEBIMENTOS'!$B$6:$B$1005,A207,'RECEBIMENTOS'!$X$6:$X$1005,1))</f>
        <v/>
      </c>
      <c r="R207" s="93" t="str">
        <f>IF(Z207=0,"",SUMIFS('VÍNCULOS_CDF'!$H$6:$H$1005,'VÍNCULOS_CDF'!$D$6:$D$1005,A207,'VÍNCULOS_CDF'!$V$6:$V$1005,1))</f>
        <v/>
      </c>
      <c r="S207" s="94" t="str">
        <f>IF(Z207=0,"",IF(AA207=1,"Cancelado (informado)",IF(AE207=1,"Cadastro incompleto",IF(OR(AC207=1,AD207=1,AF207&gt;0,AH207&gt;0,AK207&gt;0,AL207&gt;0),"Informação a revisar",IF(AN207=0,"Aguardando recebimento",IF(N(R207)=0,"Aguardando CDF",IF(AJ207&lt;N(W207),"Vínculo de CDF parcial",IF(AO207=0,"CDF localizado, a conferir","Documentação conferida"))))))))</f>
        <v/>
      </c>
      <c r="T207" s="94" t="str">
        <f>IF(Z207=0,"",IF(S207="Cadastro incompleto","MTR INCOMPLETO",IF(S207="Informação a revisar",IF(AND(AH207&gt;0,AC207=0,AD207=0,AF207=0,AK207=0,AL207=0),"QUANTIDADE A REVISAR","IDENTIFICAÇÃO A REVISAR"),IF(S207="Aguardando recebimento","RECEBIMENTO NÃO CONFIRMADO",IF(S207="Aguardando CDF","CDF NÃO LOCALIZADO",IF(S207="Vínculo de CDF parcial","VÍNCULO INCOMPLETO",IF(S207="CDF localizado, a conferir","CDF A CONFERIR","")))))))</f>
        <v/>
      </c>
      <c r="U207" s="95" t="str">
        <f>IF(T207="","",IF(AQ207="","Não calculável",IF(AQ207&gt;TODAY(),"Data futura",TODAY()-AQ207)))</f>
        <v/>
      </c>
      <c r="V207" s="93" t="str">
        <f>IF(Z207=0,"",SUMIFS('RECEBIMENTOS'!$H$6:$H$1005,'RECEBIMENTOS'!$B$6:$B$1005,A207,'RECEBIMENTOS'!$Z$6:$Z$1005,1))</f>
        <v/>
      </c>
      <c r="W207" s="95" t="str">
        <f>IF(Z207=0,"",COUNTIFS('ITENS_MTR'!$S$6:$S$1005,A207,'ITENS_MTR'!$R$6:$R$1005,1))</f>
        <v/>
      </c>
      <c r="X207" s="94" t="str">
        <f>IF(AC207=1,"POSSÍVEL DUPLICIDADE","")</f>
        <v/>
      </c>
      <c r="Y207" s="94" t="str">
        <f>IF(Z207=0,"",IF(AW207="","Nenhuma",LEFT(AW207,LEN(AW207)-2)))</f>
        <v/>
      </c>
      <c r="Z207" s="96">
        <f>IF(COUNTA(B207:O207)&gt;0,1,0)</f>
        <v>0</v>
      </c>
      <c r="AA207" s="96">
        <f>IF(AND(Z207=1,K207&lt;&gt;""),IF(TRIM(K207)=TRIM(cfg_cancel),1,0),0)</f>
        <v>0</v>
      </c>
      <c r="AB207" s="96" t="str">
        <f>IF(AND(Z207=1,B207&lt;&gt;""),C207&amp;"|"&amp;D207&amp;"|"&amp;G207&amp;"|"&amp;TRIM(B207),"")</f>
        <v/>
      </c>
      <c r="AC207" s="96">
        <f>IF(AB207="",0,IF(SUMPRODUCT(--($AB$6:$AB$505=AB207))&gt;1,1,0))</f>
        <v>0</v>
      </c>
      <c r="AD207" s="96">
        <f>IF(Z207=0,0,IF(OR(AND(G207&lt;&gt;"",ISNA(MATCH(G207,'CAD_UNIDADES'!$C$6:$C$105,0))),AND(H207&lt;&gt;"",ISNA(MATCH(H207,cmp_transp,0))),AND(I207&lt;&gt;"",ISNA(MATCH(I207,cmp_dest,0))),AND(E207&lt;&gt;"",NOT(ISNUMBER(E207))),AND(F207&lt;&gt;"",NOT(ISNUMBER(F207))),AND(ISNUMBER(E207),ISNUMBER(F207),F207&lt;E207)),1,0))</f>
        <v>0</v>
      </c>
      <c r="AE207" s="96">
        <f>IF(Z207=0,0,IF(OR(B207="",C207="",E207="",G207="",H207="",I207="",N(W207)=0),1,0))</f>
        <v>0</v>
      </c>
      <c r="AF207" s="96">
        <f>IF(Z207=0,0,COUNTIFS('ITENS_MTR'!$S$6:$S$1005,A207,'ITENS_MTR'!$AI$6:$AI$1005,1))</f>
        <v>0</v>
      </c>
      <c r="AG207" s="96">
        <f>IF(Z207=0,0,COUNTIFS('ITENS_MTR'!$S$6:$S$1005,A207,'ITENS_MTR'!$AJ$6:$AJ$1005,1))</f>
        <v>0</v>
      </c>
      <c r="AH207" s="96">
        <f>IF(Z207=0,0,COUNTIFS('ITENS_MTR'!$S$6:$S$1005,A207,'ITENS_MTR'!$AM$6:$AM$1005,1))</f>
        <v>0</v>
      </c>
      <c r="AI207" s="96">
        <f>IF(Z207=0,0,COUNTIFS('ITENS_MTR'!$S$6:$S$1005,A207,'ITENS_MTR'!$AO$6:$AO$1005,1))</f>
        <v>0</v>
      </c>
      <c r="AJ207" s="96">
        <f>IF(Z207=0,0,COUNTIFS('ITENS_MTR'!$S$6:$S$1005,A207,'ITENS_MTR'!$AN$6:$AN$1005,1))</f>
        <v>0</v>
      </c>
      <c r="AK207" s="96">
        <f>IF(Z207=0,0,COUNTIFS('RECEBIMENTOS'!$B$6:$B$1005,A207,'RECEBIMENTOS'!$Y$6:$Y$1005,1))</f>
        <v>0</v>
      </c>
      <c r="AL207" s="96">
        <f>IF(Z207=0,0,COUNTIFS('VÍNCULOS_CDF'!$D$6:$D$1005,A207,'VÍNCULOS_CDF'!$Y$6:$Y$1005,1))</f>
        <v>0</v>
      </c>
      <c r="AM207" s="96">
        <f>IF(Z207=0,0,COUNTIFS('RECEBIMENTOS'!$B$6:$B$1005,A207,'RECEBIMENTOS'!$Q$6:$Q$1005,1))</f>
        <v>0</v>
      </c>
      <c r="AN207" s="96">
        <f>IF(AND(Z207=1,N(W207)&gt;0,AG207=N(W207)),1,0)</f>
        <v>0</v>
      </c>
      <c r="AO207" s="96">
        <f>IF(AND(Z207=1,N(W207)&gt;0,AI207=N(W207)),1,0)</f>
        <v>0</v>
      </c>
      <c r="AP207" s="97">
        <f>IF(Z207=0,0,_xlfn.MAXIFS('RECEBIMENTOS'!$E$6:$E$1005,'RECEBIMENTOS'!$B$6:$B$1005,A207))</f>
        <v>0</v>
      </c>
      <c r="AQ207" s="97" t="str">
        <f>IF(T207="","",IF(T207="RECEBIMENTO NÃO CONFIRMADO",IF(ISNUMBER(F207),F207,IF(ISNUMBER(E207),E207,"")),IF(OR(T207="CDF NÃO LOCALIZADO",T207="VÍNCULO INCOMPLETO",T207="CDF A CONFERIR"),IF(AP207&gt;0,AP207,IF(ISNUMBER(E207),E207,"")),IF(ISNUMBER(E207),E207,""))))</f>
        <v/>
      </c>
      <c r="AR207" s="96">
        <f>IF(NOT(ISNUMBER(U207)),0,IF(T207="RECEBIMENTO NÃO CONFIRMADO",IF(AND(ISNUMBER(cfg_rec),U207&gt;cfg_rec),1,0),IF(OR(T207="CDF NÃO LOCALIZADO",T207="VÍNCULO INCOMPLETO",T207="CDF A CONFERIR"),IF(AND(ISNUMBER(cfg_cdf),U207&gt;cfg_cdf),1,0),0)))</f>
        <v>0</v>
      </c>
      <c r="AS207" s="96" t="str">
        <f>IF(T207="","",IF(AR207=1,"Alta",IFERROR(INDEX(cfg_pp,MATCH(T207,cfg_pt,0))&amp;"","Média")))</f>
        <v/>
      </c>
      <c r="AT207" s="96" t="str">
        <f>IF(T207="","",IFERROR(INDEX(cfg_pv,MATCH(T207,cfg_pt,0))&amp;"",""))</f>
        <v/>
      </c>
      <c r="AU207" s="96" t="str">
        <f>IF(T207="","",IF(AS207="Alta",1,IF(AS207="Média",2,3))*1000000000+(999999-IF(ISNUMBER(U207),MIN(U207,999999),0))*1000+202)</f>
        <v/>
      </c>
      <c r="AV207" s="96">
        <f>IF(T207&lt;&gt;"",1,0)</f>
        <v>0</v>
      </c>
      <c r="AW207" s="96" t="str">
        <f>IF(Z207=0,"",IF(AA207=1,"Cancelamento informado; ","")&amp;IF(AE207=1,"Campos essenciais ou itens faltando; ","")&amp;IF(AC207=1,"Possível duplicidade do número; ","")&amp;IF(AD207=1,"Cadastro ou datas a revisar; ","")&amp;IF(AF207&gt;0,"Item de resíduo com dado a revisar; ","")&amp;IF(AH207&gt;0,"Diferença de quantidade a analisar; ","")&amp;IF(AK207&gt;0,"Recebimento com alerta; ","")&amp;IF(AL207&gt;0,"Vínculo de CDF com alerta; ","")&amp;IF(AND(AA207=0,AN207=0),"Recebimento não confirmado; ","")&amp;IF(AND(AA207=0,AN207=1,AO207=0),"CDF pendente ou a conferir; ",""))</f>
        <v/>
      </c>
      <c r="AX207" s="96">
        <f>IF(Z207=0,0,IF(AND(OR(f_ini="",AND(ISNUMBER(E207),E207&gt;=f_ini)),OR(f_fim="",AND(ISNUMBER(E207),E207&lt;=f_fim)),OR(f_un="",f_un="(Todas)",G207=f_un),OR(f_tr="",f_tr="(Todos)",H207=f_tr),OR(f_de="",f_de="(Todos)",I207=f_de),OR(f_sit="",f_sit="(Todas)",S207=f_sit)),1,0))</f>
        <v>0</v>
      </c>
      <c r="AY207" s="96">
        <f>IF(AX207=0,0,IF(OR(f_res="",f_res="(Todos)"),1,IF(COUNTIFS('ITENS_MTR'!$S$6:$S$1005,A207,'ITENS_MTR'!$C$6:$C$1005,f_res)&gt;0,1,0)))</f>
        <v>0</v>
      </c>
      <c r="AZ207" s="97" t="str">
        <f>IF(ISNUMBER(E207),DATE(YEAR(E207),MONTH(E207),1),"")</f>
        <v/>
      </c>
      <c r="BA207" s="96">
        <f>IF(Z207=0,0,IF(AND(OR(r_ini="",AND(ISNUMBER(E207),E207&gt;=r_ini)),OR(r_fim="",AND(ISNUMBER(E207),E207&lt;=r_fim)),OR(r_un="",r_un="(Todas)",G207=r_un),OR(r_de="",r_de="(Todos)",I207=r_de)),1,0))</f>
        <v>0</v>
      </c>
      <c r="BB207" s="96" t="str">
        <f>IF(BA207=1,COUNTIF($BA$6:BA207,1),"")</f>
        <v/>
      </c>
      <c r="BC207" s="96" t="str">
        <f>IF(AND(AU207&lt;&gt;"",OR(r_un="",r_un="(Todas)",G207=r_un),OR(r_de="",r_de="(Todos)",I207=r_de)),AU207,"")</f>
        <v/>
      </c>
      <c r="BD207" s="96" t="str">
        <f>IF(Z207=1,A207&amp;" | nº "&amp;IF(B207="","(sem número)",B207)&amp;" | "&amp;IF(G207="","(sem unidade)",G207),"")</f>
        <v/>
      </c>
      <c r="BE207" s="96" t="str">
        <f>IF(Z207=1,COUNTIF($Z$6:Z207,1),"")</f>
        <v/>
      </c>
      <c r="BF207" s="96" t="str">
        <f>IF(T207="","",IF(T207="RECEBIMENTO NÃO CONFIRMADO","Transp.: "&amp;H207&amp;" | Dest.: "&amp;I207,IF(OR(T207="CDF NÃO LOCALIZADO",T207="VÍNCULO INCOMPLETO",T207="CDF A CONFERIR"),"Dest.: "&amp;I207,"Gerador: "&amp;G207)))</f>
        <v/>
      </c>
    </row>
    <row r="208">
      <c r="A208" s="89" t="inlineStr">
        <is>
          <t>MTR-000203</t>
        </is>
      </c>
      <c r="B208" s="90" t="n"/>
      <c r="C208" s="91" t="n"/>
      <c r="D208" s="91" t="n"/>
      <c r="E208" s="92" t="n"/>
      <c r="F208" s="92" t="n"/>
      <c r="G208" s="91" t="n"/>
      <c r="H208" s="91" t="n"/>
      <c r="I208" s="91" t="n"/>
      <c r="J208" s="91" t="n"/>
      <c r="K208" s="91" t="n"/>
      <c r="L208" s="92" t="n"/>
      <c r="M208" s="91" t="n"/>
      <c r="N208" s="91" t="n"/>
      <c r="O208" s="91" t="n"/>
      <c r="P208" s="93" t="str">
        <f>IF(Z208=0,"",SUMIFS('ITENS_MTR'!$I$6:$I$1005,'ITENS_MTR'!$S$6:$S$1005,A208,'ITENS_MTR'!$Y$6:$Y$1005,1))</f>
        <v/>
      </c>
      <c r="Q208" s="93" t="str">
        <f>IF(Z208=0,"",SUMIFS('RECEBIMENTOS'!$H$6:$H$1005,'RECEBIMENTOS'!$B$6:$B$1005,A208,'RECEBIMENTOS'!$X$6:$X$1005,1))</f>
        <v/>
      </c>
      <c r="R208" s="93" t="str">
        <f>IF(Z208=0,"",SUMIFS('VÍNCULOS_CDF'!$H$6:$H$1005,'VÍNCULOS_CDF'!$D$6:$D$1005,A208,'VÍNCULOS_CDF'!$V$6:$V$1005,1))</f>
        <v/>
      </c>
      <c r="S208" s="94" t="str">
        <f>IF(Z208=0,"",IF(AA208=1,"Cancelado (informado)",IF(AE208=1,"Cadastro incompleto",IF(OR(AC208=1,AD208=1,AF208&gt;0,AH208&gt;0,AK208&gt;0,AL208&gt;0),"Informação a revisar",IF(AN208=0,"Aguardando recebimento",IF(N(R208)=0,"Aguardando CDF",IF(AJ208&lt;N(W208),"Vínculo de CDF parcial",IF(AO208=0,"CDF localizado, a conferir","Documentação conferida"))))))))</f>
        <v/>
      </c>
      <c r="T208" s="94" t="str">
        <f>IF(Z208=0,"",IF(S208="Cadastro incompleto","MTR INCOMPLETO",IF(S208="Informação a revisar",IF(AND(AH208&gt;0,AC208=0,AD208=0,AF208=0,AK208=0,AL208=0),"QUANTIDADE A REVISAR","IDENTIFICAÇÃO A REVISAR"),IF(S208="Aguardando recebimento","RECEBIMENTO NÃO CONFIRMADO",IF(S208="Aguardando CDF","CDF NÃO LOCALIZADO",IF(S208="Vínculo de CDF parcial","VÍNCULO INCOMPLETO",IF(S208="CDF localizado, a conferir","CDF A CONFERIR","")))))))</f>
        <v/>
      </c>
      <c r="U208" s="95" t="str">
        <f>IF(T208="","",IF(AQ208="","Não calculável",IF(AQ208&gt;TODAY(),"Data futura",TODAY()-AQ208)))</f>
        <v/>
      </c>
      <c r="V208" s="93" t="str">
        <f>IF(Z208=0,"",SUMIFS('RECEBIMENTOS'!$H$6:$H$1005,'RECEBIMENTOS'!$B$6:$B$1005,A208,'RECEBIMENTOS'!$Z$6:$Z$1005,1))</f>
        <v/>
      </c>
      <c r="W208" s="95" t="str">
        <f>IF(Z208=0,"",COUNTIFS('ITENS_MTR'!$S$6:$S$1005,A208,'ITENS_MTR'!$R$6:$R$1005,1))</f>
        <v/>
      </c>
      <c r="X208" s="94" t="str">
        <f>IF(AC208=1,"POSSÍVEL DUPLICIDADE","")</f>
        <v/>
      </c>
      <c r="Y208" s="94" t="str">
        <f>IF(Z208=0,"",IF(AW208="","Nenhuma",LEFT(AW208,LEN(AW208)-2)))</f>
        <v/>
      </c>
      <c r="Z208" s="96">
        <f>IF(COUNTA(B208:O208)&gt;0,1,0)</f>
        <v>0</v>
      </c>
      <c r="AA208" s="96">
        <f>IF(AND(Z208=1,K208&lt;&gt;""),IF(TRIM(K208)=TRIM(cfg_cancel),1,0),0)</f>
        <v>0</v>
      </c>
      <c r="AB208" s="96" t="str">
        <f>IF(AND(Z208=1,B208&lt;&gt;""),C208&amp;"|"&amp;D208&amp;"|"&amp;G208&amp;"|"&amp;TRIM(B208),"")</f>
        <v/>
      </c>
      <c r="AC208" s="96">
        <f>IF(AB208="",0,IF(SUMPRODUCT(--($AB$6:$AB$505=AB208))&gt;1,1,0))</f>
        <v>0</v>
      </c>
      <c r="AD208" s="96">
        <f>IF(Z208=0,0,IF(OR(AND(G208&lt;&gt;"",ISNA(MATCH(G208,'CAD_UNIDADES'!$C$6:$C$105,0))),AND(H208&lt;&gt;"",ISNA(MATCH(H208,cmp_transp,0))),AND(I208&lt;&gt;"",ISNA(MATCH(I208,cmp_dest,0))),AND(E208&lt;&gt;"",NOT(ISNUMBER(E208))),AND(F208&lt;&gt;"",NOT(ISNUMBER(F208))),AND(ISNUMBER(E208),ISNUMBER(F208),F208&lt;E208)),1,0))</f>
        <v>0</v>
      </c>
      <c r="AE208" s="96">
        <f>IF(Z208=0,0,IF(OR(B208="",C208="",E208="",G208="",H208="",I208="",N(W208)=0),1,0))</f>
        <v>0</v>
      </c>
      <c r="AF208" s="96">
        <f>IF(Z208=0,0,COUNTIFS('ITENS_MTR'!$S$6:$S$1005,A208,'ITENS_MTR'!$AI$6:$AI$1005,1))</f>
        <v>0</v>
      </c>
      <c r="AG208" s="96">
        <f>IF(Z208=0,0,COUNTIFS('ITENS_MTR'!$S$6:$S$1005,A208,'ITENS_MTR'!$AJ$6:$AJ$1005,1))</f>
        <v>0</v>
      </c>
      <c r="AH208" s="96">
        <f>IF(Z208=0,0,COUNTIFS('ITENS_MTR'!$S$6:$S$1005,A208,'ITENS_MTR'!$AM$6:$AM$1005,1))</f>
        <v>0</v>
      </c>
      <c r="AI208" s="96">
        <f>IF(Z208=0,0,COUNTIFS('ITENS_MTR'!$S$6:$S$1005,A208,'ITENS_MTR'!$AO$6:$AO$1005,1))</f>
        <v>0</v>
      </c>
      <c r="AJ208" s="96">
        <f>IF(Z208=0,0,COUNTIFS('ITENS_MTR'!$S$6:$S$1005,A208,'ITENS_MTR'!$AN$6:$AN$1005,1))</f>
        <v>0</v>
      </c>
      <c r="AK208" s="96">
        <f>IF(Z208=0,0,COUNTIFS('RECEBIMENTOS'!$B$6:$B$1005,A208,'RECEBIMENTOS'!$Y$6:$Y$1005,1))</f>
        <v>0</v>
      </c>
      <c r="AL208" s="96">
        <f>IF(Z208=0,0,COUNTIFS('VÍNCULOS_CDF'!$D$6:$D$1005,A208,'VÍNCULOS_CDF'!$Y$6:$Y$1005,1))</f>
        <v>0</v>
      </c>
      <c r="AM208" s="96">
        <f>IF(Z208=0,0,COUNTIFS('RECEBIMENTOS'!$B$6:$B$1005,A208,'RECEBIMENTOS'!$Q$6:$Q$1005,1))</f>
        <v>0</v>
      </c>
      <c r="AN208" s="96">
        <f>IF(AND(Z208=1,N(W208)&gt;0,AG208=N(W208)),1,0)</f>
        <v>0</v>
      </c>
      <c r="AO208" s="96">
        <f>IF(AND(Z208=1,N(W208)&gt;0,AI208=N(W208)),1,0)</f>
        <v>0</v>
      </c>
      <c r="AP208" s="97">
        <f>IF(Z208=0,0,_xlfn.MAXIFS('RECEBIMENTOS'!$E$6:$E$1005,'RECEBIMENTOS'!$B$6:$B$1005,A208))</f>
        <v>0</v>
      </c>
      <c r="AQ208" s="97" t="str">
        <f>IF(T208="","",IF(T208="RECEBIMENTO NÃO CONFIRMADO",IF(ISNUMBER(F208),F208,IF(ISNUMBER(E208),E208,"")),IF(OR(T208="CDF NÃO LOCALIZADO",T208="VÍNCULO INCOMPLETO",T208="CDF A CONFERIR"),IF(AP208&gt;0,AP208,IF(ISNUMBER(E208),E208,"")),IF(ISNUMBER(E208),E208,""))))</f>
        <v/>
      </c>
      <c r="AR208" s="96">
        <f>IF(NOT(ISNUMBER(U208)),0,IF(T208="RECEBIMENTO NÃO CONFIRMADO",IF(AND(ISNUMBER(cfg_rec),U208&gt;cfg_rec),1,0),IF(OR(T208="CDF NÃO LOCALIZADO",T208="VÍNCULO INCOMPLETO",T208="CDF A CONFERIR"),IF(AND(ISNUMBER(cfg_cdf),U208&gt;cfg_cdf),1,0),0)))</f>
        <v>0</v>
      </c>
      <c r="AS208" s="96" t="str">
        <f>IF(T208="","",IF(AR208=1,"Alta",IFERROR(INDEX(cfg_pp,MATCH(T208,cfg_pt,0))&amp;"","Média")))</f>
        <v/>
      </c>
      <c r="AT208" s="96" t="str">
        <f>IF(T208="","",IFERROR(INDEX(cfg_pv,MATCH(T208,cfg_pt,0))&amp;"",""))</f>
        <v/>
      </c>
      <c r="AU208" s="96" t="str">
        <f>IF(T208="","",IF(AS208="Alta",1,IF(AS208="Média",2,3))*1000000000+(999999-IF(ISNUMBER(U208),MIN(U208,999999),0))*1000+203)</f>
        <v/>
      </c>
      <c r="AV208" s="96">
        <f>IF(T208&lt;&gt;"",1,0)</f>
        <v>0</v>
      </c>
      <c r="AW208" s="96" t="str">
        <f>IF(Z208=0,"",IF(AA208=1,"Cancelamento informado; ","")&amp;IF(AE208=1,"Campos essenciais ou itens faltando; ","")&amp;IF(AC208=1,"Possível duplicidade do número; ","")&amp;IF(AD208=1,"Cadastro ou datas a revisar; ","")&amp;IF(AF208&gt;0,"Item de resíduo com dado a revisar; ","")&amp;IF(AH208&gt;0,"Diferença de quantidade a analisar; ","")&amp;IF(AK208&gt;0,"Recebimento com alerta; ","")&amp;IF(AL208&gt;0,"Vínculo de CDF com alerta; ","")&amp;IF(AND(AA208=0,AN208=0),"Recebimento não confirmado; ","")&amp;IF(AND(AA208=0,AN208=1,AO208=0),"CDF pendente ou a conferir; ",""))</f>
        <v/>
      </c>
      <c r="AX208" s="96">
        <f>IF(Z208=0,0,IF(AND(OR(f_ini="",AND(ISNUMBER(E208),E208&gt;=f_ini)),OR(f_fim="",AND(ISNUMBER(E208),E208&lt;=f_fim)),OR(f_un="",f_un="(Todas)",G208=f_un),OR(f_tr="",f_tr="(Todos)",H208=f_tr),OR(f_de="",f_de="(Todos)",I208=f_de),OR(f_sit="",f_sit="(Todas)",S208=f_sit)),1,0))</f>
        <v>0</v>
      </c>
      <c r="AY208" s="96">
        <f>IF(AX208=0,0,IF(OR(f_res="",f_res="(Todos)"),1,IF(COUNTIFS('ITENS_MTR'!$S$6:$S$1005,A208,'ITENS_MTR'!$C$6:$C$1005,f_res)&gt;0,1,0)))</f>
        <v>0</v>
      </c>
      <c r="AZ208" s="97" t="str">
        <f>IF(ISNUMBER(E208),DATE(YEAR(E208),MONTH(E208),1),"")</f>
        <v/>
      </c>
      <c r="BA208" s="96">
        <f>IF(Z208=0,0,IF(AND(OR(r_ini="",AND(ISNUMBER(E208),E208&gt;=r_ini)),OR(r_fim="",AND(ISNUMBER(E208),E208&lt;=r_fim)),OR(r_un="",r_un="(Todas)",G208=r_un),OR(r_de="",r_de="(Todos)",I208=r_de)),1,0))</f>
        <v>0</v>
      </c>
      <c r="BB208" s="96" t="str">
        <f>IF(BA208=1,COUNTIF($BA$6:BA208,1),"")</f>
        <v/>
      </c>
      <c r="BC208" s="96" t="str">
        <f>IF(AND(AU208&lt;&gt;"",OR(r_un="",r_un="(Todas)",G208=r_un),OR(r_de="",r_de="(Todos)",I208=r_de)),AU208,"")</f>
        <v/>
      </c>
      <c r="BD208" s="96" t="str">
        <f>IF(Z208=1,A208&amp;" | nº "&amp;IF(B208="","(sem número)",B208)&amp;" | "&amp;IF(G208="","(sem unidade)",G208),"")</f>
        <v/>
      </c>
      <c r="BE208" s="96" t="str">
        <f>IF(Z208=1,COUNTIF($Z$6:Z208,1),"")</f>
        <v/>
      </c>
      <c r="BF208" s="96" t="str">
        <f>IF(T208="","",IF(T208="RECEBIMENTO NÃO CONFIRMADO","Transp.: "&amp;H208&amp;" | Dest.: "&amp;I208,IF(OR(T208="CDF NÃO LOCALIZADO",T208="VÍNCULO INCOMPLETO",T208="CDF A CONFERIR"),"Dest.: "&amp;I208,"Gerador: "&amp;G208)))</f>
        <v/>
      </c>
    </row>
    <row r="209">
      <c r="A209" s="89" t="inlineStr">
        <is>
          <t>MTR-000204</t>
        </is>
      </c>
      <c r="B209" s="90" t="n"/>
      <c r="C209" s="91" t="n"/>
      <c r="D209" s="91" t="n"/>
      <c r="E209" s="92" t="n"/>
      <c r="F209" s="92" t="n"/>
      <c r="G209" s="91" t="n"/>
      <c r="H209" s="91" t="n"/>
      <c r="I209" s="91" t="n"/>
      <c r="J209" s="91" t="n"/>
      <c r="K209" s="91" t="n"/>
      <c r="L209" s="92" t="n"/>
      <c r="M209" s="91" t="n"/>
      <c r="N209" s="91" t="n"/>
      <c r="O209" s="91" t="n"/>
      <c r="P209" s="93" t="str">
        <f>IF(Z209=0,"",SUMIFS('ITENS_MTR'!$I$6:$I$1005,'ITENS_MTR'!$S$6:$S$1005,A209,'ITENS_MTR'!$Y$6:$Y$1005,1))</f>
        <v/>
      </c>
      <c r="Q209" s="93" t="str">
        <f>IF(Z209=0,"",SUMIFS('RECEBIMENTOS'!$H$6:$H$1005,'RECEBIMENTOS'!$B$6:$B$1005,A209,'RECEBIMENTOS'!$X$6:$X$1005,1))</f>
        <v/>
      </c>
      <c r="R209" s="93" t="str">
        <f>IF(Z209=0,"",SUMIFS('VÍNCULOS_CDF'!$H$6:$H$1005,'VÍNCULOS_CDF'!$D$6:$D$1005,A209,'VÍNCULOS_CDF'!$V$6:$V$1005,1))</f>
        <v/>
      </c>
      <c r="S209" s="94" t="str">
        <f>IF(Z209=0,"",IF(AA209=1,"Cancelado (informado)",IF(AE209=1,"Cadastro incompleto",IF(OR(AC209=1,AD209=1,AF209&gt;0,AH209&gt;0,AK209&gt;0,AL209&gt;0),"Informação a revisar",IF(AN209=0,"Aguardando recebimento",IF(N(R209)=0,"Aguardando CDF",IF(AJ209&lt;N(W209),"Vínculo de CDF parcial",IF(AO209=0,"CDF localizado, a conferir","Documentação conferida"))))))))</f>
        <v/>
      </c>
      <c r="T209" s="94" t="str">
        <f>IF(Z209=0,"",IF(S209="Cadastro incompleto","MTR INCOMPLETO",IF(S209="Informação a revisar",IF(AND(AH209&gt;0,AC209=0,AD209=0,AF209=0,AK209=0,AL209=0),"QUANTIDADE A REVISAR","IDENTIFICAÇÃO A REVISAR"),IF(S209="Aguardando recebimento","RECEBIMENTO NÃO CONFIRMADO",IF(S209="Aguardando CDF","CDF NÃO LOCALIZADO",IF(S209="Vínculo de CDF parcial","VÍNCULO INCOMPLETO",IF(S209="CDF localizado, a conferir","CDF A CONFERIR","")))))))</f>
        <v/>
      </c>
      <c r="U209" s="95" t="str">
        <f>IF(T209="","",IF(AQ209="","Não calculável",IF(AQ209&gt;TODAY(),"Data futura",TODAY()-AQ209)))</f>
        <v/>
      </c>
      <c r="V209" s="93" t="str">
        <f>IF(Z209=0,"",SUMIFS('RECEBIMENTOS'!$H$6:$H$1005,'RECEBIMENTOS'!$B$6:$B$1005,A209,'RECEBIMENTOS'!$Z$6:$Z$1005,1))</f>
        <v/>
      </c>
      <c r="W209" s="95" t="str">
        <f>IF(Z209=0,"",COUNTIFS('ITENS_MTR'!$S$6:$S$1005,A209,'ITENS_MTR'!$R$6:$R$1005,1))</f>
        <v/>
      </c>
      <c r="X209" s="94" t="str">
        <f>IF(AC209=1,"POSSÍVEL DUPLICIDADE","")</f>
        <v/>
      </c>
      <c r="Y209" s="94" t="str">
        <f>IF(Z209=0,"",IF(AW209="","Nenhuma",LEFT(AW209,LEN(AW209)-2)))</f>
        <v/>
      </c>
      <c r="Z209" s="96">
        <f>IF(COUNTA(B209:O209)&gt;0,1,0)</f>
        <v>0</v>
      </c>
      <c r="AA209" s="96">
        <f>IF(AND(Z209=1,K209&lt;&gt;""),IF(TRIM(K209)=TRIM(cfg_cancel),1,0),0)</f>
        <v>0</v>
      </c>
      <c r="AB209" s="96" t="str">
        <f>IF(AND(Z209=1,B209&lt;&gt;""),C209&amp;"|"&amp;D209&amp;"|"&amp;G209&amp;"|"&amp;TRIM(B209),"")</f>
        <v/>
      </c>
      <c r="AC209" s="96">
        <f>IF(AB209="",0,IF(SUMPRODUCT(--($AB$6:$AB$505=AB209))&gt;1,1,0))</f>
        <v>0</v>
      </c>
      <c r="AD209" s="96">
        <f>IF(Z209=0,0,IF(OR(AND(G209&lt;&gt;"",ISNA(MATCH(G209,'CAD_UNIDADES'!$C$6:$C$105,0))),AND(H209&lt;&gt;"",ISNA(MATCH(H209,cmp_transp,0))),AND(I209&lt;&gt;"",ISNA(MATCH(I209,cmp_dest,0))),AND(E209&lt;&gt;"",NOT(ISNUMBER(E209))),AND(F209&lt;&gt;"",NOT(ISNUMBER(F209))),AND(ISNUMBER(E209),ISNUMBER(F209),F209&lt;E209)),1,0))</f>
        <v>0</v>
      </c>
      <c r="AE209" s="96">
        <f>IF(Z209=0,0,IF(OR(B209="",C209="",E209="",G209="",H209="",I209="",N(W209)=0),1,0))</f>
        <v>0</v>
      </c>
      <c r="AF209" s="96">
        <f>IF(Z209=0,0,COUNTIFS('ITENS_MTR'!$S$6:$S$1005,A209,'ITENS_MTR'!$AI$6:$AI$1005,1))</f>
        <v>0</v>
      </c>
      <c r="AG209" s="96">
        <f>IF(Z209=0,0,COUNTIFS('ITENS_MTR'!$S$6:$S$1005,A209,'ITENS_MTR'!$AJ$6:$AJ$1005,1))</f>
        <v>0</v>
      </c>
      <c r="AH209" s="96">
        <f>IF(Z209=0,0,COUNTIFS('ITENS_MTR'!$S$6:$S$1005,A209,'ITENS_MTR'!$AM$6:$AM$1005,1))</f>
        <v>0</v>
      </c>
      <c r="AI209" s="96">
        <f>IF(Z209=0,0,COUNTIFS('ITENS_MTR'!$S$6:$S$1005,A209,'ITENS_MTR'!$AO$6:$AO$1005,1))</f>
        <v>0</v>
      </c>
      <c r="AJ209" s="96">
        <f>IF(Z209=0,0,COUNTIFS('ITENS_MTR'!$S$6:$S$1005,A209,'ITENS_MTR'!$AN$6:$AN$1005,1))</f>
        <v>0</v>
      </c>
      <c r="AK209" s="96">
        <f>IF(Z209=0,0,COUNTIFS('RECEBIMENTOS'!$B$6:$B$1005,A209,'RECEBIMENTOS'!$Y$6:$Y$1005,1))</f>
        <v>0</v>
      </c>
      <c r="AL209" s="96">
        <f>IF(Z209=0,0,COUNTIFS('VÍNCULOS_CDF'!$D$6:$D$1005,A209,'VÍNCULOS_CDF'!$Y$6:$Y$1005,1))</f>
        <v>0</v>
      </c>
      <c r="AM209" s="96">
        <f>IF(Z209=0,0,COUNTIFS('RECEBIMENTOS'!$B$6:$B$1005,A209,'RECEBIMENTOS'!$Q$6:$Q$1005,1))</f>
        <v>0</v>
      </c>
      <c r="AN209" s="96">
        <f>IF(AND(Z209=1,N(W209)&gt;0,AG209=N(W209)),1,0)</f>
        <v>0</v>
      </c>
      <c r="AO209" s="96">
        <f>IF(AND(Z209=1,N(W209)&gt;0,AI209=N(W209)),1,0)</f>
        <v>0</v>
      </c>
      <c r="AP209" s="97">
        <f>IF(Z209=0,0,_xlfn.MAXIFS('RECEBIMENTOS'!$E$6:$E$1005,'RECEBIMENTOS'!$B$6:$B$1005,A209))</f>
        <v>0</v>
      </c>
      <c r="AQ209" s="97" t="str">
        <f>IF(T209="","",IF(T209="RECEBIMENTO NÃO CONFIRMADO",IF(ISNUMBER(F209),F209,IF(ISNUMBER(E209),E209,"")),IF(OR(T209="CDF NÃO LOCALIZADO",T209="VÍNCULO INCOMPLETO",T209="CDF A CONFERIR"),IF(AP209&gt;0,AP209,IF(ISNUMBER(E209),E209,"")),IF(ISNUMBER(E209),E209,""))))</f>
        <v/>
      </c>
      <c r="AR209" s="96">
        <f>IF(NOT(ISNUMBER(U209)),0,IF(T209="RECEBIMENTO NÃO CONFIRMADO",IF(AND(ISNUMBER(cfg_rec),U209&gt;cfg_rec),1,0),IF(OR(T209="CDF NÃO LOCALIZADO",T209="VÍNCULO INCOMPLETO",T209="CDF A CONFERIR"),IF(AND(ISNUMBER(cfg_cdf),U209&gt;cfg_cdf),1,0),0)))</f>
        <v>0</v>
      </c>
      <c r="AS209" s="96" t="str">
        <f>IF(T209="","",IF(AR209=1,"Alta",IFERROR(INDEX(cfg_pp,MATCH(T209,cfg_pt,0))&amp;"","Média")))</f>
        <v/>
      </c>
      <c r="AT209" s="96" t="str">
        <f>IF(T209="","",IFERROR(INDEX(cfg_pv,MATCH(T209,cfg_pt,0))&amp;"",""))</f>
        <v/>
      </c>
      <c r="AU209" s="96" t="str">
        <f>IF(T209="","",IF(AS209="Alta",1,IF(AS209="Média",2,3))*1000000000+(999999-IF(ISNUMBER(U209),MIN(U209,999999),0))*1000+204)</f>
        <v/>
      </c>
      <c r="AV209" s="96">
        <f>IF(T209&lt;&gt;"",1,0)</f>
        <v>0</v>
      </c>
      <c r="AW209" s="96" t="str">
        <f>IF(Z209=0,"",IF(AA209=1,"Cancelamento informado; ","")&amp;IF(AE209=1,"Campos essenciais ou itens faltando; ","")&amp;IF(AC209=1,"Possível duplicidade do número; ","")&amp;IF(AD209=1,"Cadastro ou datas a revisar; ","")&amp;IF(AF209&gt;0,"Item de resíduo com dado a revisar; ","")&amp;IF(AH209&gt;0,"Diferença de quantidade a analisar; ","")&amp;IF(AK209&gt;0,"Recebimento com alerta; ","")&amp;IF(AL209&gt;0,"Vínculo de CDF com alerta; ","")&amp;IF(AND(AA209=0,AN209=0),"Recebimento não confirmado; ","")&amp;IF(AND(AA209=0,AN209=1,AO209=0),"CDF pendente ou a conferir; ",""))</f>
        <v/>
      </c>
      <c r="AX209" s="96">
        <f>IF(Z209=0,0,IF(AND(OR(f_ini="",AND(ISNUMBER(E209),E209&gt;=f_ini)),OR(f_fim="",AND(ISNUMBER(E209),E209&lt;=f_fim)),OR(f_un="",f_un="(Todas)",G209=f_un),OR(f_tr="",f_tr="(Todos)",H209=f_tr),OR(f_de="",f_de="(Todos)",I209=f_de),OR(f_sit="",f_sit="(Todas)",S209=f_sit)),1,0))</f>
        <v>0</v>
      </c>
      <c r="AY209" s="96">
        <f>IF(AX209=0,0,IF(OR(f_res="",f_res="(Todos)"),1,IF(COUNTIFS('ITENS_MTR'!$S$6:$S$1005,A209,'ITENS_MTR'!$C$6:$C$1005,f_res)&gt;0,1,0)))</f>
        <v>0</v>
      </c>
      <c r="AZ209" s="97" t="str">
        <f>IF(ISNUMBER(E209),DATE(YEAR(E209),MONTH(E209),1),"")</f>
        <v/>
      </c>
      <c r="BA209" s="96">
        <f>IF(Z209=0,0,IF(AND(OR(r_ini="",AND(ISNUMBER(E209),E209&gt;=r_ini)),OR(r_fim="",AND(ISNUMBER(E209),E209&lt;=r_fim)),OR(r_un="",r_un="(Todas)",G209=r_un),OR(r_de="",r_de="(Todos)",I209=r_de)),1,0))</f>
        <v>0</v>
      </c>
      <c r="BB209" s="96" t="str">
        <f>IF(BA209=1,COUNTIF($BA$6:BA209,1),"")</f>
        <v/>
      </c>
      <c r="BC209" s="96" t="str">
        <f>IF(AND(AU209&lt;&gt;"",OR(r_un="",r_un="(Todas)",G209=r_un),OR(r_de="",r_de="(Todos)",I209=r_de)),AU209,"")</f>
        <v/>
      </c>
      <c r="BD209" s="96" t="str">
        <f>IF(Z209=1,A209&amp;" | nº "&amp;IF(B209="","(sem número)",B209)&amp;" | "&amp;IF(G209="","(sem unidade)",G209),"")</f>
        <v/>
      </c>
      <c r="BE209" s="96" t="str">
        <f>IF(Z209=1,COUNTIF($Z$6:Z209,1),"")</f>
        <v/>
      </c>
      <c r="BF209" s="96" t="str">
        <f>IF(T209="","",IF(T209="RECEBIMENTO NÃO CONFIRMADO","Transp.: "&amp;H209&amp;" | Dest.: "&amp;I209,IF(OR(T209="CDF NÃO LOCALIZADO",T209="VÍNCULO INCOMPLETO",T209="CDF A CONFERIR"),"Dest.: "&amp;I209,"Gerador: "&amp;G209)))</f>
        <v/>
      </c>
    </row>
    <row r="210">
      <c r="A210" s="89" t="inlineStr">
        <is>
          <t>MTR-000205</t>
        </is>
      </c>
      <c r="B210" s="90" t="n"/>
      <c r="C210" s="91" t="n"/>
      <c r="D210" s="91" t="n"/>
      <c r="E210" s="92" t="n"/>
      <c r="F210" s="92" t="n"/>
      <c r="G210" s="91" t="n"/>
      <c r="H210" s="91" t="n"/>
      <c r="I210" s="91" t="n"/>
      <c r="J210" s="91" t="n"/>
      <c r="K210" s="91" t="n"/>
      <c r="L210" s="92" t="n"/>
      <c r="M210" s="91" t="n"/>
      <c r="N210" s="91" t="n"/>
      <c r="O210" s="91" t="n"/>
      <c r="P210" s="93" t="str">
        <f>IF(Z210=0,"",SUMIFS('ITENS_MTR'!$I$6:$I$1005,'ITENS_MTR'!$S$6:$S$1005,A210,'ITENS_MTR'!$Y$6:$Y$1005,1))</f>
        <v/>
      </c>
      <c r="Q210" s="93" t="str">
        <f>IF(Z210=0,"",SUMIFS('RECEBIMENTOS'!$H$6:$H$1005,'RECEBIMENTOS'!$B$6:$B$1005,A210,'RECEBIMENTOS'!$X$6:$X$1005,1))</f>
        <v/>
      </c>
      <c r="R210" s="93" t="str">
        <f>IF(Z210=0,"",SUMIFS('VÍNCULOS_CDF'!$H$6:$H$1005,'VÍNCULOS_CDF'!$D$6:$D$1005,A210,'VÍNCULOS_CDF'!$V$6:$V$1005,1))</f>
        <v/>
      </c>
      <c r="S210" s="94" t="str">
        <f>IF(Z210=0,"",IF(AA210=1,"Cancelado (informado)",IF(AE210=1,"Cadastro incompleto",IF(OR(AC210=1,AD210=1,AF210&gt;0,AH210&gt;0,AK210&gt;0,AL210&gt;0),"Informação a revisar",IF(AN210=0,"Aguardando recebimento",IF(N(R210)=0,"Aguardando CDF",IF(AJ210&lt;N(W210),"Vínculo de CDF parcial",IF(AO210=0,"CDF localizado, a conferir","Documentação conferida"))))))))</f>
        <v/>
      </c>
      <c r="T210" s="94" t="str">
        <f>IF(Z210=0,"",IF(S210="Cadastro incompleto","MTR INCOMPLETO",IF(S210="Informação a revisar",IF(AND(AH210&gt;0,AC210=0,AD210=0,AF210=0,AK210=0,AL210=0),"QUANTIDADE A REVISAR","IDENTIFICAÇÃO A REVISAR"),IF(S210="Aguardando recebimento","RECEBIMENTO NÃO CONFIRMADO",IF(S210="Aguardando CDF","CDF NÃO LOCALIZADO",IF(S210="Vínculo de CDF parcial","VÍNCULO INCOMPLETO",IF(S210="CDF localizado, a conferir","CDF A CONFERIR","")))))))</f>
        <v/>
      </c>
      <c r="U210" s="95" t="str">
        <f>IF(T210="","",IF(AQ210="","Não calculável",IF(AQ210&gt;TODAY(),"Data futura",TODAY()-AQ210)))</f>
        <v/>
      </c>
      <c r="V210" s="93" t="str">
        <f>IF(Z210=0,"",SUMIFS('RECEBIMENTOS'!$H$6:$H$1005,'RECEBIMENTOS'!$B$6:$B$1005,A210,'RECEBIMENTOS'!$Z$6:$Z$1005,1))</f>
        <v/>
      </c>
      <c r="W210" s="95" t="str">
        <f>IF(Z210=0,"",COUNTIFS('ITENS_MTR'!$S$6:$S$1005,A210,'ITENS_MTR'!$R$6:$R$1005,1))</f>
        <v/>
      </c>
      <c r="X210" s="94" t="str">
        <f>IF(AC210=1,"POSSÍVEL DUPLICIDADE","")</f>
        <v/>
      </c>
      <c r="Y210" s="94" t="str">
        <f>IF(Z210=0,"",IF(AW210="","Nenhuma",LEFT(AW210,LEN(AW210)-2)))</f>
        <v/>
      </c>
      <c r="Z210" s="96">
        <f>IF(COUNTA(B210:O210)&gt;0,1,0)</f>
        <v>0</v>
      </c>
      <c r="AA210" s="96">
        <f>IF(AND(Z210=1,K210&lt;&gt;""),IF(TRIM(K210)=TRIM(cfg_cancel),1,0),0)</f>
        <v>0</v>
      </c>
      <c r="AB210" s="96" t="str">
        <f>IF(AND(Z210=1,B210&lt;&gt;""),C210&amp;"|"&amp;D210&amp;"|"&amp;G210&amp;"|"&amp;TRIM(B210),"")</f>
        <v/>
      </c>
      <c r="AC210" s="96">
        <f>IF(AB210="",0,IF(SUMPRODUCT(--($AB$6:$AB$505=AB210))&gt;1,1,0))</f>
        <v>0</v>
      </c>
      <c r="AD210" s="96">
        <f>IF(Z210=0,0,IF(OR(AND(G210&lt;&gt;"",ISNA(MATCH(G210,'CAD_UNIDADES'!$C$6:$C$105,0))),AND(H210&lt;&gt;"",ISNA(MATCH(H210,cmp_transp,0))),AND(I210&lt;&gt;"",ISNA(MATCH(I210,cmp_dest,0))),AND(E210&lt;&gt;"",NOT(ISNUMBER(E210))),AND(F210&lt;&gt;"",NOT(ISNUMBER(F210))),AND(ISNUMBER(E210),ISNUMBER(F210),F210&lt;E210)),1,0))</f>
        <v>0</v>
      </c>
      <c r="AE210" s="96">
        <f>IF(Z210=0,0,IF(OR(B210="",C210="",E210="",G210="",H210="",I210="",N(W210)=0),1,0))</f>
        <v>0</v>
      </c>
      <c r="AF210" s="96">
        <f>IF(Z210=0,0,COUNTIFS('ITENS_MTR'!$S$6:$S$1005,A210,'ITENS_MTR'!$AI$6:$AI$1005,1))</f>
        <v>0</v>
      </c>
      <c r="AG210" s="96">
        <f>IF(Z210=0,0,COUNTIFS('ITENS_MTR'!$S$6:$S$1005,A210,'ITENS_MTR'!$AJ$6:$AJ$1005,1))</f>
        <v>0</v>
      </c>
      <c r="AH210" s="96">
        <f>IF(Z210=0,0,COUNTIFS('ITENS_MTR'!$S$6:$S$1005,A210,'ITENS_MTR'!$AM$6:$AM$1005,1))</f>
        <v>0</v>
      </c>
      <c r="AI210" s="96">
        <f>IF(Z210=0,0,COUNTIFS('ITENS_MTR'!$S$6:$S$1005,A210,'ITENS_MTR'!$AO$6:$AO$1005,1))</f>
        <v>0</v>
      </c>
      <c r="AJ210" s="96">
        <f>IF(Z210=0,0,COUNTIFS('ITENS_MTR'!$S$6:$S$1005,A210,'ITENS_MTR'!$AN$6:$AN$1005,1))</f>
        <v>0</v>
      </c>
      <c r="AK210" s="96">
        <f>IF(Z210=0,0,COUNTIFS('RECEBIMENTOS'!$B$6:$B$1005,A210,'RECEBIMENTOS'!$Y$6:$Y$1005,1))</f>
        <v>0</v>
      </c>
      <c r="AL210" s="96">
        <f>IF(Z210=0,0,COUNTIFS('VÍNCULOS_CDF'!$D$6:$D$1005,A210,'VÍNCULOS_CDF'!$Y$6:$Y$1005,1))</f>
        <v>0</v>
      </c>
      <c r="AM210" s="96">
        <f>IF(Z210=0,0,COUNTIFS('RECEBIMENTOS'!$B$6:$B$1005,A210,'RECEBIMENTOS'!$Q$6:$Q$1005,1))</f>
        <v>0</v>
      </c>
      <c r="AN210" s="96">
        <f>IF(AND(Z210=1,N(W210)&gt;0,AG210=N(W210)),1,0)</f>
        <v>0</v>
      </c>
      <c r="AO210" s="96">
        <f>IF(AND(Z210=1,N(W210)&gt;0,AI210=N(W210)),1,0)</f>
        <v>0</v>
      </c>
      <c r="AP210" s="97">
        <f>IF(Z210=0,0,_xlfn.MAXIFS('RECEBIMENTOS'!$E$6:$E$1005,'RECEBIMENTOS'!$B$6:$B$1005,A210))</f>
        <v>0</v>
      </c>
      <c r="AQ210" s="97" t="str">
        <f>IF(T210="","",IF(T210="RECEBIMENTO NÃO CONFIRMADO",IF(ISNUMBER(F210),F210,IF(ISNUMBER(E210),E210,"")),IF(OR(T210="CDF NÃO LOCALIZADO",T210="VÍNCULO INCOMPLETO",T210="CDF A CONFERIR"),IF(AP210&gt;0,AP210,IF(ISNUMBER(E210),E210,"")),IF(ISNUMBER(E210),E210,""))))</f>
        <v/>
      </c>
      <c r="AR210" s="96">
        <f>IF(NOT(ISNUMBER(U210)),0,IF(T210="RECEBIMENTO NÃO CONFIRMADO",IF(AND(ISNUMBER(cfg_rec),U210&gt;cfg_rec),1,0),IF(OR(T210="CDF NÃO LOCALIZADO",T210="VÍNCULO INCOMPLETO",T210="CDF A CONFERIR"),IF(AND(ISNUMBER(cfg_cdf),U210&gt;cfg_cdf),1,0),0)))</f>
        <v>0</v>
      </c>
      <c r="AS210" s="96" t="str">
        <f>IF(T210="","",IF(AR210=1,"Alta",IFERROR(INDEX(cfg_pp,MATCH(T210,cfg_pt,0))&amp;"","Média")))</f>
        <v/>
      </c>
      <c r="AT210" s="96" t="str">
        <f>IF(T210="","",IFERROR(INDEX(cfg_pv,MATCH(T210,cfg_pt,0))&amp;"",""))</f>
        <v/>
      </c>
      <c r="AU210" s="96" t="str">
        <f>IF(T210="","",IF(AS210="Alta",1,IF(AS210="Média",2,3))*1000000000+(999999-IF(ISNUMBER(U210),MIN(U210,999999),0))*1000+205)</f>
        <v/>
      </c>
      <c r="AV210" s="96">
        <f>IF(T210&lt;&gt;"",1,0)</f>
        <v>0</v>
      </c>
      <c r="AW210" s="96" t="str">
        <f>IF(Z210=0,"",IF(AA210=1,"Cancelamento informado; ","")&amp;IF(AE210=1,"Campos essenciais ou itens faltando; ","")&amp;IF(AC210=1,"Possível duplicidade do número; ","")&amp;IF(AD210=1,"Cadastro ou datas a revisar; ","")&amp;IF(AF210&gt;0,"Item de resíduo com dado a revisar; ","")&amp;IF(AH210&gt;0,"Diferença de quantidade a analisar; ","")&amp;IF(AK210&gt;0,"Recebimento com alerta; ","")&amp;IF(AL210&gt;0,"Vínculo de CDF com alerta; ","")&amp;IF(AND(AA210=0,AN210=0),"Recebimento não confirmado; ","")&amp;IF(AND(AA210=0,AN210=1,AO210=0),"CDF pendente ou a conferir; ",""))</f>
        <v/>
      </c>
      <c r="AX210" s="96">
        <f>IF(Z210=0,0,IF(AND(OR(f_ini="",AND(ISNUMBER(E210),E210&gt;=f_ini)),OR(f_fim="",AND(ISNUMBER(E210),E210&lt;=f_fim)),OR(f_un="",f_un="(Todas)",G210=f_un),OR(f_tr="",f_tr="(Todos)",H210=f_tr),OR(f_de="",f_de="(Todos)",I210=f_de),OR(f_sit="",f_sit="(Todas)",S210=f_sit)),1,0))</f>
        <v>0</v>
      </c>
      <c r="AY210" s="96">
        <f>IF(AX210=0,0,IF(OR(f_res="",f_res="(Todos)"),1,IF(COUNTIFS('ITENS_MTR'!$S$6:$S$1005,A210,'ITENS_MTR'!$C$6:$C$1005,f_res)&gt;0,1,0)))</f>
        <v>0</v>
      </c>
      <c r="AZ210" s="97" t="str">
        <f>IF(ISNUMBER(E210),DATE(YEAR(E210),MONTH(E210),1),"")</f>
        <v/>
      </c>
      <c r="BA210" s="96">
        <f>IF(Z210=0,0,IF(AND(OR(r_ini="",AND(ISNUMBER(E210),E210&gt;=r_ini)),OR(r_fim="",AND(ISNUMBER(E210),E210&lt;=r_fim)),OR(r_un="",r_un="(Todas)",G210=r_un),OR(r_de="",r_de="(Todos)",I210=r_de)),1,0))</f>
        <v>0</v>
      </c>
      <c r="BB210" s="96" t="str">
        <f>IF(BA210=1,COUNTIF($BA$6:BA210,1),"")</f>
        <v/>
      </c>
      <c r="BC210" s="96" t="str">
        <f>IF(AND(AU210&lt;&gt;"",OR(r_un="",r_un="(Todas)",G210=r_un),OR(r_de="",r_de="(Todos)",I210=r_de)),AU210,"")</f>
        <v/>
      </c>
      <c r="BD210" s="96" t="str">
        <f>IF(Z210=1,A210&amp;" | nº "&amp;IF(B210="","(sem número)",B210)&amp;" | "&amp;IF(G210="","(sem unidade)",G210),"")</f>
        <v/>
      </c>
      <c r="BE210" s="96" t="str">
        <f>IF(Z210=1,COUNTIF($Z$6:Z210,1),"")</f>
        <v/>
      </c>
      <c r="BF210" s="96" t="str">
        <f>IF(T210="","",IF(T210="RECEBIMENTO NÃO CONFIRMADO","Transp.: "&amp;H210&amp;" | Dest.: "&amp;I210,IF(OR(T210="CDF NÃO LOCALIZADO",T210="VÍNCULO INCOMPLETO",T210="CDF A CONFERIR"),"Dest.: "&amp;I210,"Gerador: "&amp;G210)))</f>
        <v/>
      </c>
    </row>
    <row r="211">
      <c r="A211" s="89" t="inlineStr">
        <is>
          <t>MTR-000206</t>
        </is>
      </c>
      <c r="B211" s="90" t="n"/>
      <c r="C211" s="91" t="n"/>
      <c r="D211" s="91" t="n"/>
      <c r="E211" s="92" t="n"/>
      <c r="F211" s="92" t="n"/>
      <c r="G211" s="91" t="n"/>
      <c r="H211" s="91" t="n"/>
      <c r="I211" s="91" t="n"/>
      <c r="J211" s="91" t="n"/>
      <c r="K211" s="91" t="n"/>
      <c r="L211" s="92" t="n"/>
      <c r="M211" s="91" t="n"/>
      <c r="N211" s="91" t="n"/>
      <c r="O211" s="91" t="n"/>
      <c r="P211" s="93" t="str">
        <f>IF(Z211=0,"",SUMIFS('ITENS_MTR'!$I$6:$I$1005,'ITENS_MTR'!$S$6:$S$1005,A211,'ITENS_MTR'!$Y$6:$Y$1005,1))</f>
        <v/>
      </c>
      <c r="Q211" s="93" t="str">
        <f>IF(Z211=0,"",SUMIFS('RECEBIMENTOS'!$H$6:$H$1005,'RECEBIMENTOS'!$B$6:$B$1005,A211,'RECEBIMENTOS'!$X$6:$X$1005,1))</f>
        <v/>
      </c>
      <c r="R211" s="93" t="str">
        <f>IF(Z211=0,"",SUMIFS('VÍNCULOS_CDF'!$H$6:$H$1005,'VÍNCULOS_CDF'!$D$6:$D$1005,A211,'VÍNCULOS_CDF'!$V$6:$V$1005,1))</f>
        <v/>
      </c>
      <c r="S211" s="94" t="str">
        <f>IF(Z211=0,"",IF(AA211=1,"Cancelado (informado)",IF(AE211=1,"Cadastro incompleto",IF(OR(AC211=1,AD211=1,AF211&gt;0,AH211&gt;0,AK211&gt;0,AL211&gt;0),"Informação a revisar",IF(AN211=0,"Aguardando recebimento",IF(N(R211)=0,"Aguardando CDF",IF(AJ211&lt;N(W211),"Vínculo de CDF parcial",IF(AO211=0,"CDF localizado, a conferir","Documentação conferida"))))))))</f>
        <v/>
      </c>
      <c r="T211" s="94" t="str">
        <f>IF(Z211=0,"",IF(S211="Cadastro incompleto","MTR INCOMPLETO",IF(S211="Informação a revisar",IF(AND(AH211&gt;0,AC211=0,AD211=0,AF211=0,AK211=0,AL211=0),"QUANTIDADE A REVISAR","IDENTIFICAÇÃO A REVISAR"),IF(S211="Aguardando recebimento","RECEBIMENTO NÃO CONFIRMADO",IF(S211="Aguardando CDF","CDF NÃO LOCALIZADO",IF(S211="Vínculo de CDF parcial","VÍNCULO INCOMPLETO",IF(S211="CDF localizado, a conferir","CDF A CONFERIR","")))))))</f>
        <v/>
      </c>
      <c r="U211" s="95" t="str">
        <f>IF(T211="","",IF(AQ211="","Não calculável",IF(AQ211&gt;TODAY(),"Data futura",TODAY()-AQ211)))</f>
        <v/>
      </c>
      <c r="V211" s="93" t="str">
        <f>IF(Z211=0,"",SUMIFS('RECEBIMENTOS'!$H$6:$H$1005,'RECEBIMENTOS'!$B$6:$B$1005,A211,'RECEBIMENTOS'!$Z$6:$Z$1005,1))</f>
        <v/>
      </c>
      <c r="W211" s="95" t="str">
        <f>IF(Z211=0,"",COUNTIFS('ITENS_MTR'!$S$6:$S$1005,A211,'ITENS_MTR'!$R$6:$R$1005,1))</f>
        <v/>
      </c>
      <c r="X211" s="94" t="str">
        <f>IF(AC211=1,"POSSÍVEL DUPLICIDADE","")</f>
        <v/>
      </c>
      <c r="Y211" s="94" t="str">
        <f>IF(Z211=0,"",IF(AW211="","Nenhuma",LEFT(AW211,LEN(AW211)-2)))</f>
        <v/>
      </c>
      <c r="Z211" s="96">
        <f>IF(COUNTA(B211:O211)&gt;0,1,0)</f>
        <v>0</v>
      </c>
      <c r="AA211" s="96">
        <f>IF(AND(Z211=1,K211&lt;&gt;""),IF(TRIM(K211)=TRIM(cfg_cancel),1,0),0)</f>
        <v>0</v>
      </c>
      <c r="AB211" s="96" t="str">
        <f>IF(AND(Z211=1,B211&lt;&gt;""),C211&amp;"|"&amp;D211&amp;"|"&amp;G211&amp;"|"&amp;TRIM(B211),"")</f>
        <v/>
      </c>
      <c r="AC211" s="96">
        <f>IF(AB211="",0,IF(SUMPRODUCT(--($AB$6:$AB$505=AB211))&gt;1,1,0))</f>
        <v>0</v>
      </c>
      <c r="AD211" s="96">
        <f>IF(Z211=0,0,IF(OR(AND(G211&lt;&gt;"",ISNA(MATCH(G211,'CAD_UNIDADES'!$C$6:$C$105,0))),AND(H211&lt;&gt;"",ISNA(MATCH(H211,cmp_transp,0))),AND(I211&lt;&gt;"",ISNA(MATCH(I211,cmp_dest,0))),AND(E211&lt;&gt;"",NOT(ISNUMBER(E211))),AND(F211&lt;&gt;"",NOT(ISNUMBER(F211))),AND(ISNUMBER(E211),ISNUMBER(F211),F211&lt;E211)),1,0))</f>
        <v>0</v>
      </c>
      <c r="AE211" s="96">
        <f>IF(Z211=0,0,IF(OR(B211="",C211="",E211="",G211="",H211="",I211="",N(W211)=0),1,0))</f>
        <v>0</v>
      </c>
      <c r="AF211" s="96">
        <f>IF(Z211=0,0,COUNTIFS('ITENS_MTR'!$S$6:$S$1005,A211,'ITENS_MTR'!$AI$6:$AI$1005,1))</f>
        <v>0</v>
      </c>
      <c r="AG211" s="96">
        <f>IF(Z211=0,0,COUNTIFS('ITENS_MTR'!$S$6:$S$1005,A211,'ITENS_MTR'!$AJ$6:$AJ$1005,1))</f>
        <v>0</v>
      </c>
      <c r="AH211" s="96">
        <f>IF(Z211=0,0,COUNTIFS('ITENS_MTR'!$S$6:$S$1005,A211,'ITENS_MTR'!$AM$6:$AM$1005,1))</f>
        <v>0</v>
      </c>
      <c r="AI211" s="96">
        <f>IF(Z211=0,0,COUNTIFS('ITENS_MTR'!$S$6:$S$1005,A211,'ITENS_MTR'!$AO$6:$AO$1005,1))</f>
        <v>0</v>
      </c>
      <c r="AJ211" s="96">
        <f>IF(Z211=0,0,COUNTIFS('ITENS_MTR'!$S$6:$S$1005,A211,'ITENS_MTR'!$AN$6:$AN$1005,1))</f>
        <v>0</v>
      </c>
      <c r="AK211" s="96">
        <f>IF(Z211=0,0,COUNTIFS('RECEBIMENTOS'!$B$6:$B$1005,A211,'RECEBIMENTOS'!$Y$6:$Y$1005,1))</f>
        <v>0</v>
      </c>
      <c r="AL211" s="96">
        <f>IF(Z211=0,0,COUNTIFS('VÍNCULOS_CDF'!$D$6:$D$1005,A211,'VÍNCULOS_CDF'!$Y$6:$Y$1005,1))</f>
        <v>0</v>
      </c>
      <c r="AM211" s="96">
        <f>IF(Z211=0,0,COUNTIFS('RECEBIMENTOS'!$B$6:$B$1005,A211,'RECEBIMENTOS'!$Q$6:$Q$1005,1))</f>
        <v>0</v>
      </c>
      <c r="AN211" s="96">
        <f>IF(AND(Z211=1,N(W211)&gt;0,AG211=N(W211)),1,0)</f>
        <v>0</v>
      </c>
      <c r="AO211" s="96">
        <f>IF(AND(Z211=1,N(W211)&gt;0,AI211=N(W211)),1,0)</f>
        <v>0</v>
      </c>
      <c r="AP211" s="97">
        <f>IF(Z211=0,0,_xlfn.MAXIFS('RECEBIMENTOS'!$E$6:$E$1005,'RECEBIMENTOS'!$B$6:$B$1005,A211))</f>
        <v>0</v>
      </c>
      <c r="AQ211" s="97" t="str">
        <f>IF(T211="","",IF(T211="RECEBIMENTO NÃO CONFIRMADO",IF(ISNUMBER(F211),F211,IF(ISNUMBER(E211),E211,"")),IF(OR(T211="CDF NÃO LOCALIZADO",T211="VÍNCULO INCOMPLETO",T211="CDF A CONFERIR"),IF(AP211&gt;0,AP211,IF(ISNUMBER(E211),E211,"")),IF(ISNUMBER(E211),E211,""))))</f>
        <v/>
      </c>
      <c r="AR211" s="96">
        <f>IF(NOT(ISNUMBER(U211)),0,IF(T211="RECEBIMENTO NÃO CONFIRMADO",IF(AND(ISNUMBER(cfg_rec),U211&gt;cfg_rec),1,0),IF(OR(T211="CDF NÃO LOCALIZADO",T211="VÍNCULO INCOMPLETO",T211="CDF A CONFERIR"),IF(AND(ISNUMBER(cfg_cdf),U211&gt;cfg_cdf),1,0),0)))</f>
        <v>0</v>
      </c>
      <c r="AS211" s="96" t="str">
        <f>IF(T211="","",IF(AR211=1,"Alta",IFERROR(INDEX(cfg_pp,MATCH(T211,cfg_pt,0))&amp;"","Média")))</f>
        <v/>
      </c>
      <c r="AT211" s="96" t="str">
        <f>IF(T211="","",IFERROR(INDEX(cfg_pv,MATCH(T211,cfg_pt,0))&amp;"",""))</f>
        <v/>
      </c>
      <c r="AU211" s="96" t="str">
        <f>IF(T211="","",IF(AS211="Alta",1,IF(AS211="Média",2,3))*1000000000+(999999-IF(ISNUMBER(U211),MIN(U211,999999),0))*1000+206)</f>
        <v/>
      </c>
      <c r="AV211" s="96">
        <f>IF(T211&lt;&gt;"",1,0)</f>
        <v>0</v>
      </c>
      <c r="AW211" s="96" t="str">
        <f>IF(Z211=0,"",IF(AA211=1,"Cancelamento informado; ","")&amp;IF(AE211=1,"Campos essenciais ou itens faltando; ","")&amp;IF(AC211=1,"Possível duplicidade do número; ","")&amp;IF(AD211=1,"Cadastro ou datas a revisar; ","")&amp;IF(AF211&gt;0,"Item de resíduo com dado a revisar; ","")&amp;IF(AH211&gt;0,"Diferença de quantidade a analisar; ","")&amp;IF(AK211&gt;0,"Recebimento com alerta; ","")&amp;IF(AL211&gt;0,"Vínculo de CDF com alerta; ","")&amp;IF(AND(AA211=0,AN211=0),"Recebimento não confirmado; ","")&amp;IF(AND(AA211=0,AN211=1,AO211=0),"CDF pendente ou a conferir; ",""))</f>
        <v/>
      </c>
      <c r="AX211" s="96">
        <f>IF(Z211=0,0,IF(AND(OR(f_ini="",AND(ISNUMBER(E211),E211&gt;=f_ini)),OR(f_fim="",AND(ISNUMBER(E211),E211&lt;=f_fim)),OR(f_un="",f_un="(Todas)",G211=f_un),OR(f_tr="",f_tr="(Todos)",H211=f_tr),OR(f_de="",f_de="(Todos)",I211=f_de),OR(f_sit="",f_sit="(Todas)",S211=f_sit)),1,0))</f>
        <v>0</v>
      </c>
      <c r="AY211" s="96">
        <f>IF(AX211=0,0,IF(OR(f_res="",f_res="(Todos)"),1,IF(COUNTIFS('ITENS_MTR'!$S$6:$S$1005,A211,'ITENS_MTR'!$C$6:$C$1005,f_res)&gt;0,1,0)))</f>
        <v>0</v>
      </c>
      <c r="AZ211" s="97" t="str">
        <f>IF(ISNUMBER(E211),DATE(YEAR(E211),MONTH(E211),1),"")</f>
        <v/>
      </c>
      <c r="BA211" s="96">
        <f>IF(Z211=0,0,IF(AND(OR(r_ini="",AND(ISNUMBER(E211),E211&gt;=r_ini)),OR(r_fim="",AND(ISNUMBER(E211),E211&lt;=r_fim)),OR(r_un="",r_un="(Todas)",G211=r_un),OR(r_de="",r_de="(Todos)",I211=r_de)),1,0))</f>
        <v>0</v>
      </c>
      <c r="BB211" s="96" t="str">
        <f>IF(BA211=1,COUNTIF($BA$6:BA211,1),"")</f>
        <v/>
      </c>
      <c r="BC211" s="96" t="str">
        <f>IF(AND(AU211&lt;&gt;"",OR(r_un="",r_un="(Todas)",G211=r_un),OR(r_de="",r_de="(Todos)",I211=r_de)),AU211,"")</f>
        <v/>
      </c>
      <c r="BD211" s="96" t="str">
        <f>IF(Z211=1,A211&amp;" | nº "&amp;IF(B211="","(sem número)",B211)&amp;" | "&amp;IF(G211="","(sem unidade)",G211),"")</f>
        <v/>
      </c>
      <c r="BE211" s="96" t="str">
        <f>IF(Z211=1,COUNTIF($Z$6:Z211,1),"")</f>
        <v/>
      </c>
      <c r="BF211" s="96" t="str">
        <f>IF(T211="","",IF(T211="RECEBIMENTO NÃO CONFIRMADO","Transp.: "&amp;H211&amp;" | Dest.: "&amp;I211,IF(OR(T211="CDF NÃO LOCALIZADO",T211="VÍNCULO INCOMPLETO",T211="CDF A CONFERIR"),"Dest.: "&amp;I211,"Gerador: "&amp;G211)))</f>
        <v/>
      </c>
    </row>
    <row r="212">
      <c r="A212" s="89" t="inlineStr">
        <is>
          <t>MTR-000207</t>
        </is>
      </c>
      <c r="B212" s="90" t="n"/>
      <c r="C212" s="91" t="n"/>
      <c r="D212" s="91" t="n"/>
      <c r="E212" s="92" t="n"/>
      <c r="F212" s="92" t="n"/>
      <c r="G212" s="91" t="n"/>
      <c r="H212" s="91" t="n"/>
      <c r="I212" s="91" t="n"/>
      <c r="J212" s="91" t="n"/>
      <c r="K212" s="91" t="n"/>
      <c r="L212" s="92" t="n"/>
      <c r="M212" s="91" t="n"/>
      <c r="N212" s="91" t="n"/>
      <c r="O212" s="91" t="n"/>
      <c r="P212" s="93" t="str">
        <f>IF(Z212=0,"",SUMIFS('ITENS_MTR'!$I$6:$I$1005,'ITENS_MTR'!$S$6:$S$1005,A212,'ITENS_MTR'!$Y$6:$Y$1005,1))</f>
        <v/>
      </c>
      <c r="Q212" s="93" t="str">
        <f>IF(Z212=0,"",SUMIFS('RECEBIMENTOS'!$H$6:$H$1005,'RECEBIMENTOS'!$B$6:$B$1005,A212,'RECEBIMENTOS'!$X$6:$X$1005,1))</f>
        <v/>
      </c>
      <c r="R212" s="93" t="str">
        <f>IF(Z212=0,"",SUMIFS('VÍNCULOS_CDF'!$H$6:$H$1005,'VÍNCULOS_CDF'!$D$6:$D$1005,A212,'VÍNCULOS_CDF'!$V$6:$V$1005,1))</f>
        <v/>
      </c>
      <c r="S212" s="94" t="str">
        <f>IF(Z212=0,"",IF(AA212=1,"Cancelado (informado)",IF(AE212=1,"Cadastro incompleto",IF(OR(AC212=1,AD212=1,AF212&gt;0,AH212&gt;0,AK212&gt;0,AL212&gt;0),"Informação a revisar",IF(AN212=0,"Aguardando recebimento",IF(N(R212)=0,"Aguardando CDF",IF(AJ212&lt;N(W212),"Vínculo de CDF parcial",IF(AO212=0,"CDF localizado, a conferir","Documentação conferida"))))))))</f>
        <v/>
      </c>
      <c r="T212" s="94" t="str">
        <f>IF(Z212=0,"",IF(S212="Cadastro incompleto","MTR INCOMPLETO",IF(S212="Informação a revisar",IF(AND(AH212&gt;0,AC212=0,AD212=0,AF212=0,AK212=0,AL212=0),"QUANTIDADE A REVISAR","IDENTIFICAÇÃO A REVISAR"),IF(S212="Aguardando recebimento","RECEBIMENTO NÃO CONFIRMADO",IF(S212="Aguardando CDF","CDF NÃO LOCALIZADO",IF(S212="Vínculo de CDF parcial","VÍNCULO INCOMPLETO",IF(S212="CDF localizado, a conferir","CDF A CONFERIR","")))))))</f>
        <v/>
      </c>
      <c r="U212" s="95" t="str">
        <f>IF(T212="","",IF(AQ212="","Não calculável",IF(AQ212&gt;TODAY(),"Data futura",TODAY()-AQ212)))</f>
        <v/>
      </c>
      <c r="V212" s="93" t="str">
        <f>IF(Z212=0,"",SUMIFS('RECEBIMENTOS'!$H$6:$H$1005,'RECEBIMENTOS'!$B$6:$B$1005,A212,'RECEBIMENTOS'!$Z$6:$Z$1005,1))</f>
        <v/>
      </c>
      <c r="W212" s="95" t="str">
        <f>IF(Z212=0,"",COUNTIFS('ITENS_MTR'!$S$6:$S$1005,A212,'ITENS_MTR'!$R$6:$R$1005,1))</f>
        <v/>
      </c>
      <c r="X212" s="94" t="str">
        <f>IF(AC212=1,"POSSÍVEL DUPLICIDADE","")</f>
        <v/>
      </c>
      <c r="Y212" s="94" t="str">
        <f>IF(Z212=0,"",IF(AW212="","Nenhuma",LEFT(AW212,LEN(AW212)-2)))</f>
        <v/>
      </c>
      <c r="Z212" s="96">
        <f>IF(COUNTA(B212:O212)&gt;0,1,0)</f>
        <v>0</v>
      </c>
      <c r="AA212" s="96">
        <f>IF(AND(Z212=1,K212&lt;&gt;""),IF(TRIM(K212)=TRIM(cfg_cancel),1,0),0)</f>
        <v>0</v>
      </c>
      <c r="AB212" s="96" t="str">
        <f>IF(AND(Z212=1,B212&lt;&gt;""),C212&amp;"|"&amp;D212&amp;"|"&amp;G212&amp;"|"&amp;TRIM(B212),"")</f>
        <v/>
      </c>
      <c r="AC212" s="96">
        <f>IF(AB212="",0,IF(SUMPRODUCT(--($AB$6:$AB$505=AB212))&gt;1,1,0))</f>
        <v>0</v>
      </c>
      <c r="AD212" s="96">
        <f>IF(Z212=0,0,IF(OR(AND(G212&lt;&gt;"",ISNA(MATCH(G212,'CAD_UNIDADES'!$C$6:$C$105,0))),AND(H212&lt;&gt;"",ISNA(MATCH(H212,cmp_transp,0))),AND(I212&lt;&gt;"",ISNA(MATCH(I212,cmp_dest,0))),AND(E212&lt;&gt;"",NOT(ISNUMBER(E212))),AND(F212&lt;&gt;"",NOT(ISNUMBER(F212))),AND(ISNUMBER(E212),ISNUMBER(F212),F212&lt;E212)),1,0))</f>
        <v>0</v>
      </c>
      <c r="AE212" s="96">
        <f>IF(Z212=0,0,IF(OR(B212="",C212="",E212="",G212="",H212="",I212="",N(W212)=0),1,0))</f>
        <v>0</v>
      </c>
      <c r="AF212" s="96">
        <f>IF(Z212=0,0,COUNTIFS('ITENS_MTR'!$S$6:$S$1005,A212,'ITENS_MTR'!$AI$6:$AI$1005,1))</f>
        <v>0</v>
      </c>
      <c r="AG212" s="96">
        <f>IF(Z212=0,0,COUNTIFS('ITENS_MTR'!$S$6:$S$1005,A212,'ITENS_MTR'!$AJ$6:$AJ$1005,1))</f>
        <v>0</v>
      </c>
      <c r="AH212" s="96">
        <f>IF(Z212=0,0,COUNTIFS('ITENS_MTR'!$S$6:$S$1005,A212,'ITENS_MTR'!$AM$6:$AM$1005,1))</f>
        <v>0</v>
      </c>
      <c r="AI212" s="96">
        <f>IF(Z212=0,0,COUNTIFS('ITENS_MTR'!$S$6:$S$1005,A212,'ITENS_MTR'!$AO$6:$AO$1005,1))</f>
        <v>0</v>
      </c>
      <c r="AJ212" s="96">
        <f>IF(Z212=0,0,COUNTIFS('ITENS_MTR'!$S$6:$S$1005,A212,'ITENS_MTR'!$AN$6:$AN$1005,1))</f>
        <v>0</v>
      </c>
      <c r="AK212" s="96">
        <f>IF(Z212=0,0,COUNTIFS('RECEBIMENTOS'!$B$6:$B$1005,A212,'RECEBIMENTOS'!$Y$6:$Y$1005,1))</f>
        <v>0</v>
      </c>
      <c r="AL212" s="96">
        <f>IF(Z212=0,0,COUNTIFS('VÍNCULOS_CDF'!$D$6:$D$1005,A212,'VÍNCULOS_CDF'!$Y$6:$Y$1005,1))</f>
        <v>0</v>
      </c>
      <c r="AM212" s="96">
        <f>IF(Z212=0,0,COUNTIFS('RECEBIMENTOS'!$B$6:$B$1005,A212,'RECEBIMENTOS'!$Q$6:$Q$1005,1))</f>
        <v>0</v>
      </c>
      <c r="AN212" s="96">
        <f>IF(AND(Z212=1,N(W212)&gt;0,AG212=N(W212)),1,0)</f>
        <v>0</v>
      </c>
      <c r="AO212" s="96">
        <f>IF(AND(Z212=1,N(W212)&gt;0,AI212=N(W212)),1,0)</f>
        <v>0</v>
      </c>
      <c r="AP212" s="97">
        <f>IF(Z212=0,0,_xlfn.MAXIFS('RECEBIMENTOS'!$E$6:$E$1005,'RECEBIMENTOS'!$B$6:$B$1005,A212))</f>
        <v>0</v>
      </c>
      <c r="AQ212" s="97" t="str">
        <f>IF(T212="","",IF(T212="RECEBIMENTO NÃO CONFIRMADO",IF(ISNUMBER(F212),F212,IF(ISNUMBER(E212),E212,"")),IF(OR(T212="CDF NÃO LOCALIZADO",T212="VÍNCULO INCOMPLETO",T212="CDF A CONFERIR"),IF(AP212&gt;0,AP212,IF(ISNUMBER(E212),E212,"")),IF(ISNUMBER(E212),E212,""))))</f>
        <v/>
      </c>
      <c r="AR212" s="96">
        <f>IF(NOT(ISNUMBER(U212)),0,IF(T212="RECEBIMENTO NÃO CONFIRMADO",IF(AND(ISNUMBER(cfg_rec),U212&gt;cfg_rec),1,0),IF(OR(T212="CDF NÃO LOCALIZADO",T212="VÍNCULO INCOMPLETO",T212="CDF A CONFERIR"),IF(AND(ISNUMBER(cfg_cdf),U212&gt;cfg_cdf),1,0),0)))</f>
        <v>0</v>
      </c>
      <c r="AS212" s="96" t="str">
        <f>IF(T212="","",IF(AR212=1,"Alta",IFERROR(INDEX(cfg_pp,MATCH(T212,cfg_pt,0))&amp;"","Média")))</f>
        <v/>
      </c>
      <c r="AT212" s="96" t="str">
        <f>IF(T212="","",IFERROR(INDEX(cfg_pv,MATCH(T212,cfg_pt,0))&amp;"",""))</f>
        <v/>
      </c>
      <c r="AU212" s="96" t="str">
        <f>IF(T212="","",IF(AS212="Alta",1,IF(AS212="Média",2,3))*1000000000+(999999-IF(ISNUMBER(U212),MIN(U212,999999),0))*1000+207)</f>
        <v/>
      </c>
      <c r="AV212" s="96">
        <f>IF(T212&lt;&gt;"",1,0)</f>
        <v>0</v>
      </c>
      <c r="AW212" s="96" t="str">
        <f>IF(Z212=0,"",IF(AA212=1,"Cancelamento informado; ","")&amp;IF(AE212=1,"Campos essenciais ou itens faltando; ","")&amp;IF(AC212=1,"Possível duplicidade do número; ","")&amp;IF(AD212=1,"Cadastro ou datas a revisar; ","")&amp;IF(AF212&gt;0,"Item de resíduo com dado a revisar; ","")&amp;IF(AH212&gt;0,"Diferença de quantidade a analisar; ","")&amp;IF(AK212&gt;0,"Recebimento com alerta; ","")&amp;IF(AL212&gt;0,"Vínculo de CDF com alerta; ","")&amp;IF(AND(AA212=0,AN212=0),"Recebimento não confirmado; ","")&amp;IF(AND(AA212=0,AN212=1,AO212=0),"CDF pendente ou a conferir; ",""))</f>
        <v/>
      </c>
      <c r="AX212" s="96">
        <f>IF(Z212=0,0,IF(AND(OR(f_ini="",AND(ISNUMBER(E212),E212&gt;=f_ini)),OR(f_fim="",AND(ISNUMBER(E212),E212&lt;=f_fim)),OR(f_un="",f_un="(Todas)",G212=f_un),OR(f_tr="",f_tr="(Todos)",H212=f_tr),OR(f_de="",f_de="(Todos)",I212=f_de),OR(f_sit="",f_sit="(Todas)",S212=f_sit)),1,0))</f>
        <v>0</v>
      </c>
      <c r="AY212" s="96">
        <f>IF(AX212=0,0,IF(OR(f_res="",f_res="(Todos)"),1,IF(COUNTIFS('ITENS_MTR'!$S$6:$S$1005,A212,'ITENS_MTR'!$C$6:$C$1005,f_res)&gt;0,1,0)))</f>
        <v>0</v>
      </c>
      <c r="AZ212" s="97" t="str">
        <f>IF(ISNUMBER(E212),DATE(YEAR(E212),MONTH(E212),1),"")</f>
        <v/>
      </c>
      <c r="BA212" s="96">
        <f>IF(Z212=0,0,IF(AND(OR(r_ini="",AND(ISNUMBER(E212),E212&gt;=r_ini)),OR(r_fim="",AND(ISNUMBER(E212),E212&lt;=r_fim)),OR(r_un="",r_un="(Todas)",G212=r_un),OR(r_de="",r_de="(Todos)",I212=r_de)),1,0))</f>
        <v>0</v>
      </c>
      <c r="BB212" s="96" t="str">
        <f>IF(BA212=1,COUNTIF($BA$6:BA212,1),"")</f>
        <v/>
      </c>
      <c r="BC212" s="96" t="str">
        <f>IF(AND(AU212&lt;&gt;"",OR(r_un="",r_un="(Todas)",G212=r_un),OR(r_de="",r_de="(Todos)",I212=r_de)),AU212,"")</f>
        <v/>
      </c>
      <c r="BD212" s="96" t="str">
        <f>IF(Z212=1,A212&amp;" | nº "&amp;IF(B212="","(sem número)",B212)&amp;" | "&amp;IF(G212="","(sem unidade)",G212),"")</f>
        <v/>
      </c>
      <c r="BE212" s="96" t="str">
        <f>IF(Z212=1,COUNTIF($Z$6:Z212,1),"")</f>
        <v/>
      </c>
      <c r="BF212" s="96" t="str">
        <f>IF(T212="","",IF(T212="RECEBIMENTO NÃO CONFIRMADO","Transp.: "&amp;H212&amp;" | Dest.: "&amp;I212,IF(OR(T212="CDF NÃO LOCALIZADO",T212="VÍNCULO INCOMPLETO",T212="CDF A CONFERIR"),"Dest.: "&amp;I212,"Gerador: "&amp;G212)))</f>
        <v/>
      </c>
    </row>
    <row r="213">
      <c r="A213" s="89" t="inlineStr">
        <is>
          <t>MTR-000208</t>
        </is>
      </c>
      <c r="B213" s="90" t="n"/>
      <c r="C213" s="91" t="n"/>
      <c r="D213" s="91" t="n"/>
      <c r="E213" s="92" t="n"/>
      <c r="F213" s="92" t="n"/>
      <c r="G213" s="91" t="n"/>
      <c r="H213" s="91" t="n"/>
      <c r="I213" s="91" t="n"/>
      <c r="J213" s="91" t="n"/>
      <c r="K213" s="91" t="n"/>
      <c r="L213" s="92" t="n"/>
      <c r="M213" s="91" t="n"/>
      <c r="N213" s="91" t="n"/>
      <c r="O213" s="91" t="n"/>
      <c r="P213" s="93" t="str">
        <f>IF(Z213=0,"",SUMIFS('ITENS_MTR'!$I$6:$I$1005,'ITENS_MTR'!$S$6:$S$1005,A213,'ITENS_MTR'!$Y$6:$Y$1005,1))</f>
        <v/>
      </c>
      <c r="Q213" s="93" t="str">
        <f>IF(Z213=0,"",SUMIFS('RECEBIMENTOS'!$H$6:$H$1005,'RECEBIMENTOS'!$B$6:$B$1005,A213,'RECEBIMENTOS'!$X$6:$X$1005,1))</f>
        <v/>
      </c>
      <c r="R213" s="93" t="str">
        <f>IF(Z213=0,"",SUMIFS('VÍNCULOS_CDF'!$H$6:$H$1005,'VÍNCULOS_CDF'!$D$6:$D$1005,A213,'VÍNCULOS_CDF'!$V$6:$V$1005,1))</f>
        <v/>
      </c>
      <c r="S213" s="94" t="str">
        <f>IF(Z213=0,"",IF(AA213=1,"Cancelado (informado)",IF(AE213=1,"Cadastro incompleto",IF(OR(AC213=1,AD213=1,AF213&gt;0,AH213&gt;0,AK213&gt;0,AL213&gt;0),"Informação a revisar",IF(AN213=0,"Aguardando recebimento",IF(N(R213)=0,"Aguardando CDF",IF(AJ213&lt;N(W213),"Vínculo de CDF parcial",IF(AO213=0,"CDF localizado, a conferir","Documentação conferida"))))))))</f>
        <v/>
      </c>
      <c r="T213" s="94" t="str">
        <f>IF(Z213=0,"",IF(S213="Cadastro incompleto","MTR INCOMPLETO",IF(S213="Informação a revisar",IF(AND(AH213&gt;0,AC213=0,AD213=0,AF213=0,AK213=0,AL213=0),"QUANTIDADE A REVISAR","IDENTIFICAÇÃO A REVISAR"),IF(S213="Aguardando recebimento","RECEBIMENTO NÃO CONFIRMADO",IF(S213="Aguardando CDF","CDF NÃO LOCALIZADO",IF(S213="Vínculo de CDF parcial","VÍNCULO INCOMPLETO",IF(S213="CDF localizado, a conferir","CDF A CONFERIR","")))))))</f>
        <v/>
      </c>
      <c r="U213" s="95" t="str">
        <f>IF(T213="","",IF(AQ213="","Não calculável",IF(AQ213&gt;TODAY(),"Data futura",TODAY()-AQ213)))</f>
        <v/>
      </c>
      <c r="V213" s="93" t="str">
        <f>IF(Z213=0,"",SUMIFS('RECEBIMENTOS'!$H$6:$H$1005,'RECEBIMENTOS'!$B$6:$B$1005,A213,'RECEBIMENTOS'!$Z$6:$Z$1005,1))</f>
        <v/>
      </c>
      <c r="W213" s="95" t="str">
        <f>IF(Z213=0,"",COUNTIFS('ITENS_MTR'!$S$6:$S$1005,A213,'ITENS_MTR'!$R$6:$R$1005,1))</f>
        <v/>
      </c>
      <c r="X213" s="94" t="str">
        <f>IF(AC213=1,"POSSÍVEL DUPLICIDADE","")</f>
        <v/>
      </c>
      <c r="Y213" s="94" t="str">
        <f>IF(Z213=0,"",IF(AW213="","Nenhuma",LEFT(AW213,LEN(AW213)-2)))</f>
        <v/>
      </c>
      <c r="Z213" s="96">
        <f>IF(COUNTA(B213:O213)&gt;0,1,0)</f>
        <v>0</v>
      </c>
      <c r="AA213" s="96">
        <f>IF(AND(Z213=1,K213&lt;&gt;""),IF(TRIM(K213)=TRIM(cfg_cancel),1,0),0)</f>
        <v>0</v>
      </c>
      <c r="AB213" s="96" t="str">
        <f>IF(AND(Z213=1,B213&lt;&gt;""),C213&amp;"|"&amp;D213&amp;"|"&amp;G213&amp;"|"&amp;TRIM(B213),"")</f>
        <v/>
      </c>
      <c r="AC213" s="96">
        <f>IF(AB213="",0,IF(SUMPRODUCT(--($AB$6:$AB$505=AB213))&gt;1,1,0))</f>
        <v>0</v>
      </c>
      <c r="AD213" s="96">
        <f>IF(Z213=0,0,IF(OR(AND(G213&lt;&gt;"",ISNA(MATCH(G213,'CAD_UNIDADES'!$C$6:$C$105,0))),AND(H213&lt;&gt;"",ISNA(MATCH(H213,cmp_transp,0))),AND(I213&lt;&gt;"",ISNA(MATCH(I213,cmp_dest,0))),AND(E213&lt;&gt;"",NOT(ISNUMBER(E213))),AND(F213&lt;&gt;"",NOT(ISNUMBER(F213))),AND(ISNUMBER(E213),ISNUMBER(F213),F213&lt;E213)),1,0))</f>
        <v>0</v>
      </c>
      <c r="AE213" s="96">
        <f>IF(Z213=0,0,IF(OR(B213="",C213="",E213="",G213="",H213="",I213="",N(W213)=0),1,0))</f>
        <v>0</v>
      </c>
      <c r="AF213" s="96">
        <f>IF(Z213=0,0,COUNTIFS('ITENS_MTR'!$S$6:$S$1005,A213,'ITENS_MTR'!$AI$6:$AI$1005,1))</f>
        <v>0</v>
      </c>
      <c r="AG213" s="96">
        <f>IF(Z213=0,0,COUNTIFS('ITENS_MTR'!$S$6:$S$1005,A213,'ITENS_MTR'!$AJ$6:$AJ$1005,1))</f>
        <v>0</v>
      </c>
      <c r="AH213" s="96">
        <f>IF(Z213=0,0,COUNTIFS('ITENS_MTR'!$S$6:$S$1005,A213,'ITENS_MTR'!$AM$6:$AM$1005,1))</f>
        <v>0</v>
      </c>
      <c r="AI213" s="96">
        <f>IF(Z213=0,0,COUNTIFS('ITENS_MTR'!$S$6:$S$1005,A213,'ITENS_MTR'!$AO$6:$AO$1005,1))</f>
        <v>0</v>
      </c>
      <c r="AJ213" s="96">
        <f>IF(Z213=0,0,COUNTIFS('ITENS_MTR'!$S$6:$S$1005,A213,'ITENS_MTR'!$AN$6:$AN$1005,1))</f>
        <v>0</v>
      </c>
      <c r="AK213" s="96">
        <f>IF(Z213=0,0,COUNTIFS('RECEBIMENTOS'!$B$6:$B$1005,A213,'RECEBIMENTOS'!$Y$6:$Y$1005,1))</f>
        <v>0</v>
      </c>
      <c r="AL213" s="96">
        <f>IF(Z213=0,0,COUNTIFS('VÍNCULOS_CDF'!$D$6:$D$1005,A213,'VÍNCULOS_CDF'!$Y$6:$Y$1005,1))</f>
        <v>0</v>
      </c>
      <c r="AM213" s="96">
        <f>IF(Z213=0,0,COUNTIFS('RECEBIMENTOS'!$B$6:$B$1005,A213,'RECEBIMENTOS'!$Q$6:$Q$1005,1))</f>
        <v>0</v>
      </c>
      <c r="AN213" s="96">
        <f>IF(AND(Z213=1,N(W213)&gt;0,AG213=N(W213)),1,0)</f>
        <v>0</v>
      </c>
      <c r="AO213" s="96">
        <f>IF(AND(Z213=1,N(W213)&gt;0,AI213=N(W213)),1,0)</f>
        <v>0</v>
      </c>
      <c r="AP213" s="97">
        <f>IF(Z213=0,0,_xlfn.MAXIFS('RECEBIMENTOS'!$E$6:$E$1005,'RECEBIMENTOS'!$B$6:$B$1005,A213))</f>
        <v>0</v>
      </c>
      <c r="AQ213" s="97" t="str">
        <f>IF(T213="","",IF(T213="RECEBIMENTO NÃO CONFIRMADO",IF(ISNUMBER(F213),F213,IF(ISNUMBER(E213),E213,"")),IF(OR(T213="CDF NÃO LOCALIZADO",T213="VÍNCULO INCOMPLETO",T213="CDF A CONFERIR"),IF(AP213&gt;0,AP213,IF(ISNUMBER(E213),E213,"")),IF(ISNUMBER(E213),E213,""))))</f>
        <v/>
      </c>
      <c r="AR213" s="96">
        <f>IF(NOT(ISNUMBER(U213)),0,IF(T213="RECEBIMENTO NÃO CONFIRMADO",IF(AND(ISNUMBER(cfg_rec),U213&gt;cfg_rec),1,0),IF(OR(T213="CDF NÃO LOCALIZADO",T213="VÍNCULO INCOMPLETO",T213="CDF A CONFERIR"),IF(AND(ISNUMBER(cfg_cdf),U213&gt;cfg_cdf),1,0),0)))</f>
        <v>0</v>
      </c>
      <c r="AS213" s="96" t="str">
        <f>IF(T213="","",IF(AR213=1,"Alta",IFERROR(INDEX(cfg_pp,MATCH(T213,cfg_pt,0))&amp;"","Média")))</f>
        <v/>
      </c>
      <c r="AT213" s="96" t="str">
        <f>IF(T213="","",IFERROR(INDEX(cfg_pv,MATCH(T213,cfg_pt,0))&amp;"",""))</f>
        <v/>
      </c>
      <c r="AU213" s="96" t="str">
        <f>IF(T213="","",IF(AS213="Alta",1,IF(AS213="Média",2,3))*1000000000+(999999-IF(ISNUMBER(U213),MIN(U213,999999),0))*1000+208)</f>
        <v/>
      </c>
      <c r="AV213" s="96">
        <f>IF(T213&lt;&gt;"",1,0)</f>
        <v>0</v>
      </c>
      <c r="AW213" s="96" t="str">
        <f>IF(Z213=0,"",IF(AA213=1,"Cancelamento informado; ","")&amp;IF(AE213=1,"Campos essenciais ou itens faltando; ","")&amp;IF(AC213=1,"Possível duplicidade do número; ","")&amp;IF(AD213=1,"Cadastro ou datas a revisar; ","")&amp;IF(AF213&gt;0,"Item de resíduo com dado a revisar; ","")&amp;IF(AH213&gt;0,"Diferença de quantidade a analisar; ","")&amp;IF(AK213&gt;0,"Recebimento com alerta; ","")&amp;IF(AL213&gt;0,"Vínculo de CDF com alerta; ","")&amp;IF(AND(AA213=0,AN213=0),"Recebimento não confirmado; ","")&amp;IF(AND(AA213=0,AN213=1,AO213=0),"CDF pendente ou a conferir; ",""))</f>
        <v/>
      </c>
      <c r="AX213" s="96">
        <f>IF(Z213=0,0,IF(AND(OR(f_ini="",AND(ISNUMBER(E213),E213&gt;=f_ini)),OR(f_fim="",AND(ISNUMBER(E213),E213&lt;=f_fim)),OR(f_un="",f_un="(Todas)",G213=f_un),OR(f_tr="",f_tr="(Todos)",H213=f_tr),OR(f_de="",f_de="(Todos)",I213=f_de),OR(f_sit="",f_sit="(Todas)",S213=f_sit)),1,0))</f>
        <v>0</v>
      </c>
      <c r="AY213" s="96">
        <f>IF(AX213=0,0,IF(OR(f_res="",f_res="(Todos)"),1,IF(COUNTIFS('ITENS_MTR'!$S$6:$S$1005,A213,'ITENS_MTR'!$C$6:$C$1005,f_res)&gt;0,1,0)))</f>
        <v>0</v>
      </c>
      <c r="AZ213" s="97" t="str">
        <f>IF(ISNUMBER(E213),DATE(YEAR(E213),MONTH(E213),1),"")</f>
        <v/>
      </c>
      <c r="BA213" s="96">
        <f>IF(Z213=0,0,IF(AND(OR(r_ini="",AND(ISNUMBER(E213),E213&gt;=r_ini)),OR(r_fim="",AND(ISNUMBER(E213),E213&lt;=r_fim)),OR(r_un="",r_un="(Todas)",G213=r_un),OR(r_de="",r_de="(Todos)",I213=r_de)),1,0))</f>
        <v>0</v>
      </c>
      <c r="BB213" s="96" t="str">
        <f>IF(BA213=1,COUNTIF($BA$6:BA213,1),"")</f>
        <v/>
      </c>
      <c r="BC213" s="96" t="str">
        <f>IF(AND(AU213&lt;&gt;"",OR(r_un="",r_un="(Todas)",G213=r_un),OR(r_de="",r_de="(Todos)",I213=r_de)),AU213,"")</f>
        <v/>
      </c>
      <c r="BD213" s="96" t="str">
        <f>IF(Z213=1,A213&amp;" | nº "&amp;IF(B213="","(sem número)",B213)&amp;" | "&amp;IF(G213="","(sem unidade)",G213),"")</f>
        <v/>
      </c>
      <c r="BE213" s="96" t="str">
        <f>IF(Z213=1,COUNTIF($Z$6:Z213,1),"")</f>
        <v/>
      </c>
      <c r="BF213" s="96" t="str">
        <f>IF(T213="","",IF(T213="RECEBIMENTO NÃO CONFIRMADO","Transp.: "&amp;H213&amp;" | Dest.: "&amp;I213,IF(OR(T213="CDF NÃO LOCALIZADO",T213="VÍNCULO INCOMPLETO",T213="CDF A CONFERIR"),"Dest.: "&amp;I213,"Gerador: "&amp;G213)))</f>
        <v/>
      </c>
    </row>
    <row r="214">
      <c r="A214" s="89" t="inlineStr">
        <is>
          <t>MTR-000209</t>
        </is>
      </c>
      <c r="B214" s="90" t="n"/>
      <c r="C214" s="91" t="n"/>
      <c r="D214" s="91" t="n"/>
      <c r="E214" s="92" t="n"/>
      <c r="F214" s="92" t="n"/>
      <c r="G214" s="91" t="n"/>
      <c r="H214" s="91" t="n"/>
      <c r="I214" s="91" t="n"/>
      <c r="J214" s="91" t="n"/>
      <c r="K214" s="91" t="n"/>
      <c r="L214" s="92" t="n"/>
      <c r="M214" s="91" t="n"/>
      <c r="N214" s="91" t="n"/>
      <c r="O214" s="91" t="n"/>
      <c r="P214" s="93" t="str">
        <f>IF(Z214=0,"",SUMIFS('ITENS_MTR'!$I$6:$I$1005,'ITENS_MTR'!$S$6:$S$1005,A214,'ITENS_MTR'!$Y$6:$Y$1005,1))</f>
        <v/>
      </c>
      <c r="Q214" s="93" t="str">
        <f>IF(Z214=0,"",SUMIFS('RECEBIMENTOS'!$H$6:$H$1005,'RECEBIMENTOS'!$B$6:$B$1005,A214,'RECEBIMENTOS'!$X$6:$X$1005,1))</f>
        <v/>
      </c>
      <c r="R214" s="93" t="str">
        <f>IF(Z214=0,"",SUMIFS('VÍNCULOS_CDF'!$H$6:$H$1005,'VÍNCULOS_CDF'!$D$6:$D$1005,A214,'VÍNCULOS_CDF'!$V$6:$V$1005,1))</f>
        <v/>
      </c>
      <c r="S214" s="94" t="str">
        <f>IF(Z214=0,"",IF(AA214=1,"Cancelado (informado)",IF(AE214=1,"Cadastro incompleto",IF(OR(AC214=1,AD214=1,AF214&gt;0,AH214&gt;0,AK214&gt;0,AL214&gt;0),"Informação a revisar",IF(AN214=0,"Aguardando recebimento",IF(N(R214)=0,"Aguardando CDF",IF(AJ214&lt;N(W214),"Vínculo de CDF parcial",IF(AO214=0,"CDF localizado, a conferir","Documentação conferida"))))))))</f>
        <v/>
      </c>
      <c r="T214" s="94" t="str">
        <f>IF(Z214=0,"",IF(S214="Cadastro incompleto","MTR INCOMPLETO",IF(S214="Informação a revisar",IF(AND(AH214&gt;0,AC214=0,AD214=0,AF214=0,AK214=0,AL214=0),"QUANTIDADE A REVISAR","IDENTIFICAÇÃO A REVISAR"),IF(S214="Aguardando recebimento","RECEBIMENTO NÃO CONFIRMADO",IF(S214="Aguardando CDF","CDF NÃO LOCALIZADO",IF(S214="Vínculo de CDF parcial","VÍNCULO INCOMPLETO",IF(S214="CDF localizado, a conferir","CDF A CONFERIR","")))))))</f>
        <v/>
      </c>
      <c r="U214" s="95" t="str">
        <f>IF(T214="","",IF(AQ214="","Não calculável",IF(AQ214&gt;TODAY(),"Data futura",TODAY()-AQ214)))</f>
        <v/>
      </c>
      <c r="V214" s="93" t="str">
        <f>IF(Z214=0,"",SUMIFS('RECEBIMENTOS'!$H$6:$H$1005,'RECEBIMENTOS'!$B$6:$B$1005,A214,'RECEBIMENTOS'!$Z$6:$Z$1005,1))</f>
        <v/>
      </c>
      <c r="W214" s="95" t="str">
        <f>IF(Z214=0,"",COUNTIFS('ITENS_MTR'!$S$6:$S$1005,A214,'ITENS_MTR'!$R$6:$R$1005,1))</f>
        <v/>
      </c>
      <c r="X214" s="94" t="str">
        <f>IF(AC214=1,"POSSÍVEL DUPLICIDADE","")</f>
        <v/>
      </c>
      <c r="Y214" s="94" t="str">
        <f>IF(Z214=0,"",IF(AW214="","Nenhuma",LEFT(AW214,LEN(AW214)-2)))</f>
        <v/>
      </c>
      <c r="Z214" s="96">
        <f>IF(COUNTA(B214:O214)&gt;0,1,0)</f>
        <v>0</v>
      </c>
      <c r="AA214" s="96">
        <f>IF(AND(Z214=1,K214&lt;&gt;""),IF(TRIM(K214)=TRIM(cfg_cancel),1,0),0)</f>
        <v>0</v>
      </c>
      <c r="AB214" s="96" t="str">
        <f>IF(AND(Z214=1,B214&lt;&gt;""),C214&amp;"|"&amp;D214&amp;"|"&amp;G214&amp;"|"&amp;TRIM(B214),"")</f>
        <v/>
      </c>
      <c r="AC214" s="96">
        <f>IF(AB214="",0,IF(SUMPRODUCT(--($AB$6:$AB$505=AB214))&gt;1,1,0))</f>
        <v>0</v>
      </c>
      <c r="AD214" s="96">
        <f>IF(Z214=0,0,IF(OR(AND(G214&lt;&gt;"",ISNA(MATCH(G214,'CAD_UNIDADES'!$C$6:$C$105,0))),AND(H214&lt;&gt;"",ISNA(MATCH(H214,cmp_transp,0))),AND(I214&lt;&gt;"",ISNA(MATCH(I214,cmp_dest,0))),AND(E214&lt;&gt;"",NOT(ISNUMBER(E214))),AND(F214&lt;&gt;"",NOT(ISNUMBER(F214))),AND(ISNUMBER(E214),ISNUMBER(F214),F214&lt;E214)),1,0))</f>
        <v>0</v>
      </c>
      <c r="AE214" s="96">
        <f>IF(Z214=0,0,IF(OR(B214="",C214="",E214="",G214="",H214="",I214="",N(W214)=0),1,0))</f>
        <v>0</v>
      </c>
      <c r="AF214" s="96">
        <f>IF(Z214=0,0,COUNTIFS('ITENS_MTR'!$S$6:$S$1005,A214,'ITENS_MTR'!$AI$6:$AI$1005,1))</f>
        <v>0</v>
      </c>
      <c r="AG214" s="96">
        <f>IF(Z214=0,0,COUNTIFS('ITENS_MTR'!$S$6:$S$1005,A214,'ITENS_MTR'!$AJ$6:$AJ$1005,1))</f>
        <v>0</v>
      </c>
      <c r="AH214" s="96">
        <f>IF(Z214=0,0,COUNTIFS('ITENS_MTR'!$S$6:$S$1005,A214,'ITENS_MTR'!$AM$6:$AM$1005,1))</f>
        <v>0</v>
      </c>
      <c r="AI214" s="96">
        <f>IF(Z214=0,0,COUNTIFS('ITENS_MTR'!$S$6:$S$1005,A214,'ITENS_MTR'!$AO$6:$AO$1005,1))</f>
        <v>0</v>
      </c>
      <c r="AJ214" s="96">
        <f>IF(Z214=0,0,COUNTIFS('ITENS_MTR'!$S$6:$S$1005,A214,'ITENS_MTR'!$AN$6:$AN$1005,1))</f>
        <v>0</v>
      </c>
      <c r="AK214" s="96">
        <f>IF(Z214=0,0,COUNTIFS('RECEBIMENTOS'!$B$6:$B$1005,A214,'RECEBIMENTOS'!$Y$6:$Y$1005,1))</f>
        <v>0</v>
      </c>
      <c r="AL214" s="96">
        <f>IF(Z214=0,0,COUNTIFS('VÍNCULOS_CDF'!$D$6:$D$1005,A214,'VÍNCULOS_CDF'!$Y$6:$Y$1005,1))</f>
        <v>0</v>
      </c>
      <c r="AM214" s="96">
        <f>IF(Z214=0,0,COUNTIFS('RECEBIMENTOS'!$B$6:$B$1005,A214,'RECEBIMENTOS'!$Q$6:$Q$1005,1))</f>
        <v>0</v>
      </c>
      <c r="AN214" s="96">
        <f>IF(AND(Z214=1,N(W214)&gt;0,AG214=N(W214)),1,0)</f>
        <v>0</v>
      </c>
      <c r="AO214" s="96">
        <f>IF(AND(Z214=1,N(W214)&gt;0,AI214=N(W214)),1,0)</f>
        <v>0</v>
      </c>
      <c r="AP214" s="97">
        <f>IF(Z214=0,0,_xlfn.MAXIFS('RECEBIMENTOS'!$E$6:$E$1005,'RECEBIMENTOS'!$B$6:$B$1005,A214))</f>
        <v>0</v>
      </c>
      <c r="AQ214" s="97" t="str">
        <f>IF(T214="","",IF(T214="RECEBIMENTO NÃO CONFIRMADO",IF(ISNUMBER(F214),F214,IF(ISNUMBER(E214),E214,"")),IF(OR(T214="CDF NÃO LOCALIZADO",T214="VÍNCULO INCOMPLETO",T214="CDF A CONFERIR"),IF(AP214&gt;0,AP214,IF(ISNUMBER(E214),E214,"")),IF(ISNUMBER(E214),E214,""))))</f>
        <v/>
      </c>
      <c r="AR214" s="96">
        <f>IF(NOT(ISNUMBER(U214)),0,IF(T214="RECEBIMENTO NÃO CONFIRMADO",IF(AND(ISNUMBER(cfg_rec),U214&gt;cfg_rec),1,0),IF(OR(T214="CDF NÃO LOCALIZADO",T214="VÍNCULO INCOMPLETO",T214="CDF A CONFERIR"),IF(AND(ISNUMBER(cfg_cdf),U214&gt;cfg_cdf),1,0),0)))</f>
        <v>0</v>
      </c>
      <c r="AS214" s="96" t="str">
        <f>IF(T214="","",IF(AR214=1,"Alta",IFERROR(INDEX(cfg_pp,MATCH(T214,cfg_pt,0))&amp;"","Média")))</f>
        <v/>
      </c>
      <c r="AT214" s="96" t="str">
        <f>IF(T214="","",IFERROR(INDEX(cfg_pv,MATCH(T214,cfg_pt,0))&amp;"",""))</f>
        <v/>
      </c>
      <c r="AU214" s="96" t="str">
        <f>IF(T214="","",IF(AS214="Alta",1,IF(AS214="Média",2,3))*1000000000+(999999-IF(ISNUMBER(U214),MIN(U214,999999),0))*1000+209)</f>
        <v/>
      </c>
      <c r="AV214" s="96">
        <f>IF(T214&lt;&gt;"",1,0)</f>
        <v>0</v>
      </c>
      <c r="AW214" s="96" t="str">
        <f>IF(Z214=0,"",IF(AA214=1,"Cancelamento informado; ","")&amp;IF(AE214=1,"Campos essenciais ou itens faltando; ","")&amp;IF(AC214=1,"Possível duplicidade do número; ","")&amp;IF(AD214=1,"Cadastro ou datas a revisar; ","")&amp;IF(AF214&gt;0,"Item de resíduo com dado a revisar; ","")&amp;IF(AH214&gt;0,"Diferença de quantidade a analisar; ","")&amp;IF(AK214&gt;0,"Recebimento com alerta; ","")&amp;IF(AL214&gt;0,"Vínculo de CDF com alerta; ","")&amp;IF(AND(AA214=0,AN214=0),"Recebimento não confirmado; ","")&amp;IF(AND(AA214=0,AN214=1,AO214=0),"CDF pendente ou a conferir; ",""))</f>
        <v/>
      </c>
      <c r="AX214" s="96">
        <f>IF(Z214=0,0,IF(AND(OR(f_ini="",AND(ISNUMBER(E214),E214&gt;=f_ini)),OR(f_fim="",AND(ISNUMBER(E214),E214&lt;=f_fim)),OR(f_un="",f_un="(Todas)",G214=f_un),OR(f_tr="",f_tr="(Todos)",H214=f_tr),OR(f_de="",f_de="(Todos)",I214=f_de),OR(f_sit="",f_sit="(Todas)",S214=f_sit)),1,0))</f>
        <v>0</v>
      </c>
      <c r="AY214" s="96">
        <f>IF(AX214=0,0,IF(OR(f_res="",f_res="(Todos)"),1,IF(COUNTIFS('ITENS_MTR'!$S$6:$S$1005,A214,'ITENS_MTR'!$C$6:$C$1005,f_res)&gt;0,1,0)))</f>
        <v>0</v>
      </c>
      <c r="AZ214" s="97" t="str">
        <f>IF(ISNUMBER(E214),DATE(YEAR(E214),MONTH(E214),1),"")</f>
        <v/>
      </c>
      <c r="BA214" s="96">
        <f>IF(Z214=0,0,IF(AND(OR(r_ini="",AND(ISNUMBER(E214),E214&gt;=r_ini)),OR(r_fim="",AND(ISNUMBER(E214),E214&lt;=r_fim)),OR(r_un="",r_un="(Todas)",G214=r_un),OR(r_de="",r_de="(Todos)",I214=r_de)),1,0))</f>
        <v>0</v>
      </c>
      <c r="BB214" s="96" t="str">
        <f>IF(BA214=1,COUNTIF($BA$6:BA214,1),"")</f>
        <v/>
      </c>
      <c r="BC214" s="96" t="str">
        <f>IF(AND(AU214&lt;&gt;"",OR(r_un="",r_un="(Todas)",G214=r_un),OR(r_de="",r_de="(Todos)",I214=r_de)),AU214,"")</f>
        <v/>
      </c>
      <c r="BD214" s="96" t="str">
        <f>IF(Z214=1,A214&amp;" | nº "&amp;IF(B214="","(sem número)",B214)&amp;" | "&amp;IF(G214="","(sem unidade)",G214),"")</f>
        <v/>
      </c>
      <c r="BE214" s="96" t="str">
        <f>IF(Z214=1,COUNTIF($Z$6:Z214,1),"")</f>
        <v/>
      </c>
      <c r="BF214" s="96" t="str">
        <f>IF(T214="","",IF(T214="RECEBIMENTO NÃO CONFIRMADO","Transp.: "&amp;H214&amp;" | Dest.: "&amp;I214,IF(OR(T214="CDF NÃO LOCALIZADO",T214="VÍNCULO INCOMPLETO",T214="CDF A CONFERIR"),"Dest.: "&amp;I214,"Gerador: "&amp;G214)))</f>
        <v/>
      </c>
    </row>
    <row r="215">
      <c r="A215" s="89" t="inlineStr">
        <is>
          <t>MTR-000210</t>
        </is>
      </c>
      <c r="B215" s="90" t="n"/>
      <c r="C215" s="91" t="n"/>
      <c r="D215" s="91" t="n"/>
      <c r="E215" s="92" t="n"/>
      <c r="F215" s="92" t="n"/>
      <c r="G215" s="91" t="n"/>
      <c r="H215" s="91" t="n"/>
      <c r="I215" s="91" t="n"/>
      <c r="J215" s="91" t="n"/>
      <c r="K215" s="91" t="n"/>
      <c r="L215" s="92" t="n"/>
      <c r="M215" s="91" t="n"/>
      <c r="N215" s="91" t="n"/>
      <c r="O215" s="91" t="n"/>
      <c r="P215" s="93" t="str">
        <f>IF(Z215=0,"",SUMIFS('ITENS_MTR'!$I$6:$I$1005,'ITENS_MTR'!$S$6:$S$1005,A215,'ITENS_MTR'!$Y$6:$Y$1005,1))</f>
        <v/>
      </c>
      <c r="Q215" s="93" t="str">
        <f>IF(Z215=0,"",SUMIFS('RECEBIMENTOS'!$H$6:$H$1005,'RECEBIMENTOS'!$B$6:$B$1005,A215,'RECEBIMENTOS'!$X$6:$X$1005,1))</f>
        <v/>
      </c>
      <c r="R215" s="93" t="str">
        <f>IF(Z215=0,"",SUMIFS('VÍNCULOS_CDF'!$H$6:$H$1005,'VÍNCULOS_CDF'!$D$6:$D$1005,A215,'VÍNCULOS_CDF'!$V$6:$V$1005,1))</f>
        <v/>
      </c>
      <c r="S215" s="94" t="str">
        <f>IF(Z215=0,"",IF(AA215=1,"Cancelado (informado)",IF(AE215=1,"Cadastro incompleto",IF(OR(AC215=1,AD215=1,AF215&gt;0,AH215&gt;0,AK215&gt;0,AL215&gt;0),"Informação a revisar",IF(AN215=0,"Aguardando recebimento",IF(N(R215)=0,"Aguardando CDF",IF(AJ215&lt;N(W215),"Vínculo de CDF parcial",IF(AO215=0,"CDF localizado, a conferir","Documentação conferida"))))))))</f>
        <v/>
      </c>
      <c r="T215" s="94" t="str">
        <f>IF(Z215=0,"",IF(S215="Cadastro incompleto","MTR INCOMPLETO",IF(S215="Informação a revisar",IF(AND(AH215&gt;0,AC215=0,AD215=0,AF215=0,AK215=0,AL215=0),"QUANTIDADE A REVISAR","IDENTIFICAÇÃO A REVISAR"),IF(S215="Aguardando recebimento","RECEBIMENTO NÃO CONFIRMADO",IF(S215="Aguardando CDF","CDF NÃO LOCALIZADO",IF(S215="Vínculo de CDF parcial","VÍNCULO INCOMPLETO",IF(S215="CDF localizado, a conferir","CDF A CONFERIR","")))))))</f>
        <v/>
      </c>
      <c r="U215" s="95" t="str">
        <f>IF(T215="","",IF(AQ215="","Não calculável",IF(AQ215&gt;TODAY(),"Data futura",TODAY()-AQ215)))</f>
        <v/>
      </c>
      <c r="V215" s="93" t="str">
        <f>IF(Z215=0,"",SUMIFS('RECEBIMENTOS'!$H$6:$H$1005,'RECEBIMENTOS'!$B$6:$B$1005,A215,'RECEBIMENTOS'!$Z$6:$Z$1005,1))</f>
        <v/>
      </c>
      <c r="W215" s="95" t="str">
        <f>IF(Z215=0,"",COUNTIFS('ITENS_MTR'!$S$6:$S$1005,A215,'ITENS_MTR'!$R$6:$R$1005,1))</f>
        <v/>
      </c>
      <c r="X215" s="94" t="str">
        <f>IF(AC215=1,"POSSÍVEL DUPLICIDADE","")</f>
        <v/>
      </c>
      <c r="Y215" s="94" t="str">
        <f>IF(Z215=0,"",IF(AW215="","Nenhuma",LEFT(AW215,LEN(AW215)-2)))</f>
        <v/>
      </c>
      <c r="Z215" s="96">
        <f>IF(COUNTA(B215:O215)&gt;0,1,0)</f>
        <v>0</v>
      </c>
      <c r="AA215" s="96">
        <f>IF(AND(Z215=1,K215&lt;&gt;""),IF(TRIM(K215)=TRIM(cfg_cancel),1,0),0)</f>
        <v>0</v>
      </c>
      <c r="AB215" s="96" t="str">
        <f>IF(AND(Z215=1,B215&lt;&gt;""),C215&amp;"|"&amp;D215&amp;"|"&amp;G215&amp;"|"&amp;TRIM(B215),"")</f>
        <v/>
      </c>
      <c r="AC215" s="96">
        <f>IF(AB215="",0,IF(SUMPRODUCT(--($AB$6:$AB$505=AB215))&gt;1,1,0))</f>
        <v>0</v>
      </c>
      <c r="AD215" s="96">
        <f>IF(Z215=0,0,IF(OR(AND(G215&lt;&gt;"",ISNA(MATCH(G215,'CAD_UNIDADES'!$C$6:$C$105,0))),AND(H215&lt;&gt;"",ISNA(MATCH(H215,cmp_transp,0))),AND(I215&lt;&gt;"",ISNA(MATCH(I215,cmp_dest,0))),AND(E215&lt;&gt;"",NOT(ISNUMBER(E215))),AND(F215&lt;&gt;"",NOT(ISNUMBER(F215))),AND(ISNUMBER(E215),ISNUMBER(F215),F215&lt;E215)),1,0))</f>
        <v>0</v>
      </c>
      <c r="AE215" s="96">
        <f>IF(Z215=0,0,IF(OR(B215="",C215="",E215="",G215="",H215="",I215="",N(W215)=0),1,0))</f>
        <v>0</v>
      </c>
      <c r="AF215" s="96">
        <f>IF(Z215=0,0,COUNTIFS('ITENS_MTR'!$S$6:$S$1005,A215,'ITENS_MTR'!$AI$6:$AI$1005,1))</f>
        <v>0</v>
      </c>
      <c r="AG215" s="96">
        <f>IF(Z215=0,0,COUNTIFS('ITENS_MTR'!$S$6:$S$1005,A215,'ITENS_MTR'!$AJ$6:$AJ$1005,1))</f>
        <v>0</v>
      </c>
      <c r="AH215" s="96">
        <f>IF(Z215=0,0,COUNTIFS('ITENS_MTR'!$S$6:$S$1005,A215,'ITENS_MTR'!$AM$6:$AM$1005,1))</f>
        <v>0</v>
      </c>
      <c r="AI215" s="96">
        <f>IF(Z215=0,0,COUNTIFS('ITENS_MTR'!$S$6:$S$1005,A215,'ITENS_MTR'!$AO$6:$AO$1005,1))</f>
        <v>0</v>
      </c>
      <c r="AJ215" s="96">
        <f>IF(Z215=0,0,COUNTIFS('ITENS_MTR'!$S$6:$S$1005,A215,'ITENS_MTR'!$AN$6:$AN$1005,1))</f>
        <v>0</v>
      </c>
      <c r="AK215" s="96">
        <f>IF(Z215=0,0,COUNTIFS('RECEBIMENTOS'!$B$6:$B$1005,A215,'RECEBIMENTOS'!$Y$6:$Y$1005,1))</f>
        <v>0</v>
      </c>
      <c r="AL215" s="96">
        <f>IF(Z215=0,0,COUNTIFS('VÍNCULOS_CDF'!$D$6:$D$1005,A215,'VÍNCULOS_CDF'!$Y$6:$Y$1005,1))</f>
        <v>0</v>
      </c>
      <c r="AM215" s="96">
        <f>IF(Z215=0,0,COUNTIFS('RECEBIMENTOS'!$B$6:$B$1005,A215,'RECEBIMENTOS'!$Q$6:$Q$1005,1))</f>
        <v>0</v>
      </c>
      <c r="AN215" s="96">
        <f>IF(AND(Z215=1,N(W215)&gt;0,AG215=N(W215)),1,0)</f>
        <v>0</v>
      </c>
      <c r="AO215" s="96">
        <f>IF(AND(Z215=1,N(W215)&gt;0,AI215=N(W215)),1,0)</f>
        <v>0</v>
      </c>
      <c r="AP215" s="97">
        <f>IF(Z215=0,0,_xlfn.MAXIFS('RECEBIMENTOS'!$E$6:$E$1005,'RECEBIMENTOS'!$B$6:$B$1005,A215))</f>
        <v>0</v>
      </c>
      <c r="AQ215" s="97" t="str">
        <f>IF(T215="","",IF(T215="RECEBIMENTO NÃO CONFIRMADO",IF(ISNUMBER(F215),F215,IF(ISNUMBER(E215),E215,"")),IF(OR(T215="CDF NÃO LOCALIZADO",T215="VÍNCULO INCOMPLETO",T215="CDF A CONFERIR"),IF(AP215&gt;0,AP215,IF(ISNUMBER(E215),E215,"")),IF(ISNUMBER(E215),E215,""))))</f>
        <v/>
      </c>
      <c r="AR215" s="96">
        <f>IF(NOT(ISNUMBER(U215)),0,IF(T215="RECEBIMENTO NÃO CONFIRMADO",IF(AND(ISNUMBER(cfg_rec),U215&gt;cfg_rec),1,0),IF(OR(T215="CDF NÃO LOCALIZADO",T215="VÍNCULO INCOMPLETO",T215="CDF A CONFERIR"),IF(AND(ISNUMBER(cfg_cdf),U215&gt;cfg_cdf),1,0),0)))</f>
        <v>0</v>
      </c>
      <c r="AS215" s="96" t="str">
        <f>IF(T215="","",IF(AR215=1,"Alta",IFERROR(INDEX(cfg_pp,MATCH(T215,cfg_pt,0))&amp;"","Média")))</f>
        <v/>
      </c>
      <c r="AT215" s="96" t="str">
        <f>IF(T215="","",IFERROR(INDEX(cfg_pv,MATCH(T215,cfg_pt,0))&amp;"",""))</f>
        <v/>
      </c>
      <c r="AU215" s="96" t="str">
        <f>IF(T215="","",IF(AS215="Alta",1,IF(AS215="Média",2,3))*1000000000+(999999-IF(ISNUMBER(U215),MIN(U215,999999),0))*1000+210)</f>
        <v/>
      </c>
      <c r="AV215" s="96">
        <f>IF(T215&lt;&gt;"",1,0)</f>
        <v>0</v>
      </c>
      <c r="AW215" s="96" t="str">
        <f>IF(Z215=0,"",IF(AA215=1,"Cancelamento informado; ","")&amp;IF(AE215=1,"Campos essenciais ou itens faltando; ","")&amp;IF(AC215=1,"Possível duplicidade do número; ","")&amp;IF(AD215=1,"Cadastro ou datas a revisar; ","")&amp;IF(AF215&gt;0,"Item de resíduo com dado a revisar; ","")&amp;IF(AH215&gt;0,"Diferença de quantidade a analisar; ","")&amp;IF(AK215&gt;0,"Recebimento com alerta; ","")&amp;IF(AL215&gt;0,"Vínculo de CDF com alerta; ","")&amp;IF(AND(AA215=0,AN215=0),"Recebimento não confirmado; ","")&amp;IF(AND(AA215=0,AN215=1,AO215=0),"CDF pendente ou a conferir; ",""))</f>
        <v/>
      </c>
      <c r="AX215" s="96">
        <f>IF(Z215=0,0,IF(AND(OR(f_ini="",AND(ISNUMBER(E215),E215&gt;=f_ini)),OR(f_fim="",AND(ISNUMBER(E215),E215&lt;=f_fim)),OR(f_un="",f_un="(Todas)",G215=f_un),OR(f_tr="",f_tr="(Todos)",H215=f_tr),OR(f_de="",f_de="(Todos)",I215=f_de),OR(f_sit="",f_sit="(Todas)",S215=f_sit)),1,0))</f>
        <v>0</v>
      </c>
      <c r="AY215" s="96">
        <f>IF(AX215=0,0,IF(OR(f_res="",f_res="(Todos)"),1,IF(COUNTIFS('ITENS_MTR'!$S$6:$S$1005,A215,'ITENS_MTR'!$C$6:$C$1005,f_res)&gt;0,1,0)))</f>
        <v>0</v>
      </c>
      <c r="AZ215" s="97" t="str">
        <f>IF(ISNUMBER(E215),DATE(YEAR(E215),MONTH(E215),1),"")</f>
        <v/>
      </c>
      <c r="BA215" s="96">
        <f>IF(Z215=0,0,IF(AND(OR(r_ini="",AND(ISNUMBER(E215),E215&gt;=r_ini)),OR(r_fim="",AND(ISNUMBER(E215),E215&lt;=r_fim)),OR(r_un="",r_un="(Todas)",G215=r_un),OR(r_de="",r_de="(Todos)",I215=r_de)),1,0))</f>
        <v>0</v>
      </c>
      <c r="BB215" s="96" t="str">
        <f>IF(BA215=1,COUNTIF($BA$6:BA215,1),"")</f>
        <v/>
      </c>
      <c r="BC215" s="96" t="str">
        <f>IF(AND(AU215&lt;&gt;"",OR(r_un="",r_un="(Todas)",G215=r_un),OR(r_de="",r_de="(Todos)",I215=r_de)),AU215,"")</f>
        <v/>
      </c>
      <c r="BD215" s="96" t="str">
        <f>IF(Z215=1,A215&amp;" | nº "&amp;IF(B215="","(sem número)",B215)&amp;" | "&amp;IF(G215="","(sem unidade)",G215),"")</f>
        <v/>
      </c>
      <c r="BE215" s="96" t="str">
        <f>IF(Z215=1,COUNTIF($Z$6:Z215,1),"")</f>
        <v/>
      </c>
      <c r="BF215" s="96" t="str">
        <f>IF(T215="","",IF(T215="RECEBIMENTO NÃO CONFIRMADO","Transp.: "&amp;H215&amp;" | Dest.: "&amp;I215,IF(OR(T215="CDF NÃO LOCALIZADO",T215="VÍNCULO INCOMPLETO",T215="CDF A CONFERIR"),"Dest.: "&amp;I215,"Gerador: "&amp;G215)))</f>
        <v/>
      </c>
    </row>
    <row r="216">
      <c r="A216" s="89" t="inlineStr">
        <is>
          <t>MTR-000211</t>
        </is>
      </c>
      <c r="B216" s="90" t="n"/>
      <c r="C216" s="91" t="n"/>
      <c r="D216" s="91" t="n"/>
      <c r="E216" s="92" t="n"/>
      <c r="F216" s="92" t="n"/>
      <c r="G216" s="91" t="n"/>
      <c r="H216" s="91" t="n"/>
      <c r="I216" s="91" t="n"/>
      <c r="J216" s="91" t="n"/>
      <c r="K216" s="91" t="n"/>
      <c r="L216" s="92" t="n"/>
      <c r="M216" s="91" t="n"/>
      <c r="N216" s="91" t="n"/>
      <c r="O216" s="91" t="n"/>
      <c r="P216" s="93" t="str">
        <f>IF(Z216=0,"",SUMIFS('ITENS_MTR'!$I$6:$I$1005,'ITENS_MTR'!$S$6:$S$1005,A216,'ITENS_MTR'!$Y$6:$Y$1005,1))</f>
        <v/>
      </c>
      <c r="Q216" s="93" t="str">
        <f>IF(Z216=0,"",SUMIFS('RECEBIMENTOS'!$H$6:$H$1005,'RECEBIMENTOS'!$B$6:$B$1005,A216,'RECEBIMENTOS'!$X$6:$X$1005,1))</f>
        <v/>
      </c>
      <c r="R216" s="93" t="str">
        <f>IF(Z216=0,"",SUMIFS('VÍNCULOS_CDF'!$H$6:$H$1005,'VÍNCULOS_CDF'!$D$6:$D$1005,A216,'VÍNCULOS_CDF'!$V$6:$V$1005,1))</f>
        <v/>
      </c>
      <c r="S216" s="94" t="str">
        <f>IF(Z216=0,"",IF(AA216=1,"Cancelado (informado)",IF(AE216=1,"Cadastro incompleto",IF(OR(AC216=1,AD216=1,AF216&gt;0,AH216&gt;0,AK216&gt;0,AL216&gt;0),"Informação a revisar",IF(AN216=0,"Aguardando recebimento",IF(N(R216)=0,"Aguardando CDF",IF(AJ216&lt;N(W216),"Vínculo de CDF parcial",IF(AO216=0,"CDF localizado, a conferir","Documentação conferida"))))))))</f>
        <v/>
      </c>
      <c r="T216" s="94" t="str">
        <f>IF(Z216=0,"",IF(S216="Cadastro incompleto","MTR INCOMPLETO",IF(S216="Informação a revisar",IF(AND(AH216&gt;0,AC216=0,AD216=0,AF216=0,AK216=0,AL216=0),"QUANTIDADE A REVISAR","IDENTIFICAÇÃO A REVISAR"),IF(S216="Aguardando recebimento","RECEBIMENTO NÃO CONFIRMADO",IF(S216="Aguardando CDF","CDF NÃO LOCALIZADO",IF(S216="Vínculo de CDF parcial","VÍNCULO INCOMPLETO",IF(S216="CDF localizado, a conferir","CDF A CONFERIR","")))))))</f>
        <v/>
      </c>
      <c r="U216" s="95" t="str">
        <f>IF(T216="","",IF(AQ216="","Não calculável",IF(AQ216&gt;TODAY(),"Data futura",TODAY()-AQ216)))</f>
        <v/>
      </c>
      <c r="V216" s="93" t="str">
        <f>IF(Z216=0,"",SUMIFS('RECEBIMENTOS'!$H$6:$H$1005,'RECEBIMENTOS'!$B$6:$B$1005,A216,'RECEBIMENTOS'!$Z$6:$Z$1005,1))</f>
        <v/>
      </c>
      <c r="W216" s="95" t="str">
        <f>IF(Z216=0,"",COUNTIFS('ITENS_MTR'!$S$6:$S$1005,A216,'ITENS_MTR'!$R$6:$R$1005,1))</f>
        <v/>
      </c>
      <c r="X216" s="94" t="str">
        <f>IF(AC216=1,"POSSÍVEL DUPLICIDADE","")</f>
        <v/>
      </c>
      <c r="Y216" s="94" t="str">
        <f>IF(Z216=0,"",IF(AW216="","Nenhuma",LEFT(AW216,LEN(AW216)-2)))</f>
        <v/>
      </c>
      <c r="Z216" s="96">
        <f>IF(COUNTA(B216:O216)&gt;0,1,0)</f>
        <v>0</v>
      </c>
      <c r="AA216" s="96">
        <f>IF(AND(Z216=1,K216&lt;&gt;""),IF(TRIM(K216)=TRIM(cfg_cancel),1,0),0)</f>
        <v>0</v>
      </c>
      <c r="AB216" s="96" t="str">
        <f>IF(AND(Z216=1,B216&lt;&gt;""),C216&amp;"|"&amp;D216&amp;"|"&amp;G216&amp;"|"&amp;TRIM(B216),"")</f>
        <v/>
      </c>
      <c r="AC216" s="96">
        <f>IF(AB216="",0,IF(SUMPRODUCT(--($AB$6:$AB$505=AB216))&gt;1,1,0))</f>
        <v>0</v>
      </c>
      <c r="AD216" s="96">
        <f>IF(Z216=0,0,IF(OR(AND(G216&lt;&gt;"",ISNA(MATCH(G216,'CAD_UNIDADES'!$C$6:$C$105,0))),AND(H216&lt;&gt;"",ISNA(MATCH(H216,cmp_transp,0))),AND(I216&lt;&gt;"",ISNA(MATCH(I216,cmp_dest,0))),AND(E216&lt;&gt;"",NOT(ISNUMBER(E216))),AND(F216&lt;&gt;"",NOT(ISNUMBER(F216))),AND(ISNUMBER(E216),ISNUMBER(F216),F216&lt;E216)),1,0))</f>
        <v>0</v>
      </c>
      <c r="AE216" s="96">
        <f>IF(Z216=0,0,IF(OR(B216="",C216="",E216="",G216="",H216="",I216="",N(W216)=0),1,0))</f>
        <v>0</v>
      </c>
      <c r="AF216" s="96">
        <f>IF(Z216=0,0,COUNTIFS('ITENS_MTR'!$S$6:$S$1005,A216,'ITENS_MTR'!$AI$6:$AI$1005,1))</f>
        <v>0</v>
      </c>
      <c r="AG216" s="96">
        <f>IF(Z216=0,0,COUNTIFS('ITENS_MTR'!$S$6:$S$1005,A216,'ITENS_MTR'!$AJ$6:$AJ$1005,1))</f>
        <v>0</v>
      </c>
      <c r="AH216" s="96">
        <f>IF(Z216=0,0,COUNTIFS('ITENS_MTR'!$S$6:$S$1005,A216,'ITENS_MTR'!$AM$6:$AM$1005,1))</f>
        <v>0</v>
      </c>
      <c r="AI216" s="96">
        <f>IF(Z216=0,0,COUNTIFS('ITENS_MTR'!$S$6:$S$1005,A216,'ITENS_MTR'!$AO$6:$AO$1005,1))</f>
        <v>0</v>
      </c>
      <c r="AJ216" s="96">
        <f>IF(Z216=0,0,COUNTIFS('ITENS_MTR'!$S$6:$S$1005,A216,'ITENS_MTR'!$AN$6:$AN$1005,1))</f>
        <v>0</v>
      </c>
      <c r="AK216" s="96">
        <f>IF(Z216=0,0,COUNTIFS('RECEBIMENTOS'!$B$6:$B$1005,A216,'RECEBIMENTOS'!$Y$6:$Y$1005,1))</f>
        <v>0</v>
      </c>
      <c r="AL216" s="96">
        <f>IF(Z216=0,0,COUNTIFS('VÍNCULOS_CDF'!$D$6:$D$1005,A216,'VÍNCULOS_CDF'!$Y$6:$Y$1005,1))</f>
        <v>0</v>
      </c>
      <c r="AM216" s="96">
        <f>IF(Z216=0,0,COUNTIFS('RECEBIMENTOS'!$B$6:$B$1005,A216,'RECEBIMENTOS'!$Q$6:$Q$1005,1))</f>
        <v>0</v>
      </c>
      <c r="AN216" s="96">
        <f>IF(AND(Z216=1,N(W216)&gt;0,AG216=N(W216)),1,0)</f>
        <v>0</v>
      </c>
      <c r="AO216" s="96">
        <f>IF(AND(Z216=1,N(W216)&gt;0,AI216=N(W216)),1,0)</f>
        <v>0</v>
      </c>
      <c r="AP216" s="97">
        <f>IF(Z216=0,0,_xlfn.MAXIFS('RECEBIMENTOS'!$E$6:$E$1005,'RECEBIMENTOS'!$B$6:$B$1005,A216))</f>
        <v>0</v>
      </c>
      <c r="AQ216" s="97" t="str">
        <f>IF(T216="","",IF(T216="RECEBIMENTO NÃO CONFIRMADO",IF(ISNUMBER(F216),F216,IF(ISNUMBER(E216),E216,"")),IF(OR(T216="CDF NÃO LOCALIZADO",T216="VÍNCULO INCOMPLETO",T216="CDF A CONFERIR"),IF(AP216&gt;0,AP216,IF(ISNUMBER(E216),E216,"")),IF(ISNUMBER(E216),E216,""))))</f>
        <v/>
      </c>
      <c r="AR216" s="96">
        <f>IF(NOT(ISNUMBER(U216)),0,IF(T216="RECEBIMENTO NÃO CONFIRMADO",IF(AND(ISNUMBER(cfg_rec),U216&gt;cfg_rec),1,0),IF(OR(T216="CDF NÃO LOCALIZADO",T216="VÍNCULO INCOMPLETO",T216="CDF A CONFERIR"),IF(AND(ISNUMBER(cfg_cdf),U216&gt;cfg_cdf),1,0),0)))</f>
        <v>0</v>
      </c>
      <c r="AS216" s="96" t="str">
        <f>IF(T216="","",IF(AR216=1,"Alta",IFERROR(INDEX(cfg_pp,MATCH(T216,cfg_pt,0))&amp;"","Média")))</f>
        <v/>
      </c>
      <c r="AT216" s="96" t="str">
        <f>IF(T216="","",IFERROR(INDEX(cfg_pv,MATCH(T216,cfg_pt,0))&amp;"",""))</f>
        <v/>
      </c>
      <c r="AU216" s="96" t="str">
        <f>IF(T216="","",IF(AS216="Alta",1,IF(AS216="Média",2,3))*1000000000+(999999-IF(ISNUMBER(U216),MIN(U216,999999),0))*1000+211)</f>
        <v/>
      </c>
      <c r="AV216" s="96">
        <f>IF(T216&lt;&gt;"",1,0)</f>
        <v>0</v>
      </c>
      <c r="AW216" s="96" t="str">
        <f>IF(Z216=0,"",IF(AA216=1,"Cancelamento informado; ","")&amp;IF(AE216=1,"Campos essenciais ou itens faltando; ","")&amp;IF(AC216=1,"Possível duplicidade do número; ","")&amp;IF(AD216=1,"Cadastro ou datas a revisar; ","")&amp;IF(AF216&gt;0,"Item de resíduo com dado a revisar; ","")&amp;IF(AH216&gt;0,"Diferença de quantidade a analisar; ","")&amp;IF(AK216&gt;0,"Recebimento com alerta; ","")&amp;IF(AL216&gt;0,"Vínculo de CDF com alerta; ","")&amp;IF(AND(AA216=0,AN216=0),"Recebimento não confirmado; ","")&amp;IF(AND(AA216=0,AN216=1,AO216=0),"CDF pendente ou a conferir; ",""))</f>
        <v/>
      </c>
      <c r="AX216" s="96">
        <f>IF(Z216=0,0,IF(AND(OR(f_ini="",AND(ISNUMBER(E216),E216&gt;=f_ini)),OR(f_fim="",AND(ISNUMBER(E216),E216&lt;=f_fim)),OR(f_un="",f_un="(Todas)",G216=f_un),OR(f_tr="",f_tr="(Todos)",H216=f_tr),OR(f_de="",f_de="(Todos)",I216=f_de),OR(f_sit="",f_sit="(Todas)",S216=f_sit)),1,0))</f>
        <v>0</v>
      </c>
      <c r="AY216" s="96">
        <f>IF(AX216=0,0,IF(OR(f_res="",f_res="(Todos)"),1,IF(COUNTIFS('ITENS_MTR'!$S$6:$S$1005,A216,'ITENS_MTR'!$C$6:$C$1005,f_res)&gt;0,1,0)))</f>
        <v>0</v>
      </c>
      <c r="AZ216" s="97" t="str">
        <f>IF(ISNUMBER(E216),DATE(YEAR(E216),MONTH(E216),1),"")</f>
        <v/>
      </c>
      <c r="BA216" s="96">
        <f>IF(Z216=0,0,IF(AND(OR(r_ini="",AND(ISNUMBER(E216),E216&gt;=r_ini)),OR(r_fim="",AND(ISNUMBER(E216),E216&lt;=r_fim)),OR(r_un="",r_un="(Todas)",G216=r_un),OR(r_de="",r_de="(Todos)",I216=r_de)),1,0))</f>
        <v>0</v>
      </c>
      <c r="BB216" s="96" t="str">
        <f>IF(BA216=1,COUNTIF($BA$6:BA216,1),"")</f>
        <v/>
      </c>
      <c r="BC216" s="96" t="str">
        <f>IF(AND(AU216&lt;&gt;"",OR(r_un="",r_un="(Todas)",G216=r_un),OR(r_de="",r_de="(Todos)",I216=r_de)),AU216,"")</f>
        <v/>
      </c>
      <c r="BD216" s="96" t="str">
        <f>IF(Z216=1,A216&amp;" | nº "&amp;IF(B216="","(sem número)",B216)&amp;" | "&amp;IF(G216="","(sem unidade)",G216),"")</f>
        <v/>
      </c>
      <c r="BE216" s="96" t="str">
        <f>IF(Z216=1,COUNTIF($Z$6:Z216,1),"")</f>
        <v/>
      </c>
      <c r="BF216" s="96" t="str">
        <f>IF(T216="","",IF(T216="RECEBIMENTO NÃO CONFIRMADO","Transp.: "&amp;H216&amp;" | Dest.: "&amp;I216,IF(OR(T216="CDF NÃO LOCALIZADO",T216="VÍNCULO INCOMPLETO",T216="CDF A CONFERIR"),"Dest.: "&amp;I216,"Gerador: "&amp;G216)))</f>
        <v/>
      </c>
    </row>
    <row r="217">
      <c r="A217" s="89" t="inlineStr">
        <is>
          <t>MTR-000212</t>
        </is>
      </c>
      <c r="B217" s="90" t="n"/>
      <c r="C217" s="91" t="n"/>
      <c r="D217" s="91" t="n"/>
      <c r="E217" s="92" t="n"/>
      <c r="F217" s="92" t="n"/>
      <c r="G217" s="91" t="n"/>
      <c r="H217" s="91" t="n"/>
      <c r="I217" s="91" t="n"/>
      <c r="J217" s="91" t="n"/>
      <c r="K217" s="91" t="n"/>
      <c r="L217" s="92" t="n"/>
      <c r="M217" s="91" t="n"/>
      <c r="N217" s="91" t="n"/>
      <c r="O217" s="91" t="n"/>
      <c r="P217" s="93" t="str">
        <f>IF(Z217=0,"",SUMIFS('ITENS_MTR'!$I$6:$I$1005,'ITENS_MTR'!$S$6:$S$1005,A217,'ITENS_MTR'!$Y$6:$Y$1005,1))</f>
        <v/>
      </c>
      <c r="Q217" s="93" t="str">
        <f>IF(Z217=0,"",SUMIFS('RECEBIMENTOS'!$H$6:$H$1005,'RECEBIMENTOS'!$B$6:$B$1005,A217,'RECEBIMENTOS'!$X$6:$X$1005,1))</f>
        <v/>
      </c>
      <c r="R217" s="93" t="str">
        <f>IF(Z217=0,"",SUMIFS('VÍNCULOS_CDF'!$H$6:$H$1005,'VÍNCULOS_CDF'!$D$6:$D$1005,A217,'VÍNCULOS_CDF'!$V$6:$V$1005,1))</f>
        <v/>
      </c>
      <c r="S217" s="94" t="str">
        <f>IF(Z217=0,"",IF(AA217=1,"Cancelado (informado)",IF(AE217=1,"Cadastro incompleto",IF(OR(AC217=1,AD217=1,AF217&gt;0,AH217&gt;0,AK217&gt;0,AL217&gt;0),"Informação a revisar",IF(AN217=0,"Aguardando recebimento",IF(N(R217)=0,"Aguardando CDF",IF(AJ217&lt;N(W217),"Vínculo de CDF parcial",IF(AO217=0,"CDF localizado, a conferir","Documentação conferida"))))))))</f>
        <v/>
      </c>
      <c r="T217" s="94" t="str">
        <f>IF(Z217=0,"",IF(S217="Cadastro incompleto","MTR INCOMPLETO",IF(S217="Informação a revisar",IF(AND(AH217&gt;0,AC217=0,AD217=0,AF217=0,AK217=0,AL217=0),"QUANTIDADE A REVISAR","IDENTIFICAÇÃO A REVISAR"),IF(S217="Aguardando recebimento","RECEBIMENTO NÃO CONFIRMADO",IF(S217="Aguardando CDF","CDF NÃO LOCALIZADO",IF(S217="Vínculo de CDF parcial","VÍNCULO INCOMPLETO",IF(S217="CDF localizado, a conferir","CDF A CONFERIR","")))))))</f>
        <v/>
      </c>
      <c r="U217" s="95" t="str">
        <f>IF(T217="","",IF(AQ217="","Não calculável",IF(AQ217&gt;TODAY(),"Data futura",TODAY()-AQ217)))</f>
        <v/>
      </c>
      <c r="V217" s="93" t="str">
        <f>IF(Z217=0,"",SUMIFS('RECEBIMENTOS'!$H$6:$H$1005,'RECEBIMENTOS'!$B$6:$B$1005,A217,'RECEBIMENTOS'!$Z$6:$Z$1005,1))</f>
        <v/>
      </c>
      <c r="W217" s="95" t="str">
        <f>IF(Z217=0,"",COUNTIFS('ITENS_MTR'!$S$6:$S$1005,A217,'ITENS_MTR'!$R$6:$R$1005,1))</f>
        <v/>
      </c>
      <c r="X217" s="94" t="str">
        <f>IF(AC217=1,"POSSÍVEL DUPLICIDADE","")</f>
        <v/>
      </c>
      <c r="Y217" s="94" t="str">
        <f>IF(Z217=0,"",IF(AW217="","Nenhuma",LEFT(AW217,LEN(AW217)-2)))</f>
        <v/>
      </c>
      <c r="Z217" s="96">
        <f>IF(COUNTA(B217:O217)&gt;0,1,0)</f>
        <v>0</v>
      </c>
      <c r="AA217" s="96">
        <f>IF(AND(Z217=1,K217&lt;&gt;""),IF(TRIM(K217)=TRIM(cfg_cancel),1,0),0)</f>
        <v>0</v>
      </c>
      <c r="AB217" s="96" t="str">
        <f>IF(AND(Z217=1,B217&lt;&gt;""),C217&amp;"|"&amp;D217&amp;"|"&amp;G217&amp;"|"&amp;TRIM(B217),"")</f>
        <v/>
      </c>
      <c r="AC217" s="96">
        <f>IF(AB217="",0,IF(SUMPRODUCT(--($AB$6:$AB$505=AB217))&gt;1,1,0))</f>
        <v>0</v>
      </c>
      <c r="AD217" s="96">
        <f>IF(Z217=0,0,IF(OR(AND(G217&lt;&gt;"",ISNA(MATCH(G217,'CAD_UNIDADES'!$C$6:$C$105,0))),AND(H217&lt;&gt;"",ISNA(MATCH(H217,cmp_transp,0))),AND(I217&lt;&gt;"",ISNA(MATCH(I217,cmp_dest,0))),AND(E217&lt;&gt;"",NOT(ISNUMBER(E217))),AND(F217&lt;&gt;"",NOT(ISNUMBER(F217))),AND(ISNUMBER(E217),ISNUMBER(F217),F217&lt;E217)),1,0))</f>
        <v>0</v>
      </c>
      <c r="AE217" s="96">
        <f>IF(Z217=0,0,IF(OR(B217="",C217="",E217="",G217="",H217="",I217="",N(W217)=0),1,0))</f>
        <v>0</v>
      </c>
      <c r="AF217" s="96">
        <f>IF(Z217=0,0,COUNTIFS('ITENS_MTR'!$S$6:$S$1005,A217,'ITENS_MTR'!$AI$6:$AI$1005,1))</f>
        <v>0</v>
      </c>
      <c r="AG217" s="96">
        <f>IF(Z217=0,0,COUNTIFS('ITENS_MTR'!$S$6:$S$1005,A217,'ITENS_MTR'!$AJ$6:$AJ$1005,1))</f>
        <v>0</v>
      </c>
      <c r="AH217" s="96">
        <f>IF(Z217=0,0,COUNTIFS('ITENS_MTR'!$S$6:$S$1005,A217,'ITENS_MTR'!$AM$6:$AM$1005,1))</f>
        <v>0</v>
      </c>
      <c r="AI217" s="96">
        <f>IF(Z217=0,0,COUNTIFS('ITENS_MTR'!$S$6:$S$1005,A217,'ITENS_MTR'!$AO$6:$AO$1005,1))</f>
        <v>0</v>
      </c>
      <c r="AJ217" s="96">
        <f>IF(Z217=0,0,COUNTIFS('ITENS_MTR'!$S$6:$S$1005,A217,'ITENS_MTR'!$AN$6:$AN$1005,1))</f>
        <v>0</v>
      </c>
      <c r="AK217" s="96">
        <f>IF(Z217=0,0,COUNTIFS('RECEBIMENTOS'!$B$6:$B$1005,A217,'RECEBIMENTOS'!$Y$6:$Y$1005,1))</f>
        <v>0</v>
      </c>
      <c r="AL217" s="96">
        <f>IF(Z217=0,0,COUNTIFS('VÍNCULOS_CDF'!$D$6:$D$1005,A217,'VÍNCULOS_CDF'!$Y$6:$Y$1005,1))</f>
        <v>0</v>
      </c>
      <c r="AM217" s="96">
        <f>IF(Z217=0,0,COUNTIFS('RECEBIMENTOS'!$B$6:$B$1005,A217,'RECEBIMENTOS'!$Q$6:$Q$1005,1))</f>
        <v>0</v>
      </c>
      <c r="AN217" s="96">
        <f>IF(AND(Z217=1,N(W217)&gt;0,AG217=N(W217)),1,0)</f>
        <v>0</v>
      </c>
      <c r="AO217" s="96">
        <f>IF(AND(Z217=1,N(W217)&gt;0,AI217=N(W217)),1,0)</f>
        <v>0</v>
      </c>
      <c r="AP217" s="97">
        <f>IF(Z217=0,0,_xlfn.MAXIFS('RECEBIMENTOS'!$E$6:$E$1005,'RECEBIMENTOS'!$B$6:$B$1005,A217))</f>
        <v>0</v>
      </c>
      <c r="AQ217" s="97" t="str">
        <f>IF(T217="","",IF(T217="RECEBIMENTO NÃO CONFIRMADO",IF(ISNUMBER(F217),F217,IF(ISNUMBER(E217),E217,"")),IF(OR(T217="CDF NÃO LOCALIZADO",T217="VÍNCULO INCOMPLETO",T217="CDF A CONFERIR"),IF(AP217&gt;0,AP217,IF(ISNUMBER(E217),E217,"")),IF(ISNUMBER(E217),E217,""))))</f>
        <v/>
      </c>
      <c r="AR217" s="96">
        <f>IF(NOT(ISNUMBER(U217)),0,IF(T217="RECEBIMENTO NÃO CONFIRMADO",IF(AND(ISNUMBER(cfg_rec),U217&gt;cfg_rec),1,0),IF(OR(T217="CDF NÃO LOCALIZADO",T217="VÍNCULO INCOMPLETO",T217="CDF A CONFERIR"),IF(AND(ISNUMBER(cfg_cdf),U217&gt;cfg_cdf),1,0),0)))</f>
        <v>0</v>
      </c>
      <c r="AS217" s="96" t="str">
        <f>IF(T217="","",IF(AR217=1,"Alta",IFERROR(INDEX(cfg_pp,MATCH(T217,cfg_pt,0))&amp;"","Média")))</f>
        <v/>
      </c>
      <c r="AT217" s="96" t="str">
        <f>IF(T217="","",IFERROR(INDEX(cfg_pv,MATCH(T217,cfg_pt,0))&amp;"",""))</f>
        <v/>
      </c>
      <c r="AU217" s="96" t="str">
        <f>IF(T217="","",IF(AS217="Alta",1,IF(AS217="Média",2,3))*1000000000+(999999-IF(ISNUMBER(U217),MIN(U217,999999),0))*1000+212)</f>
        <v/>
      </c>
      <c r="AV217" s="96">
        <f>IF(T217&lt;&gt;"",1,0)</f>
        <v>0</v>
      </c>
      <c r="AW217" s="96" t="str">
        <f>IF(Z217=0,"",IF(AA217=1,"Cancelamento informado; ","")&amp;IF(AE217=1,"Campos essenciais ou itens faltando; ","")&amp;IF(AC217=1,"Possível duplicidade do número; ","")&amp;IF(AD217=1,"Cadastro ou datas a revisar; ","")&amp;IF(AF217&gt;0,"Item de resíduo com dado a revisar; ","")&amp;IF(AH217&gt;0,"Diferença de quantidade a analisar; ","")&amp;IF(AK217&gt;0,"Recebimento com alerta; ","")&amp;IF(AL217&gt;0,"Vínculo de CDF com alerta; ","")&amp;IF(AND(AA217=0,AN217=0),"Recebimento não confirmado; ","")&amp;IF(AND(AA217=0,AN217=1,AO217=0),"CDF pendente ou a conferir; ",""))</f>
        <v/>
      </c>
      <c r="AX217" s="96">
        <f>IF(Z217=0,0,IF(AND(OR(f_ini="",AND(ISNUMBER(E217),E217&gt;=f_ini)),OR(f_fim="",AND(ISNUMBER(E217),E217&lt;=f_fim)),OR(f_un="",f_un="(Todas)",G217=f_un),OR(f_tr="",f_tr="(Todos)",H217=f_tr),OR(f_de="",f_de="(Todos)",I217=f_de),OR(f_sit="",f_sit="(Todas)",S217=f_sit)),1,0))</f>
        <v>0</v>
      </c>
      <c r="AY217" s="96">
        <f>IF(AX217=0,0,IF(OR(f_res="",f_res="(Todos)"),1,IF(COUNTIFS('ITENS_MTR'!$S$6:$S$1005,A217,'ITENS_MTR'!$C$6:$C$1005,f_res)&gt;0,1,0)))</f>
        <v>0</v>
      </c>
      <c r="AZ217" s="97" t="str">
        <f>IF(ISNUMBER(E217),DATE(YEAR(E217),MONTH(E217),1),"")</f>
        <v/>
      </c>
      <c r="BA217" s="96">
        <f>IF(Z217=0,0,IF(AND(OR(r_ini="",AND(ISNUMBER(E217),E217&gt;=r_ini)),OR(r_fim="",AND(ISNUMBER(E217),E217&lt;=r_fim)),OR(r_un="",r_un="(Todas)",G217=r_un),OR(r_de="",r_de="(Todos)",I217=r_de)),1,0))</f>
        <v>0</v>
      </c>
      <c r="BB217" s="96" t="str">
        <f>IF(BA217=1,COUNTIF($BA$6:BA217,1),"")</f>
        <v/>
      </c>
      <c r="BC217" s="96" t="str">
        <f>IF(AND(AU217&lt;&gt;"",OR(r_un="",r_un="(Todas)",G217=r_un),OR(r_de="",r_de="(Todos)",I217=r_de)),AU217,"")</f>
        <v/>
      </c>
      <c r="BD217" s="96" t="str">
        <f>IF(Z217=1,A217&amp;" | nº "&amp;IF(B217="","(sem número)",B217)&amp;" | "&amp;IF(G217="","(sem unidade)",G217),"")</f>
        <v/>
      </c>
      <c r="BE217" s="96" t="str">
        <f>IF(Z217=1,COUNTIF($Z$6:Z217,1),"")</f>
        <v/>
      </c>
      <c r="BF217" s="96" t="str">
        <f>IF(T217="","",IF(T217="RECEBIMENTO NÃO CONFIRMADO","Transp.: "&amp;H217&amp;" | Dest.: "&amp;I217,IF(OR(T217="CDF NÃO LOCALIZADO",T217="VÍNCULO INCOMPLETO",T217="CDF A CONFERIR"),"Dest.: "&amp;I217,"Gerador: "&amp;G217)))</f>
        <v/>
      </c>
    </row>
    <row r="218">
      <c r="A218" s="89" t="inlineStr">
        <is>
          <t>MTR-000213</t>
        </is>
      </c>
      <c r="B218" s="90" t="n"/>
      <c r="C218" s="91" t="n"/>
      <c r="D218" s="91" t="n"/>
      <c r="E218" s="92" t="n"/>
      <c r="F218" s="92" t="n"/>
      <c r="G218" s="91" t="n"/>
      <c r="H218" s="91" t="n"/>
      <c r="I218" s="91" t="n"/>
      <c r="J218" s="91" t="n"/>
      <c r="K218" s="91" t="n"/>
      <c r="L218" s="92" t="n"/>
      <c r="M218" s="91" t="n"/>
      <c r="N218" s="91" t="n"/>
      <c r="O218" s="91" t="n"/>
      <c r="P218" s="93" t="str">
        <f>IF(Z218=0,"",SUMIFS('ITENS_MTR'!$I$6:$I$1005,'ITENS_MTR'!$S$6:$S$1005,A218,'ITENS_MTR'!$Y$6:$Y$1005,1))</f>
        <v/>
      </c>
      <c r="Q218" s="93" t="str">
        <f>IF(Z218=0,"",SUMIFS('RECEBIMENTOS'!$H$6:$H$1005,'RECEBIMENTOS'!$B$6:$B$1005,A218,'RECEBIMENTOS'!$X$6:$X$1005,1))</f>
        <v/>
      </c>
      <c r="R218" s="93" t="str">
        <f>IF(Z218=0,"",SUMIFS('VÍNCULOS_CDF'!$H$6:$H$1005,'VÍNCULOS_CDF'!$D$6:$D$1005,A218,'VÍNCULOS_CDF'!$V$6:$V$1005,1))</f>
        <v/>
      </c>
      <c r="S218" s="94" t="str">
        <f>IF(Z218=0,"",IF(AA218=1,"Cancelado (informado)",IF(AE218=1,"Cadastro incompleto",IF(OR(AC218=1,AD218=1,AF218&gt;0,AH218&gt;0,AK218&gt;0,AL218&gt;0),"Informação a revisar",IF(AN218=0,"Aguardando recebimento",IF(N(R218)=0,"Aguardando CDF",IF(AJ218&lt;N(W218),"Vínculo de CDF parcial",IF(AO218=0,"CDF localizado, a conferir","Documentação conferida"))))))))</f>
        <v/>
      </c>
      <c r="T218" s="94" t="str">
        <f>IF(Z218=0,"",IF(S218="Cadastro incompleto","MTR INCOMPLETO",IF(S218="Informação a revisar",IF(AND(AH218&gt;0,AC218=0,AD218=0,AF218=0,AK218=0,AL218=0),"QUANTIDADE A REVISAR","IDENTIFICAÇÃO A REVISAR"),IF(S218="Aguardando recebimento","RECEBIMENTO NÃO CONFIRMADO",IF(S218="Aguardando CDF","CDF NÃO LOCALIZADO",IF(S218="Vínculo de CDF parcial","VÍNCULO INCOMPLETO",IF(S218="CDF localizado, a conferir","CDF A CONFERIR","")))))))</f>
        <v/>
      </c>
      <c r="U218" s="95" t="str">
        <f>IF(T218="","",IF(AQ218="","Não calculável",IF(AQ218&gt;TODAY(),"Data futura",TODAY()-AQ218)))</f>
        <v/>
      </c>
      <c r="V218" s="93" t="str">
        <f>IF(Z218=0,"",SUMIFS('RECEBIMENTOS'!$H$6:$H$1005,'RECEBIMENTOS'!$B$6:$B$1005,A218,'RECEBIMENTOS'!$Z$6:$Z$1005,1))</f>
        <v/>
      </c>
      <c r="W218" s="95" t="str">
        <f>IF(Z218=0,"",COUNTIFS('ITENS_MTR'!$S$6:$S$1005,A218,'ITENS_MTR'!$R$6:$R$1005,1))</f>
        <v/>
      </c>
      <c r="X218" s="94" t="str">
        <f>IF(AC218=1,"POSSÍVEL DUPLICIDADE","")</f>
        <v/>
      </c>
      <c r="Y218" s="94" t="str">
        <f>IF(Z218=0,"",IF(AW218="","Nenhuma",LEFT(AW218,LEN(AW218)-2)))</f>
        <v/>
      </c>
      <c r="Z218" s="96">
        <f>IF(COUNTA(B218:O218)&gt;0,1,0)</f>
        <v>0</v>
      </c>
      <c r="AA218" s="96">
        <f>IF(AND(Z218=1,K218&lt;&gt;""),IF(TRIM(K218)=TRIM(cfg_cancel),1,0),0)</f>
        <v>0</v>
      </c>
      <c r="AB218" s="96" t="str">
        <f>IF(AND(Z218=1,B218&lt;&gt;""),C218&amp;"|"&amp;D218&amp;"|"&amp;G218&amp;"|"&amp;TRIM(B218),"")</f>
        <v/>
      </c>
      <c r="AC218" s="96">
        <f>IF(AB218="",0,IF(SUMPRODUCT(--($AB$6:$AB$505=AB218))&gt;1,1,0))</f>
        <v>0</v>
      </c>
      <c r="AD218" s="96">
        <f>IF(Z218=0,0,IF(OR(AND(G218&lt;&gt;"",ISNA(MATCH(G218,'CAD_UNIDADES'!$C$6:$C$105,0))),AND(H218&lt;&gt;"",ISNA(MATCH(H218,cmp_transp,0))),AND(I218&lt;&gt;"",ISNA(MATCH(I218,cmp_dest,0))),AND(E218&lt;&gt;"",NOT(ISNUMBER(E218))),AND(F218&lt;&gt;"",NOT(ISNUMBER(F218))),AND(ISNUMBER(E218),ISNUMBER(F218),F218&lt;E218)),1,0))</f>
        <v>0</v>
      </c>
      <c r="AE218" s="96">
        <f>IF(Z218=0,0,IF(OR(B218="",C218="",E218="",G218="",H218="",I218="",N(W218)=0),1,0))</f>
        <v>0</v>
      </c>
      <c r="AF218" s="96">
        <f>IF(Z218=0,0,COUNTIFS('ITENS_MTR'!$S$6:$S$1005,A218,'ITENS_MTR'!$AI$6:$AI$1005,1))</f>
        <v>0</v>
      </c>
      <c r="AG218" s="96">
        <f>IF(Z218=0,0,COUNTIFS('ITENS_MTR'!$S$6:$S$1005,A218,'ITENS_MTR'!$AJ$6:$AJ$1005,1))</f>
        <v>0</v>
      </c>
      <c r="AH218" s="96">
        <f>IF(Z218=0,0,COUNTIFS('ITENS_MTR'!$S$6:$S$1005,A218,'ITENS_MTR'!$AM$6:$AM$1005,1))</f>
        <v>0</v>
      </c>
      <c r="AI218" s="96">
        <f>IF(Z218=0,0,COUNTIFS('ITENS_MTR'!$S$6:$S$1005,A218,'ITENS_MTR'!$AO$6:$AO$1005,1))</f>
        <v>0</v>
      </c>
      <c r="AJ218" s="96">
        <f>IF(Z218=0,0,COUNTIFS('ITENS_MTR'!$S$6:$S$1005,A218,'ITENS_MTR'!$AN$6:$AN$1005,1))</f>
        <v>0</v>
      </c>
      <c r="AK218" s="96">
        <f>IF(Z218=0,0,COUNTIFS('RECEBIMENTOS'!$B$6:$B$1005,A218,'RECEBIMENTOS'!$Y$6:$Y$1005,1))</f>
        <v>0</v>
      </c>
      <c r="AL218" s="96">
        <f>IF(Z218=0,0,COUNTIFS('VÍNCULOS_CDF'!$D$6:$D$1005,A218,'VÍNCULOS_CDF'!$Y$6:$Y$1005,1))</f>
        <v>0</v>
      </c>
      <c r="AM218" s="96">
        <f>IF(Z218=0,0,COUNTIFS('RECEBIMENTOS'!$B$6:$B$1005,A218,'RECEBIMENTOS'!$Q$6:$Q$1005,1))</f>
        <v>0</v>
      </c>
      <c r="AN218" s="96">
        <f>IF(AND(Z218=1,N(W218)&gt;0,AG218=N(W218)),1,0)</f>
        <v>0</v>
      </c>
      <c r="AO218" s="96">
        <f>IF(AND(Z218=1,N(W218)&gt;0,AI218=N(W218)),1,0)</f>
        <v>0</v>
      </c>
      <c r="AP218" s="97">
        <f>IF(Z218=0,0,_xlfn.MAXIFS('RECEBIMENTOS'!$E$6:$E$1005,'RECEBIMENTOS'!$B$6:$B$1005,A218))</f>
        <v>0</v>
      </c>
      <c r="AQ218" s="97" t="str">
        <f>IF(T218="","",IF(T218="RECEBIMENTO NÃO CONFIRMADO",IF(ISNUMBER(F218),F218,IF(ISNUMBER(E218),E218,"")),IF(OR(T218="CDF NÃO LOCALIZADO",T218="VÍNCULO INCOMPLETO",T218="CDF A CONFERIR"),IF(AP218&gt;0,AP218,IF(ISNUMBER(E218),E218,"")),IF(ISNUMBER(E218),E218,""))))</f>
        <v/>
      </c>
      <c r="AR218" s="96">
        <f>IF(NOT(ISNUMBER(U218)),0,IF(T218="RECEBIMENTO NÃO CONFIRMADO",IF(AND(ISNUMBER(cfg_rec),U218&gt;cfg_rec),1,0),IF(OR(T218="CDF NÃO LOCALIZADO",T218="VÍNCULO INCOMPLETO",T218="CDF A CONFERIR"),IF(AND(ISNUMBER(cfg_cdf),U218&gt;cfg_cdf),1,0),0)))</f>
        <v>0</v>
      </c>
      <c r="AS218" s="96" t="str">
        <f>IF(T218="","",IF(AR218=1,"Alta",IFERROR(INDEX(cfg_pp,MATCH(T218,cfg_pt,0))&amp;"","Média")))</f>
        <v/>
      </c>
      <c r="AT218" s="96" t="str">
        <f>IF(T218="","",IFERROR(INDEX(cfg_pv,MATCH(T218,cfg_pt,0))&amp;"",""))</f>
        <v/>
      </c>
      <c r="AU218" s="96" t="str">
        <f>IF(T218="","",IF(AS218="Alta",1,IF(AS218="Média",2,3))*1000000000+(999999-IF(ISNUMBER(U218),MIN(U218,999999),0))*1000+213)</f>
        <v/>
      </c>
      <c r="AV218" s="96">
        <f>IF(T218&lt;&gt;"",1,0)</f>
        <v>0</v>
      </c>
      <c r="AW218" s="96" t="str">
        <f>IF(Z218=0,"",IF(AA218=1,"Cancelamento informado; ","")&amp;IF(AE218=1,"Campos essenciais ou itens faltando; ","")&amp;IF(AC218=1,"Possível duplicidade do número; ","")&amp;IF(AD218=1,"Cadastro ou datas a revisar; ","")&amp;IF(AF218&gt;0,"Item de resíduo com dado a revisar; ","")&amp;IF(AH218&gt;0,"Diferença de quantidade a analisar; ","")&amp;IF(AK218&gt;0,"Recebimento com alerta; ","")&amp;IF(AL218&gt;0,"Vínculo de CDF com alerta; ","")&amp;IF(AND(AA218=0,AN218=0),"Recebimento não confirmado; ","")&amp;IF(AND(AA218=0,AN218=1,AO218=0),"CDF pendente ou a conferir; ",""))</f>
        <v/>
      </c>
      <c r="AX218" s="96">
        <f>IF(Z218=0,0,IF(AND(OR(f_ini="",AND(ISNUMBER(E218),E218&gt;=f_ini)),OR(f_fim="",AND(ISNUMBER(E218),E218&lt;=f_fim)),OR(f_un="",f_un="(Todas)",G218=f_un),OR(f_tr="",f_tr="(Todos)",H218=f_tr),OR(f_de="",f_de="(Todos)",I218=f_de),OR(f_sit="",f_sit="(Todas)",S218=f_sit)),1,0))</f>
        <v>0</v>
      </c>
      <c r="AY218" s="96">
        <f>IF(AX218=0,0,IF(OR(f_res="",f_res="(Todos)"),1,IF(COUNTIFS('ITENS_MTR'!$S$6:$S$1005,A218,'ITENS_MTR'!$C$6:$C$1005,f_res)&gt;0,1,0)))</f>
        <v>0</v>
      </c>
      <c r="AZ218" s="97" t="str">
        <f>IF(ISNUMBER(E218),DATE(YEAR(E218),MONTH(E218),1),"")</f>
        <v/>
      </c>
      <c r="BA218" s="96">
        <f>IF(Z218=0,0,IF(AND(OR(r_ini="",AND(ISNUMBER(E218),E218&gt;=r_ini)),OR(r_fim="",AND(ISNUMBER(E218),E218&lt;=r_fim)),OR(r_un="",r_un="(Todas)",G218=r_un),OR(r_de="",r_de="(Todos)",I218=r_de)),1,0))</f>
        <v>0</v>
      </c>
      <c r="BB218" s="96" t="str">
        <f>IF(BA218=1,COUNTIF($BA$6:BA218,1),"")</f>
        <v/>
      </c>
      <c r="BC218" s="96" t="str">
        <f>IF(AND(AU218&lt;&gt;"",OR(r_un="",r_un="(Todas)",G218=r_un),OR(r_de="",r_de="(Todos)",I218=r_de)),AU218,"")</f>
        <v/>
      </c>
      <c r="BD218" s="96" t="str">
        <f>IF(Z218=1,A218&amp;" | nº "&amp;IF(B218="","(sem número)",B218)&amp;" | "&amp;IF(G218="","(sem unidade)",G218),"")</f>
        <v/>
      </c>
      <c r="BE218" s="96" t="str">
        <f>IF(Z218=1,COUNTIF($Z$6:Z218,1),"")</f>
        <v/>
      </c>
      <c r="BF218" s="96" t="str">
        <f>IF(T218="","",IF(T218="RECEBIMENTO NÃO CONFIRMADO","Transp.: "&amp;H218&amp;" | Dest.: "&amp;I218,IF(OR(T218="CDF NÃO LOCALIZADO",T218="VÍNCULO INCOMPLETO",T218="CDF A CONFERIR"),"Dest.: "&amp;I218,"Gerador: "&amp;G218)))</f>
        <v/>
      </c>
    </row>
    <row r="219">
      <c r="A219" s="89" t="inlineStr">
        <is>
          <t>MTR-000214</t>
        </is>
      </c>
      <c r="B219" s="90" t="n"/>
      <c r="C219" s="91" t="n"/>
      <c r="D219" s="91" t="n"/>
      <c r="E219" s="92" t="n"/>
      <c r="F219" s="92" t="n"/>
      <c r="G219" s="91" t="n"/>
      <c r="H219" s="91" t="n"/>
      <c r="I219" s="91" t="n"/>
      <c r="J219" s="91" t="n"/>
      <c r="K219" s="91" t="n"/>
      <c r="L219" s="92" t="n"/>
      <c r="M219" s="91" t="n"/>
      <c r="N219" s="91" t="n"/>
      <c r="O219" s="91" t="n"/>
      <c r="P219" s="93" t="str">
        <f>IF(Z219=0,"",SUMIFS('ITENS_MTR'!$I$6:$I$1005,'ITENS_MTR'!$S$6:$S$1005,A219,'ITENS_MTR'!$Y$6:$Y$1005,1))</f>
        <v/>
      </c>
      <c r="Q219" s="93" t="str">
        <f>IF(Z219=0,"",SUMIFS('RECEBIMENTOS'!$H$6:$H$1005,'RECEBIMENTOS'!$B$6:$B$1005,A219,'RECEBIMENTOS'!$X$6:$X$1005,1))</f>
        <v/>
      </c>
      <c r="R219" s="93" t="str">
        <f>IF(Z219=0,"",SUMIFS('VÍNCULOS_CDF'!$H$6:$H$1005,'VÍNCULOS_CDF'!$D$6:$D$1005,A219,'VÍNCULOS_CDF'!$V$6:$V$1005,1))</f>
        <v/>
      </c>
      <c r="S219" s="94" t="str">
        <f>IF(Z219=0,"",IF(AA219=1,"Cancelado (informado)",IF(AE219=1,"Cadastro incompleto",IF(OR(AC219=1,AD219=1,AF219&gt;0,AH219&gt;0,AK219&gt;0,AL219&gt;0),"Informação a revisar",IF(AN219=0,"Aguardando recebimento",IF(N(R219)=0,"Aguardando CDF",IF(AJ219&lt;N(W219),"Vínculo de CDF parcial",IF(AO219=0,"CDF localizado, a conferir","Documentação conferida"))))))))</f>
        <v/>
      </c>
      <c r="T219" s="94" t="str">
        <f>IF(Z219=0,"",IF(S219="Cadastro incompleto","MTR INCOMPLETO",IF(S219="Informação a revisar",IF(AND(AH219&gt;0,AC219=0,AD219=0,AF219=0,AK219=0,AL219=0),"QUANTIDADE A REVISAR","IDENTIFICAÇÃO A REVISAR"),IF(S219="Aguardando recebimento","RECEBIMENTO NÃO CONFIRMADO",IF(S219="Aguardando CDF","CDF NÃO LOCALIZADO",IF(S219="Vínculo de CDF parcial","VÍNCULO INCOMPLETO",IF(S219="CDF localizado, a conferir","CDF A CONFERIR","")))))))</f>
        <v/>
      </c>
      <c r="U219" s="95" t="str">
        <f>IF(T219="","",IF(AQ219="","Não calculável",IF(AQ219&gt;TODAY(),"Data futura",TODAY()-AQ219)))</f>
        <v/>
      </c>
      <c r="V219" s="93" t="str">
        <f>IF(Z219=0,"",SUMIFS('RECEBIMENTOS'!$H$6:$H$1005,'RECEBIMENTOS'!$B$6:$B$1005,A219,'RECEBIMENTOS'!$Z$6:$Z$1005,1))</f>
        <v/>
      </c>
      <c r="W219" s="95" t="str">
        <f>IF(Z219=0,"",COUNTIFS('ITENS_MTR'!$S$6:$S$1005,A219,'ITENS_MTR'!$R$6:$R$1005,1))</f>
        <v/>
      </c>
      <c r="X219" s="94" t="str">
        <f>IF(AC219=1,"POSSÍVEL DUPLICIDADE","")</f>
        <v/>
      </c>
      <c r="Y219" s="94" t="str">
        <f>IF(Z219=0,"",IF(AW219="","Nenhuma",LEFT(AW219,LEN(AW219)-2)))</f>
        <v/>
      </c>
      <c r="Z219" s="96">
        <f>IF(COUNTA(B219:O219)&gt;0,1,0)</f>
        <v>0</v>
      </c>
      <c r="AA219" s="96">
        <f>IF(AND(Z219=1,K219&lt;&gt;""),IF(TRIM(K219)=TRIM(cfg_cancel),1,0),0)</f>
        <v>0</v>
      </c>
      <c r="AB219" s="96" t="str">
        <f>IF(AND(Z219=1,B219&lt;&gt;""),C219&amp;"|"&amp;D219&amp;"|"&amp;G219&amp;"|"&amp;TRIM(B219),"")</f>
        <v/>
      </c>
      <c r="AC219" s="96">
        <f>IF(AB219="",0,IF(SUMPRODUCT(--($AB$6:$AB$505=AB219))&gt;1,1,0))</f>
        <v>0</v>
      </c>
      <c r="AD219" s="96">
        <f>IF(Z219=0,0,IF(OR(AND(G219&lt;&gt;"",ISNA(MATCH(G219,'CAD_UNIDADES'!$C$6:$C$105,0))),AND(H219&lt;&gt;"",ISNA(MATCH(H219,cmp_transp,0))),AND(I219&lt;&gt;"",ISNA(MATCH(I219,cmp_dest,0))),AND(E219&lt;&gt;"",NOT(ISNUMBER(E219))),AND(F219&lt;&gt;"",NOT(ISNUMBER(F219))),AND(ISNUMBER(E219),ISNUMBER(F219),F219&lt;E219)),1,0))</f>
        <v>0</v>
      </c>
      <c r="AE219" s="96">
        <f>IF(Z219=0,0,IF(OR(B219="",C219="",E219="",G219="",H219="",I219="",N(W219)=0),1,0))</f>
        <v>0</v>
      </c>
      <c r="AF219" s="96">
        <f>IF(Z219=0,0,COUNTIFS('ITENS_MTR'!$S$6:$S$1005,A219,'ITENS_MTR'!$AI$6:$AI$1005,1))</f>
        <v>0</v>
      </c>
      <c r="AG219" s="96">
        <f>IF(Z219=0,0,COUNTIFS('ITENS_MTR'!$S$6:$S$1005,A219,'ITENS_MTR'!$AJ$6:$AJ$1005,1))</f>
        <v>0</v>
      </c>
      <c r="AH219" s="96">
        <f>IF(Z219=0,0,COUNTIFS('ITENS_MTR'!$S$6:$S$1005,A219,'ITENS_MTR'!$AM$6:$AM$1005,1))</f>
        <v>0</v>
      </c>
      <c r="AI219" s="96">
        <f>IF(Z219=0,0,COUNTIFS('ITENS_MTR'!$S$6:$S$1005,A219,'ITENS_MTR'!$AO$6:$AO$1005,1))</f>
        <v>0</v>
      </c>
      <c r="AJ219" s="96">
        <f>IF(Z219=0,0,COUNTIFS('ITENS_MTR'!$S$6:$S$1005,A219,'ITENS_MTR'!$AN$6:$AN$1005,1))</f>
        <v>0</v>
      </c>
      <c r="AK219" s="96">
        <f>IF(Z219=0,0,COUNTIFS('RECEBIMENTOS'!$B$6:$B$1005,A219,'RECEBIMENTOS'!$Y$6:$Y$1005,1))</f>
        <v>0</v>
      </c>
      <c r="AL219" s="96">
        <f>IF(Z219=0,0,COUNTIFS('VÍNCULOS_CDF'!$D$6:$D$1005,A219,'VÍNCULOS_CDF'!$Y$6:$Y$1005,1))</f>
        <v>0</v>
      </c>
      <c r="AM219" s="96">
        <f>IF(Z219=0,0,COUNTIFS('RECEBIMENTOS'!$B$6:$B$1005,A219,'RECEBIMENTOS'!$Q$6:$Q$1005,1))</f>
        <v>0</v>
      </c>
      <c r="AN219" s="96">
        <f>IF(AND(Z219=1,N(W219)&gt;0,AG219=N(W219)),1,0)</f>
        <v>0</v>
      </c>
      <c r="AO219" s="96">
        <f>IF(AND(Z219=1,N(W219)&gt;0,AI219=N(W219)),1,0)</f>
        <v>0</v>
      </c>
      <c r="AP219" s="97">
        <f>IF(Z219=0,0,_xlfn.MAXIFS('RECEBIMENTOS'!$E$6:$E$1005,'RECEBIMENTOS'!$B$6:$B$1005,A219))</f>
        <v>0</v>
      </c>
      <c r="AQ219" s="97" t="str">
        <f>IF(T219="","",IF(T219="RECEBIMENTO NÃO CONFIRMADO",IF(ISNUMBER(F219),F219,IF(ISNUMBER(E219),E219,"")),IF(OR(T219="CDF NÃO LOCALIZADO",T219="VÍNCULO INCOMPLETO",T219="CDF A CONFERIR"),IF(AP219&gt;0,AP219,IF(ISNUMBER(E219),E219,"")),IF(ISNUMBER(E219),E219,""))))</f>
        <v/>
      </c>
      <c r="AR219" s="96">
        <f>IF(NOT(ISNUMBER(U219)),0,IF(T219="RECEBIMENTO NÃO CONFIRMADO",IF(AND(ISNUMBER(cfg_rec),U219&gt;cfg_rec),1,0),IF(OR(T219="CDF NÃO LOCALIZADO",T219="VÍNCULO INCOMPLETO",T219="CDF A CONFERIR"),IF(AND(ISNUMBER(cfg_cdf),U219&gt;cfg_cdf),1,0),0)))</f>
        <v>0</v>
      </c>
      <c r="AS219" s="96" t="str">
        <f>IF(T219="","",IF(AR219=1,"Alta",IFERROR(INDEX(cfg_pp,MATCH(T219,cfg_pt,0))&amp;"","Média")))</f>
        <v/>
      </c>
      <c r="AT219" s="96" t="str">
        <f>IF(T219="","",IFERROR(INDEX(cfg_pv,MATCH(T219,cfg_pt,0))&amp;"",""))</f>
        <v/>
      </c>
      <c r="AU219" s="96" t="str">
        <f>IF(T219="","",IF(AS219="Alta",1,IF(AS219="Média",2,3))*1000000000+(999999-IF(ISNUMBER(U219),MIN(U219,999999),0))*1000+214)</f>
        <v/>
      </c>
      <c r="AV219" s="96">
        <f>IF(T219&lt;&gt;"",1,0)</f>
        <v>0</v>
      </c>
      <c r="AW219" s="96" t="str">
        <f>IF(Z219=0,"",IF(AA219=1,"Cancelamento informado; ","")&amp;IF(AE219=1,"Campos essenciais ou itens faltando; ","")&amp;IF(AC219=1,"Possível duplicidade do número; ","")&amp;IF(AD219=1,"Cadastro ou datas a revisar; ","")&amp;IF(AF219&gt;0,"Item de resíduo com dado a revisar; ","")&amp;IF(AH219&gt;0,"Diferença de quantidade a analisar; ","")&amp;IF(AK219&gt;0,"Recebimento com alerta; ","")&amp;IF(AL219&gt;0,"Vínculo de CDF com alerta; ","")&amp;IF(AND(AA219=0,AN219=0),"Recebimento não confirmado; ","")&amp;IF(AND(AA219=0,AN219=1,AO219=0),"CDF pendente ou a conferir; ",""))</f>
        <v/>
      </c>
      <c r="AX219" s="96">
        <f>IF(Z219=0,0,IF(AND(OR(f_ini="",AND(ISNUMBER(E219),E219&gt;=f_ini)),OR(f_fim="",AND(ISNUMBER(E219),E219&lt;=f_fim)),OR(f_un="",f_un="(Todas)",G219=f_un),OR(f_tr="",f_tr="(Todos)",H219=f_tr),OR(f_de="",f_de="(Todos)",I219=f_de),OR(f_sit="",f_sit="(Todas)",S219=f_sit)),1,0))</f>
        <v>0</v>
      </c>
      <c r="AY219" s="96">
        <f>IF(AX219=0,0,IF(OR(f_res="",f_res="(Todos)"),1,IF(COUNTIFS('ITENS_MTR'!$S$6:$S$1005,A219,'ITENS_MTR'!$C$6:$C$1005,f_res)&gt;0,1,0)))</f>
        <v>0</v>
      </c>
      <c r="AZ219" s="97" t="str">
        <f>IF(ISNUMBER(E219),DATE(YEAR(E219),MONTH(E219),1),"")</f>
        <v/>
      </c>
      <c r="BA219" s="96">
        <f>IF(Z219=0,0,IF(AND(OR(r_ini="",AND(ISNUMBER(E219),E219&gt;=r_ini)),OR(r_fim="",AND(ISNUMBER(E219),E219&lt;=r_fim)),OR(r_un="",r_un="(Todas)",G219=r_un),OR(r_de="",r_de="(Todos)",I219=r_de)),1,0))</f>
        <v>0</v>
      </c>
      <c r="BB219" s="96" t="str">
        <f>IF(BA219=1,COUNTIF($BA$6:BA219,1),"")</f>
        <v/>
      </c>
      <c r="BC219" s="96" t="str">
        <f>IF(AND(AU219&lt;&gt;"",OR(r_un="",r_un="(Todas)",G219=r_un),OR(r_de="",r_de="(Todos)",I219=r_de)),AU219,"")</f>
        <v/>
      </c>
      <c r="BD219" s="96" t="str">
        <f>IF(Z219=1,A219&amp;" | nº "&amp;IF(B219="","(sem número)",B219)&amp;" | "&amp;IF(G219="","(sem unidade)",G219),"")</f>
        <v/>
      </c>
      <c r="BE219" s="96" t="str">
        <f>IF(Z219=1,COUNTIF($Z$6:Z219,1),"")</f>
        <v/>
      </c>
      <c r="BF219" s="96" t="str">
        <f>IF(T219="","",IF(T219="RECEBIMENTO NÃO CONFIRMADO","Transp.: "&amp;H219&amp;" | Dest.: "&amp;I219,IF(OR(T219="CDF NÃO LOCALIZADO",T219="VÍNCULO INCOMPLETO",T219="CDF A CONFERIR"),"Dest.: "&amp;I219,"Gerador: "&amp;G219)))</f>
        <v/>
      </c>
    </row>
    <row r="220">
      <c r="A220" s="89" t="inlineStr">
        <is>
          <t>MTR-000215</t>
        </is>
      </c>
      <c r="B220" s="90" t="n"/>
      <c r="C220" s="91" t="n"/>
      <c r="D220" s="91" t="n"/>
      <c r="E220" s="92" t="n"/>
      <c r="F220" s="92" t="n"/>
      <c r="G220" s="91" t="n"/>
      <c r="H220" s="91" t="n"/>
      <c r="I220" s="91" t="n"/>
      <c r="J220" s="91" t="n"/>
      <c r="K220" s="91" t="n"/>
      <c r="L220" s="92" t="n"/>
      <c r="M220" s="91" t="n"/>
      <c r="N220" s="91" t="n"/>
      <c r="O220" s="91" t="n"/>
      <c r="P220" s="93" t="str">
        <f>IF(Z220=0,"",SUMIFS('ITENS_MTR'!$I$6:$I$1005,'ITENS_MTR'!$S$6:$S$1005,A220,'ITENS_MTR'!$Y$6:$Y$1005,1))</f>
        <v/>
      </c>
      <c r="Q220" s="93" t="str">
        <f>IF(Z220=0,"",SUMIFS('RECEBIMENTOS'!$H$6:$H$1005,'RECEBIMENTOS'!$B$6:$B$1005,A220,'RECEBIMENTOS'!$X$6:$X$1005,1))</f>
        <v/>
      </c>
      <c r="R220" s="93" t="str">
        <f>IF(Z220=0,"",SUMIFS('VÍNCULOS_CDF'!$H$6:$H$1005,'VÍNCULOS_CDF'!$D$6:$D$1005,A220,'VÍNCULOS_CDF'!$V$6:$V$1005,1))</f>
        <v/>
      </c>
      <c r="S220" s="94" t="str">
        <f>IF(Z220=0,"",IF(AA220=1,"Cancelado (informado)",IF(AE220=1,"Cadastro incompleto",IF(OR(AC220=1,AD220=1,AF220&gt;0,AH220&gt;0,AK220&gt;0,AL220&gt;0),"Informação a revisar",IF(AN220=0,"Aguardando recebimento",IF(N(R220)=0,"Aguardando CDF",IF(AJ220&lt;N(W220),"Vínculo de CDF parcial",IF(AO220=0,"CDF localizado, a conferir","Documentação conferida"))))))))</f>
        <v/>
      </c>
      <c r="T220" s="94" t="str">
        <f>IF(Z220=0,"",IF(S220="Cadastro incompleto","MTR INCOMPLETO",IF(S220="Informação a revisar",IF(AND(AH220&gt;0,AC220=0,AD220=0,AF220=0,AK220=0,AL220=0),"QUANTIDADE A REVISAR","IDENTIFICAÇÃO A REVISAR"),IF(S220="Aguardando recebimento","RECEBIMENTO NÃO CONFIRMADO",IF(S220="Aguardando CDF","CDF NÃO LOCALIZADO",IF(S220="Vínculo de CDF parcial","VÍNCULO INCOMPLETO",IF(S220="CDF localizado, a conferir","CDF A CONFERIR","")))))))</f>
        <v/>
      </c>
      <c r="U220" s="95" t="str">
        <f>IF(T220="","",IF(AQ220="","Não calculável",IF(AQ220&gt;TODAY(),"Data futura",TODAY()-AQ220)))</f>
        <v/>
      </c>
      <c r="V220" s="93" t="str">
        <f>IF(Z220=0,"",SUMIFS('RECEBIMENTOS'!$H$6:$H$1005,'RECEBIMENTOS'!$B$6:$B$1005,A220,'RECEBIMENTOS'!$Z$6:$Z$1005,1))</f>
        <v/>
      </c>
      <c r="W220" s="95" t="str">
        <f>IF(Z220=0,"",COUNTIFS('ITENS_MTR'!$S$6:$S$1005,A220,'ITENS_MTR'!$R$6:$R$1005,1))</f>
        <v/>
      </c>
      <c r="X220" s="94" t="str">
        <f>IF(AC220=1,"POSSÍVEL DUPLICIDADE","")</f>
        <v/>
      </c>
      <c r="Y220" s="94" t="str">
        <f>IF(Z220=0,"",IF(AW220="","Nenhuma",LEFT(AW220,LEN(AW220)-2)))</f>
        <v/>
      </c>
      <c r="Z220" s="96">
        <f>IF(COUNTA(B220:O220)&gt;0,1,0)</f>
        <v>0</v>
      </c>
      <c r="AA220" s="96">
        <f>IF(AND(Z220=1,K220&lt;&gt;""),IF(TRIM(K220)=TRIM(cfg_cancel),1,0),0)</f>
        <v>0</v>
      </c>
      <c r="AB220" s="96" t="str">
        <f>IF(AND(Z220=1,B220&lt;&gt;""),C220&amp;"|"&amp;D220&amp;"|"&amp;G220&amp;"|"&amp;TRIM(B220),"")</f>
        <v/>
      </c>
      <c r="AC220" s="96">
        <f>IF(AB220="",0,IF(SUMPRODUCT(--($AB$6:$AB$505=AB220))&gt;1,1,0))</f>
        <v>0</v>
      </c>
      <c r="AD220" s="96">
        <f>IF(Z220=0,0,IF(OR(AND(G220&lt;&gt;"",ISNA(MATCH(G220,'CAD_UNIDADES'!$C$6:$C$105,0))),AND(H220&lt;&gt;"",ISNA(MATCH(H220,cmp_transp,0))),AND(I220&lt;&gt;"",ISNA(MATCH(I220,cmp_dest,0))),AND(E220&lt;&gt;"",NOT(ISNUMBER(E220))),AND(F220&lt;&gt;"",NOT(ISNUMBER(F220))),AND(ISNUMBER(E220),ISNUMBER(F220),F220&lt;E220)),1,0))</f>
        <v>0</v>
      </c>
      <c r="AE220" s="96">
        <f>IF(Z220=0,0,IF(OR(B220="",C220="",E220="",G220="",H220="",I220="",N(W220)=0),1,0))</f>
        <v>0</v>
      </c>
      <c r="AF220" s="96">
        <f>IF(Z220=0,0,COUNTIFS('ITENS_MTR'!$S$6:$S$1005,A220,'ITENS_MTR'!$AI$6:$AI$1005,1))</f>
        <v>0</v>
      </c>
      <c r="AG220" s="96">
        <f>IF(Z220=0,0,COUNTIFS('ITENS_MTR'!$S$6:$S$1005,A220,'ITENS_MTR'!$AJ$6:$AJ$1005,1))</f>
        <v>0</v>
      </c>
      <c r="AH220" s="96">
        <f>IF(Z220=0,0,COUNTIFS('ITENS_MTR'!$S$6:$S$1005,A220,'ITENS_MTR'!$AM$6:$AM$1005,1))</f>
        <v>0</v>
      </c>
      <c r="AI220" s="96">
        <f>IF(Z220=0,0,COUNTIFS('ITENS_MTR'!$S$6:$S$1005,A220,'ITENS_MTR'!$AO$6:$AO$1005,1))</f>
        <v>0</v>
      </c>
      <c r="AJ220" s="96">
        <f>IF(Z220=0,0,COUNTIFS('ITENS_MTR'!$S$6:$S$1005,A220,'ITENS_MTR'!$AN$6:$AN$1005,1))</f>
        <v>0</v>
      </c>
      <c r="AK220" s="96">
        <f>IF(Z220=0,0,COUNTIFS('RECEBIMENTOS'!$B$6:$B$1005,A220,'RECEBIMENTOS'!$Y$6:$Y$1005,1))</f>
        <v>0</v>
      </c>
      <c r="AL220" s="96">
        <f>IF(Z220=0,0,COUNTIFS('VÍNCULOS_CDF'!$D$6:$D$1005,A220,'VÍNCULOS_CDF'!$Y$6:$Y$1005,1))</f>
        <v>0</v>
      </c>
      <c r="AM220" s="96">
        <f>IF(Z220=0,0,COUNTIFS('RECEBIMENTOS'!$B$6:$B$1005,A220,'RECEBIMENTOS'!$Q$6:$Q$1005,1))</f>
        <v>0</v>
      </c>
      <c r="AN220" s="96">
        <f>IF(AND(Z220=1,N(W220)&gt;0,AG220=N(W220)),1,0)</f>
        <v>0</v>
      </c>
      <c r="AO220" s="96">
        <f>IF(AND(Z220=1,N(W220)&gt;0,AI220=N(W220)),1,0)</f>
        <v>0</v>
      </c>
      <c r="AP220" s="97">
        <f>IF(Z220=0,0,_xlfn.MAXIFS('RECEBIMENTOS'!$E$6:$E$1005,'RECEBIMENTOS'!$B$6:$B$1005,A220))</f>
        <v>0</v>
      </c>
      <c r="AQ220" s="97" t="str">
        <f>IF(T220="","",IF(T220="RECEBIMENTO NÃO CONFIRMADO",IF(ISNUMBER(F220),F220,IF(ISNUMBER(E220),E220,"")),IF(OR(T220="CDF NÃO LOCALIZADO",T220="VÍNCULO INCOMPLETO",T220="CDF A CONFERIR"),IF(AP220&gt;0,AP220,IF(ISNUMBER(E220),E220,"")),IF(ISNUMBER(E220),E220,""))))</f>
        <v/>
      </c>
      <c r="AR220" s="96">
        <f>IF(NOT(ISNUMBER(U220)),0,IF(T220="RECEBIMENTO NÃO CONFIRMADO",IF(AND(ISNUMBER(cfg_rec),U220&gt;cfg_rec),1,0),IF(OR(T220="CDF NÃO LOCALIZADO",T220="VÍNCULO INCOMPLETO",T220="CDF A CONFERIR"),IF(AND(ISNUMBER(cfg_cdf),U220&gt;cfg_cdf),1,0),0)))</f>
        <v>0</v>
      </c>
      <c r="AS220" s="96" t="str">
        <f>IF(T220="","",IF(AR220=1,"Alta",IFERROR(INDEX(cfg_pp,MATCH(T220,cfg_pt,0))&amp;"","Média")))</f>
        <v/>
      </c>
      <c r="AT220" s="96" t="str">
        <f>IF(T220="","",IFERROR(INDEX(cfg_pv,MATCH(T220,cfg_pt,0))&amp;"",""))</f>
        <v/>
      </c>
      <c r="AU220" s="96" t="str">
        <f>IF(T220="","",IF(AS220="Alta",1,IF(AS220="Média",2,3))*1000000000+(999999-IF(ISNUMBER(U220),MIN(U220,999999),0))*1000+215)</f>
        <v/>
      </c>
      <c r="AV220" s="96">
        <f>IF(T220&lt;&gt;"",1,0)</f>
        <v>0</v>
      </c>
      <c r="AW220" s="96" t="str">
        <f>IF(Z220=0,"",IF(AA220=1,"Cancelamento informado; ","")&amp;IF(AE220=1,"Campos essenciais ou itens faltando; ","")&amp;IF(AC220=1,"Possível duplicidade do número; ","")&amp;IF(AD220=1,"Cadastro ou datas a revisar; ","")&amp;IF(AF220&gt;0,"Item de resíduo com dado a revisar; ","")&amp;IF(AH220&gt;0,"Diferença de quantidade a analisar; ","")&amp;IF(AK220&gt;0,"Recebimento com alerta; ","")&amp;IF(AL220&gt;0,"Vínculo de CDF com alerta; ","")&amp;IF(AND(AA220=0,AN220=0),"Recebimento não confirmado; ","")&amp;IF(AND(AA220=0,AN220=1,AO220=0),"CDF pendente ou a conferir; ",""))</f>
        <v/>
      </c>
      <c r="AX220" s="96">
        <f>IF(Z220=0,0,IF(AND(OR(f_ini="",AND(ISNUMBER(E220),E220&gt;=f_ini)),OR(f_fim="",AND(ISNUMBER(E220),E220&lt;=f_fim)),OR(f_un="",f_un="(Todas)",G220=f_un),OR(f_tr="",f_tr="(Todos)",H220=f_tr),OR(f_de="",f_de="(Todos)",I220=f_de),OR(f_sit="",f_sit="(Todas)",S220=f_sit)),1,0))</f>
        <v>0</v>
      </c>
      <c r="AY220" s="96">
        <f>IF(AX220=0,0,IF(OR(f_res="",f_res="(Todos)"),1,IF(COUNTIFS('ITENS_MTR'!$S$6:$S$1005,A220,'ITENS_MTR'!$C$6:$C$1005,f_res)&gt;0,1,0)))</f>
        <v>0</v>
      </c>
      <c r="AZ220" s="97" t="str">
        <f>IF(ISNUMBER(E220),DATE(YEAR(E220),MONTH(E220),1),"")</f>
        <v/>
      </c>
      <c r="BA220" s="96">
        <f>IF(Z220=0,0,IF(AND(OR(r_ini="",AND(ISNUMBER(E220),E220&gt;=r_ini)),OR(r_fim="",AND(ISNUMBER(E220),E220&lt;=r_fim)),OR(r_un="",r_un="(Todas)",G220=r_un),OR(r_de="",r_de="(Todos)",I220=r_de)),1,0))</f>
        <v>0</v>
      </c>
      <c r="BB220" s="96" t="str">
        <f>IF(BA220=1,COUNTIF($BA$6:BA220,1),"")</f>
        <v/>
      </c>
      <c r="BC220" s="96" t="str">
        <f>IF(AND(AU220&lt;&gt;"",OR(r_un="",r_un="(Todas)",G220=r_un),OR(r_de="",r_de="(Todos)",I220=r_de)),AU220,"")</f>
        <v/>
      </c>
      <c r="BD220" s="96" t="str">
        <f>IF(Z220=1,A220&amp;" | nº "&amp;IF(B220="","(sem número)",B220)&amp;" | "&amp;IF(G220="","(sem unidade)",G220),"")</f>
        <v/>
      </c>
      <c r="BE220" s="96" t="str">
        <f>IF(Z220=1,COUNTIF($Z$6:Z220,1),"")</f>
        <v/>
      </c>
      <c r="BF220" s="96" t="str">
        <f>IF(T220="","",IF(T220="RECEBIMENTO NÃO CONFIRMADO","Transp.: "&amp;H220&amp;" | Dest.: "&amp;I220,IF(OR(T220="CDF NÃO LOCALIZADO",T220="VÍNCULO INCOMPLETO",T220="CDF A CONFERIR"),"Dest.: "&amp;I220,"Gerador: "&amp;G220)))</f>
        <v/>
      </c>
    </row>
    <row r="221">
      <c r="A221" s="89" t="inlineStr">
        <is>
          <t>MTR-000216</t>
        </is>
      </c>
      <c r="B221" s="90" t="n"/>
      <c r="C221" s="91" t="n"/>
      <c r="D221" s="91" t="n"/>
      <c r="E221" s="92" t="n"/>
      <c r="F221" s="92" t="n"/>
      <c r="G221" s="91" t="n"/>
      <c r="H221" s="91" t="n"/>
      <c r="I221" s="91" t="n"/>
      <c r="J221" s="91" t="n"/>
      <c r="K221" s="91" t="n"/>
      <c r="L221" s="92" t="n"/>
      <c r="M221" s="91" t="n"/>
      <c r="N221" s="91" t="n"/>
      <c r="O221" s="91" t="n"/>
      <c r="P221" s="93" t="str">
        <f>IF(Z221=0,"",SUMIFS('ITENS_MTR'!$I$6:$I$1005,'ITENS_MTR'!$S$6:$S$1005,A221,'ITENS_MTR'!$Y$6:$Y$1005,1))</f>
        <v/>
      </c>
      <c r="Q221" s="93" t="str">
        <f>IF(Z221=0,"",SUMIFS('RECEBIMENTOS'!$H$6:$H$1005,'RECEBIMENTOS'!$B$6:$B$1005,A221,'RECEBIMENTOS'!$X$6:$X$1005,1))</f>
        <v/>
      </c>
      <c r="R221" s="93" t="str">
        <f>IF(Z221=0,"",SUMIFS('VÍNCULOS_CDF'!$H$6:$H$1005,'VÍNCULOS_CDF'!$D$6:$D$1005,A221,'VÍNCULOS_CDF'!$V$6:$V$1005,1))</f>
        <v/>
      </c>
      <c r="S221" s="94" t="str">
        <f>IF(Z221=0,"",IF(AA221=1,"Cancelado (informado)",IF(AE221=1,"Cadastro incompleto",IF(OR(AC221=1,AD221=1,AF221&gt;0,AH221&gt;0,AK221&gt;0,AL221&gt;0),"Informação a revisar",IF(AN221=0,"Aguardando recebimento",IF(N(R221)=0,"Aguardando CDF",IF(AJ221&lt;N(W221),"Vínculo de CDF parcial",IF(AO221=0,"CDF localizado, a conferir","Documentação conferida"))))))))</f>
        <v/>
      </c>
      <c r="T221" s="94" t="str">
        <f>IF(Z221=0,"",IF(S221="Cadastro incompleto","MTR INCOMPLETO",IF(S221="Informação a revisar",IF(AND(AH221&gt;0,AC221=0,AD221=0,AF221=0,AK221=0,AL221=0),"QUANTIDADE A REVISAR","IDENTIFICAÇÃO A REVISAR"),IF(S221="Aguardando recebimento","RECEBIMENTO NÃO CONFIRMADO",IF(S221="Aguardando CDF","CDF NÃO LOCALIZADO",IF(S221="Vínculo de CDF parcial","VÍNCULO INCOMPLETO",IF(S221="CDF localizado, a conferir","CDF A CONFERIR","")))))))</f>
        <v/>
      </c>
      <c r="U221" s="95" t="str">
        <f>IF(T221="","",IF(AQ221="","Não calculável",IF(AQ221&gt;TODAY(),"Data futura",TODAY()-AQ221)))</f>
        <v/>
      </c>
      <c r="V221" s="93" t="str">
        <f>IF(Z221=0,"",SUMIFS('RECEBIMENTOS'!$H$6:$H$1005,'RECEBIMENTOS'!$B$6:$B$1005,A221,'RECEBIMENTOS'!$Z$6:$Z$1005,1))</f>
        <v/>
      </c>
      <c r="W221" s="95" t="str">
        <f>IF(Z221=0,"",COUNTIFS('ITENS_MTR'!$S$6:$S$1005,A221,'ITENS_MTR'!$R$6:$R$1005,1))</f>
        <v/>
      </c>
      <c r="X221" s="94" t="str">
        <f>IF(AC221=1,"POSSÍVEL DUPLICIDADE","")</f>
        <v/>
      </c>
      <c r="Y221" s="94" t="str">
        <f>IF(Z221=0,"",IF(AW221="","Nenhuma",LEFT(AW221,LEN(AW221)-2)))</f>
        <v/>
      </c>
      <c r="Z221" s="96">
        <f>IF(COUNTA(B221:O221)&gt;0,1,0)</f>
        <v>0</v>
      </c>
      <c r="AA221" s="96">
        <f>IF(AND(Z221=1,K221&lt;&gt;""),IF(TRIM(K221)=TRIM(cfg_cancel),1,0),0)</f>
        <v>0</v>
      </c>
      <c r="AB221" s="96" t="str">
        <f>IF(AND(Z221=1,B221&lt;&gt;""),C221&amp;"|"&amp;D221&amp;"|"&amp;G221&amp;"|"&amp;TRIM(B221),"")</f>
        <v/>
      </c>
      <c r="AC221" s="96">
        <f>IF(AB221="",0,IF(SUMPRODUCT(--($AB$6:$AB$505=AB221))&gt;1,1,0))</f>
        <v>0</v>
      </c>
      <c r="AD221" s="96">
        <f>IF(Z221=0,0,IF(OR(AND(G221&lt;&gt;"",ISNA(MATCH(G221,'CAD_UNIDADES'!$C$6:$C$105,0))),AND(H221&lt;&gt;"",ISNA(MATCH(H221,cmp_transp,0))),AND(I221&lt;&gt;"",ISNA(MATCH(I221,cmp_dest,0))),AND(E221&lt;&gt;"",NOT(ISNUMBER(E221))),AND(F221&lt;&gt;"",NOT(ISNUMBER(F221))),AND(ISNUMBER(E221),ISNUMBER(F221),F221&lt;E221)),1,0))</f>
        <v>0</v>
      </c>
      <c r="AE221" s="96">
        <f>IF(Z221=0,0,IF(OR(B221="",C221="",E221="",G221="",H221="",I221="",N(W221)=0),1,0))</f>
        <v>0</v>
      </c>
      <c r="AF221" s="96">
        <f>IF(Z221=0,0,COUNTIFS('ITENS_MTR'!$S$6:$S$1005,A221,'ITENS_MTR'!$AI$6:$AI$1005,1))</f>
        <v>0</v>
      </c>
      <c r="AG221" s="96">
        <f>IF(Z221=0,0,COUNTIFS('ITENS_MTR'!$S$6:$S$1005,A221,'ITENS_MTR'!$AJ$6:$AJ$1005,1))</f>
        <v>0</v>
      </c>
      <c r="AH221" s="96">
        <f>IF(Z221=0,0,COUNTIFS('ITENS_MTR'!$S$6:$S$1005,A221,'ITENS_MTR'!$AM$6:$AM$1005,1))</f>
        <v>0</v>
      </c>
      <c r="AI221" s="96">
        <f>IF(Z221=0,0,COUNTIFS('ITENS_MTR'!$S$6:$S$1005,A221,'ITENS_MTR'!$AO$6:$AO$1005,1))</f>
        <v>0</v>
      </c>
      <c r="AJ221" s="96">
        <f>IF(Z221=0,0,COUNTIFS('ITENS_MTR'!$S$6:$S$1005,A221,'ITENS_MTR'!$AN$6:$AN$1005,1))</f>
        <v>0</v>
      </c>
      <c r="AK221" s="96">
        <f>IF(Z221=0,0,COUNTIFS('RECEBIMENTOS'!$B$6:$B$1005,A221,'RECEBIMENTOS'!$Y$6:$Y$1005,1))</f>
        <v>0</v>
      </c>
      <c r="AL221" s="96">
        <f>IF(Z221=0,0,COUNTIFS('VÍNCULOS_CDF'!$D$6:$D$1005,A221,'VÍNCULOS_CDF'!$Y$6:$Y$1005,1))</f>
        <v>0</v>
      </c>
      <c r="AM221" s="96">
        <f>IF(Z221=0,0,COUNTIFS('RECEBIMENTOS'!$B$6:$B$1005,A221,'RECEBIMENTOS'!$Q$6:$Q$1005,1))</f>
        <v>0</v>
      </c>
      <c r="AN221" s="96">
        <f>IF(AND(Z221=1,N(W221)&gt;0,AG221=N(W221)),1,0)</f>
        <v>0</v>
      </c>
      <c r="AO221" s="96">
        <f>IF(AND(Z221=1,N(W221)&gt;0,AI221=N(W221)),1,0)</f>
        <v>0</v>
      </c>
      <c r="AP221" s="97">
        <f>IF(Z221=0,0,_xlfn.MAXIFS('RECEBIMENTOS'!$E$6:$E$1005,'RECEBIMENTOS'!$B$6:$B$1005,A221))</f>
        <v>0</v>
      </c>
      <c r="AQ221" s="97" t="str">
        <f>IF(T221="","",IF(T221="RECEBIMENTO NÃO CONFIRMADO",IF(ISNUMBER(F221),F221,IF(ISNUMBER(E221),E221,"")),IF(OR(T221="CDF NÃO LOCALIZADO",T221="VÍNCULO INCOMPLETO",T221="CDF A CONFERIR"),IF(AP221&gt;0,AP221,IF(ISNUMBER(E221),E221,"")),IF(ISNUMBER(E221),E221,""))))</f>
        <v/>
      </c>
      <c r="AR221" s="96">
        <f>IF(NOT(ISNUMBER(U221)),0,IF(T221="RECEBIMENTO NÃO CONFIRMADO",IF(AND(ISNUMBER(cfg_rec),U221&gt;cfg_rec),1,0),IF(OR(T221="CDF NÃO LOCALIZADO",T221="VÍNCULO INCOMPLETO",T221="CDF A CONFERIR"),IF(AND(ISNUMBER(cfg_cdf),U221&gt;cfg_cdf),1,0),0)))</f>
        <v>0</v>
      </c>
      <c r="AS221" s="96" t="str">
        <f>IF(T221="","",IF(AR221=1,"Alta",IFERROR(INDEX(cfg_pp,MATCH(T221,cfg_pt,0))&amp;"","Média")))</f>
        <v/>
      </c>
      <c r="AT221" s="96" t="str">
        <f>IF(T221="","",IFERROR(INDEX(cfg_pv,MATCH(T221,cfg_pt,0))&amp;"",""))</f>
        <v/>
      </c>
      <c r="AU221" s="96" t="str">
        <f>IF(T221="","",IF(AS221="Alta",1,IF(AS221="Média",2,3))*1000000000+(999999-IF(ISNUMBER(U221),MIN(U221,999999),0))*1000+216)</f>
        <v/>
      </c>
      <c r="AV221" s="96">
        <f>IF(T221&lt;&gt;"",1,0)</f>
        <v>0</v>
      </c>
      <c r="AW221" s="96" t="str">
        <f>IF(Z221=0,"",IF(AA221=1,"Cancelamento informado; ","")&amp;IF(AE221=1,"Campos essenciais ou itens faltando; ","")&amp;IF(AC221=1,"Possível duplicidade do número; ","")&amp;IF(AD221=1,"Cadastro ou datas a revisar; ","")&amp;IF(AF221&gt;0,"Item de resíduo com dado a revisar; ","")&amp;IF(AH221&gt;0,"Diferença de quantidade a analisar; ","")&amp;IF(AK221&gt;0,"Recebimento com alerta; ","")&amp;IF(AL221&gt;0,"Vínculo de CDF com alerta; ","")&amp;IF(AND(AA221=0,AN221=0),"Recebimento não confirmado; ","")&amp;IF(AND(AA221=0,AN221=1,AO221=0),"CDF pendente ou a conferir; ",""))</f>
        <v/>
      </c>
      <c r="AX221" s="96">
        <f>IF(Z221=0,0,IF(AND(OR(f_ini="",AND(ISNUMBER(E221),E221&gt;=f_ini)),OR(f_fim="",AND(ISNUMBER(E221),E221&lt;=f_fim)),OR(f_un="",f_un="(Todas)",G221=f_un),OR(f_tr="",f_tr="(Todos)",H221=f_tr),OR(f_de="",f_de="(Todos)",I221=f_de),OR(f_sit="",f_sit="(Todas)",S221=f_sit)),1,0))</f>
        <v>0</v>
      </c>
      <c r="AY221" s="96">
        <f>IF(AX221=0,0,IF(OR(f_res="",f_res="(Todos)"),1,IF(COUNTIFS('ITENS_MTR'!$S$6:$S$1005,A221,'ITENS_MTR'!$C$6:$C$1005,f_res)&gt;0,1,0)))</f>
        <v>0</v>
      </c>
      <c r="AZ221" s="97" t="str">
        <f>IF(ISNUMBER(E221),DATE(YEAR(E221),MONTH(E221),1),"")</f>
        <v/>
      </c>
      <c r="BA221" s="96">
        <f>IF(Z221=0,0,IF(AND(OR(r_ini="",AND(ISNUMBER(E221),E221&gt;=r_ini)),OR(r_fim="",AND(ISNUMBER(E221),E221&lt;=r_fim)),OR(r_un="",r_un="(Todas)",G221=r_un),OR(r_de="",r_de="(Todos)",I221=r_de)),1,0))</f>
        <v>0</v>
      </c>
      <c r="BB221" s="96" t="str">
        <f>IF(BA221=1,COUNTIF($BA$6:BA221,1),"")</f>
        <v/>
      </c>
      <c r="BC221" s="96" t="str">
        <f>IF(AND(AU221&lt;&gt;"",OR(r_un="",r_un="(Todas)",G221=r_un),OR(r_de="",r_de="(Todos)",I221=r_de)),AU221,"")</f>
        <v/>
      </c>
      <c r="BD221" s="96" t="str">
        <f>IF(Z221=1,A221&amp;" | nº "&amp;IF(B221="","(sem número)",B221)&amp;" | "&amp;IF(G221="","(sem unidade)",G221),"")</f>
        <v/>
      </c>
      <c r="BE221" s="96" t="str">
        <f>IF(Z221=1,COUNTIF($Z$6:Z221,1),"")</f>
        <v/>
      </c>
      <c r="BF221" s="96" t="str">
        <f>IF(T221="","",IF(T221="RECEBIMENTO NÃO CONFIRMADO","Transp.: "&amp;H221&amp;" | Dest.: "&amp;I221,IF(OR(T221="CDF NÃO LOCALIZADO",T221="VÍNCULO INCOMPLETO",T221="CDF A CONFERIR"),"Dest.: "&amp;I221,"Gerador: "&amp;G221)))</f>
        <v/>
      </c>
    </row>
    <row r="222">
      <c r="A222" s="89" t="inlineStr">
        <is>
          <t>MTR-000217</t>
        </is>
      </c>
      <c r="B222" s="90" t="n"/>
      <c r="C222" s="91" t="n"/>
      <c r="D222" s="91" t="n"/>
      <c r="E222" s="92" t="n"/>
      <c r="F222" s="92" t="n"/>
      <c r="G222" s="91" t="n"/>
      <c r="H222" s="91" t="n"/>
      <c r="I222" s="91" t="n"/>
      <c r="J222" s="91" t="n"/>
      <c r="K222" s="91" t="n"/>
      <c r="L222" s="92" t="n"/>
      <c r="M222" s="91" t="n"/>
      <c r="N222" s="91" t="n"/>
      <c r="O222" s="91" t="n"/>
      <c r="P222" s="93" t="str">
        <f>IF(Z222=0,"",SUMIFS('ITENS_MTR'!$I$6:$I$1005,'ITENS_MTR'!$S$6:$S$1005,A222,'ITENS_MTR'!$Y$6:$Y$1005,1))</f>
        <v/>
      </c>
      <c r="Q222" s="93" t="str">
        <f>IF(Z222=0,"",SUMIFS('RECEBIMENTOS'!$H$6:$H$1005,'RECEBIMENTOS'!$B$6:$B$1005,A222,'RECEBIMENTOS'!$X$6:$X$1005,1))</f>
        <v/>
      </c>
      <c r="R222" s="93" t="str">
        <f>IF(Z222=0,"",SUMIFS('VÍNCULOS_CDF'!$H$6:$H$1005,'VÍNCULOS_CDF'!$D$6:$D$1005,A222,'VÍNCULOS_CDF'!$V$6:$V$1005,1))</f>
        <v/>
      </c>
      <c r="S222" s="94" t="str">
        <f>IF(Z222=0,"",IF(AA222=1,"Cancelado (informado)",IF(AE222=1,"Cadastro incompleto",IF(OR(AC222=1,AD222=1,AF222&gt;0,AH222&gt;0,AK222&gt;0,AL222&gt;0),"Informação a revisar",IF(AN222=0,"Aguardando recebimento",IF(N(R222)=0,"Aguardando CDF",IF(AJ222&lt;N(W222),"Vínculo de CDF parcial",IF(AO222=0,"CDF localizado, a conferir","Documentação conferida"))))))))</f>
        <v/>
      </c>
      <c r="T222" s="94" t="str">
        <f>IF(Z222=0,"",IF(S222="Cadastro incompleto","MTR INCOMPLETO",IF(S222="Informação a revisar",IF(AND(AH222&gt;0,AC222=0,AD222=0,AF222=0,AK222=0,AL222=0),"QUANTIDADE A REVISAR","IDENTIFICAÇÃO A REVISAR"),IF(S222="Aguardando recebimento","RECEBIMENTO NÃO CONFIRMADO",IF(S222="Aguardando CDF","CDF NÃO LOCALIZADO",IF(S222="Vínculo de CDF parcial","VÍNCULO INCOMPLETO",IF(S222="CDF localizado, a conferir","CDF A CONFERIR","")))))))</f>
        <v/>
      </c>
      <c r="U222" s="95" t="str">
        <f>IF(T222="","",IF(AQ222="","Não calculável",IF(AQ222&gt;TODAY(),"Data futura",TODAY()-AQ222)))</f>
        <v/>
      </c>
      <c r="V222" s="93" t="str">
        <f>IF(Z222=0,"",SUMIFS('RECEBIMENTOS'!$H$6:$H$1005,'RECEBIMENTOS'!$B$6:$B$1005,A222,'RECEBIMENTOS'!$Z$6:$Z$1005,1))</f>
        <v/>
      </c>
      <c r="W222" s="95" t="str">
        <f>IF(Z222=0,"",COUNTIFS('ITENS_MTR'!$S$6:$S$1005,A222,'ITENS_MTR'!$R$6:$R$1005,1))</f>
        <v/>
      </c>
      <c r="X222" s="94" t="str">
        <f>IF(AC222=1,"POSSÍVEL DUPLICIDADE","")</f>
        <v/>
      </c>
      <c r="Y222" s="94" t="str">
        <f>IF(Z222=0,"",IF(AW222="","Nenhuma",LEFT(AW222,LEN(AW222)-2)))</f>
        <v/>
      </c>
      <c r="Z222" s="96">
        <f>IF(COUNTA(B222:O222)&gt;0,1,0)</f>
        <v>0</v>
      </c>
      <c r="AA222" s="96">
        <f>IF(AND(Z222=1,K222&lt;&gt;""),IF(TRIM(K222)=TRIM(cfg_cancel),1,0),0)</f>
        <v>0</v>
      </c>
      <c r="AB222" s="96" t="str">
        <f>IF(AND(Z222=1,B222&lt;&gt;""),C222&amp;"|"&amp;D222&amp;"|"&amp;G222&amp;"|"&amp;TRIM(B222),"")</f>
        <v/>
      </c>
      <c r="AC222" s="96">
        <f>IF(AB222="",0,IF(SUMPRODUCT(--($AB$6:$AB$505=AB222))&gt;1,1,0))</f>
        <v>0</v>
      </c>
      <c r="AD222" s="96">
        <f>IF(Z222=0,0,IF(OR(AND(G222&lt;&gt;"",ISNA(MATCH(G222,'CAD_UNIDADES'!$C$6:$C$105,0))),AND(H222&lt;&gt;"",ISNA(MATCH(H222,cmp_transp,0))),AND(I222&lt;&gt;"",ISNA(MATCH(I222,cmp_dest,0))),AND(E222&lt;&gt;"",NOT(ISNUMBER(E222))),AND(F222&lt;&gt;"",NOT(ISNUMBER(F222))),AND(ISNUMBER(E222),ISNUMBER(F222),F222&lt;E222)),1,0))</f>
        <v>0</v>
      </c>
      <c r="AE222" s="96">
        <f>IF(Z222=0,0,IF(OR(B222="",C222="",E222="",G222="",H222="",I222="",N(W222)=0),1,0))</f>
        <v>0</v>
      </c>
      <c r="AF222" s="96">
        <f>IF(Z222=0,0,COUNTIFS('ITENS_MTR'!$S$6:$S$1005,A222,'ITENS_MTR'!$AI$6:$AI$1005,1))</f>
        <v>0</v>
      </c>
      <c r="AG222" s="96">
        <f>IF(Z222=0,0,COUNTIFS('ITENS_MTR'!$S$6:$S$1005,A222,'ITENS_MTR'!$AJ$6:$AJ$1005,1))</f>
        <v>0</v>
      </c>
      <c r="AH222" s="96">
        <f>IF(Z222=0,0,COUNTIFS('ITENS_MTR'!$S$6:$S$1005,A222,'ITENS_MTR'!$AM$6:$AM$1005,1))</f>
        <v>0</v>
      </c>
      <c r="AI222" s="96">
        <f>IF(Z222=0,0,COUNTIFS('ITENS_MTR'!$S$6:$S$1005,A222,'ITENS_MTR'!$AO$6:$AO$1005,1))</f>
        <v>0</v>
      </c>
      <c r="AJ222" s="96">
        <f>IF(Z222=0,0,COUNTIFS('ITENS_MTR'!$S$6:$S$1005,A222,'ITENS_MTR'!$AN$6:$AN$1005,1))</f>
        <v>0</v>
      </c>
      <c r="AK222" s="96">
        <f>IF(Z222=0,0,COUNTIFS('RECEBIMENTOS'!$B$6:$B$1005,A222,'RECEBIMENTOS'!$Y$6:$Y$1005,1))</f>
        <v>0</v>
      </c>
      <c r="AL222" s="96">
        <f>IF(Z222=0,0,COUNTIFS('VÍNCULOS_CDF'!$D$6:$D$1005,A222,'VÍNCULOS_CDF'!$Y$6:$Y$1005,1))</f>
        <v>0</v>
      </c>
      <c r="AM222" s="96">
        <f>IF(Z222=0,0,COUNTIFS('RECEBIMENTOS'!$B$6:$B$1005,A222,'RECEBIMENTOS'!$Q$6:$Q$1005,1))</f>
        <v>0</v>
      </c>
      <c r="AN222" s="96">
        <f>IF(AND(Z222=1,N(W222)&gt;0,AG222=N(W222)),1,0)</f>
        <v>0</v>
      </c>
      <c r="AO222" s="96">
        <f>IF(AND(Z222=1,N(W222)&gt;0,AI222=N(W222)),1,0)</f>
        <v>0</v>
      </c>
      <c r="AP222" s="97">
        <f>IF(Z222=0,0,_xlfn.MAXIFS('RECEBIMENTOS'!$E$6:$E$1005,'RECEBIMENTOS'!$B$6:$B$1005,A222))</f>
        <v>0</v>
      </c>
      <c r="AQ222" s="97" t="str">
        <f>IF(T222="","",IF(T222="RECEBIMENTO NÃO CONFIRMADO",IF(ISNUMBER(F222),F222,IF(ISNUMBER(E222),E222,"")),IF(OR(T222="CDF NÃO LOCALIZADO",T222="VÍNCULO INCOMPLETO",T222="CDF A CONFERIR"),IF(AP222&gt;0,AP222,IF(ISNUMBER(E222),E222,"")),IF(ISNUMBER(E222),E222,""))))</f>
        <v/>
      </c>
      <c r="AR222" s="96">
        <f>IF(NOT(ISNUMBER(U222)),0,IF(T222="RECEBIMENTO NÃO CONFIRMADO",IF(AND(ISNUMBER(cfg_rec),U222&gt;cfg_rec),1,0),IF(OR(T222="CDF NÃO LOCALIZADO",T222="VÍNCULO INCOMPLETO",T222="CDF A CONFERIR"),IF(AND(ISNUMBER(cfg_cdf),U222&gt;cfg_cdf),1,0),0)))</f>
        <v>0</v>
      </c>
      <c r="AS222" s="96" t="str">
        <f>IF(T222="","",IF(AR222=1,"Alta",IFERROR(INDEX(cfg_pp,MATCH(T222,cfg_pt,0))&amp;"","Média")))</f>
        <v/>
      </c>
      <c r="AT222" s="96" t="str">
        <f>IF(T222="","",IFERROR(INDEX(cfg_pv,MATCH(T222,cfg_pt,0))&amp;"",""))</f>
        <v/>
      </c>
      <c r="AU222" s="96" t="str">
        <f>IF(T222="","",IF(AS222="Alta",1,IF(AS222="Média",2,3))*1000000000+(999999-IF(ISNUMBER(U222),MIN(U222,999999),0))*1000+217)</f>
        <v/>
      </c>
      <c r="AV222" s="96">
        <f>IF(T222&lt;&gt;"",1,0)</f>
        <v>0</v>
      </c>
      <c r="AW222" s="96" t="str">
        <f>IF(Z222=0,"",IF(AA222=1,"Cancelamento informado; ","")&amp;IF(AE222=1,"Campos essenciais ou itens faltando; ","")&amp;IF(AC222=1,"Possível duplicidade do número; ","")&amp;IF(AD222=1,"Cadastro ou datas a revisar; ","")&amp;IF(AF222&gt;0,"Item de resíduo com dado a revisar; ","")&amp;IF(AH222&gt;0,"Diferença de quantidade a analisar; ","")&amp;IF(AK222&gt;0,"Recebimento com alerta; ","")&amp;IF(AL222&gt;0,"Vínculo de CDF com alerta; ","")&amp;IF(AND(AA222=0,AN222=0),"Recebimento não confirmado; ","")&amp;IF(AND(AA222=0,AN222=1,AO222=0),"CDF pendente ou a conferir; ",""))</f>
        <v/>
      </c>
      <c r="AX222" s="96">
        <f>IF(Z222=0,0,IF(AND(OR(f_ini="",AND(ISNUMBER(E222),E222&gt;=f_ini)),OR(f_fim="",AND(ISNUMBER(E222),E222&lt;=f_fim)),OR(f_un="",f_un="(Todas)",G222=f_un),OR(f_tr="",f_tr="(Todos)",H222=f_tr),OR(f_de="",f_de="(Todos)",I222=f_de),OR(f_sit="",f_sit="(Todas)",S222=f_sit)),1,0))</f>
        <v>0</v>
      </c>
      <c r="AY222" s="96">
        <f>IF(AX222=0,0,IF(OR(f_res="",f_res="(Todos)"),1,IF(COUNTIFS('ITENS_MTR'!$S$6:$S$1005,A222,'ITENS_MTR'!$C$6:$C$1005,f_res)&gt;0,1,0)))</f>
        <v>0</v>
      </c>
      <c r="AZ222" s="97" t="str">
        <f>IF(ISNUMBER(E222),DATE(YEAR(E222),MONTH(E222),1),"")</f>
        <v/>
      </c>
      <c r="BA222" s="96">
        <f>IF(Z222=0,0,IF(AND(OR(r_ini="",AND(ISNUMBER(E222),E222&gt;=r_ini)),OR(r_fim="",AND(ISNUMBER(E222),E222&lt;=r_fim)),OR(r_un="",r_un="(Todas)",G222=r_un),OR(r_de="",r_de="(Todos)",I222=r_de)),1,0))</f>
        <v>0</v>
      </c>
      <c r="BB222" s="96" t="str">
        <f>IF(BA222=1,COUNTIF($BA$6:BA222,1),"")</f>
        <v/>
      </c>
      <c r="BC222" s="96" t="str">
        <f>IF(AND(AU222&lt;&gt;"",OR(r_un="",r_un="(Todas)",G222=r_un),OR(r_de="",r_de="(Todos)",I222=r_de)),AU222,"")</f>
        <v/>
      </c>
      <c r="BD222" s="96" t="str">
        <f>IF(Z222=1,A222&amp;" | nº "&amp;IF(B222="","(sem número)",B222)&amp;" | "&amp;IF(G222="","(sem unidade)",G222),"")</f>
        <v/>
      </c>
      <c r="BE222" s="96" t="str">
        <f>IF(Z222=1,COUNTIF($Z$6:Z222,1),"")</f>
        <v/>
      </c>
      <c r="BF222" s="96" t="str">
        <f>IF(T222="","",IF(T222="RECEBIMENTO NÃO CONFIRMADO","Transp.: "&amp;H222&amp;" | Dest.: "&amp;I222,IF(OR(T222="CDF NÃO LOCALIZADO",T222="VÍNCULO INCOMPLETO",T222="CDF A CONFERIR"),"Dest.: "&amp;I222,"Gerador: "&amp;G222)))</f>
        <v/>
      </c>
    </row>
    <row r="223">
      <c r="A223" s="89" t="inlineStr">
        <is>
          <t>MTR-000218</t>
        </is>
      </c>
      <c r="B223" s="90" t="n"/>
      <c r="C223" s="91" t="n"/>
      <c r="D223" s="91" t="n"/>
      <c r="E223" s="92" t="n"/>
      <c r="F223" s="92" t="n"/>
      <c r="G223" s="91" t="n"/>
      <c r="H223" s="91" t="n"/>
      <c r="I223" s="91" t="n"/>
      <c r="J223" s="91" t="n"/>
      <c r="K223" s="91" t="n"/>
      <c r="L223" s="92" t="n"/>
      <c r="M223" s="91" t="n"/>
      <c r="N223" s="91" t="n"/>
      <c r="O223" s="91" t="n"/>
      <c r="P223" s="93" t="str">
        <f>IF(Z223=0,"",SUMIFS('ITENS_MTR'!$I$6:$I$1005,'ITENS_MTR'!$S$6:$S$1005,A223,'ITENS_MTR'!$Y$6:$Y$1005,1))</f>
        <v/>
      </c>
      <c r="Q223" s="93" t="str">
        <f>IF(Z223=0,"",SUMIFS('RECEBIMENTOS'!$H$6:$H$1005,'RECEBIMENTOS'!$B$6:$B$1005,A223,'RECEBIMENTOS'!$X$6:$X$1005,1))</f>
        <v/>
      </c>
      <c r="R223" s="93" t="str">
        <f>IF(Z223=0,"",SUMIFS('VÍNCULOS_CDF'!$H$6:$H$1005,'VÍNCULOS_CDF'!$D$6:$D$1005,A223,'VÍNCULOS_CDF'!$V$6:$V$1005,1))</f>
        <v/>
      </c>
      <c r="S223" s="94" t="str">
        <f>IF(Z223=0,"",IF(AA223=1,"Cancelado (informado)",IF(AE223=1,"Cadastro incompleto",IF(OR(AC223=1,AD223=1,AF223&gt;0,AH223&gt;0,AK223&gt;0,AL223&gt;0),"Informação a revisar",IF(AN223=0,"Aguardando recebimento",IF(N(R223)=0,"Aguardando CDF",IF(AJ223&lt;N(W223),"Vínculo de CDF parcial",IF(AO223=0,"CDF localizado, a conferir","Documentação conferida"))))))))</f>
        <v/>
      </c>
      <c r="T223" s="94" t="str">
        <f>IF(Z223=0,"",IF(S223="Cadastro incompleto","MTR INCOMPLETO",IF(S223="Informação a revisar",IF(AND(AH223&gt;0,AC223=0,AD223=0,AF223=0,AK223=0,AL223=0),"QUANTIDADE A REVISAR","IDENTIFICAÇÃO A REVISAR"),IF(S223="Aguardando recebimento","RECEBIMENTO NÃO CONFIRMADO",IF(S223="Aguardando CDF","CDF NÃO LOCALIZADO",IF(S223="Vínculo de CDF parcial","VÍNCULO INCOMPLETO",IF(S223="CDF localizado, a conferir","CDF A CONFERIR","")))))))</f>
        <v/>
      </c>
      <c r="U223" s="95" t="str">
        <f>IF(T223="","",IF(AQ223="","Não calculável",IF(AQ223&gt;TODAY(),"Data futura",TODAY()-AQ223)))</f>
        <v/>
      </c>
      <c r="V223" s="93" t="str">
        <f>IF(Z223=0,"",SUMIFS('RECEBIMENTOS'!$H$6:$H$1005,'RECEBIMENTOS'!$B$6:$B$1005,A223,'RECEBIMENTOS'!$Z$6:$Z$1005,1))</f>
        <v/>
      </c>
      <c r="W223" s="95" t="str">
        <f>IF(Z223=0,"",COUNTIFS('ITENS_MTR'!$S$6:$S$1005,A223,'ITENS_MTR'!$R$6:$R$1005,1))</f>
        <v/>
      </c>
      <c r="X223" s="94" t="str">
        <f>IF(AC223=1,"POSSÍVEL DUPLICIDADE","")</f>
        <v/>
      </c>
      <c r="Y223" s="94" t="str">
        <f>IF(Z223=0,"",IF(AW223="","Nenhuma",LEFT(AW223,LEN(AW223)-2)))</f>
        <v/>
      </c>
      <c r="Z223" s="96">
        <f>IF(COUNTA(B223:O223)&gt;0,1,0)</f>
        <v>0</v>
      </c>
      <c r="AA223" s="96">
        <f>IF(AND(Z223=1,K223&lt;&gt;""),IF(TRIM(K223)=TRIM(cfg_cancel),1,0),0)</f>
        <v>0</v>
      </c>
      <c r="AB223" s="96" t="str">
        <f>IF(AND(Z223=1,B223&lt;&gt;""),C223&amp;"|"&amp;D223&amp;"|"&amp;G223&amp;"|"&amp;TRIM(B223),"")</f>
        <v/>
      </c>
      <c r="AC223" s="96">
        <f>IF(AB223="",0,IF(SUMPRODUCT(--($AB$6:$AB$505=AB223))&gt;1,1,0))</f>
        <v>0</v>
      </c>
      <c r="AD223" s="96">
        <f>IF(Z223=0,0,IF(OR(AND(G223&lt;&gt;"",ISNA(MATCH(G223,'CAD_UNIDADES'!$C$6:$C$105,0))),AND(H223&lt;&gt;"",ISNA(MATCH(H223,cmp_transp,0))),AND(I223&lt;&gt;"",ISNA(MATCH(I223,cmp_dest,0))),AND(E223&lt;&gt;"",NOT(ISNUMBER(E223))),AND(F223&lt;&gt;"",NOT(ISNUMBER(F223))),AND(ISNUMBER(E223),ISNUMBER(F223),F223&lt;E223)),1,0))</f>
        <v>0</v>
      </c>
      <c r="AE223" s="96">
        <f>IF(Z223=0,0,IF(OR(B223="",C223="",E223="",G223="",H223="",I223="",N(W223)=0),1,0))</f>
        <v>0</v>
      </c>
      <c r="AF223" s="96">
        <f>IF(Z223=0,0,COUNTIFS('ITENS_MTR'!$S$6:$S$1005,A223,'ITENS_MTR'!$AI$6:$AI$1005,1))</f>
        <v>0</v>
      </c>
      <c r="AG223" s="96">
        <f>IF(Z223=0,0,COUNTIFS('ITENS_MTR'!$S$6:$S$1005,A223,'ITENS_MTR'!$AJ$6:$AJ$1005,1))</f>
        <v>0</v>
      </c>
      <c r="AH223" s="96">
        <f>IF(Z223=0,0,COUNTIFS('ITENS_MTR'!$S$6:$S$1005,A223,'ITENS_MTR'!$AM$6:$AM$1005,1))</f>
        <v>0</v>
      </c>
      <c r="AI223" s="96">
        <f>IF(Z223=0,0,COUNTIFS('ITENS_MTR'!$S$6:$S$1005,A223,'ITENS_MTR'!$AO$6:$AO$1005,1))</f>
        <v>0</v>
      </c>
      <c r="AJ223" s="96">
        <f>IF(Z223=0,0,COUNTIFS('ITENS_MTR'!$S$6:$S$1005,A223,'ITENS_MTR'!$AN$6:$AN$1005,1))</f>
        <v>0</v>
      </c>
      <c r="AK223" s="96">
        <f>IF(Z223=0,0,COUNTIFS('RECEBIMENTOS'!$B$6:$B$1005,A223,'RECEBIMENTOS'!$Y$6:$Y$1005,1))</f>
        <v>0</v>
      </c>
      <c r="AL223" s="96">
        <f>IF(Z223=0,0,COUNTIFS('VÍNCULOS_CDF'!$D$6:$D$1005,A223,'VÍNCULOS_CDF'!$Y$6:$Y$1005,1))</f>
        <v>0</v>
      </c>
      <c r="AM223" s="96">
        <f>IF(Z223=0,0,COUNTIFS('RECEBIMENTOS'!$B$6:$B$1005,A223,'RECEBIMENTOS'!$Q$6:$Q$1005,1))</f>
        <v>0</v>
      </c>
      <c r="AN223" s="96">
        <f>IF(AND(Z223=1,N(W223)&gt;0,AG223=N(W223)),1,0)</f>
        <v>0</v>
      </c>
      <c r="AO223" s="96">
        <f>IF(AND(Z223=1,N(W223)&gt;0,AI223=N(W223)),1,0)</f>
        <v>0</v>
      </c>
      <c r="AP223" s="97">
        <f>IF(Z223=0,0,_xlfn.MAXIFS('RECEBIMENTOS'!$E$6:$E$1005,'RECEBIMENTOS'!$B$6:$B$1005,A223))</f>
        <v>0</v>
      </c>
      <c r="AQ223" s="97" t="str">
        <f>IF(T223="","",IF(T223="RECEBIMENTO NÃO CONFIRMADO",IF(ISNUMBER(F223),F223,IF(ISNUMBER(E223),E223,"")),IF(OR(T223="CDF NÃO LOCALIZADO",T223="VÍNCULO INCOMPLETO",T223="CDF A CONFERIR"),IF(AP223&gt;0,AP223,IF(ISNUMBER(E223),E223,"")),IF(ISNUMBER(E223),E223,""))))</f>
        <v/>
      </c>
      <c r="AR223" s="96">
        <f>IF(NOT(ISNUMBER(U223)),0,IF(T223="RECEBIMENTO NÃO CONFIRMADO",IF(AND(ISNUMBER(cfg_rec),U223&gt;cfg_rec),1,0),IF(OR(T223="CDF NÃO LOCALIZADO",T223="VÍNCULO INCOMPLETO",T223="CDF A CONFERIR"),IF(AND(ISNUMBER(cfg_cdf),U223&gt;cfg_cdf),1,0),0)))</f>
        <v>0</v>
      </c>
      <c r="AS223" s="96" t="str">
        <f>IF(T223="","",IF(AR223=1,"Alta",IFERROR(INDEX(cfg_pp,MATCH(T223,cfg_pt,0))&amp;"","Média")))</f>
        <v/>
      </c>
      <c r="AT223" s="96" t="str">
        <f>IF(T223="","",IFERROR(INDEX(cfg_pv,MATCH(T223,cfg_pt,0))&amp;"",""))</f>
        <v/>
      </c>
      <c r="AU223" s="96" t="str">
        <f>IF(T223="","",IF(AS223="Alta",1,IF(AS223="Média",2,3))*1000000000+(999999-IF(ISNUMBER(U223),MIN(U223,999999),0))*1000+218)</f>
        <v/>
      </c>
      <c r="AV223" s="96">
        <f>IF(T223&lt;&gt;"",1,0)</f>
        <v>0</v>
      </c>
      <c r="AW223" s="96" t="str">
        <f>IF(Z223=0,"",IF(AA223=1,"Cancelamento informado; ","")&amp;IF(AE223=1,"Campos essenciais ou itens faltando; ","")&amp;IF(AC223=1,"Possível duplicidade do número; ","")&amp;IF(AD223=1,"Cadastro ou datas a revisar; ","")&amp;IF(AF223&gt;0,"Item de resíduo com dado a revisar; ","")&amp;IF(AH223&gt;0,"Diferença de quantidade a analisar; ","")&amp;IF(AK223&gt;0,"Recebimento com alerta; ","")&amp;IF(AL223&gt;0,"Vínculo de CDF com alerta; ","")&amp;IF(AND(AA223=0,AN223=0),"Recebimento não confirmado; ","")&amp;IF(AND(AA223=0,AN223=1,AO223=0),"CDF pendente ou a conferir; ",""))</f>
        <v/>
      </c>
      <c r="AX223" s="96">
        <f>IF(Z223=0,0,IF(AND(OR(f_ini="",AND(ISNUMBER(E223),E223&gt;=f_ini)),OR(f_fim="",AND(ISNUMBER(E223),E223&lt;=f_fim)),OR(f_un="",f_un="(Todas)",G223=f_un),OR(f_tr="",f_tr="(Todos)",H223=f_tr),OR(f_de="",f_de="(Todos)",I223=f_de),OR(f_sit="",f_sit="(Todas)",S223=f_sit)),1,0))</f>
        <v>0</v>
      </c>
      <c r="AY223" s="96">
        <f>IF(AX223=0,0,IF(OR(f_res="",f_res="(Todos)"),1,IF(COUNTIFS('ITENS_MTR'!$S$6:$S$1005,A223,'ITENS_MTR'!$C$6:$C$1005,f_res)&gt;0,1,0)))</f>
        <v>0</v>
      </c>
      <c r="AZ223" s="97" t="str">
        <f>IF(ISNUMBER(E223),DATE(YEAR(E223),MONTH(E223),1),"")</f>
        <v/>
      </c>
      <c r="BA223" s="96">
        <f>IF(Z223=0,0,IF(AND(OR(r_ini="",AND(ISNUMBER(E223),E223&gt;=r_ini)),OR(r_fim="",AND(ISNUMBER(E223),E223&lt;=r_fim)),OR(r_un="",r_un="(Todas)",G223=r_un),OR(r_de="",r_de="(Todos)",I223=r_de)),1,0))</f>
        <v>0</v>
      </c>
      <c r="BB223" s="96" t="str">
        <f>IF(BA223=1,COUNTIF($BA$6:BA223,1),"")</f>
        <v/>
      </c>
      <c r="BC223" s="96" t="str">
        <f>IF(AND(AU223&lt;&gt;"",OR(r_un="",r_un="(Todas)",G223=r_un),OR(r_de="",r_de="(Todos)",I223=r_de)),AU223,"")</f>
        <v/>
      </c>
      <c r="BD223" s="96" t="str">
        <f>IF(Z223=1,A223&amp;" | nº "&amp;IF(B223="","(sem número)",B223)&amp;" | "&amp;IF(G223="","(sem unidade)",G223),"")</f>
        <v/>
      </c>
      <c r="BE223" s="96" t="str">
        <f>IF(Z223=1,COUNTIF($Z$6:Z223,1),"")</f>
        <v/>
      </c>
      <c r="BF223" s="96" t="str">
        <f>IF(T223="","",IF(T223="RECEBIMENTO NÃO CONFIRMADO","Transp.: "&amp;H223&amp;" | Dest.: "&amp;I223,IF(OR(T223="CDF NÃO LOCALIZADO",T223="VÍNCULO INCOMPLETO",T223="CDF A CONFERIR"),"Dest.: "&amp;I223,"Gerador: "&amp;G223)))</f>
        <v/>
      </c>
    </row>
    <row r="224">
      <c r="A224" s="89" t="inlineStr">
        <is>
          <t>MTR-000219</t>
        </is>
      </c>
      <c r="B224" s="90" t="n"/>
      <c r="C224" s="91" t="n"/>
      <c r="D224" s="91" t="n"/>
      <c r="E224" s="92" t="n"/>
      <c r="F224" s="92" t="n"/>
      <c r="G224" s="91" t="n"/>
      <c r="H224" s="91" t="n"/>
      <c r="I224" s="91" t="n"/>
      <c r="J224" s="91" t="n"/>
      <c r="K224" s="91" t="n"/>
      <c r="L224" s="92" t="n"/>
      <c r="M224" s="91" t="n"/>
      <c r="N224" s="91" t="n"/>
      <c r="O224" s="91" t="n"/>
      <c r="P224" s="93" t="str">
        <f>IF(Z224=0,"",SUMIFS('ITENS_MTR'!$I$6:$I$1005,'ITENS_MTR'!$S$6:$S$1005,A224,'ITENS_MTR'!$Y$6:$Y$1005,1))</f>
        <v/>
      </c>
      <c r="Q224" s="93" t="str">
        <f>IF(Z224=0,"",SUMIFS('RECEBIMENTOS'!$H$6:$H$1005,'RECEBIMENTOS'!$B$6:$B$1005,A224,'RECEBIMENTOS'!$X$6:$X$1005,1))</f>
        <v/>
      </c>
      <c r="R224" s="93" t="str">
        <f>IF(Z224=0,"",SUMIFS('VÍNCULOS_CDF'!$H$6:$H$1005,'VÍNCULOS_CDF'!$D$6:$D$1005,A224,'VÍNCULOS_CDF'!$V$6:$V$1005,1))</f>
        <v/>
      </c>
      <c r="S224" s="94" t="str">
        <f>IF(Z224=0,"",IF(AA224=1,"Cancelado (informado)",IF(AE224=1,"Cadastro incompleto",IF(OR(AC224=1,AD224=1,AF224&gt;0,AH224&gt;0,AK224&gt;0,AL224&gt;0),"Informação a revisar",IF(AN224=0,"Aguardando recebimento",IF(N(R224)=0,"Aguardando CDF",IF(AJ224&lt;N(W224),"Vínculo de CDF parcial",IF(AO224=0,"CDF localizado, a conferir","Documentação conferida"))))))))</f>
        <v/>
      </c>
      <c r="T224" s="94" t="str">
        <f>IF(Z224=0,"",IF(S224="Cadastro incompleto","MTR INCOMPLETO",IF(S224="Informação a revisar",IF(AND(AH224&gt;0,AC224=0,AD224=0,AF224=0,AK224=0,AL224=0),"QUANTIDADE A REVISAR","IDENTIFICAÇÃO A REVISAR"),IF(S224="Aguardando recebimento","RECEBIMENTO NÃO CONFIRMADO",IF(S224="Aguardando CDF","CDF NÃO LOCALIZADO",IF(S224="Vínculo de CDF parcial","VÍNCULO INCOMPLETO",IF(S224="CDF localizado, a conferir","CDF A CONFERIR","")))))))</f>
        <v/>
      </c>
      <c r="U224" s="95" t="str">
        <f>IF(T224="","",IF(AQ224="","Não calculável",IF(AQ224&gt;TODAY(),"Data futura",TODAY()-AQ224)))</f>
        <v/>
      </c>
      <c r="V224" s="93" t="str">
        <f>IF(Z224=0,"",SUMIFS('RECEBIMENTOS'!$H$6:$H$1005,'RECEBIMENTOS'!$B$6:$B$1005,A224,'RECEBIMENTOS'!$Z$6:$Z$1005,1))</f>
        <v/>
      </c>
      <c r="W224" s="95" t="str">
        <f>IF(Z224=0,"",COUNTIFS('ITENS_MTR'!$S$6:$S$1005,A224,'ITENS_MTR'!$R$6:$R$1005,1))</f>
        <v/>
      </c>
      <c r="X224" s="94" t="str">
        <f>IF(AC224=1,"POSSÍVEL DUPLICIDADE","")</f>
        <v/>
      </c>
      <c r="Y224" s="94" t="str">
        <f>IF(Z224=0,"",IF(AW224="","Nenhuma",LEFT(AW224,LEN(AW224)-2)))</f>
        <v/>
      </c>
      <c r="Z224" s="96">
        <f>IF(COUNTA(B224:O224)&gt;0,1,0)</f>
        <v>0</v>
      </c>
      <c r="AA224" s="96">
        <f>IF(AND(Z224=1,K224&lt;&gt;""),IF(TRIM(K224)=TRIM(cfg_cancel),1,0),0)</f>
        <v>0</v>
      </c>
      <c r="AB224" s="96" t="str">
        <f>IF(AND(Z224=1,B224&lt;&gt;""),C224&amp;"|"&amp;D224&amp;"|"&amp;G224&amp;"|"&amp;TRIM(B224),"")</f>
        <v/>
      </c>
      <c r="AC224" s="96">
        <f>IF(AB224="",0,IF(SUMPRODUCT(--($AB$6:$AB$505=AB224))&gt;1,1,0))</f>
        <v>0</v>
      </c>
      <c r="AD224" s="96">
        <f>IF(Z224=0,0,IF(OR(AND(G224&lt;&gt;"",ISNA(MATCH(G224,'CAD_UNIDADES'!$C$6:$C$105,0))),AND(H224&lt;&gt;"",ISNA(MATCH(H224,cmp_transp,0))),AND(I224&lt;&gt;"",ISNA(MATCH(I224,cmp_dest,0))),AND(E224&lt;&gt;"",NOT(ISNUMBER(E224))),AND(F224&lt;&gt;"",NOT(ISNUMBER(F224))),AND(ISNUMBER(E224),ISNUMBER(F224),F224&lt;E224)),1,0))</f>
        <v>0</v>
      </c>
      <c r="AE224" s="96">
        <f>IF(Z224=0,0,IF(OR(B224="",C224="",E224="",G224="",H224="",I224="",N(W224)=0),1,0))</f>
        <v>0</v>
      </c>
      <c r="AF224" s="96">
        <f>IF(Z224=0,0,COUNTIFS('ITENS_MTR'!$S$6:$S$1005,A224,'ITENS_MTR'!$AI$6:$AI$1005,1))</f>
        <v>0</v>
      </c>
      <c r="AG224" s="96">
        <f>IF(Z224=0,0,COUNTIFS('ITENS_MTR'!$S$6:$S$1005,A224,'ITENS_MTR'!$AJ$6:$AJ$1005,1))</f>
        <v>0</v>
      </c>
      <c r="AH224" s="96">
        <f>IF(Z224=0,0,COUNTIFS('ITENS_MTR'!$S$6:$S$1005,A224,'ITENS_MTR'!$AM$6:$AM$1005,1))</f>
        <v>0</v>
      </c>
      <c r="AI224" s="96">
        <f>IF(Z224=0,0,COUNTIFS('ITENS_MTR'!$S$6:$S$1005,A224,'ITENS_MTR'!$AO$6:$AO$1005,1))</f>
        <v>0</v>
      </c>
      <c r="AJ224" s="96">
        <f>IF(Z224=0,0,COUNTIFS('ITENS_MTR'!$S$6:$S$1005,A224,'ITENS_MTR'!$AN$6:$AN$1005,1))</f>
        <v>0</v>
      </c>
      <c r="AK224" s="96">
        <f>IF(Z224=0,0,COUNTIFS('RECEBIMENTOS'!$B$6:$B$1005,A224,'RECEBIMENTOS'!$Y$6:$Y$1005,1))</f>
        <v>0</v>
      </c>
      <c r="AL224" s="96">
        <f>IF(Z224=0,0,COUNTIFS('VÍNCULOS_CDF'!$D$6:$D$1005,A224,'VÍNCULOS_CDF'!$Y$6:$Y$1005,1))</f>
        <v>0</v>
      </c>
      <c r="AM224" s="96">
        <f>IF(Z224=0,0,COUNTIFS('RECEBIMENTOS'!$B$6:$B$1005,A224,'RECEBIMENTOS'!$Q$6:$Q$1005,1))</f>
        <v>0</v>
      </c>
      <c r="AN224" s="96">
        <f>IF(AND(Z224=1,N(W224)&gt;0,AG224=N(W224)),1,0)</f>
        <v>0</v>
      </c>
      <c r="AO224" s="96">
        <f>IF(AND(Z224=1,N(W224)&gt;0,AI224=N(W224)),1,0)</f>
        <v>0</v>
      </c>
      <c r="AP224" s="97">
        <f>IF(Z224=0,0,_xlfn.MAXIFS('RECEBIMENTOS'!$E$6:$E$1005,'RECEBIMENTOS'!$B$6:$B$1005,A224))</f>
        <v>0</v>
      </c>
      <c r="AQ224" s="97" t="str">
        <f>IF(T224="","",IF(T224="RECEBIMENTO NÃO CONFIRMADO",IF(ISNUMBER(F224),F224,IF(ISNUMBER(E224),E224,"")),IF(OR(T224="CDF NÃO LOCALIZADO",T224="VÍNCULO INCOMPLETO",T224="CDF A CONFERIR"),IF(AP224&gt;0,AP224,IF(ISNUMBER(E224),E224,"")),IF(ISNUMBER(E224),E224,""))))</f>
        <v/>
      </c>
      <c r="AR224" s="96">
        <f>IF(NOT(ISNUMBER(U224)),0,IF(T224="RECEBIMENTO NÃO CONFIRMADO",IF(AND(ISNUMBER(cfg_rec),U224&gt;cfg_rec),1,0),IF(OR(T224="CDF NÃO LOCALIZADO",T224="VÍNCULO INCOMPLETO",T224="CDF A CONFERIR"),IF(AND(ISNUMBER(cfg_cdf),U224&gt;cfg_cdf),1,0),0)))</f>
        <v>0</v>
      </c>
      <c r="AS224" s="96" t="str">
        <f>IF(T224="","",IF(AR224=1,"Alta",IFERROR(INDEX(cfg_pp,MATCH(T224,cfg_pt,0))&amp;"","Média")))</f>
        <v/>
      </c>
      <c r="AT224" s="96" t="str">
        <f>IF(T224="","",IFERROR(INDEX(cfg_pv,MATCH(T224,cfg_pt,0))&amp;"",""))</f>
        <v/>
      </c>
      <c r="AU224" s="96" t="str">
        <f>IF(T224="","",IF(AS224="Alta",1,IF(AS224="Média",2,3))*1000000000+(999999-IF(ISNUMBER(U224),MIN(U224,999999),0))*1000+219)</f>
        <v/>
      </c>
      <c r="AV224" s="96">
        <f>IF(T224&lt;&gt;"",1,0)</f>
        <v>0</v>
      </c>
      <c r="AW224" s="96" t="str">
        <f>IF(Z224=0,"",IF(AA224=1,"Cancelamento informado; ","")&amp;IF(AE224=1,"Campos essenciais ou itens faltando; ","")&amp;IF(AC224=1,"Possível duplicidade do número; ","")&amp;IF(AD224=1,"Cadastro ou datas a revisar; ","")&amp;IF(AF224&gt;0,"Item de resíduo com dado a revisar; ","")&amp;IF(AH224&gt;0,"Diferença de quantidade a analisar; ","")&amp;IF(AK224&gt;0,"Recebimento com alerta; ","")&amp;IF(AL224&gt;0,"Vínculo de CDF com alerta; ","")&amp;IF(AND(AA224=0,AN224=0),"Recebimento não confirmado; ","")&amp;IF(AND(AA224=0,AN224=1,AO224=0),"CDF pendente ou a conferir; ",""))</f>
        <v/>
      </c>
      <c r="AX224" s="96">
        <f>IF(Z224=0,0,IF(AND(OR(f_ini="",AND(ISNUMBER(E224),E224&gt;=f_ini)),OR(f_fim="",AND(ISNUMBER(E224),E224&lt;=f_fim)),OR(f_un="",f_un="(Todas)",G224=f_un),OR(f_tr="",f_tr="(Todos)",H224=f_tr),OR(f_de="",f_de="(Todos)",I224=f_de),OR(f_sit="",f_sit="(Todas)",S224=f_sit)),1,0))</f>
        <v>0</v>
      </c>
      <c r="AY224" s="96">
        <f>IF(AX224=0,0,IF(OR(f_res="",f_res="(Todos)"),1,IF(COUNTIFS('ITENS_MTR'!$S$6:$S$1005,A224,'ITENS_MTR'!$C$6:$C$1005,f_res)&gt;0,1,0)))</f>
        <v>0</v>
      </c>
      <c r="AZ224" s="97" t="str">
        <f>IF(ISNUMBER(E224),DATE(YEAR(E224),MONTH(E224),1),"")</f>
        <v/>
      </c>
      <c r="BA224" s="96">
        <f>IF(Z224=0,0,IF(AND(OR(r_ini="",AND(ISNUMBER(E224),E224&gt;=r_ini)),OR(r_fim="",AND(ISNUMBER(E224),E224&lt;=r_fim)),OR(r_un="",r_un="(Todas)",G224=r_un),OR(r_de="",r_de="(Todos)",I224=r_de)),1,0))</f>
        <v>0</v>
      </c>
      <c r="BB224" s="96" t="str">
        <f>IF(BA224=1,COUNTIF($BA$6:BA224,1),"")</f>
        <v/>
      </c>
      <c r="BC224" s="96" t="str">
        <f>IF(AND(AU224&lt;&gt;"",OR(r_un="",r_un="(Todas)",G224=r_un),OR(r_de="",r_de="(Todos)",I224=r_de)),AU224,"")</f>
        <v/>
      </c>
      <c r="BD224" s="96" t="str">
        <f>IF(Z224=1,A224&amp;" | nº "&amp;IF(B224="","(sem número)",B224)&amp;" | "&amp;IF(G224="","(sem unidade)",G224),"")</f>
        <v/>
      </c>
      <c r="BE224" s="96" t="str">
        <f>IF(Z224=1,COUNTIF($Z$6:Z224,1),"")</f>
        <v/>
      </c>
      <c r="BF224" s="96" t="str">
        <f>IF(T224="","",IF(T224="RECEBIMENTO NÃO CONFIRMADO","Transp.: "&amp;H224&amp;" | Dest.: "&amp;I224,IF(OR(T224="CDF NÃO LOCALIZADO",T224="VÍNCULO INCOMPLETO",T224="CDF A CONFERIR"),"Dest.: "&amp;I224,"Gerador: "&amp;G224)))</f>
        <v/>
      </c>
    </row>
    <row r="225">
      <c r="A225" s="89" t="inlineStr">
        <is>
          <t>MTR-000220</t>
        </is>
      </c>
      <c r="B225" s="90" t="n"/>
      <c r="C225" s="91" t="n"/>
      <c r="D225" s="91" t="n"/>
      <c r="E225" s="92" t="n"/>
      <c r="F225" s="92" t="n"/>
      <c r="G225" s="91" t="n"/>
      <c r="H225" s="91" t="n"/>
      <c r="I225" s="91" t="n"/>
      <c r="J225" s="91" t="n"/>
      <c r="K225" s="91" t="n"/>
      <c r="L225" s="92" t="n"/>
      <c r="M225" s="91" t="n"/>
      <c r="N225" s="91" t="n"/>
      <c r="O225" s="91" t="n"/>
      <c r="P225" s="93" t="str">
        <f>IF(Z225=0,"",SUMIFS('ITENS_MTR'!$I$6:$I$1005,'ITENS_MTR'!$S$6:$S$1005,A225,'ITENS_MTR'!$Y$6:$Y$1005,1))</f>
        <v/>
      </c>
      <c r="Q225" s="93" t="str">
        <f>IF(Z225=0,"",SUMIFS('RECEBIMENTOS'!$H$6:$H$1005,'RECEBIMENTOS'!$B$6:$B$1005,A225,'RECEBIMENTOS'!$X$6:$X$1005,1))</f>
        <v/>
      </c>
      <c r="R225" s="93" t="str">
        <f>IF(Z225=0,"",SUMIFS('VÍNCULOS_CDF'!$H$6:$H$1005,'VÍNCULOS_CDF'!$D$6:$D$1005,A225,'VÍNCULOS_CDF'!$V$6:$V$1005,1))</f>
        <v/>
      </c>
      <c r="S225" s="94" t="str">
        <f>IF(Z225=0,"",IF(AA225=1,"Cancelado (informado)",IF(AE225=1,"Cadastro incompleto",IF(OR(AC225=1,AD225=1,AF225&gt;0,AH225&gt;0,AK225&gt;0,AL225&gt;0),"Informação a revisar",IF(AN225=0,"Aguardando recebimento",IF(N(R225)=0,"Aguardando CDF",IF(AJ225&lt;N(W225),"Vínculo de CDF parcial",IF(AO225=0,"CDF localizado, a conferir","Documentação conferida"))))))))</f>
        <v/>
      </c>
      <c r="T225" s="94" t="str">
        <f>IF(Z225=0,"",IF(S225="Cadastro incompleto","MTR INCOMPLETO",IF(S225="Informação a revisar",IF(AND(AH225&gt;0,AC225=0,AD225=0,AF225=0,AK225=0,AL225=0),"QUANTIDADE A REVISAR","IDENTIFICAÇÃO A REVISAR"),IF(S225="Aguardando recebimento","RECEBIMENTO NÃO CONFIRMADO",IF(S225="Aguardando CDF","CDF NÃO LOCALIZADO",IF(S225="Vínculo de CDF parcial","VÍNCULO INCOMPLETO",IF(S225="CDF localizado, a conferir","CDF A CONFERIR","")))))))</f>
        <v/>
      </c>
      <c r="U225" s="95" t="str">
        <f>IF(T225="","",IF(AQ225="","Não calculável",IF(AQ225&gt;TODAY(),"Data futura",TODAY()-AQ225)))</f>
        <v/>
      </c>
      <c r="V225" s="93" t="str">
        <f>IF(Z225=0,"",SUMIFS('RECEBIMENTOS'!$H$6:$H$1005,'RECEBIMENTOS'!$B$6:$B$1005,A225,'RECEBIMENTOS'!$Z$6:$Z$1005,1))</f>
        <v/>
      </c>
      <c r="W225" s="95" t="str">
        <f>IF(Z225=0,"",COUNTIFS('ITENS_MTR'!$S$6:$S$1005,A225,'ITENS_MTR'!$R$6:$R$1005,1))</f>
        <v/>
      </c>
      <c r="X225" s="94" t="str">
        <f>IF(AC225=1,"POSSÍVEL DUPLICIDADE","")</f>
        <v/>
      </c>
      <c r="Y225" s="94" t="str">
        <f>IF(Z225=0,"",IF(AW225="","Nenhuma",LEFT(AW225,LEN(AW225)-2)))</f>
        <v/>
      </c>
      <c r="Z225" s="96">
        <f>IF(COUNTA(B225:O225)&gt;0,1,0)</f>
        <v>0</v>
      </c>
      <c r="AA225" s="96">
        <f>IF(AND(Z225=1,K225&lt;&gt;""),IF(TRIM(K225)=TRIM(cfg_cancel),1,0),0)</f>
        <v>0</v>
      </c>
      <c r="AB225" s="96" t="str">
        <f>IF(AND(Z225=1,B225&lt;&gt;""),C225&amp;"|"&amp;D225&amp;"|"&amp;G225&amp;"|"&amp;TRIM(B225),"")</f>
        <v/>
      </c>
      <c r="AC225" s="96">
        <f>IF(AB225="",0,IF(SUMPRODUCT(--($AB$6:$AB$505=AB225))&gt;1,1,0))</f>
        <v>0</v>
      </c>
      <c r="AD225" s="96">
        <f>IF(Z225=0,0,IF(OR(AND(G225&lt;&gt;"",ISNA(MATCH(G225,'CAD_UNIDADES'!$C$6:$C$105,0))),AND(H225&lt;&gt;"",ISNA(MATCH(H225,cmp_transp,0))),AND(I225&lt;&gt;"",ISNA(MATCH(I225,cmp_dest,0))),AND(E225&lt;&gt;"",NOT(ISNUMBER(E225))),AND(F225&lt;&gt;"",NOT(ISNUMBER(F225))),AND(ISNUMBER(E225),ISNUMBER(F225),F225&lt;E225)),1,0))</f>
        <v>0</v>
      </c>
      <c r="AE225" s="96">
        <f>IF(Z225=0,0,IF(OR(B225="",C225="",E225="",G225="",H225="",I225="",N(W225)=0),1,0))</f>
        <v>0</v>
      </c>
      <c r="AF225" s="96">
        <f>IF(Z225=0,0,COUNTIFS('ITENS_MTR'!$S$6:$S$1005,A225,'ITENS_MTR'!$AI$6:$AI$1005,1))</f>
        <v>0</v>
      </c>
      <c r="AG225" s="96">
        <f>IF(Z225=0,0,COUNTIFS('ITENS_MTR'!$S$6:$S$1005,A225,'ITENS_MTR'!$AJ$6:$AJ$1005,1))</f>
        <v>0</v>
      </c>
      <c r="AH225" s="96">
        <f>IF(Z225=0,0,COUNTIFS('ITENS_MTR'!$S$6:$S$1005,A225,'ITENS_MTR'!$AM$6:$AM$1005,1))</f>
        <v>0</v>
      </c>
      <c r="AI225" s="96">
        <f>IF(Z225=0,0,COUNTIFS('ITENS_MTR'!$S$6:$S$1005,A225,'ITENS_MTR'!$AO$6:$AO$1005,1))</f>
        <v>0</v>
      </c>
      <c r="AJ225" s="96">
        <f>IF(Z225=0,0,COUNTIFS('ITENS_MTR'!$S$6:$S$1005,A225,'ITENS_MTR'!$AN$6:$AN$1005,1))</f>
        <v>0</v>
      </c>
      <c r="AK225" s="96">
        <f>IF(Z225=0,0,COUNTIFS('RECEBIMENTOS'!$B$6:$B$1005,A225,'RECEBIMENTOS'!$Y$6:$Y$1005,1))</f>
        <v>0</v>
      </c>
      <c r="AL225" s="96">
        <f>IF(Z225=0,0,COUNTIFS('VÍNCULOS_CDF'!$D$6:$D$1005,A225,'VÍNCULOS_CDF'!$Y$6:$Y$1005,1))</f>
        <v>0</v>
      </c>
      <c r="AM225" s="96">
        <f>IF(Z225=0,0,COUNTIFS('RECEBIMENTOS'!$B$6:$B$1005,A225,'RECEBIMENTOS'!$Q$6:$Q$1005,1))</f>
        <v>0</v>
      </c>
      <c r="AN225" s="96">
        <f>IF(AND(Z225=1,N(W225)&gt;0,AG225=N(W225)),1,0)</f>
        <v>0</v>
      </c>
      <c r="AO225" s="96">
        <f>IF(AND(Z225=1,N(W225)&gt;0,AI225=N(W225)),1,0)</f>
        <v>0</v>
      </c>
      <c r="AP225" s="97">
        <f>IF(Z225=0,0,_xlfn.MAXIFS('RECEBIMENTOS'!$E$6:$E$1005,'RECEBIMENTOS'!$B$6:$B$1005,A225))</f>
        <v>0</v>
      </c>
      <c r="AQ225" s="97" t="str">
        <f>IF(T225="","",IF(T225="RECEBIMENTO NÃO CONFIRMADO",IF(ISNUMBER(F225),F225,IF(ISNUMBER(E225),E225,"")),IF(OR(T225="CDF NÃO LOCALIZADO",T225="VÍNCULO INCOMPLETO",T225="CDF A CONFERIR"),IF(AP225&gt;0,AP225,IF(ISNUMBER(E225),E225,"")),IF(ISNUMBER(E225),E225,""))))</f>
        <v/>
      </c>
      <c r="AR225" s="96">
        <f>IF(NOT(ISNUMBER(U225)),0,IF(T225="RECEBIMENTO NÃO CONFIRMADO",IF(AND(ISNUMBER(cfg_rec),U225&gt;cfg_rec),1,0),IF(OR(T225="CDF NÃO LOCALIZADO",T225="VÍNCULO INCOMPLETO",T225="CDF A CONFERIR"),IF(AND(ISNUMBER(cfg_cdf),U225&gt;cfg_cdf),1,0),0)))</f>
        <v>0</v>
      </c>
      <c r="AS225" s="96" t="str">
        <f>IF(T225="","",IF(AR225=1,"Alta",IFERROR(INDEX(cfg_pp,MATCH(T225,cfg_pt,0))&amp;"","Média")))</f>
        <v/>
      </c>
      <c r="AT225" s="96" t="str">
        <f>IF(T225="","",IFERROR(INDEX(cfg_pv,MATCH(T225,cfg_pt,0))&amp;"",""))</f>
        <v/>
      </c>
      <c r="AU225" s="96" t="str">
        <f>IF(T225="","",IF(AS225="Alta",1,IF(AS225="Média",2,3))*1000000000+(999999-IF(ISNUMBER(U225),MIN(U225,999999),0))*1000+220)</f>
        <v/>
      </c>
      <c r="AV225" s="96">
        <f>IF(T225&lt;&gt;"",1,0)</f>
        <v>0</v>
      </c>
      <c r="AW225" s="96" t="str">
        <f>IF(Z225=0,"",IF(AA225=1,"Cancelamento informado; ","")&amp;IF(AE225=1,"Campos essenciais ou itens faltando; ","")&amp;IF(AC225=1,"Possível duplicidade do número; ","")&amp;IF(AD225=1,"Cadastro ou datas a revisar; ","")&amp;IF(AF225&gt;0,"Item de resíduo com dado a revisar; ","")&amp;IF(AH225&gt;0,"Diferença de quantidade a analisar; ","")&amp;IF(AK225&gt;0,"Recebimento com alerta; ","")&amp;IF(AL225&gt;0,"Vínculo de CDF com alerta; ","")&amp;IF(AND(AA225=0,AN225=0),"Recebimento não confirmado; ","")&amp;IF(AND(AA225=0,AN225=1,AO225=0),"CDF pendente ou a conferir; ",""))</f>
        <v/>
      </c>
      <c r="AX225" s="96">
        <f>IF(Z225=0,0,IF(AND(OR(f_ini="",AND(ISNUMBER(E225),E225&gt;=f_ini)),OR(f_fim="",AND(ISNUMBER(E225),E225&lt;=f_fim)),OR(f_un="",f_un="(Todas)",G225=f_un),OR(f_tr="",f_tr="(Todos)",H225=f_tr),OR(f_de="",f_de="(Todos)",I225=f_de),OR(f_sit="",f_sit="(Todas)",S225=f_sit)),1,0))</f>
        <v>0</v>
      </c>
      <c r="AY225" s="96">
        <f>IF(AX225=0,0,IF(OR(f_res="",f_res="(Todos)"),1,IF(COUNTIFS('ITENS_MTR'!$S$6:$S$1005,A225,'ITENS_MTR'!$C$6:$C$1005,f_res)&gt;0,1,0)))</f>
        <v>0</v>
      </c>
      <c r="AZ225" s="97" t="str">
        <f>IF(ISNUMBER(E225),DATE(YEAR(E225),MONTH(E225),1),"")</f>
        <v/>
      </c>
      <c r="BA225" s="96">
        <f>IF(Z225=0,0,IF(AND(OR(r_ini="",AND(ISNUMBER(E225),E225&gt;=r_ini)),OR(r_fim="",AND(ISNUMBER(E225),E225&lt;=r_fim)),OR(r_un="",r_un="(Todas)",G225=r_un),OR(r_de="",r_de="(Todos)",I225=r_de)),1,0))</f>
        <v>0</v>
      </c>
      <c r="BB225" s="96" t="str">
        <f>IF(BA225=1,COUNTIF($BA$6:BA225,1),"")</f>
        <v/>
      </c>
      <c r="BC225" s="96" t="str">
        <f>IF(AND(AU225&lt;&gt;"",OR(r_un="",r_un="(Todas)",G225=r_un),OR(r_de="",r_de="(Todos)",I225=r_de)),AU225,"")</f>
        <v/>
      </c>
      <c r="BD225" s="96" t="str">
        <f>IF(Z225=1,A225&amp;" | nº "&amp;IF(B225="","(sem número)",B225)&amp;" | "&amp;IF(G225="","(sem unidade)",G225),"")</f>
        <v/>
      </c>
      <c r="BE225" s="96" t="str">
        <f>IF(Z225=1,COUNTIF($Z$6:Z225,1),"")</f>
        <v/>
      </c>
      <c r="BF225" s="96" t="str">
        <f>IF(T225="","",IF(T225="RECEBIMENTO NÃO CONFIRMADO","Transp.: "&amp;H225&amp;" | Dest.: "&amp;I225,IF(OR(T225="CDF NÃO LOCALIZADO",T225="VÍNCULO INCOMPLETO",T225="CDF A CONFERIR"),"Dest.: "&amp;I225,"Gerador: "&amp;G225)))</f>
        <v/>
      </c>
    </row>
    <row r="226">
      <c r="A226" s="89" t="inlineStr">
        <is>
          <t>MTR-000221</t>
        </is>
      </c>
      <c r="B226" s="90" t="n"/>
      <c r="C226" s="91" t="n"/>
      <c r="D226" s="91" t="n"/>
      <c r="E226" s="92" t="n"/>
      <c r="F226" s="92" t="n"/>
      <c r="G226" s="91" t="n"/>
      <c r="H226" s="91" t="n"/>
      <c r="I226" s="91" t="n"/>
      <c r="J226" s="91" t="n"/>
      <c r="K226" s="91" t="n"/>
      <c r="L226" s="92" t="n"/>
      <c r="M226" s="91" t="n"/>
      <c r="N226" s="91" t="n"/>
      <c r="O226" s="91" t="n"/>
      <c r="P226" s="93" t="str">
        <f>IF(Z226=0,"",SUMIFS('ITENS_MTR'!$I$6:$I$1005,'ITENS_MTR'!$S$6:$S$1005,A226,'ITENS_MTR'!$Y$6:$Y$1005,1))</f>
        <v/>
      </c>
      <c r="Q226" s="93" t="str">
        <f>IF(Z226=0,"",SUMIFS('RECEBIMENTOS'!$H$6:$H$1005,'RECEBIMENTOS'!$B$6:$B$1005,A226,'RECEBIMENTOS'!$X$6:$X$1005,1))</f>
        <v/>
      </c>
      <c r="R226" s="93" t="str">
        <f>IF(Z226=0,"",SUMIFS('VÍNCULOS_CDF'!$H$6:$H$1005,'VÍNCULOS_CDF'!$D$6:$D$1005,A226,'VÍNCULOS_CDF'!$V$6:$V$1005,1))</f>
        <v/>
      </c>
      <c r="S226" s="94" t="str">
        <f>IF(Z226=0,"",IF(AA226=1,"Cancelado (informado)",IF(AE226=1,"Cadastro incompleto",IF(OR(AC226=1,AD226=1,AF226&gt;0,AH226&gt;0,AK226&gt;0,AL226&gt;0),"Informação a revisar",IF(AN226=0,"Aguardando recebimento",IF(N(R226)=0,"Aguardando CDF",IF(AJ226&lt;N(W226),"Vínculo de CDF parcial",IF(AO226=0,"CDF localizado, a conferir","Documentação conferida"))))))))</f>
        <v/>
      </c>
      <c r="T226" s="94" t="str">
        <f>IF(Z226=0,"",IF(S226="Cadastro incompleto","MTR INCOMPLETO",IF(S226="Informação a revisar",IF(AND(AH226&gt;0,AC226=0,AD226=0,AF226=0,AK226=0,AL226=0),"QUANTIDADE A REVISAR","IDENTIFICAÇÃO A REVISAR"),IF(S226="Aguardando recebimento","RECEBIMENTO NÃO CONFIRMADO",IF(S226="Aguardando CDF","CDF NÃO LOCALIZADO",IF(S226="Vínculo de CDF parcial","VÍNCULO INCOMPLETO",IF(S226="CDF localizado, a conferir","CDF A CONFERIR","")))))))</f>
        <v/>
      </c>
      <c r="U226" s="95" t="str">
        <f>IF(T226="","",IF(AQ226="","Não calculável",IF(AQ226&gt;TODAY(),"Data futura",TODAY()-AQ226)))</f>
        <v/>
      </c>
      <c r="V226" s="93" t="str">
        <f>IF(Z226=0,"",SUMIFS('RECEBIMENTOS'!$H$6:$H$1005,'RECEBIMENTOS'!$B$6:$B$1005,A226,'RECEBIMENTOS'!$Z$6:$Z$1005,1))</f>
        <v/>
      </c>
      <c r="W226" s="95" t="str">
        <f>IF(Z226=0,"",COUNTIFS('ITENS_MTR'!$S$6:$S$1005,A226,'ITENS_MTR'!$R$6:$R$1005,1))</f>
        <v/>
      </c>
      <c r="X226" s="94" t="str">
        <f>IF(AC226=1,"POSSÍVEL DUPLICIDADE","")</f>
        <v/>
      </c>
      <c r="Y226" s="94" t="str">
        <f>IF(Z226=0,"",IF(AW226="","Nenhuma",LEFT(AW226,LEN(AW226)-2)))</f>
        <v/>
      </c>
      <c r="Z226" s="96">
        <f>IF(COUNTA(B226:O226)&gt;0,1,0)</f>
        <v>0</v>
      </c>
      <c r="AA226" s="96">
        <f>IF(AND(Z226=1,K226&lt;&gt;""),IF(TRIM(K226)=TRIM(cfg_cancel),1,0),0)</f>
        <v>0</v>
      </c>
      <c r="AB226" s="96" t="str">
        <f>IF(AND(Z226=1,B226&lt;&gt;""),C226&amp;"|"&amp;D226&amp;"|"&amp;G226&amp;"|"&amp;TRIM(B226),"")</f>
        <v/>
      </c>
      <c r="AC226" s="96">
        <f>IF(AB226="",0,IF(SUMPRODUCT(--($AB$6:$AB$505=AB226))&gt;1,1,0))</f>
        <v>0</v>
      </c>
      <c r="AD226" s="96">
        <f>IF(Z226=0,0,IF(OR(AND(G226&lt;&gt;"",ISNA(MATCH(G226,'CAD_UNIDADES'!$C$6:$C$105,0))),AND(H226&lt;&gt;"",ISNA(MATCH(H226,cmp_transp,0))),AND(I226&lt;&gt;"",ISNA(MATCH(I226,cmp_dest,0))),AND(E226&lt;&gt;"",NOT(ISNUMBER(E226))),AND(F226&lt;&gt;"",NOT(ISNUMBER(F226))),AND(ISNUMBER(E226),ISNUMBER(F226),F226&lt;E226)),1,0))</f>
        <v>0</v>
      </c>
      <c r="AE226" s="96">
        <f>IF(Z226=0,0,IF(OR(B226="",C226="",E226="",G226="",H226="",I226="",N(W226)=0),1,0))</f>
        <v>0</v>
      </c>
      <c r="AF226" s="96">
        <f>IF(Z226=0,0,COUNTIFS('ITENS_MTR'!$S$6:$S$1005,A226,'ITENS_MTR'!$AI$6:$AI$1005,1))</f>
        <v>0</v>
      </c>
      <c r="AG226" s="96">
        <f>IF(Z226=0,0,COUNTIFS('ITENS_MTR'!$S$6:$S$1005,A226,'ITENS_MTR'!$AJ$6:$AJ$1005,1))</f>
        <v>0</v>
      </c>
      <c r="AH226" s="96">
        <f>IF(Z226=0,0,COUNTIFS('ITENS_MTR'!$S$6:$S$1005,A226,'ITENS_MTR'!$AM$6:$AM$1005,1))</f>
        <v>0</v>
      </c>
      <c r="AI226" s="96">
        <f>IF(Z226=0,0,COUNTIFS('ITENS_MTR'!$S$6:$S$1005,A226,'ITENS_MTR'!$AO$6:$AO$1005,1))</f>
        <v>0</v>
      </c>
      <c r="AJ226" s="96">
        <f>IF(Z226=0,0,COUNTIFS('ITENS_MTR'!$S$6:$S$1005,A226,'ITENS_MTR'!$AN$6:$AN$1005,1))</f>
        <v>0</v>
      </c>
      <c r="AK226" s="96">
        <f>IF(Z226=0,0,COUNTIFS('RECEBIMENTOS'!$B$6:$B$1005,A226,'RECEBIMENTOS'!$Y$6:$Y$1005,1))</f>
        <v>0</v>
      </c>
      <c r="AL226" s="96">
        <f>IF(Z226=0,0,COUNTIFS('VÍNCULOS_CDF'!$D$6:$D$1005,A226,'VÍNCULOS_CDF'!$Y$6:$Y$1005,1))</f>
        <v>0</v>
      </c>
      <c r="AM226" s="96">
        <f>IF(Z226=0,0,COUNTIFS('RECEBIMENTOS'!$B$6:$B$1005,A226,'RECEBIMENTOS'!$Q$6:$Q$1005,1))</f>
        <v>0</v>
      </c>
      <c r="AN226" s="96">
        <f>IF(AND(Z226=1,N(W226)&gt;0,AG226=N(W226)),1,0)</f>
        <v>0</v>
      </c>
      <c r="AO226" s="96">
        <f>IF(AND(Z226=1,N(W226)&gt;0,AI226=N(W226)),1,0)</f>
        <v>0</v>
      </c>
      <c r="AP226" s="97">
        <f>IF(Z226=0,0,_xlfn.MAXIFS('RECEBIMENTOS'!$E$6:$E$1005,'RECEBIMENTOS'!$B$6:$B$1005,A226))</f>
        <v>0</v>
      </c>
      <c r="AQ226" s="97" t="str">
        <f>IF(T226="","",IF(T226="RECEBIMENTO NÃO CONFIRMADO",IF(ISNUMBER(F226),F226,IF(ISNUMBER(E226),E226,"")),IF(OR(T226="CDF NÃO LOCALIZADO",T226="VÍNCULO INCOMPLETO",T226="CDF A CONFERIR"),IF(AP226&gt;0,AP226,IF(ISNUMBER(E226),E226,"")),IF(ISNUMBER(E226),E226,""))))</f>
        <v/>
      </c>
      <c r="AR226" s="96">
        <f>IF(NOT(ISNUMBER(U226)),0,IF(T226="RECEBIMENTO NÃO CONFIRMADO",IF(AND(ISNUMBER(cfg_rec),U226&gt;cfg_rec),1,0),IF(OR(T226="CDF NÃO LOCALIZADO",T226="VÍNCULO INCOMPLETO",T226="CDF A CONFERIR"),IF(AND(ISNUMBER(cfg_cdf),U226&gt;cfg_cdf),1,0),0)))</f>
        <v>0</v>
      </c>
      <c r="AS226" s="96" t="str">
        <f>IF(T226="","",IF(AR226=1,"Alta",IFERROR(INDEX(cfg_pp,MATCH(T226,cfg_pt,0))&amp;"","Média")))</f>
        <v/>
      </c>
      <c r="AT226" s="96" t="str">
        <f>IF(T226="","",IFERROR(INDEX(cfg_pv,MATCH(T226,cfg_pt,0))&amp;"",""))</f>
        <v/>
      </c>
      <c r="AU226" s="96" t="str">
        <f>IF(T226="","",IF(AS226="Alta",1,IF(AS226="Média",2,3))*1000000000+(999999-IF(ISNUMBER(U226),MIN(U226,999999),0))*1000+221)</f>
        <v/>
      </c>
      <c r="AV226" s="96">
        <f>IF(T226&lt;&gt;"",1,0)</f>
        <v>0</v>
      </c>
      <c r="AW226" s="96" t="str">
        <f>IF(Z226=0,"",IF(AA226=1,"Cancelamento informado; ","")&amp;IF(AE226=1,"Campos essenciais ou itens faltando; ","")&amp;IF(AC226=1,"Possível duplicidade do número; ","")&amp;IF(AD226=1,"Cadastro ou datas a revisar; ","")&amp;IF(AF226&gt;0,"Item de resíduo com dado a revisar; ","")&amp;IF(AH226&gt;0,"Diferença de quantidade a analisar; ","")&amp;IF(AK226&gt;0,"Recebimento com alerta; ","")&amp;IF(AL226&gt;0,"Vínculo de CDF com alerta; ","")&amp;IF(AND(AA226=0,AN226=0),"Recebimento não confirmado; ","")&amp;IF(AND(AA226=0,AN226=1,AO226=0),"CDF pendente ou a conferir; ",""))</f>
        <v/>
      </c>
      <c r="AX226" s="96">
        <f>IF(Z226=0,0,IF(AND(OR(f_ini="",AND(ISNUMBER(E226),E226&gt;=f_ini)),OR(f_fim="",AND(ISNUMBER(E226),E226&lt;=f_fim)),OR(f_un="",f_un="(Todas)",G226=f_un),OR(f_tr="",f_tr="(Todos)",H226=f_tr),OR(f_de="",f_de="(Todos)",I226=f_de),OR(f_sit="",f_sit="(Todas)",S226=f_sit)),1,0))</f>
        <v>0</v>
      </c>
      <c r="AY226" s="96">
        <f>IF(AX226=0,0,IF(OR(f_res="",f_res="(Todos)"),1,IF(COUNTIFS('ITENS_MTR'!$S$6:$S$1005,A226,'ITENS_MTR'!$C$6:$C$1005,f_res)&gt;0,1,0)))</f>
        <v>0</v>
      </c>
      <c r="AZ226" s="97" t="str">
        <f>IF(ISNUMBER(E226),DATE(YEAR(E226),MONTH(E226),1),"")</f>
        <v/>
      </c>
      <c r="BA226" s="96">
        <f>IF(Z226=0,0,IF(AND(OR(r_ini="",AND(ISNUMBER(E226),E226&gt;=r_ini)),OR(r_fim="",AND(ISNUMBER(E226),E226&lt;=r_fim)),OR(r_un="",r_un="(Todas)",G226=r_un),OR(r_de="",r_de="(Todos)",I226=r_de)),1,0))</f>
        <v>0</v>
      </c>
      <c r="BB226" s="96" t="str">
        <f>IF(BA226=1,COUNTIF($BA$6:BA226,1),"")</f>
        <v/>
      </c>
      <c r="BC226" s="96" t="str">
        <f>IF(AND(AU226&lt;&gt;"",OR(r_un="",r_un="(Todas)",G226=r_un),OR(r_de="",r_de="(Todos)",I226=r_de)),AU226,"")</f>
        <v/>
      </c>
      <c r="BD226" s="96" t="str">
        <f>IF(Z226=1,A226&amp;" | nº "&amp;IF(B226="","(sem número)",B226)&amp;" | "&amp;IF(G226="","(sem unidade)",G226),"")</f>
        <v/>
      </c>
      <c r="BE226" s="96" t="str">
        <f>IF(Z226=1,COUNTIF($Z$6:Z226,1),"")</f>
        <v/>
      </c>
      <c r="BF226" s="96" t="str">
        <f>IF(T226="","",IF(T226="RECEBIMENTO NÃO CONFIRMADO","Transp.: "&amp;H226&amp;" | Dest.: "&amp;I226,IF(OR(T226="CDF NÃO LOCALIZADO",T226="VÍNCULO INCOMPLETO",T226="CDF A CONFERIR"),"Dest.: "&amp;I226,"Gerador: "&amp;G226)))</f>
        <v/>
      </c>
    </row>
    <row r="227">
      <c r="A227" s="89" t="inlineStr">
        <is>
          <t>MTR-000222</t>
        </is>
      </c>
      <c r="B227" s="90" t="n"/>
      <c r="C227" s="91" t="n"/>
      <c r="D227" s="91" t="n"/>
      <c r="E227" s="92" t="n"/>
      <c r="F227" s="92" t="n"/>
      <c r="G227" s="91" t="n"/>
      <c r="H227" s="91" t="n"/>
      <c r="I227" s="91" t="n"/>
      <c r="J227" s="91" t="n"/>
      <c r="K227" s="91" t="n"/>
      <c r="L227" s="92" t="n"/>
      <c r="M227" s="91" t="n"/>
      <c r="N227" s="91" t="n"/>
      <c r="O227" s="91" t="n"/>
      <c r="P227" s="93" t="str">
        <f>IF(Z227=0,"",SUMIFS('ITENS_MTR'!$I$6:$I$1005,'ITENS_MTR'!$S$6:$S$1005,A227,'ITENS_MTR'!$Y$6:$Y$1005,1))</f>
        <v/>
      </c>
      <c r="Q227" s="93" t="str">
        <f>IF(Z227=0,"",SUMIFS('RECEBIMENTOS'!$H$6:$H$1005,'RECEBIMENTOS'!$B$6:$B$1005,A227,'RECEBIMENTOS'!$X$6:$X$1005,1))</f>
        <v/>
      </c>
      <c r="R227" s="93" t="str">
        <f>IF(Z227=0,"",SUMIFS('VÍNCULOS_CDF'!$H$6:$H$1005,'VÍNCULOS_CDF'!$D$6:$D$1005,A227,'VÍNCULOS_CDF'!$V$6:$V$1005,1))</f>
        <v/>
      </c>
      <c r="S227" s="94" t="str">
        <f>IF(Z227=0,"",IF(AA227=1,"Cancelado (informado)",IF(AE227=1,"Cadastro incompleto",IF(OR(AC227=1,AD227=1,AF227&gt;0,AH227&gt;0,AK227&gt;0,AL227&gt;0),"Informação a revisar",IF(AN227=0,"Aguardando recebimento",IF(N(R227)=0,"Aguardando CDF",IF(AJ227&lt;N(W227),"Vínculo de CDF parcial",IF(AO227=0,"CDF localizado, a conferir","Documentação conferida"))))))))</f>
        <v/>
      </c>
      <c r="T227" s="94" t="str">
        <f>IF(Z227=0,"",IF(S227="Cadastro incompleto","MTR INCOMPLETO",IF(S227="Informação a revisar",IF(AND(AH227&gt;0,AC227=0,AD227=0,AF227=0,AK227=0,AL227=0),"QUANTIDADE A REVISAR","IDENTIFICAÇÃO A REVISAR"),IF(S227="Aguardando recebimento","RECEBIMENTO NÃO CONFIRMADO",IF(S227="Aguardando CDF","CDF NÃO LOCALIZADO",IF(S227="Vínculo de CDF parcial","VÍNCULO INCOMPLETO",IF(S227="CDF localizado, a conferir","CDF A CONFERIR","")))))))</f>
        <v/>
      </c>
      <c r="U227" s="95" t="str">
        <f>IF(T227="","",IF(AQ227="","Não calculável",IF(AQ227&gt;TODAY(),"Data futura",TODAY()-AQ227)))</f>
        <v/>
      </c>
      <c r="V227" s="93" t="str">
        <f>IF(Z227=0,"",SUMIFS('RECEBIMENTOS'!$H$6:$H$1005,'RECEBIMENTOS'!$B$6:$B$1005,A227,'RECEBIMENTOS'!$Z$6:$Z$1005,1))</f>
        <v/>
      </c>
      <c r="W227" s="95" t="str">
        <f>IF(Z227=0,"",COUNTIFS('ITENS_MTR'!$S$6:$S$1005,A227,'ITENS_MTR'!$R$6:$R$1005,1))</f>
        <v/>
      </c>
      <c r="X227" s="94" t="str">
        <f>IF(AC227=1,"POSSÍVEL DUPLICIDADE","")</f>
        <v/>
      </c>
      <c r="Y227" s="94" t="str">
        <f>IF(Z227=0,"",IF(AW227="","Nenhuma",LEFT(AW227,LEN(AW227)-2)))</f>
        <v/>
      </c>
      <c r="Z227" s="96">
        <f>IF(COUNTA(B227:O227)&gt;0,1,0)</f>
        <v>0</v>
      </c>
      <c r="AA227" s="96">
        <f>IF(AND(Z227=1,K227&lt;&gt;""),IF(TRIM(K227)=TRIM(cfg_cancel),1,0),0)</f>
        <v>0</v>
      </c>
      <c r="AB227" s="96" t="str">
        <f>IF(AND(Z227=1,B227&lt;&gt;""),C227&amp;"|"&amp;D227&amp;"|"&amp;G227&amp;"|"&amp;TRIM(B227),"")</f>
        <v/>
      </c>
      <c r="AC227" s="96">
        <f>IF(AB227="",0,IF(SUMPRODUCT(--($AB$6:$AB$505=AB227))&gt;1,1,0))</f>
        <v>0</v>
      </c>
      <c r="AD227" s="96">
        <f>IF(Z227=0,0,IF(OR(AND(G227&lt;&gt;"",ISNA(MATCH(G227,'CAD_UNIDADES'!$C$6:$C$105,0))),AND(H227&lt;&gt;"",ISNA(MATCH(H227,cmp_transp,0))),AND(I227&lt;&gt;"",ISNA(MATCH(I227,cmp_dest,0))),AND(E227&lt;&gt;"",NOT(ISNUMBER(E227))),AND(F227&lt;&gt;"",NOT(ISNUMBER(F227))),AND(ISNUMBER(E227),ISNUMBER(F227),F227&lt;E227)),1,0))</f>
        <v>0</v>
      </c>
      <c r="AE227" s="96">
        <f>IF(Z227=0,0,IF(OR(B227="",C227="",E227="",G227="",H227="",I227="",N(W227)=0),1,0))</f>
        <v>0</v>
      </c>
      <c r="AF227" s="96">
        <f>IF(Z227=0,0,COUNTIFS('ITENS_MTR'!$S$6:$S$1005,A227,'ITENS_MTR'!$AI$6:$AI$1005,1))</f>
        <v>0</v>
      </c>
      <c r="AG227" s="96">
        <f>IF(Z227=0,0,COUNTIFS('ITENS_MTR'!$S$6:$S$1005,A227,'ITENS_MTR'!$AJ$6:$AJ$1005,1))</f>
        <v>0</v>
      </c>
      <c r="AH227" s="96">
        <f>IF(Z227=0,0,COUNTIFS('ITENS_MTR'!$S$6:$S$1005,A227,'ITENS_MTR'!$AM$6:$AM$1005,1))</f>
        <v>0</v>
      </c>
      <c r="AI227" s="96">
        <f>IF(Z227=0,0,COUNTIFS('ITENS_MTR'!$S$6:$S$1005,A227,'ITENS_MTR'!$AO$6:$AO$1005,1))</f>
        <v>0</v>
      </c>
      <c r="AJ227" s="96">
        <f>IF(Z227=0,0,COUNTIFS('ITENS_MTR'!$S$6:$S$1005,A227,'ITENS_MTR'!$AN$6:$AN$1005,1))</f>
        <v>0</v>
      </c>
      <c r="AK227" s="96">
        <f>IF(Z227=0,0,COUNTIFS('RECEBIMENTOS'!$B$6:$B$1005,A227,'RECEBIMENTOS'!$Y$6:$Y$1005,1))</f>
        <v>0</v>
      </c>
      <c r="AL227" s="96">
        <f>IF(Z227=0,0,COUNTIFS('VÍNCULOS_CDF'!$D$6:$D$1005,A227,'VÍNCULOS_CDF'!$Y$6:$Y$1005,1))</f>
        <v>0</v>
      </c>
      <c r="AM227" s="96">
        <f>IF(Z227=0,0,COUNTIFS('RECEBIMENTOS'!$B$6:$B$1005,A227,'RECEBIMENTOS'!$Q$6:$Q$1005,1))</f>
        <v>0</v>
      </c>
      <c r="AN227" s="96">
        <f>IF(AND(Z227=1,N(W227)&gt;0,AG227=N(W227)),1,0)</f>
        <v>0</v>
      </c>
      <c r="AO227" s="96">
        <f>IF(AND(Z227=1,N(W227)&gt;0,AI227=N(W227)),1,0)</f>
        <v>0</v>
      </c>
      <c r="AP227" s="97">
        <f>IF(Z227=0,0,_xlfn.MAXIFS('RECEBIMENTOS'!$E$6:$E$1005,'RECEBIMENTOS'!$B$6:$B$1005,A227))</f>
        <v>0</v>
      </c>
      <c r="AQ227" s="97" t="str">
        <f>IF(T227="","",IF(T227="RECEBIMENTO NÃO CONFIRMADO",IF(ISNUMBER(F227),F227,IF(ISNUMBER(E227),E227,"")),IF(OR(T227="CDF NÃO LOCALIZADO",T227="VÍNCULO INCOMPLETO",T227="CDF A CONFERIR"),IF(AP227&gt;0,AP227,IF(ISNUMBER(E227),E227,"")),IF(ISNUMBER(E227),E227,""))))</f>
        <v/>
      </c>
      <c r="AR227" s="96">
        <f>IF(NOT(ISNUMBER(U227)),0,IF(T227="RECEBIMENTO NÃO CONFIRMADO",IF(AND(ISNUMBER(cfg_rec),U227&gt;cfg_rec),1,0),IF(OR(T227="CDF NÃO LOCALIZADO",T227="VÍNCULO INCOMPLETO",T227="CDF A CONFERIR"),IF(AND(ISNUMBER(cfg_cdf),U227&gt;cfg_cdf),1,0),0)))</f>
        <v>0</v>
      </c>
      <c r="AS227" s="96" t="str">
        <f>IF(T227="","",IF(AR227=1,"Alta",IFERROR(INDEX(cfg_pp,MATCH(T227,cfg_pt,0))&amp;"","Média")))</f>
        <v/>
      </c>
      <c r="AT227" s="96" t="str">
        <f>IF(T227="","",IFERROR(INDEX(cfg_pv,MATCH(T227,cfg_pt,0))&amp;"",""))</f>
        <v/>
      </c>
      <c r="AU227" s="96" t="str">
        <f>IF(T227="","",IF(AS227="Alta",1,IF(AS227="Média",2,3))*1000000000+(999999-IF(ISNUMBER(U227),MIN(U227,999999),0))*1000+222)</f>
        <v/>
      </c>
      <c r="AV227" s="96">
        <f>IF(T227&lt;&gt;"",1,0)</f>
        <v>0</v>
      </c>
      <c r="AW227" s="96" t="str">
        <f>IF(Z227=0,"",IF(AA227=1,"Cancelamento informado; ","")&amp;IF(AE227=1,"Campos essenciais ou itens faltando; ","")&amp;IF(AC227=1,"Possível duplicidade do número; ","")&amp;IF(AD227=1,"Cadastro ou datas a revisar; ","")&amp;IF(AF227&gt;0,"Item de resíduo com dado a revisar; ","")&amp;IF(AH227&gt;0,"Diferença de quantidade a analisar; ","")&amp;IF(AK227&gt;0,"Recebimento com alerta; ","")&amp;IF(AL227&gt;0,"Vínculo de CDF com alerta; ","")&amp;IF(AND(AA227=0,AN227=0),"Recebimento não confirmado; ","")&amp;IF(AND(AA227=0,AN227=1,AO227=0),"CDF pendente ou a conferir; ",""))</f>
        <v/>
      </c>
      <c r="AX227" s="96">
        <f>IF(Z227=0,0,IF(AND(OR(f_ini="",AND(ISNUMBER(E227),E227&gt;=f_ini)),OR(f_fim="",AND(ISNUMBER(E227),E227&lt;=f_fim)),OR(f_un="",f_un="(Todas)",G227=f_un),OR(f_tr="",f_tr="(Todos)",H227=f_tr),OR(f_de="",f_de="(Todos)",I227=f_de),OR(f_sit="",f_sit="(Todas)",S227=f_sit)),1,0))</f>
        <v>0</v>
      </c>
      <c r="AY227" s="96">
        <f>IF(AX227=0,0,IF(OR(f_res="",f_res="(Todos)"),1,IF(COUNTIFS('ITENS_MTR'!$S$6:$S$1005,A227,'ITENS_MTR'!$C$6:$C$1005,f_res)&gt;0,1,0)))</f>
        <v>0</v>
      </c>
      <c r="AZ227" s="97" t="str">
        <f>IF(ISNUMBER(E227),DATE(YEAR(E227),MONTH(E227),1),"")</f>
        <v/>
      </c>
      <c r="BA227" s="96">
        <f>IF(Z227=0,0,IF(AND(OR(r_ini="",AND(ISNUMBER(E227),E227&gt;=r_ini)),OR(r_fim="",AND(ISNUMBER(E227),E227&lt;=r_fim)),OR(r_un="",r_un="(Todas)",G227=r_un),OR(r_de="",r_de="(Todos)",I227=r_de)),1,0))</f>
        <v>0</v>
      </c>
      <c r="BB227" s="96" t="str">
        <f>IF(BA227=1,COUNTIF($BA$6:BA227,1),"")</f>
        <v/>
      </c>
      <c r="BC227" s="96" t="str">
        <f>IF(AND(AU227&lt;&gt;"",OR(r_un="",r_un="(Todas)",G227=r_un),OR(r_de="",r_de="(Todos)",I227=r_de)),AU227,"")</f>
        <v/>
      </c>
      <c r="BD227" s="96" t="str">
        <f>IF(Z227=1,A227&amp;" | nº "&amp;IF(B227="","(sem número)",B227)&amp;" | "&amp;IF(G227="","(sem unidade)",G227),"")</f>
        <v/>
      </c>
      <c r="BE227" s="96" t="str">
        <f>IF(Z227=1,COUNTIF($Z$6:Z227,1),"")</f>
        <v/>
      </c>
      <c r="BF227" s="96" t="str">
        <f>IF(T227="","",IF(T227="RECEBIMENTO NÃO CONFIRMADO","Transp.: "&amp;H227&amp;" | Dest.: "&amp;I227,IF(OR(T227="CDF NÃO LOCALIZADO",T227="VÍNCULO INCOMPLETO",T227="CDF A CONFERIR"),"Dest.: "&amp;I227,"Gerador: "&amp;G227)))</f>
        <v/>
      </c>
    </row>
    <row r="228">
      <c r="A228" s="89" t="inlineStr">
        <is>
          <t>MTR-000223</t>
        </is>
      </c>
      <c r="B228" s="90" t="n"/>
      <c r="C228" s="91" t="n"/>
      <c r="D228" s="91" t="n"/>
      <c r="E228" s="92" t="n"/>
      <c r="F228" s="92" t="n"/>
      <c r="G228" s="91" t="n"/>
      <c r="H228" s="91" t="n"/>
      <c r="I228" s="91" t="n"/>
      <c r="J228" s="91" t="n"/>
      <c r="K228" s="91" t="n"/>
      <c r="L228" s="92" t="n"/>
      <c r="M228" s="91" t="n"/>
      <c r="N228" s="91" t="n"/>
      <c r="O228" s="91" t="n"/>
      <c r="P228" s="93" t="str">
        <f>IF(Z228=0,"",SUMIFS('ITENS_MTR'!$I$6:$I$1005,'ITENS_MTR'!$S$6:$S$1005,A228,'ITENS_MTR'!$Y$6:$Y$1005,1))</f>
        <v/>
      </c>
      <c r="Q228" s="93" t="str">
        <f>IF(Z228=0,"",SUMIFS('RECEBIMENTOS'!$H$6:$H$1005,'RECEBIMENTOS'!$B$6:$B$1005,A228,'RECEBIMENTOS'!$X$6:$X$1005,1))</f>
        <v/>
      </c>
      <c r="R228" s="93" t="str">
        <f>IF(Z228=0,"",SUMIFS('VÍNCULOS_CDF'!$H$6:$H$1005,'VÍNCULOS_CDF'!$D$6:$D$1005,A228,'VÍNCULOS_CDF'!$V$6:$V$1005,1))</f>
        <v/>
      </c>
      <c r="S228" s="94" t="str">
        <f>IF(Z228=0,"",IF(AA228=1,"Cancelado (informado)",IF(AE228=1,"Cadastro incompleto",IF(OR(AC228=1,AD228=1,AF228&gt;0,AH228&gt;0,AK228&gt;0,AL228&gt;0),"Informação a revisar",IF(AN228=0,"Aguardando recebimento",IF(N(R228)=0,"Aguardando CDF",IF(AJ228&lt;N(W228),"Vínculo de CDF parcial",IF(AO228=0,"CDF localizado, a conferir","Documentação conferida"))))))))</f>
        <v/>
      </c>
      <c r="T228" s="94" t="str">
        <f>IF(Z228=0,"",IF(S228="Cadastro incompleto","MTR INCOMPLETO",IF(S228="Informação a revisar",IF(AND(AH228&gt;0,AC228=0,AD228=0,AF228=0,AK228=0,AL228=0),"QUANTIDADE A REVISAR","IDENTIFICAÇÃO A REVISAR"),IF(S228="Aguardando recebimento","RECEBIMENTO NÃO CONFIRMADO",IF(S228="Aguardando CDF","CDF NÃO LOCALIZADO",IF(S228="Vínculo de CDF parcial","VÍNCULO INCOMPLETO",IF(S228="CDF localizado, a conferir","CDF A CONFERIR","")))))))</f>
        <v/>
      </c>
      <c r="U228" s="95" t="str">
        <f>IF(T228="","",IF(AQ228="","Não calculável",IF(AQ228&gt;TODAY(),"Data futura",TODAY()-AQ228)))</f>
        <v/>
      </c>
      <c r="V228" s="93" t="str">
        <f>IF(Z228=0,"",SUMIFS('RECEBIMENTOS'!$H$6:$H$1005,'RECEBIMENTOS'!$B$6:$B$1005,A228,'RECEBIMENTOS'!$Z$6:$Z$1005,1))</f>
        <v/>
      </c>
      <c r="W228" s="95" t="str">
        <f>IF(Z228=0,"",COUNTIFS('ITENS_MTR'!$S$6:$S$1005,A228,'ITENS_MTR'!$R$6:$R$1005,1))</f>
        <v/>
      </c>
      <c r="X228" s="94" t="str">
        <f>IF(AC228=1,"POSSÍVEL DUPLICIDADE","")</f>
        <v/>
      </c>
      <c r="Y228" s="94" t="str">
        <f>IF(Z228=0,"",IF(AW228="","Nenhuma",LEFT(AW228,LEN(AW228)-2)))</f>
        <v/>
      </c>
      <c r="Z228" s="96">
        <f>IF(COUNTA(B228:O228)&gt;0,1,0)</f>
        <v>0</v>
      </c>
      <c r="AA228" s="96">
        <f>IF(AND(Z228=1,K228&lt;&gt;""),IF(TRIM(K228)=TRIM(cfg_cancel),1,0),0)</f>
        <v>0</v>
      </c>
      <c r="AB228" s="96" t="str">
        <f>IF(AND(Z228=1,B228&lt;&gt;""),C228&amp;"|"&amp;D228&amp;"|"&amp;G228&amp;"|"&amp;TRIM(B228),"")</f>
        <v/>
      </c>
      <c r="AC228" s="96">
        <f>IF(AB228="",0,IF(SUMPRODUCT(--($AB$6:$AB$505=AB228))&gt;1,1,0))</f>
        <v>0</v>
      </c>
      <c r="AD228" s="96">
        <f>IF(Z228=0,0,IF(OR(AND(G228&lt;&gt;"",ISNA(MATCH(G228,'CAD_UNIDADES'!$C$6:$C$105,0))),AND(H228&lt;&gt;"",ISNA(MATCH(H228,cmp_transp,0))),AND(I228&lt;&gt;"",ISNA(MATCH(I228,cmp_dest,0))),AND(E228&lt;&gt;"",NOT(ISNUMBER(E228))),AND(F228&lt;&gt;"",NOT(ISNUMBER(F228))),AND(ISNUMBER(E228),ISNUMBER(F228),F228&lt;E228)),1,0))</f>
        <v>0</v>
      </c>
      <c r="AE228" s="96">
        <f>IF(Z228=0,0,IF(OR(B228="",C228="",E228="",G228="",H228="",I228="",N(W228)=0),1,0))</f>
        <v>0</v>
      </c>
      <c r="AF228" s="96">
        <f>IF(Z228=0,0,COUNTIFS('ITENS_MTR'!$S$6:$S$1005,A228,'ITENS_MTR'!$AI$6:$AI$1005,1))</f>
        <v>0</v>
      </c>
      <c r="AG228" s="96">
        <f>IF(Z228=0,0,COUNTIFS('ITENS_MTR'!$S$6:$S$1005,A228,'ITENS_MTR'!$AJ$6:$AJ$1005,1))</f>
        <v>0</v>
      </c>
      <c r="AH228" s="96">
        <f>IF(Z228=0,0,COUNTIFS('ITENS_MTR'!$S$6:$S$1005,A228,'ITENS_MTR'!$AM$6:$AM$1005,1))</f>
        <v>0</v>
      </c>
      <c r="AI228" s="96">
        <f>IF(Z228=0,0,COUNTIFS('ITENS_MTR'!$S$6:$S$1005,A228,'ITENS_MTR'!$AO$6:$AO$1005,1))</f>
        <v>0</v>
      </c>
      <c r="AJ228" s="96">
        <f>IF(Z228=0,0,COUNTIFS('ITENS_MTR'!$S$6:$S$1005,A228,'ITENS_MTR'!$AN$6:$AN$1005,1))</f>
        <v>0</v>
      </c>
      <c r="AK228" s="96">
        <f>IF(Z228=0,0,COUNTIFS('RECEBIMENTOS'!$B$6:$B$1005,A228,'RECEBIMENTOS'!$Y$6:$Y$1005,1))</f>
        <v>0</v>
      </c>
      <c r="AL228" s="96">
        <f>IF(Z228=0,0,COUNTIFS('VÍNCULOS_CDF'!$D$6:$D$1005,A228,'VÍNCULOS_CDF'!$Y$6:$Y$1005,1))</f>
        <v>0</v>
      </c>
      <c r="AM228" s="96">
        <f>IF(Z228=0,0,COUNTIFS('RECEBIMENTOS'!$B$6:$B$1005,A228,'RECEBIMENTOS'!$Q$6:$Q$1005,1))</f>
        <v>0</v>
      </c>
      <c r="AN228" s="96">
        <f>IF(AND(Z228=1,N(W228)&gt;0,AG228=N(W228)),1,0)</f>
        <v>0</v>
      </c>
      <c r="AO228" s="96">
        <f>IF(AND(Z228=1,N(W228)&gt;0,AI228=N(W228)),1,0)</f>
        <v>0</v>
      </c>
      <c r="AP228" s="97">
        <f>IF(Z228=0,0,_xlfn.MAXIFS('RECEBIMENTOS'!$E$6:$E$1005,'RECEBIMENTOS'!$B$6:$B$1005,A228))</f>
        <v>0</v>
      </c>
      <c r="AQ228" s="97" t="str">
        <f>IF(T228="","",IF(T228="RECEBIMENTO NÃO CONFIRMADO",IF(ISNUMBER(F228),F228,IF(ISNUMBER(E228),E228,"")),IF(OR(T228="CDF NÃO LOCALIZADO",T228="VÍNCULO INCOMPLETO",T228="CDF A CONFERIR"),IF(AP228&gt;0,AP228,IF(ISNUMBER(E228),E228,"")),IF(ISNUMBER(E228),E228,""))))</f>
        <v/>
      </c>
      <c r="AR228" s="96">
        <f>IF(NOT(ISNUMBER(U228)),0,IF(T228="RECEBIMENTO NÃO CONFIRMADO",IF(AND(ISNUMBER(cfg_rec),U228&gt;cfg_rec),1,0),IF(OR(T228="CDF NÃO LOCALIZADO",T228="VÍNCULO INCOMPLETO",T228="CDF A CONFERIR"),IF(AND(ISNUMBER(cfg_cdf),U228&gt;cfg_cdf),1,0),0)))</f>
        <v>0</v>
      </c>
      <c r="AS228" s="96" t="str">
        <f>IF(T228="","",IF(AR228=1,"Alta",IFERROR(INDEX(cfg_pp,MATCH(T228,cfg_pt,0))&amp;"","Média")))</f>
        <v/>
      </c>
      <c r="AT228" s="96" t="str">
        <f>IF(T228="","",IFERROR(INDEX(cfg_pv,MATCH(T228,cfg_pt,0))&amp;"",""))</f>
        <v/>
      </c>
      <c r="AU228" s="96" t="str">
        <f>IF(T228="","",IF(AS228="Alta",1,IF(AS228="Média",2,3))*1000000000+(999999-IF(ISNUMBER(U228),MIN(U228,999999),0))*1000+223)</f>
        <v/>
      </c>
      <c r="AV228" s="96">
        <f>IF(T228&lt;&gt;"",1,0)</f>
        <v>0</v>
      </c>
      <c r="AW228" s="96" t="str">
        <f>IF(Z228=0,"",IF(AA228=1,"Cancelamento informado; ","")&amp;IF(AE228=1,"Campos essenciais ou itens faltando; ","")&amp;IF(AC228=1,"Possível duplicidade do número; ","")&amp;IF(AD228=1,"Cadastro ou datas a revisar; ","")&amp;IF(AF228&gt;0,"Item de resíduo com dado a revisar; ","")&amp;IF(AH228&gt;0,"Diferença de quantidade a analisar; ","")&amp;IF(AK228&gt;0,"Recebimento com alerta; ","")&amp;IF(AL228&gt;0,"Vínculo de CDF com alerta; ","")&amp;IF(AND(AA228=0,AN228=0),"Recebimento não confirmado; ","")&amp;IF(AND(AA228=0,AN228=1,AO228=0),"CDF pendente ou a conferir; ",""))</f>
        <v/>
      </c>
      <c r="AX228" s="96">
        <f>IF(Z228=0,0,IF(AND(OR(f_ini="",AND(ISNUMBER(E228),E228&gt;=f_ini)),OR(f_fim="",AND(ISNUMBER(E228),E228&lt;=f_fim)),OR(f_un="",f_un="(Todas)",G228=f_un),OR(f_tr="",f_tr="(Todos)",H228=f_tr),OR(f_de="",f_de="(Todos)",I228=f_de),OR(f_sit="",f_sit="(Todas)",S228=f_sit)),1,0))</f>
        <v>0</v>
      </c>
      <c r="AY228" s="96">
        <f>IF(AX228=0,0,IF(OR(f_res="",f_res="(Todos)"),1,IF(COUNTIFS('ITENS_MTR'!$S$6:$S$1005,A228,'ITENS_MTR'!$C$6:$C$1005,f_res)&gt;0,1,0)))</f>
        <v>0</v>
      </c>
      <c r="AZ228" s="97" t="str">
        <f>IF(ISNUMBER(E228),DATE(YEAR(E228),MONTH(E228),1),"")</f>
        <v/>
      </c>
      <c r="BA228" s="96">
        <f>IF(Z228=0,0,IF(AND(OR(r_ini="",AND(ISNUMBER(E228),E228&gt;=r_ini)),OR(r_fim="",AND(ISNUMBER(E228),E228&lt;=r_fim)),OR(r_un="",r_un="(Todas)",G228=r_un),OR(r_de="",r_de="(Todos)",I228=r_de)),1,0))</f>
        <v>0</v>
      </c>
      <c r="BB228" s="96" t="str">
        <f>IF(BA228=1,COUNTIF($BA$6:BA228,1),"")</f>
        <v/>
      </c>
      <c r="BC228" s="96" t="str">
        <f>IF(AND(AU228&lt;&gt;"",OR(r_un="",r_un="(Todas)",G228=r_un),OR(r_de="",r_de="(Todos)",I228=r_de)),AU228,"")</f>
        <v/>
      </c>
      <c r="BD228" s="96" t="str">
        <f>IF(Z228=1,A228&amp;" | nº "&amp;IF(B228="","(sem número)",B228)&amp;" | "&amp;IF(G228="","(sem unidade)",G228),"")</f>
        <v/>
      </c>
      <c r="BE228" s="96" t="str">
        <f>IF(Z228=1,COUNTIF($Z$6:Z228,1),"")</f>
        <v/>
      </c>
      <c r="BF228" s="96" t="str">
        <f>IF(T228="","",IF(T228="RECEBIMENTO NÃO CONFIRMADO","Transp.: "&amp;H228&amp;" | Dest.: "&amp;I228,IF(OR(T228="CDF NÃO LOCALIZADO",T228="VÍNCULO INCOMPLETO",T228="CDF A CONFERIR"),"Dest.: "&amp;I228,"Gerador: "&amp;G228)))</f>
        <v/>
      </c>
    </row>
    <row r="229">
      <c r="A229" s="89" t="inlineStr">
        <is>
          <t>MTR-000224</t>
        </is>
      </c>
      <c r="B229" s="90" t="n"/>
      <c r="C229" s="91" t="n"/>
      <c r="D229" s="91" t="n"/>
      <c r="E229" s="92" t="n"/>
      <c r="F229" s="92" t="n"/>
      <c r="G229" s="91" t="n"/>
      <c r="H229" s="91" t="n"/>
      <c r="I229" s="91" t="n"/>
      <c r="J229" s="91" t="n"/>
      <c r="K229" s="91" t="n"/>
      <c r="L229" s="92" t="n"/>
      <c r="M229" s="91" t="n"/>
      <c r="N229" s="91" t="n"/>
      <c r="O229" s="91" t="n"/>
      <c r="P229" s="93" t="str">
        <f>IF(Z229=0,"",SUMIFS('ITENS_MTR'!$I$6:$I$1005,'ITENS_MTR'!$S$6:$S$1005,A229,'ITENS_MTR'!$Y$6:$Y$1005,1))</f>
        <v/>
      </c>
      <c r="Q229" s="93" t="str">
        <f>IF(Z229=0,"",SUMIFS('RECEBIMENTOS'!$H$6:$H$1005,'RECEBIMENTOS'!$B$6:$B$1005,A229,'RECEBIMENTOS'!$X$6:$X$1005,1))</f>
        <v/>
      </c>
      <c r="R229" s="93" t="str">
        <f>IF(Z229=0,"",SUMIFS('VÍNCULOS_CDF'!$H$6:$H$1005,'VÍNCULOS_CDF'!$D$6:$D$1005,A229,'VÍNCULOS_CDF'!$V$6:$V$1005,1))</f>
        <v/>
      </c>
      <c r="S229" s="94" t="str">
        <f>IF(Z229=0,"",IF(AA229=1,"Cancelado (informado)",IF(AE229=1,"Cadastro incompleto",IF(OR(AC229=1,AD229=1,AF229&gt;0,AH229&gt;0,AK229&gt;0,AL229&gt;0),"Informação a revisar",IF(AN229=0,"Aguardando recebimento",IF(N(R229)=0,"Aguardando CDF",IF(AJ229&lt;N(W229),"Vínculo de CDF parcial",IF(AO229=0,"CDF localizado, a conferir","Documentação conferida"))))))))</f>
        <v/>
      </c>
      <c r="T229" s="94" t="str">
        <f>IF(Z229=0,"",IF(S229="Cadastro incompleto","MTR INCOMPLETO",IF(S229="Informação a revisar",IF(AND(AH229&gt;0,AC229=0,AD229=0,AF229=0,AK229=0,AL229=0),"QUANTIDADE A REVISAR","IDENTIFICAÇÃO A REVISAR"),IF(S229="Aguardando recebimento","RECEBIMENTO NÃO CONFIRMADO",IF(S229="Aguardando CDF","CDF NÃO LOCALIZADO",IF(S229="Vínculo de CDF parcial","VÍNCULO INCOMPLETO",IF(S229="CDF localizado, a conferir","CDF A CONFERIR","")))))))</f>
        <v/>
      </c>
      <c r="U229" s="95" t="str">
        <f>IF(T229="","",IF(AQ229="","Não calculável",IF(AQ229&gt;TODAY(),"Data futura",TODAY()-AQ229)))</f>
        <v/>
      </c>
      <c r="V229" s="93" t="str">
        <f>IF(Z229=0,"",SUMIFS('RECEBIMENTOS'!$H$6:$H$1005,'RECEBIMENTOS'!$B$6:$B$1005,A229,'RECEBIMENTOS'!$Z$6:$Z$1005,1))</f>
        <v/>
      </c>
      <c r="W229" s="95" t="str">
        <f>IF(Z229=0,"",COUNTIFS('ITENS_MTR'!$S$6:$S$1005,A229,'ITENS_MTR'!$R$6:$R$1005,1))</f>
        <v/>
      </c>
      <c r="X229" s="94" t="str">
        <f>IF(AC229=1,"POSSÍVEL DUPLICIDADE","")</f>
        <v/>
      </c>
      <c r="Y229" s="94" t="str">
        <f>IF(Z229=0,"",IF(AW229="","Nenhuma",LEFT(AW229,LEN(AW229)-2)))</f>
        <v/>
      </c>
      <c r="Z229" s="96">
        <f>IF(COUNTA(B229:O229)&gt;0,1,0)</f>
        <v>0</v>
      </c>
      <c r="AA229" s="96">
        <f>IF(AND(Z229=1,K229&lt;&gt;""),IF(TRIM(K229)=TRIM(cfg_cancel),1,0),0)</f>
        <v>0</v>
      </c>
      <c r="AB229" s="96" t="str">
        <f>IF(AND(Z229=1,B229&lt;&gt;""),C229&amp;"|"&amp;D229&amp;"|"&amp;G229&amp;"|"&amp;TRIM(B229),"")</f>
        <v/>
      </c>
      <c r="AC229" s="96">
        <f>IF(AB229="",0,IF(SUMPRODUCT(--($AB$6:$AB$505=AB229))&gt;1,1,0))</f>
        <v>0</v>
      </c>
      <c r="AD229" s="96">
        <f>IF(Z229=0,0,IF(OR(AND(G229&lt;&gt;"",ISNA(MATCH(G229,'CAD_UNIDADES'!$C$6:$C$105,0))),AND(H229&lt;&gt;"",ISNA(MATCH(H229,cmp_transp,0))),AND(I229&lt;&gt;"",ISNA(MATCH(I229,cmp_dest,0))),AND(E229&lt;&gt;"",NOT(ISNUMBER(E229))),AND(F229&lt;&gt;"",NOT(ISNUMBER(F229))),AND(ISNUMBER(E229),ISNUMBER(F229),F229&lt;E229)),1,0))</f>
        <v>0</v>
      </c>
      <c r="AE229" s="96">
        <f>IF(Z229=0,0,IF(OR(B229="",C229="",E229="",G229="",H229="",I229="",N(W229)=0),1,0))</f>
        <v>0</v>
      </c>
      <c r="AF229" s="96">
        <f>IF(Z229=0,0,COUNTIFS('ITENS_MTR'!$S$6:$S$1005,A229,'ITENS_MTR'!$AI$6:$AI$1005,1))</f>
        <v>0</v>
      </c>
      <c r="AG229" s="96">
        <f>IF(Z229=0,0,COUNTIFS('ITENS_MTR'!$S$6:$S$1005,A229,'ITENS_MTR'!$AJ$6:$AJ$1005,1))</f>
        <v>0</v>
      </c>
      <c r="AH229" s="96">
        <f>IF(Z229=0,0,COUNTIFS('ITENS_MTR'!$S$6:$S$1005,A229,'ITENS_MTR'!$AM$6:$AM$1005,1))</f>
        <v>0</v>
      </c>
      <c r="AI229" s="96">
        <f>IF(Z229=0,0,COUNTIFS('ITENS_MTR'!$S$6:$S$1005,A229,'ITENS_MTR'!$AO$6:$AO$1005,1))</f>
        <v>0</v>
      </c>
      <c r="AJ229" s="96">
        <f>IF(Z229=0,0,COUNTIFS('ITENS_MTR'!$S$6:$S$1005,A229,'ITENS_MTR'!$AN$6:$AN$1005,1))</f>
        <v>0</v>
      </c>
      <c r="AK229" s="96">
        <f>IF(Z229=0,0,COUNTIFS('RECEBIMENTOS'!$B$6:$B$1005,A229,'RECEBIMENTOS'!$Y$6:$Y$1005,1))</f>
        <v>0</v>
      </c>
      <c r="AL229" s="96">
        <f>IF(Z229=0,0,COUNTIFS('VÍNCULOS_CDF'!$D$6:$D$1005,A229,'VÍNCULOS_CDF'!$Y$6:$Y$1005,1))</f>
        <v>0</v>
      </c>
      <c r="AM229" s="96">
        <f>IF(Z229=0,0,COUNTIFS('RECEBIMENTOS'!$B$6:$B$1005,A229,'RECEBIMENTOS'!$Q$6:$Q$1005,1))</f>
        <v>0</v>
      </c>
      <c r="AN229" s="96">
        <f>IF(AND(Z229=1,N(W229)&gt;0,AG229=N(W229)),1,0)</f>
        <v>0</v>
      </c>
      <c r="AO229" s="96">
        <f>IF(AND(Z229=1,N(W229)&gt;0,AI229=N(W229)),1,0)</f>
        <v>0</v>
      </c>
      <c r="AP229" s="97">
        <f>IF(Z229=0,0,_xlfn.MAXIFS('RECEBIMENTOS'!$E$6:$E$1005,'RECEBIMENTOS'!$B$6:$B$1005,A229))</f>
        <v>0</v>
      </c>
      <c r="AQ229" s="97" t="str">
        <f>IF(T229="","",IF(T229="RECEBIMENTO NÃO CONFIRMADO",IF(ISNUMBER(F229),F229,IF(ISNUMBER(E229),E229,"")),IF(OR(T229="CDF NÃO LOCALIZADO",T229="VÍNCULO INCOMPLETO",T229="CDF A CONFERIR"),IF(AP229&gt;0,AP229,IF(ISNUMBER(E229),E229,"")),IF(ISNUMBER(E229),E229,""))))</f>
        <v/>
      </c>
      <c r="AR229" s="96">
        <f>IF(NOT(ISNUMBER(U229)),0,IF(T229="RECEBIMENTO NÃO CONFIRMADO",IF(AND(ISNUMBER(cfg_rec),U229&gt;cfg_rec),1,0),IF(OR(T229="CDF NÃO LOCALIZADO",T229="VÍNCULO INCOMPLETO",T229="CDF A CONFERIR"),IF(AND(ISNUMBER(cfg_cdf),U229&gt;cfg_cdf),1,0),0)))</f>
        <v>0</v>
      </c>
      <c r="AS229" s="96" t="str">
        <f>IF(T229="","",IF(AR229=1,"Alta",IFERROR(INDEX(cfg_pp,MATCH(T229,cfg_pt,0))&amp;"","Média")))</f>
        <v/>
      </c>
      <c r="AT229" s="96" t="str">
        <f>IF(T229="","",IFERROR(INDEX(cfg_pv,MATCH(T229,cfg_pt,0))&amp;"",""))</f>
        <v/>
      </c>
      <c r="AU229" s="96" t="str">
        <f>IF(T229="","",IF(AS229="Alta",1,IF(AS229="Média",2,3))*1000000000+(999999-IF(ISNUMBER(U229),MIN(U229,999999),0))*1000+224)</f>
        <v/>
      </c>
      <c r="AV229" s="96">
        <f>IF(T229&lt;&gt;"",1,0)</f>
        <v>0</v>
      </c>
      <c r="AW229" s="96" t="str">
        <f>IF(Z229=0,"",IF(AA229=1,"Cancelamento informado; ","")&amp;IF(AE229=1,"Campos essenciais ou itens faltando; ","")&amp;IF(AC229=1,"Possível duplicidade do número; ","")&amp;IF(AD229=1,"Cadastro ou datas a revisar; ","")&amp;IF(AF229&gt;0,"Item de resíduo com dado a revisar; ","")&amp;IF(AH229&gt;0,"Diferença de quantidade a analisar; ","")&amp;IF(AK229&gt;0,"Recebimento com alerta; ","")&amp;IF(AL229&gt;0,"Vínculo de CDF com alerta; ","")&amp;IF(AND(AA229=0,AN229=0),"Recebimento não confirmado; ","")&amp;IF(AND(AA229=0,AN229=1,AO229=0),"CDF pendente ou a conferir; ",""))</f>
        <v/>
      </c>
      <c r="AX229" s="96">
        <f>IF(Z229=0,0,IF(AND(OR(f_ini="",AND(ISNUMBER(E229),E229&gt;=f_ini)),OR(f_fim="",AND(ISNUMBER(E229),E229&lt;=f_fim)),OR(f_un="",f_un="(Todas)",G229=f_un),OR(f_tr="",f_tr="(Todos)",H229=f_tr),OR(f_de="",f_de="(Todos)",I229=f_de),OR(f_sit="",f_sit="(Todas)",S229=f_sit)),1,0))</f>
        <v>0</v>
      </c>
      <c r="AY229" s="96">
        <f>IF(AX229=0,0,IF(OR(f_res="",f_res="(Todos)"),1,IF(COUNTIFS('ITENS_MTR'!$S$6:$S$1005,A229,'ITENS_MTR'!$C$6:$C$1005,f_res)&gt;0,1,0)))</f>
        <v>0</v>
      </c>
      <c r="AZ229" s="97" t="str">
        <f>IF(ISNUMBER(E229),DATE(YEAR(E229),MONTH(E229),1),"")</f>
        <v/>
      </c>
      <c r="BA229" s="96">
        <f>IF(Z229=0,0,IF(AND(OR(r_ini="",AND(ISNUMBER(E229),E229&gt;=r_ini)),OR(r_fim="",AND(ISNUMBER(E229),E229&lt;=r_fim)),OR(r_un="",r_un="(Todas)",G229=r_un),OR(r_de="",r_de="(Todos)",I229=r_de)),1,0))</f>
        <v>0</v>
      </c>
      <c r="BB229" s="96" t="str">
        <f>IF(BA229=1,COUNTIF($BA$6:BA229,1),"")</f>
        <v/>
      </c>
      <c r="BC229" s="96" t="str">
        <f>IF(AND(AU229&lt;&gt;"",OR(r_un="",r_un="(Todas)",G229=r_un),OR(r_de="",r_de="(Todos)",I229=r_de)),AU229,"")</f>
        <v/>
      </c>
      <c r="BD229" s="96" t="str">
        <f>IF(Z229=1,A229&amp;" | nº "&amp;IF(B229="","(sem número)",B229)&amp;" | "&amp;IF(G229="","(sem unidade)",G229),"")</f>
        <v/>
      </c>
      <c r="BE229" s="96" t="str">
        <f>IF(Z229=1,COUNTIF($Z$6:Z229,1),"")</f>
        <v/>
      </c>
      <c r="BF229" s="96" t="str">
        <f>IF(T229="","",IF(T229="RECEBIMENTO NÃO CONFIRMADO","Transp.: "&amp;H229&amp;" | Dest.: "&amp;I229,IF(OR(T229="CDF NÃO LOCALIZADO",T229="VÍNCULO INCOMPLETO",T229="CDF A CONFERIR"),"Dest.: "&amp;I229,"Gerador: "&amp;G229)))</f>
        <v/>
      </c>
    </row>
    <row r="230">
      <c r="A230" s="89" t="inlineStr">
        <is>
          <t>MTR-000225</t>
        </is>
      </c>
      <c r="B230" s="90" t="n"/>
      <c r="C230" s="91" t="n"/>
      <c r="D230" s="91" t="n"/>
      <c r="E230" s="92" t="n"/>
      <c r="F230" s="92" t="n"/>
      <c r="G230" s="91" t="n"/>
      <c r="H230" s="91" t="n"/>
      <c r="I230" s="91" t="n"/>
      <c r="J230" s="91" t="n"/>
      <c r="K230" s="91" t="n"/>
      <c r="L230" s="92" t="n"/>
      <c r="M230" s="91" t="n"/>
      <c r="N230" s="91" t="n"/>
      <c r="O230" s="91" t="n"/>
      <c r="P230" s="93" t="str">
        <f>IF(Z230=0,"",SUMIFS('ITENS_MTR'!$I$6:$I$1005,'ITENS_MTR'!$S$6:$S$1005,A230,'ITENS_MTR'!$Y$6:$Y$1005,1))</f>
        <v/>
      </c>
      <c r="Q230" s="93" t="str">
        <f>IF(Z230=0,"",SUMIFS('RECEBIMENTOS'!$H$6:$H$1005,'RECEBIMENTOS'!$B$6:$B$1005,A230,'RECEBIMENTOS'!$X$6:$X$1005,1))</f>
        <v/>
      </c>
      <c r="R230" s="93" t="str">
        <f>IF(Z230=0,"",SUMIFS('VÍNCULOS_CDF'!$H$6:$H$1005,'VÍNCULOS_CDF'!$D$6:$D$1005,A230,'VÍNCULOS_CDF'!$V$6:$V$1005,1))</f>
        <v/>
      </c>
      <c r="S230" s="94" t="str">
        <f>IF(Z230=0,"",IF(AA230=1,"Cancelado (informado)",IF(AE230=1,"Cadastro incompleto",IF(OR(AC230=1,AD230=1,AF230&gt;0,AH230&gt;0,AK230&gt;0,AL230&gt;0),"Informação a revisar",IF(AN230=0,"Aguardando recebimento",IF(N(R230)=0,"Aguardando CDF",IF(AJ230&lt;N(W230),"Vínculo de CDF parcial",IF(AO230=0,"CDF localizado, a conferir","Documentação conferida"))))))))</f>
        <v/>
      </c>
      <c r="T230" s="94" t="str">
        <f>IF(Z230=0,"",IF(S230="Cadastro incompleto","MTR INCOMPLETO",IF(S230="Informação a revisar",IF(AND(AH230&gt;0,AC230=0,AD230=0,AF230=0,AK230=0,AL230=0),"QUANTIDADE A REVISAR","IDENTIFICAÇÃO A REVISAR"),IF(S230="Aguardando recebimento","RECEBIMENTO NÃO CONFIRMADO",IF(S230="Aguardando CDF","CDF NÃO LOCALIZADO",IF(S230="Vínculo de CDF parcial","VÍNCULO INCOMPLETO",IF(S230="CDF localizado, a conferir","CDF A CONFERIR","")))))))</f>
        <v/>
      </c>
      <c r="U230" s="95" t="str">
        <f>IF(T230="","",IF(AQ230="","Não calculável",IF(AQ230&gt;TODAY(),"Data futura",TODAY()-AQ230)))</f>
        <v/>
      </c>
      <c r="V230" s="93" t="str">
        <f>IF(Z230=0,"",SUMIFS('RECEBIMENTOS'!$H$6:$H$1005,'RECEBIMENTOS'!$B$6:$B$1005,A230,'RECEBIMENTOS'!$Z$6:$Z$1005,1))</f>
        <v/>
      </c>
      <c r="W230" s="95" t="str">
        <f>IF(Z230=0,"",COUNTIFS('ITENS_MTR'!$S$6:$S$1005,A230,'ITENS_MTR'!$R$6:$R$1005,1))</f>
        <v/>
      </c>
      <c r="X230" s="94" t="str">
        <f>IF(AC230=1,"POSSÍVEL DUPLICIDADE","")</f>
        <v/>
      </c>
      <c r="Y230" s="94" t="str">
        <f>IF(Z230=0,"",IF(AW230="","Nenhuma",LEFT(AW230,LEN(AW230)-2)))</f>
        <v/>
      </c>
      <c r="Z230" s="96">
        <f>IF(COUNTA(B230:O230)&gt;0,1,0)</f>
        <v>0</v>
      </c>
      <c r="AA230" s="96">
        <f>IF(AND(Z230=1,K230&lt;&gt;""),IF(TRIM(K230)=TRIM(cfg_cancel),1,0),0)</f>
        <v>0</v>
      </c>
      <c r="AB230" s="96" t="str">
        <f>IF(AND(Z230=1,B230&lt;&gt;""),C230&amp;"|"&amp;D230&amp;"|"&amp;G230&amp;"|"&amp;TRIM(B230),"")</f>
        <v/>
      </c>
      <c r="AC230" s="96">
        <f>IF(AB230="",0,IF(SUMPRODUCT(--($AB$6:$AB$505=AB230))&gt;1,1,0))</f>
        <v>0</v>
      </c>
      <c r="AD230" s="96">
        <f>IF(Z230=0,0,IF(OR(AND(G230&lt;&gt;"",ISNA(MATCH(G230,'CAD_UNIDADES'!$C$6:$C$105,0))),AND(H230&lt;&gt;"",ISNA(MATCH(H230,cmp_transp,0))),AND(I230&lt;&gt;"",ISNA(MATCH(I230,cmp_dest,0))),AND(E230&lt;&gt;"",NOT(ISNUMBER(E230))),AND(F230&lt;&gt;"",NOT(ISNUMBER(F230))),AND(ISNUMBER(E230),ISNUMBER(F230),F230&lt;E230)),1,0))</f>
        <v>0</v>
      </c>
      <c r="AE230" s="96">
        <f>IF(Z230=0,0,IF(OR(B230="",C230="",E230="",G230="",H230="",I230="",N(W230)=0),1,0))</f>
        <v>0</v>
      </c>
      <c r="AF230" s="96">
        <f>IF(Z230=0,0,COUNTIFS('ITENS_MTR'!$S$6:$S$1005,A230,'ITENS_MTR'!$AI$6:$AI$1005,1))</f>
        <v>0</v>
      </c>
      <c r="AG230" s="96">
        <f>IF(Z230=0,0,COUNTIFS('ITENS_MTR'!$S$6:$S$1005,A230,'ITENS_MTR'!$AJ$6:$AJ$1005,1))</f>
        <v>0</v>
      </c>
      <c r="AH230" s="96">
        <f>IF(Z230=0,0,COUNTIFS('ITENS_MTR'!$S$6:$S$1005,A230,'ITENS_MTR'!$AM$6:$AM$1005,1))</f>
        <v>0</v>
      </c>
      <c r="AI230" s="96">
        <f>IF(Z230=0,0,COUNTIFS('ITENS_MTR'!$S$6:$S$1005,A230,'ITENS_MTR'!$AO$6:$AO$1005,1))</f>
        <v>0</v>
      </c>
      <c r="AJ230" s="96">
        <f>IF(Z230=0,0,COUNTIFS('ITENS_MTR'!$S$6:$S$1005,A230,'ITENS_MTR'!$AN$6:$AN$1005,1))</f>
        <v>0</v>
      </c>
      <c r="AK230" s="96">
        <f>IF(Z230=0,0,COUNTIFS('RECEBIMENTOS'!$B$6:$B$1005,A230,'RECEBIMENTOS'!$Y$6:$Y$1005,1))</f>
        <v>0</v>
      </c>
      <c r="AL230" s="96">
        <f>IF(Z230=0,0,COUNTIFS('VÍNCULOS_CDF'!$D$6:$D$1005,A230,'VÍNCULOS_CDF'!$Y$6:$Y$1005,1))</f>
        <v>0</v>
      </c>
      <c r="AM230" s="96">
        <f>IF(Z230=0,0,COUNTIFS('RECEBIMENTOS'!$B$6:$B$1005,A230,'RECEBIMENTOS'!$Q$6:$Q$1005,1))</f>
        <v>0</v>
      </c>
      <c r="AN230" s="96">
        <f>IF(AND(Z230=1,N(W230)&gt;0,AG230=N(W230)),1,0)</f>
        <v>0</v>
      </c>
      <c r="AO230" s="96">
        <f>IF(AND(Z230=1,N(W230)&gt;0,AI230=N(W230)),1,0)</f>
        <v>0</v>
      </c>
      <c r="AP230" s="97">
        <f>IF(Z230=0,0,_xlfn.MAXIFS('RECEBIMENTOS'!$E$6:$E$1005,'RECEBIMENTOS'!$B$6:$B$1005,A230))</f>
        <v>0</v>
      </c>
      <c r="AQ230" s="97" t="str">
        <f>IF(T230="","",IF(T230="RECEBIMENTO NÃO CONFIRMADO",IF(ISNUMBER(F230),F230,IF(ISNUMBER(E230),E230,"")),IF(OR(T230="CDF NÃO LOCALIZADO",T230="VÍNCULO INCOMPLETO",T230="CDF A CONFERIR"),IF(AP230&gt;0,AP230,IF(ISNUMBER(E230),E230,"")),IF(ISNUMBER(E230),E230,""))))</f>
        <v/>
      </c>
      <c r="AR230" s="96">
        <f>IF(NOT(ISNUMBER(U230)),0,IF(T230="RECEBIMENTO NÃO CONFIRMADO",IF(AND(ISNUMBER(cfg_rec),U230&gt;cfg_rec),1,0),IF(OR(T230="CDF NÃO LOCALIZADO",T230="VÍNCULO INCOMPLETO",T230="CDF A CONFERIR"),IF(AND(ISNUMBER(cfg_cdf),U230&gt;cfg_cdf),1,0),0)))</f>
        <v>0</v>
      </c>
      <c r="AS230" s="96" t="str">
        <f>IF(T230="","",IF(AR230=1,"Alta",IFERROR(INDEX(cfg_pp,MATCH(T230,cfg_pt,0))&amp;"","Média")))</f>
        <v/>
      </c>
      <c r="AT230" s="96" t="str">
        <f>IF(T230="","",IFERROR(INDEX(cfg_pv,MATCH(T230,cfg_pt,0))&amp;"",""))</f>
        <v/>
      </c>
      <c r="AU230" s="96" t="str">
        <f>IF(T230="","",IF(AS230="Alta",1,IF(AS230="Média",2,3))*1000000000+(999999-IF(ISNUMBER(U230),MIN(U230,999999),0))*1000+225)</f>
        <v/>
      </c>
      <c r="AV230" s="96">
        <f>IF(T230&lt;&gt;"",1,0)</f>
        <v>0</v>
      </c>
      <c r="AW230" s="96" t="str">
        <f>IF(Z230=0,"",IF(AA230=1,"Cancelamento informado; ","")&amp;IF(AE230=1,"Campos essenciais ou itens faltando; ","")&amp;IF(AC230=1,"Possível duplicidade do número; ","")&amp;IF(AD230=1,"Cadastro ou datas a revisar; ","")&amp;IF(AF230&gt;0,"Item de resíduo com dado a revisar; ","")&amp;IF(AH230&gt;0,"Diferença de quantidade a analisar; ","")&amp;IF(AK230&gt;0,"Recebimento com alerta; ","")&amp;IF(AL230&gt;0,"Vínculo de CDF com alerta; ","")&amp;IF(AND(AA230=0,AN230=0),"Recebimento não confirmado; ","")&amp;IF(AND(AA230=0,AN230=1,AO230=0),"CDF pendente ou a conferir; ",""))</f>
        <v/>
      </c>
      <c r="AX230" s="96">
        <f>IF(Z230=0,0,IF(AND(OR(f_ini="",AND(ISNUMBER(E230),E230&gt;=f_ini)),OR(f_fim="",AND(ISNUMBER(E230),E230&lt;=f_fim)),OR(f_un="",f_un="(Todas)",G230=f_un),OR(f_tr="",f_tr="(Todos)",H230=f_tr),OR(f_de="",f_de="(Todos)",I230=f_de),OR(f_sit="",f_sit="(Todas)",S230=f_sit)),1,0))</f>
        <v>0</v>
      </c>
      <c r="AY230" s="96">
        <f>IF(AX230=0,0,IF(OR(f_res="",f_res="(Todos)"),1,IF(COUNTIFS('ITENS_MTR'!$S$6:$S$1005,A230,'ITENS_MTR'!$C$6:$C$1005,f_res)&gt;0,1,0)))</f>
        <v>0</v>
      </c>
      <c r="AZ230" s="97" t="str">
        <f>IF(ISNUMBER(E230),DATE(YEAR(E230),MONTH(E230),1),"")</f>
        <v/>
      </c>
      <c r="BA230" s="96">
        <f>IF(Z230=0,0,IF(AND(OR(r_ini="",AND(ISNUMBER(E230),E230&gt;=r_ini)),OR(r_fim="",AND(ISNUMBER(E230),E230&lt;=r_fim)),OR(r_un="",r_un="(Todas)",G230=r_un),OR(r_de="",r_de="(Todos)",I230=r_de)),1,0))</f>
        <v>0</v>
      </c>
      <c r="BB230" s="96" t="str">
        <f>IF(BA230=1,COUNTIF($BA$6:BA230,1),"")</f>
        <v/>
      </c>
      <c r="BC230" s="96" t="str">
        <f>IF(AND(AU230&lt;&gt;"",OR(r_un="",r_un="(Todas)",G230=r_un),OR(r_de="",r_de="(Todos)",I230=r_de)),AU230,"")</f>
        <v/>
      </c>
      <c r="BD230" s="96" t="str">
        <f>IF(Z230=1,A230&amp;" | nº "&amp;IF(B230="","(sem número)",B230)&amp;" | "&amp;IF(G230="","(sem unidade)",G230),"")</f>
        <v/>
      </c>
      <c r="BE230" s="96" t="str">
        <f>IF(Z230=1,COUNTIF($Z$6:Z230,1),"")</f>
        <v/>
      </c>
      <c r="BF230" s="96" t="str">
        <f>IF(T230="","",IF(T230="RECEBIMENTO NÃO CONFIRMADO","Transp.: "&amp;H230&amp;" | Dest.: "&amp;I230,IF(OR(T230="CDF NÃO LOCALIZADO",T230="VÍNCULO INCOMPLETO",T230="CDF A CONFERIR"),"Dest.: "&amp;I230,"Gerador: "&amp;G230)))</f>
        <v/>
      </c>
    </row>
    <row r="231">
      <c r="A231" s="89" t="inlineStr">
        <is>
          <t>MTR-000226</t>
        </is>
      </c>
      <c r="B231" s="90" t="n"/>
      <c r="C231" s="91" t="n"/>
      <c r="D231" s="91" t="n"/>
      <c r="E231" s="92" t="n"/>
      <c r="F231" s="92" t="n"/>
      <c r="G231" s="91" t="n"/>
      <c r="H231" s="91" t="n"/>
      <c r="I231" s="91" t="n"/>
      <c r="J231" s="91" t="n"/>
      <c r="K231" s="91" t="n"/>
      <c r="L231" s="92" t="n"/>
      <c r="M231" s="91" t="n"/>
      <c r="N231" s="91" t="n"/>
      <c r="O231" s="91" t="n"/>
      <c r="P231" s="93" t="str">
        <f>IF(Z231=0,"",SUMIFS('ITENS_MTR'!$I$6:$I$1005,'ITENS_MTR'!$S$6:$S$1005,A231,'ITENS_MTR'!$Y$6:$Y$1005,1))</f>
        <v/>
      </c>
      <c r="Q231" s="93" t="str">
        <f>IF(Z231=0,"",SUMIFS('RECEBIMENTOS'!$H$6:$H$1005,'RECEBIMENTOS'!$B$6:$B$1005,A231,'RECEBIMENTOS'!$X$6:$X$1005,1))</f>
        <v/>
      </c>
      <c r="R231" s="93" t="str">
        <f>IF(Z231=0,"",SUMIFS('VÍNCULOS_CDF'!$H$6:$H$1005,'VÍNCULOS_CDF'!$D$6:$D$1005,A231,'VÍNCULOS_CDF'!$V$6:$V$1005,1))</f>
        <v/>
      </c>
      <c r="S231" s="94" t="str">
        <f>IF(Z231=0,"",IF(AA231=1,"Cancelado (informado)",IF(AE231=1,"Cadastro incompleto",IF(OR(AC231=1,AD231=1,AF231&gt;0,AH231&gt;0,AK231&gt;0,AL231&gt;0),"Informação a revisar",IF(AN231=0,"Aguardando recebimento",IF(N(R231)=0,"Aguardando CDF",IF(AJ231&lt;N(W231),"Vínculo de CDF parcial",IF(AO231=0,"CDF localizado, a conferir","Documentação conferida"))))))))</f>
        <v/>
      </c>
      <c r="T231" s="94" t="str">
        <f>IF(Z231=0,"",IF(S231="Cadastro incompleto","MTR INCOMPLETO",IF(S231="Informação a revisar",IF(AND(AH231&gt;0,AC231=0,AD231=0,AF231=0,AK231=0,AL231=0),"QUANTIDADE A REVISAR","IDENTIFICAÇÃO A REVISAR"),IF(S231="Aguardando recebimento","RECEBIMENTO NÃO CONFIRMADO",IF(S231="Aguardando CDF","CDF NÃO LOCALIZADO",IF(S231="Vínculo de CDF parcial","VÍNCULO INCOMPLETO",IF(S231="CDF localizado, a conferir","CDF A CONFERIR","")))))))</f>
        <v/>
      </c>
      <c r="U231" s="95" t="str">
        <f>IF(T231="","",IF(AQ231="","Não calculável",IF(AQ231&gt;TODAY(),"Data futura",TODAY()-AQ231)))</f>
        <v/>
      </c>
      <c r="V231" s="93" t="str">
        <f>IF(Z231=0,"",SUMIFS('RECEBIMENTOS'!$H$6:$H$1005,'RECEBIMENTOS'!$B$6:$B$1005,A231,'RECEBIMENTOS'!$Z$6:$Z$1005,1))</f>
        <v/>
      </c>
      <c r="W231" s="95" t="str">
        <f>IF(Z231=0,"",COUNTIFS('ITENS_MTR'!$S$6:$S$1005,A231,'ITENS_MTR'!$R$6:$R$1005,1))</f>
        <v/>
      </c>
      <c r="X231" s="94" t="str">
        <f>IF(AC231=1,"POSSÍVEL DUPLICIDADE","")</f>
        <v/>
      </c>
      <c r="Y231" s="94" t="str">
        <f>IF(Z231=0,"",IF(AW231="","Nenhuma",LEFT(AW231,LEN(AW231)-2)))</f>
        <v/>
      </c>
      <c r="Z231" s="96">
        <f>IF(COUNTA(B231:O231)&gt;0,1,0)</f>
        <v>0</v>
      </c>
      <c r="AA231" s="96">
        <f>IF(AND(Z231=1,K231&lt;&gt;""),IF(TRIM(K231)=TRIM(cfg_cancel),1,0),0)</f>
        <v>0</v>
      </c>
      <c r="AB231" s="96" t="str">
        <f>IF(AND(Z231=1,B231&lt;&gt;""),C231&amp;"|"&amp;D231&amp;"|"&amp;G231&amp;"|"&amp;TRIM(B231),"")</f>
        <v/>
      </c>
      <c r="AC231" s="96">
        <f>IF(AB231="",0,IF(SUMPRODUCT(--($AB$6:$AB$505=AB231))&gt;1,1,0))</f>
        <v>0</v>
      </c>
      <c r="AD231" s="96">
        <f>IF(Z231=0,0,IF(OR(AND(G231&lt;&gt;"",ISNA(MATCH(G231,'CAD_UNIDADES'!$C$6:$C$105,0))),AND(H231&lt;&gt;"",ISNA(MATCH(H231,cmp_transp,0))),AND(I231&lt;&gt;"",ISNA(MATCH(I231,cmp_dest,0))),AND(E231&lt;&gt;"",NOT(ISNUMBER(E231))),AND(F231&lt;&gt;"",NOT(ISNUMBER(F231))),AND(ISNUMBER(E231),ISNUMBER(F231),F231&lt;E231)),1,0))</f>
        <v>0</v>
      </c>
      <c r="AE231" s="96">
        <f>IF(Z231=0,0,IF(OR(B231="",C231="",E231="",G231="",H231="",I231="",N(W231)=0),1,0))</f>
        <v>0</v>
      </c>
      <c r="AF231" s="96">
        <f>IF(Z231=0,0,COUNTIFS('ITENS_MTR'!$S$6:$S$1005,A231,'ITENS_MTR'!$AI$6:$AI$1005,1))</f>
        <v>0</v>
      </c>
      <c r="AG231" s="96">
        <f>IF(Z231=0,0,COUNTIFS('ITENS_MTR'!$S$6:$S$1005,A231,'ITENS_MTR'!$AJ$6:$AJ$1005,1))</f>
        <v>0</v>
      </c>
      <c r="AH231" s="96">
        <f>IF(Z231=0,0,COUNTIFS('ITENS_MTR'!$S$6:$S$1005,A231,'ITENS_MTR'!$AM$6:$AM$1005,1))</f>
        <v>0</v>
      </c>
      <c r="AI231" s="96">
        <f>IF(Z231=0,0,COUNTIFS('ITENS_MTR'!$S$6:$S$1005,A231,'ITENS_MTR'!$AO$6:$AO$1005,1))</f>
        <v>0</v>
      </c>
      <c r="AJ231" s="96">
        <f>IF(Z231=0,0,COUNTIFS('ITENS_MTR'!$S$6:$S$1005,A231,'ITENS_MTR'!$AN$6:$AN$1005,1))</f>
        <v>0</v>
      </c>
      <c r="AK231" s="96">
        <f>IF(Z231=0,0,COUNTIFS('RECEBIMENTOS'!$B$6:$B$1005,A231,'RECEBIMENTOS'!$Y$6:$Y$1005,1))</f>
        <v>0</v>
      </c>
      <c r="AL231" s="96">
        <f>IF(Z231=0,0,COUNTIFS('VÍNCULOS_CDF'!$D$6:$D$1005,A231,'VÍNCULOS_CDF'!$Y$6:$Y$1005,1))</f>
        <v>0</v>
      </c>
      <c r="AM231" s="96">
        <f>IF(Z231=0,0,COUNTIFS('RECEBIMENTOS'!$B$6:$B$1005,A231,'RECEBIMENTOS'!$Q$6:$Q$1005,1))</f>
        <v>0</v>
      </c>
      <c r="AN231" s="96">
        <f>IF(AND(Z231=1,N(W231)&gt;0,AG231=N(W231)),1,0)</f>
        <v>0</v>
      </c>
      <c r="AO231" s="96">
        <f>IF(AND(Z231=1,N(W231)&gt;0,AI231=N(W231)),1,0)</f>
        <v>0</v>
      </c>
      <c r="AP231" s="97">
        <f>IF(Z231=0,0,_xlfn.MAXIFS('RECEBIMENTOS'!$E$6:$E$1005,'RECEBIMENTOS'!$B$6:$B$1005,A231))</f>
        <v>0</v>
      </c>
      <c r="AQ231" s="97" t="str">
        <f>IF(T231="","",IF(T231="RECEBIMENTO NÃO CONFIRMADO",IF(ISNUMBER(F231),F231,IF(ISNUMBER(E231),E231,"")),IF(OR(T231="CDF NÃO LOCALIZADO",T231="VÍNCULO INCOMPLETO",T231="CDF A CONFERIR"),IF(AP231&gt;0,AP231,IF(ISNUMBER(E231),E231,"")),IF(ISNUMBER(E231),E231,""))))</f>
        <v/>
      </c>
      <c r="AR231" s="96">
        <f>IF(NOT(ISNUMBER(U231)),0,IF(T231="RECEBIMENTO NÃO CONFIRMADO",IF(AND(ISNUMBER(cfg_rec),U231&gt;cfg_rec),1,0),IF(OR(T231="CDF NÃO LOCALIZADO",T231="VÍNCULO INCOMPLETO",T231="CDF A CONFERIR"),IF(AND(ISNUMBER(cfg_cdf),U231&gt;cfg_cdf),1,0),0)))</f>
        <v>0</v>
      </c>
      <c r="AS231" s="96" t="str">
        <f>IF(T231="","",IF(AR231=1,"Alta",IFERROR(INDEX(cfg_pp,MATCH(T231,cfg_pt,0))&amp;"","Média")))</f>
        <v/>
      </c>
      <c r="AT231" s="96" t="str">
        <f>IF(T231="","",IFERROR(INDEX(cfg_pv,MATCH(T231,cfg_pt,0))&amp;"",""))</f>
        <v/>
      </c>
      <c r="AU231" s="96" t="str">
        <f>IF(T231="","",IF(AS231="Alta",1,IF(AS231="Média",2,3))*1000000000+(999999-IF(ISNUMBER(U231),MIN(U231,999999),0))*1000+226)</f>
        <v/>
      </c>
      <c r="AV231" s="96">
        <f>IF(T231&lt;&gt;"",1,0)</f>
        <v>0</v>
      </c>
      <c r="AW231" s="96" t="str">
        <f>IF(Z231=0,"",IF(AA231=1,"Cancelamento informado; ","")&amp;IF(AE231=1,"Campos essenciais ou itens faltando; ","")&amp;IF(AC231=1,"Possível duplicidade do número; ","")&amp;IF(AD231=1,"Cadastro ou datas a revisar; ","")&amp;IF(AF231&gt;0,"Item de resíduo com dado a revisar; ","")&amp;IF(AH231&gt;0,"Diferença de quantidade a analisar; ","")&amp;IF(AK231&gt;0,"Recebimento com alerta; ","")&amp;IF(AL231&gt;0,"Vínculo de CDF com alerta; ","")&amp;IF(AND(AA231=0,AN231=0),"Recebimento não confirmado; ","")&amp;IF(AND(AA231=0,AN231=1,AO231=0),"CDF pendente ou a conferir; ",""))</f>
        <v/>
      </c>
      <c r="AX231" s="96">
        <f>IF(Z231=0,0,IF(AND(OR(f_ini="",AND(ISNUMBER(E231),E231&gt;=f_ini)),OR(f_fim="",AND(ISNUMBER(E231),E231&lt;=f_fim)),OR(f_un="",f_un="(Todas)",G231=f_un),OR(f_tr="",f_tr="(Todos)",H231=f_tr),OR(f_de="",f_de="(Todos)",I231=f_de),OR(f_sit="",f_sit="(Todas)",S231=f_sit)),1,0))</f>
        <v>0</v>
      </c>
      <c r="AY231" s="96">
        <f>IF(AX231=0,0,IF(OR(f_res="",f_res="(Todos)"),1,IF(COUNTIFS('ITENS_MTR'!$S$6:$S$1005,A231,'ITENS_MTR'!$C$6:$C$1005,f_res)&gt;0,1,0)))</f>
        <v>0</v>
      </c>
      <c r="AZ231" s="97" t="str">
        <f>IF(ISNUMBER(E231),DATE(YEAR(E231),MONTH(E231),1),"")</f>
        <v/>
      </c>
      <c r="BA231" s="96">
        <f>IF(Z231=0,0,IF(AND(OR(r_ini="",AND(ISNUMBER(E231),E231&gt;=r_ini)),OR(r_fim="",AND(ISNUMBER(E231),E231&lt;=r_fim)),OR(r_un="",r_un="(Todas)",G231=r_un),OR(r_de="",r_de="(Todos)",I231=r_de)),1,0))</f>
        <v>0</v>
      </c>
      <c r="BB231" s="96" t="str">
        <f>IF(BA231=1,COUNTIF($BA$6:BA231,1),"")</f>
        <v/>
      </c>
      <c r="BC231" s="96" t="str">
        <f>IF(AND(AU231&lt;&gt;"",OR(r_un="",r_un="(Todas)",G231=r_un),OR(r_de="",r_de="(Todos)",I231=r_de)),AU231,"")</f>
        <v/>
      </c>
      <c r="BD231" s="96" t="str">
        <f>IF(Z231=1,A231&amp;" | nº "&amp;IF(B231="","(sem número)",B231)&amp;" | "&amp;IF(G231="","(sem unidade)",G231),"")</f>
        <v/>
      </c>
      <c r="BE231" s="96" t="str">
        <f>IF(Z231=1,COUNTIF($Z$6:Z231,1),"")</f>
        <v/>
      </c>
      <c r="BF231" s="96" t="str">
        <f>IF(T231="","",IF(T231="RECEBIMENTO NÃO CONFIRMADO","Transp.: "&amp;H231&amp;" | Dest.: "&amp;I231,IF(OR(T231="CDF NÃO LOCALIZADO",T231="VÍNCULO INCOMPLETO",T231="CDF A CONFERIR"),"Dest.: "&amp;I231,"Gerador: "&amp;G231)))</f>
        <v/>
      </c>
    </row>
    <row r="232">
      <c r="A232" s="89" t="inlineStr">
        <is>
          <t>MTR-000227</t>
        </is>
      </c>
      <c r="B232" s="90" t="n"/>
      <c r="C232" s="91" t="n"/>
      <c r="D232" s="91" t="n"/>
      <c r="E232" s="92" t="n"/>
      <c r="F232" s="92" t="n"/>
      <c r="G232" s="91" t="n"/>
      <c r="H232" s="91" t="n"/>
      <c r="I232" s="91" t="n"/>
      <c r="J232" s="91" t="n"/>
      <c r="K232" s="91" t="n"/>
      <c r="L232" s="92" t="n"/>
      <c r="M232" s="91" t="n"/>
      <c r="N232" s="91" t="n"/>
      <c r="O232" s="91" t="n"/>
      <c r="P232" s="93" t="str">
        <f>IF(Z232=0,"",SUMIFS('ITENS_MTR'!$I$6:$I$1005,'ITENS_MTR'!$S$6:$S$1005,A232,'ITENS_MTR'!$Y$6:$Y$1005,1))</f>
        <v/>
      </c>
      <c r="Q232" s="93" t="str">
        <f>IF(Z232=0,"",SUMIFS('RECEBIMENTOS'!$H$6:$H$1005,'RECEBIMENTOS'!$B$6:$B$1005,A232,'RECEBIMENTOS'!$X$6:$X$1005,1))</f>
        <v/>
      </c>
      <c r="R232" s="93" t="str">
        <f>IF(Z232=0,"",SUMIFS('VÍNCULOS_CDF'!$H$6:$H$1005,'VÍNCULOS_CDF'!$D$6:$D$1005,A232,'VÍNCULOS_CDF'!$V$6:$V$1005,1))</f>
        <v/>
      </c>
      <c r="S232" s="94" t="str">
        <f>IF(Z232=0,"",IF(AA232=1,"Cancelado (informado)",IF(AE232=1,"Cadastro incompleto",IF(OR(AC232=1,AD232=1,AF232&gt;0,AH232&gt;0,AK232&gt;0,AL232&gt;0),"Informação a revisar",IF(AN232=0,"Aguardando recebimento",IF(N(R232)=0,"Aguardando CDF",IF(AJ232&lt;N(W232),"Vínculo de CDF parcial",IF(AO232=0,"CDF localizado, a conferir","Documentação conferida"))))))))</f>
        <v/>
      </c>
      <c r="T232" s="94" t="str">
        <f>IF(Z232=0,"",IF(S232="Cadastro incompleto","MTR INCOMPLETO",IF(S232="Informação a revisar",IF(AND(AH232&gt;0,AC232=0,AD232=0,AF232=0,AK232=0,AL232=0),"QUANTIDADE A REVISAR","IDENTIFICAÇÃO A REVISAR"),IF(S232="Aguardando recebimento","RECEBIMENTO NÃO CONFIRMADO",IF(S232="Aguardando CDF","CDF NÃO LOCALIZADO",IF(S232="Vínculo de CDF parcial","VÍNCULO INCOMPLETO",IF(S232="CDF localizado, a conferir","CDF A CONFERIR","")))))))</f>
        <v/>
      </c>
      <c r="U232" s="95" t="str">
        <f>IF(T232="","",IF(AQ232="","Não calculável",IF(AQ232&gt;TODAY(),"Data futura",TODAY()-AQ232)))</f>
        <v/>
      </c>
      <c r="V232" s="93" t="str">
        <f>IF(Z232=0,"",SUMIFS('RECEBIMENTOS'!$H$6:$H$1005,'RECEBIMENTOS'!$B$6:$B$1005,A232,'RECEBIMENTOS'!$Z$6:$Z$1005,1))</f>
        <v/>
      </c>
      <c r="W232" s="95" t="str">
        <f>IF(Z232=0,"",COUNTIFS('ITENS_MTR'!$S$6:$S$1005,A232,'ITENS_MTR'!$R$6:$R$1005,1))</f>
        <v/>
      </c>
      <c r="X232" s="94" t="str">
        <f>IF(AC232=1,"POSSÍVEL DUPLICIDADE","")</f>
        <v/>
      </c>
      <c r="Y232" s="94" t="str">
        <f>IF(Z232=0,"",IF(AW232="","Nenhuma",LEFT(AW232,LEN(AW232)-2)))</f>
        <v/>
      </c>
      <c r="Z232" s="96">
        <f>IF(COUNTA(B232:O232)&gt;0,1,0)</f>
        <v>0</v>
      </c>
      <c r="AA232" s="96">
        <f>IF(AND(Z232=1,K232&lt;&gt;""),IF(TRIM(K232)=TRIM(cfg_cancel),1,0),0)</f>
        <v>0</v>
      </c>
      <c r="AB232" s="96" t="str">
        <f>IF(AND(Z232=1,B232&lt;&gt;""),C232&amp;"|"&amp;D232&amp;"|"&amp;G232&amp;"|"&amp;TRIM(B232),"")</f>
        <v/>
      </c>
      <c r="AC232" s="96">
        <f>IF(AB232="",0,IF(SUMPRODUCT(--($AB$6:$AB$505=AB232))&gt;1,1,0))</f>
        <v>0</v>
      </c>
      <c r="AD232" s="96">
        <f>IF(Z232=0,0,IF(OR(AND(G232&lt;&gt;"",ISNA(MATCH(G232,'CAD_UNIDADES'!$C$6:$C$105,0))),AND(H232&lt;&gt;"",ISNA(MATCH(H232,cmp_transp,0))),AND(I232&lt;&gt;"",ISNA(MATCH(I232,cmp_dest,0))),AND(E232&lt;&gt;"",NOT(ISNUMBER(E232))),AND(F232&lt;&gt;"",NOT(ISNUMBER(F232))),AND(ISNUMBER(E232),ISNUMBER(F232),F232&lt;E232)),1,0))</f>
        <v>0</v>
      </c>
      <c r="AE232" s="96">
        <f>IF(Z232=0,0,IF(OR(B232="",C232="",E232="",G232="",H232="",I232="",N(W232)=0),1,0))</f>
        <v>0</v>
      </c>
      <c r="AF232" s="96">
        <f>IF(Z232=0,0,COUNTIFS('ITENS_MTR'!$S$6:$S$1005,A232,'ITENS_MTR'!$AI$6:$AI$1005,1))</f>
        <v>0</v>
      </c>
      <c r="AG232" s="96">
        <f>IF(Z232=0,0,COUNTIFS('ITENS_MTR'!$S$6:$S$1005,A232,'ITENS_MTR'!$AJ$6:$AJ$1005,1))</f>
        <v>0</v>
      </c>
      <c r="AH232" s="96">
        <f>IF(Z232=0,0,COUNTIFS('ITENS_MTR'!$S$6:$S$1005,A232,'ITENS_MTR'!$AM$6:$AM$1005,1))</f>
        <v>0</v>
      </c>
      <c r="AI232" s="96">
        <f>IF(Z232=0,0,COUNTIFS('ITENS_MTR'!$S$6:$S$1005,A232,'ITENS_MTR'!$AO$6:$AO$1005,1))</f>
        <v>0</v>
      </c>
      <c r="AJ232" s="96">
        <f>IF(Z232=0,0,COUNTIFS('ITENS_MTR'!$S$6:$S$1005,A232,'ITENS_MTR'!$AN$6:$AN$1005,1))</f>
        <v>0</v>
      </c>
      <c r="AK232" s="96">
        <f>IF(Z232=0,0,COUNTIFS('RECEBIMENTOS'!$B$6:$B$1005,A232,'RECEBIMENTOS'!$Y$6:$Y$1005,1))</f>
        <v>0</v>
      </c>
      <c r="AL232" s="96">
        <f>IF(Z232=0,0,COUNTIFS('VÍNCULOS_CDF'!$D$6:$D$1005,A232,'VÍNCULOS_CDF'!$Y$6:$Y$1005,1))</f>
        <v>0</v>
      </c>
      <c r="AM232" s="96">
        <f>IF(Z232=0,0,COUNTIFS('RECEBIMENTOS'!$B$6:$B$1005,A232,'RECEBIMENTOS'!$Q$6:$Q$1005,1))</f>
        <v>0</v>
      </c>
      <c r="AN232" s="96">
        <f>IF(AND(Z232=1,N(W232)&gt;0,AG232=N(W232)),1,0)</f>
        <v>0</v>
      </c>
      <c r="AO232" s="96">
        <f>IF(AND(Z232=1,N(W232)&gt;0,AI232=N(W232)),1,0)</f>
        <v>0</v>
      </c>
      <c r="AP232" s="97">
        <f>IF(Z232=0,0,_xlfn.MAXIFS('RECEBIMENTOS'!$E$6:$E$1005,'RECEBIMENTOS'!$B$6:$B$1005,A232))</f>
        <v>0</v>
      </c>
      <c r="AQ232" s="97" t="str">
        <f>IF(T232="","",IF(T232="RECEBIMENTO NÃO CONFIRMADO",IF(ISNUMBER(F232),F232,IF(ISNUMBER(E232),E232,"")),IF(OR(T232="CDF NÃO LOCALIZADO",T232="VÍNCULO INCOMPLETO",T232="CDF A CONFERIR"),IF(AP232&gt;0,AP232,IF(ISNUMBER(E232),E232,"")),IF(ISNUMBER(E232),E232,""))))</f>
        <v/>
      </c>
      <c r="AR232" s="96">
        <f>IF(NOT(ISNUMBER(U232)),0,IF(T232="RECEBIMENTO NÃO CONFIRMADO",IF(AND(ISNUMBER(cfg_rec),U232&gt;cfg_rec),1,0),IF(OR(T232="CDF NÃO LOCALIZADO",T232="VÍNCULO INCOMPLETO",T232="CDF A CONFERIR"),IF(AND(ISNUMBER(cfg_cdf),U232&gt;cfg_cdf),1,0),0)))</f>
        <v>0</v>
      </c>
      <c r="AS232" s="96" t="str">
        <f>IF(T232="","",IF(AR232=1,"Alta",IFERROR(INDEX(cfg_pp,MATCH(T232,cfg_pt,0))&amp;"","Média")))</f>
        <v/>
      </c>
      <c r="AT232" s="96" t="str">
        <f>IF(T232="","",IFERROR(INDEX(cfg_pv,MATCH(T232,cfg_pt,0))&amp;"",""))</f>
        <v/>
      </c>
      <c r="AU232" s="96" t="str">
        <f>IF(T232="","",IF(AS232="Alta",1,IF(AS232="Média",2,3))*1000000000+(999999-IF(ISNUMBER(U232),MIN(U232,999999),0))*1000+227)</f>
        <v/>
      </c>
      <c r="AV232" s="96">
        <f>IF(T232&lt;&gt;"",1,0)</f>
        <v>0</v>
      </c>
      <c r="AW232" s="96" t="str">
        <f>IF(Z232=0,"",IF(AA232=1,"Cancelamento informado; ","")&amp;IF(AE232=1,"Campos essenciais ou itens faltando; ","")&amp;IF(AC232=1,"Possível duplicidade do número; ","")&amp;IF(AD232=1,"Cadastro ou datas a revisar; ","")&amp;IF(AF232&gt;0,"Item de resíduo com dado a revisar; ","")&amp;IF(AH232&gt;0,"Diferença de quantidade a analisar; ","")&amp;IF(AK232&gt;0,"Recebimento com alerta; ","")&amp;IF(AL232&gt;0,"Vínculo de CDF com alerta; ","")&amp;IF(AND(AA232=0,AN232=0),"Recebimento não confirmado; ","")&amp;IF(AND(AA232=0,AN232=1,AO232=0),"CDF pendente ou a conferir; ",""))</f>
        <v/>
      </c>
      <c r="AX232" s="96">
        <f>IF(Z232=0,0,IF(AND(OR(f_ini="",AND(ISNUMBER(E232),E232&gt;=f_ini)),OR(f_fim="",AND(ISNUMBER(E232),E232&lt;=f_fim)),OR(f_un="",f_un="(Todas)",G232=f_un),OR(f_tr="",f_tr="(Todos)",H232=f_tr),OR(f_de="",f_de="(Todos)",I232=f_de),OR(f_sit="",f_sit="(Todas)",S232=f_sit)),1,0))</f>
        <v>0</v>
      </c>
      <c r="AY232" s="96">
        <f>IF(AX232=0,0,IF(OR(f_res="",f_res="(Todos)"),1,IF(COUNTIFS('ITENS_MTR'!$S$6:$S$1005,A232,'ITENS_MTR'!$C$6:$C$1005,f_res)&gt;0,1,0)))</f>
        <v>0</v>
      </c>
      <c r="AZ232" s="97" t="str">
        <f>IF(ISNUMBER(E232),DATE(YEAR(E232),MONTH(E232),1),"")</f>
        <v/>
      </c>
      <c r="BA232" s="96">
        <f>IF(Z232=0,0,IF(AND(OR(r_ini="",AND(ISNUMBER(E232),E232&gt;=r_ini)),OR(r_fim="",AND(ISNUMBER(E232),E232&lt;=r_fim)),OR(r_un="",r_un="(Todas)",G232=r_un),OR(r_de="",r_de="(Todos)",I232=r_de)),1,0))</f>
        <v>0</v>
      </c>
      <c r="BB232" s="96" t="str">
        <f>IF(BA232=1,COUNTIF($BA$6:BA232,1),"")</f>
        <v/>
      </c>
      <c r="BC232" s="96" t="str">
        <f>IF(AND(AU232&lt;&gt;"",OR(r_un="",r_un="(Todas)",G232=r_un),OR(r_de="",r_de="(Todos)",I232=r_de)),AU232,"")</f>
        <v/>
      </c>
      <c r="BD232" s="96" t="str">
        <f>IF(Z232=1,A232&amp;" | nº "&amp;IF(B232="","(sem número)",B232)&amp;" | "&amp;IF(G232="","(sem unidade)",G232),"")</f>
        <v/>
      </c>
      <c r="BE232" s="96" t="str">
        <f>IF(Z232=1,COUNTIF($Z$6:Z232,1),"")</f>
        <v/>
      </c>
      <c r="BF232" s="96" t="str">
        <f>IF(T232="","",IF(T232="RECEBIMENTO NÃO CONFIRMADO","Transp.: "&amp;H232&amp;" | Dest.: "&amp;I232,IF(OR(T232="CDF NÃO LOCALIZADO",T232="VÍNCULO INCOMPLETO",T232="CDF A CONFERIR"),"Dest.: "&amp;I232,"Gerador: "&amp;G232)))</f>
        <v/>
      </c>
    </row>
    <row r="233">
      <c r="A233" s="89" t="inlineStr">
        <is>
          <t>MTR-000228</t>
        </is>
      </c>
      <c r="B233" s="90" t="n"/>
      <c r="C233" s="91" t="n"/>
      <c r="D233" s="91" t="n"/>
      <c r="E233" s="92" t="n"/>
      <c r="F233" s="92" t="n"/>
      <c r="G233" s="91" t="n"/>
      <c r="H233" s="91" t="n"/>
      <c r="I233" s="91" t="n"/>
      <c r="J233" s="91" t="n"/>
      <c r="K233" s="91" t="n"/>
      <c r="L233" s="92" t="n"/>
      <c r="M233" s="91" t="n"/>
      <c r="N233" s="91" t="n"/>
      <c r="O233" s="91" t="n"/>
      <c r="P233" s="93" t="str">
        <f>IF(Z233=0,"",SUMIFS('ITENS_MTR'!$I$6:$I$1005,'ITENS_MTR'!$S$6:$S$1005,A233,'ITENS_MTR'!$Y$6:$Y$1005,1))</f>
        <v/>
      </c>
      <c r="Q233" s="93" t="str">
        <f>IF(Z233=0,"",SUMIFS('RECEBIMENTOS'!$H$6:$H$1005,'RECEBIMENTOS'!$B$6:$B$1005,A233,'RECEBIMENTOS'!$X$6:$X$1005,1))</f>
        <v/>
      </c>
      <c r="R233" s="93" t="str">
        <f>IF(Z233=0,"",SUMIFS('VÍNCULOS_CDF'!$H$6:$H$1005,'VÍNCULOS_CDF'!$D$6:$D$1005,A233,'VÍNCULOS_CDF'!$V$6:$V$1005,1))</f>
        <v/>
      </c>
      <c r="S233" s="94" t="str">
        <f>IF(Z233=0,"",IF(AA233=1,"Cancelado (informado)",IF(AE233=1,"Cadastro incompleto",IF(OR(AC233=1,AD233=1,AF233&gt;0,AH233&gt;0,AK233&gt;0,AL233&gt;0),"Informação a revisar",IF(AN233=0,"Aguardando recebimento",IF(N(R233)=0,"Aguardando CDF",IF(AJ233&lt;N(W233),"Vínculo de CDF parcial",IF(AO233=0,"CDF localizado, a conferir","Documentação conferida"))))))))</f>
        <v/>
      </c>
      <c r="T233" s="94" t="str">
        <f>IF(Z233=0,"",IF(S233="Cadastro incompleto","MTR INCOMPLETO",IF(S233="Informação a revisar",IF(AND(AH233&gt;0,AC233=0,AD233=0,AF233=0,AK233=0,AL233=0),"QUANTIDADE A REVISAR","IDENTIFICAÇÃO A REVISAR"),IF(S233="Aguardando recebimento","RECEBIMENTO NÃO CONFIRMADO",IF(S233="Aguardando CDF","CDF NÃO LOCALIZADO",IF(S233="Vínculo de CDF parcial","VÍNCULO INCOMPLETO",IF(S233="CDF localizado, a conferir","CDF A CONFERIR","")))))))</f>
        <v/>
      </c>
      <c r="U233" s="95" t="str">
        <f>IF(T233="","",IF(AQ233="","Não calculável",IF(AQ233&gt;TODAY(),"Data futura",TODAY()-AQ233)))</f>
        <v/>
      </c>
      <c r="V233" s="93" t="str">
        <f>IF(Z233=0,"",SUMIFS('RECEBIMENTOS'!$H$6:$H$1005,'RECEBIMENTOS'!$B$6:$B$1005,A233,'RECEBIMENTOS'!$Z$6:$Z$1005,1))</f>
        <v/>
      </c>
      <c r="W233" s="95" t="str">
        <f>IF(Z233=0,"",COUNTIFS('ITENS_MTR'!$S$6:$S$1005,A233,'ITENS_MTR'!$R$6:$R$1005,1))</f>
        <v/>
      </c>
      <c r="X233" s="94" t="str">
        <f>IF(AC233=1,"POSSÍVEL DUPLICIDADE","")</f>
        <v/>
      </c>
      <c r="Y233" s="94" t="str">
        <f>IF(Z233=0,"",IF(AW233="","Nenhuma",LEFT(AW233,LEN(AW233)-2)))</f>
        <v/>
      </c>
      <c r="Z233" s="96">
        <f>IF(COUNTA(B233:O233)&gt;0,1,0)</f>
        <v>0</v>
      </c>
      <c r="AA233" s="96">
        <f>IF(AND(Z233=1,K233&lt;&gt;""),IF(TRIM(K233)=TRIM(cfg_cancel),1,0),0)</f>
        <v>0</v>
      </c>
      <c r="AB233" s="96" t="str">
        <f>IF(AND(Z233=1,B233&lt;&gt;""),C233&amp;"|"&amp;D233&amp;"|"&amp;G233&amp;"|"&amp;TRIM(B233),"")</f>
        <v/>
      </c>
      <c r="AC233" s="96">
        <f>IF(AB233="",0,IF(SUMPRODUCT(--($AB$6:$AB$505=AB233))&gt;1,1,0))</f>
        <v>0</v>
      </c>
      <c r="AD233" s="96">
        <f>IF(Z233=0,0,IF(OR(AND(G233&lt;&gt;"",ISNA(MATCH(G233,'CAD_UNIDADES'!$C$6:$C$105,0))),AND(H233&lt;&gt;"",ISNA(MATCH(H233,cmp_transp,0))),AND(I233&lt;&gt;"",ISNA(MATCH(I233,cmp_dest,0))),AND(E233&lt;&gt;"",NOT(ISNUMBER(E233))),AND(F233&lt;&gt;"",NOT(ISNUMBER(F233))),AND(ISNUMBER(E233),ISNUMBER(F233),F233&lt;E233)),1,0))</f>
        <v>0</v>
      </c>
      <c r="AE233" s="96">
        <f>IF(Z233=0,0,IF(OR(B233="",C233="",E233="",G233="",H233="",I233="",N(W233)=0),1,0))</f>
        <v>0</v>
      </c>
      <c r="AF233" s="96">
        <f>IF(Z233=0,0,COUNTIFS('ITENS_MTR'!$S$6:$S$1005,A233,'ITENS_MTR'!$AI$6:$AI$1005,1))</f>
        <v>0</v>
      </c>
      <c r="AG233" s="96">
        <f>IF(Z233=0,0,COUNTIFS('ITENS_MTR'!$S$6:$S$1005,A233,'ITENS_MTR'!$AJ$6:$AJ$1005,1))</f>
        <v>0</v>
      </c>
      <c r="AH233" s="96">
        <f>IF(Z233=0,0,COUNTIFS('ITENS_MTR'!$S$6:$S$1005,A233,'ITENS_MTR'!$AM$6:$AM$1005,1))</f>
        <v>0</v>
      </c>
      <c r="AI233" s="96">
        <f>IF(Z233=0,0,COUNTIFS('ITENS_MTR'!$S$6:$S$1005,A233,'ITENS_MTR'!$AO$6:$AO$1005,1))</f>
        <v>0</v>
      </c>
      <c r="AJ233" s="96">
        <f>IF(Z233=0,0,COUNTIFS('ITENS_MTR'!$S$6:$S$1005,A233,'ITENS_MTR'!$AN$6:$AN$1005,1))</f>
        <v>0</v>
      </c>
      <c r="AK233" s="96">
        <f>IF(Z233=0,0,COUNTIFS('RECEBIMENTOS'!$B$6:$B$1005,A233,'RECEBIMENTOS'!$Y$6:$Y$1005,1))</f>
        <v>0</v>
      </c>
      <c r="AL233" s="96">
        <f>IF(Z233=0,0,COUNTIFS('VÍNCULOS_CDF'!$D$6:$D$1005,A233,'VÍNCULOS_CDF'!$Y$6:$Y$1005,1))</f>
        <v>0</v>
      </c>
      <c r="AM233" s="96">
        <f>IF(Z233=0,0,COUNTIFS('RECEBIMENTOS'!$B$6:$B$1005,A233,'RECEBIMENTOS'!$Q$6:$Q$1005,1))</f>
        <v>0</v>
      </c>
      <c r="AN233" s="96">
        <f>IF(AND(Z233=1,N(W233)&gt;0,AG233=N(W233)),1,0)</f>
        <v>0</v>
      </c>
      <c r="AO233" s="96">
        <f>IF(AND(Z233=1,N(W233)&gt;0,AI233=N(W233)),1,0)</f>
        <v>0</v>
      </c>
      <c r="AP233" s="97">
        <f>IF(Z233=0,0,_xlfn.MAXIFS('RECEBIMENTOS'!$E$6:$E$1005,'RECEBIMENTOS'!$B$6:$B$1005,A233))</f>
        <v>0</v>
      </c>
      <c r="AQ233" s="97" t="str">
        <f>IF(T233="","",IF(T233="RECEBIMENTO NÃO CONFIRMADO",IF(ISNUMBER(F233),F233,IF(ISNUMBER(E233),E233,"")),IF(OR(T233="CDF NÃO LOCALIZADO",T233="VÍNCULO INCOMPLETO",T233="CDF A CONFERIR"),IF(AP233&gt;0,AP233,IF(ISNUMBER(E233),E233,"")),IF(ISNUMBER(E233),E233,""))))</f>
        <v/>
      </c>
      <c r="AR233" s="96">
        <f>IF(NOT(ISNUMBER(U233)),0,IF(T233="RECEBIMENTO NÃO CONFIRMADO",IF(AND(ISNUMBER(cfg_rec),U233&gt;cfg_rec),1,0),IF(OR(T233="CDF NÃO LOCALIZADO",T233="VÍNCULO INCOMPLETO",T233="CDF A CONFERIR"),IF(AND(ISNUMBER(cfg_cdf),U233&gt;cfg_cdf),1,0),0)))</f>
        <v>0</v>
      </c>
      <c r="AS233" s="96" t="str">
        <f>IF(T233="","",IF(AR233=1,"Alta",IFERROR(INDEX(cfg_pp,MATCH(T233,cfg_pt,0))&amp;"","Média")))</f>
        <v/>
      </c>
      <c r="AT233" s="96" t="str">
        <f>IF(T233="","",IFERROR(INDEX(cfg_pv,MATCH(T233,cfg_pt,0))&amp;"",""))</f>
        <v/>
      </c>
      <c r="AU233" s="96" t="str">
        <f>IF(T233="","",IF(AS233="Alta",1,IF(AS233="Média",2,3))*1000000000+(999999-IF(ISNUMBER(U233),MIN(U233,999999),0))*1000+228)</f>
        <v/>
      </c>
      <c r="AV233" s="96">
        <f>IF(T233&lt;&gt;"",1,0)</f>
        <v>0</v>
      </c>
      <c r="AW233" s="96" t="str">
        <f>IF(Z233=0,"",IF(AA233=1,"Cancelamento informado; ","")&amp;IF(AE233=1,"Campos essenciais ou itens faltando; ","")&amp;IF(AC233=1,"Possível duplicidade do número; ","")&amp;IF(AD233=1,"Cadastro ou datas a revisar; ","")&amp;IF(AF233&gt;0,"Item de resíduo com dado a revisar; ","")&amp;IF(AH233&gt;0,"Diferença de quantidade a analisar; ","")&amp;IF(AK233&gt;0,"Recebimento com alerta; ","")&amp;IF(AL233&gt;0,"Vínculo de CDF com alerta; ","")&amp;IF(AND(AA233=0,AN233=0),"Recebimento não confirmado; ","")&amp;IF(AND(AA233=0,AN233=1,AO233=0),"CDF pendente ou a conferir; ",""))</f>
        <v/>
      </c>
      <c r="AX233" s="96">
        <f>IF(Z233=0,0,IF(AND(OR(f_ini="",AND(ISNUMBER(E233),E233&gt;=f_ini)),OR(f_fim="",AND(ISNUMBER(E233),E233&lt;=f_fim)),OR(f_un="",f_un="(Todas)",G233=f_un),OR(f_tr="",f_tr="(Todos)",H233=f_tr),OR(f_de="",f_de="(Todos)",I233=f_de),OR(f_sit="",f_sit="(Todas)",S233=f_sit)),1,0))</f>
        <v>0</v>
      </c>
      <c r="AY233" s="96">
        <f>IF(AX233=0,0,IF(OR(f_res="",f_res="(Todos)"),1,IF(COUNTIFS('ITENS_MTR'!$S$6:$S$1005,A233,'ITENS_MTR'!$C$6:$C$1005,f_res)&gt;0,1,0)))</f>
        <v>0</v>
      </c>
      <c r="AZ233" s="97" t="str">
        <f>IF(ISNUMBER(E233),DATE(YEAR(E233),MONTH(E233),1),"")</f>
        <v/>
      </c>
      <c r="BA233" s="96">
        <f>IF(Z233=0,0,IF(AND(OR(r_ini="",AND(ISNUMBER(E233),E233&gt;=r_ini)),OR(r_fim="",AND(ISNUMBER(E233),E233&lt;=r_fim)),OR(r_un="",r_un="(Todas)",G233=r_un),OR(r_de="",r_de="(Todos)",I233=r_de)),1,0))</f>
        <v>0</v>
      </c>
      <c r="BB233" s="96" t="str">
        <f>IF(BA233=1,COUNTIF($BA$6:BA233,1),"")</f>
        <v/>
      </c>
      <c r="BC233" s="96" t="str">
        <f>IF(AND(AU233&lt;&gt;"",OR(r_un="",r_un="(Todas)",G233=r_un),OR(r_de="",r_de="(Todos)",I233=r_de)),AU233,"")</f>
        <v/>
      </c>
      <c r="BD233" s="96" t="str">
        <f>IF(Z233=1,A233&amp;" | nº "&amp;IF(B233="","(sem número)",B233)&amp;" | "&amp;IF(G233="","(sem unidade)",G233),"")</f>
        <v/>
      </c>
      <c r="BE233" s="96" t="str">
        <f>IF(Z233=1,COUNTIF($Z$6:Z233,1),"")</f>
        <v/>
      </c>
      <c r="BF233" s="96" t="str">
        <f>IF(T233="","",IF(T233="RECEBIMENTO NÃO CONFIRMADO","Transp.: "&amp;H233&amp;" | Dest.: "&amp;I233,IF(OR(T233="CDF NÃO LOCALIZADO",T233="VÍNCULO INCOMPLETO",T233="CDF A CONFERIR"),"Dest.: "&amp;I233,"Gerador: "&amp;G233)))</f>
        <v/>
      </c>
    </row>
    <row r="234">
      <c r="A234" s="89" t="inlineStr">
        <is>
          <t>MTR-000229</t>
        </is>
      </c>
      <c r="B234" s="90" t="n"/>
      <c r="C234" s="91" t="n"/>
      <c r="D234" s="91" t="n"/>
      <c r="E234" s="92" t="n"/>
      <c r="F234" s="92" t="n"/>
      <c r="G234" s="91" t="n"/>
      <c r="H234" s="91" t="n"/>
      <c r="I234" s="91" t="n"/>
      <c r="J234" s="91" t="n"/>
      <c r="K234" s="91" t="n"/>
      <c r="L234" s="92" t="n"/>
      <c r="M234" s="91" t="n"/>
      <c r="N234" s="91" t="n"/>
      <c r="O234" s="91" t="n"/>
      <c r="P234" s="93" t="str">
        <f>IF(Z234=0,"",SUMIFS('ITENS_MTR'!$I$6:$I$1005,'ITENS_MTR'!$S$6:$S$1005,A234,'ITENS_MTR'!$Y$6:$Y$1005,1))</f>
        <v/>
      </c>
      <c r="Q234" s="93" t="str">
        <f>IF(Z234=0,"",SUMIFS('RECEBIMENTOS'!$H$6:$H$1005,'RECEBIMENTOS'!$B$6:$B$1005,A234,'RECEBIMENTOS'!$X$6:$X$1005,1))</f>
        <v/>
      </c>
      <c r="R234" s="93" t="str">
        <f>IF(Z234=0,"",SUMIFS('VÍNCULOS_CDF'!$H$6:$H$1005,'VÍNCULOS_CDF'!$D$6:$D$1005,A234,'VÍNCULOS_CDF'!$V$6:$V$1005,1))</f>
        <v/>
      </c>
      <c r="S234" s="94" t="str">
        <f>IF(Z234=0,"",IF(AA234=1,"Cancelado (informado)",IF(AE234=1,"Cadastro incompleto",IF(OR(AC234=1,AD234=1,AF234&gt;0,AH234&gt;0,AK234&gt;0,AL234&gt;0),"Informação a revisar",IF(AN234=0,"Aguardando recebimento",IF(N(R234)=0,"Aguardando CDF",IF(AJ234&lt;N(W234),"Vínculo de CDF parcial",IF(AO234=0,"CDF localizado, a conferir","Documentação conferida"))))))))</f>
        <v/>
      </c>
      <c r="T234" s="94" t="str">
        <f>IF(Z234=0,"",IF(S234="Cadastro incompleto","MTR INCOMPLETO",IF(S234="Informação a revisar",IF(AND(AH234&gt;0,AC234=0,AD234=0,AF234=0,AK234=0,AL234=0),"QUANTIDADE A REVISAR","IDENTIFICAÇÃO A REVISAR"),IF(S234="Aguardando recebimento","RECEBIMENTO NÃO CONFIRMADO",IF(S234="Aguardando CDF","CDF NÃO LOCALIZADO",IF(S234="Vínculo de CDF parcial","VÍNCULO INCOMPLETO",IF(S234="CDF localizado, a conferir","CDF A CONFERIR","")))))))</f>
        <v/>
      </c>
      <c r="U234" s="95" t="str">
        <f>IF(T234="","",IF(AQ234="","Não calculável",IF(AQ234&gt;TODAY(),"Data futura",TODAY()-AQ234)))</f>
        <v/>
      </c>
      <c r="V234" s="93" t="str">
        <f>IF(Z234=0,"",SUMIFS('RECEBIMENTOS'!$H$6:$H$1005,'RECEBIMENTOS'!$B$6:$B$1005,A234,'RECEBIMENTOS'!$Z$6:$Z$1005,1))</f>
        <v/>
      </c>
      <c r="W234" s="95" t="str">
        <f>IF(Z234=0,"",COUNTIFS('ITENS_MTR'!$S$6:$S$1005,A234,'ITENS_MTR'!$R$6:$R$1005,1))</f>
        <v/>
      </c>
      <c r="X234" s="94" t="str">
        <f>IF(AC234=1,"POSSÍVEL DUPLICIDADE","")</f>
        <v/>
      </c>
      <c r="Y234" s="94" t="str">
        <f>IF(Z234=0,"",IF(AW234="","Nenhuma",LEFT(AW234,LEN(AW234)-2)))</f>
        <v/>
      </c>
      <c r="Z234" s="96">
        <f>IF(COUNTA(B234:O234)&gt;0,1,0)</f>
        <v>0</v>
      </c>
      <c r="AA234" s="96">
        <f>IF(AND(Z234=1,K234&lt;&gt;""),IF(TRIM(K234)=TRIM(cfg_cancel),1,0),0)</f>
        <v>0</v>
      </c>
      <c r="AB234" s="96" t="str">
        <f>IF(AND(Z234=1,B234&lt;&gt;""),C234&amp;"|"&amp;D234&amp;"|"&amp;G234&amp;"|"&amp;TRIM(B234),"")</f>
        <v/>
      </c>
      <c r="AC234" s="96">
        <f>IF(AB234="",0,IF(SUMPRODUCT(--($AB$6:$AB$505=AB234))&gt;1,1,0))</f>
        <v>0</v>
      </c>
      <c r="AD234" s="96">
        <f>IF(Z234=0,0,IF(OR(AND(G234&lt;&gt;"",ISNA(MATCH(G234,'CAD_UNIDADES'!$C$6:$C$105,0))),AND(H234&lt;&gt;"",ISNA(MATCH(H234,cmp_transp,0))),AND(I234&lt;&gt;"",ISNA(MATCH(I234,cmp_dest,0))),AND(E234&lt;&gt;"",NOT(ISNUMBER(E234))),AND(F234&lt;&gt;"",NOT(ISNUMBER(F234))),AND(ISNUMBER(E234),ISNUMBER(F234),F234&lt;E234)),1,0))</f>
        <v>0</v>
      </c>
      <c r="AE234" s="96">
        <f>IF(Z234=0,0,IF(OR(B234="",C234="",E234="",G234="",H234="",I234="",N(W234)=0),1,0))</f>
        <v>0</v>
      </c>
      <c r="AF234" s="96">
        <f>IF(Z234=0,0,COUNTIFS('ITENS_MTR'!$S$6:$S$1005,A234,'ITENS_MTR'!$AI$6:$AI$1005,1))</f>
        <v>0</v>
      </c>
      <c r="AG234" s="96">
        <f>IF(Z234=0,0,COUNTIFS('ITENS_MTR'!$S$6:$S$1005,A234,'ITENS_MTR'!$AJ$6:$AJ$1005,1))</f>
        <v>0</v>
      </c>
      <c r="AH234" s="96">
        <f>IF(Z234=0,0,COUNTIFS('ITENS_MTR'!$S$6:$S$1005,A234,'ITENS_MTR'!$AM$6:$AM$1005,1))</f>
        <v>0</v>
      </c>
      <c r="AI234" s="96">
        <f>IF(Z234=0,0,COUNTIFS('ITENS_MTR'!$S$6:$S$1005,A234,'ITENS_MTR'!$AO$6:$AO$1005,1))</f>
        <v>0</v>
      </c>
      <c r="AJ234" s="96">
        <f>IF(Z234=0,0,COUNTIFS('ITENS_MTR'!$S$6:$S$1005,A234,'ITENS_MTR'!$AN$6:$AN$1005,1))</f>
        <v>0</v>
      </c>
      <c r="AK234" s="96">
        <f>IF(Z234=0,0,COUNTIFS('RECEBIMENTOS'!$B$6:$B$1005,A234,'RECEBIMENTOS'!$Y$6:$Y$1005,1))</f>
        <v>0</v>
      </c>
      <c r="AL234" s="96">
        <f>IF(Z234=0,0,COUNTIFS('VÍNCULOS_CDF'!$D$6:$D$1005,A234,'VÍNCULOS_CDF'!$Y$6:$Y$1005,1))</f>
        <v>0</v>
      </c>
      <c r="AM234" s="96">
        <f>IF(Z234=0,0,COUNTIFS('RECEBIMENTOS'!$B$6:$B$1005,A234,'RECEBIMENTOS'!$Q$6:$Q$1005,1))</f>
        <v>0</v>
      </c>
      <c r="AN234" s="96">
        <f>IF(AND(Z234=1,N(W234)&gt;0,AG234=N(W234)),1,0)</f>
        <v>0</v>
      </c>
      <c r="AO234" s="96">
        <f>IF(AND(Z234=1,N(W234)&gt;0,AI234=N(W234)),1,0)</f>
        <v>0</v>
      </c>
      <c r="AP234" s="97">
        <f>IF(Z234=0,0,_xlfn.MAXIFS('RECEBIMENTOS'!$E$6:$E$1005,'RECEBIMENTOS'!$B$6:$B$1005,A234))</f>
        <v>0</v>
      </c>
      <c r="AQ234" s="97" t="str">
        <f>IF(T234="","",IF(T234="RECEBIMENTO NÃO CONFIRMADO",IF(ISNUMBER(F234),F234,IF(ISNUMBER(E234),E234,"")),IF(OR(T234="CDF NÃO LOCALIZADO",T234="VÍNCULO INCOMPLETO",T234="CDF A CONFERIR"),IF(AP234&gt;0,AP234,IF(ISNUMBER(E234),E234,"")),IF(ISNUMBER(E234),E234,""))))</f>
        <v/>
      </c>
      <c r="AR234" s="96">
        <f>IF(NOT(ISNUMBER(U234)),0,IF(T234="RECEBIMENTO NÃO CONFIRMADO",IF(AND(ISNUMBER(cfg_rec),U234&gt;cfg_rec),1,0),IF(OR(T234="CDF NÃO LOCALIZADO",T234="VÍNCULO INCOMPLETO",T234="CDF A CONFERIR"),IF(AND(ISNUMBER(cfg_cdf),U234&gt;cfg_cdf),1,0),0)))</f>
        <v>0</v>
      </c>
      <c r="AS234" s="96" t="str">
        <f>IF(T234="","",IF(AR234=1,"Alta",IFERROR(INDEX(cfg_pp,MATCH(T234,cfg_pt,0))&amp;"","Média")))</f>
        <v/>
      </c>
      <c r="AT234" s="96" t="str">
        <f>IF(T234="","",IFERROR(INDEX(cfg_pv,MATCH(T234,cfg_pt,0))&amp;"",""))</f>
        <v/>
      </c>
      <c r="AU234" s="96" t="str">
        <f>IF(T234="","",IF(AS234="Alta",1,IF(AS234="Média",2,3))*1000000000+(999999-IF(ISNUMBER(U234),MIN(U234,999999),0))*1000+229)</f>
        <v/>
      </c>
      <c r="AV234" s="96">
        <f>IF(T234&lt;&gt;"",1,0)</f>
        <v>0</v>
      </c>
      <c r="AW234" s="96" t="str">
        <f>IF(Z234=0,"",IF(AA234=1,"Cancelamento informado; ","")&amp;IF(AE234=1,"Campos essenciais ou itens faltando; ","")&amp;IF(AC234=1,"Possível duplicidade do número; ","")&amp;IF(AD234=1,"Cadastro ou datas a revisar; ","")&amp;IF(AF234&gt;0,"Item de resíduo com dado a revisar; ","")&amp;IF(AH234&gt;0,"Diferença de quantidade a analisar; ","")&amp;IF(AK234&gt;0,"Recebimento com alerta; ","")&amp;IF(AL234&gt;0,"Vínculo de CDF com alerta; ","")&amp;IF(AND(AA234=0,AN234=0),"Recebimento não confirmado; ","")&amp;IF(AND(AA234=0,AN234=1,AO234=0),"CDF pendente ou a conferir; ",""))</f>
        <v/>
      </c>
      <c r="AX234" s="96">
        <f>IF(Z234=0,0,IF(AND(OR(f_ini="",AND(ISNUMBER(E234),E234&gt;=f_ini)),OR(f_fim="",AND(ISNUMBER(E234),E234&lt;=f_fim)),OR(f_un="",f_un="(Todas)",G234=f_un),OR(f_tr="",f_tr="(Todos)",H234=f_tr),OR(f_de="",f_de="(Todos)",I234=f_de),OR(f_sit="",f_sit="(Todas)",S234=f_sit)),1,0))</f>
        <v>0</v>
      </c>
      <c r="AY234" s="96">
        <f>IF(AX234=0,0,IF(OR(f_res="",f_res="(Todos)"),1,IF(COUNTIFS('ITENS_MTR'!$S$6:$S$1005,A234,'ITENS_MTR'!$C$6:$C$1005,f_res)&gt;0,1,0)))</f>
        <v>0</v>
      </c>
      <c r="AZ234" s="97" t="str">
        <f>IF(ISNUMBER(E234),DATE(YEAR(E234),MONTH(E234),1),"")</f>
        <v/>
      </c>
      <c r="BA234" s="96">
        <f>IF(Z234=0,0,IF(AND(OR(r_ini="",AND(ISNUMBER(E234),E234&gt;=r_ini)),OR(r_fim="",AND(ISNUMBER(E234),E234&lt;=r_fim)),OR(r_un="",r_un="(Todas)",G234=r_un),OR(r_de="",r_de="(Todos)",I234=r_de)),1,0))</f>
        <v>0</v>
      </c>
      <c r="BB234" s="96" t="str">
        <f>IF(BA234=1,COUNTIF($BA$6:BA234,1),"")</f>
        <v/>
      </c>
      <c r="BC234" s="96" t="str">
        <f>IF(AND(AU234&lt;&gt;"",OR(r_un="",r_un="(Todas)",G234=r_un),OR(r_de="",r_de="(Todos)",I234=r_de)),AU234,"")</f>
        <v/>
      </c>
      <c r="BD234" s="96" t="str">
        <f>IF(Z234=1,A234&amp;" | nº "&amp;IF(B234="","(sem número)",B234)&amp;" | "&amp;IF(G234="","(sem unidade)",G234),"")</f>
        <v/>
      </c>
      <c r="BE234" s="96" t="str">
        <f>IF(Z234=1,COUNTIF($Z$6:Z234,1),"")</f>
        <v/>
      </c>
      <c r="BF234" s="96" t="str">
        <f>IF(T234="","",IF(T234="RECEBIMENTO NÃO CONFIRMADO","Transp.: "&amp;H234&amp;" | Dest.: "&amp;I234,IF(OR(T234="CDF NÃO LOCALIZADO",T234="VÍNCULO INCOMPLETO",T234="CDF A CONFERIR"),"Dest.: "&amp;I234,"Gerador: "&amp;G234)))</f>
        <v/>
      </c>
    </row>
    <row r="235">
      <c r="A235" s="89" t="inlineStr">
        <is>
          <t>MTR-000230</t>
        </is>
      </c>
      <c r="B235" s="90" t="n"/>
      <c r="C235" s="91" t="n"/>
      <c r="D235" s="91" t="n"/>
      <c r="E235" s="92" t="n"/>
      <c r="F235" s="92" t="n"/>
      <c r="G235" s="91" t="n"/>
      <c r="H235" s="91" t="n"/>
      <c r="I235" s="91" t="n"/>
      <c r="J235" s="91" t="n"/>
      <c r="K235" s="91" t="n"/>
      <c r="L235" s="92" t="n"/>
      <c r="M235" s="91" t="n"/>
      <c r="N235" s="91" t="n"/>
      <c r="O235" s="91" t="n"/>
      <c r="P235" s="93" t="str">
        <f>IF(Z235=0,"",SUMIFS('ITENS_MTR'!$I$6:$I$1005,'ITENS_MTR'!$S$6:$S$1005,A235,'ITENS_MTR'!$Y$6:$Y$1005,1))</f>
        <v/>
      </c>
      <c r="Q235" s="93" t="str">
        <f>IF(Z235=0,"",SUMIFS('RECEBIMENTOS'!$H$6:$H$1005,'RECEBIMENTOS'!$B$6:$B$1005,A235,'RECEBIMENTOS'!$X$6:$X$1005,1))</f>
        <v/>
      </c>
      <c r="R235" s="93" t="str">
        <f>IF(Z235=0,"",SUMIFS('VÍNCULOS_CDF'!$H$6:$H$1005,'VÍNCULOS_CDF'!$D$6:$D$1005,A235,'VÍNCULOS_CDF'!$V$6:$V$1005,1))</f>
        <v/>
      </c>
      <c r="S235" s="94" t="str">
        <f>IF(Z235=0,"",IF(AA235=1,"Cancelado (informado)",IF(AE235=1,"Cadastro incompleto",IF(OR(AC235=1,AD235=1,AF235&gt;0,AH235&gt;0,AK235&gt;0,AL235&gt;0),"Informação a revisar",IF(AN235=0,"Aguardando recebimento",IF(N(R235)=0,"Aguardando CDF",IF(AJ235&lt;N(W235),"Vínculo de CDF parcial",IF(AO235=0,"CDF localizado, a conferir","Documentação conferida"))))))))</f>
        <v/>
      </c>
      <c r="T235" s="94" t="str">
        <f>IF(Z235=0,"",IF(S235="Cadastro incompleto","MTR INCOMPLETO",IF(S235="Informação a revisar",IF(AND(AH235&gt;0,AC235=0,AD235=0,AF235=0,AK235=0,AL235=0),"QUANTIDADE A REVISAR","IDENTIFICAÇÃO A REVISAR"),IF(S235="Aguardando recebimento","RECEBIMENTO NÃO CONFIRMADO",IF(S235="Aguardando CDF","CDF NÃO LOCALIZADO",IF(S235="Vínculo de CDF parcial","VÍNCULO INCOMPLETO",IF(S235="CDF localizado, a conferir","CDF A CONFERIR","")))))))</f>
        <v/>
      </c>
      <c r="U235" s="95" t="str">
        <f>IF(T235="","",IF(AQ235="","Não calculável",IF(AQ235&gt;TODAY(),"Data futura",TODAY()-AQ235)))</f>
        <v/>
      </c>
      <c r="V235" s="93" t="str">
        <f>IF(Z235=0,"",SUMIFS('RECEBIMENTOS'!$H$6:$H$1005,'RECEBIMENTOS'!$B$6:$B$1005,A235,'RECEBIMENTOS'!$Z$6:$Z$1005,1))</f>
        <v/>
      </c>
      <c r="W235" s="95" t="str">
        <f>IF(Z235=0,"",COUNTIFS('ITENS_MTR'!$S$6:$S$1005,A235,'ITENS_MTR'!$R$6:$R$1005,1))</f>
        <v/>
      </c>
      <c r="X235" s="94" t="str">
        <f>IF(AC235=1,"POSSÍVEL DUPLICIDADE","")</f>
        <v/>
      </c>
      <c r="Y235" s="94" t="str">
        <f>IF(Z235=0,"",IF(AW235="","Nenhuma",LEFT(AW235,LEN(AW235)-2)))</f>
        <v/>
      </c>
      <c r="Z235" s="96">
        <f>IF(COUNTA(B235:O235)&gt;0,1,0)</f>
        <v>0</v>
      </c>
      <c r="AA235" s="96">
        <f>IF(AND(Z235=1,K235&lt;&gt;""),IF(TRIM(K235)=TRIM(cfg_cancel),1,0),0)</f>
        <v>0</v>
      </c>
      <c r="AB235" s="96" t="str">
        <f>IF(AND(Z235=1,B235&lt;&gt;""),C235&amp;"|"&amp;D235&amp;"|"&amp;G235&amp;"|"&amp;TRIM(B235),"")</f>
        <v/>
      </c>
      <c r="AC235" s="96">
        <f>IF(AB235="",0,IF(SUMPRODUCT(--($AB$6:$AB$505=AB235))&gt;1,1,0))</f>
        <v>0</v>
      </c>
      <c r="AD235" s="96">
        <f>IF(Z235=0,0,IF(OR(AND(G235&lt;&gt;"",ISNA(MATCH(G235,'CAD_UNIDADES'!$C$6:$C$105,0))),AND(H235&lt;&gt;"",ISNA(MATCH(H235,cmp_transp,0))),AND(I235&lt;&gt;"",ISNA(MATCH(I235,cmp_dest,0))),AND(E235&lt;&gt;"",NOT(ISNUMBER(E235))),AND(F235&lt;&gt;"",NOT(ISNUMBER(F235))),AND(ISNUMBER(E235),ISNUMBER(F235),F235&lt;E235)),1,0))</f>
        <v>0</v>
      </c>
      <c r="AE235" s="96">
        <f>IF(Z235=0,0,IF(OR(B235="",C235="",E235="",G235="",H235="",I235="",N(W235)=0),1,0))</f>
        <v>0</v>
      </c>
      <c r="AF235" s="96">
        <f>IF(Z235=0,0,COUNTIFS('ITENS_MTR'!$S$6:$S$1005,A235,'ITENS_MTR'!$AI$6:$AI$1005,1))</f>
        <v>0</v>
      </c>
      <c r="AG235" s="96">
        <f>IF(Z235=0,0,COUNTIFS('ITENS_MTR'!$S$6:$S$1005,A235,'ITENS_MTR'!$AJ$6:$AJ$1005,1))</f>
        <v>0</v>
      </c>
      <c r="AH235" s="96">
        <f>IF(Z235=0,0,COUNTIFS('ITENS_MTR'!$S$6:$S$1005,A235,'ITENS_MTR'!$AM$6:$AM$1005,1))</f>
        <v>0</v>
      </c>
      <c r="AI235" s="96">
        <f>IF(Z235=0,0,COUNTIFS('ITENS_MTR'!$S$6:$S$1005,A235,'ITENS_MTR'!$AO$6:$AO$1005,1))</f>
        <v>0</v>
      </c>
      <c r="AJ235" s="96">
        <f>IF(Z235=0,0,COUNTIFS('ITENS_MTR'!$S$6:$S$1005,A235,'ITENS_MTR'!$AN$6:$AN$1005,1))</f>
        <v>0</v>
      </c>
      <c r="AK235" s="96">
        <f>IF(Z235=0,0,COUNTIFS('RECEBIMENTOS'!$B$6:$B$1005,A235,'RECEBIMENTOS'!$Y$6:$Y$1005,1))</f>
        <v>0</v>
      </c>
      <c r="AL235" s="96">
        <f>IF(Z235=0,0,COUNTIFS('VÍNCULOS_CDF'!$D$6:$D$1005,A235,'VÍNCULOS_CDF'!$Y$6:$Y$1005,1))</f>
        <v>0</v>
      </c>
      <c r="AM235" s="96">
        <f>IF(Z235=0,0,COUNTIFS('RECEBIMENTOS'!$B$6:$B$1005,A235,'RECEBIMENTOS'!$Q$6:$Q$1005,1))</f>
        <v>0</v>
      </c>
      <c r="AN235" s="96">
        <f>IF(AND(Z235=1,N(W235)&gt;0,AG235=N(W235)),1,0)</f>
        <v>0</v>
      </c>
      <c r="AO235" s="96">
        <f>IF(AND(Z235=1,N(W235)&gt;0,AI235=N(W235)),1,0)</f>
        <v>0</v>
      </c>
      <c r="AP235" s="97">
        <f>IF(Z235=0,0,_xlfn.MAXIFS('RECEBIMENTOS'!$E$6:$E$1005,'RECEBIMENTOS'!$B$6:$B$1005,A235))</f>
        <v>0</v>
      </c>
      <c r="AQ235" s="97" t="str">
        <f>IF(T235="","",IF(T235="RECEBIMENTO NÃO CONFIRMADO",IF(ISNUMBER(F235),F235,IF(ISNUMBER(E235),E235,"")),IF(OR(T235="CDF NÃO LOCALIZADO",T235="VÍNCULO INCOMPLETO",T235="CDF A CONFERIR"),IF(AP235&gt;0,AP235,IF(ISNUMBER(E235),E235,"")),IF(ISNUMBER(E235),E235,""))))</f>
        <v/>
      </c>
      <c r="AR235" s="96">
        <f>IF(NOT(ISNUMBER(U235)),0,IF(T235="RECEBIMENTO NÃO CONFIRMADO",IF(AND(ISNUMBER(cfg_rec),U235&gt;cfg_rec),1,0),IF(OR(T235="CDF NÃO LOCALIZADO",T235="VÍNCULO INCOMPLETO",T235="CDF A CONFERIR"),IF(AND(ISNUMBER(cfg_cdf),U235&gt;cfg_cdf),1,0),0)))</f>
        <v>0</v>
      </c>
      <c r="AS235" s="96" t="str">
        <f>IF(T235="","",IF(AR235=1,"Alta",IFERROR(INDEX(cfg_pp,MATCH(T235,cfg_pt,0))&amp;"","Média")))</f>
        <v/>
      </c>
      <c r="AT235" s="96" t="str">
        <f>IF(T235="","",IFERROR(INDEX(cfg_pv,MATCH(T235,cfg_pt,0))&amp;"",""))</f>
        <v/>
      </c>
      <c r="AU235" s="96" t="str">
        <f>IF(T235="","",IF(AS235="Alta",1,IF(AS235="Média",2,3))*1000000000+(999999-IF(ISNUMBER(U235),MIN(U235,999999),0))*1000+230)</f>
        <v/>
      </c>
      <c r="AV235" s="96">
        <f>IF(T235&lt;&gt;"",1,0)</f>
        <v>0</v>
      </c>
      <c r="AW235" s="96" t="str">
        <f>IF(Z235=0,"",IF(AA235=1,"Cancelamento informado; ","")&amp;IF(AE235=1,"Campos essenciais ou itens faltando; ","")&amp;IF(AC235=1,"Possível duplicidade do número; ","")&amp;IF(AD235=1,"Cadastro ou datas a revisar; ","")&amp;IF(AF235&gt;0,"Item de resíduo com dado a revisar; ","")&amp;IF(AH235&gt;0,"Diferença de quantidade a analisar; ","")&amp;IF(AK235&gt;0,"Recebimento com alerta; ","")&amp;IF(AL235&gt;0,"Vínculo de CDF com alerta; ","")&amp;IF(AND(AA235=0,AN235=0),"Recebimento não confirmado; ","")&amp;IF(AND(AA235=0,AN235=1,AO235=0),"CDF pendente ou a conferir; ",""))</f>
        <v/>
      </c>
      <c r="AX235" s="96">
        <f>IF(Z235=0,0,IF(AND(OR(f_ini="",AND(ISNUMBER(E235),E235&gt;=f_ini)),OR(f_fim="",AND(ISNUMBER(E235),E235&lt;=f_fim)),OR(f_un="",f_un="(Todas)",G235=f_un),OR(f_tr="",f_tr="(Todos)",H235=f_tr),OR(f_de="",f_de="(Todos)",I235=f_de),OR(f_sit="",f_sit="(Todas)",S235=f_sit)),1,0))</f>
        <v>0</v>
      </c>
      <c r="AY235" s="96">
        <f>IF(AX235=0,0,IF(OR(f_res="",f_res="(Todos)"),1,IF(COUNTIFS('ITENS_MTR'!$S$6:$S$1005,A235,'ITENS_MTR'!$C$6:$C$1005,f_res)&gt;0,1,0)))</f>
        <v>0</v>
      </c>
      <c r="AZ235" s="97" t="str">
        <f>IF(ISNUMBER(E235),DATE(YEAR(E235),MONTH(E235),1),"")</f>
        <v/>
      </c>
      <c r="BA235" s="96">
        <f>IF(Z235=0,0,IF(AND(OR(r_ini="",AND(ISNUMBER(E235),E235&gt;=r_ini)),OR(r_fim="",AND(ISNUMBER(E235),E235&lt;=r_fim)),OR(r_un="",r_un="(Todas)",G235=r_un),OR(r_de="",r_de="(Todos)",I235=r_de)),1,0))</f>
        <v>0</v>
      </c>
      <c r="BB235" s="96" t="str">
        <f>IF(BA235=1,COUNTIF($BA$6:BA235,1),"")</f>
        <v/>
      </c>
      <c r="BC235" s="96" t="str">
        <f>IF(AND(AU235&lt;&gt;"",OR(r_un="",r_un="(Todas)",G235=r_un),OR(r_de="",r_de="(Todos)",I235=r_de)),AU235,"")</f>
        <v/>
      </c>
      <c r="BD235" s="96" t="str">
        <f>IF(Z235=1,A235&amp;" | nº "&amp;IF(B235="","(sem número)",B235)&amp;" | "&amp;IF(G235="","(sem unidade)",G235),"")</f>
        <v/>
      </c>
      <c r="BE235" s="96" t="str">
        <f>IF(Z235=1,COUNTIF($Z$6:Z235,1),"")</f>
        <v/>
      </c>
      <c r="BF235" s="96" t="str">
        <f>IF(T235="","",IF(T235="RECEBIMENTO NÃO CONFIRMADO","Transp.: "&amp;H235&amp;" | Dest.: "&amp;I235,IF(OR(T235="CDF NÃO LOCALIZADO",T235="VÍNCULO INCOMPLETO",T235="CDF A CONFERIR"),"Dest.: "&amp;I235,"Gerador: "&amp;G235)))</f>
        <v/>
      </c>
    </row>
    <row r="236">
      <c r="A236" s="89" t="inlineStr">
        <is>
          <t>MTR-000231</t>
        </is>
      </c>
      <c r="B236" s="90" t="n"/>
      <c r="C236" s="91" t="n"/>
      <c r="D236" s="91" t="n"/>
      <c r="E236" s="92" t="n"/>
      <c r="F236" s="92" t="n"/>
      <c r="G236" s="91" t="n"/>
      <c r="H236" s="91" t="n"/>
      <c r="I236" s="91" t="n"/>
      <c r="J236" s="91" t="n"/>
      <c r="K236" s="91" t="n"/>
      <c r="L236" s="92" t="n"/>
      <c r="M236" s="91" t="n"/>
      <c r="N236" s="91" t="n"/>
      <c r="O236" s="91" t="n"/>
      <c r="P236" s="93" t="str">
        <f>IF(Z236=0,"",SUMIFS('ITENS_MTR'!$I$6:$I$1005,'ITENS_MTR'!$S$6:$S$1005,A236,'ITENS_MTR'!$Y$6:$Y$1005,1))</f>
        <v/>
      </c>
      <c r="Q236" s="93" t="str">
        <f>IF(Z236=0,"",SUMIFS('RECEBIMENTOS'!$H$6:$H$1005,'RECEBIMENTOS'!$B$6:$B$1005,A236,'RECEBIMENTOS'!$X$6:$X$1005,1))</f>
        <v/>
      </c>
      <c r="R236" s="93" t="str">
        <f>IF(Z236=0,"",SUMIFS('VÍNCULOS_CDF'!$H$6:$H$1005,'VÍNCULOS_CDF'!$D$6:$D$1005,A236,'VÍNCULOS_CDF'!$V$6:$V$1005,1))</f>
        <v/>
      </c>
      <c r="S236" s="94" t="str">
        <f>IF(Z236=0,"",IF(AA236=1,"Cancelado (informado)",IF(AE236=1,"Cadastro incompleto",IF(OR(AC236=1,AD236=1,AF236&gt;0,AH236&gt;0,AK236&gt;0,AL236&gt;0),"Informação a revisar",IF(AN236=0,"Aguardando recebimento",IF(N(R236)=0,"Aguardando CDF",IF(AJ236&lt;N(W236),"Vínculo de CDF parcial",IF(AO236=0,"CDF localizado, a conferir","Documentação conferida"))))))))</f>
        <v/>
      </c>
      <c r="T236" s="94" t="str">
        <f>IF(Z236=0,"",IF(S236="Cadastro incompleto","MTR INCOMPLETO",IF(S236="Informação a revisar",IF(AND(AH236&gt;0,AC236=0,AD236=0,AF236=0,AK236=0,AL236=0),"QUANTIDADE A REVISAR","IDENTIFICAÇÃO A REVISAR"),IF(S236="Aguardando recebimento","RECEBIMENTO NÃO CONFIRMADO",IF(S236="Aguardando CDF","CDF NÃO LOCALIZADO",IF(S236="Vínculo de CDF parcial","VÍNCULO INCOMPLETO",IF(S236="CDF localizado, a conferir","CDF A CONFERIR","")))))))</f>
        <v/>
      </c>
      <c r="U236" s="95" t="str">
        <f>IF(T236="","",IF(AQ236="","Não calculável",IF(AQ236&gt;TODAY(),"Data futura",TODAY()-AQ236)))</f>
        <v/>
      </c>
      <c r="V236" s="93" t="str">
        <f>IF(Z236=0,"",SUMIFS('RECEBIMENTOS'!$H$6:$H$1005,'RECEBIMENTOS'!$B$6:$B$1005,A236,'RECEBIMENTOS'!$Z$6:$Z$1005,1))</f>
        <v/>
      </c>
      <c r="W236" s="95" t="str">
        <f>IF(Z236=0,"",COUNTIFS('ITENS_MTR'!$S$6:$S$1005,A236,'ITENS_MTR'!$R$6:$R$1005,1))</f>
        <v/>
      </c>
      <c r="X236" s="94" t="str">
        <f>IF(AC236=1,"POSSÍVEL DUPLICIDADE","")</f>
        <v/>
      </c>
      <c r="Y236" s="94" t="str">
        <f>IF(Z236=0,"",IF(AW236="","Nenhuma",LEFT(AW236,LEN(AW236)-2)))</f>
        <v/>
      </c>
      <c r="Z236" s="96">
        <f>IF(COUNTA(B236:O236)&gt;0,1,0)</f>
        <v>0</v>
      </c>
      <c r="AA236" s="96">
        <f>IF(AND(Z236=1,K236&lt;&gt;""),IF(TRIM(K236)=TRIM(cfg_cancel),1,0),0)</f>
        <v>0</v>
      </c>
      <c r="AB236" s="96" t="str">
        <f>IF(AND(Z236=1,B236&lt;&gt;""),C236&amp;"|"&amp;D236&amp;"|"&amp;G236&amp;"|"&amp;TRIM(B236),"")</f>
        <v/>
      </c>
      <c r="AC236" s="96">
        <f>IF(AB236="",0,IF(SUMPRODUCT(--($AB$6:$AB$505=AB236))&gt;1,1,0))</f>
        <v>0</v>
      </c>
      <c r="AD236" s="96">
        <f>IF(Z236=0,0,IF(OR(AND(G236&lt;&gt;"",ISNA(MATCH(G236,'CAD_UNIDADES'!$C$6:$C$105,0))),AND(H236&lt;&gt;"",ISNA(MATCH(H236,cmp_transp,0))),AND(I236&lt;&gt;"",ISNA(MATCH(I236,cmp_dest,0))),AND(E236&lt;&gt;"",NOT(ISNUMBER(E236))),AND(F236&lt;&gt;"",NOT(ISNUMBER(F236))),AND(ISNUMBER(E236),ISNUMBER(F236),F236&lt;E236)),1,0))</f>
        <v>0</v>
      </c>
      <c r="AE236" s="96">
        <f>IF(Z236=0,0,IF(OR(B236="",C236="",E236="",G236="",H236="",I236="",N(W236)=0),1,0))</f>
        <v>0</v>
      </c>
      <c r="AF236" s="96">
        <f>IF(Z236=0,0,COUNTIFS('ITENS_MTR'!$S$6:$S$1005,A236,'ITENS_MTR'!$AI$6:$AI$1005,1))</f>
        <v>0</v>
      </c>
      <c r="AG236" s="96">
        <f>IF(Z236=0,0,COUNTIFS('ITENS_MTR'!$S$6:$S$1005,A236,'ITENS_MTR'!$AJ$6:$AJ$1005,1))</f>
        <v>0</v>
      </c>
      <c r="AH236" s="96">
        <f>IF(Z236=0,0,COUNTIFS('ITENS_MTR'!$S$6:$S$1005,A236,'ITENS_MTR'!$AM$6:$AM$1005,1))</f>
        <v>0</v>
      </c>
      <c r="AI236" s="96">
        <f>IF(Z236=0,0,COUNTIFS('ITENS_MTR'!$S$6:$S$1005,A236,'ITENS_MTR'!$AO$6:$AO$1005,1))</f>
        <v>0</v>
      </c>
      <c r="AJ236" s="96">
        <f>IF(Z236=0,0,COUNTIFS('ITENS_MTR'!$S$6:$S$1005,A236,'ITENS_MTR'!$AN$6:$AN$1005,1))</f>
        <v>0</v>
      </c>
      <c r="AK236" s="96">
        <f>IF(Z236=0,0,COUNTIFS('RECEBIMENTOS'!$B$6:$B$1005,A236,'RECEBIMENTOS'!$Y$6:$Y$1005,1))</f>
        <v>0</v>
      </c>
      <c r="AL236" s="96">
        <f>IF(Z236=0,0,COUNTIFS('VÍNCULOS_CDF'!$D$6:$D$1005,A236,'VÍNCULOS_CDF'!$Y$6:$Y$1005,1))</f>
        <v>0</v>
      </c>
      <c r="AM236" s="96">
        <f>IF(Z236=0,0,COUNTIFS('RECEBIMENTOS'!$B$6:$B$1005,A236,'RECEBIMENTOS'!$Q$6:$Q$1005,1))</f>
        <v>0</v>
      </c>
      <c r="AN236" s="96">
        <f>IF(AND(Z236=1,N(W236)&gt;0,AG236=N(W236)),1,0)</f>
        <v>0</v>
      </c>
      <c r="AO236" s="96">
        <f>IF(AND(Z236=1,N(W236)&gt;0,AI236=N(W236)),1,0)</f>
        <v>0</v>
      </c>
      <c r="AP236" s="97">
        <f>IF(Z236=0,0,_xlfn.MAXIFS('RECEBIMENTOS'!$E$6:$E$1005,'RECEBIMENTOS'!$B$6:$B$1005,A236))</f>
        <v>0</v>
      </c>
      <c r="AQ236" s="97" t="str">
        <f>IF(T236="","",IF(T236="RECEBIMENTO NÃO CONFIRMADO",IF(ISNUMBER(F236),F236,IF(ISNUMBER(E236),E236,"")),IF(OR(T236="CDF NÃO LOCALIZADO",T236="VÍNCULO INCOMPLETO",T236="CDF A CONFERIR"),IF(AP236&gt;0,AP236,IF(ISNUMBER(E236),E236,"")),IF(ISNUMBER(E236),E236,""))))</f>
        <v/>
      </c>
      <c r="AR236" s="96">
        <f>IF(NOT(ISNUMBER(U236)),0,IF(T236="RECEBIMENTO NÃO CONFIRMADO",IF(AND(ISNUMBER(cfg_rec),U236&gt;cfg_rec),1,0),IF(OR(T236="CDF NÃO LOCALIZADO",T236="VÍNCULO INCOMPLETO",T236="CDF A CONFERIR"),IF(AND(ISNUMBER(cfg_cdf),U236&gt;cfg_cdf),1,0),0)))</f>
        <v>0</v>
      </c>
      <c r="AS236" s="96" t="str">
        <f>IF(T236="","",IF(AR236=1,"Alta",IFERROR(INDEX(cfg_pp,MATCH(T236,cfg_pt,0))&amp;"","Média")))</f>
        <v/>
      </c>
      <c r="AT236" s="96" t="str">
        <f>IF(T236="","",IFERROR(INDEX(cfg_pv,MATCH(T236,cfg_pt,0))&amp;"",""))</f>
        <v/>
      </c>
      <c r="AU236" s="96" t="str">
        <f>IF(T236="","",IF(AS236="Alta",1,IF(AS236="Média",2,3))*1000000000+(999999-IF(ISNUMBER(U236),MIN(U236,999999),0))*1000+231)</f>
        <v/>
      </c>
      <c r="AV236" s="96">
        <f>IF(T236&lt;&gt;"",1,0)</f>
        <v>0</v>
      </c>
      <c r="AW236" s="96" t="str">
        <f>IF(Z236=0,"",IF(AA236=1,"Cancelamento informado; ","")&amp;IF(AE236=1,"Campos essenciais ou itens faltando; ","")&amp;IF(AC236=1,"Possível duplicidade do número; ","")&amp;IF(AD236=1,"Cadastro ou datas a revisar; ","")&amp;IF(AF236&gt;0,"Item de resíduo com dado a revisar; ","")&amp;IF(AH236&gt;0,"Diferença de quantidade a analisar; ","")&amp;IF(AK236&gt;0,"Recebimento com alerta; ","")&amp;IF(AL236&gt;0,"Vínculo de CDF com alerta; ","")&amp;IF(AND(AA236=0,AN236=0),"Recebimento não confirmado; ","")&amp;IF(AND(AA236=0,AN236=1,AO236=0),"CDF pendente ou a conferir; ",""))</f>
        <v/>
      </c>
      <c r="AX236" s="96">
        <f>IF(Z236=0,0,IF(AND(OR(f_ini="",AND(ISNUMBER(E236),E236&gt;=f_ini)),OR(f_fim="",AND(ISNUMBER(E236),E236&lt;=f_fim)),OR(f_un="",f_un="(Todas)",G236=f_un),OR(f_tr="",f_tr="(Todos)",H236=f_tr),OR(f_de="",f_de="(Todos)",I236=f_de),OR(f_sit="",f_sit="(Todas)",S236=f_sit)),1,0))</f>
        <v>0</v>
      </c>
      <c r="AY236" s="96">
        <f>IF(AX236=0,0,IF(OR(f_res="",f_res="(Todos)"),1,IF(COUNTIFS('ITENS_MTR'!$S$6:$S$1005,A236,'ITENS_MTR'!$C$6:$C$1005,f_res)&gt;0,1,0)))</f>
        <v>0</v>
      </c>
      <c r="AZ236" s="97" t="str">
        <f>IF(ISNUMBER(E236),DATE(YEAR(E236),MONTH(E236),1),"")</f>
        <v/>
      </c>
      <c r="BA236" s="96">
        <f>IF(Z236=0,0,IF(AND(OR(r_ini="",AND(ISNUMBER(E236),E236&gt;=r_ini)),OR(r_fim="",AND(ISNUMBER(E236),E236&lt;=r_fim)),OR(r_un="",r_un="(Todas)",G236=r_un),OR(r_de="",r_de="(Todos)",I236=r_de)),1,0))</f>
        <v>0</v>
      </c>
      <c r="BB236" s="96" t="str">
        <f>IF(BA236=1,COUNTIF($BA$6:BA236,1),"")</f>
        <v/>
      </c>
      <c r="BC236" s="96" t="str">
        <f>IF(AND(AU236&lt;&gt;"",OR(r_un="",r_un="(Todas)",G236=r_un),OR(r_de="",r_de="(Todos)",I236=r_de)),AU236,"")</f>
        <v/>
      </c>
      <c r="BD236" s="96" t="str">
        <f>IF(Z236=1,A236&amp;" | nº "&amp;IF(B236="","(sem número)",B236)&amp;" | "&amp;IF(G236="","(sem unidade)",G236),"")</f>
        <v/>
      </c>
      <c r="BE236" s="96" t="str">
        <f>IF(Z236=1,COUNTIF($Z$6:Z236,1),"")</f>
        <v/>
      </c>
      <c r="BF236" s="96" t="str">
        <f>IF(T236="","",IF(T236="RECEBIMENTO NÃO CONFIRMADO","Transp.: "&amp;H236&amp;" | Dest.: "&amp;I236,IF(OR(T236="CDF NÃO LOCALIZADO",T236="VÍNCULO INCOMPLETO",T236="CDF A CONFERIR"),"Dest.: "&amp;I236,"Gerador: "&amp;G236)))</f>
        <v/>
      </c>
    </row>
    <row r="237">
      <c r="A237" s="89" t="inlineStr">
        <is>
          <t>MTR-000232</t>
        </is>
      </c>
      <c r="B237" s="90" t="n"/>
      <c r="C237" s="91" t="n"/>
      <c r="D237" s="91" t="n"/>
      <c r="E237" s="92" t="n"/>
      <c r="F237" s="92" t="n"/>
      <c r="G237" s="91" t="n"/>
      <c r="H237" s="91" t="n"/>
      <c r="I237" s="91" t="n"/>
      <c r="J237" s="91" t="n"/>
      <c r="K237" s="91" t="n"/>
      <c r="L237" s="92" t="n"/>
      <c r="M237" s="91" t="n"/>
      <c r="N237" s="91" t="n"/>
      <c r="O237" s="91" t="n"/>
      <c r="P237" s="93" t="str">
        <f>IF(Z237=0,"",SUMIFS('ITENS_MTR'!$I$6:$I$1005,'ITENS_MTR'!$S$6:$S$1005,A237,'ITENS_MTR'!$Y$6:$Y$1005,1))</f>
        <v/>
      </c>
      <c r="Q237" s="93" t="str">
        <f>IF(Z237=0,"",SUMIFS('RECEBIMENTOS'!$H$6:$H$1005,'RECEBIMENTOS'!$B$6:$B$1005,A237,'RECEBIMENTOS'!$X$6:$X$1005,1))</f>
        <v/>
      </c>
      <c r="R237" s="93" t="str">
        <f>IF(Z237=0,"",SUMIFS('VÍNCULOS_CDF'!$H$6:$H$1005,'VÍNCULOS_CDF'!$D$6:$D$1005,A237,'VÍNCULOS_CDF'!$V$6:$V$1005,1))</f>
        <v/>
      </c>
      <c r="S237" s="94" t="str">
        <f>IF(Z237=0,"",IF(AA237=1,"Cancelado (informado)",IF(AE237=1,"Cadastro incompleto",IF(OR(AC237=1,AD237=1,AF237&gt;0,AH237&gt;0,AK237&gt;0,AL237&gt;0),"Informação a revisar",IF(AN237=0,"Aguardando recebimento",IF(N(R237)=0,"Aguardando CDF",IF(AJ237&lt;N(W237),"Vínculo de CDF parcial",IF(AO237=0,"CDF localizado, a conferir","Documentação conferida"))))))))</f>
        <v/>
      </c>
      <c r="T237" s="94" t="str">
        <f>IF(Z237=0,"",IF(S237="Cadastro incompleto","MTR INCOMPLETO",IF(S237="Informação a revisar",IF(AND(AH237&gt;0,AC237=0,AD237=0,AF237=0,AK237=0,AL237=0),"QUANTIDADE A REVISAR","IDENTIFICAÇÃO A REVISAR"),IF(S237="Aguardando recebimento","RECEBIMENTO NÃO CONFIRMADO",IF(S237="Aguardando CDF","CDF NÃO LOCALIZADO",IF(S237="Vínculo de CDF parcial","VÍNCULO INCOMPLETO",IF(S237="CDF localizado, a conferir","CDF A CONFERIR","")))))))</f>
        <v/>
      </c>
      <c r="U237" s="95" t="str">
        <f>IF(T237="","",IF(AQ237="","Não calculável",IF(AQ237&gt;TODAY(),"Data futura",TODAY()-AQ237)))</f>
        <v/>
      </c>
      <c r="V237" s="93" t="str">
        <f>IF(Z237=0,"",SUMIFS('RECEBIMENTOS'!$H$6:$H$1005,'RECEBIMENTOS'!$B$6:$B$1005,A237,'RECEBIMENTOS'!$Z$6:$Z$1005,1))</f>
        <v/>
      </c>
      <c r="W237" s="95" t="str">
        <f>IF(Z237=0,"",COUNTIFS('ITENS_MTR'!$S$6:$S$1005,A237,'ITENS_MTR'!$R$6:$R$1005,1))</f>
        <v/>
      </c>
      <c r="X237" s="94" t="str">
        <f>IF(AC237=1,"POSSÍVEL DUPLICIDADE","")</f>
        <v/>
      </c>
      <c r="Y237" s="94" t="str">
        <f>IF(Z237=0,"",IF(AW237="","Nenhuma",LEFT(AW237,LEN(AW237)-2)))</f>
        <v/>
      </c>
      <c r="Z237" s="96">
        <f>IF(COUNTA(B237:O237)&gt;0,1,0)</f>
        <v>0</v>
      </c>
      <c r="AA237" s="96">
        <f>IF(AND(Z237=1,K237&lt;&gt;""),IF(TRIM(K237)=TRIM(cfg_cancel),1,0),0)</f>
        <v>0</v>
      </c>
      <c r="AB237" s="96" t="str">
        <f>IF(AND(Z237=1,B237&lt;&gt;""),C237&amp;"|"&amp;D237&amp;"|"&amp;G237&amp;"|"&amp;TRIM(B237),"")</f>
        <v/>
      </c>
      <c r="AC237" s="96">
        <f>IF(AB237="",0,IF(SUMPRODUCT(--($AB$6:$AB$505=AB237))&gt;1,1,0))</f>
        <v>0</v>
      </c>
      <c r="AD237" s="96">
        <f>IF(Z237=0,0,IF(OR(AND(G237&lt;&gt;"",ISNA(MATCH(G237,'CAD_UNIDADES'!$C$6:$C$105,0))),AND(H237&lt;&gt;"",ISNA(MATCH(H237,cmp_transp,0))),AND(I237&lt;&gt;"",ISNA(MATCH(I237,cmp_dest,0))),AND(E237&lt;&gt;"",NOT(ISNUMBER(E237))),AND(F237&lt;&gt;"",NOT(ISNUMBER(F237))),AND(ISNUMBER(E237),ISNUMBER(F237),F237&lt;E237)),1,0))</f>
        <v>0</v>
      </c>
      <c r="AE237" s="96">
        <f>IF(Z237=0,0,IF(OR(B237="",C237="",E237="",G237="",H237="",I237="",N(W237)=0),1,0))</f>
        <v>0</v>
      </c>
      <c r="AF237" s="96">
        <f>IF(Z237=0,0,COUNTIFS('ITENS_MTR'!$S$6:$S$1005,A237,'ITENS_MTR'!$AI$6:$AI$1005,1))</f>
        <v>0</v>
      </c>
      <c r="AG237" s="96">
        <f>IF(Z237=0,0,COUNTIFS('ITENS_MTR'!$S$6:$S$1005,A237,'ITENS_MTR'!$AJ$6:$AJ$1005,1))</f>
        <v>0</v>
      </c>
      <c r="AH237" s="96">
        <f>IF(Z237=0,0,COUNTIFS('ITENS_MTR'!$S$6:$S$1005,A237,'ITENS_MTR'!$AM$6:$AM$1005,1))</f>
        <v>0</v>
      </c>
      <c r="AI237" s="96">
        <f>IF(Z237=0,0,COUNTIFS('ITENS_MTR'!$S$6:$S$1005,A237,'ITENS_MTR'!$AO$6:$AO$1005,1))</f>
        <v>0</v>
      </c>
      <c r="AJ237" s="96">
        <f>IF(Z237=0,0,COUNTIFS('ITENS_MTR'!$S$6:$S$1005,A237,'ITENS_MTR'!$AN$6:$AN$1005,1))</f>
        <v>0</v>
      </c>
      <c r="AK237" s="96">
        <f>IF(Z237=0,0,COUNTIFS('RECEBIMENTOS'!$B$6:$B$1005,A237,'RECEBIMENTOS'!$Y$6:$Y$1005,1))</f>
        <v>0</v>
      </c>
      <c r="AL237" s="96">
        <f>IF(Z237=0,0,COUNTIFS('VÍNCULOS_CDF'!$D$6:$D$1005,A237,'VÍNCULOS_CDF'!$Y$6:$Y$1005,1))</f>
        <v>0</v>
      </c>
      <c r="AM237" s="96">
        <f>IF(Z237=0,0,COUNTIFS('RECEBIMENTOS'!$B$6:$B$1005,A237,'RECEBIMENTOS'!$Q$6:$Q$1005,1))</f>
        <v>0</v>
      </c>
      <c r="AN237" s="96">
        <f>IF(AND(Z237=1,N(W237)&gt;0,AG237=N(W237)),1,0)</f>
        <v>0</v>
      </c>
      <c r="AO237" s="96">
        <f>IF(AND(Z237=1,N(W237)&gt;0,AI237=N(W237)),1,0)</f>
        <v>0</v>
      </c>
      <c r="AP237" s="97">
        <f>IF(Z237=0,0,_xlfn.MAXIFS('RECEBIMENTOS'!$E$6:$E$1005,'RECEBIMENTOS'!$B$6:$B$1005,A237))</f>
        <v>0</v>
      </c>
      <c r="AQ237" s="97" t="str">
        <f>IF(T237="","",IF(T237="RECEBIMENTO NÃO CONFIRMADO",IF(ISNUMBER(F237),F237,IF(ISNUMBER(E237),E237,"")),IF(OR(T237="CDF NÃO LOCALIZADO",T237="VÍNCULO INCOMPLETO",T237="CDF A CONFERIR"),IF(AP237&gt;0,AP237,IF(ISNUMBER(E237),E237,"")),IF(ISNUMBER(E237),E237,""))))</f>
        <v/>
      </c>
      <c r="AR237" s="96">
        <f>IF(NOT(ISNUMBER(U237)),0,IF(T237="RECEBIMENTO NÃO CONFIRMADO",IF(AND(ISNUMBER(cfg_rec),U237&gt;cfg_rec),1,0),IF(OR(T237="CDF NÃO LOCALIZADO",T237="VÍNCULO INCOMPLETO",T237="CDF A CONFERIR"),IF(AND(ISNUMBER(cfg_cdf),U237&gt;cfg_cdf),1,0),0)))</f>
        <v>0</v>
      </c>
      <c r="AS237" s="96" t="str">
        <f>IF(T237="","",IF(AR237=1,"Alta",IFERROR(INDEX(cfg_pp,MATCH(T237,cfg_pt,0))&amp;"","Média")))</f>
        <v/>
      </c>
      <c r="AT237" s="96" t="str">
        <f>IF(T237="","",IFERROR(INDEX(cfg_pv,MATCH(T237,cfg_pt,0))&amp;"",""))</f>
        <v/>
      </c>
      <c r="AU237" s="96" t="str">
        <f>IF(T237="","",IF(AS237="Alta",1,IF(AS237="Média",2,3))*1000000000+(999999-IF(ISNUMBER(U237),MIN(U237,999999),0))*1000+232)</f>
        <v/>
      </c>
      <c r="AV237" s="96">
        <f>IF(T237&lt;&gt;"",1,0)</f>
        <v>0</v>
      </c>
      <c r="AW237" s="96" t="str">
        <f>IF(Z237=0,"",IF(AA237=1,"Cancelamento informado; ","")&amp;IF(AE237=1,"Campos essenciais ou itens faltando; ","")&amp;IF(AC237=1,"Possível duplicidade do número; ","")&amp;IF(AD237=1,"Cadastro ou datas a revisar; ","")&amp;IF(AF237&gt;0,"Item de resíduo com dado a revisar; ","")&amp;IF(AH237&gt;0,"Diferença de quantidade a analisar; ","")&amp;IF(AK237&gt;0,"Recebimento com alerta; ","")&amp;IF(AL237&gt;0,"Vínculo de CDF com alerta; ","")&amp;IF(AND(AA237=0,AN237=0),"Recebimento não confirmado; ","")&amp;IF(AND(AA237=0,AN237=1,AO237=0),"CDF pendente ou a conferir; ",""))</f>
        <v/>
      </c>
      <c r="AX237" s="96">
        <f>IF(Z237=0,0,IF(AND(OR(f_ini="",AND(ISNUMBER(E237),E237&gt;=f_ini)),OR(f_fim="",AND(ISNUMBER(E237),E237&lt;=f_fim)),OR(f_un="",f_un="(Todas)",G237=f_un),OR(f_tr="",f_tr="(Todos)",H237=f_tr),OR(f_de="",f_de="(Todos)",I237=f_de),OR(f_sit="",f_sit="(Todas)",S237=f_sit)),1,0))</f>
        <v>0</v>
      </c>
      <c r="AY237" s="96">
        <f>IF(AX237=0,0,IF(OR(f_res="",f_res="(Todos)"),1,IF(COUNTIFS('ITENS_MTR'!$S$6:$S$1005,A237,'ITENS_MTR'!$C$6:$C$1005,f_res)&gt;0,1,0)))</f>
        <v>0</v>
      </c>
      <c r="AZ237" s="97" t="str">
        <f>IF(ISNUMBER(E237),DATE(YEAR(E237),MONTH(E237),1),"")</f>
        <v/>
      </c>
      <c r="BA237" s="96">
        <f>IF(Z237=0,0,IF(AND(OR(r_ini="",AND(ISNUMBER(E237),E237&gt;=r_ini)),OR(r_fim="",AND(ISNUMBER(E237),E237&lt;=r_fim)),OR(r_un="",r_un="(Todas)",G237=r_un),OR(r_de="",r_de="(Todos)",I237=r_de)),1,0))</f>
        <v>0</v>
      </c>
      <c r="BB237" s="96" t="str">
        <f>IF(BA237=1,COUNTIF($BA$6:BA237,1),"")</f>
        <v/>
      </c>
      <c r="BC237" s="96" t="str">
        <f>IF(AND(AU237&lt;&gt;"",OR(r_un="",r_un="(Todas)",G237=r_un),OR(r_de="",r_de="(Todos)",I237=r_de)),AU237,"")</f>
        <v/>
      </c>
      <c r="BD237" s="96" t="str">
        <f>IF(Z237=1,A237&amp;" | nº "&amp;IF(B237="","(sem número)",B237)&amp;" | "&amp;IF(G237="","(sem unidade)",G237),"")</f>
        <v/>
      </c>
      <c r="BE237" s="96" t="str">
        <f>IF(Z237=1,COUNTIF($Z$6:Z237,1),"")</f>
        <v/>
      </c>
      <c r="BF237" s="96" t="str">
        <f>IF(T237="","",IF(T237="RECEBIMENTO NÃO CONFIRMADO","Transp.: "&amp;H237&amp;" | Dest.: "&amp;I237,IF(OR(T237="CDF NÃO LOCALIZADO",T237="VÍNCULO INCOMPLETO",T237="CDF A CONFERIR"),"Dest.: "&amp;I237,"Gerador: "&amp;G237)))</f>
        <v/>
      </c>
    </row>
    <row r="238">
      <c r="A238" s="89" t="inlineStr">
        <is>
          <t>MTR-000233</t>
        </is>
      </c>
      <c r="B238" s="90" t="n"/>
      <c r="C238" s="91" t="n"/>
      <c r="D238" s="91" t="n"/>
      <c r="E238" s="92" t="n"/>
      <c r="F238" s="92" t="n"/>
      <c r="G238" s="91" t="n"/>
      <c r="H238" s="91" t="n"/>
      <c r="I238" s="91" t="n"/>
      <c r="J238" s="91" t="n"/>
      <c r="K238" s="91" t="n"/>
      <c r="L238" s="92" t="n"/>
      <c r="M238" s="91" t="n"/>
      <c r="N238" s="91" t="n"/>
      <c r="O238" s="91" t="n"/>
      <c r="P238" s="93" t="str">
        <f>IF(Z238=0,"",SUMIFS('ITENS_MTR'!$I$6:$I$1005,'ITENS_MTR'!$S$6:$S$1005,A238,'ITENS_MTR'!$Y$6:$Y$1005,1))</f>
        <v/>
      </c>
      <c r="Q238" s="93" t="str">
        <f>IF(Z238=0,"",SUMIFS('RECEBIMENTOS'!$H$6:$H$1005,'RECEBIMENTOS'!$B$6:$B$1005,A238,'RECEBIMENTOS'!$X$6:$X$1005,1))</f>
        <v/>
      </c>
      <c r="R238" s="93" t="str">
        <f>IF(Z238=0,"",SUMIFS('VÍNCULOS_CDF'!$H$6:$H$1005,'VÍNCULOS_CDF'!$D$6:$D$1005,A238,'VÍNCULOS_CDF'!$V$6:$V$1005,1))</f>
        <v/>
      </c>
      <c r="S238" s="94" t="str">
        <f>IF(Z238=0,"",IF(AA238=1,"Cancelado (informado)",IF(AE238=1,"Cadastro incompleto",IF(OR(AC238=1,AD238=1,AF238&gt;0,AH238&gt;0,AK238&gt;0,AL238&gt;0),"Informação a revisar",IF(AN238=0,"Aguardando recebimento",IF(N(R238)=0,"Aguardando CDF",IF(AJ238&lt;N(W238),"Vínculo de CDF parcial",IF(AO238=0,"CDF localizado, a conferir","Documentação conferida"))))))))</f>
        <v/>
      </c>
      <c r="T238" s="94" t="str">
        <f>IF(Z238=0,"",IF(S238="Cadastro incompleto","MTR INCOMPLETO",IF(S238="Informação a revisar",IF(AND(AH238&gt;0,AC238=0,AD238=0,AF238=0,AK238=0,AL238=0),"QUANTIDADE A REVISAR","IDENTIFICAÇÃO A REVISAR"),IF(S238="Aguardando recebimento","RECEBIMENTO NÃO CONFIRMADO",IF(S238="Aguardando CDF","CDF NÃO LOCALIZADO",IF(S238="Vínculo de CDF parcial","VÍNCULO INCOMPLETO",IF(S238="CDF localizado, a conferir","CDF A CONFERIR","")))))))</f>
        <v/>
      </c>
      <c r="U238" s="95" t="str">
        <f>IF(T238="","",IF(AQ238="","Não calculável",IF(AQ238&gt;TODAY(),"Data futura",TODAY()-AQ238)))</f>
        <v/>
      </c>
      <c r="V238" s="93" t="str">
        <f>IF(Z238=0,"",SUMIFS('RECEBIMENTOS'!$H$6:$H$1005,'RECEBIMENTOS'!$B$6:$B$1005,A238,'RECEBIMENTOS'!$Z$6:$Z$1005,1))</f>
        <v/>
      </c>
      <c r="W238" s="95" t="str">
        <f>IF(Z238=0,"",COUNTIFS('ITENS_MTR'!$S$6:$S$1005,A238,'ITENS_MTR'!$R$6:$R$1005,1))</f>
        <v/>
      </c>
      <c r="X238" s="94" t="str">
        <f>IF(AC238=1,"POSSÍVEL DUPLICIDADE","")</f>
        <v/>
      </c>
      <c r="Y238" s="94" t="str">
        <f>IF(Z238=0,"",IF(AW238="","Nenhuma",LEFT(AW238,LEN(AW238)-2)))</f>
        <v/>
      </c>
      <c r="Z238" s="96">
        <f>IF(COUNTA(B238:O238)&gt;0,1,0)</f>
        <v>0</v>
      </c>
      <c r="AA238" s="96">
        <f>IF(AND(Z238=1,K238&lt;&gt;""),IF(TRIM(K238)=TRIM(cfg_cancel),1,0),0)</f>
        <v>0</v>
      </c>
      <c r="AB238" s="96" t="str">
        <f>IF(AND(Z238=1,B238&lt;&gt;""),C238&amp;"|"&amp;D238&amp;"|"&amp;G238&amp;"|"&amp;TRIM(B238),"")</f>
        <v/>
      </c>
      <c r="AC238" s="96">
        <f>IF(AB238="",0,IF(SUMPRODUCT(--($AB$6:$AB$505=AB238))&gt;1,1,0))</f>
        <v>0</v>
      </c>
      <c r="AD238" s="96">
        <f>IF(Z238=0,0,IF(OR(AND(G238&lt;&gt;"",ISNA(MATCH(G238,'CAD_UNIDADES'!$C$6:$C$105,0))),AND(H238&lt;&gt;"",ISNA(MATCH(H238,cmp_transp,0))),AND(I238&lt;&gt;"",ISNA(MATCH(I238,cmp_dest,0))),AND(E238&lt;&gt;"",NOT(ISNUMBER(E238))),AND(F238&lt;&gt;"",NOT(ISNUMBER(F238))),AND(ISNUMBER(E238),ISNUMBER(F238),F238&lt;E238)),1,0))</f>
        <v>0</v>
      </c>
      <c r="AE238" s="96">
        <f>IF(Z238=0,0,IF(OR(B238="",C238="",E238="",G238="",H238="",I238="",N(W238)=0),1,0))</f>
        <v>0</v>
      </c>
      <c r="AF238" s="96">
        <f>IF(Z238=0,0,COUNTIFS('ITENS_MTR'!$S$6:$S$1005,A238,'ITENS_MTR'!$AI$6:$AI$1005,1))</f>
        <v>0</v>
      </c>
      <c r="AG238" s="96">
        <f>IF(Z238=0,0,COUNTIFS('ITENS_MTR'!$S$6:$S$1005,A238,'ITENS_MTR'!$AJ$6:$AJ$1005,1))</f>
        <v>0</v>
      </c>
      <c r="AH238" s="96">
        <f>IF(Z238=0,0,COUNTIFS('ITENS_MTR'!$S$6:$S$1005,A238,'ITENS_MTR'!$AM$6:$AM$1005,1))</f>
        <v>0</v>
      </c>
      <c r="AI238" s="96">
        <f>IF(Z238=0,0,COUNTIFS('ITENS_MTR'!$S$6:$S$1005,A238,'ITENS_MTR'!$AO$6:$AO$1005,1))</f>
        <v>0</v>
      </c>
      <c r="AJ238" s="96">
        <f>IF(Z238=0,0,COUNTIFS('ITENS_MTR'!$S$6:$S$1005,A238,'ITENS_MTR'!$AN$6:$AN$1005,1))</f>
        <v>0</v>
      </c>
      <c r="AK238" s="96">
        <f>IF(Z238=0,0,COUNTIFS('RECEBIMENTOS'!$B$6:$B$1005,A238,'RECEBIMENTOS'!$Y$6:$Y$1005,1))</f>
        <v>0</v>
      </c>
      <c r="AL238" s="96">
        <f>IF(Z238=0,0,COUNTIFS('VÍNCULOS_CDF'!$D$6:$D$1005,A238,'VÍNCULOS_CDF'!$Y$6:$Y$1005,1))</f>
        <v>0</v>
      </c>
      <c r="AM238" s="96">
        <f>IF(Z238=0,0,COUNTIFS('RECEBIMENTOS'!$B$6:$B$1005,A238,'RECEBIMENTOS'!$Q$6:$Q$1005,1))</f>
        <v>0</v>
      </c>
      <c r="AN238" s="96">
        <f>IF(AND(Z238=1,N(W238)&gt;0,AG238=N(W238)),1,0)</f>
        <v>0</v>
      </c>
      <c r="AO238" s="96">
        <f>IF(AND(Z238=1,N(W238)&gt;0,AI238=N(W238)),1,0)</f>
        <v>0</v>
      </c>
      <c r="AP238" s="97">
        <f>IF(Z238=0,0,_xlfn.MAXIFS('RECEBIMENTOS'!$E$6:$E$1005,'RECEBIMENTOS'!$B$6:$B$1005,A238))</f>
        <v>0</v>
      </c>
      <c r="AQ238" s="97" t="str">
        <f>IF(T238="","",IF(T238="RECEBIMENTO NÃO CONFIRMADO",IF(ISNUMBER(F238),F238,IF(ISNUMBER(E238),E238,"")),IF(OR(T238="CDF NÃO LOCALIZADO",T238="VÍNCULO INCOMPLETO",T238="CDF A CONFERIR"),IF(AP238&gt;0,AP238,IF(ISNUMBER(E238),E238,"")),IF(ISNUMBER(E238),E238,""))))</f>
        <v/>
      </c>
      <c r="AR238" s="96">
        <f>IF(NOT(ISNUMBER(U238)),0,IF(T238="RECEBIMENTO NÃO CONFIRMADO",IF(AND(ISNUMBER(cfg_rec),U238&gt;cfg_rec),1,0),IF(OR(T238="CDF NÃO LOCALIZADO",T238="VÍNCULO INCOMPLETO",T238="CDF A CONFERIR"),IF(AND(ISNUMBER(cfg_cdf),U238&gt;cfg_cdf),1,0),0)))</f>
        <v>0</v>
      </c>
      <c r="AS238" s="96" t="str">
        <f>IF(T238="","",IF(AR238=1,"Alta",IFERROR(INDEX(cfg_pp,MATCH(T238,cfg_pt,0))&amp;"","Média")))</f>
        <v/>
      </c>
      <c r="AT238" s="96" t="str">
        <f>IF(T238="","",IFERROR(INDEX(cfg_pv,MATCH(T238,cfg_pt,0))&amp;"",""))</f>
        <v/>
      </c>
      <c r="AU238" s="96" t="str">
        <f>IF(T238="","",IF(AS238="Alta",1,IF(AS238="Média",2,3))*1000000000+(999999-IF(ISNUMBER(U238),MIN(U238,999999),0))*1000+233)</f>
        <v/>
      </c>
      <c r="AV238" s="96">
        <f>IF(T238&lt;&gt;"",1,0)</f>
        <v>0</v>
      </c>
      <c r="AW238" s="96" t="str">
        <f>IF(Z238=0,"",IF(AA238=1,"Cancelamento informado; ","")&amp;IF(AE238=1,"Campos essenciais ou itens faltando; ","")&amp;IF(AC238=1,"Possível duplicidade do número; ","")&amp;IF(AD238=1,"Cadastro ou datas a revisar; ","")&amp;IF(AF238&gt;0,"Item de resíduo com dado a revisar; ","")&amp;IF(AH238&gt;0,"Diferença de quantidade a analisar; ","")&amp;IF(AK238&gt;0,"Recebimento com alerta; ","")&amp;IF(AL238&gt;0,"Vínculo de CDF com alerta; ","")&amp;IF(AND(AA238=0,AN238=0),"Recebimento não confirmado; ","")&amp;IF(AND(AA238=0,AN238=1,AO238=0),"CDF pendente ou a conferir; ",""))</f>
        <v/>
      </c>
      <c r="AX238" s="96">
        <f>IF(Z238=0,0,IF(AND(OR(f_ini="",AND(ISNUMBER(E238),E238&gt;=f_ini)),OR(f_fim="",AND(ISNUMBER(E238),E238&lt;=f_fim)),OR(f_un="",f_un="(Todas)",G238=f_un),OR(f_tr="",f_tr="(Todos)",H238=f_tr),OR(f_de="",f_de="(Todos)",I238=f_de),OR(f_sit="",f_sit="(Todas)",S238=f_sit)),1,0))</f>
        <v>0</v>
      </c>
      <c r="AY238" s="96">
        <f>IF(AX238=0,0,IF(OR(f_res="",f_res="(Todos)"),1,IF(COUNTIFS('ITENS_MTR'!$S$6:$S$1005,A238,'ITENS_MTR'!$C$6:$C$1005,f_res)&gt;0,1,0)))</f>
        <v>0</v>
      </c>
      <c r="AZ238" s="97" t="str">
        <f>IF(ISNUMBER(E238),DATE(YEAR(E238),MONTH(E238),1),"")</f>
        <v/>
      </c>
      <c r="BA238" s="96">
        <f>IF(Z238=0,0,IF(AND(OR(r_ini="",AND(ISNUMBER(E238),E238&gt;=r_ini)),OR(r_fim="",AND(ISNUMBER(E238),E238&lt;=r_fim)),OR(r_un="",r_un="(Todas)",G238=r_un),OR(r_de="",r_de="(Todos)",I238=r_de)),1,0))</f>
        <v>0</v>
      </c>
      <c r="BB238" s="96" t="str">
        <f>IF(BA238=1,COUNTIF($BA$6:BA238,1),"")</f>
        <v/>
      </c>
      <c r="BC238" s="96" t="str">
        <f>IF(AND(AU238&lt;&gt;"",OR(r_un="",r_un="(Todas)",G238=r_un),OR(r_de="",r_de="(Todos)",I238=r_de)),AU238,"")</f>
        <v/>
      </c>
      <c r="BD238" s="96" t="str">
        <f>IF(Z238=1,A238&amp;" | nº "&amp;IF(B238="","(sem número)",B238)&amp;" | "&amp;IF(G238="","(sem unidade)",G238),"")</f>
        <v/>
      </c>
      <c r="BE238" s="96" t="str">
        <f>IF(Z238=1,COUNTIF($Z$6:Z238,1),"")</f>
        <v/>
      </c>
      <c r="BF238" s="96" t="str">
        <f>IF(T238="","",IF(T238="RECEBIMENTO NÃO CONFIRMADO","Transp.: "&amp;H238&amp;" | Dest.: "&amp;I238,IF(OR(T238="CDF NÃO LOCALIZADO",T238="VÍNCULO INCOMPLETO",T238="CDF A CONFERIR"),"Dest.: "&amp;I238,"Gerador: "&amp;G238)))</f>
        <v/>
      </c>
    </row>
    <row r="239">
      <c r="A239" s="89" t="inlineStr">
        <is>
          <t>MTR-000234</t>
        </is>
      </c>
      <c r="B239" s="90" t="n"/>
      <c r="C239" s="91" t="n"/>
      <c r="D239" s="91" t="n"/>
      <c r="E239" s="92" t="n"/>
      <c r="F239" s="92" t="n"/>
      <c r="G239" s="91" t="n"/>
      <c r="H239" s="91" t="n"/>
      <c r="I239" s="91" t="n"/>
      <c r="J239" s="91" t="n"/>
      <c r="K239" s="91" t="n"/>
      <c r="L239" s="92" t="n"/>
      <c r="M239" s="91" t="n"/>
      <c r="N239" s="91" t="n"/>
      <c r="O239" s="91" t="n"/>
      <c r="P239" s="93" t="str">
        <f>IF(Z239=0,"",SUMIFS('ITENS_MTR'!$I$6:$I$1005,'ITENS_MTR'!$S$6:$S$1005,A239,'ITENS_MTR'!$Y$6:$Y$1005,1))</f>
        <v/>
      </c>
      <c r="Q239" s="93" t="str">
        <f>IF(Z239=0,"",SUMIFS('RECEBIMENTOS'!$H$6:$H$1005,'RECEBIMENTOS'!$B$6:$B$1005,A239,'RECEBIMENTOS'!$X$6:$X$1005,1))</f>
        <v/>
      </c>
      <c r="R239" s="93" t="str">
        <f>IF(Z239=0,"",SUMIFS('VÍNCULOS_CDF'!$H$6:$H$1005,'VÍNCULOS_CDF'!$D$6:$D$1005,A239,'VÍNCULOS_CDF'!$V$6:$V$1005,1))</f>
        <v/>
      </c>
      <c r="S239" s="94" t="str">
        <f>IF(Z239=0,"",IF(AA239=1,"Cancelado (informado)",IF(AE239=1,"Cadastro incompleto",IF(OR(AC239=1,AD239=1,AF239&gt;0,AH239&gt;0,AK239&gt;0,AL239&gt;0),"Informação a revisar",IF(AN239=0,"Aguardando recebimento",IF(N(R239)=0,"Aguardando CDF",IF(AJ239&lt;N(W239),"Vínculo de CDF parcial",IF(AO239=0,"CDF localizado, a conferir","Documentação conferida"))))))))</f>
        <v/>
      </c>
      <c r="T239" s="94" t="str">
        <f>IF(Z239=0,"",IF(S239="Cadastro incompleto","MTR INCOMPLETO",IF(S239="Informação a revisar",IF(AND(AH239&gt;0,AC239=0,AD239=0,AF239=0,AK239=0,AL239=0),"QUANTIDADE A REVISAR","IDENTIFICAÇÃO A REVISAR"),IF(S239="Aguardando recebimento","RECEBIMENTO NÃO CONFIRMADO",IF(S239="Aguardando CDF","CDF NÃO LOCALIZADO",IF(S239="Vínculo de CDF parcial","VÍNCULO INCOMPLETO",IF(S239="CDF localizado, a conferir","CDF A CONFERIR","")))))))</f>
        <v/>
      </c>
      <c r="U239" s="95" t="str">
        <f>IF(T239="","",IF(AQ239="","Não calculável",IF(AQ239&gt;TODAY(),"Data futura",TODAY()-AQ239)))</f>
        <v/>
      </c>
      <c r="V239" s="93" t="str">
        <f>IF(Z239=0,"",SUMIFS('RECEBIMENTOS'!$H$6:$H$1005,'RECEBIMENTOS'!$B$6:$B$1005,A239,'RECEBIMENTOS'!$Z$6:$Z$1005,1))</f>
        <v/>
      </c>
      <c r="W239" s="95" t="str">
        <f>IF(Z239=0,"",COUNTIFS('ITENS_MTR'!$S$6:$S$1005,A239,'ITENS_MTR'!$R$6:$R$1005,1))</f>
        <v/>
      </c>
      <c r="X239" s="94" t="str">
        <f>IF(AC239=1,"POSSÍVEL DUPLICIDADE","")</f>
        <v/>
      </c>
      <c r="Y239" s="94" t="str">
        <f>IF(Z239=0,"",IF(AW239="","Nenhuma",LEFT(AW239,LEN(AW239)-2)))</f>
        <v/>
      </c>
      <c r="Z239" s="96">
        <f>IF(COUNTA(B239:O239)&gt;0,1,0)</f>
        <v>0</v>
      </c>
      <c r="AA239" s="96">
        <f>IF(AND(Z239=1,K239&lt;&gt;""),IF(TRIM(K239)=TRIM(cfg_cancel),1,0),0)</f>
        <v>0</v>
      </c>
      <c r="AB239" s="96" t="str">
        <f>IF(AND(Z239=1,B239&lt;&gt;""),C239&amp;"|"&amp;D239&amp;"|"&amp;G239&amp;"|"&amp;TRIM(B239),"")</f>
        <v/>
      </c>
      <c r="AC239" s="96">
        <f>IF(AB239="",0,IF(SUMPRODUCT(--($AB$6:$AB$505=AB239))&gt;1,1,0))</f>
        <v>0</v>
      </c>
      <c r="AD239" s="96">
        <f>IF(Z239=0,0,IF(OR(AND(G239&lt;&gt;"",ISNA(MATCH(G239,'CAD_UNIDADES'!$C$6:$C$105,0))),AND(H239&lt;&gt;"",ISNA(MATCH(H239,cmp_transp,0))),AND(I239&lt;&gt;"",ISNA(MATCH(I239,cmp_dest,0))),AND(E239&lt;&gt;"",NOT(ISNUMBER(E239))),AND(F239&lt;&gt;"",NOT(ISNUMBER(F239))),AND(ISNUMBER(E239),ISNUMBER(F239),F239&lt;E239)),1,0))</f>
        <v>0</v>
      </c>
      <c r="AE239" s="96">
        <f>IF(Z239=0,0,IF(OR(B239="",C239="",E239="",G239="",H239="",I239="",N(W239)=0),1,0))</f>
        <v>0</v>
      </c>
      <c r="AF239" s="96">
        <f>IF(Z239=0,0,COUNTIFS('ITENS_MTR'!$S$6:$S$1005,A239,'ITENS_MTR'!$AI$6:$AI$1005,1))</f>
        <v>0</v>
      </c>
      <c r="AG239" s="96">
        <f>IF(Z239=0,0,COUNTIFS('ITENS_MTR'!$S$6:$S$1005,A239,'ITENS_MTR'!$AJ$6:$AJ$1005,1))</f>
        <v>0</v>
      </c>
      <c r="AH239" s="96">
        <f>IF(Z239=0,0,COUNTIFS('ITENS_MTR'!$S$6:$S$1005,A239,'ITENS_MTR'!$AM$6:$AM$1005,1))</f>
        <v>0</v>
      </c>
      <c r="AI239" s="96">
        <f>IF(Z239=0,0,COUNTIFS('ITENS_MTR'!$S$6:$S$1005,A239,'ITENS_MTR'!$AO$6:$AO$1005,1))</f>
        <v>0</v>
      </c>
      <c r="AJ239" s="96">
        <f>IF(Z239=0,0,COUNTIFS('ITENS_MTR'!$S$6:$S$1005,A239,'ITENS_MTR'!$AN$6:$AN$1005,1))</f>
        <v>0</v>
      </c>
      <c r="AK239" s="96">
        <f>IF(Z239=0,0,COUNTIFS('RECEBIMENTOS'!$B$6:$B$1005,A239,'RECEBIMENTOS'!$Y$6:$Y$1005,1))</f>
        <v>0</v>
      </c>
      <c r="AL239" s="96">
        <f>IF(Z239=0,0,COUNTIFS('VÍNCULOS_CDF'!$D$6:$D$1005,A239,'VÍNCULOS_CDF'!$Y$6:$Y$1005,1))</f>
        <v>0</v>
      </c>
      <c r="AM239" s="96">
        <f>IF(Z239=0,0,COUNTIFS('RECEBIMENTOS'!$B$6:$B$1005,A239,'RECEBIMENTOS'!$Q$6:$Q$1005,1))</f>
        <v>0</v>
      </c>
      <c r="AN239" s="96">
        <f>IF(AND(Z239=1,N(W239)&gt;0,AG239=N(W239)),1,0)</f>
        <v>0</v>
      </c>
      <c r="AO239" s="96">
        <f>IF(AND(Z239=1,N(W239)&gt;0,AI239=N(W239)),1,0)</f>
        <v>0</v>
      </c>
      <c r="AP239" s="97">
        <f>IF(Z239=0,0,_xlfn.MAXIFS('RECEBIMENTOS'!$E$6:$E$1005,'RECEBIMENTOS'!$B$6:$B$1005,A239))</f>
        <v>0</v>
      </c>
      <c r="AQ239" s="97" t="str">
        <f>IF(T239="","",IF(T239="RECEBIMENTO NÃO CONFIRMADO",IF(ISNUMBER(F239),F239,IF(ISNUMBER(E239),E239,"")),IF(OR(T239="CDF NÃO LOCALIZADO",T239="VÍNCULO INCOMPLETO",T239="CDF A CONFERIR"),IF(AP239&gt;0,AP239,IF(ISNUMBER(E239),E239,"")),IF(ISNUMBER(E239),E239,""))))</f>
        <v/>
      </c>
      <c r="AR239" s="96">
        <f>IF(NOT(ISNUMBER(U239)),0,IF(T239="RECEBIMENTO NÃO CONFIRMADO",IF(AND(ISNUMBER(cfg_rec),U239&gt;cfg_rec),1,0),IF(OR(T239="CDF NÃO LOCALIZADO",T239="VÍNCULO INCOMPLETO",T239="CDF A CONFERIR"),IF(AND(ISNUMBER(cfg_cdf),U239&gt;cfg_cdf),1,0),0)))</f>
        <v>0</v>
      </c>
      <c r="AS239" s="96" t="str">
        <f>IF(T239="","",IF(AR239=1,"Alta",IFERROR(INDEX(cfg_pp,MATCH(T239,cfg_pt,0))&amp;"","Média")))</f>
        <v/>
      </c>
      <c r="AT239" s="96" t="str">
        <f>IF(T239="","",IFERROR(INDEX(cfg_pv,MATCH(T239,cfg_pt,0))&amp;"",""))</f>
        <v/>
      </c>
      <c r="AU239" s="96" t="str">
        <f>IF(T239="","",IF(AS239="Alta",1,IF(AS239="Média",2,3))*1000000000+(999999-IF(ISNUMBER(U239),MIN(U239,999999),0))*1000+234)</f>
        <v/>
      </c>
      <c r="AV239" s="96">
        <f>IF(T239&lt;&gt;"",1,0)</f>
        <v>0</v>
      </c>
      <c r="AW239" s="96" t="str">
        <f>IF(Z239=0,"",IF(AA239=1,"Cancelamento informado; ","")&amp;IF(AE239=1,"Campos essenciais ou itens faltando; ","")&amp;IF(AC239=1,"Possível duplicidade do número; ","")&amp;IF(AD239=1,"Cadastro ou datas a revisar; ","")&amp;IF(AF239&gt;0,"Item de resíduo com dado a revisar; ","")&amp;IF(AH239&gt;0,"Diferença de quantidade a analisar; ","")&amp;IF(AK239&gt;0,"Recebimento com alerta; ","")&amp;IF(AL239&gt;0,"Vínculo de CDF com alerta; ","")&amp;IF(AND(AA239=0,AN239=0),"Recebimento não confirmado; ","")&amp;IF(AND(AA239=0,AN239=1,AO239=0),"CDF pendente ou a conferir; ",""))</f>
        <v/>
      </c>
      <c r="AX239" s="96">
        <f>IF(Z239=0,0,IF(AND(OR(f_ini="",AND(ISNUMBER(E239),E239&gt;=f_ini)),OR(f_fim="",AND(ISNUMBER(E239),E239&lt;=f_fim)),OR(f_un="",f_un="(Todas)",G239=f_un),OR(f_tr="",f_tr="(Todos)",H239=f_tr),OR(f_de="",f_de="(Todos)",I239=f_de),OR(f_sit="",f_sit="(Todas)",S239=f_sit)),1,0))</f>
        <v>0</v>
      </c>
      <c r="AY239" s="96">
        <f>IF(AX239=0,0,IF(OR(f_res="",f_res="(Todos)"),1,IF(COUNTIFS('ITENS_MTR'!$S$6:$S$1005,A239,'ITENS_MTR'!$C$6:$C$1005,f_res)&gt;0,1,0)))</f>
        <v>0</v>
      </c>
      <c r="AZ239" s="97" t="str">
        <f>IF(ISNUMBER(E239),DATE(YEAR(E239),MONTH(E239),1),"")</f>
        <v/>
      </c>
      <c r="BA239" s="96">
        <f>IF(Z239=0,0,IF(AND(OR(r_ini="",AND(ISNUMBER(E239),E239&gt;=r_ini)),OR(r_fim="",AND(ISNUMBER(E239),E239&lt;=r_fim)),OR(r_un="",r_un="(Todas)",G239=r_un),OR(r_de="",r_de="(Todos)",I239=r_de)),1,0))</f>
        <v>0</v>
      </c>
      <c r="BB239" s="96" t="str">
        <f>IF(BA239=1,COUNTIF($BA$6:BA239,1),"")</f>
        <v/>
      </c>
      <c r="BC239" s="96" t="str">
        <f>IF(AND(AU239&lt;&gt;"",OR(r_un="",r_un="(Todas)",G239=r_un),OR(r_de="",r_de="(Todos)",I239=r_de)),AU239,"")</f>
        <v/>
      </c>
      <c r="BD239" s="96" t="str">
        <f>IF(Z239=1,A239&amp;" | nº "&amp;IF(B239="","(sem número)",B239)&amp;" | "&amp;IF(G239="","(sem unidade)",G239),"")</f>
        <v/>
      </c>
      <c r="BE239" s="96" t="str">
        <f>IF(Z239=1,COUNTIF($Z$6:Z239,1),"")</f>
        <v/>
      </c>
      <c r="BF239" s="96" t="str">
        <f>IF(T239="","",IF(T239="RECEBIMENTO NÃO CONFIRMADO","Transp.: "&amp;H239&amp;" | Dest.: "&amp;I239,IF(OR(T239="CDF NÃO LOCALIZADO",T239="VÍNCULO INCOMPLETO",T239="CDF A CONFERIR"),"Dest.: "&amp;I239,"Gerador: "&amp;G239)))</f>
        <v/>
      </c>
    </row>
    <row r="240">
      <c r="A240" s="89" t="inlineStr">
        <is>
          <t>MTR-000235</t>
        </is>
      </c>
      <c r="B240" s="90" t="n"/>
      <c r="C240" s="91" t="n"/>
      <c r="D240" s="91" t="n"/>
      <c r="E240" s="92" t="n"/>
      <c r="F240" s="92" t="n"/>
      <c r="G240" s="91" t="n"/>
      <c r="H240" s="91" t="n"/>
      <c r="I240" s="91" t="n"/>
      <c r="J240" s="91" t="n"/>
      <c r="K240" s="91" t="n"/>
      <c r="L240" s="92" t="n"/>
      <c r="M240" s="91" t="n"/>
      <c r="N240" s="91" t="n"/>
      <c r="O240" s="91" t="n"/>
      <c r="P240" s="93" t="str">
        <f>IF(Z240=0,"",SUMIFS('ITENS_MTR'!$I$6:$I$1005,'ITENS_MTR'!$S$6:$S$1005,A240,'ITENS_MTR'!$Y$6:$Y$1005,1))</f>
        <v/>
      </c>
      <c r="Q240" s="93" t="str">
        <f>IF(Z240=0,"",SUMIFS('RECEBIMENTOS'!$H$6:$H$1005,'RECEBIMENTOS'!$B$6:$B$1005,A240,'RECEBIMENTOS'!$X$6:$X$1005,1))</f>
        <v/>
      </c>
      <c r="R240" s="93" t="str">
        <f>IF(Z240=0,"",SUMIFS('VÍNCULOS_CDF'!$H$6:$H$1005,'VÍNCULOS_CDF'!$D$6:$D$1005,A240,'VÍNCULOS_CDF'!$V$6:$V$1005,1))</f>
        <v/>
      </c>
      <c r="S240" s="94" t="str">
        <f>IF(Z240=0,"",IF(AA240=1,"Cancelado (informado)",IF(AE240=1,"Cadastro incompleto",IF(OR(AC240=1,AD240=1,AF240&gt;0,AH240&gt;0,AK240&gt;0,AL240&gt;0),"Informação a revisar",IF(AN240=0,"Aguardando recebimento",IF(N(R240)=0,"Aguardando CDF",IF(AJ240&lt;N(W240),"Vínculo de CDF parcial",IF(AO240=0,"CDF localizado, a conferir","Documentação conferida"))))))))</f>
        <v/>
      </c>
      <c r="T240" s="94" t="str">
        <f>IF(Z240=0,"",IF(S240="Cadastro incompleto","MTR INCOMPLETO",IF(S240="Informação a revisar",IF(AND(AH240&gt;0,AC240=0,AD240=0,AF240=0,AK240=0,AL240=0),"QUANTIDADE A REVISAR","IDENTIFICAÇÃO A REVISAR"),IF(S240="Aguardando recebimento","RECEBIMENTO NÃO CONFIRMADO",IF(S240="Aguardando CDF","CDF NÃO LOCALIZADO",IF(S240="Vínculo de CDF parcial","VÍNCULO INCOMPLETO",IF(S240="CDF localizado, a conferir","CDF A CONFERIR","")))))))</f>
        <v/>
      </c>
      <c r="U240" s="95" t="str">
        <f>IF(T240="","",IF(AQ240="","Não calculável",IF(AQ240&gt;TODAY(),"Data futura",TODAY()-AQ240)))</f>
        <v/>
      </c>
      <c r="V240" s="93" t="str">
        <f>IF(Z240=0,"",SUMIFS('RECEBIMENTOS'!$H$6:$H$1005,'RECEBIMENTOS'!$B$6:$B$1005,A240,'RECEBIMENTOS'!$Z$6:$Z$1005,1))</f>
        <v/>
      </c>
      <c r="W240" s="95" t="str">
        <f>IF(Z240=0,"",COUNTIFS('ITENS_MTR'!$S$6:$S$1005,A240,'ITENS_MTR'!$R$6:$R$1005,1))</f>
        <v/>
      </c>
      <c r="X240" s="94" t="str">
        <f>IF(AC240=1,"POSSÍVEL DUPLICIDADE","")</f>
        <v/>
      </c>
      <c r="Y240" s="94" t="str">
        <f>IF(Z240=0,"",IF(AW240="","Nenhuma",LEFT(AW240,LEN(AW240)-2)))</f>
        <v/>
      </c>
      <c r="Z240" s="96">
        <f>IF(COUNTA(B240:O240)&gt;0,1,0)</f>
        <v>0</v>
      </c>
      <c r="AA240" s="96">
        <f>IF(AND(Z240=1,K240&lt;&gt;""),IF(TRIM(K240)=TRIM(cfg_cancel),1,0),0)</f>
        <v>0</v>
      </c>
      <c r="AB240" s="96" t="str">
        <f>IF(AND(Z240=1,B240&lt;&gt;""),C240&amp;"|"&amp;D240&amp;"|"&amp;G240&amp;"|"&amp;TRIM(B240),"")</f>
        <v/>
      </c>
      <c r="AC240" s="96">
        <f>IF(AB240="",0,IF(SUMPRODUCT(--($AB$6:$AB$505=AB240))&gt;1,1,0))</f>
        <v>0</v>
      </c>
      <c r="AD240" s="96">
        <f>IF(Z240=0,0,IF(OR(AND(G240&lt;&gt;"",ISNA(MATCH(G240,'CAD_UNIDADES'!$C$6:$C$105,0))),AND(H240&lt;&gt;"",ISNA(MATCH(H240,cmp_transp,0))),AND(I240&lt;&gt;"",ISNA(MATCH(I240,cmp_dest,0))),AND(E240&lt;&gt;"",NOT(ISNUMBER(E240))),AND(F240&lt;&gt;"",NOT(ISNUMBER(F240))),AND(ISNUMBER(E240),ISNUMBER(F240),F240&lt;E240)),1,0))</f>
        <v>0</v>
      </c>
      <c r="AE240" s="96">
        <f>IF(Z240=0,0,IF(OR(B240="",C240="",E240="",G240="",H240="",I240="",N(W240)=0),1,0))</f>
        <v>0</v>
      </c>
      <c r="AF240" s="96">
        <f>IF(Z240=0,0,COUNTIFS('ITENS_MTR'!$S$6:$S$1005,A240,'ITENS_MTR'!$AI$6:$AI$1005,1))</f>
        <v>0</v>
      </c>
      <c r="AG240" s="96">
        <f>IF(Z240=0,0,COUNTIFS('ITENS_MTR'!$S$6:$S$1005,A240,'ITENS_MTR'!$AJ$6:$AJ$1005,1))</f>
        <v>0</v>
      </c>
      <c r="AH240" s="96">
        <f>IF(Z240=0,0,COUNTIFS('ITENS_MTR'!$S$6:$S$1005,A240,'ITENS_MTR'!$AM$6:$AM$1005,1))</f>
        <v>0</v>
      </c>
      <c r="AI240" s="96">
        <f>IF(Z240=0,0,COUNTIFS('ITENS_MTR'!$S$6:$S$1005,A240,'ITENS_MTR'!$AO$6:$AO$1005,1))</f>
        <v>0</v>
      </c>
      <c r="AJ240" s="96">
        <f>IF(Z240=0,0,COUNTIFS('ITENS_MTR'!$S$6:$S$1005,A240,'ITENS_MTR'!$AN$6:$AN$1005,1))</f>
        <v>0</v>
      </c>
      <c r="AK240" s="96">
        <f>IF(Z240=0,0,COUNTIFS('RECEBIMENTOS'!$B$6:$B$1005,A240,'RECEBIMENTOS'!$Y$6:$Y$1005,1))</f>
        <v>0</v>
      </c>
      <c r="AL240" s="96">
        <f>IF(Z240=0,0,COUNTIFS('VÍNCULOS_CDF'!$D$6:$D$1005,A240,'VÍNCULOS_CDF'!$Y$6:$Y$1005,1))</f>
        <v>0</v>
      </c>
      <c r="AM240" s="96">
        <f>IF(Z240=0,0,COUNTIFS('RECEBIMENTOS'!$B$6:$B$1005,A240,'RECEBIMENTOS'!$Q$6:$Q$1005,1))</f>
        <v>0</v>
      </c>
      <c r="AN240" s="96">
        <f>IF(AND(Z240=1,N(W240)&gt;0,AG240=N(W240)),1,0)</f>
        <v>0</v>
      </c>
      <c r="AO240" s="96">
        <f>IF(AND(Z240=1,N(W240)&gt;0,AI240=N(W240)),1,0)</f>
        <v>0</v>
      </c>
      <c r="AP240" s="97">
        <f>IF(Z240=0,0,_xlfn.MAXIFS('RECEBIMENTOS'!$E$6:$E$1005,'RECEBIMENTOS'!$B$6:$B$1005,A240))</f>
        <v>0</v>
      </c>
      <c r="AQ240" s="97" t="str">
        <f>IF(T240="","",IF(T240="RECEBIMENTO NÃO CONFIRMADO",IF(ISNUMBER(F240),F240,IF(ISNUMBER(E240),E240,"")),IF(OR(T240="CDF NÃO LOCALIZADO",T240="VÍNCULO INCOMPLETO",T240="CDF A CONFERIR"),IF(AP240&gt;0,AP240,IF(ISNUMBER(E240),E240,"")),IF(ISNUMBER(E240),E240,""))))</f>
        <v/>
      </c>
      <c r="AR240" s="96">
        <f>IF(NOT(ISNUMBER(U240)),0,IF(T240="RECEBIMENTO NÃO CONFIRMADO",IF(AND(ISNUMBER(cfg_rec),U240&gt;cfg_rec),1,0),IF(OR(T240="CDF NÃO LOCALIZADO",T240="VÍNCULO INCOMPLETO",T240="CDF A CONFERIR"),IF(AND(ISNUMBER(cfg_cdf),U240&gt;cfg_cdf),1,0),0)))</f>
        <v>0</v>
      </c>
      <c r="AS240" s="96" t="str">
        <f>IF(T240="","",IF(AR240=1,"Alta",IFERROR(INDEX(cfg_pp,MATCH(T240,cfg_pt,0))&amp;"","Média")))</f>
        <v/>
      </c>
      <c r="AT240" s="96" t="str">
        <f>IF(T240="","",IFERROR(INDEX(cfg_pv,MATCH(T240,cfg_pt,0))&amp;"",""))</f>
        <v/>
      </c>
      <c r="AU240" s="96" t="str">
        <f>IF(T240="","",IF(AS240="Alta",1,IF(AS240="Média",2,3))*1000000000+(999999-IF(ISNUMBER(U240),MIN(U240,999999),0))*1000+235)</f>
        <v/>
      </c>
      <c r="AV240" s="96">
        <f>IF(T240&lt;&gt;"",1,0)</f>
        <v>0</v>
      </c>
      <c r="AW240" s="96" t="str">
        <f>IF(Z240=0,"",IF(AA240=1,"Cancelamento informado; ","")&amp;IF(AE240=1,"Campos essenciais ou itens faltando; ","")&amp;IF(AC240=1,"Possível duplicidade do número; ","")&amp;IF(AD240=1,"Cadastro ou datas a revisar; ","")&amp;IF(AF240&gt;0,"Item de resíduo com dado a revisar; ","")&amp;IF(AH240&gt;0,"Diferença de quantidade a analisar; ","")&amp;IF(AK240&gt;0,"Recebimento com alerta; ","")&amp;IF(AL240&gt;0,"Vínculo de CDF com alerta; ","")&amp;IF(AND(AA240=0,AN240=0),"Recebimento não confirmado; ","")&amp;IF(AND(AA240=0,AN240=1,AO240=0),"CDF pendente ou a conferir; ",""))</f>
        <v/>
      </c>
      <c r="AX240" s="96">
        <f>IF(Z240=0,0,IF(AND(OR(f_ini="",AND(ISNUMBER(E240),E240&gt;=f_ini)),OR(f_fim="",AND(ISNUMBER(E240),E240&lt;=f_fim)),OR(f_un="",f_un="(Todas)",G240=f_un),OR(f_tr="",f_tr="(Todos)",H240=f_tr),OR(f_de="",f_de="(Todos)",I240=f_de),OR(f_sit="",f_sit="(Todas)",S240=f_sit)),1,0))</f>
        <v>0</v>
      </c>
      <c r="AY240" s="96">
        <f>IF(AX240=0,0,IF(OR(f_res="",f_res="(Todos)"),1,IF(COUNTIFS('ITENS_MTR'!$S$6:$S$1005,A240,'ITENS_MTR'!$C$6:$C$1005,f_res)&gt;0,1,0)))</f>
        <v>0</v>
      </c>
      <c r="AZ240" s="97" t="str">
        <f>IF(ISNUMBER(E240),DATE(YEAR(E240),MONTH(E240),1),"")</f>
        <v/>
      </c>
      <c r="BA240" s="96">
        <f>IF(Z240=0,0,IF(AND(OR(r_ini="",AND(ISNUMBER(E240),E240&gt;=r_ini)),OR(r_fim="",AND(ISNUMBER(E240),E240&lt;=r_fim)),OR(r_un="",r_un="(Todas)",G240=r_un),OR(r_de="",r_de="(Todos)",I240=r_de)),1,0))</f>
        <v>0</v>
      </c>
      <c r="BB240" s="96" t="str">
        <f>IF(BA240=1,COUNTIF($BA$6:BA240,1),"")</f>
        <v/>
      </c>
      <c r="BC240" s="96" t="str">
        <f>IF(AND(AU240&lt;&gt;"",OR(r_un="",r_un="(Todas)",G240=r_un),OR(r_de="",r_de="(Todos)",I240=r_de)),AU240,"")</f>
        <v/>
      </c>
      <c r="BD240" s="96" t="str">
        <f>IF(Z240=1,A240&amp;" | nº "&amp;IF(B240="","(sem número)",B240)&amp;" | "&amp;IF(G240="","(sem unidade)",G240),"")</f>
        <v/>
      </c>
      <c r="BE240" s="96" t="str">
        <f>IF(Z240=1,COUNTIF($Z$6:Z240,1),"")</f>
        <v/>
      </c>
      <c r="BF240" s="96" t="str">
        <f>IF(T240="","",IF(T240="RECEBIMENTO NÃO CONFIRMADO","Transp.: "&amp;H240&amp;" | Dest.: "&amp;I240,IF(OR(T240="CDF NÃO LOCALIZADO",T240="VÍNCULO INCOMPLETO",T240="CDF A CONFERIR"),"Dest.: "&amp;I240,"Gerador: "&amp;G240)))</f>
        <v/>
      </c>
    </row>
    <row r="241">
      <c r="A241" s="89" t="inlineStr">
        <is>
          <t>MTR-000236</t>
        </is>
      </c>
      <c r="B241" s="90" t="n"/>
      <c r="C241" s="91" t="n"/>
      <c r="D241" s="91" t="n"/>
      <c r="E241" s="92" t="n"/>
      <c r="F241" s="92" t="n"/>
      <c r="G241" s="91" t="n"/>
      <c r="H241" s="91" t="n"/>
      <c r="I241" s="91" t="n"/>
      <c r="J241" s="91" t="n"/>
      <c r="K241" s="91" t="n"/>
      <c r="L241" s="92" t="n"/>
      <c r="M241" s="91" t="n"/>
      <c r="N241" s="91" t="n"/>
      <c r="O241" s="91" t="n"/>
      <c r="P241" s="93" t="str">
        <f>IF(Z241=0,"",SUMIFS('ITENS_MTR'!$I$6:$I$1005,'ITENS_MTR'!$S$6:$S$1005,A241,'ITENS_MTR'!$Y$6:$Y$1005,1))</f>
        <v/>
      </c>
      <c r="Q241" s="93" t="str">
        <f>IF(Z241=0,"",SUMIFS('RECEBIMENTOS'!$H$6:$H$1005,'RECEBIMENTOS'!$B$6:$B$1005,A241,'RECEBIMENTOS'!$X$6:$X$1005,1))</f>
        <v/>
      </c>
      <c r="R241" s="93" t="str">
        <f>IF(Z241=0,"",SUMIFS('VÍNCULOS_CDF'!$H$6:$H$1005,'VÍNCULOS_CDF'!$D$6:$D$1005,A241,'VÍNCULOS_CDF'!$V$6:$V$1005,1))</f>
        <v/>
      </c>
      <c r="S241" s="94" t="str">
        <f>IF(Z241=0,"",IF(AA241=1,"Cancelado (informado)",IF(AE241=1,"Cadastro incompleto",IF(OR(AC241=1,AD241=1,AF241&gt;0,AH241&gt;0,AK241&gt;0,AL241&gt;0),"Informação a revisar",IF(AN241=0,"Aguardando recebimento",IF(N(R241)=0,"Aguardando CDF",IF(AJ241&lt;N(W241),"Vínculo de CDF parcial",IF(AO241=0,"CDF localizado, a conferir","Documentação conferida"))))))))</f>
        <v/>
      </c>
      <c r="T241" s="94" t="str">
        <f>IF(Z241=0,"",IF(S241="Cadastro incompleto","MTR INCOMPLETO",IF(S241="Informação a revisar",IF(AND(AH241&gt;0,AC241=0,AD241=0,AF241=0,AK241=0,AL241=0),"QUANTIDADE A REVISAR","IDENTIFICAÇÃO A REVISAR"),IF(S241="Aguardando recebimento","RECEBIMENTO NÃO CONFIRMADO",IF(S241="Aguardando CDF","CDF NÃO LOCALIZADO",IF(S241="Vínculo de CDF parcial","VÍNCULO INCOMPLETO",IF(S241="CDF localizado, a conferir","CDF A CONFERIR","")))))))</f>
        <v/>
      </c>
      <c r="U241" s="95" t="str">
        <f>IF(T241="","",IF(AQ241="","Não calculável",IF(AQ241&gt;TODAY(),"Data futura",TODAY()-AQ241)))</f>
        <v/>
      </c>
      <c r="V241" s="93" t="str">
        <f>IF(Z241=0,"",SUMIFS('RECEBIMENTOS'!$H$6:$H$1005,'RECEBIMENTOS'!$B$6:$B$1005,A241,'RECEBIMENTOS'!$Z$6:$Z$1005,1))</f>
        <v/>
      </c>
      <c r="W241" s="95" t="str">
        <f>IF(Z241=0,"",COUNTIFS('ITENS_MTR'!$S$6:$S$1005,A241,'ITENS_MTR'!$R$6:$R$1005,1))</f>
        <v/>
      </c>
      <c r="X241" s="94" t="str">
        <f>IF(AC241=1,"POSSÍVEL DUPLICIDADE","")</f>
        <v/>
      </c>
      <c r="Y241" s="94" t="str">
        <f>IF(Z241=0,"",IF(AW241="","Nenhuma",LEFT(AW241,LEN(AW241)-2)))</f>
        <v/>
      </c>
      <c r="Z241" s="96">
        <f>IF(COUNTA(B241:O241)&gt;0,1,0)</f>
        <v>0</v>
      </c>
      <c r="AA241" s="96">
        <f>IF(AND(Z241=1,K241&lt;&gt;""),IF(TRIM(K241)=TRIM(cfg_cancel),1,0),0)</f>
        <v>0</v>
      </c>
      <c r="AB241" s="96" t="str">
        <f>IF(AND(Z241=1,B241&lt;&gt;""),C241&amp;"|"&amp;D241&amp;"|"&amp;G241&amp;"|"&amp;TRIM(B241),"")</f>
        <v/>
      </c>
      <c r="AC241" s="96">
        <f>IF(AB241="",0,IF(SUMPRODUCT(--($AB$6:$AB$505=AB241))&gt;1,1,0))</f>
        <v>0</v>
      </c>
      <c r="AD241" s="96">
        <f>IF(Z241=0,0,IF(OR(AND(G241&lt;&gt;"",ISNA(MATCH(G241,'CAD_UNIDADES'!$C$6:$C$105,0))),AND(H241&lt;&gt;"",ISNA(MATCH(H241,cmp_transp,0))),AND(I241&lt;&gt;"",ISNA(MATCH(I241,cmp_dest,0))),AND(E241&lt;&gt;"",NOT(ISNUMBER(E241))),AND(F241&lt;&gt;"",NOT(ISNUMBER(F241))),AND(ISNUMBER(E241),ISNUMBER(F241),F241&lt;E241)),1,0))</f>
        <v>0</v>
      </c>
      <c r="AE241" s="96">
        <f>IF(Z241=0,0,IF(OR(B241="",C241="",E241="",G241="",H241="",I241="",N(W241)=0),1,0))</f>
        <v>0</v>
      </c>
      <c r="AF241" s="96">
        <f>IF(Z241=0,0,COUNTIFS('ITENS_MTR'!$S$6:$S$1005,A241,'ITENS_MTR'!$AI$6:$AI$1005,1))</f>
        <v>0</v>
      </c>
      <c r="AG241" s="96">
        <f>IF(Z241=0,0,COUNTIFS('ITENS_MTR'!$S$6:$S$1005,A241,'ITENS_MTR'!$AJ$6:$AJ$1005,1))</f>
        <v>0</v>
      </c>
      <c r="AH241" s="96">
        <f>IF(Z241=0,0,COUNTIFS('ITENS_MTR'!$S$6:$S$1005,A241,'ITENS_MTR'!$AM$6:$AM$1005,1))</f>
        <v>0</v>
      </c>
      <c r="AI241" s="96">
        <f>IF(Z241=0,0,COUNTIFS('ITENS_MTR'!$S$6:$S$1005,A241,'ITENS_MTR'!$AO$6:$AO$1005,1))</f>
        <v>0</v>
      </c>
      <c r="AJ241" s="96">
        <f>IF(Z241=0,0,COUNTIFS('ITENS_MTR'!$S$6:$S$1005,A241,'ITENS_MTR'!$AN$6:$AN$1005,1))</f>
        <v>0</v>
      </c>
      <c r="AK241" s="96">
        <f>IF(Z241=0,0,COUNTIFS('RECEBIMENTOS'!$B$6:$B$1005,A241,'RECEBIMENTOS'!$Y$6:$Y$1005,1))</f>
        <v>0</v>
      </c>
      <c r="AL241" s="96">
        <f>IF(Z241=0,0,COUNTIFS('VÍNCULOS_CDF'!$D$6:$D$1005,A241,'VÍNCULOS_CDF'!$Y$6:$Y$1005,1))</f>
        <v>0</v>
      </c>
      <c r="AM241" s="96">
        <f>IF(Z241=0,0,COUNTIFS('RECEBIMENTOS'!$B$6:$B$1005,A241,'RECEBIMENTOS'!$Q$6:$Q$1005,1))</f>
        <v>0</v>
      </c>
      <c r="AN241" s="96">
        <f>IF(AND(Z241=1,N(W241)&gt;0,AG241=N(W241)),1,0)</f>
        <v>0</v>
      </c>
      <c r="AO241" s="96">
        <f>IF(AND(Z241=1,N(W241)&gt;0,AI241=N(W241)),1,0)</f>
        <v>0</v>
      </c>
      <c r="AP241" s="97">
        <f>IF(Z241=0,0,_xlfn.MAXIFS('RECEBIMENTOS'!$E$6:$E$1005,'RECEBIMENTOS'!$B$6:$B$1005,A241))</f>
        <v>0</v>
      </c>
      <c r="AQ241" s="97" t="str">
        <f>IF(T241="","",IF(T241="RECEBIMENTO NÃO CONFIRMADO",IF(ISNUMBER(F241),F241,IF(ISNUMBER(E241),E241,"")),IF(OR(T241="CDF NÃO LOCALIZADO",T241="VÍNCULO INCOMPLETO",T241="CDF A CONFERIR"),IF(AP241&gt;0,AP241,IF(ISNUMBER(E241),E241,"")),IF(ISNUMBER(E241),E241,""))))</f>
        <v/>
      </c>
      <c r="AR241" s="96">
        <f>IF(NOT(ISNUMBER(U241)),0,IF(T241="RECEBIMENTO NÃO CONFIRMADO",IF(AND(ISNUMBER(cfg_rec),U241&gt;cfg_rec),1,0),IF(OR(T241="CDF NÃO LOCALIZADO",T241="VÍNCULO INCOMPLETO",T241="CDF A CONFERIR"),IF(AND(ISNUMBER(cfg_cdf),U241&gt;cfg_cdf),1,0),0)))</f>
        <v>0</v>
      </c>
      <c r="AS241" s="96" t="str">
        <f>IF(T241="","",IF(AR241=1,"Alta",IFERROR(INDEX(cfg_pp,MATCH(T241,cfg_pt,0))&amp;"","Média")))</f>
        <v/>
      </c>
      <c r="AT241" s="96" t="str">
        <f>IF(T241="","",IFERROR(INDEX(cfg_pv,MATCH(T241,cfg_pt,0))&amp;"",""))</f>
        <v/>
      </c>
      <c r="AU241" s="96" t="str">
        <f>IF(T241="","",IF(AS241="Alta",1,IF(AS241="Média",2,3))*1000000000+(999999-IF(ISNUMBER(U241),MIN(U241,999999),0))*1000+236)</f>
        <v/>
      </c>
      <c r="AV241" s="96">
        <f>IF(T241&lt;&gt;"",1,0)</f>
        <v>0</v>
      </c>
      <c r="AW241" s="96" t="str">
        <f>IF(Z241=0,"",IF(AA241=1,"Cancelamento informado; ","")&amp;IF(AE241=1,"Campos essenciais ou itens faltando; ","")&amp;IF(AC241=1,"Possível duplicidade do número; ","")&amp;IF(AD241=1,"Cadastro ou datas a revisar; ","")&amp;IF(AF241&gt;0,"Item de resíduo com dado a revisar; ","")&amp;IF(AH241&gt;0,"Diferença de quantidade a analisar; ","")&amp;IF(AK241&gt;0,"Recebimento com alerta; ","")&amp;IF(AL241&gt;0,"Vínculo de CDF com alerta; ","")&amp;IF(AND(AA241=0,AN241=0),"Recebimento não confirmado; ","")&amp;IF(AND(AA241=0,AN241=1,AO241=0),"CDF pendente ou a conferir; ",""))</f>
        <v/>
      </c>
      <c r="AX241" s="96">
        <f>IF(Z241=0,0,IF(AND(OR(f_ini="",AND(ISNUMBER(E241),E241&gt;=f_ini)),OR(f_fim="",AND(ISNUMBER(E241),E241&lt;=f_fim)),OR(f_un="",f_un="(Todas)",G241=f_un),OR(f_tr="",f_tr="(Todos)",H241=f_tr),OR(f_de="",f_de="(Todos)",I241=f_de),OR(f_sit="",f_sit="(Todas)",S241=f_sit)),1,0))</f>
        <v>0</v>
      </c>
      <c r="AY241" s="96">
        <f>IF(AX241=0,0,IF(OR(f_res="",f_res="(Todos)"),1,IF(COUNTIFS('ITENS_MTR'!$S$6:$S$1005,A241,'ITENS_MTR'!$C$6:$C$1005,f_res)&gt;0,1,0)))</f>
        <v>0</v>
      </c>
      <c r="AZ241" s="97" t="str">
        <f>IF(ISNUMBER(E241),DATE(YEAR(E241),MONTH(E241),1),"")</f>
        <v/>
      </c>
      <c r="BA241" s="96">
        <f>IF(Z241=0,0,IF(AND(OR(r_ini="",AND(ISNUMBER(E241),E241&gt;=r_ini)),OR(r_fim="",AND(ISNUMBER(E241),E241&lt;=r_fim)),OR(r_un="",r_un="(Todas)",G241=r_un),OR(r_de="",r_de="(Todos)",I241=r_de)),1,0))</f>
        <v>0</v>
      </c>
      <c r="BB241" s="96" t="str">
        <f>IF(BA241=1,COUNTIF($BA$6:BA241,1),"")</f>
        <v/>
      </c>
      <c r="BC241" s="96" t="str">
        <f>IF(AND(AU241&lt;&gt;"",OR(r_un="",r_un="(Todas)",G241=r_un),OR(r_de="",r_de="(Todos)",I241=r_de)),AU241,"")</f>
        <v/>
      </c>
      <c r="BD241" s="96" t="str">
        <f>IF(Z241=1,A241&amp;" | nº "&amp;IF(B241="","(sem número)",B241)&amp;" | "&amp;IF(G241="","(sem unidade)",G241),"")</f>
        <v/>
      </c>
      <c r="BE241" s="96" t="str">
        <f>IF(Z241=1,COUNTIF($Z$6:Z241,1),"")</f>
        <v/>
      </c>
      <c r="BF241" s="96" t="str">
        <f>IF(T241="","",IF(T241="RECEBIMENTO NÃO CONFIRMADO","Transp.: "&amp;H241&amp;" | Dest.: "&amp;I241,IF(OR(T241="CDF NÃO LOCALIZADO",T241="VÍNCULO INCOMPLETO",T241="CDF A CONFERIR"),"Dest.: "&amp;I241,"Gerador: "&amp;G241)))</f>
        <v/>
      </c>
    </row>
    <row r="242">
      <c r="A242" s="89" t="inlineStr">
        <is>
          <t>MTR-000237</t>
        </is>
      </c>
      <c r="B242" s="90" t="n"/>
      <c r="C242" s="91" t="n"/>
      <c r="D242" s="91" t="n"/>
      <c r="E242" s="92" t="n"/>
      <c r="F242" s="92" t="n"/>
      <c r="G242" s="91" t="n"/>
      <c r="H242" s="91" t="n"/>
      <c r="I242" s="91" t="n"/>
      <c r="J242" s="91" t="n"/>
      <c r="K242" s="91" t="n"/>
      <c r="L242" s="92" t="n"/>
      <c r="M242" s="91" t="n"/>
      <c r="N242" s="91" t="n"/>
      <c r="O242" s="91" t="n"/>
      <c r="P242" s="93" t="str">
        <f>IF(Z242=0,"",SUMIFS('ITENS_MTR'!$I$6:$I$1005,'ITENS_MTR'!$S$6:$S$1005,A242,'ITENS_MTR'!$Y$6:$Y$1005,1))</f>
        <v/>
      </c>
      <c r="Q242" s="93" t="str">
        <f>IF(Z242=0,"",SUMIFS('RECEBIMENTOS'!$H$6:$H$1005,'RECEBIMENTOS'!$B$6:$B$1005,A242,'RECEBIMENTOS'!$X$6:$X$1005,1))</f>
        <v/>
      </c>
      <c r="R242" s="93" t="str">
        <f>IF(Z242=0,"",SUMIFS('VÍNCULOS_CDF'!$H$6:$H$1005,'VÍNCULOS_CDF'!$D$6:$D$1005,A242,'VÍNCULOS_CDF'!$V$6:$V$1005,1))</f>
        <v/>
      </c>
      <c r="S242" s="94" t="str">
        <f>IF(Z242=0,"",IF(AA242=1,"Cancelado (informado)",IF(AE242=1,"Cadastro incompleto",IF(OR(AC242=1,AD242=1,AF242&gt;0,AH242&gt;0,AK242&gt;0,AL242&gt;0),"Informação a revisar",IF(AN242=0,"Aguardando recebimento",IF(N(R242)=0,"Aguardando CDF",IF(AJ242&lt;N(W242),"Vínculo de CDF parcial",IF(AO242=0,"CDF localizado, a conferir","Documentação conferida"))))))))</f>
        <v/>
      </c>
      <c r="T242" s="94" t="str">
        <f>IF(Z242=0,"",IF(S242="Cadastro incompleto","MTR INCOMPLETO",IF(S242="Informação a revisar",IF(AND(AH242&gt;0,AC242=0,AD242=0,AF242=0,AK242=0,AL242=0),"QUANTIDADE A REVISAR","IDENTIFICAÇÃO A REVISAR"),IF(S242="Aguardando recebimento","RECEBIMENTO NÃO CONFIRMADO",IF(S242="Aguardando CDF","CDF NÃO LOCALIZADO",IF(S242="Vínculo de CDF parcial","VÍNCULO INCOMPLETO",IF(S242="CDF localizado, a conferir","CDF A CONFERIR","")))))))</f>
        <v/>
      </c>
      <c r="U242" s="95" t="str">
        <f>IF(T242="","",IF(AQ242="","Não calculável",IF(AQ242&gt;TODAY(),"Data futura",TODAY()-AQ242)))</f>
        <v/>
      </c>
      <c r="V242" s="93" t="str">
        <f>IF(Z242=0,"",SUMIFS('RECEBIMENTOS'!$H$6:$H$1005,'RECEBIMENTOS'!$B$6:$B$1005,A242,'RECEBIMENTOS'!$Z$6:$Z$1005,1))</f>
        <v/>
      </c>
      <c r="W242" s="95" t="str">
        <f>IF(Z242=0,"",COUNTIFS('ITENS_MTR'!$S$6:$S$1005,A242,'ITENS_MTR'!$R$6:$R$1005,1))</f>
        <v/>
      </c>
      <c r="X242" s="94" t="str">
        <f>IF(AC242=1,"POSSÍVEL DUPLICIDADE","")</f>
        <v/>
      </c>
      <c r="Y242" s="94" t="str">
        <f>IF(Z242=0,"",IF(AW242="","Nenhuma",LEFT(AW242,LEN(AW242)-2)))</f>
        <v/>
      </c>
      <c r="Z242" s="96">
        <f>IF(COUNTA(B242:O242)&gt;0,1,0)</f>
        <v>0</v>
      </c>
      <c r="AA242" s="96">
        <f>IF(AND(Z242=1,K242&lt;&gt;""),IF(TRIM(K242)=TRIM(cfg_cancel),1,0),0)</f>
        <v>0</v>
      </c>
      <c r="AB242" s="96" t="str">
        <f>IF(AND(Z242=1,B242&lt;&gt;""),C242&amp;"|"&amp;D242&amp;"|"&amp;G242&amp;"|"&amp;TRIM(B242),"")</f>
        <v/>
      </c>
      <c r="AC242" s="96">
        <f>IF(AB242="",0,IF(SUMPRODUCT(--($AB$6:$AB$505=AB242))&gt;1,1,0))</f>
        <v>0</v>
      </c>
      <c r="AD242" s="96">
        <f>IF(Z242=0,0,IF(OR(AND(G242&lt;&gt;"",ISNA(MATCH(G242,'CAD_UNIDADES'!$C$6:$C$105,0))),AND(H242&lt;&gt;"",ISNA(MATCH(H242,cmp_transp,0))),AND(I242&lt;&gt;"",ISNA(MATCH(I242,cmp_dest,0))),AND(E242&lt;&gt;"",NOT(ISNUMBER(E242))),AND(F242&lt;&gt;"",NOT(ISNUMBER(F242))),AND(ISNUMBER(E242),ISNUMBER(F242),F242&lt;E242)),1,0))</f>
        <v>0</v>
      </c>
      <c r="AE242" s="96">
        <f>IF(Z242=0,0,IF(OR(B242="",C242="",E242="",G242="",H242="",I242="",N(W242)=0),1,0))</f>
        <v>0</v>
      </c>
      <c r="AF242" s="96">
        <f>IF(Z242=0,0,COUNTIFS('ITENS_MTR'!$S$6:$S$1005,A242,'ITENS_MTR'!$AI$6:$AI$1005,1))</f>
        <v>0</v>
      </c>
      <c r="AG242" s="96">
        <f>IF(Z242=0,0,COUNTIFS('ITENS_MTR'!$S$6:$S$1005,A242,'ITENS_MTR'!$AJ$6:$AJ$1005,1))</f>
        <v>0</v>
      </c>
      <c r="AH242" s="96">
        <f>IF(Z242=0,0,COUNTIFS('ITENS_MTR'!$S$6:$S$1005,A242,'ITENS_MTR'!$AM$6:$AM$1005,1))</f>
        <v>0</v>
      </c>
      <c r="AI242" s="96">
        <f>IF(Z242=0,0,COUNTIFS('ITENS_MTR'!$S$6:$S$1005,A242,'ITENS_MTR'!$AO$6:$AO$1005,1))</f>
        <v>0</v>
      </c>
      <c r="AJ242" s="96">
        <f>IF(Z242=0,0,COUNTIFS('ITENS_MTR'!$S$6:$S$1005,A242,'ITENS_MTR'!$AN$6:$AN$1005,1))</f>
        <v>0</v>
      </c>
      <c r="AK242" s="96">
        <f>IF(Z242=0,0,COUNTIFS('RECEBIMENTOS'!$B$6:$B$1005,A242,'RECEBIMENTOS'!$Y$6:$Y$1005,1))</f>
        <v>0</v>
      </c>
      <c r="AL242" s="96">
        <f>IF(Z242=0,0,COUNTIFS('VÍNCULOS_CDF'!$D$6:$D$1005,A242,'VÍNCULOS_CDF'!$Y$6:$Y$1005,1))</f>
        <v>0</v>
      </c>
      <c r="AM242" s="96">
        <f>IF(Z242=0,0,COUNTIFS('RECEBIMENTOS'!$B$6:$B$1005,A242,'RECEBIMENTOS'!$Q$6:$Q$1005,1))</f>
        <v>0</v>
      </c>
      <c r="AN242" s="96">
        <f>IF(AND(Z242=1,N(W242)&gt;0,AG242=N(W242)),1,0)</f>
        <v>0</v>
      </c>
      <c r="AO242" s="96">
        <f>IF(AND(Z242=1,N(W242)&gt;0,AI242=N(W242)),1,0)</f>
        <v>0</v>
      </c>
      <c r="AP242" s="97">
        <f>IF(Z242=0,0,_xlfn.MAXIFS('RECEBIMENTOS'!$E$6:$E$1005,'RECEBIMENTOS'!$B$6:$B$1005,A242))</f>
        <v>0</v>
      </c>
      <c r="AQ242" s="97" t="str">
        <f>IF(T242="","",IF(T242="RECEBIMENTO NÃO CONFIRMADO",IF(ISNUMBER(F242),F242,IF(ISNUMBER(E242),E242,"")),IF(OR(T242="CDF NÃO LOCALIZADO",T242="VÍNCULO INCOMPLETO",T242="CDF A CONFERIR"),IF(AP242&gt;0,AP242,IF(ISNUMBER(E242),E242,"")),IF(ISNUMBER(E242),E242,""))))</f>
        <v/>
      </c>
      <c r="AR242" s="96">
        <f>IF(NOT(ISNUMBER(U242)),0,IF(T242="RECEBIMENTO NÃO CONFIRMADO",IF(AND(ISNUMBER(cfg_rec),U242&gt;cfg_rec),1,0),IF(OR(T242="CDF NÃO LOCALIZADO",T242="VÍNCULO INCOMPLETO",T242="CDF A CONFERIR"),IF(AND(ISNUMBER(cfg_cdf),U242&gt;cfg_cdf),1,0),0)))</f>
        <v>0</v>
      </c>
      <c r="AS242" s="96" t="str">
        <f>IF(T242="","",IF(AR242=1,"Alta",IFERROR(INDEX(cfg_pp,MATCH(T242,cfg_pt,0))&amp;"","Média")))</f>
        <v/>
      </c>
      <c r="AT242" s="96" t="str">
        <f>IF(T242="","",IFERROR(INDEX(cfg_pv,MATCH(T242,cfg_pt,0))&amp;"",""))</f>
        <v/>
      </c>
      <c r="AU242" s="96" t="str">
        <f>IF(T242="","",IF(AS242="Alta",1,IF(AS242="Média",2,3))*1000000000+(999999-IF(ISNUMBER(U242),MIN(U242,999999),0))*1000+237)</f>
        <v/>
      </c>
      <c r="AV242" s="96">
        <f>IF(T242&lt;&gt;"",1,0)</f>
        <v>0</v>
      </c>
      <c r="AW242" s="96" t="str">
        <f>IF(Z242=0,"",IF(AA242=1,"Cancelamento informado; ","")&amp;IF(AE242=1,"Campos essenciais ou itens faltando; ","")&amp;IF(AC242=1,"Possível duplicidade do número; ","")&amp;IF(AD242=1,"Cadastro ou datas a revisar; ","")&amp;IF(AF242&gt;0,"Item de resíduo com dado a revisar; ","")&amp;IF(AH242&gt;0,"Diferença de quantidade a analisar; ","")&amp;IF(AK242&gt;0,"Recebimento com alerta; ","")&amp;IF(AL242&gt;0,"Vínculo de CDF com alerta; ","")&amp;IF(AND(AA242=0,AN242=0),"Recebimento não confirmado; ","")&amp;IF(AND(AA242=0,AN242=1,AO242=0),"CDF pendente ou a conferir; ",""))</f>
        <v/>
      </c>
      <c r="AX242" s="96">
        <f>IF(Z242=0,0,IF(AND(OR(f_ini="",AND(ISNUMBER(E242),E242&gt;=f_ini)),OR(f_fim="",AND(ISNUMBER(E242),E242&lt;=f_fim)),OR(f_un="",f_un="(Todas)",G242=f_un),OR(f_tr="",f_tr="(Todos)",H242=f_tr),OR(f_de="",f_de="(Todos)",I242=f_de),OR(f_sit="",f_sit="(Todas)",S242=f_sit)),1,0))</f>
        <v>0</v>
      </c>
      <c r="AY242" s="96">
        <f>IF(AX242=0,0,IF(OR(f_res="",f_res="(Todos)"),1,IF(COUNTIFS('ITENS_MTR'!$S$6:$S$1005,A242,'ITENS_MTR'!$C$6:$C$1005,f_res)&gt;0,1,0)))</f>
        <v>0</v>
      </c>
      <c r="AZ242" s="97" t="str">
        <f>IF(ISNUMBER(E242),DATE(YEAR(E242),MONTH(E242),1),"")</f>
        <v/>
      </c>
      <c r="BA242" s="96">
        <f>IF(Z242=0,0,IF(AND(OR(r_ini="",AND(ISNUMBER(E242),E242&gt;=r_ini)),OR(r_fim="",AND(ISNUMBER(E242),E242&lt;=r_fim)),OR(r_un="",r_un="(Todas)",G242=r_un),OR(r_de="",r_de="(Todos)",I242=r_de)),1,0))</f>
        <v>0</v>
      </c>
      <c r="BB242" s="96" t="str">
        <f>IF(BA242=1,COUNTIF($BA$6:BA242,1),"")</f>
        <v/>
      </c>
      <c r="BC242" s="96" t="str">
        <f>IF(AND(AU242&lt;&gt;"",OR(r_un="",r_un="(Todas)",G242=r_un),OR(r_de="",r_de="(Todos)",I242=r_de)),AU242,"")</f>
        <v/>
      </c>
      <c r="BD242" s="96" t="str">
        <f>IF(Z242=1,A242&amp;" | nº "&amp;IF(B242="","(sem número)",B242)&amp;" | "&amp;IF(G242="","(sem unidade)",G242),"")</f>
        <v/>
      </c>
      <c r="BE242" s="96" t="str">
        <f>IF(Z242=1,COUNTIF($Z$6:Z242,1),"")</f>
        <v/>
      </c>
      <c r="BF242" s="96" t="str">
        <f>IF(T242="","",IF(T242="RECEBIMENTO NÃO CONFIRMADO","Transp.: "&amp;H242&amp;" | Dest.: "&amp;I242,IF(OR(T242="CDF NÃO LOCALIZADO",T242="VÍNCULO INCOMPLETO",T242="CDF A CONFERIR"),"Dest.: "&amp;I242,"Gerador: "&amp;G242)))</f>
        <v/>
      </c>
    </row>
    <row r="243">
      <c r="A243" s="89" t="inlineStr">
        <is>
          <t>MTR-000238</t>
        </is>
      </c>
      <c r="B243" s="90" t="n"/>
      <c r="C243" s="91" t="n"/>
      <c r="D243" s="91" t="n"/>
      <c r="E243" s="92" t="n"/>
      <c r="F243" s="92" t="n"/>
      <c r="G243" s="91" t="n"/>
      <c r="H243" s="91" t="n"/>
      <c r="I243" s="91" t="n"/>
      <c r="J243" s="91" t="n"/>
      <c r="K243" s="91" t="n"/>
      <c r="L243" s="92" t="n"/>
      <c r="M243" s="91" t="n"/>
      <c r="N243" s="91" t="n"/>
      <c r="O243" s="91" t="n"/>
      <c r="P243" s="93" t="str">
        <f>IF(Z243=0,"",SUMIFS('ITENS_MTR'!$I$6:$I$1005,'ITENS_MTR'!$S$6:$S$1005,A243,'ITENS_MTR'!$Y$6:$Y$1005,1))</f>
        <v/>
      </c>
      <c r="Q243" s="93" t="str">
        <f>IF(Z243=0,"",SUMIFS('RECEBIMENTOS'!$H$6:$H$1005,'RECEBIMENTOS'!$B$6:$B$1005,A243,'RECEBIMENTOS'!$X$6:$X$1005,1))</f>
        <v/>
      </c>
      <c r="R243" s="93" t="str">
        <f>IF(Z243=0,"",SUMIFS('VÍNCULOS_CDF'!$H$6:$H$1005,'VÍNCULOS_CDF'!$D$6:$D$1005,A243,'VÍNCULOS_CDF'!$V$6:$V$1005,1))</f>
        <v/>
      </c>
      <c r="S243" s="94" t="str">
        <f>IF(Z243=0,"",IF(AA243=1,"Cancelado (informado)",IF(AE243=1,"Cadastro incompleto",IF(OR(AC243=1,AD243=1,AF243&gt;0,AH243&gt;0,AK243&gt;0,AL243&gt;0),"Informação a revisar",IF(AN243=0,"Aguardando recebimento",IF(N(R243)=0,"Aguardando CDF",IF(AJ243&lt;N(W243),"Vínculo de CDF parcial",IF(AO243=0,"CDF localizado, a conferir","Documentação conferida"))))))))</f>
        <v/>
      </c>
      <c r="T243" s="94" t="str">
        <f>IF(Z243=0,"",IF(S243="Cadastro incompleto","MTR INCOMPLETO",IF(S243="Informação a revisar",IF(AND(AH243&gt;0,AC243=0,AD243=0,AF243=0,AK243=0,AL243=0),"QUANTIDADE A REVISAR","IDENTIFICAÇÃO A REVISAR"),IF(S243="Aguardando recebimento","RECEBIMENTO NÃO CONFIRMADO",IF(S243="Aguardando CDF","CDF NÃO LOCALIZADO",IF(S243="Vínculo de CDF parcial","VÍNCULO INCOMPLETO",IF(S243="CDF localizado, a conferir","CDF A CONFERIR","")))))))</f>
        <v/>
      </c>
      <c r="U243" s="95" t="str">
        <f>IF(T243="","",IF(AQ243="","Não calculável",IF(AQ243&gt;TODAY(),"Data futura",TODAY()-AQ243)))</f>
        <v/>
      </c>
      <c r="V243" s="93" t="str">
        <f>IF(Z243=0,"",SUMIFS('RECEBIMENTOS'!$H$6:$H$1005,'RECEBIMENTOS'!$B$6:$B$1005,A243,'RECEBIMENTOS'!$Z$6:$Z$1005,1))</f>
        <v/>
      </c>
      <c r="W243" s="95" t="str">
        <f>IF(Z243=0,"",COUNTIFS('ITENS_MTR'!$S$6:$S$1005,A243,'ITENS_MTR'!$R$6:$R$1005,1))</f>
        <v/>
      </c>
      <c r="X243" s="94" t="str">
        <f>IF(AC243=1,"POSSÍVEL DUPLICIDADE","")</f>
        <v/>
      </c>
      <c r="Y243" s="94" t="str">
        <f>IF(Z243=0,"",IF(AW243="","Nenhuma",LEFT(AW243,LEN(AW243)-2)))</f>
        <v/>
      </c>
      <c r="Z243" s="96">
        <f>IF(COUNTA(B243:O243)&gt;0,1,0)</f>
        <v>0</v>
      </c>
      <c r="AA243" s="96">
        <f>IF(AND(Z243=1,K243&lt;&gt;""),IF(TRIM(K243)=TRIM(cfg_cancel),1,0),0)</f>
        <v>0</v>
      </c>
      <c r="AB243" s="96" t="str">
        <f>IF(AND(Z243=1,B243&lt;&gt;""),C243&amp;"|"&amp;D243&amp;"|"&amp;G243&amp;"|"&amp;TRIM(B243),"")</f>
        <v/>
      </c>
      <c r="AC243" s="96">
        <f>IF(AB243="",0,IF(SUMPRODUCT(--($AB$6:$AB$505=AB243))&gt;1,1,0))</f>
        <v>0</v>
      </c>
      <c r="AD243" s="96">
        <f>IF(Z243=0,0,IF(OR(AND(G243&lt;&gt;"",ISNA(MATCH(G243,'CAD_UNIDADES'!$C$6:$C$105,0))),AND(H243&lt;&gt;"",ISNA(MATCH(H243,cmp_transp,0))),AND(I243&lt;&gt;"",ISNA(MATCH(I243,cmp_dest,0))),AND(E243&lt;&gt;"",NOT(ISNUMBER(E243))),AND(F243&lt;&gt;"",NOT(ISNUMBER(F243))),AND(ISNUMBER(E243),ISNUMBER(F243),F243&lt;E243)),1,0))</f>
        <v>0</v>
      </c>
      <c r="AE243" s="96">
        <f>IF(Z243=0,0,IF(OR(B243="",C243="",E243="",G243="",H243="",I243="",N(W243)=0),1,0))</f>
        <v>0</v>
      </c>
      <c r="AF243" s="96">
        <f>IF(Z243=0,0,COUNTIFS('ITENS_MTR'!$S$6:$S$1005,A243,'ITENS_MTR'!$AI$6:$AI$1005,1))</f>
        <v>0</v>
      </c>
      <c r="AG243" s="96">
        <f>IF(Z243=0,0,COUNTIFS('ITENS_MTR'!$S$6:$S$1005,A243,'ITENS_MTR'!$AJ$6:$AJ$1005,1))</f>
        <v>0</v>
      </c>
      <c r="AH243" s="96">
        <f>IF(Z243=0,0,COUNTIFS('ITENS_MTR'!$S$6:$S$1005,A243,'ITENS_MTR'!$AM$6:$AM$1005,1))</f>
        <v>0</v>
      </c>
      <c r="AI243" s="96">
        <f>IF(Z243=0,0,COUNTIFS('ITENS_MTR'!$S$6:$S$1005,A243,'ITENS_MTR'!$AO$6:$AO$1005,1))</f>
        <v>0</v>
      </c>
      <c r="AJ243" s="96">
        <f>IF(Z243=0,0,COUNTIFS('ITENS_MTR'!$S$6:$S$1005,A243,'ITENS_MTR'!$AN$6:$AN$1005,1))</f>
        <v>0</v>
      </c>
      <c r="AK243" s="96">
        <f>IF(Z243=0,0,COUNTIFS('RECEBIMENTOS'!$B$6:$B$1005,A243,'RECEBIMENTOS'!$Y$6:$Y$1005,1))</f>
        <v>0</v>
      </c>
      <c r="AL243" s="96">
        <f>IF(Z243=0,0,COUNTIFS('VÍNCULOS_CDF'!$D$6:$D$1005,A243,'VÍNCULOS_CDF'!$Y$6:$Y$1005,1))</f>
        <v>0</v>
      </c>
      <c r="AM243" s="96">
        <f>IF(Z243=0,0,COUNTIFS('RECEBIMENTOS'!$B$6:$B$1005,A243,'RECEBIMENTOS'!$Q$6:$Q$1005,1))</f>
        <v>0</v>
      </c>
      <c r="AN243" s="96">
        <f>IF(AND(Z243=1,N(W243)&gt;0,AG243=N(W243)),1,0)</f>
        <v>0</v>
      </c>
      <c r="AO243" s="96">
        <f>IF(AND(Z243=1,N(W243)&gt;0,AI243=N(W243)),1,0)</f>
        <v>0</v>
      </c>
      <c r="AP243" s="97">
        <f>IF(Z243=0,0,_xlfn.MAXIFS('RECEBIMENTOS'!$E$6:$E$1005,'RECEBIMENTOS'!$B$6:$B$1005,A243))</f>
        <v>0</v>
      </c>
      <c r="AQ243" s="97" t="str">
        <f>IF(T243="","",IF(T243="RECEBIMENTO NÃO CONFIRMADO",IF(ISNUMBER(F243),F243,IF(ISNUMBER(E243),E243,"")),IF(OR(T243="CDF NÃO LOCALIZADO",T243="VÍNCULO INCOMPLETO",T243="CDF A CONFERIR"),IF(AP243&gt;0,AP243,IF(ISNUMBER(E243),E243,"")),IF(ISNUMBER(E243),E243,""))))</f>
        <v/>
      </c>
      <c r="AR243" s="96">
        <f>IF(NOT(ISNUMBER(U243)),0,IF(T243="RECEBIMENTO NÃO CONFIRMADO",IF(AND(ISNUMBER(cfg_rec),U243&gt;cfg_rec),1,0),IF(OR(T243="CDF NÃO LOCALIZADO",T243="VÍNCULO INCOMPLETO",T243="CDF A CONFERIR"),IF(AND(ISNUMBER(cfg_cdf),U243&gt;cfg_cdf),1,0),0)))</f>
        <v>0</v>
      </c>
      <c r="AS243" s="96" t="str">
        <f>IF(T243="","",IF(AR243=1,"Alta",IFERROR(INDEX(cfg_pp,MATCH(T243,cfg_pt,0))&amp;"","Média")))</f>
        <v/>
      </c>
      <c r="AT243" s="96" t="str">
        <f>IF(T243="","",IFERROR(INDEX(cfg_pv,MATCH(T243,cfg_pt,0))&amp;"",""))</f>
        <v/>
      </c>
      <c r="AU243" s="96" t="str">
        <f>IF(T243="","",IF(AS243="Alta",1,IF(AS243="Média",2,3))*1000000000+(999999-IF(ISNUMBER(U243),MIN(U243,999999),0))*1000+238)</f>
        <v/>
      </c>
      <c r="AV243" s="96">
        <f>IF(T243&lt;&gt;"",1,0)</f>
        <v>0</v>
      </c>
      <c r="AW243" s="96" t="str">
        <f>IF(Z243=0,"",IF(AA243=1,"Cancelamento informado; ","")&amp;IF(AE243=1,"Campos essenciais ou itens faltando; ","")&amp;IF(AC243=1,"Possível duplicidade do número; ","")&amp;IF(AD243=1,"Cadastro ou datas a revisar; ","")&amp;IF(AF243&gt;0,"Item de resíduo com dado a revisar; ","")&amp;IF(AH243&gt;0,"Diferença de quantidade a analisar; ","")&amp;IF(AK243&gt;0,"Recebimento com alerta; ","")&amp;IF(AL243&gt;0,"Vínculo de CDF com alerta; ","")&amp;IF(AND(AA243=0,AN243=0),"Recebimento não confirmado; ","")&amp;IF(AND(AA243=0,AN243=1,AO243=0),"CDF pendente ou a conferir; ",""))</f>
        <v/>
      </c>
      <c r="AX243" s="96">
        <f>IF(Z243=0,0,IF(AND(OR(f_ini="",AND(ISNUMBER(E243),E243&gt;=f_ini)),OR(f_fim="",AND(ISNUMBER(E243),E243&lt;=f_fim)),OR(f_un="",f_un="(Todas)",G243=f_un),OR(f_tr="",f_tr="(Todos)",H243=f_tr),OR(f_de="",f_de="(Todos)",I243=f_de),OR(f_sit="",f_sit="(Todas)",S243=f_sit)),1,0))</f>
        <v>0</v>
      </c>
      <c r="AY243" s="96">
        <f>IF(AX243=0,0,IF(OR(f_res="",f_res="(Todos)"),1,IF(COUNTIFS('ITENS_MTR'!$S$6:$S$1005,A243,'ITENS_MTR'!$C$6:$C$1005,f_res)&gt;0,1,0)))</f>
        <v>0</v>
      </c>
      <c r="AZ243" s="97" t="str">
        <f>IF(ISNUMBER(E243),DATE(YEAR(E243),MONTH(E243),1),"")</f>
        <v/>
      </c>
      <c r="BA243" s="96">
        <f>IF(Z243=0,0,IF(AND(OR(r_ini="",AND(ISNUMBER(E243),E243&gt;=r_ini)),OR(r_fim="",AND(ISNUMBER(E243),E243&lt;=r_fim)),OR(r_un="",r_un="(Todas)",G243=r_un),OR(r_de="",r_de="(Todos)",I243=r_de)),1,0))</f>
        <v>0</v>
      </c>
      <c r="BB243" s="96" t="str">
        <f>IF(BA243=1,COUNTIF($BA$6:BA243,1),"")</f>
        <v/>
      </c>
      <c r="BC243" s="96" t="str">
        <f>IF(AND(AU243&lt;&gt;"",OR(r_un="",r_un="(Todas)",G243=r_un),OR(r_de="",r_de="(Todos)",I243=r_de)),AU243,"")</f>
        <v/>
      </c>
      <c r="BD243" s="96" t="str">
        <f>IF(Z243=1,A243&amp;" | nº "&amp;IF(B243="","(sem número)",B243)&amp;" | "&amp;IF(G243="","(sem unidade)",G243),"")</f>
        <v/>
      </c>
      <c r="BE243" s="96" t="str">
        <f>IF(Z243=1,COUNTIF($Z$6:Z243,1),"")</f>
        <v/>
      </c>
      <c r="BF243" s="96" t="str">
        <f>IF(T243="","",IF(T243="RECEBIMENTO NÃO CONFIRMADO","Transp.: "&amp;H243&amp;" | Dest.: "&amp;I243,IF(OR(T243="CDF NÃO LOCALIZADO",T243="VÍNCULO INCOMPLETO",T243="CDF A CONFERIR"),"Dest.: "&amp;I243,"Gerador: "&amp;G243)))</f>
        <v/>
      </c>
    </row>
    <row r="244">
      <c r="A244" s="89" t="inlineStr">
        <is>
          <t>MTR-000239</t>
        </is>
      </c>
      <c r="B244" s="90" t="n"/>
      <c r="C244" s="91" t="n"/>
      <c r="D244" s="91" t="n"/>
      <c r="E244" s="92" t="n"/>
      <c r="F244" s="92" t="n"/>
      <c r="G244" s="91" t="n"/>
      <c r="H244" s="91" t="n"/>
      <c r="I244" s="91" t="n"/>
      <c r="J244" s="91" t="n"/>
      <c r="K244" s="91" t="n"/>
      <c r="L244" s="92" t="n"/>
      <c r="M244" s="91" t="n"/>
      <c r="N244" s="91" t="n"/>
      <c r="O244" s="91" t="n"/>
      <c r="P244" s="93" t="str">
        <f>IF(Z244=0,"",SUMIFS('ITENS_MTR'!$I$6:$I$1005,'ITENS_MTR'!$S$6:$S$1005,A244,'ITENS_MTR'!$Y$6:$Y$1005,1))</f>
        <v/>
      </c>
      <c r="Q244" s="93" t="str">
        <f>IF(Z244=0,"",SUMIFS('RECEBIMENTOS'!$H$6:$H$1005,'RECEBIMENTOS'!$B$6:$B$1005,A244,'RECEBIMENTOS'!$X$6:$X$1005,1))</f>
        <v/>
      </c>
      <c r="R244" s="93" t="str">
        <f>IF(Z244=0,"",SUMIFS('VÍNCULOS_CDF'!$H$6:$H$1005,'VÍNCULOS_CDF'!$D$6:$D$1005,A244,'VÍNCULOS_CDF'!$V$6:$V$1005,1))</f>
        <v/>
      </c>
      <c r="S244" s="94" t="str">
        <f>IF(Z244=0,"",IF(AA244=1,"Cancelado (informado)",IF(AE244=1,"Cadastro incompleto",IF(OR(AC244=1,AD244=1,AF244&gt;0,AH244&gt;0,AK244&gt;0,AL244&gt;0),"Informação a revisar",IF(AN244=0,"Aguardando recebimento",IF(N(R244)=0,"Aguardando CDF",IF(AJ244&lt;N(W244),"Vínculo de CDF parcial",IF(AO244=0,"CDF localizado, a conferir","Documentação conferida"))))))))</f>
        <v/>
      </c>
      <c r="T244" s="94" t="str">
        <f>IF(Z244=0,"",IF(S244="Cadastro incompleto","MTR INCOMPLETO",IF(S244="Informação a revisar",IF(AND(AH244&gt;0,AC244=0,AD244=0,AF244=0,AK244=0,AL244=0),"QUANTIDADE A REVISAR","IDENTIFICAÇÃO A REVISAR"),IF(S244="Aguardando recebimento","RECEBIMENTO NÃO CONFIRMADO",IF(S244="Aguardando CDF","CDF NÃO LOCALIZADO",IF(S244="Vínculo de CDF parcial","VÍNCULO INCOMPLETO",IF(S244="CDF localizado, a conferir","CDF A CONFERIR","")))))))</f>
        <v/>
      </c>
      <c r="U244" s="95" t="str">
        <f>IF(T244="","",IF(AQ244="","Não calculável",IF(AQ244&gt;TODAY(),"Data futura",TODAY()-AQ244)))</f>
        <v/>
      </c>
      <c r="V244" s="93" t="str">
        <f>IF(Z244=0,"",SUMIFS('RECEBIMENTOS'!$H$6:$H$1005,'RECEBIMENTOS'!$B$6:$B$1005,A244,'RECEBIMENTOS'!$Z$6:$Z$1005,1))</f>
        <v/>
      </c>
      <c r="W244" s="95" t="str">
        <f>IF(Z244=0,"",COUNTIFS('ITENS_MTR'!$S$6:$S$1005,A244,'ITENS_MTR'!$R$6:$R$1005,1))</f>
        <v/>
      </c>
      <c r="X244" s="94" t="str">
        <f>IF(AC244=1,"POSSÍVEL DUPLICIDADE","")</f>
        <v/>
      </c>
      <c r="Y244" s="94" t="str">
        <f>IF(Z244=0,"",IF(AW244="","Nenhuma",LEFT(AW244,LEN(AW244)-2)))</f>
        <v/>
      </c>
      <c r="Z244" s="96">
        <f>IF(COUNTA(B244:O244)&gt;0,1,0)</f>
        <v>0</v>
      </c>
      <c r="AA244" s="96">
        <f>IF(AND(Z244=1,K244&lt;&gt;""),IF(TRIM(K244)=TRIM(cfg_cancel),1,0),0)</f>
        <v>0</v>
      </c>
      <c r="AB244" s="96" t="str">
        <f>IF(AND(Z244=1,B244&lt;&gt;""),C244&amp;"|"&amp;D244&amp;"|"&amp;G244&amp;"|"&amp;TRIM(B244),"")</f>
        <v/>
      </c>
      <c r="AC244" s="96">
        <f>IF(AB244="",0,IF(SUMPRODUCT(--($AB$6:$AB$505=AB244))&gt;1,1,0))</f>
        <v>0</v>
      </c>
      <c r="AD244" s="96">
        <f>IF(Z244=0,0,IF(OR(AND(G244&lt;&gt;"",ISNA(MATCH(G244,'CAD_UNIDADES'!$C$6:$C$105,0))),AND(H244&lt;&gt;"",ISNA(MATCH(H244,cmp_transp,0))),AND(I244&lt;&gt;"",ISNA(MATCH(I244,cmp_dest,0))),AND(E244&lt;&gt;"",NOT(ISNUMBER(E244))),AND(F244&lt;&gt;"",NOT(ISNUMBER(F244))),AND(ISNUMBER(E244),ISNUMBER(F244),F244&lt;E244)),1,0))</f>
        <v>0</v>
      </c>
      <c r="AE244" s="96">
        <f>IF(Z244=0,0,IF(OR(B244="",C244="",E244="",G244="",H244="",I244="",N(W244)=0),1,0))</f>
        <v>0</v>
      </c>
      <c r="AF244" s="96">
        <f>IF(Z244=0,0,COUNTIFS('ITENS_MTR'!$S$6:$S$1005,A244,'ITENS_MTR'!$AI$6:$AI$1005,1))</f>
        <v>0</v>
      </c>
      <c r="AG244" s="96">
        <f>IF(Z244=0,0,COUNTIFS('ITENS_MTR'!$S$6:$S$1005,A244,'ITENS_MTR'!$AJ$6:$AJ$1005,1))</f>
        <v>0</v>
      </c>
      <c r="AH244" s="96">
        <f>IF(Z244=0,0,COUNTIFS('ITENS_MTR'!$S$6:$S$1005,A244,'ITENS_MTR'!$AM$6:$AM$1005,1))</f>
        <v>0</v>
      </c>
      <c r="AI244" s="96">
        <f>IF(Z244=0,0,COUNTIFS('ITENS_MTR'!$S$6:$S$1005,A244,'ITENS_MTR'!$AO$6:$AO$1005,1))</f>
        <v>0</v>
      </c>
      <c r="AJ244" s="96">
        <f>IF(Z244=0,0,COUNTIFS('ITENS_MTR'!$S$6:$S$1005,A244,'ITENS_MTR'!$AN$6:$AN$1005,1))</f>
        <v>0</v>
      </c>
      <c r="AK244" s="96">
        <f>IF(Z244=0,0,COUNTIFS('RECEBIMENTOS'!$B$6:$B$1005,A244,'RECEBIMENTOS'!$Y$6:$Y$1005,1))</f>
        <v>0</v>
      </c>
      <c r="AL244" s="96">
        <f>IF(Z244=0,0,COUNTIFS('VÍNCULOS_CDF'!$D$6:$D$1005,A244,'VÍNCULOS_CDF'!$Y$6:$Y$1005,1))</f>
        <v>0</v>
      </c>
      <c r="AM244" s="96">
        <f>IF(Z244=0,0,COUNTIFS('RECEBIMENTOS'!$B$6:$B$1005,A244,'RECEBIMENTOS'!$Q$6:$Q$1005,1))</f>
        <v>0</v>
      </c>
      <c r="AN244" s="96">
        <f>IF(AND(Z244=1,N(W244)&gt;0,AG244=N(W244)),1,0)</f>
        <v>0</v>
      </c>
      <c r="AO244" s="96">
        <f>IF(AND(Z244=1,N(W244)&gt;0,AI244=N(W244)),1,0)</f>
        <v>0</v>
      </c>
      <c r="AP244" s="97">
        <f>IF(Z244=0,0,_xlfn.MAXIFS('RECEBIMENTOS'!$E$6:$E$1005,'RECEBIMENTOS'!$B$6:$B$1005,A244))</f>
        <v>0</v>
      </c>
      <c r="AQ244" s="97" t="str">
        <f>IF(T244="","",IF(T244="RECEBIMENTO NÃO CONFIRMADO",IF(ISNUMBER(F244),F244,IF(ISNUMBER(E244),E244,"")),IF(OR(T244="CDF NÃO LOCALIZADO",T244="VÍNCULO INCOMPLETO",T244="CDF A CONFERIR"),IF(AP244&gt;0,AP244,IF(ISNUMBER(E244),E244,"")),IF(ISNUMBER(E244),E244,""))))</f>
        <v/>
      </c>
      <c r="AR244" s="96">
        <f>IF(NOT(ISNUMBER(U244)),0,IF(T244="RECEBIMENTO NÃO CONFIRMADO",IF(AND(ISNUMBER(cfg_rec),U244&gt;cfg_rec),1,0),IF(OR(T244="CDF NÃO LOCALIZADO",T244="VÍNCULO INCOMPLETO",T244="CDF A CONFERIR"),IF(AND(ISNUMBER(cfg_cdf),U244&gt;cfg_cdf),1,0),0)))</f>
        <v>0</v>
      </c>
      <c r="AS244" s="96" t="str">
        <f>IF(T244="","",IF(AR244=1,"Alta",IFERROR(INDEX(cfg_pp,MATCH(T244,cfg_pt,0))&amp;"","Média")))</f>
        <v/>
      </c>
      <c r="AT244" s="96" t="str">
        <f>IF(T244="","",IFERROR(INDEX(cfg_pv,MATCH(T244,cfg_pt,0))&amp;"",""))</f>
        <v/>
      </c>
      <c r="AU244" s="96" t="str">
        <f>IF(T244="","",IF(AS244="Alta",1,IF(AS244="Média",2,3))*1000000000+(999999-IF(ISNUMBER(U244),MIN(U244,999999),0))*1000+239)</f>
        <v/>
      </c>
      <c r="AV244" s="96">
        <f>IF(T244&lt;&gt;"",1,0)</f>
        <v>0</v>
      </c>
      <c r="AW244" s="96" t="str">
        <f>IF(Z244=0,"",IF(AA244=1,"Cancelamento informado; ","")&amp;IF(AE244=1,"Campos essenciais ou itens faltando; ","")&amp;IF(AC244=1,"Possível duplicidade do número; ","")&amp;IF(AD244=1,"Cadastro ou datas a revisar; ","")&amp;IF(AF244&gt;0,"Item de resíduo com dado a revisar; ","")&amp;IF(AH244&gt;0,"Diferença de quantidade a analisar; ","")&amp;IF(AK244&gt;0,"Recebimento com alerta; ","")&amp;IF(AL244&gt;0,"Vínculo de CDF com alerta; ","")&amp;IF(AND(AA244=0,AN244=0),"Recebimento não confirmado; ","")&amp;IF(AND(AA244=0,AN244=1,AO244=0),"CDF pendente ou a conferir; ",""))</f>
        <v/>
      </c>
      <c r="AX244" s="96">
        <f>IF(Z244=0,0,IF(AND(OR(f_ini="",AND(ISNUMBER(E244),E244&gt;=f_ini)),OR(f_fim="",AND(ISNUMBER(E244),E244&lt;=f_fim)),OR(f_un="",f_un="(Todas)",G244=f_un),OR(f_tr="",f_tr="(Todos)",H244=f_tr),OR(f_de="",f_de="(Todos)",I244=f_de),OR(f_sit="",f_sit="(Todas)",S244=f_sit)),1,0))</f>
        <v>0</v>
      </c>
      <c r="AY244" s="96">
        <f>IF(AX244=0,0,IF(OR(f_res="",f_res="(Todos)"),1,IF(COUNTIFS('ITENS_MTR'!$S$6:$S$1005,A244,'ITENS_MTR'!$C$6:$C$1005,f_res)&gt;0,1,0)))</f>
        <v>0</v>
      </c>
      <c r="AZ244" s="97" t="str">
        <f>IF(ISNUMBER(E244),DATE(YEAR(E244),MONTH(E244),1),"")</f>
        <v/>
      </c>
      <c r="BA244" s="96">
        <f>IF(Z244=0,0,IF(AND(OR(r_ini="",AND(ISNUMBER(E244),E244&gt;=r_ini)),OR(r_fim="",AND(ISNUMBER(E244),E244&lt;=r_fim)),OR(r_un="",r_un="(Todas)",G244=r_un),OR(r_de="",r_de="(Todos)",I244=r_de)),1,0))</f>
        <v>0</v>
      </c>
      <c r="BB244" s="96" t="str">
        <f>IF(BA244=1,COUNTIF($BA$6:BA244,1),"")</f>
        <v/>
      </c>
      <c r="BC244" s="96" t="str">
        <f>IF(AND(AU244&lt;&gt;"",OR(r_un="",r_un="(Todas)",G244=r_un),OR(r_de="",r_de="(Todos)",I244=r_de)),AU244,"")</f>
        <v/>
      </c>
      <c r="BD244" s="96" t="str">
        <f>IF(Z244=1,A244&amp;" | nº "&amp;IF(B244="","(sem número)",B244)&amp;" | "&amp;IF(G244="","(sem unidade)",G244),"")</f>
        <v/>
      </c>
      <c r="BE244" s="96" t="str">
        <f>IF(Z244=1,COUNTIF($Z$6:Z244,1),"")</f>
        <v/>
      </c>
      <c r="BF244" s="96" t="str">
        <f>IF(T244="","",IF(T244="RECEBIMENTO NÃO CONFIRMADO","Transp.: "&amp;H244&amp;" | Dest.: "&amp;I244,IF(OR(T244="CDF NÃO LOCALIZADO",T244="VÍNCULO INCOMPLETO",T244="CDF A CONFERIR"),"Dest.: "&amp;I244,"Gerador: "&amp;G244)))</f>
        <v/>
      </c>
    </row>
    <row r="245">
      <c r="A245" s="89" t="inlineStr">
        <is>
          <t>MTR-000240</t>
        </is>
      </c>
      <c r="B245" s="90" t="n"/>
      <c r="C245" s="91" t="n"/>
      <c r="D245" s="91" t="n"/>
      <c r="E245" s="92" t="n"/>
      <c r="F245" s="92" t="n"/>
      <c r="G245" s="91" t="n"/>
      <c r="H245" s="91" t="n"/>
      <c r="I245" s="91" t="n"/>
      <c r="J245" s="91" t="n"/>
      <c r="K245" s="91" t="n"/>
      <c r="L245" s="92" t="n"/>
      <c r="M245" s="91" t="n"/>
      <c r="N245" s="91" t="n"/>
      <c r="O245" s="91" t="n"/>
      <c r="P245" s="93" t="str">
        <f>IF(Z245=0,"",SUMIFS('ITENS_MTR'!$I$6:$I$1005,'ITENS_MTR'!$S$6:$S$1005,A245,'ITENS_MTR'!$Y$6:$Y$1005,1))</f>
        <v/>
      </c>
      <c r="Q245" s="93" t="str">
        <f>IF(Z245=0,"",SUMIFS('RECEBIMENTOS'!$H$6:$H$1005,'RECEBIMENTOS'!$B$6:$B$1005,A245,'RECEBIMENTOS'!$X$6:$X$1005,1))</f>
        <v/>
      </c>
      <c r="R245" s="93" t="str">
        <f>IF(Z245=0,"",SUMIFS('VÍNCULOS_CDF'!$H$6:$H$1005,'VÍNCULOS_CDF'!$D$6:$D$1005,A245,'VÍNCULOS_CDF'!$V$6:$V$1005,1))</f>
        <v/>
      </c>
      <c r="S245" s="94" t="str">
        <f>IF(Z245=0,"",IF(AA245=1,"Cancelado (informado)",IF(AE245=1,"Cadastro incompleto",IF(OR(AC245=1,AD245=1,AF245&gt;0,AH245&gt;0,AK245&gt;0,AL245&gt;0),"Informação a revisar",IF(AN245=0,"Aguardando recebimento",IF(N(R245)=0,"Aguardando CDF",IF(AJ245&lt;N(W245),"Vínculo de CDF parcial",IF(AO245=0,"CDF localizado, a conferir","Documentação conferida"))))))))</f>
        <v/>
      </c>
      <c r="T245" s="94" t="str">
        <f>IF(Z245=0,"",IF(S245="Cadastro incompleto","MTR INCOMPLETO",IF(S245="Informação a revisar",IF(AND(AH245&gt;0,AC245=0,AD245=0,AF245=0,AK245=0,AL245=0),"QUANTIDADE A REVISAR","IDENTIFICAÇÃO A REVISAR"),IF(S245="Aguardando recebimento","RECEBIMENTO NÃO CONFIRMADO",IF(S245="Aguardando CDF","CDF NÃO LOCALIZADO",IF(S245="Vínculo de CDF parcial","VÍNCULO INCOMPLETO",IF(S245="CDF localizado, a conferir","CDF A CONFERIR","")))))))</f>
        <v/>
      </c>
      <c r="U245" s="95" t="str">
        <f>IF(T245="","",IF(AQ245="","Não calculável",IF(AQ245&gt;TODAY(),"Data futura",TODAY()-AQ245)))</f>
        <v/>
      </c>
      <c r="V245" s="93" t="str">
        <f>IF(Z245=0,"",SUMIFS('RECEBIMENTOS'!$H$6:$H$1005,'RECEBIMENTOS'!$B$6:$B$1005,A245,'RECEBIMENTOS'!$Z$6:$Z$1005,1))</f>
        <v/>
      </c>
      <c r="W245" s="95" t="str">
        <f>IF(Z245=0,"",COUNTIFS('ITENS_MTR'!$S$6:$S$1005,A245,'ITENS_MTR'!$R$6:$R$1005,1))</f>
        <v/>
      </c>
      <c r="X245" s="94" t="str">
        <f>IF(AC245=1,"POSSÍVEL DUPLICIDADE","")</f>
        <v/>
      </c>
      <c r="Y245" s="94" t="str">
        <f>IF(Z245=0,"",IF(AW245="","Nenhuma",LEFT(AW245,LEN(AW245)-2)))</f>
        <v/>
      </c>
      <c r="Z245" s="96">
        <f>IF(COUNTA(B245:O245)&gt;0,1,0)</f>
        <v>0</v>
      </c>
      <c r="AA245" s="96">
        <f>IF(AND(Z245=1,K245&lt;&gt;""),IF(TRIM(K245)=TRIM(cfg_cancel),1,0),0)</f>
        <v>0</v>
      </c>
      <c r="AB245" s="96" t="str">
        <f>IF(AND(Z245=1,B245&lt;&gt;""),C245&amp;"|"&amp;D245&amp;"|"&amp;G245&amp;"|"&amp;TRIM(B245),"")</f>
        <v/>
      </c>
      <c r="AC245" s="96">
        <f>IF(AB245="",0,IF(SUMPRODUCT(--($AB$6:$AB$505=AB245))&gt;1,1,0))</f>
        <v>0</v>
      </c>
      <c r="AD245" s="96">
        <f>IF(Z245=0,0,IF(OR(AND(G245&lt;&gt;"",ISNA(MATCH(G245,'CAD_UNIDADES'!$C$6:$C$105,0))),AND(H245&lt;&gt;"",ISNA(MATCH(H245,cmp_transp,0))),AND(I245&lt;&gt;"",ISNA(MATCH(I245,cmp_dest,0))),AND(E245&lt;&gt;"",NOT(ISNUMBER(E245))),AND(F245&lt;&gt;"",NOT(ISNUMBER(F245))),AND(ISNUMBER(E245),ISNUMBER(F245),F245&lt;E245)),1,0))</f>
        <v>0</v>
      </c>
      <c r="AE245" s="96">
        <f>IF(Z245=0,0,IF(OR(B245="",C245="",E245="",G245="",H245="",I245="",N(W245)=0),1,0))</f>
        <v>0</v>
      </c>
      <c r="AF245" s="96">
        <f>IF(Z245=0,0,COUNTIFS('ITENS_MTR'!$S$6:$S$1005,A245,'ITENS_MTR'!$AI$6:$AI$1005,1))</f>
        <v>0</v>
      </c>
      <c r="AG245" s="96">
        <f>IF(Z245=0,0,COUNTIFS('ITENS_MTR'!$S$6:$S$1005,A245,'ITENS_MTR'!$AJ$6:$AJ$1005,1))</f>
        <v>0</v>
      </c>
      <c r="AH245" s="96">
        <f>IF(Z245=0,0,COUNTIFS('ITENS_MTR'!$S$6:$S$1005,A245,'ITENS_MTR'!$AM$6:$AM$1005,1))</f>
        <v>0</v>
      </c>
      <c r="AI245" s="96">
        <f>IF(Z245=0,0,COUNTIFS('ITENS_MTR'!$S$6:$S$1005,A245,'ITENS_MTR'!$AO$6:$AO$1005,1))</f>
        <v>0</v>
      </c>
      <c r="AJ245" s="96">
        <f>IF(Z245=0,0,COUNTIFS('ITENS_MTR'!$S$6:$S$1005,A245,'ITENS_MTR'!$AN$6:$AN$1005,1))</f>
        <v>0</v>
      </c>
      <c r="AK245" s="96">
        <f>IF(Z245=0,0,COUNTIFS('RECEBIMENTOS'!$B$6:$B$1005,A245,'RECEBIMENTOS'!$Y$6:$Y$1005,1))</f>
        <v>0</v>
      </c>
      <c r="AL245" s="96">
        <f>IF(Z245=0,0,COUNTIFS('VÍNCULOS_CDF'!$D$6:$D$1005,A245,'VÍNCULOS_CDF'!$Y$6:$Y$1005,1))</f>
        <v>0</v>
      </c>
      <c r="AM245" s="96">
        <f>IF(Z245=0,0,COUNTIFS('RECEBIMENTOS'!$B$6:$B$1005,A245,'RECEBIMENTOS'!$Q$6:$Q$1005,1))</f>
        <v>0</v>
      </c>
      <c r="AN245" s="96">
        <f>IF(AND(Z245=1,N(W245)&gt;0,AG245=N(W245)),1,0)</f>
        <v>0</v>
      </c>
      <c r="AO245" s="96">
        <f>IF(AND(Z245=1,N(W245)&gt;0,AI245=N(W245)),1,0)</f>
        <v>0</v>
      </c>
      <c r="AP245" s="97">
        <f>IF(Z245=0,0,_xlfn.MAXIFS('RECEBIMENTOS'!$E$6:$E$1005,'RECEBIMENTOS'!$B$6:$B$1005,A245))</f>
        <v>0</v>
      </c>
      <c r="AQ245" s="97" t="str">
        <f>IF(T245="","",IF(T245="RECEBIMENTO NÃO CONFIRMADO",IF(ISNUMBER(F245),F245,IF(ISNUMBER(E245),E245,"")),IF(OR(T245="CDF NÃO LOCALIZADO",T245="VÍNCULO INCOMPLETO",T245="CDF A CONFERIR"),IF(AP245&gt;0,AP245,IF(ISNUMBER(E245),E245,"")),IF(ISNUMBER(E245),E245,""))))</f>
        <v/>
      </c>
      <c r="AR245" s="96">
        <f>IF(NOT(ISNUMBER(U245)),0,IF(T245="RECEBIMENTO NÃO CONFIRMADO",IF(AND(ISNUMBER(cfg_rec),U245&gt;cfg_rec),1,0),IF(OR(T245="CDF NÃO LOCALIZADO",T245="VÍNCULO INCOMPLETO",T245="CDF A CONFERIR"),IF(AND(ISNUMBER(cfg_cdf),U245&gt;cfg_cdf),1,0),0)))</f>
        <v>0</v>
      </c>
      <c r="AS245" s="96" t="str">
        <f>IF(T245="","",IF(AR245=1,"Alta",IFERROR(INDEX(cfg_pp,MATCH(T245,cfg_pt,0))&amp;"","Média")))</f>
        <v/>
      </c>
      <c r="AT245" s="96" t="str">
        <f>IF(T245="","",IFERROR(INDEX(cfg_pv,MATCH(T245,cfg_pt,0))&amp;"",""))</f>
        <v/>
      </c>
      <c r="AU245" s="96" t="str">
        <f>IF(T245="","",IF(AS245="Alta",1,IF(AS245="Média",2,3))*1000000000+(999999-IF(ISNUMBER(U245),MIN(U245,999999),0))*1000+240)</f>
        <v/>
      </c>
      <c r="AV245" s="96">
        <f>IF(T245&lt;&gt;"",1,0)</f>
        <v>0</v>
      </c>
      <c r="AW245" s="96" t="str">
        <f>IF(Z245=0,"",IF(AA245=1,"Cancelamento informado; ","")&amp;IF(AE245=1,"Campos essenciais ou itens faltando; ","")&amp;IF(AC245=1,"Possível duplicidade do número; ","")&amp;IF(AD245=1,"Cadastro ou datas a revisar; ","")&amp;IF(AF245&gt;0,"Item de resíduo com dado a revisar; ","")&amp;IF(AH245&gt;0,"Diferença de quantidade a analisar; ","")&amp;IF(AK245&gt;0,"Recebimento com alerta; ","")&amp;IF(AL245&gt;0,"Vínculo de CDF com alerta; ","")&amp;IF(AND(AA245=0,AN245=0),"Recebimento não confirmado; ","")&amp;IF(AND(AA245=0,AN245=1,AO245=0),"CDF pendente ou a conferir; ",""))</f>
        <v/>
      </c>
      <c r="AX245" s="96">
        <f>IF(Z245=0,0,IF(AND(OR(f_ini="",AND(ISNUMBER(E245),E245&gt;=f_ini)),OR(f_fim="",AND(ISNUMBER(E245),E245&lt;=f_fim)),OR(f_un="",f_un="(Todas)",G245=f_un),OR(f_tr="",f_tr="(Todos)",H245=f_tr),OR(f_de="",f_de="(Todos)",I245=f_de),OR(f_sit="",f_sit="(Todas)",S245=f_sit)),1,0))</f>
        <v>0</v>
      </c>
      <c r="AY245" s="96">
        <f>IF(AX245=0,0,IF(OR(f_res="",f_res="(Todos)"),1,IF(COUNTIFS('ITENS_MTR'!$S$6:$S$1005,A245,'ITENS_MTR'!$C$6:$C$1005,f_res)&gt;0,1,0)))</f>
        <v>0</v>
      </c>
      <c r="AZ245" s="97" t="str">
        <f>IF(ISNUMBER(E245),DATE(YEAR(E245),MONTH(E245),1),"")</f>
        <v/>
      </c>
      <c r="BA245" s="96">
        <f>IF(Z245=0,0,IF(AND(OR(r_ini="",AND(ISNUMBER(E245),E245&gt;=r_ini)),OR(r_fim="",AND(ISNUMBER(E245),E245&lt;=r_fim)),OR(r_un="",r_un="(Todas)",G245=r_un),OR(r_de="",r_de="(Todos)",I245=r_de)),1,0))</f>
        <v>0</v>
      </c>
      <c r="BB245" s="96" t="str">
        <f>IF(BA245=1,COUNTIF($BA$6:BA245,1),"")</f>
        <v/>
      </c>
      <c r="BC245" s="96" t="str">
        <f>IF(AND(AU245&lt;&gt;"",OR(r_un="",r_un="(Todas)",G245=r_un),OR(r_de="",r_de="(Todos)",I245=r_de)),AU245,"")</f>
        <v/>
      </c>
      <c r="BD245" s="96" t="str">
        <f>IF(Z245=1,A245&amp;" | nº "&amp;IF(B245="","(sem número)",B245)&amp;" | "&amp;IF(G245="","(sem unidade)",G245),"")</f>
        <v/>
      </c>
      <c r="BE245" s="96" t="str">
        <f>IF(Z245=1,COUNTIF($Z$6:Z245,1),"")</f>
        <v/>
      </c>
      <c r="BF245" s="96" t="str">
        <f>IF(T245="","",IF(T245="RECEBIMENTO NÃO CONFIRMADO","Transp.: "&amp;H245&amp;" | Dest.: "&amp;I245,IF(OR(T245="CDF NÃO LOCALIZADO",T245="VÍNCULO INCOMPLETO",T245="CDF A CONFERIR"),"Dest.: "&amp;I245,"Gerador: "&amp;G245)))</f>
        <v/>
      </c>
    </row>
    <row r="246">
      <c r="A246" s="89" t="inlineStr">
        <is>
          <t>MTR-000241</t>
        </is>
      </c>
      <c r="B246" s="90" t="n"/>
      <c r="C246" s="91" t="n"/>
      <c r="D246" s="91" t="n"/>
      <c r="E246" s="92" t="n"/>
      <c r="F246" s="92" t="n"/>
      <c r="G246" s="91" t="n"/>
      <c r="H246" s="91" t="n"/>
      <c r="I246" s="91" t="n"/>
      <c r="J246" s="91" t="n"/>
      <c r="K246" s="91" t="n"/>
      <c r="L246" s="92" t="n"/>
      <c r="M246" s="91" t="n"/>
      <c r="N246" s="91" t="n"/>
      <c r="O246" s="91" t="n"/>
      <c r="P246" s="93" t="str">
        <f>IF(Z246=0,"",SUMIFS('ITENS_MTR'!$I$6:$I$1005,'ITENS_MTR'!$S$6:$S$1005,A246,'ITENS_MTR'!$Y$6:$Y$1005,1))</f>
        <v/>
      </c>
      <c r="Q246" s="93" t="str">
        <f>IF(Z246=0,"",SUMIFS('RECEBIMENTOS'!$H$6:$H$1005,'RECEBIMENTOS'!$B$6:$B$1005,A246,'RECEBIMENTOS'!$X$6:$X$1005,1))</f>
        <v/>
      </c>
      <c r="R246" s="93" t="str">
        <f>IF(Z246=0,"",SUMIFS('VÍNCULOS_CDF'!$H$6:$H$1005,'VÍNCULOS_CDF'!$D$6:$D$1005,A246,'VÍNCULOS_CDF'!$V$6:$V$1005,1))</f>
        <v/>
      </c>
      <c r="S246" s="94" t="str">
        <f>IF(Z246=0,"",IF(AA246=1,"Cancelado (informado)",IF(AE246=1,"Cadastro incompleto",IF(OR(AC246=1,AD246=1,AF246&gt;0,AH246&gt;0,AK246&gt;0,AL246&gt;0),"Informação a revisar",IF(AN246=0,"Aguardando recebimento",IF(N(R246)=0,"Aguardando CDF",IF(AJ246&lt;N(W246),"Vínculo de CDF parcial",IF(AO246=0,"CDF localizado, a conferir","Documentação conferida"))))))))</f>
        <v/>
      </c>
      <c r="T246" s="94" t="str">
        <f>IF(Z246=0,"",IF(S246="Cadastro incompleto","MTR INCOMPLETO",IF(S246="Informação a revisar",IF(AND(AH246&gt;0,AC246=0,AD246=0,AF246=0,AK246=0,AL246=0),"QUANTIDADE A REVISAR","IDENTIFICAÇÃO A REVISAR"),IF(S246="Aguardando recebimento","RECEBIMENTO NÃO CONFIRMADO",IF(S246="Aguardando CDF","CDF NÃO LOCALIZADO",IF(S246="Vínculo de CDF parcial","VÍNCULO INCOMPLETO",IF(S246="CDF localizado, a conferir","CDF A CONFERIR","")))))))</f>
        <v/>
      </c>
      <c r="U246" s="95" t="str">
        <f>IF(T246="","",IF(AQ246="","Não calculável",IF(AQ246&gt;TODAY(),"Data futura",TODAY()-AQ246)))</f>
        <v/>
      </c>
      <c r="V246" s="93" t="str">
        <f>IF(Z246=0,"",SUMIFS('RECEBIMENTOS'!$H$6:$H$1005,'RECEBIMENTOS'!$B$6:$B$1005,A246,'RECEBIMENTOS'!$Z$6:$Z$1005,1))</f>
        <v/>
      </c>
      <c r="W246" s="95" t="str">
        <f>IF(Z246=0,"",COUNTIFS('ITENS_MTR'!$S$6:$S$1005,A246,'ITENS_MTR'!$R$6:$R$1005,1))</f>
        <v/>
      </c>
      <c r="X246" s="94" t="str">
        <f>IF(AC246=1,"POSSÍVEL DUPLICIDADE","")</f>
        <v/>
      </c>
      <c r="Y246" s="94" t="str">
        <f>IF(Z246=0,"",IF(AW246="","Nenhuma",LEFT(AW246,LEN(AW246)-2)))</f>
        <v/>
      </c>
      <c r="Z246" s="96">
        <f>IF(COUNTA(B246:O246)&gt;0,1,0)</f>
        <v>0</v>
      </c>
      <c r="AA246" s="96">
        <f>IF(AND(Z246=1,K246&lt;&gt;""),IF(TRIM(K246)=TRIM(cfg_cancel),1,0),0)</f>
        <v>0</v>
      </c>
      <c r="AB246" s="96" t="str">
        <f>IF(AND(Z246=1,B246&lt;&gt;""),C246&amp;"|"&amp;D246&amp;"|"&amp;G246&amp;"|"&amp;TRIM(B246),"")</f>
        <v/>
      </c>
      <c r="AC246" s="96">
        <f>IF(AB246="",0,IF(SUMPRODUCT(--($AB$6:$AB$505=AB246))&gt;1,1,0))</f>
        <v>0</v>
      </c>
      <c r="AD246" s="96">
        <f>IF(Z246=0,0,IF(OR(AND(G246&lt;&gt;"",ISNA(MATCH(G246,'CAD_UNIDADES'!$C$6:$C$105,0))),AND(H246&lt;&gt;"",ISNA(MATCH(H246,cmp_transp,0))),AND(I246&lt;&gt;"",ISNA(MATCH(I246,cmp_dest,0))),AND(E246&lt;&gt;"",NOT(ISNUMBER(E246))),AND(F246&lt;&gt;"",NOT(ISNUMBER(F246))),AND(ISNUMBER(E246),ISNUMBER(F246),F246&lt;E246)),1,0))</f>
        <v>0</v>
      </c>
      <c r="AE246" s="96">
        <f>IF(Z246=0,0,IF(OR(B246="",C246="",E246="",G246="",H246="",I246="",N(W246)=0),1,0))</f>
        <v>0</v>
      </c>
      <c r="AF246" s="96">
        <f>IF(Z246=0,0,COUNTIFS('ITENS_MTR'!$S$6:$S$1005,A246,'ITENS_MTR'!$AI$6:$AI$1005,1))</f>
        <v>0</v>
      </c>
      <c r="AG246" s="96">
        <f>IF(Z246=0,0,COUNTIFS('ITENS_MTR'!$S$6:$S$1005,A246,'ITENS_MTR'!$AJ$6:$AJ$1005,1))</f>
        <v>0</v>
      </c>
      <c r="AH246" s="96">
        <f>IF(Z246=0,0,COUNTIFS('ITENS_MTR'!$S$6:$S$1005,A246,'ITENS_MTR'!$AM$6:$AM$1005,1))</f>
        <v>0</v>
      </c>
      <c r="AI246" s="96">
        <f>IF(Z246=0,0,COUNTIFS('ITENS_MTR'!$S$6:$S$1005,A246,'ITENS_MTR'!$AO$6:$AO$1005,1))</f>
        <v>0</v>
      </c>
      <c r="AJ246" s="96">
        <f>IF(Z246=0,0,COUNTIFS('ITENS_MTR'!$S$6:$S$1005,A246,'ITENS_MTR'!$AN$6:$AN$1005,1))</f>
        <v>0</v>
      </c>
      <c r="AK246" s="96">
        <f>IF(Z246=0,0,COUNTIFS('RECEBIMENTOS'!$B$6:$B$1005,A246,'RECEBIMENTOS'!$Y$6:$Y$1005,1))</f>
        <v>0</v>
      </c>
      <c r="AL246" s="96">
        <f>IF(Z246=0,0,COUNTIFS('VÍNCULOS_CDF'!$D$6:$D$1005,A246,'VÍNCULOS_CDF'!$Y$6:$Y$1005,1))</f>
        <v>0</v>
      </c>
      <c r="AM246" s="96">
        <f>IF(Z246=0,0,COUNTIFS('RECEBIMENTOS'!$B$6:$B$1005,A246,'RECEBIMENTOS'!$Q$6:$Q$1005,1))</f>
        <v>0</v>
      </c>
      <c r="AN246" s="96">
        <f>IF(AND(Z246=1,N(W246)&gt;0,AG246=N(W246)),1,0)</f>
        <v>0</v>
      </c>
      <c r="AO246" s="96">
        <f>IF(AND(Z246=1,N(W246)&gt;0,AI246=N(W246)),1,0)</f>
        <v>0</v>
      </c>
      <c r="AP246" s="97">
        <f>IF(Z246=0,0,_xlfn.MAXIFS('RECEBIMENTOS'!$E$6:$E$1005,'RECEBIMENTOS'!$B$6:$B$1005,A246))</f>
        <v>0</v>
      </c>
      <c r="AQ246" s="97" t="str">
        <f>IF(T246="","",IF(T246="RECEBIMENTO NÃO CONFIRMADO",IF(ISNUMBER(F246),F246,IF(ISNUMBER(E246),E246,"")),IF(OR(T246="CDF NÃO LOCALIZADO",T246="VÍNCULO INCOMPLETO",T246="CDF A CONFERIR"),IF(AP246&gt;0,AP246,IF(ISNUMBER(E246),E246,"")),IF(ISNUMBER(E246),E246,""))))</f>
        <v/>
      </c>
      <c r="AR246" s="96">
        <f>IF(NOT(ISNUMBER(U246)),0,IF(T246="RECEBIMENTO NÃO CONFIRMADO",IF(AND(ISNUMBER(cfg_rec),U246&gt;cfg_rec),1,0),IF(OR(T246="CDF NÃO LOCALIZADO",T246="VÍNCULO INCOMPLETO",T246="CDF A CONFERIR"),IF(AND(ISNUMBER(cfg_cdf),U246&gt;cfg_cdf),1,0),0)))</f>
        <v>0</v>
      </c>
      <c r="AS246" s="96" t="str">
        <f>IF(T246="","",IF(AR246=1,"Alta",IFERROR(INDEX(cfg_pp,MATCH(T246,cfg_pt,0))&amp;"","Média")))</f>
        <v/>
      </c>
      <c r="AT246" s="96" t="str">
        <f>IF(T246="","",IFERROR(INDEX(cfg_pv,MATCH(T246,cfg_pt,0))&amp;"",""))</f>
        <v/>
      </c>
      <c r="AU246" s="96" t="str">
        <f>IF(T246="","",IF(AS246="Alta",1,IF(AS246="Média",2,3))*1000000000+(999999-IF(ISNUMBER(U246),MIN(U246,999999),0))*1000+241)</f>
        <v/>
      </c>
      <c r="AV246" s="96">
        <f>IF(T246&lt;&gt;"",1,0)</f>
        <v>0</v>
      </c>
      <c r="AW246" s="96" t="str">
        <f>IF(Z246=0,"",IF(AA246=1,"Cancelamento informado; ","")&amp;IF(AE246=1,"Campos essenciais ou itens faltando; ","")&amp;IF(AC246=1,"Possível duplicidade do número; ","")&amp;IF(AD246=1,"Cadastro ou datas a revisar; ","")&amp;IF(AF246&gt;0,"Item de resíduo com dado a revisar; ","")&amp;IF(AH246&gt;0,"Diferença de quantidade a analisar; ","")&amp;IF(AK246&gt;0,"Recebimento com alerta; ","")&amp;IF(AL246&gt;0,"Vínculo de CDF com alerta; ","")&amp;IF(AND(AA246=0,AN246=0),"Recebimento não confirmado; ","")&amp;IF(AND(AA246=0,AN246=1,AO246=0),"CDF pendente ou a conferir; ",""))</f>
        <v/>
      </c>
      <c r="AX246" s="96">
        <f>IF(Z246=0,0,IF(AND(OR(f_ini="",AND(ISNUMBER(E246),E246&gt;=f_ini)),OR(f_fim="",AND(ISNUMBER(E246),E246&lt;=f_fim)),OR(f_un="",f_un="(Todas)",G246=f_un),OR(f_tr="",f_tr="(Todos)",H246=f_tr),OR(f_de="",f_de="(Todos)",I246=f_de),OR(f_sit="",f_sit="(Todas)",S246=f_sit)),1,0))</f>
        <v>0</v>
      </c>
      <c r="AY246" s="96">
        <f>IF(AX246=0,0,IF(OR(f_res="",f_res="(Todos)"),1,IF(COUNTIFS('ITENS_MTR'!$S$6:$S$1005,A246,'ITENS_MTR'!$C$6:$C$1005,f_res)&gt;0,1,0)))</f>
        <v>0</v>
      </c>
      <c r="AZ246" s="97" t="str">
        <f>IF(ISNUMBER(E246),DATE(YEAR(E246),MONTH(E246),1),"")</f>
        <v/>
      </c>
      <c r="BA246" s="96">
        <f>IF(Z246=0,0,IF(AND(OR(r_ini="",AND(ISNUMBER(E246),E246&gt;=r_ini)),OR(r_fim="",AND(ISNUMBER(E246),E246&lt;=r_fim)),OR(r_un="",r_un="(Todas)",G246=r_un),OR(r_de="",r_de="(Todos)",I246=r_de)),1,0))</f>
        <v>0</v>
      </c>
      <c r="BB246" s="96" t="str">
        <f>IF(BA246=1,COUNTIF($BA$6:BA246,1),"")</f>
        <v/>
      </c>
      <c r="BC246" s="96" t="str">
        <f>IF(AND(AU246&lt;&gt;"",OR(r_un="",r_un="(Todas)",G246=r_un),OR(r_de="",r_de="(Todos)",I246=r_de)),AU246,"")</f>
        <v/>
      </c>
      <c r="BD246" s="96" t="str">
        <f>IF(Z246=1,A246&amp;" | nº "&amp;IF(B246="","(sem número)",B246)&amp;" | "&amp;IF(G246="","(sem unidade)",G246),"")</f>
        <v/>
      </c>
      <c r="BE246" s="96" t="str">
        <f>IF(Z246=1,COUNTIF($Z$6:Z246,1),"")</f>
        <v/>
      </c>
      <c r="BF246" s="96" t="str">
        <f>IF(T246="","",IF(T246="RECEBIMENTO NÃO CONFIRMADO","Transp.: "&amp;H246&amp;" | Dest.: "&amp;I246,IF(OR(T246="CDF NÃO LOCALIZADO",T246="VÍNCULO INCOMPLETO",T246="CDF A CONFERIR"),"Dest.: "&amp;I246,"Gerador: "&amp;G246)))</f>
        <v/>
      </c>
    </row>
    <row r="247">
      <c r="A247" s="89" t="inlineStr">
        <is>
          <t>MTR-000242</t>
        </is>
      </c>
      <c r="B247" s="90" t="n"/>
      <c r="C247" s="91" t="n"/>
      <c r="D247" s="91" t="n"/>
      <c r="E247" s="92" t="n"/>
      <c r="F247" s="92" t="n"/>
      <c r="G247" s="91" t="n"/>
      <c r="H247" s="91" t="n"/>
      <c r="I247" s="91" t="n"/>
      <c r="J247" s="91" t="n"/>
      <c r="K247" s="91" t="n"/>
      <c r="L247" s="92" t="n"/>
      <c r="M247" s="91" t="n"/>
      <c r="N247" s="91" t="n"/>
      <c r="O247" s="91" t="n"/>
      <c r="P247" s="93" t="str">
        <f>IF(Z247=0,"",SUMIFS('ITENS_MTR'!$I$6:$I$1005,'ITENS_MTR'!$S$6:$S$1005,A247,'ITENS_MTR'!$Y$6:$Y$1005,1))</f>
        <v/>
      </c>
      <c r="Q247" s="93" t="str">
        <f>IF(Z247=0,"",SUMIFS('RECEBIMENTOS'!$H$6:$H$1005,'RECEBIMENTOS'!$B$6:$B$1005,A247,'RECEBIMENTOS'!$X$6:$X$1005,1))</f>
        <v/>
      </c>
      <c r="R247" s="93" t="str">
        <f>IF(Z247=0,"",SUMIFS('VÍNCULOS_CDF'!$H$6:$H$1005,'VÍNCULOS_CDF'!$D$6:$D$1005,A247,'VÍNCULOS_CDF'!$V$6:$V$1005,1))</f>
        <v/>
      </c>
      <c r="S247" s="94" t="str">
        <f>IF(Z247=0,"",IF(AA247=1,"Cancelado (informado)",IF(AE247=1,"Cadastro incompleto",IF(OR(AC247=1,AD247=1,AF247&gt;0,AH247&gt;0,AK247&gt;0,AL247&gt;0),"Informação a revisar",IF(AN247=0,"Aguardando recebimento",IF(N(R247)=0,"Aguardando CDF",IF(AJ247&lt;N(W247),"Vínculo de CDF parcial",IF(AO247=0,"CDF localizado, a conferir","Documentação conferida"))))))))</f>
        <v/>
      </c>
      <c r="T247" s="94" t="str">
        <f>IF(Z247=0,"",IF(S247="Cadastro incompleto","MTR INCOMPLETO",IF(S247="Informação a revisar",IF(AND(AH247&gt;0,AC247=0,AD247=0,AF247=0,AK247=0,AL247=0),"QUANTIDADE A REVISAR","IDENTIFICAÇÃO A REVISAR"),IF(S247="Aguardando recebimento","RECEBIMENTO NÃO CONFIRMADO",IF(S247="Aguardando CDF","CDF NÃO LOCALIZADO",IF(S247="Vínculo de CDF parcial","VÍNCULO INCOMPLETO",IF(S247="CDF localizado, a conferir","CDF A CONFERIR","")))))))</f>
        <v/>
      </c>
      <c r="U247" s="95" t="str">
        <f>IF(T247="","",IF(AQ247="","Não calculável",IF(AQ247&gt;TODAY(),"Data futura",TODAY()-AQ247)))</f>
        <v/>
      </c>
      <c r="V247" s="93" t="str">
        <f>IF(Z247=0,"",SUMIFS('RECEBIMENTOS'!$H$6:$H$1005,'RECEBIMENTOS'!$B$6:$B$1005,A247,'RECEBIMENTOS'!$Z$6:$Z$1005,1))</f>
        <v/>
      </c>
      <c r="W247" s="95" t="str">
        <f>IF(Z247=0,"",COUNTIFS('ITENS_MTR'!$S$6:$S$1005,A247,'ITENS_MTR'!$R$6:$R$1005,1))</f>
        <v/>
      </c>
      <c r="X247" s="94" t="str">
        <f>IF(AC247=1,"POSSÍVEL DUPLICIDADE","")</f>
        <v/>
      </c>
      <c r="Y247" s="94" t="str">
        <f>IF(Z247=0,"",IF(AW247="","Nenhuma",LEFT(AW247,LEN(AW247)-2)))</f>
        <v/>
      </c>
      <c r="Z247" s="96">
        <f>IF(COUNTA(B247:O247)&gt;0,1,0)</f>
        <v>0</v>
      </c>
      <c r="AA247" s="96">
        <f>IF(AND(Z247=1,K247&lt;&gt;""),IF(TRIM(K247)=TRIM(cfg_cancel),1,0),0)</f>
        <v>0</v>
      </c>
      <c r="AB247" s="96" t="str">
        <f>IF(AND(Z247=1,B247&lt;&gt;""),C247&amp;"|"&amp;D247&amp;"|"&amp;G247&amp;"|"&amp;TRIM(B247),"")</f>
        <v/>
      </c>
      <c r="AC247" s="96">
        <f>IF(AB247="",0,IF(SUMPRODUCT(--($AB$6:$AB$505=AB247))&gt;1,1,0))</f>
        <v>0</v>
      </c>
      <c r="AD247" s="96">
        <f>IF(Z247=0,0,IF(OR(AND(G247&lt;&gt;"",ISNA(MATCH(G247,'CAD_UNIDADES'!$C$6:$C$105,0))),AND(H247&lt;&gt;"",ISNA(MATCH(H247,cmp_transp,0))),AND(I247&lt;&gt;"",ISNA(MATCH(I247,cmp_dest,0))),AND(E247&lt;&gt;"",NOT(ISNUMBER(E247))),AND(F247&lt;&gt;"",NOT(ISNUMBER(F247))),AND(ISNUMBER(E247),ISNUMBER(F247),F247&lt;E247)),1,0))</f>
        <v>0</v>
      </c>
      <c r="AE247" s="96">
        <f>IF(Z247=0,0,IF(OR(B247="",C247="",E247="",G247="",H247="",I247="",N(W247)=0),1,0))</f>
        <v>0</v>
      </c>
      <c r="AF247" s="96">
        <f>IF(Z247=0,0,COUNTIFS('ITENS_MTR'!$S$6:$S$1005,A247,'ITENS_MTR'!$AI$6:$AI$1005,1))</f>
        <v>0</v>
      </c>
      <c r="AG247" s="96">
        <f>IF(Z247=0,0,COUNTIFS('ITENS_MTR'!$S$6:$S$1005,A247,'ITENS_MTR'!$AJ$6:$AJ$1005,1))</f>
        <v>0</v>
      </c>
      <c r="AH247" s="96">
        <f>IF(Z247=0,0,COUNTIFS('ITENS_MTR'!$S$6:$S$1005,A247,'ITENS_MTR'!$AM$6:$AM$1005,1))</f>
        <v>0</v>
      </c>
      <c r="AI247" s="96">
        <f>IF(Z247=0,0,COUNTIFS('ITENS_MTR'!$S$6:$S$1005,A247,'ITENS_MTR'!$AO$6:$AO$1005,1))</f>
        <v>0</v>
      </c>
      <c r="AJ247" s="96">
        <f>IF(Z247=0,0,COUNTIFS('ITENS_MTR'!$S$6:$S$1005,A247,'ITENS_MTR'!$AN$6:$AN$1005,1))</f>
        <v>0</v>
      </c>
      <c r="AK247" s="96">
        <f>IF(Z247=0,0,COUNTIFS('RECEBIMENTOS'!$B$6:$B$1005,A247,'RECEBIMENTOS'!$Y$6:$Y$1005,1))</f>
        <v>0</v>
      </c>
      <c r="AL247" s="96">
        <f>IF(Z247=0,0,COUNTIFS('VÍNCULOS_CDF'!$D$6:$D$1005,A247,'VÍNCULOS_CDF'!$Y$6:$Y$1005,1))</f>
        <v>0</v>
      </c>
      <c r="AM247" s="96">
        <f>IF(Z247=0,0,COUNTIFS('RECEBIMENTOS'!$B$6:$B$1005,A247,'RECEBIMENTOS'!$Q$6:$Q$1005,1))</f>
        <v>0</v>
      </c>
      <c r="AN247" s="96">
        <f>IF(AND(Z247=1,N(W247)&gt;0,AG247=N(W247)),1,0)</f>
        <v>0</v>
      </c>
      <c r="AO247" s="96">
        <f>IF(AND(Z247=1,N(W247)&gt;0,AI247=N(W247)),1,0)</f>
        <v>0</v>
      </c>
      <c r="AP247" s="97">
        <f>IF(Z247=0,0,_xlfn.MAXIFS('RECEBIMENTOS'!$E$6:$E$1005,'RECEBIMENTOS'!$B$6:$B$1005,A247))</f>
        <v>0</v>
      </c>
      <c r="AQ247" s="97" t="str">
        <f>IF(T247="","",IF(T247="RECEBIMENTO NÃO CONFIRMADO",IF(ISNUMBER(F247),F247,IF(ISNUMBER(E247),E247,"")),IF(OR(T247="CDF NÃO LOCALIZADO",T247="VÍNCULO INCOMPLETO",T247="CDF A CONFERIR"),IF(AP247&gt;0,AP247,IF(ISNUMBER(E247),E247,"")),IF(ISNUMBER(E247),E247,""))))</f>
        <v/>
      </c>
      <c r="AR247" s="96">
        <f>IF(NOT(ISNUMBER(U247)),0,IF(T247="RECEBIMENTO NÃO CONFIRMADO",IF(AND(ISNUMBER(cfg_rec),U247&gt;cfg_rec),1,0),IF(OR(T247="CDF NÃO LOCALIZADO",T247="VÍNCULO INCOMPLETO",T247="CDF A CONFERIR"),IF(AND(ISNUMBER(cfg_cdf),U247&gt;cfg_cdf),1,0),0)))</f>
        <v>0</v>
      </c>
      <c r="AS247" s="96" t="str">
        <f>IF(T247="","",IF(AR247=1,"Alta",IFERROR(INDEX(cfg_pp,MATCH(T247,cfg_pt,0))&amp;"","Média")))</f>
        <v/>
      </c>
      <c r="AT247" s="96" t="str">
        <f>IF(T247="","",IFERROR(INDEX(cfg_pv,MATCH(T247,cfg_pt,0))&amp;"",""))</f>
        <v/>
      </c>
      <c r="AU247" s="96" t="str">
        <f>IF(T247="","",IF(AS247="Alta",1,IF(AS247="Média",2,3))*1000000000+(999999-IF(ISNUMBER(U247),MIN(U247,999999),0))*1000+242)</f>
        <v/>
      </c>
      <c r="AV247" s="96">
        <f>IF(T247&lt;&gt;"",1,0)</f>
        <v>0</v>
      </c>
      <c r="AW247" s="96" t="str">
        <f>IF(Z247=0,"",IF(AA247=1,"Cancelamento informado; ","")&amp;IF(AE247=1,"Campos essenciais ou itens faltando; ","")&amp;IF(AC247=1,"Possível duplicidade do número; ","")&amp;IF(AD247=1,"Cadastro ou datas a revisar; ","")&amp;IF(AF247&gt;0,"Item de resíduo com dado a revisar; ","")&amp;IF(AH247&gt;0,"Diferença de quantidade a analisar; ","")&amp;IF(AK247&gt;0,"Recebimento com alerta; ","")&amp;IF(AL247&gt;0,"Vínculo de CDF com alerta; ","")&amp;IF(AND(AA247=0,AN247=0),"Recebimento não confirmado; ","")&amp;IF(AND(AA247=0,AN247=1,AO247=0),"CDF pendente ou a conferir; ",""))</f>
        <v/>
      </c>
      <c r="AX247" s="96">
        <f>IF(Z247=0,0,IF(AND(OR(f_ini="",AND(ISNUMBER(E247),E247&gt;=f_ini)),OR(f_fim="",AND(ISNUMBER(E247),E247&lt;=f_fim)),OR(f_un="",f_un="(Todas)",G247=f_un),OR(f_tr="",f_tr="(Todos)",H247=f_tr),OR(f_de="",f_de="(Todos)",I247=f_de),OR(f_sit="",f_sit="(Todas)",S247=f_sit)),1,0))</f>
        <v>0</v>
      </c>
      <c r="AY247" s="96">
        <f>IF(AX247=0,0,IF(OR(f_res="",f_res="(Todos)"),1,IF(COUNTIFS('ITENS_MTR'!$S$6:$S$1005,A247,'ITENS_MTR'!$C$6:$C$1005,f_res)&gt;0,1,0)))</f>
        <v>0</v>
      </c>
      <c r="AZ247" s="97" t="str">
        <f>IF(ISNUMBER(E247),DATE(YEAR(E247),MONTH(E247),1),"")</f>
        <v/>
      </c>
      <c r="BA247" s="96">
        <f>IF(Z247=0,0,IF(AND(OR(r_ini="",AND(ISNUMBER(E247),E247&gt;=r_ini)),OR(r_fim="",AND(ISNUMBER(E247),E247&lt;=r_fim)),OR(r_un="",r_un="(Todas)",G247=r_un),OR(r_de="",r_de="(Todos)",I247=r_de)),1,0))</f>
        <v>0</v>
      </c>
      <c r="BB247" s="96" t="str">
        <f>IF(BA247=1,COUNTIF($BA$6:BA247,1),"")</f>
        <v/>
      </c>
      <c r="BC247" s="96" t="str">
        <f>IF(AND(AU247&lt;&gt;"",OR(r_un="",r_un="(Todas)",G247=r_un),OR(r_de="",r_de="(Todos)",I247=r_de)),AU247,"")</f>
        <v/>
      </c>
      <c r="BD247" s="96" t="str">
        <f>IF(Z247=1,A247&amp;" | nº "&amp;IF(B247="","(sem número)",B247)&amp;" | "&amp;IF(G247="","(sem unidade)",G247),"")</f>
        <v/>
      </c>
      <c r="BE247" s="96" t="str">
        <f>IF(Z247=1,COUNTIF($Z$6:Z247,1),"")</f>
        <v/>
      </c>
      <c r="BF247" s="96" t="str">
        <f>IF(T247="","",IF(T247="RECEBIMENTO NÃO CONFIRMADO","Transp.: "&amp;H247&amp;" | Dest.: "&amp;I247,IF(OR(T247="CDF NÃO LOCALIZADO",T247="VÍNCULO INCOMPLETO",T247="CDF A CONFERIR"),"Dest.: "&amp;I247,"Gerador: "&amp;G247)))</f>
        <v/>
      </c>
    </row>
    <row r="248">
      <c r="A248" s="89" t="inlineStr">
        <is>
          <t>MTR-000243</t>
        </is>
      </c>
      <c r="B248" s="90" t="n"/>
      <c r="C248" s="91" t="n"/>
      <c r="D248" s="91" t="n"/>
      <c r="E248" s="92" t="n"/>
      <c r="F248" s="92" t="n"/>
      <c r="G248" s="91" t="n"/>
      <c r="H248" s="91" t="n"/>
      <c r="I248" s="91" t="n"/>
      <c r="J248" s="91" t="n"/>
      <c r="K248" s="91" t="n"/>
      <c r="L248" s="92" t="n"/>
      <c r="M248" s="91" t="n"/>
      <c r="N248" s="91" t="n"/>
      <c r="O248" s="91" t="n"/>
      <c r="P248" s="93" t="str">
        <f>IF(Z248=0,"",SUMIFS('ITENS_MTR'!$I$6:$I$1005,'ITENS_MTR'!$S$6:$S$1005,A248,'ITENS_MTR'!$Y$6:$Y$1005,1))</f>
        <v/>
      </c>
      <c r="Q248" s="93" t="str">
        <f>IF(Z248=0,"",SUMIFS('RECEBIMENTOS'!$H$6:$H$1005,'RECEBIMENTOS'!$B$6:$B$1005,A248,'RECEBIMENTOS'!$X$6:$X$1005,1))</f>
        <v/>
      </c>
      <c r="R248" s="93" t="str">
        <f>IF(Z248=0,"",SUMIFS('VÍNCULOS_CDF'!$H$6:$H$1005,'VÍNCULOS_CDF'!$D$6:$D$1005,A248,'VÍNCULOS_CDF'!$V$6:$V$1005,1))</f>
        <v/>
      </c>
      <c r="S248" s="94" t="str">
        <f>IF(Z248=0,"",IF(AA248=1,"Cancelado (informado)",IF(AE248=1,"Cadastro incompleto",IF(OR(AC248=1,AD248=1,AF248&gt;0,AH248&gt;0,AK248&gt;0,AL248&gt;0),"Informação a revisar",IF(AN248=0,"Aguardando recebimento",IF(N(R248)=0,"Aguardando CDF",IF(AJ248&lt;N(W248),"Vínculo de CDF parcial",IF(AO248=0,"CDF localizado, a conferir","Documentação conferida"))))))))</f>
        <v/>
      </c>
      <c r="T248" s="94" t="str">
        <f>IF(Z248=0,"",IF(S248="Cadastro incompleto","MTR INCOMPLETO",IF(S248="Informação a revisar",IF(AND(AH248&gt;0,AC248=0,AD248=0,AF248=0,AK248=0,AL248=0),"QUANTIDADE A REVISAR","IDENTIFICAÇÃO A REVISAR"),IF(S248="Aguardando recebimento","RECEBIMENTO NÃO CONFIRMADO",IF(S248="Aguardando CDF","CDF NÃO LOCALIZADO",IF(S248="Vínculo de CDF parcial","VÍNCULO INCOMPLETO",IF(S248="CDF localizado, a conferir","CDF A CONFERIR","")))))))</f>
        <v/>
      </c>
      <c r="U248" s="95" t="str">
        <f>IF(T248="","",IF(AQ248="","Não calculável",IF(AQ248&gt;TODAY(),"Data futura",TODAY()-AQ248)))</f>
        <v/>
      </c>
      <c r="V248" s="93" t="str">
        <f>IF(Z248=0,"",SUMIFS('RECEBIMENTOS'!$H$6:$H$1005,'RECEBIMENTOS'!$B$6:$B$1005,A248,'RECEBIMENTOS'!$Z$6:$Z$1005,1))</f>
        <v/>
      </c>
      <c r="W248" s="95" t="str">
        <f>IF(Z248=0,"",COUNTIFS('ITENS_MTR'!$S$6:$S$1005,A248,'ITENS_MTR'!$R$6:$R$1005,1))</f>
        <v/>
      </c>
      <c r="X248" s="94" t="str">
        <f>IF(AC248=1,"POSSÍVEL DUPLICIDADE","")</f>
        <v/>
      </c>
      <c r="Y248" s="94" t="str">
        <f>IF(Z248=0,"",IF(AW248="","Nenhuma",LEFT(AW248,LEN(AW248)-2)))</f>
        <v/>
      </c>
      <c r="Z248" s="96">
        <f>IF(COUNTA(B248:O248)&gt;0,1,0)</f>
        <v>0</v>
      </c>
      <c r="AA248" s="96">
        <f>IF(AND(Z248=1,K248&lt;&gt;""),IF(TRIM(K248)=TRIM(cfg_cancel),1,0),0)</f>
        <v>0</v>
      </c>
      <c r="AB248" s="96" t="str">
        <f>IF(AND(Z248=1,B248&lt;&gt;""),C248&amp;"|"&amp;D248&amp;"|"&amp;G248&amp;"|"&amp;TRIM(B248),"")</f>
        <v/>
      </c>
      <c r="AC248" s="96">
        <f>IF(AB248="",0,IF(SUMPRODUCT(--($AB$6:$AB$505=AB248))&gt;1,1,0))</f>
        <v>0</v>
      </c>
      <c r="AD248" s="96">
        <f>IF(Z248=0,0,IF(OR(AND(G248&lt;&gt;"",ISNA(MATCH(G248,'CAD_UNIDADES'!$C$6:$C$105,0))),AND(H248&lt;&gt;"",ISNA(MATCH(H248,cmp_transp,0))),AND(I248&lt;&gt;"",ISNA(MATCH(I248,cmp_dest,0))),AND(E248&lt;&gt;"",NOT(ISNUMBER(E248))),AND(F248&lt;&gt;"",NOT(ISNUMBER(F248))),AND(ISNUMBER(E248),ISNUMBER(F248),F248&lt;E248)),1,0))</f>
        <v>0</v>
      </c>
      <c r="AE248" s="96">
        <f>IF(Z248=0,0,IF(OR(B248="",C248="",E248="",G248="",H248="",I248="",N(W248)=0),1,0))</f>
        <v>0</v>
      </c>
      <c r="AF248" s="96">
        <f>IF(Z248=0,0,COUNTIFS('ITENS_MTR'!$S$6:$S$1005,A248,'ITENS_MTR'!$AI$6:$AI$1005,1))</f>
        <v>0</v>
      </c>
      <c r="AG248" s="96">
        <f>IF(Z248=0,0,COUNTIFS('ITENS_MTR'!$S$6:$S$1005,A248,'ITENS_MTR'!$AJ$6:$AJ$1005,1))</f>
        <v>0</v>
      </c>
      <c r="AH248" s="96">
        <f>IF(Z248=0,0,COUNTIFS('ITENS_MTR'!$S$6:$S$1005,A248,'ITENS_MTR'!$AM$6:$AM$1005,1))</f>
        <v>0</v>
      </c>
      <c r="AI248" s="96">
        <f>IF(Z248=0,0,COUNTIFS('ITENS_MTR'!$S$6:$S$1005,A248,'ITENS_MTR'!$AO$6:$AO$1005,1))</f>
        <v>0</v>
      </c>
      <c r="AJ248" s="96">
        <f>IF(Z248=0,0,COUNTIFS('ITENS_MTR'!$S$6:$S$1005,A248,'ITENS_MTR'!$AN$6:$AN$1005,1))</f>
        <v>0</v>
      </c>
      <c r="AK248" s="96">
        <f>IF(Z248=0,0,COUNTIFS('RECEBIMENTOS'!$B$6:$B$1005,A248,'RECEBIMENTOS'!$Y$6:$Y$1005,1))</f>
        <v>0</v>
      </c>
      <c r="AL248" s="96">
        <f>IF(Z248=0,0,COUNTIFS('VÍNCULOS_CDF'!$D$6:$D$1005,A248,'VÍNCULOS_CDF'!$Y$6:$Y$1005,1))</f>
        <v>0</v>
      </c>
      <c r="AM248" s="96">
        <f>IF(Z248=0,0,COUNTIFS('RECEBIMENTOS'!$B$6:$B$1005,A248,'RECEBIMENTOS'!$Q$6:$Q$1005,1))</f>
        <v>0</v>
      </c>
      <c r="AN248" s="96">
        <f>IF(AND(Z248=1,N(W248)&gt;0,AG248=N(W248)),1,0)</f>
        <v>0</v>
      </c>
      <c r="AO248" s="96">
        <f>IF(AND(Z248=1,N(W248)&gt;0,AI248=N(W248)),1,0)</f>
        <v>0</v>
      </c>
      <c r="AP248" s="97">
        <f>IF(Z248=0,0,_xlfn.MAXIFS('RECEBIMENTOS'!$E$6:$E$1005,'RECEBIMENTOS'!$B$6:$B$1005,A248))</f>
        <v>0</v>
      </c>
      <c r="AQ248" s="97" t="str">
        <f>IF(T248="","",IF(T248="RECEBIMENTO NÃO CONFIRMADO",IF(ISNUMBER(F248),F248,IF(ISNUMBER(E248),E248,"")),IF(OR(T248="CDF NÃO LOCALIZADO",T248="VÍNCULO INCOMPLETO",T248="CDF A CONFERIR"),IF(AP248&gt;0,AP248,IF(ISNUMBER(E248),E248,"")),IF(ISNUMBER(E248),E248,""))))</f>
        <v/>
      </c>
      <c r="AR248" s="96">
        <f>IF(NOT(ISNUMBER(U248)),0,IF(T248="RECEBIMENTO NÃO CONFIRMADO",IF(AND(ISNUMBER(cfg_rec),U248&gt;cfg_rec),1,0),IF(OR(T248="CDF NÃO LOCALIZADO",T248="VÍNCULO INCOMPLETO",T248="CDF A CONFERIR"),IF(AND(ISNUMBER(cfg_cdf),U248&gt;cfg_cdf),1,0),0)))</f>
        <v>0</v>
      </c>
      <c r="AS248" s="96" t="str">
        <f>IF(T248="","",IF(AR248=1,"Alta",IFERROR(INDEX(cfg_pp,MATCH(T248,cfg_pt,0))&amp;"","Média")))</f>
        <v/>
      </c>
      <c r="AT248" s="96" t="str">
        <f>IF(T248="","",IFERROR(INDEX(cfg_pv,MATCH(T248,cfg_pt,0))&amp;"",""))</f>
        <v/>
      </c>
      <c r="AU248" s="96" t="str">
        <f>IF(T248="","",IF(AS248="Alta",1,IF(AS248="Média",2,3))*1000000000+(999999-IF(ISNUMBER(U248),MIN(U248,999999),0))*1000+243)</f>
        <v/>
      </c>
      <c r="AV248" s="96">
        <f>IF(T248&lt;&gt;"",1,0)</f>
        <v>0</v>
      </c>
      <c r="AW248" s="96" t="str">
        <f>IF(Z248=0,"",IF(AA248=1,"Cancelamento informado; ","")&amp;IF(AE248=1,"Campos essenciais ou itens faltando; ","")&amp;IF(AC248=1,"Possível duplicidade do número; ","")&amp;IF(AD248=1,"Cadastro ou datas a revisar; ","")&amp;IF(AF248&gt;0,"Item de resíduo com dado a revisar; ","")&amp;IF(AH248&gt;0,"Diferença de quantidade a analisar; ","")&amp;IF(AK248&gt;0,"Recebimento com alerta; ","")&amp;IF(AL248&gt;0,"Vínculo de CDF com alerta; ","")&amp;IF(AND(AA248=0,AN248=0),"Recebimento não confirmado; ","")&amp;IF(AND(AA248=0,AN248=1,AO248=0),"CDF pendente ou a conferir; ",""))</f>
        <v/>
      </c>
      <c r="AX248" s="96">
        <f>IF(Z248=0,0,IF(AND(OR(f_ini="",AND(ISNUMBER(E248),E248&gt;=f_ini)),OR(f_fim="",AND(ISNUMBER(E248),E248&lt;=f_fim)),OR(f_un="",f_un="(Todas)",G248=f_un),OR(f_tr="",f_tr="(Todos)",H248=f_tr),OR(f_de="",f_de="(Todos)",I248=f_de),OR(f_sit="",f_sit="(Todas)",S248=f_sit)),1,0))</f>
        <v>0</v>
      </c>
      <c r="AY248" s="96">
        <f>IF(AX248=0,0,IF(OR(f_res="",f_res="(Todos)"),1,IF(COUNTIFS('ITENS_MTR'!$S$6:$S$1005,A248,'ITENS_MTR'!$C$6:$C$1005,f_res)&gt;0,1,0)))</f>
        <v>0</v>
      </c>
      <c r="AZ248" s="97" t="str">
        <f>IF(ISNUMBER(E248),DATE(YEAR(E248),MONTH(E248),1),"")</f>
        <v/>
      </c>
      <c r="BA248" s="96">
        <f>IF(Z248=0,0,IF(AND(OR(r_ini="",AND(ISNUMBER(E248),E248&gt;=r_ini)),OR(r_fim="",AND(ISNUMBER(E248),E248&lt;=r_fim)),OR(r_un="",r_un="(Todas)",G248=r_un),OR(r_de="",r_de="(Todos)",I248=r_de)),1,0))</f>
        <v>0</v>
      </c>
      <c r="BB248" s="96" t="str">
        <f>IF(BA248=1,COUNTIF($BA$6:BA248,1),"")</f>
        <v/>
      </c>
      <c r="BC248" s="96" t="str">
        <f>IF(AND(AU248&lt;&gt;"",OR(r_un="",r_un="(Todas)",G248=r_un),OR(r_de="",r_de="(Todos)",I248=r_de)),AU248,"")</f>
        <v/>
      </c>
      <c r="BD248" s="96" t="str">
        <f>IF(Z248=1,A248&amp;" | nº "&amp;IF(B248="","(sem número)",B248)&amp;" | "&amp;IF(G248="","(sem unidade)",G248),"")</f>
        <v/>
      </c>
      <c r="BE248" s="96" t="str">
        <f>IF(Z248=1,COUNTIF($Z$6:Z248,1),"")</f>
        <v/>
      </c>
      <c r="BF248" s="96" t="str">
        <f>IF(T248="","",IF(T248="RECEBIMENTO NÃO CONFIRMADO","Transp.: "&amp;H248&amp;" | Dest.: "&amp;I248,IF(OR(T248="CDF NÃO LOCALIZADO",T248="VÍNCULO INCOMPLETO",T248="CDF A CONFERIR"),"Dest.: "&amp;I248,"Gerador: "&amp;G248)))</f>
        <v/>
      </c>
    </row>
    <row r="249">
      <c r="A249" s="89" t="inlineStr">
        <is>
          <t>MTR-000244</t>
        </is>
      </c>
      <c r="B249" s="90" t="n"/>
      <c r="C249" s="91" t="n"/>
      <c r="D249" s="91" t="n"/>
      <c r="E249" s="92" t="n"/>
      <c r="F249" s="92" t="n"/>
      <c r="G249" s="91" t="n"/>
      <c r="H249" s="91" t="n"/>
      <c r="I249" s="91" t="n"/>
      <c r="J249" s="91" t="n"/>
      <c r="K249" s="91" t="n"/>
      <c r="L249" s="92" t="n"/>
      <c r="M249" s="91" t="n"/>
      <c r="N249" s="91" t="n"/>
      <c r="O249" s="91" t="n"/>
      <c r="P249" s="93" t="str">
        <f>IF(Z249=0,"",SUMIFS('ITENS_MTR'!$I$6:$I$1005,'ITENS_MTR'!$S$6:$S$1005,A249,'ITENS_MTR'!$Y$6:$Y$1005,1))</f>
        <v/>
      </c>
      <c r="Q249" s="93" t="str">
        <f>IF(Z249=0,"",SUMIFS('RECEBIMENTOS'!$H$6:$H$1005,'RECEBIMENTOS'!$B$6:$B$1005,A249,'RECEBIMENTOS'!$X$6:$X$1005,1))</f>
        <v/>
      </c>
      <c r="R249" s="93" t="str">
        <f>IF(Z249=0,"",SUMIFS('VÍNCULOS_CDF'!$H$6:$H$1005,'VÍNCULOS_CDF'!$D$6:$D$1005,A249,'VÍNCULOS_CDF'!$V$6:$V$1005,1))</f>
        <v/>
      </c>
      <c r="S249" s="94" t="str">
        <f>IF(Z249=0,"",IF(AA249=1,"Cancelado (informado)",IF(AE249=1,"Cadastro incompleto",IF(OR(AC249=1,AD249=1,AF249&gt;0,AH249&gt;0,AK249&gt;0,AL249&gt;0),"Informação a revisar",IF(AN249=0,"Aguardando recebimento",IF(N(R249)=0,"Aguardando CDF",IF(AJ249&lt;N(W249),"Vínculo de CDF parcial",IF(AO249=0,"CDF localizado, a conferir","Documentação conferida"))))))))</f>
        <v/>
      </c>
      <c r="T249" s="94" t="str">
        <f>IF(Z249=0,"",IF(S249="Cadastro incompleto","MTR INCOMPLETO",IF(S249="Informação a revisar",IF(AND(AH249&gt;0,AC249=0,AD249=0,AF249=0,AK249=0,AL249=0),"QUANTIDADE A REVISAR","IDENTIFICAÇÃO A REVISAR"),IF(S249="Aguardando recebimento","RECEBIMENTO NÃO CONFIRMADO",IF(S249="Aguardando CDF","CDF NÃO LOCALIZADO",IF(S249="Vínculo de CDF parcial","VÍNCULO INCOMPLETO",IF(S249="CDF localizado, a conferir","CDF A CONFERIR","")))))))</f>
        <v/>
      </c>
      <c r="U249" s="95" t="str">
        <f>IF(T249="","",IF(AQ249="","Não calculável",IF(AQ249&gt;TODAY(),"Data futura",TODAY()-AQ249)))</f>
        <v/>
      </c>
      <c r="V249" s="93" t="str">
        <f>IF(Z249=0,"",SUMIFS('RECEBIMENTOS'!$H$6:$H$1005,'RECEBIMENTOS'!$B$6:$B$1005,A249,'RECEBIMENTOS'!$Z$6:$Z$1005,1))</f>
        <v/>
      </c>
      <c r="W249" s="95" t="str">
        <f>IF(Z249=0,"",COUNTIFS('ITENS_MTR'!$S$6:$S$1005,A249,'ITENS_MTR'!$R$6:$R$1005,1))</f>
        <v/>
      </c>
      <c r="X249" s="94" t="str">
        <f>IF(AC249=1,"POSSÍVEL DUPLICIDADE","")</f>
        <v/>
      </c>
      <c r="Y249" s="94" t="str">
        <f>IF(Z249=0,"",IF(AW249="","Nenhuma",LEFT(AW249,LEN(AW249)-2)))</f>
        <v/>
      </c>
      <c r="Z249" s="96">
        <f>IF(COUNTA(B249:O249)&gt;0,1,0)</f>
        <v>0</v>
      </c>
      <c r="AA249" s="96">
        <f>IF(AND(Z249=1,K249&lt;&gt;""),IF(TRIM(K249)=TRIM(cfg_cancel),1,0),0)</f>
        <v>0</v>
      </c>
      <c r="AB249" s="96" t="str">
        <f>IF(AND(Z249=1,B249&lt;&gt;""),C249&amp;"|"&amp;D249&amp;"|"&amp;G249&amp;"|"&amp;TRIM(B249),"")</f>
        <v/>
      </c>
      <c r="AC249" s="96">
        <f>IF(AB249="",0,IF(SUMPRODUCT(--($AB$6:$AB$505=AB249))&gt;1,1,0))</f>
        <v>0</v>
      </c>
      <c r="AD249" s="96">
        <f>IF(Z249=0,0,IF(OR(AND(G249&lt;&gt;"",ISNA(MATCH(G249,'CAD_UNIDADES'!$C$6:$C$105,0))),AND(H249&lt;&gt;"",ISNA(MATCH(H249,cmp_transp,0))),AND(I249&lt;&gt;"",ISNA(MATCH(I249,cmp_dest,0))),AND(E249&lt;&gt;"",NOT(ISNUMBER(E249))),AND(F249&lt;&gt;"",NOT(ISNUMBER(F249))),AND(ISNUMBER(E249),ISNUMBER(F249),F249&lt;E249)),1,0))</f>
        <v>0</v>
      </c>
      <c r="AE249" s="96">
        <f>IF(Z249=0,0,IF(OR(B249="",C249="",E249="",G249="",H249="",I249="",N(W249)=0),1,0))</f>
        <v>0</v>
      </c>
      <c r="AF249" s="96">
        <f>IF(Z249=0,0,COUNTIFS('ITENS_MTR'!$S$6:$S$1005,A249,'ITENS_MTR'!$AI$6:$AI$1005,1))</f>
        <v>0</v>
      </c>
      <c r="AG249" s="96">
        <f>IF(Z249=0,0,COUNTIFS('ITENS_MTR'!$S$6:$S$1005,A249,'ITENS_MTR'!$AJ$6:$AJ$1005,1))</f>
        <v>0</v>
      </c>
      <c r="AH249" s="96">
        <f>IF(Z249=0,0,COUNTIFS('ITENS_MTR'!$S$6:$S$1005,A249,'ITENS_MTR'!$AM$6:$AM$1005,1))</f>
        <v>0</v>
      </c>
      <c r="AI249" s="96">
        <f>IF(Z249=0,0,COUNTIFS('ITENS_MTR'!$S$6:$S$1005,A249,'ITENS_MTR'!$AO$6:$AO$1005,1))</f>
        <v>0</v>
      </c>
      <c r="AJ249" s="96">
        <f>IF(Z249=0,0,COUNTIFS('ITENS_MTR'!$S$6:$S$1005,A249,'ITENS_MTR'!$AN$6:$AN$1005,1))</f>
        <v>0</v>
      </c>
      <c r="AK249" s="96">
        <f>IF(Z249=0,0,COUNTIFS('RECEBIMENTOS'!$B$6:$B$1005,A249,'RECEBIMENTOS'!$Y$6:$Y$1005,1))</f>
        <v>0</v>
      </c>
      <c r="AL249" s="96">
        <f>IF(Z249=0,0,COUNTIFS('VÍNCULOS_CDF'!$D$6:$D$1005,A249,'VÍNCULOS_CDF'!$Y$6:$Y$1005,1))</f>
        <v>0</v>
      </c>
      <c r="AM249" s="96">
        <f>IF(Z249=0,0,COUNTIFS('RECEBIMENTOS'!$B$6:$B$1005,A249,'RECEBIMENTOS'!$Q$6:$Q$1005,1))</f>
        <v>0</v>
      </c>
      <c r="AN249" s="96">
        <f>IF(AND(Z249=1,N(W249)&gt;0,AG249=N(W249)),1,0)</f>
        <v>0</v>
      </c>
      <c r="AO249" s="96">
        <f>IF(AND(Z249=1,N(W249)&gt;0,AI249=N(W249)),1,0)</f>
        <v>0</v>
      </c>
      <c r="AP249" s="97">
        <f>IF(Z249=0,0,_xlfn.MAXIFS('RECEBIMENTOS'!$E$6:$E$1005,'RECEBIMENTOS'!$B$6:$B$1005,A249))</f>
        <v>0</v>
      </c>
      <c r="AQ249" s="97" t="str">
        <f>IF(T249="","",IF(T249="RECEBIMENTO NÃO CONFIRMADO",IF(ISNUMBER(F249),F249,IF(ISNUMBER(E249),E249,"")),IF(OR(T249="CDF NÃO LOCALIZADO",T249="VÍNCULO INCOMPLETO",T249="CDF A CONFERIR"),IF(AP249&gt;0,AP249,IF(ISNUMBER(E249),E249,"")),IF(ISNUMBER(E249),E249,""))))</f>
        <v/>
      </c>
      <c r="AR249" s="96">
        <f>IF(NOT(ISNUMBER(U249)),0,IF(T249="RECEBIMENTO NÃO CONFIRMADO",IF(AND(ISNUMBER(cfg_rec),U249&gt;cfg_rec),1,0),IF(OR(T249="CDF NÃO LOCALIZADO",T249="VÍNCULO INCOMPLETO",T249="CDF A CONFERIR"),IF(AND(ISNUMBER(cfg_cdf),U249&gt;cfg_cdf),1,0),0)))</f>
        <v>0</v>
      </c>
      <c r="AS249" s="96" t="str">
        <f>IF(T249="","",IF(AR249=1,"Alta",IFERROR(INDEX(cfg_pp,MATCH(T249,cfg_pt,0))&amp;"","Média")))</f>
        <v/>
      </c>
      <c r="AT249" s="96" t="str">
        <f>IF(T249="","",IFERROR(INDEX(cfg_pv,MATCH(T249,cfg_pt,0))&amp;"",""))</f>
        <v/>
      </c>
      <c r="AU249" s="96" t="str">
        <f>IF(T249="","",IF(AS249="Alta",1,IF(AS249="Média",2,3))*1000000000+(999999-IF(ISNUMBER(U249),MIN(U249,999999),0))*1000+244)</f>
        <v/>
      </c>
      <c r="AV249" s="96">
        <f>IF(T249&lt;&gt;"",1,0)</f>
        <v>0</v>
      </c>
      <c r="AW249" s="96" t="str">
        <f>IF(Z249=0,"",IF(AA249=1,"Cancelamento informado; ","")&amp;IF(AE249=1,"Campos essenciais ou itens faltando; ","")&amp;IF(AC249=1,"Possível duplicidade do número; ","")&amp;IF(AD249=1,"Cadastro ou datas a revisar; ","")&amp;IF(AF249&gt;0,"Item de resíduo com dado a revisar; ","")&amp;IF(AH249&gt;0,"Diferença de quantidade a analisar; ","")&amp;IF(AK249&gt;0,"Recebimento com alerta; ","")&amp;IF(AL249&gt;0,"Vínculo de CDF com alerta; ","")&amp;IF(AND(AA249=0,AN249=0),"Recebimento não confirmado; ","")&amp;IF(AND(AA249=0,AN249=1,AO249=0),"CDF pendente ou a conferir; ",""))</f>
        <v/>
      </c>
      <c r="AX249" s="96">
        <f>IF(Z249=0,0,IF(AND(OR(f_ini="",AND(ISNUMBER(E249),E249&gt;=f_ini)),OR(f_fim="",AND(ISNUMBER(E249),E249&lt;=f_fim)),OR(f_un="",f_un="(Todas)",G249=f_un),OR(f_tr="",f_tr="(Todos)",H249=f_tr),OR(f_de="",f_de="(Todos)",I249=f_de),OR(f_sit="",f_sit="(Todas)",S249=f_sit)),1,0))</f>
        <v>0</v>
      </c>
      <c r="AY249" s="96">
        <f>IF(AX249=0,0,IF(OR(f_res="",f_res="(Todos)"),1,IF(COUNTIFS('ITENS_MTR'!$S$6:$S$1005,A249,'ITENS_MTR'!$C$6:$C$1005,f_res)&gt;0,1,0)))</f>
        <v>0</v>
      </c>
      <c r="AZ249" s="97" t="str">
        <f>IF(ISNUMBER(E249),DATE(YEAR(E249),MONTH(E249),1),"")</f>
        <v/>
      </c>
      <c r="BA249" s="96">
        <f>IF(Z249=0,0,IF(AND(OR(r_ini="",AND(ISNUMBER(E249),E249&gt;=r_ini)),OR(r_fim="",AND(ISNUMBER(E249),E249&lt;=r_fim)),OR(r_un="",r_un="(Todas)",G249=r_un),OR(r_de="",r_de="(Todos)",I249=r_de)),1,0))</f>
        <v>0</v>
      </c>
      <c r="BB249" s="96" t="str">
        <f>IF(BA249=1,COUNTIF($BA$6:BA249,1),"")</f>
        <v/>
      </c>
      <c r="BC249" s="96" t="str">
        <f>IF(AND(AU249&lt;&gt;"",OR(r_un="",r_un="(Todas)",G249=r_un),OR(r_de="",r_de="(Todos)",I249=r_de)),AU249,"")</f>
        <v/>
      </c>
      <c r="BD249" s="96" t="str">
        <f>IF(Z249=1,A249&amp;" | nº "&amp;IF(B249="","(sem número)",B249)&amp;" | "&amp;IF(G249="","(sem unidade)",G249),"")</f>
        <v/>
      </c>
      <c r="BE249" s="96" t="str">
        <f>IF(Z249=1,COUNTIF($Z$6:Z249,1),"")</f>
        <v/>
      </c>
      <c r="BF249" s="96" t="str">
        <f>IF(T249="","",IF(T249="RECEBIMENTO NÃO CONFIRMADO","Transp.: "&amp;H249&amp;" | Dest.: "&amp;I249,IF(OR(T249="CDF NÃO LOCALIZADO",T249="VÍNCULO INCOMPLETO",T249="CDF A CONFERIR"),"Dest.: "&amp;I249,"Gerador: "&amp;G249)))</f>
        <v/>
      </c>
    </row>
    <row r="250">
      <c r="A250" s="89" t="inlineStr">
        <is>
          <t>MTR-000245</t>
        </is>
      </c>
      <c r="B250" s="90" t="n"/>
      <c r="C250" s="91" t="n"/>
      <c r="D250" s="91" t="n"/>
      <c r="E250" s="92" t="n"/>
      <c r="F250" s="92" t="n"/>
      <c r="G250" s="91" t="n"/>
      <c r="H250" s="91" t="n"/>
      <c r="I250" s="91" t="n"/>
      <c r="J250" s="91" t="n"/>
      <c r="K250" s="91" t="n"/>
      <c r="L250" s="92" t="n"/>
      <c r="M250" s="91" t="n"/>
      <c r="N250" s="91" t="n"/>
      <c r="O250" s="91" t="n"/>
      <c r="P250" s="93" t="str">
        <f>IF(Z250=0,"",SUMIFS('ITENS_MTR'!$I$6:$I$1005,'ITENS_MTR'!$S$6:$S$1005,A250,'ITENS_MTR'!$Y$6:$Y$1005,1))</f>
        <v/>
      </c>
      <c r="Q250" s="93" t="str">
        <f>IF(Z250=0,"",SUMIFS('RECEBIMENTOS'!$H$6:$H$1005,'RECEBIMENTOS'!$B$6:$B$1005,A250,'RECEBIMENTOS'!$X$6:$X$1005,1))</f>
        <v/>
      </c>
      <c r="R250" s="93" t="str">
        <f>IF(Z250=0,"",SUMIFS('VÍNCULOS_CDF'!$H$6:$H$1005,'VÍNCULOS_CDF'!$D$6:$D$1005,A250,'VÍNCULOS_CDF'!$V$6:$V$1005,1))</f>
        <v/>
      </c>
      <c r="S250" s="94" t="str">
        <f>IF(Z250=0,"",IF(AA250=1,"Cancelado (informado)",IF(AE250=1,"Cadastro incompleto",IF(OR(AC250=1,AD250=1,AF250&gt;0,AH250&gt;0,AK250&gt;0,AL250&gt;0),"Informação a revisar",IF(AN250=0,"Aguardando recebimento",IF(N(R250)=0,"Aguardando CDF",IF(AJ250&lt;N(W250),"Vínculo de CDF parcial",IF(AO250=0,"CDF localizado, a conferir","Documentação conferida"))))))))</f>
        <v/>
      </c>
      <c r="T250" s="94" t="str">
        <f>IF(Z250=0,"",IF(S250="Cadastro incompleto","MTR INCOMPLETO",IF(S250="Informação a revisar",IF(AND(AH250&gt;0,AC250=0,AD250=0,AF250=0,AK250=0,AL250=0),"QUANTIDADE A REVISAR","IDENTIFICAÇÃO A REVISAR"),IF(S250="Aguardando recebimento","RECEBIMENTO NÃO CONFIRMADO",IF(S250="Aguardando CDF","CDF NÃO LOCALIZADO",IF(S250="Vínculo de CDF parcial","VÍNCULO INCOMPLETO",IF(S250="CDF localizado, a conferir","CDF A CONFERIR","")))))))</f>
        <v/>
      </c>
      <c r="U250" s="95" t="str">
        <f>IF(T250="","",IF(AQ250="","Não calculável",IF(AQ250&gt;TODAY(),"Data futura",TODAY()-AQ250)))</f>
        <v/>
      </c>
      <c r="V250" s="93" t="str">
        <f>IF(Z250=0,"",SUMIFS('RECEBIMENTOS'!$H$6:$H$1005,'RECEBIMENTOS'!$B$6:$B$1005,A250,'RECEBIMENTOS'!$Z$6:$Z$1005,1))</f>
        <v/>
      </c>
      <c r="W250" s="95" t="str">
        <f>IF(Z250=0,"",COUNTIFS('ITENS_MTR'!$S$6:$S$1005,A250,'ITENS_MTR'!$R$6:$R$1005,1))</f>
        <v/>
      </c>
      <c r="X250" s="94" t="str">
        <f>IF(AC250=1,"POSSÍVEL DUPLICIDADE","")</f>
        <v/>
      </c>
      <c r="Y250" s="94" t="str">
        <f>IF(Z250=0,"",IF(AW250="","Nenhuma",LEFT(AW250,LEN(AW250)-2)))</f>
        <v/>
      </c>
      <c r="Z250" s="96">
        <f>IF(COUNTA(B250:O250)&gt;0,1,0)</f>
        <v>0</v>
      </c>
      <c r="AA250" s="96">
        <f>IF(AND(Z250=1,K250&lt;&gt;""),IF(TRIM(K250)=TRIM(cfg_cancel),1,0),0)</f>
        <v>0</v>
      </c>
      <c r="AB250" s="96" t="str">
        <f>IF(AND(Z250=1,B250&lt;&gt;""),C250&amp;"|"&amp;D250&amp;"|"&amp;G250&amp;"|"&amp;TRIM(B250),"")</f>
        <v/>
      </c>
      <c r="AC250" s="96">
        <f>IF(AB250="",0,IF(SUMPRODUCT(--($AB$6:$AB$505=AB250))&gt;1,1,0))</f>
        <v>0</v>
      </c>
      <c r="AD250" s="96">
        <f>IF(Z250=0,0,IF(OR(AND(G250&lt;&gt;"",ISNA(MATCH(G250,'CAD_UNIDADES'!$C$6:$C$105,0))),AND(H250&lt;&gt;"",ISNA(MATCH(H250,cmp_transp,0))),AND(I250&lt;&gt;"",ISNA(MATCH(I250,cmp_dest,0))),AND(E250&lt;&gt;"",NOT(ISNUMBER(E250))),AND(F250&lt;&gt;"",NOT(ISNUMBER(F250))),AND(ISNUMBER(E250),ISNUMBER(F250),F250&lt;E250)),1,0))</f>
        <v>0</v>
      </c>
      <c r="AE250" s="96">
        <f>IF(Z250=0,0,IF(OR(B250="",C250="",E250="",G250="",H250="",I250="",N(W250)=0),1,0))</f>
        <v>0</v>
      </c>
      <c r="AF250" s="96">
        <f>IF(Z250=0,0,COUNTIFS('ITENS_MTR'!$S$6:$S$1005,A250,'ITENS_MTR'!$AI$6:$AI$1005,1))</f>
        <v>0</v>
      </c>
      <c r="AG250" s="96">
        <f>IF(Z250=0,0,COUNTIFS('ITENS_MTR'!$S$6:$S$1005,A250,'ITENS_MTR'!$AJ$6:$AJ$1005,1))</f>
        <v>0</v>
      </c>
      <c r="AH250" s="96">
        <f>IF(Z250=0,0,COUNTIFS('ITENS_MTR'!$S$6:$S$1005,A250,'ITENS_MTR'!$AM$6:$AM$1005,1))</f>
        <v>0</v>
      </c>
      <c r="AI250" s="96">
        <f>IF(Z250=0,0,COUNTIFS('ITENS_MTR'!$S$6:$S$1005,A250,'ITENS_MTR'!$AO$6:$AO$1005,1))</f>
        <v>0</v>
      </c>
      <c r="AJ250" s="96">
        <f>IF(Z250=0,0,COUNTIFS('ITENS_MTR'!$S$6:$S$1005,A250,'ITENS_MTR'!$AN$6:$AN$1005,1))</f>
        <v>0</v>
      </c>
      <c r="AK250" s="96">
        <f>IF(Z250=0,0,COUNTIFS('RECEBIMENTOS'!$B$6:$B$1005,A250,'RECEBIMENTOS'!$Y$6:$Y$1005,1))</f>
        <v>0</v>
      </c>
      <c r="AL250" s="96">
        <f>IF(Z250=0,0,COUNTIFS('VÍNCULOS_CDF'!$D$6:$D$1005,A250,'VÍNCULOS_CDF'!$Y$6:$Y$1005,1))</f>
        <v>0</v>
      </c>
      <c r="AM250" s="96">
        <f>IF(Z250=0,0,COUNTIFS('RECEBIMENTOS'!$B$6:$B$1005,A250,'RECEBIMENTOS'!$Q$6:$Q$1005,1))</f>
        <v>0</v>
      </c>
      <c r="AN250" s="96">
        <f>IF(AND(Z250=1,N(W250)&gt;0,AG250=N(W250)),1,0)</f>
        <v>0</v>
      </c>
      <c r="AO250" s="96">
        <f>IF(AND(Z250=1,N(W250)&gt;0,AI250=N(W250)),1,0)</f>
        <v>0</v>
      </c>
      <c r="AP250" s="97">
        <f>IF(Z250=0,0,_xlfn.MAXIFS('RECEBIMENTOS'!$E$6:$E$1005,'RECEBIMENTOS'!$B$6:$B$1005,A250))</f>
        <v>0</v>
      </c>
      <c r="AQ250" s="97" t="str">
        <f>IF(T250="","",IF(T250="RECEBIMENTO NÃO CONFIRMADO",IF(ISNUMBER(F250),F250,IF(ISNUMBER(E250),E250,"")),IF(OR(T250="CDF NÃO LOCALIZADO",T250="VÍNCULO INCOMPLETO",T250="CDF A CONFERIR"),IF(AP250&gt;0,AP250,IF(ISNUMBER(E250),E250,"")),IF(ISNUMBER(E250),E250,""))))</f>
        <v/>
      </c>
      <c r="AR250" s="96">
        <f>IF(NOT(ISNUMBER(U250)),0,IF(T250="RECEBIMENTO NÃO CONFIRMADO",IF(AND(ISNUMBER(cfg_rec),U250&gt;cfg_rec),1,0),IF(OR(T250="CDF NÃO LOCALIZADO",T250="VÍNCULO INCOMPLETO",T250="CDF A CONFERIR"),IF(AND(ISNUMBER(cfg_cdf),U250&gt;cfg_cdf),1,0),0)))</f>
        <v>0</v>
      </c>
      <c r="AS250" s="96" t="str">
        <f>IF(T250="","",IF(AR250=1,"Alta",IFERROR(INDEX(cfg_pp,MATCH(T250,cfg_pt,0))&amp;"","Média")))</f>
        <v/>
      </c>
      <c r="AT250" s="96" t="str">
        <f>IF(T250="","",IFERROR(INDEX(cfg_pv,MATCH(T250,cfg_pt,0))&amp;"",""))</f>
        <v/>
      </c>
      <c r="AU250" s="96" t="str">
        <f>IF(T250="","",IF(AS250="Alta",1,IF(AS250="Média",2,3))*1000000000+(999999-IF(ISNUMBER(U250),MIN(U250,999999),0))*1000+245)</f>
        <v/>
      </c>
      <c r="AV250" s="96">
        <f>IF(T250&lt;&gt;"",1,0)</f>
        <v>0</v>
      </c>
      <c r="AW250" s="96" t="str">
        <f>IF(Z250=0,"",IF(AA250=1,"Cancelamento informado; ","")&amp;IF(AE250=1,"Campos essenciais ou itens faltando; ","")&amp;IF(AC250=1,"Possível duplicidade do número; ","")&amp;IF(AD250=1,"Cadastro ou datas a revisar; ","")&amp;IF(AF250&gt;0,"Item de resíduo com dado a revisar; ","")&amp;IF(AH250&gt;0,"Diferença de quantidade a analisar; ","")&amp;IF(AK250&gt;0,"Recebimento com alerta; ","")&amp;IF(AL250&gt;0,"Vínculo de CDF com alerta; ","")&amp;IF(AND(AA250=0,AN250=0),"Recebimento não confirmado; ","")&amp;IF(AND(AA250=0,AN250=1,AO250=0),"CDF pendente ou a conferir; ",""))</f>
        <v/>
      </c>
      <c r="AX250" s="96">
        <f>IF(Z250=0,0,IF(AND(OR(f_ini="",AND(ISNUMBER(E250),E250&gt;=f_ini)),OR(f_fim="",AND(ISNUMBER(E250),E250&lt;=f_fim)),OR(f_un="",f_un="(Todas)",G250=f_un),OR(f_tr="",f_tr="(Todos)",H250=f_tr),OR(f_de="",f_de="(Todos)",I250=f_de),OR(f_sit="",f_sit="(Todas)",S250=f_sit)),1,0))</f>
        <v>0</v>
      </c>
      <c r="AY250" s="96">
        <f>IF(AX250=0,0,IF(OR(f_res="",f_res="(Todos)"),1,IF(COUNTIFS('ITENS_MTR'!$S$6:$S$1005,A250,'ITENS_MTR'!$C$6:$C$1005,f_res)&gt;0,1,0)))</f>
        <v>0</v>
      </c>
      <c r="AZ250" s="97" t="str">
        <f>IF(ISNUMBER(E250),DATE(YEAR(E250),MONTH(E250),1),"")</f>
        <v/>
      </c>
      <c r="BA250" s="96">
        <f>IF(Z250=0,0,IF(AND(OR(r_ini="",AND(ISNUMBER(E250),E250&gt;=r_ini)),OR(r_fim="",AND(ISNUMBER(E250),E250&lt;=r_fim)),OR(r_un="",r_un="(Todas)",G250=r_un),OR(r_de="",r_de="(Todos)",I250=r_de)),1,0))</f>
        <v>0</v>
      </c>
      <c r="BB250" s="96" t="str">
        <f>IF(BA250=1,COUNTIF($BA$6:BA250,1),"")</f>
        <v/>
      </c>
      <c r="BC250" s="96" t="str">
        <f>IF(AND(AU250&lt;&gt;"",OR(r_un="",r_un="(Todas)",G250=r_un),OR(r_de="",r_de="(Todos)",I250=r_de)),AU250,"")</f>
        <v/>
      </c>
      <c r="BD250" s="96" t="str">
        <f>IF(Z250=1,A250&amp;" | nº "&amp;IF(B250="","(sem número)",B250)&amp;" | "&amp;IF(G250="","(sem unidade)",G250),"")</f>
        <v/>
      </c>
      <c r="BE250" s="96" t="str">
        <f>IF(Z250=1,COUNTIF($Z$6:Z250,1),"")</f>
        <v/>
      </c>
      <c r="BF250" s="96" t="str">
        <f>IF(T250="","",IF(T250="RECEBIMENTO NÃO CONFIRMADO","Transp.: "&amp;H250&amp;" | Dest.: "&amp;I250,IF(OR(T250="CDF NÃO LOCALIZADO",T250="VÍNCULO INCOMPLETO",T250="CDF A CONFERIR"),"Dest.: "&amp;I250,"Gerador: "&amp;G250)))</f>
        <v/>
      </c>
    </row>
    <row r="251">
      <c r="A251" s="89" t="inlineStr">
        <is>
          <t>MTR-000246</t>
        </is>
      </c>
      <c r="B251" s="90" t="n"/>
      <c r="C251" s="91" t="n"/>
      <c r="D251" s="91" t="n"/>
      <c r="E251" s="92" t="n"/>
      <c r="F251" s="92" t="n"/>
      <c r="G251" s="91" t="n"/>
      <c r="H251" s="91" t="n"/>
      <c r="I251" s="91" t="n"/>
      <c r="J251" s="91" t="n"/>
      <c r="K251" s="91" t="n"/>
      <c r="L251" s="92" t="n"/>
      <c r="M251" s="91" t="n"/>
      <c r="N251" s="91" t="n"/>
      <c r="O251" s="91" t="n"/>
      <c r="P251" s="93" t="str">
        <f>IF(Z251=0,"",SUMIFS('ITENS_MTR'!$I$6:$I$1005,'ITENS_MTR'!$S$6:$S$1005,A251,'ITENS_MTR'!$Y$6:$Y$1005,1))</f>
        <v/>
      </c>
      <c r="Q251" s="93" t="str">
        <f>IF(Z251=0,"",SUMIFS('RECEBIMENTOS'!$H$6:$H$1005,'RECEBIMENTOS'!$B$6:$B$1005,A251,'RECEBIMENTOS'!$X$6:$X$1005,1))</f>
        <v/>
      </c>
      <c r="R251" s="93" t="str">
        <f>IF(Z251=0,"",SUMIFS('VÍNCULOS_CDF'!$H$6:$H$1005,'VÍNCULOS_CDF'!$D$6:$D$1005,A251,'VÍNCULOS_CDF'!$V$6:$V$1005,1))</f>
        <v/>
      </c>
      <c r="S251" s="94" t="str">
        <f>IF(Z251=0,"",IF(AA251=1,"Cancelado (informado)",IF(AE251=1,"Cadastro incompleto",IF(OR(AC251=1,AD251=1,AF251&gt;0,AH251&gt;0,AK251&gt;0,AL251&gt;0),"Informação a revisar",IF(AN251=0,"Aguardando recebimento",IF(N(R251)=0,"Aguardando CDF",IF(AJ251&lt;N(W251),"Vínculo de CDF parcial",IF(AO251=0,"CDF localizado, a conferir","Documentação conferida"))))))))</f>
        <v/>
      </c>
      <c r="T251" s="94" t="str">
        <f>IF(Z251=0,"",IF(S251="Cadastro incompleto","MTR INCOMPLETO",IF(S251="Informação a revisar",IF(AND(AH251&gt;0,AC251=0,AD251=0,AF251=0,AK251=0,AL251=0),"QUANTIDADE A REVISAR","IDENTIFICAÇÃO A REVISAR"),IF(S251="Aguardando recebimento","RECEBIMENTO NÃO CONFIRMADO",IF(S251="Aguardando CDF","CDF NÃO LOCALIZADO",IF(S251="Vínculo de CDF parcial","VÍNCULO INCOMPLETO",IF(S251="CDF localizado, a conferir","CDF A CONFERIR","")))))))</f>
        <v/>
      </c>
      <c r="U251" s="95" t="str">
        <f>IF(T251="","",IF(AQ251="","Não calculável",IF(AQ251&gt;TODAY(),"Data futura",TODAY()-AQ251)))</f>
        <v/>
      </c>
      <c r="V251" s="93" t="str">
        <f>IF(Z251=0,"",SUMIFS('RECEBIMENTOS'!$H$6:$H$1005,'RECEBIMENTOS'!$B$6:$B$1005,A251,'RECEBIMENTOS'!$Z$6:$Z$1005,1))</f>
        <v/>
      </c>
      <c r="W251" s="95" t="str">
        <f>IF(Z251=0,"",COUNTIFS('ITENS_MTR'!$S$6:$S$1005,A251,'ITENS_MTR'!$R$6:$R$1005,1))</f>
        <v/>
      </c>
      <c r="X251" s="94" t="str">
        <f>IF(AC251=1,"POSSÍVEL DUPLICIDADE","")</f>
        <v/>
      </c>
      <c r="Y251" s="94" t="str">
        <f>IF(Z251=0,"",IF(AW251="","Nenhuma",LEFT(AW251,LEN(AW251)-2)))</f>
        <v/>
      </c>
      <c r="Z251" s="96">
        <f>IF(COUNTA(B251:O251)&gt;0,1,0)</f>
        <v>0</v>
      </c>
      <c r="AA251" s="96">
        <f>IF(AND(Z251=1,K251&lt;&gt;""),IF(TRIM(K251)=TRIM(cfg_cancel),1,0),0)</f>
        <v>0</v>
      </c>
      <c r="AB251" s="96" t="str">
        <f>IF(AND(Z251=1,B251&lt;&gt;""),C251&amp;"|"&amp;D251&amp;"|"&amp;G251&amp;"|"&amp;TRIM(B251),"")</f>
        <v/>
      </c>
      <c r="AC251" s="96">
        <f>IF(AB251="",0,IF(SUMPRODUCT(--($AB$6:$AB$505=AB251))&gt;1,1,0))</f>
        <v>0</v>
      </c>
      <c r="AD251" s="96">
        <f>IF(Z251=0,0,IF(OR(AND(G251&lt;&gt;"",ISNA(MATCH(G251,'CAD_UNIDADES'!$C$6:$C$105,0))),AND(H251&lt;&gt;"",ISNA(MATCH(H251,cmp_transp,0))),AND(I251&lt;&gt;"",ISNA(MATCH(I251,cmp_dest,0))),AND(E251&lt;&gt;"",NOT(ISNUMBER(E251))),AND(F251&lt;&gt;"",NOT(ISNUMBER(F251))),AND(ISNUMBER(E251),ISNUMBER(F251),F251&lt;E251)),1,0))</f>
        <v>0</v>
      </c>
      <c r="AE251" s="96">
        <f>IF(Z251=0,0,IF(OR(B251="",C251="",E251="",G251="",H251="",I251="",N(W251)=0),1,0))</f>
        <v>0</v>
      </c>
      <c r="AF251" s="96">
        <f>IF(Z251=0,0,COUNTIFS('ITENS_MTR'!$S$6:$S$1005,A251,'ITENS_MTR'!$AI$6:$AI$1005,1))</f>
        <v>0</v>
      </c>
      <c r="AG251" s="96">
        <f>IF(Z251=0,0,COUNTIFS('ITENS_MTR'!$S$6:$S$1005,A251,'ITENS_MTR'!$AJ$6:$AJ$1005,1))</f>
        <v>0</v>
      </c>
      <c r="AH251" s="96">
        <f>IF(Z251=0,0,COUNTIFS('ITENS_MTR'!$S$6:$S$1005,A251,'ITENS_MTR'!$AM$6:$AM$1005,1))</f>
        <v>0</v>
      </c>
      <c r="AI251" s="96">
        <f>IF(Z251=0,0,COUNTIFS('ITENS_MTR'!$S$6:$S$1005,A251,'ITENS_MTR'!$AO$6:$AO$1005,1))</f>
        <v>0</v>
      </c>
      <c r="AJ251" s="96">
        <f>IF(Z251=0,0,COUNTIFS('ITENS_MTR'!$S$6:$S$1005,A251,'ITENS_MTR'!$AN$6:$AN$1005,1))</f>
        <v>0</v>
      </c>
      <c r="AK251" s="96">
        <f>IF(Z251=0,0,COUNTIFS('RECEBIMENTOS'!$B$6:$B$1005,A251,'RECEBIMENTOS'!$Y$6:$Y$1005,1))</f>
        <v>0</v>
      </c>
      <c r="AL251" s="96">
        <f>IF(Z251=0,0,COUNTIFS('VÍNCULOS_CDF'!$D$6:$D$1005,A251,'VÍNCULOS_CDF'!$Y$6:$Y$1005,1))</f>
        <v>0</v>
      </c>
      <c r="AM251" s="96">
        <f>IF(Z251=0,0,COUNTIFS('RECEBIMENTOS'!$B$6:$B$1005,A251,'RECEBIMENTOS'!$Q$6:$Q$1005,1))</f>
        <v>0</v>
      </c>
      <c r="AN251" s="96">
        <f>IF(AND(Z251=1,N(W251)&gt;0,AG251=N(W251)),1,0)</f>
        <v>0</v>
      </c>
      <c r="AO251" s="96">
        <f>IF(AND(Z251=1,N(W251)&gt;0,AI251=N(W251)),1,0)</f>
        <v>0</v>
      </c>
      <c r="AP251" s="97">
        <f>IF(Z251=0,0,_xlfn.MAXIFS('RECEBIMENTOS'!$E$6:$E$1005,'RECEBIMENTOS'!$B$6:$B$1005,A251))</f>
        <v>0</v>
      </c>
      <c r="AQ251" s="97" t="str">
        <f>IF(T251="","",IF(T251="RECEBIMENTO NÃO CONFIRMADO",IF(ISNUMBER(F251),F251,IF(ISNUMBER(E251),E251,"")),IF(OR(T251="CDF NÃO LOCALIZADO",T251="VÍNCULO INCOMPLETO",T251="CDF A CONFERIR"),IF(AP251&gt;0,AP251,IF(ISNUMBER(E251),E251,"")),IF(ISNUMBER(E251),E251,""))))</f>
        <v/>
      </c>
      <c r="AR251" s="96">
        <f>IF(NOT(ISNUMBER(U251)),0,IF(T251="RECEBIMENTO NÃO CONFIRMADO",IF(AND(ISNUMBER(cfg_rec),U251&gt;cfg_rec),1,0),IF(OR(T251="CDF NÃO LOCALIZADO",T251="VÍNCULO INCOMPLETO",T251="CDF A CONFERIR"),IF(AND(ISNUMBER(cfg_cdf),U251&gt;cfg_cdf),1,0),0)))</f>
        <v>0</v>
      </c>
      <c r="AS251" s="96" t="str">
        <f>IF(T251="","",IF(AR251=1,"Alta",IFERROR(INDEX(cfg_pp,MATCH(T251,cfg_pt,0))&amp;"","Média")))</f>
        <v/>
      </c>
      <c r="AT251" s="96" t="str">
        <f>IF(T251="","",IFERROR(INDEX(cfg_pv,MATCH(T251,cfg_pt,0))&amp;"",""))</f>
        <v/>
      </c>
      <c r="AU251" s="96" t="str">
        <f>IF(T251="","",IF(AS251="Alta",1,IF(AS251="Média",2,3))*1000000000+(999999-IF(ISNUMBER(U251),MIN(U251,999999),0))*1000+246)</f>
        <v/>
      </c>
      <c r="AV251" s="96">
        <f>IF(T251&lt;&gt;"",1,0)</f>
        <v>0</v>
      </c>
      <c r="AW251" s="96" t="str">
        <f>IF(Z251=0,"",IF(AA251=1,"Cancelamento informado; ","")&amp;IF(AE251=1,"Campos essenciais ou itens faltando; ","")&amp;IF(AC251=1,"Possível duplicidade do número; ","")&amp;IF(AD251=1,"Cadastro ou datas a revisar; ","")&amp;IF(AF251&gt;0,"Item de resíduo com dado a revisar; ","")&amp;IF(AH251&gt;0,"Diferença de quantidade a analisar; ","")&amp;IF(AK251&gt;0,"Recebimento com alerta; ","")&amp;IF(AL251&gt;0,"Vínculo de CDF com alerta; ","")&amp;IF(AND(AA251=0,AN251=0),"Recebimento não confirmado; ","")&amp;IF(AND(AA251=0,AN251=1,AO251=0),"CDF pendente ou a conferir; ",""))</f>
        <v/>
      </c>
      <c r="AX251" s="96">
        <f>IF(Z251=0,0,IF(AND(OR(f_ini="",AND(ISNUMBER(E251),E251&gt;=f_ini)),OR(f_fim="",AND(ISNUMBER(E251),E251&lt;=f_fim)),OR(f_un="",f_un="(Todas)",G251=f_un),OR(f_tr="",f_tr="(Todos)",H251=f_tr),OR(f_de="",f_de="(Todos)",I251=f_de),OR(f_sit="",f_sit="(Todas)",S251=f_sit)),1,0))</f>
        <v>0</v>
      </c>
      <c r="AY251" s="96">
        <f>IF(AX251=0,0,IF(OR(f_res="",f_res="(Todos)"),1,IF(COUNTIFS('ITENS_MTR'!$S$6:$S$1005,A251,'ITENS_MTR'!$C$6:$C$1005,f_res)&gt;0,1,0)))</f>
        <v>0</v>
      </c>
      <c r="AZ251" s="97" t="str">
        <f>IF(ISNUMBER(E251),DATE(YEAR(E251),MONTH(E251),1),"")</f>
        <v/>
      </c>
      <c r="BA251" s="96">
        <f>IF(Z251=0,0,IF(AND(OR(r_ini="",AND(ISNUMBER(E251),E251&gt;=r_ini)),OR(r_fim="",AND(ISNUMBER(E251),E251&lt;=r_fim)),OR(r_un="",r_un="(Todas)",G251=r_un),OR(r_de="",r_de="(Todos)",I251=r_de)),1,0))</f>
        <v>0</v>
      </c>
      <c r="BB251" s="96" t="str">
        <f>IF(BA251=1,COUNTIF($BA$6:BA251,1),"")</f>
        <v/>
      </c>
      <c r="BC251" s="96" t="str">
        <f>IF(AND(AU251&lt;&gt;"",OR(r_un="",r_un="(Todas)",G251=r_un),OR(r_de="",r_de="(Todos)",I251=r_de)),AU251,"")</f>
        <v/>
      </c>
      <c r="BD251" s="96" t="str">
        <f>IF(Z251=1,A251&amp;" | nº "&amp;IF(B251="","(sem número)",B251)&amp;" | "&amp;IF(G251="","(sem unidade)",G251),"")</f>
        <v/>
      </c>
      <c r="BE251" s="96" t="str">
        <f>IF(Z251=1,COUNTIF($Z$6:Z251,1),"")</f>
        <v/>
      </c>
      <c r="BF251" s="96" t="str">
        <f>IF(T251="","",IF(T251="RECEBIMENTO NÃO CONFIRMADO","Transp.: "&amp;H251&amp;" | Dest.: "&amp;I251,IF(OR(T251="CDF NÃO LOCALIZADO",T251="VÍNCULO INCOMPLETO",T251="CDF A CONFERIR"),"Dest.: "&amp;I251,"Gerador: "&amp;G251)))</f>
        <v/>
      </c>
    </row>
    <row r="252">
      <c r="A252" s="89" t="inlineStr">
        <is>
          <t>MTR-000247</t>
        </is>
      </c>
      <c r="B252" s="90" t="n"/>
      <c r="C252" s="91" t="n"/>
      <c r="D252" s="91" t="n"/>
      <c r="E252" s="92" t="n"/>
      <c r="F252" s="92" t="n"/>
      <c r="G252" s="91" t="n"/>
      <c r="H252" s="91" t="n"/>
      <c r="I252" s="91" t="n"/>
      <c r="J252" s="91" t="n"/>
      <c r="K252" s="91" t="n"/>
      <c r="L252" s="92" t="n"/>
      <c r="M252" s="91" t="n"/>
      <c r="N252" s="91" t="n"/>
      <c r="O252" s="91" t="n"/>
      <c r="P252" s="93" t="str">
        <f>IF(Z252=0,"",SUMIFS('ITENS_MTR'!$I$6:$I$1005,'ITENS_MTR'!$S$6:$S$1005,A252,'ITENS_MTR'!$Y$6:$Y$1005,1))</f>
        <v/>
      </c>
      <c r="Q252" s="93" t="str">
        <f>IF(Z252=0,"",SUMIFS('RECEBIMENTOS'!$H$6:$H$1005,'RECEBIMENTOS'!$B$6:$B$1005,A252,'RECEBIMENTOS'!$X$6:$X$1005,1))</f>
        <v/>
      </c>
      <c r="R252" s="93" t="str">
        <f>IF(Z252=0,"",SUMIFS('VÍNCULOS_CDF'!$H$6:$H$1005,'VÍNCULOS_CDF'!$D$6:$D$1005,A252,'VÍNCULOS_CDF'!$V$6:$V$1005,1))</f>
        <v/>
      </c>
      <c r="S252" s="94" t="str">
        <f>IF(Z252=0,"",IF(AA252=1,"Cancelado (informado)",IF(AE252=1,"Cadastro incompleto",IF(OR(AC252=1,AD252=1,AF252&gt;0,AH252&gt;0,AK252&gt;0,AL252&gt;0),"Informação a revisar",IF(AN252=0,"Aguardando recebimento",IF(N(R252)=0,"Aguardando CDF",IF(AJ252&lt;N(W252),"Vínculo de CDF parcial",IF(AO252=0,"CDF localizado, a conferir","Documentação conferida"))))))))</f>
        <v/>
      </c>
      <c r="T252" s="94" t="str">
        <f>IF(Z252=0,"",IF(S252="Cadastro incompleto","MTR INCOMPLETO",IF(S252="Informação a revisar",IF(AND(AH252&gt;0,AC252=0,AD252=0,AF252=0,AK252=0,AL252=0),"QUANTIDADE A REVISAR","IDENTIFICAÇÃO A REVISAR"),IF(S252="Aguardando recebimento","RECEBIMENTO NÃO CONFIRMADO",IF(S252="Aguardando CDF","CDF NÃO LOCALIZADO",IF(S252="Vínculo de CDF parcial","VÍNCULO INCOMPLETO",IF(S252="CDF localizado, a conferir","CDF A CONFERIR","")))))))</f>
        <v/>
      </c>
      <c r="U252" s="95" t="str">
        <f>IF(T252="","",IF(AQ252="","Não calculável",IF(AQ252&gt;TODAY(),"Data futura",TODAY()-AQ252)))</f>
        <v/>
      </c>
      <c r="V252" s="93" t="str">
        <f>IF(Z252=0,"",SUMIFS('RECEBIMENTOS'!$H$6:$H$1005,'RECEBIMENTOS'!$B$6:$B$1005,A252,'RECEBIMENTOS'!$Z$6:$Z$1005,1))</f>
        <v/>
      </c>
      <c r="W252" s="95" t="str">
        <f>IF(Z252=0,"",COUNTIFS('ITENS_MTR'!$S$6:$S$1005,A252,'ITENS_MTR'!$R$6:$R$1005,1))</f>
        <v/>
      </c>
      <c r="X252" s="94" t="str">
        <f>IF(AC252=1,"POSSÍVEL DUPLICIDADE","")</f>
        <v/>
      </c>
      <c r="Y252" s="94" t="str">
        <f>IF(Z252=0,"",IF(AW252="","Nenhuma",LEFT(AW252,LEN(AW252)-2)))</f>
        <v/>
      </c>
      <c r="Z252" s="96">
        <f>IF(COUNTA(B252:O252)&gt;0,1,0)</f>
        <v>0</v>
      </c>
      <c r="AA252" s="96">
        <f>IF(AND(Z252=1,K252&lt;&gt;""),IF(TRIM(K252)=TRIM(cfg_cancel),1,0),0)</f>
        <v>0</v>
      </c>
      <c r="AB252" s="96" t="str">
        <f>IF(AND(Z252=1,B252&lt;&gt;""),C252&amp;"|"&amp;D252&amp;"|"&amp;G252&amp;"|"&amp;TRIM(B252),"")</f>
        <v/>
      </c>
      <c r="AC252" s="96">
        <f>IF(AB252="",0,IF(SUMPRODUCT(--($AB$6:$AB$505=AB252))&gt;1,1,0))</f>
        <v>0</v>
      </c>
      <c r="AD252" s="96">
        <f>IF(Z252=0,0,IF(OR(AND(G252&lt;&gt;"",ISNA(MATCH(G252,'CAD_UNIDADES'!$C$6:$C$105,0))),AND(H252&lt;&gt;"",ISNA(MATCH(H252,cmp_transp,0))),AND(I252&lt;&gt;"",ISNA(MATCH(I252,cmp_dest,0))),AND(E252&lt;&gt;"",NOT(ISNUMBER(E252))),AND(F252&lt;&gt;"",NOT(ISNUMBER(F252))),AND(ISNUMBER(E252),ISNUMBER(F252),F252&lt;E252)),1,0))</f>
        <v>0</v>
      </c>
      <c r="AE252" s="96">
        <f>IF(Z252=0,0,IF(OR(B252="",C252="",E252="",G252="",H252="",I252="",N(W252)=0),1,0))</f>
        <v>0</v>
      </c>
      <c r="AF252" s="96">
        <f>IF(Z252=0,0,COUNTIFS('ITENS_MTR'!$S$6:$S$1005,A252,'ITENS_MTR'!$AI$6:$AI$1005,1))</f>
        <v>0</v>
      </c>
      <c r="AG252" s="96">
        <f>IF(Z252=0,0,COUNTIFS('ITENS_MTR'!$S$6:$S$1005,A252,'ITENS_MTR'!$AJ$6:$AJ$1005,1))</f>
        <v>0</v>
      </c>
      <c r="AH252" s="96">
        <f>IF(Z252=0,0,COUNTIFS('ITENS_MTR'!$S$6:$S$1005,A252,'ITENS_MTR'!$AM$6:$AM$1005,1))</f>
        <v>0</v>
      </c>
      <c r="AI252" s="96">
        <f>IF(Z252=0,0,COUNTIFS('ITENS_MTR'!$S$6:$S$1005,A252,'ITENS_MTR'!$AO$6:$AO$1005,1))</f>
        <v>0</v>
      </c>
      <c r="AJ252" s="96">
        <f>IF(Z252=0,0,COUNTIFS('ITENS_MTR'!$S$6:$S$1005,A252,'ITENS_MTR'!$AN$6:$AN$1005,1))</f>
        <v>0</v>
      </c>
      <c r="AK252" s="96">
        <f>IF(Z252=0,0,COUNTIFS('RECEBIMENTOS'!$B$6:$B$1005,A252,'RECEBIMENTOS'!$Y$6:$Y$1005,1))</f>
        <v>0</v>
      </c>
      <c r="AL252" s="96">
        <f>IF(Z252=0,0,COUNTIFS('VÍNCULOS_CDF'!$D$6:$D$1005,A252,'VÍNCULOS_CDF'!$Y$6:$Y$1005,1))</f>
        <v>0</v>
      </c>
      <c r="AM252" s="96">
        <f>IF(Z252=0,0,COUNTIFS('RECEBIMENTOS'!$B$6:$B$1005,A252,'RECEBIMENTOS'!$Q$6:$Q$1005,1))</f>
        <v>0</v>
      </c>
      <c r="AN252" s="96">
        <f>IF(AND(Z252=1,N(W252)&gt;0,AG252=N(W252)),1,0)</f>
        <v>0</v>
      </c>
      <c r="AO252" s="96">
        <f>IF(AND(Z252=1,N(W252)&gt;0,AI252=N(W252)),1,0)</f>
        <v>0</v>
      </c>
      <c r="AP252" s="97">
        <f>IF(Z252=0,0,_xlfn.MAXIFS('RECEBIMENTOS'!$E$6:$E$1005,'RECEBIMENTOS'!$B$6:$B$1005,A252))</f>
        <v>0</v>
      </c>
      <c r="AQ252" s="97" t="str">
        <f>IF(T252="","",IF(T252="RECEBIMENTO NÃO CONFIRMADO",IF(ISNUMBER(F252),F252,IF(ISNUMBER(E252),E252,"")),IF(OR(T252="CDF NÃO LOCALIZADO",T252="VÍNCULO INCOMPLETO",T252="CDF A CONFERIR"),IF(AP252&gt;0,AP252,IF(ISNUMBER(E252),E252,"")),IF(ISNUMBER(E252),E252,""))))</f>
        <v/>
      </c>
      <c r="AR252" s="96">
        <f>IF(NOT(ISNUMBER(U252)),0,IF(T252="RECEBIMENTO NÃO CONFIRMADO",IF(AND(ISNUMBER(cfg_rec),U252&gt;cfg_rec),1,0),IF(OR(T252="CDF NÃO LOCALIZADO",T252="VÍNCULO INCOMPLETO",T252="CDF A CONFERIR"),IF(AND(ISNUMBER(cfg_cdf),U252&gt;cfg_cdf),1,0),0)))</f>
        <v>0</v>
      </c>
      <c r="AS252" s="96" t="str">
        <f>IF(T252="","",IF(AR252=1,"Alta",IFERROR(INDEX(cfg_pp,MATCH(T252,cfg_pt,0))&amp;"","Média")))</f>
        <v/>
      </c>
      <c r="AT252" s="96" t="str">
        <f>IF(T252="","",IFERROR(INDEX(cfg_pv,MATCH(T252,cfg_pt,0))&amp;"",""))</f>
        <v/>
      </c>
      <c r="AU252" s="96" t="str">
        <f>IF(T252="","",IF(AS252="Alta",1,IF(AS252="Média",2,3))*1000000000+(999999-IF(ISNUMBER(U252),MIN(U252,999999),0))*1000+247)</f>
        <v/>
      </c>
      <c r="AV252" s="96">
        <f>IF(T252&lt;&gt;"",1,0)</f>
        <v>0</v>
      </c>
      <c r="AW252" s="96" t="str">
        <f>IF(Z252=0,"",IF(AA252=1,"Cancelamento informado; ","")&amp;IF(AE252=1,"Campos essenciais ou itens faltando; ","")&amp;IF(AC252=1,"Possível duplicidade do número; ","")&amp;IF(AD252=1,"Cadastro ou datas a revisar; ","")&amp;IF(AF252&gt;0,"Item de resíduo com dado a revisar; ","")&amp;IF(AH252&gt;0,"Diferença de quantidade a analisar; ","")&amp;IF(AK252&gt;0,"Recebimento com alerta; ","")&amp;IF(AL252&gt;0,"Vínculo de CDF com alerta; ","")&amp;IF(AND(AA252=0,AN252=0),"Recebimento não confirmado; ","")&amp;IF(AND(AA252=0,AN252=1,AO252=0),"CDF pendente ou a conferir; ",""))</f>
        <v/>
      </c>
      <c r="AX252" s="96">
        <f>IF(Z252=0,0,IF(AND(OR(f_ini="",AND(ISNUMBER(E252),E252&gt;=f_ini)),OR(f_fim="",AND(ISNUMBER(E252),E252&lt;=f_fim)),OR(f_un="",f_un="(Todas)",G252=f_un),OR(f_tr="",f_tr="(Todos)",H252=f_tr),OR(f_de="",f_de="(Todos)",I252=f_de),OR(f_sit="",f_sit="(Todas)",S252=f_sit)),1,0))</f>
        <v>0</v>
      </c>
      <c r="AY252" s="96">
        <f>IF(AX252=0,0,IF(OR(f_res="",f_res="(Todos)"),1,IF(COUNTIFS('ITENS_MTR'!$S$6:$S$1005,A252,'ITENS_MTR'!$C$6:$C$1005,f_res)&gt;0,1,0)))</f>
        <v>0</v>
      </c>
      <c r="AZ252" s="97" t="str">
        <f>IF(ISNUMBER(E252),DATE(YEAR(E252),MONTH(E252),1),"")</f>
        <v/>
      </c>
      <c r="BA252" s="96">
        <f>IF(Z252=0,0,IF(AND(OR(r_ini="",AND(ISNUMBER(E252),E252&gt;=r_ini)),OR(r_fim="",AND(ISNUMBER(E252),E252&lt;=r_fim)),OR(r_un="",r_un="(Todas)",G252=r_un),OR(r_de="",r_de="(Todos)",I252=r_de)),1,0))</f>
        <v>0</v>
      </c>
      <c r="BB252" s="96" t="str">
        <f>IF(BA252=1,COUNTIF($BA$6:BA252,1),"")</f>
        <v/>
      </c>
      <c r="BC252" s="96" t="str">
        <f>IF(AND(AU252&lt;&gt;"",OR(r_un="",r_un="(Todas)",G252=r_un),OR(r_de="",r_de="(Todos)",I252=r_de)),AU252,"")</f>
        <v/>
      </c>
      <c r="BD252" s="96" t="str">
        <f>IF(Z252=1,A252&amp;" | nº "&amp;IF(B252="","(sem número)",B252)&amp;" | "&amp;IF(G252="","(sem unidade)",G252),"")</f>
        <v/>
      </c>
      <c r="BE252" s="96" t="str">
        <f>IF(Z252=1,COUNTIF($Z$6:Z252,1),"")</f>
        <v/>
      </c>
      <c r="BF252" s="96" t="str">
        <f>IF(T252="","",IF(T252="RECEBIMENTO NÃO CONFIRMADO","Transp.: "&amp;H252&amp;" | Dest.: "&amp;I252,IF(OR(T252="CDF NÃO LOCALIZADO",T252="VÍNCULO INCOMPLETO",T252="CDF A CONFERIR"),"Dest.: "&amp;I252,"Gerador: "&amp;G252)))</f>
        <v/>
      </c>
    </row>
    <row r="253">
      <c r="A253" s="89" t="inlineStr">
        <is>
          <t>MTR-000248</t>
        </is>
      </c>
      <c r="B253" s="90" t="n"/>
      <c r="C253" s="91" t="n"/>
      <c r="D253" s="91" t="n"/>
      <c r="E253" s="92" t="n"/>
      <c r="F253" s="92" t="n"/>
      <c r="G253" s="91" t="n"/>
      <c r="H253" s="91" t="n"/>
      <c r="I253" s="91" t="n"/>
      <c r="J253" s="91" t="n"/>
      <c r="K253" s="91" t="n"/>
      <c r="L253" s="92" t="n"/>
      <c r="M253" s="91" t="n"/>
      <c r="N253" s="91" t="n"/>
      <c r="O253" s="91" t="n"/>
      <c r="P253" s="93" t="str">
        <f>IF(Z253=0,"",SUMIFS('ITENS_MTR'!$I$6:$I$1005,'ITENS_MTR'!$S$6:$S$1005,A253,'ITENS_MTR'!$Y$6:$Y$1005,1))</f>
        <v/>
      </c>
      <c r="Q253" s="93" t="str">
        <f>IF(Z253=0,"",SUMIFS('RECEBIMENTOS'!$H$6:$H$1005,'RECEBIMENTOS'!$B$6:$B$1005,A253,'RECEBIMENTOS'!$X$6:$X$1005,1))</f>
        <v/>
      </c>
      <c r="R253" s="93" t="str">
        <f>IF(Z253=0,"",SUMIFS('VÍNCULOS_CDF'!$H$6:$H$1005,'VÍNCULOS_CDF'!$D$6:$D$1005,A253,'VÍNCULOS_CDF'!$V$6:$V$1005,1))</f>
        <v/>
      </c>
      <c r="S253" s="94" t="str">
        <f>IF(Z253=0,"",IF(AA253=1,"Cancelado (informado)",IF(AE253=1,"Cadastro incompleto",IF(OR(AC253=1,AD253=1,AF253&gt;0,AH253&gt;0,AK253&gt;0,AL253&gt;0),"Informação a revisar",IF(AN253=0,"Aguardando recebimento",IF(N(R253)=0,"Aguardando CDF",IF(AJ253&lt;N(W253),"Vínculo de CDF parcial",IF(AO253=0,"CDF localizado, a conferir","Documentação conferida"))))))))</f>
        <v/>
      </c>
      <c r="T253" s="94" t="str">
        <f>IF(Z253=0,"",IF(S253="Cadastro incompleto","MTR INCOMPLETO",IF(S253="Informação a revisar",IF(AND(AH253&gt;0,AC253=0,AD253=0,AF253=0,AK253=0,AL253=0),"QUANTIDADE A REVISAR","IDENTIFICAÇÃO A REVISAR"),IF(S253="Aguardando recebimento","RECEBIMENTO NÃO CONFIRMADO",IF(S253="Aguardando CDF","CDF NÃO LOCALIZADO",IF(S253="Vínculo de CDF parcial","VÍNCULO INCOMPLETO",IF(S253="CDF localizado, a conferir","CDF A CONFERIR","")))))))</f>
        <v/>
      </c>
      <c r="U253" s="95" t="str">
        <f>IF(T253="","",IF(AQ253="","Não calculável",IF(AQ253&gt;TODAY(),"Data futura",TODAY()-AQ253)))</f>
        <v/>
      </c>
      <c r="V253" s="93" t="str">
        <f>IF(Z253=0,"",SUMIFS('RECEBIMENTOS'!$H$6:$H$1005,'RECEBIMENTOS'!$B$6:$B$1005,A253,'RECEBIMENTOS'!$Z$6:$Z$1005,1))</f>
        <v/>
      </c>
      <c r="W253" s="95" t="str">
        <f>IF(Z253=0,"",COUNTIFS('ITENS_MTR'!$S$6:$S$1005,A253,'ITENS_MTR'!$R$6:$R$1005,1))</f>
        <v/>
      </c>
      <c r="X253" s="94" t="str">
        <f>IF(AC253=1,"POSSÍVEL DUPLICIDADE","")</f>
        <v/>
      </c>
      <c r="Y253" s="94" t="str">
        <f>IF(Z253=0,"",IF(AW253="","Nenhuma",LEFT(AW253,LEN(AW253)-2)))</f>
        <v/>
      </c>
      <c r="Z253" s="96">
        <f>IF(COUNTA(B253:O253)&gt;0,1,0)</f>
        <v>0</v>
      </c>
      <c r="AA253" s="96">
        <f>IF(AND(Z253=1,K253&lt;&gt;""),IF(TRIM(K253)=TRIM(cfg_cancel),1,0),0)</f>
        <v>0</v>
      </c>
      <c r="AB253" s="96" t="str">
        <f>IF(AND(Z253=1,B253&lt;&gt;""),C253&amp;"|"&amp;D253&amp;"|"&amp;G253&amp;"|"&amp;TRIM(B253),"")</f>
        <v/>
      </c>
      <c r="AC253" s="96">
        <f>IF(AB253="",0,IF(SUMPRODUCT(--($AB$6:$AB$505=AB253))&gt;1,1,0))</f>
        <v>0</v>
      </c>
      <c r="AD253" s="96">
        <f>IF(Z253=0,0,IF(OR(AND(G253&lt;&gt;"",ISNA(MATCH(G253,'CAD_UNIDADES'!$C$6:$C$105,0))),AND(H253&lt;&gt;"",ISNA(MATCH(H253,cmp_transp,0))),AND(I253&lt;&gt;"",ISNA(MATCH(I253,cmp_dest,0))),AND(E253&lt;&gt;"",NOT(ISNUMBER(E253))),AND(F253&lt;&gt;"",NOT(ISNUMBER(F253))),AND(ISNUMBER(E253),ISNUMBER(F253),F253&lt;E253)),1,0))</f>
        <v>0</v>
      </c>
      <c r="AE253" s="96">
        <f>IF(Z253=0,0,IF(OR(B253="",C253="",E253="",G253="",H253="",I253="",N(W253)=0),1,0))</f>
        <v>0</v>
      </c>
      <c r="AF253" s="96">
        <f>IF(Z253=0,0,COUNTIFS('ITENS_MTR'!$S$6:$S$1005,A253,'ITENS_MTR'!$AI$6:$AI$1005,1))</f>
        <v>0</v>
      </c>
      <c r="AG253" s="96">
        <f>IF(Z253=0,0,COUNTIFS('ITENS_MTR'!$S$6:$S$1005,A253,'ITENS_MTR'!$AJ$6:$AJ$1005,1))</f>
        <v>0</v>
      </c>
      <c r="AH253" s="96">
        <f>IF(Z253=0,0,COUNTIFS('ITENS_MTR'!$S$6:$S$1005,A253,'ITENS_MTR'!$AM$6:$AM$1005,1))</f>
        <v>0</v>
      </c>
      <c r="AI253" s="96">
        <f>IF(Z253=0,0,COUNTIFS('ITENS_MTR'!$S$6:$S$1005,A253,'ITENS_MTR'!$AO$6:$AO$1005,1))</f>
        <v>0</v>
      </c>
      <c r="AJ253" s="96">
        <f>IF(Z253=0,0,COUNTIFS('ITENS_MTR'!$S$6:$S$1005,A253,'ITENS_MTR'!$AN$6:$AN$1005,1))</f>
        <v>0</v>
      </c>
      <c r="AK253" s="96">
        <f>IF(Z253=0,0,COUNTIFS('RECEBIMENTOS'!$B$6:$B$1005,A253,'RECEBIMENTOS'!$Y$6:$Y$1005,1))</f>
        <v>0</v>
      </c>
      <c r="AL253" s="96">
        <f>IF(Z253=0,0,COUNTIFS('VÍNCULOS_CDF'!$D$6:$D$1005,A253,'VÍNCULOS_CDF'!$Y$6:$Y$1005,1))</f>
        <v>0</v>
      </c>
      <c r="AM253" s="96">
        <f>IF(Z253=0,0,COUNTIFS('RECEBIMENTOS'!$B$6:$B$1005,A253,'RECEBIMENTOS'!$Q$6:$Q$1005,1))</f>
        <v>0</v>
      </c>
      <c r="AN253" s="96">
        <f>IF(AND(Z253=1,N(W253)&gt;0,AG253=N(W253)),1,0)</f>
        <v>0</v>
      </c>
      <c r="AO253" s="96">
        <f>IF(AND(Z253=1,N(W253)&gt;0,AI253=N(W253)),1,0)</f>
        <v>0</v>
      </c>
      <c r="AP253" s="97">
        <f>IF(Z253=0,0,_xlfn.MAXIFS('RECEBIMENTOS'!$E$6:$E$1005,'RECEBIMENTOS'!$B$6:$B$1005,A253))</f>
        <v>0</v>
      </c>
      <c r="AQ253" s="97" t="str">
        <f>IF(T253="","",IF(T253="RECEBIMENTO NÃO CONFIRMADO",IF(ISNUMBER(F253),F253,IF(ISNUMBER(E253),E253,"")),IF(OR(T253="CDF NÃO LOCALIZADO",T253="VÍNCULO INCOMPLETO",T253="CDF A CONFERIR"),IF(AP253&gt;0,AP253,IF(ISNUMBER(E253),E253,"")),IF(ISNUMBER(E253),E253,""))))</f>
        <v/>
      </c>
      <c r="AR253" s="96">
        <f>IF(NOT(ISNUMBER(U253)),0,IF(T253="RECEBIMENTO NÃO CONFIRMADO",IF(AND(ISNUMBER(cfg_rec),U253&gt;cfg_rec),1,0),IF(OR(T253="CDF NÃO LOCALIZADO",T253="VÍNCULO INCOMPLETO",T253="CDF A CONFERIR"),IF(AND(ISNUMBER(cfg_cdf),U253&gt;cfg_cdf),1,0),0)))</f>
        <v>0</v>
      </c>
      <c r="AS253" s="96" t="str">
        <f>IF(T253="","",IF(AR253=1,"Alta",IFERROR(INDEX(cfg_pp,MATCH(T253,cfg_pt,0))&amp;"","Média")))</f>
        <v/>
      </c>
      <c r="AT253" s="96" t="str">
        <f>IF(T253="","",IFERROR(INDEX(cfg_pv,MATCH(T253,cfg_pt,0))&amp;"",""))</f>
        <v/>
      </c>
      <c r="AU253" s="96" t="str">
        <f>IF(T253="","",IF(AS253="Alta",1,IF(AS253="Média",2,3))*1000000000+(999999-IF(ISNUMBER(U253),MIN(U253,999999),0))*1000+248)</f>
        <v/>
      </c>
      <c r="AV253" s="96">
        <f>IF(T253&lt;&gt;"",1,0)</f>
        <v>0</v>
      </c>
      <c r="AW253" s="96" t="str">
        <f>IF(Z253=0,"",IF(AA253=1,"Cancelamento informado; ","")&amp;IF(AE253=1,"Campos essenciais ou itens faltando; ","")&amp;IF(AC253=1,"Possível duplicidade do número; ","")&amp;IF(AD253=1,"Cadastro ou datas a revisar; ","")&amp;IF(AF253&gt;0,"Item de resíduo com dado a revisar; ","")&amp;IF(AH253&gt;0,"Diferença de quantidade a analisar; ","")&amp;IF(AK253&gt;0,"Recebimento com alerta; ","")&amp;IF(AL253&gt;0,"Vínculo de CDF com alerta; ","")&amp;IF(AND(AA253=0,AN253=0),"Recebimento não confirmado; ","")&amp;IF(AND(AA253=0,AN253=1,AO253=0),"CDF pendente ou a conferir; ",""))</f>
        <v/>
      </c>
      <c r="AX253" s="96">
        <f>IF(Z253=0,0,IF(AND(OR(f_ini="",AND(ISNUMBER(E253),E253&gt;=f_ini)),OR(f_fim="",AND(ISNUMBER(E253),E253&lt;=f_fim)),OR(f_un="",f_un="(Todas)",G253=f_un),OR(f_tr="",f_tr="(Todos)",H253=f_tr),OR(f_de="",f_de="(Todos)",I253=f_de),OR(f_sit="",f_sit="(Todas)",S253=f_sit)),1,0))</f>
        <v>0</v>
      </c>
      <c r="AY253" s="96">
        <f>IF(AX253=0,0,IF(OR(f_res="",f_res="(Todos)"),1,IF(COUNTIFS('ITENS_MTR'!$S$6:$S$1005,A253,'ITENS_MTR'!$C$6:$C$1005,f_res)&gt;0,1,0)))</f>
        <v>0</v>
      </c>
      <c r="AZ253" s="97" t="str">
        <f>IF(ISNUMBER(E253),DATE(YEAR(E253),MONTH(E253),1),"")</f>
        <v/>
      </c>
      <c r="BA253" s="96">
        <f>IF(Z253=0,0,IF(AND(OR(r_ini="",AND(ISNUMBER(E253),E253&gt;=r_ini)),OR(r_fim="",AND(ISNUMBER(E253),E253&lt;=r_fim)),OR(r_un="",r_un="(Todas)",G253=r_un),OR(r_de="",r_de="(Todos)",I253=r_de)),1,0))</f>
        <v>0</v>
      </c>
      <c r="BB253" s="96" t="str">
        <f>IF(BA253=1,COUNTIF($BA$6:BA253,1),"")</f>
        <v/>
      </c>
      <c r="BC253" s="96" t="str">
        <f>IF(AND(AU253&lt;&gt;"",OR(r_un="",r_un="(Todas)",G253=r_un),OR(r_de="",r_de="(Todos)",I253=r_de)),AU253,"")</f>
        <v/>
      </c>
      <c r="BD253" s="96" t="str">
        <f>IF(Z253=1,A253&amp;" | nº "&amp;IF(B253="","(sem número)",B253)&amp;" | "&amp;IF(G253="","(sem unidade)",G253),"")</f>
        <v/>
      </c>
      <c r="BE253" s="96" t="str">
        <f>IF(Z253=1,COUNTIF($Z$6:Z253,1),"")</f>
        <v/>
      </c>
      <c r="BF253" s="96" t="str">
        <f>IF(T253="","",IF(T253="RECEBIMENTO NÃO CONFIRMADO","Transp.: "&amp;H253&amp;" | Dest.: "&amp;I253,IF(OR(T253="CDF NÃO LOCALIZADO",T253="VÍNCULO INCOMPLETO",T253="CDF A CONFERIR"),"Dest.: "&amp;I253,"Gerador: "&amp;G253)))</f>
        <v/>
      </c>
    </row>
    <row r="254">
      <c r="A254" s="89" t="inlineStr">
        <is>
          <t>MTR-000249</t>
        </is>
      </c>
      <c r="B254" s="90" t="n"/>
      <c r="C254" s="91" t="n"/>
      <c r="D254" s="91" t="n"/>
      <c r="E254" s="92" t="n"/>
      <c r="F254" s="92" t="n"/>
      <c r="G254" s="91" t="n"/>
      <c r="H254" s="91" t="n"/>
      <c r="I254" s="91" t="n"/>
      <c r="J254" s="91" t="n"/>
      <c r="K254" s="91" t="n"/>
      <c r="L254" s="92" t="n"/>
      <c r="M254" s="91" t="n"/>
      <c r="N254" s="91" t="n"/>
      <c r="O254" s="91" t="n"/>
      <c r="P254" s="93" t="str">
        <f>IF(Z254=0,"",SUMIFS('ITENS_MTR'!$I$6:$I$1005,'ITENS_MTR'!$S$6:$S$1005,A254,'ITENS_MTR'!$Y$6:$Y$1005,1))</f>
        <v/>
      </c>
      <c r="Q254" s="93" t="str">
        <f>IF(Z254=0,"",SUMIFS('RECEBIMENTOS'!$H$6:$H$1005,'RECEBIMENTOS'!$B$6:$B$1005,A254,'RECEBIMENTOS'!$X$6:$X$1005,1))</f>
        <v/>
      </c>
      <c r="R254" s="93" t="str">
        <f>IF(Z254=0,"",SUMIFS('VÍNCULOS_CDF'!$H$6:$H$1005,'VÍNCULOS_CDF'!$D$6:$D$1005,A254,'VÍNCULOS_CDF'!$V$6:$V$1005,1))</f>
        <v/>
      </c>
      <c r="S254" s="94" t="str">
        <f>IF(Z254=0,"",IF(AA254=1,"Cancelado (informado)",IF(AE254=1,"Cadastro incompleto",IF(OR(AC254=1,AD254=1,AF254&gt;0,AH254&gt;0,AK254&gt;0,AL254&gt;0),"Informação a revisar",IF(AN254=0,"Aguardando recebimento",IF(N(R254)=0,"Aguardando CDF",IF(AJ254&lt;N(W254),"Vínculo de CDF parcial",IF(AO254=0,"CDF localizado, a conferir","Documentação conferida"))))))))</f>
        <v/>
      </c>
      <c r="T254" s="94" t="str">
        <f>IF(Z254=0,"",IF(S254="Cadastro incompleto","MTR INCOMPLETO",IF(S254="Informação a revisar",IF(AND(AH254&gt;0,AC254=0,AD254=0,AF254=0,AK254=0,AL254=0),"QUANTIDADE A REVISAR","IDENTIFICAÇÃO A REVISAR"),IF(S254="Aguardando recebimento","RECEBIMENTO NÃO CONFIRMADO",IF(S254="Aguardando CDF","CDF NÃO LOCALIZADO",IF(S254="Vínculo de CDF parcial","VÍNCULO INCOMPLETO",IF(S254="CDF localizado, a conferir","CDF A CONFERIR","")))))))</f>
        <v/>
      </c>
      <c r="U254" s="95" t="str">
        <f>IF(T254="","",IF(AQ254="","Não calculável",IF(AQ254&gt;TODAY(),"Data futura",TODAY()-AQ254)))</f>
        <v/>
      </c>
      <c r="V254" s="93" t="str">
        <f>IF(Z254=0,"",SUMIFS('RECEBIMENTOS'!$H$6:$H$1005,'RECEBIMENTOS'!$B$6:$B$1005,A254,'RECEBIMENTOS'!$Z$6:$Z$1005,1))</f>
        <v/>
      </c>
      <c r="W254" s="95" t="str">
        <f>IF(Z254=0,"",COUNTIFS('ITENS_MTR'!$S$6:$S$1005,A254,'ITENS_MTR'!$R$6:$R$1005,1))</f>
        <v/>
      </c>
      <c r="X254" s="94" t="str">
        <f>IF(AC254=1,"POSSÍVEL DUPLICIDADE","")</f>
        <v/>
      </c>
      <c r="Y254" s="94" t="str">
        <f>IF(Z254=0,"",IF(AW254="","Nenhuma",LEFT(AW254,LEN(AW254)-2)))</f>
        <v/>
      </c>
      <c r="Z254" s="96">
        <f>IF(COUNTA(B254:O254)&gt;0,1,0)</f>
        <v>0</v>
      </c>
      <c r="AA254" s="96">
        <f>IF(AND(Z254=1,K254&lt;&gt;""),IF(TRIM(K254)=TRIM(cfg_cancel),1,0),0)</f>
        <v>0</v>
      </c>
      <c r="AB254" s="96" t="str">
        <f>IF(AND(Z254=1,B254&lt;&gt;""),C254&amp;"|"&amp;D254&amp;"|"&amp;G254&amp;"|"&amp;TRIM(B254),"")</f>
        <v/>
      </c>
      <c r="AC254" s="96">
        <f>IF(AB254="",0,IF(SUMPRODUCT(--($AB$6:$AB$505=AB254))&gt;1,1,0))</f>
        <v>0</v>
      </c>
      <c r="AD254" s="96">
        <f>IF(Z254=0,0,IF(OR(AND(G254&lt;&gt;"",ISNA(MATCH(G254,'CAD_UNIDADES'!$C$6:$C$105,0))),AND(H254&lt;&gt;"",ISNA(MATCH(H254,cmp_transp,0))),AND(I254&lt;&gt;"",ISNA(MATCH(I254,cmp_dest,0))),AND(E254&lt;&gt;"",NOT(ISNUMBER(E254))),AND(F254&lt;&gt;"",NOT(ISNUMBER(F254))),AND(ISNUMBER(E254),ISNUMBER(F254),F254&lt;E254)),1,0))</f>
        <v>0</v>
      </c>
      <c r="AE254" s="96">
        <f>IF(Z254=0,0,IF(OR(B254="",C254="",E254="",G254="",H254="",I254="",N(W254)=0),1,0))</f>
        <v>0</v>
      </c>
      <c r="AF254" s="96">
        <f>IF(Z254=0,0,COUNTIFS('ITENS_MTR'!$S$6:$S$1005,A254,'ITENS_MTR'!$AI$6:$AI$1005,1))</f>
        <v>0</v>
      </c>
      <c r="AG254" s="96">
        <f>IF(Z254=0,0,COUNTIFS('ITENS_MTR'!$S$6:$S$1005,A254,'ITENS_MTR'!$AJ$6:$AJ$1005,1))</f>
        <v>0</v>
      </c>
      <c r="AH254" s="96">
        <f>IF(Z254=0,0,COUNTIFS('ITENS_MTR'!$S$6:$S$1005,A254,'ITENS_MTR'!$AM$6:$AM$1005,1))</f>
        <v>0</v>
      </c>
      <c r="AI254" s="96">
        <f>IF(Z254=0,0,COUNTIFS('ITENS_MTR'!$S$6:$S$1005,A254,'ITENS_MTR'!$AO$6:$AO$1005,1))</f>
        <v>0</v>
      </c>
      <c r="AJ254" s="96">
        <f>IF(Z254=0,0,COUNTIFS('ITENS_MTR'!$S$6:$S$1005,A254,'ITENS_MTR'!$AN$6:$AN$1005,1))</f>
        <v>0</v>
      </c>
      <c r="AK254" s="96">
        <f>IF(Z254=0,0,COUNTIFS('RECEBIMENTOS'!$B$6:$B$1005,A254,'RECEBIMENTOS'!$Y$6:$Y$1005,1))</f>
        <v>0</v>
      </c>
      <c r="AL254" s="96">
        <f>IF(Z254=0,0,COUNTIFS('VÍNCULOS_CDF'!$D$6:$D$1005,A254,'VÍNCULOS_CDF'!$Y$6:$Y$1005,1))</f>
        <v>0</v>
      </c>
      <c r="AM254" s="96">
        <f>IF(Z254=0,0,COUNTIFS('RECEBIMENTOS'!$B$6:$B$1005,A254,'RECEBIMENTOS'!$Q$6:$Q$1005,1))</f>
        <v>0</v>
      </c>
      <c r="AN254" s="96">
        <f>IF(AND(Z254=1,N(W254)&gt;0,AG254=N(W254)),1,0)</f>
        <v>0</v>
      </c>
      <c r="AO254" s="96">
        <f>IF(AND(Z254=1,N(W254)&gt;0,AI254=N(W254)),1,0)</f>
        <v>0</v>
      </c>
      <c r="AP254" s="97">
        <f>IF(Z254=0,0,_xlfn.MAXIFS('RECEBIMENTOS'!$E$6:$E$1005,'RECEBIMENTOS'!$B$6:$B$1005,A254))</f>
        <v>0</v>
      </c>
      <c r="AQ254" s="97" t="str">
        <f>IF(T254="","",IF(T254="RECEBIMENTO NÃO CONFIRMADO",IF(ISNUMBER(F254),F254,IF(ISNUMBER(E254),E254,"")),IF(OR(T254="CDF NÃO LOCALIZADO",T254="VÍNCULO INCOMPLETO",T254="CDF A CONFERIR"),IF(AP254&gt;0,AP254,IF(ISNUMBER(E254),E254,"")),IF(ISNUMBER(E254),E254,""))))</f>
        <v/>
      </c>
      <c r="AR254" s="96">
        <f>IF(NOT(ISNUMBER(U254)),0,IF(T254="RECEBIMENTO NÃO CONFIRMADO",IF(AND(ISNUMBER(cfg_rec),U254&gt;cfg_rec),1,0),IF(OR(T254="CDF NÃO LOCALIZADO",T254="VÍNCULO INCOMPLETO",T254="CDF A CONFERIR"),IF(AND(ISNUMBER(cfg_cdf),U254&gt;cfg_cdf),1,0),0)))</f>
        <v>0</v>
      </c>
      <c r="AS254" s="96" t="str">
        <f>IF(T254="","",IF(AR254=1,"Alta",IFERROR(INDEX(cfg_pp,MATCH(T254,cfg_pt,0))&amp;"","Média")))</f>
        <v/>
      </c>
      <c r="AT254" s="96" t="str">
        <f>IF(T254="","",IFERROR(INDEX(cfg_pv,MATCH(T254,cfg_pt,0))&amp;"",""))</f>
        <v/>
      </c>
      <c r="AU254" s="96" t="str">
        <f>IF(T254="","",IF(AS254="Alta",1,IF(AS254="Média",2,3))*1000000000+(999999-IF(ISNUMBER(U254),MIN(U254,999999),0))*1000+249)</f>
        <v/>
      </c>
      <c r="AV254" s="96">
        <f>IF(T254&lt;&gt;"",1,0)</f>
        <v>0</v>
      </c>
      <c r="AW254" s="96" t="str">
        <f>IF(Z254=0,"",IF(AA254=1,"Cancelamento informado; ","")&amp;IF(AE254=1,"Campos essenciais ou itens faltando; ","")&amp;IF(AC254=1,"Possível duplicidade do número; ","")&amp;IF(AD254=1,"Cadastro ou datas a revisar; ","")&amp;IF(AF254&gt;0,"Item de resíduo com dado a revisar; ","")&amp;IF(AH254&gt;0,"Diferença de quantidade a analisar; ","")&amp;IF(AK254&gt;0,"Recebimento com alerta; ","")&amp;IF(AL254&gt;0,"Vínculo de CDF com alerta; ","")&amp;IF(AND(AA254=0,AN254=0),"Recebimento não confirmado; ","")&amp;IF(AND(AA254=0,AN254=1,AO254=0),"CDF pendente ou a conferir; ",""))</f>
        <v/>
      </c>
      <c r="AX254" s="96">
        <f>IF(Z254=0,0,IF(AND(OR(f_ini="",AND(ISNUMBER(E254),E254&gt;=f_ini)),OR(f_fim="",AND(ISNUMBER(E254),E254&lt;=f_fim)),OR(f_un="",f_un="(Todas)",G254=f_un),OR(f_tr="",f_tr="(Todos)",H254=f_tr),OR(f_de="",f_de="(Todos)",I254=f_de),OR(f_sit="",f_sit="(Todas)",S254=f_sit)),1,0))</f>
        <v>0</v>
      </c>
      <c r="AY254" s="96">
        <f>IF(AX254=0,0,IF(OR(f_res="",f_res="(Todos)"),1,IF(COUNTIFS('ITENS_MTR'!$S$6:$S$1005,A254,'ITENS_MTR'!$C$6:$C$1005,f_res)&gt;0,1,0)))</f>
        <v>0</v>
      </c>
      <c r="AZ254" s="97" t="str">
        <f>IF(ISNUMBER(E254),DATE(YEAR(E254),MONTH(E254),1),"")</f>
        <v/>
      </c>
      <c r="BA254" s="96">
        <f>IF(Z254=0,0,IF(AND(OR(r_ini="",AND(ISNUMBER(E254),E254&gt;=r_ini)),OR(r_fim="",AND(ISNUMBER(E254),E254&lt;=r_fim)),OR(r_un="",r_un="(Todas)",G254=r_un),OR(r_de="",r_de="(Todos)",I254=r_de)),1,0))</f>
        <v>0</v>
      </c>
      <c r="BB254" s="96" t="str">
        <f>IF(BA254=1,COUNTIF($BA$6:BA254,1),"")</f>
        <v/>
      </c>
      <c r="BC254" s="96" t="str">
        <f>IF(AND(AU254&lt;&gt;"",OR(r_un="",r_un="(Todas)",G254=r_un),OR(r_de="",r_de="(Todos)",I254=r_de)),AU254,"")</f>
        <v/>
      </c>
      <c r="BD254" s="96" t="str">
        <f>IF(Z254=1,A254&amp;" | nº "&amp;IF(B254="","(sem número)",B254)&amp;" | "&amp;IF(G254="","(sem unidade)",G254),"")</f>
        <v/>
      </c>
      <c r="BE254" s="96" t="str">
        <f>IF(Z254=1,COUNTIF($Z$6:Z254,1),"")</f>
        <v/>
      </c>
      <c r="BF254" s="96" t="str">
        <f>IF(T254="","",IF(T254="RECEBIMENTO NÃO CONFIRMADO","Transp.: "&amp;H254&amp;" | Dest.: "&amp;I254,IF(OR(T254="CDF NÃO LOCALIZADO",T254="VÍNCULO INCOMPLETO",T254="CDF A CONFERIR"),"Dest.: "&amp;I254,"Gerador: "&amp;G254)))</f>
        <v/>
      </c>
    </row>
    <row r="255">
      <c r="A255" s="89" t="inlineStr">
        <is>
          <t>MTR-000250</t>
        </is>
      </c>
      <c r="B255" s="90" t="n"/>
      <c r="C255" s="91" t="n"/>
      <c r="D255" s="91" t="n"/>
      <c r="E255" s="92" t="n"/>
      <c r="F255" s="92" t="n"/>
      <c r="G255" s="91" t="n"/>
      <c r="H255" s="91" t="n"/>
      <c r="I255" s="91" t="n"/>
      <c r="J255" s="91" t="n"/>
      <c r="K255" s="91" t="n"/>
      <c r="L255" s="92" t="n"/>
      <c r="M255" s="91" t="n"/>
      <c r="N255" s="91" t="n"/>
      <c r="O255" s="91" t="n"/>
      <c r="P255" s="93" t="str">
        <f>IF(Z255=0,"",SUMIFS('ITENS_MTR'!$I$6:$I$1005,'ITENS_MTR'!$S$6:$S$1005,A255,'ITENS_MTR'!$Y$6:$Y$1005,1))</f>
        <v/>
      </c>
      <c r="Q255" s="93" t="str">
        <f>IF(Z255=0,"",SUMIFS('RECEBIMENTOS'!$H$6:$H$1005,'RECEBIMENTOS'!$B$6:$B$1005,A255,'RECEBIMENTOS'!$X$6:$X$1005,1))</f>
        <v/>
      </c>
      <c r="R255" s="93" t="str">
        <f>IF(Z255=0,"",SUMIFS('VÍNCULOS_CDF'!$H$6:$H$1005,'VÍNCULOS_CDF'!$D$6:$D$1005,A255,'VÍNCULOS_CDF'!$V$6:$V$1005,1))</f>
        <v/>
      </c>
      <c r="S255" s="94" t="str">
        <f>IF(Z255=0,"",IF(AA255=1,"Cancelado (informado)",IF(AE255=1,"Cadastro incompleto",IF(OR(AC255=1,AD255=1,AF255&gt;0,AH255&gt;0,AK255&gt;0,AL255&gt;0),"Informação a revisar",IF(AN255=0,"Aguardando recebimento",IF(N(R255)=0,"Aguardando CDF",IF(AJ255&lt;N(W255),"Vínculo de CDF parcial",IF(AO255=0,"CDF localizado, a conferir","Documentação conferida"))))))))</f>
        <v/>
      </c>
      <c r="T255" s="94" t="str">
        <f>IF(Z255=0,"",IF(S255="Cadastro incompleto","MTR INCOMPLETO",IF(S255="Informação a revisar",IF(AND(AH255&gt;0,AC255=0,AD255=0,AF255=0,AK255=0,AL255=0),"QUANTIDADE A REVISAR","IDENTIFICAÇÃO A REVISAR"),IF(S255="Aguardando recebimento","RECEBIMENTO NÃO CONFIRMADO",IF(S255="Aguardando CDF","CDF NÃO LOCALIZADO",IF(S255="Vínculo de CDF parcial","VÍNCULO INCOMPLETO",IF(S255="CDF localizado, a conferir","CDF A CONFERIR","")))))))</f>
        <v/>
      </c>
      <c r="U255" s="95" t="str">
        <f>IF(T255="","",IF(AQ255="","Não calculável",IF(AQ255&gt;TODAY(),"Data futura",TODAY()-AQ255)))</f>
        <v/>
      </c>
      <c r="V255" s="93" t="str">
        <f>IF(Z255=0,"",SUMIFS('RECEBIMENTOS'!$H$6:$H$1005,'RECEBIMENTOS'!$B$6:$B$1005,A255,'RECEBIMENTOS'!$Z$6:$Z$1005,1))</f>
        <v/>
      </c>
      <c r="W255" s="95" t="str">
        <f>IF(Z255=0,"",COUNTIFS('ITENS_MTR'!$S$6:$S$1005,A255,'ITENS_MTR'!$R$6:$R$1005,1))</f>
        <v/>
      </c>
      <c r="X255" s="94" t="str">
        <f>IF(AC255=1,"POSSÍVEL DUPLICIDADE","")</f>
        <v/>
      </c>
      <c r="Y255" s="94" t="str">
        <f>IF(Z255=0,"",IF(AW255="","Nenhuma",LEFT(AW255,LEN(AW255)-2)))</f>
        <v/>
      </c>
      <c r="Z255" s="96">
        <f>IF(COUNTA(B255:O255)&gt;0,1,0)</f>
        <v>0</v>
      </c>
      <c r="AA255" s="96">
        <f>IF(AND(Z255=1,K255&lt;&gt;""),IF(TRIM(K255)=TRIM(cfg_cancel),1,0),0)</f>
        <v>0</v>
      </c>
      <c r="AB255" s="96" t="str">
        <f>IF(AND(Z255=1,B255&lt;&gt;""),C255&amp;"|"&amp;D255&amp;"|"&amp;G255&amp;"|"&amp;TRIM(B255),"")</f>
        <v/>
      </c>
      <c r="AC255" s="96">
        <f>IF(AB255="",0,IF(SUMPRODUCT(--($AB$6:$AB$505=AB255))&gt;1,1,0))</f>
        <v>0</v>
      </c>
      <c r="AD255" s="96">
        <f>IF(Z255=0,0,IF(OR(AND(G255&lt;&gt;"",ISNA(MATCH(G255,'CAD_UNIDADES'!$C$6:$C$105,0))),AND(H255&lt;&gt;"",ISNA(MATCH(H255,cmp_transp,0))),AND(I255&lt;&gt;"",ISNA(MATCH(I255,cmp_dest,0))),AND(E255&lt;&gt;"",NOT(ISNUMBER(E255))),AND(F255&lt;&gt;"",NOT(ISNUMBER(F255))),AND(ISNUMBER(E255),ISNUMBER(F255),F255&lt;E255)),1,0))</f>
        <v>0</v>
      </c>
      <c r="AE255" s="96">
        <f>IF(Z255=0,0,IF(OR(B255="",C255="",E255="",G255="",H255="",I255="",N(W255)=0),1,0))</f>
        <v>0</v>
      </c>
      <c r="AF255" s="96">
        <f>IF(Z255=0,0,COUNTIFS('ITENS_MTR'!$S$6:$S$1005,A255,'ITENS_MTR'!$AI$6:$AI$1005,1))</f>
        <v>0</v>
      </c>
      <c r="AG255" s="96">
        <f>IF(Z255=0,0,COUNTIFS('ITENS_MTR'!$S$6:$S$1005,A255,'ITENS_MTR'!$AJ$6:$AJ$1005,1))</f>
        <v>0</v>
      </c>
      <c r="AH255" s="96">
        <f>IF(Z255=0,0,COUNTIFS('ITENS_MTR'!$S$6:$S$1005,A255,'ITENS_MTR'!$AM$6:$AM$1005,1))</f>
        <v>0</v>
      </c>
      <c r="AI255" s="96">
        <f>IF(Z255=0,0,COUNTIFS('ITENS_MTR'!$S$6:$S$1005,A255,'ITENS_MTR'!$AO$6:$AO$1005,1))</f>
        <v>0</v>
      </c>
      <c r="AJ255" s="96">
        <f>IF(Z255=0,0,COUNTIFS('ITENS_MTR'!$S$6:$S$1005,A255,'ITENS_MTR'!$AN$6:$AN$1005,1))</f>
        <v>0</v>
      </c>
      <c r="AK255" s="96">
        <f>IF(Z255=0,0,COUNTIFS('RECEBIMENTOS'!$B$6:$B$1005,A255,'RECEBIMENTOS'!$Y$6:$Y$1005,1))</f>
        <v>0</v>
      </c>
      <c r="AL255" s="96">
        <f>IF(Z255=0,0,COUNTIFS('VÍNCULOS_CDF'!$D$6:$D$1005,A255,'VÍNCULOS_CDF'!$Y$6:$Y$1005,1))</f>
        <v>0</v>
      </c>
      <c r="AM255" s="96">
        <f>IF(Z255=0,0,COUNTIFS('RECEBIMENTOS'!$B$6:$B$1005,A255,'RECEBIMENTOS'!$Q$6:$Q$1005,1))</f>
        <v>0</v>
      </c>
      <c r="AN255" s="96">
        <f>IF(AND(Z255=1,N(W255)&gt;0,AG255=N(W255)),1,0)</f>
        <v>0</v>
      </c>
      <c r="AO255" s="96">
        <f>IF(AND(Z255=1,N(W255)&gt;0,AI255=N(W255)),1,0)</f>
        <v>0</v>
      </c>
      <c r="AP255" s="97">
        <f>IF(Z255=0,0,_xlfn.MAXIFS('RECEBIMENTOS'!$E$6:$E$1005,'RECEBIMENTOS'!$B$6:$B$1005,A255))</f>
        <v>0</v>
      </c>
      <c r="AQ255" s="97" t="str">
        <f>IF(T255="","",IF(T255="RECEBIMENTO NÃO CONFIRMADO",IF(ISNUMBER(F255),F255,IF(ISNUMBER(E255),E255,"")),IF(OR(T255="CDF NÃO LOCALIZADO",T255="VÍNCULO INCOMPLETO",T255="CDF A CONFERIR"),IF(AP255&gt;0,AP255,IF(ISNUMBER(E255),E255,"")),IF(ISNUMBER(E255),E255,""))))</f>
        <v/>
      </c>
      <c r="AR255" s="96">
        <f>IF(NOT(ISNUMBER(U255)),0,IF(T255="RECEBIMENTO NÃO CONFIRMADO",IF(AND(ISNUMBER(cfg_rec),U255&gt;cfg_rec),1,0),IF(OR(T255="CDF NÃO LOCALIZADO",T255="VÍNCULO INCOMPLETO",T255="CDF A CONFERIR"),IF(AND(ISNUMBER(cfg_cdf),U255&gt;cfg_cdf),1,0),0)))</f>
        <v>0</v>
      </c>
      <c r="AS255" s="96" t="str">
        <f>IF(T255="","",IF(AR255=1,"Alta",IFERROR(INDEX(cfg_pp,MATCH(T255,cfg_pt,0))&amp;"","Média")))</f>
        <v/>
      </c>
      <c r="AT255" s="96" t="str">
        <f>IF(T255="","",IFERROR(INDEX(cfg_pv,MATCH(T255,cfg_pt,0))&amp;"",""))</f>
        <v/>
      </c>
      <c r="AU255" s="96" t="str">
        <f>IF(T255="","",IF(AS255="Alta",1,IF(AS255="Média",2,3))*1000000000+(999999-IF(ISNUMBER(U255),MIN(U255,999999),0))*1000+250)</f>
        <v/>
      </c>
      <c r="AV255" s="96">
        <f>IF(T255&lt;&gt;"",1,0)</f>
        <v>0</v>
      </c>
      <c r="AW255" s="96" t="str">
        <f>IF(Z255=0,"",IF(AA255=1,"Cancelamento informado; ","")&amp;IF(AE255=1,"Campos essenciais ou itens faltando; ","")&amp;IF(AC255=1,"Possível duplicidade do número; ","")&amp;IF(AD255=1,"Cadastro ou datas a revisar; ","")&amp;IF(AF255&gt;0,"Item de resíduo com dado a revisar; ","")&amp;IF(AH255&gt;0,"Diferença de quantidade a analisar; ","")&amp;IF(AK255&gt;0,"Recebimento com alerta; ","")&amp;IF(AL255&gt;0,"Vínculo de CDF com alerta; ","")&amp;IF(AND(AA255=0,AN255=0),"Recebimento não confirmado; ","")&amp;IF(AND(AA255=0,AN255=1,AO255=0),"CDF pendente ou a conferir; ",""))</f>
        <v/>
      </c>
      <c r="AX255" s="96">
        <f>IF(Z255=0,0,IF(AND(OR(f_ini="",AND(ISNUMBER(E255),E255&gt;=f_ini)),OR(f_fim="",AND(ISNUMBER(E255),E255&lt;=f_fim)),OR(f_un="",f_un="(Todas)",G255=f_un),OR(f_tr="",f_tr="(Todos)",H255=f_tr),OR(f_de="",f_de="(Todos)",I255=f_de),OR(f_sit="",f_sit="(Todas)",S255=f_sit)),1,0))</f>
        <v>0</v>
      </c>
      <c r="AY255" s="96">
        <f>IF(AX255=0,0,IF(OR(f_res="",f_res="(Todos)"),1,IF(COUNTIFS('ITENS_MTR'!$S$6:$S$1005,A255,'ITENS_MTR'!$C$6:$C$1005,f_res)&gt;0,1,0)))</f>
        <v>0</v>
      </c>
      <c r="AZ255" s="97" t="str">
        <f>IF(ISNUMBER(E255),DATE(YEAR(E255),MONTH(E255),1),"")</f>
        <v/>
      </c>
      <c r="BA255" s="96">
        <f>IF(Z255=0,0,IF(AND(OR(r_ini="",AND(ISNUMBER(E255),E255&gt;=r_ini)),OR(r_fim="",AND(ISNUMBER(E255),E255&lt;=r_fim)),OR(r_un="",r_un="(Todas)",G255=r_un),OR(r_de="",r_de="(Todos)",I255=r_de)),1,0))</f>
        <v>0</v>
      </c>
      <c r="BB255" s="96" t="str">
        <f>IF(BA255=1,COUNTIF($BA$6:BA255,1),"")</f>
        <v/>
      </c>
      <c r="BC255" s="96" t="str">
        <f>IF(AND(AU255&lt;&gt;"",OR(r_un="",r_un="(Todas)",G255=r_un),OR(r_de="",r_de="(Todos)",I255=r_de)),AU255,"")</f>
        <v/>
      </c>
      <c r="BD255" s="96" t="str">
        <f>IF(Z255=1,A255&amp;" | nº "&amp;IF(B255="","(sem número)",B255)&amp;" | "&amp;IF(G255="","(sem unidade)",G255),"")</f>
        <v/>
      </c>
      <c r="BE255" s="96" t="str">
        <f>IF(Z255=1,COUNTIF($Z$6:Z255,1),"")</f>
        <v/>
      </c>
      <c r="BF255" s="96" t="str">
        <f>IF(T255="","",IF(T255="RECEBIMENTO NÃO CONFIRMADO","Transp.: "&amp;H255&amp;" | Dest.: "&amp;I255,IF(OR(T255="CDF NÃO LOCALIZADO",T255="VÍNCULO INCOMPLETO",T255="CDF A CONFERIR"),"Dest.: "&amp;I255,"Gerador: "&amp;G255)))</f>
        <v/>
      </c>
    </row>
    <row r="256">
      <c r="A256" s="89" t="inlineStr">
        <is>
          <t>MTR-000251</t>
        </is>
      </c>
      <c r="B256" s="90" t="n"/>
      <c r="C256" s="91" t="n"/>
      <c r="D256" s="91" t="n"/>
      <c r="E256" s="92" t="n"/>
      <c r="F256" s="92" t="n"/>
      <c r="G256" s="91" t="n"/>
      <c r="H256" s="91" t="n"/>
      <c r="I256" s="91" t="n"/>
      <c r="J256" s="91" t="n"/>
      <c r="K256" s="91" t="n"/>
      <c r="L256" s="92" t="n"/>
      <c r="M256" s="91" t="n"/>
      <c r="N256" s="91" t="n"/>
      <c r="O256" s="91" t="n"/>
      <c r="P256" s="93" t="str">
        <f>IF(Z256=0,"",SUMIFS('ITENS_MTR'!$I$6:$I$1005,'ITENS_MTR'!$S$6:$S$1005,A256,'ITENS_MTR'!$Y$6:$Y$1005,1))</f>
        <v/>
      </c>
      <c r="Q256" s="93" t="str">
        <f>IF(Z256=0,"",SUMIFS('RECEBIMENTOS'!$H$6:$H$1005,'RECEBIMENTOS'!$B$6:$B$1005,A256,'RECEBIMENTOS'!$X$6:$X$1005,1))</f>
        <v/>
      </c>
      <c r="R256" s="93" t="str">
        <f>IF(Z256=0,"",SUMIFS('VÍNCULOS_CDF'!$H$6:$H$1005,'VÍNCULOS_CDF'!$D$6:$D$1005,A256,'VÍNCULOS_CDF'!$V$6:$V$1005,1))</f>
        <v/>
      </c>
      <c r="S256" s="94" t="str">
        <f>IF(Z256=0,"",IF(AA256=1,"Cancelado (informado)",IF(AE256=1,"Cadastro incompleto",IF(OR(AC256=1,AD256=1,AF256&gt;0,AH256&gt;0,AK256&gt;0,AL256&gt;0),"Informação a revisar",IF(AN256=0,"Aguardando recebimento",IF(N(R256)=0,"Aguardando CDF",IF(AJ256&lt;N(W256),"Vínculo de CDF parcial",IF(AO256=0,"CDF localizado, a conferir","Documentação conferida"))))))))</f>
        <v/>
      </c>
      <c r="T256" s="94" t="str">
        <f>IF(Z256=0,"",IF(S256="Cadastro incompleto","MTR INCOMPLETO",IF(S256="Informação a revisar",IF(AND(AH256&gt;0,AC256=0,AD256=0,AF256=0,AK256=0,AL256=0),"QUANTIDADE A REVISAR","IDENTIFICAÇÃO A REVISAR"),IF(S256="Aguardando recebimento","RECEBIMENTO NÃO CONFIRMADO",IF(S256="Aguardando CDF","CDF NÃO LOCALIZADO",IF(S256="Vínculo de CDF parcial","VÍNCULO INCOMPLETO",IF(S256="CDF localizado, a conferir","CDF A CONFERIR","")))))))</f>
        <v/>
      </c>
      <c r="U256" s="95" t="str">
        <f>IF(T256="","",IF(AQ256="","Não calculável",IF(AQ256&gt;TODAY(),"Data futura",TODAY()-AQ256)))</f>
        <v/>
      </c>
      <c r="V256" s="93" t="str">
        <f>IF(Z256=0,"",SUMIFS('RECEBIMENTOS'!$H$6:$H$1005,'RECEBIMENTOS'!$B$6:$B$1005,A256,'RECEBIMENTOS'!$Z$6:$Z$1005,1))</f>
        <v/>
      </c>
      <c r="W256" s="95" t="str">
        <f>IF(Z256=0,"",COUNTIFS('ITENS_MTR'!$S$6:$S$1005,A256,'ITENS_MTR'!$R$6:$R$1005,1))</f>
        <v/>
      </c>
      <c r="X256" s="94" t="str">
        <f>IF(AC256=1,"POSSÍVEL DUPLICIDADE","")</f>
        <v/>
      </c>
      <c r="Y256" s="94" t="str">
        <f>IF(Z256=0,"",IF(AW256="","Nenhuma",LEFT(AW256,LEN(AW256)-2)))</f>
        <v/>
      </c>
      <c r="Z256" s="96">
        <f>IF(COUNTA(B256:O256)&gt;0,1,0)</f>
        <v>0</v>
      </c>
      <c r="AA256" s="96">
        <f>IF(AND(Z256=1,K256&lt;&gt;""),IF(TRIM(K256)=TRIM(cfg_cancel),1,0),0)</f>
        <v>0</v>
      </c>
      <c r="AB256" s="96" t="str">
        <f>IF(AND(Z256=1,B256&lt;&gt;""),C256&amp;"|"&amp;D256&amp;"|"&amp;G256&amp;"|"&amp;TRIM(B256),"")</f>
        <v/>
      </c>
      <c r="AC256" s="96">
        <f>IF(AB256="",0,IF(SUMPRODUCT(--($AB$6:$AB$505=AB256))&gt;1,1,0))</f>
        <v>0</v>
      </c>
      <c r="AD256" s="96">
        <f>IF(Z256=0,0,IF(OR(AND(G256&lt;&gt;"",ISNA(MATCH(G256,'CAD_UNIDADES'!$C$6:$C$105,0))),AND(H256&lt;&gt;"",ISNA(MATCH(H256,cmp_transp,0))),AND(I256&lt;&gt;"",ISNA(MATCH(I256,cmp_dest,0))),AND(E256&lt;&gt;"",NOT(ISNUMBER(E256))),AND(F256&lt;&gt;"",NOT(ISNUMBER(F256))),AND(ISNUMBER(E256),ISNUMBER(F256),F256&lt;E256)),1,0))</f>
        <v>0</v>
      </c>
      <c r="AE256" s="96">
        <f>IF(Z256=0,0,IF(OR(B256="",C256="",E256="",G256="",H256="",I256="",N(W256)=0),1,0))</f>
        <v>0</v>
      </c>
      <c r="AF256" s="96">
        <f>IF(Z256=0,0,COUNTIFS('ITENS_MTR'!$S$6:$S$1005,A256,'ITENS_MTR'!$AI$6:$AI$1005,1))</f>
        <v>0</v>
      </c>
      <c r="AG256" s="96">
        <f>IF(Z256=0,0,COUNTIFS('ITENS_MTR'!$S$6:$S$1005,A256,'ITENS_MTR'!$AJ$6:$AJ$1005,1))</f>
        <v>0</v>
      </c>
      <c r="AH256" s="96">
        <f>IF(Z256=0,0,COUNTIFS('ITENS_MTR'!$S$6:$S$1005,A256,'ITENS_MTR'!$AM$6:$AM$1005,1))</f>
        <v>0</v>
      </c>
      <c r="AI256" s="96">
        <f>IF(Z256=0,0,COUNTIFS('ITENS_MTR'!$S$6:$S$1005,A256,'ITENS_MTR'!$AO$6:$AO$1005,1))</f>
        <v>0</v>
      </c>
      <c r="AJ256" s="96">
        <f>IF(Z256=0,0,COUNTIFS('ITENS_MTR'!$S$6:$S$1005,A256,'ITENS_MTR'!$AN$6:$AN$1005,1))</f>
        <v>0</v>
      </c>
      <c r="AK256" s="96">
        <f>IF(Z256=0,0,COUNTIFS('RECEBIMENTOS'!$B$6:$B$1005,A256,'RECEBIMENTOS'!$Y$6:$Y$1005,1))</f>
        <v>0</v>
      </c>
      <c r="AL256" s="96">
        <f>IF(Z256=0,0,COUNTIFS('VÍNCULOS_CDF'!$D$6:$D$1005,A256,'VÍNCULOS_CDF'!$Y$6:$Y$1005,1))</f>
        <v>0</v>
      </c>
      <c r="AM256" s="96">
        <f>IF(Z256=0,0,COUNTIFS('RECEBIMENTOS'!$B$6:$B$1005,A256,'RECEBIMENTOS'!$Q$6:$Q$1005,1))</f>
        <v>0</v>
      </c>
      <c r="AN256" s="96">
        <f>IF(AND(Z256=1,N(W256)&gt;0,AG256=N(W256)),1,0)</f>
        <v>0</v>
      </c>
      <c r="AO256" s="96">
        <f>IF(AND(Z256=1,N(W256)&gt;0,AI256=N(W256)),1,0)</f>
        <v>0</v>
      </c>
      <c r="AP256" s="97">
        <f>IF(Z256=0,0,_xlfn.MAXIFS('RECEBIMENTOS'!$E$6:$E$1005,'RECEBIMENTOS'!$B$6:$B$1005,A256))</f>
        <v>0</v>
      </c>
      <c r="AQ256" s="97" t="str">
        <f>IF(T256="","",IF(T256="RECEBIMENTO NÃO CONFIRMADO",IF(ISNUMBER(F256),F256,IF(ISNUMBER(E256),E256,"")),IF(OR(T256="CDF NÃO LOCALIZADO",T256="VÍNCULO INCOMPLETO",T256="CDF A CONFERIR"),IF(AP256&gt;0,AP256,IF(ISNUMBER(E256),E256,"")),IF(ISNUMBER(E256),E256,""))))</f>
        <v/>
      </c>
      <c r="AR256" s="96">
        <f>IF(NOT(ISNUMBER(U256)),0,IF(T256="RECEBIMENTO NÃO CONFIRMADO",IF(AND(ISNUMBER(cfg_rec),U256&gt;cfg_rec),1,0),IF(OR(T256="CDF NÃO LOCALIZADO",T256="VÍNCULO INCOMPLETO",T256="CDF A CONFERIR"),IF(AND(ISNUMBER(cfg_cdf),U256&gt;cfg_cdf),1,0),0)))</f>
        <v>0</v>
      </c>
      <c r="AS256" s="96" t="str">
        <f>IF(T256="","",IF(AR256=1,"Alta",IFERROR(INDEX(cfg_pp,MATCH(T256,cfg_pt,0))&amp;"","Média")))</f>
        <v/>
      </c>
      <c r="AT256" s="96" t="str">
        <f>IF(T256="","",IFERROR(INDEX(cfg_pv,MATCH(T256,cfg_pt,0))&amp;"",""))</f>
        <v/>
      </c>
      <c r="AU256" s="96" t="str">
        <f>IF(T256="","",IF(AS256="Alta",1,IF(AS256="Média",2,3))*1000000000+(999999-IF(ISNUMBER(U256),MIN(U256,999999),0))*1000+251)</f>
        <v/>
      </c>
      <c r="AV256" s="96">
        <f>IF(T256&lt;&gt;"",1,0)</f>
        <v>0</v>
      </c>
      <c r="AW256" s="96" t="str">
        <f>IF(Z256=0,"",IF(AA256=1,"Cancelamento informado; ","")&amp;IF(AE256=1,"Campos essenciais ou itens faltando; ","")&amp;IF(AC256=1,"Possível duplicidade do número; ","")&amp;IF(AD256=1,"Cadastro ou datas a revisar; ","")&amp;IF(AF256&gt;0,"Item de resíduo com dado a revisar; ","")&amp;IF(AH256&gt;0,"Diferença de quantidade a analisar; ","")&amp;IF(AK256&gt;0,"Recebimento com alerta; ","")&amp;IF(AL256&gt;0,"Vínculo de CDF com alerta; ","")&amp;IF(AND(AA256=0,AN256=0),"Recebimento não confirmado; ","")&amp;IF(AND(AA256=0,AN256=1,AO256=0),"CDF pendente ou a conferir; ",""))</f>
        <v/>
      </c>
      <c r="AX256" s="96">
        <f>IF(Z256=0,0,IF(AND(OR(f_ini="",AND(ISNUMBER(E256),E256&gt;=f_ini)),OR(f_fim="",AND(ISNUMBER(E256),E256&lt;=f_fim)),OR(f_un="",f_un="(Todas)",G256=f_un),OR(f_tr="",f_tr="(Todos)",H256=f_tr),OR(f_de="",f_de="(Todos)",I256=f_de),OR(f_sit="",f_sit="(Todas)",S256=f_sit)),1,0))</f>
        <v>0</v>
      </c>
      <c r="AY256" s="96">
        <f>IF(AX256=0,0,IF(OR(f_res="",f_res="(Todos)"),1,IF(COUNTIFS('ITENS_MTR'!$S$6:$S$1005,A256,'ITENS_MTR'!$C$6:$C$1005,f_res)&gt;0,1,0)))</f>
        <v>0</v>
      </c>
      <c r="AZ256" s="97" t="str">
        <f>IF(ISNUMBER(E256),DATE(YEAR(E256),MONTH(E256),1),"")</f>
        <v/>
      </c>
      <c r="BA256" s="96">
        <f>IF(Z256=0,0,IF(AND(OR(r_ini="",AND(ISNUMBER(E256),E256&gt;=r_ini)),OR(r_fim="",AND(ISNUMBER(E256),E256&lt;=r_fim)),OR(r_un="",r_un="(Todas)",G256=r_un),OR(r_de="",r_de="(Todos)",I256=r_de)),1,0))</f>
        <v>0</v>
      </c>
      <c r="BB256" s="96" t="str">
        <f>IF(BA256=1,COUNTIF($BA$6:BA256,1),"")</f>
        <v/>
      </c>
      <c r="BC256" s="96" t="str">
        <f>IF(AND(AU256&lt;&gt;"",OR(r_un="",r_un="(Todas)",G256=r_un),OR(r_de="",r_de="(Todos)",I256=r_de)),AU256,"")</f>
        <v/>
      </c>
      <c r="BD256" s="96" t="str">
        <f>IF(Z256=1,A256&amp;" | nº "&amp;IF(B256="","(sem número)",B256)&amp;" | "&amp;IF(G256="","(sem unidade)",G256),"")</f>
        <v/>
      </c>
      <c r="BE256" s="96" t="str">
        <f>IF(Z256=1,COUNTIF($Z$6:Z256,1),"")</f>
        <v/>
      </c>
      <c r="BF256" s="96" t="str">
        <f>IF(T256="","",IF(T256="RECEBIMENTO NÃO CONFIRMADO","Transp.: "&amp;H256&amp;" | Dest.: "&amp;I256,IF(OR(T256="CDF NÃO LOCALIZADO",T256="VÍNCULO INCOMPLETO",T256="CDF A CONFERIR"),"Dest.: "&amp;I256,"Gerador: "&amp;G256)))</f>
        <v/>
      </c>
    </row>
    <row r="257">
      <c r="A257" s="89" t="inlineStr">
        <is>
          <t>MTR-000252</t>
        </is>
      </c>
      <c r="B257" s="90" t="n"/>
      <c r="C257" s="91" t="n"/>
      <c r="D257" s="91" t="n"/>
      <c r="E257" s="92" t="n"/>
      <c r="F257" s="92" t="n"/>
      <c r="G257" s="91" t="n"/>
      <c r="H257" s="91" t="n"/>
      <c r="I257" s="91" t="n"/>
      <c r="J257" s="91" t="n"/>
      <c r="K257" s="91" t="n"/>
      <c r="L257" s="92" t="n"/>
      <c r="M257" s="91" t="n"/>
      <c r="N257" s="91" t="n"/>
      <c r="O257" s="91" t="n"/>
      <c r="P257" s="93" t="str">
        <f>IF(Z257=0,"",SUMIFS('ITENS_MTR'!$I$6:$I$1005,'ITENS_MTR'!$S$6:$S$1005,A257,'ITENS_MTR'!$Y$6:$Y$1005,1))</f>
        <v/>
      </c>
      <c r="Q257" s="93" t="str">
        <f>IF(Z257=0,"",SUMIFS('RECEBIMENTOS'!$H$6:$H$1005,'RECEBIMENTOS'!$B$6:$B$1005,A257,'RECEBIMENTOS'!$X$6:$X$1005,1))</f>
        <v/>
      </c>
      <c r="R257" s="93" t="str">
        <f>IF(Z257=0,"",SUMIFS('VÍNCULOS_CDF'!$H$6:$H$1005,'VÍNCULOS_CDF'!$D$6:$D$1005,A257,'VÍNCULOS_CDF'!$V$6:$V$1005,1))</f>
        <v/>
      </c>
      <c r="S257" s="94" t="str">
        <f>IF(Z257=0,"",IF(AA257=1,"Cancelado (informado)",IF(AE257=1,"Cadastro incompleto",IF(OR(AC257=1,AD257=1,AF257&gt;0,AH257&gt;0,AK257&gt;0,AL257&gt;0),"Informação a revisar",IF(AN257=0,"Aguardando recebimento",IF(N(R257)=0,"Aguardando CDF",IF(AJ257&lt;N(W257),"Vínculo de CDF parcial",IF(AO257=0,"CDF localizado, a conferir","Documentação conferida"))))))))</f>
        <v/>
      </c>
      <c r="T257" s="94" t="str">
        <f>IF(Z257=0,"",IF(S257="Cadastro incompleto","MTR INCOMPLETO",IF(S257="Informação a revisar",IF(AND(AH257&gt;0,AC257=0,AD257=0,AF257=0,AK257=0,AL257=0),"QUANTIDADE A REVISAR","IDENTIFICAÇÃO A REVISAR"),IF(S257="Aguardando recebimento","RECEBIMENTO NÃO CONFIRMADO",IF(S257="Aguardando CDF","CDF NÃO LOCALIZADO",IF(S257="Vínculo de CDF parcial","VÍNCULO INCOMPLETO",IF(S257="CDF localizado, a conferir","CDF A CONFERIR","")))))))</f>
        <v/>
      </c>
      <c r="U257" s="95" t="str">
        <f>IF(T257="","",IF(AQ257="","Não calculável",IF(AQ257&gt;TODAY(),"Data futura",TODAY()-AQ257)))</f>
        <v/>
      </c>
      <c r="V257" s="93" t="str">
        <f>IF(Z257=0,"",SUMIFS('RECEBIMENTOS'!$H$6:$H$1005,'RECEBIMENTOS'!$B$6:$B$1005,A257,'RECEBIMENTOS'!$Z$6:$Z$1005,1))</f>
        <v/>
      </c>
      <c r="W257" s="95" t="str">
        <f>IF(Z257=0,"",COUNTIFS('ITENS_MTR'!$S$6:$S$1005,A257,'ITENS_MTR'!$R$6:$R$1005,1))</f>
        <v/>
      </c>
      <c r="X257" s="94" t="str">
        <f>IF(AC257=1,"POSSÍVEL DUPLICIDADE","")</f>
        <v/>
      </c>
      <c r="Y257" s="94" t="str">
        <f>IF(Z257=0,"",IF(AW257="","Nenhuma",LEFT(AW257,LEN(AW257)-2)))</f>
        <v/>
      </c>
      <c r="Z257" s="96">
        <f>IF(COUNTA(B257:O257)&gt;0,1,0)</f>
        <v>0</v>
      </c>
      <c r="AA257" s="96">
        <f>IF(AND(Z257=1,K257&lt;&gt;""),IF(TRIM(K257)=TRIM(cfg_cancel),1,0),0)</f>
        <v>0</v>
      </c>
      <c r="AB257" s="96" t="str">
        <f>IF(AND(Z257=1,B257&lt;&gt;""),C257&amp;"|"&amp;D257&amp;"|"&amp;G257&amp;"|"&amp;TRIM(B257),"")</f>
        <v/>
      </c>
      <c r="AC257" s="96">
        <f>IF(AB257="",0,IF(SUMPRODUCT(--($AB$6:$AB$505=AB257))&gt;1,1,0))</f>
        <v>0</v>
      </c>
      <c r="AD257" s="96">
        <f>IF(Z257=0,0,IF(OR(AND(G257&lt;&gt;"",ISNA(MATCH(G257,'CAD_UNIDADES'!$C$6:$C$105,0))),AND(H257&lt;&gt;"",ISNA(MATCH(H257,cmp_transp,0))),AND(I257&lt;&gt;"",ISNA(MATCH(I257,cmp_dest,0))),AND(E257&lt;&gt;"",NOT(ISNUMBER(E257))),AND(F257&lt;&gt;"",NOT(ISNUMBER(F257))),AND(ISNUMBER(E257),ISNUMBER(F257),F257&lt;E257)),1,0))</f>
        <v>0</v>
      </c>
      <c r="AE257" s="96">
        <f>IF(Z257=0,0,IF(OR(B257="",C257="",E257="",G257="",H257="",I257="",N(W257)=0),1,0))</f>
        <v>0</v>
      </c>
      <c r="AF257" s="96">
        <f>IF(Z257=0,0,COUNTIFS('ITENS_MTR'!$S$6:$S$1005,A257,'ITENS_MTR'!$AI$6:$AI$1005,1))</f>
        <v>0</v>
      </c>
      <c r="AG257" s="96">
        <f>IF(Z257=0,0,COUNTIFS('ITENS_MTR'!$S$6:$S$1005,A257,'ITENS_MTR'!$AJ$6:$AJ$1005,1))</f>
        <v>0</v>
      </c>
      <c r="AH257" s="96">
        <f>IF(Z257=0,0,COUNTIFS('ITENS_MTR'!$S$6:$S$1005,A257,'ITENS_MTR'!$AM$6:$AM$1005,1))</f>
        <v>0</v>
      </c>
      <c r="AI257" s="96">
        <f>IF(Z257=0,0,COUNTIFS('ITENS_MTR'!$S$6:$S$1005,A257,'ITENS_MTR'!$AO$6:$AO$1005,1))</f>
        <v>0</v>
      </c>
      <c r="AJ257" s="96">
        <f>IF(Z257=0,0,COUNTIFS('ITENS_MTR'!$S$6:$S$1005,A257,'ITENS_MTR'!$AN$6:$AN$1005,1))</f>
        <v>0</v>
      </c>
      <c r="AK257" s="96">
        <f>IF(Z257=0,0,COUNTIFS('RECEBIMENTOS'!$B$6:$B$1005,A257,'RECEBIMENTOS'!$Y$6:$Y$1005,1))</f>
        <v>0</v>
      </c>
      <c r="AL257" s="96">
        <f>IF(Z257=0,0,COUNTIFS('VÍNCULOS_CDF'!$D$6:$D$1005,A257,'VÍNCULOS_CDF'!$Y$6:$Y$1005,1))</f>
        <v>0</v>
      </c>
      <c r="AM257" s="96">
        <f>IF(Z257=0,0,COUNTIFS('RECEBIMENTOS'!$B$6:$B$1005,A257,'RECEBIMENTOS'!$Q$6:$Q$1005,1))</f>
        <v>0</v>
      </c>
      <c r="AN257" s="96">
        <f>IF(AND(Z257=1,N(W257)&gt;0,AG257=N(W257)),1,0)</f>
        <v>0</v>
      </c>
      <c r="AO257" s="96">
        <f>IF(AND(Z257=1,N(W257)&gt;0,AI257=N(W257)),1,0)</f>
        <v>0</v>
      </c>
      <c r="AP257" s="97">
        <f>IF(Z257=0,0,_xlfn.MAXIFS('RECEBIMENTOS'!$E$6:$E$1005,'RECEBIMENTOS'!$B$6:$B$1005,A257))</f>
        <v>0</v>
      </c>
      <c r="AQ257" s="97" t="str">
        <f>IF(T257="","",IF(T257="RECEBIMENTO NÃO CONFIRMADO",IF(ISNUMBER(F257),F257,IF(ISNUMBER(E257),E257,"")),IF(OR(T257="CDF NÃO LOCALIZADO",T257="VÍNCULO INCOMPLETO",T257="CDF A CONFERIR"),IF(AP257&gt;0,AP257,IF(ISNUMBER(E257),E257,"")),IF(ISNUMBER(E257),E257,""))))</f>
        <v/>
      </c>
      <c r="AR257" s="96">
        <f>IF(NOT(ISNUMBER(U257)),0,IF(T257="RECEBIMENTO NÃO CONFIRMADO",IF(AND(ISNUMBER(cfg_rec),U257&gt;cfg_rec),1,0),IF(OR(T257="CDF NÃO LOCALIZADO",T257="VÍNCULO INCOMPLETO",T257="CDF A CONFERIR"),IF(AND(ISNUMBER(cfg_cdf),U257&gt;cfg_cdf),1,0),0)))</f>
        <v>0</v>
      </c>
      <c r="AS257" s="96" t="str">
        <f>IF(T257="","",IF(AR257=1,"Alta",IFERROR(INDEX(cfg_pp,MATCH(T257,cfg_pt,0))&amp;"","Média")))</f>
        <v/>
      </c>
      <c r="AT257" s="96" t="str">
        <f>IF(T257="","",IFERROR(INDEX(cfg_pv,MATCH(T257,cfg_pt,0))&amp;"",""))</f>
        <v/>
      </c>
      <c r="AU257" s="96" t="str">
        <f>IF(T257="","",IF(AS257="Alta",1,IF(AS257="Média",2,3))*1000000000+(999999-IF(ISNUMBER(U257),MIN(U257,999999),0))*1000+252)</f>
        <v/>
      </c>
      <c r="AV257" s="96">
        <f>IF(T257&lt;&gt;"",1,0)</f>
        <v>0</v>
      </c>
      <c r="AW257" s="96" t="str">
        <f>IF(Z257=0,"",IF(AA257=1,"Cancelamento informado; ","")&amp;IF(AE257=1,"Campos essenciais ou itens faltando; ","")&amp;IF(AC257=1,"Possível duplicidade do número; ","")&amp;IF(AD257=1,"Cadastro ou datas a revisar; ","")&amp;IF(AF257&gt;0,"Item de resíduo com dado a revisar; ","")&amp;IF(AH257&gt;0,"Diferença de quantidade a analisar; ","")&amp;IF(AK257&gt;0,"Recebimento com alerta; ","")&amp;IF(AL257&gt;0,"Vínculo de CDF com alerta; ","")&amp;IF(AND(AA257=0,AN257=0),"Recebimento não confirmado; ","")&amp;IF(AND(AA257=0,AN257=1,AO257=0),"CDF pendente ou a conferir; ",""))</f>
        <v/>
      </c>
      <c r="AX257" s="96">
        <f>IF(Z257=0,0,IF(AND(OR(f_ini="",AND(ISNUMBER(E257),E257&gt;=f_ini)),OR(f_fim="",AND(ISNUMBER(E257),E257&lt;=f_fim)),OR(f_un="",f_un="(Todas)",G257=f_un),OR(f_tr="",f_tr="(Todos)",H257=f_tr),OR(f_de="",f_de="(Todos)",I257=f_de),OR(f_sit="",f_sit="(Todas)",S257=f_sit)),1,0))</f>
        <v>0</v>
      </c>
      <c r="AY257" s="96">
        <f>IF(AX257=0,0,IF(OR(f_res="",f_res="(Todos)"),1,IF(COUNTIFS('ITENS_MTR'!$S$6:$S$1005,A257,'ITENS_MTR'!$C$6:$C$1005,f_res)&gt;0,1,0)))</f>
        <v>0</v>
      </c>
      <c r="AZ257" s="97" t="str">
        <f>IF(ISNUMBER(E257),DATE(YEAR(E257),MONTH(E257),1),"")</f>
        <v/>
      </c>
      <c r="BA257" s="96">
        <f>IF(Z257=0,0,IF(AND(OR(r_ini="",AND(ISNUMBER(E257),E257&gt;=r_ini)),OR(r_fim="",AND(ISNUMBER(E257),E257&lt;=r_fim)),OR(r_un="",r_un="(Todas)",G257=r_un),OR(r_de="",r_de="(Todos)",I257=r_de)),1,0))</f>
        <v>0</v>
      </c>
      <c r="BB257" s="96" t="str">
        <f>IF(BA257=1,COUNTIF($BA$6:BA257,1),"")</f>
        <v/>
      </c>
      <c r="BC257" s="96" t="str">
        <f>IF(AND(AU257&lt;&gt;"",OR(r_un="",r_un="(Todas)",G257=r_un),OR(r_de="",r_de="(Todos)",I257=r_de)),AU257,"")</f>
        <v/>
      </c>
      <c r="BD257" s="96" t="str">
        <f>IF(Z257=1,A257&amp;" | nº "&amp;IF(B257="","(sem número)",B257)&amp;" | "&amp;IF(G257="","(sem unidade)",G257),"")</f>
        <v/>
      </c>
      <c r="BE257" s="96" t="str">
        <f>IF(Z257=1,COUNTIF($Z$6:Z257,1),"")</f>
        <v/>
      </c>
      <c r="BF257" s="96" t="str">
        <f>IF(T257="","",IF(T257="RECEBIMENTO NÃO CONFIRMADO","Transp.: "&amp;H257&amp;" | Dest.: "&amp;I257,IF(OR(T257="CDF NÃO LOCALIZADO",T257="VÍNCULO INCOMPLETO",T257="CDF A CONFERIR"),"Dest.: "&amp;I257,"Gerador: "&amp;G257)))</f>
        <v/>
      </c>
    </row>
    <row r="258">
      <c r="A258" s="89" t="inlineStr">
        <is>
          <t>MTR-000253</t>
        </is>
      </c>
      <c r="B258" s="90" t="n"/>
      <c r="C258" s="91" t="n"/>
      <c r="D258" s="91" t="n"/>
      <c r="E258" s="92" t="n"/>
      <c r="F258" s="92" t="n"/>
      <c r="G258" s="91" t="n"/>
      <c r="H258" s="91" t="n"/>
      <c r="I258" s="91" t="n"/>
      <c r="J258" s="91" t="n"/>
      <c r="K258" s="91" t="n"/>
      <c r="L258" s="92" t="n"/>
      <c r="M258" s="91" t="n"/>
      <c r="N258" s="91" t="n"/>
      <c r="O258" s="91" t="n"/>
      <c r="P258" s="93" t="str">
        <f>IF(Z258=0,"",SUMIFS('ITENS_MTR'!$I$6:$I$1005,'ITENS_MTR'!$S$6:$S$1005,A258,'ITENS_MTR'!$Y$6:$Y$1005,1))</f>
        <v/>
      </c>
      <c r="Q258" s="93" t="str">
        <f>IF(Z258=0,"",SUMIFS('RECEBIMENTOS'!$H$6:$H$1005,'RECEBIMENTOS'!$B$6:$B$1005,A258,'RECEBIMENTOS'!$X$6:$X$1005,1))</f>
        <v/>
      </c>
      <c r="R258" s="93" t="str">
        <f>IF(Z258=0,"",SUMIFS('VÍNCULOS_CDF'!$H$6:$H$1005,'VÍNCULOS_CDF'!$D$6:$D$1005,A258,'VÍNCULOS_CDF'!$V$6:$V$1005,1))</f>
        <v/>
      </c>
      <c r="S258" s="94" t="str">
        <f>IF(Z258=0,"",IF(AA258=1,"Cancelado (informado)",IF(AE258=1,"Cadastro incompleto",IF(OR(AC258=1,AD258=1,AF258&gt;0,AH258&gt;0,AK258&gt;0,AL258&gt;0),"Informação a revisar",IF(AN258=0,"Aguardando recebimento",IF(N(R258)=0,"Aguardando CDF",IF(AJ258&lt;N(W258),"Vínculo de CDF parcial",IF(AO258=0,"CDF localizado, a conferir","Documentação conferida"))))))))</f>
        <v/>
      </c>
      <c r="T258" s="94" t="str">
        <f>IF(Z258=0,"",IF(S258="Cadastro incompleto","MTR INCOMPLETO",IF(S258="Informação a revisar",IF(AND(AH258&gt;0,AC258=0,AD258=0,AF258=0,AK258=0,AL258=0),"QUANTIDADE A REVISAR","IDENTIFICAÇÃO A REVISAR"),IF(S258="Aguardando recebimento","RECEBIMENTO NÃO CONFIRMADO",IF(S258="Aguardando CDF","CDF NÃO LOCALIZADO",IF(S258="Vínculo de CDF parcial","VÍNCULO INCOMPLETO",IF(S258="CDF localizado, a conferir","CDF A CONFERIR","")))))))</f>
        <v/>
      </c>
      <c r="U258" s="95" t="str">
        <f>IF(T258="","",IF(AQ258="","Não calculável",IF(AQ258&gt;TODAY(),"Data futura",TODAY()-AQ258)))</f>
        <v/>
      </c>
      <c r="V258" s="93" t="str">
        <f>IF(Z258=0,"",SUMIFS('RECEBIMENTOS'!$H$6:$H$1005,'RECEBIMENTOS'!$B$6:$B$1005,A258,'RECEBIMENTOS'!$Z$6:$Z$1005,1))</f>
        <v/>
      </c>
      <c r="W258" s="95" t="str">
        <f>IF(Z258=0,"",COUNTIFS('ITENS_MTR'!$S$6:$S$1005,A258,'ITENS_MTR'!$R$6:$R$1005,1))</f>
        <v/>
      </c>
      <c r="X258" s="94" t="str">
        <f>IF(AC258=1,"POSSÍVEL DUPLICIDADE","")</f>
        <v/>
      </c>
      <c r="Y258" s="94" t="str">
        <f>IF(Z258=0,"",IF(AW258="","Nenhuma",LEFT(AW258,LEN(AW258)-2)))</f>
        <v/>
      </c>
      <c r="Z258" s="96">
        <f>IF(COUNTA(B258:O258)&gt;0,1,0)</f>
        <v>0</v>
      </c>
      <c r="AA258" s="96">
        <f>IF(AND(Z258=1,K258&lt;&gt;""),IF(TRIM(K258)=TRIM(cfg_cancel),1,0),0)</f>
        <v>0</v>
      </c>
      <c r="AB258" s="96" t="str">
        <f>IF(AND(Z258=1,B258&lt;&gt;""),C258&amp;"|"&amp;D258&amp;"|"&amp;G258&amp;"|"&amp;TRIM(B258),"")</f>
        <v/>
      </c>
      <c r="AC258" s="96">
        <f>IF(AB258="",0,IF(SUMPRODUCT(--($AB$6:$AB$505=AB258))&gt;1,1,0))</f>
        <v>0</v>
      </c>
      <c r="AD258" s="96">
        <f>IF(Z258=0,0,IF(OR(AND(G258&lt;&gt;"",ISNA(MATCH(G258,'CAD_UNIDADES'!$C$6:$C$105,0))),AND(H258&lt;&gt;"",ISNA(MATCH(H258,cmp_transp,0))),AND(I258&lt;&gt;"",ISNA(MATCH(I258,cmp_dest,0))),AND(E258&lt;&gt;"",NOT(ISNUMBER(E258))),AND(F258&lt;&gt;"",NOT(ISNUMBER(F258))),AND(ISNUMBER(E258),ISNUMBER(F258),F258&lt;E258)),1,0))</f>
        <v>0</v>
      </c>
      <c r="AE258" s="96">
        <f>IF(Z258=0,0,IF(OR(B258="",C258="",E258="",G258="",H258="",I258="",N(W258)=0),1,0))</f>
        <v>0</v>
      </c>
      <c r="AF258" s="96">
        <f>IF(Z258=0,0,COUNTIFS('ITENS_MTR'!$S$6:$S$1005,A258,'ITENS_MTR'!$AI$6:$AI$1005,1))</f>
        <v>0</v>
      </c>
      <c r="AG258" s="96">
        <f>IF(Z258=0,0,COUNTIFS('ITENS_MTR'!$S$6:$S$1005,A258,'ITENS_MTR'!$AJ$6:$AJ$1005,1))</f>
        <v>0</v>
      </c>
      <c r="AH258" s="96">
        <f>IF(Z258=0,0,COUNTIFS('ITENS_MTR'!$S$6:$S$1005,A258,'ITENS_MTR'!$AM$6:$AM$1005,1))</f>
        <v>0</v>
      </c>
      <c r="AI258" s="96">
        <f>IF(Z258=0,0,COUNTIFS('ITENS_MTR'!$S$6:$S$1005,A258,'ITENS_MTR'!$AO$6:$AO$1005,1))</f>
        <v>0</v>
      </c>
      <c r="AJ258" s="96">
        <f>IF(Z258=0,0,COUNTIFS('ITENS_MTR'!$S$6:$S$1005,A258,'ITENS_MTR'!$AN$6:$AN$1005,1))</f>
        <v>0</v>
      </c>
      <c r="AK258" s="96">
        <f>IF(Z258=0,0,COUNTIFS('RECEBIMENTOS'!$B$6:$B$1005,A258,'RECEBIMENTOS'!$Y$6:$Y$1005,1))</f>
        <v>0</v>
      </c>
      <c r="AL258" s="96">
        <f>IF(Z258=0,0,COUNTIFS('VÍNCULOS_CDF'!$D$6:$D$1005,A258,'VÍNCULOS_CDF'!$Y$6:$Y$1005,1))</f>
        <v>0</v>
      </c>
      <c r="AM258" s="96">
        <f>IF(Z258=0,0,COUNTIFS('RECEBIMENTOS'!$B$6:$B$1005,A258,'RECEBIMENTOS'!$Q$6:$Q$1005,1))</f>
        <v>0</v>
      </c>
      <c r="AN258" s="96">
        <f>IF(AND(Z258=1,N(W258)&gt;0,AG258=N(W258)),1,0)</f>
        <v>0</v>
      </c>
      <c r="AO258" s="96">
        <f>IF(AND(Z258=1,N(W258)&gt;0,AI258=N(W258)),1,0)</f>
        <v>0</v>
      </c>
      <c r="AP258" s="97">
        <f>IF(Z258=0,0,_xlfn.MAXIFS('RECEBIMENTOS'!$E$6:$E$1005,'RECEBIMENTOS'!$B$6:$B$1005,A258))</f>
        <v>0</v>
      </c>
      <c r="AQ258" s="97" t="str">
        <f>IF(T258="","",IF(T258="RECEBIMENTO NÃO CONFIRMADO",IF(ISNUMBER(F258),F258,IF(ISNUMBER(E258),E258,"")),IF(OR(T258="CDF NÃO LOCALIZADO",T258="VÍNCULO INCOMPLETO",T258="CDF A CONFERIR"),IF(AP258&gt;0,AP258,IF(ISNUMBER(E258),E258,"")),IF(ISNUMBER(E258),E258,""))))</f>
        <v/>
      </c>
      <c r="AR258" s="96">
        <f>IF(NOT(ISNUMBER(U258)),0,IF(T258="RECEBIMENTO NÃO CONFIRMADO",IF(AND(ISNUMBER(cfg_rec),U258&gt;cfg_rec),1,0),IF(OR(T258="CDF NÃO LOCALIZADO",T258="VÍNCULO INCOMPLETO",T258="CDF A CONFERIR"),IF(AND(ISNUMBER(cfg_cdf),U258&gt;cfg_cdf),1,0),0)))</f>
        <v>0</v>
      </c>
      <c r="AS258" s="96" t="str">
        <f>IF(T258="","",IF(AR258=1,"Alta",IFERROR(INDEX(cfg_pp,MATCH(T258,cfg_pt,0))&amp;"","Média")))</f>
        <v/>
      </c>
      <c r="AT258" s="96" t="str">
        <f>IF(T258="","",IFERROR(INDEX(cfg_pv,MATCH(T258,cfg_pt,0))&amp;"",""))</f>
        <v/>
      </c>
      <c r="AU258" s="96" t="str">
        <f>IF(T258="","",IF(AS258="Alta",1,IF(AS258="Média",2,3))*1000000000+(999999-IF(ISNUMBER(U258),MIN(U258,999999),0))*1000+253)</f>
        <v/>
      </c>
      <c r="AV258" s="96">
        <f>IF(T258&lt;&gt;"",1,0)</f>
        <v>0</v>
      </c>
      <c r="AW258" s="96" t="str">
        <f>IF(Z258=0,"",IF(AA258=1,"Cancelamento informado; ","")&amp;IF(AE258=1,"Campos essenciais ou itens faltando; ","")&amp;IF(AC258=1,"Possível duplicidade do número; ","")&amp;IF(AD258=1,"Cadastro ou datas a revisar; ","")&amp;IF(AF258&gt;0,"Item de resíduo com dado a revisar; ","")&amp;IF(AH258&gt;0,"Diferença de quantidade a analisar; ","")&amp;IF(AK258&gt;0,"Recebimento com alerta; ","")&amp;IF(AL258&gt;0,"Vínculo de CDF com alerta; ","")&amp;IF(AND(AA258=0,AN258=0),"Recebimento não confirmado; ","")&amp;IF(AND(AA258=0,AN258=1,AO258=0),"CDF pendente ou a conferir; ",""))</f>
        <v/>
      </c>
      <c r="AX258" s="96">
        <f>IF(Z258=0,0,IF(AND(OR(f_ini="",AND(ISNUMBER(E258),E258&gt;=f_ini)),OR(f_fim="",AND(ISNUMBER(E258),E258&lt;=f_fim)),OR(f_un="",f_un="(Todas)",G258=f_un),OR(f_tr="",f_tr="(Todos)",H258=f_tr),OR(f_de="",f_de="(Todos)",I258=f_de),OR(f_sit="",f_sit="(Todas)",S258=f_sit)),1,0))</f>
        <v>0</v>
      </c>
      <c r="AY258" s="96">
        <f>IF(AX258=0,0,IF(OR(f_res="",f_res="(Todos)"),1,IF(COUNTIFS('ITENS_MTR'!$S$6:$S$1005,A258,'ITENS_MTR'!$C$6:$C$1005,f_res)&gt;0,1,0)))</f>
        <v>0</v>
      </c>
      <c r="AZ258" s="97" t="str">
        <f>IF(ISNUMBER(E258),DATE(YEAR(E258),MONTH(E258),1),"")</f>
        <v/>
      </c>
      <c r="BA258" s="96">
        <f>IF(Z258=0,0,IF(AND(OR(r_ini="",AND(ISNUMBER(E258),E258&gt;=r_ini)),OR(r_fim="",AND(ISNUMBER(E258),E258&lt;=r_fim)),OR(r_un="",r_un="(Todas)",G258=r_un),OR(r_de="",r_de="(Todos)",I258=r_de)),1,0))</f>
        <v>0</v>
      </c>
      <c r="BB258" s="96" t="str">
        <f>IF(BA258=1,COUNTIF($BA$6:BA258,1),"")</f>
        <v/>
      </c>
      <c r="BC258" s="96" t="str">
        <f>IF(AND(AU258&lt;&gt;"",OR(r_un="",r_un="(Todas)",G258=r_un),OR(r_de="",r_de="(Todos)",I258=r_de)),AU258,"")</f>
        <v/>
      </c>
      <c r="BD258" s="96" t="str">
        <f>IF(Z258=1,A258&amp;" | nº "&amp;IF(B258="","(sem número)",B258)&amp;" | "&amp;IF(G258="","(sem unidade)",G258),"")</f>
        <v/>
      </c>
      <c r="BE258" s="96" t="str">
        <f>IF(Z258=1,COUNTIF($Z$6:Z258,1),"")</f>
        <v/>
      </c>
      <c r="BF258" s="96" t="str">
        <f>IF(T258="","",IF(T258="RECEBIMENTO NÃO CONFIRMADO","Transp.: "&amp;H258&amp;" | Dest.: "&amp;I258,IF(OR(T258="CDF NÃO LOCALIZADO",T258="VÍNCULO INCOMPLETO",T258="CDF A CONFERIR"),"Dest.: "&amp;I258,"Gerador: "&amp;G258)))</f>
        <v/>
      </c>
    </row>
    <row r="259">
      <c r="A259" s="89" t="inlineStr">
        <is>
          <t>MTR-000254</t>
        </is>
      </c>
      <c r="B259" s="90" t="n"/>
      <c r="C259" s="91" t="n"/>
      <c r="D259" s="91" t="n"/>
      <c r="E259" s="92" t="n"/>
      <c r="F259" s="92" t="n"/>
      <c r="G259" s="91" t="n"/>
      <c r="H259" s="91" t="n"/>
      <c r="I259" s="91" t="n"/>
      <c r="J259" s="91" t="n"/>
      <c r="K259" s="91" t="n"/>
      <c r="L259" s="92" t="n"/>
      <c r="M259" s="91" t="n"/>
      <c r="N259" s="91" t="n"/>
      <c r="O259" s="91" t="n"/>
      <c r="P259" s="93" t="str">
        <f>IF(Z259=0,"",SUMIFS('ITENS_MTR'!$I$6:$I$1005,'ITENS_MTR'!$S$6:$S$1005,A259,'ITENS_MTR'!$Y$6:$Y$1005,1))</f>
        <v/>
      </c>
      <c r="Q259" s="93" t="str">
        <f>IF(Z259=0,"",SUMIFS('RECEBIMENTOS'!$H$6:$H$1005,'RECEBIMENTOS'!$B$6:$B$1005,A259,'RECEBIMENTOS'!$X$6:$X$1005,1))</f>
        <v/>
      </c>
      <c r="R259" s="93" t="str">
        <f>IF(Z259=0,"",SUMIFS('VÍNCULOS_CDF'!$H$6:$H$1005,'VÍNCULOS_CDF'!$D$6:$D$1005,A259,'VÍNCULOS_CDF'!$V$6:$V$1005,1))</f>
        <v/>
      </c>
      <c r="S259" s="94" t="str">
        <f>IF(Z259=0,"",IF(AA259=1,"Cancelado (informado)",IF(AE259=1,"Cadastro incompleto",IF(OR(AC259=1,AD259=1,AF259&gt;0,AH259&gt;0,AK259&gt;0,AL259&gt;0),"Informação a revisar",IF(AN259=0,"Aguardando recebimento",IF(N(R259)=0,"Aguardando CDF",IF(AJ259&lt;N(W259),"Vínculo de CDF parcial",IF(AO259=0,"CDF localizado, a conferir","Documentação conferida"))))))))</f>
        <v/>
      </c>
      <c r="T259" s="94" t="str">
        <f>IF(Z259=0,"",IF(S259="Cadastro incompleto","MTR INCOMPLETO",IF(S259="Informação a revisar",IF(AND(AH259&gt;0,AC259=0,AD259=0,AF259=0,AK259=0,AL259=0),"QUANTIDADE A REVISAR","IDENTIFICAÇÃO A REVISAR"),IF(S259="Aguardando recebimento","RECEBIMENTO NÃO CONFIRMADO",IF(S259="Aguardando CDF","CDF NÃO LOCALIZADO",IF(S259="Vínculo de CDF parcial","VÍNCULO INCOMPLETO",IF(S259="CDF localizado, a conferir","CDF A CONFERIR","")))))))</f>
        <v/>
      </c>
      <c r="U259" s="95" t="str">
        <f>IF(T259="","",IF(AQ259="","Não calculável",IF(AQ259&gt;TODAY(),"Data futura",TODAY()-AQ259)))</f>
        <v/>
      </c>
      <c r="V259" s="93" t="str">
        <f>IF(Z259=0,"",SUMIFS('RECEBIMENTOS'!$H$6:$H$1005,'RECEBIMENTOS'!$B$6:$B$1005,A259,'RECEBIMENTOS'!$Z$6:$Z$1005,1))</f>
        <v/>
      </c>
      <c r="W259" s="95" t="str">
        <f>IF(Z259=0,"",COUNTIFS('ITENS_MTR'!$S$6:$S$1005,A259,'ITENS_MTR'!$R$6:$R$1005,1))</f>
        <v/>
      </c>
      <c r="X259" s="94" t="str">
        <f>IF(AC259=1,"POSSÍVEL DUPLICIDADE","")</f>
        <v/>
      </c>
      <c r="Y259" s="94" t="str">
        <f>IF(Z259=0,"",IF(AW259="","Nenhuma",LEFT(AW259,LEN(AW259)-2)))</f>
        <v/>
      </c>
      <c r="Z259" s="96">
        <f>IF(COUNTA(B259:O259)&gt;0,1,0)</f>
        <v>0</v>
      </c>
      <c r="AA259" s="96">
        <f>IF(AND(Z259=1,K259&lt;&gt;""),IF(TRIM(K259)=TRIM(cfg_cancel),1,0),0)</f>
        <v>0</v>
      </c>
      <c r="AB259" s="96" t="str">
        <f>IF(AND(Z259=1,B259&lt;&gt;""),C259&amp;"|"&amp;D259&amp;"|"&amp;G259&amp;"|"&amp;TRIM(B259),"")</f>
        <v/>
      </c>
      <c r="AC259" s="96">
        <f>IF(AB259="",0,IF(SUMPRODUCT(--($AB$6:$AB$505=AB259))&gt;1,1,0))</f>
        <v>0</v>
      </c>
      <c r="AD259" s="96">
        <f>IF(Z259=0,0,IF(OR(AND(G259&lt;&gt;"",ISNA(MATCH(G259,'CAD_UNIDADES'!$C$6:$C$105,0))),AND(H259&lt;&gt;"",ISNA(MATCH(H259,cmp_transp,0))),AND(I259&lt;&gt;"",ISNA(MATCH(I259,cmp_dest,0))),AND(E259&lt;&gt;"",NOT(ISNUMBER(E259))),AND(F259&lt;&gt;"",NOT(ISNUMBER(F259))),AND(ISNUMBER(E259),ISNUMBER(F259),F259&lt;E259)),1,0))</f>
        <v>0</v>
      </c>
      <c r="AE259" s="96">
        <f>IF(Z259=0,0,IF(OR(B259="",C259="",E259="",G259="",H259="",I259="",N(W259)=0),1,0))</f>
        <v>0</v>
      </c>
      <c r="AF259" s="96">
        <f>IF(Z259=0,0,COUNTIFS('ITENS_MTR'!$S$6:$S$1005,A259,'ITENS_MTR'!$AI$6:$AI$1005,1))</f>
        <v>0</v>
      </c>
      <c r="AG259" s="96">
        <f>IF(Z259=0,0,COUNTIFS('ITENS_MTR'!$S$6:$S$1005,A259,'ITENS_MTR'!$AJ$6:$AJ$1005,1))</f>
        <v>0</v>
      </c>
      <c r="AH259" s="96">
        <f>IF(Z259=0,0,COUNTIFS('ITENS_MTR'!$S$6:$S$1005,A259,'ITENS_MTR'!$AM$6:$AM$1005,1))</f>
        <v>0</v>
      </c>
      <c r="AI259" s="96">
        <f>IF(Z259=0,0,COUNTIFS('ITENS_MTR'!$S$6:$S$1005,A259,'ITENS_MTR'!$AO$6:$AO$1005,1))</f>
        <v>0</v>
      </c>
      <c r="AJ259" s="96">
        <f>IF(Z259=0,0,COUNTIFS('ITENS_MTR'!$S$6:$S$1005,A259,'ITENS_MTR'!$AN$6:$AN$1005,1))</f>
        <v>0</v>
      </c>
      <c r="AK259" s="96">
        <f>IF(Z259=0,0,COUNTIFS('RECEBIMENTOS'!$B$6:$B$1005,A259,'RECEBIMENTOS'!$Y$6:$Y$1005,1))</f>
        <v>0</v>
      </c>
      <c r="AL259" s="96">
        <f>IF(Z259=0,0,COUNTIFS('VÍNCULOS_CDF'!$D$6:$D$1005,A259,'VÍNCULOS_CDF'!$Y$6:$Y$1005,1))</f>
        <v>0</v>
      </c>
      <c r="AM259" s="96">
        <f>IF(Z259=0,0,COUNTIFS('RECEBIMENTOS'!$B$6:$B$1005,A259,'RECEBIMENTOS'!$Q$6:$Q$1005,1))</f>
        <v>0</v>
      </c>
      <c r="AN259" s="96">
        <f>IF(AND(Z259=1,N(W259)&gt;0,AG259=N(W259)),1,0)</f>
        <v>0</v>
      </c>
      <c r="AO259" s="96">
        <f>IF(AND(Z259=1,N(W259)&gt;0,AI259=N(W259)),1,0)</f>
        <v>0</v>
      </c>
      <c r="AP259" s="97">
        <f>IF(Z259=0,0,_xlfn.MAXIFS('RECEBIMENTOS'!$E$6:$E$1005,'RECEBIMENTOS'!$B$6:$B$1005,A259))</f>
        <v>0</v>
      </c>
      <c r="AQ259" s="97" t="str">
        <f>IF(T259="","",IF(T259="RECEBIMENTO NÃO CONFIRMADO",IF(ISNUMBER(F259),F259,IF(ISNUMBER(E259),E259,"")),IF(OR(T259="CDF NÃO LOCALIZADO",T259="VÍNCULO INCOMPLETO",T259="CDF A CONFERIR"),IF(AP259&gt;0,AP259,IF(ISNUMBER(E259),E259,"")),IF(ISNUMBER(E259),E259,""))))</f>
        <v/>
      </c>
      <c r="AR259" s="96">
        <f>IF(NOT(ISNUMBER(U259)),0,IF(T259="RECEBIMENTO NÃO CONFIRMADO",IF(AND(ISNUMBER(cfg_rec),U259&gt;cfg_rec),1,0),IF(OR(T259="CDF NÃO LOCALIZADO",T259="VÍNCULO INCOMPLETO",T259="CDF A CONFERIR"),IF(AND(ISNUMBER(cfg_cdf),U259&gt;cfg_cdf),1,0),0)))</f>
        <v>0</v>
      </c>
      <c r="AS259" s="96" t="str">
        <f>IF(T259="","",IF(AR259=1,"Alta",IFERROR(INDEX(cfg_pp,MATCH(T259,cfg_pt,0))&amp;"","Média")))</f>
        <v/>
      </c>
      <c r="AT259" s="96" t="str">
        <f>IF(T259="","",IFERROR(INDEX(cfg_pv,MATCH(T259,cfg_pt,0))&amp;"",""))</f>
        <v/>
      </c>
      <c r="AU259" s="96" t="str">
        <f>IF(T259="","",IF(AS259="Alta",1,IF(AS259="Média",2,3))*1000000000+(999999-IF(ISNUMBER(U259),MIN(U259,999999),0))*1000+254)</f>
        <v/>
      </c>
      <c r="AV259" s="96">
        <f>IF(T259&lt;&gt;"",1,0)</f>
        <v>0</v>
      </c>
      <c r="AW259" s="96" t="str">
        <f>IF(Z259=0,"",IF(AA259=1,"Cancelamento informado; ","")&amp;IF(AE259=1,"Campos essenciais ou itens faltando; ","")&amp;IF(AC259=1,"Possível duplicidade do número; ","")&amp;IF(AD259=1,"Cadastro ou datas a revisar; ","")&amp;IF(AF259&gt;0,"Item de resíduo com dado a revisar; ","")&amp;IF(AH259&gt;0,"Diferença de quantidade a analisar; ","")&amp;IF(AK259&gt;0,"Recebimento com alerta; ","")&amp;IF(AL259&gt;0,"Vínculo de CDF com alerta; ","")&amp;IF(AND(AA259=0,AN259=0),"Recebimento não confirmado; ","")&amp;IF(AND(AA259=0,AN259=1,AO259=0),"CDF pendente ou a conferir; ",""))</f>
        <v/>
      </c>
      <c r="AX259" s="96">
        <f>IF(Z259=0,0,IF(AND(OR(f_ini="",AND(ISNUMBER(E259),E259&gt;=f_ini)),OR(f_fim="",AND(ISNUMBER(E259),E259&lt;=f_fim)),OR(f_un="",f_un="(Todas)",G259=f_un),OR(f_tr="",f_tr="(Todos)",H259=f_tr),OR(f_de="",f_de="(Todos)",I259=f_de),OR(f_sit="",f_sit="(Todas)",S259=f_sit)),1,0))</f>
        <v>0</v>
      </c>
      <c r="AY259" s="96">
        <f>IF(AX259=0,0,IF(OR(f_res="",f_res="(Todos)"),1,IF(COUNTIFS('ITENS_MTR'!$S$6:$S$1005,A259,'ITENS_MTR'!$C$6:$C$1005,f_res)&gt;0,1,0)))</f>
        <v>0</v>
      </c>
      <c r="AZ259" s="97" t="str">
        <f>IF(ISNUMBER(E259),DATE(YEAR(E259),MONTH(E259),1),"")</f>
        <v/>
      </c>
      <c r="BA259" s="96">
        <f>IF(Z259=0,0,IF(AND(OR(r_ini="",AND(ISNUMBER(E259),E259&gt;=r_ini)),OR(r_fim="",AND(ISNUMBER(E259),E259&lt;=r_fim)),OR(r_un="",r_un="(Todas)",G259=r_un),OR(r_de="",r_de="(Todos)",I259=r_de)),1,0))</f>
        <v>0</v>
      </c>
      <c r="BB259" s="96" t="str">
        <f>IF(BA259=1,COUNTIF($BA$6:BA259,1),"")</f>
        <v/>
      </c>
      <c r="BC259" s="96" t="str">
        <f>IF(AND(AU259&lt;&gt;"",OR(r_un="",r_un="(Todas)",G259=r_un),OR(r_de="",r_de="(Todos)",I259=r_de)),AU259,"")</f>
        <v/>
      </c>
      <c r="BD259" s="96" t="str">
        <f>IF(Z259=1,A259&amp;" | nº "&amp;IF(B259="","(sem número)",B259)&amp;" | "&amp;IF(G259="","(sem unidade)",G259),"")</f>
        <v/>
      </c>
      <c r="BE259" s="96" t="str">
        <f>IF(Z259=1,COUNTIF($Z$6:Z259,1),"")</f>
        <v/>
      </c>
      <c r="BF259" s="96" t="str">
        <f>IF(T259="","",IF(T259="RECEBIMENTO NÃO CONFIRMADO","Transp.: "&amp;H259&amp;" | Dest.: "&amp;I259,IF(OR(T259="CDF NÃO LOCALIZADO",T259="VÍNCULO INCOMPLETO",T259="CDF A CONFERIR"),"Dest.: "&amp;I259,"Gerador: "&amp;G259)))</f>
        <v/>
      </c>
    </row>
    <row r="260">
      <c r="A260" s="89" t="inlineStr">
        <is>
          <t>MTR-000255</t>
        </is>
      </c>
      <c r="B260" s="90" t="n"/>
      <c r="C260" s="91" t="n"/>
      <c r="D260" s="91" t="n"/>
      <c r="E260" s="92" t="n"/>
      <c r="F260" s="92" t="n"/>
      <c r="G260" s="91" t="n"/>
      <c r="H260" s="91" t="n"/>
      <c r="I260" s="91" t="n"/>
      <c r="J260" s="91" t="n"/>
      <c r="K260" s="91" t="n"/>
      <c r="L260" s="92" t="n"/>
      <c r="M260" s="91" t="n"/>
      <c r="N260" s="91" t="n"/>
      <c r="O260" s="91" t="n"/>
      <c r="P260" s="93" t="str">
        <f>IF(Z260=0,"",SUMIFS('ITENS_MTR'!$I$6:$I$1005,'ITENS_MTR'!$S$6:$S$1005,A260,'ITENS_MTR'!$Y$6:$Y$1005,1))</f>
        <v/>
      </c>
      <c r="Q260" s="93" t="str">
        <f>IF(Z260=0,"",SUMIFS('RECEBIMENTOS'!$H$6:$H$1005,'RECEBIMENTOS'!$B$6:$B$1005,A260,'RECEBIMENTOS'!$X$6:$X$1005,1))</f>
        <v/>
      </c>
      <c r="R260" s="93" t="str">
        <f>IF(Z260=0,"",SUMIFS('VÍNCULOS_CDF'!$H$6:$H$1005,'VÍNCULOS_CDF'!$D$6:$D$1005,A260,'VÍNCULOS_CDF'!$V$6:$V$1005,1))</f>
        <v/>
      </c>
      <c r="S260" s="94" t="str">
        <f>IF(Z260=0,"",IF(AA260=1,"Cancelado (informado)",IF(AE260=1,"Cadastro incompleto",IF(OR(AC260=1,AD260=1,AF260&gt;0,AH260&gt;0,AK260&gt;0,AL260&gt;0),"Informação a revisar",IF(AN260=0,"Aguardando recebimento",IF(N(R260)=0,"Aguardando CDF",IF(AJ260&lt;N(W260),"Vínculo de CDF parcial",IF(AO260=0,"CDF localizado, a conferir","Documentação conferida"))))))))</f>
        <v/>
      </c>
      <c r="T260" s="94" t="str">
        <f>IF(Z260=0,"",IF(S260="Cadastro incompleto","MTR INCOMPLETO",IF(S260="Informação a revisar",IF(AND(AH260&gt;0,AC260=0,AD260=0,AF260=0,AK260=0,AL260=0),"QUANTIDADE A REVISAR","IDENTIFICAÇÃO A REVISAR"),IF(S260="Aguardando recebimento","RECEBIMENTO NÃO CONFIRMADO",IF(S260="Aguardando CDF","CDF NÃO LOCALIZADO",IF(S260="Vínculo de CDF parcial","VÍNCULO INCOMPLETO",IF(S260="CDF localizado, a conferir","CDF A CONFERIR","")))))))</f>
        <v/>
      </c>
      <c r="U260" s="95" t="str">
        <f>IF(T260="","",IF(AQ260="","Não calculável",IF(AQ260&gt;TODAY(),"Data futura",TODAY()-AQ260)))</f>
        <v/>
      </c>
      <c r="V260" s="93" t="str">
        <f>IF(Z260=0,"",SUMIFS('RECEBIMENTOS'!$H$6:$H$1005,'RECEBIMENTOS'!$B$6:$B$1005,A260,'RECEBIMENTOS'!$Z$6:$Z$1005,1))</f>
        <v/>
      </c>
      <c r="W260" s="95" t="str">
        <f>IF(Z260=0,"",COUNTIFS('ITENS_MTR'!$S$6:$S$1005,A260,'ITENS_MTR'!$R$6:$R$1005,1))</f>
        <v/>
      </c>
      <c r="X260" s="94" t="str">
        <f>IF(AC260=1,"POSSÍVEL DUPLICIDADE","")</f>
        <v/>
      </c>
      <c r="Y260" s="94" t="str">
        <f>IF(Z260=0,"",IF(AW260="","Nenhuma",LEFT(AW260,LEN(AW260)-2)))</f>
        <v/>
      </c>
      <c r="Z260" s="96">
        <f>IF(COUNTA(B260:O260)&gt;0,1,0)</f>
        <v>0</v>
      </c>
      <c r="AA260" s="96">
        <f>IF(AND(Z260=1,K260&lt;&gt;""),IF(TRIM(K260)=TRIM(cfg_cancel),1,0),0)</f>
        <v>0</v>
      </c>
      <c r="AB260" s="96" t="str">
        <f>IF(AND(Z260=1,B260&lt;&gt;""),C260&amp;"|"&amp;D260&amp;"|"&amp;G260&amp;"|"&amp;TRIM(B260),"")</f>
        <v/>
      </c>
      <c r="AC260" s="96">
        <f>IF(AB260="",0,IF(SUMPRODUCT(--($AB$6:$AB$505=AB260))&gt;1,1,0))</f>
        <v>0</v>
      </c>
      <c r="AD260" s="96">
        <f>IF(Z260=0,0,IF(OR(AND(G260&lt;&gt;"",ISNA(MATCH(G260,'CAD_UNIDADES'!$C$6:$C$105,0))),AND(H260&lt;&gt;"",ISNA(MATCH(H260,cmp_transp,0))),AND(I260&lt;&gt;"",ISNA(MATCH(I260,cmp_dest,0))),AND(E260&lt;&gt;"",NOT(ISNUMBER(E260))),AND(F260&lt;&gt;"",NOT(ISNUMBER(F260))),AND(ISNUMBER(E260),ISNUMBER(F260),F260&lt;E260)),1,0))</f>
        <v>0</v>
      </c>
      <c r="AE260" s="96">
        <f>IF(Z260=0,0,IF(OR(B260="",C260="",E260="",G260="",H260="",I260="",N(W260)=0),1,0))</f>
        <v>0</v>
      </c>
      <c r="AF260" s="96">
        <f>IF(Z260=0,0,COUNTIFS('ITENS_MTR'!$S$6:$S$1005,A260,'ITENS_MTR'!$AI$6:$AI$1005,1))</f>
        <v>0</v>
      </c>
      <c r="AG260" s="96">
        <f>IF(Z260=0,0,COUNTIFS('ITENS_MTR'!$S$6:$S$1005,A260,'ITENS_MTR'!$AJ$6:$AJ$1005,1))</f>
        <v>0</v>
      </c>
      <c r="AH260" s="96">
        <f>IF(Z260=0,0,COUNTIFS('ITENS_MTR'!$S$6:$S$1005,A260,'ITENS_MTR'!$AM$6:$AM$1005,1))</f>
        <v>0</v>
      </c>
      <c r="AI260" s="96">
        <f>IF(Z260=0,0,COUNTIFS('ITENS_MTR'!$S$6:$S$1005,A260,'ITENS_MTR'!$AO$6:$AO$1005,1))</f>
        <v>0</v>
      </c>
      <c r="AJ260" s="96">
        <f>IF(Z260=0,0,COUNTIFS('ITENS_MTR'!$S$6:$S$1005,A260,'ITENS_MTR'!$AN$6:$AN$1005,1))</f>
        <v>0</v>
      </c>
      <c r="AK260" s="96">
        <f>IF(Z260=0,0,COUNTIFS('RECEBIMENTOS'!$B$6:$B$1005,A260,'RECEBIMENTOS'!$Y$6:$Y$1005,1))</f>
        <v>0</v>
      </c>
      <c r="AL260" s="96">
        <f>IF(Z260=0,0,COUNTIFS('VÍNCULOS_CDF'!$D$6:$D$1005,A260,'VÍNCULOS_CDF'!$Y$6:$Y$1005,1))</f>
        <v>0</v>
      </c>
      <c r="AM260" s="96">
        <f>IF(Z260=0,0,COUNTIFS('RECEBIMENTOS'!$B$6:$B$1005,A260,'RECEBIMENTOS'!$Q$6:$Q$1005,1))</f>
        <v>0</v>
      </c>
      <c r="AN260" s="96">
        <f>IF(AND(Z260=1,N(W260)&gt;0,AG260=N(W260)),1,0)</f>
        <v>0</v>
      </c>
      <c r="AO260" s="96">
        <f>IF(AND(Z260=1,N(W260)&gt;0,AI260=N(W260)),1,0)</f>
        <v>0</v>
      </c>
      <c r="AP260" s="97">
        <f>IF(Z260=0,0,_xlfn.MAXIFS('RECEBIMENTOS'!$E$6:$E$1005,'RECEBIMENTOS'!$B$6:$B$1005,A260))</f>
        <v>0</v>
      </c>
      <c r="AQ260" s="97" t="str">
        <f>IF(T260="","",IF(T260="RECEBIMENTO NÃO CONFIRMADO",IF(ISNUMBER(F260),F260,IF(ISNUMBER(E260),E260,"")),IF(OR(T260="CDF NÃO LOCALIZADO",T260="VÍNCULO INCOMPLETO",T260="CDF A CONFERIR"),IF(AP260&gt;0,AP260,IF(ISNUMBER(E260),E260,"")),IF(ISNUMBER(E260),E260,""))))</f>
        <v/>
      </c>
      <c r="AR260" s="96">
        <f>IF(NOT(ISNUMBER(U260)),0,IF(T260="RECEBIMENTO NÃO CONFIRMADO",IF(AND(ISNUMBER(cfg_rec),U260&gt;cfg_rec),1,0),IF(OR(T260="CDF NÃO LOCALIZADO",T260="VÍNCULO INCOMPLETO",T260="CDF A CONFERIR"),IF(AND(ISNUMBER(cfg_cdf),U260&gt;cfg_cdf),1,0),0)))</f>
        <v>0</v>
      </c>
      <c r="AS260" s="96" t="str">
        <f>IF(T260="","",IF(AR260=1,"Alta",IFERROR(INDEX(cfg_pp,MATCH(T260,cfg_pt,0))&amp;"","Média")))</f>
        <v/>
      </c>
      <c r="AT260" s="96" t="str">
        <f>IF(T260="","",IFERROR(INDEX(cfg_pv,MATCH(T260,cfg_pt,0))&amp;"",""))</f>
        <v/>
      </c>
      <c r="AU260" s="96" t="str">
        <f>IF(T260="","",IF(AS260="Alta",1,IF(AS260="Média",2,3))*1000000000+(999999-IF(ISNUMBER(U260),MIN(U260,999999),0))*1000+255)</f>
        <v/>
      </c>
      <c r="AV260" s="96">
        <f>IF(T260&lt;&gt;"",1,0)</f>
        <v>0</v>
      </c>
      <c r="AW260" s="96" t="str">
        <f>IF(Z260=0,"",IF(AA260=1,"Cancelamento informado; ","")&amp;IF(AE260=1,"Campos essenciais ou itens faltando; ","")&amp;IF(AC260=1,"Possível duplicidade do número; ","")&amp;IF(AD260=1,"Cadastro ou datas a revisar; ","")&amp;IF(AF260&gt;0,"Item de resíduo com dado a revisar; ","")&amp;IF(AH260&gt;0,"Diferença de quantidade a analisar; ","")&amp;IF(AK260&gt;0,"Recebimento com alerta; ","")&amp;IF(AL260&gt;0,"Vínculo de CDF com alerta; ","")&amp;IF(AND(AA260=0,AN260=0),"Recebimento não confirmado; ","")&amp;IF(AND(AA260=0,AN260=1,AO260=0),"CDF pendente ou a conferir; ",""))</f>
        <v/>
      </c>
      <c r="AX260" s="96">
        <f>IF(Z260=0,0,IF(AND(OR(f_ini="",AND(ISNUMBER(E260),E260&gt;=f_ini)),OR(f_fim="",AND(ISNUMBER(E260),E260&lt;=f_fim)),OR(f_un="",f_un="(Todas)",G260=f_un),OR(f_tr="",f_tr="(Todos)",H260=f_tr),OR(f_de="",f_de="(Todos)",I260=f_de),OR(f_sit="",f_sit="(Todas)",S260=f_sit)),1,0))</f>
        <v>0</v>
      </c>
      <c r="AY260" s="96">
        <f>IF(AX260=0,0,IF(OR(f_res="",f_res="(Todos)"),1,IF(COUNTIFS('ITENS_MTR'!$S$6:$S$1005,A260,'ITENS_MTR'!$C$6:$C$1005,f_res)&gt;0,1,0)))</f>
        <v>0</v>
      </c>
      <c r="AZ260" s="97" t="str">
        <f>IF(ISNUMBER(E260),DATE(YEAR(E260),MONTH(E260),1),"")</f>
        <v/>
      </c>
      <c r="BA260" s="96">
        <f>IF(Z260=0,0,IF(AND(OR(r_ini="",AND(ISNUMBER(E260),E260&gt;=r_ini)),OR(r_fim="",AND(ISNUMBER(E260),E260&lt;=r_fim)),OR(r_un="",r_un="(Todas)",G260=r_un),OR(r_de="",r_de="(Todos)",I260=r_de)),1,0))</f>
        <v>0</v>
      </c>
      <c r="BB260" s="96" t="str">
        <f>IF(BA260=1,COUNTIF($BA$6:BA260,1),"")</f>
        <v/>
      </c>
      <c r="BC260" s="96" t="str">
        <f>IF(AND(AU260&lt;&gt;"",OR(r_un="",r_un="(Todas)",G260=r_un),OR(r_de="",r_de="(Todos)",I260=r_de)),AU260,"")</f>
        <v/>
      </c>
      <c r="BD260" s="96" t="str">
        <f>IF(Z260=1,A260&amp;" | nº "&amp;IF(B260="","(sem número)",B260)&amp;" | "&amp;IF(G260="","(sem unidade)",G260),"")</f>
        <v/>
      </c>
      <c r="BE260" s="96" t="str">
        <f>IF(Z260=1,COUNTIF($Z$6:Z260,1),"")</f>
        <v/>
      </c>
      <c r="BF260" s="96" t="str">
        <f>IF(T260="","",IF(T260="RECEBIMENTO NÃO CONFIRMADO","Transp.: "&amp;H260&amp;" | Dest.: "&amp;I260,IF(OR(T260="CDF NÃO LOCALIZADO",T260="VÍNCULO INCOMPLETO",T260="CDF A CONFERIR"),"Dest.: "&amp;I260,"Gerador: "&amp;G260)))</f>
        <v/>
      </c>
    </row>
    <row r="261">
      <c r="A261" s="89" t="inlineStr">
        <is>
          <t>MTR-000256</t>
        </is>
      </c>
      <c r="B261" s="90" t="n"/>
      <c r="C261" s="91" t="n"/>
      <c r="D261" s="91" t="n"/>
      <c r="E261" s="92" t="n"/>
      <c r="F261" s="92" t="n"/>
      <c r="G261" s="91" t="n"/>
      <c r="H261" s="91" t="n"/>
      <c r="I261" s="91" t="n"/>
      <c r="J261" s="91" t="n"/>
      <c r="K261" s="91" t="n"/>
      <c r="L261" s="92" t="n"/>
      <c r="M261" s="91" t="n"/>
      <c r="N261" s="91" t="n"/>
      <c r="O261" s="91" t="n"/>
      <c r="P261" s="93" t="str">
        <f>IF(Z261=0,"",SUMIFS('ITENS_MTR'!$I$6:$I$1005,'ITENS_MTR'!$S$6:$S$1005,A261,'ITENS_MTR'!$Y$6:$Y$1005,1))</f>
        <v/>
      </c>
      <c r="Q261" s="93" t="str">
        <f>IF(Z261=0,"",SUMIFS('RECEBIMENTOS'!$H$6:$H$1005,'RECEBIMENTOS'!$B$6:$B$1005,A261,'RECEBIMENTOS'!$X$6:$X$1005,1))</f>
        <v/>
      </c>
      <c r="R261" s="93" t="str">
        <f>IF(Z261=0,"",SUMIFS('VÍNCULOS_CDF'!$H$6:$H$1005,'VÍNCULOS_CDF'!$D$6:$D$1005,A261,'VÍNCULOS_CDF'!$V$6:$V$1005,1))</f>
        <v/>
      </c>
      <c r="S261" s="94" t="str">
        <f>IF(Z261=0,"",IF(AA261=1,"Cancelado (informado)",IF(AE261=1,"Cadastro incompleto",IF(OR(AC261=1,AD261=1,AF261&gt;0,AH261&gt;0,AK261&gt;0,AL261&gt;0),"Informação a revisar",IF(AN261=0,"Aguardando recebimento",IF(N(R261)=0,"Aguardando CDF",IF(AJ261&lt;N(W261),"Vínculo de CDF parcial",IF(AO261=0,"CDF localizado, a conferir","Documentação conferida"))))))))</f>
        <v/>
      </c>
      <c r="T261" s="94" t="str">
        <f>IF(Z261=0,"",IF(S261="Cadastro incompleto","MTR INCOMPLETO",IF(S261="Informação a revisar",IF(AND(AH261&gt;0,AC261=0,AD261=0,AF261=0,AK261=0,AL261=0),"QUANTIDADE A REVISAR","IDENTIFICAÇÃO A REVISAR"),IF(S261="Aguardando recebimento","RECEBIMENTO NÃO CONFIRMADO",IF(S261="Aguardando CDF","CDF NÃO LOCALIZADO",IF(S261="Vínculo de CDF parcial","VÍNCULO INCOMPLETO",IF(S261="CDF localizado, a conferir","CDF A CONFERIR","")))))))</f>
        <v/>
      </c>
      <c r="U261" s="95" t="str">
        <f>IF(T261="","",IF(AQ261="","Não calculável",IF(AQ261&gt;TODAY(),"Data futura",TODAY()-AQ261)))</f>
        <v/>
      </c>
      <c r="V261" s="93" t="str">
        <f>IF(Z261=0,"",SUMIFS('RECEBIMENTOS'!$H$6:$H$1005,'RECEBIMENTOS'!$B$6:$B$1005,A261,'RECEBIMENTOS'!$Z$6:$Z$1005,1))</f>
        <v/>
      </c>
      <c r="W261" s="95" t="str">
        <f>IF(Z261=0,"",COUNTIFS('ITENS_MTR'!$S$6:$S$1005,A261,'ITENS_MTR'!$R$6:$R$1005,1))</f>
        <v/>
      </c>
      <c r="X261" s="94" t="str">
        <f>IF(AC261=1,"POSSÍVEL DUPLICIDADE","")</f>
        <v/>
      </c>
      <c r="Y261" s="94" t="str">
        <f>IF(Z261=0,"",IF(AW261="","Nenhuma",LEFT(AW261,LEN(AW261)-2)))</f>
        <v/>
      </c>
      <c r="Z261" s="96">
        <f>IF(COUNTA(B261:O261)&gt;0,1,0)</f>
        <v>0</v>
      </c>
      <c r="AA261" s="96">
        <f>IF(AND(Z261=1,K261&lt;&gt;""),IF(TRIM(K261)=TRIM(cfg_cancel),1,0),0)</f>
        <v>0</v>
      </c>
      <c r="AB261" s="96" t="str">
        <f>IF(AND(Z261=1,B261&lt;&gt;""),C261&amp;"|"&amp;D261&amp;"|"&amp;G261&amp;"|"&amp;TRIM(B261),"")</f>
        <v/>
      </c>
      <c r="AC261" s="96">
        <f>IF(AB261="",0,IF(SUMPRODUCT(--($AB$6:$AB$505=AB261))&gt;1,1,0))</f>
        <v>0</v>
      </c>
      <c r="AD261" s="96">
        <f>IF(Z261=0,0,IF(OR(AND(G261&lt;&gt;"",ISNA(MATCH(G261,'CAD_UNIDADES'!$C$6:$C$105,0))),AND(H261&lt;&gt;"",ISNA(MATCH(H261,cmp_transp,0))),AND(I261&lt;&gt;"",ISNA(MATCH(I261,cmp_dest,0))),AND(E261&lt;&gt;"",NOT(ISNUMBER(E261))),AND(F261&lt;&gt;"",NOT(ISNUMBER(F261))),AND(ISNUMBER(E261),ISNUMBER(F261),F261&lt;E261)),1,0))</f>
        <v>0</v>
      </c>
      <c r="AE261" s="96">
        <f>IF(Z261=0,0,IF(OR(B261="",C261="",E261="",G261="",H261="",I261="",N(W261)=0),1,0))</f>
        <v>0</v>
      </c>
      <c r="AF261" s="96">
        <f>IF(Z261=0,0,COUNTIFS('ITENS_MTR'!$S$6:$S$1005,A261,'ITENS_MTR'!$AI$6:$AI$1005,1))</f>
        <v>0</v>
      </c>
      <c r="AG261" s="96">
        <f>IF(Z261=0,0,COUNTIFS('ITENS_MTR'!$S$6:$S$1005,A261,'ITENS_MTR'!$AJ$6:$AJ$1005,1))</f>
        <v>0</v>
      </c>
      <c r="AH261" s="96">
        <f>IF(Z261=0,0,COUNTIFS('ITENS_MTR'!$S$6:$S$1005,A261,'ITENS_MTR'!$AM$6:$AM$1005,1))</f>
        <v>0</v>
      </c>
      <c r="AI261" s="96">
        <f>IF(Z261=0,0,COUNTIFS('ITENS_MTR'!$S$6:$S$1005,A261,'ITENS_MTR'!$AO$6:$AO$1005,1))</f>
        <v>0</v>
      </c>
      <c r="AJ261" s="96">
        <f>IF(Z261=0,0,COUNTIFS('ITENS_MTR'!$S$6:$S$1005,A261,'ITENS_MTR'!$AN$6:$AN$1005,1))</f>
        <v>0</v>
      </c>
      <c r="AK261" s="96">
        <f>IF(Z261=0,0,COUNTIFS('RECEBIMENTOS'!$B$6:$B$1005,A261,'RECEBIMENTOS'!$Y$6:$Y$1005,1))</f>
        <v>0</v>
      </c>
      <c r="AL261" s="96">
        <f>IF(Z261=0,0,COUNTIFS('VÍNCULOS_CDF'!$D$6:$D$1005,A261,'VÍNCULOS_CDF'!$Y$6:$Y$1005,1))</f>
        <v>0</v>
      </c>
      <c r="AM261" s="96">
        <f>IF(Z261=0,0,COUNTIFS('RECEBIMENTOS'!$B$6:$B$1005,A261,'RECEBIMENTOS'!$Q$6:$Q$1005,1))</f>
        <v>0</v>
      </c>
      <c r="AN261" s="96">
        <f>IF(AND(Z261=1,N(W261)&gt;0,AG261=N(W261)),1,0)</f>
        <v>0</v>
      </c>
      <c r="AO261" s="96">
        <f>IF(AND(Z261=1,N(W261)&gt;0,AI261=N(W261)),1,0)</f>
        <v>0</v>
      </c>
      <c r="AP261" s="97">
        <f>IF(Z261=0,0,_xlfn.MAXIFS('RECEBIMENTOS'!$E$6:$E$1005,'RECEBIMENTOS'!$B$6:$B$1005,A261))</f>
        <v>0</v>
      </c>
      <c r="AQ261" s="97" t="str">
        <f>IF(T261="","",IF(T261="RECEBIMENTO NÃO CONFIRMADO",IF(ISNUMBER(F261),F261,IF(ISNUMBER(E261),E261,"")),IF(OR(T261="CDF NÃO LOCALIZADO",T261="VÍNCULO INCOMPLETO",T261="CDF A CONFERIR"),IF(AP261&gt;0,AP261,IF(ISNUMBER(E261),E261,"")),IF(ISNUMBER(E261),E261,""))))</f>
        <v/>
      </c>
      <c r="AR261" s="96">
        <f>IF(NOT(ISNUMBER(U261)),0,IF(T261="RECEBIMENTO NÃO CONFIRMADO",IF(AND(ISNUMBER(cfg_rec),U261&gt;cfg_rec),1,0),IF(OR(T261="CDF NÃO LOCALIZADO",T261="VÍNCULO INCOMPLETO",T261="CDF A CONFERIR"),IF(AND(ISNUMBER(cfg_cdf),U261&gt;cfg_cdf),1,0),0)))</f>
        <v>0</v>
      </c>
      <c r="AS261" s="96" t="str">
        <f>IF(T261="","",IF(AR261=1,"Alta",IFERROR(INDEX(cfg_pp,MATCH(T261,cfg_pt,0))&amp;"","Média")))</f>
        <v/>
      </c>
      <c r="AT261" s="96" t="str">
        <f>IF(T261="","",IFERROR(INDEX(cfg_pv,MATCH(T261,cfg_pt,0))&amp;"",""))</f>
        <v/>
      </c>
      <c r="AU261" s="96" t="str">
        <f>IF(T261="","",IF(AS261="Alta",1,IF(AS261="Média",2,3))*1000000000+(999999-IF(ISNUMBER(U261),MIN(U261,999999),0))*1000+256)</f>
        <v/>
      </c>
      <c r="AV261" s="96">
        <f>IF(T261&lt;&gt;"",1,0)</f>
        <v>0</v>
      </c>
      <c r="AW261" s="96" t="str">
        <f>IF(Z261=0,"",IF(AA261=1,"Cancelamento informado; ","")&amp;IF(AE261=1,"Campos essenciais ou itens faltando; ","")&amp;IF(AC261=1,"Possível duplicidade do número; ","")&amp;IF(AD261=1,"Cadastro ou datas a revisar; ","")&amp;IF(AF261&gt;0,"Item de resíduo com dado a revisar; ","")&amp;IF(AH261&gt;0,"Diferença de quantidade a analisar; ","")&amp;IF(AK261&gt;0,"Recebimento com alerta; ","")&amp;IF(AL261&gt;0,"Vínculo de CDF com alerta; ","")&amp;IF(AND(AA261=0,AN261=0),"Recebimento não confirmado; ","")&amp;IF(AND(AA261=0,AN261=1,AO261=0),"CDF pendente ou a conferir; ",""))</f>
        <v/>
      </c>
      <c r="AX261" s="96">
        <f>IF(Z261=0,0,IF(AND(OR(f_ini="",AND(ISNUMBER(E261),E261&gt;=f_ini)),OR(f_fim="",AND(ISNUMBER(E261),E261&lt;=f_fim)),OR(f_un="",f_un="(Todas)",G261=f_un),OR(f_tr="",f_tr="(Todos)",H261=f_tr),OR(f_de="",f_de="(Todos)",I261=f_de),OR(f_sit="",f_sit="(Todas)",S261=f_sit)),1,0))</f>
        <v>0</v>
      </c>
      <c r="AY261" s="96">
        <f>IF(AX261=0,0,IF(OR(f_res="",f_res="(Todos)"),1,IF(COUNTIFS('ITENS_MTR'!$S$6:$S$1005,A261,'ITENS_MTR'!$C$6:$C$1005,f_res)&gt;0,1,0)))</f>
        <v>0</v>
      </c>
      <c r="AZ261" s="97" t="str">
        <f>IF(ISNUMBER(E261),DATE(YEAR(E261),MONTH(E261),1),"")</f>
        <v/>
      </c>
      <c r="BA261" s="96">
        <f>IF(Z261=0,0,IF(AND(OR(r_ini="",AND(ISNUMBER(E261),E261&gt;=r_ini)),OR(r_fim="",AND(ISNUMBER(E261),E261&lt;=r_fim)),OR(r_un="",r_un="(Todas)",G261=r_un),OR(r_de="",r_de="(Todos)",I261=r_de)),1,0))</f>
        <v>0</v>
      </c>
      <c r="BB261" s="96" t="str">
        <f>IF(BA261=1,COUNTIF($BA$6:BA261,1),"")</f>
        <v/>
      </c>
      <c r="BC261" s="96" t="str">
        <f>IF(AND(AU261&lt;&gt;"",OR(r_un="",r_un="(Todas)",G261=r_un),OR(r_de="",r_de="(Todos)",I261=r_de)),AU261,"")</f>
        <v/>
      </c>
      <c r="BD261" s="96" t="str">
        <f>IF(Z261=1,A261&amp;" | nº "&amp;IF(B261="","(sem número)",B261)&amp;" | "&amp;IF(G261="","(sem unidade)",G261),"")</f>
        <v/>
      </c>
      <c r="BE261" s="96" t="str">
        <f>IF(Z261=1,COUNTIF($Z$6:Z261,1),"")</f>
        <v/>
      </c>
      <c r="BF261" s="96" t="str">
        <f>IF(T261="","",IF(T261="RECEBIMENTO NÃO CONFIRMADO","Transp.: "&amp;H261&amp;" | Dest.: "&amp;I261,IF(OR(T261="CDF NÃO LOCALIZADO",T261="VÍNCULO INCOMPLETO",T261="CDF A CONFERIR"),"Dest.: "&amp;I261,"Gerador: "&amp;G261)))</f>
        <v/>
      </c>
    </row>
    <row r="262">
      <c r="A262" s="89" t="inlineStr">
        <is>
          <t>MTR-000257</t>
        </is>
      </c>
      <c r="B262" s="90" t="n"/>
      <c r="C262" s="91" t="n"/>
      <c r="D262" s="91" t="n"/>
      <c r="E262" s="92" t="n"/>
      <c r="F262" s="92" t="n"/>
      <c r="G262" s="91" t="n"/>
      <c r="H262" s="91" t="n"/>
      <c r="I262" s="91" t="n"/>
      <c r="J262" s="91" t="n"/>
      <c r="K262" s="91" t="n"/>
      <c r="L262" s="92" t="n"/>
      <c r="M262" s="91" t="n"/>
      <c r="N262" s="91" t="n"/>
      <c r="O262" s="91" t="n"/>
      <c r="P262" s="93" t="str">
        <f>IF(Z262=0,"",SUMIFS('ITENS_MTR'!$I$6:$I$1005,'ITENS_MTR'!$S$6:$S$1005,A262,'ITENS_MTR'!$Y$6:$Y$1005,1))</f>
        <v/>
      </c>
      <c r="Q262" s="93" t="str">
        <f>IF(Z262=0,"",SUMIFS('RECEBIMENTOS'!$H$6:$H$1005,'RECEBIMENTOS'!$B$6:$B$1005,A262,'RECEBIMENTOS'!$X$6:$X$1005,1))</f>
        <v/>
      </c>
      <c r="R262" s="93" t="str">
        <f>IF(Z262=0,"",SUMIFS('VÍNCULOS_CDF'!$H$6:$H$1005,'VÍNCULOS_CDF'!$D$6:$D$1005,A262,'VÍNCULOS_CDF'!$V$6:$V$1005,1))</f>
        <v/>
      </c>
      <c r="S262" s="94" t="str">
        <f>IF(Z262=0,"",IF(AA262=1,"Cancelado (informado)",IF(AE262=1,"Cadastro incompleto",IF(OR(AC262=1,AD262=1,AF262&gt;0,AH262&gt;0,AK262&gt;0,AL262&gt;0),"Informação a revisar",IF(AN262=0,"Aguardando recebimento",IF(N(R262)=0,"Aguardando CDF",IF(AJ262&lt;N(W262),"Vínculo de CDF parcial",IF(AO262=0,"CDF localizado, a conferir","Documentação conferida"))))))))</f>
        <v/>
      </c>
      <c r="T262" s="94" t="str">
        <f>IF(Z262=0,"",IF(S262="Cadastro incompleto","MTR INCOMPLETO",IF(S262="Informação a revisar",IF(AND(AH262&gt;0,AC262=0,AD262=0,AF262=0,AK262=0,AL262=0),"QUANTIDADE A REVISAR","IDENTIFICAÇÃO A REVISAR"),IF(S262="Aguardando recebimento","RECEBIMENTO NÃO CONFIRMADO",IF(S262="Aguardando CDF","CDF NÃO LOCALIZADO",IF(S262="Vínculo de CDF parcial","VÍNCULO INCOMPLETO",IF(S262="CDF localizado, a conferir","CDF A CONFERIR","")))))))</f>
        <v/>
      </c>
      <c r="U262" s="95" t="str">
        <f>IF(T262="","",IF(AQ262="","Não calculável",IF(AQ262&gt;TODAY(),"Data futura",TODAY()-AQ262)))</f>
        <v/>
      </c>
      <c r="V262" s="93" t="str">
        <f>IF(Z262=0,"",SUMIFS('RECEBIMENTOS'!$H$6:$H$1005,'RECEBIMENTOS'!$B$6:$B$1005,A262,'RECEBIMENTOS'!$Z$6:$Z$1005,1))</f>
        <v/>
      </c>
      <c r="W262" s="95" t="str">
        <f>IF(Z262=0,"",COUNTIFS('ITENS_MTR'!$S$6:$S$1005,A262,'ITENS_MTR'!$R$6:$R$1005,1))</f>
        <v/>
      </c>
      <c r="X262" s="94" t="str">
        <f>IF(AC262=1,"POSSÍVEL DUPLICIDADE","")</f>
        <v/>
      </c>
      <c r="Y262" s="94" t="str">
        <f>IF(Z262=0,"",IF(AW262="","Nenhuma",LEFT(AW262,LEN(AW262)-2)))</f>
        <v/>
      </c>
      <c r="Z262" s="96">
        <f>IF(COUNTA(B262:O262)&gt;0,1,0)</f>
        <v>0</v>
      </c>
      <c r="AA262" s="96">
        <f>IF(AND(Z262=1,K262&lt;&gt;""),IF(TRIM(K262)=TRIM(cfg_cancel),1,0),0)</f>
        <v>0</v>
      </c>
      <c r="AB262" s="96" t="str">
        <f>IF(AND(Z262=1,B262&lt;&gt;""),C262&amp;"|"&amp;D262&amp;"|"&amp;G262&amp;"|"&amp;TRIM(B262),"")</f>
        <v/>
      </c>
      <c r="AC262" s="96">
        <f>IF(AB262="",0,IF(SUMPRODUCT(--($AB$6:$AB$505=AB262))&gt;1,1,0))</f>
        <v>0</v>
      </c>
      <c r="AD262" s="96">
        <f>IF(Z262=0,0,IF(OR(AND(G262&lt;&gt;"",ISNA(MATCH(G262,'CAD_UNIDADES'!$C$6:$C$105,0))),AND(H262&lt;&gt;"",ISNA(MATCH(H262,cmp_transp,0))),AND(I262&lt;&gt;"",ISNA(MATCH(I262,cmp_dest,0))),AND(E262&lt;&gt;"",NOT(ISNUMBER(E262))),AND(F262&lt;&gt;"",NOT(ISNUMBER(F262))),AND(ISNUMBER(E262),ISNUMBER(F262),F262&lt;E262)),1,0))</f>
        <v>0</v>
      </c>
      <c r="AE262" s="96">
        <f>IF(Z262=0,0,IF(OR(B262="",C262="",E262="",G262="",H262="",I262="",N(W262)=0),1,0))</f>
        <v>0</v>
      </c>
      <c r="AF262" s="96">
        <f>IF(Z262=0,0,COUNTIFS('ITENS_MTR'!$S$6:$S$1005,A262,'ITENS_MTR'!$AI$6:$AI$1005,1))</f>
        <v>0</v>
      </c>
      <c r="AG262" s="96">
        <f>IF(Z262=0,0,COUNTIFS('ITENS_MTR'!$S$6:$S$1005,A262,'ITENS_MTR'!$AJ$6:$AJ$1005,1))</f>
        <v>0</v>
      </c>
      <c r="AH262" s="96">
        <f>IF(Z262=0,0,COUNTIFS('ITENS_MTR'!$S$6:$S$1005,A262,'ITENS_MTR'!$AM$6:$AM$1005,1))</f>
        <v>0</v>
      </c>
      <c r="AI262" s="96">
        <f>IF(Z262=0,0,COUNTIFS('ITENS_MTR'!$S$6:$S$1005,A262,'ITENS_MTR'!$AO$6:$AO$1005,1))</f>
        <v>0</v>
      </c>
      <c r="AJ262" s="96">
        <f>IF(Z262=0,0,COUNTIFS('ITENS_MTR'!$S$6:$S$1005,A262,'ITENS_MTR'!$AN$6:$AN$1005,1))</f>
        <v>0</v>
      </c>
      <c r="AK262" s="96">
        <f>IF(Z262=0,0,COUNTIFS('RECEBIMENTOS'!$B$6:$B$1005,A262,'RECEBIMENTOS'!$Y$6:$Y$1005,1))</f>
        <v>0</v>
      </c>
      <c r="AL262" s="96">
        <f>IF(Z262=0,0,COUNTIFS('VÍNCULOS_CDF'!$D$6:$D$1005,A262,'VÍNCULOS_CDF'!$Y$6:$Y$1005,1))</f>
        <v>0</v>
      </c>
      <c r="AM262" s="96">
        <f>IF(Z262=0,0,COUNTIFS('RECEBIMENTOS'!$B$6:$B$1005,A262,'RECEBIMENTOS'!$Q$6:$Q$1005,1))</f>
        <v>0</v>
      </c>
      <c r="AN262" s="96">
        <f>IF(AND(Z262=1,N(W262)&gt;0,AG262=N(W262)),1,0)</f>
        <v>0</v>
      </c>
      <c r="AO262" s="96">
        <f>IF(AND(Z262=1,N(W262)&gt;0,AI262=N(W262)),1,0)</f>
        <v>0</v>
      </c>
      <c r="AP262" s="97">
        <f>IF(Z262=0,0,_xlfn.MAXIFS('RECEBIMENTOS'!$E$6:$E$1005,'RECEBIMENTOS'!$B$6:$B$1005,A262))</f>
        <v>0</v>
      </c>
      <c r="AQ262" s="97" t="str">
        <f>IF(T262="","",IF(T262="RECEBIMENTO NÃO CONFIRMADO",IF(ISNUMBER(F262),F262,IF(ISNUMBER(E262),E262,"")),IF(OR(T262="CDF NÃO LOCALIZADO",T262="VÍNCULO INCOMPLETO",T262="CDF A CONFERIR"),IF(AP262&gt;0,AP262,IF(ISNUMBER(E262),E262,"")),IF(ISNUMBER(E262),E262,""))))</f>
        <v/>
      </c>
      <c r="AR262" s="96">
        <f>IF(NOT(ISNUMBER(U262)),0,IF(T262="RECEBIMENTO NÃO CONFIRMADO",IF(AND(ISNUMBER(cfg_rec),U262&gt;cfg_rec),1,0),IF(OR(T262="CDF NÃO LOCALIZADO",T262="VÍNCULO INCOMPLETO",T262="CDF A CONFERIR"),IF(AND(ISNUMBER(cfg_cdf),U262&gt;cfg_cdf),1,0),0)))</f>
        <v>0</v>
      </c>
      <c r="AS262" s="96" t="str">
        <f>IF(T262="","",IF(AR262=1,"Alta",IFERROR(INDEX(cfg_pp,MATCH(T262,cfg_pt,0))&amp;"","Média")))</f>
        <v/>
      </c>
      <c r="AT262" s="96" t="str">
        <f>IF(T262="","",IFERROR(INDEX(cfg_pv,MATCH(T262,cfg_pt,0))&amp;"",""))</f>
        <v/>
      </c>
      <c r="AU262" s="96" t="str">
        <f>IF(T262="","",IF(AS262="Alta",1,IF(AS262="Média",2,3))*1000000000+(999999-IF(ISNUMBER(U262),MIN(U262,999999),0))*1000+257)</f>
        <v/>
      </c>
      <c r="AV262" s="96">
        <f>IF(T262&lt;&gt;"",1,0)</f>
        <v>0</v>
      </c>
      <c r="AW262" s="96" t="str">
        <f>IF(Z262=0,"",IF(AA262=1,"Cancelamento informado; ","")&amp;IF(AE262=1,"Campos essenciais ou itens faltando; ","")&amp;IF(AC262=1,"Possível duplicidade do número; ","")&amp;IF(AD262=1,"Cadastro ou datas a revisar; ","")&amp;IF(AF262&gt;0,"Item de resíduo com dado a revisar; ","")&amp;IF(AH262&gt;0,"Diferença de quantidade a analisar; ","")&amp;IF(AK262&gt;0,"Recebimento com alerta; ","")&amp;IF(AL262&gt;0,"Vínculo de CDF com alerta; ","")&amp;IF(AND(AA262=0,AN262=0),"Recebimento não confirmado; ","")&amp;IF(AND(AA262=0,AN262=1,AO262=0),"CDF pendente ou a conferir; ",""))</f>
        <v/>
      </c>
      <c r="AX262" s="96">
        <f>IF(Z262=0,0,IF(AND(OR(f_ini="",AND(ISNUMBER(E262),E262&gt;=f_ini)),OR(f_fim="",AND(ISNUMBER(E262),E262&lt;=f_fim)),OR(f_un="",f_un="(Todas)",G262=f_un),OR(f_tr="",f_tr="(Todos)",H262=f_tr),OR(f_de="",f_de="(Todos)",I262=f_de),OR(f_sit="",f_sit="(Todas)",S262=f_sit)),1,0))</f>
        <v>0</v>
      </c>
      <c r="AY262" s="96">
        <f>IF(AX262=0,0,IF(OR(f_res="",f_res="(Todos)"),1,IF(COUNTIFS('ITENS_MTR'!$S$6:$S$1005,A262,'ITENS_MTR'!$C$6:$C$1005,f_res)&gt;0,1,0)))</f>
        <v>0</v>
      </c>
      <c r="AZ262" s="97" t="str">
        <f>IF(ISNUMBER(E262),DATE(YEAR(E262),MONTH(E262),1),"")</f>
        <v/>
      </c>
      <c r="BA262" s="96">
        <f>IF(Z262=0,0,IF(AND(OR(r_ini="",AND(ISNUMBER(E262),E262&gt;=r_ini)),OR(r_fim="",AND(ISNUMBER(E262),E262&lt;=r_fim)),OR(r_un="",r_un="(Todas)",G262=r_un),OR(r_de="",r_de="(Todos)",I262=r_de)),1,0))</f>
        <v>0</v>
      </c>
      <c r="BB262" s="96" t="str">
        <f>IF(BA262=1,COUNTIF($BA$6:BA262,1),"")</f>
        <v/>
      </c>
      <c r="BC262" s="96" t="str">
        <f>IF(AND(AU262&lt;&gt;"",OR(r_un="",r_un="(Todas)",G262=r_un),OR(r_de="",r_de="(Todos)",I262=r_de)),AU262,"")</f>
        <v/>
      </c>
      <c r="BD262" s="96" t="str">
        <f>IF(Z262=1,A262&amp;" | nº "&amp;IF(B262="","(sem número)",B262)&amp;" | "&amp;IF(G262="","(sem unidade)",G262),"")</f>
        <v/>
      </c>
      <c r="BE262" s="96" t="str">
        <f>IF(Z262=1,COUNTIF($Z$6:Z262,1),"")</f>
        <v/>
      </c>
      <c r="BF262" s="96" t="str">
        <f>IF(T262="","",IF(T262="RECEBIMENTO NÃO CONFIRMADO","Transp.: "&amp;H262&amp;" | Dest.: "&amp;I262,IF(OR(T262="CDF NÃO LOCALIZADO",T262="VÍNCULO INCOMPLETO",T262="CDF A CONFERIR"),"Dest.: "&amp;I262,"Gerador: "&amp;G262)))</f>
        <v/>
      </c>
    </row>
    <row r="263">
      <c r="A263" s="89" t="inlineStr">
        <is>
          <t>MTR-000258</t>
        </is>
      </c>
      <c r="B263" s="90" t="n"/>
      <c r="C263" s="91" t="n"/>
      <c r="D263" s="91" t="n"/>
      <c r="E263" s="92" t="n"/>
      <c r="F263" s="92" t="n"/>
      <c r="G263" s="91" t="n"/>
      <c r="H263" s="91" t="n"/>
      <c r="I263" s="91" t="n"/>
      <c r="J263" s="91" t="n"/>
      <c r="K263" s="91" t="n"/>
      <c r="L263" s="92" t="n"/>
      <c r="M263" s="91" t="n"/>
      <c r="N263" s="91" t="n"/>
      <c r="O263" s="91" t="n"/>
      <c r="P263" s="93" t="str">
        <f>IF(Z263=0,"",SUMIFS('ITENS_MTR'!$I$6:$I$1005,'ITENS_MTR'!$S$6:$S$1005,A263,'ITENS_MTR'!$Y$6:$Y$1005,1))</f>
        <v/>
      </c>
      <c r="Q263" s="93" t="str">
        <f>IF(Z263=0,"",SUMIFS('RECEBIMENTOS'!$H$6:$H$1005,'RECEBIMENTOS'!$B$6:$B$1005,A263,'RECEBIMENTOS'!$X$6:$X$1005,1))</f>
        <v/>
      </c>
      <c r="R263" s="93" t="str">
        <f>IF(Z263=0,"",SUMIFS('VÍNCULOS_CDF'!$H$6:$H$1005,'VÍNCULOS_CDF'!$D$6:$D$1005,A263,'VÍNCULOS_CDF'!$V$6:$V$1005,1))</f>
        <v/>
      </c>
      <c r="S263" s="94" t="str">
        <f>IF(Z263=0,"",IF(AA263=1,"Cancelado (informado)",IF(AE263=1,"Cadastro incompleto",IF(OR(AC263=1,AD263=1,AF263&gt;0,AH263&gt;0,AK263&gt;0,AL263&gt;0),"Informação a revisar",IF(AN263=0,"Aguardando recebimento",IF(N(R263)=0,"Aguardando CDF",IF(AJ263&lt;N(W263),"Vínculo de CDF parcial",IF(AO263=0,"CDF localizado, a conferir","Documentação conferida"))))))))</f>
        <v/>
      </c>
      <c r="T263" s="94" t="str">
        <f>IF(Z263=0,"",IF(S263="Cadastro incompleto","MTR INCOMPLETO",IF(S263="Informação a revisar",IF(AND(AH263&gt;0,AC263=0,AD263=0,AF263=0,AK263=0,AL263=0),"QUANTIDADE A REVISAR","IDENTIFICAÇÃO A REVISAR"),IF(S263="Aguardando recebimento","RECEBIMENTO NÃO CONFIRMADO",IF(S263="Aguardando CDF","CDF NÃO LOCALIZADO",IF(S263="Vínculo de CDF parcial","VÍNCULO INCOMPLETO",IF(S263="CDF localizado, a conferir","CDF A CONFERIR","")))))))</f>
        <v/>
      </c>
      <c r="U263" s="95" t="str">
        <f>IF(T263="","",IF(AQ263="","Não calculável",IF(AQ263&gt;TODAY(),"Data futura",TODAY()-AQ263)))</f>
        <v/>
      </c>
      <c r="V263" s="93" t="str">
        <f>IF(Z263=0,"",SUMIFS('RECEBIMENTOS'!$H$6:$H$1005,'RECEBIMENTOS'!$B$6:$B$1005,A263,'RECEBIMENTOS'!$Z$6:$Z$1005,1))</f>
        <v/>
      </c>
      <c r="W263" s="95" t="str">
        <f>IF(Z263=0,"",COUNTIFS('ITENS_MTR'!$S$6:$S$1005,A263,'ITENS_MTR'!$R$6:$R$1005,1))</f>
        <v/>
      </c>
      <c r="X263" s="94" t="str">
        <f>IF(AC263=1,"POSSÍVEL DUPLICIDADE","")</f>
        <v/>
      </c>
      <c r="Y263" s="94" t="str">
        <f>IF(Z263=0,"",IF(AW263="","Nenhuma",LEFT(AW263,LEN(AW263)-2)))</f>
        <v/>
      </c>
      <c r="Z263" s="96">
        <f>IF(COUNTA(B263:O263)&gt;0,1,0)</f>
        <v>0</v>
      </c>
      <c r="AA263" s="96">
        <f>IF(AND(Z263=1,K263&lt;&gt;""),IF(TRIM(K263)=TRIM(cfg_cancel),1,0),0)</f>
        <v>0</v>
      </c>
      <c r="AB263" s="96" t="str">
        <f>IF(AND(Z263=1,B263&lt;&gt;""),C263&amp;"|"&amp;D263&amp;"|"&amp;G263&amp;"|"&amp;TRIM(B263),"")</f>
        <v/>
      </c>
      <c r="AC263" s="96">
        <f>IF(AB263="",0,IF(SUMPRODUCT(--($AB$6:$AB$505=AB263))&gt;1,1,0))</f>
        <v>0</v>
      </c>
      <c r="AD263" s="96">
        <f>IF(Z263=0,0,IF(OR(AND(G263&lt;&gt;"",ISNA(MATCH(G263,'CAD_UNIDADES'!$C$6:$C$105,0))),AND(H263&lt;&gt;"",ISNA(MATCH(H263,cmp_transp,0))),AND(I263&lt;&gt;"",ISNA(MATCH(I263,cmp_dest,0))),AND(E263&lt;&gt;"",NOT(ISNUMBER(E263))),AND(F263&lt;&gt;"",NOT(ISNUMBER(F263))),AND(ISNUMBER(E263),ISNUMBER(F263),F263&lt;E263)),1,0))</f>
        <v>0</v>
      </c>
      <c r="AE263" s="96">
        <f>IF(Z263=0,0,IF(OR(B263="",C263="",E263="",G263="",H263="",I263="",N(W263)=0),1,0))</f>
        <v>0</v>
      </c>
      <c r="AF263" s="96">
        <f>IF(Z263=0,0,COUNTIFS('ITENS_MTR'!$S$6:$S$1005,A263,'ITENS_MTR'!$AI$6:$AI$1005,1))</f>
        <v>0</v>
      </c>
      <c r="AG263" s="96">
        <f>IF(Z263=0,0,COUNTIFS('ITENS_MTR'!$S$6:$S$1005,A263,'ITENS_MTR'!$AJ$6:$AJ$1005,1))</f>
        <v>0</v>
      </c>
      <c r="AH263" s="96">
        <f>IF(Z263=0,0,COUNTIFS('ITENS_MTR'!$S$6:$S$1005,A263,'ITENS_MTR'!$AM$6:$AM$1005,1))</f>
        <v>0</v>
      </c>
      <c r="AI263" s="96">
        <f>IF(Z263=0,0,COUNTIFS('ITENS_MTR'!$S$6:$S$1005,A263,'ITENS_MTR'!$AO$6:$AO$1005,1))</f>
        <v>0</v>
      </c>
      <c r="AJ263" s="96">
        <f>IF(Z263=0,0,COUNTIFS('ITENS_MTR'!$S$6:$S$1005,A263,'ITENS_MTR'!$AN$6:$AN$1005,1))</f>
        <v>0</v>
      </c>
      <c r="AK263" s="96">
        <f>IF(Z263=0,0,COUNTIFS('RECEBIMENTOS'!$B$6:$B$1005,A263,'RECEBIMENTOS'!$Y$6:$Y$1005,1))</f>
        <v>0</v>
      </c>
      <c r="AL263" s="96">
        <f>IF(Z263=0,0,COUNTIFS('VÍNCULOS_CDF'!$D$6:$D$1005,A263,'VÍNCULOS_CDF'!$Y$6:$Y$1005,1))</f>
        <v>0</v>
      </c>
      <c r="AM263" s="96">
        <f>IF(Z263=0,0,COUNTIFS('RECEBIMENTOS'!$B$6:$B$1005,A263,'RECEBIMENTOS'!$Q$6:$Q$1005,1))</f>
        <v>0</v>
      </c>
      <c r="AN263" s="96">
        <f>IF(AND(Z263=1,N(W263)&gt;0,AG263=N(W263)),1,0)</f>
        <v>0</v>
      </c>
      <c r="AO263" s="96">
        <f>IF(AND(Z263=1,N(W263)&gt;0,AI263=N(W263)),1,0)</f>
        <v>0</v>
      </c>
      <c r="AP263" s="97">
        <f>IF(Z263=0,0,_xlfn.MAXIFS('RECEBIMENTOS'!$E$6:$E$1005,'RECEBIMENTOS'!$B$6:$B$1005,A263))</f>
        <v>0</v>
      </c>
      <c r="AQ263" s="97" t="str">
        <f>IF(T263="","",IF(T263="RECEBIMENTO NÃO CONFIRMADO",IF(ISNUMBER(F263),F263,IF(ISNUMBER(E263),E263,"")),IF(OR(T263="CDF NÃO LOCALIZADO",T263="VÍNCULO INCOMPLETO",T263="CDF A CONFERIR"),IF(AP263&gt;0,AP263,IF(ISNUMBER(E263),E263,"")),IF(ISNUMBER(E263),E263,""))))</f>
        <v/>
      </c>
      <c r="AR263" s="96">
        <f>IF(NOT(ISNUMBER(U263)),0,IF(T263="RECEBIMENTO NÃO CONFIRMADO",IF(AND(ISNUMBER(cfg_rec),U263&gt;cfg_rec),1,0),IF(OR(T263="CDF NÃO LOCALIZADO",T263="VÍNCULO INCOMPLETO",T263="CDF A CONFERIR"),IF(AND(ISNUMBER(cfg_cdf),U263&gt;cfg_cdf),1,0),0)))</f>
        <v>0</v>
      </c>
      <c r="AS263" s="96" t="str">
        <f>IF(T263="","",IF(AR263=1,"Alta",IFERROR(INDEX(cfg_pp,MATCH(T263,cfg_pt,0))&amp;"","Média")))</f>
        <v/>
      </c>
      <c r="AT263" s="96" t="str">
        <f>IF(T263="","",IFERROR(INDEX(cfg_pv,MATCH(T263,cfg_pt,0))&amp;"",""))</f>
        <v/>
      </c>
      <c r="AU263" s="96" t="str">
        <f>IF(T263="","",IF(AS263="Alta",1,IF(AS263="Média",2,3))*1000000000+(999999-IF(ISNUMBER(U263),MIN(U263,999999),0))*1000+258)</f>
        <v/>
      </c>
      <c r="AV263" s="96">
        <f>IF(T263&lt;&gt;"",1,0)</f>
        <v>0</v>
      </c>
      <c r="AW263" s="96" t="str">
        <f>IF(Z263=0,"",IF(AA263=1,"Cancelamento informado; ","")&amp;IF(AE263=1,"Campos essenciais ou itens faltando; ","")&amp;IF(AC263=1,"Possível duplicidade do número; ","")&amp;IF(AD263=1,"Cadastro ou datas a revisar; ","")&amp;IF(AF263&gt;0,"Item de resíduo com dado a revisar; ","")&amp;IF(AH263&gt;0,"Diferença de quantidade a analisar; ","")&amp;IF(AK263&gt;0,"Recebimento com alerta; ","")&amp;IF(AL263&gt;0,"Vínculo de CDF com alerta; ","")&amp;IF(AND(AA263=0,AN263=0),"Recebimento não confirmado; ","")&amp;IF(AND(AA263=0,AN263=1,AO263=0),"CDF pendente ou a conferir; ",""))</f>
        <v/>
      </c>
      <c r="AX263" s="96">
        <f>IF(Z263=0,0,IF(AND(OR(f_ini="",AND(ISNUMBER(E263),E263&gt;=f_ini)),OR(f_fim="",AND(ISNUMBER(E263),E263&lt;=f_fim)),OR(f_un="",f_un="(Todas)",G263=f_un),OR(f_tr="",f_tr="(Todos)",H263=f_tr),OR(f_de="",f_de="(Todos)",I263=f_de),OR(f_sit="",f_sit="(Todas)",S263=f_sit)),1,0))</f>
        <v>0</v>
      </c>
      <c r="AY263" s="96">
        <f>IF(AX263=0,0,IF(OR(f_res="",f_res="(Todos)"),1,IF(COUNTIFS('ITENS_MTR'!$S$6:$S$1005,A263,'ITENS_MTR'!$C$6:$C$1005,f_res)&gt;0,1,0)))</f>
        <v>0</v>
      </c>
      <c r="AZ263" s="97" t="str">
        <f>IF(ISNUMBER(E263),DATE(YEAR(E263),MONTH(E263),1),"")</f>
        <v/>
      </c>
      <c r="BA263" s="96">
        <f>IF(Z263=0,0,IF(AND(OR(r_ini="",AND(ISNUMBER(E263),E263&gt;=r_ini)),OR(r_fim="",AND(ISNUMBER(E263),E263&lt;=r_fim)),OR(r_un="",r_un="(Todas)",G263=r_un),OR(r_de="",r_de="(Todos)",I263=r_de)),1,0))</f>
        <v>0</v>
      </c>
      <c r="BB263" s="96" t="str">
        <f>IF(BA263=1,COUNTIF($BA$6:BA263,1),"")</f>
        <v/>
      </c>
      <c r="BC263" s="96" t="str">
        <f>IF(AND(AU263&lt;&gt;"",OR(r_un="",r_un="(Todas)",G263=r_un),OR(r_de="",r_de="(Todos)",I263=r_de)),AU263,"")</f>
        <v/>
      </c>
      <c r="BD263" s="96" t="str">
        <f>IF(Z263=1,A263&amp;" | nº "&amp;IF(B263="","(sem número)",B263)&amp;" | "&amp;IF(G263="","(sem unidade)",G263),"")</f>
        <v/>
      </c>
      <c r="BE263" s="96" t="str">
        <f>IF(Z263=1,COUNTIF($Z$6:Z263,1),"")</f>
        <v/>
      </c>
      <c r="BF263" s="96" t="str">
        <f>IF(T263="","",IF(T263="RECEBIMENTO NÃO CONFIRMADO","Transp.: "&amp;H263&amp;" | Dest.: "&amp;I263,IF(OR(T263="CDF NÃO LOCALIZADO",T263="VÍNCULO INCOMPLETO",T263="CDF A CONFERIR"),"Dest.: "&amp;I263,"Gerador: "&amp;G263)))</f>
        <v/>
      </c>
    </row>
    <row r="264">
      <c r="A264" s="89" t="inlineStr">
        <is>
          <t>MTR-000259</t>
        </is>
      </c>
      <c r="B264" s="90" t="n"/>
      <c r="C264" s="91" t="n"/>
      <c r="D264" s="91" t="n"/>
      <c r="E264" s="92" t="n"/>
      <c r="F264" s="92" t="n"/>
      <c r="G264" s="91" t="n"/>
      <c r="H264" s="91" t="n"/>
      <c r="I264" s="91" t="n"/>
      <c r="J264" s="91" t="n"/>
      <c r="K264" s="91" t="n"/>
      <c r="L264" s="92" t="n"/>
      <c r="M264" s="91" t="n"/>
      <c r="N264" s="91" t="n"/>
      <c r="O264" s="91" t="n"/>
      <c r="P264" s="93" t="str">
        <f>IF(Z264=0,"",SUMIFS('ITENS_MTR'!$I$6:$I$1005,'ITENS_MTR'!$S$6:$S$1005,A264,'ITENS_MTR'!$Y$6:$Y$1005,1))</f>
        <v/>
      </c>
      <c r="Q264" s="93" t="str">
        <f>IF(Z264=0,"",SUMIFS('RECEBIMENTOS'!$H$6:$H$1005,'RECEBIMENTOS'!$B$6:$B$1005,A264,'RECEBIMENTOS'!$X$6:$X$1005,1))</f>
        <v/>
      </c>
      <c r="R264" s="93" t="str">
        <f>IF(Z264=0,"",SUMIFS('VÍNCULOS_CDF'!$H$6:$H$1005,'VÍNCULOS_CDF'!$D$6:$D$1005,A264,'VÍNCULOS_CDF'!$V$6:$V$1005,1))</f>
        <v/>
      </c>
      <c r="S264" s="94" t="str">
        <f>IF(Z264=0,"",IF(AA264=1,"Cancelado (informado)",IF(AE264=1,"Cadastro incompleto",IF(OR(AC264=1,AD264=1,AF264&gt;0,AH264&gt;0,AK264&gt;0,AL264&gt;0),"Informação a revisar",IF(AN264=0,"Aguardando recebimento",IF(N(R264)=0,"Aguardando CDF",IF(AJ264&lt;N(W264),"Vínculo de CDF parcial",IF(AO264=0,"CDF localizado, a conferir","Documentação conferida"))))))))</f>
        <v/>
      </c>
      <c r="T264" s="94" t="str">
        <f>IF(Z264=0,"",IF(S264="Cadastro incompleto","MTR INCOMPLETO",IF(S264="Informação a revisar",IF(AND(AH264&gt;0,AC264=0,AD264=0,AF264=0,AK264=0,AL264=0),"QUANTIDADE A REVISAR","IDENTIFICAÇÃO A REVISAR"),IF(S264="Aguardando recebimento","RECEBIMENTO NÃO CONFIRMADO",IF(S264="Aguardando CDF","CDF NÃO LOCALIZADO",IF(S264="Vínculo de CDF parcial","VÍNCULO INCOMPLETO",IF(S264="CDF localizado, a conferir","CDF A CONFERIR","")))))))</f>
        <v/>
      </c>
      <c r="U264" s="95" t="str">
        <f>IF(T264="","",IF(AQ264="","Não calculável",IF(AQ264&gt;TODAY(),"Data futura",TODAY()-AQ264)))</f>
        <v/>
      </c>
      <c r="V264" s="93" t="str">
        <f>IF(Z264=0,"",SUMIFS('RECEBIMENTOS'!$H$6:$H$1005,'RECEBIMENTOS'!$B$6:$B$1005,A264,'RECEBIMENTOS'!$Z$6:$Z$1005,1))</f>
        <v/>
      </c>
      <c r="W264" s="95" t="str">
        <f>IF(Z264=0,"",COUNTIFS('ITENS_MTR'!$S$6:$S$1005,A264,'ITENS_MTR'!$R$6:$R$1005,1))</f>
        <v/>
      </c>
      <c r="X264" s="94" t="str">
        <f>IF(AC264=1,"POSSÍVEL DUPLICIDADE","")</f>
        <v/>
      </c>
      <c r="Y264" s="94" t="str">
        <f>IF(Z264=0,"",IF(AW264="","Nenhuma",LEFT(AW264,LEN(AW264)-2)))</f>
        <v/>
      </c>
      <c r="Z264" s="96">
        <f>IF(COUNTA(B264:O264)&gt;0,1,0)</f>
        <v>0</v>
      </c>
      <c r="AA264" s="96">
        <f>IF(AND(Z264=1,K264&lt;&gt;""),IF(TRIM(K264)=TRIM(cfg_cancel),1,0),0)</f>
        <v>0</v>
      </c>
      <c r="AB264" s="96" t="str">
        <f>IF(AND(Z264=1,B264&lt;&gt;""),C264&amp;"|"&amp;D264&amp;"|"&amp;G264&amp;"|"&amp;TRIM(B264),"")</f>
        <v/>
      </c>
      <c r="AC264" s="96">
        <f>IF(AB264="",0,IF(SUMPRODUCT(--($AB$6:$AB$505=AB264))&gt;1,1,0))</f>
        <v>0</v>
      </c>
      <c r="AD264" s="96">
        <f>IF(Z264=0,0,IF(OR(AND(G264&lt;&gt;"",ISNA(MATCH(G264,'CAD_UNIDADES'!$C$6:$C$105,0))),AND(H264&lt;&gt;"",ISNA(MATCH(H264,cmp_transp,0))),AND(I264&lt;&gt;"",ISNA(MATCH(I264,cmp_dest,0))),AND(E264&lt;&gt;"",NOT(ISNUMBER(E264))),AND(F264&lt;&gt;"",NOT(ISNUMBER(F264))),AND(ISNUMBER(E264),ISNUMBER(F264),F264&lt;E264)),1,0))</f>
        <v>0</v>
      </c>
      <c r="AE264" s="96">
        <f>IF(Z264=0,0,IF(OR(B264="",C264="",E264="",G264="",H264="",I264="",N(W264)=0),1,0))</f>
        <v>0</v>
      </c>
      <c r="AF264" s="96">
        <f>IF(Z264=0,0,COUNTIFS('ITENS_MTR'!$S$6:$S$1005,A264,'ITENS_MTR'!$AI$6:$AI$1005,1))</f>
        <v>0</v>
      </c>
      <c r="AG264" s="96">
        <f>IF(Z264=0,0,COUNTIFS('ITENS_MTR'!$S$6:$S$1005,A264,'ITENS_MTR'!$AJ$6:$AJ$1005,1))</f>
        <v>0</v>
      </c>
      <c r="AH264" s="96">
        <f>IF(Z264=0,0,COUNTIFS('ITENS_MTR'!$S$6:$S$1005,A264,'ITENS_MTR'!$AM$6:$AM$1005,1))</f>
        <v>0</v>
      </c>
      <c r="AI264" s="96">
        <f>IF(Z264=0,0,COUNTIFS('ITENS_MTR'!$S$6:$S$1005,A264,'ITENS_MTR'!$AO$6:$AO$1005,1))</f>
        <v>0</v>
      </c>
      <c r="AJ264" s="96">
        <f>IF(Z264=0,0,COUNTIFS('ITENS_MTR'!$S$6:$S$1005,A264,'ITENS_MTR'!$AN$6:$AN$1005,1))</f>
        <v>0</v>
      </c>
      <c r="AK264" s="96">
        <f>IF(Z264=0,0,COUNTIFS('RECEBIMENTOS'!$B$6:$B$1005,A264,'RECEBIMENTOS'!$Y$6:$Y$1005,1))</f>
        <v>0</v>
      </c>
      <c r="AL264" s="96">
        <f>IF(Z264=0,0,COUNTIFS('VÍNCULOS_CDF'!$D$6:$D$1005,A264,'VÍNCULOS_CDF'!$Y$6:$Y$1005,1))</f>
        <v>0</v>
      </c>
      <c r="AM264" s="96">
        <f>IF(Z264=0,0,COUNTIFS('RECEBIMENTOS'!$B$6:$B$1005,A264,'RECEBIMENTOS'!$Q$6:$Q$1005,1))</f>
        <v>0</v>
      </c>
      <c r="AN264" s="96">
        <f>IF(AND(Z264=1,N(W264)&gt;0,AG264=N(W264)),1,0)</f>
        <v>0</v>
      </c>
      <c r="AO264" s="96">
        <f>IF(AND(Z264=1,N(W264)&gt;0,AI264=N(W264)),1,0)</f>
        <v>0</v>
      </c>
      <c r="AP264" s="97">
        <f>IF(Z264=0,0,_xlfn.MAXIFS('RECEBIMENTOS'!$E$6:$E$1005,'RECEBIMENTOS'!$B$6:$B$1005,A264))</f>
        <v>0</v>
      </c>
      <c r="AQ264" s="97" t="str">
        <f>IF(T264="","",IF(T264="RECEBIMENTO NÃO CONFIRMADO",IF(ISNUMBER(F264),F264,IF(ISNUMBER(E264),E264,"")),IF(OR(T264="CDF NÃO LOCALIZADO",T264="VÍNCULO INCOMPLETO",T264="CDF A CONFERIR"),IF(AP264&gt;0,AP264,IF(ISNUMBER(E264),E264,"")),IF(ISNUMBER(E264),E264,""))))</f>
        <v/>
      </c>
      <c r="AR264" s="96">
        <f>IF(NOT(ISNUMBER(U264)),0,IF(T264="RECEBIMENTO NÃO CONFIRMADO",IF(AND(ISNUMBER(cfg_rec),U264&gt;cfg_rec),1,0),IF(OR(T264="CDF NÃO LOCALIZADO",T264="VÍNCULO INCOMPLETO",T264="CDF A CONFERIR"),IF(AND(ISNUMBER(cfg_cdf),U264&gt;cfg_cdf),1,0),0)))</f>
        <v>0</v>
      </c>
      <c r="AS264" s="96" t="str">
        <f>IF(T264="","",IF(AR264=1,"Alta",IFERROR(INDEX(cfg_pp,MATCH(T264,cfg_pt,0))&amp;"","Média")))</f>
        <v/>
      </c>
      <c r="AT264" s="96" t="str">
        <f>IF(T264="","",IFERROR(INDEX(cfg_pv,MATCH(T264,cfg_pt,0))&amp;"",""))</f>
        <v/>
      </c>
      <c r="AU264" s="96" t="str">
        <f>IF(T264="","",IF(AS264="Alta",1,IF(AS264="Média",2,3))*1000000000+(999999-IF(ISNUMBER(U264),MIN(U264,999999),0))*1000+259)</f>
        <v/>
      </c>
      <c r="AV264" s="96">
        <f>IF(T264&lt;&gt;"",1,0)</f>
        <v>0</v>
      </c>
      <c r="AW264" s="96" t="str">
        <f>IF(Z264=0,"",IF(AA264=1,"Cancelamento informado; ","")&amp;IF(AE264=1,"Campos essenciais ou itens faltando; ","")&amp;IF(AC264=1,"Possível duplicidade do número; ","")&amp;IF(AD264=1,"Cadastro ou datas a revisar; ","")&amp;IF(AF264&gt;0,"Item de resíduo com dado a revisar; ","")&amp;IF(AH264&gt;0,"Diferença de quantidade a analisar; ","")&amp;IF(AK264&gt;0,"Recebimento com alerta; ","")&amp;IF(AL264&gt;0,"Vínculo de CDF com alerta; ","")&amp;IF(AND(AA264=0,AN264=0),"Recebimento não confirmado; ","")&amp;IF(AND(AA264=0,AN264=1,AO264=0),"CDF pendente ou a conferir; ",""))</f>
        <v/>
      </c>
      <c r="AX264" s="96">
        <f>IF(Z264=0,0,IF(AND(OR(f_ini="",AND(ISNUMBER(E264),E264&gt;=f_ini)),OR(f_fim="",AND(ISNUMBER(E264),E264&lt;=f_fim)),OR(f_un="",f_un="(Todas)",G264=f_un),OR(f_tr="",f_tr="(Todos)",H264=f_tr),OR(f_de="",f_de="(Todos)",I264=f_de),OR(f_sit="",f_sit="(Todas)",S264=f_sit)),1,0))</f>
        <v>0</v>
      </c>
      <c r="AY264" s="96">
        <f>IF(AX264=0,0,IF(OR(f_res="",f_res="(Todos)"),1,IF(COUNTIFS('ITENS_MTR'!$S$6:$S$1005,A264,'ITENS_MTR'!$C$6:$C$1005,f_res)&gt;0,1,0)))</f>
        <v>0</v>
      </c>
      <c r="AZ264" s="97" t="str">
        <f>IF(ISNUMBER(E264),DATE(YEAR(E264),MONTH(E264),1),"")</f>
        <v/>
      </c>
      <c r="BA264" s="96">
        <f>IF(Z264=0,0,IF(AND(OR(r_ini="",AND(ISNUMBER(E264),E264&gt;=r_ini)),OR(r_fim="",AND(ISNUMBER(E264),E264&lt;=r_fim)),OR(r_un="",r_un="(Todas)",G264=r_un),OR(r_de="",r_de="(Todos)",I264=r_de)),1,0))</f>
        <v>0</v>
      </c>
      <c r="BB264" s="96" t="str">
        <f>IF(BA264=1,COUNTIF($BA$6:BA264,1),"")</f>
        <v/>
      </c>
      <c r="BC264" s="96" t="str">
        <f>IF(AND(AU264&lt;&gt;"",OR(r_un="",r_un="(Todas)",G264=r_un),OR(r_de="",r_de="(Todos)",I264=r_de)),AU264,"")</f>
        <v/>
      </c>
      <c r="BD264" s="96" t="str">
        <f>IF(Z264=1,A264&amp;" | nº "&amp;IF(B264="","(sem número)",B264)&amp;" | "&amp;IF(G264="","(sem unidade)",G264),"")</f>
        <v/>
      </c>
      <c r="BE264" s="96" t="str">
        <f>IF(Z264=1,COUNTIF($Z$6:Z264,1),"")</f>
        <v/>
      </c>
      <c r="BF264" s="96" t="str">
        <f>IF(T264="","",IF(T264="RECEBIMENTO NÃO CONFIRMADO","Transp.: "&amp;H264&amp;" | Dest.: "&amp;I264,IF(OR(T264="CDF NÃO LOCALIZADO",T264="VÍNCULO INCOMPLETO",T264="CDF A CONFERIR"),"Dest.: "&amp;I264,"Gerador: "&amp;G264)))</f>
        <v/>
      </c>
    </row>
    <row r="265">
      <c r="A265" s="89" t="inlineStr">
        <is>
          <t>MTR-000260</t>
        </is>
      </c>
      <c r="B265" s="90" t="n"/>
      <c r="C265" s="91" t="n"/>
      <c r="D265" s="91" t="n"/>
      <c r="E265" s="92" t="n"/>
      <c r="F265" s="92" t="n"/>
      <c r="G265" s="91" t="n"/>
      <c r="H265" s="91" t="n"/>
      <c r="I265" s="91" t="n"/>
      <c r="J265" s="91" t="n"/>
      <c r="K265" s="91" t="n"/>
      <c r="L265" s="92" t="n"/>
      <c r="M265" s="91" t="n"/>
      <c r="N265" s="91" t="n"/>
      <c r="O265" s="91" t="n"/>
      <c r="P265" s="93" t="str">
        <f>IF(Z265=0,"",SUMIFS('ITENS_MTR'!$I$6:$I$1005,'ITENS_MTR'!$S$6:$S$1005,A265,'ITENS_MTR'!$Y$6:$Y$1005,1))</f>
        <v/>
      </c>
      <c r="Q265" s="93" t="str">
        <f>IF(Z265=0,"",SUMIFS('RECEBIMENTOS'!$H$6:$H$1005,'RECEBIMENTOS'!$B$6:$B$1005,A265,'RECEBIMENTOS'!$X$6:$X$1005,1))</f>
        <v/>
      </c>
      <c r="R265" s="93" t="str">
        <f>IF(Z265=0,"",SUMIFS('VÍNCULOS_CDF'!$H$6:$H$1005,'VÍNCULOS_CDF'!$D$6:$D$1005,A265,'VÍNCULOS_CDF'!$V$6:$V$1005,1))</f>
        <v/>
      </c>
      <c r="S265" s="94" t="str">
        <f>IF(Z265=0,"",IF(AA265=1,"Cancelado (informado)",IF(AE265=1,"Cadastro incompleto",IF(OR(AC265=1,AD265=1,AF265&gt;0,AH265&gt;0,AK265&gt;0,AL265&gt;0),"Informação a revisar",IF(AN265=0,"Aguardando recebimento",IF(N(R265)=0,"Aguardando CDF",IF(AJ265&lt;N(W265),"Vínculo de CDF parcial",IF(AO265=0,"CDF localizado, a conferir","Documentação conferida"))))))))</f>
        <v/>
      </c>
      <c r="T265" s="94" t="str">
        <f>IF(Z265=0,"",IF(S265="Cadastro incompleto","MTR INCOMPLETO",IF(S265="Informação a revisar",IF(AND(AH265&gt;0,AC265=0,AD265=0,AF265=0,AK265=0,AL265=0),"QUANTIDADE A REVISAR","IDENTIFICAÇÃO A REVISAR"),IF(S265="Aguardando recebimento","RECEBIMENTO NÃO CONFIRMADO",IF(S265="Aguardando CDF","CDF NÃO LOCALIZADO",IF(S265="Vínculo de CDF parcial","VÍNCULO INCOMPLETO",IF(S265="CDF localizado, a conferir","CDF A CONFERIR","")))))))</f>
        <v/>
      </c>
      <c r="U265" s="95" t="str">
        <f>IF(T265="","",IF(AQ265="","Não calculável",IF(AQ265&gt;TODAY(),"Data futura",TODAY()-AQ265)))</f>
        <v/>
      </c>
      <c r="V265" s="93" t="str">
        <f>IF(Z265=0,"",SUMIFS('RECEBIMENTOS'!$H$6:$H$1005,'RECEBIMENTOS'!$B$6:$B$1005,A265,'RECEBIMENTOS'!$Z$6:$Z$1005,1))</f>
        <v/>
      </c>
      <c r="W265" s="95" t="str">
        <f>IF(Z265=0,"",COUNTIFS('ITENS_MTR'!$S$6:$S$1005,A265,'ITENS_MTR'!$R$6:$R$1005,1))</f>
        <v/>
      </c>
      <c r="X265" s="94" t="str">
        <f>IF(AC265=1,"POSSÍVEL DUPLICIDADE","")</f>
        <v/>
      </c>
      <c r="Y265" s="94" t="str">
        <f>IF(Z265=0,"",IF(AW265="","Nenhuma",LEFT(AW265,LEN(AW265)-2)))</f>
        <v/>
      </c>
      <c r="Z265" s="96">
        <f>IF(COUNTA(B265:O265)&gt;0,1,0)</f>
        <v>0</v>
      </c>
      <c r="AA265" s="96">
        <f>IF(AND(Z265=1,K265&lt;&gt;""),IF(TRIM(K265)=TRIM(cfg_cancel),1,0),0)</f>
        <v>0</v>
      </c>
      <c r="AB265" s="96" t="str">
        <f>IF(AND(Z265=1,B265&lt;&gt;""),C265&amp;"|"&amp;D265&amp;"|"&amp;G265&amp;"|"&amp;TRIM(B265),"")</f>
        <v/>
      </c>
      <c r="AC265" s="96">
        <f>IF(AB265="",0,IF(SUMPRODUCT(--($AB$6:$AB$505=AB265))&gt;1,1,0))</f>
        <v>0</v>
      </c>
      <c r="AD265" s="96">
        <f>IF(Z265=0,0,IF(OR(AND(G265&lt;&gt;"",ISNA(MATCH(G265,'CAD_UNIDADES'!$C$6:$C$105,0))),AND(H265&lt;&gt;"",ISNA(MATCH(H265,cmp_transp,0))),AND(I265&lt;&gt;"",ISNA(MATCH(I265,cmp_dest,0))),AND(E265&lt;&gt;"",NOT(ISNUMBER(E265))),AND(F265&lt;&gt;"",NOT(ISNUMBER(F265))),AND(ISNUMBER(E265),ISNUMBER(F265),F265&lt;E265)),1,0))</f>
        <v>0</v>
      </c>
      <c r="AE265" s="96">
        <f>IF(Z265=0,0,IF(OR(B265="",C265="",E265="",G265="",H265="",I265="",N(W265)=0),1,0))</f>
        <v>0</v>
      </c>
      <c r="AF265" s="96">
        <f>IF(Z265=0,0,COUNTIFS('ITENS_MTR'!$S$6:$S$1005,A265,'ITENS_MTR'!$AI$6:$AI$1005,1))</f>
        <v>0</v>
      </c>
      <c r="AG265" s="96">
        <f>IF(Z265=0,0,COUNTIFS('ITENS_MTR'!$S$6:$S$1005,A265,'ITENS_MTR'!$AJ$6:$AJ$1005,1))</f>
        <v>0</v>
      </c>
      <c r="AH265" s="96">
        <f>IF(Z265=0,0,COUNTIFS('ITENS_MTR'!$S$6:$S$1005,A265,'ITENS_MTR'!$AM$6:$AM$1005,1))</f>
        <v>0</v>
      </c>
      <c r="AI265" s="96">
        <f>IF(Z265=0,0,COUNTIFS('ITENS_MTR'!$S$6:$S$1005,A265,'ITENS_MTR'!$AO$6:$AO$1005,1))</f>
        <v>0</v>
      </c>
      <c r="AJ265" s="96">
        <f>IF(Z265=0,0,COUNTIFS('ITENS_MTR'!$S$6:$S$1005,A265,'ITENS_MTR'!$AN$6:$AN$1005,1))</f>
        <v>0</v>
      </c>
      <c r="AK265" s="96">
        <f>IF(Z265=0,0,COUNTIFS('RECEBIMENTOS'!$B$6:$B$1005,A265,'RECEBIMENTOS'!$Y$6:$Y$1005,1))</f>
        <v>0</v>
      </c>
      <c r="AL265" s="96">
        <f>IF(Z265=0,0,COUNTIFS('VÍNCULOS_CDF'!$D$6:$D$1005,A265,'VÍNCULOS_CDF'!$Y$6:$Y$1005,1))</f>
        <v>0</v>
      </c>
      <c r="AM265" s="96">
        <f>IF(Z265=0,0,COUNTIFS('RECEBIMENTOS'!$B$6:$B$1005,A265,'RECEBIMENTOS'!$Q$6:$Q$1005,1))</f>
        <v>0</v>
      </c>
      <c r="AN265" s="96">
        <f>IF(AND(Z265=1,N(W265)&gt;0,AG265=N(W265)),1,0)</f>
        <v>0</v>
      </c>
      <c r="AO265" s="96">
        <f>IF(AND(Z265=1,N(W265)&gt;0,AI265=N(W265)),1,0)</f>
        <v>0</v>
      </c>
      <c r="AP265" s="97">
        <f>IF(Z265=0,0,_xlfn.MAXIFS('RECEBIMENTOS'!$E$6:$E$1005,'RECEBIMENTOS'!$B$6:$B$1005,A265))</f>
        <v>0</v>
      </c>
      <c r="AQ265" s="97" t="str">
        <f>IF(T265="","",IF(T265="RECEBIMENTO NÃO CONFIRMADO",IF(ISNUMBER(F265),F265,IF(ISNUMBER(E265),E265,"")),IF(OR(T265="CDF NÃO LOCALIZADO",T265="VÍNCULO INCOMPLETO",T265="CDF A CONFERIR"),IF(AP265&gt;0,AP265,IF(ISNUMBER(E265),E265,"")),IF(ISNUMBER(E265),E265,""))))</f>
        <v/>
      </c>
      <c r="AR265" s="96">
        <f>IF(NOT(ISNUMBER(U265)),0,IF(T265="RECEBIMENTO NÃO CONFIRMADO",IF(AND(ISNUMBER(cfg_rec),U265&gt;cfg_rec),1,0),IF(OR(T265="CDF NÃO LOCALIZADO",T265="VÍNCULO INCOMPLETO",T265="CDF A CONFERIR"),IF(AND(ISNUMBER(cfg_cdf),U265&gt;cfg_cdf),1,0),0)))</f>
        <v>0</v>
      </c>
      <c r="AS265" s="96" t="str">
        <f>IF(T265="","",IF(AR265=1,"Alta",IFERROR(INDEX(cfg_pp,MATCH(T265,cfg_pt,0))&amp;"","Média")))</f>
        <v/>
      </c>
      <c r="AT265" s="96" t="str">
        <f>IF(T265="","",IFERROR(INDEX(cfg_pv,MATCH(T265,cfg_pt,0))&amp;"",""))</f>
        <v/>
      </c>
      <c r="AU265" s="96" t="str">
        <f>IF(T265="","",IF(AS265="Alta",1,IF(AS265="Média",2,3))*1000000000+(999999-IF(ISNUMBER(U265),MIN(U265,999999),0))*1000+260)</f>
        <v/>
      </c>
      <c r="AV265" s="96">
        <f>IF(T265&lt;&gt;"",1,0)</f>
        <v>0</v>
      </c>
      <c r="AW265" s="96" t="str">
        <f>IF(Z265=0,"",IF(AA265=1,"Cancelamento informado; ","")&amp;IF(AE265=1,"Campos essenciais ou itens faltando; ","")&amp;IF(AC265=1,"Possível duplicidade do número; ","")&amp;IF(AD265=1,"Cadastro ou datas a revisar; ","")&amp;IF(AF265&gt;0,"Item de resíduo com dado a revisar; ","")&amp;IF(AH265&gt;0,"Diferença de quantidade a analisar; ","")&amp;IF(AK265&gt;0,"Recebimento com alerta; ","")&amp;IF(AL265&gt;0,"Vínculo de CDF com alerta; ","")&amp;IF(AND(AA265=0,AN265=0),"Recebimento não confirmado; ","")&amp;IF(AND(AA265=0,AN265=1,AO265=0),"CDF pendente ou a conferir; ",""))</f>
        <v/>
      </c>
      <c r="AX265" s="96">
        <f>IF(Z265=0,0,IF(AND(OR(f_ini="",AND(ISNUMBER(E265),E265&gt;=f_ini)),OR(f_fim="",AND(ISNUMBER(E265),E265&lt;=f_fim)),OR(f_un="",f_un="(Todas)",G265=f_un),OR(f_tr="",f_tr="(Todos)",H265=f_tr),OR(f_de="",f_de="(Todos)",I265=f_de),OR(f_sit="",f_sit="(Todas)",S265=f_sit)),1,0))</f>
        <v>0</v>
      </c>
      <c r="AY265" s="96">
        <f>IF(AX265=0,0,IF(OR(f_res="",f_res="(Todos)"),1,IF(COUNTIFS('ITENS_MTR'!$S$6:$S$1005,A265,'ITENS_MTR'!$C$6:$C$1005,f_res)&gt;0,1,0)))</f>
        <v>0</v>
      </c>
      <c r="AZ265" s="97" t="str">
        <f>IF(ISNUMBER(E265),DATE(YEAR(E265),MONTH(E265),1),"")</f>
        <v/>
      </c>
      <c r="BA265" s="96">
        <f>IF(Z265=0,0,IF(AND(OR(r_ini="",AND(ISNUMBER(E265),E265&gt;=r_ini)),OR(r_fim="",AND(ISNUMBER(E265),E265&lt;=r_fim)),OR(r_un="",r_un="(Todas)",G265=r_un),OR(r_de="",r_de="(Todos)",I265=r_de)),1,0))</f>
        <v>0</v>
      </c>
      <c r="BB265" s="96" t="str">
        <f>IF(BA265=1,COUNTIF($BA$6:BA265,1),"")</f>
        <v/>
      </c>
      <c r="BC265" s="96" t="str">
        <f>IF(AND(AU265&lt;&gt;"",OR(r_un="",r_un="(Todas)",G265=r_un),OR(r_de="",r_de="(Todos)",I265=r_de)),AU265,"")</f>
        <v/>
      </c>
      <c r="BD265" s="96" t="str">
        <f>IF(Z265=1,A265&amp;" | nº "&amp;IF(B265="","(sem número)",B265)&amp;" | "&amp;IF(G265="","(sem unidade)",G265),"")</f>
        <v/>
      </c>
      <c r="BE265" s="96" t="str">
        <f>IF(Z265=1,COUNTIF($Z$6:Z265,1),"")</f>
        <v/>
      </c>
      <c r="BF265" s="96" t="str">
        <f>IF(T265="","",IF(T265="RECEBIMENTO NÃO CONFIRMADO","Transp.: "&amp;H265&amp;" | Dest.: "&amp;I265,IF(OR(T265="CDF NÃO LOCALIZADO",T265="VÍNCULO INCOMPLETO",T265="CDF A CONFERIR"),"Dest.: "&amp;I265,"Gerador: "&amp;G265)))</f>
        <v/>
      </c>
    </row>
    <row r="266">
      <c r="A266" s="89" t="inlineStr">
        <is>
          <t>MTR-000261</t>
        </is>
      </c>
      <c r="B266" s="90" t="n"/>
      <c r="C266" s="91" t="n"/>
      <c r="D266" s="91" t="n"/>
      <c r="E266" s="92" t="n"/>
      <c r="F266" s="92" t="n"/>
      <c r="G266" s="91" t="n"/>
      <c r="H266" s="91" t="n"/>
      <c r="I266" s="91" t="n"/>
      <c r="J266" s="91" t="n"/>
      <c r="K266" s="91" t="n"/>
      <c r="L266" s="92" t="n"/>
      <c r="M266" s="91" t="n"/>
      <c r="N266" s="91" t="n"/>
      <c r="O266" s="91" t="n"/>
      <c r="P266" s="93" t="str">
        <f>IF(Z266=0,"",SUMIFS('ITENS_MTR'!$I$6:$I$1005,'ITENS_MTR'!$S$6:$S$1005,A266,'ITENS_MTR'!$Y$6:$Y$1005,1))</f>
        <v/>
      </c>
      <c r="Q266" s="93" t="str">
        <f>IF(Z266=0,"",SUMIFS('RECEBIMENTOS'!$H$6:$H$1005,'RECEBIMENTOS'!$B$6:$B$1005,A266,'RECEBIMENTOS'!$X$6:$X$1005,1))</f>
        <v/>
      </c>
      <c r="R266" s="93" t="str">
        <f>IF(Z266=0,"",SUMIFS('VÍNCULOS_CDF'!$H$6:$H$1005,'VÍNCULOS_CDF'!$D$6:$D$1005,A266,'VÍNCULOS_CDF'!$V$6:$V$1005,1))</f>
        <v/>
      </c>
      <c r="S266" s="94" t="str">
        <f>IF(Z266=0,"",IF(AA266=1,"Cancelado (informado)",IF(AE266=1,"Cadastro incompleto",IF(OR(AC266=1,AD266=1,AF266&gt;0,AH266&gt;0,AK266&gt;0,AL266&gt;0),"Informação a revisar",IF(AN266=0,"Aguardando recebimento",IF(N(R266)=0,"Aguardando CDF",IF(AJ266&lt;N(W266),"Vínculo de CDF parcial",IF(AO266=0,"CDF localizado, a conferir","Documentação conferida"))))))))</f>
        <v/>
      </c>
      <c r="T266" s="94" t="str">
        <f>IF(Z266=0,"",IF(S266="Cadastro incompleto","MTR INCOMPLETO",IF(S266="Informação a revisar",IF(AND(AH266&gt;0,AC266=0,AD266=0,AF266=0,AK266=0,AL266=0),"QUANTIDADE A REVISAR","IDENTIFICAÇÃO A REVISAR"),IF(S266="Aguardando recebimento","RECEBIMENTO NÃO CONFIRMADO",IF(S266="Aguardando CDF","CDF NÃO LOCALIZADO",IF(S266="Vínculo de CDF parcial","VÍNCULO INCOMPLETO",IF(S266="CDF localizado, a conferir","CDF A CONFERIR","")))))))</f>
        <v/>
      </c>
      <c r="U266" s="95" t="str">
        <f>IF(T266="","",IF(AQ266="","Não calculável",IF(AQ266&gt;TODAY(),"Data futura",TODAY()-AQ266)))</f>
        <v/>
      </c>
      <c r="V266" s="93" t="str">
        <f>IF(Z266=0,"",SUMIFS('RECEBIMENTOS'!$H$6:$H$1005,'RECEBIMENTOS'!$B$6:$B$1005,A266,'RECEBIMENTOS'!$Z$6:$Z$1005,1))</f>
        <v/>
      </c>
      <c r="W266" s="95" t="str">
        <f>IF(Z266=0,"",COUNTIFS('ITENS_MTR'!$S$6:$S$1005,A266,'ITENS_MTR'!$R$6:$R$1005,1))</f>
        <v/>
      </c>
      <c r="X266" s="94" t="str">
        <f>IF(AC266=1,"POSSÍVEL DUPLICIDADE","")</f>
        <v/>
      </c>
      <c r="Y266" s="94" t="str">
        <f>IF(Z266=0,"",IF(AW266="","Nenhuma",LEFT(AW266,LEN(AW266)-2)))</f>
        <v/>
      </c>
      <c r="Z266" s="96">
        <f>IF(COUNTA(B266:O266)&gt;0,1,0)</f>
        <v>0</v>
      </c>
      <c r="AA266" s="96">
        <f>IF(AND(Z266=1,K266&lt;&gt;""),IF(TRIM(K266)=TRIM(cfg_cancel),1,0),0)</f>
        <v>0</v>
      </c>
      <c r="AB266" s="96" t="str">
        <f>IF(AND(Z266=1,B266&lt;&gt;""),C266&amp;"|"&amp;D266&amp;"|"&amp;G266&amp;"|"&amp;TRIM(B266),"")</f>
        <v/>
      </c>
      <c r="AC266" s="96">
        <f>IF(AB266="",0,IF(SUMPRODUCT(--($AB$6:$AB$505=AB266))&gt;1,1,0))</f>
        <v>0</v>
      </c>
      <c r="AD266" s="96">
        <f>IF(Z266=0,0,IF(OR(AND(G266&lt;&gt;"",ISNA(MATCH(G266,'CAD_UNIDADES'!$C$6:$C$105,0))),AND(H266&lt;&gt;"",ISNA(MATCH(H266,cmp_transp,0))),AND(I266&lt;&gt;"",ISNA(MATCH(I266,cmp_dest,0))),AND(E266&lt;&gt;"",NOT(ISNUMBER(E266))),AND(F266&lt;&gt;"",NOT(ISNUMBER(F266))),AND(ISNUMBER(E266),ISNUMBER(F266),F266&lt;E266)),1,0))</f>
        <v>0</v>
      </c>
      <c r="AE266" s="96">
        <f>IF(Z266=0,0,IF(OR(B266="",C266="",E266="",G266="",H266="",I266="",N(W266)=0),1,0))</f>
        <v>0</v>
      </c>
      <c r="AF266" s="96">
        <f>IF(Z266=0,0,COUNTIFS('ITENS_MTR'!$S$6:$S$1005,A266,'ITENS_MTR'!$AI$6:$AI$1005,1))</f>
        <v>0</v>
      </c>
      <c r="AG266" s="96">
        <f>IF(Z266=0,0,COUNTIFS('ITENS_MTR'!$S$6:$S$1005,A266,'ITENS_MTR'!$AJ$6:$AJ$1005,1))</f>
        <v>0</v>
      </c>
      <c r="AH266" s="96">
        <f>IF(Z266=0,0,COUNTIFS('ITENS_MTR'!$S$6:$S$1005,A266,'ITENS_MTR'!$AM$6:$AM$1005,1))</f>
        <v>0</v>
      </c>
      <c r="AI266" s="96">
        <f>IF(Z266=0,0,COUNTIFS('ITENS_MTR'!$S$6:$S$1005,A266,'ITENS_MTR'!$AO$6:$AO$1005,1))</f>
        <v>0</v>
      </c>
      <c r="AJ266" s="96">
        <f>IF(Z266=0,0,COUNTIFS('ITENS_MTR'!$S$6:$S$1005,A266,'ITENS_MTR'!$AN$6:$AN$1005,1))</f>
        <v>0</v>
      </c>
      <c r="AK266" s="96">
        <f>IF(Z266=0,0,COUNTIFS('RECEBIMENTOS'!$B$6:$B$1005,A266,'RECEBIMENTOS'!$Y$6:$Y$1005,1))</f>
        <v>0</v>
      </c>
      <c r="AL266" s="96">
        <f>IF(Z266=0,0,COUNTIFS('VÍNCULOS_CDF'!$D$6:$D$1005,A266,'VÍNCULOS_CDF'!$Y$6:$Y$1005,1))</f>
        <v>0</v>
      </c>
      <c r="AM266" s="96">
        <f>IF(Z266=0,0,COUNTIFS('RECEBIMENTOS'!$B$6:$B$1005,A266,'RECEBIMENTOS'!$Q$6:$Q$1005,1))</f>
        <v>0</v>
      </c>
      <c r="AN266" s="96">
        <f>IF(AND(Z266=1,N(W266)&gt;0,AG266=N(W266)),1,0)</f>
        <v>0</v>
      </c>
      <c r="AO266" s="96">
        <f>IF(AND(Z266=1,N(W266)&gt;0,AI266=N(W266)),1,0)</f>
        <v>0</v>
      </c>
      <c r="AP266" s="97">
        <f>IF(Z266=0,0,_xlfn.MAXIFS('RECEBIMENTOS'!$E$6:$E$1005,'RECEBIMENTOS'!$B$6:$B$1005,A266))</f>
        <v>0</v>
      </c>
      <c r="AQ266" s="97" t="str">
        <f>IF(T266="","",IF(T266="RECEBIMENTO NÃO CONFIRMADO",IF(ISNUMBER(F266),F266,IF(ISNUMBER(E266),E266,"")),IF(OR(T266="CDF NÃO LOCALIZADO",T266="VÍNCULO INCOMPLETO",T266="CDF A CONFERIR"),IF(AP266&gt;0,AP266,IF(ISNUMBER(E266),E266,"")),IF(ISNUMBER(E266),E266,""))))</f>
        <v/>
      </c>
      <c r="AR266" s="96">
        <f>IF(NOT(ISNUMBER(U266)),0,IF(T266="RECEBIMENTO NÃO CONFIRMADO",IF(AND(ISNUMBER(cfg_rec),U266&gt;cfg_rec),1,0),IF(OR(T266="CDF NÃO LOCALIZADO",T266="VÍNCULO INCOMPLETO",T266="CDF A CONFERIR"),IF(AND(ISNUMBER(cfg_cdf),U266&gt;cfg_cdf),1,0),0)))</f>
        <v>0</v>
      </c>
      <c r="AS266" s="96" t="str">
        <f>IF(T266="","",IF(AR266=1,"Alta",IFERROR(INDEX(cfg_pp,MATCH(T266,cfg_pt,0))&amp;"","Média")))</f>
        <v/>
      </c>
      <c r="AT266" s="96" t="str">
        <f>IF(T266="","",IFERROR(INDEX(cfg_pv,MATCH(T266,cfg_pt,0))&amp;"",""))</f>
        <v/>
      </c>
      <c r="AU266" s="96" t="str">
        <f>IF(T266="","",IF(AS266="Alta",1,IF(AS266="Média",2,3))*1000000000+(999999-IF(ISNUMBER(U266),MIN(U266,999999),0))*1000+261)</f>
        <v/>
      </c>
      <c r="AV266" s="96">
        <f>IF(T266&lt;&gt;"",1,0)</f>
        <v>0</v>
      </c>
      <c r="AW266" s="96" t="str">
        <f>IF(Z266=0,"",IF(AA266=1,"Cancelamento informado; ","")&amp;IF(AE266=1,"Campos essenciais ou itens faltando; ","")&amp;IF(AC266=1,"Possível duplicidade do número; ","")&amp;IF(AD266=1,"Cadastro ou datas a revisar; ","")&amp;IF(AF266&gt;0,"Item de resíduo com dado a revisar; ","")&amp;IF(AH266&gt;0,"Diferença de quantidade a analisar; ","")&amp;IF(AK266&gt;0,"Recebimento com alerta; ","")&amp;IF(AL266&gt;0,"Vínculo de CDF com alerta; ","")&amp;IF(AND(AA266=0,AN266=0),"Recebimento não confirmado; ","")&amp;IF(AND(AA266=0,AN266=1,AO266=0),"CDF pendente ou a conferir; ",""))</f>
        <v/>
      </c>
      <c r="AX266" s="96">
        <f>IF(Z266=0,0,IF(AND(OR(f_ini="",AND(ISNUMBER(E266),E266&gt;=f_ini)),OR(f_fim="",AND(ISNUMBER(E266),E266&lt;=f_fim)),OR(f_un="",f_un="(Todas)",G266=f_un),OR(f_tr="",f_tr="(Todos)",H266=f_tr),OR(f_de="",f_de="(Todos)",I266=f_de),OR(f_sit="",f_sit="(Todas)",S266=f_sit)),1,0))</f>
        <v>0</v>
      </c>
      <c r="AY266" s="96">
        <f>IF(AX266=0,0,IF(OR(f_res="",f_res="(Todos)"),1,IF(COUNTIFS('ITENS_MTR'!$S$6:$S$1005,A266,'ITENS_MTR'!$C$6:$C$1005,f_res)&gt;0,1,0)))</f>
        <v>0</v>
      </c>
      <c r="AZ266" s="97" t="str">
        <f>IF(ISNUMBER(E266),DATE(YEAR(E266),MONTH(E266),1),"")</f>
        <v/>
      </c>
      <c r="BA266" s="96">
        <f>IF(Z266=0,0,IF(AND(OR(r_ini="",AND(ISNUMBER(E266),E266&gt;=r_ini)),OR(r_fim="",AND(ISNUMBER(E266),E266&lt;=r_fim)),OR(r_un="",r_un="(Todas)",G266=r_un),OR(r_de="",r_de="(Todos)",I266=r_de)),1,0))</f>
        <v>0</v>
      </c>
      <c r="BB266" s="96" t="str">
        <f>IF(BA266=1,COUNTIF($BA$6:BA266,1),"")</f>
        <v/>
      </c>
      <c r="BC266" s="96" t="str">
        <f>IF(AND(AU266&lt;&gt;"",OR(r_un="",r_un="(Todas)",G266=r_un),OR(r_de="",r_de="(Todos)",I266=r_de)),AU266,"")</f>
        <v/>
      </c>
      <c r="BD266" s="96" t="str">
        <f>IF(Z266=1,A266&amp;" | nº "&amp;IF(B266="","(sem número)",B266)&amp;" | "&amp;IF(G266="","(sem unidade)",G266),"")</f>
        <v/>
      </c>
      <c r="BE266" s="96" t="str">
        <f>IF(Z266=1,COUNTIF($Z$6:Z266,1),"")</f>
        <v/>
      </c>
      <c r="BF266" s="96" t="str">
        <f>IF(T266="","",IF(T266="RECEBIMENTO NÃO CONFIRMADO","Transp.: "&amp;H266&amp;" | Dest.: "&amp;I266,IF(OR(T266="CDF NÃO LOCALIZADO",T266="VÍNCULO INCOMPLETO",T266="CDF A CONFERIR"),"Dest.: "&amp;I266,"Gerador: "&amp;G266)))</f>
        <v/>
      </c>
    </row>
    <row r="267">
      <c r="A267" s="89" t="inlineStr">
        <is>
          <t>MTR-000262</t>
        </is>
      </c>
      <c r="B267" s="90" t="n"/>
      <c r="C267" s="91" t="n"/>
      <c r="D267" s="91" t="n"/>
      <c r="E267" s="92" t="n"/>
      <c r="F267" s="92" t="n"/>
      <c r="G267" s="91" t="n"/>
      <c r="H267" s="91" t="n"/>
      <c r="I267" s="91" t="n"/>
      <c r="J267" s="91" t="n"/>
      <c r="K267" s="91" t="n"/>
      <c r="L267" s="92" t="n"/>
      <c r="M267" s="91" t="n"/>
      <c r="N267" s="91" t="n"/>
      <c r="O267" s="91" t="n"/>
      <c r="P267" s="93" t="str">
        <f>IF(Z267=0,"",SUMIFS('ITENS_MTR'!$I$6:$I$1005,'ITENS_MTR'!$S$6:$S$1005,A267,'ITENS_MTR'!$Y$6:$Y$1005,1))</f>
        <v/>
      </c>
      <c r="Q267" s="93" t="str">
        <f>IF(Z267=0,"",SUMIFS('RECEBIMENTOS'!$H$6:$H$1005,'RECEBIMENTOS'!$B$6:$B$1005,A267,'RECEBIMENTOS'!$X$6:$X$1005,1))</f>
        <v/>
      </c>
      <c r="R267" s="93" t="str">
        <f>IF(Z267=0,"",SUMIFS('VÍNCULOS_CDF'!$H$6:$H$1005,'VÍNCULOS_CDF'!$D$6:$D$1005,A267,'VÍNCULOS_CDF'!$V$6:$V$1005,1))</f>
        <v/>
      </c>
      <c r="S267" s="94" t="str">
        <f>IF(Z267=0,"",IF(AA267=1,"Cancelado (informado)",IF(AE267=1,"Cadastro incompleto",IF(OR(AC267=1,AD267=1,AF267&gt;0,AH267&gt;0,AK267&gt;0,AL267&gt;0),"Informação a revisar",IF(AN267=0,"Aguardando recebimento",IF(N(R267)=0,"Aguardando CDF",IF(AJ267&lt;N(W267),"Vínculo de CDF parcial",IF(AO267=0,"CDF localizado, a conferir","Documentação conferida"))))))))</f>
        <v/>
      </c>
      <c r="T267" s="94" t="str">
        <f>IF(Z267=0,"",IF(S267="Cadastro incompleto","MTR INCOMPLETO",IF(S267="Informação a revisar",IF(AND(AH267&gt;0,AC267=0,AD267=0,AF267=0,AK267=0,AL267=0),"QUANTIDADE A REVISAR","IDENTIFICAÇÃO A REVISAR"),IF(S267="Aguardando recebimento","RECEBIMENTO NÃO CONFIRMADO",IF(S267="Aguardando CDF","CDF NÃO LOCALIZADO",IF(S267="Vínculo de CDF parcial","VÍNCULO INCOMPLETO",IF(S267="CDF localizado, a conferir","CDF A CONFERIR","")))))))</f>
        <v/>
      </c>
      <c r="U267" s="95" t="str">
        <f>IF(T267="","",IF(AQ267="","Não calculável",IF(AQ267&gt;TODAY(),"Data futura",TODAY()-AQ267)))</f>
        <v/>
      </c>
      <c r="V267" s="93" t="str">
        <f>IF(Z267=0,"",SUMIFS('RECEBIMENTOS'!$H$6:$H$1005,'RECEBIMENTOS'!$B$6:$B$1005,A267,'RECEBIMENTOS'!$Z$6:$Z$1005,1))</f>
        <v/>
      </c>
      <c r="W267" s="95" t="str">
        <f>IF(Z267=0,"",COUNTIFS('ITENS_MTR'!$S$6:$S$1005,A267,'ITENS_MTR'!$R$6:$R$1005,1))</f>
        <v/>
      </c>
      <c r="X267" s="94" t="str">
        <f>IF(AC267=1,"POSSÍVEL DUPLICIDADE","")</f>
        <v/>
      </c>
      <c r="Y267" s="94" t="str">
        <f>IF(Z267=0,"",IF(AW267="","Nenhuma",LEFT(AW267,LEN(AW267)-2)))</f>
        <v/>
      </c>
      <c r="Z267" s="96">
        <f>IF(COUNTA(B267:O267)&gt;0,1,0)</f>
        <v>0</v>
      </c>
      <c r="AA267" s="96">
        <f>IF(AND(Z267=1,K267&lt;&gt;""),IF(TRIM(K267)=TRIM(cfg_cancel),1,0),0)</f>
        <v>0</v>
      </c>
      <c r="AB267" s="96" t="str">
        <f>IF(AND(Z267=1,B267&lt;&gt;""),C267&amp;"|"&amp;D267&amp;"|"&amp;G267&amp;"|"&amp;TRIM(B267),"")</f>
        <v/>
      </c>
      <c r="AC267" s="96">
        <f>IF(AB267="",0,IF(SUMPRODUCT(--($AB$6:$AB$505=AB267))&gt;1,1,0))</f>
        <v>0</v>
      </c>
      <c r="AD267" s="96">
        <f>IF(Z267=0,0,IF(OR(AND(G267&lt;&gt;"",ISNA(MATCH(G267,'CAD_UNIDADES'!$C$6:$C$105,0))),AND(H267&lt;&gt;"",ISNA(MATCH(H267,cmp_transp,0))),AND(I267&lt;&gt;"",ISNA(MATCH(I267,cmp_dest,0))),AND(E267&lt;&gt;"",NOT(ISNUMBER(E267))),AND(F267&lt;&gt;"",NOT(ISNUMBER(F267))),AND(ISNUMBER(E267),ISNUMBER(F267),F267&lt;E267)),1,0))</f>
        <v>0</v>
      </c>
      <c r="AE267" s="96">
        <f>IF(Z267=0,0,IF(OR(B267="",C267="",E267="",G267="",H267="",I267="",N(W267)=0),1,0))</f>
        <v>0</v>
      </c>
      <c r="AF267" s="96">
        <f>IF(Z267=0,0,COUNTIFS('ITENS_MTR'!$S$6:$S$1005,A267,'ITENS_MTR'!$AI$6:$AI$1005,1))</f>
        <v>0</v>
      </c>
      <c r="AG267" s="96">
        <f>IF(Z267=0,0,COUNTIFS('ITENS_MTR'!$S$6:$S$1005,A267,'ITENS_MTR'!$AJ$6:$AJ$1005,1))</f>
        <v>0</v>
      </c>
      <c r="AH267" s="96">
        <f>IF(Z267=0,0,COUNTIFS('ITENS_MTR'!$S$6:$S$1005,A267,'ITENS_MTR'!$AM$6:$AM$1005,1))</f>
        <v>0</v>
      </c>
      <c r="AI267" s="96">
        <f>IF(Z267=0,0,COUNTIFS('ITENS_MTR'!$S$6:$S$1005,A267,'ITENS_MTR'!$AO$6:$AO$1005,1))</f>
        <v>0</v>
      </c>
      <c r="AJ267" s="96">
        <f>IF(Z267=0,0,COUNTIFS('ITENS_MTR'!$S$6:$S$1005,A267,'ITENS_MTR'!$AN$6:$AN$1005,1))</f>
        <v>0</v>
      </c>
      <c r="AK267" s="96">
        <f>IF(Z267=0,0,COUNTIFS('RECEBIMENTOS'!$B$6:$B$1005,A267,'RECEBIMENTOS'!$Y$6:$Y$1005,1))</f>
        <v>0</v>
      </c>
      <c r="AL267" s="96">
        <f>IF(Z267=0,0,COUNTIFS('VÍNCULOS_CDF'!$D$6:$D$1005,A267,'VÍNCULOS_CDF'!$Y$6:$Y$1005,1))</f>
        <v>0</v>
      </c>
      <c r="AM267" s="96">
        <f>IF(Z267=0,0,COUNTIFS('RECEBIMENTOS'!$B$6:$B$1005,A267,'RECEBIMENTOS'!$Q$6:$Q$1005,1))</f>
        <v>0</v>
      </c>
      <c r="AN267" s="96">
        <f>IF(AND(Z267=1,N(W267)&gt;0,AG267=N(W267)),1,0)</f>
        <v>0</v>
      </c>
      <c r="AO267" s="96">
        <f>IF(AND(Z267=1,N(W267)&gt;0,AI267=N(W267)),1,0)</f>
        <v>0</v>
      </c>
      <c r="AP267" s="97">
        <f>IF(Z267=0,0,_xlfn.MAXIFS('RECEBIMENTOS'!$E$6:$E$1005,'RECEBIMENTOS'!$B$6:$B$1005,A267))</f>
        <v>0</v>
      </c>
      <c r="AQ267" s="97" t="str">
        <f>IF(T267="","",IF(T267="RECEBIMENTO NÃO CONFIRMADO",IF(ISNUMBER(F267),F267,IF(ISNUMBER(E267),E267,"")),IF(OR(T267="CDF NÃO LOCALIZADO",T267="VÍNCULO INCOMPLETO",T267="CDF A CONFERIR"),IF(AP267&gt;0,AP267,IF(ISNUMBER(E267),E267,"")),IF(ISNUMBER(E267),E267,""))))</f>
        <v/>
      </c>
      <c r="AR267" s="96">
        <f>IF(NOT(ISNUMBER(U267)),0,IF(T267="RECEBIMENTO NÃO CONFIRMADO",IF(AND(ISNUMBER(cfg_rec),U267&gt;cfg_rec),1,0),IF(OR(T267="CDF NÃO LOCALIZADO",T267="VÍNCULO INCOMPLETO",T267="CDF A CONFERIR"),IF(AND(ISNUMBER(cfg_cdf),U267&gt;cfg_cdf),1,0),0)))</f>
        <v>0</v>
      </c>
      <c r="AS267" s="96" t="str">
        <f>IF(T267="","",IF(AR267=1,"Alta",IFERROR(INDEX(cfg_pp,MATCH(T267,cfg_pt,0))&amp;"","Média")))</f>
        <v/>
      </c>
      <c r="AT267" s="96" t="str">
        <f>IF(T267="","",IFERROR(INDEX(cfg_pv,MATCH(T267,cfg_pt,0))&amp;"",""))</f>
        <v/>
      </c>
      <c r="AU267" s="96" t="str">
        <f>IF(T267="","",IF(AS267="Alta",1,IF(AS267="Média",2,3))*1000000000+(999999-IF(ISNUMBER(U267),MIN(U267,999999),0))*1000+262)</f>
        <v/>
      </c>
      <c r="AV267" s="96">
        <f>IF(T267&lt;&gt;"",1,0)</f>
        <v>0</v>
      </c>
      <c r="AW267" s="96" t="str">
        <f>IF(Z267=0,"",IF(AA267=1,"Cancelamento informado; ","")&amp;IF(AE267=1,"Campos essenciais ou itens faltando; ","")&amp;IF(AC267=1,"Possível duplicidade do número; ","")&amp;IF(AD267=1,"Cadastro ou datas a revisar; ","")&amp;IF(AF267&gt;0,"Item de resíduo com dado a revisar; ","")&amp;IF(AH267&gt;0,"Diferença de quantidade a analisar; ","")&amp;IF(AK267&gt;0,"Recebimento com alerta; ","")&amp;IF(AL267&gt;0,"Vínculo de CDF com alerta; ","")&amp;IF(AND(AA267=0,AN267=0),"Recebimento não confirmado; ","")&amp;IF(AND(AA267=0,AN267=1,AO267=0),"CDF pendente ou a conferir; ",""))</f>
        <v/>
      </c>
      <c r="AX267" s="96">
        <f>IF(Z267=0,0,IF(AND(OR(f_ini="",AND(ISNUMBER(E267),E267&gt;=f_ini)),OR(f_fim="",AND(ISNUMBER(E267),E267&lt;=f_fim)),OR(f_un="",f_un="(Todas)",G267=f_un),OR(f_tr="",f_tr="(Todos)",H267=f_tr),OR(f_de="",f_de="(Todos)",I267=f_de),OR(f_sit="",f_sit="(Todas)",S267=f_sit)),1,0))</f>
        <v>0</v>
      </c>
      <c r="AY267" s="96">
        <f>IF(AX267=0,0,IF(OR(f_res="",f_res="(Todos)"),1,IF(COUNTIFS('ITENS_MTR'!$S$6:$S$1005,A267,'ITENS_MTR'!$C$6:$C$1005,f_res)&gt;0,1,0)))</f>
        <v>0</v>
      </c>
      <c r="AZ267" s="97" t="str">
        <f>IF(ISNUMBER(E267),DATE(YEAR(E267),MONTH(E267),1),"")</f>
        <v/>
      </c>
      <c r="BA267" s="96">
        <f>IF(Z267=0,0,IF(AND(OR(r_ini="",AND(ISNUMBER(E267),E267&gt;=r_ini)),OR(r_fim="",AND(ISNUMBER(E267),E267&lt;=r_fim)),OR(r_un="",r_un="(Todas)",G267=r_un),OR(r_de="",r_de="(Todos)",I267=r_de)),1,0))</f>
        <v>0</v>
      </c>
      <c r="BB267" s="96" t="str">
        <f>IF(BA267=1,COUNTIF($BA$6:BA267,1),"")</f>
        <v/>
      </c>
      <c r="BC267" s="96" t="str">
        <f>IF(AND(AU267&lt;&gt;"",OR(r_un="",r_un="(Todas)",G267=r_un),OR(r_de="",r_de="(Todos)",I267=r_de)),AU267,"")</f>
        <v/>
      </c>
      <c r="BD267" s="96" t="str">
        <f>IF(Z267=1,A267&amp;" | nº "&amp;IF(B267="","(sem número)",B267)&amp;" | "&amp;IF(G267="","(sem unidade)",G267),"")</f>
        <v/>
      </c>
      <c r="BE267" s="96" t="str">
        <f>IF(Z267=1,COUNTIF($Z$6:Z267,1),"")</f>
        <v/>
      </c>
      <c r="BF267" s="96" t="str">
        <f>IF(T267="","",IF(T267="RECEBIMENTO NÃO CONFIRMADO","Transp.: "&amp;H267&amp;" | Dest.: "&amp;I267,IF(OR(T267="CDF NÃO LOCALIZADO",T267="VÍNCULO INCOMPLETO",T267="CDF A CONFERIR"),"Dest.: "&amp;I267,"Gerador: "&amp;G267)))</f>
        <v/>
      </c>
    </row>
    <row r="268">
      <c r="A268" s="89" t="inlineStr">
        <is>
          <t>MTR-000263</t>
        </is>
      </c>
      <c r="B268" s="90" t="n"/>
      <c r="C268" s="91" t="n"/>
      <c r="D268" s="91" t="n"/>
      <c r="E268" s="92" t="n"/>
      <c r="F268" s="92" t="n"/>
      <c r="G268" s="91" t="n"/>
      <c r="H268" s="91" t="n"/>
      <c r="I268" s="91" t="n"/>
      <c r="J268" s="91" t="n"/>
      <c r="K268" s="91" t="n"/>
      <c r="L268" s="92" t="n"/>
      <c r="M268" s="91" t="n"/>
      <c r="N268" s="91" t="n"/>
      <c r="O268" s="91" t="n"/>
      <c r="P268" s="93" t="str">
        <f>IF(Z268=0,"",SUMIFS('ITENS_MTR'!$I$6:$I$1005,'ITENS_MTR'!$S$6:$S$1005,A268,'ITENS_MTR'!$Y$6:$Y$1005,1))</f>
        <v/>
      </c>
      <c r="Q268" s="93" t="str">
        <f>IF(Z268=0,"",SUMIFS('RECEBIMENTOS'!$H$6:$H$1005,'RECEBIMENTOS'!$B$6:$B$1005,A268,'RECEBIMENTOS'!$X$6:$X$1005,1))</f>
        <v/>
      </c>
      <c r="R268" s="93" t="str">
        <f>IF(Z268=0,"",SUMIFS('VÍNCULOS_CDF'!$H$6:$H$1005,'VÍNCULOS_CDF'!$D$6:$D$1005,A268,'VÍNCULOS_CDF'!$V$6:$V$1005,1))</f>
        <v/>
      </c>
      <c r="S268" s="94" t="str">
        <f>IF(Z268=0,"",IF(AA268=1,"Cancelado (informado)",IF(AE268=1,"Cadastro incompleto",IF(OR(AC268=1,AD268=1,AF268&gt;0,AH268&gt;0,AK268&gt;0,AL268&gt;0),"Informação a revisar",IF(AN268=0,"Aguardando recebimento",IF(N(R268)=0,"Aguardando CDF",IF(AJ268&lt;N(W268),"Vínculo de CDF parcial",IF(AO268=0,"CDF localizado, a conferir","Documentação conferida"))))))))</f>
        <v/>
      </c>
      <c r="T268" s="94" t="str">
        <f>IF(Z268=0,"",IF(S268="Cadastro incompleto","MTR INCOMPLETO",IF(S268="Informação a revisar",IF(AND(AH268&gt;0,AC268=0,AD268=0,AF268=0,AK268=0,AL268=0),"QUANTIDADE A REVISAR","IDENTIFICAÇÃO A REVISAR"),IF(S268="Aguardando recebimento","RECEBIMENTO NÃO CONFIRMADO",IF(S268="Aguardando CDF","CDF NÃO LOCALIZADO",IF(S268="Vínculo de CDF parcial","VÍNCULO INCOMPLETO",IF(S268="CDF localizado, a conferir","CDF A CONFERIR","")))))))</f>
        <v/>
      </c>
      <c r="U268" s="95" t="str">
        <f>IF(T268="","",IF(AQ268="","Não calculável",IF(AQ268&gt;TODAY(),"Data futura",TODAY()-AQ268)))</f>
        <v/>
      </c>
      <c r="V268" s="93" t="str">
        <f>IF(Z268=0,"",SUMIFS('RECEBIMENTOS'!$H$6:$H$1005,'RECEBIMENTOS'!$B$6:$B$1005,A268,'RECEBIMENTOS'!$Z$6:$Z$1005,1))</f>
        <v/>
      </c>
      <c r="W268" s="95" t="str">
        <f>IF(Z268=0,"",COUNTIFS('ITENS_MTR'!$S$6:$S$1005,A268,'ITENS_MTR'!$R$6:$R$1005,1))</f>
        <v/>
      </c>
      <c r="X268" s="94" t="str">
        <f>IF(AC268=1,"POSSÍVEL DUPLICIDADE","")</f>
        <v/>
      </c>
      <c r="Y268" s="94" t="str">
        <f>IF(Z268=0,"",IF(AW268="","Nenhuma",LEFT(AW268,LEN(AW268)-2)))</f>
        <v/>
      </c>
      <c r="Z268" s="96">
        <f>IF(COUNTA(B268:O268)&gt;0,1,0)</f>
        <v>0</v>
      </c>
      <c r="AA268" s="96">
        <f>IF(AND(Z268=1,K268&lt;&gt;""),IF(TRIM(K268)=TRIM(cfg_cancel),1,0),0)</f>
        <v>0</v>
      </c>
      <c r="AB268" s="96" t="str">
        <f>IF(AND(Z268=1,B268&lt;&gt;""),C268&amp;"|"&amp;D268&amp;"|"&amp;G268&amp;"|"&amp;TRIM(B268),"")</f>
        <v/>
      </c>
      <c r="AC268" s="96">
        <f>IF(AB268="",0,IF(SUMPRODUCT(--($AB$6:$AB$505=AB268))&gt;1,1,0))</f>
        <v>0</v>
      </c>
      <c r="AD268" s="96">
        <f>IF(Z268=0,0,IF(OR(AND(G268&lt;&gt;"",ISNA(MATCH(G268,'CAD_UNIDADES'!$C$6:$C$105,0))),AND(H268&lt;&gt;"",ISNA(MATCH(H268,cmp_transp,0))),AND(I268&lt;&gt;"",ISNA(MATCH(I268,cmp_dest,0))),AND(E268&lt;&gt;"",NOT(ISNUMBER(E268))),AND(F268&lt;&gt;"",NOT(ISNUMBER(F268))),AND(ISNUMBER(E268),ISNUMBER(F268),F268&lt;E268)),1,0))</f>
        <v>0</v>
      </c>
      <c r="AE268" s="96">
        <f>IF(Z268=0,0,IF(OR(B268="",C268="",E268="",G268="",H268="",I268="",N(W268)=0),1,0))</f>
        <v>0</v>
      </c>
      <c r="AF268" s="96">
        <f>IF(Z268=0,0,COUNTIFS('ITENS_MTR'!$S$6:$S$1005,A268,'ITENS_MTR'!$AI$6:$AI$1005,1))</f>
        <v>0</v>
      </c>
      <c r="AG268" s="96">
        <f>IF(Z268=0,0,COUNTIFS('ITENS_MTR'!$S$6:$S$1005,A268,'ITENS_MTR'!$AJ$6:$AJ$1005,1))</f>
        <v>0</v>
      </c>
      <c r="AH268" s="96">
        <f>IF(Z268=0,0,COUNTIFS('ITENS_MTR'!$S$6:$S$1005,A268,'ITENS_MTR'!$AM$6:$AM$1005,1))</f>
        <v>0</v>
      </c>
      <c r="AI268" s="96">
        <f>IF(Z268=0,0,COUNTIFS('ITENS_MTR'!$S$6:$S$1005,A268,'ITENS_MTR'!$AO$6:$AO$1005,1))</f>
        <v>0</v>
      </c>
      <c r="AJ268" s="96">
        <f>IF(Z268=0,0,COUNTIFS('ITENS_MTR'!$S$6:$S$1005,A268,'ITENS_MTR'!$AN$6:$AN$1005,1))</f>
        <v>0</v>
      </c>
      <c r="AK268" s="96">
        <f>IF(Z268=0,0,COUNTIFS('RECEBIMENTOS'!$B$6:$B$1005,A268,'RECEBIMENTOS'!$Y$6:$Y$1005,1))</f>
        <v>0</v>
      </c>
      <c r="AL268" s="96">
        <f>IF(Z268=0,0,COUNTIFS('VÍNCULOS_CDF'!$D$6:$D$1005,A268,'VÍNCULOS_CDF'!$Y$6:$Y$1005,1))</f>
        <v>0</v>
      </c>
      <c r="AM268" s="96">
        <f>IF(Z268=0,0,COUNTIFS('RECEBIMENTOS'!$B$6:$B$1005,A268,'RECEBIMENTOS'!$Q$6:$Q$1005,1))</f>
        <v>0</v>
      </c>
      <c r="AN268" s="96">
        <f>IF(AND(Z268=1,N(W268)&gt;0,AG268=N(W268)),1,0)</f>
        <v>0</v>
      </c>
      <c r="AO268" s="96">
        <f>IF(AND(Z268=1,N(W268)&gt;0,AI268=N(W268)),1,0)</f>
        <v>0</v>
      </c>
      <c r="AP268" s="97">
        <f>IF(Z268=0,0,_xlfn.MAXIFS('RECEBIMENTOS'!$E$6:$E$1005,'RECEBIMENTOS'!$B$6:$B$1005,A268))</f>
        <v>0</v>
      </c>
      <c r="AQ268" s="97" t="str">
        <f>IF(T268="","",IF(T268="RECEBIMENTO NÃO CONFIRMADO",IF(ISNUMBER(F268),F268,IF(ISNUMBER(E268),E268,"")),IF(OR(T268="CDF NÃO LOCALIZADO",T268="VÍNCULO INCOMPLETO",T268="CDF A CONFERIR"),IF(AP268&gt;0,AP268,IF(ISNUMBER(E268),E268,"")),IF(ISNUMBER(E268),E268,""))))</f>
        <v/>
      </c>
      <c r="AR268" s="96">
        <f>IF(NOT(ISNUMBER(U268)),0,IF(T268="RECEBIMENTO NÃO CONFIRMADO",IF(AND(ISNUMBER(cfg_rec),U268&gt;cfg_rec),1,0),IF(OR(T268="CDF NÃO LOCALIZADO",T268="VÍNCULO INCOMPLETO",T268="CDF A CONFERIR"),IF(AND(ISNUMBER(cfg_cdf),U268&gt;cfg_cdf),1,0),0)))</f>
        <v>0</v>
      </c>
      <c r="AS268" s="96" t="str">
        <f>IF(T268="","",IF(AR268=1,"Alta",IFERROR(INDEX(cfg_pp,MATCH(T268,cfg_pt,0))&amp;"","Média")))</f>
        <v/>
      </c>
      <c r="AT268" s="96" t="str">
        <f>IF(T268="","",IFERROR(INDEX(cfg_pv,MATCH(T268,cfg_pt,0))&amp;"",""))</f>
        <v/>
      </c>
      <c r="AU268" s="96" t="str">
        <f>IF(T268="","",IF(AS268="Alta",1,IF(AS268="Média",2,3))*1000000000+(999999-IF(ISNUMBER(U268),MIN(U268,999999),0))*1000+263)</f>
        <v/>
      </c>
      <c r="AV268" s="96">
        <f>IF(T268&lt;&gt;"",1,0)</f>
        <v>0</v>
      </c>
      <c r="AW268" s="96" t="str">
        <f>IF(Z268=0,"",IF(AA268=1,"Cancelamento informado; ","")&amp;IF(AE268=1,"Campos essenciais ou itens faltando; ","")&amp;IF(AC268=1,"Possível duplicidade do número; ","")&amp;IF(AD268=1,"Cadastro ou datas a revisar; ","")&amp;IF(AF268&gt;0,"Item de resíduo com dado a revisar; ","")&amp;IF(AH268&gt;0,"Diferença de quantidade a analisar; ","")&amp;IF(AK268&gt;0,"Recebimento com alerta; ","")&amp;IF(AL268&gt;0,"Vínculo de CDF com alerta; ","")&amp;IF(AND(AA268=0,AN268=0),"Recebimento não confirmado; ","")&amp;IF(AND(AA268=0,AN268=1,AO268=0),"CDF pendente ou a conferir; ",""))</f>
        <v/>
      </c>
      <c r="AX268" s="96">
        <f>IF(Z268=0,0,IF(AND(OR(f_ini="",AND(ISNUMBER(E268),E268&gt;=f_ini)),OR(f_fim="",AND(ISNUMBER(E268),E268&lt;=f_fim)),OR(f_un="",f_un="(Todas)",G268=f_un),OR(f_tr="",f_tr="(Todos)",H268=f_tr),OR(f_de="",f_de="(Todos)",I268=f_de),OR(f_sit="",f_sit="(Todas)",S268=f_sit)),1,0))</f>
        <v>0</v>
      </c>
      <c r="AY268" s="96">
        <f>IF(AX268=0,0,IF(OR(f_res="",f_res="(Todos)"),1,IF(COUNTIFS('ITENS_MTR'!$S$6:$S$1005,A268,'ITENS_MTR'!$C$6:$C$1005,f_res)&gt;0,1,0)))</f>
        <v>0</v>
      </c>
      <c r="AZ268" s="97" t="str">
        <f>IF(ISNUMBER(E268),DATE(YEAR(E268),MONTH(E268),1),"")</f>
        <v/>
      </c>
      <c r="BA268" s="96">
        <f>IF(Z268=0,0,IF(AND(OR(r_ini="",AND(ISNUMBER(E268),E268&gt;=r_ini)),OR(r_fim="",AND(ISNUMBER(E268),E268&lt;=r_fim)),OR(r_un="",r_un="(Todas)",G268=r_un),OR(r_de="",r_de="(Todos)",I268=r_de)),1,0))</f>
        <v>0</v>
      </c>
      <c r="BB268" s="96" t="str">
        <f>IF(BA268=1,COUNTIF($BA$6:BA268,1),"")</f>
        <v/>
      </c>
      <c r="BC268" s="96" t="str">
        <f>IF(AND(AU268&lt;&gt;"",OR(r_un="",r_un="(Todas)",G268=r_un),OR(r_de="",r_de="(Todos)",I268=r_de)),AU268,"")</f>
        <v/>
      </c>
      <c r="BD268" s="96" t="str">
        <f>IF(Z268=1,A268&amp;" | nº "&amp;IF(B268="","(sem número)",B268)&amp;" | "&amp;IF(G268="","(sem unidade)",G268),"")</f>
        <v/>
      </c>
      <c r="BE268" s="96" t="str">
        <f>IF(Z268=1,COUNTIF($Z$6:Z268,1),"")</f>
        <v/>
      </c>
      <c r="BF268" s="96" t="str">
        <f>IF(T268="","",IF(T268="RECEBIMENTO NÃO CONFIRMADO","Transp.: "&amp;H268&amp;" | Dest.: "&amp;I268,IF(OR(T268="CDF NÃO LOCALIZADO",T268="VÍNCULO INCOMPLETO",T268="CDF A CONFERIR"),"Dest.: "&amp;I268,"Gerador: "&amp;G268)))</f>
        <v/>
      </c>
    </row>
    <row r="269">
      <c r="A269" s="89" t="inlineStr">
        <is>
          <t>MTR-000264</t>
        </is>
      </c>
      <c r="B269" s="90" t="n"/>
      <c r="C269" s="91" t="n"/>
      <c r="D269" s="91" t="n"/>
      <c r="E269" s="92" t="n"/>
      <c r="F269" s="92" t="n"/>
      <c r="G269" s="91" t="n"/>
      <c r="H269" s="91" t="n"/>
      <c r="I269" s="91" t="n"/>
      <c r="J269" s="91" t="n"/>
      <c r="K269" s="91" t="n"/>
      <c r="L269" s="92" t="n"/>
      <c r="M269" s="91" t="n"/>
      <c r="N269" s="91" t="n"/>
      <c r="O269" s="91" t="n"/>
      <c r="P269" s="93" t="str">
        <f>IF(Z269=0,"",SUMIFS('ITENS_MTR'!$I$6:$I$1005,'ITENS_MTR'!$S$6:$S$1005,A269,'ITENS_MTR'!$Y$6:$Y$1005,1))</f>
        <v/>
      </c>
      <c r="Q269" s="93" t="str">
        <f>IF(Z269=0,"",SUMIFS('RECEBIMENTOS'!$H$6:$H$1005,'RECEBIMENTOS'!$B$6:$B$1005,A269,'RECEBIMENTOS'!$X$6:$X$1005,1))</f>
        <v/>
      </c>
      <c r="R269" s="93" t="str">
        <f>IF(Z269=0,"",SUMIFS('VÍNCULOS_CDF'!$H$6:$H$1005,'VÍNCULOS_CDF'!$D$6:$D$1005,A269,'VÍNCULOS_CDF'!$V$6:$V$1005,1))</f>
        <v/>
      </c>
      <c r="S269" s="94" t="str">
        <f>IF(Z269=0,"",IF(AA269=1,"Cancelado (informado)",IF(AE269=1,"Cadastro incompleto",IF(OR(AC269=1,AD269=1,AF269&gt;0,AH269&gt;0,AK269&gt;0,AL269&gt;0),"Informação a revisar",IF(AN269=0,"Aguardando recebimento",IF(N(R269)=0,"Aguardando CDF",IF(AJ269&lt;N(W269),"Vínculo de CDF parcial",IF(AO269=0,"CDF localizado, a conferir","Documentação conferida"))))))))</f>
        <v/>
      </c>
      <c r="T269" s="94" t="str">
        <f>IF(Z269=0,"",IF(S269="Cadastro incompleto","MTR INCOMPLETO",IF(S269="Informação a revisar",IF(AND(AH269&gt;0,AC269=0,AD269=0,AF269=0,AK269=0,AL269=0),"QUANTIDADE A REVISAR","IDENTIFICAÇÃO A REVISAR"),IF(S269="Aguardando recebimento","RECEBIMENTO NÃO CONFIRMADO",IF(S269="Aguardando CDF","CDF NÃO LOCALIZADO",IF(S269="Vínculo de CDF parcial","VÍNCULO INCOMPLETO",IF(S269="CDF localizado, a conferir","CDF A CONFERIR","")))))))</f>
        <v/>
      </c>
      <c r="U269" s="95" t="str">
        <f>IF(T269="","",IF(AQ269="","Não calculável",IF(AQ269&gt;TODAY(),"Data futura",TODAY()-AQ269)))</f>
        <v/>
      </c>
      <c r="V269" s="93" t="str">
        <f>IF(Z269=0,"",SUMIFS('RECEBIMENTOS'!$H$6:$H$1005,'RECEBIMENTOS'!$B$6:$B$1005,A269,'RECEBIMENTOS'!$Z$6:$Z$1005,1))</f>
        <v/>
      </c>
      <c r="W269" s="95" t="str">
        <f>IF(Z269=0,"",COUNTIFS('ITENS_MTR'!$S$6:$S$1005,A269,'ITENS_MTR'!$R$6:$R$1005,1))</f>
        <v/>
      </c>
      <c r="X269" s="94" t="str">
        <f>IF(AC269=1,"POSSÍVEL DUPLICIDADE","")</f>
        <v/>
      </c>
      <c r="Y269" s="94" t="str">
        <f>IF(Z269=0,"",IF(AW269="","Nenhuma",LEFT(AW269,LEN(AW269)-2)))</f>
        <v/>
      </c>
      <c r="Z269" s="96">
        <f>IF(COUNTA(B269:O269)&gt;0,1,0)</f>
        <v>0</v>
      </c>
      <c r="AA269" s="96">
        <f>IF(AND(Z269=1,K269&lt;&gt;""),IF(TRIM(K269)=TRIM(cfg_cancel),1,0),0)</f>
        <v>0</v>
      </c>
      <c r="AB269" s="96" t="str">
        <f>IF(AND(Z269=1,B269&lt;&gt;""),C269&amp;"|"&amp;D269&amp;"|"&amp;G269&amp;"|"&amp;TRIM(B269),"")</f>
        <v/>
      </c>
      <c r="AC269" s="96">
        <f>IF(AB269="",0,IF(SUMPRODUCT(--($AB$6:$AB$505=AB269))&gt;1,1,0))</f>
        <v>0</v>
      </c>
      <c r="AD269" s="96">
        <f>IF(Z269=0,0,IF(OR(AND(G269&lt;&gt;"",ISNA(MATCH(G269,'CAD_UNIDADES'!$C$6:$C$105,0))),AND(H269&lt;&gt;"",ISNA(MATCH(H269,cmp_transp,0))),AND(I269&lt;&gt;"",ISNA(MATCH(I269,cmp_dest,0))),AND(E269&lt;&gt;"",NOT(ISNUMBER(E269))),AND(F269&lt;&gt;"",NOT(ISNUMBER(F269))),AND(ISNUMBER(E269),ISNUMBER(F269),F269&lt;E269)),1,0))</f>
        <v>0</v>
      </c>
      <c r="AE269" s="96">
        <f>IF(Z269=0,0,IF(OR(B269="",C269="",E269="",G269="",H269="",I269="",N(W269)=0),1,0))</f>
        <v>0</v>
      </c>
      <c r="AF269" s="96">
        <f>IF(Z269=0,0,COUNTIFS('ITENS_MTR'!$S$6:$S$1005,A269,'ITENS_MTR'!$AI$6:$AI$1005,1))</f>
        <v>0</v>
      </c>
      <c r="AG269" s="96">
        <f>IF(Z269=0,0,COUNTIFS('ITENS_MTR'!$S$6:$S$1005,A269,'ITENS_MTR'!$AJ$6:$AJ$1005,1))</f>
        <v>0</v>
      </c>
      <c r="AH269" s="96">
        <f>IF(Z269=0,0,COUNTIFS('ITENS_MTR'!$S$6:$S$1005,A269,'ITENS_MTR'!$AM$6:$AM$1005,1))</f>
        <v>0</v>
      </c>
      <c r="AI269" s="96">
        <f>IF(Z269=0,0,COUNTIFS('ITENS_MTR'!$S$6:$S$1005,A269,'ITENS_MTR'!$AO$6:$AO$1005,1))</f>
        <v>0</v>
      </c>
      <c r="AJ269" s="96">
        <f>IF(Z269=0,0,COUNTIFS('ITENS_MTR'!$S$6:$S$1005,A269,'ITENS_MTR'!$AN$6:$AN$1005,1))</f>
        <v>0</v>
      </c>
      <c r="AK269" s="96">
        <f>IF(Z269=0,0,COUNTIFS('RECEBIMENTOS'!$B$6:$B$1005,A269,'RECEBIMENTOS'!$Y$6:$Y$1005,1))</f>
        <v>0</v>
      </c>
      <c r="AL269" s="96">
        <f>IF(Z269=0,0,COUNTIFS('VÍNCULOS_CDF'!$D$6:$D$1005,A269,'VÍNCULOS_CDF'!$Y$6:$Y$1005,1))</f>
        <v>0</v>
      </c>
      <c r="AM269" s="96">
        <f>IF(Z269=0,0,COUNTIFS('RECEBIMENTOS'!$B$6:$B$1005,A269,'RECEBIMENTOS'!$Q$6:$Q$1005,1))</f>
        <v>0</v>
      </c>
      <c r="AN269" s="96">
        <f>IF(AND(Z269=1,N(W269)&gt;0,AG269=N(W269)),1,0)</f>
        <v>0</v>
      </c>
      <c r="AO269" s="96">
        <f>IF(AND(Z269=1,N(W269)&gt;0,AI269=N(W269)),1,0)</f>
        <v>0</v>
      </c>
      <c r="AP269" s="97">
        <f>IF(Z269=0,0,_xlfn.MAXIFS('RECEBIMENTOS'!$E$6:$E$1005,'RECEBIMENTOS'!$B$6:$B$1005,A269))</f>
        <v>0</v>
      </c>
      <c r="AQ269" s="97" t="str">
        <f>IF(T269="","",IF(T269="RECEBIMENTO NÃO CONFIRMADO",IF(ISNUMBER(F269),F269,IF(ISNUMBER(E269),E269,"")),IF(OR(T269="CDF NÃO LOCALIZADO",T269="VÍNCULO INCOMPLETO",T269="CDF A CONFERIR"),IF(AP269&gt;0,AP269,IF(ISNUMBER(E269),E269,"")),IF(ISNUMBER(E269),E269,""))))</f>
        <v/>
      </c>
      <c r="AR269" s="96">
        <f>IF(NOT(ISNUMBER(U269)),0,IF(T269="RECEBIMENTO NÃO CONFIRMADO",IF(AND(ISNUMBER(cfg_rec),U269&gt;cfg_rec),1,0),IF(OR(T269="CDF NÃO LOCALIZADO",T269="VÍNCULO INCOMPLETO",T269="CDF A CONFERIR"),IF(AND(ISNUMBER(cfg_cdf),U269&gt;cfg_cdf),1,0),0)))</f>
        <v>0</v>
      </c>
      <c r="AS269" s="96" t="str">
        <f>IF(T269="","",IF(AR269=1,"Alta",IFERROR(INDEX(cfg_pp,MATCH(T269,cfg_pt,0))&amp;"","Média")))</f>
        <v/>
      </c>
      <c r="AT269" s="96" t="str">
        <f>IF(T269="","",IFERROR(INDEX(cfg_pv,MATCH(T269,cfg_pt,0))&amp;"",""))</f>
        <v/>
      </c>
      <c r="AU269" s="96" t="str">
        <f>IF(T269="","",IF(AS269="Alta",1,IF(AS269="Média",2,3))*1000000000+(999999-IF(ISNUMBER(U269),MIN(U269,999999),0))*1000+264)</f>
        <v/>
      </c>
      <c r="AV269" s="96">
        <f>IF(T269&lt;&gt;"",1,0)</f>
        <v>0</v>
      </c>
      <c r="AW269" s="96" t="str">
        <f>IF(Z269=0,"",IF(AA269=1,"Cancelamento informado; ","")&amp;IF(AE269=1,"Campos essenciais ou itens faltando; ","")&amp;IF(AC269=1,"Possível duplicidade do número; ","")&amp;IF(AD269=1,"Cadastro ou datas a revisar; ","")&amp;IF(AF269&gt;0,"Item de resíduo com dado a revisar; ","")&amp;IF(AH269&gt;0,"Diferença de quantidade a analisar; ","")&amp;IF(AK269&gt;0,"Recebimento com alerta; ","")&amp;IF(AL269&gt;0,"Vínculo de CDF com alerta; ","")&amp;IF(AND(AA269=0,AN269=0),"Recebimento não confirmado; ","")&amp;IF(AND(AA269=0,AN269=1,AO269=0),"CDF pendente ou a conferir; ",""))</f>
        <v/>
      </c>
      <c r="AX269" s="96">
        <f>IF(Z269=0,0,IF(AND(OR(f_ini="",AND(ISNUMBER(E269),E269&gt;=f_ini)),OR(f_fim="",AND(ISNUMBER(E269),E269&lt;=f_fim)),OR(f_un="",f_un="(Todas)",G269=f_un),OR(f_tr="",f_tr="(Todos)",H269=f_tr),OR(f_de="",f_de="(Todos)",I269=f_de),OR(f_sit="",f_sit="(Todas)",S269=f_sit)),1,0))</f>
        <v>0</v>
      </c>
      <c r="AY269" s="96">
        <f>IF(AX269=0,0,IF(OR(f_res="",f_res="(Todos)"),1,IF(COUNTIFS('ITENS_MTR'!$S$6:$S$1005,A269,'ITENS_MTR'!$C$6:$C$1005,f_res)&gt;0,1,0)))</f>
        <v>0</v>
      </c>
      <c r="AZ269" s="97" t="str">
        <f>IF(ISNUMBER(E269),DATE(YEAR(E269),MONTH(E269),1),"")</f>
        <v/>
      </c>
      <c r="BA269" s="96">
        <f>IF(Z269=0,0,IF(AND(OR(r_ini="",AND(ISNUMBER(E269),E269&gt;=r_ini)),OR(r_fim="",AND(ISNUMBER(E269),E269&lt;=r_fim)),OR(r_un="",r_un="(Todas)",G269=r_un),OR(r_de="",r_de="(Todos)",I269=r_de)),1,0))</f>
        <v>0</v>
      </c>
      <c r="BB269" s="96" t="str">
        <f>IF(BA269=1,COUNTIF($BA$6:BA269,1),"")</f>
        <v/>
      </c>
      <c r="BC269" s="96" t="str">
        <f>IF(AND(AU269&lt;&gt;"",OR(r_un="",r_un="(Todas)",G269=r_un),OR(r_de="",r_de="(Todos)",I269=r_de)),AU269,"")</f>
        <v/>
      </c>
      <c r="BD269" s="96" t="str">
        <f>IF(Z269=1,A269&amp;" | nº "&amp;IF(B269="","(sem número)",B269)&amp;" | "&amp;IF(G269="","(sem unidade)",G269),"")</f>
        <v/>
      </c>
      <c r="BE269" s="96" t="str">
        <f>IF(Z269=1,COUNTIF($Z$6:Z269,1),"")</f>
        <v/>
      </c>
      <c r="BF269" s="96" t="str">
        <f>IF(T269="","",IF(T269="RECEBIMENTO NÃO CONFIRMADO","Transp.: "&amp;H269&amp;" | Dest.: "&amp;I269,IF(OR(T269="CDF NÃO LOCALIZADO",T269="VÍNCULO INCOMPLETO",T269="CDF A CONFERIR"),"Dest.: "&amp;I269,"Gerador: "&amp;G269)))</f>
        <v/>
      </c>
    </row>
    <row r="270">
      <c r="A270" s="89" t="inlineStr">
        <is>
          <t>MTR-000265</t>
        </is>
      </c>
      <c r="B270" s="90" t="n"/>
      <c r="C270" s="91" t="n"/>
      <c r="D270" s="91" t="n"/>
      <c r="E270" s="92" t="n"/>
      <c r="F270" s="92" t="n"/>
      <c r="G270" s="91" t="n"/>
      <c r="H270" s="91" t="n"/>
      <c r="I270" s="91" t="n"/>
      <c r="J270" s="91" t="n"/>
      <c r="K270" s="91" t="n"/>
      <c r="L270" s="92" t="n"/>
      <c r="M270" s="91" t="n"/>
      <c r="N270" s="91" t="n"/>
      <c r="O270" s="91" t="n"/>
      <c r="P270" s="93" t="str">
        <f>IF(Z270=0,"",SUMIFS('ITENS_MTR'!$I$6:$I$1005,'ITENS_MTR'!$S$6:$S$1005,A270,'ITENS_MTR'!$Y$6:$Y$1005,1))</f>
        <v/>
      </c>
      <c r="Q270" s="93" t="str">
        <f>IF(Z270=0,"",SUMIFS('RECEBIMENTOS'!$H$6:$H$1005,'RECEBIMENTOS'!$B$6:$B$1005,A270,'RECEBIMENTOS'!$X$6:$X$1005,1))</f>
        <v/>
      </c>
      <c r="R270" s="93" t="str">
        <f>IF(Z270=0,"",SUMIFS('VÍNCULOS_CDF'!$H$6:$H$1005,'VÍNCULOS_CDF'!$D$6:$D$1005,A270,'VÍNCULOS_CDF'!$V$6:$V$1005,1))</f>
        <v/>
      </c>
      <c r="S270" s="94" t="str">
        <f>IF(Z270=0,"",IF(AA270=1,"Cancelado (informado)",IF(AE270=1,"Cadastro incompleto",IF(OR(AC270=1,AD270=1,AF270&gt;0,AH270&gt;0,AK270&gt;0,AL270&gt;0),"Informação a revisar",IF(AN270=0,"Aguardando recebimento",IF(N(R270)=0,"Aguardando CDF",IF(AJ270&lt;N(W270),"Vínculo de CDF parcial",IF(AO270=0,"CDF localizado, a conferir","Documentação conferida"))))))))</f>
        <v/>
      </c>
      <c r="T270" s="94" t="str">
        <f>IF(Z270=0,"",IF(S270="Cadastro incompleto","MTR INCOMPLETO",IF(S270="Informação a revisar",IF(AND(AH270&gt;0,AC270=0,AD270=0,AF270=0,AK270=0,AL270=0),"QUANTIDADE A REVISAR","IDENTIFICAÇÃO A REVISAR"),IF(S270="Aguardando recebimento","RECEBIMENTO NÃO CONFIRMADO",IF(S270="Aguardando CDF","CDF NÃO LOCALIZADO",IF(S270="Vínculo de CDF parcial","VÍNCULO INCOMPLETO",IF(S270="CDF localizado, a conferir","CDF A CONFERIR","")))))))</f>
        <v/>
      </c>
      <c r="U270" s="95" t="str">
        <f>IF(T270="","",IF(AQ270="","Não calculável",IF(AQ270&gt;TODAY(),"Data futura",TODAY()-AQ270)))</f>
        <v/>
      </c>
      <c r="V270" s="93" t="str">
        <f>IF(Z270=0,"",SUMIFS('RECEBIMENTOS'!$H$6:$H$1005,'RECEBIMENTOS'!$B$6:$B$1005,A270,'RECEBIMENTOS'!$Z$6:$Z$1005,1))</f>
        <v/>
      </c>
      <c r="W270" s="95" t="str">
        <f>IF(Z270=0,"",COUNTIFS('ITENS_MTR'!$S$6:$S$1005,A270,'ITENS_MTR'!$R$6:$R$1005,1))</f>
        <v/>
      </c>
      <c r="X270" s="94" t="str">
        <f>IF(AC270=1,"POSSÍVEL DUPLICIDADE","")</f>
        <v/>
      </c>
      <c r="Y270" s="94" t="str">
        <f>IF(Z270=0,"",IF(AW270="","Nenhuma",LEFT(AW270,LEN(AW270)-2)))</f>
        <v/>
      </c>
      <c r="Z270" s="96">
        <f>IF(COUNTA(B270:O270)&gt;0,1,0)</f>
        <v>0</v>
      </c>
      <c r="AA270" s="96">
        <f>IF(AND(Z270=1,K270&lt;&gt;""),IF(TRIM(K270)=TRIM(cfg_cancel),1,0),0)</f>
        <v>0</v>
      </c>
      <c r="AB270" s="96" t="str">
        <f>IF(AND(Z270=1,B270&lt;&gt;""),C270&amp;"|"&amp;D270&amp;"|"&amp;G270&amp;"|"&amp;TRIM(B270),"")</f>
        <v/>
      </c>
      <c r="AC270" s="96">
        <f>IF(AB270="",0,IF(SUMPRODUCT(--($AB$6:$AB$505=AB270))&gt;1,1,0))</f>
        <v>0</v>
      </c>
      <c r="AD270" s="96">
        <f>IF(Z270=0,0,IF(OR(AND(G270&lt;&gt;"",ISNA(MATCH(G270,'CAD_UNIDADES'!$C$6:$C$105,0))),AND(H270&lt;&gt;"",ISNA(MATCH(H270,cmp_transp,0))),AND(I270&lt;&gt;"",ISNA(MATCH(I270,cmp_dest,0))),AND(E270&lt;&gt;"",NOT(ISNUMBER(E270))),AND(F270&lt;&gt;"",NOT(ISNUMBER(F270))),AND(ISNUMBER(E270),ISNUMBER(F270),F270&lt;E270)),1,0))</f>
        <v>0</v>
      </c>
      <c r="AE270" s="96">
        <f>IF(Z270=0,0,IF(OR(B270="",C270="",E270="",G270="",H270="",I270="",N(W270)=0),1,0))</f>
        <v>0</v>
      </c>
      <c r="AF270" s="96">
        <f>IF(Z270=0,0,COUNTIFS('ITENS_MTR'!$S$6:$S$1005,A270,'ITENS_MTR'!$AI$6:$AI$1005,1))</f>
        <v>0</v>
      </c>
      <c r="AG270" s="96">
        <f>IF(Z270=0,0,COUNTIFS('ITENS_MTR'!$S$6:$S$1005,A270,'ITENS_MTR'!$AJ$6:$AJ$1005,1))</f>
        <v>0</v>
      </c>
      <c r="AH270" s="96">
        <f>IF(Z270=0,0,COUNTIFS('ITENS_MTR'!$S$6:$S$1005,A270,'ITENS_MTR'!$AM$6:$AM$1005,1))</f>
        <v>0</v>
      </c>
      <c r="AI270" s="96">
        <f>IF(Z270=0,0,COUNTIFS('ITENS_MTR'!$S$6:$S$1005,A270,'ITENS_MTR'!$AO$6:$AO$1005,1))</f>
        <v>0</v>
      </c>
      <c r="AJ270" s="96">
        <f>IF(Z270=0,0,COUNTIFS('ITENS_MTR'!$S$6:$S$1005,A270,'ITENS_MTR'!$AN$6:$AN$1005,1))</f>
        <v>0</v>
      </c>
      <c r="AK270" s="96">
        <f>IF(Z270=0,0,COUNTIFS('RECEBIMENTOS'!$B$6:$B$1005,A270,'RECEBIMENTOS'!$Y$6:$Y$1005,1))</f>
        <v>0</v>
      </c>
      <c r="AL270" s="96">
        <f>IF(Z270=0,0,COUNTIFS('VÍNCULOS_CDF'!$D$6:$D$1005,A270,'VÍNCULOS_CDF'!$Y$6:$Y$1005,1))</f>
        <v>0</v>
      </c>
      <c r="AM270" s="96">
        <f>IF(Z270=0,0,COUNTIFS('RECEBIMENTOS'!$B$6:$B$1005,A270,'RECEBIMENTOS'!$Q$6:$Q$1005,1))</f>
        <v>0</v>
      </c>
      <c r="AN270" s="96">
        <f>IF(AND(Z270=1,N(W270)&gt;0,AG270=N(W270)),1,0)</f>
        <v>0</v>
      </c>
      <c r="AO270" s="96">
        <f>IF(AND(Z270=1,N(W270)&gt;0,AI270=N(W270)),1,0)</f>
        <v>0</v>
      </c>
      <c r="AP270" s="97">
        <f>IF(Z270=0,0,_xlfn.MAXIFS('RECEBIMENTOS'!$E$6:$E$1005,'RECEBIMENTOS'!$B$6:$B$1005,A270))</f>
        <v>0</v>
      </c>
      <c r="AQ270" s="97" t="str">
        <f>IF(T270="","",IF(T270="RECEBIMENTO NÃO CONFIRMADO",IF(ISNUMBER(F270),F270,IF(ISNUMBER(E270),E270,"")),IF(OR(T270="CDF NÃO LOCALIZADO",T270="VÍNCULO INCOMPLETO",T270="CDF A CONFERIR"),IF(AP270&gt;0,AP270,IF(ISNUMBER(E270),E270,"")),IF(ISNUMBER(E270),E270,""))))</f>
        <v/>
      </c>
      <c r="AR270" s="96">
        <f>IF(NOT(ISNUMBER(U270)),0,IF(T270="RECEBIMENTO NÃO CONFIRMADO",IF(AND(ISNUMBER(cfg_rec),U270&gt;cfg_rec),1,0),IF(OR(T270="CDF NÃO LOCALIZADO",T270="VÍNCULO INCOMPLETO",T270="CDF A CONFERIR"),IF(AND(ISNUMBER(cfg_cdf),U270&gt;cfg_cdf),1,0),0)))</f>
        <v>0</v>
      </c>
      <c r="AS270" s="96" t="str">
        <f>IF(T270="","",IF(AR270=1,"Alta",IFERROR(INDEX(cfg_pp,MATCH(T270,cfg_pt,0))&amp;"","Média")))</f>
        <v/>
      </c>
      <c r="AT270" s="96" t="str">
        <f>IF(T270="","",IFERROR(INDEX(cfg_pv,MATCH(T270,cfg_pt,0))&amp;"",""))</f>
        <v/>
      </c>
      <c r="AU270" s="96" t="str">
        <f>IF(T270="","",IF(AS270="Alta",1,IF(AS270="Média",2,3))*1000000000+(999999-IF(ISNUMBER(U270),MIN(U270,999999),0))*1000+265)</f>
        <v/>
      </c>
      <c r="AV270" s="96">
        <f>IF(T270&lt;&gt;"",1,0)</f>
        <v>0</v>
      </c>
      <c r="AW270" s="96" t="str">
        <f>IF(Z270=0,"",IF(AA270=1,"Cancelamento informado; ","")&amp;IF(AE270=1,"Campos essenciais ou itens faltando; ","")&amp;IF(AC270=1,"Possível duplicidade do número; ","")&amp;IF(AD270=1,"Cadastro ou datas a revisar; ","")&amp;IF(AF270&gt;0,"Item de resíduo com dado a revisar; ","")&amp;IF(AH270&gt;0,"Diferença de quantidade a analisar; ","")&amp;IF(AK270&gt;0,"Recebimento com alerta; ","")&amp;IF(AL270&gt;0,"Vínculo de CDF com alerta; ","")&amp;IF(AND(AA270=0,AN270=0),"Recebimento não confirmado; ","")&amp;IF(AND(AA270=0,AN270=1,AO270=0),"CDF pendente ou a conferir; ",""))</f>
        <v/>
      </c>
      <c r="AX270" s="96">
        <f>IF(Z270=0,0,IF(AND(OR(f_ini="",AND(ISNUMBER(E270),E270&gt;=f_ini)),OR(f_fim="",AND(ISNUMBER(E270),E270&lt;=f_fim)),OR(f_un="",f_un="(Todas)",G270=f_un),OR(f_tr="",f_tr="(Todos)",H270=f_tr),OR(f_de="",f_de="(Todos)",I270=f_de),OR(f_sit="",f_sit="(Todas)",S270=f_sit)),1,0))</f>
        <v>0</v>
      </c>
      <c r="AY270" s="96">
        <f>IF(AX270=0,0,IF(OR(f_res="",f_res="(Todos)"),1,IF(COUNTIFS('ITENS_MTR'!$S$6:$S$1005,A270,'ITENS_MTR'!$C$6:$C$1005,f_res)&gt;0,1,0)))</f>
        <v>0</v>
      </c>
      <c r="AZ270" s="97" t="str">
        <f>IF(ISNUMBER(E270),DATE(YEAR(E270),MONTH(E270),1),"")</f>
        <v/>
      </c>
      <c r="BA270" s="96">
        <f>IF(Z270=0,0,IF(AND(OR(r_ini="",AND(ISNUMBER(E270),E270&gt;=r_ini)),OR(r_fim="",AND(ISNUMBER(E270),E270&lt;=r_fim)),OR(r_un="",r_un="(Todas)",G270=r_un),OR(r_de="",r_de="(Todos)",I270=r_de)),1,0))</f>
        <v>0</v>
      </c>
      <c r="BB270" s="96" t="str">
        <f>IF(BA270=1,COUNTIF($BA$6:BA270,1),"")</f>
        <v/>
      </c>
      <c r="BC270" s="96" t="str">
        <f>IF(AND(AU270&lt;&gt;"",OR(r_un="",r_un="(Todas)",G270=r_un),OR(r_de="",r_de="(Todos)",I270=r_de)),AU270,"")</f>
        <v/>
      </c>
      <c r="BD270" s="96" t="str">
        <f>IF(Z270=1,A270&amp;" | nº "&amp;IF(B270="","(sem número)",B270)&amp;" | "&amp;IF(G270="","(sem unidade)",G270),"")</f>
        <v/>
      </c>
      <c r="BE270" s="96" t="str">
        <f>IF(Z270=1,COUNTIF($Z$6:Z270,1),"")</f>
        <v/>
      </c>
      <c r="BF270" s="96" t="str">
        <f>IF(T270="","",IF(T270="RECEBIMENTO NÃO CONFIRMADO","Transp.: "&amp;H270&amp;" | Dest.: "&amp;I270,IF(OR(T270="CDF NÃO LOCALIZADO",T270="VÍNCULO INCOMPLETO",T270="CDF A CONFERIR"),"Dest.: "&amp;I270,"Gerador: "&amp;G270)))</f>
        <v/>
      </c>
    </row>
    <row r="271">
      <c r="A271" s="89" t="inlineStr">
        <is>
          <t>MTR-000266</t>
        </is>
      </c>
      <c r="B271" s="90" t="n"/>
      <c r="C271" s="91" t="n"/>
      <c r="D271" s="91" t="n"/>
      <c r="E271" s="92" t="n"/>
      <c r="F271" s="92" t="n"/>
      <c r="G271" s="91" t="n"/>
      <c r="H271" s="91" t="n"/>
      <c r="I271" s="91" t="n"/>
      <c r="J271" s="91" t="n"/>
      <c r="K271" s="91" t="n"/>
      <c r="L271" s="92" t="n"/>
      <c r="M271" s="91" t="n"/>
      <c r="N271" s="91" t="n"/>
      <c r="O271" s="91" t="n"/>
      <c r="P271" s="93" t="str">
        <f>IF(Z271=0,"",SUMIFS('ITENS_MTR'!$I$6:$I$1005,'ITENS_MTR'!$S$6:$S$1005,A271,'ITENS_MTR'!$Y$6:$Y$1005,1))</f>
        <v/>
      </c>
      <c r="Q271" s="93" t="str">
        <f>IF(Z271=0,"",SUMIFS('RECEBIMENTOS'!$H$6:$H$1005,'RECEBIMENTOS'!$B$6:$B$1005,A271,'RECEBIMENTOS'!$X$6:$X$1005,1))</f>
        <v/>
      </c>
      <c r="R271" s="93" t="str">
        <f>IF(Z271=0,"",SUMIFS('VÍNCULOS_CDF'!$H$6:$H$1005,'VÍNCULOS_CDF'!$D$6:$D$1005,A271,'VÍNCULOS_CDF'!$V$6:$V$1005,1))</f>
        <v/>
      </c>
      <c r="S271" s="94" t="str">
        <f>IF(Z271=0,"",IF(AA271=1,"Cancelado (informado)",IF(AE271=1,"Cadastro incompleto",IF(OR(AC271=1,AD271=1,AF271&gt;0,AH271&gt;0,AK271&gt;0,AL271&gt;0),"Informação a revisar",IF(AN271=0,"Aguardando recebimento",IF(N(R271)=0,"Aguardando CDF",IF(AJ271&lt;N(W271),"Vínculo de CDF parcial",IF(AO271=0,"CDF localizado, a conferir","Documentação conferida"))))))))</f>
        <v/>
      </c>
      <c r="T271" s="94" t="str">
        <f>IF(Z271=0,"",IF(S271="Cadastro incompleto","MTR INCOMPLETO",IF(S271="Informação a revisar",IF(AND(AH271&gt;0,AC271=0,AD271=0,AF271=0,AK271=0,AL271=0),"QUANTIDADE A REVISAR","IDENTIFICAÇÃO A REVISAR"),IF(S271="Aguardando recebimento","RECEBIMENTO NÃO CONFIRMADO",IF(S271="Aguardando CDF","CDF NÃO LOCALIZADO",IF(S271="Vínculo de CDF parcial","VÍNCULO INCOMPLETO",IF(S271="CDF localizado, a conferir","CDF A CONFERIR","")))))))</f>
        <v/>
      </c>
      <c r="U271" s="95" t="str">
        <f>IF(T271="","",IF(AQ271="","Não calculável",IF(AQ271&gt;TODAY(),"Data futura",TODAY()-AQ271)))</f>
        <v/>
      </c>
      <c r="V271" s="93" t="str">
        <f>IF(Z271=0,"",SUMIFS('RECEBIMENTOS'!$H$6:$H$1005,'RECEBIMENTOS'!$B$6:$B$1005,A271,'RECEBIMENTOS'!$Z$6:$Z$1005,1))</f>
        <v/>
      </c>
      <c r="W271" s="95" t="str">
        <f>IF(Z271=0,"",COUNTIFS('ITENS_MTR'!$S$6:$S$1005,A271,'ITENS_MTR'!$R$6:$R$1005,1))</f>
        <v/>
      </c>
      <c r="X271" s="94" t="str">
        <f>IF(AC271=1,"POSSÍVEL DUPLICIDADE","")</f>
        <v/>
      </c>
      <c r="Y271" s="94" t="str">
        <f>IF(Z271=0,"",IF(AW271="","Nenhuma",LEFT(AW271,LEN(AW271)-2)))</f>
        <v/>
      </c>
      <c r="Z271" s="96">
        <f>IF(COUNTA(B271:O271)&gt;0,1,0)</f>
        <v>0</v>
      </c>
      <c r="AA271" s="96">
        <f>IF(AND(Z271=1,K271&lt;&gt;""),IF(TRIM(K271)=TRIM(cfg_cancel),1,0),0)</f>
        <v>0</v>
      </c>
      <c r="AB271" s="96" t="str">
        <f>IF(AND(Z271=1,B271&lt;&gt;""),C271&amp;"|"&amp;D271&amp;"|"&amp;G271&amp;"|"&amp;TRIM(B271),"")</f>
        <v/>
      </c>
      <c r="AC271" s="96">
        <f>IF(AB271="",0,IF(SUMPRODUCT(--($AB$6:$AB$505=AB271))&gt;1,1,0))</f>
        <v>0</v>
      </c>
      <c r="AD271" s="96">
        <f>IF(Z271=0,0,IF(OR(AND(G271&lt;&gt;"",ISNA(MATCH(G271,'CAD_UNIDADES'!$C$6:$C$105,0))),AND(H271&lt;&gt;"",ISNA(MATCH(H271,cmp_transp,0))),AND(I271&lt;&gt;"",ISNA(MATCH(I271,cmp_dest,0))),AND(E271&lt;&gt;"",NOT(ISNUMBER(E271))),AND(F271&lt;&gt;"",NOT(ISNUMBER(F271))),AND(ISNUMBER(E271),ISNUMBER(F271),F271&lt;E271)),1,0))</f>
        <v>0</v>
      </c>
      <c r="AE271" s="96">
        <f>IF(Z271=0,0,IF(OR(B271="",C271="",E271="",G271="",H271="",I271="",N(W271)=0),1,0))</f>
        <v>0</v>
      </c>
      <c r="AF271" s="96">
        <f>IF(Z271=0,0,COUNTIFS('ITENS_MTR'!$S$6:$S$1005,A271,'ITENS_MTR'!$AI$6:$AI$1005,1))</f>
        <v>0</v>
      </c>
      <c r="AG271" s="96">
        <f>IF(Z271=0,0,COUNTIFS('ITENS_MTR'!$S$6:$S$1005,A271,'ITENS_MTR'!$AJ$6:$AJ$1005,1))</f>
        <v>0</v>
      </c>
      <c r="AH271" s="96">
        <f>IF(Z271=0,0,COUNTIFS('ITENS_MTR'!$S$6:$S$1005,A271,'ITENS_MTR'!$AM$6:$AM$1005,1))</f>
        <v>0</v>
      </c>
      <c r="AI271" s="96">
        <f>IF(Z271=0,0,COUNTIFS('ITENS_MTR'!$S$6:$S$1005,A271,'ITENS_MTR'!$AO$6:$AO$1005,1))</f>
        <v>0</v>
      </c>
      <c r="AJ271" s="96">
        <f>IF(Z271=0,0,COUNTIFS('ITENS_MTR'!$S$6:$S$1005,A271,'ITENS_MTR'!$AN$6:$AN$1005,1))</f>
        <v>0</v>
      </c>
      <c r="AK271" s="96">
        <f>IF(Z271=0,0,COUNTIFS('RECEBIMENTOS'!$B$6:$B$1005,A271,'RECEBIMENTOS'!$Y$6:$Y$1005,1))</f>
        <v>0</v>
      </c>
      <c r="AL271" s="96">
        <f>IF(Z271=0,0,COUNTIFS('VÍNCULOS_CDF'!$D$6:$D$1005,A271,'VÍNCULOS_CDF'!$Y$6:$Y$1005,1))</f>
        <v>0</v>
      </c>
      <c r="AM271" s="96">
        <f>IF(Z271=0,0,COUNTIFS('RECEBIMENTOS'!$B$6:$B$1005,A271,'RECEBIMENTOS'!$Q$6:$Q$1005,1))</f>
        <v>0</v>
      </c>
      <c r="AN271" s="96">
        <f>IF(AND(Z271=1,N(W271)&gt;0,AG271=N(W271)),1,0)</f>
        <v>0</v>
      </c>
      <c r="AO271" s="96">
        <f>IF(AND(Z271=1,N(W271)&gt;0,AI271=N(W271)),1,0)</f>
        <v>0</v>
      </c>
      <c r="AP271" s="97">
        <f>IF(Z271=0,0,_xlfn.MAXIFS('RECEBIMENTOS'!$E$6:$E$1005,'RECEBIMENTOS'!$B$6:$B$1005,A271))</f>
        <v>0</v>
      </c>
      <c r="AQ271" s="97" t="str">
        <f>IF(T271="","",IF(T271="RECEBIMENTO NÃO CONFIRMADO",IF(ISNUMBER(F271),F271,IF(ISNUMBER(E271),E271,"")),IF(OR(T271="CDF NÃO LOCALIZADO",T271="VÍNCULO INCOMPLETO",T271="CDF A CONFERIR"),IF(AP271&gt;0,AP271,IF(ISNUMBER(E271),E271,"")),IF(ISNUMBER(E271),E271,""))))</f>
        <v/>
      </c>
      <c r="AR271" s="96">
        <f>IF(NOT(ISNUMBER(U271)),0,IF(T271="RECEBIMENTO NÃO CONFIRMADO",IF(AND(ISNUMBER(cfg_rec),U271&gt;cfg_rec),1,0),IF(OR(T271="CDF NÃO LOCALIZADO",T271="VÍNCULO INCOMPLETO",T271="CDF A CONFERIR"),IF(AND(ISNUMBER(cfg_cdf),U271&gt;cfg_cdf),1,0),0)))</f>
        <v>0</v>
      </c>
      <c r="AS271" s="96" t="str">
        <f>IF(T271="","",IF(AR271=1,"Alta",IFERROR(INDEX(cfg_pp,MATCH(T271,cfg_pt,0))&amp;"","Média")))</f>
        <v/>
      </c>
      <c r="AT271" s="96" t="str">
        <f>IF(T271="","",IFERROR(INDEX(cfg_pv,MATCH(T271,cfg_pt,0))&amp;"",""))</f>
        <v/>
      </c>
      <c r="AU271" s="96" t="str">
        <f>IF(T271="","",IF(AS271="Alta",1,IF(AS271="Média",2,3))*1000000000+(999999-IF(ISNUMBER(U271),MIN(U271,999999),0))*1000+266)</f>
        <v/>
      </c>
      <c r="AV271" s="96">
        <f>IF(T271&lt;&gt;"",1,0)</f>
        <v>0</v>
      </c>
      <c r="AW271" s="96" t="str">
        <f>IF(Z271=0,"",IF(AA271=1,"Cancelamento informado; ","")&amp;IF(AE271=1,"Campos essenciais ou itens faltando; ","")&amp;IF(AC271=1,"Possível duplicidade do número; ","")&amp;IF(AD271=1,"Cadastro ou datas a revisar; ","")&amp;IF(AF271&gt;0,"Item de resíduo com dado a revisar; ","")&amp;IF(AH271&gt;0,"Diferença de quantidade a analisar; ","")&amp;IF(AK271&gt;0,"Recebimento com alerta; ","")&amp;IF(AL271&gt;0,"Vínculo de CDF com alerta; ","")&amp;IF(AND(AA271=0,AN271=0),"Recebimento não confirmado; ","")&amp;IF(AND(AA271=0,AN271=1,AO271=0),"CDF pendente ou a conferir; ",""))</f>
        <v/>
      </c>
      <c r="AX271" s="96">
        <f>IF(Z271=0,0,IF(AND(OR(f_ini="",AND(ISNUMBER(E271),E271&gt;=f_ini)),OR(f_fim="",AND(ISNUMBER(E271),E271&lt;=f_fim)),OR(f_un="",f_un="(Todas)",G271=f_un),OR(f_tr="",f_tr="(Todos)",H271=f_tr),OR(f_de="",f_de="(Todos)",I271=f_de),OR(f_sit="",f_sit="(Todas)",S271=f_sit)),1,0))</f>
        <v>0</v>
      </c>
      <c r="AY271" s="96">
        <f>IF(AX271=0,0,IF(OR(f_res="",f_res="(Todos)"),1,IF(COUNTIFS('ITENS_MTR'!$S$6:$S$1005,A271,'ITENS_MTR'!$C$6:$C$1005,f_res)&gt;0,1,0)))</f>
        <v>0</v>
      </c>
      <c r="AZ271" s="97" t="str">
        <f>IF(ISNUMBER(E271),DATE(YEAR(E271),MONTH(E271),1),"")</f>
        <v/>
      </c>
      <c r="BA271" s="96">
        <f>IF(Z271=0,0,IF(AND(OR(r_ini="",AND(ISNUMBER(E271),E271&gt;=r_ini)),OR(r_fim="",AND(ISNUMBER(E271),E271&lt;=r_fim)),OR(r_un="",r_un="(Todas)",G271=r_un),OR(r_de="",r_de="(Todos)",I271=r_de)),1,0))</f>
        <v>0</v>
      </c>
      <c r="BB271" s="96" t="str">
        <f>IF(BA271=1,COUNTIF($BA$6:BA271,1),"")</f>
        <v/>
      </c>
      <c r="BC271" s="96" t="str">
        <f>IF(AND(AU271&lt;&gt;"",OR(r_un="",r_un="(Todas)",G271=r_un),OR(r_de="",r_de="(Todos)",I271=r_de)),AU271,"")</f>
        <v/>
      </c>
      <c r="BD271" s="96" t="str">
        <f>IF(Z271=1,A271&amp;" | nº "&amp;IF(B271="","(sem número)",B271)&amp;" | "&amp;IF(G271="","(sem unidade)",G271),"")</f>
        <v/>
      </c>
      <c r="BE271" s="96" t="str">
        <f>IF(Z271=1,COUNTIF($Z$6:Z271,1),"")</f>
        <v/>
      </c>
      <c r="BF271" s="96" t="str">
        <f>IF(T271="","",IF(T271="RECEBIMENTO NÃO CONFIRMADO","Transp.: "&amp;H271&amp;" | Dest.: "&amp;I271,IF(OR(T271="CDF NÃO LOCALIZADO",T271="VÍNCULO INCOMPLETO",T271="CDF A CONFERIR"),"Dest.: "&amp;I271,"Gerador: "&amp;G271)))</f>
        <v/>
      </c>
    </row>
    <row r="272">
      <c r="A272" s="89" t="inlineStr">
        <is>
          <t>MTR-000267</t>
        </is>
      </c>
      <c r="B272" s="90" t="n"/>
      <c r="C272" s="91" t="n"/>
      <c r="D272" s="91" t="n"/>
      <c r="E272" s="92" t="n"/>
      <c r="F272" s="92" t="n"/>
      <c r="G272" s="91" t="n"/>
      <c r="H272" s="91" t="n"/>
      <c r="I272" s="91" t="n"/>
      <c r="J272" s="91" t="n"/>
      <c r="K272" s="91" t="n"/>
      <c r="L272" s="92" t="n"/>
      <c r="M272" s="91" t="n"/>
      <c r="N272" s="91" t="n"/>
      <c r="O272" s="91" t="n"/>
      <c r="P272" s="93" t="str">
        <f>IF(Z272=0,"",SUMIFS('ITENS_MTR'!$I$6:$I$1005,'ITENS_MTR'!$S$6:$S$1005,A272,'ITENS_MTR'!$Y$6:$Y$1005,1))</f>
        <v/>
      </c>
      <c r="Q272" s="93" t="str">
        <f>IF(Z272=0,"",SUMIFS('RECEBIMENTOS'!$H$6:$H$1005,'RECEBIMENTOS'!$B$6:$B$1005,A272,'RECEBIMENTOS'!$X$6:$X$1005,1))</f>
        <v/>
      </c>
      <c r="R272" s="93" t="str">
        <f>IF(Z272=0,"",SUMIFS('VÍNCULOS_CDF'!$H$6:$H$1005,'VÍNCULOS_CDF'!$D$6:$D$1005,A272,'VÍNCULOS_CDF'!$V$6:$V$1005,1))</f>
        <v/>
      </c>
      <c r="S272" s="94" t="str">
        <f>IF(Z272=0,"",IF(AA272=1,"Cancelado (informado)",IF(AE272=1,"Cadastro incompleto",IF(OR(AC272=1,AD272=1,AF272&gt;0,AH272&gt;0,AK272&gt;0,AL272&gt;0),"Informação a revisar",IF(AN272=0,"Aguardando recebimento",IF(N(R272)=0,"Aguardando CDF",IF(AJ272&lt;N(W272),"Vínculo de CDF parcial",IF(AO272=0,"CDF localizado, a conferir","Documentação conferida"))))))))</f>
        <v/>
      </c>
      <c r="T272" s="94" t="str">
        <f>IF(Z272=0,"",IF(S272="Cadastro incompleto","MTR INCOMPLETO",IF(S272="Informação a revisar",IF(AND(AH272&gt;0,AC272=0,AD272=0,AF272=0,AK272=0,AL272=0),"QUANTIDADE A REVISAR","IDENTIFICAÇÃO A REVISAR"),IF(S272="Aguardando recebimento","RECEBIMENTO NÃO CONFIRMADO",IF(S272="Aguardando CDF","CDF NÃO LOCALIZADO",IF(S272="Vínculo de CDF parcial","VÍNCULO INCOMPLETO",IF(S272="CDF localizado, a conferir","CDF A CONFERIR","")))))))</f>
        <v/>
      </c>
      <c r="U272" s="95" t="str">
        <f>IF(T272="","",IF(AQ272="","Não calculável",IF(AQ272&gt;TODAY(),"Data futura",TODAY()-AQ272)))</f>
        <v/>
      </c>
      <c r="V272" s="93" t="str">
        <f>IF(Z272=0,"",SUMIFS('RECEBIMENTOS'!$H$6:$H$1005,'RECEBIMENTOS'!$B$6:$B$1005,A272,'RECEBIMENTOS'!$Z$6:$Z$1005,1))</f>
        <v/>
      </c>
      <c r="W272" s="95" t="str">
        <f>IF(Z272=0,"",COUNTIFS('ITENS_MTR'!$S$6:$S$1005,A272,'ITENS_MTR'!$R$6:$R$1005,1))</f>
        <v/>
      </c>
      <c r="X272" s="94" t="str">
        <f>IF(AC272=1,"POSSÍVEL DUPLICIDADE","")</f>
        <v/>
      </c>
      <c r="Y272" s="94" t="str">
        <f>IF(Z272=0,"",IF(AW272="","Nenhuma",LEFT(AW272,LEN(AW272)-2)))</f>
        <v/>
      </c>
      <c r="Z272" s="96">
        <f>IF(COUNTA(B272:O272)&gt;0,1,0)</f>
        <v>0</v>
      </c>
      <c r="AA272" s="96">
        <f>IF(AND(Z272=1,K272&lt;&gt;""),IF(TRIM(K272)=TRIM(cfg_cancel),1,0),0)</f>
        <v>0</v>
      </c>
      <c r="AB272" s="96" t="str">
        <f>IF(AND(Z272=1,B272&lt;&gt;""),C272&amp;"|"&amp;D272&amp;"|"&amp;G272&amp;"|"&amp;TRIM(B272),"")</f>
        <v/>
      </c>
      <c r="AC272" s="96">
        <f>IF(AB272="",0,IF(SUMPRODUCT(--($AB$6:$AB$505=AB272))&gt;1,1,0))</f>
        <v>0</v>
      </c>
      <c r="AD272" s="96">
        <f>IF(Z272=0,0,IF(OR(AND(G272&lt;&gt;"",ISNA(MATCH(G272,'CAD_UNIDADES'!$C$6:$C$105,0))),AND(H272&lt;&gt;"",ISNA(MATCH(H272,cmp_transp,0))),AND(I272&lt;&gt;"",ISNA(MATCH(I272,cmp_dest,0))),AND(E272&lt;&gt;"",NOT(ISNUMBER(E272))),AND(F272&lt;&gt;"",NOT(ISNUMBER(F272))),AND(ISNUMBER(E272),ISNUMBER(F272),F272&lt;E272)),1,0))</f>
        <v>0</v>
      </c>
      <c r="AE272" s="96">
        <f>IF(Z272=0,0,IF(OR(B272="",C272="",E272="",G272="",H272="",I272="",N(W272)=0),1,0))</f>
        <v>0</v>
      </c>
      <c r="AF272" s="96">
        <f>IF(Z272=0,0,COUNTIFS('ITENS_MTR'!$S$6:$S$1005,A272,'ITENS_MTR'!$AI$6:$AI$1005,1))</f>
        <v>0</v>
      </c>
      <c r="AG272" s="96">
        <f>IF(Z272=0,0,COUNTIFS('ITENS_MTR'!$S$6:$S$1005,A272,'ITENS_MTR'!$AJ$6:$AJ$1005,1))</f>
        <v>0</v>
      </c>
      <c r="AH272" s="96">
        <f>IF(Z272=0,0,COUNTIFS('ITENS_MTR'!$S$6:$S$1005,A272,'ITENS_MTR'!$AM$6:$AM$1005,1))</f>
        <v>0</v>
      </c>
      <c r="AI272" s="96">
        <f>IF(Z272=0,0,COUNTIFS('ITENS_MTR'!$S$6:$S$1005,A272,'ITENS_MTR'!$AO$6:$AO$1005,1))</f>
        <v>0</v>
      </c>
      <c r="AJ272" s="96">
        <f>IF(Z272=0,0,COUNTIFS('ITENS_MTR'!$S$6:$S$1005,A272,'ITENS_MTR'!$AN$6:$AN$1005,1))</f>
        <v>0</v>
      </c>
      <c r="AK272" s="96">
        <f>IF(Z272=0,0,COUNTIFS('RECEBIMENTOS'!$B$6:$B$1005,A272,'RECEBIMENTOS'!$Y$6:$Y$1005,1))</f>
        <v>0</v>
      </c>
      <c r="AL272" s="96">
        <f>IF(Z272=0,0,COUNTIFS('VÍNCULOS_CDF'!$D$6:$D$1005,A272,'VÍNCULOS_CDF'!$Y$6:$Y$1005,1))</f>
        <v>0</v>
      </c>
      <c r="AM272" s="96">
        <f>IF(Z272=0,0,COUNTIFS('RECEBIMENTOS'!$B$6:$B$1005,A272,'RECEBIMENTOS'!$Q$6:$Q$1005,1))</f>
        <v>0</v>
      </c>
      <c r="AN272" s="96">
        <f>IF(AND(Z272=1,N(W272)&gt;0,AG272=N(W272)),1,0)</f>
        <v>0</v>
      </c>
      <c r="AO272" s="96">
        <f>IF(AND(Z272=1,N(W272)&gt;0,AI272=N(W272)),1,0)</f>
        <v>0</v>
      </c>
      <c r="AP272" s="97">
        <f>IF(Z272=0,0,_xlfn.MAXIFS('RECEBIMENTOS'!$E$6:$E$1005,'RECEBIMENTOS'!$B$6:$B$1005,A272))</f>
        <v>0</v>
      </c>
      <c r="AQ272" s="97" t="str">
        <f>IF(T272="","",IF(T272="RECEBIMENTO NÃO CONFIRMADO",IF(ISNUMBER(F272),F272,IF(ISNUMBER(E272),E272,"")),IF(OR(T272="CDF NÃO LOCALIZADO",T272="VÍNCULO INCOMPLETO",T272="CDF A CONFERIR"),IF(AP272&gt;0,AP272,IF(ISNUMBER(E272),E272,"")),IF(ISNUMBER(E272),E272,""))))</f>
        <v/>
      </c>
      <c r="AR272" s="96">
        <f>IF(NOT(ISNUMBER(U272)),0,IF(T272="RECEBIMENTO NÃO CONFIRMADO",IF(AND(ISNUMBER(cfg_rec),U272&gt;cfg_rec),1,0),IF(OR(T272="CDF NÃO LOCALIZADO",T272="VÍNCULO INCOMPLETO",T272="CDF A CONFERIR"),IF(AND(ISNUMBER(cfg_cdf),U272&gt;cfg_cdf),1,0),0)))</f>
        <v>0</v>
      </c>
      <c r="AS272" s="96" t="str">
        <f>IF(T272="","",IF(AR272=1,"Alta",IFERROR(INDEX(cfg_pp,MATCH(T272,cfg_pt,0))&amp;"","Média")))</f>
        <v/>
      </c>
      <c r="AT272" s="96" t="str">
        <f>IF(T272="","",IFERROR(INDEX(cfg_pv,MATCH(T272,cfg_pt,0))&amp;"",""))</f>
        <v/>
      </c>
      <c r="AU272" s="96" t="str">
        <f>IF(T272="","",IF(AS272="Alta",1,IF(AS272="Média",2,3))*1000000000+(999999-IF(ISNUMBER(U272),MIN(U272,999999),0))*1000+267)</f>
        <v/>
      </c>
      <c r="AV272" s="96">
        <f>IF(T272&lt;&gt;"",1,0)</f>
        <v>0</v>
      </c>
      <c r="AW272" s="96" t="str">
        <f>IF(Z272=0,"",IF(AA272=1,"Cancelamento informado; ","")&amp;IF(AE272=1,"Campos essenciais ou itens faltando; ","")&amp;IF(AC272=1,"Possível duplicidade do número; ","")&amp;IF(AD272=1,"Cadastro ou datas a revisar; ","")&amp;IF(AF272&gt;0,"Item de resíduo com dado a revisar; ","")&amp;IF(AH272&gt;0,"Diferença de quantidade a analisar; ","")&amp;IF(AK272&gt;0,"Recebimento com alerta; ","")&amp;IF(AL272&gt;0,"Vínculo de CDF com alerta; ","")&amp;IF(AND(AA272=0,AN272=0),"Recebimento não confirmado; ","")&amp;IF(AND(AA272=0,AN272=1,AO272=0),"CDF pendente ou a conferir; ",""))</f>
        <v/>
      </c>
      <c r="AX272" s="96">
        <f>IF(Z272=0,0,IF(AND(OR(f_ini="",AND(ISNUMBER(E272),E272&gt;=f_ini)),OR(f_fim="",AND(ISNUMBER(E272),E272&lt;=f_fim)),OR(f_un="",f_un="(Todas)",G272=f_un),OR(f_tr="",f_tr="(Todos)",H272=f_tr),OR(f_de="",f_de="(Todos)",I272=f_de),OR(f_sit="",f_sit="(Todas)",S272=f_sit)),1,0))</f>
        <v>0</v>
      </c>
      <c r="AY272" s="96">
        <f>IF(AX272=0,0,IF(OR(f_res="",f_res="(Todos)"),1,IF(COUNTIFS('ITENS_MTR'!$S$6:$S$1005,A272,'ITENS_MTR'!$C$6:$C$1005,f_res)&gt;0,1,0)))</f>
        <v>0</v>
      </c>
      <c r="AZ272" s="97" t="str">
        <f>IF(ISNUMBER(E272),DATE(YEAR(E272),MONTH(E272),1),"")</f>
        <v/>
      </c>
      <c r="BA272" s="96">
        <f>IF(Z272=0,0,IF(AND(OR(r_ini="",AND(ISNUMBER(E272),E272&gt;=r_ini)),OR(r_fim="",AND(ISNUMBER(E272),E272&lt;=r_fim)),OR(r_un="",r_un="(Todas)",G272=r_un),OR(r_de="",r_de="(Todos)",I272=r_de)),1,0))</f>
        <v>0</v>
      </c>
      <c r="BB272" s="96" t="str">
        <f>IF(BA272=1,COUNTIF($BA$6:BA272,1),"")</f>
        <v/>
      </c>
      <c r="BC272" s="96" t="str">
        <f>IF(AND(AU272&lt;&gt;"",OR(r_un="",r_un="(Todas)",G272=r_un),OR(r_de="",r_de="(Todos)",I272=r_de)),AU272,"")</f>
        <v/>
      </c>
      <c r="BD272" s="96" t="str">
        <f>IF(Z272=1,A272&amp;" | nº "&amp;IF(B272="","(sem número)",B272)&amp;" | "&amp;IF(G272="","(sem unidade)",G272),"")</f>
        <v/>
      </c>
      <c r="BE272" s="96" t="str">
        <f>IF(Z272=1,COUNTIF($Z$6:Z272,1),"")</f>
        <v/>
      </c>
      <c r="BF272" s="96" t="str">
        <f>IF(T272="","",IF(T272="RECEBIMENTO NÃO CONFIRMADO","Transp.: "&amp;H272&amp;" | Dest.: "&amp;I272,IF(OR(T272="CDF NÃO LOCALIZADO",T272="VÍNCULO INCOMPLETO",T272="CDF A CONFERIR"),"Dest.: "&amp;I272,"Gerador: "&amp;G272)))</f>
        <v/>
      </c>
    </row>
    <row r="273">
      <c r="A273" s="89" t="inlineStr">
        <is>
          <t>MTR-000268</t>
        </is>
      </c>
      <c r="B273" s="90" t="n"/>
      <c r="C273" s="91" t="n"/>
      <c r="D273" s="91" t="n"/>
      <c r="E273" s="92" t="n"/>
      <c r="F273" s="92" t="n"/>
      <c r="G273" s="91" t="n"/>
      <c r="H273" s="91" t="n"/>
      <c r="I273" s="91" t="n"/>
      <c r="J273" s="91" t="n"/>
      <c r="K273" s="91" t="n"/>
      <c r="L273" s="92" t="n"/>
      <c r="M273" s="91" t="n"/>
      <c r="N273" s="91" t="n"/>
      <c r="O273" s="91" t="n"/>
      <c r="P273" s="93" t="str">
        <f>IF(Z273=0,"",SUMIFS('ITENS_MTR'!$I$6:$I$1005,'ITENS_MTR'!$S$6:$S$1005,A273,'ITENS_MTR'!$Y$6:$Y$1005,1))</f>
        <v/>
      </c>
      <c r="Q273" s="93" t="str">
        <f>IF(Z273=0,"",SUMIFS('RECEBIMENTOS'!$H$6:$H$1005,'RECEBIMENTOS'!$B$6:$B$1005,A273,'RECEBIMENTOS'!$X$6:$X$1005,1))</f>
        <v/>
      </c>
      <c r="R273" s="93" t="str">
        <f>IF(Z273=0,"",SUMIFS('VÍNCULOS_CDF'!$H$6:$H$1005,'VÍNCULOS_CDF'!$D$6:$D$1005,A273,'VÍNCULOS_CDF'!$V$6:$V$1005,1))</f>
        <v/>
      </c>
      <c r="S273" s="94" t="str">
        <f>IF(Z273=0,"",IF(AA273=1,"Cancelado (informado)",IF(AE273=1,"Cadastro incompleto",IF(OR(AC273=1,AD273=1,AF273&gt;0,AH273&gt;0,AK273&gt;0,AL273&gt;0),"Informação a revisar",IF(AN273=0,"Aguardando recebimento",IF(N(R273)=0,"Aguardando CDF",IF(AJ273&lt;N(W273),"Vínculo de CDF parcial",IF(AO273=0,"CDF localizado, a conferir","Documentação conferida"))))))))</f>
        <v/>
      </c>
      <c r="T273" s="94" t="str">
        <f>IF(Z273=0,"",IF(S273="Cadastro incompleto","MTR INCOMPLETO",IF(S273="Informação a revisar",IF(AND(AH273&gt;0,AC273=0,AD273=0,AF273=0,AK273=0,AL273=0),"QUANTIDADE A REVISAR","IDENTIFICAÇÃO A REVISAR"),IF(S273="Aguardando recebimento","RECEBIMENTO NÃO CONFIRMADO",IF(S273="Aguardando CDF","CDF NÃO LOCALIZADO",IF(S273="Vínculo de CDF parcial","VÍNCULO INCOMPLETO",IF(S273="CDF localizado, a conferir","CDF A CONFERIR","")))))))</f>
        <v/>
      </c>
      <c r="U273" s="95" t="str">
        <f>IF(T273="","",IF(AQ273="","Não calculável",IF(AQ273&gt;TODAY(),"Data futura",TODAY()-AQ273)))</f>
        <v/>
      </c>
      <c r="V273" s="93" t="str">
        <f>IF(Z273=0,"",SUMIFS('RECEBIMENTOS'!$H$6:$H$1005,'RECEBIMENTOS'!$B$6:$B$1005,A273,'RECEBIMENTOS'!$Z$6:$Z$1005,1))</f>
        <v/>
      </c>
      <c r="W273" s="95" t="str">
        <f>IF(Z273=0,"",COUNTIFS('ITENS_MTR'!$S$6:$S$1005,A273,'ITENS_MTR'!$R$6:$R$1005,1))</f>
        <v/>
      </c>
      <c r="X273" s="94" t="str">
        <f>IF(AC273=1,"POSSÍVEL DUPLICIDADE","")</f>
        <v/>
      </c>
      <c r="Y273" s="94" t="str">
        <f>IF(Z273=0,"",IF(AW273="","Nenhuma",LEFT(AW273,LEN(AW273)-2)))</f>
        <v/>
      </c>
      <c r="Z273" s="96">
        <f>IF(COUNTA(B273:O273)&gt;0,1,0)</f>
        <v>0</v>
      </c>
      <c r="AA273" s="96">
        <f>IF(AND(Z273=1,K273&lt;&gt;""),IF(TRIM(K273)=TRIM(cfg_cancel),1,0),0)</f>
        <v>0</v>
      </c>
      <c r="AB273" s="96" t="str">
        <f>IF(AND(Z273=1,B273&lt;&gt;""),C273&amp;"|"&amp;D273&amp;"|"&amp;G273&amp;"|"&amp;TRIM(B273),"")</f>
        <v/>
      </c>
      <c r="AC273" s="96">
        <f>IF(AB273="",0,IF(SUMPRODUCT(--($AB$6:$AB$505=AB273))&gt;1,1,0))</f>
        <v>0</v>
      </c>
      <c r="AD273" s="96">
        <f>IF(Z273=0,0,IF(OR(AND(G273&lt;&gt;"",ISNA(MATCH(G273,'CAD_UNIDADES'!$C$6:$C$105,0))),AND(H273&lt;&gt;"",ISNA(MATCH(H273,cmp_transp,0))),AND(I273&lt;&gt;"",ISNA(MATCH(I273,cmp_dest,0))),AND(E273&lt;&gt;"",NOT(ISNUMBER(E273))),AND(F273&lt;&gt;"",NOT(ISNUMBER(F273))),AND(ISNUMBER(E273),ISNUMBER(F273),F273&lt;E273)),1,0))</f>
        <v>0</v>
      </c>
      <c r="AE273" s="96">
        <f>IF(Z273=0,0,IF(OR(B273="",C273="",E273="",G273="",H273="",I273="",N(W273)=0),1,0))</f>
        <v>0</v>
      </c>
      <c r="AF273" s="96">
        <f>IF(Z273=0,0,COUNTIFS('ITENS_MTR'!$S$6:$S$1005,A273,'ITENS_MTR'!$AI$6:$AI$1005,1))</f>
        <v>0</v>
      </c>
      <c r="AG273" s="96">
        <f>IF(Z273=0,0,COUNTIFS('ITENS_MTR'!$S$6:$S$1005,A273,'ITENS_MTR'!$AJ$6:$AJ$1005,1))</f>
        <v>0</v>
      </c>
      <c r="AH273" s="96">
        <f>IF(Z273=0,0,COUNTIFS('ITENS_MTR'!$S$6:$S$1005,A273,'ITENS_MTR'!$AM$6:$AM$1005,1))</f>
        <v>0</v>
      </c>
      <c r="AI273" s="96">
        <f>IF(Z273=0,0,COUNTIFS('ITENS_MTR'!$S$6:$S$1005,A273,'ITENS_MTR'!$AO$6:$AO$1005,1))</f>
        <v>0</v>
      </c>
      <c r="AJ273" s="96">
        <f>IF(Z273=0,0,COUNTIFS('ITENS_MTR'!$S$6:$S$1005,A273,'ITENS_MTR'!$AN$6:$AN$1005,1))</f>
        <v>0</v>
      </c>
      <c r="AK273" s="96">
        <f>IF(Z273=0,0,COUNTIFS('RECEBIMENTOS'!$B$6:$B$1005,A273,'RECEBIMENTOS'!$Y$6:$Y$1005,1))</f>
        <v>0</v>
      </c>
      <c r="AL273" s="96">
        <f>IF(Z273=0,0,COUNTIFS('VÍNCULOS_CDF'!$D$6:$D$1005,A273,'VÍNCULOS_CDF'!$Y$6:$Y$1005,1))</f>
        <v>0</v>
      </c>
      <c r="AM273" s="96">
        <f>IF(Z273=0,0,COUNTIFS('RECEBIMENTOS'!$B$6:$B$1005,A273,'RECEBIMENTOS'!$Q$6:$Q$1005,1))</f>
        <v>0</v>
      </c>
      <c r="AN273" s="96">
        <f>IF(AND(Z273=1,N(W273)&gt;0,AG273=N(W273)),1,0)</f>
        <v>0</v>
      </c>
      <c r="AO273" s="96">
        <f>IF(AND(Z273=1,N(W273)&gt;0,AI273=N(W273)),1,0)</f>
        <v>0</v>
      </c>
      <c r="AP273" s="97">
        <f>IF(Z273=0,0,_xlfn.MAXIFS('RECEBIMENTOS'!$E$6:$E$1005,'RECEBIMENTOS'!$B$6:$B$1005,A273))</f>
        <v>0</v>
      </c>
      <c r="AQ273" s="97" t="str">
        <f>IF(T273="","",IF(T273="RECEBIMENTO NÃO CONFIRMADO",IF(ISNUMBER(F273),F273,IF(ISNUMBER(E273),E273,"")),IF(OR(T273="CDF NÃO LOCALIZADO",T273="VÍNCULO INCOMPLETO",T273="CDF A CONFERIR"),IF(AP273&gt;0,AP273,IF(ISNUMBER(E273),E273,"")),IF(ISNUMBER(E273),E273,""))))</f>
        <v/>
      </c>
      <c r="AR273" s="96">
        <f>IF(NOT(ISNUMBER(U273)),0,IF(T273="RECEBIMENTO NÃO CONFIRMADO",IF(AND(ISNUMBER(cfg_rec),U273&gt;cfg_rec),1,0),IF(OR(T273="CDF NÃO LOCALIZADO",T273="VÍNCULO INCOMPLETO",T273="CDF A CONFERIR"),IF(AND(ISNUMBER(cfg_cdf),U273&gt;cfg_cdf),1,0),0)))</f>
        <v>0</v>
      </c>
      <c r="AS273" s="96" t="str">
        <f>IF(T273="","",IF(AR273=1,"Alta",IFERROR(INDEX(cfg_pp,MATCH(T273,cfg_pt,0))&amp;"","Média")))</f>
        <v/>
      </c>
      <c r="AT273" s="96" t="str">
        <f>IF(T273="","",IFERROR(INDEX(cfg_pv,MATCH(T273,cfg_pt,0))&amp;"",""))</f>
        <v/>
      </c>
      <c r="AU273" s="96" t="str">
        <f>IF(T273="","",IF(AS273="Alta",1,IF(AS273="Média",2,3))*1000000000+(999999-IF(ISNUMBER(U273),MIN(U273,999999),0))*1000+268)</f>
        <v/>
      </c>
      <c r="AV273" s="96">
        <f>IF(T273&lt;&gt;"",1,0)</f>
        <v>0</v>
      </c>
      <c r="AW273" s="96" t="str">
        <f>IF(Z273=0,"",IF(AA273=1,"Cancelamento informado; ","")&amp;IF(AE273=1,"Campos essenciais ou itens faltando; ","")&amp;IF(AC273=1,"Possível duplicidade do número; ","")&amp;IF(AD273=1,"Cadastro ou datas a revisar; ","")&amp;IF(AF273&gt;0,"Item de resíduo com dado a revisar; ","")&amp;IF(AH273&gt;0,"Diferença de quantidade a analisar; ","")&amp;IF(AK273&gt;0,"Recebimento com alerta; ","")&amp;IF(AL273&gt;0,"Vínculo de CDF com alerta; ","")&amp;IF(AND(AA273=0,AN273=0),"Recebimento não confirmado; ","")&amp;IF(AND(AA273=0,AN273=1,AO273=0),"CDF pendente ou a conferir; ",""))</f>
        <v/>
      </c>
      <c r="AX273" s="96">
        <f>IF(Z273=0,0,IF(AND(OR(f_ini="",AND(ISNUMBER(E273),E273&gt;=f_ini)),OR(f_fim="",AND(ISNUMBER(E273),E273&lt;=f_fim)),OR(f_un="",f_un="(Todas)",G273=f_un),OR(f_tr="",f_tr="(Todos)",H273=f_tr),OR(f_de="",f_de="(Todos)",I273=f_de),OR(f_sit="",f_sit="(Todas)",S273=f_sit)),1,0))</f>
        <v>0</v>
      </c>
      <c r="AY273" s="96">
        <f>IF(AX273=0,0,IF(OR(f_res="",f_res="(Todos)"),1,IF(COUNTIFS('ITENS_MTR'!$S$6:$S$1005,A273,'ITENS_MTR'!$C$6:$C$1005,f_res)&gt;0,1,0)))</f>
        <v>0</v>
      </c>
      <c r="AZ273" s="97" t="str">
        <f>IF(ISNUMBER(E273),DATE(YEAR(E273),MONTH(E273),1),"")</f>
        <v/>
      </c>
      <c r="BA273" s="96">
        <f>IF(Z273=0,0,IF(AND(OR(r_ini="",AND(ISNUMBER(E273),E273&gt;=r_ini)),OR(r_fim="",AND(ISNUMBER(E273),E273&lt;=r_fim)),OR(r_un="",r_un="(Todas)",G273=r_un),OR(r_de="",r_de="(Todos)",I273=r_de)),1,0))</f>
        <v>0</v>
      </c>
      <c r="BB273" s="96" t="str">
        <f>IF(BA273=1,COUNTIF($BA$6:BA273,1),"")</f>
        <v/>
      </c>
      <c r="BC273" s="96" t="str">
        <f>IF(AND(AU273&lt;&gt;"",OR(r_un="",r_un="(Todas)",G273=r_un),OR(r_de="",r_de="(Todos)",I273=r_de)),AU273,"")</f>
        <v/>
      </c>
      <c r="BD273" s="96" t="str">
        <f>IF(Z273=1,A273&amp;" | nº "&amp;IF(B273="","(sem número)",B273)&amp;" | "&amp;IF(G273="","(sem unidade)",G273),"")</f>
        <v/>
      </c>
      <c r="BE273" s="96" t="str">
        <f>IF(Z273=1,COUNTIF($Z$6:Z273,1),"")</f>
        <v/>
      </c>
      <c r="BF273" s="96" t="str">
        <f>IF(T273="","",IF(T273="RECEBIMENTO NÃO CONFIRMADO","Transp.: "&amp;H273&amp;" | Dest.: "&amp;I273,IF(OR(T273="CDF NÃO LOCALIZADO",T273="VÍNCULO INCOMPLETO",T273="CDF A CONFERIR"),"Dest.: "&amp;I273,"Gerador: "&amp;G273)))</f>
        <v/>
      </c>
    </row>
    <row r="274">
      <c r="A274" s="89" t="inlineStr">
        <is>
          <t>MTR-000269</t>
        </is>
      </c>
      <c r="B274" s="90" t="n"/>
      <c r="C274" s="91" t="n"/>
      <c r="D274" s="91" t="n"/>
      <c r="E274" s="92" t="n"/>
      <c r="F274" s="92" t="n"/>
      <c r="G274" s="91" t="n"/>
      <c r="H274" s="91" t="n"/>
      <c r="I274" s="91" t="n"/>
      <c r="J274" s="91" t="n"/>
      <c r="K274" s="91" t="n"/>
      <c r="L274" s="92" t="n"/>
      <c r="M274" s="91" t="n"/>
      <c r="N274" s="91" t="n"/>
      <c r="O274" s="91" t="n"/>
      <c r="P274" s="93" t="str">
        <f>IF(Z274=0,"",SUMIFS('ITENS_MTR'!$I$6:$I$1005,'ITENS_MTR'!$S$6:$S$1005,A274,'ITENS_MTR'!$Y$6:$Y$1005,1))</f>
        <v/>
      </c>
      <c r="Q274" s="93" t="str">
        <f>IF(Z274=0,"",SUMIFS('RECEBIMENTOS'!$H$6:$H$1005,'RECEBIMENTOS'!$B$6:$B$1005,A274,'RECEBIMENTOS'!$X$6:$X$1005,1))</f>
        <v/>
      </c>
      <c r="R274" s="93" t="str">
        <f>IF(Z274=0,"",SUMIFS('VÍNCULOS_CDF'!$H$6:$H$1005,'VÍNCULOS_CDF'!$D$6:$D$1005,A274,'VÍNCULOS_CDF'!$V$6:$V$1005,1))</f>
        <v/>
      </c>
      <c r="S274" s="94" t="str">
        <f>IF(Z274=0,"",IF(AA274=1,"Cancelado (informado)",IF(AE274=1,"Cadastro incompleto",IF(OR(AC274=1,AD274=1,AF274&gt;0,AH274&gt;0,AK274&gt;0,AL274&gt;0),"Informação a revisar",IF(AN274=0,"Aguardando recebimento",IF(N(R274)=0,"Aguardando CDF",IF(AJ274&lt;N(W274),"Vínculo de CDF parcial",IF(AO274=0,"CDF localizado, a conferir","Documentação conferida"))))))))</f>
        <v/>
      </c>
      <c r="T274" s="94" t="str">
        <f>IF(Z274=0,"",IF(S274="Cadastro incompleto","MTR INCOMPLETO",IF(S274="Informação a revisar",IF(AND(AH274&gt;0,AC274=0,AD274=0,AF274=0,AK274=0,AL274=0),"QUANTIDADE A REVISAR","IDENTIFICAÇÃO A REVISAR"),IF(S274="Aguardando recebimento","RECEBIMENTO NÃO CONFIRMADO",IF(S274="Aguardando CDF","CDF NÃO LOCALIZADO",IF(S274="Vínculo de CDF parcial","VÍNCULO INCOMPLETO",IF(S274="CDF localizado, a conferir","CDF A CONFERIR","")))))))</f>
        <v/>
      </c>
      <c r="U274" s="95" t="str">
        <f>IF(T274="","",IF(AQ274="","Não calculável",IF(AQ274&gt;TODAY(),"Data futura",TODAY()-AQ274)))</f>
        <v/>
      </c>
      <c r="V274" s="93" t="str">
        <f>IF(Z274=0,"",SUMIFS('RECEBIMENTOS'!$H$6:$H$1005,'RECEBIMENTOS'!$B$6:$B$1005,A274,'RECEBIMENTOS'!$Z$6:$Z$1005,1))</f>
        <v/>
      </c>
      <c r="W274" s="95" t="str">
        <f>IF(Z274=0,"",COUNTIFS('ITENS_MTR'!$S$6:$S$1005,A274,'ITENS_MTR'!$R$6:$R$1005,1))</f>
        <v/>
      </c>
      <c r="X274" s="94" t="str">
        <f>IF(AC274=1,"POSSÍVEL DUPLICIDADE","")</f>
        <v/>
      </c>
      <c r="Y274" s="94" t="str">
        <f>IF(Z274=0,"",IF(AW274="","Nenhuma",LEFT(AW274,LEN(AW274)-2)))</f>
        <v/>
      </c>
      <c r="Z274" s="96">
        <f>IF(COUNTA(B274:O274)&gt;0,1,0)</f>
        <v>0</v>
      </c>
      <c r="AA274" s="96">
        <f>IF(AND(Z274=1,K274&lt;&gt;""),IF(TRIM(K274)=TRIM(cfg_cancel),1,0),0)</f>
        <v>0</v>
      </c>
      <c r="AB274" s="96" t="str">
        <f>IF(AND(Z274=1,B274&lt;&gt;""),C274&amp;"|"&amp;D274&amp;"|"&amp;G274&amp;"|"&amp;TRIM(B274),"")</f>
        <v/>
      </c>
      <c r="AC274" s="96">
        <f>IF(AB274="",0,IF(SUMPRODUCT(--($AB$6:$AB$505=AB274))&gt;1,1,0))</f>
        <v>0</v>
      </c>
      <c r="AD274" s="96">
        <f>IF(Z274=0,0,IF(OR(AND(G274&lt;&gt;"",ISNA(MATCH(G274,'CAD_UNIDADES'!$C$6:$C$105,0))),AND(H274&lt;&gt;"",ISNA(MATCH(H274,cmp_transp,0))),AND(I274&lt;&gt;"",ISNA(MATCH(I274,cmp_dest,0))),AND(E274&lt;&gt;"",NOT(ISNUMBER(E274))),AND(F274&lt;&gt;"",NOT(ISNUMBER(F274))),AND(ISNUMBER(E274),ISNUMBER(F274),F274&lt;E274)),1,0))</f>
        <v>0</v>
      </c>
      <c r="AE274" s="96">
        <f>IF(Z274=0,0,IF(OR(B274="",C274="",E274="",G274="",H274="",I274="",N(W274)=0),1,0))</f>
        <v>0</v>
      </c>
      <c r="AF274" s="96">
        <f>IF(Z274=0,0,COUNTIFS('ITENS_MTR'!$S$6:$S$1005,A274,'ITENS_MTR'!$AI$6:$AI$1005,1))</f>
        <v>0</v>
      </c>
      <c r="AG274" s="96">
        <f>IF(Z274=0,0,COUNTIFS('ITENS_MTR'!$S$6:$S$1005,A274,'ITENS_MTR'!$AJ$6:$AJ$1005,1))</f>
        <v>0</v>
      </c>
      <c r="AH274" s="96">
        <f>IF(Z274=0,0,COUNTIFS('ITENS_MTR'!$S$6:$S$1005,A274,'ITENS_MTR'!$AM$6:$AM$1005,1))</f>
        <v>0</v>
      </c>
      <c r="AI274" s="96">
        <f>IF(Z274=0,0,COUNTIFS('ITENS_MTR'!$S$6:$S$1005,A274,'ITENS_MTR'!$AO$6:$AO$1005,1))</f>
        <v>0</v>
      </c>
      <c r="AJ274" s="96">
        <f>IF(Z274=0,0,COUNTIFS('ITENS_MTR'!$S$6:$S$1005,A274,'ITENS_MTR'!$AN$6:$AN$1005,1))</f>
        <v>0</v>
      </c>
      <c r="AK274" s="96">
        <f>IF(Z274=0,0,COUNTIFS('RECEBIMENTOS'!$B$6:$B$1005,A274,'RECEBIMENTOS'!$Y$6:$Y$1005,1))</f>
        <v>0</v>
      </c>
      <c r="AL274" s="96">
        <f>IF(Z274=0,0,COUNTIFS('VÍNCULOS_CDF'!$D$6:$D$1005,A274,'VÍNCULOS_CDF'!$Y$6:$Y$1005,1))</f>
        <v>0</v>
      </c>
      <c r="AM274" s="96">
        <f>IF(Z274=0,0,COUNTIFS('RECEBIMENTOS'!$B$6:$B$1005,A274,'RECEBIMENTOS'!$Q$6:$Q$1005,1))</f>
        <v>0</v>
      </c>
      <c r="AN274" s="96">
        <f>IF(AND(Z274=1,N(W274)&gt;0,AG274=N(W274)),1,0)</f>
        <v>0</v>
      </c>
      <c r="AO274" s="96">
        <f>IF(AND(Z274=1,N(W274)&gt;0,AI274=N(W274)),1,0)</f>
        <v>0</v>
      </c>
      <c r="AP274" s="97">
        <f>IF(Z274=0,0,_xlfn.MAXIFS('RECEBIMENTOS'!$E$6:$E$1005,'RECEBIMENTOS'!$B$6:$B$1005,A274))</f>
        <v>0</v>
      </c>
      <c r="AQ274" s="97" t="str">
        <f>IF(T274="","",IF(T274="RECEBIMENTO NÃO CONFIRMADO",IF(ISNUMBER(F274),F274,IF(ISNUMBER(E274),E274,"")),IF(OR(T274="CDF NÃO LOCALIZADO",T274="VÍNCULO INCOMPLETO",T274="CDF A CONFERIR"),IF(AP274&gt;0,AP274,IF(ISNUMBER(E274),E274,"")),IF(ISNUMBER(E274),E274,""))))</f>
        <v/>
      </c>
      <c r="AR274" s="96">
        <f>IF(NOT(ISNUMBER(U274)),0,IF(T274="RECEBIMENTO NÃO CONFIRMADO",IF(AND(ISNUMBER(cfg_rec),U274&gt;cfg_rec),1,0),IF(OR(T274="CDF NÃO LOCALIZADO",T274="VÍNCULO INCOMPLETO",T274="CDF A CONFERIR"),IF(AND(ISNUMBER(cfg_cdf),U274&gt;cfg_cdf),1,0),0)))</f>
        <v>0</v>
      </c>
      <c r="AS274" s="96" t="str">
        <f>IF(T274="","",IF(AR274=1,"Alta",IFERROR(INDEX(cfg_pp,MATCH(T274,cfg_pt,0))&amp;"","Média")))</f>
        <v/>
      </c>
      <c r="AT274" s="96" t="str">
        <f>IF(T274="","",IFERROR(INDEX(cfg_pv,MATCH(T274,cfg_pt,0))&amp;"",""))</f>
        <v/>
      </c>
      <c r="AU274" s="96" t="str">
        <f>IF(T274="","",IF(AS274="Alta",1,IF(AS274="Média",2,3))*1000000000+(999999-IF(ISNUMBER(U274),MIN(U274,999999),0))*1000+269)</f>
        <v/>
      </c>
      <c r="AV274" s="96">
        <f>IF(T274&lt;&gt;"",1,0)</f>
        <v>0</v>
      </c>
      <c r="AW274" s="96" t="str">
        <f>IF(Z274=0,"",IF(AA274=1,"Cancelamento informado; ","")&amp;IF(AE274=1,"Campos essenciais ou itens faltando; ","")&amp;IF(AC274=1,"Possível duplicidade do número; ","")&amp;IF(AD274=1,"Cadastro ou datas a revisar; ","")&amp;IF(AF274&gt;0,"Item de resíduo com dado a revisar; ","")&amp;IF(AH274&gt;0,"Diferença de quantidade a analisar; ","")&amp;IF(AK274&gt;0,"Recebimento com alerta; ","")&amp;IF(AL274&gt;0,"Vínculo de CDF com alerta; ","")&amp;IF(AND(AA274=0,AN274=0),"Recebimento não confirmado; ","")&amp;IF(AND(AA274=0,AN274=1,AO274=0),"CDF pendente ou a conferir; ",""))</f>
        <v/>
      </c>
      <c r="AX274" s="96">
        <f>IF(Z274=0,0,IF(AND(OR(f_ini="",AND(ISNUMBER(E274),E274&gt;=f_ini)),OR(f_fim="",AND(ISNUMBER(E274),E274&lt;=f_fim)),OR(f_un="",f_un="(Todas)",G274=f_un),OR(f_tr="",f_tr="(Todos)",H274=f_tr),OR(f_de="",f_de="(Todos)",I274=f_de),OR(f_sit="",f_sit="(Todas)",S274=f_sit)),1,0))</f>
        <v>0</v>
      </c>
      <c r="AY274" s="96">
        <f>IF(AX274=0,0,IF(OR(f_res="",f_res="(Todos)"),1,IF(COUNTIFS('ITENS_MTR'!$S$6:$S$1005,A274,'ITENS_MTR'!$C$6:$C$1005,f_res)&gt;0,1,0)))</f>
        <v>0</v>
      </c>
      <c r="AZ274" s="97" t="str">
        <f>IF(ISNUMBER(E274),DATE(YEAR(E274),MONTH(E274),1),"")</f>
        <v/>
      </c>
      <c r="BA274" s="96">
        <f>IF(Z274=0,0,IF(AND(OR(r_ini="",AND(ISNUMBER(E274),E274&gt;=r_ini)),OR(r_fim="",AND(ISNUMBER(E274),E274&lt;=r_fim)),OR(r_un="",r_un="(Todas)",G274=r_un),OR(r_de="",r_de="(Todos)",I274=r_de)),1,0))</f>
        <v>0</v>
      </c>
      <c r="BB274" s="96" t="str">
        <f>IF(BA274=1,COUNTIF($BA$6:BA274,1),"")</f>
        <v/>
      </c>
      <c r="BC274" s="96" t="str">
        <f>IF(AND(AU274&lt;&gt;"",OR(r_un="",r_un="(Todas)",G274=r_un),OR(r_de="",r_de="(Todos)",I274=r_de)),AU274,"")</f>
        <v/>
      </c>
      <c r="BD274" s="96" t="str">
        <f>IF(Z274=1,A274&amp;" | nº "&amp;IF(B274="","(sem número)",B274)&amp;" | "&amp;IF(G274="","(sem unidade)",G274),"")</f>
        <v/>
      </c>
      <c r="BE274" s="96" t="str">
        <f>IF(Z274=1,COUNTIF($Z$6:Z274,1),"")</f>
        <v/>
      </c>
      <c r="BF274" s="96" t="str">
        <f>IF(T274="","",IF(T274="RECEBIMENTO NÃO CONFIRMADO","Transp.: "&amp;H274&amp;" | Dest.: "&amp;I274,IF(OR(T274="CDF NÃO LOCALIZADO",T274="VÍNCULO INCOMPLETO",T274="CDF A CONFERIR"),"Dest.: "&amp;I274,"Gerador: "&amp;G274)))</f>
        <v/>
      </c>
    </row>
    <row r="275">
      <c r="A275" s="89" t="inlineStr">
        <is>
          <t>MTR-000270</t>
        </is>
      </c>
      <c r="B275" s="90" t="n"/>
      <c r="C275" s="91" t="n"/>
      <c r="D275" s="91" t="n"/>
      <c r="E275" s="92" t="n"/>
      <c r="F275" s="92" t="n"/>
      <c r="G275" s="91" t="n"/>
      <c r="H275" s="91" t="n"/>
      <c r="I275" s="91" t="n"/>
      <c r="J275" s="91" t="n"/>
      <c r="K275" s="91" t="n"/>
      <c r="L275" s="92" t="n"/>
      <c r="M275" s="91" t="n"/>
      <c r="N275" s="91" t="n"/>
      <c r="O275" s="91" t="n"/>
      <c r="P275" s="93" t="str">
        <f>IF(Z275=0,"",SUMIFS('ITENS_MTR'!$I$6:$I$1005,'ITENS_MTR'!$S$6:$S$1005,A275,'ITENS_MTR'!$Y$6:$Y$1005,1))</f>
        <v/>
      </c>
      <c r="Q275" s="93" t="str">
        <f>IF(Z275=0,"",SUMIFS('RECEBIMENTOS'!$H$6:$H$1005,'RECEBIMENTOS'!$B$6:$B$1005,A275,'RECEBIMENTOS'!$X$6:$X$1005,1))</f>
        <v/>
      </c>
      <c r="R275" s="93" t="str">
        <f>IF(Z275=0,"",SUMIFS('VÍNCULOS_CDF'!$H$6:$H$1005,'VÍNCULOS_CDF'!$D$6:$D$1005,A275,'VÍNCULOS_CDF'!$V$6:$V$1005,1))</f>
        <v/>
      </c>
      <c r="S275" s="94" t="str">
        <f>IF(Z275=0,"",IF(AA275=1,"Cancelado (informado)",IF(AE275=1,"Cadastro incompleto",IF(OR(AC275=1,AD275=1,AF275&gt;0,AH275&gt;0,AK275&gt;0,AL275&gt;0),"Informação a revisar",IF(AN275=0,"Aguardando recebimento",IF(N(R275)=0,"Aguardando CDF",IF(AJ275&lt;N(W275),"Vínculo de CDF parcial",IF(AO275=0,"CDF localizado, a conferir","Documentação conferida"))))))))</f>
        <v/>
      </c>
      <c r="T275" s="94" t="str">
        <f>IF(Z275=0,"",IF(S275="Cadastro incompleto","MTR INCOMPLETO",IF(S275="Informação a revisar",IF(AND(AH275&gt;0,AC275=0,AD275=0,AF275=0,AK275=0,AL275=0),"QUANTIDADE A REVISAR","IDENTIFICAÇÃO A REVISAR"),IF(S275="Aguardando recebimento","RECEBIMENTO NÃO CONFIRMADO",IF(S275="Aguardando CDF","CDF NÃO LOCALIZADO",IF(S275="Vínculo de CDF parcial","VÍNCULO INCOMPLETO",IF(S275="CDF localizado, a conferir","CDF A CONFERIR","")))))))</f>
        <v/>
      </c>
      <c r="U275" s="95" t="str">
        <f>IF(T275="","",IF(AQ275="","Não calculável",IF(AQ275&gt;TODAY(),"Data futura",TODAY()-AQ275)))</f>
        <v/>
      </c>
      <c r="V275" s="93" t="str">
        <f>IF(Z275=0,"",SUMIFS('RECEBIMENTOS'!$H$6:$H$1005,'RECEBIMENTOS'!$B$6:$B$1005,A275,'RECEBIMENTOS'!$Z$6:$Z$1005,1))</f>
        <v/>
      </c>
      <c r="W275" s="95" t="str">
        <f>IF(Z275=0,"",COUNTIFS('ITENS_MTR'!$S$6:$S$1005,A275,'ITENS_MTR'!$R$6:$R$1005,1))</f>
        <v/>
      </c>
      <c r="X275" s="94" t="str">
        <f>IF(AC275=1,"POSSÍVEL DUPLICIDADE","")</f>
        <v/>
      </c>
      <c r="Y275" s="94" t="str">
        <f>IF(Z275=0,"",IF(AW275="","Nenhuma",LEFT(AW275,LEN(AW275)-2)))</f>
        <v/>
      </c>
      <c r="Z275" s="96">
        <f>IF(COUNTA(B275:O275)&gt;0,1,0)</f>
        <v>0</v>
      </c>
      <c r="AA275" s="96">
        <f>IF(AND(Z275=1,K275&lt;&gt;""),IF(TRIM(K275)=TRIM(cfg_cancel),1,0),0)</f>
        <v>0</v>
      </c>
      <c r="AB275" s="96" t="str">
        <f>IF(AND(Z275=1,B275&lt;&gt;""),C275&amp;"|"&amp;D275&amp;"|"&amp;G275&amp;"|"&amp;TRIM(B275),"")</f>
        <v/>
      </c>
      <c r="AC275" s="96">
        <f>IF(AB275="",0,IF(SUMPRODUCT(--($AB$6:$AB$505=AB275))&gt;1,1,0))</f>
        <v>0</v>
      </c>
      <c r="AD275" s="96">
        <f>IF(Z275=0,0,IF(OR(AND(G275&lt;&gt;"",ISNA(MATCH(G275,'CAD_UNIDADES'!$C$6:$C$105,0))),AND(H275&lt;&gt;"",ISNA(MATCH(H275,cmp_transp,0))),AND(I275&lt;&gt;"",ISNA(MATCH(I275,cmp_dest,0))),AND(E275&lt;&gt;"",NOT(ISNUMBER(E275))),AND(F275&lt;&gt;"",NOT(ISNUMBER(F275))),AND(ISNUMBER(E275),ISNUMBER(F275),F275&lt;E275)),1,0))</f>
        <v>0</v>
      </c>
      <c r="AE275" s="96">
        <f>IF(Z275=0,0,IF(OR(B275="",C275="",E275="",G275="",H275="",I275="",N(W275)=0),1,0))</f>
        <v>0</v>
      </c>
      <c r="AF275" s="96">
        <f>IF(Z275=0,0,COUNTIFS('ITENS_MTR'!$S$6:$S$1005,A275,'ITENS_MTR'!$AI$6:$AI$1005,1))</f>
        <v>0</v>
      </c>
      <c r="AG275" s="96">
        <f>IF(Z275=0,0,COUNTIFS('ITENS_MTR'!$S$6:$S$1005,A275,'ITENS_MTR'!$AJ$6:$AJ$1005,1))</f>
        <v>0</v>
      </c>
      <c r="AH275" s="96">
        <f>IF(Z275=0,0,COUNTIFS('ITENS_MTR'!$S$6:$S$1005,A275,'ITENS_MTR'!$AM$6:$AM$1005,1))</f>
        <v>0</v>
      </c>
      <c r="AI275" s="96">
        <f>IF(Z275=0,0,COUNTIFS('ITENS_MTR'!$S$6:$S$1005,A275,'ITENS_MTR'!$AO$6:$AO$1005,1))</f>
        <v>0</v>
      </c>
      <c r="AJ275" s="96">
        <f>IF(Z275=0,0,COUNTIFS('ITENS_MTR'!$S$6:$S$1005,A275,'ITENS_MTR'!$AN$6:$AN$1005,1))</f>
        <v>0</v>
      </c>
      <c r="AK275" s="96">
        <f>IF(Z275=0,0,COUNTIFS('RECEBIMENTOS'!$B$6:$B$1005,A275,'RECEBIMENTOS'!$Y$6:$Y$1005,1))</f>
        <v>0</v>
      </c>
      <c r="AL275" s="96">
        <f>IF(Z275=0,0,COUNTIFS('VÍNCULOS_CDF'!$D$6:$D$1005,A275,'VÍNCULOS_CDF'!$Y$6:$Y$1005,1))</f>
        <v>0</v>
      </c>
      <c r="AM275" s="96">
        <f>IF(Z275=0,0,COUNTIFS('RECEBIMENTOS'!$B$6:$B$1005,A275,'RECEBIMENTOS'!$Q$6:$Q$1005,1))</f>
        <v>0</v>
      </c>
      <c r="AN275" s="96">
        <f>IF(AND(Z275=1,N(W275)&gt;0,AG275=N(W275)),1,0)</f>
        <v>0</v>
      </c>
      <c r="AO275" s="96">
        <f>IF(AND(Z275=1,N(W275)&gt;0,AI275=N(W275)),1,0)</f>
        <v>0</v>
      </c>
      <c r="AP275" s="97">
        <f>IF(Z275=0,0,_xlfn.MAXIFS('RECEBIMENTOS'!$E$6:$E$1005,'RECEBIMENTOS'!$B$6:$B$1005,A275))</f>
        <v>0</v>
      </c>
      <c r="AQ275" s="97" t="str">
        <f>IF(T275="","",IF(T275="RECEBIMENTO NÃO CONFIRMADO",IF(ISNUMBER(F275),F275,IF(ISNUMBER(E275),E275,"")),IF(OR(T275="CDF NÃO LOCALIZADO",T275="VÍNCULO INCOMPLETO",T275="CDF A CONFERIR"),IF(AP275&gt;0,AP275,IF(ISNUMBER(E275),E275,"")),IF(ISNUMBER(E275),E275,""))))</f>
        <v/>
      </c>
      <c r="AR275" s="96">
        <f>IF(NOT(ISNUMBER(U275)),0,IF(T275="RECEBIMENTO NÃO CONFIRMADO",IF(AND(ISNUMBER(cfg_rec),U275&gt;cfg_rec),1,0),IF(OR(T275="CDF NÃO LOCALIZADO",T275="VÍNCULO INCOMPLETO",T275="CDF A CONFERIR"),IF(AND(ISNUMBER(cfg_cdf),U275&gt;cfg_cdf),1,0),0)))</f>
        <v>0</v>
      </c>
      <c r="AS275" s="96" t="str">
        <f>IF(T275="","",IF(AR275=1,"Alta",IFERROR(INDEX(cfg_pp,MATCH(T275,cfg_pt,0))&amp;"","Média")))</f>
        <v/>
      </c>
      <c r="AT275" s="96" t="str">
        <f>IF(T275="","",IFERROR(INDEX(cfg_pv,MATCH(T275,cfg_pt,0))&amp;"",""))</f>
        <v/>
      </c>
      <c r="AU275" s="96" t="str">
        <f>IF(T275="","",IF(AS275="Alta",1,IF(AS275="Média",2,3))*1000000000+(999999-IF(ISNUMBER(U275),MIN(U275,999999),0))*1000+270)</f>
        <v/>
      </c>
      <c r="AV275" s="96">
        <f>IF(T275&lt;&gt;"",1,0)</f>
        <v>0</v>
      </c>
      <c r="AW275" s="96" t="str">
        <f>IF(Z275=0,"",IF(AA275=1,"Cancelamento informado; ","")&amp;IF(AE275=1,"Campos essenciais ou itens faltando; ","")&amp;IF(AC275=1,"Possível duplicidade do número; ","")&amp;IF(AD275=1,"Cadastro ou datas a revisar; ","")&amp;IF(AF275&gt;0,"Item de resíduo com dado a revisar; ","")&amp;IF(AH275&gt;0,"Diferença de quantidade a analisar; ","")&amp;IF(AK275&gt;0,"Recebimento com alerta; ","")&amp;IF(AL275&gt;0,"Vínculo de CDF com alerta; ","")&amp;IF(AND(AA275=0,AN275=0),"Recebimento não confirmado; ","")&amp;IF(AND(AA275=0,AN275=1,AO275=0),"CDF pendente ou a conferir; ",""))</f>
        <v/>
      </c>
      <c r="AX275" s="96">
        <f>IF(Z275=0,0,IF(AND(OR(f_ini="",AND(ISNUMBER(E275),E275&gt;=f_ini)),OR(f_fim="",AND(ISNUMBER(E275),E275&lt;=f_fim)),OR(f_un="",f_un="(Todas)",G275=f_un),OR(f_tr="",f_tr="(Todos)",H275=f_tr),OR(f_de="",f_de="(Todos)",I275=f_de),OR(f_sit="",f_sit="(Todas)",S275=f_sit)),1,0))</f>
        <v>0</v>
      </c>
      <c r="AY275" s="96">
        <f>IF(AX275=0,0,IF(OR(f_res="",f_res="(Todos)"),1,IF(COUNTIFS('ITENS_MTR'!$S$6:$S$1005,A275,'ITENS_MTR'!$C$6:$C$1005,f_res)&gt;0,1,0)))</f>
        <v>0</v>
      </c>
      <c r="AZ275" s="97" t="str">
        <f>IF(ISNUMBER(E275),DATE(YEAR(E275),MONTH(E275),1),"")</f>
        <v/>
      </c>
      <c r="BA275" s="96">
        <f>IF(Z275=0,0,IF(AND(OR(r_ini="",AND(ISNUMBER(E275),E275&gt;=r_ini)),OR(r_fim="",AND(ISNUMBER(E275),E275&lt;=r_fim)),OR(r_un="",r_un="(Todas)",G275=r_un),OR(r_de="",r_de="(Todos)",I275=r_de)),1,0))</f>
        <v>0</v>
      </c>
      <c r="BB275" s="96" t="str">
        <f>IF(BA275=1,COUNTIF($BA$6:BA275,1),"")</f>
        <v/>
      </c>
      <c r="BC275" s="96" t="str">
        <f>IF(AND(AU275&lt;&gt;"",OR(r_un="",r_un="(Todas)",G275=r_un),OR(r_de="",r_de="(Todos)",I275=r_de)),AU275,"")</f>
        <v/>
      </c>
      <c r="BD275" s="96" t="str">
        <f>IF(Z275=1,A275&amp;" | nº "&amp;IF(B275="","(sem número)",B275)&amp;" | "&amp;IF(G275="","(sem unidade)",G275),"")</f>
        <v/>
      </c>
      <c r="BE275" s="96" t="str">
        <f>IF(Z275=1,COUNTIF($Z$6:Z275,1),"")</f>
        <v/>
      </c>
      <c r="BF275" s="96" t="str">
        <f>IF(T275="","",IF(T275="RECEBIMENTO NÃO CONFIRMADO","Transp.: "&amp;H275&amp;" | Dest.: "&amp;I275,IF(OR(T275="CDF NÃO LOCALIZADO",T275="VÍNCULO INCOMPLETO",T275="CDF A CONFERIR"),"Dest.: "&amp;I275,"Gerador: "&amp;G275)))</f>
        <v/>
      </c>
    </row>
    <row r="276">
      <c r="A276" s="89" t="inlineStr">
        <is>
          <t>MTR-000271</t>
        </is>
      </c>
      <c r="B276" s="90" t="n"/>
      <c r="C276" s="91" t="n"/>
      <c r="D276" s="91" t="n"/>
      <c r="E276" s="92" t="n"/>
      <c r="F276" s="92" t="n"/>
      <c r="G276" s="91" t="n"/>
      <c r="H276" s="91" t="n"/>
      <c r="I276" s="91" t="n"/>
      <c r="J276" s="91" t="n"/>
      <c r="K276" s="91" t="n"/>
      <c r="L276" s="92" t="n"/>
      <c r="M276" s="91" t="n"/>
      <c r="N276" s="91" t="n"/>
      <c r="O276" s="91" t="n"/>
      <c r="P276" s="93" t="str">
        <f>IF(Z276=0,"",SUMIFS('ITENS_MTR'!$I$6:$I$1005,'ITENS_MTR'!$S$6:$S$1005,A276,'ITENS_MTR'!$Y$6:$Y$1005,1))</f>
        <v/>
      </c>
      <c r="Q276" s="93" t="str">
        <f>IF(Z276=0,"",SUMIFS('RECEBIMENTOS'!$H$6:$H$1005,'RECEBIMENTOS'!$B$6:$B$1005,A276,'RECEBIMENTOS'!$X$6:$X$1005,1))</f>
        <v/>
      </c>
      <c r="R276" s="93" t="str">
        <f>IF(Z276=0,"",SUMIFS('VÍNCULOS_CDF'!$H$6:$H$1005,'VÍNCULOS_CDF'!$D$6:$D$1005,A276,'VÍNCULOS_CDF'!$V$6:$V$1005,1))</f>
        <v/>
      </c>
      <c r="S276" s="94" t="str">
        <f>IF(Z276=0,"",IF(AA276=1,"Cancelado (informado)",IF(AE276=1,"Cadastro incompleto",IF(OR(AC276=1,AD276=1,AF276&gt;0,AH276&gt;0,AK276&gt;0,AL276&gt;0),"Informação a revisar",IF(AN276=0,"Aguardando recebimento",IF(N(R276)=0,"Aguardando CDF",IF(AJ276&lt;N(W276),"Vínculo de CDF parcial",IF(AO276=0,"CDF localizado, a conferir","Documentação conferida"))))))))</f>
        <v/>
      </c>
      <c r="T276" s="94" t="str">
        <f>IF(Z276=0,"",IF(S276="Cadastro incompleto","MTR INCOMPLETO",IF(S276="Informação a revisar",IF(AND(AH276&gt;0,AC276=0,AD276=0,AF276=0,AK276=0,AL276=0),"QUANTIDADE A REVISAR","IDENTIFICAÇÃO A REVISAR"),IF(S276="Aguardando recebimento","RECEBIMENTO NÃO CONFIRMADO",IF(S276="Aguardando CDF","CDF NÃO LOCALIZADO",IF(S276="Vínculo de CDF parcial","VÍNCULO INCOMPLETO",IF(S276="CDF localizado, a conferir","CDF A CONFERIR","")))))))</f>
        <v/>
      </c>
      <c r="U276" s="95" t="str">
        <f>IF(T276="","",IF(AQ276="","Não calculável",IF(AQ276&gt;TODAY(),"Data futura",TODAY()-AQ276)))</f>
        <v/>
      </c>
      <c r="V276" s="93" t="str">
        <f>IF(Z276=0,"",SUMIFS('RECEBIMENTOS'!$H$6:$H$1005,'RECEBIMENTOS'!$B$6:$B$1005,A276,'RECEBIMENTOS'!$Z$6:$Z$1005,1))</f>
        <v/>
      </c>
      <c r="W276" s="95" t="str">
        <f>IF(Z276=0,"",COUNTIFS('ITENS_MTR'!$S$6:$S$1005,A276,'ITENS_MTR'!$R$6:$R$1005,1))</f>
        <v/>
      </c>
      <c r="X276" s="94" t="str">
        <f>IF(AC276=1,"POSSÍVEL DUPLICIDADE","")</f>
        <v/>
      </c>
      <c r="Y276" s="94" t="str">
        <f>IF(Z276=0,"",IF(AW276="","Nenhuma",LEFT(AW276,LEN(AW276)-2)))</f>
        <v/>
      </c>
      <c r="Z276" s="96">
        <f>IF(COUNTA(B276:O276)&gt;0,1,0)</f>
        <v>0</v>
      </c>
      <c r="AA276" s="96">
        <f>IF(AND(Z276=1,K276&lt;&gt;""),IF(TRIM(K276)=TRIM(cfg_cancel),1,0),0)</f>
        <v>0</v>
      </c>
      <c r="AB276" s="96" t="str">
        <f>IF(AND(Z276=1,B276&lt;&gt;""),C276&amp;"|"&amp;D276&amp;"|"&amp;G276&amp;"|"&amp;TRIM(B276),"")</f>
        <v/>
      </c>
      <c r="AC276" s="96">
        <f>IF(AB276="",0,IF(SUMPRODUCT(--($AB$6:$AB$505=AB276))&gt;1,1,0))</f>
        <v>0</v>
      </c>
      <c r="AD276" s="96">
        <f>IF(Z276=0,0,IF(OR(AND(G276&lt;&gt;"",ISNA(MATCH(G276,'CAD_UNIDADES'!$C$6:$C$105,0))),AND(H276&lt;&gt;"",ISNA(MATCH(H276,cmp_transp,0))),AND(I276&lt;&gt;"",ISNA(MATCH(I276,cmp_dest,0))),AND(E276&lt;&gt;"",NOT(ISNUMBER(E276))),AND(F276&lt;&gt;"",NOT(ISNUMBER(F276))),AND(ISNUMBER(E276),ISNUMBER(F276),F276&lt;E276)),1,0))</f>
        <v>0</v>
      </c>
      <c r="AE276" s="96">
        <f>IF(Z276=0,0,IF(OR(B276="",C276="",E276="",G276="",H276="",I276="",N(W276)=0),1,0))</f>
        <v>0</v>
      </c>
      <c r="AF276" s="96">
        <f>IF(Z276=0,0,COUNTIFS('ITENS_MTR'!$S$6:$S$1005,A276,'ITENS_MTR'!$AI$6:$AI$1005,1))</f>
        <v>0</v>
      </c>
      <c r="AG276" s="96">
        <f>IF(Z276=0,0,COUNTIFS('ITENS_MTR'!$S$6:$S$1005,A276,'ITENS_MTR'!$AJ$6:$AJ$1005,1))</f>
        <v>0</v>
      </c>
      <c r="AH276" s="96">
        <f>IF(Z276=0,0,COUNTIFS('ITENS_MTR'!$S$6:$S$1005,A276,'ITENS_MTR'!$AM$6:$AM$1005,1))</f>
        <v>0</v>
      </c>
      <c r="AI276" s="96">
        <f>IF(Z276=0,0,COUNTIFS('ITENS_MTR'!$S$6:$S$1005,A276,'ITENS_MTR'!$AO$6:$AO$1005,1))</f>
        <v>0</v>
      </c>
      <c r="AJ276" s="96">
        <f>IF(Z276=0,0,COUNTIFS('ITENS_MTR'!$S$6:$S$1005,A276,'ITENS_MTR'!$AN$6:$AN$1005,1))</f>
        <v>0</v>
      </c>
      <c r="AK276" s="96">
        <f>IF(Z276=0,0,COUNTIFS('RECEBIMENTOS'!$B$6:$B$1005,A276,'RECEBIMENTOS'!$Y$6:$Y$1005,1))</f>
        <v>0</v>
      </c>
      <c r="AL276" s="96">
        <f>IF(Z276=0,0,COUNTIFS('VÍNCULOS_CDF'!$D$6:$D$1005,A276,'VÍNCULOS_CDF'!$Y$6:$Y$1005,1))</f>
        <v>0</v>
      </c>
      <c r="AM276" s="96">
        <f>IF(Z276=0,0,COUNTIFS('RECEBIMENTOS'!$B$6:$B$1005,A276,'RECEBIMENTOS'!$Q$6:$Q$1005,1))</f>
        <v>0</v>
      </c>
      <c r="AN276" s="96">
        <f>IF(AND(Z276=1,N(W276)&gt;0,AG276=N(W276)),1,0)</f>
        <v>0</v>
      </c>
      <c r="AO276" s="96">
        <f>IF(AND(Z276=1,N(W276)&gt;0,AI276=N(W276)),1,0)</f>
        <v>0</v>
      </c>
      <c r="AP276" s="97">
        <f>IF(Z276=0,0,_xlfn.MAXIFS('RECEBIMENTOS'!$E$6:$E$1005,'RECEBIMENTOS'!$B$6:$B$1005,A276))</f>
        <v>0</v>
      </c>
      <c r="AQ276" s="97" t="str">
        <f>IF(T276="","",IF(T276="RECEBIMENTO NÃO CONFIRMADO",IF(ISNUMBER(F276),F276,IF(ISNUMBER(E276),E276,"")),IF(OR(T276="CDF NÃO LOCALIZADO",T276="VÍNCULO INCOMPLETO",T276="CDF A CONFERIR"),IF(AP276&gt;0,AP276,IF(ISNUMBER(E276),E276,"")),IF(ISNUMBER(E276),E276,""))))</f>
        <v/>
      </c>
      <c r="AR276" s="96">
        <f>IF(NOT(ISNUMBER(U276)),0,IF(T276="RECEBIMENTO NÃO CONFIRMADO",IF(AND(ISNUMBER(cfg_rec),U276&gt;cfg_rec),1,0),IF(OR(T276="CDF NÃO LOCALIZADO",T276="VÍNCULO INCOMPLETO",T276="CDF A CONFERIR"),IF(AND(ISNUMBER(cfg_cdf),U276&gt;cfg_cdf),1,0),0)))</f>
        <v>0</v>
      </c>
      <c r="AS276" s="96" t="str">
        <f>IF(T276="","",IF(AR276=1,"Alta",IFERROR(INDEX(cfg_pp,MATCH(T276,cfg_pt,0))&amp;"","Média")))</f>
        <v/>
      </c>
      <c r="AT276" s="96" t="str">
        <f>IF(T276="","",IFERROR(INDEX(cfg_pv,MATCH(T276,cfg_pt,0))&amp;"",""))</f>
        <v/>
      </c>
      <c r="AU276" s="96" t="str">
        <f>IF(T276="","",IF(AS276="Alta",1,IF(AS276="Média",2,3))*1000000000+(999999-IF(ISNUMBER(U276),MIN(U276,999999),0))*1000+271)</f>
        <v/>
      </c>
      <c r="AV276" s="96">
        <f>IF(T276&lt;&gt;"",1,0)</f>
        <v>0</v>
      </c>
      <c r="AW276" s="96" t="str">
        <f>IF(Z276=0,"",IF(AA276=1,"Cancelamento informado; ","")&amp;IF(AE276=1,"Campos essenciais ou itens faltando; ","")&amp;IF(AC276=1,"Possível duplicidade do número; ","")&amp;IF(AD276=1,"Cadastro ou datas a revisar; ","")&amp;IF(AF276&gt;0,"Item de resíduo com dado a revisar; ","")&amp;IF(AH276&gt;0,"Diferença de quantidade a analisar; ","")&amp;IF(AK276&gt;0,"Recebimento com alerta; ","")&amp;IF(AL276&gt;0,"Vínculo de CDF com alerta; ","")&amp;IF(AND(AA276=0,AN276=0),"Recebimento não confirmado; ","")&amp;IF(AND(AA276=0,AN276=1,AO276=0),"CDF pendente ou a conferir; ",""))</f>
        <v/>
      </c>
      <c r="AX276" s="96">
        <f>IF(Z276=0,0,IF(AND(OR(f_ini="",AND(ISNUMBER(E276),E276&gt;=f_ini)),OR(f_fim="",AND(ISNUMBER(E276),E276&lt;=f_fim)),OR(f_un="",f_un="(Todas)",G276=f_un),OR(f_tr="",f_tr="(Todos)",H276=f_tr),OR(f_de="",f_de="(Todos)",I276=f_de),OR(f_sit="",f_sit="(Todas)",S276=f_sit)),1,0))</f>
        <v>0</v>
      </c>
      <c r="AY276" s="96">
        <f>IF(AX276=0,0,IF(OR(f_res="",f_res="(Todos)"),1,IF(COUNTIFS('ITENS_MTR'!$S$6:$S$1005,A276,'ITENS_MTR'!$C$6:$C$1005,f_res)&gt;0,1,0)))</f>
        <v>0</v>
      </c>
      <c r="AZ276" s="97" t="str">
        <f>IF(ISNUMBER(E276),DATE(YEAR(E276),MONTH(E276),1),"")</f>
        <v/>
      </c>
      <c r="BA276" s="96">
        <f>IF(Z276=0,0,IF(AND(OR(r_ini="",AND(ISNUMBER(E276),E276&gt;=r_ini)),OR(r_fim="",AND(ISNUMBER(E276),E276&lt;=r_fim)),OR(r_un="",r_un="(Todas)",G276=r_un),OR(r_de="",r_de="(Todos)",I276=r_de)),1,0))</f>
        <v>0</v>
      </c>
      <c r="BB276" s="96" t="str">
        <f>IF(BA276=1,COUNTIF($BA$6:BA276,1),"")</f>
        <v/>
      </c>
      <c r="BC276" s="96" t="str">
        <f>IF(AND(AU276&lt;&gt;"",OR(r_un="",r_un="(Todas)",G276=r_un),OR(r_de="",r_de="(Todos)",I276=r_de)),AU276,"")</f>
        <v/>
      </c>
      <c r="BD276" s="96" t="str">
        <f>IF(Z276=1,A276&amp;" | nº "&amp;IF(B276="","(sem número)",B276)&amp;" | "&amp;IF(G276="","(sem unidade)",G276),"")</f>
        <v/>
      </c>
      <c r="BE276" s="96" t="str">
        <f>IF(Z276=1,COUNTIF($Z$6:Z276,1),"")</f>
        <v/>
      </c>
      <c r="BF276" s="96" t="str">
        <f>IF(T276="","",IF(T276="RECEBIMENTO NÃO CONFIRMADO","Transp.: "&amp;H276&amp;" | Dest.: "&amp;I276,IF(OR(T276="CDF NÃO LOCALIZADO",T276="VÍNCULO INCOMPLETO",T276="CDF A CONFERIR"),"Dest.: "&amp;I276,"Gerador: "&amp;G276)))</f>
        <v/>
      </c>
    </row>
    <row r="277">
      <c r="A277" s="89" t="inlineStr">
        <is>
          <t>MTR-000272</t>
        </is>
      </c>
      <c r="B277" s="90" t="n"/>
      <c r="C277" s="91" t="n"/>
      <c r="D277" s="91" t="n"/>
      <c r="E277" s="92" t="n"/>
      <c r="F277" s="92" t="n"/>
      <c r="G277" s="91" t="n"/>
      <c r="H277" s="91" t="n"/>
      <c r="I277" s="91" t="n"/>
      <c r="J277" s="91" t="n"/>
      <c r="K277" s="91" t="n"/>
      <c r="L277" s="92" t="n"/>
      <c r="M277" s="91" t="n"/>
      <c r="N277" s="91" t="n"/>
      <c r="O277" s="91" t="n"/>
      <c r="P277" s="93" t="str">
        <f>IF(Z277=0,"",SUMIFS('ITENS_MTR'!$I$6:$I$1005,'ITENS_MTR'!$S$6:$S$1005,A277,'ITENS_MTR'!$Y$6:$Y$1005,1))</f>
        <v/>
      </c>
      <c r="Q277" s="93" t="str">
        <f>IF(Z277=0,"",SUMIFS('RECEBIMENTOS'!$H$6:$H$1005,'RECEBIMENTOS'!$B$6:$B$1005,A277,'RECEBIMENTOS'!$X$6:$X$1005,1))</f>
        <v/>
      </c>
      <c r="R277" s="93" t="str">
        <f>IF(Z277=0,"",SUMIFS('VÍNCULOS_CDF'!$H$6:$H$1005,'VÍNCULOS_CDF'!$D$6:$D$1005,A277,'VÍNCULOS_CDF'!$V$6:$V$1005,1))</f>
        <v/>
      </c>
      <c r="S277" s="94" t="str">
        <f>IF(Z277=0,"",IF(AA277=1,"Cancelado (informado)",IF(AE277=1,"Cadastro incompleto",IF(OR(AC277=1,AD277=1,AF277&gt;0,AH277&gt;0,AK277&gt;0,AL277&gt;0),"Informação a revisar",IF(AN277=0,"Aguardando recebimento",IF(N(R277)=0,"Aguardando CDF",IF(AJ277&lt;N(W277),"Vínculo de CDF parcial",IF(AO277=0,"CDF localizado, a conferir","Documentação conferida"))))))))</f>
        <v/>
      </c>
      <c r="T277" s="94" t="str">
        <f>IF(Z277=0,"",IF(S277="Cadastro incompleto","MTR INCOMPLETO",IF(S277="Informação a revisar",IF(AND(AH277&gt;0,AC277=0,AD277=0,AF277=0,AK277=0,AL277=0),"QUANTIDADE A REVISAR","IDENTIFICAÇÃO A REVISAR"),IF(S277="Aguardando recebimento","RECEBIMENTO NÃO CONFIRMADO",IF(S277="Aguardando CDF","CDF NÃO LOCALIZADO",IF(S277="Vínculo de CDF parcial","VÍNCULO INCOMPLETO",IF(S277="CDF localizado, a conferir","CDF A CONFERIR","")))))))</f>
        <v/>
      </c>
      <c r="U277" s="95" t="str">
        <f>IF(T277="","",IF(AQ277="","Não calculável",IF(AQ277&gt;TODAY(),"Data futura",TODAY()-AQ277)))</f>
        <v/>
      </c>
      <c r="V277" s="93" t="str">
        <f>IF(Z277=0,"",SUMIFS('RECEBIMENTOS'!$H$6:$H$1005,'RECEBIMENTOS'!$B$6:$B$1005,A277,'RECEBIMENTOS'!$Z$6:$Z$1005,1))</f>
        <v/>
      </c>
      <c r="W277" s="95" t="str">
        <f>IF(Z277=0,"",COUNTIFS('ITENS_MTR'!$S$6:$S$1005,A277,'ITENS_MTR'!$R$6:$R$1005,1))</f>
        <v/>
      </c>
      <c r="X277" s="94" t="str">
        <f>IF(AC277=1,"POSSÍVEL DUPLICIDADE","")</f>
        <v/>
      </c>
      <c r="Y277" s="94" t="str">
        <f>IF(Z277=0,"",IF(AW277="","Nenhuma",LEFT(AW277,LEN(AW277)-2)))</f>
        <v/>
      </c>
      <c r="Z277" s="96">
        <f>IF(COUNTA(B277:O277)&gt;0,1,0)</f>
        <v>0</v>
      </c>
      <c r="AA277" s="96">
        <f>IF(AND(Z277=1,K277&lt;&gt;""),IF(TRIM(K277)=TRIM(cfg_cancel),1,0),0)</f>
        <v>0</v>
      </c>
      <c r="AB277" s="96" t="str">
        <f>IF(AND(Z277=1,B277&lt;&gt;""),C277&amp;"|"&amp;D277&amp;"|"&amp;G277&amp;"|"&amp;TRIM(B277),"")</f>
        <v/>
      </c>
      <c r="AC277" s="96">
        <f>IF(AB277="",0,IF(SUMPRODUCT(--($AB$6:$AB$505=AB277))&gt;1,1,0))</f>
        <v>0</v>
      </c>
      <c r="AD277" s="96">
        <f>IF(Z277=0,0,IF(OR(AND(G277&lt;&gt;"",ISNA(MATCH(G277,'CAD_UNIDADES'!$C$6:$C$105,0))),AND(H277&lt;&gt;"",ISNA(MATCH(H277,cmp_transp,0))),AND(I277&lt;&gt;"",ISNA(MATCH(I277,cmp_dest,0))),AND(E277&lt;&gt;"",NOT(ISNUMBER(E277))),AND(F277&lt;&gt;"",NOT(ISNUMBER(F277))),AND(ISNUMBER(E277),ISNUMBER(F277),F277&lt;E277)),1,0))</f>
        <v>0</v>
      </c>
      <c r="AE277" s="96">
        <f>IF(Z277=0,0,IF(OR(B277="",C277="",E277="",G277="",H277="",I277="",N(W277)=0),1,0))</f>
        <v>0</v>
      </c>
      <c r="AF277" s="96">
        <f>IF(Z277=0,0,COUNTIFS('ITENS_MTR'!$S$6:$S$1005,A277,'ITENS_MTR'!$AI$6:$AI$1005,1))</f>
        <v>0</v>
      </c>
      <c r="AG277" s="96">
        <f>IF(Z277=0,0,COUNTIFS('ITENS_MTR'!$S$6:$S$1005,A277,'ITENS_MTR'!$AJ$6:$AJ$1005,1))</f>
        <v>0</v>
      </c>
      <c r="AH277" s="96">
        <f>IF(Z277=0,0,COUNTIFS('ITENS_MTR'!$S$6:$S$1005,A277,'ITENS_MTR'!$AM$6:$AM$1005,1))</f>
        <v>0</v>
      </c>
      <c r="AI277" s="96">
        <f>IF(Z277=0,0,COUNTIFS('ITENS_MTR'!$S$6:$S$1005,A277,'ITENS_MTR'!$AO$6:$AO$1005,1))</f>
        <v>0</v>
      </c>
      <c r="AJ277" s="96">
        <f>IF(Z277=0,0,COUNTIFS('ITENS_MTR'!$S$6:$S$1005,A277,'ITENS_MTR'!$AN$6:$AN$1005,1))</f>
        <v>0</v>
      </c>
      <c r="AK277" s="96">
        <f>IF(Z277=0,0,COUNTIFS('RECEBIMENTOS'!$B$6:$B$1005,A277,'RECEBIMENTOS'!$Y$6:$Y$1005,1))</f>
        <v>0</v>
      </c>
      <c r="AL277" s="96">
        <f>IF(Z277=0,0,COUNTIFS('VÍNCULOS_CDF'!$D$6:$D$1005,A277,'VÍNCULOS_CDF'!$Y$6:$Y$1005,1))</f>
        <v>0</v>
      </c>
      <c r="AM277" s="96">
        <f>IF(Z277=0,0,COUNTIFS('RECEBIMENTOS'!$B$6:$B$1005,A277,'RECEBIMENTOS'!$Q$6:$Q$1005,1))</f>
        <v>0</v>
      </c>
      <c r="AN277" s="96">
        <f>IF(AND(Z277=1,N(W277)&gt;0,AG277=N(W277)),1,0)</f>
        <v>0</v>
      </c>
      <c r="AO277" s="96">
        <f>IF(AND(Z277=1,N(W277)&gt;0,AI277=N(W277)),1,0)</f>
        <v>0</v>
      </c>
      <c r="AP277" s="97">
        <f>IF(Z277=0,0,_xlfn.MAXIFS('RECEBIMENTOS'!$E$6:$E$1005,'RECEBIMENTOS'!$B$6:$B$1005,A277))</f>
        <v>0</v>
      </c>
      <c r="AQ277" s="97" t="str">
        <f>IF(T277="","",IF(T277="RECEBIMENTO NÃO CONFIRMADO",IF(ISNUMBER(F277),F277,IF(ISNUMBER(E277),E277,"")),IF(OR(T277="CDF NÃO LOCALIZADO",T277="VÍNCULO INCOMPLETO",T277="CDF A CONFERIR"),IF(AP277&gt;0,AP277,IF(ISNUMBER(E277),E277,"")),IF(ISNUMBER(E277),E277,""))))</f>
        <v/>
      </c>
      <c r="AR277" s="96">
        <f>IF(NOT(ISNUMBER(U277)),0,IF(T277="RECEBIMENTO NÃO CONFIRMADO",IF(AND(ISNUMBER(cfg_rec),U277&gt;cfg_rec),1,0),IF(OR(T277="CDF NÃO LOCALIZADO",T277="VÍNCULO INCOMPLETO",T277="CDF A CONFERIR"),IF(AND(ISNUMBER(cfg_cdf),U277&gt;cfg_cdf),1,0),0)))</f>
        <v>0</v>
      </c>
      <c r="AS277" s="96" t="str">
        <f>IF(T277="","",IF(AR277=1,"Alta",IFERROR(INDEX(cfg_pp,MATCH(T277,cfg_pt,0))&amp;"","Média")))</f>
        <v/>
      </c>
      <c r="AT277" s="96" t="str">
        <f>IF(T277="","",IFERROR(INDEX(cfg_pv,MATCH(T277,cfg_pt,0))&amp;"",""))</f>
        <v/>
      </c>
      <c r="AU277" s="96" t="str">
        <f>IF(T277="","",IF(AS277="Alta",1,IF(AS277="Média",2,3))*1000000000+(999999-IF(ISNUMBER(U277),MIN(U277,999999),0))*1000+272)</f>
        <v/>
      </c>
      <c r="AV277" s="96">
        <f>IF(T277&lt;&gt;"",1,0)</f>
        <v>0</v>
      </c>
      <c r="AW277" s="96" t="str">
        <f>IF(Z277=0,"",IF(AA277=1,"Cancelamento informado; ","")&amp;IF(AE277=1,"Campos essenciais ou itens faltando; ","")&amp;IF(AC277=1,"Possível duplicidade do número; ","")&amp;IF(AD277=1,"Cadastro ou datas a revisar; ","")&amp;IF(AF277&gt;0,"Item de resíduo com dado a revisar; ","")&amp;IF(AH277&gt;0,"Diferença de quantidade a analisar; ","")&amp;IF(AK277&gt;0,"Recebimento com alerta; ","")&amp;IF(AL277&gt;0,"Vínculo de CDF com alerta; ","")&amp;IF(AND(AA277=0,AN277=0),"Recebimento não confirmado; ","")&amp;IF(AND(AA277=0,AN277=1,AO277=0),"CDF pendente ou a conferir; ",""))</f>
        <v/>
      </c>
      <c r="AX277" s="96">
        <f>IF(Z277=0,0,IF(AND(OR(f_ini="",AND(ISNUMBER(E277),E277&gt;=f_ini)),OR(f_fim="",AND(ISNUMBER(E277),E277&lt;=f_fim)),OR(f_un="",f_un="(Todas)",G277=f_un),OR(f_tr="",f_tr="(Todos)",H277=f_tr),OR(f_de="",f_de="(Todos)",I277=f_de),OR(f_sit="",f_sit="(Todas)",S277=f_sit)),1,0))</f>
        <v>0</v>
      </c>
      <c r="AY277" s="96">
        <f>IF(AX277=0,0,IF(OR(f_res="",f_res="(Todos)"),1,IF(COUNTIFS('ITENS_MTR'!$S$6:$S$1005,A277,'ITENS_MTR'!$C$6:$C$1005,f_res)&gt;0,1,0)))</f>
        <v>0</v>
      </c>
      <c r="AZ277" s="97" t="str">
        <f>IF(ISNUMBER(E277),DATE(YEAR(E277),MONTH(E277),1),"")</f>
        <v/>
      </c>
      <c r="BA277" s="96">
        <f>IF(Z277=0,0,IF(AND(OR(r_ini="",AND(ISNUMBER(E277),E277&gt;=r_ini)),OR(r_fim="",AND(ISNUMBER(E277),E277&lt;=r_fim)),OR(r_un="",r_un="(Todas)",G277=r_un),OR(r_de="",r_de="(Todos)",I277=r_de)),1,0))</f>
        <v>0</v>
      </c>
      <c r="BB277" s="96" t="str">
        <f>IF(BA277=1,COUNTIF($BA$6:BA277,1),"")</f>
        <v/>
      </c>
      <c r="BC277" s="96" t="str">
        <f>IF(AND(AU277&lt;&gt;"",OR(r_un="",r_un="(Todas)",G277=r_un),OR(r_de="",r_de="(Todos)",I277=r_de)),AU277,"")</f>
        <v/>
      </c>
      <c r="BD277" s="96" t="str">
        <f>IF(Z277=1,A277&amp;" | nº "&amp;IF(B277="","(sem número)",B277)&amp;" | "&amp;IF(G277="","(sem unidade)",G277),"")</f>
        <v/>
      </c>
      <c r="BE277" s="96" t="str">
        <f>IF(Z277=1,COUNTIF($Z$6:Z277,1),"")</f>
        <v/>
      </c>
      <c r="BF277" s="96" t="str">
        <f>IF(T277="","",IF(T277="RECEBIMENTO NÃO CONFIRMADO","Transp.: "&amp;H277&amp;" | Dest.: "&amp;I277,IF(OR(T277="CDF NÃO LOCALIZADO",T277="VÍNCULO INCOMPLETO",T277="CDF A CONFERIR"),"Dest.: "&amp;I277,"Gerador: "&amp;G277)))</f>
        <v/>
      </c>
    </row>
    <row r="278">
      <c r="A278" s="89" t="inlineStr">
        <is>
          <t>MTR-000273</t>
        </is>
      </c>
      <c r="B278" s="90" t="n"/>
      <c r="C278" s="91" t="n"/>
      <c r="D278" s="91" t="n"/>
      <c r="E278" s="92" t="n"/>
      <c r="F278" s="92" t="n"/>
      <c r="G278" s="91" t="n"/>
      <c r="H278" s="91" t="n"/>
      <c r="I278" s="91" t="n"/>
      <c r="J278" s="91" t="n"/>
      <c r="K278" s="91" t="n"/>
      <c r="L278" s="92" t="n"/>
      <c r="M278" s="91" t="n"/>
      <c r="N278" s="91" t="n"/>
      <c r="O278" s="91" t="n"/>
      <c r="P278" s="93" t="str">
        <f>IF(Z278=0,"",SUMIFS('ITENS_MTR'!$I$6:$I$1005,'ITENS_MTR'!$S$6:$S$1005,A278,'ITENS_MTR'!$Y$6:$Y$1005,1))</f>
        <v/>
      </c>
      <c r="Q278" s="93" t="str">
        <f>IF(Z278=0,"",SUMIFS('RECEBIMENTOS'!$H$6:$H$1005,'RECEBIMENTOS'!$B$6:$B$1005,A278,'RECEBIMENTOS'!$X$6:$X$1005,1))</f>
        <v/>
      </c>
      <c r="R278" s="93" t="str">
        <f>IF(Z278=0,"",SUMIFS('VÍNCULOS_CDF'!$H$6:$H$1005,'VÍNCULOS_CDF'!$D$6:$D$1005,A278,'VÍNCULOS_CDF'!$V$6:$V$1005,1))</f>
        <v/>
      </c>
      <c r="S278" s="94" t="str">
        <f>IF(Z278=0,"",IF(AA278=1,"Cancelado (informado)",IF(AE278=1,"Cadastro incompleto",IF(OR(AC278=1,AD278=1,AF278&gt;0,AH278&gt;0,AK278&gt;0,AL278&gt;0),"Informação a revisar",IF(AN278=0,"Aguardando recebimento",IF(N(R278)=0,"Aguardando CDF",IF(AJ278&lt;N(W278),"Vínculo de CDF parcial",IF(AO278=0,"CDF localizado, a conferir","Documentação conferida"))))))))</f>
        <v/>
      </c>
      <c r="T278" s="94" t="str">
        <f>IF(Z278=0,"",IF(S278="Cadastro incompleto","MTR INCOMPLETO",IF(S278="Informação a revisar",IF(AND(AH278&gt;0,AC278=0,AD278=0,AF278=0,AK278=0,AL278=0),"QUANTIDADE A REVISAR","IDENTIFICAÇÃO A REVISAR"),IF(S278="Aguardando recebimento","RECEBIMENTO NÃO CONFIRMADO",IF(S278="Aguardando CDF","CDF NÃO LOCALIZADO",IF(S278="Vínculo de CDF parcial","VÍNCULO INCOMPLETO",IF(S278="CDF localizado, a conferir","CDF A CONFERIR","")))))))</f>
        <v/>
      </c>
      <c r="U278" s="95" t="str">
        <f>IF(T278="","",IF(AQ278="","Não calculável",IF(AQ278&gt;TODAY(),"Data futura",TODAY()-AQ278)))</f>
        <v/>
      </c>
      <c r="V278" s="93" t="str">
        <f>IF(Z278=0,"",SUMIFS('RECEBIMENTOS'!$H$6:$H$1005,'RECEBIMENTOS'!$B$6:$B$1005,A278,'RECEBIMENTOS'!$Z$6:$Z$1005,1))</f>
        <v/>
      </c>
      <c r="W278" s="95" t="str">
        <f>IF(Z278=0,"",COUNTIFS('ITENS_MTR'!$S$6:$S$1005,A278,'ITENS_MTR'!$R$6:$R$1005,1))</f>
        <v/>
      </c>
      <c r="X278" s="94" t="str">
        <f>IF(AC278=1,"POSSÍVEL DUPLICIDADE","")</f>
        <v/>
      </c>
      <c r="Y278" s="94" t="str">
        <f>IF(Z278=0,"",IF(AW278="","Nenhuma",LEFT(AW278,LEN(AW278)-2)))</f>
        <v/>
      </c>
      <c r="Z278" s="96">
        <f>IF(COUNTA(B278:O278)&gt;0,1,0)</f>
        <v>0</v>
      </c>
      <c r="AA278" s="96">
        <f>IF(AND(Z278=1,K278&lt;&gt;""),IF(TRIM(K278)=TRIM(cfg_cancel),1,0),0)</f>
        <v>0</v>
      </c>
      <c r="AB278" s="96" t="str">
        <f>IF(AND(Z278=1,B278&lt;&gt;""),C278&amp;"|"&amp;D278&amp;"|"&amp;G278&amp;"|"&amp;TRIM(B278),"")</f>
        <v/>
      </c>
      <c r="AC278" s="96">
        <f>IF(AB278="",0,IF(SUMPRODUCT(--($AB$6:$AB$505=AB278))&gt;1,1,0))</f>
        <v>0</v>
      </c>
      <c r="AD278" s="96">
        <f>IF(Z278=0,0,IF(OR(AND(G278&lt;&gt;"",ISNA(MATCH(G278,'CAD_UNIDADES'!$C$6:$C$105,0))),AND(H278&lt;&gt;"",ISNA(MATCH(H278,cmp_transp,0))),AND(I278&lt;&gt;"",ISNA(MATCH(I278,cmp_dest,0))),AND(E278&lt;&gt;"",NOT(ISNUMBER(E278))),AND(F278&lt;&gt;"",NOT(ISNUMBER(F278))),AND(ISNUMBER(E278),ISNUMBER(F278),F278&lt;E278)),1,0))</f>
        <v>0</v>
      </c>
      <c r="AE278" s="96">
        <f>IF(Z278=0,0,IF(OR(B278="",C278="",E278="",G278="",H278="",I278="",N(W278)=0),1,0))</f>
        <v>0</v>
      </c>
      <c r="AF278" s="96">
        <f>IF(Z278=0,0,COUNTIFS('ITENS_MTR'!$S$6:$S$1005,A278,'ITENS_MTR'!$AI$6:$AI$1005,1))</f>
        <v>0</v>
      </c>
      <c r="AG278" s="96">
        <f>IF(Z278=0,0,COUNTIFS('ITENS_MTR'!$S$6:$S$1005,A278,'ITENS_MTR'!$AJ$6:$AJ$1005,1))</f>
        <v>0</v>
      </c>
      <c r="AH278" s="96">
        <f>IF(Z278=0,0,COUNTIFS('ITENS_MTR'!$S$6:$S$1005,A278,'ITENS_MTR'!$AM$6:$AM$1005,1))</f>
        <v>0</v>
      </c>
      <c r="AI278" s="96">
        <f>IF(Z278=0,0,COUNTIFS('ITENS_MTR'!$S$6:$S$1005,A278,'ITENS_MTR'!$AO$6:$AO$1005,1))</f>
        <v>0</v>
      </c>
      <c r="AJ278" s="96">
        <f>IF(Z278=0,0,COUNTIFS('ITENS_MTR'!$S$6:$S$1005,A278,'ITENS_MTR'!$AN$6:$AN$1005,1))</f>
        <v>0</v>
      </c>
      <c r="AK278" s="96">
        <f>IF(Z278=0,0,COUNTIFS('RECEBIMENTOS'!$B$6:$B$1005,A278,'RECEBIMENTOS'!$Y$6:$Y$1005,1))</f>
        <v>0</v>
      </c>
      <c r="AL278" s="96">
        <f>IF(Z278=0,0,COUNTIFS('VÍNCULOS_CDF'!$D$6:$D$1005,A278,'VÍNCULOS_CDF'!$Y$6:$Y$1005,1))</f>
        <v>0</v>
      </c>
      <c r="AM278" s="96">
        <f>IF(Z278=0,0,COUNTIFS('RECEBIMENTOS'!$B$6:$B$1005,A278,'RECEBIMENTOS'!$Q$6:$Q$1005,1))</f>
        <v>0</v>
      </c>
      <c r="AN278" s="96">
        <f>IF(AND(Z278=1,N(W278)&gt;0,AG278=N(W278)),1,0)</f>
        <v>0</v>
      </c>
      <c r="AO278" s="96">
        <f>IF(AND(Z278=1,N(W278)&gt;0,AI278=N(W278)),1,0)</f>
        <v>0</v>
      </c>
      <c r="AP278" s="97">
        <f>IF(Z278=0,0,_xlfn.MAXIFS('RECEBIMENTOS'!$E$6:$E$1005,'RECEBIMENTOS'!$B$6:$B$1005,A278))</f>
        <v>0</v>
      </c>
      <c r="AQ278" s="97" t="str">
        <f>IF(T278="","",IF(T278="RECEBIMENTO NÃO CONFIRMADO",IF(ISNUMBER(F278),F278,IF(ISNUMBER(E278),E278,"")),IF(OR(T278="CDF NÃO LOCALIZADO",T278="VÍNCULO INCOMPLETO",T278="CDF A CONFERIR"),IF(AP278&gt;0,AP278,IF(ISNUMBER(E278),E278,"")),IF(ISNUMBER(E278),E278,""))))</f>
        <v/>
      </c>
      <c r="AR278" s="96">
        <f>IF(NOT(ISNUMBER(U278)),0,IF(T278="RECEBIMENTO NÃO CONFIRMADO",IF(AND(ISNUMBER(cfg_rec),U278&gt;cfg_rec),1,0),IF(OR(T278="CDF NÃO LOCALIZADO",T278="VÍNCULO INCOMPLETO",T278="CDF A CONFERIR"),IF(AND(ISNUMBER(cfg_cdf),U278&gt;cfg_cdf),1,0),0)))</f>
        <v>0</v>
      </c>
      <c r="AS278" s="96" t="str">
        <f>IF(T278="","",IF(AR278=1,"Alta",IFERROR(INDEX(cfg_pp,MATCH(T278,cfg_pt,0))&amp;"","Média")))</f>
        <v/>
      </c>
      <c r="AT278" s="96" t="str">
        <f>IF(T278="","",IFERROR(INDEX(cfg_pv,MATCH(T278,cfg_pt,0))&amp;"",""))</f>
        <v/>
      </c>
      <c r="AU278" s="96" t="str">
        <f>IF(T278="","",IF(AS278="Alta",1,IF(AS278="Média",2,3))*1000000000+(999999-IF(ISNUMBER(U278),MIN(U278,999999),0))*1000+273)</f>
        <v/>
      </c>
      <c r="AV278" s="96">
        <f>IF(T278&lt;&gt;"",1,0)</f>
        <v>0</v>
      </c>
      <c r="AW278" s="96" t="str">
        <f>IF(Z278=0,"",IF(AA278=1,"Cancelamento informado; ","")&amp;IF(AE278=1,"Campos essenciais ou itens faltando; ","")&amp;IF(AC278=1,"Possível duplicidade do número; ","")&amp;IF(AD278=1,"Cadastro ou datas a revisar; ","")&amp;IF(AF278&gt;0,"Item de resíduo com dado a revisar; ","")&amp;IF(AH278&gt;0,"Diferença de quantidade a analisar; ","")&amp;IF(AK278&gt;0,"Recebimento com alerta; ","")&amp;IF(AL278&gt;0,"Vínculo de CDF com alerta; ","")&amp;IF(AND(AA278=0,AN278=0),"Recebimento não confirmado; ","")&amp;IF(AND(AA278=0,AN278=1,AO278=0),"CDF pendente ou a conferir; ",""))</f>
        <v/>
      </c>
      <c r="AX278" s="96">
        <f>IF(Z278=0,0,IF(AND(OR(f_ini="",AND(ISNUMBER(E278),E278&gt;=f_ini)),OR(f_fim="",AND(ISNUMBER(E278),E278&lt;=f_fim)),OR(f_un="",f_un="(Todas)",G278=f_un),OR(f_tr="",f_tr="(Todos)",H278=f_tr),OR(f_de="",f_de="(Todos)",I278=f_de),OR(f_sit="",f_sit="(Todas)",S278=f_sit)),1,0))</f>
        <v>0</v>
      </c>
      <c r="AY278" s="96">
        <f>IF(AX278=0,0,IF(OR(f_res="",f_res="(Todos)"),1,IF(COUNTIFS('ITENS_MTR'!$S$6:$S$1005,A278,'ITENS_MTR'!$C$6:$C$1005,f_res)&gt;0,1,0)))</f>
        <v>0</v>
      </c>
      <c r="AZ278" s="97" t="str">
        <f>IF(ISNUMBER(E278),DATE(YEAR(E278),MONTH(E278),1),"")</f>
        <v/>
      </c>
      <c r="BA278" s="96">
        <f>IF(Z278=0,0,IF(AND(OR(r_ini="",AND(ISNUMBER(E278),E278&gt;=r_ini)),OR(r_fim="",AND(ISNUMBER(E278),E278&lt;=r_fim)),OR(r_un="",r_un="(Todas)",G278=r_un),OR(r_de="",r_de="(Todos)",I278=r_de)),1,0))</f>
        <v>0</v>
      </c>
      <c r="BB278" s="96" t="str">
        <f>IF(BA278=1,COUNTIF($BA$6:BA278,1),"")</f>
        <v/>
      </c>
      <c r="BC278" s="96" t="str">
        <f>IF(AND(AU278&lt;&gt;"",OR(r_un="",r_un="(Todas)",G278=r_un),OR(r_de="",r_de="(Todos)",I278=r_de)),AU278,"")</f>
        <v/>
      </c>
      <c r="BD278" s="96" t="str">
        <f>IF(Z278=1,A278&amp;" | nº "&amp;IF(B278="","(sem número)",B278)&amp;" | "&amp;IF(G278="","(sem unidade)",G278),"")</f>
        <v/>
      </c>
      <c r="BE278" s="96" t="str">
        <f>IF(Z278=1,COUNTIF($Z$6:Z278,1),"")</f>
        <v/>
      </c>
      <c r="BF278" s="96" t="str">
        <f>IF(T278="","",IF(T278="RECEBIMENTO NÃO CONFIRMADO","Transp.: "&amp;H278&amp;" | Dest.: "&amp;I278,IF(OR(T278="CDF NÃO LOCALIZADO",T278="VÍNCULO INCOMPLETO",T278="CDF A CONFERIR"),"Dest.: "&amp;I278,"Gerador: "&amp;G278)))</f>
        <v/>
      </c>
    </row>
    <row r="279">
      <c r="A279" s="89" t="inlineStr">
        <is>
          <t>MTR-000274</t>
        </is>
      </c>
      <c r="B279" s="90" t="n"/>
      <c r="C279" s="91" t="n"/>
      <c r="D279" s="91" t="n"/>
      <c r="E279" s="92" t="n"/>
      <c r="F279" s="92" t="n"/>
      <c r="G279" s="91" t="n"/>
      <c r="H279" s="91" t="n"/>
      <c r="I279" s="91" t="n"/>
      <c r="J279" s="91" t="n"/>
      <c r="K279" s="91" t="n"/>
      <c r="L279" s="92" t="n"/>
      <c r="M279" s="91" t="n"/>
      <c r="N279" s="91" t="n"/>
      <c r="O279" s="91" t="n"/>
      <c r="P279" s="93" t="str">
        <f>IF(Z279=0,"",SUMIFS('ITENS_MTR'!$I$6:$I$1005,'ITENS_MTR'!$S$6:$S$1005,A279,'ITENS_MTR'!$Y$6:$Y$1005,1))</f>
        <v/>
      </c>
      <c r="Q279" s="93" t="str">
        <f>IF(Z279=0,"",SUMIFS('RECEBIMENTOS'!$H$6:$H$1005,'RECEBIMENTOS'!$B$6:$B$1005,A279,'RECEBIMENTOS'!$X$6:$X$1005,1))</f>
        <v/>
      </c>
      <c r="R279" s="93" t="str">
        <f>IF(Z279=0,"",SUMIFS('VÍNCULOS_CDF'!$H$6:$H$1005,'VÍNCULOS_CDF'!$D$6:$D$1005,A279,'VÍNCULOS_CDF'!$V$6:$V$1005,1))</f>
        <v/>
      </c>
      <c r="S279" s="94" t="str">
        <f>IF(Z279=0,"",IF(AA279=1,"Cancelado (informado)",IF(AE279=1,"Cadastro incompleto",IF(OR(AC279=1,AD279=1,AF279&gt;0,AH279&gt;0,AK279&gt;0,AL279&gt;0),"Informação a revisar",IF(AN279=0,"Aguardando recebimento",IF(N(R279)=0,"Aguardando CDF",IF(AJ279&lt;N(W279),"Vínculo de CDF parcial",IF(AO279=0,"CDF localizado, a conferir","Documentação conferida"))))))))</f>
        <v/>
      </c>
      <c r="T279" s="94" t="str">
        <f>IF(Z279=0,"",IF(S279="Cadastro incompleto","MTR INCOMPLETO",IF(S279="Informação a revisar",IF(AND(AH279&gt;0,AC279=0,AD279=0,AF279=0,AK279=0,AL279=0),"QUANTIDADE A REVISAR","IDENTIFICAÇÃO A REVISAR"),IF(S279="Aguardando recebimento","RECEBIMENTO NÃO CONFIRMADO",IF(S279="Aguardando CDF","CDF NÃO LOCALIZADO",IF(S279="Vínculo de CDF parcial","VÍNCULO INCOMPLETO",IF(S279="CDF localizado, a conferir","CDF A CONFERIR","")))))))</f>
        <v/>
      </c>
      <c r="U279" s="95" t="str">
        <f>IF(T279="","",IF(AQ279="","Não calculável",IF(AQ279&gt;TODAY(),"Data futura",TODAY()-AQ279)))</f>
        <v/>
      </c>
      <c r="V279" s="93" t="str">
        <f>IF(Z279=0,"",SUMIFS('RECEBIMENTOS'!$H$6:$H$1005,'RECEBIMENTOS'!$B$6:$B$1005,A279,'RECEBIMENTOS'!$Z$6:$Z$1005,1))</f>
        <v/>
      </c>
      <c r="W279" s="95" t="str">
        <f>IF(Z279=0,"",COUNTIFS('ITENS_MTR'!$S$6:$S$1005,A279,'ITENS_MTR'!$R$6:$R$1005,1))</f>
        <v/>
      </c>
      <c r="X279" s="94" t="str">
        <f>IF(AC279=1,"POSSÍVEL DUPLICIDADE","")</f>
        <v/>
      </c>
      <c r="Y279" s="94" t="str">
        <f>IF(Z279=0,"",IF(AW279="","Nenhuma",LEFT(AW279,LEN(AW279)-2)))</f>
        <v/>
      </c>
      <c r="Z279" s="96">
        <f>IF(COUNTA(B279:O279)&gt;0,1,0)</f>
        <v>0</v>
      </c>
      <c r="AA279" s="96">
        <f>IF(AND(Z279=1,K279&lt;&gt;""),IF(TRIM(K279)=TRIM(cfg_cancel),1,0),0)</f>
        <v>0</v>
      </c>
      <c r="AB279" s="96" t="str">
        <f>IF(AND(Z279=1,B279&lt;&gt;""),C279&amp;"|"&amp;D279&amp;"|"&amp;G279&amp;"|"&amp;TRIM(B279),"")</f>
        <v/>
      </c>
      <c r="AC279" s="96">
        <f>IF(AB279="",0,IF(SUMPRODUCT(--($AB$6:$AB$505=AB279))&gt;1,1,0))</f>
        <v>0</v>
      </c>
      <c r="AD279" s="96">
        <f>IF(Z279=0,0,IF(OR(AND(G279&lt;&gt;"",ISNA(MATCH(G279,'CAD_UNIDADES'!$C$6:$C$105,0))),AND(H279&lt;&gt;"",ISNA(MATCH(H279,cmp_transp,0))),AND(I279&lt;&gt;"",ISNA(MATCH(I279,cmp_dest,0))),AND(E279&lt;&gt;"",NOT(ISNUMBER(E279))),AND(F279&lt;&gt;"",NOT(ISNUMBER(F279))),AND(ISNUMBER(E279),ISNUMBER(F279),F279&lt;E279)),1,0))</f>
        <v>0</v>
      </c>
      <c r="AE279" s="96">
        <f>IF(Z279=0,0,IF(OR(B279="",C279="",E279="",G279="",H279="",I279="",N(W279)=0),1,0))</f>
        <v>0</v>
      </c>
      <c r="AF279" s="96">
        <f>IF(Z279=0,0,COUNTIFS('ITENS_MTR'!$S$6:$S$1005,A279,'ITENS_MTR'!$AI$6:$AI$1005,1))</f>
        <v>0</v>
      </c>
      <c r="AG279" s="96">
        <f>IF(Z279=0,0,COUNTIFS('ITENS_MTR'!$S$6:$S$1005,A279,'ITENS_MTR'!$AJ$6:$AJ$1005,1))</f>
        <v>0</v>
      </c>
      <c r="AH279" s="96">
        <f>IF(Z279=0,0,COUNTIFS('ITENS_MTR'!$S$6:$S$1005,A279,'ITENS_MTR'!$AM$6:$AM$1005,1))</f>
        <v>0</v>
      </c>
      <c r="AI279" s="96">
        <f>IF(Z279=0,0,COUNTIFS('ITENS_MTR'!$S$6:$S$1005,A279,'ITENS_MTR'!$AO$6:$AO$1005,1))</f>
        <v>0</v>
      </c>
      <c r="AJ279" s="96">
        <f>IF(Z279=0,0,COUNTIFS('ITENS_MTR'!$S$6:$S$1005,A279,'ITENS_MTR'!$AN$6:$AN$1005,1))</f>
        <v>0</v>
      </c>
      <c r="AK279" s="96">
        <f>IF(Z279=0,0,COUNTIFS('RECEBIMENTOS'!$B$6:$B$1005,A279,'RECEBIMENTOS'!$Y$6:$Y$1005,1))</f>
        <v>0</v>
      </c>
      <c r="AL279" s="96">
        <f>IF(Z279=0,0,COUNTIFS('VÍNCULOS_CDF'!$D$6:$D$1005,A279,'VÍNCULOS_CDF'!$Y$6:$Y$1005,1))</f>
        <v>0</v>
      </c>
      <c r="AM279" s="96">
        <f>IF(Z279=0,0,COUNTIFS('RECEBIMENTOS'!$B$6:$B$1005,A279,'RECEBIMENTOS'!$Q$6:$Q$1005,1))</f>
        <v>0</v>
      </c>
      <c r="AN279" s="96">
        <f>IF(AND(Z279=1,N(W279)&gt;0,AG279=N(W279)),1,0)</f>
        <v>0</v>
      </c>
      <c r="AO279" s="96">
        <f>IF(AND(Z279=1,N(W279)&gt;0,AI279=N(W279)),1,0)</f>
        <v>0</v>
      </c>
      <c r="AP279" s="97">
        <f>IF(Z279=0,0,_xlfn.MAXIFS('RECEBIMENTOS'!$E$6:$E$1005,'RECEBIMENTOS'!$B$6:$B$1005,A279))</f>
        <v>0</v>
      </c>
      <c r="AQ279" s="97" t="str">
        <f>IF(T279="","",IF(T279="RECEBIMENTO NÃO CONFIRMADO",IF(ISNUMBER(F279),F279,IF(ISNUMBER(E279),E279,"")),IF(OR(T279="CDF NÃO LOCALIZADO",T279="VÍNCULO INCOMPLETO",T279="CDF A CONFERIR"),IF(AP279&gt;0,AP279,IF(ISNUMBER(E279),E279,"")),IF(ISNUMBER(E279),E279,""))))</f>
        <v/>
      </c>
      <c r="AR279" s="96">
        <f>IF(NOT(ISNUMBER(U279)),0,IF(T279="RECEBIMENTO NÃO CONFIRMADO",IF(AND(ISNUMBER(cfg_rec),U279&gt;cfg_rec),1,0),IF(OR(T279="CDF NÃO LOCALIZADO",T279="VÍNCULO INCOMPLETO",T279="CDF A CONFERIR"),IF(AND(ISNUMBER(cfg_cdf),U279&gt;cfg_cdf),1,0),0)))</f>
        <v>0</v>
      </c>
      <c r="AS279" s="96" t="str">
        <f>IF(T279="","",IF(AR279=1,"Alta",IFERROR(INDEX(cfg_pp,MATCH(T279,cfg_pt,0))&amp;"","Média")))</f>
        <v/>
      </c>
      <c r="AT279" s="96" t="str">
        <f>IF(T279="","",IFERROR(INDEX(cfg_pv,MATCH(T279,cfg_pt,0))&amp;"",""))</f>
        <v/>
      </c>
      <c r="AU279" s="96" t="str">
        <f>IF(T279="","",IF(AS279="Alta",1,IF(AS279="Média",2,3))*1000000000+(999999-IF(ISNUMBER(U279),MIN(U279,999999),0))*1000+274)</f>
        <v/>
      </c>
      <c r="AV279" s="96">
        <f>IF(T279&lt;&gt;"",1,0)</f>
        <v>0</v>
      </c>
      <c r="AW279" s="96" t="str">
        <f>IF(Z279=0,"",IF(AA279=1,"Cancelamento informado; ","")&amp;IF(AE279=1,"Campos essenciais ou itens faltando; ","")&amp;IF(AC279=1,"Possível duplicidade do número; ","")&amp;IF(AD279=1,"Cadastro ou datas a revisar; ","")&amp;IF(AF279&gt;0,"Item de resíduo com dado a revisar; ","")&amp;IF(AH279&gt;0,"Diferença de quantidade a analisar; ","")&amp;IF(AK279&gt;0,"Recebimento com alerta; ","")&amp;IF(AL279&gt;0,"Vínculo de CDF com alerta; ","")&amp;IF(AND(AA279=0,AN279=0),"Recebimento não confirmado; ","")&amp;IF(AND(AA279=0,AN279=1,AO279=0),"CDF pendente ou a conferir; ",""))</f>
        <v/>
      </c>
      <c r="AX279" s="96">
        <f>IF(Z279=0,0,IF(AND(OR(f_ini="",AND(ISNUMBER(E279),E279&gt;=f_ini)),OR(f_fim="",AND(ISNUMBER(E279),E279&lt;=f_fim)),OR(f_un="",f_un="(Todas)",G279=f_un),OR(f_tr="",f_tr="(Todos)",H279=f_tr),OR(f_de="",f_de="(Todos)",I279=f_de),OR(f_sit="",f_sit="(Todas)",S279=f_sit)),1,0))</f>
        <v>0</v>
      </c>
      <c r="AY279" s="96">
        <f>IF(AX279=0,0,IF(OR(f_res="",f_res="(Todos)"),1,IF(COUNTIFS('ITENS_MTR'!$S$6:$S$1005,A279,'ITENS_MTR'!$C$6:$C$1005,f_res)&gt;0,1,0)))</f>
        <v>0</v>
      </c>
      <c r="AZ279" s="97" t="str">
        <f>IF(ISNUMBER(E279),DATE(YEAR(E279),MONTH(E279),1),"")</f>
        <v/>
      </c>
      <c r="BA279" s="96">
        <f>IF(Z279=0,0,IF(AND(OR(r_ini="",AND(ISNUMBER(E279),E279&gt;=r_ini)),OR(r_fim="",AND(ISNUMBER(E279),E279&lt;=r_fim)),OR(r_un="",r_un="(Todas)",G279=r_un),OR(r_de="",r_de="(Todos)",I279=r_de)),1,0))</f>
        <v>0</v>
      </c>
      <c r="BB279" s="96" t="str">
        <f>IF(BA279=1,COUNTIF($BA$6:BA279,1),"")</f>
        <v/>
      </c>
      <c r="BC279" s="96" t="str">
        <f>IF(AND(AU279&lt;&gt;"",OR(r_un="",r_un="(Todas)",G279=r_un),OR(r_de="",r_de="(Todos)",I279=r_de)),AU279,"")</f>
        <v/>
      </c>
      <c r="BD279" s="96" t="str">
        <f>IF(Z279=1,A279&amp;" | nº "&amp;IF(B279="","(sem número)",B279)&amp;" | "&amp;IF(G279="","(sem unidade)",G279),"")</f>
        <v/>
      </c>
      <c r="BE279" s="96" t="str">
        <f>IF(Z279=1,COUNTIF($Z$6:Z279,1),"")</f>
        <v/>
      </c>
      <c r="BF279" s="96" t="str">
        <f>IF(T279="","",IF(T279="RECEBIMENTO NÃO CONFIRMADO","Transp.: "&amp;H279&amp;" | Dest.: "&amp;I279,IF(OR(T279="CDF NÃO LOCALIZADO",T279="VÍNCULO INCOMPLETO",T279="CDF A CONFERIR"),"Dest.: "&amp;I279,"Gerador: "&amp;G279)))</f>
        <v/>
      </c>
    </row>
    <row r="280">
      <c r="A280" s="89" t="inlineStr">
        <is>
          <t>MTR-000275</t>
        </is>
      </c>
      <c r="B280" s="90" t="n"/>
      <c r="C280" s="91" t="n"/>
      <c r="D280" s="91" t="n"/>
      <c r="E280" s="92" t="n"/>
      <c r="F280" s="92" t="n"/>
      <c r="G280" s="91" t="n"/>
      <c r="H280" s="91" t="n"/>
      <c r="I280" s="91" t="n"/>
      <c r="J280" s="91" t="n"/>
      <c r="K280" s="91" t="n"/>
      <c r="L280" s="92" t="n"/>
      <c r="M280" s="91" t="n"/>
      <c r="N280" s="91" t="n"/>
      <c r="O280" s="91" t="n"/>
      <c r="P280" s="93" t="str">
        <f>IF(Z280=0,"",SUMIFS('ITENS_MTR'!$I$6:$I$1005,'ITENS_MTR'!$S$6:$S$1005,A280,'ITENS_MTR'!$Y$6:$Y$1005,1))</f>
        <v/>
      </c>
      <c r="Q280" s="93" t="str">
        <f>IF(Z280=0,"",SUMIFS('RECEBIMENTOS'!$H$6:$H$1005,'RECEBIMENTOS'!$B$6:$B$1005,A280,'RECEBIMENTOS'!$X$6:$X$1005,1))</f>
        <v/>
      </c>
      <c r="R280" s="93" t="str">
        <f>IF(Z280=0,"",SUMIFS('VÍNCULOS_CDF'!$H$6:$H$1005,'VÍNCULOS_CDF'!$D$6:$D$1005,A280,'VÍNCULOS_CDF'!$V$6:$V$1005,1))</f>
        <v/>
      </c>
      <c r="S280" s="94" t="str">
        <f>IF(Z280=0,"",IF(AA280=1,"Cancelado (informado)",IF(AE280=1,"Cadastro incompleto",IF(OR(AC280=1,AD280=1,AF280&gt;0,AH280&gt;0,AK280&gt;0,AL280&gt;0),"Informação a revisar",IF(AN280=0,"Aguardando recebimento",IF(N(R280)=0,"Aguardando CDF",IF(AJ280&lt;N(W280),"Vínculo de CDF parcial",IF(AO280=0,"CDF localizado, a conferir","Documentação conferida"))))))))</f>
        <v/>
      </c>
      <c r="T280" s="94" t="str">
        <f>IF(Z280=0,"",IF(S280="Cadastro incompleto","MTR INCOMPLETO",IF(S280="Informação a revisar",IF(AND(AH280&gt;0,AC280=0,AD280=0,AF280=0,AK280=0,AL280=0),"QUANTIDADE A REVISAR","IDENTIFICAÇÃO A REVISAR"),IF(S280="Aguardando recebimento","RECEBIMENTO NÃO CONFIRMADO",IF(S280="Aguardando CDF","CDF NÃO LOCALIZADO",IF(S280="Vínculo de CDF parcial","VÍNCULO INCOMPLETO",IF(S280="CDF localizado, a conferir","CDF A CONFERIR","")))))))</f>
        <v/>
      </c>
      <c r="U280" s="95" t="str">
        <f>IF(T280="","",IF(AQ280="","Não calculável",IF(AQ280&gt;TODAY(),"Data futura",TODAY()-AQ280)))</f>
        <v/>
      </c>
      <c r="V280" s="93" t="str">
        <f>IF(Z280=0,"",SUMIFS('RECEBIMENTOS'!$H$6:$H$1005,'RECEBIMENTOS'!$B$6:$B$1005,A280,'RECEBIMENTOS'!$Z$6:$Z$1005,1))</f>
        <v/>
      </c>
      <c r="W280" s="95" t="str">
        <f>IF(Z280=0,"",COUNTIFS('ITENS_MTR'!$S$6:$S$1005,A280,'ITENS_MTR'!$R$6:$R$1005,1))</f>
        <v/>
      </c>
      <c r="X280" s="94" t="str">
        <f>IF(AC280=1,"POSSÍVEL DUPLICIDADE","")</f>
        <v/>
      </c>
      <c r="Y280" s="94" t="str">
        <f>IF(Z280=0,"",IF(AW280="","Nenhuma",LEFT(AW280,LEN(AW280)-2)))</f>
        <v/>
      </c>
      <c r="Z280" s="96">
        <f>IF(COUNTA(B280:O280)&gt;0,1,0)</f>
        <v>0</v>
      </c>
      <c r="AA280" s="96">
        <f>IF(AND(Z280=1,K280&lt;&gt;""),IF(TRIM(K280)=TRIM(cfg_cancel),1,0),0)</f>
        <v>0</v>
      </c>
      <c r="AB280" s="96" t="str">
        <f>IF(AND(Z280=1,B280&lt;&gt;""),C280&amp;"|"&amp;D280&amp;"|"&amp;G280&amp;"|"&amp;TRIM(B280),"")</f>
        <v/>
      </c>
      <c r="AC280" s="96">
        <f>IF(AB280="",0,IF(SUMPRODUCT(--($AB$6:$AB$505=AB280))&gt;1,1,0))</f>
        <v>0</v>
      </c>
      <c r="AD280" s="96">
        <f>IF(Z280=0,0,IF(OR(AND(G280&lt;&gt;"",ISNA(MATCH(G280,'CAD_UNIDADES'!$C$6:$C$105,0))),AND(H280&lt;&gt;"",ISNA(MATCH(H280,cmp_transp,0))),AND(I280&lt;&gt;"",ISNA(MATCH(I280,cmp_dest,0))),AND(E280&lt;&gt;"",NOT(ISNUMBER(E280))),AND(F280&lt;&gt;"",NOT(ISNUMBER(F280))),AND(ISNUMBER(E280),ISNUMBER(F280),F280&lt;E280)),1,0))</f>
        <v>0</v>
      </c>
      <c r="AE280" s="96">
        <f>IF(Z280=0,0,IF(OR(B280="",C280="",E280="",G280="",H280="",I280="",N(W280)=0),1,0))</f>
        <v>0</v>
      </c>
      <c r="AF280" s="96">
        <f>IF(Z280=0,0,COUNTIFS('ITENS_MTR'!$S$6:$S$1005,A280,'ITENS_MTR'!$AI$6:$AI$1005,1))</f>
        <v>0</v>
      </c>
      <c r="AG280" s="96">
        <f>IF(Z280=0,0,COUNTIFS('ITENS_MTR'!$S$6:$S$1005,A280,'ITENS_MTR'!$AJ$6:$AJ$1005,1))</f>
        <v>0</v>
      </c>
      <c r="AH280" s="96">
        <f>IF(Z280=0,0,COUNTIFS('ITENS_MTR'!$S$6:$S$1005,A280,'ITENS_MTR'!$AM$6:$AM$1005,1))</f>
        <v>0</v>
      </c>
      <c r="AI280" s="96">
        <f>IF(Z280=0,0,COUNTIFS('ITENS_MTR'!$S$6:$S$1005,A280,'ITENS_MTR'!$AO$6:$AO$1005,1))</f>
        <v>0</v>
      </c>
      <c r="AJ280" s="96">
        <f>IF(Z280=0,0,COUNTIFS('ITENS_MTR'!$S$6:$S$1005,A280,'ITENS_MTR'!$AN$6:$AN$1005,1))</f>
        <v>0</v>
      </c>
      <c r="AK280" s="96">
        <f>IF(Z280=0,0,COUNTIFS('RECEBIMENTOS'!$B$6:$B$1005,A280,'RECEBIMENTOS'!$Y$6:$Y$1005,1))</f>
        <v>0</v>
      </c>
      <c r="AL280" s="96">
        <f>IF(Z280=0,0,COUNTIFS('VÍNCULOS_CDF'!$D$6:$D$1005,A280,'VÍNCULOS_CDF'!$Y$6:$Y$1005,1))</f>
        <v>0</v>
      </c>
      <c r="AM280" s="96">
        <f>IF(Z280=0,0,COUNTIFS('RECEBIMENTOS'!$B$6:$B$1005,A280,'RECEBIMENTOS'!$Q$6:$Q$1005,1))</f>
        <v>0</v>
      </c>
      <c r="AN280" s="96">
        <f>IF(AND(Z280=1,N(W280)&gt;0,AG280=N(W280)),1,0)</f>
        <v>0</v>
      </c>
      <c r="AO280" s="96">
        <f>IF(AND(Z280=1,N(W280)&gt;0,AI280=N(W280)),1,0)</f>
        <v>0</v>
      </c>
      <c r="AP280" s="97">
        <f>IF(Z280=0,0,_xlfn.MAXIFS('RECEBIMENTOS'!$E$6:$E$1005,'RECEBIMENTOS'!$B$6:$B$1005,A280))</f>
        <v>0</v>
      </c>
      <c r="AQ280" s="97" t="str">
        <f>IF(T280="","",IF(T280="RECEBIMENTO NÃO CONFIRMADO",IF(ISNUMBER(F280),F280,IF(ISNUMBER(E280),E280,"")),IF(OR(T280="CDF NÃO LOCALIZADO",T280="VÍNCULO INCOMPLETO",T280="CDF A CONFERIR"),IF(AP280&gt;0,AP280,IF(ISNUMBER(E280),E280,"")),IF(ISNUMBER(E280),E280,""))))</f>
        <v/>
      </c>
      <c r="AR280" s="96">
        <f>IF(NOT(ISNUMBER(U280)),0,IF(T280="RECEBIMENTO NÃO CONFIRMADO",IF(AND(ISNUMBER(cfg_rec),U280&gt;cfg_rec),1,0),IF(OR(T280="CDF NÃO LOCALIZADO",T280="VÍNCULO INCOMPLETO",T280="CDF A CONFERIR"),IF(AND(ISNUMBER(cfg_cdf),U280&gt;cfg_cdf),1,0),0)))</f>
        <v>0</v>
      </c>
      <c r="AS280" s="96" t="str">
        <f>IF(T280="","",IF(AR280=1,"Alta",IFERROR(INDEX(cfg_pp,MATCH(T280,cfg_pt,0))&amp;"","Média")))</f>
        <v/>
      </c>
      <c r="AT280" s="96" t="str">
        <f>IF(T280="","",IFERROR(INDEX(cfg_pv,MATCH(T280,cfg_pt,0))&amp;"",""))</f>
        <v/>
      </c>
      <c r="AU280" s="96" t="str">
        <f>IF(T280="","",IF(AS280="Alta",1,IF(AS280="Média",2,3))*1000000000+(999999-IF(ISNUMBER(U280),MIN(U280,999999),0))*1000+275)</f>
        <v/>
      </c>
      <c r="AV280" s="96">
        <f>IF(T280&lt;&gt;"",1,0)</f>
        <v>0</v>
      </c>
      <c r="AW280" s="96" t="str">
        <f>IF(Z280=0,"",IF(AA280=1,"Cancelamento informado; ","")&amp;IF(AE280=1,"Campos essenciais ou itens faltando; ","")&amp;IF(AC280=1,"Possível duplicidade do número; ","")&amp;IF(AD280=1,"Cadastro ou datas a revisar; ","")&amp;IF(AF280&gt;0,"Item de resíduo com dado a revisar; ","")&amp;IF(AH280&gt;0,"Diferença de quantidade a analisar; ","")&amp;IF(AK280&gt;0,"Recebimento com alerta; ","")&amp;IF(AL280&gt;0,"Vínculo de CDF com alerta; ","")&amp;IF(AND(AA280=0,AN280=0),"Recebimento não confirmado; ","")&amp;IF(AND(AA280=0,AN280=1,AO280=0),"CDF pendente ou a conferir; ",""))</f>
        <v/>
      </c>
      <c r="AX280" s="96">
        <f>IF(Z280=0,0,IF(AND(OR(f_ini="",AND(ISNUMBER(E280),E280&gt;=f_ini)),OR(f_fim="",AND(ISNUMBER(E280),E280&lt;=f_fim)),OR(f_un="",f_un="(Todas)",G280=f_un),OR(f_tr="",f_tr="(Todos)",H280=f_tr),OR(f_de="",f_de="(Todos)",I280=f_de),OR(f_sit="",f_sit="(Todas)",S280=f_sit)),1,0))</f>
        <v>0</v>
      </c>
      <c r="AY280" s="96">
        <f>IF(AX280=0,0,IF(OR(f_res="",f_res="(Todos)"),1,IF(COUNTIFS('ITENS_MTR'!$S$6:$S$1005,A280,'ITENS_MTR'!$C$6:$C$1005,f_res)&gt;0,1,0)))</f>
        <v>0</v>
      </c>
      <c r="AZ280" s="97" t="str">
        <f>IF(ISNUMBER(E280),DATE(YEAR(E280),MONTH(E280),1),"")</f>
        <v/>
      </c>
      <c r="BA280" s="96">
        <f>IF(Z280=0,0,IF(AND(OR(r_ini="",AND(ISNUMBER(E280),E280&gt;=r_ini)),OR(r_fim="",AND(ISNUMBER(E280),E280&lt;=r_fim)),OR(r_un="",r_un="(Todas)",G280=r_un),OR(r_de="",r_de="(Todos)",I280=r_de)),1,0))</f>
        <v>0</v>
      </c>
      <c r="BB280" s="96" t="str">
        <f>IF(BA280=1,COUNTIF($BA$6:BA280,1),"")</f>
        <v/>
      </c>
      <c r="BC280" s="96" t="str">
        <f>IF(AND(AU280&lt;&gt;"",OR(r_un="",r_un="(Todas)",G280=r_un),OR(r_de="",r_de="(Todos)",I280=r_de)),AU280,"")</f>
        <v/>
      </c>
      <c r="BD280" s="96" t="str">
        <f>IF(Z280=1,A280&amp;" | nº "&amp;IF(B280="","(sem número)",B280)&amp;" | "&amp;IF(G280="","(sem unidade)",G280),"")</f>
        <v/>
      </c>
      <c r="BE280" s="96" t="str">
        <f>IF(Z280=1,COUNTIF($Z$6:Z280,1),"")</f>
        <v/>
      </c>
      <c r="BF280" s="96" t="str">
        <f>IF(T280="","",IF(T280="RECEBIMENTO NÃO CONFIRMADO","Transp.: "&amp;H280&amp;" | Dest.: "&amp;I280,IF(OR(T280="CDF NÃO LOCALIZADO",T280="VÍNCULO INCOMPLETO",T280="CDF A CONFERIR"),"Dest.: "&amp;I280,"Gerador: "&amp;G280)))</f>
        <v/>
      </c>
    </row>
    <row r="281">
      <c r="A281" s="89" t="inlineStr">
        <is>
          <t>MTR-000276</t>
        </is>
      </c>
      <c r="B281" s="90" t="n"/>
      <c r="C281" s="91" t="n"/>
      <c r="D281" s="91" t="n"/>
      <c r="E281" s="92" t="n"/>
      <c r="F281" s="92" t="n"/>
      <c r="G281" s="91" t="n"/>
      <c r="H281" s="91" t="n"/>
      <c r="I281" s="91" t="n"/>
      <c r="J281" s="91" t="n"/>
      <c r="K281" s="91" t="n"/>
      <c r="L281" s="92" t="n"/>
      <c r="M281" s="91" t="n"/>
      <c r="N281" s="91" t="n"/>
      <c r="O281" s="91" t="n"/>
      <c r="P281" s="93" t="str">
        <f>IF(Z281=0,"",SUMIFS('ITENS_MTR'!$I$6:$I$1005,'ITENS_MTR'!$S$6:$S$1005,A281,'ITENS_MTR'!$Y$6:$Y$1005,1))</f>
        <v/>
      </c>
      <c r="Q281" s="93" t="str">
        <f>IF(Z281=0,"",SUMIFS('RECEBIMENTOS'!$H$6:$H$1005,'RECEBIMENTOS'!$B$6:$B$1005,A281,'RECEBIMENTOS'!$X$6:$X$1005,1))</f>
        <v/>
      </c>
      <c r="R281" s="93" t="str">
        <f>IF(Z281=0,"",SUMIFS('VÍNCULOS_CDF'!$H$6:$H$1005,'VÍNCULOS_CDF'!$D$6:$D$1005,A281,'VÍNCULOS_CDF'!$V$6:$V$1005,1))</f>
        <v/>
      </c>
      <c r="S281" s="94" t="str">
        <f>IF(Z281=0,"",IF(AA281=1,"Cancelado (informado)",IF(AE281=1,"Cadastro incompleto",IF(OR(AC281=1,AD281=1,AF281&gt;0,AH281&gt;0,AK281&gt;0,AL281&gt;0),"Informação a revisar",IF(AN281=0,"Aguardando recebimento",IF(N(R281)=0,"Aguardando CDF",IF(AJ281&lt;N(W281),"Vínculo de CDF parcial",IF(AO281=0,"CDF localizado, a conferir","Documentação conferida"))))))))</f>
        <v/>
      </c>
      <c r="T281" s="94" t="str">
        <f>IF(Z281=0,"",IF(S281="Cadastro incompleto","MTR INCOMPLETO",IF(S281="Informação a revisar",IF(AND(AH281&gt;0,AC281=0,AD281=0,AF281=0,AK281=0,AL281=0),"QUANTIDADE A REVISAR","IDENTIFICAÇÃO A REVISAR"),IF(S281="Aguardando recebimento","RECEBIMENTO NÃO CONFIRMADO",IF(S281="Aguardando CDF","CDF NÃO LOCALIZADO",IF(S281="Vínculo de CDF parcial","VÍNCULO INCOMPLETO",IF(S281="CDF localizado, a conferir","CDF A CONFERIR","")))))))</f>
        <v/>
      </c>
      <c r="U281" s="95" t="str">
        <f>IF(T281="","",IF(AQ281="","Não calculável",IF(AQ281&gt;TODAY(),"Data futura",TODAY()-AQ281)))</f>
        <v/>
      </c>
      <c r="V281" s="93" t="str">
        <f>IF(Z281=0,"",SUMIFS('RECEBIMENTOS'!$H$6:$H$1005,'RECEBIMENTOS'!$B$6:$B$1005,A281,'RECEBIMENTOS'!$Z$6:$Z$1005,1))</f>
        <v/>
      </c>
      <c r="W281" s="95" t="str">
        <f>IF(Z281=0,"",COUNTIFS('ITENS_MTR'!$S$6:$S$1005,A281,'ITENS_MTR'!$R$6:$R$1005,1))</f>
        <v/>
      </c>
      <c r="X281" s="94" t="str">
        <f>IF(AC281=1,"POSSÍVEL DUPLICIDADE","")</f>
        <v/>
      </c>
      <c r="Y281" s="94" t="str">
        <f>IF(Z281=0,"",IF(AW281="","Nenhuma",LEFT(AW281,LEN(AW281)-2)))</f>
        <v/>
      </c>
      <c r="Z281" s="96">
        <f>IF(COUNTA(B281:O281)&gt;0,1,0)</f>
        <v>0</v>
      </c>
      <c r="AA281" s="96">
        <f>IF(AND(Z281=1,K281&lt;&gt;""),IF(TRIM(K281)=TRIM(cfg_cancel),1,0),0)</f>
        <v>0</v>
      </c>
      <c r="AB281" s="96" t="str">
        <f>IF(AND(Z281=1,B281&lt;&gt;""),C281&amp;"|"&amp;D281&amp;"|"&amp;G281&amp;"|"&amp;TRIM(B281),"")</f>
        <v/>
      </c>
      <c r="AC281" s="96">
        <f>IF(AB281="",0,IF(SUMPRODUCT(--($AB$6:$AB$505=AB281))&gt;1,1,0))</f>
        <v>0</v>
      </c>
      <c r="AD281" s="96">
        <f>IF(Z281=0,0,IF(OR(AND(G281&lt;&gt;"",ISNA(MATCH(G281,'CAD_UNIDADES'!$C$6:$C$105,0))),AND(H281&lt;&gt;"",ISNA(MATCH(H281,cmp_transp,0))),AND(I281&lt;&gt;"",ISNA(MATCH(I281,cmp_dest,0))),AND(E281&lt;&gt;"",NOT(ISNUMBER(E281))),AND(F281&lt;&gt;"",NOT(ISNUMBER(F281))),AND(ISNUMBER(E281),ISNUMBER(F281),F281&lt;E281)),1,0))</f>
        <v>0</v>
      </c>
      <c r="AE281" s="96">
        <f>IF(Z281=0,0,IF(OR(B281="",C281="",E281="",G281="",H281="",I281="",N(W281)=0),1,0))</f>
        <v>0</v>
      </c>
      <c r="AF281" s="96">
        <f>IF(Z281=0,0,COUNTIFS('ITENS_MTR'!$S$6:$S$1005,A281,'ITENS_MTR'!$AI$6:$AI$1005,1))</f>
        <v>0</v>
      </c>
      <c r="AG281" s="96">
        <f>IF(Z281=0,0,COUNTIFS('ITENS_MTR'!$S$6:$S$1005,A281,'ITENS_MTR'!$AJ$6:$AJ$1005,1))</f>
        <v>0</v>
      </c>
      <c r="AH281" s="96">
        <f>IF(Z281=0,0,COUNTIFS('ITENS_MTR'!$S$6:$S$1005,A281,'ITENS_MTR'!$AM$6:$AM$1005,1))</f>
        <v>0</v>
      </c>
      <c r="AI281" s="96">
        <f>IF(Z281=0,0,COUNTIFS('ITENS_MTR'!$S$6:$S$1005,A281,'ITENS_MTR'!$AO$6:$AO$1005,1))</f>
        <v>0</v>
      </c>
      <c r="AJ281" s="96">
        <f>IF(Z281=0,0,COUNTIFS('ITENS_MTR'!$S$6:$S$1005,A281,'ITENS_MTR'!$AN$6:$AN$1005,1))</f>
        <v>0</v>
      </c>
      <c r="AK281" s="96">
        <f>IF(Z281=0,0,COUNTIFS('RECEBIMENTOS'!$B$6:$B$1005,A281,'RECEBIMENTOS'!$Y$6:$Y$1005,1))</f>
        <v>0</v>
      </c>
      <c r="AL281" s="96">
        <f>IF(Z281=0,0,COUNTIFS('VÍNCULOS_CDF'!$D$6:$D$1005,A281,'VÍNCULOS_CDF'!$Y$6:$Y$1005,1))</f>
        <v>0</v>
      </c>
      <c r="AM281" s="96">
        <f>IF(Z281=0,0,COUNTIFS('RECEBIMENTOS'!$B$6:$B$1005,A281,'RECEBIMENTOS'!$Q$6:$Q$1005,1))</f>
        <v>0</v>
      </c>
      <c r="AN281" s="96">
        <f>IF(AND(Z281=1,N(W281)&gt;0,AG281=N(W281)),1,0)</f>
        <v>0</v>
      </c>
      <c r="AO281" s="96">
        <f>IF(AND(Z281=1,N(W281)&gt;0,AI281=N(W281)),1,0)</f>
        <v>0</v>
      </c>
      <c r="AP281" s="97">
        <f>IF(Z281=0,0,_xlfn.MAXIFS('RECEBIMENTOS'!$E$6:$E$1005,'RECEBIMENTOS'!$B$6:$B$1005,A281))</f>
        <v>0</v>
      </c>
      <c r="AQ281" s="97" t="str">
        <f>IF(T281="","",IF(T281="RECEBIMENTO NÃO CONFIRMADO",IF(ISNUMBER(F281),F281,IF(ISNUMBER(E281),E281,"")),IF(OR(T281="CDF NÃO LOCALIZADO",T281="VÍNCULO INCOMPLETO",T281="CDF A CONFERIR"),IF(AP281&gt;0,AP281,IF(ISNUMBER(E281),E281,"")),IF(ISNUMBER(E281),E281,""))))</f>
        <v/>
      </c>
      <c r="AR281" s="96">
        <f>IF(NOT(ISNUMBER(U281)),0,IF(T281="RECEBIMENTO NÃO CONFIRMADO",IF(AND(ISNUMBER(cfg_rec),U281&gt;cfg_rec),1,0),IF(OR(T281="CDF NÃO LOCALIZADO",T281="VÍNCULO INCOMPLETO",T281="CDF A CONFERIR"),IF(AND(ISNUMBER(cfg_cdf),U281&gt;cfg_cdf),1,0),0)))</f>
        <v>0</v>
      </c>
      <c r="AS281" s="96" t="str">
        <f>IF(T281="","",IF(AR281=1,"Alta",IFERROR(INDEX(cfg_pp,MATCH(T281,cfg_pt,0))&amp;"","Média")))</f>
        <v/>
      </c>
      <c r="AT281" s="96" t="str">
        <f>IF(T281="","",IFERROR(INDEX(cfg_pv,MATCH(T281,cfg_pt,0))&amp;"",""))</f>
        <v/>
      </c>
      <c r="AU281" s="96" t="str">
        <f>IF(T281="","",IF(AS281="Alta",1,IF(AS281="Média",2,3))*1000000000+(999999-IF(ISNUMBER(U281),MIN(U281,999999),0))*1000+276)</f>
        <v/>
      </c>
      <c r="AV281" s="96">
        <f>IF(T281&lt;&gt;"",1,0)</f>
        <v>0</v>
      </c>
      <c r="AW281" s="96" t="str">
        <f>IF(Z281=0,"",IF(AA281=1,"Cancelamento informado; ","")&amp;IF(AE281=1,"Campos essenciais ou itens faltando; ","")&amp;IF(AC281=1,"Possível duplicidade do número; ","")&amp;IF(AD281=1,"Cadastro ou datas a revisar; ","")&amp;IF(AF281&gt;0,"Item de resíduo com dado a revisar; ","")&amp;IF(AH281&gt;0,"Diferença de quantidade a analisar; ","")&amp;IF(AK281&gt;0,"Recebimento com alerta; ","")&amp;IF(AL281&gt;0,"Vínculo de CDF com alerta; ","")&amp;IF(AND(AA281=0,AN281=0),"Recebimento não confirmado; ","")&amp;IF(AND(AA281=0,AN281=1,AO281=0),"CDF pendente ou a conferir; ",""))</f>
        <v/>
      </c>
      <c r="AX281" s="96">
        <f>IF(Z281=0,0,IF(AND(OR(f_ini="",AND(ISNUMBER(E281),E281&gt;=f_ini)),OR(f_fim="",AND(ISNUMBER(E281),E281&lt;=f_fim)),OR(f_un="",f_un="(Todas)",G281=f_un),OR(f_tr="",f_tr="(Todos)",H281=f_tr),OR(f_de="",f_de="(Todos)",I281=f_de),OR(f_sit="",f_sit="(Todas)",S281=f_sit)),1,0))</f>
        <v>0</v>
      </c>
      <c r="AY281" s="96">
        <f>IF(AX281=0,0,IF(OR(f_res="",f_res="(Todos)"),1,IF(COUNTIFS('ITENS_MTR'!$S$6:$S$1005,A281,'ITENS_MTR'!$C$6:$C$1005,f_res)&gt;0,1,0)))</f>
        <v>0</v>
      </c>
      <c r="AZ281" s="97" t="str">
        <f>IF(ISNUMBER(E281),DATE(YEAR(E281),MONTH(E281),1),"")</f>
        <v/>
      </c>
      <c r="BA281" s="96">
        <f>IF(Z281=0,0,IF(AND(OR(r_ini="",AND(ISNUMBER(E281),E281&gt;=r_ini)),OR(r_fim="",AND(ISNUMBER(E281),E281&lt;=r_fim)),OR(r_un="",r_un="(Todas)",G281=r_un),OR(r_de="",r_de="(Todos)",I281=r_de)),1,0))</f>
        <v>0</v>
      </c>
      <c r="BB281" s="96" t="str">
        <f>IF(BA281=1,COUNTIF($BA$6:BA281,1),"")</f>
        <v/>
      </c>
      <c r="BC281" s="96" t="str">
        <f>IF(AND(AU281&lt;&gt;"",OR(r_un="",r_un="(Todas)",G281=r_un),OR(r_de="",r_de="(Todos)",I281=r_de)),AU281,"")</f>
        <v/>
      </c>
      <c r="BD281" s="96" t="str">
        <f>IF(Z281=1,A281&amp;" | nº "&amp;IF(B281="","(sem número)",B281)&amp;" | "&amp;IF(G281="","(sem unidade)",G281),"")</f>
        <v/>
      </c>
      <c r="BE281" s="96" t="str">
        <f>IF(Z281=1,COUNTIF($Z$6:Z281,1),"")</f>
        <v/>
      </c>
      <c r="BF281" s="96" t="str">
        <f>IF(T281="","",IF(T281="RECEBIMENTO NÃO CONFIRMADO","Transp.: "&amp;H281&amp;" | Dest.: "&amp;I281,IF(OR(T281="CDF NÃO LOCALIZADO",T281="VÍNCULO INCOMPLETO",T281="CDF A CONFERIR"),"Dest.: "&amp;I281,"Gerador: "&amp;G281)))</f>
        <v/>
      </c>
    </row>
    <row r="282">
      <c r="A282" s="89" t="inlineStr">
        <is>
          <t>MTR-000277</t>
        </is>
      </c>
      <c r="B282" s="90" t="n"/>
      <c r="C282" s="91" t="n"/>
      <c r="D282" s="91" t="n"/>
      <c r="E282" s="92" t="n"/>
      <c r="F282" s="92" t="n"/>
      <c r="G282" s="91" t="n"/>
      <c r="H282" s="91" t="n"/>
      <c r="I282" s="91" t="n"/>
      <c r="J282" s="91" t="n"/>
      <c r="K282" s="91" t="n"/>
      <c r="L282" s="92" t="n"/>
      <c r="M282" s="91" t="n"/>
      <c r="N282" s="91" t="n"/>
      <c r="O282" s="91" t="n"/>
      <c r="P282" s="93" t="str">
        <f>IF(Z282=0,"",SUMIFS('ITENS_MTR'!$I$6:$I$1005,'ITENS_MTR'!$S$6:$S$1005,A282,'ITENS_MTR'!$Y$6:$Y$1005,1))</f>
        <v/>
      </c>
      <c r="Q282" s="93" t="str">
        <f>IF(Z282=0,"",SUMIFS('RECEBIMENTOS'!$H$6:$H$1005,'RECEBIMENTOS'!$B$6:$B$1005,A282,'RECEBIMENTOS'!$X$6:$X$1005,1))</f>
        <v/>
      </c>
      <c r="R282" s="93" t="str">
        <f>IF(Z282=0,"",SUMIFS('VÍNCULOS_CDF'!$H$6:$H$1005,'VÍNCULOS_CDF'!$D$6:$D$1005,A282,'VÍNCULOS_CDF'!$V$6:$V$1005,1))</f>
        <v/>
      </c>
      <c r="S282" s="94" t="str">
        <f>IF(Z282=0,"",IF(AA282=1,"Cancelado (informado)",IF(AE282=1,"Cadastro incompleto",IF(OR(AC282=1,AD282=1,AF282&gt;0,AH282&gt;0,AK282&gt;0,AL282&gt;0),"Informação a revisar",IF(AN282=0,"Aguardando recebimento",IF(N(R282)=0,"Aguardando CDF",IF(AJ282&lt;N(W282),"Vínculo de CDF parcial",IF(AO282=0,"CDF localizado, a conferir","Documentação conferida"))))))))</f>
        <v/>
      </c>
      <c r="T282" s="94" t="str">
        <f>IF(Z282=0,"",IF(S282="Cadastro incompleto","MTR INCOMPLETO",IF(S282="Informação a revisar",IF(AND(AH282&gt;0,AC282=0,AD282=0,AF282=0,AK282=0,AL282=0),"QUANTIDADE A REVISAR","IDENTIFICAÇÃO A REVISAR"),IF(S282="Aguardando recebimento","RECEBIMENTO NÃO CONFIRMADO",IF(S282="Aguardando CDF","CDF NÃO LOCALIZADO",IF(S282="Vínculo de CDF parcial","VÍNCULO INCOMPLETO",IF(S282="CDF localizado, a conferir","CDF A CONFERIR","")))))))</f>
        <v/>
      </c>
      <c r="U282" s="95" t="str">
        <f>IF(T282="","",IF(AQ282="","Não calculável",IF(AQ282&gt;TODAY(),"Data futura",TODAY()-AQ282)))</f>
        <v/>
      </c>
      <c r="V282" s="93" t="str">
        <f>IF(Z282=0,"",SUMIFS('RECEBIMENTOS'!$H$6:$H$1005,'RECEBIMENTOS'!$B$6:$B$1005,A282,'RECEBIMENTOS'!$Z$6:$Z$1005,1))</f>
        <v/>
      </c>
      <c r="W282" s="95" t="str">
        <f>IF(Z282=0,"",COUNTIFS('ITENS_MTR'!$S$6:$S$1005,A282,'ITENS_MTR'!$R$6:$R$1005,1))</f>
        <v/>
      </c>
      <c r="X282" s="94" t="str">
        <f>IF(AC282=1,"POSSÍVEL DUPLICIDADE","")</f>
        <v/>
      </c>
      <c r="Y282" s="94" t="str">
        <f>IF(Z282=0,"",IF(AW282="","Nenhuma",LEFT(AW282,LEN(AW282)-2)))</f>
        <v/>
      </c>
      <c r="Z282" s="96">
        <f>IF(COUNTA(B282:O282)&gt;0,1,0)</f>
        <v>0</v>
      </c>
      <c r="AA282" s="96">
        <f>IF(AND(Z282=1,K282&lt;&gt;""),IF(TRIM(K282)=TRIM(cfg_cancel),1,0),0)</f>
        <v>0</v>
      </c>
      <c r="AB282" s="96" t="str">
        <f>IF(AND(Z282=1,B282&lt;&gt;""),C282&amp;"|"&amp;D282&amp;"|"&amp;G282&amp;"|"&amp;TRIM(B282),"")</f>
        <v/>
      </c>
      <c r="AC282" s="96">
        <f>IF(AB282="",0,IF(SUMPRODUCT(--($AB$6:$AB$505=AB282))&gt;1,1,0))</f>
        <v>0</v>
      </c>
      <c r="AD282" s="96">
        <f>IF(Z282=0,0,IF(OR(AND(G282&lt;&gt;"",ISNA(MATCH(G282,'CAD_UNIDADES'!$C$6:$C$105,0))),AND(H282&lt;&gt;"",ISNA(MATCH(H282,cmp_transp,0))),AND(I282&lt;&gt;"",ISNA(MATCH(I282,cmp_dest,0))),AND(E282&lt;&gt;"",NOT(ISNUMBER(E282))),AND(F282&lt;&gt;"",NOT(ISNUMBER(F282))),AND(ISNUMBER(E282),ISNUMBER(F282),F282&lt;E282)),1,0))</f>
        <v>0</v>
      </c>
      <c r="AE282" s="96">
        <f>IF(Z282=0,0,IF(OR(B282="",C282="",E282="",G282="",H282="",I282="",N(W282)=0),1,0))</f>
        <v>0</v>
      </c>
      <c r="AF282" s="96">
        <f>IF(Z282=0,0,COUNTIFS('ITENS_MTR'!$S$6:$S$1005,A282,'ITENS_MTR'!$AI$6:$AI$1005,1))</f>
        <v>0</v>
      </c>
      <c r="AG282" s="96">
        <f>IF(Z282=0,0,COUNTIFS('ITENS_MTR'!$S$6:$S$1005,A282,'ITENS_MTR'!$AJ$6:$AJ$1005,1))</f>
        <v>0</v>
      </c>
      <c r="AH282" s="96">
        <f>IF(Z282=0,0,COUNTIFS('ITENS_MTR'!$S$6:$S$1005,A282,'ITENS_MTR'!$AM$6:$AM$1005,1))</f>
        <v>0</v>
      </c>
      <c r="AI282" s="96">
        <f>IF(Z282=0,0,COUNTIFS('ITENS_MTR'!$S$6:$S$1005,A282,'ITENS_MTR'!$AO$6:$AO$1005,1))</f>
        <v>0</v>
      </c>
      <c r="AJ282" s="96">
        <f>IF(Z282=0,0,COUNTIFS('ITENS_MTR'!$S$6:$S$1005,A282,'ITENS_MTR'!$AN$6:$AN$1005,1))</f>
        <v>0</v>
      </c>
      <c r="AK282" s="96">
        <f>IF(Z282=0,0,COUNTIFS('RECEBIMENTOS'!$B$6:$B$1005,A282,'RECEBIMENTOS'!$Y$6:$Y$1005,1))</f>
        <v>0</v>
      </c>
      <c r="AL282" s="96">
        <f>IF(Z282=0,0,COUNTIFS('VÍNCULOS_CDF'!$D$6:$D$1005,A282,'VÍNCULOS_CDF'!$Y$6:$Y$1005,1))</f>
        <v>0</v>
      </c>
      <c r="AM282" s="96">
        <f>IF(Z282=0,0,COUNTIFS('RECEBIMENTOS'!$B$6:$B$1005,A282,'RECEBIMENTOS'!$Q$6:$Q$1005,1))</f>
        <v>0</v>
      </c>
      <c r="AN282" s="96">
        <f>IF(AND(Z282=1,N(W282)&gt;0,AG282=N(W282)),1,0)</f>
        <v>0</v>
      </c>
      <c r="AO282" s="96">
        <f>IF(AND(Z282=1,N(W282)&gt;0,AI282=N(W282)),1,0)</f>
        <v>0</v>
      </c>
      <c r="AP282" s="97">
        <f>IF(Z282=0,0,_xlfn.MAXIFS('RECEBIMENTOS'!$E$6:$E$1005,'RECEBIMENTOS'!$B$6:$B$1005,A282))</f>
        <v>0</v>
      </c>
      <c r="AQ282" s="97" t="str">
        <f>IF(T282="","",IF(T282="RECEBIMENTO NÃO CONFIRMADO",IF(ISNUMBER(F282),F282,IF(ISNUMBER(E282),E282,"")),IF(OR(T282="CDF NÃO LOCALIZADO",T282="VÍNCULO INCOMPLETO",T282="CDF A CONFERIR"),IF(AP282&gt;0,AP282,IF(ISNUMBER(E282),E282,"")),IF(ISNUMBER(E282),E282,""))))</f>
        <v/>
      </c>
      <c r="AR282" s="96">
        <f>IF(NOT(ISNUMBER(U282)),0,IF(T282="RECEBIMENTO NÃO CONFIRMADO",IF(AND(ISNUMBER(cfg_rec),U282&gt;cfg_rec),1,0),IF(OR(T282="CDF NÃO LOCALIZADO",T282="VÍNCULO INCOMPLETO",T282="CDF A CONFERIR"),IF(AND(ISNUMBER(cfg_cdf),U282&gt;cfg_cdf),1,0),0)))</f>
        <v>0</v>
      </c>
      <c r="AS282" s="96" t="str">
        <f>IF(T282="","",IF(AR282=1,"Alta",IFERROR(INDEX(cfg_pp,MATCH(T282,cfg_pt,0))&amp;"","Média")))</f>
        <v/>
      </c>
      <c r="AT282" s="96" t="str">
        <f>IF(T282="","",IFERROR(INDEX(cfg_pv,MATCH(T282,cfg_pt,0))&amp;"",""))</f>
        <v/>
      </c>
      <c r="AU282" s="96" t="str">
        <f>IF(T282="","",IF(AS282="Alta",1,IF(AS282="Média",2,3))*1000000000+(999999-IF(ISNUMBER(U282),MIN(U282,999999),0))*1000+277)</f>
        <v/>
      </c>
      <c r="AV282" s="96">
        <f>IF(T282&lt;&gt;"",1,0)</f>
        <v>0</v>
      </c>
      <c r="AW282" s="96" t="str">
        <f>IF(Z282=0,"",IF(AA282=1,"Cancelamento informado; ","")&amp;IF(AE282=1,"Campos essenciais ou itens faltando; ","")&amp;IF(AC282=1,"Possível duplicidade do número; ","")&amp;IF(AD282=1,"Cadastro ou datas a revisar; ","")&amp;IF(AF282&gt;0,"Item de resíduo com dado a revisar; ","")&amp;IF(AH282&gt;0,"Diferença de quantidade a analisar; ","")&amp;IF(AK282&gt;0,"Recebimento com alerta; ","")&amp;IF(AL282&gt;0,"Vínculo de CDF com alerta; ","")&amp;IF(AND(AA282=0,AN282=0),"Recebimento não confirmado; ","")&amp;IF(AND(AA282=0,AN282=1,AO282=0),"CDF pendente ou a conferir; ",""))</f>
        <v/>
      </c>
      <c r="AX282" s="96">
        <f>IF(Z282=0,0,IF(AND(OR(f_ini="",AND(ISNUMBER(E282),E282&gt;=f_ini)),OR(f_fim="",AND(ISNUMBER(E282),E282&lt;=f_fim)),OR(f_un="",f_un="(Todas)",G282=f_un),OR(f_tr="",f_tr="(Todos)",H282=f_tr),OR(f_de="",f_de="(Todos)",I282=f_de),OR(f_sit="",f_sit="(Todas)",S282=f_sit)),1,0))</f>
        <v>0</v>
      </c>
      <c r="AY282" s="96">
        <f>IF(AX282=0,0,IF(OR(f_res="",f_res="(Todos)"),1,IF(COUNTIFS('ITENS_MTR'!$S$6:$S$1005,A282,'ITENS_MTR'!$C$6:$C$1005,f_res)&gt;0,1,0)))</f>
        <v>0</v>
      </c>
      <c r="AZ282" s="97" t="str">
        <f>IF(ISNUMBER(E282),DATE(YEAR(E282),MONTH(E282),1),"")</f>
        <v/>
      </c>
      <c r="BA282" s="96">
        <f>IF(Z282=0,0,IF(AND(OR(r_ini="",AND(ISNUMBER(E282),E282&gt;=r_ini)),OR(r_fim="",AND(ISNUMBER(E282),E282&lt;=r_fim)),OR(r_un="",r_un="(Todas)",G282=r_un),OR(r_de="",r_de="(Todos)",I282=r_de)),1,0))</f>
        <v>0</v>
      </c>
      <c r="BB282" s="96" t="str">
        <f>IF(BA282=1,COUNTIF($BA$6:BA282,1),"")</f>
        <v/>
      </c>
      <c r="BC282" s="96" t="str">
        <f>IF(AND(AU282&lt;&gt;"",OR(r_un="",r_un="(Todas)",G282=r_un),OR(r_de="",r_de="(Todos)",I282=r_de)),AU282,"")</f>
        <v/>
      </c>
      <c r="BD282" s="96" t="str">
        <f>IF(Z282=1,A282&amp;" | nº "&amp;IF(B282="","(sem número)",B282)&amp;" | "&amp;IF(G282="","(sem unidade)",G282),"")</f>
        <v/>
      </c>
      <c r="BE282" s="96" t="str">
        <f>IF(Z282=1,COUNTIF($Z$6:Z282,1),"")</f>
        <v/>
      </c>
      <c r="BF282" s="96" t="str">
        <f>IF(T282="","",IF(T282="RECEBIMENTO NÃO CONFIRMADO","Transp.: "&amp;H282&amp;" | Dest.: "&amp;I282,IF(OR(T282="CDF NÃO LOCALIZADO",T282="VÍNCULO INCOMPLETO",T282="CDF A CONFERIR"),"Dest.: "&amp;I282,"Gerador: "&amp;G282)))</f>
        <v/>
      </c>
    </row>
    <row r="283">
      <c r="A283" s="89" t="inlineStr">
        <is>
          <t>MTR-000278</t>
        </is>
      </c>
      <c r="B283" s="90" t="n"/>
      <c r="C283" s="91" t="n"/>
      <c r="D283" s="91" t="n"/>
      <c r="E283" s="92" t="n"/>
      <c r="F283" s="92" t="n"/>
      <c r="G283" s="91" t="n"/>
      <c r="H283" s="91" t="n"/>
      <c r="I283" s="91" t="n"/>
      <c r="J283" s="91" t="n"/>
      <c r="K283" s="91" t="n"/>
      <c r="L283" s="92" t="n"/>
      <c r="M283" s="91" t="n"/>
      <c r="N283" s="91" t="n"/>
      <c r="O283" s="91" t="n"/>
      <c r="P283" s="93" t="str">
        <f>IF(Z283=0,"",SUMIFS('ITENS_MTR'!$I$6:$I$1005,'ITENS_MTR'!$S$6:$S$1005,A283,'ITENS_MTR'!$Y$6:$Y$1005,1))</f>
        <v/>
      </c>
      <c r="Q283" s="93" t="str">
        <f>IF(Z283=0,"",SUMIFS('RECEBIMENTOS'!$H$6:$H$1005,'RECEBIMENTOS'!$B$6:$B$1005,A283,'RECEBIMENTOS'!$X$6:$X$1005,1))</f>
        <v/>
      </c>
      <c r="R283" s="93" t="str">
        <f>IF(Z283=0,"",SUMIFS('VÍNCULOS_CDF'!$H$6:$H$1005,'VÍNCULOS_CDF'!$D$6:$D$1005,A283,'VÍNCULOS_CDF'!$V$6:$V$1005,1))</f>
        <v/>
      </c>
      <c r="S283" s="94" t="str">
        <f>IF(Z283=0,"",IF(AA283=1,"Cancelado (informado)",IF(AE283=1,"Cadastro incompleto",IF(OR(AC283=1,AD283=1,AF283&gt;0,AH283&gt;0,AK283&gt;0,AL283&gt;0),"Informação a revisar",IF(AN283=0,"Aguardando recebimento",IF(N(R283)=0,"Aguardando CDF",IF(AJ283&lt;N(W283),"Vínculo de CDF parcial",IF(AO283=0,"CDF localizado, a conferir","Documentação conferida"))))))))</f>
        <v/>
      </c>
      <c r="T283" s="94" t="str">
        <f>IF(Z283=0,"",IF(S283="Cadastro incompleto","MTR INCOMPLETO",IF(S283="Informação a revisar",IF(AND(AH283&gt;0,AC283=0,AD283=0,AF283=0,AK283=0,AL283=0),"QUANTIDADE A REVISAR","IDENTIFICAÇÃO A REVISAR"),IF(S283="Aguardando recebimento","RECEBIMENTO NÃO CONFIRMADO",IF(S283="Aguardando CDF","CDF NÃO LOCALIZADO",IF(S283="Vínculo de CDF parcial","VÍNCULO INCOMPLETO",IF(S283="CDF localizado, a conferir","CDF A CONFERIR","")))))))</f>
        <v/>
      </c>
      <c r="U283" s="95" t="str">
        <f>IF(T283="","",IF(AQ283="","Não calculável",IF(AQ283&gt;TODAY(),"Data futura",TODAY()-AQ283)))</f>
        <v/>
      </c>
      <c r="V283" s="93" t="str">
        <f>IF(Z283=0,"",SUMIFS('RECEBIMENTOS'!$H$6:$H$1005,'RECEBIMENTOS'!$B$6:$B$1005,A283,'RECEBIMENTOS'!$Z$6:$Z$1005,1))</f>
        <v/>
      </c>
      <c r="W283" s="95" t="str">
        <f>IF(Z283=0,"",COUNTIFS('ITENS_MTR'!$S$6:$S$1005,A283,'ITENS_MTR'!$R$6:$R$1005,1))</f>
        <v/>
      </c>
      <c r="X283" s="94" t="str">
        <f>IF(AC283=1,"POSSÍVEL DUPLICIDADE","")</f>
        <v/>
      </c>
      <c r="Y283" s="94" t="str">
        <f>IF(Z283=0,"",IF(AW283="","Nenhuma",LEFT(AW283,LEN(AW283)-2)))</f>
        <v/>
      </c>
      <c r="Z283" s="96">
        <f>IF(COUNTA(B283:O283)&gt;0,1,0)</f>
        <v>0</v>
      </c>
      <c r="AA283" s="96">
        <f>IF(AND(Z283=1,K283&lt;&gt;""),IF(TRIM(K283)=TRIM(cfg_cancel),1,0),0)</f>
        <v>0</v>
      </c>
      <c r="AB283" s="96" t="str">
        <f>IF(AND(Z283=1,B283&lt;&gt;""),C283&amp;"|"&amp;D283&amp;"|"&amp;G283&amp;"|"&amp;TRIM(B283),"")</f>
        <v/>
      </c>
      <c r="AC283" s="96">
        <f>IF(AB283="",0,IF(SUMPRODUCT(--($AB$6:$AB$505=AB283))&gt;1,1,0))</f>
        <v>0</v>
      </c>
      <c r="AD283" s="96">
        <f>IF(Z283=0,0,IF(OR(AND(G283&lt;&gt;"",ISNA(MATCH(G283,'CAD_UNIDADES'!$C$6:$C$105,0))),AND(H283&lt;&gt;"",ISNA(MATCH(H283,cmp_transp,0))),AND(I283&lt;&gt;"",ISNA(MATCH(I283,cmp_dest,0))),AND(E283&lt;&gt;"",NOT(ISNUMBER(E283))),AND(F283&lt;&gt;"",NOT(ISNUMBER(F283))),AND(ISNUMBER(E283),ISNUMBER(F283),F283&lt;E283)),1,0))</f>
        <v>0</v>
      </c>
      <c r="AE283" s="96">
        <f>IF(Z283=0,0,IF(OR(B283="",C283="",E283="",G283="",H283="",I283="",N(W283)=0),1,0))</f>
        <v>0</v>
      </c>
      <c r="AF283" s="96">
        <f>IF(Z283=0,0,COUNTIFS('ITENS_MTR'!$S$6:$S$1005,A283,'ITENS_MTR'!$AI$6:$AI$1005,1))</f>
        <v>0</v>
      </c>
      <c r="AG283" s="96">
        <f>IF(Z283=0,0,COUNTIFS('ITENS_MTR'!$S$6:$S$1005,A283,'ITENS_MTR'!$AJ$6:$AJ$1005,1))</f>
        <v>0</v>
      </c>
      <c r="AH283" s="96">
        <f>IF(Z283=0,0,COUNTIFS('ITENS_MTR'!$S$6:$S$1005,A283,'ITENS_MTR'!$AM$6:$AM$1005,1))</f>
        <v>0</v>
      </c>
      <c r="AI283" s="96">
        <f>IF(Z283=0,0,COUNTIFS('ITENS_MTR'!$S$6:$S$1005,A283,'ITENS_MTR'!$AO$6:$AO$1005,1))</f>
        <v>0</v>
      </c>
      <c r="AJ283" s="96">
        <f>IF(Z283=0,0,COUNTIFS('ITENS_MTR'!$S$6:$S$1005,A283,'ITENS_MTR'!$AN$6:$AN$1005,1))</f>
        <v>0</v>
      </c>
      <c r="AK283" s="96">
        <f>IF(Z283=0,0,COUNTIFS('RECEBIMENTOS'!$B$6:$B$1005,A283,'RECEBIMENTOS'!$Y$6:$Y$1005,1))</f>
        <v>0</v>
      </c>
      <c r="AL283" s="96">
        <f>IF(Z283=0,0,COUNTIFS('VÍNCULOS_CDF'!$D$6:$D$1005,A283,'VÍNCULOS_CDF'!$Y$6:$Y$1005,1))</f>
        <v>0</v>
      </c>
      <c r="AM283" s="96">
        <f>IF(Z283=0,0,COUNTIFS('RECEBIMENTOS'!$B$6:$B$1005,A283,'RECEBIMENTOS'!$Q$6:$Q$1005,1))</f>
        <v>0</v>
      </c>
      <c r="AN283" s="96">
        <f>IF(AND(Z283=1,N(W283)&gt;0,AG283=N(W283)),1,0)</f>
        <v>0</v>
      </c>
      <c r="AO283" s="96">
        <f>IF(AND(Z283=1,N(W283)&gt;0,AI283=N(W283)),1,0)</f>
        <v>0</v>
      </c>
      <c r="AP283" s="97">
        <f>IF(Z283=0,0,_xlfn.MAXIFS('RECEBIMENTOS'!$E$6:$E$1005,'RECEBIMENTOS'!$B$6:$B$1005,A283))</f>
        <v>0</v>
      </c>
      <c r="AQ283" s="97" t="str">
        <f>IF(T283="","",IF(T283="RECEBIMENTO NÃO CONFIRMADO",IF(ISNUMBER(F283),F283,IF(ISNUMBER(E283),E283,"")),IF(OR(T283="CDF NÃO LOCALIZADO",T283="VÍNCULO INCOMPLETO",T283="CDF A CONFERIR"),IF(AP283&gt;0,AP283,IF(ISNUMBER(E283),E283,"")),IF(ISNUMBER(E283),E283,""))))</f>
        <v/>
      </c>
      <c r="AR283" s="96">
        <f>IF(NOT(ISNUMBER(U283)),0,IF(T283="RECEBIMENTO NÃO CONFIRMADO",IF(AND(ISNUMBER(cfg_rec),U283&gt;cfg_rec),1,0),IF(OR(T283="CDF NÃO LOCALIZADO",T283="VÍNCULO INCOMPLETO",T283="CDF A CONFERIR"),IF(AND(ISNUMBER(cfg_cdf),U283&gt;cfg_cdf),1,0),0)))</f>
        <v>0</v>
      </c>
      <c r="AS283" s="96" t="str">
        <f>IF(T283="","",IF(AR283=1,"Alta",IFERROR(INDEX(cfg_pp,MATCH(T283,cfg_pt,0))&amp;"","Média")))</f>
        <v/>
      </c>
      <c r="AT283" s="96" t="str">
        <f>IF(T283="","",IFERROR(INDEX(cfg_pv,MATCH(T283,cfg_pt,0))&amp;"",""))</f>
        <v/>
      </c>
      <c r="AU283" s="96" t="str">
        <f>IF(T283="","",IF(AS283="Alta",1,IF(AS283="Média",2,3))*1000000000+(999999-IF(ISNUMBER(U283),MIN(U283,999999),0))*1000+278)</f>
        <v/>
      </c>
      <c r="AV283" s="96">
        <f>IF(T283&lt;&gt;"",1,0)</f>
        <v>0</v>
      </c>
      <c r="AW283" s="96" t="str">
        <f>IF(Z283=0,"",IF(AA283=1,"Cancelamento informado; ","")&amp;IF(AE283=1,"Campos essenciais ou itens faltando; ","")&amp;IF(AC283=1,"Possível duplicidade do número; ","")&amp;IF(AD283=1,"Cadastro ou datas a revisar; ","")&amp;IF(AF283&gt;0,"Item de resíduo com dado a revisar; ","")&amp;IF(AH283&gt;0,"Diferença de quantidade a analisar; ","")&amp;IF(AK283&gt;0,"Recebimento com alerta; ","")&amp;IF(AL283&gt;0,"Vínculo de CDF com alerta; ","")&amp;IF(AND(AA283=0,AN283=0),"Recebimento não confirmado; ","")&amp;IF(AND(AA283=0,AN283=1,AO283=0),"CDF pendente ou a conferir; ",""))</f>
        <v/>
      </c>
      <c r="AX283" s="96">
        <f>IF(Z283=0,0,IF(AND(OR(f_ini="",AND(ISNUMBER(E283),E283&gt;=f_ini)),OR(f_fim="",AND(ISNUMBER(E283),E283&lt;=f_fim)),OR(f_un="",f_un="(Todas)",G283=f_un),OR(f_tr="",f_tr="(Todos)",H283=f_tr),OR(f_de="",f_de="(Todos)",I283=f_de),OR(f_sit="",f_sit="(Todas)",S283=f_sit)),1,0))</f>
        <v>0</v>
      </c>
      <c r="AY283" s="96">
        <f>IF(AX283=0,0,IF(OR(f_res="",f_res="(Todos)"),1,IF(COUNTIFS('ITENS_MTR'!$S$6:$S$1005,A283,'ITENS_MTR'!$C$6:$C$1005,f_res)&gt;0,1,0)))</f>
        <v>0</v>
      </c>
      <c r="AZ283" s="97" t="str">
        <f>IF(ISNUMBER(E283),DATE(YEAR(E283),MONTH(E283),1),"")</f>
        <v/>
      </c>
      <c r="BA283" s="96">
        <f>IF(Z283=0,0,IF(AND(OR(r_ini="",AND(ISNUMBER(E283),E283&gt;=r_ini)),OR(r_fim="",AND(ISNUMBER(E283),E283&lt;=r_fim)),OR(r_un="",r_un="(Todas)",G283=r_un),OR(r_de="",r_de="(Todos)",I283=r_de)),1,0))</f>
        <v>0</v>
      </c>
      <c r="BB283" s="96" t="str">
        <f>IF(BA283=1,COUNTIF($BA$6:BA283,1),"")</f>
        <v/>
      </c>
      <c r="BC283" s="96" t="str">
        <f>IF(AND(AU283&lt;&gt;"",OR(r_un="",r_un="(Todas)",G283=r_un),OR(r_de="",r_de="(Todos)",I283=r_de)),AU283,"")</f>
        <v/>
      </c>
      <c r="BD283" s="96" t="str">
        <f>IF(Z283=1,A283&amp;" | nº "&amp;IF(B283="","(sem número)",B283)&amp;" | "&amp;IF(G283="","(sem unidade)",G283),"")</f>
        <v/>
      </c>
      <c r="BE283" s="96" t="str">
        <f>IF(Z283=1,COUNTIF($Z$6:Z283,1),"")</f>
        <v/>
      </c>
      <c r="BF283" s="96" t="str">
        <f>IF(T283="","",IF(T283="RECEBIMENTO NÃO CONFIRMADO","Transp.: "&amp;H283&amp;" | Dest.: "&amp;I283,IF(OR(T283="CDF NÃO LOCALIZADO",T283="VÍNCULO INCOMPLETO",T283="CDF A CONFERIR"),"Dest.: "&amp;I283,"Gerador: "&amp;G283)))</f>
        <v/>
      </c>
    </row>
    <row r="284">
      <c r="A284" s="89" t="inlineStr">
        <is>
          <t>MTR-000279</t>
        </is>
      </c>
      <c r="B284" s="90" t="n"/>
      <c r="C284" s="91" t="n"/>
      <c r="D284" s="91" t="n"/>
      <c r="E284" s="92" t="n"/>
      <c r="F284" s="92" t="n"/>
      <c r="G284" s="91" t="n"/>
      <c r="H284" s="91" t="n"/>
      <c r="I284" s="91" t="n"/>
      <c r="J284" s="91" t="n"/>
      <c r="K284" s="91" t="n"/>
      <c r="L284" s="92" t="n"/>
      <c r="M284" s="91" t="n"/>
      <c r="N284" s="91" t="n"/>
      <c r="O284" s="91" t="n"/>
      <c r="P284" s="93" t="str">
        <f>IF(Z284=0,"",SUMIFS('ITENS_MTR'!$I$6:$I$1005,'ITENS_MTR'!$S$6:$S$1005,A284,'ITENS_MTR'!$Y$6:$Y$1005,1))</f>
        <v/>
      </c>
      <c r="Q284" s="93" t="str">
        <f>IF(Z284=0,"",SUMIFS('RECEBIMENTOS'!$H$6:$H$1005,'RECEBIMENTOS'!$B$6:$B$1005,A284,'RECEBIMENTOS'!$X$6:$X$1005,1))</f>
        <v/>
      </c>
      <c r="R284" s="93" t="str">
        <f>IF(Z284=0,"",SUMIFS('VÍNCULOS_CDF'!$H$6:$H$1005,'VÍNCULOS_CDF'!$D$6:$D$1005,A284,'VÍNCULOS_CDF'!$V$6:$V$1005,1))</f>
        <v/>
      </c>
      <c r="S284" s="94" t="str">
        <f>IF(Z284=0,"",IF(AA284=1,"Cancelado (informado)",IF(AE284=1,"Cadastro incompleto",IF(OR(AC284=1,AD284=1,AF284&gt;0,AH284&gt;0,AK284&gt;0,AL284&gt;0),"Informação a revisar",IF(AN284=0,"Aguardando recebimento",IF(N(R284)=0,"Aguardando CDF",IF(AJ284&lt;N(W284),"Vínculo de CDF parcial",IF(AO284=0,"CDF localizado, a conferir","Documentação conferida"))))))))</f>
        <v/>
      </c>
      <c r="T284" s="94" t="str">
        <f>IF(Z284=0,"",IF(S284="Cadastro incompleto","MTR INCOMPLETO",IF(S284="Informação a revisar",IF(AND(AH284&gt;0,AC284=0,AD284=0,AF284=0,AK284=0,AL284=0),"QUANTIDADE A REVISAR","IDENTIFICAÇÃO A REVISAR"),IF(S284="Aguardando recebimento","RECEBIMENTO NÃO CONFIRMADO",IF(S284="Aguardando CDF","CDF NÃO LOCALIZADO",IF(S284="Vínculo de CDF parcial","VÍNCULO INCOMPLETO",IF(S284="CDF localizado, a conferir","CDF A CONFERIR","")))))))</f>
        <v/>
      </c>
      <c r="U284" s="95" t="str">
        <f>IF(T284="","",IF(AQ284="","Não calculável",IF(AQ284&gt;TODAY(),"Data futura",TODAY()-AQ284)))</f>
        <v/>
      </c>
      <c r="V284" s="93" t="str">
        <f>IF(Z284=0,"",SUMIFS('RECEBIMENTOS'!$H$6:$H$1005,'RECEBIMENTOS'!$B$6:$B$1005,A284,'RECEBIMENTOS'!$Z$6:$Z$1005,1))</f>
        <v/>
      </c>
      <c r="W284" s="95" t="str">
        <f>IF(Z284=0,"",COUNTIFS('ITENS_MTR'!$S$6:$S$1005,A284,'ITENS_MTR'!$R$6:$R$1005,1))</f>
        <v/>
      </c>
      <c r="X284" s="94" t="str">
        <f>IF(AC284=1,"POSSÍVEL DUPLICIDADE","")</f>
        <v/>
      </c>
      <c r="Y284" s="94" t="str">
        <f>IF(Z284=0,"",IF(AW284="","Nenhuma",LEFT(AW284,LEN(AW284)-2)))</f>
        <v/>
      </c>
      <c r="Z284" s="96">
        <f>IF(COUNTA(B284:O284)&gt;0,1,0)</f>
        <v>0</v>
      </c>
      <c r="AA284" s="96">
        <f>IF(AND(Z284=1,K284&lt;&gt;""),IF(TRIM(K284)=TRIM(cfg_cancel),1,0),0)</f>
        <v>0</v>
      </c>
      <c r="AB284" s="96" t="str">
        <f>IF(AND(Z284=1,B284&lt;&gt;""),C284&amp;"|"&amp;D284&amp;"|"&amp;G284&amp;"|"&amp;TRIM(B284),"")</f>
        <v/>
      </c>
      <c r="AC284" s="96">
        <f>IF(AB284="",0,IF(SUMPRODUCT(--($AB$6:$AB$505=AB284))&gt;1,1,0))</f>
        <v>0</v>
      </c>
      <c r="AD284" s="96">
        <f>IF(Z284=0,0,IF(OR(AND(G284&lt;&gt;"",ISNA(MATCH(G284,'CAD_UNIDADES'!$C$6:$C$105,0))),AND(H284&lt;&gt;"",ISNA(MATCH(H284,cmp_transp,0))),AND(I284&lt;&gt;"",ISNA(MATCH(I284,cmp_dest,0))),AND(E284&lt;&gt;"",NOT(ISNUMBER(E284))),AND(F284&lt;&gt;"",NOT(ISNUMBER(F284))),AND(ISNUMBER(E284),ISNUMBER(F284),F284&lt;E284)),1,0))</f>
        <v>0</v>
      </c>
      <c r="AE284" s="96">
        <f>IF(Z284=0,0,IF(OR(B284="",C284="",E284="",G284="",H284="",I284="",N(W284)=0),1,0))</f>
        <v>0</v>
      </c>
      <c r="AF284" s="96">
        <f>IF(Z284=0,0,COUNTIFS('ITENS_MTR'!$S$6:$S$1005,A284,'ITENS_MTR'!$AI$6:$AI$1005,1))</f>
        <v>0</v>
      </c>
      <c r="AG284" s="96">
        <f>IF(Z284=0,0,COUNTIFS('ITENS_MTR'!$S$6:$S$1005,A284,'ITENS_MTR'!$AJ$6:$AJ$1005,1))</f>
        <v>0</v>
      </c>
      <c r="AH284" s="96">
        <f>IF(Z284=0,0,COUNTIFS('ITENS_MTR'!$S$6:$S$1005,A284,'ITENS_MTR'!$AM$6:$AM$1005,1))</f>
        <v>0</v>
      </c>
      <c r="AI284" s="96">
        <f>IF(Z284=0,0,COUNTIFS('ITENS_MTR'!$S$6:$S$1005,A284,'ITENS_MTR'!$AO$6:$AO$1005,1))</f>
        <v>0</v>
      </c>
      <c r="AJ284" s="96">
        <f>IF(Z284=0,0,COUNTIFS('ITENS_MTR'!$S$6:$S$1005,A284,'ITENS_MTR'!$AN$6:$AN$1005,1))</f>
        <v>0</v>
      </c>
      <c r="AK284" s="96">
        <f>IF(Z284=0,0,COUNTIFS('RECEBIMENTOS'!$B$6:$B$1005,A284,'RECEBIMENTOS'!$Y$6:$Y$1005,1))</f>
        <v>0</v>
      </c>
      <c r="AL284" s="96">
        <f>IF(Z284=0,0,COUNTIFS('VÍNCULOS_CDF'!$D$6:$D$1005,A284,'VÍNCULOS_CDF'!$Y$6:$Y$1005,1))</f>
        <v>0</v>
      </c>
      <c r="AM284" s="96">
        <f>IF(Z284=0,0,COUNTIFS('RECEBIMENTOS'!$B$6:$B$1005,A284,'RECEBIMENTOS'!$Q$6:$Q$1005,1))</f>
        <v>0</v>
      </c>
      <c r="AN284" s="96">
        <f>IF(AND(Z284=1,N(W284)&gt;0,AG284=N(W284)),1,0)</f>
        <v>0</v>
      </c>
      <c r="AO284" s="96">
        <f>IF(AND(Z284=1,N(W284)&gt;0,AI284=N(W284)),1,0)</f>
        <v>0</v>
      </c>
      <c r="AP284" s="97">
        <f>IF(Z284=0,0,_xlfn.MAXIFS('RECEBIMENTOS'!$E$6:$E$1005,'RECEBIMENTOS'!$B$6:$B$1005,A284))</f>
        <v>0</v>
      </c>
      <c r="AQ284" s="97" t="str">
        <f>IF(T284="","",IF(T284="RECEBIMENTO NÃO CONFIRMADO",IF(ISNUMBER(F284),F284,IF(ISNUMBER(E284),E284,"")),IF(OR(T284="CDF NÃO LOCALIZADO",T284="VÍNCULO INCOMPLETO",T284="CDF A CONFERIR"),IF(AP284&gt;0,AP284,IF(ISNUMBER(E284),E284,"")),IF(ISNUMBER(E284),E284,""))))</f>
        <v/>
      </c>
      <c r="AR284" s="96">
        <f>IF(NOT(ISNUMBER(U284)),0,IF(T284="RECEBIMENTO NÃO CONFIRMADO",IF(AND(ISNUMBER(cfg_rec),U284&gt;cfg_rec),1,0),IF(OR(T284="CDF NÃO LOCALIZADO",T284="VÍNCULO INCOMPLETO",T284="CDF A CONFERIR"),IF(AND(ISNUMBER(cfg_cdf),U284&gt;cfg_cdf),1,0),0)))</f>
        <v>0</v>
      </c>
      <c r="AS284" s="96" t="str">
        <f>IF(T284="","",IF(AR284=1,"Alta",IFERROR(INDEX(cfg_pp,MATCH(T284,cfg_pt,0))&amp;"","Média")))</f>
        <v/>
      </c>
      <c r="AT284" s="96" t="str">
        <f>IF(T284="","",IFERROR(INDEX(cfg_pv,MATCH(T284,cfg_pt,0))&amp;"",""))</f>
        <v/>
      </c>
      <c r="AU284" s="96" t="str">
        <f>IF(T284="","",IF(AS284="Alta",1,IF(AS284="Média",2,3))*1000000000+(999999-IF(ISNUMBER(U284),MIN(U284,999999),0))*1000+279)</f>
        <v/>
      </c>
      <c r="AV284" s="96">
        <f>IF(T284&lt;&gt;"",1,0)</f>
        <v>0</v>
      </c>
      <c r="AW284" s="96" t="str">
        <f>IF(Z284=0,"",IF(AA284=1,"Cancelamento informado; ","")&amp;IF(AE284=1,"Campos essenciais ou itens faltando; ","")&amp;IF(AC284=1,"Possível duplicidade do número; ","")&amp;IF(AD284=1,"Cadastro ou datas a revisar; ","")&amp;IF(AF284&gt;0,"Item de resíduo com dado a revisar; ","")&amp;IF(AH284&gt;0,"Diferença de quantidade a analisar; ","")&amp;IF(AK284&gt;0,"Recebimento com alerta; ","")&amp;IF(AL284&gt;0,"Vínculo de CDF com alerta; ","")&amp;IF(AND(AA284=0,AN284=0),"Recebimento não confirmado; ","")&amp;IF(AND(AA284=0,AN284=1,AO284=0),"CDF pendente ou a conferir; ",""))</f>
        <v/>
      </c>
      <c r="AX284" s="96">
        <f>IF(Z284=0,0,IF(AND(OR(f_ini="",AND(ISNUMBER(E284),E284&gt;=f_ini)),OR(f_fim="",AND(ISNUMBER(E284),E284&lt;=f_fim)),OR(f_un="",f_un="(Todas)",G284=f_un),OR(f_tr="",f_tr="(Todos)",H284=f_tr),OR(f_de="",f_de="(Todos)",I284=f_de),OR(f_sit="",f_sit="(Todas)",S284=f_sit)),1,0))</f>
        <v>0</v>
      </c>
      <c r="AY284" s="96">
        <f>IF(AX284=0,0,IF(OR(f_res="",f_res="(Todos)"),1,IF(COUNTIFS('ITENS_MTR'!$S$6:$S$1005,A284,'ITENS_MTR'!$C$6:$C$1005,f_res)&gt;0,1,0)))</f>
        <v>0</v>
      </c>
      <c r="AZ284" s="97" t="str">
        <f>IF(ISNUMBER(E284),DATE(YEAR(E284),MONTH(E284),1),"")</f>
        <v/>
      </c>
      <c r="BA284" s="96">
        <f>IF(Z284=0,0,IF(AND(OR(r_ini="",AND(ISNUMBER(E284),E284&gt;=r_ini)),OR(r_fim="",AND(ISNUMBER(E284),E284&lt;=r_fim)),OR(r_un="",r_un="(Todas)",G284=r_un),OR(r_de="",r_de="(Todos)",I284=r_de)),1,0))</f>
        <v>0</v>
      </c>
      <c r="BB284" s="96" t="str">
        <f>IF(BA284=1,COUNTIF($BA$6:BA284,1),"")</f>
        <v/>
      </c>
      <c r="BC284" s="96" t="str">
        <f>IF(AND(AU284&lt;&gt;"",OR(r_un="",r_un="(Todas)",G284=r_un),OR(r_de="",r_de="(Todos)",I284=r_de)),AU284,"")</f>
        <v/>
      </c>
      <c r="BD284" s="96" t="str">
        <f>IF(Z284=1,A284&amp;" | nº "&amp;IF(B284="","(sem número)",B284)&amp;" | "&amp;IF(G284="","(sem unidade)",G284),"")</f>
        <v/>
      </c>
      <c r="BE284" s="96" t="str">
        <f>IF(Z284=1,COUNTIF($Z$6:Z284,1),"")</f>
        <v/>
      </c>
      <c r="BF284" s="96" t="str">
        <f>IF(T284="","",IF(T284="RECEBIMENTO NÃO CONFIRMADO","Transp.: "&amp;H284&amp;" | Dest.: "&amp;I284,IF(OR(T284="CDF NÃO LOCALIZADO",T284="VÍNCULO INCOMPLETO",T284="CDF A CONFERIR"),"Dest.: "&amp;I284,"Gerador: "&amp;G284)))</f>
        <v/>
      </c>
    </row>
    <row r="285">
      <c r="A285" s="89" t="inlineStr">
        <is>
          <t>MTR-000280</t>
        </is>
      </c>
      <c r="B285" s="90" t="n"/>
      <c r="C285" s="91" t="n"/>
      <c r="D285" s="91" t="n"/>
      <c r="E285" s="92" t="n"/>
      <c r="F285" s="92" t="n"/>
      <c r="G285" s="91" t="n"/>
      <c r="H285" s="91" t="n"/>
      <c r="I285" s="91" t="n"/>
      <c r="J285" s="91" t="n"/>
      <c r="K285" s="91" t="n"/>
      <c r="L285" s="92" t="n"/>
      <c r="M285" s="91" t="n"/>
      <c r="N285" s="91" t="n"/>
      <c r="O285" s="91" t="n"/>
      <c r="P285" s="93" t="str">
        <f>IF(Z285=0,"",SUMIFS('ITENS_MTR'!$I$6:$I$1005,'ITENS_MTR'!$S$6:$S$1005,A285,'ITENS_MTR'!$Y$6:$Y$1005,1))</f>
        <v/>
      </c>
      <c r="Q285" s="93" t="str">
        <f>IF(Z285=0,"",SUMIFS('RECEBIMENTOS'!$H$6:$H$1005,'RECEBIMENTOS'!$B$6:$B$1005,A285,'RECEBIMENTOS'!$X$6:$X$1005,1))</f>
        <v/>
      </c>
      <c r="R285" s="93" t="str">
        <f>IF(Z285=0,"",SUMIFS('VÍNCULOS_CDF'!$H$6:$H$1005,'VÍNCULOS_CDF'!$D$6:$D$1005,A285,'VÍNCULOS_CDF'!$V$6:$V$1005,1))</f>
        <v/>
      </c>
      <c r="S285" s="94" t="str">
        <f>IF(Z285=0,"",IF(AA285=1,"Cancelado (informado)",IF(AE285=1,"Cadastro incompleto",IF(OR(AC285=1,AD285=1,AF285&gt;0,AH285&gt;0,AK285&gt;0,AL285&gt;0),"Informação a revisar",IF(AN285=0,"Aguardando recebimento",IF(N(R285)=0,"Aguardando CDF",IF(AJ285&lt;N(W285),"Vínculo de CDF parcial",IF(AO285=0,"CDF localizado, a conferir","Documentação conferida"))))))))</f>
        <v/>
      </c>
      <c r="T285" s="94" t="str">
        <f>IF(Z285=0,"",IF(S285="Cadastro incompleto","MTR INCOMPLETO",IF(S285="Informação a revisar",IF(AND(AH285&gt;0,AC285=0,AD285=0,AF285=0,AK285=0,AL285=0),"QUANTIDADE A REVISAR","IDENTIFICAÇÃO A REVISAR"),IF(S285="Aguardando recebimento","RECEBIMENTO NÃO CONFIRMADO",IF(S285="Aguardando CDF","CDF NÃO LOCALIZADO",IF(S285="Vínculo de CDF parcial","VÍNCULO INCOMPLETO",IF(S285="CDF localizado, a conferir","CDF A CONFERIR","")))))))</f>
        <v/>
      </c>
      <c r="U285" s="95" t="str">
        <f>IF(T285="","",IF(AQ285="","Não calculável",IF(AQ285&gt;TODAY(),"Data futura",TODAY()-AQ285)))</f>
        <v/>
      </c>
      <c r="V285" s="93" t="str">
        <f>IF(Z285=0,"",SUMIFS('RECEBIMENTOS'!$H$6:$H$1005,'RECEBIMENTOS'!$B$6:$B$1005,A285,'RECEBIMENTOS'!$Z$6:$Z$1005,1))</f>
        <v/>
      </c>
      <c r="W285" s="95" t="str">
        <f>IF(Z285=0,"",COUNTIFS('ITENS_MTR'!$S$6:$S$1005,A285,'ITENS_MTR'!$R$6:$R$1005,1))</f>
        <v/>
      </c>
      <c r="X285" s="94" t="str">
        <f>IF(AC285=1,"POSSÍVEL DUPLICIDADE","")</f>
        <v/>
      </c>
      <c r="Y285" s="94" t="str">
        <f>IF(Z285=0,"",IF(AW285="","Nenhuma",LEFT(AW285,LEN(AW285)-2)))</f>
        <v/>
      </c>
      <c r="Z285" s="96">
        <f>IF(COUNTA(B285:O285)&gt;0,1,0)</f>
        <v>0</v>
      </c>
      <c r="AA285" s="96">
        <f>IF(AND(Z285=1,K285&lt;&gt;""),IF(TRIM(K285)=TRIM(cfg_cancel),1,0),0)</f>
        <v>0</v>
      </c>
      <c r="AB285" s="96" t="str">
        <f>IF(AND(Z285=1,B285&lt;&gt;""),C285&amp;"|"&amp;D285&amp;"|"&amp;G285&amp;"|"&amp;TRIM(B285),"")</f>
        <v/>
      </c>
      <c r="AC285" s="96">
        <f>IF(AB285="",0,IF(SUMPRODUCT(--($AB$6:$AB$505=AB285))&gt;1,1,0))</f>
        <v>0</v>
      </c>
      <c r="AD285" s="96">
        <f>IF(Z285=0,0,IF(OR(AND(G285&lt;&gt;"",ISNA(MATCH(G285,'CAD_UNIDADES'!$C$6:$C$105,0))),AND(H285&lt;&gt;"",ISNA(MATCH(H285,cmp_transp,0))),AND(I285&lt;&gt;"",ISNA(MATCH(I285,cmp_dest,0))),AND(E285&lt;&gt;"",NOT(ISNUMBER(E285))),AND(F285&lt;&gt;"",NOT(ISNUMBER(F285))),AND(ISNUMBER(E285),ISNUMBER(F285),F285&lt;E285)),1,0))</f>
        <v>0</v>
      </c>
      <c r="AE285" s="96">
        <f>IF(Z285=0,0,IF(OR(B285="",C285="",E285="",G285="",H285="",I285="",N(W285)=0),1,0))</f>
        <v>0</v>
      </c>
      <c r="AF285" s="96">
        <f>IF(Z285=0,0,COUNTIFS('ITENS_MTR'!$S$6:$S$1005,A285,'ITENS_MTR'!$AI$6:$AI$1005,1))</f>
        <v>0</v>
      </c>
      <c r="AG285" s="96">
        <f>IF(Z285=0,0,COUNTIFS('ITENS_MTR'!$S$6:$S$1005,A285,'ITENS_MTR'!$AJ$6:$AJ$1005,1))</f>
        <v>0</v>
      </c>
      <c r="AH285" s="96">
        <f>IF(Z285=0,0,COUNTIFS('ITENS_MTR'!$S$6:$S$1005,A285,'ITENS_MTR'!$AM$6:$AM$1005,1))</f>
        <v>0</v>
      </c>
      <c r="AI285" s="96">
        <f>IF(Z285=0,0,COUNTIFS('ITENS_MTR'!$S$6:$S$1005,A285,'ITENS_MTR'!$AO$6:$AO$1005,1))</f>
        <v>0</v>
      </c>
      <c r="AJ285" s="96">
        <f>IF(Z285=0,0,COUNTIFS('ITENS_MTR'!$S$6:$S$1005,A285,'ITENS_MTR'!$AN$6:$AN$1005,1))</f>
        <v>0</v>
      </c>
      <c r="AK285" s="96">
        <f>IF(Z285=0,0,COUNTIFS('RECEBIMENTOS'!$B$6:$B$1005,A285,'RECEBIMENTOS'!$Y$6:$Y$1005,1))</f>
        <v>0</v>
      </c>
      <c r="AL285" s="96">
        <f>IF(Z285=0,0,COUNTIFS('VÍNCULOS_CDF'!$D$6:$D$1005,A285,'VÍNCULOS_CDF'!$Y$6:$Y$1005,1))</f>
        <v>0</v>
      </c>
      <c r="AM285" s="96">
        <f>IF(Z285=0,0,COUNTIFS('RECEBIMENTOS'!$B$6:$B$1005,A285,'RECEBIMENTOS'!$Q$6:$Q$1005,1))</f>
        <v>0</v>
      </c>
      <c r="AN285" s="96">
        <f>IF(AND(Z285=1,N(W285)&gt;0,AG285=N(W285)),1,0)</f>
        <v>0</v>
      </c>
      <c r="AO285" s="96">
        <f>IF(AND(Z285=1,N(W285)&gt;0,AI285=N(W285)),1,0)</f>
        <v>0</v>
      </c>
      <c r="AP285" s="97">
        <f>IF(Z285=0,0,_xlfn.MAXIFS('RECEBIMENTOS'!$E$6:$E$1005,'RECEBIMENTOS'!$B$6:$B$1005,A285))</f>
        <v>0</v>
      </c>
      <c r="AQ285" s="97" t="str">
        <f>IF(T285="","",IF(T285="RECEBIMENTO NÃO CONFIRMADO",IF(ISNUMBER(F285),F285,IF(ISNUMBER(E285),E285,"")),IF(OR(T285="CDF NÃO LOCALIZADO",T285="VÍNCULO INCOMPLETO",T285="CDF A CONFERIR"),IF(AP285&gt;0,AP285,IF(ISNUMBER(E285),E285,"")),IF(ISNUMBER(E285),E285,""))))</f>
        <v/>
      </c>
      <c r="AR285" s="96">
        <f>IF(NOT(ISNUMBER(U285)),0,IF(T285="RECEBIMENTO NÃO CONFIRMADO",IF(AND(ISNUMBER(cfg_rec),U285&gt;cfg_rec),1,0),IF(OR(T285="CDF NÃO LOCALIZADO",T285="VÍNCULO INCOMPLETO",T285="CDF A CONFERIR"),IF(AND(ISNUMBER(cfg_cdf),U285&gt;cfg_cdf),1,0),0)))</f>
        <v>0</v>
      </c>
      <c r="AS285" s="96" t="str">
        <f>IF(T285="","",IF(AR285=1,"Alta",IFERROR(INDEX(cfg_pp,MATCH(T285,cfg_pt,0))&amp;"","Média")))</f>
        <v/>
      </c>
      <c r="AT285" s="96" t="str">
        <f>IF(T285="","",IFERROR(INDEX(cfg_pv,MATCH(T285,cfg_pt,0))&amp;"",""))</f>
        <v/>
      </c>
      <c r="AU285" s="96" t="str">
        <f>IF(T285="","",IF(AS285="Alta",1,IF(AS285="Média",2,3))*1000000000+(999999-IF(ISNUMBER(U285),MIN(U285,999999),0))*1000+280)</f>
        <v/>
      </c>
      <c r="AV285" s="96">
        <f>IF(T285&lt;&gt;"",1,0)</f>
        <v>0</v>
      </c>
      <c r="AW285" s="96" t="str">
        <f>IF(Z285=0,"",IF(AA285=1,"Cancelamento informado; ","")&amp;IF(AE285=1,"Campos essenciais ou itens faltando; ","")&amp;IF(AC285=1,"Possível duplicidade do número; ","")&amp;IF(AD285=1,"Cadastro ou datas a revisar; ","")&amp;IF(AF285&gt;0,"Item de resíduo com dado a revisar; ","")&amp;IF(AH285&gt;0,"Diferença de quantidade a analisar; ","")&amp;IF(AK285&gt;0,"Recebimento com alerta; ","")&amp;IF(AL285&gt;0,"Vínculo de CDF com alerta; ","")&amp;IF(AND(AA285=0,AN285=0),"Recebimento não confirmado; ","")&amp;IF(AND(AA285=0,AN285=1,AO285=0),"CDF pendente ou a conferir; ",""))</f>
        <v/>
      </c>
      <c r="AX285" s="96">
        <f>IF(Z285=0,0,IF(AND(OR(f_ini="",AND(ISNUMBER(E285),E285&gt;=f_ini)),OR(f_fim="",AND(ISNUMBER(E285),E285&lt;=f_fim)),OR(f_un="",f_un="(Todas)",G285=f_un),OR(f_tr="",f_tr="(Todos)",H285=f_tr),OR(f_de="",f_de="(Todos)",I285=f_de),OR(f_sit="",f_sit="(Todas)",S285=f_sit)),1,0))</f>
        <v>0</v>
      </c>
      <c r="AY285" s="96">
        <f>IF(AX285=0,0,IF(OR(f_res="",f_res="(Todos)"),1,IF(COUNTIFS('ITENS_MTR'!$S$6:$S$1005,A285,'ITENS_MTR'!$C$6:$C$1005,f_res)&gt;0,1,0)))</f>
        <v>0</v>
      </c>
      <c r="AZ285" s="97" t="str">
        <f>IF(ISNUMBER(E285),DATE(YEAR(E285),MONTH(E285),1),"")</f>
        <v/>
      </c>
      <c r="BA285" s="96">
        <f>IF(Z285=0,0,IF(AND(OR(r_ini="",AND(ISNUMBER(E285),E285&gt;=r_ini)),OR(r_fim="",AND(ISNUMBER(E285),E285&lt;=r_fim)),OR(r_un="",r_un="(Todas)",G285=r_un),OR(r_de="",r_de="(Todos)",I285=r_de)),1,0))</f>
        <v>0</v>
      </c>
      <c r="BB285" s="96" t="str">
        <f>IF(BA285=1,COUNTIF($BA$6:BA285,1),"")</f>
        <v/>
      </c>
      <c r="BC285" s="96" t="str">
        <f>IF(AND(AU285&lt;&gt;"",OR(r_un="",r_un="(Todas)",G285=r_un),OR(r_de="",r_de="(Todos)",I285=r_de)),AU285,"")</f>
        <v/>
      </c>
      <c r="BD285" s="96" t="str">
        <f>IF(Z285=1,A285&amp;" | nº "&amp;IF(B285="","(sem número)",B285)&amp;" | "&amp;IF(G285="","(sem unidade)",G285),"")</f>
        <v/>
      </c>
      <c r="BE285" s="96" t="str">
        <f>IF(Z285=1,COUNTIF($Z$6:Z285,1),"")</f>
        <v/>
      </c>
      <c r="BF285" s="96" t="str">
        <f>IF(T285="","",IF(T285="RECEBIMENTO NÃO CONFIRMADO","Transp.: "&amp;H285&amp;" | Dest.: "&amp;I285,IF(OR(T285="CDF NÃO LOCALIZADO",T285="VÍNCULO INCOMPLETO",T285="CDF A CONFERIR"),"Dest.: "&amp;I285,"Gerador: "&amp;G285)))</f>
        <v/>
      </c>
    </row>
    <row r="286">
      <c r="A286" s="89" t="inlineStr">
        <is>
          <t>MTR-000281</t>
        </is>
      </c>
      <c r="B286" s="90" t="n"/>
      <c r="C286" s="91" t="n"/>
      <c r="D286" s="91" t="n"/>
      <c r="E286" s="92" t="n"/>
      <c r="F286" s="92" t="n"/>
      <c r="G286" s="91" t="n"/>
      <c r="H286" s="91" t="n"/>
      <c r="I286" s="91" t="n"/>
      <c r="J286" s="91" t="n"/>
      <c r="K286" s="91" t="n"/>
      <c r="L286" s="92" t="n"/>
      <c r="M286" s="91" t="n"/>
      <c r="N286" s="91" t="n"/>
      <c r="O286" s="91" t="n"/>
      <c r="P286" s="93" t="str">
        <f>IF(Z286=0,"",SUMIFS('ITENS_MTR'!$I$6:$I$1005,'ITENS_MTR'!$S$6:$S$1005,A286,'ITENS_MTR'!$Y$6:$Y$1005,1))</f>
        <v/>
      </c>
      <c r="Q286" s="93" t="str">
        <f>IF(Z286=0,"",SUMIFS('RECEBIMENTOS'!$H$6:$H$1005,'RECEBIMENTOS'!$B$6:$B$1005,A286,'RECEBIMENTOS'!$X$6:$X$1005,1))</f>
        <v/>
      </c>
      <c r="R286" s="93" t="str">
        <f>IF(Z286=0,"",SUMIFS('VÍNCULOS_CDF'!$H$6:$H$1005,'VÍNCULOS_CDF'!$D$6:$D$1005,A286,'VÍNCULOS_CDF'!$V$6:$V$1005,1))</f>
        <v/>
      </c>
      <c r="S286" s="94" t="str">
        <f>IF(Z286=0,"",IF(AA286=1,"Cancelado (informado)",IF(AE286=1,"Cadastro incompleto",IF(OR(AC286=1,AD286=1,AF286&gt;0,AH286&gt;0,AK286&gt;0,AL286&gt;0),"Informação a revisar",IF(AN286=0,"Aguardando recebimento",IF(N(R286)=0,"Aguardando CDF",IF(AJ286&lt;N(W286),"Vínculo de CDF parcial",IF(AO286=0,"CDF localizado, a conferir","Documentação conferida"))))))))</f>
        <v/>
      </c>
      <c r="T286" s="94" t="str">
        <f>IF(Z286=0,"",IF(S286="Cadastro incompleto","MTR INCOMPLETO",IF(S286="Informação a revisar",IF(AND(AH286&gt;0,AC286=0,AD286=0,AF286=0,AK286=0,AL286=0),"QUANTIDADE A REVISAR","IDENTIFICAÇÃO A REVISAR"),IF(S286="Aguardando recebimento","RECEBIMENTO NÃO CONFIRMADO",IF(S286="Aguardando CDF","CDF NÃO LOCALIZADO",IF(S286="Vínculo de CDF parcial","VÍNCULO INCOMPLETO",IF(S286="CDF localizado, a conferir","CDF A CONFERIR","")))))))</f>
        <v/>
      </c>
      <c r="U286" s="95" t="str">
        <f>IF(T286="","",IF(AQ286="","Não calculável",IF(AQ286&gt;TODAY(),"Data futura",TODAY()-AQ286)))</f>
        <v/>
      </c>
      <c r="V286" s="93" t="str">
        <f>IF(Z286=0,"",SUMIFS('RECEBIMENTOS'!$H$6:$H$1005,'RECEBIMENTOS'!$B$6:$B$1005,A286,'RECEBIMENTOS'!$Z$6:$Z$1005,1))</f>
        <v/>
      </c>
      <c r="W286" s="95" t="str">
        <f>IF(Z286=0,"",COUNTIFS('ITENS_MTR'!$S$6:$S$1005,A286,'ITENS_MTR'!$R$6:$R$1005,1))</f>
        <v/>
      </c>
      <c r="X286" s="94" t="str">
        <f>IF(AC286=1,"POSSÍVEL DUPLICIDADE","")</f>
        <v/>
      </c>
      <c r="Y286" s="94" t="str">
        <f>IF(Z286=0,"",IF(AW286="","Nenhuma",LEFT(AW286,LEN(AW286)-2)))</f>
        <v/>
      </c>
      <c r="Z286" s="96">
        <f>IF(COUNTA(B286:O286)&gt;0,1,0)</f>
        <v>0</v>
      </c>
      <c r="AA286" s="96">
        <f>IF(AND(Z286=1,K286&lt;&gt;""),IF(TRIM(K286)=TRIM(cfg_cancel),1,0),0)</f>
        <v>0</v>
      </c>
      <c r="AB286" s="96" t="str">
        <f>IF(AND(Z286=1,B286&lt;&gt;""),C286&amp;"|"&amp;D286&amp;"|"&amp;G286&amp;"|"&amp;TRIM(B286),"")</f>
        <v/>
      </c>
      <c r="AC286" s="96">
        <f>IF(AB286="",0,IF(SUMPRODUCT(--($AB$6:$AB$505=AB286))&gt;1,1,0))</f>
        <v>0</v>
      </c>
      <c r="AD286" s="96">
        <f>IF(Z286=0,0,IF(OR(AND(G286&lt;&gt;"",ISNA(MATCH(G286,'CAD_UNIDADES'!$C$6:$C$105,0))),AND(H286&lt;&gt;"",ISNA(MATCH(H286,cmp_transp,0))),AND(I286&lt;&gt;"",ISNA(MATCH(I286,cmp_dest,0))),AND(E286&lt;&gt;"",NOT(ISNUMBER(E286))),AND(F286&lt;&gt;"",NOT(ISNUMBER(F286))),AND(ISNUMBER(E286),ISNUMBER(F286),F286&lt;E286)),1,0))</f>
        <v>0</v>
      </c>
      <c r="AE286" s="96">
        <f>IF(Z286=0,0,IF(OR(B286="",C286="",E286="",G286="",H286="",I286="",N(W286)=0),1,0))</f>
        <v>0</v>
      </c>
      <c r="AF286" s="96">
        <f>IF(Z286=0,0,COUNTIFS('ITENS_MTR'!$S$6:$S$1005,A286,'ITENS_MTR'!$AI$6:$AI$1005,1))</f>
        <v>0</v>
      </c>
      <c r="AG286" s="96">
        <f>IF(Z286=0,0,COUNTIFS('ITENS_MTR'!$S$6:$S$1005,A286,'ITENS_MTR'!$AJ$6:$AJ$1005,1))</f>
        <v>0</v>
      </c>
      <c r="AH286" s="96">
        <f>IF(Z286=0,0,COUNTIFS('ITENS_MTR'!$S$6:$S$1005,A286,'ITENS_MTR'!$AM$6:$AM$1005,1))</f>
        <v>0</v>
      </c>
      <c r="AI286" s="96">
        <f>IF(Z286=0,0,COUNTIFS('ITENS_MTR'!$S$6:$S$1005,A286,'ITENS_MTR'!$AO$6:$AO$1005,1))</f>
        <v>0</v>
      </c>
      <c r="AJ286" s="96">
        <f>IF(Z286=0,0,COUNTIFS('ITENS_MTR'!$S$6:$S$1005,A286,'ITENS_MTR'!$AN$6:$AN$1005,1))</f>
        <v>0</v>
      </c>
      <c r="AK286" s="96">
        <f>IF(Z286=0,0,COUNTIFS('RECEBIMENTOS'!$B$6:$B$1005,A286,'RECEBIMENTOS'!$Y$6:$Y$1005,1))</f>
        <v>0</v>
      </c>
      <c r="AL286" s="96">
        <f>IF(Z286=0,0,COUNTIFS('VÍNCULOS_CDF'!$D$6:$D$1005,A286,'VÍNCULOS_CDF'!$Y$6:$Y$1005,1))</f>
        <v>0</v>
      </c>
      <c r="AM286" s="96">
        <f>IF(Z286=0,0,COUNTIFS('RECEBIMENTOS'!$B$6:$B$1005,A286,'RECEBIMENTOS'!$Q$6:$Q$1005,1))</f>
        <v>0</v>
      </c>
      <c r="AN286" s="96">
        <f>IF(AND(Z286=1,N(W286)&gt;0,AG286=N(W286)),1,0)</f>
        <v>0</v>
      </c>
      <c r="AO286" s="96">
        <f>IF(AND(Z286=1,N(W286)&gt;0,AI286=N(W286)),1,0)</f>
        <v>0</v>
      </c>
      <c r="AP286" s="97">
        <f>IF(Z286=0,0,_xlfn.MAXIFS('RECEBIMENTOS'!$E$6:$E$1005,'RECEBIMENTOS'!$B$6:$B$1005,A286))</f>
        <v>0</v>
      </c>
      <c r="AQ286" s="97" t="str">
        <f>IF(T286="","",IF(T286="RECEBIMENTO NÃO CONFIRMADO",IF(ISNUMBER(F286),F286,IF(ISNUMBER(E286),E286,"")),IF(OR(T286="CDF NÃO LOCALIZADO",T286="VÍNCULO INCOMPLETO",T286="CDF A CONFERIR"),IF(AP286&gt;0,AP286,IF(ISNUMBER(E286),E286,"")),IF(ISNUMBER(E286),E286,""))))</f>
        <v/>
      </c>
      <c r="AR286" s="96">
        <f>IF(NOT(ISNUMBER(U286)),0,IF(T286="RECEBIMENTO NÃO CONFIRMADO",IF(AND(ISNUMBER(cfg_rec),U286&gt;cfg_rec),1,0),IF(OR(T286="CDF NÃO LOCALIZADO",T286="VÍNCULO INCOMPLETO",T286="CDF A CONFERIR"),IF(AND(ISNUMBER(cfg_cdf),U286&gt;cfg_cdf),1,0),0)))</f>
        <v>0</v>
      </c>
      <c r="AS286" s="96" t="str">
        <f>IF(T286="","",IF(AR286=1,"Alta",IFERROR(INDEX(cfg_pp,MATCH(T286,cfg_pt,0))&amp;"","Média")))</f>
        <v/>
      </c>
      <c r="AT286" s="96" t="str">
        <f>IF(T286="","",IFERROR(INDEX(cfg_pv,MATCH(T286,cfg_pt,0))&amp;"",""))</f>
        <v/>
      </c>
      <c r="AU286" s="96" t="str">
        <f>IF(T286="","",IF(AS286="Alta",1,IF(AS286="Média",2,3))*1000000000+(999999-IF(ISNUMBER(U286),MIN(U286,999999),0))*1000+281)</f>
        <v/>
      </c>
      <c r="AV286" s="96">
        <f>IF(T286&lt;&gt;"",1,0)</f>
        <v>0</v>
      </c>
      <c r="AW286" s="96" t="str">
        <f>IF(Z286=0,"",IF(AA286=1,"Cancelamento informado; ","")&amp;IF(AE286=1,"Campos essenciais ou itens faltando; ","")&amp;IF(AC286=1,"Possível duplicidade do número; ","")&amp;IF(AD286=1,"Cadastro ou datas a revisar; ","")&amp;IF(AF286&gt;0,"Item de resíduo com dado a revisar; ","")&amp;IF(AH286&gt;0,"Diferença de quantidade a analisar; ","")&amp;IF(AK286&gt;0,"Recebimento com alerta; ","")&amp;IF(AL286&gt;0,"Vínculo de CDF com alerta; ","")&amp;IF(AND(AA286=0,AN286=0),"Recebimento não confirmado; ","")&amp;IF(AND(AA286=0,AN286=1,AO286=0),"CDF pendente ou a conferir; ",""))</f>
        <v/>
      </c>
      <c r="AX286" s="96">
        <f>IF(Z286=0,0,IF(AND(OR(f_ini="",AND(ISNUMBER(E286),E286&gt;=f_ini)),OR(f_fim="",AND(ISNUMBER(E286),E286&lt;=f_fim)),OR(f_un="",f_un="(Todas)",G286=f_un),OR(f_tr="",f_tr="(Todos)",H286=f_tr),OR(f_de="",f_de="(Todos)",I286=f_de),OR(f_sit="",f_sit="(Todas)",S286=f_sit)),1,0))</f>
        <v>0</v>
      </c>
      <c r="AY286" s="96">
        <f>IF(AX286=0,0,IF(OR(f_res="",f_res="(Todos)"),1,IF(COUNTIFS('ITENS_MTR'!$S$6:$S$1005,A286,'ITENS_MTR'!$C$6:$C$1005,f_res)&gt;0,1,0)))</f>
        <v>0</v>
      </c>
      <c r="AZ286" s="97" t="str">
        <f>IF(ISNUMBER(E286),DATE(YEAR(E286),MONTH(E286),1),"")</f>
        <v/>
      </c>
      <c r="BA286" s="96">
        <f>IF(Z286=0,0,IF(AND(OR(r_ini="",AND(ISNUMBER(E286),E286&gt;=r_ini)),OR(r_fim="",AND(ISNUMBER(E286),E286&lt;=r_fim)),OR(r_un="",r_un="(Todas)",G286=r_un),OR(r_de="",r_de="(Todos)",I286=r_de)),1,0))</f>
        <v>0</v>
      </c>
      <c r="BB286" s="96" t="str">
        <f>IF(BA286=1,COUNTIF($BA$6:BA286,1),"")</f>
        <v/>
      </c>
      <c r="BC286" s="96" t="str">
        <f>IF(AND(AU286&lt;&gt;"",OR(r_un="",r_un="(Todas)",G286=r_un),OR(r_de="",r_de="(Todos)",I286=r_de)),AU286,"")</f>
        <v/>
      </c>
      <c r="BD286" s="96" t="str">
        <f>IF(Z286=1,A286&amp;" | nº "&amp;IF(B286="","(sem número)",B286)&amp;" | "&amp;IF(G286="","(sem unidade)",G286),"")</f>
        <v/>
      </c>
      <c r="BE286" s="96" t="str">
        <f>IF(Z286=1,COUNTIF($Z$6:Z286,1),"")</f>
        <v/>
      </c>
      <c r="BF286" s="96" t="str">
        <f>IF(T286="","",IF(T286="RECEBIMENTO NÃO CONFIRMADO","Transp.: "&amp;H286&amp;" | Dest.: "&amp;I286,IF(OR(T286="CDF NÃO LOCALIZADO",T286="VÍNCULO INCOMPLETO",T286="CDF A CONFERIR"),"Dest.: "&amp;I286,"Gerador: "&amp;G286)))</f>
        <v/>
      </c>
    </row>
    <row r="287">
      <c r="A287" s="89" t="inlineStr">
        <is>
          <t>MTR-000282</t>
        </is>
      </c>
      <c r="B287" s="90" t="n"/>
      <c r="C287" s="91" t="n"/>
      <c r="D287" s="91" t="n"/>
      <c r="E287" s="92" t="n"/>
      <c r="F287" s="92" t="n"/>
      <c r="G287" s="91" t="n"/>
      <c r="H287" s="91" t="n"/>
      <c r="I287" s="91" t="n"/>
      <c r="J287" s="91" t="n"/>
      <c r="K287" s="91" t="n"/>
      <c r="L287" s="92" t="n"/>
      <c r="M287" s="91" t="n"/>
      <c r="N287" s="91" t="n"/>
      <c r="O287" s="91" t="n"/>
      <c r="P287" s="93" t="str">
        <f>IF(Z287=0,"",SUMIFS('ITENS_MTR'!$I$6:$I$1005,'ITENS_MTR'!$S$6:$S$1005,A287,'ITENS_MTR'!$Y$6:$Y$1005,1))</f>
        <v/>
      </c>
      <c r="Q287" s="93" t="str">
        <f>IF(Z287=0,"",SUMIFS('RECEBIMENTOS'!$H$6:$H$1005,'RECEBIMENTOS'!$B$6:$B$1005,A287,'RECEBIMENTOS'!$X$6:$X$1005,1))</f>
        <v/>
      </c>
      <c r="R287" s="93" t="str">
        <f>IF(Z287=0,"",SUMIFS('VÍNCULOS_CDF'!$H$6:$H$1005,'VÍNCULOS_CDF'!$D$6:$D$1005,A287,'VÍNCULOS_CDF'!$V$6:$V$1005,1))</f>
        <v/>
      </c>
      <c r="S287" s="94" t="str">
        <f>IF(Z287=0,"",IF(AA287=1,"Cancelado (informado)",IF(AE287=1,"Cadastro incompleto",IF(OR(AC287=1,AD287=1,AF287&gt;0,AH287&gt;0,AK287&gt;0,AL287&gt;0),"Informação a revisar",IF(AN287=0,"Aguardando recebimento",IF(N(R287)=0,"Aguardando CDF",IF(AJ287&lt;N(W287),"Vínculo de CDF parcial",IF(AO287=0,"CDF localizado, a conferir","Documentação conferida"))))))))</f>
        <v/>
      </c>
      <c r="T287" s="94" t="str">
        <f>IF(Z287=0,"",IF(S287="Cadastro incompleto","MTR INCOMPLETO",IF(S287="Informação a revisar",IF(AND(AH287&gt;0,AC287=0,AD287=0,AF287=0,AK287=0,AL287=0),"QUANTIDADE A REVISAR","IDENTIFICAÇÃO A REVISAR"),IF(S287="Aguardando recebimento","RECEBIMENTO NÃO CONFIRMADO",IF(S287="Aguardando CDF","CDF NÃO LOCALIZADO",IF(S287="Vínculo de CDF parcial","VÍNCULO INCOMPLETO",IF(S287="CDF localizado, a conferir","CDF A CONFERIR","")))))))</f>
        <v/>
      </c>
      <c r="U287" s="95" t="str">
        <f>IF(T287="","",IF(AQ287="","Não calculável",IF(AQ287&gt;TODAY(),"Data futura",TODAY()-AQ287)))</f>
        <v/>
      </c>
      <c r="V287" s="93" t="str">
        <f>IF(Z287=0,"",SUMIFS('RECEBIMENTOS'!$H$6:$H$1005,'RECEBIMENTOS'!$B$6:$B$1005,A287,'RECEBIMENTOS'!$Z$6:$Z$1005,1))</f>
        <v/>
      </c>
      <c r="W287" s="95" t="str">
        <f>IF(Z287=0,"",COUNTIFS('ITENS_MTR'!$S$6:$S$1005,A287,'ITENS_MTR'!$R$6:$R$1005,1))</f>
        <v/>
      </c>
      <c r="X287" s="94" t="str">
        <f>IF(AC287=1,"POSSÍVEL DUPLICIDADE","")</f>
        <v/>
      </c>
      <c r="Y287" s="94" t="str">
        <f>IF(Z287=0,"",IF(AW287="","Nenhuma",LEFT(AW287,LEN(AW287)-2)))</f>
        <v/>
      </c>
      <c r="Z287" s="96">
        <f>IF(COUNTA(B287:O287)&gt;0,1,0)</f>
        <v>0</v>
      </c>
      <c r="AA287" s="96">
        <f>IF(AND(Z287=1,K287&lt;&gt;""),IF(TRIM(K287)=TRIM(cfg_cancel),1,0),0)</f>
        <v>0</v>
      </c>
      <c r="AB287" s="96" t="str">
        <f>IF(AND(Z287=1,B287&lt;&gt;""),C287&amp;"|"&amp;D287&amp;"|"&amp;G287&amp;"|"&amp;TRIM(B287),"")</f>
        <v/>
      </c>
      <c r="AC287" s="96">
        <f>IF(AB287="",0,IF(SUMPRODUCT(--($AB$6:$AB$505=AB287))&gt;1,1,0))</f>
        <v>0</v>
      </c>
      <c r="AD287" s="96">
        <f>IF(Z287=0,0,IF(OR(AND(G287&lt;&gt;"",ISNA(MATCH(G287,'CAD_UNIDADES'!$C$6:$C$105,0))),AND(H287&lt;&gt;"",ISNA(MATCH(H287,cmp_transp,0))),AND(I287&lt;&gt;"",ISNA(MATCH(I287,cmp_dest,0))),AND(E287&lt;&gt;"",NOT(ISNUMBER(E287))),AND(F287&lt;&gt;"",NOT(ISNUMBER(F287))),AND(ISNUMBER(E287),ISNUMBER(F287),F287&lt;E287)),1,0))</f>
        <v>0</v>
      </c>
      <c r="AE287" s="96">
        <f>IF(Z287=0,0,IF(OR(B287="",C287="",E287="",G287="",H287="",I287="",N(W287)=0),1,0))</f>
        <v>0</v>
      </c>
      <c r="AF287" s="96">
        <f>IF(Z287=0,0,COUNTIFS('ITENS_MTR'!$S$6:$S$1005,A287,'ITENS_MTR'!$AI$6:$AI$1005,1))</f>
        <v>0</v>
      </c>
      <c r="AG287" s="96">
        <f>IF(Z287=0,0,COUNTIFS('ITENS_MTR'!$S$6:$S$1005,A287,'ITENS_MTR'!$AJ$6:$AJ$1005,1))</f>
        <v>0</v>
      </c>
      <c r="AH287" s="96">
        <f>IF(Z287=0,0,COUNTIFS('ITENS_MTR'!$S$6:$S$1005,A287,'ITENS_MTR'!$AM$6:$AM$1005,1))</f>
        <v>0</v>
      </c>
      <c r="AI287" s="96">
        <f>IF(Z287=0,0,COUNTIFS('ITENS_MTR'!$S$6:$S$1005,A287,'ITENS_MTR'!$AO$6:$AO$1005,1))</f>
        <v>0</v>
      </c>
      <c r="AJ287" s="96">
        <f>IF(Z287=0,0,COUNTIFS('ITENS_MTR'!$S$6:$S$1005,A287,'ITENS_MTR'!$AN$6:$AN$1005,1))</f>
        <v>0</v>
      </c>
      <c r="AK287" s="96">
        <f>IF(Z287=0,0,COUNTIFS('RECEBIMENTOS'!$B$6:$B$1005,A287,'RECEBIMENTOS'!$Y$6:$Y$1005,1))</f>
        <v>0</v>
      </c>
      <c r="AL287" s="96">
        <f>IF(Z287=0,0,COUNTIFS('VÍNCULOS_CDF'!$D$6:$D$1005,A287,'VÍNCULOS_CDF'!$Y$6:$Y$1005,1))</f>
        <v>0</v>
      </c>
      <c r="AM287" s="96">
        <f>IF(Z287=0,0,COUNTIFS('RECEBIMENTOS'!$B$6:$B$1005,A287,'RECEBIMENTOS'!$Q$6:$Q$1005,1))</f>
        <v>0</v>
      </c>
      <c r="AN287" s="96">
        <f>IF(AND(Z287=1,N(W287)&gt;0,AG287=N(W287)),1,0)</f>
        <v>0</v>
      </c>
      <c r="AO287" s="96">
        <f>IF(AND(Z287=1,N(W287)&gt;0,AI287=N(W287)),1,0)</f>
        <v>0</v>
      </c>
      <c r="AP287" s="97">
        <f>IF(Z287=0,0,_xlfn.MAXIFS('RECEBIMENTOS'!$E$6:$E$1005,'RECEBIMENTOS'!$B$6:$B$1005,A287))</f>
        <v>0</v>
      </c>
      <c r="AQ287" s="97" t="str">
        <f>IF(T287="","",IF(T287="RECEBIMENTO NÃO CONFIRMADO",IF(ISNUMBER(F287),F287,IF(ISNUMBER(E287),E287,"")),IF(OR(T287="CDF NÃO LOCALIZADO",T287="VÍNCULO INCOMPLETO",T287="CDF A CONFERIR"),IF(AP287&gt;0,AP287,IF(ISNUMBER(E287),E287,"")),IF(ISNUMBER(E287),E287,""))))</f>
        <v/>
      </c>
      <c r="AR287" s="96">
        <f>IF(NOT(ISNUMBER(U287)),0,IF(T287="RECEBIMENTO NÃO CONFIRMADO",IF(AND(ISNUMBER(cfg_rec),U287&gt;cfg_rec),1,0),IF(OR(T287="CDF NÃO LOCALIZADO",T287="VÍNCULO INCOMPLETO",T287="CDF A CONFERIR"),IF(AND(ISNUMBER(cfg_cdf),U287&gt;cfg_cdf),1,0),0)))</f>
        <v>0</v>
      </c>
      <c r="AS287" s="96" t="str">
        <f>IF(T287="","",IF(AR287=1,"Alta",IFERROR(INDEX(cfg_pp,MATCH(T287,cfg_pt,0))&amp;"","Média")))</f>
        <v/>
      </c>
      <c r="AT287" s="96" t="str">
        <f>IF(T287="","",IFERROR(INDEX(cfg_pv,MATCH(T287,cfg_pt,0))&amp;"",""))</f>
        <v/>
      </c>
      <c r="AU287" s="96" t="str">
        <f>IF(T287="","",IF(AS287="Alta",1,IF(AS287="Média",2,3))*1000000000+(999999-IF(ISNUMBER(U287),MIN(U287,999999),0))*1000+282)</f>
        <v/>
      </c>
      <c r="AV287" s="96">
        <f>IF(T287&lt;&gt;"",1,0)</f>
        <v>0</v>
      </c>
      <c r="AW287" s="96" t="str">
        <f>IF(Z287=0,"",IF(AA287=1,"Cancelamento informado; ","")&amp;IF(AE287=1,"Campos essenciais ou itens faltando; ","")&amp;IF(AC287=1,"Possível duplicidade do número; ","")&amp;IF(AD287=1,"Cadastro ou datas a revisar; ","")&amp;IF(AF287&gt;0,"Item de resíduo com dado a revisar; ","")&amp;IF(AH287&gt;0,"Diferença de quantidade a analisar; ","")&amp;IF(AK287&gt;0,"Recebimento com alerta; ","")&amp;IF(AL287&gt;0,"Vínculo de CDF com alerta; ","")&amp;IF(AND(AA287=0,AN287=0),"Recebimento não confirmado; ","")&amp;IF(AND(AA287=0,AN287=1,AO287=0),"CDF pendente ou a conferir; ",""))</f>
        <v/>
      </c>
      <c r="AX287" s="96">
        <f>IF(Z287=0,0,IF(AND(OR(f_ini="",AND(ISNUMBER(E287),E287&gt;=f_ini)),OR(f_fim="",AND(ISNUMBER(E287),E287&lt;=f_fim)),OR(f_un="",f_un="(Todas)",G287=f_un),OR(f_tr="",f_tr="(Todos)",H287=f_tr),OR(f_de="",f_de="(Todos)",I287=f_de),OR(f_sit="",f_sit="(Todas)",S287=f_sit)),1,0))</f>
        <v>0</v>
      </c>
      <c r="AY287" s="96">
        <f>IF(AX287=0,0,IF(OR(f_res="",f_res="(Todos)"),1,IF(COUNTIFS('ITENS_MTR'!$S$6:$S$1005,A287,'ITENS_MTR'!$C$6:$C$1005,f_res)&gt;0,1,0)))</f>
        <v>0</v>
      </c>
      <c r="AZ287" s="97" t="str">
        <f>IF(ISNUMBER(E287),DATE(YEAR(E287),MONTH(E287),1),"")</f>
        <v/>
      </c>
      <c r="BA287" s="96">
        <f>IF(Z287=0,0,IF(AND(OR(r_ini="",AND(ISNUMBER(E287),E287&gt;=r_ini)),OR(r_fim="",AND(ISNUMBER(E287),E287&lt;=r_fim)),OR(r_un="",r_un="(Todas)",G287=r_un),OR(r_de="",r_de="(Todos)",I287=r_de)),1,0))</f>
        <v>0</v>
      </c>
      <c r="BB287" s="96" t="str">
        <f>IF(BA287=1,COUNTIF($BA$6:BA287,1),"")</f>
        <v/>
      </c>
      <c r="BC287" s="96" t="str">
        <f>IF(AND(AU287&lt;&gt;"",OR(r_un="",r_un="(Todas)",G287=r_un),OR(r_de="",r_de="(Todos)",I287=r_de)),AU287,"")</f>
        <v/>
      </c>
      <c r="BD287" s="96" t="str">
        <f>IF(Z287=1,A287&amp;" | nº "&amp;IF(B287="","(sem número)",B287)&amp;" | "&amp;IF(G287="","(sem unidade)",G287),"")</f>
        <v/>
      </c>
      <c r="BE287" s="96" t="str">
        <f>IF(Z287=1,COUNTIF($Z$6:Z287,1),"")</f>
        <v/>
      </c>
      <c r="BF287" s="96" t="str">
        <f>IF(T287="","",IF(T287="RECEBIMENTO NÃO CONFIRMADO","Transp.: "&amp;H287&amp;" | Dest.: "&amp;I287,IF(OR(T287="CDF NÃO LOCALIZADO",T287="VÍNCULO INCOMPLETO",T287="CDF A CONFERIR"),"Dest.: "&amp;I287,"Gerador: "&amp;G287)))</f>
        <v/>
      </c>
    </row>
    <row r="288">
      <c r="A288" s="89" t="inlineStr">
        <is>
          <t>MTR-000283</t>
        </is>
      </c>
      <c r="B288" s="90" t="n"/>
      <c r="C288" s="91" t="n"/>
      <c r="D288" s="91" t="n"/>
      <c r="E288" s="92" t="n"/>
      <c r="F288" s="92" t="n"/>
      <c r="G288" s="91" t="n"/>
      <c r="H288" s="91" t="n"/>
      <c r="I288" s="91" t="n"/>
      <c r="J288" s="91" t="n"/>
      <c r="K288" s="91" t="n"/>
      <c r="L288" s="92" t="n"/>
      <c r="M288" s="91" t="n"/>
      <c r="N288" s="91" t="n"/>
      <c r="O288" s="91" t="n"/>
      <c r="P288" s="93" t="str">
        <f>IF(Z288=0,"",SUMIFS('ITENS_MTR'!$I$6:$I$1005,'ITENS_MTR'!$S$6:$S$1005,A288,'ITENS_MTR'!$Y$6:$Y$1005,1))</f>
        <v/>
      </c>
      <c r="Q288" s="93" t="str">
        <f>IF(Z288=0,"",SUMIFS('RECEBIMENTOS'!$H$6:$H$1005,'RECEBIMENTOS'!$B$6:$B$1005,A288,'RECEBIMENTOS'!$X$6:$X$1005,1))</f>
        <v/>
      </c>
      <c r="R288" s="93" t="str">
        <f>IF(Z288=0,"",SUMIFS('VÍNCULOS_CDF'!$H$6:$H$1005,'VÍNCULOS_CDF'!$D$6:$D$1005,A288,'VÍNCULOS_CDF'!$V$6:$V$1005,1))</f>
        <v/>
      </c>
      <c r="S288" s="94" t="str">
        <f>IF(Z288=0,"",IF(AA288=1,"Cancelado (informado)",IF(AE288=1,"Cadastro incompleto",IF(OR(AC288=1,AD288=1,AF288&gt;0,AH288&gt;0,AK288&gt;0,AL288&gt;0),"Informação a revisar",IF(AN288=0,"Aguardando recebimento",IF(N(R288)=0,"Aguardando CDF",IF(AJ288&lt;N(W288),"Vínculo de CDF parcial",IF(AO288=0,"CDF localizado, a conferir","Documentação conferida"))))))))</f>
        <v/>
      </c>
      <c r="T288" s="94" t="str">
        <f>IF(Z288=0,"",IF(S288="Cadastro incompleto","MTR INCOMPLETO",IF(S288="Informação a revisar",IF(AND(AH288&gt;0,AC288=0,AD288=0,AF288=0,AK288=0,AL288=0),"QUANTIDADE A REVISAR","IDENTIFICAÇÃO A REVISAR"),IF(S288="Aguardando recebimento","RECEBIMENTO NÃO CONFIRMADO",IF(S288="Aguardando CDF","CDF NÃO LOCALIZADO",IF(S288="Vínculo de CDF parcial","VÍNCULO INCOMPLETO",IF(S288="CDF localizado, a conferir","CDF A CONFERIR","")))))))</f>
        <v/>
      </c>
      <c r="U288" s="95" t="str">
        <f>IF(T288="","",IF(AQ288="","Não calculável",IF(AQ288&gt;TODAY(),"Data futura",TODAY()-AQ288)))</f>
        <v/>
      </c>
      <c r="V288" s="93" t="str">
        <f>IF(Z288=0,"",SUMIFS('RECEBIMENTOS'!$H$6:$H$1005,'RECEBIMENTOS'!$B$6:$B$1005,A288,'RECEBIMENTOS'!$Z$6:$Z$1005,1))</f>
        <v/>
      </c>
      <c r="W288" s="95" t="str">
        <f>IF(Z288=0,"",COUNTIFS('ITENS_MTR'!$S$6:$S$1005,A288,'ITENS_MTR'!$R$6:$R$1005,1))</f>
        <v/>
      </c>
      <c r="X288" s="94" t="str">
        <f>IF(AC288=1,"POSSÍVEL DUPLICIDADE","")</f>
        <v/>
      </c>
      <c r="Y288" s="94" t="str">
        <f>IF(Z288=0,"",IF(AW288="","Nenhuma",LEFT(AW288,LEN(AW288)-2)))</f>
        <v/>
      </c>
      <c r="Z288" s="96">
        <f>IF(COUNTA(B288:O288)&gt;0,1,0)</f>
        <v>0</v>
      </c>
      <c r="AA288" s="96">
        <f>IF(AND(Z288=1,K288&lt;&gt;""),IF(TRIM(K288)=TRIM(cfg_cancel),1,0),0)</f>
        <v>0</v>
      </c>
      <c r="AB288" s="96" t="str">
        <f>IF(AND(Z288=1,B288&lt;&gt;""),C288&amp;"|"&amp;D288&amp;"|"&amp;G288&amp;"|"&amp;TRIM(B288),"")</f>
        <v/>
      </c>
      <c r="AC288" s="96">
        <f>IF(AB288="",0,IF(SUMPRODUCT(--($AB$6:$AB$505=AB288))&gt;1,1,0))</f>
        <v>0</v>
      </c>
      <c r="AD288" s="96">
        <f>IF(Z288=0,0,IF(OR(AND(G288&lt;&gt;"",ISNA(MATCH(G288,'CAD_UNIDADES'!$C$6:$C$105,0))),AND(H288&lt;&gt;"",ISNA(MATCH(H288,cmp_transp,0))),AND(I288&lt;&gt;"",ISNA(MATCH(I288,cmp_dest,0))),AND(E288&lt;&gt;"",NOT(ISNUMBER(E288))),AND(F288&lt;&gt;"",NOT(ISNUMBER(F288))),AND(ISNUMBER(E288),ISNUMBER(F288),F288&lt;E288)),1,0))</f>
        <v>0</v>
      </c>
      <c r="AE288" s="96">
        <f>IF(Z288=0,0,IF(OR(B288="",C288="",E288="",G288="",H288="",I288="",N(W288)=0),1,0))</f>
        <v>0</v>
      </c>
      <c r="AF288" s="96">
        <f>IF(Z288=0,0,COUNTIFS('ITENS_MTR'!$S$6:$S$1005,A288,'ITENS_MTR'!$AI$6:$AI$1005,1))</f>
        <v>0</v>
      </c>
      <c r="AG288" s="96">
        <f>IF(Z288=0,0,COUNTIFS('ITENS_MTR'!$S$6:$S$1005,A288,'ITENS_MTR'!$AJ$6:$AJ$1005,1))</f>
        <v>0</v>
      </c>
      <c r="AH288" s="96">
        <f>IF(Z288=0,0,COUNTIFS('ITENS_MTR'!$S$6:$S$1005,A288,'ITENS_MTR'!$AM$6:$AM$1005,1))</f>
        <v>0</v>
      </c>
      <c r="AI288" s="96">
        <f>IF(Z288=0,0,COUNTIFS('ITENS_MTR'!$S$6:$S$1005,A288,'ITENS_MTR'!$AO$6:$AO$1005,1))</f>
        <v>0</v>
      </c>
      <c r="AJ288" s="96">
        <f>IF(Z288=0,0,COUNTIFS('ITENS_MTR'!$S$6:$S$1005,A288,'ITENS_MTR'!$AN$6:$AN$1005,1))</f>
        <v>0</v>
      </c>
      <c r="AK288" s="96">
        <f>IF(Z288=0,0,COUNTIFS('RECEBIMENTOS'!$B$6:$B$1005,A288,'RECEBIMENTOS'!$Y$6:$Y$1005,1))</f>
        <v>0</v>
      </c>
      <c r="AL288" s="96">
        <f>IF(Z288=0,0,COUNTIFS('VÍNCULOS_CDF'!$D$6:$D$1005,A288,'VÍNCULOS_CDF'!$Y$6:$Y$1005,1))</f>
        <v>0</v>
      </c>
      <c r="AM288" s="96">
        <f>IF(Z288=0,0,COUNTIFS('RECEBIMENTOS'!$B$6:$B$1005,A288,'RECEBIMENTOS'!$Q$6:$Q$1005,1))</f>
        <v>0</v>
      </c>
      <c r="AN288" s="96">
        <f>IF(AND(Z288=1,N(W288)&gt;0,AG288=N(W288)),1,0)</f>
        <v>0</v>
      </c>
      <c r="AO288" s="96">
        <f>IF(AND(Z288=1,N(W288)&gt;0,AI288=N(W288)),1,0)</f>
        <v>0</v>
      </c>
      <c r="AP288" s="97">
        <f>IF(Z288=0,0,_xlfn.MAXIFS('RECEBIMENTOS'!$E$6:$E$1005,'RECEBIMENTOS'!$B$6:$B$1005,A288))</f>
        <v>0</v>
      </c>
      <c r="AQ288" s="97" t="str">
        <f>IF(T288="","",IF(T288="RECEBIMENTO NÃO CONFIRMADO",IF(ISNUMBER(F288),F288,IF(ISNUMBER(E288),E288,"")),IF(OR(T288="CDF NÃO LOCALIZADO",T288="VÍNCULO INCOMPLETO",T288="CDF A CONFERIR"),IF(AP288&gt;0,AP288,IF(ISNUMBER(E288),E288,"")),IF(ISNUMBER(E288),E288,""))))</f>
        <v/>
      </c>
      <c r="AR288" s="96">
        <f>IF(NOT(ISNUMBER(U288)),0,IF(T288="RECEBIMENTO NÃO CONFIRMADO",IF(AND(ISNUMBER(cfg_rec),U288&gt;cfg_rec),1,0),IF(OR(T288="CDF NÃO LOCALIZADO",T288="VÍNCULO INCOMPLETO",T288="CDF A CONFERIR"),IF(AND(ISNUMBER(cfg_cdf),U288&gt;cfg_cdf),1,0),0)))</f>
        <v>0</v>
      </c>
      <c r="AS288" s="96" t="str">
        <f>IF(T288="","",IF(AR288=1,"Alta",IFERROR(INDEX(cfg_pp,MATCH(T288,cfg_pt,0))&amp;"","Média")))</f>
        <v/>
      </c>
      <c r="AT288" s="96" t="str">
        <f>IF(T288="","",IFERROR(INDEX(cfg_pv,MATCH(T288,cfg_pt,0))&amp;"",""))</f>
        <v/>
      </c>
      <c r="AU288" s="96" t="str">
        <f>IF(T288="","",IF(AS288="Alta",1,IF(AS288="Média",2,3))*1000000000+(999999-IF(ISNUMBER(U288),MIN(U288,999999),0))*1000+283)</f>
        <v/>
      </c>
      <c r="AV288" s="96">
        <f>IF(T288&lt;&gt;"",1,0)</f>
        <v>0</v>
      </c>
      <c r="AW288" s="96" t="str">
        <f>IF(Z288=0,"",IF(AA288=1,"Cancelamento informado; ","")&amp;IF(AE288=1,"Campos essenciais ou itens faltando; ","")&amp;IF(AC288=1,"Possível duplicidade do número; ","")&amp;IF(AD288=1,"Cadastro ou datas a revisar; ","")&amp;IF(AF288&gt;0,"Item de resíduo com dado a revisar; ","")&amp;IF(AH288&gt;0,"Diferença de quantidade a analisar; ","")&amp;IF(AK288&gt;0,"Recebimento com alerta; ","")&amp;IF(AL288&gt;0,"Vínculo de CDF com alerta; ","")&amp;IF(AND(AA288=0,AN288=0),"Recebimento não confirmado; ","")&amp;IF(AND(AA288=0,AN288=1,AO288=0),"CDF pendente ou a conferir; ",""))</f>
        <v/>
      </c>
      <c r="AX288" s="96">
        <f>IF(Z288=0,0,IF(AND(OR(f_ini="",AND(ISNUMBER(E288),E288&gt;=f_ini)),OR(f_fim="",AND(ISNUMBER(E288),E288&lt;=f_fim)),OR(f_un="",f_un="(Todas)",G288=f_un),OR(f_tr="",f_tr="(Todos)",H288=f_tr),OR(f_de="",f_de="(Todos)",I288=f_de),OR(f_sit="",f_sit="(Todas)",S288=f_sit)),1,0))</f>
        <v>0</v>
      </c>
      <c r="AY288" s="96">
        <f>IF(AX288=0,0,IF(OR(f_res="",f_res="(Todos)"),1,IF(COUNTIFS('ITENS_MTR'!$S$6:$S$1005,A288,'ITENS_MTR'!$C$6:$C$1005,f_res)&gt;0,1,0)))</f>
        <v>0</v>
      </c>
      <c r="AZ288" s="97" t="str">
        <f>IF(ISNUMBER(E288),DATE(YEAR(E288),MONTH(E288),1),"")</f>
        <v/>
      </c>
      <c r="BA288" s="96">
        <f>IF(Z288=0,0,IF(AND(OR(r_ini="",AND(ISNUMBER(E288),E288&gt;=r_ini)),OR(r_fim="",AND(ISNUMBER(E288),E288&lt;=r_fim)),OR(r_un="",r_un="(Todas)",G288=r_un),OR(r_de="",r_de="(Todos)",I288=r_de)),1,0))</f>
        <v>0</v>
      </c>
      <c r="BB288" s="96" t="str">
        <f>IF(BA288=1,COUNTIF($BA$6:BA288,1),"")</f>
        <v/>
      </c>
      <c r="BC288" s="96" t="str">
        <f>IF(AND(AU288&lt;&gt;"",OR(r_un="",r_un="(Todas)",G288=r_un),OR(r_de="",r_de="(Todos)",I288=r_de)),AU288,"")</f>
        <v/>
      </c>
      <c r="BD288" s="96" t="str">
        <f>IF(Z288=1,A288&amp;" | nº "&amp;IF(B288="","(sem número)",B288)&amp;" | "&amp;IF(G288="","(sem unidade)",G288),"")</f>
        <v/>
      </c>
      <c r="BE288" s="96" t="str">
        <f>IF(Z288=1,COUNTIF($Z$6:Z288,1),"")</f>
        <v/>
      </c>
      <c r="BF288" s="96" t="str">
        <f>IF(T288="","",IF(T288="RECEBIMENTO NÃO CONFIRMADO","Transp.: "&amp;H288&amp;" | Dest.: "&amp;I288,IF(OR(T288="CDF NÃO LOCALIZADO",T288="VÍNCULO INCOMPLETO",T288="CDF A CONFERIR"),"Dest.: "&amp;I288,"Gerador: "&amp;G288)))</f>
        <v/>
      </c>
    </row>
    <row r="289">
      <c r="A289" s="89" t="inlineStr">
        <is>
          <t>MTR-000284</t>
        </is>
      </c>
      <c r="B289" s="90" t="n"/>
      <c r="C289" s="91" t="n"/>
      <c r="D289" s="91" t="n"/>
      <c r="E289" s="92" t="n"/>
      <c r="F289" s="92" t="n"/>
      <c r="G289" s="91" t="n"/>
      <c r="H289" s="91" t="n"/>
      <c r="I289" s="91" t="n"/>
      <c r="J289" s="91" t="n"/>
      <c r="K289" s="91" t="n"/>
      <c r="L289" s="92" t="n"/>
      <c r="M289" s="91" t="n"/>
      <c r="N289" s="91" t="n"/>
      <c r="O289" s="91" t="n"/>
      <c r="P289" s="93" t="str">
        <f>IF(Z289=0,"",SUMIFS('ITENS_MTR'!$I$6:$I$1005,'ITENS_MTR'!$S$6:$S$1005,A289,'ITENS_MTR'!$Y$6:$Y$1005,1))</f>
        <v/>
      </c>
      <c r="Q289" s="93" t="str">
        <f>IF(Z289=0,"",SUMIFS('RECEBIMENTOS'!$H$6:$H$1005,'RECEBIMENTOS'!$B$6:$B$1005,A289,'RECEBIMENTOS'!$X$6:$X$1005,1))</f>
        <v/>
      </c>
      <c r="R289" s="93" t="str">
        <f>IF(Z289=0,"",SUMIFS('VÍNCULOS_CDF'!$H$6:$H$1005,'VÍNCULOS_CDF'!$D$6:$D$1005,A289,'VÍNCULOS_CDF'!$V$6:$V$1005,1))</f>
        <v/>
      </c>
      <c r="S289" s="94" t="str">
        <f>IF(Z289=0,"",IF(AA289=1,"Cancelado (informado)",IF(AE289=1,"Cadastro incompleto",IF(OR(AC289=1,AD289=1,AF289&gt;0,AH289&gt;0,AK289&gt;0,AL289&gt;0),"Informação a revisar",IF(AN289=0,"Aguardando recebimento",IF(N(R289)=0,"Aguardando CDF",IF(AJ289&lt;N(W289),"Vínculo de CDF parcial",IF(AO289=0,"CDF localizado, a conferir","Documentação conferida"))))))))</f>
        <v/>
      </c>
      <c r="T289" s="94" t="str">
        <f>IF(Z289=0,"",IF(S289="Cadastro incompleto","MTR INCOMPLETO",IF(S289="Informação a revisar",IF(AND(AH289&gt;0,AC289=0,AD289=0,AF289=0,AK289=0,AL289=0),"QUANTIDADE A REVISAR","IDENTIFICAÇÃO A REVISAR"),IF(S289="Aguardando recebimento","RECEBIMENTO NÃO CONFIRMADO",IF(S289="Aguardando CDF","CDF NÃO LOCALIZADO",IF(S289="Vínculo de CDF parcial","VÍNCULO INCOMPLETO",IF(S289="CDF localizado, a conferir","CDF A CONFERIR","")))))))</f>
        <v/>
      </c>
      <c r="U289" s="95" t="str">
        <f>IF(T289="","",IF(AQ289="","Não calculável",IF(AQ289&gt;TODAY(),"Data futura",TODAY()-AQ289)))</f>
        <v/>
      </c>
      <c r="V289" s="93" t="str">
        <f>IF(Z289=0,"",SUMIFS('RECEBIMENTOS'!$H$6:$H$1005,'RECEBIMENTOS'!$B$6:$B$1005,A289,'RECEBIMENTOS'!$Z$6:$Z$1005,1))</f>
        <v/>
      </c>
      <c r="W289" s="95" t="str">
        <f>IF(Z289=0,"",COUNTIFS('ITENS_MTR'!$S$6:$S$1005,A289,'ITENS_MTR'!$R$6:$R$1005,1))</f>
        <v/>
      </c>
      <c r="X289" s="94" t="str">
        <f>IF(AC289=1,"POSSÍVEL DUPLICIDADE","")</f>
        <v/>
      </c>
      <c r="Y289" s="94" t="str">
        <f>IF(Z289=0,"",IF(AW289="","Nenhuma",LEFT(AW289,LEN(AW289)-2)))</f>
        <v/>
      </c>
      <c r="Z289" s="96">
        <f>IF(COUNTA(B289:O289)&gt;0,1,0)</f>
        <v>0</v>
      </c>
      <c r="AA289" s="96">
        <f>IF(AND(Z289=1,K289&lt;&gt;""),IF(TRIM(K289)=TRIM(cfg_cancel),1,0),0)</f>
        <v>0</v>
      </c>
      <c r="AB289" s="96" t="str">
        <f>IF(AND(Z289=1,B289&lt;&gt;""),C289&amp;"|"&amp;D289&amp;"|"&amp;G289&amp;"|"&amp;TRIM(B289),"")</f>
        <v/>
      </c>
      <c r="AC289" s="96">
        <f>IF(AB289="",0,IF(SUMPRODUCT(--($AB$6:$AB$505=AB289))&gt;1,1,0))</f>
        <v>0</v>
      </c>
      <c r="AD289" s="96">
        <f>IF(Z289=0,0,IF(OR(AND(G289&lt;&gt;"",ISNA(MATCH(G289,'CAD_UNIDADES'!$C$6:$C$105,0))),AND(H289&lt;&gt;"",ISNA(MATCH(H289,cmp_transp,0))),AND(I289&lt;&gt;"",ISNA(MATCH(I289,cmp_dest,0))),AND(E289&lt;&gt;"",NOT(ISNUMBER(E289))),AND(F289&lt;&gt;"",NOT(ISNUMBER(F289))),AND(ISNUMBER(E289),ISNUMBER(F289),F289&lt;E289)),1,0))</f>
        <v>0</v>
      </c>
      <c r="AE289" s="96">
        <f>IF(Z289=0,0,IF(OR(B289="",C289="",E289="",G289="",H289="",I289="",N(W289)=0),1,0))</f>
        <v>0</v>
      </c>
      <c r="AF289" s="96">
        <f>IF(Z289=0,0,COUNTIFS('ITENS_MTR'!$S$6:$S$1005,A289,'ITENS_MTR'!$AI$6:$AI$1005,1))</f>
        <v>0</v>
      </c>
      <c r="AG289" s="96">
        <f>IF(Z289=0,0,COUNTIFS('ITENS_MTR'!$S$6:$S$1005,A289,'ITENS_MTR'!$AJ$6:$AJ$1005,1))</f>
        <v>0</v>
      </c>
      <c r="AH289" s="96">
        <f>IF(Z289=0,0,COUNTIFS('ITENS_MTR'!$S$6:$S$1005,A289,'ITENS_MTR'!$AM$6:$AM$1005,1))</f>
        <v>0</v>
      </c>
      <c r="AI289" s="96">
        <f>IF(Z289=0,0,COUNTIFS('ITENS_MTR'!$S$6:$S$1005,A289,'ITENS_MTR'!$AO$6:$AO$1005,1))</f>
        <v>0</v>
      </c>
      <c r="AJ289" s="96">
        <f>IF(Z289=0,0,COUNTIFS('ITENS_MTR'!$S$6:$S$1005,A289,'ITENS_MTR'!$AN$6:$AN$1005,1))</f>
        <v>0</v>
      </c>
      <c r="AK289" s="96">
        <f>IF(Z289=0,0,COUNTIFS('RECEBIMENTOS'!$B$6:$B$1005,A289,'RECEBIMENTOS'!$Y$6:$Y$1005,1))</f>
        <v>0</v>
      </c>
      <c r="AL289" s="96">
        <f>IF(Z289=0,0,COUNTIFS('VÍNCULOS_CDF'!$D$6:$D$1005,A289,'VÍNCULOS_CDF'!$Y$6:$Y$1005,1))</f>
        <v>0</v>
      </c>
      <c r="AM289" s="96">
        <f>IF(Z289=0,0,COUNTIFS('RECEBIMENTOS'!$B$6:$B$1005,A289,'RECEBIMENTOS'!$Q$6:$Q$1005,1))</f>
        <v>0</v>
      </c>
      <c r="AN289" s="96">
        <f>IF(AND(Z289=1,N(W289)&gt;0,AG289=N(W289)),1,0)</f>
        <v>0</v>
      </c>
      <c r="AO289" s="96">
        <f>IF(AND(Z289=1,N(W289)&gt;0,AI289=N(W289)),1,0)</f>
        <v>0</v>
      </c>
      <c r="AP289" s="97">
        <f>IF(Z289=0,0,_xlfn.MAXIFS('RECEBIMENTOS'!$E$6:$E$1005,'RECEBIMENTOS'!$B$6:$B$1005,A289))</f>
        <v>0</v>
      </c>
      <c r="AQ289" s="97" t="str">
        <f>IF(T289="","",IF(T289="RECEBIMENTO NÃO CONFIRMADO",IF(ISNUMBER(F289),F289,IF(ISNUMBER(E289),E289,"")),IF(OR(T289="CDF NÃO LOCALIZADO",T289="VÍNCULO INCOMPLETO",T289="CDF A CONFERIR"),IF(AP289&gt;0,AP289,IF(ISNUMBER(E289),E289,"")),IF(ISNUMBER(E289),E289,""))))</f>
        <v/>
      </c>
      <c r="AR289" s="96">
        <f>IF(NOT(ISNUMBER(U289)),0,IF(T289="RECEBIMENTO NÃO CONFIRMADO",IF(AND(ISNUMBER(cfg_rec),U289&gt;cfg_rec),1,0),IF(OR(T289="CDF NÃO LOCALIZADO",T289="VÍNCULO INCOMPLETO",T289="CDF A CONFERIR"),IF(AND(ISNUMBER(cfg_cdf),U289&gt;cfg_cdf),1,0),0)))</f>
        <v>0</v>
      </c>
      <c r="AS289" s="96" t="str">
        <f>IF(T289="","",IF(AR289=1,"Alta",IFERROR(INDEX(cfg_pp,MATCH(T289,cfg_pt,0))&amp;"","Média")))</f>
        <v/>
      </c>
      <c r="AT289" s="96" t="str">
        <f>IF(T289="","",IFERROR(INDEX(cfg_pv,MATCH(T289,cfg_pt,0))&amp;"",""))</f>
        <v/>
      </c>
      <c r="AU289" s="96" t="str">
        <f>IF(T289="","",IF(AS289="Alta",1,IF(AS289="Média",2,3))*1000000000+(999999-IF(ISNUMBER(U289),MIN(U289,999999),0))*1000+284)</f>
        <v/>
      </c>
      <c r="AV289" s="96">
        <f>IF(T289&lt;&gt;"",1,0)</f>
        <v>0</v>
      </c>
      <c r="AW289" s="96" t="str">
        <f>IF(Z289=0,"",IF(AA289=1,"Cancelamento informado; ","")&amp;IF(AE289=1,"Campos essenciais ou itens faltando; ","")&amp;IF(AC289=1,"Possível duplicidade do número; ","")&amp;IF(AD289=1,"Cadastro ou datas a revisar; ","")&amp;IF(AF289&gt;0,"Item de resíduo com dado a revisar; ","")&amp;IF(AH289&gt;0,"Diferença de quantidade a analisar; ","")&amp;IF(AK289&gt;0,"Recebimento com alerta; ","")&amp;IF(AL289&gt;0,"Vínculo de CDF com alerta; ","")&amp;IF(AND(AA289=0,AN289=0),"Recebimento não confirmado; ","")&amp;IF(AND(AA289=0,AN289=1,AO289=0),"CDF pendente ou a conferir; ",""))</f>
        <v/>
      </c>
      <c r="AX289" s="96">
        <f>IF(Z289=0,0,IF(AND(OR(f_ini="",AND(ISNUMBER(E289),E289&gt;=f_ini)),OR(f_fim="",AND(ISNUMBER(E289),E289&lt;=f_fim)),OR(f_un="",f_un="(Todas)",G289=f_un),OR(f_tr="",f_tr="(Todos)",H289=f_tr),OR(f_de="",f_de="(Todos)",I289=f_de),OR(f_sit="",f_sit="(Todas)",S289=f_sit)),1,0))</f>
        <v>0</v>
      </c>
      <c r="AY289" s="96">
        <f>IF(AX289=0,0,IF(OR(f_res="",f_res="(Todos)"),1,IF(COUNTIFS('ITENS_MTR'!$S$6:$S$1005,A289,'ITENS_MTR'!$C$6:$C$1005,f_res)&gt;0,1,0)))</f>
        <v>0</v>
      </c>
      <c r="AZ289" s="97" t="str">
        <f>IF(ISNUMBER(E289),DATE(YEAR(E289),MONTH(E289),1),"")</f>
        <v/>
      </c>
      <c r="BA289" s="96">
        <f>IF(Z289=0,0,IF(AND(OR(r_ini="",AND(ISNUMBER(E289),E289&gt;=r_ini)),OR(r_fim="",AND(ISNUMBER(E289),E289&lt;=r_fim)),OR(r_un="",r_un="(Todas)",G289=r_un),OR(r_de="",r_de="(Todos)",I289=r_de)),1,0))</f>
        <v>0</v>
      </c>
      <c r="BB289" s="96" t="str">
        <f>IF(BA289=1,COUNTIF($BA$6:BA289,1),"")</f>
        <v/>
      </c>
      <c r="BC289" s="96" t="str">
        <f>IF(AND(AU289&lt;&gt;"",OR(r_un="",r_un="(Todas)",G289=r_un),OR(r_de="",r_de="(Todos)",I289=r_de)),AU289,"")</f>
        <v/>
      </c>
      <c r="BD289" s="96" t="str">
        <f>IF(Z289=1,A289&amp;" | nº "&amp;IF(B289="","(sem número)",B289)&amp;" | "&amp;IF(G289="","(sem unidade)",G289),"")</f>
        <v/>
      </c>
      <c r="BE289" s="96" t="str">
        <f>IF(Z289=1,COUNTIF($Z$6:Z289,1),"")</f>
        <v/>
      </c>
      <c r="BF289" s="96" t="str">
        <f>IF(T289="","",IF(T289="RECEBIMENTO NÃO CONFIRMADO","Transp.: "&amp;H289&amp;" | Dest.: "&amp;I289,IF(OR(T289="CDF NÃO LOCALIZADO",T289="VÍNCULO INCOMPLETO",T289="CDF A CONFERIR"),"Dest.: "&amp;I289,"Gerador: "&amp;G289)))</f>
        <v/>
      </c>
    </row>
    <row r="290">
      <c r="A290" s="89" t="inlineStr">
        <is>
          <t>MTR-000285</t>
        </is>
      </c>
      <c r="B290" s="90" t="n"/>
      <c r="C290" s="91" t="n"/>
      <c r="D290" s="91" t="n"/>
      <c r="E290" s="92" t="n"/>
      <c r="F290" s="92" t="n"/>
      <c r="G290" s="91" t="n"/>
      <c r="H290" s="91" t="n"/>
      <c r="I290" s="91" t="n"/>
      <c r="J290" s="91" t="n"/>
      <c r="K290" s="91" t="n"/>
      <c r="L290" s="92" t="n"/>
      <c r="M290" s="91" t="n"/>
      <c r="N290" s="91" t="n"/>
      <c r="O290" s="91" t="n"/>
      <c r="P290" s="93" t="str">
        <f>IF(Z290=0,"",SUMIFS('ITENS_MTR'!$I$6:$I$1005,'ITENS_MTR'!$S$6:$S$1005,A290,'ITENS_MTR'!$Y$6:$Y$1005,1))</f>
        <v/>
      </c>
      <c r="Q290" s="93" t="str">
        <f>IF(Z290=0,"",SUMIFS('RECEBIMENTOS'!$H$6:$H$1005,'RECEBIMENTOS'!$B$6:$B$1005,A290,'RECEBIMENTOS'!$X$6:$X$1005,1))</f>
        <v/>
      </c>
      <c r="R290" s="93" t="str">
        <f>IF(Z290=0,"",SUMIFS('VÍNCULOS_CDF'!$H$6:$H$1005,'VÍNCULOS_CDF'!$D$6:$D$1005,A290,'VÍNCULOS_CDF'!$V$6:$V$1005,1))</f>
        <v/>
      </c>
      <c r="S290" s="94" t="str">
        <f>IF(Z290=0,"",IF(AA290=1,"Cancelado (informado)",IF(AE290=1,"Cadastro incompleto",IF(OR(AC290=1,AD290=1,AF290&gt;0,AH290&gt;0,AK290&gt;0,AL290&gt;0),"Informação a revisar",IF(AN290=0,"Aguardando recebimento",IF(N(R290)=0,"Aguardando CDF",IF(AJ290&lt;N(W290),"Vínculo de CDF parcial",IF(AO290=0,"CDF localizado, a conferir","Documentação conferida"))))))))</f>
        <v/>
      </c>
      <c r="T290" s="94" t="str">
        <f>IF(Z290=0,"",IF(S290="Cadastro incompleto","MTR INCOMPLETO",IF(S290="Informação a revisar",IF(AND(AH290&gt;0,AC290=0,AD290=0,AF290=0,AK290=0,AL290=0),"QUANTIDADE A REVISAR","IDENTIFICAÇÃO A REVISAR"),IF(S290="Aguardando recebimento","RECEBIMENTO NÃO CONFIRMADO",IF(S290="Aguardando CDF","CDF NÃO LOCALIZADO",IF(S290="Vínculo de CDF parcial","VÍNCULO INCOMPLETO",IF(S290="CDF localizado, a conferir","CDF A CONFERIR","")))))))</f>
        <v/>
      </c>
      <c r="U290" s="95" t="str">
        <f>IF(T290="","",IF(AQ290="","Não calculável",IF(AQ290&gt;TODAY(),"Data futura",TODAY()-AQ290)))</f>
        <v/>
      </c>
      <c r="V290" s="93" t="str">
        <f>IF(Z290=0,"",SUMIFS('RECEBIMENTOS'!$H$6:$H$1005,'RECEBIMENTOS'!$B$6:$B$1005,A290,'RECEBIMENTOS'!$Z$6:$Z$1005,1))</f>
        <v/>
      </c>
      <c r="W290" s="95" t="str">
        <f>IF(Z290=0,"",COUNTIFS('ITENS_MTR'!$S$6:$S$1005,A290,'ITENS_MTR'!$R$6:$R$1005,1))</f>
        <v/>
      </c>
      <c r="X290" s="94" t="str">
        <f>IF(AC290=1,"POSSÍVEL DUPLICIDADE","")</f>
        <v/>
      </c>
      <c r="Y290" s="94" t="str">
        <f>IF(Z290=0,"",IF(AW290="","Nenhuma",LEFT(AW290,LEN(AW290)-2)))</f>
        <v/>
      </c>
      <c r="Z290" s="96">
        <f>IF(COUNTA(B290:O290)&gt;0,1,0)</f>
        <v>0</v>
      </c>
      <c r="AA290" s="96">
        <f>IF(AND(Z290=1,K290&lt;&gt;""),IF(TRIM(K290)=TRIM(cfg_cancel),1,0),0)</f>
        <v>0</v>
      </c>
      <c r="AB290" s="96" t="str">
        <f>IF(AND(Z290=1,B290&lt;&gt;""),C290&amp;"|"&amp;D290&amp;"|"&amp;G290&amp;"|"&amp;TRIM(B290),"")</f>
        <v/>
      </c>
      <c r="AC290" s="96">
        <f>IF(AB290="",0,IF(SUMPRODUCT(--($AB$6:$AB$505=AB290))&gt;1,1,0))</f>
        <v>0</v>
      </c>
      <c r="AD290" s="96">
        <f>IF(Z290=0,0,IF(OR(AND(G290&lt;&gt;"",ISNA(MATCH(G290,'CAD_UNIDADES'!$C$6:$C$105,0))),AND(H290&lt;&gt;"",ISNA(MATCH(H290,cmp_transp,0))),AND(I290&lt;&gt;"",ISNA(MATCH(I290,cmp_dest,0))),AND(E290&lt;&gt;"",NOT(ISNUMBER(E290))),AND(F290&lt;&gt;"",NOT(ISNUMBER(F290))),AND(ISNUMBER(E290),ISNUMBER(F290),F290&lt;E290)),1,0))</f>
        <v>0</v>
      </c>
      <c r="AE290" s="96">
        <f>IF(Z290=0,0,IF(OR(B290="",C290="",E290="",G290="",H290="",I290="",N(W290)=0),1,0))</f>
        <v>0</v>
      </c>
      <c r="AF290" s="96">
        <f>IF(Z290=0,0,COUNTIFS('ITENS_MTR'!$S$6:$S$1005,A290,'ITENS_MTR'!$AI$6:$AI$1005,1))</f>
        <v>0</v>
      </c>
      <c r="AG290" s="96">
        <f>IF(Z290=0,0,COUNTIFS('ITENS_MTR'!$S$6:$S$1005,A290,'ITENS_MTR'!$AJ$6:$AJ$1005,1))</f>
        <v>0</v>
      </c>
      <c r="AH290" s="96">
        <f>IF(Z290=0,0,COUNTIFS('ITENS_MTR'!$S$6:$S$1005,A290,'ITENS_MTR'!$AM$6:$AM$1005,1))</f>
        <v>0</v>
      </c>
      <c r="AI290" s="96">
        <f>IF(Z290=0,0,COUNTIFS('ITENS_MTR'!$S$6:$S$1005,A290,'ITENS_MTR'!$AO$6:$AO$1005,1))</f>
        <v>0</v>
      </c>
      <c r="AJ290" s="96">
        <f>IF(Z290=0,0,COUNTIFS('ITENS_MTR'!$S$6:$S$1005,A290,'ITENS_MTR'!$AN$6:$AN$1005,1))</f>
        <v>0</v>
      </c>
      <c r="AK290" s="96">
        <f>IF(Z290=0,0,COUNTIFS('RECEBIMENTOS'!$B$6:$B$1005,A290,'RECEBIMENTOS'!$Y$6:$Y$1005,1))</f>
        <v>0</v>
      </c>
      <c r="AL290" s="96">
        <f>IF(Z290=0,0,COUNTIFS('VÍNCULOS_CDF'!$D$6:$D$1005,A290,'VÍNCULOS_CDF'!$Y$6:$Y$1005,1))</f>
        <v>0</v>
      </c>
      <c r="AM290" s="96">
        <f>IF(Z290=0,0,COUNTIFS('RECEBIMENTOS'!$B$6:$B$1005,A290,'RECEBIMENTOS'!$Q$6:$Q$1005,1))</f>
        <v>0</v>
      </c>
      <c r="AN290" s="96">
        <f>IF(AND(Z290=1,N(W290)&gt;0,AG290=N(W290)),1,0)</f>
        <v>0</v>
      </c>
      <c r="AO290" s="96">
        <f>IF(AND(Z290=1,N(W290)&gt;0,AI290=N(W290)),1,0)</f>
        <v>0</v>
      </c>
      <c r="AP290" s="97">
        <f>IF(Z290=0,0,_xlfn.MAXIFS('RECEBIMENTOS'!$E$6:$E$1005,'RECEBIMENTOS'!$B$6:$B$1005,A290))</f>
        <v>0</v>
      </c>
      <c r="AQ290" s="97" t="str">
        <f>IF(T290="","",IF(T290="RECEBIMENTO NÃO CONFIRMADO",IF(ISNUMBER(F290),F290,IF(ISNUMBER(E290),E290,"")),IF(OR(T290="CDF NÃO LOCALIZADO",T290="VÍNCULO INCOMPLETO",T290="CDF A CONFERIR"),IF(AP290&gt;0,AP290,IF(ISNUMBER(E290),E290,"")),IF(ISNUMBER(E290),E290,""))))</f>
        <v/>
      </c>
      <c r="AR290" s="96">
        <f>IF(NOT(ISNUMBER(U290)),0,IF(T290="RECEBIMENTO NÃO CONFIRMADO",IF(AND(ISNUMBER(cfg_rec),U290&gt;cfg_rec),1,0),IF(OR(T290="CDF NÃO LOCALIZADO",T290="VÍNCULO INCOMPLETO",T290="CDF A CONFERIR"),IF(AND(ISNUMBER(cfg_cdf),U290&gt;cfg_cdf),1,0),0)))</f>
        <v>0</v>
      </c>
      <c r="AS290" s="96" t="str">
        <f>IF(T290="","",IF(AR290=1,"Alta",IFERROR(INDEX(cfg_pp,MATCH(T290,cfg_pt,0))&amp;"","Média")))</f>
        <v/>
      </c>
      <c r="AT290" s="96" t="str">
        <f>IF(T290="","",IFERROR(INDEX(cfg_pv,MATCH(T290,cfg_pt,0))&amp;"",""))</f>
        <v/>
      </c>
      <c r="AU290" s="96" t="str">
        <f>IF(T290="","",IF(AS290="Alta",1,IF(AS290="Média",2,3))*1000000000+(999999-IF(ISNUMBER(U290),MIN(U290,999999),0))*1000+285)</f>
        <v/>
      </c>
      <c r="AV290" s="96">
        <f>IF(T290&lt;&gt;"",1,0)</f>
        <v>0</v>
      </c>
      <c r="AW290" s="96" t="str">
        <f>IF(Z290=0,"",IF(AA290=1,"Cancelamento informado; ","")&amp;IF(AE290=1,"Campos essenciais ou itens faltando; ","")&amp;IF(AC290=1,"Possível duplicidade do número; ","")&amp;IF(AD290=1,"Cadastro ou datas a revisar; ","")&amp;IF(AF290&gt;0,"Item de resíduo com dado a revisar; ","")&amp;IF(AH290&gt;0,"Diferença de quantidade a analisar; ","")&amp;IF(AK290&gt;0,"Recebimento com alerta; ","")&amp;IF(AL290&gt;0,"Vínculo de CDF com alerta; ","")&amp;IF(AND(AA290=0,AN290=0),"Recebimento não confirmado; ","")&amp;IF(AND(AA290=0,AN290=1,AO290=0),"CDF pendente ou a conferir; ",""))</f>
        <v/>
      </c>
      <c r="AX290" s="96">
        <f>IF(Z290=0,0,IF(AND(OR(f_ini="",AND(ISNUMBER(E290),E290&gt;=f_ini)),OR(f_fim="",AND(ISNUMBER(E290),E290&lt;=f_fim)),OR(f_un="",f_un="(Todas)",G290=f_un),OR(f_tr="",f_tr="(Todos)",H290=f_tr),OR(f_de="",f_de="(Todos)",I290=f_de),OR(f_sit="",f_sit="(Todas)",S290=f_sit)),1,0))</f>
        <v>0</v>
      </c>
      <c r="AY290" s="96">
        <f>IF(AX290=0,0,IF(OR(f_res="",f_res="(Todos)"),1,IF(COUNTIFS('ITENS_MTR'!$S$6:$S$1005,A290,'ITENS_MTR'!$C$6:$C$1005,f_res)&gt;0,1,0)))</f>
        <v>0</v>
      </c>
      <c r="AZ290" s="97" t="str">
        <f>IF(ISNUMBER(E290),DATE(YEAR(E290),MONTH(E290),1),"")</f>
        <v/>
      </c>
      <c r="BA290" s="96">
        <f>IF(Z290=0,0,IF(AND(OR(r_ini="",AND(ISNUMBER(E290),E290&gt;=r_ini)),OR(r_fim="",AND(ISNUMBER(E290),E290&lt;=r_fim)),OR(r_un="",r_un="(Todas)",G290=r_un),OR(r_de="",r_de="(Todos)",I290=r_de)),1,0))</f>
        <v>0</v>
      </c>
      <c r="BB290" s="96" t="str">
        <f>IF(BA290=1,COUNTIF($BA$6:BA290,1),"")</f>
        <v/>
      </c>
      <c r="BC290" s="96" t="str">
        <f>IF(AND(AU290&lt;&gt;"",OR(r_un="",r_un="(Todas)",G290=r_un),OR(r_de="",r_de="(Todos)",I290=r_de)),AU290,"")</f>
        <v/>
      </c>
      <c r="BD290" s="96" t="str">
        <f>IF(Z290=1,A290&amp;" | nº "&amp;IF(B290="","(sem número)",B290)&amp;" | "&amp;IF(G290="","(sem unidade)",G290),"")</f>
        <v/>
      </c>
      <c r="BE290" s="96" t="str">
        <f>IF(Z290=1,COUNTIF($Z$6:Z290,1),"")</f>
        <v/>
      </c>
      <c r="BF290" s="96" t="str">
        <f>IF(T290="","",IF(T290="RECEBIMENTO NÃO CONFIRMADO","Transp.: "&amp;H290&amp;" | Dest.: "&amp;I290,IF(OR(T290="CDF NÃO LOCALIZADO",T290="VÍNCULO INCOMPLETO",T290="CDF A CONFERIR"),"Dest.: "&amp;I290,"Gerador: "&amp;G290)))</f>
        <v/>
      </c>
    </row>
    <row r="291">
      <c r="A291" s="89" t="inlineStr">
        <is>
          <t>MTR-000286</t>
        </is>
      </c>
      <c r="B291" s="90" t="n"/>
      <c r="C291" s="91" t="n"/>
      <c r="D291" s="91" t="n"/>
      <c r="E291" s="92" t="n"/>
      <c r="F291" s="92" t="n"/>
      <c r="G291" s="91" t="n"/>
      <c r="H291" s="91" t="n"/>
      <c r="I291" s="91" t="n"/>
      <c r="J291" s="91" t="n"/>
      <c r="K291" s="91" t="n"/>
      <c r="L291" s="92" t="n"/>
      <c r="M291" s="91" t="n"/>
      <c r="N291" s="91" t="n"/>
      <c r="O291" s="91" t="n"/>
      <c r="P291" s="93" t="str">
        <f>IF(Z291=0,"",SUMIFS('ITENS_MTR'!$I$6:$I$1005,'ITENS_MTR'!$S$6:$S$1005,A291,'ITENS_MTR'!$Y$6:$Y$1005,1))</f>
        <v/>
      </c>
      <c r="Q291" s="93" t="str">
        <f>IF(Z291=0,"",SUMIFS('RECEBIMENTOS'!$H$6:$H$1005,'RECEBIMENTOS'!$B$6:$B$1005,A291,'RECEBIMENTOS'!$X$6:$X$1005,1))</f>
        <v/>
      </c>
      <c r="R291" s="93" t="str">
        <f>IF(Z291=0,"",SUMIFS('VÍNCULOS_CDF'!$H$6:$H$1005,'VÍNCULOS_CDF'!$D$6:$D$1005,A291,'VÍNCULOS_CDF'!$V$6:$V$1005,1))</f>
        <v/>
      </c>
      <c r="S291" s="94" t="str">
        <f>IF(Z291=0,"",IF(AA291=1,"Cancelado (informado)",IF(AE291=1,"Cadastro incompleto",IF(OR(AC291=1,AD291=1,AF291&gt;0,AH291&gt;0,AK291&gt;0,AL291&gt;0),"Informação a revisar",IF(AN291=0,"Aguardando recebimento",IF(N(R291)=0,"Aguardando CDF",IF(AJ291&lt;N(W291),"Vínculo de CDF parcial",IF(AO291=0,"CDF localizado, a conferir","Documentação conferida"))))))))</f>
        <v/>
      </c>
      <c r="T291" s="94" t="str">
        <f>IF(Z291=0,"",IF(S291="Cadastro incompleto","MTR INCOMPLETO",IF(S291="Informação a revisar",IF(AND(AH291&gt;0,AC291=0,AD291=0,AF291=0,AK291=0,AL291=0),"QUANTIDADE A REVISAR","IDENTIFICAÇÃO A REVISAR"),IF(S291="Aguardando recebimento","RECEBIMENTO NÃO CONFIRMADO",IF(S291="Aguardando CDF","CDF NÃO LOCALIZADO",IF(S291="Vínculo de CDF parcial","VÍNCULO INCOMPLETO",IF(S291="CDF localizado, a conferir","CDF A CONFERIR","")))))))</f>
        <v/>
      </c>
      <c r="U291" s="95" t="str">
        <f>IF(T291="","",IF(AQ291="","Não calculável",IF(AQ291&gt;TODAY(),"Data futura",TODAY()-AQ291)))</f>
        <v/>
      </c>
      <c r="V291" s="93" t="str">
        <f>IF(Z291=0,"",SUMIFS('RECEBIMENTOS'!$H$6:$H$1005,'RECEBIMENTOS'!$B$6:$B$1005,A291,'RECEBIMENTOS'!$Z$6:$Z$1005,1))</f>
        <v/>
      </c>
      <c r="W291" s="95" t="str">
        <f>IF(Z291=0,"",COUNTIFS('ITENS_MTR'!$S$6:$S$1005,A291,'ITENS_MTR'!$R$6:$R$1005,1))</f>
        <v/>
      </c>
      <c r="X291" s="94" t="str">
        <f>IF(AC291=1,"POSSÍVEL DUPLICIDADE","")</f>
        <v/>
      </c>
      <c r="Y291" s="94" t="str">
        <f>IF(Z291=0,"",IF(AW291="","Nenhuma",LEFT(AW291,LEN(AW291)-2)))</f>
        <v/>
      </c>
      <c r="Z291" s="96">
        <f>IF(COUNTA(B291:O291)&gt;0,1,0)</f>
        <v>0</v>
      </c>
      <c r="AA291" s="96">
        <f>IF(AND(Z291=1,K291&lt;&gt;""),IF(TRIM(K291)=TRIM(cfg_cancel),1,0),0)</f>
        <v>0</v>
      </c>
      <c r="AB291" s="96" t="str">
        <f>IF(AND(Z291=1,B291&lt;&gt;""),C291&amp;"|"&amp;D291&amp;"|"&amp;G291&amp;"|"&amp;TRIM(B291),"")</f>
        <v/>
      </c>
      <c r="AC291" s="96">
        <f>IF(AB291="",0,IF(SUMPRODUCT(--($AB$6:$AB$505=AB291))&gt;1,1,0))</f>
        <v>0</v>
      </c>
      <c r="AD291" s="96">
        <f>IF(Z291=0,0,IF(OR(AND(G291&lt;&gt;"",ISNA(MATCH(G291,'CAD_UNIDADES'!$C$6:$C$105,0))),AND(H291&lt;&gt;"",ISNA(MATCH(H291,cmp_transp,0))),AND(I291&lt;&gt;"",ISNA(MATCH(I291,cmp_dest,0))),AND(E291&lt;&gt;"",NOT(ISNUMBER(E291))),AND(F291&lt;&gt;"",NOT(ISNUMBER(F291))),AND(ISNUMBER(E291),ISNUMBER(F291),F291&lt;E291)),1,0))</f>
        <v>0</v>
      </c>
      <c r="AE291" s="96">
        <f>IF(Z291=0,0,IF(OR(B291="",C291="",E291="",G291="",H291="",I291="",N(W291)=0),1,0))</f>
        <v>0</v>
      </c>
      <c r="AF291" s="96">
        <f>IF(Z291=0,0,COUNTIFS('ITENS_MTR'!$S$6:$S$1005,A291,'ITENS_MTR'!$AI$6:$AI$1005,1))</f>
        <v>0</v>
      </c>
      <c r="AG291" s="96">
        <f>IF(Z291=0,0,COUNTIFS('ITENS_MTR'!$S$6:$S$1005,A291,'ITENS_MTR'!$AJ$6:$AJ$1005,1))</f>
        <v>0</v>
      </c>
      <c r="AH291" s="96">
        <f>IF(Z291=0,0,COUNTIFS('ITENS_MTR'!$S$6:$S$1005,A291,'ITENS_MTR'!$AM$6:$AM$1005,1))</f>
        <v>0</v>
      </c>
      <c r="AI291" s="96">
        <f>IF(Z291=0,0,COUNTIFS('ITENS_MTR'!$S$6:$S$1005,A291,'ITENS_MTR'!$AO$6:$AO$1005,1))</f>
        <v>0</v>
      </c>
      <c r="AJ291" s="96">
        <f>IF(Z291=0,0,COUNTIFS('ITENS_MTR'!$S$6:$S$1005,A291,'ITENS_MTR'!$AN$6:$AN$1005,1))</f>
        <v>0</v>
      </c>
      <c r="AK291" s="96">
        <f>IF(Z291=0,0,COUNTIFS('RECEBIMENTOS'!$B$6:$B$1005,A291,'RECEBIMENTOS'!$Y$6:$Y$1005,1))</f>
        <v>0</v>
      </c>
      <c r="AL291" s="96">
        <f>IF(Z291=0,0,COUNTIFS('VÍNCULOS_CDF'!$D$6:$D$1005,A291,'VÍNCULOS_CDF'!$Y$6:$Y$1005,1))</f>
        <v>0</v>
      </c>
      <c r="AM291" s="96">
        <f>IF(Z291=0,0,COUNTIFS('RECEBIMENTOS'!$B$6:$B$1005,A291,'RECEBIMENTOS'!$Q$6:$Q$1005,1))</f>
        <v>0</v>
      </c>
      <c r="AN291" s="96">
        <f>IF(AND(Z291=1,N(W291)&gt;0,AG291=N(W291)),1,0)</f>
        <v>0</v>
      </c>
      <c r="AO291" s="96">
        <f>IF(AND(Z291=1,N(W291)&gt;0,AI291=N(W291)),1,0)</f>
        <v>0</v>
      </c>
      <c r="AP291" s="97">
        <f>IF(Z291=0,0,_xlfn.MAXIFS('RECEBIMENTOS'!$E$6:$E$1005,'RECEBIMENTOS'!$B$6:$B$1005,A291))</f>
        <v>0</v>
      </c>
      <c r="AQ291" s="97" t="str">
        <f>IF(T291="","",IF(T291="RECEBIMENTO NÃO CONFIRMADO",IF(ISNUMBER(F291),F291,IF(ISNUMBER(E291),E291,"")),IF(OR(T291="CDF NÃO LOCALIZADO",T291="VÍNCULO INCOMPLETO",T291="CDF A CONFERIR"),IF(AP291&gt;0,AP291,IF(ISNUMBER(E291),E291,"")),IF(ISNUMBER(E291),E291,""))))</f>
        <v/>
      </c>
      <c r="AR291" s="96">
        <f>IF(NOT(ISNUMBER(U291)),0,IF(T291="RECEBIMENTO NÃO CONFIRMADO",IF(AND(ISNUMBER(cfg_rec),U291&gt;cfg_rec),1,0),IF(OR(T291="CDF NÃO LOCALIZADO",T291="VÍNCULO INCOMPLETO",T291="CDF A CONFERIR"),IF(AND(ISNUMBER(cfg_cdf),U291&gt;cfg_cdf),1,0),0)))</f>
        <v>0</v>
      </c>
      <c r="AS291" s="96" t="str">
        <f>IF(T291="","",IF(AR291=1,"Alta",IFERROR(INDEX(cfg_pp,MATCH(T291,cfg_pt,0))&amp;"","Média")))</f>
        <v/>
      </c>
      <c r="AT291" s="96" t="str">
        <f>IF(T291="","",IFERROR(INDEX(cfg_pv,MATCH(T291,cfg_pt,0))&amp;"",""))</f>
        <v/>
      </c>
      <c r="AU291" s="96" t="str">
        <f>IF(T291="","",IF(AS291="Alta",1,IF(AS291="Média",2,3))*1000000000+(999999-IF(ISNUMBER(U291),MIN(U291,999999),0))*1000+286)</f>
        <v/>
      </c>
      <c r="AV291" s="96">
        <f>IF(T291&lt;&gt;"",1,0)</f>
        <v>0</v>
      </c>
      <c r="AW291" s="96" t="str">
        <f>IF(Z291=0,"",IF(AA291=1,"Cancelamento informado; ","")&amp;IF(AE291=1,"Campos essenciais ou itens faltando; ","")&amp;IF(AC291=1,"Possível duplicidade do número; ","")&amp;IF(AD291=1,"Cadastro ou datas a revisar; ","")&amp;IF(AF291&gt;0,"Item de resíduo com dado a revisar; ","")&amp;IF(AH291&gt;0,"Diferença de quantidade a analisar; ","")&amp;IF(AK291&gt;0,"Recebimento com alerta; ","")&amp;IF(AL291&gt;0,"Vínculo de CDF com alerta; ","")&amp;IF(AND(AA291=0,AN291=0),"Recebimento não confirmado; ","")&amp;IF(AND(AA291=0,AN291=1,AO291=0),"CDF pendente ou a conferir; ",""))</f>
        <v/>
      </c>
      <c r="AX291" s="96">
        <f>IF(Z291=0,0,IF(AND(OR(f_ini="",AND(ISNUMBER(E291),E291&gt;=f_ini)),OR(f_fim="",AND(ISNUMBER(E291),E291&lt;=f_fim)),OR(f_un="",f_un="(Todas)",G291=f_un),OR(f_tr="",f_tr="(Todos)",H291=f_tr),OR(f_de="",f_de="(Todos)",I291=f_de),OR(f_sit="",f_sit="(Todas)",S291=f_sit)),1,0))</f>
        <v>0</v>
      </c>
      <c r="AY291" s="96">
        <f>IF(AX291=0,0,IF(OR(f_res="",f_res="(Todos)"),1,IF(COUNTIFS('ITENS_MTR'!$S$6:$S$1005,A291,'ITENS_MTR'!$C$6:$C$1005,f_res)&gt;0,1,0)))</f>
        <v>0</v>
      </c>
      <c r="AZ291" s="97" t="str">
        <f>IF(ISNUMBER(E291),DATE(YEAR(E291),MONTH(E291),1),"")</f>
        <v/>
      </c>
      <c r="BA291" s="96">
        <f>IF(Z291=0,0,IF(AND(OR(r_ini="",AND(ISNUMBER(E291),E291&gt;=r_ini)),OR(r_fim="",AND(ISNUMBER(E291),E291&lt;=r_fim)),OR(r_un="",r_un="(Todas)",G291=r_un),OR(r_de="",r_de="(Todos)",I291=r_de)),1,0))</f>
        <v>0</v>
      </c>
      <c r="BB291" s="96" t="str">
        <f>IF(BA291=1,COUNTIF($BA$6:BA291,1),"")</f>
        <v/>
      </c>
      <c r="BC291" s="96" t="str">
        <f>IF(AND(AU291&lt;&gt;"",OR(r_un="",r_un="(Todas)",G291=r_un),OR(r_de="",r_de="(Todos)",I291=r_de)),AU291,"")</f>
        <v/>
      </c>
      <c r="BD291" s="96" t="str">
        <f>IF(Z291=1,A291&amp;" | nº "&amp;IF(B291="","(sem número)",B291)&amp;" | "&amp;IF(G291="","(sem unidade)",G291),"")</f>
        <v/>
      </c>
      <c r="BE291" s="96" t="str">
        <f>IF(Z291=1,COUNTIF($Z$6:Z291,1),"")</f>
        <v/>
      </c>
      <c r="BF291" s="96" t="str">
        <f>IF(T291="","",IF(T291="RECEBIMENTO NÃO CONFIRMADO","Transp.: "&amp;H291&amp;" | Dest.: "&amp;I291,IF(OR(T291="CDF NÃO LOCALIZADO",T291="VÍNCULO INCOMPLETO",T291="CDF A CONFERIR"),"Dest.: "&amp;I291,"Gerador: "&amp;G291)))</f>
        <v/>
      </c>
    </row>
    <row r="292">
      <c r="A292" s="89" t="inlineStr">
        <is>
          <t>MTR-000287</t>
        </is>
      </c>
      <c r="B292" s="90" t="n"/>
      <c r="C292" s="91" t="n"/>
      <c r="D292" s="91" t="n"/>
      <c r="E292" s="92" t="n"/>
      <c r="F292" s="92" t="n"/>
      <c r="G292" s="91" t="n"/>
      <c r="H292" s="91" t="n"/>
      <c r="I292" s="91" t="n"/>
      <c r="J292" s="91" t="n"/>
      <c r="K292" s="91" t="n"/>
      <c r="L292" s="92" t="n"/>
      <c r="M292" s="91" t="n"/>
      <c r="N292" s="91" t="n"/>
      <c r="O292" s="91" t="n"/>
      <c r="P292" s="93" t="str">
        <f>IF(Z292=0,"",SUMIFS('ITENS_MTR'!$I$6:$I$1005,'ITENS_MTR'!$S$6:$S$1005,A292,'ITENS_MTR'!$Y$6:$Y$1005,1))</f>
        <v/>
      </c>
      <c r="Q292" s="93" t="str">
        <f>IF(Z292=0,"",SUMIFS('RECEBIMENTOS'!$H$6:$H$1005,'RECEBIMENTOS'!$B$6:$B$1005,A292,'RECEBIMENTOS'!$X$6:$X$1005,1))</f>
        <v/>
      </c>
      <c r="R292" s="93" t="str">
        <f>IF(Z292=0,"",SUMIFS('VÍNCULOS_CDF'!$H$6:$H$1005,'VÍNCULOS_CDF'!$D$6:$D$1005,A292,'VÍNCULOS_CDF'!$V$6:$V$1005,1))</f>
        <v/>
      </c>
      <c r="S292" s="94" t="str">
        <f>IF(Z292=0,"",IF(AA292=1,"Cancelado (informado)",IF(AE292=1,"Cadastro incompleto",IF(OR(AC292=1,AD292=1,AF292&gt;0,AH292&gt;0,AK292&gt;0,AL292&gt;0),"Informação a revisar",IF(AN292=0,"Aguardando recebimento",IF(N(R292)=0,"Aguardando CDF",IF(AJ292&lt;N(W292),"Vínculo de CDF parcial",IF(AO292=0,"CDF localizado, a conferir","Documentação conferida"))))))))</f>
        <v/>
      </c>
      <c r="T292" s="94" t="str">
        <f>IF(Z292=0,"",IF(S292="Cadastro incompleto","MTR INCOMPLETO",IF(S292="Informação a revisar",IF(AND(AH292&gt;0,AC292=0,AD292=0,AF292=0,AK292=0,AL292=0),"QUANTIDADE A REVISAR","IDENTIFICAÇÃO A REVISAR"),IF(S292="Aguardando recebimento","RECEBIMENTO NÃO CONFIRMADO",IF(S292="Aguardando CDF","CDF NÃO LOCALIZADO",IF(S292="Vínculo de CDF parcial","VÍNCULO INCOMPLETO",IF(S292="CDF localizado, a conferir","CDF A CONFERIR","")))))))</f>
        <v/>
      </c>
      <c r="U292" s="95" t="str">
        <f>IF(T292="","",IF(AQ292="","Não calculável",IF(AQ292&gt;TODAY(),"Data futura",TODAY()-AQ292)))</f>
        <v/>
      </c>
      <c r="V292" s="93" t="str">
        <f>IF(Z292=0,"",SUMIFS('RECEBIMENTOS'!$H$6:$H$1005,'RECEBIMENTOS'!$B$6:$B$1005,A292,'RECEBIMENTOS'!$Z$6:$Z$1005,1))</f>
        <v/>
      </c>
      <c r="W292" s="95" t="str">
        <f>IF(Z292=0,"",COUNTIFS('ITENS_MTR'!$S$6:$S$1005,A292,'ITENS_MTR'!$R$6:$R$1005,1))</f>
        <v/>
      </c>
      <c r="X292" s="94" t="str">
        <f>IF(AC292=1,"POSSÍVEL DUPLICIDADE","")</f>
        <v/>
      </c>
      <c r="Y292" s="94" t="str">
        <f>IF(Z292=0,"",IF(AW292="","Nenhuma",LEFT(AW292,LEN(AW292)-2)))</f>
        <v/>
      </c>
      <c r="Z292" s="96">
        <f>IF(COUNTA(B292:O292)&gt;0,1,0)</f>
        <v>0</v>
      </c>
      <c r="AA292" s="96">
        <f>IF(AND(Z292=1,K292&lt;&gt;""),IF(TRIM(K292)=TRIM(cfg_cancel),1,0),0)</f>
        <v>0</v>
      </c>
      <c r="AB292" s="96" t="str">
        <f>IF(AND(Z292=1,B292&lt;&gt;""),C292&amp;"|"&amp;D292&amp;"|"&amp;G292&amp;"|"&amp;TRIM(B292),"")</f>
        <v/>
      </c>
      <c r="AC292" s="96">
        <f>IF(AB292="",0,IF(SUMPRODUCT(--($AB$6:$AB$505=AB292))&gt;1,1,0))</f>
        <v>0</v>
      </c>
      <c r="AD292" s="96">
        <f>IF(Z292=0,0,IF(OR(AND(G292&lt;&gt;"",ISNA(MATCH(G292,'CAD_UNIDADES'!$C$6:$C$105,0))),AND(H292&lt;&gt;"",ISNA(MATCH(H292,cmp_transp,0))),AND(I292&lt;&gt;"",ISNA(MATCH(I292,cmp_dest,0))),AND(E292&lt;&gt;"",NOT(ISNUMBER(E292))),AND(F292&lt;&gt;"",NOT(ISNUMBER(F292))),AND(ISNUMBER(E292),ISNUMBER(F292),F292&lt;E292)),1,0))</f>
        <v>0</v>
      </c>
      <c r="AE292" s="96">
        <f>IF(Z292=0,0,IF(OR(B292="",C292="",E292="",G292="",H292="",I292="",N(W292)=0),1,0))</f>
        <v>0</v>
      </c>
      <c r="AF292" s="96">
        <f>IF(Z292=0,0,COUNTIFS('ITENS_MTR'!$S$6:$S$1005,A292,'ITENS_MTR'!$AI$6:$AI$1005,1))</f>
        <v>0</v>
      </c>
      <c r="AG292" s="96">
        <f>IF(Z292=0,0,COUNTIFS('ITENS_MTR'!$S$6:$S$1005,A292,'ITENS_MTR'!$AJ$6:$AJ$1005,1))</f>
        <v>0</v>
      </c>
      <c r="AH292" s="96">
        <f>IF(Z292=0,0,COUNTIFS('ITENS_MTR'!$S$6:$S$1005,A292,'ITENS_MTR'!$AM$6:$AM$1005,1))</f>
        <v>0</v>
      </c>
      <c r="AI292" s="96">
        <f>IF(Z292=0,0,COUNTIFS('ITENS_MTR'!$S$6:$S$1005,A292,'ITENS_MTR'!$AO$6:$AO$1005,1))</f>
        <v>0</v>
      </c>
      <c r="AJ292" s="96">
        <f>IF(Z292=0,0,COUNTIFS('ITENS_MTR'!$S$6:$S$1005,A292,'ITENS_MTR'!$AN$6:$AN$1005,1))</f>
        <v>0</v>
      </c>
      <c r="AK292" s="96">
        <f>IF(Z292=0,0,COUNTIFS('RECEBIMENTOS'!$B$6:$B$1005,A292,'RECEBIMENTOS'!$Y$6:$Y$1005,1))</f>
        <v>0</v>
      </c>
      <c r="AL292" s="96">
        <f>IF(Z292=0,0,COUNTIFS('VÍNCULOS_CDF'!$D$6:$D$1005,A292,'VÍNCULOS_CDF'!$Y$6:$Y$1005,1))</f>
        <v>0</v>
      </c>
      <c r="AM292" s="96">
        <f>IF(Z292=0,0,COUNTIFS('RECEBIMENTOS'!$B$6:$B$1005,A292,'RECEBIMENTOS'!$Q$6:$Q$1005,1))</f>
        <v>0</v>
      </c>
      <c r="AN292" s="96">
        <f>IF(AND(Z292=1,N(W292)&gt;0,AG292=N(W292)),1,0)</f>
        <v>0</v>
      </c>
      <c r="AO292" s="96">
        <f>IF(AND(Z292=1,N(W292)&gt;0,AI292=N(W292)),1,0)</f>
        <v>0</v>
      </c>
      <c r="AP292" s="97">
        <f>IF(Z292=0,0,_xlfn.MAXIFS('RECEBIMENTOS'!$E$6:$E$1005,'RECEBIMENTOS'!$B$6:$B$1005,A292))</f>
        <v>0</v>
      </c>
      <c r="AQ292" s="97" t="str">
        <f>IF(T292="","",IF(T292="RECEBIMENTO NÃO CONFIRMADO",IF(ISNUMBER(F292),F292,IF(ISNUMBER(E292),E292,"")),IF(OR(T292="CDF NÃO LOCALIZADO",T292="VÍNCULO INCOMPLETO",T292="CDF A CONFERIR"),IF(AP292&gt;0,AP292,IF(ISNUMBER(E292),E292,"")),IF(ISNUMBER(E292),E292,""))))</f>
        <v/>
      </c>
      <c r="AR292" s="96">
        <f>IF(NOT(ISNUMBER(U292)),0,IF(T292="RECEBIMENTO NÃO CONFIRMADO",IF(AND(ISNUMBER(cfg_rec),U292&gt;cfg_rec),1,0),IF(OR(T292="CDF NÃO LOCALIZADO",T292="VÍNCULO INCOMPLETO",T292="CDF A CONFERIR"),IF(AND(ISNUMBER(cfg_cdf),U292&gt;cfg_cdf),1,0),0)))</f>
        <v>0</v>
      </c>
      <c r="AS292" s="96" t="str">
        <f>IF(T292="","",IF(AR292=1,"Alta",IFERROR(INDEX(cfg_pp,MATCH(T292,cfg_pt,0))&amp;"","Média")))</f>
        <v/>
      </c>
      <c r="AT292" s="96" t="str">
        <f>IF(T292="","",IFERROR(INDEX(cfg_pv,MATCH(T292,cfg_pt,0))&amp;"",""))</f>
        <v/>
      </c>
      <c r="AU292" s="96" t="str">
        <f>IF(T292="","",IF(AS292="Alta",1,IF(AS292="Média",2,3))*1000000000+(999999-IF(ISNUMBER(U292),MIN(U292,999999),0))*1000+287)</f>
        <v/>
      </c>
      <c r="AV292" s="96">
        <f>IF(T292&lt;&gt;"",1,0)</f>
        <v>0</v>
      </c>
      <c r="AW292" s="96" t="str">
        <f>IF(Z292=0,"",IF(AA292=1,"Cancelamento informado; ","")&amp;IF(AE292=1,"Campos essenciais ou itens faltando; ","")&amp;IF(AC292=1,"Possível duplicidade do número; ","")&amp;IF(AD292=1,"Cadastro ou datas a revisar; ","")&amp;IF(AF292&gt;0,"Item de resíduo com dado a revisar; ","")&amp;IF(AH292&gt;0,"Diferença de quantidade a analisar; ","")&amp;IF(AK292&gt;0,"Recebimento com alerta; ","")&amp;IF(AL292&gt;0,"Vínculo de CDF com alerta; ","")&amp;IF(AND(AA292=0,AN292=0),"Recebimento não confirmado; ","")&amp;IF(AND(AA292=0,AN292=1,AO292=0),"CDF pendente ou a conferir; ",""))</f>
        <v/>
      </c>
      <c r="AX292" s="96">
        <f>IF(Z292=0,0,IF(AND(OR(f_ini="",AND(ISNUMBER(E292),E292&gt;=f_ini)),OR(f_fim="",AND(ISNUMBER(E292),E292&lt;=f_fim)),OR(f_un="",f_un="(Todas)",G292=f_un),OR(f_tr="",f_tr="(Todos)",H292=f_tr),OR(f_de="",f_de="(Todos)",I292=f_de),OR(f_sit="",f_sit="(Todas)",S292=f_sit)),1,0))</f>
        <v>0</v>
      </c>
      <c r="AY292" s="96">
        <f>IF(AX292=0,0,IF(OR(f_res="",f_res="(Todos)"),1,IF(COUNTIFS('ITENS_MTR'!$S$6:$S$1005,A292,'ITENS_MTR'!$C$6:$C$1005,f_res)&gt;0,1,0)))</f>
        <v>0</v>
      </c>
      <c r="AZ292" s="97" t="str">
        <f>IF(ISNUMBER(E292),DATE(YEAR(E292),MONTH(E292),1),"")</f>
        <v/>
      </c>
      <c r="BA292" s="96">
        <f>IF(Z292=0,0,IF(AND(OR(r_ini="",AND(ISNUMBER(E292),E292&gt;=r_ini)),OR(r_fim="",AND(ISNUMBER(E292),E292&lt;=r_fim)),OR(r_un="",r_un="(Todas)",G292=r_un),OR(r_de="",r_de="(Todos)",I292=r_de)),1,0))</f>
        <v>0</v>
      </c>
      <c r="BB292" s="96" t="str">
        <f>IF(BA292=1,COUNTIF($BA$6:BA292,1),"")</f>
        <v/>
      </c>
      <c r="BC292" s="96" t="str">
        <f>IF(AND(AU292&lt;&gt;"",OR(r_un="",r_un="(Todas)",G292=r_un),OR(r_de="",r_de="(Todos)",I292=r_de)),AU292,"")</f>
        <v/>
      </c>
      <c r="BD292" s="96" t="str">
        <f>IF(Z292=1,A292&amp;" | nº "&amp;IF(B292="","(sem número)",B292)&amp;" | "&amp;IF(G292="","(sem unidade)",G292),"")</f>
        <v/>
      </c>
      <c r="BE292" s="96" t="str">
        <f>IF(Z292=1,COUNTIF($Z$6:Z292,1),"")</f>
        <v/>
      </c>
      <c r="BF292" s="96" t="str">
        <f>IF(T292="","",IF(T292="RECEBIMENTO NÃO CONFIRMADO","Transp.: "&amp;H292&amp;" | Dest.: "&amp;I292,IF(OR(T292="CDF NÃO LOCALIZADO",T292="VÍNCULO INCOMPLETO",T292="CDF A CONFERIR"),"Dest.: "&amp;I292,"Gerador: "&amp;G292)))</f>
        <v/>
      </c>
    </row>
    <row r="293">
      <c r="A293" s="89" t="inlineStr">
        <is>
          <t>MTR-000288</t>
        </is>
      </c>
      <c r="B293" s="90" t="n"/>
      <c r="C293" s="91" t="n"/>
      <c r="D293" s="91" t="n"/>
      <c r="E293" s="92" t="n"/>
      <c r="F293" s="92" t="n"/>
      <c r="G293" s="91" t="n"/>
      <c r="H293" s="91" t="n"/>
      <c r="I293" s="91" t="n"/>
      <c r="J293" s="91" t="n"/>
      <c r="K293" s="91" t="n"/>
      <c r="L293" s="92" t="n"/>
      <c r="M293" s="91" t="n"/>
      <c r="N293" s="91" t="n"/>
      <c r="O293" s="91" t="n"/>
      <c r="P293" s="93" t="str">
        <f>IF(Z293=0,"",SUMIFS('ITENS_MTR'!$I$6:$I$1005,'ITENS_MTR'!$S$6:$S$1005,A293,'ITENS_MTR'!$Y$6:$Y$1005,1))</f>
        <v/>
      </c>
      <c r="Q293" s="93" t="str">
        <f>IF(Z293=0,"",SUMIFS('RECEBIMENTOS'!$H$6:$H$1005,'RECEBIMENTOS'!$B$6:$B$1005,A293,'RECEBIMENTOS'!$X$6:$X$1005,1))</f>
        <v/>
      </c>
      <c r="R293" s="93" t="str">
        <f>IF(Z293=0,"",SUMIFS('VÍNCULOS_CDF'!$H$6:$H$1005,'VÍNCULOS_CDF'!$D$6:$D$1005,A293,'VÍNCULOS_CDF'!$V$6:$V$1005,1))</f>
        <v/>
      </c>
      <c r="S293" s="94" t="str">
        <f>IF(Z293=0,"",IF(AA293=1,"Cancelado (informado)",IF(AE293=1,"Cadastro incompleto",IF(OR(AC293=1,AD293=1,AF293&gt;0,AH293&gt;0,AK293&gt;0,AL293&gt;0),"Informação a revisar",IF(AN293=0,"Aguardando recebimento",IF(N(R293)=0,"Aguardando CDF",IF(AJ293&lt;N(W293),"Vínculo de CDF parcial",IF(AO293=0,"CDF localizado, a conferir","Documentação conferida"))))))))</f>
        <v/>
      </c>
      <c r="T293" s="94" t="str">
        <f>IF(Z293=0,"",IF(S293="Cadastro incompleto","MTR INCOMPLETO",IF(S293="Informação a revisar",IF(AND(AH293&gt;0,AC293=0,AD293=0,AF293=0,AK293=0,AL293=0),"QUANTIDADE A REVISAR","IDENTIFICAÇÃO A REVISAR"),IF(S293="Aguardando recebimento","RECEBIMENTO NÃO CONFIRMADO",IF(S293="Aguardando CDF","CDF NÃO LOCALIZADO",IF(S293="Vínculo de CDF parcial","VÍNCULO INCOMPLETO",IF(S293="CDF localizado, a conferir","CDF A CONFERIR","")))))))</f>
        <v/>
      </c>
      <c r="U293" s="95" t="str">
        <f>IF(T293="","",IF(AQ293="","Não calculável",IF(AQ293&gt;TODAY(),"Data futura",TODAY()-AQ293)))</f>
        <v/>
      </c>
      <c r="V293" s="93" t="str">
        <f>IF(Z293=0,"",SUMIFS('RECEBIMENTOS'!$H$6:$H$1005,'RECEBIMENTOS'!$B$6:$B$1005,A293,'RECEBIMENTOS'!$Z$6:$Z$1005,1))</f>
        <v/>
      </c>
      <c r="W293" s="95" t="str">
        <f>IF(Z293=0,"",COUNTIFS('ITENS_MTR'!$S$6:$S$1005,A293,'ITENS_MTR'!$R$6:$R$1005,1))</f>
        <v/>
      </c>
      <c r="X293" s="94" t="str">
        <f>IF(AC293=1,"POSSÍVEL DUPLICIDADE","")</f>
        <v/>
      </c>
      <c r="Y293" s="94" t="str">
        <f>IF(Z293=0,"",IF(AW293="","Nenhuma",LEFT(AW293,LEN(AW293)-2)))</f>
        <v/>
      </c>
      <c r="Z293" s="96">
        <f>IF(COUNTA(B293:O293)&gt;0,1,0)</f>
        <v>0</v>
      </c>
      <c r="AA293" s="96">
        <f>IF(AND(Z293=1,K293&lt;&gt;""),IF(TRIM(K293)=TRIM(cfg_cancel),1,0),0)</f>
        <v>0</v>
      </c>
      <c r="AB293" s="96" t="str">
        <f>IF(AND(Z293=1,B293&lt;&gt;""),C293&amp;"|"&amp;D293&amp;"|"&amp;G293&amp;"|"&amp;TRIM(B293),"")</f>
        <v/>
      </c>
      <c r="AC293" s="96">
        <f>IF(AB293="",0,IF(SUMPRODUCT(--($AB$6:$AB$505=AB293))&gt;1,1,0))</f>
        <v>0</v>
      </c>
      <c r="AD293" s="96">
        <f>IF(Z293=0,0,IF(OR(AND(G293&lt;&gt;"",ISNA(MATCH(G293,'CAD_UNIDADES'!$C$6:$C$105,0))),AND(H293&lt;&gt;"",ISNA(MATCH(H293,cmp_transp,0))),AND(I293&lt;&gt;"",ISNA(MATCH(I293,cmp_dest,0))),AND(E293&lt;&gt;"",NOT(ISNUMBER(E293))),AND(F293&lt;&gt;"",NOT(ISNUMBER(F293))),AND(ISNUMBER(E293),ISNUMBER(F293),F293&lt;E293)),1,0))</f>
        <v>0</v>
      </c>
      <c r="AE293" s="96">
        <f>IF(Z293=0,0,IF(OR(B293="",C293="",E293="",G293="",H293="",I293="",N(W293)=0),1,0))</f>
        <v>0</v>
      </c>
      <c r="AF293" s="96">
        <f>IF(Z293=0,0,COUNTIFS('ITENS_MTR'!$S$6:$S$1005,A293,'ITENS_MTR'!$AI$6:$AI$1005,1))</f>
        <v>0</v>
      </c>
      <c r="AG293" s="96">
        <f>IF(Z293=0,0,COUNTIFS('ITENS_MTR'!$S$6:$S$1005,A293,'ITENS_MTR'!$AJ$6:$AJ$1005,1))</f>
        <v>0</v>
      </c>
      <c r="AH293" s="96">
        <f>IF(Z293=0,0,COUNTIFS('ITENS_MTR'!$S$6:$S$1005,A293,'ITENS_MTR'!$AM$6:$AM$1005,1))</f>
        <v>0</v>
      </c>
      <c r="AI293" s="96">
        <f>IF(Z293=0,0,COUNTIFS('ITENS_MTR'!$S$6:$S$1005,A293,'ITENS_MTR'!$AO$6:$AO$1005,1))</f>
        <v>0</v>
      </c>
      <c r="AJ293" s="96">
        <f>IF(Z293=0,0,COUNTIFS('ITENS_MTR'!$S$6:$S$1005,A293,'ITENS_MTR'!$AN$6:$AN$1005,1))</f>
        <v>0</v>
      </c>
      <c r="AK293" s="96">
        <f>IF(Z293=0,0,COUNTIFS('RECEBIMENTOS'!$B$6:$B$1005,A293,'RECEBIMENTOS'!$Y$6:$Y$1005,1))</f>
        <v>0</v>
      </c>
      <c r="AL293" s="96">
        <f>IF(Z293=0,0,COUNTIFS('VÍNCULOS_CDF'!$D$6:$D$1005,A293,'VÍNCULOS_CDF'!$Y$6:$Y$1005,1))</f>
        <v>0</v>
      </c>
      <c r="AM293" s="96">
        <f>IF(Z293=0,0,COUNTIFS('RECEBIMENTOS'!$B$6:$B$1005,A293,'RECEBIMENTOS'!$Q$6:$Q$1005,1))</f>
        <v>0</v>
      </c>
      <c r="AN293" s="96">
        <f>IF(AND(Z293=1,N(W293)&gt;0,AG293=N(W293)),1,0)</f>
        <v>0</v>
      </c>
      <c r="AO293" s="96">
        <f>IF(AND(Z293=1,N(W293)&gt;0,AI293=N(W293)),1,0)</f>
        <v>0</v>
      </c>
      <c r="AP293" s="97">
        <f>IF(Z293=0,0,_xlfn.MAXIFS('RECEBIMENTOS'!$E$6:$E$1005,'RECEBIMENTOS'!$B$6:$B$1005,A293))</f>
        <v>0</v>
      </c>
      <c r="AQ293" s="97" t="str">
        <f>IF(T293="","",IF(T293="RECEBIMENTO NÃO CONFIRMADO",IF(ISNUMBER(F293),F293,IF(ISNUMBER(E293),E293,"")),IF(OR(T293="CDF NÃO LOCALIZADO",T293="VÍNCULO INCOMPLETO",T293="CDF A CONFERIR"),IF(AP293&gt;0,AP293,IF(ISNUMBER(E293),E293,"")),IF(ISNUMBER(E293),E293,""))))</f>
        <v/>
      </c>
      <c r="AR293" s="96">
        <f>IF(NOT(ISNUMBER(U293)),0,IF(T293="RECEBIMENTO NÃO CONFIRMADO",IF(AND(ISNUMBER(cfg_rec),U293&gt;cfg_rec),1,0),IF(OR(T293="CDF NÃO LOCALIZADO",T293="VÍNCULO INCOMPLETO",T293="CDF A CONFERIR"),IF(AND(ISNUMBER(cfg_cdf),U293&gt;cfg_cdf),1,0),0)))</f>
        <v>0</v>
      </c>
      <c r="AS293" s="96" t="str">
        <f>IF(T293="","",IF(AR293=1,"Alta",IFERROR(INDEX(cfg_pp,MATCH(T293,cfg_pt,0))&amp;"","Média")))</f>
        <v/>
      </c>
      <c r="AT293" s="96" t="str">
        <f>IF(T293="","",IFERROR(INDEX(cfg_pv,MATCH(T293,cfg_pt,0))&amp;"",""))</f>
        <v/>
      </c>
      <c r="AU293" s="96" t="str">
        <f>IF(T293="","",IF(AS293="Alta",1,IF(AS293="Média",2,3))*1000000000+(999999-IF(ISNUMBER(U293),MIN(U293,999999),0))*1000+288)</f>
        <v/>
      </c>
      <c r="AV293" s="96">
        <f>IF(T293&lt;&gt;"",1,0)</f>
        <v>0</v>
      </c>
      <c r="AW293" s="96" t="str">
        <f>IF(Z293=0,"",IF(AA293=1,"Cancelamento informado; ","")&amp;IF(AE293=1,"Campos essenciais ou itens faltando; ","")&amp;IF(AC293=1,"Possível duplicidade do número; ","")&amp;IF(AD293=1,"Cadastro ou datas a revisar; ","")&amp;IF(AF293&gt;0,"Item de resíduo com dado a revisar; ","")&amp;IF(AH293&gt;0,"Diferença de quantidade a analisar; ","")&amp;IF(AK293&gt;0,"Recebimento com alerta; ","")&amp;IF(AL293&gt;0,"Vínculo de CDF com alerta; ","")&amp;IF(AND(AA293=0,AN293=0),"Recebimento não confirmado; ","")&amp;IF(AND(AA293=0,AN293=1,AO293=0),"CDF pendente ou a conferir; ",""))</f>
        <v/>
      </c>
      <c r="AX293" s="96">
        <f>IF(Z293=0,0,IF(AND(OR(f_ini="",AND(ISNUMBER(E293),E293&gt;=f_ini)),OR(f_fim="",AND(ISNUMBER(E293),E293&lt;=f_fim)),OR(f_un="",f_un="(Todas)",G293=f_un),OR(f_tr="",f_tr="(Todos)",H293=f_tr),OR(f_de="",f_de="(Todos)",I293=f_de),OR(f_sit="",f_sit="(Todas)",S293=f_sit)),1,0))</f>
        <v>0</v>
      </c>
      <c r="AY293" s="96">
        <f>IF(AX293=0,0,IF(OR(f_res="",f_res="(Todos)"),1,IF(COUNTIFS('ITENS_MTR'!$S$6:$S$1005,A293,'ITENS_MTR'!$C$6:$C$1005,f_res)&gt;0,1,0)))</f>
        <v>0</v>
      </c>
      <c r="AZ293" s="97" t="str">
        <f>IF(ISNUMBER(E293),DATE(YEAR(E293),MONTH(E293),1),"")</f>
        <v/>
      </c>
      <c r="BA293" s="96">
        <f>IF(Z293=0,0,IF(AND(OR(r_ini="",AND(ISNUMBER(E293),E293&gt;=r_ini)),OR(r_fim="",AND(ISNUMBER(E293),E293&lt;=r_fim)),OR(r_un="",r_un="(Todas)",G293=r_un),OR(r_de="",r_de="(Todos)",I293=r_de)),1,0))</f>
        <v>0</v>
      </c>
      <c r="BB293" s="96" t="str">
        <f>IF(BA293=1,COUNTIF($BA$6:BA293,1),"")</f>
        <v/>
      </c>
      <c r="BC293" s="96" t="str">
        <f>IF(AND(AU293&lt;&gt;"",OR(r_un="",r_un="(Todas)",G293=r_un),OR(r_de="",r_de="(Todos)",I293=r_de)),AU293,"")</f>
        <v/>
      </c>
      <c r="BD293" s="96" t="str">
        <f>IF(Z293=1,A293&amp;" | nº "&amp;IF(B293="","(sem número)",B293)&amp;" | "&amp;IF(G293="","(sem unidade)",G293),"")</f>
        <v/>
      </c>
      <c r="BE293" s="96" t="str">
        <f>IF(Z293=1,COUNTIF($Z$6:Z293,1),"")</f>
        <v/>
      </c>
      <c r="BF293" s="96" t="str">
        <f>IF(T293="","",IF(T293="RECEBIMENTO NÃO CONFIRMADO","Transp.: "&amp;H293&amp;" | Dest.: "&amp;I293,IF(OR(T293="CDF NÃO LOCALIZADO",T293="VÍNCULO INCOMPLETO",T293="CDF A CONFERIR"),"Dest.: "&amp;I293,"Gerador: "&amp;G293)))</f>
        <v/>
      </c>
    </row>
    <row r="294">
      <c r="A294" s="89" t="inlineStr">
        <is>
          <t>MTR-000289</t>
        </is>
      </c>
      <c r="B294" s="90" t="n"/>
      <c r="C294" s="91" t="n"/>
      <c r="D294" s="91" t="n"/>
      <c r="E294" s="92" t="n"/>
      <c r="F294" s="92" t="n"/>
      <c r="G294" s="91" t="n"/>
      <c r="H294" s="91" t="n"/>
      <c r="I294" s="91" t="n"/>
      <c r="J294" s="91" t="n"/>
      <c r="K294" s="91" t="n"/>
      <c r="L294" s="92" t="n"/>
      <c r="M294" s="91" t="n"/>
      <c r="N294" s="91" t="n"/>
      <c r="O294" s="91" t="n"/>
      <c r="P294" s="93" t="str">
        <f>IF(Z294=0,"",SUMIFS('ITENS_MTR'!$I$6:$I$1005,'ITENS_MTR'!$S$6:$S$1005,A294,'ITENS_MTR'!$Y$6:$Y$1005,1))</f>
        <v/>
      </c>
      <c r="Q294" s="93" t="str">
        <f>IF(Z294=0,"",SUMIFS('RECEBIMENTOS'!$H$6:$H$1005,'RECEBIMENTOS'!$B$6:$B$1005,A294,'RECEBIMENTOS'!$X$6:$X$1005,1))</f>
        <v/>
      </c>
      <c r="R294" s="93" t="str">
        <f>IF(Z294=0,"",SUMIFS('VÍNCULOS_CDF'!$H$6:$H$1005,'VÍNCULOS_CDF'!$D$6:$D$1005,A294,'VÍNCULOS_CDF'!$V$6:$V$1005,1))</f>
        <v/>
      </c>
      <c r="S294" s="94" t="str">
        <f>IF(Z294=0,"",IF(AA294=1,"Cancelado (informado)",IF(AE294=1,"Cadastro incompleto",IF(OR(AC294=1,AD294=1,AF294&gt;0,AH294&gt;0,AK294&gt;0,AL294&gt;0),"Informação a revisar",IF(AN294=0,"Aguardando recebimento",IF(N(R294)=0,"Aguardando CDF",IF(AJ294&lt;N(W294),"Vínculo de CDF parcial",IF(AO294=0,"CDF localizado, a conferir","Documentação conferida"))))))))</f>
        <v/>
      </c>
      <c r="T294" s="94" t="str">
        <f>IF(Z294=0,"",IF(S294="Cadastro incompleto","MTR INCOMPLETO",IF(S294="Informação a revisar",IF(AND(AH294&gt;0,AC294=0,AD294=0,AF294=0,AK294=0,AL294=0),"QUANTIDADE A REVISAR","IDENTIFICAÇÃO A REVISAR"),IF(S294="Aguardando recebimento","RECEBIMENTO NÃO CONFIRMADO",IF(S294="Aguardando CDF","CDF NÃO LOCALIZADO",IF(S294="Vínculo de CDF parcial","VÍNCULO INCOMPLETO",IF(S294="CDF localizado, a conferir","CDF A CONFERIR","")))))))</f>
        <v/>
      </c>
      <c r="U294" s="95" t="str">
        <f>IF(T294="","",IF(AQ294="","Não calculável",IF(AQ294&gt;TODAY(),"Data futura",TODAY()-AQ294)))</f>
        <v/>
      </c>
      <c r="V294" s="93" t="str">
        <f>IF(Z294=0,"",SUMIFS('RECEBIMENTOS'!$H$6:$H$1005,'RECEBIMENTOS'!$B$6:$B$1005,A294,'RECEBIMENTOS'!$Z$6:$Z$1005,1))</f>
        <v/>
      </c>
      <c r="W294" s="95" t="str">
        <f>IF(Z294=0,"",COUNTIFS('ITENS_MTR'!$S$6:$S$1005,A294,'ITENS_MTR'!$R$6:$R$1005,1))</f>
        <v/>
      </c>
      <c r="X294" s="94" t="str">
        <f>IF(AC294=1,"POSSÍVEL DUPLICIDADE","")</f>
        <v/>
      </c>
      <c r="Y294" s="94" t="str">
        <f>IF(Z294=0,"",IF(AW294="","Nenhuma",LEFT(AW294,LEN(AW294)-2)))</f>
        <v/>
      </c>
      <c r="Z294" s="96">
        <f>IF(COUNTA(B294:O294)&gt;0,1,0)</f>
        <v>0</v>
      </c>
      <c r="AA294" s="96">
        <f>IF(AND(Z294=1,K294&lt;&gt;""),IF(TRIM(K294)=TRIM(cfg_cancel),1,0),0)</f>
        <v>0</v>
      </c>
      <c r="AB294" s="96" t="str">
        <f>IF(AND(Z294=1,B294&lt;&gt;""),C294&amp;"|"&amp;D294&amp;"|"&amp;G294&amp;"|"&amp;TRIM(B294),"")</f>
        <v/>
      </c>
      <c r="AC294" s="96">
        <f>IF(AB294="",0,IF(SUMPRODUCT(--($AB$6:$AB$505=AB294))&gt;1,1,0))</f>
        <v>0</v>
      </c>
      <c r="AD294" s="96">
        <f>IF(Z294=0,0,IF(OR(AND(G294&lt;&gt;"",ISNA(MATCH(G294,'CAD_UNIDADES'!$C$6:$C$105,0))),AND(H294&lt;&gt;"",ISNA(MATCH(H294,cmp_transp,0))),AND(I294&lt;&gt;"",ISNA(MATCH(I294,cmp_dest,0))),AND(E294&lt;&gt;"",NOT(ISNUMBER(E294))),AND(F294&lt;&gt;"",NOT(ISNUMBER(F294))),AND(ISNUMBER(E294),ISNUMBER(F294),F294&lt;E294)),1,0))</f>
        <v>0</v>
      </c>
      <c r="AE294" s="96">
        <f>IF(Z294=0,0,IF(OR(B294="",C294="",E294="",G294="",H294="",I294="",N(W294)=0),1,0))</f>
        <v>0</v>
      </c>
      <c r="AF294" s="96">
        <f>IF(Z294=0,0,COUNTIFS('ITENS_MTR'!$S$6:$S$1005,A294,'ITENS_MTR'!$AI$6:$AI$1005,1))</f>
        <v>0</v>
      </c>
      <c r="AG294" s="96">
        <f>IF(Z294=0,0,COUNTIFS('ITENS_MTR'!$S$6:$S$1005,A294,'ITENS_MTR'!$AJ$6:$AJ$1005,1))</f>
        <v>0</v>
      </c>
      <c r="AH294" s="96">
        <f>IF(Z294=0,0,COUNTIFS('ITENS_MTR'!$S$6:$S$1005,A294,'ITENS_MTR'!$AM$6:$AM$1005,1))</f>
        <v>0</v>
      </c>
      <c r="AI294" s="96">
        <f>IF(Z294=0,0,COUNTIFS('ITENS_MTR'!$S$6:$S$1005,A294,'ITENS_MTR'!$AO$6:$AO$1005,1))</f>
        <v>0</v>
      </c>
      <c r="AJ294" s="96">
        <f>IF(Z294=0,0,COUNTIFS('ITENS_MTR'!$S$6:$S$1005,A294,'ITENS_MTR'!$AN$6:$AN$1005,1))</f>
        <v>0</v>
      </c>
      <c r="AK294" s="96">
        <f>IF(Z294=0,0,COUNTIFS('RECEBIMENTOS'!$B$6:$B$1005,A294,'RECEBIMENTOS'!$Y$6:$Y$1005,1))</f>
        <v>0</v>
      </c>
      <c r="AL294" s="96">
        <f>IF(Z294=0,0,COUNTIFS('VÍNCULOS_CDF'!$D$6:$D$1005,A294,'VÍNCULOS_CDF'!$Y$6:$Y$1005,1))</f>
        <v>0</v>
      </c>
      <c r="AM294" s="96">
        <f>IF(Z294=0,0,COUNTIFS('RECEBIMENTOS'!$B$6:$B$1005,A294,'RECEBIMENTOS'!$Q$6:$Q$1005,1))</f>
        <v>0</v>
      </c>
      <c r="AN294" s="96">
        <f>IF(AND(Z294=1,N(W294)&gt;0,AG294=N(W294)),1,0)</f>
        <v>0</v>
      </c>
      <c r="AO294" s="96">
        <f>IF(AND(Z294=1,N(W294)&gt;0,AI294=N(W294)),1,0)</f>
        <v>0</v>
      </c>
      <c r="AP294" s="97">
        <f>IF(Z294=0,0,_xlfn.MAXIFS('RECEBIMENTOS'!$E$6:$E$1005,'RECEBIMENTOS'!$B$6:$B$1005,A294))</f>
        <v>0</v>
      </c>
      <c r="AQ294" s="97" t="str">
        <f>IF(T294="","",IF(T294="RECEBIMENTO NÃO CONFIRMADO",IF(ISNUMBER(F294),F294,IF(ISNUMBER(E294),E294,"")),IF(OR(T294="CDF NÃO LOCALIZADO",T294="VÍNCULO INCOMPLETO",T294="CDF A CONFERIR"),IF(AP294&gt;0,AP294,IF(ISNUMBER(E294),E294,"")),IF(ISNUMBER(E294),E294,""))))</f>
        <v/>
      </c>
      <c r="AR294" s="96">
        <f>IF(NOT(ISNUMBER(U294)),0,IF(T294="RECEBIMENTO NÃO CONFIRMADO",IF(AND(ISNUMBER(cfg_rec),U294&gt;cfg_rec),1,0),IF(OR(T294="CDF NÃO LOCALIZADO",T294="VÍNCULO INCOMPLETO",T294="CDF A CONFERIR"),IF(AND(ISNUMBER(cfg_cdf),U294&gt;cfg_cdf),1,0),0)))</f>
        <v>0</v>
      </c>
      <c r="AS294" s="96" t="str">
        <f>IF(T294="","",IF(AR294=1,"Alta",IFERROR(INDEX(cfg_pp,MATCH(T294,cfg_pt,0))&amp;"","Média")))</f>
        <v/>
      </c>
      <c r="AT294" s="96" t="str">
        <f>IF(T294="","",IFERROR(INDEX(cfg_pv,MATCH(T294,cfg_pt,0))&amp;"",""))</f>
        <v/>
      </c>
      <c r="AU294" s="96" t="str">
        <f>IF(T294="","",IF(AS294="Alta",1,IF(AS294="Média",2,3))*1000000000+(999999-IF(ISNUMBER(U294),MIN(U294,999999),0))*1000+289)</f>
        <v/>
      </c>
      <c r="AV294" s="96">
        <f>IF(T294&lt;&gt;"",1,0)</f>
        <v>0</v>
      </c>
      <c r="AW294" s="96" t="str">
        <f>IF(Z294=0,"",IF(AA294=1,"Cancelamento informado; ","")&amp;IF(AE294=1,"Campos essenciais ou itens faltando; ","")&amp;IF(AC294=1,"Possível duplicidade do número; ","")&amp;IF(AD294=1,"Cadastro ou datas a revisar; ","")&amp;IF(AF294&gt;0,"Item de resíduo com dado a revisar; ","")&amp;IF(AH294&gt;0,"Diferença de quantidade a analisar; ","")&amp;IF(AK294&gt;0,"Recebimento com alerta; ","")&amp;IF(AL294&gt;0,"Vínculo de CDF com alerta; ","")&amp;IF(AND(AA294=0,AN294=0),"Recebimento não confirmado; ","")&amp;IF(AND(AA294=0,AN294=1,AO294=0),"CDF pendente ou a conferir; ",""))</f>
        <v/>
      </c>
      <c r="AX294" s="96">
        <f>IF(Z294=0,0,IF(AND(OR(f_ini="",AND(ISNUMBER(E294),E294&gt;=f_ini)),OR(f_fim="",AND(ISNUMBER(E294),E294&lt;=f_fim)),OR(f_un="",f_un="(Todas)",G294=f_un),OR(f_tr="",f_tr="(Todos)",H294=f_tr),OR(f_de="",f_de="(Todos)",I294=f_de),OR(f_sit="",f_sit="(Todas)",S294=f_sit)),1,0))</f>
        <v>0</v>
      </c>
      <c r="AY294" s="96">
        <f>IF(AX294=0,0,IF(OR(f_res="",f_res="(Todos)"),1,IF(COUNTIFS('ITENS_MTR'!$S$6:$S$1005,A294,'ITENS_MTR'!$C$6:$C$1005,f_res)&gt;0,1,0)))</f>
        <v>0</v>
      </c>
      <c r="AZ294" s="97" t="str">
        <f>IF(ISNUMBER(E294),DATE(YEAR(E294),MONTH(E294),1),"")</f>
        <v/>
      </c>
      <c r="BA294" s="96">
        <f>IF(Z294=0,0,IF(AND(OR(r_ini="",AND(ISNUMBER(E294),E294&gt;=r_ini)),OR(r_fim="",AND(ISNUMBER(E294),E294&lt;=r_fim)),OR(r_un="",r_un="(Todas)",G294=r_un),OR(r_de="",r_de="(Todos)",I294=r_de)),1,0))</f>
        <v>0</v>
      </c>
      <c r="BB294" s="96" t="str">
        <f>IF(BA294=1,COUNTIF($BA$6:BA294,1),"")</f>
        <v/>
      </c>
      <c r="BC294" s="96" t="str">
        <f>IF(AND(AU294&lt;&gt;"",OR(r_un="",r_un="(Todas)",G294=r_un),OR(r_de="",r_de="(Todos)",I294=r_de)),AU294,"")</f>
        <v/>
      </c>
      <c r="BD294" s="96" t="str">
        <f>IF(Z294=1,A294&amp;" | nº "&amp;IF(B294="","(sem número)",B294)&amp;" | "&amp;IF(G294="","(sem unidade)",G294),"")</f>
        <v/>
      </c>
      <c r="BE294" s="96" t="str">
        <f>IF(Z294=1,COUNTIF($Z$6:Z294,1),"")</f>
        <v/>
      </c>
      <c r="BF294" s="96" t="str">
        <f>IF(T294="","",IF(T294="RECEBIMENTO NÃO CONFIRMADO","Transp.: "&amp;H294&amp;" | Dest.: "&amp;I294,IF(OR(T294="CDF NÃO LOCALIZADO",T294="VÍNCULO INCOMPLETO",T294="CDF A CONFERIR"),"Dest.: "&amp;I294,"Gerador: "&amp;G294)))</f>
        <v/>
      </c>
    </row>
    <row r="295">
      <c r="A295" s="89" t="inlineStr">
        <is>
          <t>MTR-000290</t>
        </is>
      </c>
      <c r="B295" s="90" t="n"/>
      <c r="C295" s="91" t="n"/>
      <c r="D295" s="91" t="n"/>
      <c r="E295" s="92" t="n"/>
      <c r="F295" s="92" t="n"/>
      <c r="G295" s="91" t="n"/>
      <c r="H295" s="91" t="n"/>
      <c r="I295" s="91" t="n"/>
      <c r="J295" s="91" t="n"/>
      <c r="K295" s="91" t="n"/>
      <c r="L295" s="92" t="n"/>
      <c r="M295" s="91" t="n"/>
      <c r="N295" s="91" t="n"/>
      <c r="O295" s="91" t="n"/>
      <c r="P295" s="93" t="str">
        <f>IF(Z295=0,"",SUMIFS('ITENS_MTR'!$I$6:$I$1005,'ITENS_MTR'!$S$6:$S$1005,A295,'ITENS_MTR'!$Y$6:$Y$1005,1))</f>
        <v/>
      </c>
      <c r="Q295" s="93" t="str">
        <f>IF(Z295=0,"",SUMIFS('RECEBIMENTOS'!$H$6:$H$1005,'RECEBIMENTOS'!$B$6:$B$1005,A295,'RECEBIMENTOS'!$X$6:$X$1005,1))</f>
        <v/>
      </c>
      <c r="R295" s="93" t="str">
        <f>IF(Z295=0,"",SUMIFS('VÍNCULOS_CDF'!$H$6:$H$1005,'VÍNCULOS_CDF'!$D$6:$D$1005,A295,'VÍNCULOS_CDF'!$V$6:$V$1005,1))</f>
        <v/>
      </c>
      <c r="S295" s="94" t="str">
        <f>IF(Z295=0,"",IF(AA295=1,"Cancelado (informado)",IF(AE295=1,"Cadastro incompleto",IF(OR(AC295=1,AD295=1,AF295&gt;0,AH295&gt;0,AK295&gt;0,AL295&gt;0),"Informação a revisar",IF(AN295=0,"Aguardando recebimento",IF(N(R295)=0,"Aguardando CDF",IF(AJ295&lt;N(W295),"Vínculo de CDF parcial",IF(AO295=0,"CDF localizado, a conferir","Documentação conferida"))))))))</f>
        <v/>
      </c>
      <c r="T295" s="94" t="str">
        <f>IF(Z295=0,"",IF(S295="Cadastro incompleto","MTR INCOMPLETO",IF(S295="Informação a revisar",IF(AND(AH295&gt;0,AC295=0,AD295=0,AF295=0,AK295=0,AL295=0),"QUANTIDADE A REVISAR","IDENTIFICAÇÃO A REVISAR"),IF(S295="Aguardando recebimento","RECEBIMENTO NÃO CONFIRMADO",IF(S295="Aguardando CDF","CDF NÃO LOCALIZADO",IF(S295="Vínculo de CDF parcial","VÍNCULO INCOMPLETO",IF(S295="CDF localizado, a conferir","CDF A CONFERIR","")))))))</f>
        <v/>
      </c>
      <c r="U295" s="95" t="str">
        <f>IF(T295="","",IF(AQ295="","Não calculável",IF(AQ295&gt;TODAY(),"Data futura",TODAY()-AQ295)))</f>
        <v/>
      </c>
      <c r="V295" s="93" t="str">
        <f>IF(Z295=0,"",SUMIFS('RECEBIMENTOS'!$H$6:$H$1005,'RECEBIMENTOS'!$B$6:$B$1005,A295,'RECEBIMENTOS'!$Z$6:$Z$1005,1))</f>
        <v/>
      </c>
      <c r="W295" s="95" t="str">
        <f>IF(Z295=0,"",COUNTIFS('ITENS_MTR'!$S$6:$S$1005,A295,'ITENS_MTR'!$R$6:$R$1005,1))</f>
        <v/>
      </c>
      <c r="X295" s="94" t="str">
        <f>IF(AC295=1,"POSSÍVEL DUPLICIDADE","")</f>
        <v/>
      </c>
      <c r="Y295" s="94" t="str">
        <f>IF(Z295=0,"",IF(AW295="","Nenhuma",LEFT(AW295,LEN(AW295)-2)))</f>
        <v/>
      </c>
      <c r="Z295" s="96">
        <f>IF(COUNTA(B295:O295)&gt;0,1,0)</f>
        <v>0</v>
      </c>
      <c r="AA295" s="96">
        <f>IF(AND(Z295=1,K295&lt;&gt;""),IF(TRIM(K295)=TRIM(cfg_cancel),1,0),0)</f>
        <v>0</v>
      </c>
      <c r="AB295" s="96" t="str">
        <f>IF(AND(Z295=1,B295&lt;&gt;""),C295&amp;"|"&amp;D295&amp;"|"&amp;G295&amp;"|"&amp;TRIM(B295),"")</f>
        <v/>
      </c>
      <c r="AC295" s="96">
        <f>IF(AB295="",0,IF(SUMPRODUCT(--($AB$6:$AB$505=AB295))&gt;1,1,0))</f>
        <v>0</v>
      </c>
      <c r="AD295" s="96">
        <f>IF(Z295=0,0,IF(OR(AND(G295&lt;&gt;"",ISNA(MATCH(G295,'CAD_UNIDADES'!$C$6:$C$105,0))),AND(H295&lt;&gt;"",ISNA(MATCH(H295,cmp_transp,0))),AND(I295&lt;&gt;"",ISNA(MATCH(I295,cmp_dest,0))),AND(E295&lt;&gt;"",NOT(ISNUMBER(E295))),AND(F295&lt;&gt;"",NOT(ISNUMBER(F295))),AND(ISNUMBER(E295),ISNUMBER(F295),F295&lt;E295)),1,0))</f>
        <v>0</v>
      </c>
      <c r="AE295" s="96">
        <f>IF(Z295=0,0,IF(OR(B295="",C295="",E295="",G295="",H295="",I295="",N(W295)=0),1,0))</f>
        <v>0</v>
      </c>
      <c r="AF295" s="96">
        <f>IF(Z295=0,0,COUNTIFS('ITENS_MTR'!$S$6:$S$1005,A295,'ITENS_MTR'!$AI$6:$AI$1005,1))</f>
        <v>0</v>
      </c>
      <c r="AG295" s="96">
        <f>IF(Z295=0,0,COUNTIFS('ITENS_MTR'!$S$6:$S$1005,A295,'ITENS_MTR'!$AJ$6:$AJ$1005,1))</f>
        <v>0</v>
      </c>
      <c r="AH295" s="96">
        <f>IF(Z295=0,0,COUNTIFS('ITENS_MTR'!$S$6:$S$1005,A295,'ITENS_MTR'!$AM$6:$AM$1005,1))</f>
        <v>0</v>
      </c>
      <c r="AI295" s="96">
        <f>IF(Z295=0,0,COUNTIFS('ITENS_MTR'!$S$6:$S$1005,A295,'ITENS_MTR'!$AO$6:$AO$1005,1))</f>
        <v>0</v>
      </c>
      <c r="AJ295" s="96">
        <f>IF(Z295=0,0,COUNTIFS('ITENS_MTR'!$S$6:$S$1005,A295,'ITENS_MTR'!$AN$6:$AN$1005,1))</f>
        <v>0</v>
      </c>
      <c r="AK295" s="96">
        <f>IF(Z295=0,0,COUNTIFS('RECEBIMENTOS'!$B$6:$B$1005,A295,'RECEBIMENTOS'!$Y$6:$Y$1005,1))</f>
        <v>0</v>
      </c>
      <c r="AL295" s="96">
        <f>IF(Z295=0,0,COUNTIFS('VÍNCULOS_CDF'!$D$6:$D$1005,A295,'VÍNCULOS_CDF'!$Y$6:$Y$1005,1))</f>
        <v>0</v>
      </c>
      <c r="AM295" s="96">
        <f>IF(Z295=0,0,COUNTIFS('RECEBIMENTOS'!$B$6:$B$1005,A295,'RECEBIMENTOS'!$Q$6:$Q$1005,1))</f>
        <v>0</v>
      </c>
      <c r="AN295" s="96">
        <f>IF(AND(Z295=1,N(W295)&gt;0,AG295=N(W295)),1,0)</f>
        <v>0</v>
      </c>
      <c r="AO295" s="96">
        <f>IF(AND(Z295=1,N(W295)&gt;0,AI295=N(W295)),1,0)</f>
        <v>0</v>
      </c>
      <c r="AP295" s="97">
        <f>IF(Z295=0,0,_xlfn.MAXIFS('RECEBIMENTOS'!$E$6:$E$1005,'RECEBIMENTOS'!$B$6:$B$1005,A295))</f>
        <v>0</v>
      </c>
      <c r="AQ295" s="97" t="str">
        <f>IF(T295="","",IF(T295="RECEBIMENTO NÃO CONFIRMADO",IF(ISNUMBER(F295),F295,IF(ISNUMBER(E295),E295,"")),IF(OR(T295="CDF NÃO LOCALIZADO",T295="VÍNCULO INCOMPLETO",T295="CDF A CONFERIR"),IF(AP295&gt;0,AP295,IF(ISNUMBER(E295),E295,"")),IF(ISNUMBER(E295),E295,""))))</f>
        <v/>
      </c>
      <c r="AR295" s="96">
        <f>IF(NOT(ISNUMBER(U295)),0,IF(T295="RECEBIMENTO NÃO CONFIRMADO",IF(AND(ISNUMBER(cfg_rec),U295&gt;cfg_rec),1,0),IF(OR(T295="CDF NÃO LOCALIZADO",T295="VÍNCULO INCOMPLETO",T295="CDF A CONFERIR"),IF(AND(ISNUMBER(cfg_cdf),U295&gt;cfg_cdf),1,0),0)))</f>
        <v>0</v>
      </c>
      <c r="AS295" s="96" t="str">
        <f>IF(T295="","",IF(AR295=1,"Alta",IFERROR(INDEX(cfg_pp,MATCH(T295,cfg_pt,0))&amp;"","Média")))</f>
        <v/>
      </c>
      <c r="AT295" s="96" t="str">
        <f>IF(T295="","",IFERROR(INDEX(cfg_pv,MATCH(T295,cfg_pt,0))&amp;"",""))</f>
        <v/>
      </c>
      <c r="AU295" s="96" t="str">
        <f>IF(T295="","",IF(AS295="Alta",1,IF(AS295="Média",2,3))*1000000000+(999999-IF(ISNUMBER(U295),MIN(U295,999999),0))*1000+290)</f>
        <v/>
      </c>
      <c r="AV295" s="96">
        <f>IF(T295&lt;&gt;"",1,0)</f>
        <v>0</v>
      </c>
      <c r="AW295" s="96" t="str">
        <f>IF(Z295=0,"",IF(AA295=1,"Cancelamento informado; ","")&amp;IF(AE295=1,"Campos essenciais ou itens faltando; ","")&amp;IF(AC295=1,"Possível duplicidade do número; ","")&amp;IF(AD295=1,"Cadastro ou datas a revisar; ","")&amp;IF(AF295&gt;0,"Item de resíduo com dado a revisar; ","")&amp;IF(AH295&gt;0,"Diferença de quantidade a analisar; ","")&amp;IF(AK295&gt;0,"Recebimento com alerta; ","")&amp;IF(AL295&gt;0,"Vínculo de CDF com alerta; ","")&amp;IF(AND(AA295=0,AN295=0),"Recebimento não confirmado; ","")&amp;IF(AND(AA295=0,AN295=1,AO295=0),"CDF pendente ou a conferir; ",""))</f>
        <v/>
      </c>
      <c r="AX295" s="96">
        <f>IF(Z295=0,0,IF(AND(OR(f_ini="",AND(ISNUMBER(E295),E295&gt;=f_ini)),OR(f_fim="",AND(ISNUMBER(E295),E295&lt;=f_fim)),OR(f_un="",f_un="(Todas)",G295=f_un),OR(f_tr="",f_tr="(Todos)",H295=f_tr),OR(f_de="",f_de="(Todos)",I295=f_de),OR(f_sit="",f_sit="(Todas)",S295=f_sit)),1,0))</f>
        <v>0</v>
      </c>
      <c r="AY295" s="96">
        <f>IF(AX295=0,0,IF(OR(f_res="",f_res="(Todos)"),1,IF(COUNTIFS('ITENS_MTR'!$S$6:$S$1005,A295,'ITENS_MTR'!$C$6:$C$1005,f_res)&gt;0,1,0)))</f>
        <v>0</v>
      </c>
      <c r="AZ295" s="97" t="str">
        <f>IF(ISNUMBER(E295),DATE(YEAR(E295),MONTH(E295),1),"")</f>
        <v/>
      </c>
      <c r="BA295" s="96">
        <f>IF(Z295=0,0,IF(AND(OR(r_ini="",AND(ISNUMBER(E295),E295&gt;=r_ini)),OR(r_fim="",AND(ISNUMBER(E295),E295&lt;=r_fim)),OR(r_un="",r_un="(Todas)",G295=r_un),OR(r_de="",r_de="(Todos)",I295=r_de)),1,0))</f>
        <v>0</v>
      </c>
      <c r="BB295" s="96" t="str">
        <f>IF(BA295=1,COUNTIF($BA$6:BA295,1),"")</f>
        <v/>
      </c>
      <c r="BC295" s="96" t="str">
        <f>IF(AND(AU295&lt;&gt;"",OR(r_un="",r_un="(Todas)",G295=r_un),OR(r_de="",r_de="(Todos)",I295=r_de)),AU295,"")</f>
        <v/>
      </c>
      <c r="BD295" s="96" t="str">
        <f>IF(Z295=1,A295&amp;" | nº "&amp;IF(B295="","(sem número)",B295)&amp;" | "&amp;IF(G295="","(sem unidade)",G295),"")</f>
        <v/>
      </c>
      <c r="BE295" s="96" t="str">
        <f>IF(Z295=1,COUNTIF($Z$6:Z295,1),"")</f>
        <v/>
      </c>
      <c r="BF295" s="96" t="str">
        <f>IF(T295="","",IF(T295="RECEBIMENTO NÃO CONFIRMADO","Transp.: "&amp;H295&amp;" | Dest.: "&amp;I295,IF(OR(T295="CDF NÃO LOCALIZADO",T295="VÍNCULO INCOMPLETO",T295="CDF A CONFERIR"),"Dest.: "&amp;I295,"Gerador: "&amp;G295)))</f>
        <v/>
      </c>
    </row>
    <row r="296">
      <c r="A296" s="89" t="inlineStr">
        <is>
          <t>MTR-000291</t>
        </is>
      </c>
      <c r="B296" s="90" t="n"/>
      <c r="C296" s="91" t="n"/>
      <c r="D296" s="91" t="n"/>
      <c r="E296" s="92" t="n"/>
      <c r="F296" s="92" t="n"/>
      <c r="G296" s="91" t="n"/>
      <c r="H296" s="91" t="n"/>
      <c r="I296" s="91" t="n"/>
      <c r="J296" s="91" t="n"/>
      <c r="K296" s="91" t="n"/>
      <c r="L296" s="92" t="n"/>
      <c r="M296" s="91" t="n"/>
      <c r="N296" s="91" t="n"/>
      <c r="O296" s="91" t="n"/>
      <c r="P296" s="93" t="str">
        <f>IF(Z296=0,"",SUMIFS('ITENS_MTR'!$I$6:$I$1005,'ITENS_MTR'!$S$6:$S$1005,A296,'ITENS_MTR'!$Y$6:$Y$1005,1))</f>
        <v/>
      </c>
      <c r="Q296" s="93" t="str">
        <f>IF(Z296=0,"",SUMIFS('RECEBIMENTOS'!$H$6:$H$1005,'RECEBIMENTOS'!$B$6:$B$1005,A296,'RECEBIMENTOS'!$X$6:$X$1005,1))</f>
        <v/>
      </c>
      <c r="R296" s="93" t="str">
        <f>IF(Z296=0,"",SUMIFS('VÍNCULOS_CDF'!$H$6:$H$1005,'VÍNCULOS_CDF'!$D$6:$D$1005,A296,'VÍNCULOS_CDF'!$V$6:$V$1005,1))</f>
        <v/>
      </c>
      <c r="S296" s="94" t="str">
        <f>IF(Z296=0,"",IF(AA296=1,"Cancelado (informado)",IF(AE296=1,"Cadastro incompleto",IF(OR(AC296=1,AD296=1,AF296&gt;0,AH296&gt;0,AK296&gt;0,AL296&gt;0),"Informação a revisar",IF(AN296=0,"Aguardando recebimento",IF(N(R296)=0,"Aguardando CDF",IF(AJ296&lt;N(W296),"Vínculo de CDF parcial",IF(AO296=0,"CDF localizado, a conferir","Documentação conferida"))))))))</f>
        <v/>
      </c>
      <c r="T296" s="94" t="str">
        <f>IF(Z296=0,"",IF(S296="Cadastro incompleto","MTR INCOMPLETO",IF(S296="Informação a revisar",IF(AND(AH296&gt;0,AC296=0,AD296=0,AF296=0,AK296=0,AL296=0),"QUANTIDADE A REVISAR","IDENTIFICAÇÃO A REVISAR"),IF(S296="Aguardando recebimento","RECEBIMENTO NÃO CONFIRMADO",IF(S296="Aguardando CDF","CDF NÃO LOCALIZADO",IF(S296="Vínculo de CDF parcial","VÍNCULO INCOMPLETO",IF(S296="CDF localizado, a conferir","CDF A CONFERIR","")))))))</f>
        <v/>
      </c>
      <c r="U296" s="95" t="str">
        <f>IF(T296="","",IF(AQ296="","Não calculável",IF(AQ296&gt;TODAY(),"Data futura",TODAY()-AQ296)))</f>
        <v/>
      </c>
      <c r="V296" s="93" t="str">
        <f>IF(Z296=0,"",SUMIFS('RECEBIMENTOS'!$H$6:$H$1005,'RECEBIMENTOS'!$B$6:$B$1005,A296,'RECEBIMENTOS'!$Z$6:$Z$1005,1))</f>
        <v/>
      </c>
      <c r="W296" s="95" t="str">
        <f>IF(Z296=0,"",COUNTIFS('ITENS_MTR'!$S$6:$S$1005,A296,'ITENS_MTR'!$R$6:$R$1005,1))</f>
        <v/>
      </c>
      <c r="X296" s="94" t="str">
        <f>IF(AC296=1,"POSSÍVEL DUPLICIDADE","")</f>
        <v/>
      </c>
      <c r="Y296" s="94" t="str">
        <f>IF(Z296=0,"",IF(AW296="","Nenhuma",LEFT(AW296,LEN(AW296)-2)))</f>
        <v/>
      </c>
      <c r="Z296" s="96">
        <f>IF(COUNTA(B296:O296)&gt;0,1,0)</f>
        <v>0</v>
      </c>
      <c r="AA296" s="96">
        <f>IF(AND(Z296=1,K296&lt;&gt;""),IF(TRIM(K296)=TRIM(cfg_cancel),1,0),0)</f>
        <v>0</v>
      </c>
      <c r="AB296" s="96" t="str">
        <f>IF(AND(Z296=1,B296&lt;&gt;""),C296&amp;"|"&amp;D296&amp;"|"&amp;G296&amp;"|"&amp;TRIM(B296),"")</f>
        <v/>
      </c>
      <c r="AC296" s="96">
        <f>IF(AB296="",0,IF(SUMPRODUCT(--($AB$6:$AB$505=AB296))&gt;1,1,0))</f>
        <v>0</v>
      </c>
      <c r="AD296" s="96">
        <f>IF(Z296=0,0,IF(OR(AND(G296&lt;&gt;"",ISNA(MATCH(G296,'CAD_UNIDADES'!$C$6:$C$105,0))),AND(H296&lt;&gt;"",ISNA(MATCH(H296,cmp_transp,0))),AND(I296&lt;&gt;"",ISNA(MATCH(I296,cmp_dest,0))),AND(E296&lt;&gt;"",NOT(ISNUMBER(E296))),AND(F296&lt;&gt;"",NOT(ISNUMBER(F296))),AND(ISNUMBER(E296),ISNUMBER(F296),F296&lt;E296)),1,0))</f>
        <v>0</v>
      </c>
      <c r="AE296" s="96">
        <f>IF(Z296=0,0,IF(OR(B296="",C296="",E296="",G296="",H296="",I296="",N(W296)=0),1,0))</f>
        <v>0</v>
      </c>
      <c r="AF296" s="96">
        <f>IF(Z296=0,0,COUNTIFS('ITENS_MTR'!$S$6:$S$1005,A296,'ITENS_MTR'!$AI$6:$AI$1005,1))</f>
        <v>0</v>
      </c>
      <c r="AG296" s="96">
        <f>IF(Z296=0,0,COUNTIFS('ITENS_MTR'!$S$6:$S$1005,A296,'ITENS_MTR'!$AJ$6:$AJ$1005,1))</f>
        <v>0</v>
      </c>
      <c r="AH296" s="96">
        <f>IF(Z296=0,0,COUNTIFS('ITENS_MTR'!$S$6:$S$1005,A296,'ITENS_MTR'!$AM$6:$AM$1005,1))</f>
        <v>0</v>
      </c>
      <c r="AI296" s="96">
        <f>IF(Z296=0,0,COUNTIFS('ITENS_MTR'!$S$6:$S$1005,A296,'ITENS_MTR'!$AO$6:$AO$1005,1))</f>
        <v>0</v>
      </c>
      <c r="AJ296" s="96">
        <f>IF(Z296=0,0,COUNTIFS('ITENS_MTR'!$S$6:$S$1005,A296,'ITENS_MTR'!$AN$6:$AN$1005,1))</f>
        <v>0</v>
      </c>
      <c r="AK296" s="96">
        <f>IF(Z296=0,0,COUNTIFS('RECEBIMENTOS'!$B$6:$B$1005,A296,'RECEBIMENTOS'!$Y$6:$Y$1005,1))</f>
        <v>0</v>
      </c>
      <c r="AL296" s="96">
        <f>IF(Z296=0,0,COUNTIFS('VÍNCULOS_CDF'!$D$6:$D$1005,A296,'VÍNCULOS_CDF'!$Y$6:$Y$1005,1))</f>
        <v>0</v>
      </c>
      <c r="AM296" s="96">
        <f>IF(Z296=0,0,COUNTIFS('RECEBIMENTOS'!$B$6:$B$1005,A296,'RECEBIMENTOS'!$Q$6:$Q$1005,1))</f>
        <v>0</v>
      </c>
      <c r="AN296" s="96">
        <f>IF(AND(Z296=1,N(W296)&gt;0,AG296=N(W296)),1,0)</f>
        <v>0</v>
      </c>
      <c r="AO296" s="96">
        <f>IF(AND(Z296=1,N(W296)&gt;0,AI296=N(W296)),1,0)</f>
        <v>0</v>
      </c>
      <c r="AP296" s="97">
        <f>IF(Z296=0,0,_xlfn.MAXIFS('RECEBIMENTOS'!$E$6:$E$1005,'RECEBIMENTOS'!$B$6:$B$1005,A296))</f>
        <v>0</v>
      </c>
      <c r="AQ296" s="97" t="str">
        <f>IF(T296="","",IF(T296="RECEBIMENTO NÃO CONFIRMADO",IF(ISNUMBER(F296),F296,IF(ISNUMBER(E296),E296,"")),IF(OR(T296="CDF NÃO LOCALIZADO",T296="VÍNCULO INCOMPLETO",T296="CDF A CONFERIR"),IF(AP296&gt;0,AP296,IF(ISNUMBER(E296),E296,"")),IF(ISNUMBER(E296),E296,""))))</f>
        <v/>
      </c>
      <c r="AR296" s="96">
        <f>IF(NOT(ISNUMBER(U296)),0,IF(T296="RECEBIMENTO NÃO CONFIRMADO",IF(AND(ISNUMBER(cfg_rec),U296&gt;cfg_rec),1,0),IF(OR(T296="CDF NÃO LOCALIZADO",T296="VÍNCULO INCOMPLETO",T296="CDF A CONFERIR"),IF(AND(ISNUMBER(cfg_cdf),U296&gt;cfg_cdf),1,0),0)))</f>
        <v>0</v>
      </c>
      <c r="AS296" s="96" t="str">
        <f>IF(T296="","",IF(AR296=1,"Alta",IFERROR(INDEX(cfg_pp,MATCH(T296,cfg_pt,0))&amp;"","Média")))</f>
        <v/>
      </c>
      <c r="AT296" s="96" t="str">
        <f>IF(T296="","",IFERROR(INDEX(cfg_pv,MATCH(T296,cfg_pt,0))&amp;"",""))</f>
        <v/>
      </c>
      <c r="AU296" s="96" t="str">
        <f>IF(T296="","",IF(AS296="Alta",1,IF(AS296="Média",2,3))*1000000000+(999999-IF(ISNUMBER(U296),MIN(U296,999999),0))*1000+291)</f>
        <v/>
      </c>
      <c r="AV296" s="96">
        <f>IF(T296&lt;&gt;"",1,0)</f>
        <v>0</v>
      </c>
      <c r="AW296" s="96" t="str">
        <f>IF(Z296=0,"",IF(AA296=1,"Cancelamento informado; ","")&amp;IF(AE296=1,"Campos essenciais ou itens faltando; ","")&amp;IF(AC296=1,"Possível duplicidade do número; ","")&amp;IF(AD296=1,"Cadastro ou datas a revisar; ","")&amp;IF(AF296&gt;0,"Item de resíduo com dado a revisar; ","")&amp;IF(AH296&gt;0,"Diferença de quantidade a analisar; ","")&amp;IF(AK296&gt;0,"Recebimento com alerta; ","")&amp;IF(AL296&gt;0,"Vínculo de CDF com alerta; ","")&amp;IF(AND(AA296=0,AN296=0),"Recebimento não confirmado; ","")&amp;IF(AND(AA296=0,AN296=1,AO296=0),"CDF pendente ou a conferir; ",""))</f>
        <v/>
      </c>
      <c r="AX296" s="96">
        <f>IF(Z296=0,0,IF(AND(OR(f_ini="",AND(ISNUMBER(E296),E296&gt;=f_ini)),OR(f_fim="",AND(ISNUMBER(E296),E296&lt;=f_fim)),OR(f_un="",f_un="(Todas)",G296=f_un),OR(f_tr="",f_tr="(Todos)",H296=f_tr),OR(f_de="",f_de="(Todos)",I296=f_de),OR(f_sit="",f_sit="(Todas)",S296=f_sit)),1,0))</f>
        <v>0</v>
      </c>
      <c r="AY296" s="96">
        <f>IF(AX296=0,0,IF(OR(f_res="",f_res="(Todos)"),1,IF(COUNTIFS('ITENS_MTR'!$S$6:$S$1005,A296,'ITENS_MTR'!$C$6:$C$1005,f_res)&gt;0,1,0)))</f>
        <v>0</v>
      </c>
      <c r="AZ296" s="97" t="str">
        <f>IF(ISNUMBER(E296),DATE(YEAR(E296),MONTH(E296),1),"")</f>
        <v/>
      </c>
      <c r="BA296" s="96">
        <f>IF(Z296=0,0,IF(AND(OR(r_ini="",AND(ISNUMBER(E296),E296&gt;=r_ini)),OR(r_fim="",AND(ISNUMBER(E296),E296&lt;=r_fim)),OR(r_un="",r_un="(Todas)",G296=r_un),OR(r_de="",r_de="(Todos)",I296=r_de)),1,0))</f>
        <v>0</v>
      </c>
      <c r="BB296" s="96" t="str">
        <f>IF(BA296=1,COUNTIF($BA$6:BA296,1),"")</f>
        <v/>
      </c>
      <c r="BC296" s="96" t="str">
        <f>IF(AND(AU296&lt;&gt;"",OR(r_un="",r_un="(Todas)",G296=r_un),OR(r_de="",r_de="(Todos)",I296=r_de)),AU296,"")</f>
        <v/>
      </c>
      <c r="BD296" s="96" t="str">
        <f>IF(Z296=1,A296&amp;" | nº "&amp;IF(B296="","(sem número)",B296)&amp;" | "&amp;IF(G296="","(sem unidade)",G296),"")</f>
        <v/>
      </c>
      <c r="BE296" s="96" t="str">
        <f>IF(Z296=1,COUNTIF($Z$6:Z296,1),"")</f>
        <v/>
      </c>
      <c r="BF296" s="96" t="str">
        <f>IF(T296="","",IF(T296="RECEBIMENTO NÃO CONFIRMADO","Transp.: "&amp;H296&amp;" | Dest.: "&amp;I296,IF(OR(T296="CDF NÃO LOCALIZADO",T296="VÍNCULO INCOMPLETO",T296="CDF A CONFERIR"),"Dest.: "&amp;I296,"Gerador: "&amp;G296)))</f>
        <v/>
      </c>
    </row>
    <row r="297">
      <c r="A297" s="89" t="inlineStr">
        <is>
          <t>MTR-000292</t>
        </is>
      </c>
      <c r="B297" s="90" t="n"/>
      <c r="C297" s="91" t="n"/>
      <c r="D297" s="91" t="n"/>
      <c r="E297" s="92" t="n"/>
      <c r="F297" s="92" t="n"/>
      <c r="G297" s="91" t="n"/>
      <c r="H297" s="91" t="n"/>
      <c r="I297" s="91" t="n"/>
      <c r="J297" s="91" t="n"/>
      <c r="K297" s="91" t="n"/>
      <c r="L297" s="92" t="n"/>
      <c r="M297" s="91" t="n"/>
      <c r="N297" s="91" t="n"/>
      <c r="O297" s="91" t="n"/>
      <c r="P297" s="93" t="str">
        <f>IF(Z297=0,"",SUMIFS('ITENS_MTR'!$I$6:$I$1005,'ITENS_MTR'!$S$6:$S$1005,A297,'ITENS_MTR'!$Y$6:$Y$1005,1))</f>
        <v/>
      </c>
      <c r="Q297" s="93" t="str">
        <f>IF(Z297=0,"",SUMIFS('RECEBIMENTOS'!$H$6:$H$1005,'RECEBIMENTOS'!$B$6:$B$1005,A297,'RECEBIMENTOS'!$X$6:$X$1005,1))</f>
        <v/>
      </c>
      <c r="R297" s="93" t="str">
        <f>IF(Z297=0,"",SUMIFS('VÍNCULOS_CDF'!$H$6:$H$1005,'VÍNCULOS_CDF'!$D$6:$D$1005,A297,'VÍNCULOS_CDF'!$V$6:$V$1005,1))</f>
        <v/>
      </c>
      <c r="S297" s="94" t="str">
        <f>IF(Z297=0,"",IF(AA297=1,"Cancelado (informado)",IF(AE297=1,"Cadastro incompleto",IF(OR(AC297=1,AD297=1,AF297&gt;0,AH297&gt;0,AK297&gt;0,AL297&gt;0),"Informação a revisar",IF(AN297=0,"Aguardando recebimento",IF(N(R297)=0,"Aguardando CDF",IF(AJ297&lt;N(W297),"Vínculo de CDF parcial",IF(AO297=0,"CDF localizado, a conferir","Documentação conferida"))))))))</f>
        <v/>
      </c>
      <c r="T297" s="94" t="str">
        <f>IF(Z297=0,"",IF(S297="Cadastro incompleto","MTR INCOMPLETO",IF(S297="Informação a revisar",IF(AND(AH297&gt;0,AC297=0,AD297=0,AF297=0,AK297=0,AL297=0),"QUANTIDADE A REVISAR","IDENTIFICAÇÃO A REVISAR"),IF(S297="Aguardando recebimento","RECEBIMENTO NÃO CONFIRMADO",IF(S297="Aguardando CDF","CDF NÃO LOCALIZADO",IF(S297="Vínculo de CDF parcial","VÍNCULO INCOMPLETO",IF(S297="CDF localizado, a conferir","CDF A CONFERIR","")))))))</f>
        <v/>
      </c>
      <c r="U297" s="95" t="str">
        <f>IF(T297="","",IF(AQ297="","Não calculável",IF(AQ297&gt;TODAY(),"Data futura",TODAY()-AQ297)))</f>
        <v/>
      </c>
      <c r="V297" s="93" t="str">
        <f>IF(Z297=0,"",SUMIFS('RECEBIMENTOS'!$H$6:$H$1005,'RECEBIMENTOS'!$B$6:$B$1005,A297,'RECEBIMENTOS'!$Z$6:$Z$1005,1))</f>
        <v/>
      </c>
      <c r="W297" s="95" t="str">
        <f>IF(Z297=0,"",COUNTIFS('ITENS_MTR'!$S$6:$S$1005,A297,'ITENS_MTR'!$R$6:$R$1005,1))</f>
        <v/>
      </c>
      <c r="X297" s="94" t="str">
        <f>IF(AC297=1,"POSSÍVEL DUPLICIDADE","")</f>
        <v/>
      </c>
      <c r="Y297" s="94" t="str">
        <f>IF(Z297=0,"",IF(AW297="","Nenhuma",LEFT(AW297,LEN(AW297)-2)))</f>
        <v/>
      </c>
      <c r="Z297" s="96">
        <f>IF(COUNTA(B297:O297)&gt;0,1,0)</f>
        <v>0</v>
      </c>
      <c r="AA297" s="96">
        <f>IF(AND(Z297=1,K297&lt;&gt;""),IF(TRIM(K297)=TRIM(cfg_cancel),1,0),0)</f>
        <v>0</v>
      </c>
      <c r="AB297" s="96" t="str">
        <f>IF(AND(Z297=1,B297&lt;&gt;""),C297&amp;"|"&amp;D297&amp;"|"&amp;G297&amp;"|"&amp;TRIM(B297),"")</f>
        <v/>
      </c>
      <c r="AC297" s="96">
        <f>IF(AB297="",0,IF(SUMPRODUCT(--($AB$6:$AB$505=AB297))&gt;1,1,0))</f>
        <v>0</v>
      </c>
      <c r="AD297" s="96">
        <f>IF(Z297=0,0,IF(OR(AND(G297&lt;&gt;"",ISNA(MATCH(G297,'CAD_UNIDADES'!$C$6:$C$105,0))),AND(H297&lt;&gt;"",ISNA(MATCH(H297,cmp_transp,0))),AND(I297&lt;&gt;"",ISNA(MATCH(I297,cmp_dest,0))),AND(E297&lt;&gt;"",NOT(ISNUMBER(E297))),AND(F297&lt;&gt;"",NOT(ISNUMBER(F297))),AND(ISNUMBER(E297),ISNUMBER(F297),F297&lt;E297)),1,0))</f>
        <v>0</v>
      </c>
      <c r="AE297" s="96">
        <f>IF(Z297=0,0,IF(OR(B297="",C297="",E297="",G297="",H297="",I297="",N(W297)=0),1,0))</f>
        <v>0</v>
      </c>
      <c r="AF297" s="96">
        <f>IF(Z297=0,0,COUNTIFS('ITENS_MTR'!$S$6:$S$1005,A297,'ITENS_MTR'!$AI$6:$AI$1005,1))</f>
        <v>0</v>
      </c>
      <c r="AG297" s="96">
        <f>IF(Z297=0,0,COUNTIFS('ITENS_MTR'!$S$6:$S$1005,A297,'ITENS_MTR'!$AJ$6:$AJ$1005,1))</f>
        <v>0</v>
      </c>
      <c r="AH297" s="96">
        <f>IF(Z297=0,0,COUNTIFS('ITENS_MTR'!$S$6:$S$1005,A297,'ITENS_MTR'!$AM$6:$AM$1005,1))</f>
        <v>0</v>
      </c>
      <c r="AI297" s="96">
        <f>IF(Z297=0,0,COUNTIFS('ITENS_MTR'!$S$6:$S$1005,A297,'ITENS_MTR'!$AO$6:$AO$1005,1))</f>
        <v>0</v>
      </c>
      <c r="AJ297" s="96">
        <f>IF(Z297=0,0,COUNTIFS('ITENS_MTR'!$S$6:$S$1005,A297,'ITENS_MTR'!$AN$6:$AN$1005,1))</f>
        <v>0</v>
      </c>
      <c r="AK297" s="96">
        <f>IF(Z297=0,0,COUNTIFS('RECEBIMENTOS'!$B$6:$B$1005,A297,'RECEBIMENTOS'!$Y$6:$Y$1005,1))</f>
        <v>0</v>
      </c>
      <c r="AL297" s="96">
        <f>IF(Z297=0,0,COUNTIFS('VÍNCULOS_CDF'!$D$6:$D$1005,A297,'VÍNCULOS_CDF'!$Y$6:$Y$1005,1))</f>
        <v>0</v>
      </c>
      <c r="AM297" s="96">
        <f>IF(Z297=0,0,COUNTIFS('RECEBIMENTOS'!$B$6:$B$1005,A297,'RECEBIMENTOS'!$Q$6:$Q$1005,1))</f>
        <v>0</v>
      </c>
      <c r="AN297" s="96">
        <f>IF(AND(Z297=1,N(W297)&gt;0,AG297=N(W297)),1,0)</f>
        <v>0</v>
      </c>
      <c r="AO297" s="96">
        <f>IF(AND(Z297=1,N(W297)&gt;0,AI297=N(W297)),1,0)</f>
        <v>0</v>
      </c>
      <c r="AP297" s="97">
        <f>IF(Z297=0,0,_xlfn.MAXIFS('RECEBIMENTOS'!$E$6:$E$1005,'RECEBIMENTOS'!$B$6:$B$1005,A297))</f>
        <v>0</v>
      </c>
      <c r="AQ297" s="97" t="str">
        <f>IF(T297="","",IF(T297="RECEBIMENTO NÃO CONFIRMADO",IF(ISNUMBER(F297),F297,IF(ISNUMBER(E297),E297,"")),IF(OR(T297="CDF NÃO LOCALIZADO",T297="VÍNCULO INCOMPLETO",T297="CDF A CONFERIR"),IF(AP297&gt;0,AP297,IF(ISNUMBER(E297),E297,"")),IF(ISNUMBER(E297),E297,""))))</f>
        <v/>
      </c>
      <c r="AR297" s="96">
        <f>IF(NOT(ISNUMBER(U297)),0,IF(T297="RECEBIMENTO NÃO CONFIRMADO",IF(AND(ISNUMBER(cfg_rec),U297&gt;cfg_rec),1,0),IF(OR(T297="CDF NÃO LOCALIZADO",T297="VÍNCULO INCOMPLETO",T297="CDF A CONFERIR"),IF(AND(ISNUMBER(cfg_cdf),U297&gt;cfg_cdf),1,0),0)))</f>
        <v>0</v>
      </c>
      <c r="AS297" s="96" t="str">
        <f>IF(T297="","",IF(AR297=1,"Alta",IFERROR(INDEX(cfg_pp,MATCH(T297,cfg_pt,0))&amp;"","Média")))</f>
        <v/>
      </c>
      <c r="AT297" s="96" t="str">
        <f>IF(T297="","",IFERROR(INDEX(cfg_pv,MATCH(T297,cfg_pt,0))&amp;"",""))</f>
        <v/>
      </c>
      <c r="AU297" s="96" t="str">
        <f>IF(T297="","",IF(AS297="Alta",1,IF(AS297="Média",2,3))*1000000000+(999999-IF(ISNUMBER(U297),MIN(U297,999999),0))*1000+292)</f>
        <v/>
      </c>
      <c r="AV297" s="96">
        <f>IF(T297&lt;&gt;"",1,0)</f>
        <v>0</v>
      </c>
      <c r="AW297" s="96" t="str">
        <f>IF(Z297=0,"",IF(AA297=1,"Cancelamento informado; ","")&amp;IF(AE297=1,"Campos essenciais ou itens faltando; ","")&amp;IF(AC297=1,"Possível duplicidade do número; ","")&amp;IF(AD297=1,"Cadastro ou datas a revisar; ","")&amp;IF(AF297&gt;0,"Item de resíduo com dado a revisar; ","")&amp;IF(AH297&gt;0,"Diferença de quantidade a analisar; ","")&amp;IF(AK297&gt;0,"Recebimento com alerta; ","")&amp;IF(AL297&gt;0,"Vínculo de CDF com alerta; ","")&amp;IF(AND(AA297=0,AN297=0),"Recebimento não confirmado; ","")&amp;IF(AND(AA297=0,AN297=1,AO297=0),"CDF pendente ou a conferir; ",""))</f>
        <v/>
      </c>
      <c r="AX297" s="96">
        <f>IF(Z297=0,0,IF(AND(OR(f_ini="",AND(ISNUMBER(E297),E297&gt;=f_ini)),OR(f_fim="",AND(ISNUMBER(E297),E297&lt;=f_fim)),OR(f_un="",f_un="(Todas)",G297=f_un),OR(f_tr="",f_tr="(Todos)",H297=f_tr),OR(f_de="",f_de="(Todos)",I297=f_de),OR(f_sit="",f_sit="(Todas)",S297=f_sit)),1,0))</f>
        <v>0</v>
      </c>
      <c r="AY297" s="96">
        <f>IF(AX297=0,0,IF(OR(f_res="",f_res="(Todos)"),1,IF(COUNTIFS('ITENS_MTR'!$S$6:$S$1005,A297,'ITENS_MTR'!$C$6:$C$1005,f_res)&gt;0,1,0)))</f>
        <v>0</v>
      </c>
      <c r="AZ297" s="97" t="str">
        <f>IF(ISNUMBER(E297),DATE(YEAR(E297),MONTH(E297),1),"")</f>
        <v/>
      </c>
      <c r="BA297" s="96">
        <f>IF(Z297=0,0,IF(AND(OR(r_ini="",AND(ISNUMBER(E297),E297&gt;=r_ini)),OR(r_fim="",AND(ISNUMBER(E297),E297&lt;=r_fim)),OR(r_un="",r_un="(Todas)",G297=r_un),OR(r_de="",r_de="(Todos)",I297=r_de)),1,0))</f>
        <v>0</v>
      </c>
      <c r="BB297" s="96" t="str">
        <f>IF(BA297=1,COUNTIF($BA$6:BA297,1),"")</f>
        <v/>
      </c>
      <c r="BC297" s="96" t="str">
        <f>IF(AND(AU297&lt;&gt;"",OR(r_un="",r_un="(Todas)",G297=r_un),OR(r_de="",r_de="(Todos)",I297=r_de)),AU297,"")</f>
        <v/>
      </c>
      <c r="BD297" s="96" t="str">
        <f>IF(Z297=1,A297&amp;" | nº "&amp;IF(B297="","(sem número)",B297)&amp;" | "&amp;IF(G297="","(sem unidade)",G297),"")</f>
        <v/>
      </c>
      <c r="BE297" s="96" t="str">
        <f>IF(Z297=1,COUNTIF($Z$6:Z297,1),"")</f>
        <v/>
      </c>
      <c r="BF297" s="96" t="str">
        <f>IF(T297="","",IF(T297="RECEBIMENTO NÃO CONFIRMADO","Transp.: "&amp;H297&amp;" | Dest.: "&amp;I297,IF(OR(T297="CDF NÃO LOCALIZADO",T297="VÍNCULO INCOMPLETO",T297="CDF A CONFERIR"),"Dest.: "&amp;I297,"Gerador: "&amp;G297)))</f>
        <v/>
      </c>
    </row>
    <row r="298">
      <c r="A298" s="89" t="inlineStr">
        <is>
          <t>MTR-000293</t>
        </is>
      </c>
      <c r="B298" s="90" t="n"/>
      <c r="C298" s="91" t="n"/>
      <c r="D298" s="91" t="n"/>
      <c r="E298" s="92" t="n"/>
      <c r="F298" s="92" t="n"/>
      <c r="G298" s="91" t="n"/>
      <c r="H298" s="91" t="n"/>
      <c r="I298" s="91" t="n"/>
      <c r="J298" s="91" t="n"/>
      <c r="K298" s="91" t="n"/>
      <c r="L298" s="92" t="n"/>
      <c r="M298" s="91" t="n"/>
      <c r="N298" s="91" t="n"/>
      <c r="O298" s="91" t="n"/>
      <c r="P298" s="93" t="str">
        <f>IF(Z298=0,"",SUMIFS('ITENS_MTR'!$I$6:$I$1005,'ITENS_MTR'!$S$6:$S$1005,A298,'ITENS_MTR'!$Y$6:$Y$1005,1))</f>
        <v/>
      </c>
      <c r="Q298" s="93" t="str">
        <f>IF(Z298=0,"",SUMIFS('RECEBIMENTOS'!$H$6:$H$1005,'RECEBIMENTOS'!$B$6:$B$1005,A298,'RECEBIMENTOS'!$X$6:$X$1005,1))</f>
        <v/>
      </c>
      <c r="R298" s="93" t="str">
        <f>IF(Z298=0,"",SUMIFS('VÍNCULOS_CDF'!$H$6:$H$1005,'VÍNCULOS_CDF'!$D$6:$D$1005,A298,'VÍNCULOS_CDF'!$V$6:$V$1005,1))</f>
        <v/>
      </c>
      <c r="S298" s="94" t="str">
        <f>IF(Z298=0,"",IF(AA298=1,"Cancelado (informado)",IF(AE298=1,"Cadastro incompleto",IF(OR(AC298=1,AD298=1,AF298&gt;0,AH298&gt;0,AK298&gt;0,AL298&gt;0),"Informação a revisar",IF(AN298=0,"Aguardando recebimento",IF(N(R298)=0,"Aguardando CDF",IF(AJ298&lt;N(W298),"Vínculo de CDF parcial",IF(AO298=0,"CDF localizado, a conferir","Documentação conferida"))))))))</f>
        <v/>
      </c>
      <c r="T298" s="94" t="str">
        <f>IF(Z298=0,"",IF(S298="Cadastro incompleto","MTR INCOMPLETO",IF(S298="Informação a revisar",IF(AND(AH298&gt;0,AC298=0,AD298=0,AF298=0,AK298=0,AL298=0),"QUANTIDADE A REVISAR","IDENTIFICAÇÃO A REVISAR"),IF(S298="Aguardando recebimento","RECEBIMENTO NÃO CONFIRMADO",IF(S298="Aguardando CDF","CDF NÃO LOCALIZADO",IF(S298="Vínculo de CDF parcial","VÍNCULO INCOMPLETO",IF(S298="CDF localizado, a conferir","CDF A CONFERIR","")))))))</f>
        <v/>
      </c>
      <c r="U298" s="95" t="str">
        <f>IF(T298="","",IF(AQ298="","Não calculável",IF(AQ298&gt;TODAY(),"Data futura",TODAY()-AQ298)))</f>
        <v/>
      </c>
      <c r="V298" s="93" t="str">
        <f>IF(Z298=0,"",SUMIFS('RECEBIMENTOS'!$H$6:$H$1005,'RECEBIMENTOS'!$B$6:$B$1005,A298,'RECEBIMENTOS'!$Z$6:$Z$1005,1))</f>
        <v/>
      </c>
      <c r="W298" s="95" t="str">
        <f>IF(Z298=0,"",COUNTIFS('ITENS_MTR'!$S$6:$S$1005,A298,'ITENS_MTR'!$R$6:$R$1005,1))</f>
        <v/>
      </c>
      <c r="X298" s="94" t="str">
        <f>IF(AC298=1,"POSSÍVEL DUPLICIDADE","")</f>
        <v/>
      </c>
      <c r="Y298" s="94" t="str">
        <f>IF(Z298=0,"",IF(AW298="","Nenhuma",LEFT(AW298,LEN(AW298)-2)))</f>
        <v/>
      </c>
      <c r="Z298" s="96">
        <f>IF(COUNTA(B298:O298)&gt;0,1,0)</f>
        <v>0</v>
      </c>
      <c r="AA298" s="96">
        <f>IF(AND(Z298=1,K298&lt;&gt;""),IF(TRIM(K298)=TRIM(cfg_cancel),1,0),0)</f>
        <v>0</v>
      </c>
      <c r="AB298" s="96" t="str">
        <f>IF(AND(Z298=1,B298&lt;&gt;""),C298&amp;"|"&amp;D298&amp;"|"&amp;G298&amp;"|"&amp;TRIM(B298),"")</f>
        <v/>
      </c>
      <c r="AC298" s="96">
        <f>IF(AB298="",0,IF(SUMPRODUCT(--($AB$6:$AB$505=AB298))&gt;1,1,0))</f>
        <v>0</v>
      </c>
      <c r="AD298" s="96">
        <f>IF(Z298=0,0,IF(OR(AND(G298&lt;&gt;"",ISNA(MATCH(G298,'CAD_UNIDADES'!$C$6:$C$105,0))),AND(H298&lt;&gt;"",ISNA(MATCH(H298,cmp_transp,0))),AND(I298&lt;&gt;"",ISNA(MATCH(I298,cmp_dest,0))),AND(E298&lt;&gt;"",NOT(ISNUMBER(E298))),AND(F298&lt;&gt;"",NOT(ISNUMBER(F298))),AND(ISNUMBER(E298),ISNUMBER(F298),F298&lt;E298)),1,0))</f>
        <v>0</v>
      </c>
      <c r="AE298" s="96">
        <f>IF(Z298=0,0,IF(OR(B298="",C298="",E298="",G298="",H298="",I298="",N(W298)=0),1,0))</f>
        <v>0</v>
      </c>
      <c r="AF298" s="96">
        <f>IF(Z298=0,0,COUNTIFS('ITENS_MTR'!$S$6:$S$1005,A298,'ITENS_MTR'!$AI$6:$AI$1005,1))</f>
        <v>0</v>
      </c>
      <c r="AG298" s="96">
        <f>IF(Z298=0,0,COUNTIFS('ITENS_MTR'!$S$6:$S$1005,A298,'ITENS_MTR'!$AJ$6:$AJ$1005,1))</f>
        <v>0</v>
      </c>
      <c r="AH298" s="96">
        <f>IF(Z298=0,0,COUNTIFS('ITENS_MTR'!$S$6:$S$1005,A298,'ITENS_MTR'!$AM$6:$AM$1005,1))</f>
        <v>0</v>
      </c>
      <c r="AI298" s="96">
        <f>IF(Z298=0,0,COUNTIFS('ITENS_MTR'!$S$6:$S$1005,A298,'ITENS_MTR'!$AO$6:$AO$1005,1))</f>
        <v>0</v>
      </c>
      <c r="AJ298" s="96">
        <f>IF(Z298=0,0,COUNTIFS('ITENS_MTR'!$S$6:$S$1005,A298,'ITENS_MTR'!$AN$6:$AN$1005,1))</f>
        <v>0</v>
      </c>
      <c r="AK298" s="96">
        <f>IF(Z298=0,0,COUNTIFS('RECEBIMENTOS'!$B$6:$B$1005,A298,'RECEBIMENTOS'!$Y$6:$Y$1005,1))</f>
        <v>0</v>
      </c>
      <c r="AL298" s="96">
        <f>IF(Z298=0,0,COUNTIFS('VÍNCULOS_CDF'!$D$6:$D$1005,A298,'VÍNCULOS_CDF'!$Y$6:$Y$1005,1))</f>
        <v>0</v>
      </c>
      <c r="AM298" s="96">
        <f>IF(Z298=0,0,COUNTIFS('RECEBIMENTOS'!$B$6:$B$1005,A298,'RECEBIMENTOS'!$Q$6:$Q$1005,1))</f>
        <v>0</v>
      </c>
      <c r="AN298" s="96">
        <f>IF(AND(Z298=1,N(W298)&gt;0,AG298=N(W298)),1,0)</f>
        <v>0</v>
      </c>
      <c r="AO298" s="96">
        <f>IF(AND(Z298=1,N(W298)&gt;0,AI298=N(W298)),1,0)</f>
        <v>0</v>
      </c>
      <c r="AP298" s="97">
        <f>IF(Z298=0,0,_xlfn.MAXIFS('RECEBIMENTOS'!$E$6:$E$1005,'RECEBIMENTOS'!$B$6:$B$1005,A298))</f>
        <v>0</v>
      </c>
      <c r="AQ298" s="97" t="str">
        <f>IF(T298="","",IF(T298="RECEBIMENTO NÃO CONFIRMADO",IF(ISNUMBER(F298),F298,IF(ISNUMBER(E298),E298,"")),IF(OR(T298="CDF NÃO LOCALIZADO",T298="VÍNCULO INCOMPLETO",T298="CDF A CONFERIR"),IF(AP298&gt;0,AP298,IF(ISNUMBER(E298),E298,"")),IF(ISNUMBER(E298),E298,""))))</f>
        <v/>
      </c>
      <c r="AR298" s="96">
        <f>IF(NOT(ISNUMBER(U298)),0,IF(T298="RECEBIMENTO NÃO CONFIRMADO",IF(AND(ISNUMBER(cfg_rec),U298&gt;cfg_rec),1,0),IF(OR(T298="CDF NÃO LOCALIZADO",T298="VÍNCULO INCOMPLETO",T298="CDF A CONFERIR"),IF(AND(ISNUMBER(cfg_cdf),U298&gt;cfg_cdf),1,0),0)))</f>
        <v>0</v>
      </c>
      <c r="AS298" s="96" t="str">
        <f>IF(T298="","",IF(AR298=1,"Alta",IFERROR(INDEX(cfg_pp,MATCH(T298,cfg_pt,0))&amp;"","Média")))</f>
        <v/>
      </c>
      <c r="AT298" s="96" t="str">
        <f>IF(T298="","",IFERROR(INDEX(cfg_pv,MATCH(T298,cfg_pt,0))&amp;"",""))</f>
        <v/>
      </c>
      <c r="AU298" s="96" t="str">
        <f>IF(T298="","",IF(AS298="Alta",1,IF(AS298="Média",2,3))*1000000000+(999999-IF(ISNUMBER(U298),MIN(U298,999999),0))*1000+293)</f>
        <v/>
      </c>
      <c r="AV298" s="96">
        <f>IF(T298&lt;&gt;"",1,0)</f>
        <v>0</v>
      </c>
      <c r="AW298" s="96" t="str">
        <f>IF(Z298=0,"",IF(AA298=1,"Cancelamento informado; ","")&amp;IF(AE298=1,"Campos essenciais ou itens faltando; ","")&amp;IF(AC298=1,"Possível duplicidade do número; ","")&amp;IF(AD298=1,"Cadastro ou datas a revisar; ","")&amp;IF(AF298&gt;0,"Item de resíduo com dado a revisar; ","")&amp;IF(AH298&gt;0,"Diferença de quantidade a analisar; ","")&amp;IF(AK298&gt;0,"Recebimento com alerta; ","")&amp;IF(AL298&gt;0,"Vínculo de CDF com alerta; ","")&amp;IF(AND(AA298=0,AN298=0),"Recebimento não confirmado; ","")&amp;IF(AND(AA298=0,AN298=1,AO298=0),"CDF pendente ou a conferir; ",""))</f>
        <v/>
      </c>
      <c r="AX298" s="96">
        <f>IF(Z298=0,0,IF(AND(OR(f_ini="",AND(ISNUMBER(E298),E298&gt;=f_ini)),OR(f_fim="",AND(ISNUMBER(E298),E298&lt;=f_fim)),OR(f_un="",f_un="(Todas)",G298=f_un),OR(f_tr="",f_tr="(Todos)",H298=f_tr),OR(f_de="",f_de="(Todos)",I298=f_de),OR(f_sit="",f_sit="(Todas)",S298=f_sit)),1,0))</f>
        <v>0</v>
      </c>
      <c r="AY298" s="96">
        <f>IF(AX298=0,0,IF(OR(f_res="",f_res="(Todos)"),1,IF(COUNTIFS('ITENS_MTR'!$S$6:$S$1005,A298,'ITENS_MTR'!$C$6:$C$1005,f_res)&gt;0,1,0)))</f>
        <v>0</v>
      </c>
      <c r="AZ298" s="97" t="str">
        <f>IF(ISNUMBER(E298),DATE(YEAR(E298),MONTH(E298),1),"")</f>
        <v/>
      </c>
      <c r="BA298" s="96">
        <f>IF(Z298=0,0,IF(AND(OR(r_ini="",AND(ISNUMBER(E298),E298&gt;=r_ini)),OR(r_fim="",AND(ISNUMBER(E298),E298&lt;=r_fim)),OR(r_un="",r_un="(Todas)",G298=r_un),OR(r_de="",r_de="(Todos)",I298=r_de)),1,0))</f>
        <v>0</v>
      </c>
      <c r="BB298" s="96" t="str">
        <f>IF(BA298=1,COUNTIF($BA$6:BA298,1),"")</f>
        <v/>
      </c>
      <c r="BC298" s="96" t="str">
        <f>IF(AND(AU298&lt;&gt;"",OR(r_un="",r_un="(Todas)",G298=r_un),OR(r_de="",r_de="(Todos)",I298=r_de)),AU298,"")</f>
        <v/>
      </c>
      <c r="BD298" s="96" t="str">
        <f>IF(Z298=1,A298&amp;" | nº "&amp;IF(B298="","(sem número)",B298)&amp;" | "&amp;IF(G298="","(sem unidade)",G298),"")</f>
        <v/>
      </c>
      <c r="BE298" s="96" t="str">
        <f>IF(Z298=1,COUNTIF($Z$6:Z298,1),"")</f>
        <v/>
      </c>
      <c r="BF298" s="96" t="str">
        <f>IF(T298="","",IF(T298="RECEBIMENTO NÃO CONFIRMADO","Transp.: "&amp;H298&amp;" | Dest.: "&amp;I298,IF(OR(T298="CDF NÃO LOCALIZADO",T298="VÍNCULO INCOMPLETO",T298="CDF A CONFERIR"),"Dest.: "&amp;I298,"Gerador: "&amp;G298)))</f>
        <v/>
      </c>
    </row>
    <row r="299">
      <c r="A299" s="89" t="inlineStr">
        <is>
          <t>MTR-000294</t>
        </is>
      </c>
      <c r="B299" s="90" t="n"/>
      <c r="C299" s="91" t="n"/>
      <c r="D299" s="91" t="n"/>
      <c r="E299" s="92" t="n"/>
      <c r="F299" s="92" t="n"/>
      <c r="G299" s="91" t="n"/>
      <c r="H299" s="91" t="n"/>
      <c r="I299" s="91" t="n"/>
      <c r="J299" s="91" t="n"/>
      <c r="K299" s="91" t="n"/>
      <c r="L299" s="92" t="n"/>
      <c r="M299" s="91" t="n"/>
      <c r="N299" s="91" t="n"/>
      <c r="O299" s="91" t="n"/>
      <c r="P299" s="93" t="str">
        <f>IF(Z299=0,"",SUMIFS('ITENS_MTR'!$I$6:$I$1005,'ITENS_MTR'!$S$6:$S$1005,A299,'ITENS_MTR'!$Y$6:$Y$1005,1))</f>
        <v/>
      </c>
      <c r="Q299" s="93" t="str">
        <f>IF(Z299=0,"",SUMIFS('RECEBIMENTOS'!$H$6:$H$1005,'RECEBIMENTOS'!$B$6:$B$1005,A299,'RECEBIMENTOS'!$X$6:$X$1005,1))</f>
        <v/>
      </c>
      <c r="R299" s="93" t="str">
        <f>IF(Z299=0,"",SUMIFS('VÍNCULOS_CDF'!$H$6:$H$1005,'VÍNCULOS_CDF'!$D$6:$D$1005,A299,'VÍNCULOS_CDF'!$V$6:$V$1005,1))</f>
        <v/>
      </c>
      <c r="S299" s="94" t="str">
        <f>IF(Z299=0,"",IF(AA299=1,"Cancelado (informado)",IF(AE299=1,"Cadastro incompleto",IF(OR(AC299=1,AD299=1,AF299&gt;0,AH299&gt;0,AK299&gt;0,AL299&gt;0),"Informação a revisar",IF(AN299=0,"Aguardando recebimento",IF(N(R299)=0,"Aguardando CDF",IF(AJ299&lt;N(W299),"Vínculo de CDF parcial",IF(AO299=0,"CDF localizado, a conferir","Documentação conferida"))))))))</f>
        <v/>
      </c>
      <c r="T299" s="94" t="str">
        <f>IF(Z299=0,"",IF(S299="Cadastro incompleto","MTR INCOMPLETO",IF(S299="Informação a revisar",IF(AND(AH299&gt;0,AC299=0,AD299=0,AF299=0,AK299=0,AL299=0),"QUANTIDADE A REVISAR","IDENTIFICAÇÃO A REVISAR"),IF(S299="Aguardando recebimento","RECEBIMENTO NÃO CONFIRMADO",IF(S299="Aguardando CDF","CDF NÃO LOCALIZADO",IF(S299="Vínculo de CDF parcial","VÍNCULO INCOMPLETO",IF(S299="CDF localizado, a conferir","CDF A CONFERIR","")))))))</f>
        <v/>
      </c>
      <c r="U299" s="95" t="str">
        <f>IF(T299="","",IF(AQ299="","Não calculável",IF(AQ299&gt;TODAY(),"Data futura",TODAY()-AQ299)))</f>
        <v/>
      </c>
      <c r="V299" s="93" t="str">
        <f>IF(Z299=0,"",SUMIFS('RECEBIMENTOS'!$H$6:$H$1005,'RECEBIMENTOS'!$B$6:$B$1005,A299,'RECEBIMENTOS'!$Z$6:$Z$1005,1))</f>
        <v/>
      </c>
      <c r="W299" s="95" t="str">
        <f>IF(Z299=0,"",COUNTIFS('ITENS_MTR'!$S$6:$S$1005,A299,'ITENS_MTR'!$R$6:$R$1005,1))</f>
        <v/>
      </c>
      <c r="X299" s="94" t="str">
        <f>IF(AC299=1,"POSSÍVEL DUPLICIDADE","")</f>
        <v/>
      </c>
      <c r="Y299" s="94" t="str">
        <f>IF(Z299=0,"",IF(AW299="","Nenhuma",LEFT(AW299,LEN(AW299)-2)))</f>
        <v/>
      </c>
      <c r="Z299" s="96">
        <f>IF(COUNTA(B299:O299)&gt;0,1,0)</f>
        <v>0</v>
      </c>
      <c r="AA299" s="96">
        <f>IF(AND(Z299=1,K299&lt;&gt;""),IF(TRIM(K299)=TRIM(cfg_cancel),1,0),0)</f>
        <v>0</v>
      </c>
      <c r="AB299" s="96" t="str">
        <f>IF(AND(Z299=1,B299&lt;&gt;""),C299&amp;"|"&amp;D299&amp;"|"&amp;G299&amp;"|"&amp;TRIM(B299),"")</f>
        <v/>
      </c>
      <c r="AC299" s="96">
        <f>IF(AB299="",0,IF(SUMPRODUCT(--($AB$6:$AB$505=AB299))&gt;1,1,0))</f>
        <v>0</v>
      </c>
      <c r="AD299" s="96">
        <f>IF(Z299=0,0,IF(OR(AND(G299&lt;&gt;"",ISNA(MATCH(G299,'CAD_UNIDADES'!$C$6:$C$105,0))),AND(H299&lt;&gt;"",ISNA(MATCH(H299,cmp_transp,0))),AND(I299&lt;&gt;"",ISNA(MATCH(I299,cmp_dest,0))),AND(E299&lt;&gt;"",NOT(ISNUMBER(E299))),AND(F299&lt;&gt;"",NOT(ISNUMBER(F299))),AND(ISNUMBER(E299),ISNUMBER(F299),F299&lt;E299)),1,0))</f>
        <v>0</v>
      </c>
      <c r="AE299" s="96">
        <f>IF(Z299=0,0,IF(OR(B299="",C299="",E299="",G299="",H299="",I299="",N(W299)=0),1,0))</f>
        <v>0</v>
      </c>
      <c r="AF299" s="96">
        <f>IF(Z299=0,0,COUNTIFS('ITENS_MTR'!$S$6:$S$1005,A299,'ITENS_MTR'!$AI$6:$AI$1005,1))</f>
        <v>0</v>
      </c>
      <c r="AG299" s="96">
        <f>IF(Z299=0,0,COUNTIFS('ITENS_MTR'!$S$6:$S$1005,A299,'ITENS_MTR'!$AJ$6:$AJ$1005,1))</f>
        <v>0</v>
      </c>
      <c r="AH299" s="96">
        <f>IF(Z299=0,0,COUNTIFS('ITENS_MTR'!$S$6:$S$1005,A299,'ITENS_MTR'!$AM$6:$AM$1005,1))</f>
        <v>0</v>
      </c>
      <c r="AI299" s="96">
        <f>IF(Z299=0,0,COUNTIFS('ITENS_MTR'!$S$6:$S$1005,A299,'ITENS_MTR'!$AO$6:$AO$1005,1))</f>
        <v>0</v>
      </c>
      <c r="AJ299" s="96">
        <f>IF(Z299=0,0,COUNTIFS('ITENS_MTR'!$S$6:$S$1005,A299,'ITENS_MTR'!$AN$6:$AN$1005,1))</f>
        <v>0</v>
      </c>
      <c r="AK299" s="96">
        <f>IF(Z299=0,0,COUNTIFS('RECEBIMENTOS'!$B$6:$B$1005,A299,'RECEBIMENTOS'!$Y$6:$Y$1005,1))</f>
        <v>0</v>
      </c>
      <c r="AL299" s="96">
        <f>IF(Z299=0,0,COUNTIFS('VÍNCULOS_CDF'!$D$6:$D$1005,A299,'VÍNCULOS_CDF'!$Y$6:$Y$1005,1))</f>
        <v>0</v>
      </c>
      <c r="AM299" s="96">
        <f>IF(Z299=0,0,COUNTIFS('RECEBIMENTOS'!$B$6:$B$1005,A299,'RECEBIMENTOS'!$Q$6:$Q$1005,1))</f>
        <v>0</v>
      </c>
      <c r="AN299" s="96">
        <f>IF(AND(Z299=1,N(W299)&gt;0,AG299=N(W299)),1,0)</f>
        <v>0</v>
      </c>
      <c r="AO299" s="96">
        <f>IF(AND(Z299=1,N(W299)&gt;0,AI299=N(W299)),1,0)</f>
        <v>0</v>
      </c>
      <c r="AP299" s="97">
        <f>IF(Z299=0,0,_xlfn.MAXIFS('RECEBIMENTOS'!$E$6:$E$1005,'RECEBIMENTOS'!$B$6:$B$1005,A299))</f>
        <v>0</v>
      </c>
      <c r="AQ299" s="97" t="str">
        <f>IF(T299="","",IF(T299="RECEBIMENTO NÃO CONFIRMADO",IF(ISNUMBER(F299),F299,IF(ISNUMBER(E299),E299,"")),IF(OR(T299="CDF NÃO LOCALIZADO",T299="VÍNCULO INCOMPLETO",T299="CDF A CONFERIR"),IF(AP299&gt;0,AP299,IF(ISNUMBER(E299),E299,"")),IF(ISNUMBER(E299),E299,""))))</f>
        <v/>
      </c>
      <c r="AR299" s="96">
        <f>IF(NOT(ISNUMBER(U299)),0,IF(T299="RECEBIMENTO NÃO CONFIRMADO",IF(AND(ISNUMBER(cfg_rec),U299&gt;cfg_rec),1,0),IF(OR(T299="CDF NÃO LOCALIZADO",T299="VÍNCULO INCOMPLETO",T299="CDF A CONFERIR"),IF(AND(ISNUMBER(cfg_cdf),U299&gt;cfg_cdf),1,0),0)))</f>
        <v>0</v>
      </c>
      <c r="AS299" s="96" t="str">
        <f>IF(T299="","",IF(AR299=1,"Alta",IFERROR(INDEX(cfg_pp,MATCH(T299,cfg_pt,0))&amp;"","Média")))</f>
        <v/>
      </c>
      <c r="AT299" s="96" t="str">
        <f>IF(T299="","",IFERROR(INDEX(cfg_pv,MATCH(T299,cfg_pt,0))&amp;"",""))</f>
        <v/>
      </c>
      <c r="AU299" s="96" t="str">
        <f>IF(T299="","",IF(AS299="Alta",1,IF(AS299="Média",2,3))*1000000000+(999999-IF(ISNUMBER(U299),MIN(U299,999999),0))*1000+294)</f>
        <v/>
      </c>
      <c r="AV299" s="96">
        <f>IF(T299&lt;&gt;"",1,0)</f>
        <v>0</v>
      </c>
      <c r="AW299" s="96" t="str">
        <f>IF(Z299=0,"",IF(AA299=1,"Cancelamento informado; ","")&amp;IF(AE299=1,"Campos essenciais ou itens faltando; ","")&amp;IF(AC299=1,"Possível duplicidade do número; ","")&amp;IF(AD299=1,"Cadastro ou datas a revisar; ","")&amp;IF(AF299&gt;0,"Item de resíduo com dado a revisar; ","")&amp;IF(AH299&gt;0,"Diferença de quantidade a analisar; ","")&amp;IF(AK299&gt;0,"Recebimento com alerta; ","")&amp;IF(AL299&gt;0,"Vínculo de CDF com alerta; ","")&amp;IF(AND(AA299=0,AN299=0),"Recebimento não confirmado; ","")&amp;IF(AND(AA299=0,AN299=1,AO299=0),"CDF pendente ou a conferir; ",""))</f>
        <v/>
      </c>
      <c r="AX299" s="96">
        <f>IF(Z299=0,0,IF(AND(OR(f_ini="",AND(ISNUMBER(E299),E299&gt;=f_ini)),OR(f_fim="",AND(ISNUMBER(E299),E299&lt;=f_fim)),OR(f_un="",f_un="(Todas)",G299=f_un),OR(f_tr="",f_tr="(Todos)",H299=f_tr),OR(f_de="",f_de="(Todos)",I299=f_de),OR(f_sit="",f_sit="(Todas)",S299=f_sit)),1,0))</f>
        <v>0</v>
      </c>
      <c r="AY299" s="96">
        <f>IF(AX299=0,0,IF(OR(f_res="",f_res="(Todos)"),1,IF(COUNTIFS('ITENS_MTR'!$S$6:$S$1005,A299,'ITENS_MTR'!$C$6:$C$1005,f_res)&gt;0,1,0)))</f>
        <v>0</v>
      </c>
      <c r="AZ299" s="97" t="str">
        <f>IF(ISNUMBER(E299),DATE(YEAR(E299),MONTH(E299),1),"")</f>
        <v/>
      </c>
      <c r="BA299" s="96">
        <f>IF(Z299=0,0,IF(AND(OR(r_ini="",AND(ISNUMBER(E299),E299&gt;=r_ini)),OR(r_fim="",AND(ISNUMBER(E299),E299&lt;=r_fim)),OR(r_un="",r_un="(Todas)",G299=r_un),OR(r_de="",r_de="(Todos)",I299=r_de)),1,0))</f>
        <v>0</v>
      </c>
      <c r="BB299" s="96" t="str">
        <f>IF(BA299=1,COUNTIF($BA$6:BA299,1),"")</f>
        <v/>
      </c>
      <c r="BC299" s="96" t="str">
        <f>IF(AND(AU299&lt;&gt;"",OR(r_un="",r_un="(Todas)",G299=r_un),OR(r_de="",r_de="(Todos)",I299=r_de)),AU299,"")</f>
        <v/>
      </c>
      <c r="BD299" s="96" t="str">
        <f>IF(Z299=1,A299&amp;" | nº "&amp;IF(B299="","(sem número)",B299)&amp;" | "&amp;IF(G299="","(sem unidade)",G299),"")</f>
        <v/>
      </c>
      <c r="BE299" s="96" t="str">
        <f>IF(Z299=1,COUNTIF($Z$6:Z299,1),"")</f>
        <v/>
      </c>
      <c r="BF299" s="96" t="str">
        <f>IF(T299="","",IF(T299="RECEBIMENTO NÃO CONFIRMADO","Transp.: "&amp;H299&amp;" | Dest.: "&amp;I299,IF(OR(T299="CDF NÃO LOCALIZADO",T299="VÍNCULO INCOMPLETO",T299="CDF A CONFERIR"),"Dest.: "&amp;I299,"Gerador: "&amp;G299)))</f>
        <v/>
      </c>
    </row>
    <row r="300">
      <c r="A300" s="89" t="inlineStr">
        <is>
          <t>MTR-000295</t>
        </is>
      </c>
      <c r="B300" s="90" t="n"/>
      <c r="C300" s="91" t="n"/>
      <c r="D300" s="91" t="n"/>
      <c r="E300" s="92" t="n"/>
      <c r="F300" s="92" t="n"/>
      <c r="G300" s="91" t="n"/>
      <c r="H300" s="91" t="n"/>
      <c r="I300" s="91" t="n"/>
      <c r="J300" s="91" t="n"/>
      <c r="K300" s="91" t="n"/>
      <c r="L300" s="92" t="n"/>
      <c r="M300" s="91" t="n"/>
      <c r="N300" s="91" t="n"/>
      <c r="O300" s="91" t="n"/>
      <c r="P300" s="93" t="str">
        <f>IF(Z300=0,"",SUMIFS('ITENS_MTR'!$I$6:$I$1005,'ITENS_MTR'!$S$6:$S$1005,A300,'ITENS_MTR'!$Y$6:$Y$1005,1))</f>
        <v/>
      </c>
      <c r="Q300" s="93" t="str">
        <f>IF(Z300=0,"",SUMIFS('RECEBIMENTOS'!$H$6:$H$1005,'RECEBIMENTOS'!$B$6:$B$1005,A300,'RECEBIMENTOS'!$X$6:$X$1005,1))</f>
        <v/>
      </c>
      <c r="R300" s="93" t="str">
        <f>IF(Z300=0,"",SUMIFS('VÍNCULOS_CDF'!$H$6:$H$1005,'VÍNCULOS_CDF'!$D$6:$D$1005,A300,'VÍNCULOS_CDF'!$V$6:$V$1005,1))</f>
        <v/>
      </c>
      <c r="S300" s="94" t="str">
        <f>IF(Z300=0,"",IF(AA300=1,"Cancelado (informado)",IF(AE300=1,"Cadastro incompleto",IF(OR(AC300=1,AD300=1,AF300&gt;0,AH300&gt;0,AK300&gt;0,AL300&gt;0),"Informação a revisar",IF(AN300=0,"Aguardando recebimento",IF(N(R300)=0,"Aguardando CDF",IF(AJ300&lt;N(W300),"Vínculo de CDF parcial",IF(AO300=0,"CDF localizado, a conferir","Documentação conferida"))))))))</f>
        <v/>
      </c>
      <c r="T300" s="94" t="str">
        <f>IF(Z300=0,"",IF(S300="Cadastro incompleto","MTR INCOMPLETO",IF(S300="Informação a revisar",IF(AND(AH300&gt;0,AC300=0,AD300=0,AF300=0,AK300=0,AL300=0),"QUANTIDADE A REVISAR","IDENTIFICAÇÃO A REVISAR"),IF(S300="Aguardando recebimento","RECEBIMENTO NÃO CONFIRMADO",IF(S300="Aguardando CDF","CDF NÃO LOCALIZADO",IF(S300="Vínculo de CDF parcial","VÍNCULO INCOMPLETO",IF(S300="CDF localizado, a conferir","CDF A CONFERIR","")))))))</f>
        <v/>
      </c>
      <c r="U300" s="95" t="str">
        <f>IF(T300="","",IF(AQ300="","Não calculável",IF(AQ300&gt;TODAY(),"Data futura",TODAY()-AQ300)))</f>
        <v/>
      </c>
      <c r="V300" s="93" t="str">
        <f>IF(Z300=0,"",SUMIFS('RECEBIMENTOS'!$H$6:$H$1005,'RECEBIMENTOS'!$B$6:$B$1005,A300,'RECEBIMENTOS'!$Z$6:$Z$1005,1))</f>
        <v/>
      </c>
      <c r="W300" s="95" t="str">
        <f>IF(Z300=0,"",COUNTIFS('ITENS_MTR'!$S$6:$S$1005,A300,'ITENS_MTR'!$R$6:$R$1005,1))</f>
        <v/>
      </c>
      <c r="X300" s="94" t="str">
        <f>IF(AC300=1,"POSSÍVEL DUPLICIDADE","")</f>
        <v/>
      </c>
      <c r="Y300" s="94" t="str">
        <f>IF(Z300=0,"",IF(AW300="","Nenhuma",LEFT(AW300,LEN(AW300)-2)))</f>
        <v/>
      </c>
      <c r="Z300" s="96">
        <f>IF(COUNTA(B300:O300)&gt;0,1,0)</f>
        <v>0</v>
      </c>
      <c r="AA300" s="96">
        <f>IF(AND(Z300=1,K300&lt;&gt;""),IF(TRIM(K300)=TRIM(cfg_cancel),1,0),0)</f>
        <v>0</v>
      </c>
      <c r="AB300" s="96" t="str">
        <f>IF(AND(Z300=1,B300&lt;&gt;""),C300&amp;"|"&amp;D300&amp;"|"&amp;G300&amp;"|"&amp;TRIM(B300),"")</f>
        <v/>
      </c>
      <c r="AC300" s="96">
        <f>IF(AB300="",0,IF(SUMPRODUCT(--($AB$6:$AB$505=AB300))&gt;1,1,0))</f>
        <v>0</v>
      </c>
      <c r="AD300" s="96">
        <f>IF(Z300=0,0,IF(OR(AND(G300&lt;&gt;"",ISNA(MATCH(G300,'CAD_UNIDADES'!$C$6:$C$105,0))),AND(H300&lt;&gt;"",ISNA(MATCH(H300,cmp_transp,0))),AND(I300&lt;&gt;"",ISNA(MATCH(I300,cmp_dest,0))),AND(E300&lt;&gt;"",NOT(ISNUMBER(E300))),AND(F300&lt;&gt;"",NOT(ISNUMBER(F300))),AND(ISNUMBER(E300),ISNUMBER(F300),F300&lt;E300)),1,0))</f>
        <v>0</v>
      </c>
      <c r="AE300" s="96">
        <f>IF(Z300=0,0,IF(OR(B300="",C300="",E300="",G300="",H300="",I300="",N(W300)=0),1,0))</f>
        <v>0</v>
      </c>
      <c r="AF300" s="96">
        <f>IF(Z300=0,0,COUNTIFS('ITENS_MTR'!$S$6:$S$1005,A300,'ITENS_MTR'!$AI$6:$AI$1005,1))</f>
        <v>0</v>
      </c>
      <c r="AG300" s="96">
        <f>IF(Z300=0,0,COUNTIFS('ITENS_MTR'!$S$6:$S$1005,A300,'ITENS_MTR'!$AJ$6:$AJ$1005,1))</f>
        <v>0</v>
      </c>
      <c r="AH300" s="96">
        <f>IF(Z300=0,0,COUNTIFS('ITENS_MTR'!$S$6:$S$1005,A300,'ITENS_MTR'!$AM$6:$AM$1005,1))</f>
        <v>0</v>
      </c>
      <c r="AI300" s="96">
        <f>IF(Z300=0,0,COUNTIFS('ITENS_MTR'!$S$6:$S$1005,A300,'ITENS_MTR'!$AO$6:$AO$1005,1))</f>
        <v>0</v>
      </c>
      <c r="AJ300" s="96">
        <f>IF(Z300=0,0,COUNTIFS('ITENS_MTR'!$S$6:$S$1005,A300,'ITENS_MTR'!$AN$6:$AN$1005,1))</f>
        <v>0</v>
      </c>
      <c r="AK300" s="96">
        <f>IF(Z300=0,0,COUNTIFS('RECEBIMENTOS'!$B$6:$B$1005,A300,'RECEBIMENTOS'!$Y$6:$Y$1005,1))</f>
        <v>0</v>
      </c>
      <c r="AL300" s="96">
        <f>IF(Z300=0,0,COUNTIFS('VÍNCULOS_CDF'!$D$6:$D$1005,A300,'VÍNCULOS_CDF'!$Y$6:$Y$1005,1))</f>
        <v>0</v>
      </c>
      <c r="AM300" s="96">
        <f>IF(Z300=0,0,COUNTIFS('RECEBIMENTOS'!$B$6:$B$1005,A300,'RECEBIMENTOS'!$Q$6:$Q$1005,1))</f>
        <v>0</v>
      </c>
      <c r="AN300" s="96">
        <f>IF(AND(Z300=1,N(W300)&gt;0,AG300=N(W300)),1,0)</f>
        <v>0</v>
      </c>
      <c r="AO300" s="96">
        <f>IF(AND(Z300=1,N(W300)&gt;0,AI300=N(W300)),1,0)</f>
        <v>0</v>
      </c>
      <c r="AP300" s="97">
        <f>IF(Z300=0,0,_xlfn.MAXIFS('RECEBIMENTOS'!$E$6:$E$1005,'RECEBIMENTOS'!$B$6:$B$1005,A300))</f>
        <v>0</v>
      </c>
      <c r="AQ300" s="97" t="str">
        <f>IF(T300="","",IF(T300="RECEBIMENTO NÃO CONFIRMADO",IF(ISNUMBER(F300),F300,IF(ISNUMBER(E300),E300,"")),IF(OR(T300="CDF NÃO LOCALIZADO",T300="VÍNCULO INCOMPLETO",T300="CDF A CONFERIR"),IF(AP300&gt;0,AP300,IF(ISNUMBER(E300),E300,"")),IF(ISNUMBER(E300),E300,""))))</f>
        <v/>
      </c>
      <c r="AR300" s="96">
        <f>IF(NOT(ISNUMBER(U300)),0,IF(T300="RECEBIMENTO NÃO CONFIRMADO",IF(AND(ISNUMBER(cfg_rec),U300&gt;cfg_rec),1,0),IF(OR(T300="CDF NÃO LOCALIZADO",T300="VÍNCULO INCOMPLETO",T300="CDF A CONFERIR"),IF(AND(ISNUMBER(cfg_cdf),U300&gt;cfg_cdf),1,0),0)))</f>
        <v>0</v>
      </c>
      <c r="AS300" s="96" t="str">
        <f>IF(T300="","",IF(AR300=1,"Alta",IFERROR(INDEX(cfg_pp,MATCH(T300,cfg_pt,0))&amp;"","Média")))</f>
        <v/>
      </c>
      <c r="AT300" s="96" t="str">
        <f>IF(T300="","",IFERROR(INDEX(cfg_pv,MATCH(T300,cfg_pt,0))&amp;"",""))</f>
        <v/>
      </c>
      <c r="AU300" s="96" t="str">
        <f>IF(T300="","",IF(AS300="Alta",1,IF(AS300="Média",2,3))*1000000000+(999999-IF(ISNUMBER(U300),MIN(U300,999999),0))*1000+295)</f>
        <v/>
      </c>
      <c r="AV300" s="96">
        <f>IF(T300&lt;&gt;"",1,0)</f>
        <v>0</v>
      </c>
      <c r="AW300" s="96" t="str">
        <f>IF(Z300=0,"",IF(AA300=1,"Cancelamento informado; ","")&amp;IF(AE300=1,"Campos essenciais ou itens faltando; ","")&amp;IF(AC300=1,"Possível duplicidade do número; ","")&amp;IF(AD300=1,"Cadastro ou datas a revisar; ","")&amp;IF(AF300&gt;0,"Item de resíduo com dado a revisar; ","")&amp;IF(AH300&gt;0,"Diferença de quantidade a analisar; ","")&amp;IF(AK300&gt;0,"Recebimento com alerta; ","")&amp;IF(AL300&gt;0,"Vínculo de CDF com alerta; ","")&amp;IF(AND(AA300=0,AN300=0),"Recebimento não confirmado; ","")&amp;IF(AND(AA300=0,AN300=1,AO300=0),"CDF pendente ou a conferir; ",""))</f>
        <v/>
      </c>
      <c r="AX300" s="96">
        <f>IF(Z300=0,0,IF(AND(OR(f_ini="",AND(ISNUMBER(E300),E300&gt;=f_ini)),OR(f_fim="",AND(ISNUMBER(E300),E300&lt;=f_fim)),OR(f_un="",f_un="(Todas)",G300=f_un),OR(f_tr="",f_tr="(Todos)",H300=f_tr),OR(f_de="",f_de="(Todos)",I300=f_de),OR(f_sit="",f_sit="(Todas)",S300=f_sit)),1,0))</f>
        <v>0</v>
      </c>
      <c r="AY300" s="96">
        <f>IF(AX300=0,0,IF(OR(f_res="",f_res="(Todos)"),1,IF(COUNTIFS('ITENS_MTR'!$S$6:$S$1005,A300,'ITENS_MTR'!$C$6:$C$1005,f_res)&gt;0,1,0)))</f>
        <v>0</v>
      </c>
      <c r="AZ300" s="97" t="str">
        <f>IF(ISNUMBER(E300),DATE(YEAR(E300),MONTH(E300),1),"")</f>
        <v/>
      </c>
      <c r="BA300" s="96">
        <f>IF(Z300=0,0,IF(AND(OR(r_ini="",AND(ISNUMBER(E300),E300&gt;=r_ini)),OR(r_fim="",AND(ISNUMBER(E300),E300&lt;=r_fim)),OR(r_un="",r_un="(Todas)",G300=r_un),OR(r_de="",r_de="(Todos)",I300=r_de)),1,0))</f>
        <v>0</v>
      </c>
      <c r="BB300" s="96" t="str">
        <f>IF(BA300=1,COUNTIF($BA$6:BA300,1),"")</f>
        <v/>
      </c>
      <c r="BC300" s="96" t="str">
        <f>IF(AND(AU300&lt;&gt;"",OR(r_un="",r_un="(Todas)",G300=r_un),OR(r_de="",r_de="(Todos)",I300=r_de)),AU300,"")</f>
        <v/>
      </c>
      <c r="BD300" s="96" t="str">
        <f>IF(Z300=1,A300&amp;" | nº "&amp;IF(B300="","(sem número)",B300)&amp;" | "&amp;IF(G300="","(sem unidade)",G300),"")</f>
        <v/>
      </c>
      <c r="BE300" s="96" t="str">
        <f>IF(Z300=1,COUNTIF($Z$6:Z300,1),"")</f>
        <v/>
      </c>
      <c r="BF300" s="96" t="str">
        <f>IF(T300="","",IF(T300="RECEBIMENTO NÃO CONFIRMADO","Transp.: "&amp;H300&amp;" | Dest.: "&amp;I300,IF(OR(T300="CDF NÃO LOCALIZADO",T300="VÍNCULO INCOMPLETO",T300="CDF A CONFERIR"),"Dest.: "&amp;I300,"Gerador: "&amp;G300)))</f>
        <v/>
      </c>
    </row>
    <row r="301">
      <c r="A301" s="89" t="inlineStr">
        <is>
          <t>MTR-000296</t>
        </is>
      </c>
      <c r="B301" s="90" t="n"/>
      <c r="C301" s="91" t="n"/>
      <c r="D301" s="91" t="n"/>
      <c r="E301" s="92" t="n"/>
      <c r="F301" s="92" t="n"/>
      <c r="G301" s="91" t="n"/>
      <c r="H301" s="91" t="n"/>
      <c r="I301" s="91" t="n"/>
      <c r="J301" s="91" t="n"/>
      <c r="K301" s="91" t="n"/>
      <c r="L301" s="92" t="n"/>
      <c r="M301" s="91" t="n"/>
      <c r="N301" s="91" t="n"/>
      <c r="O301" s="91" t="n"/>
      <c r="P301" s="93" t="str">
        <f>IF(Z301=0,"",SUMIFS('ITENS_MTR'!$I$6:$I$1005,'ITENS_MTR'!$S$6:$S$1005,A301,'ITENS_MTR'!$Y$6:$Y$1005,1))</f>
        <v/>
      </c>
      <c r="Q301" s="93" t="str">
        <f>IF(Z301=0,"",SUMIFS('RECEBIMENTOS'!$H$6:$H$1005,'RECEBIMENTOS'!$B$6:$B$1005,A301,'RECEBIMENTOS'!$X$6:$X$1005,1))</f>
        <v/>
      </c>
      <c r="R301" s="93" t="str">
        <f>IF(Z301=0,"",SUMIFS('VÍNCULOS_CDF'!$H$6:$H$1005,'VÍNCULOS_CDF'!$D$6:$D$1005,A301,'VÍNCULOS_CDF'!$V$6:$V$1005,1))</f>
        <v/>
      </c>
      <c r="S301" s="94" t="str">
        <f>IF(Z301=0,"",IF(AA301=1,"Cancelado (informado)",IF(AE301=1,"Cadastro incompleto",IF(OR(AC301=1,AD301=1,AF301&gt;0,AH301&gt;0,AK301&gt;0,AL301&gt;0),"Informação a revisar",IF(AN301=0,"Aguardando recebimento",IF(N(R301)=0,"Aguardando CDF",IF(AJ301&lt;N(W301),"Vínculo de CDF parcial",IF(AO301=0,"CDF localizado, a conferir","Documentação conferida"))))))))</f>
        <v/>
      </c>
      <c r="T301" s="94" t="str">
        <f>IF(Z301=0,"",IF(S301="Cadastro incompleto","MTR INCOMPLETO",IF(S301="Informação a revisar",IF(AND(AH301&gt;0,AC301=0,AD301=0,AF301=0,AK301=0,AL301=0),"QUANTIDADE A REVISAR","IDENTIFICAÇÃO A REVISAR"),IF(S301="Aguardando recebimento","RECEBIMENTO NÃO CONFIRMADO",IF(S301="Aguardando CDF","CDF NÃO LOCALIZADO",IF(S301="Vínculo de CDF parcial","VÍNCULO INCOMPLETO",IF(S301="CDF localizado, a conferir","CDF A CONFERIR","")))))))</f>
        <v/>
      </c>
      <c r="U301" s="95" t="str">
        <f>IF(T301="","",IF(AQ301="","Não calculável",IF(AQ301&gt;TODAY(),"Data futura",TODAY()-AQ301)))</f>
        <v/>
      </c>
      <c r="V301" s="93" t="str">
        <f>IF(Z301=0,"",SUMIFS('RECEBIMENTOS'!$H$6:$H$1005,'RECEBIMENTOS'!$B$6:$B$1005,A301,'RECEBIMENTOS'!$Z$6:$Z$1005,1))</f>
        <v/>
      </c>
      <c r="W301" s="95" t="str">
        <f>IF(Z301=0,"",COUNTIFS('ITENS_MTR'!$S$6:$S$1005,A301,'ITENS_MTR'!$R$6:$R$1005,1))</f>
        <v/>
      </c>
      <c r="X301" s="94" t="str">
        <f>IF(AC301=1,"POSSÍVEL DUPLICIDADE","")</f>
        <v/>
      </c>
      <c r="Y301" s="94" t="str">
        <f>IF(Z301=0,"",IF(AW301="","Nenhuma",LEFT(AW301,LEN(AW301)-2)))</f>
        <v/>
      </c>
      <c r="Z301" s="96">
        <f>IF(COUNTA(B301:O301)&gt;0,1,0)</f>
        <v>0</v>
      </c>
      <c r="AA301" s="96">
        <f>IF(AND(Z301=1,K301&lt;&gt;""),IF(TRIM(K301)=TRIM(cfg_cancel),1,0),0)</f>
        <v>0</v>
      </c>
      <c r="AB301" s="96" t="str">
        <f>IF(AND(Z301=1,B301&lt;&gt;""),C301&amp;"|"&amp;D301&amp;"|"&amp;G301&amp;"|"&amp;TRIM(B301),"")</f>
        <v/>
      </c>
      <c r="AC301" s="96">
        <f>IF(AB301="",0,IF(SUMPRODUCT(--($AB$6:$AB$505=AB301))&gt;1,1,0))</f>
        <v>0</v>
      </c>
      <c r="AD301" s="96">
        <f>IF(Z301=0,0,IF(OR(AND(G301&lt;&gt;"",ISNA(MATCH(G301,'CAD_UNIDADES'!$C$6:$C$105,0))),AND(H301&lt;&gt;"",ISNA(MATCH(H301,cmp_transp,0))),AND(I301&lt;&gt;"",ISNA(MATCH(I301,cmp_dest,0))),AND(E301&lt;&gt;"",NOT(ISNUMBER(E301))),AND(F301&lt;&gt;"",NOT(ISNUMBER(F301))),AND(ISNUMBER(E301),ISNUMBER(F301),F301&lt;E301)),1,0))</f>
        <v>0</v>
      </c>
      <c r="AE301" s="96">
        <f>IF(Z301=0,0,IF(OR(B301="",C301="",E301="",G301="",H301="",I301="",N(W301)=0),1,0))</f>
        <v>0</v>
      </c>
      <c r="AF301" s="96">
        <f>IF(Z301=0,0,COUNTIFS('ITENS_MTR'!$S$6:$S$1005,A301,'ITENS_MTR'!$AI$6:$AI$1005,1))</f>
        <v>0</v>
      </c>
      <c r="AG301" s="96">
        <f>IF(Z301=0,0,COUNTIFS('ITENS_MTR'!$S$6:$S$1005,A301,'ITENS_MTR'!$AJ$6:$AJ$1005,1))</f>
        <v>0</v>
      </c>
      <c r="AH301" s="96">
        <f>IF(Z301=0,0,COUNTIFS('ITENS_MTR'!$S$6:$S$1005,A301,'ITENS_MTR'!$AM$6:$AM$1005,1))</f>
        <v>0</v>
      </c>
      <c r="AI301" s="96">
        <f>IF(Z301=0,0,COUNTIFS('ITENS_MTR'!$S$6:$S$1005,A301,'ITENS_MTR'!$AO$6:$AO$1005,1))</f>
        <v>0</v>
      </c>
      <c r="AJ301" s="96">
        <f>IF(Z301=0,0,COUNTIFS('ITENS_MTR'!$S$6:$S$1005,A301,'ITENS_MTR'!$AN$6:$AN$1005,1))</f>
        <v>0</v>
      </c>
      <c r="AK301" s="96">
        <f>IF(Z301=0,0,COUNTIFS('RECEBIMENTOS'!$B$6:$B$1005,A301,'RECEBIMENTOS'!$Y$6:$Y$1005,1))</f>
        <v>0</v>
      </c>
      <c r="AL301" s="96">
        <f>IF(Z301=0,0,COUNTIFS('VÍNCULOS_CDF'!$D$6:$D$1005,A301,'VÍNCULOS_CDF'!$Y$6:$Y$1005,1))</f>
        <v>0</v>
      </c>
      <c r="AM301" s="96">
        <f>IF(Z301=0,0,COUNTIFS('RECEBIMENTOS'!$B$6:$B$1005,A301,'RECEBIMENTOS'!$Q$6:$Q$1005,1))</f>
        <v>0</v>
      </c>
      <c r="AN301" s="96">
        <f>IF(AND(Z301=1,N(W301)&gt;0,AG301=N(W301)),1,0)</f>
        <v>0</v>
      </c>
      <c r="AO301" s="96">
        <f>IF(AND(Z301=1,N(W301)&gt;0,AI301=N(W301)),1,0)</f>
        <v>0</v>
      </c>
      <c r="AP301" s="97">
        <f>IF(Z301=0,0,_xlfn.MAXIFS('RECEBIMENTOS'!$E$6:$E$1005,'RECEBIMENTOS'!$B$6:$B$1005,A301))</f>
        <v>0</v>
      </c>
      <c r="AQ301" s="97" t="str">
        <f>IF(T301="","",IF(T301="RECEBIMENTO NÃO CONFIRMADO",IF(ISNUMBER(F301),F301,IF(ISNUMBER(E301),E301,"")),IF(OR(T301="CDF NÃO LOCALIZADO",T301="VÍNCULO INCOMPLETO",T301="CDF A CONFERIR"),IF(AP301&gt;0,AP301,IF(ISNUMBER(E301),E301,"")),IF(ISNUMBER(E301),E301,""))))</f>
        <v/>
      </c>
      <c r="AR301" s="96">
        <f>IF(NOT(ISNUMBER(U301)),0,IF(T301="RECEBIMENTO NÃO CONFIRMADO",IF(AND(ISNUMBER(cfg_rec),U301&gt;cfg_rec),1,0),IF(OR(T301="CDF NÃO LOCALIZADO",T301="VÍNCULO INCOMPLETO",T301="CDF A CONFERIR"),IF(AND(ISNUMBER(cfg_cdf),U301&gt;cfg_cdf),1,0),0)))</f>
        <v>0</v>
      </c>
      <c r="AS301" s="96" t="str">
        <f>IF(T301="","",IF(AR301=1,"Alta",IFERROR(INDEX(cfg_pp,MATCH(T301,cfg_pt,0))&amp;"","Média")))</f>
        <v/>
      </c>
      <c r="AT301" s="96" t="str">
        <f>IF(T301="","",IFERROR(INDEX(cfg_pv,MATCH(T301,cfg_pt,0))&amp;"",""))</f>
        <v/>
      </c>
      <c r="AU301" s="96" t="str">
        <f>IF(T301="","",IF(AS301="Alta",1,IF(AS301="Média",2,3))*1000000000+(999999-IF(ISNUMBER(U301),MIN(U301,999999),0))*1000+296)</f>
        <v/>
      </c>
      <c r="AV301" s="96">
        <f>IF(T301&lt;&gt;"",1,0)</f>
        <v>0</v>
      </c>
      <c r="AW301" s="96" t="str">
        <f>IF(Z301=0,"",IF(AA301=1,"Cancelamento informado; ","")&amp;IF(AE301=1,"Campos essenciais ou itens faltando; ","")&amp;IF(AC301=1,"Possível duplicidade do número; ","")&amp;IF(AD301=1,"Cadastro ou datas a revisar; ","")&amp;IF(AF301&gt;0,"Item de resíduo com dado a revisar; ","")&amp;IF(AH301&gt;0,"Diferença de quantidade a analisar; ","")&amp;IF(AK301&gt;0,"Recebimento com alerta; ","")&amp;IF(AL301&gt;0,"Vínculo de CDF com alerta; ","")&amp;IF(AND(AA301=0,AN301=0),"Recebimento não confirmado; ","")&amp;IF(AND(AA301=0,AN301=1,AO301=0),"CDF pendente ou a conferir; ",""))</f>
        <v/>
      </c>
      <c r="AX301" s="96">
        <f>IF(Z301=0,0,IF(AND(OR(f_ini="",AND(ISNUMBER(E301),E301&gt;=f_ini)),OR(f_fim="",AND(ISNUMBER(E301),E301&lt;=f_fim)),OR(f_un="",f_un="(Todas)",G301=f_un),OR(f_tr="",f_tr="(Todos)",H301=f_tr),OR(f_de="",f_de="(Todos)",I301=f_de),OR(f_sit="",f_sit="(Todas)",S301=f_sit)),1,0))</f>
        <v>0</v>
      </c>
      <c r="AY301" s="96">
        <f>IF(AX301=0,0,IF(OR(f_res="",f_res="(Todos)"),1,IF(COUNTIFS('ITENS_MTR'!$S$6:$S$1005,A301,'ITENS_MTR'!$C$6:$C$1005,f_res)&gt;0,1,0)))</f>
        <v>0</v>
      </c>
      <c r="AZ301" s="97" t="str">
        <f>IF(ISNUMBER(E301),DATE(YEAR(E301),MONTH(E301),1),"")</f>
        <v/>
      </c>
      <c r="BA301" s="96">
        <f>IF(Z301=0,0,IF(AND(OR(r_ini="",AND(ISNUMBER(E301),E301&gt;=r_ini)),OR(r_fim="",AND(ISNUMBER(E301),E301&lt;=r_fim)),OR(r_un="",r_un="(Todas)",G301=r_un),OR(r_de="",r_de="(Todos)",I301=r_de)),1,0))</f>
        <v>0</v>
      </c>
      <c r="BB301" s="96" t="str">
        <f>IF(BA301=1,COUNTIF($BA$6:BA301,1),"")</f>
        <v/>
      </c>
      <c r="BC301" s="96" t="str">
        <f>IF(AND(AU301&lt;&gt;"",OR(r_un="",r_un="(Todas)",G301=r_un),OR(r_de="",r_de="(Todos)",I301=r_de)),AU301,"")</f>
        <v/>
      </c>
      <c r="BD301" s="96" t="str">
        <f>IF(Z301=1,A301&amp;" | nº "&amp;IF(B301="","(sem número)",B301)&amp;" | "&amp;IF(G301="","(sem unidade)",G301),"")</f>
        <v/>
      </c>
      <c r="BE301" s="96" t="str">
        <f>IF(Z301=1,COUNTIF($Z$6:Z301,1),"")</f>
        <v/>
      </c>
      <c r="BF301" s="96" t="str">
        <f>IF(T301="","",IF(T301="RECEBIMENTO NÃO CONFIRMADO","Transp.: "&amp;H301&amp;" | Dest.: "&amp;I301,IF(OR(T301="CDF NÃO LOCALIZADO",T301="VÍNCULO INCOMPLETO",T301="CDF A CONFERIR"),"Dest.: "&amp;I301,"Gerador: "&amp;G301)))</f>
        <v/>
      </c>
    </row>
    <row r="302">
      <c r="A302" s="89" t="inlineStr">
        <is>
          <t>MTR-000297</t>
        </is>
      </c>
      <c r="B302" s="90" t="n"/>
      <c r="C302" s="91" t="n"/>
      <c r="D302" s="91" t="n"/>
      <c r="E302" s="92" t="n"/>
      <c r="F302" s="92" t="n"/>
      <c r="G302" s="91" t="n"/>
      <c r="H302" s="91" t="n"/>
      <c r="I302" s="91" t="n"/>
      <c r="J302" s="91" t="n"/>
      <c r="K302" s="91" t="n"/>
      <c r="L302" s="92" t="n"/>
      <c r="M302" s="91" t="n"/>
      <c r="N302" s="91" t="n"/>
      <c r="O302" s="91" t="n"/>
      <c r="P302" s="93" t="str">
        <f>IF(Z302=0,"",SUMIFS('ITENS_MTR'!$I$6:$I$1005,'ITENS_MTR'!$S$6:$S$1005,A302,'ITENS_MTR'!$Y$6:$Y$1005,1))</f>
        <v/>
      </c>
      <c r="Q302" s="93" t="str">
        <f>IF(Z302=0,"",SUMIFS('RECEBIMENTOS'!$H$6:$H$1005,'RECEBIMENTOS'!$B$6:$B$1005,A302,'RECEBIMENTOS'!$X$6:$X$1005,1))</f>
        <v/>
      </c>
      <c r="R302" s="93" t="str">
        <f>IF(Z302=0,"",SUMIFS('VÍNCULOS_CDF'!$H$6:$H$1005,'VÍNCULOS_CDF'!$D$6:$D$1005,A302,'VÍNCULOS_CDF'!$V$6:$V$1005,1))</f>
        <v/>
      </c>
      <c r="S302" s="94" t="str">
        <f>IF(Z302=0,"",IF(AA302=1,"Cancelado (informado)",IF(AE302=1,"Cadastro incompleto",IF(OR(AC302=1,AD302=1,AF302&gt;0,AH302&gt;0,AK302&gt;0,AL302&gt;0),"Informação a revisar",IF(AN302=0,"Aguardando recebimento",IF(N(R302)=0,"Aguardando CDF",IF(AJ302&lt;N(W302),"Vínculo de CDF parcial",IF(AO302=0,"CDF localizado, a conferir","Documentação conferida"))))))))</f>
        <v/>
      </c>
      <c r="T302" s="94" t="str">
        <f>IF(Z302=0,"",IF(S302="Cadastro incompleto","MTR INCOMPLETO",IF(S302="Informação a revisar",IF(AND(AH302&gt;0,AC302=0,AD302=0,AF302=0,AK302=0,AL302=0),"QUANTIDADE A REVISAR","IDENTIFICAÇÃO A REVISAR"),IF(S302="Aguardando recebimento","RECEBIMENTO NÃO CONFIRMADO",IF(S302="Aguardando CDF","CDF NÃO LOCALIZADO",IF(S302="Vínculo de CDF parcial","VÍNCULO INCOMPLETO",IF(S302="CDF localizado, a conferir","CDF A CONFERIR","")))))))</f>
        <v/>
      </c>
      <c r="U302" s="95" t="str">
        <f>IF(T302="","",IF(AQ302="","Não calculável",IF(AQ302&gt;TODAY(),"Data futura",TODAY()-AQ302)))</f>
        <v/>
      </c>
      <c r="V302" s="93" t="str">
        <f>IF(Z302=0,"",SUMIFS('RECEBIMENTOS'!$H$6:$H$1005,'RECEBIMENTOS'!$B$6:$B$1005,A302,'RECEBIMENTOS'!$Z$6:$Z$1005,1))</f>
        <v/>
      </c>
      <c r="W302" s="95" t="str">
        <f>IF(Z302=0,"",COUNTIFS('ITENS_MTR'!$S$6:$S$1005,A302,'ITENS_MTR'!$R$6:$R$1005,1))</f>
        <v/>
      </c>
      <c r="X302" s="94" t="str">
        <f>IF(AC302=1,"POSSÍVEL DUPLICIDADE","")</f>
        <v/>
      </c>
      <c r="Y302" s="94" t="str">
        <f>IF(Z302=0,"",IF(AW302="","Nenhuma",LEFT(AW302,LEN(AW302)-2)))</f>
        <v/>
      </c>
      <c r="Z302" s="96">
        <f>IF(COUNTA(B302:O302)&gt;0,1,0)</f>
        <v>0</v>
      </c>
      <c r="AA302" s="96">
        <f>IF(AND(Z302=1,K302&lt;&gt;""),IF(TRIM(K302)=TRIM(cfg_cancel),1,0),0)</f>
        <v>0</v>
      </c>
      <c r="AB302" s="96" t="str">
        <f>IF(AND(Z302=1,B302&lt;&gt;""),C302&amp;"|"&amp;D302&amp;"|"&amp;G302&amp;"|"&amp;TRIM(B302),"")</f>
        <v/>
      </c>
      <c r="AC302" s="96">
        <f>IF(AB302="",0,IF(SUMPRODUCT(--($AB$6:$AB$505=AB302))&gt;1,1,0))</f>
        <v>0</v>
      </c>
      <c r="AD302" s="96">
        <f>IF(Z302=0,0,IF(OR(AND(G302&lt;&gt;"",ISNA(MATCH(G302,'CAD_UNIDADES'!$C$6:$C$105,0))),AND(H302&lt;&gt;"",ISNA(MATCH(H302,cmp_transp,0))),AND(I302&lt;&gt;"",ISNA(MATCH(I302,cmp_dest,0))),AND(E302&lt;&gt;"",NOT(ISNUMBER(E302))),AND(F302&lt;&gt;"",NOT(ISNUMBER(F302))),AND(ISNUMBER(E302),ISNUMBER(F302),F302&lt;E302)),1,0))</f>
        <v>0</v>
      </c>
      <c r="AE302" s="96">
        <f>IF(Z302=0,0,IF(OR(B302="",C302="",E302="",G302="",H302="",I302="",N(W302)=0),1,0))</f>
        <v>0</v>
      </c>
      <c r="AF302" s="96">
        <f>IF(Z302=0,0,COUNTIFS('ITENS_MTR'!$S$6:$S$1005,A302,'ITENS_MTR'!$AI$6:$AI$1005,1))</f>
        <v>0</v>
      </c>
      <c r="AG302" s="96">
        <f>IF(Z302=0,0,COUNTIFS('ITENS_MTR'!$S$6:$S$1005,A302,'ITENS_MTR'!$AJ$6:$AJ$1005,1))</f>
        <v>0</v>
      </c>
      <c r="AH302" s="96">
        <f>IF(Z302=0,0,COUNTIFS('ITENS_MTR'!$S$6:$S$1005,A302,'ITENS_MTR'!$AM$6:$AM$1005,1))</f>
        <v>0</v>
      </c>
      <c r="AI302" s="96">
        <f>IF(Z302=0,0,COUNTIFS('ITENS_MTR'!$S$6:$S$1005,A302,'ITENS_MTR'!$AO$6:$AO$1005,1))</f>
        <v>0</v>
      </c>
      <c r="AJ302" s="96">
        <f>IF(Z302=0,0,COUNTIFS('ITENS_MTR'!$S$6:$S$1005,A302,'ITENS_MTR'!$AN$6:$AN$1005,1))</f>
        <v>0</v>
      </c>
      <c r="AK302" s="96">
        <f>IF(Z302=0,0,COUNTIFS('RECEBIMENTOS'!$B$6:$B$1005,A302,'RECEBIMENTOS'!$Y$6:$Y$1005,1))</f>
        <v>0</v>
      </c>
      <c r="AL302" s="96">
        <f>IF(Z302=0,0,COUNTIFS('VÍNCULOS_CDF'!$D$6:$D$1005,A302,'VÍNCULOS_CDF'!$Y$6:$Y$1005,1))</f>
        <v>0</v>
      </c>
      <c r="AM302" s="96">
        <f>IF(Z302=0,0,COUNTIFS('RECEBIMENTOS'!$B$6:$B$1005,A302,'RECEBIMENTOS'!$Q$6:$Q$1005,1))</f>
        <v>0</v>
      </c>
      <c r="AN302" s="96">
        <f>IF(AND(Z302=1,N(W302)&gt;0,AG302=N(W302)),1,0)</f>
        <v>0</v>
      </c>
      <c r="AO302" s="96">
        <f>IF(AND(Z302=1,N(W302)&gt;0,AI302=N(W302)),1,0)</f>
        <v>0</v>
      </c>
      <c r="AP302" s="97">
        <f>IF(Z302=0,0,_xlfn.MAXIFS('RECEBIMENTOS'!$E$6:$E$1005,'RECEBIMENTOS'!$B$6:$B$1005,A302))</f>
        <v>0</v>
      </c>
      <c r="AQ302" s="97" t="str">
        <f>IF(T302="","",IF(T302="RECEBIMENTO NÃO CONFIRMADO",IF(ISNUMBER(F302),F302,IF(ISNUMBER(E302),E302,"")),IF(OR(T302="CDF NÃO LOCALIZADO",T302="VÍNCULO INCOMPLETO",T302="CDF A CONFERIR"),IF(AP302&gt;0,AP302,IF(ISNUMBER(E302),E302,"")),IF(ISNUMBER(E302),E302,""))))</f>
        <v/>
      </c>
      <c r="AR302" s="96">
        <f>IF(NOT(ISNUMBER(U302)),0,IF(T302="RECEBIMENTO NÃO CONFIRMADO",IF(AND(ISNUMBER(cfg_rec),U302&gt;cfg_rec),1,0),IF(OR(T302="CDF NÃO LOCALIZADO",T302="VÍNCULO INCOMPLETO",T302="CDF A CONFERIR"),IF(AND(ISNUMBER(cfg_cdf),U302&gt;cfg_cdf),1,0),0)))</f>
        <v>0</v>
      </c>
      <c r="AS302" s="96" t="str">
        <f>IF(T302="","",IF(AR302=1,"Alta",IFERROR(INDEX(cfg_pp,MATCH(T302,cfg_pt,0))&amp;"","Média")))</f>
        <v/>
      </c>
      <c r="AT302" s="96" t="str">
        <f>IF(T302="","",IFERROR(INDEX(cfg_pv,MATCH(T302,cfg_pt,0))&amp;"",""))</f>
        <v/>
      </c>
      <c r="AU302" s="96" t="str">
        <f>IF(T302="","",IF(AS302="Alta",1,IF(AS302="Média",2,3))*1000000000+(999999-IF(ISNUMBER(U302),MIN(U302,999999),0))*1000+297)</f>
        <v/>
      </c>
      <c r="AV302" s="96">
        <f>IF(T302&lt;&gt;"",1,0)</f>
        <v>0</v>
      </c>
      <c r="AW302" s="96" t="str">
        <f>IF(Z302=0,"",IF(AA302=1,"Cancelamento informado; ","")&amp;IF(AE302=1,"Campos essenciais ou itens faltando; ","")&amp;IF(AC302=1,"Possível duplicidade do número; ","")&amp;IF(AD302=1,"Cadastro ou datas a revisar; ","")&amp;IF(AF302&gt;0,"Item de resíduo com dado a revisar; ","")&amp;IF(AH302&gt;0,"Diferença de quantidade a analisar; ","")&amp;IF(AK302&gt;0,"Recebimento com alerta; ","")&amp;IF(AL302&gt;0,"Vínculo de CDF com alerta; ","")&amp;IF(AND(AA302=0,AN302=0),"Recebimento não confirmado; ","")&amp;IF(AND(AA302=0,AN302=1,AO302=0),"CDF pendente ou a conferir; ",""))</f>
        <v/>
      </c>
      <c r="AX302" s="96">
        <f>IF(Z302=0,0,IF(AND(OR(f_ini="",AND(ISNUMBER(E302),E302&gt;=f_ini)),OR(f_fim="",AND(ISNUMBER(E302),E302&lt;=f_fim)),OR(f_un="",f_un="(Todas)",G302=f_un),OR(f_tr="",f_tr="(Todos)",H302=f_tr),OR(f_de="",f_de="(Todos)",I302=f_de),OR(f_sit="",f_sit="(Todas)",S302=f_sit)),1,0))</f>
        <v>0</v>
      </c>
      <c r="AY302" s="96">
        <f>IF(AX302=0,0,IF(OR(f_res="",f_res="(Todos)"),1,IF(COUNTIFS('ITENS_MTR'!$S$6:$S$1005,A302,'ITENS_MTR'!$C$6:$C$1005,f_res)&gt;0,1,0)))</f>
        <v>0</v>
      </c>
      <c r="AZ302" s="97" t="str">
        <f>IF(ISNUMBER(E302),DATE(YEAR(E302),MONTH(E302),1),"")</f>
        <v/>
      </c>
      <c r="BA302" s="96">
        <f>IF(Z302=0,0,IF(AND(OR(r_ini="",AND(ISNUMBER(E302),E302&gt;=r_ini)),OR(r_fim="",AND(ISNUMBER(E302),E302&lt;=r_fim)),OR(r_un="",r_un="(Todas)",G302=r_un),OR(r_de="",r_de="(Todos)",I302=r_de)),1,0))</f>
        <v>0</v>
      </c>
      <c r="BB302" s="96" t="str">
        <f>IF(BA302=1,COUNTIF($BA$6:BA302,1),"")</f>
        <v/>
      </c>
      <c r="BC302" s="96" t="str">
        <f>IF(AND(AU302&lt;&gt;"",OR(r_un="",r_un="(Todas)",G302=r_un),OR(r_de="",r_de="(Todos)",I302=r_de)),AU302,"")</f>
        <v/>
      </c>
      <c r="BD302" s="96" t="str">
        <f>IF(Z302=1,A302&amp;" | nº "&amp;IF(B302="","(sem número)",B302)&amp;" | "&amp;IF(G302="","(sem unidade)",G302),"")</f>
        <v/>
      </c>
      <c r="BE302" s="96" t="str">
        <f>IF(Z302=1,COUNTIF($Z$6:Z302,1),"")</f>
        <v/>
      </c>
      <c r="BF302" s="96" t="str">
        <f>IF(T302="","",IF(T302="RECEBIMENTO NÃO CONFIRMADO","Transp.: "&amp;H302&amp;" | Dest.: "&amp;I302,IF(OR(T302="CDF NÃO LOCALIZADO",T302="VÍNCULO INCOMPLETO",T302="CDF A CONFERIR"),"Dest.: "&amp;I302,"Gerador: "&amp;G302)))</f>
        <v/>
      </c>
    </row>
    <row r="303">
      <c r="A303" s="89" t="inlineStr">
        <is>
          <t>MTR-000298</t>
        </is>
      </c>
      <c r="B303" s="90" t="n"/>
      <c r="C303" s="91" t="n"/>
      <c r="D303" s="91" t="n"/>
      <c r="E303" s="92" t="n"/>
      <c r="F303" s="92" t="n"/>
      <c r="G303" s="91" t="n"/>
      <c r="H303" s="91" t="n"/>
      <c r="I303" s="91" t="n"/>
      <c r="J303" s="91" t="n"/>
      <c r="K303" s="91" t="n"/>
      <c r="L303" s="92" t="n"/>
      <c r="M303" s="91" t="n"/>
      <c r="N303" s="91" t="n"/>
      <c r="O303" s="91" t="n"/>
      <c r="P303" s="93" t="str">
        <f>IF(Z303=0,"",SUMIFS('ITENS_MTR'!$I$6:$I$1005,'ITENS_MTR'!$S$6:$S$1005,A303,'ITENS_MTR'!$Y$6:$Y$1005,1))</f>
        <v/>
      </c>
      <c r="Q303" s="93" t="str">
        <f>IF(Z303=0,"",SUMIFS('RECEBIMENTOS'!$H$6:$H$1005,'RECEBIMENTOS'!$B$6:$B$1005,A303,'RECEBIMENTOS'!$X$6:$X$1005,1))</f>
        <v/>
      </c>
      <c r="R303" s="93" t="str">
        <f>IF(Z303=0,"",SUMIFS('VÍNCULOS_CDF'!$H$6:$H$1005,'VÍNCULOS_CDF'!$D$6:$D$1005,A303,'VÍNCULOS_CDF'!$V$6:$V$1005,1))</f>
        <v/>
      </c>
      <c r="S303" s="94" t="str">
        <f>IF(Z303=0,"",IF(AA303=1,"Cancelado (informado)",IF(AE303=1,"Cadastro incompleto",IF(OR(AC303=1,AD303=1,AF303&gt;0,AH303&gt;0,AK303&gt;0,AL303&gt;0),"Informação a revisar",IF(AN303=0,"Aguardando recebimento",IF(N(R303)=0,"Aguardando CDF",IF(AJ303&lt;N(W303),"Vínculo de CDF parcial",IF(AO303=0,"CDF localizado, a conferir","Documentação conferida"))))))))</f>
        <v/>
      </c>
      <c r="T303" s="94" t="str">
        <f>IF(Z303=0,"",IF(S303="Cadastro incompleto","MTR INCOMPLETO",IF(S303="Informação a revisar",IF(AND(AH303&gt;0,AC303=0,AD303=0,AF303=0,AK303=0,AL303=0),"QUANTIDADE A REVISAR","IDENTIFICAÇÃO A REVISAR"),IF(S303="Aguardando recebimento","RECEBIMENTO NÃO CONFIRMADO",IF(S303="Aguardando CDF","CDF NÃO LOCALIZADO",IF(S303="Vínculo de CDF parcial","VÍNCULO INCOMPLETO",IF(S303="CDF localizado, a conferir","CDF A CONFERIR","")))))))</f>
        <v/>
      </c>
      <c r="U303" s="95" t="str">
        <f>IF(T303="","",IF(AQ303="","Não calculável",IF(AQ303&gt;TODAY(),"Data futura",TODAY()-AQ303)))</f>
        <v/>
      </c>
      <c r="V303" s="93" t="str">
        <f>IF(Z303=0,"",SUMIFS('RECEBIMENTOS'!$H$6:$H$1005,'RECEBIMENTOS'!$B$6:$B$1005,A303,'RECEBIMENTOS'!$Z$6:$Z$1005,1))</f>
        <v/>
      </c>
      <c r="W303" s="95" t="str">
        <f>IF(Z303=0,"",COUNTIFS('ITENS_MTR'!$S$6:$S$1005,A303,'ITENS_MTR'!$R$6:$R$1005,1))</f>
        <v/>
      </c>
      <c r="X303" s="94" t="str">
        <f>IF(AC303=1,"POSSÍVEL DUPLICIDADE","")</f>
        <v/>
      </c>
      <c r="Y303" s="94" t="str">
        <f>IF(Z303=0,"",IF(AW303="","Nenhuma",LEFT(AW303,LEN(AW303)-2)))</f>
        <v/>
      </c>
      <c r="Z303" s="96">
        <f>IF(COUNTA(B303:O303)&gt;0,1,0)</f>
        <v>0</v>
      </c>
      <c r="AA303" s="96">
        <f>IF(AND(Z303=1,K303&lt;&gt;""),IF(TRIM(K303)=TRIM(cfg_cancel),1,0),0)</f>
        <v>0</v>
      </c>
      <c r="AB303" s="96" t="str">
        <f>IF(AND(Z303=1,B303&lt;&gt;""),C303&amp;"|"&amp;D303&amp;"|"&amp;G303&amp;"|"&amp;TRIM(B303),"")</f>
        <v/>
      </c>
      <c r="AC303" s="96">
        <f>IF(AB303="",0,IF(SUMPRODUCT(--($AB$6:$AB$505=AB303))&gt;1,1,0))</f>
        <v>0</v>
      </c>
      <c r="AD303" s="96">
        <f>IF(Z303=0,0,IF(OR(AND(G303&lt;&gt;"",ISNA(MATCH(G303,'CAD_UNIDADES'!$C$6:$C$105,0))),AND(H303&lt;&gt;"",ISNA(MATCH(H303,cmp_transp,0))),AND(I303&lt;&gt;"",ISNA(MATCH(I303,cmp_dest,0))),AND(E303&lt;&gt;"",NOT(ISNUMBER(E303))),AND(F303&lt;&gt;"",NOT(ISNUMBER(F303))),AND(ISNUMBER(E303),ISNUMBER(F303),F303&lt;E303)),1,0))</f>
        <v>0</v>
      </c>
      <c r="AE303" s="96">
        <f>IF(Z303=0,0,IF(OR(B303="",C303="",E303="",G303="",H303="",I303="",N(W303)=0),1,0))</f>
        <v>0</v>
      </c>
      <c r="AF303" s="96">
        <f>IF(Z303=0,0,COUNTIFS('ITENS_MTR'!$S$6:$S$1005,A303,'ITENS_MTR'!$AI$6:$AI$1005,1))</f>
        <v>0</v>
      </c>
      <c r="AG303" s="96">
        <f>IF(Z303=0,0,COUNTIFS('ITENS_MTR'!$S$6:$S$1005,A303,'ITENS_MTR'!$AJ$6:$AJ$1005,1))</f>
        <v>0</v>
      </c>
      <c r="AH303" s="96">
        <f>IF(Z303=0,0,COUNTIFS('ITENS_MTR'!$S$6:$S$1005,A303,'ITENS_MTR'!$AM$6:$AM$1005,1))</f>
        <v>0</v>
      </c>
      <c r="AI303" s="96">
        <f>IF(Z303=0,0,COUNTIFS('ITENS_MTR'!$S$6:$S$1005,A303,'ITENS_MTR'!$AO$6:$AO$1005,1))</f>
        <v>0</v>
      </c>
      <c r="AJ303" s="96">
        <f>IF(Z303=0,0,COUNTIFS('ITENS_MTR'!$S$6:$S$1005,A303,'ITENS_MTR'!$AN$6:$AN$1005,1))</f>
        <v>0</v>
      </c>
      <c r="AK303" s="96">
        <f>IF(Z303=0,0,COUNTIFS('RECEBIMENTOS'!$B$6:$B$1005,A303,'RECEBIMENTOS'!$Y$6:$Y$1005,1))</f>
        <v>0</v>
      </c>
      <c r="AL303" s="96">
        <f>IF(Z303=0,0,COUNTIFS('VÍNCULOS_CDF'!$D$6:$D$1005,A303,'VÍNCULOS_CDF'!$Y$6:$Y$1005,1))</f>
        <v>0</v>
      </c>
      <c r="AM303" s="96">
        <f>IF(Z303=0,0,COUNTIFS('RECEBIMENTOS'!$B$6:$B$1005,A303,'RECEBIMENTOS'!$Q$6:$Q$1005,1))</f>
        <v>0</v>
      </c>
      <c r="AN303" s="96">
        <f>IF(AND(Z303=1,N(W303)&gt;0,AG303=N(W303)),1,0)</f>
        <v>0</v>
      </c>
      <c r="AO303" s="96">
        <f>IF(AND(Z303=1,N(W303)&gt;0,AI303=N(W303)),1,0)</f>
        <v>0</v>
      </c>
      <c r="AP303" s="97">
        <f>IF(Z303=0,0,_xlfn.MAXIFS('RECEBIMENTOS'!$E$6:$E$1005,'RECEBIMENTOS'!$B$6:$B$1005,A303))</f>
        <v>0</v>
      </c>
      <c r="AQ303" s="97" t="str">
        <f>IF(T303="","",IF(T303="RECEBIMENTO NÃO CONFIRMADO",IF(ISNUMBER(F303),F303,IF(ISNUMBER(E303),E303,"")),IF(OR(T303="CDF NÃO LOCALIZADO",T303="VÍNCULO INCOMPLETO",T303="CDF A CONFERIR"),IF(AP303&gt;0,AP303,IF(ISNUMBER(E303),E303,"")),IF(ISNUMBER(E303),E303,""))))</f>
        <v/>
      </c>
      <c r="AR303" s="96">
        <f>IF(NOT(ISNUMBER(U303)),0,IF(T303="RECEBIMENTO NÃO CONFIRMADO",IF(AND(ISNUMBER(cfg_rec),U303&gt;cfg_rec),1,0),IF(OR(T303="CDF NÃO LOCALIZADO",T303="VÍNCULO INCOMPLETO",T303="CDF A CONFERIR"),IF(AND(ISNUMBER(cfg_cdf),U303&gt;cfg_cdf),1,0),0)))</f>
        <v>0</v>
      </c>
      <c r="AS303" s="96" t="str">
        <f>IF(T303="","",IF(AR303=1,"Alta",IFERROR(INDEX(cfg_pp,MATCH(T303,cfg_pt,0))&amp;"","Média")))</f>
        <v/>
      </c>
      <c r="AT303" s="96" t="str">
        <f>IF(T303="","",IFERROR(INDEX(cfg_pv,MATCH(T303,cfg_pt,0))&amp;"",""))</f>
        <v/>
      </c>
      <c r="AU303" s="96" t="str">
        <f>IF(T303="","",IF(AS303="Alta",1,IF(AS303="Média",2,3))*1000000000+(999999-IF(ISNUMBER(U303),MIN(U303,999999),0))*1000+298)</f>
        <v/>
      </c>
      <c r="AV303" s="96">
        <f>IF(T303&lt;&gt;"",1,0)</f>
        <v>0</v>
      </c>
      <c r="AW303" s="96" t="str">
        <f>IF(Z303=0,"",IF(AA303=1,"Cancelamento informado; ","")&amp;IF(AE303=1,"Campos essenciais ou itens faltando; ","")&amp;IF(AC303=1,"Possível duplicidade do número; ","")&amp;IF(AD303=1,"Cadastro ou datas a revisar; ","")&amp;IF(AF303&gt;0,"Item de resíduo com dado a revisar; ","")&amp;IF(AH303&gt;0,"Diferença de quantidade a analisar; ","")&amp;IF(AK303&gt;0,"Recebimento com alerta; ","")&amp;IF(AL303&gt;0,"Vínculo de CDF com alerta; ","")&amp;IF(AND(AA303=0,AN303=0),"Recebimento não confirmado; ","")&amp;IF(AND(AA303=0,AN303=1,AO303=0),"CDF pendente ou a conferir; ",""))</f>
        <v/>
      </c>
      <c r="AX303" s="96">
        <f>IF(Z303=0,0,IF(AND(OR(f_ini="",AND(ISNUMBER(E303),E303&gt;=f_ini)),OR(f_fim="",AND(ISNUMBER(E303),E303&lt;=f_fim)),OR(f_un="",f_un="(Todas)",G303=f_un),OR(f_tr="",f_tr="(Todos)",H303=f_tr),OR(f_de="",f_de="(Todos)",I303=f_de),OR(f_sit="",f_sit="(Todas)",S303=f_sit)),1,0))</f>
        <v>0</v>
      </c>
      <c r="AY303" s="96">
        <f>IF(AX303=0,0,IF(OR(f_res="",f_res="(Todos)"),1,IF(COUNTIFS('ITENS_MTR'!$S$6:$S$1005,A303,'ITENS_MTR'!$C$6:$C$1005,f_res)&gt;0,1,0)))</f>
        <v>0</v>
      </c>
      <c r="AZ303" s="97" t="str">
        <f>IF(ISNUMBER(E303),DATE(YEAR(E303),MONTH(E303),1),"")</f>
        <v/>
      </c>
      <c r="BA303" s="96">
        <f>IF(Z303=0,0,IF(AND(OR(r_ini="",AND(ISNUMBER(E303),E303&gt;=r_ini)),OR(r_fim="",AND(ISNUMBER(E303),E303&lt;=r_fim)),OR(r_un="",r_un="(Todas)",G303=r_un),OR(r_de="",r_de="(Todos)",I303=r_de)),1,0))</f>
        <v>0</v>
      </c>
      <c r="BB303" s="96" t="str">
        <f>IF(BA303=1,COUNTIF($BA$6:BA303,1),"")</f>
        <v/>
      </c>
      <c r="BC303" s="96" t="str">
        <f>IF(AND(AU303&lt;&gt;"",OR(r_un="",r_un="(Todas)",G303=r_un),OR(r_de="",r_de="(Todos)",I303=r_de)),AU303,"")</f>
        <v/>
      </c>
      <c r="BD303" s="96" t="str">
        <f>IF(Z303=1,A303&amp;" | nº "&amp;IF(B303="","(sem número)",B303)&amp;" | "&amp;IF(G303="","(sem unidade)",G303),"")</f>
        <v/>
      </c>
      <c r="BE303" s="96" t="str">
        <f>IF(Z303=1,COUNTIF($Z$6:Z303,1),"")</f>
        <v/>
      </c>
      <c r="BF303" s="96" t="str">
        <f>IF(T303="","",IF(T303="RECEBIMENTO NÃO CONFIRMADO","Transp.: "&amp;H303&amp;" | Dest.: "&amp;I303,IF(OR(T303="CDF NÃO LOCALIZADO",T303="VÍNCULO INCOMPLETO",T303="CDF A CONFERIR"),"Dest.: "&amp;I303,"Gerador: "&amp;G303)))</f>
        <v/>
      </c>
    </row>
    <row r="304">
      <c r="A304" s="89" t="inlineStr">
        <is>
          <t>MTR-000299</t>
        </is>
      </c>
      <c r="B304" s="90" t="n"/>
      <c r="C304" s="91" t="n"/>
      <c r="D304" s="91" t="n"/>
      <c r="E304" s="92" t="n"/>
      <c r="F304" s="92" t="n"/>
      <c r="G304" s="91" t="n"/>
      <c r="H304" s="91" t="n"/>
      <c r="I304" s="91" t="n"/>
      <c r="J304" s="91" t="n"/>
      <c r="K304" s="91" t="n"/>
      <c r="L304" s="92" t="n"/>
      <c r="M304" s="91" t="n"/>
      <c r="N304" s="91" t="n"/>
      <c r="O304" s="91" t="n"/>
      <c r="P304" s="93" t="str">
        <f>IF(Z304=0,"",SUMIFS('ITENS_MTR'!$I$6:$I$1005,'ITENS_MTR'!$S$6:$S$1005,A304,'ITENS_MTR'!$Y$6:$Y$1005,1))</f>
        <v/>
      </c>
      <c r="Q304" s="93" t="str">
        <f>IF(Z304=0,"",SUMIFS('RECEBIMENTOS'!$H$6:$H$1005,'RECEBIMENTOS'!$B$6:$B$1005,A304,'RECEBIMENTOS'!$X$6:$X$1005,1))</f>
        <v/>
      </c>
      <c r="R304" s="93" t="str">
        <f>IF(Z304=0,"",SUMIFS('VÍNCULOS_CDF'!$H$6:$H$1005,'VÍNCULOS_CDF'!$D$6:$D$1005,A304,'VÍNCULOS_CDF'!$V$6:$V$1005,1))</f>
        <v/>
      </c>
      <c r="S304" s="94" t="str">
        <f>IF(Z304=0,"",IF(AA304=1,"Cancelado (informado)",IF(AE304=1,"Cadastro incompleto",IF(OR(AC304=1,AD304=1,AF304&gt;0,AH304&gt;0,AK304&gt;0,AL304&gt;0),"Informação a revisar",IF(AN304=0,"Aguardando recebimento",IF(N(R304)=0,"Aguardando CDF",IF(AJ304&lt;N(W304),"Vínculo de CDF parcial",IF(AO304=0,"CDF localizado, a conferir","Documentação conferida"))))))))</f>
        <v/>
      </c>
      <c r="T304" s="94" t="str">
        <f>IF(Z304=0,"",IF(S304="Cadastro incompleto","MTR INCOMPLETO",IF(S304="Informação a revisar",IF(AND(AH304&gt;0,AC304=0,AD304=0,AF304=0,AK304=0,AL304=0),"QUANTIDADE A REVISAR","IDENTIFICAÇÃO A REVISAR"),IF(S304="Aguardando recebimento","RECEBIMENTO NÃO CONFIRMADO",IF(S304="Aguardando CDF","CDF NÃO LOCALIZADO",IF(S304="Vínculo de CDF parcial","VÍNCULO INCOMPLETO",IF(S304="CDF localizado, a conferir","CDF A CONFERIR","")))))))</f>
        <v/>
      </c>
      <c r="U304" s="95" t="str">
        <f>IF(T304="","",IF(AQ304="","Não calculável",IF(AQ304&gt;TODAY(),"Data futura",TODAY()-AQ304)))</f>
        <v/>
      </c>
      <c r="V304" s="93" t="str">
        <f>IF(Z304=0,"",SUMIFS('RECEBIMENTOS'!$H$6:$H$1005,'RECEBIMENTOS'!$B$6:$B$1005,A304,'RECEBIMENTOS'!$Z$6:$Z$1005,1))</f>
        <v/>
      </c>
      <c r="W304" s="95" t="str">
        <f>IF(Z304=0,"",COUNTIFS('ITENS_MTR'!$S$6:$S$1005,A304,'ITENS_MTR'!$R$6:$R$1005,1))</f>
        <v/>
      </c>
      <c r="X304" s="94" t="str">
        <f>IF(AC304=1,"POSSÍVEL DUPLICIDADE","")</f>
        <v/>
      </c>
      <c r="Y304" s="94" t="str">
        <f>IF(Z304=0,"",IF(AW304="","Nenhuma",LEFT(AW304,LEN(AW304)-2)))</f>
        <v/>
      </c>
      <c r="Z304" s="96">
        <f>IF(COUNTA(B304:O304)&gt;0,1,0)</f>
        <v>0</v>
      </c>
      <c r="AA304" s="96">
        <f>IF(AND(Z304=1,K304&lt;&gt;""),IF(TRIM(K304)=TRIM(cfg_cancel),1,0),0)</f>
        <v>0</v>
      </c>
      <c r="AB304" s="96" t="str">
        <f>IF(AND(Z304=1,B304&lt;&gt;""),C304&amp;"|"&amp;D304&amp;"|"&amp;G304&amp;"|"&amp;TRIM(B304),"")</f>
        <v/>
      </c>
      <c r="AC304" s="96">
        <f>IF(AB304="",0,IF(SUMPRODUCT(--($AB$6:$AB$505=AB304))&gt;1,1,0))</f>
        <v>0</v>
      </c>
      <c r="AD304" s="96">
        <f>IF(Z304=0,0,IF(OR(AND(G304&lt;&gt;"",ISNA(MATCH(G304,'CAD_UNIDADES'!$C$6:$C$105,0))),AND(H304&lt;&gt;"",ISNA(MATCH(H304,cmp_transp,0))),AND(I304&lt;&gt;"",ISNA(MATCH(I304,cmp_dest,0))),AND(E304&lt;&gt;"",NOT(ISNUMBER(E304))),AND(F304&lt;&gt;"",NOT(ISNUMBER(F304))),AND(ISNUMBER(E304),ISNUMBER(F304),F304&lt;E304)),1,0))</f>
        <v>0</v>
      </c>
      <c r="AE304" s="96">
        <f>IF(Z304=0,0,IF(OR(B304="",C304="",E304="",G304="",H304="",I304="",N(W304)=0),1,0))</f>
        <v>0</v>
      </c>
      <c r="AF304" s="96">
        <f>IF(Z304=0,0,COUNTIFS('ITENS_MTR'!$S$6:$S$1005,A304,'ITENS_MTR'!$AI$6:$AI$1005,1))</f>
        <v>0</v>
      </c>
      <c r="AG304" s="96">
        <f>IF(Z304=0,0,COUNTIFS('ITENS_MTR'!$S$6:$S$1005,A304,'ITENS_MTR'!$AJ$6:$AJ$1005,1))</f>
        <v>0</v>
      </c>
      <c r="AH304" s="96">
        <f>IF(Z304=0,0,COUNTIFS('ITENS_MTR'!$S$6:$S$1005,A304,'ITENS_MTR'!$AM$6:$AM$1005,1))</f>
        <v>0</v>
      </c>
      <c r="AI304" s="96">
        <f>IF(Z304=0,0,COUNTIFS('ITENS_MTR'!$S$6:$S$1005,A304,'ITENS_MTR'!$AO$6:$AO$1005,1))</f>
        <v>0</v>
      </c>
      <c r="AJ304" s="96">
        <f>IF(Z304=0,0,COUNTIFS('ITENS_MTR'!$S$6:$S$1005,A304,'ITENS_MTR'!$AN$6:$AN$1005,1))</f>
        <v>0</v>
      </c>
      <c r="AK304" s="96">
        <f>IF(Z304=0,0,COUNTIFS('RECEBIMENTOS'!$B$6:$B$1005,A304,'RECEBIMENTOS'!$Y$6:$Y$1005,1))</f>
        <v>0</v>
      </c>
      <c r="AL304" s="96">
        <f>IF(Z304=0,0,COUNTIFS('VÍNCULOS_CDF'!$D$6:$D$1005,A304,'VÍNCULOS_CDF'!$Y$6:$Y$1005,1))</f>
        <v>0</v>
      </c>
      <c r="AM304" s="96">
        <f>IF(Z304=0,0,COUNTIFS('RECEBIMENTOS'!$B$6:$B$1005,A304,'RECEBIMENTOS'!$Q$6:$Q$1005,1))</f>
        <v>0</v>
      </c>
      <c r="AN304" s="96">
        <f>IF(AND(Z304=1,N(W304)&gt;0,AG304=N(W304)),1,0)</f>
        <v>0</v>
      </c>
      <c r="AO304" s="96">
        <f>IF(AND(Z304=1,N(W304)&gt;0,AI304=N(W304)),1,0)</f>
        <v>0</v>
      </c>
      <c r="AP304" s="97">
        <f>IF(Z304=0,0,_xlfn.MAXIFS('RECEBIMENTOS'!$E$6:$E$1005,'RECEBIMENTOS'!$B$6:$B$1005,A304))</f>
        <v>0</v>
      </c>
      <c r="AQ304" s="97" t="str">
        <f>IF(T304="","",IF(T304="RECEBIMENTO NÃO CONFIRMADO",IF(ISNUMBER(F304),F304,IF(ISNUMBER(E304),E304,"")),IF(OR(T304="CDF NÃO LOCALIZADO",T304="VÍNCULO INCOMPLETO",T304="CDF A CONFERIR"),IF(AP304&gt;0,AP304,IF(ISNUMBER(E304),E304,"")),IF(ISNUMBER(E304),E304,""))))</f>
        <v/>
      </c>
      <c r="AR304" s="96">
        <f>IF(NOT(ISNUMBER(U304)),0,IF(T304="RECEBIMENTO NÃO CONFIRMADO",IF(AND(ISNUMBER(cfg_rec),U304&gt;cfg_rec),1,0),IF(OR(T304="CDF NÃO LOCALIZADO",T304="VÍNCULO INCOMPLETO",T304="CDF A CONFERIR"),IF(AND(ISNUMBER(cfg_cdf),U304&gt;cfg_cdf),1,0),0)))</f>
        <v>0</v>
      </c>
      <c r="AS304" s="96" t="str">
        <f>IF(T304="","",IF(AR304=1,"Alta",IFERROR(INDEX(cfg_pp,MATCH(T304,cfg_pt,0))&amp;"","Média")))</f>
        <v/>
      </c>
      <c r="AT304" s="96" t="str">
        <f>IF(T304="","",IFERROR(INDEX(cfg_pv,MATCH(T304,cfg_pt,0))&amp;"",""))</f>
        <v/>
      </c>
      <c r="AU304" s="96" t="str">
        <f>IF(T304="","",IF(AS304="Alta",1,IF(AS304="Média",2,3))*1000000000+(999999-IF(ISNUMBER(U304),MIN(U304,999999),0))*1000+299)</f>
        <v/>
      </c>
      <c r="AV304" s="96">
        <f>IF(T304&lt;&gt;"",1,0)</f>
        <v>0</v>
      </c>
      <c r="AW304" s="96" t="str">
        <f>IF(Z304=0,"",IF(AA304=1,"Cancelamento informado; ","")&amp;IF(AE304=1,"Campos essenciais ou itens faltando; ","")&amp;IF(AC304=1,"Possível duplicidade do número; ","")&amp;IF(AD304=1,"Cadastro ou datas a revisar; ","")&amp;IF(AF304&gt;0,"Item de resíduo com dado a revisar; ","")&amp;IF(AH304&gt;0,"Diferença de quantidade a analisar; ","")&amp;IF(AK304&gt;0,"Recebimento com alerta; ","")&amp;IF(AL304&gt;0,"Vínculo de CDF com alerta; ","")&amp;IF(AND(AA304=0,AN304=0),"Recebimento não confirmado; ","")&amp;IF(AND(AA304=0,AN304=1,AO304=0),"CDF pendente ou a conferir; ",""))</f>
        <v/>
      </c>
      <c r="AX304" s="96">
        <f>IF(Z304=0,0,IF(AND(OR(f_ini="",AND(ISNUMBER(E304),E304&gt;=f_ini)),OR(f_fim="",AND(ISNUMBER(E304),E304&lt;=f_fim)),OR(f_un="",f_un="(Todas)",G304=f_un),OR(f_tr="",f_tr="(Todos)",H304=f_tr),OR(f_de="",f_de="(Todos)",I304=f_de),OR(f_sit="",f_sit="(Todas)",S304=f_sit)),1,0))</f>
        <v>0</v>
      </c>
      <c r="AY304" s="96">
        <f>IF(AX304=0,0,IF(OR(f_res="",f_res="(Todos)"),1,IF(COUNTIFS('ITENS_MTR'!$S$6:$S$1005,A304,'ITENS_MTR'!$C$6:$C$1005,f_res)&gt;0,1,0)))</f>
        <v>0</v>
      </c>
      <c r="AZ304" s="97" t="str">
        <f>IF(ISNUMBER(E304),DATE(YEAR(E304),MONTH(E304),1),"")</f>
        <v/>
      </c>
      <c r="BA304" s="96">
        <f>IF(Z304=0,0,IF(AND(OR(r_ini="",AND(ISNUMBER(E304),E304&gt;=r_ini)),OR(r_fim="",AND(ISNUMBER(E304),E304&lt;=r_fim)),OR(r_un="",r_un="(Todas)",G304=r_un),OR(r_de="",r_de="(Todos)",I304=r_de)),1,0))</f>
        <v>0</v>
      </c>
      <c r="BB304" s="96" t="str">
        <f>IF(BA304=1,COUNTIF($BA$6:BA304,1),"")</f>
        <v/>
      </c>
      <c r="BC304" s="96" t="str">
        <f>IF(AND(AU304&lt;&gt;"",OR(r_un="",r_un="(Todas)",G304=r_un),OR(r_de="",r_de="(Todos)",I304=r_de)),AU304,"")</f>
        <v/>
      </c>
      <c r="BD304" s="96" t="str">
        <f>IF(Z304=1,A304&amp;" | nº "&amp;IF(B304="","(sem número)",B304)&amp;" | "&amp;IF(G304="","(sem unidade)",G304),"")</f>
        <v/>
      </c>
      <c r="BE304" s="96" t="str">
        <f>IF(Z304=1,COUNTIF($Z$6:Z304,1),"")</f>
        <v/>
      </c>
      <c r="BF304" s="96" t="str">
        <f>IF(T304="","",IF(T304="RECEBIMENTO NÃO CONFIRMADO","Transp.: "&amp;H304&amp;" | Dest.: "&amp;I304,IF(OR(T304="CDF NÃO LOCALIZADO",T304="VÍNCULO INCOMPLETO",T304="CDF A CONFERIR"),"Dest.: "&amp;I304,"Gerador: "&amp;G304)))</f>
        <v/>
      </c>
    </row>
    <row r="305">
      <c r="A305" s="89" t="inlineStr">
        <is>
          <t>MTR-000300</t>
        </is>
      </c>
      <c r="B305" s="90" t="n"/>
      <c r="C305" s="91" t="n"/>
      <c r="D305" s="91" t="n"/>
      <c r="E305" s="92" t="n"/>
      <c r="F305" s="92" t="n"/>
      <c r="G305" s="91" t="n"/>
      <c r="H305" s="91" t="n"/>
      <c r="I305" s="91" t="n"/>
      <c r="J305" s="91" t="n"/>
      <c r="K305" s="91" t="n"/>
      <c r="L305" s="92" t="n"/>
      <c r="M305" s="91" t="n"/>
      <c r="N305" s="91" t="n"/>
      <c r="O305" s="91" t="n"/>
      <c r="P305" s="93" t="str">
        <f>IF(Z305=0,"",SUMIFS('ITENS_MTR'!$I$6:$I$1005,'ITENS_MTR'!$S$6:$S$1005,A305,'ITENS_MTR'!$Y$6:$Y$1005,1))</f>
        <v/>
      </c>
      <c r="Q305" s="93" t="str">
        <f>IF(Z305=0,"",SUMIFS('RECEBIMENTOS'!$H$6:$H$1005,'RECEBIMENTOS'!$B$6:$B$1005,A305,'RECEBIMENTOS'!$X$6:$X$1005,1))</f>
        <v/>
      </c>
      <c r="R305" s="93" t="str">
        <f>IF(Z305=0,"",SUMIFS('VÍNCULOS_CDF'!$H$6:$H$1005,'VÍNCULOS_CDF'!$D$6:$D$1005,A305,'VÍNCULOS_CDF'!$V$6:$V$1005,1))</f>
        <v/>
      </c>
      <c r="S305" s="94" t="str">
        <f>IF(Z305=0,"",IF(AA305=1,"Cancelado (informado)",IF(AE305=1,"Cadastro incompleto",IF(OR(AC305=1,AD305=1,AF305&gt;0,AH305&gt;0,AK305&gt;0,AL305&gt;0),"Informação a revisar",IF(AN305=0,"Aguardando recebimento",IF(N(R305)=0,"Aguardando CDF",IF(AJ305&lt;N(W305),"Vínculo de CDF parcial",IF(AO305=0,"CDF localizado, a conferir","Documentação conferida"))))))))</f>
        <v/>
      </c>
      <c r="T305" s="94" t="str">
        <f>IF(Z305=0,"",IF(S305="Cadastro incompleto","MTR INCOMPLETO",IF(S305="Informação a revisar",IF(AND(AH305&gt;0,AC305=0,AD305=0,AF305=0,AK305=0,AL305=0),"QUANTIDADE A REVISAR","IDENTIFICAÇÃO A REVISAR"),IF(S305="Aguardando recebimento","RECEBIMENTO NÃO CONFIRMADO",IF(S305="Aguardando CDF","CDF NÃO LOCALIZADO",IF(S305="Vínculo de CDF parcial","VÍNCULO INCOMPLETO",IF(S305="CDF localizado, a conferir","CDF A CONFERIR","")))))))</f>
        <v/>
      </c>
      <c r="U305" s="95" t="str">
        <f>IF(T305="","",IF(AQ305="","Não calculável",IF(AQ305&gt;TODAY(),"Data futura",TODAY()-AQ305)))</f>
        <v/>
      </c>
      <c r="V305" s="93" t="str">
        <f>IF(Z305=0,"",SUMIFS('RECEBIMENTOS'!$H$6:$H$1005,'RECEBIMENTOS'!$B$6:$B$1005,A305,'RECEBIMENTOS'!$Z$6:$Z$1005,1))</f>
        <v/>
      </c>
      <c r="W305" s="95" t="str">
        <f>IF(Z305=0,"",COUNTIFS('ITENS_MTR'!$S$6:$S$1005,A305,'ITENS_MTR'!$R$6:$R$1005,1))</f>
        <v/>
      </c>
      <c r="X305" s="94" t="str">
        <f>IF(AC305=1,"POSSÍVEL DUPLICIDADE","")</f>
        <v/>
      </c>
      <c r="Y305" s="94" t="str">
        <f>IF(Z305=0,"",IF(AW305="","Nenhuma",LEFT(AW305,LEN(AW305)-2)))</f>
        <v/>
      </c>
      <c r="Z305" s="96">
        <f>IF(COUNTA(B305:O305)&gt;0,1,0)</f>
        <v>0</v>
      </c>
      <c r="AA305" s="96">
        <f>IF(AND(Z305=1,K305&lt;&gt;""),IF(TRIM(K305)=TRIM(cfg_cancel),1,0),0)</f>
        <v>0</v>
      </c>
      <c r="AB305" s="96" t="str">
        <f>IF(AND(Z305=1,B305&lt;&gt;""),C305&amp;"|"&amp;D305&amp;"|"&amp;G305&amp;"|"&amp;TRIM(B305),"")</f>
        <v/>
      </c>
      <c r="AC305" s="96">
        <f>IF(AB305="",0,IF(SUMPRODUCT(--($AB$6:$AB$505=AB305))&gt;1,1,0))</f>
        <v>0</v>
      </c>
      <c r="AD305" s="96">
        <f>IF(Z305=0,0,IF(OR(AND(G305&lt;&gt;"",ISNA(MATCH(G305,'CAD_UNIDADES'!$C$6:$C$105,0))),AND(H305&lt;&gt;"",ISNA(MATCH(H305,cmp_transp,0))),AND(I305&lt;&gt;"",ISNA(MATCH(I305,cmp_dest,0))),AND(E305&lt;&gt;"",NOT(ISNUMBER(E305))),AND(F305&lt;&gt;"",NOT(ISNUMBER(F305))),AND(ISNUMBER(E305),ISNUMBER(F305),F305&lt;E305)),1,0))</f>
        <v>0</v>
      </c>
      <c r="AE305" s="96">
        <f>IF(Z305=0,0,IF(OR(B305="",C305="",E305="",G305="",H305="",I305="",N(W305)=0),1,0))</f>
        <v>0</v>
      </c>
      <c r="AF305" s="96">
        <f>IF(Z305=0,0,COUNTIFS('ITENS_MTR'!$S$6:$S$1005,A305,'ITENS_MTR'!$AI$6:$AI$1005,1))</f>
        <v>0</v>
      </c>
      <c r="AG305" s="96">
        <f>IF(Z305=0,0,COUNTIFS('ITENS_MTR'!$S$6:$S$1005,A305,'ITENS_MTR'!$AJ$6:$AJ$1005,1))</f>
        <v>0</v>
      </c>
      <c r="AH305" s="96">
        <f>IF(Z305=0,0,COUNTIFS('ITENS_MTR'!$S$6:$S$1005,A305,'ITENS_MTR'!$AM$6:$AM$1005,1))</f>
        <v>0</v>
      </c>
      <c r="AI305" s="96">
        <f>IF(Z305=0,0,COUNTIFS('ITENS_MTR'!$S$6:$S$1005,A305,'ITENS_MTR'!$AO$6:$AO$1005,1))</f>
        <v>0</v>
      </c>
      <c r="AJ305" s="96">
        <f>IF(Z305=0,0,COUNTIFS('ITENS_MTR'!$S$6:$S$1005,A305,'ITENS_MTR'!$AN$6:$AN$1005,1))</f>
        <v>0</v>
      </c>
      <c r="AK305" s="96">
        <f>IF(Z305=0,0,COUNTIFS('RECEBIMENTOS'!$B$6:$B$1005,A305,'RECEBIMENTOS'!$Y$6:$Y$1005,1))</f>
        <v>0</v>
      </c>
      <c r="AL305" s="96">
        <f>IF(Z305=0,0,COUNTIFS('VÍNCULOS_CDF'!$D$6:$D$1005,A305,'VÍNCULOS_CDF'!$Y$6:$Y$1005,1))</f>
        <v>0</v>
      </c>
      <c r="AM305" s="96">
        <f>IF(Z305=0,0,COUNTIFS('RECEBIMENTOS'!$B$6:$B$1005,A305,'RECEBIMENTOS'!$Q$6:$Q$1005,1))</f>
        <v>0</v>
      </c>
      <c r="AN305" s="96">
        <f>IF(AND(Z305=1,N(W305)&gt;0,AG305=N(W305)),1,0)</f>
        <v>0</v>
      </c>
      <c r="AO305" s="96">
        <f>IF(AND(Z305=1,N(W305)&gt;0,AI305=N(W305)),1,0)</f>
        <v>0</v>
      </c>
      <c r="AP305" s="97">
        <f>IF(Z305=0,0,_xlfn.MAXIFS('RECEBIMENTOS'!$E$6:$E$1005,'RECEBIMENTOS'!$B$6:$B$1005,A305))</f>
        <v>0</v>
      </c>
      <c r="AQ305" s="97" t="str">
        <f>IF(T305="","",IF(T305="RECEBIMENTO NÃO CONFIRMADO",IF(ISNUMBER(F305),F305,IF(ISNUMBER(E305),E305,"")),IF(OR(T305="CDF NÃO LOCALIZADO",T305="VÍNCULO INCOMPLETO",T305="CDF A CONFERIR"),IF(AP305&gt;0,AP305,IF(ISNUMBER(E305),E305,"")),IF(ISNUMBER(E305),E305,""))))</f>
        <v/>
      </c>
      <c r="AR305" s="96">
        <f>IF(NOT(ISNUMBER(U305)),0,IF(T305="RECEBIMENTO NÃO CONFIRMADO",IF(AND(ISNUMBER(cfg_rec),U305&gt;cfg_rec),1,0),IF(OR(T305="CDF NÃO LOCALIZADO",T305="VÍNCULO INCOMPLETO",T305="CDF A CONFERIR"),IF(AND(ISNUMBER(cfg_cdf),U305&gt;cfg_cdf),1,0),0)))</f>
        <v>0</v>
      </c>
      <c r="AS305" s="96" t="str">
        <f>IF(T305="","",IF(AR305=1,"Alta",IFERROR(INDEX(cfg_pp,MATCH(T305,cfg_pt,0))&amp;"","Média")))</f>
        <v/>
      </c>
      <c r="AT305" s="96" t="str">
        <f>IF(T305="","",IFERROR(INDEX(cfg_pv,MATCH(T305,cfg_pt,0))&amp;"",""))</f>
        <v/>
      </c>
      <c r="AU305" s="96" t="str">
        <f>IF(T305="","",IF(AS305="Alta",1,IF(AS305="Média",2,3))*1000000000+(999999-IF(ISNUMBER(U305),MIN(U305,999999),0))*1000+300)</f>
        <v/>
      </c>
      <c r="AV305" s="96">
        <f>IF(T305&lt;&gt;"",1,0)</f>
        <v>0</v>
      </c>
      <c r="AW305" s="96" t="str">
        <f>IF(Z305=0,"",IF(AA305=1,"Cancelamento informado; ","")&amp;IF(AE305=1,"Campos essenciais ou itens faltando; ","")&amp;IF(AC305=1,"Possível duplicidade do número; ","")&amp;IF(AD305=1,"Cadastro ou datas a revisar; ","")&amp;IF(AF305&gt;0,"Item de resíduo com dado a revisar; ","")&amp;IF(AH305&gt;0,"Diferença de quantidade a analisar; ","")&amp;IF(AK305&gt;0,"Recebimento com alerta; ","")&amp;IF(AL305&gt;0,"Vínculo de CDF com alerta; ","")&amp;IF(AND(AA305=0,AN305=0),"Recebimento não confirmado; ","")&amp;IF(AND(AA305=0,AN305=1,AO305=0),"CDF pendente ou a conferir; ",""))</f>
        <v/>
      </c>
      <c r="AX305" s="96">
        <f>IF(Z305=0,0,IF(AND(OR(f_ini="",AND(ISNUMBER(E305),E305&gt;=f_ini)),OR(f_fim="",AND(ISNUMBER(E305),E305&lt;=f_fim)),OR(f_un="",f_un="(Todas)",G305=f_un),OR(f_tr="",f_tr="(Todos)",H305=f_tr),OR(f_de="",f_de="(Todos)",I305=f_de),OR(f_sit="",f_sit="(Todas)",S305=f_sit)),1,0))</f>
        <v>0</v>
      </c>
      <c r="AY305" s="96">
        <f>IF(AX305=0,0,IF(OR(f_res="",f_res="(Todos)"),1,IF(COUNTIFS('ITENS_MTR'!$S$6:$S$1005,A305,'ITENS_MTR'!$C$6:$C$1005,f_res)&gt;0,1,0)))</f>
        <v>0</v>
      </c>
      <c r="AZ305" s="97" t="str">
        <f>IF(ISNUMBER(E305),DATE(YEAR(E305),MONTH(E305),1),"")</f>
        <v/>
      </c>
      <c r="BA305" s="96">
        <f>IF(Z305=0,0,IF(AND(OR(r_ini="",AND(ISNUMBER(E305),E305&gt;=r_ini)),OR(r_fim="",AND(ISNUMBER(E305),E305&lt;=r_fim)),OR(r_un="",r_un="(Todas)",G305=r_un),OR(r_de="",r_de="(Todos)",I305=r_de)),1,0))</f>
        <v>0</v>
      </c>
      <c r="BB305" s="96" t="str">
        <f>IF(BA305=1,COUNTIF($BA$6:BA305,1),"")</f>
        <v/>
      </c>
      <c r="BC305" s="96" t="str">
        <f>IF(AND(AU305&lt;&gt;"",OR(r_un="",r_un="(Todas)",G305=r_un),OR(r_de="",r_de="(Todos)",I305=r_de)),AU305,"")</f>
        <v/>
      </c>
      <c r="BD305" s="96" t="str">
        <f>IF(Z305=1,A305&amp;" | nº "&amp;IF(B305="","(sem número)",B305)&amp;" | "&amp;IF(G305="","(sem unidade)",G305),"")</f>
        <v/>
      </c>
      <c r="BE305" s="96" t="str">
        <f>IF(Z305=1,COUNTIF($Z$6:Z305,1),"")</f>
        <v/>
      </c>
      <c r="BF305" s="96" t="str">
        <f>IF(T305="","",IF(T305="RECEBIMENTO NÃO CONFIRMADO","Transp.: "&amp;H305&amp;" | Dest.: "&amp;I305,IF(OR(T305="CDF NÃO LOCALIZADO",T305="VÍNCULO INCOMPLETO",T305="CDF A CONFERIR"),"Dest.: "&amp;I305,"Gerador: "&amp;G305)))</f>
        <v/>
      </c>
    </row>
    <row r="306">
      <c r="A306" s="89" t="inlineStr">
        <is>
          <t>MTR-000301</t>
        </is>
      </c>
      <c r="B306" s="90" t="n"/>
      <c r="C306" s="91" t="n"/>
      <c r="D306" s="91" t="n"/>
      <c r="E306" s="92" t="n"/>
      <c r="F306" s="92" t="n"/>
      <c r="G306" s="91" t="n"/>
      <c r="H306" s="91" t="n"/>
      <c r="I306" s="91" t="n"/>
      <c r="J306" s="91" t="n"/>
      <c r="K306" s="91" t="n"/>
      <c r="L306" s="92" t="n"/>
      <c r="M306" s="91" t="n"/>
      <c r="N306" s="91" t="n"/>
      <c r="O306" s="91" t="n"/>
      <c r="P306" s="93" t="str">
        <f>IF(Z306=0,"",SUMIFS('ITENS_MTR'!$I$6:$I$1005,'ITENS_MTR'!$S$6:$S$1005,A306,'ITENS_MTR'!$Y$6:$Y$1005,1))</f>
        <v/>
      </c>
      <c r="Q306" s="93" t="str">
        <f>IF(Z306=0,"",SUMIFS('RECEBIMENTOS'!$H$6:$H$1005,'RECEBIMENTOS'!$B$6:$B$1005,A306,'RECEBIMENTOS'!$X$6:$X$1005,1))</f>
        <v/>
      </c>
      <c r="R306" s="93" t="str">
        <f>IF(Z306=0,"",SUMIFS('VÍNCULOS_CDF'!$H$6:$H$1005,'VÍNCULOS_CDF'!$D$6:$D$1005,A306,'VÍNCULOS_CDF'!$V$6:$V$1005,1))</f>
        <v/>
      </c>
      <c r="S306" s="94" t="str">
        <f>IF(Z306=0,"",IF(AA306=1,"Cancelado (informado)",IF(AE306=1,"Cadastro incompleto",IF(OR(AC306=1,AD306=1,AF306&gt;0,AH306&gt;0,AK306&gt;0,AL306&gt;0),"Informação a revisar",IF(AN306=0,"Aguardando recebimento",IF(N(R306)=0,"Aguardando CDF",IF(AJ306&lt;N(W306),"Vínculo de CDF parcial",IF(AO306=0,"CDF localizado, a conferir","Documentação conferida"))))))))</f>
        <v/>
      </c>
      <c r="T306" s="94" t="str">
        <f>IF(Z306=0,"",IF(S306="Cadastro incompleto","MTR INCOMPLETO",IF(S306="Informação a revisar",IF(AND(AH306&gt;0,AC306=0,AD306=0,AF306=0,AK306=0,AL306=0),"QUANTIDADE A REVISAR","IDENTIFICAÇÃO A REVISAR"),IF(S306="Aguardando recebimento","RECEBIMENTO NÃO CONFIRMADO",IF(S306="Aguardando CDF","CDF NÃO LOCALIZADO",IF(S306="Vínculo de CDF parcial","VÍNCULO INCOMPLETO",IF(S306="CDF localizado, a conferir","CDF A CONFERIR","")))))))</f>
        <v/>
      </c>
      <c r="U306" s="95" t="str">
        <f>IF(T306="","",IF(AQ306="","Não calculável",IF(AQ306&gt;TODAY(),"Data futura",TODAY()-AQ306)))</f>
        <v/>
      </c>
      <c r="V306" s="93" t="str">
        <f>IF(Z306=0,"",SUMIFS('RECEBIMENTOS'!$H$6:$H$1005,'RECEBIMENTOS'!$B$6:$B$1005,A306,'RECEBIMENTOS'!$Z$6:$Z$1005,1))</f>
        <v/>
      </c>
      <c r="W306" s="95" t="str">
        <f>IF(Z306=0,"",COUNTIFS('ITENS_MTR'!$S$6:$S$1005,A306,'ITENS_MTR'!$R$6:$R$1005,1))</f>
        <v/>
      </c>
      <c r="X306" s="94" t="str">
        <f>IF(AC306=1,"POSSÍVEL DUPLICIDADE","")</f>
        <v/>
      </c>
      <c r="Y306" s="94" t="str">
        <f>IF(Z306=0,"",IF(AW306="","Nenhuma",LEFT(AW306,LEN(AW306)-2)))</f>
        <v/>
      </c>
      <c r="Z306" s="96">
        <f>IF(COUNTA(B306:O306)&gt;0,1,0)</f>
        <v>0</v>
      </c>
      <c r="AA306" s="96">
        <f>IF(AND(Z306=1,K306&lt;&gt;""),IF(TRIM(K306)=TRIM(cfg_cancel),1,0),0)</f>
        <v>0</v>
      </c>
      <c r="AB306" s="96" t="str">
        <f>IF(AND(Z306=1,B306&lt;&gt;""),C306&amp;"|"&amp;D306&amp;"|"&amp;G306&amp;"|"&amp;TRIM(B306),"")</f>
        <v/>
      </c>
      <c r="AC306" s="96">
        <f>IF(AB306="",0,IF(SUMPRODUCT(--($AB$6:$AB$505=AB306))&gt;1,1,0))</f>
        <v>0</v>
      </c>
      <c r="AD306" s="96">
        <f>IF(Z306=0,0,IF(OR(AND(G306&lt;&gt;"",ISNA(MATCH(G306,'CAD_UNIDADES'!$C$6:$C$105,0))),AND(H306&lt;&gt;"",ISNA(MATCH(H306,cmp_transp,0))),AND(I306&lt;&gt;"",ISNA(MATCH(I306,cmp_dest,0))),AND(E306&lt;&gt;"",NOT(ISNUMBER(E306))),AND(F306&lt;&gt;"",NOT(ISNUMBER(F306))),AND(ISNUMBER(E306),ISNUMBER(F306),F306&lt;E306)),1,0))</f>
        <v>0</v>
      </c>
      <c r="AE306" s="96">
        <f>IF(Z306=0,0,IF(OR(B306="",C306="",E306="",G306="",H306="",I306="",N(W306)=0),1,0))</f>
        <v>0</v>
      </c>
      <c r="AF306" s="96">
        <f>IF(Z306=0,0,COUNTIFS('ITENS_MTR'!$S$6:$S$1005,A306,'ITENS_MTR'!$AI$6:$AI$1005,1))</f>
        <v>0</v>
      </c>
      <c r="AG306" s="96">
        <f>IF(Z306=0,0,COUNTIFS('ITENS_MTR'!$S$6:$S$1005,A306,'ITENS_MTR'!$AJ$6:$AJ$1005,1))</f>
        <v>0</v>
      </c>
      <c r="AH306" s="96">
        <f>IF(Z306=0,0,COUNTIFS('ITENS_MTR'!$S$6:$S$1005,A306,'ITENS_MTR'!$AM$6:$AM$1005,1))</f>
        <v>0</v>
      </c>
      <c r="AI306" s="96">
        <f>IF(Z306=0,0,COUNTIFS('ITENS_MTR'!$S$6:$S$1005,A306,'ITENS_MTR'!$AO$6:$AO$1005,1))</f>
        <v>0</v>
      </c>
      <c r="AJ306" s="96">
        <f>IF(Z306=0,0,COUNTIFS('ITENS_MTR'!$S$6:$S$1005,A306,'ITENS_MTR'!$AN$6:$AN$1005,1))</f>
        <v>0</v>
      </c>
      <c r="AK306" s="96">
        <f>IF(Z306=0,0,COUNTIFS('RECEBIMENTOS'!$B$6:$B$1005,A306,'RECEBIMENTOS'!$Y$6:$Y$1005,1))</f>
        <v>0</v>
      </c>
      <c r="AL306" s="96">
        <f>IF(Z306=0,0,COUNTIFS('VÍNCULOS_CDF'!$D$6:$D$1005,A306,'VÍNCULOS_CDF'!$Y$6:$Y$1005,1))</f>
        <v>0</v>
      </c>
      <c r="AM306" s="96">
        <f>IF(Z306=0,0,COUNTIFS('RECEBIMENTOS'!$B$6:$B$1005,A306,'RECEBIMENTOS'!$Q$6:$Q$1005,1))</f>
        <v>0</v>
      </c>
      <c r="AN306" s="96">
        <f>IF(AND(Z306=1,N(W306)&gt;0,AG306=N(W306)),1,0)</f>
        <v>0</v>
      </c>
      <c r="AO306" s="96">
        <f>IF(AND(Z306=1,N(W306)&gt;0,AI306=N(W306)),1,0)</f>
        <v>0</v>
      </c>
      <c r="AP306" s="97">
        <f>IF(Z306=0,0,_xlfn.MAXIFS('RECEBIMENTOS'!$E$6:$E$1005,'RECEBIMENTOS'!$B$6:$B$1005,A306))</f>
        <v>0</v>
      </c>
      <c r="AQ306" s="97" t="str">
        <f>IF(T306="","",IF(T306="RECEBIMENTO NÃO CONFIRMADO",IF(ISNUMBER(F306),F306,IF(ISNUMBER(E306),E306,"")),IF(OR(T306="CDF NÃO LOCALIZADO",T306="VÍNCULO INCOMPLETO",T306="CDF A CONFERIR"),IF(AP306&gt;0,AP306,IF(ISNUMBER(E306),E306,"")),IF(ISNUMBER(E306),E306,""))))</f>
        <v/>
      </c>
      <c r="AR306" s="96">
        <f>IF(NOT(ISNUMBER(U306)),0,IF(T306="RECEBIMENTO NÃO CONFIRMADO",IF(AND(ISNUMBER(cfg_rec),U306&gt;cfg_rec),1,0),IF(OR(T306="CDF NÃO LOCALIZADO",T306="VÍNCULO INCOMPLETO",T306="CDF A CONFERIR"),IF(AND(ISNUMBER(cfg_cdf),U306&gt;cfg_cdf),1,0),0)))</f>
        <v>0</v>
      </c>
      <c r="AS306" s="96" t="str">
        <f>IF(T306="","",IF(AR306=1,"Alta",IFERROR(INDEX(cfg_pp,MATCH(T306,cfg_pt,0))&amp;"","Média")))</f>
        <v/>
      </c>
      <c r="AT306" s="96" t="str">
        <f>IF(T306="","",IFERROR(INDEX(cfg_pv,MATCH(T306,cfg_pt,0))&amp;"",""))</f>
        <v/>
      </c>
      <c r="AU306" s="96" t="str">
        <f>IF(T306="","",IF(AS306="Alta",1,IF(AS306="Média",2,3))*1000000000+(999999-IF(ISNUMBER(U306),MIN(U306,999999),0))*1000+301)</f>
        <v/>
      </c>
      <c r="AV306" s="96">
        <f>IF(T306&lt;&gt;"",1,0)</f>
        <v>0</v>
      </c>
      <c r="AW306" s="96" t="str">
        <f>IF(Z306=0,"",IF(AA306=1,"Cancelamento informado; ","")&amp;IF(AE306=1,"Campos essenciais ou itens faltando; ","")&amp;IF(AC306=1,"Possível duplicidade do número; ","")&amp;IF(AD306=1,"Cadastro ou datas a revisar; ","")&amp;IF(AF306&gt;0,"Item de resíduo com dado a revisar; ","")&amp;IF(AH306&gt;0,"Diferença de quantidade a analisar; ","")&amp;IF(AK306&gt;0,"Recebimento com alerta; ","")&amp;IF(AL306&gt;0,"Vínculo de CDF com alerta; ","")&amp;IF(AND(AA306=0,AN306=0),"Recebimento não confirmado; ","")&amp;IF(AND(AA306=0,AN306=1,AO306=0),"CDF pendente ou a conferir; ",""))</f>
        <v/>
      </c>
      <c r="AX306" s="96">
        <f>IF(Z306=0,0,IF(AND(OR(f_ini="",AND(ISNUMBER(E306),E306&gt;=f_ini)),OR(f_fim="",AND(ISNUMBER(E306),E306&lt;=f_fim)),OR(f_un="",f_un="(Todas)",G306=f_un),OR(f_tr="",f_tr="(Todos)",H306=f_tr),OR(f_de="",f_de="(Todos)",I306=f_de),OR(f_sit="",f_sit="(Todas)",S306=f_sit)),1,0))</f>
        <v>0</v>
      </c>
      <c r="AY306" s="96">
        <f>IF(AX306=0,0,IF(OR(f_res="",f_res="(Todos)"),1,IF(COUNTIFS('ITENS_MTR'!$S$6:$S$1005,A306,'ITENS_MTR'!$C$6:$C$1005,f_res)&gt;0,1,0)))</f>
        <v>0</v>
      </c>
      <c r="AZ306" s="97" t="str">
        <f>IF(ISNUMBER(E306),DATE(YEAR(E306),MONTH(E306),1),"")</f>
        <v/>
      </c>
      <c r="BA306" s="96">
        <f>IF(Z306=0,0,IF(AND(OR(r_ini="",AND(ISNUMBER(E306),E306&gt;=r_ini)),OR(r_fim="",AND(ISNUMBER(E306),E306&lt;=r_fim)),OR(r_un="",r_un="(Todas)",G306=r_un),OR(r_de="",r_de="(Todos)",I306=r_de)),1,0))</f>
        <v>0</v>
      </c>
      <c r="BB306" s="96" t="str">
        <f>IF(BA306=1,COUNTIF($BA$6:BA306,1),"")</f>
        <v/>
      </c>
      <c r="BC306" s="96" t="str">
        <f>IF(AND(AU306&lt;&gt;"",OR(r_un="",r_un="(Todas)",G306=r_un),OR(r_de="",r_de="(Todos)",I306=r_de)),AU306,"")</f>
        <v/>
      </c>
      <c r="BD306" s="96" t="str">
        <f>IF(Z306=1,A306&amp;" | nº "&amp;IF(B306="","(sem número)",B306)&amp;" | "&amp;IF(G306="","(sem unidade)",G306),"")</f>
        <v/>
      </c>
      <c r="BE306" s="96" t="str">
        <f>IF(Z306=1,COUNTIF($Z$6:Z306,1),"")</f>
        <v/>
      </c>
      <c r="BF306" s="96" t="str">
        <f>IF(T306="","",IF(T306="RECEBIMENTO NÃO CONFIRMADO","Transp.: "&amp;H306&amp;" | Dest.: "&amp;I306,IF(OR(T306="CDF NÃO LOCALIZADO",T306="VÍNCULO INCOMPLETO",T306="CDF A CONFERIR"),"Dest.: "&amp;I306,"Gerador: "&amp;G306)))</f>
        <v/>
      </c>
    </row>
    <row r="307">
      <c r="A307" s="89" t="inlineStr">
        <is>
          <t>MTR-000302</t>
        </is>
      </c>
      <c r="B307" s="90" t="n"/>
      <c r="C307" s="91" t="n"/>
      <c r="D307" s="91" t="n"/>
      <c r="E307" s="92" t="n"/>
      <c r="F307" s="92" t="n"/>
      <c r="G307" s="91" t="n"/>
      <c r="H307" s="91" t="n"/>
      <c r="I307" s="91" t="n"/>
      <c r="J307" s="91" t="n"/>
      <c r="K307" s="91" t="n"/>
      <c r="L307" s="92" t="n"/>
      <c r="M307" s="91" t="n"/>
      <c r="N307" s="91" t="n"/>
      <c r="O307" s="91" t="n"/>
      <c r="P307" s="93" t="str">
        <f>IF(Z307=0,"",SUMIFS('ITENS_MTR'!$I$6:$I$1005,'ITENS_MTR'!$S$6:$S$1005,A307,'ITENS_MTR'!$Y$6:$Y$1005,1))</f>
        <v/>
      </c>
      <c r="Q307" s="93" t="str">
        <f>IF(Z307=0,"",SUMIFS('RECEBIMENTOS'!$H$6:$H$1005,'RECEBIMENTOS'!$B$6:$B$1005,A307,'RECEBIMENTOS'!$X$6:$X$1005,1))</f>
        <v/>
      </c>
      <c r="R307" s="93" t="str">
        <f>IF(Z307=0,"",SUMIFS('VÍNCULOS_CDF'!$H$6:$H$1005,'VÍNCULOS_CDF'!$D$6:$D$1005,A307,'VÍNCULOS_CDF'!$V$6:$V$1005,1))</f>
        <v/>
      </c>
      <c r="S307" s="94" t="str">
        <f>IF(Z307=0,"",IF(AA307=1,"Cancelado (informado)",IF(AE307=1,"Cadastro incompleto",IF(OR(AC307=1,AD307=1,AF307&gt;0,AH307&gt;0,AK307&gt;0,AL307&gt;0),"Informação a revisar",IF(AN307=0,"Aguardando recebimento",IF(N(R307)=0,"Aguardando CDF",IF(AJ307&lt;N(W307),"Vínculo de CDF parcial",IF(AO307=0,"CDF localizado, a conferir","Documentação conferida"))))))))</f>
        <v/>
      </c>
      <c r="T307" s="94" t="str">
        <f>IF(Z307=0,"",IF(S307="Cadastro incompleto","MTR INCOMPLETO",IF(S307="Informação a revisar",IF(AND(AH307&gt;0,AC307=0,AD307=0,AF307=0,AK307=0,AL307=0),"QUANTIDADE A REVISAR","IDENTIFICAÇÃO A REVISAR"),IF(S307="Aguardando recebimento","RECEBIMENTO NÃO CONFIRMADO",IF(S307="Aguardando CDF","CDF NÃO LOCALIZADO",IF(S307="Vínculo de CDF parcial","VÍNCULO INCOMPLETO",IF(S307="CDF localizado, a conferir","CDF A CONFERIR","")))))))</f>
        <v/>
      </c>
      <c r="U307" s="95" t="str">
        <f>IF(T307="","",IF(AQ307="","Não calculável",IF(AQ307&gt;TODAY(),"Data futura",TODAY()-AQ307)))</f>
        <v/>
      </c>
      <c r="V307" s="93" t="str">
        <f>IF(Z307=0,"",SUMIFS('RECEBIMENTOS'!$H$6:$H$1005,'RECEBIMENTOS'!$B$6:$B$1005,A307,'RECEBIMENTOS'!$Z$6:$Z$1005,1))</f>
        <v/>
      </c>
      <c r="W307" s="95" t="str">
        <f>IF(Z307=0,"",COUNTIFS('ITENS_MTR'!$S$6:$S$1005,A307,'ITENS_MTR'!$R$6:$R$1005,1))</f>
        <v/>
      </c>
      <c r="X307" s="94" t="str">
        <f>IF(AC307=1,"POSSÍVEL DUPLICIDADE","")</f>
        <v/>
      </c>
      <c r="Y307" s="94" t="str">
        <f>IF(Z307=0,"",IF(AW307="","Nenhuma",LEFT(AW307,LEN(AW307)-2)))</f>
        <v/>
      </c>
      <c r="Z307" s="96">
        <f>IF(COUNTA(B307:O307)&gt;0,1,0)</f>
        <v>0</v>
      </c>
      <c r="AA307" s="96">
        <f>IF(AND(Z307=1,K307&lt;&gt;""),IF(TRIM(K307)=TRIM(cfg_cancel),1,0),0)</f>
        <v>0</v>
      </c>
      <c r="AB307" s="96" t="str">
        <f>IF(AND(Z307=1,B307&lt;&gt;""),C307&amp;"|"&amp;D307&amp;"|"&amp;G307&amp;"|"&amp;TRIM(B307),"")</f>
        <v/>
      </c>
      <c r="AC307" s="96">
        <f>IF(AB307="",0,IF(SUMPRODUCT(--($AB$6:$AB$505=AB307))&gt;1,1,0))</f>
        <v>0</v>
      </c>
      <c r="AD307" s="96">
        <f>IF(Z307=0,0,IF(OR(AND(G307&lt;&gt;"",ISNA(MATCH(G307,'CAD_UNIDADES'!$C$6:$C$105,0))),AND(H307&lt;&gt;"",ISNA(MATCH(H307,cmp_transp,0))),AND(I307&lt;&gt;"",ISNA(MATCH(I307,cmp_dest,0))),AND(E307&lt;&gt;"",NOT(ISNUMBER(E307))),AND(F307&lt;&gt;"",NOT(ISNUMBER(F307))),AND(ISNUMBER(E307),ISNUMBER(F307),F307&lt;E307)),1,0))</f>
        <v>0</v>
      </c>
      <c r="AE307" s="96">
        <f>IF(Z307=0,0,IF(OR(B307="",C307="",E307="",G307="",H307="",I307="",N(W307)=0),1,0))</f>
        <v>0</v>
      </c>
      <c r="AF307" s="96">
        <f>IF(Z307=0,0,COUNTIFS('ITENS_MTR'!$S$6:$S$1005,A307,'ITENS_MTR'!$AI$6:$AI$1005,1))</f>
        <v>0</v>
      </c>
      <c r="AG307" s="96">
        <f>IF(Z307=0,0,COUNTIFS('ITENS_MTR'!$S$6:$S$1005,A307,'ITENS_MTR'!$AJ$6:$AJ$1005,1))</f>
        <v>0</v>
      </c>
      <c r="AH307" s="96">
        <f>IF(Z307=0,0,COUNTIFS('ITENS_MTR'!$S$6:$S$1005,A307,'ITENS_MTR'!$AM$6:$AM$1005,1))</f>
        <v>0</v>
      </c>
      <c r="AI307" s="96">
        <f>IF(Z307=0,0,COUNTIFS('ITENS_MTR'!$S$6:$S$1005,A307,'ITENS_MTR'!$AO$6:$AO$1005,1))</f>
        <v>0</v>
      </c>
      <c r="AJ307" s="96">
        <f>IF(Z307=0,0,COUNTIFS('ITENS_MTR'!$S$6:$S$1005,A307,'ITENS_MTR'!$AN$6:$AN$1005,1))</f>
        <v>0</v>
      </c>
      <c r="AK307" s="96">
        <f>IF(Z307=0,0,COUNTIFS('RECEBIMENTOS'!$B$6:$B$1005,A307,'RECEBIMENTOS'!$Y$6:$Y$1005,1))</f>
        <v>0</v>
      </c>
      <c r="AL307" s="96">
        <f>IF(Z307=0,0,COUNTIFS('VÍNCULOS_CDF'!$D$6:$D$1005,A307,'VÍNCULOS_CDF'!$Y$6:$Y$1005,1))</f>
        <v>0</v>
      </c>
      <c r="AM307" s="96">
        <f>IF(Z307=0,0,COUNTIFS('RECEBIMENTOS'!$B$6:$B$1005,A307,'RECEBIMENTOS'!$Q$6:$Q$1005,1))</f>
        <v>0</v>
      </c>
      <c r="AN307" s="96">
        <f>IF(AND(Z307=1,N(W307)&gt;0,AG307=N(W307)),1,0)</f>
        <v>0</v>
      </c>
      <c r="AO307" s="96">
        <f>IF(AND(Z307=1,N(W307)&gt;0,AI307=N(W307)),1,0)</f>
        <v>0</v>
      </c>
      <c r="AP307" s="97">
        <f>IF(Z307=0,0,_xlfn.MAXIFS('RECEBIMENTOS'!$E$6:$E$1005,'RECEBIMENTOS'!$B$6:$B$1005,A307))</f>
        <v>0</v>
      </c>
      <c r="AQ307" s="97" t="str">
        <f>IF(T307="","",IF(T307="RECEBIMENTO NÃO CONFIRMADO",IF(ISNUMBER(F307),F307,IF(ISNUMBER(E307),E307,"")),IF(OR(T307="CDF NÃO LOCALIZADO",T307="VÍNCULO INCOMPLETO",T307="CDF A CONFERIR"),IF(AP307&gt;0,AP307,IF(ISNUMBER(E307),E307,"")),IF(ISNUMBER(E307),E307,""))))</f>
        <v/>
      </c>
      <c r="AR307" s="96">
        <f>IF(NOT(ISNUMBER(U307)),0,IF(T307="RECEBIMENTO NÃO CONFIRMADO",IF(AND(ISNUMBER(cfg_rec),U307&gt;cfg_rec),1,0),IF(OR(T307="CDF NÃO LOCALIZADO",T307="VÍNCULO INCOMPLETO",T307="CDF A CONFERIR"),IF(AND(ISNUMBER(cfg_cdf),U307&gt;cfg_cdf),1,0),0)))</f>
        <v>0</v>
      </c>
      <c r="AS307" s="96" t="str">
        <f>IF(T307="","",IF(AR307=1,"Alta",IFERROR(INDEX(cfg_pp,MATCH(T307,cfg_pt,0))&amp;"","Média")))</f>
        <v/>
      </c>
      <c r="AT307" s="96" t="str">
        <f>IF(T307="","",IFERROR(INDEX(cfg_pv,MATCH(T307,cfg_pt,0))&amp;"",""))</f>
        <v/>
      </c>
      <c r="AU307" s="96" t="str">
        <f>IF(T307="","",IF(AS307="Alta",1,IF(AS307="Média",2,3))*1000000000+(999999-IF(ISNUMBER(U307),MIN(U307,999999),0))*1000+302)</f>
        <v/>
      </c>
      <c r="AV307" s="96">
        <f>IF(T307&lt;&gt;"",1,0)</f>
        <v>0</v>
      </c>
      <c r="AW307" s="96" t="str">
        <f>IF(Z307=0,"",IF(AA307=1,"Cancelamento informado; ","")&amp;IF(AE307=1,"Campos essenciais ou itens faltando; ","")&amp;IF(AC307=1,"Possível duplicidade do número; ","")&amp;IF(AD307=1,"Cadastro ou datas a revisar; ","")&amp;IF(AF307&gt;0,"Item de resíduo com dado a revisar; ","")&amp;IF(AH307&gt;0,"Diferença de quantidade a analisar; ","")&amp;IF(AK307&gt;0,"Recebimento com alerta; ","")&amp;IF(AL307&gt;0,"Vínculo de CDF com alerta; ","")&amp;IF(AND(AA307=0,AN307=0),"Recebimento não confirmado; ","")&amp;IF(AND(AA307=0,AN307=1,AO307=0),"CDF pendente ou a conferir; ",""))</f>
        <v/>
      </c>
      <c r="AX307" s="96">
        <f>IF(Z307=0,0,IF(AND(OR(f_ini="",AND(ISNUMBER(E307),E307&gt;=f_ini)),OR(f_fim="",AND(ISNUMBER(E307),E307&lt;=f_fim)),OR(f_un="",f_un="(Todas)",G307=f_un),OR(f_tr="",f_tr="(Todos)",H307=f_tr),OR(f_de="",f_de="(Todos)",I307=f_de),OR(f_sit="",f_sit="(Todas)",S307=f_sit)),1,0))</f>
        <v>0</v>
      </c>
      <c r="AY307" s="96">
        <f>IF(AX307=0,0,IF(OR(f_res="",f_res="(Todos)"),1,IF(COUNTIFS('ITENS_MTR'!$S$6:$S$1005,A307,'ITENS_MTR'!$C$6:$C$1005,f_res)&gt;0,1,0)))</f>
        <v>0</v>
      </c>
      <c r="AZ307" s="97" t="str">
        <f>IF(ISNUMBER(E307),DATE(YEAR(E307),MONTH(E307),1),"")</f>
        <v/>
      </c>
      <c r="BA307" s="96">
        <f>IF(Z307=0,0,IF(AND(OR(r_ini="",AND(ISNUMBER(E307),E307&gt;=r_ini)),OR(r_fim="",AND(ISNUMBER(E307),E307&lt;=r_fim)),OR(r_un="",r_un="(Todas)",G307=r_un),OR(r_de="",r_de="(Todos)",I307=r_de)),1,0))</f>
        <v>0</v>
      </c>
      <c r="BB307" s="96" t="str">
        <f>IF(BA307=1,COUNTIF($BA$6:BA307,1),"")</f>
        <v/>
      </c>
      <c r="BC307" s="96" t="str">
        <f>IF(AND(AU307&lt;&gt;"",OR(r_un="",r_un="(Todas)",G307=r_un),OR(r_de="",r_de="(Todos)",I307=r_de)),AU307,"")</f>
        <v/>
      </c>
      <c r="BD307" s="96" t="str">
        <f>IF(Z307=1,A307&amp;" | nº "&amp;IF(B307="","(sem número)",B307)&amp;" | "&amp;IF(G307="","(sem unidade)",G307),"")</f>
        <v/>
      </c>
      <c r="BE307" s="96" t="str">
        <f>IF(Z307=1,COUNTIF($Z$6:Z307,1),"")</f>
        <v/>
      </c>
      <c r="BF307" s="96" t="str">
        <f>IF(T307="","",IF(T307="RECEBIMENTO NÃO CONFIRMADO","Transp.: "&amp;H307&amp;" | Dest.: "&amp;I307,IF(OR(T307="CDF NÃO LOCALIZADO",T307="VÍNCULO INCOMPLETO",T307="CDF A CONFERIR"),"Dest.: "&amp;I307,"Gerador: "&amp;G307)))</f>
        <v/>
      </c>
    </row>
    <row r="308">
      <c r="A308" s="89" t="inlineStr">
        <is>
          <t>MTR-000303</t>
        </is>
      </c>
      <c r="B308" s="90" t="n"/>
      <c r="C308" s="91" t="n"/>
      <c r="D308" s="91" t="n"/>
      <c r="E308" s="92" t="n"/>
      <c r="F308" s="92" t="n"/>
      <c r="G308" s="91" t="n"/>
      <c r="H308" s="91" t="n"/>
      <c r="I308" s="91" t="n"/>
      <c r="J308" s="91" t="n"/>
      <c r="K308" s="91" t="n"/>
      <c r="L308" s="92" t="n"/>
      <c r="M308" s="91" t="n"/>
      <c r="N308" s="91" t="n"/>
      <c r="O308" s="91" t="n"/>
      <c r="P308" s="93" t="str">
        <f>IF(Z308=0,"",SUMIFS('ITENS_MTR'!$I$6:$I$1005,'ITENS_MTR'!$S$6:$S$1005,A308,'ITENS_MTR'!$Y$6:$Y$1005,1))</f>
        <v/>
      </c>
      <c r="Q308" s="93" t="str">
        <f>IF(Z308=0,"",SUMIFS('RECEBIMENTOS'!$H$6:$H$1005,'RECEBIMENTOS'!$B$6:$B$1005,A308,'RECEBIMENTOS'!$X$6:$X$1005,1))</f>
        <v/>
      </c>
      <c r="R308" s="93" t="str">
        <f>IF(Z308=0,"",SUMIFS('VÍNCULOS_CDF'!$H$6:$H$1005,'VÍNCULOS_CDF'!$D$6:$D$1005,A308,'VÍNCULOS_CDF'!$V$6:$V$1005,1))</f>
        <v/>
      </c>
      <c r="S308" s="94" t="str">
        <f>IF(Z308=0,"",IF(AA308=1,"Cancelado (informado)",IF(AE308=1,"Cadastro incompleto",IF(OR(AC308=1,AD308=1,AF308&gt;0,AH308&gt;0,AK308&gt;0,AL308&gt;0),"Informação a revisar",IF(AN308=0,"Aguardando recebimento",IF(N(R308)=0,"Aguardando CDF",IF(AJ308&lt;N(W308),"Vínculo de CDF parcial",IF(AO308=0,"CDF localizado, a conferir","Documentação conferida"))))))))</f>
        <v/>
      </c>
      <c r="T308" s="94" t="str">
        <f>IF(Z308=0,"",IF(S308="Cadastro incompleto","MTR INCOMPLETO",IF(S308="Informação a revisar",IF(AND(AH308&gt;0,AC308=0,AD308=0,AF308=0,AK308=0,AL308=0),"QUANTIDADE A REVISAR","IDENTIFICAÇÃO A REVISAR"),IF(S308="Aguardando recebimento","RECEBIMENTO NÃO CONFIRMADO",IF(S308="Aguardando CDF","CDF NÃO LOCALIZADO",IF(S308="Vínculo de CDF parcial","VÍNCULO INCOMPLETO",IF(S308="CDF localizado, a conferir","CDF A CONFERIR","")))))))</f>
        <v/>
      </c>
      <c r="U308" s="95" t="str">
        <f>IF(T308="","",IF(AQ308="","Não calculável",IF(AQ308&gt;TODAY(),"Data futura",TODAY()-AQ308)))</f>
        <v/>
      </c>
      <c r="V308" s="93" t="str">
        <f>IF(Z308=0,"",SUMIFS('RECEBIMENTOS'!$H$6:$H$1005,'RECEBIMENTOS'!$B$6:$B$1005,A308,'RECEBIMENTOS'!$Z$6:$Z$1005,1))</f>
        <v/>
      </c>
      <c r="W308" s="95" t="str">
        <f>IF(Z308=0,"",COUNTIFS('ITENS_MTR'!$S$6:$S$1005,A308,'ITENS_MTR'!$R$6:$R$1005,1))</f>
        <v/>
      </c>
      <c r="X308" s="94" t="str">
        <f>IF(AC308=1,"POSSÍVEL DUPLICIDADE","")</f>
        <v/>
      </c>
      <c r="Y308" s="94" t="str">
        <f>IF(Z308=0,"",IF(AW308="","Nenhuma",LEFT(AW308,LEN(AW308)-2)))</f>
        <v/>
      </c>
      <c r="Z308" s="96">
        <f>IF(COUNTA(B308:O308)&gt;0,1,0)</f>
        <v>0</v>
      </c>
      <c r="AA308" s="96">
        <f>IF(AND(Z308=1,K308&lt;&gt;""),IF(TRIM(K308)=TRIM(cfg_cancel),1,0),0)</f>
        <v>0</v>
      </c>
      <c r="AB308" s="96" t="str">
        <f>IF(AND(Z308=1,B308&lt;&gt;""),C308&amp;"|"&amp;D308&amp;"|"&amp;G308&amp;"|"&amp;TRIM(B308),"")</f>
        <v/>
      </c>
      <c r="AC308" s="96">
        <f>IF(AB308="",0,IF(SUMPRODUCT(--($AB$6:$AB$505=AB308))&gt;1,1,0))</f>
        <v>0</v>
      </c>
      <c r="AD308" s="96">
        <f>IF(Z308=0,0,IF(OR(AND(G308&lt;&gt;"",ISNA(MATCH(G308,'CAD_UNIDADES'!$C$6:$C$105,0))),AND(H308&lt;&gt;"",ISNA(MATCH(H308,cmp_transp,0))),AND(I308&lt;&gt;"",ISNA(MATCH(I308,cmp_dest,0))),AND(E308&lt;&gt;"",NOT(ISNUMBER(E308))),AND(F308&lt;&gt;"",NOT(ISNUMBER(F308))),AND(ISNUMBER(E308),ISNUMBER(F308),F308&lt;E308)),1,0))</f>
        <v>0</v>
      </c>
      <c r="AE308" s="96">
        <f>IF(Z308=0,0,IF(OR(B308="",C308="",E308="",G308="",H308="",I308="",N(W308)=0),1,0))</f>
        <v>0</v>
      </c>
      <c r="AF308" s="96">
        <f>IF(Z308=0,0,COUNTIFS('ITENS_MTR'!$S$6:$S$1005,A308,'ITENS_MTR'!$AI$6:$AI$1005,1))</f>
        <v>0</v>
      </c>
      <c r="AG308" s="96">
        <f>IF(Z308=0,0,COUNTIFS('ITENS_MTR'!$S$6:$S$1005,A308,'ITENS_MTR'!$AJ$6:$AJ$1005,1))</f>
        <v>0</v>
      </c>
      <c r="AH308" s="96">
        <f>IF(Z308=0,0,COUNTIFS('ITENS_MTR'!$S$6:$S$1005,A308,'ITENS_MTR'!$AM$6:$AM$1005,1))</f>
        <v>0</v>
      </c>
      <c r="AI308" s="96">
        <f>IF(Z308=0,0,COUNTIFS('ITENS_MTR'!$S$6:$S$1005,A308,'ITENS_MTR'!$AO$6:$AO$1005,1))</f>
        <v>0</v>
      </c>
      <c r="AJ308" s="96">
        <f>IF(Z308=0,0,COUNTIFS('ITENS_MTR'!$S$6:$S$1005,A308,'ITENS_MTR'!$AN$6:$AN$1005,1))</f>
        <v>0</v>
      </c>
      <c r="AK308" s="96">
        <f>IF(Z308=0,0,COUNTIFS('RECEBIMENTOS'!$B$6:$B$1005,A308,'RECEBIMENTOS'!$Y$6:$Y$1005,1))</f>
        <v>0</v>
      </c>
      <c r="AL308" s="96">
        <f>IF(Z308=0,0,COUNTIFS('VÍNCULOS_CDF'!$D$6:$D$1005,A308,'VÍNCULOS_CDF'!$Y$6:$Y$1005,1))</f>
        <v>0</v>
      </c>
      <c r="AM308" s="96">
        <f>IF(Z308=0,0,COUNTIFS('RECEBIMENTOS'!$B$6:$B$1005,A308,'RECEBIMENTOS'!$Q$6:$Q$1005,1))</f>
        <v>0</v>
      </c>
      <c r="AN308" s="96">
        <f>IF(AND(Z308=1,N(W308)&gt;0,AG308=N(W308)),1,0)</f>
        <v>0</v>
      </c>
      <c r="AO308" s="96">
        <f>IF(AND(Z308=1,N(W308)&gt;0,AI308=N(W308)),1,0)</f>
        <v>0</v>
      </c>
      <c r="AP308" s="97">
        <f>IF(Z308=0,0,_xlfn.MAXIFS('RECEBIMENTOS'!$E$6:$E$1005,'RECEBIMENTOS'!$B$6:$B$1005,A308))</f>
        <v>0</v>
      </c>
      <c r="AQ308" s="97" t="str">
        <f>IF(T308="","",IF(T308="RECEBIMENTO NÃO CONFIRMADO",IF(ISNUMBER(F308),F308,IF(ISNUMBER(E308),E308,"")),IF(OR(T308="CDF NÃO LOCALIZADO",T308="VÍNCULO INCOMPLETO",T308="CDF A CONFERIR"),IF(AP308&gt;0,AP308,IF(ISNUMBER(E308),E308,"")),IF(ISNUMBER(E308),E308,""))))</f>
        <v/>
      </c>
      <c r="AR308" s="96">
        <f>IF(NOT(ISNUMBER(U308)),0,IF(T308="RECEBIMENTO NÃO CONFIRMADO",IF(AND(ISNUMBER(cfg_rec),U308&gt;cfg_rec),1,0),IF(OR(T308="CDF NÃO LOCALIZADO",T308="VÍNCULO INCOMPLETO",T308="CDF A CONFERIR"),IF(AND(ISNUMBER(cfg_cdf),U308&gt;cfg_cdf),1,0),0)))</f>
        <v>0</v>
      </c>
      <c r="AS308" s="96" t="str">
        <f>IF(T308="","",IF(AR308=1,"Alta",IFERROR(INDEX(cfg_pp,MATCH(T308,cfg_pt,0))&amp;"","Média")))</f>
        <v/>
      </c>
      <c r="AT308" s="96" t="str">
        <f>IF(T308="","",IFERROR(INDEX(cfg_pv,MATCH(T308,cfg_pt,0))&amp;"",""))</f>
        <v/>
      </c>
      <c r="AU308" s="96" t="str">
        <f>IF(T308="","",IF(AS308="Alta",1,IF(AS308="Média",2,3))*1000000000+(999999-IF(ISNUMBER(U308),MIN(U308,999999),0))*1000+303)</f>
        <v/>
      </c>
      <c r="AV308" s="96">
        <f>IF(T308&lt;&gt;"",1,0)</f>
        <v>0</v>
      </c>
      <c r="AW308" s="96" t="str">
        <f>IF(Z308=0,"",IF(AA308=1,"Cancelamento informado; ","")&amp;IF(AE308=1,"Campos essenciais ou itens faltando; ","")&amp;IF(AC308=1,"Possível duplicidade do número; ","")&amp;IF(AD308=1,"Cadastro ou datas a revisar; ","")&amp;IF(AF308&gt;0,"Item de resíduo com dado a revisar; ","")&amp;IF(AH308&gt;0,"Diferença de quantidade a analisar; ","")&amp;IF(AK308&gt;0,"Recebimento com alerta; ","")&amp;IF(AL308&gt;0,"Vínculo de CDF com alerta; ","")&amp;IF(AND(AA308=0,AN308=0),"Recebimento não confirmado; ","")&amp;IF(AND(AA308=0,AN308=1,AO308=0),"CDF pendente ou a conferir; ",""))</f>
        <v/>
      </c>
      <c r="AX308" s="96">
        <f>IF(Z308=0,0,IF(AND(OR(f_ini="",AND(ISNUMBER(E308),E308&gt;=f_ini)),OR(f_fim="",AND(ISNUMBER(E308),E308&lt;=f_fim)),OR(f_un="",f_un="(Todas)",G308=f_un),OR(f_tr="",f_tr="(Todos)",H308=f_tr),OR(f_de="",f_de="(Todos)",I308=f_de),OR(f_sit="",f_sit="(Todas)",S308=f_sit)),1,0))</f>
        <v>0</v>
      </c>
      <c r="AY308" s="96">
        <f>IF(AX308=0,0,IF(OR(f_res="",f_res="(Todos)"),1,IF(COUNTIFS('ITENS_MTR'!$S$6:$S$1005,A308,'ITENS_MTR'!$C$6:$C$1005,f_res)&gt;0,1,0)))</f>
        <v>0</v>
      </c>
      <c r="AZ308" s="97" t="str">
        <f>IF(ISNUMBER(E308),DATE(YEAR(E308),MONTH(E308),1),"")</f>
        <v/>
      </c>
      <c r="BA308" s="96">
        <f>IF(Z308=0,0,IF(AND(OR(r_ini="",AND(ISNUMBER(E308),E308&gt;=r_ini)),OR(r_fim="",AND(ISNUMBER(E308),E308&lt;=r_fim)),OR(r_un="",r_un="(Todas)",G308=r_un),OR(r_de="",r_de="(Todos)",I308=r_de)),1,0))</f>
        <v>0</v>
      </c>
      <c r="BB308" s="96" t="str">
        <f>IF(BA308=1,COUNTIF($BA$6:BA308,1),"")</f>
        <v/>
      </c>
      <c r="BC308" s="96" t="str">
        <f>IF(AND(AU308&lt;&gt;"",OR(r_un="",r_un="(Todas)",G308=r_un),OR(r_de="",r_de="(Todos)",I308=r_de)),AU308,"")</f>
        <v/>
      </c>
      <c r="BD308" s="96" t="str">
        <f>IF(Z308=1,A308&amp;" | nº "&amp;IF(B308="","(sem número)",B308)&amp;" | "&amp;IF(G308="","(sem unidade)",G308),"")</f>
        <v/>
      </c>
      <c r="BE308" s="96" t="str">
        <f>IF(Z308=1,COUNTIF($Z$6:Z308,1),"")</f>
        <v/>
      </c>
      <c r="BF308" s="96" t="str">
        <f>IF(T308="","",IF(T308="RECEBIMENTO NÃO CONFIRMADO","Transp.: "&amp;H308&amp;" | Dest.: "&amp;I308,IF(OR(T308="CDF NÃO LOCALIZADO",T308="VÍNCULO INCOMPLETO",T308="CDF A CONFERIR"),"Dest.: "&amp;I308,"Gerador: "&amp;G308)))</f>
        <v/>
      </c>
    </row>
    <row r="309">
      <c r="A309" s="89" t="inlineStr">
        <is>
          <t>MTR-000304</t>
        </is>
      </c>
      <c r="B309" s="90" t="n"/>
      <c r="C309" s="91" t="n"/>
      <c r="D309" s="91" t="n"/>
      <c r="E309" s="92" t="n"/>
      <c r="F309" s="92" t="n"/>
      <c r="G309" s="91" t="n"/>
      <c r="H309" s="91" t="n"/>
      <c r="I309" s="91" t="n"/>
      <c r="J309" s="91" t="n"/>
      <c r="K309" s="91" t="n"/>
      <c r="L309" s="92" t="n"/>
      <c r="M309" s="91" t="n"/>
      <c r="N309" s="91" t="n"/>
      <c r="O309" s="91" t="n"/>
      <c r="P309" s="93" t="str">
        <f>IF(Z309=0,"",SUMIFS('ITENS_MTR'!$I$6:$I$1005,'ITENS_MTR'!$S$6:$S$1005,A309,'ITENS_MTR'!$Y$6:$Y$1005,1))</f>
        <v/>
      </c>
      <c r="Q309" s="93" t="str">
        <f>IF(Z309=0,"",SUMIFS('RECEBIMENTOS'!$H$6:$H$1005,'RECEBIMENTOS'!$B$6:$B$1005,A309,'RECEBIMENTOS'!$X$6:$X$1005,1))</f>
        <v/>
      </c>
      <c r="R309" s="93" t="str">
        <f>IF(Z309=0,"",SUMIFS('VÍNCULOS_CDF'!$H$6:$H$1005,'VÍNCULOS_CDF'!$D$6:$D$1005,A309,'VÍNCULOS_CDF'!$V$6:$V$1005,1))</f>
        <v/>
      </c>
      <c r="S309" s="94" t="str">
        <f>IF(Z309=0,"",IF(AA309=1,"Cancelado (informado)",IF(AE309=1,"Cadastro incompleto",IF(OR(AC309=1,AD309=1,AF309&gt;0,AH309&gt;0,AK309&gt;0,AL309&gt;0),"Informação a revisar",IF(AN309=0,"Aguardando recebimento",IF(N(R309)=0,"Aguardando CDF",IF(AJ309&lt;N(W309),"Vínculo de CDF parcial",IF(AO309=0,"CDF localizado, a conferir","Documentação conferida"))))))))</f>
        <v/>
      </c>
      <c r="T309" s="94" t="str">
        <f>IF(Z309=0,"",IF(S309="Cadastro incompleto","MTR INCOMPLETO",IF(S309="Informação a revisar",IF(AND(AH309&gt;0,AC309=0,AD309=0,AF309=0,AK309=0,AL309=0),"QUANTIDADE A REVISAR","IDENTIFICAÇÃO A REVISAR"),IF(S309="Aguardando recebimento","RECEBIMENTO NÃO CONFIRMADO",IF(S309="Aguardando CDF","CDF NÃO LOCALIZADO",IF(S309="Vínculo de CDF parcial","VÍNCULO INCOMPLETO",IF(S309="CDF localizado, a conferir","CDF A CONFERIR","")))))))</f>
        <v/>
      </c>
      <c r="U309" s="95" t="str">
        <f>IF(T309="","",IF(AQ309="","Não calculável",IF(AQ309&gt;TODAY(),"Data futura",TODAY()-AQ309)))</f>
        <v/>
      </c>
      <c r="V309" s="93" t="str">
        <f>IF(Z309=0,"",SUMIFS('RECEBIMENTOS'!$H$6:$H$1005,'RECEBIMENTOS'!$B$6:$B$1005,A309,'RECEBIMENTOS'!$Z$6:$Z$1005,1))</f>
        <v/>
      </c>
      <c r="W309" s="95" t="str">
        <f>IF(Z309=0,"",COUNTIFS('ITENS_MTR'!$S$6:$S$1005,A309,'ITENS_MTR'!$R$6:$R$1005,1))</f>
        <v/>
      </c>
      <c r="X309" s="94" t="str">
        <f>IF(AC309=1,"POSSÍVEL DUPLICIDADE","")</f>
        <v/>
      </c>
      <c r="Y309" s="94" t="str">
        <f>IF(Z309=0,"",IF(AW309="","Nenhuma",LEFT(AW309,LEN(AW309)-2)))</f>
        <v/>
      </c>
      <c r="Z309" s="96">
        <f>IF(COUNTA(B309:O309)&gt;0,1,0)</f>
        <v>0</v>
      </c>
      <c r="AA309" s="96">
        <f>IF(AND(Z309=1,K309&lt;&gt;""),IF(TRIM(K309)=TRIM(cfg_cancel),1,0),0)</f>
        <v>0</v>
      </c>
      <c r="AB309" s="96" t="str">
        <f>IF(AND(Z309=1,B309&lt;&gt;""),C309&amp;"|"&amp;D309&amp;"|"&amp;G309&amp;"|"&amp;TRIM(B309),"")</f>
        <v/>
      </c>
      <c r="AC309" s="96">
        <f>IF(AB309="",0,IF(SUMPRODUCT(--($AB$6:$AB$505=AB309))&gt;1,1,0))</f>
        <v>0</v>
      </c>
      <c r="AD309" s="96">
        <f>IF(Z309=0,0,IF(OR(AND(G309&lt;&gt;"",ISNA(MATCH(G309,'CAD_UNIDADES'!$C$6:$C$105,0))),AND(H309&lt;&gt;"",ISNA(MATCH(H309,cmp_transp,0))),AND(I309&lt;&gt;"",ISNA(MATCH(I309,cmp_dest,0))),AND(E309&lt;&gt;"",NOT(ISNUMBER(E309))),AND(F309&lt;&gt;"",NOT(ISNUMBER(F309))),AND(ISNUMBER(E309),ISNUMBER(F309),F309&lt;E309)),1,0))</f>
        <v>0</v>
      </c>
      <c r="AE309" s="96">
        <f>IF(Z309=0,0,IF(OR(B309="",C309="",E309="",G309="",H309="",I309="",N(W309)=0),1,0))</f>
        <v>0</v>
      </c>
      <c r="AF309" s="96">
        <f>IF(Z309=0,0,COUNTIFS('ITENS_MTR'!$S$6:$S$1005,A309,'ITENS_MTR'!$AI$6:$AI$1005,1))</f>
        <v>0</v>
      </c>
      <c r="AG309" s="96">
        <f>IF(Z309=0,0,COUNTIFS('ITENS_MTR'!$S$6:$S$1005,A309,'ITENS_MTR'!$AJ$6:$AJ$1005,1))</f>
        <v>0</v>
      </c>
      <c r="AH309" s="96">
        <f>IF(Z309=0,0,COUNTIFS('ITENS_MTR'!$S$6:$S$1005,A309,'ITENS_MTR'!$AM$6:$AM$1005,1))</f>
        <v>0</v>
      </c>
      <c r="AI309" s="96">
        <f>IF(Z309=0,0,COUNTIFS('ITENS_MTR'!$S$6:$S$1005,A309,'ITENS_MTR'!$AO$6:$AO$1005,1))</f>
        <v>0</v>
      </c>
      <c r="AJ309" s="96">
        <f>IF(Z309=0,0,COUNTIFS('ITENS_MTR'!$S$6:$S$1005,A309,'ITENS_MTR'!$AN$6:$AN$1005,1))</f>
        <v>0</v>
      </c>
      <c r="AK309" s="96">
        <f>IF(Z309=0,0,COUNTIFS('RECEBIMENTOS'!$B$6:$B$1005,A309,'RECEBIMENTOS'!$Y$6:$Y$1005,1))</f>
        <v>0</v>
      </c>
      <c r="AL309" s="96">
        <f>IF(Z309=0,0,COUNTIFS('VÍNCULOS_CDF'!$D$6:$D$1005,A309,'VÍNCULOS_CDF'!$Y$6:$Y$1005,1))</f>
        <v>0</v>
      </c>
      <c r="AM309" s="96">
        <f>IF(Z309=0,0,COUNTIFS('RECEBIMENTOS'!$B$6:$B$1005,A309,'RECEBIMENTOS'!$Q$6:$Q$1005,1))</f>
        <v>0</v>
      </c>
      <c r="AN309" s="96">
        <f>IF(AND(Z309=1,N(W309)&gt;0,AG309=N(W309)),1,0)</f>
        <v>0</v>
      </c>
      <c r="AO309" s="96">
        <f>IF(AND(Z309=1,N(W309)&gt;0,AI309=N(W309)),1,0)</f>
        <v>0</v>
      </c>
      <c r="AP309" s="97">
        <f>IF(Z309=0,0,_xlfn.MAXIFS('RECEBIMENTOS'!$E$6:$E$1005,'RECEBIMENTOS'!$B$6:$B$1005,A309))</f>
        <v>0</v>
      </c>
      <c r="AQ309" s="97" t="str">
        <f>IF(T309="","",IF(T309="RECEBIMENTO NÃO CONFIRMADO",IF(ISNUMBER(F309),F309,IF(ISNUMBER(E309),E309,"")),IF(OR(T309="CDF NÃO LOCALIZADO",T309="VÍNCULO INCOMPLETO",T309="CDF A CONFERIR"),IF(AP309&gt;0,AP309,IF(ISNUMBER(E309),E309,"")),IF(ISNUMBER(E309),E309,""))))</f>
        <v/>
      </c>
      <c r="AR309" s="96">
        <f>IF(NOT(ISNUMBER(U309)),0,IF(T309="RECEBIMENTO NÃO CONFIRMADO",IF(AND(ISNUMBER(cfg_rec),U309&gt;cfg_rec),1,0),IF(OR(T309="CDF NÃO LOCALIZADO",T309="VÍNCULO INCOMPLETO",T309="CDF A CONFERIR"),IF(AND(ISNUMBER(cfg_cdf),U309&gt;cfg_cdf),1,0),0)))</f>
        <v>0</v>
      </c>
      <c r="AS309" s="96" t="str">
        <f>IF(T309="","",IF(AR309=1,"Alta",IFERROR(INDEX(cfg_pp,MATCH(T309,cfg_pt,0))&amp;"","Média")))</f>
        <v/>
      </c>
      <c r="AT309" s="96" t="str">
        <f>IF(T309="","",IFERROR(INDEX(cfg_pv,MATCH(T309,cfg_pt,0))&amp;"",""))</f>
        <v/>
      </c>
      <c r="AU309" s="96" t="str">
        <f>IF(T309="","",IF(AS309="Alta",1,IF(AS309="Média",2,3))*1000000000+(999999-IF(ISNUMBER(U309),MIN(U309,999999),0))*1000+304)</f>
        <v/>
      </c>
      <c r="AV309" s="96">
        <f>IF(T309&lt;&gt;"",1,0)</f>
        <v>0</v>
      </c>
      <c r="AW309" s="96" t="str">
        <f>IF(Z309=0,"",IF(AA309=1,"Cancelamento informado; ","")&amp;IF(AE309=1,"Campos essenciais ou itens faltando; ","")&amp;IF(AC309=1,"Possível duplicidade do número; ","")&amp;IF(AD309=1,"Cadastro ou datas a revisar; ","")&amp;IF(AF309&gt;0,"Item de resíduo com dado a revisar; ","")&amp;IF(AH309&gt;0,"Diferença de quantidade a analisar; ","")&amp;IF(AK309&gt;0,"Recebimento com alerta; ","")&amp;IF(AL309&gt;0,"Vínculo de CDF com alerta; ","")&amp;IF(AND(AA309=0,AN309=0),"Recebimento não confirmado; ","")&amp;IF(AND(AA309=0,AN309=1,AO309=0),"CDF pendente ou a conferir; ",""))</f>
        <v/>
      </c>
      <c r="AX309" s="96">
        <f>IF(Z309=0,0,IF(AND(OR(f_ini="",AND(ISNUMBER(E309),E309&gt;=f_ini)),OR(f_fim="",AND(ISNUMBER(E309),E309&lt;=f_fim)),OR(f_un="",f_un="(Todas)",G309=f_un),OR(f_tr="",f_tr="(Todos)",H309=f_tr),OR(f_de="",f_de="(Todos)",I309=f_de),OR(f_sit="",f_sit="(Todas)",S309=f_sit)),1,0))</f>
        <v>0</v>
      </c>
      <c r="AY309" s="96">
        <f>IF(AX309=0,0,IF(OR(f_res="",f_res="(Todos)"),1,IF(COUNTIFS('ITENS_MTR'!$S$6:$S$1005,A309,'ITENS_MTR'!$C$6:$C$1005,f_res)&gt;0,1,0)))</f>
        <v>0</v>
      </c>
      <c r="AZ309" s="97" t="str">
        <f>IF(ISNUMBER(E309),DATE(YEAR(E309),MONTH(E309),1),"")</f>
        <v/>
      </c>
      <c r="BA309" s="96">
        <f>IF(Z309=0,0,IF(AND(OR(r_ini="",AND(ISNUMBER(E309),E309&gt;=r_ini)),OR(r_fim="",AND(ISNUMBER(E309),E309&lt;=r_fim)),OR(r_un="",r_un="(Todas)",G309=r_un),OR(r_de="",r_de="(Todos)",I309=r_de)),1,0))</f>
        <v>0</v>
      </c>
      <c r="BB309" s="96" t="str">
        <f>IF(BA309=1,COUNTIF($BA$6:BA309,1),"")</f>
        <v/>
      </c>
      <c r="BC309" s="96" t="str">
        <f>IF(AND(AU309&lt;&gt;"",OR(r_un="",r_un="(Todas)",G309=r_un),OR(r_de="",r_de="(Todos)",I309=r_de)),AU309,"")</f>
        <v/>
      </c>
      <c r="BD309" s="96" t="str">
        <f>IF(Z309=1,A309&amp;" | nº "&amp;IF(B309="","(sem número)",B309)&amp;" | "&amp;IF(G309="","(sem unidade)",G309),"")</f>
        <v/>
      </c>
      <c r="BE309" s="96" t="str">
        <f>IF(Z309=1,COUNTIF($Z$6:Z309,1),"")</f>
        <v/>
      </c>
      <c r="BF309" s="96" t="str">
        <f>IF(T309="","",IF(T309="RECEBIMENTO NÃO CONFIRMADO","Transp.: "&amp;H309&amp;" | Dest.: "&amp;I309,IF(OR(T309="CDF NÃO LOCALIZADO",T309="VÍNCULO INCOMPLETO",T309="CDF A CONFERIR"),"Dest.: "&amp;I309,"Gerador: "&amp;G309)))</f>
        <v/>
      </c>
    </row>
    <row r="310">
      <c r="A310" s="89" t="inlineStr">
        <is>
          <t>MTR-000305</t>
        </is>
      </c>
      <c r="B310" s="90" t="n"/>
      <c r="C310" s="91" t="n"/>
      <c r="D310" s="91" t="n"/>
      <c r="E310" s="92" t="n"/>
      <c r="F310" s="92" t="n"/>
      <c r="G310" s="91" t="n"/>
      <c r="H310" s="91" t="n"/>
      <c r="I310" s="91" t="n"/>
      <c r="J310" s="91" t="n"/>
      <c r="K310" s="91" t="n"/>
      <c r="L310" s="92" t="n"/>
      <c r="M310" s="91" t="n"/>
      <c r="N310" s="91" t="n"/>
      <c r="O310" s="91" t="n"/>
      <c r="P310" s="93" t="str">
        <f>IF(Z310=0,"",SUMIFS('ITENS_MTR'!$I$6:$I$1005,'ITENS_MTR'!$S$6:$S$1005,A310,'ITENS_MTR'!$Y$6:$Y$1005,1))</f>
        <v/>
      </c>
      <c r="Q310" s="93" t="str">
        <f>IF(Z310=0,"",SUMIFS('RECEBIMENTOS'!$H$6:$H$1005,'RECEBIMENTOS'!$B$6:$B$1005,A310,'RECEBIMENTOS'!$X$6:$X$1005,1))</f>
        <v/>
      </c>
      <c r="R310" s="93" t="str">
        <f>IF(Z310=0,"",SUMIFS('VÍNCULOS_CDF'!$H$6:$H$1005,'VÍNCULOS_CDF'!$D$6:$D$1005,A310,'VÍNCULOS_CDF'!$V$6:$V$1005,1))</f>
        <v/>
      </c>
      <c r="S310" s="94" t="str">
        <f>IF(Z310=0,"",IF(AA310=1,"Cancelado (informado)",IF(AE310=1,"Cadastro incompleto",IF(OR(AC310=1,AD310=1,AF310&gt;0,AH310&gt;0,AK310&gt;0,AL310&gt;0),"Informação a revisar",IF(AN310=0,"Aguardando recebimento",IF(N(R310)=0,"Aguardando CDF",IF(AJ310&lt;N(W310),"Vínculo de CDF parcial",IF(AO310=0,"CDF localizado, a conferir","Documentação conferida"))))))))</f>
        <v/>
      </c>
      <c r="T310" s="94" t="str">
        <f>IF(Z310=0,"",IF(S310="Cadastro incompleto","MTR INCOMPLETO",IF(S310="Informação a revisar",IF(AND(AH310&gt;0,AC310=0,AD310=0,AF310=0,AK310=0,AL310=0),"QUANTIDADE A REVISAR","IDENTIFICAÇÃO A REVISAR"),IF(S310="Aguardando recebimento","RECEBIMENTO NÃO CONFIRMADO",IF(S310="Aguardando CDF","CDF NÃO LOCALIZADO",IF(S310="Vínculo de CDF parcial","VÍNCULO INCOMPLETO",IF(S310="CDF localizado, a conferir","CDF A CONFERIR","")))))))</f>
        <v/>
      </c>
      <c r="U310" s="95" t="str">
        <f>IF(T310="","",IF(AQ310="","Não calculável",IF(AQ310&gt;TODAY(),"Data futura",TODAY()-AQ310)))</f>
        <v/>
      </c>
      <c r="V310" s="93" t="str">
        <f>IF(Z310=0,"",SUMIFS('RECEBIMENTOS'!$H$6:$H$1005,'RECEBIMENTOS'!$B$6:$B$1005,A310,'RECEBIMENTOS'!$Z$6:$Z$1005,1))</f>
        <v/>
      </c>
      <c r="W310" s="95" t="str">
        <f>IF(Z310=0,"",COUNTIFS('ITENS_MTR'!$S$6:$S$1005,A310,'ITENS_MTR'!$R$6:$R$1005,1))</f>
        <v/>
      </c>
      <c r="X310" s="94" t="str">
        <f>IF(AC310=1,"POSSÍVEL DUPLICIDADE","")</f>
        <v/>
      </c>
      <c r="Y310" s="94" t="str">
        <f>IF(Z310=0,"",IF(AW310="","Nenhuma",LEFT(AW310,LEN(AW310)-2)))</f>
        <v/>
      </c>
      <c r="Z310" s="96">
        <f>IF(COUNTA(B310:O310)&gt;0,1,0)</f>
        <v>0</v>
      </c>
      <c r="AA310" s="96">
        <f>IF(AND(Z310=1,K310&lt;&gt;""),IF(TRIM(K310)=TRIM(cfg_cancel),1,0),0)</f>
        <v>0</v>
      </c>
      <c r="AB310" s="96" t="str">
        <f>IF(AND(Z310=1,B310&lt;&gt;""),C310&amp;"|"&amp;D310&amp;"|"&amp;G310&amp;"|"&amp;TRIM(B310),"")</f>
        <v/>
      </c>
      <c r="AC310" s="96">
        <f>IF(AB310="",0,IF(SUMPRODUCT(--($AB$6:$AB$505=AB310))&gt;1,1,0))</f>
        <v>0</v>
      </c>
      <c r="AD310" s="96">
        <f>IF(Z310=0,0,IF(OR(AND(G310&lt;&gt;"",ISNA(MATCH(G310,'CAD_UNIDADES'!$C$6:$C$105,0))),AND(H310&lt;&gt;"",ISNA(MATCH(H310,cmp_transp,0))),AND(I310&lt;&gt;"",ISNA(MATCH(I310,cmp_dest,0))),AND(E310&lt;&gt;"",NOT(ISNUMBER(E310))),AND(F310&lt;&gt;"",NOT(ISNUMBER(F310))),AND(ISNUMBER(E310),ISNUMBER(F310),F310&lt;E310)),1,0))</f>
        <v>0</v>
      </c>
      <c r="AE310" s="96">
        <f>IF(Z310=0,0,IF(OR(B310="",C310="",E310="",G310="",H310="",I310="",N(W310)=0),1,0))</f>
        <v>0</v>
      </c>
      <c r="AF310" s="96">
        <f>IF(Z310=0,0,COUNTIFS('ITENS_MTR'!$S$6:$S$1005,A310,'ITENS_MTR'!$AI$6:$AI$1005,1))</f>
        <v>0</v>
      </c>
      <c r="AG310" s="96">
        <f>IF(Z310=0,0,COUNTIFS('ITENS_MTR'!$S$6:$S$1005,A310,'ITENS_MTR'!$AJ$6:$AJ$1005,1))</f>
        <v>0</v>
      </c>
      <c r="AH310" s="96">
        <f>IF(Z310=0,0,COUNTIFS('ITENS_MTR'!$S$6:$S$1005,A310,'ITENS_MTR'!$AM$6:$AM$1005,1))</f>
        <v>0</v>
      </c>
      <c r="AI310" s="96">
        <f>IF(Z310=0,0,COUNTIFS('ITENS_MTR'!$S$6:$S$1005,A310,'ITENS_MTR'!$AO$6:$AO$1005,1))</f>
        <v>0</v>
      </c>
      <c r="AJ310" s="96">
        <f>IF(Z310=0,0,COUNTIFS('ITENS_MTR'!$S$6:$S$1005,A310,'ITENS_MTR'!$AN$6:$AN$1005,1))</f>
        <v>0</v>
      </c>
      <c r="AK310" s="96">
        <f>IF(Z310=0,0,COUNTIFS('RECEBIMENTOS'!$B$6:$B$1005,A310,'RECEBIMENTOS'!$Y$6:$Y$1005,1))</f>
        <v>0</v>
      </c>
      <c r="AL310" s="96">
        <f>IF(Z310=0,0,COUNTIFS('VÍNCULOS_CDF'!$D$6:$D$1005,A310,'VÍNCULOS_CDF'!$Y$6:$Y$1005,1))</f>
        <v>0</v>
      </c>
      <c r="AM310" s="96">
        <f>IF(Z310=0,0,COUNTIFS('RECEBIMENTOS'!$B$6:$B$1005,A310,'RECEBIMENTOS'!$Q$6:$Q$1005,1))</f>
        <v>0</v>
      </c>
      <c r="AN310" s="96">
        <f>IF(AND(Z310=1,N(W310)&gt;0,AG310=N(W310)),1,0)</f>
        <v>0</v>
      </c>
      <c r="AO310" s="96">
        <f>IF(AND(Z310=1,N(W310)&gt;0,AI310=N(W310)),1,0)</f>
        <v>0</v>
      </c>
      <c r="AP310" s="97">
        <f>IF(Z310=0,0,_xlfn.MAXIFS('RECEBIMENTOS'!$E$6:$E$1005,'RECEBIMENTOS'!$B$6:$B$1005,A310))</f>
        <v>0</v>
      </c>
      <c r="AQ310" s="97" t="str">
        <f>IF(T310="","",IF(T310="RECEBIMENTO NÃO CONFIRMADO",IF(ISNUMBER(F310),F310,IF(ISNUMBER(E310),E310,"")),IF(OR(T310="CDF NÃO LOCALIZADO",T310="VÍNCULO INCOMPLETO",T310="CDF A CONFERIR"),IF(AP310&gt;0,AP310,IF(ISNUMBER(E310),E310,"")),IF(ISNUMBER(E310),E310,""))))</f>
        <v/>
      </c>
      <c r="AR310" s="96">
        <f>IF(NOT(ISNUMBER(U310)),0,IF(T310="RECEBIMENTO NÃO CONFIRMADO",IF(AND(ISNUMBER(cfg_rec),U310&gt;cfg_rec),1,0),IF(OR(T310="CDF NÃO LOCALIZADO",T310="VÍNCULO INCOMPLETO",T310="CDF A CONFERIR"),IF(AND(ISNUMBER(cfg_cdf),U310&gt;cfg_cdf),1,0),0)))</f>
        <v>0</v>
      </c>
      <c r="AS310" s="96" t="str">
        <f>IF(T310="","",IF(AR310=1,"Alta",IFERROR(INDEX(cfg_pp,MATCH(T310,cfg_pt,0))&amp;"","Média")))</f>
        <v/>
      </c>
      <c r="AT310" s="96" t="str">
        <f>IF(T310="","",IFERROR(INDEX(cfg_pv,MATCH(T310,cfg_pt,0))&amp;"",""))</f>
        <v/>
      </c>
      <c r="AU310" s="96" t="str">
        <f>IF(T310="","",IF(AS310="Alta",1,IF(AS310="Média",2,3))*1000000000+(999999-IF(ISNUMBER(U310),MIN(U310,999999),0))*1000+305)</f>
        <v/>
      </c>
      <c r="AV310" s="96">
        <f>IF(T310&lt;&gt;"",1,0)</f>
        <v>0</v>
      </c>
      <c r="AW310" s="96" t="str">
        <f>IF(Z310=0,"",IF(AA310=1,"Cancelamento informado; ","")&amp;IF(AE310=1,"Campos essenciais ou itens faltando; ","")&amp;IF(AC310=1,"Possível duplicidade do número; ","")&amp;IF(AD310=1,"Cadastro ou datas a revisar; ","")&amp;IF(AF310&gt;0,"Item de resíduo com dado a revisar; ","")&amp;IF(AH310&gt;0,"Diferença de quantidade a analisar; ","")&amp;IF(AK310&gt;0,"Recebimento com alerta; ","")&amp;IF(AL310&gt;0,"Vínculo de CDF com alerta; ","")&amp;IF(AND(AA310=0,AN310=0),"Recebimento não confirmado; ","")&amp;IF(AND(AA310=0,AN310=1,AO310=0),"CDF pendente ou a conferir; ",""))</f>
        <v/>
      </c>
      <c r="AX310" s="96">
        <f>IF(Z310=0,0,IF(AND(OR(f_ini="",AND(ISNUMBER(E310),E310&gt;=f_ini)),OR(f_fim="",AND(ISNUMBER(E310),E310&lt;=f_fim)),OR(f_un="",f_un="(Todas)",G310=f_un),OR(f_tr="",f_tr="(Todos)",H310=f_tr),OR(f_de="",f_de="(Todos)",I310=f_de),OR(f_sit="",f_sit="(Todas)",S310=f_sit)),1,0))</f>
        <v>0</v>
      </c>
      <c r="AY310" s="96">
        <f>IF(AX310=0,0,IF(OR(f_res="",f_res="(Todos)"),1,IF(COUNTIFS('ITENS_MTR'!$S$6:$S$1005,A310,'ITENS_MTR'!$C$6:$C$1005,f_res)&gt;0,1,0)))</f>
        <v>0</v>
      </c>
      <c r="AZ310" s="97" t="str">
        <f>IF(ISNUMBER(E310),DATE(YEAR(E310),MONTH(E310),1),"")</f>
        <v/>
      </c>
      <c r="BA310" s="96">
        <f>IF(Z310=0,0,IF(AND(OR(r_ini="",AND(ISNUMBER(E310),E310&gt;=r_ini)),OR(r_fim="",AND(ISNUMBER(E310),E310&lt;=r_fim)),OR(r_un="",r_un="(Todas)",G310=r_un),OR(r_de="",r_de="(Todos)",I310=r_de)),1,0))</f>
        <v>0</v>
      </c>
      <c r="BB310" s="96" t="str">
        <f>IF(BA310=1,COUNTIF($BA$6:BA310,1),"")</f>
        <v/>
      </c>
      <c r="BC310" s="96" t="str">
        <f>IF(AND(AU310&lt;&gt;"",OR(r_un="",r_un="(Todas)",G310=r_un),OR(r_de="",r_de="(Todos)",I310=r_de)),AU310,"")</f>
        <v/>
      </c>
      <c r="BD310" s="96" t="str">
        <f>IF(Z310=1,A310&amp;" | nº "&amp;IF(B310="","(sem número)",B310)&amp;" | "&amp;IF(G310="","(sem unidade)",G310),"")</f>
        <v/>
      </c>
      <c r="BE310" s="96" t="str">
        <f>IF(Z310=1,COUNTIF($Z$6:Z310,1),"")</f>
        <v/>
      </c>
      <c r="BF310" s="96" t="str">
        <f>IF(T310="","",IF(T310="RECEBIMENTO NÃO CONFIRMADO","Transp.: "&amp;H310&amp;" | Dest.: "&amp;I310,IF(OR(T310="CDF NÃO LOCALIZADO",T310="VÍNCULO INCOMPLETO",T310="CDF A CONFERIR"),"Dest.: "&amp;I310,"Gerador: "&amp;G310)))</f>
        <v/>
      </c>
    </row>
    <row r="311">
      <c r="A311" s="89" t="inlineStr">
        <is>
          <t>MTR-000306</t>
        </is>
      </c>
      <c r="B311" s="90" t="n"/>
      <c r="C311" s="91" t="n"/>
      <c r="D311" s="91" t="n"/>
      <c r="E311" s="92" t="n"/>
      <c r="F311" s="92" t="n"/>
      <c r="G311" s="91" t="n"/>
      <c r="H311" s="91" t="n"/>
      <c r="I311" s="91" t="n"/>
      <c r="J311" s="91" t="n"/>
      <c r="K311" s="91" t="n"/>
      <c r="L311" s="92" t="n"/>
      <c r="M311" s="91" t="n"/>
      <c r="N311" s="91" t="n"/>
      <c r="O311" s="91" t="n"/>
      <c r="P311" s="93" t="str">
        <f>IF(Z311=0,"",SUMIFS('ITENS_MTR'!$I$6:$I$1005,'ITENS_MTR'!$S$6:$S$1005,A311,'ITENS_MTR'!$Y$6:$Y$1005,1))</f>
        <v/>
      </c>
      <c r="Q311" s="93" t="str">
        <f>IF(Z311=0,"",SUMIFS('RECEBIMENTOS'!$H$6:$H$1005,'RECEBIMENTOS'!$B$6:$B$1005,A311,'RECEBIMENTOS'!$X$6:$X$1005,1))</f>
        <v/>
      </c>
      <c r="R311" s="93" t="str">
        <f>IF(Z311=0,"",SUMIFS('VÍNCULOS_CDF'!$H$6:$H$1005,'VÍNCULOS_CDF'!$D$6:$D$1005,A311,'VÍNCULOS_CDF'!$V$6:$V$1005,1))</f>
        <v/>
      </c>
      <c r="S311" s="94" t="str">
        <f>IF(Z311=0,"",IF(AA311=1,"Cancelado (informado)",IF(AE311=1,"Cadastro incompleto",IF(OR(AC311=1,AD311=1,AF311&gt;0,AH311&gt;0,AK311&gt;0,AL311&gt;0),"Informação a revisar",IF(AN311=0,"Aguardando recebimento",IF(N(R311)=0,"Aguardando CDF",IF(AJ311&lt;N(W311),"Vínculo de CDF parcial",IF(AO311=0,"CDF localizado, a conferir","Documentação conferida"))))))))</f>
        <v/>
      </c>
      <c r="T311" s="94" t="str">
        <f>IF(Z311=0,"",IF(S311="Cadastro incompleto","MTR INCOMPLETO",IF(S311="Informação a revisar",IF(AND(AH311&gt;0,AC311=0,AD311=0,AF311=0,AK311=0,AL311=0),"QUANTIDADE A REVISAR","IDENTIFICAÇÃO A REVISAR"),IF(S311="Aguardando recebimento","RECEBIMENTO NÃO CONFIRMADO",IF(S311="Aguardando CDF","CDF NÃO LOCALIZADO",IF(S311="Vínculo de CDF parcial","VÍNCULO INCOMPLETO",IF(S311="CDF localizado, a conferir","CDF A CONFERIR","")))))))</f>
        <v/>
      </c>
      <c r="U311" s="95" t="str">
        <f>IF(T311="","",IF(AQ311="","Não calculável",IF(AQ311&gt;TODAY(),"Data futura",TODAY()-AQ311)))</f>
        <v/>
      </c>
      <c r="V311" s="93" t="str">
        <f>IF(Z311=0,"",SUMIFS('RECEBIMENTOS'!$H$6:$H$1005,'RECEBIMENTOS'!$B$6:$B$1005,A311,'RECEBIMENTOS'!$Z$6:$Z$1005,1))</f>
        <v/>
      </c>
      <c r="W311" s="95" t="str">
        <f>IF(Z311=0,"",COUNTIFS('ITENS_MTR'!$S$6:$S$1005,A311,'ITENS_MTR'!$R$6:$R$1005,1))</f>
        <v/>
      </c>
      <c r="X311" s="94" t="str">
        <f>IF(AC311=1,"POSSÍVEL DUPLICIDADE","")</f>
        <v/>
      </c>
      <c r="Y311" s="94" t="str">
        <f>IF(Z311=0,"",IF(AW311="","Nenhuma",LEFT(AW311,LEN(AW311)-2)))</f>
        <v/>
      </c>
      <c r="Z311" s="96">
        <f>IF(COUNTA(B311:O311)&gt;0,1,0)</f>
        <v>0</v>
      </c>
      <c r="AA311" s="96">
        <f>IF(AND(Z311=1,K311&lt;&gt;""),IF(TRIM(K311)=TRIM(cfg_cancel),1,0),0)</f>
        <v>0</v>
      </c>
      <c r="AB311" s="96" t="str">
        <f>IF(AND(Z311=1,B311&lt;&gt;""),C311&amp;"|"&amp;D311&amp;"|"&amp;G311&amp;"|"&amp;TRIM(B311),"")</f>
        <v/>
      </c>
      <c r="AC311" s="96">
        <f>IF(AB311="",0,IF(SUMPRODUCT(--($AB$6:$AB$505=AB311))&gt;1,1,0))</f>
        <v>0</v>
      </c>
      <c r="AD311" s="96">
        <f>IF(Z311=0,0,IF(OR(AND(G311&lt;&gt;"",ISNA(MATCH(G311,'CAD_UNIDADES'!$C$6:$C$105,0))),AND(H311&lt;&gt;"",ISNA(MATCH(H311,cmp_transp,0))),AND(I311&lt;&gt;"",ISNA(MATCH(I311,cmp_dest,0))),AND(E311&lt;&gt;"",NOT(ISNUMBER(E311))),AND(F311&lt;&gt;"",NOT(ISNUMBER(F311))),AND(ISNUMBER(E311),ISNUMBER(F311),F311&lt;E311)),1,0))</f>
        <v>0</v>
      </c>
      <c r="AE311" s="96">
        <f>IF(Z311=0,0,IF(OR(B311="",C311="",E311="",G311="",H311="",I311="",N(W311)=0),1,0))</f>
        <v>0</v>
      </c>
      <c r="AF311" s="96">
        <f>IF(Z311=0,0,COUNTIFS('ITENS_MTR'!$S$6:$S$1005,A311,'ITENS_MTR'!$AI$6:$AI$1005,1))</f>
        <v>0</v>
      </c>
      <c r="AG311" s="96">
        <f>IF(Z311=0,0,COUNTIFS('ITENS_MTR'!$S$6:$S$1005,A311,'ITENS_MTR'!$AJ$6:$AJ$1005,1))</f>
        <v>0</v>
      </c>
      <c r="AH311" s="96">
        <f>IF(Z311=0,0,COUNTIFS('ITENS_MTR'!$S$6:$S$1005,A311,'ITENS_MTR'!$AM$6:$AM$1005,1))</f>
        <v>0</v>
      </c>
      <c r="AI311" s="96">
        <f>IF(Z311=0,0,COUNTIFS('ITENS_MTR'!$S$6:$S$1005,A311,'ITENS_MTR'!$AO$6:$AO$1005,1))</f>
        <v>0</v>
      </c>
      <c r="AJ311" s="96">
        <f>IF(Z311=0,0,COUNTIFS('ITENS_MTR'!$S$6:$S$1005,A311,'ITENS_MTR'!$AN$6:$AN$1005,1))</f>
        <v>0</v>
      </c>
      <c r="AK311" s="96">
        <f>IF(Z311=0,0,COUNTIFS('RECEBIMENTOS'!$B$6:$B$1005,A311,'RECEBIMENTOS'!$Y$6:$Y$1005,1))</f>
        <v>0</v>
      </c>
      <c r="AL311" s="96">
        <f>IF(Z311=0,0,COUNTIFS('VÍNCULOS_CDF'!$D$6:$D$1005,A311,'VÍNCULOS_CDF'!$Y$6:$Y$1005,1))</f>
        <v>0</v>
      </c>
      <c r="AM311" s="96">
        <f>IF(Z311=0,0,COUNTIFS('RECEBIMENTOS'!$B$6:$B$1005,A311,'RECEBIMENTOS'!$Q$6:$Q$1005,1))</f>
        <v>0</v>
      </c>
      <c r="AN311" s="96">
        <f>IF(AND(Z311=1,N(W311)&gt;0,AG311=N(W311)),1,0)</f>
        <v>0</v>
      </c>
      <c r="AO311" s="96">
        <f>IF(AND(Z311=1,N(W311)&gt;0,AI311=N(W311)),1,0)</f>
        <v>0</v>
      </c>
      <c r="AP311" s="97">
        <f>IF(Z311=0,0,_xlfn.MAXIFS('RECEBIMENTOS'!$E$6:$E$1005,'RECEBIMENTOS'!$B$6:$B$1005,A311))</f>
        <v>0</v>
      </c>
      <c r="AQ311" s="97" t="str">
        <f>IF(T311="","",IF(T311="RECEBIMENTO NÃO CONFIRMADO",IF(ISNUMBER(F311),F311,IF(ISNUMBER(E311),E311,"")),IF(OR(T311="CDF NÃO LOCALIZADO",T311="VÍNCULO INCOMPLETO",T311="CDF A CONFERIR"),IF(AP311&gt;0,AP311,IF(ISNUMBER(E311),E311,"")),IF(ISNUMBER(E311),E311,""))))</f>
        <v/>
      </c>
      <c r="AR311" s="96">
        <f>IF(NOT(ISNUMBER(U311)),0,IF(T311="RECEBIMENTO NÃO CONFIRMADO",IF(AND(ISNUMBER(cfg_rec),U311&gt;cfg_rec),1,0),IF(OR(T311="CDF NÃO LOCALIZADO",T311="VÍNCULO INCOMPLETO",T311="CDF A CONFERIR"),IF(AND(ISNUMBER(cfg_cdf),U311&gt;cfg_cdf),1,0),0)))</f>
        <v>0</v>
      </c>
      <c r="AS311" s="96" t="str">
        <f>IF(T311="","",IF(AR311=1,"Alta",IFERROR(INDEX(cfg_pp,MATCH(T311,cfg_pt,0))&amp;"","Média")))</f>
        <v/>
      </c>
      <c r="AT311" s="96" t="str">
        <f>IF(T311="","",IFERROR(INDEX(cfg_pv,MATCH(T311,cfg_pt,0))&amp;"",""))</f>
        <v/>
      </c>
      <c r="AU311" s="96" t="str">
        <f>IF(T311="","",IF(AS311="Alta",1,IF(AS311="Média",2,3))*1000000000+(999999-IF(ISNUMBER(U311),MIN(U311,999999),0))*1000+306)</f>
        <v/>
      </c>
      <c r="AV311" s="96">
        <f>IF(T311&lt;&gt;"",1,0)</f>
        <v>0</v>
      </c>
      <c r="AW311" s="96" t="str">
        <f>IF(Z311=0,"",IF(AA311=1,"Cancelamento informado; ","")&amp;IF(AE311=1,"Campos essenciais ou itens faltando; ","")&amp;IF(AC311=1,"Possível duplicidade do número; ","")&amp;IF(AD311=1,"Cadastro ou datas a revisar; ","")&amp;IF(AF311&gt;0,"Item de resíduo com dado a revisar; ","")&amp;IF(AH311&gt;0,"Diferença de quantidade a analisar; ","")&amp;IF(AK311&gt;0,"Recebimento com alerta; ","")&amp;IF(AL311&gt;0,"Vínculo de CDF com alerta; ","")&amp;IF(AND(AA311=0,AN311=0),"Recebimento não confirmado; ","")&amp;IF(AND(AA311=0,AN311=1,AO311=0),"CDF pendente ou a conferir; ",""))</f>
        <v/>
      </c>
      <c r="AX311" s="96">
        <f>IF(Z311=0,0,IF(AND(OR(f_ini="",AND(ISNUMBER(E311),E311&gt;=f_ini)),OR(f_fim="",AND(ISNUMBER(E311),E311&lt;=f_fim)),OR(f_un="",f_un="(Todas)",G311=f_un),OR(f_tr="",f_tr="(Todos)",H311=f_tr),OR(f_de="",f_de="(Todos)",I311=f_de),OR(f_sit="",f_sit="(Todas)",S311=f_sit)),1,0))</f>
        <v>0</v>
      </c>
      <c r="AY311" s="96">
        <f>IF(AX311=0,0,IF(OR(f_res="",f_res="(Todos)"),1,IF(COUNTIFS('ITENS_MTR'!$S$6:$S$1005,A311,'ITENS_MTR'!$C$6:$C$1005,f_res)&gt;0,1,0)))</f>
        <v>0</v>
      </c>
      <c r="AZ311" s="97" t="str">
        <f>IF(ISNUMBER(E311),DATE(YEAR(E311),MONTH(E311),1),"")</f>
        <v/>
      </c>
      <c r="BA311" s="96">
        <f>IF(Z311=0,0,IF(AND(OR(r_ini="",AND(ISNUMBER(E311),E311&gt;=r_ini)),OR(r_fim="",AND(ISNUMBER(E311),E311&lt;=r_fim)),OR(r_un="",r_un="(Todas)",G311=r_un),OR(r_de="",r_de="(Todos)",I311=r_de)),1,0))</f>
        <v>0</v>
      </c>
      <c r="BB311" s="96" t="str">
        <f>IF(BA311=1,COUNTIF($BA$6:BA311,1),"")</f>
        <v/>
      </c>
      <c r="BC311" s="96" t="str">
        <f>IF(AND(AU311&lt;&gt;"",OR(r_un="",r_un="(Todas)",G311=r_un),OR(r_de="",r_de="(Todos)",I311=r_de)),AU311,"")</f>
        <v/>
      </c>
      <c r="BD311" s="96" t="str">
        <f>IF(Z311=1,A311&amp;" | nº "&amp;IF(B311="","(sem número)",B311)&amp;" | "&amp;IF(G311="","(sem unidade)",G311),"")</f>
        <v/>
      </c>
      <c r="BE311" s="96" t="str">
        <f>IF(Z311=1,COUNTIF($Z$6:Z311,1),"")</f>
        <v/>
      </c>
      <c r="BF311" s="96" t="str">
        <f>IF(T311="","",IF(T311="RECEBIMENTO NÃO CONFIRMADO","Transp.: "&amp;H311&amp;" | Dest.: "&amp;I311,IF(OR(T311="CDF NÃO LOCALIZADO",T311="VÍNCULO INCOMPLETO",T311="CDF A CONFERIR"),"Dest.: "&amp;I311,"Gerador: "&amp;G311)))</f>
        <v/>
      </c>
    </row>
    <row r="312">
      <c r="A312" s="89" t="inlineStr">
        <is>
          <t>MTR-000307</t>
        </is>
      </c>
      <c r="B312" s="90" t="n"/>
      <c r="C312" s="91" t="n"/>
      <c r="D312" s="91" t="n"/>
      <c r="E312" s="92" t="n"/>
      <c r="F312" s="92" t="n"/>
      <c r="G312" s="91" t="n"/>
      <c r="H312" s="91" t="n"/>
      <c r="I312" s="91" t="n"/>
      <c r="J312" s="91" t="n"/>
      <c r="K312" s="91" t="n"/>
      <c r="L312" s="92" t="n"/>
      <c r="M312" s="91" t="n"/>
      <c r="N312" s="91" t="n"/>
      <c r="O312" s="91" t="n"/>
      <c r="P312" s="93" t="str">
        <f>IF(Z312=0,"",SUMIFS('ITENS_MTR'!$I$6:$I$1005,'ITENS_MTR'!$S$6:$S$1005,A312,'ITENS_MTR'!$Y$6:$Y$1005,1))</f>
        <v/>
      </c>
      <c r="Q312" s="93" t="str">
        <f>IF(Z312=0,"",SUMIFS('RECEBIMENTOS'!$H$6:$H$1005,'RECEBIMENTOS'!$B$6:$B$1005,A312,'RECEBIMENTOS'!$X$6:$X$1005,1))</f>
        <v/>
      </c>
      <c r="R312" s="93" t="str">
        <f>IF(Z312=0,"",SUMIFS('VÍNCULOS_CDF'!$H$6:$H$1005,'VÍNCULOS_CDF'!$D$6:$D$1005,A312,'VÍNCULOS_CDF'!$V$6:$V$1005,1))</f>
        <v/>
      </c>
      <c r="S312" s="94" t="str">
        <f>IF(Z312=0,"",IF(AA312=1,"Cancelado (informado)",IF(AE312=1,"Cadastro incompleto",IF(OR(AC312=1,AD312=1,AF312&gt;0,AH312&gt;0,AK312&gt;0,AL312&gt;0),"Informação a revisar",IF(AN312=0,"Aguardando recebimento",IF(N(R312)=0,"Aguardando CDF",IF(AJ312&lt;N(W312),"Vínculo de CDF parcial",IF(AO312=0,"CDF localizado, a conferir","Documentação conferida"))))))))</f>
        <v/>
      </c>
      <c r="T312" s="94" t="str">
        <f>IF(Z312=0,"",IF(S312="Cadastro incompleto","MTR INCOMPLETO",IF(S312="Informação a revisar",IF(AND(AH312&gt;0,AC312=0,AD312=0,AF312=0,AK312=0,AL312=0),"QUANTIDADE A REVISAR","IDENTIFICAÇÃO A REVISAR"),IF(S312="Aguardando recebimento","RECEBIMENTO NÃO CONFIRMADO",IF(S312="Aguardando CDF","CDF NÃO LOCALIZADO",IF(S312="Vínculo de CDF parcial","VÍNCULO INCOMPLETO",IF(S312="CDF localizado, a conferir","CDF A CONFERIR","")))))))</f>
        <v/>
      </c>
      <c r="U312" s="95" t="str">
        <f>IF(T312="","",IF(AQ312="","Não calculável",IF(AQ312&gt;TODAY(),"Data futura",TODAY()-AQ312)))</f>
        <v/>
      </c>
      <c r="V312" s="93" t="str">
        <f>IF(Z312=0,"",SUMIFS('RECEBIMENTOS'!$H$6:$H$1005,'RECEBIMENTOS'!$B$6:$B$1005,A312,'RECEBIMENTOS'!$Z$6:$Z$1005,1))</f>
        <v/>
      </c>
      <c r="W312" s="95" t="str">
        <f>IF(Z312=0,"",COUNTIFS('ITENS_MTR'!$S$6:$S$1005,A312,'ITENS_MTR'!$R$6:$R$1005,1))</f>
        <v/>
      </c>
      <c r="X312" s="94" t="str">
        <f>IF(AC312=1,"POSSÍVEL DUPLICIDADE","")</f>
        <v/>
      </c>
      <c r="Y312" s="94" t="str">
        <f>IF(Z312=0,"",IF(AW312="","Nenhuma",LEFT(AW312,LEN(AW312)-2)))</f>
        <v/>
      </c>
      <c r="Z312" s="96">
        <f>IF(COUNTA(B312:O312)&gt;0,1,0)</f>
        <v>0</v>
      </c>
      <c r="AA312" s="96">
        <f>IF(AND(Z312=1,K312&lt;&gt;""),IF(TRIM(K312)=TRIM(cfg_cancel),1,0),0)</f>
        <v>0</v>
      </c>
      <c r="AB312" s="96" t="str">
        <f>IF(AND(Z312=1,B312&lt;&gt;""),C312&amp;"|"&amp;D312&amp;"|"&amp;G312&amp;"|"&amp;TRIM(B312),"")</f>
        <v/>
      </c>
      <c r="AC312" s="96">
        <f>IF(AB312="",0,IF(SUMPRODUCT(--($AB$6:$AB$505=AB312))&gt;1,1,0))</f>
        <v>0</v>
      </c>
      <c r="AD312" s="96">
        <f>IF(Z312=0,0,IF(OR(AND(G312&lt;&gt;"",ISNA(MATCH(G312,'CAD_UNIDADES'!$C$6:$C$105,0))),AND(H312&lt;&gt;"",ISNA(MATCH(H312,cmp_transp,0))),AND(I312&lt;&gt;"",ISNA(MATCH(I312,cmp_dest,0))),AND(E312&lt;&gt;"",NOT(ISNUMBER(E312))),AND(F312&lt;&gt;"",NOT(ISNUMBER(F312))),AND(ISNUMBER(E312),ISNUMBER(F312),F312&lt;E312)),1,0))</f>
        <v>0</v>
      </c>
      <c r="AE312" s="96">
        <f>IF(Z312=0,0,IF(OR(B312="",C312="",E312="",G312="",H312="",I312="",N(W312)=0),1,0))</f>
        <v>0</v>
      </c>
      <c r="AF312" s="96">
        <f>IF(Z312=0,0,COUNTIFS('ITENS_MTR'!$S$6:$S$1005,A312,'ITENS_MTR'!$AI$6:$AI$1005,1))</f>
        <v>0</v>
      </c>
      <c r="AG312" s="96">
        <f>IF(Z312=0,0,COUNTIFS('ITENS_MTR'!$S$6:$S$1005,A312,'ITENS_MTR'!$AJ$6:$AJ$1005,1))</f>
        <v>0</v>
      </c>
      <c r="AH312" s="96">
        <f>IF(Z312=0,0,COUNTIFS('ITENS_MTR'!$S$6:$S$1005,A312,'ITENS_MTR'!$AM$6:$AM$1005,1))</f>
        <v>0</v>
      </c>
      <c r="AI312" s="96">
        <f>IF(Z312=0,0,COUNTIFS('ITENS_MTR'!$S$6:$S$1005,A312,'ITENS_MTR'!$AO$6:$AO$1005,1))</f>
        <v>0</v>
      </c>
      <c r="AJ312" s="96">
        <f>IF(Z312=0,0,COUNTIFS('ITENS_MTR'!$S$6:$S$1005,A312,'ITENS_MTR'!$AN$6:$AN$1005,1))</f>
        <v>0</v>
      </c>
      <c r="AK312" s="96">
        <f>IF(Z312=0,0,COUNTIFS('RECEBIMENTOS'!$B$6:$B$1005,A312,'RECEBIMENTOS'!$Y$6:$Y$1005,1))</f>
        <v>0</v>
      </c>
      <c r="AL312" s="96">
        <f>IF(Z312=0,0,COUNTIFS('VÍNCULOS_CDF'!$D$6:$D$1005,A312,'VÍNCULOS_CDF'!$Y$6:$Y$1005,1))</f>
        <v>0</v>
      </c>
      <c r="AM312" s="96">
        <f>IF(Z312=0,0,COUNTIFS('RECEBIMENTOS'!$B$6:$B$1005,A312,'RECEBIMENTOS'!$Q$6:$Q$1005,1))</f>
        <v>0</v>
      </c>
      <c r="AN312" s="96">
        <f>IF(AND(Z312=1,N(W312)&gt;0,AG312=N(W312)),1,0)</f>
        <v>0</v>
      </c>
      <c r="AO312" s="96">
        <f>IF(AND(Z312=1,N(W312)&gt;0,AI312=N(W312)),1,0)</f>
        <v>0</v>
      </c>
      <c r="AP312" s="97">
        <f>IF(Z312=0,0,_xlfn.MAXIFS('RECEBIMENTOS'!$E$6:$E$1005,'RECEBIMENTOS'!$B$6:$B$1005,A312))</f>
        <v>0</v>
      </c>
      <c r="AQ312" s="97" t="str">
        <f>IF(T312="","",IF(T312="RECEBIMENTO NÃO CONFIRMADO",IF(ISNUMBER(F312),F312,IF(ISNUMBER(E312),E312,"")),IF(OR(T312="CDF NÃO LOCALIZADO",T312="VÍNCULO INCOMPLETO",T312="CDF A CONFERIR"),IF(AP312&gt;0,AP312,IF(ISNUMBER(E312),E312,"")),IF(ISNUMBER(E312),E312,""))))</f>
        <v/>
      </c>
      <c r="AR312" s="96">
        <f>IF(NOT(ISNUMBER(U312)),0,IF(T312="RECEBIMENTO NÃO CONFIRMADO",IF(AND(ISNUMBER(cfg_rec),U312&gt;cfg_rec),1,0),IF(OR(T312="CDF NÃO LOCALIZADO",T312="VÍNCULO INCOMPLETO",T312="CDF A CONFERIR"),IF(AND(ISNUMBER(cfg_cdf),U312&gt;cfg_cdf),1,0),0)))</f>
        <v>0</v>
      </c>
      <c r="AS312" s="96" t="str">
        <f>IF(T312="","",IF(AR312=1,"Alta",IFERROR(INDEX(cfg_pp,MATCH(T312,cfg_pt,0))&amp;"","Média")))</f>
        <v/>
      </c>
      <c r="AT312" s="96" t="str">
        <f>IF(T312="","",IFERROR(INDEX(cfg_pv,MATCH(T312,cfg_pt,0))&amp;"",""))</f>
        <v/>
      </c>
      <c r="AU312" s="96" t="str">
        <f>IF(T312="","",IF(AS312="Alta",1,IF(AS312="Média",2,3))*1000000000+(999999-IF(ISNUMBER(U312),MIN(U312,999999),0))*1000+307)</f>
        <v/>
      </c>
      <c r="AV312" s="96">
        <f>IF(T312&lt;&gt;"",1,0)</f>
        <v>0</v>
      </c>
      <c r="AW312" s="96" t="str">
        <f>IF(Z312=0,"",IF(AA312=1,"Cancelamento informado; ","")&amp;IF(AE312=1,"Campos essenciais ou itens faltando; ","")&amp;IF(AC312=1,"Possível duplicidade do número; ","")&amp;IF(AD312=1,"Cadastro ou datas a revisar; ","")&amp;IF(AF312&gt;0,"Item de resíduo com dado a revisar; ","")&amp;IF(AH312&gt;0,"Diferença de quantidade a analisar; ","")&amp;IF(AK312&gt;0,"Recebimento com alerta; ","")&amp;IF(AL312&gt;0,"Vínculo de CDF com alerta; ","")&amp;IF(AND(AA312=0,AN312=0),"Recebimento não confirmado; ","")&amp;IF(AND(AA312=0,AN312=1,AO312=0),"CDF pendente ou a conferir; ",""))</f>
        <v/>
      </c>
      <c r="AX312" s="96">
        <f>IF(Z312=0,0,IF(AND(OR(f_ini="",AND(ISNUMBER(E312),E312&gt;=f_ini)),OR(f_fim="",AND(ISNUMBER(E312),E312&lt;=f_fim)),OR(f_un="",f_un="(Todas)",G312=f_un),OR(f_tr="",f_tr="(Todos)",H312=f_tr),OR(f_de="",f_de="(Todos)",I312=f_de),OR(f_sit="",f_sit="(Todas)",S312=f_sit)),1,0))</f>
        <v>0</v>
      </c>
      <c r="AY312" s="96">
        <f>IF(AX312=0,0,IF(OR(f_res="",f_res="(Todos)"),1,IF(COUNTIFS('ITENS_MTR'!$S$6:$S$1005,A312,'ITENS_MTR'!$C$6:$C$1005,f_res)&gt;0,1,0)))</f>
        <v>0</v>
      </c>
      <c r="AZ312" s="97" t="str">
        <f>IF(ISNUMBER(E312),DATE(YEAR(E312),MONTH(E312),1),"")</f>
        <v/>
      </c>
      <c r="BA312" s="96">
        <f>IF(Z312=0,0,IF(AND(OR(r_ini="",AND(ISNUMBER(E312),E312&gt;=r_ini)),OR(r_fim="",AND(ISNUMBER(E312),E312&lt;=r_fim)),OR(r_un="",r_un="(Todas)",G312=r_un),OR(r_de="",r_de="(Todos)",I312=r_de)),1,0))</f>
        <v>0</v>
      </c>
      <c r="BB312" s="96" t="str">
        <f>IF(BA312=1,COUNTIF($BA$6:BA312,1),"")</f>
        <v/>
      </c>
      <c r="BC312" s="96" t="str">
        <f>IF(AND(AU312&lt;&gt;"",OR(r_un="",r_un="(Todas)",G312=r_un),OR(r_de="",r_de="(Todos)",I312=r_de)),AU312,"")</f>
        <v/>
      </c>
      <c r="BD312" s="96" t="str">
        <f>IF(Z312=1,A312&amp;" | nº "&amp;IF(B312="","(sem número)",B312)&amp;" | "&amp;IF(G312="","(sem unidade)",G312),"")</f>
        <v/>
      </c>
      <c r="BE312" s="96" t="str">
        <f>IF(Z312=1,COUNTIF($Z$6:Z312,1),"")</f>
        <v/>
      </c>
      <c r="BF312" s="96" t="str">
        <f>IF(T312="","",IF(T312="RECEBIMENTO NÃO CONFIRMADO","Transp.: "&amp;H312&amp;" | Dest.: "&amp;I312,IF(OR(T312="CDF NÃO LOCALIZADO",T312="VÍNCULO INCOMPLETO",T312="CDF A CONFERIR"),"Dest.: "&amp;I312,"Gerador: "&amp;G312)))</f>
        <v/>
      </c>
    </row>
    <row r="313">
      <c r="A313" s="89" t="inlineStr">
        <is>
          <t>MTR-000308</t>
        </is>
      </c>
      <c r="B313" s="90" t="n"/>
      <c r="C313" s="91" t="n"/>
      <c r="D313" s="91" t="n"/>
      <c r="E313" s="92" t="n"/>
      <c r="F313" s="92" t="n"/>
      <c r="G313" s="91" t="n"/>
      <c r="H313" s="91" t="n"/>
      <c r="I313" s="91" t="n"/>
      <c r="J313" s="91" t="n"/>
      <c r="K313" s="91" t="n"/>
      <c r="L313" s="92" t="n"/>
      <c r="M313" s="91" t="n"/>
      <c r="N313" s="91" t="n"/>
      <c r="O313" s="91" t="n"/>
      <c r="P313" s="93" t="str">
        <f>IF(Z313=0,"",SUMIFS('ITENS_MTR'!$I$6:$I$1005,'ITENS_MTR'!$S$6:$S$1005,A313,'ITENS_MTR'!$Y$6:$Y$1005,1))</f>
        <v/>
      </c>
      <c r="Q313" s="93" t="str">
        <f>IF(Z313=0,"",SUMIFS('RECEBIMENTOS'!$H$6:$H$1005,'RECEBIMENTOS'!$B$6:$B$1005,A313,'RECEBIMENTOS'!$X$6:$X$1005,1))</f>
        <v/>
      </c>
      <c r="R313" s="93" t="str">
        <f>IF(Z313=0,"",SUMIFS('VÍNCULOS_CDF'!$H$6:$H$1005,'VÍNCULOS_CDF'!$D$6:$D$1005,A313,'VÍNCULOS_CDF'!$V$6:$V$1005,1))</f>
        <v/>
      </c>
      <c r="S313" s="94" t="str">
        <f>IF(Z313=0,"",IF(AA313=1,"Cancelado (informado)",IF(AE313=1,"Cadastro incompleto",IF(OR(AC313=1,AD313=1,AF313&gt;0,AH313&gt;0,AK313&gt;0,AL313&gt;0),"Informação a revisar",IF(AN313=0,"Aguardando recebimento",IF(N(R313)=0,"Aguardando CDF",IF(AJ313&lt;N(W313),"Vínculo de CDF parcial",IF(AO313=0,"CDF localizado, a conferir","Documentação conferida"))))))))</f>
        <v/>
      </c>
      <c r="T313" s="94" t="str">
        <f>IF(Z313=0,"",IF(S313="Cadastro incompleto","MTR INCOMPLETO",IF(S313="Informação a revisar",IF(AND(AH313&gt;0,AC313=0,AD313=0,AF313=0,AK313=0,AL313=0),"QUANTIDADE A REVISAR","IDENTIFICAÇÃO A REVISAR"),IF(S313="Aguardando recebimento","RECEBIMENTO NÃO CONFIRMADO",IF(S313="Aguardando CDF","CDF NÃO LOCALIZADO",IF(S313="Vínculo de CDF parcial","VÍNCULO INCOMPLETO",IF(S313="CDF localizado, a conferir","CDF A CONFERIR","")))))))</f>
        <v/>
      </c>
      <c r="U313" s="95" t="str">
        <f>IF(T313="","",IF(AQ313="","Não calculável",IF(AQ313&gt;TODAY(),"Data futura",TODAY()-AQ313)))</f>
        <v/>
      </c>
      <c r="V313" s="93" t="str">
        <f>IF(Z313=0,"",SUMIFS('RECEBIMENTOS'!$H$6:$H$1005,'RECEBIMENTOS'!$B$6:$B$1005,A313,'RECEBIMENTOS'!$Z$6:$Z$1005,1))</f>
        <v/>
      </c>
      <c r="W313" s="95" t="str">
        <f>IF(Z313=0,"",COUNTIFS('ITENS_MTR'!$S$6:$S$1005,A313,'ITENS_MTR'!$R$6:$R$1005,1))</f>
        <v/>
      </c>
      <c r="X313" s="94" t="str">
        <f>IF(AC313=1,"POSSÍVEL DUPLICIDADE","")</f>
        <v/>
      </c>
      <c r="Y313" s="94" t="str">
        <f>IF(Z313=0,"",IF(AW313="","Nenhuma",LEFT(AW313,LEN(AW313)-2)))</f>
        <v/>
      </c>
      <c r="Z313" s="96">
        <f>IF(COUNTA(B313:O313)&gt;0,1,0)</f>
        <v>0</v>
      </c>
      <c r="AA313" s="96">
        <f>IF(AND(Z313=1,K313&lt;&gt;""),IF(TRIM(K313)=TRIM(cfg_cancel),1,0),0)</f>
        <v>0</v>
      </c>
      <c r="AB313" s="96" t="str">
        <f>IF(AND(Z313=1,B313&lt;&gt;""),C313&amp;"|"&amp;D313&amp;"|"&amp;G313&amp;"|"&amp;TRIM(B313),"")</f>
        <v/>
      </c>
      <c r="AC313" s="96">
        <f>IF(AB313="",0,IF(SUMPRODUCT(--($AB$6:$AB$505=AB313))&gt;1,1,0))</f>
        <v>0</v>
      </c>
      <c r="AD313" s="96">
        <f>IF(Z313=0,0,IF(OR(AND(G313&lt;&gt;"",ISNA(MATCH(G313,'CAD_UNIDADES'!$C$6:$C$105,0))),AND(H313&lt;&gt;"",ISNA(MATCH(H313,cmp_transp,0))),AND(I313&lt;&gt;"",ISNA(MATCH(I313,cmp_dest,0))),AND(E313&lt;&gt;"",NOT(ISNUMBER(E313))),AND(F313&lt;&gt;"",NOT(ISNUMBER(F313))),AND(ISNUMBER(E313),ISNUMBER(F313),F313&lt;E313)),1,0))</f>
        <v>0</v>
      </c>
      <c r="AE313" s="96">
        <f>IF(Z313=0,0,IF(OR(B313="",C313="",E313="",G313="",H313="",I313="",N(W313)=0),1,0))</f>
        <v>0</v>
      </c>
      <c r="AF313" s="96">
        <f>IF(Z313=0,0,COUNTIFS('ITENS_MTR'!$S$6:$S$1005,A313,'ITENS_MTR'!$AI$6:$AI$1005,1))</f>
        <v>0</v>
      </c>
      <c r="AG313" s="96">
        <f>IF(Z313=0,0,COUNTIFS('ITENS_MTR'!$S$6:$S$1005,A313,'ITENS_MTR'!$AJ$6:$AJ$1005,1))</f>
        <v>0</v>
      </c>
      <c r="AH313" s="96">
        <f>IF(Z313=0,0,COUNTIFS('ITENS_MTR'!$S$6:$S$1005,A313,'ITENS_MTR'!$AM$6:$AM$1005,1))</f>
        <v>0</v>
      </c>
      <c r="AI313" s="96">
        <f>IF(Z313=0,0,COUNTIFS('ITENS_MTR'!$S$6:$S$1005,A313,'ITENS_MTR'!$AO$6:$AO$1005,1))</f>
        <v>0</v>
      </c>
      <c r="AJ313" s="96">
        <f>IF(Z313=0,0,COUNTIFS('ITENS_MTR'!$S$6:$S$1005,A313,'ITENS_MTR'!$AN$6:$AN$1005,1))</f>
        <v>0</v>
      </c>
      <c r="AK313" s="96">
        <f>IF(Z313=0,0,COUNTIFS('RECEBIMENTOS'!$B$6:$B$1005,A313,'RECEBIMENTOS'!$Y$6:$Y$1005,1))</f>
        <v>0</v>
      </c>
      <c r="AL313" s="96">
        <f>IF(Z313=0,0,COUNTIFS('VÍNCULOS_CDF'!$D$6:$D$1005,A313,'VÍNCULOS_CDF'!$Y$6:$Y$1005,1))</f>
        <v>0</v>
      </c>
      <c r="AM313" s="96">
        <f>IF(Z313=0,0,COUNTIFS('RECEBIMENTOS'!$B$6:$B$1005,A313,'RECEBIMENTOS'!$Q$6:$Q$1005,1))</f>
        <v>0</v>
      </c>
      <c r="AN313" s="96">
        <f>IF(AND(Z313=1,N(W313)&gt;0,AG313=N(W313)),1,0)</f>
        <v>0</v>
      </c>
      <c r="AO313" s="96">
        <f>IF(AND(Z313=1,N(W313)&gt;0,AI313=N(W313)),1,0)</f>
        <v>0</v>
      </c>
      <c r="AP313" s="97">
        <f>IF(Z313=0,0,_xlfn.MAXIFS('RECEBIMENTOS'!$E$6:$E$1005,'RECEBIMENTOS'!$B$6:$B$1005,A313))</f>
        <v>0</v>
      </c>
      <c r="AQ313" s="97" t="str">
        <f>IF(T313="","",IF(T313="RECEBIMENTO NÃO CONFIRMADO",IF(ISNUMBER(F313),F313,IF(ISNUMBER(E313),E313,"")),IF(OR(T313="CDF NÃO LOCALIZADO",T313="VÍNCULO INCOMPLETO",T313="CDF A CONFERIR"),IF(AP313&gt;0,AP313,IF(ISNUMBER(E313),E313,"")),IF(ISNUMBER(E313),E313,""))))</f>
        <v/>
      </c>
      <c r="AR313" s="96">
        <f>IF(NOT(ISNUMBER(U313)),0,IF(T313="RECEBIMENTO NÃO CONFIRMADO",IF(AND(ISNUMBER(cfg_rec),U313&gt;cfg_rec),1,0),IF(OR(T313="CDF NÃO LOCALIZADO",T313="VÍNCULO INCOMPLETO",T313="CDF A CONFERIR"),IF(AND(ISNUMBER(cfg_cdf),U313&gt;cfg_cdf),1,0),0)))</f>
        <v>0</v>
      </c>
      <c r="AS313" s="96" t="str">
        <f>IF(T313="","",IF(AR313=1,"Alta",IFERROR(INDEX(cfg_pp,MATCH(T313,cfg_pt,0))&amp;"","Média")))</f>
        <v/>
      </c>
      <c r="AT313" s="96" t="str">
        <f>IF(T313="","",IFERROR(INDEX(cfg_pv,MATCH(T313,cfg_pt,0))&amp;"",""))</f>
        <v/>
      </c>
      <c r="AU313" s="96" t="str">
        <f>IF(T313="","",IF(AS313="Alta",1,IF(AS313="Média",2,3))*1000000000+(999999-IF(ISNUMBER(U313),MIN(U313,999999),0))*1000+308)</f>
        <v/>
      </c>
      <c r="AV313" s="96">
        <f>IF(T313&lt;&gt;"",1,0)</f>
        <v>0</v>
      </c>
      <c r="AW313" s="96" t="str">
        <f>IF(Z313=0,"",IF(AA313=1,"Cancelamento informado; ","")&amp;IF(AE313=1,"Campos essenciais ou itens faltando; ","")&amp;IF(AC313=1,"Possível duplicidade do número; ","")&amp;IF(AD313=1,"Cadastro ou datas a revisar; ","")&amp;IF(AF313&gt;0,"Item de resíduo com dado a revisar; ","")&amp;IF(AH313&gt;0,"Diferença de quantidade a analisar; ","")&amp;IF(AK313&gt;0,"Recebimento com alerta; ","")&amp;IF(AL313&gt;0,"Vínculo de CDF com alerta; ","")&amp;IF(AND(AA313=0,AN313=0),"Recebimento não confirmado; ","")&amp;IF(AND(AA313=0,AN313=1,AO313=0),"CDF pendente ou a conferir; ",""))</f>
        <v/>
      </c>
      <c r="AX313" s="96">
        <f>IF(Z313=0,0,IF(AND(OR(f_ini="",AND(ISNUMBER(E313),E313&gt;=f_ini)),OR(f_fim="",AND(ISNUMBER(E313),E313&lt;=f_fim)),OR(f_un="",f_un="(Todas)",G313=f_un),OR(f_tr="",f_tr="(Todos)",H313=f_tr),OR(f_de="",f_de="(Todos)",I313=f_de),OR(f_sit="",f_sit="(Todas)",S313=f_sit)),1,0))</f>
        <v>0</v>
      </c>
      <c r="AY313" s="96">
        <f>IF(AX313=0,0,IF(OR(f_res="",f_res="(Todos)"),1,IF(COUNTIFS('ITENS_MTR'!$S$6:$S$1005,A313,'ITENS_MTR'!$C$6:$C$1005,f_res)&gt;0,1,0)))</f>
        <v>0</v>
      </c>
      <c r="AZ313" s="97" t="str">
        <f>IF(ISNUMBER(E313),DATE(YEAR(E313),MONTH(E313),1),"")</f>
        <v/>
      </c>
      <c r="BA313" s="96">
        <f>IF(Z313=0,0,IF(AND(OR(r_ini="",AND(ISNUMBER(E313),E313&gt;=r_ini)),OR(r_fim="",AND(ISNUMBER(E313),E313&lt;=r_fim)),OR(r_un="",r_un="(Todas)",G313=r_un),OR(r_de="",r_de="(Todos)",I313=r_de)),1,0))</f>
        <v>0</v>
      </c>
      <c r="BB313" s="96" t="str">
        <f>IF(BA313=1,COUNTIF($BA$6:BA313,1),"")</f>
        <v/>
      </c>
      <c r="BC313" s="96" t="str">
        <f>IF(AND(AU313&lt;&gt;"",OR(r_un="",r_un="(Todas)",G313=r_un),OR(r_de="",r_de="(Todos)",I313=r_de)),AU313,"")</f>
        <v/>
      </c>
      <c r="BD313" s="96" t="str">
        <f>IF(Z313=1,A313&amp;" | nº "&amp;IF(B313="","(sem número)",B313)&amp;" | "&amp;IF(G313="","(sem unidade)",G313),"")</f>
        <v/>
      </c>
      <c r="BE313" s="96" t="str">
        <f>IF(Z313=1,COUNTIF($Z$6:Z313,1),"")</f>
        <v/>
      </c>
      <c r="BF313" s="96" t="str">
        <f>IF(T313="","",IF(T313="RECEBIMENTO NÃO CONFIRMADO","Transp.: "&amp;H313&amp;" | Dest.: "&amp;I313,IF(OR(T313="CDF NÃO LOCALIZADO",T313="VÍNCULO INCOMPLETO",T313="CDF A CONFERIR"),"Dest.: "&amp;I313,"Gerador: "&amp;G313)))</f>
        <v/>
      </c>
    </row>
    <row r="314">
      <c r="A314" s="89" t="inlineStr">
        <is>
          <t>MTR-000309</t>
        </is>
      </c>
      <c r="B314" s="90" t="n"/>
      <c r="C314" s="91" t="n"/>
      <c r="D314" s="91" t="n"/>
      <c r="E314" s="92" t="n"/>
      <c r="F314" s="92" t="n"/>
      <c r="G314" s="91" t="n"/>
      <c r="H314" s="91" t="n"/>
      <c r="I314" s="91" t="n"/>
      <c r="J314" s="91" t="n"/>
      <c r="K314" s="91" t="n"/>
      <c r="L314" s="92" t="n"/>
      <c r="M314" s="91" t="n"/>
      <c r="N314" s="91" t="n"/>
      <c r="O314" s="91" t="n"/>
      <c r="P314" s="93" t="str">
        <f>IF(Z314=0,"",SUMIFS('ITENS_MTR'!$I$6:$I$1005,'ITENS_MTR'!$S$6:$S$1005,A314,'ITENS_MTR'!$Y$6:$Y$1005,1))</f>
        <v/>
      </c>
      <c r="Q314" s="93" t="str">
        <f>IF(Z314=0,"",SUMIFS('RECEBIMENTOS'!$H$6:$H$1005,'RECEBIMENTOS'!$B$6:$B$1005,A314,'RECEBIMENTOS'!$X$6:$X$1005,1))</f>
        <v/>
      </c>
      <c r="R314" s="93" t="str">
        <f>IF(Z314=0,"",SUMIFS('VÍNCULOS_CDF'!$H$6:$H$1005,'VÍNCULOS_CDF'!$D$6:$D$1005,A314,'VÍNCULOS_CDF'!$V$6:$V$1005,1))</f>
        <v/>
      </c>
      <c r="S314" s="94" t="str">
        <f>IF(Z314=0,"",IF(AA314=1,"Cancelado (informado)",IF(AE314=1,"Cadastro incompleto",IF(OR(AC314=1,AD314=1,AF314&gt;0,AH314&gt;0,AK314&gt;0,AL314&gt;0),"Informação a revisar",IF(AN314=0,"Aguardando recebimento",IF(N(R314)=0,"Aguardando CDF",IF(AJ314&lt;N(W314),"Vínculo de CDF parcial",IF(AO314=0,"CDF localizado, a conferir","Documentação conferida"))))))))</f>
        <v/>
      </c>
      <c r="T314" s="94" t="str">
        <f>IF(Z314=0,"",IF(S314="Cadastro incompleto","MTR INCOMPLETO",IF(S314="Informação a revisar",IF(AND(AH314&gt;0,AC314=0,AD314=0,AF314=0,AK314=0,AL314=0),"QUANTIDADE A REVISAR","IDENTIFICAÇÃO A REVISAR"),IF(S314="Aguardando recebimento","RECEBIMENTO NÃO CONFIRMADO",IF(S314="Aguardando CDF","CDF NÃO LOCALIZADO",IF(S314="Vínculo de CDF parcial","VÍNCULO INCOMPLETO",IF(S314="CDF localizado, a conferir","CDF A CONFERIR","")))))))</f>
        <v/>
      </c>
      <c r="U314" s="95" t="str">
        <f>IF(T314="","",IF(AQ314="","Não calculável",IF(AQ314&gt;TODAY(),"Data futura",TODAY()-AQ314)))</f>
        <v/>
      </c>
      <c r="V314" s="93" t="str">
        <f>IF(Z314=0,"",SUMIFS('RECEBIMENTOS'!$H$6:$H$1005,'RECEBIMENTOS'!$B$6:$B$1005,A314,'RECEBIMENTOS'!$Z$6:$Z$1005,1))</f>
        <v/>
      </c>
      <c r="W314" s="95" t="str">
        <f>IF(Z314=0,"",COUNTIFS('ITENS_MTR'!$S$6:$S$1005,A314,'ITENS_MTR'!$R$6:$R$1005,1))</f>
        <v/>
      </c>
      <c r="X314" s="94" t="str">
        <f>IF(AC314=1,"POSSÍVEL DUPLICIDADE","")</f>
        <v/>
      </c>
      <c r="Y314" s="94" t="str">
        <f>IF(Z314=0,"",IF(AW314="","Nenhuma",LEFT(AW314,LEN(AW314)-2)))</f>
        <v/>
      </c>
      <c r="Z314" s="96">
        <f>IF(COUNTA(B314:O314)&gt;0,1,0)</f>
        <v>0</v>
      </c>
      <c r="AA314" s="96">
        <f>IF(AND(Z314=1,K314&lt;&gt;""),IF(TRIM(K314)=TRIM(cfg_cancel),1,0),0)</f>
        <v>0</v>
      </c>
      <c r="AB314" s="96" t="str">
        <f>IF(AND(Z314=1,B314&lt;&gt;""),C314&amp;"|"&amp;D314&amp;"|"&amp;G314&amp;"|"&amp;TRIM(B314),"")</f>
        <v/>
      </c>
      <c r="AC314" s="96">
        <f>IF(AB314="",0,IF(SUMPRODUCT(--($AB$6:$AB$505=AB314))&gt;1,1,0))</f>
        <v>0</v>
      </c>
      <c r="AD314" s="96">
        <f>IF(Z314=0,0,IF(OR(AND(G314&lt;&gt;"",ISNA(MATCH(G314,'CAD_UNIDADES'!$C$6:$C$105,0))),AND(H314&lt;&gt;"",ISNA(MATCH(H314,cmp_transp,0))),AND(I314&lt;&gt;"",ISNA(MATCH(I314,cmp_dest,0))),AND(E314&lt;&gt;"",NOT(ISNUMBER(E314))),AND(F314&lt;&gt;"",NOT(ISNUMBER(F314))),AND(ISNUMBER(E314),ISNUMBER(F314),F314&lt;E314)),1,0))</f>
        <v>0</v>
      </c>
      <c r="AE314" s="96">
        <f>IF(Z314=0,0,IF(OR(B314="",C314="",E314="",G314="",H314="",I314="",N(W314)=0),1,0))</f>
        <v>0</v>
      </c>
      <c r="AF314" s="96">
        <f>IF(Z314=0,0,COUNTIFS('ITENS_MTR'!$S$6:$S$1005,A314,'ITENS_MTR'!$AI$6:$AI$1005,1))</f>
        <v>0</v>
      </c>
      <c r="AG314" s="96">
        <f>IF(Z314=0,0,COUNTIFS('ITENS_MTR'!$S$6:$S$1005,A314,'ITENS_MTR'!$AJ$6:$AJ$1005,1))</f>
        <v>0</v>
      </c>
      <c r="AH314" s="96">
        <f>IF(Z314=0,0,COUNTIFS('ITENS_MTR'!$S$6:$S$1005,A314,'ITENS_MTR'!$AM$6:$AM$1005,1))</f>
        <v>0</v>
      </c>
      <c r="AI314" s="96">
        <f>IF(Z314=0,0,COUNTIFS('ITENS_MTR'!$S$6:$S$1005,A314,'ITENS_MTR'!$AO$6:$AO$1005,1))</f>
        <v>0</v>
      </c>
      <c r="AJ314" s="96">
        <f>IF(Z314=0,0,COUNTIFS('ITENS_MTR'!$S$6:$S$1005,A314,'ITENS_MTR'!$AN$6:$AN$1005,1))</f>
        <v>0</v>
      </c>
      <c r="AK314" s="96">
        <f>IF(Z314=0,0,COUNTIFS('RECEBIMENTOS'!$B$6:$B$1005,A314,'RECEBIMENTOS'!$Y$6:$Y$1005,1))</f>
        <v>0</v>
      </c>
      <c r="AL314" s="96">
        <f>IF(Z314=0,0,COUNTIFS('VÍNCULOS_CDF'!$D$6:$D$1005,A314,'VÍNCULOS_CDF'!$Y$6:$Y$1005,1))</f>
        <v>0</v>
      </c>
      <c r="AM314" s="96">
        <f>IF(Z314=0,0,COUNTIFS('RECEBIMENTOS'!$B$6:$B$1005,A314,'RECEBIMENTOS'!$Q$6:$Q$1005,1))</f>
        <v>0</v>
      </c>
      <c r="AN314" s="96">
        <f>IF(AND(Z314=1,N(W314)&gt;0,AG314=N(W314)),1,0)</f>
        <v>0</v>
      </c>
      <c r="AO314" s="96">
        <f>IF(AND(Z314=1,N(W314)&gt;0,AI314=N(W314)),1,0)</f>
        <v>0</v>
      </c>
      <c r="AP314" s="97">
        <f>IF(Z314=0,0,_xlfn.MAXIFS('RECEBIMENTOS'!$E$6:$E$1005,'RECEBIMENTOS'!$B$6:$B$1005,A314))</f>
        <v>0</v>
      </c>
      <c r="AQ314" s="97" t="str">
        <f>IF(T314="","",IF(T314="RECEBIMENTO NÃO CONFIRMADO",IF(ISNUMBER(F314),F314,IF(ISNUMBER(E314),E314,"")),IF(OR(T314="CDF NÃO LOCALIZADO",T314="VÍNCULO INCOMPLETO",T314="CDF A CONFERIR"),IF(AP314&gt;0,AP314,IF(ISNUMBER(E314),E314,"")),IF(ISNUMBER(E314),E314,""))))</f>
        <v/>
      </c>
      <c r="AR314" s="96">
        <f>IF(NOT(ISNUMBER(U314)),0,IF(T314="RECEBIMENTO NÃO CONFIRMADO",IF(AND(ISNUMBER(cfg_rec),U314&gt;cfg_rec),1,0),IF(OR(T314="CDF NÃO LOCALIZADO",T314="VÍNCULO INCOMPLETO",T314="CDF A CONFERIR"),IF(AND(ISNUMBER(cfg_cdf),U314&gt;cfg_cdf),1,0),0)))</f>
        <v>0</v>
      </c>
      <c r="AS314" s="96" t="str">
        <f>IF(T314="","",IF(AR314=1,"Alta",IFERROR(INDEX(cfg_pp,MATCH(T314,cfg_pt,0))&amp;"","Média")))</f>
        <v/>
      </c>
      <c r="AT314" s="96" t="str">
        <f>IF(T314="","",IFERROR(INDEX(cfg_pv,MATCH(T314,cfg_pt,0))&amp;"",""))</f>
        <v/>
      </c>
      <c r="AU314" s="96" t="str">
        <f>IF(T314="","",IF(AS314="Alta",1,IF(AS314="Média",2,3))*1000000000+(999999-IF(ISNUMBER(U314),MIN(U314,999999),0))*1000+309)</f>
        <v/>
      </c>
      <c r="AV314" s="96">
        <f>IF(T314&lt;&gt;"",1,0)</f>
        <v>0</v>
      </c>
      <c r="AW314" s="96" t="str">
        <f>IF(Z314=0,"",IF(AA314=1,"Cancelamento informado; ","")&amp;IF(AE314=1,"Campos essenciais ou itens faltando; ","")&amp;IF(AC314=1,"Possível duplicidade do número; ","")&amp;IF(AD314=1,"Cadastro ou datas a revisar; ","")&amp;IF(AF314&gt;0,"Item de resíduo com dado a revisar; ","")&amp;IF(AH314&gt;0,"Diferença de quantidade a analisar; ","")&amp;IF(AK314&gt;0,"Recebimento com alerta; ","")&amp;IF(AL314&gt;0,"Vínculo de CDF com alerta; ","")&amp;IF(AND(AA314=0,AN314=0),"Recebimento não confirmado; ","")&amp;IF(AND(AA314=0,AN314=1,AO314=0),"CDF pendente ou a conferir; ",""))</f>
        <v/>
      </c>
      <c r="AX314" s="96">
        <f>IF(Z314=0,0,IF(AND(OR(f_ini="",AND(ISNUMBER(E314),E314&gt;=f_ini)),OR(f_fim="",AND(ISNUMBER(E314),E314&lt;=f_fim)),OR(f_un="",f_un="(Todas)",G314=f_un),OR(f_tr="",f_tr="(Todos)",H314=f_tr),OR(f_de="",f_de="(Todos)",I314=f_de),OR(f_sit="",f_sit="(Todas)",S314=f_sit)),1,0))</f>
        <v>0</v>
      </c>
      <c r="AY314" s="96">
        <f>IF(AX314=0,0,IF(OR(f_res="",f_res="(Todos)"),1,IF(COUNTIFS('ITENS_MTR'!$S$6:$S$1005,A314,'ITENS_MTR'!$C$6:$C$1005,f_res)&gt;0,1,0)))</f>
        <v>0</v>
      </c>
      <c r="AZ314" s="97" t="str">
        <f>IF(ISNUMBER(E314),DATE(YEAR(E314),MONTH(E314),1),"")</f>
        <v/>
      </c>
      <c r="BA314" s="96">
        <f>IF(Z314=0,0,IF(AND(OR(r_ini="",AND(ISNUMBER(E314),E314&gt;=r_ini)),OR(r_fim="",AND(ISNUMBER(E314),E314&lt;=r_fim)),OR(r_un="",r_un="(Todas)",G314=r_un),OR(r_de="",r_de="(Todos)",I314=r_de)),1,0))</f>
        <v>0</v>
      </c>
      <c r="BB314" s="96" t="str">
        <f>IF(BA314=1,COUNTIF($BA$6:BA314,1),"")</f>
        <v/>
      </c>
      <c r="BC314" s="96" t="str">
        <f>IF(AND(AU314&lt;&gt;"",OR(r_un="",r_un="(Todas)",G314=r_un),OR(r_de="",r_de="(Todos)",I314=r_de)),AU314,"")</f>
        <v/>
      </c>
      <c r="BD314" s="96" t="str">
        <f>IF(Z314=1,A314&amp;" | nº "&amp;IF(B314="","(sem número)",B314)&amp;" | "&amp;IF(G314="","(sem unidade)",G314),"")</f>
        <v/>
      </c>
      <c r="BE314" s="96" t="str">
        <f>IF(Z314=1,COUNTIF($Z$6:Z314,1),"")</f>
        <v/>
      </c>
      <c r="BF314" s="96" t="str">
        <f>IF(T314="","",IF(T314="RECEBIMENTO NÃO CONFIRMADO","Transp.: "&amp;H314&amp;" | Dest.: "&amp;I314,IF(OR(T314="CDF NÃO LOCALIZADO",T314="VÍNCULO INCOMPLETO",T314="CDF A CONFERIR"),"Dest.: "&amp;I314,"Gerador: "&amp;G314)))</f>
        <v/>
      </c>
    </row>
    <row r="315">
      <c r="A315" s="89" t="inlineStr">
        <is>
          <t>MTR-000310</t>
        </is>
      </c>
      <c r="B315" s="90" t="n"/>
      <c r="C315" s="91" t="n"/>
      <c r="D315" s="91" t="n"/>
      <c r="E315" s="92" t="n"/>
      <c r="F315" s="92" t="n"/>
      <c r="G315" s="91" t="n"/>
      <c r="H315" s="91" t="n"/>
      <c r="I315" s="91" t="n"/>
      <c r="J315" s="91" t="n"/>
      <c r="K315" s="91" t="n"/>
      <c r="L315" s="92" t="n"/>
      <c r="M315" s="91" t="n"/>
      <c r="N315" s="91" t="n"/>
      <c r="O315" s="91" t="n"/>
      <c r="P315" s="93" t="str">
        <f>IF(Z315=0,"",SUMIFS('ITENS_MTR'!$I$6:$I$1005,'ITENS_MTR'!$S$6:$S$1005,A315,'ITENS_MTR'!$Y$6:$Y$1005,1))</f>
        <v/>
      </c>
      <c r="Q315" s="93" t="str">
        <f>IF(Z315=0,"",SUMIFS('RECEBIMENTOS'!$H$6:$H$1005,'RECEBIMENTOS'!$B$6:$B$1005,A315,'RECEBIMENTOS'!$X$6:$X$1005,1))</f>
        <v/>
      </c>
      <c r="R315" s="93" t="str">
        <f>IF(Z315=0,"",SUMIFS('VÍNCULOS_CDF'!$H$6:$H$1005,'VÍNCULOS_CDF'!$D$6:$D$1005,A315,'VÍNCULOS_CDF'!$V$6:$V$1005,1))</f>
        <v/>
      </c>
      <c r="S315" s="94" t="str">
        <f>IF(Z315=0,"",IF(AA315=1,"Cancelado (informado)",IF(AE315=1,"Cadastro incompleto",IF(OR(AC315=1,AD315=1,AF315&gt;0,AH315&gt;0,AK315&gt;0,AL315&gt;0),"Informação a revisar",IF(AN315=0,"Aguardando recebimento",IF(N(R315)=0,"Aguardando CDF",IF(AJ315&lt;N(W315),"Vínculo de CDF parcial",IF(AO315=0,"CDF localizado, a conferir","Documentação conferida"))))))))</f>
        <v/>
      </c>
      <c r="T315" s="94" t="str">
        <f>IF(Z315=0,"",IF(S315="Cadastro incompleto","MTR INCOMPLETO",IF(S315="Informação a revisar",IF(AND(AH315&gt;0,AC315=0,AD315=0,AF315=0,AK315=0,AL315=0),"QUANTIDADE A REVISAR","IDENTIFICAÇÃO A REVISAR"),IF(S315="Aguardando recebimento","RECEBIMENTO NÃO CONFIRMADO",IF(S315="Aguardando CDF","CDF NÃO LOCALIZADO",IF(S315="Vínculo de CDF parcial","VÍNCULO INCOMPLETO",IF(S315="CDF localizado, a conferir","CDF A CONFERIR","")))))))</f>
        <v/>
      </c>
      <c r="U315" s="95" t="str">
        <f>IF(T315="","",IF(AQ315="","Não calculável",IF(AQ315&gt;TODAY(),"Data futura",TODAY()-AQ315)))</f>
        <v/>
      </c>
      <c r="V315" s="93" t="str">
        <f>IF(Z315=0,"",SUMIFS('RECEBIMENTOS'!$H$6:$H$1005,'RECEBIMENTOS'!$B$6:$B$1005,A315,'RECEBIMENTOS'!$Z$6:$Z$1005,1))</f>
        <v/>
      </c>
      <c r="W315" s="95" t="str">
        <f>IF(Z315=0,"",COUNTIFS('ITENS_MTR'!$S$6:$S$1005,A315,'ITENS_MTR'!$R$6:$R$1005,1))</f>
        <v/>
      </c>
      <c r="X315" s="94" t="str">
        <f>IF(AC315=1,"POSSÍVEL DUPLICIDADE","")</f>
        <v/>
      </c>
      <c r="Y315" s="94" t="str">
        <f>IF(Z315=0,"",IF(AW315="","Nenhuma",LEFT(AW315,LEN(AW315)-2)))</f>
        <v/>
      </c>
      <c r="Z315" s="96">
        <f>IF(COUNTA(B315:O315)&gt;0,1,0)</f>
        <v>0</v>
      </c>
      <c r="AA315" s="96">
        <f>IF(AND(Z315=1,K315&lt;&gt;""),IF(TRIM(K315)=TRIM(cfg_cancel),1,0),0)</f>
        <v>0</v>
      </c>
      <c r="AB315" s="96" t="str">
        <f>IF(AND(Z315=1,B315&lt;&gt;""),C315&amp;"|"&amp;D315&amp;"|"&amp;G315&amp;"|"&amp;TRIM(B315),"")</f>
        <v/>
      </c>
      <c r="AC315" s="96">
        <f>IF(AB315="",0,IF(SUMPRODUCT(--($AB$6:$AB$505=AB315))&gt;1,1,0))</f>
        <v>0</v>
      </c>
      <c r="AD315" s="96">
        <f>IF(Z315=0,0,IF(OR(AND(G315&lt;&gt;"",ISNA(MATCH(G315,'CAD_UNIDADES'!$C$6:$C$105,0))),AND(H315&lt;&gt;"",ISNA(MATCH(H315,cmp_transp,0))),AND(I315&lt;&gt;"",ISNA(MATCH(I315,cmp_dest,0))),AND(E315&lt;&gt;"",NOT(ISNUMBER(E315))),AND(F315&lt;&gt;"",NOT(ISNUMBER(F315))),AND(ISNUMBER(E315),ISNUMBER(F315),F315&lt;E315)),1,0))</f>
        <v>0</v>
      </c>
      <c r="AE315" s="96">
        <f>IF(Z315=0,0,IF(OR(B315="",C315="",E315="",G315="",H315="",I315="",N(W315)=0),1,0))</f>
        <v>0</v>
      </c>
      <c r="AF315" s="96">
        <f>IF(Z315=0,0,COUNTIFS('ITENS_MTR'!$S$6:$S$1005,A315,'ITENS_MTR'!$AI$6:$AI$1005,1))</f>
        <v>0</v>
      </c>
      <c r="AG315" s="96">
        <f>IF(Z315=0,0,COUNTIFS('ITENS_MTR'!$S$6:$S$1005,A315,'ITENS_MTR'!$AJ$6:$AJ$1005,1))</f>
        <v>0</v>
      </c>
      <c r="AH315" s="96">
        <f>IF(Z315=0,0,COUNTIFS('ITENS_MTR'!$S$6:$S$1005,A315,'ITENS_MTR'!$AM$6:$AM$1005,1))</f>
        <v>0</v>
      </c>
      <c r="AI315" s="96">
        <f>IF(Z315=0,0,COUNTIFS('ITENS_MTR'!$S$6:$S$1005,A315,'ITENS_MTR'!$AO$6:$AO$1005,1))</f>
        <v>0</v>
      </c>
      <c r="AJ315" s="96">
        <f>IF(Z315=0,0,COUNTIFS('ITENS_MTR'!$S$6:$S$1005,A315,'ITENS_MTR'!$AN$6:$AN$1005,1))</f>
        <v>0</v>
      </c>
      <c r="AK315" s="96">
        <f>IF(Z315=0,0,COUNTIFS('RECEBIMENTOS'!$B$6:$B$1005,A315,'RECEBIMENTOS'!$Y$6:$Y$1005,1))</f>
        <v>0</v>
      </c>
      <c r="AL315" s="96">
        <f>IF(Z315=0,0,COUNTIFS('VÍNCULOS_CDF'!$D$6:$D$1005,A315,'VÍNCULOS_CDF'!$Y$6:$Y$1005,1))</f>
        <v>0</v>
      </c>
      <c r="AM315" s="96">
        <f>IF(Z315=0,0,COUNTIFS('RECEBIMENTOS'!$B$6:$B$1005,A315,'RECEBIMENTOS'!$Q$6:$Q$1005,1))</f>
        <v>0</v>
      </c>
      <c r="AN315" s="96">
        <f>IF(AND(Z315=1,N(W315)&gt;0,AG315=N(W315)),1,0)</f>
        <v>0</v>
      </c>
      <c r="AO315" s="96">
        <f>IF(AND(Z315=1,N(W315)&gt;0,AI315=N(W315)),1,0)</f>
        <v>0</v>
      </c>
      <c r="AP315" s="97">
        <f>IF(Z315=0,0,_xlfn.MAXIFS('RECEBIMENTOS'!$E$6:$E$1005,'RECEBIMENTOS'!$B$6:$B$1005,A315))</f>
        <v>0</v>
      </c>
      <c r="AQ315" s="97" t="str">
        <f>IF(T315="","",IF(T315="RECEBIMENTO NÃO CONFIRMADO",IF(ISNUMBER(F315),F315,IF(ISNUMBER(E315),E315,"")),IF(OR(T315="CDF NÃO LOCALIZADO",T315="VÍNCULO INCOMPLETO",T315="CDF A CONFERIR"),IF(AP315&gt;0,AP315,IF(ISNUMBER(E315),E315,"")),IF(ISNUMBER(E315),E315,""))))</f>
        <v/>
      </c>
      <c r="AR315" s="96">
        <f>IF(NOT(ISNUMBER(U315)),0,IF(T315="RECEBIMENTO NÃO CONFIRMADO",IF(AND(ISNUMBER(cfg_rec),U315&gt;cfg_rec),1,0),IF(OR(T315="CDF NÃO LOCALIZADO",T315="VÍNCULO INCOMPLETO",T315="CDF A CONFERIR"),IF(AND(ISNUMBER(cfg_cdf),U315&gt;cfg_cdf),1,0),0)))</f>
        <v>0</v>
      </c>
      <c r="AS315" s="96" t="str">
        <f>IF(T315="","",IF(AR315=1,"Alta",IFERROR(INDEX(cfg_pp,MATCH(T315,cfg_pt,0))&amp;"","Média")))</f>
        <v/>
      </c>
      <c r="AT315" s="96" t="str">
        <f>IF(T315="","",IFERROR(INDEX(cfg_pv,MATCH(T315,cfg_pt,0))&amp;"",""))</f>
        <v/>
      </c>
      <c r="AU315" s="96" t="str">
        <f>IF(T315="","",IF(AS315="Alta",1,IF(AS315="Média",2,3))*1000000000+(999999-IF(ISNUMBER(U315),MIN(U315,999999),0))*1000+310)</f>
        <v/>
      </c>
      <c r="AV315" s="96">
        <f>IF(T315&lt;&gt;"",1,0)</f>
        <v>0</v>
      </c>
      <c r="AW315" s="96" t="str">
        <f>IF(Z315=0,"",IF(AA315=1,"Cancelamento informado; ","")&amp;IF(AE315=1,"Campos essenciais ou itens faltando; ","")&amp;IF(AC315=1,"Possível duplicidade do número; ","")&amp;IF(AD315=1,"Cadastro ou datas a revisar; ","")&amp;IF(AF315&gt;0,"Item de resíduo com dado a revisar; ","")&amp;IF(AH315&gt;0,"Diferença de quantidade a analisar; ","")&amp;IF(AK315&gt;0,"Recebimento com alerta; ","")&amp;IF(AL315&gt;0,"Vínculo de CDF com alerta; ","")&amp;IF(AND(AA315=0,AN315=0),"Recebimento não confirmado; ","")&amp;IF(AND(AA315=0,AN315=1,AO315=0),"CDF pendente ou a conferir; ",""))</f>
        <v/>
      </c>
      <c r="AX315" s="96">
        <f>IF(Z315=0,0,IF(AND(OR(f_ini="",AND(ISNUMBER(E315),E315&gt;=f_ini)),OR(f_fim="",AND(ISNUMBER(E315),E315&lt;=f_fim)),OR(f_un="",f_un="(Todas)",G315=f_un),OR(f_tr="",f_tr="(Todos)",H315=f_tr),OR(f_de="",f_de="(Todos)",I315=f_de),OR(f_sit="",f_sit="(Todas)",S315=f_sit)),1,0))</f>
        <v>0</v>
      </c>
      <c r="AY315" s="96">
        <f>IF(AX315=0,0,IF(OR(f_res="",f_res="(Todos)"),1,IF(COUNTIFS('ITENS_MTR'!$S$6:$S$1005,A315,'ITENS_MTR'!$C$6:$C$1005,f_res)&gt;0,1,0)))</f>
        <v>0</v>
      </c>
      <c r="AZ315" s="97" t="str">
        <f>IF(ISNUMBER(E315),DATE(YEAR(E315),MONTH(E315),1),"")</f>
        <v/>
      </c>
      <c r="BA315" s="96">
        <f>IF(Z315=0,0,IF(AND(OR(r_ini="",AND(ISNUMBER(E315),E315&gt;=r_ini)),OR(r_fim="",AND(ISNUMBER(E315),E315&lt;=r_fim)),OR(r_un="",r_un="(Todas)",G315=r_un),OR(r_de="",r_de="(Todos)",I315=r_de)),1,0))</f>
        <v>0</v>
      </c>
      <c r="BB315" s="96" t="str">
        <f>IF(BA315=1,COUNTIF($BA$6:BA315,1),"")</f>
        <v/>
      </c>
      <c r="BC315" s="96" t="str">
        <f>IF(AND(AU315&lt;&gt;"",OR(r_un="",r_un="(Todas)",G315=r_un),OR(r_de="",r_de="(Todos)",I315=r_de)),AU315,"")</f>
        <v/>
      </c>
      <c r="BD315" s="96" t="str">
        <f>IF(Z315=1,A315&amp;" | nº "&amp;IF(B315="","(sem número)",B315)&amp;" | "&amp;IF(G315="","(sem unidade)",G315),"")</f>
        <v/>
      </c>
      <c r="BE315" s="96" t="str">
        <f>IF(Z315=1,COUNTIF($Z$6:Z315,1),"")</f>
        <v/>
      </c>
      <c r="BF315" s="96" t="str">
        <f>IF(T315="","",IF(T315="RECEBIMENTO NÃO CONFIRMADO","Transp.: "&amp;H315&amp;" | Dest.: "&amp;I315,IF(OR(T315="CDF NÃO LOCALIZADO",T315="VÍNCULO INCOMPLETO",T315="CDF A CONFERIR"),"Dest.: "&amp;I315,"Gerador: "&amp;G315)))</f>
        <v/>
      </c>
    </row>
    <row r="316">
      <c r="A316" s="89" t="inlineStr">
        <is>
          <t>MTR-000311</t>
        </is>
      </c>
      <c r="B316" s="90" t="n"/>
      <c r="C316" s="91" t="n"/>
      <c r="D316" s="91" t="n"/>
      <c r="E316" s="92" t="n"/>
      <c r="F316" s="92" t="n"/>
      <c r="G316" s="91" t="n"/>
      <c r="H316" s="91" t="n"/>
      <c r="I316" s="91" t="n"/>
      <c r="J316" s="91" t="n"/>
      <c r="K316" s="91" t="n"/>
      <c r="L316" s="92" t="n"/>
      <c r="M316" s="91" t="n"/>
      <c r="N316" s="91" t="n"/>
      <c r="O316" s="91" t="n"/>
      <c r="P316" s="93" t="str">
        <f>IF(Z316=0,"",SUMIFS('ITENS_MTR'!$I$6:$I$1005,'ITENS_MTR'!$S$6:$S$1005,A316,'ITENS_MTR'!$Y$6:$Y$1005,1))</f>
        <v/>
      </c>
      <c r="Q316" s="93" t="str">
        <f>IF(Z316=0,"",SUMIFS('RECEBIMENTOS'!$H$6:$H$1005,'RECEBIMENTOS'!$B$6:$B$1005,A316,'RECEBIMENTOS'!$X$6:$X$1005,1))</f>
        <v/>
      </c>
      <c r="R316" s="93" t="str">
        <f>IF(Z316=0,"",SUMIFS('VÍNCULOS_CDF'!$H$6:$H$1005,'VÍNCULOS_CDF'!$D$6:$D$1005,A316,'VÍNCULOS_CDF'!$V$6:$V$1005,1))</f>
        <v/>
      </c>
      <c r="S316" s="94" t="str">
        <f>IF(Z316=0,"",IF(AA316=1,"Cancelado (informado)",IF(AE316=1,"Cadastro incompleto",IF(OR(AC316=1,AD316=1,AF316&gt;0,AH316&gt;0,AK316&gt;0,AL316&gt;0),"Informação a revisar",IF(AN316=0,"Aguardando recebimento",IF(N(R316)=0,"Aguardando CDF",IF(AJ316&lt;N(W316),"Vínculo de CDF parcial",IF(AO316=0,"CDF localizado, a conferir","Documentação conferida"))))))))</f>
        <v/>
      </c>
      <c r="T316" s="94" t="str">
        <f>IF(Z316=0,"",IF(S316="Cadastro incompleto","MTR INCOMPLETO",IF(S316="Informação a revisar",IF(AND(AH316&gt;0,AC316=0,AD316=0,AF316=0,AK316=0,AL316=0),"QUANTIDADE A REVISAR","IDENTIFICAÇÃO A REVISAR"),IF(S316="Aguardando recebimento","RECEBIMENTO NÃO CONFIRMADO",IF(S316="Aguardando CDF","CDF NÃO LOCALIZADO",IF(S316="Vínculo de CDF parcial","VÍNCULO INCOMPLETO",IF(S316="CDF localizado, a conferir","CDF A CONFERIR","")))))))</f>
        <v/>
      </c>
      <c r="U316" s="95" t="str">
        <f>IF(T316="","",IF(AQ316="","Não calculável",IF(AQ316&gt;TODAY(),"Data futura",TODAY()-AQ316)))</f>
        <v/>
      </c>
      <c r="V316" s="93" t="str">
        <f>IF(Z316=0,"",SUMIFS('RECEBIMENTOS'!$H$6:$H$1005,'RECEBIMENTOS'!$B$6:$B$1005,A316,'RECEBIMENTOS'!$Z$6:$Z$1005,1))</f>
        <v/>
      </c>
      <c r="W316" s="95" t="str">
        <f>IF(Z316=0,"",COUNTIFS('ITENS_MTR'!$S$6:$S$1005,A316,'ITENS_MTR'!$R$6:$R$1005,1))</f>
        <v/>
      </c>
      <c r="X316" s="94" t="str">
        <f>IF(AC316=1,"POSSÍVEL DUPLICIDADE","")</f>
        <v/>
      </c>
      <c r="Y316" s="94" t="str">
        <f>IF(Z316=0,"",IF(AW316="","Nenhuma",LEFT(AW316,LEN(AW316)-2)))</f>
        <v/>
      </c>
      <c r="Z316" s="96">
        <f>IF(COUNTA(B316:O316)&gt;0,1,0)</f>
        <v>0</v>
      </c>
      <c r="AA316" s="96">
        <f>IF(AND(Z316=1,K316&lt;&gt;""),IF(TRIM(K316)=TRIM(cfg_cancel),1,0),0)</f>
        <v>0</v>
      </c>
      <c r="AB316" s="96" t="str">
        <f>IF(AND(Z316=1,B316&lt;&gt;""),C316&amp;"|"&amp;D316&amp;"|"&amp;G316&amp;"|"&amp;TRIM(B316),"")</f>
        <v/>
      </c>
      <c r="AC316" s="96">
        <f>IF(AB316="",0,IF(SUMPRODUCT(--($AB$6:$AB$505=AB316))&gt;1,1,0))</f>
        <v>0</v>
      </c>
      <c r="AD316" s="96">
        <f>IF(Z316=0,0,IF(OR(AND(G316&lt;&gt;"",ISNA(MATCH(G316,'CAD_UNIDADES'!$C$6:$C$105,0))),AND(H316&lt;&gt;"",ISNA(MATCH(H316,cmp_transp,0))),AND(I316&lt;&gt;"",ISNA(MATCH(I316,cmp_dest,0))),AND(E316&lt;&gt;"",NOT(ISNUMBER(E316))),AND(F316&lt;&gt;"",NOT(ISNUMBER(F316))),AND(ISNUMBER(E316),ISNUMBER(F316),F316&lt;E316)),1,0))</f>
        <v>0</v>
      </c>
      <c r="AE316" s="96">
        <f>IF(Z316=0,0,IF(OR(B316="",C316="",E316="",G316="",H316="",I316="",N(W316)=0),1,0))</f>
        <v>0</v>
      </c>
      <c r="AF316" s="96">
        <f>IF(Z316=0,0,COUNTIFS('ITENS_MTR'!$S$6:$S$1005,A316,'ITENS_MTR'!$AI$6:$AI$1005,1))</f>
        <v>0</v>
      </c>
      <c r="AG316" s="96">
        <f>IF(Z316=0,0,COUNTIFS('ITENS_MTR'!$S$6:$S$1005,A316,'ITENS_MTR'!$AJ$6:$AJ$1005,1))</f>
        <v>0</v>
      </c>
      <c r="AH316" s="96">
        <f>IF(Z316=0,0,COUNTIFS('ITENS_MTR'!$S$6:$S$1005,A316,'ITENS_MTR'!$AM$6:$AM$1005,1))</f>
        <v>0</v>
      </c>
      <c r="AI316" s="96">
        <f>IF(Z316=0,0,COUNTIFS('ITENS_MTR'!$S$6:$S$1005,A316,'ITENS_MTR'!$AO$6:$AO$1005,1))</f>
        <v>0</v>
      </c>
      <c r="AJ316" s="96">
        <f>IF(Z316=0,0,COUNTIFS('ITENS_MTR'!$S$6:$S$1005,A316,'ITENS_MTR'!$AN$6:$AN$1005,1))</f>
        <v>0</v>
      </c>
      <c r="AK316" s="96">
        <f>IF(Z316=0,0,COUNTIFS('RECEBIMENTOS'!$B$6:$B$1005,A316,'RECEBIMENTOS'!$Y$6:$Y$1005,1))</f>
        <v>0</v>
      </c>
      <c r="AL316" s="96">
        <f>IF(Z316=0,0,COUNTIFS('VÍNCULOS_CDF'!$D$6:$D$1005,A316,'VÍNCULOS_CDF'!$Y$6:$Y$1005,1))</f>
        <v>0</v>
      </c>
      <c r="AM316" s="96">
        <f>IF(Z316=0,0,COUNTIFS('RECEBIMENTOS'!$B$6:$B$1005,A316,'RECEBIMENTOS'!$Q$6:$Q$1005,1))</f>
        <v>0</v>
      </c>
      <c r="AN316" s="96">
        <f>IF(AND(Z316=1,N(W316)&gt;0,AG316=N(W316)),1,0)</f>
        <v>0</v>
      </c>
      <c r="AO316" s="96">
        <f>IF(AND(Z316=1,N(W316)&gt;0,AI316=N(W316)),1,0)</f>
        <v>0</v>
      </c>
      <c r="AP316" s="97">
        <f>IF(Z316=0,0,_xlfn.MAXIFS('RECEBIMENTOS'!$E$6:$E$1005,'RECEBIMENTOS'!$B$6:$B$1005,A316))</f>
        <v>0</v>
      </c>
      <c r="AQ316" s="97" t="str">
        <f>IF(T316="","",IF(T316="RECEBIMENTO NÃO CONFIRMADO",IF(ISNUMBER(F316),F316,IF(ISNUMBER(E316),E316,"")),IF(OR(T316="CDF NÃO LOCALIZADO",T316="VÍNCULO INCOMPLETO",T316="CDF A CONFERIR"),IF(AP316&gt;0,AP316,IF(ISNUMBER(E316),E316,"")),IF(ISNUMBER(E316),E316,""))))</f>
        <v/>
      </c>
      <c r="AR316" s="96">
        <f>IF(NOT(ISNUMBER(U316)),0,IF(T316="RECEBIMENTO NÃO CONFIRMADO",IF(AND(ISNUMBER(cfg_rec),U316&gt;cfg_rec),1,0),IF(OR(T316="CDF NÃO LOCALIZADO",T316="VÍNCULO INCOMPLETO",T316="CDF A CONFERIR"),IF(AND(ISNUMBER(cfg_cdf),U316&gt;cfg_cdf),1,0),0)))</f>
        <v>0</v>
      </c>
      <c r="AS316" s="96" t="str">
        <f>IF(T316="","",IF(AR316=1,"Alta",IFERROR(INDEX(cfg_pp,MATCH(T316,cfg_pt,0))&amp;"","Média")))</f>
        <v/>
      </c>
      <c r="AT316" s="96" t="str">
        <f>IF(T316="","",IFERROR(INDEX(cfg_pv,MATCH(T316,cfg_pt,0))&amp;"",""))</f>
        <v/>
      </c>
      <c r="AU316" s="96" t="str">
        <f>IF(T316="","",IF(AS316="Alta",1,IF(AS316="Média",2,3))*1000000000+(999999-IF(ISNUMBER(U316),MIN(U316,999999),0))*1000+311)</f>
        <v/>
      </c>
      <c r="AV316" s="96">
        <f>IF(T316&lt;&gt;"",1,0)</f>
        <v>0</v>
      </c>
      <c r="AW316" s="96" t="str">
        <f>IF(Z316=0,"",IF(AA316=1,"Cancelamento informado; ","")&amp;IF(AE316=1,"Campos essenciais ou itens faltando; ","")&amp;IF(AC316=1,"Possível duplicidade do número; ","")&amp;IF(AD316=1,"Cadastro ou datas a revisar; ","")&amp;IF(AF316&gt;0,"Item de resíduo com dado a revisar; ","")&amp;IF(AH316&gt;0,"Diferença de quantidade a analisar; ","")&amp;IF(AK316&gt;0,"Recebimento com alerta; ","")&amp;IF(AL316&gt;0,"Vínculo de CDF com alerta; ","")&amp;IF(AND(AA316=0,AN316=0),"Recebimento não confirmado; ","")&amp;IF(AND(AA316=0,AN316=1,AO316=0),"CDF pendente ou a conferir; ",""))</f>
        <v/>
      </c>
      <c r="AX316" s="96">
        <f>IF(Z316=0,0,IF(AND(OR(f_ini="",AND(ISNUMBER(E316),E316&gt;=f_ini)),OR(f_fim="",AND(ISNUMBER(E316),E316&lt;=f_fim)),OR(f_un="",f_un="(Todas)",G316=f_un),OR(f_tr="",f_tr="(Todos)",H316=f_tr),OR(f_de="",f_de="(Todos)",I316=f_de),OR(f_sit="",f_sit="(Todas)",S316=f_sit)),1,0))</f>
        <v>0</v>
      </c>
      <c r="AY316" s="96">
        <f>IF(AX316=0,0,IF(OR(f_res="",f_res="(Todos)"),1,IF(COUNTIFS('ITENS_MTR'!$S$6:$S$1005,A316,'ITENS_MTR'!$C$6:$C$1005,f_res)&gt;0,1,0)))</f>
        <v>0</v>
      </c>
      <c r="AZ316" s="97" t="str">
        <f>IF(ISNUMBER(E316),DATE(YEAR(E316),MONTH(E316),1),"")</f>
        <v/>
      </c>
      <c r="BA316" s="96">
        <f>IF(Z316=0,0,IF(AND(OR(r_ini="",AND(ISNUMBER(E316),E316&gt;=r_ini)),OR(r_fim="",AND(ISNUMBER(E316),E316&lt;=r_fim)),OR(r_un="",r_un="(Todas)",G316=r_un),OR(r_de="",r_de="(Todos)",I316=r_de)),1,0))</f>
        <v>0</v>
      </c>
      <c r="BB316" s="96" t="str">
        <f>IF(BA316=1,COUNTIF($BA$6:BA316,1),"")</f>
        <v/>
      </c>
      <c r="BC316" s="96" t="str">
        <f>IF(AND(AU316&lt;&gt;"",OR(r_un="",r_un="(Todas)",G316=r_un),OR(r_de="",r_de="(Todos)",I316=r_de)),AU316,"")</f>
        <v/>
      </c>
      <c r="BD316" s="96" t="str">
        <f>IF(Z316=1,A316&amp;" | nº "&amp;IF(B316="","(sem número)",B316)&amp;" | "&amp;IF(G316="","(sem unidade)",G316),"")</f>
        <v/>
      </c>
      <c r="BE316" s="96" t="str">
        <f>IF(Z316=1,COUNTIF($Z$6:Z316,1),"")</f>
        <v/>
      </c>
      <c r="BF316" s="96" t="str">
        <f>IF(T316="","",IF(T316="RECEBIMENTO NÃO CONFIRMADO","Transp.: "&amp;H316&amp;" | Dest.: "&amp;I316,IF(OR(T316="CDF NÃO LOCALIZADO",T316="VÍNCULO INCOMPLETO",T316="CDF A CONFERIR"),"Dest.: "&amp;I316,"Gerador: "&amp;G316)))</f>
        <v/>
      </c>
    </row>
    <row r="317">
      <c r="A317" s="89" t="inlineStr">
        <is>
          <t>MTR-000312</t>
        </is>
      </c>
      <c r="B317" s="90" t="n"/>
      <c r="C317" s="91" t="n"/>
      <c r="D317" s="91" t="n"/>
      <c r="E317" s="92" t="n"/>
      <c r="F317" s="92" t="n"/>
      <c r="G317" s="91" t="n"/>
      <c r="H317" s="91" t="n"/>
      <c r="I317" s="91" t="n"/>
      <c r="J317" s="91" t="n"/>
      <c r="K317" s="91" t="n"/>
      <c r="L317" s="92" t="n"/>
      <c r="M317" s="91" t="n"/>
      <c r="N317" s="91" t="n"/>
      <c r="O317" s="91" t="n"/>
      <c r="P317" s="93" t="str">
        <f>IF(Z317=0,"",SUMIFS('ITENS_MTR'!$I$6:$I$1005,'ITENS_MTR'!$S$6:$S$1005,A317,'ITENS_MTR'!$Y$6:$Y$1005,1))</f>
        <v/>
      </c>
      <c r="Q317" s="93" t="str">
        <f>IF(Z317=0,"",SUMIFS('RECEBIMENTOS'!$H$6:$H$1005,'RECEBIMENTOS'!$B$6:$B$1005,A317,'RECEBIMENTOS'!$X$6:$X$1005,1))</f>
        <v/>
      </c>
      <c r="R317" s="93" t="str">
        <f>IF(Z317=0,"",SUMIFS('VÍNCULOS_CDF'!$H$6:$H$1005,'VÍNCULOS_CDF'!$D$6:$D$1005,A317,'VÍNCULOS_CDF'!$V$6:$V$1005,1))</f>
        <v/>
      </c>
      <c r="S317" s="94" t="str">
        <f>IF(Z317=0,"",IF(AA317=1,"Cancelado (informado)",IF(AE317=1,"Cadastro incompleto",IF(OR(AC317=1,AD317=1,AF317&gt;0,AH317&gt;0,AK317&gt;0,AL317&gt;0),"Informação a revisar",IF(AN317=0,"Aguardando recebimento",IF(N(R317)=0,"Aguardando CDF",IF(AJ317&lt;N(W317),"Vínculo de CDF parcial",IF(AO317=0,"CDF localizado, a conferir","Documentação conferida"))))))))</f>
        <v/>
      </c>
      <c r="T317" s="94" t="str">
        <f>IF(Z317=0,"",IF(S317="Cadastro incompleto","MTR INCOMPLETO",IF(S317="Informação a revisar",IF(AND(AH317&gt;0,AC317=0,AD317=0,AF317=0,AK317=0,AL317=0),"QUANTIDADE A REVISAR","IDENTIFICAÇÃO A REVISAR"),IF(S317="Aguardando recebimento","RECEBIMENTO NÃO CONFIRMADO",IF(S317="Aguardando CDF","CDF NÃO LOCALIZADO",IF(S317="Vínculo de CDF parcial","VÍNCULO INCOMPLETO",IF(S317="CDF localizado, a conferir","CDF A CONFERIR","")))))))</f>
        <v/>
      </c>
      <c r="U317" s="95" t="str">
        <f>IF(T317="","",IF(AQ317="","Não calculável",IF(AQ317&gt;TODAY(),"Data futura",TODAY()-AQ317)))</f>
        <v/>
      </c>
      <c r="V317" s="93" t="str">
        <f>IF(Z317=0,"",SUMIFS('RECEBIMENTOS'!$H$6:$H$1005,'RECEBIMENTOS'!$B$6:$B$1005,A317,'RECEBIMENTOS'!$Z$6:$Z$1005,1))</f>
        <v/>
      </c>
      <c r="W317" s="95" t="str">
        <f>IF(Z317=0,"",COUNTIFS('ITENS_MTR'!$S$6:$S$1005,A317,'ITENS_MTR'!$R$6:$R$1005,1))</f>
        <v/>
      </c>
      <c r="X317" s="94" t="str">
        <f>IF(AC317=1,"POSSÍVEL DUPLICIDADE","")</f>
        <v/>
      </c>
      <c r="Y317" s="94" t="str">
        <f>IF(Z317=0,"",IF(AW317="","Nenhuma",LEFT(AW317,LEN(AW317)-2)))</f>
        <v/>
      </c>
      <c r="Z317" s="96">
        <f>IF(COUNTA(B317:O317)&gt;0,1,0)</f>
        <v>0</v>
      </c>
      <c r="AA317" s="96">
        <f>IF(AND(Z317=1,K317&lt;&gt;""),IF(TRIM(K317)=TRIM(cfg_cancel),1,0),0)</f>
        <v>0</v>
      </c>
      <c r="AB317" s="96" t="str">
        <f>IF(AND(Z317=1,B317&lt;&gt;""),C317&amp;"|"&amp;D317&amp;"|"&amp;G317&amp;"|"&amp;TRIM(B317),"")</f>
        <v/>
      </c>
      <c r="AC317" s="96">
        <f>IF(AB317="",0,IF(SUMPRODUCT(--($AB$6:$AB$505=AB317))&gt;1,1,0))</f>
        <v>0</v>
      </c>
      <c r="AD317" s="96">
        <f>IF(Z317=0,0,IF(OR(AND(G317&lt;&gt;"",ISNA(MATCH(G317,'CAD_UNIDADES'!$C$6:$C$105,0))),AND(H317&lt;&gt;"",ISNA(MATCH(H317,cmp_transp,0))),AND(I317&lt;&gt;"",ISNA(MATCH(I317,cmp_dest,0))),AND(E317&lt;&gt;"",NOT(ISNUMBER(E317))),AND(F317&lt;&gt;"",NOT(ISNUMBER(F317))),AND(ISNUMBER(E317),ISNUMBER(F317),F317&lt;E317)),1,0))</f>
        <v>0</v>
      </c>
      <c r="AE317" s="96">
        <f>IF(Z317=0,0,IF(OR(B317="",C317="",E317="",G317="",H317="",I317="",N(W317)=0),1,0))</f>
        <v>0</v>
      </c>
      <c r="AF317" s="96">
        <f>IF(Z317=0,0,COUNTIFS('ITENS_MTR'!$S$6:$S$1005,A317,'ITENS_MTR'!$AI$6:$AI$1005,1))</f>
        <v>0</v>
      </c>
      <c r="AG317" s="96">
        <f>IF(Z317=0,0,COUNTIFS('ITENS_MTR'!$S$6:$S$1005,A317,'ITENS_MTR'!$AJ$6:$AJ$1005,1))</f>
        <v>0</v>
      </c>
      <c r="AH317" s="96">
        <f>IF(Z317=0,0,COUNTIFS('ITENS_MTR'!$S$6:$S$1005,A317,'ITENS_MTR'!$AM$6:$AM$1005,1))</f>
        <v>0</v>
      </c>
      <c r="AI317" s="96">
        <f>IF(Z317=0,0,COUNTIFS('ITENS_MTR'!$S$6:$S$1005,A317,'ITENS_MTR'!$AO$6:$AO$1005,1))</f>
        <v>0</v>
      </c>
      <c r="AJ317" s="96">
        <f>IF(Z317=0,0,COUNTIFS('ITENS_MTR'!$S$6:$S$1005,A317,'ITENS_MTR'!$AN$6:$AN$1005,1))</f>
        <v>0</v>
      </c>
      <c r="AK317" s="96">
        <f>IF(Z317=0,0,COUNTIFS('RECEBIMENTOS'!$B$6:$B$1005,A317,'RECEBIMENTOS'!$Y$6:$Y$1005,1))</f>
        <v>0</v>
      </c>
      <c r="AL317" s="96">
        <f>IF(Z317=0,0,COUNTIFS('VÍNCULOS_CDF'!$D$6:$D$1005,A317,'VÍNCULOS_CDF'!$Y$6:$Y$1005,1))</f>
        <v>0</v>
      </c>
      <c r="AM317" s="96">
        <f>IF(Z317=0,0,COUNTIFS('RECEBIMENTOS'!$B$6:$B$1005,A317,'RECEBIMENTOS'!$Q$6:$Q$1005,1))</f>
        <v>0</v>
      </c>
      <c r="AN317" s="96">
        <f>IF(AND(Z317=1,N(W317)&gt;0,AG317=N(W317)),1,0)</f>
        <v>0</v>
      </c>
      <c r="AO317" s="96">
        <f>IF(AND(Z317=1,N(W317)&gt;0,AI317=N(W317)),1,0)</f>
        <v>0</v>
      </c>
      <c r="AP317" s="97">
        <f>IF(Z317=0,0,_xlfn.MAXIFS('RECEBIMENTOS'!$E$6:$E$1005,'RECEBIMENTOS'!$B$6:$B$1005,A317))</f>
        <v>0</v>
      </c>
      <c r="AQ317" s="97" t="str">
        <f>IF(T317="","",IF(T317="RECEBIMENTO NÃO CONFIRMADO",IF(ISNUMBER(F317),F317,IF(ISNUMBER(E317),E317,"")),IF(OR(T317="CDF NÃO LOCALIZADO",T317="VÍNCULO INCOMPLETO",T317="CDF A CONFERIR"),IF(AP317&gt;0,AP317,IF(ISNUMBER(E317),E317,"")),IF(ISNUMBER(E317),E317,""))))</f>
        <v/>
      </c>
      <c r="AR317" s="96">
        <f>IF(NOT(ISNUMBER(U317)),0,IF(T317="RECEBIMENTO NÃO CONFIRMADO",IF(AND(ISNUMBER(cfg_rec),U317&gt;cfg_rec),1,0),IF(OR(T317="CDF NÃO LOCALIZADO",T317="VÍNCULO INCOMPLETO",T317="CDF A CONFERIR"),IF(AND(ISNUMBER(cfg_cdf),U317&gt;cfg_cdf),1,0),0)))</f>
        <v>0</v>
      </c>
      <c r="AS317" s="96" t="str">
        <f>IF(T317="","",IF(AR317=1,"Alta",IFERROR(INDEX(cfg_pp,MATCH(T317,cfg_pt,0))&amp;"","Média")))</f>
        <v/>
      </c>
      <c r="AT317" s="96" t="str">
        <f>IF(T317="","",IFERROR(INDEX(cfg_pv,MATCH(T317,cfg_pt,0))&amp;"",""))</f>
        <v/>
      </c>
      <c r="AU317" s="96" t="str">
        <f>IF(T317="","",IF(AS317="Alta",1,IF(AS317="Média",2,3))*1000000000+(999999-IF(ISNUMBER(U317),MIN(U317,999999),0))*1000+312)</f>
        <v/>
      </c>
      <c r="AV317" s="96">
        <f>IF(T317&lt;&gt;"",1,0)</f>
        <v>0</v>
      </c>
      <c r="AW317" s="96" t="str">
        <f>IF(Z317=0,"",IF(AA317=1,"Cancelamento informado; ","")&amp;IF(AE317=1,"Campos essenciais ou itens faltando; ","")&amp;IF(AC317=1,"Possível duplicidade do número; ","")&amp;IF(AD317=1,"Cadastro ou datas a revisar; ","")&amp;IF(AF317&gt;0,"Item de resíduo com dado a revisar; ","")&amp;IF(AH317&gt;0,"Diferença de quantidade a analisar; ","")&amp;IF(AK317&gt;0,"Recebimento com alerta; ","")&amp;IF(AL317&gt;0,"Vínculo de CDF com alerta; ","")&amp;IF(AND(AA317=0,AN317=0),"Recebimento não confirmado; ","")&amp;IF(AND(AA317=0,AN317=1,AO317=0),"CDF pendente ou a conferir; ",""))</f>
        <v/>
      </c>
      <c r="AX317" s="96">
        <f>IF(Z317=0,0,IF(AND(OR(f_ini="",AND(ISNUMBER(E317),E317&gt;=f_ini)),OR(f_fim="",AND(ISNUMBER(E317),E317&lt;=f_fim)),OR(f_un="",f_un="(Todas)",G317=f_un),OR(f_tr="",f_tr="(Todos)",H317=f_tr),OR(f_de="",f_de="(Todos)",I317=f_de),OR(f_sit="",f_sit="(Todas)",S317=f_sit)),1,0))</f>
        <v>0</v>
      </c>
      <c r="AY317" s="96">
        <f>IF(AX317=0,0,IF(OR(f_res="",f_res="(Todos)"),1,IF(COUNTIFS('ITENS_MTR'!$S$6:$S$1005,A317,'ITENS_MTR'!$C$6:$C$1005,f_res)&gt;0,1,0)))</f>
        <v>0</v>
      </c>
      <c r="AZ317" s="97" t="str">
        <f>IF(ISNUMBER(E317),DATE(YEAR(E317),MONTH(E317),1),"")</f>
        <v/>
      </c>
      <c r="BA317" s="96">
        <f>IF(Z317=0,0,IF(AND(OR(r_ini="",AND(ISNUMBER(E317),E317&gt;=r_ini)),OR(r_fim="",AND(ISNUMBER(E317),E317&lt;=r_fim)),OR(r_un="",r_un="(Todas)",G317=r_un),OR(r_de="",r_de="(Todos)",I317=r_de)),1,0))</f>
        <v>0</v>
      </c>
      <c r="BB317" s="96" t="str">
        <f>IF(BA317=1,COUNTIF($BA$6:BA317,1),"")</f>
        <v/>
      </c>
      <c r="BC317" s="96" t="str">
        <f>IF(AND(AU317&lt;&gt;"",OR(r_un="",r_un="(Todas)",G317=r_un),OR(r_de="",r_de="(Todos)",I317=r_de)),AU317,"")</f>
        <v/>
      </c>
      <c r="BD317" s="96" t="str">
        <f>IF(Z317=1,A317&amp;" | nº "&amp;IF(B317="","(sem número)",B317)&amp;" | "&amp;IF(G317="","(sem unidade)",G317),"")</f>
        <v/>
      </c>
      <c r="BE317" s="96" t="str">
        <f>IF(Z317=1,COUNTIF($Z$6:Z317,1),"")</f>
        <v/>
      </c>
      <c r="BF317" s="96" t="str">
        <f>IF(T317="","",IF(T317="RECEBIMENTO NÃO CONFIRMADO","Transp.: "&amp;H317&amp;" | Dest.: "&amp;I317,IF(OR(T317="CDF NÃO LOCALIZADO",T317="VÍNCULO INCOMPLETO",T317="CDF A CONFERIR"),"Dest.: "&amp;I317,"Gerador: "&amp;G317)))</f>
        <v/>
      </c>
    </row>
    <row r="318">
      <c r="A318" s="89" t="inlineStr">
        <is>
          <t>MTR-000313</t>
        </is>
      </c>
      <c r="B318" s="90" t="n"/>
      <c r="C318" s="91" t="n"/>
      <c r="D318" s="91" t="n"/>
      <c r="E318" s="92" t="n"/>
      <c r="F318" s="92" t="n"/>
      <c r="G318" s="91" t="n"/>
      <c r="H318" s="91" t="n"/>
      <c r="I318" s="91" t="n"/>
      <c r="J318" s="91" t="n"/>
      <c r="K318" s="91" t="n"/>
      <c r="L318" s="92" t="n"/>
      <c r="M318" s="91" t="n"/>
      <c r="N318" s="91" t="n"/>
      <c r="O318" s="91" t="n"/>
      <c r="P318" s="93" t="str">
        <f>IF(Z318=0,"",SUMIFS('ITENS_MTR'!$I$6:$I$1005,'ITENS_MTR'!$S$6:$S$1005,A318,'ITENS_MTR'!$Y$6:$Y$1005,1))</f>
        <v/>
      </c>
      <c r="Q318" s="93" t="str">
        <f>IF(Z318=0,"",SUMIFS('RECEBIMENTOS'!$H$6:$H$1005,'RECEBIMENTOS'!$B$6:$B$1005,A318,'RECEBIMENTOS'!$X$6:$X$1005,1))</f>
        <v/>
      </c>
      <c r="R318" s="93" t="str">
        <f>IF(Z318=0,"",SUMIFS('VÍNCULOS_CDF'!$H$6:$H$1005,'VÍNCULOS_CDF'!$D$6:$D$1005,A318,'VÍNCULOS_CDF'!$V$6:$V$1005,1))</f>
        <v/>
      </c>
      <c r="S318" s="94" t="str">
        <f>IF(Z318=0,"",IF(AA318=1,"Cancelado (informado)",IF(AE318=1,"Cadastro incompleto",IF(OR(AC318=1,AD318=1,AF318&gt;0,AH318&gt;0,AK318&gt;0,AL318&gt;0),"Informação a revisar",IF(AN318=0,"Aguardando recebimento",IF(N(R318)=0,"Aguardando CDF",IF(AJ318&lt;N(W318),"Vínculo de CDF parcial",IF(AO318=0,"CDF localizado, a conferir","Documentação conferida"))))))))</f>
        <v/>
      </c>
      <c r="T318" s="94" t="str">
        <f>IF(Z318=0,"",IF(S318="Cadastro incompleto","MTR INCOMPLETO",IF(S318="Informação a revisar",IF(AND(AH318&gt;0,AC318=0,AD318=0,AF318=0,AK318=0,AL318=0),"QUANTIDADE A REVISAR","IDENTIFICAÇÃO A REVISAR"),IF(S318="Aguardando recebimento","RECEBIMENTO NÃO CONFIRMADO",IF(S318="Aguardando CDF","CDF NÃO LOCALIZADO",IF(S318="Vínculo de CDF parcial","VÍNCULO INCOMPLETO",IF(S318="CDF localizado, a conferir","CDF A CONFERIR","")))))))</f>
        <v/>
      </c>
      <c r="U318" s="95" t="str">
        <f>IF(T318="","",IF(AQ318="","Não calculável",IF(AQ318&gt;TODAY(),"Data futura",TODAY()-AQ318)))</f>
        <v/>
      </c>
      <c r="V318" s="93" t="str">
        <f>IF(Z318=0,"",SUMIFS('RECEBIMENTOS'!$H$6:$H$1005,'RECEBIMENTOS'!$B$6:$B$1005,A318,'RECEBIMENTOS'!$Z$6:$Z$1005,1))</f>
        <v/>
      </c>
      <c r="W318" s="95" t="str">
        <f>IF(Z318=0,"",COUNTIFS('ITENS_MTR'!$S$6:$S$1005,A318,'ITENS_MTR'!$R$6:$R$1005,1))</f>
        <v/>
      </c>
      <c r="X318" s="94" t="str">
        <f>IF(AC318=1,"POSSÍVEL DUPLICIDADE","")</f>
        <v/>
      </c>
      <c r="Y318" s="94" t="str">
        <f>IF(Z318=0,"",IF(AW318="","Nenhuma",LEFT(AW318,LEN(AW318)-2)))</f>
        <v/>
      </c>
      <c r="Z318" s="96">
        <f>IF(COUNTA(B318:O318)&gt;0,1,0)</f>
        <v>0</v>
      </c>
      <c r="AA318" s="96">
        <f>IF(AND(Z318=1,K318&lt;&gt;""),IF(TRIM(K318)=TRIM(cfg_cancel),1,0),0)</f>
        <v>0</v>
      </c>
      <c r="AB318" s="96" t="str">
        <f>IF(AND(Z318=1,B318&lt;&gt;""),C318&amp;"|"&amp;D318&amp;"|"&amp;G318&amp;"|"&amp;TRIM(B318),"")</f>
        <v/>
      </c>
      <c r="AC318" s="96">
        <f>IF(AB318="",0,IF(SUMPRODUCT(--($AB$6:$AB$505=AB318))&gt;1,1,0))</f>
        <v>0</v>
      </c>
      <c r="AD318" s="96">
        <f>IF(Z318=0,0,IF(OR(AND(G318&lt;&gt;"",ISNA(MATCH(G318,'CAD_UNIDADES'!$C$6:$C$105,0))),AND(H318&lt;&gt;"",ISNA(MATCH(H318,cmp_transp,0))),AND(I318&lt;&gt;"",ISNA(MATCH(I318,cmp_dest,0))),AND(E318&lt;&gt;"",NOT(ISNUMBER(E318))),AND(F318&lt;&gt;"",NOT(ISNUMBER(F318))),AND(ISNUMBER(E318),ISNUMBER(F318),F318&lt;E318)),1,0))</f>
        <v>0</v>
      </c>
      <c r="AE318" s="96">
        <f>IF(Z318=0,0,IF(OR(B318="",C318="",E318="",G318="",H318="",I318="",N(W318)=0),1,0))</f>
        <v>0</v>
      </c>
      <c r="AF318" s="96">
        <f>IF(Z318=0,0,COUNTIFS('ITENS_MTR'!$S$6:$S$1005,A318,'ITENS_MTR'!$AI$6:$AI$1005,1))</f>
        <v>0</v>
      </c>
      <c r="AG318" s="96">
        <f>IF(Z318=0,0,COUNTIFS('ITENS_MTR'!$S$6:$S$1005,A318,'ITENS_MTR'!$AJ$6:$AJ$1005,1))</f>
        <v>0</v>
      </c>
      <c r="AH318" s="96">
        <f>IF(Z318=0,0,COUNTIFS('ITENS_MTR'!$S$6:$S$1005,A318,'ITENS_MTR'!$AM$6:$AM$1005,1))</f>
        <v>0</v>
      </c>
      <c r="AI318" s="96">
        <f>IF(Z318=0,0,COUNTIFS('ITENS_MTR'!$S$6:$S$1005,A318,'ITENS_MTR'!$AO$6:$AO$1005,1))</f>
        <v>0</v>
      </c>
      <c r="AJ318" s="96">
        <f>IF(Z318=0,0,COUNTIFS('ITENS_MTR'!$S$6:$S$1005,A318,'ITENS_MTR'!$AN$6:$AN$1005,1))</f>
        <v>0</v>
      </c>
      <c r="AK318" s="96">
        <f>IF(Z318=0,0,COUNTIFS('RECEBIMENTOS'!$B$6:$B$1005,A318,'RECEBIMENTOS'!$Y$6:$Y$1005,1))</f>
        <v>0</v>
      </c>
      <c r="AL318" s="96">
        <f>IF(Z318=0,0,COUNTIFS('VÍNCULOS_CDF'!$D$6:$D$1005,A318,'VÍNCULOS_CDF'!$Y$6:$Y$1005,1))</f>
        <v>0</v>
      </c>
      <c r="AM318" s="96">
        <f>IF(Z318=0,0,COUNTIFS('RECEBIMENTOS'!$B$6:$B$1005,A318,'RECEBIMENTOS'!$Q$6:$Q$1005,1))</f>
        <v>0</v>
      </c>
      <c r="AN318" s="96">
        <f>IF(AND(Z318=1,N(W318)&gt;0,AG318=N(W318)),1,0)</f>
        <v>0</v>
      </c>
      <c r="AO318" s="96">
        <f>IF(AND(Z318=1,N(W318)&gt;0,AI318=N(W318)),1,0)</f>
        <v>0</v>
      </c>
      <c r="AP318" s="97">
        <f>IF(Z318=0,0,_xlfn.MAXIFS('RECEBIMENTOS'!$E$6:$E$1005,'RECEBIMENTOS'!$B$6:$B$1005,A318))</f>
        <v>0</v>
      </c>
      <c r="AQ318" s="97" t="str">
        <f>IF(T318="","",IF(T318="RECEBIMENTO NÃO CONFIRMADO",IF(ISNUMBER(F318),F318,IF(ISNUMBER(E318),E318,"")),IF(OR(T318="CDF NÃO LOCALIZADO",T318="VÍNCULO INCOMPLETO",T318="CDF A CONFERIR"),IF(AP318&gt;0,AP318,IF(ISNUMBER(E318),E318,"")),IF(ISNUMBER(E318),E318,""))))</f>
        <v/>
      </c>
      <c r="AR318" s="96">
        <f>IF(NOT(ISNUMBER(U318)),0,IF(T318="RECEBIMENTO NÃO CONFIRMADO",IF(AND(ISNUMBER(cfg_rec),U318&gt;cfg_rec),1,0),IF(OR(T318="CDF NÃO LOCALIZADO",T318="VÍNCULO INCOMPLETO",T318="CDF A CONFERIR"),IF(AND(ISNUMBER(cfg_cdf),U318&gt;cfg_cdf),1,0),0)))</f>
        <v>0</v>
      </c>
      <c r="AS318" s="96" t="str">
        <f>IF(T318="","",IF(AR318=1,"Alta",IFERROR(INDEX(cfg_pp,MATCH(T318,cfg_pt,0))&amp;"","Média")))</f>
        <v/>
      </c>
      <c r="AT318" s="96" t="str">
        <f>IF(T318="","",IFERROR(INDEX(cfg_pv,MATCH(T318,cfg_pt,0))&amp;"",""))</f>
        <v/>
      </c>
      <c r="AU318" s="96" t="str">
        <f>IF(T318="","",IF(AS318="Alta",1,IF(AS318="Média",2,3))*1000000000+(999999-IF(ISNUMBER(U318),MIN(U318,999999),0))*1000+313)</f>
        <v/>
      </c>
      <c r="AV318" s="96">
        <f>IF(T318&lt;&gt;"",1,0)</f>
        <v>0</v>
      </c>
      <c r="AW318" s="96" t="str">
        <f>IF(Z318=0,"",IF(AA318=1,"Cancelamento informado; ","")&amp;IF(AE318=1,"Campos essenciais ou itens faltando; ","")&amp;IF(AC318=1,"Possível duplicidade do número; ","")&amp;IF(AD318=1,"Cadastro ou datas a revisar; ","")&amp;IF(AF318&gt;0,"Item de resíduo com dado a revisar; ","")&amp;IF(AH318&gt;0,"Diferença de quantidade a analisar; ","")&amp;IF(AK318&gt;0,"Recebimento com alerta; ","")&amp;IF(AL318&gt;0,"Vínculo de CDF com alerta; ","")&amp;IF(AND(AA318=0,AN318=0),"Recebimento não confirmado; ","")&amp;IF(AND(AA318=0,AN318=1,AO318=0),"CDF pendente ou a conferir; ",""))</f>
        <v/>
      </c>
      <c r="AX318" s="96">
        <f>IF(Z318=0,0,IF(AND(OR(f_ini="",AND(ISNUMBER(E318),E318&gt;=f_ini)),OR(f_fim="",AND(ISNUMBER(E318),E318&lt;=f_fim)),OR(f_un="",f_un="(Todas)",G318=f_un),OR(f_tr="",f_tr="(Todos)",H318=f_tr),OR(f_de="",f_de="(Todos)",I318=f_de),OR(f_sit="",f_sit="(Todas)",S318=f_sit)),1,0))</f>
        <v>0</v>
      </c>
      <c r="AY318" s="96">
        <f>IF(AX318=0,0,IF(OR(f_res="",f_res="(Todos)"),1,IF(COUNTIFS('ITENS_MTR'!$S$6:$S$1005,A318,'ITENS_MTR'!$C$6:$C$1005,f_res)&gt;0,1,0)))</f>
        <v>0</v>
      </c>
      <c r="AZ318" s="97" t="str">
        <f>IF(ISNUMBER(E318),DATE(YEAR(E318),MONTH(E318),1),"")</f>
        <v/>
      </c>
      <c r="BA318" s="96">
        <f>IF(Z318=0,0,IF(AND(OR(r_ini="",AND(ISNUMBER(E318),E318&gt;=r_ini)),OR(r_fim="",AND(ISNUMBER(E318),E318&lt;=r_fim)),OR(r_un="",r_un="(Todas)",G318=r_un),OR(r_de="",r_de="(Todos)",I318=r_de)),1,0))</f>
        <v>0</v>
      </c>
      <c r="BB318" s="96" t="str">
        <f>IF(BA318=1,COUNTIF($BA$6:BA318,1),"")</f>
        <v/>
      </c>
      <c r="BC318" s="96" t="str">
        <f>IF(AND(AU318&lt;&gt;"",OR(r_un="",r_un="(Todas)",G318=r_un),OR(r_de="",r_de="(Todos)",I318=r_de)),AU318,"")</f>
        <v/>
      </c>
      <c r="BD318" s="96" t="str">
        <f>IF(Z318=1,A318&amp;" | nº "&amp;IF(B318="","(sem número)",B318)&amp;" | "&amp;IF(G318="","(sem unidade)",G318),"")</f>
        <v/>
      </c>
      <c r="BE318" s="96" t="str">
        <f>IF(Z318=1,COUNTIF($Z$6:Z318,1),"")</f>
        <v/>
      </c>
      <c r="BF318" s="96" t="str">
        <f>IF(T318="","",IF(T318="RECEBIMENTO NÃO CONFIRMADO","Transp.: "&amp;H318&amp;" | Dest.: "&amp;I318,IF(OR(T318="CDF NÃO LOCALIZADO",T318="VÍNCULO INCOMPLETO",T318="CDF A CONFERIR"),"Dest.: "&amp;I318,"Gerador: "&amp;G318)))</f>
        <v/>
      </c>
    </row>
    <row r="319">
      <c r="A319" s="89" t="inlineStr">
        <is>
          <t>MTR-000314</t>
        </is>
      </c>
      <c r="B319" s="90" t="n"/>
      <c r="C319" s="91" t="n"/>
      <c r="D319" s="91" t="n"/>
      <c r="E319" s="92" t="n"/>
      <c r="F319" s="92" t="n"/>
      <c r="G319" s="91" t="n"/>
      <c r="H319" s="91" t="n"/>
      <c r="I319" s="91" t="n"/>
      <c r="J319" s="91" t="n"/>
      <c r="K319" s="91" t="n"/>
      <c r="L319" s="92" t="n"/>
      <c r="M319" s="91" t="n"/>
      <c r="N319" s="91" t="n"/>
      <c r="O319" s="91" t="n"/>
      <c r="P319" s="93" t="str">
        <f>IF(Z319=0,"",SUMIFS('ITENS_MTR'!$I$6:$I$1005,'ITENS_MTR'!$S$6:$S$1005,A319,'ITENS_MTR'!$Y$6:$Y$1005,1))</f>
        <v/>
      </c>
      <c r="Q319" s="93" t="str">
        <f>IF(Z319=0,"",SUMIFS('RECEBIMENTOS'!$H$6:$H$1005,'RECEBIMENTOS'!$B$6:$B$1005,A319,'RECEBIMENTOS'!$X$6:$X$1005,1))</f>
        <v/>
      </c>
      <c r="R319" s="93" t="str">
        <f>IF(Z319=0,"",SUMIFS('VÍNCULOS_CDF'!$H$6:$H$1005,'VÍNCULOS_CDF'!$D$6:$D$1005,A319,'VÍNCULOS_CDF'!$V$6:$V$1005,1))</f>
        <v/>
      </c>
      <c r="S319" s="94" t="str">
        <f>IF(Z319=0,"",IF(AA319=1,"Cancelado (informado)",IF(AE319=1,"Cadastro incompleto",IF(OR(AC319=1,AD319=1,AF319&gt;0,AH319&gt;0,AK319&gt;0,AL319&gt;0),"Informação a revisar",IF(AN319=0,"Aguardando recebimento",IF(N(R319)=0,"Aguardando CDF",IF(AJ319&lt;N(W319),"Vínculo de CDF parcial",IF(AO319=0,"CDF localizado, a conferir","Documentação conferida"))))))))</f>
        <v/>
      </c>
      <c r="T319" s="94" t="str">
        <f>IF(Z319=0,"",IF(S319="Cadastro incompleto","MTR INCOMPLETO",IF(S319="Informação a revisar",IF(AND(AH319&gt;0,AC319=0,AD319=0,AF319=0,AK319=0,AL319=0),"QUANTIDADE A REVISAR","IDENTIFICAÇÃO A REVISAR"),IF(S319="Aguardando recebimento","RECEBIMENTO NÃO CONFIRMADO",IF(S319="Aguardando CDF","CDF NÃO LOCALIZADO",IF(S319="Vínculo de CDF parcial","VÍNCULO INCOMPLETO",IF(S319="CDF localizado, a conferir","CDF A CONFERIR","")))))))</f>
        <v/>
      </c>
      <c r="U319" s="95" t="str">
        <f>IF(T319="","",IF(AQ319="","Não calculável",IF(AQ319&gt;TODAY(),"Data futura",TODAY()-AQ319)))</f>
        <v/>
      </c>
      <c r="V319" s="93" t="str">
        <f>IF(Z319=0,"",SUMIFS('RECEBIMENTOS'!$H$6:$H$1005,'RECEBIMENTOS'!$B$6:$B$1005,A319,'RECEBIMENTOS'!$Z$6:$Z$1005,1))</f>
        <v/>
      </c>
      <c r="W319" s="95" t="str">
        <f>IF(Z319=0,"",COUNTIFS('ITENS_MTR'!$S$6:$S$1005,A319,'ITENS_MTR'!$R$6:$R$1005,1))</f>
        <v/>
      </c>
      <c r="X319" s="94" t="str">
        <f>IF(AC319=1,"POSSÍVEL DUPLICIDADE","")</f>
        <v/>
      </c>
      <c r="Y319" s="94" t="str">
        <f>IF(Z319=0,"",IF(AW319="","Nenhuma",LEFT(AW319,LEN(AW319)-2)))</f>
        <v/>
      </c>
      <c r="Z319" s="96">
        <f>IF(COUNTA(B319:O319)&gt;0,1,0)</f>
        <v>0</v>
      </c>
      <c r="AA319" s="96">
        <f>IF(AND(Z319=1,K319&lt;&gt;""),IF(TRIM(K319)=TRIM(cfg_cancel),1,0),0)</f>
        <v>0</v>
      </c>
      <c r="AB319" s="96" t="str">
        <f>IF(AND(Z319=1,B319&lt;&gt;""),C319&amp;"|"&amp;D319&amp;"|"&amp;G319&amp;"|"&amp;TRIM(B319),"")</f>
        <v/>
      </c>
      <c r="AC319" s="96">
        <f>IF(AB319="",0,IF(SUMPRODUCT(--($AB$6:$AB$505=AB319))&gt;1,1,0))</f>
        <v>0</v>
      </c>
      <c r="AD319" s="96">
        <f>IF(Z319=0,0,IF(OR(AND(G319&lt;&gt;"",ISNA(MATCH(G319,'CAD_UNIDADES'!$C$6:$C$105,0))),AND(H319&lt;&gt;"",ISNA(MATCH(H319,cmp_transp,0))),AND(I319&lt;&gt;"",ISNA(MATCH(I319,cmp_dest,0))),AND(E319&lt;&gt;"",NOT(ISNUMBER(E319))),AND(F319&lt;&gt;"",NOT(ISNUMBER(F319))),AND(ISNUMBER(E319),ISNUMBER(F319),F319&lt;E319)),1,0))</f>
        <v>0</v>
      </c>
      <c r="AE319" s="96">
        <f>IF(Z319=0,0,IF(OR(B319="",C319="",E319="",G319="",H319="",I319="",N(W319)=0),1,0))</f>
        <v>0</v>
      </c>
      <c r="AF319" s="96">
        <f>IF(Z319=0,0,COUNTIFS('ITENS_MTR'!$S$6:$S$1005,A319,'ITENS_MTR'!$AI$6:$AI$1005,1))</f>
        <v>0</v>
      </c>
      <c r="AG319" s="96">
        <f>IF(Z319=0,0,COUNTIFS('ITENS_MTR'!$S$6:$S$1005,A319,'ITENS_MTR'!$AJ$6:$AJ$1005,1))</f>
        <v>0</v>
      </c>
      <c r="AH319" s="96">
        <f>IF(Z319=0,0,COUNTIFS('ITENS_MTR'!$S$6:$S$1005,A319,'ITENS_MTR'!$AM$6:$AM$1005,1))</f>
        <v>0</v>
      </c>
      <c r="AI319" s="96">
        <f>IF(Z319=0,0,COUNTIFS('ITENS_MTR'!$S$6:$S$1005,A319,'ITENS_MTR'!$AO$6:$AO$1005,1))</f>
        <v>0</v>
      </c>
      <c r="AJ319" s="96">
        <f>IF(Z319=0,0,COUNTIFS('ITENS_MTR'!$S$6:$S$1005,A319,'ITENS_MTR'!$AN$6:$AN$1005,1))</f>
        <v>0</v>
      </c>
      <c r="AK319" s="96">
        <f>IF(Z319=0,0,COUNTIFS('RECEBIMENTOS'!$B$6:$B$1005,A319,'RECEBIMENTOS'!$Y$6:$Y$1005,1))</f>
        <v>0</v>
      </c>
      <c r="AL319" s="96">
        <f>IF(Z319=0,0,COUNTIFS('VÍNCULOS_CDF'!$D$6:$D$1005,A319,'VÍNCULOS_CDF'!$Y$6:$Y$1005,1))</f>
        <v>0</v>
      </c>
      <c r="AM319" s="96">
        <f>IF(Z319=0,0,COUNTIFS('RECEBIMENTOS'!$B$6:$B$1005,A319,'RECEBIMENTOS'!$Q$6:$Q$1005,1))</f>
        <v>0</v>
      </c>
      <c r="AN319" s="96">
        <f>IF(AND(Z319=1,N(W319)&gt;0,AG319=N(W319)),1,0)</f>
        <v>0</v>
      </c>
      <c r="AO319" s="96">
        <f>IF(AND(Z319=1,N(W319)&gt;0,AI319=N(W319)),1,0)</f>
        <v>0</v>
      </c>
      <c r="AP319" s="97">
        <f>IF(Z319=0,0,_xlfn.MAXIFS('RECEBIMENTOS'!$E$6:$E$1005,'RECEBIMENTOS'!$B$6:$B$1005,A319))</f>
        <v>0</v>
      </c>
      <c r="AQ319" s="97" t="str">
        <f>IF(T319="","",IF(T319="RECEBIMENTO NÃO CONFIRMADO",IF(ISNUMBER(F319),F319,IF(ISNUMBER(E319),E319,"")),IF(OR(T319="CDF NÃO LOCALIZADO",T319="VÍNCULO INCOMPLETO",T319="CDF A CONFERIR"),IF(AP319&gt;0,AP319,IF(ISNUMBER(E319),E319,"")),IF(ISNUMBER(E319),E319,""))))</f>
        <v/>
      </c>
      <c r="AR319" s="96">
        <f>IF(NOT(ISNUMBER(U319)),0,IF(T319="RECEBIMENTO NÃO CONFIRMADO",IF(AND(ISNUMBER(cfg_rec),U319&gt;cfg_rec),1,0),IF(OR(T319="CDF NÃO LOCALIZADO",T319="VÍNCULO INCOMPLETO",T319="CDF A CONFERIR"),IF(AND(ISNUMBER(cfg_cdf),U319&gt;cfg_cdf),1,0),0)))</f>
        <v>0</v>
      </c>
      <c r="AS319" s="96" t="str">
        <f>IF(T319="","",IF(AR319=1,"Alta",IFERROR(INDEX(cfg_pp,MATCH(T319,cfg_pt,0))&amp;"","Média")))</f>
        <v/>
      </c>
      <c r="AT319" s="96" t="str">
        <f>IF(T319="","",IFERROR(INDEX(cfg_pv,MATCH(T319,cfg_pt,0))&amp;"",""))</f>
        <v/>
      </c>
      <c r="AU319" s="96" t="str">
        <f>IF(T319="","",IF(AS319="Alta",1,IF(AS319="Média",2,3))*1000000000+(999999-IF(ISNUMBER(U319),MIN(U319,999999),0))*1000+314)</f>
        <v/>
      </c>
      <c r="AV319" s="96">
        <f>IF(T319&lt;&gt;"",1,0)</f>
        <v>0</v>
      </c>
      <c r="AW319" s="96" t="str">
        <f>IF(Z319=0,"",IF(AA319=1,"Cancelamento informado; ","")&amp;IF(AE319=1,"Campos essenciais ou itens faltando; ","")&amp;IF(AC319=1,"Possível duplicidade do número; ","")&amp;IF(AD319=1,"Cadastro ou datas a revisar; ","")&amp;IF(AF319&gt;0,"Item de resíduo com dado a revisar; ","")&amp;IF(AH319&gt;0,"Diferença de quantidade a analisar; ","")&amp;IF(AK319&gt;0,"Recebimento com alerta; ","")&amp;IF(AL319&gt;0,"Vínculo de CDF com alerta; ","")&amp;IF(AND(AA319=0,AN319=0),"Recebimento não confirmado; ","")&amp;IF(AND(AA319=0,AN319=1,AO319=0),"CDF pendente ou a conferir; ",""))</f>
        <v/>
      </c>
      <c r="AX319" s="96">
        <f>IF(Z319=0,0,IF(AND(OR(f_ini="",AND(ISNUMBER(E319),E319&gt;=f_ini)),OR(f_fim="",AND(ISNUMBER(E319),E319&lt;=f_fim)),OR(f_un="",f_un="(Todas)",G319=f_un),OR(f_tr="",f_tr="(Todos)",H319=f_tr),OR(f_de="",f_de="(Todos)",I319=f_de),OR(f_sit="",f_sit="(Todas)",S319=f_sit)),1,0))</f>
        <v>0</v>
      </c>
      <c r="AY319" s="96">
        <f>IF(AX319=0,0,IF(OR(f_res="",f_res="(Todos)"),1,IF(COUNTIFS('ITENS_MTR'!$S$6:$S$1005,A319,'ITENS_MTR'!$C$6:$C$1005,f_res)&gt;0,1,0)))</f>
        <v>0</v>
      </c>
      <c r="AZ319" s="97" t="str">
        <f>IF(ISNUMBER(E319),DATE(YEAR(E319),MONTH(E319),1),"")</f>
        <v/>
      </c>
      <c r="BA319" s="96">
        <f>IF(Z319=0,0,IF(AND(OR(r_ini="",AND(ISNUMBER(E319),E319&gt;=r_ini)),OR(r_fim="",AND(ISNUMBER(E319),E319&lt;=r_fim)),OR(r_un="",r_un="(Todas)",G319=r_un),OR(r_de="",r_de="(Todos)",I319=r_de)),1,0))</f>
        <v>0</v>
      </c>
      <c r="BB319" s="96" t="str">
        <f>IF(BA319=1,COUNTIF($BA$6:BA319,1),"")</f>
        <v/>
      </c>
      <c r="BC319" s="96" t="str">
        <f>IF(AND(AU319&lt;&gt;"",OR(r_un="",r_un="(Todas)",G319=r_un),OR(r_de="",r_de="(Todos)",I319=r_de)),AU319,"")</f>
        <v/>
      </c>
      <c r="BD319" s="96" t="str">
        <f>IF(Z319=1,A319&amp;" | nº "&amp;IF(B319="","(sem número)",B319)&amp;" | "&amp;IF(G319="","(sem unidade)",G319),"")</f>
        <v/>
      </c>
      <c r="BE319" s="96" t="str">
        <f>IF(Z319=1,COUNTIF($Z$6:Z319,1),"")</f>
        <v/>
      </c>
      <c r="BF319" s="96" t="str">
        <f>IF(T319="","",IF(T319="RECEBIMENTO NÃO CONFIRMADO","Transp.: "&amp;H319&amp;" | Dest.: "&amp;I319,IF(OR(T319="CDF NÃO LOCALIZADO",T319="VÍNCULO INCOMPLETO",T319="CDF A CONFERIR"),"Dest.: "&amp;I319,"Gerador: "&amp;G319)))</f>
        <v/>
      </c>
    </row>
    <row r="320">
      <c r="A320" s="89" t="inlineStr">
        <is>
          <t>MTR-000315</t>
        </is>
      </c>
      <c r="B320" s="90" t="n"/>
      <c r="C320" s="91" t="n"/>
      <c r="D320" s="91" t="n"/>
      <c r="E320" s="92" t="n"/>
      <c r="F320" s="92" t="n"/>
      <c r="G320" s="91" t="n"/>
      <c r="H320" s="91" t="n"/>
      <c r="I320" s="91" t="n"/>
      <c r="J320" s="91" t="n"/>
      <c r="K320" s="91" t="n"/>
      <c r="L320" s="92" t="n"/>
      <c r="M320" s="91" t="n"/>
      <c r="N320" s="91" t="n"/>
      <c r="O320" s="91" t="n"/>
      <c r="P320" s="93" t="str">
        <f>IF(Z320=0,"",SUMIFS('ITENS_MTR'!$I$6:$I$1005,'ITENS_MTR'!$S$6:$S$1005,A320,'ITENS_MTR'!$Y$6:$Y$1005,1))</f>
        <v/>
      </c>
      <c r="Q320" s="93" t="str">
        <f>IF(Z320=0,"",SUMIFS('RECEBIMENTOS'!$H$6:$H$1005,'RECEBIMENTOS'!$B$6:$B$1005,A320,'RECEBIMENTOS'!$X$6:$X$1005,1))</f>
        <v/>
      </c>
      <c r="R320" s="93" t="str">
        <f>IF(Z320=0,"",SUMIFS('VÍNCULOS_CDF'!$H$6:$H$1005,'VÍNCULOS_CDF'!$D$6:$D$1005,A320,'VÍNCULOS_CDF'!$V$6:$V$1005,1))</f>
        <v/>
      </c>
      <c r="S320" s="94" t="str">
        <f>IF(Z320=0,"",IF(AA320=1,"Cancelado (informado)",IF(AE320=1,"Cadastro incompleto",IF(OR(AC320=1,AD320=1,AF320&gt;0,AH320&gt;0,AK320&gt;0,AL320&gt;0),"Informação a revisar",IF(AN320=0,"Aguardando recebimento",IF(N(R320)=0,"Aguardando CDF",IF(AJ320&lt;N(W320),"Vínculo de CDF parcial",IF(AO320=0,"CDF localizado, a conferir","Documentação conferida"))))))))</f>
        <v/>
      </c>
      <c r="T320" s="94" t="str">
        <f>IF(Z320=0,"",IF(S320="Cadastro incompleto","MTR INCOMPLETO",IF(S320="Informação a revisar",IF(AND(AH320&gt;0,AC320=0,AD320=0,AF320=0,AK320=0,AL320=0),"QUANTIDADE A REVISAR","IDENTIFICAÇÃO A REVISAR"),IF(S320="Aguardando recebimento","RECEBIMENTO NÃO CONFIRMADO",IF(S320="Aguardando CDF","CDF NÃO LOCALIZADO",IF(S320="Vínculo de CDF parcial","VÍNCULO INCOMPLETO",IF(S320="CDF localizado, a conferir","CDF A CONFERIR","")))))))</f>
        <v/>
      </c>
      <c r="U320" s="95" t="str">
        <f>IF(T320="","",IF(AQ320="","Não calculável",IF(AQ320&gt;TODAY(),"Data futura",TODAY()-AQ320)))</f>
        <v/>
      </c>
      <c r="V320" s="93" t="str">
        <f>IF(Z320=0,"",SUMIFS('RECEBIMENTOS'!$H$6:$H$1005,'RECEBIMENTOS'!$B$6:$B$1005,A320,'RECEBIMENTOS'!$Z$6:$Z$1005,1))</f>
        <v/>
      </c>
      <c r="W320" s="95" t="str">
        <f>IF(Z320=0,"",COUNTIFS('ITENS_MTR'!$S$6:$S$1005,A320,'ITENS_MTR'!$R$6:$R$1005,1))</f>
        <v/>
      </c>
      <c r="X320" s="94" t="str">
        <f>IF(AC320=1,"POSSÍVEL DUPLICIDADE","")</f>
        <v/>
      </c>
      <c r="Y320" s="94" t="str">
        <f>IF(Z320=0,"",IF(AW320="","Nenhuma",LEFT(AW320,LEN(AW320)-2)))</f>
        <v/>
      </c>
      <c r="Z320" s="96">
        <f>IF(COUNTA(B320:O320)&gt;0,1,0)</f>
        <v>0</v>
      </c>
      <c r="AA320" s="96">
        <f>IF(AND(Z320=1,K320&lt;&gt;""),IF(TRIM(K320)=TRIM(cfg_cancel),1,0),0)</f>
        <v>0</v>
      </c>
      <c r="AB320" s="96" t="str">
        <f>IF(AND(Z320=1,B320&lt;&gt;""),C320&amp;"|"&amp;D320&amp;"|"&amp;G320&amp;"|"&amp;TRIM(B320),"")</f>
        <v/>
      </c>
      <c r="AC320" s="96">
        <f>IF(AB320="",0,IF(SUMPRODUCT(--($AB$6:$AB$505=AB320))&gt;1,1,0))</f>
        <v>0</v>
      </c>
      <c r="AD320" s="96">
        <f>IF(Z320=0,0,IF(OR(AND(G320&lt;&gt;"",ISNA(MATCH(G320,'CAD_UNIDADES'!$C$6:$C$105,0))),AND(H320&lt;&gt;"",ISNA(MATCH(H320,cmp_transp,0))),AND(I320&lt;&gt;"",ISNA(MATCH(I320,cmp_dest,0))),AND(E320&lt;&gt;"",NOT(ISNUMBER(E320))),AND(F320&lt;&gt;"",NOT(ISNUMBER(F320))),AND(ISNUMBER(E320),ISNUMBER(F320),F320&lt;E320)),1,0))</f>
        <v>0</v>
      </c>
      <c r="AE320" s="96">
        <f>IF(Z320=0,0,IF(OR(B320="",C320="",E320="",G320="",H320="",I320="",N(W320)=0),1,0))</f>
        <v>0</v>
      </c>
      <c r="AF320" s="96">
        <f>IF(Z320=0,0,COUNTIFS('ITENS_MTR'!$S$6:$S$1005,A320,'ITENS_MTR'!$AI$6:$AI$1005,1))</f>
        <v>0</v>
      </c>
      <c r="AG320" s="96">
        <f>IF(Z320=0,0,COUNTIFS('ITENS_MTR'!$S$6:$S$1005,A320,'ITENS_MTR'!$AJ$6:$AJ$1005,1))</f>
        <v>0</v>
      </c>
      <c r="AH320" s="96">
        <f>IF(Z320=0,0,COUNTIFS('ITENS_MTR'!$S$6:$S$1005,A320,'ITENS_MTR'!$AM$6:$AM$1005,1))</f>
        <v>0</v>
      </c>
      <c r="AI320" s="96">
        <f>IF(Z320=0,0,COUNTIFS('ITENS_MTR'!$S$6:$S$1005,A320,'ITENS_MTR'!$AO$6:$AO$1005,1))</f>
        <v>0</v>
      </c>
      <c r="AJ320" s="96">
        <f>IF(Z320=0,0,COUNTIFS('ITENS_MTR'!$S$6:$S$1005,A320,'ITENS_MTR'!$AN$6:$AN$1005,1))</f>
        <v>0</v>
      </c>
      <c r="AK320" s="96">
        <f>IF(Z320=0,0,COUNTIFS('RECEBIMENTOS'!$B$6:$B$1005,A320,'RECEBIMENTOS'!$Y$6:$Y$1005,1))</f>
        <v>0</v>
      </c>
      <c r="AL320" s="96">
        <f>IF(Z320=0,0,COUNTIFS('VÍNCULOS_CDF'!$D$6:$D$1005,A320,'VÍNCULOS_CDF'!$Y$6:$Y$1005,1))</f>
        <v>0</v>
      </c>
      <c r="AM320" s="96">
        <f>IF(Z320=0,0,COUNTIFS('RECEBIMENTOS'!$B$6:$B$1005,A320,'RECEBIMENTOS'!$Q$6:$Q$1005,1))</f>
        <v>0</v>
      </c>
      <c r="AN320" s="96">
        <f>IF(AND(Z320=1,N(W320)&gt;0,AG320=N(W320)),1,0)</f>
        <v>0</v>
      </c>
      <c r="AO320" s="96">
        <f>IF(AND(Z320=1,N(W320)&gt;0,AI320=N(W320)),1,0)</f>
        <v>0</v>
      </c>
      <c r="AP320" s="97">
        <f>IF(Z320=0,0,_xlfn.MAXIFS('RECEBIMENTOS'!$E$6:$E$1005,'RECEBIMENTOS'!$B$6:$B$1005,A320))</f>
        <v>0</v>
      </c>
      <c r="AQ320" s="97" t="str">
        <f>IF(T320="","",IF(T320="RECEBIMENTO NÃO CONFIRMADO",IF(ISNUMBER(F320),F320,IF(ISNUMBER(E320),E320,"")),IF(OR(T320="CDF NÃO LOCALIZADO",T320="VÍNCULO INCOMPLETO",T320="CDF A CONFERIR"),IF(AP320&gt;0,AP320,IF(ISNUMBER(E320),E320,"")),IF(ISNUMBER(E320),E320,""))))</f>
        <v/>
      </c>
      <c r="AR320" s="96">
        <f>IF(NOT(ISNUMBER(U320)),0,IF(T320="RECEBIMENTO NÃO CONFIRMADO",IF(AND(ISNUMBER(cfg_rec),U320&gt;cfg_rec),1,0),IF(OR(T320="CDF NÃO LOCALIZADO",T320="VÍNCULO INCOMPLETO",T320="CDF A CONFERIR"),IF(AND(ISNUMBER(cfg_cdf),U320&gt;cfg_cdf),1,0),0)))</f>
        <v>0</v>
      </c>
      <c r="AS320" s="96" t="str">
        <f>IF(T320="","",IF(AR320=1,"Alta",IFERROR(INDEX(cfg_pp,MATCH(T320,cfg_pt,0))&amp;"","Média")))</f>
        <v/>
      </c>
      <c r="AT320" s="96" t="str">
        <f>IF(T320="","",IFERROR(INDEX(cfg_pv,MATCH(T320,cfg_pt,0))&amp;"",""))</f>
        <v/>
      </c>
      <c r="AU320" s="96" t="str">
        <f>IF(T320="","",IF(AS320="Alta",1,IF(AS320="Média",2,3))*1000000000+(999999-IF(ISNUMBER(U320),MIN(U320,999999),0))*1000+315)</f>
        <v/>
      </c>
      <c r="AV320" s="96">
        <f>IF(T320&lt;&gt;"",1,0)</f>
        <v>0</v>
      </c>
      <c r="AW320" s="96" t="str">
        <f>IF(Z320=0,"",IF(AA320=1,"Cancelamento informado; ","")&amp;IF(AE320=1,"Campos essenciais ou itens faltando; ","")&amp;IF(AC320=1,"Possível duplicidade do número; ","")&amp;IF(AD320=1,"Cadastro ou datas a revisar; ","")&amp;IF(AF320&gt;0,"Item de resíduo com dado a revisar; ","")&amp;IF(AH320&gt;0,"Diferença de quantidade a analisar; ","")&amp;IF(AK320&gt;0,"Recebimento com alerta; ","")&amp;IF(AL320&gt;0,"Vínculo de CDF com alerta; ","")&amp;IF(AND(AA320=0,AN320=0),"Recebimento não confirmado; ","")&amp;IF(AND(AA320=0,AN320=1,AO320=0),"CDF pendente ou a conferir; ",""))</f>
        <v/>
      </c>
      <c r="AX320" s="96">
        <f>IF(Z320=0,0,IF(AND(OR(f_ini="",AND(ISNUMBER(E320),E320&gt;=f_ini)),OR(f_fim="",AND(ISNUMBER(E320),E320&lt;=f_fim)),OR(f_un="",f_un="(Todas)",G320=f_un),OR(f_tr="",f_tr="(Todos)",H320=f_tr),OR(f_de="",f_de="(Todos)",I320=f_de),OR(f_sit="",f_sit="(Todas)",S320=f_sit)),1,0))</f>
        <v>0</v>
      </c>
      <c r="AY320" s="96">
        <f>IF(AX320=0,0,IF(OR(f_res="",f_res="(Todos)"),1,IF(COUNTIFS('ITENS_MTR'!$S$6:$S$1005,A320,'ITENS_MTR'!$C$6:$C$1005,f_res)&gt;0,1,0)))</f>
        <v>0</v>
      </c>
      <c r="AZ320" s="97" t="str">
        <f>IF(ISNUMBER(E320),DATE(YEAR(E320),MONTH(E320),1),"")</f>
        <v/>
      </c>
      <c r="BA320" s="96">
        <f>IF(Z320=0,0,IF(AND(OR(r_ini="",AND(ISNUMBER(E320),E320&gt;=r_ini)),OR(r_fim="",AND(ISNUMBER(E320),E320&lt;=r_fim)),OR(r_un="",r_un="(Todas)",G320=r_un),OR(r_de="",r_de="(Todos)",I320=r_de)),1,0))</f>
        <v>0</v>
      </c>
      <c r="BB320" s="96" t="str">
        <f>IF(BA320=1,COUNTIF($BA$6:BA320,1),"")</f>
        <v/>
      </c>
      <c r="BC320" s="96" t="str">
        <f>IF(AND(AU320&lt;&gt;"",OR(r_un="",r_un="(Todas)",G320=r_un),OR(r_de="",r_de="(Todos)",I320=r_de)),AU320,"")</f>
        <v/>
      </c>
      <c r="BD320" s="96" t="str">
        <f>IF(Z320=1,A320&amp;" | nº "&amp;IF(B320="","(sem número)",B320)&amp;" | "&amp;IF(G320="","(sem unidade)",G320),"")</f>
        <v/>
      </c>
      <c r="BE320" s="96" t="str">
        <f>IF(Z320=1,COUNTIF($Z$6:Z320,1),"")</f>
        <v/>
      </c>
      <c r="BF320" s="96" t="str">
        <f>IF(T320="","",IF(T320="RECEBIMENTO NÃO CONFIRMADO","Transp.: "&amp;H320&amp;" | Dest.: "&amp;I320,IF(OR(T320="CDF NÃO LOCALIZADO",T320="VÍNCULO INCOMPLETO",T320="CDF A CONFERIR"),"Dest.: "&amp;I320,"Gerador: "&amp;G320)))</f>
        <v/>
      </c>
    </row>
    <row r="321">
      <c r="A321" s="89" t="inlineStr">
        <is>
          <t>MTR-000316</t>
        </is>
      </c>
      <c r="B321" s="90" t="n"/>
      <c r="C321" s="91" t="n"/>
      <c r="D321" s="91" t="n"/>
      <c r="E321" s="92" t="n"/>
      <c r="F321" s="92" t="n"/>
      <c r="G321" s="91" t="n"/>
      <c r="H321" s="91" t="n"/>
      <c r="I321" s="91" t="n"/>
      <c r="J321" s="91" t="n"/>
      <c r="K321" s="91" t="n"/>
      <c r="L321" s="92" t="n"/>
      <c r="M321" s="91" t="n"/>
      <c r="N321" s="91" t="n"/>
      <c r="O321" s="91" t="n"/>
      <c r="P321" s="93" t="str">
        <f>IF(Z321=0,"",SUMIFS('ITENS_MTR'!$I$6:$I$1005,'ITENS_MTR'!$S$6:$S$1005,A321,'ITENS_MTR'!$Y$6:$Y$1005,1))</f>
        <v/>
      </c>
      <c r="Q321" s="93" t="str">
        <f>IF(Z321=0,"",SUMIFS('RECEBIMENTOS'!$H$6:$H$1005,'RECEBIMENTOS'!$B$6:$B$1005,A321,'RECEBIMENTOS'!$X$6:$X$1005,1))</f>
        <v/>
      </c>
      <c r="R321" s="93" t="str">
        <f>IF(Z321=0,"",SUMIFS('VÍNCULOS_CDF'!$H$6:$H$1005,'VÍNCULOS_CDF'!$D$6:$D$1005,A321,'VÍNCULOS_CDF'!$V$6:$V$1005,1))</f>
        <v/>
      </c>
      <c r="S321" s="94" t="str">
        <f>IF(Z321=0,"",IF(AA321=1,"Cancelado (informado)",IF(AE321=1,"Cadastro incompleto",IF(OR(AC321=1,AD321=1,AF321&gt;0,AH321&gt;0,AK321&gt;0,AL321&gt;0),"Informação a revisar",IF(AN321=0,"Aguardando recebimento",IF(N(R321)=0,"Aguardando CDF",IF(AJ321&lt;N(W321),"Vínculo de CDF parcial",IF(AO321=0,"CDF localizado, a conferir","Documentação conferida"))))))))</f>
        <v/>
      </c>
      <c r="T321" s="94" t="str">
        <f>IF(Z321=0,"",IF(S321="Cadastro incompleto","MTR INCOMPLETO",IF(S321="Informação a revisar",IF(AND(AH321&gt;0,AC321=0,AD321=0,AF321=0,AK321=0,AL321=0),"QUANTIDADE A REVISAR","IDENTIFICAÇÃO A REVISAR"),IF(S321="Aguardando recebimento","RECEBIMENTO NÃO CONFIRMADO",IF(S321="Aguardando CDF","CDF NÃO LOCALIZADO",IF(S321="Vínculo de CDF parcial","VÍNCULO INCOMPLETO",IF(S321="CDF localizado, a conferir","CDF A CONFERIR","")))))))</f>
        <v/>
      </c>
      <c r="U321" s="95" t="str">
        <f>IF(T321="","",IF(AQ321="","Não calculável",IF(AQ321&gt;TODAY(),"Data futura",TODAY()-AQ321)))</f>
        <v/>
      </c>
      <c r="V321" s="93" t="str">
        <f>IF(Z321=0,"",SUMIFS('RECEBIMENTOS'!$H$6:$H$1005,'RECEBIMENTOS'!$B$6:$B$1005,A321,'RECEBIMENTOS'!$Z$6:$Z$1005,1))</f>
        <v/>
      </c>
      <c r="W321" s="95" t="str">
        <f>IF(Z321=0,"",COUNTIFS('ITENS_MTR'!$S$6:$S$1005,A321,'ITENS_MTR'!$R$6:$R$1005,1))</f>
        <v/>
      </c>
      <c r="X321" s="94" t="str">
        <f>IF(AC321=1,"POSSÍVEL DUPLICIDADE","")</f>
        <v/>
      </c>
      <c r="Y321" s="94" t="str">
        <f>IF(Z321=0,"",IF(AW321="","Nenhuma",LEFT(AW321,LEN(AW321)-2)))</f>
        <v/>
      </c>
      <c r="Z321" s="96">
        <f>IF(COUNTA(B321:O321)&gt;0,1,0)</f>
        <v>0</v>
      </c>
      <c r="AA321" s="96">
        <f>IF(AND(Z321=1,K321&lt;&gt;""),IF(TRIM(K321)=TRIM(cfg_cancel),1,0),0)</f>
        <v>0</v>
      </c>
      <c r="AB321" s="96" t="str">
        <f>IF(AND(Z321=1,B321&lt;&gt;""),C321&amp;"|"&amp;D321&amp;"|"&amp;G321&amp;"|"&amp;TRIM(B321),"")</f>
        <v/>
      </c>
      <c r="AC321" s="96">
        <f>IF(AB321="",0,IF(SUMPRODUCT(--($AB$6:$AB$505=AB321))&gt;1,1,0))</f>
        <v>0</v>
      </c>
      <c r="AD321" s="96">
        <f>IF(Z321=0,0,IF(OR(AND(G321&lt;&gt;"",ISNA(MATCH(G321,'CAD_UNIDADES'!$C$6:$C$105,0))),AND(H321&lt;&gt;"",ISNA(MATCH(H321,cmp_transp,0))),AND(I321&lt;&gt;"",ISNA(MATCH(I321,cmp_dest,0))),AND(E321&lt;&gt;"",NOT(ISNUMBER(E321))),AND(F321&lt;&gt;"",NOT(ISNUMBER(F321))),AND(ISNUMBER(E321),ISNUMBER(F321),F321&lt;E321)),1,0))</f>
        <v>0</v>
      </c>
      <c r="AE321" s="96">
        <f>IF(Z321=0,0,IF(OR(B321="",C321="",E321="",G321="",H321="",I321="",N(W321)=0),1,0))</f>
        <v>0</v>
      </c>
      <c r="AF321" s="96">
        <f>IF(Z321=0,0,COUNTIFS('ITENS_MTR'!$S$6:$S$1005,A321,'ITENS_MTR'!$AI$6:$AI$1005,1))</f>
        <v>0</v>
      </c>
      <c r="AG321" s="96">
        <f>IF(Z321=0,0,COUNTIFS('ITENS_MTR'!$S$6:$S$1005,A321,'ITENS_MTR'!$AJ$6:$AJ$1005,1))</f>
        <v>0</v>
      </c>
      <c r="AH321" s="96">
        <f>IF(Z321=0,0,COUNTIFS('ITENS_MTR'!$S$6:$S$1005,A321,'ITENS_MTR'!$AM$6:$AM$1005,1))</f>
        <v>0</v>
      </c>
      <c r="AI321" s="96">
        <f>IF(Z321=0,0,COUNTIFS('ITENS_MTR'!$S$6:$S$1005,A321,'ITENS_MTR'!$AO$6:$AO$1005,1))</f>
        <v>0</v>
      </c>
      <c r="AJ321" s="96">
        <f>IF(Z321=0,0,COUNTIFS('ITENS_MTR'!$S$6:$S$1005,A321,'ITENS_MTR'!$AN$6:$AN$1005,1))</f>
        <v>0</v>
      </c>
      <c r="AK321" s="96">
        <f>IF(Z321=0,0,COUNTIFS('RECEBIMENTOS'!$B$6:$B$1005,A321,'RECEBIMENTOS'!$Y$6:$Y$1005,1))</f>
        <v>0</v>
      </c>
      <c r="AL321" s="96">
        <f>IF(Z321=0,0,COUNTIFS('VÍNCULOS_CDF'!$D$6:$D$1005,A321,'VÍNCULOS_CDF'!$Y$6:$Y$1005,1))</f>
        <v>0</v>
      </c>
      <c r="AM321" s="96">
        <f>IF(Z321=0,0,COUNTIFS('RECEBIMENTOS'!$B$6:$B$1005,A321,'RECEBIMENTOS'!$Q$6:$Q$1005,1))</f>
        <v>0</v>
      </c>
      <c r="AN321" s="96">
        <f>IF(AND(Z321=1,N(W321)&gt;0,AG321=N(W321)),1,0)</f>
        <v>0</v>
      </c>
      <c r="AO321" s="96">
        <f>IF(AND(Z321=1,N(W321)&gt;0,AI321=N(W321)),1,0)</f>
        <v>0</v>
      </c>
      <c r="AP321" s="97">
        <f>IF(Z321=0,0,_xlfn.MAXIFS('RECEBIMENTOS'!$E$6:$E$1005,'RECEBIMENTOS'!$B$6:$B$1005,A321))</f>
        <v>0</v>
      </c>
      <c r="AQ321" s="97" t="str">
        <f>IF(T321="","",IF(T321="RECEBIMENTO NÃO CONFIRMADO",IF(ISNUMBER(F321),F321,IF(ISNUMBER(E321),E321,"")),IF(OR(T321="CDF NÃO LOCALIZADO",T321="VÍNCULO INCOMPLETO",T321="CDF A CONFERIR"),IF(AP321&gt;0,AP321,IF(ISNUMBER(E321),E321,"")),IF(ISNUMBER(E321),E321,""))))</f>
        <v/>
      </c>
      <c r="AR321" s="96">
        <f>IF(NOT(ISNUMBER(U321)),0,IF(T321="RECEBIMENTO NÃO CONFIRMADO",IF(AND(ISNUMBER(cfg_rec),U321&gt;cfg_rec),1,0),IF(OR(T321="CDF NÃO LOCALIZADO",T321="VÍNCULO INCOMPLETO",T321="CDF A CONFERIR"),IF(AND(ISNUMBER(cfg_cdf),U321&gt;cfg_cdf),1,0),0)))</f>
        <v>0</v>
      </c>
      <c r="AS321" s="96" t="str">
        <f>IF(T321="","",IF(AR321=1,"Alta",IFERROR(INDEX(cfg_pp,MATCH(T321,cfg_pt,0))&amp;"","Média")))</f>
        <v/>
      </c>
      <c r="AT321" s="96" t="str">
        <f>IF(T321="","",IFERROR(INDEX(cfg_pv,MATCH(T321,cfg_pt,0))&amp;"",""))</f>
        <v/>
      </c>
      <c r="AU321" s="96" t="str">
        <f>IF(T321="","",IF(AS321="Alta",1,IF(AS321="Média",2,3))*1000000000+(999999-IF(ISNUMBER(U321),MIN(U321,999999),0))*1000+316)</f>
        <v/>
      </c>
      <c r="AV321" s="96">
        <f>IF(T321&lt;&gt;"",1,0)</f>
        <v>0</v>
      </c>
      <c r="AW321" s="96" t="str">
        <f>IF(Z321=0,"",IF(AA321=1,"Cancelamento informado; ","")&amp;IF(AE321=1,"Campos essenciais ou itens faltando; ","")&amp;IF(AC321=1,"Possível duplicidade do número; ","")&amp;IF(AD321=1,"Cadastro ou datas a revisar; ","")&amp;IF(AF321&gt;0,"Item de resíduo com dado a revisar; ","")&amp;IF(AH321&gt;0,"Diferença de quantidade a analisar; ","")&amp;IF(AK321&gt;0,"Recebimento com alerta; ","")&amp;IF(AL321&gt;0,"Vínculo de CDF com alerta; ","")&amp;IF(AND(AA321=0,AN321=0),"Recebimento não confirmado; ","")&amp;IF(AND(AA321=0,AN321=1,AO321=0),"CDF pendente ou a conferir; ",""))</f>
        <v/>
      </c>
      <c r="AX321" s="96">
        <f>IF(Z321=0,0,IF(AND(OR(f_ini="",AND(ISNUMBER(E321),E321&gt;=f_ini)),OR(f_fim="",AND(ISNUMBER(E321),E321&lt;=f_fim)),OR(f_un="",f_un="(Todas)",G321=f_un),OR(f_tr="",f_tr="(Todos)",H321=f_tr),OR(f_de="",f_de="(Todos)",I321=f_de),OR(f_sit="",f_sit="(Todas)",S321=f_sit)),1,0))</f>
        <v>0</v>
      </c>
      <c r="AY321" s="96">
        <f>IF(AX321=0,0,IF(OR(f_res="",f_res="(Todos)"),1,IF(COUNTIFS('ITENS_MTR'!$S$6:$S$1005,A321,'ITENS_MTR'!$C$6:$C$1005,f_res)&gt;0,1,0)))</f>
        <v>0</v>
      </c>
      <c r="AZ321" s="97" t="str">
        <f>IF(ISNUMBER(E321),DATE(YEAR(E321),MONTH(E321),1),"")</f>
        <v/>
      </c>
      <c r="BA321" s="96">
        <f>IF(Z321=0,0,IF(AND(OR(r_ini="",AND(ISNUMBER(E321),E321&gt;=r_ini)),OR(r_fim="",AND(ISNUMBER(E321),E321&lt;=r_fim)),OR(r_un="",r_un="(Todas)",G321=r_un),OR(r_de="",r_de="(Todos)",I321=r_de)),1,0))</f>
        <v>0</v>
      </c>
      <c r="BB321" s="96" t="str">
        <f>IF(BA321=1,COUNTIF($BA$6:BA321,1),"")</f>
        <v/>
      </c>
      <c r="BC321" s="96" t="str">
        <f>IF(AND(AU321&lt;&gt;"",OR(r_un="",r_un="(Todas)",G321=r_un),OR(r_de="",r_de="(Todos)",I321=r_de)),AU321,"")</f>
        <v/>
      </c>
      <c r="BD321" s="96" t="str">
        <f>IF(Z321=1,A321&amp;" | nº "&amp;IF(B321="","(sem número)",B321)&amp;" | "&amp;IF(G321="","(sem unidade)",G321),"")</f>
        <v/>
      </c>
      <c r="BE321" s="96" t="str">
        <f>IF(Z321=1,COUNTIF($Z$6:Z321,1),"")</f>
        <v/>
      </c>
      <c r="BF321" s="96" t="str">
        <f>IF(T321="","",IF(T321="RECEBIMENTO NÃO CONFIRMADO","Transp.: "&amp;H321&amp;" | Dest.: "&amp;I321,IF(OR(T321="CDF NÃO LOCALIZADO",T321="VÍNCULO INCOMPLETO",T321="CDF A CONFERIR"),"Dest.: "&amp;I321,"Gerador: "&amp;G321)))</f>
        <v/>
      </c>
    </row>
    <row r="322">
      <c r="A322" s="89" t="inlineStr">
        <is>
          <t>MTR-000317</t>
        </is>
      </c>
      <c r="B322" s="90" t="n"/>
      <c r="C322" s="91" t="n"/>
      <c r="D322" s="91" t="n"/>
      <c r="E322" s="92" t="n"/>
      <c r="F322" s="92" t="n"/>
      <c r="G322" s="91" t="n"/>
      <c r="H322" s="91" t="n"/>
      <c r="I322" s="91" t="n"/>
      <c r="J322" s="91" t="n"/>
      <c r="K322" s="91" t="n"/>
      <c r="L322" s="92" t="n"/>
      <c r="M322" s="91" t="n"/>
      <c r="N322" s="91" t="n"/>
      <c r="O322" s="91" t="n"/>
      <c r="P322" s="93" t="str">
        <f>IF(Z322=0,"",SUMIFS('ITENS_MTR'!$I$6:$I$1005,'ITENS_MTR'!$S$6:$S$1005,A322,'ITENS_MTR'!$Y$6:$Y$1005,1))</f>
        <v/>
      </c>
      <c r="Q322" s="93" t="str">
        <f>IF(Z322=0,"",SUMIFS('RECEBIMENTOS'!$H$6:$H$1005,'RECEBIMENTOS'!$B$6:$B$1005,A322,'RECEBIMENTOS'!$X$6:$X$1005,1))</f>
        <v/>
      </c>
      <c r="R322" s="93" t="str">
        <f>IF(Z322=0,"",SUMIFS('VÍNCULOS_CDF'!$H$6:$H$1005,'VÍNCULOS_CDF'!$D$6:$D$1005,A322,'VÍNCULOS_CDF'!$V$6:$V$1005,1))</f>
        <v/>
      </c>
      <c r="S322" s="94" t="str">
        <f>IF(Z322=0,"",IF(AA322=1,"Cancelado (informado)",IF(AE322=1,"Cadastro incompleto",IF(OR(AC322=1,AD322=1,AF322&gt;0,AH322&gt;0,AK322&gt;0,AL322&gt;0),"Informação a revisar",IF(AN322=0,"Aguardando recebimento",IF(N(R322)=0,"Aguardando CDF",IF(AJ322&lt;N(W322),"Vínculo de CDF parcial",IF(AO322=0,"CDF localizado, a conferir","Documentação conferida"))))))))</f>
        <v/>
      </c>
      <c r="T322" s="94" t="str">
        <f>IF(Z322=0,"",IF(S322="Cadastro incompleto","MTR INCOMPLETO",IF(S322="Informação a revisar",IF(AND(AH322&gt;0,AC322=0,AD322=0,AF322=0,AK322=0,AL322=0),"QUANTIDADE A REVISAR","IDENTIFICAÇÃO A REVISAR"),IF(S322="Aguardando recebimento","RECEBIMENTO NÃO CONFIRMADO",IF(S322="Aguardando CDF","CDF NÃO LOCALIZADO",IF(S322="Vínculo de CDF parcial","VÍNCULO INCOMPLETO",IF(S322="CDF localizado, a conferir","CDF A CONFERIR","")))))))</f>
        <v/>
      </c>
      <c r="U322" s="95" t="str">
        <f>IF(T322="","",IF(AQ322="","Não calculável",IF(AQ322&gt;TODAY(),"Data futura",TODAY()-AQ322)))</f>
        <v/>
      </c>
      <c r="V322" s="93" t="str">
        <f>IF(Z322=0,"",SUMIFS('RECEBIMENTOS'!$H$6:$H$1005,'RECEBIMENTOS'!$B$6:$B$1005,A322,'RECEBIMENTOS'!$Z$6:$Z$1005,1))</f>
        <v/>
      </c>
      <c r="W322" s="95" t="str">
        <f>IF(Z322=0,"",COUNTIFS('ITENS_MTR'!$S$6:$S$1005,A322,'ITENS_MTR'!$R$6:$R$1005,1))</f>
        <v/>
      </c>
      <c r="X322" s="94" t="str">
        <f>IF(AC322=1,"POSSÍVEL DUPLICIDADE","")</f>
        <v/>
      </c>
      <c r="Y322" s="94" t="str">
        <f>IF(Z322=0,"",IF(AW322="","Nenhuma",LEFT(AW322,LEN(AW322)-2)))</f>
        <v/>
      </c>
      <c r="Z322" s="96">
        <f>IF(COUNTA(B322:O322)&gt;0,1,0)</f>
        <v>0</v>
      </c>
      <c r="AA322" s="96">
        <f>IF(AND(Z322=1,K322&lt;&gt;""),IF(TRIM(K322)=TRIM(cfg_cancel),1,0),0)</f>
        <v>0</v>
      </c>
      <c r="AB322" s="96" t="str">
        <f>IF(AND(Z322=1,B322&lt;&gt;""),C322&amp;"|"&amp;D322&amp;"|"&amp;G322&amp;"|"&amp;TRIM(B322),"")</f>
        <v/>
      </c>
      <c r="AC322" s="96">
        <f>IF(AB322="",0,IF(SUMPRODUCT(--($AB$6:$AB$505=AB322))&gt;1,1,0))</f>
        <v>0</v>
      </c>
      <c r="AD322" s="96">
        <f>IF(Z322=0,0,IF(OR(AND(G322&lt;&gt;"",ISNA(MATCH(G322,'CAD_UNIDADES'!$C$6:$C$105,0))),AND(H322&lt;&gt;"",ISNA(MATCH(H322,cmp_transp,0))),AND(I322&lt;&gt;"",ISNA(MATCH(I322,cmp_dest,0))),AND(E322&lt;&gt;"",NOT(ISNUMBER(E322))),AND(F322&lt;&gt;"",NOT(ISNUMBER(F322))),AND(ISNUMBER(E322),ISNUMBER(F322),F322&lt;E322)),1,0))</f>
        <v>0</v>
      </c>
      <c r="AE322" s="96">
        <f>IF(Z322=0,0,IF(OR(B322="",C322="",E322="",G322="",H322="",I322="",N(W322)=0),1,0))</f>
        <v>0</v>
      </c>
      <c r="AF322" s="96">
        <f>IF(Z322=0,0,COUNTIFS('ITENS_MTR'!$S$6:$S$1005,A322,'ITENS_MTR'!$AI$6:$AI$1005,1))</f>
        <v>0</v>
      </c>
      <c r="AG322" s="96">
        <f>IF(Z322=0,0,COUNTIFS('ITENS_MTR'!$S$6:$S$1005,A322,'ITENS_MTR'!$AJ$6:$AJ$1005,1))</f>
        <v>0</v>
      </c>
      <c r="AH322" s="96">
        <f>IF(Z322=0,0,COUNTIFS('ITENS_MTR'!$S$6:$S$1005,A322,'ITENS_MTR'!$AM$6:$AM$1005,1))</f>
        <v>0</v>
      </c>
      <c r="AI322" s="96">
        <f>IF(Z322=0,0,COUNTIFS('ITENS_MTR'!$S$6:$S$1005,A322,'ITENS_MTR'!$AO$6:$AO$1005,1))</f>
        <v>0</v>
      </c>
      <c r="AJ322" s="96">
        <f>IF(Z322=0,0,COUNTIFS('ITENS_MTR'!$S$6:$S$1005,A322,'ITENS_MTR'!$AN$6:$AN$1005,1))</f>
        <v>0</v>
      </c>
      <c r="AK322" s="96">
        <f>IF(Z322=0,0,COUNTIFS('RECEBIMENTOS'!$B$6:$B$1005,A322,'RECEBIMENTOS'!$Y$6:$Y$1005,1))</f>
        <v>0</v>
      </c>
      <c r="AL322" s="96">
        <f>IF(Z322=0,0,COUNTIFS('VÍNCULOS_CDF'!$D$6:$D$1005,A322,'VÍNCULOS_CDF'!$Y$6:$Y$1005,1))</f>
        <v>0</v>
      </c>
      <c r="AM322" s="96">
        <f>IF(Z322=0,0,COUNTIFS('RECEBIMENTOS'!$B$6:$B$1005,A322,'RECEBIMENTOS'!$Q$6:$Q$1005,1))</f>
        <v>0</v>
      </c>
      <c r="AN322" s="96">
        <f>IF(AND(Z322=1,N(W322)&gt;0,AG322=N(W322)),1,0)</f>
        <v>0</v>
      </c>
      <c r="AO322" s="96">
        <f>IF(AND(Z322=1,N(W322)&gt;0,AI322=N(W322)),1,0)</f>
        <v>0</v>
      </c>
      <c r="AP322" s="97">
        <f>IF(Z322=0,0,_xlfn.MAXIFS('RECEBIMENTOS'!$E$6:$E$1005,'RECEBIMENTOS'!$B$6:$B$1005,A322))</f>
        <v>0</v>
      </c>
      <c r="AQ322" s="97" t="str">
        <f>IF(T322="","",IF(T322="RECEBIMENTO NÃO CONFIRMADO",IF(ISNUMBER(F322),F322,IF(ISNUMBER(E322),E322,"")),IF(OR(T322="CDF NÃO LOCALIZADO",T322="VÍNCULO INCOMPLETO",T322="CDF A CONFERIR"),IF(AP322&gt;0,AP322,IF(ISNUMBER(E322),E322,"")),IF(ISNUMBER(E322),E322,""))))</f>
        <v/>
      </c>
      <c r="AR322" s="96">
        <f>IF(NOT(ISNUMBER(U322)),0,IF(T322="RECEBIMENTO NÃO CONFIRMADO",IF(AND(ISNUMBER(cfg_rec),U322&gt;cfg_rec),1,0),IF(OR(T322="CDF NÃO LOCALIZADO",T322="VÍNCULO INCOMPLETO",T322="CDF A CONFERIR"),IF(AND(ISNUMBER(cfg_cdf),U322&gt;cfg_cdf),1,0),0)))</f>
        <v>0</v>
      </c>
      <c r="AS322" s="96" t="str">
        <f>IF(T322="","",IF(AR322=1,"Alta",IFERROR(INDEX(cfg_pp,MATCH(T322,cfg_pt,0))&amp;"","Média")))</f>
        <v/>
      </c>
      <c r="AT322" s="96" t="str">
        <f>IF(T322="","",IFERROR(INDEX(cfg_pv,MATCH(T322,cfg_pt,0))&amp;"",""))</f>
        <v/>
      </c>
      <c r="AU322" s="96" t="str">
        <f>IF(T322="","",IF(AS322="Alta",1,IF(AS322="Média",2,3))*1000000000+(999999-IF(ISNUMBER(U322),MIN(U322,999999),0))*1000+317)</f>
        <v/>
      </c>
      <c r="AV322" s="96">
        <f>IF(T322&lt;&gt;"",1,0)</f>
        <v>0</v>
      </c>
      <c r="AW322" s="96" t="str">
        <f>IF(Z322=0,"",IF(AA322=1,"Cancelamento informado; ","")&amp;IF(AE322=1,"Campos essenciais ou itens faltando; ","")&amp;IF(AC322=1,"Possível duplicidade do número; ","")&amp;IF(AD322=1,"Cadastro ou datas a revisar; ","")&amp;IF(AF322&gt;0,"Item de resíduo com dado a revisar; ","")&amp;IF(AH322&gt;0,"Diferença de quantidade a analisar; ","")&amp;IF(AK322&gt;0,"Recebimento com alerta; ","")&amp;IF(AL322&gt;0,"Vínculo de CDF com alerta; ","")&amp;IF(AND(AA322=0,AN322=0),"Recebimento não confirmado; ","")&amp;IF(AND(AA322=0,AN322=1,AO322=0),"CDF pendente ou a conferir; ",""))</f>
        <v/>
      </c>
      <c r="AX322" s="96">
        <f>IF(Z322=0,0,IF(AND(OR(f_ini="",AND(ISNUMBER(E322),E322&gt;=f_ini)),OR(f_fim="",AND(ISNUMBER(E322),E322&lt;=f_fim)),OR(f_un="",f_un="(Todas)",G322=f_un),OR(f_tr="",f_tr="(Todos)",H322=f_tr),OR(f_de="",f_de="(Todos)",I322=f_de),OR(f_sit="",f_sit="(Todas)",S322=f_sit)),1,0))</f>
        <v>0</v>
      </c>
      <c r="AY322" s="96">
        <f>IF(AX322=0,0,IF(OR(f_res="",f_res="(Todos)"),1,IF(COUNTIFS('ITENS_MTR'!$S$6:$S$1005,A322,'ITENS_MTR'!$C$6:$C$1005,f_res)&gt;0,1,0)))</f>
        <v>0</v>
      </c>
      <c r="AZ322" s="97" t="str">
        <f>IF(ISNUMBER(E322),DATE(YEAR(E322),MONTH(E322),1),"")</f>
        <v/>
      </c>
      <c r="BA322" s="96">
        <f>IF(Z322=0,0,IF(AND(OR(r_ini="",AND(ISNUMBER(E322),E322&gt;=r_ini)),OR(r_fim="",AND(ISNUMBER(E322),E322&lt;=r_fim)),OR(r_un="",r_un="(Todas)",G322=r_un),OR(r_de="",r_de="(Todos)",I322=r_de)),1,0))</f>
        <v>0</v>
      </c>
      <c r="BB322" s="96" t="str">
        <f>IF(BA322=1,COUNTIF($BA$6:BA322,1),"")</f>
        <v/>
      </c>
      <c r="BC322" s="96" t="str">
        <f>IF(AND(AU322&lt;&gt;"",OR(r_un="",r_un="(Todas)",G322=r_un),OR(r_de="",r_de="(Todos)",I322=r_de)),AU322,"")</f>
        <v/>
      </c>
      <c r="BD322" s="96" t="str">
        <f>IF(Z322=1,A322&amp;" | nº "&amp;IF(B322="","(sem número)",B322)&amp;" | "&amp;IF(G322="","(sem unidade)",G322),"")</f>
        <v/>
      </c>
      <c r="BE322" s="96" t="str">
        <f>IF(Z322=1,COUNTIF($Z$6:Z322,1),"")</f>
        <v/>
      </c>
      <c r="BF322" s="96" t="str">
        <f>IF(T322="","",IF(T322="RECEBIMENTO NÃO CONFIRMADO","Transp.: "&amp;H322&amp;" | Dest.: "&amp;I322,IF(OR(T322="CDF NÃO LOCALIZADO",T322="VÍNCULO INCOMPLETO",T322="CDF A CONFERIR"),"Dest.: "&amp;I322,"Gerador: "&amp;G322)))</f>
        <v/>
      </c>
    </row>
    <row r="323">
      <c r="A323" s="89" t="inlineStr">
        <is>
          <t>MTR-000318</t>
        </is>
      </c>
      <c r="B323" s="90" t="n"/>
      <c r="C323" s="91" t="n"/>
      <c r="D323" s="91" t="n"/>
      <c r="E323" s="92" t="n"/>
      <c r="F323" s="92" t="n"/>
      <c r="G323" s="91" t="n"/>
      <c r="H323" s="91" t="n"/>
      <c r="I323" s="91" t="n"/>
      <c r="J323" s="91" t="n"/>
      <c r="K323" s="91" t="n"/>
      <c r="L323" s="92" t="n"/>
      <c r="M323" s="91" t="n"/>
      <c r="N323" s="91" t="n"/>
      <c r="O323" s="91" t="n"/>
      <c r="P323" s="93" t="str">
        <f>IF(Z323=0,"",SUMIFS('ITENS_MTR'!$I$6:$I$1005,'ITENS_MTR'!$S$6:$S$1005,A323,'ITENS_MTR'!$Y$6:$Y$1005,1))</f>
        <v/>
      </c>
      <c r="Q323" s="93" t="str">
        <f>IF(Z323=0,"",SUMIFS('RECEBIMENTOS'!$H$6:$H$1005,'RECEBIMENTOS'!$B$6:$B$1005,A323,'RECEBIMENTOS'!$X$6:$X$1005,1))</f>
        <v/>
      </c>
      <c r="R323" s="93" t="str">
        <f>IF(Z323=0,"",SUMIFS('VÍNCULOS_CDF'!$H$6:$H$1005,'VÍNCULOS_CDF'!$D$6:$D$1005,A323,'VÍNCULOS_CDF'!$V$6:$V$1005,1))</f>
        <v/>
      </c>
      <c r="S323" s="94" t="str">
        <f>IF(Z323=0,"",IF(AA323=1,"Cancelado (informado)",IF(AE323=1,"Cadastro incompleto",IF(OR(AC323=1,AD323=1,AF323&gt;0,AH323&gt;0,AK323&gt;0,AL323&gt;0),"Informação a revisar",IF(AN323=0,"Aguardando recebimento",IF(N(R323)=0,"Aguardando CDF",IF(AJ323&lt;N(W323),"Vínculo de CDF parcial",IF(AO323=0,"CDF localizado, a conferir","Documentação conferida"))))))))</f>
        <v/>
      </c>
      <c r="T323" s="94" t="str">
        <f>IF(Z323=0,"",IF(S323="Cadastro incompleto","MTR INCOMPLETO",IF(S323="Informação a revisar",IF(AND(AH323&gt;0,AC323=0,AD323=0,AF323=0,AK323=0,AL323=0),"QUANTIDADE A REVISAR","IDENTIFICAÇÃO A REVISAR"),IF(S323="Aguardando recebimento","RECEBIMENTO NÃO CONFIRMADO",IF(S323="Aguardando CDF","CDF NÃO LOCALIZADO",IF(S323="Vínculo de CDF parcial","VÍNCULO INCOMPLETO",IF(S323="CDF localizado, a conferir","CDF A CONFERIR","")))))))</f>
        <v/>
      </c>
      <c r="U323" s="95" t="str">
        <f>IF(T323="","",IF(AQ323="","Não calculável",IF(AQ323&gt;TODAY(),"Data futura",TODAY()-AQ323)))</f>
        <v/>
      </c>
      <c r="V323" s="93" t="str">
        <f>IF(Z323=0,"",SUMIFS('RECEBIMENTOS'!$H$6:$H$1005,'RECEBIMENTOS'!$B$6:$B$1005,A323,'RECEBIMENTOS'!$Z$6:$Z$1005,1))</f>
        <v/>
      </c>
      <c r="W323" s="95" t="str">
        <f>IF(Z323=0,"",COUNTIFS('ITENS_MTR'!$S$6:$S$1005,A323,'ITENS_MTR'!$R$6:$R$1005,1))</f>
        <v/>
      </c>
      <c r="X323" s="94" t="str">
        <f>IF(AC323=1,"POSSÍVEL DUPLICIDADE","")</f>
        <v/>
      </c>
      <c r="Y323" s="94" t="str">
        <f>IF(Z323=0,"",IF(AW323="","Nenhuma",LEFT(AW323,LEN(AW323)-2)))</f>
        <v/>
      </c>
      <c r="Z323" s="96">
        <f>IF(COUNTA(B323:O323)&gt;0,1,0)</f>
        <v>0</v>
      </c>
      <c r="AA323" s="96">
        <f>IF(AND(Z323=1,K323&lt;&gt;""),IF(TRIM(K323)=TRIM(cfg_cancel),1,0),0)</f>
        <v>0</v>
      </c>
      <c r="AB323" s="96" t="str">
        <f>IF(AND(Z323=1,B323&lt;&gt;""),C323&amp;"|"&amp;D323&amp;"|"&amp;G323&amp;"|"&amp;TRIM(B323),"")</f>
        <v/>
      </c>
      <c r="AC323" s="96">
        <f>IF(AB323="",0,IF(SUMPRODUCT(--($AB$6:$AB$505=AB323))&gt;1,1,0))</f>
        <v>0</v>
      </c>
      <c r="AD323" s="96">
        <f>IF(Z323=0,0,IF(OR(AND(G323&lt;&gt;"",ISNA(MATCH(G323,'CAD_UNIDADES'!$C$6:$C$105,0))),AND(H323&lt;&gt;"",ISNA(MATCH(H323,cmp_transp,0))),AND(I323&lt;&gt;"",ISNA(MATCH(I323,cmp_dest,0))),AND(E323&lt;&gt;"",NOT(ISNUMBER(E323))),AND(F323&lt;&gt;"",NOT(ISNUMBER(F323))),AND(ISNUMBER(E323),ISNUMBER(F323),F323&lt;E323)),1,0))</f>
        <v>0</v>
      </c>
      <c r="AE323" s="96">
        <f>IF(Z323=0,0,IF(OR(B323="",C323="",E323="",G323="",H323="",I323="",N(W323)=0),1,0))</f>
        <v>0</v>
      </c>
      <c r="AF323" s="96">
        <f>IF(Z323=0,0,COUNTIFS('ITENS_MTR'!$S$6:$S$1005,A323,'ITENS_MTR'!$AI$6:$AI$1005,1))</f>
        <v>0</v>
      </c>
      <c r="AG323" s="96">
        <f>IF(Z323=0,0,COUNTIFS('ITENS_MTR'!$S$6:$S$1005,A323,'ITENS_MTR'!$AJ$6:$AJ$1005,1))</f>
        <v>0</v>
      </c>
      <c r="AH323" s="96">
        <f>IF(Z323=0,0,COUNTIFS('ITENS_MTR'!$S$6:$S$1005,A323,'ITENS_MTR'!$AM$6:$AM$1005,1))</f>
        <v>0</v>
      </c>
      <c r="AI323" s="96">
        <f>IF(Z323=0,0,COUNTIFS('ITENS_MTR'!$S$6:$S$1005,A323,'ITENS_MTR'!$AO$6:$AO$1005,1))</f>
        <v>0</v>
      </c>
      <c r="AJ323" s="96">
        <f>IF(Z323=0,0,COUNTIFS('ITENS_MTR'!$S$6:$S$1005,A323,'ITENS_MTR'!$AN$6:$AN$1005,1))</f>
        <v>0</v>
      </c>
      <c r="AK323" s="96">
        <f>IF(Z323=0,0,COUNTIFS('RECEBIMENTOS'!$B$6:$B$1005,A323,'RECEBIMENTOS'!$Y$6:$Y$1005,1))</f>
        <v>0</v>
      </c>
      <c r="AL323" s="96">
        <f>IF(Z323=0,0,COUNTIFS('VÍNCULOS_CDF'!$D$6:$D$1005,A323,'VÍNCULOS_CDF'!$Y$6:$Y$1005,1))</f>
        <v>0</v>
      </c>
      <c r="AM323" s="96">
        <f>IF(Z323=0,0,COUNTIFS('RECEBIMENTOS'!$B$6:$B$1005,A323,'RECEBIMENTOS'!$Q$6:$Q$1005,1))</f>
        <v>0</v>
      </c>
      <c r="AN323" s="96">
        <f>IF(AND(Z323=1,N(W323)&gt;0,AG323=N(W323)),1,0)</f>
        <v>0</v>
      </c>
      <c r="AO323" s="96">
        <f>IF(AND(Z323=1,N(W323)&gt;0,AI323=N(W323)),1,0)</f>
        <v>0</v>
      </c>
      <c r="AP323" s="97">
        <f>IF(Z323=0,0,_xlfn.MAXIFS('RECEBIMENTOS'!$E$6:$E$1005,'RECEBIMENTOS'!$B$6:$B$1005,A323))</f>
        <v>0</v>
      </c>
      <c r="AQ323" s="97" t="str">
        <f>IF(T323="","",IF(T323="RECEBIMENTO NÃO CONFIRMADO",IF(ISNUMBER(F323),F323,IF(ISNUMBER(E323),E323,"")),IF(OR(T323="CDF NÃO LOCALIZADO",T323="VÍNCULO INCOMPLETO",T323="CDF A CONFERIR"),IF(AP323&gt;0,AP323,IF(ISNUMBER(E323),E323,"")),IF(ISNUMBER(E323),E323,""))))</f>
        <v/>
      </c>
      <c r="AR323" s="96">
        <f>IF(NOT(ISNUMBER(U323)),0,IF(T323="RECEBIMENTO NÃO CONFIRMADO",IF(AND(ISNUMBER(cfg_rec),U323&gt;cfg_rec),1,0),IF(OR(T323="CDF NÃO LOCALIZADO",T323="VÍNCULO INCOMPLETO",T323="CDF A CONFERIR"),IF(AND(ISNUMBER(cfg_cdf),U323&gt;cfg_cdf),1,0),0)))</f>
        <v>0</v>
      </c>
      <c r="AS323" s="96" t="str">
        <f>IF(T323="","",IF(AR323=1,"Alta",IFERROR(INDEX(cfg_pp,MATCH(T323,cfg_pt,0))&amp;"","Média")))</f>
        <v/>
      </c>
      <c r="AT323" s="96" t="str">
        <f>IF(T323="","",IFERROR(INDEX(cfg_pv,MATCH(T323,cfg_pt,0))&amp;"",""))</f>
        <v/>
      </c>
      <c r="AU323" s="96" t="str">
        <f>IF(T323="","",IF(AS323="Alta",1,IF(AS323="Média",2,3))*1000000000+(999999-IF(ISNUMBER(U323),MIN(U323,999999),0))*1000+318)</f>
        <v/>
      </c>
      <c r="AV323" s="96">
        <f>IF(T323&lt;&gt;"",1,0)</f>
        <v>0</v>
      </c>
      <c r="AW323" s="96" t="str">
        <f>IF(Z323=0,"",IF(AA323=1,"Cancelamento informado; ","")&amp;IF(AE323=1,"Campos essenciais ou itens faltando; ","")&amp;IF(AC323=1,"Possível duplicidade do número; ","")&amp;IF(AD323=1,"Cadastro ou datas a revisar; ","")&amp;IF(AF323&gt;0,"Item de resíduo com dado a revisar; ","")&amp;IF(AH323&gt;0,"Diferença de quantidade a analisar; ","")&amp;IF(AK323&gt;0,"Recebimento com alerta; ","")&amp;IF(AL323&gt;0,"Vínculo de CDF com alerta; ","")&amp;IF(AND(AA323=0,AN323=0),"Recebimento não confirmado; ","")&amp;IF(AND(AA323=0,AN323=1,AO323=0),"CDF pendente ou a conferir; ",""))</f>
        <v/>
      </c>
      <c r="AX323" s="96">
        <f>IF(Z323=0,0,IF(AND(OR(f_ini="",AND(ISNUMBER(E323),E323&gt;=f_ini)),OR(f_fim="",AND(ISNUMBER(E323),E323&lt;=f_fim)),OR(f_un="",f_un="(Todas)",G323=f_un),OR(f_tr="",f_tr="(Todos)",H323=f_tr),OR(f_de="",f_de="(Todos)",I323=f_de),OR(f_sit="",f_sit="(Todas)",S323=f_sit)),1,0))</f>
        <v>0</v>
      </c>
      <c r="AY323" s="96">
        <f>IF(AX323=0,0,IF(OR(f_res="",f_res="(Todos)"),1,IF(COUNTIFS('ITENS_MTR'!$S$6:$S$1005,A323,'ITENS_MTR'!$C$6:$C$1005,f_res)&gt;0,1,0)))</f>
        <v>0</v>
      </c>
      <c r="AZ323" s="97" t="str">
        <f>IF(ISNUMBER(E323),DATE(YEAR(E323),MONTH(E323),1),"")</f>
        <v/>
      </c>
      <c r="BA323" s="96">
        <f>IF(Z323=0,0,IF(AND(OR(r_ini="",AND(ISNUMBER(E323),E323&gt;=r_ini)),OR(r_fim="",AND(ISNUMBER(E323),E323&lt;=r_fim)),OR(r_un="",r_un="(Todas)",G323=r_un),OR(r_de="",r_de="(Todos)",I323=r_de)),1,0))</f>
        <v>0</v>
      </c>
      <c r="BB323" s="96" t="str">
        <f>IF(BA323=1,COUNTIF($BA$6:BA323,1),"")</f>
        <v/>
      </c>
      <c r="BC323" s="96" t="str">
        <f>IF(AND(AU323&lt;&gt;"",OR(r_un="",r_un="(Todas)",G323=r_un),OR(r_de="",r_de="(Todos)",I323=r_de)),AU323,"")</f>
        <v/>
      </c>
      <c r="BD323" s="96" t="str">
        <f>IF(Z323=1,A323&amp;" | nº "&amp;IF(B323="","(sem número)",B323)&amp;" | "&amp;IF(G323="","(sem unidade)",G323),"")</f>
        <v/>
      </c>
      <c r="BE323" s="96" t="str">
        <f>IF(Z323=1,COUNTIF($Z$6:Z323,1),"")</f>
        <v/>
      </c>
      <c r="BF323" s="96" t="str">
        <f>IF(T323="","",IF(T323="RECEBIMENTO NÃO CONFIRMADO","Transp.: "&amp;H323&amp;" | Dest.: "&amp;I323,IF(OR(T323="CDF NÃO LOCALIZADO",T323="VÍNCULO INCOMPLETO",T323="CDF A CONFERIR"),"Dest.: "&amp;I323,"Gerador: "&amp;G323)))</f>
        <v/>
      </c>
    </row>
    <row r="324">
      <c r="A324" s="89" t="inlineStr">
        <is>
          <t>MTR-000319</t>
        </is>
      </c>
      <c r="B324" s="90" t="n"/>
      <c r="C324" s="91" t="n"/>
      <c r="D324" s="91" t="n"/>
      <c r="E324" s="92" t="n"/>
      <c r="F324" s="92" t="n"/>
      <c r="G324" s="91" t="n"/>
      <c r="H324" s="91" t="n"/>
      <c r="I324" s="91" t="n"/>
      <c r="J324" s="91" t="n"/>
      <c r="K324" s="91" t="n"/>
      <c r="L324" s="92" t="n"/>
      <c r="M324" s="91" t="n"/>
      <c r="N324" s="91" t="n"/>
      <c r="O324" s="91" t="n"/>
      <c r="P324" s="93" t="str">
        <f>IF(Z324=0,"",SUMIFS('ITENS_MTR'!$I$6:$I$1005,'ITENS_MTR'!$S$6:$S$1005,A324,'ITENS_MTR'!$Y$6:$Y$1005,1))</f>
        <v/>
      </c>
      <c r="Q324" s="93" t="str">
        <f>IF(Z324=0,"",SUMIFS('RECEBIMENTOS'!$H$6:$H$1005,'RECEBIMENTOS'!$B$6:$B$1005,A324,'RECEBIMENTOS'!$X$6:$X$1005,1))</f>
        <v/>
      </c>
      <c r="R324" s="93" t="str">
        <f>IF(Z324=0,"",SUMIFS('VÍNCULOS_CDF'!$H$6:$H$1005,'VÍNCULOS_CDF'!$D$6:$D$1005,A324,'VÍNCULOS_CDF'!$V$6:$V$1005,1))</f>
        <v/>
      </c>
      <c r="S324" s="94" t="str">
        <f>IF(Z324=0,"",IF(AA324=1,"Cancelado (informado)",IF(AE324=1,"Cadastro incompleto",IF(OR(AC324=1,AD324=1,AF324&gt;0,AH324&gt;0,AK324&gt;0,AL324&gt;0),"Informação a revisar",IF(AN324=0,"Aguardando recebimento",IF(N(R324)=0,"Aguardando CDF",IF(AJ324&lt;N(W324),"Vínculo de CDF parcial",IF(AO324=0,"CDF localizado, a conferir","Documentação conferida"))))))))</f>
        <v/>
      </c>
      <c r="T324" s="94" t="str">
        <f>IF(Z324=0,"",IF(S324="Cadastro incompleto","MTR INCOMPLETO",IF(S324="Informação a revisar",IF(AND(AH324&gt;0,AC324=0,AD324=0,AF324=0,AK324=0,AL324=0),"QUANTIDADE A REVISAR","IDENTIFICAÇÃO A REVISAR"),IF(S324="Aguardando recebimento","RECEBIMENTO NÃO CONFIRMADO",IF(S324="Aguardando CDF","CDF NÃO LOCALIZADO",IF(S324="Vínculo de CDF parcial","VÍNCULO INCOMPLETO",IF(S324="CDF localizado, a conferir","CDF A CONFERIR","")))))))</f>
        <v/>
      </c>
      <c r="U324" s="95" t="str">
        <f>IF(T324="","",IF(AQ324="","Não calculável",IF(AQ324&gt;TODAY(),"Data futura",TODAY()-AQ324)))</f>
        <v/>
      </c>
      <c r="V324" s="93" t="str">
        <f>IF(Z324=0,"",SUMIFS('RECEBIMENTOS'!$H$6:$H$1005,'RECEBIMENTOS'!$B$6:$B$1005,A324,'RECEBIMENTOS'!$Z$6:$Z$1005,1))</f>
        <v/>
      </c>
      <c r="W324" s="95" t="str">
        <f>IF(Z324=0,"",COUNTIFS('ITENS_MTR'!$S$6:$S$1005,A324,'ITENS_MTR'!$R$6:$R$1005,1))</f>
        <v/>
      </c>
      <c r="X324" s="94" t="str">
        <f>IF(AC324=1,"POSSÍVEL DUPLICIDADE","")</f>
        <v/>
      </c>
      <c r="Y324" s="94" t="str">
        <f>IF(Z324=0,"",IF(AW324="","Nenhuma",LEFT(AW324,LEN(AW324)-2)))</f>
        <v/>
      </c>
      <c r="Z324" s="96">
        <f>IF(COUNTA(B324:O324)&gt;0,1,0)</f>
        <v>0</v>
      </c>
      <c r="AA324" s="96">
        <f>IF(AND(Z324=1,K324&lt;&gt;""),IF(TRIM(K324)=TRIM(cfg_cancel),1,0),0)</f>
        <v>0</v>
      </c>
      <c r="AB324" s="96" t="str">
        <f>IF(AND(Z324=1,B324&lt;&gt;""),C324&amp;"|"&amp;D324&amp;"|"&amp;G324&amp;"|"&amp;TRIM(B324),"")</f>
        <v/>
      </c>
      <c r="AC324" s="96">
        <f>IF(AB324="",0,IF(SUMPRODUCT(--($AB$6:$AB$505=AB324))&gt;1,1,0))</f>
        <v>0</v>
      </c>
      <c r="AD324" s="96">
        <f>IF(Z324=0,0,IF(OR(AND(G324&lt;&gt;"",ISNA(MATCH(G324,'CAD_UNIDADES'!$C$6:$C$105,0))),AND(H324&lt;&gt;"",ISNA(MATCH(H324,cmp_transp,0))),AND(I324&lt;&gt;"",ISNA(MATCH(I324,cmp_dest,0))),AND(E324&lt;&gt;"",NOT(ISNUMBER(E324))),AND(F324&lt;&gt;"",NOT(ISNUMBER(F324))),AND(ISNUMBER(E324),ISNUMBER(F324),F324&lt;E324)),1,0))</f>
        <v>0</v>
      </c>
      <c r="AE324" s="96">
        <f>IF(Z324=0,0,IF(OR(B324="",C324="",E324="",G324="",H324="",I324="",N(W324)=0),1,0))</f>
        <v>0</v>
      </c>
      <c r="AF324" s="96">
        <f>IF(Z324=0,0,COUNTIFS('ITENS_MTR'!$S$6:$S$1005,A324,'ITENS_MTR'!$AI$6:$AI$1005,1))</f>
        <v>0</v>
      </c>
      <c r="AG324" s="96">
        <f>IF(Z324=0,0,COUNTIFS('ITENS_MTR'!$S$6:$S$1005,A324,'ITENS_MTR'!$AJ$6:$AJ$1005,1))</f>
        <v>0</v>
      </c>
      <c r="AH324" s="96">
        <f>IF(Z324=0,0,COUNTIFS('ITENS_MTR'!$S$6:$S$1005,A324,'ITENS_MTR'!$AM$6:$AM$1005,1))</f>
        <v>0</v>
      </c>
      <c r="AI324" s="96">
        <f>IF(Z324=0,0,COUNTIFS('ITENS_MTR'!$S$6:$S$1005,A324,'ITENS_MTR'!$AO$6:$AO$1005,1))</f>
        <v>0</v>
      </c>
      <c r="AJ324" s="96">
        <f>IF(Z324=0,0,COUNTIFS('ITENS_MTR'!$S$6:$S$1005,A324,'ITENS_MTR'!$AN$6:$AN$1005,1))</f>
        <v>0</v>
      </c>
      <c r="AK324" s="96">
        <f>IF(Z324=0,0,COUNTIFS('RECEBIMENTOS'!$B$6:$B$1005,A324,'RECEBIMENTOS'!$Y$6:$Y$1005,1))</f>
        <v>0</v>
      </c>
      <c r="AL324" s="96">
        <f>IF(Z324=0,0,COUNTIFS('VÍNCULOS_CDF'!$D$6:$D$1005,A324,'VÍNCULOS_CDF'!$Y$6:$Y$1005,1))</f>
        <v>0</v>
      </c>
      <c r="AM324" s="96">
        <f>IF(Z324=0,0,COUNTIFS('RECEBIMENTOS'!$B$6:$B$1005,A324,'RECEBIMENTOS'!$Q$6:$Q$1005,1))</f>
        <v>0</v>
      </c>
      <c r="AN324" s="96">
        <f>IF(AND(Z324=1,N(W324)&gt;0,AG324=N(W324)),1,0)</f>
        <v>0</v>
      </c>
      <c r="AO324" s="96">
        <f>IF(AND(Z324=1,N(W324)&gt;0,AI324=N(W324)),1,0)</f>
        <v>0</v>
      </c>
      <c r="AP324" s="97">
        <f>IF(Z324=0,0,_xlfn.MAXIFS('RECEBIMENTOS'!$E$6:$E$1005,'RECEBIMENTOS'!$B$6:$B$1005,A324))</f>
        <v>0</v>
      </c>
      <c r="AQ324" s="97" t="str">
        <f>IF(T324="","",IF(T324="RECEBIMENTO NÃO CONFIRMADO",IF(ISNUMBER(F324),F324,IF(ISNUMBER(E324),E324,"")),IF(OR(T324="CDF NÃO LOCALIZADO",T324="VÍNCULO INCOMPLETO",T324="CDF A CONFERIR"),IF(AP324&gt;0,AP324,IF(ISNUMBER(E324),E324,"")),IF(ISNUMBER(E324),E324,""))))</f>
        <v/>
      </c>
      <c r="AR324" s="96">
        <f>IF(NOT(ISNUMBER(U324)),0,IF(T324="RECEBIMENTO NÃO CONFIRMADO",IF(AND(ISNUMBER(cfg_rec),U324&gt;cfg_rec),1,0),IF(OR(T324="CDF NÃO LOCALIZADO",T324="VÍNCULO INCOMPLETO",T324="CDF A CONFERIR"),IF(AND(ISNUMBER(cfg_cdf),U324&gt;cfg_cdf),1,0),0)))</f>
        <v>0</v>
      </c>
      <c r="AS324" s="96" t="str">
        <f>IF(T324="","",IF(AR324=1,"Alta",IFERROR(INDEX(cfg_pp,MATCH(T324,cfg_pt,0))&amp;"","Média")))</f>
        <v/>
      </c>
      <c r="AT324" s="96" t="str">
        <f>IF(T324="","",IFERROR(INDEX(cfg_pv,MATCH(T324,cfg_pt,0))&amp;"",""))</f>
        <v/>
      </c>
      <c r="AU324" s="96" t="str">
        <f>IF(T324="","",IF(AS324="Alta",1,IF(AS324="Média",2,3))*1000000000+(999999-IF(ISNUMBER(U324),MIN(U324,999999),0))*1000+319)</f>
        <v/>
      </c>
      <c r="AV324" s="96">
        <f>IF(T324&lt;&gt;"",1,0)</f>
        <v>0</v>
      </c>
      <c r="AW324" s="96" t="str">
        <f>IF(Z324=0,"",IF(AA324=1,"Cancelamento informado; ","")&amp;IF(AE324=1,"Campos essenciais ou itens faltando; ","")&amp;IF(AC324=1,"Possível duplicidade do número; ","")&amp;IF(AD324=1,"Cadastro ou datas a revisar; ","")&amp;IF(AF324&gt;0,"Item de resíduo com dado a revisar; ","")&amp;IF(AH324&gt;0,"Diferença de quantidade a analisar; ","")&amp;IF(AK324&gt;0,"Recebimento com alerta; ","")&amp;IF(AL324&gt;0,"Vínculo de CDF com alerta; ","")&amp;IF(AND(AA324=0,AN324=0),"Recebimento não confirmado; ","")&amp;IF(AND(AA324=0,AN324=1,AO324=0),"CDF pendente ou a conferir; ",""))</f>
        <v/>
      </c>
      <c r="AX324" s="96">
        <f>IF(Z324=0,0,IF(AND(OR(f_ini="",AND(ISNUMBER(E324),E324&gt;=f_ini)),OR(f_fim="",AND(ISNUMBER(E324),E324&lt;=f_fim)),OR(f_un="",f_un="(Todas)",G324=f_un),OR(f_tr="",f_tr="(Todos)",H324=f_tr),OR(f_de="",f_de="(Todos)",I324=f_de),OR(f_sit="",f_sit="(Todas)",S324=f_sit)),1,0))</f>
        <v>0</v>
      </c>
      <c r="AY324" s="96">
        <f>IF(AX324=0,0,IF(OR(f_res="",f_res="(Todos)"),1,IF(COUNTIFS('ITENS_MTR'!$S$6:$S$1005,A324,'ITENS_MTR'!$C$6:$C$1005,f_res)&gt;0,1,0)))</f>
        <v>0</v>
      </c>
      <c r="AZ324" s="97" t="str">
        <f>IF(ISNUMBER(E324),DATE(YEAR(E324),MONTH(E324),1),"")</f>
        <v/>
      </c>
      <c r="BA324" s="96">
        <f>IF(Z324=0,0,IF(AND(OR(r_ini="",AND(ISNUMBER(E324),E324&gt;=r_ini)),OR(r_fim="",AND(ISNUMBER(E324),E324&lt;=r_fim)),OR(r_un="",r_un="(Todas)",G324=r_un),OR(r_de="",r_de="(Todos)",I324=r_de)),1,0))</f>
        <v>0</v>
      </c>
      <c r="BB324" s="96" t="str">
        <f>IF(BA324=1,COUNTIF($BA$6:BA324,1),"")</f>
        <v/>
      </c>
      <c r="BC324" s="96" t="str">
        <f>IF(AND(AU324&lt;&gt;"",OR(r_un="",r_un="(Todas)",G324=r_un),OR(r_de="",r_de="(Todos)",I324=r_de)),AU324,"")</f>
        <v/>
      </c>
      <c r="BD324" s="96" t="str">
        <f>IF(Z324=1,A324&amp;" | nº "&amp;IF(B324="","(sem número)",B324)&amp;" | "&amp;IF(G324="","(sem unidade)",G324),"")</f>
        <v/>
      </c>
      <c r="BE324" s="96" t="str">
        <f>IF(Z324=1,COUNTIF($Z$6:Z324,1),"")</f>
        <v/>
      </c>
      <c r="BF324" s="96" t="str">
        <f>IF(T324="","",IF(T324="RECEBIMENTO NÃO CONFIRMADO","Transp.: "&amp;H324&amp;" | Dest.: "&amp;I324,IF(OR(T324="CDF NÃO LOCALIZADO",T324="VÍNCULO INCOMPLETO",T324="CDF A CONFERIR"),"Dest.: "&amp;I324,"Gerador: "&amp;G324)))</f>
        <v/>
      </c>
    </row>
    <row r="325">
      <c r="A325" s="89" t="inlineStr">
        <is>
          <t>MTR-000320</t>
        </is>
      </c>
      <c r="B325" s="90" t="n"/>
      <c r="C325" s="91" t="n"/>
      <c r="D325" s="91" t="n"/>
      <c r="E325" s="92" t="n"/>
      <c r="F325" s="92" t="n"/>
      <c r="G325" s="91" t="n"/>
      <c r="H325" s="91" t="n"/>
      <c r="I325" s="91" t="n"/>
      <c r="J325" s="91" t="n"/>
      <c r="K325" s="91" t="n"/>
      <c r="L325" s="92" t="n"/>
      <c r="M325" s="91" t="n"/>
      <c r="N325" s="91" t="n"/>
      <c r="O325" s="91" t="n"/>
      <c r="P325" s="93" t="str">
        <f>IF(Z325=0,"",SUMIFS('ITENS_MTR'!$I$6:$I$1005,'ITENS_MTR'!$S$6:$S$1005,A325,'ITENS_MTR'!$Y$6:$Y$1005,1))</f>
        <v/>
      </c>
      <c r="Q325" s="93" t="str">
        <f>IF(Z325=0,"",SUMIFS('RECEBIMENTOS'!$H$6:$H$1005,'RECEBIMENTOS'!$B$6:$B$1005,A325,'RECEBIMENTOS'!$X$6:$X$1005,1))</f>
        <v/>
      </c>
      <c r="R325" s="93" t="str">
        <f>IF(Z325=0,"",SUMIFS('VÍNCULOS_CDF'!$H$6:$H$1005,'VÍNCULOS_CDF'!$D$6:$D$1005,A325,'VÍNCULOS_CDF'!$V$6:$V$1005,1))</f>
        <v/>
      </c>
      <c r="S325" s="94" t="str">
        <f>IF(Z325=0,"",IF(AA325=1,"Cancelado (informado)",IF(AE325=1,"Cadastro incompleto",IF(OR(AC325=1,AD325=1,AF325&gt;0,AH325&gt;0,AK325&gt;0,AL325&gt;0),"Informação a revisar",IF(AN325=0,"Aguardando recebimento",IF(N(R325)=0,"Aguardando CDF",IF(AJ325&lt;N(W325),"Vínculo de CDF parcial",IF(AO325=0,"CDF localizado, a conferir","Documentação conferida"))))))))</f>
        <v/>
      </c>
      <c r="T325" s="94" t="str">
        <f>IF(Z325=0,"",IF(S325="Cadastro incompleto","MTR INCOMPLETO",IF(S325="Informação a revisar",IF(AND(AH325&gt;0,AC325=0,AD325=0,AF325=0,AK325=0,AL325=0),"QUANTIDADE A REVISAR","IDENTIFICAÇÃO A REVISAR"),IF(S325="Aguardando recebimento","RECEBIMENTO NÃO CONFIRMADO",IF(S325="Aguardando CDF","CDF NÃO LOCALIZADO",IF(S325="Vínculo de CDF parcial","VÍNCULO INCOMPLETO",IF(S325="CDF localizado, a conferir","CDF A CONFERIR","")))))))</f>
        <v/>
      </c>
      <c r="U325" s="95" t="str">
        <f>IF(T325="","",IF(AQ325="","Não calculável",IF(AQ325&gt;TODAY(),"Data futura",TODAY()-AQ325)))</f>
        <v/>
      </c>
      <c r="V325" s="93" t="str">
        <f>IF(Z325=0,"",SUMIFS('RECEBIMENTOS'!$H$6:$H$1005,'RECEBIMENTOS'!$B$6:$B$1005,A325,'RECEBIMENTOS'!$Z$6:$Z$1005,1))</f>
        <v/>
      </c>
      <c r="W325" s="95" t="str">
        <f>IF(Z325=0,"",COUNTIFS('ITENS_MTR'!$S$6:$S$1005,A325,'ITENS_MTR'!$R$6:$R$1005,1))</f>
        <v/>
      </c>
      <c r="X325" s="94" t="str">
        <f>IF(AC325=1,"POSSÍVEL DUPLICIDADE","")</f>
        <v/>
      </c>
      <c r="Y325" s="94" t="str">
        <f>IF(Z325=0,"",IF(AW325="","Nenhuma",LEFT(AW325,LEN(AW325)-2)))</f>
        <v/>
      </c>
      <c r="Z325" s="96">
        <f>IF(COUNTA(B325:O325)&gt;0,1,0)</f>
        <v>0</v>
      </c>
      <c r="AA325" s="96">
        <f>IF(AND(Z325=1,K325&lt;&gt;""),IF(TRIM(K325)=TRIM(cfg_cancel),1,0),0)</f>
        <v>0</v>
      </c>
      <c r="AB325" s="96" t="str">
        <f>IF(AND(Z325=1,B325&lt;&gt;""),C325&amp;"|"&amp;D325&amp;"|"&amp;G325&amp;"|"&amp;TRIM(B325),"")</f>
        <v/>
      </c>
      <c r="AC325" s="96">
        <f>IF(AB325="",0,IF(SUMPRODUCT(--($AB$6:$AB$505=AB325))&gt;1,1,0))</f>
        <v>0</v>
      </c>
      <c r="AD325" s="96">
        <f>IF(Z325=0,0,IF(OR(AND(G325&lt;&gt;"",ISNA(MATCH(G325,'CAD_UNIDADES'!$C$6:$C$105,0))),AND(H325&lt;&gt;"",ISNA(MATCH(H325,cmp_transp,0))),AND(I325&lt;&gt;"",ISNA(MATCH(I325,cmp_dest,0))),AND(E325&lt;&gt;"",NOT(ISNUMBER(E325))),AND(F325&lt;&gt;"",NOT(ISNUMBER(F325))),AND(ISNUMBER(E325),ISNUMBER(F325),F325&lt;E325)),1,0))</f>
        <v>0</v>
      </c>
      <c r="AE325" s="96">
        <f>IF(Z325=0,0,IF(OR(B325="",C325="",E325="",G325="",H325="",I325="",N(W325)=0),1,0))</f>
        <v>0</v>
      </c>
      <c r="AF325" s="96">
        <f>IF(Z325=0,0,COUNTIFS('ITENS_MTR'!$S$6:$S$1005,A325,'ITENS_MTR'!$AI$6:$AI$1005,1))</f>
        <v>0</v>
      </c>
      <c r="AG325" s="96">
        <f>IF(Z325=0,0,COUNTIFS('ITENS_MTR'!$S$6:$S$1005,A325,'ITENS_MTR'!$AJ$6:$AJ$1005,1))</f>
        <v>0</v>
      </c>
      <c r="AH325" s="96">
        <f>IF(Z325=0,0,COUNTIFS('ITENS_MTR'!$S$6:$S$1005,A325,'ITENS_MTR'!$AM$6:$AM$1005,1))</f>
        <v>0</v>
      </c>
      <c r="AI325" s="96">
        <f>IF(Z325=0,0,COUNTIFS('ITENS_MTR'!$S$6:$S$1005,A325,'ITENS_MTR'!$AO$6:$AO$1005,1))</f>
        <v>0</v>
      </c>
      <c r="AJ325" s="96">
        <f>IF(Z325=0,0,COUNTIFS('ITENS_MTR'!$S$6:$S$1005,A325,'ITENS_MTR'!$AN$6:$AN$1005,1))</f>
        <v>0</v>
      </c>
      <c r="AK325" s="96">
        <f>IF(Z325=0,0,COUNTIFS('RECEBIMENTOS'!$B$6:$B$1005,A325,'RECEBIMENTOS'!$Y$6:$Y$1005,1))</f>
        <v>0</v>
      </c>
      <c r="AL325" s="96">
        <f>IF(Z325=0,0,COUNTIFS('VÍNCULOS_CDF'!$D$6:$D$1005,A325,'VÍNCULOS_CDF'!$Y$6:$Y$1005,1))</f>
        <v>0</v>
      </c>
      <c r="AM325" s="96">
        <f>IF(Z325=0,0,COUNTIFS('RECEBIMENTOS'!$B$6:$B$1005,A325,'RECEBIMENTOS'!$Q$6:$Q$1005,1))</f>
        <v>0</v>
      </c>
      <c r="AN325" s="96">
        <f>IF(AND(Z325=1,N(W325)&gt;0,AG325=N(W325)),1,0)</f>
        <v>0</v>
      </c>
      <c r="AO325" s="96">
        <f>IF(AND(Z325=1,N(W325)&gt;0,AI325=N(W325)),1,0)</f>
        <v>0</v>
      </c>
      <c r="AP325" s="97">
        <f>IF(Z325=0,0,_xlfn.MAXIFS('RECEBIMENTOS'!$E$6:$E$1005,'RECEBIMENTOS'!$B$6:$B$1005,A325))</f>
        <v>0</v>
      </c>
      <c r="AQ325" s="97" t="str">
        <f>IF(T325="","",IF(T325="RECEBIMENTO NÃO CONFIRMADO",IF(ISNUMBER(F325),F325,IF(ISNUMBER(E325),E325,"")),IF(OR(T325="CDF NÃO LOCALIZADO",T325="VÍNCULO INCOMPLETO",T325="CDF A CONFERIR"),IF(AP325&gt;0,AP325,IF(ISNUMBER(E325),E325,"")),IF(ISNUMBER(E325),E325,""))))</f>
        <v/>
      </c>
      <c r="AR325" s="96">
        <f>IF(NOT(ISNUMBER(U325)),0,IF(T325="RECEBIMENTO NÃO CONFIRMADO",IF(AND(ISNUMBER(cfg_rec),U325&gt;cfg_rec),1,0),IF(OR(T325="CDF NÃO LOCALIZADO",T325="VÍNCULO INCOMPLETO",T325="CDF A CONFERIR"),IF(AND(ISNUMBER(cfg_cdf),U325&gt;cfg_cdf),1,0),0)))</f>
        <v>0</v>
      </c>
      <c r="AS325" s="96" t="str">
        <f>IF(T325="","",IF(AR325=1,"Alta",IFERROR(INDEX(cfg_pp,MATCH(T325,cfg_pt,0))&amp;"","Média")))</f>
        <v/>
      </c>
      <c r="AT325" s="96" t="str">
        <f>IF(T325="","",IFERROR(INDEX(cfg_pv,MATCH(T325,cfg_pt,0))&amp;"",""))</f>
        <v/>
      </c>
      <c r="AU325" s="96" t="str">
        <f>IF(T325="","",IF(AS325="Alta",1,IF(AS325="Média",2,3))*1000000000+(999999-IF(ISNUMBER(U325),MIN(U325,999999),0))*1000+320)</f>
        <v/>
      </c>
      <c r="AV325" s="96">
        <f>IF(T325&lt;&gt;"",1,0)</f>
        <v>0</v>
      </c>
      <c r="AW325" s="96" t="str">
        <f>IF(Z325=0,"",IF(AA325=1,"Cancelamento informado; ","")&amp;IF(AE325=1,"Campos essenciais ou itens faltando; ","")&amp;IF(AC325=1,"Possível duplicidade do número; ","")&amp;IF(AD325=1,"Cadastro ou datas a revisar; ","")&amp;IF(AF325&gt;0,"Item de resíduo com dado a revisar; ","")&amp;IF(AH325&gt;0,"Diferença de quantidade a analisar; ","")&amp;IF(AK325&gt;0,"Recebimento com alerta; ","")&amp;IF(AL325&gt;0,"Vínculo de CDF com alerta; ","")&amp;IF(AND(AA325=0,AN325=0),"Recebimento não confirmado; ","")&amp;IF(AND(AA325=0,AN325=1,AO325=0),"CDF pendente ou a conferir; ",""))</f>
        <v/>
      </c>
      <c r="AX325" s="96">
        <f>IF(Z325=0,0,IF(AND(OR(f_ini="",AND(ISNUMBER(E325),E325&gt;=f_ini)),OR(f_fim="",AND(ISNUMBER(E325),E325&lt;=f_fim)),OR(f_un="",f_un="(Todas)",G325=f_un),OR(f_tr="",f_tr="(Todos)",H325=f_tr),OR(f_de="",f_de="(Todos)",I325=f_de),OR(f_sit="",f_sit="(Todas)",S325=f_sit)),1,0))</f>
        <v>0</v>
      </c>
      <c r="AY325" s="96">
        <f>IF(AX325=0,0,IF(OR(f_res="",f_res="(Todos)"),1,IF(COUNTIFS('ITENS_MTR'!$S$6:$S$1005,A325,'ITENS_MTR'!$C$6:$C$1005,f_res)&gt;0,1,0)))</f>
        <v>0</v>
      </c>
      <c r="AZ325" s="97" t="str">
        <f>IF(ISNUMBER(E325),DATE(YEAR(E325),MONTH(E325),1),"")</f>
        <v/>
      </c>
      <c r="BA325" s="96">
        <f>IF(Z325=0,0,IF(AND(OR(r_ini="",AND(ISNUMBER(E325),E325&gt;=r_ini)),OR(r_fim="",AND(ISNUMBER(E325),E325&lt;=r_fim)),OR(r_un="",r_un="(Todas)",G325=r_un),OR(r_de="",r_de="(Todos)",I325=r_de)),1,0))</f>
        <v>0</v>
      </c>
      <c r="BB325" s="96" t="str">
        <f>IF(BA325=1,COUNTIF($BA$6:BA325,1),"")</f>
        <v/>
      </c>
      <c r="BC325" s="96" t="str">
        <f>IF(AND(AU325&lt;&gt;"",OR(r_un="",r_un="(Todas)",G325=r_un),OR(r_de="",r_de="(Todos)",I325=r_de)),AU325,"")</f>
        <v/>
      </c>
      <c r="BD325" s="96" t="str">
        <f>IF(Z325=1,A325&amp;" | nº "&amp;IF(B325="","(sem número)",B325)&amp;" | "&amp;IF(G325="","(sem unidade)",G325),"")</f>
        <v/>
      </c>
      <c r="BE325" s="96" t="str">
        <f>IF(Z325=1,COUNTIF($Z$6:Z325,1),"")</f>
        <v/>
      </c>
      <c r="BF325" s="96" t="str">
        <f>IF(T325="","",IF(T325="RECEBIMENTO NÃO CONFIRMADO","Transp.: "&amp;H325&amp;" | Dest.: "&amp;I325,IF(OR(T325="CDF NÃO LOCALIZADO",T325="VÍNCULO INCOMPLETO",T325="CDF A CONFERIR"),"Dest.: "&amp;I325,"Gerador: "&amp;G325)))</f>
        <v/>
      </c>
    </row>
    <row r="326">
      <c r="A326" s="89" t="inlineStr">
        <is>
          <t>MTR-000321</t>
        </is>
      </c>
      <c r="B326" s="90" t="n"/>
      <c r="C326" s="91" t="n"/>
      <c r="D326" s="91" t="n"/>
      <c r="E326" s="92" t="n"/>
      <c r="F326" s="92" t="n"/>
      <c r="G326" s="91" t="n"/>
      <c r="H326" s="91" t="n"/>
      <c r="I326" s="91" t="n"/>
      <c r="J326" s="91" t="n"/>
      <c r="K326" s="91" t="n"/>
      <c r="L326" s="92" t="n"/>
      <c r="M326" s="91" t="n"/>
      <c r="N326" s="91" t="n"/>
      <c r="O326" s="91" t="n"/>
      <c r="P326" s="93" t="str">
        <f>IF(Z326=0,"",SUMIFS('ITENS_MTR'!$I$6:$I$1005,'ITENS_MTR'!$S$6:$S$1005,A326,'ITENS_MTR'!$Y$6:$Y$1005,1))</f>
        <v/>
      </c>
      <c r="Q326" s="93" t="str">
        <f>IF(Z326=0,"",SUMIFS('RECEBIMENTOS'!$H$6:$H$1005,'RECEBIMENTOS'!$B$6:$B$1005,A326,'RECEBIMENTOS'!$X$6:$X$1005,1))</f>
        <v/>
      </c>
      <c r="R326" s="93" t="str">
        <f>IF(Z326=0,"",SUMIFS('VÍNCULOS_CDF'!$H$6:$H$1005,'VÍNCULOS_CDF'!$D$6:$D$1005,A326,'VÍNCULOS_CDF'!$V$6:$V$1005,1))</f>
        <v/>
      </c>
      <c r="S326" s="94" t="str">
        <f>IF(Z326=0,"",IF(AA326=1,"Cancelado (informado)",IF(AE326=1,"Cadastro incompleto",IF(OR(AC326=1,AD326=1,AF326&gt;0,AH326&gt;0,AK326&gt;0,AL326&gt;0),"Informação a revisar",IF(AN326=0,"Aguardando recebimento",IF(N(R326)=0,"Aguardando CDF",IF(AJ326&lt;N(W326),"Vínculo de CDF parcial",IF(AO326=0,"CDF localizado, a conferir","Documentação conferida"))))))))</f>
        <v/>
      </c>
      <c r="T326" s="94" t="str">
        <f>IF(Z326=0,"",IF(S326="Cadastro incompleto","MTR INCOMPLETO",IF(S326="Informação a revisar",IF(AND(AH326&gt;0,AC326=0,AD326=0,AF326=0,AK326=0,AL326=0),"QUANTIDADE A REVISAR","IDENTIFICAÇÃO A REVISAR"),IF(S326="Aguardando recebimento","RECEBIMENTO NÃO CONFIRMADO",IF(S326="Aguardando CDF","CDF NÃO LOCALIZADO",IF(S326="Vínculo de CDF parcial","VÍNCULO INCOMPLETO",IF(S326="CDF localizado, a conferir","CDF A CONFERIR","")))))))</f>
        <v/>
      </c>
      <c r="U326" s="95" t="str">
        <f>IF(T326="","",IF(AQ326="","Não calculável",IF(AQ326&gt;TODAY(),"Data futura",TODAY()-AQ326)))</f>
        <v/>
      </c>
      <c r="V326" s="93" t="str">
        <f>IF(Z326=0,"",SUMIFS('RECEBIMENTOS'!$H$6:$H$1005,'RECEBIMENTOS'!$B$6:$B$1005,A326,'RECEBIMENTOS'!$Z$6:$Z$1005,1))</f>
        <v/>
      </c>
      <c r="W326" s="95" t="str">
        <f>IF(Z326=0,"",COUNTIFS('ITENS_MTR'!$S$6:$S$1005,A326,'ITENS_MTR'!$R$6:$R$1005,1))</f>
        <v/>
      </c>
      <c r="X326" s="94" t="str">
        <f>IF(AC326=1,"POSSÍVEL DUPLICIDADE","")</f>
        <v/>
      </c>
      <c r="Y326" s="94" t="str">
        <f>IF(Z326=0,"",IF(AW326="","Nenhuma",LEFT(AW326,LEN(AW326)-2)))</f>
        <v/>
      </c>
      <c r="Z326" s="96">
        <f>IF(COUNTA(B326:O326)&gt;0,1,0)</f>
        <v>0</v>
      </c>
      <c r="AA326" s="96">
        <f>IF(AND(Z326=1,K326&lt;&gt;""),IF(TRIM(K326)=TRIM(cfg_cancel),1,0),0)</f>
        <v>0</v>
      </c>
      <c r="AB326" s="96" t="str">
        <f>IF(AND(Z326=1,B326&lt;&gt;""),C326&amp;"|"&amp;D326&amp;"|"&amp;G326&amp;"|"&amp;TRIM(B326),"")</f>
        <v/>
      </c>
      <c r="AC326" s="96">
        <f>IF(AB326="",0,IF(SUMPRODUCT(--($AB$6:$AB$505=AB326))&gt;1,1,0))</f>
        <v>0</v>
      </c>
      <c r="AD326" s="96">
        <f>IF(Z326=0,0,IF(OR(AND(G326&lt;&gt;"",ISNA(MATCH(G326,'CAD_UNIDADES'!$C$6:$C$105,0))),AND(H326&lt;&gt;"",ISNA(MATCH(H326,cmp_transp,0))),AND(I326&lt;&gt;"",ISNA(MATCH(I326,cmp_dest,0))),AND(E326&lt;&gt;"",NOT(ISNUMBER(E326))),AND(F326&lt;&gt;"",NOT(ISNUMBER(F326))),AND(ISNUMBER(E326),ISNUMBER(F326),F326&lt;E326)),1,0))</f>
        <v>0</v>
      </c>
      <c r="AE326" s="96">
        <f>IF(Z326=0,0,IF(OR(B326="",C326="",E326="",G326="",H326="",I326="",N(W326)=0),1,0))</f>
        <v>0</v>
      </c>
      <c r="AF326" s="96">
        <f>IF(Z326=0,0,COUNTIFS('ITENS_MTR'!$S$6:$S$1005,A326,'ITENS_MTR'!$AI$6:$AI$1005,1))</f>
        <v>0</v>
      </c>
      <c r="AG326" s="96">
        <f>IF(Z326=0,0,COUNTIFS('ITENS_MTR'!$S$6:$S$1005,A326,'ITENS_MTR'!$AJ$6:$AJ$1005,1))</f>
        <v>0</v>
      </c>
      <c r="AH326" s="96">
        <f>IF(Z326=0,0,COUNTIFS('ITENS_MTR'!$S$6:$S$1005,A326,'ITENS_MTR'!$AM$6:$AM$1005,1))</f>
        <v>0</v>
      </c>
      <c r="AI326" s="96">
        <f>IF(Z326=0,0,COUNTIFS('ITENS_MTR'!$S$6:$S$1005,A326,'ITENS_MTR'!$AO$6:$AO$1005,1))</f>
        <v>0</v>
      </c>
      <c r="AJ326" s="96">
        <f>IF(Z326=0,0,COUNTIFS('ITENS_MTR'!$S$6:$S$1005,A326,'ITENS_MTR'!$AN$6:$AN$1005,1))</f>
        <v>0</v>
      </c>
      <c r="AK326" s="96">
        <f>IF(Z326=0,0,COUNTIFS('RECEBIMENTOS'!$B$6:$B$1005,A326,'RECEBIMENTOS'!$Y$6:$Y$1005,1))</f>
        <v>0</v>
      </c>
      <c r="AL326" s="96">
        <f>IF(Z326=0,0,COUNTIFS('VÍNCULOS_CDF'!$D$6:$D$1005,A326,'VÍNCULOS_CDF'!$Y$6:$Y$1005,1))</f>
        <v>0</v>
      </c>
      <c r="AM326" s="96">
        <f>IF(Z326=0,0,COUNTIFS('RECEBIMENTOS'!$B$6:$B$1005,A326,'RECEBIMENTOS'!$Q$6:$Q$1005,1))</f>
        <v>0</v>
      </c>
      <c r="AN326" s="96">
        <f>IF(AND(Z326=1,N(W326)&gt;0,AG326=N(W326)),1,0)</f>
        <v>0</v>
      </c>
      <c r="AO326" s="96">
        <f>IF(AND(Z326=1,N(W326)&gt;0,AI326=N(W326)),1,0)</f>
        <v>0</v>
      </c>
      <c r="AP326" s="97">
        <f>IF(Z326=0,0,_xlfn.MAXIFS('RECEBIMENTOS'!$E$6:$E$1005,'RECEBIMENTOS'!$B$6:$B$1005,A326))</f>
        <v>0</v>
      </c>
      <c r="AQ326" s="97" t="str">
        <f>IF(T326="","",IF(T326="RECEBIMENTO NÃO CONFIRMADO",IF(ISNUMBER(F326),F326,IF(ISNUMBER(E326),E326,"")),IF(OR(T326="CDF NÃO LOCALIZADO",T326="VÍNCULO INCOMPLETO",T326="CDF A CONFERIR"),IF(AP326&gt;0,AP326,IF(ISNUMBER(E326),E326,"")),IF(ISNUMBER(E326),E326,""))))</f>
        <v/>
      </c>
      <c r="AR326" s="96">
        <f>IF(NOT(ISNUMBER(U326)),0,IF(T326="RECEBIMENTO NÃO CONFIRMADO",IF(AND(ISNUMBER(cfg_rec),U326&gt;cfg_rec),1,0),IF(OR(T326="CDF NÃO LOCALIZADO",T326="VÍNCULO INCOMPLETO",T326="CDF A CONFERIR"),IF(AND(ISNUMBER(cfg_cdf),U326&gt;cfg_cdf),1,0),0)))</f>
        <v>0</v>
      </c>
      <c r="AS326" s="96" t="str">
        <f>IF(T326="","",IF(AR326=1,"Alta",IFERROR(INDEX(cfg_pp,MATCH(T326,cfg_pt,0))&amp;"","Média")))</f>
        <v/>
      </c>
      <c r="AT326" s="96" t="str">
        <f>IF(T326="","",IFERROR(INDEX(cfg_pv,MATCH(T326,cfg_pt,0))&amp;"",""))</f>
        <v/>
      </c>
      <c r="AU326" s="96" t="str">
        <f>IF(T326="","",IF(AS326="Alta",1,IF(AS326="Média",2,3))*1000000000+(999999-IF(ISNUMBER(U326),MIN(U326,999999),0))*1000+321)</f>
        <v/>
      </c>
      <c r="AV326" s="96">
        <f>IF(T326&lt;&gt;"",1,0)</f>
        <v>0</v>
      </c>
      <c r="AW326" s="96" t="str">
        <f>IF(Z326=0,"",IF(AA326=1,"Cancelamento informado; ","")&amp;IF(AE326=1,"Campos essenciais ou itens faltando; ","")&amp;IF(AC326=1,"Possível duplicidade do número; ","")&amp;IF(AD326=1,"Cadastro ou datas a revisar; ","")&amp;IF(AF326&gt;0,"Item de resíduo com dado a revisar; ","")&amp;IF(AH326&gt;0,"Diferença de quantidade a analisar; ","")&amp;IF(AK326&gt;0,"Recebimento com alerta; ","")&amp;IF(AL326&gt;0,"Vínculo de CDF com alerta; ","")&amp;IF(AND(AA326=0,AN326=0),"Recebimento não confirmado; ","")&amp;IF(AND(AA326=0,AN326=1,AO326=0),"CDF pendente ou a conferir; ",""))</f>
        <v/>
      </c>
      <c r="AX326" s="96">
        <f>IF(Z326=0,0,IF(AND(OR(f_ini="",AND(ISNUMBER(E326),E326&gt;=f_ini)),OR(f_fim="",AND(ISNUMBER(E326),E326&lt;=f_fim)),OR(f_un="",f_un="(Todas)",G326=f_un),OR(f_tr="",f_tr="(Todos)",H326=f_tr),OR(f_de="",f_de="(Todos)",I326=f_de),OR(f_sit="",f_sit="(Todas)",S326=f_sit)),1,0))</f>
        <v>0</v>
      </c>
      <c r="AY326" s="96">
        <f>IF(AX326=0,0,IF(OR(f_res="",f_res="(Todos)"),1,IF(COUNTIFS('ITENS_MTR'!$S$6:$S$1005,A326,'ITENS_MTR'!$C$6:$C$1005,f_res)&gt;0,1,0)))</f>
        <v>0</v>
      </c>
      <c r="AZ326" s="97" t="str">
        <f>IF(ISNUMBER(E326),DATE(YEAR(E326),MONTH(E326),1),"")</f>
        <v/>
      </c>
      <c r="BA326" s="96">
        <f>IF(Z326=0,0,IF(AND(OR(r_ini="",AND(ISNUMBER(E326),E326&gt;=r_ini)),OR(r_fim="",AND(ISNUMBER(E326),E326&lt;=r_fim)),OR(r_un="",r_un="(Todas)",G326=r_un),OR(r_de="",r_de="(Todos)",I326=r_de)),1,0))</f>
        <v>0</v>
      </c>
      <c r="BB326" s="96" t="str">
        <f>IF(BA326=1,COUNTIF($BA$6:BA326,1),"")</f>
        <v/>
      </c>
      <c r="BC326" s="96" t="str">
        <f>IF(AND(AU326&lt;&gt;"",OR(r_un="",r_un="(Todas)",G326=r_un),OR(r_de="",r_de="(Todos)",I326=r_de)),AU326,"")</f>
        <v/>
      </c>
      <c r="BD326" s="96" t="str">
        <f>IF(Z326=1,A326&amp;" | nº "&amp;IF(B326="","(sem número)",B326)&amp;" | "&amp;IF(G326="","(sem unidade)",G326),"")</f>
        <v/>
      </c>
      <c r="BE326" s="96" t="str">
        <f>IF(Z326=1,COUNTIF($Z$6:Z326,1),"")</f>
        <v/>
      </c>
      <c r="BF326" s="96" t="str">
        <f>IF(T326="","",IF(T326="RECEBIMENTO NÃO CONFIRMADO","Transp.: "&amp;H326&amp;" | Dest.: "&amp;I326,IF(OR(T326="CDF NÃO LOCALIZADO",T326="VÍNCULO INCOMPLETO",T326="CDF A CONFERIR"),"Dest.: "&amp;I326,"Gerador: "&amp;G326)))</f>
        <v/>
      </c>
    </row>
    <row r="327">
      <c r="A327" s="89" t="inlineStr">
        <is>
          <t>MTR-000322</t>
        </is>
      </c>
      <c r="B327" s="90" t="n"/>
      <c r="C327" s="91" t="n"/>
      <c r="D327" s="91" t="n"/>
      <c r="E327" s="92" t="n"/>
      <c r="F327" s="92" t="n"/>
      <c r="G327" s="91" t="n"/>
      <c r="H327" s="91" t="n"/>
      <c r="I327" s="91" t="n"/>
      <c r="J327" s="91" t="n"/>
      <c r="K327" s="91" t="n"/>
      <c r="L327" s="92" t="n"/>
      <c r="M327" s="91" t="n"/>
      <c r="N327" s="91" t="n"/>
      <c r="O327" s="91" t="n"/>
      <c r="P327" s="93" t="str">
        <f>IF(Z327=0,"",SUMIFS('ITENS_MTR'!$I$6:$I$1005,'ITENS_MTR'!$S$6:$S$1005,A327,'ITENS_MTR'!$Y$6:$Y$1005,1))</f>
        <v/>
      </c>
      <c r="Q327" s="93" t="str">
        <f>IF(Z327=0,"",SUMIFS('RECEBIMENTOS'!$H$6:$H$1005,'RECEBIMENTOS'!$B$6:$B$1005,A327,'RECEBIMENTOS'!$X$6:$X$1005,1))</f>
        <v/>
      </c>
      <c r="R327" s="93" t="str">
        <f>IF(Z327=0,"",SUMIFS('VÍNCULOS_CDF'!$H$6:$H$1005,'VÍNCULOS_CDF'!$D$6:$D$1005,A327,'VÍNCULOS_CDF'!$V$6:$V$1005,1))</f>
        <v/>
      </c>
      <c r="S327" s="94" t="str">
        <f>IF(Z327=0,"",IF(AA327=1,"Cancelado (informado)",IF(AE327=1,"Cadastro incompleto",IF(OR(AC327=1,AD327=1,AF327&gt;0,AH327&gt;0,AK327&gt;0,AL327&gt;0),"Informação a revisar",IF(AN327=0,"Aguardando recebimento",IF(N(R327)=0,"Aguardando CDF",IF(AJ327&lt;N(W327),"Vínculo de CDF parcial",IF(AO327=0,"CDF localizado, a conferir","Documentação conferida"))))))))</f>
        <v/>
      </c>
      <c r="T327" s="94" t="str">
        <f>IF(Z327=0,"",IF(S327="Cadastro incompleto","MTR INCOMPLETO",IF(S327="Informação a revisar",IF(AND(AH327&gt;0,AC327=0,AD327=0,AF327=0,AK327=0,AL327=0),"QUANTIDADE A REVISAR","IDENTIFICAÇÃO A REVISAR"),IF(S327="Aguardando recebimento","RECEBIMENTO NÃO CONFIRMADO",IF(S327="Aguardando CDF","CDF NÃO LOCALIZADO",IF(S327="Vínculo de CDF parcial","VÍNCULO INCOMPLETO",IF(S327="CDF localizado, a conferir","CDF A CONFERIR","")))))))</f>
        <v/>
      </c>
      <c r="U327" s="95" t="str">
        <f>IF(T327="","",IF(AQ327="","Não calculável",IF(AQ327&gt;TODAY(),"Data futura",TODAY()-AQ327)))</f>
        <v/>
      </c>
      <c r="V327" s="93" t="str">
        <f>IF(Z327=0,"",SUMIFS('RECEBIMENTOS'!$H$6:$H$1005,'RECEBIMENTOS'!$B$6:$B$1005,A327,'RECEBIMENTOS'!$Z$6:$Z$1005,1))</f>
        <v/>
      </c>
      <c r="W327" s="95" t="str">
        <f>IF(Z327=0,"",COUNTIFS('ITENS_MTR'!$S$6:$S$1005,A327,'ITENS_MTR'!$R$6:$R$1005,1))</f>
        <v/>
      </c>
      <c r="X327" s="94" t="str">
        <f>IF(AC327=1,"POSSÍVEL DUPLICIDADE","")</f>
        <v/>
      </c>
      <c r="Y327" s="94" t="str">
        <f>IF(Z327=0,"",IF(AW327="","Nenhuma",LEFT(AW327,LEN(AW327)-2)))</f>
        <v/>
      </c>
      <c r="Z327" s="96">
        <f>IF(COUNTA(B327:O327)&gt;0,1,0)</f>
        <v>0</v>
      </c>
      <c r="AA327" s="96">
        <f>IF(AND(Z327=1,K327&lt;&gt;""),IF(TRIM(K327)=TRIM(cfg_cancel),1,0),0)</f>
        <v>0</v>
      </c>
      <c r="AB327" s="96" t="str">
        <f>IF(AND(Z327=1,B327&lt;&gt;""),C327&amp;"|"&amp;D327&amp;"|"&amp;G327&amp;"|"&amp;TRIM(B327),"")</f>
        <v/>
      </c>
      <c r="AC327" s="96">
        <f>IF(AB327="",0,IF(SUMPRODUCT(--($AB$6:$AB$505=AB327))&gt;1,1,0))</f>
        <v>0</v>
      </c>
      <c r="AD327" s="96">
        <f>IF(Z327=0,0,IF(OR(AND(G327&lt;&gt;"",ISNA(MATCH(G327,'CAD_UNIDADES'!$C$6:$C$105,0))),AND(H327&lt;&gt;"",ISNA(MATCH(H327,cmp_transp,0))),AND(I327&lt;&gt;"",ISNA(MATCH(I327,cmp_dest,0))),AND(E327&lt;&gt;"",NOT(ISNUMBER(E327))),AND(F327&lt;&gt;"",NOT(ISNUMBER(F327))),AND(ISNUMBER(E327),ISNUMBER(F327),F327&lt;E327)),1,0))</f>
        <v>0</v>
      </c>
      <c r="AE327" s="96">
        <f>IF(Z327=0,0,IF(OR(B327="",C327="",E327="",G327="",H327="",I327="",N(W327)=0),1,0))</f>
        <v>0</v>
      </c>
      <c r="AF327" s="96">
        <f>IF(Z327=0,0,COUNTIFS('ITENS_MTR'!$S$6:$S$1005,A327,'ITENS_MTR'!$AI$6:$AI$1005,1))</f>
        <v>0</v>
      </c>
      <c r="AG327" s="96">
        <f>IF(Z327=0,0,COUNTIFS('ITENS_MTR'!$S$6:$S$1005,A327,'ITENS_MTR'!$AJ$6:$AJ$1005,1))</f>
        <v>0</v>
      </c>
      <c r="AH327" s="96">
        <f>IF(Z327=0,0,COUNTIFS('ITENS_MTR'!$S$6:$S$1005,A327,'ITENS_MTR'!$AM$6:$AM$1005,1))</f>
        <v>0</v>
      </c>
      <c r="AI327" s="96">
        <f>IF(Z327=0,0,COUNTIFS('ITENS_MTR'!$S$6:$S$1005,A327,'ITENS_MTR'!$AO$6:$AO$1005,1))</f>
        <v>0</v>
      </c>
      <c r="AJ327" s="96">
        <f>IF(Z327=0,0,COUNTIFS('ITENS_MTR'!$S$6:$S$1005,A327,'ITENS_MTR'!$AN$6:$AN$1005,1))</f>
        <v>0</v>
      </c>
      <c r="AK327" s="96">
        <f>IF(Z327=0,0,COUNTIFS('RECEBIMENTOS'!$B$6:$B$1005,A327,'RECEBIMENTOS'!$Y$6:$Y$1005,1))</f>
        <v>0</v>
      </c>
      <c r="AL327" s="96">
        <f>IF(Z327=0,0,COUNTIFS('VÍNCULOS_CDF'!$D$6:$D$1005,A327,'VÍNCULOS_CDF'!$Y$6:$Y$1005,1))</f>
        <v>0</v>
      </c>
      <c r="AM327" s="96">
        <f>IF(Z327=0,0,COUNTIFS('RECEBIMENTOS'!$B$6:$B$1005,A327,'RECEBIMENTOS'!$Q$6:$Q$1005,1))</f>
        <v>0</v>
      </c>
      <c r="AN327" s="96">
        <f>IF(AND(Z327=1,N(W327)&gt;0,AG327=N(W327)),1,0)</f>
        <v>0</v>
      </c>
      <c r="AO327" s="96">
        <f>IF(AND(Z327=1,N(W327)&gt;0,AI327=N(W327)),1,0)</f>
        <v>0</v>
      </c>
      <c r="AP327" s="97">
        <f>IF(Z327=0,0,_xlfn.MAXIFS('RECEBIMENTOS'!$E$6:$E$1005,'RECEBIMENTOS'!$B$6:$B$1005,A327))</f>
        <v>0</v>
      </c>
      <c r="AQ327" s="97" t="str">
        <f>IF(T327="","",IF(T327="RECEBIMENTO NÃO CONFIRMADO",IF(ISNUMBER(F327),F327,IF(ISNUMBER(E327),E327,"")),IF(OR(T327="CDF NÃO LOCALIZADO",T327="VÍNCULO INCOMPLETO",T327="CDF A CONFERIR"),IF(AP327&gt;0,AP327,IF(ISNUMBER(E327),E327,"")),IF(ISNUMBER(E327),E327,""))))</f>
        <v/>
      </c>
      <c r="AR327" s="96">
        <f>IF(NOT(ISNUMBER(U327)),0,IF(T327="RECEBIMENTO NÃO CONFIRMADO",IF(AND(ISNUMBER(cfg_rec),U327&gt;cfg_rec),1,0),IF(OR(T327="CDF NÃO LOCALIZADO",T327="VÍNCULO INCOMPLETO",T327="CDF A CONFERIR"),IF(AND(ISNUMBER(cfg_cdf),U327&gt;cfg_cdf),1,0),0)))</f>
        <v>0</v>
      </c>
      <c r="AS327" s="96" t="str">
        <f>IF(T327="","",IF(AR327=1,"Alta",IFERROR(INDEX(cfg_pp,MATCH(T327,cfg_pt,0))&amp;"","Média")))</f>
        <v/>
      </c>
      <c r="AT327" s="96" t="str">
        <f>IF(T327="","",IFERROR(INDEX(cfg_pv,MATCH(T327,cfg_pt,0))&amp;"",""))</f>
        <v/>
      </c>
      <c r="AU327" s="96" t="str">
        <f>IF(T327="","",IF(AS327="Alta",1,IF(AS327="Média",2,3))*1000000000+(999999-IF(ISNUMBER(U327),MIN(U327,999999),0))*1000+322)</f>
        <v/>
      </c>
      <c r="AV327" s="96">
        <f>IF(T327&lt;&gt;"",1,0)</f>
        <v>0</v>
      </c>
      <c r="AW327" s="96" t="str">
        <f>IF(Z327=0,"",IF(AA327=1,"Cancelamento informado; ","")&amp;IF(AE327=1,"Campos essenciais ou itens faltando; ","")&amp;IF(AC327=1,"Possível duplicidade do número; ","")&amp;IF(AD327=1,"Cadastro ou datas a revisar; ","")&amp;IF(AF327&gt;0,"Item de resíduo com dado a revisar; ","")&amp;IF(AH327&gt;0,"Diferença de quantidade a analisar; ","")&amp;IF(AK327&gt;0,"Recebimento com alerta; ","")&amp;IF(AL327&gt;0,"Vínculo de CDF com alerta; ","")&amp;IF(AND(AA327=0,AN327=0),"Recebimento não confirmado; ","")&amp;IF(AND(AA327=0,AN327=1,AO327=0),"CDF pendente ou a conferir; ",""))</f>
        <v/>
      </c>
      <c r="AX327" s="96">
        <f>IF(Z327=0,0,IF(AND(OR(f_ini="",AND(ISNUMBER(E327),E327&gt;=f_ini)),OR(f_fim="",AND(ISNUMBER(E327),E327&lt;=f_fim)),OR(f_un="",f_un="(Todas)",G327=f_un),OR(f_tr="",f_tr="(Todos)",H327=f_tr),OR(f_de="",f_de="(Todos)",I327=f_de),OR(f_sit="",f_sit="(Todas)",S327=f_sit)),1,0))</f>
        <v>0</v>
      </c>
      <c r="AY327" s="96">
        <f>IF(AX327=0,0,IF(OR(f_res="",f_res="(Todos)"),1,IF(COUNTIFS('ITENS_MTR'!$S$6:$S$1005,A327,'ITENS_MTR'!$C$6:$C$1005,f_res)&gt;0,1,0)))</f>
        <v>0</v>
      </c>
      <c r="AZ327" s="97" t="str">
        <f>IF(ISNUMBER(E327),DATE(YEAR(E327),MONTH(E327),1),"")</f>
        <v/>
      </c>
      <c r="BA327" s="96">
        <f>IF(Z327=0,0,IF(AND(OR(r_ini="",AND(ISNUMBER(E327),E327&gt;=r_ini)),OR(r_fim="",AND(ISNUMBER(E327),E327&lt;=r_fim)),OR(r_un="",r_un="(Todas)",G327=r_un),OR(r_de="",r_de="(Todos)",I327=r_de)),1,0))</f>
        <v>0</v>
      </c>
      <c r="BB327" s="96" t="str">
        <f>IF(BA327=1,COUNTIF($BA$6:BA327,1),"")</f>
        <v/>
      </c>
      <c r="BC327" s="96" t="str">
        <f>IF(AND(AU327&lt;&gt;"",OR(r_un="",r_un="(Todas)",G327=r_un),OR(r_de="",r_de="(Todos)",I327=r_de)),AU327,"")</f>
        <v/>
      </c>
      <c r="BD327" s="96" t="str">
        <f>IF(Z327=1,A327&amp;" | nº "&amp;IF(B327="","(sem número)",B327)&amp;" | "&amp;IF(G327="","(sem unidade)",G327),"")</f>
        <v/>
      </c>
      <c r="BE327" s="96" t="str">
        <f>IF(Z327=1,COUNTIF($Z$6:Z327,1),"")</f>
        <v/>
      </c>
      <c r="BF327" s="96" t="str">
        <f>IF(T327="","",IF(T327="RECEBIMENTO NÃO CONFIRMADO","Transp.: "&amp;H327&amp;" | Dest.: "&amp;I327,IF(OR(T327="CDF NÃO LOCALIZADO",T327="VÍNCULO INCOMPLETO",T327="CDF A CONFERIR"),"Dest.: "&amp;I327,"Gerador: "&amp;G327)))</f>
        <v/>
      </c>
    </row>
    <row r="328">
      <c r="A328" s="89" t="inlineStr">
        <is>
          <t>MTR-000323</t>
        </is>
      </c>
      <c r="B328" s="90" t="n"/>
      <c r="C328" s="91" t="n"/>
      <c r="D328" s="91" t="n"/>
      <c r="E328" s="92" t="n"/>
      <c r="F328" s="92" t="n"/>
      <c r="G328" s="91" t="n"/>
      <c r="H328" s="91" t="n"/>
      <c r="I328" s="91" t="n"/>
      <c r="J328" s="91" t="n"/>
      <c r="K328" s="91" t="n"/>
      <c r="L328" s="92" t="n"/>
      <c r="M328" s="91" t="n"/>
      <c r="N328" s="91" t="n"/>
      <c r="O328" s="91" t="n"/>
      <c r="P328" s="93" t="str">
        <f>IF(Z328=0,"",SUMIFS('ITENS_MTR'!$I$6:$I$1005,'ITENS_MTR'!$S$6:$S$1005,A328,'ITENS_MTR'!$Y$6:$Y$1005,1))</f>
        <v/>
      </c>
      <c r="Q328" s="93" t="str">
        <f>IF(Z328=0,"",SUMIFS('RECEBIMENTOS'!$H$6:$H$1005,'RECEBIMENTOS'!$B$6:$B$1005,A328,'RECEBIMENTOS'!$X$6:$X$1005,1))</f>
        <v/>
      </c>
      <c r="R328" s="93" t="str">
        <f>IF(Z328=0,"",SUMIFS('VÍNCULOS_CDF'!$H$6:$H$1005,'VÍNCULOS_CDF'!$D$6:$D$1005,A328,'VÍNCULOS_CDF'!$V$6:$V$1005,1))</f>
        <v/>
      </c>
      <c r="S328" s="94" t="str">
        <f>IF(Z328=0,"",IF(AA328=1,"Cancelado (informado)",IF(AE328=1,"Cadastro incompleto",IF(OR(AC328=1,AD328=1,AF328&gt;0,AH328&gt;0,AK328&gt;0,AL328&gt;0),"Informação a revisar",IF(AN328=0,"Aguardando recebimento",IF(N(R328)=0,"Aguardando CDF",IF(AJ328&lt;N(W328),"Vínculo de CDF parcial",IF(AO328=0,"CDF localizado, a conferir","Documentação conferida"))))))))</f>
        <v/>
      </c>
      <c r="T328" s="94" t="str">
        <f>IF(Z328=0,"",IF(S328="Cadastro incompleto","MTR INCOMPLETO",IF(S328="Informação a revisar",IF(AND(AH328&gt;0,AC328=0,AD328=0,AF328=0,AK328=0,AL328=0),"QUANTIDADE A REVISAR","IDENTIFICAÇÃO A REVISAR"),IF(S328="Aguardando recebimento","RECEBIMENTO NÃO CONFIRMADO",IF(S328="Aguardando CDF","CDF NÃO LOCALIZADO",IF(S328="Vínculo de CDF parcial","VÍNCULO INCOMPLETO",IF(S328="CDF localizado, a conferir","CDF A CONFERIR","")))))))</f>
        <v/>
      </c>
      <c r="U328" s="95" t="str">
        <f>IF(T328="","",IF(AQ328="","Não calculável",IF(AQ328&gt;TODAY(),"Data futura",TODAY()-AQ328)))</f>
        <v/>
      </c>
      <c r="V328" s="93" t="str">
        <f>IF(Z328=0,"",SUMIFS('RECEBIMENTOS'!$H$6:$H$1005,'RECEBIMENTOS'!$B$6:$B$1005,A328,'RECEBIMENTOS'!$Z$6:$Z$1005,1))</f>
        <v/>
      </c>
      <c r="W328" s="95" t="str">
        <f>IF(Z328=0,"",COUNTIFS('ITENS_MTR'!$S$6:$S$1005,A328,'ITENS_MTR'!$R$6:$R$1005,1))</f>
        <v/>
      </c>
      <c r="X328" s="94" t="str">
        <f>IF(AC328=1,"POSSÍVEL DUPLICIDADE","")</f>
        <v/>
      </c>
      <c r="Y328" s="94" t="str">
        <f>IF(Z328=0,"",IF(AW328="","Nenhuma",LEFT(AW328,LEN(AW328)-2)))</f>
        <v/>
      </c>
      <c r="Z328" s="96">
        <f>IF(COUNTA(B328:O328)&gt;0,1,0)</f>
        <v>0</v>
      </c>
      <c r="AA328" s="96">
        <f>IF(AND(Z328=1,K328&lt;&gt;""),IF(TRIM(K328)=TRIM(cfg_cancel),1,0),0)</f>
        <v>0</v>
      </c>
      <c r="AB328" s="96" t="str">
        <f>IF(AND(Z328=1,B328&lt;&gt;""),C328&amp;"|"&amp;D328&amp;"|"&amp;G328&amp;"|"&amp;TRIM(B328),"")</f>
        <v/>
      </c>
      <c r="AC328" s="96">
        <f>IF(AB328="",0,IF(SUMPRODUCT(--($AB$6:$AB$505=AB328))&gt;1,1,0))</f>
        <v>0</v>
      </c>
      <c r="AD328" s="96">
        <f>IF(Z328=0,0,IF(OR(AND(G328&lt;&gt;"",ISNA(MATCH(G328,'CAD_UNIDADES'!$C$6:$C$105,0))),AND(H328&lt;&gt;"",ISNA(MATCH(H328,cmp_transp,0))),AND(I328&lt;&gt;"",ISNA(MATCH(I328,cmp_dest,0))),AND(E328&lt;&gt;"",NOT(ISNUMBER(E328))),AND(F328&lt;&gt;"",NOT(ISNUMBER(F328))),AND(ISNUMBER(E328),ISNUMBER(F328),F328&lt;E328)),1,0))</f>
        <v>0</v>
      </c>
      <c r="AE328" s="96">
        <f>IF(Z328=0,0,IF(OR(B328="",C328="",E328="",G328="",H328="",I328="",N(W328)=0),1,0))</f>
        <v>0</v>
      </c>
      <c r="AF328" s="96">
        <f>IF(Z328=0,0,COUNTIFS('ITENS_MTR'!$S$6:$S$1005,A328,'ITENS_MTR'!$AI$6:$AI$1005,1))</f>
        <v>0</v>
      </c>
      <c r="AG328" s="96">
        <f>IF(Z328=0,0,COUNTIFS('ITENS_MTR'!$S$6:$S$1005,A328,'ITENS_MTR'!$AJ$6:$AJ$1005,1))</f>
        <v>0</v>
      </c>
      <c r="AH328" s="96">
        <f>IF(Z328=0,0,COUNTIFS('ITENS_MTR'!$S$6:$S$1005,A328,'ITENS_MTR'!$AM$6:$AM$1005,1))</f>
        <v>0</v>
      </c>
      <c r="AI328" s="96">
        <f>IF(Z328=0,0,COUNTIFS('ITENS_MTR'!$S$6:$S$1005,A328,'ITENS_MTR'!$AO$6:$AO$1005,1))</f>
        <v>0</v>
      </c>
      <c r="AJ328" s="96">
        <f>IF(Z328=0,0,COUNTIFS('ITENS_MTR'!$S$6:$S$1005,A328,'ITENS_MTR'!$AN$6:$AN$1005,1))</f>
        <v>0</v>
      </c>
      <c r="AK328" s="96">
        <f>IF(Z328=0,0,COUNTIFS('RECEBIMENTOS'!$B$6:$B$1005,A328,'RECEBIMENTOS'!$Y$6:$Y$1005,1))</f>
        <v>0</v>
      </c>
      <c r="AL328" s="96">
        <f>IF(Z328=0,0,COUNTIFS('VÍNCULOS_CDF'!$D$6:$D$1005,A328,'VÍNCULOS_CDF'!$Y$6:$Y$1005,1))</f>
        <v>0</v>
      </c>
      <c r="AM328" s="96">
        <f>IF(Z328=0,0,COUNTIFS('RECEBIMENTOS'!$B$6:$B$1005,A328,'RECEBIMENTOS'!$Q$6:$Q$1005,1))</f>
        <v>0</v>
      </c>
      <c r="AN328" s="96">
        <f>IF(AND(Z328=1,N(W328)&gt;0,AG328=N(W328)),1,0)</f>
        <v>0</v>
      </c>
      <c r="AO328" s="96">
        <f>IF(AND(Z328=1,N(W328)&gt;0,AI328=N(W328)),1,0)</f>
        <v>0</v>
      </c>
      <c r="AP328" s="97">
        <f>IF(Z328=0,0,_xlfn.MAXIFS('RECEBIMENTOS'!$E$6:$E$1005,'RECEBIMENTOS'!$B$6:$B$1005,A328))</f>
        <v>0</v>
      </c>
      <c r="AQ328" s="97" t="str">
        <f>IF(T328="","",IF(T328="RECEBIMENTO NÃO CONFIRMADO",IF(ISNUMBER(F328),F328,IF(ISNUMBER(E328),E328,"")),IF(OR(T328="CDF NÃO LOCALIZADO",T328="VÍNCULO INCOMPLETO",T328="CDF A CONFERIR"),IF(AP328&gt;0,AP328,IF(ISNUMBER(E328),E328,"")),IF(ISNUMBER(E328),E328,""))))</f>
        <v/>
      </c>
      <c r="AR328" s="96">
        <f>IF(NOT(ISNUMBER(U328)),0,IF(T328="RECEBIMENTO NÃO CONFIRMADO",IF(AND(ISNUMBER(cfg_rec),U328&gt;cfg_rec),1,0),IF(OR(T328="CDF NÃO LOCALIZADO",T328="VÍNCULO INCOMPLETO",T328="CDF A CONFERIR"),IF(AND(ISNUMBER(cfg_cdf),U328&gt;cfg_cdf),1,0),0)))</f>
        <v>0</v>
      </c>
      <c r="AS328" s="96" t="str">
        <f>IF(T328="","",IF(AR328=1,"Alta",IFERROR(INDEX(cfg_pp,MATCH(T328,cfg_pt,0))&amp;"","Média")))</f>
        <v/>
      </c>
      <c r="AT328" s="96" t="str">
        <f>IF(T328="","",IFERROR(INDEX(cfg_pv,MATCH(T328,cfg_pt,0))&amp;"",""))</f>
        <v/>
      </c>
      <c r="AU328" s="96" t="str">
        <f>IF(T328="","",IF(AS328="Alta",1,IF(AS328="Média",2,3))*1000000000+(999999-IF(ISNUMBER(U328),MIN(U328,999999),0))*1000+323)</f>
        <v/>
      </c>
      <c r="AV328" s="96">
        <f>IF(T328&lt;&gt;"",1,0)</f>
        <v>0</v>
      </c>
      <c r="AW328" s="96" t="str">
        <f>IF(Z328=0,"",IF(AA328=1,"Cancelamento informado; ","")&amp;IF(AE328=1,"Campos essenciais ou itens faltando; ","")&amp;IF(AC328=1,"Possível duplicidade do número; ","")&amp;IF(AD328=1,"Cadastro ou datas a revisar; ","")&amp;IF(AF328&gt;0,"Item de resíduo com dado a revisar; ","")&amp;IF(AH328&gt;0,"Diferença de quantidade a analisar; ","")&amp;IF(AK328&gt;0,"Recebimento com alerta; ","")&amp;IF(AL328&gt;0,"Vínculo de CDF com alerta; ","")&amp;IF(AND(AA328=0,AN328=0),"Recebimento não confirmado; ","")&amp;IF(AND(AA328=0,AN328=1,AO328=0),"CDF pendente ou a conferir; ",""))</f>
        <v/>
      </c>
      <c r="AX328" s="96">
        <f>IF(Z328=0,0,IF(AND(OR(f_ini="",AND(ISNUMBER(E328),E328&gt;=f_ini)),OR(f_fim="",AND(ISNUMBER(E328),E328&lt;=f_fim)),OR(f_un="",f_un="(Todas)",G328=f_un),OR(f_tr="",f_tr="(Todos)",H328=f_tr),OR(f_de="",f_de="(Todos)",I328=f_de),OR(f_sit="",f_sit="(Todas)",S328=f_sit)),1,0))</f>
        <v>0</v>
      </c>
      <c r="AY328" s="96">
        <f>IF(AX328=0,0,IF(OR(f_res="",f_res="(Todos)"),1,IF(COUNTIFS('ITENS_MTR'!$S$6:$S$1005,A328,'ITENS_MTR'!$C$6:$C$1005,f_res)&gt;0,1,0)))</f>
        <v>0</v>
      </c>
      <c r="AZ328" s="97" t="str">
        <f>IF(ISNUMBER(E328),DATE(YEAR(E328),MONTH(E328),1),"")</f>
        <v/>
      </c>
      <c r="BA328" s="96">
        <f>IF(Z328=0,0,IF(AND(OR(r_ini="",AND(ISNUMBER(E328),E328&gt;=r_ini)),OR(r_fim="",AND(ISNUMBER(E328),E328&lt;=r_fim)),OR(r_un="",r_un="(Todas)",G328=r_un),OR(r_de="",r_de="(Todos)",I328=r_de)),1,0))</f>
        <v>0</v>
      </c>
      <c r="BB328" s="96" t="str">
        <f>IF(BA328=1,COUNTIF($BA$6:BA328,1),"")</f>
        <v/>
      </c>
      <c r="BC328" s="96" t="str">
        <f>IF(AND(AU328&lt;&gt;"",OR(r_un="",r_un="(Todas)",G328=r_un),OR(r_de="",r_de="(Todos)",I328=r_de)),AU328,"")</f>
        <v/>
      </c>
      <c r="BD328" s="96" t="str">
        <f>IF(Z328=1,A328&amp;" | nº "&amp;IF(B328="","(sem número)",B328)&amp;" | "&amp;IF(G328="","(sem unidade)",G328),"")</f>
        <v/>
      </c>
      <c r="BE328" s="96" t="str">
        <f>IF(Z328=1,COUNTIF($Z$6:Z328,1),"")</f>
        <v/>
      </c>
      <c r="BF328" s="96" t="str">
        <f>IF(T328="","",IF(T328="RECEBIMENTO NÃO CONFIRMADO","Transp.: "&amp;H328&amp;" | Dest.: "&amp;I328,IF(OR(T328="CDF NÃO LOCALIZADO",T328="VÍNCULO INCOMPLETO",T328="CDF A CONFERIR"),"Dest.: "&amp;I328,"Gerador: "&amp;G328)))</f>
        <v/>
      </c>
    </row>
    <row r="329">
      <c r="A329" s="89" t="inlineStr">
        <is>
          <t>MTR-000324</t>
        </is>
      </c>
      <c r="B329" s="90" t="n"/>
      <c r="C329" s="91" t="n"/>
      <c r="D329" s="91" t="n"/>
      <c r="E329" s="92" t="n"/>
      <c r="F329" s="92" t="n"/>
      <c r="G329" s="91" t="n"/>
      <c r="H329" s="91" t="n"/>
      <c r="I329" s="91" t="n"/>
      <c r="J329" s="91" t="n"/>
      <c r="K329" s="91" t="n"/>
      <c r="L329" s="92" t="n"/>
      <c r="M329" s="91" t="n"/>
      <c r="N329" s="91" t="n"/>
      <c r="O329" s="91" t="n"/>
      <c r="P329" s="93" t="str">
        <f>IF(Z329=0,"",SUMIFS('ITENS_MTR'!$I$6:$I$1005,'ITENS_MTR'!$S$6:$S$1005,A329,'ITENS_MTR'!$Y$6:$Y$1005,1))</f>
        <v/>
      </c>
      <c r="Q329" s="93" t="str">
        <f>IF(Z329=0,"",SUMIFS('RECEBIMENTOS'!$H$6:$H$1005,'RECEBIMENTOS'!$B$6:$B$1005,A329,'RECEBIMENTOS'!$X$6:$X$1005,1))</f>
        <v/>
      </c>
      <c r="R329" s="93" t="str">
        <f>IF(Z329=0,"",SUMIFS('VÍNCULOS_CDF'!$H$6:$H$1005,'VÍNCULOS_CDF'!$D$6:$D$1005,A329,'VÍNCULOS_CDF'!$V$6:$V$1005,1))</f>
        <v/>
      </c>
      <c r="S329" s="94" t="str">
        <f>IF(Z329=0,"",IF(AA329=1,"Cancelado (informado)",IF(AE329=1,"Cadastro incompleto",IF(OR(AC329=1,AD329=1,AF329&gt;0,AH329&gt;0,AK329&gt;0,AL329&gt;0),"Informação a revisar",IF(AN329=0,"Aguardando recebimento",IF(N(R329)=0,"Aguardando CDF",IF(AJ329&lt;N(W329),"Vínculo de CDF parcial",IF(AO329=0,"CDF localizado, a conferir","Documentação conferida"))))))))</f>
        <v/>
      </c>
      <c r="T329" s="94" t="str">
        <f>IF(Z329=0,"",IF(S329="Cadastro incompleto","MTR INCOMPLETO",IF(S329="Informação a revisar",IF(AND(AH329&gt;0,AC329=0,AD329=0,AF329=0,AK329=0,AL329=0),"QUANTIDADE A REVISAR","IDENTIFICAÇÃO A REVISAR"),IF(S329="Aguardando recebimento","RECEBIMENTO NÃO CONFIRMADO",IF(S329="Aguardando CDF","CDF NÃO LOCALIZADO",IF(S329="Vínculo de CDF parcial","VÍNCULO INCOMPLETO",IF(S329="CDF localizado, a conferir","CDF A CONFERIR","")))))))</f>
        <v/>
      </c>
      <c r="U329" s="95" t="str">
        <f>IF(T329="","",IF(AQ329="","Não calculável",IF(AQ329&gt;TODAY(),"Data futura",TODAY()-AQ329)))</f>
        <v/>
      </c>
      <c r="V329" s="93" t="str">
        <f>IF(Z329=0,"",SUMIFS('RECEBIMENTOS'!$H$6:$H$1005,'RECEBIMENTOS'!$B$6:$B$1005,A329,'RECEBIMENTOS'!$Z$6:$Z$1005,1))</f>
        <v/>
      </c>
      <c r="W329" s="95" t="str">
        <f>IF(Z329=0,"",COUNTIFS('ITENS_MTR'!$S$6:$S$1005,A329,'ITENS_MTR'!$R$6:$R$1005,1))</f>
        <v/>
      </c>
      <c r="X329" s="94" t="str">
        <f>IF(AC329=1,"POSSÍVEL DUPLICIDADE","")</f>
        <v/>
      </c>
      <c r="Y329" s="94" t="str">
        <f>IF(Z329=0,"",IF(AW329="","Nenhuma",LEFT(AW329,LEN(AW329)-2)))</f>
        <v/>
      </c>
      <c r="Z329" s="96">
        <f>IF(COUNTA(B329:O329)&gt;0,1,0)</f>
        <v>0</v>
      </c>
      <c r="AA329" s="96">
        <f>IF(AND(Z329=1,K329&lt;&gt;""),IF(TRIM(K329)=TRIM(cfg_cancel),1,0),0)</f>
        <v>0</v>
      </c>
      <c r="AB329" s="96" t="str">
        <f>IF(AND(Z329=1,B329&lt;&gt;""),C329&amp;"|"&amp;D329&amp;"|"&amp;G329&amp;"|"&amp;TRIM(B329),"")</f>
        <v/>
      </c>
      <c r="AC329" s="96">
        <f>IF(AB329="",0,IF(SUMPRODUCT(--($AB$6:$AB$505=AB329))&gt;1,1,0))</f>
        <v>0</v>
      </c>
      <c r="AD329" s="96">
        <f>IF(Z329=0,0,IF(OR(AND(G329&lt;&gt;"",ISNA(MATCH(G329,'CAD_UNIDADES'!$C$6:$C$105,0))),AND(H329&lt;&gt;"",ISNA(MATCH(H329,cmp_transp,0))),AND(I329&lt;&gt;"",ISNA(MATCH(I329,cmp_dest,0))),AND(E329&lt;&gt;"",NOT(ISNUMBER(E329))),AND(F329&lt;&gt;"",NOT(ISNUMBER(F329))),AND(ISNUMBER(E329),ISNUMBER(F329),F329&lt;E329)),1,0))</f>
        <v>0</v>
      </c>
      <c r="AE329" s="96">
        <f>IF(Z329=0,0,IF(OR(B329="",C329="",E329="",G329="",H329="",I329="",N(W329)=0),1,0))</f>
        <v>0</v>
      </c>
      <c r="AF329" s="96">
        <f>IF(Z329=0,0,COUNTIFS('ITENS_MTR'!$S$6:$S$1005,A329,'ITENS_MTR'!$AI$6:$AI$1005,1))</f>
        <v>0</v>
      </c>
      <c r="AG329" s="96">
        <f>IF(Z329=0,0,COUNTIFS('ITENS_MTR'!$S$6:$S$1005,A329,'ITENS_MTR'!$AJ$6:$AJ$1005,1))</f>
        <v>0</v>
      </c>
      <c r="AH329" s="96">
        <f>IF(Z329=0,0,COUNTIFS('ITENS_MTR'!$S$6:$S$1005,A329,'ITENS_MTR'!$AM$6:$AM$1005,1))</f>
        <v>0</v>
      </c>
      <c r="AI329" s="96">
        <f>IF(Z329=0,0,COUNTIFS('ITENS_MTR'!$S$6:$S$1005,A329,'ITENS_MTR'!$AO$6:$AO$1005,1))</f>
        <v>0</v>
      </c>
      <c r="AJ329" s="96">
        <f>IF(Z329=0,0,COUNTIFS('ITENS_MTR'!$S$6:$S$1005,A329,'ITENS_MTR'!$AN$6:$AN$1005,1))</f>
        <v>0</v>
      </c>
      <c r="AK329" s="96">
        <f>IF(Z329=0,0,COUNTIFS('RECEBIMENTOS'!$B$6:$B$1005,A329,'RECEBIMENTOS'!$Y$6:$Y$1005,1))</f>
        <v>0</v>
      </c>
      <c r="AL329" s="96">
        <f>IF(Z329=0,0,COUNTIFS('VÍNCULOS_CDF'!$D$6:$D$1005,A329,'VÍNCULOS_CDF'!$Y$6:$Y$1005,1))</f>
        <v>0</v>
      </c>
      <c r="AM329" s="96">
        <f>IF(Z329=0,0,COUNTIFS('RECEBIMENTOS'!$B$6:$B$1005,A329,'RECEBIMENTOS'!$Q$6:$Q$1005,1))</f>
        <v>0</v>
      </c>
      <c r="AN329" s="96">
        <f>IF(AND(Z329=1,N(W329)&gt;0,AG329=N(W329)),1,0)</f>
        <v>0</v>
      </c>
      <c r="AO329" s="96">
        <f>IF(AND(Z329=1,N(W329)&gt;0,AI329=N(W329)),1,0)</f>
        <v>0</v>
      </c>
      <c r="AP329" s="97">
        <f>IF(Z329=0,0,_xlfn.MAXIFS('RECEBIMENTOS'!$E$6:$E$1005,'RECEBIMENTOS'!$B$6:$B$1005,A329))</f>
        <v>0</v>
      </c>
      <c r="AQ329" s="97" t="str">
        <f>IF(T329="","",IF(T329="RECEBIMENTO NÃO CONFIRMADO",IF(ISNUMBER(F329),F329,IF(ISNUMBER(E329),E329,"")),IF(OR(T329="CDF NÃO LOCALIZADO",T329="VÍNCULO INCOMPLETO",T329="CDF A CONFERIR"),IF(AP329&gt;0,AP329,IF(ISNUMBER(E329),E329,"")),IF(ISNUMBER(E329),E329,""))))</f>
        <v/>
      </c>
      <c r="AR329" s="96">
        <f>IF(NOT(ISNUMBER(U329)),0,IF(T329="RECEBIMENTO NÃO CONFIRMADO",IF(AND(ISNUMBER(cfg_rec),U329&gt;cfg_rec),1,0),IF(OR(T329="CDF NÃO LOCALIZADO",T329="VÍNCULO INCOMPLETO",T329="CDF A CONFERIR"),IF(AND(ISNUMBER(cfg_cdf),U329&gt;cfg_cdf),1,0),0)))</f>
        <v>0</v>
      </c>
      <c r="AS329" s="96" t="str">
        <f>IF(T329="","",IF(AR329=1,"Alta",IFERROR(INDEX(cfg_pp,MATCH(T329,cfg_pt,0))&amp;"","Média")))</f>
        <v/>
      </c>
      <c r="AT329" s="96" t="str">
        <f>IF(T329="","",IFERROR(INDEX(cfg_pv,MATCH(T329,cfg_pt,0))&amp;"",""))</f>
        <v/>
      </c>
      <c r="AU329" s="96" t="str">
        <f>IF(T329="","",IF(AS329="Alta",1,IF(AS329="Média",2,3))*1000000000+(999999-IF(ISNUMBER(U329),MIN(U329,999999),0))*1000+324)</f>
        <v/>
      </c>
      <c r="AV329" s="96">
        <f>IF(T329&lt;&gt;"",1,0)</f>
        <v>0</v>
      </c>
      <c r="AW329" s="96" t="str">
        <f>IF(Z329=0,"",IF(AA329=1,"Cancelamento informado; ","")&amp;IF(AE329=1,"Campos essenciais ou itens faltando; ","")&amp;IF(AC329=1,"Possível duplicidade do número; ","")&amp;IF(AD329=1,"Cadastro ou datas a revisar; ","")&amp;IF(AF329&gt;0,"Item de resíduo com dado a revisar; ","")&amp;IF(AH329&gt;0,"Diferença de quantidade a analisar; ","")&amp;IF(AK329&gt;0,"Recebimento com alerta; ","")&amp;IF(AL329&gt;0,"Vínculo de CDF com alerta; ","")&amp;IF(AND(AA329=0,AN329=0),"Recebimento não confirmado; ","")&amp;IF(AND(AA329=0,AN329=1,AO329=0),"CDF pendente ou a conferir; ",""))</f>
        <v/>
      </c>
      <c r="AX329" s="96">
        <f>IF(Z329=0,0,IF(AND(OR(f_ini="",AND(ISNUMBER(E329),E329&gt;=f_ini)),OR(f_fim="",AND(ISNUMBER(E329),E329&lt;=f_fim)),OR(f_un="",f_un="(Todas)",G329=f_un),OR(f_tr="",f_tr="(Todos)",H329=f_tr),OR(f_de="",f_de="(Todos)",I329=f_de),OR(f_sit="",f_sit="(Todas)",S329=f_sit)),1,0))</f>
        <v>0</v>
      </c>
      <c r="AY329" s="96">
        <f>IF(AX329=0,0,IF(OR(f_res="",f_res="(Todos)"),1,IF(COUNTIFS('ITENS_MTR'!$S$6:$S$1005,A329,'ITENS_MTR'!$C$6:$C$1005,f_res)&gt;0,1,0)))</f>
        <v>0</v>
      </c>
      <c r="AZ329" s="97" t="str">
        <f>IF(ISNUMBER(E329),DATE(YEAR(E329),MONTH(E329),1),"")</f>
        <v/>
      </c>
      <c r="BA329" s="96">
        <f>IF(Z329=0,0,IF(AND(OR(r_ini="",AND(ISNUMBER(E329),E329&gt;=r_ini)),OR(r_fim="",AND(ISNUMBER(E329),E329&lt;=r_fim)),OR(r_un="",r_un="(Todas)",G329=r_un),OR(r_de="",r_de="(Todos)",I329=r_de)),1,0))</f>
        <v>0</v>
      </c>
      <c r="BB329" s="96" t="str">
        <f>IF(BA329=1,COUNTIF($BA$6:BA329,1),"")</f>
        <v/>
      </c>
      <c r="BC329" s="96" t="str">
        <f>IF(AND(AU329&lt;&gt;"",OR(r_un="",r_un="(Todas)",G329=r_un),OR(r_de="",r_de="(Todos)",I329=r_de)),AU329,"")</f>
        <v/>
      </c>
      <c r="BD329" s="96" t="str">
        <f>IF(Z329=1,A329&amp;" | nº "&amp;IF(B329="","(sem número)",B329)&amp;" | "&amp;IF(G329="","(sem unidade)",G329),"")</f>
        <v/>
      </c>
      <c r="BE329" s="96" t="str">
        <f>IF(Z329=1,COUNTIF($Z$6:Z329,1),"")</f>
        <v/>
      </c>
      <c r="BF329" s="96" t="str">
        <f>IF(T329="","",IF(T329="RECEBIMENTO NÃO CONFIRMADO","Transp.: "&amp;H329&amp;" | Dest.: "&amp;I329,IF(OR(T329="CDF NÃO LOCALIZADO",T329="VÍNCULO INCOMPLETO",T329="CDF A CONFERIR"),"Dest.: "&amp;I329,"Gerador: "&amp;G329)))</f>
        <v/>
      </c>
    </row>
    <row r="330">
      <c r="A330" s="89" t="inlineStr">
        <is>
          <t>MTR-000325</t>
        </is>
      </c>
      <c r="B330" s="90" t="n"/>
      <c r="C330" s="91" t="n"/>
      <c r="D330" s="91" t="n"/>
      <c r="E330" s="92" t="n"/>
      <c r="F330" s="92" t="n"/>
      <c r="G330" s="91" t="n"/>
      <c r="H330" s="91" t="n"/>
      <c r="I330" s="91" t="n"/>
      <c r="J330" s="91" t="n"/>
      <c r="K330" s="91" t="n"/>
      <c r="L330" s="92" t="n"/>
      <c r="M330" s="91" t="n"/>
      <c r="N330" s="91" t="n"/>
      <c r="O330" s="91" t="n"/>
      <c r="P330" s="93" t="str">
        <f>IF(Z330=0,"",SUMIFS('ITENS_MTR'!$I$6:$I$1005,'ITENS_MTR'!$S$6:$S$1005,A330,'ITENS_MTR'!$Y$6:$Y$1005,1))</f>
        <v/>
      </c>
      <c r="Q330" s="93" t="str">
        <f>IF(Z330=0,"",SUMIFS('RECEBIMENTOS'!$H$6:$H$1005,'RECEBIMENTOS'!$B$6:$B$1005,A330,'RECEBIMENTOS'!$X$6:$X$1005,1))</f>
        <v/>
      </c>
      <c r="R330" s="93" t="str">
        <f>IF(Z330=0,"",SUMIFS('VÍNCULOS_CDF'!$H$6:$H$1005,'VÍNCULOS_CDF'!$D$6:$D$1005,A330,'VÍNCULOS_CDF'!$V$6:$V$1005,1))</f>
        <v/>
      </c>
      <c r="S330" s="94" t="str">
        <f>IF(Z330=0,"",IF(AA330=1,"Cancelado (informado)",IF(AE330=1,"Cadastro incompleto",IF(OR(AC330=1,AD330=1,AF330&gt;0,AH330&gt;0,AK330&gt;0,AL330&gt;0),"Informação a revisar",IF(AN330=0,"Aguardando recebimento",IF(N(R330)=0,"Aguardando CDF",IF(AJ330&lt;N(W330),"Vínculo de CDF parcial",IF(AO330=0,"CDF localizado, a conferir","Documentação conferida"))))))))</f>
        <v/>
      </c>
      <c r="T330" s="94" t="str">
        <f>IF(Z330=0,"",IF(S330="Cadastro incompleto","MTR INCOMPLETO",IF(S330="Informação a revisar",IF(AND(AH330&gt;0,AC330=0,AD330=0,AF330=0,AK330=0,AL330=0),"QUANTIDADE A REVISAR","IDENTIFICAÇÃO A REVISAR"),IF(S330="Aguardando recebimento","RECEBIMENTO NÃO CONFIRMADO",IF(S330="Aguardando CDF","CDF NÃO LOCALIZADO",IF(S330="Vínculo de CDF parcial","VÍNCULO INCOMPLETO",IF(S330="CDF localizado, a conferir","CDF A CONFERIR","")))))))</f>
        <v/>
      </c>
      <c r="U330" s="95" t="str">
        <f>IF(T330="","",IF(AQ330="","Não calculável",IF(AQ330&gt;TODAY(),"Data futura",TODAY()-AQ330)))</f>
        <v/>
      </c>
      <c r="V330" s="93" t="str">
        <f>IF(Z330=0,"",SUMIFS('RECEBIMENTOS'!$H$6:$H$1005,'RECEBIMENTOS'!$B$6:$B$1005,A330,'RECEBIMENTOS'!$Z$6:$Z$1005,1))</f>
        <v/>
      </c>
      <c r="W330" s="95" t="str">
        <f>IF(Z330=0,"",COUNTIFS('ITENS_MTR'!$S$6:$S$1005,A330,'ITENS_MTR'!$R$6:$R$1005,1))</f>
        <v/>
      </c>
      <c r="X330" s="94" t="str">
        <f>IF(AC330=1,"POSSÍVEL DUPLICIDADE","")</f>
        <v/>
      </c>
      <c r="Y330" s="94" t="str">
        <f>IF(Z330=0,"",IF(AW330="","Nenhuma",LEFT(AW330,LEN(AW330)-2)))</f>
        <v/>
      </c>
      <c r="Z330" s="96">
        <f>IF(COUNTA(B330:O330)&gt;0,1,0)</f>
        <v>0</v>
      </c>
      <c r="AA330" s="96">
        <f>IF(AND(Z330=1,K330&lt;&gt;""),IF(TRIM(K330)=TRIM(cfg_cancel),1,0),0)</f>
        <v>0</v>
      </c>
      <c r="AB330" s="96" t="str">
        <f>IF(AND(Z330=1,B330&lt;&gt;""),C330&amp;"|"&amp;D330&amp;"|"&amp;G330&amp;"|"&amp;TRIM(B330),"")</f>
        <v/>
      </c>
      <c r="AC330" s="96">
        <f>IF(AB330="",0,IF(SUMPRODUCT(--($AB$6:$AB$505=AB330))&gt;1,1,0))</f>
        <v>0</v>
      </c>
      <c r="AD330" s="96">
        <f>IF(Z330=0,0,IF(OR(AND(G330&lt;&gt;"",ISNA(MATCH(G330,'CAD_UNIDADES'!$C$6:$C$105,0))),AND(H330&lt;&gt;"",ISNA(MATCH(H330,cmp_transp,0))),AND(I330&lt;&gt;"",ISNA(MATCH(I330,cmp_dest,0))),AND(E330&lt;&gt;"",NOT(ISNUMBER(E330))),AND(F330&lt;&gt;"",NOT(ISNUMBER(F330))),AND(ISNUMBER(E330),ISNUMBER(F330),F330&lt;E330)),1,0))</f>
        <v>0</v>
      </c>
      <c r="AE330" s="96">
        <f>IF(Z330=0,0,IF(OR(B330="",C330="",E330="",G330="",H330="",I330="",N(W330)=0),1,0))</f>
        <v>0</v>
      </c>
      <c r="AF330" s="96">
        <f>IF(Z330=0,0,COUNTIFS('ITENS_MTR'!$S$6:$S$1005,A330,'ITENS_MTR'!$AI$6:$AI$1005,1))</f>
        <v>0</v>
      </c>
      <c r="AG330" s="96">
        <f>IF(Z330=0,0,COUNTIFS('ITENS_MTR'!$S$6:$S$1005,A330,'ITENS_MTR'!$AJ$6:$AJ$1005,1))</f>
        <v>0</v>
      </c>
      <c r="AH330" s="96">
        <f>IF(Z330=0,0,COUNTIFS('ITENS_MTR'!$S$6:$S$1005,A330,'ITENS_MTR'!$AM$6:$AM$1005,1))</f>
        <v>0</v>
      </c>
      <c r="AI330" s="96">
        <f>IF(Z330=0,0,COUNTIFS('ITENS_MTR'!$S$6:$S$1005,A330,'ITENS_MTR'!$AO$6:$AO$1005,1))</f>
        <v>0</v>
      </c>
      <c r="AJ330" s="96">
        <f>IF(Z330=0,0,COUNTIFS('ITENS_MTR'!$S$6:$S$1005,A330,'ITENS_MTR'!$AN$6:$AN$1005,1))</f>
        <v>0</v>
      </c>
      <c r="AK330" s="96">
        <f>IF(Z330=0,0,COUNTIFS('RECEBIMENTOS'!$B$6:$B$1005,A330,'RECEBIMENTOS'!$Y$6:$Y$1005,1))</f>
        <v>0</v>
      </c>
      <c r="AL330" s="96">
        <f>IF(Z330=0,0,COUNTIFS('VÍNCULOS_CDF'!$D$6:$D$1005,A330,'VÍNCULOS_CDF'!$Y$6:$Y$1005,1))</f>
        <v>0</v>
      </c>
      <c r="AM330" s="96">
        <f>IF(Z330=0,0,COUNTIFS('RECEBIMENTOS'!$B$6:$B$1005,A330,'RECEBIMENTOS'!$Q$6:$Q$1005,1))</f>
        <v>0</v>
      </c>
      <c r="AN330" s="96">
        <f>IF(AND(Z330=1,N(W330)&gt;0,AG330=N(W330)),1,0)</f>
        <v>0</v>
      </c>
      <c r="AO330" s="96">
        <f>IF(AND(Z330=1,N(W330)&gt;0,AI330=N(W330)),1,0)</f>
        <v>0</v>
      </c>
      <c r="AP330" s="97">
        <f>IF(Z330=0,0,_xlfn.MAXIFS('RECEBIMENTOS'!$E$6:$E$1005,'RECEBIMENTOS'!$B$6:$B$1005,A330))</f>
        <v>0</v>
      </c>
      <c r="AQ330" s="97" t="str">
        <f>IF(T330="","",IF(T330="RECEBIMENTO NÃO CONFIRMADO",IF(ISNUMBER(F330),F330,IF(ISNUMBER(E330),E330,"")),IF(OR(T330="CDF NÃO LOCALIZADO",T330="VÍNCULO INCOMPLETO",T330="CDF A CONFERIR"),IF(AP330&gt;0,AP330,IF(ISNUMBER(E330),E330,"")),IF(ISNUMBER(E330),E330,""))))</f>
        <v/>
      </c>
      <c r="AR330" s="96">
        <f>IF(NOT(ISNUMBER(U330)),0,IF(T330="RECEBIMENTO NÃO CONFIRMADO",IF(AND(ISNUMBER(cfg_rec),U330&gt;cfg_rec),1,0),IF(OR(T330="CDF NÃO LOCALIZADO",T330="VÍNCULO INCOMPLETO",T330="CDF A CONFERIR"),IF(AND(ISNUMBER(cfg_cdf),U330&gt;cfg_cdf),1,0),0)))</f>
        <v>0</v>
      </c>
      <c r="AS330" s="96" t="str">
        <f>IF(T330="","",IF(AR330=1,"Alta",IFERROR(INDEX(cfg_pp,MATCH(T330,cfg_pt,0))&amp;"","Média")))</f>
        <v/>
      </c>
      <c r="AT330" s="96" t="str">
        <f>IF(T330="","",IFERROR(INDEX(cfg_pv,MATCH(T330,cfg_pt,0))&amp;"",""))</f>
        <v/>
      </c>
      <c r="AU330" s="96" t="str">
        <f>IF(T330="","",IF(AS330="Alta",1,IF(AS330="Média",2,3))*1000000000+(999999-IF(ISNUMBER(U330),MIN(U330,999999),0))*1000+325)</f>
        <v/>
      </c>
      <c r="AV330" s="96">
        <f>IF(T330&lt;&gt;"",1,0)</f>
        <v>0</v>
      </c>
      <c r="AW330" s="96" t="str">
        <f>IF(Z330=0,"",IF(AA330=1,"Cancelamento informado; ","")&amp;IF(AE330=1,"Campos essenciais ou itens faltando; ","")&amp;IF(AC330=1,"Possível duplicidade do número; ","")&amp;IF(AD330=1,"Cadastro ou datas a revisar; ","")&amp;IF(AF330&gt;0,"Item de resíduo com dado a revisar; ","")&amp;IF(AH330&gt;0,"Diferença de quantidade a analisar; ","")&amp;IF(AK330&gt;0,"Recebimento com alerta; ","")&amp;IF(AL330&gt;0,"Vínculo de CDF com alerta; ","")&amp;IF(AND(AA330=0,AN330=0),"Recebimento não confirmado; ","")&amp;IF(AND(AA330=0,AN330=1,AO330=0),"CDF pendente ou a conferir; ",""))</f>
        <v/>
      </c>
      <c r="AX330" s="96">
        <f>IF(Z330=0,0,IF(AND(OR(f_ini="",AND(ISNUMBER(E330),E330&gt;=f_ini)),OR(f_fim="",AND(ISNUMBER(E330),E330&lt;=f_fim)),OR(f_un="",f_un="(Todas)",G330=f_un),OR(f_tr="",f_tr="(Todos)",H330=f_tr),OR(f_de="",f_de="(Todos)",I330=f_de),OR(f_sit="",f_sit="(Todas)",S330=f_sit)),1,0))</f>
        <v>0</v>
      </c>
      <c r="AY330" s="96">
        <f>IF(AX330=0,0,IF(OR(f_res="",f_res="(Todos)"),1,IF(COUNTIFS('ITENS_MTR'!$S$6:$S$1005,A330,'ITENS_MTR'!$C$6:$C$1005,f_res)&gt;0,1,0)))</f>
        <v>0</v>
      </c>
      <c r="AZ330" s="97" t="str">
        <f>IF(ISNUMBER(E330),DATE(YEAR(E330),MONTH(E330),1),"")</f>
        <v/>
      </c>
      <c r="BA330" s="96">
        <f>IF(Z330=0,0,IF(AND(OR(r_ini="",AND(ISNUMBER(E330),E330&gt;=r_ini)),OR(r_fim="",AND(ISNUMBER(E330),E330&lt;=r_fim)),OR(r_un="",r_un="(Todas)",G330=r_un),OR(r_de="",r_de="(Todos)",I330=r_de)),1,0))</f>
        <v>0</v>
      </c>
      <c r="BB330" s="96" t="str">
        <f>IF(BA330=1,COUNTIF($BA$6:BA330,1),"")</f>
        <v/>
      </c>
      <c r="BC330" s="96" t="str">
        <f>IF(AND(AU330&lt;&gt;"",OR(r_un="",r_un="(Todas)",G330=r_un),OR(r_de="",r_de="(Todos)",I330=r_de)),AU330,"")</f>
        <v/>
      </c>
      <c r="BD330" s="96" t="str">
        <f>IF(Z330=1,A330&amp;" | nº "&amp;IF(B330="","(sem número)",B330)&amp;" | "&amp;IF(G330="","(sem unidade)",G330),"")</f>
        <v/>
      </c>
      <c r="BE330" s="96" t="str">
        <f>IF(Z330=1,COUNTIF($Z$6:Z330,1),"")</f>
        <v/>
      </c>
      <c r="BF330" s="96" t="str">
        <f>IF(T330="","",IF(T330="RECEBIMENTO NÃO CONFIRMADO","Transp.: "&amp;H330&amp;" | Dest.: "&amp;I330,IF(OR(T330="CDF NÃO LOCALIZADO",T330="VÍNCULO INCOMPLETO",T330="CDF A CONFERIR"),"Dest.: "&amp;I330,"Gerador: "&amp;G330)))</f>
        <v/>
      </c>
    </row>
    <row r="331">
      <c r="A331" s="89" t="inlineStr">
        <is>
          <t>MTR-000326</t>
        </is>
      </c>
      <c r="B331" s="90" t="n"/>
      <c r="C331" s="91" t="n"/>
      <c r="D331" s="91" t="n"/>
      <c r="E331" s="92" t="n"/>
      <c r="F331" s="92" t="n"/>
      <c r="G331" s="91" t="n"/>
      <c r="H331" s="91" t="n"/>
      <c r="I331" s="91" t="n"/>
      <c r="J331" s="91" t="n"/>
      <c r="K331" s="91" t="n"/>
      <c r="L331" s="92" t="n"/>
      <c r="M331" s="91" t="n"/>
      <c r="N331" s="91" t="n"/>
      <c r="O331" s="91" t="n"/>
      <c r="P331" s="93" t="str">
        <f>IF(Z331=0,"",SUMIFS('ITENS_MTR'!$I$6:$I$1005,'ITENS_MTR'!$S$6:$S$1005,A331,'ITENS_MTR'!$Y$6:$Y$1005,1))</f>
        <v/>
      </c>
      <c r="Q331" s="93" t="str">
        <f>IF(Z331=0,"",SUMIFS('RECEBIMENTOS'!$H$6:$H$1005,'RECEBIMENTOS'!$B$6:$B$1005,A331,'RECEBIMENTOS'!$X$6:$X$1005,1))</f>
        <v/>
      </c>
      <c r="R331" s="93" t="str">
        <f>IF(Z331=0,"",SUMIFS('VÍNCULOS_CDF'!$H$6:$H$1005,'VÍNCULOS_CDF'!$D$6:$D$1005,A331,'VÍNCULOS_CDF'!$V$6:$V$1005,1))</f>
        <v/>
      </c>
      <c r="S331" s="94" t="str">
        <f>IF(Z331=0,"",IF(AA331=1,"Cancelado (informado)",IF(AE331=1,"Cadastro incompleto",IF(OR(AC331=1,AD331=1,AF331&gt;0,AH331&gt;0,AK331&gt;0,AL331&gt;0),"Informação a revisar",IF(AN331=0,"Aguardando recebimento",IF(N(R331)=0,"Aguardando CDF",IF(AJ331&lt;N(W331),"Vínculo de CDF parcial",IF(AO331=0,"CDF localizado, a conferir","Documentação conferida"))))))))</f>
        <v/>
      </c>
      <c r="T331" s="94" t="str">
        <f>IF(Z331=0,"",IF(S331="Cadastro incompleto","MTR INCOMPLETO",IF(S331="Informação a revisar",IF(AND(AH331&gt;0,AC331=0,AD331=0,AF331=0,AK331=0,AL331=0),"QUANTIDADE A REVISAR","IDENTIFICAÇÃO A REVISAR"),IF(S331="Aguardando recebimento","RECEBIMENTO NÃO CONFIRMADO",IF(S331="Aguardando CDF","CDF NÃO LOCALIZADO",IF(S331="Vínculo de CDF parcial","VÍNCULO INCOMPLETO",IF(S331="CDF localizado, a conferir","CDF A CONFERIR","")))))))</f>
        <v/>
      </c>
      <c r="U331" s="95" t="str">
        <f>IF(T331="","",IF(AQ331="","Não calculável",IF(AQ331&gt;TODAY(),"Data futura",TODAY()-AQ331)))</f>
        <v/>
      </c>
      <c r="V331" s="93" t="str">
        <f>IF(Z331=0,"",SUMIFS('RECEBIMENTOS'!$H$6:$H$1005,'RECEBIMENTOS'!$B$6:$B$1005,A331,'RECEBIMENTOS'!$Z$6:$Z$1005,1))</f>
        <v/>
      </c>
      <c r="W331" s="95" t="str">
        <f>IF(Z331=0,"",COUNTIFS('ITENS_MTR'!$S$6:$S$1005,A331,'ITENS_MTR'!$R$6:$R$1005,1))</f>
        <v/>
      </c>
      <c r="X331" s="94" t="str">
        <f>IF(AC331=1,"POSSÍVEL DUPLICIDADE","")</f>
        <v/>
      </c>
      <c r="Y331" s="94" t="str">
        <f>IF(Z331=0,"",IF(AW331="","Nenhuma",LEFT(AW331,LEN(AW331)-2)))</f>
        <v/>
      </c>
      <c r="Z331" s="96">
        <f>IF(COUNTA(B331:O331)&gt;0,1,0)</f>
        <v>0</v>
      </c>
      <c r="AA331" s="96">
        <f>IF(AND(Z331=1,K331&lt;&gt;""),IF(TRIM(K331)=TRIM(cfg_cancel),1,0),0)</f>
        <v>0</v>
      </c>
      <c r="AB331" s="96" t="str">
        <f>IF(AND(Z331=1,B331&lt;&gt;""),C331&amp;"|"&amp;D331&amp;"|"&amp;G331&amp;"|"&amp;TRIM(B331),"")</f>
        <v/>
      </c>
      <c r="AC331" s="96">
        <f>IF(AB331="",0,IF(SUMPRODUCT(--($AB$6:$AB$505=AB331))&gt;1,1,0))</f>
        <v>0</v>
      </c>
      <c r="AD331" s="96">
        <f>IF(Z331=0,0,IF(OR(AND(G331&lt;&gt;"",ISNA(MATCH(G331,'CAD_UNIDADES'!$C$6:$C$105,0))),AND(H331&lt;&gt;"",ISNA(MATCH(H331,cmp_transp,0))),AND(I331&lt;&gt;"",ISNA(MATCH(I331,cmp_dest,0))),AND(E331&lt;&gt;"",NOT(ISNUMBER(E331))),AND(F331&lt;&gt;"",NOT(ISNUMBER(F331))),AND(ISNUMBER(E331),ISNUMBER(F331),F331&lt;E331)),1,0))</f>
        <v>0</v>
      </c>
      <c r="AE331" s="96">
        <f>IF(Z331=0,0,IF(OR(B331="",C331="",E331="",G331="",H331="",I331="",N(W331)=0),1,0))</f>
        <v>0</v>
      </c>
      <c r="AF331" s="96">
        <f>IF(Z331=0,0,COUNTIFS('ITENS_MTR'!$S$6:$S$1005,A331,'ITENS_MTR'!$AI$6:$AI$1005,1))</f>
        <v>0</v>
      </c>
      <c r="AG331" s="96">
        <f>IF(Z331=0,0,COUNTIFS('ITENS_MTR'!$S$6:$S$1005,A331,'ITENS_MTR'!$AJ$6:$AJ$1005,1))</f>
        <v>0</v>
      </c>
      <c r="AH331" s="96">
        <f>IF(Z331=0,0,COUNTIFS('ITENS_MTR'!$S$6:$S$1005,A331,'ITENS_MTR'!$AM$6:$AM$1005,1))</f>
        <v>0</v>
      </c>
      <c r="AI331" s="96">
        <f>IF(Z331=0,0,COUNTIFS('ITENS_MTR'!$S$6:$S$1005,A331,'ITENS_MTR'!$AO$6:$AO$1005,1))</f>
        <v>0</v>
      </c>
      <c r="AJ331" s="96">
        <f>IF(Z331=0,0,COUNTIFS('ITENS_MTR'!$S$6:$S$1005,A331,'ITENS_MTR'!$AN$6:$AN$1005,1))</f>
        <v>0</v>
      </c>
      <c r="AK331" s="96">
        <f>IF(Z331=0,0,COUNTIFS('RECEBIMENTOS'!$B$6:$B$1005,A331,'RECEBIMENTOS'!$Y$6:$Y$1005,1))</f>
        <v>0</v>
      </c>
      <c r="AL331" s="96">
        <f>IF(Z331=0,0,COUNTIFS('VÍNCULOS_CDF'!$D$6:$D$1005,A331,'VÍNCULOS_CDF'!$Y$6:$Y$1005,1))</f>
        <v>0</v>
      </c>
      <c r="AM331" s="96">
        <f>IF(Z331=0,0,COUNTIFS('RECEBIMENTOS'!$B$6:$B$1005,A331,'RECEBIMENTOS'!$Q$6:$Q$1005,1))</f>
        <v>0</v>
      </c>
      <c r="AN331" s="96">
        <f>IF(AND(Z331=1,N(W331)&gt;0,AG331=N(W331)),1,0)</f>
        <v>0</v>
      </c>
      <c r="AO331" s="96">
        <f>IF(AND(Z331=1,N(W331)&gt;0,AI331=N(W331)),1,0)</f>
        <v>0</v>
      </c>
      <c r="AP331" s="97">
        <f>IF(Z331=0,0,_xlfn.MAXIFS('RECEBIMENTOS'!$E$6:$E$1005,'RECEBIMENTOS'!$B$6:$B$1005,A331))</f>
        <v>0</v>
      </c>
      <c r="AQ331" s="97" t="str">
        <f>IF(T331="","",IF(T331="RECEBIMENTO NÃO CONFIRMADO",IF(ISNUMBER(F331),F331,IF(ISNUMBER(E331),E331,"")),IF(OR(T331="CDF NÃO LOCALIZADO",T331="VÍNCULO INCOMPLETO",T331="CDF A CONFERIR"),IF(AP331&gt;0,AP331,IF(ISNUMBER(E331),E331,"")),IF(ISNUMBER(E331),E331,""))))</f>
        <v/>
      </c>
      <c r="AR331" s="96">
        <f>IF(NOT(ISNUMBER(U331)),0,IF(T331="RECEBIMENTO NÃO CONFIRMADO",IF(AND(ISNUMBER(cfg_rec),U331&gt;cfg_rec),1,0),IF(OR(T331="CDF NÃO LOCALIZADO",T331="VÍNCULO INCOMPLETO",T331="CDF A CONFERIR"),IF(AND(ISNUMBER(cfg_cdf),U331&gt;cfg_cdf),1,0),0)))</f>
        <v>0</v>
      </c>
      <c r="AS331" s="96" t="str">
        <f>IF(T331="","",IF(AR331=1,"Alta",IFERROR(INDEX(cfg_pp,MATCH(T331,cfg_pt,0))&amp;"","Média")))</f>
        <v/>
      </c>
      <c r="AT331" s="96" t="str">
        <f>IF(T331="","",IFERROR(INDEX(cfg_pv,MATCH(T331,cfg_pt,0))&amp;"",""))</f>
        <v/>
      </c>
      <c r="AU331" s="96" t="str">
        <f>IF(T331="","",IF(AS331="Alta",1,IF(AS331="Média",2,3))*1000000000+(999999-IF(ISNUMBER(U331),MIN(U331,999999),0))*1000+326)</f>
        <v/>
      </c>
      <c r="AV331" s="96">
        <f>IF(T331&lt;&gt;"",1,0)</f>
        <v>0</v>
      </c>
      <c r="AW331" s="96" t="str">
        <f>IF(Z331=0,"",IF(AA331=1,"Cancelamento informado; ","")&amp;IF(AE331=1,"Campos essenciais ou itens faltando; ","")&amp;IF(AC331=1,"Possível duplicidade do número; ","")&amp;IF(AD331=1,"Cadastro ou datas a revisar; ","")&amp;IF(AF331&gt;0,"Item de resíduo com dado a revisar; ","")&amp;IF(AH331&gt;0,"Diferença de quantidade a analisar; ","")&amp;IF(AK331&gt;0,"Recebimento com alerta; ","")&amp;IF(AL331&gt;0,"Vínculo de CDF com alerta; ","")&amp;IF(AND(AA331=0,AN331=0),"Recebimento não confirmado; ","")&amp;IF(AND(AA331=0,AN331=1,AO331=0),"CDF pendente ou a conferir; ",""))</f>
        <v/>
      </c>
      <c r="AX331" s="96">
        <f>IF(Z331=0,0,IF(AND(OR(f_ini="",AND(ISNUMBER(E331),E331&gt;=f_ini)),OR(f_fim="",AND(ISNUMBER(E331),E331&lt;=f_fim)),OR(f_un="",f_un="(Todas)",G331=f_un),OR(f_tr="",f_tr="(Todos)",H331=f_tr),OR(f_de="",f_de="(Todos)",I331=f_de),OR(f_sit="",f_sit="(Todas)",S331=f_sit)),1,0))</f>
        <v>0</v>
      </c>
      <c r="AY331" s="96">
        <f>IF(AX331=0,0,IF(OR(f_res="",f_res="(Todos)"),1,IF(COUNTIFS('ITENS_MTR'!$S$6:$S$1005,A331,'ITENS_MTR'!$C$6:$C$1005,f_res)&gt;0,1,0)))</f>
        <v>0</v>
      </c>
      <c r="AZ331" s="97" t="str">
        <f>IF(ISNUMBER(E331),DATE(YEAR(E331),MONTH(E331),1),"")</f>
        <v/>
      </c>
      <c r="BA331" s="96">
        <f>IF(Z331=0,0,IF(AND(OR(r_ini="",AND(ISNUMBER(E331),E331&gt;=r_ini)),OR(r_fim="",AND(ISNUMBER(E331),E331&lt;=r_fim)),OR(r_un="",r_un="(Todas)",G331=r_un),OR(r_de="",r_de="(Todos)",I331=r_de)),1,0))</f>
        <v>0</v>
      </c>
      <c r="BB331" s="96" t="str">
        <f>IF(BA331=1,COUNTIF($BA$6:BA331,1),"")</f>
        <v/>
      </c>
      <c r="BC331" s="96" t="str">
        <f>IF(AND(AU331&lt;&gt;"",OR(r_un="",r_un="(Todas)",G331=r_un),OR(r_de="",r_de="(Todos)",I331=r_de)),AU331,"")</f>
        <v/>
      </c>
      <c r="BD331" s="96" t="str">
        <f>IF(Z331=1,A331&amp;" | nº "&amp;IF(B331="","(sem número)",B331)&amp;" | "&amp;IF(G331="","(sem unidade)",G331),"")</f>
        <v/>
      </c>
      <c r="BE331" s="96" t="str">
        <f>IF(Z331=1,COUNTIF($Z$6:Z331,1),"")</f>
        <v/>
      </c>
      <c r="BF331" s="96" t="str">
        <f>IF(T331="","",IF(T331="RECEBIMENTO NÃO CONFIRMADO","Transp.: "&amp;H331&amp;" | Dest.: "&amp;I331,IF(OR(T331="CDF NÃO LOCALIZADO",T331="VÍNCULO INCOMPLETO",T331="CDF A CONFERIR"),"Dest.: "&amp;I331,"Gerador: "&amp;G331)))</f>
        <v/>
      </c>
    </row>
    <row r="332">
      <c r="A332" s="89" t="inlineStr">
        <is>
          <t>MTR-000327</t>
        </is>
      </c>
      <c r="B332" s="90" t="n"/>
      <c r="C332" s="91" t="n"/>
      <c r="D332" s="91" t="n"/>
      <c r="E332" s="92" t="n"/>
      <c r="F332" s="92" t="n"/>
      <c r="G332" s="91" t="n"/>
      <c r="H332" s="91" t="n"/>
      <c r="I332" s="91" t="n"/>
      <c r="J332" s="91" t="n"/>
      <c r="K332" s="91" t="n"/>
      <c r="L332" s="92" t="n"/>
      <c r="M332" s="91" t="n"/>
      <c r="N332" s="91" t="n"/>
      <c r="O332" s="91" t="n"/>
      <c r="P332" s="93" t="str">
        <f>IF(Z332=0,"",SUMIFS('ITENS_MTR'!$I$6:$I$1005,'ITENS_MTR'!$S$6:$S$1005,A332,'ITENS_MTR'!$Y$6:$Y$1005,1))</f>
        <v/>
      </c>
      <c r="Q332" s="93" t="str">
        <f>IF(Z332=0,"",SUMIFS('RECEBIMENTOS'!$H$6:$H$1005,'RECEBIMENTOS'!$B$6:$B$1005,A332,'RECEBIMENTOS'!$X$6:$X$1005,1))</f>
        <v/>
      </c>
      <c r="R332" s="93" t="str">
        <f>IF(Z332=0,"",SUMIFS('VÍNCULOS_CDF'!$H$6:$H$1005,'VÍNCULOS_CDF'!$D$6:$D$1005,A332,'VÍNCULOS_CDF'!$V$6:$V$1005,1))</f>
        <v/>
      </c>
      <c r="S332" s="94" t="str">
        <f>IF(Z332=0,"",IF(AA332=1,"Cancelado (informado)",IF(AE332=1,"Cadastro incompleto",IF(OR(AC332=1,AD332=1,AF332&gt;0,AH332&gt;0,AK332&gt;0,AL332&gt;0),"Informação a revisar",IF(AN332=0,"Aguardando recebimento",IF(N(R332)=0,"Aguardando CDF",IF(AJ332&lt;N(W332),"Vínculo de CDF parcial",IF(AO332=0,"CDF localizado, a conferir","Documentação conferida"))))))))</f>
        <v/>
      </c>
      <c r="T332" s="94" t="str">
        <f>IF(Z332=0,"",IF(S332="Cadastro incompleto","MTR INCOMPLETO",IF(S332="Informação a revisar",IF(AND(AH332&gt;0,AC332=0,AD332=0,AF332=0,AK332=0,AL332=0),"QUANTIDADE A REVISAR","IDENTIFICAÇÃO A REVISAR"),IF(S332="Aguardando recebimento","RECEBIMENTO NÃO CONFIRMADO",IF(S332="Aguardando CDF","CDF NÃO LOCALIZADO",IF(S332="Vínculo de CDF parcial","VÍNCULO INCOMPLETO",IF(S332="CDF localizado, a conferir","CDF A CONFERIR","")))))))</f>
        <v/>
      </c>
      <c r="U332" s="95" t="str">
        <f>IF(T332="","",IF(AQ332="","Não calculável",IF(AQ332&gt;TODAY(),"Data futura",TODAY()-AQ332)))</f>
        <v/>
      </c>
      <c r="V332" s="93" t="str">
        <f>IF(Z332=0,"",SUMIFS('RECEBIMENTOS'!$H$6:$H$1005,'RECEBIMENTOS'!$B$6:$B$1005,A332,'RECEBIMENTOS'!$Z$6:$Z$1005,1))</f>
        <v/>
      </c>
      <c r="W332" s="95" t="str">
        <f>IF(Z332=0,"",COUNTIFS('ITENS_MTR'!$S$6:$S$1005,A332,'ITENS_MTR'!$R$6:$R$1005,1))</f>
        <v/>
      </c>
      <c r="X332" s="94" t="str">
        <f>IF(AC332=1,"POSSÍVEL DUPLICIDADE","")</f>
        <v/>
      </c>
      <c r="Y332" s="94" t="str">
        <f>IF(Z332=0,"",IF(AW332="","Nenhuma",LEFT(AW332,LEN(AW332)-2)))</f>
        <v/>
      </c>
      <c r="Z332" s="96">
        <f>IF(COUNTA(B332:O332)&gt;0,1,0)</f>
        <v>0</v>
      </c>
      <c r="AA332" s="96">
        <f>IF(AND(Z332=1,K332&lt;&gt;""),IF(TRIM(K332)=TRIM(cfg_cancel),1,0),0)</f>
        <v>0</v>
      </c>
      <c r="AB332" s="96" t="str">
        <f>IF(AND(Z332=1,B332&lt;&gt;""),C332&amp;"|"&amp;D332&amp;"|"&amp;G332&amp;"|"&amp;TRIM(B332),"")</f>
        <v/>
      </c>
      <c r="AC332" s="96">
        <f>IF(AB332="",0,IF(SUMPRODUCT(--($AB$6:$AB$505=AB332))&gt;1,1,0))</f>
        <v>0</v>
      </c>
      <c r="AD332" s="96">
        <f>IF(Z332=0,0,IF(OR(AND(G332&lt;&gt;"",ISNA(MATCH(G332,'CAD_UNIDADES'!$C$6:$C$105,0))),AND(H332&lt;&gt;"",ISNA(MATCH(H332,cmp_transp,0))),AND(I332&lt;&gt;"",ISNA(MATCH(I332,cmp_dest,0))),AND(E332&lt;&gt;"",NOT(ISNUMBER(E332))),AND(F332&lt;&gt;"",NOT(ISNUMBER(F332))),AND(ISNUMBER(E332),ISNUMBER(F332),F332&lt;E332)),1,0))</f>
        <v>0</v>
      </c>
      <c r="AE332" s="96">
        <f>IF(Z332=0,0,IF(OR(B332="",C332="",E332="",G332="",H332="",I332="",N(W332)=0),1,0))</f>
        <v>0</v>
      </c>
      <c r="AF332" s="96">
        <f>IF(Z332=0,0,COUNTIFS('ITENS_MTR'!$S$6:$S$1005,A332,'ITENS_MTR'!$AI$6:$AI$1005,1))</f>
        <v>0</v>
      </c>
      <c r="AG332" s="96">
        <f>IF(Z332=0,0,COUNTIFS('ITENS_MTR'!$S$6:$S$1005,A332,'ITENS_MTR'!$AJ$6:$AJ$1005,1))</f>
        <v>0</v>
      </c>
      <c r="AH332" s="96">
        <f>IF(Z332=0,0,COUNTIFS('ITENS_MTR'!$S$6:$S$1005,A332,'ITENS_MTR'!$AM$6:$AM$1005,1))</f>
        <v>0</v>
      </c>
      <c r="AI332" s="96">
        <f>IF(Z332=0,0,COUNTIFS('ITENS_MTR'!$S$6:$S$1005,A332,'ITENS_MTR'!$AO$6:$AO$1005,1))</f>
        <v>0</v>
      </c>
      <c r="AJ332" s="96">
        <f>IF(Z332=0,0,COUNTIFS('ITENS_MTR'!$S$6:$S$1005,A332,'ITENS_MTR'!$AN$6:$AN$1005,1))</f>
        <v>0</v>
      </c>
      <c r="AK332" s="96">
        <f>IF(Z332=0,0,COUNTIFS('RECEBIMENTOS'!$B$6:$B$1005,A332,'RECEBIMENTOS'!$Y$6:$Y$1005,1))</f>
        <v>0</v>
      </c>
      <c r="AL332" s="96">
        <f>IF(Z332=0,0,COUNTIFS('VÍNCULOS_CDF'!$D$6:$D$1005,A332,'VÍNCULOS_CDF'!$Y$6:$Y$1005,1))</f>
        <v>0</v>
      </c>
      <c r="AM332" s="96">
        <f>IF(Z332=0,0,COUNTIFS('RECEBIMENTOS'!$B$6:$B$1005,A332,'RECEBIMENTOS'!$Q$6:$Q$1005,1))</f>
        <v>0</v>
      </c>
      <c r="AN332" s="96">
        <f>IF(AND(Z332=1,N(W332)&gt;0,AG332=N(W332)),1,0)</f>
        <v>0</v>
      </c>
      <c r="AO332" s="96">
        <f>IF(AND(Z332=1,N(W332)&gt;0,AI332=N(W332)),1,0)</f>
        <v>0</v>
      </c>
      <c r="AP332" s="97">
        <f>IF(Z332=0,0,_xlfn.MAXIFS('RECEBIMENTOS'!$E$6:$E$1005,'RECEBIMENTOS'!$B$6:$B$1005,A332))</f>
        <v>0</v>
      </c>
      <c r="AQ332" s="97" t="str">
        <f>IF(T332="","",IF(T332="RECEBIMENTO NÃO CONFIRMADO",IF(ISNUMBER(F332),F332,IF(ISNUMBER(E332),E332,"")),IF(OR(T332="CDF NÃO LOCALIZADO",T332="VÍNCULO INCOMPLETO",T332="CDF A CONFERIR"),IF(AP332&gt;0,AP332,IF(ISNUMBER(E332),E332,"")),IF(ISNUMBER(E332),E332,""))))</f>
        <v/>
      </c>
      <c r="AR332" s="96">
        <f>IF(NOT(ISNUMBER(U332)),0,IF(T332="RECEBIMENTO NÃO CONFIRMADO",IF(AND(ISNUMBER(cfg_rec),U332&gt;cfg_rec),1,0),IF(OR(T332="CDF NÃO LOCALIZADO",T332="VÍNCULO INCOMPLETO",T332="CDF A CONFERIR"),IF(AND(ISNUMBER(cfg_cdf),U332&gt;cfg_cdf),1,0),0)))</f>
        <v>0</v>
      </c>
      <c r="AS332" s="96" t="str">
        <f>IF(T332="","",IF(AR332=1,"Alta",IFERROR(INDEX(cfg_pp,MATCH(T332,cfg_pt,0))&amp;"","Média")))</f>
        <v/>
      </c>
      <c r="AT332" s="96" t="str">
        <f>IF(T332="","",IFERROR(INDEX(cfg_pv,MATCH(T332,cfg_pt,0))&amp;"",""))</f>
        <v/>
      </c>
      <c r="AU332" s="96" t="str">
        <f>IF(T332="","",IF(AS332="Alta",1,IF(AS332="Média",2,3))*1000000000+(999999-IF(ISNUMBER(U332),MIN(U332,999999),0))*1000+327)</f>
        <v/>
      </c>
      <c r="AV332" s="96">
        <f>IF(T332&lt;&gt;"",1,0)</f>
        <v>0</v>
      </c>
      <c r="AW332" s="96" t="str">
        <f>IF(Z332=0,"",IF(AA332=1,"Cancelamento informado; ","")&amp;IF(AE332=1,"Campos essenciais ou itens faltando; ","")&amp;IF(AC332=1,"Possível duplicidade do número; ","")&amp;IF(AD332=1,"Cadastro ou datas a revisar; ","")&amp;IF(AF332&gt;0,"Item de resíduo com dado a revisar; ","")&amp;IF(AH332&gt;0,"Diferença de quantidade a analisar; ","")&amp;IF(AK332&gt;0,"Recebimento com alerta; ","")&amp;IF(AL332&gt;0,"Vínculo de CDF com alerta; ","")&amp;IF(AND(AA332=0,AN332=0),"Recebimento não confirmado; ","")&amp;IF(AND(AA332=0,AN332=1,AO332=0),"CDF pendente ou a conferir; ",""))</f>
        <v/>
      </c>
      <c r="AX332" s="96">
        <f>IF(Z332=0,0,IF(AND(OR(f_ini="",AND(ISNUMBER(E332),E332&gt;=f_ini)),OR(f_fim="",AND(ISNUMBER(E332),E332&lt;=f_fim)),OR(f_un="",f_un="(Todas)",G332=f_un),OR(f_tr="",f_tr="(Todos)",H332=f_tr),OR(f_de="",f_de="(Todos)",I332=f_de),OR(f_sit="",f_sit="(Todas)",S332=f_sit)),1,0))</f>
        <v>0</v>
      </c>
      <c r="AY332" s="96">
        <f>IF(AX332=0,0,IF(OR(f_res="",f_res="(Todos)"),1,IF(COUNTIFS('ITENS_MTR'!$S$6:$S$1005,A332,'ITENS_MTR'!$C$6:$C$1005,f_res)&gt;0,1,0)))</f>
        <v>0</v>
      </c>
      <c r="AZ332" s="97" t="str">
        <f>IF(ISNUMBER(E332),DATE(YEAR(E332),MONTH(E332),1),"")</f>
        <v/>
      </c>
      <c r="BA332" s="96">
        <f>IF(Z332=0,0,IF(AND(OR(r_ini="",AND(ISNUMBER(E332),E332&gt;=r_ini)),OR(r_fim="",AND(ISNUMBER(E332),E332&lt;=r_fim)),OR(r_un="",r_un="(Todas)",G332=r_un),OR(r_de="",r_de="(Todos)",I332=r_de)),1,0))</f>
        <v>0</v>
      </c>
      <c r="BB332" s="96" t="str">
        <f>IF(BA332=1,COUNTIF($BA$6:BA332,1),"")</f>
        <v/>
      </c>
      <c r="BC332" s="96" t="str">
        <f>IF(AND(AU332&lt;&gt;"",OR(r_un="",r_un="(Todas)",G332=r_un),OR(r_de="",r_de="(Todos)",I332=r_de)),AU332,"")</f>
        <v/>
      </c>
      <c r="BD332" s="96" t="str">
        <f>IF(Z332=1,A332&amp;" | nº "&amp;IF(B332="","(sem número)",B332)&amp;" | "&amp;IF(G332="","(sem unidade)",G332),"")</f>
        <v/>
      </c>
      <c r="BE332" s="96" t="str">
        <f>IF(Z332=1,COUNTIF($Z$6:Z332,1),"")</f>
        <v/>
      </c>
      <c r="BF332" s="96" t="str">
        <f>IF(T332="","",IF(T332="RECEBIMENTO NÃO CONFIRMADO","Transp.: "&amp;H332&amp;" | Dest.: "&amp;I332,IF(OR(T332="CDF NÃO LOCALIZADO",T332="VÍNCULO INCOMPLETO",T332="CDF A CONFERIR"),"Dest.: "&amp;I332,"Gerador: "&amp;G332)))</f>
        <v/>
      </c>
    </row>
    <row r="333">
      <c r="A333" s="89" t="inlineStr">
        <is>
          <t>MTR-000328</t>
        </is>
      </c>
      <c r="B333" s="90" t="n"/>
      <c r="C333" s="91" t="n"/>
      <c r="D333" s="91" t="n"/>
      <c r="E333" s="92" t="n"/>
      <c r="F333" s="92" t="n"/>
      <c r="G333" s="91" t="n"/>
      <c r="H333" s="91" t="n"/>
      <c r="I333" s="91" t="n"/>
      <c r="J333" s="91" t="n"/>
      <c r="K333" s="91" t="n"/>
      <c r="L333" s="92" t="n"/>
      <c r="M333" s="91" t="n"/>
      <c r="N333" s="91" t="n"/>
      <c r="O333" s="91" t="n"/>
      <c r="P333" s="93" t="str">
        <f>IF(Z333=0,"",SUMIFS('ITENS_MTR'!$I$6:$I$1005,'ITENS_MTR'!$S$6:$S$1005,A333,'ITENS_MTR'!$Y$6:$Y$1005,1))</f>
        <v/>
      </c>
      <c r="Q333" s="93" t="str">
        <f>IF(Z333=0,"",SUMIFS('RECEBIMENTOS'!$H$6:$H$1005,'RECEBIMENTOS'!$B$6:$B$1005,A333,'RECEBIMENTOS'!$X$6:$X$1005,1))</f>
        <v/>
      </c>
      <c r="R333" s="93" t="str">
        <f>IF(Z333=0,"",SUMIFS('VÍNCULOS_CDF'!$H$6:$H$1005,'VÍNCULOS_CDF'!$D$6:$D$1005,A333,'VÍNCULOS_CDF'!$V$6:$V$1005,1))</f>
        <v/>
      </c>
      <c r="S333" s="94" t="str">
        <f>IF(Z333=0,"",IF(AA333=1,"Cancelado (informado)",IF(AE333=1,"Cadastro incompleto",IF(OR(AC333=1,AD333=1,AF333&gt;0,AH333&gt;0,AK333&gt;0,AL333&gt;0),"Informação a revisar",IF(AN333=0,"Aguardando recebimento",IF(N(R333)=0,"Aguardando CDF",IF(AJ333&lt;N(W333),"Vínculo de CDF parcial",IF(AO333=0,"CDF localizado, a conferir","Documentação conferida"))))))))</f>
        <v/>
      </c>
      <c r="T333" s="94" t="str">
        <f>IF(Z333=0,"",IF(S333="Cadastro incompleto","MTR INCOMPLETO",IF(S333="Informação a revisar",IF(AND(AH333&gt;0,AC333=0,AD333=0,AF333=0,AK333=0,AL333=0),"QUANTIDADE A REVISAR","IDENTIFICAÇÃO A REVISAR"),IF(S333="Aguardando recebimento","RECEBIMENTO NÃO CONFIRMADO",IF(S333="Aguardando CDF","CDF NÃO LOCALIZADO",IF(S333="Vínculo de CDF parcial","VÍNCULO INCOMPLETO",IF(S333="CDF localizado, a conferir","CDF A CONFERIR","")))))))</f>
        <v/>
      </c>
      <c r="U333" s="95" t="str">
        <f>IF(T333="","",IF(AQ333="","Não calculável",IF(AQ333&gt;TODAY(),"Data futura",TODAY()-AQ333)))</f>
        <v/>
      </c>
      <c r="V333" s="93" t="str">
        <f>IF(Z333=0,"",SUMIFS('RECEBIMENTOS'!$H$6:$H$1005,'RECEBIMENTOS'!$B$6:$B$1005,A333,'RECEBIMENTOS'!$Z$6:$Z$1005,1))</f>
        <v/>
      </c>
      <c r="W333" s="95" t="str">
        <f>IF(Z333=0,"",COUNTIFS('ITENS_MTR'!$S$6:$S$1005,A333,'ITENS_MTR'!$R$6:$R$1005,1))</f>
        <v/>
      </c>
      <c r="X333" s="94" t="str">
        <f>IF(AC333=1,"POSSÍVEL DUPLICIDADE","")</f>
        <v/>
      </c>
      <c r="Y333" s="94" t="str">
        <f>IF(Z333=0,"",IF(AW333="","Nenhuma",LEFT(AW333,LEN(AW333)-2)))</f>
        <v/>
      </c>
      <c r="Z333" s="96">
        <f>IF(COUNTA(B333:O333)&gt;0,1,0)</f>
        <v>0</v>
      </c>
      <c r="AA333" s="96">
        <f>IF(AND(Z333=1,K333&lt;&gt;""),IF(TRIM(K333)=TRIM(cfg_cancel),1,0),0)</f>
        <v>0</v>
      </c>
      <c r="AB333" s="96" t="str">
        <f>IF(AND(Z333=1,B333&lt;&gt;""),C333&amp;"|"&amp;D333&amp;"|"&amp;G333&amp;"|"&amp;TRIM(B333),"")</f>
        <v/>
      </c>
      <c r="AC333" s="96">
        <f>IF(AB333="",0,IF(SUMPRODUCT(--($AB$6:$AB$505=AB333))&gt;1,1,0))</f>
        <v>0</v>
      </c>
      <c r="AD333" s="96">
        <f>IF(Z333=0,0,IF(OR(AND(G333&lt;&gt;"",ISNA(MATCH(G333,'CAD_UNIDADES'!$C$6:$C$105,0))),AND(H333&lt;&gt;"",ISNA(MATCH(H333,cmp_transp,0))),AND(I333&lt;&gt;"",ISNA(MATCH(I333,cmp_dest,0))),AND(E333&lt;&gt;"",NOT(ISNUMBER(E333))),AND(F333&lt;&gt;"",NOT(ISNUMBER(F333))),AND(ISNUMBER(E333),ISNUMBER(F333),F333&lt;E333)),1,0))</f>
        <v>0</v>
      </c>
      <c r="AE333" s="96">
        <f>IF(Z333=0,0,IF(OR(B333="",C333="",E333="",G333="",H333="",I333="",N(W333)=0),1,0))</f>
        <v>0</v>
      </c>
      <c r="AF333" s="96">
        <f>IF(Z333=0,0,COUNTIFS('ITENS_MTR'!$S$6:$S$1005,A333,'ITENS_MTR'!$AI$6:$AI$1005,1))</f>
        <v>0</v>
      </c>
      <c r="AG333" s="96">
        <f>IF(Z333=0,0,COUNTIFS('ITENS_MTR'!$S$6:$S$1005,A333,'ITENS_MTR'!$AJ$6:$AJ$1005,1))</f>
        <v>0</v>
      </c>
      <c r="AH333" s="96">
        <f>IF(Z333=0,0,COUNTIFS('ITENS_MTR'!$S$6:$S$1005,A333,'ITENS_MTR'!$AM$6:$AM$1005,1))</f>
        <v>0</v>
      </c>
      <c r="AI333" s="96">
        <f>IF(Z333=0,0,COUNTIFS('ITENS_MTR'!$S$6:$S$1005,A333,'ITENS_MTR'!$AO$6:$AO$1005,1))</f>
        <v>0</v>
      </c>
      <c r="AJ333" s="96">
        <f>IF(Z333=0,0,COUNTIFS('ITENS_MTR'!$S$6:$S$1005,A333,'ITENS_MTR'!$AN$6:$AN$1005,1))</f>
        <v>0</v>
      </c>
      <c r="AK333" s="96">
        <f>IF(Z333=0,0,COUNTIFS('RECEBIMENTOS'!$B$6:$B$1005,A333,'RECEBIMENTOS'!$Y$6:$Y$1005,1))</f>
        <v>0</v>
      </c>
      <c r="AL333" s="96">
        <f>IF(Z333=0,0,COUNTIFS('VÍNCULOS_CDF'!$D$6:$D$1005,A333,'VÍNCULOS_CDF'!$Y$6:$Y$1005,1))</f>
        <v>0</v>
      </c>
      <c r="AM333" s="96">
        <f>IF(Z333=0,0,COUNTIFS('RECEBIMENTOS'!$B$6:$B$1005,A333,'RECEBIMENTOS'!$Q$6:$Q$1005,1))</f>
        <v>0</v>
      </c>
      <c r="AN333" s="96">
        <f>IF(AND(Z333=1,N(W333)&gt;0,AG333=N(W333)),1,0)</f>
        <v>0</v>
      </c>
      <c r="AO333" s="96">
        <f>IF(AND(Z333=1,N(W333)&gt;0,AI333=N(W333)),1,0)</f>
        <v>0</v>
      </c>
      <c r="AP333" s="97">
        <f>IF(Z333=0,0,_xlfn.MAXIFS('RECEBIMENTOS'!$E$6:$E$1005,'RECEBIMENTOS'!$B$6:$B$1005,A333))</f>
        <v>0</v>
      </c>
      <c r="AQ333" s="97" t="str">
        <f>IF(T333="","",IF(T333="RECEBIMENTO NÃO CONFIRMADO",IF(ISNUMBER(F333),F333,IF(ISNUMBER(E333),E333,"")),IF(OR(T333="CDF NÃO LOCALIZADO",T333="VÍNCULO INCOMPLETO",T333="CDF A CONFERIR"),IF(AP333&gt;0,AP333,IF(ISNUMBER(E333),E333,"")),IF(ISNUMBER(E333),E333,""))))</f>
        <v/>
      </c>
      <c r="AR333" s="96">
        <f>IF(NOT(ISNUMBER(U333)),0,IF(T333="RECEBIMENTO NÃO CONFIRMADO",IF(AND(ISNUMBER(cfg_rec),U333&gt;cfg_rec),1,0),IF(OR(T333="CDF NÃO LOCALIZADO",T333="VÍNCULO INCOMPLETO",T333="CDF A CONFERIR"),IF(AND(ISNUMBER(cfg_cdf),U333&gt;cfg_cdf),1,0),0)))</f>
        <v>0</v>
      </c>
      <c r="AS333" s="96" t="str">
        <f>IF(T333="","",IF(AR333=1,"Alta",IFERROR(INDEX(cfg_pp,MATCH(T333,cfg_pt,0))&amp;"","Média")))</f>
        <v/>
      </c>
      <c r="AT333" s="96" t="str">
        <f>IF(T333="","",IFERROR(INDEX(cfg_pv,MATCH(T333,cfg_pt,0))&amp;"",""))</f>
        <v/>
      </c>
      <c r="AU333" s="96" t="str">
        <f>IF(T333="","",IF(AS333="Alta",1,IF(AS333="Média",2,3))*1000000000+(999999-IF(ISNUMBER(U333),MIN(U333,999999),0))*1000+328)</f>
        <v/>
      </c>
      <c r="AV333" s="96">
        <f>IF(T333&lt;&gt;"",1,0)</f>
        <v>0</v>
      </c>
      <c r="AW333" s="96" t="str">
        <f>IF(Z333=0,"",IF(AA333=1,"Cancelamento informado; ","")&amp;IF(AE333=1,"Campos essenciais ou itens faltando; ","")&amp;IF(AC333=1,"Possível duplicidade do número; ","")&amp;IF(AD333=1,"Cadastro ou datas a revisar; ","")&amp;IF(AF333&gt;0,"Item de resíduo com dado a revisar; ","")&amp;IF(AH333&gt;0,"Diferença de quantidade a analisar; ","")&amp;IF(AK333&gt;0,"Recebimento com alerta; ","")&amp;IF(AL333&gt;0,"Vínculo de CDF com alerta; ","")&amp;IF(AND(AA333=0,AN333=0),"Recebimento não confirmado; ","")&amp;IF(AND(AA333=0,AN333=1,AO333=0),"CDF pendente ou a conferir; ",""))</f>
        <v/>
      </c>
      <c r="AX333" s="96">
        <f>IF(Z333=0,0,IF(AND(OR(f_ini="",AND(ISNUMBER(E333),E333&gt;=f_ini)),OR(f_fim="",AND(ISNUMBER(E333),E333&lt;=f_fim)),OR(f_un="",f_un="(Todas)",G333=f_un),OR(f_tr="",f_tr="(Todos)",H333=f_tr),OR(f_de="",f_de="(Todos)",I333=f_de),OR(f_sit="",f_sit="(Todas)",S333=f_sit)),1,0))</f>
        <v>0</v>
      </c>
      <c r="AY333" s="96">
        <f>IF(AX333=0,0,IF(OR(f_res="",f_res="(Todos)"),1,IF(COUNTIFS('ITENS_MTR'!$S$6:$S$1005,A333,'ITENS_MTR'!$C$6:$C$1005,f_res)&gt;0,1,0)))</f>
        <v>0</v>
      </c>
      <c r="AZ333" s="97" t="str">
        <f>IF(ISNUMBER(E333),DATE(YEAR(E333),MONTH(E333),1),"")</f>
        <v/>
      </c>
      <c r="BA333" s="96">
        <f>IF(Z333=0,0,IF(AND(OR(r_ini="",AND(ISNUMBER(E333),E333&gt;=r_ini)),OR(r_fim="",AND(ISNUMBER(E333),E333&lt;=r_fim)),OR(r_un="",r_un="(Todas)",G333=r_un),OR(r_de="",r_de="(Todos)",I333=r_de)),1,0))</f>
        <v>0</v>
      </c>
      <c r="BB333" s="96" t="str">
        <f>IF(BA333=1,COUNTIF($BA$6:BA333,1),"")</f>
        <v/>
      </c>
      <c r="BC333" s="96" t="str">
        <f>IF(AND(AU333&lt;&gt;"",OR(r_un="",r_un="(Todas)",G333=r_un),OR(r_de="",r_de="(Todos)",I333=r_de)),AU333,"")</f>
        <v/>
      </c>
      <c r="BD333" s="96" t="str">
        <f>IF(Z333=1,A333&amp;" | nº "&amp;IF(B333="","(sem número)",B333)&amp;" | "&amp;IF(G333="","(sem unidade)",G333),"")</f>
        <v/>
      </c>
      <c r="BE333" s="96" t="str">
        <f>IF(Z333=1,COUNTIF($Z$6:Z333,1),"")</f>
        <v/>
      </c>
      <c r="BF333" s="96" t="str">
        <f>IF(T333="","",IF(T333="RECEBIMENTO NÃO CONFIRMADO","Transp.: "&amp;H333&amp;" | Dest.: "&amp;I333,IF(OR(T333="CDF NÃO LOCALIZADO",T333="VÍNCULO INCOMPLETO",T333="CDF A CONFERIR"),"Dest.: "&amp;I333,"Gerador: "&amp;G333)))</f>
        <v/>
      </c>
    </row>
    <row r="334">
      <c r="A334" s="89" t="inlineStr">
        <is>
          <t>MTR-000329</t>
        </is>
      </c>
      <c r="B334" s="90" t="n"/>
      <c r="C334" s="91" t="n"/>
      <c r="D334" s="91" t="n"/>
      <c r="E334" s="92" t="n"/>
      <c r="F334" s="92" t="n"/>
      <c r="G334" s="91" t="n"/>
      <c r="H334" s="91" t="n"/>
      <c r="I334" s="91" t="n"/>
      <c r="J334" s="91" t="n"/>
      <c r="K334" s="91" t="n"/>
      <c r="L334" s="92" t="n"/>
      <c r="M334" s="91" t="n"/>
      <c r="N334" s="91" t="n"/>
      <c r="O334" s="91" t="n"/>
      <c r="P334" s="93" t="str">
        <f>IF(Z334=0,"",SUMIFS('ITENS_MTR'!$I$6:$I$1005,'ITENS_MTR'!$S$6:$S$1005,A334,'ITENS_MTR'!$Y$6:$Y$1005,1))</f>
        <v/>
      </c>
      <c r="Q334" s="93" t="str">
        <f>IF(Z334=0,"",SUMIFS('RECEBIMENTOS'!$H$6:$H$1005,'RECEBIMENTOS'!$B$6:$B$1005,A334,'RECEBIMENTOS'!$X$6:$X$1005,1))</f>
        <v/>
      </c>
      <c r="R334" s="93" t="str">
        <f>IF(Z334=0,"",SUMIFS('VÍNCULOS_CDF'!$H$6:$H$1005,'VÍNCULOS_CDF'!$D$6:$D$1005,A334,'VÍNCULOS_CDF'!$V$6:$V$1005,1))</f>
        <v/>
      </c>
      <c r="S334" s="94" t="str">
        <f>IF(Z334=0,"",IF(AA334=1,"Cancelado (informado)",IF(AE334=1,"Cadastro incompleto",IF(OR(AC334=1,AD334=1,AF334&gt;0,AH334&gt;0,AK334&gt;0,AL334&gt;0),"Informação a revisar",IF(AN334=0,"Aguardando recebimento",IF(N(R334)=0,"Aguardando CDF",IF(AJ334&lt;N(W334),"Vínculo de CDF parcial",IF(AO334=0,"CDF localizado, a conferir","Documentação conferida"))))))))</f>
        <v/>
      </c>
      <c r="T334" s="94" t="str">
        <f>IF(Z334=0,"",IF(S334="Cadastro incompleto","MTR INCOMPLETO",IF(S334="Informação a revisar",IF(AND(AH334&gt;0,AC334=0,AD334=0,AF334=0,AK334=0,AL334=0),"QUANTIDADE A REVISAR","IDENTIFICAÇÃO A REVISAR"),IF(S334="Aguardando recebimento","RECEBIMENTO NÃO CONFIRMADO",IF(S334="Aguardando CDF","CDF NÃO LOCALIZADO",IF(S334="Vínculo de CDF parcial","VÍNCULO INCOMPLETO",IF(S334="CDF localizado, a conferir","CDF A CONFERIR","")))))))</f>
        <v/>
      </c>
      <c r="U334" s="95" t="str">
        <f>IF(T334="","",IF(AQ334="","Não calculável",IF(AQ334&gt;TODAY(),"Data futura",TODAY()-AQ334)))</f>
        <v/>
      </c>
      <c r="V334" s="93" t="str">
        <f>IF(Z334=0,"",SUMIFS('RECEBIMENTOS'!$H$6:$H$1005,'RECEBIMENTOS'!$B$6:$B$1005,A334,'RECEBIMENTOS'!$Z$6:$Z$1005,1))</f>
        <v/>
      </c>
      <c r="W334" s="95" t="str">
        <f>IF(Z334=0,"",COUNTIFS('ITENS_MTR'!$S$6:$S$1005,A334,'ITENS_MTR'!$R$6:$R$1005,1))</f>
        <v/>
      </c>
      <c r="X334" s="94" t="str">
        <f>IF(AC334=1,"POSSÍVEL DUPLICIDADE","")</f>
        <v/>
      </c>
      <c r="Y334" s="94" t="str">
        <f>IF(Z334=0,"",IF(AW334="","Nenhuma",LEFT(AW334,LEN(AW334)-2)))</f>
        <v/>
      </c>
      <c r="Z334" s="96">
        <f>IF(COUNTA(B334:O334)&gt;0,1,0)</f>
        <v>0</v>
      </c>
      <c r="AA334" s="96">
        <f>IF(AND(Z334=1,K334&lt;&gt;""),IF(TRIM(K334)=TRIM(cfg_cancel),1,0),0)</f>
        <v>0</v>
      </c>
      <c r="AB334" s="96" t="str">
        <f>IF(AND(Z334=1,B334&lt;&gt;""),C334&amp;"|"&amp;D334&amp;"|"&amp;G334&amp;"|"&amp;TRIM(B334),"")</f>
        <v/>
      </c>
      <c r="AC334" s="96">
        <f>IF(AB334="",0,IF(SUMPRODUCT(--($AB$6:$AB$505=AB334))&gt;1,1,0))</f>
        <v>0</v>
      </c>
      <c r="AD334" s="96">
        <f>IF(Z334=0,0,IF(OR(AND(G334&lt;&gt;"",ISNA(MATCH(G334,'CAD_UNIDADES'!$C$6:$C$105,0))),AND(H334&lt;&gt;"",ISNA(MATCH(H334,cmp_transp,0))),AND(I334&lt;&gt;"",ISNA(MATCH(I334,cmp_dest,0))),AND(E334&lt;&gt;"",NOT(ISNUMBER(E334))),AND(F334&lt;&gt;"",NOT(ISNUMBER(F334))),AND(ISNUMBER(E334),ISNUMBER(F334),F334&lt;E334)),1,0))</f>
        <v>0</v>
      </c>
      <c r="AE334" s="96">
        <f>IF(Z334=0,0,IF(OR(B334="",C334="",E334="",G334="",H334="",I334="",N(W334)=0),1,0))</f>
        <v>0</v>
      </c>
      <c r="AF334" s="96">
        <f>IF(Z334=0,0,COUNTIFS('ITENS_MTR'!$S$6:$S$1005,A334,'ITENS_MTR'!$AI$6:$AI$1005,1))</f>
        <v>0</v>
      </c>
      <c r="AG334" s="96">
        <f>IF(Z334=0,0,COUNTIFS('ITENS_MTR'!$S$6:$S$1005,A334,'ITENS_MTR'!$AJ$6:$AJ$1005,1))</f>
        <v>0</v>
      </c>
      <c r="AH334" s="96">
        <f>IF(Z334=0,0,COUNTIFS('ITENS_MTR'!$S$6:$S$1005,A334,'ITENS_MTR'!$AM$6:$AM$1005,1))</f>
        <v>0</v>
      </c>
      <c r="AI334" s="96">
        <f>IF(Z334=0,0,COUNTIFS('ITENS_MTR'!$S$6:$S$1005,A334,'ITENS_MTR'!$AO$6:$AO$1005,1))</f>
        <v>0</v>
      </c>
      <c r="AJ334" s="96">
        <f>IF(Z334=0,0,COUNTIFS('ITENS_MTR'!$S$6:$S$1005,A334,'ITENS_MTR'!$AN$6:$AN$1005,1))</f>
        <v>0</v>
      </c>
      <c r="AK334" s="96">
        <f>IF(Z334=0,0,COUNTIFS('RECEBIMENTOS'!$B$6:$B$1005,A334,'RECEBIMENTOS'!$Y$6:$Y$1005,1))</f>
        <v>0</v>
      </c>
      <c r="AL334" s="96">
        <f>IF(Z334=0,0,COUNTIFS('VÍNCULOS_CDF'!$D$6:$D$1005,A334,'VÍNCULOS_CDF'!$Y$6:$Y$1005,1))</f>
        <v>0</v>
      </c>
      <c r="AM334" s="96">
        <f>IF(Z334=0,0,COUNTIFS('RECEBIMENTOS'!$B$6:$B$1005,A334,'RECEBIMENTOS'!$Q$6:$Q$1005,1))</f>
        <v>0</v>
      </c>
      <c r="AN334" s="96">
        <f>IF(AND(Z334=1,N(W334)&gt;0,AG334=N(W334)),1,0)</f>
        <v>0</v>
      </c>
      <c r="AO334" s="96">
        <f>IF(AND(Z334=1,N(W334)&gt;0,AI334=N(W334)),1,0)</f>
        <v>0</v>
      </c>
      <c r="AP334" s="97">
        <f>IF(Z334=0,0,_xlfn.MAXIFS('RECEBIMENTOS'!$E$6:$E$1005,'RECEBIMENTOS'!$B$6:$B$1005,A334))</f>
        <v>0</v>
      </c>
      <c r="AQ334" s="97" t="str">
        <f>IF(T334="","",IF(T334="RECEBIMENTO NÃO CONFIRMADO",IF(ISNUMBER(F334),F334,IF(ISNUMBER(E334),E334,"")),IF(OR(T334="CDF NÃO LOCALIZADO",T334="VÍNCULO INCOMPLETO",T334="CDF A CONFERIR"),IF(AP334&gt;0,AP334,IF(ISNUMBER(E334),E334,"")),IF(ISNUMBER(E334),E334,""))))</f>
        <v/>
      </c>
      <c r="AR334" s="96">
        <f>IF(NOT(ISNUMBER(U334)),0,IF(T334="RECEBIMENTO NÃO CONFIRMADO",IF(AND(ISNUMBER(cfg_rec),U334&gt;cfg_rec),1,0),IF(OR(T334="CDF NÃO LOCALIZADO",T334="VÍNCULO INCOMPLETO",T334="CDF A CONFERIR"),IF(AND(ISNUMBER(cfg_cdf),U334&gt;cfg_cdf),1,0),0)))</f>
        <v>0</v>
      </c>
      <c r="AS334" s="96" t="str">
        <f>IF(T334="","",IF(AR334=1,"Alta",IFERROR(INDEX(cfg_pp,MATCH(T334,cfg_pt,0))&amp;"","Média")))</f>
        <v/>
      </c>
      <c r="AT334" s="96" t="str">
        <f>IF(T334="","",IFERROR(INDEX(cfg_pv,MATCH(T334,cfg_pt,0))&amp;"",""))</f>
        <v/>
      </c>
      <c r="AU334" s="96" t="str">
        <f>IF(T334="","",IF(AS334="Alta",1,IF(AS334="Média",2,3))*1000000000+(999999-IF(ISNUMBER(U334),MIN(U334,999999),0))*1000+329)</f>
        <v/>
      </c>
      <c r="AV334" s="96">
        <f>IF(T334&lt;&gt;"",1,0)</f>
        <v>0</v>
      </c>
      <c r="AW334" s="96" t="str">
        <f>IF(Z334=0,"",IF(AA334=1,"Cancelamento informado; ","")&amp;IF(AE334=1,"Campos essenciais ou itens faltando; ","")&amp;IF(AC334=1,"Possível duplicidade do número; ","")&amp;IF(AD334=1,"Cadastro ou datas a revisar; ","")&amp;IF(AF334&gt;0,"Item de resíduo com dado a revisar; ","")&amp;IF(AH334&gt;0,"Diferença de quantidade a analisar; ","")&amp;IF(AK334&gt;0,"Recebimento com alerta; ","")&amp;IF(AL334&gt;0,"Vínculo de CDF com alerta; ","")&amp;IF(AND(AA334=0,AN334=0),"Recebimento não confirmado; ","")&amp;IF(AND(AA334=0,AN334=1,AO334=0),"CDF pendente ou a conferir; ",""))</f>
        <v/>
      </c>
      <c r="AX334" s="96">
        <f>IF(Z334=0,0,IF(AND(OR(f_ini="",AND(ISNUMBER(E334),E334&gt;=f_ini)),OR(f_fim="",AND(ISNUMBER(E334),E334&lt;=f_fim)),OR(f_un="",f_un="(Todas)",G334=f_un),OR(f_tr="",f_tr="(Todos)",H334=f_tr),OR(f_de="",f_de="(Todos)",I334=f_de),OR(f_sit="",f_sit="(Todas)",S334=f_sit)),1,0))</f>
        <v>0</v>
      </c>
      <c r="AY334" s="96">
        <f>IF(AX334=0,0,IF(OR(f_res="",f_res="(Todos)"),1,IF(COUNTIFS('ITENS_MTR'!$S$6:$S$1005,A334,'ITENS_MTR'!$C$6:$C$1005,f_res)&gt;0,1,0)))</f>
        <v>0</v>
      </c>
      <c r="AZ334" s="97" t="str">
        <f>IF(ISNUMBER(E334),DATE(YEAR(E334),MONTH(E334),1),"")</f>
        <v/>
      </c>
      <c r="BA334" s="96">
        <f>IF(Z334=0,0,IF(AND(OR(r_ini="",AND(ISNUMBER(E334),E334&gt;=r_ini)),OR(r_fim="",AND(ISNUMBER(E334),E334&lt;=r_fim)),OR(r_un="",r_un="(Todas)",G334=r_un),OR(r_de="",r_de="(Todos)",I334=r_de)),1,0))</f>
        <v>0</v>
      </c>
      <c r="BB334" s="96" t="str">
        <f>IF(BA334=1,COUNTIF($BA$6:BA334,1),"")</f>
        <v/>
      </c>
      <c r="BC334" s="96" t="str">
        <f>IF(AND(AU334&lt;&gt;"",OR(r_un="",r_un="(Todas)",G334=r_un),OR(r_de="",r_de="(Todos)",I334=r_de)),AU334,"")</f>
        <v/>
      </c>
      <c r="BD334" s="96" t="str">
        <f>IF(Z334=1,A334&amp;" | nº "&amp;IF(B334="","(sem número)",B334)&amp;" | "&amp;IF(G334="","(sem unidade)",G334),"")</f>
        <v/>
      </c>
      <c r="BE334" s="96" t="str">
        <f>IF(Z334=1,COUNTIF($Z$6:Z334,1),"")</f>
        <v/>
      </c>
      <c r="BF334" s="96" t="str">
        <f>IF(T334="","",IF(T334="RECEBIMENTO NÃO CONFIRMADO","Transp.: "&amp;H334&amp;" | Dest.: "&amp;I334,IF(OR(T334="CDF NÃO LOCALIZADO",T334="VÍNCULO INCOMPLETO",T334="CDF A CONFERIR"),"Dest.: "&amp;I334,"Gerador: "&amp;G334)))</f>
        <v/>
      </c>
    </row>
    <row r="335">
      <c r="A335" s="89" t="inlineStr">
        <is>
          <t>MTR-000330</t>
        </is>
      </c>
      <c r="B335" s="90" t="n"/>
      <c r="C335" s="91" t="n"/>
      <c r="D335" s="91" t="n"/>
      <c r="E335" s="92" t="n"/>
      <c r="F335" s="92" t="n"/>
      <c r="G335" s="91" t="n"/>
      <c r="H335" s="91" t="n"/>
      <c r="I335" s="91" t="n"/>
      <c r="J335" s="91" t="n"/>
      <c r="K335" s="91" t="n"/>
      <c r="L335" s="92" t="n"/>
      <c r="M335" s="91" t="n"/>
      <c r="N335" s="91" t="n"/>
      <c r="O335" s="91" t="n"/>
      <c r="P335" s="93" t="str">
        <f>IF(Z335=0,"",SUMIFS('ITENS_MTR'!$I$6:$I$1005,'ITENS_MTR'!$S$6:$S$1005,A335,'ITENS_MTR'!$Y$6:$Y$1005,1))</f>
        <v/>
      </c>
      <c r="Q335" s="93" t="str">
        <f>IF(Z335=0,"",SUMIFS('RECEBIMENTOS'!$H$6:$H$1005,'RECEBIMENTOS'!$B$6:$B$1005,A335,'RECEBIMENTOS'!$X$6:$X$1005,1))</f>
        <v/>
      </c>
      <c r="R335" s="93" t="str">
        <f>IF(Z335=0,"",SUMIFS('VÍNCULOS_CDF'!$H$6:$H$1005,'VÍNCULOS_CDF'!$D$6:$D$1005,A335,'VÍNCULOS_CDF'!$V$6:$V$1005,1))</f>
        <v/>
      </c>
      <c r="S335" s="94" t="str">
        <f>IF(Z335=0,"",IF(AA335=1,"Cancelado (informado)",IF(AE335=1,"Cadastro incompleto",IF(OR(AC335=1,AD335=1,AF335&gt;0,AH335&gt;0,AK335&gt;0,AL335&gt;0),"Informação a revisar",IF(AN335=0,"Aguardando recebimento",IF(N(R335)=0,"Aguardando CDF",IF(AJ335&lt;N(W335),"Vínculo de CDF parcial",IF(AO335=0,"CDF localizado, a conferir","Documentação conferida"))))))))</f>
        <v/>
      </c>
      <c r="T335" s="94" t="str">
        <f>IF(Z335=0,"",IF(S335="Cadastro incompleto","MTR INCOMPLETO",IF(S335="Informação a revisar",IF(AND(AH335&gt;0,AC335=0,AD335=0,AF335=0,AK335=0,AL335=0),"QUANTIDADE A REVISAR","IDENTIFICAÇÃO A REVISAR"),IF(S335="Aguardando recebimento","RECEBIMENTO NÃO CONFIRMADO",IF(S335="Aguardando CDF","CDF NÃO LOCALIZADO",IF(S335="Vínculo de CDF parcial","VÍNCULO INCOMPLETO",IF(S335="CDF localizado, a conferir","CDF A CONFERIR","")))))))</f>
        <v/>
      </c>
      <c r="U335" s="95" t="str">
        <f>IF(T335="","",IF(AQ335="","Não calculável",IF(AQ335&gt;TODAY(),"Data futura",TODAY()-AQ335)))</f>
        <v/>
      </c>
      <c r="V335" s="93" t="str">
        <f>IF(Z335=0,"",SUMIFS('RECEBIMENTOS'!$H$6:$H$1005,'RECEBIMENTOS'!$B$6:$B$1005,A335,'RECEBIMENTOS'!$Z$6:$Z$1005,1))</f>
        <v/>
      </c>
      <c r="W335" s="95" t="str">
        <f>IF(Z335=0,"",COUNTIFS('ITENS_MTR'!$S$6:$S$1005,A335,'ITENS_MTR'!$R$6:$R$1005,1))</f>
        <v/>
      </c>
      <c r="X335" s="94" t="str">
        <f>IF(AC335=1,"POSSÍVEL DUPLICIDADE","")</f>
        <v/>
      </c>
      <c r="Y335" s="94" t="str">
        <f>IF(Z335=0,"",IF(AW335="","Nenhuma",LEFT(AW335,LEN(AW335)-2)))</f>
        <v/>
      </c>
      <c r="Z335" s="96">
        <f>IF(COUNTA(B335:O335)&gt;0,1,0)</f>
        <v>0</v>
      </c>
      <c r="AA335" s="96">
        <f>IF(AND(Z335=1,K335&lt;&gt;""),IF(TRIM(K335)=TRIM(cfg_cancel),1,0),0)</f>
        <v>0</v>
      </c>
      <c r="AB335" s="96" t="str">
        <f>IF(AND(Z335=1,B335&lt;&gt;""),C335&amp;"|"&amp;D335&amp;"|"&amp;G335&amp;"|"&amp;TRIM(B335),"")</f>
        <v/>
      </c>
      <c r="AC335" s="96">
        <f>IF(AB335="",0,IF(SUMPRODUCT(--($AB$6:$AB$505=AB335))&gt;1,1,0))</f>
        <v>0</v>
      </c>
      <c r="AD335" s="96">
        <f>IF(Z335=0,0,IF(OR(AND(G335&lt;&gt;"",ISNA(MATCH(G335,'CAD_UNIDADES'!$C$6:$C$105,0))),AND(H335&lt;&gt;"",ISNA(MATCH(H335,cmp_transp,0))),AND(I335&lt;&gt;"",ISNA(MATCH(I335,cmp_dest,0))),AND(E335&lt;&gt;"",NOT(ISNUMBER(E335))),AND(F335&lt;&gt;"",NOT(ISNUMBER(F335))),AND(ISNUMBER(E335),ISNUMBER(F335),F335&lt;E335)),1,0))</f>
        <v>0</v>
      </c>
      <c r="AE335" s="96">
        <f>IF(Z335=0,0,IF(OR(B335="",C335="",E335="",G335="",H335="",I335="",N(W335)=0),1,0))</f>
        <v>0</v>
      </c>
      <c r="AF335" s="96">
        <f>IF(Z335=0,0,COUNTIFS('ITENS_MTR'!$S$6:$S$1005,A335,'ITENS_MTR'!$AI$6:$AI$1005,1))</f>
        <v>0</v>
      </c>
      <c r="AG335" s="96">
        <f>IF(Z335=0,0,COUNTIFS('ITENS_MTR'!$S$6:$S$1005,A335,'ITENS_MTR'!$AJ$6:$AJ$1005,1))</f>
        <v>0</v>
      </c>
      <c r="AH335" s="96">
        <f>IF(Z335=0,0,COUNTIFS('ITENS_MTR'!$S$6:$S$1005,A335,'ITENS_MTR'!$AM$6:$AM$1005,1))</f>
        <v>0</v>
      </c>
      <c r="AI335" s="96">
        <f>IF(Z335=0,0,COUNTIFS('ITENS_MTR'!$S$6:$S$1005,A335,'ITENS_MTR'!$AO$6:$AO$1005,1))</f>
        <v>0</v>
      </c>
      <c r="AJ335" s="96">
        <f>IF(Z335=0,0,COUNTIFS('ITENS_MTR'!$S$6:$S$1005,A335,'ITENS_MTR'!$AN$6:$AN$1005,1))</f>
        <v>0</v>
      </c>
      <c r="AK335" s="96">
        <f>IF(Z335=0,0,COUNTIFS('RECEBIMENTOS'!$B$6:$B$1005,A335,'RECEBIMENTOS'!$Y$6:$Y$1005,1))</f>
        <v>0</v>
      </c>
      <c r="AL335" s="96">
        <f>IF(Z335=0,0,COUNTIFS('VÍNCULOS_CDF'!$D$6:$D$1005,A335,'VÍNCULOS_CDF'!$Y$6:$Y$1005,1))</f>
        <v>0</v>
      </c>
      <c r="AM335" s="96">
        <f>IF(Z335=0,0,COUNTIFS('RECEBIMENTOS'!$B$6:$B$1005,A335,'RECEBIMENTOS'!$Q$6:$Q$1005,1))</f>
        <v>0</v>
      </c>
      <c r="AN335" s="96">
        <f>IF(AND(Z335=1,N(W335)&gt;0,AG335=N(W335)),1,0)</f>
        <v>0</v>
      </c>
      <c r="AO335" s="96">
        <f>IF(AND(Z335=1,N(W335)&gt;0,AI335=N(W335)),1,0)</f>
        <v>0</v>
      </c>
      <c r="AP335" s="97">
        <f>IF(Z335=0,0,_xlfn.MAXIFS('RECEBIMENTOS'!$E$6:$E$1005,'RECEBIMENTOS'!$B$6:$B$1005,A335))</f>
        <v>0</v>
      </c>
      <c r="AQ335" s="97" t="str">
        <f>IF(T335="","",IF(T335="RECEBIMENTO NÃO CONFIRMADO",IF(ISNUMBER(F335),F335,IF(ISNUMBER(E335),E335,"")),IF(OR(T335="CDF NÃO LOCALIZADO",T335="VÍNCULO INCOMPLETO",T335="CDF A CONFERIR"),IF(AP335&gt;0,AP335,IF(ISNUMBER(E335),E335,"")),IF(ISNUMBER(E335),E335,""))))</f>
        <v/>
      </c>
      <c r="AR335" s="96">
        <f>IF(NOT(ISNUMBER(U335)),0,IF(T335="RECEBIMENTO NÃO CONFIRMADO",IF(AND(ISNUMBER(cfg_rec),U335&gt;cfg_rec),1,0),IF(OR(T335="CDF NÃO LOCALIZADO",T335="VÍNCULO INCOMPLETO",T335="CDF A CONFERIR"),IF(AND(ISNUMBER(cfg_cdf),U335&gt;cfg_cdf),1,0),0)))</f>
        <v>0</v>
      </c>
      <c r="AS335" s="96" t="str">
        <f>IF(T335="","",IF(AR335=1,"Alta",IFERROR(INDEX(cfg_pp,MATCH(T335,cfg_pt,0))&amp;"","Média")))</f>
        <v/>
      </c>
      <c r="AT335" s="96" t="str">
        <f>IF(T335="","",IFERROR(INDEX(cfg_pv,MATCH(T335,cfg_pt,0))&amp;"",""))</f>
        <v/>
      </c>
      <c r="AU335" s="96" t="str">
        <f>IF(T335="","",IF(AS335="Alta",1,IF(AS335="Média",2,3))*1000000000+(999999-IF(ISNUMBER(U335),MIN(U335,999999),0))*1000+330)</f>
        <v/>
      </c>
      <c r="AV335" s="96">
        <f>IF(T335&lt;&gt;"",1,0)</f>
        <v>0</v>
      </c>
      <c r="AW335" s="96" t="str">
        <f>IF(Z335=0,"",IF(AA335=1,"Cancelamento informado; ","")&amp;IF(AE335=1,"Campos essenciais ou itens faltando; ","")&amp;IF(AC335=1,"Possível duplicidade do número; ","")&amp;IF(AD335=1,"Cadastro ou datas a revisar; ","")&amp;IF(AF335&gt;0,"Item de resíduo com dado a revisar; ","")&amp;IF(AH335&gt;0,"Diferença de quantidade a analisar; ","")&amp;IF(AK335&gt;0,"Recebimento com alerta; ","")&amp;IF(AL335&gt;0,"Vínculo de CDF com alerta; ","")&amp;IF(AND(AA335=0,AN335=0),"Recebimento não confirmado; ","")&amp;IF(AND(AA335=0,AN335=1,AO335=0),"CDF pendente ou a conferir; ",""))</f>
        <v/>
      </c>
      <c r="AX335" s="96">
        <f>IF(Z335=0,0,IF(AND(OR(f_ini="",AND(ISNUMBER(E335),E335&gt;=f_ini)),OR(f_fim="",AND(ISNUMBER(E335),E335&lt;=f_fim)),OR(f_un="",f_un="(Todas)",G335=f_un),OR(f_tr="",f_tr="(Todos)",H335=f_tr),OR(f_de="",f_de="(Todos)",I335=f_de),OR(f_sit="",f_sit="(Todas)",S335=f_sit)),1,0))</f>
        <v>0</v>
      </c>
      <c r="AY335" s="96">
        <f>IF(AX335=0,0,IF(OR(f_res="",f_res="(Todos)"),1,IF(COUNTIFS('ITENS_MTR'!$S$6:$S$1005,A335,'ITENS_MTR'!$C$6:$C$1005,f_res)&gt;0,1,0)))</f>
        <v>0</v>
      </c>
      <c r="AZ335" s="97" t="str">
        <f>IF(ISNUMBER(E335),DATE(YEAR(E335),MONTH(E335),1),"")</f>
        <v/>
      </c>
      <c r="BA335" s="96">
        <f>IF(Z335=0,0,IF(AND(OR(r_ini="",AND(ISNUMBER(E335),E335&gt;=r_ini)),OR(r_fim="",AND(ISNUMBER(E335),E335&lt;=r_fim)),OR(r_un="",r_un="(Todas)",G335=r_un),OR(r_de="",r_de="(Todos)",I335=r_de)),1,0))</f>
        <v>0</v>
      </c>
      <c r="BB335" s="96" t="str">
        <f>IF(BA335=1,COUNTIF($BA$6:BA335,1),"")</f>
        <v/>
      </c>
      <c r="BC335" s="96" t="str">
        <f>IF(AND(AU335&lt;&gt;"",OR(r_un="",r_un="(Todas)",G335=r_un),OR(r_de="",r_de="(Todos)",I335=r_de)),AU335,"")</f>
        <v/>
      </c>
      <c r="BD335" s="96" t="str">
        <f>IF(Z335=1,A335&amp;" | nº "&amp;IF(B335="","(sem número)",B335)&amp;" | "&amp;IF(G335="","(sem unidade)",G335),"")</f>
        <v/>
      </c>
      <c r="BE335" s="96" t="str">
        <f>IF(Z335=1,COUNTIF($Z$6:Z335,1),"")</f>
        <v/>
      </c>
      <c r="BF335" s="96" t="str">
        <f>IF(T335="","",IF(T335="RECEBIMENTO NÃO CONFIRMADO","Transp.: "&amp;H335&amp;" | Dest.: "&amp;I335,IF(OR(T335="CDF NÃO LOCALIZADO",T335="VÍNCULO INCOMPLETO",T335="CDF A CONFERIR"),"Dest.: "&amp;I335,"Gerador: "&amp;G335)))</f>
        <v/>
      </c>
    </row>
    <row r="336">
      <c r="A336" s="89" t="inlineStr">
        <is>
          <t>MTR-000331</t>
        </is>
      </c>
      <c r="B336" s="90" t="n"/>
      <c r="C336" s="91" t="n"/>
      <c r="D336" s="91" t="n"/>
      <c r="E336" s="92" t="n"/>
      <c r="F336" s="92" t="n"/>
      <c r="G336" s="91" t="n"/>
      <c r="H336" s="91" t="n"/>
      <c r="I336" s="91" t="n"/>
      <c r="J336" s="91" t="n"/>
      <c r="K336" s="91" t="n"/>
      <c r="L336" s="92" t="n"/>
      <c r="M336" s="91" t="n"/>
      <c r="N336" s="91" t="n"/>
      <c r="O336" s="91" t="n"/>
      <c r="P336" s="93" t="str">
        <f>IF(Z336=0,"",SUMIFS('ITENS_MTR'!$I$6:$I$1005,'ITENS_MTR'!$S$6:$S$1005,A336,'ITENS_MTR'!$Y$6:$Y$1005,1))</f>
        <v/>
      </c>
      <c r="Q336" s="93" t="str">
        <f>IF(Z336=0,"",SUMIFS('RECEBIMENTOS'!$H$6:$H$1005,'RECEBIMENTOS'!$B$6:$B$1005,A336,'RECEBIMENTOS'!$X$6:$X$1005,1))</f>
        <v/>
      </c>
      <c r="R336" s="93" t="str">
        <f>IF(Z336=0,"",SUMIFS('VÍNCULOS_CDF'!$H$6:$H$1005,'VÍNCULOS_CDF'!$D$6:$D$1005,A336,'VÍNCULOS_CDF'!$V$6:$V$1005,1))</f>
        <v/>
      </c>
      <c r="S336" s="94" t="str">
        <f>IF(Z336=0,"",IF(AA336=1,"Cancelado (informado)",IF(AE336=1,"Cadastro incompleto",IF(OR(AC336=1,AD336=1,AF336&gt;0,AH336&gt;0,AK336&gt;0,AL336&gt;0),"Informação a revisar",IF(AN336=0,"Aguardando recebimento",IF(N(R336)=0,"Aguardando CDF",IF(AJ336&lt;N(W336),"Vínculo de CDF parcial",IF(AO336=0,"CDF localizado, a conferir","Documentação conferida"))))))))</f>
        <v/>
      </c>
      <c r="T336" s="94" t="str">
        <f>IF(Z336=0,"",IF(S336="Cadastro incompleto","MTR INCOMPLETO",IF(S336="Informação a revisar",IF(AND(AH336&gt;0,AC336=0,AD336=0,AF336=0,AK336=0,AL336=0),"QUANTIDADE A REVISAR","IDENTIFICAÇÃO A REVISAR"),IF(S336="Aguardando recebimento","RECEBIMENTO NÃO CONFIRMADO",IF(S336="Aguardando CDF","CDF NÃO LOCALIZADO",IF(S336="Vínculo de CDF parcial","VÍNCULO INCOMPLETO",IF(S336="CDF localizado, a conferir","CDF A CONFERIR","")))))))</f>
        <v/>
      </c>
      <c r="U336" s="95" t="str">
        <f>IF(T336="","",IF(AQ336="","Não calculável",IF(AQ336&gt;TODAY(),"Data futura",TODAY()-AQ336)))</f>
        <v/>
      </c>
      <c r="V336" s="93" t="str">
        <f>IF(Z336=0,"",SUMIFS('RECEBIMENTOS'!$H$6:$H$1005,'RECEBIMENTOS'!$B$6:$B$1005,A336,'RECEBIMENTOS'!$Z$6:$Z$1005,1))</f>
        <v/>
      </c>
      <c r="W336" s="95" t="str">
        <f>IF(Z336=0,"",COUNTIFS('ITENS_MTR'!$S$6:$S$1005,A336,'ITENS_MTR'!$R$6:$R$1005,1))</f>
        <v/>
      </c>
      <c r="X336" s="94" t="str">
        <f>IF(AC336=1,"POSSÍVEL DUPLICIDADE","")</f>
        <v/>
      </c>
      <c r="Y336" s="94" t="str">
        <f>IF(Z336=0,"",IF(AW336="","Nenhuma",LEFT(AW336,LEN(AW336)-2)))</f>
        <v/>
      </c>
      <c r="Z336" s="96">
        <f>IF(COUNTA(B336:O336)&gt;0,1,0)</f>
        <v>0</v>
      </c>
      <c r="AA336" s="96">
        <f>IF(AND(Z336=1,K336&lt;&gt;""),IF(TRIM(K336)=TRIM(cfg_cancel),1,0),0)</f>
        <v>0</v>
      </c>
      <c r="AB336" s="96" t="str">
        <f>IF(AND(Z336=1,B336&lt;&gt;""),C336&amp;"|"&amp;D336&amp;"|"&amp;G336&amp;"|"&amp;TRIM(B336),"")</f>
        <v/>
      </c>
      <c r="AC336" s="96">
        <f>IF(AB336="",0,IF(SUMPRODUCT(--($AB$6:$AB$505=AB336))&gt;1,1,0))</f>
        <v>0</v>
      </c>
      <c r="AD336" s="96">
        <f>IF(Z336=0,0,IF(OR(AND(G336&lt;&gt;"",ISNA(MATCH(G336,'CAD_UNIDADES'!$C$6:$C$105,0))),AND(H336&lt;&gt;"",ISNA(MATCH(H336,cmp_transp,0))),AND(I336&lt;&gt;"",ISNA(MATCH(I336,cmp_dest,0))),AND(E336&lt;&gt;"",NOT(ISNUMBER(E336))),AND(F336&lt;&gt;"",NOT(ISNUMBER(F336))),AND(ISNUMBER(E336),ISNUMBER(F336),F336&lt;E336)),1,0))</f>
        <v>0</v>
      </c>
      <c r="AE336" s="96">
        <f>IF(Z336=0,0,IF(OR(B336="",C336="",E336="",G336="",H336="",I336="",N(W336)=0),1,0))</f>
        <v>0</v>
      </c>
      <c r="AF336" s="96">
        <f>IF(Z336=0,0,COUNTIFS('ITENS_MTR'!$S$6:$S$1005,A336,'ITENS_MTR'!$AI$6:$AI$1005,1))</f>
        <v>0</v>
      </c>
      <c r="AG336" s="96">
        <f>IF(Z336=0,0,COUNTIFS('ITENS_MTR'!$S$6:$S$1005,A336,'ITENS_MTR'!$AJ$6:$AJ$1005,1))</f>
        <v>0</v>
      </c>
      <c r="AH336" s="96">
        <f>IF(Z336=0,0,COUNTIFS('ITENS_MTR'!$S$6:$S$1005,A336,'ITENS_MTR'!$AM$6:$AM$1005,1))</f>
        <v>0</v>
      </c>
      <c r="AI336" s="96">
        <f>IF(Z336=0,0,COUNTIFS('ITENS_MTR'!$S$6:$S$1005,A336,'ITENS_MTR'!$AO$6:$AO$1005,1))</f>
        <v>0</v>
      </c>
      <c r="AJ336" s="96">
        <f>IF(Z336=0,0,COUNTIFS('ITENS_MTR'!$S$6:$S$1005,A336,'ITENS_MTR'!$AN$6:$AN$1005,1))</f>
        <v>0</v>
      </c>
      <c r="AK336" s="96">
        <f>IF(Z336=0,0,COUNTIFS('RECEBIMENTOS'!$B$6:$B$1005,A336,'RECEBIMENTOS'!$Y$6:$Y$1005,1))</f>
        <v>0</v>
      </c>
      <c r="AL336" s="96">
        <f>IF(Z336=0,0,COUNTIFS('VÍNCULOS_CDF'!$D$6:$D$1005,A336,'VÍNCULOS_CDF'!$Y$6:$Y$1005,1))</f>
        <v>0</v>
      </c>
      <c r="AM336" s="96">
        <f>IF(Z336=0,0,COUNTIFS('RECEBIMENTOS'!$B$6:$B$1005,A336,'RECEBIMENTOS'!$Q$6:$Q$1005,1))</f>
        <v>0</v>
      </c>
      <c r="AN336" s="96">
        <f>IF(AND(Z336=1,N(W336)&gt;0,AG336=N(W336)),1,0)</f>
        <v>0</v>
      </c>
      <c r="AO336" s="96">
        <f>IF(AND(Z336=1,N(W336)&gt;0,AI336=N(W336)),1,0)</f>
        <v>0</v>
      </c>
      <c r="AP336" s="97">
        <f>IF(Z336=0,0,_xlfn.MAXIFS('RECEBIMENTOS'!$E$6:$E$1005,'RECEBIMENTOS'!$B$6:$B$1005,A336))</f>
        <v>0</v>
      </c>
      <c r="AQ336" s="97" t="str">
        <f>IF(T336="","",IF(T336="RECEBIMENTO NÃO CONFIRMADO",IF(ISNUMBER(F336),F336,IF(ISNUMBER(E336),E336,"")),IF(OR(T336="CDF NÃO LOCALIZADO",T336="VÍNCULO INCOMPLETO",T336="CDF A CONFERIR"),IF(AP336&gt;0,AP336,IF(ISNUMBER(E336),E336,"")),IF(ISNUMBER(E336),E336,""))))</f>
        <v/>
      </c>
      <c r="AR336" s="96">
        <f>IF(NOT(ISNUMBER(U336)),0,IF(T336="RECEBIMENTO NÃO CONFIRMADO",IF(AND(ISNUMBER(cfg_rec),U336&gt;cfg_rec),1,0),IF(OR(T336="CDF NÃO LOCALIZADO",T336="VÍNCULO INCOMPLETO",T336="CDF A CONFERIR"),IF(AND(ISNUMBER(cfg_cdf),U336&gt;cfg_cdf),1,0),0)))</f>
        <v>0</v>
      </c>
      <c r="AS336" s="96" t="str">
        <f>IF(T336="","",IF(AR336=1,"Alta",IFERROR(INDEX(cfg_pp,MATCH(T336,cfg_pt,0))&amp;"","Média")))</f>
        <v/>
      </c>
      <c r="AT336" s="96" t="str">
        <f>IF(T336="","",IFERROR(INDEX(cfg_pv,MATCH(T336,cfg_pt,0))&amp;"",""))</f>
        <v/>
      </c>
      <c r="AU336" s="96" t="str">
        <f>IF(T336="","",IF(AS336="Alta",1,IF(AS336="Média",2,3))*1000000000+(999999-IF(ISNUMBER(U336),MIN(U336,999999),0))*1000+331)</f>
        <v/>
      </c>
      <c r="AV336" s="96">
        <f>IF(T336&lt;&gt;"",1,0)</f>
        <v>0</v>
      </c>
      <c r="AW336" s="96" t="str">
        <f>IF(Z336=0,"",IF(AA336=1,"Cancelamento informado; ","")&amp;IF(AE336=1,"Campos essenciais ou itens faltando; ","")&amp;IF(AC336=1,"Possível duplicidade do número; ","")&amp;IF(AD336=1,"Cadastro ou datas a revisar; ","")&amp;IF(AF336&gt;0,"Item de resíduo com dado a revisar; ","")&amp;IF(AH336&gt;0,"Diferença de quantidade a analisar; ","")&amp;IF(AK336&gt;0,"Recebimento com alerta; ","")&amp;IF(AL336&gt;0,"Vínculo de CDF com alerta; ","")&amp;IF(AND(AA336=0,AN336=0),"Recebimento não confirmado; ","")&amp;IF(AND(AA336=0,AN336=1,AO336=0),"CDF pendente ou a conferir; ",""))</f>
        <v/>
      </c>
      <c r="AX336" s="96">
        <f>IF(Z336=0,0,IF(AND(OR(f_ini="",AND(ISNUMBER(E336),E336&gt;=f_ini)),OR(f_fim="",AND(ISNUMBER(E336),E336&lt;=f_fim)),OR(f_un="",f_un="(Todas)",G336=f_un),OR(f_tr="",f_tr="(Todos)",H336=f_tr),OR(f_de="",f_de="(Todos)",I336=f_de),OR(f_sit="",f_sit="(Todas)",S336=f_sit)),1,0))</f>
        <v>0</v>
      </c>
      <c r="AY336" s="96">
        <f>IF(AX336=0,0,IF(OR(f_res="",f_res="(Todos)"),1,IF(COUNTIFS('ITENS_MTR'!$S$6:$S$1005,A336,'ITENS_MTR'!$C$6:$C$1005,f_res)&gt;0,1,0)))</f>
        <v>0</v>
      </c>
      <c r="AZ336" s="97" t="str">
        <f>IF(ISNUMBER(E336),DATE(YEAR(E336),MONTH(E336),1),"")</f>
        <v/>
      </c>
      <c r="BA336" s="96">
        <f>IF(Z336=0,0,IF(AND(OR(r_ini="",AND(ISNUMBER(E336),E336&gt;=r_ini)),OR(r_fim="",AND(ISNUMBER(E336),E336&lt;=r_fim)),OR(r_un="",r_un="(Todas)",G336=r_un),OR(r_de="",r_de="(Todos)",I336=r_de)),1,0))</f>
        <v>0</v>
      </c>
      <c r="BB336" s="96" t="str">
        <f>IF(BA336=1,COUNTIF($BA$6:BA336,1),"")</f>
        <v/>
      </c>
      <c r="BC336" s="96" t="str">
        <f>IF(AND(AU336&lt;&gt;"",OR(r_un="",r_un="(Todas)",G336=r_un),OR(r_de="",r_de="(Todos)",I336=r_de)),AU336,"")</f>
        <v/>
      </c>
      <c r="BD336" s="96" t="str">
        <f>IF(Z336=1,A336&amp;" | nº "&amp;IF(B336="","(sem número)",B336)&amp;" | "&amp;IF(G336="","(sem unidade)",G336),"")</f>
        <v/>
      </c>
      <c r="BE336" s="96" t="str">
        <f>IF(Z336=1,COUNTIF($Z$6:Z336,1),"")</f>
        <v/>
      </c>
      <c r="BF336" s="96" t="str">
        <f>IF(T336="","",IF(T336="RECEBIMENTO NÃO CONFIRMADO","Transp.: "&amp;H336&amp;" | Dest.: "&amp;I336,IF(OR(T336="CDF NÃO LOCALIZADO",T336="VÍNCULO INCOMPLETO",T336="CDF A CONFERIR"),"Dest.: "&amp;I336,"Gerador: "&amp;G336)))</f>
        <v/>
      </c>
    </row>
    <row r="337">
      <c r="A337" s="89" t="inlineStr">
        <is>
          <t>MTR-000332</t>
        </is>
      </c>
      <c r="B337" s="90" t="n"/>
      <c r="C337" s="91" t="n"/>
      <c r="D337" s="91" t="n"/>
      <c r="E337" s="92" t="n"/>
      <c r="F337" s="92" t="n"/>
      <c r="G337" s="91" t="n"/>
      <c r="H337" s="91" t="n"/>
      <c r="I337" s="91" t="n"/>
      <c r="J337" s="91" t="n"/>
      <c r="K337" s="91" t="n"/>
      <c r="L337" s="92" t="n"/>
      <c r="M337" s="91" t="n"/>
      <c r="N337" s="91" t="n"/>
      <c r="O337" s="91" t="n"/>
      <c r="P337" s="93" t="str">
        <f>IF(Z337=0,"",SUMIFS('ITENS_MTR'!$I$6:$I$1005,'ITENS_MTR'!$S$6:$S$1005,A337,'ITENS_MTR'!$Y$6:$Y$1005,1))</f>
        <v/>
      </c>
      <c r="Q337" s="93" t="str">
        <f>IF(Z337=0,"",SUMIFS('RECEBIMENTOS'!$H$6:$H$1005,'RECEBIMENTOS'!$B$6:$B$1005,A337,'RECEBIMENTOS'!$X$6:$X$1005,1))</f>
        <v/>
      </c>
      <c r="R337" s="93" t="str">
        <f>IF(Z337=0,"",SUMIFS('VÍNCULOS_CDF'!$H$6:$H$1005,'VÍNCULOS_CDF'!$D$6:$D$1005,A337,'VÍNCULOS_CDF'!$V$6:$V$1005,1))</f>
        <v/>
      </c>
      <c r="S337" s="94" t="str">
        <f>IF(Z337=0,"",IF(AA337=1,"Cancelado (informado)",IF(AE337=1,"Cadastro incompleto",IF(OR(AC337=1,AD337=1,AF337&gt;0,AH337&gt;0,AK337&gt;0,AL337&gt;0),"Informação a revisar",IF(AN337=0,"Aguardando recebimento",IF(N(R337)=0,"Aguardando CDF",IF(AJ337&lt;N(W337),"Vínculo de CDF parcial",IF(AO337=0,"CDF localizado, a conferir","Documentação conferida"))))))))</f>
        <v/>
      </c>
      <c r="T337" s="94" t="str">
        <f>IF(Z337=0,"",IF(S337="Cadastro incompleto","MTR INCOMPLETO",IF(S337="Informação a revisar",IF(AND(AH337&gt;0,AC337=0,AD337=0,AF337=0,AK337=0,AL337=0),"QUANTIDADE A REVISAR","IDENTIFICAÇÃO A REVISAR"),IF(S337="Aguardando recebimento","RECEBIMENTO NÃO CONFIRMADO",IF(S337="Aguardando CDF","CDF NÃO LOCALIZADO",IF(S337="Vínculo de CDF parcial","VÍNCULO INCOMPLETO",IF(S337="CDF localizado, a conferir","CDF A CONFERIR","")))))))</f>
        <v/>
      </c>
      <c r="U337" s="95" t="str">
        <f>IF(T337="","",IF(AQ337="","Não calculável",IF(AQ337&gt;TODAY(),"Data futura",TODAY()-AQ337)))</f>
        <v/>
      </c>
      <c r="V337" s="93" t="str">
        <f>IF(Z337=0,"",SUMIFS('RECEBIMENTOS'!$H$6:$H$1005,'RECEBIMENTOS'!$B$6:$B$1005,A337,'RECEBIMENTOS'!$Z$6:$Z$1005,1))</f>
        <v/>
      </c>
      <c r="W337" s="95" t="str">
        <f>IF(Z337=0,"",COUNTIFS('ITENS_MTR'!$S$6:$S$1005,A337,'ITENS_MTR'!$R$6:$R$1005,1))</f>
        <v/>
      </c>
      <c r="X337" s="94" t="str">
        <f>IF(AC337=1,"POSSÍVEL DUPLICIDADE","")</f>
        <v/>
      </c>
      <c r="Y337" s="94" t="str">
        <f>IF(Z337=0,"",IF(AW337="","Nenhuma",LEFT(AW337,LEN(AW337)-2)))</f>
        <v/>
      </c>
      <c r="Z337" s="96">
        <f>IF(COUNTA(B337:O337)&gt;0,1,0)</f>
        <v>0</v>
      </c>
      <c r="AA337" s="96">
        <f>IF(AND(Z337=1,K337&lt;&gt;""),IF(TRIM(K337)=TRIM(cfg_cancel),1,0),0)</f>
        <v>0</v>
      </c>
      <c r="AB337" s="96" t="str">
        <f>IF(AND(Z337=1,B337&lt;&gt;""),C337&amp;"|"&amp;D337&amp;"|"&amp;G337&amp;"|"&amp;TRIM(B337),"")</f>
        <v/>
      </c>
      <c r="AC337" s="96">
        <f>IF(AB337="",0,IF(SUMPRODUCT(--($AB$6:$AB$505=AB337))&gt;1,1,0))</f>
        <v>0</v>
      </c>
      <c r="AD337" s="96">
        <f>IF(Z337=0,0,IF(OR(AND(G337&lt;&gt;"",ISNA(MATCH(G337,'CAD_UNIDADES'!$C$6:$C$105,0))),AND(H337&lt;&gt;"",ISNA(MATCH(H337,cmp_transp,0))),AND(I337&lt;&gt;"",ISNA(MATCH(I337,cmp_dest,0))),AND(E337&lt;&gt;"",NOT(ISNUMBER(E337))),AND(F337&lt;&gt;"",NOT(ISNUMBER(F337))),AND(ISNUMBER(E337),ISNUMBER(F337),F337&lt;E337)),1,0))</f>
        <v>0</v>
      </c>
      <c r="AE337" s="96">
        <f>IF(Z337=0,0,IF(OR(B337="",C337="",E337="",G337="",H337="",I337="",N(W337)=0),1,0))</f>
        <v>0</v>
      </c>
      <c r="AF337" s="96">
        <f>IF(Z337=0,0,COUNTIFS('ITENS_MTR'!$S$6:$S$1005,A337,'ITENS_MTR'!$AI$6:$AI$1005,1))</f>
        <v>0</v>
      </c>
      <c r="AG337" s="96">
        <f>IF(Z337=0,0,COUNTIFS('ITENS_MTR'!$S$6:$S$1005,A337,'ITENS_MTR'!$AJ$6:$AJ$1005,1))</f>
        <v>0</v>
      </c>
      <c r="AH337" s="96">
        <f>IF(Z337=0,0,COUNTIFS('ITENS_MTR'!$S$6:$S$1005,A337,'ITENS_MTR'!$AM$6:$AM$1005,1))</f>
        <v>0</v>
      </c>
      <c r="AI337" s="96">
        <f>IF(Z337=0,0,COUNTIFS('ITENS_MTR'!$S$6:$S$1005,A337,'ITENS_MTR'!$AO$6:$AO$1005,1))</f>
        <v>0</v>
      </c>
      <c r="AJ337" s="96">
        <f>IF(Z337=0,0,COUNTIFS('ITENS_MTR'!$S$6:$S$1005,A337,'ITENS_MTR'!$AN$6:$AN$1005,1))</f>
        <v>0</v>
      </c>
      <c r="AK337" s="96">
        <f>IF(Z337=0,0,COUNTIFS('RECEBIMENTOS'!$B$6:$B$1005,A337,'RECEBIMENTOS'!$Y$6:$Y$1005,1))</f>
        <v>0</v>
      </c>
      <c r="AL337" s="96">
        <f>IF(Z337=0,0,COUNTIFS('VÍNCULOS_CDF'!$D$6:$D$1005,A337,'VÍNCULOS_CDF'!$Y$6:$Y$1005,1))</f>
        <v>0</v>
      </c>
      <c r="AM337" s="96">
        <f>IF(Z337=0,0,COUNTIFS('RECEBIMENTOS'!$B$6:$B$1005,A337,'RECEBIMENTOS'!$Q$6:$Q$1005,1))</f>
        <v>0</v>
      </c>
      <c r="AN337" s="96">
        <f>IF(AND(Z337=1,N(W337)&gt;0,AG337=N(W337)),1,0)</f>
        <v>0</v>
      </c>
      <c r="AO337" s="96">
        <f>IF(AND(Z337=1,N(W337)&gt;0,AI337=N(W337)),1,0)</f>
        <v>0</v>
      </c>
      <c r="AP337" s="97">
        <f>IF(Z337=0,0,_xlfn.MAXIFS('RECEBIMENTOS'!$E$6:$E$1005,'RECEBIMENTOS'!$B$6:$B$1005,A337))</f>
        <v>0</v>
      </c>
      <c r="AQ337" s="97" t="str">
        <f>IF(T337="","",IF(T337="RECEBIMENTO NÃO CONFIRMADO",IF(ISNUMBER(F337),F337,IF(ISNUMBER(E337),E337,"")),IF(OR(T337="CDF NÃO LOCALIZADO",T337="VÍNCULO INCOMPLETO",T337="CDF A CONFERIR"),IF(AP337&gt;0,AP337,IF(ISNUMBER(E337),E337,"")),IF(ISNUMBER(E337),E337,""))))</f>
        <v/>
      </c>
      <c r="AR337" s="96">
        <f>IF(NOT(ISNUMBER(U337)),0,IF(T337="RECEBIMENTO NÃO CONFIRMADO",IF(AND(ISNUMBER(cfg_rec),U337&gt;cfg_rec),1,0),IF(OR(T337="CDF NÃO LOCALIZADO",T337="VÍNCULO INCOMPLETO",T337="CDF A CONFERIR"),IF(AND(ISNUMBER(cfg_cdf),U337&gt;cfg_cdf),1,0),0)))</f>
        <v>0</v>
      </c>
      <c r="AS337" s="96" t="str">
        <f>IF(T337="","",IF(AR337=1,"Alta",IFERROR(INDEX(cfg_pp,MATCH(T337,cfg_pt,0))&amp;"","Média")))</f>
        <v/>
      </c>
      <c r="AT337" s="96" t="str">
        <f>IF(T337="","",IFERROR(INDEX(cfg_pv,MATCH(T337,cfg_pt,0))&amp;"",""))</f>
        <v/>
      </c>
      <c r="AU337" s="96" t="str">
        <f>IF(T337="","",IF(AS337="Alta",1,IF(AS337="Média",2,3))*1000000000+(999999-IF(ISNUMBER(U337),MIN(U337,999999),0))*1000+332)</f>
        <v/>
      </c>
      <c r="AV337" s="96">
        <f>IF(T337&lt;&gt;"",1,0)</f>
        <v>0</v>
      </c>
      <c r="AW337" s="96" t="str">
        <f>IF(Z337=0,"",IF(AA337=1,"Cancelamento informado; ","")&amp;IF(AE337=1,"Campos essenciais ou itens faltando; ","")&amp;IF(AC337=1,"Possível duplicidade do número; ","")&amp;IF(AD337=1,"Cadastro ou datas a revisar; ","")&amp;IF(AF337&gt;0,"Item de resíduo com dado a revisar; ","")&amp;IF(AH337&gt;0,"Diferença de quantidade a analisar; ","")&amp;IF(AK337&gt;0,"Recebimento com alerta; ","")&amp;IF(AL337&gt;0,"Vínculo de CDF com alerta; ","")&amp;IF(AND(AA337=0,AN337=0),"Recebimento não confirmado; ","")&amp;IF(AND(AA337=0,AN337=1,AO337=0),"CDF pendente ou a conferir; ",""))</f>
        <v/>
      </c>
      <c r="AX337" s="96">
        <f>IF(Z337=0,0,IF(AND(OR(f_ini="",AND(ISNUMBER(E337),E337&gt;=f_ini)),OR(f_fim="",AND(ISNUMBER(E337),E337&lt;=f_fim)),OR(f_un="",f_un="(Todas)",G337=f_un),OR(f_tr="",f_tr="(Todos)",H337=f_tr),OR(f_de="",f_de="(Todos)",I337=f_de),OR(f_sit="",f_sit="(Todas)",S337=f_sit)),1,0))</f>
        <v>0</v>
      </c>
      <c r="AY337" s="96">
        <f>IF(AX337=0,0,IF(OR(f_res="",f_res="(Todos)"),1,IF(COUNTIFS('ITENS_MTR'!$S$6:$S$1005,A337,'ITENS_MTR'!$C$6:$C$1005,f_res)&gt;0,1,0)))</f>
        <v>0</v>
      </c>
      <c r="AZ337" s="97" t="str">
        <f>IF(ISNUMBER(E337),DATE(YEAR(E337),MONTH(E337),1),"")</f>
        <v/>
      </c>
      <c r="BA337" s="96">
        <f>IF(Z337=0,0,IF(AND(OR(r_ini="",AND(ISNUMBER(E337),E337&gt;=r_ini)),OR(r_fim="",AND(ISNUMBER(E337),E337&lt;=r_fim)),OR(r_un="",r_un="(Todas)",G337=r_un),OR(r_de="",r_de="(Todos)",I337=r_de)),1,0))</f>
        <v>0</v>
      </c>
      <c r="BB337" s="96" t="str">
        <f>IF(BA337=1,COUNTIF($BA$6:BA337,1),"")</f>
        <v/>
      </c>
      <c r="BC337" s="96" t="str">
        <f>IF(AND(AU337&lt;&gt;"",OR(r_un="",r_un="(Todas)",G337=r_un),OR(r_de="",r_de="(Todos)",I337=r_de)),AU337,"")</f>
        <v/>
      </c>
      <c r="BD337" s="96" t="str">
        <f>IF(Z337=1,A337&amp;" | nº "&amp;IF(B337="","(sem número)",B337)&amp;" | "&amp;IF(G337="","(sem unidade)",G337),"")</f>
        <v/>
      </c>
      <c r="BE337" s="96" t="str">
        <f>IF(Z337=1,COUNTIF($Z$6:Z337,1),"")</f>
        <v/>
      </c>
      <c r="BF337" s="96" t="str">
        <f>IF(T337="","",IF(T337="RECEBIMENTO NÃO CONFIRMADO","Transp.: "&amp;H337&amp;" | Dest.: "&amp;I337,IF(OR(T337="CDF NÃO LOCALIZADO",T337="VÍNCULO INCOMPLETO",T337="CDF A CONFERIR"),"Dest.: "&amp;I337,"Gerador: "&amp;G337)))</f>
        <v/>
      </c>
    </row>
    <row r="338">
      <c r="A338" s="89" t="inlineStr">
        <is>
          <t>MTR-000333</t>
        </is>
      </c>
      <c r="B338" s="90" t="n"/>
      <c r="C338" s="91" t="n"/>
      <c r="D338" s="91" t="n"/>
      <c r="E338" s="92" t="n"/>
      <c r="F338" s="92" t="n"/>
      <c r="G338" s="91" t="n"/>
      <c r="H338" s="91" t="n"/>
      <c r="I338" s="91" t="n"/>
      <c r="J338" s="91" t="n"/>
      <c r="K338" s="91" t="n"/>
      <c r="L338" s="92" t="n"/>
      <c r="M338" s="91" t="n"/>
      <c r="N338" s="91" t="n"/>
      <c r="O338" s="91" t="n"/>
      <c r="P338" s="93" t="str">
        <f>IF(Z338=0,"",SUMIFS('ITENS_MTR'!$I$6:$I$1005,'ITENS_MTR'!$S$6:$S$1005,A338,'ITENS_MTR'!$Y$6:$Y$1005,1))</f>
        <v/>
      </c>
      <c r="Q338" s="93" t="str">
        <f>IF(Z338=0,"",SUMIFS('RECEBIMENTOS'!$H$6:$H$1005,'RECEBIMENTOS'!$B$6:$B$1005,A338,'RECEBIMENTOS'!$X$6:$X$1005,1))</f>
        <v/>
      </c>
      <c r="R338" s="93" t="str">
        <f>IF(Z338=0,"",SUMIFS('VÍNCULOS_CDF'!$H$6:$H$1005,'VÍNCULOS_CDF'!$D$6:$D$1005,A338,'VÍNCULOS_CDF'!$V$6:$V$1005,1))</f>
        <v/>
      </c>
      <c r="S338" s="94" t="str">
        <f>IF(Z338=0,"",IF(AA338=1,"Cancelado (informado)",IF(AE338=1,"Cadastro incompleto",IF(OR(AC338=1,AD338=1,AF338&gt;0,AH338&gt;0,AK338&gt;0,AL338&gt;0),"Informação a revisar",IF(AN338=0,"Aguardando recebimento",IF(N(R338)=0,"Aguardando CDF",IF(AJ338&lt;N(W338),"Vínculo de CDF parcial",IF(AO338=0,"CDF localizado, a conferir","Documentação conferida"))))))))</f>
        <v/>
      </c>
      <c r="T338" s="94" t="str">
        <f>IF(Z338=0,"",IF(S338="Cadastro incompleto","MTR INCOMPLETO",IF(S338="Informação a revisar",IF(AND(AH338&gt;0,AC338=0,AD338=0,AF338=0,AK338=0,AL338=0),"QUANTIDADE A REVISAR","IDENTIFICAÇÃO A REVISAR"),IF(S338="Aguardando recebimento","RECEBIMENTO NÃO CONFIRMADO",IF(S338="Aguardando CDF","CDF NÃO LOCALIZADO",IF(S338="Vínculo de CDF parcial","VÍNCULO INCOMPLETO",IF(S338="CDF localizado, a conferir","CDF A CONFERIR","")))))))</f>
        <v/>
      </c>
      <c r="U338" s="95" t="str">
        <f>IF(T338="","",IF(AQ338="","Não calculável",IF(AQ338&gt;TODAY(),"Data futura",TODAY()-AQ338)))</f>
        <v/>
      </c>
      <c r="V338" s="93" t="str">
        <f>IF(Z338=0,"",SUMIFS('RECEBIMENTOS'!$H$6:$H$1005,'RECEBIMENTOS'!$B$6:$B$1005,A338,'RECEBIMENTOS'!$Z$6:$Z$1005,1))</f>
        <v/>
      </c>
      <c r="W338" s="95" t="str">
        <f>IF(Z338=0,"",COUNTIFS('ITENS_MTR'!$S$6:$S$1005,A338,'ITENS_MTR'!$R$6:$R$1005,1))</f>
        <v/>
      </c>
      <c r="X338" s="94" t="str">
        <f>IF(AC338=1,"POSSÍVEL DUPLICIDADE","")</f>
        <v/>
      </c>
      <c r="Y338" s="94" t="str">
        <f>IF(Z338=0,"",IF(AW338="","Nenhuma",LEFT(AW338,LEN(AW338)-2)))</f>
        <v/>
      </c>
      <c r="Z338" s="96">
        <f>IF(COUNTA(B338:O338)&gt;0,1,0)</f>
        <v>0</v>
      </c>
      <c r="AA338" s="96">
        <f>IF(AND(Z338=1,K338&lt;&gt;""),IF(TRIM(K338)=TRIM(cfg_cancel),1,0),0)</f>
        <v>0</v>
      </c>
      <c r="AB338" s="96" t="str">
        <f>IF(AND(Z338=1,B338&lt;&gt;""),C338&amp;"|"&amp;D338&amp;"|"&amp;G338&amp;"|"&amp;TRIM(B338),"")</f>
        <v/>
      </c>
      <c r="AC338" s="96">
        <f>IF(AB338="",0,IF(SUMPRODUCT(--($AB$6:$AB$505=AB338))&gt;1,1,0))</f>
        <v>0</v>
      </c>
      <c r="AD338" s="96">
        <f>IF(Z338=0,0,IF(OR(AND(G338&lt;&gt;"",ISNA(MATCH(G338,'CAD_UNIDADES'!$C$6:$C$105,0))),AND(H338&lt;&gt;"",ISNA(MATCH(H338,cmp_transp,0))),AND(I338&lt;&gt;"",ISNA(MATCH(I338,cmp_dest,0))),AND(E338&lt;&gt;"",NOT(ISNUMBER(E338))),AND(F338&lt;&gt;"",NOT(ISNUMBER(F338))),AND(ISNUMBER(E338),ISNUMBER(F338),F338&lt;E338)),1,0))</f>
        <v>0</v>
      </c>
      <c r="AE338" s="96">
        <f>IF(Z338=0,0,IF(OR(B338="",C338="",E338="",G338="",H338="",I338="",N(W338)=0),1,0))</f>
        <v>0</v>
      </c>
      <c r="AF338" s="96">
        <f>IF(Z338=0,0,COUNTIFS('ITENS_MTR'!$S$6:$S$1005,A338,'ITENS_MTR'!$AI$6:$AI$1005,1))</f>
        <v>0</v>
      </c>
      <c r="AG338" s="96">
        <f>IF(Z338=0,0,COUNTIFS('ITENS_MTR'!$S$6:$S$1005,A338,'ITENS_MTR'!$AJ$6:$AJ$1005,1))</f>
        <v>0</v>
      </c>
      <c r="AH338" s="96">
        <f>IF(Z338=0,0,COUNTIFS('ITENS_MTR'!$S$6:$S$1005,A338,'ITENS_MTR'!$AM$6:$AM$1005,1))</f>
        <v>0</v>
      </c>
      <c r="AI338" s="96">
        <f>IF(Z338=0,0,COUNTIFS('ITENS_MTR'!$S$6:$S$1005,A338,'ITENS_MTR'!$AO$6:$AO$1005,1))</f>
        <v>0</v>
      </c>
      <c r="AJ338" s="96">
        <f>IF(Z338=0,0,COUNTIFS('ITENS_MTR'!$S$6:$S$1005,A338,'ITENS_MTR'!$AN$6:$AN$1005,1))</f>
        <v>0</v>
      </c>
      <c r="AK338" s="96">
        <f>IF(Z338=0,0,COUNTIFS('RECEBIMENTOS'!$B$6:$B$1005,A338,'RECEBIMENTOS'!$Y$6:$Y$1005,1))</f>
        <v>0</v>
      </c>
      <c r="AL338" s="96">
        <f>IF(Z338=0,0,COUNTIFS('VÍNCULOS_CDF'!$D$6:$D$1005,A338,'VÍNCULOS_CDF'!$Y$6:$Y$1005,1))</f>
        <v>0</v>
      </c>
      <c r="AM338" s="96">
        <f>IF(Z338=0,0,COUNTIFS('RECEBIMENTOS'!$B$6:$B$1005,A338,'RECEBIMENTOS'!$Q$6:$Q$1005,1))</f>
        <v>0</v>
      </c>
      <c r="AN338" s="96">
        <f>IF(AND(Z338=1,N(W338)&gt;0,AG338=N(W338)),1,0)</f>
        <v>0</v>
      </c>
      <c r="AO338" s="96">
        <f>IF(AND(Z338=1,N(W338)&gt;0,AI338=N(W338)),1,0)</f>
        <v>0</v>
      </c>
      <c r="AP338" s="97">
        <f>IF(Z338=0,0,_xlfn.MAXIFS('RECEBIMENTOS'!$E$6:$E$1005,'RECEBIMENTOS'!$B$6:$B$1005,A338))</f>
        <v>0</v>
      </c>
      <c r="AQ338" s="97" t="str">
        <f>IF(T338="","",IF(T338="RECEBIMENTO NÃO CONFIRMADO",IF(ISNUMBER(F338),F338,IF(ISNUMBER(E338),E338,"")),IF(OR(T338="CDF NÃO LOCALIZADO",T338="VÍNCULO INCOMPLETO",T338="CDF A CONFERIR"),IF(AP338&gt;0,AP338,IF(ISNUMBER(E338),E338,"")),IF(ISNUMBER(E338),E338,""))))</f>
        <v/>
      </c>
      <c r="AR338" s="96">
        <f>IF(NOT(ISNUMBER(U338)),0,IF(T338="RECEBIMENTO NÃO CONFIRMADO",IF(AND(ISNUMBER(cfg_rec),U338&gt;cfg_rec),1,0),IF(OR(T338="CDF NÃO LOCALIZADO",T338="VÍNCULO INCOMPLETO",T338="CDF A CONFERIR"),IF(AND(ISNUMBER(cfg_cdf),U338&gt;cfg_cdf),1,0),0)))</f>
        <v>0</v>
      </c>
      <c r="AS338" s="96" t="str">
        <f>IF(T338="","",IF(AR338=1,"Alta",IFERROR(INDEX(cfg_pp,MATCH(T338,cfg_pt,0))&amp;"","Média")))</f>
        <v/>
      </c>
      <c r="AT338" s="96" t="str">
        <f>IF(T338="","",IFERROR(INDEX(cfg_pv,MATCH(T338,cfg_pt,0))&amp;"",""))</f>
        <v/>
      </c>
      <c r="AU338" s="96" t="str">
        <f>IF(T338="","",IF(AS338="Alta",1,IF(AS338="Média",2,3))*1000000000+(999999-IF(ISNUMBER(U338),MIN(U338,999999),0))*1000+333)</f>
        <v/>
      </c>
      <c r="AV338" s="96">
        <f>IF(T338&lt;&gt;"",1,0)</f>
        <v>0</v>
      </c>
      <c r="AW338" s="96" t="str">
        <f>IF(Z338=0,"",IF(AA338=1,"Cancelamento informado; ","")&amp;IF(AE338=1,"Campos essenciais ou itens faltando; ","")&amp;IF(AC338=1,"Possível duplicidade do número; ","")&amp;IF(AD338=1,"Cadastro ou datas a revisar; ","")&amp;IF(AF338&gt;0,"Item de resíduo com dado a revisar; ","")&amp;IF(AH338&gt;0,"Diferença de quantidade a analisar; ","")&amp;IF(AK338&gt;0,"Recebimento com alerta; ","")&amp;IF(AL338&gt;0,"Vínculo de CDF com alerta; ","")&amp;IF(AND(AA338=0,AN338=0),"Recebimento não confirmado; ","")&amp;IF(AND(AA338=0,AN338=1,AO338=0),"CDF pendente ou a conferir; ",""))</f>
        <v/>
      </c>
      <c r="AX338" s="96">
        <f>IF(Z338=0,0,IF(AND(OR(f_ini="",AND(ISNUMBER(E338),E338&gt;=f_ini)),OR(f_fim="",AND(ISNUMBER(E338),E338&lt;=f_fim)),OR(f_un="",f_un="(Todas)",G338=f_un),OR(f_tr="",f_tr="(Todos)",H338=f_tr),OR(f_de="",f_de="(Todos)",I338=f_de),OR(f_sit="",f_sit="(Todas)",S338=f_sit)),1,0))</f>
        <v>0</v>
      </c>
      <c r="AY338" s="96">
        <f>IF(AX338=0,0,IF(OR(f_res="",f_res="(Todos)"),1,IF(COUNTIFS('ITENS_MTR'!$S$6:$S$1005,A338,'ITENS_MTR'!$C$6:$C$1005,f_res)&gt;0,1,0)))</f>
        <v>0</v>
      </c>
      <c r="AZ338" s="97" t="str">
        <f>IF(ISNUMBER(E338),DATE(YEAR(E338),MONTH(E338),1),"")</f>
        <v/>
      </c>
      <c r="BA338" s="96">
        <f>IF(Z338=0,0,IF(AND(OR(r_ini="",AND(ISNUMBER(E338),E338&gt;=r_ini)),OR(r_fim="",AND(ISNUMBER(E338),E338&lt;=r_fim)),OR(r_un="",r_un="(Todas)",G338=r_un),OR(r_de="",r_de="(Todos)",I338=r_de)),1,0))</f>
        <v>0</v>
      </c>
      <c r="BB338" s="96" t="str">
        <f>IF(BA338=1,COUNTIF($BA$6:BA338,1),"")</f>
        <v/>
      </c>
      <c r="BC338" s="96" t="str">
        <f>IF(AND(AU338&lt;&gt;"",OR(r_un="",r_un="(Todas)",G338=r_un),OR(r_de="",r_de="(Todos)",I338=r_de)),AU338,"")</f>
        <v/>
      </c>
      <c r="BD338" s="96" t="str">
        <f>IF(Z338=1,A338&amp;" | nº "&amp;IF(B338="","(sem número)",B338)&amp;" | "&amp;IF(G338="","(sem unidade)",G338),"")</f>
        <v/>
      </c>
      <c r="BE338" s="96" t="str">
        <f>IF(Z338=1,COUNTIF($Z$6:Z338,1),"")</f>
        <v/>
      </c>
      <c r="BF338" s="96" t="str">
        <f>IF(T338="","",IF(T338="RECEBIMENTO NÃO CONFIRMADO","Transp.: "&amp;H338&amp;" | Dest.: "&amp;I338,IF(OR(T338="CDF NÃO LOCALIZADO",T338="VÍNCULO INCOMPLETO",T338="CDF A CONFERIR"),"Dest.: "&amp;I338,"Gerador: "&amp;G338)))</f>
        <v/>
      </c>
    </row>
    <row r="339">
      <c r="A339" s="89" t="inlineStr">
        <is>
          <t>MTR-000334</t>
        </is>
      </c>
      <c r="B339" s="90" t="n"/>
      <c r="C339" s="91" t="n"/>
      <c r="D339" s="91" t="n"/>
      <c r="E339" s="92" t="n"/>
      <c r="F339" s="92" t="n"/>
      <c r="G339" s="91" t="n"/>
      <c r="H339" s="91" t="n"/>
      <c r="I339" s="91" t="n"/>
      <c r="J339" s="91" t="n"/>
      <c r="K339" s="91" t="n"/>
      <c r="L339" s="92" t="n"/>
      <c r="M339" s="91" t="n"/>
      <c r="N339" s="91" t="n"/>
      <c r="O339" s="91" t="n"/>
      <c r="P339" s="93" t="str">
        <f>IF(Z339=0,"",SUMIFS('ITENS_MTR'!$I$6:$I$1005,'ITENS_MTR'!$S$6:$S$1005,A339,'ITENS_MTR'!$Y$6:$Y$1005,1))</f>
        <v/>
      </c>
      <c r="Q339" s="93" t="str">
        <f>IF(Z339=0,"",SUMIFS('RECEBIMENTOS'!$H$6:$H$1005,'RECEBIMENTOS'!$B$6:$B$1005,A339,'RECEBIMENTOS'!$X$6:$X$1005,1))</f>
        <v/>
      </c>
      <c r="R339" s="93" t="str">
        <f>IF(Z339=0,"",SUMIFS('VÍNCULOS_CDF'!$H$6:$H$1005,'VÍNCULOS_CDF'!$D$6:$D$1005,A339,'VÍNCULOS_CDF'!$V$6:$V$1005,1))</f>
        <v/>
      </c>
      <c r="S339" s="94" t="str">
        <f>IF(Z339=0,"",IF(AA339=1,"Cancelado (informado)",IF(AE339=1,"Cadastro incompleto",IF(OR(AC339=1,AD339=1,AF339&gt;0,AH339&gt;0,AK339&gt;0,AL339&gt;0),"Informação a revisar",IF(AN339=0,"Aguardando recebimento",IF(N(R339)=0,"Aguardando CDF",IF(AJ339&lt;N(W339),"Vínculo de CDF parcial",IF(AO339=0,"CDF localizado, a conferir","Documentação conferida"))))))))</f>
        <v/>
      </c>
      <c r="T339" s="94" t="str">
        <f>IF(Z339=0,"",IF(S339="Cadastro incompleto","MTR INCOMPLETO",IF(S339="Informação a revisar",IF(AND(AH339&gt;0,AC339=0,AD339=0,AF339=0,AK339=0,AL339=0),"QUANTIDADE A REVISAR","IDENTIFICAÇÃO A REVISAR"),IF(S339="Aguardando recebimento","RECEBIMENTO NÃO CONFIRMADO",IF(S339="Aguardando CDF","CDF NÃO LOCALIZADO",IF(S339="Vínculo de CDF parcial","VÍNCULO INCOMPLETO",IF(S339="CDF localizado, a conferir","CDF A CONFERIR","")))))))</f>
        <v/>
      </c>
      <c r="U339" s="95" t="str">
        <f>IF(T339="","",IF(AQ339="","Não calculável",IF(AQ339&gt;TODAY(),"Data futura",TODAY()-AQ339)))</f>
        <v/>
      </c>
      <c r="V339" s="93" t="str">
        <f>IF(Z339=0,"",SUMIFS('RECEBIMENTOS'!$H$6:$H$1005,'RECEBIMENTOS'!$B$6:$B$1005,A339,'RECEBIMENTOS'!$Z$6:$Z$1005,1))</f>
        <v/>
      </c>
      <c r="W339" s="95" t="str">
        <f>IF(Z339=0,"",COUNTIFS('ITENS_MTR'!$S$6:$S$1005,A339,'ITENS_MTR'!$R$6:$R$1005,1))</f>
        <v/>
      </c>
      <c r="X339" s="94" t="str">
        <f>IF(AC339=1,"POSSÍVEL DUPLICIDADE","")</f>
        <v/>
      </c>
      <c r="Y339" s="94" t="str">
        <f>IF(Z339=0,"",IF(AW339="","Nenhuma",LEFT(AW339,LEN(AW339)-2)))</f>
        <v/>
      </c>
      <c r="Z339" s="96">
        <f>IF(COUNTA(B339:O339)&gt;0,1,0)</f>
        <v>0</v>
      </c>
      <c r="AA339" s="96">
        <f>IF(AND(Z339=1,K339&lt;&gt;""),IF(TRIM(K339)=TRIM(cfg_cancel),1,0),0)</f>
        <v>0</v>
      </c>
      <c r="AB339" s="96" t="str">
        <f>IF(AND(Z339=1,B339&lt;&gt;""),C339&amp;"|"&amp;D339&amp;"|"&amp;G339&amp;"|"&amp;TRIM(B339),"")</f>
        <v/>
      </c>
      <c r="AC339" s="96">
        <f>IF(AB339="",0,IF(SUMPRODUCT(--($AB$6:$AB$505=AB339))&gt;1,1,0))</f>
        <v>0</v>
      </c>
      <c r="AD339" s="96">
        <f>IF(Z339=0,0,IF(OR(AND(G339&lt;&gt;"",ISNA(MATCH(G339,'CAD_UNIDADES'!$C$6:$C$105,0))),AND(H339&lt;&gt;"",ISNA(MATCH(H339,cmp_transp,0))),AND(I339&lt;&gt;"",ISNA(MATCH(I339,cmp_dest,0))),AND(E339&lt;&gt;"",NOT(ISNUMBER(E339))),AND(F339&lt;&gt;"",NOT(ISNUMBER(F339))),AND(ISNUMBER(E339),ISNUMBER(F339),F339&lt;E339)),1,0))</f>
        <v>0</v>
      </c>
      <c r="AE339" s="96">
        <f>IF(Z339=0,0,IF(OR(B339="",C339="",E339="",G339="",H339="",I339="",N(W339)=0),1,0))</f>
        <v>0</v>
      </c>
      <c r="AF339" s="96">
        <f>IF(Z339=0,0,COUNTIFS('ITENS_MTR'!$S$6:$S$1005,A339,'ITENS_MTR'!$AI$6:$AI$1005,1))</f>
        <v>0</v>
      </c>
      <c r="AG339" s="96">
        <f>IF(Z339=0,0,COUNTIFS('ITENS_MTR'!$S$6:$S$1005,A339,'ITENS_MTR'!$AJ$6:$AJ$1005,1))</f>
        <v>0</v>
      </c>
      <c r="AH339" s="96">
        <f>IF(Z339=0,0,COUNTIFS('ITENS_MTR'!$S$6:$S$1005,A339,'ITENS_MTR'!$AM$6:$AM$1005,1))</f>
        <v>0</v>
      </c>
      <c r="AI339" s="96">
        <f>IF(Z339=0,0,COUNTIFS('ITENS_MTR'!$S$6:$S$1005,A339,'ITENS_MTR'!$AO$6:$AO$1005,1))</f>
        <v>0</v>
      </c>
      <c r="AJ339" s="96">
        <f>IF(Z339=0,0,COUNTIFS('ITENS_MTR'!$S$6:$S$1005,A339,'ITENS_MTR'!$AN$6:$AN$1005,1))</f>
        <v>0</v>
      </c>
      <c r="AK339" s="96">
        <f>IF(Z339=0,0,COUNTIFS('RECEBIMENTOS'!$B$6:$B$1005,A339,'RECEBIMENTOS'!$Y$6:$Y$1005,1))</f>
        <v>0</v>
      </c>
      <c r="AL339" s="96">
        <f>IF(Z339=0,0,COUNTIFS('VÍNCULOS_CDF'!$D$6:$D$1005,A339,'VÍNCULOS_CDF'!$Y$6:$Y$1005,1))</f>
        <v>0</v>
      </c>
      <c r="AM339" s="96">
        <f>IF(Z339=0,0,COUNTIFS('RECEBIMENTOS'!$B$6:$B$1005,A339,'RECEBIMENTOS'!$Q$6:$Q$1005,1))</f>
        <v>0</v>
      </c>
      <c r="AN339" s="96">
        <f>IF(AND(Z339=1,N(W339)&gt;0,AG339=N(W339)),1,0)</f>
        <v>0</v>
      </c>
      <c r="AO339" s="96">
        <f>IF(AND(Z339=1,N(W339)&gt;0,AI339=N(W339)),1,0)</f>
        <v>0</v>
      </c>
      <c r="AP339" s="97">
        <f>IF(Z339=0,0,_xlfn.MAXIFS('RECEBIMENTOS'!$E$6:$E$1005,'RECEBIMENTOS'!$B$6:$B$1005,A339))</f>
        <v>0</v>
      </c>
      <c r="AQ339" s="97" t="str">
        <f>IF(T339="","",IF(T339="RECEBIMENTO NÃO CONFIRMADO",IF(ISNUMBER(F339),F339,IF(ISNUMBER(E339),E339,"")),IF(OR(T339="CDF NÃO LOCALIZADO",T339="VÍNCULO INCOMPLETO",T339="CDF A CONFERIR"),IF(AP339&gt;0,AP339,IF(ISNUMBER(E339),E339,"")),IF(ISNUMBER(E339),E339,""))))</f>
        <v/>
      </c>
      <c r="AR339" s="96">
        <f>IF(NOT(ISNUMBER(U339)),0,IF(T339="RECEBIMENTO NÃO CONFIRMADO",IF(AND(ISNUMBER(cfg_rec),U339&gt;cfg_rec),1,0),IF(OR(T339="CDF NÃO LOCALIZADO",T339="VÍNCULO INCOMPLETO",T339="CDF A CONFERIR"),IF(AND(ISNUMBER(cfg_cdf),U339&gt;cfg_cdf),1,0),0)))</f>
        <v>0</v>
      </c>
      <c r="AS339" s="96" t="str">
        <f>IF(T339="","",IF(AR339=1,"Alta",IFERROR(INDEX(cfg_pp,MATCH(T339,cfg_pt,0))&amp;"","Média")))</f>
        <v/>
      </c>
      <c r="AT339" s="96" t="str">
        <f>IF(T339="","",IFERROR(INDEX(cfg_pv,MATCH(T339,cfg_pt,0))&amp;"",""))</f>
        <v/>
      </c>
      <c r="AU339" s="96" t="str">
        <f>IF(T339="","",IF(AS339="Alta",1,IF(AS339="Média",2,3))*1000000000+(999999-IF(ISNUMBER(U339),MIN(U339,999999),0))*1000+334)</f>
        <v/>
      </c>
      <c r="AV339" s="96">
        <f>IF(T339&lt;&gt;"",1,0)</f>
        <v>0</v>
      </c>
      <c r="AW339" s="96" t="str">
        <f>IF(Z339=0,"",IF(AA339=1,"Cancelamento informado; ","")&amp;IF(AE339=1,"Campos essenciais ou itens faltando; ","")&amp;IF(AC339=1,"Possível duplicidade do número; ","")&amp;IF(AD339=1,"Cadastro ou datas a revisar; ","")&amp;IF(AF339&gt;0,"Item de resíduo com dado a revisar; ","")&amp;IF(AH339&gt;0,"Diferença de quantidade a analisar; ","")&amp;IF(AK339&gt;0,"Recebimento com alerta; ","")&amp;IF(AL339&gt;0,"Vínculo de CDF com alerta; ","")&amp;IF(AND(AA339=0,AN339=0),"Recebimento não confirmado; ","")&amp;IF(AND(AA339=0,AN339=1,AO339=0),"CDF pendente ou a conferir; ",""))</f>
        <v/>
      </c>
      <c r="AX339" s="96">
        <f>IF(Z339=0,0,IF(AND(OR(f_ini="",AND(ISNUMBER(E339),E339&gt;=f_ini)),OR(f_fim="",AND(ISNUMBER(E339),E339&lt;=f_fim)),OR(f_un="",f_un="(Todas)",G339=f_un),OR(f_tr="",f_tr="(Todos)",H339=f_tr),OR(f_de="",f_de="(Todos)",I339=f_de),OR(f_sit="",f_sit="(Todas)",S339=f_sit)),1,0))</f>
        <v>0</v>
      </c>
      <c r="AY339" s="96">
        <f>IF(AX339=0,0,IF(OR(f_res="",f_res="(Todos)"),1,IF(COUNTIFS('ITENS_MTR'!$S$6:$S$1005,A339,'ITENS_MTR'!$C$6:$C$1005,f_res)&gt;0,1,0)))</f>
        <v>0</v>
      </c>
      <c r="AZ339" s="97" t="str">
        <f>IF(ISNUMBER(E339),DATE(YEAR(E339),MONTH(E339),1),"")</f>
        <v/>
      </c>
      <c r="BA339" s="96">
        <f>IF(Z339=0,0,IF(AND(OR(r_ini="",AND(ISNUMBER(E339),E339&gt;=r_ini)),OR(r_fim="",AND(ISNUMBER(E339),E339&lt;=r_fim)),OR(r_un="",r_un="(Todas)",G339=r_un),OR(r_de="",r_de="(Todos)",I339=r_de)),1,0))</f>
        <v>0</v>
      </c>
      <c r="BB339" s="96" t="str">
        <f>IF(BA339=1,COUNTIF($BA$6:BA339,1),"")</f>
        <v/>
      </c>
      <c r="BC339" s="96" t="str">
        <f>IF(AND(AU339&lt;&gt;"",OR(r_un="",r_un="(Todas)",G339=r_un),OR(r_de="",r_de="(Todos)",I339=r_de)),AU339,"")</f>
        <v/>
      </c>
      <c r="BD339" s="96" t="str">
        <f>IF(Z339=1,A339&amp;" | nº "&amp;IF(B339="","(sem número)",B339)&amp;" | "&amp;IF(G339="","(sem unidade)",G339),"")</f>
        <v/>
      </c>
      <c r="BE339" s="96" t="str">
        <f>IF(Z339=1,COUNTIF($Z$6:Z339,1),"")</f>
        <v/>
      </c>
      <c r="BF339" s="96" t="str">
        <f>IF(T339="","",IF(T339="RECEBIMENTO NÃO CONFIRMADO","Transp.: "&amp;H339&amp;" | Dest.: "&amp;I339,IF(OR(T339="CDF NÃO LOCALIZADO",T339="VÍNCULO INCOMPLETO",T339="CDF A CONFERIR"),"Dest.: "&amp;I339,"Gerador: "&amp;G339)))</f>
        <v/>
      </c>
    </row>
    <row r="340">
      <c r="A340" s="89" t="inlineStr">
        <is>
          <t>MTR-000335</t>
        </is>
      </c>
      <c r="B340" s="90" t="n"/>
      <c r="C340" s="91" t="n"/>
      <c r="D340" s="91" t="n"/>
      <c r="E340" s="92" t="n"/>
      <c r="F340" s="92" t="n"/>
      <c r="G340" s="91" t="n"/>
      <c r="H340" s="91" t="n"/>
      <c r="I340" s="91" t="n"/>
      <c r="J340" s="91" t="n"/>
      <c r="K340" s="91" t="n"/>
      <c r="L340" s="92" t="n"/>
      <c r="M340" s="91" t="n"/>
      <c r="N340" s="91" t="n"/>
      <c r="O340" s="91" t="n"/>
      <c r="P340" s="93" t="str">
        <f>IF(Z340=0,"",SUMIFS('ITENS_MTR'!$I$6:$I$1005,'ITENS_MTR'!$S$6:$S$1005,A340,'ITENS_MTR'!$Y$6:$Y$1005,1))</f>
        <v/>
      </c>
      <c r="Q340" s="93" t="str">
        <f>IF(Z340=0,"",SUMIFS('RECEBIMENTOS'!$H$6:$H$1005,'RECEBIMENTOS'!$B$6:$B$1005,A340,'RECEBIMENTOS'!$X$6:$X$1005,1))</f>
        <v/>
      </c>
      <c r="R340" s="93" t="str">
        <f>IF(Z340=0,"",SUMIFS('VÍNCULOS_CDF'!$H$6:$H$1005,'VÍNCULOS_CDF'!$D$6:$D$1005,A340,'VÍNCULOS_CDF'!$V$6:$V$1005,1))</f>
        <v/>
      </c>
      <c r="S340" s="94" t="str">
        <f>IF(Z340=0,"",IF(AA340=1,"Cancelado (informado)",IF(AE340=1,"Cadastro incompleto",IF(OR(AC340=1,AD340=1,AF340&gt;0,AH340&gt;0,AK340&gt;0,AL340&gt;0),"Informação a revisar",IF(AN340=0,"Aguardando recebimento",IF(N(R340)=0,"Aguardando CDF",IF(AJ340&lt;N(W340),"Vínculo de CDF parcial",IF(AO340=0,"CDF localizado, a conferir","Documentação conferida"))))))))</f>
        <v/>
      </c>
      <c r="T340" s="94" t="str">
        <f>IF(Z340=0,"",IF(S340="Cadastro incompleto","MTR INCOMPLETO",IF(S340="Informação a revisar",IF(AND(AH340&gt;0,AC340=0,AD340=0,AF340=0,AK340=0,AL340=0),"QUANTIDADE A REVISAR","IDENTIFICAÇÃO A REVISAR"),IF(S340="Aguardando recebimento","RECEBIMENTO NÃO CONFIRMADO",IF(S340="Aguardando CDF","CDF NÃO LOCALIZADO",IF(S340="Vínculo de CDF parcial","VÍNCULO INCOMPLETO",IF(S340="CDF localizado, a conferir","CDF A CONFERIR","")))))))</f>
        <v/>
      </c>
      <c r="U340" s="95" t="str">
        <f>IF(T340="","",IF(AQ340="","Não calculável",IF(AQ340&gt;TODAY(),"Data futura",TODAY()-AQ340)))</f>
        <v/>
      </c>
      <c r="V340" s="93" t="str">
        <f>IF(Z340=0,"",SUMIFS('RECEBIMENTOS'!$H$6:$H$1005,'RECEBIMENTOS'!$B$6:$B$1005,A340,'RECEBIMENTOS'!$Z$6:$Z$1005,1))</f>
        <v/>
      </c>
      <c r="W340" s="95" t="str">
        <f>IF(Z340=0,"",COUNTIFS('ITENS_MTR'!$S$6:$S$1005,A340,'ITENS_MTR'!$R$6:$R$1005,1))</f>
        <v/>
      </c>
      <c r="X340" s="94" t="str">
        <f>IF(AC340=1,"POSSÍVEL DUPLICIDADE","")</f>
        <v/>
      </c>
      <c r="Y340" s="94" t="str">
        <f>IF(Z340=0,"",IF(AW340="","Nenhuma",LEFT(AW340,LEN(AW340)-2)))</f>
        <v/>
      </c>
      <c r="Z340" s="96">
        <f>IF(COUNTA(B340:O340)&gt;0,1,0)</f>
        <v>0</v>
      </c>
      <c r="AA340" s="96">
        <f>IF(AND(Z340=1,K340&lt;&gt;""),IF(TRIM(K340)=TRIM(cfg_cancel),1,0),0)</f>
        <v>0</v>
      </c>
      <c r="AB340" s="96" t="str">
        <f>IF(AND(Z340=1,B340&lt;&gt;""),C340&amp;"|"&amp;D340&amp;"|"&amp;G340&amp;"|"&amp;TRIM(B340),"")</f>
        <v/>
      </c>
      <c r="AC340" s="96">
        <f>IF(AB340="",0,IF(SUMPRODUCT(--($AB$6:$AB$505=AB340))&gt;1,1,0))</f>
        <v>0</v>
      </c>
      <c r="AD340" s="96">
        <f>IF(Z340=0,0,IF(OR(AND(G340&lt;&gt;"",ISNA(MATCH(G340,'CAD_UNIDADES'!$C$6:$C$105,0))),AND(H340&lt;&gt;"",ISNA(MATCH(H340,cmp_transp,0))),AND(I340&lt;&gt;"",ISNA(MATCH(I340,cmp_dest,0))),AND(E340&lt;&gt;"",NOT(ISNUMBER(E340))),AND(F340&lt;&gt;"",NOT(ISNUMBER(F340))),AND(ISNUMBER(E340),ISNUMBER(F340),F340&lt;E340)),1,0))</f>
        <v>0</v>
      </c>
      <c r="AE340" s="96">
        <f>IF(Z340=0,0,IF(OR(B340="",C340="",E340="",G340="",H340="",I340="",N(W340)=0),1,0))</f>
        <v>0</v>
      </c>
      <c r="AF340" s="96">
        <f>IF(Z340=0,0,COUNTIFS('ITENS_MTR'!$S$6:$S$1005,A340,'ITENS_MTR'!$AI$6:$AI$1005,1))</f>
        <v>0</v>
      </c>
      <c r="AG340" s="96">
        <f>IF(Z340=0,0,COUNTIFS('ITENS_MTR'!$S$6:$S$1005,A340,'ITENS_MTR'!$AJ$6:$AJ$1005,1))</f>
        <v>0</v>
      </c>
      <c r="AH340" s="96">
        <f>IF(Z340=0,0,COUNTIFS('ITENS_MTR'!$S$6:$S$1005,A340,'ITENS_MTR'!$AM$6:$AM$1005,1))</f>
        <v>0</v>
      </c>
      <c r="AI340" s="96">
        <f>IF(Z340=0,0,COUNTIFS('ITENS_MTR'!$S$6:$S$1005,A340,'ITENS_MTR'!$AO$6:$AO$1005,1))</f>
        <v>0</v>
      </c>
      <c r="AJ340" s="96">
        <f>IF(Z340=0,0,COUNTIFS('ITENS_MTR'!$S$6:$S$1005,A340,'ITENS_MTR'!$AN$6:$AN$1005,1))</f>
        <v>0</v>
      </c>
      <c r="AK340" s="96">
        <f>IF(Z340=0,0,COUNTIFS('RECEBIMENTOS'!$B$6:$B$1005,A340,'RECEBIMENTOS'!$Y$6:$Y$1005,1))</f>
        <v>0</v>
      </c>
      <c r="AL340" s="96">
        <f>IF(Z340=0,0,COUNTIFS('VÍNCULOS_CDF'!$D$6:$D$1005,A340,'VÍNCULOS_CDF'!$Y$6:$Y$1005,1))</f>
        <v>0</v>
      </c>
      <c r="AM340" s="96">
        <f>IF(Z340=0,0,COUNTIFS('RECEBIMENTOS'!$B$6:$B$1005,A340,'RECEBIMENTOS'!$Q$6:$Q$1005,1))</f>
        <v>0</v>
      </c>
      <c r="AN340" s="96">
        <f>IF(AND(Z340=1,N(W340)&gt;0,AG340=N(W340)),1,0)</f>
        <v>0</v>
      </c>
      <c r="AO340" s="96">
        <f>IF(AND(Z340=1,N(W340)&gt;0,AI340=N(W340)),1,0)</f>
        <v>0</v>
      </c>
      <c r="AP340" s="97">
        <f>IF(Z340=0,0,_xlfn.MAXIFS('RECEBIMENTOS'!$E$6:$E$1005,'RECEBIMENTOS'!$B$6:$B$1005,A340))</f>
        <v>0</v>
      </c>
      <c r="AQ340" s="97" t="str">
        <f>IF(T340="","",IF(T340="RECEBIMENTO NÃO CONFIRMADO",IF(ISNUMBER(F340),F340,IF(ISNUMBER(E340),E340,"")),IF(OR(T340="CDF NÃO LOCALIZADO",T340="VÍNCULO INCOMPLETO",T340="CDF A CONFERIR"),IF(AP340&gt;0,AP340,IF(ISNUMBER(E340),E340,"")),IF(ISNUMBER(E340),E340,""))))</f>
        <v/>
      </c>
      <c r="AR340" s="96">
        <f>IF(NOT(ISNUMBER(U340)),0,IF(T340="RECEBIMENTO NÃO CONFIRMADO",IF(AND(ISNUMBER(cfg_rec),U340&gt;cfg_rec),1,0),IF(OR(T340="CDF NÃO LOCALIZADO",T340="VÍNCULO INCOMPLETO",T340="CDF A CONFERIR"),IF(AND(ISNUMBER(cfg_cdf),U340&gt;cfg_cdf),1,0),0)))</f>
        <v>0</v>
      </c>
      <c r="AS340" s="96" t="str">
        <f>IF(T340="","",IF(AR340=1,"Alta",IFERROR(INDEX(cfg_pp,MATCH(T340,cfg_pt,0))&amp;"","Média")))</f>
        <v/>
      </c>
      <c r="AT340" s="96" t="str">
        <f>IF(T340="","",IFERROR(INDEX(cfg_pv,MATCH(T340,cfg_pt,0))&amp;"",""))</f>
        <v/>
      </c>
      <c r="AU340" s="96" t="str">
        <f>IF(T340="","",IF(AS340="Alta",1,IF(AS340="Média",2,3))*1000000000+(999999-IF(ISNUMBER(U340),MIN(U340,999999),0))*1000+335)</f>
        <v/>
      </c>
      <c r="AV340" s="96">
        <f>IF(T340&lt;&gt;"",1,0)</f>
        <v>0</v>
      </c>
      <c r="AW340" s="96" t="str">
        <f>IF(Z340=0,"",IF(AA340=1,"Cancelamento informado; ","")&amp;IF(AE340=1,"Campos essenciais ou itens faltando; ","")&amp;IF(AC340=1,"Possível duplicidade do número; ","")&amp;IF(AD340=1,"Cadastro ou datas a revisar; ","")&amp;IF(AF340&gt;0,"Item de resíduo com dado a revisar; ","")&amp;IF(AH340&gt;0,"Diferença de quantidade a analisar; ","")&amp;IF(AK340&gt;0,"Recebimento com alerta; ","")&amp;IF(AL340&gt;0,"Vínculo de CDF com alerta; ","")&amp;IF(AND(AA340=0,AN340=0),"Recebimento não confirmado; ","")&amp;IF(AND(AA340=0,AN340=1,AO340=0),"CDF pendente ou a conferir; ",""))</f>
        <v/>
      </c>
      <c r="AX340" s="96">
        <f>IF(Z340=0,0,IF(AND(OR(f_ini="",AND(ISNUMBER(E340),E340&gt;=f_ini)),OR(f_fim="",AND(ISNUMBER(E340),E340&lt;=f_fim)),OR(f_un="",f_un="(Todas)",G340=f_un),OR(f_tr="",f_tr="(Todos)",H340=f_tr),OR(f_de="",f_de="(Todos)",I340=f_de),OR(f_sit="",f_sit="(Todas)",S340=f_sit)),1,0))</f>
        <v>0</v>
      </c>
      <c r="AY340" s="96">
        <f>IF(AX340=0,0,IF(OR(f_res="",f_res="(Todos)"),1,IF(COUNTIFS('ITENS_MTR'!$S$6:$S$1005,A340,'ITENS_MTR'!$C$6:$C$1005,f_res)&gt;0,1,0)))</f>
        <v>0</v>
      </c>
      <c r="AZ340" s="97" t="str">
        <f>IF(ISNUMBER(E340),DATE(YEAR(E340),MONTH(E340),1),"")</f>
        <v/>
      </c>
      <c r="BA340" s="96">
        <f>IF(Z340=0,0,IF(AND(OR(r_ini="",AND(ISNUMBER(E340),E340&gt;=r_ini)),OR(r_fim="",AND(ISNUMBER(E340),E340&lt;=r_fim)),OR(r_un="",r_un="(Todas)",G340=r_un),OR(r_de="",r_de="(Todos)",I340=r_de)),1,0))</f>
        <v>0</v>
      </c>
      <c r="BB340" s="96" t="str">
        <f>IF(BA340=1,COUNTIF($BA$6:BA340,1),"")</f>
        <v/>
      </c>
      <c r="BC340" s="96" t="str">
        <f>IF(AND(AU340&lt;&gt;"",OR(r_un="",r_un="(Todas)",G340=r_un),OR(r_de="",r_de="(Todos)",I340=r_de)),AU340,"")</f>
        <v/>
      </c>
      <c r="BD340" s="96" t="str">
        <f>IF(Z340=1,A340&amp;" | nº "&amp;IF(B340="","(sem número)",B340)&amp;" | "&amp;IF(G340="","(sem unidade)",G340),"")</f>
        <v/>
      </c>
      <c r="BE340" s="96" t="str">
        <f>IF(Z340=1,COUNTIF($Z$6:Z340,1),"")</f>
        <v/>
      </c>
      <c r="BF340" s="96" t="str">
        <f>IF(T340="","",IF(T340="RECEBIMENTO NÃO CONFIRMADO","Transp.: "&amp;H340&amp;" | Dest.: "&amp;I340,IF(OR(T340="CDF NÃO LOCALIZADO",T340="VÍNCULO INCOMPLETO",T340="CDF A CONFERIR"),"Dest.: "&amp;I340,"Gerador: "&amp;G340)))</f>
        <v/>
      </c>
    </row>
    <row r="341">
      <c r="A341" s="89" t="inlineStr">
        <is>
          <t>MTR-000336</t>
        </is>
      </c>
      <c r="B341" s="90" t="n"/>
      <c r="C341" s="91" t="n"/>
      <c r="D341" s="91" t="n"/>
      <c r="E341" s="92" t="n"/>
      <c r="F341" s="92" t="n"/>
      <c r="G341" s="91" t="n"/>
      <c r="H341" s="91" t="n"/>
      <c r="I341" s="91" t="n"/>
      <c r="J341" s="91" t="n"/>
      <c r="K341" s="91" t="n"/>
      <c r="L341" s="92" t="n"/>
      <c r="M341" s="91" t="n"/>
      <c r="N341" s="91" t="n"/>
      <c r="O341" s="91" t="n"/>
      <c r="P341" s="93" t="str">
        <f>IF(Z341=0,"",SUMIFS('ITENS_MTR'!$I$6:$I$1005,'ITENS_MTR'!$S$6:$S$1005,A341,'ITENS_MTR'!$Y$6:$Y$1005,1))</f>
        <v/>
      </c>
      <c r="Q341" s="93" t="str">
        <f>IF(Z341=0,"",SUMIFS('RECEBIMENTOS'!$H$6:$H$1005,'RECEBIMENTOS'!$B$6:$B$1005,A341,'RECEBIMENTOS'!$X$6:$X$1005,1))</f>
        <v/>
      </c>
      <c r="R341" s="93" t="str">
        <f>IF(Z341=0,"",SUMIFS('VÍNCULOS_CDF'!$H$6:$H$1005,'VÍNCULOS_CDF'!$D$6:$D$1005,A341,'VÍNCULOS_CDF'!$V$6:$V$1005,1))</f>
        <v/>
      </c>
      <c r="S341" s="94" t="str">
        <f>IF(Z341=0,"",IF(AA341=1,"Cancelado (informado)",IF(AE341=1,"Cadastro incompleto",IF(OR(AC341=1,AD341=1,AF341&gt;0,AH341&gt;0,AK341&gt;0,AL341&gt;0),"Informação a revisar",IF(AN341=0,"Aguardando recebimento",IF(N(R341)=0,"Aguardando CDF",IF(AJ341&lt;N(W341),"Vínculo de CDF parcial",IF(AO341=0,"CDF localizado, a conferir","Documentação conferida"))))))))</f>
        <v/>
      </c>
      <c r="T341" s="94" t="str">
        <f>IF(Z341=0,"",IF(S341="Cadastro incompleto","MTR INCOMPLETO",IF(S341="Informação a revisar",IF(AND(AH341&gt;0,AC341=0,AD341=0,AF341=0,AK341=0,AL341=0),"QUANTIDADE A REVISAR","IDENTIFICAÇÃO A REVISAR"),IF(S341="Aguardando recebimento","RECEBIMENTO NÃO CONFIRMADO",IF(S341="Aguardando CDF","CDF NÃO LOCALIZADO",IF(S341="Vínculo de CDF parcial","VÍNCULO INCOMPLETO",IF(S341="CDF localizado, a conferir","CDF A CONFERIR","")))))))</f>
        <v/>
      </c>
      <c r="U341" s="95" t="str">
        <f>IF(T341="","",IF(AQ341="","Não calculável",IF(AQ341&gt;TODAY(),"Data futura",TODAY()-AQ341)))</f>
        <v/>
      </c>
      <c r="V341" s="93" t="str">
        <f>IF(Z341=0,"",SUMIFS('RECEBIMENTOS'!$H$6:$H$1005,'RECEBIMENTOS'!$B$6:$B$1005,A341,'RECEBIMENTOS'!$Z$6:$Z$1005,1))</f>
        <v/>
      </c>
      <c r="W341" s="95" t="str">
        <f>IF(Z341=0,"",COUNTIFS('ITENS_MTR'!$S$6:$S$1005,A341,'ITENS_MTR'!$R$6:$R$1005,1))</f>
        <v/>
      </c>
      <c r="X341" s="94" t="str">
        <f>IF(AC341=1,"POSSÍVEL DUPLICIDADE","")</f>
        <v/>
      </c>
      <c r="Y341" s="94" t="str">
        <f>IF(Z341=0,"",IF(AW341="","Nenhuma",LEFT(AW341,LEN(AW341)-2)))</f>
        <v/>
      </c>
      <c r="Z341" s="96">
        <f>IF(COUNTA(B341:O341)&gt;0,1,0)</f>
        <v>0</v>
      </c>
      <c r="AA341" s="96">
        <f>IF(AND(Z341=1,K341&lt;&gt;""),IF(TRIM(K341)=TRIM(cfg_cancel),1,0),0)</f>
        <v>0</v>
      </c>
      <c r="AB341" s="96" t="str">
        <f>IF(AND(Z341=1,B341&lt;&gt;""),C341&amp;"|"&amp;D341&amp;"|"&amp;G341&amp;"|"&amp;TRIM(B341),"")</f>
        <v/>
      </c>
      <c r="AC341" s="96">
        <f>IF(AB341="",0,IF(SUMPRODUCT(--($AB$6:$AB$505=AB341))&gt;1,1,0))</f>
        <v>0</v>
      </c>
      <c r="AD341" s="96">
        <f>IF(Z341=0,0,IF(OR(AND(G341&lt;&gt;"",ISNA(MATCH(G341,'CAD_UNIDADES'!$C$6:$C$105,0))),AND(H341&lt;&gt;"",ISNA(MATCH(H341,cmp_transp,0))),AND(I341&lt;&gt;"",ISNA(MATCH(I341,cmp_dest,0))),AND(E341&lt;&gt;"",NOT(ISNUMBER(E341))),AND(F341&lt;&gt;"",NOT(ISNUMBER(F341))),AND(ISNUMBER(E341),ISNUMBER(F341),F341&lt;E341)),1,0))</f>
        <v>0</v>
      </c>
      <c r="AE341" s="96">
        <f>IF(Z341=0,0,IF(OR(B341="",C341="",E341="",G341="",H341="",I341="",N(W341)=0),1,0))</f>
        <v>0</v>
      </c>
      <c r="AF341" s="96">
        <f>IF(Z341=0,0,COUNTIFS('ITENS_MTR'!$S$6:$S$1005,A341,'ITENS_MTR'!$AI$6:$AI$1005,1))</f>
        <v>0</v>
      </c>
      <c r="AG341" s="96">
        <f>IF(Z341=0,0,COUNTIFS('ITENS_MTR'!$S$6:$S$1005,A341,'ITENS_MTR'!$AJ$6:$AJ$1005,1))</f>
        <v>0</v>
      </c>
      <c r="AH341" s="96">
        <f>IF(Z341=0,0,COUNTIFS('ITENS_MTR'!$S$6:$S$1005,A341,'ITENS_MTR'!$AM$6:$AM$1005,1))</f>
        <v>0</v>
      </c>
      <c r="AI341" s="96">
        <f>IF(Z341=0,0,COUNTIFS('ITENS_MTR'!$S$6:$S$1005,A341,'ITENS_MTR'!$AO$6:$AO$1005,1))</f>
        <v>0</v>
      </c>
      <c r="AJ341" s="96">
        <f>IF(Z341=0,0,COUNTIFS('ITENS_MTR'!$S$6:$S$1005,A341,'ITENS_MTR'!$AN$6:$AN$1005,1))</f>
        <v>0</v>
      </c>
      <c r="AK341" s="96">
        <f>IF(Z341=0,0,COUNTIFS('RECEBIMENTOS'!$B$6:$B$1005,A341,'RECEBIMENTOS'!$Y$6:$Y$1005,1))</f>
        <v>0</v>
      </c>
      <c r="AL341" s="96">
        <f>IF(Z341=0,0,COUNTIFS('VÍNCULOS_CDF'!$D$6:$D$1005,A341,'VÍNCULOS_CDF'!$Y$6:$Y$1005,1))</f>
        <v>0</v>
      </c>
      <c r="AM341" s="96">
        <f>IF(Z341=0,0,COUNTIFS('RECEBIMENTOS'!$B$6:$B$1005,A341,'RECEBIMENTOS'!$Q$6:$Q$1005,1))</f>
        <v>0</v>
      </c>
      <c r="AN341" s="96">
        <f>IF(AND(Z341=1,N(W341)&gt;0,AG341=N(W341)),1,0)</f>
        <v>0</v>
      </c>
      <c r="AO341" s="96">
        <f>IF(AND(Z341=1,N(W341)&gt;0,AI341=N(W341)),1,0)</f>
        <v>0</v>
      </c>
      <c r="AP341" s="97">
        <f>IF(Z341=0,0,_xlfn.MAXIFS('RECEBIMENTOS'!$E$6:$E$1005,'RECEBIMENTOS'!$B$6:$B$1005,A341))</f>
        <v>0</v>
      </c>
      <c r="AQ341" s="97" t="str">
        <f>IF(T341="","",IF(T341="RECEBIMENTO NÃO CONFIRMADO",IF(ISNUMBER(F341),F341,IF(ISNUMBER(E341),E341,"")),IF(OR(T341="CDF NÃO LOCALIZADO",T341="VÍNCULO INCOMPLETO",T341="CDF A CONFERIR"),IF(AP341&gt;0,AP341,IF(ISNUMBER(E341),E341,"")),IF(ISNUMBER(E341),E341,""))))</f>
        <v/>
      </c>
      <c r="AR341" s="96">
        <f>IF(NOT(ISNUMBER(U341)),0,IF(T341="RECEBIMENTO NÃO CONFIRMADO",IF(AND(ISNUMBER(cfg_rec),U341&gt;cfg_rec),1,0),IF(OR(T341="CDF NÃO LOCALIZADO",T341="VÍNCULO INCOMPLETO",T341="CDF A CONFERIR"),IF(AND(ISNUMBER(cfg_cdf),U341&gt;cfg_cdf),1,0),0)))</f>
        <v>0</v>
      </c>
      <c r="AS341" s="96" t="str">
        <f>IF(T341="","",IF(AR341=1,"Alta",IFERROR(INDEX(cfg_pp,MATCH(T341,cfg_pt,0))&amp;"","Média")))</f>
        <v/>
      </c>
      <c r="AT341" s="96" t="str">
        <f>IF(T341="","",IFERROR(INDEX(cfg_pv,MATCH(T341,cfg_pt,0))&amp;"",""))</f>
        <v/>
      </c>
      <c r="AU341" s="96" t="str">
        <f>IF(T341="","",IF(AS341="Alta",1,IF(AS341="Média",2,3))*1000000000+(999999-IF(ISNUMBER(U341),MIN(U341,999999),0))*1000+336)</f>
        <v/>
      </c>
      <c r="AV341" s="96">
        <f>IF(T341&lt;&gt;"",1,0)</f>
        <v>0</v>
      </c>
      <c r="AW341" s="96" t="str">
        <f>IF(Z341=0,"",IF(AA341=1,"Cancelamento informado; ","")&amp;IF(AE341=1,"Campos essenciais ou itens faltando; ","")&amp;IF(AC341=1,"Possível duplicidade do número; ","")&amp;IF(AD341=1,"Cadastro ou datas a revisar; ","")&amp;IF(AF341&gt;0,"Item de resíduo com dado a revisar; ","")&amp;IF(AH341&gt;0,"Diferença de quantidade a analisar; ","")&amp;IF(AK341&gt;0,"Recebimento com alerta; ","")&amp;IF(AL341&gt;0,"Vínculo de CDF com alerta; ","")&amp;IF(AND(AA341=0,AN341=0),"Recebimento não confirmado; ","")&amp;IF(AND(AA341=0,AN341=1,AO341=0),"CDF pendente ou a conferir; ",""))</f>
        <v/>
      </c>
      <c r="AX341" s="96">
        <f>IF(Z341=0,0,IF(AND(OR(f_ini="",AND(ISNUMBER(E341),E341&gt;=f_ini)),OR(f_fim="",AND(ISNUMBER(E341),E341&lt;=f_fim)),OR(f_un="",f_un="(Todas)",G341=f_un),OR(f_tr="",f_tr="(Todos)",H341=f_tr),OR(f_de="",f_de="(Todos)",I341=f_de),OR(f_sit="",f_sit="(Todas)",S341=f_sit)),1,0))</f>
        <v>0</v>
      </c>
      <c r="AY341" s="96">
        <f>IF(AX341=0,0,IF(OR(f_res="",f_res="(Todos)"),1,IF(COUNTIFS('ITENS_MTR'!$S$6:$S$1005,A341,'ITENS_MTR'!$C$6:$C$1005,f_res)&gt;0,1,0)))</f>
        <v>0</v>
      </c>
      <c r="AZ341" s="97" t="str">
        <f>IF(ISNUMBER(E341),DATE(YEAR(E341),MONTH(E341),1),"")</f>
        <v/>
      </c>
      <c r="BA341" s="96">
        <f>IF(Z341=0,0,IF(AND(OR(r_ini="",AND(ISNUMBER(E341),E341&gt;=r_ini)),OR(r_fim="",AND(ISNUMBER(E341),E341&lt;=r_fim)),OR(r_un="",r_un="(Todas)",G341=r_un),OR(r_de="",r_de="(Todos)",I341=r_de)),1,0))</f>
        <v>0</v>
      </c>
      <c r="BB341" s="96" t="str">
        <f>IF(BA341=1,COUNTIF($BA$6:BA341,1),"")</f>
        <v/>
      </c>
      <c r="BC341" s="96" t="str">
        <f>IF(AND(AU341&lt;&gt;"",OR(r_un="",r_un="(Todas)",G341=r_un),OR(r_de="",r_de="(Todos)",I341=r_de)),AU341,"")</f>
        <v/>
      </c>
      <c r="BD341" s="96" t="str">
        <f>IF(Z341=1,A341&amp;" | nº "&amp;IF(B341="","(sem número)",B341)&amp;" | "&amp;IF(G341="","(sem unidade)",G341),"")</f>
        <v/>
      </c>
      <c r="BE341" s="96" t="str">
        <f>IF(Z341=1,COUNTIF($Z$6:Z341,1),"")</f>
        <v/>
      </c>
      <c r="BF341" s="96" t="str">
        <f>IF(T341="","",IF(T341="RECEBIMENTO NÃO CONFIRMADO","Transp.: "&amp;H341&amp;" | Dest.: "&amp;I341,IF(OR(T341="CDF NÃO LOCALIZADO",T341="VÍNCULO INCOMPLETO",T341="CDF A CONFERIR"),"Dest.: "&amp;I341,"Gerador: "&amp;G341)))</f>
        <v/>
      </c>
    </row>
    <row r="342">
      <c r="A342" s="89" t="inlineStr">
        <is>
          <t>MTR-000337</t>
        </is>
      </c>
      <c r="B342" s="90" t="n"/>
      <c r="C342" s="91" t="n"/>
      <c r="D342" s="91" t="n"/>
      <c r="E342" s="92" t="n"/>
      <c r="F342" s="92" t="n"/>
      <c r="G342" s="91" t="n"/>
      <c r="H342" s="91" t="n"/>
      <c r="I342" s="91" t="n"/>
      <c r="J342" s="91" t="n"/>
      <c r="K342" s="91" t="n"/>
      <c r="L342" s="92" t="n"/>
      <c r="M342" s="91" t="n"/>
      <c r="N342" s="91" t="n"/>
      <c r="O342" s="91" t="n"/>
      <c r="P342" s="93" t="str">
        <f>IF(Z342=0,"",SUMIFS('ITENS_MTR'!$I$6:$I$1005,'ITENS_MTR'!$S$6:$S$1005,A342,'ITENS_MTR'!$Y$6:$Y$1005,1))</f>
        <v/>
      </c>
      <c r="Q342" s="93" t="str">
        <f>IF(Z342=0,"",SUMIFS('RECEBIMENTOS'!$H$6:$H$1005,'RECEBIMENTOS'!$B$6:$B$1005,A342,'RECEBIMENTOS'!$X$6:$X$1005,1))</f>
        <v/>
      </c>
      <c r="R342" s="93" t="str">
        <f>IF(Z342=0,"",SUMIFS('VÍNCULOS_CDF'!$H$6:$H$1005,'VÍNCULOS_CDF'!$D$6:$D$1005,A342,'VÍNCULOS_CDF'!$V$6:$V$1005,1))</f>
        <v/>
      </c>
      <c r="S342" s="94" t="str">
        <f>IF(Z342=0,"",IF(AA342=1,"Cancelado (informado)",IF(AE342=1,"Cadastro incompleto",IF(OR(AC342=1,AD342=1,AF342&gt;0,AH342&gt;0,AK342&gt;0,AL342&gt;0),"Informação a revisar",IF(AN342=0,"Aguardando recebimento",IF(N(R342)=0,"Aguardando CDF",IF(AJ342&lt;N(W342),"Vínculo de CDF parcial",IF(AO342=0,"CDF localizado, a conferir","Documentação conferida"))))))))</f>
        <v/>
      </c>
      <c r="T342" s="94" t="str">
        <f>IF(Z342=0,"",IF(S342="Cadastro incompleto","MTR INCOMPLETO",IF(S342="Informação a revisar",IF(AND(AH342&gt;0,AC342=0,AD342=0,AF342=0,AK342=0,AL342=0),"QUANTIDADE A REVISAR","IDENTIFICAÇÃO A REVISAR"),IF(S342="Aguardando recebimento","RECEBIMENTO NÃO CONFIRMADO",IF(S342="Aguardando CDF","CDF NÃO LOCALIZADO",IF(S342="Vínculo de CDF parcial","VÍNCULO INCOMPLETO",IF(S342="CDF localizado, a conferir","CDF A CONFERIR","")))))))</f>
        <v/>
      </c>
      <c r="U342" s="95" t="str">
        <f>IF(T342="","",IF(AQ342="","Não calculável",IF(AQ342&gt;TODAY(),"Data futura",TODAY()-AQ342)))</f>
        <v/>
      </c>
      <c r="V342" s="93" t="str">
        <f>IF(Z342=0,"",SUMIFS('RECEBIMENTOS'!$H$6:$H$1005,'RECEBIMENTOS'!$B$6:$B$1005,A342,'RECEBIMENTOS'!$Z$6:$Z$1005,1))</f>
        <v/>
      </c>
      <c r="W342" s="95" t="str">
        <f>IF(Z342=0,"",COUNTIFS('ITENS_MTR'!$S$6:$S$1005,A342,'ITENS_MTR'!$R$6:$R$1005,1))</f>
        <v/>
      </c>
      <c r="X342" s="94" t="str">
        <f>IF(AC342=1,"POSSÍVEL DUPLICIDADE","")</f>
        <v/>
      </c>
      <c r="Y342" s="94" t="str">
        <f>IF(Z342=0,"",IF(AW342="","Nenhuma",LEFT(AW342,LEN(AW342)-2)))</f>
        <v/>
      </c>
      <c r="Z342" s="96">
        <f>IF(COUNTA(B342:O342)&gt;0,1,0)</f>
        <v>0</v>
      </c>
      <c r="AA342" s="96">
        <f>IF(AND(Z342=1,K342&lt;&gt;""),IF(TRIM(K342)=TRIM(cfg_cancel),1,0),0)</f>
        <v>0</v>
      </c>
      <c r="AB342" s="96" t="str">
        <f>IF(AND(Z342=1,B342&lt;&gt;""),C342&amp;"|"&amp;D342&amp;"|"&amp;G342&amp;"|"&amp;TRIM(B342),"")</f>
        <v/>
      </c>
      <c r="AC342" s="96">
        <f>IF(AB342="",0,IF(SUMPRODUCT(--($AB$6:$AB$505=AB342))&gt;1,1,0))</f>
        <v>0</v>
      </c>
      <c r="AD342" s="96">
        <f>IF(Z342=0,0,IF(OR(AND(G342&lt;&gt;"",ISNA(MATCH(G342,'CAD_UNIDADES'!$C$6:$C$105,0))),AND(H342&lt;&gt;"",ISNA(MATCH(H342,cmp_transp,0))),AND(I342&lt;&gt;"",ISNA(MATCH(I342,cmp_dest,0))),AND(E342&lt;&gt;"",NOT(ISNUMBER(E342))),AND(F342&lt;&gt;"",NOT(ISNUMBER(F342))),AND(ISNUMBER(E342),ISNUMBER(F342),F342&lt;E342)),1,0))</f>
        <v>0</v>
      </c>
      <c r="AE342" s="96">
        <f>IF(Z342=0,0,IF(OR(B342="",C342="",E342="",G342="",H342="",I342="",N(W342)=0),1,0))</f>
        <v>0</v>
      </c>
      <c r="AF342" s="96">
        <f>IF(Z342=0,0,COUNTIFS('ITENS_MTR'!$S$6:$S$1005,A342,'ITENS_MTR'!$AI$6:$AI$1005,1))</f>
        <v>0</v>
      </c>
      <c r="AG342" s="96">
        <f>IF(Z342=0,0,COUNTIFS('ITENS_MTR'!$S$6:$S$1005,A342,'ITENS_MTR'!$AJ$6:$AJ$1005,1))</f>
        <v>0</v>
      </c>
      <c r="AH342" s="96">
        <f>IF(Z342=0,0,COUNTIFS('ITENS_MTR'!$S$6:$S$1005,A342,'ITENS_MTR'!$AM$6:$AM$1005,1))</f>
        <v>0</v>
      </c>
      <c r="AI342" s="96">
        <f>IF(Z342=0,0,COUNTIFS('ITENS_MTR'!$S$6:$S$1005,A342,'ITENS_MTR'!$AO$6:$AO$1005,1))</f>
        <v>0</v>
      </c>
      <c r="AJ342" s="96">
        <f>IF(Z342=0,0,COUNTIFS('ITENS_MTR'!$S$6:$S$1005,A342,'ITENS_MTR'!$AN$6:$AN$1005,1))</f>
        <v>0</v>
      </c>
      <c r="AK342" s="96">
        <f>IF(Z342=0,0,COUNTIFS('RECEBIMENTOS'!$B$6:$B$1005,A342,'RECEBIMENTOS'!$Y$6:$Y$1005,1))</f>
        <v>0</v>
      </c>
      <c r="AL342" s="96">
        <f>IF(Z342=0,0,COUNTIFS('VÍNCULOS_CDF'!$D$6:$D$1005,A342,'VÍNCULOS_CDF'!$Y$6:$Y$1005,1))</f>
        <v>0</v>
      </c>
      <c r="AM342" s="96">
        <f>IF(Z342=0,0,COUNTIFS('RECEBIMENTOS'!$B$6:$B$1005,A342,'RECEBIMENTOS'!$Q$6:$Q$1005,1))</f>
        <v>0</v>
      </c>
      <c r="AN342" s="96">
        <f>IF(AND(Z342=1,N(W342)&gt;0,AG342=N(W342)),1,0)</f>
        <v>0</v>
      </c>
      <c r="AO342" s="96">
        <f>IF(AND(Z342=1,N(W342)&gt;0,AI342=N(W342)),1,0)</f>
        <v>0</v>
      </c>
      <c r="AP342" s="97">
        <f>IF(Z342=0,0,_xlfn.MAXIFS('RECEBIMENTOS'!$E$6:$E$1005,'RECEBIMENTOS'!$B$6:$B$1005,A342))</f>
        <v>0</v>
      </c>
      <c r="AQ342" s="97" t="str">
        <f>IF(T342="","",IF(T342="RECEBIMENTO NÃO CONFIRMADO",IF(ISNUMBER(F342),F342,IF(ISNUMBER(E342),E342,"")),IF(OR(T342="CDF NÃO LOCALIZADO",T342="VÍNCULO INCOMPLETO",T342="CDF A CONFERIR"),IF(AP342&gt;0,AP342,IF(ISNUMBER(E342),E342,"")),IF(ISNUMBER(E342),E342,""))))</f>
        <v/>
      </c>
      <c r="AR342" s="96">
        <f>IF(NOT(ISNUMBER(U342)),0,IF(T342="RECEBIMENTO NÃO CONFIRMADO",IF(AND(ISNUMBER(cfg_rec),U342&gt;cfg_rec),1,0),IF(OR(T342="CDF NÃO LOCALIZADO",T342="VÍNCULO INCOMPLETO",T342="CDF A CONFERIR"),IF(AND(ISNUMBER(cfg_cdf),U342&gt;cfg_cdf),1,0),0)))</f>
        <v>0</v>
      </c>
      <c r="AS342" s="96" t="str">
        <f>IF(T342="","",IF(AR342=1,"Alta",IFERROR(INDEX(cfg_pp,MATCH(T342,cfg_pt,0))&amp;"","Média")))</f>
        <v/>
      </c>
      <c r="AT342" s="96" t="str">
        <f>IF(T342="","",IFERROR(INDEX(cfg_pv,MATCH(T342,cfg_pt,0))&amp;"",""))</f>
        <v/>
      </c>
      <c r="AU342" s="96" t="str">
        <f>IF(T342="","",IF(AS342="Alta",1,IF(AS342="Média",2,3))*1000000000+(999999-IF(ISNUMBER(U342),MIN(U342,999999),0))*1000+337)</f>
        <v/>
      </c>
      <c r="AV342" s="96">
        <f>IF(T342&lt;&gt;"",1,0)</f>
        <v>0</v>
      </c>
      <c r="AW342" s="96" t="str">
        <f>IF(Z342=0,"",IF(AA342=1,"Cancelamento informado; ","")&amp;IF(AE342=1,"Campos essenciais ou itens faltando; ","")&amp;IF(AC342=1,"Possível duplicidade do número; ","")&amp;IF(AD342=1,"Cadastro ou datas a revisar; ","")&amp;IF(AF342&gt;0,"Item de resíduo com dado a revisar; ","")&amp;IF(AH342&gt;0,"Diferença de quantidade a analisar; ","")&amp;IF(AK342&gt;0,"Recebimento com alerta; ","")&amp;IF(AL342&gt;0,"Vínculo de CDF com alerta; ","")&amp;IF(AND(AA342=0,AN342=0),"Recebimento não confirmado; ","")&amp;IF(AND(AA342=0,AN342=1,AO342=0),"CDF pendente ou a conferir; ",""))</f>
        <v/>
      </c>
      <c r="AX342" s="96">
        <f>IF(Z342=0,0,IF(AND(OR(f_ini="",AND(ISNUMBER(E342),E342&gt;=f_ini)),OR(f_fim="",AND(ISNUMBER(E342),E342&lt;=f_fim)),OR(f_un="",f_un="(Todas)",G342=f_un),OR(f_tr="",f_tr="(Todos)",H342=f_tr),OR(f_de="",f_de="(Todos)",I342=f_de),OR(f_sit="",f_sit="(Todas)",S342=f_sit)),1,0))</f>
        <v>0</v>
      </c>
      <c r="AY342" s="96">
        <f>IF(AX342=0,0,IF(OR(f_res="",f_res="(Todos)"),1,IF(COUNTIFS('ITENS_MTR'!$S$6:$S$1005,A342,'ITENS_MTR'!$C$6:$C$1005,f_res)&gt;0,1,0)))</f>
        <v>0</v>
      </c>
      <c r="AZ342" s="97" t="str">
        <f>IF(ISNUMBER(E342),DATE(YEAR(E342),MONTH(E342),1),"")</f>
        <v/>
      </c>
      <c r="BA342" s="96">
        <f>IF(Z342=0,0,IF(AND(OR(r_ini="",AND(ISNUMBER(E342),E342&gt;=r_ini)),OR(r_fim="",AND(ISNUMBER(E342),E342&lt;=r_fim)),OR(r_un="",r_un="(Todas)",G342=r_un),OR(r_de="",r_de="(Todos)",I342=r_de)),1,0))</f>
        <v>0</v>
      </c>
      <c r="BB342" s="96" t="str">
        <f>IF(BA342=1,COUNTIF($BA$6:BA342,1),"")</f>
        <v/>
      </c>
      <c r="BC342" s="96" t="str">
        <f>IF(AND(AU342&lt;&gt;"",OR(r_un="",r_un="(Todas)",G342=r_un),OR(r_de="",r_de="(Todos)",I342=r_de)),AU342,"")</f>
        <v/>
      </c>
      <c r="BD342" s="96" t="str">
        <f>IF(Z342=1,A342&amp;" | nº "&amp;IF(B342="","(sem número)",B342)&amp;" | "&amp;IF(G342="","(sem unidade)",G342),"")</f>
        <v/>
      </c>
      <c r="BE342" s="96" t="str">
        <f>IF(Z342=1,COUNTIF($Z$6:Z342,1),"")</f>
        <v/>
      </c>
      <c r="BF342" s="96" t="str">
        <f>IF(T342="","",IF(T342="RECEBIMENTO NÃO CONFIRMADO","Transp.: "&amp;H342&amp;" | Dest.: "&amp;I342,IF(OR(T342="CDF NÃO LOCALIZADO",T342="VÍNCULO INCOMPLETO",T342="CDF A CONFERIR"),"Dest.: "&amp;I342,"Gerador: "&amp;G342)))</f>
        <v/>
      </c>
    </row>
    <row r="343">
      <c r="A343" s="89" t="inlineStr">
        <is>
          <t>MTR-000338</t>
        </is>
      </c>
      <c r="B343" s="90" t="n"/>
      <c r="C343" s="91" t="n"/>
      <c r="D343" s="91" t="n"/>
      <c r="E343" s="92" t="n"/>
      <c r="F343" s="92" t="n"/>
      <c r="G343" s="91" t="n"/>
      <c r="H343" s="91" t="n"/>
      <c r="I343" s="91" t="n"/>
      <c r="J343" s="91" t="n"/>
      <c r="K343" s="91" t="n"/>
      <c r="L343" s="92" t="n"/>
      <c r="M343" s="91" t="n"/>
      <c r="N343" s="91" t="n"/>
      <c r="O343" s="91" t="n"/>
      <c r="P343" s="93" t="str">
        <f>IF(Z343=0,"",SUMIFS('ITENS_MTR'!$I$6:$I$1005,'ITENS_MTR'!$S$6:$S$1005,A343,'ITENS_MTR'!$Y$6:$Y$1005,1))</f>
        <v/>
      </c>
      <c r="Q343" s="93" t="str">
        <f>IF(Z343=0,"",SUMIFS('RECEBIMENTOS'!$H$6:$H$1005,'RECEBIMENTOS'!$B$6:$B$1005,A343,'RECEBIMENTOS'!$X$6:$X$1005,1))</f>
        <v/>
      </c>
      <c r="R343" s="93" t="str">
        <f>IF(Z343=0,"",SUMIFS('VÍNCULOS_CDF'!$H$6:$H$1005,'VÍNCULOS_CDF'!$D$6:$D$1005,A343,'VÍNCULOS_CDF'!$V$6:$V$1005,1))</f>
        <v/>
      </c>
      <c r="S343" s="94" t="str">
        <f>IF(Z343=0,"",IF(AA343=1,"Cancelado (informado)",IF(AE343=1,"Cadastro incompleto",IF(OR(AC343=1,AD343=1,AF343&gt;0,AH343&gt;0,AK343&gt;0,AL343&gt;0),"Informação a revisar",IF(AN343=0,"Aguardando recebimento",IF(N(R343)=0,"Aguardando CDF",IF(AJ343&lt;N(W343),"Vínculo de CDF parcial",IF(AO343=0,"CDF localizado, a conferir","Documentação conferida"))))))))</f>
        <v/>
      </c>
      <c r="T343" s="94" t="str">
        <f>IF(Z343=0,"",IF(S343="Cadastro incompleto","MTR INCOMPLETO",IF(S343="Informação a revisar",IF(AND(AH343&gt;0,AC343=0,AD343=0,AF343=0,AK343=0,AL343=0),"QUANTIDADE A REVISAR","IDENTIFICAÇÃO A REVISAR"),IF(S343="Aguardando recebimento","RECEBIMENTO NÃO CONFIRMADO",IF(S343="Aguardando CDF","CDF NÃO LOCALIZADO",IF(S343="Vínculo de CDF parcial","VÍNCULO INCOMPLETO",IF(S343="CDF localizado, a conferir","CDF A CONFERIR","")))))))</f>
        <v/>
      </c>
      <c r="U343" s="95" t="str">
        <f>IF(T343="","",IF(AQ343="","Não calculável",IF(AQ343&gt;TODAY(),"Data futura",TODAY()-AQ343)))</f>
        <v/>
      </c>
      <c r="V343" s="93" t="str">
        <f>IF(Z343=0,"",SUMIFS('RECEBIMENTOS'!$H$6:$H$1005,'RECEBIMENTOS'!$B$6:$B$1005,A343,'RECEBIMENTOS'!$Z$6:$Z$1005,1))</f>
        <v/>
      </c>
      <c r="W343" s="95" t="str">
        <f>IF(Z343=0,"",COUNTIFS('ITENS_MTR'!$S$6:$S$1005,A343,'ITENS_MTR'!$R$6:$R$1005,1))</f>
        <v/>
      </c>
      <c r="X343" s="94" t="str">
        <f>IF(AC343=1,"POSSÍVEL DUPLICIDADE","")</f>
        <v/>
      </c>
      <c r="Y343" s="94" t="str">
        <f>IF(Z343=0,"",IF(AW343="","Nenhuma",LEFT(AW343,LEN(AW343)-2)))</f>
        <v/>
      </c>
      <c r="Z343" s="96">
        <f>IF(COUNTA(B343:O343)&gt;0,1,0)</f>
        <v>0</v>
      </c>
      <c r="AA343" s="96">
        <f>IF(AND(Z343=1,K343&lt;&gt;""),IF(TRIM(K343)=TRIM(cfg_cancel),1,0),0)</f>
        <v>0</v>
      </c>
      <c r="AB343" s="96" t="str">
        <f>IF(AND(Z343=1,B343&lt;&gt;""),C343&amp;"|"&amp;D343&amp;"|"&amp;G343&amp;"|"&amp;TRIM(B343),"")</f>
        <v/>
      </c>
      <c r="AC343" s="96">
        <f>IF(AB343="",0,IF(SUMPRODUCT(--($AB$6:$AB$505=AB343))&gt;1,1,0))</f>
        <v>0</v>
      </c>
      <c r="AD343" s="96">
        <f>IF(Z343=0,0,IF(OR(AND(G343&lt;&gt;"",ISNA(MATCH(G343,'CAD_UNIDADES'!$C$6:$C$105,0))),AND(H343&lt;&gt;"",ISNA(MATCH(H343,cmp_transp,0))),AND(I343&lt;&gt;"",ISNA(MATCH(I343,cmp_dest,0))),AND(E343&lt;&gt;"",NOT(ISNUMBER(E343))),AND(F343&lt;&gt;"",NOT(ISNUMBER(F343))),AND(ISNUMBER(E343),ISNUMBER(F343),F343&lt;E343)),1,0))</f>
        <v>0</v>
      </c>
      <c r="AE343" s="96">
        <f>IF(Z343=0,0,IF(OR(B343="",C343="",E343="",G343="",H343="",I343="",N(W343)=0),1,0))</f>
        <v>0</v>
      </c>
      <c r="AF343" s="96">
        <f>IF(Z343=0,0,COUNTIFS('ITENS_MTR'!$S$6:$S$1005,A343,'ITENS_MTR'!$AI$6:$AI$1005,1))</f>
        <v>0</v>
      </c>
      <c r="AG343" s="96">
        <f>IF(Z343=0,0,COUNTIFS('ITENS_MTR'!$S$6:$S$1005,A343,'ITENS_MTR'!$AJ$6:$AJ$1005,1))</f>
        <v>0</v>
      </c>
      <c r="AH343" s="96">
        <f>IF(Z343=0,0,COUNTIFS('ITENS_MTR'!$S$6:$S$1005,A343,'ITENS_MTR'!$AM$6:$AM$1005,1))</f>
        <v>0</v>
      </c>
      <c r="AI343" s="96">
        <f>IF(Z343=0,0,COUNTIFS('ITENS_MTR'!$S$6:$S$1005,A343,'ITENS_MTR'!$AO$6:$AO$1005,1))</f>
        <v>0</v>
      </c>
      <c r="AJ343" s="96">
        <f>IF(Z343=0,0,COUNTIFS('ITENS_MTR'!$S$6:$S$1005,A343,'ITENS_MTR'!$AN$6:$AN$1005,1))</f>
        <v>0</v>
      </c>
      <c r="AK343" s="96">
        <f>IF(Z343=0,0,COUNTIFS('RECEBIMENTOS'!$B$6:$B$1005,A343,'RECEBIMENTOS'!$Y$6:$Y$1005,1))</f>
        <v>0</v>
      </c>
      <c r="AL343" s="96">
        <f>IF(Z343=0,0,COUNTIFS('VÍNCULOS_CDF'!$D$6:$D$1005,A343,'VÍNCULOS_CDF'!$Y$6:$Y$1005,1))</f>
        <v>0</v>
      </c>
      <c r="AM343" s="96">
        <f>IF(Z343=0,0,COUNTIFS('RECEBIMENTOS'!$B$6:$B$1005,A343,'RECEBIMENTOS'!$Q$6:$Q$1005,1))</f>
        <v>0</v>
      </c>
      <c r="AN343" s="96">
        <f>IF(AND(Z343=1,N(W343)&gt;0,AG343=N(W343)),1,0)</f>
        <v>0</v>
      </c>
      <c r="AO343" s="96">
        <f>IF(AND(Z343=1,N(W343)&gt;0,AI343=N(W343)),1,0)</f>
        <v>0</v>
      </c>
      <c r="AP343" s="97">
        <f>IF(Z343=0,0,_xlfn.MAXIFS('RECEBIMENTOS'!$E$6:$E$1005,'RECEBIMENTOS'!$B$6:$B$1005,A343))</f>
        <v>0</v>
      </c>
      <c r="AQ343" s="97" t="str">
        <f>IF(T343="","",IF(T343="RECEBIMENTO NÃO CONFIRMADO",IF(ISNUMBER(F343),F343,IF(ISNUMBER(E343),E343,"")),IF(OR(T343="CDF NÃO LOCALIZADO",T343="VÍNCULO INCOMPLETO",T343="CDF A CONFERIR"),IF(AP343&gt;0,AP343,IF(ISNUMBER(E343),E343,"")),IF(ISNUMBER(E343),E343,""))))</f>
        <v/>
      </c>
      <c r="AR343" s="96">
        <f>IF(NOT(ISNUMBER(U343)),0,IF(T343="RECEBIMENTO NÃO CONFIRMADO",IF(AND(ISNUMBER(cfg_rec),U343&gt;cfg_rec),1,0),IF(OR(T343="CDF NÃO LOCALIZADO",T343="VÍNCULO INCOMPLETO",T343="CDF A CONFERIR"),IF(AND(ISNUMBER(cfg_cdf),U343&gt;cfg_cdf),1,0),0)))</f>
        <v>0</v>
      </c>
      <c r="AS343" s="96" t="str">
        <f>IF(T343="","",IF(AR343=1,"Alta",IFERROR(INDEX(cfg_pp,MATCH(T343,cfg_pt,0))&amp;"","Média")))</f>
        <v/>
      </c>
      <c r="AT343" s="96" t="str">
        <f>IF(T343="","",IFERROR(INDEX(cfg_pv,MATCH(T343,cfg_pt,0))&amp;"",""))</f>
        <v/>
      </c>
      <c r="AU343" s="96" t="str">
        <f>IF(T343="","",IF(AS343="Alta",1,IF(AS343="Média",2,3))*1000000000+(999999-IF(ISNUMBER(U343),MIN(U343,999999),0))*1000+338)</f>
        <v/>
      </c>
      <c r="AV343" s="96">
        <f>IF(T343&lt;&gt;"",1,0)</f>
        <v>0</v>
      </c>
      <c r="AW343" s="96" t="str">
        <f>IF(Z343=0,"",IF(AA343=1,"Cancelamento informado; ","")&amp;IF(AE343=1,"Campos essenciais ou itens faltando; ","")&amp;IF(AC343=1,"Possível duplicidade do número; ","")&amp;IF(AD343=1,"Cadastro ou datas a revisar; ","")&amp;IF(AF343&gt;0,"Item de resíduo com dado a revisar; ","")&amp;IF(AH343&gt;0,"Diferença de quantidade a analisar; ","")&amp;IF(AK343&gt;0,"Recebimento com alerta; ","")&amp;IF(AL343&gt;0,"Vínculo de CDF com alerta; ","")&amp;IF(AND(AA343=0,AN343=0),"Recebimento não confirmado; ","")&amp;IF(AND(AA343=0,AN343=1,AO343=0),"CDF pendente ou a conferir; ",""))</f>
        <v/>
      </c>
      <c r="AX343" s="96">
        <f>IF(Z343=0,0,IF(AND(OR(f_ini="",AND(ISNUMBER(E343),E343&gt;=f_ini)),OR(f_fim="",AND(ISNUMBER(E343),E343&lt;=f_fim)),OR(f_un="",f_un="(Todas)",G343=f_un),OR(f_tr="",f_tr="(Todos)",H343=f_tr),OR(f_de="",f_de="(Todos)",I343=f_de),OR(f_sit="",f_sit="(Todas)",S343=f_sit)),1,0))</f>
        <v>0</v>
      </c>
      <c r="AY343" s="96">
        <f>IF(AX343=0,0,IF(OR(f_res="",f_res="(Todos)"),1,IF(COUNTIFS('ITENS_MTR'!$S$6:$S$1005,A343,'ITENS_MTR'!$C$6:$C$1005,f_res)&gt;0,1,0)))</f>
        <v>0</v>
      </c>
      <c r="AZ343" s="97" t="str">
        <f>IF(ISNUMBER(E343),DATE(YEAR(E343),MONTH(E343),1),"")</f>
        <v/>
      </c>
      <c r="BA343" s="96">
        <f>IF(Z343=0,0,IF(AND(OR(r_ini="",AND(ISNUMBER(E343),E343&gt;=r_ini)),OR(r_fim="",AND(ISNUMBER(E343),E343&lt;=r_fim)),OR(r_un="",r_un="(Todas)",G343=r_un),OR(r_de="",r_de="(Todos)",I343=r_de)),1,0))</f>
        <v>0</v>
      </c>
      <c r="BB343" s="96" t="str">
        <f>IF(BA343=1,COUNTIF($BA$6:BA343,1),"")</f>
        <v/>
      </c>
      <c r="BC343" s="96" t="str">
        <f>IF(AND(AU343&lt;&gt;"",OR(r_un="",r_un="(Todas)",G343=r_un),OR(r_de="",r_de="(Todos)",I343=r_de)),AU343,"")</f>
        <v/>
      </c>
      <c r="BD343" s="96" t="str">
        <f>IF(Z343=1,A343&amp;" | nº "&amp;IF(B343="","(sem número)",B343)&amp;" | "&amp;IF(G343="","(sem unidade)",G343),"")</f>
        <v/>
      </c>
      <c r="BE343" s="96" t="str">
        <f>IF(Z343=1,COUNTIF($Z$6:Z343,1),"")</f>
        <v/>
      </c>
      <c r="BF343" s="96" t="str">
        <f>IF(T343="","",IF(T343="RECEBIMENTO NÃO CONFIRMADO","Transp.: "&amp;H343&amp;" | Dest.: "&amp;I343,IF(OR(T343="CDF NÃO LOCALIZADO",T343="VÍNCULO INCOMPLETO",T343="CDF A CONFERIR"),"Dest.: "&amp;I343,"Gerador: "&amp;G343)))</f>
        <v/>
      </c>
    </row>
    <row r="344">
      <c r="A344" s="89" t="inlineStr">
        <is>
          <t>MTR-000339</t>
        </is>
      </c>
      <c r="B344" s="90" t="n"/>
      <c r="C344" s="91" t="n"/>
      <c r="D344" s="91" t="n"/>
      <c r="E344" s="92" t="n"/>
      <c r="F344" s="92" t="n"/>
      <c r="G344" s="91" t="n"/>
      <c r="H344" s="91" t="n"/>
      <c r="I344" s="91" t="n"/>
      <c r="J344" s="91" t="n"/>
      <c r="K344" s="91" t="n"/>
      <c r="L344" s="92" t="n"/>
      <c r="M344" s="91" t="n"/>
      <c r="N344" s="91" t="n"/>
      <c r="O344" s="91" t="n"/>
      <c r="P344" s="93" t="str">
        <f>IF(Z344=0,"",SUMIFS('ITENS_MTR'!$I$6:$I$1005,'ITENS_MTR'!$S$6:$S$1005,A344,'ITENS_MTR'!$Y$6:$Y$1005,1))</f>
        <v/>
      </c>
      <c r="Q344" s="93" t="str">
        <f>IF(Z344=0,"",SUMIFS('RECEBIMENTOS'!$H$6:$H$1005,'RECEBIMENTOS'!$B$6:$B$1005,A344,'RECEBIMENTOS'!$X$6:$X$1005,1))</f>
        <v/>
      </c>
      <c r="R344" s="93" t="str">
        <f>IF(Z344=0,"",SUMIFS('VÍNCULOS_CDF'!$H$6:$H$1005,'VÍNCULOS_CDF'!$D$6:$D$1005,A344,'VÍNCULOS_CDF'!$V$6:$V$1005,1))</f>
        <v/>
      </c>
      <c r="S344" s="94" t="str">
        <f>IF(Z344=0,"",IF(AA344=1,"Cancelado (informado)",IF(AE344=1,"Cadastro incompleto",IF(OR(AC344=1,AD344=1,AF344&gt;0,AH344&gt;0,AK344&gt;0,AL344&gt;0),"Informação a revisar",IF(AN344=0,"Aguardando recebimento",IF(N(R344)=0,"Aguardando CDF",IF(AJ344&lt;N(W344),"Vínculo de CDF parcial",IF(AO344=0,"CDF localizado, a conferir","Documentação conferida"))))))))</f>
        <v/>
      </c>
      <c r="T344" s="94" t="str">
        <f>IF(Z344=0,"",IF(S344="Cadastro incompleto","MTR INCOMPLETO",IF(S344="Informação a revisar",IF(AND(AH344&gt;0,AC344=0,AD344=0,AF344=0,AK344=0,AL344=0),"QUANTIDADE A REVISAR","IDENTIFICAÇÃO A REVISAR"),IF(S344="Aguardando recebimento","RECEBIMENTO NÃO CONFIRMADO",IF(S344="Aguardando CDF","CDF NÃO LOCALIZADO",IF(S344="Vínculo de CDF parcial","VÍNCULO INCOMPLETO",IF(S344="CDF localizado, a conferir","CDF A CONFERIR","")))))))</f>
        <v/>
      </c>
      <c r="U344" s="95" t="str">
        <f>IF(T344="","",IF(AQ344="","Não calculável",IF(AQ344&gt;TODAY(),"Data futura",TODAY()-AQ344)))</f>
        <v/>
      </c>
      <c r="V344" s="93" t="str">
        <f>IF(Z344=0,"",SUMIFS('RECEBIMENTOS'!$H$6:$H$1005,'RECEBIMENTOS'!$B$6:$B$1005,A344,'RECEBIMENTOS'!$Z$6:$Z$1005,1))</f>
        <v/>
      </c>
      <c r="W344" s="95" t="str">
        <f>IF(Z344=0,"",COUNTIFS('ITENS_MTR'!$S$6:$S$1005,A344,'ITENS_MTR'!$R$6:$R$1005,1))</f>
        <v/>
      </c>
      <c r="X344" s="94" t="str">
        <f>IF(AC344=1,"POSSÍVEL DUPLICIDADE","")</f>
        <v/>
      </c>
      <c r="Y344" s="94" t="str">
        <f>IF(Z344=0,"",IF(AW344="","Nenhuma",LEFT(AW344,LEN(AW344)-2)))</f>
        <v/>
      </c>
      <c r="Z344" s="96">
        <f>IF(COUNTA(B344:O344)&gt;0,1,0)</f>
        <v>0</v>
      </c>
      <c r="AA344" s="96">
        <f>IF(AND(Z344=1,K344&lt;&gt;""),IF(TRIM(K344)=TRIM(cfg_cancel),1,0),0)</f>
        <v>0</v>
      </c>
      <c r="AB344" s="96" t="str">
        <f>IF(AND(Z344=1,B344&lt;&gt;""),C344&amp;"|"&amp;D344&amp;"|"&amp;G344&amp;"|"&amp;TRIM(B344),"")</f>
        <v/>
      </c>
      <c r="AC344" s="96">
        <f>IF(AB344="",0,IF(SUMPRODUCT(--($AB$6:$AB$505=AB344))&gt;1,1,0))</f>
        <v>0</v>
      </c>
      <c r="AD344" s="96">
        <f>IF(Z344=0,0,IF(OR(AND(G344&lt;&gt;"",ISNA(MATCH(G344,'CAD_UNIDADES'!$C$6:$C$105,0))),AND(H344&lt;&gt;"",ISNA(MATCH(H344,cmp_transp,0))),AND(I344&lt;&gt;"",ISNA(MATCH(I344,cmp_dest,0))),AND(E344&lt;&gt;"",NOT(ISNUMBER(E344))),AND(F344&lt;&gt;"",NOT(ISNUMBER(F344))),AND(ISNUMBER(E344),ISNUMBER(F344),F344&lt;E344)),1,0))</f>
        <v>0</v>
      </c>
      <c r="AE344" s="96">
        <f>IF(Z344=0,0,IF(OR(B344="",C344="",E344="",G344="",H344="",I344="",N(W344)=0),1,0))</f>
        <v>0</v>
      </c>
      <c r="AF344" s="96">
        <f>IF(Z344=0,0,COUNTIFS('ITENS_MTR'!$S$6:$S$1005,A344,'ITENS_MTR'!$AI$6:$AI$1005,1))</f>
        <v>0</v>
      </c>
      <c r="AG344" s="96">
        <f>IF(Z344=0,0,COUNTIFS('ITENS_MTR'!$S$6:$S$1005,A344,'ITENS_MTR'!$AJ$6:$AJ$1005,1))</f>
        <v>0</v>
      </c>
      <c r="AH344" s="96">
        <f>IF(Z344=0,0,COUNTIFS('ITENS_MTR'!$S$6:$S$1005,A344,'ITENS_MTR'!$AM$6:$AM$1005,1))</f>
        <v>0</v>
      </c>
      <c r="AI344" s="96">
        <f>IF(Z344=0,0,COUNTIFS('ITENS_MTR'!$S$6:$S$1005,A344,'ITENS_MTR'!$AO$6:$AO$1005,1))</f>
        <v>0</v>
      </c>
      <c r="AJ344" s="96">
        <f>IF(Z344=0,0,COUNTIFS('ITENS_MTR'!$S$6:$S$1005,A344,'ITENS_MTR'!$AN$6:$AN$1005,1))</f>
        <v>0</v>
      </c>
      <c r="AK344" s="96">
        <f>IF(Z344=0,0,COUNTIFS('RECEBIMENTOS'!$B$6:$B$1005,A344,'RECEBIMENTOS'!$Y$6:$Y$1005,1))</f>
        <v>0</v>
      </c>
      <c r="AL344" s="96">
        <f>IF(Z344=0,0,COUNTIFS('VÍNCULOS_CDF'!$D$6:$D$1005,A344,'VÍNCULOS_CDF'!$Y$6:$Y$1005,1))</f>
        <v>0</v>
      </c>
      <c r="AM344" s="96">
        <f>IF(Z344=0,0,COUNTIFS('RECEBIMENTOS'!$B$6:$B$1005,A344,'RECEBIMENTOS'!$Q$6:$Q$1005,1))</f>
        <v>0</v>
      </c>
      <c r="AN344" s="96">
        <f>IF(AND(Z344=1,N(W344)&gt;0,AG344=N(W344)),1,0)</f>
        <v>0</v>
      </c>
      <c r="AO344" s="96">
        <f>IF(AND(Z344=1,N(W344)&gt;0,AI344=N(W344)),1,0)</f>
        <v>0</v>
      </c>
      <c r="AP344" s="97">
        <f>IF(Z344=0,0,_xlfn.MAXIFS('RECEBIMENTOS'!$E$6:$E$1005,'RECEBIMENTOS'!$B$6:$B$1005,A344))</f>
        <v>0</v>
      </c>
      <c r="AQ344" s="97" t="str">
        <f>IF(T344="","",IF(T344="RECEBIMENTO NÃO CONFIRMADO",IF(ISNUMBER(F344),F344,IF(ISNUMBER(E344),E344,"")),IF(OR(T344="CDF NÃO LOCALIZADO",T344="VÍNCULO INCOMPLETO",T344="CDF A CONFERIR"),IF(AP344&gt;0,AP344,IF(ISNUMBER(E344),E344,"")),IF(ISNUMBER(E344),E344,""))))</f>
        <v/>
      </c>
      <c r="AR344" s="96">
        <f>IF(NOT(ISNUMBER(U344)),0,IF(T344="RECEBIMENTO NÃO CONFIRMADO",IF(AND(ISNUMBER(cfg_rec),U344&gt;cfg_rec),1,0),IF(OR(T344="CDF NÃO LOCALIZADO",T344="VÍNCULO INCOMPLETO",T344="CDF A CONFERIR"),IF(AND(ISNUMBER(cfg_cdf),U344&gt;cfg_cdf),1,0),0)))</f>
        <v>0</v>
      </c>
      <c r="AS344" s="96" t="str">
        <f>IF(T344="","",IF(AR344=1,"Alta",IFERROR(INDEX(cfg_pp,MATCH(T344,cfg_pt,0))&amp;"","Média")))</f>
        <v/>
      </c>
      <c r="AT344" s="96" t="str">
        <f>IF(T344="","",IFERROR(INDEX(cfg_pv,MATCH(T344,cfg_pt,0))&amp;"",""))</f>
        <v/>
      </c>
      <c r="AU344" s="96" t="str">
        <f>IF(T344="","",IF(AS344="Alta",1,IF(AS344="Média",2,3))*1000000000+(999999-IF(ISNUMBER(U344),MIN(U344,999999),0))*1000+339)</f>
        <v/>
      </c>
      <c r="AV344" s="96">
        <f>IF(T344&lt;&gt;"",1,0)</f>
        <v>0</v>
      </c>
      <c r="AW344" s="96" t="str">
        <f>IF(Z344=0,"",IF(AA344=1,"Cancelamento informado; ","")&amp;IF(AE344=1,"Campos essenciais ou itens faltando; ","")&amp;IF(AC344=1,"Possível duplicidade do número; ","")&amp;IF(AD344=1,"Cadastro ou datas a revisar; ","")&amp;IF(AF344&gt;0,"Item de resíduo com dado a revisar; ","")&amp;IF(AH344&gt;0,"Diferença de quantidade a analisar; ","")&amp;IF(AK344&gt;0,"Recebimento com alerta; ","")&amp;IF(AL344&gt;0,"Vínculo de CDF com alerta; ","")&amp;IF(AND(AA344=0,AN344=0),"Recebimento não confirmado; ","")&amp;IF(AND(AA344=0,AN344=1,AO344=0),"CDF pendente ou a conferir; ",""))</f>
        <v/>
      </c>
      <c r="AX344" s="96">
        <f>IF(Z344=0,0,IF(AND(OR(f_ini="",AND(ISNUMBER(E344),E344&gt;=f_ini)),OR(f_fim="",AND(ISNUMBER(E344),E344&lt;=f_fim)),OR(f_un="",f_un="(Todas)",G344=f_un),OR(f_tr="",f_tr="(Todos)",H344=f_tr),OR(f_de="",f_de="(Todos)",I344=f_de),OR(f_sit="",f_sit="(Todas)",S344=f_sit)),1,0))</f>
        <v>0</v>
      </c>
      <c r="AY344" s="96">
        <f>IF(AX344=0,0,IF(OR(f_res="",f_res="(Todos)"),1,IF(COUNTIFS('ITENS_MTR'!$S$6:$S$1005,A344,'ITENS_MTR'!$C$6:$C$1005,f_res)&gt;0,1,0)))</f>
        <v>0</v>
      </c>
      <c r="AZ344" s="97" t="str">
        <f>IF(ISNUMBER(E344),DATE(YEAR(E344),MONTH(E344),1),"")</f>
        <v/>
      </c>
      <c r="BA344" s="96">
        <f>IF(Z344=0,0,IF(AND(OR(r_ini="",AND(ISNUMBER(E344),E344&gt;=r_ini)),OR(r_fim="",AND(ISNUMBER(E344),E344&lt;=r_fim)),OR(r_un="",r_un="(Todas)",G344=r_un),OR(r_de="",r_de="(Todos)",I344=r_de)),1,0))</f>
        <v>0</v>
      </c>
      <c r="BB344" s="96" t="str">
        <f>IF(BA344=1,COUNTIF($BA$6:BA344,1),"")</f>
        <v/>
      </c>
      <c r="BC344" s="96" t="str">
        <f>IF(AND(AU344&lt;&gt;"",OR(r_un="",r_un="(Todas)",G344=r_un),OR(r_de="",r_de="(Todos)",I344=r_de)),AU344,"")</f>
        <v/>
      </c>
      <c r="BD344" s="96" t="str">
        <f>IF(Z344=1,A344&amp;" | nº "&amp;IF(B344="","(sem número)",B344)&amp;" | "&amp;IF(G344="","(sem unidade)",G344),"")</f>
        <v/>
      </c>
      <c r="BE344" s="96" t="str">
        <f>IF(Z344=1,COUNTIF($Z$6:Z344,1),"")</f>
        <v/>
      </c>
      <c r="BF344" s="96" t="str">
        <f>IF(T344="","",IF(T344="RECEBIMENTO NÃO CONFIRMADO","Transp.: "&amp;H344&amp;" | Dest.: "&amp;I344,IF(OR(T344="CDF NÃO LOCALIZADO",T344="VÍNCULO INCOMPLETO",T344="CDF A CONFERIR"),"Dest.: "&amp;I344,"Gerador: "&amp;G344)))</f>
        <v/>
      </c>
    </row>
    <row r="345">
      <c r="A345" s="89" t="inlineStr">
        <is>
          <t>MTR-000340</t>
        </is>
      </c>
      <c r="B345" s="90" t="n"/>
      <c r="C345" s="91" t="n"/>
      <c r="D345" s="91" t="n"/>
      <c r="E345" s="92" t="n"/>
      <c r="F345" s="92" t="n"/>
      <c r="G345" s="91" t="n"/>
      <c r="H345" s="91" t="n"/>
      <c r="I345" s="91" t="n"/>
      <c r="J345" s="91" t="n"/>
      <c r="K345" s="91" t="n"/>
      <c r="L345" s="92" t="n"/>
      <c r="M345" s="91" t="n"/>
      <c r="N345" s="91" t="n"/>
      <c r="O345" s="91" t="n"/>
      <c r="P345" s="93" t="str">
        <f>IF(Z345=0,"",SUMIFS('ITENS_MTR'!$I$6:$I$1005,'ITENS_MTR'!$S$6:$S$1005,A345,'ITENS_MTR'!$Y$6:$Y$1005,1))</f>
        <v/>
      </c>
      <c r="Q345" s="93" t="str">
        <f>IF(Z345=0,"",SUMIFS('RECEBIMENTOS'!$H$6:$H$1005,'RECEBIMENTOS'!$B$6:$B$1005,A345,'RECEBIMENTOS'!$X$6:$X$1005,1))</f>
        <v/>
      </c>
      <c r="R345" s="93" t="str">
        <f>IF(Z345=0,"",SUMIFS('VÍNCULOS_CDF'!$H$6:$H$1005,'VÍNCULOS_CDF'!$D$6:$D$1005,A345,'VÍNCULOS_CDF'!$V$6:$V$1005,1))</f>
        <v/>
      </c>
      <c r="S345" s="94" t="str">
        <f>IF(Z345=0,"",IF(AA345=1,"Cancelado (informado)",IF(AE345=1,"Cadastro incompleto",IF(OR(AC345=1,AD345=1,AF345&gt;0,AH345&gt;0,AK345&gt;0,AL345&gt;0),"Informação a revisar",IF(AN345=0,"Aguardando recebimento",IF(N(R345)=0,"Aguardando CDF",IF(AJ345&lt;N(W345),"Vínculo de CDF parcial",IF(AO345=0,"CDF localizado, a conferir","Documentação conferida"))))))))</f>
        <v/>
      </c>
      <c r="T345" s="94" t="str">
        <f>IF(Z345=0,"",IF(S345="Cadastro incompleto","MTR INCOMPLETO",IF(S345="Informação a revisar",IF(AND(AH345&gt;0,AC345=0,AD345=0,AF345=0,AK345=0,AL345=0),"QUANTIDADE A REVISAR","IDENTIFICAÇÃO A REVISAR"),IF(S345="Aguardando recebimento","RECEBIMENTO NÃO CONFIRMADO",IF(S345="Aguardando CDF","CDF NÃO LOCALIZADO",IF(S345="Vínculo de CDF parcial","VÍNCULO INCOMPLETO",IF(S345="CDF localizado, a conferir","CDF A CONFERIR","")))))))</f>
        <v/>
      </c>
      <c r="U345" s="95" t="str">
        <f>IF(T345="","",IF(AQ345="","Não calculável",IF(AQ345&gt;TODAY(),"Data futura",TODAY()-AQ345)))</f>
        <v/>
      </c>
      <c r="V345" s="93" t="str">
        <f>IF(Z345=0,"",SUMIFS('RECEBIMENTOS'!$H$6:$H$1005,'RECEBIMENTOS'!$B$6:$B$1005,A345,'RECEBIMENTOS'!$Z$6:$Z$1005,1))</f>
        <v/>
      </c>
      <c r="W345" s="95" t="str">
        <f>IF(Z345=0,"",COUNTIFS('ITENS_MTR'!$S$6:$S$1005,A345,'ITENS_MTR'!$R$6:$R$1005,1))</f>
        <v/>
      </c>
      <c r="X345" s="94" t="str">
        <f>IF(AC345=1,"POSSÍVEL DUPLICIDADE","")</f>
        <v/>
      </c>
      <c r="Y345" s="94" t="str">
        <f>IF(Z345=0,"",IF(AW345="","Nenhuma",LEFT(AW345,LEN(AW345)-2)))</f>
        <v/>
      </c>
      <c r="Z345" s="96">
        <f>IF(COUNTA(B345:O345)&gt;0,1,0)</f>
        <v>0</v>
      </c>
      <c r="AA345" s="96">
        <f>IF(AND(Z345=1,K345&lt;&gt;""),IF(TRIM(K345)=TRIM(cfg_cancel),1,0),0)</f>
        <v>0</v>
      </c>
      <c r="AB345" s="96" t="str">
        <f>IF(AND(Z345=1,B345&lt;&gt;""),C345&amp;"|"&amp;D345&amp;"|"&amp;G345&amp;"|"&amp;TRIM(B345),"")</f>
        <v/>
      </c>
      <c r="AC345" s="96">
        <f>IF(AB345="",0,IF(SUMPRODUCT(--($AB$6:$AB$505=AB345))&gt;1,1,0))</f>
        <v>0</v>
      </c>
      <c r="AD345" s="96">
        <f>IF(Z345=0,0,IF(OR(AND(G345&lt;&gt;"",ISNA(MATCH(G345,'CAD_UNIDADES'!$C$6:$C$105,0))),AND(H345&lt;&gt;"",ISNA(MATCH(H345,cmp_transp,0))),AND(I345&lt;&gt;"",ISNA(MATCH(I345,cmp_dest,0))),AND(E345&lt;&gt;"",NOT(ISNUMBER(E345))),AND(F345&lt;&gt;"",NOT(ISNUMBER(F345))),AND(ISNUMBER(E345),ISNUMBER(F345),F345&lt;E345)),1,0))</f>
        <v>0</v>
      </c>
      <c r="AE345" s="96">
        <f>IF(Z345=0,0,IF(OR(B345="",C345="",E345="",G345="",H345="",I345="",N(W345)=0),1,0))</f>
        <v>0</v>
      </c>
      <c r="AF345" s="96">
        <f>IF(Z345=0,0,COUNTIFS('ITENS_MTR'!$S$6:$S$1005,A345,'ITENS_MTR'!$AI$6:$AI$1005,1))</f>
        <v>0</v>
      </c>
      <c r="AG345" s="96">
        <f>IF(Z345=0,0,COUNTIFS('ITENS_MTR'!$S$6:$S$1005,A345,'ITENS_MTR'!$AJ$6:$AJ$1005,1))</f>
        <v>0</v>
      </c>
      <c r="AH345" s="96">
        <f>IF(Z345=0,0,COUNTIFS('ITENS_MTR'!$S$6:$S$1005,A345,'ITENS_MTR'!$AM$6:$AM$1005,1))</f>
        <v>0</v>
      </c>
      <c r="AI345" s="96">
        <f>IF(Z345=0,0,COUNTIFS('ITENS_MTR'!$S$6:$S$1005,A345,'ITENS_MTR'!$AO$6:$AO$1005,1))</f>
        <v>0</v>
      </c>
      <c r="AJ345" s="96">
        <f>IF(Z345=0,0,COUNTIFS('ITENS_MTR'!$S$6:$S$1005,A345,'ITENS_MTR'!$AN$6:$AN$1005,1))</f>
        <v>0</v>
      </c>
      <c r="AK345" s="96">
        <f>IF(Z345=0,0,COUNTIFS('RECEBIMENTOS'!$B$6:$B$1005,A345,'RECEBIMENTOS'!$Y$6:$Y$1005,1))</f>
        <v>0</v>
      </c>
      <c r="AL345" s="96">
        <f>IF(Z345=0,0,COUNTIFS('VÍNCULOS_CDF'!$D$6:$D$1005,A345,'VÍNCULOS_CDF'!$Y$6:$Y$1005,1))</f>
        <v>0</v>
      </c>
      <c r="AM345" s="96">
        <f>IF(Z345=0,0,COUNTIFS('RECEBIMENTOS'!$B$6:$B$1005,A345,'RECEBIMENTOS'!$Q$6:$Q$1005,1))</f>
        <v>0</v>
      </c>
      <c r="AN345" s="96">
        <f>IF(AND(Z345=1,N(W345)&gt;0,AG345=N(W345)),1,0)</f>
        <v>0</v>
      </c>
      <c r="AO345" s="96">
        <f>IF(AND(Z345=1,N(W345)&gt;0,AI345=N(W345)),1,0)</f>
        <v>0</v>
      </c>
      <c r="AP345" s="97">
        <f>IF(Z345=0,0,_xlfn.MAXIFS('RECEBIMENTOS'!$E$6:$E$1005,'RECEBIMENTOS'!$B$6:$B$1005,A345))</f>
        <v>0</v>
      </c>
      <c r="AQ345" s="97" t="str">
        <f>IF(T345="","",IF(T345="RECEBIMENTO NÃO CONFIRMADO",IF(ISNUMBER(F345),F345,IF(ISNUMBER(E345),E345,"")),IF(OR(T345="CDF NÃO LOCALIZADO",T345="VÍNCULO INCOMPLETO",T345="CDF A CONFERIR"),IF(AP345&gt;0,AP345,IF(ISNUMBER(E345),E345,"")),IF(ISNUMBER(E345),E345,""))))</f>
        <v/>
      </c>
      <c r="AR345" s="96">
        <f>IF(NOT(ISNUMBER(U345)),0,IF(T345="RECEBIMENTO NÃO CONFIRMADO",IF(AND(ISNUMBER(cfg_rec),U345&gt;cfg_rec),1,0),IF(OR(T345="CDF NÃO LOCALIZADO",T345="VÍNCULO INCOMPLETO",T345="CDF A CONFERIR"),IF(AND(ISNUMBER(cfg_cdf),U345&gt;cfg_cdf),1,0),0)))</f>
        <v>0</v>
      </c>
      <c r="AS345" s="96" t="str">
        <f>IF(T345="","",IF(AR345=1,"Alta",IFERROR(INDEX(cfg_pp,MATCH(T345,cfg_pt,0))&amp;"","Média")))</f>
        <v/>
      </c>
      <c r="AT345" s="96" t="str">
        <f>IF(T345="","",IFERROR(INDEX(cfg_pv,MATCH(T345,cfg_pt,0))&amp;"",""))</f>
        <v/>
      </c>
      <c r="AU345" s="96" t="str">
        <f>IF(T345="","",IF(AS345="Alta",1,IF(AS345="Média",2,3))*1000000000+(999999-IF(ISNUMBER(U345),MIN(U345,999999),0))*1000+340)</f>
        <v/>
      </c>
      <c r="AV345" s="96">
        <f>IF(T345&lt;&gt;"",1,0)</f>
        <v>0</v>
      </c>
      <c r="AW345" s="96" t="str">
        <f>IF(Z345=0,"",IF(AA345=1,"Cancelamento informado; ","")&amp;IF(AE345=1,"Campos essenciais ou itens faltando; ","")&amp;IF(AC345=1,"Possível duplicidade do número; ","")&amp;IF(AD345=1,"Cadastro ou datas a revisar; ","")&amp;IF(AF345&gt;0,"Item de resíduo com dado a revisar; ","")&amp;IF(AH345&gt;0,"Diferença de quantidade a analisar; ","")&amp;IF(AK345&gt;0,"Recebimento com alerta; ","")&amp;IF(AL345&gt;0,"Vínculo de CDF com alerta; ","")&amp;IF(AND(AA345=0,AN345=0),"Recebimento não confirmado; ","")&amp;IF(AND(AA345=0,AN345=1,AO345=0),"CDF pendente ou a conferir; ",""))</f>
        <v/>
      </c>
      <c r="AX345" s="96">
        <f>IF(Z345=0,0,IF(AND(OR(f_ini="",AND(ISNUMBER(E345),E345&gt;=f_ini)),OR(f_fim="",AND(ISNUMBER(E345),E345&lt;=f_fim)),OR(f_un="",f_un="(Todas)",G345=f_un),OR(f_tr="",f_tr="(Todos)",H345=f_tr),OR(f_de="",f_de="(Todos)",I345=f_de),OR(f_sit="",f_sit="(Todas)",S345=f_sit)),1,0))</f>
        <v>0</v>
      </c>
      <c r="AY345" s="96">
        <f>IF(AX345=0,0,IF(OR(f_res="",f_res="(Todos)"),1,IF(COUNTIFS('ITENS_MTR'!$S$6:$S$1005,A345,'ITENS_MTR'!$C$6:$C$1005,f_res)&gt;0,1,0)))</f>
        <v>0</v>
      </c>
      <c r="AZ345" s="97" t="str">
        <f>IF(ISNUMBER(E345),DATE(YEAR(E345),MONTH(E345),1),"")</f>
        <v/>
      </c>
      <c r="BA345" s="96">
        <f>IF(Z345=0,0,IF(AND(OR(r_ini="",AND(ISNUMBER(E345),E345&gt;=r_ini)),OR(r_fim="",AND(ISNUMBER(E345),E345&lt;=r_fim)),OR(r_un="",r_un="(Todas)",G345=r_un),OR(r_de="",r_de="(Todos)",I345=r_de)),1,0))</f>
        <v>0</v>
      </c>
      <c r="BB345" s="96" t="str">
        <f>IF(BA345=1,COUNTIF($BA$6:BA345,1),"")</f>
        <v/>
      </c>
      <c r="BC345" s="96" t="str">
        <f>IF(AND(AU345&lt;&gt;"",OR(r_un="",r_un="(Todas)",G345=r_un),OR(r_de="",r_de="(Todos)",I345=r_de)),AU345,"")</f>
        <v/>
      </c>
      <c r="BD345" s="96" t="str">
        <f>IF(Z345=1,A345&amp;" | nº "&amp;IF(B345="","(sem número)",B345)&amp;" | "&amp;IF(G345="","(sem unidade)",G345),"")</f>
        <v/>
      </c>
      <c r="BE345" s="96" t="str">
        <f>IF(Z345=1,COUNTIF($Z$6:Z345,1),"")</f>
        <v/>
      </c>
      <c r="BF345" s="96" t="str">
        <f>IF(T345="","",IF(T345="RECEBIMENTO NÃO CONFIRMADO","Transp.: "&amp;H345&amp;" | Dest.: "&amp;I345,IF(OR(T345="CDF NÃO LOCALIZADO",T345="VÍNCULO INCOMPLETO",T345="CDF A CONFERIR"),"Dest.: "&amp;I345,"Gerador: "&amp;G345)))</f>
        <v/>
      </c>
    </row>
    <row r="346">
      <c r="A346" s="89" t="inlineStr">
        <is>
          <t>MTR-000341</t>
        </is>
      </c>
      <c r="B346" s="90" t="n"/>
      <c r="C346" s="91" t="n"/>
      <c r="D346" s="91" t="n"/>
      <c r="E346" s="92" t="n"/>
      <c r="F346" s="92" t="n"/>
      <c r="G346" s="91" t="n"/>
      <c r="H346" s="91" t="n"/>
      <c r="I346" s="91" t="n"/>
      <c r="J346" s="91" t="n"/>
      <c r="K346" s="91" t="n"/>
      <c r="L346" s="92" t="n"/>
      <c r="M346" s="91" t="n"/>
      <c r="N346" s="91" t="n"/>
      <c r="O346" s="91" t="n"/>
      <c r="P346" s="93" t="str">
        <f>IF(Z346=0,"",SUMIFS('ITENS_MTR'!$I$6:$I$1005,'ITENS_MTR'!$S$6:$S$1005,A346,'ITENS_MTR'!$Y$6:$Y$1005,1))</f>
        <v/>
      </c>
      <c r="Q346" s="93" t="str">
        <f>IF(Z346=0,"",SUMIFS('RECEBIMENTOS'!$H$6:$H$1005,'RECEBIMENTOS'!$B$6:$B$1005,A346,'RECEBIMENTOS'!$X$6:$X$1005,1))</f>
        <v/>
      </c>
      <c r="R346" s="93" t="str">
        <f>IF(Z346=0,"",SUMIFS('VÍNCULOS_CDF'!$H$6:$H$1005,'VÍNCULOS_CDF'!$D$6:$D$1005,A346,'VÍNCULOS_CDF'!$V$6:$V$1005,1))</f>
        <v/>
      </c>
      <c r="S346" s="94" t="str">
        <f>IF(Z346=0,"",IF(AA346=1,"Cancelado (informado)",IF(AE346=1,"Cadastro incompleto",IF(OR(AC346=1,AD346=1,AF346&gt;0,AH346&gt;0,AK346&gt;0,AL346&gt;0),"Informação a revisar",IF(AN346=0,"Aguardando recebimento",IF(N(R346)=0,"Aguardando CDF",IF(AJ346&lt;N(W346),"Vínculo de CDF parcial",IF(AO346=0,"CDF localizado, a conferir","Documentação conferida"))))))))</f>
        <v/>
      </c>
      <c r="T346" s="94" t="str">
        <f>IF(Z346=0,"",IF(S346="Cadastro incompleto","MTR INCOMPLETO",IF(S346="Informação a revisar",IF(AND(AH346&gt;0,AC346=0,AD346=0,AF346=0,AK346=0,AL346=0),"QUANTIDADE A REVISAR","IDENTIFICAÇÃO A REVISAR"),IF(S346="Aguardando recebimento","RECEBIMENTO NÃO CONFIRMADO",IF(S346="Aguardando CDF","CDF NÃO LOCALIZADO",IF(S346="Vínculo de CDF parcial","VÍNCULO INCOMPLETO",IF(S346="CDF localizado, a conferir","CDF A CONFERIR","")))))))</f>
        <v/>
      </c>
      <c r="U346" s="95" t="str">
        <f>IF(T346="","",IF(AQ346="","Não calculável",IF(AQ346&gt;TODAY(),"Data futura",TODAY()-AQ346)))</f>
        <v/>
      </c>
      <c r="V346" s="93" t="str">
        <f>IF(Z346=0,"",SUMIFS('RECEBIMENTOS'!$H$6:$H$1005,'RECEBIMENTOS'!$B$6:$B$1005,A346,'RECEBIMENTOS'!$Z$6:$Z$1005,1))</f>
        <v/>
      </c>
      <c r="W346" s="95" t="str">
        <f>IF(Z346=0,"",COUNTIFS('ITENS_MTR'!$S$6:$S$1005,A346,'ITENS_MTR'!$R$6:$R$1005,1))</f>
        <v/>
      </c>
      <c r="X346" s="94" t="str">
        <f>IF(AC346=1,"POSSÍVEL DUPLICIDADE","")</f>
        <v/>
      </c>
      <c r="Y346" s="94" t="str">
        <f>IF(Z346=0,"",IF(AW346="","Nenhuma",LEFT(AW346,LEN(AW346)-2)))</f>
        <v/>
      </c>
      <c r="Z346" s="96">
        <f>IF(COUNTA(B346:O346)&gt;0,1,0)</f>
        <v>0</v>
      </c>
      <c r="AA346" s="96">
        <f>IF(AND(Z346=1,K346&lt;&gt;""),IF(TRIM(K346)=TRIM(cfg_cancel),1,0),0)</f>
        <v>0</v>
      </c>
      <c r="AB346" s="96" t="str">
        <f>IF(AND(Z346=1,B346&lt;&gt;""),C346&amp;"|"&amp;D346&amp;"|"&amp;G346&amp;"|"&amp;TRIM(B346),"")</f>
        <v/>
      </c>
      <c r="AC346" s="96">
        <f>IF(AB346="",0,IF(SUMPRODUCT(--($AB$6:$AB$505=AB346))&gt;1,1,0))</f>
        <v>0</v>
      </c>
      <c r="AD346" s="96">
        <f>IF(Z346=0,0,IF(OR(AND(G346&lt;&gt;"",ISNA(MATCH(G346,'CAD_UNIDADES'!$C$6:$C$105,0))),AND(H346&lt;&gt;"",ISNA(MATCH(H346,cmp_transp,0))),AND(I346&lt;&gt;"",ISNA(MATCH(I346,cmp_dest,0))),AND(E346&lt;&gt;"",NOT(ISNUMBER(E346))),AND(F346&lt;&gt;"",NOT(ISNUMBER(F346))),AND(ISNUMBER(E346),ISNUMBER(F346),F346&lt;E346)),1,0))</f>
        <v>0</v>
      </c>
      <c r="AE346" s="96">
        <f>IF(Z346=0,0,IF(OR(B346="",C346="",E346="",G346="",H346="",I346="",N(W346)=0),1,0))</f>
        <v>0</v>
      </c>
      <c r="AF346" s="96">
        <f>IF(Z346=0,0,COUNTIFS('ITENS_MTR'!$S$6:$S$1005,A346,'ITENS_MTR'!$AI$6:$AI$1005,1))</f>
        <v>0</v>
      </c>
      <c r="AG346" s="96">
        <f>IF(Z346=0,0,COUNTIFS('ITENS_MTR'!$S$6:$S$1005,A346,'ITENS_MTR'!$AJ$6:$AJ$1005,1))</f>
        <v>0</v>
      </c>
      <c r="AH346" s="96">
        <f>IF(Z346=0,0,COUNTIFS('ITENS_MTR'!$S$6:$S$1005,A346,'ITENS_MTR'!$AM$6:$AM$1005,1))</f>
        <v>0</v>
      </c>
      <c r="AI346" s="96">
        <f>IF(Z346=0,0,COUNTIFS('ITENS_MTR'!$S$6:$S$1005,A346,'ITENS_MTR'!$AO$6:$AO$1005,1))</f>
        <v>0</v>
      </c>
      <c r="AJ346" s="96">
        <f>IF(Z346=0,0,COUNTIFS('ITENS_MTR'!$S$6:$S$1005,A346,'ITENS_MTR'!$AN$6:$AN$1005,1))</f>
        <v>0</v>
      </c>
      <c r="AK346" s="96">
        <f>IF(Z346=0,0,COUNTIFS('RECEBIMENTOS'!$B$6:$B$1005,A346,'RECEBIMENTOS'!$Y$6:$Y$1005,1))</f>
        <v>0</v>
      </c>
      <c r="AL346" s="96">
        <f>IF(Z346=0,0,COUNTIFS('VÍNCULOS_CDF'!$D$6:$D$1005,A346,'VÍNCULOS_CDF'!$Y$6:$Y$1005,1))</f>
        <v>0</v>
      </c>
      <c r="AM346" s="96">
        <f>IF(Z346=0,0,COUNTIFS('RECEBIMENTOS'!$B$6:$B$1005,A346,'RECEBIMENTOS'!$Q$6:$Q$1005,1))</f>
        <v>0</v>
      </c>
      <c r="AN346" s="96">
        <f>IF(AND(Z346=1,N(W346)&gt;0,AG346=N(W346)),1,0)</f>
        <v>0</v>
      </c>
      <c r="AO346" s="96">
        <f>IF(AND(Z346=1,N(W346)&gt;0,AI346=N(W346)),1,0)</f>
        <v>0</v>
      </c>
      <c r="AP346" s="97">
        <f>IF(Z346=0,0,_xlfn.MAXIFS('RECEBIMENTOS'!$E$6:$E$1005,'RECEBIMENTOS'!$B$6:$B$1005,A346))</f>
        <v>0</v>
      </c>
      <c r="AQ346" s="97" t="str">
        <f>IF(T346="","",IF(T346="RECEBIMENTO NÃO CONFIRMADO",IF(ISNUMBER(F346),F346,IF(ISNUMBER(E346),E346,"")),IF(OR(T346="CDF NÃO LOCALIZADO",T346="VÍNCULO INCOMPLETO",T346="CDF A CONFERIR"),IF(AP346&gt;0,AP346,IF(ISNUMBER(E346),E346,"")),IF(ISNUMBER(E346),E346,""))))</f>
        <v/>
      </c>
      <c r="AR346" s="96">
        <f>IF(NOT(ISNUMBER(U346)),0,IF(T346="RECEBIMENTO NÃO CONFIRMADO",IF(AND(ISNUMBER(cfg_rec),U346&gt;cfg_rec),1,0),IF(OR(T346="CDF NÃO LOCALIZADO",T346="VÍNCULO INCOMPLETO",T346="CDF A CONFERIR"),IF(AND(ISNUMBER(cfg_cdf),U346&gt;cfg_cdf),1,0),0)))</f>
        <v>0</v>
      </c>
      <c r="AS346" s="96" t="str">
        <f>IF(T346="","",IF(AR346=1,"Alta",IFERROR(INDEX(cfg_pp,MATCH(T346,cfg_pt,0))&amp;"","Média")))</f>
        <v/>
      </c>
      <c r="AT346" s="96" t="str">
        <f>IF(T346="","",IFERROR(INDEX(cfg_pv,MATCH(T346,cfg_pt,0))&amp;"",""))</f>
        <v/>
      </c>
      <c r="AU346" s="96" t="str">
        <f>IF(T346="","",IF(AS346="Alta",1,IF(AS346="Média",2,3))*1000000000+(999999-IF(ISNUMBER(U346),MIN(U346,999999),0))*1000+341)</f>
        <v/>
      </c>
      <c r="AV346" s="96">
        <f>IF(T346&lt;&gt;"",1,0)</f>
        <v>0</v>
      </c>
      <c r="AW346" s="96" t="str">
        <f>IF(Z346=0,"",IF(AA346=1,"Cancelamento informado; ","")&amp;IF(AE346=1,"Campos essenciais ou itens faltando; ","")&amp;IF(AC346=1,"Possível duplicidade do número; ","")&amp;IF(AD346=1,"Cadastro ou datas a revisar; ","")&amp;IF(AF346&gt;0,"Item de resíduo com dado a revisar; ","")&amp;IF(AH346&gt;0,"Diferença de quantidade a analisar; ","")&amp;IF(AK346&gt;0,"Recebimento com alerta; ","")&amp;IF(AL346&gt;0,"Vínculo de CDF com alerta; ","")&amp;IF(AND(AA346=0,AN346=0),"Recebimento não confirmado; ","")&amp;IF(AND(AA346=0,AN346=1,AO346=0),"CDF pendente ou a conferir; ",""))</f>
        <v/>
      </c>
      <c r="AX346" s="96">
        <f>IF(Z346=0,0,IF(AND(OR(f_ini="",AND(ISNUMBER(E346),E346&gt;=f_ini)),OR(f_fim="",AND(ISNUMBER(E346),E346&lt;=f_fim)),OR(f_un="",f_un="(Todas)",G346=f_un),OR(f_tr="",f_tr="(Todos)",H346=f_tr),OR(f_de="",f_de="(Todos)",I346=f_de),OR(f_sit="",f_sit="(Todas)",S346=f_sit)),1,0))</f>
        <v>0</v>
      </c>
      <c r="AY346" s="96">
        <f>IF(AX346=0,0,IF(OR(f_res="",f_res="(Todos)"),1,IF(COUNTIFS('ITENS_MTR'!$S$6:$S$1005,A346,'ITENS_MTR'!$C$6:$C$1005,f_res)&gt;0,1,0)))</f>
        <v>0</v>
      </c>
      <c r="AZ346" s="97" t="str">
        <f>IF(ISNUMBER(E346),DATE(YEAR(E346),MONTH(E346),1),"")</f>
        <v/>
      </c>
      <c r="BA346" s="96">
        <f>IF(Z346=0,0,IF(AND(OR(r_ini="",AND(ISNUMBER(E346),E346&gt;=r_ini)),OR(r_fim="",AND(ISNUMBER(E346),E346&lt;=r_fim)),OR(r_un="",r_un="(Todas)",G346=r_un),OR(r_de="",r_de="(Todos)",I346=r_de)),1,0))</f>
        <v>0</v>
      </c>
      <c r="BB346" s="96" t="str">
        <f>IF(BA346=1,COUNTIF($BA$6:BA346,1),"")</f>
        <v/>
      </c>
      <c r="BC346" s="96" t="str">
        <f>IF(AND(AU346&lt;&gt;"",OR(r_un="",r_un="(Todas)",G346=r_un),OR(r_de="",r_de="(Todos)",I346=r_de)),AU346,"")</f>
        <v/>
      </c>
      <c r="BD346" s="96" t="str">
        <f>IF(Z346=1,A346&amp;" | nº "&amp;IF(B346="","(sem número)",B346)&amp;" | "&amp;IF(G346="","(sem unidade)",G346),"")</f>
        <v/>
      </c>
      <c r="BE346" s="96" t="str">
        <f>IF(Z346=1,COUNTIF($Z$6:Z346,1),"")</f>
        <v/>
      </c>
      <c r="BF346" s="96" t="str">
        <f>IF(T346="","",IF(T346="RECEBIMENTO NÃO CONFIRMADO","Transp.: "&amp;H346&amp;" | Dest.: "&amp;I346,IF(OR(T346="CDF NÃO LOCALIZADO",T346="VÍNCULO INCOMPLETO",T346="CDF A CONFERIR"),"Dest.: "&amp;I346,"Gerador: "&amp;G346)))</f>
        <v/>
      </c>
    </row>
    <row r="347">
      <c r="A347" s="89" t="inlineStr">
        <is>
          <t>MTR-000342</t>
        </is>
      </c>
      <c r="B347" s="90" t="n"/>
      <c r="C347" s="91" t="n"/>
      <c r="D347" s="91" t="n"/>
      <c r="E347" s="92" t="n"/>
      <c r="F347" s="92" t="n"/>
      <c r="G347" s="91" t="n"/>
      <c r="H347" s="91" t="n"/>
      <c r="I347" s="91" t="n"/>
      <c r="J347" s="91" t="n"/>
      <c r="K347" s="91" t="n"/>
      <c r="L347" s="92" t="n"/>
      <c r="M347" s="91" t="n"/>
      <c r="N347" s="91" t="n"/>
      <c r="O347" s="91" t="n"/>
      <c r="P347" s="93" t="str">
        <f>IF(Z347=0,"",SUMIFS('ITENS_MTR'!$I$6:$I$1005,'ITENS_MTR'!$S$6:$S$1005,A347,'ITENS_MTR'!$Y$6:$Y$1005,1))</f>
        <v/>
      </c>
      <c r="Q347" s="93" t="str">
        <f>IF(Z347=0,"",SUMIFS('RECEBIMENTOS'!$H$6:$H$1005,'RECEBIMENTOS'!$B$6:$B$1005,A347,'RECEBIMENTOS'!$X$6:$X$1005,1))</f>
        <v/>
      </c>
      <c r="R347" s="93" t="str">
        <f>IF(Z347=0,"",SUMIFS('VÍNCULOS_CDF'!$H$6:$H$1005,'VÍNCULOS_CDF'!$D$6:$D$1005,A347,'VÍNCULOS_CDF'!$V$6:$V$1005,1))</f>
        <v/>
      </c>
      <c r="S347" s="94" t="str">
        <f>IF(Z347=0,"",IF(AA347=1,"Cancelado (informado)",IF(AE347=1,"Cadastro incompleto",IF(OR(AC347=1,AD347=1,AF347&gt;0,AH347&gt;0,AK347&gt;0,AL347&gt;0),"Informação a revisar",IF(AN347=0,"Aguardando recebimento",IF(N(R347)=0,"Aguardando CDF",IF(AJ347&lt;N(W347),"Vínculo de CDF parcial",IF(AO347=0,"CDF localizado, a conferir","Documentação conferida"))))))))</f>
        <v/>
      </c>
      <c r="T347" s="94" t="str">
        <f>IF(Z347=0,"",IF(S347="Cadastro incompleto","MTR INCOMPLETO",IF(S347="Informação a revisar",IF(AND(AH347&gt;0,AC347=0,AD347=0,AF347=0,AK347=0,AL347=0),"QUANTIDADE A REVISAR","IDENTIFICAÇÃO A REVISAR"),IF(S347="Aguardando recebimento","RECEBIMENTO NÃO CONFIRMADO",IF(S347="Aguardando CDF","CDF NÃO LOCALIZADO",IF(S347="Vínculo de CDF parcial","VÍNCULO INCOMPLETO",IF(S347="CDF localizado, a conferir","CDF A CONFERIR","")))))))</f>
        <v/>
      </c>
      <c r="U347" s="95" t="str">
        <f>IF(T347="","",IF(AQ347="","Não calculável",IF(AQ347&gt;TODAY(),"Data futura",TODAY()-AQ347)))</f>
        <v/>
      </c>
      <c r="V347" s="93" t="str">
        <f>IF(Z347=0,"",SUMIFS('RECEBIMENTOS'!$H$6:$H$1005,'RECEBIMENTOS'!$B$6:$B$1005,A347,'RECEBIMENTOS'!$Z$6:$Z$1005,1))</f>
        <v/>
      </c>
      <c r="W347" s="95" t="str">
        <f>IF(Z347=0,"",COUNTIFS('ITENS_MTR'!$S$6:$S$1005,A347,'ITENS_MTR'!$R$6:$R$1005,1))</f>
        <v/>
      </c>
      <c r="X347" s="94" t="str">
        <f>IF(AC347=1,"POSSÍVEL DUPLICIDADE","")</f>
        <v/>
      </c>
      <c r="Y347" s="94" t="str">
        <f>IF(Z347=0,"",IF(AW347="","Nenhuma",LEFT(AW347,LEN(AW347)-2)))</f>
        <v/>
      </c>
      <c r="Z347" s="96">
        <f>IF(COUNTA(B347:O347)&gt;0,1,0)</f>
        <v>0</v>
      </c>
      <c r="AA347" s="96">
        <f>IF(AND(Z347=1,K347&lt;&gt;""),IF(TRIM(K347)=TRIM(cfg_cancel),1,0),0)</f>
        <v>0</v>
      </c>
      <c r="AB347" s="96" t="str">
        <f>IF(AND(Z347=1,B347&lt;&gt;""),C347&amp;"|"&amp;D347&amp;"|"&amp;G347&amp;"|"&amp;TRIM(B347),"")</f>
        <v/>
      </c>
      <c r="AC347" s="96">
        <f>IF(AB347="",0,IF(SUMPRODUCT(--($AB$6:$AB$505=AB347))&gt;1,1,0))</f>
        <v>0</v>
      </c>
      <c r="AD347" s="96">
        <f>IF(Z347=0,0,IF(OR(AND(G347&lt;&gt;"",ISNA(MATCH(G347,'CAD_UNIDADES'!$C$6:$C$105,0))),AND(H347&lt;&gt;"",ISNA(MATCH(H347,cmp_transp,0))),AND(I347&lt;&gt;"",ISNA(MATCH(I347,cmp_dest,0))),AND(E347&lt;&gt;"",NOT(ISNUMBER(E347))),AND(F347&lt;&gt;"",NOT(ISNUMBER(F347))),AND(ISNUMBER(E347),ISNUMBER(F347),F347&lt;E347)),1,0))</f>
        <v>0</v>
      </c>
      <c r="AE347" s="96">
        <f>IF(Z347=0,0,IF(OR(B347="",C347="",E347="",G347="",H347="",I347="",N(W347)=0),1,0))</f>
        <v>0</v>
      </c>
      <c r="AF347" s="96">
        <f>IF(Z347=0,0,COUNTIFS('ITENS_MTR'!$S$6:$S$1005,A347,'ITENS_MTR'!$AI$6:$AI$1005,1))</f>
        <v>0</v>
      </c>
      <c r="AG347" s="96">
        <f>IF(Z347=0,0,COUNTIFS('ITENS_MTR'!$S$6:$S$1005,A347,'ITENS_MTR'!$AJ$6:$AJ$1005,1))</f>
        <v>0</v>
      </c>
      <c r="AH347" s="96">
        <f>IF(Z347=0,0,COUNTIFS('ITENS_MTR'!$S$6:$S$1005,A347,'ITENS_MTR'!$AM$6:$AM$1005,1))</f>
        <v>0</v>
      </c>
      <c r="AI347" s="96">
        <f>IF(Z347=0,0,COUNTIFS('ITENS_MTR'!$S$6:$S$1005,A347,'ITENS_MTR'!$AO$6:$AO$1005,1))</f>
        <v>0</v>
      </c>
      <c r="AJ347" s="96">
        <f>IF(Z347=0,0,COUNTIFS('ITENS_MTR'!$S$6:$S$1005,A347,'ITENS_MTR'!$AN$6:$AN$1005,1))</f>
        <v>0</v>
      </c>
      <c r="AK347" s="96">
        <f>IF(Z347=0,0,COUNTIFS('RECEBIMENTOS'!$B$6:$B$1005,A347,'RECEBIMENTOS'!$Y$6:$Y$1005,1))</f>
        <v>0</v>
      </c>
      <c r="AL347" s="96">
        <f>IF(Z347=0,0,COUNTIFS('VÍNCULOS_CDF'!$D$6:$D$1005,A347,'VÍNCULOS_CDF'!$Y$6:$Y$1005,1))</f>
        <v>0</v>
      </c>
      <c r="AM347" s="96">
        <f>IF(Z347=0,0,COUNTIFS('RECEBIMENTOS'!$B$6:$B$1005,A347,'RECEBIMENTOS'!$Q$6:$Q$1005,1))</f>
        <v>0</v>
      </c>
      <c r="AN347" s="96">
        <f>IF(AND(Z347=1,N(W347)&gt;0,AG347=N(W347)),1,0)</f>
        <v>0</v>
      </c>
      <c r="AO347" s="96">
        <f>IF(AND(Z347=1,N(W347)&gt;0,AI347=N(W347)),1,0)</f>
        <v>0</v>
      </c>
      <c r="AP347" s="97">
        <f>IF(Z347=0,0,_xlfn.MAXIFS('RECEBIMENTOS'!$E$6:$E$1005,'RECEBIMENTOS'!$B$6:$B$1005,A347))</f>
        <v>0</v>
      </c>
      <c r="AQ347" s="97" t="str">
        <f>IF(T347="","",IF(T347="RECEBIMENTO NÃO CONFIRMADO",IF(ISNUMBER(F347),F347,IF(ISNUMBER(E347),E347,"")),IF(OR(T347="CDF NÃO LOCALIZADO",T347="VÍNCULO INCOMPLETO",T347="CDF A CONFERIR"),IF(AP347&gt;0,AP347,IF(ISNUMBER(E347),E347,"")),IF(ISNUMBER(E347),E347,""))))</f>
        <v/>
      </c>
      <c r="AR347" s="96">
        <f>IF(NOT(ISNUMBER(U347)),0,IF(T347="RECEBIMENTO NÃO CONFIRMADO",IF(AND(ISNUMBER(cfg_rec),U347&gt;cfg_rec),1,0),IF(OR(T347="CDF NÃO LOCALIZADO",T347="VÍNCULO INCOMPLETO",T347="CDF A CONFERIR"),IF(AND(ISNUMBER(cfg_cdf),U347&gt;cfg_cdf),1,0),0)))</f>
        <v>0</v>
      </c>
      <c r="AS347" s="96" t="str">
        <f>IF(T347="","",IF(AR347=1,"Alta",IFERROR(INDEX(cfg_pp,MATCH(T347,cfg_pt,0))&amp;"","Média")))</f>
        <v/>
      </c>
      <c r="AT347" s="96" t="str">
        <f>IF(T347="","",IFERROR(INDEX(cfg_pv,MATCH(T347,cfg_pt,0))&amp;"",""))</f>
        <v/>
      </c>
      <c r="AU347" s="96" t="str">
        <f>IF(T347="","",IF(AS347="Alta",1,IF(AS347="Média",2,3))*1000000000+(999999-IF(ISNUMBER(U347),MIN(U347,999999),0))*1000+342)</f>
        <v/>
      </c>
      <c r="AV347" s="96">
        <f>IF(T347&lt;&gt;"",1,0)</f>
        <v>0</v>
      </c>
      <c r="AW347" s="96" t="str">
        <f>IF(Z347=0,"",IF(AA347=1,"Cancelamento informado; ","")&amp;IF(AE347=1,"Campos essenciais ou itens faltando; ","")&amp;IF(AC347=1,"Possível duplicidade do número; ","")&amp;IF(AD347=1,"Cadastro ou datas a revisar; ","")&amp;IF(AF347&gt;0,"Item de resíduo com dado a revisar; ","")&amp;IF(AH347&gt;0,"Diferença de quantidade a analisar; ","")&amp;IF(AK347&gt;0,"Recebimento com alerta; ","")&amp;IF(AL347&gt;0,"Vínculo de CDF com alerta; ","")&amp;IF(AND(AA347=0,AN347=0),"Recebimento não confirmado; ","")&amp;IF(AND(AA347=0,AN347=1,AO347=0),"CDF pendente ou a conferir; ",""))</f>
        <v/>
      </c>
      <c r="AX347" s="96">
        <f>IF(Z347=0,0,IF(AND(OR(f_ini="",AND(ISNUMBER(E347),E347&gt;=f_ini)),OR(f_fim="",AND(ISNUMBER(E347),E347&lt;=f_fim)),OR(f_un="",f_un="(Todas)",G347=f_un),OR(f_tr="",f_tr="(Todos)",H347=f_tr),OR(f_de="",f_de="(Todos)",I347=f_de),OR(f_sit="",f_sit="(Todas)",S347=f_sit)),1,0))</f>
        <v>0</v>
      </c>
      <c r="AY347" s="96">
        <f>IF(AX347=0,0,IF(OR(f_res="",f_res="(Todos)"),1,IF(COUNTIFS('ITENS_MTR'!$S$6:$S$1005,A347,'ITENS_MTR'!$C$6:$C$1005,f_res)&gt;0,1,0)))</f>
        <v>0</v>
      </c>
      <c r="AZ347" s="97" t="str">
        <f>IF(ISNUMBER(E347),DATE(YEAR(E347),MONTH(E347),1),"")</f>
        <v/>
      </c>
      <c r="BA347" s="96">
        <f>IF(Z347=0,0,IF(AND(OR(r_ini="",AND(ISNUMBER(E347),E347&gt;=r_ini)),OR(r_fim="",AND(ISNUMBER(E347),E347&lt;=r_fim)),OR(r_un="",r_un="(Todas)",G347=r_un),OR(r_de="",r_de="(Todos)",I347=r_de)),1,0))</f>
        <v>0</v>
      </c>
      <c r="BB347" s="96" t="str">
        <f>IF(BA347=1,COUNTIF($BA$6:BA347,1),"")</f>
        <v/>
      </c>
      <c r="BC347" s="96" t="str">
        <f>IF(AND(AU347&lt;&gt;"",OR(r_un="",r_un="(Todas)",G347=r_un),OR(r_de="",r_de="(Todos)",I347=r_de)),AU347,"")</f>
        <v/>
      </c>
      <c r="BD347" s="96" t="str">
        <f>IF(Z347=1,A347&amp;" | nº "&amp;IF(B347="","(sem número)",B347)&amp;" | "&amp;IF(G347="","(sem unidade)",G347),"")</f>
        <v/>
      </c>
      <c r="BE347" s="96" t="str">
        <f>IF(Z347=1,COUNTIF($Z$6:Z347,1),"")</f>
        <v/>
      </c>
      <c r="BF347" s="96" t="str">
        <f>IF(T347="","",IF(T347="RECEBIMENTO NÃO CONFIRMADO","Transp.: "&amp;H347&amp;" | Dest.: "&amp;I347,IF(OR(T347="CDF NÃO LOCALIZADO",T347="VÍNCULO INCOMPLETO",T347="CDF A CONFERIR"),"Dest.: "&amp;I347,"Gerador: "&amp;G347)))</f>
        <v/>
      </c>
    </row>
    <row r="348">
      <c r="A348" s="89" t="inlineStr">
        <is>
          <t>MTR-000343</t>
        </is>
      </c>
      <c r="B348" s="90" t="n"/>
      <c r="C348" s="91" t="n"/>
      <c r="D348" s="91" t="n"/>
      <c r="E348" s="92" t="n"/>
      <c r="F348" s="92" t="n"/>
      <c r="G348" s="91" t="n"/>
      <c r="H348" s="91" t="n"/>
      <c r="I348" s="91" t="n"/>
      <c r="J348" s="91" t="n"/>
      <c r="K348" s="91" t="n"/>
      <c r="L348" s="92" t="n"/>
      <c r="M348" s="91" t="n"/>
      <c r="N348" s="91" t="n"/>
      <c r="O348" s="91" t="n"/>
      <c r="P348" s="93" t="str">
        <f>IF(Z348=0,"",SUMIFS('ITENS_MTR'!$I$6:$I$1005,'ITENS_MTR'!$S$6:$S$1005,A348,'ITENS_MTR'!$Y$6:$Y$1005,1))</f>
        <v/>
      </c>
      <c r="Q348" s="93" t="str">
        <f>IF(Z348=0,"",SUMIFS('RECEBIMENTOS'!$H$6:$H$1005,'RECEBIMENTOS'!$B$6:$B$1005,A348,'RECEBIMENTOS'!$X$6:$X$1005,1))</f>
        <v/>
      </c>
      <c r="R348" s="93" t="str">
        <f>IF(Z348=0,"",SUMIFS('VÍNCULOS_CDF'!$H$6:$H$1005,'VÍNCULOS_CDF'!$D$6:$D$1005,A348,'VÍNCULOS_CDF'!$V$6:$V$1005,1))</f>
        <v/>
      </c>
      <c r="S348" s="94" t="str">
        <f>IF(Z348=0,"",IF(AA348=1,"Cancelado (informado)",IF(AE348=1,"Cadastro incompleto",IF(OR(AC348=1,AD348=1,AF348&gt;0,AH348&gt;0,AK348&gt;0,AL348&gt;0),"Informação a revisar",IF(AN348=0,"Aguardando recebimento",IF(N(R348)=0,"Aguardando CDF",IF(AJ348&lt;N(W348),"Vínculo de CDF parcial",IF(AO348=0,"CDF localizado, a conferir","Documentação conferida"))))))))</f>
        <v/>
      </c>
      <c r="T348" s="94" t="str">
        <f>IF(Z348=0,"",IF(S348="Cadastro incompleto","MTR INCOMPLETO",IF(S348="Informação a revisar",IF(AND(AH348&gt;0,AC348=0,AD348=0,AF348=0,AK348=0,AL348=0),"QUANTIDADE A REVISAR","IDENTIFICAÇÃO A REVISAR"),IF(S348="Aguardando recebimento","RECEBIMENTO NÃO CONFIRMADO",IF(S348="Aguardando CDF","CDF NÃO LOCALIZADO",IF(S348="Vínculo de CDF parcial","VÍNCULO INCOMPLETO",IF(S348="CDF localizado, a conferir","CDF A CONFERIR","")))))))</f>
        <v/>
      </c>
      <c r="U348" s="95" t="str">
        <f>IF(T348="","",IF(AQ348="","Não calculável",IF(AQ348&gt;TODAY(),"Data futura",TODAY()-AQ348)))</f>
        <v/>
      </c>
      <c r="V348" s="93" t="str">
        <f>IF(Z348=0,"",SUMIFS('RECEBIMENTOS'!$H$6:$H$1005,'RECEBIMENTOS'!$B$6:$B$1005,A348,'RECEBIMENTOS'!$Z$6:$Z$1005,1))</f>
        <v/>
      </c>
      <c r="W348" s="95" t="str">
        <f>IF(Z348=0,"",COUNTIFS('ITENS_MTR'!$S$6:$S$1005,A348,'ITENS_MTR'!$R$6:$R$1005,1))</f>
        <v/>
      </c>
      <c r="X348" s="94" t="str">
        <f>IF(AC348=1,"POSSÍVEL DUPLICIDADE","")</f>
        <v/>
      </c>
      <c r="Y348" s="94" t="str">
        <f>IF(Z348=0,"",IF(AW348="","Nenhuma",LEFT(AW348,LEN(AW348)-2)))</f>
        <v/>
      </c>
      <c r="Z348" s="96">
        <f>IF(COUNTA(B348:O348)&gt;0,1,0)</f>
        <v>0</v>
      </c>
      <c r="AA348" s="96">
        <f>IF(AND(Z348=1,K348&lt;&gt;""),IF(TRIM(K348)=TRIM(cfg_cancel),1,0),0)</f>
        <v>0</v>
      </c>
      <c r="AB348" s="96" t="str">
        <f>IF(AND(Z348=1,B348&lt;&gt;""),C348&amp;"|"&amp;D348&amp;"|"&amp;G348&amp;"|"&amp;TRIM(B348),"")</f>
        <v/>
      </c>
      <c r="AC348" s="96">
        <f>IF(AB348="",0,IF(SUMPRODUCT(--($AB$6:$AB$505=AB348))&gt;1,1,0))</f>
        <v>0</v>
      </c>
      <c r="AD348" s="96">
        <f>IF(Z348=0,0,IF(OR(AND(G348&lt;&gt;"",ISNA(MATCH(G348,'CAD_UNIDADES'!$C$6:$C$105,0))),AND(H348&lt;&gt;"",ISNA(MATCH(H348,cmp_transp,0))),AND(I348&lt;&gt;"",ISNA(MATCH(I348,cmp_dest,0))),AND(E348&lt;&gt;"",NOT(ISNUMBER(E348))),AND(F348&lt;&gt;"",NOT(ISNUMBER(F348))),AND(ISNUMBER(E348),ISNUMBER(F348),F348&lt;E348)),1,0))</f>
        <v>0</v>
      </c>
      <c r="AE348" s="96">
        <f>IF(Z348=0,0,IF(OR(B348="",C348="",E348="",G348="",H348="",I348="",N(W348)=0),1,0))</f>
        <v>0</v>
      </c>
      <c r="AF348" s="96">
        <f>IF(Z348=0,0,COUNTIFS('ITENS_MTR'!$S$6:$S$1005,A348,'ITENS_MTR'!$AI$6:$AI$1005,1))</f>
        <v>0</v>
      </c>
      <c r="AG348" s="96">
        <f>IF(Z348=0,0,COUNTIFS('ITENS_MTR'!$S$6:$S$1005,A348,'ITENS_MTR'!$AJ$6:$AJ$1005,1))</f>
        <v>0</v>
      </c>
      <c r="AH348" s="96">
        <f>IF(Z348=0,0,COUNTIFS('ITENS_MTR'!$S$6:$S$1005,A348,'ITENS_MTR'!$AM$6:$AM$1005,1))</f>
        <v>0</v>
      </c>
      <c r="AI348" s="96">
        <f>IF(Z348=0,0,COUNTIFS('ITENS_MTR'!$S$6:$S$1005,A348,'ITENS_MTR'!$AO$6:$AO$1005,1))</f>
        <v>0</v>
      </c>
      <c r="AJ348" s="96">
        <f>IF(Z348=0,0,COUNTIFS('ITENS_MTR'!$S$6:$S$1005,A348,'ITENS_MTR'!$AN$6:$AN$1005,1))</f>
        <v>0</v>
      </c>
      <c r="AK348" s="96">
        <f>IF(Z348=0,0,COUNTIFS('RECEBIMENTOS'!$B$6:$B$1005,A348,'RECEBIMENTOS'!$Y$6:$Y$1005,1))</f>
        <v>0</v>
      </c>
      <c r="AL348" s="96">
        <f>IF(Z348=0,0,COUNTIFS('VÍNCULOS_CDF'!$D$6:$D$1005,A348,'VÍNCULOS_CDF'!$Y$6:$Y$1005,1))</f>
        <v>0</v>
      </c>
      <c r="AM348" s="96">
        <f>IF(Z348=0,0,COUNTIFS('RECEBIMENTOS'!$B$6:$B$1005,A348,'RECEBIMENTOS'!$Q$6:$Q$1005,1))</f>
        <v>0</v>
      </c>
      <c r="AN348" s="96">
        <f>IF(AND(Z348=1,N(W348)&gt;0,AG348=N(W348)),1,0)</f>
        <v>0</v>
      </c>
      <c r="AO348" s="96">
        <f>IF(AND(Z348=1,N(W348)&gt;0,AI348=N(W348)),1,0)</f>
        <v>0</v>
      </c>
      <c r="AP348" s="97">
        <f>IF(Z348=0,0,_xlfn.MAXIFS('RECEBIMENTOS'!$E$6:$E$1005,'RECEBIMENTOS'!$B$6:$B$1005,A348))</f>
        <v>0</v>
      </c>
      <c r="AQ348" s="97" t="str">
        <f>IF(T348="","",IF(T348="RECEBIMENTO NÃO CONFIRMADO",IF(ISNUMBER(F348),F348,IF(ISNUMBER(E348),E348,"")),IF(OR(T348="CDF NÃO LOCALIZADO",T348="VÍNCULO INCOMPLETO",T348="CDF A CONFERIR"),IF(AP348&gt;0,AP348,IF(ISNUMBER(E348),E348,"")),IF(ISNUMBER(E348),E348,""))))</f>
        <v/>
      </c>
      <c r="AR348" s="96">
        <f>IF(NOT(ISNUMBER(U348)),0,IF(T348="RECEBIMENTO NÃO CONFIRMADO",IF(AND(ISNUMBER(cfg_rec),U348&gt;cfg_rec),1,0),IF(OR(T348="CDF NÃO LOCALIZADO",T348="VÍNCULO INCOMPLETO",T348="CDF A CONFERIR"),IF(AND(ISNUMBER(cfg_cdf),U348&gt;cfg_cdf),1,0),0)))</f>
        <v>0</v>
      </c>
      <c r="AS348" s="96" t="str">
        <f>IF(T348="","",IF(AR348=1,"Alta",IFERROR(INDEX(cfg_pp,MATCH(T348,cfg_pt,0))&amp;"","Média")))</f>
        <v/>
      </c>
      <c r="AT348" s="96" t="str">
        <f>IF(T348="","",IFERROR(INDEX(cfg_pv,MATCH(T348,cfg_pt,0))&amp;"",""))</f>
        <v/>
      </c>
      <c r="AU348" s="96" t="str">
        <f>IF(T348="","",IF(AS348="Alta",1,IF(AS348="Média",2,3))*1000000000+(999999-IF(ISNUMBER(U348),MIN(U348,999999),0))*1000+343)</f>
        <v/>
      </c>
      <c r="AV348" s="96">
        <f>IF(T348&lt;&gt;"",1,0)</f>
        <v>0</v>
      </c>
      <c r="AW348" s="96" t="str">
        <f>IF(Z348=0,"",IF(AA348=1,"Cancelamento informado; ","")&amp;IF(AE348=1,"Campos essenciais ou itens faltando; ","")&amp;IF(AC348=1,"Possível duplicidade do número; ","")&amp;IF(AD348=1,"Cadastro ou datas a revisar; ","")&amp;IF(AF348&gt;0,"Item de resíduo com dado a revisar; ","")&amp;IF(AH348&gt;0,"Diferença de quantidade a analisar; ","")&amp;IF(AK348&gt;0,"Recebimento com alerta; ","")&amp;IF(AL348&gt;0,"Vínculo de CDF com alerta; ","")&amp;IF(AND(AA348=0,AN348=0),"Recebimento não confirmado; ","")&amp;IF(AND(AA348=0,AN348=1,AO348=0),"CDF pendente ou a conferir; ",""))</f>
        <v/>
      </c>
      <c r="AX348" s="96">
        <f>IF(Z348=0,0,IF(AND(OR(f_ini="",AND(ISNUMBER(E348),E348&gt;=f_ini)),OR(f_fim="",AND(ISNUMBER(E348),E348&lt;=f_fim)),OR(f_un="",f_un="(Todas)",G348=f_un),OR(f_tr="",f_tr="(Todos)",H348=f_tr),OR(f_de="",f_de="(Todos)",I348=f_de),OR(f_sit="",f_sit="(Todas)",S348=f_sit)),1,0))</f>
        <v>0</v>
      </c>
      <c r="AY348" s="96">
        <f>IF(AX348=0,0,IF(OR(f_res="",f_res="(Todos)"),1,IF(COUNTIFS('ITENS_MTR'!$S$6:$S$1005,A348,'ITENS_MTR'!$C$6:$C$1005,f_res)&gt;0,1,0)))</f>
        <v>0</v>
      </c>
      <c r="AZ348" s="97" t="str">
        <f>IF(ISNUMBER(E348),DATE(YEAR(E348),MONTH(E348),1),"")</f>
        <v/>
      </c>
      <c r="BA348" s="96">
        <f>IF(Z348=0,0,IF(AND(OR(r_ini="",AND(ISNUMBER(E348),E348&gt;=r_ini)),OR(r_fim="",AND(ISNUMBER(E348),E348&lt;=r_fim)),OR(r_un="",r_un="(Todas)",G348=r_un),OR(r_de="",r_de="(Todos)",I348=r_de)),1,0))</f>
        <v>0</v>
      </c>
      <c r="BB348" s="96" t="str">
        <f>IF(BA348=1,COUNTIF($BA$6:BA348,1),"")</f>
        <v/>
      </c>
      <c r="BC348" s="96" t="str">
        <f>IF(AND(AU348&lt;&gt;"",OR(r_un="",r_un="(Todas)",G348=r_un),OR(r_de="",r_de="(Todos)",I348=r_de)),AU348,"")</f>
        <v/>
      </c>
      <c r="BD348" s="96" t="str">
        <f>IF(Z348=1,A348&amp;" | nº "&amp;IF(B348="","(sem número)",B348)&amp;" | "&amp;IF(G348="","(sem unidade)",G348),"")</f>
        <v/>
      </c>
      <c r="BE348" s="96" t="str">
        <f>IF(Z348=1,COUNTIF($Z$6:Z348,1),"")</f>
        <v/>
      </c>
      <c r="BF348" s="96" t="str">
        <f>IF(T348="","",IF(T348="RECEBIMENTO NÃO CONFIRMADO","Transp.: "&amp;H348&amp;" | Dest.: "&amp;I348,IF(OR(T348="CDF NÃO LOCALIZADO",T348="VÍNCULO INCOMPLETO",T348="CDF A CONFERIR"),"Dest.: "&amp;I348,"Gerador: "&amp;G348)))</f>
        <v/>
      </c>
    </row>
    <row r="349">
      <c r="A349" s="89" t="inlineStr">
        <is>
          <t>MTR-000344</t>
        </is>
      </c>
      <c r="B349" s="90" t="n"/>
      <c r="C349" s="91" t="n"/>
      <c r="D349" s="91" t="n"/>
      <c r="E349" s="92" t="n"/>
      <c r="F349" s="92" t="n"/>
      <c r="G349" s="91" t="n"/>
      <c r="H349" s="91" t="n"/>
      <c r="I349" s="91" t="n"/>
      <c r="J349" s="91" t="n"/>
      <c r="K349" s="91" t="n"/>
      <c r="L349" s="92" t="n"/>
      <c r="M349" s="91" t="n"/>
      <c r="N349" s="91" t="n"/>
      <c r="O349" s="91" t="n"/>
      <c r="P349" s="93" t="str">
        <f>IF(Z349=0,"",SUMIFS('ITENS_MTR'!$I$6:$I$1005,'ITENS_MTR'!$S$6:$S$1005,A349,'ITENS_MTR'!$Y$6:$Y$1005,1))</f>
        <v/>
      </c>
      <c r="Q349" s="93" t="str">
        <f>IF(Z349=0,"",SUMIFS('RECEBIMENTOS'!$H$6:$H$1005,'RECEBIMENTOS'!$B$6:$B$1005,A349,'RECEBIMENTOS'!$X$6:$X$1005,1))</f>
        <v/>
      </c>
      <c r="R349" s="93" t="str">
        <f>IF(Z349=0,"",SUMIFS('VÍNCULOS_CDF'!$H$6:$H$1005,'VÍNCULOS_CDF'!$D$6:$D$1005,A349,'VÍNCULOS_CDF'!$V$6:$V$1005,1))</f>
        <v/>
      </c>
      <c r="S349" s="94" t="str">
        <f>IF(Z349=0,"",IF(AA349=1,"Cancelado (informado)",IF(AE349=1,"Cadastro incompleto",IF(OR(AC349=1,AD349=1,AF349&gt;0,AH349&gt;0,AK349&gt;0,AL349&gt;0),"Informação a revisar",IF(AN349=0,"Aguardando recebimento",IF(N(R349)=0,"Aguardando CDF",IF(AJ349&lt;N(W349),"Vínculo de CDF parcial",IF(AO349=0,"CDF localizado, a conferir","Documentação conferida"))))))))</f>
        <v/>
      </c>
      <c r="T349" s="94" t="str">
        <f>IF(Z349=0,"",IF(S349="Cadastro incompleto","MTR INCOMPLETO",IF(S349="Informação a revisar",IF(AND(AH349&gt;0,AC349=0,AD349=0,AF349=0,AK349=0,AL349=0),"QUANTIDADE A REVISAR","IDENTIFICAÇÃO A REVISAR"),IF(S349="Aguardando recebimento","RECEBIMENTO NÃO CONFIRMADO",IF(S349="Aguardando CDF","CDF NÃO LOCALIZADO",IF(S349="Vínculo de CDF parcial","VÍNCULO INCOMPLETO",IF(S349="CDF localizado, a conferir","CDF A CONFERIR","")))))))</f>
        <v/>
      </c>
      <c r="U349" s="95" t="str">
        <f>IF(T349="","",IF(AQ349="","Não calculável",IF(AQ349&gt;TODAY(),"Data futura",TODAY()-AQ349)))</f>
        <v/>
      </c>
      <c r="V349" s="93" t="str">
        <f>IF(Z349=0,"",SUMIFS('RECEBIMENTOS'!$H$6:$H$1005,'RECEBIMENTOS'!$B$6:$B$1005,A349,'RECEBIMENTOS'!$Z$6:$Z$1005,1))</f>
        <v/>
      </c>
      <c r="W349" s="95" t="str">
        <f>IF(Z349=0,"",COUNTIFS('ITENS_MTR'!$S$6:$S$1005,A349,'ITENS_MTR'!$R$6:$R$1005,1))</f>
        <v/>
      </c>
      <c r="X349" s="94" t="str">
        <f>IF(AC349=1,"POSSÍVEL DUPLICIDADE","")</f>
        <v/>
      </c>
      <c r="Y349" s="94" t="str">
        <f>IF(Z349=0,"",IF(AW349="","Nenhuma",LEFT(AW349,LEN(AW349)-2)))</f>
        <v/>
      </c>
      <c r="Z349" s="96">
        <f>IF(COUNTA(B349:O349)&gt;0,1,0)</f>
        <v>0</v>
      </c>
      <c r="AA349" s="96">
        <f>IF(AND(Z349=1,K349&lt;&gt;""),IF(TRIM(K349)=TRIM(cfg_cancel),1,0),0)</f>
        <v>0</v>
      </c>
      <c r="AB349" s="96" t="str">
        <f>IF(AND(Z349=1,B349&lt;&gt;""),C349&amp;"|"&amp;D349&amp;"|"&amp;G349&amp;"|"&amp;TRIM(B349),"")</f>
        <v/>
      </c>
      <c r="AC349" s="96">
        <f>IF(AB349="",0,IF(SUMPRODUCT(--($AB$6:$AB$505=AB349))&gt;1,1,0))</f>
        <v>0</v>
      </c>
      <c r="AD349" s="96">
        <f>IF(Z349=0,0,IF(OR(AND(G349&lt;&gt;"",ISNA(MATCH(G349,'CAD_UNIDADES'!$C$6:$C$105,0))),AND(H349&lt;&gt;"",ISNA(MATCH(H349,cmp_transp,0))),AND(I349&lt;&gt;"",ISNA(MATCH(I349,cmp_dest,0))),AND(E349&lt;&gt;"",NOT(ISNUMBER(E349))),AND(F349&lt;&gt;"",NOT(ISNUMBER(F349))),AND(ISNUMBER(E349),ISNUMBER(F349),F349&lt;E349)),1,0))</f>
        <v>0</v>
      </c>
      <c r="AE349" s="96">
        <f>IF(Z349=0,0,IF(OR(B349="",C349="",E349="",G349="",H349="",I349="",N(W349)=0),1,0))</f>
        <v>0</v>
      </c>
      <c r="AF349" s="96">
        <f>IF(Z349=0,0,COUNTIFS('ITENS_MTR'!$S$6:$S$1005,A349,'ITENS_MTR'!$AI$6:$AI$1005,1))</f>
        <v>0</v>
      </c>
      <c r="AG349" s="96">
        <f>IF(Z349=0,0,COUNTIFS('ITENS_MTR'!$S$6:$S$1005,A349,'ITENS_MTR'!$AJ$6:$AJ$1005,1))</f>
        <v>0</v>
      </c>
      <c r="AH349" s="96">
        <f>IF(Z349=0,0,COUNTIFS('ITENS_MTR'!$S$6:$S$1005,A349,'ITENS_MTR'!$AM$6:$AM$1005,1))</f>
        <v>0</v>
      </c>
      <c r="AI349" s="96">
        <f>IF(Z349=0,0,COUNTIFS('ITENS_MTR'!$S$6:$S$1005,A349,'ITENS_MTR'!$AO$6:$AO$1005,1))</f>
        <v>0</v>
      </c>
      <c r="AJ349" s="96">
        <f>IF(Z349=0,0,COUNTIFS('ITENS_MTR'!$S$6:$S$1005,A349,'ITENS_MTR'!$AN$6:$AN$1005,1))</f>
        <v>0</v>
      </c>
      <c r="AK349" s="96">
        <f>IF(Z349=0,0,COUNTIFS('RECEBIMENTOS'!$B$6:$B$1005,A349,'RECEBIMENTOS'!$Y$6:$Y$1005,1))</f>
        <v>0</v>
      </c>
      <c r="AL349" s="96">
        <f>IF(Z349=0,0,COUNTIFS('VÍNCULOS_CDF'!$D$6:$D$1005,A349,'VÍNCULOS_CDF'!$Y$6:$Y$1005,1))</f>
        <v>0</v>
      </c>
      <c r="AM349" s="96">
        <f>IF(Z349=0,0,COUNTIFS('RECEBIMENTOS'!$B$6:$B$1005,A349,'RECEBIMENTOS'!$Q$6:$Q$1005,1))</f>
        <v>0</v>
      </c>
      <c r="AN349" s="96">
        <f>IF(AND(Z349=1,N(W349)&gt;0,AG349=N(W349)),1,0)</f>
        <v>0</v>
      </c>
      <c r="AO349" s="96">
        <f>IF(AND(Z349=1,N(W349)&gt;0,AI349=N(W349)),1,0)</f>
        <v>0</v>
      </c>
      <c r="AP349" s="97">
        <f>IF(Z349=0,0,_xlfn.MAXIFS('RECEBIMENTOS'!$E$6:$E$1005,'RECEBIMENTOS'!$B$6:$B$1005,A349))</f>
        <v>0</v>
      </c>
      <c r="AQ349" s="97" t="str">
        <f>IF(T349="","",IF(T349="RECEBIMENTO NÃO CONFIRMADO",IF(ISNUMBER(F349),F349,IF(ISNUMBER(E349),E349,"")),IF(OR(T349="CDF NÃO LOCALIZADO",T349="VÍNCULO INCOMPLETO",T349="CDF A CONFERIR"),IF(AP349&gt;0,AP349,IF(ISNUMBER(E349),E349,"")),IF(ISNUMBER(E349),E349,""))))</f>
        <v/>
      </c>
      <c r="AR349" s="96">
        <f>IF(NOT(ISNUMBER(U349)),0,IF(T349="RECEBIMENTO NÃO CONFIRMADO",IF(AND(ISNUMBER(cfg_rec),U349&gt;cfg_rec),1,0),IF(OR(T349="CDF NÃO LOCALIZADO",T349="VÍNCULO INCOMPLETO",T349="CDF A CONFERIR"),IF(AND(ISNUMBER(cfg_cdf),U349&gt;cfg_cdf),1,0),0)))</f>
        <v>0</v>
      </c>
      <c r="AS349" s="96" t="str">
        <f>IF(T349="","",IF(AR349=1,"Alta",IFERROR(INDEX(cfg_pp,MATCH(T349,cfg_pt,0))&amp;"","Média")))</f>
        <v/>
      </c>
      <c r="AT349" s="96" t="str">
        <f>IF(T349="","",IFERROR(INDEX(cfg_pv,MATCH(T349,cfg_pt,0))&amp;"",""))</f>
        <v/>
      </c>
      <c r="AU349" s="96" t="str">
        <f>IF(T349="","",IF(AS349="Alta",1,IF(AS349="Média",2,3))*1000000000+(999999-IF(ISNUMBER(U349),MIN(U349,999999),0))*1000+344)</f>
        <v/>
      </c>
      <c r="AV349" s="96">
        <f>IF(T349&lt;&gt;"",1,0)</f>
        <v>0</v>
      </c>
      <c r="AW349" s="96" t="str">
        <f>IF(Z349=0,"",IF(AA349=1,"Cancelamento informado; ","")&amp;IF(AE349=1,"Campos essenciais ou itens faltando; ","")&amp;IF(AC349=1,"Possível duplicidade do número; ","")&amp;IF(AD349=1,"Cadastro ou datas a revisar; ","")&amp;IF(AF349&gt;0,"Item de resíduo com dado a revisar; ","")&amp;IF(AH349&gt;0,"Diferença de quantidade a analisar; ","")&amp;IF(AK349&gt;0,"Recebimento com alerta; ","")&amp;IF(AL349&gt;0,"Vínculo de CDF com alerta; ","")&amp;IF(AND(AA349=0,AN349=0),"Recebimento não confirmado; ","")&amp;IF(AND(AA349=0,AN349=1,AO349=0),"CDF pendente ou a conferir; ",""))</f>
        <v/>
      </c>
      <c r="AX349" s="96">
        <f>IF(Z349=0,0,IF(AND(OR(f_ini="",AND(ISNUMBER(E349),E349&gt;=f_ini)),OR(f_fim="",AND(ISNUMBER(E349),E349&lt;=f_fim)),OR(f_un="",f_un="(Todas)",G349=f_un),OR(f_tr="",f_tr="(Todos)",H349=f_tr),OR(f_de="",f_de="(Todos)",I349=f_de),OR(f_sit="",f_sit="(Todas)",S349=f_sit)),1,0))</f>
        <v>0</v>
      </c>
      <c r="AY349" s="96">
        <f>IF(AX349=0,0,IF(OR(f_res="",f_res="(Todos)"),1,IF(COUNTIFS('ITENS_MTR'!$S$6:$S$1005,A349,'ITENS_MTR'!$C$6:$C$1005,f_res)&gt;0,1,0)))</f>
        <v>0</v>
      </c>
      <c r="AZ349" s="97" t="str">
        <f>IF(ISNUMBER(E349),DATE(YEAR(E349),MONTH(E349),1),"")</f>
        <v/>
      </c>
      <c r="BA349" s="96">
        <f>IF(Z349=0,0,IF(AND(OR(r_ini="",AND(ISNUMBER(E349),E349&gt;=r_ini)),OR(r_fim="",AND(ISNUMBER(E349),E349&lt;=r_fim)),OR(r_un="",r_un="(Todas)",G349=r_un),OR(r_de="",r_de="(Todos)",I349=r_de)),1,0))</f>
        <v>0</v>
      </c>
      <c r="BB349" s="96" t="str">
        <f>IF(BA349=1,COUNTIF($BA$6:BA349,1),"")</f>
        <v/>
      </c>
      <c r="BC349" s="96" t="str">
        <f>IF(AND(AU349&lt;&gt;"",OR(r_un="",r_un="(Todas)",G349=r_un),OR(r_de="",r_de="(Todos)",I349=r_de)),AU349,"")</f>
        <v/>
      </c>
      <c r="BD349" s="96" t="str">
        <f>IF(Z349=1,A349&amp;" | nº "&amp;IF(B349="","(sem número)",B349)&amp;" | "&amp;IF(G349="","(sem unidade)",G349),"")</f>
        <v/>
      </c>
      <c r="BE349" s="96" t="str">
        <f>IF(Z349=1,COUNTIF($Z$6:Z349,1),"")</f>
        <v/>
      </c>
      <c r="BF349" s="96" t="str">
        <f>IF(T349="","",IF(T349="RECEBIMENTO NÃO CONFIRMADO","Transp.: "&amp;H349&amp;" | Dest.: "&amp;I349,IF(OR(T349="CDF NÃO LOCALIZADO",T349="VÍNCULO INCOMPLETO",T349="CDF A CONFERIR"),"Dest.: "&amp;I349,"Gerador: "&amp;G349)))</f>
        <v/>
      </c>
    </row>
    <row r="350">
      <c r="A350" s="89" t="inlineStr">
        <is>
          <t>MTR-000345</t>
        </is>
      </c>
      <c r="B350" s="90" t="n"/>
      <c r="C350" s="91" t="n"/>
      <c r="D350" s="91" t="n"/>
      <c r="E350" s="92" t="n"/>
      <c r="F350" s="92" t="n"/>
      <c r="G350" s="91" t="n"/>
      <c r="H350" s="91" t="n"/>
      <c r="I350" s="91" t="n"/>
      <c r="J350" s="91" t="n"/>
      <c r="K350" s="91" t="n"/>
      <c r="L350" s="92" t="n"/>
      <c r="M350" s="91" t="n"/>
      <c r="N350" s="91" t="n"/>
      <c r="O350" s="91" t="n"/>
      <c r="P350" s="93" t="str">
        <f>IF(Z350=0,"",SUMIFS('ITENS_MTR'!$I$6:$I$1005,'ITENS_MTR'!$S$6:$S$1005,A350,'ITENS_MTR'!$Y$6:$Y$1005,1))</f>
        <v/>
      </c>
      <c r="Q350" s="93" t="str">
        <f>IF(Z350=0,"",SUMIFS('RECEBIMENTOS'!$H$6:$H$1005,'RECEBIMENTOS'!$B$6:$B$1005,A350,'RECEBIMENTOS'!$X$6:$X$1005,1))</f>
        <v/>
      </c>
      <c r="R350" s="93" t="str">
        <f>IF(Z350=0,"",SUMIFS('VÍNCULOS_CDF'!$H$6:$H$1005,'VÍNCULOS_CDF'!$D$6:$D$1005,A350,'VÍNCULOS_CDF'!$V$6:$V$1005,1))</f>
        <v/>
      </c>
      <c r="S350" s="94" t="str">
        <f>IF(Z350=0,"",IF(AA350=1,"Cancelado (informado)",IF(AE350=1,"Cadastro incompleto",IF(OR(AC350=1,AD350=1,AF350&gt;0,AH350&gt;0,AK350&gt;0,AL350&gt;0),"Informação a revisar",IF(AN350=0,"Aguardando recebimento",IF(N(R350)=0,"Aguardando CDF",IF(AJ350&lt;N(W350),"Vínculo de CDF parcial",IF(AO350=0,"CDF localizado, a conferir","Documentação conferida"))))))))</f>
        <v/>
      </c>
      <c r="T350" s="94" t="str">
        <f>IF(Z350=0,"",IF(S350="Cadastro incompleto","MTR INCOMPLETO",IF(S350="Informação a revisar",IF(AND(AH350&gt;0,AC350=0,AD350=0,AF350=0,AK350=0,AL350=0),"QUANTIDADE A REVISAR","IDENTIFICAÇÃO A REVISAR"),IF(S350="Aguardando recebimento","RECEBIMENTO NÃO CONFIRMADO",IF(S350="Aguardando CDF","CDF NÃO LOCALIZADO",IF(S350="Vínculo de CDF parcial","VÍNCULO INCOMPLETO",IF(S350="CDF localizado, a conferir","CDF A CONFERIR","")))))))</f>
        <v/>
      </c>
      <c r="U350" s="95" t="str">
        <f>IF(T350="","",IF(AQ350="","Não calculável",IF(AQ350&gt;TODAY(),"Data futura",TODAY()-AQ350)))</f>
        <v/>
      </c>
      <c r="V350" s="93" t="str">
        <f>IF(Z350=0,"",SUMIFS('RECEBIMENTOS'!$H$6:$H$1005,'RECEBIMENTOS'!$B$6:$B$1005,A350,'RECEBIMENTOS'!$Z$6:$Z$1005,1))</f>
        <v/>
      </c>
      <c r="W350" s="95" t="str">
        <f>IF(Z350=0,"",COUNTIFS('ITENS_MTR'!$S$6:$S$1005,A350,'ITENS_MTR'!$R$6:$R$1005,1))</f>
        <v/>
      </c>
      <c r="X350" s="94" t="str">
        <f>IF(AC350=1,"POSSÍVEL DUPLICIDADE","")</f>
        <v/>
      </c>
      <c r="Y350" s="94" t="str">
        <f>IF(Z350=0,"",IF(AW350="","Nenhuma",LEFT(AW350,LEN(AW350)-2)))</f>
        <v/>
      </c>
      <c r="Z350" s="96">
        <f>IF(COUNTA(B350:O350)&gt;0,1,0)</f>
        <v>0</v>
      </c>
      <c r="AA350" s="96">
        <f>IF(AND(Z350=1,K350&lt;&gt;""),IF(TRIM(K350)=TRIM(cfg_cancel),1,0),0)</f>
        <v>0</v>
      </c>
      <c r="AB350" s="96" t="str">
        <f>IF(AND(Z350=1,B350&lt;&gt;""),C350&amp;"|"&amp;D350&amp;"|"&amp;G350&amp;"|"&amp;TRIM(B350),"")</f>
        <v/>
      </c>
      <c r="AC350" s="96">
        <f>IF(AB350="",0,IF(SUMPRODUCT(--($AB$6:$AB$505=AB350))&gt;1,1,0))</f>
        <v>0</v>
      </c>
      <c r="AD350" s="96">
        <f>IF(Z350=0,0,IF(OR(AND(G350&lt;&gt;"",ISNA(MATCH(G350,'CAD_UNIDADES'!$C$6:$C$105,0))),AND(H350&lt;&gt;"",ISNA(MATCH(H350,cmp_transp,0))),AND(I350&lt;&gt;"",ISNA(MATCH(I350,cmp_dest,0))),AND(E350&lt;&gt;"",NOT(ISNUMBER(E350))),AND(F350&lt;&gt;"",NOT(ISNUMBER(F350))),AND(ISNUMBER(E350),ISNUMBER(F350),F350&lt;E350)),1,0))</f>
        <v>0</v>
      </c>
      <c r="AE350" s="96">
        <f>IF(Z350=0,0,IF(OR(B350="",C350="",E350="",G350="",H350="",I350="",N(W350)=0),1,0))</f>
        <v>0</v>
      </c>
      <c r="AF350" s="96">
        <f>IF(Z350=0,0,COUNTIFS('ITENS_MTR'!$S$6:$S$1005,A350,'ITENS_MTR'!$AI$6:$AI$1005,1))</f>
        <v>0</v>
      </c>
      <c r="AG350" s="96">
        <f>IF(Z350=0,0,COUNTIFS('ITENS_MTR'!$S$6:$S$1005,A350,'ITENS_MTR'!$AJ$6:$AJ$1005,1))</f>
        <v>0</v>
      </c>
      <c r="AH350" s="96">
        <f>IF(Z350=0,0,COUNTIFS('ITENS_MTR'!$S$6:$S$1005,A350,'ITENS_MTR'!$AM$6:$AM$1005,1))</f>
        <v>0</v>
      </c>
      <c r="AI350" s="96">
        <f>IF(Z350=0,0,COUNTIFS('ITENS_MTR'!$S$6:$S$1005,A350,'ITENS_MTR'!$AO$6:$AO$1005,1))</f>
        <v>0</v>
      </c>
      <c r="AJ350" s="96">
        <f>IF(Z350=0,0,COUNTIFS('ITENS_MTR'!$S$6:$S$1005,A350,'ITENS_MTR'!$AN$6:$AN$1005,1))</f>
        <v>0</v>
      </c>
      <c r="AK350" s="96">
        <f>IF(Z350=0,0,COUNTIFS('RECEBIMENTOS'!$B$6:$B$1005,A350,'RECEBIMENTOS'!$Y$6:$Y$1005,1))</f>
        <v>0</v>
      </c>
      <c r="AL350" s="96">
        <f>IF(Z350=0,0,COUNTIFS('VÍNCULOS_CDF'!$D$6:$D$1005,A350,'VÍNCULOS_CDF'!$Y$6:$Y$1005,1))</f>
        <v>0</v>
      </c>
      <c r="AM350" s="96">
        <f>IF(Z350=0,0,COUNTIFS('RECEBIMENTOS'!$B$6:$B$1005,A350,'RECEBIMENTOS'!$Q$6:$Q$1005,1))</f>
        <v>0</v>
      </c>
      <c r="AN350" s="96">
        <f>IF(AND(Z350=1,N(W350)&gt;0,AG350=N(W350)),1,0)</f>
        <v>0</v>
      </c>
      <c r="AO350" s="96">
        <f>IF(AND(Z350=1,N(W350)&gt;0,AI350=N(W350)),1,0)</f>
        <v>0</v>
      </c>
      <c r="AP350" s="97">
        <f>IF(Z350=0,0,_xlfn.MAXIFS('RECEBIMENTOS'!$E$6:$E$1005,'RECEBIMENTOS'!$B$6:$B$1005,A350))</f>
        <v>0</v>
      </c>
      <c r="AQ350" s="97" t="str">
        <f>IF(T350="","",IF(T350="RECEBIMENTO NÃO CONFIRMADO",IF(ISNUMBER(F350),F350,IF(ISNUMBER(E350),E350,"")),IF(OR(T350="CDF NÃO LOCALIZADO",T350="VÍNCULO INCOMPLETO",T350="CDF A CONFERIR"),IF(AP350&gt;0,AP350,IF(ISNUMBER(E350),E350,"")),IF(ISNUMBER(E350),E350,""))))</f>
        <v/>
      </c>
      <c r="AR350" s="96">
        <f>IF(NOT(ISNUMBER(U350)),0,IF(T350="RECEBIMENTO NÃO CONFIRMADO",IF(AND(ISNUMBER(cfg_rec),U350&gt;cfg_rec),1,0),IF(OR(T350="CDF NÃO LOCALIZADO",T350="VÍNCULO INCOMPLETO",T350="CDF A CONFERIR"),IF(AND(ISNUMBER(cfg_cdf),U350&gt;cfg_cdf),1,0),0)))</f>
        <v>0</v>
      </c>
      <c r="AS350" s="96" t="str">
        <f>IF(T350="","",IF(AR350=1,"Alta",IFERROR(INDEX(cfg_pp,MATCH(T350,cfg_pt,0))&amp;"","Média")))</f>
        <v/>
      </c>
      <c r="AT350" s="96" t="str">
        <f>IF(T350="","",IFERROR(INDEX(cfg_pv,MATCH(T350,cfg_pt,0))&amp;"",""))</f>
        <v/>
      </c>
      <c r="AU350" s="96" t="str">
        <f>IF(T350="","",IF(AS350="Alta",1,IF(AS350="Média",2,3))*1000000000+(999999-IF(ISNUMBER(U350),MIN(U350,999999),0))*1000+345)</f>
        <v/>
      </c>
      <c r="AV350" s="96">
        <f>IF(T350&lt;&gt;"",1,0)</f>
        <v>0</v>
      </c>
      <c r="AW350" s="96" t="str">
        <f>IF(Z350=0,"",IF(AA350=1,"Cancelamento informado; ","")&amp;IF(AE350=1,"Campos essenciais ou itens faltando; ","")&amp;IF(AC350=1,"Possível duplicidade do número; ","")&amp;IF(AD350=1,"Cadastro ou datas a revisar; ","")&amp;IF(AF350&gt;0,"Item de resíduo com dado a revisar; ","")&amp;IF(AH350&gt;0,"Diferença de quantidade a analisar; ","")&amp;IF(AK350&gt;0,"Recebimento com alerta; ","")&amp;IF(AL350&gt;0,"Vínculo de CDF com alerta; ","")&amp;IF(AND(AA350=0,AN350=0),"Recebimento não confirmado; ","")&amp;IF(AND(AA350=0,AN350=1,AO350=0),"CDF pendente ou a conferir; ",""))</f>
        <v/>
      </c>
      <c r="AX350" s="96">
        <f>IF(Z350=0,0,IF(AND(OR(f_ini="",AND(ISNUMBER(E350),E350&gt;=f_ini)),OR(f_fim="",AND(ISNUMBER(E350),E350&lt;=f_fim)),OR(f_un="",f_un="(Todas)",G350=f_un),OR(f_tr="",f_tr="(Todos)",H350=f_tr),OR(f_de="",f_de="(Todos)",I350=f_de),OR(f_sit="",f_sit="(Todas)",S350=f_sit)),1,0))</f>
        <v>0</v>
      </c>
      <c r="AY350" s="96">
        <f>IF(AX350=0,0,IF(OR(f_res="",f_res="(Todos)"),1,IF(COUNTIFS('ITENS_MTR'!$S$6:$S$1005,A350,'ITENS_MTR'!$C$6:$C$1005,f_res)&gt;0,1,0)))</f>
        <v>0</v>
      </c>
      <c r="AZ350" s="97" t="str">
        <f>IF(ISNUMBER(E350),DATE(YEAR(E350),MONTH(E350),1),"")</f>
        <v/>
      </c>
      <c r="BA350" s="96">
        <f>IF(Z350=0,0,IF(AND(OR(r_ini="",AND(ISNUMBER(E350),E350&gt;=r_ini)),OR(r_fim="",AND(ISNUMBER(E350),E350&lt;=r_fim)),OR(r_un="",r_un="(Todas)",G350=r_un),OR(r_de="",r_de="(Todos)",I350=r_de)),1,0))</f>
        <v>0</v>
      </c>
      <c r="BB350" s="96" t="str">
        <f>IF(BA350=1,COUNTIF($BA$6:BA350,1),"")</f>
        <v/>
      </c>
      <c r="BC350" s="96" t="str">
        <f>IF(AND(AU350&lt;&gt;"",OR(r_un="",r_un="(Todas)",G350=r_un),OR(r_de="",r_de="(Todos)",I350=r_de)),AU350,"")</f>
        <v/>
      </c>
      <c r="BD350" s="96" t="str">
        <f>IF(Z350=1,A350&amp;" | nº "&amp;IF(B350="","(sem número)",B350)&amp;" | "&amp;IF(G350="","(sem unidade)",G350),"")</f>
        <v/>
      </c>
      <c r="BE350" s="96" t="str">
        <f>IF(Z350=1,COUNTIF($Z$6:Z350,1),"")</f>
        <v/>
      </c>
      <c r="BF350" s="96" t="str">
        <f>IF(T350="","",IF(T350="RECEBIMENTO NÃO CONFIRMADO","Transp.: "&amp;H350&amp;" | Dest.: "&amp;I350,IF(OR(T350="CDF NÃO LOCALIZADO",T350="VÍNCULO INCOMPLETO",T350="CDF A CONFERIR"),"Dest.: "&amp;I350,"Gerador: "&amp;G350)))</f>
        <v/>
      </c>
    </row>
    <row r="351">
      <c r="A351" s="89" t="inlineStr">
        <is>
          <t>MTR-000346</t>
        </is>
      </c>
      <c r="B351" s="90" t="n"/>
      <c r="C351" s="91" t="n"/>
      <c r="D351" s="91" t="n"/>
      <c r="E351" s="92" t="n"/>
      <c r="F351" s="92" t="n"/>
      <c r="G351" s="91" t="n"/>
      <c r="H351" s="91" t="n"/>
      <c r="I351" s="91" t="n"/>
      <c r="J351" s="91" t="n"/>
      <c r="K351" s="91" t="n"/>
      <c r="L351" s="92" t="n"/>
      <c r="M351" s="91" t="n"/>
      <c r="N351" s="91" t="n"/>
      <c r="O351" s="91" t="n"/>
      <c r="P351" s="93" t="str">
        <f>IF(Z351=0,"",SUMIFS('ITENS_MTR'!$I$6:$I$1005,'ITENS_MTR'!$S$6:$S$1005,A351,'ITENS_MTR'!$Y$6:$Y$1005,1))</f>
        <v/>
      </c>
      <c r="Q351" s="93" t="str">
        <f>IF(Z351=0,"",SUMIFS('RECEBIMENTOS'!$H$6:$H$1005,'RECEBIMENTOS'!$B$6:$B$1005,A351,'RECEBIMENTOS'!$X$6:$X$1005,1))</f>
        <v/>
      </c>
      <c r="R351" s="93" t="str">
        <f>IF(Z351=0,"",SUMIFS('VÍNCULOS_CDF'!$H$6:$H$1005,'VÍNCULOS_CDF'!$D$6:$D$1005,A351,'VÍNCULOS_CDF'!$V$6:$V$1005,1))</f>
        <v/>
      </c>
      <c r="S351" s="94" t="str">
        <f>IF(Z351=0,"",IF(AA351=1,"Cancelado (informado)",IF(AE351=1,"Cadastro incompleto",IF(OR(AC351=1,AD351=1,AF351&gt;0,AH351&gt;0,AK351&gt;0,AL351&gt;0),"Informação a revisar",IF(AN351=0,"Aguardando recebimento",IF(N(R351)=0,"Aguardando CDF",IF(AJ351&lt;N(W351),"Vínculo de CDF parcial",IF(AO351=0,"CDF localizado, a conferir","Documentação conferida"))))))))</f>
        <v/>
      </c>
      <c r="T351" s="94" t="str">
        <f>IF(Z351=0,"",IF(S351="Cadastro incompleto","MTR INCOMPLETO",IF(S351="Informação a revisar",IF(AND(AH351&gt;0,AC351=0,AD351=0,AF351=0,AK351=0,AL351=0),"QUANTIDADE A REVISAR","IDENTIFICAÇÃO A REVISAR"),IF(S351="Aguardando recebimento","RECEBIMENTO NÃO CONFIRMADO",IF(S351="Aguardando CDF","CDF NÃO LOCALIZADO",IF(S351="Vínculo de CDF parcial","VÍNCULO INCOMPLETO",IF(S351="CDF localizado, a conferir","CDF A CONFERIR","")))))))</f>
        <v/>
      </c>
      <c r="U351" s="95" t="str">
        <f>IF(T351="","",IF(AQ351="","Não calculável",IF(AQ351&gt;TODAY(),"Data futura",TODAY()-AQ351)))</f>
        <v/>
      </c>
      <c r="V351" s="93" t="str">
        <f>IF(Z351=0,"",SUMIFS('RECEBIMENTOS'!$H$6:$H$1005,'RECEBIMENTOS'!$B$6:$B$1005,A351,'RECEBIMENTOS'!$Z$6:$Z$1005,1))</f>
        <v/>
      </c>
      <c r="W351" s="95" t="str">
        <f>IF(Z351=0,"",COUNTIFS('ITENS_MTR'!$S$6:$S$1005,A351,'ITENS_MTR'!$R$6:$R$1005,1))</f>
        <v/>
      </c>
      <c r="X351" s="94" t="str">
        <f>IF(AC351=1,"POSSÍVEL DUPLICIDADE","")</f>
        <v/>
      </c>
      <c r="Y351" s="94" t="str">
        <f>IF(Z351=0,"",IF(AW351="","Nenhuma",LEFT(AW351,LEN(AW351)-2)))</f>
        <v/>
      </c>
      <c r="Z351" s="96">
        <f>IF(COUNTA(B351:O351)&gt;0,1,0)</f>
        <v>0</v>
      </c>
      <c r="AA351" s="96">
        <f>IF(AND(Z351=1,K351&lt;&gt;""),IF(TRIM(K351)=TRIM(cfg_cancel),1,0),0)</f>
        <v>0</v>
      </c>
      <c r="AB351" s="96" t="str">
        <f>IF(AND(Z351=1,B351&lt;&gt;""),C351&amp;"|"&amp;D351&amp;"|"&amp;G351&amp;"|"&amp;TRIM(B351),"")</f>
        <v/>
      </c>
      <c r="AC351" s="96">
        <f>IF(AB351="",0,IF(SUMPRODUCT(--($AB$6:$AB$505=AB351))&gt;1,1,0))</f>
        <v>0</v>
      </c>
      <c r="AD351" s="96">
        <f>IF(Z351=0,0,IF(OR(AND(G351&lt;&gt;"",ISNA(MATCH(G351,'CAD_UNIDADES'!$C$6:$C$105,0))),AND(H351&lt;&gt;"",ISNA(MATCH(H351,cmp_transp,0))),AND(I351&lt;&gt;"",ISNA(MATCH(I351,cmp_dest,0))),AND(E351&lt;&gt;"",NOT(ISNUMBER(E351))),AND(F351&lt;&gt;"",NOT(ISNUMBER(F351))),AND(ISNUMBER(E351),ISNUMBER(F351),F351&lt;E351)),1,0))</f>
        <v>0</v>
      </c>
      <c r="AE351" s="96">
        <f>IF(Z351=0,0,IF(OR(B351="",C351="",E351="",G351="",H351="",I351="",N(W351)=0),1,0))</f>
        <v>0</v>
      </c>
      <c r="AF351" s="96">
        <f>IF(Z351=0,0,COUNTIFS('ITENS_MTR'!$S$6:$S$1005,A351,'ITENS_MTR'!$AI$6:$AI$1005,1))</f>
        <v>0</v>
      </c>
      <c r="AG351" s="96">
        <f>IF(Z351=0,0,COUNTIFS('ITENS_MTR'!$S$6:$S$1005,A351,'ITENS_MTR'!$AJ$6:$AJ$1005,1))</f>
        <v>0</v>
      </c>
      <c r="AH351" s="96">
        <f>IF(Z351=0,0,COUNTIFS('ITENS_MTR'!$S$6:$S$1005,A351,'ITENS_MTR'!$AM$6:$AM$1005,1))</f>
        <v>0</v>
      </c>
      <c r="AI351" s="96">
        <f>IF(Z351=0,0,COUNTIFS('ITENS_MTR'!$S$6:$S$1005,A351,'ITENS_MTR'!$AO$6:$AO$1005,1))</f>
        <v>0</v>
      </c>
      <c r="AJ351" s="96">
        <f>IF(Z351=0,0,COUNTIFS('ITENS_MTR'!$S$6:$S$1005,A351,'ITENS_MTR'!$AN$6:$AN$1005,1))</f>
        <v>0</v>
      </c>
      <c r="AK351" s="96">
        <f>IF(Z351=0,0,COUNTIFS('RECEBIMENTOS'!$B$6:$B$1005,A351,'RECEBIMENTOS'!$Y$6:$Y$1005,1))</f>
        <v>0</v>
      </c>
      <c r="AL351" s="96">
        <f>IF(Z351=0,0,COUNTIFS('VÍNCULOS_CDF'!$D$6:$D$1005,A351,'VÍNCULOS_CDF'!$Y$6:$Y$1005,1))</f>
        <v>0</v>
      </c>
      <c r="AM351" s="96">
        <f>IF(Z351=0,0,COUNTIFS('RECEBIMENTOS'!$B$6:$B$1005,A351,'RECEBIMENTOS'!$Q$6:$Q$1005,1))</f>
        <v>0</v>
      </c>
      <c r="AN351" s="96">
        <f>IF(AND(Z351=1,N(W351)&gt;0,AG351=N(W351)),1,0)</f>
        <v>0</v>
      </c>
      <c r="AO351" s="96">
        <f>IF(AND(Z351=1,N(W351)&gt;0,AI351=N(W351)),1,0)</f>
        <v>0</v>
      </c>
      <c r="AP351" s="97">
        <f>IF(Z351=0,0,_xlfn.MAXIFS('RECEBIMENTOS'!$E$6:$E$1005,'RECEBIMENTOS'!$B$6:$B$1005,A351))</f>
        <v>0</v>
      </c>
      <c r="AQ351" s="97" t="str">
        <f>IF(T351="","",IF(T351="RECEBIMENTO NÃO CONFIRMADO",IF(ISNUMBER(F351),F351,IF(ISNUMBER(E351),E351,"")),IF(OR(T351="CDF NÃO LOCALIZADO",T351="VÍNCULO INCOMPLETO",T351="CDF A CONFERIR"),IF(AP351&gt;0,AP351,IF(ISNUMBER(E351),E351,"")),IF(ISNUMBER(E351),E351,""))))</f>
        <v/>
      </c>
      <c r="AR351" s="96">
        <f>IF(NOT(ISNUMBER(U351)),0,IF(T351="RECEBIMENTO NÃO CONFIRMADO",IF(AND(ISNUMBER(cfg_rec),U351&gt;cfg_rec),1,0),IF(OR(T351="CDF NÃO LOCALIZADO",T351="VÍNCULO INCOMPLETO",T351="CDF A CONFERIR"),IF(AND(ISNUMBER(cfg_cdf),U351&gt;cfg_cdf),1,0),0)))</f>
        <v>0</v>
      </c>
      <c r="AS351" s="96" t="str">
        <f>IF(T351="","",IF(AR351=1,"Alta",IFERROR(INDEX(cfg_pp,MATCH(T351,cfg_pt,0))&amp;"","Média")))</f>
        <v/>
      </c>
      <c r="AT351" s="96" t="str">
        <f>IF(T351="","",IFERROR(INDEX(cfg_pv,MATCH(T351,cfg_pt,0))&amp;"",""))</f>
        <v/>
      </c>
      <c r="AU351" s="96" t="str">
        <f>IF(T351="","",IF(AS351="Alta",1,IF(AS351="Média",2,3))*1000000000+(999999-IF(ISNUMBER(U351),MIN(U351,999999),0))*1000+346)</f>
        <v/>
      </c>
      <c r="AV351" s="96">
        <f>IF(T351&lt;&gt;"",1,0)</f>
        <v>0</v>
      </c>
      <c r="AW351" s="96" t="str">
        <f>IF(Z351=0,"",IF(AA351=1,"Cancelamento informado; ","")&amp;IF(AE351=1,"Campos essenciais ou itens faltando; ","")&amp;IF(AC351=1,"Possível duplicidade do número; ","")&amp;IF(AD351=1,"Cadastro ou datas a revisar; ","")&amp;IF(AF351&gt;0,"Item de resíduo com dado a revisar; ","")&amp;IF(AH351&gt;0,"Diferença de quantidade a analisar; ","")&amp;IF(AK351&gt;0,"Recebimento com alerta; ","")&amp;IF(AL351&gt;0,"Vínculo de CDF com alerta; ","")&amp;IF(AND(AA351=0,AN351=0),"Recebimento não confirmado; ","")&amp;IF(AND(AA351=0,AN351=1,AO351=0),"CDF pendente ou a conferir; ",""))</f>
        <v/>
      </c>
      <c r="AX351" s="96">
        <f>IF(Z351=0,0,IF(AND(OR(f_ini="",AND(ISNUMBER(E351),E351&gt;=f_ini)),OR(f_fim="",AND(ISNUMBER(E351),E351&lt;=f_fim)),OR(f_un="",f_un="(Todas)",G351=f_un),OR(f_tr="",f_tr="(Todos)",H351=f_tr),OR(f_de="",f_de="(Todos)",I351=f_de),OR(f_sit="",f_sit="(Todas)",S351=f_sit)),1,0))</f>
        <v>0</v>
      </c>
      <c r="AY351" s="96">
        <f>IF(AX351=0,0,IF(OR(f_res="",f_res="(Todos)"),1,IF(COUNTIFS('ITENS_MTR'!$S$6:$S$1005,A351,'ITENS_MTR'!$C$6:$C$1005,f_res)&gt;0,1,0)))</f>
        <v>0</v>
      </c>
      <c r="AZ351" s="97" t="str">
        <f>IF(ISNUMBER(E351),DATE(YEAR(E351),MONTH(E351),1),"")</f>
        <v/>
      </c>
      <c r="BA351" s="96">
        <f>IF(Z351=0,0,IF(AND(OR(r_ini="",AND(ISNUMBER(E351),E351&gt;=r_ini)),OR(r_fim="",AND(ISNUMBER(E351),E351&lt;=r_fim)),OR(r_un="",r_un="(Todas)",G351=r_un),OR(r_de="",r_de="(Todos)",I351=r_de)),1,0))</f>
        <v>0</v>
      </c>
      <c r="BB351" s="96" t="str">
        <f>IF(BA351=1,COUNTIF($BA$6:BA351,1),"")</f>
        <v/>
      </c>
      <c r="BC351" s="96" t="str">
        <f>IF(AND(AU351&lt;&gt;"",OR(r_un="",r_un="(Todas)",G351=r_un),OR(r_de="",r_de="(Todos)",I351=r_de)),AU351,"")</f>
        <v/>
      </c>
      <c r="BD351" s="96" t="str">
        <f>IF(Z351=1,A351&amp;" | nº "&amp;IF(B351="","(sem número)",B351)&amp;" | "&amp;IF(G351="","(sem unidade)",G351),"")</f>
        <v/>
      </c>
      <c r="BE351" s="96" t="str">
        <f>IF(Z351=1,COUNTIF($Z$6:Z351,1),"")</f>
        <v/>
      </c>
      <c r="BF351" s="96" t="str">
        <f>IF(T351="","",IF(T351="RECEBIMENTO NÃO CONFIRMADO","Transp.: "&amp;H351&amp;" | Dest.: "&amp;I351,IF(OR(T351="CDF NÃO LOCALIZADO",T351="VÍNCULO INCOMPLETO",T351="CDF A CONFERIR"),"Dest.: "&amp;I351,"Gerador: "&amp;G351)))</f>
        <v/>
      </c>
    </row>
    <row r="352">
      <c r="A352" s="89" t="inlineStr">
        <is>
          <t>MTR-000347</t>
        </is>
      </c>
      <c r="B352" s="90" t="n"/>
      <c r="C352" s="91" t="n"/>
      <c r="D352" s="91" t="n"/>
      <c r="E352" s="92" t="n"/>
      <c r="F352" s="92" t="n"/>
      <c r="G352" s="91" t="n"/>
      <c r="H352" s="91" t="n"/>
      <c r="I352" s="91" t="n"/>
      <c r="J352" s="91" t="n"/>
      <c r="K352" s="91" t="n"/>
      <c r="L352" s="92" t="n"/>
      <c r="M352" s="91" t="n"/>
      <c r="N352" s="91" t="n"/>
      <c r="O352" s="91" t="n"/>
      <c r="P352" s="93" t="str">
        <f>IF(Z352=0,"",SUMIFS('ITENS_MTR'!$I$6:$I$1005,'ITENS_MTR'!$S$6:$S$1005,A352,'ITENS_MTR'!$Y$6:$Y$1005,1))</f>
        <v/>
      </c>
      <c r="Q352" s="93" t="str">
        <f>IF(Z352=0,"",SUMIFS('RECEBIMENTOS'!$H$6:$H$1005,'RECEBIMENTOS'!$B$6:$B$1005,A352,'RECEBIMENTOS'!$X$6:$X$1005,1))</f>
        <v/>
      </c>
      <c r="R352" s="93" t="str">
        <f>IF(Z352=0,"",SUMIFS('VÍNCULOS_CDF'!$H$6:$H$1005,'VÍNCULOS_CDF'!$D$6:$D$1005,A352,'VÍNCULOS_CDF'!$V$6:$V$1005,1))</f>
        <v/>
      </c>
      <c r="S352" s="94" t="str">
        <f>IF(Z352=0,"",IF(AA352=1,"Cancelado (informado)",IF(AE352=1,"Cadastro incompleto",IF(OR(AC352=1,AD352=1,AF352&gt;0,AH352&gt;0,AK352&gt;0,AL352&gt;0),"Informação a revisar",IF(AN352=0,"Aguardando recebimento",IF(N(R352)=0,"Aguardando CDF",IF(AJ352&lt;N(W352),"Vínculo de CDF parcial",IF(AO352=0,"CDF localizado, a conferir","Documentação conferida"))))))))</f>
        <v/>
      </c>
      <c r="T352" s="94" t="str">
        <f>IF(Z352=0,"",IF(S352="Cadastro incompleto","MTR INCOMPLETO",IF(S352="Informação a revisar",IF(AND(AH352&gt;0,AC352=0,AD352=0,AF352=0,AK352=0,AL352=0),"QUANTIDADE A REVISAR","IDENTIFICAÇÃO A REVISAR"),IF(S352="Aguardando recebimento","RECEBIMENTO NÃO CONFIRMADO",IF(S352="Aguardando CDF","CDF NÃO LOCALIZADO",IF(S352="Vínculo de CDF parcial","VÍNCULO INCOMPLETO",IF(S352="CDF localizado, a conferir","CDF A CONFERIR","")))))))</f>
        <v/>
      </c>
      <c r="U352" s="95" t="str">
        <f>IF(T352="","",IF(AQ352="","Não calculável",IF(AQ352&gt;TODAY(),"Data futura",TODAY()-AQ352)))</f>
        <v/>
      </c>
      <c r="V352" s="93" t="str">
        <f>IF(Z352=0,"",SUMIFS('RECEBIMENTOS'!$H$6:$H$1005,'RECEBIMENTOS'!$B$6:$B$1005,A352,'RECEBIMENTOS'!$Z$6:$Z$1005,1))</f>
        <v/>
      </c>
      <c r="W352" s="95" t="str">
        <f>IF(Z352=0,"",COUNTIFS('ITENS_MTR'!$S$6:$S$1005,A352,'ITENS_MTR'!$R$6:$R$1005,1))</f>
        <v/>
      </c>
      <c r="X352" s="94" t="str">
        <f>IF(AC352=1,"POSSÍVEL DUPLICIDADE","")</f>
        <v/>
      </c>
      <c r="Y352" s="94" t="str">
        <f>IF(Z352=0,"",IF(AW352="","Nenhuma",LEFT(AW352,LEN(AW352)-2)))</f>
        <v/>
      </c>
      <c r="Z352" s="96">
        <f>IF(COUNTA(B352:O352)&gt;0,1,0)</f>
        <v>0</v>
      </c>
      <c r="AA352" s="96">
        <f>IF(AND(Z352=1,K352&lt;&gt;""),IF(TRIM(K352)=TRIM(cfg_cancel),1,0),0)</f>
        <v>0</v>
      </c>
      <c r="AB352" s="96" t="str">
        <f>IF(AND(Z352=1,B352&lt;&gt;""),C352&amp;"|"&amp;D352&amp;"|"&amp;G352&amp;"|"&amp;TRIM(B352),"")</f>
        <v/>
      </c>
      <c r="AC352" s="96">
        <f>IF(AB352="",0,IF(SUMPRODUCT(--($AB$6:$AB$505=AB352))&gt;1,1,0))</f>
        <v>0</v>
      </c>
      <c r="AD352" s="96">
        <f>IF(Z352=0,0,IF(OR(AND(G352&lt;&gt;"",ISNA(MATCH(G352,'CAD_UNIDADES'!$C$6:$C$105,0))),AND(H352&lt;&gt;"",ISNA(MATCH(H352,cmp_transp,0))),AND(I352&lt;&gt;"",ISNA(MATCH(I352,cmp_dest,0))),AND(E352&lt;&gt;"",NOT(ISNUMBER(E352))),AND(F352&lt;&gt;"",NOT(ISNUMBER(F352))),AND(ISNUMBER(E352),ISNUMBER(F352),F352&lt;E352)),1,0))</f>
        <v>0</v>
      </c>
      <c r="AE352" s="96">
        <f>IF(Z352=0,0,IF(OR(B352="",C352="",E352="",G352="",H352="",I352="",N(W352)=0),1,0))</f>
        <v>0</v>
      </c>
      <c r="AF352" s="96">
        <f>IF(Z352=0,0,COUNTIFS('ITENS_MTR'!$S$6:$S$1005,A352,'ITENS_MTR'!$AI$6:$AI$1005,1))</f>
        <v>0</v>
      </c>
      <c r="AG352" s="96">
        <f>IF(Z352=0,0,COUNTIFS('ITENS_MTR'!$S$6:$S$1005,A352,'ITENS_MTR'!$AJ$6:$AJ$1005,1))</f>
        <v>0</v>
      </c>
      <c r="AH352" s="96">
        <f>IF(Z352=0,0,COUNTIFS('ITENS_MTR'!$S$6:$S$1005,A352,'ITENS_MTR'!$AM$6:$AM$1005,1))</f>
        <v>0</v>
      </c>
      <c r="AI352" s="96">
        <f>IF(Z352=0,0,COUNTIFS('ITENS_MTR'!$S$6:$S$1005,A352,'ITENS_MTR'!$AO$6:$AO$1005,1))</f>
        <v>0</v>
      </c>
      <c r="AJ352" s="96">
        <f>IF(Z352=0,0,COUNTIFS('ITENS_MTR'!$S$6:$S$1005,A352,'ITENS_MTR'!$AN$6:$AN$1005,1))</f>
        <v>0</v>
      </c>
      <c r="AK352" s="96">
        <f>IF(Z352=0,0,COUNTIFS('RECEBIMENTOS'!$B$6:$B$1005,A352,'RECEBIMENTOS'!$Y$6:$Y$1005,1))</f>
        <v>0</v>
      </c>
      <c r="AL352" s="96">
        <f>IF(Z352=0,0,COUNTIFS('VÍNCULOS_CDF'!$D$6:$D$1005,A352,'VÍNCULOS_CDF'!$Y$6:$Y$1005,1))</f>
        <v>0</v>
      </c>
      <c r="AM352" s="96">
        <f>IF(Z352=0,0,COUNTIFS('RECEBIMENTOS'!$B$6:$B$1005,A352,'RECEBIMENTOS'!$Q$6:$Q$1005,1))</f>
        <v>0</v>
      </c>
      <c r="AN352" s="96">
        <f>IF(AND(Z352=1,N(W352)&gt;0,AG352=N(W352)),1,0)</f>
        <v>0</v>
      </c>
      <c r="AO352" s="96">
        <f>IF(AND(Z352=1,N(W352)&gt;0,AI352=N(W352)),1,0)</f>
        <v>0</v>
      </c>
      <c r="AP352" s="97">
        <f>IF(Z352=0,0,_xlfn.MAXIFS('RECEBIMENTOS'!$E$6:$E$1005,'RECEBIMENTOS'!$B$6:$B$1005,A352))</f>
        <v>0</v>
      </c>
      <c r="AQ352" s="97" t="str">
        <f>IF(T352="","",IF(T352="RECEBIMENTO NÃO CONFIRMADO",IF(ISNUMBER(F352),F352,IF(ISNUMBER(E352),E352,"")),IF(OR(T352="CDF NÃO LOCALIZADO",T352="VÍNCULO INCOMPLETO",T352="CDF A CONFERIR"),IF(AP352&gt;0,AP352,IF(ISNUMBER(E352),E352,"")),IF(ISNUMBER(E352),E352,""))))</f>
        <v/>
      </c>
      <c r="AR352" s="96">
        <f>IF(NOT(ISNUMBER(U352)),0,IF(T352="RECEBIMENTO NÃO CONFIRMADO",IF(AND(ISNUMBER(cfg_rec),U352&gt;cfg_rec),1,0),IF(OR(T352="CDF NÃO LOCALIZADO",T352="VÍNCULO INCOMPLETO",T352="CDF A CONFERIR"),IF(AND(ISNUMBER(cfg_cdf),U352&gt;cfg_cdf),1,0),0)))</f>
        <v>0</v>
      </c>
      <c r="AS352" s="96" t="str">
        <f>IF(T352="","",IF(AR352=1,"Alta",IFERROR(INDEX(cfg_pp,MATCH(T352,cfg_pt,0))&amp;"","Média")))</f>
        <v/>
      </c>
      <c r="AT352" s="96" t="str">
        <f>IF(T352="","",IFERROR(INDEX(cfg_pv,MATCH(T352,cfg_pt,0))&amp;"",""))</f>
        <v/>
      </c>
      <c r="AU352" s="96" t="str">
        <f>IF(T352="","",IF(AS352="Alta",1,IF(AS352="Média",2,3))*1000000000+(999999-IF(ISNUMBER(U352),MIN(U352,999999),0))*1000+347)</f>
        <v/>
      </c>
      <c r="AV352" s="96">
        <f>IF(T352&lt;&gt;"",1,0)</f>
        <v>0</v>
      </c>
      <c r="AW352" s="96" t="str">
        <f>IF(Z352=0,"",IF(AA352=1,"Cancelamento informado; ","")&amp;IF(AE352=1,"Campos essenciais ou itens faltando; ","")&amp;IF(AC352=1,"Possível duplicidade do número; ","")&amp;IF(AD352=1,"Cadastro ou datas a revisar; ","")&amp;IF(AF352&gt;0,"Item de resíduo com dado a revisar; ","")&amp;IF(AH352&gt;0,"Diferença de quantidade a analisar; ","")&amp;IF(AK352&gt;0,"Recebimento com alerta; ","")&amp;IF(AL352&gt;0,"Vínculo de CDF com alerta; ","")&amp;IF(AND(AA352=0,AN352=0),"Recebimento não confirmado; ","")&amp;IF(AND(AA352=0,AN352=1,AO352=0),"CDF pendente ou a conferir; ",""))</f>
        <v/>
      </c>
      <c r="AX352" s="96">
        <f>IF(Z352=0,0,IF(AND(OR(f_ini="",AND(ISNUMBER(E352),E352&gt;=f_ini)),OR(f_fim="",AND(ISNUMBER(E352),E352&lt;=f_fim)),OR(f_un="",f_un="(Todas)",G352=f_un),OR(f_tr="",f_tr="(Todos)",H352=f_tr),OR(f_de="",f_de="(Todos)",I352=f_de),OR(f_sit="",f_sit="(Todas)",S352=f_sit)),1,0))</f>
        <v>0</v>
      </c>
      <c r="AY352" s="96">
        <f>IF(AX352=0,0,IF(OR(f_res="",f_res="(Todos)"),1,IF(COUNTIFS('ITENS_MTR'!$S$6:$S$1005,A352,'ITENS_MTR'!$C$6:$C$1005,f_res)&gt;0,1,0)))</f>
        <v>0</v>
      </c>
      <c r="AZ352" s="97" t="str">
        <f>IF(ISNUMBER(E352),DATE(YEAR(E352),MONTH(E352),1),"")</f>
        <v/>
      </c>
      <c r="BA352" s="96">
        <f>IF(Z352=0,0,IF(AND(OR(r_ini="",AND(ISNUMBER(E352),E352&gt;=r_ini)),OR(r_fim="",AND(ISNUMBER(E352),E352&lt;=r_fim)),OR(r_un="",r_un="(Todas)",G352=r_un),OR(r_de="",r_de="(Todos)",I352=r_de)),1,0))</f>
        <v>0</v>
      </c>
      <c r="BB352" s="96" t="str">
        <f>IF(BA352=1,COUNTIF($BA$6:BA352,1),"")</f>
        <v/>
      </c>
      <c r="BC352" s="96" t="str">
        <f>IF(AND(AU352&lt;&gt;"",OR(r_un="",r_un="(Todas)",G352=r_un),OR(r_de="",r_de="(Todos)",I352=r_de)),AU352,"")</f>
        <v/>
      </c>
      <c r="BD352" s="96" t="str">
        <f>IF(Z352=1,A352&amp;" | nº "&amp;IF(B352="","(sem número)",B352)&amp;" | "&amp;IF(G352="","(sem unidade)",G352),"")</f>
        <v/>
      </c>
      <c r="BE352" s="96" t="str">
        <f>IF(Z352=1,COUNTIF($Z$6:Z352,1),"")</f>
        <v/>
      </c>
      <c r="BF352" s="96" t="str">
        <f>IF(T352="","",IF(T352="RECEBIMENTO NÃO CONFIRMADO","Transp.: "&amp;H352&amp;" | Dest.: "&amp;I352,IF(OR(T352="CDF NÃO LOCALIZADO",T352="VÍNCULO INCOMPLETO",T352="CDF A CONFERIR"),"Dest.: "&amp;I352,"Gerador: "&amp;G352)))</f>
        <v/>
      </c>
    </row>
    <row r="353">
      <c r="A353" s="89" t="inlineStr">
        <is>
          <t>MTR-000348</t>
        </is>
      </c>
      <c r="B353" s="90" t="n"/>
      <c r="C353" s="91" t="n"/>
      <c r="D353" s="91" t="n"/>
      <c r="E353" s="92" t="n"/>
      <c r="F353" s="92" t="n"/>
      <c r="G353" s="91" t="n"/>
      <c r="H353" s="91" t="n"/>
      <c r="I353" s="91" t="n"/>
      <c r="J353" s="91" t="n"/>
      <c r="K353" s="91" t="n"/>
      <c r="L353" s="92" t="n"/>
      <c r="M353" s="91" t="n"/>
      <c r="N353" s="91" t="n"/>
      <c r="O353" s="91" t="n"/>
      <c r="P353" s="93" t="str">
        <f>IF(Z353=0,"",SUMIFS('ITENS_MTR'!$I$6:$I$1005,'ITENS_MTR'!$S$6:$S$1005,A353,'ITENS_MTR'!$Y$6:$Y$1005,1))</f>
        <v/>
      </c>
      <c r="Q353" s="93" t="str">
        <f>IF(Z353=0,"",SUMIFS('RECEBIMENTOS'!$H$6:$H$1005,'RECEBIMENTOS'!$B$6:$B$1005,A353,'RECEBIMENTOS'!$X$6:$X$1005,1))</f>
        <v/>
      </c>
      <c r="R353" s="93" t="str">
        <f>IF(Z353=0,"",SUMIFS('VÍNCULOS_CDF'!$H$6:$H$1005,'VÍNCULOS_CDF'!$D$6:$D$1005,A353,'VÍNCULOS_CDF'!$V$6:$V$1005,1))</f>
        <v/>
      </c>
      <c r="S353" s="94" t="str">
        <f>IF(Z353=0,"",IF(AA353=1,"Cancelado (informado)",IF(AE353=1,"Cadastro incompleto",IF(OR(AC353=1,AD353=1,AF353&gt;0,AH353&gt;0,AK353&gt;0,AL353&gt;0),"Informação a revisar",IF(AN353=0,"Aguardando recebimento",IF(N(R353)=0,"Aguardando CDF",IF(AJ353&lt;N(W353),"Vínculo de CDF parcial",IF(AO353=0,"CDF localizado, a conferir","Documentação conferida"))))))))</f>
        <v/>
      </c>
      <c r="T353" s="94" t="str">
        <f>IF(Z353=0,"",IF(S353="Cadastro incompleto","MTR INCOMPLETO",IF(S353="Informação a revisar",IF(AND(AH353&gt;0,AC353=0,AD353=0,AF353=0,AK353=0,AL353=0),"QUANTIDADE A REVISAR","IDENTIFICAÇÃO A REVISAR"),IF(S353="Aguardando recebimento","RECEBIMENTO NÃO CONFIRMADO",IF(S353="Aguardando CDF","CDF NÃO LOCALIZADO",IF(S353="Vínculo de CDF parcial","VÍNCULO INCOMPLETO",IF(S353="CDF localizado, a conferir","CDF A CONFERIR","")))))))</f>
        <v/>
      </c>
      <c r="U353" s="95" t="str">
        <f>IF(T353="","",IF(AQ353="","Não calculável",IF(AQ353&gt;TODAY(),"Data futura",TODAY()-AQ353)))</f>
        <v/>
      </c>
      <c r="V353" s="93" t="str">
        <f>IF(Z353=0,"",SUMIFS('RECEBIMENTOS'!$H$6:$H$1005,'RECEBIMENTOS'!$B$6:$B$1005,A353,'RECEBIMENTOS'!$Z$6:$Z$1005,1))</f>
        <v/>
      </c>
      <c r="W353" s="95" t="str">
        <f>IF(Z353=0,"",COUNTIFS('ITENS_MTR'!$S$6:$S$1005,A353,'ITENS_MTR'!$R$6:$R$1005,1))</f>
        <v/>
      </c>
      <c r="X353" s="94" t="str">
        <f>IF(AC353=1,"POSSÍVEL DUPLICIDADE","")</f>
        <v/>
      </c>
      <c r="Y353" s="94" t="str">
        <f>IF(Z353=0,"",IF(AW353="","Nenhuma",LEFT(AW353,LEN(AW353)-2)))</f>
        <v/>
      </c>
      <c r="Z353" s="96">
        <f>IF(COUNTA(B353:O353)&gt;0,1,0)</f>
        <v>0</v>
      </c>
      <c r="AA353" s="96">
        <f>IF(AND(Z353=1,K353&lt;&gt;""),IF(TRIM(K353)=TRIM(cfg_cancel),1,0),0)</f>
        <v>0</v>
      </c>
      <c r="AB353" s="96" t="str">
        <f>IF(AND(Z353=1,B353&lt;&gt;""),C353&amp;"|"&amp;D353&amp;"|"&amp;G353&amp;"|"&amp;TRIM(B353),"")</f>
        <v/>
      </c>
      <c r="AC353" s="96">
        <f>IF(AB353="",0,IF(SUMPRODUCT(--($AB$6:$AB$505=AB353))&gt;1,1,0))</f>
        <v>0</v>
      </c>
      <c r="AD353" s="96">
        <f>IF(Z353=0,0,IF(OR(AND(G353&lt;&gt;"",ISNA(MATCH(G353,'CAD_UNIDADES'!$C$6:$C$105,0))),AND(H353&lt;&gt;"",ISNA(MATCH(H353,cmp_transp,0))),AND(I353&lt;&gt;"",ISNA(MATCH(I353,cmp_dest,0))),AND(E353&lt;&gt;"",NOT(ISNUMBER(E353))),AND(F353&lt;&gt;"",NOT(ISNUMBER(F353))),AND(ISNUMBER(E353),ISNUMBER(F353),F353&lt;E353)),1,0))</f>
        <v>0</v>
      </c>
      <c r="AE353" s="96">
        <f>IF(Z353=0,0,IF(OR(B353="",C353="",E353="",G353="",H353="",I353="",N(W353)=0),1,0))</f>
        <v>0</v>
      </c>
      <c r="AF353" s="96">
        <f>IF(Z353=0,0,COUNTIFS('ITENS_MTR'!$S$6:$S$1005,A353,'ITENS_MTR'!$AI$6:$AI$1005,1))</f>
        <v>0</v>
      </c>
      <c r="AG353" s="96">
        <f>IF(Z353=0,0,COUNTIFS('ITENS_MTR'!$S$6:$S$1005,A353,'ITENS_MTR'!$AJ$6:$AJ$1005,1))</f>
        <v>0</v>
      </c>
      <c r="AH353" s="96">
        <f>IF(Z353=0,0,COUNTIFS('ITENS_MTR'!$S$6:$S$1005,A353,'ITENS_MTR'!$AM$6:$AM$1005,1))</f>
        <v>0</v>
      </c>
      <c r="AI353" s="96">
        <f>IF(Z353=0,0,COUNTIFS('ITENS_MTR'!$S$6:$S$1005,A353,'ITENS_MTR'!$AO$6:$AO$1005,1))</f>
        <v>0</v>
      </c>
      <c r="AJ353" s="96">
        <f>IF(Z353=0,0,COUNTIFS('ITENS_MTR'!$S$6:$S$1005,A353,'ITENS_MTR'!$AN$6:$AN$1005,1))</f>
        <v>0</v>
      </c>
      <c r="AK353" s="96">
        <f>IF(Z353=0,0,COUNTIFS('RECEBIMENTOS'!$B$6:$B$1005,A353,'RECEBIMENTOS'!$Y$6:$Y$1005,1))</f>
        <v>0</v>
      </c>
      <c r="AL353" s="96">
        <f>IF(Z353=0,0,COUNTIFS('VÍNCULOS_CDF'!$D$6:$D$1005,A353,'VÍNCULOS_CDF'!$Y$6:$Y$1005,1))</f>
        <v>0</v>
      </c>
      <c r="AM353" s="96">
        <f>IF(Z353=0,0,COUNTIFS('RECEBIMENTOS'!$B$6:$B$1005,A353,'RECEBIMENTOS'!$Q$6:$Q$1005,1))</f>
        <v>0</v>
      </c>
      <c r="AN353" s="96">
        <f>IF(AND(Z353=1,N(W353)&gt;0,AG353=N(W353)),1,0)</f>
        <v>0</v>
      </c>
      <c r="AO353" s="96">
        <f>IF(AND(Z353=1,N(W353)&gt;0,AI353=N(W353)),1,0)</f>
        <v>0</v>
      </c>
      <c r="AP353" s="97">
        <f>IF(Z353=0,0,_xlfn.MAXIFS('RECEBIMENTOS'!$E$6:$E$1005,'RECEBIMENTOS'!$B$6:$B$1005,A353))</f>
        <v>0</v>
      </c>
      <c r="AQ353" s="97" t="str">
        <f>IF(T353="","",IF(T353="RECEBIMENTO NÃO CONFIRMADO",IF(ISNUMBER(F353),F353,IF(ISNUMBER(E353),E353,"")),IF(OR(T353="CDF NÃO LOCALIZADO",T353="VÍNCULO INCOMPLETO",T353="CDF A CONFERIR"),IF(AP353&gt;0,AP353,IF(ISNUMBER(E353),E353,"")),IF(ISNUMBER(E353),E353,""))))</f>
        <v/>
      </c>
      <c r="AR353" s="96">
        <f>IF(NOT(ISNUMBER(U353)),0,IF(T353="RECEBIMENTO NÃO CONFIRMADO",IF(AND(ISNUMBER(cfg_rec),U353&gt;cfg_rec),1,0),IF(OR(T353="CDF NÃO LOCALIZADO",T353="VÍNCULO INCOMPLETO",T353="CDF A CONFERIR"),IF(AND(ISNUMBER(cfg_cdf),U353&gt;cfg_cdf),1,0),0)))</f>
        <v>0</v>
      </c>
      <c r="AS353" s="96" t="str">
        <f>IF(T353="","",IF(AR353=1,"Alta",IFERROR(INDEX(cfg_pp,MATCH(T353,cfg_pt,0))&amp;"","Média")))</f>
        <v/>
      </c>
      <c r="AT353" s="96" t="str">
        <f>IF(T353="","",IFERROR(INDEX(cfg_pv,MATCH(T353,cfg_pt,0))&amp;"",""))</f>
        <v/>
      </c>
      <c r="AU353" s="96" t="str">
        <f>IF(T353="","",IF(AS353="Alta",1,IF(AS353="Média",2,3))*1000000000+(999999-IF(ISNUMBER(U353),MIN(U353,999999),0))*1000+348)</f>
        <v/>
      </c>
      <c r="AV353" s="96">
        <f>IF(T353&lt;&gt;"",1,0)</f>
        <v>0</v>
      </c>
      <c r="AW353" s="96" t="str">
        <f>IF(Z353=0,"",IF(AA353=1,"Cancelamento informado; ","")&amp;IF(AE353=1,"Campos essenciais ou itens faltando; ","")&amp;IF(AC353=1,"Possível duplicidade do número; ","")&amp;IF(AD353=1,"Cadastro ou datas a revisar; ","")&amp;IF(AF353&gt;0,"Item de resíduo com dado a revisar; ","")&amp;IF(AH353&gt;0,"Diferença de quantidade a analisar; ","")&amp;IF(AK353&gt;0,"Recebimento com alerta; ","")&amp;IF(AL353&gt;0,"Vínculo de CDF com alerta; ","")&amp;IF(AND(AA353=0,AN353=0),"Recebimento não confirmado; ","")&amp;IF(AND(AA353=0,AN353=1,AO353=0),"CDF pendente ou a conferir; ",""))</f>
        <v/>
      </c>
      <c r="AX353" s="96">
        <f>IF(Z353=0,0,IF(AND(OR(f_ini="",AND(ISNUMBER(E353),E353&gt;=f_ini)),OR(f_fim="",AND(ISNUMBER(E353),E353&lt;=f_fim)),OR(f_un="",f_un="(Todas)",G353=f_un),OR(f_tr="",f_tr="(Todos)",H353=f_tr),OR(f_de="",f_de="(Todos)",I353=f_de),OR(f_sit="",f_sit="(Todas)",S353=f_sit)),1,0))</f>
        <v>0</v>
      </c>
      <c r="AY353" s="96">
        <f>IF(AX353=0,0,IF(OR(f_res="",f_res="(Todos)"),1,IF(COUNTIFS('ITENS_MTR'!$S$6:$S$1005,A353,'ITENS_MTR'!$C$6:$C$1005,f_res)&gt;0,1,0)))</f>
        <v>0</v>
      </c>
      <c r="AZ353" s="97" t="str">
        <f>IF(ISNUMBER(E353),DATE(YEAR(E353),MONTH(E353),1),"")</f>
        <v/>
      </c>
      <c r="BA353" s="96">
        <f>IF(Z353=0,0,IF(AND(OR(r_ini="",AND(ISNUMBER(E353),E353&gt;=r_ini)),OR(r_fim="",AND(ISNUMBER(E353),E353&lt;=r_fim)),OR(r_un="",r_un="(Todas)",G353=r_un),OR(r_de="",r_de="(Todos)",I353=r_de)),1,0))</f>
        <v>0</v>
      </c>
      <c r="BB353" s="96" t="str">
        <f>IF(BA353=1,COUNTIF($BA$6:BA353,1),"")</f>
        <v/>
      </c>
      <c r="BC353" s="96" t="str">
        <f>IF(AND(AU353&lt;&gt;"",OR(r_un="",r_un="(Todas)",G353=r_un),OR(r_de="",r_de="(Todos)",I353=r_de)),AU353,"")</f>
        <v/>
      </c>
      <c r="BD353" s="96" t="str">
        <f>IF(Z353=1,A353&amp;" | nº "&amp;IF(B353="","(sem número)",B353)&amp;" | "&amp;IF(G353="","(sem unidade)",G353),"")</f>
        <v/>
      </c>
      <c r="BE353" s="96" t="str">
        <f>IF(Z353=1,COUNTIF($Z$6:Z353,1),"")</f>
        <v/>
      </c>
      <c r="BF353" s="96" t="str">
        <f>IF(T353="","",IF(T353="RECEBIMENTO NÃO CONFIRMADO","Transp.: "&amp;H353&amp;" | Dest.: "&amp;I353,IF(OR(T353="CDF NÃO LOCALIZADO",T353="VÍNCULO INCOMPLETO",T353="CDF A CONFERIR"),"Dest.: "&amp;I353,"Gerador: "&amp;G353)))</f>
        <v/>
      </c>
    </row>
    <row r="354">
      <c r="A354" s="89" t="inlineStr">
        <is>
          <t>MTR-000349</t>
        </is>
      </c>
      <c r="B354" s="90" t="n"/>
      <c r="C354" s="91" t="n"/>
      <c r="D354" s="91" t="n"/>
      <c r="E354" s="92" t="n"/>
      <c r="F354" s="92" t="n"/>
      <c r="G354" s="91" t="n"/>
      <c r="H354" s="91" t="n"/>
      <c r="I354" s="91" t="n"/>
      <c r="J354" s="91" t="n"/>
      <c r="K354" s="91" t="n"/>
      <c r="L354" s="92" t="n"/>
      <c r="M354" s="91" t="n"/>
      <c r="N354" s="91" t="n"/>
      <c r="O354" s="91" t="n"/>
      <c r="P354" s="93" t="str">
        <f>IF(Z354=0,"",SUMIFS('ITENS_MTR'!$I$6:$I$1005,'ITENS_MTR'!$S$6:$S$1005,A354,'ITENS_MTR'!$Y$6:$Y$1005,1))</f>
        <v/>
      </c>
      <c r="Q354" s="93" t="str">
        <f>IF(Z354=0,"",SUMIFS('RECEBIMENTOS'!$H$6:$H$1005,'RECEBIMENTOS'!$B$6:$B$1005,A354,'RECEBIMENTOS'!$X$6:$X$1005,1))</f>
        <v/>
      </c>
      <c r="R354" s="93" t="str">
        <f>IF(Z354=0,"",SUMIFS('VÍNCULOS_CDF'!$H$6:$H$1005,'VÍNCULOS_CDF'!$D$6:$D$1005,A354,'VÍNCULOS_CDF'!$V$6:$V$1005,1))</f>
        <v/>
      </c>
      <c r="S354" s="94" t="str">
        <f>IF(Z354=0,"",IF(AA354=1,"Cancelado (informado)",IF(AE354=1,"Cadastro incompleto",IF(OR(AC354=1,AD354=1,AF354&gt;0,AH354&gt;0,AK354&gt;0,AL354&gt;0),"Informação a revisar",IF(AN354=0,"Aguardando recebimento",IF(N(R354)=0,"Aguardando CDF",IF(AJ354&lt;N(W354),"Vínculo de CDF parcial",IF(AO354=0,"CDF localizado, a conferir","Documentação conferida"))))))))</f>
        <v/>
      </c>
      <c r="T354" s="94" t="str">
        <f>IF(Z354=0,"",IF(S354="Cadastro incompleto","MTR INCOMPLETO",IF(S354="Informação a revisar",IF(AND(AH354&gt;0,AC354=0,AD354=0,AF354=0,AK354=0,AL354=0),"QUANTIDADE A REVISAR","IDENTIFICAÇÃO A REVISAR"),IF(S354="Aguardando recebimento","RECEBIMENTO NÃO CONFIRMADO",IF(S354="Aguardando CDF","CDF NÃO LOCALIZADO",IF(S354="Vínculo de CDF parcial","VÍNCULO INCOMPLETO",IF(S354="CDF localizado, a conferir","CDF A CONFERIR","")))))))</f>
        <v/>
      </c>
      <c r="U354" s="95" t="str">
        <f>IF(T354="","",IF(AQ354="","Não calculável",IF(AQ354&gt;TODAY(),"Data futura",TODAY()-AQ354)))</f>
        <v/>
      </c>
      <c r="V354" s="93" t="str">
        <f>IF(Z354=0,"",SUMIFS('RECEBIMENTOS'!$H$6:$H$1005,'RECEBIMENTOS'!$B$6:$B$1005,A354,'RECEBIMENTOS'!$Z$6:$Z$1005,1))</f>
        <v/>
      </c>
      <c r="W354" s="95" t="str">
        <f>IF(Z354=0,"",COUNTIFS('ITENS_MTR'!$S$6:$S$1005,A354,'ITENS_MTR'!$R$6:$R$1005,1))</f>
        <v/>
      </c>
      <c r="X354" s="94" t="str">
        <f>IF(AC354=1,"POSSÍVEL DUPLICIDADE","")</f>
        <v/>
      </c>
      <c r="Y354" s="94" t="str">
        <f>IF(Z354=0,"",IF(AW354="","Nenhuma",LEFT(AW354,LEN(AW354)-2)))</f>
        <v/>
      </c>
      <c r="Z354" s="96">
        <f>IF(COUNTA(B354:O354)&gt;0,1,0)</f>
        <v>0</v>
      </c>
      <c r="AA354" s="96">
        <f>IF(AND(Z354=1,K354&lt;&gt;""),IF(TRIM(K354)=TRIM(cfg_cancel),1,0),0)</f>
        <v>0</v>
      </c>
      <c r="AB354" s="96" t="str">
        <f>IF(AND(Z354=1,B354&lt;&gt;""),C354&amp;"|"&amp;D354&amp;"|"&amp;G354&amp;"|"&amp;TRIM(B354),"")</f>
        <v/>
      </c>
      <c r="AC354" s="96">
        <f>IF(AB354="",0,IF(SUMPRODUCT(--($AB$6:$AB$505=AB354))&gt;1,1,0))</f>
        <v>0</v>
      </c>
      <c r="AD354" s="96">
        <f>IF(Z354=0,0,IF(OR(AND(G354&lt;&gt;"",ISNA(MATCH(G354,'CAD_UNIDADES'!$C$6:$C$105,0))),AND(H354&lt;&gt;"",ISNA(MATCH(H354,cmp_transp,0))),AND(I354&lt;&gt;"",ISNA(MATCH(I354,cmp_dest,0))),AND(E354&lt;&gt;"",NOT(ISNUMBER(E354))),AND(F354&lt;&gt;"",NOT(ISNUMBER(F354))),AND(ISNUMBER(E354),ISNUMBER(F354),F354&lt;E354)),1,0))</f>
        <v>0</v>
      </c>
      <c r="AE354" s="96">
        <f>IF(Z354=0,0,IF(OR(B354="",C354="",E354="",G354="",H354="",I354="",N(W354)=0),1,0))</f>
        <v>0</v>
      </c>
      <c r="AF354" s="96">
        <f>IF(Z354=0,0,COUNTIFS('ITENS_MTR'!$S$6:$S$1005,A354,'ITENS_MTR'!$AI$6:$AI$1005,1))</f>
        <v>0</v>
      </c>
      <c r="AG354" s="96">
        <f>IF(Z354=0,0,COUNTIFS('ITENS_MTR'!$S$6:$S$1005,A354,'ITENS_MTR'!$AJ$6:$AJ$1005,1))</f>
        <v>0</v>
      </c>
      <c r="AH354" s="96">
        <f>IF(Z354=0,0,COUNTIFS('ITENS_MTR'!$S$6:$S$1005,A354,'ITENS_MTR'!$AM$6:$AM$1005,1))</f>
        <v>0</v>
      </c>
      <c r="AI354" s="96">
        <f>IF(Z354=0,0,COUNTIFS('ITENS_MTR'!$S$6:$S$1005,A354,'ITENS_MTR'!$AO$6:$AO$1005,1))</f>
        <v>0</v>
      </c>
      <c r="AJ354" s="96">
        <f>IF(Z354=0,0,COUNTIFS('ITENS_MTR'!$S$6:$S$1005,A354,'ITENS_MTR'!$AN$6:$AN$1005,1))</f>
        <v>0</v>
      </c>
      <c r="AK354" s="96">
        <f>IF(Z354=0,0,COUNTIFS('RECEBIMENTOS'!$B$6:$B$1005,A354,'RECEBIMENTOS'!$Y$6:$Y$1005,1))</f>
        <v>0</v>
      </c>
      <c r="AL354" s="96">
        <f>IF(Z354=0,0,COUNTIFS('VÍNCULOS_CDF'!$D$6:$D$1005,A354,'VÍNCULOS_CDF'!$Y$6:$Y$1005,1))</f>
        <v>0</v>
      </c>
      <c r="AM354" s="96">
        <f>IF(Z354=0,0,COUNTIFS('RECEBIMENTOS'!$B$6:$B$1005,A354,'RECEBIMENTOS'!$Q$6:$Q$1005,1))</f>
        <v>0</v>
      </c>
      <c r="AN354" s="96">
        <f>IF(AND(Z354=1,N(W354)&gt;0,AG354=N(W354)),1,0)</f>
        <v>0</v>
      </c>
      <c r="AO354" s="96">
        <f>IF(AND(Z354=1,N(W354)&gt;0,AI354=N(W354)),1,0)</f>
        <v>0</v>
      </c>
      <c r="AP354" s="97">
        <f>IF(Z354=0,0,_xlfn.MAXIFS('RECEBIMENTOS'!$E$6:$E$1005,'RECEBIMENTOS'!$B$6:$B$1005,A354))</f>
        <v>0</v>
      </c>
      <c r="AQ354" s="97" t="str">
        <f>IF(T354="","",IF(T354="RECEBIMENTO NÃO CONFIRMADO",IF(ISNUMBER(F354),F354,IF(ISNUMBER(E354),E354,"")),IF(OR(T354="CDF NÃO LOCALIZADO",T354="VÍNCULO INCOMPLETO",T354="CDF A CONFERIR"),IF(AP354&gt;0,AP354,IF(ISNUMBER(E354),E354,"")),IF(ISNUMBER(E354),E354,""))))</f>
        <v/>
      </c>
      <c r="AR354" s="96">
        <f>IF(NOT(ISNUMBER(U354)),0,IF(T354="RECEBIMENTO NÃO CONFIRMADO",IF(AND(ISNUMBER(cfg_rec),U354&gt;cfg_rec),1,0),IF(OR(T354="CDF NÃO LOCALIZADO",T354="VÍNCULO INCOMPLETO",T354="CDF A CONFERIR"),IF(AND(ISNUMBER(cfg_cdf),U354&gt;cfg_cdf),1,0),0)))</f>
        <v>0</v>
      </c>
      <c r="AS354" s="96" t="str">
        <f>IF(T354="","",IF(AR354=1,"Alta",IFERROR(INDEX(cfg_pp,MATCH(T354,cfg_pt,0))&amp;"","Média")))</f>
        <v/>
      </c>
      <c r="AT354" s="96" t="str">
        <f>IF(T354="","",IFERROR(INDEX(cfg_pv,MATCH(T354,cfg_pt,0))&amp;"",""))</f>
        <v/>
      </c>
      <c r="AU354" s="96" t="str">
        <f>IF(T354="","",IF(AS354="Alta",1,IF(AS354="Média",2,3))*1000000000+(999999-IF(ISNUMBER(U354),MIN(U354,999999),0))*1000+349)</f>
        <v/>
      </c>
      <c r="AV354" s="96">
        <f>IF(T354&lt;&gt;"",1,0)</f>
        <v>0</v>
      </c>
      <c r="AW354" s="96" t="str">
        <f>IF(Z354=0,"",IF(AA354=1,"Cancelamento informado; ","")&amp;IF(AE354=1,"Campos essenciais ou itens faltando; ","")&amp;IF(AC354=1,"Possível duplicidade do número; ","")&amp;IF(AD354=1,"Cadastro ou datas a revisar; ","")&amp;IF(AF354&gt;0,"Item de resíduo com dado a revisar; ","")&amp;IF(AH354&gt;0,"Diferença de quantidade a analisar; ","")&amp;IF(AK354&gt;0,"Recebimento com alerta; ","")&amp;IF(AL354&gt;0,"Vínculo de CDF com alerta; ","")&amp;IF(AND(AA354=0,AN354=0),"Recebimento não confirmado; ","")&amp;IF(AND(AA354=0,AN354=1,AO354=0),"CDF pendente ou a conferir; ",""))</f>
        <v/>
      </c>
      <c r="AX354" s="96">
        <f>IF(Z354=0,0,IF(AND(OR(f_ini="",AND(ISNUMBER(E354),E354&gt;=f_ini)),OR(f_fim="",AND(ISNUMBER(E354),E354&lt;=f_fim)),OR(f_un="",f_un="(Todas)",G354=f_un),OR(f_tr="",f_tr="(Todos)",H354=f_tr),OR(f_de="",f_de="(Todos)",I354=f_de),OR(f_sit="",f_sit="(Todas)",S354=f_sit)),1,0))</f>
        <v>0</v>
      </c>
      <c r="AY354" s="96">
        <f>IF(AX354=0,0,IF(OR(f_res="",f_res="(Todos)"),1,IF(COUNTIFS('ITENS_MTR'!$S$6:$S$1005,A354,'ITENS_MTR'!$C$6:$C$1005,f_res)&gt;0,1,0)))</f>
        <v>0</v>
      </c>
      <c r="AZ354" s="97" t="str">
        <f>IF(ISNUMBER(E354),DATE(YEAR(E354),MONTH(E354),1),"")</f>
        <v/>
      </c>
      <c r="BA354" s="96">
        <f>IF(Z354=0,0,IF(AND(OR(r_ini="",AND(ISNUMBER(E354),E354&gt;=r_ini)),OR(r_fim="",AND(ISNUMBER(E354),E354&lt;=r_fim)),OR(r_un="",r_un="(Todas)",G354=r_un),OR(r_de="",r_de="(Todos)",I354=r_de)),1,0))</f>
        <v>0</v>
      </c>
      <c r="BB354" s="96" t="str">
        <f>IF(BA354=1,COUNTIF($BA$6:BA354,1),"")</f>
        <v/>
      </c>
      <c r="BC354" s="96" t="str">
        <f>IF(AND(AU354&lt;&gt;"",OR(r_un="",r_un="(Todas)",G354=r_un),OR(r_de="",r_de="(Todos)",I354=r_de)),AU354,"")</f>
        <v/>
      </c>
      <c r="BD354" s="96" t="str">
        <f>IF(Z354=1,A354&amp;" | nº "&amp;IF(B354="","(sem número)",B354)&amp;" | "&amp;IF(G354="","(sem unidade)",G354),"")</f>
        <v/>
      </c>
      <c r="BE354" s="96" t="str">
        <f>IF(Z354=1,COUNTIF($Z$6:Z354,1),"")</f>
        <v/>
      </c>
      <c r="BF354" s="96" t="str">
        <f>IF(T354="","",IF(T354="RECEBIMENTO NÃO CONFIRMADO","Transp.: "&amp;H354&amp;" | Dest.: "&amp;I354,IF(OR(T354="CDF NÃO LOCALIZADO",T354="VÍNCULO INCOMPLETO",T354="CDF A CONFERIR"),"Dest.: "&amp;I354,"Gerador: "&amp;G354)))</f>
        <v/>
      </c>
    </row>
    <row r="355">
      <c r="A355" s="89" t="inlineStr">
        <is>
          <t>MTR-000350</t>
        </is>
      </c>
      <c r="B355" s="90" t="n"/>
      <c r="C355" s="91" t="n"/>
      <c r="D355" s="91" t="n"/>
      <c r="E355" s="92" t="n"/>
      <c r="F355" s="92" t="n"/>
      <c r="G355" s="91" t="n"/>
      <c r="H355" s="91" t="n"/>
      <c r="I355" s="91" t="n"/>
      <c r="J355" s="91" t="n"/>
      <c r="K355" s="91" t="n"/>
      <c r="L355" s="92" t="n"/>
      <c r="M355" s="91" t="n"/>
      <c r="N355" s="91" t="n"/>
      <c r="O355" s="91" t="n"/>
      <c r="P355" s="93" t="str">
        <f>IF(Z355=0,"",SUMIFS('ITENS_MTR'!$I$6:$I$1005,'ITENS_MTR'!$S$6:$S$1005,A355,'ITENS_MTR'!$Y$6:$Y$1005,1))</f>
        <v/>
      </c>
      <c r="Q355" s="93" t="str">
        <f>IF(Z355=0,"",SUMIFS('RECEBIMENTOS'!$H$6:$H$1005,'RECEBIMENTOS'!$B$6:$B$1005,A355,'RECEBIMENTOS'!$X$6:$X$1005,1))</f>
        <v/>
      </c>
      <c r="R355" s="93" t="str">
        <f>IF(Z355=0,"",SUMIFS('VÍNCULOS_CDF'!$H$6:$H$1005,'VÍNCULOS_CDF'!$D$6:$D$1005,A355,'VÍNCULOS_CDF'!$V$6:$V$1005,1))</f>
        <v/>
      </c>
      <c r="S355" s="94" t="str">
        <f>IF(Z355=0,"",IF(AA355=1,"Cancelado (informado)",IF(AE355=1,"Cadastro incompleto",IF(OR(AC355=1,AD355=1,AF355&gt;0,AH355&gt;0,AK355&gt;0,AL355&gt;0),"Informação a revisar",IF(AN355=0,"Aguardando recebimento",IF(N(R355)=0,"Aguardando CDF",IF(AJ355&lt;N(W355),"Vínculo de CDF parcial",IF(AO355=0,"CDF localizado, a conferir","Documentação conferida"))))))))</f>
        <v/>
      </c>
      <c r="T355" s="94" t="str">
        <f>IF(Z355=0,"",IF(S355="Cadastro incompleto","MTR INCOMPLETO",IF(S355="Informação a revisar",IF(AND(AH355&gt;0,AC355=0,AD355=0,AF355=0,AK355=0,AL355=0),"QUANTIDADE A REVISAR","IDENTIFICAÇÃO A REVISAR"),IF(S355="Aguardando recebimento","RECEBIMENTO NÃO CONFIRMADO",IF(S355="Aguardando CDF","CDF NÃO LOCALIZADO",IF(S355="Vínculo de CDF parcial","VÍNCULO INCOMPLETO",IF(S355="CDF localizado, a conferir","CDF A CONFERIR","")))))))</f>
        <v/>
      </c>
      <c r="U355" s="95" t="str">
        <f>IF(T355="","",IF(AQ355="","Não calculável",IF(AQ355&gt;TODAY(),"Data futura",TODAY()-AQ355)))</f>
        <v/>
      </c>
      <c r="V355" s="93" t="str">
        <f>IF(Z355=0,"",SUMIFS('RECEBIMENTOS'!$H$6:$H$1005,'RECEBIMENTOS'!$B$6:$B$1005,A355,'RECEBIMENTOS'!$Z$6:$Z$1005,1))</f>
        <v/>
      </c>
      <c r="W355" s="95" t="str">
        <f>IF(Z355=0,"",COUNTIFS('ITENS_MTR'!$S$6:$S$1005,A355,'ITENS_MTR'!$R$6:$R$1005,1))</f>
        <v/>
      </c>
      <c r="X355" s="94" t="str">
        <f>IF(AC355=1,"POSSÍVEL DUPLICIDADE","")</f>
        <v/>
      </c>
      <c r="Y355" s="94" t="str">
        <f>IF(Z355=0,"",IF(AW355="","Nenhuma",LEFT(AW355,LEN(AW355)-2)))</f>
        <v/>
      </c>
      <c r="Z355" s="96">
        <f>IF(COUNTA(B355:O355)&gt;0,1,0)</f>
        <v>0</v>
      </c>
      <c r="AA355" s="96">
        <f>IF(AND(Z355=1,K355&lt;&gt;""),IF(TRIM(K355)=TRIM(cfg_cancel),1,0),0)</f>
        <v>0</v>
      </c>
      <c r="AB355" s="96" t="str">
        <f>IF(AND(Z355=1,B355&lt;&gt;""),C355&amp;"|"&amp;D355&amp;"|"&amp;G355&amp;"|"&amp;TRIM(B355),"")</f>
        <v/>
      </c>
      <c r="AC355" s="96">
        <f>IF(AB355="",0,IF(SUMPRODUCT(--($AB$6:$AB$505=AB355))&gt;1,1,0))</f>
        <v>0</v>
      </c>
      <c r="AD355" s="96">
        <f>IF(Z355=0,0,IF(OR(AND(G355&lt;&gt;"",ISNA(MATCH(G355,'CAD_UNIDADES'!$C$6:$C$105,0))),AND(H355&lt;&gt;"",ISNA(MATCH(H355,cmp_transp,0))),AND(I355&lt;&gt;"",ISNA(MATCH(I355,cmp_dest,0))),AND(E355&lt;&gt;"",NOT(ISNUMBER(E355))),AND(F355&lt;&gt;"",NOT(ISNUMBER(F355))),AND(ISNUMBER(E355),ISNUMBER(F355),F355&lt;E355)),1,0))</f>
        <v>0</v>
      </c>
      <c r="AE355" s="96">
        <f>IF(Z355=0,0,IF(OR(B355="",C355="",E355="",G355="",H355="",I355="",N(W355)=0),1,0))</f>
        <v>0</v>
      </c>
      <c r="AF355" s="96">
        <f>IF(Z355=0,0,COUNTIFS('ITENS_MTR'!$S$6:$S$1005,A355,'ITENS_MTR'!$AI$6:$AI$1005,1))</f>
        <v>0</v>
      </c>
      <c r="AG355" s="96">
        <f>IF(Z355=0,0,COUNTIFS('ITENS_MTR'!$S$6:$S$1005,A355,'ITENS_MTR'!$AJ$6:$AJ$1005,1))</f>
        <v>0</v>
      </c>
      <c r="AH355" s="96">
        <f>IF(Z355=0,0,COUNTIFS('ITENS_MTR'!$S$6:$S$1005,A355,'ITENS_MTR'!$AM$6:$AM$1005,1))</f>
        <v>0</v>
      </c>
      <c r="AI355" s="96">
        <f>IF(Z355=0,0,COUNTIFS('ITENS_MTR'!$S$6:$S$1005,A355,'ITENS_MTR'!$AO$6:$AO$1005,1))</f>
        <v>0</v>
      </c>
      <c r="AJ355" s="96">
        <f>IF(Z355=0,0,COUNTIFS('ITENS_MTR'!$S$6:$S$1005,A355,'ITENS_MTR'!$AN$6:$AN$1005,1))</f>
        <v>0</v>
      </c>
      <c r="AK355" s="96">
        <f>IF(Z355=0,0,COUNTIFS('RECEBIMENTOS'!$B$6:$B$1005,A355,'RECEBIMENTOS'!$Y$6:$Y$1005,1))</f>
        <v>0</v>
      </c>
      <c r="AL355" s="96">
        <f>IF(Z355=0,0,COUNTIFS('VÍNCULOS_CDF'!$D$6:$D$1005,A355,'VÍNCULOS_CDF'!$Y$6:$Y$1005,1))</f>
        <v>0</v>
      </c>
      <c r="AM355" s="96">
        <f>IF(Z355=0,0,COUNTIFS('RECEBIMENTOS'!$B$6:$B$1005,A355,'RECEBIMENTOS'!$Q$6:$Q$1005,1))</f>
        <v>0</v>
      </c>
      <c r="AN355" s="96">
        <f>IF(AND(Z355=1,N(W355)&gt;0,AG355=N(W355)),1,0)</f>
        <v>0</v>
      </c>
      <c r="AO355" s="96">
        <f>IF(AND(Z355=1,N(W355)&gt;0,AI355=N(W355)),1,0)</f>
        <v>0</v>
      </c>
      <c r="AP355" s="97">
        <f>IF(Z355=0,0,_xlfn.MAXIFS('RECEBIMENTOS'!$E$6:$E$1005,'RECEBIMENTOS'!$B$6:$B$1005,A355))</f>
        <v>0</v>
      </c>
      <c r="AQ355" s="97" t="str">
        <f>IF(T355="","",IF(T355="RECEBIMENTO NÃO CONFIRMADO",IF(ISNUMBER(F355),F355,IF(ISNUMBER(E355),E355,"")),IF(OR(T355="CDF NÃO LOCALIZADO",T355="VÍNCULO INCOMPLETO",T355="CDF A CONFERIR"),IF(AP355&gt;0,AP355,IF(ISNUMBER(E355),E355,"")),IF(ISNUMBER(E355),E355,""))))</f>
        <v/>
      </c>
      <c r="AR355" s="96">
        <f>IF(NOT(ISNUMBER(U355)),0,IF(T355="RECEBIMENTO NÃO CONFIRMADO",IF(AND(ISNUMBER(cfg_rec),U355&gt;cfg_rec),1,0),IF(OR(T355="CDF NÃO LOCALIZADO",T355="VÍNCULO INCOMPLETO",T355="CDF A CONFERIR"),IF(AND(ISNUMBER(cfg_cdf),U355&gt;cfg_cdf),1,0),0)))</f>
        <v>0</v>
      </c>
      <c r="AS355" s="96" t="str">
        <f>IF(T355="","",IF(AR355=1,"Alta",IFERROR(INDEX(cfg_pp,MATCH(T355,cfg_pt,0))&amp;"","Média")))</f>
        <v/>
      </c>
      <c r="AT355" s="96" t="str">
        <f>IF(T355="","",IFERROR(INDEX(cfg_pv,MATCH(T355,cfg_pt,0))&amp;"",""))</f>
        <v/>
      </c>
      <c r="AU355" s="96" t="str">
        <f>IF(T355="","",IF(AS355="Alta",1,IF(AS355="Média",2,3))*1000000000+(999999-IF(ISNUMBER(U355),MIN(U355,999999),0))*1000+350)</f>
        <v/>
      </c>
      <c r="AV355" s="96">
        <f>IF(T355&lt;&gt;"",1,0)</f>
        <v>0</v>
      </c>
      <c r="AW355" s="96" t="str">
        <f>IF(Z355=0,"",IF(AA355=1,"Cancelamento informado; ","")&amp;IF(AE355=1,"Campos essenciais ou itens faltando; ","")&amp;IF(AC355=1,"Possível duplicidade do número; ","")&amp;IF(AD355=1,"Cadastro ou datas a revisar; ","")&amp;IF(AF355&gt;0,"Item de resíduo com dado a revisar; ","")&amp;IF(AH355&gt;0,"Diferença de quantidade a analisar; ","")&amp;IF(AK355&gt;0,"Recebimento com alerta; ","")&amp;IF(AL355&gt;0,"Vínculo de CDF com alerta; ","")&amp;IF(AND(AA355=0,AN355=0),"Recebimento não confirmado; ","")&amp;IF(AND(AA355=0,AN355=1,AO355=0),"CDF pendente ou a conferir; ",""))</f>
        <v/>
      </c>
      <c r="AX355" s="96">
        <f>IF(Z355=0,0,IF(AND(OR(f_ini="",AND(ISNUMBER(E355),E355&gt;=f_ini)),OR(f_fim="",AND(ISNUMBER(E355),E355&lt;=f_fim)),OR(f_un="",f_un="(Todas)",G355=f_un),OR(f_tr="",f_tr="(Todos)",H355=f_tr),OR(f_de="",f_de="(Todos)",I355=f_de),OR(f_sit="",f_sit="(Todas)",S355=f_sit)),1,0))</f>
        <v>0</v>
      </c>
      <c r="AY355" s="96">
        <f>IF(AX355=0,0,IF(OR(f_res="",f_res="(Todos)"),1,IF(COUNTIFS('ITENS_MTR'!$S$6:$S$1005,A355,'ITENS_MTR'!$C$6:$C$1005,f_res)&gt;0,1,0)))</f>
        <v>0</v>
      </c>
      <c r="AZ355" s="97" t="str">
        <f>IF(ISNUMBER(E355),DATE(YEAR(E355),MONTH(E355),1),"")</f>
        <v/>
      </c>
      <c r="BA355" s="96">
        <f>IF(Z355=0,0,IF(AND(OR(r_ini="",AND(ISNUMBER(E355),E355&gt;=r_ini)),OR(r_fim="",AND(ISNUMBER(E355),E355&lt;=r_fim)),OR(r_un="",r_un="(Todas)",G355=r_un),OR(r_de="",r_de="(Todos)",I355=r_de)),1,0))</f>
        <v>0</v>
      </c>
      <c r="BB355" s="96" t="str">
        <f>IF(BA355=1,COUNTIF($BA$6:BA355,1),"")</f>
        <v/>
      </c>
      <c r="BC355" s="96" t="str">
        <f>IF(AND(AU355&lt;&gt;"",OR(r_un="",r_un="(Todas)",G355=r_un),OR(r_de="",r_de="(Todos)",I355=r_de)),AU355,"")</f>
        <v/>
      </c>
      <c r="BD355" s="96" t="str">
        <f>IF(Z355=1,A355&amp;" | nº "&amp;IF(B355="","(sem número)",B355)&amp;" | "&amp;IF(G355="","(sem unidade)",G355),"")</f>
        <v/>
      </c>
      <c r="BE355" s="96" t="str">
        <f>IF(Z355=1,COUNTIF($Z$6:Z355,1),"")</f>
        <v/>
      </c>
      <c r="BF355" s="96" t="str">
        <f>IF(T355="","",IF(T355="RECEBIMENTO NÃO CONFIRMADO","Transp.: "&amp;H355&amp;" | Dest.: "&amp;I355,IF(OR(T355="CDF NÃO LOCALIZADO",T355="VÍNCULO INCOMPLETO",T355="CDF A CONFERIR"),"Dest.: "&amp;I355,"Gerador: "&amp;G355)))</f>
        <v/>
      </c>
    </row>
    <row r="356">
      <c r="A356" s="89" t="inlineStr">
        <is>
          <t>MTR-000351</t>
        </is>
      </c>
      <c r="B356" s="90" t="n"/>
      <c r="C356" s="91" t="n"/>
      <c r="D356" s="91" t="n"/>
      <c r="E356" s="92" t="n"/>
      <c r="F356" s="92" t="n"/>
      <c r="G356" s="91" t="n"/>
      <c r="H356" s="91" t="n"/>
      <c r="I356" s="91" t="n"/>
      <c r="J356" s="91" t="n"/>
      <c r="K356" s="91" t="n"/>
      <c r="L356" s="92" t="n"/>
      <c r="M356" s="91" t="n"/>
      <c r="N356" s="91" t="n"/>
      <c r="O356" s="91" t="n"/>
      <c r="P356" s="93" t="str">
        <f>IF(Z356=0,"",SUMIFS('ITENS_MTR'!$I$6:$I$1005,'ITENS_MTR'!$S$6:$S$1005,A356,'ITENS_MTR'!$Y$6:$Y$1005,1))</f>
        <v/>
      </c>
      <c r="Q356" s="93" t="str">
        <f>IF(Z356=0,"",SUMIFS('RECEBIMENTOS'!$H$6:$H$1005,'RECEBIMENTOS'!$B$6:$B$1005,A356,'RECEBIMENTOS'!$X$6:$X$1005,1))</f>
        <v/>
      </c>
      <c r="R356" s="93" t="str">
        <f>IF(Z356=0,"",SUMIFS('VÍNCULOS_CDF'!$H$6:$H$1005,'VÍNCULOS_CDF'!$D$6:$D$1005,A356,'VÍNCULOS_CDF'!$V$6:$V$1005,1))</f>
        <v/>
      </c>
      <c r="S356" s="94" t="str">
        <f>IF(Z356=0,"",IF(AA356=1,"Cancelado (informado)",IF(AE356=1,"Cadastro incompleto",IF(OR(AC356=1,AD356=1,AF356&gt;0,AH356&gt;0,AK356&gt;0,AL356&gt;0),"Informação a revisar",IF(AN356=0,"Aguardando recebimento",IF(N(R356)=0,"Aguardando CDF",IF(AJ356&lt;N(W356),"Vínculo de CDF parcial",IF(AO356=0,"CDF localizado, a conferir","Documentação conferida"))))))))</f>
        <v/>
      </c>
      <c r="T356" s="94" t="str">
        <f>IF(Z356=0,"",IF(S356="Cadastro incompleto","MTR INCOMPLETO",IF(S356="Informação a revisar",IF(AND(AH356&gt;0,AC356=0,AD356=0,AF356=0,AK356=0,AL356=0),"QUANTIDADE A REVISAR","IDENTIFICAÇÃO A REVISAR"),IF(S356="Aguardando recebimento","RECEBIMENTO NÃO CONFIRMADO",IF(S356="Aguardando CDF","CDF NÃO LOCALIZADO",IF(S356="Vínculo de CDF parcial","VÍNCULO INCOMPLETO",IF(S356="CDF localizado, a conferir","CDF A CONFERIR","")))))))</f>
        <v/>
      </c>
      <c r="U356" s="95" t="str">
        <f>IF(T356="","",IF(AQ356="","Não calculável",IF(AQ356&gt;TODAY(),"Data futura",TODAY()-AQ356)))</f>
        <v/>
      </c>
      <c r="V356" s="93" t="str">
        <f>IF(Z356=0,"",SUMIFS('RECEBIMENTOS'!$H$6:$H$1005,'RECEBIMENTOS'!$B$6:$B$1005,A356,'RECEBIMENTOS'!$Z$6:$Z$1005,1))</f>
        <v/>
      </c>
      <c r="W356" s="95" t="str">
        <f>IF(Z356=0,"",COUNTIFS('ITENS_MTR'!$S$6:$S$1005,A356,'ITENS_MTR'!$R$6:$R$1005,1))</f>
        <v/>
      </c>
      <c r="X356" s="94" t="str">
        <f>IF(AC356=1,"POSSÍVEL DUPLICIDADE","")</f>
        <v/>
      </c>
      <c r="Y356" s="94" t="str">
        <f>IF(Z356=0,"",IF(AW356="","Nenhuma",LEFT(AW356,LEN(AW356)-2)))</f>
        <v/>
      </c>
      <c r="Z356" s="96">
        <f>IF(COUNTA(B356:O356)&gt;0,1,0)</f>
        <v>0</v>
      </c>
      <c r="AA356" s="96">
        <f>IF(AND(Z356=1,K356&lt;&gt;""),IF(TRIM(K356)=TRIM(cfg_cancel),1,0),0)</f>
        <v>0</v>
      </c>
      <c r="AB356" s="96" t="str">
        <f>IF(AND(Z356=1,B356&lt;&gt;""),C356&amp;"|"&amp;D356&amp;"|"&amp;G356&amp;"|"&amp;TRIM(B356),"")</f>
        <v/>
      </c>
      <c r="AC356" s="96">
        <f>IF(AB356="",0,IF(SUMPRODUCT(--($AB$6:$AB$505=AB356))&gt;1,1,0))</f>
        <v>0</v>
      </c>
      <c r="AD356" s="96">
        <f>IF(Z356=0,0,IF(OR(AND(G356&lt;&gt;"",ISNA(MATCH(G356,'CAD_UNIDADES'!$C$6:$C$105,0))),AND(H356&lt;&gt;"",ISNA(MATCH(H356,cmp_transp,0))),AND(I356&lt;&gt;"",ISNA(MATCH(I356,cmp_dest,0))),AND(E356&lt;&gt;"",NOT(ISNUMBER(E356))),AND(F356&lt;&gt;"",NOT(ISNUMBER(F356))),AND(ISNUMBER(E356),ISNUMBER(F356),F356&lt;E356)),1,0))</f>
        <v>0</v>
      </c>
      <c r="AE356" s="96">
        <f>IF(Z356=0,0,IF(OR(B356="",C356="",E356="",G356="",H356="",I356="",N(W356)=0),1,0))</f>
        <v>0</v>
      </c>
      <c r="AF356" s="96">
        <f>IF(Z356=0,0,COUNTIFS('ITENS_MTR'!$S$6:$S$1005,A356,'ITENS_MTR'!$AI$6:$AI$1005,1))</f>
        <v>0</v>
      </c>
      <c r="AG356" s="96">
        <f>IF(Z356=0,0,COUNTIFS('ITENS_MTR'!$S$6:$S$1005,A356,'ITENS_MTR'!$AJ$6:$AJ$1005,1))</f>
        <v>0</v>
      </c>
      <c r="AH356" s="96">
        <f>IF(Z356=0,0,COUNTIFS('ITENS_MTR'!$S$6:$S$1005,A356,'ITENS_MTR'!$AM$6:$AM$1005,1))</f>
        <v>0</v>
      </c>
      <c r="AI356" s="96">
        <f>IF(Z356=0,0,COUNTIFS('ITENS_MTR'!$S$6:$S$1005,A356,'ITENS_MTR'!$AO$6:$AO$1005,1))</f>
        <v>0</v>
      </c>
      <c r="AJ356" s="96">
        <f>IF(Z356=0,0,COUNTIFS('ITENS_MTR'!$S$6:$S$1005,A356,'ITENS_MTR'!$AN$6:$AN$1005,1))</f>
        <v>0</v>
      </c>
      <c r="AK356" s="96">
        <f>IF(Z356=0,0,COUNTIFS('RECEBIMENTOS'!$B$6:$B$1005,A356,'RECEBIMENTOS'!$Y$6:$Y$1005,1))</f>
        <v>0</v>
      </c>
      <c r="AL356" s="96">
        <f>IF(Z356=0,0,COUNTIFS('VÍNCULOS_CDF'!$D$6:$D$1005,A356,'VÍNCULOS_CDF'!$Y$6:$Y$1005,1))</f>
        <v>0</v>
      </c>
      <c r="AM356" s="96">
        <f>IF(Z356=0,0,COUNTIFS('RECEBIMENTOS'!$B$6:$B$1005,A356,'RECEBIMENTOS'!$Q$6:$Q$1005,1))</f>
        <v>0</v>
      </c>
      <c r="AN356" s="96">
        <f>IF(AND(Z356=1,N(W356)&gt;0,AG356=N(W356)),1,0)</f>
        <v>0</v>
      </c>
      <c r="AO356" s="96">
        <f>IF(AND(Z356=1,N(W356)&gt;0,AI356=N(W356)),1,0)</f>
        <v>0</v>
      </c>
      <c r="AP356" s="97">
        <f>IF(Z356=0,0,_xlfn.MAXIFS('RECEBIMENTOS'!$E$6:$E$1005,'RECEBIMENTOS'!$B$6:$B$1005,A356))</f>
        <v>0</v>
      </c>
      <c r="AQ356" s="97" t="str">
        <f>IF(T356="","",IF(T356="RECEBIMENTO NÃO CONFIRMADO",IF(ISNUMBER(F356),F356,IF(ISNUMBER(E356),E356,"")),IF(OR(T356="CDF NÃO LOCALIZADO",T356="VÍNCULO INCOMPLETO",T356="CDF A CONFERIR"),IF(AP356&gt;0,AP356,IF(ISNUMBER(E356),E356,"")),IF(ISNUMBER(E356),E356,""))))</f>
        <v/>
      </c>
      <c r="AR356" s="96">
        <f>IF(NOT(ISNUMBER(U356)),0,IF(T356="RECEBIMENTO NÃO CONFIRMADO",IF(AND(ISNUMBER(cfg_rec),U356&gt;cfg_rec),1,0),IF(OR(T356="CDF NÃO LOCALIZADO",T356="VÍNCULO INCOMPLETO",T356="CDF A CONFERIR"),IF(AND(ISNUMBER(cfg_cdf),U356&gt;cfg_cdf),1,0),0)))</f>
        <v>0</v>
      </c>
      <c r="AS356" s="96" t="str">
        <f>IF(T356="","",IF(AR356=1,"Alta",IFERROR(INDEX(cfg_pp,MATCH(T356,cfg_pt,0))&amp;"","Média")))</f>
        <v/>
      </c>
      <c r="AT356" s="96" t="str">
        <f>IF(T356="","",IFERROR(INDEX(cfg_pv,MATCH(T356,cfg_pt,0))&amp;"",""))</f>
        <v/>
      </c>
      <c r="AU356" s="96" t="str">
        <f>IF(T356="","",IF(AS356="Alta",1,IF(AS356="Média",2,3))*1000000000+(999999-IF(ISNUMBER(U356),MIN(U356,999999),0))*1000+351)</f>
        <v/>
      </c>
      <c r="AV356" s="96">
        <f>IF(T356&lt;&gt;"",1,0)</f>
        <v>0</v>
      </c>
      <c r="AW356" s="96" t="str">
        <f>IF(Z356=0,"",IF(AA356=1,"Cancelamento informado; ","")&amp;IF(AE356=1,"Campos essenciais ou itens faltando; ","")&amp;IF(AC356=1,"Possível duplicidade do número; ","")&amp;IF(AD356=1,"Cadastro ou datas a revisar; ","")&amp;IF(AF356&gt;0,"Item de resíduo com dado a revisar; ","")&amp;IF(AH356&gt;0,"Diferença de quantidade a analisar; ","")&amp;IF(AK356&gt;0,"Recebimento com alerta; ","")&amp;IF(AL356&gt;0,"Vínculo de CDF com alerta; ","")&amp;IF(AND(AA356=0,AN356=0),"Recebimento não confirmado; ","")&amp;IF(AND(AA356=0,AN356=1,AO356=0),"CDF pendente ou a conferir; ",""))</f>
        <v/>
      </c>
      <c r="AX356" s="96">
        <f>IF(Z356=0,0,IF(AND(OR(f_ini="",AND(ISNUMBER(E356),E356&gt;=f_ini)),OR(f_fim="",AND(ISNUMBER(E356),E356&lt;=f_fim)),OR(f_un="",f_un="(Todas)",G356=f_un),OR(f_tr="",f_tr="(Todos)",H356=f_tr),OR(f_de="",f_de="(Todos)",I356=f_de),OR(f_sit="",f_sit="(Todas)",S356=f_sit)),1,0))</f>
        <v>0</v>
      </c>
      <c r="AY356" s="96">
        <f>IF(AX356=0,0,IF(OR(f_res="",f_res="(Todos)"),1,IF(COUNTIFS('ITENS_MTR'!$S$6:$S$1005,A356,'ITENS_MTR'!$C$6:$C$1005,f_res)&gt;0,1,0)))</f>
        <v>0</v>
      </c>
      <c r="AZ356" s="97" t="str">
        <f>IF(ISNUMBER(E356),DATE(YEAR(E356),MONTH(E356),1),"")</f>
        <v/>
      </c>
      <c r="BA356" s="96">
        <f>IF(Z356=0,0,IF(AND(OR(r_ini="",AND(ISNUMBER(E356),E356&gt;=r_ini)),OR(r_fim="",AND(ISNUMBER(E356),E356&lt;=r_fim)),OR(r_un="",r_un="(Todas)",G356=r_un),OR(r_de="",r_de="(Todos)",I356=r_de)),1,0))</f>
        <v>0</v>
      </c>
      <c r="BB356" s="96" t="str">
        <f>IF(BA356=1,COUNTIF($BA$6:BA356,1),"")</f>
        <v/>
      </c>
      <c r="BC356" s="96" t="str">
        <f>IF(AND(AU356&lt;&gt;"",OR(r_un="",r_un="(Todas)",G356=r_un),OR(r_de="",r_de="(Todos)",I356=r_de)),AU356,"")</f>
        <v/>
      </c>
      <c r="BD356" s="96" t="str">
        <f>IF(Z356=1,A356&amp;" | nº "&amp;IF(B356="","(sem número)",B356)&amp;" | "&amp;IF(G356="","(sem unidade)",G356),"")</f>
        <v/>
      </c>
      <c r="BE356" s="96" t="str">
        <f>IF(Z356=1,COUNTIF($Z$6:Z356,1),"")</f>
        <v/>
      </c>
      <c r="BF356" s="96" t="str">
        <f>IF(T356="","",IF(T356="RECEBIMENTO NÃO CONFIRMADO","Transp.: "&amp;H356&amp;" | Dest.: "&amp;I356,IF(OR(T356="CDF NÃO LOCALIZADO",T356="VÍNCULO INCOMPLETO",T356="CDF A CONFERIR"),"Dest.: "&amp;I356,"Gerador: "&amp;G356)))</f>
        <v/>
      </c>
    </row>
    <row r="357">
      <c r="A357" s="89" t="inlineStr">
        <is>
          <t>MTR-000352</t>
        </is>
      </c>
      <c r="B357" s="90" t="n"/>
      <c r="C357" s="91" t="n"/>
      <c r="D357" s="91" t="n"/>
      <c r="E357" s="92" t="n"/>
      <c r="F357" s="92" t="n"/>
      <c r="G357" s="91" t="n"/>
      <c r="H357" s="91" t="n"/>
      <c r="I357" s="91" t="n"/>
      <c r="J357" s="91" t="n"/>
      <c r="K357" s="91" t="n"/>
      <c r="L357" s="92" t="n"/>
      <c r="M357" s="91" t="n"/>
      <c r="N357" s="91" t="n"/>
      <c r="O357" s="91" t="n"/>
      <c r="P357" s="93" t="str">
        <f>IF(Z357=0,"",SUMIFS('ITENS_MTR'!$I$6:$I$1005,'ITENS_MTR'!$S$6:$S$1005,A357,'ITENS_MTR'!$Y$6:$Y$1005,1))</f>
        <v/>
      </c>
      <c r="Q357" s="93" t="str">
        <f>IF(Z357=0,"",SUMIFS('RECEBIMENTOS'!$H$6:$H$1005,'RECEBIMENTOS'!$B$6:$B$1005,A357,'RECEBIMENTOS'!$X$6:$X$1005,1))</f>
        <v/>
      </c>
      <c r="R357" s="93" t="str">
        <f>IF(Z357=0,"",SUMIFS('VÍNCULOS_CDF'!$H$6:$H$1005,'VÍNCULOS_CDF'!$D$6:$D$1005,A357,'VÍNCULOS_CDF'!$V$6:$V$1005,1))</f>
        <v/>
      </c>
      <c r="S357" s="94" t="str">
        <f>IF(Z357=0,"",IF(AA357=1,"Cancelado (informado)",IF(AE357=1,"Cadastro incompleto",IF(OR(AC357=1,AD357=1,AF357&gt;0,AH357&gt;0,AK357&gt;0,AL357&gt;0),"Informação a revisar",IF(AN357=0,"Aguardando recebimento",IF(N(R357)=0,"Aguardando CDF",IF(AJ357&lt;N(W357),"Vínculo de CDF parcial",IF(AO357=0,"CDF localizado, a conferir","Documentação conferida"))))))))</f>
        <v/>
      </c>
      <c r="T357" s="94" t="str">
        <f>IF(Z357=0,"",IF(S357="Cadastro incompleto","MTR INCOMPLETO",IF(S357="Informação a revisar",IF(AND(AH357&gt;0,AC357=0,AD357=0,AF357=0,AK357=0,AL357=0),"QUANTIDADE A REVISAR","IDENTIFICAÇÃO A REVISAR"),IF(S357="Aguardando recebimento","RECEBIMENTO NÃO CONFIRMADO",IF(S357="Aguardando CDF","CDF NÃO LOCALIZADO",IF(S357="Vínculo de CDF parcial","VÍNCULO INCOMPLETO",IF(S357="CDF localizado, a conferir","CDF A CONFERIR","")))))))</f>
        <v/>
      </c>
      <c r="U357" s="95" t="str">
        <f>IF(T357="","",IF(AQ357="","Não calculável",IF(AQ357&gt;TODAY(),"Data futura",TODAY()-AQ357)))</f>
        <v/>
      </c>
      <c r="V357" s="93" t="str">
        <f>IF(Z357=0,"",SUMIFS('RECEBIMENTOS'!$H$6:$H$1005,'RECEBIMENTOS'!$B$6:$B$1005,A357,'RECEBIMENTOS'!$Z$6:$Z$1005,1))</f>
        <v/>
      </c>
      <c r="W357" s="95" t="str">
        <f>IF(Z357=0,"",COUNTIFS('ITENS_MTR'!$S$6:$S$1005,A357,'ITENS_MTR'!$R$6:$R$1005,1))</f>
        <v/>
      </c>
      <c r="X357" s="94" t="str">
        <f>IF(AC357=1,"POSSÍVEL DUPLICIDADE","")</f>
        <v/>
      </c>
      <c r="Y357" s="94" t="str">
        <f>IF(Z357=0,"",IF(AW357="","Nenhuma",LEFT(AW357,LEN(AW357)-2)))</f>
        <v/>
      </c>
      <c r="Z357" s="96">
        <f>IF(COUNTA(B357:O357)&gt;0,1,0)</f>
        <v>0</v>
      </c>
      <c r="AA357" s="96">
        <f>IF(AND(Z357=1,K357&lt;&gt;""),IF(TRIM(K357)=TRIM(cfg_cancel),1,0),0)</f>
        <v>0</v>
      </c>
      <c r="AB357" s="96" t="str">
        <f>IF(AND(Z357=1,B357&lt;&gt;""),C357&amp;"|"&amp;D357&amp;"|"&amp;G357&amp;"|"&amp;TRIM(B357),"")</f>
        <v/>
      </c>
      <c r="AC357" s="96">
        <f>IF(AB357="",0,IF(SUMPRODUCT(--($AB$6:$AB$505=AB357))&gt;1,1,0))</f>
        <v>0</v>
      </c>
      <c r="AD357" s="96">
        <f>IF(Z357=0,0,IF(OR(AND(G357&lt;&gt;"",ISNA(MATCH(G357,'CAD_UNIDADES'!$C$6:$C$105,0))),AND(H357&lt;&gt;"",ISNA(MATCH(H357,cmp_transp,0))),AND(I357&lt;&gt;"",ISNA(MATCH(I357,cmp_dest,0))),AND(E357&lt;&gt;"",NOT(ISNUMBER(E357))),AND(F357&lt;&gt;"",NOT(ISNUMBER(F357))),AND(ISNUMBER(E357),ISNUMBER(F357),F357&lt;E357)),1,0))</f>
        <v>0</v>
      </c>
      <c r="AE357" s="96">
        <f>IF(Z357=0,0,IF(OR(B357="",C357="",E357="",G357="",H357="",I357="",N(W357)=0),1,0))</f>
        <v>0</v>
      </c>
      <c r="AF357" s="96">
        <f>IF(Z357=0,0,COUNTIFS('ITENS_MTR'!$S$6:$S$1005,A357,'ITENS_MTR'!$AI$6:$AI$1005,1))</f>
        <v>0</v>
      </c>
      <c r="AG357" s="96">
        <f>IF(Z357=0,0,COUNTIFS('ITENS_MTR'!$S$6:$S$1005,A357,'ITENS_MTR'!$AJ$6:$AJ$1005,1))</f>
        <v>0</v>
      </c>
      <c r="AH357" s="96">
        <f>IF(Z357=0,0,COUNTIFS('ITENS_MTR'!$S$6:$S$1005,A357,'ITENS_MTR'!$AM$6:$AM$1005,1))</f>
        <v>0</v>
      </c>
      <c r="AI357" s="96">
        <f>IF(Z357=0,0,COUNTIFS('ITENS_MTR'!$S$6:$S$1005,A357,'ITENS_MTR'!$AO$6:$AO$1005,1))</f>
        <v>0</v>
      </c>
      <c r="AJ357" s="96">
        <f>IF(Z357=0,0,COUNTIFS('ITENS_MTR'!$S$6:$S$1005,A357,'ITENS_MTR'!$AN$6:$AN$1005,1))</f>
        <v>0</v>
      </c>
      <c r="AK357" s="96">
        <f>IF(Z357=0,0,COUNTIFS('RECEBIMENTOS'!$B$6:$B$1005,A357,'RECEBIMENTOS'!$Y$6:$Y$1005,1))</f>
        <v>0</v>
      </c>
      <c r="AL357" s="96">
        <f>IF(Z357=0,0,COUNTIFS('VÍNCULOS_CDF'!$D$6:$D$1005,A357,'VÍNCULOS_CDF'!$Y$6:$Y$1005,1))</f>
        <v>0</v>
      </c>
      <c r="AM357" s="96">
        <f>IF(Z357=0,0,COUNTIFS('RECEBIMENTOS'!$B$6:$B$1005,A357,'RECEBIMENTOS'!$Q$6:$Q$1005,1))</f>
        <v>0</v>
      </c>
      <c r="AN357" s="96">
        <f>IF(AND(Z357=1,N(W357)&gt;0,AG357=N(W357)),1,0)</f>
        <v>0</v>
      </c>
      <c r="AO357" s="96">
        <f>IF(AND(Z357=1,N(W357)&gt;0,AI357=N(W357)),1,0)</f>
        <v>0</v>
      </c>
      <c r="AP357" s="97">
        <f>IF(Z357=0,0,_xlfn.MAXIFS('RECEBIMENTOS'!$E$6:$E$1005,'RECEBIMENTOS'!$B$6:$B$1005,A357))</f>
        <v>0</v>
      </c>
      <c r="AQ357" s="97" t="str">
        <f>IF(T357="","",IF(T357="RECEBIMENTO NÃO CONFIRMADO",IF(ISNUMBER(F357),F357,IF(ISNUMBER(E357),E357,"")),IF(OR(T357="CDF NÃO LOCALIZADO",T357="VÍNCULO INCOMPLETO",T357="CDF A CONFERIR"),IF(AP357&gt;0,AP357,IF(ISNUMBER(E357),E357,"")),IF(ISNUMBER(E357),E357,""))))</f>
        <v/>
      </c>
      <c r="AR357" s="96">
        <f>IF(NOT(ISNUMBER(U357)),0,IF(T357="RECEBIMENTO NÃO CONFIRMADO",IF(AND(ISNUMBER(cfg_rec),U357&gt;cfg_rec),1,0),IF(OR(T357="CDF NÃO LOCALIZADO",T357="VÍNCULO INCOMPLETO",T357="CDF A CONFERIR"),IF(AND(ISNUMBER(cfg_cdf),U357&gt;cfg_cdf),1,0),0)))</f>
        <v>0</v>
      </c>
      <c r="AS357" s="96" t="str">
        <f>IF(T357="","",IF(AR357=1,"Alta",IFERROR(INDEX(cfg_pp,MATCH(T357,cfg_pt,0))&amp;"","Média")))</f>
        <v/>
      </c>
      <c r="AT357" s="96" t="str">
        <f>IF(T357="","",IFERROR(INDEX(cfg_pv,MATCH(T357,cfg_pt,0))&amp;"",""))</f>
        <v/>
      </c>
      <c r="AU357" s="96" t="str">
        <f>IF(T357="","",IF(AS357="Alta",1,IF(AS357="Média",2,3))*1000000000+(999999-IF(ISNUMBER(U357),MIN(U357,999999),0))*1000+352)</f>
        <v/>
      </c>
      <c r="AV357" s="96">
        <f>IF(T357&lt;&gt;"",1,0)</f>
        <v>0</v>
      </c>
      <c r="AW357" s="96" t="str">
        <f>IF(Z357=0,"",IF(AA357=1,"Cancelamento informado; ","")&amp;IF(AE357=1,"Campos essenciais ou itens faltando; ","")&amp;IF(AC357=1,"Possível duplicidade do número; ","")&amp;IF(AD357=1,"Cadastro ou datas a revisar; ","")&amp;IF(AF357&gt;0,"Item de resíduo com dado a revisar; ","")&amp;IF(AH357&gt;0,"Diferença de quantidade a analisar; ","")&amp;IF(AK357&gt;0,"Recebimento com alerta; ","")&amp;IF(AL357&gt;0,"Vínculo de CDF com alerta; ","")&amp;IF(AND(AA357=0,AN357=0),"Recebimento não confirmado; ","")&amp;IF(AND(AA357=0,AN357=1,AO357=0),"CDF pendente ou a conferir; ",""))</f>
        <v/>
      </c>
      <c r="AX357" s="96">
        <f>IF(Z357=0,0,IF(AND(OR(f_ini="",AND(ISNUMBER(E357),E357&gt;=f_ini)),OR(f_fim="",AND(ISNUMBER(E357),E357&lt;=f_fim)),OR(f_un="",f_un="(Todas)",G357=f_un),OR(f_tr="",f_tr="(Todos)",H357=f_tr),OR(f_de="",f_de="(Todos)",I357=f_de),OR(f_sit="",f_sit="(Todas)",S357=f_sit)),1,0))</f>
        <v>0</v>
      </c>
      <c r="AY357" s="96">
        <f>IF(AX357=0,0,IF(OR(f_res="",f_res="(Todos)"),1,IF(COUNTIFS('ITENS_MTR'!$S$6:$S$1005,A357,'ITENS_MTR'!$C$6:$C$1005,f_res)&gt;0,1,0)))</f>
        <v>0</v>
      </c>
      <c r="AZ357" s="97" t="str">
        <f>IF(ISNUMBER(E357),DATE(YEAR(E357),MONTH(E357),1),"")</f>
        <v/>
      </c>
      <c r="BA357" s="96">
        <f>IF(Z357=0,0,IF(AND(OR(r_ini="",AND(ISNUMBER(E357),E357&gt;=r_ini)),OR(r_fim="",AND(ISNUMBER(E357),E357&lt;=r_fim)),OR(r_un="",r_un="(Todas)",G357=r_un),OR(r_de="",r_de="(Todos)",I357=r_de)),1,0))</f>
        <v>0</v>
      </c>
      <c r="BB357" s="96" t="str">
        <f>IF(BA357=1,COUNTIF($BA$6:BA357,1),"")</f>
        <v/>
      </c>
      <c r="BC357" s="96" t="str">
        <f>IF(AND(AU357&lt;&gt;"",OR(r_un="",r_un="(Todas)",G357=r_un),OR(r_de="",r_de="(Todos)",I357=r_de)),AU357,"")</f>
        <v/>
      </c>
      <c r="BD357" s="96" t="str">
        <f>IF(Z357=1,A357&amp;" | nº "&amp;IF(B357="","(sem número)",B357)&amp;" | "&amp;IF(G357="","(sem unidade)",G357),"")</f>
        <v/>
      </c>
      <c r="BE357" s="96" t="str">
        <f>IF(Z357=1,COUNTIF($Z$6:Z357,1),"")</f>
        <v/>
      </c>
      <c r="BF357" s="96" t="str">
        <f>IF(T357="","",IF(T357="RECEBIMENTO NÃO CONFIRMADO","Transp.: "&amp;H357&amp;" | Dest.: "&amp;I357,IF(OR(T357="CDF NÃO LOCALIZADO",T357="VÍNCULO INCOMPLETO",T357="CDF A CONFERIR"),"Dest.: "&amp;I357,"Gerador: "&amp;G357)))</f>
        <v/>
      </c>
    </row>
    <row r="358">
      <c r="A358" s="89" t="inlineStr">
        <is>
          <t>MTR-000353</t>
        </is>
      </c>
      <c r="B358" s="90" t="n"/>
      <c r="C358" s="91" t="n"/>
      <c r="D358" s="91" t="n"/>
      <c r="E358" s="92" t="n"/>
      <c r="F358" s="92" t="n"/>
      <c r="G358" s="91" t="n"/>
      <c r="H358" s="91" t="n"/>
      <c r="I358" s="91" t="n"/>
      <c r="J358" s="91" t="n"/>
      <c r="K358" s="91" t="n"/>
      <c r="L358" s="92" t="n"/>
      <c r="M358" s="91" t="n"/>
      <c r="N358" s="91" t="n"/>
      <c r="O358" s="91" t="n"/>
      <c r="P358" s="93" t="str">
        <f>IF(Z358=0,"",SUMIFS('ITENS_MTR'!$I$6:$I$1005,'ITENS_MTR'!$S$6:$S$1005,A358,'ITENS_MTR'!$Y$6:$Y$1005,1))</f>
        <v/>
      </c>
      <c r="Q358" s="93" t="str">
        <f>IF(Z358=0,"",SUMIFS('RECEBIMENTOS'!$H$6:$H$1005,'RECEBIMENTOS'!$B$6:$B$1005,A358,'RECEBIMENTOS'!$X$6:$X$1005,1))</f>
        <v/>
      </c>
      <c r="R358" s="93" t="str">
        <f>IF(Z358=0,"",SUMIFS('VÍNCULOS_CDF'!$H$6:$H$1005,'VÍNCULOS_CDF'!$D$6:$D$1005,A358,'VÍNCULOS_CDF'!$V$6:$V$1005,1))</f>
        <v/>
      </c>
      <c r="S358" s="94" t="str">
        <f>IF(Z358=0,"",IF(AA358=1,"Cancelado (informado)",IF(AE358=1,"Cadastro incompleto",IF(OR(AC358=1,AD358=1,AF358&gt;0,AH358&gt;0,AK358&gt;0,AL358&gt;0),"Informação a revisar",IF(AN358=0,"Aguardando recebimento",IF(N(R358)=0,"Aguardando CDF",IF(AJ358&lt;N(W358),"Vínculo de CDF parcial",IF(AO358=0,"CDF localizado, a conferir","Documentação conferida"))))))))</f>
        <v/>
      </c>
      <c r="T358" s="94" t="str">
        <f>IF(Z358=0,"",IF(S358="Cadastro incompleto","MTR INCOMPLETO",IF(S358="Informação a revisar",IF(AND(AH358&gt;0,AC358=0,AD358=0,AF358=0,AK358=0,AL358=0),"QUANTIDADE A REVISAR","IDENTIFICAÇÃO A REVISAR"),IF(S358="Aguardando recebimento","RECEBIMENTO NÃO CONFIRMADO",IF(S358="Aguardando CDF","CDF NÃO LOCALIZADO",IF(S358="Vínculo de CDF parcial","VÍNCULO INCOMPLETO",IF(S358="CDF localizado, a conferir","CDF A CONFERIR","")))))))</f>
        <v/>
      </c>
      <c r="U358" s="95" t="str">
        <f>IF(T358="","",IF(AQ358="","Não calculável",IF(AQ358&gt;TODAY(),"Data futura",TODAY()-AQ358)))</f>
        <v/>
      </c>
      <c r="V358" s="93" t="str">
        <f>IF(Z358=0,"",SUMIFS('RECEBIMENTOS'!$H$6:$H$1005,'RECEBIMENTOS'!$B$6:$B$1005,A358,'RECEBIMENTOS'!$Z$6:$Z$1005,1))</f>
        <v/>
      </c>
      <c r="W358" s="95" t="str">
        <f>IF(Z358=0,"",COUNTIFS('ITENS_MTR'!$S$6:$S$1005,A358,'ITENS_MTR'!$R$6:$R$1005,1))</f>
        <v/>
      </c>
      <c r="X358" s="94" t="str">
        <f>IF(AC358=1,"POSSÍVEL DUPLICIDADE","")</f>
        <v/>
      </c>
      <c r="Y358" s="94" t="str">
        <f>IF(Z358=0,"",IF(AW358="","Nenhuma",LEFT(AW358,LEN(AW358)-2)))</f>
        <v/>
      </c>
      <c r="Z358" s="96">
        <f>IF(COUNTA(B358:O358)&gt;0,1,0)</f>
        <v>0</v>
      </c>
      <c r="AA358" s="96">
        <f>IF(AND(Z358=1,K358&lt;&gt;""),IF(TRIM(K358)=TRIM(cfg_cancel),1,0),0)</f>
        <v>0</v>
      </c>
      <c r="AB358" s="96" t="str">
        <f>IF(AND(Z358=1,B358&lt;&gt;""),C358&amp;"|"&amp;D358&amp;"|"&amp;G358&amp;"|"&amp;TRIM(B358),"")</f>
        <v/>
      </c>
      <c r="AC358" s="96">
        <f>IF(AB358="",0,IF(SUMPRODUCT(--($AB$6:$AB$505=AB358))&gt;1,1,0))</f>
        <v>0</v>
      </c>
      <c r="AD358" s="96">
        <f>IF(Z358=0,0,IF(OR(AND(G358&lt;&gt;"",ISNA(MATCH(G358,'CAD_UNIDADES'!$C$6:$C$105,0))),AND(H358&lt;&gt;"",ISNA(MATCH(H358,cmp_transp,0))),AND(I358&lt;&gt;"",ISNA(MATCH(I358,cmp_dest,0))),AND(E358&lt;&gt;"",NOT(ISNUMBER(E358))),AND(F358&lt;&gt;"",NOT(ISNUMBER(F358))),AND(ISNUMBER(E358),ISNUMBER(F358),F358&lt;E358)),1,0))</f>
        <v>0</v>
      </c>
      <c r="AE358" s="96">
        <f>IF(Z358=0,0,IF(OR(B358="",C358="",E358="",G358="",H358="",I358="",N(W358)=0),1,0))</f>
        <v>0</v>
      </c>
      <c r="AF358" s="96">
        <f>IF(Z358=0,0,COUNTIFS('ITENS_MTR'!$S$6:$S$1005,A358,'ITENS_MTR'!$AI$6:$AI$1005,1))</f>
        <v>0</v>
      </c>
      <c r="AG358" s="96">
        <f>IF(Z358=0,0,COUNTIFS('ITENS_MTR'!$S$6:$S$1005,A358,'ITENS_MTR'!$AJ$6:$AJ$1005,1))</f>
        <v>0</v>
      </c>
      <c r="AH358" s="96">
        <f>IF(Z358=0,0,COUNTIFS('ITENS_MTR'!$S$6:$S$1005,A358,'ITENS_MTR'!$AM$6:$AM$1005,1))</f>
        <v>0</v>
      </c>
      <c r="AI358" s="96">
        <f>IF(Z358=0,0,COUNTIFS('ITENS_MTR'!$S$6:$S$1005,A358,'ITENS_MTR'!$AO$6:$AO$1005,1))</f>
        <v>0</v>
      </c>
      <c r="AJ358" s="96">
        <f>IF(Z358=0,0,COUNTIFS('ITENS_MTR'!$S$6:$S$1005,A358,'ITENS_MTR'!$AN$6:$AN$1005,1))</f>
        <v>0</v>
      </c>
      <c r="AK358" s="96">
        <f>IF(Z358=0,0,COUNTIFS('RECEBIMENTOS'!$B$6:$B$1005,A358,'RECEBIMENTOS'!$Y$6:$Y$1005,1))</f>
        <v>0</v>
      </c>
      <c r="AL358" s="96">
        <f>IF(Z358=0,0,COUNTIFS('VÍNCULOS_CDF'!$D$6:$D$1005,A358,'VÍNCULOS_CDF'!$Y$6:$Y$1005,1))</f>
        <v>0</v>
      </c>
      <c r="AM358" s="96">
        <f>IF(Z358=0,0,COUNTIFS('RECEBIMENTOS'!$B$6:$B$1005,A358,'RECEBIMENTOS'!$Q$6:$Q$1005,1))</f>
        <v>0</v>
      </c>
      <c r="AN358" s="96">
        <f>IF(AND(Z358=1,N(W358)&gt;0,AG358=N(W358)),1,0)</f>
        <v>0</v>
      </c>
      <c r="AO358" s="96">
        <f>IF(AND(Z358=1,N(W358)&gt;0,AI358=N(W358)),1,0)</f>
        <v>0</v>
      </c>
      <c r="AP358" s="97">
        <f>IF(Z358=0,0,_xlfn.MAXIFS('RECEBIMENTOS'!$E$6:$E$1005,'RECEBIMENTOS'!$B$6:$B$1005,A358))</f>
        <v>0</v>
      </c>
      <c r="AQ358" s="97" t="str">
        <f>IF(T358="","",IF(T358="RECEBIMENTO NÃO CONFIRMADO",IF(ISNUMBER(F358),F358,IF(ISNUMBER(E358),E358,"")),IF(OR(T358="CDF NÃO LOCALIZADO",T358="VÍNCULO INCOMPLETO",T358="CDF A CONFERIR"),IF(AP358&gt;0,AP358,IF(ISNUMBER(E358),E358,"")),IF(ISNUMBER(E358),E358,""))))</f>
        <v/>
      </c>
      <c r="AR358" s="96">
        <f>IF(NOT(ISNUMBER(U358)),0,IF(T358="RECEBIMENTO NÃO CONFIRMADO",IF(AND(ISNUMBER(cfg_rec),U358&gt;cfg_rec),1,0),IF(OR(T358="CDF NÃO LOCALIZADO",T358="VÍNCULO INCOMPLETO",T358="CDF A CONFERIR"),IF(AND(ISNUMBER(cfg_cdf),U358&gt;cfg_cdf),1,0),0)))</f>
        <v>0</v>
      </c>
      <c r="AS358" s="96" t="str">
        <f>IF(T358="","",IF(AR358=1,"Alta",IFERROR(INDEX(cfg_pp,MATCH(T358,cfg_pt,0))&amp;"","Média")))</f>
        <v/>
      </c>
      <c r="AT358" s="96" t="str">
        <f>IF(T358="","",IFERROR(INDEX(cfg_pv,MATCH(T358,cfg_pt,0))&amp;"",""))</f>
        <v/>
      </c>
      <c r="AU358" s="96" t="str">
        <f>IF(T358="","",IF(AS358="Alta",1,IF(AS358="Média",2,3))*1000000000+(999999-IF(ISNUMBER(U358),MIN(U358,999999),0))*1000+353)</f>
        <v/>
      </c>
      <c r="AV358" s="96">
        <f>IF(T358&lt;&gt;"",1,0)</f>
        <v>0</v>
      </c>
      <c r="AW358" s="96" t="str">
        <f>IF(Z358=0,"",IF(AA358=1,"Cancelamento informado; ","")&amp;IF(AE358=1,"Campos essenciais ou itens faltando; ","")&amp;IF(AC358=1,"Possível duplicidade do número; ","")&amp;IF(AD358=1,"Cadastro ou datas a revisar; ","")&amp;IF(AF358&gt;0,"Item de resíduo com dado a revisar; ","")&amp;IF(AH358&gt;0,"Diferença de quantidade a analisar; ","")&amp;IF(AK358&gt;0,"Recebimento com alerta; ","")&amp;IF(AL358&gt;0,"Vínculo de CDF com alerta; ","")&amp;IF(AND(AA358=0,AN358=0),"Recebimento não confirmado; ","")&amp;IF(AND(AA358=0,AN358=1,AO358=0),"CDF pendente ou a conferir; ",""))</f>
        <v/>
      </c>
      <c r="AX358" s="96">
        <f>IF(Z358=0,0,IF(AND(OR(f_ini="",AND(ISNUMBER(E358),E358&gt;=f_ini)),OR(f_fim="",AND(ISNUMBER(E358),E358&lt;=f_fim)),OR(f_un="",f_un="(Todas)",G358=f_un),OR(f_tr="",f_tr="(Todos)",H358=f_tr),OR(f_de="",f_de="(Todos)",I358=f_de),OR(f_sit="",f_sit="(Todas)",S358=f_sit)),1,0))</f>
        <v>0</v>
      </c>
      <c r="AY358" s="96">
        <f>IF(AX358=0,0,IF(OR(f_res="",f_res="(Todos)"),1,IF(COUNTIFS('ITENS_MTR'!$S$6:$S$1005,A358,'ITENS_MTR'!$C$6:$C$1005,f_res)&gt;0,1,0)))</f>
        <v>0</v>
      </c>
      <c r="AZ358" s="97" t="str">
        <f>IF(ISNUMBER(E358),DATE(YEAR(E358),MONTH(E358),1),"")</f>
        <v/>
      </c>
      <c r="BA358" s="96">
        <f>IF(Z358=0,0,IF(AND(OR(r_ini="",AND(ISNUMBER(E358),E358&gt;=r_ini)),OR(r_fim="",AND(ISNUMBER(E358),E358&lt;=r_fim)),OR(r_un="",r_un="(Todas)",G358=r_un),OR(r_de="",r_de="(Todos)",I358=r_de)),1,0))</f>
        <v>0</v>
      </c>
      <c r="BB358" s="96" t="str">
        <f>IF(BA358=1,COUNTIF($BA$6:BA358,1),"")</f>
        <v/>
      </c>
      <c r="BC358" s="96" t="str">
        <f>IF(AND(AU358&lt;&gt;"",OR(r_un="",r_un="(Todas)",G358=r_un),OR(r_de="",r_de="(Todos)",I358=r_de)),AU358,"")</f>
        <v/>
      </c>
      <c r="BD358" s="96" t="str">
        <f>IF(Z358=1,A358&amp;" | nº "&amp;IF(B358="","(sem número)",B358)&amp;" | "&amp;IF(G358="","(sem unidade)",G358),"")</f>
        <v/>
      </c>
      <c r="BE358" s="96" t="str">
        <f>IF(Z358=1,COUNTIF($Z$6:Z358,1),"")</f>
        <v/>
      </c>
      <c r="BF358" s="96" t="str">
        <f>IF(T358="","",IF(T358="RECEBIMENTO NÃO CONFIRMADO","Transp.: "&amp;H358&amp;" | Dest.: "&amp;I358,IF(OR(T358="CDF NÃO LOCALIZADO",T358="VÍNCULO INCOMPLETO",T358="CDF A CONFERIR"),"Dest.: "&amp;I358,"Gerador: "&amp;G358)))</f>
        <v/>
      </c>
    </row>
    <row r="359">
      <c r="A359" s="89" t="inlineStr">
        <is>
          <t>MTR-000354</t>
        </is>
      </c>
      <c r="B359" s="90" t="n"/>
      <c r="C359" s="91" t="n"/>
      <c r="D359" s="91" t="n"/>
      <c r="E359" s="92" t="n"/>
      <c r="F359" s="92" t="n"/>
      <c r="G359" s="91" t="n"/>
      <c r="H359" s="91" t="n"/>
      <c r="I359" s="91" t="n"/>
      <c r="J359" s="91" t="n"/>
      <c r="K359" s="91" t="n"/>
      <c r="L359" s="92" t="n"/>
      <c r="M359" s="91" t="n"/>
      <c r="N359" s="91" t="n"/>
      <c r="O359" s="91" t="n"/>
      <c r="P359" s="93" t="str">
        <f>IF(Z359=0,"",SUMIFS('ITENS_MTR'!$I$6:$I$1005,'ITENS_MTR'!$S$6:$S$1005,A359,'ITENS_MTR'!$Y$6:$Y$1005,1))</f>
        <v/>
      </c>
      <c r="Q359" s="93" t="str">
        <f>IF(Z359=0,"",SUMIFS('RECEBIMENTOS'!$H$6:$H$1005,'RECEBIMENTOS'!$B$6:$B$1005,A359,'RECEBIMENTOS'!$X$6:$X$1005,1))</f>
        <v/>
      </c>
      <c r="R359" s="93" t="str">
        <f>IF(Z359=0,"",SUMIFS('VÍNCULOS_CDF'!$H$6:$H$1005,'VÍNCULOS_CDF'!$D$6:$D$1005,A359,'VÍNCULOS_CDF'!$V$6:$V$1005,1))</f>
        <v/>
      </c>
      <c r="S359" s="94" t="str">
        <f>IF(Z359=0,"",IF(AA359=1,"Cancelado (informado)",IF(AE359=1,"Cadastro incompleto",IF(OR(AC359=1,AD359=1,AF359&gt;0,AH359&gt;0,AK359&gt;0,AL359&gt;0),"Informação a revisar",IF(AN359=0,"Aguardando recebimento",IF(N(R359)=0,"Aguardando CDF",IF(AJ359&lt;N(W359),"Vínculo de CDF parcial",IF(AO359=0,"CDF localizado, a conferir","Documentação conferida"))))))))</f>
        <v/>
      </c>
      <c r="T359" s="94" t="str">
        <f>IF(Z359=0,"",IF(S359="Cadastro incompleto","MTR INCOMPLETO",IF(S359="Informação a revisar",IF(AND(AH359&gt;0,AC359=0,AD359=0,AF359=0,AK359=0,AL359=0),"QUANTIDADE A REVISAR","IDENTIFICAÇÃO A REVISAR"),IF(S359="Aguardando recebimento","RECEBIMENTO NÃO CONFIRMADO",IF(S359="Aguardando CDF","CDF NÃO LOCALIZADO",IF(S359="Vínculo de CDF parcial","VÍNCULO INCOMPLETO",IF(S359="CDF localizado, a conferir","CDF A CONFERIR","")))))))</f>
        <v/>
      </c>
      <c r="U359" s="95" t="str">
        <f>IF(T359="","",IF(AQ359="","Não calculável",IF(AQ359&gt;TODAY(),"Data futura",TODAY()-AQ359)))</f>
        <v/>
      </c>
      <c r="V359" s="93" t="str">
        <f>IF(Z359=0,"",SUMIFS('RECEBIMENTOS'!$H$6:$H$1005,'RECEBIMENTOS'!$B$6:$B$1005,A359,'RECEBIMENTOS'!$Z$6:$Z$1005,1))</f>
        <v/>
      </c>
      <c r="W359" s="95" t="str">
        <f>IF(Z359=0,"",COUNTIFS('ITENS_MTR'!$S$6:$S$1005,A359,'ITENS_MTR'!$R$6:$R$1005,1))</f>
        <v/>
      </c>
      <c r="X359" s="94" t="str">
        <f>IF(AC359=1,"POSSÍVEL DUPLICIDADE","")</f>
        <v/>
      </c>
      <c r="Y359" s="94" t="str">
        <f>IF(Z359=0,"",IF(AW359="","Nenhuma",LEFT(AW359,LEN(AW359)-2)))</f>
        <v/>
      </c>
      <c r="Z359" s="96">
        <f>IF(COUNTA(B359:O359)&gt;0,1,0)</f>
        <v>0</v>
      </c>
      <c r="AA359" s="96">
        <f>IF(AND(Z359=1,K359&lt;&gt;""),IF(TRIM(K359)=TRIM(cfg_cancel),1,0),0)</f>
        <v>0</v>
      </c>
      <c r="AB359" s="96" t="str">
        <f>IF(AND(Z359=1,B359&lt;&gt;""),C359&amp;"|"&amp;D359&amp;"|"&amp;G359&amp;"|"&amp;TRIM(B359),"")</f>
        <v/>
      </c>
      <c r="AC359" s="96">
        <f>IF(AB359="",0,IF(SUMPRODUCT(--($AB$6:$AB$505=AB359))&gt;1,1,0))</f>
        <v>0</v>
      </c>
      <c r="AD359" s="96">
        <f>IF(Z359=0,0,IF(OR(AND(G359&lt;&gt;"",ISNA(MATCH(G359,'CAD_UNIDADES'!$C$6:$C$105,0))),AND(H359&lt;&gt;"",ISNA(MATCH(H359,cmp_transp,0))),AND(I359&lt;&gt;"",ISNA(MATCH(I359,cmp_dest,0))),AND(E359&lt;&gt;"",NOT(ISNUMBER(E359))),AND(F359&lt;&gt;"",NOT(ISNUMBER(F359))),AND(ISNUMBER(E359),ISNUMBER(F359),F359&lt;E359)),1,0))</f>
        <v>0</v>
      </c>
      <c r="AE359" s="96">
        <f>IF(Z359=0,0,IF(OR(B359="",C359="",E359="",G359="",H359="",I359="",N(W359)=0),1,0))</f>
        <v>0</v>
      </c>
      <c r="AF359" s="96">
        <f>IF(Z359=0,0,COUNTIFS('ITENS_MTR'!$S$6:$S$1005,A359,'ITENS_MTR'!$AI$6:$AI$1005,1))</f>
        <v>0</v>
      </c>
      <c r="AG359" s="96">
        <f>IF(Z359=0,0,COUNTIFS('ITENS_MTR'!$S$6:$S$1005,A359,'ITENS_MTR'!$AJ$6:$AJ$1005,1))</f>
        <v>0</v>
      </c>
      <c r="AH359" s="96">
        <f>IF(Z359=0,0,COUNTIFS('ITENS_MTR'!$S$6:$S$1005,A359,'ITENS_MTR'!$AM$6:$AM$1005,1))</f>
        <v>0</v>
      </c>
      <c r="AI359" s="96">
        <f>IF(Z359=0,0,COUNTIFS('ITENS_MTR'!$S$6:$S$1005,A359,'ITENS_MTR'!$AO$6:$AO$1005,1))</f>
        <v>0</v>
      </c>
      <c r="AJ359" s="96">
        <f>IF(Z359=0,0,COUNTIFS('ITENS_MTR'!$S$6:$S$1005,A359,'ITENS_MTR'!$AN$6:$AN$1005,1))</f>
        <v>0</v>
      </c>
      <c r="AK359" s="96">
        <f>IF(Z359=0,0,COUNTIFS('RECEBIMENTOS'!$B$6:$B$1005,A359,'RECEBIMENTOS'!$Y$6:$Y$1005,1))</f>
        <v>0</v>
      </c>
      <c r="AL359" s="96">
        <f>IF(Z359=0,0,COUNTIFS('VÍNCULOS_CDF'!$D$6:$D$1005,A359,'VÍNCULOS_CDF'!$Y$6:$Y$1005,1))</f>
        <v>0</v>
      </c>
      <c r="AM359" s="96">
        <f>IF(Z359=0,0,COUNTIFS('RECEBIMENTOS'!$B$6:$B$1005,A359,'RECEBIMENTOS'!$Q$6:$Q$1005,1))</f>
        <v>0</v>
      </c>
      <c r="AN359" s="96">
        <f>IF(AND(Z359=1,N(W359)&gt;0,AG359=N(W359)),1,0)</f>
        <v>0</v>
      </c>
      <c r="AO359" s="96">
        <f>IF(AND(Z359=1,N(W359)&gt;0,AI359=N(W359)),1,0)</f>
        <v>0</v>
      </c>
      <c r="AP359" s="97">
        <f>IF(Z359=0,0,_xlfn.MAXIFS('RECEBIMENTOS'!$E$6:$E$1005,'RECEBIMENTOS'!$B$6:$B$1005,A359))</f>
        <v>0</v>
      </c>
      <c r="AQ359" s="97" t="str">
        <f>IF(T359="","",IF(T359="RECEBIMENTO NÃO CONFIRMADO",IF(ISNUMBER(F359),F359,IF(ISNUMBER(E359),E359,"")),IF(OR(T359="CDF NÃO LOCALIZADO",T359="VÍNCULO INCOMPLETO",T359="CDF A CONFERIR"),IF(AP359&gt;0,AP359,IF(ISNUMBER(E359),E359,"")),IF(ISNUMBER(E359),E359,""))))</f>
        <v/>
      </c>
      <c r="AR359" s="96">
        <f>IF(NOT(ISNUMBER(U359)),0,IF(T359="RECEBIMENTO NÃO CONFIRMADO",IF(AND(ISNUMBER(cfg_rec),U359&gt;cfg_rec),1,0),IF(OR(T359="CDF NÃO LOCALIZADO",T359="VÍNCULO INCOMPLETO",T359="CDF A CONFERIR"),IF(AND(ISNUMBER(cfg_cdf),U359&gt;cfg_cdf),1,0),0)))</f>
        <v>0</v>
      </c>
      <c r="AS359" s="96" t="str">
        <f>IF(T359="","",IF(AR359=1,"Alta",IFERROR(INDEX(cfg_pp,MATCH(T359,cfg_pt,0))&amp;"","Média")))</f>
        <v/>
      </c>
      <c r="AT359" s="96" t="str">
        <f>IF(T359="","",IFERROR(INDEX(cfg_pv,MATCH(T359,cfg_pt,0))&amp;"",""))</f>
        <v/>
      </c>
      <c r="AU359" s="96" t="str">
        <f>IF(T359="","",IF(AS359="Alta",1,IF(AS359="Média",2,3))*1000000000+(999999-IF(ISNUMBER(U359),MIN(U359,999999),0))*1000+354)</f>
        <v/>
      </c>
      <c r="AV359" s="96">
        <f>IF(T359&lt;&gt;"",1,0)</f>
        <v>0</v>
      </c>
      <c r="AW359" s="96" t="str">
        <f>IF(Z359=0,"",IF(AA359=1,"Cancelamento informado; ","")&amp;IF(AE359=1,"Campos essenciais ou itens faltando; ","")&amp;IF(AC359=1,"Possível duplicidade do número; ","")&amp;IF(AD359=1,"Cadastro ou datas a revisar; ","")&amp;IF(AF359&gt;0,"Item de resíduo com dado a revisar; ","")&amp;IF(AH359&gt;0,"Diferença de quantidade a analisar; ","")&amp;IF(AK359&gt;0,"Recebimento com alerta; ","")&amp;IF(AL359&gt;0,"Vínculo de CDF com alerta; ","")&amp;IF(AND(AA359=0,AN359=0),"Recebimento não confirmado; ","")&amp;IF(AND(AA359=0,AN359=1,AO359=0),"CDF pendente ou a conferir; ",""))</f>
        <v/>
      </c>
      <c r="AX359" s="96">
        <f>IF(Z359=0,0,IF(AND(OR(f_ini="",AND(ISNUMBER(E359),E359&gt;=f_ini)),OR(f_fim="",AND(ISNUMBER(E359),E359&lt;=f_fim)),OR(f_un="",f_un="(Todas)",G359=f_un),OR(f_tr="",f_tr="(Todos)",H359=f_tr),OR(f_de="",f_de="(Todos)",I359=f_de),OR(f_sit="",f_sit="(Todas)",S359=f_sit)),1,0))</f>
        <v>0</v>
      </c>
      <c r="AY359" s="96">
        <f>IF(AX359=0,0,IF(OR(f_res="",f_res="(Todos)"),1,IF(COUNTIFS('ITENS_MTR'!$S$6:$S$1005,A359,'ITENS_MTR'!$C$6:$C$1005,f_res)&gt;0,1,0)))</f>
        <v>0</v>
      </c>
      <c r="AZ359" s="97" t="str">
        <f>IF(ISNUMBER(E359),DATE(YEAR(E359),MONTH(E359),1),"")</f>
        <v/>
      </c>
      <c r="BA359" s="96">
        <f>IF(Z359=0,0,IF(AND(OR(r_ini="",AND(ISNUMBER(E359),E359&gt;=r_ini)),OR(r_fim="",AND(ISNUMBER(E359),E359&lt;=r_fim)),OR(r_un="",r_un="(Todas)",G359=r_un),OR(r_de="",r_de="(Todos)",I359=r_de)),1,0))</f>
        <v>0</v>
      </c>
      <c r="BB359" s="96" t="str">
        <f>IF(BA359=1,COUNTIF($BA$6:BA359,1),"")</f>
        <v/>
      </c>
      <c r="BC359" s="96" t="str">
        <f>IF(AND(AU359&lt;&gt;"",OR(r_un="",r_un="(Todas)",G359=r_un),OR(r_de="",r_de="(Todos)",I359=r_de)),AU359,"")</f>
        <v/>
      </c>
      <c r="BD359" s="96" t="str">
        <f>IF(Z359=1,A359&amp;" | nº "&amp;IF(B359="","(sem número)",B359)&amp;" | "&amp;IF(G359="","(sem unidade)",G359),"")</f>
        <v/>
      </c>
      <c r="BE359" s="96" t="str">
        <f>IF(Z359=1,COUNTIF($Z$6:Z359,1),"")</f>
        <v/>
      </c>
      <c r="BF359" s="96" t="str">
        <f>IF(T359="","",IF(T359="RECEBIMENTO NÃO CONFIRMADO","Transp.: "&amp;H359&amp;" | Dest.: "&amp;I359,IF(OR(T359="CDF NÃO LOCALIZADO",T359="VÍNCULO INCOMPLETO",T359="CDF A CONFERIR"),"Dest.: "&amp;I359,"Gerador: "&amp;G359)))</f>
        <v/>
      </c>
    </row>
    <row r="360">
      <c r="A360" s="89" t="inlineStr">
        <is>
          <t>MTR-000355</t>
        </is>
      </c>
      <c r="B360" s="90" t="n"/>
      <c r="C360" s="91" t="n"/>
      <c r="D360" s="91" t="n"/>
      <c r="E360" s="92" t="n"/>
      <c r="F360" s="92" t="n"/>
      <c r="G360" s="91" t="n"/>
      <c r="H360" s="91" t="n"/>
      <c r="I360" s="91" t="n"/>
      <c r="J360" s="91" t="n"/>
      <c r="K360" s="91" t="n"/>
      <c r="L360" s="92" t="n"/>
      <c r="M360" s="91" t="n"/>
      <c r="N360" s="91" t="n"/>
      <c r="O360" s="91" t="n"/>
      <c r="P360" s="93" t="str">
        <f>IF(Z360=0,"",SUMIFS('ITENS_MTR'!$I$6:$I$1005,'ITENS_MTR'!$S$6:$S$1005,A360,'ITENS_MTR'!$Y$6:$Y$1005,1))</f>
        <v/>
      </c>
      <c r="Q360" s="93" t="str">
        <f>IF(Z360=0,"",SUMIFS('RECEBIMENTOS'!$H$6:$H$1005,'RECEBIMENTOS'!$B$6:$B$1005,A360,'RECEBIMENTOS'!$X$6:$X$1005,1))</f>
        <v/>
      </c>
      <c r="R360" s="93" t="str">
        <f>IF(Z360=0,"",SUMIFS('VÍNCULOS_CDF'!$H$6:$H$1005,'VÍNCULOS_CDF'!$D$6:$D$1005,A360,'VÍNCULOS_CDF'!$V$6:$V$1005,1))</f>
        <v/>
      </c>
      <c r="S360" s="94" t="str">
        <f>IF(Z360=0,"",IF(AA360=1,"Cancelado (informado)",IF(AE360=1,"Cadastro incompleto",IF(OR(AC360=1,AD360=1,AF360&gt;0,AH360&gt;0,AK360&gt;0,AL360&gt;0),"Informação a revisar",IF(AN360=0,"Aguardando recebimento",IF(N(R360)=0,"Aguardando CDF",IF(AJ360&lt;N(W360),"Vínculo de CDF parcial",IF(AO360=0,"CDF localizado, a conferir","Documentação conferida"))))))))</f>
        <v/>
      </c>
      <c r="T360" s="94" t="str">
        <f>IF(Z360=0,"",IF(S360="Cadastro incompleto","MTR INCOMPLETO",IF(S360="Informação a revisar",IF(AND(AH360&gt;0,AC360=0,AD360=0,AF360=0,AK360=0,AL360=0),"QUANTIDADE A REVISAR","IDENTIFICAÇÃO A REVISAR"),IF(S360="Aguardando recebimento","RECEBIMENTO NÃO CONFIRMADO",IF(S360="Aguardando CDF","CDF NÃO LOCALIZADO",IF(S360="Vínculo de CDF parcial","VÍNCULO INCOMPLETO",IF(S360="CDF localizado, a conferir","CDF A CONFERIR","")))))))</f>
        <v/>
      </c>
      <c r="U360" s="95" t="str">
        <f>IF(T360="","",IF(AQ360="","Não calculável",IF(AQ360&gt;TODAY(),"Data futura",TODAY()-AQ360)))</f>
        <v/>
      </c>
      <c r="V360" s="93" t="str">
        <f>IF(Z360=0,"",SUMIFS('RECEBIMENTOS'!$H$6:$H$1005,'RECEBIMENTOS'!$B$6:$B$1005,A360,'RECEBIMENTOS'!$Z$6:$Z$1005,1))</f>
        <v/>
      </c>
      <c r="W360" s="95" t="str">
        <f>IF(Z360=0,"",COUNTIFS('ITENS_MTR'!$S$6:$S$1005,A360,'ITENS_MTR'!$R$6:$R$1005,1))</f>
        <v/>
      </c>
      <c r="X360" s="94" t="str">
        <f>IF(AC360=1,"POSSÍVEL DUPLICIDADE","")</f>
        <v/>
      </c>
      <c r="Y360" s="94" t="str">
        <f>IF(Z360=0,"",IF(AW360="","Nenhuma",LEFT(AW360,LEN(AW360)-2)))</f>
        <v/>
      </c>
      <c r="Z360" s="96">
        <f>IF(COUNTA(B360:O360)&gt;0,1,0)</f>
        <v>0</v>
      </c>
      <c r="AA360" s="96">
        <f>IF(AND(Z360=1,K360&lt;&gt;""),IF(TRIM(K360)=TRIM(cfg_cancel),1,0),0)</f>
        <v>0</v>
      </c>
      <c r="AB360" s="96" t="str">
        <f>IF(AND(Z360=1,B360&lt;&gt;""),C360&amp;"|"&amp;D360&amp;"|"&amp;G360&amp;"|"&amp;TRIM(B360),"")</f>
        <v/>
      </c>
      <c r="AC360" s="96">
        <f>IF(AB360="",0,IF(SUMPRODUCT(--($AB$6:$AB$505=AB360))&gt;1,1,0))</f>
        <v>0</v>
      </c>
      <c r="AD360" s="96">
        <f>IF(Z360=0,0,IF(OR(AND(G360&lt;&gt;"",ISNA(MATCH(G360,'CAD_UNIDADES'!$C$6:$C$105,0))),AND(H360&lt;&gt;"",ISNA(MATCH(H360,cmp_transp,0))),AND(I360&lt;&gt;"",ISNA(MATCH(I360,cmp_dest,0))),AND(E360&lt;&gt;"",NOT(ISNUMBER(E360))),AND(F360&lt;&gt;"",NOT(ISNUMBER(F360))),AND(ISNUMBER(E360),ISNUMBER(F360),F360&lt;E360)),1,0))</f>
        <v>0</v>
      </c>
      <c r="AE360" s="96">
        <f>IF(Z360=0,0,IF(OR(B360="",C360="",E360="",G360="",H360="",I360="",N(W360)=0),1,0))</f>
        <v>0</v>
      </c>
      <c r="AF360" s="96">
        <f>IF(Z360=0,0,COUNTIFS('ITENS_MTR'!$S$6:$S$1005,A360,'ITENS_MTR'!$AI$6:$AI$1005,1))</f>
        <v>0</v>
      </c>
      <c r="AG360" s="96">
        <f>IF(Z360=0,0,COUNTIFS('ITENS_MTR'!$S$6:$S$1005,A360,'ITENS_MTR'!$AJ$6:$AJ$1005,1))</f>
        <v>0</v>
      </c>
      <c r="AH360" s="96">
        <f>IF(Z360=0,0,COUNTIFS('ITENS_MTR'!$S$6:$S$1005,A360,'ITENS_MTR'!$AM$6:$AM$1005,1))</f>
        <v>0</v>
      </c>
      <c r="AI360" s="96">
        <f>IF(Z360=0,0,COUNTIFS('ITENS_MTR'!$S$6:$S$1005,A360,'ITENS_MTR'!$AO$6:$AO$1005,1))</f>
        <v>0</v>
      </c>
      <c r="AJ360" s="96">
        <f>IF(Z360=0,0,COUNTIFS('ITENS_MTR'!$S$6:$S$1005,A360,'ITENS_MTR'!$AN$6:$AN$1005,1))</f>
        <v>0</v>
      </c>
      <c r="AK360" s="96">
        <f>IF(Z360=0,0,COUNTIFS('RECEBIMENTOS'!$B$6:$B$1005,A360,'RECEBIMENTOS'!$Y$6:$Y$1005,1))</f>
        <v>0</v>
      </c>
      <c r="AL360" s="96">
        <f>IF(Z360=0,0,COUNTIFS('VÍNCULOS_CDF'!$D$6:$D$1005,A360,'VÍNCULOS_CDF'!$Y$6:$Y$1005,1))</f>
        <v>0</v>
      </c>
      <c r="AM360" s="96">
        <f>IF(Z360=0,0,COUNTIFS('RECEBIMENTOS'!$B$6:$B$1005,A360,'RECEBIMENTOS'!$Q$6:$Q$1005,1))</f>
        <v>0</v>
      </c>
      <c r="AN360" s="96">
        <f>IF(AND(Z360=1,N(W360)&gt;0,AG360=N(W360)),1,0)</f>
        <v>0</v>
      </c>
      <c r="AO360" s="96">
        <f>IF(AND(Z360=1,N(W360)&gt;0,AI360=N(W360)),1,0)</f>
        <v>0</v>
      </c>
      <c r="AP360" s="97">
        <f>IF(Z360=0,0,_xlfn.MAXIFS('RECEBIMENTOS'!$E$6:$E$1005,'RECEBIMENTOS'!$B$6:$B$1005,A360))</f>
        <v>0</v>
      </c>
      <c r="AQ360" s="97" t="str">
        <f>IF(T360="","",IF(T360="RECEBIMENTO NÃO CONFIRMADO",IF(ISNUMBER(F360),F360,IF(ISNUMBER(E360),E360,"")),IF(OR(T360="CDF NÃO LOCALIZADO",T360="VÍNCULO INCOMPLETO",T360="CDF A CONFERIR"),IF(AP360&gt;0,AP360,IF(ISNUMBER(E360),E360,"")),IF(ISNUMBER(E360),E360,""))))</f>
        <v/>
      </c>
      <c r="AR360" s="96">
        <f>IF(NOT(ISNUMBER(U360)),0,IF(T360="RECEBIMENTO NÃO CONFIRMADO",IF(AND(ISNUMBER(cfg_rec),U360&gt;cfg_rec),1,0),IF(OR(T360="CDF NÃO LOCALIZADO",T360="VÍNCULO INCOMPLETO",T360="CDF A CONFERIR"),IF(AND(ISNUMBER(cfg_cdf),U360&gt;cfg_cdf),1,0),0)))</f>
        <v>0</v>
      </c>
      <c r="AS360" s="96" t="str">
        <f>IF(T360="","",IF(AR360=1,"Alta",IFERROR(INDEX(cfg_pp,MATCH(T360,cfg_pt,0))&amp;"","Média")))</f>
        <v/>
      </c>
      <c r="AT360" s="96" t="str">
        <f>IF(T360="","",IFERROR(INDEX(cfg_pv,MATCH(T360,cfg_pt,0))&amp;"",""))</f>
        <v/>
      </c>
      <c r="AU360" s="96" t="str">
        <f>IF(T360="","",IF(AS360="Alta",1,IF(AS360="Média",2,3))*1000000000+(999999-IF(ISNUMBER(U360),MIN(U360,999999),0))*1000+355)</f>
        <v/>
      </c>
      <c r="AV360" s="96">
        <f>IF(T360&lt;&gt;"",1,0)</f>
        <v>0</v>
      </c>
      <c r="AW360" s="96" t="str">
        <f>IF(Z360=0,"",IF(AA360=1,"Cancelamento informado; ","")&amp;IF(AE360=1,"Campos essenciais ou itens faltando; ","")&amp;IF(AC360=1,"Possível duplicidade do número; ","")&amp;IF(AD360=1,"Cadastro ou datas a revisar; ","")&amp;IF(AF360&gt;0,"Item de resíduo com dado a revisar; ","")&amp;IF(AH360&gt;0,"Diferença de quantidade a analisar; ","")&amp;IF(AK360&gt;0,"Recebimento com alerta; ","")&amp;IF(AL360&gt;0,"Vínculo de CDF com alerta; ","")&amp;IF(AND(AA360=0,AN360=0),"Recebimento não confirmado; ","")&amp;IF(AND(AA360=0,AN360=1,AO360=0),"CDF pendente ou a conferir; ",""))</f>
        <v/>
      </c>
      <c r="AX360" s="96">
        <f>IF(Z360=0,0,IF(AND(OR(f_ini="",AND(ISNUMBER(E360),E360&gt;=f_ini)),OR(f_fim="",AND(ISNUMBER(E360),E360&lt;=f_fim)),OR(f_un="",f_un="(Todas)",G360=f_un),OR(f_tr="",f_tr="(Todos)",H360=f_tr),OR(f_de="",f_de="(Todos)",I360=f_de),OR(f_sit="",f_sit="(Todas)",S360=f_sit)),1,0))</f>
        <v>0</v>
      </c>
      <c r="AY360" s="96">
        <f>IF(AX360=0,0,IF(OR(f_res="",f_res="(Todos)"),1,IF(COUNTIFS('ITENS_MTR'!$S$6:$S$1005,A360,'ITENS_MTR'!$C$6:$C$1005,f_res)&gt;0,1,0)))</f>
        <v>0</v>
      </c>
      <c r="AZ360" s="97" t="str">
        <f>IF(ISNUMBER(E360),DATE(YEAR(E360),MONTH(E360),1),"")</f>
        <v/>
      </c>
      <c r="BA360" s="96">
        <f>IF(Z360=0,0,IF(AND(OR(r_ini="",AND(ISNUMBER(E360),E360&gt;=r_ini)),OR(r_fim="",AND(ISNUMBER(E360),E360&lt;=r_fim)),OR(r_un="",r_un="(Todas)",G360=r_un),OR(r_de="",r_de="(Todos)",I360=r_de)),1,0))</f>
        <v>0</v>
      </c>
      <c r="BB360" s="96" t="str">
        <f>IF(BA360=1,COUNTIF($BA$6:BA360,1),"")</f>
        <v/>
      </c>
      <c r="BC360" s="96" t="str">
        <f>IF(AND(AU360&lt;&gt;"",OR(r_un="",r_un="(Todas)",G360=r_un),OR(r_de="",r_de="(Todos)",I360=r_de)),AU360,"")</f>
        <v/>
      </c>
      <c r="BD360" s="96" t="str">
        <f>IF(Z360=1,A360&amp;" | nº "&amp;IF(B360="","(sem número)",B360)&amp;" | "&amp;IF(G360="","(sem unidade)",G360),"")</f>
        <v/>
      </c>
      <c r="BE360" s="96" t="str">
        <f>IF(Z360=1,COUNTIF($Z$6:Z360,1),"")</f>
        <v/>
      </c>
      <c r="BF360" s="96" t="str">
        <f>IF(T360="","",IF(T360="RECEBIMENTO NÃO CONFIRMADO","Transp.: "&amp;H360&amp;" | Dest.: "&amp;I360,IF(OR(T360="CDF NÃO LOCALIZADO",T360="VÍNCULO INCOMPLETO",T360="CDF A CONFERIR"),"Dest.: "&amp;I360,"Gerador: "&amp;G360)))</f>
        <v/>
      </c>
    </row>
    <row r="361">
      <c r="A361" s="89" t="inlineStr">
        <is>
          <t>MTR-000356</t>
        </is>
      </c>
      <c r="B361" s="90" t="n"/>
      <c r="C361" s="91" t="n"/>
      <c r="D361" s="91" t="n"/>
      <c r="E361" s="92" t="n"/>
      <c r="F361" s="92" t="n"/>
      <c r="G361" s="91" t="n"/>
      <c r="H361" s="91" t="n"/>
      <c r="I361" s="91" t="n"/>
      <c r="J361" s="91" t="n"/>
      <c r="K361" s="91" t="n"/>
      <c r="L361" s="92" t="n"/>
      <c r="M361" s="91" t="n"/>
      <c r="N361" s="91" t="n"/>
      <c r="O361" s="91" t="n"/>
      <c r="P361" s="93" t="str">
        <f>IF(Z361=0,"",SUMIFS('ITENS_MTR'!$I$6:$I$1005,'ITENS_MTR'!$S$6:$S$1005,A361,'ITENS_MTR'!$Y$6:$Y$1005,1))</f>
        <v/>
      </c>
      <c r="Q361" s="93" t="str">
        <f>IF(Z361=0,"",SUMIFS('RECEBIMENTOS'!$H$6:$H$1005,'RECEBIMENTOS'!$B$6:$B$1005,A361,'RECEBIMENTOS'!$X$6:$X$1005,1))</f>
        <v/>
      </c>
      <c r="R361" s="93" t="str">
        <f>IF(Z361=0,"",SUMIFS('VÍNCULOS_CDF'!$H$6:$H$1005,'VÍNCULOS_CDF'!$D$6:$D$1005,A361,'VÍNCULOS_CDF'!$V$6:$V$1005,1))</f>
        <v/>
      </c>
      <c r="S361" s="94" t="str">
        <f>IF(Z361=0,"",IF(AA361=1,"Cancelado (informado)",IF(AE361=1,"Cadastro incompleto",IF(OR(AC361=1,AD361=1,AF361&gt;0,AH361&gt;0,AK361&gt;0,AL361&gt;0),"Informação a revisar",IF(AN361=0,"Aguardando recebimento",IF(N(R361)=0,"Aguardando CDF",IF(AJ361&lt;N(W361),"Vínculo de CDF parcial",IF(AO361=0,"CDF localizado, a conferir","Documentação conferida"))))))))</f>
        <v/>
      </c>
      <c r="T361" s="94" t="str">
        <f>IF(Z361=0,"",IF(S361="Cadastro incompleto","MTR INCOMPLETO",IF(S361="Informação a revisar",IF(AND(AH361&gt;0,AC361=0,AD361=0,AF361=0,AK361=0,AL361=0),"QUANTIDADE A REVISAR","IDENTIFICAÇÃO A REVISAR"),IF(S361="Aguardando recebimento","RECEBIMENTO NÃO CONFIRMADO",IF(S361="Aguardando CDF","CDF NÃO LOCALIZADO",IF(S361="Vínculo de CDF parcial","VÍNCULO INCOMPLETO",IF(S361="CDF localizado, a conferir","CDF A CONFERIR","")))))))</f>
        <v/>
      </c>
      <c r="U361" s="95" t="str">
        <f>IF(T361="","",IF(AQ361="","Não calculável",IF(AQ361&gt;TODAY(),"Data futura",TODAY()-AQ361)))</f>
        <v/>
      </c>
      <c r="V361" s="93" t="str">
        <f>IF(Z361=0,"",SUMIFS('RECEBIMENTOS'!$H$6:$H$1005,'RECEBIMENTOS'!$B$6:$B$1005,A361,'RECEBIMENTOS'!$Z$6:$Z$1005,1))</f>
        <v/>
      </c>
      <c r="W361" s="95" t="str">
        <f>IF(Z361=0,"",COUNTIFS('ITENS_MTR'!$S$6:$S$1005,A361,'ITENS_MTR'!$R$6:$R$1005,1))</f>
        <v/>
      </c>
      <c r="X361" s="94" t="str">
        <f>IF(AC361=1,"POSSÍVEL DUPLICIDADE","")</f>
        <v/>
      </c>
      <c r="Y361" s="94" t="str">
        <f>IF(Z361=0,"",IF(AW361="","Nenhuma",LEFT(AW361,LEN(AW361)-2)))</f>
        <v/>
      </c>
      <c r="Z361" s="96">
        <f>IF(COUNTA(B361:O361)&gt;0,1,0)</f>
        <v>0</v>
      </c>
      <c r="AA361" s="96">
        <f>IF(AND(Z361=1,K361&lt;&gt;""),IF(TRIM(K361)=TRIM(cfg_cancel),1,0),0)</f>
        <v>0</v>
      </c>
      <c r="AB361" s="96" t="str">
        <f>IF(AND(Z361=1,B361&lt;&gt;""),C361&amp;"|"&amp;D361&amp;"|"&amp;G361&amp;"|"&amp;TRIM(B361),"")</f>
        <v/>
      </c>
      <c r="AC361" s="96">
        <f>IF(AB361="",0,IF(SUMPRODUCT(--($AB$6:$AB$505=AB361))&gt;1,1,0))</f>
        <v>0</v>
      </c>
      <c r="AD361" s="96">
        <f>IF(Z361=0,0,IF(OR(AND(G361&lt;&gt;"",ISNA(MATCH(G361,'CAD_UNIDADES'!$C$6:$C$105,0))),AND(H361&lt;&gt;"",ISNA(MATCH(H361,cmp_transp,0))),AND(I361&lt;&gt;"",ISNA(MATCH(I361,cmp_dest,0))),AND(E361&lt;&gt;"",NOT(ISNUMBER(E361))),AND(F361&lt;&gt;"",NOT(ISNUMBER(F361))),AND(ISNUMBER(E361),ISNUMBER(F361),F361&lt;E361)),1,0))</f>
        <v>0</v>
      </c>
      <c r="AE361" s="96">
        <f>IF(Z361=0,0,IF(OR(B361="",C361="",E361="",G361="",H361="",I361="",N(W361)=0),1,0))</f>
        <v>0</v>
      </c>
      <c r="AF361" s="96">
        <f>IF(Z361=0,0,COUNTIFS('ITENS_MTR'!$S$6:$S$1005,A361,'ITENS_MTR'!$AI$6:$AI$1005,1))</f>
        <v>0</v>
      </c>
      <c r="AG361" s="96">
        <f>IF(Z361=0,0,COUNTIFS('ITENS_MTR'!$S$6:$S$1005,A361,'ITENS_MTR'!$AJ$6:$AJ$1005,1))</f>
        <v>0</v>
      </c>
      <c r="AH361" s="96">
        <f>IF(Z361=0,0,COUNTIFS('ITENS_MTR'!$S$6:$S$1005,A361,'ITENS_MTR'!$AM$6:$AM$1005,1))</f>
        <v>0</v>
      </c>
      <c r="AI361" s="96">
        <f>IF(Z361=0,0,COUNTIFS('ITENS_MTR'!$S$6:$S$1005,A361,'ITENS_MTR'!$AO$6:$AO$1005,1))</f>
        <v>0</v>
      </c>
      <c r="AJ361" s="96">
        <f>IF(Z361=0,0,COUNTIFS('ITENS_MTR'!$S$6:$S$1005,A361,'ITENS_MTR'!$AN$6:$AN$1005,1))</f>
        <v>0</v>
      </c>
      <c r="AK361" s="96">
        <f>IF(Z361=0,0,COUNTIFS('RECEBIMENTOS'!$B$6:$B$1005,A361,'RECEBIMENTOS'!$Y$6:$Y$1005,1))</f>
        <v>0</v>
      </c>
      <c r="AL361" s="96">
        <f>IF(Z361=0,0,COUNTIFS('VÍNCULOS_CDF'!$D$6:$D$1005,A361,'VÍNCULOS_CDF'!$Y$6:$Y$1005,1))</f>
        <v>0</v>
      </c>
      <c r="AM361" s="96">
        <f>IF(Z361=0,0,COUNTIFS('RECEBIMENTOS'!$B$6:$B$1005,A361,'RECEBIMENTOS'!$Q$6:$Q$1005,1))</f>
        <v>0</v>
      </c>
      <c r="AN361" s="96">
        <f>IF(AND(Z361=1,N(W361)&gt;0,AG361=N(W361)),1,0)</f>
        <v>0</v>
      </c>
      <c r="AO361" s="96">
        <f>IF(AND(Z361=1,N(W361)&gt;0,AI361=N(W361)),1,0)</f>
        <v>0</v>
      </c>
      <c r="AP361" s="97">
        <f>IF(Z361=0,0,_xlfn.MAXIFS('RECEBIMENTOS'!$E$6:$E$1005,'RECEBIMENTOS'!$B$6:$B$1005,A361))</f>
        <v>0</v>
      </c>
      <c r="AQ361" s="97" t="str">
        <f>IF(T361="","",IF(T361="RECEBIMENTO NÃO CONFIRMADO",IF(ISNUMBER(F361),F361,IF(ISNUMBER(E361),E361,"")),IF(OR(T361="CDF NÃO LOCALIZADO",T361="VÍNCULO INCOMPLETO",T361="CDF A CONFERIR"),IF(AP361&gt;0,AP361,IF(ISNUMBER(E361),E361,"")),IF(ISNUMBER(E361),E361,""))))</f>
        <v/>
      </c>
      <c r="AR361" s="96">
        <f>IF(NOT(ISNUMBER(U361)),0,IF(T361="RECEBIMENTO NÃO CONFIRMADO",IF(AND(ISNUMBER(cfg_rec),U361&gt;cfg_rec),1,0),IF(OR(T361="CDF NÃO LOCALIZADO",T361="VÍNCULO INCOMPLETO",T361="CDF A CONFERIR"),IF(AND(ISNUMBER(cfg_cdf),U361&gt;cfg_cdf),1,0),0)))</f>
        <v>0</v>
      </c>
      <c r="AS361" s="96" t="str">
        <f>IF(T361="","",IF(AR361=1,"Alta",IFERROR(INDEX(cfg_pp,MATCH(T361,cfg_pt,0))&amp;"","Média")))</f>
        <v/>
      </c>
      <c r="AT361" s="96" t="str">
        <f>IF(T361="","",IFERROR(INDEX(cfg_pv,MATCH(T361,cfg_pt,0))&amp;"",""))</f>
        <v/>
      </c>
      <c r="AU361" s="96" t="str">
        <f>IF(T361="","",IF(AS361="Alta",1,IF(AS361="Média",2,3))*1000000000+(999999-IF(ISNUMBER(U361),MIN(U361,999999),0))*1000+356)</f>
        <v/>
      </c>
      <c r="AV361" s="96">
        <f>IF(T361&lt;&gt;"",1,0)</f>
        <v>0</v>
      </c>
      <c r="AW361" s="96" t="str">
        <f>IF(Z361=0,"",IF(AA361=1,"Cancelamento informado; ","")&amp;IF(AE361=1,"Campos essenciais ou itens faltando; ","")&amp;IF(AC361=1,"Possível duplicidade do número; ","")&amp;IF(AD361=1,"Cadastro ou datas a revisar; ","")&amp;IF(AF361&gt;0,"Item de resíduo com dado a revisar; ","")&amp;IF(AH361&gt;0,"Diferença de quantidade a analisar; ","")&amp;IF(AK361&gt;0,"Recebimento com alerta; ","")&amp;IF(AL361&gt;0,"Vínculo de CDF com alerta; ","")&amp;IF(AND(AA361=0,AN361=0),"Recebimento não confirmado; ","")&amp;IF(AND(AA361=0,AN361=1,AO361=0),"CDF pendente ou a conferir; ",""))</f>
        <v/>
      </c>
      <c r="AX361" s="96">
        <f>IF(Z361=0,0,IF(AND(OR(f_ini="",AND(ISNUMBER(E361),E361&gt;=f_ini)),OR(f_fim="",AND(ISNUMBER(E361),E361&lt;=f_fim)),OR(f_un="",f_un="(Todas)",G361=f_un),OR(f_tr="",f_tr="(Todos)",H361=f_tr),OR(f_de="",f_de="(Todos)",I361=f_de),OR(f_sit="",f_sit="(Todas)",S361=f_sit)),1,0))</f>
        <v>0</v>
      </c>
      <c r="AY361" s="96">
        <f>IF(AX361=0,0,IF(OR(f_res="",f_res="(Todos)"),1,IF(COUNTIFS('ITENS_MTR'!$S$6:$S$1005,A361,'ITENS_MTR'!$C$6:$C$1005,f_res)&gt;0,1,0)))</f>
        <v>0</v>
      </c>
      <c r="AZ361" s="97" t="str">
        <f>IF(ISNUMBER(E361),DATE(YEAR(E361),MONTH(E361),1),"")</f>
        <v/>
      </c>
      <c r="BA361" s="96">
        <f>IF(Z361=0,0,IF(AND(OR(r_ini="",AND(ISNUMBER(E361),E361&gt;=r_ini)),OR(r_fim="",AND(ISNUMBER(E361),E361&lt;=r_fim)),OR(r_un="",r_un="(Todas)",G361=r_un),OR(r_de="",r_de="(Todos)",I361=r_de)),1,0))</f>
        <v>0</v>
      </c>
      <c r="BB361" s="96" t="str">
        <f>IF(BA361=1,COUNTIF($BA$6:BA361,1),"")</f>
        <v/>
      </c>
      <c r="BC361" s="96" t="str">
        <f>IF(AND(AU361&lt;&gt;"",OR(r_un="",r_un="(Todas)",G361=r_un),OR(r_de="",r_de="(Todos)",I361=r_de)),AU361,"")</f>
        <v/>
      </c>
      <c r="BD361" s="96" t="str">
        <f>IF(Z361=1,A361&amp;" | nº "&amp;IF(B361="","(sem número)",B361)&amp;" | "&amp;IF(G361="","(sem unidade)",G361),"")</f>
        <v/>
      </c>
      <c r="BE361" s="96" t="str">
        <f>IF(Z361=1,COUNTIF($Z$6:Z361,1),"")</f>
        <v/>
      </c>
      <c r="BF361" s="96" t="str">
        <f>IF(T361="","",IF(T361="RECEBIMENTO NÃO CONFIRMADO","Transp.: "&amp;H361&amp;" | Dest.: "&amp;I361,IF(OR(T361="CDF NÃO LOCALIZADO",T361="VÍNCULO INCOMPLETO",T361="CDF A CONFERIR"),"Dest.: "&amp;I361,"Gerador: "&amp;G361)))</f>
        <v/>
      </c>
    </row>
    <row r="362">
      <c r="A362" s="89" t="inlineStr">
        <is>
          <t>MTR-000357</t>
        </is>
      </c>
      <c r="B362" s="90" t="n"/>
      <c r="C362" s="91" t="n"/>
      <c r="D362" s="91" t="n"/>
      <c r="E362" s="92" t="n"/>
      <c r="F362" s="92" t="n"/>
      <c r="G362" s="91" t="n"/>
      <c r="H362" s="91" t="n"/>
      <c r="I362" s="91" t="n"/>
      <c r="J362" s="91" t="n"/>
      <c r="K362" s="91" t="n"/>
      <c r="L362" s="92" t="n"/>
      <c r="M362" s="91" t="n"/>
      <c r="N362" s="91" t="n"/>
      <c r="O362" s="91" t="n"/>
      <c r="P362" s="93" t="str">
        <f>IF(Z362=0,"",SUMIFS('ITENS_MTR'!$I$6:$I$1005,'ITENS_MTR'!$S$6:$S$1005,A362,'ITENS_MTR'!$Y$6:$Y$1005,1))</f>
        <v/>
      </c>
      <c r="Q362" s="93" t="str">
        <f>IF(Z362=0,"",SUMIFS('RECEBIMENTOS'!$H$6:$H$1005,'RECEBIMENTOS'!$B$6:$B$1005,A362,'RECEBIMENTOS'!$X$6:$X$1005,1))</f>
        <v/>
      </c>
      <c r="R362" s="93" t="str">
        <f>IF(Z362=0,"",SUMIFS('VÍNCULOS_CDF'!$H$6:$H$1005,'VÍNCULOS_CDF'!$D$6:$D$1005,A362,'VÍNCULOS_CDF'!$V$6:$V$1005,1))</f>
        <v/>
      </c>
      <c r="S362" s="94" t="str">
        <f>IF(Z362=0,"",IF(AA362=1,"Cancelado (informado)",IF(AE362=1,"Cadastro incompleto",IF(OR(AC362=1,AD362=1,AF362&gt;0,AH362&gt;0,AK362&gt;0,AL362&gt;0),"Informação a revisar",IF(AN362=0,"Aguardando recebimento",IF(N(R362)=0,"Aguardando CDF",IF(AJ362&lt;N(W362),"Vínculo de CDF parcial",IF(AO362=0,"CDF localizado, a conferir","Documentação conferida"))))))))</f>
        <v/>
      </c>
      <c r="T362" s="94" t="str">
        <f>IF(Z362=0,"",IF(S362="Cadastro incompleto","MTR INCOMPLETO",IF(S362="Informação a revisar",IF(AND(AH362&gt;0,AC362=0,AD362=0,AF362=0,AK362=0,AL362=0),"QUANTIDADE A REVISAR","IDENTIFICAÇÃO A REVISAR"),IF(S362="Aguardando recebimento","RECEBIMENTO NÃO CONFIRMADO",IF(S362="Aguardando CDF","CDF NÃO LOCALIZADO",IF(S362="Vínculo de CDF parcial","VÍNCULO INCOMPLETO",IF(S362="CDF localizado, a conferir","CDF A CONFERIR","")))))))</f>
        <v/>
      </c>
      <c r="U362" s="95" t="str">
        <f>IF(T362="","",IF(AQ362="","Não calculável",IF(AQ362&gt;TODAY(),"Data futura",TODAY()-AQ362)))</f>
        <v/>
      </c>
      <c r="V362" s="93" t="str">
        <f>IF(Z362=0,"",SUMIFS('RECEBIMENTOS'!$H$6:$H$1005,'RECEBIMENTOS'!$B$6:$B$1005,A362,'RECEBIMENTOS'!$Z$6:$Z$1005,1))</f>
        <v/>
      </c>
      <c r="W362" s="95" t="str">
        <f>IF(Z362=0,"",COUNTIFS('ITENS_MTR'!$S$6:$S$1005,A362,'ITENS_MTR'!$R$6:$R$1005,1))</f>
        <v/>
      </c>
      <c r="X362" s="94" t="str">
        <f>IF(AC362=1,"POSSÍVEL DUPLICIDADE","")</f>
        <v/>
      </c>
      <c r="Y362" s="94" t="str">
        <f>IF(Z362=0,"",IF(AW362="","Nenhuma",LEFT(AW362,LEN(AW362)-2)))</f>
        <v/>
      </c>
      <c r="Z362" s="96">
        <f>IF(COUNTA(B362:O362)&gt;0,1,0)</f>
        <v>0</v>
      </c>
      <c r="AA362" s="96">
        <f>IF(AND(Z362=1,K362&lt;&gt;""),IF(TRIM(K362)=TRIM(cfg_cancel),1,0),0)</f>
        <v>0</v>
      </c>
      <c r="AB362" s="96" t="str">
        <f>IF(AND(Z362=1,B362&lt;&gt;""),C362&amp;"|"&amp;D362&amp;"|"&amp;G362&amp;"|"&amp;TRIM(B362),"")</f>
        <v/>
      </c>
      <c r="AC362" s="96">
        <f>IF(AB362="",0,IF(SUMPRODUCT(--($AB$6:$AB$505=AB362))&gt;1,1,0))</f>
        <v>0</v>
      </c>
      <c r="AD362" s="96">
        <f>IF(Z362=0,0,IF(OR(AND(G362&lt;&gt;"",ISNA(MATCH(G362,'CAD_UNIDADES'!$C$6:$C$105,0))),AND(H362&lt;&gt;"",ISNA(MATCH(H362,cmp_transp,0))),AND(I362&lt;&gt;"",ISNA(MATCH(I362,cmp_dest,0))),AND(E362&lt;&gt;"",NOT(ISNUMBER(E362))),AND(F362&lt;&gt;"",NOT(ISNUMBER(F362))),AND(ISNUMBER(E362),ISNUMBER(F362),F362&lt;E362)),1,0))</f>
        <v>0</v>
      </c>
      <c r="AE362" s="96">
        <f>IF(Z362=0,0,IF(OR(B362="",C362="",E362="",G362="",H362="",I362="",N(W362)=0),1,0))</f>
        <v>0</v>
      </c>
      <c r="AF362" s="96">
        <f>IF(Z362=0,0,COUNTIFS('ITENS_MTR'!$S$6:$S$1005,A362,'ITENS_MTR'!$AI$6:$AI$1005,1))</f>
        <v>0</v>
      </c>
      <c r="AG362" s="96">
        <f>IF(Z362=0,0,COUNTIFS('ITENS_MTR'!$S$6:$S$1005,A362,'ITENS_MTR'!$AJ$6:$AJ$1005,1))</f>
        <v>0</v>
      </c>
      <c r="AH362" s="96">
        <f>IF(Z362=0,0,COUNTIFS('ITENS_MTR'!$S$6:$S$1005,A362,'ITENS_MTR'!$AM$6:$AM$1005,1))</f>
        <v>0</v>
      </c>
      <c r="AI362" s="96">
        <f>IF(Z362=0,0,COUNTIFS('ITENS_MTR'!$S$6:$S$1005,A362,'ITENS_MTR'!$AO$6:$AO$1005,1))</f>
        <v>0</v>
      </c>
      <c r="AJ362" s="96">
        <f>IF(Z362=0,0,COUNTIFS('ITENS_MTR'!$S$6:$S$1005,A362,'ITENS_MTR'!$AN$6:$AN$1005,1))</f>
        <v>0</v>
      </c>
      <c r="AK362" s="96">
        <f>IF(Z362=0,0,COUNTIFS('RECEBIMENTOS'!$B$6:$B$1005,A362,'RECEBIMENTOS'!$Y$6:$Y$1005,1))</f>
        <v>0</v>
      </c>
      <c r="AL362" s="96">
        <f>IF(Z362=0,0,COUNTIFS('VÍNCULOS_CDF'!$D$6:$D$1005,A362,'VÍNCULOS_CDF'!$Y$6:$Y$1005,1))</f>
        <v>0</v>
      </c>
      <c r="AM362" s="96">
        <f>IF(Z362=0,0,COUNTIFS('RECEBIMENTOS'!$B$6:$B$1005,A362,'RECEBIMENTOS'!$Q$6:$Q$1005,1))</f>
        <v>0</v>
      </c>
      <c r="AN362" s="96">
        <f>IF(AND(Z362=1,N(W362)&gt;0,AG362=N(W362)),1,0)</f>
        <v>0</v>
      </c>
      <c r="AO362" s="96">
        <f>IF(AND(Z362=1,N(W362)&gt;0,AI362=N(W362)),1,0)</f>
        <v>0</v>
      </c>
      <c r="AP362" s="97">
        <f>IF(Z362=0,0,_xlfn.MAXIFS('RECEBIMENTOS'!$E$6:$E$1005,'RECEBIMENTOS'!$B$6:$B$1005,A362))</f>
        <v>0</v>
      </c>
      <c r="AQ362" s="97" t="str">
        <f>IF(T362="","",IF(T362="RECEBIMENTO NÃO CONFIRMADO",IF(ISNUMBER(F362),F362,IF(ISNUMBER(E362),E362,"")),IF(OR(T362="CDF NÃO LOCALIZADO",T362="VÍNCULO INCOMPLETO",T362="CDF A CONFERIR"),IF(AP362&gt;0,AP362,IF(ISNUMBER(E362),E362,"")),IF(ISNUMBER(E362),E362,""))))</f>
        <v/>
      </c>
      <c r="AR362" s="96">
        <f>IF(NOT(ISNUMBER(U362)),0,IF(T362="RECEBIMENTO NÃO CONFIRMADO",IF(AND(ISNUMBER(cfg_rec),U362&gt;cfg_rec),1,0),IF(OR(T362="CDF NÃO LOCALIZADO",T362="VÍNCULO INCOMPLETO",T362="CDF A CONFERIR"),IF(AND(ISNUMBER(cfg_cdf),U362&gt;cfg_cdf),1,0),0)))</f>
        <v>0</v>
      </c>
      <c r="AS362" s="96" t="str">
        <f>IF(T362="","",IF(AR362=1,"Alta",IFERROR(INDEX(cfg_pp,MATCH(T362,cfg_pt,0))&amp;"","Média")))</f>
        <v/>
      </c>
      <c r="AT362" s="96" t="str">
        <f>IF(T362="","",IFERROR(INDEX(cfg_pv,MATCH(T362,cfg_pt,0))&amp;"",""))</f>
        <v/>
      </c>
      <c r="AU362" s="96" t="str">
        <f>IF(T362="","",IF(AS362="Alta",1,IF(AS362="Média",2,3))*1000000000+(999999-IF(ISNUMBER(U362),MIN(U362,999999),0))*1000+357)</f>
        <v/>
      </c>
      <c r="AV362" s="96">
        <f>IF(T362&lt;&gt;"",1,0)</f>
        <v>0</v>
      </c>
      <c r="AW362" s="96" t="str">
        <f>IF(Z362=0,"",IF(AA362=1,"Cancelamento informado; ","")&amp;IF(AE362=1,"Campos essenciais ou itens faltando; ","")&amp;IF(AC362=1,"Possível duplicidade do número; ","")&amp;IF(AD362=1,"Cadastro ou datas a revisar; ","")&amp;IF(AF362&gt;0,"Item de resíduo com dado a revisar; ","")&amp;IF(AH362&gt;0,"Diferença de quantidade a analisar; ","")&amp;IF(AK362&gt;0,"Recebimento com alerta; ","")&amp;IF(AL362&gt;0,"Vínculo de CDF com alerta; ","")&amp;IF(AND(AA362=0,AN362=0),"Recebimento não confirmado; ","")&amp;IF(AND(AA362=0,AN362=1,AO362=0),"CDF pendente ou a conferir; ",""))</f>
        <v/>
      </c>
      <c r="AX362" s="96">
        <f>IF(Z362=0,0,IF(AND(OR(f_ini="",AND(ISNUMBER(E362),E362&gt;=f_ini)),OR(f_fim="",AND(ISNUMBER(E362),E362&lt;=f_fim)),OR(f_un="",f_un="(Todas)",G362=f_un),OR(f_tr="",f_tr="(Todos)",H362=f_tr),OR(f_de="",f_de="(Todos)",I362=f_de),OR(f_sit="",f_sit="(Todas)",S362=f_sit)),1,0))</f>
        <v>0</v>
      </c>
      <c r="AY362" s="96">
        <f>IF(AX362=0,0,IF(OR(f_res="",f_res="(Todos)"),1,IF(COUNTIFS('ITENS_MTR'!$S$6:$S$1005,A362,'ITENS_MTR'!$C$6:$C$1005,f_res)&gt;0,1,0)))</f>
        <v>0</v>
      </c>
      <c r="AZ362" s="97" t="str">
        <f>IF(ISNUMBER(E362),DATE(YEAR(E362),MONTH(E362),1),"")</f>
        <v/>
      </c>
      <c r="BA362" s="96">
        <f>IF(Z362=0,0,IF(AND(OR(r_ini="",AND(ISNUMBER(E362),E362&gt;=r_ini)),OR(r_fim="",AND(ISNUMBER(E362),E362&lt;=r_fim)),OR(r_un="",r_un="(Todas)",G362=r_un),OR(r_de="",r_de="(Todos)",I362=r_de)),1,0))</f>
        <v>0</v>
      </c>
      <c r="BB362" s="96" t="str">
        <f>IF(BA362=1,COUNTIF($BA$6:BA362,1),"")</f>
        <v/>
      </c>
      <c r="BC362" s="96" t="str">
        <f>IF(AND(AU362&lt;&gt;"",OR(r_un="",r_un="(Todas)",G362=r_un),OR(r_de="",r_de="(Todos)",I362=r_de)),AU362,"")</f>
        <v/>
      </c>
      <c r="BD362" s="96" t="str">
        <f>IF(Z362=1,A362&amp;" | nº "&amp;IF(B362="","(sem número)",B362)&amp;" | "&amp;IF(G362="","(sem unidade)",G362),"")</f>
        <v/>
      </c>
      <c r="BE362" s="96" t="str">
        <f>IF(Z362=1,COUNTIF($Z$6:Z362,1),"")</f>
        <v/>
      </c>
      <c r="BF362" s="96" t="str">
        <f>IF(T362="","",IF(T362="RECEBIMENTO NÃO CONFIRMADO","Transp.: "&amp;H362&amp;" | Dest.: "&amp;I362,IF(OR(T362="CDF NÃO LOCALIZADO",T362="VÍNCULO INCOMPLETO",T362="CDF A CONFERIR"),"Dest.: "&amp;I362,"Gerador: "&amp;G362)))</f>
        <v/>
      </c>
    </row>
    <row r="363">
      <c r="A363" s="89" t="inlineStr">
        <is>
          <t>MTR-000358</t>
        </is>
      </c>
      <c r="B363" s="90" t="n"/>
      <c r="C363" s="91" t="n"/>
      <c r="D363" s="91" t="n"/>
      <c r="E363" s="92" t="n"/>
      <c r="F363" s="92" t="n"/>
      <c r="G363" s="91" t="n"/>
      <c r="H363" s="91" t="n"/>
      <c r="I363" s="91" t="n"/>
      <c r="J363" s="91" t="n"/>
      <c r="K363" s="91" t="n"/>
      <c r="L363" s="92" t="n"/>
      <c r="M363" s="91" t="n"/>
      <c r="N363" s="91" t="n"/>
      <c r="O363" s="91" t="n"/>
      <c r="P363" s="93" t="str">
        <f>IF(Z363=0,"",SUMIFS('ITENS_MTR'!$I$6:$I$1005,'ITENS_MTR'!$S$6:$S$1005,A363,'ITENS_MTR'!$Y$6:$Y$1005,1))</f>
        <v/>
      </c>
      <c r="Q363" s="93" t="str">
        <f>IF(Z363=0,"",SUMIFS('RECEBIMENTOS'!$H$6:$H$1005,'RECEBIMENTOS'!$B$6:$B$1005,A363,'RECEBIMENTOS'!$X$6:$X$1005,1))</f>
        <v/>
      </c>
      <c r="R363" s="93" t="str">
        <f>IF(Z363=0,"",SUMIFS('VÍNCULOS_CDF'!$H$6:$H$1005,'VÍNCULOS_CDF'!$D$6:$D$1005,A363,'VÍNCULOS_CDF'!$V$6:$V$1005,1))</f>
        <v/>
      </c>
      <c r="S363" s="94" t="str">
        <f>IF(Z363=0,"",IF(AA363=1,"Cancelado (informado)",IF(AE363=1,"Cadastro incompleto",IF(OR(AC363=1,AD363=1,AF363&gt;0,AH363&gt;0,AK363&gt;0,AL363&gt;0),"Informação a revisar",IF(AN363=0,"Aguardando recebimento",IF(N(R363)=0,"Aguardando CDF",IF(AJ363&lt;N(W363),"Vínculo de CDF parcial",IF(AO363=0,"CDF localizado, a conferir","Documentação conferida"))))))))</f>
        <v/>
      </c>
      <c r="T363" s="94" t="str">
        <f>IF(Z363=0,"",IF(S363="Cadastro incompleto","MTR INCOMPLETO",IF(S363="Informação a revisar",IF(AND(AH363&gt;0,AC363=0,AD363=0,AF363=0,AK363=0,AL363=0),"QUANTIDADE A REVISAR","IDENTIFICAÇÃO A REVISAR"),IF(S363="Aguardando recebimento","RECEBIMENTO NÃO CONFIRMADO",IF(S363="Aguardando CDF","CDF NÃO LOCALIZADO",IF(S363="Vínculo de CDF parcial","VÍNCULO INCOMPLETO",IF(S363="CDF localizado, a conferir","CDF A CONFERIR","")))))))</f>
        <v/>
      </c>
      <c r="U363" s="95" t="str">
        <f>IF(T363="","",IF(AQ363="","Não calculável",IF(AQ363&gt;TODAY(),"Data futura",TODAY()-AQ363)))</f>
        <v/>
      </c>
      <c r="V363" s="93" t="str">
        <f>IF(Z363=0,"",SUMIFS('RECEBIMENTOS'!$H$6:$H$1005,'RECEBIMENTOS'!$B$6:$B$1005,A363,'RECEBIMENTOS'!$Z$6:$Z$1005,1))</f>
        <v/>
      </c>
      <c r="W363" s="95" t="str">
        <f>IF(Z363=0,"",COUNTIFS('ITENS_MTR'!$S$6:$S$1005,A363,'ITENS_MTR'!$R$6:$R$1005,1))</f>
        <v/>
      </c>
      <c r="X363" s="94" t="str">
        <f>IF(AC363=1,"POSSÍVEL DUPLICIDADE","")</f>
        <v/>
      </c>
      <c r="Y363" s="94" t="str">
        <f>IF(Z363=0,"",IF(AW363="","Nenhuma",LEFT(AW363,LEN(AW363)-2)))</f>
        <v/>
      </c>
      <c r="Z363" s="96">
        <f>IF(COUNTA(B363:O363)&gt;0,1,0)</f>
        <v>0</v>
      </c>
      <c r="AA363" s="96">
        <f>IF(AND(Z363=1,K363&lt;&gt;""),IF(TRIM(K363)=TRIM(cfg_cancel),1,0),0)</f>
        <v>0</v>
      </c>
      <c r="AB363" s="96" t="str">
        <f>IF(AND(Z363=1,B363&lt;&gt;""),C363&amp;"|"&amp;D363&amp;"|"&amp;G363&amp;"|"&amp;TRIM(B363),"")</f>
        <v/>
      </c>
      <c r="AC363" s="96">
        <f>IF(AB363="",0,IF(SUMPRODUCT(--($AB$6:$AB$505=AB363))&gt;1,1,0))</f>
        <v>0</v>
      </c>
      <c r="AD363" s="96">
        <f>IF(Z363=0,0,IF(OR(AND(G363&lt;&gt;"",ISNA(MATCH(G363,'CAD_UNIDADES'!$C$6:$C$105,0))),AND(H363&lt;&gt;"",ISNA(MATCH(H363,cmp_transp,0))),AND(I363&lt;&gt;"",ISNA(MATCH(I363,cmp_dest,0))),AND(E363&lt;&gt;"",NOT(ISNUMBER(E363))),AND(F363&lt;&gt;"",NOT(ISNUMBER(F363))),AND(ISNUMBER(E363),ISNUMBER(F363),F363&lt;E363)),1,0))</f>
        <v>0</v>
      </c>
      <c r="AE363" s="96">
        <f>IF(Z363=0,0,IF(OR(B363="",C363="",E363="",G363="",H363="",I363="",N(W363)=0),1,0))</f>
        <v>0</v>
      </c>
      <c r="AF363" s="96">
        <f>IF(Z363=0,0,COUNTIFS('ITENS_MTR'!$S$6:$S$1005,A363,'ITENS_MTR'!$AI$6:$AI$1005,1))</f>
        <v>0</v>
      </c>
      <c r="AG363" s="96">
        <f>IF(Z363=0,0,COUNTIFS('ITENS_MTR'!$S$6:$S$1005,A363,'ITENS_MTR'!$AJ$6:$AJ$1005,1))</f>
        <v>0</v>
      </c>
      <c r="AH363" s="96">
        <f>IF(Z363=0,0,COUNTIFS('ITENS_MTR'!$S$6:$S$1005,A363,'ITENS_MTR'!$AM$6:$AM$1005,1))</f>
        <v>0</v>
      </c>
      <c r="AI363" s="96">
        <f>IF(Z363=0,0,COUNTIFS('ITENS_MTR'!$S$6:$S$1005,A363,'ITENS_MTR'!$AO$6:$AO$1005,1))</f>
        <v>0</v>
      </c>
      <c r="AJ363" s="96">
        <f>IF(Z363=0,0,COUNTIFS('ITENS_MTR'!$S$6:$S$1005,A363,'ITENS_MTR'!$AN$6:$AN$1005,1))</f>
        <v>0</v>
      </c>
      <c r="AK363" s="96">
        <f>IF(Z363=0,0,COUNTIFS('RECEBIMENTOS'!$B$6:$B$1005,A363,'RECEBIMENTOS'!$Y$6:$Y$1005,1))</f>
        <v>0</v>
      </c>
      <c r="AL363" s="96">
        <f>IF(Z363=0,0,COUNTIFS('VÍNCULOS_CDF'!$D$6:$D$1005,A363,'VÍNCULOS_CDF'!$Y$6:$Y$1005,1))</f>
        <v>0</v>
      </c>
      <c r="AM363" s="96">
        <f>IF(Z363=0,0,COUNTIFS('RECEBIMENTOS'!$B$6:$B$1005,A363,'RECEBIMENTOS'!$Q$6:$Q$1005,1))</f>
        <v>0</v>
      </c>
      <c r="AN363" s="96">
        <f>IF(AND(Z363=1,N(W363)&gt;0,AG363=N(W363)),1,0)</f>
        <v>0</v>
      </c>
      <c r="AO363" s="96">
        <f>IF(AND(Z363=1,N(W363)&gt;0,AI363=N(W363)),1,0)</f>
        <v>0</v>
      </c>
      <c r="AP363" s="97">
        <f>IF(Z363=0,0,_xlfn.MAXIFS('RECEBIMENTOS'!$E$6:$E$1005,'RECEBIMENTOS'!$B$6:$B$1005,A363))</f>
        <v>0</v>
      </c>
      <c r="AQ363" s="97" t="str">
        <f>IF(T363="","",IF(T363="RECEBIMENTO NÃO CONFIRMADO",IF(ISNUMBER(F363),F363,IF(ISNUMBER(E363),E363,"")),IF(OR(T363="CDF NÃO LOCALIZADO",T363="VÍNCULO INCOMPLETO",T363="CDF A CONFERIR"),IF(AP363&gt;0,AP363,IF(ISNUMBER(E363),E363,"")),IF(ISNUMBER(E363),E363,""))))</f>
        <v/>
      </c>
      <c r="AR363" s="96">
        <f>IF(NOT(ISNUMBER(U363)),0,IF(T363="RECEBIMENTO NÃO CONFIRMADO",IF(AND(ISNUMBER(cfg_rec),U363&gt;cfg_rec),1,0),IF(OR(T363="CDF NÃO LOCALIZADO",T363="VÍNCULO INCOMPLETO",T363="CDF A CONFERIR"),IF(AND(ISNUMBER(cfg_cdf),U363&gt;cfg_cdf),1,0),0)))</f>
        <v>0</v>
      </c>
      <c r="AS363" s="96" t="str">
        <f>IF(T363="","",IF(AR363=1,"Alta",IFERROR(INDEX(cfg_pp,MATCH(T363,cfg_pt,0))&amp;"","Média")))</f>
        <v/>
      </c>
      <c r="AT363" s="96" t="str">
        <f>IF(T363="","",IFERROR(INDEX(cfg_pv,MATCH(T363,cfg_pt,0))&amp;"",""))</f>
        <v/>
      </c>
      <c r="AU363" s="96" t="str">
        <f>IF(T363="","",IF(AS363="Alta",1,IF(AS363="Média",2,3))*1000000000+(999999-IF(ISNUMBER(U363),MIN(U363,999999),0))*1000+358)</f>
        <v/>
      </c>
      <c r="AV363" s="96">
        <f>IF(T363&lt;&gt;"",1,0)</f>
        <v>0</v>
      </c>
      <c r="AW363" s="96" t="str">
        <f>IF(Z363=0,"",IF(AA363=1,"Cancelamento informado; ","")&amp;IF(AE363=1,"Campos essenciais ou itens faltando; ","")&amp;IF(AC363=1,"Possível duplicidade do número; ","")&amp;IF(AD363=1,"Cadastro ou datas a revisar; ","")&amp;IF(AF363&gt;0,"Item de resíduo com dado a revisar; ","")&amp;IF(AH363&gt;0,"Diferença de quantidade a analisar; ","")&amp;IF(AK363&gt;0,"Recebimento com alerta; ","")&amp;IF(AL363&gt;0,"Vínculo de CDF com alerta; ","")&amp;IF(AND(AA363=0,AN363=0),"Recebimento não confirmado; ","")&amp;IF(AND(AA363=0,AN363=1,AO363=0),"CDF pendente ou a conferir; ",""))</f>
        <v/>
      </c>
      <c r="AX363" s="96">
        <f>IF(Z363=0,0,IF(AND(OR(f_ini="",AND(ISNUMBER(E363),E363&gt;=f_ini)),OR(f_fim="",AND(ISNUMBER(E363),E363&lt;=f_fim)),OR(f_un="",f_un="(Todas)",G363=f_un),OR(f_tr="",f_tr="(Todos)",H363=f_tr),OR(f_de="",f_de="(Todos)",I363=f_de),OR(f_sit="",f_sit="(Todas)",S363=f_sit)),1,0))</f>
        <v>0</v>
      </c>
      <c r="AY363" s="96">
        <f>IF(AX363=0,0,IF(OR(f_res="",f_res="(Todos)"),1,IF(COUNTIFS('ITENS_MTR'!$S$6:$S$1005,A363,'ITENS_MTR'!$C$6:$C$1005,f_res)&gt;0,1,0)))</f>
        <v>0</v>
      </c>
      <c r="AZ363" s="97" t="str">
        <f>IF(ISNUMBER(E363),DATE(YEAR(E363),MONTH(E363),1),"")</f>
        <v/>
      </c>
      <c r="BA363" s="96">
        <f>IF(Z363=0,0,IF(AND(OR(r_ini="",AND(ISNUMBER(E363),E363&gt;=r_ini)),OR(r_fim="",AND(ISNUMBER(E363),E363&lt;=r_fim)),OR(r_un="",r_un="(Todas)",G363=r_un),OR(r_de="",r_de="(Todos)",I363=r_de)),1,0))</f>
        <v>0</v>
      </c>
      <c r="BB363" s="96" t="str">
        <f>IF(BA363=1,COUNTIF($BA$6:BA363,1),"")</f>
        <v/>
      </c>
      <c r="BC363" s="96" t="str">
        <f>IF(AND(AU363&lt;&gt;"",OR(r_un="",r_un="(Todas)",G363=r_un),OR(r_de="",r_de="(Todos)",I363=r_de)),AU363,"")</f>
        <v/>
      </c>
      <c r="BD363" s="96" t="str">
        <f>IF(Z363=1,A363&amp;" | nº "&amp;IF(B363="","(sem número)",B363)&amp;" | "&amp;IF(G363="","(sem unidade)",G363),"")</f>
        <v/>
      </c>
      <c r="BE363" s="96" t="str">
        <f>IF(Z363=1,COUNTIF($Z$6:Z363,1),"")</f>
        <v/>
      </c>
      <c r="BF363" s="96" t="str">
        <f>IF(T363="","",IF(T363="RECEBIMENTO NÃO CONFIRMADO","Transp.: "&amp;H363&amp;" | Dest.: "&amp;I363,IF(OR(T363="CDF NÃO LOCALIZADO",T363="VÍNCULO INCOMPLETO",T363="CDF A CONFERIR"),"Dest.: "&amp;I363,"Gerador: "&amp;G363)))</f>
        <v/>
      </c>
    </row>
    <row r="364">
      <c r="A364" s="89" t="inlineStr">
        <is>
          <t>MTR-000359</t>
        </is>
      </c>
      <c r="B364" s="90" t="n"/>
      <c r="C364" s="91" t="n"/>
      <c r="D364" s="91" t="n"/>
      <c r="E364" s="92" t="n"/>
      <c r="F364" s="92" t="n"/>
      <c r="G364" s="91" t="n"/>
      <c r="H364" s="91" t="n"/>
      <c r="I364" s="91" t="n"/>
      <c r="J364" s="91" t="n"/>
      <c r="K364" s="91" t="n"/>
      <c r="L364" s="92" t="n"/>
      <c r="M364" s="91" t="n"/>
      <c r="N364" s="91" t="n"/>
      <c r="O364" s="91" t="n"/>
      <c r="P364" s="93" t="str">
        <f>IF(Z364=0,"",SUMIFS('ITENS_MTR'!$I$6:$I$1005,'ITENS_MTR'!$S$6:$S$1005,A364,'ITENS_MTR'!$Y$6:$Y$1005,1))</f>
        <v/>
      </c>
      <c r="Q364" s="93" t="str">
        <f>IF(Z364=0,"",SUMIFS('RECEBIMENTOS'!$H$6:$H$1005,'RECEBIMENTOS'!$B$6:$B$1005,A364,'RECEBIMENTOS'!$X$6:$X$1005,1))</f>
        <v/>
      </c>
      <c r="R364" s="93" t="str">
        <f>IF(Z364=0,"",SUMIFS('VÍNCULOS_CDF'!$H$6:$H$1005,'VÍNCULOS_CDF'!$D$6:$D$1005,A364,'VÍNCULOS_CDF'!$V$6:$V$1005,1))</f>
        <v/>
      </c>
      <c r="S364" s="94" t="str">
        <f>IF(Z364=0,"",IF(AA364=1,"Cancelado (informado)",IF(AE364=1,"Cadastro incompleto",IF(OR(AC364=1,AD364=1,AF364&gt;0,AH364&gt;0,AK364&gt;0,AL364&gt;0),"Informação a revisar",IF(AN364=0,"Aguardando recebimento",IF(N(R364)=0,"Aguardando CDF",IF(AJ364&lt;N(W364),"Vínculo de CDF parcial",IF(AO364=0,"CDF localizado, a conferir","Documentação conferida"))))))))</f>
        <v/>
      </c>
      <c r="T364" s="94" t="str">
        <f>IF(Z364=0,"",IF(S364="Cadastro incompleto","MTR INCOMPLETO",IF(S364="Informação a revisar",IF(AND(AH364&gt;0,AC364=0,AD364=0,AF364=0,AK364=0,AL364=0),"QUANTIDADE A REVISAR","IDENTIFICAÇÃO A REVISAR"),IF(S364="Aguardando recebimento","RECEBIMENTO NÃO CONFIRMADO",IF(S364="Aguardando CDF","CDF NÃO LOCALIZADO",IF(S364="Vínculo de CDF parcial","VÍNCULO INCOMPLETO",IF(S364="CDF localizado, a conferir","CDF A CONFERIR","")))))))</f>
        <v/>
      </c>
      <c r="U364" s="95" t="str">
        <f>IF(T364="","",IF(AQ364="","Não calculável",IF(AQ364&gt;TODAY(),"Data futura",TODAY()-AQ364)))</f>
        <v/>
      </c>
      <c r="V364" s="93" t="str">
        <f>IF(Z364=0,"",SUMIFS('RECEBIMENTOS'!$H$6:$H$1005,'RECEBIMENTOS'!$B$6:$B$1005,A364,'RECEBIMENTOS'!$Z$6:$Z$1005,1))</f>
        <v/>
      </c>
      <c r="W364" s="95" t="str">
        <f>IF(Z364=0,"",COUNTIFS('ITENS_MTR'!$S$6:$S$1005,A364,'ITENS_MTR'!$R$6:$R$1005,1))</f>
        <v/>
      </c>
      <c r="X364" s="94" t="str">
        <f>IF(AC364=1,"POSSÍVEL DUPLICIDADE","")</f>
        <v/>
      </c>
      <c r="Y364" s="94" t="str">
        <f>IF(Z364=0,"",IF(AW364="","Nenhuma",LEFT(AW364,LEN(AW364)-2)))</f>
        <v/>
      </c>
      <c r="Z364" s="96">
        <f>IF(COUNTA(B364:O364)&gt;0,1,0)</f>
        <v>0</v>
      </c>
      <c r="AA364" s="96">
        <f>IF(AND(Z364=1,K364&lt;&gt;""),IF(TRIM(K364)=TRIM(cfg_cancel),1,0),0)</f>
        <v>0</v>
      </c>
      <c r="AB364" s="96" t="str">
        <f>IF(AND(Z364=1,B364&lt;&gt;""),C364&amp;"|"&amp;D364&amp;"|"&amp;G364&amp;"|"&amp;TRIM(B364),"")</f>
        <v/>
      </c>
      <c r="AC364" s="96">
        <f>IF(AB364="",0,IF(SUMPRODUCT(--($AB$6:$AB$505=AB364))&gt;1,1,0))</f>
        <v>0</v>
      </c>
      <c r="AD364" s="96">
        <f>IF(Z364=0,0,IF(OR(AND(G364&lt;&gt;"",ISNA(MATCH(G364,'CAD_UNIDADES'!$C$6:$C$105,0))),AND(H364&lt;&gt;"",ISNA(MATCH(H364,cmp_transp,0))),AND(I364&lt;&gt;"",ISNA(MATCH(I364,cmp_dest,0))),AND(E364&lt;&gt;"",NOT(ISNUMBER(E364))),AND(F364&lt;&gt;"",NOT(ISNUMBER(F364))),AND(ISNUMBER(E364),ISNUMBER(F364),F364&lt;E364)),1,0))</f>
        <v>0</v>
      </c>
      <c r="AE364" s="96">
        <f>IF(Z364=0,0,IF(OR(B364="",C364="",E364="",G364="",H364="",I364="",N(W364)=0),1,0))</f>
        <v>0</v>
      </c>
      <c r="AF364" s="96">
        <f>IF(Z364=0,0,COUNTIFS('ITENS_MTR'!$S$6:$S$1005,A364,'ITENS_MTR'!$AI$6:$AI$1005,1))</f>
        <v>0</v>
      </c>
      <c r="AG364" s="96">
        <f>IF(Z364=0,0,COUNTIFS('ITENS_MTR'!$S$6:$S$1005,A364,'ITENS_MTR'!$AJ$6:$AJ$1005,1))</f>
        <v>0</v>
      </c>
      <c r="AH364" s="96">
        <f>IF(Z364=0,0,COUNTIFS('ITENS_MTR'!$S$6:$S$1005,A364,'ITENS_MTR'!$AM$6:$AM$1005,1))</f>
        <v>0</v>
      </c>
      <c r="AI364" s="96">
        <f>IF(Z364=0,0,COUNTIFS('ITENS_MTR'!$S$6:$S$1005,A364,'ITENS_MTR'!$AO$6:$AO$1005,1))</f>
        <v>0</v>
      </c>
      <c r="AJ364" s="96">
        <f>IF(Z364=0,0,COUNTIFS('ITENS_MTR'!$S$6:$S$1005,A364,'ITENS_MTR'!$AN$6:$AN$1005,1))</f>
        <v>0</v>
      </c>
      <c r="AK364" s="96">
        <f>IF(Z364=0,0,COUNTIFS('RECEBIMENTOS'!$B$6:$B$1005,A364,'RECEBIMENTOS'!$Y$6:$Y$1005,1))</f>
        <v>0</v>
      </c>
      <c r="AL364" s="96">
        <f>IF(Z364=0,0,COUNTIFS('VÍNCULOS_CDF'!$D$6:$D$1005,A364,'VÍNCULOS_CDF'!$Y$6:$Y$1005,1))</f>
        <v>0</v>
      </c>
      <c r="AM364" s="96">
        <f>IF(Z364=0,0,COUNTIFS('RECEBIMENTOS'!$B$6:$B$1005,A364,'RECEBIMENTOS'!$Q$6:$Q$1005,1))</f>
        <v>0</v>
      </c>
      <c r="AN364" s="96">
        <f>IF(AND(Z364=1,N(W364)&gt;0,AG364=N(W364)),1,0)</f>
        <v>0</v>
      </c>
      <c r="AO364" s="96">
        <f>IF(AND(Z364=1,N(W364)&gt;0,AI364=N(W364)),1,0)</f>
        <v>0</v>
      </c>
      <c r="AP364" s="97">
        <f>IF(Z364=0,0,_xlfn.MAXIFS('RECEBIMENTOS'!$E$6:$E$1005,'RECEBIMENTOS'!$B$6:$B$1005,A364))</f>
        <v>0</v>
      </c>
      <c r="AQ364" s="97" t="str">
        <f>IF(T364="","",IF(T364="RECEBIMENTO NÃO CONFIRMADO",IF(ISNUMBER(F364),F364,IF(ISNUMBER(E364),E364,"")),IF(OR(T364="CDF NÃO LOCALIZADO",T364="VÍNCULO INCOMPLETO",T364="CDF A CONFERIR"),IF(AP364&gt;0,AP364,IF(ISNUMBER(E364),E364,"")),IF(ISNUMBER(E364),E364,""))))</f>
        <v/>
      </c>
      <c r="AR364" s="96">
        <f>IF(NOT(ISNUMBER(U364)),0,IF(T364="RECEBIMENTO NÃO CONFIRMADO",IF(AND(ISNUMBER(cfg_rec),U364&gt;cfg_rec),1,0),IF(OR(T364="CDF NÃO LOCALIZADO",T364="VÍNCULO INCOMPLETO",T364="CDF A CONFERIR"),IF(AND(ISNUMBER(cfg_cdf),U364&gt;cfg_cdf),1,0),0)))</f>
        <v>0</v>
      </c>
      <c r="AS364" s="96" t="str">
        <f>IF(T364="","",IF(AR364=1,"Alta",IFERROR(INDEX(cfg_pp,MATCH(T364,cfg_pt,0))&amp;"","Média")))</f>
        <v/>
      </c>
      <c r="AT364" s="96" t="str">
        <f>IF(T364="","",IFERROR(INDEX(cfg_pv,MATCH(T364,cfg_pt,0))&amp;"",""))</f>
        <v/>
      </c>
      <c r="AU364" s="96" t="str">
        <f>IF(T364="","",IF(AS364="Alta",1,IF(AS364="Média",2,3))*1000000000+(999999-IF(ISNUMBER(U364),MIN(U364,999999),0))*1000+359)</f>
        <v/>
      </c>
      <c r="AV364" s="96">
        <f>IF(T364&lt;&gt;"",1,0)</f>
        <v>0</v>
      </c>
      <c r="AW364" s="96" t="str">
        <f>IF(Z364=0,"",IF(AA364=1,"Cancelamento informado; ","")&amp;IF(AE364=1,"Campos essenciais ou itens faltando; ","")&amp;IF(AC364=1,"Possível duplicidade do número; ","")&amp;IF(AD364=1,"Cadastro ou datas a revisar; ","")&amp;IF(AF364&gt;0,"Item de resíduo com dado a revisar; ","")&amp;IF(AH364&gt;0,"Diferença de quantidade a analisar; ","")&amp;IF(AK364&gt;0,"Recebimento com alerta; ","")&amp;IF(AL364&gt;0,"Vínculo de CDF com alerta; ","")&amp;IF(AND(AA364=0,AN364=0),"Recebimento não confirmado; ","")&amp;IF(AND(AA364=0,AN364=1,AO364=0),"CDF pendente ou a conferir; ",""))</f>
        <v/>
      </c>
      <c r="AX364" s="96">
        <f>IF(Z364=0,0,IF(AND(OR(f_ini="",AND(ISNUMBER(E364),E364&gt;=f_ini)),OR(f_fim="",AND(ISNUMBER(E364),E364&lt;=f_fim)),OR(f_un="",f_un="(Todas)",G364=f_un),OR(f_tr="",f_tr="(Todos)",H364=f_tr),OR(f_de="",f_de="(Todos)",I364=f_de),OR(f_sit="",f_sit="(Todas)",S364=f_sit)),1,0))</f>
        <v>0</v>
      </c>
      <c r="AY364" s="96">
        <f>IF(AX364=0,0,IF(OR(f_res="",f_res="(Todos)"),1,IF(COUNTIFS('ITENS_MTR'!$S$6:$S$1005,A364,'ITENS_MTR'!$C$6:$C$1005,f_res)&gt;0,1,0)))</f>
        <v>0</v>
      </c>
      <c r="AZ364" s="97" t="str">
        <f>IF(ISNUMBER(E364),DATE(YEAR(E364),MONTH(E364),1),"")</f>
        <v/>
      </c>
      <c r="BA364" s="96">
        <f>IF(Z364=0,0,IF(AND(OR(r_ini="",AND(ISNUMBER(E364),E364&gt;=r_ini)),OR(r_fim="",AND(ISNUMBER(E364),E364&lt;=r_fim)),OR(r_un="",r_un="(Todas)",G364=r_un),OR(r_de="",r_de="(Todos)",I364=r_de)),1,0))</f>
        <v>0</v>
      </c>
      <c r="BB364" s="96" t="str">
        <f>IF(BA364=1,COUNTIF($BA$6:BA364,1),"")</f>
        <v/>
      </c>
      <c r="BC364" s="96" t="str">
        <f>IF(AND(AU364&lt;&gt;"",OR(r_un="",r_un="(Todas)",G364=r_un),OR(r_de="",r_de="(Todos)",I364=r_de)),AU364,"")</f>
        <v/>
      </c>
      <c r="BD364" s="96" t="str">
        <f>IF(Z364=1,A364&amp;" | nº "&amp;IF(B364="","(sem número)",B364)&amp;" | "&amp;IF(G364="","(sem unidade)",G364),"")</f>
        <v/>
      </c>
      <c r="BE364" s="96" t="str">
        <f>IF(Z364=1,COUNTIF($Z$6:Z364,1),"")</f>
        <v/>
      </c>
      <c r="BF364" s="96" t="str">
        <f>IF(T364="","",IF(T364="RECEBIMENTO NÃO CONFIRMADO","Transp.: "&amp;H364&amp;" | Dest.: "&amp;I364,IF(OR(T364="CDF NÃO LOCALIZADO",T364="VÍNCULO INCOMPLETO",T364="CDF A CONFERIR"),"Dest.: "&amp;I364,"Gerador: "&amp;G364)))</f>
        <v/>
      </c>
    </row>
    <row r="365">
      <c r="A365" s="89" t="inlineStr">
        <is>
          <t>MTR-000360</t>
        </is>
      </c>
      <c r="B365" s="90" t="n"/>
      <c r="C365" s="91" t="n"/>
      <c r="D365" s="91" t="n"/>
      <c r="E365" s="92" t="n"/>
      <c r="F365" s="92" t="n"/>
      <c r="G365" s="91" t="n"/>
      <c r="H365" s="91" t="n"/>
      <c r="I365" s="91" t="n"/>
      <c r="J365" s="91" t="n"/>
      <c r="K365" s="91" t="n"/>
      <c r="L365" s="92" t="n"/>
      <c r="M365" s="91" t="n"/>
      <c r="N365" s="91" t="n"/>
      <c r="O365" s="91" t="n"/>
      <c r="P365" s="93" t="str">
        <f>IF(Z365=0,"",SUMIFS('ITENS_MTR'!$I$6:$I$1005,'ITENS_MTR'!$S$6:$S$1005,A365,'ITENS_MTR'!$Y$6:$Y$1005,1))</f>
        <v/>
      </c>
      <c r="Q365" s="93" t="str">
        <f>IF(Z365=0,"",SUMIFS('RECEBIMENTOS'!$H$6:$H$1005,'RECEBIMENTOS'!$B$6:$B$1005,A365,'RECEBIMENTOS'!$X$6:$X$1005,1))</f>
        <v/>
      </c>
      <c r="R365" s="93" t="str">
        <f>IF(Z365=0,"",SUMIFS('VÍNCULOS_CDF'!$H$6:$H$1005,'VÍNCULOS_CDF'!$D$6:$D$1005,A365,'VÍNCULOS_CDF'!$V$6:$V$1005,1))</f>
        <v/>
      </c>
      <c r="S365" s="94" t="str">
        <f>IF(Z365=0,"",IF(AA365=1,"Cancelado (informado)",IF(AE365=1,"Cadastro incompleto",IF(OR(AC365=1,AD365=1,AF365&gt;0,AH365&gt;0,AK365&gt;0,AL365&gt;0),"Informação a revisar",IF(AN365=0,"Aguardando recebimento",IF(N(R365)=0,"Aguardando CDF",IF(AJ365&lt;N(W365),"Vínculo de CDF parcial",IF(AO365=0,"CDF localizado, a conferir","Documentação conferida"))))))))</f>
        <v/>
      </c>
      <c r="T365" s="94" t="str">
        <f>IF(Z365=0,"",IF(S365="Cadastro incompleto","MTR INCOMPLETO",IF(S365="Informação a revisar",IF(AND(AH365&gt;0,AC365=0,AD365=0,AF365=0,AK365=0,AL365=0),"QUANTIDADE A REVISAR","IDENTIFICAÇÃO A REVISAR"),IF(S365="Aguardando recebimento","RECEBIMENTO NÃO CONFIRMADO",IF(S365="Aguardando CDF","CDF NÃO LOCALIZADO",IF(S365="Vínculo de CDF parcial","VÍNCULO INCOMPLETO",IF(S365="CDF localizado, a conferir","CDF A CONFERIR","")))))))</f>
        <v/>
      </c>
      <c r="U365" s="95" t="str">
        <f>IF(T365="","",IF(AQ365="","Não calculável",IF(AQ365&gt;TODAY(),"Data futura",TODAY()-AQ365)))</f>
        <v/>
      </c>
      <c r="V365" s="93" t="str">
        <f>IF(Z365=0,"",SUMIFS('RECEBIMENTOS'!$H$6:$H$1005,'RECEBIMENTOS'!$B$6:$B$1005,A365,'RECEBIMENTOS'!$Z$6:$Z$1005,1))</f>
        <v/>
      </c>
      <c r="W365" s="95" t="str">
        <f>IF(Z365=0,"",COUNTIFS('ITENS_MTR'!$S$6:$S$1005,A365,'ITENS_MTR'!$R$6:$R$1005,1))</f>
        <v/>
      </c>
      <c r="X365" s="94" t="str">
        <f>IF(AC365=1,"POSSÍVEL DUPLICIDADE","")</f>
        <v/>
      </c>
      <c r="Y365" s="94" t="str">
        <f>IF(Z365=0,"",IF(AW365="","Nenhuma",LEFT(AW365,LEN(AW365)-2)))</f>
        <v/>
      </c>
      <c r="Z365" s="96">
        <f>IF(COUNTA(B365:O365)&gt;0,1,0)</f>
        <v>0</v>
      </c>
      <c r="AA365" s="96">
        <f>IF(AND(Z365=1,K365&lt;&gt;""),IF(TRIM(K365)=TRIM(cfg_cancel),1,0),0)</f>
        <v>0</v>
      </c>
      <c r="AB365" s="96" t="str">
        <f>IF(AND(Z365=1,B365&lt;&gt;""),C365&amp;"|"&amp;D365&amp;"|"&amp;G365&amp;"|"&amp;TRIM(B365),"")</f>
        <v/>
      </c>
      <c r="AC365" s="96">
        <f>IF(AB365="",0,IF(SUMPRODUCT(--($AB$6:$AB$505=AB365))&gt;1,1,0))</f>
        <v>0</v>
      </c>
      <c r="AD365" s="96">
        <f>IF(Z365=0,0,IF(OR(AND(G365&lt;&gt;"",ISNA(MATCH(G365,'CAD_UNIDADES'!$C$6:$C$105,0))),AND(H365&lt;&gt;"",ISNA(MATCH(H365,cmp_transp,0))),AND(I365&lt;&gt;"",ISNA(MATCH(I365,cmp_dest,0))),AND(E365&lt;&gt;"",NOT(ISNUMBER(E365))),AND(F365&lt;&gt;"",NOT(ISNUMBER(F365))),AND(ISNUMBER(E365),ISNUMBER(F365),F365&lt;E365)),1,0))</f>
        <v>0</v>
      </c>
      <c r="AE365" s="96">
        <f>IF(Z365=0,0,IF(OR(B365="",C365="",E365="",G365="",H365="",I365="",N(W365)=0),1,0))</f>
        <v>0</v>
      </c>
      <c r="AF365" s="96">
        <f>IF(Z365=0,0,COUNTIFS('ITENS_MTR'!$S$6:$S$1005,A365,'ITENS_MTR'!$AI$6:$AI$1005,1))</f>
        <v>0</v>
      </c>
      <c r="AG365" s="96">
        <f>IF(Z365=0,0,COUNTIFS('ITENS_MTR'!$S$6:$S$1005,A365,'ITENS_MTR'!$AJ$6:$AJ$1005,1))</f>
        <v>0</v>
      </c>
      <c r="AH365" s="96">
        <f>IF(Z365=0,0,COUNTIFS('ITENS_MTR'!$S$6:$S$1005,A365,'ITENS_MTR'!$AM$6:$AM$1005,1))</f>
        <v>0</v>
      </c>
      <c r="AI365" s="96">
        <f>IF(Z365=0,0,COUNTIFS('ITENS_MTR'!$S$6:$S$1005,A365,'ITENS_MTR'!$AO$6:$AO$1005,1))</f>
        <v>0</v>
      </c>
      <c r="AJ365" s="96">
        <f>IF(Z365=0,0,COUNTIFS('ITENS_MTR'!$S$6:$S$1005,A365,'ITENS_MTR'!$AN$6:$AN$1005,1))</f>
        <v>0</v>
      </c>
      <c r="AK365" s="96">
        <f>IF(Z365=0,0,COUNTIFS('RECEBIMENTOS'!$B$6:$B$1005,A365,'RECEBIMENTOS'!$Y$6:$Y$1005,1))</f>
        <v>0</v>
      </c>
      <c r="AL365" s="96">
        <f>IF(Z365=0,0,COUNTIFS('VÍNCULOS_CDF'!$D$6:$D$1005,A365,'VÍNCULOS_CDF'!$Y$6:$Y$1005,1))</f>
        <v>0</v>
      </c>
      <c r="AM365" s="96">
        <f>IF(Z365=0,0,COUNTIFS('RECEBIMENTOS'!$B$6:$B$1005,A365,'RECEBIMENTOS'!$Q$6:$Q$1005,1))</f>
        <v>0</v>
      </c>
      <c r="AN365" s="96">
        <f>IF(AND(Z365=1,N(W365)&gt;0,AG365=N(W365)),1,0)</f>
        <v>0</v>
      </c>
      <c r="AO365" s="96">
        <f>IF(AND(Z365=1,N(W365)&gt;0,AI365=N(W365)),1,0)</f>
        <v>0</v>
      </c>
      <c r="AP365" s="97">
        <f>IF(Z365=0,0,_xlfn.MAXIFS('RECEBIMENTOS'!$E$6:$E$1005,'RECEBIMENTOS'!$B$6:$B$1005,A365))</f>
        <v>0</v>
      </c>
      <c r="AQ365" s="97" t="str">
        <f>IF(T365="","",IF(T365="RECEBIMENTO NÃO CONFIRMADO",IF(ISNUMBER(F365),F365,IF(ISNUMBER(E365),E365,"")),IF(OR(T365="CDF NÃO LOCALIZADO",T365="VÍNCULO INCOMPLETO",T365="CDF A CONFERIR"),IF(AP365&gt;0,AP365,IF(ISNUMBER(E365),E365,"")),IF(ISNUMBER(E365),E365,""))))</f>
        <v/>
      </c>
      <c r="AR365" s="96">
        <f>IF(NOT(ISNUMBER(U365)),0,IF(T365="RECEBIMENTO NÃO CONFIRMADO",IF(AND(ISNUMBER(cfg_rec),U365&gt;cfg_rec),1,0),IF(OR(T365="CDF NÃO LOCALIZADO",T365="VÍNCULO INCOMPLETO",T365="CDF A CONFERIR"),IF(AND(ISNUMBER(cfg_cdf),U365&gt;cfg_cdf),1,0),0)))</f>
        <v>0</v>
      </c>
      <c r="AS365" s="96" t="str">
        <f>IF(T365="","",IF(AR365=1,"Alta",IFERROR(INDEX(cfg_pp,MATCH(T365,cfg_pt,0))&amp;"","Média")))</f>
        <v/>
      </c>
      <c r="AT365" s="96" t="str">
        <f>IF(T365="","",IFERROR(INDEX(cfg_pv,MATCH(T365,cfg_pt,0))&amp;"",""))</f>
        <v/>
      </c>
      <c r="AU365" s="96" t="str">
        <f>IF(T365="","",IF(AS365="Alta",1,IF(AS365="Média",2,3))*1000000000+(999999-IF(ISNUMBER(U365),MIN(U365,999999),0))*1000+360)</f>
        <v/>
      </c>
      <c r="AV365" s="96">
        <f>IF(T365&lt;&gt;"",1,0)</f>
        <v>0</v>
      </c>
      <c r="AW365" s="96" t="str">
        <f>IF(Z365=0,"",IF(AA365=1,"Cancelamento informado; ","")&amp;IF(AE365=1,"Campos essenciais ou itens faltando; ","")&amp;IF(AC365=1,"Possível duplicidade do número; ","")&amp;IF(AD365=1,"Cadastro ou datas a revisar; ","")&amp;IF(AF365&gt;0,"Item de resíduo com dado a revisar; ","")&amp;IF(AH365&gt;0,"Diferença de quantidade a analisar; ","")&amp;IF(AK365&gt;0,"Recebimento com alerta; ","")&amp;IF(AL365&gt;0,"Vínculo de CDF com alerta; ","")&amp;IF(AND(AA365=0,AN365=0),"Recebimento não confirmado; ","")&amp;IF(AND(AA365=0,AN365=1,AO365=0),"CDF pendente ou a conferir; ",""))</f>
        <v/>
      </c>
      <c r="AX365" s="96">
        <f>IF(Z365=0,0,IF(AND(OR(f_ini="",AND(ISNUMBER(E365),E365&gt;=f_ini)),OR(f_fim="",AND(ISNUMBER(E365),E365&lt;=f_fim)),OR(f_un="",f_un="(Todas)",G365=f_un),OR(f_tr="",f_tr="(Todos)",H365=f_tr),OR(f_de="",f_de="(Todos)",I365=f_de),OR(f_sit="",f_sit="(Todas)",S365=f_sit)),1,0))</f>
        <v>0</v>
      </c>
      <c r="AY365" s="96">
        <f>IF(AX365=0,0,IF(OR(f_res="",f_res="(Todos)"),1,IF(COUNTIFS('ITENS_MTR'!$S$6:$S$1005,A365,'ITENS_MTR'!$C$6:$C$1005,f_res)&gt;0,1,0)))</f>
        <v>0</v>
      </c>
      <c r="AZ365" s="97" t="str">
        <f>IF(ISNUMBER(E365),DATE(YEAR(E365),MONTH(E365),1),"")</f>
        <v/>
      </c>
      <c r="BA365" s="96">
        <f>IF(Z365=0,0,IF(AND(OR(r_ini="",AND(ISNUMBER(E365),E365&gt;=r_ini)),OR(r_fim="",AND(ISNUMBER(E365),E365&lt;=r_fim)),OR(r_un="",r_un="(Todas)",G365=r_un),OR(r_de="",r_de="(Todos)",I365=r_de)),1,0))</f>
        <v>0</v>
      </c>
      <c r="BB365" s="96" t="str">
        <f>IF(BA365=1,COUNTIF($BA$6:BA365,1),"")</f>
        <v/>
      </c>
      <c r="BC365" s="96" t="str">
        <f>IF(AND(AU365&lt;&gt;"",OR(r_un="",r_un="(Todas)",G365=r_un),OR(r_de="",r_de="(Todos)",I365=r_de)),AU365,"")</f>
        <v/>
      </c>
      <c r="BD365" s="96" t="str">
        <f>IF(Z365=1,A365&amp;" | nº "&amp;IF(B365="","(sem número)",B365)&amp;" | "&amp;IF(G365="","(sem unidade)",G365),"")</f>
        <v/>
      </c>
      <c r="BE365" s="96" t="str">
        <f>IF(Z365=1,COUNTIF($Z$6:Z365,1),"")</f>
        <v/>
      </c>
      <c r="BF365" s="96" t="str">
        <f>IF(T365="","",IF(T365="RECEBIMENTO NÃO CONFIRMADO","Transp.: "&amp;H365&amp;" | Dest.: "&amp;I365,IF(OR(T365="CDF NÃO LOCALIZADO",T365="VÍNCULO INCOMPLETO",T365="CDF A CONFERIR"),"Dest.: "&amp;I365,"Gerador: "&amp;G365)))</f>
        <v/>
      </c>
    </row>
    <row r="366">
      <c r="A366" s="89" t="inlineStr">
        <is>
          <t>MTR-000361</t>
        </is>
      </c>
      <c r="B366" s="90" t="n"/>
      <c r="C366" s="91" t="n"/>
      <c r="D366" s="91" t="n"/>
      <c r="E366" s="92" t="n"/>
      <c r="F366" s="92" t="n"/>
      <c r="G366" s="91" t="n"/>
      <c r="H366" s="91" t="n"/>
      <c r="I366" s="91" t="n"/>
      <c r="J366" s="91" t="n"/>
      <c r="K366" s="91" t="n"/>
      <c r="L366" s="92" t="n"/>
      <c r="M366" s="91" t="n"/>
      <c r="N366" s="91" t="n"/>
      <c r="O366" s="91" t="n"/>
      <c r="P366" s="93" t="str">
        <f>IF(Z366=0,"",SUMIFS('ITENS_MTR'!$I$6:$I$1005,'ITENS_MTR'!$S$6:$S$1005,A366,'ITENS_MTR'!$Y$6:$Y$1005,1))</f>
        <v/>
      </c>
      <c r="Q366" s="93" t="str">
        <f>IF(Z366=0,"",SUMIFS('RECEBIMENTOS'!$H$6:$H$1005,'RECEBIMENTOS'!$B$6:$B$1005,A366,'RECEBIMENTOS'!$X$6:$X$1005,1))</f>
        <v/>
      </c>
      <c r="R366" s="93" t="str">
        <f>IF(Z366=0,"",SUMIFS('VÍNCULOS_CDF'!$H$6:$H$1005,'VÍNCULOS_CDF'!$D$6:$D$1005,A366,'VÍNCULOS_CDF'!$V$6:$V$1005,1))</f>
        <v/>
      </c>
      <c r="S366" s="94" t="str">
        <f>IF(Z366=0,"",IF(AA366=1,"Cancelado (informado)",IF(AE366=1,"Cadastro incompleto",IF(OR(AC366=1,AD366=1,AF366&gt;0,AH366&gt;0,AK366&gt;0,AL366&gt;0),"Informação a revisar",IF(AN366=0,"Aguardando recebimento",IF(N(R366)=0,"Aguardando CDF",IF(AJ366&lt;N(W366),"Vínculo de CDF parcial",IF(AO366=0,"CDF localizado, a conferir","Documentação conferida"))))))))</f>
        <v/>
      </c>
      <c r="T366" s="94" t="str">
        <f>IF(Z366=0,"",IF(S366="Cadastro incompleto","MTR INCOMPLETO",IF(S366="Informação a revisar",IF(AND(AH366&gt;0,AC366=0,AD366=0,AF366=0,AK366=0,AL366=0),"QUANTIDADE A REVISAR","IDENTIFICAÇÃO A REVISAR"),IF(S366="Aguardando recebimento","RECEBIMENTO NÃO CONFIRMADO",IF(S366="Aguardando CDF","CDF NÃO LOCALIZADO",IF(S366="Vínculo de CDF parcial","VÍNCULO INCOMPLETO",IF(S366="CDF localizado, a conferir","CDF A CONFERIR","")))))))</f>
        <v/>
      </c>
      <c r="U366" s="95" t="str">
        <f>IF(T366="","",IF(AQ366="","Não calculável",IF(AQ366&gt;TODAY(),"Data futura",TODAY()-AQ366)))</f>
        <v/>
      </c>
      <c r="V366" s="93" t="str">
        <f>IF(Z366=0,"",SUMIFS('RECEBIMENTOS'!$H$6:$H$1005,'RECEBIMENTOS'!$B$6:$B$1005,A366,'RECEBIMENTOS'!$Z$6:$Z$1005,1))</f>
        <v/>
      </c>
      <c r="W366" s="95" t="str">
        <f>IF(Z366=0,"",COUNTIFS('ITENS_MTR'!$S$6:$S$1005,A366,'ITENS_MTR'!$R$6:$R$1005,1))</f>
        <v/>
      </c>
      <c r="X366" s="94" t="str">
        <f>IF(AC366=1,"POSSÍVEL DUPLICIDADE","")</f>
        <v/>
      </c>
      <c r="Y366" s="94" t="str">
        <f>IF(Z366=0,"",IF(AW366="","Nenhuma",LEFT(AW366,LEN(AW366)-2)))</f>
        <v/>
      </c>
      <c r="Z366" s="96">
        <f>IF(COUNTA(B366:O366)&gt;0,1,0)</f>
        <v>0</v>
      </c>
      <c r="AA366" s="96">
        <f>IF(AND(Z366=1,K366&lt;&gt;""),IF(TRIM(K366)=TRIM(cfg_cancel),1,0),0)</f>
        <v>0</v>
      </c>
      <c r="AB366" s="96" t="str">
        <f>IF(AND(Z366=1,B366&lt;&gt;""),C366&amp;"|"&amp;D366&amp;"|"&amp;G366&amp;"|"&amp;TRIM(B366),"")</f>
        <v/>
      </c>
      <c r="AC366" s="96">
        <f>IF(AB366="",0,IF(SUMPRODUCT(--($AB$6:$AB$505=AB366))&gt;1,1,0))</f>
        <v>0</v>
      </c>
      <c r="AD366" s="96">
        <f>IF(Z366=0,0,IF(OR(AND(G366&lt;&gt;"",ISNA(MATCH(G366,'CAD_UNIDADES'!$C$6:$C$105,0))),AND(H366&lt;&gt;"",ISNA(MATCH(H366,cmp_transp,0))),AND(I366&lt;&gt;"",ISNA(MATCH(I366,cmp_dest,0))),AND(E366&lt;&gt;"",NOT(ISNUMBER(E366))),AND(F366&lt;&gt;"",NOT(ISNUMBER(F366))),AND(ISNUMBER(E366),ISNUMBER(F366),F366&lt;E366)),1,0))</f>
        <v>0</v>
      </c>
      <c r="AE366" s="96">
        <f>IF(Z366=0,0,IF(OR(B366="",C366="",E366="",G366="",H366="",I366="",N(W366)=0),1,0))</f>
        <v>0</v>
      </c>
      <c r="AF366" s="96">
        <f>IF(Z366=0,0,COUNTIFS('ITENS_MTR'!$S$6:$S$1005,A366,'ITENS_MTR'!$AI$6:$AI$1005,1))</f>
        <v>0</v>
      </c>
      <c r="AG366" s="96">
        <f>IF(Z366=0,0,COUNTIFS('ITENS_MTR'!$S$6:$S$1005,A366,'ITENS_MTR'!$AJ$6:$AJ$1005,1))</f>
        <v>0</v>
      </c>
      <c r="AH366" s="96">
        <f>IF(Z366=0,0,COUNTIFS('ITENS_MTR'!$S$6:$S$1005,A366,'ITENS_MTR'!$AM$6:$AM$1005,1))</f>
        <v>0</v>
      </c>
      <c r="AI366" s="96">
        <f>IF(Z366=0,0,COUNTIFS('ITENS_MTR'!$S$6:$S$1005,A366,'ITENS_MTR'!$AO$6:$AO$1005,1))</f>
        <v>0</v>
      </c>
      <c r="AJ366" s="96">
        <f>IF(Z366=0,0,COUNTIFS('ITENS_MTR'!$S$6:$S$1005,A366,'ITENS_MTR'!$AN$6:$AN$1005,1))</f>
        <v>0</v>
      </c>
      <c r="AK366" s="96">
        <f>IF(Z366=0,0,COUNTIFS('RECEBIMENTOS'!$B$6:$B$1005,A366,'RECEBIMENTOS'!$Y$6:$Y$1005,1))</f>
        <v>0</v>
      </c>
      <c r="AL366" s="96">
        <f>IF(Z366=0,0,COUNTIFS('VÍNCULOS_CDF'!$D$6:$D$1005,A366,'VÍNCULOS_CDF'!$Y$6:$Y$1005,1))</f>
        <v>0</v>
      </c>
      <c r="AM366" s="96">
        <f>IF(Z366=0,0,COUNTIFS('RECEBIMENTOS'!$B$6:$B$1005,A366,'RECEBIMENTOS'!$Q$6:$Q$1005,1))</f>
        <v>0</v>
      </c>
      <c r="AN366" s="96">
        <f>IF(AND(Z366=1,N(W366)&gt;0,AG366=N(W366)),1,0)</f>
        <v>0</v>
      </c>
      <c r="AO366" s="96">
        <f>IF(AND(Z366=1,N(W366)&gt;0,AI366=N(W366)),1,0)</f>
        <v>0</v>
      </c>
      <c r="AP366" s="97">
        <f>IF(Z366=0,0,_xlfn.MAXIFS('RECEBIMENTOS'!$E$6:$E$1005,'RECEBIMENTOS'!$B$6:$B$1005,A366))</f>
        <v>0</v>
      </c>
      <c r="AQ366" s="97" t="str">
        <f>IF(T366="","",IF(T366="RECEBIMENTO NÃO CONFIRMADO",IF(ISNUMBER(F366),F366,IF(ISNUMBER(E366),E366,"")),IF(OR(T366="CDF NÃO LOCALIZADO",T366="VÍNCULO INCOMPLETO",T366="CDF A CONFERIR"),IF(AP366&gt;0,AP366,IF(ISNUMBER(E366),E366,"")),IF(ISNUMBER(E366),E366,""))))</f>
        <v/>
      </c>
      <c r="AR366" s="96">
        <f>IF(NOT(ISNUMBER(U366)),0,IF(T366="RECEBIMENTO NÃO CONFIRMADO",IF(AND(ISNUMBER(cfg_rec),U366&gt;cfg_rec),1,0),IF(OR(T366="CDF NÃO LOCALIZADO",T366="VÍNCULO INCOMPLETO",T366="CDF A CONFERIR"),IF(AND(ISNUMBER(cfg_cdf),U366&gt;cfg_cdf),1,0),0)))</f>
        <v>0</v>
      </c>
      <c r="AS366" s="96" t="str">
        <f>IF(T366="","",IF(AR366=1,"Alta",IFERROR(INDEX(cfg_pp,MATCH(T366,cfg_pt,0))&amp;"","Média")))</f>
        <v/>
      </c>
      <c r="AT366" s="96" t="str">
        <f>IF(T366="","",IFERROR(INDEX(cfg_pv,MATCH(T366,cfg_pt,0))&amp;"",""))</f>
        <v/>
      </c>
      <c r="AU366" s="96" t="str">
        <f>IF(T366="","",IF(AS366="Alta",1,IF(AS366="Média",2,3))*1000000000+(999999-IF(ISNUMBER(U366),MIN(U366,999999),0))*1000+361)</f>
        <v/>
      </c>
      <c r="AV366" s="96">
        <f>IF(T366&lt;&gt;"",1,0)</f>
        <v>0</v>
      </c>
      <c r="AW366" s="96" t="str">
        <f>IF(Z366=0,"",IF(AA366=1,"Cancelamento informado; ","")&amp;IF(AE366=1,"Campos essenciais ou itens faltando; ","")&amp;IF(AC366=1,"Possível duplicidade do número; ","")&amp;IF(AD366=1,"Cadastro ou datas a revisar; ","")&amp;IF(AF366&gt;0,"Item de resíduo com dado a revisar; ","")&amp;IF(AH366&gt;0,"Diferença de quantidade a analisar; ","")&amp;IF(AK366&gt;0,"Recebimento com alerta; ","")&amp;IF(AL366&gt;0,"Vínculo de CDF com alerta; ","")&amp;IF(AND(AA366=0,AN366=0),"Recebimento não confirmado; ","")&amp;IF(AND(AA366=0,AN366=1,AO366=0),"CDF pendente ou a conferir; ",""))</f>
        <v/>
      </c>
      <c r="AX366" s="96">
        <f>IF(Z366=0,0,IF(AND(OR(f_ini="",AND(ISNUMBER(E366),E366&gt;=f_ini)),OR(f_fim="",AND(ISNUMBER(E366),E366&lt;=f_fim)),OR(f_un="",f_un="(Todas)",G366=f_un),OR(f_tr="",f_tr="(Todos)",H366=f_tr),OR(f_de="",f_de="(Todos)",I366=f_de),OR(f_sit="",f_sit="(Todas)",S366=f_sit)),1,0))</f>
        <v>0</v>
      </c>
      <c r="AY366" s="96">
        <f>IF(AX366=0,0,IF(OR(f_res="",f_res="(Todos)"),1,IF(COUNTIFS('ITENS_MTR'!$S$6:$S$1005,A366,'ITENS_MTR'!$C$6:$C$1005,f_res)&gt;0,1,0)))</f>
        <v>0</v>
      </c>
      <c r="AZ366" s="97" t="str">
        <f>IF(ISNUMBER(E366),DATE(YEAR(E366),MONTH(E366),1),"")</f>
        <v/>
      </c>
      <c r="BA366" s="96">
        <f>IF(Z366=0,0,IF(AND(OR(r_ini="",AND(ISNUMBER(E366),E366&gt;=r_ini)),OR(r_fim="",AND(ISNUMBER(E366),E366&lt;=r_fim)),OR(r_un="",r_un="(Todas)",G366=r_un),OR(r_de="",r_de="(Todos)",I366=r_de)),1,0))</f>
        <v>0</v>
      </c>
      <c r="BB366" s="96" t="str">
        <f>IF(BA366=1,COUNTIF($BA$6:BA366,1),"")</f>
        <v/>
      </c>
      <c r="BC366" s="96" t="str">
        <f>IF(AND(AU366&lt;&gt;"",OR(r_un="",r_un="(Todas)",G366=r_un),OR(r_de="",r_de="(Todos)",I366=r_de)),AU366,"")</f>
        <v/>
      </c>
      <c r="BD366" s="96" t="str">
        <f>IF(Z366=1,A366&amp;" | nº "&amp;IF(B366="","(sem número)",B366)&amp;" | "&amp;IF(G366="","(sem unidade)",G366),"")</f>
        <v/>
      </c>
      <c r="BE366" s="96" t="str">
        <f>IF(Z366=1,COUNTIF($Z$6:Z366,1),"")</f>
        <v/>
      </c>
      <c r="BF366" s="96" t="str">
        <f>IF(T366="","",IF(T366="RECEBIMENTO NÃO CONFIRMADO","Transp.: "&amp;H366&amp;" | Dest.: "&amp;I366,IF(OR(T366="CDF NÃO LOCALIZADO",T366="VÍNCULO INCOMPLETO",T366="CDF A CONFERIR"),"Dest.: "&amp;I366,"Gerador: "&amp;G366)))</f>
        <v/>
      </c>
    </row>
    <row r="367">
      <c r="A367" s="89" t="inlineStr">
        <is>
          <t>MTR-000362</t>
        </is>
      </c>
      <c r="B367" s="90" t="n"/>
      <c r="C367" s="91" t="n"/>
      <c r="D367" s="91" t="n"/>
      <c r="E367" s="92" t="n"/>
      <c r="F367" s="92" t="n"/>
      <c r="G367" s="91" t="n"/>
      <c r="H367" s="91" t="n"/>
      <c r="I367" s="91" t="n"/>
      <c r="J367" s="91" t="n"/>
      <c r="K367" s="91" t="n"/>
      <c r="L367" s="92" t="n"/>
      <c r="M367" s="91" t="n"/>
      <c r="N367" s="91" t="n"/>
      <c r="O367" s="91" t="n"/>
      <c r="P367" s="93" t="str">
        <f>IF(Z367=0,"",SUMIFS('ITENS_MTR'!$I$6:$I$1005,'ITENS_MTR'!$S$6:$S$1005,A367,'ITENS_MTR'!$Y$6:$Y$1005,1))</f>
        <v/>
      </c>
      <c r="Q367" s="93" t="str">
        <f>IF(Z367=0,"",SUMIFS('RECEBIMENTOS'!$H$6:$H$1005,'RECEBIMENTOS'!$B$6:$B$1005,A367,'RECEBIMENTOS'!$X$6:$X$1005,1))</f>
        <v/>
      </c>
      <c r="R367" s="93" t="str">
        <f>IF(Z367=0,"",SUMIFS('VÍNCULOS_CDF'!$H$6:$H$1005,'VÍNCULOS_CDF'!$D$6:$D$1005,A367,'VÍNCULOS_CDF'!$V$6:$V$1005,1))</f>
        <v/>
      </c>
      <c r="S367" s="94" t="str">
        <f>IF(Z367=0,"",IF(AA367=1,"Cancelado (informado)",IF(AE367=1,"Cadastro incompleto",IF(OR(AC367=1,AD367=1,AF367&gt;0,AH367&gt;0,AK367&gt;0,AL367&gt;0),"Informação a revisar",IF(AN367=0,"Aguardando recebimento",IF(N(R367)=0,"Aguardando CDF",IF(AJ367&lt;N(W367),"Vínculo de CDF parcial",IF(AO367=0,"CDF localizado, a conferir","Documentação conferida"))))))))</f>
        <v/>
      </c>
      <c r="T367" s="94" t="str">
        <f>IF(Z367=0,"",IF(S367="Cadastro incompleto","MTR INCOMPLETO",IF(S367="Informação a revisar",IF(AND(AH367&gt;0,AC367=0,AD367=0,AF367=0,AK367=0,AL367=0),"QUANTIDADE A REVISAR","IDENTIFICAÇÃO A REVISAR"),IF(S367="Aguardando recebimento","RECEBIMENTO NÃO CONFIRMADO",IF(S367="Aguardando CDF","CDF NÃO LOCALIZADO",IF(S367="Vínculo de CDF parcial","VÍNCULO INCOMPLETO",IF(S367="CDF localizado, a conferir","CDF A CONFERIR","")))))))</f>
        <v/>
      </c>
      <c r="U367" s="95" t="str">
        <f>IF(T367="","",IF(AQ367="","Não calculável",IF(AQ367&gt;TODAY(),"Data futura",TODAY()-AQ367)))</f>
        <v/>
      </c>
      <c r="V367" s="93" t="str">
        <f>IF(Z367=0,"",SUMIFS('RECEBIMENTOS'!$H$6:$H$1005,'RECEBIMENTOS'!$B$6:$B$1005,A367,'RECEBIMENTOS'!$Z$6:$Z$1005,1))</f>
        <v/>
      </c>
      <c r="W367" s="95" t="str">
        <f>IF(Z367=0,"",COUNTIFS('ITENS_MTR'!$S$6:$S$1005,A367,'ITENS_MTR'!$R$6:$R$1005,1))</f>
        <v/>
      </c>
      <c r="X367" s="94" t="str">
        <f>IF(AC367=1,"POSSÍVEL DUPLICIDADE","")</f>
        <v/>
      </c>
      <c r="Y367" s="94" t="str">
        <f>IF(Z367=0,"",IF(AW367="","Nenhuma",LEFT(AW367,LEN(AW367)-2)))</f>
        <v/>
      </c>
      <c r="Z367" s="96">
        <f>IF(COUNTA(B367:O367)&gt;0,1,0)</f>
        <v>0</v>
      </c>
      <c r="AA367" s="96">
        <f>IF(AND(Z367=1,K367&lt;&gt;""),IF(TRIM(K367)=TRIM(cfg_cancel),1,0),0)</f>
        <v>0</v>
      </c>
      <c r="AB367" s="96" t="str">
        <f>IF(AND(Z367=1,B367&lt;&gt;""),C367&amp;"|"&amp;D367&amp;"|"&amp;G367&amp;"|"&amp;TRIM(B367),"")</f>
        <v/>
      </c>
      <c r="AC367" s="96">
        <f>IF(AB367="",0,IF(SUMPRODUCT(--($AB$6:$AB$505=AB367))&gt;1,1,0))</f>
        <v>0</v>
      </c>
      <c r="AD367" s="96">
        <f>IF(Z367=0,0,IF(OR(AND(G367&lt;&gt;"",ISNA(MATCH(G367,'CAD_UNIDADES'!$C$6:$C$105,0))),AND(H367&lt;&gt;"",ISNA(MATCH(H367,cmp_transp,0))),AND(I367&lt;&gt;"",ISNA(MATCH(I367,cmp_dest,0))),AND(E367&lt;&gt;"",NOT(ISNUMBER(E367))),AND(F367&lt;&gt;"",NOT(ISNUMBER(F367))),AND(ISNUMBER(E367),ISNUMBER(F367),F367&lt;E367)),1,0))</f>
        <v>0</v>
      </c>
      <c r="AE367" s="96">
        <f>IF(Z367=0,0,IF(OR(B367="",C367="",E367="",G367="",H367="",I367="",N(W367)=0),1,0))</f>
        <v>0</v>
      </c>
      <c r="AF367" s="96">
        <f>IF(Z367=0,0,COUNTIFS('ITENS_MTR'!$S$6:$S$1005,A367,'ITENS_MTR'!$AI$6:$AI$1005,1))</f>
        <v>0</v>
      </c>
      <c r="AG367" s="96">
        <f>IF(Z367=0,0,COUNTIFS('ITENS_MTR'!$S$6:$S$1005,A367,'ITENS_MTR'!$AJ$6:$AJ$1005,1))</f>
        <v>0</v>
      </c>
      <c r="AH367" s="96">
        <f>IF(Z367=0,0,COUNTIFS('ITENS_MTR'!$S$6:$S$1005,A367,'ITENS_MTR'!$AM$6:$AM$1005,1))</f>
        <v>0</v>
      </c>
      <c r="AI367" s="96">
        <f>IF(Z367=0,0,COUNTIFS('ITENS_MTR'!$S$6:$S$1005,A367,'ITENS_MTR'!$AO$6:$AO$1005,1))</f>
        <v>0</v>
      </c>
      <c r="AJ367" s="96">
        <f>IF(Z367=0,0,COUNTIFS('ITENS_MTR'!$S$6:$S$1005,A367,'ITENS_MTR'!$AN$6:$AN$1005,1))</f>
        <v>0</v>
      </c>
      <c r="AK367" s="96">
        <f>IF(Z367=0,0,COUNTIFS('RECEBIMENTOS'!$B$6:$B$1005,A367,'RECEBIMENTOS'!$Y$6:$Y$1005,1))</f>
        <v>0</v>
      </c>
      <c r="AL367" s="96">
        <f>IF(Z367=0,0,COUNTIFS('VÍNCULOS_CDF'!$D$6:$D$1005,A367,'VÍNCULOS_CDF'!$Y$6:$Y$1005,1))</f>
        <v>0</v>
      </c>
      <c r="AM367" s="96">
        <f>IF(Z367=0,0,COUNTIFS('RECEBIMENTOS'!$B$6:$B$1005,A367,'RECEBIMENTOS'!$Q$6:$Q$1005,1))</f>
        <v>0</v>
      </c>
      <c r="AN367" s="96">
        <f>IF(AND(Z367=1,N(W367)&gt;0,AG367=N(W367)),1,0)</f>
        <v>0</v>
      </c>
      <c r="AO367" s="96">
        <f>IF(AND(Z367=1,N(W367)&gt;0,AI367=N(W367)),1,0)</f>
        <v>0</v>
      </c>
      <c r="AP367" s="97">
        <f>IF(Z367=0,0,_xlfn.MAXIFS('RECEBIMENTOS'!$E$6:$E$1005,'RECEBIMENTOS'!$B$6:$B$1005,A367))</f>
        <v>0</v>
      </c>
      <c r="AQ367" s="97" t="str">
        <f>IF(T367="","",IF(T367="RECEBIMENTO NÃO CONFIRMADO",IF(ISNUMBER(F367),F367,IF(ISNUMBER(E367),E367,"")),IF(OR(T367="CDF NÃO LOCALIZADO",T367="VÍNCULO INCOMPLETO",T367="CDF A CONFERIR"),IF(AP367&gt;0,AP367,IF(ISNUMBER(E367),E367,"")),IF(ISNUMBER(E367),E367,""))))</f>
        <v/>
      </c>
      <c r="AR367" s="96">
        <f>IF(NOT(ISNUMBER(U367)),0,IF(T367="RECEBIMENTO NÃO CONFIRMADO",IF(AND(ISNUMBER(cfg_rec),U367&gt;cfg_rec),1,0),IF(OR(T367="CDF NÃO LOCALIZADO",T367="VÍNCULO INCOMPLETO",T367="CDF A CONFERIR"),IF(AND(ISNUMBER(cfg_cdf),U367&gt;cfg_cdf),1,0),0)))</f>
        <v>0</v>
      </c>
      <c r="AS367" s="96" t="str">
        <f>IF(T367="","",IF(AR367=1,"Alta",IFERROR(INDEX(cfg_pp,MATCH(T367,cfg_pt,0))&amp;"","Média")))</f>
        <v/>
      </c>
      <c r="AT367" s="96" t="str">
        <f>IF(T367="","",IFERROR(INDEX(cfg_pv,MATCH(T367,cfg_pt,0))&amp;"",""))</f>
        <v/>
      </c>
      <c r="AU367" s="96" t="str">
        <f>IF(T367="","",IF(AS367="Alta",1,IF(AS367="Média",2,3))*1000000000+(999999-IF(ISNUMBER(U367),MIN(U367,999999),0))*1000+362)</f>
        <v/>
      </c>
      <c r="AV367" s="96">
        <f>IF(T367&lt;&gt;"",1,0)</f>
        <v>0</v>
      </c>
      <c r="AW367" s="96" t="str">
        <f>IF(Z367=0,"",IF(AA367=1,"Cancelamento informado; ","")&amp;IF(AE367=1,"Campos essenciais ou itens faltando; ","")&amp;IF(AC367=1,"Possível duplicidade do número; ","")&amp;IF(AD367=1,"Cadastro ou datas a revisar; ","")&amp;IF(AF367&gt;0,"Item de resíduo com dado a revisar; ","")&amp;IF(AH367&gt;0,"Diferença de quantidade a analisar; ","")&amp;IF(AK367&gt;0,"Recebimento com alerta; ","")&amp;IF(AL367&gt;0,"Vínculo de CDF com alerta; ","")&amp;IF(AND(AA367=0,AN367=0),"Recebimento não confirmado; ","")&amp;IF(AND(AA367=0,AN367=1,AO367=0),"CDF pendente ou a conferir; ",""))</f>
        <v/>
      </c>
      <c r="AX367" s="96">
        <f>IF(Z367=0,0,IF(AND(OR(f_ini="",AND(ISNUMBER(E367),E367&gt;=f_ini)),OR(f_fim="",AND(ISNUMBER(E367),E367&lt;=f_fim)),OR(f_un="",f_un="(Todas)",G367=f_un),OR(f_tr="",f_tr="(Todos)",H367=f_tr),OR(f_de="",f_de="(Todos)",I367=f_de),OR(f_sit="",f_sit="(Todas)",S367=f_sit)),1,0))</f>
        <v>0</v>
      </c>
      <c r="AY367" s="96">
        <f>IF(AX367=0,0,IF(OR(f_res="",f_res="(Todos)"),1,IF(COUNTIFS('ITENS_MTR'!$S$6:$S$1005,A367,'ITENS_MTR'!$C$6:$C$1005,f_res)&gt;0,1,0)))</f>
        <v>0</v>
      </c>
      <c r="AZ367" s="97" t="str">
        <f>IF(ISNUMBER(E367),DATE(YEAR(E367),MONTH(E367),1),"")</f>
        <v/>
      </c>
      <c r="BA367" s="96">
        <f>IF(Z367=0,0,IF(AND(OR(r_ini="",AND(ISNUMBER(E367),E367&gt;=r_ini)),OR(r_fim="",AND(ISNUMBER(E367),E367&lt;=r_fim)),OR(r_un="",r_un="(Todas)",G367=r_un),OR(r_de="",r_de="(Todos)",I367=r_de)),1,0))</f>
        <v>0</v>
      </c>
      <c r="BB367" s="96" t="str">
        <f>IF(BA367=1,COUNTIF($BA$6:BA367,1),"")</f>
        <v/>
      </c>
      <c r="BC367" s="96" t="str">
        <f>IF(AND(AU367&lt;&gt;"",OR(r_un="",r_un="(Todas)",G367=r_un),OR(r_de="",r_de="(Todos)",I367=r_de)),AU367,"")</f>
        <v/>
      </c>
      <c r="BD367" s="96" t="str">
        <f>IF(Z367=1,A367&amp;" | nº "&amp;IF(B367="","(sem número)",B367)&amp;" | "&amp;IF(G367="","(sem unidade)",G367),"")</f>
        <v/>
      </c>
      <c r="BE367" s="96" t="str">
        <f>IF(Z367=1,COUNTIF($Z$6:Z367,1),"")</f>
        <v/>
      </c>
      <c r="BF367" s="96" t="str">
        <f>IF(T367="","",IF(T367="RECEBIMENTO NÃO CONFIRMADO","Transp.: "&amp;H367&amp;" | Dest.: "&amp;I367,IF(OR(T367="CDF NÃO LOCALIZADO",T367="VÍNCULO INCOMPLETO",T367="CDF A CONFERIR"),"Dest.: "&amp;I367,"Gerador: "&amp;G367)))</f>
        <v/>
      </c>
    </row>
    <row r="368">
      <c r="A368" s="89" t="inlineStr">
        <is>
          <t>MTR-000363</t>
        </is>
      </c>
      <c r="B368" s="90" t="n"/>
      <c r="C368" s="91" t="n"/>
      <c r="D368" s="91" t="n"/>
      <c r="E368" s="92" t="n"/>
      <c r="F368" s="92" t="n"/>
      <c r="G368" s="91" t="n"/>
      <c r="H368" s="91" t="n"/>
      <c r="I368" s="91" t="n"/>
      <c r="J368" s="91" t="n"/>
      <c r="K368" s="91" t="n"/>
      <c r="L368" s="92" t="n"/>
      <c r="M368" s="91" t="n"/>
      <c r="N368" s="91" t="n"/>
      <c r="O368" s="91" t="n"/>
      <c r="P368" s="93" t="str">
        <f>IF(Z368=0,"",SUMIFS('ITENS_MTR'!$I$6:$I$1005,'ITENS_MTR'!$S$6:$S$1005,A368,'ITENS_MTR'!$Y$6:$Y$1005,1))</f>
        <v/>
      </c>
      <c r="Q368" s="93" t="str">
        <f>IF(Z368=0,"",SUMIFS('RECEBIMENTOS'!$H$6:$H$1005,'RECEBIMENTOS'!$B$6:$B$1005,A368,'RECEBIMENTOS'!$X$6:$X$1005,1))</f>
        <v/>
      </c>
      <c r="R368" s="93" t="str">
        <f>IF(Z368=0,"",SUMIFS('VÍNCULOS_CDF'!$H$6:$H$1005,'VÍNCULOS_CDF'!$D$6:$D$1005,A368,'VÍNCULOS_CDF'!$V$6:$V$1005,1))</f>
        <v/>
      </c>
      <c r="S368" s="94" t="str">
        <f>IF(Z368=0,"",IF(AA368=1,"Cancelado (informado)",IF(AE368=1,"Cadastro incompleto",IF(OR(AC368=1,AD368=1,AF368&gt;0,AH368&gt;0,AK368&gt;0,AL368&gt;0),"Informação a revisar",IF(AN368=0,"Aguardando recebimento",IF(N(R368)=0,"Aguardando CDF",IF(AJ368&lt;N(W368),"Vínculo de CDF parcial",IF(AO368=0,"CDF localizado, a conferir","Documentação conferida"))))))))</f>
        <v/>
      </c>
      <c r="T368" s="94" t="str">
        <f>IF(Z368=0,"",IF(S368="Cadastro incompleto","MTR INCOMPLETO",IF(S368="Informação a revisar",IF(AND(AH368&gt;0,AC368=0,AD368=0,AF368=0,AK368=0,AL368=0),"QUANTIDADE A REVISAR","IDENTIFICAÇÃO A REVISAR"),IF(S368="Aguardando recebimento","RECEBIMENTO NÃO CONFIRMADO",IF(S368="Aguardando CDF","CDF NÃO LOCALIZADO",IF(S368="Vínculo de CDF parcial","VÍNCULO INCOMPLETO",IF(S368="CDF localizado, a conferir","CDF A CONFERIR","")))))))</f>
        <v/>
      </c>
      <c r="U368" s="95" t="str">
        <f>IF(T368="","",IF(AQ368="","Não calculável",IF(AQ368&gt;TODAY(),"Data futura",TODAY()-AQ368)))</f>
        <v/>
      </c>
      <c r="V368" s="93" t="str">
        <f>IF(Z368=0,"",SUMIFS('RECEBIMENTOS'!$H$6:$H$1005,'RECEBIMENTOS'!$B$6:$B$1005,A368,'RECEBIMENTOS'!$Z$6:$Z$1005,1))</f>
        <v/>
      </c>
      <c r="W368" s="95" t="str">
        <f>IF(Z368=0,"",COUNTIFS('ITENS_MTR'!$S$6:$S$1005,A368,'ITENS_MTR'!$R$6:$R$1005,1))</f>
        <v/>
      </c>
      <c r="X368" s="94" t="str">
        <f>IF(AC368=1,"POSSÍVEL DUPLICIDADE","")</f>
        <v/>
      </c>
      <c r="Y368" s="94" t="str">
        <f>IF(Z368=0,"",IF(AW368="","Nenhuma",LEFT(AW368,LEN(AW368)-2)))</f>
        <v/>
      </c>
      <c r="Z368" s="96">
        <f>IF(COUNTA(B368:O368)&gt;0,1,0)</f>
        <v>0</v>
      </c>
      <c r="AA368" s="96">
        <f>IF(AND(Z368=1,K368&lt;&gt;""),IF(TRIM(K368)=TRIM(cfg_cancel),1,0),0)</f>
        <v>0</v>
      </c>
      <c r="AB368" s="96" t="str">
        <f>IF(AND(Z368=1,B368&lt;&gt;""),C368&amp;"|"&amp;D368&amp;"|"&amp;G368&amp;"|"&amp;TRIM(B368),"")</f>
        <v/>
      </c>
      <c r="AC368" s="96">
        <f>IF(AB368="",0,IF(SUMPRODUCT(--($AB$6:$AB$505=AB368))&gt;1,1,0))</f>
        <v>0</v>
      </c>
      <c r="AD368" s="96">
        <f>IF(Z368=0,0,IF(OR(AND(G368&lt;&gt;"",ISNA(MATCH(G368,'CAD_UNIDADES'!$C$6:$C$105,0))),AND(H368&lt;&gt;"",ISNA(MATCH(H368,cmp_transp,0))),AND(I368&lt;&gt;"",ISNA(MATCH(I368,cmp_dest,0))),AND(E368&lt;&gt;"",NOT(ISNUMBER(E368))),AND(F368&lt;&gt;"",NOT(ISNUMBER(F368))),AND(ISNUMBER(E368),ISNUMBER(F368),F368&lt;E368)),1,0))</f>
        <v>0</v>
      </c>
      <c r="AE368" s="96">
        <f>IF(Z368=0,0,IF(OR(B368="",C368="",E368="",G368="",H368="",I368="",N(W368)=0),1,0))</f>
        <v>0</v>
      </c>
      <c r="AF368" s="96">
        <f>IF(Z368=0,0,COUNTIFS('ITENS_MTR'!$S$6:$S$1005,A368,'ITENS_MTR'!$AI$6:$AI$1005,1))</f>
        <v>0</v>
      </c>
      <c r="AG368" s="96">
        <f>IF(Z368=0,0,COUNTIFS('ITENS_MTR'!$S$6:$S$1005,A368,'ITENS_MTR'!$AJ$6:$AJ$1005,1))</f>
        <v>0</v>
      </c>
      <c r="AH368" s="96">
        <f>IF(Z368=0,0,COUNTIFS('ITENS_MTR'!$S$6:$S$1005,A368,'ITENS_MTR'!$AM$6:$AM$1005,1))</f>
        <v>0</v>
      </c>
      <c r="AI368" s="96">
        <f>IF(Z368=0,0,COUNTIFS('ITENS_MTR'!$S$6:$S$1005,A368,'ITENS_MTR'!$AO$6:$AO$1005,1))</f>
        <v>0</v>
      </c>
      <c r="AJ368" s="96">
        <f>IF(Z368=0,0,COUNTIFS('ITENS_MTR'!$S$6:$S$1005,A368,'ITENS_MTR'!$AN$6:$AN$1005,1))</f>
        <v>0</v>
      </c>
      <c r="AK368" s="96">
        <f>IF(Z368=0,0,COUNTIFS('RECEBIMENTOS'!$B$6:$B$1005,A368,'RECEBIMENTOS'!$Y$6:$Y$1005,1))</f>
        <v>0</v>
      </c>
      <c r="AL368" s="96">
        <f>IF(Z368=0,0,COUNTIFS('VÍNCULOS_CDF'!$D$6:$D$1005,A368,'VÍNCULOS_CDF'!$Y$6:$Y$1005,1))</f>
        <v>0</v>
      </c>
      <c r="AM368" s="96">
        <f>IF(Z368=0,0,COUNTIFS('RECEBIMENTOS'!$B$6:$B$1005,A368,'RECEBIMENTOS'!$Q$6:$Q$1005,1))</f>
        <v>0</v>
      </c>
      <c r="AN368" s="96">
        <f>IF(AND(Z368=1,N(W368)&gt;0,AG368=N(W368)),1,0)</f>
        <v>0</v>
      </c>
      <c r="AO368" s="96">
        <f>IF(AND(Z368=1,N(W368)&gt;0,AI368=N(W368)),1,0)</f>
        <v>0</v>
      </c>
      <c r="AP368" s="97">
        <f>IF(Z368=0,0,_xlfn.MAXIFS('RECEBIMENTOS'!$E$6:$E$1005,'RECEBIMENTOS'!$B$6:$B$1005,A368))</f>
        <v>0</v>
      </c>
      <c r="AQ368" s="97" t="str">
        <f>IF(T368="","",IF(T368="RECEBIMENTO NÃO CONFIRMADO",IF(ISNUMBER(F368),F368,IF(ISNUMBER(E368),E368,"")),IF(OR(T368="CDF NÃO LOCALIZADO",T368="VÍNCULO INCOMPLETO",T368="CDF A CONFERIR"),IF(AP368&gt;0,AP368,IF(ISNUMBER(E368),E368,"")),IF(ISNUMBER(E368),E368,""))))</f>
        <v/>
      </c>
      <c r="AR368" s="96">
        <f>IF(NOT(ISNUMBER(U368)),0,IF(T368="RECEBIMENTO NÃO CONFIRMADO",IF(AND(ISNUMBER(cfg_rec),U368&gt;cfg_rec),1,0),IF(OR(T368="CDF NÃO LOCALIZADO",T368="VÍNCULO INCOMPLETO",T368="CDF A CONFERIR"),IF(AND(ISNUMBER(cfg_cdf),U368&gt;cfg_cdf),1,0),0)))</f>
        <v>0</v>
      </c>
      <c r="AS368" s="96" t="str">
        <f>IF(T368="","",IF(AR368=1,"Alta",IFERROR(INDEX(cfg_pp,MATCH(T368,cfg_pt,0))&amp;"","Média")))</f>
        <v/>
      </c>
      <c r="AT368" s="96" t="str">
        <f>IF(T368="","",IFERROR(INDEX(cfg_pv,MATCH(T368,cfg_pt,0))&amp;"",""))</f>
        <v/>
      </c>
      <c r="AU368" s="96" t="str">
        <f>IF(T368="","",IF(AS368="Alta",1,IF(AS368="Média",2,3))*1000000000+(999999-IF(ISNUMBER(U368),MIN(U368,999999),0))*1000+363)</f>
        <v/>
      </c>
      <c r="AV368" s="96">
        <f>IF(T368&lt;&gt;"",1,0)</f>
        <v>0</v>
      </c>
      <c r="AW368" s="96" t="str">
        <f>IF(Z368=0,"",IF(AA368=1,"Cancelamento informado; ","")&amp;IF(AE368=1,"Campos essenciais ou itens faltando; ","")&amp;IF(AC368=1,"Possível duplicidade do número; ","")&amp;IF(AD368=1,"Cadastro ou datas a revisar; ","")&amp;IF(AF368&gt;0,"Item de resíduo com dado a revisar; ","")&amp;IF(AH368&gt;0,"Diferença de quantidade a analisar; ","")&amp;IF(AK368&gt;0,"Recebimento com alerta; ","")&amp;IF(AL368&gt;0,"Vínculo de CDF com alerta; ","")&amp;IF(AND(AA368=0,AN368=0),"Recebimento não confirmado; ","")&amp;IF(AND(AA368=0,AN368=1,AO368=0),"CDF pendente ou a conferir; ",""))</f>
        <v/>
      </c>
      <c r="AX368" s="96">
        <f>IF(Z368=0,0,IF(AND(OR(f_ini="",AND(ISNUMBER(E368),E368&gt;=f_ini)),OR(f_fim="",AND(ISNUMBER(E368),E368&lt;=f_fim)),OR(f_un="",f_un="(Todas)",G368=f_un),OR(f_tr="",f_tr="(Todos)",H368=f_tr),OR(f_de="",f_de="(Todos)",I368=f_de),OR(f_sit="",f_sit="(Todas)",S368=f_sit)),1,0))</f>
        <v>0</v>
      </c>
      <c r="AY368" s="96">
        <f>IF(AX368=0,0,IF(OR(f_res="",f_res="(Todos)"),1,IF(COUNTIFS('ITENS_MTR'!$S$6:$S$1005,A368,'ITENS_MTR'!$C$6:$C$1005,f_res)&gt;0,1,0)))</f>
        <v>0</v>
      </c>
      <c r="AZ368" s="97" t="str">
        <f>IF(ISNUMBER(E368),DATE(YEAR(E368),MONTH(E368),1),"")</f>
        <v/>
      </c>
      <c r="BA368" s="96">
        <f>IF(Z368=0,0,IF(AND(OR(r_ini="",AND(ISNUMBER(E368),E368&gt;=r_ini)),OR(r_fim="",AND(ISNUMBER(E368),E368&lt;=r_fim)),OR(r_un="",r_un="(Todas)",G368=r_un),OR(r_de="",r_de="(Todos)",I368=r_de)),1,0))</f>
        <v>0</v>
      </c>
      <c r="BB368" s="96" t="str">
        <f>IF(BA368=1,COUNTIF($BA$6:BA368,1),"")</f>
        <v/>
      </c>
      <c r="BC368" s="96" t="str">
        <f>IF(AND(AU368&lt;&gt;"",OR(r_un="",r_un="(Todas)",G368=r_un),OR(r_de="",r_de="(Todos)",I368=r_de)),AU368,"")</f>
        <v/>
      </c>
      <c r="BD368" s="96" t="str">
        <f>IF(Z368=1,A368&amp;" | nº "&amp;IF(B368="","(sem número)",B368)&amp;" | "&amp;IF(G368="","(sem unidade)",G368),"")</f>
        <v/>
      </c>
      <c r="BE368" s="96" t="str">
        <f>IF(Z368=1,COUNTIF($Z$6:Z368,1),"")</f>
        <v/>
      </c>
      <c r="BF368" s="96" t="str">
        <f>IF(T368="","",IF(T368="RECEBIMENTO NÃO CONFIRMADO","Transp.: "&amp;H368&amp;" | Dest.: "&amp;I368,IF(OR(T368="CDF NÃO LOCALIZADO",T368="VÍNCULO INCOMPLETO",T368="CDF A CONFERIR"),"Dest.: "&amp;I368,"Gerador: "&amp;G368)))</f>
        <v/>
      </c>
    </row>
    <row r="369">
      <c r="A369" s="89" t="inlineStr">
        <is>
          <t>MTR-000364</t>
        </is>
      </c>
      <c r="B369" s="90" t="n"/>
      <c r="C369" s="91" t="n"/>
      <c r="D369" s="91" t="n"/>
      <c r="E369" s="92" t="n"/>
      <c r="F369" s="92" t="n"/>
      <c r="G369" s="91" t="n"/>
      <c r="H369" s="91" t="n"/>
      <c r="I369" s="91" t="n"/>
      <c r="J369" s="91" t="n"/>
      <c r="K369" s="91" t="n"/>
      <c r="L369" s="92" t="n"/>
      <c r="M369" s="91" t="n"/>
      <c r="N369" s="91" t="n"/>
      <c r="O369" s="91" t="n"/>
      <c r="P369" s="93" t="str">
        <f>IF(Z369=0,"",SUMIFS('ITENS_MTR'!$I$6:$I$1005,'ITENS_MTR'!$S$6:$S$1005,A369,'ITENS_MTR'!$Y$6:$Y$1005,1))</f>
        <v/>
      </c>
      <c r="Q369" s="93" t="str">
        <f>IF(Z369=0,"",SUMIFS('RECEBIMENTOS'!$H$6:$H$1005,'RECEBIMENTOS'!$B$6:$B$1005,A369,'RECEBIMENTOS'!$X$6:$X$1005,1))</f>
        <v/>
      </c>
      <c r="R369" s="93" t="str">
        <f>IF(Z369=0,"",SUMIFS('VÍNCULOS_CDF'!$H$6:$H$1005,'VÍNCULOS_CDF'!$D$6:$D$1005,A369,'VÍNCULOS_CDF'!$V$6:$V$1005,1))</f>
        <v/>
      </c>
      <c r="S369" s="94" t="str">
        <f>IF(Z369=0,"",IF(AA369=1,"Cancelado (informado)",IF(AE369=1,"Cadastro incompleto",IF(OR(AC369=1,AD369=1,AF369&gt;0,AH369&gt;0,AK369&gt;0,AL369&gt;0),"Informação a revisar",IF(AN369=0,"Aguardando recebimento",IF(N(R369)=0,"Aguardando CDF",IF(AJ369&lt;N(W369),"Vínculo de CDF parcial",IF(AO369=0,"CDF localizado, a conferir","Documentação conferida"))))))))</f>
        <v/>
      </c>
      <c r="T369" s="94" t="str">
        <f>IF(Z369=0,"",IF(S369="Cadastro incompleto","MTR INCOMPLETO",IF(S369="Informação a revisar",IF(AND(AH369&gt;0,AC369=0,AD369=0,AF369=0,AK369=0,AL369=0),"QUANTIDADE A REVISAR","IDENTIFICAÇÃO A REVISAR"),IF(S369="Aguardando recebimento","RECEBIMENTO NÃO CONFIRMADO",IF(S369="Aguardando CDF","CDF NÃO LOCALIZADO",IF(S369="Vínculo de CDF parcial","VÍNCULO INCOMPLETO",IF(S369="CDF localizado, a conferir","CDF A CONFERIR","")))))))</f>
        <v/>
      </c>
      <c r="U369" s="95" t="str">
        <f>IF(T369="","",IF(AQ369="","Não calculável",IF(AQ369&gt;TODAY(),"Data futura",TODAY()-AQ369)))</f>
        <v/>
      </c>
      <c r="V369" s="93" t="str">
        <f>IF(Z369=0,"",SUMIFS('RECEBIMENTOS'!$H$6:$H$1005,'RECEBIMENTOS'!$B$6:$B$1005,A369,'RECEBIMENTOS'!$Z$6:$Z$1005,1))</f>
        <v/>
      </c>
      <c r="W369" s="95" t="str">
        <f>IF(Z369=0,"",COUNTIFS('ITENS_MTR'!$S$6:$S$1005,A369,'ITENS_MTR'!$R$6:$R$1005,1))</f>
        <v/>
      </c>
      <c r="X369" s="94" t="str">
        <f>IF(AC369=1,"POSSÍVEL DUPLICIDADE","")</f>
        <v/>
      </c>
      <c r="Y369" s="94" t="str">
        <f>IF(Z369=0,"",IF(AW369="","Nenhuma",LEFT(AW369,LEN(AW369)-2)))</f>
        <v/>
      </c>
      <c r="Z369" s="96">
        <f>IF(COUNTA(B369:O369)&gt;0,1,0)</f>
        <v>0</v>
      </c>
      <c r="AA369" s="96">
        <f>IF(AND(Z369=1,K369&lt;&gt;""),IF(TRIM(K369)=TRIM(cfg_cancel),1,0),0)</f>
        <v>0</v>
      </c>
      <c r="AB369" s="96" t="str">
        <f>IF(AND(Z369=1,B369&lt;&gt;""),C369&amp;"|"&amp;D369&amp;"|"&amp;G369&amp;"|"&amp;TRIM(B369),"")</f>
        <v/>
      </c>
      <c r="AC369" s="96">
        <f>IF(AB369="",0,IF(SUMPRODUCT(--($AB$6:$AB$505=AB369))&gt;1,1,0))</f>
        <v>0</v>
      </c>
      <c r="AD369" s="96">
        <f>IF(Z369=0,0,IF(OR(AND(G369&lt;&gt;"",ISNA(MATCH(G369,'CAD_UNIDADES'!$C$6:$C$105,0))),AND(H369&lt;&gt;"",ISNA(MATCH(H369,cmp_transp,0))),AND(I369&lt;&gt;"",ISNA(MATCH(I369,cmp_dest,0))),AND(E369&lt;&gt;"",NOT(ISNUMBER(E369))),AND(F369&lt;&gt;"",NOT(ISNUMBER(F369))),AND(ISNUMBER(E369),ISNUMBER(F369),F369&lt;E369)),1,0))</f>
        <v>0</v>
      </c>
      <c r="AE369" s="96">
        <f>IF(Z369=0,0,IF(OR(B369="",C369="",E369="",G369="",H369="",I369="",N(W369)=0),1,0))</f>
        <v>0</v>
      </c>
      <c r="AF369" s="96">
        <f>IF(Z369=0,0,COUNTIFS('ITENS_MTR'!$S$6:$S$1005,A369,'ITENS_MTR'!$AI$6:$AI$1005,1))</f>
        <v>0</v>
      </c>
      <c r="AG369" s="96">
        <f>IF(Z369=0,0,COUNTIFS('ITENS_MTR'!$S$6:$S$1005,A369,'ITENS_MTR'!$AJ$6:$AJ$1005,1))</f>
        <v>0</v>
      </c>
      <c r="AH369" s="96">
        <f>IF(Z369=0,0,COUNTIFS('ITENS_MTR'!$S$6:$S$1005,A369,'ITENS_MTR'!$AM$6:$AM$1005,1))</f>
        <v>0</v>
      </c>
      <c r="AI369" s="96">
        <f>IF(Z369=0,0,COUNTIFS('ITENS_MTR'!$S$6:$S$1005,A369,'ITENS_MTR'!$AO$6:$AO$1005,1))</f>
        <v>0</v>
      </c>
      <c r="AJ369" s="96">
        <f>IF(Z369=0,0,COUNTIFS('ITENS_MTR'!$S$6:$S$1005,A369,'ITENS_MTR'!$AN$6:$AN$1005,1))</f>
        <v>0</v>
      </c>
      <c r="AK369" s="96">
        <f>IF(Z369=0,0,COUNTIFS('RECEBIMENTOS'!$B$6:$B$1005,A369,'RECEBIMENTOS'!$Y$6:$Y$1005,1))</f>
        <v>0</v>
      </c>
      <c r="AL369" s="96">
        <f>IF(Z369=0,0,COUNTIFS('VÍNCULOS_CDF'!$D$6:$D$1005,A369,'VÍNCULOS_CDF'!$Y$6:$Y$1005,1))</f>
        <v>0</v>
      </c>
      <c r="AM369" s="96">
        <f>IF(Z369=0,0,COUNTIFS('RECEBIMENTOS'!$B$6:$B$1005,A369,'RECEBIMENTOS'!$Q$6:$Q$1005,1))</f>
        <v>0</v>
      </c>
      <c r="AN369" s="96">
        <f>IF(AND(Z369=1,N(W369)&gt;0,AG369=N(W369)),1,0)</f>
        <v>0</v>
      </c>
      <c r="AO369" s="96">
        <f>IF(AND(Z369=1,N(W369)&gt;0,AI369=N(W369)),1,0)</f>
        <v>0</v>
      </c>
      <c r="AP369" s="97">
        <f>IF(Z369=0,0,_xlfn.MAXIFS('RECEBIMENTOS'!$E$6:$E$1005,'RECEBIMENTOS'!$B$6:$B$1005,A369))</f>
        <v>0</v>
      </c>
      <c r="AQ369" s="97" t="str">
        <f>IF(T369="","",IF(T369="RECEBIMENTO NÃO CONFIRMADO",IF(ISNUMBER(F369),F369,IF(ISNUMBER(E369),E369,"")),IF(OR(T369="CDF NÃO LOCALIZADO",T369="VÍNCULO INCOMPLETO",T369="CDF A CONFERIR"),IF(AP369&gt;0,AP369,IF(ISNUMBER(E369),E369,"")),IF(ISNUMBER(E369),E369,""))))</f>
        <v/>
      </c>
      <c r="AR369" s="96">
        <f>IF(NOT(ISNUMBER(U369)),0,IF(T369="RECEBIMENTO NÃO CONFIRMADO",IF(AND(ISNUMBER(cfg_rec),U369&gt;cfg_rec),1,0),IF(OR(T369="CDF NÃO LOCALIZADO",T369="VÍNCULO INCOMPLETO",T369="CDF A CONFERIR"),IF(AND(ISNUMBER(cfg_cdf),U369&gt;cfg_cdf),1,0),0)))</f>
        <v>0</v>
      </c>
      <c r="AS369" s="96" t="str">
        <f>IF(T369="","",IF(AR369=1,"Alta",IFERROR(INDEX(cfg_pp,MATCH(T369,cfg_pt,0))&amp;"","Média")))</f>
        <v/>
      </c>
      <c r="AT369" s="96" t="str">
        <f>IF(T369="","",IFERROR(INDEX(cfg_pv,MATCH(T369,cfg_pt,0))&amp;"",""))</f>
        <v/>
      </c>
      <c r="AU369" s="96" t="str">
        <f>IF(T369="","",IF(AS369="Alta",1,IF(AS369="Média",2,3))*1000000000+(999999-IF(ISNUMBER(U369),MIN(U369,999999),0))*1000+364)</f>
        <v/>
      </c>
      <c r="AV369" s="96">
        <f>IF(T369&lt;&gt;"",1,0)</f>
        <v>0</v>
      </c>
      <c r="AW369" s="96" t="str">
        <f>IF(Z369=0,"",IF(AA369=1,"Cancelamento informado; ","")&amp;IF(AE369=1,"Campos essenciais ou itens faltando; ","")&amp;IF(AC369=1,"Possível duplicidade do número; ","")&amp;IF(AD369=1,"Cadastro ou datas a revisar; ","")&amp;IF(AF369&gt;0,"Item de resíduo com dado a revisar; ","")&amp;IF(AH369&gt;0,"Diferença de quantidade a analisar; ","")&amp;IF(AK369&gt;0,"Recebimento com alerta; ","")&amp;IF(AL369&gt;0,"Vínculo de CDF com alerta; ","")&amp;IF(AND(AA369=0,AN369=0),"Recebimento não confirmado; ","")&amp;IF(AND(AA369=0,AN369=1,AO369=0),"CDF pendente ou a conferir; ",""))</f>
        <v/>
      </c>
      <c r="AX369" s="96">
        <f>IF(Z369=0,0,IF(AND(OR(f_ini="",AND(ISNUMBER(E369),E369&gt;=f_ini)),OR(f_fim="",AND(ISNUMBER(E369),E369&lt;=f_fim)),OR(f_un="",f_un="(Todas)",G369=f_un),OR(f_tr="",f_tr="(Todos)",H369=f_tr),OR(f_de="",f_de="(Todos)",I369=f_de),OR(f_sit="",f_sit="(Todas)",S369=f_sit)),1,0))</f>
        <v>0</v>
      </c>
      <c r="AY369" s="96">
        <f>IF(AX369=0,0,IF(OR(f_res="",f_res="(Todos)"),1,IF(COUNTIFS('ITENS_MTR'!$S$6:$S$1005,A369,'ITENS_MTR'!$C$6:$C$1005,f_res)&gt;0,1,0)))</f>
        <v>0</v>
      </c>
      <c r="AZ369" s="97" t="str">
        <f>IF(ISNUMBER(E369),DATE(YEAR(E369),MONTH(E369),1),"")</f>
        <v/>
      </c>
      <c r="BA369" s="96">
        <f>IF(Z369=0,0,IF(AND(OR(r_ini="",AND(ISNUMBER(E369),E369&gt;=r_ini)),OR(r_fim="",AND(ISNUMBER(E369),E369&lt;=r_fim)),OR(r_un="",r_un="(Todas)",G369=r_un),OR(r_de="",r_de="(Todos)",I369=r_de)),1,0))</f>
        <v>0</v>
      </c>
      <c r="BB369" s="96" t="str">
        <f>IF(BA369=1,COUNTIF($BA$6:BA369,1),"")</f>
        <v/>
      </c>
      <c r="BC369" s="96" t="str">
        <f>IF(AND(AU369&lt;&gt;"",OR(r_un="",r_un="(Todas)",G369=r_un),OR(r_de="",r_de="(Todos)",I369=r_de)),AU369,"")</f>
        <v/>
      </c>
      <c r="BD369" s="96" t="str">
        <f>IF(Z369=1,A369&amp;" | nº "&amp;IF(B369="","(sem número)",B369)&amp;" | "&amp;IF(G369="","(sem unidade)",G369),"")</f>
        <v/>
      </c>
      <c r="BE369" s="96" t="str">
        <f>IF(Z369=1,COUNTIF($Z$6:Z369,1),"")</f>
        <v/>
      </c>
      <c r="BF369" s="96" t="str">
        <f>IF(T369="","",IF(T369="RECEBIMENTO NÃO CONFIRMADO","Transp.: "&amp;H369&amp;" | Dest.: "&amp;I369,IF(OR(T369="CDF NÃO LOCALIZADO",T369="VÍNCULO INCOMPLETO",T369="CDF A CONFERIR"),"Dest.: "&amp;I369,"Gerador: "&amp;G369)))</f>
        <v/>
      </c>
    </row>
    <row r="370">
      <c r="A370" s="89" t="inlineStr">
        <is>
          <t>MTR-000365</t>
        </is>
      </c>
      <c r="B370" s="90" t="n"/>
      <c r="C370" s="91" t="n"/>
      <c r="D370" s="91" t="n"/>
      <c r="E370" s="92" t="n"/>
      <c r="F370" s="92" t="n"/>
      <c r="G370" s="91" t="n"/>
      <c r="H370" s="91" t="n"/>
      <c r="I370" s="91" t="n"/>
      <c r="J370" s="91" t="n"/>
      <c r="K370" s="91" t="n"/>
      <c r="L370" s="92" t="n"/>
      <c r="M370" s="91" t="n"/>
      <c r="N370" s="91" t="n"/>
      <c r="O370" s="91" t="n"/>
      <c r="P370" s="93" t="str">
        <f>IF(Z370=0,"",SUMIFS('ITENS_MTR'!$I$6:$I$1005,'ITENS_MTR'!$S$6:$S$1005,A370,'ITENS_MTR'!$Y$6:$Y$1005,1))</f>
        <v/>
      </c>
      <c r="Q370" s="93" t="str">
        <f>IF(Z370=0,"",SUMIFS('RECEBIMENTOS'!$H$6:$H$1005,'RECEBIMENTOS'!$B$6:$B$1005,A370,'RECEBIMENTOS'!$X$6:$X$1005,1))</f>
        <v/>
      </c>
      <c r="R370" s="93" t="str">
        <f>IF(Z370=0,"",SUMIFS('VÍNCULOS_CDF'!$H$6:$H$1005,'VÍNCULOS_CDF'!$D$6:$D$1005,A370,'VÍNCULOS_CDF'!$V$6:$V$1005,1))</f>
        <v/>
      </c>
      <c r="S370" s="94" t="str">
        <f>IF(Z370=0,"",IF(AA370=1,"Cancelado (informado)",IF(AE370=1,"Cadastro incompleto",IF(OR(AC370=1,AD370=1,AF370&gt;0,AH370&gt;0,AK370&gt;0,AL370&gt;0),"Informação a revisar",IF(AN370=0,"Aguardando recebimento",IF(N(R370)=0,"Aguardando CDF",IF(AJ370&lt;N(W370),"Vínculo de CDF parcial",IF(AO370=0,"CDF localizado, a conferir","Documentação conferida"))))))))</f>
        <v/>
      </c>
      <c r="T370" s="94" t="str">
        <f>IF(Z370=0,"",IF(S370="Cadastro incompleto","MTR INCOMPLETO",IF(S370="Informação a revisar",IF(AND(AH370&gt;0,AC370=0,AD370=0,AF370=0,AK370=0,AL370=0),"QUANTIDADE A REVISAR","IDENTIFICAÇÃO A REVISAR"),IF(S370="Aguardando recebimento","RECEBIMENTO NÃO CONFIRMADO",IF(S370="Aguardando CDF","CDF NÃO LOCALIZADO",IF(S370="Vínculo de CDF parcial","VÍNCULO INCOMPLETO",IF(S370="CDF localizado, a conferir","CDF A CONFERIR","")))))))</f>
        <v/>
      </c>
      <c r="U370" s="95" t="str">
        <f>IF(T370="","",IF(AQ370="","Não calculável",IF(AQ370&gt;TODAY(),"Data futura",TODAY()-AQ370)))</f>
        <v/>
      </c>
      <c r="V370" s="93" t="str">
        <f>IF(Z370=0,"",SUMIFS('RECEBIMENTOS'!$H$6:$H$1005,'RECEBIMENTOS'!$B$6:$B$1005,A370,'RECEBIMENTOS'!$Z$6:$Z$1005,1))</f>
        <v/>
      </c>
      <c r="W370" s="95" t="str">
        <f>IF(Z370=0,"",COUNTIFS('ITENS_MTR'!$S$6:$S$1005,A370,'ITENS_MTR'!$R$6:$R$1005,1))</f>
        <v/>
      </c>
      <c r="X370" s="94" t="str">
        <f>IF(AC370=1,"POSSÍVEL DUPLICIDADE","")</f>
        <v/>
      </c>
      <c r="Y370" s="94" t="str">
        <f>IF(Z370=0,"",IF(AW370="","Nenhuma",LEFT(AW370,LEN(AW370)-2)))</f>
        <v/>
      </c>
      <c r="Z370" s="96">
        <f>IF(COUNTA(B370:O370)&gt;0,1,0)</f>
        <v>0</v>
      </c>
      <c r="AA370" s="96">
        <f>IF(AND(Z370=1,K370&lt;&gt;""),IF(TRIM(K370)=TRIM(cfg_cancel),1,0),0)</f>
        <v>0</v>
      </c>
      <c r="AB370" s="96" t="str">
        <f>IF(AND(Z370=1,B370&lt;&gt;""),C370&amp;"|"&amp;D370&amp;"|"&amp;G370&amp;"|"&amp;TRIM(B370),"")</f>
        <v/>
      </c>
      <c r="AC370" s="96">
        <f>IF(AB370="",0,IF(SUMPRODUCT(--($AB$6:$AB$505=AB370))&gt;1,1,0))</f>
        <v>0</v>
      </c>
      <c r="AD370" s="96">
        <f>IF(Z370=0,0,IF(OR(AND(G370&lt;&gt;"",ISNA(MATCH(G370,'CAD_UNIDADES'!$C$6:$C$105,0))),AND(H370&lt;&gt;"",ISNA(MATCH(H370,cmp_transp,0))),AND(I370&lt;&gt;"",ISNA(MATCH(I370,cmp_dest,0))),AND(E370&lt;&gt;"",NOT(ISNUMBER(E370))),AND(F370&lt;&gt;"",NOT(ISNUMBER(F370))),AND(ISNUMBER(E370),ISNUMBER(F370),F370&lt;E370)),1,0))</f>
        <v>0</v>
      </c>
      <c r="AE370" s="96">
        <f>IF(Z370=0,0,IF(OR(B370="",C370="",E370="",G370="",H370="",I370="",N(W370)=0),1,0))</f>
        <v>0</v>
      </c>
      <c r="AF370" s="96">
        <f>IF(Z370=0,0,COUNTIFS('ITENS_MTR'!$S$6:$S$1005,A370,'ITENS_MTR'!$AI$6:$AI$1005,1))</f>
        <v>0</v>
      </c>
      <c r="AG370" s="96">
        <f>IF(Z370=0,0,COUNTIFS('ITENS_MTR'!$S$6:$S$1005,A370,'ITENS_MTR'!$AJ$6:$AJ$1005,1))</f>
        <v>0</v>
      </c>
      <c r="AH370" s="96">
        <f>IF(Z370=0,0,COUNTIFS('ITENS_MTR'!$S$6:$S$1005,A370,'ITENS_MTR'!$AM$6:$AM$1005,1))</f>
        <v>0</v>
      </c>
      <c r="AI370" s="96">
        <f>IF(Z370=0,0,COUNTIFS('ITENS_MTR'!$S$6:$S$1005,A370,'ITENS_MTR'!$AO$6:$AO$1005,1))</f>
        <v>0</v>
      </c>
      <c r="AJ370" s="96">
        <f>IF(Z370=0,0,COUNTIFS('ITENS_MTR'!$S$6:$S$1005,A370,'ITENS_MTR'!$AN$6:$AN$1005,1))</f>
        <v>0</v>
      </c>
      <c r="AK370" s="96">
        <f>IF(Z370=0,0,COUNTIFS('RECEBIMENTOS'!$B$6:$B$1005,A370,'RECEBIMENTOS'!$Y$6:$Y$1005,1))</f>
        <v>0</v>
      </c>
      <c r="AL370" s="96">
        <f>IF(Z370=0,0,COUNTIFS('VÍNCULOS_CDF'!$D$6:$D$1005,A370,'VÍNCULOS_CDF'!$Y$6:$Y$1005,1))</f>
        <v>0</v>
      </c>
      <c r="AM370" s="96">
        <f>IF(Z370=0,0,COUNTIFS('RECEBIMENTOS'!$B$6:$B$1005,A370,'RECEBIMENTOS'!$Q$6:$Q$1005,1))</f>
        <v>0</v>
      </c>
      <c r="AN370" s="96">
        <f>IF(AND(Z370=1,N(W370)&gt;0,AG370=N(W370)),1,0)</f>
        <v>0</v>
      </c>
      <c r="AO370" s="96">
        <f>IF(AND(Z370=1,N(W370)&gt;0,AI370=N(W370)),1,0)</f>
        <v>0</v>
      </c>
      <c r="AP370" s="97">
        <f>IF(Z370=0,0,_xlfn.MAXIFS('RECEBIMENTOS'!$E$6:$E$1005,'RECEBIMENTOS'!$B$6:$B$1005,A370))</f>
        <v>0</v>
      </c>
      <c r="AQ370" s="97" t="str">
        <f>IF(T370="","",IF(T370="RECEBIMENTO NÃO CONFIRMADO",IF(ISNUMBER(F370),F370,IF(ISNUMBER(E370),E370,"")),IF(OR(T370="CDF NÃO LOCALIZADO",T370="VÍNCULO INCOMPLETO",T370="CDF A CONFERIR"),IF(AP370&gt;0,AP370,IF(ISNUMBER(E370),E370,"")),IF(ISNUMBER(E370),E370,""))))</f>
        <v/>
      </c>
      <c r="AR370" s="96">
        <f>IF(NOT(ISNUMBER(U370)),0,IF(T370="RECEBIMENTO NÃO CONFIRMADO",IF(AND(ISNUMBER(cfg_rec),U370&gt;cfg_rec),1,0),IF(OR(T370="CDF NÃO LOCALIZADO",T370="VÍNCULO INCOMPLETO",T370="CDF A CONFERIR"),IF(AND(ISNUMBER(cfg_cdf),U370&gt;cfg_cdf),1,0),0)))</f>
        <v>0</v>
      </c>
      <c r="AS370" s="96" t="str">
        <f>IF(T370="","",IF(AR370=1,"Alta",IFERROR(INDEX(cfg_pp,MATCH(T370,cfg_pt,0))&amp;"","Média")))</f>
        <v/>
      </c>
      <c r="AT370" s="96" t="str">
        <f>IF(T370="","",IFERROR(INDEX(cfg_pv,MATCH(T370,cfg_pt,0))&amp;"",""))</f>
        <v/>
      </c>
      <c r="AU370" s="96" t="str">
        <f>IF(T370="","",IF(AS370="Alta",1,IF(AS370="Média",2,3))*1000000000+(999999-IF(ISNUMBER(U370),MIN(U370,999999),0))*1000+365)</f>
        <v/>
      </c>
      <c r="AV370" s="96">
        <f>IF(T370&lt;&gt;"",1,0)</f>
        <v>0</v>
      </c>
      <c r="AW370" s="96" t="str">
        <f>IF(Z370=0,"",IF(AA370=1,"Cancelamento informado; ","")&amp;IF(AE370=1,"Campos essenciais ou itens faltando; ","")&amp;IF(AC370=1,"Possível duplicidade do número; ","")&amp;IF(AD370=1,"Cadastro ou datas a revisar; ","")&amp;IF(AF370&gt;0,"Item de resíduo com dado a revisar; ","")&amp;IF(AH370&gt;0,"Diferença de quantidade a analisar; ","")&amp;IF(AK370&gt;0,"Recebimento com alerta; ","")&amp;IF(AL370&gt;0,"Vínculo de CDF com alerta; ","")&amp;IF(AND(AA370=0,AN370=0),"Recebimento não confirmado; ","")&amp;IF(AND(AA370=0,AN370=1,AO370=0),"CDF pendente ou a conferir; ",""))</f>
        <v/>
      </c>
      <c r="AX370" s="96">
        <f>IF(Z370=0,0,IF(AND(OR(f_ini="",AND(ISNUMBER(E370),E370&gt;=f_ini)),OR(f_fim="",AND(ISNUMBER(E370),E370&lt;=f_fim)),OR(f_un="",f_un="(Todas)",G370=f_un),OR(f_tr="",f_tr="(Todos)",H370=f_tr),OR(f_de="",f_de="(Todos)",I370=f_de),OR(f_sit="",f_sit="(Todas)",S370=f_sit)),1,0))</f>
        <v>0</v>
      </c>
      <c r="AY370" s="96">
        <f>IF(AX370=0,0,IF(OR(f_res="",f_res="(Todos)"),1,IF(COUNTIFS('ITENS_MTR'!$S$6:$S$1005,A370,'ITENS_MTR'!$C$6:$C$1005,f_res)&gt;0,1,0)))</f>
        <v>0</v>
      </c>
      <c r="AZ370" s="97" t="str">
        <f>IF(ISNUMBER(E370),DATE(YEAR(E370),MONTH(E370),1),"")</f>
        <v/>
      </c>
      <c r="BA370" s="96">
        <f>IF(Z370=0,0,IF(AND(OR(r_ini="",AND(ISNUMBER(E370),E370&gt;=r_ini)),OR(r_fim="",AND(ISNUMBER(E370),E370&lt;=r_fim)),OR(r_un="",r_un="(Todas)",G370=r_un),OR(r_de="",r_de="(Todos)",I370=r_de)),1,0))</f>
        <v>0</v>
      </c>
      <c r="BB370" s="96" t="str">
        <f>IF(BA370=1,COUNTIF($BA$6:BA370,1),"")</f>
        <v/>
      </c>
      <c r="BC370" s="96" t="str">
        <f>IF(AND(AU370&lt;&gt;"",OR(r_un="",r_un="(Todas)",G370=r_un),OR(r_de="",r_de="(Todos)",I370=r_de)),AU370,"")</f>
        <v/>
      </c>
      <c r="BD370" s="96" t="str">
        <f>IF(Z370=1,A370&amp;" | nº "&amp;IF(B370="","(sem número)",B370)&amp;" | "&amp;IF(G370="","(sem unidade)",G370),"")</f>
        <v/>
      </c>
      <c r="BE370" s="96" t="str">
        <f>IF(Z370=1,COUNTIF($Z$6:Z370,1),"")</f>
        <v/>
      </c>
      <c r="BF370" s="96" t="str">
        <f>IF(T370="","",IF(T370="RECEBIMENTO NÃO CONFIRMADO","Transp.: "&amp;H370&amp;" | Dest.: "&amp;I370,IF(OR(T370="CDF NÃO LOCALIZADO",T370="VÍNCULO INCOMPLETO",T370="CDF A CONFERIR"),"Dest.: "&amp;I370,"Gerador: "&amp;G370)))</f>
        <v/>
      </c>
    </row>
    <row r="371">
      <c r="A371" s="89" t="inlineStr">
        <is>
          <t>MTR-000366</t>
        </is>
      </c>
      <c r="B371" s="90" t="n"/>
      <c r="C371" s="91" t="n"/>
      <c r="D371" s="91" t="n"/>
      <c r="E371" s="92" t="n"/>
      <c r="F371" s="92" t="n"/>
      <c r="G371" s="91" t="n"/>
      <c r="H371" s="91" t="n"/>
      <c r="I371" s="91" t="n"/>
      <c r="J371" s="91" t="n"/>
      <c r="K371" s="91" t="n"/>
      <c r="L371" s="92" t="n"/>
      <c r="M371" s="91" t="n"/>
      <c r="N371" s="91" t="n"/>
      <c r="O371" s="91" t="n"/>
      <c r="P371" s="93" t="str">
        <f>IF(Z371=0,"",SUMIFS('ITENS_MTR'!$I$6:$I$1005,'ITENS_MTR'!$S$6:$S$1005,A371,'ITENS_MTR'!$Y$6:$Y$1005,1))</f>
        <v/>
      </c>
      <c r="Q371" s="93" t="str">
        <f>IF(Z371=0,"",SUMIFS('RECEBIMENTOS'!$H$6:$H$1005,'RECEBIMENTOS'!$B$6:$B$1005,A371,'RECEBIMENTOS'!$X$6:$X$1005,1))</f>
        <v/>
      </c>
      <c r="R371" s="93" t="str">
        <f>IF(Z371=0,"",SUMIFS('VÍNCULOS_CDF'!$H$6:$H$1005,'VÍNCULOS_CDF'!$D$6:$D$1005,A371,'VÍNCULOS_CDF'!$V$6:$V$1005,1))</f>
        <v/>
      </c>
      <c r="S371" s="94" t="str">
        <f>IF(Z371=0,"",IF(AA371=1,"Cancelado (informado)",IF(AE371=1,"Cadastro incompleto",IF(OR(AC371=1,AD371=1,AF371&gt;0,AH371&gt;0,AK371&gt;0,AL371&gt;0),"Informação a revisar",IF(AN371=0,"Aguardando recebimento",IF(N(R371)=0,"Aguardando CDF",IF(AJ371&lt;N(W371),"Vínculo de CDF parcial",IF(AO371=0,"CDF localizado, a conferir","Documentação conferida"))))))))</f>
        <v/>
      </c>
      <c r="T371" s="94" t="str">
        <f>IF(Z371=0,"",IF(S371="Cadastro incompleto","MTR INCOMPLETO",IF(S371="Informação a revisar",IF(AND(AH371&gt;0,AC371=0,AD371=0,AF371=0,AK371=0,AL371=0),"QUANTIDADE A REVISAR","IDENTIFICAÇÃO A REVISAR"),IF(S371="Aguardando recebimento","RECEBIMENTO NÃO CONFIRMADO",IF(S371="Aguardando CDF","CDF NÃO LOCALIZADO",IF(S371="Vínculo de CDF parcial","VÍNCULO INCOMPLETO",IF(S371="CDF localizado, a conferir","CDF A CONFERIR","")))))))</f>
        <v/>
      </c>
      <c r="U371" s="95" t="str">
        <f>IF(T371="","",IF(AQ371="","Não calculável",IF(AQ371&gt;TODAY(),"Data futura",TODAY()-AQ371)))</f>
        <v/>
      </c>
      <c r="V371" s="93" t="str">
        <f>IF(Z371=0,"",SUMIFS('RECEBIMENTOS'!$H$6:$H$1005,'RECEBIMENTOS'!$B$6:$B$1005,A371,'RECEBIMENTOS'!$Z$6:$Z$1005,1))</f>
        <v/>
      </c>
      <c r="W371" s="95" t="str">
        <f>IF(Z371=0,"",COUNTIFS('ITENS_MTR'!$S$6:$S$1005,A371,'ITENS_MTR'!$R$6:$R$1005,1))</f>
        <v/>
      </c>
      <c r="X371" s="94" t="str">
        <f>IF(AC371=1,"POSSÍVEL DUPLICIDADE","")</f>
        <v/>
      </c>
      <c r="Y371" s="94" t="str">
        <f>IF(Z371=0,"",IF(AW371="","Nenhuma",LEFT(AW371,LEN(AW371)-2)))</f>
        <v/>
      </c>
      <c r="Z371" s="96">
        <f>IF(COUNTA(B371:O371)&gt;0,1,0)</f>
        <v>0</v>
      </c>
      <c r="AA371" s="96">
        <f>IF(AND(Z371=1,K371&lt;&gt;""),IF(TRIM(K371)=TRIM(cfg_cancel),1,0),0)</f>
        <v>0</v>
      </c>
      <c r="AB371" s="96" t="str">
        <f>IF(AND(Z371=1,B371&lt;&gt;""),C371&amp;"|"&amp;D371&amp;"|"&amp;G371&amp;"|"&amp;TRIM(B371),"")</f>
        <v/>
      </c>
      <c r="AC371" s="96">
        <f>IF(AB371="",0,IF(SUMPRODUCT(--($AB$6:$AB$505=AB371))&gt;1,1,0))</f>
        <v>0</v>
      </c>
      <c r="AD371" s="96">
        <f>IF(Z371=0,0,IF(OR(AND(G371&lt;&gt;"",ISNA(MATCH(G371,'CAD_UNIDADES'!$C$6:$C$105,0))),AND(H371&lt;&gt;"",ISNA(MATCH(H371,cmp_transp,0))),AND(I371&lt;&gt;"",ISNA(MATCH(I371,cmp_dest,0))),AND(E371&lt;&gt;"",NOT(ISNUMBER(E371))),AND(F371&lt;&gt;"",NOT(ISNUMBER(F371))),AND(ISNUMBER(E371),ISNUMBER(F371),F371&lt;E371)),1,0))</f>
        <v>0</v>
      </c>
      <c r="AE371" s="96">
        <f>IF(Z371=0,0,IF(OR(B371="",C371="",E371="",G371="",H371="",I371="",N(W371)=0),1,0))</f>
        <v>0</v>
      </c>
      <c r="AF371" s="96">
        <f>IF(Z371=0,0,COUNTIFS('ITENS_MTR'!$S$6:$S$1005,A371,'ITENS_MTR'!$AI$6:$AI$1005,1))</f>
        <v>0</v>
      </c>
      <c r="AG371" s="96">
        <f>IF(Z371=0,0,COUNTIFS('ITENS_MTR'!$S$6:$S$1005,A371,'ITENS_MTR'!$AJ$6:$AJ$1005,1))</f>
        <v>0</v>
      </c>
      <c r="AH371" s="96">
        <f>IF(Z371=0,0,COUNTIFS('ITENS_MTR'!$S$6:$S$1005,A371,'ITENS_MTR'!$AM$6:$AM$1005,1))</f>
        <v>0</v>
      </c>
      <c r="AI371" s="96">
        <f>IF(Z371=0,0,COUNTIFS('ITENS_MTR'!$S$6:$S$1005,A371,'ITENS_MTR'!$AO$6:$AO$1005,1))</f>
        <v>0</v>
      </c>
      <c r="AJ371" s="96">
        <f>IF(Z371=0,0,COUNTIFS('ITENS_MTR'!$S$6:$S$1005,A371,'ITENS_MTR'!$AN$6:$AN$1005,1))</f>
        <v>0</v>
      </c>
      <c r="AK371" s="96">
        <f>IF(Z371=0,0,COUNTIFS('RECEBIMENTOS'!$B$6:$B$1005,A371,'RECEBIMENTOS'!$Y$6:$Y$1005,1))</f>
        <v>0</v>
      </c>
      <c r="AL371" s="96">
        <f>IF(Z371=0,0,COUNTIFS('VÍNCULOS_CDF'!$D$6:$D$1005,A371,'VÍNCULOS_CDF'!$Y$6:$Y$1005,1))</f>
        <v>0</v>
      </c>
      <c r="AM371" s="96">
        <f>IF(Z371=0,0,COUNTIFS('RECEBIMENTOS'!$B$6:$B$1005,A371,'RECEBIMENTOS'!$Q$6:$Q$1005,1))</f>
        <v>0</v>
      </c>
      <c r="AN371" s="96">
        <f>IF(AND(Z371=1,N(W371)&gt;0,AG371=N(W371)),1,0)</f>
        <v>0</v>
      </c>
      <c r="AO371" s="96">
        <f>IF(AND(Z371=1,N(W371)&gt;0,AI371=N(W371)),1,0)</f>
        <v>0</v>
      </c>
      <c r="AP371" s="97">
        <f>IF(Z371=0,0,_xlfn.MAXIFS('RECEBIMENTOS'!$E$6:$E$1005,'RECEBIMENTOS'!$B$6:$B$1005,A371))</f>
        <v>0</v>
      </c>
      <c r="AQ371" s="97" t="str">
        <f>IF(T371="","",IF(T371="RECEBIMENTO NÃO CONFIRMADO",IF(ISNUMBER(F371),F371,IF(ISNUMBER(E371),E371,"")),IF(OR(T371="CDF NÃO LOCALIZADO",T371="VÍNCULO INCOMPLETO",T371="CDF A CONFERIR"),IF(AP371&gt;0,AP371,IF(ISNUMBER(E371),E371,"")),IF(ISNUMBER(E371),E371,""))))</f>
        <v/>
      </c>
      <c r="AR371" s="96">
        <f>IF(NOT(ISNUMBER(U371)),0,IF(T371="RECEBIMENTO NÃO CONFIRMADO",IF(AND(ISNUMBER(cfg_rec),U371&gt;cfg_rec),1,0),IF(OR(T371="CDF NÃO LOCALIZADO",T371="VÍNCULO INCOMPLETO",T371="CDF A CONFERIR"),IF(AND(ISNUMBER(cfg_cdf),U371&gt;cfg_cdf),1,0),0)))</f>
        <v>0</v>
      </c>
      <c r="AS371" s="96" t="str">
        <f>IF(T371="","",IF(AR371=1,"Alta",IFERROR(INDEX(cfg_pp,MATCH(T371,cfg_pt,0))&amp;"","Média")))</f>
        <v/>
      </c>
      <c r="AT371" s="96" t="str">
        <f>IF(T371="","",IFERROR(INDEX(cfg_pv,MATCH(T371,cfg_pt,0))&amp;"",""))</f>
        <v/>
      </c>
      <c r="AU371" s="96" t="str">
        <f>IF(T371="","",IF(AS371="Alta",1,IF(AS371="Média",2,3))*1000000000+(999999-IF(ISNUMBER(U371),MIN(U371,999999),0))*1000+366)</f>
        <v/>
      </c>
      <c r="AV371" s="96">
        <f>IF(T371&lt;&gt;"",1,0)</f>
        <v>0</v>
      </c>
      <c r="AW371" s="96" t="str">
        <f>IF(Z371=0,"",IF(AA371=1,"Cancelamento informado; ","")&amp;IF(AE371=1,"Campos essenciais ou itens faltando; ","")&amp;IF(AC371=1,"Possível duplicidade do número; ","")&amp;IF(AD371=1,"Cadastro ou datas a revisar; ","")&amp;IF(AF371&gt;0,"Item de resíduo com dado a revisar; ","")&amp;IF(AH371&gt;0,"Diferença de quantidade a analisar; ","")&amp;IF(AK371&gt;0,"Recebimento com alerta; ","")&amp;IF(AL371&gt;0,"Vínculo de CDF com alerta; ","")&amp;IF(AND(AA371=0,AN371=0),"Recebimento não confirmado; ","")&amp;IF(AND(AA371=0,AN371=1,AO371=0),"CDF pendente ou a conferir; ",""))</f>
        <v/>
      </c>
      <c r="AX371" s="96">
        <f>IF(Z371=0,0,IF(AND(OR(f_ini="",AND(ISNUMBER(E371),E371&gt;=f_ini)),OR(f_fim="",AND(ISNUMBER(E371),E371&lt;=f_fim)),OR(f_un="",f_un="(Todas)",G371=f_un),OR(f_tr="",f_tr="(Todos)",H371=f_tr),OR(f_de="",f_de="(Todos)",I371=f_de),OR(f_sit="",f_sit="(Todas)",S371=f_sit)),1,0))</f>
        <v>0</v>
      </c>
      <c r="AY371" s="96">
        <f>IF(AX371=0,0,IF(OR(f_res="",f_res="(Todos)"),1,IF(COUNTIFS('ITENS_MTR'!$S$6:$S$1005,A371,'ITENS_MTR'!$C$6:$C$1005,f_res)&gt;0,1,0)))</f>
        <v>0</v>
      </c>
      <c r="AZ371" s="97" t="str">
        <f>IF(ISNUMBER(E371),DATE(YEAR(E371),MONTH(E371),1),"")</f>
        <v/>
      </c>
      <c r="BA371" s="96">
        <f>IF(Z371=0,0,IF(AND(OR(r_ini="",AND(ISNUMBER(E371),E371&gt;=r_ini)),OR(r_fim="",AND(ISNUMBER(E371),E371&lt;=r_fim)),OR(r_un="",r_un="(Todas)",G371=r_un),OR(r_de="",r_de="(Todos)",I371=r_de)),1,0))</f>
        <v>0</v>
      </c>
      <c r="BB371" s="96" t="str">
        <f>IF(BA371=1,COUNTIF($BA$6:BA371,1),"")</f>
        <v/>
      </c>
      <c r="BC371" s="96" t="str">
        <f>IF(AND(AU371&lt;&gt;"",OR(r_un="",r_un="(Todas)",G371=r_un),OR(r_de="",r_de="(Todos)",I371=r_de)),AU371,"")</f>
        <v/>
      </c>
      <c r="BD371" s="96" t="str">
        <f>IF(Z371=1,A371&amp;" | nº "&amp;IF(B371="","(sem número)",B371)&amp;" | "&amp;IF(G371="","(sem unidade)",G371),"")</f>
        <v/>
      </c>
      <c r="BE371" s="96" t="str">
        <f>IF(Z371=1,COUNTIF($Z$6:Z371,1),"")</f>
        <v/>
      </c>
      <c r="BF371" s="96" t="str">
        <f>IF(T371="","",IF(T371="RECEBIMENTO NÃO CONFIRMADO","Transp.: "&amp;H371&amp;" | Dest.: "&amp;I371,IF(OR(T371="CDF NÃO LOCALIZADO",T371="VÍNCULO INCOMPLETO",T371="CDF A CONFERIR"),"Dest.: "&amp;I371,"Gerador: "&amp;G371)))</f>
        <v/>
      </c>
    </row>
    <row r="372">
      <c r="A372" s="89" t="inlineStr">
        <is>
          <t>MTR-000367</t>
        </is>
      </c>
      <c r="B372" s="90" t="n"/>
      <c r="C372" s="91" t="n"/>
      <c r="D372" s="91" t="n"/>
      <c r="E372" s="92" t="n"/>
      <c r="F372" s="92" t="n"/>
      <c r="G372" s="91" t="n"/>
      <c r="H372" s="91" t="n"/>
      <c r="I372" s="91" t="n"/>
      <c r="J372" s="91" t="n"/>
      <c r="K372" s="91" t="n"/>
      <c r="L372" s="92" t="n"/>
      <c r="M372" s="91" t="n"/>
      <c r="N372" s="91" t="n"/>
      <c r="O372" s="91" t="n"/>
      <c r="P372" s="93" t="str">
        <f>IF(Z372=0,"",SUMIFS('ITENS_MTR'!$I$6:$I$1005,'ITENS_MTR'!$S$6:$S$1005,A372,'ITENS_MTR'!$Y$6:$Y$1005,1))</f>
        <v/>
      </c>
      <c r="Q372" s="93" t="str">
        <f>IF(Z372=0,"",SUMIFS('RECEBIMENTOS'!$H$6:$H$1005,'RECEBIMENTOS'!$B$6:$B$1005,A372,'RECEBIMENTOS'!$X$6:$X$1005,1))</f>
        <v/>
      </c>
      <c r="R372" s="93" t="str">
        <f>IF(Z372=0,"",SUMIFS('VÍNCULOS_CDF'!$H$6:$H$1005,'VÍNCULOS_CDF'!$D$6:$D$1005,A372,'VÍNCULOS_CDF'!$V$6:$V$1005,1))</f>
        <v/>
      </c>
      <c r="S372" s="94" t="str">
        <f>IF(Z372=0,"",IF(AA372=1,"Cancelado (informado)",IF(AE372=1,"Cadastro incompleto",IF(OR(AC372=1,AD372=1,AF372&gt;0,AH372&gt;0,AK372&gt;0,AL372&gt;0),"Informação a revisar",IF(AN372=0,"Aguardando recebimento",IF(N(R372)=0,"Aguardando CDF",IF(AJ372&lt;N(W372),"Vínculo de CDF parcial",IF(AO372=0,"CDF localizado, a conferir","Documentação conferida"))))))))</f>
        <v/>
      </c>
      <c r="T372" s="94" t="str">
        <f>IF(Z372=0,"",IF(S372="Cadastro incompleto","MTR INCOMPLETO",IF(S372="Informação a revisar",IF(AND(AH372&gt;0,AC372=0,AD372=0,AF372=0,AK372=0,AL372=0),"QUANTIDADE A REVISAR","IDENTIFICAÇÃO A REVISAR"),IF(S372="Aguardando recebimento","RECEBIMENTO NÃO CONFIRMADO",IF(S372="Aguardando CDF","CDF NÃO LOCALIZADO",IF(S372="Vínculo de CDF parcial","VÍNCULO INCOMPLETO",IF(S372="CDF localizado, a conferir","CDF A CONFERIR","")))))))</f>
        <v/>
      </c>
      <c r="U372" s="95" t="str">
        <f>IF(T372="","",IF(AQ372="","Não calculável",IF(AQ372&gt;TODAY(),"Data futura",TODAY()-AQ372)))</f>
        <v/>
      </c>
      <c r="V372" s="93" t="str">
        <f>IF(Z372=0,"",SUMIFS('RECEBIMENTOS'!$H$6:$H$1005,'RECEBIMENTOS'!$B$6:$B$1005,A372,'RECEBIMENTOS'!$Z$6:$Z$1005,1))</f>
        <v/>
      </c>
      <c r="W372" s="95" t="str">
        <f>IF(Z372=0,"",COUNTIFS('ITENS_MTR'!$S$6:$S$1005,A372,'ITENS_MTR'!$R$6:$R$1005,1))</f>
        <v/>
      </c>
      <c r="X372" s="94" t="str">
        <f>IF(AC372=1,"POSSÍVEL DUPLICIDADE","")</f>
        <v/>
      </c>
      <c r="Y372" s="94" t="str">
        <f>IF(Z372=0,"",IF(AW372="","Nenhuma",LEFT(AW372,LEN(AW372)-2)))</f>
        <v/>
      </c>
      <c r="Z372" s="96">
        <f>IF(COUNTA(B372:O372)&gt;0,1,0)</f>
        <v>0</v>
      </c>
      <c r="AA372" s="96">
        <f>IF(AND(Z372=1,K372&lt;&gt;""),IF(TRIM(K372)=TRIM(cfg_cancel),1,0),0)</f>
        <v>0</v>
      </c>
      <c r="AB372" s="96" t="str">
        <f>IF(AND(Z372=1,B372&lt;&gt;""),C372&amp;"|"&amp;D372&amp;"|"&amp;G372&amp;"|"&amp;TRIM(B372),"")</f>
        <v/>
      </c>
      <c r="AC372" s="96">
        <f>IF(AB372="",0,IF(SUMPRODUCT(--($AB$6:$AB$505=AB372))&gt;1,1,0))</f>
        <v>0</v>
      </c>
      <c r="AD372" s="96">
        <f>IF(Z372=0,0,IF(OR(AND(G372&lt;&gt;"",ISNA(MATCH(G372,'CAD_UNIDADES'!$C$6:$C$105,0))),AND(H372&lt;&gt;"",ISNA(MATCH(H372,cmp_transp,0))),AND(I372&lt;&gt;"",ISNA(MATCH(I372,cmp_dest,0))),AND(E372&lt;&gt;"",NOT(ISNUMBER(E372))),AND(F372&lt;&gt;"",NOT(ISNUMBER(F372))),AND(ISNUMBER(E372),ISNUMBER(F372),F372&lt;E372)),1,0))</f>
        <v>0</v>
      </c>
      <c r="AE372" s="96">
        <f>IF(Z372=0,0,IF(OR(B372="",C372="",E372="",G372="",H372="",I372="",N(W372)=0),1,0))</f>
        <v>0</v>
      </c>
      <c r="AF372" s="96">
        <f>IF(Z372=0,0,COUNTIFS('ITENS_MTR'!$S$6:$S$1005,A372,'ITENS_MTR'!$AI$6:$AI$1005,1))</f>
        <v>0</v>
      </c>
      <c r="AG372" s="96">
        <f>IF(Z372=0,0,COUNTIFS('ITENS_MTR'!$S$6:$S$1005,A372,'ITENS_MTR'!$AJ$6:$AJ$1005,1))</f>
        <v>0</v>
      </c>
      <c r="AH372" s="96">
        <f>IF(Z372=0,0,COUNTIFS('ITENS_MTR'!$S$6:$S$1005,A372,'ITENS_MTR'!$AM$6:$AM$1005,1))</f>
        <v>0</v>
      </c>
      <c r="AI372" s="96">
        <f>IF(Z372=0,0,COUNTIFS('ITENS_MTR'!$S$6:$S$1005,A372,'ITENS_MTR'!$AO$6:$AO$1005,1))</f>
        <v>0</v>
      </c>
      <c r="AJ372" s="96">
        <f>IF(Z372=0,0,COUNTIFS('ITENS_MTR'!$S$6:$S$1005,A372,'ITENS_MTR'!$AN$6:$AN$1005,1))</f>
        <v>0</v>
      </c>
      <c r="AK372" s="96">
        <f>IF(Z372=0,0,COUNTIFS('RECEBIMENTOS'!$B$6:$B$1005,A372,'RECEBIMENTOS'!$Y$6:$Y$1005,1))</f>
        <v>0</v>
      </c>
      <c r="AL372" s="96">
        <f>IF(Z372=0,0,COUNTIFS('VÍNCULOS_CDF'!$D$6:$D$1005,A372,'VÍNCULOS_CDF'!$Y$6:$Y$1005,1))</f>
        <v>0</v>
      </c>
      <c r="AM372" s="96">
        <f>IF(Z372=0,0,COUNTIFS('RECEBIMENTOS'!$B$6:$B$1005,A372,'RECEBIMENTOS'!$Q$6:$Q$1005,1))</f>
        <v>0</v>
      </c>
      <c r="AN372" s="96">
        <f>IF(AND(Z372=1,N(W372)&gt;0,AG372=N(W372)),1,0)</f>
        <v>0</v>
      </c>
      <c r="AO372" s="96">
        <f>IF(AND(Z372=1,N(W372)&gt;0,AI372=N(W372)),1,0)</f>
        <v>0</v>
      </c>
      <c r="AP372" s="97">
        <f>IF(Z372=0,0,_xlfn.MAXIFS('RECEBIMENTOS'!$E$6:$E$1005,'RECEBIMENTOS'!$B$6:$B$1005,A372))</f>
        <v>0</v>
      </c>
      <c r="AQ372" s="97" t="str">
        <f>IF(T372="","",IF(T372="RECEBIMENTO NÃO CONFIRMADO",IF(ISNUMBER(F372),F372,IF(ISNUMBER(E372),E372,"")),IF(OR(T372="CDF NÃO LOCALIZADO",T372="VÍNCULO INCOMPLETO",T372="CDF A CONFERIR"),IF(AP372&gt;0,AP372,IF(ISNUMBER(E372),E372,"")),IF(ISNUMBER(E372),E372,""))))</f>
        <v/>
      </c>
      <c r="AR372" s="96">
        <f>IF(NOT(ISNUMBER(U372)),0,IF(T372="RECEBIMENTO NÃO CONFIRMADO",IF(AND(ISNUMBER(cfg_rec),U372&gt;cfg_rec),1,0),IF(OR(T372="CDF NÃO LOCALIZADO",T372="VÍNCULO INCOMPLETO",T372="CDF A CONFERIR"),IF(AND(ISNUMBER(cfg_cdf),U372&gt;cfg_cdf),1,0),0)))</f>
        <v>0</v>
      </c>
      <c r="AS372" s="96" t="str">
        <f>IF(T372="","",IF(AR372=1,"Alta",IFERROR(INDEX(cfg_pp,MATCH(T372,cfg_pt,0))&amp;"","Média")))</f>
        <v/>
      </c>
      <c r="AT372" s="96" t="str">
        <f>IF(T372="","",IFERROR(INDEX(cfg_pv,MATCH(T372,cfg_pt,0))&amp;"",""))</f>
        <v/>
      </c>
      <c r="AU372" s="96" t="str">
        <f>IF(T372="","",IF(AS372="Alta",1,IF(AS372="Média",2,3))*1000000000+(999999-IF(ISNUMBER(U372),MIN(U372,999999),0))*1000+367)</f>
        <v/>
      </c>
      <c r="AV372" s="96">
        <f>IF(T372&lt;&gt;"",1,0)</f>
        <v>0</v>
      </c>
      <c r="AW372" s="96" t="str">
        <f>IF(Z372=0,"",IF(AA372=1,"Cancelamento informado; ","")&amp;IF(AE372=1,"Campos essenciais ou itens faltando; ","")&amp;IF(AC372=1,"Possível duplicidade do número; ","")&amp;IF(AD372=1,"Cadastro ou datas a revisar; ","")&amp;IF(AF372&gt;0,"Item de resíduo com dado a revisar; ","")&amp;IF(AH372&gt;0,"Diferença de quantidade a analisar; ","")&amp;IF(AK372&gt;0,"Recebimento com alerta; ","")&amp;IF(AL372&gt;0,"Vínculo de CDF com alerta; ","")&amp;IF(AND(AA372=0,AN372=0),"Recebimento não confirmado; ","")&amp;IF(AND(AA372=0,AN372=1,AO372=0),"CDF pendente ou a conferir; ",""))</f>
        <v/>
      </c>
      <c r="AX372" s="96">
        <f>IF(Z372=0,0,IF(AND(OR(f_ini="",AND(ISNUMBER(E372),E372&gt;=f_ini)),OR(f_fim="",AND(ISNUMBER(E372),E372&lt;=f_fim)),OR(f_un="",f_un="(Todas)",G372=f_un),OR(f_tr="",f_tr="(Todos)",H372=f_tr),OR(f_de="",f_de="(Todos)",I372=f_de),OR(f_sit="",f_sit="(Todas)",S372=f_sit)),1,0))</f>
        <v>0</v>
      </c>
      <c r="AY372" s="96">
        <f>IF(AX372=0,0,IF(OR(f_res="",f_res="(Todos)"),1,IF(COUNTIFS('ITENS_MTR'!$S$6:$S$1005,A372,'ITENS_MTR'!$C$6:$C$1005,f_res)&gt;0,1,0)))</f>
        <v>0</v>
      </c>
      <c r="AZ372" s="97" t="str">
        <f>IF(ISNUMBER(E372),DATE(YEAR(E372),MONTH(E372),1),"")</f>
        <v/>
      </c>
      <c r="BA372" s="96">
        <f>IF(Z372=0,0,IF(AND(OR(r_ini="",AND(ISNUMBER(E372),E372&gt;=r_ini)),OR(r_fim="",AND(ISNUMBER(E372),E372&lt;=r_fim)),OR(r_un="",r_un="(Todas)",G372=r_un),OR(r_de="",r_de="(Todos)",I372=r_de)),1,0))</f>
        <v>0</v>
      </c>
      <c r="BB372" s="96" t="str">
        <f>IF(BA372=1,COUNTIF($BA$6:BA372,1),"")</f>
        <v/>
      </c>
      <c r="BC372" s="96" t="str">
        <f>IF(AND(AU372&lt;&gt;"",OR(r_un="",r_un="(Todas)",G372=r_un),OR(r_de="",r_de="(Todos)",I372=r_de)),AU372,"")</f>
        <v/>
      </c>
      <c r="BD372" s="96" t="str">
        <f>IF(Z372=1,A372&amp;" | nº "&amp;IF(B372="","(sem número)",B372)&amp;" | "&amp;IF(G372="","(sem unidade)",G372),"")</f>
        <v/>
      </c>
      <c r="BE372" s="96" t="str">
        <f>IF(Z372=1,COUNTIF($Z$6:Z372,1),"")</f>
        <v/>
      </c>
      <c r="BF372" s="96" t="str">
        <f>IF(T372="","",IF(T372="RECEBIMENTO NÃO CONFIRMADO","Transp.: "&amp;H372&amp;" | Dest.: "&amp;I372,IF(OR(T372="CDF NÃO LOCALIZADO",T372="VÍNCULO INCOMPLETO",T372="CDF A CONFERIR"),"Dest.: "&amp;I372,"Gerador: "&amp;G372)))</f>
        <v/>
      </c>
    </row>
    <row r="373">
      <c r="A373" s="89" t="inlineStr">
        <is>
          <t>MTR-000368</t>
        </is>
      </c>
      <c r="B373" s="90" t="n"/>
      <c r="C373" s="91" t="n"/>
      <c r="D373" s="91" t="n"/>
      <c r="E373" s="92" t="n"/>
      <c r="F373" s="92" t="n"/>
      <c r="G373" s="91" t="n"/>
      <c r="H373" s="91" t="n"/>
      <c r="I373" s="91" t="n"/>
      <c r="J373" s="91" t="n"/>
      <c r="K373" s="91" t="n"/>
      <c r="L373" s="92" t="n"/>
      <c r="M373" s="91" t="n"/>
      <c r="N373" s="91" t="n"/>
      <c r="O373" s="91" t="n"/>
      <c r="P373" s="93" t="str">
        <f>IF(Z373=0,"",SUMIFS('ITENS_MTR'!$I$6:$I$1005,'ITENS_MTR'!$S$6:$S$1005,A373,'ITENS_MTR'!$Y$6:$Y$1005,1))</f>
        <v/>
      </c>
      <c r="Q373" s="93" t="str">
        <f>IF(Z373=0,"",SUMIFS('RECEBIMENTOS'!$H$6:$H$1005,'RECEBIMENTOS'!$B$6:$B$1005,A373,'RECEBIMENTOS'!$X$6:$X$1005,1))</f>
        <v/>
      </c>
      <c r="R373" s="93" t="str">
        <f>IF(Z373=0,"",SUMIFS('VÍNCULOS_CDF'!$H$6:$H$1005,'VÍNCULOS_CDF'!$D$6:$D$1005,A373,'VÍNCULOS_CDF'!$V$6:$V$1005,1))</f>
        <v/>
      </c>
      <c r="S373" s="94" t="str">
        <f>IF(Z373=0,"",IF(AA373=1,"Cancelado (informado)",IF(AE373=1,"Cadastro incompleto",IF(OR(AC373=1,AD373=1,AF373&gt;0,AH373&gt;0,AK373&gt;0,AL373&gt;0),"Informação a revisar",IF(AN373=0,"Aguardando recebimento",IF(N(R373)=0,"Aguardando CDF",IF(AJ373&lt;N(W373),"Vínculo de CDF parcial",IF(AO373=0,"CDF localizado, a conferir","Documentação conferida"))))))))</f>
        <v/>
      </c>
      <c r="T373" s="94" t="str">
        <f>IF(Z373=0,"",IF(S373="Cadastro incompleto","MTR INCOMPLETO",IF(S373="Informação a revisar",IF(AND(AH373&gt;0,AC373=0,AD373=0,AF373=0,AK373=0,AL373=0),"QUANTIDADE A REVISAR","IDENTIFICAÇÃO A REVISAR"),IF(S373="Aguardando recebimento","RECEBIMENTO NÃO CONFIRMADO",IF(S373="Aguardando CDF","CDF NÃO LOCALIZADO",IF(S373="Vínculo de CDF parcial","VÍNCULO INCOMPLETO",IF(S373="CDF localizado, a conferir","CDF A CONFERIR","")))))))</f>
        <v/>
      </c>
      <c r="U373" s="95" t="str">
        <f>IF(T373="","",IF(AQ373="","Não calculável",IF(AQ373&gt;TODAY(),"Data futura",TODAY()-AQ373)))</f>
        <v/>
      </c>
      <c r="V373" s="93" t="str">
        <f>IF(Z373=0,"",SUMIFS('RECEBIMENTOS'!$H$6:$H$1005,'RECEBIMENTOS'!$B$6:$B$1005,A373,'RECEBIMENTOS'!$Z$6:$Z$1005,1))</f>
        <v/>
      </c>
      <c r="W373" s="95" t="str">
        <f>IF(Z373=0,"",COUNTIFS('ITENS_MTR'!$S$6:$S$1005,A373,'ITENS_MTR'!$R$6:$R$1005,1))</f>
        <v/>
      </c>
      <c r="X373" s="94" t="str">
        <f>IF(AC373=1,"POSSÍVEL DUPLICIDADE","")</f>
        <v/>
      </c>
      <c r="Y373" s="94" t="str">
        <f>IF(Z373=0,"",IF(AW373="","Nenhuma",LEFT(AW373,LEN(AW373)-2)))</f>
        <v/>
      </c>
      <c r="Z373" s="96">
        <f>IF(COUNTA(B373:O373)&gt;0,1,0)</f>
        <v>0</v>
      </c>
      <c r="AA373" s="96">
        <f>IF(AND(Z373=1,K373&lt;&gt;""),IF(TRIM(K373)=TRIM(cfg_cancel),1,0),0)</f>
        <v>0</v>
      </c>
      <c r="AB373" s="96" t="str">
        <f>IF(AND(Z373=1,B373&lt;&gt;""),C373&amp;"|"&amp;D373&amp;"|"&amp;G373&amp;"|"&amp;TRIM(B373),"")</f>
        <v/>
      </c>
      <c r="AC373" s="96">
        <f>IF(AB373="",0,IF(SUMPRODUCT(--($AB$6:$AB$505=AB373))&gt;1,1,0))</f>
        <v>0</v>
      </c>
      <c r="AD373" s="96">
        <f>IF(Z373=0,0,IF(OR(AND(G373&lt;&gt;"",ISNA(MATCH(G373,'CAD_UNIDADES'!$C$6:$C$105,0))),AND(H373&lt;&gt;"",ISNA(MATCH(H373,cmp_transp,0))),AND(I373&lt;&gt;"",ISNA(MATCH(I373,cmp_dest,0))),AND(E373&lt;&gt;"",NOT(ISNUMBER(E373))),AND(F373&lt;&gt;"",NOT(ISNUMBER(F373))),AND(ISNUMBER(E373),ISNUMBER(F373),F373&lt;E373)),1,0))</f>
        <v>0</v>
      </c>
      <c r="AE373" s="96">
        <f>IF(Z373=0,0,IF(OR(B373="",C373="",E373="",G373="",H373="",I373="",N(W373)=0),1,0))</f>
        <v>0</v>
      </c>
      <c r="AF373" s="96">
        <f>IF(Z373=0,0,COUNTIFS('ITENS_MTR'!$S$6:$S$1005,A373,'ITENS_MTR'!$AI$6:$AI$1005,1))</f>
        <v>0</v>
      </c>
      <c r="AG373" s="96">
        <f>IF(Z373=0,0,COUNTIFS('ITENS_MTR'!$S$6:$S$1005,A373,'ITENS_MTR'!$AJ$6:$AJ$1005,1))</f>
        <v>0</v>
      </c>
      <c r="AH373" s="96">
        <f>IF(Z373=0,0,COUNTIFS('ITENS_MTR'!$S$6:$S$1005,A373,'ITENS_MTR'!$AM$6:$AM$1005,1))</f>
        <v>0</v>
      </c>
      <c r="AI373" s="96">
        <f>IF(Z373=0,0,COUNTIFS('ITENS_MTR'!$S$6:$S$1005,A373,'ITENS_MTR'!$AO$6:$AO$1005,1))</f>
        <v>0</v>
      </c>
      <c r="AJ373" s="96">
        <f>IF(Z373=0,0,COUNTIFS('ITENS_MTR'!$S$6:$S$1005,A373,'ITENS_MTR'!$AN$6:$AN$1005,1))</f>
        <v>0</v>
      </c>
      <c r="AK373" s="96">
        <f>IF(Z373=0,0,COUNTIFS('RECEBIMENTOS'!$B$6:$B$1005,A373,'RECEBIMENTOS'!$Y$6:$Y$1005,1))</f>
        <v>0</v>
      </c>
      <c r="AL373" s="96">
        <f>IF(Z373=0,0,COUNTIFS('VÍNCULOS_CDF'!$D$6:$D$1005,A373,'VÍNCULOS_CDF'!$Y$6:$Y$1005,1))</f>
        <v>0</v>
      </c>
      <c r="AM373" s="96">
        <f>IF(Z373=0,0,COUNTIFS('RECEBIMENTOS'!$B$6:$B$1005,A373,'RECEBIMENTOS'!$Q$6:$Q$1005,1))</f>
        <v>0</v>
      </c>
      <c r="AN373" s="96">
        <f>IF(AND(Z373=1,N(W373)&gt;0,AG373=N(W373)),1,0)</f>
        <v>0</v>
      </c>
      <c r="AO373" s="96">
        <f>IF(AND(Z373=1,N(W373)&gt;0,AI373=N(W373)),1,0)</f>
        <v>0</v>
      </c>
      <c r="AP373" s="97">
        <f>IF(Z373=0,0,_xlfn.MAXIFS('RECEBIMENTOS'!$E$6:$E$1005,'RECEBIMENTOS'!$B$6:$B$1005,A373))</f>
        <v>0</v>
      </c>
      <c r="AQ373" s="97" t="str">
        <f>IF(T373="","",IF(T373="RECEBIMENTO NÃO CONFIRMADO",IF(ISNUMBER(F373),F373,IF(ISNUMBER(E373),E373,"")),IF(OR(T373="CDF NÃO LOCALIZADO",T373="VÍNCULO INCOMPLETO",T373="CDF A CONFERIR"),IF(AP373&gt;0,AP373,IF(ISNUMBER(E373),E373,"")),IF(ISNUMBER(E373),E373,""))))</f>
        <v/>
      </c>
      <c r="AR373" s="96">
        <f>IF(NOT(ISNUMBER(U373)),0,IF(T373="RECEBIMENTO NÃO CONFIRMADO",IF(AND(ISNUMBER(cfg_rec),U373&gt;cfg_rec),1,0),IF(OR(T373="CDF NÃO LOCALIZADO",T373="VÍNCULO INCOMPLETO",T373="CDF A CONFERIR"),IF(AND(ISNUMBER(cfg_cdf),U373&gt;cfg_cdf),1,0),0)))</f>
        <v>0</v>
      </c>
      <c r="AS373" s="96" t="str">
        <f>IF(T373="","",IF(AR373=1,"Alta",IFERROR(INDEX(cfg_pp,MATCH(T373,cfg_pt,0))&amp;"","Média")))</f>
        <v/>
      </c>
      <c r="AT373" s="96" t="str">
        <f>IF(T373="","",IFERROR(INDEX(cfg_pv,MATCH(T373,cfg_pt,0))&amp;"",""))</f>
        <v/>
      </c>
      <c r="AU373" s="96" t="str">
        <f>IF(T373="","",IF(AS373="Alta",1,IF(AS373="Média",2,3))*1000000000+(999999-IF(ISNUMBER(U373),MIN(U373,999999),0))*1000+368)</f>
        <v/>
      </c>
      <c r="AV373" s="96">
        <f>IF(T373&lt;&gt;"",1,0)</f>
        <v>0</v>
      </c>
      <c r="AW373" s="96" t="str">
        <f>IF(Z373=0,"",IF(AA373=1,"Cancelamento informado; ","")&amp;IF(AE373=1,"Campos essenciais ou itens faltando; ","")&amp;IF(AC373=1,"Possível duplicidade do número; ","")&amp;IF(AD373=1,"Cadastro ou datas a revisar; ","")&amp;IF(AF373&gt;0,"Item de resíduo com dado a revisar; ","")&amp;IF(AH373&gt;0,"Diferença de quantidade a analisar; ","")&amp;IF(AK373&gt;0,"Recebimento com alerta; ","")&amp;IF(AL373&gt;0,"Vínculo de CDF com alerta; ","")&amp;IF(AND(AA373=0,AN373=0),"Recebimento não confirmado; ","")&amp;IF(AND(AA373=0,AN373=1,AO373=0),"CDF pendente ou a conferir; ",""))</f>
        <v/>
      </c>
      <c r="AX373" s="96">
        <f>IF(Z373=0,0,IF(AND(OR(f_ini="",AND(ISNUMBER(E373),E373&gt;=f_ini)),OR(f_fim="",AND(ISNUMBER(E373),E373&lt;=f_fim)),OR(f_un="",f_un="(Todas)",G373=f_un),OR(f_tr="",f_tr="(Todos)",H373=f_tr),OR(f_de="",f_de="(Todos)",I373=f_de),OR(f_sit="",f_sit="(Todas)",S373=f_sit)),1,0))</f>
        <v>0</v>
      </c>
      <c r="AY373" s="96">
        <f>IF(AX373=0,0,IF(OR(f_res="",f_res="(Todos)"),1,IF(COUNTIFS('ITENS_MTR'!$S$6:$S$1005,A373,'ITENS_MTR'!$C$6:$C$1005,f_res)&gt;0,1,0)))</f>
        <v>0</v>
      </c>
      <c r="AZ373" s="97" t="str">
        <f>IF(ISNUMBER(E373),DATE(YEAR(E373),MONTH(E373),1),"")</f>
        <v/>
      </c>
      <c r="BA373" s="96">
        <f>IF(Z373=0,0,IF(AND(OR(r_ini="",AND(ISNUMBER(E373),E373&gt;=r_ini)),OR(r_fim="",AND(ISNUMBER(E373),E373&lt;=r_fim)),OR(r_un="",r_un="(Todas)",G373=r_un),OR(r_de="",r_de="(Todos)",I373=r_de)),1,0))</f>
        <v>0</v>
      </c>
      <c r="BB373" s="96" t="str">
        <f>IF(BA373=1,COUNTIF($BA$6:BA373,1),"")</f>
        <v/>
      </c>
      <c r="BC373" s="96" t="str">
        <f>IF(AND(AU373&lt;&gt;"",OR(r_un="",r_un="(Todas)",G373=r_un),OR(r_de="",r_de="(Todos)",I373=r_de)),AU373,"")</f>
        <v/>
      </c>
      <c r="BD373" s="96" t="str">
        <f>IF(Z373=1,A373&amp;" | nº "&amp;IF(B373="","(sem número)",B373)&amp;" | "&amp;IF(G373="","(sem unidade)",G373),"")</f>
        <v/>
      </c>
      <c r="BE373" s="96" t="str">
        <f>IF(Z373=1,COUNTIF($Z$6:Z373,1),"")</f>
        <v/>
      </c>
      <c r="BF373" s="96" t="str">
        <f>IF(T373="","",IF(T373="RECEBIMENTO NÃO CONFIRMADO","Transp.: "&amp;H373&amp;" | Dest.: "&amp;I373,IF(OR(T373="CDF NÃO LOCALIZADO",T373="VÍNCULO INCOMPLETO",T373="CDF A CONFERIR"),"Dest.: "&amp;I373,"Gerador: "&amp;G373)))</f>
        <v/>
      </c>
    </row>
    <row r="374">
      <c r="A374" s="89" t="inlineStr">
        <is>
          <t>MTR-000369</t>
        </is>
      </c>
      <c r="B374" s="90" t="n"/>
      <c r="C374" s="91" t="n"/>
      <c r="D374" s="91" t="n"/>
      <c r="E374" s="92" t="n"/>
      <c r="F374" s="92" t="n"/>
      <c r="G374" s="91" t="n"/>
      <c r="H374" s="91" t="n"/>
      <c r="I374" s="91" t="n"/>
      <c r="J374" s="91" t="n"/>
      <c r="K374" s="91" t="n"/>
      <c r="L374" s="92" t="n"/>
      <c r="M374" s="91" t="n"/>
      <c r="N374" s="91" t="n"/>
      <c r="O374" s="91" t="n"/>
      <c r="P374" s="93" t="str">
        <f>IF(Z374=0,"",SUMIFS('ITENS_MTR'!$I$6:$I$1005,'ITENS_MTR'!$S$6:$S$1005,A374,'ITENS_MTR'!$Y$6:$Y$1005,1))</f>
        <v/>
      </c>
      <c r="Q374" s="93" t="str">
        <f>IF(Z374=0,"",SUMIFS('RECEBIMENTOS'!$H$6:$H$1005,'RECEBIMENTOS'!$B$6:$B$1005,A374,'RECEBIMENTOS'!$X$6:$X$1005,1))</f>
        <v/>
      </c>
      <c r="R374" s="93" t="str">
        <f>IF(Z374=0,"",SUMIFS('VÍNCULOS_CDF'!$H$6:$H$1005,'VÍNCULOS_CDF'!$D$6:$D$1005,A374,'VÍNCULOS_CDF'!$V$6:$V$1005,1))</f>
        <v/>
      </c>
      <c r="S374" s="94" t="str">
        <f>IF(Z374=0,"",IF(AA374=1,"Cancelado (informado)",IF(AE374=1,"Cadastro incompleto",IF(OR(AC374=1,AD374=1,AF374&gt;0,AH374&gt;0,AK374&gt;0,AL374&gt;0),"Informação a revisar",IF(AN374=0,"Aguardando recebimento",IF(N(R374)=0,"Aguardando CDF",IF(AJ374&lt;N(W374),"Vínculo de CDF parcial",IF(AO374=0,"CDF localizado, a conferir","Documentação conferida"))))))))</f>
        <v/>
      </c>
      <c r="T374" s="94" t="str">
        <f>IF(Z374=0,"",IF(S374="Cadastro incompleto","MTR INCOMPLETO",IF(S374="Informação a revisar",IF(AND(AH374&gt;0,AC374=0,AD374=0,AF374=0,AK374=0,AL374=0),"QUANTIDADE A REVISAR","IDENTIFICAÇÃO A REVISAR"),IF(S374="Aguardando recebimento","RECEBIMENTO NÃO CONFIRMADO",IF(S374="Aguardando CDF","CDF NÃO LOCALIZADO",IF(S374="Vínculo de CDF parcial","VÍNCULO INCOMPLETO",IF(S374="CDF localizado, a conferir","CDF A CONFERIR","")))))))</f>
        <v/>
      </c>
      <c r="U374" s="95" t="str">
        <f>IF(T374="","",IF(AQ374="","Não calculável",IF(AQ374&gt;TODAY(),"Data futura",TODAY()-AQ374)))</f>
        <v/>
      </c>
      <c r="V374" s="93" t="str">
        <f>IF(Z374=0,"",SUMIFS('RECEBIMENTOS'!$H$6:$H$1005,'RECEBIMENTOS'!$B$6:$B$1005,A374,'RECEBIMENTOS'!$Z$6:$Z$1005,1))</f>
        <v/>
      </c>
      <c r="W374" s="95" t="str">
        <f>IF(Z374=0,"",COUNTIFS('ITENS_MTR'!$S$6:$S$1005,A374,'ITENS_MTR'!$R$6:$R$1005,1))</f>
        <v/>
      </c>
      <c r="X374" s="94" t="str">
        <f>IF(AC374=1,"POSSÍVEL DUPLICIDADE","")</f>
        <v/>
      </c>
      <c r="Y374" s="94" t="str">
        <f>IF(Z374=0,"",IF(AW374="","Nenhuma",LEFT(AW374,LEN(AW374)-2)))</f>
        <v/>
      </c>
      <c r="Z374" s="96">
        <f>IF(COUNTA(B374:O374)&gt;0,1,0)</f>
        <v>0</v>
      </c>
      <c r="AA374" s="96">
        <f>IF(AND(Z374=1,K374&lt;&gt;""),IF(TRIM(K374)=TRIM(cfg_cancel),1,0),0)</f>
        <v>0</v>
      </c>
      <c r="AB374" s="96" t="str">
        <f>IF(AND(Z374=1,B374&lt;&gt;""),C374&amp;"|"&amp;D374&amp;"|"&amp;G374&amp;"|"&amp;TRIM(B374),"")</f>
        <v/>
      </c>
      <c r="AC374" s="96">
        <f>IF(AB374="",0,IF(SUMPRODUCT(--($AB$6:$AB$505=AB374))&gt;1,1,0))</f>
        <v>0</v>
      </c>
      <c r="AD374" s="96">
        <f>IF(Z374=0,0,IF(OR(AND(G374&lt;&gt;"",ISNA(MATCH(G374,'CAD_UNIDADES'!$C$6:$C$105,0))),AND(H374&lt;&gt;"",ISNA(MATCH(H374,cmp_transp,0))),AND(I374&lt;&gt;"",ISNA(MATCH(I374,cmp_dest,0))),AND(E374&lt;&gt;"",NOT(ISNUMBER(E374))),AND(F374&lt;&gt;"",NOT(ISNUMBER(F374))),AND(ISNUMBER(E374),ISNUMBER(F374),F374&lt;E374)),1,0))</f>
        <v>0</v>
      </c>
      <c r="AE374" s="96">
        <f>IF(Z374=0,0,IF(OR(B374="",C374="",E374="",G374="",H374="",I374="",N(W374)=0),1,0))</f>
        <v>0</v>
      </c>
      <c r="AF374" s="96">
        <f>IF(Z374=0,0,COUNTIFS('ITENS_MTR'!$S$6:$S$1005,A374,'ITENS_MTR'!$AI$6:$AI$1005,1))</f>
        <v>0</v>
      </c>
      <c r="AG374" s="96">
        <f>IF(Z374=0,0,COUNTIFS('ITENS_MTR'!$S$6:$S$1005,A374,'ITENS_MTR'!$AJ$6:$AJ$1005,1))</f>
        <v>0</v>
      </c>
      <c r="AH374" s="96">
        <f>IF(Z374=0,0,COUNTIFS('ITENS_MTR'!$S$6:$S$1005,A374,'ITENS_MTR'!$AM$6:$AM$1005,1))</f>
        <v>0</v>
      </c>
      <c r="AI374" s="96">
        <f>IF(Z374=0,0,COUNTIFS('ITENS_MTR'!$S$6:$S$1005,A374,'ITENS_MTR'!$AO$6:$AO$1005,1))</f>
        <v>0</v>
      </c>
      <c r="AJ374" s="96">
        <f>IF(Z374=0,0,COUNTIFS('ITENS_MTR'!$S$6:$S$1005,A374,'ITENS_MTR'!$AN$6:$AN$1005,1))</f>
        <v>0</v>
      </c>
      <c r="AK374" s="96">
        <f>IF(Z374=0,0,COUNTIFS('RECEBIMENTOS'!$B$6:$B$1005,A374,'RECEBIMENTOS'!$Y$6:$Y$1005,1))</f>
        <v>0</v>
      </c>
      <c r="AL374" s="96">
        <f>IF(Z374=0,0,COUNTIFS('VÍNCULOS_CDF'!$D$6:$D$1005,A374,'VÍNCULOS_CDF'!$Y$6:$Y$1005,1))</f>
        <v>0</v>
      </c>
      <c r="AM374" s="96">
        <f>IF(Z374=0,0,COUNTIFS('RECEBIMENTOS'!$B$6:$B$1005,A374,'RECEBIMENTOS'!$Q$6:$Q$1005,1))</f>
        <v>0</v>
      </c>
      <c r="AN374" s="96">
        <f>IF(AND(Z374=1,N(W374)&gt;0,AG374=N(W374)),1,0)</f>
        <v>0</v>
      </c>
      <c r="AO374" s="96">
        <f>IF(AND(Z374=1,N(W374)&gt;0,AI374=N(W374)),1,0)</f>
        <v>0</v>
      </c>
      <c r="AP374" s="97">
        <f>IF(Z374=0,0,_xlfn.MAXIFS('RECEBIMENTOS'!$E$6:$E$1005,'RECEBIMENTOS'!$B$6:$B$1005,A374))</f>
        <v>0</v>
      </c>
      <c r="AQ374" s="97" t="str">
        <f>IF(T374="","",IF(T374="RECEBIMENTO NÃO CONFIRMADO",IF(ISNUMBER(F374),F374,IF(ISNUMBER(E374),E374,"")),IF(OR(T374="CDF NÃO LOCALIZADO",T374="VÍNCULO INCOMPLETO",T374="CDF A CONFERIR"),IF(AP374&gt;0,AP374,IF(ISNUMBER(E374),E374,"")),IF(ISNUMBER(E374),E374,""))))</f>
        <v/>
      </c>
      <c r="AR374" s="96">
        <f>IF(NOT(ISNUMBER(U374)),0,IF(T374="RECEBIMENTO NÃO CONFIRMADO",IF(AND(ISNUMBER(cfg_rec),U374&gt;cfg_rec),1,0),IF(OR(T374="CDF NÃO LOCALIZADO",T374="VÍNCULO INCOMPLETO",T374="CDF A CONFERIR"),IF(AND(ISNUMBER(cfg_cdf),U374&gt;cfg_cdf),1,0),0)))</f>
        <v>0</v>
      </c>
      <c r="AS374" s="96" t="str">
        <f>IF(T374="","",IF(AR374=1,"Alta",IFERROR(INDEX(cfg_pp,MATCH(T374,cfg_pt,0))&amp;"","Média")))</f>
        <v/>
      </c>
      <c r="AT374" s="96" t="str">
        <f>IF(T374="","",IFERROR(INDEX(cfg_pv,MATCH(T374,cfg_pt,0))&amp;"",""))</f>
        <v/>
      </c>
      <c r="AU374" s="96" t="str">
        <f>IF(T374="","",IF(AS374="Alta",1,IF(AS374="Média",2,3))*1000000000+(999999-IF(ISNUMBER(U374),MIN(U374,999999),0))*1000+369)</f>
        <v/>
      </c>
      <c r="AV374" s="96">
        <f>IF(T374&lt;&gt;"",1,0)</f>
        <v>0</v>
      </c>
      <c r="AW374" s="96" t="str">
        <f>IF(Z374=0,"",IF(AA374=1,"Cancelamento informado; ","")&amp;IF(AE374=1,"Campos essenciais ou itens faltando; ","")&amp;IF(AC374=1,"Possível duplicidade do número; ","")&amp;IF(AD374=1,"Cadastro ou datas a revisar; ","")&amp;IF(AF374&gt;0,"Item de resíduo com dado a revisar; ","")&amp;IF(AH374&gt;0,"Diferença de quantidade a analisar; ","")&amp;IF(AK374&gt;0,"Recebimento com alerta; ","")&amp;IF(AL374&gt;0,"Vínculo de CDF com alerta; ","")&amp;IF(AND(AA374=0,AN374=0),"Recebimento não confirmado; ","")&amp;IF(AND(AA374=0,AN374=1,AO374=0),"CDF pendente ou a conferir; ",""))</f>
        <v/>
      </c>
      <c r="AX374" s="96">
        <f>IF(Z374=0,0,IF(AND(OR(f_ini="",AND(ISNUMBER(E374),E374&gt;=f_ini)),OR(f_fim="",AND(ISNUMBER(E374),E374&lt;=f_fim)),OR(f_un="",f_un="(Todas)",G374=f_un),OR(f_tr="",f_tr="(Todos)",H374=f_tr),OR(f_de="",f_de="(Todos)",I374=f_de),OR(f_sit="",f_sit="(Todas)",S374=f_sit)),1,0))</f>
        <v>0</v>
      </c>
      <c r="AY374" s="96">
        <f>IF(AX374=0,0,IF(OR(f_res="",f_res="(Todos)"),1,IF(COUNTIFS('ITENS_MTR'!$S$6:$S$1005,A374,'ITENS_MTR'!$C$6:$C$1005,f_res)&gt;0,1,0)))</f>
        <v>0</v>
      </c>
      <c r="AZ374" s="97" t="str">
        <f>IF(ISNUMBER(E374),DATE(YEAR(E374),MONTH(E374),1),"")</f>
        <v/>
      </c>
      <c r="BA374" s="96">
        <f>IF(Z374=0,0,IF(AND(OR(r_ini="",AND(ISNUMBER(E374),E374&gt;=r_ini)),OR(r_fim="",AND(ISNUMBER(E374),E374&lt;=r_fim)),OR(r_un="",r_un="(Todas)",G374=r_un),OR(r_de="",r_de="(Todos)",I374=r_de)),1,0))</f>
        <v>0</v>
      </c>
      <c r="BB374" s="96" t="str">
        <f>IF(BA374=1,COUNTIF($BA$6:BA374,1),"")</f>
        <v/>
      </c>
      <c r="BC374" s="96" t="str">
        <f>IF(AND(AU374&lt;&gt;"",OR(r_un="",r_un="(Todas)",G374=r_un),OR(r_de="",r_de="(Todos)",I374=r_de)),AU374,"")</f>
        <v/>
      </c>
      <c r="BD374" s="96" t="str">
        <f>IF(Z374=1,A374&amp;" | nº "&amp;IF(B374="","(sem número)",B374)&amp;" | "&amp;IF(G374="","(sem unidade)",G374),"")</f>
        <v/>
      </c>
      <c r="BE374" s="96" t="str">
        <f>IF(Z374=1,COUNTIF($Z$6:Z374,1),"")</f>
        <v/>
      </c>
      <c r="BF374" s="96" t="str">
        <f>IF(T374="","",IF(T374="RECEBIMENTO NÃO CONFIRMADO","Transp.: "&amp;H374&amp;" | Dest.: "&amp;I374,IF(OR(T374="CDF NÃO LOCALIZADO",T374="VÍNCULO INCOMPLETO",T374="CDF A CONFERIR"),"Dest.: "&amp;I374,"Gerador: "&amp;G374)))</f>
        <v/>
      </c>
    </row>
    <row r="375">
      <c r="A375" s="89" t="inlineStr">
        <is>
          <t>MTR-000370</t>
        </is>
      </c>
      <c r="B375" s="90" t="n"/>
      <c r="C375" s="91" t="n"/>
      <c r="D375" s="91" t="n"/>
      <c r="E375" s="92" t="n"/>
      <c r="F375" s="92" t="n"/>
      <c r="G375" s="91" t="n"/>
      <c r="H375" s="91" t="n"/>
      <c r="I375" s="91" t="n"/>
      <c r="J375" s="91" t="n"/>
      <c r="K375" s="91" t="n"/>
      <c r="L375" s="92" t="n"/>
      <c r="M375" s="91" t="n"/>
      <c r="N375" s="91" t="n"/>
      <c r="O375" s="91" t="n"/>
      <c r="P375" s="93" t="str">
        <f>IF(Z375=0,"",SUMIFS('ITENS_MTR'!$I$6:$I$1005,'ITENS_MTR'!$S$6:$S$1005,A375,'ITENS_MTR'!$Y$6:$Y$1005,1))</f>
        <v/>
      </c>
      <c r="Q375" s="93" t="str">
        <f>IF(Z375=0,"",SUMIFS('RECEBIMENTOS'!$H$6:$H$1005,'RECEBIMENTOS'!$B$6:$B$1005,A375,'RECEBIMENTOS'!$X$6:$X$1005,1))</f>
        <v/>
      </c>
      <c r="R375" s="93" t="str">
        <f>IF(Z375=0,"",SUMIFS('VÍNCULOS_CDF'!$H$6:$H$1005,'VÍNCULOS_CDF'!$D$6:$D$1005,A375,'VÍNCULOS_CDF'!$V$6:$V$1005,1))</f>
        <v/>
      </c>
      <c r="S375" s="94" t="str">
        <f>IF(Z375=0,"",IF(AA375=1,"Cancelado (informado)",IF(AE375=1,"Cadastro incompleto",IF(OR(AC375=1,AD375=1,AF375&gt;0,AH375&gt;0,AK375&gt;0,AL375&gt;0),"Informação a revisar",IF(AN375=0,"Aguardando recebimento",IF(N(R375)=0,"Aguardando CDF",IF(AJ375&lt;N(W375),"Vínculo de CDF parcial",IF(AO375=0,"CDF localizado, a conferir","Documentação conferida"))))))))</f>
        <v/>
      </c>
      <c r="T375" s="94" t="str">
        <f>IF(Z375=0,"",IF(S375="Cadastro incompleto","MTR INCOMPLETO",IF(S375="Informação a revisar",IF(AND(AH375&gt;0,AC375=0,AD375=0,AF375=0,AK375=0,AL375=0),"QUANTIDADE A REVISAR","IDENTIFICAÇÃO A REVISAR"),IF(S375="Aguardando recebimento","RECEBIMENTO NÃO CONFIRMADO",IF(S375="Aguardando CDF","CDF NÃO LOCALIZADO",IF(S375="Vínculo de CDF parcial","VÍNCULO INCOMPLETO",IF(S375="CDF localizado, a conferir","CDF A CONFERIR","")))))))</f>
        <v/>
      </c>
      <c r="U375" s="95" t="str">
        <f>IF(T375="","",IF(AQ375="","Não calculável",IF(AQ375&gt;TODAY(),"Data futura",TODAY()-AQ375)))</f>
        <v/>
      </c>
      <c r="V375" s="93" t="str">
        <f>IF(Z375=0,"",SUMIFS('RECEBIMENTOS'!$H$6:$H$1005,'RECEBIMENTOS'!$B$6:$B$1005,A375,'RECEBIMENTOS'!$Z$6:$Z$1005,1))</f>
        <v/>
      </c>
      <c r="W375" s="95" t="str">
        <f>IF(Z375=0,"",COUNTIFS('ITENS_MTR'!$S$6:$S$1005,A375,'ITENS_MTR'!$R$6:$R$1005,1))</f>
        <v/>
      </c>
      <c r="X375" s="94" t="str">
        <f>IF(AC375=1,"POSSÍVEL DUPLICIDADE","")</f>
        <v/>
      </c>
      <c r="Y375" s="94" t="str">
        <f>IF(Z375=0,"",IF(AW375="","Nenhuma",LEFT(AW375,LEN(AW375)-2)))</f>
        <v/>
      </c>
      <c r="Z375" s="96">
        <f>IF(COUNTA(B375:O375)&gt;0,1,0)</f>
        <v>0</v>
      </c>
      <c r="AA375" s="96">
        <f>IF(AND(Z375=1,K375&lt;&gt;""),IF(TRIM(K375)=TRIM(cfg_cancel),1,0),0)</f>
        <v>0</v>
      </c>
      <c r="AB375" s="96" t="str">
        <f>IF(AND(Z375=1,B375&lt;&gt;""),C375&amp;"|"&amp;D375&amp;"|"&amp;G375&amp;"|"&amp;TRIM(B375),"")</f>
        <v/>
      </c>
      <c r="AC375" s="96">
        <f>IF(AB375="",0,IF(SUMPRODUCT(--($AB$6:$AB$505=AB375))&gt;1,1,0))</f>
        <v>0</v>
      </c>
      <c r="AD375" s="96">
        <f>IF(Z375=0,0,IF(OR(AND(G375&lt;&gt;"",ISNA(MATCH(G375,'CAD_UNIDADES'!$C$6:$C$105,0))),AND(H375&lt;&gt;"",ISNA(MATCH(H375,cmp_transp,0))),AND(I375&lt;&gt;"",ISNA(MATCH(I375,cmp_dest,0))),AND(E375&lt;&gt;"",NOT(ISNUMBER(E375))),AND(F375&lt;&gt;"",NOT(ISNUMBER(F375))),AND(ISNUMBER(E375),ISNUMBER(F375),F375&lt;E375)),1,0))</f>
        <v>0</v>
      </c>
      <c r="AE375" s="96">
        <f>IF(Z375=0,0,IF(OR(B375="",C375="",E375="",G375="",H375="",I375="",N(W375)=0),1,0))</f>
        <v>0</v>
      </c>
      <c r="AF375" s="96">
        <f>IF(Z375=0,0,COUNTIFS('ITENS_MTR'!$S$6:$S$1005,A375,'ITENS_MTR'!$AI$6:$AI$1005,1))</f>
        <v>0</v>
      </c>
      <c r="AG375" s="96">
        <f>IF(Z375=0,0,COUNTIFS('ITENS_MTR'!$S$6:$S$1005,A375,'ITENS_MTR'!$AJ$6:$AJ$1005,1))</f>
        <v>0</v>
      </c>
      <c r="AH375" s="96">
        <f>IF(Z375=0,0,COUNTIFS('ITENS_MTR'!$S$6:$S$1005,A375,'ITENS_MTR'!$AM$6:$AM$1005,1))</f>
        <v>0</v>
      </c>
      <c r="AI375" s="96">
        <f>IF(Z375=0,0,COUNTIFS('ITENS_MTR'!$S$6:$S$1005,A375,'ITENS_MTR'!$AO$6:$AO$1005,1))</f>
        <v>0</v>
      </c>
      <c r="AJ375" s="96">
        <f>IF(Z375=0,0,COUNTIFS('ITENS_MTR'!$S$6:$S$1005,A375,'ITENS_MTR'!$AN$6:$AN$1005,1))</f>
        <v>0</v>
      </c>
      <c r="AK375" s="96">
        <f>IF(Z375=0,0,COUNTIFS('RECEBIMENTOS'!$B$6:$B$1005,A375,'RECEBIMENTOS'!$Y$6:$Y$1005,1))</f>
        <v>0</v>
      </c>
      <c r="AL375" s="96">
        <f>IF(Z375=0,0,COUNTIFS('VÍNCULOS_CDF'!$D$6:$D$1005,A375,'VÍNCULOS_CDF'!$Y$6:$Y$1005,1))</f>
        <v>0</v>
      </c>
      <c r="AM375" s="96">
        <f>IF(Z375=0,0,COUNTIFS('RECEBIMENTOS'!$B$6:$B$1005,A375,'RECEBIMENTOS'!$Q$6:$Q$1005,1))</f>
        <v>0</v>
      </c>
      <c r="AN375" s="96">
        <f>IF(AND(Z375=1,N(W375)&gt;0,AG375=N(W375)),1,0)</f>
        <v>0</v>
      </c>
      <c r="AO375" s="96">
        <f>IF(AND(Z375=1,N(W375)&gt;0,AI375=N(W375)),1,0)</f>
        <v>0</v>
      </c>
      <c r="AP375" s="97">
        <f>IF(Z375=0,0,_xlfn.MAXIFS('RECEBIMENTOS'!$E$6:$E$1005,'RECEBIMENTOS'!$B$6:$B$1005,A375))</f>
        <v>0</v>
      </c>
      <c r="AQ375" s="97" t="str">
        <f>IF(T375="","",IF(T375="RECEBIMENTO NÃO CONFIRMADO",IF(ISNUMBER(F375),F375,IF(ISNUMBER(E375),E375,"")),IF(OR(T375="CDF NÃO LOCALIZADO",T375="VÍNCULO INCOMPLETO",T375="CDF A CONFERIR"),IF(AP375&gt;0,AP375,IF(ISNUMBER(E375),E375,"")),IF(ISNUMBER(E375),E375,""))))</f>
        <v/>
      </c>
      <c r="AR375" s="96">
        <f>IF(NOT(ISNUMBER(U375)),0,IF(T375="RECEBIMENTO NÃO CONFIRMADO",IF(AND(ISNUMBER(cfg_rec),U375&gt;cfg_rec),1,0),IF(OR(T375="CDF NÃO LOCALIZADO",T375="VÍNCULO INCOMPLETO",T375="CDF A CONFERIR"),IF(AND(ISNUMBER(cfg_cdf),U375&gt;cfg_cdf),1,0),0)))</f>
        <v>0</v>
      </c>
      <c r="AS375" s="96" t="str">
        <f>IF(T375="","",IF(AR375=1,"Alta",IFERROR(INDEX(cfg_pp,MATCH(T375,cfg_pt,0))&amp;"","Média")))</f>
        <v/>
      </c>
      <c r="AT375" s="96" t="str">
        <f>IF(T375="","",IFERROR(INDEX(cfg_pv,MATCH(T375,cfg_pt,0))&amp;"",""))</f>
        <v/>
      </c>
      <c r="AU375" s="96" t="str">
        <f>IF(T375="","",IF(AS375="Alta",1,IF(AS375="Média",2,3))*1000000000+(999999-IF(ISNUMBER(U375),MIN(U375,999999),0))*1000+370)</f>
        <v/>
      </c>
      <c r="AV375" s="96">
        <f>IF(T375&lt;&gt;"",1,0)</f>
        <v>0</v>
      </c>
      <c r="AW375" s="96" t="str">
        <f>IF(Z375=0,"",IF(AA375=1,"Cancelamento informado; ","")&amp;IF(AE375=1,"Campos essenciais ou itens faltando; ","")&amp;IF(AC375=1,"Possível duplicidade do número; ","")&amp;IF(AD375=1,"Cadastro ou datas a revisar; ","")&amp;IF(AF375&gt;0,"Item de resíduo com dado a revisar; ","")&amp;IF(AH375&gt;0,"Diferença de quantidade a analisar; ","")&amp;IF(AK375&gt;0,"Recebimento com alerta; ","")&amp;IF(AL375&gt;0,"Vínculo de CDF com alerta; ","")&amp;IF(AND(AA375=0,AN375=0),"Recebimento não confirmado; ","")&amp;IF(AND(AA375=0,AN375=1,AO375=0),"CDF pendente ou a conferir; ",""))</f>
        <v/>
      </c>
      <c r="AX375" s="96">
        <f>IF(Z375=0,0,IF(AND(OR(f_ini="",AND(ISNUMBER(E375),E375&gt;=f_ini)),OR(f_fim="",AND(ISNUMBER(E375),E375&lt;=f_fim)),OR(f_un="",f_un="(Todas)",G375=f_un),OR(f_tr="",f_tr="(Todos)",H375=f_tr),OR(f_de="",f_de="(Todos)",I375=f_de),OR(f_sit="",f_sit="(Todas)",S375=f_sit)),1,0))</f>
        <v>0</v>
      </c>
      <c r="AY375" s="96">
        <f>IF(AX375=0,0,IF(OR(f_res="",f_res="(Todos)"),1,IF(COUNTIFS('ITENS_MTR'!$S$6:$S$1005,A375,'ITENS_MTR'!$C$6:$C$1005,f_res)&gt;0,1,0)))</f>
        <v>0</v>
      </c>
      <c r="AZ375" s="97" t="str">
        <f>IF(ISNUMBER(E375),DATE(YEAR(E375),MONTH(E375),1),"")</f>
        <v/>
      </c>
      <c r="BA375" s="96">
        <f>IF(Z375=0,0,IF(AND(OR(r_ini="",AND(ISNUMBER(E375),E375&gt;=r_ini)),OR(r_fim="",AND(ISNUMBER(E375),E375&lt;=r_fim)),OR(r_un="",r_un="(Todas)",G375=r_un),OR(r_de="",r_de="(Todos)",I375=r_de)),1,0))</f>
        <v>0</v>
      </c>
      <c r="BB375" s="96" t="str">
        <f>IF(BA375=1,COUNTIF($BA$6:BA375,1),"")</f>
        <v/>
      </c>
      <c r="BC375" s="96" t="str">
        <f>IF(AND(AU375&lt;&gt;"",OR(r_un="",r_un="(Todas)",G375=r_un),OR(r_de="",r_de="(Todos)",I375=r_de)),AU375,"")</f>
        <v/>
      </c>
      <c r="BD375" s="96" t="str">
        <f>IF(Z375=1,A375&amp;" | nº "&amp;IF(B375="","(sem número)",B375)&amp;" | "&amp;IF(G375="","(sem unidade)",G375),"")</f>
        <v/>
      </c>
      <c r="BE375" s="96" t="str">
        <f>IF(Z375=1,COUNTIF($Z$6:Z375,1),"")</f>
        <v/>
      </c>
      <c r="BF375" s="96" t="str">
        <f>IF(T375="","",IF(T375="RECEBIMENTO NÃO CONFIRMADO","Transp.: "&amp;H375&amp;" | Dest.: "&amp;I375,IF(OR(T375="CDF NÃO LOCALIZADO",T375="VÍNCULO INCOMPLETO",T375="CDF A CONFERIR"),"Dest.: "&amp;I375,"Gerador: "&amp;G375)))</f>
        <v/>
      </c>
    </row>
    <row r="376">
      <c r="A376" s="89" t="inlineStr">
        <is>
          <t>MTR-000371</t>
        </is>
      </c>
      <c r="B376" s="90" t="n"/>
      <c r="C376" s="91" t="n"/>
      <c r="D376" s="91" t="n"/>
      <c r="E376" s="92" t="n"/>
      <c r="F376" s="92" t="n"/>
      <c r="G376" s="91" t="n"/>
      <c r="H376" s="91" t="n"/>
      <c r="I376" s="91" t="n"/>
      <c r="J376" s="91" t="n"/>
      <c r="K376" s="91" t="n"/>
      <c r="L376" s="92" t="n"/>
      <c r="M376" s="91" t="n"/>
      <c r="N376" s="91" t="n"/>
      <c r="O376" s="91" t="n"/>
      <c r="P376" s="93" t="str">
        <f>IF(Z376=0,"",SUMIFS('ITENS_MTR'!$I$6:$I$1005,'ITENS_MTR'!$S$6:$S$1005,A376,'ITENS_MTR'!$Y$6:$Y$1005,1))</f>
        <v/>
      </c>
      <c r="Q376" s="93" t="str">
        <f>IF(Z376=0,"",SUMIFS('RECEBIMENTOS'!$H$6:$H$1005,'RECEBIMENTOS'!$B$6:$B$1005,A376,'RECEBIMENTOS'!$X$6:$X$1005,1))</f>
        <v/>
      </c>
      <c r="R376" s="93" t="str">
        <f>IF(Z376=0,"",SUMIFS('VÍNCULOS_CDF'!$H$6:$H$1005,'VÍNCULOS_CDF'!$D$6:$D$1005,A376,'VÍNCULOS_CDF'!$V$6:$V$1005,1))</f>
        <v/>
      </c>
      <c r="S376" s="94" t="str">
        <f>IF(Z376=0,"",IF(AA376=1,"Cancelado (informado)",IF(AE376=1,"Cadastro incompleto",IF(OR(AC376=1,AD376=1,AF376&gt;0,AH376&gt;0,AK376&gt;0,AL376&gt;0),"Informação a revisar",IF(AN376=0,"Aguardando recebimento",IF(N(R376)=0,"Aguardando CDF",IF(AJ376&lt;N(W376),"Vínculo de CDF parcial",IF(AO376=0,"CDF localizado, a conferir","Documentação conferida"))))))))</f>
        <v/>
      </c>
      <c r="T376" s="94" t="str">
        <f>IF(Z376=0,"",IF(S376="Cadastro incompleto","MTR INCOMPLETO",IF(S376="Informação a revisar",IF(AND(AH376&gt;0,AC376=0,AD376=0,AF376=0,AK376=0,AL376=0),"QUANTIDADE A REVISAR","IDENTIFICAÇÃO A REVISAR"),IF(S376="Aguardando recebimento","RECEBIMENTO NÃO CONFIRMADO",IF(S376="Aguardando CDF","CDF NÃO LOCALIZADO",IF(S376="Vínculo de CDF parcial","VÍNCULO INCOMPLETO",IF(S376="CDF localizado, a conferir","CDF A CONFERIR","")))))))</f>
        <v/>
      </c>
      <c r="U376" s="95" t="str">
        <f>IF(T376="","",IF(AQ376="","Não calculável",IF(AQ376&gt;TODAY(),"Data futura",TODAY()-AQ376)))</f>
        <v/>
      </c>
      <c r="V376" s="93" t="str">
        <f>IF(Z376=0,"",SUMIFS('RECEBIMENTOS'!$H$6:$H$1005,'RECEBIMENTOS'!$B$6:$B$1005,A376,'RECEBIMENTOS'!$Z$6:$Z$1005,1))</f>
        <v/>
      </c>
      <c r="W376" s="95" t="str">
        <f>IF(Z376=0,"",COUNTIFS('ITENS_MTR'!$S$6:$S$1005,A376,'ITENS_MTR'!$R$6:$R$1005,1))</f>
        <v/>
      </c>
      <c r="X376" s="94" t="str">
        <f>IF(AC376=1,"POSSÍVEL DUPLICIDADE","")</f>
        <v/>
      </c>
      <c r="Y376" s="94" t="str">
        <f>IF(Z376=0,"",IF(AW376="","Nenhuma",LEFT(AW376,LEN(AW376)-2)))</f>
        <v/>
      </c>
      <c r="Z376" s="96">
        <f>IF(COUNTA(B376:O376)&gt;0,1,0)</f>
        <v>0</v>
      </c>
      <c r="AA376" s="96">
        <f>IF(AND(Z376=1,K376&lt;&gt;""),IF(TRIM(K376)=TRIM(cfg_cancel),1,0),0)</f>
        <v>0</v>
      </c>
      <c r="AB376" s="96" t="str">
        <f>IF(AND(Z376=1,B376&lt;&gt;""),C376&amp;"|"&amp;D376&amp;"|"&amp;G376&amp;"|"&amp;TRIM(B376),"")</f>
        <v/>
      </c>
      <c r="AC376" s="96">
        <f>IF(AB376="",0,IF(SUMPRODUCT(--($AB$6:$AB$505=AB376))&gt;1,1,0))</f>
        <v>0</v>
      </c>
      <c r="AD376" s="96">
        <f>IF(Z376=0,0,IF(OR(AND(G376&lt;&gt;"",ISNA(MATCH(G376,'CAD_UNIDADES'!$C$6:$C$105,0))),AND(H376&lt;&gt;"",ISNA(MATCH(H376,cmp_transp,0))),AND(I376&lt;&gt;"",ISNA(MATCH(I376,cmp_dest,0))),AND(E376&lt;&gt;"",NOT(ISNUMBER(E376))),AND(F376&lt;&gt;"",NOT(ISNUMBER(F376))),AND(ISNUMBER(E376),ISNUMBER(F376),F376&lt;E376)),1,0))</f>
        <v>0</v>
      </c>
      <c r="AE376" s="96">
        <f>IF(Z376=0,0,IF(OR(B376="",C376="",E376="",G376="",H376="",I376="",N(W376)=0),1,0))</f>
        <v>0</v>
      </c>
      <c r="AF376" s="96">
        <f>IF(Z376=0,0,COUNTIFS('ITENS_MTR'!$S$6:$S$1005,A376,'ITENS_MTR'!$AI$6:$AI$1005,1))</f>
        <v>0</v>
      </c>
      <c r="AG376" s="96">
        <f>IF(Z376=0,0,COUNTIFS('ITENS_MTR'!$S$6:$S$1005,A376,'ITENS_MTR'!$AJ$6:$AJ$1005,1))</f>
        <v>0</v>
      </c>
      <c r="AH376" s="96">
        <f>IF(Z376=0,0,COUNTIFS('ITENS_MTR'!$S$6:$S$1005,A376,'ITENS_MTR'!$AM$6:$AM$1005,1))</f>
        <v>0</v>
      </c>
      <c r="AI376" s="96">
        <f>IF(Z376=0,0,COUNTIFS('ITENS_MTR'!$S$6:$S$1005,A376,'ITENS_MTR'!$AO$6:$AO$1005,1))</f>
        <v>0</v>
      </c>
      <c r="AJ376" s="96">
        <f>IF(Z376=0,0,COUNTIFS('ITENS_MTR'!$S$6:$S$1005,A376,'ITENS_MTR'!$AN$6:$AN$1005,1))</f>
        <v>0</v>
      </c>
      <c r="AK376" s="96">
        <f>IF(Z376=0,0,COUNTIFS('RECEBIMENTOS'!$B$6:$B$1005,A376,'RECEBIMENTOS'!$Y$6:$Y$1005,1))</f>
        <v>0</v>
      </c>
      <c r="AL376" s="96">
        <f>IF(Z376=0,0,COUNTIFS('VÍNCULOS_CDF'!$D$6:$D$1005,A376,'VÍNCULOS_CDF'!$Y$6:$Y$1005,1))</f>
        <v>0</v>
      </c>
      <c r="AM376" s="96">
        <f>IF(Z376=0,0,COUNTIFS('RECEBIMENTOS'!$B$6:$B$1005,A376,'RECEBIMENTOS'!$Q$6:$Q$1005,1))</f>
        <v>0</v>
      </c>
      <c r="AN376" s="96">
        <f>IF(AND(Z376=1,N(W376)&gt;0,AG376=N(W376)),1,0)</f>
        <v>0</v>
      </c>
      <c r="AO376" s="96">
        <f>IF(AND(Z376=1,N(W376)&gt;0,AI376=N(W376)),1,0)</f>
        <v>0</v>
      </c>
      <c r="AP376" s="97">
        <f>IF(Z376=0,0,_xlfn.MAXIFS('RECEBIMENTOS'!$E$6:$E$1005,'RECEBIMENTOS'!$B$6:$B$1005,A376))</f>
        <v>0</v>
      </c>
      <c r="AQ376" s="97" t="str">
        <f>IF(T376="","",IF(T376="RECEBIMENTO NÃO CONFIRMADO",IF(ISNUMBER(F376),F376,IF(ISNUMBER(E376),E376,"")),IF(OR(T376="CDF NÃO LOCALIZADO",T376="VÍNCULO INCOMPLETO",T376="CDF A CONFERIR"),IF(AP376&gt;0,AP376,IF(ISNUMBER(E376),E376,"")),IF(ISNUMBER(E376),E376,""))))</f>
        <v/>
      </c>
      <c r="AR376" s="96">
        <f>IF(NOT(ISNUMBER(U376)),0,IF(T376="RECEBIMENTO NÃO CONFIRMADO",IF(AND(ISNUMBER(cfg_rec),U376&gt;cfg_rec),1,0),IF(OR(T376="CDF NÃO LOCALIZADO",T376="VÍNCULO INCOMPLETO",T376="CDF A CONFERIR"),IF(AND(ISNUMBER(cfg_cdf),U376&gt;cfg_cdf),1,0),0)))</f>
        <v>0</v>
      </c>
      <c r="AS376" s="96" t="str">
        <f>IF(T376="","",IF(AR376=1,"Alta",IFERROR(INDEX(cfg_pp,MATCH(T376,cfg_pt,0))&amp;"","Média")))</f>
        <v/>
      </c>
      <c r="AT376" s="96" t="str">
        <f>IF(T376="","",IFERROR(INDEX(cfg_pv,MATCH(T376,cfg_pt,0))&amp;"",""))</f>
        <v/>
      </c>
      <c r="AU376" s="96" t="str">
        <f>IF(T376="","",IF(AS376="Alta",1,IF(AS376="Média",2,3))*1000000000+(999999-IF(ISNUMBER(U376),MIN(U376,999999),0))*1000+371)</f>
        <v/>
      </c>
      <c r="AV376" s="96">
        <f>IF(T376&lt;&gt;"",1,0)</f>
        <v>0</v>
      </c>
      <c r="AW376" s="96" t="str">
        <f>IF(Z376=0,"",IF(AA376=1,"Cancelamento informado; ","")&amp;IF(AE376=1,"Campos essenciais ou itens faltando; ","")&amp;IF(AC376=1,"Possível duplicidade do número; ","")&amp;IF(AD376=1,"Cadastro ou datas a revisar; ","")&amp;IF(AF376&gt;0,"Item de resíduo com dado a revisar; ","")&amp;IF(AH376&gt;0,"Diferença de quantidade a analisar; ","")&amp;IF(AK376&gt;0,"Recebimento com alerta; ","")&amp;IF(AL376&gt;0,"Vínculo de CDF com alerta; ","")&amp;IF(AND(AA376=0,AN376=0),"Recebimento não confirmado; ","")&amp;IF(AND(AA376=0,AN376=1,AO376=0),"CDF pendente ou a conferir; ",""))</f>
        <v/>
      </c>
      <c r="AX376" s="96">
        <f>IF(Z376=0,0,IF(AND(OR(f_ini="",AND(ISNUMBER(E376),E376&gt;=f_ini)),OR(f_fim="",AND(ISNUMBER(E376),E376&lt;=f_fim)),OR(f_un="",f_un="(Todas)",G376=f_un),OR(f_tr="",f_tr="(Todos)",H376=f_tr),OR(f_de="",f_de="(Todos)",I376=f_de),OR(f_sit="",f_sit="(Todas)",S376=f_sit)),1,0))</f>
        <v>0</v>
      </c>
      <c r="AY376" s="96">
        <f>IF(AX376=0,0,IF(OR(f_res="",f_res="(Todos)"),1,IF(COUNTIFS('ITENS_MTR'!$S$6:$S$1005,A376,'ITENS_MTR'!$C$6:$C$1005,f_res)&gt;0,1,0)))</f>
        <v>0</v>
      </c>
      <c r="AZ376" s="97" t="str">
        <f>IF(ISNUMBER(E376),DATE(YEAR(E376),MONTH(E376),1),"")</f>
        <v/>
      </c>
      <c r="BA376" s="96">
        <f>IF(Z376=0,0,IF(AND(OR(r_ini="",AND(ISNUMBER(E376),E376&gt;=r_ini)),OR(r_fim="",AND(ISNUMBER(E376),E376&lt;=r_fim)),OR(r_un="",r_un="(Todas)",G376=r_un),OR(r_de="",r_de="(Todos)",I376=r_de)),1,0))</f>
        <v>0</v>
      </c>
      <c r="BB376" s="96" t="str">
        <f>IF(BA376=1,COUNTIF($BA$6:BA376,1),"")</f>
        <v/>
      </c>
      <c r="BC376" s="96" t="str">
        <f>IF(AND(AU376&lt;&gt;"",OR(r_un="",r_un="(Todas)",G376=r_un),OR(r_de="",r_de="(Todos)",I376=r_de)),AU376,"")</f>
        <v/>
      </c>
      <c r="BD376" s="96" t="str">
        <f>IF(Z376=1,A376&amp;" | nº "&amp;IF(B376="","(sem número)",B376)&amp;" | "&amp;IF(G376="","(sem unidade)",G376),"")</f>
        <v/>
      </c>
      <c r="BE376" s="96" t="str">
        <f>IF(Z376=1,COUNTIF($Z$6:Z376,1),"")</f>
        <v/>
      </c>
      <c r="BF376" s="96" t="str">
        <f>IF(T376="","",IF(T376="RECEBIMENTO NÃO CONFIRMADO","Transp.: "&amp;H376&amp;" | Dest.: "&amp;I376,IF(OR(T376="CDF NÃO LOCALIZADO",T376="VÍNCULO INCOMPLETO",T376="CDF A CONFERIR"),"Dest.: "&amp;I376,"Gerador: "&amp;G376)))</f>
        <v/>
      </c>
    </row>
    <row r="377">
      <c r="A377" s="89" t="inlineStr">
        <is>
          <t>MTR-000372</t>
        </is>
      </c>
      <c r="B377" s="90" t="n"/>
      <c r="C377" s="91" t="n"/>
      <c r="D377" s="91" t="n"/>
      <c r="E377" s="92" t="n"/>
      <c r="F377" s="92" t="n"/>
      <c r="G377" s="91" t="n"/>
      <c r="H377" s="91" t="n"/>
      <c r="I377" s="91" t="n"/>
      <c r="J377" s="91" t="n"/>
      <c r="K377" s="91" t="n"/>
      <c r="L377" s="92" t="n"/>
      <c r="M377" s="91" t="n"/>
      <c r="N377" s="91" t="n"/>
      <c r="O377" s="91" t="n"/>
      <c r="P377" s="93" t="str">
        <f>IF(Z377=0,"",SUMIFS('ITENS_MTR'!$I$6:$I$1005,'ITENS_MTR'!$S$6:$S$1005,A377,'ITENS_MTR'!$Y$6:$Y$1005,1))</f>
        <v/>
      </c>
      <c r="Q377" s="93" t="str">
        <f>IF(Z377=0,"",SUMIFS('RECEBIMENTOS'!$H$6:$H$1005,'RECEBIMENTOS'!$B$6:$B$1005,A377,'RECEBIMENTOS'!$X$6:$X$1005,1))</f>
        <v/>
      </c>
      <c r="R377" s="93" t="str">
        <f>IF(Z377=0,"",SUMIFS('VÍNCULOS_CDF'!$H$6:$H$1005,'VÍNCULOS_CDF'!$D$6:$D$1005,A377,'VÍNCULOS_CDF'!$V$6:$V$1005,1))</f>
        <v/>
      </c>
      <c r="S377" s="94" t="str">
        <f>IF(Z377=0,"",IF(AA377=1,"Cancelado (informado)",IF(AE377=1,"Cadastro incompleto",IF(OR(AC377=1,AD377=1,AF377&gt;0,AH377&gt;0,AK377&gt;0,AL377&gt;0),"Informação a revisar",IF(AN377=0,"Aguardando recebimento",IF(N(R377)=0,"Aguardando CDF",IF(AJ377&lt;N(W377),"Vínculo de CDF parcial",IF(AO377=0,"CDF localizado, a conferir","Documentação conferida"))))))))</f>
        <v/>
      </c>
      <c r="T377" s="94" t="str">
        <f>IF(Z377=0,"",IF(S377="Cadastro incompleto","MTR INCOMPLETO",IF(S377="Informação a revisar",IF(AND(AH377&gt;0,AC377=0,AD377=0,AF377=0,AK377=0,AL377=0),"QUANTIDADE A REVISAR","IDENTIFICAÇÃO A REVISAR"),IF(S377="Aguardando recebimento","RECEBIMENTO NÃO CONFIRMADO",IF(S377="Aguardando CDF","CDF NÃO LOCALIZADO",IF(S377="Vínculo de CDF parcial","VÍNCULO INCOMPLETO",IF(S377="CDF localizado, a conferir","CDF A CONFERIR","")))))))</f>
        <v/>
      </c>
      <c r="U377" s="95" t="str">
        <f>IF(T377="","",IF(AQ377="","Não calculável",IF(AQ377&gt;TODAY(),"Data futura",TODAY()-AQ377)))</f>
        <v/>
      </c>
      <c r="V377" s="93" t="str">
        <f>IF(Z377=0,"",SUMIFS('RECEBIMENTOS'!$H$6:$H$1005,'RECEBIMENTOS'!$B$6:$B$1005,A377,'RECEBIMENTOS'!$Z$6:$Z$1005,1))</f>
        <v/>
      </c>
      <c r="W377" s="95" t="str">
        <f>IF(Z377=0,"",COUNTIFS('ITENS_MTR'!$S$6:$S$1005,A377,'ITENS_MTR'!$R$6:$R$1005,1))</f>
        <v/>
      </c>
      <c r="X377" s="94" t="str">
        <f>IF(AC377=1,"POSSÍVEL DUPLICIDADE","")</f>
        <v/>
      </c>
      <c r="Y377" s="94" t="str">
        <f>IF(Z377=0,"",IF(AW377="","Nenhuma",LEFT(AW377,LEN(AW377)-2)))</f>
        <v/>
      </c>
      <c r="Z377" s="96">
        <f>IF(COUNTA(B377:O377)&gt;0,1,0)</f>
        <v>0</v>
      </c>
      <c r="AA377" s="96">
        <f>IF(AND(Z377=1,K377&lt;&gt;""),IF(TRIM(K377)=TRIM(cfg_cancel),1,0),0)</f>
        <v>0</v>
      </c>
      <c r="AB377" s="96" t="str">
        <f>IF(AND(Z377=1,B377&lt;&gt;""),C377&amp;"|"&amp;D377&amp;"|"&amp;G377&amp;"|"&amp;TRIM(B377),"")</f>
        <v/>
      </c>
      <c r="AC377" s="96">
        <f>IF(AB377="",0,IF(SUMPRODUCT(--($AB$6:$AB$505=AB377))&gt;1,1,0))</f>
        <v>0</v>
      </c>
      <c r="AD377" s="96">
        <f>IF(Z377=0,0,IF(OR(AND(G377&lt;&gt;"",ISNA(MATCH(G377,'CAD_UNIDADES'!$C$6:$C$105,0))),AND(H377&lt;&gt;"",ISNA(MATCH(H377,cmp_transp,0))),AND(I377&lt;&gt;"",ISNA(MATCH(I377,cmp_dest,0))),AND(E377&lt;&gt;"",NOT(ISNUMBER(E377))),AND(F377&lt;&gt;"",NOT(ISNUMBER(F377))),AND(ISNUMBER(E377),ISNUMBER(F377),F377&lt;E377)),1,0))</f>
        <v>0</v>
      </c>
      <c r="AE377" s="96">
        <f>IF(Z377=0,0,IF(OR(B377="",C377="",E377="",G377="",H377="",I377="",N(W377)=0),1,0))</f>
        <v>0</v>
      </c>
      <c r="AF377" s="96">
        <f>IF(Z377=0,0,COUNTIFS('ITENS_MTR'!$S$6:$S$1005,A377,'ITENS_MTR'!$AI$6:$AI$1005,1))</f>
        <v>0</v>
      </c>
      <c r="AG377" s="96">
        <f>IF(Z377=0,0,COUNTIFS('ITENS_MTR'!$S$6:$S$1005,A377,'ITENS_MTR'!$AJ$6:$AJ$1005,1))</f>
        <v>0</v>
      </c>
      <c r="AH377" s="96">
        <f>IF(Z377=0,0,COUNTIFS('ITENS_MTR'!$S$6:$S$1005,A377,'ITENS_MTR'!$AM$6:$AM$1005,1))</f>
        <v>0</v>
      </c>
      <c r="AI377" s="96">
        <f>IF(Z377=0,0,COUNTIFS('ITENS_MTR'!$S$6:$S$1005,A377,'ITENS_MTR'!$AO$6:$AO$1005,1))</f>
        <v>0</v>
      </c>
      <c r="AJ377" s="96">
        <f>IF(Z377=0,0,COUNTIFS('ITENS_MTR'!$S$6:$S$1005,A377,'ITENS_MTR'!$AN$6:$AN$1005,1))</f>
        <v>0</v>
      </c>
      <c r="AK377" s="96">
        <f>IF(Z377=0,0,COUNTIFS('RECEBIMENTOS'!$B$6:$B$1005,A377,'RECEBIMENTOS'!$Y$6:$Y$1005,1))</f>
        <v>0</v>
      </c>
      <c r="AL377" s="96">
        <f>IF(Z377=0,0,COUNTIFS('VÍNCULOS_CDF'!$D$6:$D$1005,A377,'VÍNCULOS_CDF'!$Y$6:$Y$1005,1))</f>
        <v>0</v>
      </c>
      <c r="AM377" s="96">
        <f>IF(Z377=0,0,COUNTIFS('RECEBIMENTOS'!$B$6:$B$1005,A377,'RECEBIMENTOS'!$Q$6:$Q$1005,1))</f>
        <v>0</v>
      </c>
      <c r="AN377" s="96">
        <f>IF(AND(Z377=1,N(W377)&gt;0,AG377=N(W377)),1,0)</f>
        <v>0</v>
      </c>
      <c r="AO377" s="96">
        <f>IF(AND(Z377=1,N(W377)&gt;0,AI377=N(W377)),1,0)</f>
        <v>0</v>
      </c>
      <c r="AP377" s="97">
        <f>IF(Z377=0,0,_xlfn.MAXIFS('RECEBIMENTOS'!$E$6:$E$1005,'RECEBIMENTOS'!$B$6:$B$1005,A377))</f>
        <v>0</v>
      </c>
      <c r="AQ377" s="97" t="str">
        <f>IF(T377="","",IF(T377="RECEBIMENTO NÃO CONFIRMADO",IF(ISNUMBER(F377),F377,IF(ISNUMBER(E377),E377,"")),IF(OR(T377="CDF NÃO LOCALIZADO",T377="VÍNCULO INCOMPLETO",T377="CDF A CONFERIR"),IF(AP377&gt;0,AP377,IF(ISNUMBER(E377),E377,"")),IF(ISNUMBER(E377),E377,""))))</f>
        <v/>
      </c>
      <c r="AR377" s="96">
        <f>IF(NOT(ISNUMBER(U377)),0,IF(T377="RECEBIMENTO NÃO CONFIRMADO",IF(AND(ISNUMBER(cfg_rec),U377&gt;cfg_rec),1,0),IF(OR(T377="CDF NÃO LOCALIZADO",T377="VÍNCULO INCOMPLETO",T377="CDF A CONFERIR"),IF(AND(ISNUMBER(cfg_cdf),U377&gt;cfg_cdf),1,0),0)))</f>
        <v>0</v>
      </c>
      <c r="AS377" s="96" t="str">
        <f>IF(T377="","",IF(AR377=1,"Alta",IFERROR(INDEX(cfg_pp,MATCH(T377,cfg_pt,0))&amp;"","Média")))</f>
        <v/>
      </c>
      <c r="AT377" s="96" t="str">
        <f>IF(T377="","",IFERROR(INDEX(cfg_pv,MATCH(T377,cfg_pt,0))&amp;"",""))</f>
        <v/>
      </c>
      <c r="AU377" s="96" t="str">
        <f>IF(T377="","",IF(AS377="Alta",1,IF(AS377="Média",2,3))*1000000000+(999999-IF(ISNUMBER(U377),MIN(U377,999999),0))*1000+372)</f>
        <v/>
      </c>
      <c r="AV377" s="96">
        <f>IF(T377&lt;&gt;"",1,0)</f>
        <v>0</v>
      </c>
      <c r="AW377" s="96" t="str">
        <f>IF(Z377=0,"",IF(AA377=1,"Cancelamento informado; ","")&amp;IF(AE377=1,"Campos essenciais ou itens faltando; ","")&amp;IF(AC377=1,"Possível duplicidade do número; ","")&amp;IF(AD377=1,"Cadastro ou datas a revisar; ","")&amp;IF(AF377&gt;0,"Item de resíduo com dado a revisar; ","")&amp;IF(AH377&gt;0,"Diferença de quantidade a analisar; ","")&amp;IF(AK377&gt;0,"Recebimento com alerta; ","")&amp;IF(AL377&gt;0,"Vínculo de CDF com alerta; ","")&amp;IF(AND(AA377=0,AN377=0),"Recebimento não confirmado; ","")&amp;IF(AND(AA377=0,AN377=1,AO377=0),"CDF pendente ou a conferir; ",""))</f>
        <v/>
      </c>
      <c r="AX377" s="96">
        <f>IF(Z377=0,0,IF(AND(OR(f_ini="",AND(ISNUMBER(E377),E377&gt;=f_ini)),OR(f_fim="",AND(ISNUMBER(E377),E377&lt;=f_fim)),OR(f_un="",f_un="(Todas)",G377=f_un),OR(f_tr="",f_tr="(Todos)",H377=f_tr),OR(f_de="",f_de="(Todos)",I377=f_de),OR(f_sit="",f_sit="(Todas)",S377=f_sit)),1,0))</f>
        <v>0</v>
      </c>
      <c r="AY377" s="96">
        <f>IF(AX377=0,0,IF(OR(f_res="",f_res="(Todos)"),1,IF(COUNTIFS('ITENS_MTR'!$S$6:$S$1005,A377,'ITENS_MTR'!$C$6:$C$1005,f_res)&gt;0,1,0)))</f>
        <v>0</v>
      </c>
      <c r="AZ377" s="97" t="str">
        <f>IF(ISNUMBER(E377),DATE(YEAR(E377),MONTH(E377),1),"")</f>
        <v/>
      </c>
      <c r="BA377" s="96">
        <f>IF(Z377=0,0,IF(AND(OR(r_ini="",AND(ISNUMBER(E377),E377&gt;=r_ini)),OR(r_fim="",AND(ISNUMBER(E377),E377&lt;=r_fim)),OR(r_un="",r_un="(Todas)",G377=r_un),OR(r_de="",r_de="(Todos)",I377=r_de)),1,0))</f>
        <v>0</v>
      </c>
      <c r="BB377" s="96" t="str">
        <f>IF(BA377=1,COUNTIF($BA$6:BA377,1),"")</f>
        <v/>
      </c>
      <c r="BC377" s="96" t="str">
        <f>IF(AND(AU377&lt;&gt;"",OR(r_un="",r_un="(Todas)",G377=r_un),OR(r_de="",r_de="(Todos)",I377=r_de)),AU377,"")</f>
        <v/>
      </c>
      <c r="BD377" s="96" t="str">
        <f>IF(Z377=1,A377&amp;" | nº "&amp;IF(B377="","(sem número)",B377)&amp;" | "&amp;IF(G377="","(sem unidade)",G377),"")</f>
        <v/>
      </c>
      <c r="BE377" s="96" t="str">
        <f>IF(Z377=1,COUNTIF($Z$6:Z377,1),"")</f>
        <v/>
      </c>
      <c r="BF377" s="96" t="str">
        <f>IF(T377="","",IF(T377="RECEBIMENTO NÃO CONFIRMADO","Transp.: "&amp;H377&amp;" | Dest.: "&amp;I377,IF(OR(T377="CDF NÃO LOCALIZADO",T377="VÍNCULO INCOMPLETO",T377="CDF A CONFERIR"),"Dest.: "&amp;I377,"Gerador: "&amp;G377)))</f>
        <v/>
      </c>
    </row>
    <row r="378">
      <c r="A378" s="89" t="inlineStr">
        <is>
          <t>MTR-000373</t>
        </is>
      </c>
      <c r="B378" s="90" t="n"/>
      <c r="C378" s="91" t="n"/>
      <c r="D378" s="91" t="n"/>
      <c r="E378" s="92" t="n"/>
      <c r="F378" s="92" t="n"/>
      <c r="G378" s="91" t="n"/>
      <c r="H378" s="91" t="n"/>
      <c r="I378" s="91" t="n"/>
      <c r="J378" s="91" t="n"/>
      <c r="K378" s="91" t="n"/>
      <c r="L378" s="92" t="n"/>
      <c r="M378" s="91" t="n"/>
      <c r="N378" s="91" t="n"/>
      <c r="O378" s="91" t="n"/>
      <c r="P378" s="93" t="str">
        <f>IF(Z378=0,"",SUMIFS('ITENS_MTR'!$I$6:$I$1005,'ITENS_MTR'!$S$6:$S$1005,A378,'ITENS_MTR'!$Y$6:$Y$1005,1))</f>
        <v/>
      </c>
      <c r="Q378" s="93" t="str">
        <f>IF(Z378=0,"",SUMIFS('RECEBIMENTOS'!$H$6:$H$1005,'RECEBIMENTOS'!$B$6:$B$1005,A378,'RECEBIMENTOS'!$X$6:$X$1005,1))</f>
        <v/>
      </c>
      <c r="R378" s="93" t="str">
        <f>IF(Z378=0,"",SUMIFS('VÍNCULOS_CDF'!$H$6:$H$1005,'VÍNCULOS_CDF'!$D$6:$D$1005,A378,'VÍNCULOS_CDF'!$V$6:$V$1005,1))</f>
        <v/>
      </c>
      <c r="S378" s="94" t="str">
        <f>IF(Z378=0,"",IF(AA378=1,"Cancelado (informado)",IF(AE378=1,"Cadastro incompleto",IF(OR(AC378=1,AD378=1,AF378&gt;0,AH378&gt;0,AK378&gt;0,AL378&gt;0),"Informação a revisar",IF(AN378=0,"Aguardando recebimento",IF(N(R378)=0,"Aguardando CDF",IF(AJ378&lt;N(W378),"Vínculo de CDF parcial",IF(AO378=0,"CDF localizado, a conferir","Documentação conferida"))))))))</f>
        <v/>
      </c>
      <c r="T378" s="94" t="str">
        <f>IF(Z378=0,"",IF(S378="Cadastro incompleto","MTR INCOMPLETO",IF(S378="Informação a revisar",IF(AND(AH378&gt;0,AC378=0,AD378=0,AF378=0,AK378=0,AL378=0),"QUANTIDADE A REVISAR","IDENTIFICAÇÃO A REVISAR"),IF(S378="Aguardando recebimento","RECEBIMENTO NÃO CONFIRMADO",IF(S378="Aguardando CDF","CDF NÃO LOCALIZADO",IF(S378="Vínculo de CDF parcial","VÍNCULO INCOMPLETO",IF(S378="CDF localizado, a conferir","CDF A CONFERIR","")))))))</f>
        <v/>
      </c>
      <c r="U378" s="95" t="str">
        <f>IF(T378="","",IF(AQ378="","Não calculável",IF(AQ378&gt;TODAY(),"Data futura",TODAY()-AQ378)))</f>
        <v/>
      </c>
      <c r="V378" s="93" t="str">
        <f>IF(Z378=0,"",SUMIFS('RECEBIMENTOS'!$H$6:$H$1005,'RECEBIMENTOS'!$B$6:$B$1005,A378,'RECEBIMENTOS'!$Z$6:$Z$1005,1))</f>
        <v/>
      </c>
      <c r="W378" s="95" t="str">
        <f>IF(Z378=0,"",COUNTIFS('ITENS_MTR'!$S$6:$S$1005,A378,'ITENS_MTR'!$R$6:$R$1005,1))</f>
        <v/>
      </c>
      <c r="X378" s="94" t="str">
        <f>IF(AC378=1,"POSSÍVEL DUPLICIDADE","")</f>
        <v/>
      </c>
      <c r="Y378" s="94" t="str">
        <f>IF(Z378=0,"",IF(AW378="","Nenhuma",LEFT(AW378,LEN(AW378)-2)))</f>
        <v/>
      </c>
      <c r="Z378" s="96">
        <f>IF(COUNTA(B378:O378)&gt;0,1,0)</f>
        <v>0</v>
      </c>
      <c r="AA378" s="96">
        <f>IF(AND(Z378=1,K378&lt;&gt;""),IF(TRIM(K378)=TRIM(cfg_cancel),1,0),0)</f>
        <v>0</v>
      </c>
      <c r="AB378" s="96" t="str">
        <f>IF(AND(Z378=1,B378&lt;&gt;""),C378&amp;"|"&amp;D378&amp;"|"&amp;G378&amp;"|"&amp;TRIM(B378),"")</f>
        <v/>
      </c>
      <c r="AC378" s="96">
        <f>IF(AB378="",0,IF(SUMPRODUCT(--($AB$6:$AB$505=AB378))&gt;1,1,0))</f>
        <v>0</v>
      </c>
      <c r="AD378" s="96">
        <f>IF(Z378=0,0,IF(OR(AND(G378&lt;&gt;"",ISNA(MATCH(G378,'CAD_UNIDADES'!$C$6:$C$105,0))),AND(H378&lt;&gt;"",ISNA(MATCH(H378,cmp_transp,0))),AND(I378&lt;&gt;"",ISNA(MATCH(I378,cmp_dest,0))),AND(E378&lt;&gt;"",NOT(ISNUMBER(E378))),AND(F378&lt;&gt;"",NOT(ISNUMBER(F378))),AND(ISNUMBER(E378),ISNUMBER(F378),F378&lt;E378)),1,0))</f>
        <v>0</v>
      </c>
      <c r="AE378" s="96">
        <f>IF(Z378=0,0,IF(OR(B378="",C378="",E378="",G378="",H378="",I378="",N(W378)=0),1,0))</f>
        <v>0</v>
      </c>
      <c r="AF378" s="96">
        <f>IF(Z378=0,0,COUNTIFS('ITENS_MTR'!$S$6:$S$1005,A378,'ITENS_MTR'!$AI$6:$AI$1005,1))</f>
        <v>0</v>
      </c>
      <c r="AG378" s="96">
        <f>IF(Z378=0,0,COUNTIFS('ITENS_MTR'!$S$6:$S$1005,A378,'ITENS_MTR'!$AJ$6:$AJ$1005,1))</f>
        <v>0</v>
      </c>
      <c r="AH378" s="96">
        <f>IF(Z378=0,0,COUNTIFS('ITENS_MTR'!$S$6:$S$1005,A378,'ITENS_MTR'!$AM$6:$AM$1005,1))</f>
        <v>0</v>
      </c>
      <c r="AI378" s="96">
        <f>IF(Z378=0,0,COUNTIFS('ITENS_MTR'!$S$6:$S$1005,A378,'ITENS_MTR'!$AO$6:$AO$1005,1))</f>
        <v>0</v>
      </c>
      <c r="AJ378" s="96">
        <f>IF(Z378=0,0,COUNTIFS('ITENS_MTR'!$S$6:$S$1005,A378,'ITENS_MTR'!$AN$6:$AN$1005,1))</f>
        <v>0</v>
      </c>
      <c r="AK378" s="96">
        <f>IF(Z378=0,0,COUNTIFS('RECEBIMENTOS'!$B$6:$B$1005,A378,'RECEBIMENTOS'!$Y$6:$Y$1005,1))</f>
        <v>0</v>
      </c>
      <c r="AL378" s="96">
        <f>IF(Z378=0,0,COUNTIFS('VÍNCULOS_CDF'!$D$6:$D$1005,A378,'VÍNCULOS_CDF'!$Y$6:$Y$1005,1))</f>
        <v>0</v>
      </c>
      <c r="AM378" s="96">
        <f>IF(Z378=0,0,COUNTIFS('RECEBIMENTOS'!$B$6:$B$1005,A378,'RECEBIMENTOS'!$Q$6:$Q$1005,1))</f>
        <v>0</v>
      </c>
      <c r="AN378" s="96">
        <f>IF(AND(Z378=1,N(W378)&gt;0,AG378=N(W378)),1,0)</f>
        <v>0</v>
      </c>
      <c r="AO378" s="96">
        <f>IF(AND(Z378=1,N(W378)&gt;0,AI378=N(W378)),1,0)</f>
        <v>0</v>
      </c>
      <c r="AP378" s="97">
        <f>IF(Z378=0,0,_xlfn.MAXIFS('RECEBIMENTOS'!$E$6:$E$1005,'RECEBIMENTOS'!$B$6:$B$1005,A378))</f>
        <v>0</v>
      </c>
      <c r="AQ378" s="97" t="str">
        <f>IF(T378="","",IF(T378="RECEBIMENTO NÃO CONFIRMADO",IF(ISNUMBER(F378),F378,IF(ISNUMBER(E378),E378,"")),IF(OR(T378="CDF NÃO LOCALIZADO",T378="VÍNCULO INCOMPLETO",T378="CDF A CONFERIR"),IF(AP378&gt;0,AP378,IF(ISNUMBER(E378),E378,"")),IF(ISNUMBER(E378),E378,""))))</f>
        <v/>
      </c>
      <c r="AR378" s="96">
        <f>IF(NOT(ISNUMBER(U378)),0,IF(T378="RECEBIMENTO NÃO CONFIRMADO",IF(AND(ISNUMBER(cfg_rec),U378&gt;cfg_rec),1,0),IF(OR(T378="CDF NÃO LOCALIZADO",T378="VÍNCULO INCOMPLETO",T378="CDF A CONFERIR"),IF(AND(ISNUMBER(cfg_cdf),U378&gt;cfg_cdf),1,0),0)))</f>
        <v>0</v>
      </c>
      <c r="AS378" s="96" t="str">
        <f>IF(T378="","",IF(AR378=1,"Alta",IFERROR(INDEX(cfg_pp,MATCH(T378,cfg_pt,0))&amp;"","Média")))</f>
        <v/>
      </c>
      <c r="AT378" s="96" t="str">
        <f>IF(T378="","",IFERROR(INDEX(cfg_pv,MATCH(T378,cfg_pt,0))&amp;"",""))</f>
        <v/>
      </c>
      <c r="AU378" s="96" t="str">
        <f>IF(T378="","",IF(AS378="Alta",1,IF(AS378="Média",2,3))*1000000000+(999999-IF(ISNUMBER(U378),MIN(U378,999999),0))*1000+373)</f>
        <v/>
      </c>
      <c r="AV378" s="96">
        <f>IF(T378&lt;&gt;"",1,0)</f>
        <v>0</v>
      </c>
      <c r="AW378" s="96" t="str">
        <f>IF(Z378=0,"",IF(AA378=1,"Cancelamento informado; ","")&amp;IF(AE378=1,"Campos essenciais ou itens faltando; ","")&amp;IF(AC378=1,"Possível duplicidade do número; ","")&amp;IF(AD378=1,"Cadastro ou datas a revisar; ","")&amp;IF(AF378&gt;0,"Item de resíduo com dado a revisar; ","")&amp;IF(AH378&gt;0,"Diferença de quantidade a analisar; ","")&amp;IF(AK378&gt;0,"Recebimento com alerta; ","")&amp;IF(AL378&gt;0,"Vínculo de CDF com alerta; ","")&amp;IF(AND(AA378=0,AN378=0),"Recebimento não confirmado; ","")&amp;IF(AND(AA378=0,AN378=1,AO378=0),"CDF pendente ou a conferir; ",""))</f>
        <v/>
      </c>
      <c r="AX378" s="96">
        <f>IF(Z378=0,0,IF(AND(OR(f_ini="",AND(ISNUMBER(E378),E378&gt;=f_ini)),OR(f_fim="",AND(ISNUMBER(E378),E378&lt;=f_fim)),OR(f_un="",f_un="(Todas)",G378=f_un),OR(f_tr="",f_tr="(Todos)",H378=f_tr),OR(f_de="",f_de="(Todos)",I378=f_de),OR(f_sit="",f_sit="(Todas)",S378=f_sit)),1,0))</f>
        <v>0</v>
      </c>
      <c r="AY378" s="96">
        <f>IF(AX378=0,0,IF(OR(f_res="",f_res="(Todos)"),1,IF(COUNTIFS('ITENS_MTR'!$S$6:$S$1005,A378,'ITENS_MTR'!$C$6:$C$1005,f_res)&gt;0,1,0)))</f>
        <v>0</v>
      </c>
      <c r="AZ378" s="97" t="str">
        <f>IF(ISNUMBER(E378),DATE(YEAR(E378),MONTH(E378),1),"")</f>
        <v/>
      </c>
      <c r="BA378" s="96">
        <f>IF(Z378=0,0,IF(AND(OR(r_ini="",AND(ISNUMBER(E378),E378&gt;=r_ini)),OR(r_fim="",AND(ISNUMBER(E378),E378&lt;=r_fim)),OR(r_un="",r_un="(Todas)",G378=r_un),OR(r_de="",r_de="(Todos)",I378=r_de)),1,0))</f>
        <v>0</v>
      </c>
      <c r="BB378" s="96" t="str">
        <f>IF(BA378=1,COUNTIF($BA$6:BA378,1),"")</f>
        <v/>
      </c>
      <c r="BC378" s="96" t="str">
        <f>IF(AND(AU378&lt;&gt;"",OR(r_un="",r_un="(Todas)",G378=r_un),OR(r_de="",r_de="(Todos)",I378=r_de)),AU378,"")</f>
        <v/>
      </c>
      <c r="BD378" s="96" t="str">
        <f>IF(Z378=1,A378&amp;" | nº "&amp;IF(B378="","(sem número)",B378)&amp;" | "&amp;IF(G378="","(sem unidade)",G378),"")</f>
        <v/>
      </c>
      <c r="BE378" s="96" t="str">
        <f>IF(Z378=1,COUNTIF($Z$6:Z378,1),"")</f>
        <v/>
      </c>
      <c r="BF378" s="96" t="str">
        <f>IF(T378="","",IF(T378="RECEBIMENTO NÃO CONFIRMADO","Transp.: "&amp;H378&amp;" | Dest.: "&amp;I378,IF(OR(T378="CDF NÃO LOCALIZADO",T378="VÍNCULO INCOMPLETO",T378="CDF A CONFERIR"),"Dest.: "&amp;I378,"Gerador: "&amp;G378)))</f>
        <v/>
      </c>
    </row>
    <row r="379">
      <c r="A379" s="89" t="inlineStr">
        <is>
          <t>MTR-000374</t>
        </is>
      </c>
      <c r="B379" s="90" t="n"/>
      <c r="C379" s="91" t="n"/>
      <c r="D379" s="91" t="n"/>
      <c r="E379" s="92" t="n"/>
      <c r="F379" s="92" t="n"/>
      <c r="G379" s="91" t="n"/>
      <c r="H379" s="91" t="n"/>
      <c r="I379" s="91" t="n"/>
      <c r="J379" s="91" t="n"/>
      <c r="K379" s="91" t="n"/>
      <c r="L379" s="92" t="n"/>
      <c r="M379" s="91" t="n"/>
      <c r="N379" s="91" t="n"/>
      <c r="O379" s="91" t="n"/>
      <c r="P379" s="93" t="str">
        <f>IF(Z379=0,"",SUMIFS('ITENS_MTR'!$I$6:$I$1005,'ITENS_MTR'!$S$6:$S$1005,A379,'ITENS_MTR'!$Y$6:$Y$1005,1))</f>
        <v/>
      </c>
      <c r="Q379" s="93" t="str">
        <f>IF(Z379=0,"",SUMIFS('RECEBIMENTOS'!$H$6:$H$1005,'RECEBIMENTOS'!$B$6:$B$1005,A379,'RECEBIMENTOS'!$X$6:$X$1005,1))</f>
        <v/>
      </c>
      <c r="R379" s="93" t="str">
        <f>IF(Z379=0,"",SUMIFS('VÍNCULOS_CDF'!$H$6:$H$1005,'VÍNCULOS_CDF'!$D$6:$D$1005,A379,'VÍNCULOS_CDF'!$V$6:$V$1005,1))</f>
        <v/>
      </c>
      <c r="S379" s="94" t="str">
        <f>IF(Z379=0,"",IF(AA379=1,"Cancelado (informado)",IF(AE379=1,"Cadastro incompleto",IF(OR(AC379=1,AD379=1,AF379&gt;0,AH379&gt;0,AK379&gt;0,AL379&gt;0),"Informação a revisar",IF(AN379=0,"Aguardando recebimento",IF(N(R379)=0,"Aguardando CDF",IF(AJ379&lt;N(W379),"Vínculo de CDF parcial",IF(AO379=0,"CDF localizado, a conferir","Documentação conferida"))))))))</f>
        <v/>
      </c>
      <c r="T379" s="94" t="str">
        <f>IF(Z379=0,"",IF(S379="Cadastro incompleto","MTR INCOMPLETO",IF(S379="Informação a revisar",IF(AND(AH379&gt;0,AC379=0,AD379=0,AF379=0,AK379=0,AL379=0),"QUANTIDADE A REVISAR","IDENTIFICAÇÃO A REVISAR"),IF(S379="Aguardando recebimento","RECEBIMENTO NÃO CONFIRMADO",IF(S379="Aguardando CDF","CDF NÃO LOCALIZADO",IF(S379="Vínculo de CDF parcial","VÍNCULO INCOMPLETO",IF(S379="CDF localizado, a conferir","CDF A CONFERIR","")))))))</f>
        <v/>
      </c>
      <c r="U379" s="95" t="str">
        <f>IF(T379="","",IF(AQ379="","Não calculável",IF(AQ379&gt;TODAY(),"Data futura",TODAY()-AQ379)))</f>
        <v/>
      </c>
      <c r="V379" s="93" t="str">
        <f>IF(Z379=0,"",SUMIFS('RECEBIMENTOS'!$H$6:$H$1005,'RECEBIMENTOS'!$B$6:$B$1005,A379,'RECEBIMENTOS'!$Z$6:$Z$1005,1))</f>
        <v/>
      </c>
      <c r="W379" s="95" t="str">
        <f>IF(Z379=0,"",COUNTIFS('ITENS_MTR'!$S$6:$S$1005,A379,'ITENS_MTR'!$R$6:$R$1005,1))</f>
        <v/>
      </c>
      <c r="X379" s="94" t="str">
        <f>IF(AC379=1,"POSSÍVEL DUPLICIDADE","")</f>
        <v/>
      </c>
      <c r="Y379" s="94" t="str">
        <f>IF(Z379=0,"",IF(AW379="","Nenhuma",LEFT(AW379,LEN(AW379)-2)))</f>
        <v/>
      </c>
      <c r="Z379" s="96">
        <f>IF(COUNTA(B379:O379)&gt;0,1,0)</f>
        <v>0</v>
      </c>
      <c r="AA379" s="96">
        <f>IF(AND(Z379=1,K379&lt;&gt;""),IF(TRIM(K379)=TRIM(cfg_cancel),1,0),0)</f>
        <v>0</v>
      </c>
      <c r="AB379" s="96" t="str">
        <f>IF(AND(Z379=1,B379&lt;&gt;""),C379&amp;"|"&amp;D379&amp;"|"&amp;G379&amp;"|"&amp;TRIM(B379),"")</f>
        <v/>
      </c>
      <c r="AC379" s="96">
        <f>IF(AB379="",0,IF(SUMPRODUCT(--($AB$6:$AB$505=AB379))&gt;1,1,0))</f>
        <v>0</v>
      </c>
      <c r="AD379" s="96">
        <f>IF(Z379=0,0,IF(OR(AND(G379&lt;&gt;"",ISNA(MATCH(G379,'CAD_UNIDADES'!$C$6:$C$105,0))),AND(H379&lt;&gt;"",ISNA(MATCH(H379,cmp_transp,0))),AND(I379&lt;&gt;"",ISNA(MATCH(I379,cmp_dest,0))),AND(E379&lt;&gt;"",NOT(ISNUMBER(E379))),AND(F379&lt;&gt;"",NOT(ISNUMBER(F379))),AND(ISNUMBER(E379),ISNUMBER(F379),F379&lt;E379)),1,0))</f>
        <v>0</v>
      </c>
      <c r="AE379" s="96">
        <f>IF(Z379=0,0,IF(OR(B379="",C379="",E379="",G379="",H379="",I379="",N(W379)=0),1,0))</f>
        <v>0</v>
      </c>
      <c r="AF379" s="96">
        <f>IF(Z379=0,0,COUNTIFS('ITENS_MTR'!$S$6:$S$1005,A379,'ITENS_MTR'!$AI$6:$AI$1005,1))</f>
        <v>0</v>
      </c>
      <c r="AG379" s="96">
        <f>IF(Z379=0,0,COUNTIFS('ITENS_MTR'!$S$6:$S$1005,A379,'ITENS_MTR'!$AJ$6:$AJ$1005,1))</f>
        <v>0</v>
      </c>
      <c r="AH379" s="96">
        <f>IF(Z379=0,0,COUNTIFS('ITENS_MTR'!$S$6:$S$1005,A379,'ITENS_MTR'!$AM$6:$AM$1005,1))</f>
        <v>0</v>
      </c>
      <c r="AI379" s="96">
        <f>IF(Z379=0,0,COUNTIFS('ITENS_MTR'!$S$6:$S$1005,A379,'ITENS_MTR'!$AO$6:$AO$1005,1))</f>
        <v>0</v>
      </c>
      <c r="AJ379" s="96">
        <f>IF(Z379=0,0,COUNTIFS('ITENS_MTR'!$S$6:$S$1005,A379,'ITENS_MTR'!$AN$6:$AN$1005,1))</f>
        <v>0</v>
      </c>
      <c r="AK379" s="96">
        <f>IF(Z379=0,0,COUNTIFS('RECEBIMENTOS'!$B$6:$B$1005,A379,'RECEBIMENTOS'!$Y$6:$Y$1005,1))</f>
        <v>0</v>
      </c>
      <c r="AL379" s="96">
        <f>IF(Z379=0,0,COUNTIFS('VÍNCULOS_CDF'!$D$6:$D$1005,A379,'VÍNCULOS_CDF'!$Y$6:$Y$1005,1))</f>
        <v>0</v>
      </c>
      <c r="AM379" s="96">
        <f>IF(Z379=0,0,COUNTIFS('RECEBIMENTOS'!$B$6:$B$1005,A379,'RECEBIMENTOS'!$Q$6:$Q$1005,1))</f>
        <v>0</v>
      </c>
      <c r="AN379" s="96">
        <f>IF(AND(Z379=1,N(W379)&gt;0,AG379=N(W379)),1,0)</f>
        <v>0</v>
      </c>
      <c r="AO379" s="96">
        <f>IF(AND(Z379=1,N(W379)&gt;0,AI379=N(W379)),1,0)</f>
        <v>0</v>
      </c>
      <c r="AP379" s="97">
        <f>IF(Z379=0,0,_xlfn.MAXIFS('RECEBIMENTOS'!$E$6:$E$1005,'RECEBIMENTOS'!$B$6:$B$1005,A379))</f>
        <v>0</v>
      </c>
      <c r="AQ379" s="97" t="str">
        <f>IF(T379="","",IF(T379="RECEBIMENTO NÃO CONFIRMADO",IF(ISNUMBER(F379),F379,IF(ISNUMBER(E379),E379,"")),IF(OR(T379="CDF NÃO LOCALIZADO",T379="VÍNCULO INCOMPLETO",T379="CDF A CONFERIR"),IF(AP379&gt;0,AP379,IF(ISNUMBER(E379),E379,"")),IF(ISNUMBER(E379),E379,""))))</f>
        <v/>
      </c>
      <c r="AR379" s="96">
        <f>IF(NOT(ISNUMBER(U379)),0,IF(T379="RECEBIMENTO NÃO CONFIRMADO",IF(AND(ISNUMBER(cfg_rec),U379&gt;cfg_rec),1,0),IF(OR(T379="CDF NÃO LOCALIZADO",T379="VÍNCULO INCOMPLETO",T379="CDF A CONFERIR"),IF(AND(ISNUMBER(cfg_cdf),U379&gt;cfg_cdf),1,0),0)))</f>
        <v>0</v>
      </c>
      <c r="AS379" s="96" t="str">
        <f>IF(T379="","",IF(AR379=1,"Alta",IFERROR(INDEX(cfg_pp,MATCH(T379,cfg_pt,0))&amp;"","Média")))</f>
        <v/>
      </c>
      <c r="AT379" s="96" t="str">
        <f>IF(T379="","",IFERROR(INDEX(cfg_pv,MATCH(T379,cfg_pt,0))&amp;"",""))</f>
        <v/>
      </c>
      <c r="AU379" s="96" t="str">
        <f>IF(T379="","",IF(AS379="Alta",1,IF(AS379="Média",2,3))*1000000000+(999999-IF(ISNUMBER(U379),MIN(U379,999999),0))*1000+374)</f>
        <v/>
      </c>
      <c r="AV379" s="96">
        <f>IF(T379&lt;&gt;"",1,0)</f>
        <v>0</v>
      </c>
      <c r="AW379" s="96" t="str">
        <f>IF(Z379=0,"",IF(AA379=1,"Cancelamento informado; ","")&amp;IF(AE379=1,"Campos essenciais ou itens faltando; ","")&amp;IF(AC379=1,"Possível duplicidade do número; ","")&amp;IF(AD379=1,"Cadastro ou datas a revisar; ","")&amp;IF(AF379&gt;0,"Item de resíduo com dado a revisar; ","")&amp;IF(AH379&gt;0,"Diferença de quantidade a analisar; ","")&amp;IF(AK379&gt;0,"Recebimento com alerta; ","")&amp;IF(AL379&gt;0,"Vínculo de CDF com alerta; ","")&amp;IF(AND(AA379=0,AN379=0),"Recebimento não confirmado; ","")&amp;IF(AND(AA379=0,AN379=1,AO379=0),"CDF pendente ou a conferir; ",""))</f>
        <v/>
      </c>
      <c r="AX379" s="96">
        <f>IF(Z379=0,0,IF(AND(OR(f_ini="",AND(ISNUMBER(E379),E379&gt;=f_ini)),OR(f_fim="",AND(ISNUMBER(E379),E379&lt;=f_fim)),OR(f_un="",f_un="(Todas)",G379=f_un),OR(f_tr="",f_tr="(Todos)",H379=f_tr),OR(f_de="",f_de="(Todos)",I379=f_de),OR(f_sit="",f_sit="(Todas)",S379=f_sit)),1,0))</f>
        <v>0</v>
      </c>
      <c r="AY379" s="96">
        <f>IF(AX379=0,0,IF(OR(f_res="",f_res="(Todos)"),1,IF(COUNTIFS('ITENS_MTR'!$S$6:$S$1005,A379,'ITENS_MTR'!$C$6:$C$1005,f_res)&gt;0,1,0)))</f>
        <v>0</v>
      </c>
      <c r="AZ379" s="97" t="str">
        <f>IF(ISNUMBER(E379),DATE(YEAR(E379),MONTH(E379),1),"")</f>
        <v/>
      </c>
      <c r="BA379" s="96">
        <f>IF(Z379=0,0,IF(AND(OR(r_ini="",AND(ISNUMBER(E379),E379&gt;=r_ini)),OR(r_fim="",AND(ISNUMBER(E379),E379&lt;=r_fim)),OR(r_un="",r_un="(Todas)",G379=r_un),OR(r_de="",r_de="(Todos)",I379=r_de)),1,0))</f>
        <v>0</v>
      </c>
      <c r="BB379" s="96" t="str">
        <f>IF(BA379=1,COUNTIF($BA$6:BA379,1),"")</f>
        <v/>
      </c>
      <c r="BC379" s="96" t="str">
        <f>IF(AND(AU379&lt;&gt;"",OR(r_un="",r_un="(Todas)",G379=r_un),OR(r_de="",r_de="(Todos)",I379=r_de)),AU379,"")</f>
        <v/>
      </c>
      <c r="BD379" s="96" t="str">
        <f>IF(Z379=1,A379&amp;" | nº "&amp;IF(B379="","(sem número)",B379)&amp;" | "&amp;IF(G379="","(sem unidade)",G379),"")</f>
        <v/>
      </c>
      <c r="BE379" s="96" t="str">
        <f>IF(Z379=1,COUNTIF($Z$6:Z379,1),"")</f>
        <v/>
      </c>
      <c r="BF379" s="96" t="str">
        <f>IF(T379="","",IF(T379="RECEBIMENTO NÃO CONFIRMADO","Transp.: "&amp;H379&amp;" | Dest.: "&amp;I379,IF(OR(T379="CDF NÃO LOCALIZADO",T379="VÍNCULO INCOMPLETO",T379="CDF A CONFERIR"),"Dest.: "&amp;I379,"Gerador: "&amp;G379)))</f>
        <v/>
      </c>
    </row>
    <row r="380">
      <c r="A380" s="89" t="inlineStr">
        <is>
          <t>MTR-000375</t>
        </is>
      </c>
      <c r="B380" s="90" t="n"/>
      <c r="C380" s="91" t="n"/>
      <c r="D380" s="91" t="n"/>
      <c r="E380" s="92" t="n"/>
      <c r="F380" s="92" t="n"/>
      <c r="G380" s="91" t="n"/>
      <c r="H380" s="91" t="n"/>
      <c r="I380" s="91" t="n"/>
      <c r="J380" s="91" t="n"/>
      <c r="K380" s="91" t="n"/>
      <c r="L380" s="92" t="n"/>
      <c r="M380" s="91" t="n"/>
      <c r="N380" s="91" t="n"/>
      <c r="O380" s="91" t="n"/>
      <c r="P380" s="93" t="str">
        <f>IF(Z380=0,"",SUMIFS('ITENS_MTR'!$I$6:$I$1005,'ITENS_MTR'!$S$6:$S$1005,A380,'ITENS_MTR'!$Y$6:$Y$1005,1))</f>
        <v/>
      </c>
      <c r="Q380" s="93" t="str">
        <f>IF(Z380=0,"",SUMIFS('RECEBIMENTOS'!$H$6:$H$1005,'RECEBIMENTOS'!$B$6:$B$1005,A380,'RECEBIMENTOS'!$X$6:$X$1005,1))</f>
        <v/>
      </c>
      <c r="R380" s="93" t="str">
        <f>IF(Z380=0,"",SUMIFS('VÍNCULOS_CDF'!$H$6:$H$1005,'VÍNCULOS_CDF'!$D$6:$D$1005,A380,'VÍNCULOS_CDF'!$V$6:$V$1005,1))</f>
        <v/>
      </c>
      <c r="S380" s="94" t="str">
        <f>IF(Z380=0,"",IF(AA380=1,"Cancelado (informado)",IF(AE380=1,"Cadastro incompleto",IF(OR(AC380=1,AD380=1,AF380&gt;0,AH380&gt;0,AK380&gt;0,AL380&gt;0),"Informação a revisar",IF(AN380=0,"Aguardando recebimento",IF(N(R380)=0,"Aguardando CDF",IF(AJ380&lt;N(W380),"Vínculo de CDF parcial",IF(AO380=0,"CDF localizado, a conferir","Documentação conferida"))))))))</f>
        <v/>
      </c>
      <c r="T380" s="94" t="str">
        <f>IF(Z380=0,"",IF(S380="Cadastro incompleto","MTR INCOMPLETO",IF(S380="Informação a revisar",IF(AND(AH380&gt;0,AC380=0,AD380=0,AF380=0,AK380=0,AL380=0),"QUANTIDADE A REVISAR","IDENTIFICAÇÃO A REVISAR"),IF(S380="Aguardando recebimento","RECEBIMENTO NÃO CONFIRMADO",IF(S380="Aguardando CDF","CDF NÃO LOCALIZADO",IF(S380="Vínculo de CDF parcial","VÍNCULO INCOMPLETO",IF(S380="CDF localizado, a conferir","CDF A CONFERIR","")))))))</f>
        <v/>
      </c>
      <c r="U380" s="95" t="str">
        <f>IF(T380="","",IF(AQ380="","Não calculável",IF(AQ380&gt;TODAY(),"Data futura",TODAY()-AQ380)))</f>
        <v/>
      </c>
      <c r="V380" s="93" t="str">
        <f>IF(Z380=0,"",SUMIFS('RECEBIMENTOS'!$H$6:$H$1005,'RECEBIMENTOS'!$B$6:$B$1005,A380,'RECEBIMENTOS'!$Z$6:$Z$1005,1))</f>
        <v/>
      </c>
      <c r="W380" s="95" t="str">
        <f>IF(Z380=0,"",COUNTIFS('ITENS_MTR'!$S$6:$S$1005,A380,'ITENS_MTR'!$R$6:$R$1005,1))</f>
        <v/>
      </c>
      <c r="X380" s="94" t="str">
        <f>IF(AC380=1,"POSSÍVEL DUPLICIDADE","")</f>
        <v/>
      </c>
      <c r="Y380" s="94" t="str">
        <f>IF(Z380=0,"",IF(AW380="","Nenhuma",LEFT(AW380,LEN(AW380)-2)))</f>
        <v/>
      </c>
      <c r="Z380" s="96">
        <f>IF(COUNTA(B380:O380)&gt;0,1,0)</f>
        <v>0</v>
      </c>
      <c r="AA380" s="96">
        <f>IF(AND(Z380=1,K380&lt;&gt;""),IF(TRIM(K380)=TRIM(cfg_cancel),1,0),0)</f>
        <v>0</v>
      </c>
      <c r="AB380" s="96" t="str">
        <f>IF(AND(Z380=1,B380&lt;&gt;""),C380&amp;"|"&amp;D380&amp;"|"&amp;G380&amp;"|"&amp;TRIM(B380),"")</f>
        <v/>
      </c>
      <c r="AC380" s="96">
        <f>IF(AB380="",0,IF(SUMPRODUCT(--($AB$6:$AB$505=AB380))&gt;1,1,0))</f>
        <v>0</v>
      </c>
      <c r="AD380" s="96">
        <f>IF(Z380=0,0,IF(OR(AND(G380&lt;&gt;"",ISNA(MATCH(G380,'CAD_UNIDADES'!$C$6:$C$105,0))),AND(H380&lt;&gt;"",ISNA(MATCH(H380,cmp_transp,0))),AND(I380&lt;&gt;"",ISNA(MATCH(I380,cmp_dest,0))),AND(E380&lt;&gt;"",NOT(ISNUMBER(E380))),AND(F380&lt;&gt;"",NOT(ISNUMBER(F380))),AND(ISNUMBER(E380),ISNUMBER(F380),F380&lt;E380)),1,0))</f>
        <v>0</v>
      </c>
      <c r="AE380" s="96">
        <f>IF(Z380=0,0,IF(OR(B380="",C380="",E380="",G380="",H380="",I380="",N(W380)=0),1,0))</f>
        <v>0</v>
      </c>
      <c r="AF380" s="96">
        <f>IF(Z380=0,0,COUNTIFS('ITENS_MTR'!$S$6:$S$1005,A380,'ITENS_MTR'!$AI$6:$AI$1005,1))</f>
        <v>0</v>
      </c>
      <c r="AG380" s="96">
        <f>IF(Z380=0,0,COUNTIFS('ITENS_MTR'!$S$6:$S$1005,A380,'ITENS_MTR'!$AJ$6:$AJ$1005,1))</f>
        <v>0</v>
      </c>
      <c r="AH380" s="96">
        <f>IF(Z380=0,0,COUNTIFS('ITENS_MTR'!$S$6:$S$1005,A380,'ITENS_MTR'!$AM$6:$AM$1005,1))</f>
        <v>0</v>
      </c>
      <c r="AI380" s="96">
        <f>IF(Z380=0,0,COUNTIFS('ITENS_MTR'!$S$6:$S$1005,A380,'ITENS_MTR'!$AO$6:$AO$1005,1))</f>
        <v>0</v>
      </c>
      <c r="AJ380" s="96">
        <f>IF(Z380=0,0,COUNTIFS('ITENS_MTR'!$S$6:$S$1005,A380,'ITENS_MTR'!$AN$6:$AN$1005,1))</f>
        <v>0</v>
      </c>
      <c r="AK380" s="96">
        <f>IF(Z380=0,0,COUNTIFS('RECEBIMENTOS'!$B$6:$B$1005,A380,'RECEBIMENTOS'!$Y$6:$Y$1005,1))</f>
        <v>0</v>
      </c>
      <c r="AL380" s="96">
        <f>IF(Z380=0,0,COUNTIFS('VÍNCULOS_CDF'!$D$6:$D$1005,A380,'VÍNCULOS_CDF'!$Y$6:$Y$1005,1))</f>
        <v>0</v>
      </c>
      <c r="AM380" s="96">
        <f>IF(Z380=0,0,COUNTIFS('RECEBIMENTOS'!$B$6:$B$1005,A380,'RECEBIMENTOS'!$Q$6:$Q$1005,1))</f>
        <v>0</v>
      </c>
      <c r="AN380" s="96">
        <f>IF(AND(Z380=1,N(W380)&gt;0,AG380=N(W380)),1,0)</f>
        <v>0</v>
      </c>
      <c r="AO380" s="96">
        <f>IF(AND(Z380=1,N(W380)&gt;0,AI380=N(W380)),1,0)</f>
        <v>0</v>
      </c>
      <c r="AP380" s="97">
        <f>IF(Z380=0,0,_xlfn.MAXIFS('RECEBIMENTOS'!$E$6:$E$1005,'RECEBIMENTOS'!$B$6:$B$1005,A380))</f>
        <v>0</v>
      </c>
      <c r="AQ380" s="97" t="str">
        <f>IF(T380="","",IF(T380="RECEBIMENTO NÃO CONFIRMADO",IF(ISNUMBER(F380),F380,IF(ISNUMBER(E380),E380,"")),IF(OR(T380="CDF NÃO LOCALIZADO",T380="VÍNCULO INCOMPLETO",T380="CDF A CONFERIR"),IF(AP380&gt;0,AP380,IF(ISNUMBER(E380),E380,"")),IF(ISNUMBER(E380),E380,""))))</f>
        <v/>
      </c>
      <c r="AR380" s="96">
        <f>IF(NOT(ISNUMBER(U380)),0,IF(T380="RECEBIMENTO NÃO CONFIRMADO",IF(AND(ISNUMBER(cfg_rec),U380&gt;cfg_rec),1,0),IF(OR(T380="CDF NÃO LOCALIZADO",T380="VÍNCULO INCOMPLETO",T380="CDF A CONFERIR"),IF(AND(ISNUMBER(cfg_cdf),U380&gt;cfg_cdf),1,0),0)))</f>
        <v>0</v>
      </c>
      <c r="AS380" s="96" t="str">
        <f>IF(T380="","",IF(AR380=1,"Alta",IFERROR(INDEX(cfg_pp,MATCH(T380,cfg_pt,0))&amp;"","Média")))</f>
        <v/>
      </c>
      <c r="AT380" s="96" t="str">
        <f>IF(T380="","",IFERROR(INDEX(cfg_pv,MATCH(T380,cfg_pt,0))&amp;"",""))</f>
        <v/>
      </c>
      <c r="AU380" s="96" t="str">
        <f>IF(T380="","",IF(AS380="Alta",1,IF(AS380="Média",2,3))*1000000000+(999999-IF(ISNUMBER(U380),MIN(U380,999999),0))*1000+375)</f>
        <v/>
      </c>
      <c r="AV380" s="96">
        <f>IF(T380&lt;&gt;"",1,0)</f>
        <v>0</v>
      </c>
      <c r="AW380" s="96" t="str">
        <f>IF(Z380=0,"",IF(AA380=1,"Cancelamento informado; ","")&amp;IF(AE380=1,"Campos essenciais ou itens faltando; ","")&amp;IF(AC380=1,"Possível duplicidade do número; ","")&amp;IF(AD380=1,"Cadastro ou datas a revisar; ","")&amp;IF(AF380&gt;0,"Item de resíduo com dado a revisar; ","")&amp;IF(AH380&gt;0,"Diferença de quantidade a analisar; ","")&amp;IF(AK380&gt;0,"Recebimento com alerta; ","")&amp;IF(AL380&gt;0,"Vínculo de CDF com alerta; ","")&amp;IF(AND(AA380=0,AN380=0),"Recebimento não confirmado; ","")&amp;IF(AND(AA380=0,AN380=1,AO380=0),"CDF pendente ou a conferir; ",""))</f>
        <v/>
      </c>
      <c r="AX380" s="96">
        <f>IF(Z380=0,0,IF(AND(OR(f_ini="",AND(ISNUMBER(E380),E380&gt;=f_ini)),OR(f_fim="",AND(ISNUMBER(E380),E380&lt;=f_fim)),OR(f_un="",f_un="(Todas)",G380=f_un),OR(f_tr="",f_tr="(Todos)",H380=f_tr),OR(f_de="",f_de="(Todos)",I380=f_de),OR(f_sit="",f_sit="(Todas)",S380=f_sit)),1,0))</f>
        <v>0</v>
      </c>
      <c r="AY380" s="96">
        <f>IF(AX380=0,0,IF(OR(f_res="",f_res="(Todos)"),1,IF(COUNTIFS('ITENS_MTR'!$S$6:$S$1005,A380,'ITENS_MTR'!$C$6:$C$1005,f_res)&gt;0,1,0)))</f>
        <v>0</v>
      </c>
      <c r="AZ380" s="97" t="str">
        <f>IF(ISNUMBER(E380),DATE(YEAR(E380),MONTH(E380),1),"")</f>
        <v/>
      </c>
      <c r="BA380" s="96">
        <f>IF(Z380=0,0,IF(AND(OR(r_ini="",AND(ISNUMBER(E380),E380&gt;=r_ini)),OR(r_fim="",AND(ISNUMBER(E380),E380&lt;=r_fim)),OR(r_un="",r_un="(Todas)",G380=r_un),OR(r_de="",r_de="(Todos)",I380=r_de)),1,0))</f>
        <v>0</v>
      </c>
      <c r="BB380" s="96" t="str">
        <f>IF(BA380=1,COUNTIF($BA$6:BA380,1),"")</f>
        <v/>
      </c>
      <c r="BC380" s="96" t="str">
        <f>IF(AND(AU380&lt;&gt;"",OR(r_un="",r_un="(Todas)",G380=r_un),OR(r_de="",r_de="(Todos)",I380=r_de)),AU380,"")</f>
        <v/>
      </c>
      <c r="BD380" s="96" t="str">
        <f>IF(Z380=1,A380&amp;" | nº "&amp;IF(B380="","(sem número)",B380)&amp;" | "&amp;IF(G380="","(sem unidade)",G380),"")</f>
        <v/>
      </c>
      <c r="BE380" s="96" t="str">
        <f>IF(Z380=1,COUNTIF($Z$6:Z380,1),"")</f>
        <v/>
      </c>
      <c r="BF380" s="96" t="str">
        <f>IF(T380="","",IF(T380="RECEBIMENTO NÃO CONFIRMADO","Transp.: "&amp;H380&amp;" | Dest.: "&amp;I380,IF(OR(T380="CDF NÃO LOCALIZADO",T380="VÍNCULO INCOMPLETO",T380="CDF A CONFERIR"),"Dest.: "&amp;I380,"Gerador: "&amp;G380)))</f>
        <v/>
      </c>
    </row>
    <row r="381">
      <c r="A381" s="89" t="inlineStr">
        <is>
          <t>MTR-000376</t>
        </is>
      </c>
      <c r="B381" s="90" t="n"/>
      <c r="C381" s="91" t="n"/>
      <c r="D381" s="91" t="n"/>
      <c r="E381" s="92" t="n"/>
      <c r="F381" s="92" t="n"/>
      <c r="G381" s="91" t="n"/>
      <c r="H381" s="91" t="n"/>
      <c r="I381" s="91" t="n"/>
      <c r="J381" s="91" t="n"/>
      <c r="K381" s="91" t="n"/>
      <c r="L381" s="92" t="n"/>
      <c r="M381" s="91" t="n"/>
      <c r="N381" s="91" t="n"/>
      <c r="O381" s="91" t="n"/>
      <c r="P381" s="93" t="str">
        <f>IF(Z381=0,"",SUMIFS('ITENS_MTR'!$I$6:$I$1005,'ITENS_MTR'!$S$6:$S$1005,A381,'ITENS_MTR'!$Y$6:$Y$1005,1))</f>
        <v/>
      </c>
      <c r="Q381" s="93" t="str">
        <f>IF(Z381=0,"",SUMIFS('RECEBIMENTOS'!$H$6:$H$1005,'RECEBIMENTOS'!$B$6:$B$1005,A381,'RECEBIMENTOS'!$X$6:$X$1005,1))</f>
        <v/>
      </c>
      <c r="R381" s="93" t="str">
        <f>IF(Z381=0,"",SUMIFS('VÍNCULOS_CDF'!$H$6:$H$1005,'VÍNCULOS_CDF'!$D$6:$D$1005,A381,'VÍNCULOS_CDF'!$V$6:$V$1005,1))</f>
        <v/>
      </c>
      <c r="S381" s="94" t="str">
        <f>IF(Z381=0,"",IF(AA381=1,"Cancelado (informado)",IF(AE381=1,"Cadastro incompleto",IF(OR(AC381=1,AD381=1,AF381&gt;0,AH381&gt;0,AK381&gt;0,AL381&gt;0),"Informação a revisar",IF(AN381=0,"Aguardando recebimento",IF(N(R381)=0,"Aguardando CDF",IF(AJ381&lt;N(W381),"Vínculo de CDF parcial",IF(AO381=0,"CDF localizado, a conferir","Documentação conferida"))))))))</f>
        <v/>
      </c>
      <c r="T381" s="94" t="str">
        <f>IF(Z381=0,"",IF(S381="Cadastro incompleto","MTR INCOMPLETO",IF(S381="Informação a revisar",IF(AND(AH381&gt;0,AC381=0,AD381=0,AF381=0,AK381=0,AL381=0),"QUANTIDADE A REVISAR","IDENTIFICAÇÃO A REVISAR"),IF(S381="Aguardando recebimento","RECEBIMENTO NÃO CONFIRMADO",IF(S381="Aguardando CDF","CDF NÃO LOCALIZADO",IF(S381="Vínculo de CDF parcial","VÍNCULO INCOMPLETO",IF(S381="CDF localizado, a conferir","CDF A CONFERIR","")))))))</f>
        <v/>
      </c>
      <c r="U381" s="95" t="str">
        <f>IF(T381="","",IF(AQ381="","Não calculável",IF(AQ381&gt;TODAY(),"Data futura",TODAY()-AQ381)))</f>
        <v/>
      </c>
      <c r="V381" s="93" t="str">
        <f>IF(Z381=0,"",SUMIFS('RECEBIMENTOS'!$H$6:$H$1005,'RECEBIMENTOS'!$B$6:$B$1005,A381,'RECEBIMENTOS'!$Z$6:$Z$1005,1))</f>
        <v/>
      </c>
      <c r="W381" s="95" t="str">
        <f>IF(Z381=0,"",COUNTIFS('ITENS_MTR'!$S$6:$S$1005,A381,'ITENS_MTR'!$R$6:$R$1005,1))</f>
        <v/>
      </c>
      <c r="X381" s="94" t="str">
        <f>IF(AC381=1,"POSSÍVEL DUPLICIDADE","")</f>
        <v/>
      </c>
      <c r="Y381" s="94" t="str">
        <f>IF(Z381=0,"",IF(AW381="","Nenhuma",LEFT(AW381,LEN(AW381)-2)))</f>
        <v/>
      </c>
      <c r="Z381" s="96">
        <f>IF(COUNTA(B381:O381)&gt;0,1,0)</f>
        <v>0</v>
      </c>
      <c r="AA381" s="96">
        <f>IF(AND(Z381=1,K381&lt;&gt;""),IF(TRIM(K381)=TRIM(cfg_cancel),1,0),0)</f>
        <v>0</v>
      </c>
      <c r="AB381" s="96" t="str">
        <f>IF(AND(Z381=1,B381&lt;&gt;""),C381&amp;"|"&amp;D381&amp;"|"&amp;G381&amp;"|"&amp;TRIM(B381),"")</f>
        <v/>
      </c>
      <c r="AC381" s="96">
        <f>IF(AB381="",0,IF(SUMPRODUCT(--($AB$6:$AB$505=AB381))&gt;1,1,0))</f>
        <v>0</v>
      </c>
      <c r="AD381" s="96">
        <f>IF(Z381=0,0,IF(OR(AND(G381&lt;&gt;"",ISNA(MATCH(G381,'CAD_UNIDADES'!$C$6:$C$105,0))),AND(H381&lt;&gt;"",ISNA(MATCH(H381,cmp_transp,0))),AND(I381&lt;&gt;"",ISNA(MATCH(I381,cmp_dest,0))),AND(E381&lt;&gt;"",NOT(ISNUMBER(E381))),AND(F381&lt;&gt;"",NOT(ISNUMBER(F381))),AND(ISNUMBER(E381),ISNUMBER(F381),F381&lt;E381)),1,0))</f>
        <v>0</v>
      </c>
      <c r="AE381" s="96">
        <f>IF(Z381=0,0,IF(OR(B381="",C381="",E381="",G381="",H381="",I381="",N(W381)=0),1,0))</f>
        <v>0</v>
      </c>
      <c r="AF381" s="96">
        <f>IF(Z381=0,0,COUNTIFS('ITENS_MTR'!$S$6:$S$1005,A381,'ITENS_MTR'!$AI$6:$AI$1005,1))</f>
        <v>0</v>
      </c>
      <c r="AG381" s="96">
        <f>IF(Z381=0,0,COUNTIFS('ITENS_MTR'!$S$6:$S$1005,A381,'ITENS_MTR'!$AJ$6:$AJ$1005,1))</f>
        <v>0</v>
      </c>
      <c r="AH381" s="96">
        <f>IF(Z381=0,0,COUNTIFS('ITENS_MTR'!$S$6:$S$1005,A381,'ITENS_MTR'!$AM$6:$AM$1005,1))</f>
        <v>0</v>
      </c>
      <c r="AI381" s="96">
        <f>IF(Z381=0,0,COUNTIFS('ITENS_MTR'!$S$6:$S$1005,A381,'ITENS_MTR'!$AO$6:$AO$1005,1))</f>
        <v>0</v>
      </c>
      <c r="AJ381" s="96">
        <f>IF(Z381=0,0,COUNTIFS('ITENS_MTR'!$S$6:$S$1005,A381,'ITENS_MTR'!$AN$6:$AN$1005,1))</f>
        <v>0</v>
      </c>
      <c r="AK381" s="96">
        <f>IF(Z381=0,0,COUNTIFS('RECEBIMENTOS'!$B$6:$B$1005,A381,'RECEBIMENTOS'!$Y$6:$Y$1005,1))</f>
        <v>0</v>
      </c>
      <c r="AL381" s="96">
        <f>IF(Z381=0,0,COUNTIFS('VÍNCULOS_CDF'!$D$6:$D$1005,A381,'VÍNCULOS_CDF'!$Y$6:$Y$1005,1))</f>
        <v>0</v>
      </c>
      <c r="AM381" s="96">
        <f>IF(Z381=0,0,COUNTIFS('RECEBIMENTOS'!$B$6:$B$1005,A381,'RECEBIMENTOS'!$Q$6:$Q$1005,1))</f>
        <v>0</v>
      </c>
      <c r="AN381" s="96">
        <f>IF(AND(Z381=1,N(W381)&gt;0,AG381=N(W381)),1,0)</f>
        <v>0</v>
      </c>
      <c r="AO381" s="96">
        <f>IF(AND(Z381=1,N(W381)&gt;0,AI381=N(W381)),1,0)</f>
        <v>0</v>
      </c>
      <c r="AP381" s="97">
        <f>IF(Z381=0,0,_xlfn.MAXIFS('RECEBIMENTOS'!$E$6:$E$1005,'RECEBIMENTOS'!$B$6:$B$1005,A381))</f>
        <v>0</v>
      </c>
      <c r="AQ381" s="97" t="str">
        <f>IF(T381="","",IF(T381="RECEBIMENTO NÃO CONFIRMADO",IF(ISNUMBER(F381),F381,IF(ISNUMBER(E381),E381,"")),IF(OR(T381="CDF NÃO LOCALIZADO",T381="VÍNCULO INCOMPLETO",T381="CDF A CONFERIR"),IF(AP381&gt;0,AP381,IF(ISNUMBER(E381),E381,"")),IF(ISNUMBER(E381),E381,""))))</f>
        <v/>
      </c>
      <c r="AR381" s="96">
        <f>IF(NOT(ISNUMBER(U381)),0,IF(T381="RECEBIMENTO NÃO CONFIRMADO",IF(AND(ISNUMBER(cfg_rec),U381&gt;cfg_rec),1,0),IF(OR(T381="CDF NÃO LOCALIZADO",T381="VÍNCULO INCOMPLETO",T381="CDF A CONFERIR"),IF(AND(ISNUMBER(cfg_cdf),U381&gt;cfg_cdf),1,0),0)))</f>
        <v>0</v>
      </c>
      <c r="AS381" s="96" t="str">
        <f>IF(T381="","",IF(AR381=1,"Alta",IFERROR(INDEX(cfg_pp,MATCH(T381,cfg_pt,0))&amp;"","Média")))</f>
        <v/>
      </c>
      <c r="AT381" s="96" t="str">
        <f>IF(T381="","",IFERROR(INDEX(cfg_pv,MATCH(T381,cfg_pt,0))&amp;"",""))</f>
        <v/>
      </c>
      <c r="AU381" s="96" t="str">
        <f>IF(T381="","",IF(AS381="Alta",1,IF(AS381="Média",2,3))*1000000000+(999999-IF(ISNUMBER(U381),MIN(U381,999999),0))*1000+376)</f>
        <v/>
      </c>
      <c r="AV381" s="96">
        <f>IF(T381&lt;&gt;"",1,0)</f>
        <v>0</v>
      </c>
      <c r="AW381" s="96" t="str">
        <f>IF(Z381=0,"",IF(AA381=1,"Cancelamento informado; ","")&amp;IF(AE381=1,"Campos essenciais ou itens faltando; ","")&amp;IF(AC381=1,"Possível duplicidade do número; ","")&amp;IF(AD381=1,"Cadastro ou datas a revisar; ","")&amp;IF(AF381&gt;0,"Item de resíduo com dado a revisar; ","")&amp;IF(AH381&gt;0,"Diferença de quantidade a analisar; ","")&amp;IF(AK381&gt;0,"Recebimento com alerta; ","")&amp;IF(AL381&gt;0,"Vínculo de CDF com alerta; ","")&amp;IF(AND(AA381=0,AN381=0),"Recebimento não confirmado; ","")&amp;IF(AND(AA381=0,AN381=1,AO381=0),"CDF pendente ou a conferir; ",""))</f>
        <v/>
      </c>
      <c r="AX381" s="96">
        <f>IF(Z381=0,0,IF(AND(OR(f_ini="",AND(ISNUMBER(E381),E381&gt;=f_ini)),OR(f_fim="",AND(ISNUMBER(E381),E381&lt;=f_fim)),OR(f_un="",f_un="(Todas)",G381=f_un),OR(f_tr="",f_tr="(Todos)",H381=f_tr),OR(f_de="",f_de="(Todos)",I381=f_de),OR(f_sit="",f_sit="(Todas)",S381=f_sit)),1,0))</f>
        <v>0</v>
      </c>
      <c r="AY381" s="96">
        <f>IF(AX381=0,0,IF(OR(f_res="",f_res="(Todos)"),1,IF(COUNTIFS('ITENS_MTR'!$S$6:$S$1005,A381,'ITENS_MTR'!$C$6:$C$1005,f_res)&gt;0,1,0)))</f>
        <v>0</v>
      </c>
      <c r="AZ381" s="97" t="str">
        <f>IF(ISNUMBER(E381),DATE(YEAR(E381),MONTH(E381),1),"")</f>
        <v/>
      </c>
      <c r="BA381" s="96">
        <f>IF(Z381=0,0,IF(AND(OR(r_ini="",AND(ISNUMBER(E381),E381&gt;=r_ini)),OR(r_fim="",AND(ISNUMBER(E381),E381&lt;=r_fim)),OR(r_un="",r_un="(Todas)",G381=r_un),OR(r_de="",r_de="(Todos)",I381=r_de)),1,0))</f>
        <v>0</v>
      </c>
      <c r="BB381" s="96" t="str">
        <f>IF(BA381=1,COUNTIF($BA$6:BA381,1),"")</f>
        <v/>
      </c>
      <c r="BC381" s="96" t="str">
        <f>IF(AND(AU381&lt;&gt;"",OR(r_un="",r_un="(Todas)",G381=r_un),OR(r_de="",r_de="(Todos)",I381=r_de)),AU381,"")</f>
        <v/>
      </c>
      <c r="BD381" s="96" t="str">
        <f>IF(Z381=1,A381&amp;" | nº "&amp;IF(B381="","(sem número)",B381)&amp;" | "&amp;IF(G381="","(sem unidade)",G381),"")</f>
        <v/>
      </c>
      <c r="BE381" s="96" t="str">
        <f>IF(Z381=1,COUNTIF($Z$6:Z381,1),"")</f>
        <v/>
      </c>
      <c r="BF381" s="96" t="str">
        <f>IF(T381="","",IF(T381="RECEBIMENTO NÃO CONFIRMADO","Transp.: "&amp;H381&amp;" | Dest.: "&amp;I381,IF(OR(T381="CDF NÃO LOCALIZADO",T381="VÍNCULO INCOMPLETO",T381="CDF A CONFERIR"),"Dest.: "&amp;I381,"Gerador: "&amp;G381)))</f>
        <v/>
      </c>
    </row>
    <row r="382">
      <c r="A382" s="89" t="inlineStr">
        <is>
          <t>MTR-000377</t>
        </is>
      </c>
      <c r="B382" s="90" t="n"/>
      <c r="C382" s="91" t="n"/>
      <c r="D382" s="91" t="n"/>
      <c r="E382" s="92" t="n"/>
      <c r="F382" s="92" t="n"/>
      <c r="G382" s="91" t="n"/>
      <c r="H382" s="91" t="n"/>
      <c r="I382" s="91" t="n"/>
      <c r="J382" s="91" t="n"/>
      <c r="K382" s="91" t="n"/>
      <c r="L382" s="92" t="n"/>
      <c r="M382" s="91" t="n"/>
      <c r="N382" s="91" t="n"/>
      <c r="O382" s="91" t="n"/>
      <c r="P382" s="93" t="str">
        <f>IF(Z382=0,"",SUMIFS('ITENS_MTR'!$I$6:$I$1005,'ITENS_MTR'!$S$6:$S$1005,A382,'ITENS_MTR'!$Y$6:$Y$1005,1))</f>
        <v/>
      </c>
      <c r="Q382" s="93" t="str">
        <f>IF(Z382=0,"",SUMIFS('RECEBIMENTOS'!$H$6:$H$1005,'RECEBIMENTOS'!$B$6:$B$1005,A382,'RECEBIMENTOS'!$X$6:$X$1005,1))</f>
        <v/>
      </c>
      <c r="R382" s="93" t="str">
        <f>IF(Z382=0,"",SUMIFS('VÍNCULOS_CDF'!$H$6:$H$1005,'VÍNCULOS_CDF'!$D$6:$D$1005,A382,'VÍNCULOS_CDF'!$V$6:$V$1005,1))</f>
        <v/>
      </c>
      <c r="S382" s="94" t="str">
        <f>IF(Z382=0,"",IF(AA382=1,"Cancelado (informado)",IF(AE382=1,"Cadastro incompleto",IF(OR(AC382=1,AD382=1,AF382&gt;0,AH382&gt;0,AK382&gt;0,AL382&gt;0),"Informação a revisar",IF(AN382=0,"Aguardando recebimento",IF(N(R382)=0,"Aguardando CDF",IF(AJ382&lt;N(W382),"Vínculo de CDF parcial",IF(AO382=0,"CDF localizado, a conferir","Documentação conferida"))))))))</f>
        <v/>
      </c>
      <c r="T382" s="94" t="str">
        <f>IF(Z382=0,"",IF(S382="Cadastro incompleto","MTR INCOMPLETO",IF(S382="Informação a revisar",IF(AND(AH382&gt;0,AC382=0,AD382=0,AF382=0,AK382=0,AL382=0),"QUANTIDADE A REVISAR","IDENTIFICAÇÃO A REVISAR"),IF(S382="Aguardando recebimento","RECEBIMENTO NÃO CONFIRMADO",IF(S382="Aguardando CDF","CDF NÃO LOCALIZADO",IF(S382="Vínculo de CDF parcial","VÍNCULO INCOMPLETO",IF(S382="CDF localizado, a conferir","CDF A CONFERIR","")))))))</f>
        <v/>
      </c>
      <c r="U382" s="95" t="str">
        <f>IF(T382="","",IF(AQ382="","Não calculável",IF(AQ382&gt;TODAY(),"Data futura",TODAY()-AQ382)))</f>
        <v/>
      </c>
      <c r="V382" s="93" t="str">
        <f>IF(Z382=0,"",SUMIFS('RECEBIMENTOS'!$H$6:$H$1005,'RECEBIMENTOS'!$B$6:$B$1005,A382,'RECEBIMENTOS'!$Z$6:$Z$1005,1))</f>
        <v/>
      </c>
      <c r="W382" s="95" t="str">
        <f>IF(Z382=0,"",COUNTIFS('ITENS_MTR'!$S$6:$S$1005,A382,'ITENS_MTR'!$R$6:$R$1005,1))</f>
        <v/>
      </c>
      <c r="X382" s="94" t="str">
        <f>IF(AC382=1,"POSSÍVEL DUPLICIDADE","")</f>
        <v/>
      </c>
      <c r="Y382" s="94" t="str">
        <f>IF(Z382=0,"",IF(AW382="","Nenhuma",LEFT(AW382,LEN(AW382)-2)))</f>
        <v/>
      </c>
      <c r="Z382" s="96">
        <f>IF(COUNTA(B382:O382)&gt;0,1,0)</f>
        <v>0</v>
      </c>
      <c r="AA382" s="96">
        <f>IF(AND(Z382=1,K382&lt;&gt;""),IF(TRIM(K382)=TRIM(cfg_cancel),1,0),0)</f>
        <v>0</v>
      </c>
      <c r="AB382" s="96" t="str">
        <f>IF(AND(Z382=1,B382&lt;&gt;""),C382&amp;"|"&amp;D382&amp;"|"&amp;G382&amp;"|"&amp;TRIM(B382),"")</f>
        <v/>
      </c>
      <c r="AC382" s="96">
        <f>IF(AB382="",0,IF(SUMPRODUCT(--($AB$6:$AB$505=AB382))&gt;1,1,0))</f>
        <v>0</v>
      </c>
      <c r="AD382" s="96">
        <f>IF(Z382=0,0,IF(OR(AND(G382&lt;&gt;"",ISNA(MATCH(G382,'CAD_UNIDADES'!$C$6:$C$105,0))),AND(H382&lt;&gt;"",ISNA(MATCH(H382,cmp_transp,0))),AND(I382&lt;&gt;"",ISNA(MATCH(I382,cmp_dest,0))),AND(E382&lt;&gt;"",NOT(ISNUMBER(E382))),AND(F382&lt;&gt;"",NOT(ISNUMBER(F382))),AND(ISNUMBER(E382),ISNUMBER(F382),F382&lt;E382)),1,0))</f>
        <v>0</v>
      </c>
      <c r="AE382" s="96">
        <f>IF(Z382=0,0,IF(OR(B382="",C382="",E382="",G382="",H382="",I382="",N(W382)=0),1,0))</f>
        <v>0</v>
      </c>
      <c r="AF382" s="96">
        <f>IF(Z382=0,0,COUNTIFS('ITENS_MTR'!$S$6:$S$1005,A382,'ITENS_MTR'!$AI$6:$AI$1005,1))</f>
        <v>0</v>
      </c>
      <c r="AG382" s="96">
        <f>IF(Z382=0,0,COUNTIFS('ITENS_MTR'!$S$6:$S$1005,A382,'ITENS_MTR'!$AJ$6:$AJ$1005,1))</f>
        <v>0</v>
      </c>
      <c r="AH382" s="96">
        <f>IF(Z382=0,0,COUNTIFS('ITENS_MTR'!$S$6:$S$1005,A382,'ITENS_MTR'!$AM$6:$AM$1005,1))</f>
        <v>0</v>
      </c>
      <c r="AI382" s="96">
        <f>IF(Z382=0,0,COUNTIFS('ITENS_MTR'!$S$6:$S$1005,A382,'ITENS_MTR'!$AO$6:$AO$1005,1))</f>
        <v>0</v>
      </c>
      <c r="AJ382" s="96">
        <f>IF(Z382=0,0,COUNTIFS('ITENS_MTR'!$S$6:$S$1005,A382,'ITENS_MTR'!$AN$6:$AN$1005,1))</f>
        <v>0</v>
      </c>
      <c r="AK382" s="96">
        <f>IF(Z382=0,0,COUNTIFS('RECEBIMENTOS'!$B$6:$B$1005,A382,'RECEBIMENTOS'!$Y$6:$Y$1005,1))</f>
        <v>0</v>
      </c>
      <c r="AL382" s="96">
        <f>IF(Z382=0,0,COUNTIFS('VÍNCULOS_CDF'!$D$6:$D$1005,A382,'VÍNCULOS_CDF'!$Y$6:$Y$1005,1))</f>
        <v>0</v>
      </c>
      <c r="AM382" s="96">
        <f>IF(Z382=0,0,COUNTIFS('RECEBIMENTOS'!$B$6:$B$1005,A382,'RECEBIMENTOS'!$Q$6:$Q$1005,1))</f>
        <v>0</v>
      </c>
      <c r="AN382" s="96">
        <f>IF(AND(Z382=1,N(W382)&gt;0,AG382=N(W382)),1,0)</f>
        <v>0</v>
      </c>
      <c r="AO382" s="96">
        <f>IF(AND(Z382=1,N(W382)&gt;0,AI382=N(W382)),1,0)</f>
        <v>0</v>
      </c>
      <c r="AP382" s="97">
        <f>IF(Z382=0,0,_xlfn.MAXIFS('RECEBIMENTOS'!$E$6:$E$1005,'RECEBIMENTOS'!$B$6:$B$1005,A382))</f>
        <v>0</v>
      </c>
      <c r="AQ382" s="97" t="str">
        <f>IF(T382="","",IF(T382="RECEBIMENTO NÃO CONFIRMADO",IF(ISNUMBER(F382),F382,IF(ISNUMBER(E382),E382,"")),IF(OR(T382="CDF NÃO LOCALIZADO",T382="VÍNCULO INCOMPLETO",T382="CDF A CONFERIR"),IF(AP382&gt;0,AP382,IF(ISNUMBER(E382),E382,"")),IF(ISNUMBER(E382),E382,""))))</f>
        <v/>
      </c>
      <c r="AR382" s="96">
        <f>IF(NOT(ISNUMBER(U382)),0,IF(T382="RECEBIMENTO NÃO CONFIRMADO",IF(AND(ISNUMBER(cfg_rec),U382&gt;cfg_rec),1,0),IF(OR(T382="CDF NÃO LOCALIZADO",T382="VÍNCULO INCOMPLETO",T382="CDF A CONFERIR"),IF(AND(ISNUMBER(cfg_cdf),U382&gt;cfg_cdf),1,0),0)))</f>
        <v>0</v>
      </c>
      <c r="AS382" s="96" t="str">
        <f>IF(T382="","",IF(AR382=1,"Alta",IFERROR(INDEX(cfg_pp,MATCH(T382,cfg_pt,0))&amp;"","Média")))</f>
        <v/>
      </c>
      <c r="AT382" s="96" t="str">
        <f>IF(T382="","",IFERROR(INDEX(cfg_pv,MATCH(T382,cfg_pt,0))&amp;"",""))</f>
        <v/>
      </c>
      <c r="AU382" s="96" t="str">
        <f>IF(T382="","",IF(AS382="Alta",1,IF(AS382="Média",2,3))*1000000000+(999999-IF(ISNUMBER(U382),MIN(U382,999999),0))*1000+377)</f>
        <v/>
      </c>
      <c r="AV382" s="96">
        <f>IF(T382&lt;&gt;"",1,0)</f>
        <v>0</v>
      </c>
      <c r="AW382" s="96" t="str">
        <f>IF(Z382=0,"",IF(AA382=1,"Cancelamento informado; ","")&amp;IF(AE382=1,"Campos essenciais ou itens faltando; ","")&amp;IF(AC382=1,"Possível duplicidade do número; ","")&amp;IF(AD382=1,"Cadastro ou datas a revisar; ","")&amp;IF(AF382&gt;0,"Item de resíduo com dado a revisar; ","")&amp;IF(AH382&gt;0,"Diferença de quantidade a analisar; ","")&amp;IF(AK382&gt;0,"Recebimento com alerta; ","")&amp;IF(AL382&gt;0,"Vínculo de CDF com alerta; ","")&amp;IF(AND(AA382=0,AN382=0),"Recebimento não confirmado; ","")&amp;IF(AND(AA382=0,AN382=1,AO382=0),"CDF pendente ou a conferir; ",""))</f>
        <v/>
      </c>
      <c r="AX382" s="96">
        <f>IF(Z382=0,0,IF(AND(OR(f_ini="",AND(ISNUMBER(E382),E382&gt;=f_ini)),OR(f_fim="",AND(ISNUMBER(E382),E382&lt;=f_fim)),OR(f_un="",f_un="(Todas)",G382=f_un),OR(f_tr="",f_tr="(Todos)",H382=f_tr),OR(f_de="",f_de="(Todos)",I382=f_de),OR(f_sit="",f_sit="(Todas)",S382=f_sit)),1,0))</f>
        <v>0</v>
      </c>
      <c r="AY382" s="96">
        <f>IF(AX382=0,0,IF(OR(f_res="",f_res="(Todos)"),1,IF(COUNTIFS('ITENS_MTR'!$S$6:$S$1005,A382,'ITENS_MTR'!$C$6:$C$1005,f_res)&gt;0,1,0)))</f>
        <v>0</v>
      </c>
      <c r="AZ382" s="97" t="str">
        <f>IF(ISNUMBER(E382),DATE(YEAR(E382),MONTH(E382),1),"")</f>
        <v/>
      </c>
      <c r="BA382" s="96">
        <f>IF(Z382=0,0,IF(AND(OR(r_ini="",AND(ISNUMBER(E382),E382&gt;=r_ini)),OR(r_fim="",AND(ISNUMBER(E382),E382&lt;=r_fim)),OR(r_un="",r_un="(Todas)",G382=r_un),OR(r_de="",r_de="(Todos)",I382=r_de)),1,0))</f>
        <v>0</v>
      </c>
      <c r="BB382" s="96" t="str">
        <f>IF(BA382=1,COUNTIF($BA$6:BA382,1),"")</f>
        <v/>
      </c>
      <c r="BC382" s="96" t="str">
        <f>IF(AND(AU382&lt;&gt;"",OR(r_un="",r_un="(Todas)",G382=r_un),OR(r_de="",r_de="(Todos)",I382=r_de)),AU382,"")</f>
        <v/>
      </c>
      <c r="BD382" s="96" t="str">
        <f>IF(Z382=1,A382&amp;" | nº "&amp;IF(B382="","(sem número)",B382)&amp;" | "&amp;IF(G382="","(sem unidade)",G382),"")</f>
        <v/>
      </c>
      <c r="BE382" s="96" t="str">
        <f>IF(Z382=1,COUNTIF($Z$6:Z382,1),"")</f>
        <v/>
      </c>
      <c r="BF382" s="96" t="str">
        <f>IF(T382="","",IF(T382="RECEBIMENTO NÃO CONFIRMADO","Transp.: "&amp;H382&amp;" | Dest.: "&amp;I382,IF(OR(T382="CDF NÃO LOCALIZADO",T382="VÍNCULO INCOMPLETO",T382="CDF A CONFERIR"),"Dest.: "&amp;I382,"Gerador: "&amp;G382)))</f>
        <v/>
      </c>
    </row>
    <row r="383">
      <c r="A383" s="89" t="inlineStr">
        <is>
          <t>MTR-000378</t>
        </is>
      </c>
      <c r="B383" s="90" t="n"/>
      <c r="C383" s="91" t="n"/>
      <c r="D383" s="91" t="n"/>
      <c r="E383" s="92" t="n"/>
      <c r="F383" s="92" t="n"/>
      <c r="G383" s="91" t="n"/>
      <c r="H383" s="91" t="n"/>
      <c r="I383" s="91" t="n"/>
      <c r="J383" s="91" t="n"/>
      <c r="K383" s="91" t="n"/>
      <c r="L383" s="92" t="n"/>
      <c r="M383" s="91" t="n"/>
      <c r="N383" s="91" t="n"/>
      <c r="O383" s="91" t="n"/>
      <c r="P383" s="93" t="str">
        <f>IF(Z383=0,"",SUMIFS('ITENS_MTR'!$I$6:$I$1005,'ITENS_MTR'!$S$6:$S$1005,A383,'ITENS_MTR'!$Y$6:$Y$1005,1))</f>
        <v/>
      </c>
      <c r="Q383" s="93" t="str">
        <f>IF(Z383=0,"",SUMIFS('RECEBIMENTOS'!$H$6:$H$1005,'RECEBIMENTOS'!$B$6:$B$1005,A383,'RECEBIMENTOS'!$X$6:$X$1005,1))</f>
        <v/>
      </c>
      <c r="R383" s="93" t="str">
        <f>IF(Z383=0,"",SUMIFS('VÍNCULOS_CDF'!$H$6:$H$1005,'VÍNCULOS_CDF'!$D$6:$D$1005,A383,'VÍNCULOS_CDF'!$V$6:$V$1005,1))</f>
        <v/>
      </c>
      <c r="S383" s="94" t="str">
        <f>IF(Z383=0,"",IF(AA383=1,"Cancelado (informado)",IF(AE383=1,"Cadastro incompleto",IF(OR(AC383=1,AD383=1,AF383&gt;0,AH383&gt;0,AK383&gt;0,AL383&gt;0),"Informação a revisar",IF(AN383=0,"Aguardando recebimento",IF(N(R383)=0,"Aguardando CDF",IF(AJ383&lt;N(W383),"Vínculo de CDF parcial",IF(AO383=0,"CDF localizado, a conferir","Documentação conferida"))))))))</f>
        <v/>
      </c>
      <c r="T383" s="94" t="str">
        <f>IF(Z383=0,"",IF(S383="Cadastro incompleto","MTR INCOMPLETO",IF(S383="Informação a revisar",IF(AND(AH383&gt;0,AC383=0,AD383=0,AF383=0,AK383=0,AL383=0),"QUANTIDADE A REVISAR","IDENTIFICAÇÃO A REVISAR"),IF(S383="Aguardando recebimento","RECEBIMENTO NÃO CONFIRMADO",IF(S383="Aguardando CDF","CDF NÃO LOCALIZADO",IF(S383="Vínculo de CDF parcial","VÍNCULO INCOMPLETO",IF(S383="CDF localizado, a conferir","CDF A CONFERIR","")))))))</f>
        <v/>
      </c>
      <c r="U383" s="95" t="str">
        <f>IF(T383="","",IF(AQ383="","Não calculável",IF(AQ383&gt;TODAY(),"Data futura",TODAY()-AQ383)))</f>
        <v/>
      </c>
      <c r="V383" s="93" t="str">
        <f>IF(Z383=0,"",SUMIFS('RECEBIMENTOS'!$H$6:$H$1005,'RECEBIMENTOS'!$B$6:$B$1005,A383,'RECEBIMENTOS'!$Z$6:$Z$1005,1))</f>
        <v/>
      </c>
      <c r="W383" s="95" t="str">
        <f>IF(Z383=0,"",COUNTIFS('ITENS_MTR'!$S$6:$S$1005,A383,'ITENS_MTR'!$R$6:$R$1005,1))</f>
        <v/>
      </c>
      <c r="X383" s="94" t="str">
        <f>IF(AC383=1,"POSSÍVEL DUPLICIDADE","")</f>
        <v/>
      </c>
      <c r="Y383" s="94" t="str">
        <f>IF(Z383=0,"",IF(AW383="","Nenhuma",LEFT(AW383,LEN(AW383)-2)))</f>
        <v/>
      </c>
      <c r="Z383" s="96">
        <f>IF(COUNTA(B383:O383)&gt;0,1,0)</f>
        <v>0</v>
      </c>
      <c r="AA383" s="96">
        <f>IF(AND(Z383=1,K383&lt;&gt;""),IF(TRIM(K383)=TRIM(cfg_cancel),1,0),0)</f>
        <v>0</v>
      </c>
      <c r="AB383" s="96" t="str">
        <f>IF(AND(Z383=1,B383&lt;&gt;""),C383&amp;"|"&amp;D383&amp;"|"&amp;G383&amp;"|"&amp;TRIM(B383),"")</f>
        <v/>
      </c>
      <c r="AC383" s="96">
        <f>IF(AB383="",0,IF(SUMPRODUCT(--($AB$6:$AB$505=AB383))&gt;1,1,0))</f>
        <v>0</v>
      </c>
      <c r="AD383" s="96">
        <f>IF(Z383=0,0,IF(OR(AND(G383&lt;&gt;"",ISNA(MATCH(G383,'CAD_UNIDADES'!$C$6:$C$105,0))),AND(H383&lt;&gt;"",ISNA(MATCH(H383,cmp_transp,0))),AND(I383&lt;&gt;"",ISNA(MATCH(I383,cmp_dest,0))),AND(E383&lt;&gt;"",NOT(ISNUMBER(E383))),AND(F383&lt;&gt;"",NOT(ISNUMBER(F383))),AND(ISNUMBER(E383),ISNUMBER(F383),F383&lt;E383)),1,0))</f>
        <v>0</v>
      </c>
      <c r="AE383" s="96">
        <f>IF(Z383=0,0,IF(OR(B383="",C383="",E383="",G383="",H383="",I383="",N(W383)=0),1,0))</f>
        <v>0</v>
      </c>
      <c r="AF383" s="96">
        <f>IF(Z383=0,0,COUNTIFS('ITENS_MTR'!$S$6:$S$1005,A383,'ITENS_MTR'!$AI$6:$AI$1005,1))</f>
        <v>0</v>
      </c>
      <c r="AG383" s="96">
        <f>IF(Z383=0,0,COUNTIFS('ITENS_MTR'!$S$6:$S$1005,A383,'ITENS_MTR'!$AJ$6:$AJ$1005,1))</f>
        <v>0</v>
      </c>
      <c r="AH383" s="96">
        <f>IF(Z383=0,0,COUNTIFS('ITENS_MTR'!$S$6:$S$1005,A383,'ITENS_MTR'!$AM$6:$AM$1005,1))</f>
        <v>0</v>
      </c>
      <c r="AI383" s="96">
        <f>IF(Z383=0,0,COUNTIFS('ITENS_MTR'!$S$6:$S$1005,A383,'ITENS_MTR'!$AO$6:$AO$1005,1))</f>
        <v>0</v>
      </c>
      <c r="AJ383" s="96">
        <f>IF(Z383=0,0,COUNTIFS('ITENS_MTR'!$S$6:$S$1005,A383,'ITENS_MTR'!$AN$6:$AN$1005,1))</f>
        <v>0</v>
      </c>
      <c r="AK383" s="96">
        <f>IF(Z383=0,0,COUNTIFS('RECEBIMENTOS'!$B$6:$B$1005,A383,'RECEBIMENTOS'!$Y$6:$Y$1005,1))</f>
        <v>0</v>
      </c>
      <c r="AL383" s="96">
        <f>IF(Z383=0,0,COUNTIFS('VÍNCULOS_CDF'!$D$6:$D$1005,A383,'VÍNCULOS_CDF'!$Y$6:$Y$1005,1))</f>
        <v>0</v>
      </c>
      <c r="AM383" s="96">
        <f>IF(Z383=0,0,COUNTIFS('RECEBIMENTOS'!$B$6:$B$1005,A383,'RECEBIMENTOS'!$Q$6:$Q$1005,1))</f>
        <v>0</v>
      </c>
      <c r="AN383" s="96">
        <f>IF(AND(Z383=1,N(W383)&gt;0,AG383=N(W383)),1,0)</f>
        <v>0</v>
      </c>
      <c r="AO383" s="96">
        <f>IF(AND(Z383=1,N(W383)&gt;0,AI383=N(W383)),1,0)</f>
        <v>0</v>
      </c>
      <c r="AP383" s="97">
        <f>IF(Z383=0,0,_xlfn.MAXIFS('RECEBIMENTOS'!$E$6:$E$1005,'RECEBIMENTOS'!$B$6:$B$1005,A383))</f>
        <v>0</v>
      </c>
      <c r="AQ383" s="97" t="str">
        <f>IF(T383="","",IF(T383="RECEBIMENTO NÃO CONFIRMADO",IF(ISNUMBER(F383),F383,IF(ISNUMBER(E383),E383,"")),IF(OR(T383="CDF NÃO LOCALIZADO",T383="VÍNCULO INCOMPLETO",T383="CDF A CONFERIR"),IF(AP383&gt;0,AP383,IF(ISNUMBER(E383),E383,"")),IF(ISNUMBER(E383),E383,""))))</f>
        <v/>
      </c>
      <c r="AR383" s="96">
        <f>IF(NOT(ISNUMBER(U383)),0,IF(T383="RECEBIMENTO NÃO CONFIRMADO",IF(AND(ISNUMBER(cfg_rec),U383&gt;cfg_rec),1,0),IF(OR(T383="CDF NÃO LOCALIZADO",T383="VÍNCULO INCOMPLETO",T383="CDF A CONFERIR"),IF(AND(ISNUMBER(cfg_cdf),U383&gt;cfg_cdf),1,0),0)))</f>
        <v>0</v>
      </c>
      <c r="AS383" s="96" t="str">
        <f>IF(T383="","",IF(AR383=1,"Alta",IFERROR(INDEX(cfg_pp,MATCH(T383,cfg_pt,0))&amp;"","Média")))</f>
        <v/>
      </c>
      <c r="AT383" s="96" t="str">
        <f>IF(T383="","",IFERROR(INDEX(cfg_pv,MATCH(T383,cfg_pt,0))&amp;"",""))</f>
        <v/>
      </c>
      <c r="AU383" s="96" t="str">
        <f>IF(T383="","",IF(AS383="Alta",1,IF(AS383="Média",2,3))*1000000000+(999999-IF(ISNUMBER(U383),MIN(U383,999999),0))*1000+378)</f>
        <v/>
      </c>
      <c r="AV383" s="96">
        <f>IF(T383&lt;&gt;"",1,0)</f>
        <v>0</v>
      </c>
      <c r="AW383" s="96" t="str">
        <f>IF(Z383=0,"",IF(AA383=1,"Cancelamento informado; ","")&amp;IF(AE383=1,"Campos essenciais ou itens faltando; ","")&amp;IF(AC383=1,"Possível duplicidade do número; ","")&amp;IF(AD383=1,"Cadastro ou datas a revisar; ","")&amp;IF(AF383&gt;0,"Item de resíduo com dado a revisar; ","")&amp;IF(AH383&gt;0,"Diferença de quantidade a analisar; ","")&amp;IF(AK383&gt;0,"Recebimento com alerta; ","")&amp;IF(AL383&gt;0,"Vínculo de CDF com alerta; ","")&amp;IF(AND(AA383=0,AN383=0),"Recebimento não confirmado; ","")&amp;IF(AND(AA383=0,AN383=1,AO383=0),"CDF pendente ou a conferir; ",""))</f>
        <v/>
      </c>
      <c r="AX383" s="96">
        <f>IF(Z383=0,0,IF(AND(OR(f_ini="",AND(ISNUMBER(E383),E383&gt;=f_ini)),OR(f_fim="",AND(ISNUMBER(E383),E383&lt;=f_fim)),OR(f_un="",f_un="(Todas)",G383=f_un),OR(f_tr="",f_tr="(Todos)",H383=f_tr),OR(f_de="",f_de="(Todos)",I383=f_de),OR(f_sit="",f_sit="(Todas)",S383=f_sit)),1,0))</f>
        <v>0</v>
      </c>
      <c r="AY383" s="96">
        <f>IF(AX383=0,0,IF(OR(f_res="",f_res="(Todos)"),1,IF(COUNTIFS('ITENS_MTR'!$S$6:$S$1005,A383,'ITENS_MTR'!$C$6:$C$1005,f_res)&gt;0,1,0)))</f>
        <v>0</v>
      </c>
      <c r="AZ383" s="97" t="str">
        <f>IF(ISNUMBER(E383),DATE(YEAR(E383),MONTH(E383),1),"")</f>
        <v/>
      </c>
      <c r="BA383" s="96">
        <f>IF(Z383=0,0,IF(AND(OR(r_ini="",AND(ISNUMBER(E383),E383&gt;=r_ini)),OR(r_fim="",AND(ISNUMBER(E383),E383&lt;=r_fim)),OR(r_un="",r_un="(Todas)",G383=r_un),OR(r_de="",r_de="(Todos)",I383=r_de)),1,0))</f>
        <v>0</v>
      </c>
      <c r="BB383" s="96" t="str">
        <f>IF(BA383=1,COUNTIF($BA$6:BA383,1),"")</f>
        <v/>
      </c>
      <c r="BC383" s="96" t="str">
        <f>IF(AND(AU383&lt;&gt;"",OR(r_un="",r_un="(Todas)",G383=r_un),OR(r_de="",r_de="(Todos)",I383=r_de)),AU383,"")</f>
        <v/>
      </c>
      <c r="BD383" s="96" t="str">
        <f>IF(Z383=1,A383&amp;" | nº "&amp;IF(B383="","(sem número)",B383)&amp;" | "&amp;IF(G383="","(sem unidade)",G383),"")</f>
        <v/>
      </c>
      <c r="BE383" s="96" t="str">
        <f>IF(Z383=1,COUNTIF($Z$6:Z383,1),"")</f>
        <v/>
      </c>
      <c r="BF383" s="96" t="str">
        <f>IF(T383="","",IF(T383="RECEBIMENTO NÃO CONFIRMADO","Transp.: "&amp;H383&amp;" | Dest.: "&amp;I383,IF(OR(T383="CDF NÃO LOCALIZADO",T383="VÍNCULO INCOMPLETO",T383="CDF A CONFERIR"),"Dest.: "&amp;I383,"Gerador: "&amp;G383)))</f>
        <v/>
      </c>
    </row>
    <row r="384">
      <c r="A384" s="89" t="inlineStr">
        <is>
          <t>MTR-000379</t>
        </is>
      </c>
      <c r="B384" s="90" t="n"/>
      <c r="C384" s="91" t="n"/>
      <c r="D384" s="91" t="n"/>
      <c r="E384" s="92" t="n"/>
      <c r="F384" s="92" t="n"/>
      <c r="G384" s="91" t="n"/>
      <c r="H384" s="91" t="n"/>
      <c r="I384" s="91" t="n"/>
      <c r="J384" s="91" t="n"/>
      <c r="K384" s="91" t="n"/>
      <c r="L384" s="92" t="n"/>
      <c r="M384" s="91" t="n"/>
      <c r="N384" s="91" t="n"/>
      <c r="O384" s="91" t="n"/>
      <c r="P384" s="93" t="str">
        <f>IF(Z384=0,"",SUMIFS('ITENS_MTR'!$I$6:$I$1005,'ITENS_MTR'!$S$6:$S$1005,A384,'ITENS_MTR'!$Y$6:$Y$1005,1))</f>
        <v/>
      </c>
      <c r="Q384" s="93" t="str">
        <f>IF(Z384=0,"",SUMIFS('RECEBIMENTOS'!$H$6:$H$1005,'RECEBIMENTOS'!$B$6:$B$1005,A384,'RECEBIMENTOS'!$X$6:$X$1005,1))</f>
        <v/>
      </c>
      <c r="R384" s="93" t="str">
        <f>IF(Z384=0,"",SUMIFS('VÍNCULOS_CDF'!$H$6:$H$1005,'VÍNCULOS_CDF'!$D$6:$D$1005,A384,'VÍNCULOS_CDF'!$V$6:$V$1005,1))</f>
        <v/>
      </c>
      <c r="S384" s="94" t="str">
        <f>IF(Z384=0,"",IF(AA384=1,"Cancelado (informado)",IF(AE384=1,"Cadastro incompleto",IF(OR(AC384=1,AD384=1,AF384&gt;0,AH384&gt;0,AK384&gt;0,AL384&gt;0),"Informação a revisar",IF(AN384=0,"Aguardando recebimento",IF(N(R384)=0,"Aguardando CDF",IF(AJ384&lt;N(W384),"Vínculo de CDF parcial",IF(AO384=0,"CDF localizado, a conferir","Documentação conferida"))))))))</f>
        <v/>
      </c>
      <c r="T384" s="94" t="str">
        <f>IF(Z384=0,"",IF(S384="Cadastro incompleto","MTR INCOMPLETO",IF(S384="Informação a revisar",IF(AND(AH384&gt;0,AC384=0,AD384=0,AF384=0,AK384=0,AL384=0),"QUANTIDADE A REVISAR","IDENTIFICAÇÃO A REVISAR"),IF(S384="Aguardando recebimento","RECEBIMENTO NÃO CONFIRMADO",IF(S384="Aguardando CDF","CDF NÃO LOCALIZADO",IF(S384="Vínculo de CDF parcial","VÍNCULO INCOMPLETO",IF(S384="CDF localizado, a conferir","CDF A CONFERIR","")))))))</f>
        <v/>
      </c>
      <c r="U384" s="95" t="str">
        <f>IF(T384="","",IF(AQ384="","Não calculável",IF(AQ384&gt;TODAY(),"Data futura",TODAY()-AQ384)))</f>
        <v/>
      </c>
      <c r="V384" s="93" t="str">
        <f>IF(Z384=0,"",SUMIFS('RECEBIMENTOS'!$H$6:$H$1005,'RECEBIMENTOS'!$B$6:$B$1005,A384,'RECEBIMENTOS'!$Z$6:$Z$1005,1))</f>
        <v/>
      </c>
      <c r="W384" s="95" t="str">
        <f>IF(Z384=0,"",COUNTIFS('ITENS_MTR'!$S$6:$S$1005,A384,'ITENS_MTR'!$R$6:$R$1005,1))</f>
        <v/>
      </c>
      <c r="X384" s="94" t="str">
        <f>IF(AC384=1,"POSSÍVEL DUPLICIDADE","")</f>
        <v/>
      </c>
      <c r="Y384" s="94" t="str">
        <f>IF(Z384=0,"",IF(AW384="","Nenhuma",LEFT(AW384,LEN(AW384)-2)))</f>
        <v/>
      </c>
      <c r="Z384" s="96">
        <f>IF(COUNTA(B384:O384)&gt;0,1,0)</f>
        <v>0</v>
      </c>
      <c r="AA384" s="96">
        <f>IF(AND(Z384=1,K384&lt;&gt;""),IF(TRIM(K384)=TRIM(cfg_cancel),1,0),0)</f>
        <v>0</v>
      </c>
      <c r="AB384" s="96" t="str">
        <f>IF(AND(Z384=1,B384&lt;&gt;""),C384&amp;"|"&amp;D384&amp;"|"&amp;G384&amp;"|"&amp;TRIM(B384),"")</f>
        <v/>
      </c>
      <c r="AC384" s="96">
        <f>IF(AB384="",0,IF(SUMPRODUCT(--($AB$6:$AB$505=AB384))&gt;1,1,0))</f>
        <v>0</v>
      </c>
      <c r="AD384" s="96">
        <f>IF(Z384=0,0,IF(OR(AND(G384&lt;&gt;"",ISNA(MATCH(G384,'CAD_UNIDADES'!$C$6:$C$105,0))),AND(H384&lt;&gt;"",ISNA(MATCH(H384,cmp_transp,0))),AND(I384&lt;&gt;"",ISNA(MATCH(I384,cmp_dest,0))),AND(E384&lt;&gt;"",NOT(ISNUMBER(E384))),AND(F384&lt;&gt;"",NOT(ISNUMBER(F384))),AND(ISNUMBER(E384),ISNUMBER(F384),F384&lt;E384)),1,0))</f>
        <v>0</v>
      </c>
      <c r="AE384" s="96">
        <f>IF(Z384=0,0,IF(OR(B384="",C384="",E384="",G384="",H384="",I384="",N(W384)=0),1,0))</f>
        <v>0</v>
      </c>
      <c r="AF384" s="96">
        <f>IF(Z384=0,0,COUNTIFS('ITENS_MTR'!$S$6:$S$1005,A384,'ITENS_MTR'!$AI$6:$AI$1005,1))</f>
        <v>0</v>
      </c>
      <c r="AG384" s="96">
        <f>IF(Z384=0,0,COUNTIFS('ITENS_MTR'!$S$6:$S$1005,A384,'ITENS_MTR'!$AJ$6:$AJ$1005,1))</f>
        <v>0</v>
      </c>
      <c r="AH384" s="96">
        <f>IF(Z384=0,0,COUNTIFS('ITENS_MTR'!$S$6:$S$1005,A384,'ITENS_MTR'!$AM$6:$AM$1005,1))</f>
        <v>0</v>
      </c>
      <c r="AI384" s="96">
        <f>IF(Z384=0,0,COUNTIFS('ITENS_MTR'!$S$6:$S$1005,A384,'ITENS_MTR'!$AO$6:$AO$1005,1))</f>
        <v>0</v>
      </c>
      <c r="AJ384" s="96">
        <f>IF(Z384=0,0,COUNTIFS('ITENS_MTR'!$S$6:$S$1005,A384,'ITENS_MTR'!$AN$6:$AN$1005,1))</f>
        <v>0</v>
      </c>
      <c r="AK384" s="96">
        <f>IF(Z384=0,0,COUNTIFS('RECEBIMENTOS'!$B$6:$B$1005,A384,'RECEBIMENTOS'!$Y$6:$Y$1005,1))</f>
        <v>0</v>
      </c>
      <c r="AL384" s="96">
        <f>IF(Z384=0,0,COUNTIFS('VÍNCULOS_CDF'!$D$6:$D$1005,A384,'VÍNCULOS_CDF'!$Y$6:$Y$1005,1))</f>
        <v>0</v>
      </c>
      <c r="AM384" s="96">
        <f>IF(Z384=0,0,COUNTIFS('RECEBIMENTOS'!$B$6:$B$1005,A384,'RECEBIMENTOS'!$Q$6:$Q$1005,1))</f>
        <v>0</v>
      </c>
      <c r="AN384" s="96">
        <f>IF(AND(Z384=1,N(W384)&gt;0,AG384=N(W384)),1,0)</f>
        <v>0</v>
      </c>
      <c r="AO384" s="96">
        <f>IF(AND(Z384=1,N(W384)&gt;0,AI384=N(W384)),1,0)</f>
        <v>0</v>
      </c>
      <c r="AP384" s="97">
        <f>IF(Z384=0,0,_xlfn.MAXIFS('RECEBIMENTOS'!$E$6:$E$1005,'RECEBIMENTOS'!$B$6:$B$1005,A384))</f>
        <v>0</v>
      </c>
      <c r="AQ384" s="97" t="str">
        <f>IF(T384="","",IF(T384="RECEBIMENTO NÃO CONFIRMADO",IF(ISNUMBER(F384),F384,IF(ISNUMBER(E384),E384,"")),IF(OR(T384="CDF NÃO LOCALIZADO",T384="VÍNCULO INCOMPLETO",T384="CDF A CONFERIR"),IF(AP384&gt;0,AP384,IF(ISNUMBER(E384),E384,"")),IF(ISNUMBER(E384),E384,""))))</f>
        <v/>
      </c>
      <c r="AR384" s="96">
        <f>IF(NOT(ISNUMBER(U384)),0,IF(T384="RECEBIMENTO NÃO CONFIRMADO",IF(AND(ISNUMBER(cfg_rec),U384&gt;cfg_rec),1,0),IF(OR(T384="CDF NÃO LOCALIZADO",T384="VÍNCULO INCOMPLETO",T384="CDF A CONFERIR"),IF(AND(ISNUMBER(cfg_cdf),U384&gt;cfg_cdf),1,0),0)))</f>
        <v>0</v>
      </c>
      <c r="AS384" s="96" t="str">
        <f>IF(T384="","",IF(AR384=1,"Alta",IFERROR(INDEX(cfg_pp,MATCH(T384,cfg_pt,0))&amp;"","Média")))</f>
        <v/>
      </c>
      <c r="AT384" s="96" t="str">
        <f>IF(T384="","",IFERROR(INDEX(cfg_pv,MATCH(T384,cfg_pt,0))&amp;"",""))</f>
        <v/>
      </c>
      <c r="AU384" s="96" t="str">
        <f>IF(T384="","",IF(AS384="Alta",1,IF(AS384="Média",2,3))*1000000000+(999999-IF(ISNUMBER(U384),MIN(U384,999999),0))*1000+379)</f>
        <v/>
      </c>
      <c r="AV384" s="96">
        <f>IF(T384&lt;&gt;"",1,0)</f>
        <v>0</v>
      </c>
      <c r="AW384" s="96" t="str">
        <f>IF(Z384=0,"",IF(AA384=1,"Cancelamento informado; ","")&amp;IF(AE384=1,"Campos essenciais ou itens faltando; ","")&amp;IF(AC384=1,"Possível duplicidade do número; ","")&amp;IF(AD384=1,"Cadastro ou datas a revisar; ","")&amp;IF(AF384&gt;0,"Item de resíduo com dado a revisar; ","")&amp;IF(AH384&gt;0,"Diferença de quantidade a analisar; ","")&amp;IF(AK384&gt;0,"Recebimento com alerta; ","")&amp;IF(AL384&gt;0,"Vínculo de CDF com alerta; ","")&amp;IF(AND(AA384=0,AN384=0),"Recebimento não confirmado; ","")&amp;IF(AND(AA384=0,AN384=1,AO384=0),"CDF pendente ou a conferir; ",""))</f>
        <v/>
      </c>
      <c r="AX384" s="96">
        <f>IF(Z384=0,0,IF(AND(OR(f_ini="",AND(ISNUMBER(E384),E384&gt;=f_ini)),OR(f_fim="",AND(ISNUMBER(E384),E384&lt;=f_fim)),OR(f_un="",f_un="(Todas)",G384=f_un),OR(f_tr="",f_tr="(Todos)",H384=f_tr),OR(f_de="",f_de="(Todos)",I384=f_de),OR(f_sit="",f_sit="(Todas)",S384=f_sit)),1,0))</f>
        <v>0</v>
      </c>
      <c r="AY384" s="96">
        <f>IF(AX384=0,0,IF(OR(f_res="",f_res="(Todos)"),1,IF(COUNTIFS('ITENS_MTR'!$S$6:$S$1005,A384,'ITENS_MTR'!$C$6:$C$1005,f_res)&gt;0,1,0)))</f>
        <v>0</v>
      </c>
      <c r="AZ384" s="97" t="str">
        <f>IF(ISNUMBER(E384),DATE(YEAR(E384),MONTH(E384),1),"")</f>
        <v/>
      </c>
      <c r="BA384" s="96">
        <f>IF(Z384=0,0,IF(AND(OR(r_ini="",AND(ISNUMBER(E384),E384&gt;=r_ini)),OR(r_fim="",AND(ISNUMBER(E384),E384&lt;=r_fim)),OR(r_un="",r_un="(Todas)",G384=r_un),OR(r_de="",r_de="(Todos)",I384=r_de)),1,0))</f>
        <v>0</v>
      </c>
      <c r="BB384" s="96" t="str">
        <f>IF(BA384=1,COUNTIF($BA$6:BA384,1),"")</f>
        <v/>
      </c>
      <c r="BC384" s="96" t="str">
        <f>IF(AND(AU384&lt;&gt;"",OR(r_un="",r_un="(Todas)",G384=r_un),OR(r_de="",r_de="(Todos)",I384=r_de)),AU384,"")</f>
        <v/>
      </c>
      <c r="BD384" s="96" t="str">
        <f>IF(Z384=1,A384&amp;" | nº "&amp;IF(B384="","(sem número)",B384)&amp;" | "&amp;IF(G384="","(sem unidade)",G384),"")</f>
        <v/>
      </c>
      <c r="BE384" s="96" t="str">
        <f>IF(Z384=1,COUNTIF($Z$6:Z384,1),"")</f>
        <v/>
      </c>
      <c r="BF384" s="96" t="str">
        <f>IF(T384="","",IF(T384="RECEBIMENTO NÃO CONFIRMADO","Transp.: "&amp;H384&amp;" | Dest.: "&amp;I384,IF(OR(T384="CDF NÃO LOCALIZADO",T384="VÍNCULO INCOMPLETO",T384="CDF A CONFERIR"),"Dest.: "&amp;I384,"Gerador: "&amp;G384)))</f>
        <v/>
      </c>
    </row>
    <row r="385">
      <c r="A385" s="89" t="inlineStr">
        <is>
          <t>MTR-000380</t>
        </is>
      </c>
      <c r="B385" s="90" t="n"/>
      <c r="C385" s="91" t="n"/>
      <c r="D385" s="91" t="n"/>
      <c r="E385" s="92" t="n"/>
      <c r="F385" s="92" t="n"/>
      <c r="G385" s="91" t="n"/>
      <c r="H385" s="91" t="n"/>
      <c r="I385" s="91" t="n"/>
      <c r="J385" s="91" t="n"/>
      <c r="K385" s="91" t="n"/>
      <c r="L385" s="92" t="n"/>
      <c r="M385" s="91" t="n"/>
      <c r="N385" s="91" t="n"/>
      <c r="O385" s="91" t="n"/>
      <c r="P385" s="93" t="str">
        <f>IF(Z385=0,"",SUMIFS('ITENS_MTR'!$I$6:$I$1005,'ITENS_MTR'!$S$6:$S$1005,A385,'ITENS_MTR'!$Y$6:$Y$1005,1))</f>
        <v/>
      </c>
      <c r="Q385" s="93" t="str">
        <f>IF(Z385=0,"",SUMIFS('RECEBIMENTOS'!$H$6:$H$1005,'RECEBIMENTOS'!$B$6:$B$1005,A385,'RECEBIMENTOS'!$X$6:$X$1005,1))</f>
        <v/>
      </c>
      <c r="R385" s="93" t="str">
        <f>IF(Z385=0,"",SUMIFS('VÍNCULOS_CDF'!$H$6:$H$1005,'VÍNCULOS_CDF'!$D$6:$D$1005,A385,'VÍNCULOS_CDF'!$V$6:$V$1005,1))</f>
        <v/>
      </c>
      <c r="S385" s="94" t="str">
        <f>IF(Z385=0,"",IF(AA385=1,"Cancelado (informado)",IF(AE385=1,"Cadastro incompleto",IF(OR(AC385=1,AD385=1,AF385&gt;0,AH385&gt;0,AK385&gt;0,AL385&gt;0),"Informação a revisar",IF(AN385=0,"Aguardando recebimento",IF(N(R385)=0,"Aguardando CDF",IF(AJ385&lt;N(W385),"Vínculo de CDF parcial",IF(AO385=0,"CDF localizado, a conferir","Documentação conferida"))))))))</f>
        <v/>
      </c>
      <c r="T385" s="94" t="str">
        <f>IF(Z385=0,"",IF(S385="Cadastro incompleto","MTR INCOMPLETO",IF(S385="Informação a revisar",IF(AND(AH385&gt;0,AC385=0,AD385=0,AF385=0,AK385=0,AL385=0),"QUANTIDADE A REVISAR","IDENTIFICAÇÃO A REVISAR"),IF(S385="Aguardando recebimento","RECEBIMENTO NÃO CONFIRMADO",IF(S385="Aguardando CDF","CDF NÃO LOCALIZADO",IF(S385="Vínculo de CDF parcial","VÍNCULO INCOMPLETO",IF(S385="CDF localizado, a conferir","CDF A CONFERIR","")))))))</f>
        <v/>
      </c>
      <c r="U385" s="95" t="str">
        <f>IF(T385="","",IF(AQ385="","Não calculável",IF(AQ385&gt;TODAY(),"Data futura",TODAY()-AQ385)))</f>
        <v/>
      </c>
      <c r="V385" s="93" t="str">
        <f>IF(Z385=0,"",SUMIFS('RECEBIMENTOS'!$H$6:$H$1005,'RECEBIMENTOS'!$B$6:$B$1005,A385,'RECEBIMENTOS'!$Z$6:$Z$1005,1))</f>
        <v/>
      </c>
      <c r="W385" s="95" t="str">
        <f>IF(Z385=0,"",COUNTIFS('ITENS_MTR'!$S$6:$S$1005,A385,'ITENS_MTR'!$R$6:$R$1005,1))</f>
        <v/>
      </c>
      <c r="X385" s="94" t="str">
        <f>IF(AC385=1,"POSSÍVEL DUPLICIDADE","")</f>
        <v/>
      </c>
      <c r="Y385" s="94" t="str">
        <f>IF(Z385=0,"",IF(AW385="","Nenhuma",LEFT(AW385,LEN(AW385)-2)))</f>
        <v/>
      </c>
      <c r="Z385" s="96">
        <f>IF(COUNTA(B385:O385)&gt;0,1,0)</f>
        <v>0</v>
      </c>
      <c r="AA385" s="96">
        <f>IF(AND(Z385=1,K385&lt;&gt;""),IF(TRIM(K385)=TRIM(cfg_cancel),1,0),0)</f>
        <v>0</v>
      </c>
      <c r="AB385" s="96" t="str">
        <f>IF(AND(Z385=1,B385&lt;&gt;""),C385&amp;"|"&amp;D385&amp;"|"&amp;G385&amp;"|"&amp;TRIM(B385),"")</f>
        <v/>
      </c>
      <c r="AC385" s="96">
        <f>IF(AB385="",0,IF(SUMPRODUCT(--($AB$6:$AB$505=AB385))&gt;1,1,0))</f>
        <v>0</v>
      </c>
      <c r="AD385" s="96">
        <f>IF(Z385=0,0,IF(OR(AND(G385&lt;&gt;"",ISNA(MATCH(G385,'CAD_UNIDADES'!$C$6:$C$105,0))),AND(H385&lt;&gt;"",ISNA(MATCH(H385,cmp_transp,0))),AND(I385&lt;&gt;"",ISNA(MATCH(I385,cmp_dest,0))),AND(E385&lt;&gt;"",NOT(ISNUMBER(E385))),AND(F385&lt;&gt;"",NOT(ISNUMBER(F385))),AND(ISNUMBER(E385),ISNUMBER(F385),F385&lt;E385)),1,0))</f>
        <v>0</v>
      </c>
      <c r="AE385" s="96">
        <f>IF(Z385=0,0,IF(OR(B385="",C385="",E385="",G385="",H385="",I385="",N(W385)=0),1,0))</f>
        <v>0</v>
      </c>
      <c r="AF385" s="96">
        <f>IF(Z385=0,0,COUNTIFS('ITENS_MTR'!$S$6:$S$1005,A385,'ITENS_MTR'!$AI$6:$AI$1005,1))</f>
        <v>0</v>
      </c>
      <c r="AG385" s="96">
        <f>IF(Z385=0,0,COUNTIFS('ITENS_MTR'!$S$6:$S$1005,A385,'ITENS_MTR'!$AJ$6:$AJ$1005,1))</f>
        <v>0</v>
      </c>
      <c r="AH385" s="96">
        <f>IF(Z385=0,0,COUNTIFS('ITENS_MTR'!$S$6:$S$1005,A385,'ITENS_MTR'!$AM$6:$AM$1005,1))</f>
        <v>0</v>
      </c>
      <c r="AI385" s="96">
        <f>IF(Z385=0,0,COUNTIFS('ITENS_MTR'!$S$6:$S$1005,A385,'ITENS_MTR'!$AO$6:$AO$1005,1))</f>
        <v>0</v>
      </c>
      <c r="AJ385" s="96">
        <f>IF(Z385=0,0,COUNTIFS('ITENS_MTR'!$S$6:$S$1005,A385,'ITENS_MTR'!$AN$6:$AN$1005,1))</f>
        <v>0</v>
      </c>
      <c r="AK385" s="96">
        <f>IF(Z385=0,0,COUNTIFS('RECEBIMENTOS'!$B$6:$B$1005,A385,'RECEBIMENTOS'!$Y$6:$Y$1005,1))</f>
        <v>0</v>
      </c>
      <c r="AL385" s="96">
        <f>IF(Z385=0,0,COUNTIFS('VÍNCULOS_CDF'!$D$6:$D$1005,A385,'VÍNCULOS_CDF'!$Y$6:$Y$1005,1))</f>
        <v>0</v>
      </c>
      <c r="AM385" s="96">
        <f>IF(Z385=0,0,COUNTIFS('RECEBIMENTOS'!$B$6:$B$1005,A385,'RECEBIMENTOS'!$Q$6:$Q$1005,1))</f>
        <v>0</v>
      </c>
      <c r="AN385" s="96">
        <f>IF(AND(Z385=1,N(W385)&gt;0,AG385=N(W385)),1,0)</f>
        <v>0</v>
      </c>
      <c r="AO385" s="96">
        <f>IF(AND(Z385=1,N(W385)&gt;0,AI385=N(W385)),1,0)</f>
        <v>0</v>
      </c>
      <c r="AP385" s="97">
        <f>IF(Z385=0,0,_xlfn.MAXIFS('RECEBIMENTOS'!$E$6:$E$1005,'RECEBIMENTOS'!$B$6:$B$1005,A385))</f>
        <v>0</v>
      </c>
      <c r="AQ385" s="97" t="str">
        <f>IF(T385="","",IF(T385="RECEBIMENTO NÃO CONFIRMADO",IF(ISNUMBER(F385),F385,IF(ISNUMBER(E385),E385,"")),IF(OR(T385="CDF NÃO LOCALIZADO",T385="VÍNCULO INCOMPLETO",T385="CDF A CONFERIR"),IF(AP385&gt;0,AP385,IF(ISNUMBER(E385),E385,"")),IF(ISNUMBER(E385),E385,""))))</f>
        <v/>
      </c>
      <c r="AR385" s="96">
        <f>IF(NOT(ISNUMBER(U385)),0,IF(T385="RECEBIMENTO NÃO CONFIRMADO",IF(AND(ISNUMBER(cfg_rec),U385&gt;cfg_rec),1,0),IF(OR(T385="CDF NÃO LOCALIZADO",T385="VÍNCULO INCOMPLETO",T385="CDF A CONFERIR"),IF(AND(ISNUMBER(cfg_cdf),U385&gt;cfg_cdf),1,0),0)))</f>
        <v>0</v>
      </c>
      <c r="AS385" s="96" t="str">
        <f>IF(T385="","",IF(AR385=1,"Alta",IFERROR(INDEX(cfg_pp,MATCH(T385,cfg_pt,0))&amp;"","Média")))</f>
        <v/>
      </c>
      <c r="AT385" s="96" t="str">
        <f>IF(T385="","",IFERROR(INDEX(cfg_pv,MATCH(T385,cfg_pt,0))&amp;"",""))</f>
        <v/>
      </c>
      <c r="AU385" s="96" t="str">
        <f>IF(T385="","",IF(AS385="Alta",1,IF(AS385="Média",2,3))*1000000000+(999999-IF(ISNUMBER(U385),MIN(U385,999999),0))*1000+380)</f>
        <v/>
      </c>
      <c r="AV385" s="96">
        <f>IF(T385&lt;&gt;"",1,0)</f>
        <v>0</v>
      </c>
      <c r="AW385" s="96" t="str">
        <f>IF(Z385=0,"",IF(AA385=1,"Cancelamento informado; ","")&amp;IF(AE385=1,"Campos essenciais ou itens faltando; ","")&amp;IF(AC385=1,"Possível duplicidade do número; ","")&amp;IF(AD385=1,"Cadastro ou datas a revisar; ","")&amp;IF(AF385&gt;0,"Item de resíduo com dado a revisar; ","")&amp;IF(AH385&gt;0,"Diferença de quantidade a analisar; ","")&amp;IF(AK385&gt;0,"Recebimento com alerta; ","")&amp;IF(AL385&gt;0,"Vínculo de CDF com alerta; ","")&amp;IF(AND(AA385=0,AN385=0),"Recebimento não confirmado; ","")&amp;IF(AND(AA385=0,AN385=1,AO385=0),"CDF pendente ou a conferir; ",""))</f>
        <v/>
      </c>
      <c r="AX385" s="96">
        <f>IF(Z385=0,0,IF(AND(OR(f_ini="",AND(ISNUMBER(E385),E385&gt;=f_ini)),OR(f_fim="",AND(ISNUMBER(E385),E385&lt;=f_fim)),OR(f_un="",f_un="(Todas)",G385=f_un),OR(f_tr="",f_tr="(Todos)",H385=f_tr),OR(f_de="",f_de="(Todos)",I385=f_de),OR(f_sit="",f_sit="(Todas)",S385=f_sit)),1,0))</f>
        <v>0</v>
      </c>
      <c r="AY385" s="96">
        <f>IF(AX385=0,0,IF(OR(f_res="",f_res="(Todos)"),1,IF(COUNTIFS('ITENS_MTR'!$S$6:$S$1005,A385,'ITENS_MTR'!$C$6:$C$1005,f_res)&gt;0,1,0)))</f>
        <v>0</v>
      </c>
      <c r="AZ385" s="97" t="str">
        <f>IF(ISNUMBER(E385),DATE(YEAR(E385),MONTH(E385),1),"")</f>
        <v/>
      </c>
      <c r="BA385" s="96">
        <f>IF(Z385=0,0,IF(AND(OR(r_ini="",AND(ISNUMBER(E385),E385&gt;=r_ini)),OR(r_fim="",AND(ISNUMBER(E385),E385&lt;=r_fim)),OR(r_un="",r_un="(Todas)",G385=r_un),OR(r_de="",r_de="(Todos)",I385=r_de)),1,0))</f>
        <v>0</v>
      </c>
      <c r="BB385" s="96" t="str">
        <f>IF(BA385=1,COUNTIF($BA$6:BA385,1),"")</f>
        <v/>
      </c>
      <c r="BC385" s="96" t="str">
        <f>IF(AND(AU385&lt;&gt;"",OR(r_un="",r_un="(Todas)",G385=r_un),OR(r_de="",r_de="(Todos)",I385=r_de)),AU385,"")</f>
        <v/>
      </c>
      <c r="BD385" s="96" t="str">
        <f>IF(Z385=1,A385&amp;" | nº "&amp;IF(B385="","(sem número)",B385)&amp;" | "&amp;IF(G385="","(sem unidade)",G385),"")</f>
        <v/>
      </c>
      <c r="BE385" s="96" t="str">
        <f>IF(Z385=1,COUNTIF($Z$6:Z385,1),"")</f>
        <v/>
      </c>
      <c r="BF385" s="96" t="str">
        <f>IF(T385="","",IF(T385="RECEBIMENTO NÃO CONFIRMADO","Transp.: "&amp;H385&amp;" | Dest.: "&amp;I385,IF(OR(T385="CDF NÃO LOCALIZADO",T385="VÍNCULO INCOMPLETO",T385="CDF A CONFERIR"),"Dest.: "&amp;I385,"Gerador: "&amp;G385)))</f>
        <v/>
      </c>
    </row>
    <row r="386">
      <c r="A386" s="89" t="inlineStr">
        <is>
          <t>MTR-000381</t>
        </is>
      </c>
      <c r="B386" s="90" t="n"/>
      <c r="C386" s="91" t="n"/>
      <c r="D386" s="91" t="n"/>
      <c r="E386" s="92" t="n"/>
      <c r="F386" s="92" t="n"/>
      <c r="G386" s="91" t="n"/>
      <c r="H386" s="91" t="n"/>
      <c r="I386" s="91" t="n"/>
      <c r="J386" s="91" t="n"/>
      <c r="K386" s="91" t="n"/>
      <c r="L386" s="92" t="n"/>
      <c r="M386" s="91" t="n"/>
      <c r="N386" s="91" t="n"/>
      <c r="O386" s="91" t="n"/>
      <c r="P386" s="93" t="str">
        <f>IF(Z386=0,"",SUMIFS('ITENS_MTR'!$I$6:$I$1005,'ITENS_MTR'!$S$6:$S$1005,A386,'ITENS_MTR'!$Y$6:$Y$1005,1))</f>
        <v/>
      </c>
      <c r="Q386" s="93" t="str">
        <f>IF(Z386=0,"",SUMIFS('RECEBIMENTOS'!$H$6:$H$1005,'RECEBIMENTOS'!$B$6:$B$1005,A386,'RECEBIMENTOS'!$X$6:$X$1005,1))</f>
        <v/>
      </c>
      <c r="R386" s="93" t="str">
        <f>IF(Z386=0,"",SUMIFS('VÍNCULOS_CDF'!$H$6:$H$1005,'VÍNCULOS_CDF'!$D$6:$D$1005,A386,'VÍNCULOS_CDF'!$V$6:$V$1005,1))</f>
        <v/>
      </c>
      <c r="S386" s="94" t="str">
        <f>IF(Z386=0,"",IF(AA386=1,"Cancelado (informado)",IF(AE386=1,"Cadastro incompleto",IF(OR(AC386=1,AD386=1,AF386&gt;0,AH386&gt;0,AK386&gt;0,AL386&gt;0),"Informação a revisar",IF(AN386=0,"Aguardando recebimento",IF(N(R386)=0,"Aguardando CDF",IF(AJ386&lt;N(W386),"Vínculo de CDF parcial",IF(AO386=0,"CDF localizado, a conferir","Documentação conferida"))))))))</f>
        <v/>
      </c>
      <c r="T386" s="94" t="str">
        <f>IF(Z386=0,"",IF(S386="Cadastro incompleto","MTR INCOMPLETO",IF(S386="Informação a revisar",IF(AND(AH386&gt;0,AC386=0,AD386=0,AF386=0,AK386=0,AL386=0),"QUANTIDADE A REVISAR","IDENTIFICAÇÃO A REVISAR"),IF(S386="Aguardando recebimento","RECEBIMENTO NÃO CONFIRMADO",IF(S386="Aguardando CDF","CDF NÃO LOCALIZADO",IF(S386="Vínculo de CDF parcial","VÍNCULO INCOMPLETO",IF(S386="CDF localizado, a conferir","CDF A CONFERIR","")))))))</f>
        <v/>
      </c>
      <c r="U386" s="95" t="str">
        <f>IF(T386="","",IF(AQ386="","Não calculável",IF(AQ386&gt;TODAY(),"Data futura",TODAY()-AQ386)))</f>
        <v/>
      </c>
      <c r="V386" s="93" t="str">
        <f>IF(Z386=0,"",SUMIFS('RECEBIMENTOS'!$H$6:$H$1005,'RECEBIMENTOS'!$B$6:$B$1005,A386,'RECEBIMENTOS'!$Z$6:$Z$1005,1))</f>
        <v/>
      </c>
      <c r="W386" s="95" t="str">
        <f>IF(Z386=0,"",COUNTIFS('ITENS_MTR'!$S$6:$S$1005,A386,'ITENS_MTR'!$R$6:$R$1005,1))</f>
        <v/>
      </c>
      <c r="X386" s="94" t="str">
        <f>IF(AC386=1,"POSSÍVEL DUPLICIDADE","")</f>
        <v/>
      </c>
      <c r="Y386" s="94" t="str">
        <f>IF(Z386=0,"",IF(AW386="","Nenhuma",LEFT(AW386,LEN(AW386)-2)))</f>
        <v/>
      </c>
      <c r="Z386" s="96">
        <f>IF(COUNTA(B386:O386)&gt;0,1,0)</f>
        <v>0</v>
      </c>
      <c r="AA386" s="96">
        <f>IF(AND(Z386=1,K386&lt;&gt;""),IF(TRIM(K386)=TRIM(cfg_cancel),1,0),0)</f>
        <v>0</v>
      </c>
      <c r="AB386" s="96" t="str">
        <f>IF(AND(Z386=1,B386&lt;&gt;""),C386&amp;"|"&amp;D386&amp;"|"&amp;G386&amp;"|"&amp;TRIM(B386),"")</f>
        <v/>
      </c>
      <c r="AC386" s="96">
        <f>IF(AB386="",0,IF(SUMPRODUCT(--($AB$6:$AB$505=AB386))&gt;1,1,0))</f>
        <v>0</v>
      </c>
      <c r="AD386" s="96">
        <f>IF(Z386=0,0,IF(OR(AND(G386&lt;&gt;"",ISNA(MATCH(G386,'CAD_UNIDADES'!$C$6:$C$105,0))),AND(H386&lt;&gt;"",ISNA(MATCH(H386,cmp_transp,0))),AND(I386&lt;&gt;"",ISNA(MATCH(I386,cmp_dest,0))),AND(E386&lt;&gt;"",NOT(ISNUMBER(E386))),AND(F386&lt;&gt;"",NOT(ISNUMBER(F386))),AND(ISNUMBER(E386),ISNUMBER(F386),F386&lt;E386)),1,0))</f>
        <v>0</v>
      </c>
      <c r="AE386" s="96">
        <f>IF(Z386=0,0,IF(OR(B386="",C386="",E386="",G386="",H386="",I386="",N(W386)=0),1,0))</f>
        <v>0</v>
      </c>
      <c r="AF386" s="96">
        <f>IF(Z386=0,0,COUNTIFS('ITENS_MTR'!$S$6:$S$1005,A386,'ITENS_MTR'!$AI$6:$AI$1005,1))</f>
        <v>0</v>
      </c>
      <c r="AG386" s="96">
        <f>IF(Z386=0,0,COUNTIFS('ITENS_MTR'!$S$6:$S$1005,A386,'ITENS_MTR'!$AJ$6:$AJ$1005,1))</f>
        <v>0</v>
      </c>
      <c r="AH386" s="96">
        <f>IF(Z386=0,0,COUNTIFS('ITENS_MTR'!$S$6:$S$1005,A386,'ITENS_MTR'!$AM$6:$AM$1005,1))</f>
        <v>0</v>
      </c>
      <c r="AI386" s="96">
        <f>IF(Z386=0,0,COUNTIFS('ITENS_MTR'!$S$6:$S$1005,A386,'ITENS_MTR'!$AO$6:$AO$1005,1))</f>
        <v>0</v>
      </c>
      <c r="AJ386" s="96">
        <f>IF(Z386=0,0,COUNTIFS('ITENS_MTR'!$S$6:$S$1005,A386,'ITENS_MTR'!$AN$6:$AN$1005,1))</f>
        <v>0</v>
      </c>
      <c r="AK386" s="96">
        <f>IF(Z386=0,0,COUNTIFS('RECEBIMENTOS'!$B$6:$B$1005,A386,'RECEBIMENTOS'!$Y$6:$Y$1005,1))</f>
        <v>0</v>
      </c>
      <c r="AL386" s="96">
        <f>IF(Z386=0,0,COUNTIFS('VÍNCULOS_CDF'!$D$6:$D$1005,A386,'VÍNCULOS_CDF'!$Y$6:$Y$1005,1))</f>
        <v>0</v>
      </c>
      <c r="AM386" s="96">
        <f>IF(Z386=0,0,COUNTIFS('RECEBIMENTOS'!$B$6:$B$1005,A386,'RECEBIMENTOS'!$Q$6:$Q$1005,1))</f>
        <v>0</v>
      </c>
      <c r="AN386" s="96">
        <f>IF(AND(Z386=1,N(W386)&gt;0,AG386=N(W386)),1,0)</f>
        <v>0</v>
      </c>
      <c r="AO386" s="96">
        <f>IF(AND(Z386=1,N(W386)&gt;0,AI386=N(W386)),1,0)</f>
        <v>0</v>
      </c>
      <c r="AP386" s="97">
        <f>IF(Z386=0,0,_xlfn.MAXIFS('RECEBIMENTOS'!$E$6:$E$1005,'RECEBIMENTOS'!$B$6:$B$1005,A386))</f>
        <v>0</v>
      </c>
      <c r="AQ386" s="97" t="str">
        <f>IF(T386="","",IF(T386="RECEBIMENTO NÃO CONFIRMADO",IF(ISNUMBER(F386),F386,IF(ISNUMBER(E386),E386,"")),IF(OR(T386="CDF NÃO LOCALIZADO",T386="VÍNCULO INCOMPLETO",T386="CDF A CONFERIR"),IF(AP386&gt;0,AP386,IF(ISNUMBER(E386),E386,"")),IF(ISNUMBER(E386),E386,""))))</f>
        <v/>
      </c>
      <c r="AR386" s="96">
        <f>IF(NOT(ISNUMBER(U386)),0,IF(T386="RECEBIMENTO NÃO CONFIRMADO",IF(AND(ISNUMBER(cfg_rec),U386&gt;cfg_rec),1,0),IF(OR(T386="CDF NÃO LOCALIZADO",T386="VÍNCULO INCOMPLETO",T386="CDF A CONFERIR"),IF(AND(ISNUMBER(cfg_cdf),U386&gt;cfg_cdf),1,0),0)))</f>
        <v>0</v>
      </c>
      <c r="AS386" s="96" t="str">
        <f>IF(T386="","",IF(AR386=1,"Alta",IFERROR(INDEX(cfg_pp,MATCH(T386,cfg_pt,0))&amp;"","Média")))</f>
        <v/>
      </c>
      <c r="AT386" s="96" t="str">
        <f>IF(T386="","",IFERROR(INDEX(cfg_pv,MATCH(T386,cfg_pt,0))&amp;"",""))</f>
        <v/>
      </c>
      <c r="AU386" s="96" t="str">
        <f>IF(T386="","",IF(AS386="Alta",1,IF(AS386="Média",2,3))*1000000000+(999999-IF(ISNUMBER(U386),MIN(U386,999999),0))*1000+381)</f>
        <v/>
      </c>
      <c r="AV386" s="96">
        <f>IF(T386&lt;&gt;"",1,0)</f>
        <v>0</v>
      </c>
      <c r="AW386" s="96" t="str">
        <f>IF(Z386=0,"",IF(AA386=1,"Cancelamento informado; ","")&amp;IF(AE386=1,"Campos essenciais ou itens faltando; ","")&amp;IF(AC386=1,"Possível duplicidade do número; ","")&amp;IF(AD386=1,"Cadastro ou datas a revisar; ","")&amp;IF(AF386&gt;0,"Item de resíduo com dado a revisar; ","")&amp;IF(AH386&gt;0,"Diferença de quantidade a analisar; ","")&amp;IF(AK386&gt;0,"Recebimento com alerta; ","")&amp;IF(AL386&gt;0,"Vínculo de CDF com alerta; ","")&amp;IF(AND(AA386=0,AN386=0),"Recebimento não confirmado; ","")&amp;IF(AND(AA386=0,AN386=1,AO386=0),"CDF pendente ou a conferir; ",""))</f>
        <v/>
      </c>
      <c r="AX386" s="96">
        <f>IF(Z386=0,0,IF(AND(OR(f_ini="",AND(ISNUMBER(E386),E386&gt;=f_ini)),OR(f_fim="",AND(ISNUMBER(E386),E386&lt;=f_fim)),OR(f_un="",f_un="(Todas)",G386=f_un),OR(f_tr="",f_tr="(Todos)",H386=f_tr),OR(f_de="",f_de="(Todos)",I386=f_de),OR(f_sit="",f_sit="(Todas)",S386=f_sit)),1,0))</f>
        <v>0</v>
      </c>
      <c r="AY386" s="96">
        <f>IF(AX386=0,0,IF(OR(f_res="",f_res="(Todos)"),1,IF(COUNTIFS('ITENS_MTR'!$S$6:$S$1005,A386,'ITENS_MTR'!$C$6:$C$1005,f_res)&gt;0,1,0)))</f>
        <v>0</v>
      </c>
      <c r="AZ386" s="97" t="str">
        <f>IF(ISNUMBER(E386),DATE(YEAR(E386),MONTH(E386),1),"")</f>
        <v/>
      </c>
      <c r="BA386" s="96">
        <f>IF(Z386=0,0,IF(AND(OR(r_ini="",AND(ISNUMBER(E386),E386&gt;=r_ini)),OR(r_fim="",AND(ISNUMBER(E386),E386&lt;=r_fim)),OR(r_un="",r_un="(Todas)",G386=r_un),OR(r_de="",r_de="(Todos)",I386=r_de)),1,0))</f>
        <v>0</v>
      </c>
      <c r="BB386" s="96" t="str">
        <f>IF(BA386=1,COUNTIF($BA$6:BA386,1),"")</f>
        <v/>
      </c>
      <c r="BC386" s="96" t="str">
        <f>IF(AND(AU386&lt;&gt;"",OR(r_un="",r_un="(Todas)",G386=r_un),OR(r_de="",r_de="(Todos)",I386=r_de)),AU386,"")</f>
        <v/>
      </c>
      <c r="BD386" s="96" t="str">
        <f>IF(Z386=1,A386&amp;" | nº "&amp;IF(B386="","(sem número)",B386)&amp;" | "&amp;IF(G386="","(sem unidade)",G386),"")</f>
        <v/>
      </c>
      <c r="BE386" s="96" t="str">
        <f>IF(Z386=1,COUNTIF($Z$6:Z386,1),"")</f>
        <v/>
      </c>
      <c r="BF386" s="96" t="str">
        <f>IF(T386="","",IF(T386="RECEBIMENTO NÃO CONFIRMADO","Transp.: "&amp;H386&amp;" | Dest.: "&amp;I386,IF(OR(T386="CDF NÃO LOCALIZADO",T386="VÍNCULO INCOMPLETO",T386="CDF A CONFERIR"),"Dest.: "&amp;I386,"Gerador: "&amp;G386)))</f>
        <v/>
      </c>
    </row>
    <row r="387">
      <c r="A387" s="89" t="inlineStr">
        <is>
          <t>MTR-000382</t>
        </is>
      </c>
      <c r="B387" s="90" t="n"/>
      <c r="C387" s="91" t="n"/>
      <c r="D387" s="91" t="n"/>
      <c r="E387" s="92" t="n"/>
      <c r="F387" s="92" t="n"/>
      <c r="G387" s="91" t="n"/>
      <c r="H387" s="91" t="n"/>
      <c r="I387" s="91" t="n"/>
      <c r="J387" s="91" t="n"/>
      <c r="K387" s="91" t="n"/>
      <c r="L387" s="92" t="n"/>
      <c r="M387" s="91" t="n"/>
      <c r="N387" s="91" t="n"/>
      <c r="O387" s="91" t="n"/>
      <c r="P387" s="93" t="str">
        <f>IF(Z387=0,"",SUMIFS('ITENS_MTR'!$I$6:$I$1005,'ITENS_MTR'!$S$6:$S$1005,A387,'ITENS_MTR'!$Y$6:$Y$1005,1))</f>
        <v/>
      </c>
      <c r="Q387" s="93" t="str">
        <f>IF(Z387=0,"",SUMIFS('RECEBIMENTOS'!$H$6:$H$1005,'RECEBIMENTOS'!$B$6:$B$1005,A387,'RECEBIMENTOS'!$X$6:$X$1005,1))</f>
        <v/>
      </c>
      <c r="R387" s="93" t="str">
        <f>IF(Z387=0,"",SUMIFS('VÍNCULOS_CDF'!$H$6:$H$1005,'VÍNCULOS_CDF'!$D$6:$D$1005,A387,'VÍNCULOS_CDF'!$V$6:$V$1005,1))</f>
        <v/>
      </c>
      <c r="S387" s="94" t="str">
        <f>IF(Z387=0,"",IF(AA387=1,"Cancelado (informado)",IF(AE387=1,"Cadastro incompleto",IF(OR(AC387=1,AD387=1,AF387&gt;0,AH387&gt;0,AK387&gt;0,AL387&gt;0),"Informação a revisar",IF(AN387=0,"Aguardando recebimento",IF(N(R387)=0,"Aguardando CDF",IF(AJ387&lt;N(W387),"Vínculo de CDF parcial",IF(AO387=0,"CDF localizado, a conferir","Documentação conferida"))))))))</f>
        <v/>
      </c>
      <c r="T387" s="94" t="str">
        <f>IF(Z387=0,"",IF(S387="Cadastro incompleto","MTR INCOMPLETO",IF(S387="Informação a revisar",IF(AND(AH387&gt;0,AC387=0,AD387=0,AF387=0,AK387=0,AL387=0),"QUANTIDADE A REVISAR","IDENTIFICAÇÃO A REVISAR"),IF(S387="Aguardando recebimento","RECEBIMENTO NÃO CONFIRMADO",IF(S387="Aguardando CDF","CDF NÃO LOCALIZADO",IF(S387="Vínculo de CDF parcial","VÍNCULO INCOMPLETO",IF(S387="CDF localizado, a conferir","CDF A CONFERIR","")))))))</f>
        <v/>
      </c>
      <c r="U387" s="95" t="str">
        <f>IF(T387="","",IF(AQ387="","Não calculável",IF(AQ387&gt;TODAY(),"Data futura",TODAY()-AQ387)))</f>
        <v/>
      </c>
      <c r="V387" s="93" t="str">
        <f>IF(Z387=0,"",SUMIFS('RECEBIMENTOS'!$H$6:$H$1005,'RECEBIMENTOS'!$B$6:$B$1005,A387,'RECEBIMENTOS'!$Z$6:$Z$1005,1))</f>
        <v/>
      </c>
      <c r="W387" s="95" t="str">
        <f>IF(Z387=0,"",COUNTIFS('ITENS_MTR'!$S$6:$S$1005,A387,'ITENS_MTR'!$R$6:$R$1005,1))</f>
        <v/>
      </c>
      <c r="X387" s="94" t="str">
        <f>IF(AC387=1,"POSSÍVEL DUPLICIDADE","")</f>
        <v/>
      </c>
      <c r="Y387" s="94" t="str">
        <f>IF(Z387=0,"",IF(AW387="","Nenhuma",LEFT(AW387,LEN(AW387)-2)))</f>
        <v/>
      </c>
      <c r="Z387" s="96">
        <f>IF(COUNTA(B387:O387)&gt;0,1,0)</f>
        <v>0</v>
      </c>
      <c r="AA387" s="96">
        <f>IF(AND(Z387=1,K387&lt;&gt;""),IF(TRIM(K387)=TRIM(cfg_cancel),1,0),0)</f>
        <v>0</v>
      </c>
      <c r="AB387" s="96" t="str">
        <f>IF(AND(Z387=1,B387&lt;&gt;""),C387&amp;"|"&amp;D387&amp;"|"&amp;G387&amp;"|"&amp;TRIM(B387),"")</f>
        <v/>
      </c>
      <c r="AC387" s="96">
        <f>IF(AB387="",0,IF(SUMPRODUCT(--($AB$6:$AB$505=AB387))&gt;1,1,0))</f>
        <v>0</v>
      </c>
      <c r="AD387" s="96">
        <f>IF(Z387=0,0,IF(OR(AND(G387&lt;&gt;"",ISNA(MATCH(G387,'CAD_UNIDADES'!$C$6:$C$105,0))),AND(H387&lt;&gt;"",ISNA(MATCH(H387,cmp_transp,0))),AND(I387&lt;&gt;"",ISNA(MATCH(I387,cmp_dest,0))),AND(E387&lt;&gt;"",NOT(ISNUMBER(E387))),AND(F387&lt;&gt;"",NOT(ISNUMBER(F387))),AND(ISNUMBER(E387),ISNUMBER(F387),F387&lt;E387)),1,0))</f>
        <v>0</v>
      </c>
      <c r="AE387" s="96">
        <f>IF(Z387=0,0,IF(OR(B387="",C387="",E387="",G387="",H387="",I387="",N(W387)=0),1,0))</f>
        <v>0</v>
      </c>
      <c r="AF387" s="96">
        <f>IF(Z387=0,0,COUNTIFS('ITENS_MTR'!$S$6:$S$1005,A387,'ITENS_MTR'!$AI$6:$AI$1005,1))</f>
        <v>0</v>
      </c>
      <c r="AG387" s="96">
        <f>IF(Z387=0,0,COUNTIFS('ITENS_MTR'!$S$6:$S$1005,A387,'ITENS_MTR'!$AJ$6:$AJ$1005,1))</f>
        <v>0</v>
      </c>
      <c r="AH387" s="96">
        <f>IF(Z387=0,0,COUNTIFS('ITENS_MTR'!$S$6:$S$1005,A387,'ITENS_MTR'!$AM$6:$AM$1005,1))</f>
        <v>0</v>
      </c>
      <c r="AI387" s="96">
        <f>IF(Z387=0,0,COUNTIFS('ITENS_MTR'!$S$6:$S$1005,A387,'ITENS_MTR'!$AO$6:$AO$1005,1))</f>
        <v>0</v>
      </c>
      <c r="AJ387" s="96">
        <f>IF(Z387=0,0,COUNTIFS('ITENS_MTR'!$S$6:$S$1005,A387,'ITENS_MTR'!$AN$6:$AN$1005,1))</f>
        <v>0</v>
      </c>
      <c r="AK387" s="96">
        <f>IF(Z387=0,0,COUNTIFS('RECEBIMENTOS'!$B$6:$B$1005,A387,'RECEBIMENTOS'!$Y$6:$Y$1005,1))</f>
        <v>0</v>
      </c>
      <c r="AL387" s="96">
        <f>IF(Z387=0,0,COUNTIFS('VÍNCULOS_CDF'!$D$6:$D$1005,A387,'VÍNCULOS_CDF'!$Y$6:$Y$1005,1))</f>
        <v>0</v>
      </c>
      <c r="AM387" s="96">
        <f>IF(Z387=0,0,COUNTIFS('RECEBIMENTOS'!$B$6:$B$1005,A387,'RECEBIMENTOS'!$Q$6:$Q$1005,1))</f>
        <v>0</v>
      </c>
      <c r="AN387" s="96">
        <f>IF(AND(Z387=1,N(W387)&gt;0,AG387=N(W387)),1,0)</f>
        <v>0</v>
      </c>
      <c r="AO387" s="96">
        <f>IF(AND(Z387=1,N(W387)&gt;0,AI387=N(W387)),1,0)</f>
        <v>0</v>
      </c>
      <c r="AP387" s="97">
        <f>IF(Z387=0,0,_xlfn.MAXIFS('RECEBIMENTOS'!$E$6:$E$1005,'RECEBIMENTOS'!$B$6:$B$1005,A387))</f>
        <v>0</v>
      </c>
      <c r="AQ387" s="97" t="str">
        <f>IF(T387="","",IF(T387="RECEBIMENTO NÃO CONFIRMADO",IF(ISNUMBER(F387),F387,IF(ISNUMBER(E387),E387,"")),IF(OR(T387="CDF NÃO LOCALIZADO",T387="VÍNCULO INCOMPLETO",T387="CDF A CONFERIR"),IF(AP387&gt;0,AP387,IF(ISNUMBER(E387),E387,"")),IF(ISNUMBER(E387),E387,""))))</f>
        <v/>
      </c>
      <c r="AR387" s="96">
        <f>IF(NOT(ISNUMBER(U387)),0,IF(T387="RECEBIMENTO NÃO CONFIRMADO",IF(AND(ISNUMBER(cfg_rec),U387&gt;cfg_rec),1,0),IF(OR(T387="CDF NÃO LOCALIZADO",T387="VÍNCULO INCOMPLETO",T387="CDF A CONFERIR"),IF(AND(ISNUMBER(cfg_cdf),U387&gt;cfg_cdf),1,0),0)))</f>
        <v>0</v>
      </c>
      <c r="AS387" s="96" t="str">
        <f>IF(T387="","",IF(AR387=1,"Alta",IFERROR(INDEX(cfg_pp,MATCH(T387,cfg_pt,0))&amp;"","Média")))</f>
        <v/>
      </c>
      <c r="AT387" s="96" t="str">
        <f>IF(T387="","",IFERROR(INDEX(cfg_pv,MATCH(T387,cfg_pt,0))&amp;"",""))</f>
        <v/>
      </c>
      <c r="AU387" s="96" t="str">
        <f>IF(T387="","",IF(AS387="Alta",1,IF(AS387="Média",2,3))*1000000000+(999999-IF(ISNUMBER(U387),MIN(U387,999999),0))*1000+382)</f>
        <v/>
      </c>
      <c r="AV387" s="96">
        <f>IF(T387&lt;&gt;"",1,0)</f>
        <v>0</v>
      </c>
      <c r="AW387" s="96" t="str">
        <f>IF(Z387=0,"",IF(AA387=1,"Cancelamento informado; ","")&amp;IF(AE387=1,"Campos essenciais ou itens faltando; ","")&amp;IF(AC387=1,"Possível duplicidade do número; ","")&amp;IF(AD387=1,"Cadastro ou datas a revisar; ","")&amp;IF(AF387&gt;0,"Item de resíduo com dado a revisar; ","")&amp;IF(AH387&gt;0,"Diferença de quantidade a analisar; ","")&amp;IF(AK387&gt;0,"Recebimento com alerta; ","")&amp;IF(AL387&gt;0,"Vínculo de CDF com alerta; ","")&amp;IF(AND(AA387=0,AN387=0),"Recebimento não confirmado; ","")&amp;IF(AND(AA387=0,AN387=1,AO387=0),"CDF pendente ou a conferir; ",""))</f>
        <v/>
      </c>
      <c r="AX387" s="96">
        <f>IF(Z387=0,0,IF(AND(OR(f_ini="",AND(ISNUMBER(E387),E387&gt;=f_ini)),OR(f_fim="",AND(ISNUMBER(E387),E387&lt;=f_fim)),OR(f_un="",f_un="(Todas)",G387=f_un),OR(f_tr="",f_tr="(Todos)",H387=f_tr),OR(f_de="",f_de="(Todos)",I387=f_de),OR(f_sit="",f_sit="(Todas)",S387=f_sit)),1,0))</f>
        <v>0</v>
      </c>
      <c r="AY387" s="96">
        <f>IF(AX387=0,0,IF(OR(f_res="",f_res="(Todos)"),1,IF(COUNTIFS('ITENS_MTR'!$S$6:$S$1005,A387,'ITENS_MTR'!$C$6:$C$1005,f_res)&gt;0,1,0)))</f>
        <v>0</v>
      </c>
      <c r="AZ387" s="97" t="str">
        <f>IF(ISNUMBER(E387),DATE(YEAR(E387),MONTH(E387),1),"")</f>
        <v/>
      </c>
      <c r="BA387" s="96">
        <f>IF(Z387=0,0,IF(AND(OR(r_ini="",AND(ISNUMBER(E387),E387&gt;=r_ini)),OR(r_fim="",AND(ISNUMBER(E387),E387&lt;=r_fim)),OR(r_un="",r_un="(Todas)",G387=r_un),OR(r_de="",r_de="(Todos)",I387=r_de)),1,0))</f>
        <v>0</v>
      </c>
      <c r="BB387" s="96" t="str">
        <f>IF(BA387=1,COUNTIF($BA$6:BA387,1),"")</f>
        <v/>
      </c>
      <c r="BC387" s="96" t="str">
        <f>IF(AND(AU387&lt;&gt;"",OR(r_un="",r_un="(Todas)",G387=r_un),OR(r_de="",r_de="(Todos)",I387=r_de)),AU387,"")</f>
        <v/>
      </c>
      <c r="BD387" s="96" t="str">
        <f>IF(Z387=1,A387&amp;" | nº "&amp;IF(B387="","(sem número)",B387)&amp;" | "&amp;IF(G387="","(sem unidade)",G387),"")</f>
        <v/>
      </c>
      <c r="BE387" s="96" t="str">
        <f>IF(Z387=1,COUNTIF($Z$6:Z387,1),"")</f>
        <v/>
      </c>
      <c r="BF387" s="96" t="str">
        <f>IF(T387="","",IF(T387="RECEBIMENTO NÃO CONFIRMADO","Transp.: "&amp;H387&amp;" | Dest.: "&amp;I387,IF(OR(T387="CDF NÃO LOCALIZADO",T387="VÍNCULO INCOMPLETO",T387="CDF A CONFERIR"),"Dest.: "&amp;I387,"Gerador: "&amp;G387)))</f>
        <v/>
      </c>
    </row>
    <row r="388">
      <c r="A388" s="89" t="inlineStr">
        <is>
          <t>MTR-000383</t>
        </is>
      </c>
      <c r="B388" s="90" t="n"/>
      <c r="C388" s="91" t="n"/>
      <c r="D388" s="91" t="n"/>
      <c r="E388" s="92" t="n"/>
      <c r="F388" s="92" t="n"/>
      <c r="G388" s="91" t="n"/>
      <c r="H388" s="91" t="n"/>
      <c r="I388" s="91" t="n"/>
      <c r="J388" s="91" t="n"/>
      <c r="K388" s="91" t="n"/>
      <c r="L388" s="92" t="n"/>
      <c r="M388" s="91" t="n"/>
      <c r="N388" s="91" t="n"/>
      <c r="O388" s="91" t="n"/>
      <c r="P388" s="93" t="str">
        <f>IF(Z388=0,"",SUMIFS('ITENS_MTR'!$I$6:$I$1005,'ITENS_MTR'!$S$6:$S$1005,A388,'ITENS_MTR'!$Y$6:$Y$1005,1))</f>
        <v/>
      </c>
      <c r="Q388" s="93" t="str">
        <f>IF(Z388=0,"",SUMIFS('RECEBIMENTOS'!$H$6:$H$1005,'RECEBIMENTOS'!$B$6:$B$1005,A388,'RECEBIMENTOS'!$X$6:$X$1005,1))</f>
        <v/>
      </c>
      <c r="R388" s="93" t="str">
        <f>IF(Z388=0,"",SUMIFS('VÍNCULOS_CDF'!$H$6:$H$1005,'VÍNCULOS_CDF'!$D$6:$D$1005,A388,'VÍNCULOS_CDF'!$V$6:$V$1005,1))</f>
        <v/>
      </c>
      <c r="S388" s="94" t="str">
        <f>IF(Z388=0,"",IF(AA388=1,"Cancelado (informado)",IF(AE388=1,"Cadastro incompleto",IF(OR(AC388=1,AD388=1,AF388&gt;0,AH388&gt;0,AK388&gt;0,AL388&gt;0),"Informação a revisar",IF(AN388=0,"Aguardando recebimento",IF(N(R388)=0,"Aguardando CDF",IF(AJ388&lt;N(W388),"Vínculo de CDF parcial",IF(AO388=0,"CDF localizado, a conferir","Documentação conferida"))))))))</f>
        <v/>
      </c>
      <c r="T388" s="94" t="str">
        <f>IF(Z388=0,"",IF(S388="Cadastro incompleto","MTR INCOMPLETO",IF(S388="Informação a revisar",IF(AND(AH388&gt;0,AC388=0,AD388=0,AF388=0,AK388=0,AL388=0),"QUANTIDADE A REVISAR","IDENTIFICAÇÃO A REVISAR"),IF(S388="Aguardando recebimento","RECEBIMENTO NÃO CONFIRMADO",IF(S388="Aguardando CDF","CDF NÃO LOCALIZADO",IF(S388="Vínculo de CDF parcial","VÍNCULO INCOMPLETO",IF(S388="CDF localizado, a conferir","CDF A CONFERIR","")))))))</f>
        <v/>
      </c>
      <c r="U388" s="95" t="str">
        <f>IF(T388="","",IF(AQ388="","Não calculável",IF(AQ388&gt;TODAY(),"Data futura",TODAY()-AQ388)))</f>
        <v/>
      </c>
      <c r="V388" s="93" t="str">
        <f>IF(Z388=0,"",SUMIFS('RECEBIMENTOS'!$H$6:$H$1005,'RECEBIMENTOS'!$B$6:$B$1005,A388,'RECEBIMENTOS'!$Z$6:$Z$1005,1))</f>
        <v/>
      </c>
      <c r="W388" s="95" t="str">
        <f>IF(Z388=0,"",COUNTIFS('ITENS_MTR'!$S$6:$S$1005,A388,'ITENS_MTR'!$R$6:$R$1005,1))</f>
        <v/>
      </c>
      <c r="X388" s="94" t="str">
        <f>IF(AC388=1,"POSSÍVEL DUPLICIDADE","")</f>
        <v/>
      </c>
      <c r="Y388" s="94" t="str">
        <f>IF(Z388=0,"",IF(AW388="","Nenhuma",LEFT(AW388,LEN(AW388)-2)))</f>
        <v/>
      </c>
      <c r="Z388" s="96">
        <f>IF(COUNTA(B388:O388)&gt;0,1,0)</f>
        <v>0</v>
      </c>
      <c r="AA388" s="96">
        <f>IF(AND(Z388=1,K388&lt;&gt;""),IF(TRIM(K388)=TRIM(cfg_cancel),1,0),0)</f>
        <v>0</v>
      </c>
      <c r="AB388" s="96" t="str">
        <f>IF(AND(Z388=1,B388&lt;&gt;""),C388&amp;"|"&amp;D388&amp;"|"&amp;G388&amp;"|"&amp;TRIM(B388),"")</f>
        <v/>
      </c>
      <c r="AC388" s="96">
        <f>IF(AB388="",0,IF(SUMPRODUCT(--($AB$6:$AB$505=AB388))&gt;1,1,0))</f>
        <v>0</v>
      </c>
      <c r="AD388" s="96">
        <f>IF(Z388=0,0,IF(OR(AND(G388&lt;&gt;"",ISNA(MATCH(G388,'CAD_UNIDADES'!$C$6:$C$105,0))),AND(H388&lt;&gt;"",ISNA(MATCH(H388,cmp_transp,0))),AND(I388&lt;&gt;"",ISNA(MATCH(I388,cmp_dest,0))),AND(E388&lt;&gt;"",NOT(ISNUMBER(E388))),AND(F388&lt;&gt;"",NOT(ISNUMBER(F388))),AND(ISNUMBER(E388),ISNUMBER(F388),F388&lt;E388)),1,0))</f>
        <v>0</v>
      </c>
      <c r="AE388" s="96">
        <f>IF(Z388=0,0,IF(OR(B388="",C388="",E388="",G388="",H388="",I388="",N(W388)=0),1,0))</f>
        <v>0</v>
      </c>
      <c r="AF388" s="96">
        <f>IF(Z388=0,0,COUNTIFS('ITENS_MTR'!$S$6:$S$1005,A388,'ITENS_MTR'!$AI$6:$AI$1005,1))</f>
        <v>0</v>
      </c>
      <c r="AG388" s="96">
        <f>IF(Z388=0,0,COUNTIFS('ITENS_MTR'!$S$6:$S$1005,A388,'ITENS_MTR'!$AJ$6:$AJ$1005,1))</f>
        <v>0</v>
      </c>
      <c r="AH388" s="96">
        <f>IF(Z388=0,0,COUNTIFS('ITENS_MTR'!$S$6:$S$1005,A388,'ITENS_MTR'!$AM$6:$AM$1005,1))</f>
        <v>0</v>
      </c>
      <c r="AI388" s="96">
        <f>IF(Z388=0,0,COUNTIFS('ITENS_MTR'!$S$6:$S$1005,A388,'ITENS_MTR'!$AO$6:$AO$1005,1))</f>
        <v>0</v>
      </c>
      <c r="AJ388" s="96">
        <f>IF(Z388=0,0,COUNTIFS('ITENS_MTR'!$S$6:$S$1005,A388,'ITENS_MTR'!$AN$6:$AN$1005,1))</f>
        <v>0</v>
      </c>
      <c r="AK388" s="96">
        <f>IF(Z388=0,0,COUNTIFS('RECEBIMENTOS'!$B$6:$B$1005,A388,'RECEBIMENTOS'!$Y$6:$Y$1005,1))</f>
        <v>0</v>
      </c>
      <c r="AL388" s="96">
        <f>IF(Z388=0,0,COUNTIFS('VÍNCULOS_CDF'!$D$6:$D$1005,A388,'VÍNCULOS_CDF'!$Y$6:$Y$1005,1))</f>
        <v>0</v>
      </c>
      <c r="AM388" s="96">
        <f>IF(Z388=0,0,COUNTIFS('RECEBIMENTOS'!$B$6:$B$1005,A388,'RECEBIMENTOS'!$Q$6:$Q$1005,1))</f>
        <v>0</v>
      </c>
      <c r="AN388" s="96">
        <f>IF(AND(Z388=1,N(W388)&gt;0,AG388=N(W388)),1,0)</f>
        <v>0</v>
      </c>
      <c r="AO388" s="96">
        <f>IF(AND(Z388=1,N(W388)&gt;0,AI388=N(W388)),1,0)</f>
        <v>0</v>
      </c>
      <c r="AP388" s="97">
        <f>IF(Z388=0,0,_xlfn.MAXIFS('RECEBIMENTOS'!$E$6:$E$1005,'RECEBIMENTOS'!$B$6:$B$1005,A388))</f>
        <v>0</v>
      </c>
      <c r="AQ388" s="97" t="str">
        <f>IF(T388="","",IF(T388="RECEBIMENTO NÃO CONFIRMADO",IF(ISNUMBER(F388),F388,IF(ISNUMBER(E388),E388,"")),IF(OR(T388="CDF NÃO LOCALIZADO",T388="VÍNCULO INCOMPLETO",T388="CDF A CONFERIR"),IF(AP388&gt;0,AP388,IF(ISNUMBER(E388),E388,"")),IF(ISNUMBER(E388),E388,""))))</f>
        <v/>
      </c>
      <c r="AR388" s="96">
        <f>IF(NOT(ISNUMBER(U388)),0,IF(T388="RECEBIMENTO NÃO CONFIRMADO",IF(AND(ISNUMBER(cfg_rec),U388&gt;cfg_rec),1,0),IF(OR(T388="CDF NÃO LOCALIZADO",T388="VÍNCULO INCOMPLETO",T388="CDF A CONFERIR"),IF(AND(ISNUMBER(cfg_cdf),U388&gt;cfg_cdf),1,0),0)))</f>
        <v>0</v>
      </c>
      <c r="AS388" s="96" t="str">
        <f>IF(T388="","",IF(AR388=1,"Alta",IFERROR(INDEX(cfg_pp,MATCH(T388,cfg_pt,0))&amp;"","Média")))</f>
        <v/>
      </c>
      <c r="AT388" s="96" t="str">
        <f>IF(T388="","",IFERROR(INDEX(cfg_pv,MATCH(T388,cfg_pt,0))&amp;"",""))</f>
        <v/>
      </c>
      <c r="AU388" s="96" t="str">
        <f>IF(T388="","",IF(AS388="Alta",1,IF(AS388="Média",2,3))*1000000000+(999999-IF(ISNUMBER(U388),MIN(U388,999999),0))*1000+383)</f>
        <v/>
      </c>
      <c r="AV388" s="96">
        <f>IF(T388&lt;&gt;"",1,0)</f>
        <v>0</v>
      </c>
      <c r="AW388" s="96" t="str">
        <f>IF(Z388=0,"",IF(AA388=1,"Cancelamento informado; ","")&amp;IF(AE388=1,"Campos essenciais ou itens faltando; ","")&amp;IF(AC388=1,"Possível duplicidade do número; ","")&amp;IF(AD388=1,"Cadastro ou datas a revisar; ","")&amp;IF(AF388&gt;0,"Item de resíduo com dado a revisar; ","")&amp;IF(AH388&gt;0,"Diferença de quantidade a analisar; ","")&amp;IF(AK388&gt;0,"Recebimento com alerta; ","")&amp;IF(AL388&gt;0,"Vínculo de CDF com alerta; ","")&amp;IF(AND(AA388=0,AN388=0),"Recebimento não confirmado; ","")&amp;IF(AND(AA388=0,AN388=1,AO388=0),"CDF pendente ou a conferir; ",""))</f>
        <v/>
      </c>
      <c r="AX388" s="96">
        <f>IF(Z388=0,0,IF(AND(OR(f_ini="",AND(ISNUMBER(E388),E388&gt;=f_ini)),OR(f_fim="",AND(ISNUMBER(E388),E388&lt;=f_fim)),OR(f_un="",f_un="(Todas)",G388=f_un),OR(f_tr="",f_tr="(Todos)",H388=f_tr),OR(f_de="",f_de="(Todos)",I388=f_de),OR(f_sit="",f_sit="(Todas)",S388=f_sit)),1,0))</f>
        <v>0</v>
      </c>
      <c r="AY388" s="96">
        <f>IF(AX388=0,0,IF(OR(f_res="",f_res="(Todos)"),1,IF(COUNTIFS('ITENS_MTR'!$S$6:$S$1005,A388,'ITENS_MTR'!$C$6:$C$1005,f_res)&gt;0,1,0)))</f>
        <v>0</v>
      </c>
      <c r="AZ388" s="97" t="str">
        <f>IF(ISNUMBER(E388),DATE(YEAR(E388),MONTH(E388),1),"")</f>
        <v/>
      </c>
      <c r="BA388" s="96">
        <f>IF(Z388=0,0,IF(AND(OR(r_ini="",AND(ISNUMBER(E388),E388&gt;=r_ini)),OR(r_fim="",AND(ISNUMBER(E388),E388&lt;=r_fim)),OR(r_un="",r_un="(Todas)",G388=r_un),OR(r_de="",r_de="(Todos)",I388=r_de)),1,0))</f>
        <v>0</v>
      </c>
      <c r="BB388" s="96" t="str">
        <f>IF(BA388=1,COUNTIF($BA$6:BA388,1),"")</f>
        <v/>
      </c>
      <c r="BC388" s="96" t="str">
        <f>IF(AND(AU388&lt;&gt;"",OR(r_un="",r_un="(Todas)",G388=r_un),OR(r_de="",r_de="(Todos)",I388=r_de)),AU388,"")</f>
        <v/>
      </c>
      <c r="BD388" s="96" t="str">
        <f>IF(Z388=1,A388&amp;" | nº "&amp;IF(B388="","(sem número)",B388)&amp;" | "&amp;IF(G388="","(sem unidade)",G388),"")</f>
        <v/>
      </c>
      <c r="BE388" s="96" t="str">
        <f>IF(Z388=1,COUNTIF($Z$6:Z388,1),"")</f>
        <v/>
      </c>
      <c r="BF388" s="96" t="str">
        <f>IF(T388="","",IF(T388="RECEBIMENTO NÃO CONFIRMADO","Transp.: "&amp;H388&amp;" | Dest.: "&amp;I388,IF(OR(T388="CDF NÃO LOCALIZADO",T388="VÍNCULO INCOMPLETO",T388="CDF A CONFERIR"),"Dest.: "&amp;I388,"Gerador: "&amp;G388)))</f>
        <v/>
      </c>
    </row>
    <row r="389">
      <c r="A389" s="89" t="inlineStr">
        <is>
          <t>MTR-000384</t>
        </is>
      </c>
      <c r="B389" s="90" t="n"/>
      <c r="C389" s="91" t="n"/>
      <c r="D389" s="91" t="n"/>
      <c r="E389" s="92" t="n"/>
      <c r="F389" s="92" t="n"/>
      <c r="G389" s="91" t="n"/>
      <c r="H389" s="91" t="n"/>
      <c r="I389" s="91" t="n"/>
      <c r="J389" s="91" t="n"/>
      <c r="K389" s="91" t="n"/>
      <c r="L389" s="92" t="n"/>
      <c r="M389" s="91" t="n"/>
      <c r="N389" s="91" t="n"/>
      <c r="O389" s="91" t="n"/>
      <c r="P389" s="93" t="str">
        <f>IF(Z389=0,"",SUMIFS('ITENS_MTR'!$I$6:$I$1005,'ITENS_MTR'!$S$6:$S$1005,A389,'ITENS_MTR'!$Y$6:$Y$1005,1))</f>
        <v/>
      </c>
      <c r="Q389" s="93" t="str">
        <f>IF(Z389=0,"",SUMIFS('RECEBIMENTOS'!$H$6:$H$1005,'RECEBIMENTOS'!$B$6:$B$1005,A389,'RECEBIMENTOS'!$X$6:$X$1005,1))</f>
        <v/>
      </c>
      <c r="R389" s="93" t="str">
        <f>IF(Z389=0,"",SUMIFS('VÍNCULOS_CDF'!$H$6:$H$1005,'VÍNCULOS_CDF'!$D$6:$D$1005,A389,'VÍNCULOS_CDF'!$V$6:$V$1005,1))</f>
        <v/>
      </c>
      <c r="S389" s="94" t="str">
        <f>IF(Z389=0,"",IF(AA389=1,"Cancelado (informado)",IF(AE389=1,"Cadastro incompleto",IF(OR(AC389=1,AD389=1,AF389&gt;0,AH389&gt;0,AK389&gt;0,AL389&gt;0),"Informação a revisar",IF(AN389=0,"Aguardando recebimento",IF(N(R389)=0,"Aguardando CDF",IF(AJ389&lt;N(W389),"Vínculo de CDF parcial",IF(AO389=0,"CDF localizado, a conferir","Documentação conferida"))))))))</f>
        <v/>
      </c>
      <c r="T389" s="94" t="str">
        <f>IF(Z389=0,"",IF(S389="Cadastro incompleto","MTR INCOMPLETO",IF(S389="Informação a revisar",IF(AND(AH389&gt;0,AC389=0,AD389=0,AF389=0,AK389=0,AL389=0),"QUANTIDADE A REVISAR","IDENTIFICAÇÃO A REVISAR"),IF(S389="Aguardando recebimento","RECEBIMENTO NÃO CONFIRMADO",IF(S389="Aguardando CDF","CDF NÃO LOCALIZADO",IF(S389="Vínculo de CDF parcial","VÍNCULO INCOMPLETO",IF(S389="CDF localizado, a conferir","CDF A CONFERIR","")))))))</f>
        <v/>
      </c>
      <c r="U389" s="95" t="str">
        <f>IF(T389="","",IF(AQ389="","Não calculável",IF(AQ389&gt;TODAY(),"Data futura",TODAY()-AQ389)))</f>
        <v/>
      </c>
      <c r="V389" s="93" t="str">
        <f>IF(Z389=0,"",SUMIFS('RECEBIMENTOS'!$H$6:$H$1005,'RECEBIMENTOS'!$B$6:$B$1005,A389,'RECEBIMENTOS'!$Z$6:$Z$1005,1))</f>
        <v/>
      </c>
      <c r="W389" s="95" t="str">
        <f>IF(Z389=0,"",COUNTIFS('ITENS_MTR'!$S$6:$S$1005,A389,'ITENS_MTR'!$R$6:$R$1005,1))</f>
        <v/>
      </c>
      <c r="X389" s="94" t="str">
        <f>IF(AC389=1,"POSSÍVEL DUPLICIDADE","")</f>
        <v/>
      </c>
      <c r="Y389" s="94" t="str">
        <f>IF(Z389=0,"",IF(AW389="","Nenhuma",LEFT(AW389,LEN(AW389)-2)))</f>
        <v/>
      </c>
      <c r="Z389" s="96">
        <f>IF(COUNTA(B389:O389)&gt;0,1,0)</f>
        <v>0</v>
      </c>
      <c r="AA389" s="96">
        <f>IF(AND(Z389=1,K389&lt;&gt;""),IF(TRIM(K389)=TRIM(cfg_cancel),1,0),0)</f>
        <v>0</v>
      </c>
      <c r="AB389" s="96" t="str">
        <f>IF(AND(Z389=1,B389&lt;&gt;""),C389&amp;"|"&amp;D389&amp;"|"&amp;G389&amp;"|"&amp;TRIM(B389),"")</f>
        <v/>
      </c>
      <c r="AC389" s="96">
        <f>IF(AB389="",0,IF(SUMPRODUCT(--($AB$6:$AB$505=AB389))&gt;1,1,0))</f>
        <v>0</v>
      </c>
      <c r="AD389" s="96">
        <f>IF(Z389=0,0,IF(OR(AND(G389&lt;&gt;"",ISNA(MATCH(G389,'CAD_UNIDADES'!$C$6:$C$105,0))),AND(H389&lt;&gt;"",ISNA(MATCH(H389,cmp_transp,0))),AND(I389&lt;&gt;"",ISNA(MATCH(I389,cmp_dest,0))),AND(E389&lt;&gt;"",NOT(ISNUMBER(E389))),AND(F389&lt;&gt;"",NOT(ISNUMBER(F389))),AND(ISNUMBER(E389),ISNUMBER(F389),F389&lt;E389)),1,0))</f>
        <v>0</v>
      </c>
      <c r="AE389" s="96">
        <f>IF(Z389=0,0,IF(OR(B389="",C389="",E389="",G389="",H389="",I389="",N(W389)=0),1,0))</f>
        <v>0</v>
      </c>
      <c r="AF389" s="96">
        <f>IF(Z389=0,0,COUNTIFS('ITENS_MTR'!$S$6:$S$1005,A389,'ITENS_MTR'!$AI$6:$AI$1005,1))</f>
        <v>0</v>
      </c>
      <c r="AG389" s="96">
        <f>IF(Z389=0,0,COUNTIFS('ITENS_MTR'!$S$6:$S$1005,A389,'ITENS_MTR'!$AJ$6:$AJ$1005,1))</f>
        <v>0</v>
      </c>
      <c r="AH389" s="96">
        <f>IF(Z389=0,0,COUNTIFS('ITENS_MTR'!$S$6:$S$1005,A389,'ITENS_MTR'!$AM$6:$AM$1005,1))</f>
        <v>0</v>
      </c>
      <c r="AI389" s="96">
        <f>IF(Z389=0,0,COUNTIFS('ITENS_MTR'!$S$6:$S$1005,A389,'ITENS_MTR'!$AO$6:$AO$1005,1))</f>
        <v>0</v>
      </c>
      <c r="AJ389" s="96">
        <f>IF(Z389=0,0,COUNTIFS('ITENS_MTR'!$S$6:$S$1005,A389,'ITENS_MTR'!$AN$6:$AN$1005,1))</f>
        <v>0</v>
      </c>
      <c r="AK389" s="96">
        <f>IF(Z389=0,0,COUNTIFS('RECEBIMENTOS'!$B$6:$B$1005,A389,'RECEBIMENTOS'!$Y$6:$Y$1005,1))</f>
        <v>0</v>
      </c>
      <c r="AL389" s="96">
        <f>IF(Z389=0,0,COUNTIFS('VÍNCULOS_CDF'!$D$6:$D$1005,A389,'VÍNCULOS_CDF'!$Y$6:$Y$1005,1))</f>
        <v>0</v>
      </c>
      <c r="AM389" s="96">
        <f>IF(Z389=0,0,COUNTIFS('RECEBIMENTOS'!$B$6:$B$1005,A389,'RECEBIMENTOS'!$Q$6:$Q$1005,1))</f>
        <v>0</v>
      </c>
      <c r="AN389" s="96">
        <f>IF(AND(Z389=1,N(W389)&gt;0,AG389=N(W389)),1,0)</f>
        <v>0</v>
      </c>
      <c r="AO389" s="96">
        <f>IF(AND(Z389=1,N(W389)&gt;0,AI389=N(W389)),1,0)</f>
        <v>0</v>
      </c>
      <c r="AP389" s="97">
        <f>IF(Z389=0,0,_xlfn.MAXIFS('RECEBIMENTOS'!$E$6:$E$1005,'RECEBIMENTOS'!$B$6:$B$1005,A389))</f>
        <v>0</v>
      </c>
      <c r="AQ389" s="97" t="str">
        <f>IF(T389="","",IF(T389="RECEBIMENTO NÃO CONFIRMADO",IF(ISNUMBER(F389),F389,IF(ISNUMBER(E389),E389,"")),IF(OR(T389="CDF NÃO LOCALIZADO",T389="VÍNCULO INCOMPLETO",T389="CDF A CONFERIR"),IF(AP389&gt;0,AP389,IF(ISNUMBER(E389),E389,"")),IF(ISNUMBER(E389),E389,""))))</f>
        <v/>
      </c>
      <c r="AR389" s="96">
        <f>IF(NOT(ISNUMBER(U389)),0,IF(T389="RECEBIMENTO NÃO CONFIRMADO",IF(AND(ISNUMBER(cfg_rec),U389&gt;cfg_rec),1,0),IF(OR(T389="CDF NÃO LOCALIZADO",T389="VÍNCULO INCOMPLETO",T389="CDF A CONFERIR"),IF(AND(ISNUMBER(cfg_cdf),U389&gt;cfg_cdf),1,0),0)))</f>
        <v>0</v>
      </c>
      <c r="AS389" s="96" t="str">
        <f>IF(T389="","",IF(AR389=1,"Alta",IFERROR(INDEX(cfg_pp,MATCH(T389,cfg_pt,0))&amp;"","Média")))</f>
        <v/>
      </c>
      <c r="AT389" s="96" t="str">
        <f>IF(T389="","",IFERROR(INDEX(cfg_pv,MATCH(T389,cfg_pt,0))&amp;"",""))</f>
        <v/>
      </c>
      <c r="AU389" s="96" t="str">
        <f>IF(T389="","",IF(AS389="Alta",1,IF(AS389="Média",2,3))*1000000000+(999999-IF(ISNUMBER(U389),MIN(U389,999999),0))*1000+384)</f>
        <v/>
      </c>
      <c r="AV389" s="96">
        <f>IF(T389&lt;&gt;"",1,0)</f>
        <v>0</v>
      </c>
      <c r="AW389" s="96" t="str">
        <f>IF(Z389=0,"",IF(AA389=1,"Cancelamento informado; ","")&amp;IF(AE389=1,"Campos essenciais ou itens faltando; ","")&amp;IF(AC389=1,"Possível duplicidade do número; ","")&amp;IF(AD389=1,"Cadastro ou datas a revisar; ","")&amp;IF(AF389&gt;0,"Item de resíduo com dado a revisar; ","")&amp;IF(AH389&gt;0,"Diferença de quantidade a analisar; ","")&amp;IF(AK389&gt;0,"Recebimento com alerta; ","")&amp;IF(AL389&gt;0,"Vínculo de CDF com alerta; ","")&amp;IF(AND(AA389=0,AN389=0),"Recebimento não confirmado; ","")&amp;IF(AND(AA389=0,AN389=1,AO389=0),"CDF pendente ou a conferir; ",""))</f>
        <v/>
      </c>
      <c r="AX389" s="96">
        <f>IF(Z389=0,0,IF(AND(OR(f_ini="",AND(ISNUMBER(E389),E389&gt;=f_ini)),OR(f_fim="",AND(ISNUMBER(E389),E389&lt;=f_fim)),OR(f_un="",f_un="(Todas)",G389=f_un),OR(f_tr="",f_tr="(Todos)",H389=f_tr),OR(f_de="",f_de="(Todos)",I389=f_de),OR(f_sit="",f_sit="(Todas)",S389=f_sit)),1,0))</f>
        <v>0</v>
      </c>
      <c r="AY389" s="96">
        <f>IF(AX389=0,0,IF(OR(f_res="",f_res="(Todos)"),1,IF(COUNTIFS('ITENS_MTR'!$S$6:$S$1005,A389,'ITENS_MTR'!$C$6:$C$1005,f_res)&gt;0,1,0)))</f>
        <v>0</v>
      </c>
      <c r="AZ389" s="97" t="str">
        <f>IF(ISNUMBER(E389),DATE(YEAR(E389),MONTH(E389),1),"")</f>
        <v/>
      </c>
      <c r="BA389" s="96">
        <f>IF(Z389=0,0,IF(AND(OR(r_ini="",AND(ISNUMBER(E389),E389&gt;=r_ini)),OR(r_fim="",AND(ISNUMBER(E389),E389&lt;=r_fim)),OR(r_un="",r_un="(Todas)",G389=r_un),OR(r_de="",r_de="(Todos)",I389=r_de)),1,0))</f>
        <v>0</v>
      </c>
      <c r="BB389" s="96" t="str">
        <f>IF(BA389=1,COUNTIF($BA$6:BA389,1),"")</f>
        <v/>
      </c>
      <c r="BC389" s="96" t="str">
        <f>IF(AND(AU389&lt;&gt;"",OR(r_un="",r_un="(Todas)",G389=r_un),OR(r_de="",r_de="(Todos)",I389=r_de)),AU389,"")</f>
        <v/>
      </c>
      <c r="BD389" s="96" t="str">
        <f>IF(Z389=1,A389&amp;" | nº "&amp;IF(B389="","(sem número)",B389)&amp;" | "&amp;IF(G389="","(sem unidade)",G389),"")</f>
        <v/>
      </c>
      <c r="BE389" s="96" t="str">
        <f>IF(Z389=1,COUNTIF($Z$6:Z389,1),"")</f>
        <v/>
      </c>
      <c r="BF389" s="96" t="str">
        <f>IF(T389="","",IF(T389="RECEBIMENTO NÃO CONFIRMADO","Transp.: "&amp;H389&amp;" | Dest.: "&amp;I389,IF(OR(T389="CDF NÃO LOCALIZADO",T389="VÍNCULO INCOMPLETO",T389="CDF A CONFERIR"),"Dest.: "&amp;I389,"Gerador: "&amp;G389)))</f>
        <v/>
      </c>
    </row>
    <row r="390">
      <c r="A390" s="89" t="inlineStr">
        <is>
          <t>MTR-000385</t>
        </is>
      </c>
      <c r="B390" s="90" t="n"/>
      <c r="C390" s="91" t="n"/>
      <c r="D390" s="91" t="n"/>
      <c r="E390" s="92" t="n"/>
      <c r="F390" s="92" t="n"/>
      <c r="G390" s="91" t="n"/>
      <c r="H390" s="91" t="n"/>
      <c r="I390" s="91" t="n"/>
      <c r="J390" s="91" t="n"/>
      <c r="K390" s="91" t="n"/>
      <c r="L390" s="92" t="n"/>
      <c r="M390" s="91" t="n"/>
      <c r="N390" s="91" t="n"/>
      <c r="O390" s="91" t="n"/>
      <c r="P390" s="93" t="str">
        <f>IF(Z390=0,"",SUMIFS('ITENS_MTR'!$I$6:$I$1005,'ITENS_MTR'!$S$6:$S$1005,A390,'ITENS_MTR'!$Y$6:$Y$1005,1))</f>
        <v/>
      </c>
      <c r="Q390" s="93" t="str">
        <f>IF(Z390=0,"",SUMIFS('RECEBIMENTOS'!$H$6:$H$1005,'RECEBIMENTOS'!$B$6:$B$1005,A390,'RECEBIMENTOS'!$X$6:$X$1005,1))</f>
        <v/>
      </c>
      <c r="R390" s="93" t="str">
        <f>IF(Z390=0,"",SUMIFS('VÍNCULOS_CDF'!$H$6:$H$1005,'VÍNCULOS_CDF'!$D$6:$D$1005,A390,'VÍNCULOS_CDF'!$V$6:$V$1005,1))</f>
        <v/>
      </c>
      <c r="S390" s="94" t="str">
        <f>IF(Z390=0,"",IF(AA390=1,"Cancelado (informado)",IF(AE390=1,"Cadastro incompleto",IF(OR(AC390=1,AD390=1,AF390&gt;0,AH390&gt;0,AK390&gt;0,AL390&gt;0),"Informação a revisar",IF(AN390=0,"Aguardando recebimento",IF(N(R390)=0,"Aguardando CDF",IF(AJ390&lt;N(W390),"Vínculo de CDF parcial",IF(AO390=0,"CDF localizado, a conferir","Documentação conferida"))))))))</f>
        <v/>
      </c>
      <c r="T390" s="94" t="str">
        <f>IF(Z390=0,"",IF(S390="Cadastro incompleto","MTR INCOMPLETO",IF(S390="Informação a revisar",IF(AND(AH390&gt;0,AC390=0,AD390=0,AF390=0,AK390=0,AL390=0),"QUANTIDADE A REVISAR","IDENTIFICAÇÃO A REVISAR"),IF(S390="Aguardando recebimento","RECEBIMENTO NÃO CONFIRMADO",IF(S390="Aguardando CDF","CDF NÃO LOCALIZADO",IF(S390="Vínculo de CDF parcial","VÍNCULO INCOMPLETO",IF(S390="CDF localizado, a conferir","CDF A CONFERIR","")))))))</f>
        <v/>
      </c>
      <c r="U390" s="95" t="str">
        <f>IF(T390="","",IF(AQ390="","Não calculável",IF(AQ390&gt;TODAY(),"Data futura",TODAY()-AQ390)))</f>
        <v/>
      </c>
      <c r="V390" s="93" t="str">
        <f>IF(Z390=0,"",SUMIFS('RECEBIMENTOS'!$H$6:$H$1005,'RECEBIMENTOS'!$B$6:$B$1005,A390,'RECEBIMENTOS'!$Z$6:$Z$1005,1))</f>
        <v/>
      </c>
      <c r="W390" s="95" t="str">
        <f>IF(Z390=0,"",COUNTIFS('ITENS_MTR'!$S$6:$S$1005,A390,'ITENS_MTR'!$R$6:$R$1005,1))</f>
        <v/>
      </c>
      <c r="X390" s="94" t="str">
        <f>IF(AC390=1,"POSSÍVEL DUPLICIDADE","")</f>
        <v/>
      </c>
      <c r="Y390" s="94" t="str">
        <f>IF(Z390=0,"",IF(AW390="","Nenhuma",LEFT(AW390,LEN(AW390)-2)))</f>
        <v/>
      </c>
      <c r="Z390" s="96">
        <f>IF(COUNTA(B390:O390)&gt;0,1,0)</f>
        <v>0</v>
      </c>
      <c r="AA390" s="96">
        <f>IF(AND(Z390=1,K390&lt;&gt;""),IF(TRIM(K390)=TRIM(cfg_cancel),1,0),0)</f>
        <v>0</v>
      </c>
      <c r="AB390" s="96" t="str">
        <f>IF(AND(Z390=1,B390&lt;&gt;""),C390&amp;"|"&amp;D390&amp;"|"&amp;G390&amp;"|"&amp;TRIM(B390),"")</f>
        <v/>
      </c>
      <c r="AC390" s="96">
        <f>IF(AB390="",0,IF(SUMPRODUCT(--($AB$6:$AB$505=AB390))&gt;1,1,0))</f>
        <v>0</v>
      </c>
      <c r="AD390" s="96">
        <f>IF(Z390=0,0,IF(OR(AND(G390&lt;&gt;"",ISNA(MATCH(G390,'CAD_UNIDADES'!$C$6:$C$105,0))),AND(H390&lt;&gt;"",ISNA(MATCH(H390,cmp_transp,0))),AND(I390&lt;&gt;"",ISNA(MATCH(I390,cmp_dest,0))),AND(E390&lt;&gt;"",NOT(ISNUMBER(E390))),AND(F390&lt;&gt;"",NOT(ISNUMBER(F390))),AND(ISNUMBER(E390),ISNUMBER(F390),F390&lt;E390)),1,0))</f>
        <v>0</v>
      </c>
      <c r="AE390" s="96">
        <f>IF(Z390=0,0,IF(OR(B390="",C390="",E390="",G390="",H390="",I390="",N(W390)=0),1,0))</f>
        <v>0</v>
      </c>
      <c r="AF390" s="96">
        <f>IF(Z390=0,0,COUNTIFS('ITENS_MTR'!$S$6:$S$1005,A390,'ITENS_MTR'!$AI$6:$AI$1005,1))</f>
        <v>0</v>
      </c>
      <c r="AG390" s="96">
        <f>IF(Z390=0,0,COUNTIFS('ITENS_MTR'!$S$6:$S$1005,A390,'ITENS_MTR'!$AJ$6:$AJ$1005,1))</f>
        <v>0</v>
      </c>
      <c r="AH390" s="96">
        <f>IF(Z390=0,0,COUNTIFS('ITENS_MTR'!$S$6:$S$1005,A390,'ITENS_MTR'!$AM$6:$AM$1005,1))</f>
        <v>0</v>
      </c>
      <c r="AI390" s="96">
        <f>IF(Z390=0,0,COUNTIFS('ITENS_MTR'!$S$6:$S$1005,A390,'ITENS_MTR'!$AO$6:$AO$1005,1))</f>
        <v>0</v>
      </c>
      <c r="AJ390" s="96">
        <f>IF(Z390=0,0,COUNTIFS('ITENS_MTR'!$S$6:$S$1005,A390,'ITENS_MTR'!$AN$6:$AN$1005,1))</f>
        <v>0</v>
      </c>
      <c r="AK390" s="96">
        <f>IF(Z390=0,0,COUNTIFS('RECEBIMENTOS'!$B$6:$B$1005,A390,'RECEBIMENTOS'!$Y$6:$Y$1005,1))</f>
        <v>0</v>
      </c>
      <c r="AL390" s="96">
        <f>IF(Z390=0,0,COUNTIFS('VÍNCULOS_CDF'!$D$6:$D$1005,A390,'VÍNCULOS_CDF'!$Y$6:$Y$1005,1))</f>
        <v>0</v>
      </c>
      <c r="AM390" s="96">
        <f>IF(Z390=0,0,COUNTIFS('RECEBIMENTOS'!$B$6:$B$1005,A390,'RECEBIMENTOS'!$Q$6:$Q$1005,1))</f>
        <v>0</v>
      </c>
      <c r="AN390" s="96">
        <f>IF(AND(Z390=1,N(W390)&gt;0,AG390=N(W390)),1,0)</f>
        <v>0</v>
      </c>
      <c r="AO390" s="96">
        <f>IF(AND(Z390=1,N(W390)&gt;0,AI390=N(W390)),1,0)</f>
        <v>0</v>
      </c>
      <c r="AP390" s="97">
        <f>IF(Z390=0,0,_xlfn.MAXIFS('RECEBIMENTOS'!$E$6:$E$1005,'RECEBIMENTOS'!$B$6:$B$1005,A390))</f>
        <v>0</v>
      </c>
      <c r="AQ390" s="97" t="str">
        <f>IF(T390="","",IF(T390="RECEBIMENTO NÃO CONFIRMADO",IF(ISNUMBER(F390),F390,IF(ISNUMBER(E390),E390,"")),IF(OR(T390="CDF NÃO LOCALIZADO",T390="VÍNCULO INCOMPLETO",T390="CDF A CONFERIR"),IF(AP390&gt;0,AP390,IF(ISNUMBER(E390),E390,"")),IF(ISNUMBER(E390),E390,""))))</f>
        <v/>
      </c>
      <c r="AR390" s="96">
        <f>IF(NOT(ISNUMBER(U390)),0,IF(T390="RECEBIMENTO NÃO CONFIRMADO",IF(AND(ISNUMBER(cfg_rec),U390&gt;cfg_rec),1,0),IF(OR(T390="CDF NÃO LOCALIZADO",T390="VÍNCULO INCOMPLETO",T390="CDF A CONFERIR"),IF(AND(ISNUMBER(cfg_cdf),U390&gt;cfg_cdf),1,0),0)))</f>
        <v>0</v>
      </c>
      <c r="AS390" s="96" t="str">
        <f>IF(T390="","",IF(AR390=1,"Alta",IFERROR(INDEX(cfg_pp,MATCH(T390,cfg_pt,0))&amp;"","Média")))</f>
        <v/>
      </c>
      <c r="AT390" s="96" t="str">
        <f>IF(T390="","",IFERROR(INDEX(cfg_pv,MATCH(T390,cfg_pt,0))&amp;"",""))</f>
        <v/>
      </c>
      <c r="AU390" s="96" t="str">
        <f>IF(T390="","",IF(AS390="Alta",1,IF(AS390="Média",2,3))*1000000000+(999999-IF(ISNUMBER(U390),MIN(U390,999999),0))*1000+385)</f>
        <v/>
      </c>
      <c r="AV390" s="96">
        <f>IF(T390&lt;&gt;"",1,0)</f>
        <v>0</v>
      </c>
      <c r="AW390" s="96" t="str">
        <f>IF(Z390=0,"",IF(AA390=1,"Cancelamento informado; ","")&amp;IF(AE390=1,"Campos essenciais ou itens faltando; ","")&amp;IF(AC390=1,"Possível duplicidade do número; ","")&amp;IF(AD390=1,"Cadastro ou datas a revisar; ","")&amp;IF(AF390&gt;0,"Item de resíduo com dado a revisar; ","")&amp;IF(AH390&gt;0,"Diferença de quantidade a analisar; ","")&amp;IF(AK390&gt;0,"Recebimento com alerta; ","")&amp;IF(AL390&gt;0,"Vínculo de CDF com alerta; ","")&amp;IF(AND(AA390=0,AN390=0),"Recebimento não confirmado; ","")&amp;IF(AND(AA390=0,AN390=1,AO390=0),"CDF pendente ou a conferir; ",""))</f>
        <v/>
      </c>
      <c r="AX390" s="96">
        <f>IF(Z390=0,0,IF(AND(OR(f_ini="",AND(ISNUMBER(E390),E390&gt;=f_ini)),OR(f_fim="",AND(ISNUMBER(E390),E390&lt;=f_fim)),OR(f_un="",f_un="(Todas)",G390=f_un),OR(f_tr="",f_tr="(Todos)",H390=f_tr),OR(f_de="",f_de="(Todos)",I390=f_de),OR(f_sit="",f_sit="(Todas)",S390=f_sit)),1,0))</f>
        <v>0</v>
      </c>
      <c r="AY390" s="96">
        <f>IF(AX390=0,0,IF(OR(f_res="",f_res="(Todos)"),1,IF(COUNTIFS('ITENS_MTR'!$S$6:$S$1005,A390,'ITENS_MTR'!$C$6:$C$1005,f_res)&gt;0,1,0)))</f>
        <v>0</v>
      </c>
      <c r="AZ390" s="97" t="str">
        <f>IF(ISNUMBER(E390),DATE(YEAR(E390),MONTH(E390),1),"")</f>
        <v/>
      </c>
      <c r="BA390" s="96">
        <f>IF(Z390=0,0,IF(AND(OR(r_ini="",AND(ISNUMBER(E390),E390&gt;=r_ini)),OR(r_fim="",AND(ISNUMBER(E390),E390&lt;=r_fim)),OR(r_un="",r_un="(Todas)",G390=r_un),OR(r_de="",r_de="(Todos)",I390=r_de)),1,0))</f>
        <v>0</v>
      </c>
      <c r="BB390" s="96" t="str">
        <f>IF(BA390=1,COUNTIF($BA$6:BA390,1),"")</f>
        <v/>
      </c>
      <c r="BC390" s="96" t="str">
        <f>IF(AND(AU390&lt;&gt;"",OR(r_un="",r_un="(Todas)",G390=r_un),OR(r_de="",r_de="(Todos)",I390=r_de)),AU390,"")</f>
        <v/>
      </c>
      <c r="BD390" s="96" t="str">
        <f>IF(Z390=1,A390&amp;" | nº "&amp;IF(B390="","(sem número)",B390)&amp;" | "&amp;IF(G390="","(sem unidade)",G390),"")</f>
        <v/>
      </c>
      <c r="BE390" s="96" t="str">
        <f>IF(Z390=1,COUNTIF($Z$6:Z390,1),"")</f>
        <v/>
      </c>
      <c r="BF390" s="96" t="str">
        <f>IF(T390="","",IF(T390="RECEBIMENTO NÃO CONFIRMADO","Transp.: "&amp;H390&amp;" | Dest.: "&amp;I390,IF(OR(T390="CDF NÃO LOCALIZADO",T390="VÍNCULO INCOMPLETO",T390="CDF A CONFERIR"),"Dest.: "&amp;I390,"Gerador: "&amp;G390)))</f>
        <v/>
      </c>
    </row>
    <row r="391">
      <c r="A391" s="89" t="inlineStr">
        <is>
          <t>MTR-000386</t>
        </is>
      </c>
      <c r="B391" s="90" t="n"/>
      <c r="C391" s="91" t="n"/>
      <c r="D391" s="91" t="n"/>
      <c r="E391" s="92" t="n"/>
      <c r="F391" s="92" t="n"/>
      <c r="G391" s="91" t="n"/>
      <c r="H391" s="91" t="n"/>
      <c r="I391" s="91" t="n"/>
      <c r="J391" s="91" t="n"/>
      <c r="K391" s="91" t="n"/>
      <c r="L391" s="92" t="n"/>
      <c r="M391" s="91" t="n"/>
      <c r="N391" s="91" t="n"/>
      <c r="O391" s="91" t="n"/>
      <c r="P391" s="93" t="str">
        <f>IF(Z391=0,"",SUMIFS('ITENS_MTR'!$I$6:$I$1005,'ITENS_MTR'!$S$6:$S$1005,A391,'ITENS_MTR'!$Y$6:$Y$1005,1))</f>
        <v/>
      </c>
      <c r="Q391" s="93" t="str">
        <f>IF(Z391=0,"",SUMIFS('RECEBIMENTOS'!$H$6:$H$1005,'RECEBIMENTOS'!$B$6:$B$1005,A391,'RECEBIMENTOS'!$X$6:$X$1005,1))</f>
        <v/>
      </c>
      <c r="R391" s="93" t="str">
        <f>IF(Z391=0,"",SUMIFS('VÍNCULOS_CDF'!$H$6:$H$1005,'VÍNCULOS_CDF'!$D$6:$D$1005,A391,'VÍNCULOS_CDF'!$V$6:$V$1005,1))</f>
        <v/>
      </c>
      <c r="S391" s="94" t="str">
        <f>IF(Z391=0,"",IF(AA391=1,"Cancelado (informado)",IF(AE391=1,"Cadastro incompleto",IF(OR(AC391=1,AD391=1,AF391&gt;0,AH391&gt;0,AK391&gt;0,AL391&gt;0),"Informação a revisar",IF(AN391=0,"Aguardando recebimento",IF(N(R391)=0,"Aguardando CDF",IF(AJ391&lt;N(W391),"Vínculo de CDF parcial",IF(AO391=0,"CDF localizado, a conferir","Documentação conferida"))))))))</f>
        <v/>
      </c>
      <c r="T391" s="94" t="str">
        <f>IF(Z391=0,"",IF(S391="Cadastro incompleto","MTR INCOMPLETO",IF(S391="Informação a revisar",IF(AND(AH391&gt;0,AC391=0,AD391=0,AF391=0,AK391=0,AL391=0),"QUANTIDADE A REVISAR","IDENTIFICAÇÃO A REVISAR"),IF(S391="Aguardando recebimento","RECEBIMENTO NÃO CONFIRMADO",IF(S391="Aguardando CDF","CDF NÃO LOCALIZADO",IF(S391="Vínculo de CDF parcial","VÍNCULO INCOMPLETO",IF(S391="CDF localizado, a conferir","CDF A CONFERIR","")))))))</f>
        <v/>
      </c>
      <c r="U391" s="95" t="str">
        <f>IF(T391="","",IF(AQ391="","Não calculável",IF(AQ391&gt;TODAY(),"Data futura",TODAY()-AQ391)))</f>
        <v/>
      </c>
      <c r="V391" s="93" t="str">
        <f>IF(Z391=0,"",SUMIFS('RECEBIMENTOS'!$H$6:$H$1005,'RECEBIMENTOS'!$B$6:$B$1005,A391,'RECEBIMENTOS'!$Z$6:$Z$1005,1))</f>
        <v/>
      </c>
      <c r="W391" s="95" t="str">
        <f>IF(Z391=0,"",COUNTIFS('ITENS_MTR'!$S$6:$S$1005,A391,'ITENS_MTR'!$R$6:$R$1005,1))</f>
        <v/>
      </c>
      <c r="X391" s="94" t="str">
        <f>IF(AC391=1,"POSSÍVEL DUPLICIDADE","")</f>
        <v/>
      </c>
      <c r="Y391" s="94" t="str">
        <f>IF(Z391=0,"",IF(AW391="","Nenhuma",LEFT(AW391,LEN(AW391)-2)))</f>
        <v/>
      </c>
      <c r="Z391" s="96">
        <f>IF(COUNTA(B391:O391)&gt;0,1,0)</f>
        <v>0</v>
      </c>
      <c r="AA391" s="96">
        <f>IF(AND(Z391=1,K391&lt;&gt;""),IF(TRIM(K391)=TRIM(cfg_cancel),1,0),0)</f>
        <v>0</v>
      </c>
      <c r="AB391" s="96" t="str">
        <f>IF(AND(Z391=1,B391&lt;&gt;""),C391&amp;"|"&amp;D391&amp;"|"&amp;G391&amp;"|"&amp;TRIM(B391),"")</f>
        <v/>
      </c>
      <c r="AC391" s="96">
        <f>IF(AB391="",0,IF(SUMPRODUCT(--($AB$6:$AB$505=AB391))&gt;1,1,0))</f>
        <v>0</v>
      </c>
      <c r="AD391" s="96">
        <f>IF(Z391=0,0,IF(OR(AND(G391&lt;&gt;"",ISNA(MATCH(G391,'CAD_UNIDADES'!$C$6:$C$105,0))),AND(H391&lt;&gt;"",ISNA(MATCH(H391,cmp_transp,0))),AND(I391&lt;&gt;"",ISNA(MATCH(I391,cmp_dest,0))),AND(E391&lt;&gt;"",NOT(ISNUMBER(E391))),AND(F391&lt;&gt;"",NOT(ISNUMBER(F391))),AND(ISNUMBER(E391),ISNUMBER(F391),F391&lt;E391)),1,0))</f>
        <v>0</v>
      </c>
      <c r="AE391" s="96">
        <f>IF(Z391=0,0,IF(OR(B391="",C391="",E391="",G391="",H391="",I391="",N(W391)=0),1,0))</f>
        <v>0</v>
      </c>
      <c r="AF391" s="96">
        <f>IF(Z391=0,0,COUNTIFS('ITENS_MTR'!$S$6:$S$1005,A391,'ITENS_MTR'!$AI$6:$AI$1005,1))</f>
        <v>0</v>
      </c>
      <c r="AG391" s="96">
        <f>IF(Z391=0,0,COUNTIFS('ITENS_MTR'!$S$6:$S$1005,A391,'ITENS_MTR'!$AJ$6:$AJ$1005,1))</f>
        <v>0</v>
      </c>
      <c r="AH391" s="96">
        <f>IF(Z391=0,0,COUNTIFS('ITENS_MTR'!$S$6:$S$1005,A391,'ITENS_MTR'!$AM$6:$AM$1005,1))</f>
        <v>0</v>
      </c>
      <c r="AI391" s="96">
        <f>IF(Z391=0,0,COUNTIFS('ITENS_MTR'!$S$6:$S$1005,A391,'ITENS_MTR'!$AO$6:$AO$1005,1))</f>
        <v>0</v>
      </c>
      <c r="AJ391" s="96">
        <f>IF(Z391=0,0,COUNTIFS('ITENS_MTR'!$S$6:$S$1005,A391,'ITENS_MTR'!$AN$6:$AN$1005,1))</f>
        <v>0</v>
      </c>
      <c r="AK391" s="96">
        <f>IF(Z391=0,0,COUNTIFS('RECEBIMENTOS'!$B$6:$B$1005,A391,'RECEBIMENTOS'!$Y$6:$Y$1005,1))</f>
        <v>0</v>
      </c>
      <c r="AL391" s="96">
        <f>IF(Z391=0,0,COUNTIFS('VÍNCULOS_CDF'!$D$6:$D$1005,A391,'VÍNCULOS_CDF'!$Y$6:$Y$1005,1))</f>
        <v>0</v>
      </c>
      <c r="AM391" s="96">
        <f>IF(Z391=0,0,COUNTIFS('RECEBIMENTOS'!$B$6:$B$1005,A391,'RECEBIMENTOS'!$Q$6:$Q$1005,1))</f>
        <v>0</v>
      </c>
      <c r="AN391" s="96">
        <f>IF(AND(Z391=1,N(W391)&gt;0,AG391=N(W391)),1,0)</f>
        <v>0</v>
      </c>
      <c r="AO391" s="96">
        <f>IF(AND(Z391=1,N(W391)&gt;0,AI391=N(W391)),1,0)</f>
        <v>0</v>
      </c>
      <c r="AP391" s="97">
        <f>IF(Z391=0,0,_xlfn.MAXIFS('RECEBIMENTOS'!$E$6:$E$1005,'RECEBIMENTOS'!$B$6:$B$1005,A391))</f>
        <v>0</v>
      </c>
      <c r="AQ391" s="97" t="str">
        <f>IF(T391="","",IF(T391="RECEBIMENTO NÃO CONFIRMADO",IF(ISNUMBER(F391),F391,IF(ISNUMBER(E391),E391,"")),IF(OR(T391="CDF NÃO LOCALIZADO",T391="VÍNCULO INCOMPLETO",T391="CDF A CONFERIR"),IF(AP391&gt;0,AP391,IF(ISNUMBER(E391),E391,"")),IF(ISNUMBER(E391),E391,""))))</f>
        <v/>
      </c>
      <c r="AR391" s="96">
        <f>IF(NOT(ISNUMBER(U391)),0,IF(T391="RECEBIMENTO NÃO CONFIRMADO",IF(AND(ISNUMBER(cfg_rec),U391&gt;cfg_rec),1,0),IF(OR(T391="CDF NÃO LOCALIZADO",T391="VÍNCULO INCOMPLETO",T391="CDF A CONFERIR"),IF(AND(ISNUMBER(cfg_cdf),U391&gt;cfg_cdf),1,0),0)))</f>
        <v>0</v>
      </c>
      <c r="AS391" s="96" t="str">
        <f>IF(T391="","",IF(AR391=1,"Alta",IFERROR(INDEX(cfg_pp,MATCH(T391,cfg_pt,0))&amp;"","Média")))</f>
        <v/>
      </c>
      <c r="AT391" s="96" t="str">
        <f>IF(T391="","",IFERROR(INDEX(cfg_pv,MATCH(T391,cfg_pt,0))&amp;"",""))</f>
        <v/>
      </c>
      <c r="AU391" s="96" t="str">
        <f>IF(T391="","",IF(AS391="Alta",1,IF(AS391="Média",2,3))*1000000000+(999999-IF(ISNUMBER(U391),MIN(U391,999999),0))*1000+386)</f>
        <v/>
      </c>
      <c r="AV391" s="96">
        <f>IF(T391&lt;&gt;"",1,0)</f>
        <v>0</v>
      </c>
      <c r="AW391" s="96" t="str">
        <f>IF(Z391=0,"",IF(AA391=1,"Cancelamento informado; ","")&amp;IF(AE391=1,"Campos essenciais ou itens faltando; ","")&amp;IF(AC391=1,"Possível duplicidade do número; ","")&amp;IF(AD391=1,"Cadastro ou datas a revisar; ","")&amp;IF(AF391&gt;0,"Item de resíduo com dado a revisar; ","")&amp;IF(AH391&gt;0,"Diferença de quantidade a analisar; ","")&amp;IF(AK391&gt;0,"Recebimento com alerta; ","")&amp;IF(AL391&gt;0,"Vínculo de CDF com alerta; ","")&amp;IF(AND(AA391=0,AN391=0),"Recebimento não confirmado; ","")&amp;IF(AND(AA391=0,AN391=1,AO391=0),"CDF pendente ou a conferir; ",""))</f>
        <v/>
      </c>
      <c r="AX391" s="96">
        <f>IF(Z391=0,0,IF(AND(OR(f_ini="",AND(ISNUMBER(E391),E391&gt;=f_ini)),OR(f_fim="",AND(ISNUMBER(E391),E391&lt;=f_fim)),OR(f_un="",f_un="(Todas)",G391=f_un),OR(f_tr="",f_tr="(Todos)",H391=f_tr),OR(f_de="",f_de="(Todos)",I391=f_de),OR(f_sit="",f_sit="(Todas)",S391=f_sit)),1,0))</f>
        <v>0</v>
      </c>
      <c r="AY391" s="96">
        <f>IF(AX391=0,0,IF(OR(f_res="",f_res="(Todos)"),1,IF(COUNTIFS('ITENS_MTR'!$S$6:$S$1005,A391,'ITENS_MTR'!$C$6:$C$1005,f_res)&gt;0,1,0)))</f>
        <v>0</v>
      </c>
      <c r="AZ391" s="97" t="str">
        <f>IF(ISNUMBER(E391),DATE(YEAR(E391),MONTH(E391),1),"")</f>
        <v/>
      </c>
      <c r="BA391" s="96">
        <f>IF(Z391=0,0,IF(AND(OR(r_ini="",AND(ISNUMBER(E391),E391&gt;=r_ini)),OR(r_fim="",AND(ISNUMBER(E391),E391&lt;=r_fim)),OR(r_un="",r_un="(Todas)",G391=r_un),OR(r_de="",r_de="(Todos)",I391=r_de)),1,0))</f>
        <v>0</v>
      </c>
      <c r="BB391" s="96" t="str">
        <f>IF(BA391=1,COUNTIF($BA$6:BA391,1),"")</f>
        <v/>
      </c>
      <c r="BC391" s="96" t="str">
        <f>IF(AND(AU391&lt;&gt;"",OR(r_un="",r_un="(Todas)",G391=r_un),OR(r_de="",r_de="(Todos)",I391=r_de)),AU391,"")</f>
        <v/>
      </c>
      <c r="BD391" s="96" t="str">
        <f>IF(Z391=1,A391&amp;" | nº "&amp;IF(B391="","(sem número)",B391)&amp;" | "&amp;IF(G391="","(sem unidade)",G391),"")</f>
        <v/>
      </c>
      <c r="BE391" s="96" t="str">
        <f>IF(Z391=1,COUNTIF($Z$6:Z391,1),"")</f>
        <v/>
      </c>
      <c r="BF391" s="96" t="str">
        <f>IF(T391="","",IF(T391="RECEBIMENTO NÃO CONFIRMADO","Transp.: "&amp;H391&amp;" | Dest.: "&amp;I391,IF(OR(T391="CDF NÃO LOCALIZADO",T391="VÍNCULO INCOMPLETO",T391="CDF A CONFERIR"),"Dest.: "&amp;I391,"Gerador: "&amp;G391)))</f>
        <v/>
      </c>
    </row>
    <row r="392">
      <c r="A392" s="89" t="inlineStr">
        <is>
          <t>MTR-000387</t>
        </is>
      </c>
      <c r="B392" s="90" t="n"/>
      <c r="C392" s="91" t="n"/>
      <c r="D392" s="91" t="n"/>
      <c r="E392" s="92" t="n"/>
      <c r="F392" s="92" t="n"/>
      <c r="G392" s="91" t="n"/>
      <c r="H392" s="91" t="n"/>
      <c r="I392" s="91" t="n"/>
      <c r="J392" s="91" t="n"/>
      <c r="K392" s="91" t="n"/>
      <c r="L392" s="92" t="n"/>
      <c r="M392" s="91" t="n"/>
      <c r="N392" s="91" t="n"/>
      <c r="O392" s="91" t="n"/>
      <c r="P392" s="93" t="str">
        <f>IF(Z392=0,"",SUMIFS('ITENS_MTR'!$I$6:$I$1005,'ITENS_MTR'!$S$6:$S$1005,A392,'ITENS_MTR'!$Y$6:$Y$1005,1))</f>
        <v/>
      </c>
      <c r="Q392" s="93" t="str">
        <f>IF(Z392=0,"",SUMIFS('RECEBIMENTOS'!$H$6:$H$1005,'RECEBIMENTOS'!$B$6:$B$1005,A392,'RECEBIMENTOS'!$X$6:$X$1005,1))</f>
        <v/>
      </c>
      <c r="R392" s="93" t="str">
        <f>IF(Z392=0,"",SUMIFS('VÍNCULOS_CDF'!$H$6:$H$1005,'VÍNCULOS_CDF'!$D$6:$D$1005,A392,'VÍNCULOS_CDF'!$V$6:$V$1005,1))</f>
        <v/>
      </c>
      <c r="S392" s="94" t="str">
        <f>IF(Z392=0,"",IF(AA392=1,"Cancelado (informado)",IF(AE392=1,"Cadastro incompleto",IF(OR(AC392=1,AD392=1,AF392&gt;0,AH392&gt;0,AK392&gt;0,AL392&gt;0),"Informação a revisar",IF(AN392=0,"Aguardando recebimento",IF(N(R392)=0,"Aguardando CDF",IF(AJ392&lt;N(W392),"Vínculo de CDF parcial",IF(AO392=0,"CDF localizado, a conferir","Documentação conferida"))))))))</f>
        <v/>
      </c>
      <c r="T392" s="94" t="str">
        <f>IF(Z392=0,"",IF(S392="Cadastro incompleto","MTR INCOMPLETO",IF(S392="Informação a revisar",IF(AND(AH392&gt;0,AC392=0,AD392=0,AF392=0,AK392=0,AL392=0),"QUANTIDADE A REVISAR","IDENTIFICAÇÃO A REVISAR"),IF(S392="Aguardando recebimento","RECEBIMENTO NÃO CONFIRMADO",IF(S392="Aguardando CDF","CDF NÃO LOCALIZADO",IF(S392="Vínculo de CDF parcial","VÍNCULO INCOMPLETO",IF(S392="CDF localizado, a conferir","CDF A CONFERIR","")))))))</f>
        <v/>
      </c>
      <c r="U392" s="95" t="str">
        <f>IF(T392="","",IF(AQ392="","Não calculável",IF(AQ392&gt;TODAY(),"Data futura",TODAY()-AQ392)))</f>
        <v/>
      </c>
      <c r="V392" s="93" t="str">
        <f>IF(Z392=0,"",SUMIFS('RECEBIMENTOS'!$H$6:$H$1005,'RECEBIMENTOS'!$B$6:$B$1005,A392,'RECEBIMENTOS'!$Z$6:$Z$1005,1))</f>
        <v/>
      </c>
      <c r="W392" s="95" t="str">
        <f>IF(Z392=0,"",COUNTIFS('ITENS_MTR'!$S$6:$S$1005,A392,'ITENS_MTR'!$R$6:$R$1005,1))</f>
        <v/>
      </c>
      <c r="X392" s="94" t="str">
        <f>IF(AC392=1,"POSSÍVEL DUPLICIDADE","")</f>
        <v/>
      </c>
      <c r="Y392" s="94" t="str">
        <f>IF(Z392=0,"",IF(AW392="","Nenhuma",LEFT(AW392,LEN(AW392)-2)))</f>
        <v/>
      </c>
      <c r="Z392" s="96">
        <f>IF(COUNTA(B392:O392)&gt;0,1,0)</f>
        <v>0</v>
      </c>
      <c r="AA392" s="96">
        <f>IF(AND(Z392=1,K392&lt;&gt;""),IF(TRIM(K392)=TRIM(cfg_cancel),1,0),0)</f>
        <v>0</v>
      </c>
      <c r="AB392" s="96" t="str">
        <f>IF(AND(Z392=1,B392&lt;&gt;""),C392&amp;"|"&amp;D392&amp;"|"&amp;G392&amp;"|"&amp;TRIM(B392),"")</f>
        <v/>
      </c>
      <c r="AC392" s="96">
        <f>IF(AB392="",0,IF(SUMPRODUCT(--($AB$6:$AB$505=AB392))&gt;1,1,0))</f>
        <v>0</v>
      </c>
      <c r="AD392" s="96">
        <f>IF(Z392=0,0,IF(OR(AND(G392&lt;&gt;"",ISNA(MATCH(G392,'CAD_UNIDADES'!$C$6:$C$105,0))),AND(H392&lt;&gt;"",ISNA(MATCH(H392,cmp_transp,0))),AND(I392&lt;&gt;"",ISNA(MATCH(I392,cmp_dest,0))),AND(E392&lt;&gt;"",NOT(ISNUMBER(E392))),AND(F392&lt;&gt;"",NOT(ISNUMBER(F392))),AND(ISNUMBER(E392),ISNUMBER(F392),F392&lt;E392)),1,0))</f>
        <v>0</v>
      </c>
      <c r="AE392" s="96">
        <f>IF(Z392=0,0,IF(OR(B392="",C392="",E392="",G392="",H392="",I392="",N(W392)=0),1,0))</f>
        <v>0</v>
      </c>
      <c r="AF392" s="96">
        <f>IF(Z392=0,0,COUNTIFS('ITENS_MTR'!$S$6:$S$1005,A392,'ITENS_MTR'!$AI$6:$AI$1005,1))</f>
        <v>0</v>
      </c>
      <c r="AG392" s="96">
        <f>IF(Z392=0,0,COUNTIFS('ITENS_MTR'!$S$6:$S$1005,A392,'ITENS_MTR'!$AJ$6:$AJ$1005,1))</f>
        <v>0</v>
      </c>
      <c r="AH392" s="96">
        <f>IF(Z392=0,0,COUNTIFS('ITENS_MTR'!$S$6:$S$1005,A392,'ITENS_MTR'!$AM$6:$AM$1005,1))</f>
        <v>0</v>
      </c>
      <c r="AI392" s="96">
        <f>IF(Z392=0,0,COUNTIFS('ITENS_MTR'!$S$6:$S$1005,A392,'ITENS_MTR'!$AO$6:$AO$1005,1))</f>
        <v>0</v>
      </c>
      <c r="AJ392" s="96">
        <f>IF(Z392=0,0,COUNTIFS('ITENS_MTR'!$S$6:$S$1005,A392,'ITENS_MTR'!$AN$6:$AN$1005,1))</f>
        <v>0</v>
      </c>
      <c r="AK392" s="96">
        <f>IF(Z392=0,0,COUNTIFS('RECEBIMENTOS'!$B$6:$B$1005,A392,'RECEBIMENTOS'!$Y$6:$Y$1005,1))</f>
        <v>0</v>
      </c>
      <c r="AL392" s="96">
        <f>IF(Z392=0,0,COUNTIFS('VÍNCULOS_CDF'!$D$6:$D$1005,A392,'VÍNCULOS_CDF'!$Y$6:$Y$1005,1))</f>
        <v>0</v>
      </c>
      <c r="AM392" s="96">
        <f>IF(Z392=0,0,COUNTIFS('RECEBIMENTOS'!$B$6:$B$1005,A392,'RECEBIMENTOS'!$Q$6:$Q$1005,1))</f>
        <v>0</v>
      </c>
      <c r="AN392" s="96">
        <f>IF(AND(Z392=1,N(W392)&gt;0,AG392=N(W392)),1,0)</f>
        <v>0</v>
      </c>
      <c r="AO392" s="96">
        <f>IF(AND(Z392=1,N(W392)&gt;0,AI392=N(W392)),1,0)</f>
        <v>0</v>
      </c>
      <c r="AP392" s="97">
        <f>IF(Z392=0,0,_xlfn.MAXIFS('RECEBIMENTOS'!$E$6:$E$1005,'RECEBIMENTOS'!$B$6:$B$1005,A392))</f>
        <v>0</v>
      </c>
      <c r="AQ392" s="97" t="str">
        <f>IF(T392="","",IF(T392="RECEBIMENTO NÃO CONFIRMADO",IF(ISNUMBER(F392),F392,IF(ISNUMBER(E392),E392,"")),IF(OR(T392="CDF NÃO LOCALIZADO",T392="VÍNCULO INCOMPLETO",T392="CDF A CONFERIR"),IF(AP392&gt;0,AP392,IF(ISNUMBER(E392),E392,"")),IF(ISNUMBER(E392),E392,""))))</f>
        <v/>
      </c>
      <c r="AR392" s="96">
        <f>IF(NOT(ISNUMBER(U392)),0,IF(T392="RECEBIMENTO NÃO CONFIRMADO",IF(AND(ISNUMBER(cfg_rec),U392&gt;cfg_rec),1,0),IF(OR(T392="CDF NÃO LOCALIZADO",T392="VÍNCULO INCOMPLETO",T392="CDF A CONFERIR"),IF(AND(ISNUMBER(cfg_cdf),U392&gt;cfg_cdf),1,0),0)))</f>
        <v>0</v>
      </c>
      <c r="AS392" s="96" t="str">
        <f>IF(T392="","",IF(AR392=1,"Alta",IFERROR(INDEX(cfg_pp,MATCH(T392,cfg_pt,0))&amp;"","Média")))</f>
        <v/>
      </c>
      <c r="AT392" s="96" t="str">
        <f>IF(T392="","",IFERROR(INDEX(cfg_pv,MATCH(T392,cfg_pt,0))&amp;"",""))</f>
        <v/>
      </c>
      <c r="AU392" s="96" t="str">
        <f>IF(T392="","",IF(AS392="Alta",1,IF(AS392="Média",2,3))*1000000000+(999999-IF(ISNUMBER(U392),MIN(U392,999999),0))*1000+387)</f>
        <v/>
      </c>
      <c r="AV392" s="96">
        <f>IF(T392&lt;&gt;"",1,0)</f>
        <v>0</v>
      </c>
      <c r="AW392" s="96" t="str">
        <f>IF(Z392=0,"",IF(AA392=1,"Cancelamento informado; ","")&amp;IF(AE392=1,"Campos essenciais ou itens faltando; ","")&amp;IF(AC392=1,"Possível duplicidade do número; ","")&amp;IF(AD392=1,"Cadastro ou datas a revisar; ","")&amp;IF(AF392&gt;0,"Item de resíduo com dado a revisar; ","")&amp;IF(AH392&gt;0,"Diferença de quantidade a analisar; ","")&amp;IF(AK392&gt;0,"Recebimento com alerta; ","")&amp;IF(AL392&gt;0,"Vínculo de CDF com alerta; ","")&amp;IF(AND(AA392=0,AN392=0),"Recebimento não confirmado; ","")&amp;IF(AND(AA392=0,AN392=1,AO392=0),"CDF pendente ou a conferir; ",""))</f>
        <v/>
      </c>
      <c r="AX392" s="96">
        <f>IF(Z392=0,0,IF(AND(OR(f_ini="",AND(ISNUMBER(E392),E392&gt;=f_ini)),OR(f_fim="",AND(ISNUMBER(E392),E392&lt;=f_fim)),OR(f_un="",f_un="(Todas)",G392=f_un),OR(f_tr="",f_tr="(Todos)",H392=f_tr),OR(f_de="",f_de="(Todos)",I392=f_de),OR(f_sit="",f_sit="(Todas)",S392=f_sit)),1,0))</f>
        <v>0</v>
      </c>
      <c r="AY392" s="96">
        <f>IF(AX392=0,0,IF(OR(f_res="",f_res="(Todos)"),1,IF(COUNTIFS('ITENS_MTR'!$S$6:$S$1005,A392,'ITENS_MTR'!$C$6:$C$1005,f_res)&gt;0,1,0)))</f>
        <v>0</v>
      </c>
      <c r="AZ392" s="97" t="str">
        <f>IF(ISNUMBER(E392),DATE(YEAR(E392),MONTH(E392),1),"")</f>
        <v/>
      </c>
      <c r="BA392" s="96">
        <f>IF(Z392=0,0,IF(AND(OR(r_ini="",AND(ISNUMBER(E392),E392&gt;=r_ini)),OR(r_fim="",AND(ISNUMBER(E392),E392&lt;=r_fim)),OR(r_un="",r_un="(Todas)",G392=r_un),OR(r_de="",r_de="(Todos)",I392=r_de)),1,0))</f>
        <v>0</v>
      </c>
      <c r="BB392" s="96" t="str">
        <f>IF(BA392=1,COUNTIF($BA$6:BA392,1),"")</f>
        <v/>
      </c>
      <c r="BC392" s="96" t="str">
        <f>IF(AND(AU392&lt;&gt;"",OR(r_un="",r_un="(Todas)",G392=r_un),OR(r_de="",r_de="(Todos)",I392=r_de)),AU392,"")</f>
        <v/>
      </c>
      <c r="BD392" s="96" t="str">
        <f>IF(Z392=1,A392&amp;" | nº "&amp;IF(B392="","(sem número)",B392)&amp;" | "&amp;IF(G392="","(sem unidade)",G392),"")</f>
        <v/>
      </c>
      <c r="BE392" s="96" t="str">
        <f>IF(Z392=1,COUNTIF($Z$6:Z392,1),"")</f>
        <v/>
      </c>
      <c r="BF392" s="96" t="str">
        <f>IF(T392="","",IF(T392="RECEBIMENTO NÃO CONFIRMADO","Transp.: "&amp;H392&amp;" | Dest.: "&amp;I392,IF(OR(T392="CDF NÃO LOCALIZADO",T392="VÍNCULO INCOMPLETO",T392="CDF A CONFERIR"),"Dest.: "&amp;I392,"Gerador: "&amp;G392)))</f>
        <v/>
      </c>
    </row>
    <row r="393">
      <c r="A393" s="89" t="inlineStr">
        <is>
          <t>MTR-000388</t>
        </is>
      </c>
      <c r="B393" s="90" t="n"/>
      <c r="C393" s="91" t="n"/>
      <c r="D393" s="91" t="n"/>
      <c r="E393" s="92" t="n"/>
      <c r="F393" s="92" t="n"/>
      <c r="G393" s="91" t="n"/>
      <c r="H393" s="91" t="n"/>
      <c r="I393" s="91" t="n"/>
      <c r="J393" s="91" t="n"/>
      <c r="K393" s="91" t="n"/>
      <c r="L393" s="92" t="n"/>
      <c r="M393" s="91" t="n"/>
      <c r="N393" s="91" t="n"/>
      <c r="O393" s="91" t="n"/>
      <c r="P393" s="93" t="str">
        <f>IF(Z393=0,"",SUMIFS('ITENS_MTR'!$I$6:$I$1005,'ITENS_MTR'!$S$6:$S$1005,A393,'ITENS_MTR'!$Y$6:$Y$1005,1))</f>
        <v/>
      </c>
      <c r="Q393" s="93" t="str">
        <f>IF(Z393=0,"",SUMIFS('RECEBIMENTOS'!$H$6:$H$1005,'RECEBIMENTOS'!$B$6:$B$1005,A393,'RECEBIMENTOS'!$X$6:$X$1005,1))</f>
        <v/>
      </c>
      <c r="R393" s="93" t="str">
        <f>IF(Z393=0,"",SUMIFS('VÍNCULOS_CDF'!$H$6:$H$1005,'VÍNCULOS_CDF'!$D$6:$D$1005,A393,'VÍNCULOS_CDF'!$V$6:$V$1005,1))</f>
        <v/>
      </c>
      <c r="S393" s="94" t="str">
        <f>IF(Z393=0,"",IF(AA393=1,"Cancelado (informado)",IF(AE393=1,"Cadastro incompleto",IF(OR(AC393=1,AD393=1,AF393&gt;0,AH393&gt;0,AK393&gt;0,AL393&gt;0),"Informação a revisar",IF(AN393=0,"Aguardando recebimento",IF(N(R393)=0,"Aguardando CDF",IF(AJ393&lt;N(W393),"Vínculo de CDF parcial",IF(AO393=0,"CDF localizado, a conferir","Documentação conferida"))))))))</f>
        <v/>
      </c>
      <c r="T393" s="94" t="str">
        <f>IF(Z393=0,"",IF(S393="Cadastro incompleto","MTR INCOMPLETO",IF(S393="Informação a revisar",IF(AND(AH393&gt;0,AC393=0,AD393=0,AF393=0,AK393=0,AL393=0),"QUANTIDADE A REVISAR","IDENTIFICAÇÃO A REVISAR"),IF(S393="Aguardando recebimento","RECEBIMENTO NÃO CONFIRMADO",IF(S393="Aguardando CDF","CDF NÃO LOCALIZADO",IF(S393="Vínculo de CDF parcial","VÍNCULO INCOMPLETO",IF(S393="CDF localizado, a conferir","CDF A CONFERIR","")))))))</f>
        <v/>
      </c>
      <c r="U393" s="95" t="str">
        <f>IF(T393="","",IF(AQ393="","Não calculável",IF(AQ393&gt;TODAY(),"Data futura",TODAY()-AQ393)))</f>
        <v/>
      </c>
      <c r="V393" s="93" t="str">
        <f>IF(Z393=0,"",SUMIFS('RECEBIMENTOS'!$H$6:$H$1005,'RECEBIMENTOS'!$B$6:$B$1005,A393,'RECEBIMENTOS'!$Z$6:$Z$1005,1))</f>
        <v/>
      </c>
      <c r="W393" s="95" t="str">
        <f>IF(Z393=0,"",COUNTIFS('ITENS_MTR'!$S$6:$S$1005,A393,'ITENS_MTR'!$R$6:$R$1005,1))</f>
        <v/>
      </c>
      <c r="X393" s="94" t="str">
        <f>IF(AC393=1,"POSSÍVEL DUPLICIDADE","")</f>
        <v/>
      </c>
      <c r="Y393" s="94" t="str">
        <f>IF(Z393=0,"",IF(AW393="","Nenhuma",LEFT(AW393,LEN(AW393)-2)))</f>
        <v/>
      </c>
      <c r="Z393" s="96">
        <f>IF(COUNTA(B393:O393)&gt;0,1,0)</f>
        <v>0</v>
      </c>
      <c r="AA393" s="96">
        <f>IF(AND(Z393=1,K393&lt;&gt;""),IF(TRIM(K393)=TRIM(cfg_cancel),1,0),0)</f>
        <v>0</v>
      </c>
      <c r="AB393" s="96" t="str">
        <f>IF(AND(Z393=1,B393&lt;&gt;""),C393&amp;"|"&amp;D393&amp;"|"&amp;G393&amp;"|"&amp;TRIM(B393),"")</f>
        <v/>
      </c>
      <c r="AC393" s="96">
        <f>IF(AB393="",0,IF(SUMPRODUCT(--($AB$6:$AB$505=AB393))&gt;1,1,0))</f>
        <v>0</v>
      </c>
      <c r="AD393" s="96">
        <f>IF(Z393=0,0,IF(OR(AND(G393&lt;&gt;"",ISNA(MATCH(G393,'CAD_UNIDADES'!$C$6:$C$105,0))),AND(H393&lt;&gt;"",ISNA(MATCH(H393,cmp_transp,0))),AND(I393&lt;&gt;"",ISNA(MATCH(I393,cmp_dest,0))),AND(E393&lt;&gt;"",NOT(ISNUMBER(E393))),AND(F393&lt;&gt;"",NOT(ISNUMBER(F393))),AND(ISNUMBER(E393),ISNUMBER(F393),F393&lt;E393)),1,0))</f>
        <v>0</v>
      </c>
      <c r="AE393" s="96">
        <f>IF(Z393=0,0,IF(OR(B393="",C393="",E393="",G393="",H393="",I393="",N(W393)=0),1,0))</f>
        <v>0</v>
      </c>
      <c r="AF393" s="96">
        <f>IF(Z393=0,0,COUNTIFS('ITENS_MTR'!$S$6:$S$1005,A393,'ITENS_MTR'!$AI$6:$AI$1005,1))</f>
        <v>0</v>
      </c>
      <c r="AG393" s="96">
        <f>IF(Z393=0,0,COUNTIFS('ITENS_MTR'!$S$6:$S$1005,A393,'ITENS_MTR'!$AJ$6:$AJ$1005,1))</f>
        <v>0</v>
      </c>
      <c r="AH393" s="96">
        <f>IF(Z393=0,0,COUNTIFS('ITENS_MTR'!$S$6:$S$1005,A393,'ITENS_MTR'!$AM$6:$AM$1005,1))</f>
        <v>0</v>
      </c>
      <c r="AI393" s="96">
        <f>IF(Z393=0,0,COUNTIFS('ITENS_MTR'!$S$6:$S$1005,A393,'ITENS_MTR'!$AO$6:$AO$1005,1))</f>
        <v>0</v>
      </c>
      <c r="AJ393" s="96">
        <f>IF(Z393=0,0,COUNTIFS('ITENS_MTR'!$S$6:$S$1005,A393,'ITENS_MTR'!$AN$6:$AN$1005,1))</f>
        <v>0</v>
      </c>
      <c r="AK393" s="96">
        <f>IF(Z393=0,0,COUNTIFS('RECEBIMENTOS'!$B$6:$B$1005,A393,'RECEBIMENTOS'!$Y$6:$Y$1005,1))</f>
        <v>0</v>
      </c>
      <c r="AL393" s="96">
        <f>IF(Z393=0,0,COUNTIFS('VÍNCULOS_CDF'!$D$6:$D$1005,A393,'VÍNCULOS_CDF'!$Y$6:$Y$1005,1))</f>
        <v>0</v>
      </c>
      <c r="AM393" s="96">
        <f>IF(Z393=0,0,COUNTIFS('RECEBIMENTOS'!$B$6:$B$1005,A393,'RECEBIMENTOS'!$Q$6:$Q$1005,1))</f>
        <v>0</v>
      </c>
      <c r="AN393" s="96">
        <f>IF(AND(Z393=1,N(W393)&gt;0,AG393=N(W393)),1,0)</f>
        <v>0</v>
      </c>
      <c r="AO393" s="96">
        <f>IF(AND(Z393=1,N(W393)&gt;0,AI393=N(W393)),1,0)</f>
        <v>0</v>
      </c>
      <c r="AP393" s="97">
        <f>IF(Z393=0,0,_xlfn.MAXIFS('RECEBIMENTOS'!$E$6:$E$1005,'RECEBIMENTOS'!$B$6:$B$1005,A393))</f>
        <v>0</v>
      </c>
      <c r="AQ393" s="97" t="str">
        <f>IF(T393="","",IF(T393="RECEBIMENTO NÃO CONFIRMADO",IF(ISNUMBER(F393),F393,IF(ISNUMBER(E393),E393,"")),IF(OR(T393="CDF NÃO LOCALIZADO",T393="VÍNCULO INCOMPLETO",T393="CDF A CONFERIR"),IF(AP393&gt;0,AP393,IF(ISNUMBER(E393),E393,"")),IF(ISNUMBER(E393),E393,""))))</f>
        <v/>
      </c>
      <c r="AR393" s="96">
        <f>IF(NOT(ISNUMBER(U393)),0,IF(T393="RECEBIMENTO NÃO CONFIRMADO",IF(AND(ISNUMBER(cfg_rec),U393&gt;cfg_rec),1,0),IF(OR(T393="CDF NÃO LOCALIZADO",T393="VÍNCULO INCOMPLETO",T393="CDF A CONFERIR"),IF(AND(ISNUMBER(cfg_cdf),U393&gt;cfg_cdf),1,0),0)))</f>
        <v>0</v>
      </c>
      <c r="AS393" s="96" t="str">
        <f>IF(T393="","",IF(AR393=1,"Alta",IFERROR(INDEX(cfg_pp,MATCH(T393,cfg_pt,0))&amp;"","Média")))</f>
        <v/>
      </c>
      <c r="AT393" s="96" t="str">
        <f>IF(T393="","",IFERROR(INDEX(cfg_pv,MATCH(T393,cfg_pt,0))&amp;"",""))</f>
        <v/>
      </c>
      <c r="AU393" s="96" t="str">
        <f>IF(T393="","",IF(AS393="Alta",1,IF(AS393="Média",2,3))*1000000000+(999999-IF(ISNUMBER(U393),MIN(U393,999999),0))*1000+388)</f>
        <v/>
      </c>
      <c r="AV393" s="96">
        <f>IF(T393&lt;&gt;"",1,0)</f>
        <v>0</v>
      </c>
      <c r="AW393" s="96" t="str">
        <f>IF(Z393=0,"",IF(AA393=1,"Cancelamento informado; ","")&amp;IF(AE393=1,"Campos essenciais ou itens faltando; ","")&amp;IF(AC393=1,"Possível duplicidade do número; ","")&amp;IF(AD393=1,"Cadastro ou datas a revisar; ","")&amp;IF(AF393&gt;0,"Item de resíduo com dado a revisar; ","")&amp;IF(AH393&gt;0,"Diferença de quantidade a analisar; ","")&amp;IF(AK393&gt;0,"Recebimento com alerta; ","")&amp;IF(AL393&gt;0,"Vínculo de CDF com alerta; ","")&amp;IF(AND(AA393=0,AN393=0),"Recebimento não confirmado; ","")&amp;IF(AND(AA393=0,AN393=1,AO393=0),"CDF pendente ou a conferir; ",""))</f>
        <v/>
      </c>
      <c r="AX393" s="96">
        <f>IF(Z393=0,0,IF(AND(OR(f_ini="",AND(ISNUMBER(E393),E393&gt;=f_ini)),OR(f_fim="",AND(ISNUMBER(E393),E393&lt;=f_fim)),OR(f_un="",f_un="(Todas)",G393=f_un),OR(f_tr="",f_tr="(Todos)",H393=f_tr),OR(f_de="",f_de="(Todos)",I393=f_de),OR(f_sit="",f_sit="(Todas)",S393=f_sit)),1,0))</f>
        <v>0</v>
      </c>
      <c r="AY393" s="96">
        <f>IF(AX393=0,0,IF(OR(f_res="",f_res="(Todos)"),1,IF(COUNTIFS('ITENS_MTR'!$S$6:$S$1005,A393,'ITENS_MTR'!$C$6:$C$1005,f_res)&gt;0,1,0)))</f>
        <v>0</v>
      </c>
      <c r="AZ393" s="97" t="str">
        <f>IF(ISNUMBER(E393),DATE(YEAR(E393),MONTH(E393),1),"")</f>
        <v/>
      </c>
      <c r="BA393" s="96">
        <f>IF(Z393=0,0,IF(AND(OR(r_ini="",AND(ISNUMBER(E393),E393&gt;=r_ini)),OR(r_fim="",AND(ISNUMBER(E393),E393&lt;=r_fim)),OR(r_un="",r_un="(Todas)",G393=r_un),OR(r_de="",r_de="(Todos)",I393=r_de)),1,0))</f>
        <v>0</v>
      </c>
      <c r="BB393" s="96" t="str">
        <f>IF(BA393=1,COUNTIF($BA$6:BA393,1),"")</f>
        <v/>
      </c>
      <c r="BC393" s="96" t="str">
        <f>IF(AND(AU393&lt;&gt;"",OR(r_un="",r_un="(Todas)",G393=r_un),OR(r_de="",r_de="(Todos)",I393=r_de)),AU393,"")</f>
        <v/>
      </c>
      <c r="BD393" s="96" t="str">
        <f>IF(Z393=1,A393&amp;" | nº "&amp;IF(B393="","(sem número)",B393)&amp;" | "&amp;IF(G393="","(sem unidade)",G393),"")</f>
        <v/>
      </c>
      <c r="BE393" s="96" t="str">
        <f>IF(Z393=1,COUNTIF($Z$6:Z393,1),"")</f>
        <v/>
      </c>
      <c r="BF393" s="96" t="str">
        <f>IF(T393="","",IF(T393="RECEBIMENTO NÃO CONFIRMADO","Transp.: "&amp;H393&amp;" | Dest.: "&amp;I393,IF(OR(T393="CDF NÃO LOCALIZADO",T393="VÍNCULO INCOMPLETO",T393="CDF A CONFERIR"),"Dest.: "&amp;I393,"Gerador: "&amp;G393)))</f>
        <v/>
      </c>
    </row>
    <row r="394">
      <c r="A394" s="89" t="inlineStr">
        <is>
          <t>MTR-000389</t>
        </is>
      </c>
      <c r="B394" s="90" t="n"/>
      <c r="C394" s="91" t="n"/>
      <c r="D394" s="91" t="n"/>
      <c r="E394" s="92" t="n"/>
      <c r="F394" s="92" t="n"/>
      <c r="G394" s="91" t="n"/>
      <c r="H394" s="91" t="n"/>
      <c r="I394" s="91" t="n"/>
      <c r="J394" s="91" t="n"/>
      <c r="K394" s="91" t="n"/>
      <c r="L394" s="92" t="n"/>
      <c r="M394" s="91" t="n"/>
      <c r="N394" s="91" t="n"/>
      <c r="O394" s="91" t="n"/>
      <c r="P394" s="93" t="str">
        <f>IF(Z394=0,"",SUMIFS('ITENS_MTR'!$I$6:$I$1005,'ITENS_MTR'!$S$6:$S$1005,A394,'ITENS_MTR'!$Y$6:$Y$1005,1))</f>
        <v/>
      </c>
      <c r="Q394" s="93" t="str">
        <f>IF(Z394=0,"",SUMIFS('RECEBIMENTOS'!$H$6:$H$1005,'RECEBIMENTOS'!$B$6:$B$1005,A394,'RECEBIMENTOS'!$X$6:$X$1005,1))</f>
        <v/>
      </c>
      <c r="R394" s="93" t="str">
        <f>IF(Z394=0,"",SUMIFS('VÍNCULOS_CDF'!$H$6:$H$1005,'VÍNCULOS_CDF'!$D$6:$D$1005,A394,'VÍNCULOS_CDF'!$V$6:$V$1005,1))</f>
        <v/>
      </c>
      <c r="S394" s="94" t="str">
        <f>IF(Z394=0,"",IF(AA394=1,"Cancelado (informado)",IF(AE394=1,"Cadastro incompleto",IF(OR(AC394=1,AD394=1,AF394&gt;0,AH394&gt;0,AK394&gt;0,AL394&gt;0),"Informação a revisar",IF(AN394=0,"Aguardando recebimento",IF(N(R394)=0,"Aguardando CDF",IF(AJ394&lt;N(W394),"Vínculo de CDF parcial",IF(AO394=0,"CDF localizado, a conferir","Documentação conferida"))))))))</f>
        <v/>
      </c>
      <c r="T394" s="94" t="str">
        <f>IF(Z394=0,"",IF(S394="Cadastro incompleto","MTR INCOMPLETO",IF(S394="Informação a revisar",IF(AND(AH394&gt;0,AC394=0,AD394=0,AF394=0,AK394=0,AL394=0),"QUANTIDADE A REVISAR","IDENTIFICAÇÃO A REVISAR"),IF(S394="Aguardando recebimento","RECEBIMENTO NÃO CONFIRMADO",IF(S394="Aguardando CDF","CDF NÃO LOCALIZADO",IF(S394="Vínculo de CDF parcial","VÍNCULO INCOMPLETO",IF(S394="CDF localizado, a conferir","CDF A CONFERIR","")))))))</f>
        <v/>
      </c>
      <c r="U394" s="95" t="str">
        <f>IF(T394="","",IF(AQ394="","Não calculável",IF(AQ394&gt;TODAY(),"Data futura",TODAY()-AQ394)))</f>
        <v/>
      </c>
      <c r="V394" s="93" t="str">
        <f>IF(Z394=0,"",SUMIFS('RECEBIMENTOS'!$H$6:$H$1005,'RECEBIMENTOS'!$B$6:$B$1005,A394,'RECEBIMENTOS'!$Z$6:$Z$1005,1))</f>
        <v/>
      </c>
      <c r="W394" s="95" t="str">
        <f>IF(Z394=0,"",COUNTIFS('ITENS_MTR'!$S$6:$S$1005,A394,'ITENS_MTR'!$R$6:$R$1005,1))</f>
        <v/>
      </c>
      <c r="X394" s="94" t="str">
        <f>IF(AC394=1,"POSSÍVEL DUPLICIDADE","")</f>
        <v/>
      </c>
      <c r="Y394" s="94" t="str">
        <f>IF(Z394=0,"",IF(AW394="","Nenhuma",LEFT(AW394,LEN(AW394)-2)))</f>
        <v/>
      </c>
      <c r="Z394" s="96">
        <f>IF(COUNTA(B394:O394)&gt;0,1,0)</f>
        <v>0</v>
      </c>
      <c r="AA394" s="96">
        <f>IF(AND(Z394=1,K394&lt;&gt;""),IF(TRIM(K394)=TRIM(cfg_cancel),1,0),0)</f>
        <v>0</v>
      </c>
      <c r="AB394" s="96" t="str">
        <f>IF(AND(Z394=1,B394&lt;&gt;""),C394&amp;"|"&amp;D394&amp;"|"&amp;G394&amp;"|"&amp;TRIM(B394),"")</f>
        <v/>
      </c>
      <c r="AC394" s="96">
        <f>IF(AB394="",0,IF(SUMPRODUCT(--($AB$6:$AB$505=AB394))&gt;1,1,0))</f>
        <v>0</v>
      </c>
      <c r="AD394" s="96">
        <f>IF(Z394=0,0,IF(OR(AND(G394&lt;&gt;"",ISNA(MATCH(G394,'CAD_UNIDADES'!$C$6:$C$105,0))),AND(H394&lt;&gt;"",ISNA(MATCH(H394,cmp_transp,0))),AND(I394&lt;&gt;"",ISNA(MATCH(I394,cmp_dest,0))),AND(E394&lt;&gt;"",NOT(ISNUMBER(E394))),AND(F394&lt;&gt;"",NOT(ISNUMBER(F394))),AND(ISNUMBER(E394),ISNUMBER(F394),F394&lt;E394)),1,0))</f>
        <v>0</v>
      </c>
      <c r="AE394" s="96">
        <f>IF(Z394=0,0,IF(OR(B394="",C394="",E394="",G394="",H394="",I394="",N(W394)=0),1,0))</f>
        <v>0</v>
      </c>
      <c r="AF394" s="96">
        <f>IF(Z394=0,0,COUNTIFS('ITENS_MTR'!$S$6:$S$1005,A394,'ITENS_MTR'!$AI$6:$AI$1005,1))</f>
        <v>0</v>
      </c>
      <c r="AG394" s="96">
        <f>IF(Z394=0,0,COUNTIFS('ITENS_MTR'!$S$6:$S$1005,A394,'ITENS_MTR'!$AJ$6:$AJ$1005,1))</f>
        <v>0</v>
      </c>
      <c r="AH394" s="96">
        <f>IF(Z394=0,0,COUNTIFS('ITENS_MTR'!$S$6:$S$1005,A394,'ITENS_MTR'!$AM$6:$AM$1005,1))</f>
        <v>0</v>
      </c>
      <c r="AI394" s="96">
        <f>IF(Z394=0,0,COUNTIFS('ITENS_MTR'!$S$6:$S$1005,A394,'ITENS_MTR'!$AO$6:$AO$1005,1))</f>
        <v>0</v>
      </c>
      <c r="AJ394" s="96">
        <f>IF(Z394=0,0,COUNTIFS('ITENS_MTR'!$S$6:$S$1005,A394,'ITENS_MTR'!$AN$6:$AN$1005,1))</f>
        <v>0</v>
      </c>
      <c r="AK394" s="96">
        <f>IF(Z394=0,0,COUNTIFS('RECEBIMENTOS'!$B$6:$B$1005,A394,'RECEBIMENTOS'!$Y$6:$Y$1005,1))</f>
        <v>0</v>
      </c>
      <c r="AL394" s="96">
        <f>IF(Z394=0,0,COUNTIFS('VÍNCULOS_CDF'!$D$6:$D$1005,A394,'VÍNCULOS_CDF'!$Y$6:$Y$1005,1))</f>
        <v>0</v>
      </c>
      <c r="AM394" s="96">
        <f>IF(Z394=0,0,COUNTIFS('RECEBIMENTOS'!$B$6:$B$1005,A394,'RECEBIMENTOS'!$Q$6:$Q$1005,1))</f>
        <v>0</v>
      </c>
      <c r="AN394" s="96">
        <f>IF(AND(Z394=1,N(W394)&gt;0,AG394=N(W394)),1,0)</f>
        <v>0</v>
      </c>
      <c r="AO394" s="96">
        <f>IF(AND(Z394=1,N(W394)&gt;0,AI394=N(W394)),1,0)</f>
        <v>0</v>
      </c>
      <c r="AP394" s="97">
        <f>IF(Z394=0,0,_xlfn.MAXIFS('RECEBIMENTOS'!$E$6:$E$1005,'RECEBIMENTOS'!$B$6:$B$1005,A394))</f>
        <v>0</v>
      </c>
      <c r="AQ394" s="97" t="str">
        <f>IF(T394="","",IF(T394="RECEBIMENTO NÃO CONFIRMADO",IF(ISNUMBER(F394),F394,IF(ISNUMBER(E394),E394,"")),IF(OR(T394="CDF NÃO LOCALIZADO",T394="VÍNCULO INCOMPLETO",T394="CDF A CONFERIR"),IF(AP394&gt;0,AP394,IF(ISNUMBER(E394),E394,"")),IF(ISNUMBER(E394),E394,""))))</f>
        <v/>
      </c>
      <c r="AR394" s="96">
        <f>IF(NOT(ISNUMBER(U394)),0,IF(T394="RECEBIMENTO NÃO CONFIRMADO",IF(AND(ISNUMBER(cfg_rec),U394&gt;cfg_rec),1,0),IF(OR(T394="CDF NÃO LOCALIZADO",T394="VÍNCULO INCOMPLETO",T394="CDF A CONFERIR"),IF(AND(ISNUMBER(cfg_cdf),U394&gt;cfg_cdf),1,0),0)))</f>
        <v>0</v>
      </c>
      <c r="AS394" s="96" t="str">
        <f>IF(T394="","",IF(AR394=1,"Alta",IFERROR(INDEX(cfg_pp,MATCH(T394,cfg_pt,0))&amp;"","Média")))</f>
        <v/>
      </c>
      <c r="AT394" s="96" t="str">
        <f>IF(T394="","",IFERROR(INDEX(cfg_pv,MATCH(T394,cfg_pt,0))&amp;"",""))</f>
        <v/>
      </c>
      <c r="AU394" s="96" t="str">
        <f>IF(T394="","",IF(AS394="Alta",1,IF(AS394="Média",2,3))*1000000000+(999999-IF(ISNUMBER(U394),MIN(U394,999999),0))*1000+389)</f>
        <v/>
      </c>
      <c r="AV394" s="96">
        <f>IF(T394&lt;&gt;"",1,0)</f>
        <v>0</v>
      </c>
      <c r="AW394" s="96" t="str">
        <f>IF(Z394=0,"",IF(AA394=1,"Cancelamento informado; ","")&amp;IF(AE394=1,"Campos essenciais ou itens faltando; ","")&amp;IF(AC394=1,"Possível duplicidade do número; ","")&amp;IF(AD394=1,"Cadastro ou datas a revisar; ","")&amp;IF(AF394&gt;0,"Item de resíduo com dado a revisar; ","")&amp;IF(AH394&gt;0,"Diferença de quantidade a analisar; ","")&amp;IF(AK394&gt;0,"Recebimento com alerta; ","")&amp;IF(AL394&gt;0,"Vínculo de CDF com alerta; ","")&amp;IF(AND(AA394=0,AN394=0),"Recebimento não confirmado; ","")&amp;IF(AND(AA394=0,AN394=1,AO394=0),"CDF pendente ou a conferir; ",""))</f>
        <v/>
      </c>
      <c r="AX394" s="96">
        <f>IF(Z394=0,0,IF(AND(OR(f_ini="",AND(ISNUMBER(E394),E394&gt;=f_ini)),OR(f_fim="",AND(ISNUMBER(E394),E394&lt;=f_fim)),OR(f_un="",f_un="(Todas)",G394=f_un),OR(f_tr="",f_tr="(Todos)",H394=f_tr),OR(f_de="",f_de="(Todos)",I394=f_de),OR(f_sit="",f_sit="(Todas)",S394=f_sit)),1,0))</f>
        <v>0</v>
      </c>
      <c r="AY394" s="96">
        <f>IF(AX394=0,0,IF(OR(f_res="",f_res="(Todos)"),1,IF(COUNTIFS('ITENS_MTR'!$S$6:$S$1005,A394,'ITENS_MTR'!$C$6:$C$1005,f_res)&gt;0,1,0)))</f>
        <v>0</v>
      </c>
      <c r="AZ394" s="97" t="str">
        <f>IF(ISNUMBER(E394),DATE(YEAR(E394),MONTH(E394),1),"")</f>
        <v/>
      </c>
      <c r="BA394" s="96">
        <f>IF(Z394=0,0,IF(AND(OR(r_ini="",AND(ISNUMBER(E394),E394&gt;=r_ini)),OR(r_fim="",AND(ISNUMBER(E394),E394&lt;=r_fim)),OR(r_un="",r_un="(Todas)",G394=r_un),OR(r_de="",r_de="(Todos)",I394=r_de)),1,0))</f>
        <v>0</v>
      </c>
      <c r="BB394" s="96" t="str">
        <f>IF(BA394=1,COUNTIF($BA$6:BA394,1),"")</f>
        <v/>
      </c>
      <c r="BC394" s="96" t="str">
        <f>IF(AND(AU394&lt;&gt;"",OR(r_un="",r_un="(Todas)",G394=r_un),OR(r_de="",r_de="(Todos)",I394=r_de)),AU394,"")</f>
        <v/>
      </c>
      <c r="BD394" s="96" t="str">
        <f>IF(Z394=1,A394&amp;" | nº "&amp;IF(B394="","(sem número)",B394)&amp;" | "&amp;IF(G394="","(sem unidade)",G394),"")</f>
        <v/>
      </c>
      <c r="BE394" s="96" t="str">
        <f>IF(Z394=1,COUNTIF($Z$6:Z394,1),"")</f>
        <v/>
      </c>
      <c r="BF394" s="96" t="str">
        <f>IF(T394="","",IF(T394="RECEBIMENTO NÃO CONFIRMADO","Transp.: "&amp;H394&amp;" | Dest.: "&amp;I394,IF(OR(T394="CDF NÃO LOCALIZADO",T394="VÍNCULO INCOMPLETO",T394="CDF A CONFERIR"),"Dest.: "&amp;I394,"Gerador: "&amp;G394)))</f>
        <v/>
      </c>
    </row>
    <row r="395">
      <c r="A395" s="89" t="inlineStr">
        <is>
          <t>MTR-000390</t>
        </is>
      </c>
      <c r="B395" s="90" t="n"/>
      <c r="C395" s="91" t="n"/>
      <c r="D395" s="91" t="n"/>
      <c r="E395" s="92" t="n"/>
      <c r="F395" s="92" t="n"/>
      <c r="G395" s="91" t="n"/>
      <c r="H395" s="91" t="n"/>
      <c r="I395" s="91" t="n"/>
      <c r="J395" s="91" t="n"/>
      <c r="K395" s="91" t="n"/>
      <c r="L395" s="92" t="n"/>
      <c r="M395" s="91" t="n"/>
      <c r="N395" s="91" t="n"/>
      <c r="O395" s="91" t="n"/>
      <c r="P395" s="93" t="str">
        <f>IF(Z395=0,"",SUMIFS('ITENS_MTR'!$I$6:$I$1005,'ITENS_MTR'!$S$6:$S$1005,A395,'ITENS_MTR'!$Y$6:$Y$1005,1))</f>
        <v/>
      </c>
      <c r="Q395" s="93" t="str">
        <f>IF(Z395=0,"",SUMIFS('RECEBIMENTOS'!$H$6:$H$1005,'RECEBIMENTOS'!$B$6:$B$1005,A395,'RECEBIMENTOS'!$X$6:$X$1005,1))</f>
        <v/>
      </c>
      <c r="R395" s="93" t="str">
        <f>IF(Z395=0,"",SUMIFS('VÍNCULOS_CDF'!$H$6:$H$1005,'VÍNCULOS_CDF'!$D$6:$D$1005,A395,'VÍNCULOS_CDF'!$V$6:$V$1005,1))</f>
        <v/>
      </c>
      <c r="S395" s="94" t="str">
        <f>IF(Z395=0,"",IF(AA395=1,"Cancelado (informado)",IF(AE395=1,"Cadastro incompleto",IF(OR(AC395=1,AD395=1,AF395&gt;0,AH395&gt;0,AK395&gt;0,AL395&gt;0),"Informação a revisar",IF(AN395=0,"Aguardando recebimento",IF(N(R395)=0,"Aguardando CDF",IF(AJ395&lt;N(W395),"Vínculo de CDF parcial",IF(AO395=0,"CDF localizado, a conferir","Documentação conferida"))))))))</f>
        <v/>
      </c>
      <c r="T395" s="94" t="str">
        <f>IF(Z395=0,"",IF(S395="Cadastro incompleto","MTR INCOMPLETO",IF(S395="Informação a revisar",IF(AND(AH395&gt;0,AC395=0,AD395=0,AF395=0,AK395=0,AL395=0),"QUANTIDADE A REVISAR","IDENTIFICAÇÃO A REVISAR"),IF(S395="Aguardando recebimento","RECEBIMENTO NÃO CONFIRMADO",IF(S395="Aguardando CDF","CDF NÃO LOCALIZADO",IF(S395="Vínculo de CDF parcial","VÍNCULO INCOMPLETO",IF(S395="CDF localizado, a conferir","CDF A CONFERIR","")))))))</f>
        <v/>
      </c>
      <c r="U395" s="95" t="str">
        <f>IF(T395="","",IF(AQ395="","Não calculável",IF(AQ395&gt;TODAY(),"Data futura",TODAY()-AQ395)))</f>
        <v/>
      </c>
      <c r="V395" s="93" t="str">
        <f>IF(Z395=0,"",SUMIFS('RECEBIMENTOS'!$H$6:$H$1005,'RECEBIMENTOS'!$B$6:$B$1005,A395,'RECEBIMENTOS'!$Z$6:$Z$1005,1))</f>
        <v/>
      </c>
      <c r="W395" s="95" t="str">
        <f>IF(Z395=0,"",COUNTIFS('ITENS_MTR'!$S$6:$S$1005,A395,'ITENS_MTR'!$R$6:$R$1005,1))</f>
        <v/>
      </c>
      <c r="X395" s="94" t="str">
        <f>IF(AC395=1,"POSSÍVEL DUPLICIDADE","")</f>
        <v/>
      </c>
      <c r="Y395" s="94" t="str">
        <f>IF(Z395=0,"",IF(AW395="","Nenhuma",LEFT(AW395,LEN(AW395)-2)))</f>
        <v/>
      </c>
      <c r="Z395" s="96">
        <f>IF(COUNTA(B395:O395)&gt;0,1,0)</f>
        <v>0</v>
      </c>
      <c r="AA395" s="96">
        <f>IF(AND(Z395=1,K395&lt;&gt;""),IF(TRIM(K395)=TRIM(cfg_cancel),1,0),0)</f>
        <v>0</v>
      </c>
      <c r="AB395" s="96" t="str">
        <f>IF(AND(Z395=1,B395&lt;&gt;""),C395&amp;"|"&amp;D395&amp;"|"&amp;G395&amp;"|"&amp;TRIM(B395),"")</f>
        <v/>
      </c>
      <c r="AC395" s="96">
        <f>IF(AB395="",0,IF(SUMPRODUCT(--($AB$6:$AB$505=AB395))&gt;1,1,0))</f>
        <v>0</v>
      </c>
      <c r="AD395" s="96">
        <f>IF(Z395=0,0,IF(OR(AND(G395&lt;&gt;"",ISNA(MATCH(G395,'CAD_UNIDADES'!$C$6:$C$105,0))),AND(H395&lt;&gt;"",ISNA(MATCH(H395,cmp_transp,0))),AND(I395&lt;&gt;"",ISNA(MATCH(I395,cmp_dest,0))),AND(E395&lt;&gt;"",NOT(ISNUMBER(E395))),AND(F395&lt;&gt;"",NOT(ISNUMBER(F395))),AND(ISNUMBER(E395),ISNUMBER(F395),F395&lt;E395)),1,0))</f>
        <v>0</v>
      </c>
      <c r="AE395" s="96">
        <f>IF(Z395=0,0,IF(OR(B395="",C395="",E395="",G395="",H395="",I395="",N(W395)=0),1,0))</f>
        <v>0</v>
      </c>
      <c r="AF395" s="96">
        <f>IF(Z395=0,0,COUNTIFS('ITENS_MTR'!$S$6:$S$1005,A395,'ITENS_MTR'!$AI$6:$AI$1005,1))</f>
        <v>0</v>
      </c>
      <c r="AG395" s="96">
        <f>IF(Z395=0,0,COUNTIFS('ITENS_MTR'!$S$6:$S$1005,A395,'ITENS_MTR'!$AJ$6:$AJ$1005,1))</f>
        <v>0</v>
      </c>
      <c r="AH395" s="96">
        <f>IF(Z395=0,0,COUNTIFS('ITENS_MTR'!$S$6:$S$1005,A395,'ITENS_MTR'!$AM$6:$AM$1005,1))</f>
        <v>0</v>
      </c>
      <c r="AI395" s="96">
        <f>IF(Z395=0,0,COUNTIFS('ITENS_MTR'!$S$6:$S$1005,A395,'ITENS_MTR'!$AO$6:$AO$1005,1))</f>
        <v>0</v>
      </c>
      <c r="AJ395" s="96">
        <f>IF(Z395=0,0,COUNTIFS('ITENS_MTR'!$S$6:$S$1005,A395,'ITENS_MTR'!$AN$6:$AN$1005,1))</f>
        <v>0</v>
      </c>
      <c r="AK395" s="96">
        <f>IF(Z395=0,0,COUNTIFS('RECEBIMENTOS'!$B$6:$B$1005,A395,'RECEBIMENTOS'!$Y$6:$Y$1005,1))</f>
        <v>0</v>
      </c>
      <c r="AL395" s="96">
        <f>IF(Z395=0,0,COUNTIFS('VÍNCULOS_CDF'!$D$6:$D$1005,A395,'VÍNCULOS_CDF'!$Y$6:$Y$1005,1))</f>
        <v>0</v>
      </c>
      <c r="AM395" s="96">
        <f>IF(Z395=0,0,COUNTIFS('RECEBIMENTOS'!$B$6:$B$1005,A395,'RECEBIMENTOS'!$Q$6:$Q$1005,1))</f>
        <v>0</v>
      </c>
      <c r="AN395" s="96">
        <f>IF(AND(Z395=1,N(W395)&gt;0,AG395=N(W395)),1,0)</f>
        <v>0</v>
      </c>
      <c r="AO395" s="96">
        <f>IF(AND(Z395=1,N(W395)&gt;0,AI395=N(W395)),1,0)</f>
        <v>0</v>
      </c>
      <c r="AP395" s="97">
        <f>IF(Z395=0,0,_xlfn.MAXIFS('RECEBIMENTOS'!$E$6:$E$1005,'RECEBIMENTOS'!$B$6:$B$1005,A395))</f>
        <v>0</v>
      </c>
      <c r="AQ395" s="97" t="str">
        <f>IF(T395="","",IF(T395="RECEBIMENTO NÃO CONFIRMADO",IF(ISNUMBER(F395),F395,IF(ISNUMBER(E395),E395,"")),IF(OR(T395="CDF NÃO LOCALIZADO",T395="VÍNCULO INCOMPLETO",T395="CDF A CONFERIR"),IF(AP395&gt;0,AP395,IF(ISNUMBER(E395),E395,"")),IF(ISNUMBER(E395),E395,""))))</f>
        <v/>
      </c>
      <c r="AR395" s="96">
        <f>IF(NOT(ISNUMBER(U395)),0,IF(T395="RECEBIMENTO NÃO CONFIRMADO",IF(AND(ISNUMBER(cfg_rec),U395&gt;cfg_rec),1,0),IF(OR(T395="CDF NÃO LOCALIZADO",T395="VÍNCULO INCOMPLETO",T395="CDF A CONFERIR"),IF(AND(ISNUMBER(cfg_cdf),U395&gt;cfg_cdf),1,0),0)))</f>
        <v>0</v>
      </c>
      <c r="AS395" s="96" t="str">
        <f>IF(T395="","",IF(AR395=1,"Alta",IFERROR(INDEX(cfg_pp,MATCH(T395,cfg_pt,0))&amp;"","Média")))</f>
        <v/>
      </c>
      <c r="AT395" s="96" t="str">
        <f>IF(T395="","",IFERROR(INDEX(cfg_pv,MATCH(T395,cfg_pt,0))&amp;"",""))</f>
        <v/>
      </c>
      <c r="AU395" s="96" t="str">
        <f>IF(T395="","",IF(AS395="Alta",1,IF(AS395="Média",2,3))*1000000000+(999999-IF(ISNUMBER(U395),MIN(U395,999999),0))*1000+390)</f>
        <v/>
      </c>
      <c r="AV395" s="96">
        <f>IF(T395&lt;&gt;"",1,0)</f>
        <v>0</v>
      </c>
      <c r="AW395" s="96" t="str">
        <f>IF(Z395=0,"",IF(AA395=1,"Cancelamento informado; ","")&amp;IF(AE395=1,"Campos essenciais ou itens faltando; ","")&amp;IF(AC395=1,"Possível duplicidade do número; ","")&amp;IF(AD395=1,"Cadastro ou datas a revisar; ","")&amp;IF(AF395&gt;0,"Item de resíduo com dado a revisar; ","")&amp;IF(AH395&gt;0,"Diferença de quantidade a analisar; ","")&amp;IF(AK395&gt;0,"Recebimento com alerta; ","")&amp;IF(AL395&gt;0,"Vínculo de CDF com alerta; ","")&amp;IF(AND(AA395=0,AN395=0),"Recebimento não confirmado; ","")&amp;IF(AND(AA395=0,AN395=1,AO395=0),"CDF pendente ou a conferir; ",""))</f>
        <v/>
      </c>
      <c r="AX395" s="96">
        <f>IF(Z395=0,0,IF(AND(OR(f_ini="",AND(ISNUMBER(E395),E395&gt;=f_ini)),OR(f_fim="",AND(ISNUMBER(E395),E395&lt;=f_fim)),OR(f_un="",f_un="(Todas)",G395=f_un),OR(f_tr="",f_tr="(Todos)",H395=f_tr),OR(f_de="",f_de="(Todos)",I395=f_de),OR(f_sit="",f_sit="(Todas)",S395=f_sit)),1,0))</f>
        <v>0</v>
      </c>
      <c r="AY395" s="96">
        <f>IF(AX395=0,0,IF(OR(f_res="",f_res="(Todos)"),1,IF(COUNTIFS('ITENS_MTR'!$S$6:$S$1005,A395,'ITENS_MTR'!$C$6:$C$1005,f_res)&gt;0,1,0)))</f>
        <v>0</v>
      </c>
      <c r="AZ395" s="97" t="str">
        <f>IF(ISNUMBER(E395),DATE(YEAR(E395),MONTH(E395),1),"")</f>
        <v/>
      </c>
      <c r="BA395" s="96">
        <f>IF(Z395=0,0,IF(AND(OR(r_ini="",AND(ISNUMBER(E395),E395&gt;=r_ini)),OR(r_fim="",AND(ISNUMBER(E395),E395&lt;=r_fim)),OR(r_un="",r_un="(Todas)",G395=r_un),OR(r_de="",r_de="(Todos)",I395=r_de)),1,0))</f>
        <v>0</v>
      </c>
      <c r="BB395" s="96" t="str">
        <f>IF(BA395=1,COUNTIF($BA$6:BA395,1),"")</f>
        <v/>
      </c>
      <c r="BC395" s="96" t="str">
        <f>IF(AND(AU395&lt;&gt;"",OR(r_un="",r_un="(Todas)",G395=r_un),OR(r_de="",r_de="(Todos)",I395=r_de)),AU395,"")</f>
        <v/>
      </c>
      <c r="BD395" s="96" t="str">
        <f>IF(Z395=1,A395&amp;" | nº "&amp;IF(B395="","(sem número)",B395)&amp;" | "&amp;IF(G395="","(sem unidade)",G395),"")</f>
        <v/>
      </c>
      <c r="BE395" s="96" t="str">
        <f>IF(Z395=1,COUNTIF($Z$6:Z395,1),"")</f>
        <v/>
      </c>
      <c r="BF395" s="96" t="str">
        <f>IF(T395="","",IF(T395="RECEBIMENTO NÃO CONFIRMADO","Transp.: "&amp;H395&amp;" | Dest.: "&amp;I395,IF(OR(T395="CDF NÃO LOCALIZADO",T395="VÍNCULO INCOMPLETO",T395="CDF A CONFERIR"),"Dest.: "&amp;I395,"Gerador: "&amp;G395)))</f>
        <v/>
      </c>
    </row>
    <row r="396">
      <c r="A396" s="89" t="inlineStr">
        <is>
          <t>MTR-000391</t>
        </is>
      </c>
      <c r="B396" s="90" t="n"/>
      <c r="C396" s="91" t="n"/>
      <c r="D396" s="91" t="n"/>
      <c r="E396" s="92" t="n"/>
      <c r="F396" s="92" t="n"/>
      <c r="G396" s="91" t="n"/>
      <c r="H396" s="91" t="n"/>
      <c r="I396" s="91" t="n"/>
      <c r="J396" s="91" t="n"/>
      <c r="K396" s="91" t="n"/>
      <c r="L396" s="92" t="n"/>
      <c r="M396" s="91" t="n"/>
      <c r="N396" s="91" t="n"/>
      <c r="O396" s="91" t="n"/>
      <c r="P396" s="93" t="str">
        <f>IF(Z396=0,"",SUMIFS('ITENS_MTR'!$I$6:$I$1005,'ITENS_MTR'!$S$6:$S$1005,A396,'ITENS_MTR'!$Y$6:$Y$1005,1))</f>
        <v/>
      </c>
      <c r="Q396" s="93" t="str">
        <f>IF(Z396=0,"",SUMIFS('RECEBIMENTOS'!$H$6:$H$1005,'RECEBIMENTOS'!$B$6:$B$1005,A396,'RECEBIMENTOS'!$X$6:$X$1005,1))</f>
        <v/>
      </c>
      <c r="R396" s="93" t="str">
        <f>IF(Z396=0,"",SUMIFS('VÍNCULOS_CDF'!$H$6:$H$1005,'VÍNCULOS_CDF'!$D$6:$D$1005,A396,'VÍNCULOS_CDF'!$V$6:$V$1005,1))</f>
        <v/>
      </c>
      <c r="S396" s="94" t="str">
        <f>IF(Z396=0,"",IF(AA396=1,"Cancelado (informado)",IF(AE396=1,"Cadastro incompleto",IF(OR(AC396=1,AD396=1,AF396&gt;0,AH396&gt;0,AK396&gt;0,AL396&gt;0),"Informação a revisar",IF(AN396=0,"Aguardando recebimento",IF(N(R396)=0,"Aguardando CDF",IF(AJ396&lt;N(W396),"Vínculo de CDF parcial",IF(AO396=0,"CDF localizado, a conferir","Documentação conferida"))))))))</f>
        <v/>
      </c>
      <c r="T396" s="94" t="str">
        <f>IF(Z396=0,"",IF(S396="Cadastro incompleto","MTR INCOMPLETO",IF(S396="Informação a revisar",IF(AND(AH396&gt;0,AC396=0,AD396=0,AF396=0,AK396=0,AL396=0),"QUANTIDADE A REVISAR","IDENTIFICAÇÃO A REVISAR"),IF(S396="Aguardando recebimento","RECEBIMENTO NÃO CONFIRMADO",IF(S396="Aguardando CDF","CDF NÃO LOCALIZADO",IF(S396="Vínculo de CDF parcial","VÍNCULO INCOMPLETO",IF(S396="CDF localizado, a conferir","CDF A CONFERIR","")))))))</f>
        <v/>
      </c>
      <c r="U396" s="95" t="str">
        <f>IF(T396="","",IF(AQ396="","Não calculável",IF(AQ396&gt;TODAY(),"Data futura",TODAY()-AQ396)))</f>
        <v/>
      </c>
      <c r="V396" s="93" t="str">
        <f>IF(Z396=0,"",SUMIFS('RECEBIMENTOS'!$H$6:$H$1005,'RECEBIMENTOS'!$B$6:$B$1005,A396,'RECEBIMENTOS'!$Z$6:$Z$1005,1))</f>
        <v/>
      </c>
      <c r="W396" s="95" t="str">
        <f>IF(Z396=0,"",COUNTIFS('ITENS_MTR'!$S$6:$S$1005,A396,'ITENS_MTR'!$R$6:$R$1005,1))</f>
        <v/>
      </c>
      <c r="X396" s="94" t="str">
        <f>IF(AC396=1,"POSSÍVEL DUPLICIDADE","")</f>
        <v/>
      </c>
      <c r="Y396" s="94" t="str">
        <f>IF(Z396=0,"",IF(AW396="","Nenhuma",LEFT(AW396,LEN(AW396)-2)))</f>
        <v/>
      </c>
      <c r="Z396" s="96">
        <f>IF(COUNTA(B396:O396)&gt;0,1,0)</f>
        <v>0</v>
      </c>
      <c r="AA396" s="96">
        <f>IF(AND(Z396=1,K396&lt;&gt;""),IF(TRIM(K396)=TRIM(cfg_cancel),1,0),0)</f>
        <v>0</v>
      </c>
      <c r="AB396" s="96" t="str">
        <f>IF(AND(Z396=1,B396&lt;&gt;""),C396&amp;"|"&amp;D396&amp;"|"&amp;G396&amp;"|"&amp;TRIM(B396),"")</f>
        <v/>
      </c>
      <c r="AC396" s="96">
        <f>IF(AB396="",0,IF(SUMPRODUCT(--($AB$6:$AB$505=AB396))&gt;1,1,0))</f>
        <v>0</v>
      </c>
      <c r="AD396" s="96">
        <f>IF(Z396=0,0,IF(OR(AND(G396&lt;&gt;"",ISNA(MATCH(G396,'CAD_UNIDADES'!$C$6:$C$105,0))),AND(H396&lt;&gt;"",ISNA(MATCH(H396,cmp_transp,0))),AND(I396&lt;&gt;"",ISNA(MATCH(I396,cmp_dest,0))),AND(E396&lt;&gt;"",NOT(ISNUMBER(E396))),AND(F396&lt;&gt;"",NOT(ISNUMBER(F396))),AND(ISNUMBER(E396),ISNUMBER(F396),F396&lt;E396)),1,0))</f>
        <v>0</v>
      </c>
      <c r="AE396" s="96">
        <f>IF(Z396=0,0,IF(OR(B396="",C396="",E396="",G396="",H396="",I396="",N(W396)=0),1,0))</f>
        <v>0</v>
      </c>
      <c r="AF396" s="96">
        <f>IF(Z396=0,0,COUNTIFS('ITENS_MTR'!$S$6:$S$1005,A396,'ITENS_MTR'!$AI$6:$AI$1005,1))</f>
        <v>0</v>
      </c>
      <c r="AG396" s="96">
        <f>IF(Z396=0,0,COUNTIFS('ITENS_MTR'!$S$6:$S$1005,A396,'ITENS_MTR'!$AJ$6:$AJ$1005,1))</f>
        <v>0</v>
      </c>
      <c r="AH396" s="96">
        <f>IF(Z396=0,0,COUNTIFS('ITENS_MTR'!$S$6:$S$1005,A396,'ITENS_MTR'!$AM$6:$AM$1005,1))</f>
        <v>0</v>
      </c>
      <c r="AI396" s="96">
        <f>IF(Z396=0,0,COUNTIFS('ITENS_MTR'!$S$6:$S$1005,A396,'ITENS_MTR'!$AO$6:$AO$1005,1))</f>
        <v>0</v>
      </c>
      <c r="AJ396" s="96">
        <f>IF(Z396=0,0,COUNTIFS('ITENS_MTR'!$S$6:$S$1005,A396,'ITENS_MTR'!$AN$6:$AN$1005,1))</f>
        <v>0</v>
      </c>
      <c r="AK396" s="96">
        <f>IF(Z396=0,0,COUNTIFS('RECEBIMENTOS'!$B$6:$B$1005,A396,'RECEBIMENTOS'!$Y$6:$Y$1005,1))</f>
        <v>0</v>
      </c>
      <c r="AL396" s="96">
        <f>IF(Z396=0,0,COUNTIFS('VÍNCULOS_CDF'!$D$6:$D$1005,A396,'VÍNCULOS_CDF'!$Y$6:$Y$1005,1))</f>
        <v>0</v>
      </c>
      <c r="AM396" s="96">
        <f>IF(Z396=0,0,COUNTIFS('RECEBIMENTOS'!$B$6:$B$1005,A396,'RECEBIMENTOS'!$Q$6:$Q$1005,1))</f>
        <v>0</v>
      </c>
      <c r="AN396" s="96">
        <f>IF(AND(Z396=1,N(W396)&gt;0,AG396=N(W396)),1,0)</f>
        <v>0</v>
      </c>
      <c r="AO396" s="96">
        <f>IF(AND(Z396=1,N(W396)&gt;0,AI396=N(W396)),1,0)</f>
        <v>0</v>
      </c>
      <c r="AP396" s="97">
        <f>IF(Z396=0,0,_xlfn.MAXIFS('RECEBIMENTOS'!$E$6:$E$1005,'RECEBIMENTOS'!$B$6:$B$1005,A396))</f>
        <v>0</v>
      </c>
      <c r="AQ396" s="97" t="str">
        <f>IF(T396="","",IF(T396="RECEBIMENTO NÃO CONFIRMADO",IF(ISNUMBER(F396),F396,IF(ISNUMBER(E396),E396,"")),IF(OR(T396="CDF NÃO LOCALIZADO",T396="VÍNCULO INCOMPLETO",T396="CDF A CONFERIR"),IF(AP396&gt;0,AP396,IF(ISNUMBER(E396),E396,"")),IF(ISNUMBER(E396),E396,""))))</f>
        <v/>
      </c>
      <c r="AR396" s="96">
        <f>IF(NOT(ISNUMBER(U396)),0,IF(T396="RECEBIMENTO NÃO CONFIRMADO",IF(AND(ISNUMBER(cfg_rec),U396&gt;cfg_rec),1,0),IF(OR(T396="CDF NÃO LOCALIZADO",T396="VÍNCULO INCOMPLETO",T396="CDF A CONFERIR"),IF(AND(ISNUMBER(cfg_cdf),U396&gt;cfg_cdf),1,0),0)))</f>
        <v>0</v>
      </c>
      <c r="AS396" s="96" t="str">
        <f>IF(T396="","",IF(AR396=1,"Alta",IFERROR(INDEX(cfg_pp,MATCH(T396,cfg_pt,0))&amp;"","Média")))</f>
        <v/>
      </c>
      <c r="AT396" s="96" t="str">
        <f>IF(T396="","",IFERROR(INDEX(cfg_pv,MATCH(T396,cfg_pt,0))&amp;"",""))</f>
        <v/>
      </c>
      <c r="AU396" s="96" t="str">
        <f>IF(T396="","",IF(AS396="Alta",1,IF(AS396="Média",2,3))*1000000000+(999999-IF(ISNUMBER(U396),MIN(U396,999999),0))*1000+391)</f>
        <v/>
      </c>
      <c r="AV396" s="96">
        <f>IF(T396&lt;&gt;"",1,0)</f>
        <v>0</v>
      </c>
      <c r="AW396" s="96" t="str">
        <f>IF(Z396=0,"",IF(AA396=1,"Cancelamento informado; ","")&amp;IF(AE396=1,"Campos essenciais ou itens faltando; ","")&amp;IF(AC396=1,"Possível duplicidade do número; ","")&amp;IF(AD396=1,"Cadastro ou datas a revisar; ","")&amp;IF(AF396&gt;0,"Item de resíduo com dado a revisar; ","")&amp;IF(AH396&gt;0,"Diferença de quantidade a analisar; ","")&amp;IF(AK396&gt;0,"Recebimento com alerta; ","")&amp;IF(AL396&gt;0,"Vínculo de CDF com alerta; ","")&amp;IF(AND(AA396=0,AN396=0),"Recebimento não confirmado; ","")&amp;IF(AND(AA396=0,AN396=1,AO396=0),"CDF pendente ou a conferir; ",""))</f>
        <v/>
      </c>
      <c r="AX396" s="96">
        <f>IF(Z396=0,0,IF(AND(OR(f_ini="",AND(ISNUMBER(E396),E396&gt;=f_ini)),OR(f_fim="",AND(ISNUMBER(E396),E396&lt;=f_fim)),OR(f_un="",f_un="(Todas)",G396=f_un),OR(f_tr="",f_tr="(Todos)",H396=f_tr),OR(f_de="",f_de="(Todos)",I396=f_de),OR(f_sit="",f_sit="(Todas)",S396=f_sit)),1,0))</f>
        <v>0</v>
      </c>
      <c r="AY396" s="96">
        <f>IF(AX396=0,0,IF(OR(f_res="",f_res="(Todos)"),1,IF(COUNTIFS('ITENS_MTR'!$S$6:$S$1005,A396,'ITENS_MTR'!$C$6:$C$1005,f_res)&gt;0,1,0)))</f>
        <v>0</v>
      </c>
      <c r="AZ396" s="97" t="str">
        <f>IF(ISNUMBER(E396),DATE(YEAR(E396),MONTH(E396),1),"")</f>
        <v/>
      </c>
      <c r="BA396" s="96">
        <f>IF(Z396=0,0,IF(AND(OR(r_ini="",AND(ISNUMBER(E396),E396&gt;=r_ini)),OR(r_fim="",AND(ISNUMBER(E396),E396&lt;=r_fim)),OR(r_un="",r_un="(Todas)",G396=r_un),OR(r_de="",r_de="(Todos)",I396=r_de)),1,0))</f>
        <v>0</v>
      </c>
      <c r="BB396" s="96" t="str">
        <f>IF(BA396=1,COUNTIF($BA$6:BA396,1),"")</f>
        <v/>
      </c>
      <c r="BC396" s="96" t="str">
        <f>IF(AND(AU396&lt;&gt;"",OR(r_un="",r_un="(Todas)",G396=r_un),OR(r_de="",r_de="(Todos)",I396=r_de)),AU396,"")</f>
        <v/>
      </c>
      <c r="BD396" s="96" t="str">
        <f>IF(Z396=1,A396&amp;" | nº "&amp;IF(B396="","(sem número)",B396)&amp;" | "&amp;IF(G396="","(sem unidade)",G396),"")</f>
        <v/>
      </c>
      <c r="BE396" s="96" t="str">
        <f>IF(Z396=1,COUNTIF($Z$6:Z396,1),"")</f>
        <v/>
      </c>
      <c r="BF396" s="96" t="str">
        <f>IF(T396="","",IF(T396="RECEBIMENTO NÃO CONFIRMADO","Transp.: "&amp;H396&amp;" | Dest.: "&amp;I396,IF(OR(T396="CDF NÃO LOCALIZADO",T396="VÍNCULO INCOMPLETO",T396="CDF A CONFERIR"),"Dest.: "&amp;I396,"Gerador: "&amp;G396)))</f>
        <v/>
      </c>
    </row>
    <row r="397">
      <c r="A397" s="89" t="inlineStr">
        <is>
          <t>MTR-000392</t>
        </is>
      </c>
      <c r="B397" s="90" t="n"/>
      <c r="C397" s="91" t="n"/>
      <c r="D397" s="91" t="n"/>
      <c r="E397" s="92" t="n"/>
      <c r="F397" s="92" t="n"/>
      <c r="G397" s="91" t="n"/>
      <c r="H397" s="91" t="n"/>
      <c r="I397" s="91" t="n"/>
      <c r="J397" s="91" t="n"/>
      <c r="K397" s="91" t="n"/>
      <c r="L397" s="92" t="n"/>
      <c r="M397" s="91" t="n"/>
      <c r="N397" s="91" t="n"/>
      <c r="O397" s="91" t="n"/>
      <c r="P397" s="93" t="str">
        <f>IF(Z397=0,"",SUMIFS('ITENS_MTR'!$I$6:$I$1005,'ITENS_MTR'!$S$6:$S$1005,A397,'ITENS_MTR'!$Y$6:$Y$1005,1))</f>
        <v/>
      </c>
      <c r="Q397" s="93" t="str">
        <f>IF(Z397=0,"",SUMIFS('RECEBIMENTOS'!$H$6:$H$1005,'RECEBIMENTOS'!$B$6:$B$1005,A397,'RECEBIMENTOS'!$X$6:$X$1005,1))</f>
        <v/>
      </c>
      <c r="R397" s="93" t="str">
        <f>IF(Z397=0,"",SUMIFS('VÍNCULOS_CDF'!$H$6:$H$1005,'VÍNCULOS_CDF'!$D$6:$D$1005,A397,'VÍNCULOS_CDF'!$V$6:$V$1005,1))</f>
        <v/>
      </c>
      <c r="S397" s="94" t="str">
        <f>IF(Z397=0,"",IF(AA397=1,"Cancelado (informado)",IF(AE397=1,"Cadastro incompleto",IF(OR(AC397=1,AD397=1,AF397&gt;0,AH397&gt;0,AK397&gt;0,AL397&gt;0),"Informação a revisar",IF(AN397=0,"Aguardando recebimento",IF(N(R397)=0,"Aguardando CDF",IF(AJ397&lt;N(W397),"Vínculo de CDF parcial",IF(AO397=0,"CDF localizado, a conferir","Documentação conferida"))))))))</f>
        <v/>
      </c>
      <c r="T397" s="94" t="str">
        <f>IF(Z397=0,"",IF(S397="Cadastro incompleto","MTR INCOMPLETO",IF(S397="Informação a revisar",IF(AND(AH397&gt;0,AC397=0,AD397=0,AF397=0,AK397=0,AL397=0),"QUANTIDADE A REVISAR","IDENTIFICAÇÃO A REVISAR"),IF(S397="Aguardando recebimento","RECEBIMENTO NÃO CONFIRMADO",IF(S397="Aguardando CDF","CDF NÃO LOCALIZADO",IF(S397="Vínculo de CDF parcial","VÍNCULO INCOMPLETO",IF(S397="CDF localizado, a conferir","CDF A CONFERIR","")))))))</f>
        <v/>
      </c>
      <c r="U397" s="95" t="str">
        <f>IF(T397="","",IF(AQ397="","Não calculável",IF(AQ397&gt;TODAY(),"Data futura",TODAY()-AQ397)))</f>
        <v/>
      </c>
      <c r="V397" s="93" t="str">
        <f>IF(Z397=0,"",SUMIFS('RECEBIMENTOS'!$H$6:$H$1005,'RECEBIMENTOS'!$B$6:$B$1005,A397,'RECEBIMENTOS'!$Z$6:$Z$1005,1))</f>
        <v/>
      </c>
      <c r="W397" s="95" t="str">
        <f>IF(Z397=0,"",COUNTIFS('ITENS_MTR'!$S$6:$S$1005,A397,'ITENS_MTR'!$R$6:$R$1005,1))</f>
        <v/>
      </c>
      <c r="X397" s="94" t="str">
        <f>IF(AC397=1,"POSSÍVEL DUPLICIDADE","")</f>
        <v/>
      </c>
      <c r="Y397" s="94" t="str">
        <f>IF(Z397=0,"",IF(AW397="","Nenhuma",LEFT(AW397,LEN(AW397)-2)))</f>
        <v/>
      </c>
      <c r="Z397" s="96">
        <f>IF(COUNTA(B397:O397)&gt;0,1,0)</f>
        <v>0</v>
      </c>
      <c r="AA397" s="96">
        <f>IF(AND(Z397=1,K397&lt;&gt;""),IF(TRIM(K397)=TRIM(cfg_cancel),1,0),0)</f>
        <v>0</v>
      </c>
      <c r="AB397" s="96" t="str">
        <f>IF(AND(Z397=1,B397&lt;&gt;""),C397&amp;"|"&amp;D397&amp;"|"&amp;G397&amp;"|"&amp;TRIM(B397),"")</f>
        <v/>
      </c>
      <c r="AC397" s="96">
        <f>IF(AB397="",0,IF(SUMPRODUCT(--($AB$6:$AB$505=AB397))&gt;1,1,0))</f>
        <v>0</v>
      </c>
      <c r="AD397" s="96">
        <f>IF(Z397=0,0,IF(OR(AND(G397&lt;&gt;"",ISNA(MATCH(G397,'CAD_UNIDADES'!$C$6:$C$105,0))),AND(H397&lt;&gt;"",ISNA(MATCH(H397,cmp_transp,0))),AND(I397&lt;&gt;"",ISNA(MATCH(I397,cmp_dest,0))),AND(E397&lt;&gt;"",NOT(ISNUMBER(E397))),AND(F397&lt;&gt;"",NOT(ISNUMBER(F397))),AND(ISNUMBER(E397),ISNUMBER(F397),F397&lt;E397)),1,0))</f>
        <v>0</v>
      </c>
      <c r="AE397" s="96">
        <f>IF(Z397=0,0,IF(OR(B397="",C397="",E397="",G397="",H397="",I397="",N(W397)=0),1,0))</f>
        <v>0</v>
      </c>
      <c r="AF397" s="96">
        <f>IF(Z397=0,0,COUNTIFS('ITENS_MTR'!$S$6:$S$1005,A397,'ITENS_MTR'!$AI$6:$AI$1005,1))</f>
        <v>0</v>
      </c>
      <c r="AG397" s="96">
        <f>IF(Z397=0,0,COUNTIFS('ITENS_MTR'!$S$6:$S$1005,A397,'ITENS_MTR'!$AJ$6:$AJ$1005,1))</f>
        <v>0</v>
      </c>
      <c r="AH397" s="96">
        <f>IF(Z397=0,0,COUNTIFS('ITENS_MTR'!$S$6:$S$1005,A397,'ITENS_MTR'!$AM$6:$AM$1005,1))</f>
        <v>0</v>
      </c>
      <c r="AI397" s="96">
        <f>IF(Z397=0,0,COUNTIFS('ITENS_MTR'!$S$6:$S$1005,A397,'ITENS_MTR'!$AO$6:$AO$1005,1))</f>
        <v>0</v>
      </c>
      <c r="AJ397" s="96">
        <f>IF(Z397=0,0,COUNTIFS('ITENS_MTR'!$S$6:$S$1005,A397,'ITENS_MTR'!$AN$6:$AN$1005,1))</f>
        <v>0</v>
      </c>
      <c r="AK397" s="96">
        <f>IF(Z397=0,0,COUNTIFS('RECEBIMENTOS'!$B$6:$B$1005,A397,'RECEBIMENTOS'!$Y$6:$Y$1005,1))</f>
        <v>0</v>
      </c>
      <c r="AL397" s="96">
        <f>IF(Z397=0,0,COUNTIFS('VÍNCULOS_CDF'!$D$6:$D$1005,A397,'VÍNCULOS_CDF'!$Y$6:$Y$1005,1))</f>
        <v>0</v>
      </c>
      <c r="AM397" s="96">
        <f>IF(Z397=0,0,COUNTIFS('RECEBIMENTOS'!$B$6:$B$1005,A397,'RECEBIMENTOS'!$Q$6:$Q$1005,1))</f>
        <v>0</v>
      </c>
      <c r="AN397" s="96">
        <f>IF(AND(Z397=1,N(W397)&gt;0,AG397=N(W397)),1,0)</f>
        <v>0</v>
      </c>
      <c r="AO397" s="96">
        <f>IF(AND(Z397=1,N(W397)&gt;0,AI397=N(W397)),1,0)</f>
        <v>0</v>
      </c>
      <c r="AP397" s="97">
        <f>IF(Z397=0,0,_xlfn.MAXIFS('RECEBIMENTOS'!$E$6:$E$1005,'RECEBIMENTOS'!$B$6:$B$1005,A397))</f>
        <v>0</v>
      </c>
      <c r="AQ397" s="97" t="str">
        <f>IF(T397="","",IF(T397="RECEBIMENTO NÃO CONFIRMADO",IF(ISNUMBER(F397),F397,IF(ISNUMBER(E397),E397,"")),IF(OR(T397="CDF NÃO LOCALIZADO",T397="VÍNCULO INCOMPLETO",T397="CDF A CONFERIR"),IF(AP397&gt;0,AP397,IF(ISNUMBER(E397),E397,"")),IF(ISNUMBER(E397),E397,""))))</f>
        <v/>
      </c>
      <c r="AR397" s="96">
        <f>IF(NOT(ISNUMBER(U397)),0,IF(T397="RECEBIMENTO NÃO CONFIRMADO",IF(AND(ISNUMBER(cfg_rec),U397&gt;cfg_rec),1,0),IF(OR(T397="CDF NÃO LOCALIZADO",T397="VÍNCULO INCOMPLETO",T397="CDF A CONFERIR"),IF(AND(ISNUMBER(cfg_cdf),U397&gt;cfg_cdf),1,0),0)))</f>
        <v>0</v>
      </c>
      <c r="AS397" s="96" t="str">
        <f>IF(T397="","",IF(AR397=1,"Alta",IFERROR(INDEX(cfg_pp,MATCH(T397,cfg_pt,0))&amp;"","Média")))</f>
        <v/>
      </c>
      <c r="AT397" s="96" t="str">
        <f>IF(T397="","",IFERROR(INDEX(cfg_pv,MATCH(T397,cfg_pt,0))&amp;"",""))</f>
        <v/>
      </c>
      <c r="AU397" s="96" t="str">
        <f>IF(T397="","",IF(AS397="Alta",1,IF(AS397="Média",2,3))*1000000000+(999999-IF(ISNUMBER(U397),MIN(U397,999999),0))*1000+392)</f>
        <v/>
      </c>
      <c r="AV397" s="96">
        <f>IF(T397&lt;&gt;"",1,0)</f>
        <v>0</v>
      </c>
      <c r="AW397" s="96" t="str">
        <f>IF(Z397=0,"",IF(AA397=1,"Cancelamento informado; ","")&amp;IF(AE397=1,"Campos essenciais ou itens faltando; ","")&amp;IF(AC397=1,"Possível duplicidade do número; ","")&amp;IF(AD397=1,"Cadastro ou datas a revisar; ","")&amp;IF(AF397&gt;0,"Item de resíduo com dado a revisar; ","")&amp;IF(AH397&gt;0,"Diferença de quantidade a analisar; ","")&amp;IF(AK397&gt;0,"Recebimento com alerta; ","")&amp;IF(AL397&gt;0,"Vínculo de CDF com alerta; ","")&amp;IF(AND(AA397=0,AN397=0),"Recebimento não confirmado; ","")&amp;IF(AND(AA397=0,AN397=1,AO397=0),"CDF pendente ou a conferir; ",""))</f>
        <v/>
      </c>
      <c r="AX397" s="96">
        <f>IF(Z397=0,0,IF(AND(OR(f_ini="",AND(ISNUMBER(E397),E397&gt;=f_ini)),OR(f_fim="",AND(ISNUMBER(E397),E397&lt;=f_fim)),OR(f_un="",f_un="(Todas)",G397=f_un),OR(f_tr="",f_tr="(Todos)",H397=f_tr),OR(f_de="",f_de="(Todos)",I397=f_de),OR(f_sit="",f_sit="(Todas)",S397=f_sit)),1,0))</f>
        <v>0</v>
      </c>
      <c r="AY397" s="96">
        <f>IF(AX397=0,0,IF(OR(f_res="",f_res="(Todos)"),1,IF(COUNTIFS('ITENS_MTR'!$S$6:$S$1005,A397,'ITENS_MTR'!$C$6:$C$1005,f_res)&gt;0,1,0)))</f>
        <v>0</v>
      </c>
      <c r="AZ397" s="97" t="str">
        <f>IF(ISNUMBER(E397),DATE(YEAR(E397),MONTH(E397),1),"")</f>
        <v/>
      </c>
      <c r="BA397" s="96">
        <f>IF(Z397=0,0,IF(AND(OR(r_ini="",AND(ISNUMBER(E397),E397&gt;=r_ini)),OR(r_fim="",AND(ISNUMBER(E397),E397&lt;=r_fim)),OR(r_un="",r_un="(Todas)",G397=r_un),OR(r_de="",r_de="(Todos)",I397=r_de)),1,0))</f>
        <v>0</v>
      </c>
      <c r="BB397" s="96" t="str">
        <f>IF(BA397=1,COUNTIF($BA$6:BA397,1),"")</f>
        <v/>
      </c>
      <c r="BC397" s="96" t="str">
        <f>IF(AND(AU397&lt;&gt;"",OR(r_un="",r_un="(Todas)",G397=r_un),OR(r_de="",r_de="(Todos)",I397=r_de)),AU397,"")</f>
        <v/>
      </c>
      <c r="BD397" s="96" t="str">
        <f>IF(Z397=1,A397&amp;" | nº "&amp;IF(B397="","(sem número)",B397)&amp;" | "&amp;IF(G397="","(sem unidade)",G397),"")</f>
        <v/>
      </c>
      <c r="BE397" s="96" t="str">
        <f>IF(Z397=1,COUNTIF($Z$6:Z397,1),"")</f>
        <v/>
      </c>
      <c r="BF397" s="96" t="str">
        <f>IF(T397="","",IF(T397="RECEBIMENTO NÃO CONFIRMADO","Transp.: "&amp;H397&amp;" | Dest.: "&amp;I397,IF(OR(T397="CDF NÃO LOCALIZADO",T397="VÍNCULO INCOMPLETO",T397="CDF A CONFERIR"),"Dest.: "&amp;I397,"Gerador: "&amp;G397)))</f>
        <v/>
      </c>
    </row>
    <row r="398">
      <c r="A398" s="89" t="inlineStr">
        <is>
          <t>MTR-000393</t>
        </is>
      </c>
      <c r="B398" s="90" t="n"/>
      <c r="C398" s="91" t="n"/>
      <c r="D398" s="91" t="n"/>
      <c r="E398" s="92" t="n"/>
      <c r="F398" s="92" t="n"/>
      <c r="G398" s="91" t="n"/>
      <c r="H398" s="91" t="n"/>
      <c r="I398" s="91" t="n"/>
      <c r="J398" s="91" t="n"/>
      <c r="K398" s="91" t="n"/>
      <c r="L398" s="92" t="n"/>
      <c r="M398" s="91" t="n"/>
      <c r="N398" s="91" t="n"/>
      <c r="O398" s="91" t="n"/>
      <c r="P398" s="93" t="str">
        <f>IF(Z398=0,"",SUMIFS('ITENS_MTR'!$I$6:$I$1005,'ITENS_MTR'!$S$6:$S$1005,A398,'ITENS_MTR'!$Y$6:$Y$1005,1))</f>
        <v/>
      </c>
      <c r="Q398" s="93" t="str">
        <f>IF(Z398=0,"",SUMIFS('RECEBIMENTOS'!$H$6:$H$1005,'RECEBIMENTOS'!$B$6:$B$1005,A398,'RECEBIMENTOS'!$X$6:$X$1005,1))</f>
        <v/>
      </c>
      <c r="R398" s="93" t="str">
        <f>IF(Z398=0,"",SUMIFS('VÍNCULOS_CDF'!$H$6:$H$1005,'VÍNCULOS_CDF'!$D$6:$D$1005,A398,'VÍNCULOS_CDF'!$V$6:$V$1005,1))</f>
        <v/>
      </c>
      <c r="S398" s="94" t="str">
        <f>IF(Z398=0,"",IF(AA398=1,"Cancelado (informado)",IF(AE398=1,"Cadastro incompleto",IF(OR(AC398=1,AD398=1,AF398&gt;0,AH398&gt;0,AK398&gt;0,AL398&gt;0),"Informação a revisar",IF(AN398=0,"Aguardando recebimento",IF(N(R398)=0,"Aguardando CDF",IF(AJ398&lt;N(W398),"Vínculo de CDF parcial",IF(AO398=0,"CDF localizado, a conferir","Documentação conferida"))))))))</f>
        <v/>
      </c>
      <c r="T398" s="94" t="str">
        <f>IF(Z398=0,"",IF(S398="Cadastro incompleto","MTR INCOMPLETO",IF(S398="Informação a revisar",IF(AND(AH398&gt;0,AC398=0,AD398=0,AF398=0,AK398=0,AL398=0),"QUANTIDADE A REVISAR","IDENTIFICAÇÃO A REVISAR"),IF(S398="Aguardando recebimento","RECEBIMENTO NÃO CONFIRMADO",IF(S398="Aguardando CDF","CDF NÃO LOCALIZADO",IF(S398="Vínculo de CDF parcial","VÍNCULO INCOMPLETO",IF(S398="CDF localizado, a conferir","CDF A CONFERIR","")))))))</f>
        <v/>
      </c>
      <c r="U398" s="95" t="str">
        <f>IF(T398="","",IF(AQ398="","Não calculável",IF(AQ398&gt;TODAY(),"Data futura",TODAY()-AQ398)))</f>
        <v/>
      </c>
      <c r="V398" s="93" t="str">
        <f>IF(Z398=0,"",SUMIFS('RECEBIMENTOS'!$H$6:$H$1005,'RECEBIMENTOS'!$B$6:$B$1005,A398,'RECEBIMENTOS'!$Z$6:$Z$1005,1))</f>
        <v/>
      </c>
      <c r="W398" s="95" t="str">
        <f>IF(Z398=0,"",COUNTIFS('ITENS_MTR'!$S$6:$S$1005,A398,'ITENS_MTR'!$R$6:$R$1005,1))</f>
        <v/>
      </c>
      <c r="X398" s="94" t="str">
        <f>IF(AC398=1,"POSSÍVEL DUPLICIDADE","")</f>
        <v/>
      </c>
      <c r="Y398" s="94" t="str">
        <f>IF(Z398=0,"",IF(AW398="","Nenhuma",LEFT(AW398,LEN(AW398)-2)))</f>
        <v/>
      </c>
      <c r="Z398" s="96">
        <f>IF(COUNTA(B398:O398)&gt;0,1,0)</f>
        <v>0</v>
      </c>
      <c r="AA398" s="96">
        <f>IF(AND(Z398=1,K398&lt;&gt;""),IF(TRIM(K398)=TRIM(cfg_cancel),1,0),0)</f>
        <v>0</v>
      </c>
      <c r="AB398" s="96" t="str">
        <f>IF(AND(Z398=1,B398&lt;&gt;""),C398&amp;"|"&amp;D398&amp;"|"&amp;G398&amp;"|"&amp;TRIM(B398),"")</f>
        <v/>
      </c>
      <c r="AC398" s="96">
        <f>IF(AB398="",0,IF(SUMPRODUCT(--($AB$6:$AB$505=AB398))&gt;1,1,0))</f>
        <v>0</v>
      </c>
      <c r="AD398" s="96">
        <f>IF(Z398=0,0,IF(OR(AND(G398&lt;&gt;"",ISNA(MATCH(G398,'CAD_UNIDADES'!$C$6:$C$105,0))),AND(H398&lt;&gt;"",ISNA(MATCH(H398,cmp_transp,0))),AND(I398&lt;&gt;"",ISNA(MATCH(I398,cmp_dest,0))),AND(E398&lt;&gt;"",NOT(ISNUMBER(E398))),AND(F398&lt;&gt;"",NOT(ISNUMBER(F398))),AND(ISNUMBER(E398),ISNUMBER(F398),F398&lt;E398)),1,0))</f>
        <v>0</v>
      </c>
      <c r="AE398" s="96">
        <f>IF(Z398=0,0,IF(OR(B398="",C398="",E398="",G398="",H398="",I398="",N(W398)=0),1,0))</f>
        <v>0</v>
      </c>
      <c r="AF398" s="96">
        <f>IF(Z398=0,0,COUNTIFS('ITENS_MTR'!$S$6:$S$1005,A398,'ITENS_MTR'!$AI$6:$AI$1005,1))</f>
        <v>0</v>
      </c>
      <c r="AG398" s="96">
        <f>IF(Z398=0,0,COUNTIFS('ITENS_MTR'!$S$6:$S$1005,A398,'ITENS_MTR'!$AJ$6:$AJ$1005,1))</f>
        <v>0</v>
      </c>
      <c r="AH398" s="96">
        <f>IF(Z398=0,0,COUNTIFS('ITENS_MTR'!$S$6:$S$1005,A398,'ITENS_MTR'!$AM$6:$AM$1005,1))</f>
        <v>0</v>
      </c>
      <c r="AI398" s="96">
        <f>IF(Z398=0,0,COUNTIFS('ITENS_MTR'!$S$6:$S$1005,A398,'ITENS_MTR'!$AO$6:$AO$1005,1))</f>
        <v>0</v>
      </c>
      <c r="AJ398" s="96">
        <f>IF(Z398=0,0,COUNTIFS('ITENS_MTR'!$S$6:$S$1005,A398,'ITENS_MTR'!$AN$6:$AN$1005,1))</f>
        <v>0</v>
      </c>
      <c r="AK398" s="96">
        <f>IF(Z398=0,0,COUNTIFS('RECEBIMENTOS'!$B$6:$B$1005,A398,'RECEBIMENTOS'!$Y$6:$Y$1005,1))</f>
        <v>0</v>
      </c>
      <c r="AL398" s="96">
        <f>IF(Z398=0,0,COUNTIFS('VÍNCULOS_CDF'!$D$6:$D$1005,A398,'VÍNCULOS_CDF'!$Y$6:$Y$1005,1))</f>
        <v>0</v>
      </c>
      <c r="AM398" s="96">
        <f>IF(Z398=0,0,COUNTIFS('RECEBIMENTOS'!$B$6:$B$1005,A398,'RECEBIMENTOS'!$Q$6:$Q$1005,1))</f>
        <v>0</v>
      </c>
      <c r="AN398" s="96">
        <f>IF(AND(Z398=1,N(W398)&gt;0,AG398=N(W398)),1,0)</f>
        <v>0</v>
      </c>
      <c r="AO398" s="96">
        <f>IF(AND(Z398=1,N(W398)&gt;0,AI398=N(W398)),1,0)</f>
        <v>0</v>
      </c>
      <c r="AP398" s="97">
        <f>IF(Z398=0,0,_xlfn.MAXIFS('RECEBIMENTOS'!$E$6:$E$1005,'RECEBIMENTOS'!$B$6:$B$1005,A398))</f>
        <v>0</v>
      </c>
      <c r="AQ398" s="97" t="str">
        <f>IF(T398="","",IF(T398="RECEBIMENTO NÃO CONFIRMADO",IF(ISNUMBER(F398),F398,IF(ISNUMBER(E398),E398,"")),IF(OR(T398="CDF NÃO LOCALIZADO",T398="VÍNCULO INCOMPLETO",T398="CDF A CONFERIR"),IF(AP398&gt;0,AP398,IF(ISNUMBER(E398),E398,"")),IF(ISNUMBER(E398),E398,""))))</f>
        <v/>
      </c>
      <c r="AR398" s="96">
        <f>IF(NOT(ISNUMBER(U398)),0,IF(T398="RECEBIMENTO NÃO CONFIRMADO",IF(AND(ISNUMBER(cfg_rec),U398&gt;cfg_rec),1,0),IF(OR(T398="CDF NÃO LOCALIZADO",T398="VÍNCULO INCOMPLETO",T398="CDF A CONFERIR"),IF(AND(ISNUMBER(cfg_cdf),U398&gt;cfg_cdf),1,0),0)))</f>
        <v>0</v>
      </c>
      <c r="AS398" s="96" t="str">
        <f>IF(T398="","",IF(AR398=1,"Alta",IFERROR(INDEX(cfg_pp,MATCH(T398,cfg_pt,0))&amp;"","Média")))</f>
        <v/>
      </c>
      <c r="AT398" s="96" t="str">
        <f>IF(T398="","",IFERROR(INDEX(cfg_pv,MATCH(T398,cfg_pt,0))&amp;"",""))</f>
        <v/>
      </c>
      <c r="AU398" s="96" t="str">
        <f>IF(T398="","",IF(AS398="Alta",1,IF(AS398="Média",2,3))*1000000000+(999999-IF(ISNUMBER(U398),MIN(U398,999999),0))*1000+393)</f>
        <v/>
      </c>
      <c r="AV398" s="96">
        <f>IF(T398&lt;&gt;"",1,0)</f>
        <v>0</v>
      </c>
      <c r="AW398" s="96" t="str">
        <f>IF(Z398=0,"",IF(AA398=1,"Cancelamento informado; ","")&amp;IF(AE398=1,"Campos essenciais ou itens faltando; ","")&amp;IF(AC398=1,"Possível duplicidade do número; ","")&amp;IF(AD398=1,"Cadastro ou datas a revisar; ","")&amp;IF(AF398&gt;0,"Item de resíduo com dado a revisar; ","")&amp;IF(AH398&gt;0,"Diferença de quantidade a analisar; ","")&amp;IF(AK398&gt;0,"Recebimento com alerta; ","")&amp;IF(AL398&gt;0,"Vínculo de CDF com alerta; ","")&amp;IF(AND(AA398=0,AN398=0),"Recebimento não confirmado; ","")&amp;IF(AND(AA398=0,AN398=1,AO398=0),"CDF pendente ou a conferir; ",""))</f>
        <v/>
      </c>
      <c r="AX398" s="96">
        <f>IF(Z398=0,0,IF(AND(OR(f_ini="",AND(ISNUMBER(E398),E398&gt;=f_ini)),OR(f_fim="",AND(ISNUMBER(E398),E398&lt;=f_fim)),OR(f_un="",f_un="(Todas)",G398=f_un),OR(f_tr="",f_tr="(Todos)",H398=f_tr),OR(f_de="",f_de="(Todos)",I398=f_de),OR(f_sit="",f_sit="(Todas)",S398=f_sit)),1,0))</f>
        <v>0</v>
      </c>
      <c r="AY398" s="96">
        <f>IF(AX398=0,0,IF(OR(f_res="",f_res="(Todos)"),1,IF(COUNTIFS('ITENS_MTR'!$S$6:$S$1005,A398,'ITENS_MTR'!$C$6:$C$1005,f_res)&gt;0,1,0)))</f>
        <v>0</v>
      </c>
      <c r="AZ398" s="97" t="str">
        <f>IF(ISNUMBER(E398),DATE(YEAR(E398),MONTH(E398),1),"")</f>
        <v/>
      </c>
      <c r="BA398" s="96">
        <f>IF(Z398=0,0,IF(AND(OR(r_ini="",AND(ISNUMBER(E398),E398&gt;=r_ini)),OR(r_fim="",AND(ISNUMBER(E398),E398&lt;=r_fim)),OR(r_un="",r_un="(Todas)",G398=r_un),OR(r_de="",r_de="(Todos)",I398=r_de)),1,0))</f>
        <v>0</v>
      </c>
      <c r="BB398" s="96" t="str">
        <f>IF(BA398=1,COUNTIF($BA$6:BA398,1),"")</f>
        <v/>
      </c>
      <c r="BC398" s="96" t="str">
        <f>IF(AND(AU398&lt;&gt;"",OR(r_un="",r_un="(Todas)",G398=r_un),OR(r_de="",r_de="(Todos)",I398=r_de)),AU398,"")</f>
        <v/>
      </c>
      <c r="BD398" s="96" t="str">
        <f>IF(Z398=1,A398&amp;" | nº "&amp;IF(B398="","(sem número)",B398)&amp;" | "&amp;IF(G398="","(sem unidade)",G398),"")</f>
        <v/>
      </c>
      <c r="BE398" s="96" t="str">
        <f>IF(Z398=1,COUNTIF($Z$6:Z398,1),"")</f>
        <v/>
      </c>
      <c r="BF398" s="96" t="str">
        <f>IF(T398="","",IF(T398="RECEBIMENTO NÃO CONFIRMADO","Transp.: "&amp;H398&amp;" | Dest.: "&amp;I398,IF(OR(T398="CDF NÃO LOCALIZADO",T398="VÍNCULO INCOMPLETO",T398="CDF A CONFERIR"),"Dest.: "&amp;I398,"Gerador: "&amp;G398)))</f>
        <v/>
      </c>
    </row>
    <row r="399">
      <c r="A399" s="89" t="inlineStr">
        <is>
          <t>MTR-000394</t>
        </is>
      </c>
      <c r="B399" s="90" t="n"/>
      <c r="C399" s="91" t="n"/>
      <c r="D399" s="91" t="n"/>
      <c r="E399" s="92" t="n"/>
      <c r="F399" s="92" t="n"/>
      <c r="G399" s="91" t="n"/>
      <c r="H399" s="91" t="n"/>
      <c r="I399" s="91" t="n"/>
      <c r="J399" s="91" t="n"/>
      <c r="K399" s="91" t="n"/>
      <c r="L399" s="92" t="n"/>
      <c r="M399" s="91" t="n"/>
      <c r="N399" s="91" t="n"/>
      <c r="O399" s="91" t="n"/>
      <c r="P399" s="93" t="str">
        <f>IF(Z399=0,"",SUMIFS('ITENS_MTR'!$I$6:$I$1005,'ITENS_MTR'!$S$6:$S$1005,A399,'ITENS_MTR'!$Y$6:$Y$1005,1))</f>
        <v/>
      </c>
      <c r="Q399" s="93" t="str">
        <f>IF(Z399=0,"",SUMIFS('RECEBIMENTOS'!$H$6:$H$1005,'RECEBIMENTOS'!$B$6:$B$1005,A399,'RECEBIMENTOS'!$X$6:$X$1005,1))</f>
        <v/>
      </c>
      <c r="R399" s="93" t="str">
        <f>IF(Z399=0,"",SUMIFS('VÍNCULOS_CDF'!$H$6:$H$1005,'VÍNCULOS_CDF'!$D$6:$D$1005,A399,'VÍNCULOS_CDF'!$V$6:$V$1005,1))</f>
        <v/>
      </c>
      <c r="S399" s="94" t="str">
        <f>IF(Z399=0,"",IF(AA399=1,"Cancelado (informado)",IF(AE399=1,"Cadastro incompleto",IF(OR(AC399=1,AD399=1,AF399&gt;0,AH399&gt;0,AK399&gt;0,AL399&gt;0),"Informação a revisar",IF(AN399=0,"Aguardando recebimento",IF(N(R399)=0,"Aguardando CDF",IF(AJ399&lt;N(W399),"Vínculo de CDF parcial",IF(AO399=0,"CDF localizado, a conferir","Documentação conferida"))))))))</f>
        <v/>
      </c>
      <c r="T399" s="94" t="str">
        <f>IF(Z399=0,"",IF(S399="Cadastro incompleto","MTR INCOMPLETO",IF(S399="Informação a revisar",IF(AND(AH399&gt;0,AC399=0,AD399=0,AF399=0,AK399=0,AL399=0),"QUANTIDADE A REVISAR","IDENTIFICAÇÃO A REVISAR"),IF(S399="Aguardando recebimento","RECEBIMENTO NÃO CONFIRMADO",IF(S399="Aguardando CDF","CDF NÃO LOCALIZADO",IF(S399="Vínculo de CDF parcial","VÍNCULO INCOMPLETO",IF(S399="CDF localizado, a conferir","CDF A CONFERIR","")))))))</f>
        <v/>
      </c>
      <c r="U399" s="95" t="str">
        <f>IF(T399="","",IF(AQ399="","Não calculável",IF(AQ399&gt;TODAY(),"Data futura",TODAY()-AQ399)))</f>
        <v/>
      </c>
      <c r="V399" s="93" t="str">
        <f>IF(Z399=0,"",SUMIFS('RECEBIMENTOS'!$H$6:$H$1005,'RECEBIMENTOS'!$B$6:$B$1005,A399,'RECEBIMENTOS'!$Z$6:$Z$1005,1))</f>
        <v/>
      </c>
      <c r="W399" s="95" t="str">
        <f>IF(Z399=0,"",COUNTIFS('ITENS_MTR'!$S$6:$S$1005,A399,'ITENS_MTR'!$R$6:$R$1005,1))</f>
        <v/>
      </c>
      <c r="X399" s="94" t="str">
        <f>IF(AC399=1,"POSSÍVEL DUPLICIDADE","")</f>
        <v/>
      </c>
      <c r="Y399" s="94" t="str">
        <f>IF(Z399=0,"",IF(AW399="","Nenhuma",LEFT(AW399,LEN(AW399)-2)))</f>
        <v/>
      </c>
      <c r="Z399" s="96">
        <f>IF(COUNTA(B399:O399)&gt;0,1,0)</f>
        <v>0</v>
      </c>
      <c r="AA399" s="96">
        <f>IF(AND(Z399=1,K399&lt;&gt;""),IF(TRIM(K399)=TRIM(cfg_cancel),1,0),0)</f>
        <v>0</v>
      </c>
      <c r="AB399" s="96" t="str">
        <f>IF(AND(Z399=1,B399&lt;&gt;""),C399&amp;"|"&amp;D399&amp;"|"&amp;G399&amp;"|"&amp;TRIM(B399),"")</f>
        <v/>
      </c>
      <c r="AC399" s="96">
        <f>IF(AB399="",0,IF(SUMPRODUCT(--($AB$6:$AB$505=AB399))&gt;1,1,0))</f>
        <v>0</v>
      </c>
      <c r="AD399" s="96">
        <f>IF(Z399=0,0,IF(OR(AND(G399&lt;&gt;"",ISNA(MATCH(G399,'CAD_UNIDADES'!$C$6:$C$105,0))),AND(H399&lt;&gt;"",ISNA(MATCH(H399,cmp_transp,0))),AND(I399&lt;&gt;"",ISNA(MATCH(I399,cmp_dest,0))),AND(E399&lt;&gt;"",NOT(ISNUMBER(E399))),AND(F399&lt;&gt;"",NOT(ISNUMBER(F399))),AND(ISNUMBER(E399),ISNUMBER(F399),F399&lt;E399)),1,0))</f>
        <v>0</v>
      </c>
      <c r="AE399" s="96">
        <f>IF(Z399=0,0,IF(OR(B399="",C399="",E399="",G399="",H399="",I399="",N(W399)=0),1,0))</f>
        <v>0</v>
      </c>
      <c r="AF399" s="96">
        <f>IF(Z399=0,0,COUNTIFS('ITENS_MTR'!$S$6:$S$1005,A399,'ITENS_MTR'!$AI$6:$AI$1005,1))</f>
        <v>0</v>
      </c>
      <c r="AG399" s="96">
        <f>IF(Z399=0,0,COUNTIFS('ITENS_MTR'!$S$6:$S$1005,A399,'ITENS_MTR'!$AJ$6:$AJ$1005,1))</f>
        <v>0</v>
      </c>
      <c r="AH399" s="96">
        <f>IF(Z399=0,0,COUNTIFS('ITENS_MTR'!$S$6:$S$1005,A399,'ITENS_MTR'!$AM$6:$AM$1005,1))</f>
        <v>0</v>
      </c>
      <c r="AI399" s="96">
        <f>IF(Z399=0,0,COUNTIFS('ITENS_MTR'!$S$6:$S$1005,A399,'ITENS_MTR'!$AO$6:$AO$1005,1))</f>
        <v>0</v>
      </c>
      <c r="AJ399" s="96">
        <f>IF(Z399=0,0,COUNTIFS('ITENS_MTR'!$S$6:$S$1005,A399,'ITENS_MTR'!$AN$6:$AN$1005,1))</f>
        <v>0</v>
      </c>
      <c r="AK399" s="96">
        <f>IF(Z399=0,0,COUNTIFS('RECEBIMENTOS'!$B$6:$B$1005,A399,'RECEBIMENTOS'!$Y$6:$Y$1005,1))</f>
        <v>0</v>
      </c>
      <c r="AL399" s="96">
        <f>IF(Z399=0,0,COUNTIFS('VÍNCULOS_CDF'!$D$6:$D$1005,A399,'VÍNCULOS_CDF'!$Y$6:$Y$1005,1))</f>
        <v>0</v>
      </c>
      <c r="AM399" s="96">
        <f>IF(Z399=0,0,COUNTIFS('RECEBIMENTOS'!$B$6:$B$1005,A399,'RECEBIMENTOS'!$Q$6:$Q$1005,1))</f>
        <v>0</v>
      </c>
      <c r="AN399" s="96">
        <f>IF(AND(Z399=1,N(W399)&gt;0,AG399=N(W399)),1,0)</f>
        <v>0</v>
      </c>
      <c r="AO399" s="96">
        <f>IF(AND(Z399=1,N(W399)&gt;0,AI399=N(W399)),1,0)</f>
        <v>0</v>
      </c>
      <c r="AP399" s="97">
        <f>IF(Z399=0,0,_xlfn.MAXIFS('RECEBIMENTOS'!$E$6:$E$1005,'RECEBIMENTOS'!$B$6:$B$1005,A399))</f>
        <v>0</v>
      </c>
      <c r="AQ399" s="97" t="str">
        <f>IF(T399="","",IF(T399="RECEBIMENTO NÃO CONFIRMADO",IF(ISNUMBER(F399),F399,IF(ISNUMBER(E399),E399,"")),IF(OR(T399="CDF NÃO LOCALIZADO",T399="VÍNCULO INCOMPLETO",T399="CDF A CONFERIR"),IF(AP399&gt;0,AP399,IF(ISNUMBER(E399),E399,"")),IF(ISNUMBER(E399),E399,""))))</f>
        <v/>
      </c>
      <c r="AR399" s="96">
        <f>IF(NOT(ISNUMBER(U399)),0,IF(T399="RECEBIMENTO NÃO CONFIRMADO",IF(AND(ISNUMBER(cfg_rec),U399&gt;cfg_rec),1,0),IF(OR(T399="CDF NÃO LOCALIZADO",T399="VÍNCULO INCOMPLETO",T399="CDF A CONFERIR"),IF(AND(ISNUMBER(cfg_cdf),U399&gt;cfg_cdf),1,0),0)))</f>
        <v>0</v>
      </c>
      <c r="AS399" s="96" t="str">
        <f>IF(T399="","",IF(AR399=1,"Alta",IFERROR(INDEX(cfg_pp,MATCH(T399,cfg_pt,0))&amp;"","Média")))</f>
        <v/>
      </c>
      <c r="AT399" s="96" t="str">
        <f>IF(T399="","",IFERROR(INDEX(cfg_pv,MATCH(T399,cfg_pt,0))&amp;"",""))</f>
        <v/>
      </c>
      <c r="AU399" s="96" t="str">
        <f>IF(T399="","",IF(AS399="Alta",1,IF(AS399="Média",2,3))*1000000000+(999999-IF(ISNUMBER(U399),MIN(U399,999999),0))*1000+394)</f>
        <v/>
      </c>
      <c r="AV399" s="96">
        <f>IF(T399&lt;&gt;"",1,0)</f>
        <v>0</v>
      </c>
      <c r="AW399" s="96" t="str">
        <f>IF(Z399=0,"",IF(AA399=1,"Cancelamento informado; ","")&amp;IF(AE399=1,"Campos essenciais ou itens faltando; ","")&amp;IF(AC399=1,"Possível duplicidade do número; ","")&amp;IF(AD399=1,"Cadastro ou datas a revisar; ","")&amp;IF(AF399&gt;0,"Item de resíduo com dado a revisar; ","")&amp;IF(AH399&gt;0,"Diferença de quantidade a analisar; ","")&amp;IF(AK399&gt;0,"Recebimento com alerta; ","")&amp;IF(AL399&gt;0,"Vínculo de CDF com alerta; ","")&amp;IF(AND(AA399=0,AN399=0),"Recebimento não confirmado; ","")&amp;IF(AND(AA399=0,AN399=1,AO399=0),"CDF pendente ou a conferir; ",""))</f>
        <v/>
      </c>
      <c r="AX399" s="96">
        <f>IF(Z399=0,0,IF(AND(OR(f_ini="",AND(ISNUMBER(E399),E399&gt;=f_ini)),OR(f_fim="",AND(ISNUMBER(E399),E399&lt;=f_fim)),OR(f_un="",f_un="(Todas)",G399=f_un),OR(f_tr="",f_tr="(Todos)",H399=f_tr),OR(f_de="",f_de="(Todos)",I399=f_de),OR(f_sit="",f_sit="(Todas)",S399=f_sit)),1,0))</f>
        <v>0</v>
      </c>
      <c r="AY399" s="96">
        <f>IF(AX399=0,0,IF(OR(f_res="",f_res="(Todos)"),1,IF(COUNTIFS('ITENS_MTR'!$S$6:$S$1005,A399,'ITENS_MTR'!$C$6:$C$1005,f_res)&gt;0,1,0)))</f>
        <v>0</v>
      </c>
      <c r="AZ399" s="97" t="str">
        <f>IF(ISNUMBER(E399),DATE(YEAR(E399),MONTH(E399),1),"")</f>
        <v/>
      </c>
      <c r="BA399" s="96">
        <f>IF(Z399=0,0,IF(AND(OR(r_ini="",AND(ISNUMBER(E399),E399&gt;=r_ini)),OR(r_fim="",AND(ISNUMBER(E399),E399&lt;=r_fim)),OR(r_un="",r_un="(Todas)",G399=r_un),OR(r_de="",r_de="(Todos)",I399=r_de)),1,0))</f>
        <v>0</v>
      </c>
      <c r="BB399" s="96" t="str">
        <f>IF(BA399=1,COUNTIF($BA$6:BA399,1),"")</f>
        <v/>
      </c>
      <c r="BC399" s="96" t="str">
        <f>IF(AND(AU399&lt;&gt;"",OR(r_un="",r_un="(Todas)",G399=r_un),OR(r_de="",r_de="(Todos)",I399=r_de)),AU399,"")</f>
        <v/>
      </c>
      <c r="BD399" s="96" t="str">
        <f>IF(Z399=1,A399&amp;" | nº "&amp;IF(B399="","(sem número)",B399)&amp;" | "&amp;IF(G399="","(sem unidade)",G399),"")</f>
        <v/>
      </c>
      <c r="BE399" s="96" t="str">
        <f>IF(Z399=1,COUNTIF($Z$6:Z399,1),"")</f>
        <v/>
      </c>
      <c r="BF399" s="96" t="str">
        <f>IF(T399="","",IF(T399="RECEBIMENTO NÃO CONFIRMADO","Transp.: "&amp;H399&amp;" | Dest.: "&amp;I399,IF(OR(T399="CDF NÃO LOCALIZADO",T399="VÍNCULO INCOMPLETO",T399="CDF A CONFERIR"),"Dest.: "&amp;I399,"Gerador: "&amp;G399)))</f>
        <v/>
      </c>
    </row>
    <row r="400">
      <c r="A400" s="89" t="inlineStr">
        <is>
          <t>MTR-000395</t>
        </is>
      </c>
      <c r="B400" s="90" t="n"/>
      <c r="C400" s="91" t="n"/>
      <c r="D400" s="91" t="n"/>
      <c r="E400" s="92" t="n"/>
      <c r="F400" s="92" t="n"/>
      <c r="G400" s="91" t="n"/>
      <c r="H400" s="91" t="n"/>
      <c r="I400" s="91" t="n"/>
      <c r="J400" s="91" t="n"/>
      <c r="K400" s="91" t="n"/>
      <c r="L400" s="92" t="n"/>
      <c r="M400" s="91" t="n"/>
      <c r="N400" s="91" t="n"/>
      <c r="O400" s="91" t="n"/>
      <c r="P400" s="93" t="str">
        <f>IF(Z400=0,"",SUMIFS('ITENS_MTR'!$I$6:$I$1005,'ITENS_MTR'!$S$6:$S$1005,A400,'ITENS_MTR'!$Y$6:$Y$1005,1))</f>
        <v/>
      </c>
      <c r="Q400" s="93" t="str">
        <f>IF(Z400=0,"",SUMIFS('RECEBIMENTOS'!$H$6:$H$1005,'RECEBIMENTOS'!$B$6:$B$1005,A400,'RECEBIMENTOS'!$X$6:$X$1005,1))</f>
        <v/>
      </c>
      <c r="R400" s="93" t="str">
        <f>IF(Z400=0,"",SUMIFS('VÍNCULOS_CDF'!$H$6:$H$1005,'VÍNCULOS_CDF'!$D$6:$D$1005,A400,'VÍNCULOS_CDF'!$V$6:$V$1005,1))</f>
        <v/>
      </c>
      <c r="S400" s="94" t="str">
        <f>IF(Z400=0,"",IF(AA400=1,"Cancelado (informado)",IF(AE400=1,"Cadastro incompleto",IF(OR(AC400=1,AD400=1,AF400&gt;0,AH400&gt;0,AK400&gt;0,AL400&gt;0),"Informação a revisar",IF(AN400=0,"Aguardando recebimento",IF(N(R400)=0,"Aguardando CDF",IF(AJ400&lt;N(W400),"Vínculo de CDF parcial",IF(AO400=0,"CDF localizado, a conferir","Documentação conferida"))))))))</f>
        <v/>
      </c>
      <c r="T400" s="94" t="str">
        <f>IF(Z400=0,"",IF(S400="Cadastro incompleto","MTR INCOMPLETO",IF(S400="Informação a revisar",IF(AND(AH400&gt;0,AC400=0,AD400=0,AF400=0,AK400=0,AL400=0),"QUANTIDADE A REVISAR","IDENTIFICAÇÃO A REVISAR"),IF(S400="Aguardando recebimento","RECEBIMENTO NÃO CONFIRMADO",IF(S400="Aguardando CDF","CDF NÃO LOCALIZADO",IF(S400="Vínculo de CDF parcial","VÍNCULO INCOMPLETO",IF(S400="CDF localizado, a conferir","CDF A CONFERIR","")))))))</f>
        <v/>
      </c>
      <c r="U400" s="95" t="str">
        <f>IF(T400="","",IF(AQ400="","Não calculável",IF(AQ400&gt;TODAY(),"Data futura",TODAY()-AQ400)))</f>
        <v/>
      </c>
      <c r="V400" s="93" t="str">
        <f>IF(Z400=0,"",SUMIFS('RECEBIMENTOS'!$H$6:$H$1005,'RECEBIMENTOS'!$B$6:$B$1005,A400,'RECEBIMENTOS'!$Z$6:$Z$1005,1))</f>
        <v/>
      </c>
      <c r="W400" s="95" t="str">
        <f>IF(Z400=0,"",COUNTIFS('ITENS_MTR'!$S$6:$S$1005,A400,'ITENS_MTR'!$R$6:$R$1005,1))</f>
        <v/>
      </c>
      <c r="X400" s="94" t="str">
        <f>IF(AC400=1,"POSSÍVEL DUPLICIDADE","")</f>
        <v/>
      </c>
      <c r="Y400" s="94" t="str">
        <f>IF(Z400=0,"",IF(AW400="","Nenhuma",LEFT(AW400,LEN(AW400)-2)))</f>
        <v/>
      </c>
      <c r="Z400" s="96">
        <f>IF(COUNTA(B400:O400)&gt;0,1,0)</f>
        <v>0</v>
      </c>
      <c r="AA400" s="96">
        <f>IF(AND(Z400=1,K400&lt;&gt;""),IF(TRIM(K400)=TRIM(cfg_cancel),1,0),0)</f>
        <v>0</v>
      </c>
      <c r="AB400" s="96" t="str">
        <f>IF(AND(Z400=1,B400&lt;&gt;""),C400&amp;"|"&amp;D400&amp;"|"&amp;G400&amp;"|"&amp;TRIM(B400),"")</f>
        <v/>
      </c>
      <c r="AC400" s="96">
        <f>IF(AB400="",0,IF(SUMPRODUCT(--($AB$6:$AB$505=AB400))&gt;1,1,0))</f>
        <v>0</v>
      </c>
      <c r="AD400" s="96">
        <f>IF(Z400=0,0,IF(OR(AND(G400&lt;&gt;"",ISNA(MATCH(G400,'CAD_UNIDADES'!$C$6:$C$105,0))),AND(H400&lt;&gt;"",ISNA(MATCH(H400,cmp_transp,0))),AND(I400&lt;&gt;"",ISNA(MATCH(I400,cmp_dest,0))),AND(E400&lt;&gt;"",NOT(ISNUMBER(E400))),AND(F400&lt;&gt;"",NOT(ISNUMBER(F400))),AND(ISNUMBER(E400),ISNUMBER(F400),F400&lt;E400)),1,0))</f>
        <v>0</v>
      </c>
      <c r="AE400" s="96">
        <f>IF(Z400=0,0,IF(OR(B400="",C400="",E400="",G400="",H400="",I400="",N(W400)=0),1,0))</f>
        <v>0</v>
      </c>
      <c r="AF400" s="96">
        <f>IF(Z400=0,0,COUNTIFS('ITENS_MTR'!$S$6:$S$1005,A400,'ITENS_MTR'!$AI$6:$AI$1005,1))</f>
        <v>0</v>
      </c>
      <c r="AG400" s="96">
        <f>IF(Z400=0,0,COUNTIFS('ITENS_MTR'!$S$6:$S$1005,A400,'ITENS_MTR'!$AJ$6:$AJ$1005,1))</f>
        <v>0</v>
      </c>
      <c r="AH400" s="96">
        <f>IF(Z400=0,0,COUNTIFS('ITENS_MTR'!$S$6:$S$1005,A400,'ITENS_MTR'!$AM$6:$AM$1005,1))</f>
        <v>0</v>
      </c>
      <c r="AI400" s="96">
        <f>IF(Z400=0,0,COUNTIFS('ITENS_MTR'!$S$6:$S$1005,A400,'ITENS_MTR'!$AO$6:$AO$1005,1))</f>
        <v>0</v>
      </c>
      <c r="AJ400" s="96">
        <f>IF(Z400=0,0,COUNTIFS('ITENS_MTR'!$S$6:$S$1005,A400,'ITENS_MTR'!$AN$6:$AN$1005,1))</f>
        <v>0</v>
      </c>
      <c r="AK400" s="96">
        <f>IF(Z400=0,0,COUNTIFS('RECEBIMENTOS'!$B$6:$B$1005,A400,'RECEBIMENTOS'!$Y$6:$Y$1005,1))</f>
        <v>0</v>
      </c>
      <c r="AL400" s="96">
        <f>IF(Z400=0,0,COUNTIFS('VÍNCULOS_CDF'!$D$6:$D$1005,A400,'VÍNCULOS_CDF'!$Y$6:$Y$1005,1))</f>
        <v>0</v>
      </c>
      <c r="AM400" s="96">
        <f>IF(Z400=0,0,COUNTIFS('RECEBIMENTOS'!$B$6:$B$1005,A400,'RECEBIMENTOS'!$Q$6:$Q$1005,1))</f>
        <v>0</v>
      </c>
      <c r="AN400" s="96">
        <f>IF(AND(Z400=1,N(W400)&gt;0,AG400=N(W400)),1,0)</f>
        <v>0</v>
      </c>
      <c r="AO400" s="96">
        <f>IF(AND(Z400=1,N(W400)&gt;0,AI400=N(W400)),1,0)</f>
        <v>0</v>
      </c>
      <c r="AP400" s="97">
        <f>IF(Z400=0,0,_xlfn.MAXIFS('RECEBIMENTOS'!$E$6:$E$1005,'RECEBIMENTOS'!$B$6:$B$1005,A400))</f>
        <v>0</v>
      </c>
      <c r="AQ400" s="97" t="str">
        <f>IF(T400="","",IF(T400="RECEBIMENTO NÃO CONFIRMADO",IF(ISNUMBER(F400),F400,IF(ISNUMBER(E400),E400,"")),IF(OR(T400="CDF NÃO LOCALIZADO",T400="VÍNCULO INCOMPLETO",T400="CDF A CONFERIR"),IF(AP400&gt;0,AP400,IF(ISNUMBER(E400),E400,"")),IF(ISNUMBER(E400),E400,""))))</f>
        <v/>
      </c>
      <c r="AR400" s="96">
        <f>IF(NOT(ISNUMBER(U400)),0,IF(T400="RECEBIMENTO NÃO CONFIRMADO",IF(AND(ISNUMBER(cfg_rec),U400&gt;cfg_rec),1,0),IF(OR(T400="CDF NÃO LOCALIZADO",T400="VÍNCULO INCOMPLETO",T400="CDF A CONFERIR"),IF(AND(ISNUMBER(cfg_cdf),U400&gt;cfg_cdf),1,0),0)))</f>
        <v>0</v>
      </c>
      <c r="AS400" s="96" t="str">
        <f>IF(T400="","",IF(AR400=1,"Alta",IFERROR(INDEX(cfg_pp,MATCH(T400,cfg_pt,0))&amp;"","Média")))</f>
        <v/>
      </c>
      <c r="AT400" s="96" t="str">
        <f>IF(T400="","",IFERROR(INDEX(cfg_pv,MATCH(T400,cfg_pt,0))&amp;"",""))</f>
        <v/>
      </c>
      <c r="AU400" s="96" t="str">
        <f>IF(T400="","",IF(AS400="Alta",1,IF(AS400="Média",2,3))*1000000000+(999999-IF(ISNUMBER(U400),MIN(U400,999999),0))*1000+395)</f>
        <v/>
      </c>
      <c r="AV400" s="96">
        <f>IF(T400&lt;&gt;"",1,0)</f>
        <v>0</v>
      </c>
      <c r="AW400" s="96" t="str">
        <f>IF(Z400=0,"",IF(AA400=1,"Cancelamento informado; ","")&amp;IF(AE400=1,"Campos essenciais ou itens faltando; ","")&amp;IF(AC400=1,"Possível duplicidade do número; ","")&amp;IF(AD400=1,"Cadastro ou datas a revisar; ","")&amp;IF(AF400&gt;0,"Item de resíduo com dado a revisar; ","")&amp;IF(AH400&gt;0,"Diferença de quantidade a analisar; ","")&amp;IF(AK400&gt;0,"Recebimento com alerta; ","")&amp;IF(AL400&gt;0,"Vínculo de CDF com alerta; ","")&amp;IF(AND(AA400=0,AN400=0),"Recebimento não confirmado; ","")&amp;IF(AND(AA400=0,AN400=1,AO400=0),"CDF pendente ou a conferir; ",""))</f>
        <v/>
      </c>
      <c r="AX400" s="96">
        <f>IF(Z400=0,0,IF(AND(OR(f_ini="",AND(ISNUMBER(E400),E400&gt;=f_ini)),OR(f_fim="",AND(ISNUMBER(E400),E400&lt;=f_fim)),OR(f_un="",f_un="(Todas)",G400=f_un),OR(f_tr="",f_tr="(Todos)",H400=f_tr),OR(f_de="",f_de="(Todos)",I400=f_de),OR(f_sit="",f_sit="(Todas)",S400=f_sit)),1,0))</f>
        <v>0</v>
      </c>
      <c r="AY400" s="96">
        <f>IF(AX400=0,0,IF(OR(f_res="",f_res="(Todos)"),1,IF(COUNTIFS('ITENS_MTR'!$S$6:$S$1005,A400,'ITENS_MTR'!$C$6:$C$1005,f_res)&gt;0,1,0)))</f>
        <v>0</v>
      </c>
      <c r="AZ400" s="97" t="str">
        <f>IF(ISNUMBER(E400),DATE(YEAR(E400),MONTH(E400),1),"")</f>
        <v/>
      </c>
      <c r="BA400" s="96">
        <f>IF(Z400=0,0,IF(AND(OR(r_ini="",AND(ISNUMBER(E400),E400&gt;=r_ini)),OR(r_fim="",AND(ISNUMBER(E400),E400&lt;=r_fim)),OR(r_un="",r_un="(Todas)",G400=r_un),OR(r_de="",r_de="(Todos)",I400=r_de)),1,0))</f>
        <v>0</v>
      </c>
      <c r="BB400" s="96" t="str">
        <f>IF(BA400=1,COUNTIF($BA$6:BA400,1),"")</f>
        <v/>
      </c>
      <c r="BC400" s="96" t="str">
        <f>IF(AND(AU400&lt;&gt;"",OR(r_un="",r_un="(Todas)",G400=r_un),OR(r_de="",r_de="(Todos)",I400=r_de)),AU400,"")</f>
        <v/>
      </c>
      <c r="BD400" s="96" t="str">
        <f>IF(Z400=1,A400&amp;" | nº "&amp;IF(B400="","(sem número)",B400)&amp;" | "&amp;IF(G400="","(sem unidade)",G400),"")</f>
        <v/>
      </c>
      <c r="BE400" s="96" t="str">
        <f>IF(Z400=1,COUNTIF($Z$6:Z400,1),"")</f>
        <v/>
      </c>
      <c r="BF400" s="96" t="str">
        <f>IF(T400="","",IF(T400="RECEBIMENTO NÃO CONFIRMADO","Transp.: "&amp;H400&amp;" | Dest.: "&amp;I400,IF(OR(T400="CDF NÃO LOCALIZADO",T400="VÍNCULO INCOMPLETO",T400="CDF A CONFERIR"),"Dest.: "&amp;I400,"Gerador: "&amp;G400)))</f>
        <v/>
      </c>
    </row>
    <row r="401">
      <c r="A401" s="89" t="inlineStr">
        <is>
          <t>MTR-000396</t>
        </is>
      </c>
      <c r="B401" s="90" t="n"/>
      <c r="C401" s="91" t="n"/>
      <c r="D401" s="91" t="n"/>
      <c r="E401" s="92" t="n"/>
      <c r="F401" s="92" t="n"/>
      <c r="G401" s="91" t="n"/>
      <c r="H401" s="91" t="n"/>
      <c r="I401" s="91" t="n"/>
      <c r="J401" s="91" t="n"/>
      <c r="K401" s="91" t="n"/>
      <c r="L401" s="92" t="n"/>
      <c r="M401" s="91" t="n"/>
      <c r="N401" s="91" t="n"/>
      <c r="O401" s="91" t="n"/>
      <c r="P401" s="93" t="str">
        <f>IF(Z401=0,"",SUMIFS('ITENS_MTR'!$I$6:$I$1005,'ITENS_MTR'!$S$6:$S$1005,A401,'ITENS_MTR'!$Y$6:$Y$1005,1))</f>
        <v/>
      </c>
      <c r="Q401" s="93" t="str">
        <f>IF(Z401=0,"",SUMIFS('RECEBIMENTOS'!$H$6:$H$1005,'RECEBIMENTOS'!$B$6:$B$1005,A401,'RECEBIMENTOS'!$X$6:$X$1005,1))</f>
        <v/>
      </c>
      <c r="R401" s="93" t="str">
        <f>IF(Z401=0,"",SUMIFS('VÍNCULOS_CDF'!$H$6:$H$1005,'VÍNCULOS_CDF'!$D$6:$D$1005,A401,'VÍNCULOS_CDF'!$V$6:$V$1005,1))</f>
        <v/>
      </c>
      <c r="S401" s="94" t="str">
        <f>IF(Z401=0,"",IF(AA401=1,"Cancelado (informado)",IF(AE401=1,"Cadastro incompleto",IF(OR(AC401=1,AD401=1,AF401&gt;0,AH401&gt;0,AK401&gt;0,AL401&gt;0),"Informação a revisar",IF(AN401=0,"Aguardando recebimento",IF(N(R401)=0,"Aguardando CDF",IF(AJ401&lt;N(W401),"Vínculo de CDF parcial",IF(AO401=0,"CDF localizado, a conferir","Documentação conferida"))))))))</f>
        <v/>
      </c>
      <c r="T401" s="94" t="str">
        <f>IF(Z401=0,"",IF(S401="Cadastro incompleto","MTR INCOMPLETO",IF(S401="Informação a revisar",IF(AND(AH401&gt;0,AC401=0,AD401=0,AF401=0,AK401=0,AL401=0),"QUANTIDADE A REVISAR","IDENTIFICAÇÃO A REVISAR"),IF(S401="Aguardando recebimento","RECEBIMENTO NÃO CONFIRMADO",IF(S401="Aguardando CDF","CDF NÃO LOCALIZADO",IF(S401="Vínculo de CDF parcial","VÍNCULO INCOMPLETO",IF(S401="CDF localizado, a conferir","CDF A CONFERIR","")))))))</f>
        <v/>
      </c>
      <c r="U401" s="95" t="str">
        <f>IF(T401="","",IF(AQ401="","Não calculável",IF(AQ401&gt;TODAY(),"Data futura",TODAY()-AQ401)))</f>
        <v/>
      </c>
      <c r="V401" s="93" t="str">
        <f>IF(Z401=0,"",SUMIFS('RECEBIMENTOS'!$H$6:$H$1005,'RECEBIMENTOS'!$B$6:$B$1005,A401,'RECEBIMENTOS'!$Z$6:$Z$1005,1))</f>
        <v/>
      </c>
      <c r="W401" s="95" t="str">
        <f>IF(Z401=0,"",COUNTIFS('ITENS_MTR'!$S$6:$S$1005,A401,'ITENS_MTR'!$R$6:$R$1005,1))</f>
        <v/>
      </c>
      <c r="X401" s="94" t="str">
        <f>IF(AC401=1,"POSSÍVEL DUPLICIDADE","")</f>
        <v/>
      </c>
      <c r="Y401" s="94" t="str">
        <f>IF(Z401=0,"",IF(AW401="","Nenhuma",LEFT(AW401,LEN(AW401)-2)))</f>
        <v/>
      </c>
      <c r="Z401" s="96">
        <f>IF(COUNTA(B401:O401)&gt;0,1,0)</f>
        <v>0</v>
      </c>
      <c r="AA401" s="96">
        <f>IF(AND(Z401=1,K401&lt;&gt;""),IF(TRIM(K401)=TRIM(cfg_cancel),1,0),0)</f>
        <v>0</v>
      </c>
      <c r="AB401" s="96" t="str">
        <f>IF(AND(Z401=1,B401&lt;&gt;""),C401&amp;"|"&amp;D401&amp;"|"&amp;G401&amp;"|"&amp;TRIM(B401),"")</f>
        <v/>
      </c>
      <c r="AC401" s="96">
        <f>IF(AB401="",0,IF(SUMPRODUCT(--($AB$6:$AB$505=AB401))&gt;1,1,0))</f>
        <v>0</v>
      </c>
      <c r="AD401" s="96">
        <f>IF(Z401=0,0,IF(OR(AND(G401&lt;&gt;"",ISNA(MATCH(G401,'CAD_UNIDADES'!$C$6:$C$105,0))),AND(H401&lt;&gt;"",ISNA(MATCH(H401,cmp_transp,0))),AND(I401&lt;&gt;"",ISNA(MATCH(I401,cmp_dest,0))),AND(E401&lt;&gt;"",NOT(ISNUMBER(E401))),AND(F401&lt;&gt;"",NOT(ISNUMBER(F401))),AND(ISNUMBER(E401),ISNUMBER(F401),F401&lt;E401)),1,0))</f>
        <v>0</v>
      </c>
      <c r="AE401" s="96">
        <f>IF(Z401=0,0,IF(OR(B401="",C401="",E401="",G401="",H401="",I401="",N(W401)=0),1,0))</f>
        <v>0</v>
      </c>
      <c r="AF401" s="96">
        <f>IF(Z401=0,0,COUNTIFS('ITENS_MTR'!$S$6:$S$1005,A401,'ITENS_MTR'!$AI$6:$AI$1005,1))</f>
        <v>0</v>
      </c>
      <c r="AG401" s="96">
        <f>IF(Z401=0,0,COUNTIFS('ITENS_MTR'!$S$6:$S$1005,A401,'ITENS_MTR'!$AJ$6:$AJ$1005,1))</f>
        <v>0</v>
      </c>
      <c r="AH401" s="96">
        <f>IF(Z401=0,0,COUNTIFS('ITENS_MTR'!$S$6:$S$1005,A401,'ITENS_MTR'!$AM$6:$AM$1005,1))</f>
        <v>0</v>
      </c>
      <c r="AI401" s="96">
        <f>IF(Z401=0,0,COUNTIFS('ITENS_MTR'!$S$6:$S$1005,A401,'ITENS_MTR'!$AO$6:$AO$1005,1))</f>
        <v>0</v>
      </c>
      <c r="AJ401" s="96">
        <f>IF(Z401=0,0,COUNTIFS('ITENS_MTR'!$S$6:$S$1005,A401,'ITENS_MTR'!$AN$6:$AN$1005,1))</f>
        <v>0</v>
      </c>
      <c r="AK401" s="96">
        <f>IF(Z401=0,0,COUNTIFS('RECEBIMENTOS'!$B$6:$B$1005,A401,'RECEBIMENTOS'!$Y$6:$Y$1005,1))</f>
        <v>0</v>
      </c>
      <c r="AL401" s="96">
        <f>IF(Z401=0,0,COUNTIFS('VÍNCULOS_CDF'!$D$6:$D$1005,A401,'VÍNCULOS_CDF'!$Y$6:$Y$1005,1))</f>
        <v>0</v>
      </c>
      <c r="AM401" s="96">
        <f>IF(Z401=0,0,COUNTIFS('RECEBIMENTOS'!$B$6:$B$1005,A401,'RECEBIMENTOS'!$Q$6:$Q$1005,1))</f>
        <v>0</v>
      </c>
      <c r="AN401" s="96">
        <f>IF(AND(Z401=1,N(W401)&gt;0,AG401=N(W401)),1,0)</f>
        <v>0</v>
      </c>
      <c r="AO401" s="96">
        <f>IF(AND(Z401=1,N(W401)&gt;0,AI401=N(W401)),1,0)</f>
        <v>0</v>
      </c>
      <c r="AP401" s="97">
        <f>IF(Z401=0,0,_xlfn.MAXIFS('RECEBIMENTOS'!$E$6:$E$1005,'RECEBIMENTOS'!$B$6:$B$1005,A401))</f>
        <v>0</v>
      </c>
      <c r="AQ401" s="97" t="str">
        <f>IF(T401="","",IF(T401="RECEBIMENTO NÃO CONFIRMADO",IF(ISNUMBER(F401),F401,IF(ISNUMBER(E401),E401,"")),IF(OR(T401="CDF NÃO LOCALIZADO",T401="VÍNCULO INCOMPLETO",T401="CDF A CONFERIR"),IF(AP401&gt;0,AP401,IF(ISNUMBER(E401),E401,"")),IF(ISNUMBER(E401),E401,""))))</f>
        <v/>
      </c>
      <c r="AR401" s="96">
        <f>IF(NOT(ISNUMBER(U401)),0,IF(T401="RECEBIMENTO NÃO CONFIRMADO",IF(AND(ISNUMBER(cfg_rec),U401&gt;cfg_rec),1,0),IF(OR(T401="CDF NÃO LOCALIZADO",T401="VÍNCULO INCOMPLETO",T401="CDF A CONFERIR"),IF(AND(ISNUMBER(cfg_cdf),U401&gt;cfg_cdf),1,0),0)))</f>
        <v>0</v>
      </c>
      <c r="AS401" s="96" t="str">
        <f>IF(T401="","",IF(AR401=1,"Alta",IFERROR(INDEX(cfg_pp,MATCH(T401,cfg_pt,0))&amp;"","Média")))</f>
        <v/>
      </c>
      <c r="AT401" s="96" t="str">
        <f>IF(T401="","",IFERROR(INDEX(cfg_pv,MATCH(T401,cfg_pt,0))&amp;"",""))</f>
        <v/>
      </c>
      <c r="AU401" s="96" t="str">
        <f>IF(T401="","",IF(AS401="Alta",1,IF(AS401="Média",2,3))*1000000000+(999999-IF(ISNUMBER(U401),MIN(U401,999999),0))*1000+396)</f>
        <v/>
      </c>
      <c r="AV401" s="96">
        <f>IF(T401&lt;&gt;"",1,0)</f>
        <v>0</v>
      </c>
      <c r="AW401" s="96" t="str">
        <f>IF(Z401=0,"",IF(AA401=1,"Cancelamento informado; ","")&amp;IF(AE401=1,"Campos essenciais ou itens faltando; ","")&amp;IF(AC401=1,"Possível duplicidade do número; ","")&amp;IF(AD401=1,"Cadastro ou datas a revisar; ","")&amp;IF(AF401&gt;0,"Item de resíduo com dado a revisar; ","")&amp;IF(AH401&gt;0,"Diferença de quantidade a analisar; ","")&amp;IF(AK401&gt;0,"Recebimento com alerta; ","")&amp;IF(AL401&gt;0,"Vínculo de CDF com alerta; ","")&amp;IF(AND(AA401=0,AN401=0),"Recebimento não confirmado; ","")&amp;IF(AND(AA401=0,AN401=1,AO401=0),"CDF pendente ou a conferir; ",""))</f>
        <v/>
      </c>
      <c r="AX401" s="96">
        <f>IF(Z401=0,0,IF(AND(OR(f_ini="",AND(ISNUMBER(E401),E401&gt;=f_ini)),OR(f_fim="",AND(ISNUMBER(E401),E401&lt;=f_fim)),OR(f_un="",f_un="(Todas)",G401=f_un),OR(f_tr="",f_tr="(Todos)",H401=f_tr),OR(f_de="",f_de="(Todos)",I401=f_de),OR(f_sit="",f_sit="(Todas)",S401=f_sit)),1,0))</f>
        <v>0</v>
      </c>
      <c r="AY401" s="96">
        <f>IF(AX401=0,0,IF(OR(f_res="",f_res="(Todos)"),1,IF(COUNTIFS('ITENS_MTR'!$S$6:$S$1005,A401,'ITENS_MTR'!$C$6:$C$1005,f_res)&gt;0,1,0)))</f>
        <v>0</v>
      </c>
      <c r="AZ401" s="97" t="str">
        <f>IF(ISNUMBER(E401),DATE(YEAR(E401),MONTH(E401),1),"")</f>
        <v/>
      </c>
      <c r="BA401" s="96">
        <f>IF(Z401=0,0,IF(AND(OR(r_ini="",AND(ISNUMBER(E401),E401&gt;=r_ini)),OR(r_fim="",AND(ISNUMBER(E401),E401&lt;=r_fim)),OR(r_un="",r_un="(Todas)",G401=r_un),OR(r_de="",r_de="(Todos)",I401=r_de)),1,0))</f>
        <v>0</v>
      </c>
      <c r="BB401" s="96" t="str">
        <f>IF(BA401=1,COUNTIF($BA$6:BA401,1),"")</f>
        <v/>
      </c>
      <c r="BC401" s="96" t="str">
        <f>IF(AND(AU401&lt;&gt;"",OR(r_un="",r_un="(Todas)",G401=r_un),OR(r_de="",r_de="(Todos)",I401=r_de)),AU401,"")</f>
        <v/>
      </c>
      <c r="BD401" s="96" t="str">
        <f>IF(Z401=1,A401&amp;" | nº "&amp;IF(B401="","(sem número)",B401)&amp;" | "&amp;IF(G401="","(sem unidade)",G401),"")</f>
        <v/>
      </c>
      <c r="BE401" s="96" t="str">
        <f>IF(Z401=1,COUNTIF($Z$6:Z401,1),"")</f>
        <v/>
      </c>
      <c r="BF401" s="96" t="str">
        <f>IF(T401="","",IF(T401="RECEBIMENTO NÃO CONFIRMADO","Transp.: "&amp;H401&amp;" | Dest.: "&amp;I401,IF(OR(T401="CDF NÃO LOCALIZADO",T401="VÍNCULO INCOMPLETO",T401="CDF A CONFERIR"),"Dest.: "&amp;I401,"Gerador: "&amp;G401)))</f>
        <v/>
      </c>
    </row>
    <row r="402">
      <c r="A402" s="89" t="inlineStr">
        <is>
          <t>MTR-000397</t>
        </is>
      </c>
      <c r="B402" s="90" t="n"/>
      <c r="C402" s="91" t="n"/>
      <c r="D402" s="91" t="n"/>
      <c r="E402" s="92" t="n"/>
      <c r="F402" s="92" t="n"/>
      <c r="G402" s="91" t="n"/>
      <c r="H402" s="91" t="n"/>
      <c r="I402" s="91" t="n"/>
      <c r="J402" s="91" t="n"/>
      <c r="K402" s="91" t="n"/>
      <c r="L402" s="92" t="n"/>
      <c r="M402" s="91" t="n"/>
      <c r="N402" s="91" t="n"/>
      <c r="O402" s="91" t="n"/>
      <c r="P402" s="93" t="str">
        <f>IF(Z402=0,"",SUMIFS('ITENS_MTR'!$I$6:$I$1005,'ITENS_MTR'!$S$6:$S$1005,A402,'ITENS_MTR'!$Y$6:$Y$1005,1))</f>
        <v/>
      </c>
      <c r="Q402" s="93" t="str">
        <f>IF(Z402=0,"",SUMIFS('RECEBIMENTOS'!$H$6:$H$1005,'RECEBIMENTOS'!$B$6:$B$1005,A402,'RECEBIMENTOS'!$X$6:$X$1005,1))</f>
        <v/>
      </c>
      <c r="R402" s="93" t="str">
        <f>IF(Z402=0,"",SUMIFS('VÍNCULOS_CDF'!$H$6:$H$1005,'VÍNCULOS_CDF'!$D$6:$D$1005,A402,'VÍNCULOS_CDF'!$V$6:$V$1005,1))</f>
        <v/>
      </c>
      <c r="S402" s="94" t="str">
        <f>IF(Z402=0,"",IF(AA402=1,"Cancelado (informado)",IF(AE402=1,"Cadastro incompleto",IF(OR(AC402=1,AD402=1,AF402&gt;0,AH402&gt;0,AK402&gt;0,AL402&gt;0),"Informação a revisar",IF(AN402=0,"Aguardando recebimento",IF(N(R402)=0,"Aguardando CDF",IF(AJ402&lt;N(W402),"Vínculo de CDF parcial",IF(AO402=0,"CDF localizado, a conferir","Documentação conferida"))))))))</f>
        <v/>
      </c>
      <c r="T402" s="94" t="str">
        <f>IF(Z402=0,"",IF(S402="Cadastro incompleto","MTR INCOMPLETO",IF(S402="Informação a revisar",IF(AND(AH402&gt;0,AC402=0,AD402=0,AF402=0,AK402=0,AL402=0),"QUANTIDADE A REVISAR","IDENTIFICAÇÃO A REVISAR"),IF(S402="Aguardando recebimento","RECEBIMENTO NÃO CONFIRMADO",IF(S402="Aguardando CDF","CDF NÃO LOCALIZADO",IF(S402="Vínculo de CDF parcial","VÍNCULO INCOMPLETO",IF(S402="CDF localizado, a conferir","CDF A CONFERIR","")))))))</f>
        <v/>
      </c>
      <c r="U402" s="95" t="str">
        <f>IF(T402="","",IF(AQ402="","Não calculável",IF(AQ402&gt;TODAY(),"Data futura",TODAY()-AQ402)))</f>
        <v/>
      </c>
      <c r="V402" s="93" t="str">
        <f>IF(Z402=0,"",SUMIFS('RECEBIMENTOS'!$H$6:$H$1005,'RECEBIMENTOS'!$B$6:$B$1005,A402,'RECEBIMENTOS'!$Z$6:$Z$1005,1))</f>
        <v/>
      </c>
      <c r="W402" s="95" t="str">
        <f>IF(Z402=0,"",COUNTIFS('ITENS_MTR'!$S$6:$S$1005,A402,'ITENS_MTR'!$R$6:$R$1005,1))</f>
        <v/>
      </c>
      <c r="X402" s="94" t="str">
        <f>IF(AC402=1,"POSSÍVEL DUPLICIDADE","")</f>
        <v/>
      </c>
      <c r="Y402" s="94" t="str">
        <f>IF(Z402=0,"",IF(AW402="","Nenhuma",LEFT(AW402,LEN(AW402)-2)))</f>
        <v/>
      </c>
      <c r="Z402" s="96">
        <f>IF(COUNTA(B402:O402)&gt;0,1,0)</f>
        <v>0</v>
      </c>
      <c r="AA402" s="96">
        <f>IF(AND(Z402=1,K402&lt;&gt;""),IF(TRIM(K402)=TRIM(cfg_cancel),1,0),0)</f>
        <v>0</v>
      </c>
      <c r="AB402" s="96" t="str">
        <f>IF(AND(Z402=1,B402&lt;&gt;""),C402&amp;"|"&amp;D402&amp;"|"&amp;G402&amp;"|"&amp;TRIM(B402),"")</f>
        <v/>
      </c>
      <c r="AC402" s="96">
        <f>IF(AB402="",0,IF(SUMPRODUCT(--($AB$6:$AB$505=AB402))&gt;1,1,0))</f>
        <v>0</v>
      </c>
      <c r="AD402" s="96">
        <f>IF(Z402=0,0,IF(OR(AND(G402&lt;&gt;"",ISNA(MATCH(G402,'CAD_UNIDADES'!$C$6:$C$105,0))),AND(H402&lt;&gt;"",ISNA(MATCH(H402,cmp_transp,0))),AND(I402&lt;&gt;"",ISNA(MATCH(I402,cmp_dest,0))),AND(E402&lt;&gt;"",NOT(ISNUMBER(E402))),AND(F402&lt;&gt;"",NOT(ISNUMBER(F402))),AND(ISNUMBER(E402),ISNUMBER(F402),F402&lt;E402)),1,0))</f>
        <v>0</v>
      </c>
      <c r="AE402" s="96">
        <f>IF(Z402=0,0,IF(OR(B402="",C402="",E402="",G402="",H402="",I402="",N(W402)=0),1,0))</f>
        <v>0</v>
      </c>
      <c r="AF402" s="96">
        <f>IF(Z402=0,0,COUNTIFS('ITENS_MTR'!$S$6:$S$1005,A402,'ITENS_MTR'!$AI$6:$AI$1005,1))</f>
        <v>0</v>
      </c>
      <c r="AG402" s="96">
        <f>IF(Z402=0,0,COUNTIFS('ITENS_MTR'!$S$6:$S$1005,A402,'ITENS_MTR'!$AJ$6:$AJ$1005,1))</f>
        <v>0</v>
      </c>
      <c r="AH402" s="96">
        <f>IF(Z402=0,0,COUNTIFS('ITENS_MTR'!$S$6:$S$1005,A402,'ITENS_MTR'!$AM$6:$AM$1005,1))</f>
        <v>0</v>
      </c>
      <c r="AI402" s="96">
        <f>IF(Z402=0,0,COUNTIFS('ITENS_MTR'!$S$6:$S$1005,A402,'ITENS_MTR'!$AO$6:$AO$1005,1))</f>
        <v>0</v>
      </c>
      <c r="AJ402" s="96">
        <f>IF(Z402=0,0,COUNTIFS('ITENS_MTR'!$S$6:$S$1005,A402,'ITENS_MTR'!$AN$6:$AN$1005,1))</f>
        <v>0</v>
      </c>
      <c r="AK402" s="96">
        <f>IF(Z402=0,0,COUNTIFS('RECEBIMENTOS'!$B$6:$B$1005,A402,'RECEBIMENTOS'!$Y$6:$Y$1005,1))</f>
        <v>0</v>
      </c>
      <c r="AL402" s="96">
        <f>IF(Z402=0,0,COUNTIFS('VÍNCULOS_CDF'!$D$6:$D$1005,A402,'VÍNCULOS_CDF'!$Y$6:$Y$1005,1))</f>
        <v>0</v>
      </c>
      <c r="AM402" s="96">
        <f>IF(Z402=0,0,COUNTIFS('RECEBIMENTOS'!$B$6:$B$1005,A402,'RECEBIMENTOS'!$Q$6:$Q$1005,1))</f>
        <v>0</v>
      </c>
      <c r="AN402" s="96">
        <f>IF(AND(Z402=1,N(W402)&gt;0,AG402=N(W402)),1,0)</f>
        <v>0</v>
      </c>
      <c r="AO402" s="96">
        <f>IF(AND(Z402=1,N(W402)&gt;0,AI402=N(W402)),1,0)</f>
        <v>0</v>
      </c>
      <c r="AP402" s="97">
        <f>IF(Z402=0,0,_xlfn.MAXIFS('RECEBIMENTOS'!$E$6:$E$1005,'RECEBIMENTOS'!$B$6:$B$1005,A402))</f>
        <v>0</v>
      </c>
      <c r="AQ402" s="97" t="str">
        <f>IF(T402="","",IF(T402="RECEBIMENTO NÃO CONFIRMADO",IF(ISNUMBER(F402),F402,IF(ISNUMBER(E402),E402,"")),IF(OR(T402="CDF NÃO LOCALIZADO",T402="VÍNCULO INCOMPLETO",T402="CDF A CONFERIR"),IF(AP402&gt;0,AP402,IF(ISNUMBER(E402),E402,"")),IF(ISNUMBER(E402),E402,""))))</f>
        <v/>
      </c>
      <c r="AR402" s="96">
        <f>IF(NOT(ISNUMBER(U402)),0,IF(T402="RECEBIMENTO NÃO CONFIRMADO",IF(AND(ISNUMBER(cfg_rec),U402&gt;cfg_rec),1,0),IF(OR(T402="CDF NÃO LOCALIZADO",T402="VÍNCULO INCOMPLETO",T402="CDF A CONFERIR"),IF(AND(ISNUMBER(cfg_cdf),U402&gt;cfg_cdf),1,0),0)))</f>
        <v>0</v>
      </c>
      <c r="AS402" s="96" t="str">
        <f>IF(T402="","",IF(AR402=1,"Alta",IFERROR(INDEX(cfg_pp,MATCH(T402,cfg_pt,0))&amp;"","Média")))</f>
        <v/>
      </c>
      <c r="AT402" s="96" t="str">
        <f>IF(T402="","",IFERROR(INDEX(cfg_pv,MATCH(T402,cfg_pt,0))&amp;"",""))</f>
        <v/>
      </c>
      <c r="AU402" s="96" t="str">
        <f>IF(T402="","",IF(AS402="Alta",1,IF(AS402="Média",2,3))*1000000000+(999999-IF(ISNUMBER(U402),MIN(U402,999999),0))*1000+397)</f>
        <v/>
      </c>
      <c r="AV402" s="96">
        <f>IF(T402&lt;&gt;"",1,0)</f>
        <v>0</v>
      </c>
      <c r="AW402" s="96" t="str">
        <f>IF(Z402=0,"",IF(AA402=1,"Cancelamento informado; ","")&amp;IF(AE402=1,"Campos essenciais ou itens faltando; ","")&amp;IF(AC402=1,"Possível duplicidade do número; ","")&amp;IF(AD402=1,"Cadastro ou datas a revisar; ","")&amp;IF(AF402&gt;0,"Item de resíduo com dado a revisar; ","")&amp;IF(AH402&gt;0,"Diferença de quantidade a analisar; ","")&amp;IF(AK402&gt;0,"Recebimento com alerta; ","")&amp;IF(AL402&gt;0,"Vínculo de CDF com alerta; ","")&amp;IF(AND(AA402=0,AN402=0),"Recebimento não confirmado; ","")&amp;IF(AND(AA402=0,AN402=1,AO402=0),"CDF pendente ou a conferir; ",""))</f>
        <v/>
      </c>
      <c r="AX402" s="96">
        <f>IF(Z402=0,0,IF(AND(OR(f_ini="",AND(ISNUMBER(E402),E402&gt;=f_ini)),OR(f_fim="",AND(ISNUMBER(E402),E402&lt;=f_fim)),OR(f_un="",f_un="(Todas)",G402=f_un),OR(f_tr="",f_tr="(Todos)",H402=f_tr),OR(f_de="",f_de="(Todos)",I402=f_de),OR(f_sit="",f_sit="(Todas)",S402=f_sit)),1,0))</f>
        <v>0</v>
      </c>
      <c r="AY402" s="96">
        <f>IF(AX402=0,0,IF(OR(f_res="",f_res="(Todos)"),1,IF(COUNTIFS('ITENS_MTR'!$S$6:$S$1005,A402,'ITENS_MTR'!$C$6:$C$1005,f_res)&gt;0,1,0)))</f>
        <v>0</v>
      </c>
      <c r="AZ402" s="97" t="str">
        <f>IF(ISNUMBER(E402),DATE(YEAR(E402),MONTH(E402),1),"")</f>
        <v/>
      </c>
      <c r="BA402" s="96">
        <f>IF(Z402=0,0,IF(AND(OR(r_ini="",AND(ISNUMBER(E402),E402&gt;=r_ini)),OR(r_fim="",AND(ISNUMBER(E402),E402&lt;=r_fim)),OR(r_un="",r_un="(Todas)",G402=r_un),OR(r_de="",r_de="(Todos)",I402=r_de)),1,0))</f>
        <v>0</v>
      </c>
      <c r="BB402" s="96" t="str">
        <f>IF(BA402=1,COUNTIF($BA$6:BA402,1),"")</f>
        <v/>
      </c>
      <c r="BC402" s="96" t="str">
        <f>IF(AND(AU402&lt;&gt;"",OR(r_un="",r_un="(Todas)",G402=r_un),OR(r_de="",r_de="(Todos)",I402=r_de)),AU402,"")</f>
        <v/>
      </c>
      <c r="BD402" s="96" t="str">
        <f>IF(Z402=1,A402&amp;" | nº "&amp;IF(B402="","(sem número)",B402)&amp;" | "&amp;IF(G402="","(sem unidade)",G402),"")</f>
        <v/>
      </c>
      <c r="BE402" s="96" t="str">
        <f>IF(Z402=1,COUNTIF($Z$6:Z402,1),"")</f>
        <v/>
      </c>
      <c r="BF402" s="96" t="str">
        <f>IF(T402="","",IF(T402="RECEBIMENTO NÃO CONFIRMADO","Transp.: "&amp;H402&amp;" | Dest.: "&amp;I402,IF(OR(T402="CDF NÃO LOCALIZADO",T402="VÍNCULO INCOMPLETO",T402="CDF A CONFERIR"),"Dest.: "&amp;I402,"Gerador: "&amp;G402)))</f>
        <v/>
      </c>
    </row>
    <row r="403">
      <c r="A403" s="89" t="inlineStr">
        <is>
          <t>MTR-000398</t>
        </is>
      </c>
      <c r="B403" s="90" t="n"/>
      <c r="C403" s="91" t="n"/>
      <c r="D403" s="91" t="n"/>
      <c r="E403" s="92" t="n"/>
      <c r="F403" s="92" t="n"/>
      <c r="G403" s="91" t="n"/>
      <c r="H403" s="91" t="n"/>
      <c r="I403" s="91" t="n"/>
      <c r="J403" s="91" t="n"/>
      <c r="K403" s="91" t="n"/>
      <c r="L403" s="92" t="n"/>
      <c r="M403" s="91" t="n"/>
      <c r="N403" s="91" t="n"/>
      <c r="O403" s="91" t="n"/>
      <c r="P403" s="93" t="str">
        <f>IF(Z403=0,"",SUMIFS('ITENS_MTR'!$I$6:$I$1005,'ITENS_MTR'!$S$6:$S$1005,A403,'ITENS_MTR'!$Y$6:$Y$1005,1))</f>
        <v/>
      </c>
      <c r="Q403" s="93" t="str">
        <f>IF(Z403=0,"",SUMIFS('RECEBIMENTOS'!$H$6:$H$1005,'RECEBIMENTOS'!$B$6:$B$1005,A403,'RECEBIMENTOS'!$X$6:$X$1005,1))</f>
        <v/>
      </c>
      <c r="R403" s="93" t="str">
        <f>IF(Z403=0,"",SUMIFS('VÍNCULOS_CDF'!$H$6:$H$1005,'VÍNCULOS_CDF'!$D$6:$D$1005,A403,'VÍNCULOS_CDF'!$V$6:$V$1005,1))</f>
        <v/>
      </c>
      <c r="S403" s="94" t="str">
        <f>IF(Z403=0,"",IF(AA403=1,"Cancelado (informado)",IF(AE403=1,"Cadastro incompleto",IF(OR(AC403=1,AD403=1,AF403&gt;0,AH403&gt;0,AK403&gt;0,AL403&gt;0),"Informação a revisar",IF(AN403=0,"Aguardando recebimento",IF(N(R403)=0,"Aguardando CDF",IF(AJ403&lt;N(W403),"Vínculo de CDF parcial",IF(AO403=0,"CDF localizado, a conferir","Documentação conferida"))))))))</f>
        <v/>
      </c>
      <c r="T403" s="94" t="str">
        <f>IF(Z403=0,"",IF(S403="Cadastro incompleto","MTR INCOMPLETO",IF(S403="Informação a revisar",IF(AND(AH403&gt;0,AC403=0,AD403=0,AF403=0,AK403=0,AL403=0),"QUANTIDADE A REVISAR","IDENTIFICAÇÃO A REVISAR"),IF(S403="Aguardando recebimento","RECEBIMENTO NÃO CONFIRMADO",IF(S403="Aguardando CDF","CDF NÃO LOCALIZADO",IF(S403="Vínculo de CDF parcial","VÍNCULO INCOMPLETO",IF(S403="CDF localizado, a conferir","CDF A CONFERIR","")))))))</f>
        <v/>
      </c>
      <c r="U403" s="95" t="str">
        <f>IF(T403="","",IF(AQ403="","Não calculável",IF(AQ403&gt;TODAY(),"Data futura",TODAY()-AQ403)))</f>
        <v/>
      </c>
      <c r="V403" s="93" t="str">
        <f>IF(Z403=0,"",SUMIFS('RECEBIMENTOS'!$H$6:$H$1005,'RECEBIMENTOS'!$B$6:$B$1005,A403,'RECEBIMENTOS'!$Z$6:$Z$1005,1))</f>
        <v/>
      </c>
      <c r="W403" s="95" t="str">
        <f>IF(Z403=0,"",COUNTIFS('ITENS_MTR'!$S$6:$S$1005,A403,'ITENS_MTR'!$R$6:$R$1005,1))</f>
        <v/>
      </c>
      <c r="X403" s="94" t="str">
        <f>IF(AC403=1,"POSSÍVEL DUPLICIDADE","")</f>
        <v/>
      </c>
      <c r="Y403" s="94" t="str">
        <f>IF(Z403=0,"",IF(AW403="","Nenhuma",LEFT(AW403,LEN(AW403)-2)))</f>
        <v/>
      </c>
      <c r="Z403" s="96">
        <f>IF(COUNTA(B403:O403)&gt;0,1,0)</f>
        <v>0</v>
      </c>
      <c r="AA403" s="96">
        <f>IF(AND(Z403=1,K403&lt;&gt;""),IF(TRIM(K403)=TRIM(cfg_cancel),1,0),0)</f>
        <v>0</v>
      </c>
      <c r="AB403" s="96" t="str">
        <f>IF(AND(Z403=1,B403&lt;&gt;""),C403&amp;"|"&amp;D403&amp;"|"&amp;G403&amp;"|"&amp;TRIM(B403),"")</f>
        <v/>
      </c>
      <c r="AC403" s="96">
        <f>IF(AB403="",0,IF(SUMPRODUCT(--($AB$6:$AB$505=AB403))&gt;1,1,0))</f>
        <v>0</v>
      </c>
      <c r="AD403" s="96">
        <f>IF(Z403=0,0,IF(OR(AND(G403&lt;&gt;"",ISNA(MATCH(G403,'CAD_UNIDADES'!$C$6:$C$105,0))),AND(H403&lt;&gt;"",ISNA(MATCH(H403,cmp_transp,0))),AND(I403&lt;&gt;"",ISNA(MATCH(I403,cmp_dest,0))),AND(E403&lt;&gt;"",NOT(ISNUMBER(E403))),AND(F403&lt;&gt;"",NOT(ISNUMBER(F403))),AND(ISNUMBER(E403),ISNUMBER(F403),F403&lt;E403)),1,0))</f>
        <v>0</v>
      </c>
      <c r="AE403" s="96">
        <f>IF(Z403=0,0,IF(OR(B403="",C403="",E403="",G403="",H403="",I403="",N(W403)=0),1,0))</f>
        <v>0</v>
      </c>
      <c r="AF403" s="96">
        <f>IF(Z403=0,0,COUNTIFS('ITENS_MTR'!$S$6:$S$1005,A403,'ITENS_MTR'!$AI$6:$AI$1005,1))</f>
        <v>0</v>
      </c>
      <c r="AG403" s="96">
        <f>IF(Z403=0,0,COUNTIFS('ITENS_MTR'!$S$6:$S$1005,A403,'ITENS_MTR'!$AJ$6:$AJ$1005,1))</f>
        <v>0</v>
      </c>
      <c r="AH403" s="96">
        <f>IF(Z403=0,0,COUNTIFS('ITENS_MTR'!$S$6:$S$1005,A403,'ITENS_MTR'!$AM$6:$AM$1005,1))</f>
        <v>0</v>
      </c>
      <c r="AI403" s="96">
        <f>IF(Z403=0,0,COUNTIFS('ITENS_MTR'!$S$6:$S$1005,A403,'ITENS_MTR'!$AO$6:$AO$1005,1))</f>
        <v>0</v>
      </c>
      <c r="AJ403" s="96">
        <f>IF(Z403=0,0,COUNTIFS('ITENS_MTR'!$S$6:$S$1005,A403,'ITENS_MTR'!$AN$6:$AN$1005,1))</f>
        <v>0</v>
      </c>
      <c r="AK403" s="96">
        <f>IF(Z403=0,0,COUNTIFS('RECEBIMENTOS'!$B$6:$B$1005,A403,'RECEBIMENTOS'!$Y$6:$Y$1005,1))</f>
        <v>0</v>
      </c>
      <c r="AL403" s="96">
        <f>IF(Z403=0,0,COUNTIFS('VÍNCULOS_CDF'!$D$6:$D$1005,A403,'VÍNCULOS_CDF'!$Y$6:$Y$1005,1))</f>
        <v>0</v>
      </c>
      <c r="AM403" s="96">
        <f>IF(Z403=0,0,COUNTIFS('RECEBIMENTOS'!$B$6:$B$1005,A403,'RECEBIMENTOS'!$Q$6:$Q$1005,1))</f>
        <v>0</v>
      </c>
      <c r="AN403" s="96">
        <f>IF(AND(Z403=1,N(W403)&gt;0,AG403=N(W403)),1,0)</f>
        <v>0</v>
      </c>
      <c r="AO403" s="96">
        <f>IF(AND(Z403=1,N(W403)&gt;0,AI403=N(W403)),1,0)</f>
        <v>0</v>
      </c>
      <c r="AP403" s="97">
        <f>IF(Z403=0,0,_xlfn.MAXIFS('RECEBIMENTOS'!$E$6:$E$1005,'RECEBIMENTOS'!$B$6:$B$1005,A403))</f>
        <v>0</v>
      </c>
      <c r="AQ403" s="97" t="str">
        <f>IF(T403="","",IF(T403="RECEBIMENTO NÃO CONFIRMADO",IF(ISNUMBER(F403),F403,IF(ISNUMBER(E403),E403,"")),IF(OR(T403="CDF NÃO LOCALIZADO",T403="VÍNCULO INCOMPLETO",T403="CDF A CONFERIR"),IF(AP403&gt;0,AP403,IF(ISNUMBER(E403),E403,"")),IF(ISNUMBER(E403),E403,""))))</f>
        <v/>
      </c>
      <c r="AR403" s="96">
        <f>IF(NOT(ISNUMBER(U403)),0,IF(T403="RECEBIMENTO NÃO CONFIRMADO",IF(AND(ISNUMBER(cfg_rec),U403&gt;cfg_rec),1,0),IF(OR(T403="CDF NÃO LOCALIZADO",T403="VÍNCULO INCOMPLETO",T403="CDF A CONFERIR"),IF(AND(ISNUMBER(cfg_cdf),U403&gt;cfg_cdf),1,0),0)))</f>
        <v>0</v>
      </c>
      <c r="AS403" s="96" t="str">
        <f>IF(T403="","",IF(AR403=1,"Alta",IFERROR(INDEX(cfg_pp,MATCH(T403,cfg_pt,0))&amp;"","Média")))</f>
        <v/>
      </c>
      <c r="AT403" s="96" t="str">
        <f>IF(T403="","",IFERROR(INDEX(cfg_pv,MATCH(T403,cfg_pt,0))&amp;"",""))</f>
        <v/>
      </c>
      <c r="AU403" s="96" t="str">
        <f>IF(T403="","",IF(AS403="Alta",1,IF(AS403="Média",2,3))*1000000000+(999999-IF(ISNUMBER(U403),MIN(U403,999999),0))*1000+398)</f>
        <v/>
      </c>
      <c r="AV403" s="96">
        <f>IF(T403&lt;&gt;"",1,0)</f>
        <v>0</v>
      </c>
      <c r="AW403" s="96" t="str">
        <f>IF(Z403=0,"",IF(AA403=1,"Cancelamento informado; ","")&amp;IF(AE403=1,"Campos essenciais ou itens faltando; ","")&amp;IF(AC403=1,"Possível duplicidade do número; ","")&amp;IF(AD403=1,"Cadastro ou datas a revisar; ","")&amp;IF(AF403&gt;0,"Item de resíduo com dado a revisar; ","")&amp;IF(AH403&gt;0,"Diferença de quantidade a analisar; ","")&amp;IF(AK403&gt;0,"Recebimento com alerta; ","")&amp;IF(AL403&gt;0,"Vínculo de CDF com alerta; ","")&amp;IF(AND(AA403=0,AN403=0),"Recebimento não confirmado; ","")&amp;IF(AND(AA403=0,AN403=1,AO403=0),"CDF pendente ou a conferir; ",""))</f>
        <v/>
      </c>
      <c r="AX403" s="96">
        <f>IF(Z403=0,0,IF(AND(OR(f_ini="",AND(ISNUMBER(E403),E403&gt;=f_ini)),OR(f_fim="",AND(ISNUMBER(E403),E403&lt;=f_fim)),OR(f_un="",f_un="(Todas)",G403=f_un),OR(f_tr="",f_tr="(Todos)",H403=f_tr),OR(f_de="",f_de="(Todos)",I403=f_de),OR(f_sit="",f_sit="(Todas)",S403=f_sit)),1,0))</f>
        <v>0</v>
      </c>
      <c r="AY403" s="96">
        <f>IF(AX403=0,0,IF(OR(f_res="",f_res="(Todos)"),1,IF(COUNTIFS('ITENS_MTR'!$S$6:$S$1005,A403,'ITENS_MTR'!$C$6:$C$1005,f_res)&gt;0,1,0)))</f>
        <v>0</v>
      </c>
      <c r="AZ403" s="97" t="str">
        <f>IF(ISNUMBER(E403),DATE(YEAR(E403),MONTH(E403),1),"")</f>
        <v/>
      </c>
      <c r="BA403" s="96">
        <f>IF(Z403=0,0,IF(AND(OR(r_ini="",AND(ISNUMBER(E403),E403&gt;=r_ini)),OR(r_fim="",AND(ISNUMBER(E403),E403&lt;=r_fim)),OR(r_un="",r_un="(Todas)",G403=r_un),OR(r_de="",r_de="(Todos)",I403=r_de)),1,0))</f>
        <v>0</v>
      </c>
      <c r="BB403" s="96" t="str">
        <f>IF(BA403=1,COUNTIF($BA$6:BA403,1),"")</f>
        <v/>
      </c>
      <c r="BC403" s="96" t="str">
        <f>IF(AND(AU403&lt;&gt;"",OR(r_un="",r_un="(Todas)",G403=r_un),OR(r_de="",r_de="(Todos)",I403=r_de)),AU403,"")</f>
        <v/>
      </c>
      <c r="BD403" s="96" t="str">
        <f>IF(Z403=1,A403&amp;" | nº "&amp;IF(B403="","(sem número)",B403)&amp;" | "&amp;IF(G403="","(sem unidade)",G403),"")</f>
        <v/>
      </c>
      <c r="BE403" s="96" t="str">
        <f>IF(Z403=1,COUNTIF($Z$6:Z403,1),"")</f>
        <v/>
      </c>
      <c r="BF403" s="96" t="str">
        <f>IF(T403="","",IF(T403="RECEBIMENTO NÃO CONFIRMADO","Transp.: "&amp;H403&amp;" | Dest.: "&amp;I403,IF(OR(T403="CDF NÃO LOCALIZADO",T403="VÍNCULO INCOMPLETO",T403="CDF A CONFERIR"),"Dest.: "&amp;I403,"Gerador: "&amp;G403)))</f>
        <v/>
      </c>
    </row>
    <row r="404">
      <c r="A404" s="89" t="inlineStr">
        <is>
          <t>MTR-000399</t>
        </is>
      </c>
      <c r="B404" s="90" t="n"/>
      <c r="C404" s="91" t="n"/>
      <c r="D404" s="91" t="n"/>
      <c r="E404" s="92" t="n"/>
      <c r="F404" s="92" t="n"/>
      <c r="G404" s="91" t="n"/>
      <c r="H404" s="91" t="n"/>
      <c r="I404" s="91" t="n"/>
      <c r="J404" s="91" t="n"/>
      <c r="K404" s="91" t="n"/>
      <c r="L404" s="92" t="n"/>
      <c r="M404" s="91" t="n"/>
      <c r="N404" s="91" t="n"/>
      <c r="O404" s="91" t="n"/>
      <c r="P404" s="93" t="str">
        <f>IF(Z404=0,"",SUMIFS('ITENS_MTR'!$I$6:$I$1005,'ITENS_MTR'!$S$6:$S$1005,A404,'ITENS_MTR'!$Y$6:$Y$1005,1))</f>
        <v/>
      </c>
      <c r="Q404" s="93" t="str">
        <f>IF(Z404=0,"",SUMIFS('RECEBIMENTOS'!$H$6:$H$1005,'RECEBIMENTOS'!$B$6:$B$1005,A404,'RECEBIMENTOS'!$X$6:$X$1005,1))</f>
        <v/>
      </c>
      <c r="R404" s="93" t="str">
        <f>IF(Z404=0,"",SUMIFS('VÍNCULOS_CDF'!$H$6:$H$1005,'VÍNCULOS_CDF'!$D$6:$D$1005,A404,'VÍNCULOS_CDF'!$V$6:$V$1005,1))</f>
        <v/>
      </c>
      <c r="S404" s="94" t="str">
        <f>IF(Z404=0,"",IF(AA404=1,"Cancelado (informado)",IF(AE404=1,"Cadastro incompleto",IF(OR(AC404=1,AD404=1,AF404&gt;0,AH404&gt;0,AK404&gt;0,AL404&gt;0),"Informação a revisar",IF(AN404=0,"Aguardando recebimento",IF(N(R404)=0,"Aguardando CDF",IF(AJ404&lt;N(W404),"Vínculo de CDF parcial",IF(AO404=0,"CDF localizado, a conferir","Documentação conferida"))))))))</f>
        <v/>
      </c>
      <c r="T404" s="94" t="str">
        <f>IF(Z404=0,"",IF(S404="Cadastro incompleto","MTR INCOMPLETO",IF(S404="Informação a revisar",IF(AND(AH404&gt;0,AC404=0,AD404=0,AF404=0,AK404=0,AL404=0),"QUANTIDADE A REVISAR","IDENTIFICAÇÃO A REVISAR"),IF(S404="Aguardando recebimento","RECEBIMENTO NÃO CONFIRMADO",IF(S404="Aguardando CDF","CDF NÃO LOCALIZADO",IF(S404="Vínculo de CDF parcial","VÍNCULO INCOMPLETO",IF(S404="CDF localizado, a conferir","CDF A CONFERIR","")))))))</f>
        <v/>
      </c>
      <c r="U404" s="95" t="str">
        <f>IF(T404="","",IF(AQ404="","Não calculável",IF(AQ404&gt;TODAY(),"Data futura",TODAY()-AQ404)))</f>
        <v/>
      </c>
      <c r="V404" s="93" t="str">
        <f>IF(Z404=0,"",SUMIFS('RECEBIMENTOS'!$H$6:$H$1005,'RECEBIMENTOS'!$B$6:$B$1005,A404,'RECEBIMENTOS'!$Z$6:$Z$1005,1))</f>
        <v/>
      </c>
      <c r="W404" s="95" t="str">
        <f>IF(Z404=0,"",COUNTIFS('ITENS_MTR'!$S$6:$S$1005,A404,'ITENS_MTR'!$R$6:$R$1005,1))</f>
        <v/>
      </c>
      <c r="X404" s="94" t="str">
        <f>IF(AC404=1,"POSSÍVEL DUPLICIDADE","")</f>
        <v/>
      </c>
      <c r="Y404" s="94" t="str">
        <f>IF(Z404=0,"",IF(AW404="","Nenhuma",LEFT(AW404,LEN(AW404)-2)))</f>
        <v/>
      </c>
      <c r="Z404" s="96">
        <f>IF(COUNTA(B404:O404)&gt;0,1,0)</f>
        <v>0</v>
      </c>
      <c r="AA404" s="96">
        <f>IF(AND(Z404=1,K404&lt;&gt;""),IF(TRIM(K404)=TRIM(cfg_cancel),1,0),0)</f>
        <v>0</v>
      </c>
      <c r="AB404" s="96" t="str">
        <f>IF(AND(Z404=1,B404&lt;&gt;""),C404&amp;"|"&amp;D404&amp;"|"&amp;G404&amp;"|"&amp;TRIM(B404),"")</f>
        <v/>
      </c>
      <c r="AC404" s="96">
        <f>IF(AB404="",0,IF(SUMPRODUCT(--($AB$6:$AB$505=AB404))&gt;1,1,0))</f>
        <v>0</v>
      </c>
      <c r="AD404" s="96">
        <f>IF(Z404=0,0,IF(OR(AND(G404&lt;&gt;"",ISNA(MATCH(G404,'CAD_UNIDADES'!$C$6:$C$105,0))),AND(H404&lt;&gt;"",ISNA(MATCH(H404,cmp_transp,0))),AND(I404&lt;&gt;"",ISNA(MATCH(I404,cmp_dest,0))),AND(E404&lt;&gt;"",NOT(ISNUMBER(E404))),AND(F404&lt;&gt;"",NOT(ISNUMBER(F404))),AND(ISNUMBER(E404),ISNUMBER(F404),F404&lt;E404)),1,0))</f>
        <v>0</v>
      </c>
      <c r="AE404" s="96">
        <f>IF(Z404=0,0,IF(OR(B404="",C404="",E404="",G404="",H404="",I404="",N(W404)=0),1,0))</f>
        <v>0</v>
      </c>
      <c r="AF404" s="96">
        <f>IF(Z404=0,0,COUNTIFS('ITENS_MTR'!$S$6:$S$1005,A404,'ITENS_MTR'!$AI$6:$AI$1005,1))</f>
        <v>0</v>
      </c>
      <c r="AG404" s="96">
        <f>IF(Z404=0,0,COUNTIFS('ITENS_MTR'!$S$6:$S$1005,A404,'ITENS_MTR'!$AJ$6:$AJ$1005,1))</f>
        <v>0</v>
      </c>
      <c r="AH404" s="96">
        <f>IF(Z404=0,0,COUNTIFS('ITENS_MTR'!$S$6:$S$1005,A404,'ITENS_MTR'!$AM$6:$AM$1005,1))</f>
        <v>0</v>
      </c>
      <c r="AI404" s="96">
        <f>IF(Z404=0,0,COUNTIFS('ITENS_MTR'!$S$6:$S$1005,A404,'ITENS_MTR'!$AO$6:$AO$1005,1))</f>
        <v>0</v>
      </c>
      <c r="AJ404" s="96">
        <f>IF(Z404=0,0,COUNTIFS('ITENS_MTR'!$S$6:$S$1005,A404,'ITENS_MTR'!$AN$6:$AN$1005,1))</f>
        <v>0</v>
      </c>
      <c r="AK404" s="96">
        <f>IF(Z404=0,0,COUNTIFS('RECEBIMENTOS'!$B$6:$B$1005,A404,'RECEBIMENTOS'!$Y$6:$Y$1005,1))</f>
        <v>0</v>
      </c>
      <c r="AL404" s="96">
        <f>IF(Z404=0,0,COUNTIFS('VÍNCULOS_CDF'!$D$6:$D$1005,A404,'VÍNCULOS_CDF'!$Y$6:$Y$1005,1))</f>
        <v>0</v>
      </c>
      <c r="AM404" s="96">
        <f>IF(Z404=0,0,COUNTIFS('RECEBIMENTOS'!$B$6:$B$1005,A404,'RECEBIMENTOS'!$Q$6:$Q$1005,1))</f>
        <v>0</v>
      </c>
      <c r="AN404" s="96">
        <f>IF(AND(Z404=1,N(W404)&gt;0,AG404=N(W404)),1,0)</f>
        <v>0</v>
      </c>
      <c r="AO404" s="96">
        <f>IF(AND(Z404=1,N(W404)&gt;0,AI404=N(W404)),1,0)</f>
        <v>0</v>
      </c>
      <c r="AP404" s="97">
        <f>IF(Z404=0,0,_xlfn.MAXIFS('RECEBIMENTOS'!$E$6:$E$1005,'RECEBIMENTOS'!$B$6:$B$1005,A404))</f>
        <v>0</v>
      </c>
      <c r="AQ404" s="97" t="str">
        <f>IF(T404="","",IF(T404="RECEBIMENTO NÃO CONFIRMADO",IF(ISNUMBER(F404),F404,IF(ISNUMBER(E404),E404,"")),IF(OR(T404="CDF NÃO LOCALIZADO",T404="VÍNCULO INCOMPLETO",T404="CDF A CONFERIR"),IF(AP404&gt;0,AP404,IF(ISNUMBER(E404),E404,"")),IF(ISNUMBER(E404),E404,""))))</f>
        <v/>
      </c>
      <c r="AR404" s="96">
        <f>IF(NOT(ISNUMBER(U404)),0,IF(T404="RECEBIMENTO NÃO CONFIRMADO",IF(AND(ISNUMBER(cfg_rec),U404&gt;cfg_rec),1,0),IF(OR(T404="CDF NÃO LOCALIZADO",T404="VÍNCULO INCOMPLETO",T404="CDF A CONFERIR"),IF(AND(ISNUMBER(cfg_cdf),U404&gt;cfg_cdf),1,0),0)))</f>
        <v>0</v>
      </c>
      <c r="AS404" s="96" t="str">
        <f>IF(T404="","",IF(AR404=1,"Alta",IFERROR(INDEX(cfg_pp,MATCH(T404,cfg_pt,0))&amp;"","Média")))</f>
        <v/>
      </c>
      <c r="AT404" s="96" t="str">
        <f>IF(T404="","",IFERROR(INDEX(cfg_pv,MATCH(T404,cfg_pt,0))&amp;"",""))</f>
        <v/>
      </c>
      <c r="AU404" s="96" t="str">
        <f>IF(T404="","",IF(AS404="Alta",1,IF(AS404="Média",2,3))*1000000000+(999999-IF(ISNUMBER(U404),MIN(U404,999999),0))*1000+399)</f>
        <v/>
      </c>
      <c r="AV404" s="96">
        <f>IF(T404&lt;&gt;"",1,0)</f>
        <v>0</v>
      </c>
      <c r="AW404" s="96" t="str">
        <f>IF(Z404=0,"",IF(AA404=1,"Cancelamento informado; ","")&amp;IF(AE404=1,"Campos essenciais ou itens faltando; ","")&amp;IF(AC404=1,"Possível duplicidade do número; ","")&amp;IF(AD404=1,"Cadastro ou datas a revisar; ","")&amp;IF(AF404&gt;0,"Item de resíduo com dado a revisar; ","")&amp;IF(AH404&gt;0,"Diferença de quantidade a analisar; ","")&amp;IF(AK404&gt;0,"Recebimento com alerta; ","")&amp;IF(AL404&gt;0,"Vínculo de CDF com alerta; ","")&amp;IF(AND(AA404=0,AN404=0),"Recebimento não confirmado; ","")&amp;IF(AND(AA404=0,AN404=1,AO404=0),"CDF pendente ou a conferir; ",""))</f>
        <v/>
      </c>
      <c r="AX404" s="96">
        <f>IF(Z404=0,0,IF(AND(OR(f_ini="",AND(ISNUMBER(E404),E404&gt;=f_ini)),OR(f_fim="",AND(ISNUMBER(E404),E404&lt;=f_fim)),OR(f_un="",f_un="(Todas)",G404=f_un),OR(f_tr="",f_tr="(Todos)",H404=f_tr),OR(f_de="",f_de="(Todos)",I404=f_de),OR(f_sit="",f_sit="(Todas)",S404=f_sit)),1,0))</f>
        <v>0</v>
      </c>
      <c r="AY404" s="96">
        <f>IF(AX404=0,0,IF(OR(f_res="",f_res="(Todos)"),1,IF(COUNTIFS('ITENS_MTR'!$S$6:$S$1005,A404,'ITENS_MTR'!$C$6:$C$1005,f_res)&gt;0,1,0)))</f>
        <v>0</v>
      </c>
      <c r="AZ404" s="97" t="str">
        <f>IF(ISNUMBER(E404),DATE(YEAR(E404),MONTH(E404),1),"")</f>
        <v/>
      </c>
      <c r="BA404" s="96">
        <f>IF(Z404=0,0,IF(AND(OR(r_ini="",AND(ISNUMBER(E404),E404&gt;=r_ini)),OR(r_fim="",AND(ISNUMBER(E404),E404&lt;=r_fim)),OR(r_un="",r_un="(Todas)",G404=r_un),OR(r_de="",r_de="(Todos)",I404=r_de)),1,0))</f>
        <v>0</v>
      </c>
      <c r="BB404" s="96" t="str">
        <f>IF(BA404=1,COUNTIF($BA$6:BA404,1),"")</f>
        <v/>
      </c>
      <c r="BC404" s="96" t="str">
        <f>IF(AND(AU404&lt;&gt;"",OR(r_un="",r_un="(Todas)",G404=r_un),OR(r_de="",r_de="(Todos)",I404=r_de)),AU404,"")</f>
        <v/>
      </c>
      <c r="BD404" s="96" t="str">
        <f>IF(Z404=1,A404&amp;" | nº "&amp;IF(B404="","(sem número)",B404)&amp;" | "&amp;IF(G404="","(sem unidade)",G404),"")</f>
        <v/>
      </c>
      <c r="BE404" s="96" t="str">
        <f>IF(Z404=1,COUNTIF($Z$6:Z404,1),"")</f>
        <v/>
      </c>
      <c r="BF404" s="96" t="str">
        <f>IF(T404="","",IF(T404="RECEBIMENTO NÃO CONFIRMADO","Transp.: "&amp;H404&amp;" | Dest.: "&amp;I404,IF(OR(T404="CDF NÃO LOCALIZADO",T404="VÍNCULO INCOMPLETO",T404="CDF A CONFERIR"),"Dest.: "&amp;I404,"Gerador: "&amp;G404)))</f>
        <v/>
      </c>
    </row>
    <row r="405">
      <c r="A405" s="89" t="inlineStr">
        <is>
          <t>MTR-000400</t>
        </is>
      </c>
      <c r="B405" s="90" t="n"/>
      <c r="C405" s="91" t="n"/>
      <c r="D405" s="91" t="n"/>
      <c r="E405" s="92" t="n"/>
      <c r="F405" s="92" t="n"/>
      <c r="G405" s="91" t="n"/>
      <c r="H405" s="91" t="n"/>
      <c r="I405" s="91" t="n"/>
      <c r="J405" s="91" t="n"/>
      <c r="K405" s="91" t="n"/>
      <c r="L405" s="92" t="n"/>
      <c r="M405" s="91" t="n"/>
      <c r="N405" s="91" t="n"/>
      <c r="O405" s="91" t="n"/>
      <c r="P405" s="93" t="str">
        <f>IF(Z405=0,"",SUMIFS('ITENS_MTR'!$I$6:$I$1005,'ITENS_MTR'!$S$6:$S$1005,A405,'ITENS_MTR'!$Y$6:$Y$1005,1))</f>
        <v/>
      </c>
      <c r="Q405" s="93" t="str">
        <f>IF(Z405=0,"",SUMIFS('RECEBIMENTOS'!$H$6:$H$1005,'RECEBIMENTOS'!$B$6:$B$1005,A405,'RECEBIMENTOS'!$X$6:$X$1005,1))</f>
        <v/>
      </c>
      <c r="R405" s="93" t="str">
        <f>IF(Z405=0,"",SUMIFS('VÍNCULOS_CDF'!$H$6:$H$1005,'VÍNCULOS_CDF'!$D$6:$D$1005,A405,'VÍNCULOS_CDF'!$V$6:$V$1005,1))</f>
        <v/>
      </c>
      <c r="S405" s="94" t="str">
        <f>IF(Z405=0,"",IF(AA405=1,"Cancelado (informado)",IF(AE405=1,"Cadastro incompleto",IF(OR(AC405=1,AD405=1,AF405&gt;0,AH405&gt;0,AK405&gt;0,AL405&gt;0),"Informação a revisar",IF(AN405=0,"Aguardando recebimento",IF(N(R405)=0,"Aguardando CDF",IF(AJ405&lt;N(W405),"Vínculo de CDF parcial",IF(AO405=0,"CDF localizado, a conferir","Documentação conferida"))))))))</f>
        <v/>
      </c>
      <c r="T405" s="94" t="str">
        <f>IF(Z405=0,"",IF(S405="Cadastro incompleto","MTR INCOMPLETO",IF(S405="Informação a revisar",IF(AND(AH405&gt;0,AC405=0,AD405=0,AF405=0,AK405=0,AL405=0),"QUANTIDADE A REVISAR","IDENTIFICAÇÃO A REVISAR"),IF(S405="Aguardando recebimento","RECEBIMENTO NÃO CONFIRMADO",IF(S405="Aguardando CDF","CDF NÃO LOCALIZADO",IF(S405="Vínculo de CDF parcial","VÍNCULO INCOMPLETO",IF(S405="CDF localizado, a conferir","CDF A CONFERIR","")))))))</f>
        <v/>
      </c>
      <c r="U405" s="95" t="str">
        <f>IF(T405="","",IF(AQ405="","Não calculável",IF(AQ405&gt;TODAY(),"Data futura",TODAY()-AQ405)))</f>
        <v/>
      </c>
      <c r="V405" s="93" t="str">
        <f>IF(Z405=0,"",SUMIFS('RECEBIMENTOS'!$H$6:$H$1005,'RECEBIMENTOS'!$B$6:$B$1005,A405,'RECEBIMENTOS'!$Z$6:$Z$1005,1))</f>
        <v/>
      </c>
      <c r="W405" s="95" t="str">
        <f>IF(Z405=0,"",COUNTIFS('ITENS_MTR'!$S$6:$S$1005,A405,'ITENS_MTR'!$R$6:$R$1005,1))</f>
        <v/>
      </c>
      <c r="X405" s="94" t="str">
        <f>IF(AC405=1,"POSSÍVEL DUPLICIDADE","")</f>
        <v/>
      </c>
      <c r="Y405" s="94" t="str">
        <f>IF(Z405=0,"",IF(AW405="","Nenhuma",LEFT(AW405,LEN(AW405)-2)))</f>
        <v/>
      </c>
      <c r="Z405" s="96">
        <f>IF(COUNTA(B405:O405)&gt;0,1,0)</f>
        <v>0</v>
      </c>
      <c r="AA405" s="96">
        <f>IF(AND(Z405=1,K405&lt;&gt;""),IF(TRIM(K405)=TRIM(cfg_cancel),1,0),0)</f>
        <v>0</v>
      </c>
      <c r="AB405" s="96" t="str">
        <f>IF(AND(Z405=1,B405&lt;&gt;""),C405&amp;"|"&amp;D405&amp;"|"&amp;G405&amp;"|"&amp;TRIM(B405),"")</f>
        <v/>
      </c>
      <c r="AC405" s="96">
        <f>IF(AB405="",0,IF(SUMPRODUCT(--($AB$6:$AB$505=AB405))&gt;1,1,0))</f>
        <v>0</v>
      </c>
      <c r="AD405" s="96">
        <f>IF(Z405=0,0,IF(OR(AND(G405&lt;&gt;"",ISNA(MATCH(G405,'CAD_UNIDADES'!$C$6:$C$105,0))),AND(H405&lt;&gt;"",ISNA(MATCH(H405,cmp_transp,0))),AND(I405&lt;&gt;"",ISNA(MATCH(I405,cmp_dest,0))),AND(E405&lt;&gt;"",NOT(ISNUMBER(E405))),AND(F405&lt;&gt;"",NOT(ISNUMBER(F405))),AND(ISNUMBER(E405),ISNUMBER(F405),F405&lt;E405)),1,0))</f>
        <v>0</v>
      </c>
      <c r="AE405" s="96">
        <f>IF(Z405=0,0,IF(OR(B405="",C405="",E405="",G405="",H405="",I405="",N(W405)=0),1,0))</f>
        <v>0</v>
      </c>
      <c r="AF405" s="96">
        <f>IF(Z405=0,0,COUNTIFS('ITENS_MTR'!$S$6:$S$1005,A405,'ITENS_MTR'!$AI$6:$AI$1005,1))</f>
        <v>0</v>
      </c>
      <c r="AG405" s="96">
        <f>IF(Z405=0,0,COUNTIFS('ITENS_MTR'!$S$6:$S$1005,A405,'ITENS_MTR'!$AJ$6:$AJ$1005,1))</f>
        <v>0</v>
      </c>
      <c r="AH405" s="96">
        <f>IF(Z405=0,0,COUNTIFS('ITENS_MTR'!$S$6:$S$1005,A405,'ITENS_MTR'!$AM$6:$AM$1005,1))</f>
        <v>0</v>
      </c>
      <c r="AI405" s="96">
        <f>IF(Z405=0,0,COUNTIFS('ITENS_MTR'!$S$6:$S$1005,A405,'ITENS_MTR'!$AO$6:$AO$1005,1))</f>
        <v>0</v>
      </c>
      <c r="AJ405" s="96">
        <f>IF(Z405=0,0,COUNTIFS('ITENS_MTR'!$S$6:$S$1005,A405,'ITENS_MTR'!$AN$6:$AN$1005,1))</f>
        <v>0</v>
      </c>
      <c r="AK405" s="96">
        <f>IF(Z405=0,0,COUNTIFS('RECEBIMENTOS'!$B$6:$B$1005,A405,'RECEBIMENTOS'!$Y$6:$Y$1005,1))</f>
        <v>0</v>
      </c>
      <c r="AL405" s="96">
        <f>IF(Z405=0,0,COUNTIFS('VÍNCULOS_CDF'!$D$6:$D$1005,A405,'VÍNCULOS_CDF'!$Y$6:$Y$1005,1))</f>
        <v>0</v>
      </c>
      <c r="AM405" s="96">
        <f>IF(Z405=0,0,COUNTIFS('RECEBIMENTOS'!$B$6:$B$1005,A405,'RECEBIMENTOS'!$Q$6:$Q$1005,1))</f>
        <v>0</v>
      </c>
      <c r="AN405" s="96">
        <f>IF(AND(Z405=1,N(W405)&gt;0,AG405=N(W405)),1,0)</f>
        <v>0</v>
      </c>
      <c r="AO405" s="96">
        <f>IF(AND(Z405=1,N(W405)&gt;0,AI405=N(W405)),1,0)</f>
        <v>0</v>
      </c>
      <c r="AP405" s="97">
        <f>IF(Z405=0,0,_xlfn.MAXIFS('RECEBIMENTOS'!$E$6:$E$1005,'RECEBIMENTOS'!$B$6:$B$1005,A405))</f>
        <v>0</v>
      </c>
      <c r="AQ405" s="97" t="str">
        <f>IF(T405="","",IF(T405="RECEBIMENTO NÃO CONFIRMADO",IF(ISNUMBER(F405),F405,IF(ISNUMBER(E405),E405,"")),IF(OR(T405="CDF NÃO LOCALIZADO",T405="VÍNCULO INCOMPLETO",T405="CDF A CONFERIR"),IF(AP405&gt;0,AP405,IF(ISNUMBER(E405),E405,"")),IF(ISNUMBER(E405),E405,""))))</f>
        <v/>
      </c>
      <c r="AR405" s="96">
        <f>IF(NOT(ISNUMBER(U405)),0,IF(T405="RECEBIMENTO NÃO CONFIRMADO",IF(AND(ISNUMBER(cfg_rec),U405&gt;cfg_rec),1,0),IF(OR(T405="CDF NÃO LOCALIZADO",T405="VÍNCULO INCOMPLETO",T405="CDF A CONFERIR"),IF(AND(ISNUMBER(cfg_cdf),U405&gt;cfg_cdf),1,0),0)))</f>
        <v>0</v>
      </c>
      <c r="AS405" s="96" t="str">
        <f>IF(T405="","",IF(AR405=1,"Alta",IFERROR(INDEX(cfg_pp,MATCH(T405,cfg_pt,0))&amp;"","Média")))</f>
        <v/>
      </c>
      <c r="AT405" s="96" t="str">
        <f>IF(T405="","",IFERROR(INDEX(cfg_pv,MATCH(T405,cfg_pt,0))&amp;"",""))</f>
        <v/>
      </c>
      <c r="AU405" s="96" t="str">
        <f>IF(T405="","",IF(AS405="Alta",1,IF(AS405="Média",2,3))*1000000000+(999999-IF(ISNUMBER(U405),MIN(U405,999999),0))*1000+400)</f>
        <v/>
      </c>
      <c r="AV405" s="96">
        <f>IF(T405&lt;&gt;"",1,0)</f>
        <v>0</v>
      </c>
      <c r="AW405" s="96" t="str">
        <f>IF(Z405=0,"",IF(AA405=1,"Cancelamento informado; ","")&amp;IF(AE405=1,"Campos essenciais ou itens faltando; ","")&amp;IF(AC405=1,"Possível duplicidade do número; ","")&amp;IF(AD405=1,"Cadastro ou datas a revisar; ","")&amp;IF(AF405&gt;0,"Item de resíduo com dado a revisar; ","")&amp;IF(AH405&gt;0,"Diferença de quantidade a analisar; ","")&amp;IF(AK405&gt;0,"Recebimento com alerta; ","")&amp;IF(AL405&gt;0,"Vínculo de CDF com alerta; ","")&amp;IF(AND(AA405=0,AN405=0),"Recebimento não confirmado; ","")&amp;IF(AND(AA405=0,AN405=1,AO405=0),"CDF pendente ou a conferir; ",""))</f>
        <v/>
      </c>
      <c r="AX405" s="96">
        <f>IF(Z405=0,0,IF(AND(OR(f_ini="",AND(ISNUMBER(E405),E405&gt;=f_ini)),OR(f_fim="",AND(ISNUMBER(E405),E405&lt;=f_fim)),OR(f_un="",f_un="(Todas)",G405=f_un),OR(f_tr="",f_tr="(Todos)",H405=f_tr),OR(f_de="",f_de="(Todos)",I405=f_de),OR(f_sit="",f_sit="(Todas)",S405=f_sit)),1,0))</f>
        <v>0</v>
      </c>
      <c r="AY405" s="96">
        <f>IF(AX405=0,0,IF(OR(f_res="",f_res="(Todos)"),1,IF(COUNTIFS('ITENS_MTR'!$S$6:$S$1005,A405,'ITENS_MTR'!$C$6:$C$1005,f_res)&gt;0,1,0)))</f>
        <v>0</v>
      </c>
      <c r="AZ405" s="97" t="str">
        <f>IF(ISNUMBER(E405),DATE(YEAR(E405),MONTH(E405),1),"")</f>
        <v/>
      </c>
      <c r="BA405" s="96">
        <f>IF(Z405=0,0,IF(AND(OR(r_ini="",AND(ISNUMBER(E405),E405&gt;=r_ini)),OR(r_fim="",AND(ISNUMBER(E405),E405&lt;=r_fim)),OR(r_un="",r_un="(Todas)",G405=r_un),OR(r_de="",r_de="(Todos)",I405=r_de)),1,0))</f>
        <v>0</v>
      </c>
      <c r="BB405" s="96" t="str">
        <f>IF(BA405=1,COUNTIF($BA$6:BA405,1),"")</f>
        <v/>
      </c>
      <c r="BC405" s="96" t="str">
        <f>IF(AND(AU405&lt;&gt;"",OR(r_un="",r_un="(Todas)",G405=r_un),OR(r_de="",r_de="(Todos)",I405=r_de)),AU405,"")</f>
        <v/>
      </c>
      <c r="BD405" s="96" t="str">
        <f>IF(Z405=1,A405&amp;" | nº "&amp;IF(B405="","(sem número)",B405)&amp;" | "&amp;IF(G405="","(sem unidade)",G405),"")</f>
        <v/>
      </c>
      <c r="BE405" s="96" t="str">
        <f>IF(Z405=1,COUNTIF($Z$6:Z405,1),"")</f>
        <v/>
      </c>
      <c r="BF405" s="96" t="str">
        <f>IF(T405="","",IF(T405="RECEBIMENTO NÃO CONFIRMADO","Transp.: "&amp;H405&amp;" | Dest.: "&amp;I405,IF(OR(T405="CDF NÃO LOCALIZADO",T405="VÍNCULO INCOMPLETO",T405="CDF A CONFERIR"),"Dest.: "&amp;I405,"Gerador: "&amp;G405)))</f>
        <v/>
      </c>
    </row>
    <row r="406">
      <c r="A406" s="89" t="inlineStr">
        <is>
          <t>MTR-000401</t>
        </is>
      </c>
      <c r="B406" s="90" t="n"/>
      <c r="C406" s="91" t="n"/>
      <c r="D406" s="91" t="n"/>
      <c r="E406" s="92" t="n"/>
      <c r="F406" s="92" t="n"/>
      <c r="G406" s="91" t="n"/>
      <c r="H406" s="91" t="n"/>
      <c r="I406" s="91" t="n"/>
      <c r="J406" s="91" t="n"/>
      <c r="K406" s="91" t="n"/>
      <c r="L406" s="92" t="n"/>
      <c r="M406" s="91" t="n"/>
      <c r="N406" s="91" t="n"/>
      <c r="O406" s="91" t="n"/>
      <c r="P406" s="93" t="str">
        <f>IF(Z406=0,"",SUMIFS('ITENS_MTR'!$I$6:$I$1005,'ITENS_MTR'!$S$6:$S$1005,A406,'ITENS_MTR'!$Y$6:$Y$1005,1))</f>
        <v/>
      </c>
      <c r="Q406" s="93" t="str">
        <f>IF(Z406=0,"",SUMIFS('RECEBIMENTOS'!$H$6:$H$1005,'RECEBIMENTOS'!$B$6:$B$1005,A406,'RECEBIMENTOS'!$X$6:$X$1005,1))</f>
        <v/>
      </c>
      <c r="R406" s="93" t="str">
        <f>IF(Z406=0,"",SUMIFS('VÍNCULOS_CDF'!$H$6:$H$1005,'VÍNCULOS_CDF'!$D$6:$D$1005,A406,'VÍNCULOS_CDF'!$V$6:$V$1005,1))</f>
        <v/>
      </c>
      <c r="S406" s="94" t="str">
        <f>IF(Z406=0,"",IF(AA406=1,"Cancelado (informado)",IF(AE406=1,"Cadastro incompleto",IF(OR(AC406=1,AD406=1,AF406&gt;0,AH406&gt;0,AK406&gt;0,AL406&gt;0),"Informação a revisar",IF(AN406=0,"Aguardando recebimento",IF(N(R406)=0,"Aguardando CDF",IF(AJ406&lt;N(W406),"Vínculo de CDF parcial",IF(AO406=0,"CDF localizado, a conferir","Documentação conferida"))))))))</f>
        <v/>
      </c>
      <c r="T406" s="94" t="str">
        <f>IF(Z406=0,"",IF(S406="Cadastro incompleto","MTR INCOMPLETO",IF(S406="Informação a revisar",IF(AND(AH406&gt;0,AC406=0,AD406=0,AF406=0,AK406=0,AL406=0),"QUANTIDADE A REVISAR","IDENTIFICAÇÃO A REVISAR"),IF(S406="Aguardando recebimento","RECEBIMENTO NÃO CONFIRMADO",IF(S406="Aguardando CDF","CDF NÃO LOCALIZADO",IF(S406="Vínculo de CDF parcial","VÍNCULO INCOMPLETO",IF(S406="CDF localizado, a conferir","CDF A CONFERIR","")))))))</f>
        <v/>
      </c>
      <c r="U406" s="95" t="str">
        <f>IF(T406="","",IF(AQ406="","Não calculável",IF(AQ406&gt;TODAY(),"Data futura",TODAY()-AQ406)))</f>
        <v/>
      </c>
      <c r="V406" s="93" t="str">
        <f>IF(Z406=0,"",SUMIFS('RECEBIMENTOS'!$H$6:$H$1005,'RECEBIMENTOS'!$B$6:$B$1005,A406,'RECEBIMENTOS'!$Z$6:$Z$1005,1))</f>
        <v/>
      </c>
      <c r="W406" s="95" t="str">
        <f>IF(Z406=0,"",COUNTIFS('ITENS_MTR'!$S$6:$S$1005,A406,'ITENS_MTR'!$R$6:$R$1005,1))</f>
        <v/>
      </c>
      <c r="X406" s="94" t="str">
        <f>IF(AC406=1,"POSSÍVEL DUPLICIDADE","")</f>
        <v/>
      </c>
      <c r="Y406" s="94" t="str">
        <f>IF(Z406=0,"",IF(AW406="","Nenhuma",LEFT(AW406,LEN(AW406)-2)))</f>
        <v/>
      </c>
      <c r="Z406" s="96">
        <f>IF(COUNTA(B406:O406)&gt;0,1,0)</f>
        <v>0</v>
      </c>
      <c r="AA406" s="96">
        <f>IF(AND(Z406=1,K406&lt;&gt;""),IF(TRIM(K406)=TRIM(cfg_cancel),1,0),0)</f>
        <v>0</v>
      </c>
      <c r="AB406" s="96" t="str">
        <f>IF(AND(Z406=1,B406&lt;&gt;""),C406&amp;"|"&amp;D406&amp;"|"&amp;G406&amp;"|"&amp;TRIM(B406),"")</f>
        <v/>
      </c>
      <c r="AC406" s="96">
        <f>IF(AB406="",0,IF(SUMPRODUCT(--($AB$6:$AB$505=AB406))&gt;1,1,0))</f>
        <v>0</v>
      </c>
      <c r="AD406" s="96">
        <f>IF(Z406=0,0,IF(OR(AND(G406&lt;&gt;"",ISNA(MATCH(G406,'CAD_UNIDADES'!$C$6:$C$105,0))),AND(H406&lt;&gt;"",ISNA(MATCH(H406,cmp_transp,0))),AND(I406&lt;&gt;"",ISNA(MATCH(I406,cmp_dest,0))),AND(E406&lt;&gt;"",NOT(ISNUMBER(E406))),AND(F406&lt;&gt;"",NOT(ISNUMBER(F406))),AND(ISNUMBER(E406),ISNUMBER(F406),F406&lt;E406)),1,0))</f>
        <v>0</v>
      </c>
      <c r="AE406" s="96">
        <f>IF(Z406=0,0,IF(OR(B406="",C406="",E406="",G406="",H406="",I406="",N(W406)=0),1,0))</f>
        <v>0</v>
      </c>
      <c r="AF406" s="96">
        <f>IF(Z406=0,0,COUNTIFS('ITENS_MTR'!$S$6:$S$1005,A406,'ITENS_MTR'!$AI$6:$AI$1005,1))</f>
        <v>0</v>
      </c>
      <c r="AG406" s="96">
        <f>IF(Z406=0,0,COUNTIFS('ITENS_MTR'!$S$6:$S$1005,A406,'ITENS_MTR'!$AJ$6:$AJ$1005,1))</f>
        <v>0</v>
      </c>
      <c r="AH406" s="96">
        <f>IF(Z406=0,0,COUNTIFS('ITENS_MTR'!$S$6:$S$1005,A406,'ITENS_MTR'!$AM$6:$AM$1005,1))</f>
        <v>0</v>
      </c>
      <c r="AI406" s="96">
        <f>IF(Z406=0,0,COUNTIFS('ITENS_MTR'!$S$6:$S$1005,A406,'ITENS_MTR'!$AO$6:$AO$1005,1))</f>
        <v>0</v>
      </c>
      <c r="AJ406" s="96">
        <f>IF(Z406=0,0,COUNTIFS('ITENS_MTR'!$S$6:$S$1005,A406,'ITENS_MTR'!$AN$6:$AN$1005,1))</f>
        <v>0</v>
      </c>
      <c r="AK406" s="96">
        <f>IF(Z406=0,0,COUNTIFS('RECEBIMENTOS'!$B$6:$B$1005,A406,'RECEBIMENTOS'!$Y$6:$Y$1005,1))</f>
        <v>0</v>
      </c>
      <c r="AL406" s="96">
        <f>IF(Z406=0,0,COUNTIFS('VÍNCULOS_CDF'!$D$6:$D$1005,A406,'VÍNCULOS_CDF'!$Y$6:$Y$1005,1))</f>
        <v>0</v>
      </c>
      <c r="AM406" s="96">
        <f>IF(Z406=0,0,COUNTIFS('RECEBIMENTOS'!$B$6:$B$1005,A406,'RECEBIMENTOS'!$Q$6:$Q$1005,1))</f>
        <v>0</v>
      </c>
      <c r="AN406" s="96">
        <f>IF(AND(Z406=1,N(W406)&gt;0,AG406=N(W406)),1,0)</f>
        <v>0</v>
      </c>
      <c r="AO406" s="96">
        <f>IF(AND(Z406=1,N(W406)&gt;0,AI406=N(W406)),1,0)</f>
        <v>0</v>
      </c>
      <c r="AP406" s="97">
        <f>IF(Z406=0,0,_xlfn.MAXIFS('RECEBIMENTOS'!$E$6:$E$1005,'RECEBIMENTOS'!$B$6:$B$1005,A406))</f>
        <v>0</v>
      </c>
      <c r="AQ406" s="97" t="str">
        <f>IF(T406="","",IF(T406="RECEBIMENTO NÃO CONFIRMADO",IF(ISNUMBER(F406),F406,IF(ISNUMBER(E406),E406,"")),IF(OR(T406="CDF NÃO LOCALIZADO",T406="VÍNCULO INCOMPLETO",T406="CDF A CONFERIR"),IF(AP406&gt;0,AP406,IF(ISNUMBER(E406),E406,"")),IF(ISNUMBER(E406),E406,""))))</f>
        <v/>
      </c>
      <c r="AR406" s="96">
        <f>IF(NOT(ISNUMBER(U406)),0,IF(T406="RECEBIMENTO NÃO CONFIRMADO",IF(AND(ISNUMBER(cfg_rec),U406&gt;cfg_rec),1,0),IF(OR(T406="CDF NÃO LOCALIZADO",T406="VÍNCULO INCOMPLETO",T406="CDF A CONFERIR"),IF(AND(ISNUMBER(cfg_cdf),U406&gt;cfg_cdf),1,0),0)))</f>
        <v>0</v>
      </c>
      <c r="AS406" s="96" t="str">
        <f>IF(T406="","",IF(AR406=1,"Alta",IFERROR(INDEX(cfg_pp,MATCH(T406,cfg_pt,0))&amp;"","Média")))</f>
        <v/>
      </c>
      <c r="AT406" s="96" t="str">
        <f>IF(T406="","",IFERROR(INDEX(cfg_pv,MATCH(T406,cfg_pt,0))&amp;"",""))</f>
        <v/>
      </c>
      <c r="AU406" s="96" t="str">
        <f>IF(T406="","",IF(AS406="Alta",1,IF(AS406="Média",2,3))*1000000000+(999999-IF(ISNUMBER(U406),MIN(U406,999999),0))*1000+401)</f>
        <v/>
      </c>
      <c r="AV406" s="96">
        <f>IF(T406&lt;&gt;"",1,0)</f>
        <v>0</v>
      </c>
      <c r="AW406" s="96" t="str">
        <f>IF(Z406=0,"",IF(AA406=1,"Cancelamento informado; ","")&amp;IF(AE406=1,"Campos essenciais ou itens faltando; ","")&amp;IF(AC406=1,"Possível duplicidade do número; ","")&amp;IF(AD406=1,"Cadastro ou datas a revisar; ","")&amp;IF(AF406&gt;0,"Item de resíduo com dado a revisar; ","")&amp;IF(AH406&gt;0,"Diferença de quantidade a analisar; ","")&amp;IF(AK406&gt;0,"Recebimento com alerta; ","")&amp;IF(AL406&gt;0,"Vínculo de CDF com alerta; ","")&amp;IF(AND(AA406=0,AN406=0),"Recebimento não confirmado; ","")&amp;IF(AND(AA406=0,AN406=1,AO406=0),"CDF pendente ou a conferir; ",""))</f>
        <v/>
      </c>
      <c r="AX406" s="96">
        <f>IF(Z406=0,0,IF(AND(OR(f_ini="",AND(ISNUMBER(E406),E406&gt;=f_ini)),OR(f_fim="",AND(ISNUMBER(E406),E406&lt;=f_fim)),OR(f_un="",f_un="(Todas)",G406=f_un),OR(f_tr="",f_tr="(Todos)",H406=f_tr),OR(f_de="",f_de="(Todos)",I406=f_de),OR(f_sit="",f_sit="(Todas)",S406=f_sit)),1,0))</f>
        <v>0</v>
      </c>
      <c r="AY406" s="96">
        <f>IF(AX406=0,0,IF(OR(f_res="",f_res="(Todos)"),1,IF(COUNTIFS('ITENS_MTR'!$S$6:$S$1005,A406,'ITENS_MTR'!$C$6:$C$1005,f_res)&gt;0,1,0)))</f>
        <v>0</v>
      </c>
      <c r="AZ406" s="97" t="str">
        <f>IF(ISNUMBER(E406),DATE(YEAR(E406),MONTH(E406),1),"")</f>
        <v/>
      </c>
      <c r="BA406" s="96">
        <f>IF(Z406=0,0,IF(AND(OR(r_ini="",AND(ISNUMBER(E406),E406&gt;=r_ini)),OR(r_fim="",AND(ISNUMBER(E406),E406&lt;=r_fim)),OR(r_un="",r_un="(Todas)",G406=r_un),OR(r_de="",r_de="(Todos)",I406=r_de)),1,0))</f>
        <v>0</v>
      </c>
      <c r="BB406" s="96" t="str">
        <f>IF(BA406=1,COUNTIF($BA$6:BA406,1),"")</f>
        <v/>
      </c>
      <c r="BC406" s="96" t="str">
        <f>IF(AND(AU406&lt;&gt;"",OR(r_un="",r_un="(Todas)",G406=r_un),OR(r_de="",r_de="(Todos)",I406=r_de)),AU406,"")</f>
        <v/>
      </c>
      <c r="BD406" s="96" t="str">
        <f>IF(Z406=1,A406&amp;" | nº "&amp;IF(B406="","(sem número)",B406)&amp;" | "&amp;IF(G406="","(sem unidade)",G406),"")</f>
        <v/>
      </c>
      <c r="BE406" s="96" t="str">
        <f>IF(Z406=1,COUNTIF($Z$6:Z406,1),"")</f>
        <v/>
      </c>
      <c r="BF406" s="96" t="str">
        <f>IF(T406="","",IF(T406="RECEBIMENTO NÃO CONFIRMADO","Transp.: "&amp;H406&amp;" | Dest.: "&amp;I406,IF(OR(T406="CDF NÃO LOCALIZADO",T406="VÍNCULO INCOMPLETO",T406="CDF A CONFERIR"),"Dest.: "&amp;I406,"Gerador: "&amp;G406)))</f>
        <v/>
      </c>
    </row>
    <row r="407">
      <c r="A407" s="89" t="inlineStr">
        <is>
          <t>MTR-000402</t>
        </is>
      </c>
      <c r="B407" s="90" t="n"/>
      <c r="C407" s="91" t="n"/>
      <c r="D407" s="91" t="n"/>
      <c r="E407" s="92" t="n"/>
      <c r="F407" s="92" t="n"/>
      <c r="G407" s="91" t="n"/>
      <c r="H407" s="91" t="n"/>
      <c r="I407" s="91" t="n"/>
      <c r="J407" s="91" t="n"/>
      <c r="K407" s="91" t="n"/>
      <c r="L407" s="92" t="n"/>
      <c r="M407" s="91" t="n"/>
      <c r="N407" s="91" t="n"/>
      <c r="O407" s="91" t="n"/>
      <c r="P407" s="93" t="str">
        <f>IF(Z407=0,"",SUMIFS('ITENS_MTR'!$I$6:$I$1005,'ITENS_MTR'!$S$6:$S$1005,A407,'ITENS_MTR'!$Y$6:$Y$1005,1))</f>
        <v/>
      </c>
      <c r="Q407" s="93" t="str">
        <f>IF(Z407=0,"",SUMIFS('RECEBIMENTOS'!$H$6:$H$1005,'RECEBIMENTOS'!$B$6:$B$1005,A407,'RECEBIMENTOS'!$X$6:$X$1005,1))</f>
        <v/>
      </c>
      <c r="R407" s="93" t="str">
        <f>IF(Z407=0,"",SUMIFS('VÍNCULOS_CDF'!$H$6:$H$1005,'VÍNCULOS_CDF'!$D$6:$D$1005,A407,'VÍNCULOS_CDF'!$V$6:$V$1005,1))</f>
        <v/>
      </c>
      <c r="S407" s="94" t="str">
        <f>IF(Z407=0,"",IF(AA407=1,"Cancelado (informado)",IF(AE407=1,"Cadastro incompleto",IF(OR(AC407=1,AD407=1,AF407&gt;0,AH407&gt;0,AK407&gt;0,AL407&gt;0),"Informação a revisar",IF(AN407=0,"Aguardando recebimento",IF(N(R407)=0,"Aguardando CDF",IF(AJ407&lt;N(W407),"Vínculo de CDF parcial",IF(AO407=0,"CDF localizado, a conferir","Documentação conferida"))))))))</f>
        <v/>
      </c>
      <c r="T407" s="94" t="str">
        <f>IF(Z407=0,"",IF(S407="Cadastro incompleto","MTR INCOMPLETO",IF(S407="Informação a revisar",IF(AND(AH407&gt;0,AC407=0,AD407=0,AF407=0,AK407=0,AL407=0),"QUANTIDADE A REVISAR","IDENTIFICAÇÃO A REVISAR"),IF(S407="Aguardando recebimento","RECEBIMENTO NÃO CONFIRMADO",IF(S407="Aguardando CDF","CDF NÃO LOCALIZADO",IF(S407="Vínculo de CDF parcial","VÍNCULO INCOMPLETO",IF(S407="CDF localizado, a conferir","CDF A CONFERIR","")))))))</f>
        <v/>
      </c>
      <c r="U407" s="95" t="str">
        <f>IF(T407="","",IF(AQ407="","Não calculável",IF(AQ407&gt;TODAY(),"Data futura",TODAY()-AQ407)))</f>
        <v/>
      </c>
      <c r="V407" s="93" t="str">
        <f>IF(Z407=0,"",SUMIFS('RECEBIMENTOS'!$H$6:$H$1005,'RECEBIMENTOS'!$B$6:$B$1005,A407,'RECEBIMENTOS'!$Z$6:$Z$1005,1))</f>
        <v/>
      </c>
      <c r="W407" s="95" t="str">
        <f>IF(Z407=0,"",COUNTIFS('ITENS_MTR'!$S$6:$S$1005,A407,'ITENS_MTR'!$R$6:$R$1005,1))</f>
        <v/>
      </c>
      <c r="X407" s="94" t="str">
        <f>IF(AC407=1,"POSSÍVEL DUPLICIDADE","")</f>
        <v/>
      </c>
      <c r="Y407" s="94" t="str">
        <f>IF(Z407=0,"",IF(AW407="","Nenhuma",LEFT(AW407,LEN(AW407)-2)))</f>
        <v/>
      </c>
      <c r="Z407" s="96">
        <f>IF(COUNTA(B407:O407)&gt;0,1,0)</f>
        <v>0</v>
      </c>
      <c r="AA407" s="96">
        <f>IF(AND(Z407=1,K407&lt;&gt;""),IF(TRIM(K407)=TRIM(cfg_cancel),1,0),0)</f>
        <v>0</v>
      </c>
      <c r="AB407" s="96" t="str">
        <f>IF(AND(Z407=1,B407&lt;&gt;""),C407&amp;"|"&amp;D407&amp;"|"&amp;G407&amp;"|"&amp;TRIM(B407),"")</f>
        <v/>
      </c>
      <c r="AC407" s="96">
        <f>IF(AB407="",0,IF(SUMPRODUCT(--($AB$6:$AB$505=AB407))&gt;1,1,0))</f>
        <v>0</v>
      </c>
      <c r="AD407" s="96">
        <f>IF(Z407=0,0,IF(OR(AND(G407&lt;&gt;"",ISNA(MATCH(G407,'CAD_UNIDADES'!$C$6:$C$105,0))),AND(H407&lt;&gt;"",ISNA(MATCH(H407,cmp_transp,0))),AND(I407&lt;&gt;"",ISNA(MATCH(I407,cmp_dest,0))),AND(E407&lt;&gt;"",NOT(ISNUMBER(E407))),AND(F407&lt;&gt;"",NOT(ISNUMBER(F407))),AND(ISNUMBER(E407),ISNUMBER(F407),F407&lt;E407)),1,0))</f>
        <v>0</v>
      </c>
      <c r="AE407" s="96">
        <f>IF(Z407=0,0,IF(OR(B407="",C407="",E407="",G407="",H407="",I407="",N(W407)=0),1,0))</f>
        <v>0</v>
      </c>
      <c r="AF407" s="96">
        <f>IF(Z407=0,0,COUNTIFS('ITENS_MTR'!$S$6:$S$1005,A407,'ITENS_MTR'!$AI$6:$AI$1005,1))</f>
        <v>0</v>
      </c>
      <c r="AG407" s="96">
        <f>IF(Z407=0,0,COUNTIFS('ITENS_MTR'!$S$6:$S$1005,A407,'ITENS_MTR'!$AJ$6:$AJ$1005,1))</f>
        <v>0</v>
      </c>
      <c r="AH407" s="96">
        <f>IF(Z407=0,0,COUNTIFS('ITENS_MTR'!$S$6:$S$1005,A407,'ITENS_MTR'!$AM$6:$AM$1005,1))</f>
        <v>0</v>
      </c>
      <c r="AI407" s="96">
        <f>IF(Z407=0,0,COUNTIFS('ITENS_MTR'!$S$6:$S$1005,A407,'ITENS_MTR'!$AO$6:$AO$1005,1))</f>
        <v>0</v>
      </c>
      <c r="AJ407" s="96">
        <f>IF(Z407=0,0,COUNTIFS('ITENS_MTR'!$S$6:$S$1005,A407,'ITENS_MTR'!$AN$6:$AN$1005,1))</f>
        <v>0</v>
      </c>
      <c r="AK407" s="96">
        <f>IF(Z407=0,0,COUNTIFS('RECEBIMENTOS'!$B$6:$B$1005,A407,'RECEBIMENTOS'!$Y$6:$Y$1005,1))</f>
        <v>0</v>
      </c>
      <c r="AL407" s="96">
        <f>IF(Z407=0,0,COUNTIFS('VÍNCULOS_CDF'!$D$6:$D$1005,A407,'VÍNCULOS_CDF'!$Y$6:$Y$1005,1))</f>
        <v>0</v>
      </c>
      <c r="AM407" s="96">
        <f>IF(Z407=0,0,COUNTIFS('RECEBIMENTOS'!$B$6:$B$1005,A407,'RECEBIMENTOS'!$Q$6:$Q$1005,1))</f>
        <v>0</v>
      </c>
      <c r="AN407" s="96">
        <f>IF(AND(Z407=1,N(W407)&gt;0,AG407=N(W407)),1,0)</f>
        <v>0</v>
      </c>
      <c r="AO407" s="96">
        <f>IF(AND(Z407=1,N(W407)&gt;0,AI407=N(W407)),1,0)</f>
        <v>0</v>
      </c>
      <c r="AP407" s="97">
        <f>IF(Z407=0,0,_xlfn.MAXIFS('RECEBIMENTOS'!$E$6:$E$1005,'RECEBIMENTOS'!$B$6:$B$1005,A407))</f>
        <v>0</v>
      </c>
      <c r="AQ407" s="97" t="str">
        <f>IF(T407="","",IF(T407="RECEBIMENTO NÃO CONFIRMADO",IF(ISNUMBER(F407),F407,IF(ISNUMBER(E407),E407,"")),IF(OR(T407="CDF NÃO LOCALIZADO",T407="VÍNCULO INCOMPLETO",T407="CDF A CONFERIR"),IF(AP407&gt;0,AP407,IF(ISNUMBER(E407),E407,"")),IF(ISNUMBER(E407),E407,""))))</f>
        <v/>
      </c>
      <c r="AR407" s="96">
        <f>IF(NOT(ISNUMBER(U407)),0,IF(T407="RECEBIMENTO NÃO CONFIRMADO",IF(AND(ISNUMBER(cfg_rec),U407&gt;cfg_rec),1,0),IF(OR(T407="CDF NÃO LOCALIZADO",T407="VÍNCULO INCOMPLETO",T407="CDF A CONFERIR"),IF(AND(ISNUMBER(cfg_cdf),U407&gt;cfg_cdf),1,0),0)))</f>
        <v>0</v>
      </c>
      <c r="AS407" s="96" t="str">
        <f>IF(T407="","",IF(AR407=1,"Alta",IFERROR(INDEX(cfg_pp,MATCH(T407,cfg_pt,0))&amp;"","Média")))</f>
        <v/>
      </c>
      <c r="AT407" s="96" t="str">
        <f>IF(T407="","",IFERROR(INDEX(cfg_pv,MATCH(T407,cfg_pt,0))&amp;"",""))</f>
        <v/>
      </c>
      <c r="AU407" s="96" t="str">
        <f>IF(T407="","",IF(AS407="Alta",1,IF(AS407="Média",2,3))*1000000000+(999999-IF(ISNUMBER(U407),MIN(U407,999999),0))*1000+402)</f>
        <v/>
      </c>
      <c r="AV407" s="96">
        <f>IF(T407&lt;&gt;"",1,0)</f>
        <v>0</v>
      </c>
      <c r="AW407" s="96" t="str">
        <f>IF(Z407=0,"",IF(AA407=1,"Cancelamento informado; ","")&amp;IF(AE407=1,"Campos essenciais ou itens faltando; ","")&amp;IF(AC407=1,"Possível duplicidade do número; ","")&amp;IF(AD407=1,"Cadastro ou datas a revisar; ","")&amp;IF(AF407&gt;0,"Item de resíduo com dado a revisar; ","")&amp;IF(AH407&gt;0,"Diferença de quantidade a analisar; ","")&amp;IF(AK407&gt;0,"Recebimento com alerta; ","")&amp;IF(AL407&gt;0,"Vínculo de CDF com alerta; ","")&amp;IF(AND(AA407=0,AN407=0),"Recebimento não confirmado; ","")&amp;IF(AND(AA407=0,AN407=1,AO407=0),"CDF pendente ou a conferir; ",""))</f>
        <v/>
      </c>
      <c r="AX407" s="96">
        <f>IF(Z407=0,0,IF(AND(OR(f_ini="",AND(ISNUMBER(E407),E407&gt;=f_ini)),OR(f_fim="",AND(ISNUMBER(E407),E407&lt;=f_fim)),OR(f_un="",f_un="(Todas)",G407=f_un),OR(f_tr="",f_tr="(Todos)",H407=f_tr),OR(f_de="",f_de="(Todos)",I407=f_de),OR(f_sit="",f_sit="(Todas)",S407=f_sit)),1,0))</f>
        <v>0</v>
      </c>
      <c r="AY407" s="96">
        <f>IF(AX407=0,0,IF(OR(f_res="",f_res="(Todos)"),1,IF(COUNTIFS('ITENS_MTR'!$S$6:$S$1005,A407,'ITENS_MTR'!$C$6:$C$1005,f_res)&gt;0,1,0)))</f>
        <v>0</v>
      </c>
      <c r="AZ407" s="97" t="str">
        <f>IF(ISNUMBER(E407),DATE(YEAR(E407),MONTH(E407),1),"")</f>
        <v/>
      </c>
      <c r="BA407" s="96">
        <f>IF(Z407=0,0,IF(AND(OR(r_ini="",AND(ISNUMBER(E407),E407&gt;=r_ini)),OR(r_fim="",AND(ISNUMBER(E407),E407&lt;=r_fim)),OR(r_un="",r_un="(Todas)",G407=r_un),OR(r_de="",r_de="(Todos)",I407=r_de)),1,0))</f>
        <v>0</v>
      </c>
      <c r="BB407" s="96" t="str">
        <f>IF(BA407=1,COUNTIF($BA$6:BA407,1),"")</f>
        <v/>
      </c>
      <c r="BC407" s="96" t="str">
        <f>IF(AND(AU407&lt;&gt;"",OR(r_un="",r_un="(Todas)",G407=r_un),OR(r_de="",r_de="(Todos)",I407=r_de)),AU407,"")</f>
        <v/>
      </c>
      <c r="BD407" s="96" t="str">
        <f>IF(Z407=1,A407&amp;" | nº "&amp;IF(B407="","(sem número)",B407)&amp;" | "&amp;IF(G407="","(sem unidade)",G407),"")</f>
        <v/>
      </c>
      <c r="BE407" s="96" t="str">
        <f>IF(Z407=1,COUNTIF($Z$6:Z407,1),"")</f>
        <v/>
      </c>
      <c r="BF407" s="96" t="str">
        <f>IF(T407="","",IF(T407="RECEBIMENTO NÃO CONFIRMADO","Transp.: "&amp;H407&amp;" | Dest.: "&amp;I407,IF(OR(T407="CDF NÃO LOCALIZADO",T407="VÍNCULO INCOMPLETO",T407="CDF A CONFERIR"),"Dest.: "&amp;I407,"Gerador: "&amp;G407)))</f>
        <v/>
      </c>
    </row>
    <row r="408">
      <c r="A408" s="89" t="inlineStr">
        <is>
          <t>MTR-000403</t>
        </is>
      </c>
      <c r="B408" s="90" t="n"/>
      <c r="C408" s="91" t="n"/>
      <c r="D408" s="91" t="n"/>
      <c r="E408" s="92" t="n"/>
      <c r="F408" s="92" t="n"/>
      <c r="G408" s="91" t="n"/>
      <c r="H408" s="91" t="n"/>
      <c r="I408" s="91" t="n"/>
      <c r="J408" s="91" t="n"/>
      <c r="K408" s="91" t="n"/>
      <c r="L408" s="92" t="n"/>
      <c r="M408" s="91" t="n"/>
      <c r="N408" s="91" t="n"/>
      <c r="O408" s="91" t="n"/>
      <c r="P408" s="93" t="str">
        <f>IF(Z408=0,"",SUMIFS('ITENS_MTR'!$I$6:$I$1005,'ITENS_MTR'!$S$6:$S$1005,A408,'ITENS_MTR'!$Y$6:$Y$1005,1))</f>
        <v/>
      </c>
      <c r="Q408" s="93" t="str">
        <f>IF(Z408=0,"",SUMIFS('RECEBIMENTOS'!$H$6:$H$1005,'RECEBIMENTOS'!$B$6:$B$1005,A408,'RECEBIMENTOS'!$X$6:$X$1005,1))</f>
        <v/>
      </c>
      <c r="R408" s="93" t="str">
        <f>IF(Z408=0,"",SUMIFS('VÍNCULOS_CDF'!$H$6:$H$1005,'VÍNCULOS_CDF'!$D$6:$D$1005,A408,'VÍNCULOS_CDF'!$V$6:$V$1005,1))</f>
        <v/>
      </c>
      <c r="S408" s="94" t="str">
        <f>IF(Z408=0,"",IF(AA408=1,"Cancelado (informado)",IF(AE408=1,"Cadastro incompleto",IF(OR(AC408=1,AD408=1,AF408&gt;0,AH408&gt;0,AK408&gt;0,AL408&gt;0),"Informação a revisar",IF(AN408=0,"Aguardando recebimento",IF(N(R408)=0,"Aguardando CDF",IF(AJ408&lt;N(W408),"Vínculo de CDF parcial",IF(AO408=0,"CDF localizado, a conferir","Documentação conferida"))))))))</f>
        <v/>
      </c>
      <c r="T408" s="94" t="str">
        <f>IF(Z408=0,"",IF(S408="Cadastro incompleto","MTR INCOMPLETO",IF(S408="Informação a revisar",IF(AND(AH408&gt;0,AC408=0,AD408=0,AF408=0,AK408=0,AL408=0),"QUANTIDADE A REVISAR","IDENTIFICAÇÃO A REVISAR"),IF(S408="Aguardando recebimento","RECEBIMENTO NÃO CONFIRMADO",IF(S408="Aguardando CDF","CDF NÃO LOCALIZADO",IF(S408="Vínculo de CDF parcial","VÍNCULO INCOMPLETO",IF(S408="CDF localizado, a conferir","CDF A CONFERIR","")))))))</f>
        <v/>
      </c>
      <c r="U408" s="95" t="str">
        <f>IF(T408="","",IF(AQ408="","Não calculável",IF(AQ408&gt;TODAY(),"Data futura",TODAY()-AQ408)))</f>
        <v/>
      </c>
      <c r="V408" s="93" t="str">
        <f>IF(Z408=0,"",SUMIFS('RECEBIMENTOS'!$H$6:$H$1005,'RECEBIMENTOS'!$B$6:$B$1005,A408,'RECEBIMENTOS'!$Z$6:$Z$1005,1))</f>
        <v/>
      </c>
      <c r="W408" s="95" t="str">
        <f>IF(Z408=0,"",COUNTIFS('ITENS_MTR'!$S$6:$S$1005,A408,'ITENS_MTR'!$R$6:$R$1005,1))</f>
        <v/>
      </c>
      <c r="X408" s="94" t="str">
        <f>IF(AC408=1,"POSSÍVEL DUPLICIDADE","")</f>
        <v/>
      </c>
      <c r="Y408" s="94" t="str">
        <f>IF(Z408=0,"",IF(AW408="","Nenhuma",LEFT(AW408,LEN(AW408)-2)))</f>
        <v/>
      </c>
      <c r="Z408" s="96">
        <f>IF(COUNTA(B408:O408)&gt;0,1,0)</f>
        <v>0</v>
      </c>
      <c r="AA408" s="96">
        <f>IF(AND(Z408=1,K408&lt;&gt;""),IF(TRIM(K408)=TRIM(cfg_cancel),1,0),0)</f>
        <v>0</v>
      </c>
      <c r="AB408" s="96" t="str">
        <f>IF(AND(Z408=1,B408&lt;&gt;""),C408&amp;"|"&amp;D408&amp;"|"&amp;G408&amp;"|"&amp;TRIM(B408),"")</f>
        <v/>
      </c>
      <c r="AC408" s="96">
        <f>IF(AB408="",0,IF(SUMPRODUCT(--($AB$6:$AB$505=AB408))&gt;1,1,0))</f>
        <v>0</v>
      </c>
      <c r="AD408" s="96">
        <f>IF(Z408=0,0,IF(OR(AND(G408&lt;&gt;"",ISNA(MATCH(G408,'CAD_UNIDADES'!$C$6:$C$105,0))),AND(H408&lt;&gt;"",ISNA(MATCH(H408,cmp_transp,0))),AND(I408&lt;&gt;"",ISNA(MATCH(I408,cmp_dest,0))),AND(E408&lt;&gt;"",NOT(ISNUMBER(E408))),AND(F408&lt;&gt;"",NOT(ISNUMBER(F408))),AND(ISNUMBER(E408),ISNUMBER(F408),F408&lt;E408)),1,0))</f>
        <v>0</v>
      </c>
      <c r="AE408" s="96">
        <f>IF(Z408=0,0,IF(OR(B408="",C408="",E408="",G408="",H408="",I408="",N(W408)=0),1,0))</f>
        <v>0</v>
      </c>
      <c r="AF408" s="96">
        <f>IF(Z408=0,0,COUNTIFS('ITENS_MTR'!$S$6:$S$1005,A408,'ITENS_MTR'!$AI$6:$AI$1005,1))</f>
        <v>0</v>
      </c>
      <c r="AG408" s="96">
        <f>IF(Z408=0,0,COUNTIFS('ITENS_MTR'!$S$6:$S$1005,A408,'ITENS_MTR'!$AJ$6:$AJ$1005,1))</f>
        <v>0</v>
      </c>
      <c r="AH408" s="96">
        <f>IF(Z408=0,0,COUNTIFS('ITENS_MTR'!$S$6:$S$1005,A408,'ITENS_MTR'!$AM$6:$AM$1005,1))</f>
        <v>0</v>
      </c>
      <c r="AI408" s="96">
        <f>IF(Z408=0,0,COUNTIFS('ITENS_MTR'!$S$6:$S$1005,A408,'ITENS_MTR'!$AO$6:$AO$1005,1))</f>
        <v>0</v>
      </c>
      <c r="AJ408" s="96">
        <f>IF(Z408=0,0,COUNTIFS('ITENS_MTR'!$S$6:$S$1005,A408,'ITENS_MTR'!$AN$6:$AN$1005,1))</f>
        <v>0</v>
      </c>
      <c r="AK408" s="96">
        <f>IF(Z408=0,0,COUNTIFS('RECEBIMENTOS'!$B$6:$B$1005,A408,'RECEBIMENTOS'!$Y$6:$Y$1005,1))</f>
        <v>0</v>
      </c>
      <c r="AL408" s="96">
        <f>IF(Z408=0,0,COUNTIFS('VÍNCULOS_CDF'!$D$6:$D$1005,A408,'VÍNCULOS_CDF'!$Y$6:$Y$1005,1))</f>
        <v>0</v>
      </c>
      <c r="AM408" s="96">
        <f>IF(Z408=0,0,COUNTIFS('RECEBIMENTOS'!$B$6:$B$1005,A408,'RECEBIMENTOS'!$Q$6:$Q$1005,1))</f>
        <v>0</v>
      </c>
      <c r="AN408" s="96">
        <f>IF(AND(Z408=1,N(W408)&gt;0,AG408=N(W408)),1,0)</f>
        <v>0</v>
      </c>
      <c r="AO408" s="96">
        <f>IF(AND(Z408=1,N(W408)&gt;0,AI408=N(W408)),1,0)</f>
        <v>0</v>
      </c>
      <c r="AP408" s="97">
        <f>IF(Z408=0,0,_xlfn.MAXIFS('RECEBIMENTOS'!$E$6:$E$1005,'RECEBIMENTOS'!$B$6:$B$1005,A408))</f>
        <v>0</v>
      </c>
      <c r="AQ408" s="97" t="str">
        <f>IF(T408="","",IF(T408="RECEBIMENTO NÃO CONFIRMADO",IF(ISNUMBER(F408),F408,IF(ISNUMBER(E408),E408,"")),IF(OR(T408="CDF NÃO LOCALIZADO",T408="VÍNCULO INCOMPLETO",T408="CDF A CONFERIR"),IF(AP408&gt;0,AP408,IF(ISNUMBER(E408),E408,"")),IF(ISNUMBER(E408),E408,""))))</f>
        <v/>
      </c>
      <c r="AR408" s="96">
        <f>IF(NOT(ISNUMBER(U408)),0,IF(T408="RECEBIMENTO NÃO CONFIRMADO",IF(AND(ISNUMBER(cfg_rec),U408&gt;cfg_rec),1,0),IF(OR(T408="CDF NÃO LOCALIZADO",T408="VÍNCULO INCOMPLETO",T408="CDF A CONFERIR"),IF(AND(ISNUMBER(cfg_cdf),U408&gt;cfg_cdf),1,0),0)))</f>
        <v>0</v>
      </c>
      <c r="AS408" s="96" t="str">
        <f>IF(T408="","",IF(AR408=1,"Alta",IFERROR(INDEX(cfg_pp,MATCH(T408,cfg_pt,0))&amp;"","Média")))</f>
        <v/>
      </c>
      <c r="AT408" s="96" t="str">
        <f>IF(T408="","",IFERROR(INDEX(cfg_pv,MATCH(T408,cfg_pt,0))&amp;"",""))</f>
        <v/>
      </c>
      <c r="AU408" s="96" t="str">
        <f>IF(T408="","",IF(AS408="Alta",1,IF(AS408="Média",2,3))*1000000000+(999999-IF(ISNUMBER(U408),MIN(U408,999999),0))*1000+403)</f>
        <v/>
      </c>
      <c r="AV408" s="96">
        <f>IF(T408&lt;&gt;"",1,0)</f>
        <v>0</v>
      </c>
      <c r="AW408" s="96" t="str">
        <f>IF(Z408=0,"",IF(AA408=1,"Cancelamento informado; ","")&amp;IF(AE408=1,"Campos essenciais ou itens faltando; ","")&amp;IF(AC408=1,"Possível duplicidade do número; ","")&amp;IF(AD408=1,"Cadastro ou datas a revisar; ","")&amp;IF(AF408&gt;0,"Item de resíduo com dado a revisar; ","")&amp;IF(AH408&gt;0,"Diferença de quantidade a analisar; ","")&amp;IF(AK408&gt;0,"Recebimento com alerta; ","")&amp;IF(AL408&gt;0,"Vínculo de CDF com alerta; ","")&amp;IF(AND(AA408=0,AN408=0),"Recebimento não confirmado; ","")&amp;IF(AND(AA408=0,AN408=1,AO408=0),"CDF pendente ou a conferir; ",""))</f>
        <v/>
      </c>
      <c r="AX408" s="96">
        <f>IF(Z408=0,0,IF(AND(OR(f_ini="",AND(ISNUMBER(E408),E408&gt;=f_ini)),OR(f_fim="",AND(ISNUMBER(E408),E408&lt;=f_fim)),OR(f_un="",f_un="(Todas)",G408=f_un),OR(f_tr="",f_tr="(Todos)",H408=f_tr),OR(f_de="",f_de="(Todos)",I408=f_de),OR(f_sit="",f_sit="(Todas)",S408=f_sit)),1,0))</f>
        <v>0</v>
      </c>
      <c r="AY408" s="96">
        <f>IF(AX408=0,0,IF(OR(f_res="",f_res="(Todos)"),1,IF(COUNTIFS('ITENS_MTR'!$S$6:$S$1005,A408,'ITENS_MTR'!$C$6:$C$1005,f_res)&gt;0,1,0)))</f>
        <v>0</v>
      </c>
      <c r="AZ408" s="97" t="str">
        <f>IF(ISNUMBER(E408),DATE(YEAR(E408),MONTH(E408),1),"")</f>
        <v/>
      </c>
      <c r="BA408" s="96">
        <f>IF(Z408=0,0,IF(AND(OR(r_ini="",AND(ISNUMBER(E408),E408&gt;=r_ini)),OR(r_fim="",AND(ISNUMBER(E408),E408&lt;=r_fim)),OR(r_un="",r_un="(Todas)",G408=r_un),OR(r_de="",r_de="(Todos)",I408=r_de)),1,0))</f>
        <v>0</v>
      </c>
      <c r="BB408" s="96" t="str">
        <f>IF(BA408=1,COUNTIF($BA$6:BA408,1),"")</f>
        <v/>
      </c>
      <c r="BC408" s="96" t="str">
        <f>IF(AND(AU408&lt;&gt;"",OR(r_un="",r_un="(Todas)",G408=r_un),OR(r_de="",r_de="(Todos)",I408=r_de)),AU408,"")</f>
        <v/>
      </c>
      <c r="BD408" s="96" t="str">
        <f>IF(Z408=1,A408&amp;" | nº "&amp;IF(B408="","(sem número)",B408)&amp;" | "&amp;IF(G408="","(sem unidade)",G408),"")</f>
        <v/>
      </c>
      <c r="BE408" s="96" t="str">
        <f>IF(Z408=1,COUNTIF($Z$6:Z408,1),"")</f>
        <v/>
      </c>
      <c r="BF408" s="96" t="str">
        <f>IF(T408="","",IF(T408="RECEBIMENTO NÃO CONFIRMADO","Transp.: "&amp;H408&amp;" | Dest.: "&amp;I408,IF(OR(T408="CDF NÃO LOCALIZADO",T408="VÍNCULO INCOMPLETO",T408="CDF A CONFERIR"),"Dest.: "&amp;I408,"Gerador: "&amp;G408)))</f>
        <v/>
      </c>
    </row>
    <row r="409">
      <c r="A409" s="89" t="inlineStr">
        <is>
          <t>MTR-000404</t>
        </is>
      </c>
      <c r="B409" s="90" t="n"/>
      <c r="C409" s="91" t="n"/>
      <c r="D409" s="91" t="n"/>
      <c r="E409" s="92" t="n"/>
      <c r="F409" s="92" t="n"/>
      <c r="G409" s="91" t="n"/>
      <c r="H409" s="91" t="n"/>
      <c r="I409" s="91" t="n"/>
      <c r="J409" s="91" t="n"/>
      <c r="K409" s="91" t="n"/>
      <c r="L409" s="92" t="n"/>
      <c r="M409" s="91" t="n"/>
      <c r="N409" s="91" t="n"/>
      <c r="O409" s="91" t="n"/>
      <c r="P409" s="93" t="str">
        <f>IF(Z409=0,"",SUMIFS('ITENS_MTR'!$I$6:$I$1005,'ITENS_MTR'!$S$6:$S$1005,A409,'ITENS_MTR'!$Y$6:$Y$1005,1))</f>
        <v/>
      </c>
      <c r="Q409" s="93" t="str">
        <f>IF(Z409=0,"",SUMIFS('RECEBIMENTOS'!$H$6:$H$1005,'RECEBIMENTOS'!$B$6:$B$1005,A409,'RECEBIMENTOS'!$X$6:$X$1005,1))</f>
        <v/>
      </c>
      <c r="R409" s="93" t="str">
        <f>IF(Z409=0,"",SUMIFS('VÍNCULOS_CDF'!$H$6:$H$1005,'VÍNCULOS_CDF'!$D$6:$D$1005,A409,'VÍNCULOS_CDF'!$V$6:$V$1005,1))</f>
        <v/>
      </c>
      <c r="S409" s="94" t="str">
        <f>IF(Z409=0,"",IF(AA409=1,"Cancelado (informado)",IF(AE409=1,"Cadastro incompleto",IF(OR(AC409=1,AD409=1,AF409&gt;0,AH409&gt;0,AK409&gt;0,AL409&gt;0),"Informação a revisar",IF(AN409=0,"Aguardando recebimento",IF(N(R409)=0,"Aguardando CDF",IF(AJ409&lt;N(W409),"Vínculo de CDF parcial",IF(AO409=0,"CDF localizado, a conferir","Documentação conferida"))))))))</f>
        <v/>
      </c>
      <c r="T409" s="94" t="str">
        <f>IF(Z409=0,"",IF(S409="Cadastro incompleto","MTR INCOMPLETO",IF(S409="Informação a revisar",IF(AND(AH409&gt;0,AC409=0,AD409=0,AF409=0,AK409=0,AL409=0),"QUANTIDADE A REVISAR","IDENTIFICAÇÃO A REVISAR"),IF(S409="Aguardando recebimento","RECEBIMENTO NÃO CONFIRMADO",IF(S409="Aguardando CDF","CDF NÃO LOCALIZADO",IF(S409="Vínculo de CDF parcial","VÍNCULO INCOMPLETO",IF(S409="CDF localizado, a conferir","CDF A CONFERIR","")))))))</f>
        <v/>
      </c>
      <c r="U409" s="95" t="str">
        <f>IF(T409="","",IF(AQ409="","Não calculável",IF(AQ409&gt;TODAY(),"Data futura",TODAY()-AQ409)))</f>
        <v/>
      </c>
      <c r="V409" s="93" t="str">
        <f>IF(Z409=0,"",SUMIFS('RECEBIMENTOS'!$H$6:$H$1005,'RECEBIMENTOS'!$B$6:$B$1005,A409,'RECEBIMENTOS'!$Z$6:$Z$1005,1))</f>
        <v/>
      </c>
      <c r="W409" s="95" t="str">
        <f>IF(Z409=0,"",COUNTIFS('ITENS_MTR'!$S$6:$S$1005,A409,'ITENS_MTR'!$R$6:$R$1005,1))</f>
        <v/>
      </c>
      <c r="X409" s="94" t="str">
        <f>IF(AC409=1,"POSSÍVEL DUPLICIDADE","")</f>
        <v/>
      </c>
      <c r="Y409" s="94" t="str">
        <f>IF(Z409=0,"",IF(AW409="","Nenhuma",LEFT(AW409,LEN(AW409)-2)))</f>
        <v/>
      </c>
      <c r="Z409" s="96">
        <f>IF(COUNTA(B409:O409)&gt;0,1,0)</f>
        <v>0</v>
      </c>
      <c r="AA409" s="96">
        <f>IF(AND(Z409=1,K409&lt;&gt;""),IF(TRIM(K409)=TRIM(cfg_cancel),1,0),0)</f>
        <v>0</v>
      </c>
      <c r="AB409" s="96" t="str">
        <f>IF(AND(Z409=1,B409&lt;&gt;""),C409&amp;"|"&amp;D409&amp;"|"&amp;G409&amp;"|"&amp;TRIM(B409),"")</f>
        <v/>
      </c>
      <c r="AC409" s="96">
        <f>IF(AB409="",0,IF(SUMPRODUCT(--($AB$6:$AB$505=AB409))&gt;1,1,0))</f>
        <v>0</v>
      </c>
      <c r="AD409" s="96">
        <f>IF(Z409=0,0,IF(OR(AND(G409&lt;&gt;"",ISNA(MATCH(G409,'CAD_UNIDADES'!$C$6:$C$105,0))),AND(H409&lt;&gt;"",ISNA(MATCH(H409,cmp_transp,0))),AND(I409&lt;&gt;"",ISNA(MATCH(I409,cmp_dest,0))),AND(E409&lt;&gt;"",NOT(ISNUMBER(E409))),AND(F409&lt;&gt;"",NOT(ISNUMBER(F409))),AND(ISNUMBER(E409),ISNUMBER(F409),F409&lt;E409)),1,0))</f>
        <v>0</v>
      </c>
      <c r="AE409" s="96">
        <f>IF(Z409=0,0,IF(OR(B409="",C409="",E409="",G409="",H409="",I409="",N(W409)=0),1,0))</f>
        <v>0</v>
      </c>
      <c r="AF409" s="96">
        <f>IF(Z409=0,0,COUNTIFS('ITENS_MTR'!$S$6:$S$1005,A409,'ITENS_MTR'!$AI$6:$AI$1005,1))</f>
        <v>0</v>
      </c>
      <c r="AG409" s="96">
        <f>IF(Z409=0,0,COUNTIFS('ITENS_MTR'!$S$6:$S$1005,A409,'ITENS_MTR'!$AJ$6:$AJ$1005,1))</f>
        <v>0</v>
      </c>
      <c r="AH409" s="96">
        <f>IF(Z409=0,0,COUNTIFS('ITENS_MTR'!$S$6:$S$1005,A409,'ITENS_MTR'!$AM$6:$AM$1005,1))</f>
        <v>0</v>
      </c>
      <c r="AI409" s="96">
        <f>IF(Z409=0,0,COUNTIFS('ITENS_MTR'!$S$6:$S$1005,A409,'ITENS_MTR'!$AO$6:$AO$1005,1))</f>
        <v>0</v>
      </c>
      <c r="AJ409" s="96">
        <f>IF(Z409=0,0,COUNTIFS('ITENS_MTR'!$S$6:$S$1005,A409,'ITENS_MTR'!$AN$6:$AN$1005,1))</f>
        <v>0</v>
      </c>
      <c r="AK409" s="96">
        <f>IF(Z409=0,0,COUNTIFS('RECEBIMENTOS'!$B$6:$B$1005,A409,'RECEBIMENTOS'!$Y$6:$Y$1005,1))</f>
        <v>0</v>
      </c>
      <c r="AL409" s="96">
        <f>IF(Z409=0,0,COUNTIFS('VÍNCULOS_CDF'!$D$6:$D$1005,A409,'VÍNCULOS_CDF'!$Y$6:$Y$1005,1))</f>
        <v>0</v>
      </c>
      <c r="AM409" s="96">
        <f>IF(Z409=0,0,COUNTIFS('RECEBIMENTOS'!$B$6:$B$1005,A409,'RECEBIMENTOS'!$Q$6:$Q$1005,1))</f>
        <v>0</v>
      </c>
      <c r="AN409" s="96">
        <f>IF(AND(Z409=1,N(W409)&gt;0,AG409=N(W409)),1,0)</f>
        <v>0</v>
      </c>
      <c r="AO409" s="96">
        <f>IF(AND(Z409=1,N(W409)&gt;0,AI409=N(W409)),1,0)</f>
        <v>0</v>
      </c>
      <c r="AP409" s="97">
        <f>IF(Z409=0,0,_xlfn.MAXIFS('RECEBIMENTOS'!$E$6:$E$1005,'RECEBIMENTOS'!$B$6:$B$1005,A409))</f>
        <v>0</v>
      </c>
      <c r="AQ409" s="97" t="str">
        <f>IF(T409="","",IF(T409="RECEBIMENTO NÃO CONFIRMADO",IF(ISNUMBER(F409),F409,IF(ISNUMBER(E409),E409,"")),IF(OR(T409="CDF NÃO LOCALIZADO",T409="VÍNCULO INCOMPLETO",T409="CDF A CONFERIR"),IF(AP409&gt;0,AP409,IF(ISNUMBER(E409),E409,"")),IF(ISNUMBER(E409),E409,""))))</f>
        <v/>
      </c>
      <c r="AR409" s="96">
        <f>IF(NOT(ISNUMBER(U409)),0,IF(T409="RECEBIMENTO NÃO CONFIRMADO",IF(AND(ISNUMBER(cfg_rec),U409&gt;cfg_rec),1,0),IF(OR(T409="CDF NÃO LOCALIZADO",T409="VÍNCULO INCOMPLETO",T409="CDF A CONFERIR"),IF(AND(ISNUMBER(cfg_cdf),U409&gt;cfg_cdf),1,0),0)))</f>
        <v>0</v>
      </c>
      <c r="AS409" s="96" t="str">
        <f>IF(T409="","",IF(AR409=1,"Alta",IFERROR(INDEX(cfg_pp,MATCH(T409,cfg_pt,0))&amp;"","Média")))</f>
        <v/>
      </c>
      <c r="AT409" s="96" t="str">
        <f>IF(T409="","",IFERROR(INDEX(cfg_pv,MATCH(T409,cfg_pt,0))&amp;"",""))</f>
        <v/>
      </c>
      <c r="AU409" s="96" t="str">
        <f>IF(T409="","",IF(AS409="Alta",1,IF(AS409="Média",2,3))*1000000000+(999999-IF(ISNUMBER(U409),MIN(U409,999999),0))*1000+404)</f>
        <v/>
      </c>
      <c r="AV409" s="96">
        <f>IF(T409&lt;&gt;"",1,0)</f>
        <v>0</v>
      </c>
      <c r="AW409" s="96" t="str">
        <f>IF(Z409=0,"",IF(AA409=1,"Cancelamento informado; ","")&amp;IF(AE409=1,"Campos essenciais ou itens faltando; ","")&amp;IF(AC409=1,"Possível duplicidade do número; ","")&amp;IF(AD409=1,"Cadastro ou datas a revisar; ","")&amp;IF(AF409&gt;0,"Item de resíduo com dado a revisar; ","")&amp;IF(AH409&gt;0,"Diferença de quantidade a analisar; ","")&amp;IF(AK409&gt;0,"Recebimento com alerta; ","")&amp;IF(AL409&gt;0,"Vínculo de CDF com alerta; ","")&amp;IF(AND(AA409=0,AN409=0),"Recebimento não confirmado; ","")&amp;IF(AND(AA409=0,AN409=1,AO409=0),"CDF pendente ou a conferir; ",""))</f>
        <v/>
      </c>
      <c r="AX409" s="96">
        <f>IF(Z409=0,0,IF(AND(OR(f_ini="",AND(ISNUMBER(E409),E409&gt;=f_ini)),OR(f_fim="",AND(ISNUMBER(E409),E409&lt;=f_fim)),OR(f_un="",f_un="(Todas)",G409=f_un),OR(f_tr="",f_tr="(Todos)",H409=f_tr),OR(f_de="",f_de="(Todos)",I409=f_de),OR(f_sit="",f_sit="(Todas)",S409=f_sit)),1,0))</f>
        <v>0</v>
      </c>
      <c r="AY409" s="96">
        <f>IF(AX409=0,0,IF(OR(f_res="",f_res="(Todos)"),1,IF(COUNTIFS('ITENS_MTR'!$S$6:$S$1005,A409,'ITENS_MTR'!$C$6:$C$1005,f_res)&gt;0,1,0)))</f>
        <v>0</v>
      </c>
      <c r="AZ409" s="97" t="str">
        <f>IF(ISNUMBER(E409),DATE(YEAR(E409),MONTH(E409),1),"")</f>
        <v/>
      </c>
      <c r="BA409" s="96">
        <f>IF(Z409=0,0,IF(AND(OR(r_ini="",AND(ISNUMBER(E409),E409&gt;=r_ini)),OR(r_fim="",AND(ISNUMBER(E409),E409&lt;=r_fim)),OR(r_un="",r_un="(Todas)",G409=r_un),OR(r_de="",r_de="(Todos)",I409=r_de)),1,0))</f>
        <v>0</v>
      </c>
      <c r="BB409" s="96" t="str">
        <f>IF(BA409=1,COUNTIF($BA$6:BA409,1),"")</f>
        <v/>
      </c>
      <c r="BC409" s="96" t="str">
        <f>IF(AND(AU409&lt;&gt;"",OR(r_un="",r_un="(Todas)",G409=r_un),OR(r_de="",r_de="(Todos)",I409=r_de)),AU409,"")</f>
        <v/>
      </c>
      <c r="BD409" s="96" t="str">
        <f>IF(Z409=1,A409&amp;" | nº "&amp;IF(B409="","(sem número)",B409)&amp;" | "&amp;IF(G409="","(sem unidade)",G409),"")</f>
        <v/>
      </c>
      <c r="BE409" s="96" t="str">
        <f>IF(Z409=1,COUNTIF($Z$6:Z409,1),"")</f>
        <v/>
      </c>
      <c r="BF409" s="96" t="str">
        <f>IF(T409="","",IF(T409="RECEBIMENTO NÃO CONFIRMADO","Transp.: "&amp;H409&amp;" | Dest.: "&amp;I409,IF(OR(T409="CDF NÃO LOCALIZADO",T409="VÍNCULO INCOMPLETO",T409="CDF A CONFERIR"),"Dest.: "&amp;I409,"Gerador: "&amp;G409)))</f>
        <v/>
      </c>
    </row>
    <row r="410">
      <c r="A410" s="89" t="inlineStr">
        <is>
          <t>MTR-000405</t>
        </is>
      </c>
      <c r="B410" s="90" t="n"/>
      <c r="C410" s="91" t="n"/>
      <c r="D410" s="91" t="n"/>
      <c r="E410" s="92" t="n"/>
      <c r="F410" s="92" t="n"/>
      <c r="G410" s="91" t="n"/>
      <c r="H410" s="91" t="n"/>
      <c r="I410" s="91" t="n"/>
      <c r="J410" s="91" t="n"/>
      <c r="K410" s="91" t="n"/>
      <c r="L410" s="92" t="n"/>
      <c r="M410" s="91" t="n"/>
      <c r="N410" s="91" t="n"/>
      <c r="O410" s="91" t="n"/>
      <c r="P410" s="93" t="str">
        <f>IF(Z410=0,"",SUMIFS('ITENS_MTR'!$I$6:$I$1005,'ITENS_MTR'!$S$6:$S$1005,A410,'ITENS_MTR'!$Y$6:$Y$1005,1))</f>
        <v/>
      </c>
      <c r="Q410" s="93" t="str">
        <f>IF(Z410=0,"",SUMIFS('RECEBIMENTOS'!$H$6:$H$1005,'RECEBIMENTOS'!$B$6:$B$1005,A410,'RECEBIMENTOS'!$X$6:$X$1005,1))</f>
        <v/>
      </c>
      <c r="R410" s="93" t="str">
        <f>IF(Z410=0,"",SUMIFS('VÍNCULOS_CDF'!$H$6:$H$1005,'VÍNCULOS_CDF'!$D$6:$D$1005,A410,'VÍNCULOS_CDF'!$V$6:$V$1005,1))</f>
        <v/>
      </c>
      <c r="S410" s="94" t="str">
        <f>IF(Z410=0,"",IF(AA410=1,"Cancelado (informado)",IF(AE410=1,"Cadastro incompleto",IF(OR(AC410=1,AD410=1,AF410&gt;0,AH410&gt;0,AK410&gt;0,AL410&gt;0),"Informação a revisar",IF(AN410=0,"Aguardando recebimento",IF(N(R410)=0,"Aguardando CDF",IF(AJ410&lt;N(W410),"Vínculo de CDF parcial",IF(AO410=0,"CDF localizado, a conferir","Documentação conferida"))))))))</f>
        <v/>
      </c>
      <c r="T410" s="94" t="str">
        <f>IF(Z410=0,"",IF(S410="Cadastro incompleto","MTR INCOMPLETO",IF(S410="Informação a revisar",IF(AND(AH410&gt;0,AC410=0,AD410=0,AF410=0,AK410=0,AL410=0),"QUANTIDADE A REVISAR","IDENTIFICAÇÃO A REVISAR"),IF(S410="Aguardando recebimento","RECEBIMENTO NÃO CONFIRMADO",IF(S410="Aguardando CDF","CDF NÃO LOCALIZADO",IF(S410="Vínculo de CDF parcial","VÍNCULO INCOMPLETO",IF(S410="CDF localizado, a conferir","CDF A CONFERIR","")))))))</f>
        <v/>
      </c>
      <c r="U410" s="95" t="str">
        <f>IF(T410="","",IF(AQ410="","Não calculável",IF(AQ410&gt;TODAY(),"Data futura",TODAY()-AQ410)))</f>
        <v/>
      </c>
      <c r="V410" s="93" t="str">
        <f>IF(Z410=0,"",SUMIFS('RECEBIMENTOS'!$H$6:$H$1005,'RECEBIMENTOS'!$B$6:$B$1005,A410,'RECEBIMENTOS'!$Z$6:$Z$1005,1))</f>
        <v/>
      </c>
      <c r="W410" s="95" t="str">
        <f>IF(Z410=0,"",COUNTIFS('ITENS_MTR'!$S$6:$S$1005,A410,'ITENS_MTR'!$R$6:$R$1005,1))</f>
        <v/>
      </c>
      <c r="X410" s="94" t="str">
        <f>IF(AC410=1,"POSSÍVEL DUPLICIDADE","")</f>
        <v/>
      </c>
      <c r="Y410" s="94" t="str">
        <f>IF(Z410=0,"",IF(AW410="","Nenhuma",LEFT(AW410,LEN(AW410)-2)))</f>
        <v/>
      </c>
      <c r="Z410" s="96">
        <f>IF(COUNTA(B410:O410)&gt;0,1,0)</f>
        <v>0</v>
      </c>
      <c r="AA410" s="96">
        <f>IF(AND(Z410=1,K410&lt;&gt;""),IF(TRIM(K410)=TRIM(cfg_cancel),1,0),0)</f>
        <v>0</v>
      </c>
      <c r="AB410" s="96" t="str">
        <f>IF(AND(Z410=1,B410&lt;&gt;""),C410&amp;"|"&amp;D410&amp;"|"&amp;G410&amp;"|"&amp;TRIM(B410),"")</f>
        <v/>
      </c>
      <c r="AC410" s="96">
        <f>IF(AB410="",0,IF(SUMPRODUCT(--($AB$6:$AB$505=AB410))&gt;1,1,0))</f>
        <v>0</v>
      </c>
      <c r="AD410" s="96">
        <f>IF(Z410=0,0,IF(OR(AND(G410&lt;&gt;"",ISNA(MATCH(G410,'CAD_UNIDADES'!$C$6:$C$105,0))),AND(H410&lt;&gt;"",ISNA(MATCH(H410,cmp_transp,0))),AND(I410&lt;&gt;"",ISNA(MATCH(I410,cmp_dest,0))),AND(E410&lt;&gt;"",NOT(ISNUMBER(E410))),AND(F410&lt;&gt;"",NOT(ISNUMBER(F410))),AND(ISNUMBER(E410),ISNUMBER(F410),F410&lt;E410)),1,0))</f>
        <v>0</v>
      </c>
      <c r="AE410" s="96">
        <f>IF(Z410=0,0,IF(OR(B410="",C410="",E410="",G410="",H410="",I410="",N(W410)=0),1,0))</f>
        <v>0</v>
      </c>
      <c r="AF410" s="96">
        <f>IF(Z410=0,0,COUNTIFS('ITENS_MTR'!$S$6:$S$1005,A410,'ITENS_MTR'!$AI$6:$AI$1005,1))</f>
        <v>0</v>
      </c>
      <c r="AG410" s="96">
        <f>IF(Z410=0,0,COUNTIFS('ITENS_MTR'!$S$6:$S$1005,A410,'ITENS_MTR'!$AJ$6:$AJ$1005,1))</f>
        <v>0</v>
      </c>
      <c r="AH410" s="96">
        <f>IF(Z410=0,0,COUNTIFS('ITENS_MTR'!$S$6:$S$1005,A410,'ITENS_MTR'!$AM$6:$AM$1005,1))</f>
        <v>0</v>
      </c>
      <c r="AI410" s="96">
        <f>IF(Z410=0,0,COUNTIFS('ITENS_MTR'!$S$6:$S$1005,A410,'ITENS_MTR'!$AO$6:$AO$1005,1))</f>
        <v>0</v>
      </c>
      <c r="AJ410" s="96">
        <f>IF(Z410=0,0,COUNTIFS('ITENS_MTR'!$S$6:$S$1005,A410,'ITENS_MTR'!$AN$6:$AN$1005,1))</f>
        <v>0</v>
      </c>
      <c r="AK410" s="96">
        <f>IF(Z410=0,0,COUNTIFS('RECEBIMENTOS'!$B$6:$B$1005,A410,'RECEBIMENTOS'!$Y$6:$Y$1005,1))</f>
        <v>0</v>
      </c>
      <c r="AL410" s="96">
        <f>IF(Z410=0,0,COUNTIFS('VÍNCULOS_CDF'!$D$6:$D$1005,A410,'VÍNCULOS_CDF'!$Y$6:$Y$1005,1))</f>
        <v>0</v>
      </c>
      <c r="AM410" s="96">
        <f>IF(Z410=0,0,COUNTIFS('RECEBIMENTOS'!$B$6:$B$1005,A410,'RECEBIMENTOS'!$Q$6:$Q$1005,1))</f>
        <v>0</v>
      </c>
      <c r="AN410" s="96">
        <f>IF(AND(Z410=1,N(W410)&gt;0,AG410=N(W410)),1,0)</f>
        <v>0</v>
      </c>
      <c r="AO410" s="96">
        <f>IF(AND(Z410=1,N(W410)&gt;0,AI410=N(W410)),1,0)</f>
        <v>0</v>
      </c>
      <c r="AP410" s="97">
        <f>IF(Z410=0,0,_xlfn.MAXIFS('RECEBIMENTOS'!$E$6:$E$1005,'RECEBIMENTOS'!$B$6:$B$1005,A410))</f>
        <v>0</v>
      </c>
      <c r="AQ410" s="97" t="str">
        <f>IF(T410="","",IF(T410="RECEBIMENTO NÃO CONFIRMADO",IF(ISNUMBER(F410),F410,IF(ISNUMBER(E410),E410,"")),IF(OR(T410="CDF NÃO LOCALIZADO",T410="VÍNCULO INCOMPLETO",T410="CDF A CONFERIR"),IF(AP410&gt;0,AP410,IF(ISNUMBER(E410),E410,"")),IF(ISNUMBER(E410),E410,""))))</f>
        <v/>
      </c>
      <c r="AR410" s="96">
        <f>IF(NOT(ISNUMBER(U410)),0,IF(T410="RECEBIMENTO NÃO CONFIRMADO",IF(AND(ISNUMBER(cfg_rec),U410&gt;cfg_rec),1,0),IF(OR(T410="CDF NÃO LOCALIZADO",T410="VÍNCULO INCOMPLETO",T410="CDF A CONFERIR"),IF(AND(ISNUMBER(cfg_cdf),U410&gt;cfg_cdf),1,0),0)))</f>
        <v>0</v>
      </c>
      <c r="AS410" s="96" t="str">
        <f>IF(T410="","",IF(AR410=1,"Alta",IFERROR(INDEX(cfg_pp,MATCH(T410,cfg_pt,0))&amp;"","Média")))</f>
        <v/>
      </c>
      <c r="AT410" s="96" t="str">
        <f>IF(T410="","",IFERROR(INDEX(cfg_pv,MATCH(T410,cfg_pt,0))&amp;"",""))</f>
        <v/>
      </c>
      <c r="AU410" s="96" t="str">
        <f>IF(T410="","",IF(AS410="Alta",1,IF(AS410="Média",2,3))*1000000000+(999999-IF(ISNUMBER(U410),MIN(U410,999999),0))*1000+405)</f>
        <v/>
      </c>
      <c r="AV410" s="96">
        <f>IF(T410&lt;&gt;"",1,0)</f>
        <v>0</v>
      </c>
      <c r="AW410" s="96" t="str">
        <f>IF(Z410=0,"",IF(AA410=1,"Cancelamento informado; ","")&amp;IF(AE410=1,"Campos essenciais ou itens faltando; ","")&amp;IF(AC410=1,"Possível duplicidade do número; ","")&amp;IF(AD410=1,"Cadastro ou datas a revisar; ","")&amp;IF(AF410&gt;0,"Item de resíduo com dado a revisar; ","")&amp;IF(AH410&gt;0,"Diferença de quantidade a analisar; ","")&amp;IF(AK410&gt;0,"Recebimento com alerta; ","")&amp;IF(AL410&gt;0,"Vínculo de CDF com alerta; ","")&amp;IF(AND(AA410=0,AN410=0),"Recebimento não confirmado; ","")&amp;IF(AND(AA410=0,AN410=1,AO410=0),"CDF pendente ou a conferir; ",""))</f>
        <v/>
      </c>
      <c r="AX410" s="96">
        <f>IF(Z410=0,0,IF(AND(OR(f_ini="",AND(ISNUMBER(E410),E410&gt;=f_ini)),OR(f_fim="",AND(ISNUMBER(E410),E410&lt;=f_fim)),OR(f_un="",f_un="(Todas)",G410=f_un),OR(f_tr="",f_tr="(Todos)",H410=f_tr),OR(f_de="",f_de="(Todos)",I410=f_de),OR(f_sit="",f_sit="(Todas)",S410=f_sit)),1,0))</f>
        <v>0</v>
      </c>
      <c r="AY410" s="96">
        <f>IF(AX410=0,0,IF(OR(f_res="",f_res="(Todos)"),1,IF(COUNTIFS('ITENS_MTR'!$S$6:$S$1005,A410,'ITENS_MTR'!$C$6:$C$1005,f_res)&gt;0,1,0)))</f>
        <v>0</v>
      </c>
      <c r="AZ410" s="97" t="str">
        <f>IF(ISNUMBER(E410),DATE(YEAR(E410),MONTH(E410),1),"")</f>
        <v/>
      </c>
      <c r="BA410" s="96">
        <f>IF(Z410=0,0,IF(AND(OR(r_ini="",AND(ISNUMBER(E410),E410&gt;=r_ini)),OR(r_fim="",AND(ISNUMBER(E410),E410&lt;=r_fim)),OR(r_un="",r_un="(Todas)",G410=r_un),OR(r_de="",r_de="(Todos)",I410=r_de)),1,0))</f>
        <v>0</v>
      </c>
      <c r="BB410" s="96" t="str">
        <f>IF(BA410=1,COUNTIF($BA$6:BA410,1),"")</f>
        <v/>
      </c>
      <c r="BC410" s="96" t="str">
        <f>IF(AND(AU410&lt;&gt;"",OR(r_un="",r_un="(Todas)",G410=r_un),OR(r_de="",r_de="(Todos)",I410=r_de)),AU410,"")</f>
        <v/>
      </c>
      <c r="BD410" s="96" t="str">
        <f>IF(Z410=1,A410&amp;" | nº "&amp;IF(B410="","(sem número)",B410)&amp;" | "&amp;IF(G410="","(sem unidade)",G410),"")</f>
        <v/>
      </c>
      <c r="BE410" s="96" t="str">
        <f>IF(Z410=1,COUNTIF($Z$6:Z410,1),"")</f>
        <v/>
      </c>
      <c r="BF410" s="96" t="str">
        <f>IF(T410="","",IF(T410="RECEBIMENTO NÃO CONFIRMADO","Transp.: "&amp;H410&amp;" | Dest.: "&amp;I410,IF(OR(T410="CDF NÃO LOCALIZADO",T410="VÍNCULO INCOMPLETO",T410="CDF A CONFERIR"),"Dest.: "&amp;I410,"Gerador: "&amp;G410)))</f>
        <v/>
      </c>
    </row>
    <row r="411">
      <c r="A411" s="89" t="inlineStr">
        <is>
          <t>MTR-000406</t>
        </is>
      </c>
      <c r="B411" s="90" t="n"/>
      <c r="C411" s="91" t="n"/>
      <c r="D411" s="91" t="n"/>
      <c r="E411" s="92" t="n"/>
      <c r="F411" s="92" t="n"/>
      <c r="G411" s="91" t="n"/>
      <c r="H411" s="91" t="n"/>
      <c r="I411" s="91" t="n"/>
      <c r="J411" s="91" t="n"/>
      <c r="K411" s="91" t="n"/>
      <c r="L411" s="92" t="n"/>
      <c r="M411" s="91" t="n"/>
      <c r="N411" s="91" t="n"/>
      <c r="O411" s="91" t="n"/>
      <c r="P411" s="93" t="str">
        <f>IF(Z411=0,"",SUMIFS('ITENS_MTR'!$I$6:$I$1005,'ITENS_MTR'!$S$6:$S$1005,A411,'ITENS_MTR'!$Y$6:$Y$1005,1))</f>
        <v/>
      </c>
      <c r="Q411" s="93" t="str">
        <f>IF(Z411=0,"",SUMIFS('RECEBIMENTOS'!$H$6:$H$1005,'RECEBIMENTOS'!$B$6:$B$1005,A411,'RECEBIMENTOS'!$X$6:$X$1005,1))</f>
        <v/>
      </c>
      <c r="R411" s="93" t="str">
        <f>IF(Z411=0,"",SUMIFS('VÍNCULOS_CDF'!$H$6:$H$1005,'VÍNCULOS_CDF'!$D$6:$D$1005,A411,'VÍNCULOS_CDF'!$V$6:$V$1005,1))</f>
        <v/>
      </c>
      <c r="S411" s="94" t="str">
        <f>IF(Z411=0,"",IF(AA411=1,"Cancelado (informado)",IF(AE411=1,"Cadastro incompleto",IF(OR(AC411=1,AD411=1,AF411&gt;0,AH411&gt;0,AK411&gt;0,AL411&gt;0),"Informação a revisar",IF(AN411=0,"Aguardando recebimento",IF(N(R411)=0,"Aguardando CDF",IF(AJ411&lt;N(W411),"Vínculo de CDF parcial",IF(AO411=0,"CDF localizado, a conferir","Documentação conferida"))))))))</f>
        <v/>
      </c>
      <c r="T411" s="94" t="str">
        <f>IF(Z411=0,"",IF(S411="Cadastro incompleto","MTR INCOMPLETO",IF(S411="Informação a revisar",IF(AND(AH411&gt;0,AC411=0,AD411=0,AF411=0,AK411=0,AL411=0),"QUANTIDADE A REVISAR","IDENTIFICAÇÃO A REVISAR"),IF(S411="Aguardando recebimento","RECEBIMENTO NÃO CONFIRMADO",IF(S411="Aguardando CDF","CDF NÃO LOCALIZADO",IF(S411="Vínculo de CDF parcial","VÍNCULO INCOMPLETO",IF(S411="CDF localizado, a conferir","CDF A CONFERIR","")))))))</f>
        <v/>
      </c>
      <c r="U411" s="95" t="str">
        <f>IF(T411="","",IF(AQ411="","Não calculável",IF(AQ411&gt;TODAY(),"Data futura",TODAY()-AQ411)))</f>
        <v/>
      </c>
      <c r="V411" s="93" t="str">
        <f>IF(Z411=0,"",SUMIFS('RECEBIMENTOS'!$H$6:$H$1005,'RECEBIMENTOS'!$B$6:$B$1005,A411,'RECEBIMENTOS'!$Z$6:$Z$1005,1))</f>
        <v/>
      </c>
      <c r="W411" s="95" t="str">
        <f>IF(Z411=0,"",COUNTIFS('ITENS_MTR'!$S$6:$S$1005,A411,'ITENS_MTR'!$R$6:$R$1005,1))</f>
        <v/>
      </c>
      <c r="X411" s="94" t="str">
        <f>IF(AC411=1,"POSSÍVEL DUPLICIDADE","")</f>
        <v/>
      </c>
      <c r="Y411" s="94" t="str">
        <f>IF(Z411=0,"",IF(AW411="","Nenhuma",LEFT(AW411,LEN(AW411)-2)))</f>
        <v/>
      </c>
      <c r="Z411" s="96">
        <f>IF(COUNTA(B411:O411)&gt;0,1,0)</f>
        <v>0</v>
      </c>
      <c r="AA411" s="96">
        <f>IF(AND(Z411=1,K411&lt;&gt;""),IF(TRIM(K411)=TRIM(cfg_cancel),1,0),0)</f>
        <v>0</v>
      </c>
      <c r="AB411" s="96" t="str">
        <f>IF(AND(Z411=1,B411&lt;&gt;""),C411&amp;"|"&amp;D411&amp;"|"&amp;G411&amp;"|"&amp;TRIM(B411),"")</f>
        <v/>
      </c>
      <c r="AC411" s="96">
        <f>IF(AB411="",0,IF(SUMPRODUCT(--($AB$6:$AB$505=AB411))&gt;1,1,0))</f>
        <v>0</v>
      </c>
      <c r="AD411" s="96">
        <f>IF(Z411=0,0,IF(OR(AND(G411&lt;&gt;"",ISNA(MATCH(G411,'CAD_UNIDADES'!$C$6:$C$105,0))),AND(H411&lt;&gt;"",ISNA(MATCH(H411,cmp_transp,0))),AND(I411&lt;&gt;"",ISNA(MATCH(I411,cmp_dest,0))),AND(E411&lt;&gt;"",NOT(ISNUMBER(E411))),AND(F411&lt;&gt;"",NOT(ISNUMBER(F411))),AND(ISNUMBER(E411),ISNUMBER(F411),F411&lt;E411)),1,0))</f>
        <v>0</v>
      </c>
      <c r="AE411" s="96">
        <f>IF(Z411=0,0,IF(OR(B411="",C411="",E411="",G411="",H411="",I411="",N(W411)=0),1,0))</f>
        <v>0</v>
      </c>
      <c r="AF411" s="96">
        <f>IF(Z411=0,0,COUNTIFS('ITENS_MTR'!$S$6:$S$1005,A411,'ITENS_MTR'!$AI$6:$AI$1005,1))</f>
        <v>0</v>
      </c>
      <c r="AG411" s="96">
        <f>IF(Z411=0,0,COUNTIFS('ITENS_MTR'!$S$6:$S$1005,A411,'ITENS_MTR'!$AJ$6:$AJ$1005,1))</f>
        <v>0</v>
      </c>
      <c r="AH411" s="96">
        <f>IF(Z411=0,0,COUNTIFS('ITENS_MTR'!$S$6:$S$1005,A411,'ITENS_MTR'!$AM$6:$AM$1005,1))</f>
        <v>0</v>
      </c>
      <c r="AI411" s="96">
        <f>IF(Z411=0,0,COUNTIFS('ITENS_MTR'!$S$6:$S$1005,A411,'ITENS_MTR'!$AO$6:$AO$1005,1))</f>
        <v>0</v>
      </c>
      <c r="AJ411" s="96">
        <f>IF(Z411=0,0,COUNTIFS('ITENS_MTR'!$S$6:$S$1005,A411,'ITENS_MTR'!$AN$6:$AN$1005,1))</f>
        <v>0</v>
      </c>
      <c r="AK411" s="96">
        <f>IF(Z411=0,0,COUNTIFS('RECEBIMENTOS'!$B$6:$B$1005,A411,'RECEBIMENTOS'!$Y$6:$Y$1005,1))</f>
        <v>0</v>
      </c>
      <c r="AL411" s="96">
        <f>IF(Z411=0,0,COUNTIFS('VÍNCULOS_CDF'!$D$6:$D$1005,A411,'VÍNCULOS_CDF'!$Y$6:$Y$1005,1))</f>
        <v>0</v>
      </c>
      <c r="AM411" s="96">
        <f>IF(Z411=0,0,COUNTIFS('RECEBIMENTOS'!$B$6:$B$1005,A411,'RECEBIMENTOS'!$Q$6:$Q$1005,1))</f>
        <v>0</v>
      </c>
      <c r="AN411" s="96">
        <f>IF(AND(Z411=1,N(W411)&gt;0,AG411=N(W411)),1,0)</f>
        <v>0</v>
      </c>
      <c r="AO411" s="96">
        <f>IF(AND(Z411=1,N(W411)&gt;0,AI411=N(W411)),1,0)</f>
        <v>0</v>
      </c>
      <c r="AP411" s="97">
        <f>IF(Z411=0,0,_xlfn.MAXIFS('RECEBIMENTOS'!$E$6:$E$1005,'RECEBIMENTOS'!$B$6:$B$1005,A411))</f>
        <v>0</v>
      </c>
      <c r="AQ411" s="97" t="str">
        <f>IF(T411="","",IF(T411="RECEBIMENTO NÃO CONFIRMADO",IF(ISNUMBER(F411),F411,IF(ISNUMBER(E411),E411,"")),IF(OR(T411="CDF NÃO LOCALIZADO",T411="VÍNCULO INCOMPLETO",T411="CDF A CONFERIR"),IF(AP411&gt;0,AP411,IF(ISNUMBER(E411),E411,"")),IF(ISNUMBER(E411),E411,""))))</f>
        <v/>
      </c>
      <c r="AR411" s="96">
        <f>IF(NOT(ISNUMBER(U411)),0,IF(T411="RECEBIMENTO NÃO CONFIRMADO",IF(AND(ISNUMBER(cfg_rec),U411&gt;cfg_rec),1,0),IF(OR(T411="CDF NÃO LOCALIZADO",T411="VÍNCULO INCOMPLETO",T411="CDF A CONFERIR"),IF(AND(ISNUMBER(cfg_cdf),U411&gt;cfg_cdf),1,0),0)))</f>
        <v>0</v>
      </c>
      <c r="AS411" s="96" t="str">
        <f>IF(T411="","",IF(AR411=1,"Alta",IFERROR(INDEX(cfg_pp,MATCH(T411,cfg_pt,0))&amp;"","Média")))</f>
        <v/>
      </c>
      <c r="AT411" s="96" t="str">
        <f>IF(T411="","",IFERROR(INDEX(cfg_pv,MATCH(T411,cfg_pt,0))&amp;"",""))</f>
        <v/>
      </c>
      <c r="AU411" s="96" t="str">
        <f>IF(T411="","",IF(AS411="Alta",1,IF(AS411="Média",2,3))*1000000000+(999999-IF(ISNUMBER(U411),MIN(U411,999999),0))*1000+406)</f>
        <v/>
      </c>
      <c r="AV411" s="96">
        <f>IF(T411&lt;&gt;"",1,0)</f>
        <v>0</v>
      </c>
      <c r="AW411" s="96" t="str">
        <f>IF(Z411=0,"",IF(AA411=1,"Cancelamento informado; ","")&amp;IF(AE411=1,"Campos essenciais ou itens faltando; ","")&amp;IF(AC411=1,"Possível duplicidade do número; ","")&amp;IF(AD411=1,"Cadastro ou datas a revisar; ","")&amp;IF(AF411&gt;0,"Item de resíduo com dado a revisar; ","")&amp;IF(AH411&gt;0,"Diferença de quantidade a analisar; ","")&amp;IF(AK411&gt;0,"Recebimento com alerta; ","")&amp;IF(AL411&gt;0,"Vínculo de CDF com alerta; ","")&amp;IF(AND(AA411=0,AN411=0),"Recebimento não confirmado; ","")&amp;IF(AND(AA411=0,AN411=1,AO411=0),"CDF pendente ou a conferir; ",""))</f>
        <v/>
      </c>
      <c r="AX411" s="96">
        <f>IF(Z411=0,0,IF(AND(OR(f_ini="",AND(ISNUMBER(E411),E411&gt;=f_ini)),OR(f_fim="",AND(ISNUMBER(E411),E411&lt;=f_fim)),OR(f_un="",f_un="(Todas)",G411=f_un),OR(f_tr="",f_tr="(Todos)",H411=f_tr),OR(f_de="",f_de="(Todos)",I411=f_de),OR(f_sit="",f_sit="(Todas)",S411=f_sit)),1,0))</f>
        <v>0</v>
      </c>
      <c r="AY411" s="96">
        <f>IF(AX411=0,0,IF(OR(f_res="",f_res="(Todos)"),1,IF(COUNTIFS('ITENS_MTR'!$S$6:$S$1005,A411,'ITENS_MTR'!$C$6:$C$1005,f_res)&gt;0,1,0)))</f>
        <v>0</v>
      </c>
      <c r="AZ411" s="97" t="str">
        <f>IF(ISNUMBER(E411),DATE(YEAR(E411),MONTH(E411),1),"")</f>
        <v/>
      </c>
      <c r="BA411" s="96">
        <f>IF(Z411=0,0,IF(AND(OR(r_ini="",AND(ISNUMBER(E411),E411&gt;=r_ini)),OR(r_fim="",AND(ISNUMBER(E411),E411&lt;=r_fim)),OR(r_un="",r_un="(Todas)",G411=r_un),OR(r_de="",r_de="(Todos)",I411=r_de)),1,0))</f>
        <v>0</v>
      </c>
      <c r="BB411" s="96" t="str">
        <f>IF(BA411=1,COUNTIF($BA$6:BA411,1),"")</f>
        <v/>
      </c>
      <c r="BC411" s="96" t="str">
        <f>IF(AND(AU411&lt;&gt;"",OR(r_un="",r_un="(Todas)",G411=r_un),OR(r_de="",r_de="(Todos)",I411=r_de)),AU411,"")</f>
        <v/>
      </c>
      <c r="BD411" s="96" t="str">
        <f>IF(Z411=1,A411&amp;" | nº "&amp;IF(B411="","(sem número)",B411)&amp;" | "&amp;IF(G411="","(sem unidade)",G411),"")</f>
        <v/>
      </c>
      <c r="BE411" s="96" t="str">
        <f>IF(Z411=1,COUNTIF($Z$6:Z411,1),"")</f>
        <v/>
      </c>
      <c r="BF411" s="96" t="str">
        <f>IF(T411="","",IF(T411="RECEBIMENTO NÃO CONFIRMADO","Transp.: "&amp;H411&amp;" | Dest.: "&amp;I411,IF(OR(T411="CDF NÃO LOCALIZADO",T411="VÍNCULO INCOMPLETO",T411="CDF A CONFERIR"),"Dest.: "&amp;I411,"Gerador: "&amp;G411)))</f>
        <v/>
      </c>
    </row>
    <row r="412">
      <c r="A412" s="89" t="inlineStr">
        <is>
          <t>MTR-000407</t>
        </is>
      </c>
      <c r="B412" s="90" t="n"/>
      <c r="C412" s="91" t="n"/>
      <c r="D412" s="91" t="n"/>
      <c r="E412" s="92" t="n"/>
      <c r="F412" s="92" t="n"/>
      <c r="G412" s="91" t="n"/>
      <c r="H412" s="91" t="n"/>
      <c r="I412" s="91" t="n"/>
      <c r="J412" s="91" t="n"/>
      <c r="K412" s="91" t="n"/>
      <c r="L412" s="92" t="n"/>
      <c r="M412" s="91" t="n"/>
      <c r="N412" s="91" t="n"/>
      <c r="O412" s="91" t="n"/>
      <c r="P412" s="93" t="str">
        <f>IF(Z412=0,"",SUMIFS('ITENS_MTR'!$I$6:$I$1005,'ITENS_MTR'!$S$6:$S$1005,A412,'ITENS_MTR'!$Y$6:$Y$1005,1))</f>
        <v/>
      </c>
      <c r="Q412" s="93" t="str">
        <f>IF(Z412=0,"",SUMIFS('RECEBIMENTOS'!$H$6:$H$1005,'RECEBIMENTOS'!$B$6:$B$1005,A412,'RECEBIMENTOS'!$X$6:$X$1005,1))</f>
        <v/>
      </c>
      <c r="R412" s="93" t="str">
        <f>IF(Z412=0,"",SUMIFS('VÍNCULOS_CDF'!$H$6:$H$1005,'VÍNCULOS_CDF'!$D$6:$D$1005,A412,'VÍNCULOS_CDF'!$V$6:$V$1005,1))</f>
        <v/>
      </c>
      <c r="S412" s="94" t="str">
        <f>IF(Z412=0,"",IF(AA412=1,"Cancelado (informado)",IF(AE412=1,"Cadastro incompleto",IF(OR(AC412=1,AD412=1,AF412&gt;0,AH412&gt;0,AK412&gt;0,AL412&gt;0),"Informação a revisar",IF(AN412=0,"Aguardando recebimento",IF(N(R412)=0,"Aguardando CDF",IF(AJ412&lt;N(W412),"Vínculo de CDF parcial",IF(AO412=0,"CDF localizado, a conferir","Documentação conferida"))))))))</f>
        <v/>
      </c>
      <c r="T412" s="94" t="str">
        <f>IF(Z412=0,"",IF(S412="Cadastro incompleto","MTR INCOMPLETO",IF(S412="Informação a revisar",IF(AND(AH412&gt;0,AC412=0,AD412=0,AF412=0,AK412=0,AL412=0),"QUANTIDADE A REVISAR","IDENTIFICAÇÃO A REVISAR"),IF(S412="Aguardando recebimento","RECEBIMENTO NÃO CONFIRMADO",IF(S412="Aguardando CDF","CDF NÃO LOCALIZADO",IF(S412="Vínculo de CDF parcial","VÍNCULO INCOMPLETO",IF(S412="CDF localizado, a conferir","CDF A CONFERIR","")))))))</f>
        <v/>
      </c>
      <c r="U412" s="95" t="str">
        <f>IF(T412="","",IF(AQ412="","Não calculável",IF(AQ412&gt;TODAY(),"Data futura",TODAY()-AQ412)))</f>
        <v/>
      </c>
      <c r="V412" s="93" t="str">
        <f>IF(Z412=0,"",SUMIFS('RECEBIMENTOS'!$H$6:$H$1005,'RECEBIMENTOS'!$B$6:$B$1005,A412,'RECEBIMENTOS'!$Z$6:$Z$1005,1))</f>
        <v/>
      </c>
      <c r="W412" s="95" t="str">
        <f>IF(Z412=0,"",COUNTIFS('ITENS_MTR'!$S$6:$S$1005,A412,'ITENS_MTR'!$R$6:$R$1005,1))</f>
        <v/>
      </c>
      <c r="X412" s="94" t="str">
        <f>IF(AC412=1,"POSSÍVEL DUPLICIDADE","")</f>
        <v/>
      </c>
      <c r="Y412" s="94" t="str">
        <f>IF(Z412=0,"",IF(AW412="","Nenhuma",LEFT(AW412,LEN(AW412)-2)))</f>
        <v/>
      </c>
      <c r="Z412" s="96">
        <f>IF(COUNTA(B412:O412)&gt;0,1,0)</f>
        <v>0</v>
      </c>
      <c r="AA412" s="96">
        <f>IF(AND(Z412=1,K412&lt;&gt;""),IF(TRIM(K412)=TRIM(cfg_cancel),1,0),0)</f>
        <v>0</v>
      </c>
      <c r="AB412" s="96" t="str">
        <f>IF(AND(Z412=1,B412&lt;&gt;""),C412&amp;"|"&amp;D412&amp;"|"&amp;G412&amp;"|"&amp;TRIM(B412),"")</f>
        <v/>
      </c>
      <c r="AC412" s="96">
        <f>IF(AB412="",0,IF(SUMPRODUCT(--($AB$6:$AB$505=AB412))&gt;1,1,0))</f>
        <v>0</v>
      </c>
      <c r="AD412" s="96">
        <f>IF(Z412=0,0,IF(OR(AND(G412&lt;&gt;"",ISNA(MATCH(G412,'CAD_UNIDADES'!$C$6:$C$105,0))),AND(H412&lt;&gt;"",ISNA(MATCH(H412,cmp_transp,0))),AND(I412&lt;&gt;"",ISNA(MATCH(I412,cmp_dest,0))),AND(E412&lt;&gt;"",NOT(ISNUMBER(E412))),AND(F412&lt;&gt;"",NOT(ISNUMBER(F412))),AND(ISNUMBER(E412),ISNUMBER(F412),F412&lt;E412)),1,0))</f>
        <v>0</v>
      </c>
      <c r="AE412" s="96">
        <f>IF(Z412=0,0,IF(OR(B412="",C412="",E412="",G412="",H412="",I412="",N(W412)=0),1,0))</f>
        <v>0</v>
      </c>
      <c r="AF412" s="96">
        <f>IF(Z412=0,0,COUNTIFS('ITENS_MTR'!$S$6:$S$1005,A412,'ITENS_MTR'!$AI$6:$AI$1005,1))</f>
        <v>0</v>
      </c>
      <c r="AG412" s="96">
        <f>IF(Z412=0,0,COUNTIFS('ITENS_MTR'!$S$6:$S$1005,A412,'ITENS_MTR'!$AJ$6:$AJ$1005,1))</f>
        <v>0</v>
      </c>
      <c r="AH412" s="96">
        <f>IF(Z412=0,0,COUNTIFS('ITENS_MTR'!$S$6:$S$1005,A412,'ITENS_MTR'!$AM$6:$AM$1005,1))</f>
        <v>0</v>
      </c>
      <c r="AI412" s="96">
        <f>IF(Z412=0,0,COUNTIFS('ITENS_MTR'!$S$6:$S$1005,A412,'ITENS_MTR'!$AO$6:$AO$1005,1))</f>
        <v>0</v>
      </c>
      <c r="AJ412" s="96">
        <f>IF(Z412=0,0,COUNTIFS('ITENS_MTR'!$S$6:$S$1005,A412,'ITENS_MTR'!$AN$6:$AN$1005,1))</f>
        <v>0</v>
      </c>
      <c r="AK412" s="96">
        <f>IF(Z412=0,0,COUNTIFS('RECEBIMENTOS'!$B$6:$B$1005,A412,'RECEBIMENTOS'!$Y$6:$Y$1005,1))</f>
        <v>0</v>
      </c>
      <c r="AL412" s="96">
        <f>IF(Z412=0,0,COUNTIFS('VÍNCULOS_CDF'!$D$6:$D$1005,A412,'VÍNCULOS_CDF'!$Y$6:$Y$1005,1))</f>
        <v>0</v>
      </c>
      <c r="AM412" s="96">
        <f>IF(Z412=0,0,COUNTIFS('RECEBIMENTOS'!$B$6:$B$1005,A412,'RECEBIMENTOS'!$Q$6:$Q$1005,1))</f>
        <v>0</v>
      </c>
      <c r="AN412" s="96">
        <f>IF(AND(Z412=1,N(W412)&gt;0,AG412=N(W412)),1,0)</f>
        <v>0</v>
      </c>
      <c r="AO412" s="96">
        <f>IF(AND(Z412=1,N(W412)&gt;0,AI412=N(W412)),1,0)</f>
        <v>0</v>
      </c>
      <c r="AP412" s="97">
        <f>IF(Z412=0,0,_xlfn.MAXIFS('RECEBIMENTOS'!$E$6:$E$1005,'RECEBIMENTOS'!$B$6:$B$1005,A412))</f>
        <v>0</v>
      </c>
      <c r="AQ412" s="97" t="str">
        <f>IF(T412="","",IF(T412="RECEBIMENTO NÃO CONFIRMADO",IF(ISNUMBER(F412),F412,IF(ISNUMBER(E412),E412,"")),IF(OR(T412="CDF NÃO LOCALIZADO",T412="VÍNCULO INCOMPLETO",T412="CDF A CONFERIR"),IF(AP412&gt;0,AP412,IF(ISNUMBER(E412),E412,"")),IF(ISNUMBER(E412),E412,""))))</f>
        <v/>
      </c>
      <c r="AR412" s="96">
        <f>IF(NOT(ISNUMBER(U412)),0,IF(T412="RECEBIMENTO NÃO CONFIRMADO",IF(AND(ISNUMBER(cfg_rec),U412&gt;cfg_rec),1,0),IF(OR(T412="CDF NÃO LOCALIZADO",T412="VÍNCULO INCOMPLETO",T412="CDF A CONFERIR"),IF(AND(ISNUMBER(cfg_cdf),U412&gt;cfg_cdf),1,0),0)))</f>
        <v>0</v>
      </c>
      <c r="AS412" s="96" t="str">
        <f>IF(T412="","",IF(AR412=1,"Alta",IFERROR(INDEX(cfg_pp,MATCH(T412,cfg_pt,0))&amp;"","Média")))</f>
        <v/>
      </c>
      <c r="AT412" s="96" t="str">
        <f>IF(T412="","",IFERROR(INDEX(cfg_pv,MATCH(T412,cfg_pt,0))&amp;"",""))</f>
        <v/>
      </c>
      <c r="AU412" s="96" t="str">
        <f>IF(T412="","",IF(AS412="Alta",1,IF(AS412="Média",2,3))*1000000000+(999999-IF(ISNUMBER(U412),MIN(U412,999999),0))*1000+407)</f>
        <v/>
      </c>
      <c r="AV412" s="96">
        <f>IF(T412&lt;&gt;"",1,0)</f>
        <v>0</v>
      </c>
      <c r="AW412" s="96" t="str">
        <f>IF(Z412=0,"",IF(AA412=1,"Cancelamento informado; ","")&amp;IF(AE412=1,"Campos essenciais ou itens faltando; ","")&amp;IF(AC412=1,"Possível duplicidade do número; ","")&amp;IF(AD412=1,"Cadastro ou datas a revisar; ","")&amp;IF(AF412&gt;0,"Item de resíduo com dado a revisar; ","")&amp;IF(AH412&gt;0,"Diferença de quantidade a analisar; ","")&amp;IF(AK412&gt;0,"Recebimento com alerta; ","")&amp;IF(AL412&gt;0,"Vínculo de CDF com alerta; ","")&amp;IF(AND(AA412=0,AN412=0),"Recebimento não confirmado; ","")&amp;IF(AND(AA412=0,AN412=1,AO412=0),"CDF pendente ou a conferir; ",""))</f>
        <v/>
      </c>
      <c r="AX412" s="96">
        <f>IF(Z412=0,0,IF(AND(OR(f_ini="",AND(ISNUMBER(E412),E412&gt;=f_ini)),OR(f_fim="",AND(ISNUMBER(E412),E412&lt;=f_fim)),OR(f_un="",f_un="(Todas)",G412=f_un),OR(f_tr="",f_tr="(Todos)",H412=f_tr),OR(f_de="",f_de="(Todos)",I412=f_de),OR(f_sit="",f_sit="(Todas)",S412=f_sit)),1,0))</f>
        <v>0</v>
      </c>
      <c r="AY412" s="96">
        <f>IF(AX412=0,0,IF(OR(f_res="",f_res="(Todos)"),1,IF(COUNTIFS('ITENS_MTR'!$S$6:$S$1005,A412,'ITENS_MTR'!$C$6:$C$1005,f_res)&gt;0,1,0)))</f>
        <v>0</v>
      </c>
      <c r="AZ412" s="97" t="str">
        <f>IF(ISNUMBER(E412),DATE(YEAR(E412),MONTH(E412),1),"")</f>
        <v/>
      </c>
      <c r="BA412" s="96">
        <f>IF(Z412=0,0,IF(AND(OR(r_ini="",AND(ISNUMBER(E412),E412&gt;=r_ini)),OR(r_fim="",AND(ISNUMBER(E412),E412&lt;=r_fim)),OR(r_un="",r_un="(Todas)",G412=r_un),OR(r_de="",r_de="(Todos)",I412=r_de)),1,0))</f>
        <v>0</v>
      </c>
      <c r="BB412" s="96" t="str">
        <f>IF(BA412=1,COUNTIF($BA$6:BA412,1),"")</f>
        <v/>
      </c>
      <c r="BC412" s="96" t="str">
        <f>IF(AND(AU412&lt;&gt;"",OR(r_un="",r_un="(Todas)",G412=r_un),OR(r_de="",r_de="(Todos)",I412=r_de)),AU412,"")</f>
        <v/>
      </c>
      <c r="BD412" s="96" t="str">
        <f>IF(Z412=1,A412&amp;" | nº "&amp;IF(B412="","(sem número)",B412)&amp;" | "&amp;IF(G412="","(sem unidade)",G412),"")</f>
        <v/>
      </c>
      <c r="BE412" s="96" t="str">
        <f>IF(Z412=1,COUNTIF($Z$6:Z412,1),"")</f>
        <v/>
      </c>
      <c r="BF412" s="96" t="str">
        <f>IF(T412="","",IF(T412="RECEBIMENTO NÃO CONFIRMADO","Transp.: "&amp;H412&amp;" | Dest.: "&amp;I412,IF(OR(T412="CDF NÃO LOCALIZADO",T412="VÍNCULO INCOMPLETO",T412="CDF A CONFERIR"),"Dest.: "&amp;I412,"Gerador: "&amp;G412)))</f>
        <v/>
      </c>
    </row>
    <row r="413">
      <c r="A413" s="89" t="inlineStr">
        <is>
          <t>MTR-000408</t>
        </is>
      </c>
      <c r="B413" s="90" t="n"/>
      <c r="C413" s="91" t="n"/>
      <c r="D413" s="91" t="n"/>
      <c r="E413" s="92" t="n"/>
      <c r="F413" s="92" t="n"/>
      <c r="G413" s="91" t="n"/>
      <c r="H413" s="91" t="n"/>
      <c r="I413" s="91" t="n"/>
      <c r="J413" s="91" t="n"/>
      <c r="K413" s="91" t="n"/>
      <c r="L413" s="92" t="n"/>
      <c r="M413" s="91" t="n"/>
      <c r="N413" s="91" t="n"/>
      <c r="O413" s="91" t="n"/>
      <c r="P413" s="93" t="str">
        <f>IF(Z413=0,"",SUMIFS('ITENS_MTR'!$I$6:$I$1005,'ITENS_MTR'!$S$6:$S$1005,A413,'ITENS_MTR'!$Y$6:$Y$1005,1))</f>
        <v/>
      </c>
      <c r="Q413" s="93" t="str">
        <f>IF(Z413=0,"",SUMIFS('RECEBIMENTOS'!$H$6:$H$1005,'RECEBIMENTOS'!$B$6:$B$1005,A413,'RECEBIMENTOS'!$X$6:$X$1005,1))</f>
        <v/>
      </c>
      <c r="R413" s="93" t="str">
        <f>IF(Z413=0,"",SUMIFS('VÍNCULOS_CDF'!$H$6:$H$1005,'VÍNCULOS_CDF'!$D$6:$D$1005,A413,'VÍNCULOS_CDF'!$V$6:$V$1005,1))</f>
        <v/>
      </c>
      <c r="S413" s="94" t="str">
        <f>IF(Z413=0,"",IF(AA413=1,"Cancelado (informado)",IF(AE413=1,"Cadastro incompleto",IF(OR(AC413=1,AD413=1,AF413&gt;0,AH413&gt;0,AK413&gt;0,AL413&gt;0),"Informação a revisar",IF(AN413=0,"Aguardando recebimento",IF(N(R413)=0,"Aguardando CDF",IF(AJ413&lt;N(W413),"Vínculo de CDF parcial",IF(AO413=0,"CDF localizado, a conferir","Documentação conferida"))))))))</f>
        <v/>
      </c>
      <c r="T413" s="94" t="str">
        <f>IF(Z413=0,"",IF(S413="Cadastro incompleto","MTR INCOMPLETO",IF(S413="Informação a revisar",IF(AND(AH413&gt;0,AC413=0,AD413=0,AF413=0,AK413=0,AL413=0),"QUANTIDADE A REVISAR","IDENTIFICAÇÃO A REVISAR"),IF(S413="Aguardando recebimento","RECEBIMENTO NÃO CONFIRMADO",IF(S413="Aguardando CDF","CDF NÃO LOCALIZADO",IF(S413="Vínculo de CDF parcial","VÍNCULO INCOMPLETO",IF(S413="CDF localizado, a conferir","CDF A CONFERIR","")))))))</f>
        <v/>
      </c>
      <c r="U413" s="95" t="str">
        <f>IF(T413="","",IF(AQ413="","Não calculável",IF(AQ413&gt;TODAY(),"Data futura",TODAY()-AQ413)))</f>
        <v/>
      </c>
      <c r="V413" s="93" t="str">
        <f>IF(Z413=0,"",SUMIFS('RECEBIMENTOS'!$H$6:$H$1005,'RECEBIMENTOS'!$B$6:$B$1005,A413,'RECEBIMENTOS'!$Z$6:$Z$1005,1))</f>
        <v/>
      </c>
      <c r="W413" s="95" t="str">
        <f>IF(Z413=0,"",COUNTIFS('ITENS_MTR'!$S$6:$S$1005,A413,'ITENS_MTR'!$R$6:$R$1005,1))</f>
        <v/>
      </c>
      <c r="X413" s="94" t="str">
        <f>IF(AC413=1,"POSSÍVEL DUPLICIDADE","")</f>
        <v/>
      </c>
      <c r="Y413" s="94" t="str">
        <f>IF(Z413=0,"",IF(AW413="","Nenhuma",LEFT(AW413,LEN(AW413)-2)))</f>
        <v/>
      </c>
      <c r="Z413" s="96">
        <f>IF(COUNTA(B413:O413)&gt;0,1,0)</f>
        <v>0</v>
      </c>
      <c r="AA413" s="96">
        <f>IF(AND(Z413=1,K413&lt;&gt;""),IF(TRIM(K413)=TRIM(cfg_cancel),1,0),0)</f>
        <v>0</v>
      </c>
      <c r="AB413" s="96" t="str">
        <f>IF(AND(Z413=1,B413&lt;&gt;""),C413&amp;"|"&amp;D413&amp;"|"&amp;G413&amp;"|"&amp;TRIM(B413),"")</f>
        <v/>
      </c>
      <c r="AC413" s="96">
        <f>IF(AB413="",0,IF(SUMPRODUCT(--($AB$6:$AB$505=AB413))&gt;1,1,0))</f>
        <v>0</v>
      </c>
      <c r="AD413" s="96">
        <f>IF(Z413=0,0,IF(OR(AND(G413&lt;&gt;"",ISNA(MATCH(G413,'CAD_UNIDADES'!$C$6:$C$105,0))),AND(H413&lt;&gt;"",ISNA(MATCH(H413,cmp_transp,0))),AND(I413&lt;&gt;"",ISNA(MATCH(I413,cmp_dest,0))),AND(E413&lt;&gt;"",NOT(ISNUMBER(E413))),AND(F413&lt;&gt;"",NOT(ISNUMBER(F413))),AND(ISNUMBER(E413),ISNUMBER(F413),F413&lt;E413)),1,0))</f>
        <v>0</v>
      </c>
      <c r="AE413" s="96">
        <f>IF(Z413=0,0,IF(OR(B413="",C413="",E413="",G413="",H413="",I413="",N(W413)=0),1,0))</f>
        <v>0</v>
      </c>
      <c r="AF413" s="96">
        <f>IF(Z413=0,0,COUNTIFS('ITENS_MTR'!$S$6:$S$1005,A413,'ITENS_MTR'!$AI$6:$AI$1005,1))</f>
        <v>0</v>
      </c>
      <c r="AG413" s="96">
        <f>IF(Z413=0,0,COUNTIFS('ITENS_MTR'!$S$6:$S$1005,A413,'ITENS_MTR'!$AJ$6:$AJ$1005,1))</f>
        <v>0</v>
      </c>
      <c r="AH413" s="96">
        <f>IF(Z413=0,0,COUNTIFS('ITENS_MTR'!$S$6:$S$1005,A413,'ITENS_MTR'!$AM$6:$AM$1005,1))</f>
        <v>0</v>
      </c>
      <c r="AI413" s="96">
        <f>IF(Z413=0,0,COUNTIFS('ITENS_MTR'!$S$6:$S$1005,A413,'ITENS_MTR'!$AO$6:$AO$1005,1))</f>
        <v>0</v>
      </c>
      <c r="AJ413" s="96">
        <f>IF(Z413=0,0,COUNTIFS('ITENS_MTR'!$S$6:$S$1005,A413,'ITENS_MTR'!$AN$6:$AN$1005,1))</f>
        <v>0</v>
      </c>
      <c r="AK413" s="96">
        <f>IF(Z413=0,0,COUNTIFS('RECEBIMENTOS'!$B$6:$B$1005,A413,'RECEBIMENTOS'!$Y$6:$Y$1005,1))</f>
        <v>0</v>
      </c>
      <c r="AL413" s="96">
        <f>IF(Z413=0,0,COUNTIFS('VÍNCULOS_CDF'!$D$6:$D$1005,A413,'VÍNCULOS_CDF'!$Y$6:$Y$1005,1))</f>
        <v>0</v>
      </c>
      <c r="AM413" s="96">
        <f>IF(Z413=0,0,COUNTIFS('RECEBIMENTOS'!$B$6:$B$1005,A413,'RECEBIMENTOS'!$Q$6:$Q$1005,1))</f>
        <v>0</v>
      </c>
      <c r="AN413" s="96">
        <f>IF(AND(Z413=1,N(W413)&gt;0,AG413=N(W413)),1,0)</f>
        <v>0</v>
      </c>
      <c r="AO413" s="96">
        <f>IF(AND(Z413=1,N(W413)&gt;0,AI413=N(W413)),1,0)</f>
        <v>0</v>
      </c>
      <c r="AP413" s="97">
        <f>IF(Z413=0,0,_xlfn.MAXIFS('RECEBIMENTOS'!$E$6:$E$1005,'RECEBIMENTOS'!$B$6:$B$1005,A413))</f>
        <v>0</v>
      </c>
      <c r="AQ413" s="97" t="str">
        <f>IF(T413="","",IF(T413="RECEBIMENTO NÃO CONFIRMADO",IF(ISNUMBER(F413),F413,IF(ISNUMBER(E413),E413,"")),IF(OR(T413="CDF NÃO LOCALIZADO",T413="VÍNCULO INCOMPLETO",T413="CDF A CONFERIR"),IF(AP413&gt;0,AP413,IF(ISNUMBER(E413),E413,"")),IF(ISNUMBER(E413),E413,""))))</f>
        <v/>
      </c>
      <c r="AR413" s="96">
        <f>IF(NOT(ISNUMBER(U413)),0,IF(T413="RECEBIMENTO NÃO CONFIRMADO",IF(AND(ISNUMBER(cfg_rec),U413&gt;cfg_rec),1,0),IF(OR(T413="CDF NÃO LOCALIZADO",T413="VÍNCULO INCOMPLETO",T413="CDF A CONFERIR"),IF(AND(ISNUMBER(cfg_cdf),U413&gt;cfg_cdf),1,0),0)))</f>
        <v>0</v>
      </c>
      <c r="AS413" s="96" t="str">
        <f>IF(T413="","",IF(AR413=1,"Alta",IFERROR(INDEX(cfg_pp,MATCH(T413,cfg_pt,0))&amp;"","Média")))</f>
        <v/>
      </c>
      <c r="AT413" s="96" t="str">
        <f>IF(T413="","",IFERROR(INDEX(cfg_pv,MATCH(T413,cfg_pt,0))&amp;"",""))</f>
        <v/>
      </c>
      <c r="AU413" s="96" t="str">
        <f>IF(T413="","",IF(AS413="Alta",1,IF(AS413="Média",2,3))*1000000000+(999999-IF(ISNUMBER(U413),MIN(U413,999999),0))*1000+408)</f>
        <v/>
      </c>
      <c r="AV413" s="96">
        <f>IF(T413&lt;&gt;"",1,0)</f>
        <v>0</v>
      </c>
      <c r="AW413" s="96" t="str">
        <f>IF(Z413=0,"",IF(AA413=1,"Cancelamento informado; ","")&amp;IF(AE413=1,"Campos essenciais ou itens faltando; ","")&amp;IF(AC413=1,"Possível duplicidade do número; ","")&amp;IF(AD413=1,"Cadastro ou datas a revisar; ","")&amp;IF(AF413&gt;0,"Item de resíduo com dado a revisar; ","")&amp;IF(AH413&gt;0,"Diferença de quantidade a analisar; ","")&amp;IF(AK413&gt;0,"Recebimento com alerta; ","")&amp;IF(AL413&gt;0,"Vínculo de CDF com alerta; ","")&amp;IF(AND(AA413=0,AN413=0),"Recebimento não confirmado; ","")&amp;IF(AND(AA413=0,AN413=1,AO413=0),"CDF pendente ou a conferir; ",""))</f>
        <v/>
      </c>
      <c r="AX413" s="96">
        <f>IF(Z413=0,0,IF(AND(OR(f_ini="",AND(ISNUMBER(E413),E413&gt;=f_ini)),OR(f_fim="",AND(ISNUMBER(E413),E413&lt;=f_fim)),OR(f_un="",f_un="(Todas)",G413=f_un),OR(f_tr="",f_tr="(Todos)",H413=f_tr),OR(f_de="",f_de="(Todos)",I413=f_de),OR(f_sit="",f_sit="(Todas)",S413=f_sit)),1,0))</f>
        <v>0</v>
      </c>
      <c r="AY413" s="96">
        <f>IF(AX413=0,0,IF(OR(f_res="",f_res="(Todos)"),1,IF(COUNTIFS('ITENS_MTR'!$S$6:$S$1005,A413,'ITENS_MTR'!$C$6:$C$1005,f_res)&gt;0,1,0)))</f>
        <v>0</v>
      </c>
      <c r="AZ413" s="97" t="str">
        <f>IF(ISNUMBER(E413),DATE(YEAR(E413),MONTH(E413),1),"")</f>
        <v/>
      </c>
      <c r="BA413" s="96">
        <f>IF(Z413=0,0,IF(AND(OR(r_ini="",AND(ISNUMBER(E413),E413&gt;=r_ini)),OR(r_fim="",AND(ISNUMBER(E413),E413&lt;=r_fim)),OR(r_un="",r_un="(Todas)",G413=r_un),OR(r_de="",r_de="(Todos)",I413=r_de)),1,0))</f>
        <v>0</v>
      </c>
      <c r="BB413" s="96" t="str">
        <f>IF(BA413=1,COUNTIF($BA$6:BA413,1),"")</f>
        <v/>
      </c>
      <c r="BC413" s="96" t="str">
        <f>IF(AND(AU413&lt;&gt;"",OR(r_un="",r_un="(Todas)",G413=r_un),OR(r_de="",r_de="(Todos)",I413=r_de)),AU413,"")</f>
        <v/>
      </c>
      <c r="BD413" s="96" t="str">
        <f>IF(Z413=1,A413&amp;" | nº "&amp;IF(B413="","(sem número)",B413)&amp;" | "&amp;IF(G413="","(sem unidade)",G413),"")</f>
        <v/>
      </c>
      <c r="BE413" s="96" t="str">
        <f>IF(Z413=1,COUNTIF($Z$6:Z413,1),"")</f>
        <v/>
      </c>
      <c r="BF413" s="96" t="str">
        <f>IF(T413="","",IF(T413="RECEBIMENTO NÃO CONFIRMADO","Transp.: "&amp;H413&amp;" | Dest.: "&amp;I413,IF(OR(T413="CDF NÃO LOCALIZADO",T413="VÍNCULO INCOMPLETO",T413="CDF A CONFERIR"),"Dest.: "&amp;I413,"Gerador: "&amp;G413)))</f>
        <v/>
      </c>
    </row>
    <row r="414">
      <c r="A414" s="89" t="inlineStr">
        <is>
          <t>MTR-000409</t>
        </is>
      </c>
      <c r="B414" s="90" t="n"/>
      <c r="C414" s="91" t="n"/>
      <c r="D414" s="91" t="n"/>
      <c r="E414" s="92" t="n"/>
      <c r="F414" s="92" t="n"/>
      <c r="G414" s="91" t="n"/>
      <c r="H414" s="91" t="n"/>
      <c r="I414" s="91" t="n"/>
      <c r="J414" s="91" t="n"/>
      <c r="K414" s="91" t="n"/>
      <c r="L414" s="92" t="n"/>
      <c r="M414" s="91" t="n"/>
      <c r="N414" s="91" t="n"/>
      <c r="O414" s="91" t="n"/>
      <c r="P414" s="93" t="str">
        <f>IF(Z414=0,"",SUMIFS('ITENS_MTR'!$I$6:$I$1005,'ITENS_MTR'!$S$6:$S$1005,A414,'ITENS_MTR'!$Y$6:$Y$1005,1))</f>
        <v/>
      </c>
      <c r="Q414" s="93" t="str">
        <f>IF(Z414=0,"",SUMIFS('RECEBIMENTOS'!$H$6:$H$1005,'RECEBIMENTOS'!$B$6:$B$1005,A414,'RECEBIMENTOS'!$X$6:$X$1005,1))</f>
        <v/>
      </c>
      <c r="R414" s="93" t="str">
        <f>IF(Z414=0,"",SUMIFS('VÍNCULOS_CDF'!$H$6:$H$1005,'VÍNCULOS_CDF'!$D$6:$D$1005,A414,'VÍNCULOS_CDF'!$V$6:$V$1005,1))</f>
        <v/>
      </c>
      <c r="S414" s="94" t="str">
        <f>IF(Z414=0,"",IF(AA414=1,"Cancelado (informado)",IF(AE414=1,"Cadastro incompleto",IF(OR(AC414=1,AD414=1,AF414&gt;0,AH414&gt;0,AK414&gt;0,AL414&gt;0),"Informação a revisar",IF(AN414=0,"Aguardando recebimento",IF(N(R414)=0,"Aguardando CDF",IF(AJ414&lt;N(W414),"Vínculo de CDF parcial",IF(AO414=0,"CDF localizado, a conferir","Documentação conferida"))))))))</f>
        <v/>
      </c>
      <c r="T414" s="94" t="str">
        <f>IF(Z414=0,"",IF(S414="Cadastro incompleto","MTR INCOMPLETO",IF(S414="Informação a revisar",IF(AND(AH414&gt;0,AC414=0,AD414=0,AF414=0,AK414=0,AL414=0),"QUANTIDADE A REVISAR","IDENTIFICAÇÃO A REVISAR"),IF(S414="Aguardando recebimento","RECEBIMENTO NÃO CONFIRMADO",IF(S414="Aguardando CDF","CDF NÃO LOCALIZADO",IF(S414="Vínculo de CDF parcial","VÍNCULO INCOMPLETO",IF(S414="CDF localizado, a conferir","CDF A CONFERIR","")))))))</f>
        <v/>
      </c>
      <c r="U414" s="95" t="str">
        <f>IF(T414="","",IF(AQ414="","Não calculável",IF(AQ414&gt;TODAY(),"Data futura",TODAY()-AQ414)))</f>
        <v/>
      </c>
      <c r="V414" s="93" t="str">
        <f>IF(Z414=0,"",SUMIFS('RECEBIMENTOS'!$H$6:$H$1005,'RECEBIMENTOS'!$B$6:$B$1005,A414,'RECEBIMENTOS'!$Z$6:$Z$1005,1))</f>
        <v/>
      </c>
      <c r="W414" s="95" t="str">
        <f>IF(Z414=0,"",COUNTIFS('ITENS_MTR'!$S$6:$S$1005,A414,'ITENS_MTR'!$R$6:$R$1005,1))</f>
        <v/>
      </c>
      <c r="X414" s="94" t="str">
        <f>IF(AC414=1,"POSSÍVEL DUPLICIDADE","")</f>
        <v/>
      </c>
      <c r="Y414" s="94" t="str">
        <f>IF(Z414=0,"",IF(AW414="","Nenhuma",LEFT(AW414,LEN(AW414)-2)))</f>
        <v/>
      </c>
      <c r="Z414" s="96">
        <f>IF(COUNTA(B414:O414)&gt;0,1,0)</f>
        <v>0</v>
      </c>
      <c r="AA414" s="96">
        <f>IF(AND(Z414=1,K414&lt;&gt;""),IF(TRIM(K414)=TRIM(cfg_cancel),1,0),0)</f>
        <v>0</v>
      </c>
      <c r="AB414" s="96" t="str">
        <f>IF(AND(Z414=1,B414&lt;&gt;""),C414&amp;"|"&amp;D414&amp;"|"&amp;G414&amp;"|"&amp;TRIM(B414),"")</f>
        <v/>
      </c>
      <c r="AC414" s="96">
        <f>IF(AB414="",0,IF(SUMPRODUCT(--($AB$6:$AB$505=AB414))&gt;1,1,0))</f>
        <v>0</v>
      </c>
      <c r="AD414" s="96">
        <f>IF(Z414=0,0,IF(OR(AND(G414&lt;&gt;"",ISNA(MATCH(G414,'CAD_UNIDADES'!$C$6:$C$105,0))),AND(H414&lt;&gt;"",ISNA(MATCH(H414,cmp_transp,0))),AND(I414&lt;&gt;"",ISNA(MATCH(I414,cmp_dest,0))),AND(E414&lt;&gt;"",NOT(ISNUMBER(E414))),AND(F414&lt;&gt;"",NOT(ISNUMBER(F414))),AND(ISNUMBER(E414),ISNUMBER(F414),F414&lt;E414)),1,0))</f>
        <v>0</v>
      </c>
      <c r="AE414" s="96">
        <f>IF(Z414=0,0,IF(OR(B414="",C414="",E414="",G414="",H414="",I414="",N(W414)=0),1,0))</f>
        <v>0</v>
      </c>
      <c r="AF414" s="96">
        <f>IF(Z414=0,0,COUNTIFS('ITENS_MTR'!$S$6:$S$1005,A414,'ITENS_MTR'!$AI$6:$AI$1005,1))</f>
        <v>0</v>
      </c>
      <c r="AG414" s="96">
        <f>IF(Z414=0,0,COUNTIFS('ITENS_MTR'!$S$6:$S$1005,A414,'ITENS_MTR'!$AJ$6:$AJ$1005,1))</f>
        <v>0</v>
      </c>
      <c r="AH414" s="96">
        <f>IF(Z414=0,0,COUNTIFS('ITENS_MTR'!$S$6:$S$1005,A414,'ITENS_MTR'!$AM$6:$AM$1005,1))</f>
        <v>0</v>
      </c>
      <c r="AI414" s="96">
        <f>IF(Z414=0,0,COUNTIFS('ITENS_MTR'!$S$6:$S$1005,A414,'ITENS_MTR'!$AO$6:$AO$1005,1))</f>
        <v>0</v>
      </c>
      <c r="AJ414" s="96">
        <f>IF(Z414=0,0,COUNTIFS('ITENS_MTR'!$S$6:$S$1005,A414,'ITENS_MTR'!$AN$6:$AN$1005,1))</f>
        <v>0</v>
      </c>
      <c r="AK414" s="96">
        <f>IF(Z414=0,0,COUNTIFS('RECEBIMENTOS'!$B$6:$B$1005,A414,'RECEBIMENTOS'!$Y$6:$Y$1005,1))</f>
        <v>0</v>
      </c>
      <c r="AL414" s="96">
        <f>IF(Z414=0,0,COUNTIFS('VÍNCULOS_CDF'!$D$6:$D$1005,A414,'VÍNCULOS_CDF'!$Y$6:$Y$1005,1))</f>
        <v>0</v>
      </c>
      <c r="AM414" s="96">
        <f>IF(Z414=0,0,COUNTIFS('RECEBIMENTOS'!$B$6:$B$1005,A414,'RECEBIMENTOS'!$Q$6:$Q$1005,1))</f>
        <v>0</v>
      </c>
      <c r="AN414" s="96">
        <f>IF(AND(Z414=1,N(W414)&gt;0,AG414=N(W414)),1,0)</f>
        <v>0</v>
      </c>
      <c r="AO414" s="96">
        <f>IF(AND(Z414=1,N(W414)&gt;0,AI414=N(W414)),1,0)</f>
        <v>0</v>
      </c>
      <c r="AP414" s="97">
        <f>IF(Z414=0,0,_xlfn.MAXIFS('RECEBIMENTOS'!$E$6:$E$1005,'RECEBIMENTOS'!$B$6:$B$1005,A414))</f>
        <v>0</v>
      </c>
      <c r="AQ414" s="97" t="str">
        <f>IF(T414="","",IF(T414="RECEBIMENTO NÃO CONFIRMADO",IF(ISNUMBER(F414),F414,IF(ISNUMBER(E414),E414,"")),IF(OR(T414="CDF NÃO LOCALIZADO",T414="VÍNCULO INCOMPLETO",T414="CDF A CONFERIR"),IF(AP414&gt;0,AP414,IF(ISNUMBER(E414),E414,"")),IF(ISNUMBER(E414),E414,""))))</f>
        <v/>
      </c>
      <c r="AR414" s="96">
        <f>IF(NOT(ISNUMBER(U414)),0,IF(T414="RECEBIMENTO NÃO CONFIRMADO",IF(AND(ISNUMBER(cfg_rec),U414&gt;cfg_rec),1,0),IF(OR(T414="CDF NÃO LOCALIZADO",T414="VÍNCULO INCOMPLETO",T414="CDF A CONFERIR"),IF(AND(ISNUMBER(cfg_cdf),U414&gt;cfg_cdf),1,0),0)))</f>
        <v>0</v>
      </c>
      <c r="AS414" s="96" t="str">
        <f>IF(T414="","",IF(AR414=1,"Alta",IFERROR(INDEX(cfg_pp,MATCH(T414,cfg_pt,0))&amp;"","Média")))</f>
        <v/>
      </c>
      <c r="AT414" s="96" t="str">
        <f>IF(T414="","",IFERROR(INDEX(cfg_pv,MATCH(T414,cfg_pt,0))&amp;"",""))</f>
        <v/>
      </c>
      <c r="AU414" s="96" t="str">
        <f>IF(T414="","",IF(AS414="Alta",1,IF(AS414="Média",2,3))*1000000000+(999999-IF(ISNUMBER(U414),MIN(U414,999999),0))*1000+409)</f>
        <v/>
      </c>
      <c r="AV414" s="96">
        <f>IF(T414&lt;&gt;"",1,0)</f>
        <v>0</v>
      </c>
      <c r="AW414" s="96" t="str">
        <f>IF(Z414=0,"",IF(AA414=1,"Cancelamento informado; ","")&amp;IF(AE414=1,"Campos essenciais ou itens faltando; ","")&amp;IF(AC414=1,"Possível duplicidade do número; ","")&amp;IF(AD414=1,"Cadastro ou datas a revisar; ","")&amp;IF(AF414&gt;0,"Item de resíduo com dado a revisar; ","")&amp;IF(AH414&gt;0,"Diferença de quantidade a analisar; ","")&amp;IF(AK414&gt;0,"Recebimento com alerta; ","")&amp;IF(AL414&gt;0,"Vínculo de CDF com alerta; ","")&amp;IF(AND(AA414=0,AN414=0),"Recebimento não confirmado; ","")&amp;IF(AND(AA414=0,AN414=1,AO414=0),"CDF pendente ou a conferir; ",""))</f>
        <v/>
      </c>
      <c r="AX414" s="96">
        <f>IF(Z414=0,0,IF(AND(OR(f_ini="",AND(ISNUMBER(E414),E414&gt;=f_ini)),OR(f_fim="",AND(ISNUMBER(E414),E414&lt;=f_fim)),OR(f_un="",f_un="(Todas)",G414=f_un),OR(f_tr="",f_tr="(Todos)",H414=f_tr),OR(f_de="",f_de="(Todos)",I414=f_de),OR(f_sit="",f_sit="(Todas)",S414=f_sit)),1,0))</f>
        <v>0</v>
      </c>
      <c r="AY414" s="96">
        <f>IF(AX414=0,0,IF(OR(f_res="",f_res="(Todos)"),1,IF(COUNTIFS('ITENS_MTR'!$S$6:$S$1005,A414,'ITENS_MTR'!$C$6:$C$1005,f_res)&gt;0,1,0)))</f>
        <v>0</v>
      </c>
      <c r="AZ414" s="97" t="str">
        <f>IF(ISNUMBER(E414),DATE(YEAR(E414),MONTH(E414),1),"")</f>
        <v/>
      </c>
      <c r="BA414" s="96">
        <f>IF(Z414=0,0,IF(AND(OR(r_ini="",AND(ISNUMBER(E414),E414&gt;=r_ini)),OR(r_fim="",AND(ISNUMBER(E414),E414&lt;=r_fim)),OR(r_un="",r_un="(Todas)",G414=r_un),OR(r_de="",r_de="(Todos)",I414=r_de)),1,0))</f>
        <v>0</v>
      </c>
      <c r="BB414" s="96" t="str">
        <f>IF(BA414=1,COUNTIF($BA$6:BA414,1),"")</f>
        <v/>
      </c>
      <c r="BC414" s="96" t="str">
        <f>IF(AND(AU414&lt;&gt;"",OR(r_un="",r_un="(Todas)",G414=r_un),OR(r_de="",r_de="(Todos)",I414=r_de)),AU414,"")</f>
        <v/>
      </c>
      <c r="BD414" s="96" t="str">
        <f>IF(Z414=1,A414&amp;" | nº "&amp;IF(B414="","(sem número)",B414)&amp;" | "&amp;IF(G414="","(sem unidade)",G414),"")</f>
        <v/>
      </c>
      <c r="BE414" s="96" t="str">
        <f>IF(Z414=1,COUNTIF($Z$6:Z414,1),"")</f>
        <v/>
      </c>
      <c r="BF414" s="96" t="str">
        <f>IF(T414="","",IF(T414="RECEBIMENTO NÃO CONFIRMADO","Transp.: "&amp;H414&amp;" | Dest.: "&amp;I414,IF(OR(T414="CDF NÃO LOCALIZADO",T414="VÍNCULO INCOMPLETO",T414="CDF A CONFERIR"),"Dest.: "&amp;I414,"Gerador: "&amp;G414)))</f>
        <v/>
      </c>
    </row>
    <row r="415">
      <c r="A415" s="89" t="inlineStr">
        <is>
          <t>MTR-000410</t>
        </is>
      </c>
      <c r="B415" s="90" t="n"/>
      <c r="C415" s="91" t="n"/>
      <c r="D415" s="91" t="n"/>
      <c r="E415" s="92" t="n"/>
      <c r="F415" s="92" t="n"/>
      <c r="G415" s="91" t="n"/>
      <c r="H415" s="91" t="n"/>
      <c r="I415" s="91" t="n"/>
      <c r="J415" s="91" t="n"/>
      <c r="K415" s="91" t="n"/>
      <c r="L415" s="92" t="n"/>
      <c r="M415" s="91" t="n"/>
      <c r="N415" s="91" t="n"/>
      <c r="O415" s="91" t="n"/>
      <c r="P415" s="93" t="str">
        <f>IF(Z415=0,"",SUMIFS('ITENS_MTR'!$I$6:$I$1005,'ITENS_MTR'!$S$6:$S$1005,A415,'ITENS_MTR'!$Y$6:$Y$1005,1))</f>
        <v/>
      </c>
      <c r="Q415" s="93" t="str">
        <f>IF(Z415=0,"",SUMIFS('RECEBIMENTOS'!$H$6:$H$1005,'RECEBIMENTOS'!$B$6:$B$1005,A415,'RECEBIMENTOS'!$X$6:$X$1005,1))</f>
        <v/>
      </c>
      <c r="R415" s="93" t="str">
        <f>IF(Z415=0,"",SUMIFS('VÍNCULOS_CDF'!$H$6:$H$1005,'VÍNCULOS_CDF'!$D$6:$D$1005,A415,'VÍNCULOS_CDF'!$V$6:$V$1005,1))</f>
        <v/>
      </c>
      <c r="S415" s="94" t="str">
        <f>IF(Z415=0,"",IF(AA415=1,"Cancelado (informado)",IF(AE415=1,"Cadastro incompleto",IF(OR(AC415=1,AD415=1,AF415&gt;0,AH415&gt;0,AK415&gt;0,AL415&gt;0),"Informação a revisar",IF(AN415=0,"Aguardando recebimento",IF(N(R415)=0,"Aguardando CDF",IF(AJ415&lt;N(W415),"Vínculo de CDF parcial",IF(AO415=0,"CDF localizado, a conferir","Documentação conferida"))))))))</f>
        <v/>
      </c>
      <c r="T415" s="94" t="str">
        <f>IF(Z415=0,"",IF(S415="Cadastro incompleto","MTR INCOMPLETO",IF(S415="Informação a revisar",IF(AND(AH415&gt;0,AC415=0,AD415=0,AF415=0,AK415=0,AL415=0),"QUANTIDADE A REVISAR","IDENTIFICAÇÃO A REVISAR"),IF(S415="Aguardando recebimento","RECEBIMENTO NÃO CONFIRMADO",IF(S415="Aguardando CDF","CDF NÃO LOCALIZADO",IF(S415="Vínculo de CDF parcial","VÍNCULO INCOMPLETO",IF(S415="CDF localizado, a conferir","CDF A CONFERIR","")))))))</f>
        <v/>
      </c>
      <c r="U415" s="95" t="str">
        <f>IF(T415="","",IF(AQ415="","Não calculável",IF(AQ415&gt;TODAY(),"Data futura",TODAY()-AQ415)))</f>
        <v/>
      </c>
      <c r="V415" s="93" t="str">
        <f>IF(Z415=0,"",SUMIFS('RECEBIMENTOS'!$H$6:$H$1005,'RECEBIMENTOS'!$B$6:$B$1005,A415,'RECEBIMENTOS'!$Z$6:$Z$1005,1))</f>
        <v/>
      </c>
      <c r="W415" s="95" t="str">
        <f>IF(Z415=0,"",COUNTIFS('ITENS_MTR'!$S$6:$S$1005,A415,'ITENS_MTR'!$R$6:$R$1005,1))</f>
        <v/>
      </c>
      <c r="X415" s="94" t="str">
        <f>IF(AC415=1,"POSSÍVEL DUPLICIDADE","")</f>
        <v/>
      </c>
      <c r="Y415" s="94" t="str">
        <f>IF(Z415=0,"",IF(AW415="","Nenhuma",LEFT(AW415,LEN(AW415)-2)))</f>
        <v/>
      </c>
      <c r="Z415" s="96">
        <f>IF(COUNTA(B415:O415)&gt;0,1,0)</f>
        <v>0</v>
      </c>
      <c r="AA415" s="96">
        <f>IF(AND(Z415=1,K415&lt;&gt;""),IF(TRIM(K415)=TRIM(cfg_cancel),1,0),0)</f>
        <v>0</v>
      </c>
      <c r="AB415" s="96" t="str">
        <f>IF(AND(Z415=1,B415&lt;&gt;""),C415&amp;"|"&amp;D415&amp;"|"&amp;G415&amp;"|"&amp;TRIM(B415),"")</f>
        <v/>
      </c>
      <c r="AC415" s="96">
        <f>IF(AB415="",0,IF(SUMPRODUCT(--($AB$6:$AB$505=AB415))&gt;1,1,0))</f>
        <v>0</v>
      </c>
      <c r="AD415" s="96">
        <f>IF(Z415=0,0,IF(OR(AND(G415&lt;&gt;"",ISNA(MATCH(G415,'CAD_UNIDADES'!$C$6:$C$105,0))),AND(H415&lt;&gt;"",ISNA(MATCH(H415,cmp_transp,0))),AND(I415&lt;&gt;"",ISNA(MATCH(I415,cmp_dest,0))),AND(E415&lt;&gt;"",NOT(ISNUMBER(E415))),AND(F415&lt;&gt;"",NOT(ISNUMBER(F415))),AND(ISNUMBER(E415),ISNUMBER(F415),F415&lt;E415)),1,0))</f>
        <v>0</v>
      </c>
      <c r="AE415" s="96">
        <f>IF(Z415=0,0,IF(OR(B415="",C415="",E415="",G415="",H415="",I415="",N(W415)=0),1,0))</f>
        <v>0</v>
      </c>
      <c r="AF415" s="96">
        <f>IF(Z415=0,0,COUNTIFS('ITENS_MTR'!$S$6:$S$1005,A415,'ITENS_MTR'!$AI$6:$AI$1005,1))</f>
        <v>0</v>
      </c>
      <c r="AG415" s="96">
        <f>IF(Z415=0,0,COUNTIFS('ITENS_MTR'!$S$6:$S$1005,A415,'ITENS_MTR'!$AJ$6:$AJ$1005,1))</f>
        <v>0</v>
      </c>
      <c r="AH415" s="96">
        <f>IF(Z415=0,0,COUNTIFS('ITENS_MTR'!$S$6:$S$1005,A415,'ITENS_MTR'!$AM$6:$AM$1005,1))</f>
        <v>0</v>
      </c>
      <c r="AI415" s="96">
        <f>IF(Z415=0,0,COUNTIFS('ITENS_MTR'!$S$6:$S$1005,A415,'ITENS_MTR'!$AO$6:$AO$1005,1))</f>
        <v>0</v>
      </c>
      <c r="AJ415" s="96">
        <f>IF(Z415=0,0,COUNTIFS('ITENS_MTR'!$S$6:$S$1005,A415,'ITENS_MTR'!$AN$6:$AN$1005,1))</f>
        <v>0</v>
      </c>
      <c r="AK415" s="96">
        <f>IF(Z415=0,0,COUNTIFS('RECEBIMENTOS'!$B$6:$B$1005,A415,'RECEBIMENTOS'!$Y$6:$Y$1005,1))</f>
        <v>0</v>
      </c>
      <c r="AL415" s="96">
        <f>IF(Z415=0,0,COUNTIFS('VÍNCULOS_CDF'!$D$6:$D$1005,A415,'VÍNCULOS_CDF'!$Y$6:$Y$1005,1))</f>
        <v>0</v>
      </c>
      <c r="AM415" s="96">
        <f>IF(Z415=0,0,COUNTIFS('RECEBIMENTOS'!$B$6:$B$1005,A415,'RECEBIMENTOS'!$Q$6:$Q$1005,1))</f>
        <v>0</v>
      </c>
      <c r="AN415" s="96">
        <f>IF(AND(Z415=1,N(W415)&gt;0,AG415=N(W415)),1,0)</f>
        <v>0</v>
      </c>
      <c r="AO415" s="96">
        <f>IF(AND(Z415=1,N(W415)&gt;0,AI415=N(W415)),1,0)</f>
        <v>0</v>
      </c>
      <c r="AP415" s="97">
        <f>IF(Z415=0,0,_xlfn.MAXIFS('RECEBIMENTOS'!$E$6:$E$1005,'RECEBIMENTOS'!$B$6:$B$1005,A415))</f>
        <v>0</v>
      </c>
      <c r="AQ415" s="97" t="str">
        <f>IF(T415="","",IF(T415="RECEBIMENTO NÃO CONFIRMADO",IF(ISNUMBER(F415),F415,IF(ISNUMBER(E415),E415,"")),IF(OR(T415="CDF NÃO LOCALIZADO",T415="VÍNCULO INCOMPLETO",T415="CDF A CONFERIR"),IF(AP415&gt;0,AP415,IF(ISNUMBER(E415),E415,"")),IF(ISNUMBER(E415),E415,""))))</f>
        <v/>
      </c>
      <c r="AR415" s="96">
        <f>IF(NOT(ISNUMBER(U415)),0,IF(T415="RECEBIMENTO NÃO CONFIRMADO",IF(AND(ISNUMBER(cfg_rec),U415&gt;cfg_rec),1,0),IF(OR(T415="CDF NÃO LOCALIZADO",T415="VÍNCULO INCOMPLETO",T415="CDF A CONFERIR"),IF(AND(ISNUMBER(cfg_cdf),U415&gt;cfg_cdf),1,0),0)))</f>
        <v>0</v>
      </c>
      <c r="AS415" s="96" t="str">
        <f>IF(T415="","",IF(AR415=1,"Alta",IFERROR(INDEX(cfg_pp,MATCH(T415,cfg_pt,0))&amp;"","Média")))</f>
        <v/>
      </c>
      <c r="AT415" s="96" t="str">
        <f>IF(T415="","",IFERROR(INDEX(cfg_pv,MATCH(T415,cfg_pt,0))&amp;"",""))</f>
        <v/>
      </c>
      <c r="AU415" s="96" t="str">
        <f>IF(T415="","",IF(AS415="Alta",1,IF(AS415="Média",2,3))*1000000000+(999999-IF(ISNUMBER(U415),MIN(U415,999999),0))*1000+410)</f>
        <v/>
      </c>
      <c r="AV415" s="96">
        <f>IF(T415&lt;&gt;"",1,0)</f>
        <v>0</v>
      </c>
      <c r="AW415" s="96" t="str">
        <f>IF(Z415=0,"",IF(AA415=1,"Cancelamento informado; ","")&amp;IF(AE415=1,"Campos essenciais ou itens faltando; ","")&amp;IF(AC415=1,"Possível duplicidade do número; ","")&amp;IF(AD415=1,"Cadastro ou datas a revisar; ","")&amp;IF(AF415&gt;0,"Item de resíduo com dado a revisar; ","")&amp;IF(AH415&gt;0,"Diferença de quantidade a analisar; ","")&amp;IF(AK415&gt;0,"Recebimento com alerta; ","")&amp;IF(AL415&gt;0,"Vínculo de CDF com alerta; ","")&amp;IF(AND(AA415=0,AN415=0),"Recebimento não confirmado; ","")&amp;IF(AND(AA415=0,AN415=1,AO415=0),"CDF pendente ou a conferir; ",""))</f>
        <v/>
      </c>
      <c r="AX415" s="96">
        <f>IF(Z415=0,0,IF(AND(OR(f_ini="",AND(ISNUMBER(E415),E415&gt;=f_ini)),OR(f_fim="",AND(ISNUMBER(E415),E415&lt;=f_fim)),OR(f_un="",f_un="(Todas)",G415=f_un),OR(f_tr="",f_tr="(Todos)",H415=f_tr),OR(f_de="",f_de="(Todos)",I415=f_de),OR(f_sit="",f_sit="(Todas)",S415=f_sit)),1,0))</f>
        <v>0</v>
      </c>
      <c r="AY415" s="96">
        <f>IF(AX415=0,0,IF(OR(f_res="",f_res="(Todos)"),1,IF(COUNTIFS('ITENS_MTR'!$S$6:$S$1005,A415,'ITENS_MTR'!$C$6:$C$1005,f_res)&gt;0,1,0)))</f>
        <v>0</v>
      </c>
      <c r="AZ415" s="97" t="str">
        <f>IF(ISNUMBER(E415),DATE(YEAR(E415),MONTH(E415),1),"")</f>
        <v/>
      </c>
      <c r="BA415" s="96">
        <f>IF(Z415=0,0,IF(AND(OR(r_ini="",AND(ISNUMBER(E415),E415&gt;=r_ini)),OR(r_fim="",AND(ISNUMBER(E415),E415&lt;=r_fim)),OR(r_un="",r_un="(Todas)",G415=r_un),OR(r_de="",r_de="(Todos)",I415=r_de)),1,0))</f>
        <v>0</v>
      </c>
      <c r="BB415" s="96" t="str">
        <f>IF(BA415=1,COUNTIF($BA$6:BA415,1),"")</f>
        <v/>
      </c>
      <c r="BC415" s="96" t="str">
        <f>IF(AND(AU415&lt;&gt;"",OR(r_un="",r_un="(Todas)",G415=r_un),OR(r_de="",r_de="(Todos)",I415=r_de)),AU415,"")</f>
        <v/>
      </c>
      <c r="BD415" s="96" t="str">
        <f>IF(Z415=1,A415&amp;" | nº "&amp;IF(B415="","(sem número)",B415)&amp;" | "&amp;IF(G415="","(sem unidade)",G415),"")</f>
        <v/>
      </c>
      <c r="BE415" s="96" t="str">
        <f>IF(Z415=1,COUNTIF($Z$6:Z415,1),"")</f>
        <v/>
      </c>
      <c r="BF415" s="96" t="str">
        <f>IF(T415="","",IF(T415="RECEBIMENTO NÃO CONFIRMADO","Transp.: "&amp;H415&amp;" | Dest.: "&amp;I415,IF(OR(T415="CDF NÃO LOCALIZADO",T415="VÍNCULO INCOMPLETO",T415="CDF A CONFERIR"),"Dest.: "&amp;I415,"Gerador: "&amp;G415)))</f>
        <v/>
      </c>
    </row>
    <row r="416">
      <c r="A416" s="89" t="inlineStr">
        <is>
          <t>MTR-000411</t>
        </is>
      </c>
      <c r="B416" s="90" t="n"/>
      <c r="C416" s="91" t="n"/>
      <c r="D416" s="91" t="n"/>
      <c r="E416" s="92" t="n"/>
      <c r="F416" s="92" t="n"/>
      <c r="G416" s="91" t="n"/>
      <c r="H416" s="91" t="n"/>
      <c r="I416" s="91" t="n"/>
      <c r="J416" s="91" t="n"/>
      <c r="K416" s="91" t="n"/>
      <c r="L416" s="92" t="n"/>
      <c r="M416" s="91" t="n"/>
      <c r="N416" s="91" t="n"/>
      <c r="O416" s="91" t="n"/>
      <c r="P416" s="93" t="str">
        <f>IF(Z416=0,"",SUMIFS('ITENS_MTR'!$I$6:$I$1005,'ITENS_MTR'!$S$6:$S$1005,A416,'ITENS_MTR'!$Y$6:$Y$1005,1))</f>
        <v/>
      </c>
      <c r="Q416" s="93" t="str">
        <f>IF(Z416=0,"",SUMIFS('RECEBIMENTOS'!$H$6:$H$1005,'RECEBIMENTOS'!$B$6:$B$1005,A416,'RECEBIMENTOS'!$X$6:$X$1005,1))</f>
        <v/>
      </c>
      <c r="R416" s="93" t="str">
        <f>IF(Z416=0,"",SUMIFS('VÍNCULOS_CDF'!$H$6:$H$1005,'VÍNCULOS_CDF'!$D$6:$D$1005,A416,'VÍNCULOS_CDF'!$V$6:$V$1005,1))</f>
        <v/>
      </c>
      <c r="S416" s="94" t="str">
        <f>IF(Z416=0,"",IF(AA416=1,"Cancelado (informado)",IF(AE416=1,"Cadastro incompleto",IF(OR(AC416=1,AD416=1,AF416&gt;0,AH416&gt;0,AK416&gt;0,AL416&gt;0),"Informação a revisar",IF(AN416=0,"Aguardando recebimento",IF(N(R416)=0,"Aguardando CDF",IF(AJ416&lt;N(W416),"Vínculo de CDF parcial",IF(AO416=0,"CDF localizado, a conferir","Documentação conferida"))))))))</f>
        <v/>
      </c>
      <c r="T416" s="94" t="str">
        <f>IF(Z416=0,"",IF(S416="Cadastro incompleto","MTR INCOMPLETO",IF(S416="Informação a revisar",IF(AND(AH416&gt;0,AC416=0,AD416=0,AF416=0,AK416=0,AL416=0),"QUANTIDADE A REVISAR","IDENTIFICAÇÃO A REVISAR"),IF(S416="Aguardando recebimento","RECEBIMENTO NÃO CONFIRMADO",IF(S416="Aguardando CDF","CDF NÃO LOCALIZADO",IF(S416="Vínculo de CDF parcial","VÍNCULO INCOMPLETO",IF(S416="CDF localizado, a conferir","CDF A CONFERIR","")))))))</f>
        <v/>
      </c>
      <c r="U416" s="95" t="str">
        <f>IF(T416="","",IF(AQ416="","Não calculável",IF(AQ416&gt;TODAY(),"Data futura",TODAY()-AQ416)))</f>
        <v/>
      </c>
      <c r="V416" s="93" t="str">
        <f>IF(Z416=0,"",SUMIFS('RECEBIMENTOS'!$H$6:$H$1005,'RECEBIMENTOS'!$B$6:$B$1005,A416,'RECEBIMENTOS'!$Z$6:$Z$1005,1))</f>
        <v/>
      </c>
      <c r="W416" s="95" t="str">
        <f>IF(Z416=0,"",COUNTIFS('ITENS_MTR'!$S$6:$S$1005,A416,'ITENS_MTR'!$R$6:$R$1005,1))</f>
        <v/>
      </c>
      <c r="X416" s="94" t="str">
        <f>IF(AC416=1,"POSSÍVEL DUPLICIDADE","")</f>
        <v/>
      </c>
      <c r="Y416" s="94" t="str">
        <f>IF(Z416=0,"",IF(AW416="","Nenhuma",LEFT(AW416,LEN(AW416)-2)))</f>
        <v/>
      </c>
      <c r="Z416" s="96">
        <f>IF(COUNTA(B416:O416)&gt;0,1,0)</f>
        <v>0</v>
      </c>
      <c r="AA416" s="96">
        <f>IF(AND(Z416=1,K416&lt;&gt;""),IF(TRIM(K416)=TRIM(cfg_cancel),1,0),0)</f>
        <v>0</v>
      </c>
      <c r="AB416" s="96" t="str">
        <f>IF(AND(Z416=1,B416&lt;&gt;""),C416&amp;"|"&amp;D416&amp;"|"&amp;G416&amp;"|"&amp;TRIM(B416),"")</f>
        <v/>
      </c>
      <c r="AC416" s="96">
        <f>IF(AB416="",0,IF(SUMPRODUCT(--($AB$6:$AB$505=AB416))&gt;1,1,0))</f>
        <v>0</v>
      </c>
      <c r="AD416" s="96">
        <f>IF(Z416=0,0,IF(OR(AND(G416&lt;&gt;"",ISNA(MATCH(G416,'CAD_UNIDADES'!$C$6:$C$105,0))),AND(H416&lt;&gt;"",ISNA(MATCH(H416,cmp_transp,0))),AND(I416&lt;&gt;"",ISNA(MATCH(I416,cmp_dest,0))),AND(E416&lt;&gt;"",NOT(ISNUMBER(E416))),AND(F416&lt;&gt;"",NOT(ISNUMBER(F416))),AND(ISNUMBER(E416),ISNUMBER(F416),F416&lt;E416)),1,0))</f>
        <v>0</v>
      </c>
      <c r="AE416" s="96">
        <f>IF(Z416=0,0,IF(OR(B416="",C416="",E416="",G416="",H416="",I416="",N(W416)=0),1,0))</f>
        <v>0</v>
      </c>
      <c r="AF416" s="96">
        <f>IF(Z416=0,0,COUNTIFS('ITENS_MTR'!$S$6:$S$1005,A416,'ITENS_MTR'!$AI$6:$AI$1005,1))</f>
        <v>0</v>
      </c>
      <c r="AG416" s="96">
        <f>IF(Z416=0,0,COUNTIFS('ITENS_MTR'!$S$6:$S$1005,A416,'ITENS_MTR'!$AJ$6:$AJ$1005,1))</f>
        <v>0</v>
      </c>
      <c r="AH416" s="96">
        <f>IF(Z416=0,0,COUNTIFS('ITENS_MTR'!$S$6:$S$1005,A416,'ITENS_MTR'!$AM$6:$AM$1005,1))</f>
        <v>0</v>
      </c>
      <c r="AI416" s="96">
        <f>IF(Z416=0,0,COUNTIFS('ITENS_MTR'!$S$6:$S$1005,A416,'ITENS_MTR'!$AO$6:$AO$1005,1))</f>
        <v>0</v>
      </c>
      <c r="AJ416" s="96">
        <f>IF(Z416=0,0,COUNTIFS('ITENS_MTR'!$S$6:$S$1005,A416,'ITENS_MTR'!$AN$6:$AN$1005,1))</f>
        <v>0</v>
      </c>
      <c r="AK416" s="96">
        <f>IF(Z416=0,0,COUNTIFS('RECEBIMENTOS'!$B$6:$B$1005,A416,'RECEBIMENTOS'!$Y$6:$Y$1005,1))</f>
        <v>0</v>
      </c>
      <c r="AL416" s="96">
        <f>IF(Z416=0,0,COUNTIFS('VÍNCULOS_CDF'!$D$6:$D$1005,A416,'VÍNCULOS_CDF'!$Y$6:$Y$1005,1))</f>
        <v>0</v>
      </c>
      <c r="AM416" s="96">
        <f>IF(Z416=0,0,COUNTIFS('RECEBIMENTOS'!$B$6:$B$1005,A416,'RECEBIMENTOS'!$Q$6:$Q$1005,1))</f>
        <v>0</v>
      </c>
      <c r="AN416" s="96">
        <f>IF(AND(Z416=1,N(W416)&gt;0,AG416=N(W416)),1,0)</f>
        <v>0</v>
      </c>
      <c r="AO416" s="96">
        <f>IF(AND(Z416=1,N(W416)&gt;0,AI416=N(W416)),1,0)</f>
        <v>0</v>
      </c>
      <c r="AP416" s="97">
        <f>IF(Z416=0,0,_xlfn.MAXIFS('RECEBIMENTOS'!$E$6:$E$1005,'RECEBIMENTOS'!$B$6:$B$1005,A416))</f>
        <v>0</v>
      </c>
      <c r="AQ416" s="97" t="str">
        <f>IF(T416="","",IF(T416="RECEBIMENTO NÃO CONFIRMADO",IF(ISNUMBER(F416),F416,IF(ISNUMBER(E416),E416,"")),IF(OR(T416="CDF NÃO LOCALIZADO",T416="VÍNCULO INCOMPLETO",T416="CDF A CONFERIR"),IF(AP416&gt;0,AP416,IF(ISNUMBER(E416),E416,"")),IF(ISNUMBER(E416),E416,""))))</f>
        <v/>
      </c>
      <c r="AR416" s="96">
        <f>IF(NOT(ISNUMBER(U416)),0,IF(T416="RECEBIMENTO NÃO CONFIRMADO",IF(AND(ISNUMBER(cfg_rec),U416&gt;cfg_rec),1,0),IF(OR(T416="CDF NÃO LOCALIZADO",T416="VÍNCULO INCOMPLETO",T416="CDF A CONFERIR"),IF(AND(ISNUMBER(cfg_cdf),U416&gt;cfg_cdf),1,0),0)))</f>
        <v>0</v>
      </c>
      <c r="AS416" s="96" t="str">
        <f>IF(T416="","",IF(AR416=1,"Alta",IFERROR(INDEX(cfg_pp,MATCH(T416,cfg_pt,0))&amp;"","Média")))</f>
        <v/>
      </c>
      <c r="AT416" s="96" t="str">
        <f>IF(T416="","",IFERROR(INDEX(cfg_pv,MATCH(T416,cfg_pt,0))&amp;"",""))</f>
        <v/>
      </c>
      <c r="AU416" s="96" t="str">
        <f>IF(T416="","",IF(AS416="Alta",1,IF(AS416="Média",2,3))*1000000000+(999999-IF(ISNUMBER(U416),MIN(U416,999999),0))*1000+411)</f>
        <v/>
      </c>
      <c r="AV416" s="96">
        <f>IF(T416&lt;&gt;"",1,0)</f>
        <v>0</v>
      </c>
      <c r="AW416" s="96" t="str">
        <f>IF(Z416=0,"",IF(AA416=1,"Cancelamento informado; ","")&amp;IF(AE416=1,"Campos essenciais ou itens faltando; ","")&amp;IF(AC416=1,"Possível duplicidade do número; ","")&amp;IF(AD416=1,"Cadastro ou datas a revisar; ","")&amp;IF(AF416&gt;0,"Item de resíduo com dado a revisar; ","")&amp;IF(AH416&gt;0,"Diferença de quantidade a analisar; ","")&amp;IF(AK416&gt;0,"Recebimento com alerta; ","")&amp;IF(AL416&gt;0,"Vínculo de CDF com alerta; ","")&amp;IF(AND(AA416=0,AN416=0),"Recebimento não confirmado; ","")&amp;IF(AND(AA416=0,AN416=1,AO416=0),"CDF pendente ou a conferir; ",""))</f>
        <v/>
      </c>
      <c r="AX416" s="96">
        <f>IF(Z416=0,0,IF(AND(OR(f_ini="",AND(ISNUMBER(E416),E416&gt;=f_ini)),OR(f_fim="",AND(ISNUMBER(E416),E416&lt;=f_fim)),OR(f_un="",f_un="(Todas)",G416=f_un),OR(f_tr="",f_tr="(Todos)",H416=f_tr),OR(f_de="",f_de="(Todos)",I416=f_de),OR(f_sit="",f_sit="(Todas)",S416=f_sit)),1,0))</f>
        <v>0</v>
      </c>
      <c r="AY416" s="96">
        <f>IF(AX416=0,0,IF(OR(f_res="",f_res="(Todos)"),1,IF(COUNTIFS('ITENS_MTR'!$S$6:$S$1005,A416,'ITENS_MTR'!$C$6:$C$1005,f_res)&gt;0,1,0)))</f>
        <v>0</v>
      </c>
      <c r="AZ416" s="97" t="str">
        <f>IF(ISNUMBER(E416),DATE(YEAR(E416),MONTH(E416),1),"")</f>
        <v/>
      </c>
      <c r="BA416" s="96">
        <f>IF(Z416=0,0,IF(AND(OR(r_ini="",AND(ISNUMBER(E416),E416&gt;=r_ini)),OR(r_fim="",AND(ISNUMBER(E416),E416&lt;=r_fim)),OR(r_un="",r_un="(Todas)",G416=r_un),OR(r_de="",r_de="(Todos)",I416=r_de)),1,0))</f>
        <v>0</v>
      </c>
      <c r="BB416" s="96" t="str">
        <f>IF(BA416=1,COUNTIF($BA$6:BA416,1),"")</f>
        <v/>
      </c>
      <c r="BC416" s="96" t="str">
        <f>IF(AND(AU416&lt;&gt;"",OR(r_un="",r_un="(Todas)",G416=r_un),OR(r_de="",r_de="(Todos)",I416=r_de)),AU416,"")</f>
        <v/>
      </c>
      <c r="BD416" s="96" t="str">
        <f>IF(Z416=1,A416&amp;" | nº "&amp;IF(B416="","(sem número)",B416)&amp;" | "&amp;IF(G416="","(sem unidade)",G416),"")</f>
        <v/>
      </c>
      <c r="BE416" s="96" t="str">
        <f>IF(Z416=1,COUNTIF($Z$6:Z416,1),"")</f>
        <v/>
      </c>
      <c r="BF416" s="96" t="str">
        <f>IF(T416="","",IF(T416="RECEBIMENTO NÃO CONFIRMADO","Transp.: "&amp;H416&amp;" | Dest.: "&amp;I416,IF(OR(T416="CDF NÃO LOCALIZADO",T416="VÍNCULO INCOMPLETO",T416="CDF A CONFERIR"),"Dest.: "&amp;I416,"Gerador: "&amp;G416)))</f>
        <v/>
      </c>
    </row>
    <row r="417">
      <c r="A417" s="89" t="inlineStr">
        <is>
          <t>MTR-000412</t>
        </is>
      </c>
      <c r="B417" s="90" t="n"/>
      <c r="C417" s="91" t="n"/>
      <c r="D417" s="91" t="n"/>
      <c r="E417" s="92" t="n"/>
      <c r="F417" s="92" t="n"/>
      <c r="G417" s="91" t="n"/>
      <c r="H417" s="91" t="n"/>
      <c r="I417" s="91" t="n"/>
      <c r="J417" s="91" t="n"/>
      <c r="K417" s="91" t="n"/>
      <c r="L417" s="92" t="n"/>
      <c r="M417" s="91" t="n"/>
      <c r="N417" s="91" t="n"/>
      <c r="O417" s="91" t="n"/>
      <c r="P417" s="93" t="str">
        <f>IF(Z417=0,"",SUMIFS('ITENS_MTR'!$I$6:$I$1005,'ITENS_MTR'!$S$6:$S$1005,A417,'ITENS_MTR'!$Y$6:$Y$1005,1))</f>
        <v/>
      </c>
      <c r="Q417" s="93" t="str">
        <f>IF(Z417=0,"",SUMIFS('RECEBIMENTOS'!$H$6:$H$1005,'RECEBIMENTOS'!$B$6:$B$1005,A417,'RECEBIMENTOS'!$X$6:$X$1005,1))</f>
        <v/>
      </c>
      <c r="R417" s="93" t="str">
        <f>IF(Z417=0,"",SUMIFS('VÍNCULOS_CDF'!$H$6:$H$1005,'VÍNCULOS_CDF'!$D$6:$D$1005,A417,'VÍNCULOS_CDF'!$V$6:$V$1005,1))</f>
        <v/>
      </c>
      <c r="S417" s="94" t="str">
        <f>IF(Z417=0,"",IF(AA417=1,"Cancelado (informado)",IF(AE417=1,"Cadastro incompleto",IF(OR(AC417=1,AD417=1,AF417&gt;0,AH417&gt;0,AK417&gt;0,AL417&gt;0),"Informação a revisar",IF(AN417=0,"Aguardando recebimento",IF(N(R417)=0,"Aguardando CDF",IF(AJ417&lt;N(W417),"Vínculo de CDF parcial",IF(AO417=0,"CDF localizado, a conferir","Documentação conferida"))))))))</f>
        <v/>
      </c>
      <c r="T417" s="94" t="str">
        <f>IF(Z417=0,"",IF(S417="Cadastro incompleto","MTR INCOMPLETO",IF(S417="Informação a revisar",IF(AND(AH417&gt;0,AC417=0,AD417=0,AF417=0,AK417=0,AL417=0),"QUANTIDADE A REVISAR","IDENTIFICAÇÃO A REVISAR"),IF(S417="Aguardando recebimento","RECEBIMENTO NÃO CONFIRMADO",IF(S417="Aguardando CDF","CDF NÃO LOCALIZADO",IF(S417="Vínculo de CDF parcial","VÍNCULO INCOMPLETO",IF(S417="CDF localizado, a conferir","CDF A CONFERIR","")))))))</f>
        <v/>
      </c>
      <c r="U417" s="95" t="str">
        <f>IF(T417="","",IF(AQ417="","Não calculável",IF(AQ417&gt;TODAY(),"Data futura",TODAY()-AQ417)))</f>
        <v/>
      </c>
      <c r="V417" s="93" t="str">
        <f>IF(Z417=0,"",SUMIFS('RECEBIMENTOS'!$H$6:$H$1005,'RECEBIMENTOS'!$B$6:$B$1005,A417,'RECEBIMENTOS'!$Z$6:$Z$1005,1))</f>
        <v/>
      </c>
      <c r="W417" s="95" t="str">
        <f>IF(Z417=0,"",COUNTIFS('ITENS_MTR'!$S$6:$S$1005,A417,'ITENS_MTR'!$R$6:$R$1005,1))</f>
        <v/>
      </c>
      <c r="X417" s="94" t="str">
        <f>IF(AC417=1,"POSSÍVEL DUPLICIDADE","")</f>
        <v/>
      </c>
      <c r="Y417" s="94" t="str">
        <f>IF(Z417=0,"",IF(AW417="","Nenhuma",LEFT(AW417,LEN(AW417)-2)))</f>
        <v/>
      </c>
      <c r="Z417" s="96">
        <f>IF(COUNTA(B417:O417)&gt;0,1,0)</f>
        <v>0</v>
      </c>
      <c r="AA417" s="96">
        <f>IF(AND(Z417=1,K417&lt;&gt;""),IF(TRIM(K417)=TRIM(cfg_cancel),1,0),0)</f>
        <v>0</v>
      </c>
      <c r="AB417" s="96" t="str">
        <f>IF(AND(Z417=1,B417&lt;&gt;""),C417&amp;"|"&amp;D417&amp;"|"&amp;G417&amp;"|"&amp;TRIM(B417),"")</f>
        <v/>
      </c>
      <c r="AC417" s="96">
        <f>IF(AB417="",0,IF(SUMPRODUCT(--($AB$6:$AB$505=AB417))&gt;1,1,0))</f>
        <v>0</v>
      </c>
      <c r="AD417" s="96">
        <f>IF(Z417=0,0,IF(OR(AND(G417&lt;&gt;"",ISNA(MATCH(G417,'CAD_UNIDADES'!$C$6:$C$105,0))),AND(H417&lt;&gt;"",ISNA(MATCH(H417,cmp_transp,0))),AND(I417&lt;&gt;"",ISNA(MATCH(I417,cmp_dest,0))),AND(E417&lt;&gt;"",NOT(ISNUMBER(E417))),AND(F417&lt;&gt;"",NOT(ISNUMBER(F417))),AND(ISNUMBER(E417),ISNUMBER(F417),F417&lt;E417)),1,0))</f>
        <v>0</v>
      </c>
      <c r="AE417" s="96">
        <f>IF(Z417=0,0,IF(OR(B417="",C417="",E417="",G417="",H417="",I417="",N(W417)=0),1,0))</f>
        <v>0</v>
      </c>
      <c r="AF417" s="96">
        <f>IF(Z417=0,0,COUNTIFS('ITENS_MTR'!$S$6:$S$1005,A417,'ITENS_MTR'!$AI$6:$AI$1005,1))</f>
        <v>0</v>
      </c>
      <c r="AG417" s="96">
        <f>IF(Z417=0,0,COUNTIFS('ITENS_MTR'!$S$6:$S$1005,A417,'ITENS_MTR'!$AJ$6:$AJ$1005,1))</f>
        <v>0</v>
      </c>
      <c r="AH417" s="96">
        <f>IF(Z417=0,0,COUNTIFS('ITENS_MTR'!$S$6:$S$1005,A417,'ITENS_MTR'!$AM$6:$AM$1005,1))</f>
        <v>0</v>
      </c>
      <c r="AI417" s="96">
        <f>IF(Z417=0,0,COUNTIFS('ITENS_MTR'!$S$6:$S$1005,A417,'ITENS_MTR'!$AO$6:$AO$1005,1))</f>
        <v>0</v>
      </c>
      <c r="AJ417" s="96">
        <f>IF(Z417=0,0,COUNTIFS('ITENS_MTR'!$S$6:$S$1005,A417,'ITENS_MTR'!$AN$6:$AN$1005,1))</f>
        <v>0</v>
      </c>
      <c r="AK417" s="96">
        <f>IF(Z417=0,0,COUNTIFS('RECEBIMENTOS'!$B$6:$B$1005,A417,'RECEBIMENTOS'!$Y$6:$Y$1005,1))</f>
        <v>0</v>
      </c>
      <c r="AL417" s="96">
        <f>IF(Z417=0,0,COUNTIFS('VÍNCULOS_CDF'!$D$6:$D$1005,A417,'VÍNCULOS_CDF'!$Y$6:$Y$1005,1))</f>
        <v>0</v>
      </c>
      <c r="AM417" s="96">
        <f>IF(Z417=0,0,COUNTIFS('RECEBIMENTOS'!$B$6:$B$1005,A417,'RECEBIMENTOS'!$Q$6:$Q$1005,1))</f>
        <v>0</v>
      </c>
      <c r="AN417" s="96">
        <f>IF(AND(Z417=1,N(W417)&gt;0,AG417=N(W417)),1,0)</f>
        <v>0</v>
      </c>
      <c r="AO417" s="96">
        <f>IF(AND(Z417=1,N(W417)&gt;0,AI417=N(W417)),1,0)</f>
        <v>0</v>
      </c>
      <c r="AP417" s="97">
        <f>IF(Z417=0,0,_xlfn.MAXIFS('RECEBIMENTOS'!$E$6:$E$1005,'RECEBIMENTOS'!$B$6:$B$1005,A417))</f>
        <v>0</v>
      </c>
      <c r="AQ417" s="97" t="str">
        <f>IF(T417="","",IF(T417="RECEBIMENTO NÃO CONFIRMADO",IF(ISNUMBER(F417),F417,IF(ISNUMBER(E417),E417,"")),IF(OR(T417="CDF NÃO LOCALIZADO",T417="VÍNCULO INCOMPLETO",T417="CDF A CONFERIR"),IF(AP417&gt;0,AP417,IF(ISNUMBER(E417),E417,"")),IF(ISNUMBER(E417),E417,""))))</f>
        <v/>
      </c>
      <c r="AR417" s="96">
        <f>IF(NOT(ISNUMBER(U417)),0,IF(T417="RECEBIMENTO NÃO CONFIRMADO",IF(AND(ISNUMBER(cfg_rec),U417&gt;cfg_rec),1,0),IF(OR(T417="CDF NÃO LOCALIZADO",T417="VÍNCULO INCOMPLETO",T417="CDF A CONFERIR"),IF(AND(ISNUMBER(cfg_cdf),U417&gt;cfg_cdf),1,0),0)))</f>
        <v>0</v>
      </c>
      <c r="AS417" s="96" t="str">
        <f>IF(T417="","",IF(AR417=1,"Alta",IFERROR(INDEX(cfg_pp,MATCH(T417,cfg_pt,0))&amp;"","Média")))</f>
        <v/>
      </c>
      <c r="AT417" s="96" t="str">
        <f>IF(T417="","",IFERROR(INDEX(cfg_pv,MATCH(T417,cfg_pt,0))&amp;"",""))</f>
        <v/>
      </c>
      <c r="AU417" s="96" t="str">
        <f>IF(T417="","",IF(AS417="Alta",1,IF(AS417="Média",2,3))*1000000000+(999999-IF(ISNUMBER(U417),MIN(U417,999999),0))*1000+412)</f>
        <v/>
      </c>
      <c r="AV417" s="96">
        <f>IF(T417&lt;&gt;"",1,0)</f>
        <v>0</v>
      </c>
      <c r="AW417" s="96" t="str">
        <f>IF(Z417=0,"",IF(AA417=1,"Cancelamento informado; ","")&amp;IF(AE417=1,"Campos essenciais ou itens faltando; ","")&amp;IF(AC417=1,"Possível duplicidade do número; ","")&amp;IF(AD417=1,"Cadastro ou datas a revisar; ","")&amp;IF(AF417&gt;0,"Item de resíduo com dado a revisar; ","")&amp;IF(AH417&gt;0,"Diferença de quantidade a analisar; ","")&amp;IF(AK417&gt;0,"Recebimento com alerta; ","")&amp;IF(AL417&gt;0,"Vínculo de CDF com alerta; ","")&amp;IF(AND(AA417=0,AN417=0),"Recebimento não confirmado; ","")&amp;IF(AND(AA417=0,AN417=1,AO417=0),"CDF pendente ou a conferir; ",""))</f>
        <v/>
      </c>
      <c r="AX417" s="96">
        <f>IF(Z417=0,0,IF(AND(OR(f_ini="",AND(ISNUMBER(E417),E417&gt;=f_ini)),OR(f_fim="",AND(ISNUMBER(E417),E417&lt;=f_fim)),OR(f_un="",f_un="(Todas)",G417=f_un),OR(f_tr="",f_tr="(Todos)",H417=f_tr),OR(f_de="",f_de="(Todos)",I417=f_de),OR(f_sit="",f_sit="(Todas)",S417=f_sit)),1,0))</f>
        <v>0</v>
      </c>
      <c r="AY417" s="96">
        <f>IF(AX417=0,0,IF(OR(f_res="",f_res="(Todos)"),1,IF(COUNTIFS('ITENS_MTR'!$S$6:$S$1005,A417,'ITENS_MTR'!$C$6:$C$1005,f_res)&gt;0,1,0)))</f>
        <v>0</v>
      </c>
      <c r="AZ417" s="97" t="str">
        <f>IF(ISNUMBER(E417),DATE(YEAR(E417),MONTH(E417),1),"")</f>
        <v/>
      </c>
      <c r="BA417" s="96">
        <f>IF(Z417=0,0,IF(AND(OR(r_ini="",AND(ISNUMBER(E417),E417&gt;=r_ini)),OR(r_fim="",AND(ISNUMBER(E417),E417&lt;=r_fim)),OR(r_un="",r_un="(Todas)",G417=r_un),OR(r_de="",r_de="(Todos)",I417=r_de)),1,0))</f>
        <v>0</v>
      </c>
      <c r="BB417" s="96" t="str">
        <f>IF(BA417=1,COUNTIF($BA$6:BA417,1),"")</f>
        <v/>
      </c>
      <c r="BC417" s="96" t="str">
        <f>IF(AND(AU417&lt;&gt;"",OR(r_un="",r_un="(Todas)",G417=r_un),OR(r_de="",r_de="(Todos)",I417=r_de)),AU417,"")</f>
        <v/>
      </c>
      <c r="BD417" s="96" t="str">
        <f>IF(Z417=1,A417&amp;" | nº "&amp;IF(B417="","(sem número)",B417)&amp;" | "&amp;IF(G417="","(sem unidade)",G417),"")</f>
        <v/>
      </c>
      <c r="BE417" s="96" t="str">
        <f>IF(Z417=1,COUNTIF($Z$6:Z417,1),"")</f>
        <v/>
      </c>
      <c r="BF417" s="96" t="str">
        <f>IF(T417="","",IF(T417="RECEBIMENTO NÃO CONFIRMADO","Transp.: "&amp;H417&amp;" | Dest.: "&amp;I417,IF(OR(T417="CDF NÃO LOCALIZADO",T417="VÍNCULO INCOMPLETO",T417="CDF A CONFERIR"),"Dest.: "&amp;I417,"Gerador: "&amp;G417)))</f>
        <v/>
      </c>
    </row>
    <row r="418">
      <c r="A418" s="89" t="inlineStr">
        <is>
          <t>MTR-000413</t>
        </is>
      </c>
      <c r="B418" s="90" t="n"/>
      <c r="C418" s="91" t="n"/>
      <c r="D418" s="91" t="n"/>
      <c r="E418" s="92" t="n"/>
      <c r="F418" s="92" t="n"/>
      <c r="G418" s="91" t="n"/>
      <c r="H418" s="91" t="n"/>
      <c r="I418" s="91" t="n"/>
      <c r="J418" s="91" t="n"/>
      <c r="K418" s="91" t="n"/>
      <c r="L418" s="92" t="n"/>
      <c r="M418" s="91" t="n"/>
      <c r="N418" s="91" t="n"/>
      <c r="O418" s="91" t="n"/>
      <c r="P418" s="93" t="str">
        <f>IF(Z418=0,"",SUMIFS('ITENS_MTR'!$I$6:$I$1005,'ITENS_MTR'!$S$6:$S$1005,A418,'ITENS_MTR'!$Y$6:$Y$1005,1))</f>
        <v/>
      </c>
      <c r="Q418" s="93" t="str">
        <f>IF(Z418=0,"",SUMIFS('RECEBIMENTOS'!$H$6:$H$1005,'RECEBIMENTOS'!$B$6:$B$1005,A418,'RECEBIMENTOS'!$X$6:$X$1005,1))</f>
        <v/>
      </c>
      <c r="R418" s="93" t="str">
        <f>IF(Z418=0,"",SUMIFS('VÍNCULOS_CDF'!$H$6:$H$1005,'VÍNCULOS_CDF'!$D$6:$D$1005,A418,'VÍNCULOS_CDF'!$V$6:$V$1005,1))</f>
        <v/>
      </c>
      <c r="S418" s="94" t="str">
        <f>IF(Z418=0,"",IF(AA418=1,"Cancelado (informado)",IF(AE418=1,"Cadastro incompleto",IF(OR(AC418=1,AD418=1,AF418&gt;0,AH418&gt;0,AK418&gt;0,AL418&gt;0),"Informação a revisar",IF(AN418=0,"Aguardando recebimento",IF(N(R418)=0,"Aguardando CDF",IF(AJ418&lt;N(W418),"Vínculo de CDF parcial",IF(AO418=0,"CDF localizado, a conferir","Documentação conferida"))))))))</f>
        <v/>
      </c>
      <c r="T418" s="94" t="str">
        <f>IF(Z418=0,"",IF(S418="Cadastro incompleto","MTR INCOMPLETO",IF(S418="Informação a revisar",IF(AND(AH418&gt;0,AC418=0,AD418=0,AF418=0,AK418=0,AL418=0),"QUANTIDADE A REVISAR","IDENTIFICAÇÃO A REVISAR"),IF(S418="Aguardando recebimento","RECEBIMENTO NÃO CONFIRMADO",IF(S418="Aguardando CDF","CDF NÃO LOCALIZADO",IF(S418="Vínculo de CDF parcial","VÍNCULO INCOMPLETO",IF(S418="CDF localizado, a conferir","CDF A CONFERIR","")))))))</f>
        <v/>
      </c>
      <c r="U418" s="95" t="str">
        <f>IF(T418="","",IF(AQ418="","Não calculável",IF(AQ418&gt;TODAY(),"Data futura",TODAY()-AQ418)))</f>
        <v/>
      </c>
      <c r="V418" s="93" t="str">
        <f>IF(Z418=0,"",SUMIFS('RECEBIMENTOS'!$H$6:$H$1005,'RECEBIMENTOS'!$B$6:$B$1005,A418,'RECEBIMENTOS'!$Z$6:$Z$1005,1))</f>
        <v/>
      </c>
      <c r="W418" s="95" t="str">
        <f>IF(Z418=0,"",COUNTIFS('ITENS_MTR'!$S$6:$S$1005,A418,'ITENS_MTR'!$R$6:$R$1005,1))</f>
        <v/>
      </c>
      <c r="X418" s="94" t="str">
        <f>IF(AC418=1,"POSSÍVEL DUPLICIDADE","")</f>
        <v/>
      </c>
      <c r="Y418" s="94" t="str">
        <f>IF(Z418=0,"",IF(AW418="","Nenhuma",LEFT(AW418,LEN(AW418)-2)))</f>
        <v/>
      </c>
      <c r="Z418" s="96">
        <f>IF(COUNTA(B418:O418)&gt;0,1,0)</f>
        <v>0</v>
      </c>
      <c r="AA418" s="96">
        <f>IF(AND(Z418=1,K418&lt;&gt;""),IF(TRIM(K418)=TRIM(cfg_cancel),1,0),0)</f>
        <v>0</v>
      </c>
      <c r="AB418" s="96" t="str">
        <f>IF(AND(Z418=1,B418&lt;&gt;""),C418&amp;"|"&amp;D418&amp;"|"&amp;G418&amp;"|"&amp;TRIM(B418),"")</f>
        <v/>
      </c>
      <c r="AC418" s="96">
        <f>IF(AB418="",0,IF(SUMPRODUCT(--($AB$6:$AB$505=AB418))&gt;1,1,0))</f>
        <v>0</v>
      </c>
      <c r="AD418" s="96">
        <f>IF(Z418=0,0,IF(OR(AND(G418&lt;&gt;"",ISNA(MATCH(G418,'CAD_UNIDADES'!$C$6:$C$105,0))),AND(H418&lt;&gt;"",ISNA(MATCH(H418,cmp_transp,0))),AND(I418&lt;&gt;"",ISNA(MATCH(I418,cmp_dest,0))),AND(E418&lt;&gt;"",NOT(ISNUMBER(E418))),AND(F418&lt;&gt;"",NOT(ISNUMBER(F418))),AND(ISNUMBER(E418),ISNUMBER(F418),F418&lt;E418)),1,0))</f>
        <v>0</v>
      </c>
      <c r="AE418" s="96">
        <f>IF(Z418=0,0,IF(OR(B418="",C418="",E418="",G418="",H418="",I418="",N(W418)=0),1,0))</f>
        <v>0</v>
      </c>
      <c r="AF418" s="96">
        <f>IF(Z418=0,0,COUNTIFS('ITENS_MTR'!$S$6:$S$1005,A418,'ITENS_MTR'!$AI$6:$AI$1005,1))</f>
        <v>0</v>
      </c>
      <c r="AG418" s="96">
        <f>IF(Z418=0,0,COUNTIFS('ITENS_MTR'!$S$6:$S$1005,A418,'ITENS_MTR'!$AJ$6:$AJ$1005,1))</f>
        <v>0</v>
      </c>
      <c r="AH418" s="96">
        <f>IF(Z418=0,0,COUNTIFS('ITENS_MTR'!$S$6:$S$1005,A418,'ITENS_MTR'!$AM$6:$AM$1005,1))</f>
        <v>0</v>
      </c>
      <c r="AI418" s="96">
        <f>IF(Z418=0,0,COUNTIFS('ITENS_MTR'!$S$6:$S$1005,A418,'ITENS_MTR'!$AO$6:$AO$1005,1))</f>
        <v>0</v>
      </c>
      <c r="AJ418" s="96">
        <f>IF(Z418=0,0,COUNTIFS('ITENS_MTR'!$S$6:$S$1005,A418,'ITENS_MTR'!$AN$6:$AN$1005,1))</f>
        <v>0</v>
      </c>
      <c r="AK418" s="96">
        <f>IF(Z418=0,0,COUNTIFS('RECEBIMENTOS'!$B$6:$B$1005,A418,'RECEBIMENTOS'!$Y$6:$Y$1005,1))</f>
        <v>0</v>
      </c>
      <c r="AL418" s="96">
        <f>IF(Z418=0,0,COUNTIFS('VÍNCULOS_CDF'!$D$6:$D$1005,A418,'VÍNCULOS_CDF'!$Y$6:$Y$1005,1))</f>
        <v>0</v>
      </c>
      <c r="AM418" s="96">
        <f>IF(Z418=0,0,COUNTIFS('RECEBIMENTOS'!$B$6:$B$1005,A418,'RECEBIMENTOS'!$Q$6:$Q$1005,1))</f>
        <v>0</v>
      </c>
      <c r="AN418" s="96">
        <f>IF(AND(Z418=1,N(W418)&gt;0,AG418=N(W418)),1,0)</f>
        <v>0</v>
      </c>
      <c r="AO418" s="96">
        <f>IF(AND(Z418=1,N(W418)&gt;0,AI418=N(W418)),1,0)</f>
        <v>0</v>
      </c>
      <c r="AP418" s="97">
        <f>IF(Z418=0,0,_xlfn.MAXIFS('RECEBIMENTOS'!$E$6:$E$1005,'RECEBIMENTOS'!$B$6:$B$1005,A418))</f>
        <v>0</v>
      </c>
      <c r="AQ418" s="97" t="str">
        <f>IF(T418="","",IF(T418="RECEBIMENTO NÃO CONFIRMADO",IF(ISNUMBER(F418),F418,IF(ISNUMBER(E418),E418,"")),IF(OR(T418="CDF NÃO LOCALIZADO",T418="VÍNCULO INCOMPLETO",T418="CDF A CONFERIR"),IF(AP418&gt;0,AP418,IF(ISNUMBER(E418),E418,"")),IF(ISNUMBER(E418),E418,""))))</f>
        <v/>
      </c>
      <c r="AR418" s="96">
        <f>IF(NOT(ISNUMBER(U418)),0,IF(T418="RECEBIMENTO NÃO CONFIRMADO",IF(AND(ISNUMBER(cfg_rec),U418&gt;cfg_rec),1,0),IF(OR(T418="CDF NÃO LOCALIZADO",T418="VÍNCULO INCOMPLETO",T418="CDF A CONFERIR"),IF(AND(ISNUMBER(cfg_cdf),U418&gt;cfg_cdf),1,0),0)))</f>
        <v>0</v>
      </c>
      <c r="AS418" s="96" t="str">
        <f>IF(T418="","",IF(AR418=1,"Alta",IFERROR(INDEX(cfg_pp,MATCH(T418,cfg_pt,0))&amp;"","Média")))</f>
        <v/>
      </c>
      <c r="AT418" s="96" t="str">
        <f>IF(T418="","",IFERROR(INDEX(cfg_pv,MATCH(T418,cfg_pt,0))&amp;"",""))</f>
        <v/>
      </c>
      <c r="AU418" s="96" t="str">
        <f>IF(T418="","",IF(AS418="Alta",1,IF(AS418="Média",2,3))*1000000000+(999999-IF(ISNUMBER(U418),MIN(U418,999999),0))*1000+413)</f>
        <v/>
      </c>
      <c r="AV418" s="96">
        <f>IF(T418&lt;&gt;"",1,0)</f>
        <v>0</v>
      </c>
      <c r="AW418" s="96" t="str">
        <f>IF(Z418=0,"",IF(AA418=1,"Cancelamento informado; ","")&amp;IF(AE418=1,"Campos essenciais ou itens faltando; ","")&amp;IF(AC418=1,"Possível duplicidade do número; ","")&amp;IF(AD418=1,"Cadastro ou datas a revisar; ","")&amp;IF(AF418&gt;0,"Item de resíduo com dado a revisar; ","")&amp;IF(AH418&gt;0,"Diferença de quantidade a analisar; ","")&amp;IF(AK418&gt;0,"Recebimento com alerta; ","")&amp;IF(AL418&gt;0,"Vínculo de CDF com alerta; ","")&amp;IF(AND(AA418=0,AN418=0),"Recebimento não confirmado; ","")&amp;IF(AND(AA418=0,AN418=1,AO418=0),"CDF pendente ou a conferir; ",""))</f>
        <v/>
      </c>
      <c r="AX418" s="96">
        <f>IF(Z418=0,0,IF(AND(OR(f_ini="",AND(ISNUMBER(E418),E418&gt;=f_ini)),OR(f_fim="",AND(ISNUMBER(E418),E418&lt;=f_fim)),OR(f_un="",f_un="(Todas)",G418=f_un),OR(f_tr="",f_tr="(Todos)",H418=f_tr),OR(f_de="",f_de="(Todos)",I418=f_de),OR(f_sit="",f_sit="(Todas)",S418=f_sit)),1,0))</f>
        <v>0</v>
      </c>
      <c r="AY418" s="96">
        <f>IF(AX418=0,0,IF(OR(f_res="",f_res="(Todos)"),1,IF(COUNTIFS('ITENS_MTR'!$S$6:$S$1005,A418,'ITENS_MTR'!$C$6:$C$1005,f_res)&gt;0,1,0)))</f>
        <v>0</v>
      </c>
      <c r="AZ418" s="97" t="str">
        <f>IF(ISNUMBER(E418),DATE(YEAR(E418),MONTH(E418),1),"")</f>
        <v/>
      </c>
      <c r="BA418" s="96">
        <f>IF(Z418=0,0,IF(AND(OR(r_ini="",AND(ISNUMBER(E418),E418&gt;=r_ini)),OR(r_fim="",AND(ISNUMBER(E418),E418&lt;=r_fim)),OR(r_un="",r_un="(Todas)",G418=r_un),OR(r_de="",r_de="(Todos)",I418=r_de)),1,0))</f>
        <v>0</v>
      </c>
      <c r="BB418" s="96" t="str">
        <f>IF(BA418=1,COUNTIF($BA$6:BA418,1),"")</f>
        <v/>
      </c>
      <c r="BC418" s="96" t="str">
        <f>IF(AND(AU418&lt;&gt;"",OR(r_un="",r_un="(Todas)",G418=r_un),OR(r_de="",r_de="(Todos)",I418=r_de)),AU418,"")</f>
        <v/>
      </c>
      <c r="BD418" s="96" t="str">
        <f>IF(Z418=1,A418&amp;" | nº "&amp;IF(B418="","(sem número)",B418)&amp;" | "&amp;IF(G418="","(sem unidade)",G418),"")</f>
        <v/>
      </c>
      <c r="BE418" s="96" t="str">
        <f>IF(Z418=1,COUNTIF($Z$6:Z418,1),"")</f>
        <v/>
      </c>
      <c r="BF418" s="96" t="str">
        <f>IF(T418="","",IF(T418="RECEBIMENTO NÃO CONFIRMADO","Transp.: "&amp;H418&amp;" | Dest.: "&amp;I418,IF(OR(T418="CDF NÃO LOCALIZADO",T418="VÍNCULO INCOMPLETO",T418="CDF A CONFERIR"),"Dest.: "&amp;I418,"Gerador: "&amp;G418)))</f>
        <v/>
      </c>
    </row>
    <row r="419">
      <c r="A419" s="89" t="inlineStr">
        <is>
          <t>MTR-000414</t>
        </is>
      </c>
      <c r="B419" s="90" t="n"/>
      <c r="C419" s="91" t="n"/>
      <c r="D419" s="91" t="n"/>
      <c r="E419" s="92" t="n"/>
      <c r="F419" s="92" t="n"/>
      <c r="G419" s="91" t="n"/>
      <c r="H419" s="91" t="n"/>
      <c r="I419" s="91" t="n"/>
      <c r="J419" s="91" t="n"/>
      <c r="K419" s="91" t="n"/>
      <c r="L419" s="92" t="n"/>
      <c r="M419" s="91" t="n"/>
      <c r="N419" s="91" t="n"/>
      <c r="O419" s="91" t="n"/>
      <c r="P419" s="93" t="str">
        <f>IF(Z419=0,"",SUMIFS('ITENS_MTR'!$I$6:$I$1005,'ITENS_MTR'!$S$6:$S$1005,A419,'ITENS_MTR'!$Y$6:$Y$1005,1))</f>
        <v/>
      </c>
      <c r="Q419" s="93" t="str">
        <f>IF(Z419=0,"",SUMIFS('RECEBIMENTOS'!$H$6:$H$1005,'RECEBIMENTOS'!$B$6:$B$1005,A419,'RECEBIMENTOS'!$X$6:$X$1005,1))</f>
        <v/>
      </c>
      <c r="R419" s="93" t="str">
        <f>IF(Z419=0,"",SUMIFS('VÍNCULOS_CDF'!$H$6:$H$1005,'VÍNCULOS_CDF'!$D$6:$D$1005,A419,'VÍNCULOS_CDF'!$V$6:$V$1005,1))</f>
        <v/>
      </c>
      <c r="S419" s="94" t="str">
        <f>IF(Z419=0,"",IF(AA419=1,"Cancelado (informado)",IF(AE419=1,"Cadastro incompleto",IF(OR(AC419=1,AD419=1,AF419&gt;0,AH419&gt;0,AK419&gt;0,AL419&gt;0),"Informação a revisar",IF(AN419=0,"Aguardando recebimento",IF(N(R419)=0,"Aguardando CDF",IF(AJ419&lt;N(W419),"Vínculo de CDF parcial",IF(AO419=0,"CDF localizado, a conferir","Documentação conferida"))))))))</f>
        <v/>
      </c>
      <c r="T419" s="94" t="str">
        <f>IF(Z419=0,"",IF(S419="Cadastro incompleto","MTR INCOMPLETO",IF(S419="Informação a revisar",IF(AND(AH419&gt;0,AC419=0,AD419=0,AF419=0,AK419=0,AL419=0),"QUANTIDADE A REVISAR","IDENTIFICAÇÃO A REVISAR"),IF(S419="Aguardando recebimento","RECEBIMENTO NÃO CONFIRMADO",IF(S419="Aguardando CDF","CDF NÃO LOCALIZADO",IF(S419="Vínculo de CDF parcial","VÍNCULO INCOMPLETO",IF(S419="CDF localizado, a conferir","CDF A CONFERIR","")))))))</f>
        <v/>
      </c>
      <c r="U419" s="95" t="str">
        <f>IF(T419="","",IF(AQ419="","Não calculável",IF(AQ419&gt;TODAY(),"Data futura",TODAY()-AQ419)))</f>
        <v/>
      </c>
      <c r="V419" s="93" t="str">
        <f>IF(Z419=0,"",SUMIFS('RECEBIMENTOS'!$H$6:$H$1005,'RECEBIMENTOS'!$B$6:$B$1005,A419,'RECEBIMENTOS'!$Z$6:$Z$1005,1))</f>
        <v/>
      </c>
      <c r="W419" s="95" t="str">
        <f>IF(Z419=0,"",COUNTIFS('ITENS_MTR'!$S$6:$S$1005,A419,'ITENS_MTR'!$R$6:$R$1005,1))</f>
        <v/>
      </c>
      <c r="X419" s="94" t="str">
        <f>IF(AC419=1,"POSSÍVEL DUPLICIDADE","")</f>
        <v/>
      </c>
      <c r="Y419" s="94" t="str">
        <f>IF(Z419=0,"",IF(AW419="","Nenhuma",LEFT(AW419,LEN(AW419)-2)))</f>
        <v/>
      </c>
      <c r="Z419" s="96">
        <f>IF(COUNTA(B419:O419)&gt;0,1,0)</f>
        <v>0</v>
      </c>
      <c r="AA419" s="96">
        <f>IF(AND(Z419=1,K419&lt;&gt;""),IF(TRIM(K419)=TRIM(cfg_cancel),1,0),0)</f>
        <v>0</v>
      </c>
      <c r="AB419" s="96" t="str">
        <f>IF(AND(Z419=1,B419&lt;&gt;""),C419&amp;"|"&amp;D419&amp;"|"&amp;G419&amp;"|"&amp;TRIM(B419),"")</f>
        <v/>
      </c>
      <c r="AC419" s="96">
        <f>IF(AB419="",0,IF(SUMPRODUCT(--($AB$6:$AB$505=AB419))&gt;1,1,0))</f>
        <v>0</v>
      </c>
      <c r="AD419" s="96">
        <f>IF(Z419=0,0,IF(OR(AND(G419&lt;&gt;"",ISNA(MATCH(G419,'CAD_UNIDADES'!$C$6:$C$105,0))),AND(H419&lt;&gt;"",ISNA(MATCH(H419,cmp_transp,0))),AND(I419&lt;&gt;"",ISNA(MATCH(I419,cmp_dest,0))),AND(E419&lt;&gt;"",NOT(ISNUMBER(E419))),AND(F419&lt;&gt;"",NOT(ISNUMBER(F419))),AND(ISNUMBER(E419),ISNUMBER(F419),F419&lt;E419)),1,0))</f>
        <v>0</v>
      </c>
      <c r="AE419" s="96">
        <f>IF(Z419=0,0,IF(OR(B419="",C419="",E419="",G419="",H419="",I419="",N(W419)=0),1,0))</f>
        <v>0</v>
      </c>
      <c r="AF419" s="96">
        <f>IF(Z419=0,0,COUNTIFS('ITENS_MTR'!$S$6:$S$1005,A419,'ITENS_MTR'!$AI$6:$AI$1005,1))</f>
        <v>0</v>
      </c>
      <c r="AG419" s="96">
        <f>IF(Z419=0,0,COUNTIFS('ITENS_MTR'!$S$6:$S$1005,A419,'ITENS_MTR'!$AJ$6:$AJ$1005,1))</f>
        <v>0</v>
      </c>
      <c r="AH419" s="96">
        <f>IF(Z419=0,0,COUNTIFS('ITENS_MTR'!$S$6:$S$1005,A419,'ITENS_MTR'!$AM$6:$AM$1005,1))</f>
        <v>0</v>
      </c>
      <c r="AI419" s="96">
        <f>IF(Z419=0,0,COUNTIFS('ITENS_MTR'!$S$6:$S$1005,A419,'ITENS_MTR'!$AO$6:$AO$1005,1))</f>
        <v>0</v>
      </c>
      <c r="AJ419" s="96">
        <f>IF(Z419=0,0,COUNTIFS('ITENS_MTR'!$S$6:$S$1005,A419,'ITENS_MTR'!$AN$6:$AN$1005,1))</f>
        <v>0</v>
      </c>
      <c r="AK419" s="96">
        <f>IF(Z419=0,0,COUNTIFS('RECEBIMENTOS'!$B$6:$B$1005,A419,'RECEBIMENTOS'!$Y$6:$Y$1005,1))</f>
        <v>0</v>
      </c>
      <c r="AL419" s="96">
        <f>IF(Z419=0,0,COUNTIFS('VÍNCULOS_CDF'!$D$6:$D$1005,A419,'VÍNCULOS_CDF'!$Y$6:$Y$1005,1))</f>
        <v>0</v>
      </c>
      <c r="AM419" s="96">
        <f>IF(Z419=0,0,COUNTIFS('RECEBIMENTOS'!$B$6:$B$1005,A419,'RECEBIMENTOS'!$Q$6:$Q$1005,1))</f>
        <v>0</v>
      </c>
      <c r="AN419" s="96">
        <f>IF(AND(Z419=1,N(W419)&gt;0,AG419=N(W419)),1,0)</f>
        <v>0</v>
      </c>
      <c r="AO419" s="96">
        <f>IF(AND(Z419=1,N(W419)&gt;0,AI419=N(W419)),1,0)</f>
        <v>0</v>
      </c>
      <c r="AP419" s="97">
        <f>IF(Z419=0,0,_xlfn.MAXIFS('RECEBIMENTOS'!$E$6:$E$1005,'RECEBIMENTOS'!$B$6:$B$1005,A419))</f>
        <v>0</v>
      </c>
      <c r="AQ419" s="97" t="str">
        <f>IF(T419="","",IF(T419="RECEBIMENTO NÃO CONFIRMADO",IF(ISNUMBER(F419),F419,IF(ISNUMBER(E419),E419,"")),IF(OR(T419="CDF NÃO LOCALIZADO",T419="VÍNCULO INCOMPLETO",T419="CDF A CONFERIR"),IF(AP419&gt;0,AP419,IF(ISNUMBER(E419),E419,"")),IF(ISNUMBER(E419),E419,""))))</f>
        <v/>
      </c>
      <c r="AR419" s="96">
        <f>IF(NOT(ISNUMBER(U419)),0,IF(T419="RECEBIMENTO NÃO CONFIRMADO",IF(AND(ISNUMBER(cfg_rec),U419&gt;cfg_rec),1,0),IF(OR(T419="CDF NÃO LOCALIZADO",T419="VÍNCULO INCOMPLETO",T419="CDF A CONFERIR"),IF(AND(ISNUMBER(cfg_cdf),U419&gt;cfg_cdf),1,0),0)))</f>
        <v>0</v>
      </c>
      <c r="AS419" s="96" t="str">
        <f>IF(T419="","",IF(AR419=1,"Alta",IFERROR(INDEX(cfg_pp,MATCH(T419,cfg_pt,0))&amp;"","Média")))</f>
        <v/>
      </c>
      <c r="AT419" s="96" t="str">
        <f>IF(T419="","",IFERROR(INDEX(cfg_pv,MATCH(T419,cfg_pt,0))&amp;"",""))</f>
        <v/>
      </c>
      <c r="AU419" s="96" t="str">
        <f>IF(T419="","",IF(AS419="Alta",1,IF(AS419="Média",2,3))*1000000000+(999999-IF(ISNUMBER(U419),MIN(U419,999999),0))*1000+414)</f>
        <v/>
      </c>
      <c r="AV419" s="96">
        <f>IF(T419&lt;&gt;"",1,0)</f>
        <v>0</v>
      </c>
      <c r="AW419" s="96" t="str">
        <f>IF(Z419=0,"",IF(AA419=1,"Cancelamento informado; ","")&amp;IF(AE419=1,"Campos essenciais ou itens faltando; ","")&amp;IF(AC419=1,"Possível duplicidade do número; ","")&amp;IF(AD419=1,"Cadastro ou datas a revisar; ","")&amp;IF(AF419&gt;0,"Item de resíduo com dado a revisar; ","")&amp;IF(AH419&gt;0,"Diferença de quantidade a analisar; ","")&amp;IF(AK419&gt;0,"Recebimento com alerta; ","")&amp;IF(AL419&gt;0,"Vínculo de CDF com alerta; ","")&amp;IF(AND(AA419=0,AN419=0),"Recebimento não confirmado; ","")&amp;IF(AND(AA419=0,AN419=1,AO419=0),"CDF pendente ou a conferir; ",""))</f>
        <v/>
      </c>
      <c r="AX419" s="96">
        <f>IF(Z419=0,0,IF(AND(OR(f_ini="",AND(ISNUMBER(E419),E419&gt;=f_ini)),OR(f_fim="",AND(ISNUMBER(E419),E419&lt;=f_fim)),OR(f_un="",f_un="(Todas)",G419=f_un),OR(f_tr="",f_tr="(Todos)",H419=f_tr),OR(f_de="",f_de="(Todos)",I419=f_de),OR(f_sit="",f_sit="(Todas)",S419=f_sit)),1,0))</f>
        <v>0</v>
      </c>
      <c r="AY419" s="96">
        <f>IF(AX419=0,0,IF(OR(f_res="",f_res="(Todos)"),1,IF(COUNTIFS('ITENS_MTR'!$S$6:$S$1005,A419,'ITENS_MTR'!$C$6:$C$1005,f_res)&gt;0,1,0)))</f>
        <v>0</v>
      </c>
      <c r="AZ419" s="97" t="str">
        <f>IF(ISNUMBER(E419),DATE(YEAR(E419),MONTH(E419),1),"")</f>
        <v/>
      </c>
      <c r="BA419" s="96">
        <f>IF(Z419=0,0,IF(AND(OR(r_ini="",AND(ISNUMBER(E419),E419&gt;=r_ini)),OR(r_fim="",AND(ISNUMBER(E419),E419&lt;=r_fim)),OR(r_un="",r_un="(Todas)",G419=r_un),OR(r_de="",r_de="(Todos)",I419=r_de)),1,0))</f>
        <v>0</v>
      </c>
      <c r="BB419" s="96" t="str">
        <f>IF(BA419=1,COUNTIF($BA$6:BA419,1),"")</f>
        <v/>
      </c>
      <c r="BC419" s="96" t="str">
        <f>IF(AND(AU419&lt;&gt;"",OR(r_un="",r_un="(Todas)",G419=r_un),OR(r_de="",r_de="(Todos)",I419=r_de)),AU419,"")</f>
        <v/>
      </c>
      <c r="BD419" s="96" t="str">
        <f>IF(Z419=1,A419&amp;" | nº "&amp;IF(B419="","(sem número)",B419)&amp;" | "&amp;IF(G419="","(sem unidade)",G419),"")</f>
        <v/>
      </c>
      <c r="BE419" s="96" t="str">
        <f>IF(Z419=1,COUNTIF($Z$6:Z419,1),"")</f>
        <v/>
      </c>
      <c r="BF419" s="96" t="str">
        <f>IF(T419="","",IF(T419="RECEBIMENTO NÃO CONFIRMADO","Transp.: "&amp;H419&amp;" | Dest.: "&amp;I419,IF(OR(T419="CDF NÃO LOCALIZADO",T419="VÍNCULO INCOMPLETO",T419="CDF A CONFERIR"),"Dest.: "&amp;I419,"Gerador: "&amp;G419)))</f>
        <v/>
      </c>
    </row>
    <row r="420">
      <c r="A420" s="89" t="inlineStr">
        <is>
          <t>MTR-000415</t>
        </is>
      </c>
      <c r="B420" s="90" t="n"/>
      <c r="C420" s="91" t="n"/>
      <c r="D420" s="91" t="n"/>
      <c r="E420" s="92" t="n"/>
      <c r="F420" s="92" t="n"/>
      <c r="G420" s="91" t="n"/>
      <c r="H420" s="91" t="n"/>
      <c r="I420" s="91" t="n"/>
      <c r="J420" s="91" t="n"/>
      <c r="K420" s="91" t="n"/>
      <c r="L420" s="92" t="n"/>
      <c r="M420" s="91" t="n"/>
      <c r="N420" s="91" t="n"/>
      <c r="O420" s="91" t="n"/>
      <c r="P420" s="93" t="str">
        <f>IF(Z420=0,"",SUMIFS('ITENS_MTR'!$I$6:$I$1005,'ITENS_MTR'!$S$6:$S$1005,A420,'ITENS_MTR'!$Y$6:$Y$1005,1))</f>
        <v/>
      </c>
      <c r="Q420" s="93" t="str">
        <f>IF(Z420=0,"",SUMIFS('RECEBIMENTOS'!$H$6:$H$1005,'RECEBIMENTOS'!$B$6:$B$1005,A420,'RECEBIMENTOS'!$X$6:$X$1005,1))</f>
        <v/>
      </c>
      <c r="R420" s="93" t="str">
        <f>IF(Z420=0,"",SUMIFS('VÍNCULOS_CDF'!$H$6:$H$1005,'VÍNCULOS_CDF'!$D$6:$D$1005,A420,'VÍNCULOS_CDF'!$V$6:$V$1005,1))</f>
        <v/>
      </c>
      <c r="S420" s="94" t="str">
        <f>IF(Z420=0,"",IF(AA420=1,"Cancelado (informado)",IF(AE420=1,"Cadastro incompleto",IF(OR(AC420=1,AD420=1,AF420&gt;0,AH420&gt;0,AK420&gt;0,AL420&gt;0),"Informação a revisar",IF(AN420=0,"Aguardando recebimento",IF(N(R420)=0,"Aguardando CDF",IF(AJ420&lt;N(W420),"Vínculo de CDF parcial",IF(AO420=0,"CDF localizado, a conferir","Documentação conferida"))))))))</f>
        <v/>
      </c>
      <c r="T420" s="94" t="str">
        <f>IF(Z420=0,"",IF(S420="Cadastro incompleto","MTR INCOMPLETO",IF(S420="Informação a revisar",IF(AND(AH420&gt;0,AC420=0,AD420=0,AF420=0,AK420=0,AL420=0),"QUANTIDADE A REVISAR","IDENTIFICAÇÃO A REVISAR"),IF(S420="Aguardando recebimento","RECEBIMENTO NÃO CONFIRMADO",IF(S420="Aguardando CDF","CDF NÃO LOCALIZADO",IF(S420="Vínculo de CDF parcial","VÍNCULO INCOMPLETO",IF(S420="CDF localizado, a conferir","CDF A CONFERIR","")))))))</f>
        <v/>
      </c>
      <c r="U420" s="95" t="str">
        <f>IF(T420="","",IF(AQ420="","Não calculável",IF(AQ420&gt;TODAY(),"Data futura",TODAY()-AQ420)))</f>
        <v/>
      </c>
      <c r="V420" s="93" t="str">
        <f>IF(Z420=0,"",SUMIFS('RECEBIMENTOS'!$H$6:$H$1005,'RECEBIMENTOS'!$B$6:$B$1005,A420,'RECEBIMENTOS'!$Z$6:$Z$1005,1))</f>
        <v/>
      </c>
      <c r="W420" s="95" t="str">
        <f>IF(Z420=0,"",COUNTIFS('ITENS_MTR'!$S$6:$S$1005,A420,'ITENS_MTR'!$R$6:$R$1005,1))</f>
        <v/>
      </c>
      <c r="X420" s="94" t="str">
        <f>IF(AC420=1,"POSSÍVEL DUPLICIDADE","")</f>
        <v/>
      </c>
      <c r="Y420" s="94" t="str">
        <f>IF(Z420=0,"",IF(AW420="","Nenhuma",LEFT(AW420,LEN(AW420)-2)))</f>
        <v/>
      </c>
      <c r="Z420" s="96">
        <f>IF(COUNTA(B420:O420)&gt;0,1,0)</f>
        <v>0</v>
      </c>
      <c r="AA420" s="96">
        <f>IF(AND(Z420=1,K420&lt;&gt;""),IF(TRIM(K420)=TRIM(cfg_cancel),1,0),0)</f>
        <v>0</v>
      </c>
      <c r="AB420" s="96" t="str">
        <f>IF(AND(Z420=1,B420&lt;&gt;""),C420&amp;"|"&amp;D420&amp;"|"&amp;G420&amp;"|"&amp;TRIM(B420),"")</f>
        <v/>
      </c>
      <c r="AC420" s="96">
        <f>IF(AB420="",0,IF(SUMPRODUCT(--($AB$6:$AB$505=AB420))&gt;1,1,0))</f>
        <v>0</v>
      </c>
      <c r="AD420" s="96">
        <f>IF(Z420=0,0,IF(OR(AND(G420&lt;&gt;"",ISNA(MATCH(G420,'CAD_UNIDADES'!$C$6:$C$105,0))),AND(H420&lt;&gt;"",ISNA(MATCH(H420,cmp_transp,0))),AND(I420&lt;&gt;"",ISNA(MATCH(I420,cmp_dest,0))),AND(E420&lt;&gt;"",NOT(ISNUMBER(E420))),AND(F420&lt;&gt;"",NOT(ISNUMBER(F420))),AND(ISNUMBER(E420),ISNUMBER(F420),F420&lt;E420)),1,0))</f>
        <v>0</v>
      </c>
      <c r="AE420" s="96">
        <f>IF(Z420=0,0,IF(OR(B420="",C420="",E420="",G420="",H420="",I420="",N(W420)=0),1,0))</f>
        <v>0</v>
      </c>
      <c r="AF420" s="96">
        <f>IF(Z420=0,0,COUNTIFS('ITENS_MTR'!$S$6:$S$1005,A420,'ITENS_MTR'!$AI$6:$AI$1005,1))</f>
        <v>0</v>
      </c>
      <c r="AG420" s="96">
        <f>IF(Z420=0,0,COUNTIFS('ITENS_MTR'!$S$6:$S$1005,A420,'ITENS_MTR'!$AJ$6:$AJ$1005,1))</f>
        <v>0</v>
      </c>
      <c r="AH420" s="96">
        <f>IF(Z420=0,0,COUNTIFS('ITENS_MTR'!$S$6:$S$1005,A420,'ITENS_MTR'!$AM$6:$AM$1005,1))</f>
        <v>0</v>
      </c>
      <c r="AI420" s="96">
        <f>IF(Z420=0,0,COUNTIFS('ITENS_MTR'!$S$6:$S$1005,A420,'ITENS_MTR'!$AO$6:$AO$1005,1))</f>
        <v>0</v>
      </c>
      <c r="AJ420" s="96">
        <f>IF(Z420=0,0,COUNTIFS('ITENS_MTR'!$S$6:$S$1005,A420,'ITENS_MTR'!$AN$6:$AN$1005,1))</f>
        <v>0</v>
      </c>
      <c r="AK420" s="96">
        <f>IF(Z420=0,0,COUNTIFS('RECEBIMENTOS'!$B$6:$B$1005,A420,'RECEBIMENTOS'!$Y$6:$Y$1005,1))</f>
        <v>0</v>
      </c>
      <c r="AL420" s="96">
        <f>IF(Z420=0,0,COUNTIFS('VÍNCULOS_CDF'!$D$6:$D$1005,A420,'VÍNCULOS_CDF'!$Y$6:$Y$1005,1))</f>
        <v>0</v>
      </c>
      <c r="AM420" s="96">
        <f>IF(Z420=0,0,COUNTIFS('RECEBIMENTOS'!$B$6:$B$1005,A420,'RECEBIMENTOS'!$Q$6:$Q$1005,1))</f>
        <v>0</v>
      </c>
      <c r="AN420" s="96">
        <f>IF(AND(Z420=1,N(W420)&gt;0,AG420=N(W420)),1,0)</f>
        <v>0</v>
      </c>
      <c r="AO420" s="96">
        <f>IF(AND(Z420=1,N(W420)&gt;0,AI420=N(W420)),1,0)</f>
        <v>0</v>
      </c>
      <c r="AP420" s="97">
        <f>IF(Z420=0,0,_xlfn.MAXIFS('RECEBIMENTOS'!$E$6:$E$1005,'RECEBIMENTOS'!$B$6:$B$1005,A420))</f>
        <v>0</v>
      </c>
      <c r="AQ420" s="97" t="str">
        <f>IF(T420="","",IF(T420="RECEBIMENTO NÃO CONFIRMADO",IF(ISNUMBER(F420),F420,IF(ISNUMBER(E420),E420,"")),IF(OR(T420="CDF NÃO LOCALIZADO",T420="VÍNCULO INCOMPLETO",T420="CDF A CONFERIR"),IF(AP420&gt;0,AP420,IF(ISNUMBER(E420),E420,"")),IF(ISNUMBER(E420),E420,""))))</f>
        <v/>
      </c>
      <c r="AR420" s="96">
        <f>IF(NOT(ISNUMBER(U420)),0,IF(T420="RECEBIMENTO NÃO CONFIRMADO",IF(AND(ISNUMBER(cfg_rec),U420&gt;cfg_rec),1,0),IF(OR(T420="CDF NÃO LOCALIZADO",T420="VÍNCULO INCOMPLETO",T420="CDF A CONFERIR"),IF(AND(ISNUMBER(cfg_cdf),U420&gt;cfg_cdf),1,0),0)))</f>
        <v>0</v>
      </c>
      <c r="AS420" s="96" t="str">
        <f>IF(T420="","",IF(AR420=1,"Alta",IFERROR(INDEX(cfg_pp,MATCH(T420,cfg_pt,0))&amp;"","Média")))</f>
        <v/>
      </c>
      <c r="AT420" s="96" t="str">
        <f>IF(T420="","",IFERROR(INDEX(cfg_pv,MATCH(T420,cfg_pt,0))&amp;"",""))</f>
        <v/>
      </c>
      <c r="AU420" s="96" t="str">
        <f>IF(T420="","",IF(AS420="Alta",1,IF(AS420="Média",2,3))*1000000000+(999999-IF(ISNUMBER(U420),MIN(U420,999999),0))*1000+415)</f>
        <v/>
      </c>
      <c r="AV420" s="96">
        <f>IF(T420&lt;&gt;"",1,0)</f>
        <v>0</v>
      </c>
      <c r="AW420" s="96" t="str">
        <f>IF(Z420=0,"",IF(AA420=1,"Cancelamento informado; ","")&amp;IF(AE420=1,"Campos essenciais ou itens faltando; ","")&amp;IF(AC420=1,"Possível duplicidade do número; ","")&amp;IF(AD420=1,"Cadastro ou datas a revisar; ","")&amp;IF(AF420&gt;0,"Item de resíduo com dado a revisar; ","")&amp;IF(AH420&gt;0,"Diferença de quantidade a analisar; ","")&amp;IF(AK420&gt;0,"Recebimento com alerta; ","")&amp;IF(AL420&gt;0,"Vínculo de CDF com alerta; ","")&amp;IF(AND(AA420=0,AN420=0),"Recebimento não confirmado; ","")&amp;IF(AND(AA420=0,AN420=1,AO420=0),"CDF pendente ou a conferir; ",""))</f>
        <v/>
      </c>
      <c r="AX420" s="96">
        <f>IF(Z420=0,0,IF(AND(OR(f_ini="",AND(ISNUMBER(E420),E420&gt;=f_ini)),OR(f_fim="",AND(ISNUMBER(E420),E420&lt;=f_fim)),OR(f_un="",f_un="(Todas)",G420=f_un),OR(f_tr="",f_tr="(Todos)",H420=f_tr),OR(f_de="",f_de="(Todos)",I420=f_de),OR(f_sit="",f_sit="(Todas)",S420=f_sit)),1,0))</f>
        <v>0</v>
      </c>
      <c r="AY420" s="96">
        <f>IF(AX420=0,0,IF(OR(f_res="",f_res="(Todos)"),1,IF(COUNTIFS('ITENS_MTR'!$S$6:$S$1005,A420,'ITENS_MTR'!$C$6:$C$1005,f_res)&gt;0,1,0)))</f>
        <v>0</v>
      </c>
      <c r="AZ420" s="97" t="str">
        <f>IF(ISNUMBER(E420),DATE(YEAR(E420),MONTH(E420),1),"")</f>
        <v/>
      </c>
      <c r="BA420" s="96">
        <f>IF(Z420=0,0,IF(AND(OR(r_ini="",AND(ISNUMBER(E420),E420&gt;=r_ini)),OR(r_fim="",AND(ISNUMBER(E420),E420&lt;=r_fim)),OR(r_un="",r_un="(Todas)",G420=r_un),OR(r_de="",r_de="(Todos)",I420=r_de)),1,0))</f>
        <v>0</v>
      </c>
      <c r="BB420" s="96" t="str">
        <f>IF(BA420=1,COUNTIF($BA$6:BA420,1),"")</f>
        <v/>
      </c>
      <c r="BC420" s="96" t="str">
        <f>IF(AND(AU420&lt;&gt;"",OR(r_un="",r_un="(Todas)",G420=r_un),OR(r_de="",r_de="(Todos)",I420=r_de)),AU420,"")</f>
        <v/>
      </c>
      <c r="BD420" s="96" t="str">
        <f>IF(Z420=1,A420&amp;" | nº "&amp;IF(B420="","(sem número)",B420)&amp;" | "&amp;IF(G420="","(sem unidade)",G420),"")</f>
        <v/>
      </c>
      <c r="BE420" s="96" t="str">
        <f>IF(Z420=1,COUNTIF($Z$6:Z420,1),"")</f>
        <v/>
      </c>
      <c r="BF420" s="96" t="str">
        <f>IF(T420="","",IF(T420="RECEBIMENTO NÃO CONFIRMADO","Transp.: "&amp;H420&amp;" | Dest.: "&amp;I420,IF(OR(T420="CDF NÃO LOCALIZADO",T420="VÍNCULO INCOMPLETO",T420="CDF A CONFERIR"),"Dest.: "&amp;I420,"Gerador: "&amp;G420)))</f>
        <v/>
      </c>
    </row>
    <row r="421">
      <c r="A421" s="89" t="inlineStr">
        <is>
          <t>MTR-000416</t>
        </is>
      </c>
      <c r="B421" s="90" t="n"/>
      <c r="C421" s="91" t="n"/>
      <c r="D421" s="91" t="n"/>
      <c r="E421" s="92" t="n"/>
      <c r="F421" s="92" t="n"/>
      <c r="G421" s="91" t="n"/>
      <c r="H421" s="91" t="n"/>
      <c r="I421" s="91" t="n"/>
      <c r="J421" s="91" t="n"/>
      <c r="K421" s="91" t="n"/>
      <c r="L421" s="92" t="n"/>
      <c r="M421" s="91" t="n"/>
      <c r="N421" s="91" t="n"/>
      <c r="O421" s="91" t="n"/>
      <c r="P421" s="93" t="str">
        <f>IF(Z421=0,"",SUMIFS('ITENS_MTR'!$I$6:$I$1005,'ITENS_MTR'!$S$6:$S$1005,A421,'ITENS_MTR'!$Y$6:$Y$1005,1))</f>
        <v/>
      </c>
      <c r="Q421" s="93" t="str">
        <f>IF(Z421=0,"",SUMIFS('RECEBIMENTOS'!$H$6:$H$1005,'RECEBIMENTOS'!$B$6:$B$1005,A421,'RECEBIMENTOS'!$X$6:$X$1005,1))</f>
        <v/>
      </c>
      <c r="R421" s="93" t="str">
        <f>IF(Z421=0,"",SUMIFS('VÍNCULOS_CDF'!$H$6:$H$1005,'VÍNCULOS_CDF'!$D$6:$D$1005,A421,'VÍNCULOS_CDF'!$V$6:$V$1005,1))</f>
        <v/>
      </c>
      <c r="S421" s="94" t="str">
        <f>IF(Z421=0,"",IF(AA421=1,"Cancelado (informado)",IF(AE421=1,"Cadastro incompleto",IF(OR(AC421=1,AD421=1,AF421&gt;0,AH421&gt;0,AK421&gt;0,AL421&gt;0),"Informação a revisar",IF(AN421=0,"Aguardando recebimento",IF(N(R421)=0,"Aguardando CDF",IF(AJ421&lt;N(W421),"Vínculo de CDF parcial",IF(AO421=0,"CDF localizado, a conferir","Documentação conferida"))))))))</f>
        <v/>
      </c>
      <c r="T421" s="94" t="str">
        <f>IF(Z421=0,"",IF(S421="Cadastro incompleto","MTR INCOMPLETO",IF(S421="Informação a revisar",IF(AND(AH421&gt;0,AC421=0,AD421=0,AF421=0,AK421=0,AL421=0),"QUANTIDADE A REVISAR","IDENTIFICAÇÃO A REVISAR"),IF(S421="Aguardando recebimento","RECEBIMENTO NÃO CONFIRMADO",IF(S421="Aguardando CDF","CDF NÃO LOCALIZADO",IF(S421="Vínculo de CDF parcial","VÍNCULO INCOMPLETO",IF(S421="CDF localizado, a conferir","CDF A CONFERIR","")))))))</f>
        <v/>
      </c>
      <c r="U421" s="95" t="str">
        <f>IF(T421="","",IF(AQ421="","Não calculável",IF(AQ421&gt;TODAY(),"Data futura",TODAY()-AQ421)))</f>
        <v/>
      </c>
      <c r="V421" s="93" t="str">
        <f>IF(Z421=0,"",SUMIFS('RECEBIMENTOS'!$H$6:$H$1005,'RECEBIMENTOS'!$B$6:$B$1005,A421,'RECEBIMENTOS'!$Z$6:$Z$1005,1))</f>
        <v/>
      </c>
      <c r="W421" s="95" t="str">
        <f>IF(Z421=0,"",COUNTIFS('ITENS_MTR'!$S$6:$S$1005,A421,'ITENS_MTR'!$R$6:$R$1005,1))</f>
        <v/>
      </c>
      <c r="X421" s="94" t="str">
        <f>IF(AC421=1,"POSSÍVEL DUPLICIDADE","")</f>
        <v/>
      </c>
      <c r="Y421" s="94" t="str">
        <f>IF(Z421=0,"",IF(AW421="","Nenhuma",LEFT(AW421,LEN(AW421)-2)))</f>
        <v/>
      </c>
      <c r="Z421" s="96">
        <f>IF(COUNTA(B421:O421)&gt;0,1,0)</f>
        <v>0</v>
      </c>
      <c r="AA421" s="96">
        <f>IF(AND(Z421=1,K421&lt;&gt;""),IF(TRIM(K421)=TRIM(cfg_cancel),1,0),0)</f>
        <v>0</v>
      </c>
      <c r="AB421" s="96" t="str">
        <f>IF(AND(Z421=1,B421&lt;&gt;""),C421&amp;"|"&amp;D421&amp;"|"&amp;G421&amp;"|"&amp;TRIM(B421),"")</f>
        <v/>
      </c>
      <c r="AC421" s="96">
        <f>IF(AB421="",0,IF(SUMPRODUCT(--($AB$6:$AB$505=AB421))&gt;1,1,0))</f>
        <v>0</v>
      </c>
      <c r="AD421" s="96">
        <f>IF(Z421=0,0,IF(OR(AND(G421&lt;&gt;"",ISNA(MATCH(G421,'CAD_UNIDADES'!$C$6:$C$105,0))),AND(H421&lt;&gt;"",ISNA(MATCH(H421,cmp_transp,0))),AND(I421&lt;&gt;"",ISNA(MATCH(I421,cmp_dest,0))),AND(E421&lt;&gt;"",NOT(ISNUMBER(E421))),AND(F421&lt;&gt;"",NOT(ISNUMBER(F421))),AND(ISNUMBER(E421),ISNUMBER(F421),F421&lt;E421)),1,0))</f>
        <v>0</v>
      </c>
      <c r="AE421" s="96">
        <f>IF(Z421=0,0,IF(OR(B421="",C421="",E421="",G421="",H421="",I421="",N(W421)=0),1,0))</f>
        <v>0</v>
      </c>
      <c r="AF421" s="96">
        <f>IF(Z421=0,0,COUNTIFS('ITENS_MTR'!$S$6:$S$1005,A421,'ITENS_MTR'!$AI$6:$AI$1005,1))</f>
        <v>0</v>
      </c>
      <c r="AG421" s="96">
        <f>IF(Z421=0,0,COUNTIFS('ITENS_MTR'!$S$6:$S$1005,A421,'ITENS_MTR'!$AJ$6:$AJ$1005,1))</f>
        <v>0</v>
      </c>
      <c r="AH421" s="96">
        <f>IF(Z421=0,0,COUNTIFS('ITENS_MTR'!$S$6:$S$1005,A421,'ITENS_MTR'!$AM$6:$AM$1005,1))</f>
        <v>0</v>
      </c>
      <c r="AI421" s="96">
        <f>IF(Z421=0,0,COUNTIFS('ITENS_MTR'!$S$6:$S$1005,A421,'ITENS_MTR'!$AO$6:$AO$1005,1))</f>
        <v>0</v>
      </c>
      <c r="AJ421" s="96">
        <f>IF(Z421=0,0,COUNTIFS('ITENS_MTR'!$S$6:$S$1005,A421,'ITENS_MTR'!$AN$6:$AN$1005,1))</f>
        <v>0</v>
      </c>
      <c r="AK421" s="96">
        <f>IF(Z421=0,0,COUNTIFS('RECEBIMENTOS'!$B$6:$B$1005,A421,'RECEBIMENTOS'!$Y$6:$Y$1005,1))</f>
        <v>0</v>
      </c>
      <c r="AL421" s="96">
        <f>IF(Z421=0,0,COUNTIFS('VÍNCULOS_CDF'!$D$6:$D$1005,A421,'VÍNCULOS_CDF'!$Y$6:$Y$1005,1))</f>
        <v>0</v>
      </c>
      <c r="AM421" s="96">
        <f>IF(Z421=0,0,COUNTIFS('RECEBIMENTOS'!$B$6:$B$1005,A421,'RECEBIMENTOS'!$Q$6:$Q$1005,1))</f>
        <v>0</v>
      </c>
      <c r="AN421" s="96">
        <f>IF(AND(Z421=1,N(W421)&gt;0,AG421=N(W421)),1,0)</f>
        <v>0</v>
      </c>
      <c r="AO421" s="96">
        <f>IF(AND(Z421=1,N(W421)&gt;0,AI421=N(W421)),1,0)</f>
        <v>0</v>
      </c>
      <c r="AP421" s="97">
        <f>IF(Z421=0,0,_xlfn.MAXIFS('RECEBIMENTOS'!$E$6:$E$1005,'RECEBIMENTOS'!$B$6:$B$1005,A421))</f>
        <v>0</v>
      </c>
      <c r="AQ421" s="97" t="str">
        <f>IF(T421="","",IF(T421="RECEBIMENTO NÃO CONFIRMADO",IF(ISNUMBER(F421),F421,IF(ISNUMBER(E421),E421,"")),IF(OR(T421="CDF NÃO LOCALIZADO",T421="VÍNCULO INCOMPLETO",T421="CDF A CONFERIR"),IF(AP421&gt;0,AP421,IF(ISNUMBER(E421),E421,"")),IF(ISNUMBER(E421),E421,""))))</f>
        <v/>
      </c>
      <c r="AR421" s="96">
        <f>IF(NOT(ISNUMBER(U421)),0,IF(T421="RECEBIMENTO NÃO CONFIRMADO",IF(AND(ISNUMBER(cfg_rec),U421&gt;cfg_rec),1,0),IF(OR(T421="CDF NÃO LOCALIZADO",T421="VÍNCULO INCOMPLETO",T421="CDF A CONFERIR"),IF(AND(ISNUMBER(cfg_cdf),U421&gt;cfg_cdf),1,0),0)))</f>
        <v>0</v>
      </c>
      <c r="AS421" s="96" t="str">
        <f>IF(T421="","",IF(AR421=1,"Alta",IFERROR(INDEX(cfg_pp,MATCH(T421,cfg_pt,0))&amp;"","Média")))</f>
        <v/>
      </c>
      <c r="AT421" s="96" t="str">
        <f>IF(T421="","",IFERROR(INDEX(cfg_pv,MATCH(T421,cfg_pt,0))&amp;"",""))</f>
        <v/>
      </c>
      <c r="AU421" s="96" t="str">
        <f>IF(T421="","",IF(AS421="Alta",1,IF(AS421="Média",2,3))*1000000000+(999999-IF(ISNUMBER(U421),MIN(U421,999999),0))*1000+416)</f>
        <v/>
      </c>
      <c r="AV421" s="96">
        <f>IF(T421&lt;&gt;"",1,0)</f>
        <v>0</v>
      </c>
      <c r="AW421" s="96" t="str">
        <f>IF(Z421=0,"",IF(AA421=1,"Cancelamento informado; ","")&amp;IF(AE421=1,"Campos essenciais ou itens faltando; ","")&amp;IF(AC421=1,"Possível duplicidade do número; ","")&amp;IF(AD421=1,"Cadastro ou datas a revisar; ","")&amp;IF(AF421&gt;0,"Item de resíduo com dado a revisar; ","")&amp;IF(AH421&gt;0,"Diferença de quantidade a analisar; ","")&amp;IF(AK421&gt;0,"Recebimento com alerta; ","")&amp;IF(AL421&gt;0,"Vínculo de CDF com alerta; ","")&amp;IF(AND(AA421=0,AN421=0),"Recebimento não confirmado; ","")&amp;IF(AND(AA421=0,AN421=1,AO421=0),"CDF pendente ou a conferir; ",""))</f>
        <v/>
      </c>
      <c r="AX421" s="96">
        <f>IF(Z421=0,0,IF(AND(OR(f_ini="",AND(ISNUMBER(E421),E421&gt;=f_ini)),OR(f_fim="",AND(ISNUMBER(E421),E421&lt;=f_fim)),OR(f_un="",f_un="(Todas)",G421=f_un),OR(f_tr="",f_tr="(Todos)",H421=f_tr),OR(f_de="",f_de="(Todos)",I421=f_de),OR(f_sit="",f_sit="(Todas)",S421=f_sit)),1,0))</f>
        <v>0</v>
      </c>
      <c r="AY421" s="96">
        <f>IF(AX421=0,0,IF(OR(f_res="",f_res="(Todos)"),1,IF(COUNTIFS('ITENS_MTR'!$S$6:$S$1005,A421,'ITENS_MTR'!$C$6:$C$1005,f_res)&gt;0,1,0)))</f>
        <v>0</v>
      </c>
      <c r="AZ421" s="97" t="str">
        <f>IF(ISNUMBER(E421),DATE(YEAR(E421),MONTH(E421),1),"")</f>
        <v/>
      </c>
      <c r="BA421" s="96">
        <f>IF(Z421=0,0,IF(AND(OR(r_ini="",AND(ISNUMBER(E421),E421&gt;=r_ini)),OR(r_fim="",AND(ISNUMBER(E421),E421&lt;=r_fim)),OR(r_un="",r_un="(Todas)",G421=r_un),OR(r_de="",r_de="(Todos)",I421=r_de)),1,0))</f>
        <v>0</v>
      </c>
      <c r="BB421" s="96" t="str">
        <f>IF(BA421=1,COUNTIF($BA$6:BA421,1),"")</f>
        <v/>
      </c>
      <c r="BC421" s="96" t="str">
        <f>IF(AND(AU421&lt;&gt;"",OR(r_un="",r_un="(Todas)",G421=r_un),OR(r_de="",r_de="(Todos)",I421=r_de)),AU421,"")</f>
        <v/>
      </c>
      <c r="BD421" s="96" t="str">
        <f>IF(Z421=1,A421&amp;" | nº "&amp;IF(B421="","(sem número)",B421)&amp;" | "&amp;IF(G421="","(sem unidade)",G421),"")</f>
        <v/>
      </c>
      <c r="BE421" s="96" t="str">
        <f>IF(Z421=1,COUNTIF($Z$6:Z421,1),"")</f>
        <v/>
      </c>
      <c r="BF421" s="96" t="str">
        <f>IF(T421="","",IF(T421="RECEBIMENTO NÃO CONFIRMADO","Transp.: "&amp;H421&amp;" | Dest.: "&amp;I421,IF(OR(T421="CDF NÃO LOCALIZADO",T421="VÍNCULO INCOMPLETO",T421="CDF A CONFERIR"),"Dest.: "&amp;I421,"Gerador: "&amp;G421)))</f>
        <v/>
      </c>
    </row>
    <row r="422">
      <c r="A422" s="89" t="inlineStr">
        <is>
          <t>MTR-000417</t>
        </is>
      </c>
      <c r="B422" s="90" t="n"/>
      <c r="C422" s="91" t="n"/>
      <c r="D422" s="91" t="n"/>
      <c r="E422" s="92" t="n"/>
      <c r="F422" s="92" t="n"/>
      <c r="G422" s="91" t="n"/>
      <c r="H422" s="91" t="n"/>
      <c r="I422" s="91" t="n"/>
      <c r="J422" s="91" t="n"/>
      <c r="K422" s="91" t="n"/>
      <c r="L422" s="92" t="n"/>
      <c r="M422" s="91" t="n"/>
      <c r="N422" s="91" t="n"/>
      <c r="O422" s="91" t="n"/>
      <c r="P422" s="93" t="str">
        <f>IF(Z422=0,"",SUMIFS('ITENS_MTR'!$I$6:$I$1005,'ITENS_MTR'!$S$6:$S$1005,A422,'ITENS_MTR'!$Y$6:$Y$1005,1))</f>
        <v/>
      </c>
      <c r="Q422" s="93" t="str">
        <f>IF(Z422=0,"",SUMIFS('RECEBIMENTOS'!$H$6:$H$1005,'RECEBIMENTOS'!$B$6:$B$1005,A422,'RECEBIMENTOS'!$X$6:$X$1005,1))</f>
        <v/>
      </c>
      <c r="R422" s="93" t="str">
        <f>IF(Z422=0,"",SUMIFS('VÍNCULOS_CDF'!$H$6:$H$1005,'VÍNCULOS_CDF'!$D$6:$D$1005,A422,'VÍNCULOS_CDF'!$V$6:$V$1005,1))</f>
        <v/>
      </c>
      <c r="S422" s="94" t="str">
        <f>IF(Z422=0,"",IF(AA422=1,"Cancelado (informado)",IF(AE422=1,"Cadastro incompleto",IF(OR(AC422=1,AD422=1,AF422&gt;0,AH422&gt;0,AK422&gt;0,AL422&gt;0),"Informação a revisar",IF(AN422=0,"Aguardando recebimento",IF(N(R422)=0,"Aguardando CDF",IF(AJ422&lt;N(W422),"Vínculo de CDF parcial",IF(AO422=0,"CDF localizado, a conferir","Documentação conferida"))))))))</f>
        <v/>
      </c>
      <c r="T422" s="94" t="str">
        <f>IF(Z422=0,"",IF(S422="Cadastro incompleto","MTR INCOMPLETO",IF(S422="Informação a revisar",IF(AND(AH422&gt;0,AC422=0,AD422=0,AF422=0,AK422=0,AL422=0),"QUANTIDADE A REVISAR","IDENTIFICAÇÃO A REVISAR"),IF(S422="Aguardando recebimento","RECEBIMENTO NÃO CONFIRMADO",IF(S422="Aguardando CDF","CDF NÃO LOCALIZADO",IF(S422="Vínculo de CDF parcial","VÍNCULO INCOMPLETO",IF(S422="CDF localizado, a conferir","CDF A CONFERIR","")))))))</f>
        <v/>
      </c>
      <c r="U422" s="95" t="str">
        <f>IF(T422="","",IF(AQ422="","Não calculável",IF(AQ422&gt;TODAY(),"Data futura",TODAY()-AQ422)))</f>
        <v/>
      </c>
      <c r="V422" s="93" t="str">
        <f>IF(Z422=0,"",SUMIFS('RECEBIMENTOS'!$H$6:$H$1005,'RECEBIMENTOS'!$B$6:$B$1005,A422,'RECEBIMENTOS'!$Z$6:$Z$1005,1))</f>
        <v/>
      </c>
      <c r="W422" s="95" t="str">
        <f>IF(Z422=0,"",COUNTIFS('ITENS_MTR'!$S$6:$S$1005,A422,'ITENS_MTR'!$R$6:$R$1005,1))</f>
        <v/>
      </c>
      <c r="X422" s="94" t="str">
        <f>IF(AC422=1,"POSSÍVEL DUPLICIDADE","")</f>
        <v/>
      </c>
      <c r="Y422" s="94" t="str">
        <f>IF(Z422=0,"",IF(AW422="","Nenhuma",LEFT(AW422,LEN(AW422)-2)))</f>
        <v/>
      </c>
      <c r="Z422" s="96">
        <f>IF(COUNTA(B422:O422)&gt;0,1,0)</f>
        <v>0</v>
      </c>
      <c r="AA422" s="96">
        <f>IF(AND(Z422=1,K422&lt;&gt;""),IF(TRIM(K422)=TRIM(cfg_cancel),1,0),0)</f>
        <v>0</v>
      </c>
      <c r="AB422" s="96" t="str">
        <f>IF(AND(Z422=1,B422&lt;&gt;""),C422&amp;"|"&amp;D422&amp;"|"&amp;G422&amp;"|"&amp;TRIM(B422),"")</f>
        <v/>
      </c>
      <c r="AC422" s="96">
        <f>IF(AB422="",0,IF(SUMPRODUCT(--($AB$6:$AB$505=AB422))&gt;1,1,0))</f>
        <v>0</v>
      </c>
      <c r="AD422" s="96">
        <f>IF(Z422=0,0,IF(OR(AND(G422&lt;&gt;"",ISNA(MATCH(G422,'CAD_UNIDADES'!$C$6:$C$105,0))),AND(H422&lt;&gt;"",ISNA(MATCH(H422,cmp_transp,0))),AND(I422&lt;&gt;"",ISNA(MATCH(I422,cmp_dest,0))),AND(E422&lt;&gt;"",NOT(ISNUMBER(E422))),AND(F422&lt;&gt;"",NOT(ISNUMBER(F422))),AND(ISNUMBER(E422),ISNUMBER(F422),F422&lt;E422)),1,0))</f>
        <v>0</v>
      </c>
      <c r="AE422" s="96">
        <f>IF(Z422=0,0,IF(OR(B422="",C422="",E422="",G422="",H422="",I422="",N(W422)=0),1,0))</f>
        <v>0</v>
      </c>
      <c r="AF422" s="96">
        <f>IF(Z422=0,0,COUNTIFS('ITENS_MTR'!$S$6:$S$1005,A422,'ITENS_MTR'!$AI$6:$AI$1005,1))</f>
        <v>0</v>
      </c>
      <c r="AG422" s="96">
        <f>IF(Z422=0,0,COUNTIFS('ITENS_MTR'!$S$6:$S$1005,A422,'ITENS_MTR'!$AJ$6:$AJ$1005,1))</f>
        <v>0</v>
      </c>
      <c r="AH422" s="96">
        <f>IF(Z422=0,0,COUNTIFS('ITENS_MTR'!$S$6:$S$1005,A422,'ITENS_MTR'!$AM$6:$AM$1005,1))</f>
        <v>0</v>
      </c>
      <c r="AI422" s="96">
        <f>IF(Z422=0,0,COUNTIFS('ITENS_MTR'!$S$6:$S$1005,A422,'ITENS_MTR'!$AO$6:$AO$1005,1))</f>
        <v>0</v>
      </c>
      <c r="AJ422" s="96">
        <f>IF(Z422=0,0,COUNTIFS('ITENS_MTR'!$S$6:$S$1005,A422,'ITENS_MTR'!$AN$6:$AN$1005,1))</f>
        <v>0</v>
      </c>
      <c r="AK422" s="96">
        <f>IF(Z422=0,0,COUNTIFS('RECEBIMENTOS'!$B$6:$B$1005,A422,'RECEBIMENTOS'!$Y$6:$Y$1005,1))</f>
        <v>0</v>
      </c>
      <c r="AL422" s="96">
        <f>IF(Z422=0,0,COUNTIFS('VÍNCULOS_CDF'!$D$6:$D$1005,A422,'VÍNCULOS_CDF'!$Y$6:$Y$1005,1))</f>
        <v>0</v>
      </c>
      <c r="AM422" s="96">
        <f>IF(Z422=0,0,COUNTIFS('RECEBIMENTOS'!$B$6:$B$1005,A422,'RECEBIMENTOS'!$Q$6:$Q$1005,1))</f>
        <v>0</v>
      </c>
      <c r="AN422" s="96">
        <f>IF(AND(Z422=1,N(W422)&gt;0,AG422=N(W422)),1,0)</f>
        <v>0</v>
      </c>
      <c r="AO422" s="96">
        <f>IF(AND(Z422=1,N(W422)&gt;0,AI422=N(W422)),1,0)</f>
        <v>0</v>
      </c>
      <c r="AP422" s="97">
        <f>IF(Z422=0,0,_xlfn.MAXIFS('RECEBIMENTOS'!$E$6:$E$1005,'RECEBIMENTOS'!$B$6:$B$1005,A422))</f>
        <v>0</v>
      </c>
      <c r="AQ422" s="97" t="str">
        <f>IF(T422="","",IF(T422="RECEBIMENTO NÃO CONFIRMADO",IF(ISNUMBER(F422),F422,IF(ISNUMBER(E422),E422,"")),IF(OR(T422="CDF NÃO LOCALIZADO",T422="VÍNCULO INCOMPLETO",T422="CDF A CONFERIR"),IF(AP422&gt;0,AP422,IF(ISNUMBER(E422),E422,"")),IF(ISNUMBER(E422),E422,""))))</f>
        <v/>
      </c>
      <c r="AR422" s="96">
        <f>IF(NOT(ISNUMBER(U422)),0,IF(T422="RECEBIMENTO NÃO CONFIRMADO",IF(AND(ISNUMBER(cfg_rec),U422&gt;cfg_rec),1,0),IF(OR(T422="CDF NÃO LOCALIZADO",T422="VÍNCULO INCOMPLETO",T422="CDF A CONFERIR"),IF(AND(ISNUMBER(cfg_cdf),U422&gt;cfg_cdf),1,0),0)))</f>
        <v>0</v>
      </c>
      <c r="AS422" s="96" t="str">
        <f>IF(T422="","",IF(AR422=1,"Alta",IFERROR(INDEX(cfg_pp,MATCH(T422,cfg_pt,0))&amp;"","Média")))</f>
        <v/>
      </c>
      <c r="AT422" s="96" t="str">
        <f>IF(T422="","",IFERROR(INDEX(cfg_pv,MATCH(T422,cfg_pt,0))&amp;"",""))</f>
        <v/>
      </c>
      <c r="AU422" s="96" t="str">
        <f>IF(T422="","",IF(AS422="Alta",1,IF(AS422="Média",2,3))*1000000000+(999999-IF(ISNUMBER(U422),MIN(U422,999999),0))*1000+417)</f>
        <v/>
      </c>
      <c r="AV422" s="96">
        <f>IF(T422&lt;&gt;"",1,0)</f>
        <v>0</v>
      </c>
      <c r="AW422" s="96" t="str">
        <f>IF(Z422=0,"",IF(AA422=1,"Cancelamento informado; ","")&amp;IF(AE422=1,"Campos essenciais ou itens faltando; ","")&amp;IF(AC422=1,"Possível duplicidade do número; ","")&amp;IF(AD422=1,"Cadastro ou datas a revisar; ","")&amp;IF(AF422&gt;0,"Item de resíduo com dado a revisar; ","")&amp;IF(AH422&gt;0,"Diferença de quantidade a analisar; ","")&amp;IF(AK422&gt;0,"Recebimento com alerta; ","")&amp;IF(AL422&gt;0,"Vínculo de CDF com alerta; ","")&amp;IF(AND(AA422=0,AN422=0),"Recebimento não confirmado; ","")&amp;IF(AND(AA422=0,AN422=1,AO422=0),"CDF pendente ou a conferir; ",""))</f>
        <v/>
      </c>
      <c r="AX422" s="96">
        <f>IF(Z422=0,0,IF(AND(OR(f_ini="",AND(ISNUMBER(E422),E422&gt;=f_ini)),OR(f_fim="",AND(ISNUMBER(E422),E422&lt;=f_fim)),OR(f_un="",f_un="(Todas)",G422=f_un),OR(f_tr="",f_tr="(Todos)",H422=f_tr),OR(f_de="",f_de="(Todos)",I422=f_de),OR(f_sit="",f_sit="(Todas)",S422=f_sit)),1,0))</f>
        <v>0</v>
      </c>
      <c r="AY422" s="96">
        <f>IF(AX422=0,0,IF(OR(f_res="",f_res="(Todos)"),1,IF(COUNTIFS('ITENS_MTR'!$S$6:$S$1005,A422,'ITENS_MTR'!$C$6:$C$1005,f_res)&gt;0,1,0)))</f>
        <v>0</v>
      </c>
      <c r="AZ422" s="97" t="str">
        <f>IF(ISNUMBER(E422),DATE(YEAR(E422),MONTH(E422),1),"")</f>
        <v/>
      </c>
      <c r="BA422" s="96">
        <f>IF(Z422=0,0,IF(AND(OR(r_ini="",AND(ISNUMBER(E422),E422&gt;=r_ini)),OR(r_fim="",AND(ISNUMBER(E422),E422&lt;=r_fim)),OR(r_un="",r_un="(Todas)",G422=r_un),OR(r_de="",r_de="(Todos)",I422=r_de)),1,0))</f>
        <v>0</v>
      </c>
      <c r="BB422" s="96" t="str">
        <f>IF(BA422=1,COUNTIF($BA$6:BA422,1),"")</f>
        <v/>
      </c>
      <c r="BC422" s="96" t="str">
        <f>IF(AND(AU422&lt;&gt;"",OR(r_un="",r_un="(Todas)",G422=r_un),OR(r_de="",r_de="(Todos)",I422=r_de)),AU422,"")</f>
        <v/>
      </c>
      <c r="BD422" s="96" t="str">
        <f>IF(Z422=1,A422&amp;" | nº "&amp;IF(B422="","(sem número)",B422)&amp;" | "&amp;IF(G422="","(sem unidade)",G422),"")</f>
        <v/>
      </c>
      <c r="BE422" s="96" t="str">
        <f>IF(Z422=1,COUNTIF($Z$6:Z422,1),"")</f>
        <v/>
      </c>
      <c r="BF422" s="96" t="str">
        <f>IF(T422="","",IF(T422="RECEBIMENTO NÃO CONFIRMADO","Transp.: "&amp;H422&amp;" | Dest.: "&amp;I422,IF(OR(T422="CDF NÃO LOCALIZADO",T422="VÍNCULO INCOMPLETO",T422="CDF A CONFERIR"),"Dest.: "&amp;I422,"Gerador: "&amp;G422)))</f>
        <v/>
      </c>
    </row>
    <row r="423">
      <c r="A423" s="89" t="inlineStr">
        <is>
          <t>MTR-000418</t>
        </is>
      </c>
      <c r="B423" s="90" t="n"/>
      <c r="C423" s="91" t="n"/>
      <c r="D423" s="91" t="n"/>
      <c r="E423" s="92" t="n"/>
      <c r="F423" s="92" t="n"/>
      <c r="G423" s="91" t="n"/>
      <c r="H423" s="91" t="n"/>
      <c r="I423" s="91" t="n"/>
      <c r="J423" s="91" t="n"/>
      <c r="K423" s="91" t="n"/>
      <c r="L423" s="92" t="n"/>
      <c r="M423" s="91" t="n"/>
      <c r="N423" s="91" t="n"/>
      <c r="O423" s="91" t="n"/>
      <c r="P423" s="93" t="str">
        <f>IF(Z423=0,"",SUMIFS('ITENS_MTR'!$I$6:$I$1005,'ITENS_MTR'!$S$6:$S$1005,A423,'ITENS_MTR'!$Y$6:$Y$1005,1))</f>
        <v/>
      </c>
      <c r="Q423" s="93" t="str">
        <f>IF(Z423=0,"",SUMIFS('RECEBIMENTOS'!$H$6:$H$1005,'RECEBIMENTOS'!$B$6:$B$1005,A423,'RECEBIMENTOS'!$X$6:$X$1005,1))</f>
        <v/>
      </c>
      <c r="R423" s="93" t="str">
        <f>IF(Z423=0,"",SUMIFS('VÍNCULOS_CDF'!$H$6:$H$1005,'VÍNCULOS_CDF'!$D$6:$D$1005,A423,'VÍNCULOS_CDF'!$V$6:$V$1005,1))</f>
        <v/>
      </c>
      <c r="S423" s="94" t="str">
        <f>IF(Z423=0,"",IF(AA423=1,"Cancelado (informado)",IF(AE423=1,"Cadastro incompleto",IF(OR(AC423=1,AD423=1,AF423&gt;0,AH423&gt;0,AK423&gt;0,AL423&gt;0),"Informação a revisar",IF(AN423=0,"Aguardando recebimento",IF(N(R423)=0,"Aguardando CDF",IF(AJ423&lt;N(W423),"Vínculo de CDF parcial",IF(AO423=0,"CDF localizado, a conferir","Documentação conferida"))))))))</f>
        <v/>
      </c>
      <c r="T423" s="94" t="str">
        <f>IF(Z423=0,"",IF(S423="Cadastro incompleto","MTR INCOMPLETO",IF(S423="Informação a revisar",IF(AND(AH423&gt;0,AC423=0,AD423=0,AF423=0,AK423=0,AL423=0),"QUANTIDADE A REVISAR","IDENTIFICAÇÃO A REVISAR"),IF(S423="Aguardando recebimento","RECEBIMENTO NÃO CONFIRMADO",IF(S423="Aguardando CDF","CDF NÃO LOCALIZADO",IF(S423="Vínculo de CDF parcial","VÍNCULO INCOMPLETO",IF(S423="CDF localizado, a conferir","CDF A CONFERIR","")))))))</f>
        <v/>
      </c>
      <c r="U423" s="95" t="str">
        <f>IF(T423="","",IF(AQ423="","Não calculável",IF(AQ423&gt;TODAY(),"Data futura",TODAY()-AQ423)))</f>
        <v/>
      </c>
      <c r="V423" s="93" t="str">
        <f>IF(Z423=0,"",SUMIFS('RECEBIMENTOS'!$H$6:$H$1005,'RECEBIMENTOS'!$B$6:$B$1005,A423,'RECEBIMENTOS'!$Z$6:$Z$1005,1))</f>
        <v/>
      </c>
      <c r="W423" s="95" t="str">
        <f>IF(Z423=0,"",COUNTIFS('ITENS_MTR'!$S$6:$S$1005,A423,'ITENS_MTR'!$R$6:$R$1005,1))</f>
        <v/>
      </c>
      <c r="X423" s="94" t="str">
        <f>IF(AC423=1,"POSSÍVEL DUPLICIDADE","")</f>
        <v/>
      </c>
      <c r="Y423" s="94" t="str">
        <f>IF(Z423=0,"",IF(AW423="","Nenhuma",LEFT(AW423,LEN(AW423)-2)))</f>
        <v/>
      </c>
      <c r="Z423" s="96">
        <f>IF(COUNTA(B423:O423)&gt;0,1,0)</f>
        <v>0</v>
      </c>
      <c r="AA423" s="96">
        <f>IF(AND(Z423=1,K423&lt;&gt;""),IF(TRIM(K423)=TRIM(cfg_cancel),1,0),0)</f>
        <v>0</v>
      </c>
      <c r="AB423" s="96" t="str">
        <f>IF(AND(Z423=1,B423&lt;&gt;""),C423&amp;"|"&amp;D423&amp;"|"&amp;G423&amp;"|"&amp;TRIM(B423),"")</f>
        <v/>
      </c>
      <c r="AC423" s="96">
        <f>IF(AB423="",0,IF(SUMPRODUCT(--($AB$6:$AB$505=AB423))&gt;1,1,0))</f>
        <v>0</v>
      </c>
      <c r="AD423" s="96">
        <f>IF(Z423=0,0,IF(OR(AND(G423&lt;&gt;"",ISNA(MATCH(G423,'CAD_UNIDADES'!$C$6:$C$105,0))),AND(H423&lt;&gt;"",ISNA(MATCH(H423,cmp_transp,0))),AND(I423&lt;&gt;"",ISNA(MATCH(I423,cmp_dest,0))),AND(E423&lt;&gt;"",NOT(ISNUMBER(E423))),AND(F423&lt;&gt;"",NOT(ISNUMBER(F423))),AND(ISNUMBER(E423),ISNUMBER(F423),F423&lt;E423)),1,0))</f>
        <v>0</v>
      </c>
      <c r="AE423" s="96">
        <f>IF(Z423=0,0,IF(OR(B423="",C423="",E423="",G423="",H423="",I423="",N(W423)=0),1,0))</f>
        <v>0</v>
      </c>
      <c r="AF423" s="96">
        <f>IF(Z423=0,0,COUNTIFS('ITENS_MTR'!$S$6:$S$1005,A423,'ITENS_MTR'!$AI$6:$AI$1005,1))</f>
        <v>0</v>
      </c>
      <c r="AG423" s="96">
        <f>IF(Z423=0,0,COUNTIFS('ITENS_MTR'!$S$6:$S$1005,A423,'ITENS_MTR'!$AJ$6:$AJ$1005,1))</f>
        <v>0</v>
      </c>
      <c r="AH423" s="96">
        <f>IF(Z423=0,0,COUNTIFS('ITENS_MTR'!$S$6:$S$1005,A423,'ITENS_MTR'!$AM$6:$AM$1005,1))</f>
        <v>0</v>
      </c>
      <c r="AI423" s="96">
        <f>IF(Z423=0,0,COUNTIFS('ITENS_MTR'!$S$6:$S$1005,A423,'ITENS_MTR'!$AO$6:$AO$1005,1))</f>
        <v>0</v>
      </c>
      <c r="AJ423" s="96">
        <f>IF(Z423=0,0,COUNTIFS('ITENS_MTR'!$S$6:$S$1005,A423,'ITENS_MTR'!$AN$6:$AN$1005,1))</f>
        <v>0</v>
      </c>
      <c r="AK423" s="96">
        <f>IF(Z423=0,0,COUNTIFS('RECEBIMENTOS'!$B$6:$B$1005,A423,'RECEBIMENTOS'!$Y$6:$Y$1005,1))</f>
        <v>0</v>
      </c>
      <c r="AL423" s="96">
        <f>IF(Z423=0,0,COUNTIFS('VÍNCULOS_CDF'!$D$6:$D$1005,A423,'VÍNCULOS_CDF'!$Y$6:$Y$1005,1))</f>
        <v>0</v>
      </c>
      <c r="AM423" s="96">
        <f>IF(Z423=0,0,COUNTIFS('RECEBIMENTOS'!$B$6:$B$1005,A423,'RECEBIMENTOS'!$Q$6:$Q$1005,1))</f>
        <v>0</v>
      </c>
      <c r="AN423" s="96">
        <f>IF(AND(Z423=1,N(W423)&gt;0,AG423=N(W423)),1,0)</f>
        <v>0</v>
      </c>
      <c r="AO423" s="96">
        <f>IF(AND(Z423=1,N(W423)&gt;0,AI423=N(W423)),1,0)</f>
        <v>0</v>
      </c>
      <c r="AP423" s="97">
        <f>IF(Z423=0,0,_xlfn.MAXIFS('RECEBIMENTOS'!$E$6:$E$1005,'RECEBIMENTOS'!$B$6:$B$1005,A423))</f>
        <v>0</v>
      </c>
      <c r="AQ423" s="97" t="str">
        <f>IF(T423="","",IF(T423="RECEBIMENTO NÃO CONFIRMADO",IF(ISNUMBER(F423),F423,IF(ISNUMBER(E423),E423,"")),IF(OR(T423="CDF NÃO LOCALIZADO",T423="VÍNCULO INCOMPLETO",T423="CDF A CONFERIR"),IF(AP423&gt;0,AP423,IF(ISNUMBER(E423),E423,"")),IF(ISNUMBER(E423),E423,""))))</f>
        <v/>
      </c>
      <c r="AR423" s="96">
        <f>IF(NOT(ISNUMBER(U423)),0,IF(T423="RECEBIMENTO NÃO CONFIRMADO",IF(AND(ISNUMBER(cfg_rec),U423&gt;cfg_rec),1,0),IF(OR(T423="CDF NÃO LOCALIZADO",T423="VÍNCULO INCOMPLETO",T423="CDF A CONFERIR"),IF(AND(ISNUMBER(cfg_cdf),U423&gt;cfg_cdf),1,0),0)))</f>
        <v>0</v>
      </c>
      <c r="AS423" s="96" t="str">
        <f>IF(T423="","",IF(AR423=1,"Alta",IFERROR(INDEX(cfg_pp,MATCH(T423,cfg_pt,0))&amp;"","Média")))</f>
        <v/>
      </c>
      <c r="AT423" s="96" t="str">
        <f>IF(T423="","",IFERROR(INDEX(cfg_pv,MATCH(T423,cfg_pt,0))&amp;"",""))</f>
        <v/>
      </c>
      <c r="AU423" s="96" t="str">
        <f>IF(T423="","",IF(AS423="Alta",1,IF(AS423="Média",2,3))*1000000000+(999999-IF(ISNUMBER(U423),MIN(U423,999999),0))*1000+418)</f>
        <v/>
      </c>
      <c r="AV423" s="96">
        <f>IF(T423&lt;&gt;"",1,0)</f>
        <v>0</v>
      </c>
      <c r="AW423" s="96" t="str">
        <f>IF(Z423=0,"",IF(AA423=1,"Cancelamento informado; ","")&amp;IF(AE423=1,"Campos essenciais ou itens faltando; ","")&amp;IF(AC423=1,"Possível duplicidade do número; ","")&amp;IF(AD423=1,"Cadastro ou datas a revisar; ","")&amp;IF(AF423&gt;0,"Item de resíduo com dado a revisar; ","")&amp;IF(AH423&gt;0,"Diferença de quantidade a analisar; ","")&amp;IF(AK423&gt;0,"Recebimento com alerta; ","")&amp;IF(AL423&gt;0,"Vínculo de CDF com alerta; ","")&amp;IF(AND(AA423=0,AN423=0),"Recebimento não confirmado; ","")&amp;IF(AND(AA423=0,AN423=1,AO423=0),"CDF pendente ou a conferir; ",""))</f>
        <v/>
      </c>
      <c r="AX423" s="96">
        <f>IF(Z423=0,0,IF(AND(OR(f_ini="",AND(ISNUMBER(E423),E423&gt;=f_ini)),OR(f_fim="",AND(ISNUMBER(E423),E423&lt;=f_fim)),OR(f_un="",f_un="(Todas)",G423=f_un),OR(f_tr="",f_tr="(Todos)",H423=f_tr),OR(f_de="",f_de="(Todos)",I423=f_de),OR(f_sit="",f_sit="(Todas)",S423=f_sit)),1,0))</f>
        <v>0</v>
      </c>
      <c r="AY423" s="96">
        <f>IF(AX423=0,0,IF(OR(f_res="",f_res="(Todos)"),1,IF(COUNTIFS('ITENS_MTR'!$S$6:$S$1005,A423,'ITENS_MTR'!$C$6:$C$1005,f_res)&gt;0,1,0)))</f>
        <v>0</v>
      </c>
      <c r="AZ423" s="97" t="str">
        <f>IF(ISNUMBER(E423),DATE(YEAR(E423),MONTH(E423),1),"")</f>
        <v/>
      </c>
      <c r="BA423" s="96">
        <f>IF(Z423=0,0,IF(AND(OR(r_ini="",AND(ISNUMBER(E423),E423&gt;=r_ini)),OR(r_fim="",AND(ISNUMBER(E423),E423&lt;=r_fim)),OR(r_un="",r_un="(Todas)",G423=r_un),OR(r_de="",r_de="(Todos)",I423=r_de)),1,0))</f>
        <v>0</v>
      </c>
      <c r="BB423" s="96" t="str">
        <f>IF(BA423=1,COUNTIF($BA$6:BA423,1),"")</f>
        <v/>
      </c>
      <c r="BC423" s="96" t="str">
        <f>IF(AND(AU423&lt;&gt;"",OR(r_un="",r_un="(Todas)",G423=r_un),OR(r_de="",r_de="(Todos)",I423=r_de)),AU423,"")</f>
        <v/>
      </c>
      <c r="BD423" s="96" t="str">
        <f>IF(Z423=1,A423&amp;" | nº "&amp;IF(B423="","(sem número)",B423)&amp;" | "&amp;IF(G423="","(sem unidade)",G423),"")</f>
        <v/>
      </c>
      <c r="BE423" s="96" t="str">
        <f>IF(Z423=1,COUNTIF($Z$6:Z423,1),"")</f>
        <v/>
      </c>
      <c r="BF423" s="96" t="str">
        <f>IF(T423="","",IF(T423="RECEBIMENTO NÃO CONFIRMADO","Transp.: "&amp;H423&amp;" | Dest.: "&amp;I423,IF(OR(T423="CDF NÃO LOCALIZADO",T423="VÍNCULO INCOMPLETO",T423="CDF A CONFERIR"),"Dest.: "&amp;I423,"Gerador: "&amp;G423)))</f>
        <v/>
      </c>
    </row>
    <row r="424">
      <c r="A424" s="89" t="inlineStr">
        <is>
          <t>MTR-000419</t>
        </is>
      </c>
      <c r="B424" s="90" t="n"/>
      <c r="C424" s="91" t="n"/>
      <c r="D424" s="91" t="n"/>
      <c r="E424" s="92" t="n"/>
      <c r="F424" s="92" t="n"/>
      <c r="G424" s="91" t="n"/>
      <c r="H424" s="91" t="n"/>
      <c r="I424" s="91" t="n"/>
      <c r="J424" s="91" t="n"/>
      <c r="K424" s="91" t="n"/>
      <c r="L424" s="92" t="n"/>
      <c r="M424" s="91" t="n"/>
      <c r="N424" s="91" t="n"/>
      <c r="O424" s="91" t="n"/>
      <c r="P424" s="93" t="str">
        <f>IF(Z424=0,"",SUMIFS('ITENS_MTR'!$I$6:$I$1005,'ITENS_MTR'!$S$6:$S$1005,A424,'ITENS_MTR'!$Y$6:$Y$1005,1))</f>
        <v/>
      </c>
      <c r="Q424" s="93" t="str">
        <f>IF(Z424=0,"",SUMIFS('RECEBIMENTOS'!$H$6:$H$1005,'RECEBIMENTOS'!$B$6:$B$1005,A424,'RECEBIMENTOS'!$X$6:$X$1005,1))</f>
        <v/>
      </c>
      <c r="R424" s="93" t="str">
        <f>IF(Z424=0,"",SUMIFS('VÍNCULOS_CDF'!$H$6:$H$1005,'VÍNCULOS_CDF'!$D$6:$D$1005,A424,'VÍNCULOS_CDF'!$V$6:$V$1005,1))</f>
        <v/>
      </c>
      <c r="S424" s="94" t="str">
        <f>IF(Z424=0,"",IF(AA424=1,"Cancelado (informado)",IF(AE424=1,"Cadastro incompleto",IF(OR(AC424=1,AD424=1,AF424&gt;0,AH424&gt;0,AK424&gt;0,AL424&gt;0),"Informação a revisar",IF(AN424=0,"Aguardando recebimento",IF(N(R424)=0,"Aguardando CDF",IF(AJ424&lt;N(W424),"Vínculo de CDF parcial",IF(AO424=0,"CDF localizado, a conferir","Documentação conferida"))))))))</f>
        <v/>
      </c>
      <c r="T424" s="94" t="str">
        <f>IF(Z424=0,"",IF(S424="Cadastro incompleto","MTR INCOMPLETO",IF(S424="Informação a revisar",IF(AND(AH424&gt;0,AC424=0,AD424=0,AF424=0,AK424=0,AL424=0),"QUANTIDADE A REVISAR","IDENTIFICAÇÃO A REVISAR"),IF(S424="Aguardando recebimento","RECEBIMENTO NÃO CONFIRMADO",IF(S424="Aguardando CDF","CDF NÃO LOCALIZADO",IF(S424="Vínculo de CDF parcial","VÍNCULO INCOMPLETO",IF(S424="CDF localizado, a conferir","CDF A CONFERIR","")))))))</f>
        <v/>
      </c>
      <c r="U424" s="95" t="str">
        <f>IF(T424="","",IF(AQ424="","Não calculável",IF(AQ424&gt;TODAY(),"Data futura",TODAY()-AQ424)))</f>
        <v/>
      </c>
      <c r="V424" s="93" t="str">
        <f>IF(Z424=0,"",SUMIFS('RECEBIMENTOS'!$H$6:$H$1005,'RECEBIMENTOS'!$B$6:$B$1005,A424,'RECEBIMENTOS'!$Z$6:$Z$1005,1))</f>
        <v/>
      </c>
      <c r="W424" s="95" t="str">
        <f>IF(Z424=0,"",COUNTIFS('ITENS_MTR'!$S$6:$S$1005,A424,'ITENS_MTR'!$R$6:$R$1005,1))</f>
        <v/>
      </c>
      <c r="X424" s="94" t="str">
        <f>IF(AC424=1,"POSSÍVEL DUPLICIDADE","")</f>
        <v/>
      </c>
      <c r="Y424" s="94" t="str">
        <f>IF(Z424=0,"",IF(AW424="","Nenhuma",LEFT(AW424,LEN(AW424)-2)))</f>
        <v/>
      </c>
      <c r="Z424" s="96">
        <f>IF(COUNTA(B424:O424)&gt;0,1,0)</f>
        <v>0</v>
      </c>
      <c r="AA424" s="96">
        <f>IF(AND(Z424=1,K424&lt;&gt;""),IF(TRIM(K424)=TRIM(cfg_cancel),1,0),0)</f>
        <v>0</v>
      </c>
      <c r="AB424" s="96" t="str">
        <f>IF(AND(Z424=1,B424&lt;&gt;""),C424&amp;"|"&amp;D424&amp;"|"&amp;G424&amp;"|"&amp;TRIM(B424),"")</f>
        <v/>
      </c>
      <c r="AC424" s="96">
        <f>IF(AB424="",0,IF(SUMPRODUCT(--($AB$6:$AB$505=AB424))&gt;1,1,0))</f>
        <v>0</v>
      </c>
      <c r="AD424" s="96">
        <f>IF(Z424=0,0,IF(OR(AND(G424&lt;&gt;"",ISNA(MATCH(G424,'CAD_UNIDADES'!$C$6:$C$105,0))),AND(H424&lt;&gt;"",ISNA(MATCH(H424,cmp_transp,0))),AND(I424&lt;&gt;"",ISNA(MATCH(I424,cmp_dest,0))),AND(E424&lt;&gt;"",NOT(ISNUMBER(E424))),AND(F424&lt;&gt;"",NOT(ISNUMBER(F424))),AND(ISNUMBER(E424),ISNUMBER(F424),F424&lt;E424)),1,0))</f>
        <v>0</v>
      </c>
      <c r="AE424" s="96">
        <f>IF(Z424=0,0,IF(OR(B424="",C424="",E424="",G424="",H424="",I424="",N(W424)=0),1,0))</f>
        <v>0</v>
      </c>
      <c r="AF424" s="96">
        <f>IF(Z424=0,0,COUNTIFS('ITENS_MTR'!$S$6:$S$1005,A424,'ITENS_MTR'!$AI$6:$AI$1005,1))</f>
        <v>0</v>
      </c>
      <c r="AG424" s="96">
        <f>IF(Z424=0,0,COUNTIFS('ITENS_MTR'!$S$6:$S$1005,A424,'ITENS_MTR'!$AJ$6:$AJ$1005,1))</f>
        <v>0</v>
      </c>
      <c r="AH424" s="96">
        <f>IF(Z424=0,0,COUNTIFS('ITENS_MTR'!$S$6:$S$1005,A424,'ITENS_MTR'!$AM$6:$AM$1005,1))</f>
        <v>0</v>
      </c>
      <c r="AI424" s="96">
        <f>IF(Z424=0,0,COUNTIFS('ITENS_MTR'!$S$6:$S$1005,A424,'ITENS_MTR'!$AO$6:$AO$1005,1))</f>
        <v>0</v>
      </c>
      <c r="AJ424" s="96">
        <f>IF(Z424=0,0,COUNTIFS('ITENS_MTR'!$S$6:$S$1005,A424,'ITENS_MTR'!$AN$6:$AN$1005,1))</f>
        <v>0</v>
      </c>
      <c r="AK424" s="96">
        <f>IF(Z424=0,0,COUNTIFS('RECEBIMENTOS'!$B$6:$B$1005,A424,'RECEBIMENTOS'!$Y$6:$Y$1005,1))</f>
        <v>0</v>
      </c>
      <c r="AL424" s="96">
        <f>IF(Z424=0,0,COUNTIFS('VÍNCULOS_CDF'!$D$6:$D$1005,A424,'VÍNCULOS_CDF'!$Y$6:$Y$1005,1))</f>
        <v>0</v>
      </c>
      <c r="AM424" s="96">
        <f>IF(Z424=0,0,COUNTIFS('RECEBIMENTOS'!$B$6:$B$1005,A424,'RECEBIMENTOS'!$Q$6:$Q$1005,1))</f>
        <v>0</v>
      </c>
      <c r="AN424" s="96">
        <f>IF(AND(Z424=1,N(W424)&gt;0,AG424=N(W424)),1,0)</f>
        <v>0</v>
      </c>
      <c r="AO424" s="96">
        <f>IF(AND(Z424=1,N(W424)&gt;0,AI424=N(W424)),1,0)</f>
        <v>0</v>
      </c>
      <c r="AP424" s="97">
        <f>IF(Z424=0,0,_xlfn.MAXIFS('RECEBIMENTOS'!$E$6:$E$1005,'RECEBIMENTOS'!$B$6:$B$1005,A424))</f>
        <v>0</v>
      </c>
      <c r="AQ424" s="97" t="str">
        <f>IF(T424="","",IF(T424="RECEBIMENTO NÃO CONFIRMADO",IF(ISNUMBER(F424),F424,IF(ISNUMBER(E424),E424,"")),IF(OR(T424="CDF NÃO LOCALIZADO",T424="VÍNCULO INCOMPLETO",T424="CDF A CONFERIR"),IF(AP424&gt;0,AP424,IF(ISNUMBER(E424),E424,"")),IF(ISNUMBER(E424),E424,""))))</f>
        <v/>
      </c>
      <c r="AR424" s="96">
        <f>IF(NOT(ISNUMBER(U424)),0,IF(T424="RECEBIMENTO NÃO CONFIRMADO",IF(AND(ISNUMBER(cfg_rec),U424&gt;cfg_rec),1,0),IF(OR(T424="CDF NÃO LOCALIZADO",T424="VÍNCULO INCOMPLETO",T424="CDF A CONFERIR"),IF(AND(ISNUMBER(cfg_cdf),U424&gt;cfg_cdf),1,0),0)))</f>
        <v>0</v>
      </c>
      <c r="AS424" s="96" t="str">
        <f>IF(T424="","",IF(AR424=1,"Alta",IFERROR(INDEX(cfg_pp,MATCH(T424,cfg_pt,0))&amp;"","Média")))</f>
        <v/>
      </c>
      <c r="AT424" s="96" t="str">
        <f>IF(T424="","",IFERROR(INDEX(cfg_pv,MATCH(T424,cfg_pt,0))&amp;"",""))</f>
        <v/>
      </c>
      <c r="AU424" s="96" t="str">
        <f>IF(T424="","",IF(AS424="Alta",1,IF(AS424="Média",2,3))*1000000000+(999999-IF(ISNUMBER(U424),MIN(U424,999999),0))*1000+419)</f>
        <v/>
      </c>
      <c r="AV424" s="96">
        <f>IF(T424&lt;&gt;"",1,0)</f>
        <v>0</v>
      </c>
      <c r="AW424" s="96" t="str">
        <f>IF(Z424=0,"",IF(AA424=1,"Cancelamento informado; ","")&amp;IF(AE424=1,"Campos essenciais ou itens faltando; ","")&amp;IF(AC424=1,"Possível duplicidade do número; ","")&amp;IF(AD424=1,"Cadastro ou datas a revisar; ","")&amp;IF(AF424&gt;0,"Item de resíduo com dado a revisar; ","")&amp;IF(AH424&gt;0,"Diferença de quantidade a analisar; ","")&amp;IF(AK424&gt;0,"Recebimento com alerta; ","")&amp;IF(AL424&gt;0,"Vínculo de CDF com alerta; ","")&amp;IF(AND(AA424=0,AN424=0),"Recebimento não confirmado; ","")&amp;IF(AND(AA424=0,AN424=1,AO424=0),"CDF pendente ou a conferir; ",""))</f>
        <v/>
      </c>
      <c r="AX424" s="96">
        <f>IF(Z424=0,0,IF(AND(OR(f_ini="",AND(ISNUMBER(E424),E424&gt;=f_ini)),OR(f_fim="",AND(ISNUMBER(E424),E424&lt;=f_fim)),OR(f_un="",f_un="(Todas)",G424=f_un),OR(f_tr="",f_tr="(Todos)",H424=f_tr),OR(f_de="",f_de="(Todos)",I424=f_de),OR(f_sit="",f_sit="(Todas)",S424=f_sit)),1,0))</f>
        <v>0</v>
      </c>
      <c r="AY424" s="96">
        <f>IF(AX424=0,0,IF(OR(f_res="",f_res="(Todos)"),1,IF(COUNTIFS('ITENS_MTR'!$S$6:$S$1005,A424,'ITENS_MTR'!$C$6:$C$1005,f_res)&gt;0,1,0)))</f>
        <v>0</v>
      </c>
      <c r="AZ424" s="97" t="str">
        <f>IF(ISNUMBER(E424),DATE(YEAR(E424),MONTH(E424),1),"")</f>
        <v/>
      </c>
      <c r="BA424" s="96">
        <f>IF(Z424=0,0,IF(AND(OR(r_ini="",AND(ISNUMBER(E424),E424&gt;=r_ini)),OR(r_fim="",AND(ISNUMBER(E424),E424&lt;=r_fim)),OR(r_un="",r_un="(Todas)",G424=r_un),OR(r_de="",r_de="(Todos)",I424=r_de)),1,0))</f>
        <v>0</v>
      </c>
      <c r="BB424" s="96" t="str">
        <f>IF(BA424=1,COUNTIF($BA$6:BA424,1),"")</f>
        <v/>
      </c>
      <c r="BC424" s="96" t="str">
        <f>IF(AND(AU424&lt;&gt;"",OR(r_un="",r_un="(Todas)",G424=r_un),OR(r_de="",r_de="(Todos)",I424=r_de)),AU424,"")</f>
        <v/>
      </c>
      <c r="BD424" s="96" t="str">
        <f>IF(Z424=1,A424&amp;" | nº "&amp;IF(B424="","(sem número)",B424)&amp;" | "&amp;IF(G424="","(sem unidade)",G424),"")</f>
        <v/>
      </c>
      <c r="BE424" s="96" t="str">
        <f>IF(Z424=1,COUNTIF($Z$6:Z424,1),"")</f>
        <v/>
      </c>
      <c r="BF424" s="96" t="str">
        <f>IF(T424="","",IF(T424="RECEBIMENTO NÃO CONFIRMADO","Transp.: "&amp;H424&amp;" | Dest.: "&amp;I424,IF(OR(T424="CDF NÃO LOCALIZADO",T424="VÍNCULO INCOMPLETO",T424="CDF A CONFERIR"),"Dest.: "&amp;I424,"Gerador: "&amp;G424)))</f>
        <v/>
      </c>
    </row>
    <row r="425">
      <c r="A425" s="89" t="inlineStr">
        <is>
          <t>MTR-000420</t>
        </is>
      </c>
      <c r="B425" s="90" t="n"/>
      <c r="C425" s="91" t="n"/>
      <c r="D425" s="91" t="n"/>
      <c r="E425" s="92" t="n"/>
      <c r="F425" s="92" t="n"/>
      <c r="G425" s="91" t="n"/>
      <c r="H425" s="91" t="n"/>
      <c r="I425" s="91" t="n"/>
      <c r="J425" s="91" t="n"/>
      <c r="K425" s="91" t="n"/>
      <c r="L425" s="92" t="n"/>
      <c r="M425" s="91" t="n"/>
      <c r="N425" s="91" t="n"/>
      <c r="O425" s="91" t="n"/>
      <c r="P425" s="93" t="str">
        <f>IF(Z425=0,"",SUMIFS('ITENS_MTR'!$I$6:$I$1005,'ITENS_MTR'!$S$6:$S$1005,A425,'ITENS_MTR'!$Y$6:$Y$1005,1))</f>
        <v/>
      </c>
      <c r="Q425" s="93" t="str">
        <f>IF(Z425=0,"",SUMIFS('RECEBIMENTOS'!$H$6:$H$1005,'RECEBIMENTOS'!$B$6:$B$1005,A425,'RECEBIMENTOS'!$X$6:$X$1005,1))</f>
        <v/>
      </c>
      <c r="R425" s="93" t="str">
        <f>IF(Z425=0,"",SUMIFS('VÍNCULOS_CDF'!$H$6:$H$1005,'VÍNCULOS_CDF'!$D$6:$D$1005,A425,'VÍNCULOS_CDF'!$V$6:$V$1005,1))</f>
        <v/>
      </c>
      <c r="S425" s="94" t="str">
        <f>IF(Z425=0,"",IF(AA425=1,"Cancelado (informado)",IF(AE425=1,"Cadastro incompleto",IF(OR(AC425=1,AD425=1,AF425&gt;0,AH425&gt;0,AK425&gt;0,AL425&gt;0),"Informação a revisar",IF(AN425=0,"Aguardando recebimento",IF(N(R425)=0,"Aguardando CDF",IF(AJ425&lt;N(W425),"Vínculo de CDF parcial",IF(AO425=0,"CDF localizado, a conferir","Documentação conferida"))))))))</f>
        <v/>
      </c>
      <c r="T425" s="94" t="str">
        <f>IF(Z425=0,"",IF(S425="Cadastro incompleto","MTR INCOMPLETO",IF(S425="Informação a revisar",IF(AND(AH425&gt;0,AC425=0,AD425=0,AF425=0,AK425=0,AL425=0),"QUANTIDADE A REVISAR","IDENTIFICAÇÃO A REVISAR"),IF(S425="Aguardando recebimento","RECEBIMENTO NÃO CONFIRMADO",IF(S425="Aguardando CDF","CDF NÃO LOCALIZADO",IF(S425="Vínculo de CDF parcial","VÍNCULO INCOMPLETO",IF(S425="CDF localizado, a conferir","CDF A CONFERIR","")))))))</f>
        <v/>
      </c>
      <c r="U425" s="95" t="str">
        <f>IF(T425="","",IF(AQ425="","Não calculável",IF(AQ425&gt;TODAY(),"Data futura",TODAY()-AQ425)))</f>
        <v/>
      </c>
      <c r="V425" s="93" t="str">
        <f>IF(Z425=0,"",SUMIFS('RECEBIMENTOS'!$H$6:$H$1005,'RECEBIMENTOS'!$B$6:$B$1005,A425,'RECEBIMENTOS'!$Z$6:$Z$1005,1))</f>
        <v/>
      </c>
      <c r="W425" s="95" t="str">
        <f>IF(Z425=0,"",COUNTIFS('ITENS_MTR'!$S$6:$S$1005,A425,'ITENS_MTR'!$R$6:$R$1005,1))</f>
        <v/>
      </c>
      <c r="X425" s="94" t="str">
        <f>IF(AC425=1,"POSSÍVEL DUPLICIDADE","")</f>
        <v/>
      </c>
      <c r="Y425" s="94" t="str">
        <f>IF(Z425=0,"",IF(AW425="","Nenhuma",LEFT(AW425,LEN(AW425)-2)))</f>
        <v/>
      </c>
      <c r="Z425" s="96">
        <f>IF(COUNTA(B425:O425)&gt;0,1,0)</f>
        <v>0</v>
      </c>
      <c r="AA425" s="96">
        <f>IF(AND(Z425=1,K425&lt;&gt;""),IF(TRIM(K425)=TRIM(cfg_cancel),1,0),0)</f>
        <v>0</v>
      </c>
      <c r="AB425" s="96" t="str">
        <f>IF(AND(Z425=1,B425&lt;&gt;""),C425&amp;"|"&amp;D425&amp;"|"&amp;G425&amp;"|"&amp;TRIM(B425),"")</f>
        <v/>
      </c>
      <c r="AC425" s="96">
        <f>IF(AB425="",0,IF(SUMPRODUCT(--($AB$6:$AB$505=AB425))&gt;1,1,0))</f>
        <v>0</v>
      </c>
      <c r="AD425" s="96">
        <f>IF(Z425=0,0,IF(OR(AND(G425&lt;&gt;"",ISNA(MATCH(G425,'CAD_UNIDADES'!$C$6:$C$105,0))),AND(H425&lt;&gt;"",ISNA(MATCH(H425,cmp_transp,0))),AND(I425&lt;&gt;"",ISNA(MATCH(I425,cmp_dest,0))),AND(E425&lt;&gt;"",NOT(ISNUMBER(E425))),AND(F425&lt;&gt;"",NOT(ISNUMBER(F425))),AND(ISNUMBER(E425),ISNUMBER(F425),F425&lt;E425)),1,0))</f>
        <v>0</v>
      </c>
      <c r="AE425" s="96">
        <f>IF(Z425=0,0,IF(OR(B425="",C425="",E425="",G425="",H425="",I425="",N(W425)=0),1,0))</f>
        <v>0</v>
      </c>
      <c r="AF425" s="96">
        <f>IF(Z425=0,0,COUNTIFS('ITENS_MTR'!$S$6:$S$1005,A425,'ITENS_MTR'!$AI$6:$AI$1005,1))</f>
        <v>0</v>
      </c>
      <c r="AG425" s="96">
        <f>IF(Z425=0,0,COUNTIFS('ITENS_MTR'!$S$6:$S$1005,A425,'ITENS_MTR'!$AJ$6:$AJ$1005,1))</f>
        <v>0</v>
      </c>
      <c r="AH425" s="96">
        <f>IF(Z425=0,0,COUNTIFS('ITENS_MTR'!$S$6:$S$1005,A425,'ITENS_MTR'!$AM$6:$AM$1005,1))</f>
        <v>0</v>
      </c>
      <c r="AI425" s="96">
        <f>IF(Z425=0,0,COUNTIFS('ITENS_MTR'!$S$6:$S$1005,A425,'ITENS_MTR'!$AO$6:$AO$1005,1))</f>
        <v>0</v>
      </c>
      <c r="AJ425" s="96">
        <f>IF(Z425=0,0,COUNTIFS('ITENS_MTR'!$S$6:$S$1005,A425,'ITENS_MTR'!$AN$6:$AN$1005,1))</f>
        <v>0</v>
      </c>
      <c r="AK425" s="96">
        <f>IF(Z425=0,0,COUNTIFS('RECEBIMENTOS'!$B$6:$B$1005,A425,'RECEBIMENTOS'!$Y$6:$Y$1005,1))</f>
        <v>0</v>
      </c>
      <c r="AL425" s="96">
        <f>IF(Z425=0,0,COUNTIFS('VÍNCULOS_CDF'!$D$6:$D$1005,A425,'VÍNCULOS_CDF'!$Y$6:$Y$1005,1))</f>
        <v>0</v>
      </c>
      <c r="AM425" s="96">
        <f>IF(Z425=0,0,COUNTIFS('RECEBIMENTOS'!$B$6:$B$1005,A425,'RECEBIMENTOS'!$Q$6:$Q$1005,1))</f>
        <v>0</v>
      </c>
      <c r="AN425" s="96">
        <f>IF(AND(Z425=1,N(W425)&gt;0,AG425=N(W425)),1,0)</f>
        <v>0</v>
      </c>
      <c r="AO425" s="96">
        <f>IF(AND(Z425=1,N(W425)&gt;0,AI425=N(W425)),1,0)</f>
        <v>0</v>
      </c>
      <c r="AP425" s="97">
        <f>IF(Z425=0,0,_xlfn.MAXIFS('RECEBIMENTOS'!$E$6:$E$1005,'RECEBIMENTOS'!$B$6:$B$1005,A425))</f>
        <v>0</v>
      </c>
      <c r="AQ425" s="97" t="str">
        <f>IF(T425="","",IF(T425="RECEBIMENTO NÃO CONFIRMADO",IF(ISNUMBER(F425),F425,IF(ISNUMBER(E425),E425,"")),IF(OR(T425="CDF NÃO LOCALIZADO",T425="VÍNCULO INCOMPLETO",T425="CDF A CONFERIR"),IF(AP425&gt;0,AP425,IF(ISNUMBER(E425),E425,"")),IF(ISNUMBER(E425),E425,""))))</f>
        <v/>
      </c>
      <c r="AR425" s="96">
        <f>IF(NOT(ISNUMBER(U425)),0,IF(T425="RECEBIMENTO NÃO CONFIRMADO",IF(AND(ISNUMBER(cfg_rec),U425&gt;cfg_rec),1,0),IF(OR(T425="CDF NÃO LOCALIZADO",T425="VÍNCULO INCOMPLETO",T425="CDF A CONFERIR"),IF(AND(ISNUMBER(cfg_cdf),U425&gt;cfg_cdf),1,0),0)))</f>
        <v>0</v>
      </c>
      <c r="AS425" s="96" t="str">
        <f>IF(T425="","",IF(AR425=1,"Alta",IFERROR(INDEX(cfg_pp,MATCH(T425,cfg_pt,0))&amp;"","Média")))</f>
        <v/>
      </c>
      <c r="AT425" s="96" t="str">
        <f>IF(T425="","",IFERROR(INDEX(cfg_pv,MATCH(T425,cfg_pt,0))&amp;"",""))</f>
        <v/>
      </c>
      <c r="AU425" s="96" t="str">
        <f>IF(T425="","",IF(AS425="Alta",1,IF(AS425="Média",2,3))*1000000000+(999999-IF(ISNUMBER(U425),MIN(U425,999999),0))*1000+420)</f>
        <v/>
      </c>
      <c r="AV425" s="96">
        <f>IF(T425&lt;&gt;"",1,0)</f>
        <v>0</v>
      </c>
      <c r="AW425" s="96" t="str">
        <f>IF(Z425=0,"",IF(AA425=1,"Cancelamento informado; ","")&amp;IF(AE425=1,"Campos essenciais ou itens faltando; ","")&amp;IF(AC425=1,"Possível duplicidade do número; ","")&amp;IF(AD425=1,"Cadastro ou datas a revisar; ","")&amp;IF(AF425&gt;0,"Item de resíduo com dado a revisar; ","")&amp;IF(AH425&gt;0,"Diferença de quantidade a analisar; ","")&amp;IF(AK425&gt;0,"Recebimento com alerta; ","")&amp;IF(AL425&gt;0,"Vínculo de CDF com alerta; ","")&amp;IF(AND(AA425=0,AN425=0),"Recebimento não confirmado; ","")&amp;IF(AND(AA425=0,AN425=1,AO425=0),"CDF pendente ou a conferir; ",""))</f>
        <v/>
      </c>
      <c r="AX425" s="96">
        <f>IF(Z425=0,0,IF(AND(OR(f_ini="",AND(ISNUMBER(E425),E425&gt;=f_ini)),OR(f_fim="",AND(ISNUMBER(E425),E425&lt;=f_fim)),OR(f_un="",f_un="(Todas)",G425=f_un),OR(f_tr="",f_tr="(Todos)",H425=f_tr),OR(f_de="",f_de="(Todos)",I425=f_de),OR(f_sit="",f_sit="(Todas)",S425=f_sit)),1,0))</f>
        <v>0</v>
      </c>
      <c r="AY425" s="96">
        <f>IF(AX425=0,0,IF(OR(f_res="",f_res="(Todos)"),1,IF(COUNTIFS('ITENS_MTR'!$S$6:$S$1005,A425,'ITENS_MTR'!$C$6:$C$1005,f_res)&gt;0,1,0)))</f>
        <v>0</v>
      </c>
      <c r="AZ425" s="97" t="str">
        <f>IF(ISNUMBER(E425),DATE(YEAR(E425),MONTH(E425),1),"")</f>
        <v/>
      </c>
      <c r="BA425" s="96">
        <f>IF(Z425=0,0,IF(AND(OR(r_ini="",AND(ISNUMBER(E425),E425&gt;=r_ini)),OR(r_fim="",AND(ISNUMBER(E425),E425&lt;=r_fim)),OR(r_un="",r_un="(Todas)",G425=r_un),OR(r_de="",r_de="(Todos)",I425=r_de)),1,0))</f>
        <v>0</v>
      </c>
      <c r="BB425" s="96" t="str">
        <f>IF(BA425=1,COUNTIF($BA$6:BA425,1),"")</f>
        <v/>
      </c>
      <c r="BC425" s="96" t="str">
        <f>IF(AND(AU425&lt;&gt;"",OR(r_un="",r_un="(Todas)",G425=r_un),OR(r_de="",r_de="(Todos)",I425=r_de)),AU425,"")</f>
        <v/>
      </c>
      <c r="BD425" s="96" t="str">
        <f>IF(Z425=1,A425&amp;" | nº "&amp;IF(B425="","(sem número)",B425)&amp;" | "&amp;IF(G425="","(sem unidade)",G425),"")</f>
        <v/>
      </c>
      <c r="BE425" s="96" t="str">
        <f>IF(Z425=1,COUNTIF($Z$6:Z425,1),"")</f>
        <v/>
      </c>
      <c r="BF425" s="96" t="str">
        <f>IF(T425="","",IF(T425="RECEBIMENTO NÃO CONFIRMADO","Transp.: "&amp;H425&amp;" | Dest.: "&amp;I425,IF(OR(T425="CDF NÃO LOCALIZADO",T425="VÍNCULO INCOMPLETO",T425="CDF A CONFERIR"),"Dest.: "&amp;I425,"Gerador: "&amp;G425)))</f>
        <v/>
      </c>
    </row>
    <row r="426">
      <c r="A426" s="89" t="inlineStr">
        <is>
          <t>MTR-000421</t>
        </is>
      </c>
      <c r="B426" s="90" t="n"/>
      <c r="C426" s="91" t="n"/>
      <c r="D426" s="91" t="n"/>
      <c r="E426" s="92" t="n"/>
      <c r="F426" s="92" t="n"/>
      <c r="G426" s="91" t="n"/>
      <c r="H426" s="91" t="n"/>
      <c r="I426" s="91" t="n"/>
      <c r="J426" s="91" t="n"/>
      <c r="K426" s="91" t="n"/>
      <c r="L426" s="92" t="n"/>
      <c r="M426" s="91" t="n"/>
      <c r="N426" s="91" t="n"/>
      <c r="O426" s="91" t="n"/>
      <c r="P426" s="93" t="str">
        <f>IF(Z426=0,"",SUMIFS('ITENS_MTR'!$I$6:$I$1005,'ITENS_MTR'!$S$6:$S$1005,A426,'ITENS_MTR'!$Y$6:$Y$1005,1))</f>
        <v/>
      </c>
      <c r="Q426" s="93" t="str">
        <f>IF(Z426=0,"",SUMIFS('RECEBIMENTOS'!$H$6:$H$1005,'RECEBIMENTOS'!$B$6:$B$1005,A426,'RECEBIMENTOS'!$X$6:$X$1005,1))</f>
        <v/>
      </c>
      <c r="R426" s="93" t="str">
        <f>IF(Z426=0,"",SUMIFS('VÍNCULOS_CDF'!$H$6:$H$1005,'VÍNCULOS_CDF'!$D$6:$D$1005,A426,'VÍNCULOS_CDF'!$V$6:$V$1005,1))</f>
        <v/>
      </c>
      <c r="S426" s="94" t="str">
        <f>IF(Z426=0,"",IF(AA426=1,"Cancelado (informado)",IF(AE426=1,"Cadastro incompleto",IF(OR(AC426=1,AD426=1,AF426&gt;0,AH426&gt;0,AK426&gt;0,AL426&gt;0),"Informação a revisar",IF(AN426=0,"Aguardando recebimento",IF(N(R426)=0,"Aguardando CDF",IF(AJ426&lt;N(W426),"Vínculo de CDF parcial",IF(AO426=0,"CDF localizado, a conferir","Documentação conferida"))))))))</f>
        <v/>
      </c>
      <c r="T426" s="94" t="str">
        <f>IF(Z426=0,"",IF(S426="Cadastro incompleto","MTR INCOMPLETO",IF(S426="Informação a revisar",IF(AND(AH426&gt;0,AC426=0,AD426=0,AF426=0,AK426=0,AL426=0),"QUANTIDADE A REVISAR","IDENTIFICAÇÃO A REVISAR"),IF(S426="Aguardando recebimento","RECEBIMENTO NÃO CONFIRMADO",IF(S426="Aguardando CDF","CDF NÃO LOCALIZADO",IF(S426="Vínculo de CDF parcial","VÍNCULO INCOMPLETO",IF(S426="CDF localizado, a conferir","CDF A CONFERIR","")))))))</f>
        <v/>
      </c>
      <c r="U426" s="95" t="str">
        <f>IF(T426="","",IF(AQ426="","Não calculável",IF(AQ426&gt;TODAY(),"Data futura",TODAY()-AQ426)))</f>
        <v/>
      </c>
      <c r="V426" s="93" t="str">
        <f>IF(Z426=0,"",SUMIFS('RECEBIMENTOS'!$H$6:$H$1005,'RECEBIMENTOS'!$B$6:$B$1005,A426,'RECEBIMENTOS'!$Z$6:$Z$1005,1))</f>
        <v/>
      </c>
      <c r="W426" s="95" t="str">
        <f>IF(Z426=0,"",COUNTIFS('ITENS_MTR'!$S$6:$S$1005,A426,'ITENS_MTR'!$R$6:$R$1005,1))</f>
        <v/>
      </c>
      <c r="X426" s="94" t="str">
        <f>IF(AC426=1,"POSSÍVEL DUPLICIDADE","")</f>
        <v/>
      </c>
      <c r="Y426" s="94" t="str">
        <f>IF(Z426=0,"",IF(AW426="","Nenhuma",LEFT(AW426,LEN(AW426)-2)))</f>
        <v/>
      </c>
      <c r="Z426" s="96">
        <f>IF(COUNTA(B426:O426)&gt;0,1,0)</f>
        <v>0</v>
      </c>
      <c r="AA426" s="96">
        <f>IF(AND(Z426=1,K426&lt;&gt;""),IF(TRIM(K426)=TRIM(cfg_cancel),1,0),0)</f>
        <v>0</v>
      </c>
      <c r="AB426" s="96" t="str">
        <f>IF(AND(Z426=1,B426&lt;&gt;""),C426&amp;"|"&amp;D426&amp;"|"&amp;G426&amp;"|"&amp;TRIM(B426),"")</f>
        <v/>
      </c>
      <c r="AC426" s="96">
        <f>IF(AB426="",0,IF(SUMPRODUCT(--($AB$6:$AB$505=AB426))&gt;1,1,0))</f>
        <v>0</v>
      </c>
      <c r="AD426" s="96">
        <f>IF(Z426=0,0,IF(OR(AND(G426&lt;&gt;"",ISNA(MATCH(G426,'CAD_UNIDADES'!$C$6:$C$105,0))),AND(H426&lt;&gt;"",ISNA(MATCH(H426,cmp_transp,0))),AND(I426&lt;&gt;"",ISNA(MATCH(I426,cmp_dest,0))),AND(E426&lt;&gt;"",NOT(ISNUMBER(E426))),AND(F426&lt;&gt;"",NOT(ISNUMBER(F426))),AND(ISNUMBER(E426),ISNUMBER(F426),F426&lt;E426)),1,0))</f>
        <v>0</v>
      </c>
      <c r="AE426" s="96">
        <f>IF(Z426=0,0,IF(OR(B426="",C426="",E426="",G426="",H426="",I426="",N(W426)=0),1,0))</f>
        <v>0</v>
      </c>
      <c r="AF426" s="96">
        <f>IF(Z426=0,0,COUNTIFS('ITENS_MTR'!$S$6:$S$1005,A426,'ITENS_MTR'!$AI$6:$AI$1005,1))</f>
        <v>0</v>
      </c>
      <c r="AG426" s="96">
        <f>IF(Z426=0,0,COUNTIFS('ITENS_MTR'!$S$6:$S$1005,A426,'ITENS_MTR'!$AJ$6:$AJ$1005,1))</f>
        <v>0</v>
      </c>
      <c r="AH426" s="96">
        <f>IF(Z426=0,0,COUNTIFS('ITENS_MTR'!$S$6:$S$1005,A426,'ITENS_MTR'!$AM$6:$AM$1005,1))</f>
        <v>0</v>
      </c>
      <c r="AI426" s="96">
        <f>IF(Z426=0,0,COUNTIFS('ITENS_MTR'!$S$6:$S$1005,A426,'ITENS_MTR'!$AO$6:$AO$1005,1))</f>
        <v>0</v>
      </c>
      <c r="AJ426" s="96">
        <f>IF(Z426=0,0,COUNTIFS('ITENS_MTR'!$S$6:$S$1005,A426,'ITENS_MTR'!$AN$6:$AN$1005,1))</f>
        <v>0</v>
      </c>
      <c r="AK426" s="96">
        <f>IF(Z426=0,0,COUNTIFS('RECEBIMENTOS'!$B$6:$B$1005,A426,'RECEBIMENTOS'!$Y$6:$Y$1005,1))</f>
        <v>0</v>
      </c>
      <c r="AL426" s="96">
        <f>IF(Z426=0,0,COUNTIFS('VÍNCULOS_CDF'!$D$6:$D$1005,A426,'VÍNCULOS_CDF'!$Y$6:$Y$1005,1))</f>
        <v>0</v>
      </c>
      <c r="AM426" s="96">
        <f>IF(Z426=0,0,COUNTIFS('RECEBIMENTOS'!$B$6:$B$1005,A426,'RECEBIMENTOS'!$Q$6:$Q$1005,1))</f>
        <v>0</v>
      </c>
      <c r="AN426" s="96">
        <f>IF(AND(Z426=1,N(W426)&gt;0,AG426=N(W426)),1,0)</f>
        <v>0</v>
      </c>
      <c r="AO426" s="96">
        <f>IF(AND(Z426=1,N(W426)&gt;0,AI426=N(W426)),1,0)</f>
        <v>0</v>
      </c>
      <c r="AP426" s="97">
        <f>IF(Z426=0,0,_xlfn.MAXIFS('RECEBIMENTOS'!$E$6:$E$1005,'RECEBIMENTOS'!$B$6:$B$1005,A426))</f>
        <v>0</v>
      </c>
      <c r="AQ426" s="97" t="str">
        <f>IF(T426="","",IF(T426="RECEBIMENTO NÃO CONFIRMADO",IF(ISNUMBER(F426),F426,IF(ISNUMBER(E426),E426,"")),IF(OR(T426="CDF NÃO LOCALIZADO",T426="VÍNCULO INCOMPLETO",T426="CDF A CONFERIR"),IF(AP426&gt;0,AP426,IF(ISNUMBER(E426),E426,"")),IF(ISNUMBER(E426),E426,""))))</f>
        <v/>
      </c>
      <c r="AR426" s="96">
        <f>IF(NOT(ISNUMBER(U426)),0,IF(T426="RECEBIMENTO NÃO CONFIRMADO",IF(AND(ISNUMBER(cfg_rec),U426&gt;cfg_rec),1,0),IF(OR(T426="CDF NÃO LOCALIZADO",T426="VÍNCULO INCOMPLETO",T426="CDF A CONFERIR"),IF(AND(ISNUMBER(cfg_cdf),U426&gt;cfg_cdf),1,0),0)))</f>
        <v>0</v>
      </c>
      <c r="AS426" s="96" t="str">
        <f>IF(T426="","",IF(AR426=1,"Alta",IFERROR(INDEX(cfg_pp,MATCH(T426,cfg_pt,0))&amp;"","Média")))</f>
        <v/>
      </c>
      <c r="AT426" s="96" t="str">
        <f>IF(T426="","",IFERROR(INDEX(cfg_pv,MATCH(T426,cfg_pt,0))&amp;"",""))</f>
        <v/>
      </c>
      <c r="AU426" s="96" t="str">
        <f>IF(T426="","",IF(AS426="Alta",1,IF(AS426="Média",2,3))*1000000000+(999999-IF(ISNUMBER(U426),MIN(U426,999999),0))*1000+421)</f>
        <v/>
      </c>
      <c r="AV426" s="96">
        <f>IF(T426&lt;&gt;"",1,0)</f>
        <v>0</v>
      </c>
      <c r="AW426" s="96" t="str">
        <f>IF(Z426=0,"",IF(AA426=1,"Cancelamento informado; ","")&amp;IF(AE426=1,"Campos essenciais ou itens faltando; ","")&amp;IF(AC426=1,"Possível duplicidade do número; ","")&amp;IF(AD426=1,"Cadastro ou datas a revisar; ","")&amp;IF(AF426&gt;0,"Item de resíduo com dado a revisar; ","")&amp;IF(AH426&gt;0,"Diferença de quantidade a analisar; ","")&amp;IF(AK426&gt;0,"Recebimento com alerta; ","")&amp;IF(AL426&gt;0,"Vínculo de CDF com alerta; ","")&amp;IF(AND(AA426=0,AN426=0),"Recebimento não confirmado; ","")&amp;IF(AND(AA426=0,AN426=1,AO426=0),"CDF pendente ou a conferir; ",""))</f>
        <v/>
      </c>
      <c r="AX426" s="96">
        <f>IF(Z426=0,0,IF(AND(OR(f_ini="",AND(ISNUMBER(E426),E426&gt;=f_ini)),OR(f_fim="",AND(ISNUMBER(E426),E426&lt;=f_fim)),OR(f_un="",f_un="(Todas)",G426=f_un),OR(f_tr="",f_tr="(Todos)",H426=f_tr),OR(f_de="",f_de="(Todos)",I426=f_de),OR(f_sit="",f_sit="(Todas)",S426=f_sit)),1,0))</f>
        <v>0</v>
      </c>
      <c r="AY426" s="96">
        <f>IF(AX426=0,0,IF(OR(f_res="",f_res="(Todos)"),1,IF(COUNTIFS('ITENS_MTR'!$S$6:$S$1005,A426,'ITENS_MTR'!$C$6:$C$1005,f_res)&gt;0,1,0)))</f>
        <v>0</v>
      </c>
      <c r="AZ426" s="97" t="str">
        <f>IF(ISNUMBER(E426),DATE(YEAR(E426),MONTH(E426),1),"")</f>
        <v/>
      </c>
      <c r="BA426" s="96">
        <f>IF(Z426=0,0,IF(AND(OR(r_ini="",AND(ISNUMBER(E426),E426&gt;=r_ini)),OR(r_fim="",AND(ISNUMBER(E426),E426&lt;=r_fim)),OR(r_un="",r_un="(Todas)",G426=r_un),OR(r_de="",r_de="(Todos)",I426=r_de)),1,0))</f>
        <v>0</v>
      </c>
      <c r="BB426" s="96" t="str">
        <f>IF(BA426=1,COUNTIF($BA$6:BA426,1),"")</f>
        <v/>
      </c>
      <c r="BC426" s="96" t="str">
        <f>IF(AND(AU426&lt;&gt;"",OR(r_un="",r_un="(Todas)",G426=r_un),OR(r_de="",r_de="(Todos)",I426=r_de)),AU426,"")</f>
        <v/>
      </c>
      <c r="BD426" s="96" t="str">
        <f>IF(Z426=1,A426&amp;" | nº "&amp;IF(B426="","(sem número)",B426)&amp;" | "&amp;IF(G426="","(sem unidade)",G426),"")</f>
        <v/>
      </c>
      <c r="BE426" s="96" t="str">
        <f>IF(Z426=1,COUNTIF($Z$6:Z426,1),"")</f>
        <v/>
      </c>
      <c r="BF426" s="96" t="str">
        <f>IF(T426="","",IF(T426="RECEBIMENTO NÃO CONFIRMADO","Transp.: "&amp;H426&amp;" | Dest.: "&amp;I426,IF(OR(T426="CDF NÃO LOCALIZADO",T426="VÍNCULO INCOMPLETO",T426="CDF A CONFERIR"),"Dest.: "&amp;I426,"Gerador: "&amp;G426)))</f>
        <v/>
      </c>
    </row>
    <row r="427">
      <c r="A427" s="89" t="inlineStr">
        <is>
          <t>MTR-000422</t>
        </is>
      </c>
      <c r="B427" s="90" t="n"/>
      <c r="C427" s="91" t="n"/>
      <c r="D427" s="91" t="n"/>
      <c r="E427" s="92" t="n"/>
      <c r="F427" s="92" t="n"/>
      <c r="G427" s="91" t="n"/>
      <c r="H427" s="91" t="n"/>
      <c r="I427" s="91" t="n"/>
      <c r="J427" s="91" t="n"/>
      <c r="K427" s="91" t="n"/>
      <c r="L427" s="92" t="n"/>
      <c r="M427" s="91" t="n"/>
      <c r="N427" s="91" t="n"/>
      <c r="O427" s="91" t="n"/>
      <c r="P427" s="93" t="str">
        <f>IF(Z427=0,"",SUMIFS('ITENS_MTR'!$I$6:$I$1005,'ITENS_MTR'!$S$6:$S$1005,A427,'ITENS_MTR'!$Y$6:$Y$1005,1))</f>
        <v/>
      </c>
      <c r="Q427" s="93" t="str">
        <f>IF(Z427=0,"",SUMIFS('RECEBIMENTOS'!$H$6:$H$1005,'RECEBIMENTOS'!$B$6:$B$1005,A427,'RECEBIMENTOS'!$X$6:$X$1005,1))</f>
        <v/>
      </c>
      <c r="R427" s="93" t="str">
        <f>IF(Z427=0,"",SUMIFS('VÍNCULOS_CDF'!$H$6:$H$1005,'VÍNCULOS_CDF'!$D$6:$D$1005,A427,'VÍNCULOS_CDF'!$V$6:$V$1005,1))</f>
        <v/>
      </c>
      <c r="S427" s="94" t="str">
        <f>IF(Z427=0,"",IF(AA427=1,"Cancelado (informado)",IF(AE427=1,"Cadastro incompleto",IF(OR(AC427=1,AD427=1,AF427&gt;0,AH427&gt;0,AK427&gt;0,AL427&gt;0),"Informação a revisar",IF(AN427=0,"Aguardando recebimento",IF(N(R427)=0,"Aguardando CDF",IF(AJ427&lt;N(W427),"Vínculo de CDF parcial",IF(AO427=0,"CDF localizado, a conferir","Documentação conferida"))))))))</f>
        <v/>
      </c>
      <c r="T427" s="94" t="str">
        <f>IF(Z427=0,"",IF(S427="Cadastro incompleto","MTR INCOMPLETO",IF(S427="Informação a revisar",IF(AND(AH427&gt;0,AC427=0,AD427=0,AF427=0,AK427=0,AL427=0),"QUANTIDADE A REVISAR","IDENTIFICAÇÃO A REVISAR"),IF(S427="Aguardando recebimento","RECEBIMENTO NÃO CONFIRMADO",IF(S427="Aguardando CDF","CDF NÃO LOCALIZADO",IF(S427="Vínculo de CDF parcial","VÍNCULO INCOMPLETO",IF(S427="CDF localizado, a conferir","CDF A CONFERIR","")))))))</f>
        <v/>
      </c>
      <c r="U427" s="95" t="str">
        <f>IF(T427="","",IF(AQ427="","Não calculável",IF(AQ427&gt;TODAY(),"Data futura",TODAY()-AQ427)))</f>
        <v/>
      </c>
      <c r="V427" s="93" t="str">
        <f>IF(Z427=0,"",SUMIFS('RECEBIMENTOS'!$H$6:$H$1005,'RECEBIMENTOS'!$B$6:$B$1005,A427,'RECEBIMENTOS'!$Z$6:$Z$1005,1))</f>
        <v/>
      </c>
      <c r="W427" s="95" t="str">
        <f>IF(Z427=0,"",COUNTIFS('ITENS_MTR'!$S$6:$S$1005,A427,'ITENS_MTR'!$R$6:$R$1005,1))</f>
        <v/>
      </c>
      <c r="X427" s="94" t="str">
        <f>IF(AC427=1,"POSSÍVEL DUPLICIDADE","")</f>
        <v/>
      </c>
      <c r="Y427" s="94" t="str">
        <f>IF(Z427=0,"",IF(AW427="","Nenhuma",LEFT(AW427,LEN(AW427)-2)))</f>
        <v/>
      </c>
      <c r="Z427" s="96">
        <f>IF(COUNTA(B427:O427)&gt;0,1,0)</f>
        <v>0</v>
      </c>
      <c r="AA427" s="96">
        <f>IF(AND(Z427=1,K427&lt;&gt;""),IF(TRIM(K427)=TRIM(cfg_cancel),1,0),0)</f>
        <v>0</v>
      </c>
      <c r="AB427" s="96" t="str">
        <f>IF(AND(Z427=1,B427&lt;&gt;""),C427&amp;"|"&amp;D427&amp;"|"&amp;G427&amp;"|"&amp;TRIM(B427),"")</f>
        <v/>
      </c>
      <c r="AC427" s="96">
        <f>IF(AB427="",0,IF(SUMPRODUCT(--($AB$6:$AB$505=AB427))&gt;1,1,0))</f>
        <v>0</v>
      </c>
      <c r="AD427" s="96">
        <f>IF(Z427=0,0,IF(OR(AND(G427&lt;&gt;"",ISNA(MATCH(G427,'CAD_UNIDADES'!$C$6:$C$105,0))),AND(H427&lt;&gt;"",ISNA(MATCH(H427,cmp_transp,0))),AND(I427&lt;&gt;"",ISNA(MATCH(I427,cmp_dest,0))),AND(E427&lt;&gt;"",NOT(ISNUMBER(E427))),AND(F427&lt;&gt;"",NOT(ISNUMBER(F427))),AND(ISNUMBER(E427),ISNUMBER(F427),F427&lt;E427)),1,0))</f>
        <v>0</v>
      </c>
      <c r="AE427" s="96">
        <f>IF(Z427=0,0,IF(OR(B427="",C427="",E427="",G427="",H427="",I427="",N(W427)=0),1,0))</f>
        <v>0</v>
      </c>
      <c r="AF427" s="96">
        <f>IF(Z427=0,0,COUNTIFS('ITENS_MTR'!$S$6:$S$1005,A427,'ITENS_MTR'!$AI$6:$AI$1005,1))</f>
        <v>0</v>
      </c>
      <c r="AG427" s="96">
        <f>IF(Z427=0,0,COUNTIFS('ITENS_MTR'!$S$6:$S$1005,A427,'ITENS_MTR'!$AJ$6:$AJ$1005,1))</f>
        <v>0</v>
      </c>
      <c r="AH427" s="96">
        <f>IF(Z427=0,0,COUNTIFS('ITENS_MTR'!$S$6:$S$1005,A427,'ITENS_MTR'!$AM$6:$AM$1005,1))</f>
        <v>0</v>
      </c>
      <c r="AI427" s="96">
        <f>IF(Z427=0,0,COUNTIFS('ITENS_MTR'!$S$6:$S$1005,A427,'ITENS_MTR'!$AO$6:$AO$1005,1))</f>
        <v>0</v>
      </c>
      <c r="AJ427" s="96">
        <f>IF(Z427=0,0,COUNTIFS('ITENS_MTR'!$S$6:$S$1005,A427,'ITENS_MTR'!$AN$6:$AN$1005,1))</f>
        <v>0</v>
      </c>
      <c r="AK427" s="96">
        <f>IF(Z427=0,0,COUNTIFS('RECEBIMENTOS'!$B$6:$B$1005,A427,'RECEBIMENTOS'!$Y$6:$Y$1005,1))</f>
        <v>0</v>
      </c>
      <c r="AL427" s="96">
        <f>IF(Z427=0,0,COUNTIFS('VÍNCULOS_CDF'!$D$6:$D$1005,A427,'VÍNCULOS_CDF'!$Y$6:$Y$1005,1))</f>
        <v>0</v>
      </c>
      <c r="AM427" s="96">
        <f>IF(Z427=0,0,COUNTIFS('RECEBIMENTOS'!$B$6:$B$1005,A427,'RECEBIMENTOS'!$Q$6:$Q$1005,1))</f>
        <v>0</v>
      </c>
      <c r="AN427" s="96">
        <f>IF(AND(Z427=1,N(W427)&gt;0,AG427=N(W427)),1,0)</f>
        <v>0</v>
      </c>
      <c r="AO427" s="96">
        <f>IF(AND(Z427=1,N(W427)&gt;0,AI427=N(W427)),1,0)</f>
        <v>0</v>
      </c>
      <c r="AP427" s="97">
        <f>IF(Z427=0,0,_xlfn.MAXIFS('RECEBIMENTOS'!$E$6:$E$1005,'RECEBIMENTOS'!$B$6:$B$1005,A427))</f>
        <v>0</v>
      </c>
      <c r="AQ427" s="97" t="str">
        <f>IF(T427="","",IF(T427="RECEBIMENTO NÃO CONFIRMADO",IF(ISNUMBER(F427),F427,IF(ISNUMBER(E427),E427,"")),IF(OR(T427="CDF NÃO LOCALIZADO",T427="VÍNCULO INCOMPLETO",T427="CDF A CONFERIR"),IF(AP427&gt;0,AP427,IF(ISNUMBER(E427),E427,"")),IF(ISNUMBER(E427),E427,""))))</f>
        <v/>
      </c>
      <c r="AR427" s="96">
        <f>IF(NOT(ISNUMBER(U427)),0,IF(T427="RECEBIMENTO NÃO CONFIRMADO",IF(AND(ISNUMBER(cfg_rec),U427&gt;cfg_rec),1,0),IF(OR(T427="CDF NÃO LOCALIZADO",T427="VÍNCULO INCOMPLETO",T427="CDF A CONFERIR"),IF(AND(ISNUMBER(cfg_cdf),U427&gt;cfg_cdf),1,0),0)))</f>
        <v>0</v>
      </c>
      <c r="AS427" s="96" t="str">
        <f>IF(T427="","",IF(AR427=1,"Alta",IFERROR(INDEX(cfg_pp,MATCH(T427,cfg_pt,0))&amp;"","Média")))</f>
        <v/>
      </c>
      <c r="AT427" s="96" t="str">
        <f>IF(T427="","",IFERROR(INDEX(cfg_pv,MATCH(T427,cfg_pt,0))&amp;"",""))</f>
        <v/>
      </c>
      <c r="AU427" s="96" t="str">
        <f>IF(T427="","",IF(AS427="Alta",1,IF(AS427="Média",2,3))*1000000000+(999999-IF(ISNUMBER(U427),MIN(U427,999999),0))*1000+422)</f>
        <v/>
      </c>
      <c r="AV427" s="96">
        <f>IF(T427&lt;&gt;"",1,0)</f>
        <v>0</v>
      </c>
      <c r="AW427" s="96" t="str">
        <f>IF(Z427=0,"",IF(AA427=1,"Cancelamento informado; ","")&amp;IF(AE427=1,"Campos essenciais ou itens faltando; ","")&amp;IF(AC427=1,"Possível duplicidade do número; ","")&amp;IF(AD427=1,"Cadastro ou datas a revisar; ","")&amp;IF(AF427&gt;0,"Item de resíduo com dado a revisar; ","")&amp;IF(AH427&gt;0,"Diferença de quantidade a analisar; ","")&amp;IF(AK427&gt;0,"Recebimento com alerta; ","")&amp;IF(AL427&gt;0,"Vínculo de CDF com alerta; ","")&amp;IF(AND(AA427=0,AN427=0),"Recebimento não confirmado; ","")&amp;IF(AND(AA427=0,AN427=1,AO427=0),"CDF pendente ou a conferir; ",""))</f>
        <v/>
      </c>
      <c r="AX427" s="96">
        <f>IF(Z427=0,0,IF(AND(OR(f_ini="",AND(ISNUMBER(E427),E427&gt;=f_ini)),OR(f_fim="",AND(ISNUMBER(E427),E427&lt;=f_fim)),OR(f_un="",f_un="(Todas)",G427=f_un),OR(f_tr="",f_tr="(Todos)",H427=f_tr),OR(f_de="",f_de="(Todos)",I427=f_de),OR(f_sit="",f_sit="(Todas)",S427=f_sit)),1,0))</f>
        <v>0</v>
      </c>
      <c r="AY427" s="96">
        <f>IF(AX427=0,0,IF(OR(f_res="",f_res="(Todos)"),1,IF(COUNTIFS('ITENS_MTR'!$S$6:$S$1005,A427,'ITENS_MTR'!$C$6:$C$1005,f_res)&gt;0,1,0)))</f>
        <v>0</v>
      </c>
      <c r="AZ427" s="97" t="str">
        <f>IF(ISNUMBER(E427),DATE(YEAR(E427),MONTH(E427),1),"")</f>
        <v/>
      </c>
      <c r="BA427" s="96">
        <f>IF(Z427=0,0,IF(AND(OR(r_ini="",AND(ISNUMBER(E427),E427&gt;=r_ini)),OR(r_fim="",AND(ISNUMBER(E427),E427&lt;=r_fim)),OR(r_un="",r_un="(Todas)",G427=r_un),OR(r_de="",r_de="(Todos)",I427=r_de)),1,0))</f>
        <v>0</v>
      </c>
      <c r="BB427" s="96" t="str">
        <f>IF(BA427=1,COUNTIF($BA$6:BA427,1),"")</f>
        <v/>
      </c>
      <c r="BC427" s="96" t="str">
        <f>IF(AND(AU427&lt;&gt;"",OR(r_un="",r_un="(Todas)",G427=r_un),OR(r_de="",r_de="(Todos)",I427=r_de)),AU427,"")</f>
        <v/>
      </c>
      <c r="BD427" s="96" t="str">
        <f>IF(Z427=1,A427&amp;" | nº "&amp;IF(B427="","(sem número)",B427)&amp;" | "&amp;IF(G427="","(sem unidade)",G427),"")</f>
        <v/>
      </c>
      <c r="BE427" s="96" t="str">
        <f>IF(Z427=1,COUNTIF($Z$6:Z427,1),"")</f>
        <v/>
      </c>
      <c r="BF427" s="96" t="str">
        <f>IF(T427="","",IF(T427="RECEBIMENTO NÃO CONFIRMADO","Transp.: "&amp;H427&amp;" | Dest.: "&amp;I427,IF(OR(T427="CDF NÃO LOCALIZADO",T427="VÍNCULO INCOMPLETO",T427="CDF A CONFERIR"),"Dest.: "&amp;I427,"Gerador: "&amp;G427)))</f>
        <v/>
      </c>
    </row>
    <row r="428">
      <c r="A428" s="89" t="inlineStr">
        <is>
          <t>MTR-000423</t>
        </is>
      </c>
      <c r="B428" s="90" t="n"/>
      <c r="C428" s="91" t="n"/>
      <c r="D428" s="91" t="n"/>
      <c r="E428" s="92" t="n"/>
      <c r="F428" s="92" t="n"/>
      <c r="G428" s="91" t="n"/>
      <c r="H428" s="91" t="n"/>
      <c r="I428" s="91" t="n"/>
      <c r="J428" s="91" t="n"/>
      <c r="K428" s="91" t="n"/>
      <c r="L428" s="92" t="n"/>
      <c r="M428" s="91" t="n"/>
      <c r="N428" s="91" t="n"/>
      <c r="O428" s="91" t="n"/>
      <c r="P428" s="93" t="str">
        <f>IF(Z428=0,"",SUMIFS('ITENS_MTR'!$I$6:$I$1005,'ITENS_MTR'!$S$6:$S$1005,A428,'ITENS_MTR'!$Y$6:$Y$1005,1))</f>
        <v/>
      </c>
      <c r="Q428" s="93" t="str">
        <f>IF(Z428=0,"",SUMIFS('RECEBIMENTOS'!$H$6:$H$1005,'RECEBIMENTOS'!$B$6:$B$1005,A428,'RECEBIMENTOS'!$X$6:$X$1005,1))</f>
        <v/>
      </c>
      <c r="R428" s="93" t="str">
        <f>IF(Z428=0,"",SUMIFS('VÍNCULOS_CDF'!$H$6:$H$1005,'VÍNCULOS_CDF'!$D$6:$D$1005,A428,'VÍNCULOS_CDF'!$V$6:$V$1005,1))</f>
        <v/>
      </c>
      <c r="S428" s="94" t="str">
        <f>IF(Z428=0,"",IF(AA428=1,"Cancelado (informado)",IF(AE428=1,"Cadastro incompleto",IF(OR(AC428=1,AD428=1,AF428&gt;0,AH428&gt;0,AK428&gt;0,AL428&gt;0),"Informação a revisar",IF(AN428=0,"Aguardando recebimento",IF(N(R428)=0,"Aguardando CDF",IF(AJ428&lt;N(W428),"Vínculo de CDF parcial",IF(AO428=0,"CDF localizado, a conferir","Documentação conferida"))))))))</f>
        <v/>
      </c>
      <c r="T428" s="94" t="str">
        <f>IF(Z428=0,"",IF(S428="Cadastro incompleto","MTR INCOMPLETO",IF(S428="Informação a revisar",IF(AND(AH428&gt;0,AC428=0,AD428=0,AF428=0,AK428=0,AL428=0),"QUANTIDADE A REVISAR","IDENTIFICAÇÃO A REVISAR"),IF(S428="Aguardando recebimento","RECEBIMENTO NÃO CONFIRMADO",IF(S428="Aguardando CDF","CDF NÃO LOCALIZADO",IF(S428="Vínculo de CDF parcial","VÍNCULO INCOMPLETO",IF(S428="CDF localizado, a conferir","CDF A CONFERIR","")))))))</f>
        <v/>
      </c>
      <c r="U428" s="95" t="str">
        <f>IF(T428="","",IF(AQ428="","Não calculável",IF(AQ428&gt;TODAY(),"Data futura",TODAY()-AQ428)))</f>
        <v/>
      </c>
      <c r="V428" s="93" t="str">
        <f>IF(Z428=0,"",SUMIFS('RECEBIMENTOS'!$H$6:$H$1005,'RECEBIMENTOS'!$B$6:$B$1005,A428,'RECEBIMENTOS'!$Z$6:$Z$1005,1))</f>
        <v/>
      </c>
      <c r="W428" s="95" t="str">
        <f>IF(Z428=0,"",COUNTIFS('ITENS_MTR'!$S$6:$S$1005,A428,'ITENS_MTR'!$R$6:$R$1005,1))</f>
        <v/>
      </c>
      <c r="X428" s="94" t="str">
        <f>IF(AC428=1,"POSSÍVEL DUPLICIDADE","")</f>
        <v/>
      </c>
      <c r="Y428" s="94" t="str">
        <f>IF(Z428=0,"",IF(AW428="","Nenhuma",LEFT(AW428,LEN(AW428)-2)))</f>
        <v/>
      </c>
      <c r="Z428" s="96">
        <f>IF(COUNTA(B428:O428)&gt;0,1,0)</f>
        <v>0</v>
      </c>
      <c r="AA428" s="96">
        <f>IF(AND(Z428=1,K428&lt;&gt;""),IF(TRIM(K428)=TRIM(cfg_cancel),1,0),0)</f>
        <v>0</v>
      </c>
      <c r="AB428" s="96" t="str">
        <f>IF(AND(Z428=1,B428&lt;&gt;""),C428&amp;"|"&amp;D428&amp;"|"&amp;G428&amp;"|"&amp;TRIM(B428),"")</f>
        <v/>
      </c>
      <c r="AC428" s="96">
        <f>IF(AB428="",0,IF(SUMPRODUCT(--($AB$6:$AB$505=AB428))&gt;1,1,0))</f>
        <v>0</v>
      </c>
      <c r="AD428" s="96">
        <f>IF(Z428=0,0,IF(OR(AND(G428&lt;&gt;"",ISNA(MATCH(G428,'CAD_UNIDADES'!$C$6:$C$105,0))),AND(H428&lt;&gt;"",ISNA(MATCH(H428,cmp_transp,0))),AND(I428&lt;&gt;"",ISNA(MATCH(I428,cmp_dest,0))),AND(E428&lt;&gt;"",NOT(ISNUMBER(E428))),AND(F428&lt;&gt;"",NOT(ISNUMBER(F428))),AND(ISNUMBER(E428),ISNUMBER(F428),F428&lt;E428)),1,0))</f>
        <v>0</v>
      </c>
      <c r="AE428" s="96">
        <f>IF(Z428=0,0,IF(OR(B428="",C428="",E428="",G428="",H428="",I428="",N(W428)=0),1,0))</f>
        <v>0</v>
      </c>
      <c r="AF428" s="96">
        <f>IF(Z428=0,0,COUNTIFS('ITENS_MTR'!$S$6:$S$1005,A428,'ITENS_MTR'!$AI$6:$AI$1005,1))</f>
        <v>0</v>
      </c>
      <c r="AG428" s="96">
        <f>IF(Z428=0,0,COUNTIFS('ITENS_MTR'!$S$6:$S$1005,A428,'ITENS_MTR'!$AJ$6:$AJ$1005,1))</f>
        <v>0</v>
      </c>
      <c r="AH428" s="96">
        <f>IF(Z428=0,0,COUNTIFS('ITENS_MTR'!$S$6:$S$1005,A428,'ITENS_MTR'!$AM$6:$AM$1005,1))</f>
        <v>0</v>
      </c>
      <c r="AI428" s="96">
        <f>IF(Z428=0,0,COUNTIFS('ITENS_MTR'!$S$6:$S$1005,A428,'ITENS_MTR'!$AO$6:$AO$1005,1))</f>
        <v>0</v>
      </c>
      <c r="AJ428" s="96">
        <f>IF(Z428=0,0,COUNTIFS('ITENS_MTR'!$S$6:$S$1005,A428,'ITENS_MTR'!$AN$6:$AN$1005,1))</f>
        <v>0</v>
      </c>
      <c r="AK428" s="96">
        <f>IF(Z428=0,0,COUNTIFS('RECEBIMENTOS'!$B$6:$B$1005,A428,'RECEBIMENTOS'!$Y$6:$Y$1005,1))</f>
        <v>0</v>
      </c>
      <c r="AL428" s="96">
        <f>IF(Z428=0,0,COUNTIFS('VÍNCULOS_CDF'!$D$6:$D$1005,A428,'VÍNCULOS_CDF'!$Y$6:$Y$1005,1))</f>
        <v>0</v>
      </c>
      <c r="AM428" s="96">
        <f>IF(Z428=0,0,COUNTIFS('RECEBIMENTOS'!$B$6:$B$1005,A428,'RECEBIMENTOS'!$Q$6:$Q$1005,1))</f>
        <v>0</v>
      </c>
      <c r="AN428" s="96">
        <f>IF(AND(Z428=1,N(W428)&gt;0,AG428=N(W428)),1,0)</f>
        <v>0</v>
      </c>
      <c r="AO428" s="96">
        <f>IF(AND(Z428=1,N(W428)&gt;0,AI428=N(W428)),1,0)</f>
        <v>0</v>
      </c>
      <c r="AP428" s="97">
        <f>IF(Z428=0,0,_xlfn.MAXIFS('RECEBIMENTOS'!$E$6:$E$1005,'RECEBIMENTOS'!$B$6:$B$1005,A428))</f>
        <v>0</v>
      </c>
      <c r="AQ428" s="97" t="str">
        <f>IF(T428="","",IF(T428="RECEBIMENTO NÃO CONFIRMADO",IF(ISNUMBER(F428),F428,IF(ISNUMBER(E428),E428,"")),IF(OR(T428="CDF NÃO LOCALIZADO",T428="VÍNCULO INCOMPLETO",T428="CDF A CONFERIR"),IF(AP428&gt;0,AP428,IF(ISNUMBER(E428),E428,"")),IF(ISNUMBER(E428),E428,""))))</f>
        <v/>
      </c>
      <c r="AR428" s="96">
        <f>IF(NOT(ISNUMBER(U428)),0,IF(T428="RECEBIMENTO NÃO CONFIRMADO",IF(AND(ISNUMBER(cfg_rec),U428&gt;cfg_rec),1,0),IF(OR(T428="CDF NÃO LOCALIZADO",T428="VÍNCULO INCOMPLETO",T428="CDF A CONFERIR"),IF(AND(ISNUMBER(cfg_cdf),U428&gt;cfg_cdf),1,0),0)))</f>
        <v>0</v>
      </c>
      <c r="AS428" s="96" t="str">
        <f>IF(T428="","",IF(AR428=1,"Alta",IFERROR(INDEX(cfg_pp,MATCH(T428,cfg_pt,0))&amp;"","Média")))</f>
        <v/>
      </c>
      <c r="AT428" s="96" t="str">
        <f>IF(T428="","",IFERROR(INDEX(cfg_pv,MATCH(T428,cfg_pt,0))&amp;"",""))</f>
        <v/>
      </c>
      <c r="AU428" s="96" t="str">
        <f>IF(T428="","",IF(AS428="Alta",1,IF(AS428="Média",2,3))*1000000000+(999999-IF(ISNUMBER(U428),MIN(U428,999999),0))*1000+423)</f>
        <v/>
      </c>
      <c r="AV428" s="96">
        <f>IF(T428&lt;&gt;"",1,0)</f>
        <v>0</v>
      </c>
      <c r="AW428" s="96" t="str">
        <f>IF(Z428=0,"",IF(AA428=1,"Cancelamento informado; ","")&amp;IF(AE428=1,"Campos essenciais ou itens faltando; ","")&amp;IF(AC428=1,"Possível duplicidade do número; ","")&amp;IF(AD428=1,"Cadastro ou datas a revisar; ","")&amp;IF(AF428&gt;0,"Item de resíduo com dado a revisar; ","")&amp;IF(AH428&gt;0,"Diferença de quantidade a analisar; ","")&amp;IF(AK428&gt;0,"Recebimento com alerta; ","")&amp;IF(AL428&gt;0,"Vínculo de CDF com alerta; ","")&amp;IF(AND(AA428=0,AN428=0),"Recebimento não confirmado; ","")&amp;IF(AND(AA428=0,AN428=1,AO428=0),"CDF pendente ou a conferir; ",""))</f>
        <v/>
      </c>
      <c r="AX428" s="96">
        <f>IF(Z428=0,0,IF(AND(OR(f_ini="",AND(ISNUMBER(E428),E428&gt;=f_ini)),OR(f_fim="",AND(ISNUMBER(E428),E428&lt;=f_fim)),OR(f_un="",f_un="(Todas)",G428=f_un),OR(f_tr="",f_tr="(Todos)",H428=f_tr),OR(f_de="",f_de="(Todos)",I428=f_de),OR(f_sit="",f_sit="(Todas)",S428=f_sit)),1,0))</f>
        <v>0</v>
      </c>
      <c r="AY428" s="96">
        <f>IF(AX428=0,0,IF(OR(f_res="",f_res="(Todos)"),1,IF(COUNTIFS('ITENS_MTR'!$S$6:$S$1005,A428,'ITENS_MTR'!$C$6:$C$1005,f_res)&gt;0,1,0)))</f>
        <v>0</v>
      </c>
      <c r="AZ428" s="97" t="str">
        <f>IF(ISNUMBER(E428),DATE(YEAR(E428),MONTH(E428),1),"")</f>
        <v/>
      </c>
      <c r="BA428" s="96">
        <f>IF(Z428=0,0,IF(AND(OR(r_ini="",AND(ISNUMBER(E428),E428&gt;=r_ini)),OR(r_fim="",AND(ISNUMBER(E428),E428&lt;=r_fim)),OR(r_un="",r_un="(Todas)",G428=r_un),OR(r_de="",r_de="(Todos)",I428=r_de)),1,0))</f>
        <v>0</v>
      </c>
      <c r="BB428" s="96" t="str">
        <f>IF(BA428=1,COUNTIF($BA$6:BA428,1),"")</f>
        <v/>
      </c>
      <c r="BC428" s="96" t="str">
        <f>IF(AND(AU428&lt;&gt;"",OR(r_un="",r_un="(Todas)",G428=r_un),OR(r_de="",r_de="(Todos)",I428=r_de)),AU428,"")</f>
        <v/>
      </c>
      <c r="BD428" s="96" t="str">
        <f>IF(Z428=1,A428&amp;" | nº "&amp;IF(B428="","(sem número)",B428)&amp;" | "&amp;IF(G428="","(sem unidade)",G428),"")</f>
        <v/>
      </c>
      <c r="BE428" s="96" t="str">
        <f>IF(Z428=1,COUNTIF($Z$6:Z428,1),"")</f>
        <v/>
      </c>
      <c r="BF428" s="96" t="str">
        <f>IF(T428="","",IF(T428="RECEBIMENTO NÃO CONFIRMADO","Transp.: "&amp;H428&amp;" | Dest.: "&amp;I428,IF(OR(T428="CDF NÃO LOCALIZADO",T428="VÍNCULO INCOMPLETO",T428="CDF A CONFERIR"),"Dest.: "&amp;I428,"Gerador: "&amp;G428)))</f>
        <v/>
      </c>
    </row>
    <row r="429">
      <c r="A429" s="89" t="inlineStr">
        <is>
          <t>MTR-000424</t>
        </is>
      </c>
      <c r="B429" s="90" t="n"/>
      <c r="C429" s="91" t="n"/>
      <c r="D429" s="91" t="n"/>
      <c r="E429" s="92" t="n"/>
      <c r="F429" s="92" t="n"/>
      <c r="G429" s="91" t="n"/>
      <c r="H429" s="91" t="n"/>
      <c r="I429" s="91" t="n"/>
      <c r="J429" s="91" t="n"/>
      <c r="K429" s="91" t="n"/>
      <c r="L429" s="92" t="n"/>
      <c r="M429" s="91" t="n"/>
      <c r="N429" s="91" t="n"/>
      <c r="O429" s="91" t="n"/>
      <c r="P429" s="93" t="str">
        <f>IF(Z429=0,"",SUMIFS('ITENS_MTR'!$I$6:$I$1005,'ITENS_MTR'!$S$6:$S$1005,A429,'ITENS_MTR'!$Y$6:$Y$1005,1))</f>
        <v/>
      </c>
      <c r="Q429" s="93" t="str">
        <f>IF(Z429=0,"",SUMIFS('RECEBIMENTOS'!$H$6:$H$1005,'RECEBIMENTOS'!$B$6:$B$1005,A429,'RECEBIMENTOS'!$X$6:$X$1005,1))</f>
        <v/>
      </c>
      <c r="R429" s="93" t="str">
        <f>IF(Z429=0,"",SUMIFS('VÍNCULOS_CDF'!$H$6:$H$1005,'VÍNCULOS_CDF'!$D$6:$D$1005,A429,'VÍNCULOS_CDF'!$V$6:$V$1005,1))</f>
        <v/>
      </c>
      <c r="S429" s="94" t="str">
        <f>IF(Z429=0,"",IF(AA429=1,"Cancelado (informado)",IF(AE429=1,"Cadastro incompleto",IF(OR(AC429=1,AD429=1,AF429&gt;0,AH429&gt;0,AK429&gt;0,AL429&gt;0),"Informação a revisar",IF(AN429=0,"Aguardando recebimento",IF(N(R429)=0,"Aguardando CDF",IF(AJ429&lt;N(W429),"Vínculo de CDF parcial",IF(AO429=0,"CDF localizado, a conferir","Documentação conferida"))))))))</f>
        <v/>
      </c>
      <c r="T429" s="94" t="str">
        <f>IF(Z429=0,"",IF(S429="Cadastro incompleto","MTR INCOMPLETO",IF(S429="Informação a revisar",IF(AND(AH429&gt;0,AC429=0,AD429=0,AF429=0,AK429=0,AL429=0),"QUANTIDADE A REVISAR","IDENTIFICAÇÃO A REVISAR"),IF(S429="Aguardando recebimento","RECEBIMENTO NÃO CONFIRMADO",IF(S429="Aguardando CDF","CDF NÃO LOCALIZADO",IF(S429="Vínculo de CDF parcial","VÍNCULO INCOMPLETO",IF(S429="CDF localizado, a conferir","CDF A CONFERIR","")))))))</f>
        <v/>
      </c>
      <c r="U429" s="95" t="str">
        <f>IF(T429="","",IF(AQ429="","Não calculável",IF(AQ429&gt;TODAY(),"Data futura",TODAY()-AQ429)))</f>
        <v/>
      </c>
      <c r="V429" s="93" t="str">
        <f>IF(Z429=0,"",SUMIFS('RECEBIMENTOS'!$H$6:$H$1005,'RECEBIMENTOS'!$B$6:$B$1005,A429,'RECEBIMENTOS'!$Z$6:$Z$1005,1))</f>
        <v/>
      </c>
      <c r="W429" s="95" t="str">
        <f>IF(Z429=0,"",COUNTIFS('ITENS_MTR'!$S$6:$S$1005,A429,'ITENS_MTR'!$R$6:$R$1005,1))</f>
        <v/>
      </c>
      <c r="X429" s="94" t="str">
        <f>IF(AC429=1,"POSSÍVEL DUPLICIDADE","")</f>
        <v/>
      </c>
      <c r="Y429" s="94" t="str">
        <f>IF(Z429=0,"",IF(AW429="","Nenhuma",LEFT(AW429,LEN(AW429)-2)))</f>
        <v/>
      </c>
      <c r="Z429" s="96">
        <f>IF(COUNTA(B429:O429)&gt;0,1,0)</f>
        <v>0</v>
      </c>
      <c r="AA429" s="96">
        <f>IF(AND(Z429=1,K429&lt;&gt;""),IF(TRIM(K429)=TRIM(cfg_cancel),1,0),0)</f>
        <v>0</v>
      </c>
      <c r="AB429" s="96" t="str">
        <f>IF(AND(Z429=1,B429&lt;&gt;""),C429&amp;"|"&amp;D429&amp;"|"&amp;G429&amp;"|"&amp;TRIM(B429),"")</f>
        <v/>
      </c>
      <c r="AC429" s="96">
        <f>IF(AB429="",0,IF(SUMPRODUCT(--($AB$6:$AB$505=AB429))&gt;1,1,0))</f>
        <v>0</v>
      </c>
      <c r="AD429" s="96">
        <f>IF(Z429=0,0,IF(OR(AND(G429&lt;&gt;"",ISNA(MATCH(G429,'CAD_UNIDADES'!$C$6:$C$105,0))),AND(H429&lt;&gt;"",ISNA(MATCH(H429,cmp_transp,0))),AND(I429&lt;&gt;"",ISNA(MATCH(I429,cmp_dest,0))),AND(E429&lt;&gt;"",NOT(ISNUMBER(E429))),AND(F429&lt;&gt;"",NOT(ISNUMBER(F429))),AND(ISNUMBER(E429),ISNUMBER(F429),F429&lt;E429)),1,0))</f>
        <v>0</v>
      </c>
      <c r="AE429" s="96">
        <f>IF(Z429=0,0,IF(OR(B429="",C429="",E429="",G429="",H429="",I429="",N(W429)=0),1,0))</f>
        <v>0</v>
      </c>
      <c r="AF429" s="96">
        <f>IF(Z429=0,0,COUNTIFS('ITENS_MTR'!$S$6:$S$1005,A429,'ITENS_MTR'!$AI$6:$AI$1005,1))</f>
        <v>0</v>
      </c>
      <c r="AG429" s="96">
        <f>IF(Z429=0,0,COUNTIFS('ITENS_MTR'!$S$6:$S$1005,A429,'ITENS_MTR'!$AJ$6:$AJ$1005,1))</f>
        <v>0</v>
      </c>
      <c r="AH429" s="96">
        <f>IF(Z429=0,0,COUNTIFS('ITENS_MTR'!$S$6:$S$1005,A429,'ITENS_MTR'!$AM$6:$AM$1005,1))</f>
        <v>0</v>
      </c>
      <c r="AI429" s="96">
        <f>IF(Z429=0,0,COUNTIFS('ITENS_MTR'!$S$6:$S$1005,A429,'ITENS_MTR'!$AO$6:$AO$1005,1))</f>
        <v>0</v>
      </c>
      <c r="AJ429" s="96">
        <f>IF(Z429=0,0,COUNTIFS('ITENS_MTR'!$S$6:$S$1005,A429,'ITENS_MTR'!$AN$6:$AN$1005,1))</f>
        <v>0</v>
      </c>
      <c r="AK429" s="96">
        <f>IF(Z429=0,0,COUNTIFS('RECEBIMENTOS'!$B$6:$B$1005,A429,'RECEBIMENTOS'!$Y$6:$Y$1005,1))</f>
        <v>0</v>
      </c>
      <c r="AL429" s="96">
        <f>IF(Z429=0,0,COUNTIFS('VÍNCULOS_CDF'!$D$6:$D$1005,A429,'VÍNCULOS_CDF'!$Y$6:$Y$1005,1))</f>
        <v>0</v>
      </c>
      <c r="AM429" s="96">
        <f>IF(Z429=0,0,COUNTIFS('RECEBIMENTOS'!$B$6:$B$1005,A429,'RECEBIMENTOS'!$Q$6:$Q$1005,1))</f>
        <v>0</v>
      </c>
      <c r="AN429" s="96">
        <f>IF(AND(Z429=1,N(W429)&gt;0,AG429=N(W429)),1,0)</f>
        <v>0</v>
      </c>
      <c r="AO429" s="96">
        <f>IF(AND(Z429=1,N(W429)&gt;0,AI429=N(W429)),1,0)</f>
        <v>0</v>
      </c>
      <c r="AP429" s="97">
        <f>IF(Z429=0,0,_xlfn.MAXIFS('RECEBIMENTOS'!$E$6:$E$1005,'RECEBIMENTOS'!$B$6:$B$1005,A429))</f>
        <v>0</v>
      </c>
      <c r="AQ429" s="97" t="str">
        <f>IF(T429="","",IF(T429="RECEBIMENTO NÃO CONFIRMADO",IF(ISNUMBER(F429),F429,IF(ISNUMBER(E429),E429,"")),IF(OR(T429="CDF NÃO LOCALIZADO",T429="VÍNCULO INCOMPLETO",T429="CDF A CONFERIR"),IF(AP429&gt;0,AP429,IF(ISNUMBER(E429),E429,"")),IF(ISNUMBER(E429),E429,""))))</f>
        <v/>
      </c>
      <c r="AR429" s="96">
        <f>IF(NOT(ISNUMBER(U429)),0,IF(T429="RECEBIMENTO NÃO CONFIRMADO",IF(AND(ISNUMBER(cfg_rec),U429&gt;cfg_rec),1,0),IF(OR(T429="CDF NÃO LOCALIZADO",T429="VÍNCULO INCOMPLETO",T429="CDF A CONFERIR"),IF(AND(ISNUMBER(cfg_cdf),U429&gt;cfg_cdf),1,0),0)))</f>
        <v>0</v>
      </c>
      <c r="AS429" s="96" t="str">
        <f>IF(T429="","",IF(AR429=1,"Alta",IFERROR(INDEX(cfg_pp,MATCH(T429,cfg_pt,0))&amp;"","Média")))</f>
        <v/>
      </c>
      <c r="AT429" s="96" t="str">
        <f>IF(T429="","",IFERROR(INDEX(cfg_pv,MATCH(T429,cfg_pt,0))&amp;"",""))</f>
        <v/>
      </c>
      <c r="AU429" s="96" t="str">
        <f>IF(T429="","",IF(AS429="Alta",1,IF(AS429="Média",2,3))*1000000000+(999999-IF(ISNUMBER(U429),MIN(U429,999999),0))*1000+424)</f>
        <v/>
      </c>
      <c r="AV429" s="96">
        <f>IF(T429&lt;&gt;"",1,0)</f>
        <v>0</v>
      </c>
      <c r="AW429" s="96" t="str">
        <f>IF(Z429=0,"",IF(AA429=1,"Cancelamento informado; ","")&amp;IF(AE429=1,"Campos essenciais ou itens faltando; ","")&amp;IF(AC429=1,"Possível duplicidade do número; ","")&amp;IF(AD429=1,"Cadastro ou datas a revisar; ","")&amp;IF(AF429&gt;0,"Item de resíduo com dado a revisar; ","")&amp;IF(AH429&gt;0,"Diferença de quantidade a analisar; ","")&amp;IF(AK429&gt;0,"Recebimento com alerta; ","")&amp;IF(AL429&gt;0,"Vínculo de CDF com alerta; ","")&amp;IF(AND(AA429=0,AN429=0),"Recebimento não confirmado; ","")&amp;IF(AND(AA429=0,AN429=1,AO429=0),"CDF pendente ou a conferir; ",""))</f>
        <v/>
      </c>
      <c r="AX429" s="96">
        <f>IF(Z429=0,0,IF(AND(OR(f_ini="",AND(ISNUMBER(E429),E429&gt;=f_ini)),OR(f_fim="",AND(ISNUMBER(E429),E429&lt;=f_fim)),OR(f_un="",f_un="(Todas)",G429=f_un),OR(f_tr="",f_tr="(Todos)",H429=f_tr),OR(f_de="",f_de="(Todos)",I429=f_de),OR(f_sit="",f_sit="(Todas)",S429=f_sit)),1,0))</f>
        <v>0</v>
      </c>
      <c r="AY429" s="96">
        <f>IF(AX429=0,0,IF(OR(f_res="",f_res="(Todos)"),1,IF(COUNTIFS('ITENS_MTR'!$S$6:$S$1005,A429,'ITENS_MTR'!$C$6:$C$1005,f_res)&gt;0,1,0)))</f>
        <v>0</v>
      </c>
      <c r="AZ429" s="97" t="str">
        <f>IF(ISNUMBER(E429),DATE(YEAR(E429),MONTH(E429),1),"")</f>
        <v/>
      </c>
      <c r="BA429" s="96">
        <f>IF(Z429=0,0,IF(AND(OR(r_ini="",AND(ISNUMBER(E429),E429&gt;=r_ini)),OR(r_fim="",AND(ISNUMBER(E429),E429&lt;=r_fim)),OR(r_un="",r_un="(Todas)",G429=r_un),OR(r_de="",r_de="(Todos)",I429=r_de)),1,0))</f>
        <v>0</v>
      </c>
      <c r="BB429" s="96" t="str">
        <f>IF(BA429=1,COUNTIF($BA$6:BA429,1),"")</f>
        <v/>
      </c>
      <c r="BC429" s="96" t="str">
        <f>IF(AND(AU429&lt;&gt;"",OR(r_un="",r_un="(Todas)",G429=r_un),OR(r_de="",r_de="(Todos)",I429=r_de)),AU429,"")</f>
        <v/>
      </c>
      <c r="BD429" s="96" t="str">
        <f>IF(Z429=1,A429&amp;" | nº "&amp;IF(B429="","(sem número)",B429)&amp;" | "&amp;IF(G429="","(sem unidade)",G429),"")</f>
        <v/>
      </c>
      <c r="BE429" s="96" t="str">
        <f>IF(Z429=1,COUNTIF($Z$6:Z429,1),"")</f>
        <v/>
      </c>
      <c r="BF429" s="96" t="str">
        <f>IF(T429="","",IF(T429="RECEBIMENTO NÃO CONFIRMADO","Transp.: "&amp;H429&amp;" | Dest.: "&amp;I429,IF(OR(T429="CDF NÃO LOCALIZADO",T429="VÍNCULO INCOMPLETO",T429="CDF A CONFERIR"),"Dest.: "&amp;I429,"Gerador: "&amp;G429)))</f>
        <v/>
      </c>
    </row>
    <row r="430">
      <c r="A430" s="89" t="inlineStr">
        <is>
          <t>MTR-000425</t>
        </is>
      </c>
      <c r="B430" s="90" t="n"/>
      <c r="C430" s="91" t="n"/>
      <c r="D430" s="91" t="n"/>
      <c r="E430" s="92" t="n"/>
      <c r="F430" s="92" t="n"/>
      <c r="G430" s="91" t="n"/>
      <c r="H430" s="91" t="n"/>
      <c r="I430" s="91" t="n"/>
      <c r="J430" s="91" t="n"/>
      <c r="K430" s="91" t="n"/>
      <c r="L430" s="92" t="n"/>
      <c r="M430" s="91" t="n"/>
      <c r="N430" s="91" t="n"/>
      <c r="O430" s="91" t="n"/>
      <c r="P430" s="93" t="str">
        <f>IF(Z430=0,"",SUMIFS('ITENS_MTR'!$I$6:$I$1005,'ITENS_MTR'!$S$6:$S$1005,A430,'ITENS_MTR'!$Y$6:$Y$1005,1))</f>
        <v/>
      </c>
      <c r="Q430" s="93" t="str">
        <f>IF(Z430=0,"",SUMIFS('RECEBIMENTOS'!$H$6:$H$1005,'RECEBIMENTOS'!$B$6:$B$1005,A430,'RECEBIMENTOS'!$X$6:$X$1005,1))</f>
        <v/>
      </c>
      <c r="R430" s="93" t="str">
        <f>IF(Z430=0,"",SUMIFS('VÍNCULOS_CDF'!$H$6:$H$1005,'VÍNCULOS_CDF'!$D$6:$D$1005,A430,'VÍNCULOS_CDF'!$V$6:$V$1005,1))</f>
        <v/>
      </c>
      <c r="S430" s="94" t="str">
        <f>IF(Z430=0,"",IF(AA430=1,"Cancelado (informado)",IF(AE430=1,"Cadastro incompleto",IF(OR(AC430=1,AD430=1,AF430&gt;0,AH430&gt;0,AK430&gt;0,AL430&gt;0),"Informação a revisar",IF(AN430=0,"Aguardando recebimento",IF(N(R430)=0,"Aguardando CDF",IF(AJ430&lt;N(W430),"Vínculo de CDF parcial",IF(AO430=0,"CDF localizado, a conferir","Documentação conferida"))))))))</f>
        <v/>
      </c>
      <c r="T430" s="94" t="str">
        <f>IF(Z430=0,"",IF(S430="Cadastro incompleto","MTR INCOMPLETO",IF(S430="Informação a revisar",IF(AND(AH430&gt;0,AC430=0,AD430=0,AF430=0,AK430=0,AL430=0),"QUANTIDADE A REVISAR","IDENTIFICAÇÃO A REVISAR"),IF(S430="Aguardando recebimento","RECEBIMENTO NÃO CONFIRMADO",IF(S430="Aguardando CDF","CDF NÃO LOCALIZADO",IF(S430="Vínculo de CDF parcial","VÍNCULO INCOMPLETO",IF(S430="CDF localizado, a conferir","CDF A CONFERIR","")))))))</f>
        <v/>
      </c>
      <c r="U430" s="95" t="str">
        <f>IF(T430="","",IF(AQ430="","Não calculável",IF(AQ430&gt;TODAY(),"Data futura",TODAY()-AQ430)))</f>
        <v/>
      </c>
      <c r="V430" s="93" t="str">
        <f>IF(Z430=0,"",SUMIFS('RECEBIMENTOS'!$H$6:$H$1005,'RECEBIMENTOS'!$B$6:$B$1005,A430,'RECEBIMENTOS'!$Z$6:$Z$1005,1))</f>
        <v/>
      </c>
      <c r="W430" s="95" t="str">
        <f>IF(Z430=0,"",COUNTIFS('ITENS_MTR'!$S$6:$S$1005,A430,'ITENS_MTR'!$R$6:$R$1005,1))</f>
        <v/>
      </c>
      <c r="X430" s="94" t="str">
        <f>IF(AC430=1,"POSSÍVEL DUPLICIDADE","")</f>
        <v/>
      </c>
      <c r="Y430" s="94" t="str">
        <f>IF(Z430=0,"",IF(AW430="","Nenhuma",LEFT(AW430,LEN(AW430)-2)))</f>
        <v/>
      </c>
      <c r="Z430" s="96">
        <f>IF(COUNTA(B430:O430)&gt;0,1,0)</f>
        <v>0</v>
      </c>
      <c r="AA430" s="96">
        <f>IF(AND(Z430=1,K430&lt;&gt;""),IF(TRIM(K430)=TRIM(cfg_cancel),1,0),0)</f>
        <v>0</v>
      </c>
      <c r="AB430" s="96" t="str">
        <f>IF(AND(Z430=1,B430&lt;&gt;""),C430&amp;"|"&amp;D430&amp;"|"&amp;G430&amp;"|"&amp;TRIM(B430),"")</f>
        <v/>
      </c>
      <c r="AC430" s="96">
        <f>IF(AB430="",0,IF(SUMPRODUCT(--($AB$6:$AB$505=AB430))&gt;1,1,0))</f>
        <v>0</v>
      </c>
      <c r="AD430" s="96">
        <f>IF(Z430=0,0,IF(OR(AND(G430&lt;&gt;"",ISNA(MATCH(G430,'CAD_UNIDADES'!$C$6:$C$105,0))),AND(H430&lt;&gt;"",ISNA(MATCH(H430,cmp_transp,0))),AND(I430&lt;&gt;"",ISNA(MATCH(I430,cmp_dest,0))),AND(E430&lt;&gt;"",NOT(ISNUMBER(E430))),AND(F430&lt;&gt;"",NOT(ISNUMBER(F430))),AND(ISNUMBER(E430),ISNUMBER(F430),F430&lt;E430)),1,0))</f>
        <v>0</v>
      </c>
      <c r="AE430" s="96">
        <f>IF(Z430=0,0,IF(OR(B430="",C430="",E430="",G430="",H430="",I430="",N(W430)=0),1,0))</f>
        <v>0</v>
      </c>
      <c r="AF430" s="96">
        <f>IF(Z430=0,0,COUNTIFS('ITENS_MTR'!$S$6:$S$1005,A430,'ITENS_MTR'!$AI$6:$AI$1005,1))</f>
        <v>0</v>
      </c>
      <c r="AG430" s="96">
        <f>IF(Z430=0,0,COUNTIFS('ITENS_MTR'!$S$6:$S$1005,A430,'ITENS_MTR'!$AJ$6:$AJ$1005,1))</f>
        <v>0</v>
      </c>
      <c r="AH430" s="96">
        <f>IF(Z430=0,0,COUNTIFS('ITENS_MTR'!$S$6:$S$1005,A430,'ITENS_MTR'!$AM$6:$AM$1005,1))</f>
        <v>0</v>
      </c>
      <c r="AI430" s="96">
        <f>IF(Z430=0,0,COUNTIFS('ITENS_MTR'!$S$6:$S$1005,A430,'ITENS_MTR'!$AO$6:$AO$1005,1))</f>
        <v>0</v>
      </c>
      <c r="AJ430" s="96">
        <f>IF(Z430=0,0,COUNTIFS('ITENS_MTR'!$S$6:$S$1005,A430,'ITENS_MTR'!$AN$6:$AN$1005,1))</f>
        <v>0</v>
      </c>
      <c r="AK430" s="96">
        <f>IF(Z430=0,0,COUNTIFS('RECEBIMENTOS'!$B$6:$B$1005,A430,'RECEBIMENTOS'!$Y$6:$Y$1005,1))</f>
        <v>0</v>
      </c>
      <c r="AL430" s="96">
        <f>IF(Z430=0,0,COUNTIFS('VÍNCULOS_CDF'!$D$6:$D$1005,A430,'VÍNCULOS_CDF'!$Y$6:$Y$1005,1))</f>
        <v>0</v>
      </c>
      <c r="AM430" s="96">
        <f>IF(Z430=0,0,COUNTIFS('RECEBIMENTOS'!$B$6:$B$1005,A430,'RECEBIMENTOS'!$Q$6:$Q$1005,1))</f>
        <v>0</v>
      </c>
      <c r="AN430" s="96">
        <f>IF(AND(Z430=1,N(W430)&gt;0,AG430=N(W430)),1,0)</f>
        <v>0</v>
      </c>
      <c r="AO430" s="96">
        <f>IF(AND(Z430=1,N(W430)&gt;0,AI430=N(W430)),1,0)</f>
        <v>0</v>
      </c>
      <c r="AP430" s="97">
        <f>IF(Z430=0,0,_xlfn.MAXIFS('RECEBIMENTOS'!$E$6:$E$1005,'RECEBIMENTOS'!$B$6:$B$1005,A430))</f>
        <v>0</v>
      </c>
      <c r="AQ430" s="97" t="str">
        <f>IF(T430="","",IF(T430="RECEBIMENTO NÃO CONFIRMADO",IF(ISNUMBER(F430),F430,IF(ISNUMBER(E430),E430,"")),IF(OR(T430="CDF NÃO LOCALIZADO",T430="VÍNCULO INCOMPLETO",T430="CDF A CONFERIR"),IF(AP430&gt;0,AP430,IF(ISNUMBER(E430),E430,"")),IF(ISNUMBER(E430),E430,""))))</f>
        <v/>
      </c>
      <c r="AR430" s="96">
        <f>IF(NOT(ISNUMBER(U430)),0,IF(T430="RECEBIMENTO NÃO CONFIRMADO",IF(AND(ISNUMBER(cfg_rec),U430&gt;cfg_rec),1,0),IF(OR(T430="CDF NÃO LOCALIZADO",T430="VÍNCULO INCOMPLETO",T430="CDF A CONFERIR"),IF(AND(ISNUMBER(cfg_cdf),U430&gt;cfg_cdf),1,0),0)))</f>
        <v>0</v>
      </c>
      <c r="AS430" s="96" t="str">
        <f>IF(T430="","",IF(AR430=1,"Alta",IFERROR(INDEX(cfg_pp,MATCH(T430,cfg_pt,0))&amp;"","Média")))</f>
        <v/>
      </c>
      <c r="AT430" s="96" t="str">
        <f>IF(T430="","",IFERROR(INDEX(cfg_pv,MATCH(T430,cfg_pt,0))&amp;"",""))</f>
        <v/>
      </c>
      <c r="AU430" s="96" t="str">
        <f>IF(T430="","",IF(AS430="Alta",1,IF(AS430="Média",2,3))*1000000000+(999999-IF(ISNUMBER(U430),MIN(U430,999999),0))*1000+425)</f>
        <v/>
      </c>
      <c r="AV430" s="96">
        <f>IF(T430&lt;&gt;"",1,0)</f>
        <v>0</v>
      </c>
      <c r="AW430" s="96" t="str">
        <f>IF(Z430=0,"",IF(AA430=1,"Cancelamento informado; ","")&amp;IF(AE430=1,"Campos essenciais ou itens faltando; ","")&amp;IF(AC430=1,"Possível duplicidade do número; ","")&amp;IF(AD430=1,"Cadastro ou datas a revisar; ","")&amp;IF(AF430&gt;0,"Item de resíduo com dado a revisar; ","")&amp;IF(AH430&gt;0,"Diferença de quantidade a analisar; ","")&amp;IF(AK430&gt;0,"Recebimento com alerta; ","")&amp;IF(AL430&gt;0,"Vínculo de CDF com alerta; ","")&amp;IF(AND(AA430=0,AN430=0),"Recebimento não confirmado; ","")&amp;IF(AND(AA430=0,AN430=1,AO430=0),"CDF pendente ou a conferir; ",""))</f>
        <v/>
      </c>
      <c r="AX430" s="96">
        <f>IF(Z430=0,0,IF(AND(OR(f_ini="",AND(ISNUMBER(E430),E430&gt;=f_ini)),OR(f_fim="",AND(ISNUMBER(E430),E430&lt;=f_fim)),OR(f_un="",f_un="(Todas)",G430=f_un),OR(f_tr="",f_tr="(Todos)",H430=f_tr),OR(f_de="",f_de="(Todos)",I430=f_de),OR(f_sit="",f_sit="(Todas)",S430=f_sit)),1,0))</f>
        <v>0</v>
      </c>
      <c r="AY430" s="96">
        <f>IF(AX430=0,0,IF(OR(f_res="",f_res="(Todos)"),1,IF(COUNTIFS('ITENS_MTR'!$S$6:$S$1005,A430,'ITENS_MTR'!$C$6:$C$1005,f_res)&gt;0,1,0)))</f>
        <v>0</v>
      </c>
      <c r="AZ430" s="97" t="str">
        <f>IF(ISNUMBER(E430),DATE(YEAR(E430),MONTH(E430),1),"")</f>
        <v/>
      </c>
      <c r="BA430" s="96">
        <f>IF(Z430=0,0,IF(AND(OR(r_ini="",AND(ISNUMBER(E430),E430&gt;=r_ini)),OR(r_fim="",AND(ISNUMBER(E430),E430&lt;=r_fim)),OR(r_un="",r_un="(Todas)",G430=r_un),OR(r_de="",r_de="(Todos)",I430=r_de)),1,0))</f>
        <v>0</v>
      </c>
      <c r="BB430" s="96" t="str">
        <f>IF(BA430=1,COUNTIF($BA$6:BA430,1),"")</f>
        <v/>
      </c>
      <c r="BC430" s="96" t="str">
        <f>IF(AND(AU430&lt;&gt;"",OR(r_un="",r_un="(Todas)",G430=r_un),OR(r_de="",r_de="(Todos)",I430=r_de)),AU430,"")</f>
        <v/>
      </c>
      <c r="BD430" s="96" t="str">
        <f>IF(Z430=1,A430&amp;" | nº "&amp;IF(B430="","(sem número)",B430)&amp;" | "&amp;IF(G430="","(sem unidade)",G430),"")</f>
        <v/>
      </c>
      <c r="BE430" s="96" t="str">
        <f>IF(Z430=1,COUNTIF($Z$6:Z430,1),"")</f>
        <v/>
      </c>
      <c r="BF430" s="96" t="str">
        <f>IF(T430="","",IF(T430="RECEBIMENTO NÃO CONFIRMADO","Transp.: "&amp;H430&amp;" | Dest.: "&amp;I430,IF(OR(T430="CDF NÃO LOCALIZADO",T430="VÍNCULO INCOMPLETO",T430="CDF A CONFERIR"),"Dest.: "&amp;I430,"Gerador: "&amp;G430)))</f>
        <v/>
      </c>
    </row>
    <row r="431">
      <c r="A431" s="89" t="inlineStr">
        <is>
          <t>MTR-000426</t>
        </is>
      </c>
      <c r="B431" s="90" t="n"/>
      <c r="C431" s="91" t="n"/>
      <c r="D431" s="91" t="n"/>
      <c r="E431" s="92" t="n"/>
      <c r="F431" s="92" t="n"/>
      <c r="G431" s="91" t="n"/>
      <c r="H431" s="91" t="n"/>
      <c r="I431" s="91" t="n"/>
      <c r="J431" s="91" t="n"/>
      <c r="K431" s="91" t="n"/>
      <c r="L431" s="92" t="n"/>
      <c r="M431" s="91" t="n"/>
      <c r="N431" s="91" t="n"/>
      <c r="O431" s="91" t="n"/>
      <c r="P431" s="93" t="str">
        <f>IF(Z431=0,"",SUMIFS('ITENS_MTR'!$I$6:$I$1005,'ITENS_MTR'!$S$6:$S$1005,A431,'ITENS_MTR'!$Y$6:$Y$1005,1))</f>
        <v/>
      </c>
      <c r="Q431" s="93" t="str">
        <f>IF(Z431=0,"",SUMIFS('RECEBIMENTOS'!$H$6:$H$1005,'RECEBIMENTOS'!$B$6:$B$1005,A431,'RECEBIMENTOS'!$X$6:$X$1005,1))</f>
        <v/>
      </c>
      <c r="R431" s="93" t="str">
        <f>IF(Z431=0,"",SUMIFS('VÍNCULOS_CDF'!$H$6:$H$1005,'VÍNCULOS_CDF'!$D$6:$D$1005,A431,'VÍNCULOS_CDF'!$V$6:$V$1005,1))</f>
        <v/>
      </c>
      <c r="S431" s="94" t="str">
        <f>IF(Z431=0,"",IF(AA431=1,"Cancelado (informado)",IF(AE431=1,"Cadastro incompleto",IF(OR(AC431=1,AD431=1,AF431&gt;0,AH431&gt;0,AK431&gt;0,AL431&gt;0),"Informação a revisar",IF(AN431=0,"Aguardando recebimento",IF(N(R431)=0,"Aguardando CDF",IF(AJ431&lt;N(W431),"Vínculo de CDF parcial",IF(AO431=0,"CDF localizado, a conferir","Documentação conferida"))))))))</f>
        <v/>
      </c>
      <c r="T431" s="94" t="str">
        <f>IF(Z431=0,"",IF(S431="Cadastro incompleto","MTR INCOMPLETO",IF(S431="Informação a revisar",IF(AND(AH431&gt;0,AC431=0,AD431=0,AF431=0,AK431=0,AL431=0),"QUANTIDADE A REVISAR","IDENTIFICAÇÃO A REVISAR"),IF(S431="Aguardando recebimento","RECEBIMENTO NÃO CONFIRMADO",IF(S431="Aguardando CDF","CDF NÃO LOCALIZADO",IF(S431="Vínculo de CDF parcial","VÍNCULO INCOMPLETO",IF(S431="CDF localizado, a conferir","CDF A CONFERIR","")))))))</f>
        <v/>
      </c>
      <c r="U431" s="95" t="str">
        <f>IF(T431="","",IF(AQ431="","Não calculável",IF(AQ431&gt;TODAY(),"Data futura",TODAY()-AQ431)))</f>
        <v/>
      </c>
      <c r="V431" s="93" t="str">
        <f>IF(Z431=0,"",SUMIFS('RECEBIMENTOS'!$H$6:$H$1005,'RECEBIMENTOS'!$B$6:$B$1005,A431,'RECEBIMENTOS'!$Z$6:$Z$1005,1))</f>
        <v/>
      </c>
      <c r="W431" s="95" t="str">
        <f>IF(Z431=0,"",COUNTIFS('ITENS_MTR'!$S$6:$S$1005,A431,'ITENS_MTR'!$R$6:$R$1005,1))</f>
        <v/>
      </c>
      <c r="X431" s="94" t="str">
        <f>IF(AC431=1,"POSSÍVEL DUPLICIDADE","")</f>
        <v/>
      </c>
      <c r="Y431" s="94" t="str">
        <f>IF(Z431=0,"",IF(AW431="","Nenhuma",LEFT(AW431,LEN(AW431)-2)))</f>
        <v/>
      </c>
      <c r="Z431" s="96">
        <f>IF(COUNTA(B431:O431)&gt;0,1,0)</f>
        <v>0</v>
      </c>
      <c r="AA431" s="96">
        <f>IF(AND(Z431=1,K431&lt;&gt;""),IF(TRIM(K431)=TRIM(cfg_cancel),1,0),0)</f>
        <v>0</v>
      </c>
      <c r="AB431" s="96" t="str">
        <f>IF(AND(Z431=1,B431&lt;&gt;""),C431&amp;"|"&amp;D431&amp;"|"&amp;G431&amp;"|"&amp;TRIM(B431),"")</f>
        <v/>
      </c>
      <c r="AC431" s="96">
        <f>IF(AB431="",0,IF(SUMPRODUCT(--($AB$6:$AB$505=AB431))&gt;1,1,0))</f>
        <v>0</v>
      </c>
      <c r="AD431" s="96">
        <f>IF(Z431=0,0,IF(OR(AND(G431&lt;&gt;"",ISNA(MATCH(G431,'CAD_UNIDADES'!$C$6:$C$105,0))),AND(H431&lt;&gt;"",ISNA(MATCH(H431,cmp_transp,0))),AND(I431&lt;&gt;"",ISNA(MATCH(I431,cmp_dest,0))),AND(E431&lt;&gt;"",NOT(ISNUMBER(E431))),AND(F431&lt;&gt;"",NOT(ISNUMBER(F431))),AND(ISNUMBER(E431),ISNUMBER(F431),F431&lt;E431)),1,0))</f>
        <v>0</v>
      </c>
      <c r="AE431" s="96">
        <f>IF(Z431=0,0,IF(OR(B431="",C431="",E431="",G431="",H431="",I431="",N(W431)=0),1,0))</f>
        <v>0</v>
      </c>
      <c r="AF431" s="96">
        <f>IF(Z431=0,0,COUNTIFS('ITENS_MTR'!$S$6:$S$1005,A431,'ITENS_MTR'!$AI$6:$AI$1005,1))</f>
        <v>0</v>
      </c>
      <c r="AG431" s="96">
        <f>IF(Z431=0,0,COUNTIFS('ITENS_MTR'!$S$6:$S$1005,A431,'ITENS_MTR'!$AJ$6:$AJ$1005,1))</f>
        <v>0</v>
      </c>
      <c r="AH431" s="96">
        <f>IF(Z431=0,0,COUNTIFS('ITENS_MTR'!$S$6:$S$1005,A431,'ITENS_MTR'!$AM$6:$AM$1005,1))</f>
        <v>0</v>
      </c>
      <c r="AI431" s="96">
        <f>IF(Z431=0,0,COUNTIFS('ITENS_MTR'!$S$6:$S$1005,A431,'ITENS_MTR'!$AO$6:$AO$1005,1))</f>
        <v>0</v>
      </c>
      <c r="AJ431" s="96">
        <f>IF(Z431=0,0,COUNTIFS('ITENS_MTR'!$S$6:$S$1005,A431,'ITENS_MTR'!$AN$6:$AN$1005,1))</f>
        <v>0</v>
      </c>
      <c r="AK431" s="96">
        <f>IF(Z431=0,0,COUNTIFS('RECEBIMENTOS'!$B$6:$B$1005,A431,'RECEBIMENTOS'!$Y$6:$Y$1005,1))</f>
        <v>0</v>
      </c>
      <c r="AL431" s="96">
        <f>IF(Z431=0,0,COUNTIFS('VÍNCULOS_CDF'!$D$6:$D$1005,A431,'VÍNCULOS_CDF'!$Y$6:$Y$1005,1))</f>
        <v>0</v>
      </c>
      <c r="AM431" s="96">
        <f>IF(Z431=0,0,COUNTIFS('RECEBIMENTOS'!$B$6:$B$1005,A431,'RECEBIMENTOS'!$Q$6:$Q$1005,1))</f>
        <v>0</v>
      </c>
      <c r="AN431" s="96">
        <f>IF(AND(Z431=1,N(W431)&gt;0,AG431=N(W431)),1,0)</f>
        <v>0</v>
      </c>
      <c r="AO431" s="96">
        <f>IF(AND(Z431=1,N(W431)&gt;0,AI431=N(W431)),1,0)</f>
        <v>0</v>
      </c>
      <c r="AP431" s="97">
        <f>IF(Z431=0,0,_xlfn.MAXIFS('RECEBIMENTOS'!$E$6:$E$1005,'RECEBIMENTOS'!$B$6:$B$1005,A431))</f>
        <v>0</v>
      </c>
      <c r="AQ431" s="97" t="str">
        <f>IF(T431="","",IF(T431="RECEBIMENTO NÃO CONFIRMADO",IF(ISNUMBER(F431),F431,IF(ISNUMBER(E431),E431,"")),IF(OR(T431="CDF NÃO LOCALIZADO",T431="VÍNCULO INCOMPLETO",T431="CDF A CONFERIR"),IF(AP431&gt;0,AP431,IF(ISNUMBER(E431),E431,"")),IF(ISNUMBER(E431),E431,""))))</f>
        <v/>
      </c>
      <c r="AR431" s="96">
        <f>IF(NOT(ISNUMBER(U431)),0,IF(T431="RECEBIMENTO NÃO CONFIRMADO",IF(AND(ISNUMBER(cfg_rec),U431&gt;cfg_rec),1,0),IF(OR(T431="CDF NÃO LOCALIZADO",T431="VÍNCULO INCOMPLETO",T431="CDF A CONFERIR"),IF(AND(ISNUMBER(cfg_cdf),U431&gt;cfg_cdf),1,0),0)))</f>
        <v>0</v>
      </c>
      <c r="AS431" s="96" t="str">
        <f>IF(T431="","",IF(AR431=1,"Alta",IFERROR(INDEX(cfg_pp,MATCH(T431,cfg_pt,0))&amp;"","Média")))</f>
        <v/>
      </c>
      <c r="AT431" s="96" t="str">
        <f>IF(T431="","",IFERROR(INDEX(cfg_pv,MATCH(T431,cfg_pt,0))&amp;"",""))</f>
        <v/>
      </c>
      <c r="AU431" s="96" t="str">
        <f>IF(T431="","",IF(AS431="Alta",1,IF(AS431="Média",2,3))*1000000000+(999999-IF(ISNUMBER(U431),MIN(U431,999999),0))*1000+426)</f>
        <v/>
      </c>
      <c r="AV431" s="96">
        <f>IF(T431&lt;&gt;"",1,0)</f>
        <v>0</v>
      </c>
      <c r="AW431" s="96" t="str">
        <f>IF(Z431=0,"",IF(AA431=1,"Cancelamento informado; ","")&amp;IF(AE431=1,"Campos essenciais ou itens faltando; ","")&amp;IF(AC431=1,"Possível duplicidade do número; ","")&amp;IF(AD431=1,"Cadastro ou datas a revisar; ","")&amp;IF(AF431&gt;0,"Item de resíduo com dado a revisar; ","")&amp;IF(AH431&gt;0,"Diferença de quantidade a analisar; ","")&amp;IF(AK431&gt;0,"Recebimento com alerta; ","")&amp;IF(AL431&gt;0,"Vínculo de CDF com alerta; ","")&amp;IF(AND(AA431=0,AN431=0),"Recebimento não confirmado; ","")&amp;IF(AND(AA431=0,AN431=1,AO431=0),"CDF pendente ou a conferir; ",""))</f>
        <v/>
      </c>
      <c r="AX431" s="96">
        <f>IF(Z431=0,0,IF(AND(OR(f_ini="",AND(ISNUMBER(E431),E431&gt;=f_ini)),OR(f_fim="",AND(ISNUMBER(E431),E431&lt;=f_fim)),OR(f_un="",f_un="(Todas)",G431=f_un),OR(f_tr="",f_tr="(Todos)",H431=f_tr),OR(f_de="",f_de="(Todos)",I431=f_de),OR(f_sit="",f_sit="(Todas)",S431=f_sit)),1,0))</f>
        <v>0</v>
      </c>
      <c r="AY431" s="96">
        <f>IF(AX431=0,0,IF(OR(f_res="",f_res="(Todos)"),1,IF(COUNTIFS('ITENS_MTR'!$S$6:$S$1005,A431,'ITENS_MTR'!$C$6:$C$1005,f_res)&gt;0,1,0)))</f>
        <v>0</v>
      </c>
      <c r="AZ431" s="97" t="str">
        <f>IF(ISNUMBER(E431),DATE(YEAR(E431),MONTH(E431),1),"")</f>
        <v/>
      </c>
      <c r="BA431" s="96">
        <f>IF(Z431=0,0,IF(AND(OR(r_ini="",AND(ISNUMBER(E431),E431&gt;=r_ini)),OR(r_fim="",AND(ISNUMBER(E431),E431&lt;=r_fim)),OR(r_un="",r_un="(Todas)",G431=r_un),OR(r_de="",r_de="(Todos)",I431=r_de)),1,0))</f>
        <v>0</v>
      </c>
      <c r="BB431" s="96" t="str">
        <f>IF(BA431=1,COUNTIF($BA$6:BA431,1),"")</f>
        <v/>
      </c>
      <c r="BC431" s="96" t="str">
        <f>IF(AND(AU431&lt;&gt;"",OR(r_un="",r_un="(Todas)",G431=r_un),OR(r_de="",r_de="(Todos)",I431=r_de)),AU431,"")</f>
        <v/>
      </c>
      <c r="BD431" s="96" t="str">
        <f>IF(Z431=1,A431&amp;" | nº "&amp;IF(B431="","(sem número)",B431)&amp;" | "&amp;IF(G431="","(sem unidade)",G431),"")</f>
        <v/>
      </c>
      <c r="BE431" s="96" t="str">
        <f>IF(Z431=1,COUNTIF($Z$6:Z431,1),"")</f>
        <v/>
      </c>
      <c r="BF431" s="96" t="str">
        <f>IF(T431="","",IF(T431="RECEBIMENTO NÃO CONFIRMADO","Transp.: "&amp;H431&amp;" | Dest.: "&amp;I431,IF(OR(T431="CDF NÃO LOCALIZADO",T431="VÍNCULO INCOMPLETO",T431="CDF A CONFERIR"),"Dest.: "&amp;I431,"Gerador: "&amp;G431)))</f>
        <v/>
      </c>
    </row>
    <row r="432">
      <c r="A432" s="89" t="inlineStr">
        <is>
          <t>MTR-000427</t>
        </is>
      </c>
      <c r="B432" s="90" t="n"/>
      <c r="C432" s="91" t="n"/>
      <c r="D432" s="91" t="n"/>
      <c r="E432" s="92" t="n"/>
      <c r="F432" s="92" t="n"/>
      <c r="G432" s="91" t="n"/>
      <c r="H432" s="91" t="n"/>
      <c r="I432" s="91" t="n"/>
      <c r="J432" s="91" t="n"/>
      <c r="K432" s="91" t="n"/>
      <c r="L432" s="92" t="n"/>
      <c r="M432" s="91" t="n"/>
      <c r="N432" s="91" t="n"/>
      <c r="O432" s="91" t="n"/>
      <c r="P432" s="93" t="str">
        <f>IF(Z432=0,"",SUMIFS('ITENS_MTR'!$I$6:$I$1005,'ITENS_MTR'!$S$6:$S$1005,A432,'ITENS_MTR'!$Y$6:$Y$1005,1))</f>
        <v/>
      </c>
      <c r="Q432" s="93" t="str">
        <f>IF(Z432=0,"",SUMIFS('RECEBIMENTOS'!$H$6:$H$1005,'RECEBIMENTOS'!$B$6:$B$1005,A432,'RECEBIMENTOS'!$X$6:$X$1005,1))</f>
        <v/>
      </c>
      <c r="R432" s="93" t="str">
        <f>IF(Z432=0,"",SUMIFS('VÍNCULOS_CDF'!$H$6:$H$1005,'VÍNCULOS_CDF'!$D$6:$D$1005,A432,'VÍNCULOS_CDF'!$V$6:$V$1005,1))</f>
        <v/>
      </c>
      <c r="S432" s="94" t="str">
        <f>IF(Z432=0,"",IF(AA432=1,"Cancelado (informado)",IF(AE432=1,"Cadastro incompleto",IF(OR(AC432=1,AD432=1,AF432&gt;0,AH432&gt;0,AK432&gt;0,AL432&gt;0),"Informação a revisar",IF(AN432=0,"Aguardando recebimento",IF(N(R432)=0,"Aguardando CDF",IF(AJ432&lt;N(W432),"Vínculo de CDF parcial",IF(AO432=0,"CDF localizado, a conferir","Documentação conferida"))))))))</f>
        <v/>
      </c>
      <c r="T432" s="94" t="str">
        <f>IF(Z432=0,"",IF(S432="Cadastro incompleto","MTR INCOMPLETO",IF(S432="Informação a revisar",IF(AND(AH432&gt;0,AC432=0,AD432=0,AF432=0,AK432=0,AL432=0),"QUANTIDADE A REVISAR","IDENTIFICAÇÃO A REVISAR"),IF(S432="Aguardando recebimento","RECEBIMENTO NÃO CONFIRMADO",IF(S432="Aguardando CDF","CDF NÃO LOCALIZADO",IF(S432="Vínculo de CDF parcial","VÍNCULO INCOMPLETO",IF(S432="CDF localizado, a conferir","CDF A CONFERIR","")))))))</f>
        <v/>
      </c>
      <c r="U432" s="95" t="str">
        <f>IF(T432="","",IF(AQ432="","Não calculável",IF(AQ432&gt;TODAY(),"Data futura",TODAY()-AQ432)))</f>
        <v/>
      </c>
      <c r="V432" s="93" t="str">
        <f>IF(Z432=0,"",SUMIFS('RECEBIMENTOS'!$H$6:$H$1005,'RECEBIMENTOS'!$B$6:$B$1005,A432,'RECEBIMENTOS'!$Z$6:$Z$1005,1))</f>
        <v/>
      </c>
      <c r="W432" s="95" t="str">
        <f>IF(Z432=0,"",COUNTIFS('ITENS_MTR'!$S$6:$S$1005,A432,'ITENS_MTR'!$R$6:$R$1005,1))</f>
        <v/>
      </c>
      <c r="X432" s="94" t="str">
        <f>IF(AC432=1,"POSSÍVEL DUPLICIDADE","")</f>
        <v/>
      </c>
      <c r="Y432" s="94" t="str">
        <f>IF(Z432=0,"",IF(AW432="","Nenhuma",LEFT(AW432,LEN(AW432)-2)))</f>
        <v/>
      </c>
      <c r="Z432" s="96">
        <f>IF(COUNTA(B432:O432)&gt;0,1,0)</f>
        <v>0</v>
      </c>
      <c r="AA432" s="96">
        <f>IF(AND(Z432=1,K432&lt;&gt;""),IF(TRIM(K432)=TRIM(cfg_cancel),1,0),0)</f>
        <v>0</v>
      </c>
      <c r="AB432" s="96" t="str">
        <f>IF(AND(Z432=1,B432&lt;&gt;""),C432&amp;"|"&amp;D432&amp;"|"&amp;G432&amp;"|"&amp;TRIM(B432),"")</f>
        <v/>
      </c>
      <c r="AC432" s="96">
        <f>IF(AB432="",0,IF(SUMPRODUCT(--($AB$6:$AB$505=AB432))&gt;1,1,0))</f>
        <v>0</v>
      </c>
      <c r="AD432" s="96">
        <f>IF(Z432=0,0,IF(OR(AND(G432&lt;&gt;"",ISNA(MATCH(G432,'CAD_UNIDADES'!$C$6:$C$105,0))),AND(H432&lt;&gt;"",ISNA(MATCH(H432,cmp_transp,0))),AND(I432&lt;&gt;"",ISNA(MATCH(I432,cmp_dest,0))),AND(E432&lt;&gt;"",NOT(ISNUMBER(E432))),AND(F432&lt;&gt;"",NOT(ISNUMBER(F432))),AND(ISNUMBER(E432),ISNUMBER(F432),F432&lt;E432)),1,0))</f>
        <v>0</v>
      </c>
      <c r="AE432" s="96">
        <f>IF(Z432=0,0,IF(OR(B432="",C432="",E432="",G432="",H432="",I432="",N(W432)=0),1,0))</f>
        <v>0</v>
      </c>
      <c r="AF432" s="96">
        <f>IF(Z432=0,0,COUNTIFS('ITENS_MTR'!$S$6:$S$1005,A432,'ITENS_MTR'!$AI$6:$AI$1005,1))</f>
        <v>0</v>
      </c>
      <c r="AG432" s="96">
        <f>IF(Z432=0,0,COUNTIFS('ITENS_MTR'!$S$6:$S$1005,A432,'ITENS_MTR'!$AJ$6:$AJ$1005,1))</f>
        <v>0</v>
      </c>
      <c r="AH432" s="96">
        <f>IF(Z432=0,0,COUNTIFS('ITENS_MTR'!$S$6:$S$1005,A432,'ITENS_MTR'!$AM$6:$AM$1005,1))</f>
        <v>0</v>
      </c>
      <c r="AI432" s="96">
        <f>IF(Z432=0,0,COUNTIFS('ITENS_MTR'!$S$6:$S$1005,A432,'ITENS_MTR'!$AO$6:$AO$1005,1))</f>
        <v>0</v>
      </c>
      <c r="AJ432" s="96">
        <f>IF(Z432=0,0,COUNTIFS('ITENS_MTR'!$S$6:$S$1005,A432,'ITENS_MTR'!$AN$6:$AN$1005,1))</f>
        <v>0</v>
      </c>
      <c r="AK432" s="96">
        <f>IF(Z432=0,0,COUNTIFS('RECEBIMENTOS'!$B$6:$B$1005,A432,'RECEBIMENTOS'!$Y$6:$Y$1005,1))</f>
        <v>0</v>
      </c>
      <c r="AL432" s="96">
        <f>IF(Z432=0,0,COUNTIFS('VÍNCULOS_CDF'!$D$6:$D$1005,A432,'VÍNCULOS_CDF'!$Y$6:$Y$1005,1))</f>
        <v>0</v>
      </c>
      <c r="AM432" s="96">
        <f>IF(Z432=0,0,COUNTIFS('RECEBIMENTOS'!$B$6:$B$1005,A432,'RECEBIMENTOS'!$Q$6:$Q$1005,1))</f>
        <v>0</v>
      </c>
      <c r="AN432" s="96">
        <f>IF(AND(Z432=1,N(W432)&gt;0,AG432=N(W432)),1,0)</f>
        <v>0</v>
      </c>
      <c r="AO432" s="96">
        <f>IF(AND(Z432=1,N(W432)&gt;0,AI432=N(W432)),1,0)</f>
        <v>0</v>
      </c>
      <c r="AP432" s="97">
        <f>IF(Z432=0,0,_xlfn.MAXIFS('RECEBIMENTOS'!$E$6:$E$1005,'RECEBIMENTOS'!$B$6:$B$1005,A432))</f>
        <v>0</v>
      </c>
      <c r="AQ432" s="97" t="str">
        <f>IF(T432="","",IF(T432="RECEBIMENTO NÃO CONFIRMADO",IF(ISNUMBER(F432),F432,IF(ISNUMBER(E432),E432,"")),IF(OR(T432="CDF NÃO LOCALIZADO",T432="VÍNCULO INCOMPLETO",T432="CDF A CONFERIR"),IF(AP432&gt;0,AP432,IF(ISNUMBER(E432),E432,"")),IF(ISNUMBER(E432),E432,""))))</f>
        <v/>
      </c>
      <c r="AR432" s="96">
        <f>IF(NOT(ISNUMBER(U432)),0,IF(T432="RECEBIMENTO NÃO CONFIRMADO",IF(AND(ISNUMBER(cfg_rec),U432&gt;cfg_rec),1,0),IF(OR(T432="CDF NÃO LOCALIZADO",T432="VÍNCULO INCOMPLETO",T432="CDF A CONFERIR"),IF(AND(ISNUMBER(cfg_cdf),U432&gt;cfg_cdf),1,0),0)))</f>
        <v>0</v>
      </c>
      <c r="AS432" s="96" t="str">
        <f>IF(T432="","",IF(AR432=1,"Alta",IFERROR(INDEX(cfg_pp,MATCH(T432,cfg_pt,0))&amp;"","Média")))</f>
        <v/>
      </c>
      <c r="AT432" s="96" t="str">
        <f>IF(T432="","",IFERROR(INDEX(cfg_pv,MATCH(T432,cfg_pt,0))&amp;"",""))</f>
        <v/>
      </c>
      <c r="AU432" s="96" t="str">
        <f>IF(T432="","",IF(AS432="Alta",1,IF(AS432="Média",2,3))*1000000000+(999999-IF(ISNUMBER(U432),MIN(U432,999999),0))*1000+427)</f>
        <v/>
      </c>
      <c r="AV432" s="96">
        <f>IF(T432&lt;&gt;"",1,0)</f>
        <v>0</v>
      </c>
      <c r="AW432" s="96" t="str">
        <f>IF(Z432=0,"",IF(AA432=1,"Cancelamento informado; ","")&amp;IF(AE432=1,"Campos essenciais ou itens faltando; ","")&amp;IF(AC432=1,"Possível duplicidade do número; ","")&amp;IF(AD432=1,"Cadastro ou datas a revisar; ","")&amp;IF(AF432&gt;0,"Item de resíduo com dado a revisar; ","")&amp;IF(AH432&gt;0,"Diferença de quantidade a analisar; ","")&amp;IF(AK432&gt;0,"Recebimento com alerta; ","")&amp;IF(AL432&gt;0,"Vínculo de CDF com alerta; ","")&amp;IF(AND(AA432=0,AN432=0),"Recebimento não confirmado; ","")&amp;IF(AND(AA432=0,AN432=1,AO432=0),"CDF pendente ou a conferir; ",""))</f>
        <v/>
      </c>
      <c r="AX432" s="96">
        <f>IF(Z432=0,0,IF(AND(OR(f_ini="",AND(ISNUMBER(E432),E432&gt;=f_ini)),OR(f_fim="",AND(ISNUMBER(E432),E432&lt;=f_fim)),OR(f_un="",f_un="(Todas)",G432=f_un),OR(f_tr="",f_tr="(Todos)",H432=f_tr),OR(f_de="",f_de="(Todos)",I432=f_de),OR(f_sit="",f_sit="(Todas)",S432=f_sit)),1,0))</f>
        <v>0</v>
      </c>
      <c r="AY432" s="96">
        <f>IF(AX432=0,0,IF(OR(f_res="",f_res="(Todos)"),1,IF(COUNTIFS('ITENS_MTR'!$S$6:$S$1005,A432,'ITENS_MTR'!$C$6:$C$1005,f_res)&gt;0,1,0)))</f>
        <v>0</v>
      </c>
      <c r="AZ432" s="97" t="str">
        <f>IF(ISNUMBER(E432),DATE(YEAR(E432),MONTH(E432),1),"")</f>
        <v/>
      </c>
      <c r="BA432" s="96">
        <f>IF(Z432=0,0,IF(AND(OR(r_ini="",AND(ISNUMBER(E432),E432&gt;=r_ini)),OR(r_fim="",AND(ISNUMBER(E432),E432&lt;=r_fim)),OR(r_un="",r_un="(Todas)",G432=r_un),OR(r_de="",r_de="(Todos)",I432=r_de)),1,0))</f>
        <v>0</v>
      </c>
      <c r="BB432" s="96" t="str">
        <f>IF(BA432=1,COUNTIF($BA$6:BA432,1),"")</f>
        <v/>
      </c>
      <c r="BC432" s="96" t="str">
        <f>IF(AND(AU432&lt;&gt;"",OR(r_un="",r_un="(Todas)",G432=r_un),OR(r_de="",r_de="(Todos)",I432=r_de)),AU432,"")</f>
        <v/>
      </c>
      <c r="BD432" s="96" t="str">
        <f>IF(Z432=1,A432&amp;" | nº "&amp;IF(B432="","(sem número)",B432)&amp;" | "&amp;IF(G432="","(sem unidade)",G432),"")</f>
        <v/>
      </c>
      <c r="BE432" s="96" t="str">
        <f>IF(Z432=1,COUNTIF($Z$6:Z432,1),"")</f>
        <v/>
      </c>
      <c r="BF432" s="96" t="str">
        <f>IF(T432="","",IF(T432="RECEBIMENTO NÃO CONFIRMADO","Transp.: "&amp;H432&amp;" | Dest.: "&amp;I432,IF(OR(T432="CDF NÃO LOCALIZADO",T432="VÍNCULO INCOMPLETO",T432="CDF A CONFERIR"),"Dest.: "&amp;I432,"Gerador: "&amp;G432)))</f>
        <v/>
      </c>
    </row>
    <row r="433">
      <c r="A433" s="89" t="inlineStr">
        <is>
          <t>MTR-000428</t>
        </is>
      </c>
      <c r="B433" s="90" t="n"/>
      <c r="C433" s="91" t="n"/>
      <c r="D433" s="91" t="n"/>
      <c r="E433" s="92" t="n"/>
      <c r="F433" s="92" t="n"/>
      <c r="G433" s="91" t="n"/>
      <c r="H433" s="91" t="n"/>
      <c r="I433" s="91" t="n"/>
      <c r="J433" s="91" t="n"/>
      <c r="K433" s="91" t="n"/>
      <c r="L433" s="92" t="n"/>
      <c r="M433" s="91" t="n"/>
      <c r="N433" s="91" t="n"/>
      <c r="O433" s="91" t="n"/>
      <c r="P433" s="93" t="str">
        <f>IF(Z433=0,"",SUMIFS('ITENS_MTR'!$I$6:$I$1005,'ITENS_MTR'!$S$6:$S$1005,A433,'ITENS_MTR'!$Y$6:$Y$1005,1))</f>
        <v/>
      </c>
      <c r="Q433" s="93" t="str">
        <f>IF(Z433=0,"",SUMIFS('RECEBIMENTOS'!$H$6:$H$1005,'RECEBIMENTOS'!$B$6:$B$1005,A433,'RECEBIMENTOS'!$X$6:$X$1005,1))</f>
        <v/>
      </c>
      <c r="R433" s="93" t="str">
        <f>IF(Z433=0,"",SUMIFS('VÍNCULOS_CDF'!$H$6:$H$1005,'VÍNCULOS_CDF'!$D$6:$D$1005,A433,'VÍNCULOS_CDF'!$V$6:$V$1005,1))</f>
        <v/>
      </c>
      <c r="S433" s="94" t="str">
        <f>IF(Z433=0,"",IF(AA433=1,"Cancelado (informado)",IF(AE433=1,"Cadastro incompleto",IF(OR(AC433=1,AD433=1,AF433&gt;0,AH433&gt;0,AK433&gt;0,AL433&gt;0),"Informação a revisar",IF(AN433=0,"Aguardando recebimento",IF(N(R433)=0,"Aguardando CDF",IF(AJ433&lt;N(W433),"Vínculo de CDF parcial",IF(AO433=0,"CDF localizado, a conferir","Documentação conferida"))))))))</f>
        <v/>
      </c>
      <c r="T433" s="94" t="str">
        <f>IF(Z433=0,"",IF(S433="Cadastro incompleto","MTR INCOMPLETO",IF(S433="Informação a revisar",IF(AND(AH433&gt;0,AC433=0,AD433=0,AF433=0,AK433=0,AL433=0),"QUANTIDADE A REVISAR","IDENTIFICAÇÃO A REVISAR"),IF(S433="Aguardando recebimento","RECEBIMENTO NÃO CONFIRMADO",IF(S433="Aguardando CDF","CDF NÃO LOCALIZADO",IF(S433="Vínculo de CDF parcial","VÍNCULO INCOMPLETO",IF(S433="CDF localizado, a conferir","CDF A CONFERIR","")))))))</f>
        <v/>
      </c>
      <c r="U433" s="95" t="str">
        <f>IF(T433="","",IF(AQ433="","Não calculável",IF(AQ433&gt;TODAY(),"Data futura",TODAY()-AQ433)))</f>
        <v/>
      </c>
      <c r="V433" s="93" t="str">
        <f>IF(Z433=0,"",SUMIFS('RECEBIMENTOS'!$H$6:$H$1005,'RECEBIMENTOS'!$B$6:$B$1005,A433,'RECEBIMENTOS'!$Z$6:$Z$1005,1))</f>
        <v/>
      </c>
      <c r="W433" s="95" t="str">
        <f>IF(Z433=0,"",COUNTIFS('ITENS_MTR'!$S$6:$S$1005,A433,'ITENS_MTR'!$R$6:$R$1005,1))</f>
        <v/>
      </c>
      <c r="X433" s="94" t="str">
        <f>IF(AC433=1,"POSSÍVEL DUPLICIDADE","")</f>
        <v/>
      </c>
      <c r="Y433" s="94" t="str">
        <f>IF(Z433=0,"",IF(AW433="","Nenhuma",LEFT(AW433,LEN(AW433)-2)))</f>
        <v/>
      </c>
      <c r="Z433" s="96">
        <f>IF(COUNTA(B433:O433)&gt;0,1,0)</f>
        <v>0</v>
      </c>
      <c r="AA433" s="96">
        <f>IF(AND(Z433=1,K433&lt;&gt;""),IF(TRIM(K433)=TRIM(cfg_cancel),1,0),0)</f>
        <v>0</v>
      </c>
      <c r="AB433" s="96" t="str">
        <f>IF(AND(Z433=1,B433&lt;&gt;""),C433&amp;"|"&amp;D433&amp;"|"&amp;G433&amp;"|"&amp;TRIM(B433),"")</f>
        <v/>
      </c>
      <c r="AC433" s="96">
        <f>IF(AB433="",0,IF(SUMPRODUCT(--($AB$6:$AB$505=AB433))&gt;1,1,0))</f>
        <v>0</v>
      </c>
      <c r="AD433" s="96">
        <f>IF(Z433=0,0,IF(OR(AND(G433&lt;&gt;"",ISNA(MATCH(G433,'CAD_UNIDADES'!$C$6:$C$105,0))),AND(H433&lt;&gt;"",ISNA(MATCH(H433,cmp_transp,0))),AND(I433&lt;&gt;"",ISNA(MATCH(I433,cmp_dest,0))),AND(E433&lt;&gt;"",NOT(ISNUMBER(E433))),AND(F433&lt;&gt;"",NOT(ISNUMBER(F433))),AND(ISNUMBER(E433),ISNUMBER(F433),F433&lt;E433)),1,0))</f>
        <v>0</v>
      </c>
      <c r="AE433" s="96">
        <f>IF(Z433=0,0,IF(OR(B433="",C433="",E433="",G433="",H433="",I433="",N(W433)=0),1,0))</f>
        <v>0</v>
      </c>
      <c r="AF433" s="96">
        <f>IF(Z433=0,0,COUNTIFS('ITENS_MTR'!$S$6:$S$1005,A433,'ITENS_MTR'!$AI$6:$AI$1005,1))</f>
        <v>0</v>
      </c>
      <c r="AG433" s="96">
        <f>IF(Z433=0,0,COUNTIFS('ITENS_MTR'!$S$6:$S$1005,A433,'ITENS_MTR'!$AJ$6:$AJ$1005,1))</f>
        <v>0</v>
      </c>
      <c r="AH433" s="96">
        <f>IF(Z433=0,0,COUNTIFS('ITENS_MTR'!$S$6:$S$1005,A433,'ITENS_MTR'!$AM$6:$AM$1005,1))</f>
        <v>0</v>
      </c>
      <c r="AI433" s="96">
        <f>IF(Z433=0,0,COUNTIFS('ITENS_MTR'!$S$6:$S$1005,A433,'ITENS_MTR'!$AO$6:$AO$1005,1))</f>
        <v>0</v>
      </c>
      <c r="AJ433" s="96">
        <f>IF(Z433=0,0,COUNTIFS('ITENS_MTR'!$S$6:$S$1005,A433,'ITENS_MTR'!$AN$6:$AN$1005,1))</f>
        <v>0</v>
      </c>
      <c r="AK433" s="96">
        <f>IF(Z433=0,0,COUNTIFS('RECEBIMENTOS'!$B$6:$B$1005,A433,'RECEBIMENTOS'!$Y$6:$Y$1005,1))</f>
        <v>0</v>
      </c>
      <c r="AL433" s="96">
        <f>IF(Z433=0,0,COUNTIFS('VÍNCULOS_CDF'!$D$6:$D$1005,A433,'VÍNCULOS_CDF'!$Y$6:$Y$1005,1))</f>
        <v>0</v>
      </c>
      <c r="AM433" s="96">
        <f>IF(Z433=0,0,COUNTIFS('RECEBIMENTOS'!$B$6:$B$1005,A433,'RECEBIMENTOS'!$Q$6:$Q$1005,1))</f>
        <v>0</v>
      </c>
      <c r="AN433" s="96">
        <f>IF(AND(Z433=1,N(W433)&gt;0,AG433=N(W433)),1,0)</f>
        <v>0</v>
      </c>
      <c r="AO433" s="96">
        <f>IF(AND(Z433=1,N(W433)&gt;0,AI433=N(W433)),1,0)</f>
        <v>0</v>
      </c>
      <c r="AP433" s="97">
        <f>IF(Z433=0,0,_xlfn.MAXIFS('RECEBIMENTOS'!$E$6:$E$1005,'RECEBIMENTOS'!$B$6:$B$1005,A433))</f>
        <v>0</v>
      </c>
      <c r="AQ433" s="97" t="str">
        <f>IF(T433="","",IF(T433="RECEBIMENTO NÃO CONFIRMADO",IF(ISNUMBER(F433),F433,IF(ISNUMBER(E433),E433,"")),IF(OR(T433="CDF NÃO LOCALIZADO",T433="VÍNCULO INCOMPLETO",T433="CDF A CONFERIR"),IF(AP433&gt;0,AP433,IF(ISNUMBER(E433),E433,"")),IF(ISNUMBER(E433),E433,""))))</f>
        <v/>
      </c>
      <c r="AR433" s="96">
        <f>IF(NOT(ISNUMBER(U433)),0,IF(T433="RECEBIMENTO NÃO CONFIRMADO",IF(AND(ISNUMBER(cfg_rec),U433&gt;cfg_rec),1,0),IF(OR(T433="CDF NÃO LOCALIZADO",T433="VÍNCULO INCOMPLETO",T433="CDF A CONFERIR"),IF(AND(ISNUMBER(cfg_cdf),U433&gt;cfg_cdf),1,0),0)))</f>
        <v>0</v>
      </c>
      <c r="AS433" s="96" t="str">
        <f>IF(T433="","",IF(AR433=1,"Alta",IFERROR(INDEX(cfg_pp,MATCH(T433,cfg_pt,0))&amp;"","Média")))</f>
        <v/>
      </c>
      <c r="AT433" s="96" t="str">
        <f>IF(T433="","",IFERROR(INDEX(cfg_pv,MATCH(T433,cfg_pt,0))&amp;"",""))</f>
        <v/>
      </c>
      <c r="AU433" s="96" t="str">
        <f>IF(T433="","",IF(AS433="Alta",1,IF(AS433="Média",2,3))*1000000000+(999999-IF(ISNUMBER(U433),MIN(U433,999999),0))*1000+428)</f>
        <v/>
      </c>
      <c r="AV433" s="96">
        <f>IF(T433&lt;&gt;"",1,0)</f>
        <v>0</v>
      </c>
      <c r="AW433" s="96" t="str">
        <f>IF(Z433=0,"",IF(AA433=1,"Cancelamento informado; ","")&amp;IF(AE433=1,"Campos essenciais ou itens faltando; ","")&amp;IF(AC433=1,"Possível duplicidade do número; ","")&amp;IF(AD433=1,"Cadastro ou datas a revisar; ","")&amp;IF(AF433&gt;0,"Item de resíduo com dado a revisar; ","")&amp;IF(AH433&gt;0,"Diferença de quantidade a analisar; ","")&amp;IF(AK433&gt;0,"Recebimento com alerta; ","")&amp;IF(AL433&gt;0,"Vínculo de CDF com alerta; ","")&amp;IF(AND(AA433=0,AN433=0),"Recebimento não confirmado; ","")&amp;IF(AND(AA433=0,AN433=1,AO433=0),"CDF pendente ou a conferir; ",""))</f>
        <v/>
      </c>
      <c r="AX433" s="96">
        <f>IF(Z433=0,0,IF(AND(OR(f_ini="",AND(ISNUMBER(E433),E433&gt;=f_ini)),OR(f_fim="",AND(ISNUMBER(E433),E433&lt;=f_fim)),OR(f_un="",f_un="(Todas)",G433=f_un),OR(f_tr="",f_tr="(Todos)",H433=f_tr),OR(f_de="",f_de="(Todos)",I433=f_de),OR(f_sit="",f_sit="(Todas)",S433=f_sit)),1,0))</f>
        <v>0</v>
      </c>
      <c r="AY433" s="96">
        <f>IF(AX433=0,0,IF(OR(f_res="",f_res="(Todos)"),1,IF(COUNTIFS('ITENS_MTR'!$S$6:$S$1005,A433,'ITENS_MTR'!$C$6:$C$1005,f_res)&gt;0,1,0)))</f>
        <v>0</v>
      </c>
      <c r="AZ433" s="97" t="str">
        <f>IF(ISNUMBER(E433),DATE(YEAR(E433),MONTH(E433),1),"")</f>
        <v/>
      </c>
      <c r="BA433" s="96">
        <f>IF(Z433=0,0,IF(AND(OR(r_ini="",AND(ISNUMBER(E433),E433&gt;=r_ini)),OR(r_fim="",AND(ISNUMBER(E433),E433&lt;=r_fim)),OR(r_un="",r_un="(Todas)",G433=r_un),OR(r_de="",r_de="(Todos)",I433=r_de)),1,0))</f>
        <v>0</v>
      </c>
      <c r="BB433" s="96" t="str">
        <f>IF(BA433=1,COUNTIF($BA$6:BA433,1),"")</f>
        <v/>
      </c>
      <c r="BC433" s="96" t="str">
        <f>IF(AND(AU433&lt;&gt;"",OR(r_un="",r_un="(Todas)",G433=r_un),OR(r_de="",r_de="(Todos)",I433=r_de)),AU433,"")</f>
        <v/>
      </c>
      <c r="BD433" s="96" t="str">
        <f>IF(Z433=1,A433&amp;" | nº "&amp;IF(B433="","(sem número)",B433)&amp;" | "&amp;IF(G433="","(sem unidade)",G433),"")</f>
        <v/>
      </c>
      <c r="BE433" s="96" t="str">
        <f>IF(Z433=1,COUNTIF($Z$6:Z433,1),"")</f>
        <v/>
      </c>
      <c r="BF433" s="96" t="str">
        <f>IF(T433="","",IF(T433="RECEBIMENTO NÃO CONFIRMADO","Transp.: "&amp;H433&amp;" | Dest.: "&amp;I433,IF(OR(T433="CDF NÃO LOCALIZADO",T433="VÍNCULO INCOMPLETO",T433="CDF A CONFERIR"),"Dest.: "&amp;I433,"Gerador: "&amp;G433)))</f>
        <v/>
      </c>
    </row>
    <row r="434">
      <c r="A434" s="89" t="inlineStr">
        <is>
          <t>MTR-000429</t>
        </is>
      </c>
      <c r="B434" s="90" t="n"/>
      <c r="C434" s="91" t="n"/>
      <c r="D434" s="91" t="n"/>
      <c r="E434" s="92" t="n"/>
      <c r="F434" s="92" t="n"/>
      <c r="G434" s="91" t="n"/>
      <c r="H434" s="91" t="n"/>
      <c r="I434" s="91" t="n"/>
      <c r="J434" s="91" t="n"/>
      <c r="K434" s="91" t="n"/>
      <c r="L434" s="92" t="n"/>
      <c r="M434" s="91" t="n"/>
      <c r="N434" s="91" t="n"/>
      <c r="O434" s="91" t="n"/>
      <c r="P434" s="93" t="str">
        <f>IF(Z434=0,"",SUMIFS('ITENS_MTR'!$I$6:$I$1005,'ITENS_MTR'!$S$6:$S$1005,A434,'ITENS_MTR'!$Y$6:$Y$1005,1))</f>
        <v/>
      </c>
      <c r="Q434" s="93" t="str">
        <f>IF(Z434=0,"",SUMIFS('RECEBIMENTOS'!$H$6:$H$1005,'RECEBIMENTOS'!$B$6:$B$1005,A434,'RECEBIMENTOS'!$X$6:$X$1005,1))</f>
        <v/>
      </c>
      <c r="R434" s="93" t="str">
        <f>IF(Z434=0,"",SUMIFS('VÍNCULOS_CDF'!$H$6:$H$1005,'VÍNCULOS_CDF'!$D$6:$D$1005,A434,'VÍNCULOS_CDF'!$V$6:$V$1005,1))</f>
        <v/>
      </c>
      <c r="S434" s="94" t="str">
        <f>IF(Z434=0,"",IF(AA434=1,"Cancelado (informado)",IF(AE434=1,"Cadastro incompleto",IF(OR(AC434=1,AD434=1,AF434&gt;0,AH434&gt;0,AK434&gt;0,AL434&gt;0),"Informação a revisar",IF(AN434=0,"Aguardando recebimento",IF(N(R434)=0,"Aguardando CDF",IF(AJ434&lt;N(W434),"Vínculo de CDF parcial",IF(AO434=0,"CDF localizado, a conferir","Documentação conferida"))))))))</f>
        <v/>
      </c>
      <c r="T434" s="94" t="str">
        <f>IF(Z434=0,"",IF(S434="Cadastro incompleto","MTR INCOMPLETO",IF(S434="Informação a revisar",IF(AND(AH434&gt;0,AC434=0,AD434=0,AF434=0,AK434=0,AL434=0),"QUANTIDADE A REVISAR","IDENTIFICAÇÃO A REVISAR"),IF(S434="Aguardando recebimento","RECEBIMENTO NÃO CONFIRMADO",IF(S434="Aguardando CDF","CDF NÃO LOCALIZADO",IF(S434="Vínculo de CDF parcial","VÍNCULO INCOMPLETO",IF(S434="CDF localizado, a conferir","CDF A CONFERIR","")))))))</f>
        <v/>
      </c>
      <c r="U434" s="95" t="str">
        <f>IF(T434="","",IF(AQ434="","Não calculável",IF(AQ434&gt;TODAY(),"Data futura",TODAY()-AQ434)))</f>
        <v/>
      </c>
      <c r="V434" s="93" t="str">
        <f>IF(Z434=0,"",SUMIFS('RECEBIMENTOS'!$H$6:$H$1005,'RECEBIMENTOS'!$B$6:$B$1005,A434,'RECEBIMENTOS'!$Z$6:$Z$1005,1))</f>
        <v/>
      </c>
      <c r="W434" s="95" t="str">
        <f>IF(Z434=0,"",COUNTIFS('ITENS_MTR'!$S$6:$S$1005,A434,'ITENS_MTR'!$R$6:$R$1005,1))</f>
        <v/>
      </c>
      <c r="X434" s="94" t="str">
        <f>IF(AC434=1,"POSSÍVEL DUPLICIDADE","")</f>
        <v/>
      </c>
      <c r="Y434" s="94" t="str">
        <f>IF(Z434=0,"",IF(AW434="","Nenhuma",LEFT(AW434,LEN(AW434)-2)))</f>
        <v/>
      </c>
      <c r="Z434" s="96">
        <f>IF(COUNTA(B434:O434)&gt;0,1,0)</f>
        <v>0</v>
      </c>
      <c r="AA434" s="96">
        <f>IF(AND(Z434=1,K434&lt;&gt;""),IF(TRIM(K434)=TRIM(cfg_cancel),1,0),0)</f>
        <v>0</v>
      </c>
      <c r="AB434" s="96" t="str">
        <f>IF(AND(Z434=1,B434&lt;&gt;""),C434&amp;"|"&amp;D434&amp;"|"&amp;G434&amp;"|"&amp;TRIM(B434),"")</f>
        <v/>
      </c>
      <c r="AC434" s="96">
        <f>IF(AB434="",0,IF(SUMPRODUCT(--($AB$6:$AB$505=AB434))&gt;1,1,0))</f>
        <v>0</v>
      </c>
      <c r="AD434" s="96">
        <f>IF(Z434=0,0,IF(OR(AND(G434&lt;&gt;"",ISNA(MATCH(G434,'CAD_UNIDADES'!$C$6:$C$105,0))),AND(H434&lt;&gt;"",ISNA(MATCH(H434,cmp_transp,0))),AND(I434&lt;&gt;"",ISNA(MATCH(I434,cmp_dest,0))),AND(E434&lt;&gt;"",NOT(ISNUMBER(E434))),AND(F434&lt;&gt;"",NOT(ISNUMBER(F434))),AND(ISNUMBER(E434),ISNUMBER(F434),F434&lt;E434)),1,0))</f>
        <v>0</v>
      </c>
      <c r="AE434" s="96">
        <f>IF(Z434=0,0,IF(OR(B434="",C434="",E434="",G434="",H434="",I434="",N(W434)=0),1,0))</f>
        <v>0</v>
      </c>
      <c r="AF434" s="96">
        <f>IF(Z434=0,0,COUNTIFS('ITENS_MTR'!$S$6:$S$1005,A434,'ITENS_MTR'!$AI$6:$AI$1005,1))</f>
        <v>0</v>
      </c>
      <c r="AG434" s="96">
        <f>IF(Z434=0,0,COUNTIFS('ITENS_MTR'!$S$6:$S$1005,A434,'ITENS_MTR'!$AJ$6:$AJ$1005,1))</f>
        <v>0</v>
      </c>
      <c r="AH434" s="96">
        <f>IF(Z434=0,0,COUNTIFS('ITENS_MTR'!$S$6:$S$1005,A434,'ITENS_MTR'!$AM$6:$AM$1005,1))</f>
        <v>0</v>
      </c>
      <c r="AI434" s="96">
        <f>IF(Z434=0,0,COUNTIFS('ITENS_MTR'!$S$6:$S$1005,A434,'ITENS_MTR'!$AO$6:$AO$1005,1))</f>
        <v>0</v>
      </c>
      <c r="AJ434" s="96">
        <f>IF(Z434=0,0,COUNTIFS('ITENS_MTR'!$S$6:$S$1005,A434,'ITENS_MTR'!$AN$6:$AN$1005,1))</f>
        <v>0</v>
      </c>
      <c r="AK434" s="96">
        <f>IF(Z434=0,0,COUNTIFS('RECEBIMENTOS'!$B$6:$B$1005,A434,'RECEBIMENTOS'!$Y$6:$Y$1005,1))</f>
        <v>0</v>
      </c>
      <c r="AL434" s="96">
        <f>IF(Z434=0,0,COUNTIFS('VÍNCULOS_CDF'!$D$6:$D$1005,A434,'VÍNCULOS_CDF'!$Y$6:$Y$1005,1))</f>
        <v>0</v>
      </c>
      <c r="AM434" s="96">
        <f>IF(Z434=0,0,COUNTIFS('RECEBIMENTOS'!$B$6:$B$1005,A434,'RECEBIMENTOS'!$Q$6:$Q$1005,1))</f>
        <v>0</v>
      </c>
      <c r="AN434" s="96">
        <f>IF(AND(Z434=1,N(W434)&gt;0,AG434=N(W434)),1,0)</f>
        <v>0</v>
      </c>
      <c r="AO434" s="96">
        <f>IF(AND(Z434=1,N(W434)&gt;0,AI434=N(W434)),1,0)</f>
        <v>0</v>
      </c>
      <c r="AP434" s="97">
        <f>IF(Z434=0,0,_xlfn.MAXIFS('RECEBIMENTOS'!$E$6:$E$1005,'RECEBIMENTOS'!$B$6:$B$1005,A434))</f>
        <v>0</v>
      </c>
      <c r="AQ434" s="97" t="str">
        <f>IF(T434="","",IF(T434="RECEBIMENTO NÃO CONFIRMADO",IF(ISNUMBER(F434),F434,IF(ISNUMBER(E434),E434,"")),IF(OR(T434="CDF NÃO LOCALIZADO",T434="VÍNCULO INCOMPLETO",T434="CDF A CONFERIR"),IF(AP434&gt;0,AP434,IF(ISNUMBER(E434),E434,"")),IF(ISNUMBER(E434),E434,""))))</f>
        <v/>
      </c>
      <c r="AR434" s="96">
        <f>IF(NOT(ISNUMBER(U434)),0,IF(T434="RECEBIMENTO NÃO CONFIRMADO",IF(AND(ISNUMBER(cfg_rec),U434&gt;cfg_rec),1,0),IF(OR(T434="CDF NÃO LOCALIZADO",T434="VÍNCULO INCOMPLETO",T434="CDF A CONFERIR"),IF(AND(ISNUMBER(cfg_cdf),U434&gt;cfg_cdf),1,0),0)))</f>
        <v>0</v>
      </c>
      <c r="AS434" s="96" t="str">
        <f>IF(T434="","",IF(AR434=1,"Alta",IFERROR(INDEX(cfg_pp,MATCH(T434,cfg_pt,0))&amp;"","Média")))</f>
        <v/>
      </c>
      <c r="AT434" s="96" t="str">
        <f>IF(T434="","",IFERROR(INDEX(cfg_pv,MATCH(T434,cfg_pt,0))&amp;"",""))</f>
        <v/>
      </c>
      <c r="AU434" s="96" t="str">
        <f>IF(T434="","",IF(AS434="Alta",1,IF(AS434="Média",2,3))*1000000000+(999999-IF(ISNUMBER(U434),MIN(U434,999999),0))*1000+429)</f>
        <v/>
      </c>
      <c r="AV434" s="96">
        <f>IF(T434&lt;&gt;"",1,0)</f>
        <v>0</v>
      </c>
      <c r="AW434" s="96" t="str">
        <f>IF(Z434=0,"",IF(AA434=1,"Cancelamento informado; ","")&amp;IF(AE434=1,"Campos essenciais ou itens faltando; ","")&amp;IF(AC434=1,"Possível duplicidade do número; ","")&amp;IF(AD434=1,"Cadastro ou datas a revisar; ","")&amp;IF(AF434&gt;0,"Item de resíduo com dado a revisar; ","")&amp;IF(AH434&gt;0,"Diferença de quantidade a analisar; ","")&amp;IF(AK434&gt;0,"Recebimento com alerta; ","")&amp;IF(AL434&gt;0,"Vínculo de CDF com alerta; ","")&amp;IF(AND(AA434=0,AN434=0),"Recebimento não confirmado; ","")&amp;IF(AND(AA434=0,AN434=1,AO434=0),"CDF pendente ou a conferir; ",""))</f>
        <v/>
      </c>
      <c r="AX434" s="96">
        <f>IF(Z434=0,0,IF(AND(OR(f_ini="",AND(ISNUMBER(E434),E434&gt;=f_ini)),OR(f_fim="",AND(ISNUMBER(E434),E434&lt;=f_fim)),OR(f_un="",f_un="(Todas)",G434=f_un),OR(f_tr="",f_tr="(Todos)",H434=f_tr),OR(f_de="",f_de="(Todos)",I434=f_de),OR(f_sit="",f_sit="(Todas)",S434=f_sit)),1,0))</f>
        <v>0</v>
      </c>
      <c r="AY434" s="96">
        <f>IF(AX434=0,0,IF(OR(f_res="",f_res="(Todos)"),1,IF(COUNTIFS('ITENS_MTR'!$S$6:$S$1005,A434,'ITENS_MTR'!$C$6:$C$1005,f_res)&gt;0,1,0)))</f>
        <v>0</v>
      </c>
      <c r="AZ434" s="97" t="str">
        <f>IF(ISNUMBER(E434),DATE(YEAR(E434),MONTH(E434),1),"")</f>
        <v/>
      </c>
      <c r="BA434" s="96">
        <f>IF(Z434=0,0,IF(AND(OR(r_ini="",AND(ISNUMBER(E434),E434&gt;=r_ini)),OR(r_fim="",AND(ISNUMBER(E434),E434&lt;=r_fim)),OR(r_un="",r_un="(Todas)",G434=r_un),OR(r_de="",r_de="(Todos)",I434=r_de)),1,0))</f>
        <v>0</v>
      </c>
      <c r="BB434" s="96" t="str">
        <f>IF(BA434=1,COUNTIF($BA$6:BA434,1),"")</f>
        <v/>
      </c>
      <c r="BC434" s="96" t="str">
        <f>IF(AND(AU434&lt;&gt;"",OR(r_un="",r_un="(Todas)",G434=r_un),OR(r_de="",r_de="(Todos)",I434=r_de)),AU434,"")</f>
        <v/>
      </c>
      <c r="BD434" s="96" t="str">
        <f>IF(Z434=1,A434&amp;" | nº "&amp;IF(B434="","(sem número)",B434)&amp;" | "&amp;IF(G434="","(sem unidade)",G434),"")</f>
        <v/>
      </c>
      <c r="BE434" s="96" t="str">
        <f>IF(Z434=1,COUNTIF($Z$6:Z434,1),"")</f>
        <v/>
      </c>
      <c r="BF434" s="96" t="str">
        <f>IF(T434="","",IF(T434="RECEBIMENTO NÃO CONFIRMADO","Transp.: "&amp;H434&amp;" | Dest.: "&amp;I434,IF(OR(T434="CDF NÃO LOCALIZADO",T434="VÍNCULO INCOMPLETO",T434="CDF A CONFERIR"),"Dest.: "&amp;I434,"Gerador: "&amp;G434)))</f>
        <v/>
      </c>
    </row>
    <row r="435">
      <c r="A435" s="89" t="inlineStr">
        <is>
          <t>MTR-000430</t>
        </is>
      </c>
      <c r="B435" s="90" t="n"/>
      <c r="C435" s="91" t="n"/>
      <c r="D435" s="91" t="n"/>
      <c r="E435" s="92" t="n"/>
      <c r="F435" s="92" t="n"/>
      <c r="G435" s="91" t="n"/>
      <c r="H435" s="91" t="n"/>
      <c r="I435" s="91" t="n"/>
      <c r="J435" s="91" t="n"/>
      <c r="K435" s="91" t="n"/>
      <c r="L435" s="92" t="n"/>
      <c r="M435" s="91" t="n"/>
      <c r="N435" s="91" t="n"/>
      <c r="O435" s="91" t="n"/>
      <c r="P435" s="93" t="str">
        <f>IF(Z435=0,"",SUMIFS('ITENS_MTR'!$I$6:$I$1005,'ITENS_MTR'!$S$6:$S$1005,A435,'ITENS_MTR'!$Y$6:$Y$1005,1))</f>
        <v/>
      </c>
      <c r="Q435" s="93" t="str">
        <f>IF(Z435=0,"",SUMIFS('RECEBIMENTOS'!$H$6:$H$1005,'RECEBIMENTOS'!$B$6:$B$1005,A435,'RECEBIMENTOS'!$X$6:$X$1005,1))</f>
        <v/>
      </c>
      <c r="R435" s="93" t="str">
        <f>IF(Z435=0,"",SUMIFS('VÍNCULOS_CDF'!$H$6:$H$1005,'VÍNCULOS_CDF'!$D$6:$D$1005,A435,'VÍNCULOS_CDF'!$V$6:$V$1005,1))</f>
        <v/>
      </c>
      <c r="S435" s="94" t="str">
        <f>IF(Z435=0,"",IF(AA435=1,"Cancelado (informado)",IF(AE435=1,"Cadastro incompleto",IF(OR(AC435=1,AD435=1,AF435&gt;0,AH435&gt;0,AK435&gt;0,AL435&gt;0),"Informação a revisar",IF(AN435=0,"Aguardando recebimento",IF(N(R435)=0,"Aguardando CDF",IF(AJ435&lt;N(W435),"Vínculo de CDF parcial",IF(AO435=0,"CDF localizado, a conferir","Documentação conferida"))))))))</f>
        <v/>
      </c>
      <c r="T435" s="94" t="str">
        <f>IF(Z435=0,"",IF(S435="Cadastro incompleto","MTR INCOMPLETO",IF(S435="Informação a revisar",IF(AND(AH435&gt;0,AC435=0,AD435=0,AF435=0,AK435=0,AL435=0),"QUANTIDADE A REVISAR","IDENTIFICAÇÃO A REVISAR"),IF(S435="Aguardando recebimento","RECEBIMENTO NÃO CONFIRMADO",IF(S435="Aguardando CDF","CDF NÃO LOCALIZADO",IF(S435="Vínculo de CDF parcial","VÍNCULO INCOMPLETO",IF(S435="CDF localizado, a conferir","CDF A CONFERIR","")))))))</f>
        <v/>
      </c>
      <c r="U435" s="95" t="str">
        <f>IF(T435="","",IF(AQ435="","Não calculável",IF(AQ435&gt;TODAY(),"Data futura",TODAY()-AQ435)))</f>
        <v/>
      </c>
      <c r="V435" s="93" t="str">
        <f>IF(Z435=0,"",SUMIFS('RECEBIMENTOS'!$H$6:$H$1005,'RECEBIMENTOS'!$B$6:$B$1005,A435,'RECEBIMENTOS'!$Z$6:$Z$1005,1))</f>
        <v/>
      </c>
      <c r="W435" s="95" t="str">
        <f>IF(Z435=0,"",COUNTIFS('ITENS_MTR'!$S$6:$S$1005,A435,'ITENS_MTR'!$R$6:$R$1005,1))</f>
        <v/>
      </c>
      <c r="X435" s="94" t="str">
        <f>IF(AC435=1,"POSSÍVEL DUPLICIDADE","")</f>
        <v/>
      </c>
      <c r="Y435" s="94" t="str">
        <f>IF(Z435=0,"",IF(AW435="","Nenhuma",LEFT(AW435,LEN(AW435)-2)))</f>
        <v/>
      </c>
      <c r="Z435" s="96">
        <f>IF(COUNTA(B435:O435)&gt;0,1,0)</f>
        <v>0</v>
      </c>
      <c r="AA435" s="96">
        <f>IF(AND(Z435=1,K435&lt;&gt;""),IF(TRIM(K435)=TRIM(cfg_cancel),1,0),0)</f>
        <v>0</v>
      </c>
      <c r="AB435" s="96" t="str">
        <f>IF(AND(Z435=1,B435&lt;&gt;""),C435&amp;"|"&amp;D435&amp;"|"&amp;G435&amp;"|"&amp;TRIM(B435),"")</f>
        <v/>
      </c>
      <c r="AC435" s="96">
        <f>IF(AB435="",0,IF(SUMPRODUCT(--($AB$6:$AB$505=AB435))&gt;1,1,0))</f>
        <v>0</v>
      </c>
      <c r="AD435" s="96">
        <f>IF(Z435=0,0,IF(OR(AND(G435&lt;&gt;"",ISNA(MATCH(G435,'CAD_UNIDADES'!$C$6:$C$105,0))),AND(H435&lt;&gt;"",ISNA(MATCH(H435,cmp_transp,0))),AND(I435&lt;&gt;"",ISNA(MATCH(I435,cmp_dest,0))),AND(E435&lt;&gt;"",NOT(ISNUMBER(E435))),AND(F435&lt;&gt;"",NOT(ISNUMBER(F435))),AND(ISNUMBER(E435),ISNUMBER(F435),F435&lt;E435)),1,0))</f>
        <v>0</v>
      </c>
      <c r="AE435" s="96">
        <f>IF(Z435=0,0,IF(OR(B435="",C435="",E435="",G435="",H435="",I435="",N(W435)=0),1,0))</f>
        <v>0</v>
      </c>
      <c r="AF435" s="96">
        <f>IF(Z435=0,0,COUNTIFS('ITENS_MTR'!$S$6:$S$1005,A435,'ITENS_MTR'!$AI$6:$AI$1005,1))</f>
        <v>0</v>
      </c>
      <c r="AG435" s="96">
        <f>IF(Z435=0,0,COUNTIFS('ITENS_MTR'!$S$6:$S$1005,A435,'ITENS_MTR'!$AJ$6:$AJ$1005,1))</f>
        <v>0</v>
      </c>
      <c r="AH435" s="96">
        <f>IF(Z435=0,0,COUNTIFS('ITENS_MTR'!$S$6:$S$1005,A435,'ITENS_MTR'!$AM$6:$AM$1005,1))</f>
        <v>0</v>
      </c>
      <c r="AI435" s="96">
        <f>IF(Z435=0,0,COUNTIFS('ITENS_MTR'!$S$6:$S$1005,A435,'ITENS_MTR'!$AO$6:$AO$1005,1))</f>
        <v>0</v>
      </c>
      <c r="AJ435" s="96">
        <f>IF(Z435=0,0,COUNTIFS('ITENS_MTR'!$S$6:$S$1005,A435,'ITENS_MTR'!$AN$6:$AN$1005,1))</f>
        <v>0</v>
      </c>
      <c r="AK435" s="96">
        <f>IF(Z435=0,0,COUNTIFS('RECEBIMENTOS'!$B$6:$B$1005,A435,'RECEBIMENTOS'!$Y$6:$Y$1005,1))</f>
        <v>0</v>
      </c>
      <c r="AL435" s="96">
        <f>IF(Z435=0,0,COUNTIFS('VÍNCULOS_CDF'!$D$6:$D$1005,A435,'VÍNCULOS_CDF'!$Y$6:$Y$1005,1))</f>
        <v>0</v>
      </c>
      <c r="AM435" s="96">
        <f>IF(Z435=0,0,COUNTIFS('RECEBIMENTOS'!$B$6:$B$1005,A435,'RECEBIMENTOS'!$Q$6:$Q$1005,1))</f>
        <v>0</v>
      </c>
      <c r="AN435" s="96">
        <f>IF(AND(Z435=1,N(W435)&gt;0,AG435=N(W435)),1,0)</f>
        <v>0</v>
      </c>
      <c r="AO435" s="96">
        <f>IF(AND(Z435=1,N(W435)&gt;0,AI435=N(W435)),1,0)</f>
        <v>0</v>
      </c>
      <c r="AP435" s="97">
        <f>IF(Z435=0,0,_xlfn.MAXIFS('RECEBIMENTOS'!$E$6:$E$1005,'RECEBIMENTOS'!$B$6:$B$1005,A435))</f>
        <v>0</v>
      </c>
      <c r="AQ435" s="97" t="str">
        <f>IF(T435="","",IF(T435="RECEBIMENTO NÃO CONFIRMADO",IF(ISNUMBER(F435),F435,IF(ISNUMBER(E435),E435,"")),IF(OR(T435="CDF NÃO LOCALIZADO",T435="VÍNCULO INCOMPLETO",T435="CDF A CONFERIR"),IF(AP435&gt;0,AP435,IF(ISNUMBER(E435),E435,"")),IF(ISNUMBER(E435),E435,""))))</f>
        <v/>
      </c>
      <c r="AR435" s="96">
        <f>IF(NOT(ISNUMBER(U435)),0,IF(T435="RECEBIMENTO NÃO CONFIRMADO",IF(AND(ISNUMBER(cfg_rec),U435&gt;cfg_rec),1,0),IF(OR(T435="CDF NÃO LOCALIZADO",T435="VÍNCULO INCOMPLETO",T435="CDF A CONFERIR"),IF(AND(ISNUMBER(cfg_cdf),U435&gt;cfg_cdf),1,0),0)))</f>
        <v>0</v>
      </c>
      <c r="AS435" s="96" t="str">
        <f>IF(T435="","",IF(AR435=1,"Alta",IFERROR(INDEX(cfg_pp,MATCH(T435,cfg_pt,0))&amp;"","Média")))</f>
        <v/>
      </c>
      <c r="AT435" s="96" t="str">
        <f>IF(T435="","",IFERROR(INDEX(cfg_pv,MATCH(T435,cfg_pt,0))&amp;"",""))</f>
        <v/>
      </c>
      <c r="AU435" s="96" t="str">
        <f>IF(T435="","",IF(AS435="Alta",1,IF(AS435="Média",2,3))*1000000000+(999999-IF(ISNUMBER(U435),MIN(U435,999999),0))*1000+430)</f>
        <v/>
      </c>
      <c r="AV435" s="96">
        <f>IF(T435&lt;&gt;"",1,0)</f>
        <v>0</v>
      </c>
      <c r="AW435" s="96" t="str">
        <f>IF(Z435=0,"",IF(AA435=1,"Cancelamento informado; ","")&amp;IF(AE435=1,"Campos essenciais ou itens faltando; ","")&amp;IF(AC435=1,"Possível duplicidade do número; ","")&amp;IF(AD435=1,"Cadastro ou datas a revisar; ","")&amp;IF(AF435&gt;0,"Item de resíduo com dado a revisar; ","")&amp;IF(AH435&gt;0,"Diferença de quantidade a analisar; ","")&amp;IF(AK435&gt;0,"Recebimento com alerta; ","")&amp;IF(AL435&gt;0,"Vínculo de CDF com alerta; ","")&amp;IF(AND(AA435=0,AN435=0),"Recebimento não confirmado; ","")&amp;IF(AND(AA435=0,AN435=1,AO435=0),"CDF pendente ou a conferir; ",""))</f>
        <v/>
      </c>
      <c r="AX435" s="96">
        <f>IF(Z435=0,0,IF(AND(OR(f_ini="",AND(ISNUMBER(E435),E435&gt;=f_ini)),OR(f_fim="",AND(ISNUMBER(E435),E435&lt;=f_fim)),OR(f_un="",f_un="(Todas)",G435=f_un),OR(f_tr="",f_tr="(Todos)",H435=f_tr),OR(f_de="",f_de="(Todos)",I435=f_de),OR(f_sit="",f_sit="(Todas)",S435=f_sit)),1,0))</f>
        <v>0</v>
      </c>
      <c r="AY435" s="96">
        <f>IF(AX435=0,0,IF(OR(f_res="",f_res="(Todos)"),1,IF(COUNTIFS('ITENS_MTR'!$S$6:$S$1005,A435,'ITENS_MTR'!$C$6:$C$1005,f_res)&gt;0,1,0)))</f>
        <v>0</v>
      </c>
      <c r="AZ435" s="97" t="str">
        <f>IF(ISNUMBER(E435),DATE(YEAR(E435),MONTH(E435),1),"")</f>
        <v/>
      </c>
      <c r="BA435" s="96">
        <f>IF(Z435=0,0,IF(AND(OR(r_ini="",AND(ISNUMBER(E435),E435&gt;=r_ini)),OR(r_fim="",AND(ISNUMBER(E435),E435&lt;=r_fim)),OR(r_un="",r_un="(Todas)",G435=r_un),OR(r_de="",r_de="(Todos)",I435=r_de)),1,0))</f>
        <v>0</v>
      </c>
      <c r="BB435" s="96" t="str">
        <f>IF(BA435=1,COUNTIF($BA$6:BA435,1),"")</f>
        <v/>
      </c>
      <c r="BC435" s="96" t="str">
        <f>IF(AND(AU435&lt;&gt;"",OR(r_un="",r_un="(Todas)",G435=r_un),OR(r_de="",r_de="(Todos)",I435=r_de)),AU435,"")</f>
        <v/>
      </c>
      <c r="BD435" s="96" t="str">
        <f>IF(Z435=1,A435&amp;" | nº "&amp;IF(B435="","(sem número)",B435)&amp;" | "&amp;IF(G435="","(sem unidade)",G435),"")</f>
        <v/>
      </c>
      <c r="BE435" s="96" t="str">
        <f>IF(Z435=1,COUNTIF($Z$6:Z435,1),"")</f>
        <v/>
      </c>
      <c r="BF435" s="96" t="str">
        <f>IF(T435="","",IF(T435="RECEBIMENTO NÃO CONFIRMADO","Transp.: "&amp;H435&amp;" | Dest.: "&amp;I435,IF(OR(T435="CDF NÃO LOCALIZADO",T435="VÍNCULO INCOMPLETO",T435="CDF A CONFERIR"),"Dest.: "&amp;I435,"Gerador: "&amp;G435)))</f>
        <v/>
      </c>
    </row>
    <row r="436">
      <c r="A436" s="89" t="inlineStr">
        <is>
          <t>MTR-000431</t>
        </is>
      </c>
      <c r="B436" s="90" t="n"/>
      <c r="C436" s="91" t="n"/>
      <c r="D436" s="91" t="n"/>
      <c r="E436" s="92" t="n"/>
      <c r="F436" s="92" t="n"/>
      <c r="G436" s="91" t="n"/>
      <c r="H436" s="91" t="n"/>
      <c r="I436" s="91" t="n"/>
      <c r="J436" s="91" t="n"/>
      <c r="K436" s="91" t="n"/>
      <c r="L436" s="92" t="n"/>
      <c r="M436" s="91" t="n"/>
      <c r="N436" s="91" t="n"/>
      <c r="O436" s="91" t="n"/>
      <c r="P436" s="93" t="str">
        <f>IF(Z436=0,"",SUMIFS('ITENS_MTR'!$I$6:$I$1005,'ITENS_MTR'!$S$6:$S$1005,A436,'ITENS_MTR'!$Y$6:$Y$1005,1))</f>
        <v/>
      </c>
      <c r="Q436" s="93" t="str">
        <f>IF(Z436=0,"",SUMIFS('RECEBIMENTOS'!$H$6:$H$1005,'RECEBIMENTOS'!$B$6:$B$1005,A436,'RECEBIMENTOS'!$X$6:$X$1005,1))</f>
        <v/>
      </c>
      <c r="R436" s="93" t="str">
        <f>IF(Z436=0,"",SUMIFS('VÍNCULOS_CDF'!$H$6:$H$1005,'VÍNCULOS_CDF'!$D$6:$D$1005,A436,'VÍNCULOS_CDF'!$V$6:$V$1005,1))</f>
        <v/>
      </c>
      <c r="S436" s="94" t="str">
        <f>IF(Z436=0,"",IF(AA436=1,"Cancelado (informado)",IF(AE436=1,"Cadastro incompleto",IF(OR(AC436=1,AD436=1,AF436&gt;0,AH436&gt;0,AK436&gt;0,AL436&gt;0),"Informação a revisar",IF(AN436=0,"Aguardando recebimento",IF(N(R436)=0,"Aguardando CDF",IF(AJ436&lt;N(W436),"Vínculo de CDF parcial",IF(AO436=0,"CDF localizado, a conferir","Documentação conferida"))))))))</f>
        <v/>
      </c>
      <c r="T436" s="94" t="str">
        <f>IF(Z436=0,"",IF(S436="Cadastro incompleto","MTR INCOMPLETO",IF(S436="Informação a revisar",IF(AND(AH436&gt;0,AC436=0,AD436=0,AF436=0,AK436=0,AL436=0),"QUANTIDADE A REVISAR","IDENTIFICAÇÃO A REVISAR"),IF(S436="Aguardando recebimento","RECEBIMENTO NÃO CONFIRMADO",IF(S436="Aguardando CDF","CDF NÃO LOCALIZADO",IF(S436="Vínculo de CDF parcial","VÍNCULO INCOMPLETO",IF(S436="CDF localizado, a conferir","CDF A CONFERIR","")))))))</f>
        <v/>
      </c>
      <c r="U436" s="95" t="str">
        <f>IF(T436="","",IF(AQ436="","Não calculável",IF(AQ436&gt;TODAY(),"Data futura",TODAY()-AQ436)))</f>
        <v/>
      </c>
      <c r="V436" s="93" t="str">
        <f>IF(Z436=0,"",SUMIFS('RECEBIMENTOS'!$H$6:$H$1005,'RECEBIMENTOS'!$B$6:$B$1005,A436,'RECEBIMENTOS'!$Z$6:$Z$1005,1))</f>
        <v/>
      </c>
      <c r="W436" s="95" t="str">
        <f>IF(Z436=0,"",COUNTIFS('ITENS_MTR'!$S$6:$S$1005,A436,'ITENS_MTR'!$R$6:$R$1005,1))</f>
        <v/>
      </c>
      <c r="X436" s="94" t="str">
        <f>IF(AC436=1,"POSSÍVEL DUPLICIDADE","")</f>
        <v/>
      </c>
      <c r="Y436" s="94" t="str">
        <f>IF(Z436=0,"",IF(AW436="","Nenhuma",LEFT(AW436,LEN(AW436)-2)))</f>
        <v/>
      </c>
      <c r="Z436" s="96">
        <f>IF(COUNTA(B436:O436)&gt;0,1,0)</f>
        <v>0</v>
      </c>
      <c r="AA436" s="96">
        <f>IF(AND(Z436=1,K436&lt;&gt;""),IF(TRIM(K436)=TRIM(cfg_cancel),1,0),0)</f>
        <v>0</v>
      </c>
      <c r="AB436" s="96" t="str">
        <f>IF(AND(Z436=1,B436&lt;&gt;""),C436&amp;"|"&amp;D436&amp;"|"&amp;G436&amp;"|"&amp;TRIM(B436),"")</f>
        <v/>
      </c>
      <c r="AC436" s="96">
        <f>IF(AB436="",0,IF(SUMPRODUCT(--($AB$6:$AB$505=AB436))&gt;1,1,0))</f>
        <v>0</v>
      </c>
      <c r="AD436" s="96">
        <f>IF(Z436=0,0,IF(OR(AND(G436&lt;&gt;"",ISNA(MATCH(G436,'CAD_UNIDADES'!$C$6:$C$105,0))),AND(H436&lt;&gt;"",ISNA(MATCH(H436,cmp_transp,0))),AND(I436&lt;&gt;"",ISNA(MATCH(I436,cmp_dest,0))),AND(E436&lt;&gt;"",NOT(ISNUMBER(E436))),AND(F436&lt;&gt;"",NOT(ISNUMBER(F436))),AND(ISNUMBER(E436),ISNUMBER(F436),F436&lt;E436)),1,0))</f>
        <v>0</v>
      </c>
      <c r="AE436" s="96">
        <f>IF(Z436=0,0,IF(OR(B436="",C436="",E436="",G436="",H436="",I436="",N(W436)=0),1,0))</f>
        <v>0</v>
      </c>
      <c r="AF436" s="96">
        <f>IF(Z436=0,0,COUNTIFS('ITENS_MTR'!$S$6:$S$1005,A436,'ITENS_MTR'!$AI$6:$AI$1005,1))</f>
        <v>0</v>
      </c>
      <c r="AG436" s="96">
        <f>IF(Z436=0,0,COUNTIFS('ITENS_MTR'!$S$6:$S$1005,A436,'ITENS_MTR'!$AJ$6:$AJ$1005,1))</f>
        <v>0</v>
      </c>
      <c r="AH436" s="96">
        <f>IF(Z436=0,0,COUNTIFS('ITENS_MTR'!$S$6:$S$1005,A436,'ITENS_MTR'!$AM$6:$AM$1005,1))</f>
        <v>0</v>
      </c>
      <c r="AI436" s="96">
        <f>IF(Z436=0,0,COUNTIFS('ITENS_MTR'!$S$6:$S$1005,A436,'ITENS_MTR'!$AO$6:$AO$1005,1))</f>
        <v>0</v>
      </c>
      <c r="AJ436" s="96">
        <f>IF(Z436=0,0,COUNTIFS('ITENS_MTR'!$S$6:$S$1005,A436,'ITENS_MTR'!$AN$6:$AN$1005,1))</f>
        <v>0</v>
      </c>
      <c r="AK436" s="96">
        <f>IF(Z436=0,0,COUNTIFS('RECEBIMENTOS'!$B$6:$B$1005,A436,'RECEBIMENTOS'!$Y$6:$Y$1005,1))</f>
        <v>0</v>
      </c>
      <c r="AL436" s="96">
        <f>IF(Z436=0,0,COUNTIFS('VÍNCULOS_CDF'!$D$6:$D$1005,A436,'VÍNCULOS_CDF'!$Y$6:$Y$1005,1))</f>
        <v>0</v>
      </c>
      <c r="AM436" s="96">
        <f>IF(Z436=0,0,COUNTIFS('RECEBIMENTOS'!$B$6:$B$1005,A436,'RECEBIMENTOS'!$Q$6:$Q$1005,1))</f>
        <v>0</v>
      </c>
      <c r="AN436" s="96">
        <f>IF(AND(Z436=1,N(W436)&gt;0,AG436=N(W436)),1,0)</f>
        <v>0</v>
      </c>
      <c r="AO436" s="96">
        <f>IF(AND(Z436=1,N(W436)&gt;0,AI436=N(W436)),1,0)</f>
        <v>0</v>
      </c>
      <c r="AP436" s="97">
        <f>IF(Z436=0,0,_xlfn.MAXIFS('RECEBIMENTOS'!$E$6:$E$1005,'RECEBIMENTOS'!$B$6:$B$1005,A436))</f>
        <v>0</v>
      </c>
      <c r="AQ436" s="97" t="str">
        <f>IF(T436="","",IF(T436="RECEBIMENTO NÃO CONFIRMADO",IF(ISNUMBER(F436),F436,IF(ISNUMBER(E436),E436,"")),IF(OR(T436="CDF NÃO LOCALIZADO",T436="VÍNCULO INCOMPLETO",T436="CDF A CONFERIR"),IF(AP436&gt;0,AP436,IF(ISNUMBER(E436),E436,"")),IF(ISNUMBER(E436),E436,""))))</f>
        <v/>
      </c>
      <c r="AR436" s="96">
        <f>IF(NOT(ISNUMBER(U436)),0,IF(T436="RECEBIMENTO NÃO CONFIRMADO",IF(AND(ISNUMBER(cfg_rec),U436&gt;cfg_rec),1,0),IF(OR(T436="CDF NÃO LOCALIZADO",T436="VÍNCULO INCOMPLETO",T436="CDF A CONFERIR"),IF(AND(ISNUMBER(cfg_cdf),U436&gt;cfg_cdf),1,0),0)))</f>
        <v>0</v>
      </c>
      <c r="AS436" s="96" t="str">
        <f>IF(T436="","",IF(AR436=1,"Alta",IFERROR(INDEX(cfg_pp,MATCH(T436,cfg_pt,0))&amp;"","Média")))</f>
        <v/>
      </c>
      <c r="AT436" s="96" t="str">
        <f>IF(T436="","",IFERROR(INDEX(cfg_pv,MATCH(T436,cfg_pt,0))&amp;"",""))</f>
        <v/>
      </c>
      <c r="AU436" s="96" t="str">
        <f>IF(T436="","",IF(AS436="Alta",1,IF(AS436="Média",2,3))*1000000000+(999999-IF(ISNUMBER(U436),MIN(U436,999999),0))*1000+431)</f>
        <v/>
      </c>
      <c r="AV436" s="96">
        <f>IF(T436&lt;&gt;"",1,0)</f>
        <v>0</v>
      </c>
      <c r="AW436" s="96" t="str">
        <f>IF(Z436=0,"",IF(AA436=1,"Cancelamento informado; ","")&amp;IF(AE436=1,"Campos essenciais ou itens faltando; ","")&amp;IF(AC436=1,"Possível duplicidade do número; ","")&amp;IF(AD436=1,"Cadastro ou datas a revisar; ","")&amp;IF(AF436&gt;0,"Item de resíduo com dado a revisar; ","")&amp;IF(AH436&gt;0,"Diferença de quantidade a analisar; ","")&amp;IF(AK436&gt;0,"Recebimento com alerta; ","")&amp;IF(AL436&gt;0,"Vínculo de CDF com alerta; ","")&amp;IF(AND(AA436=0,AN436=0),"Recebimento não confirmado; ","")&amp;IF(AND(AA436=0,AN436=1,AO436=0),"CDF pendente ou a conferir; ",""))</f>
        <v/>
      </c>
      <c r="AX436" s="96">
        <f>IF(Z436=0,0,IF(AND(OR(f_ini="",AND(ISNUMBER(E436),E436&gt;=f_ini)),OR(f_fim="",AND(ISNUMBER(E436),E436&lt;=f_fim)),OR(f_un="",f_un="(Todas)",G436=f_un),OR(f_tr="",f_tr="(Todos)",H436=f_tr),OR(f_de="",f_de="(Todos)",I436=f_de),OR(f_sit="",f_sit="(Todas)",S436=f_sit)),1,0))</f>
        <v>0</v>
      </c>
      <c r="AY436" s="96">
        <f>IF(AX436=0,0,IF(OR(f_res="",f_res="(Todos)"),1,IF(COUNTIFS('ITENS_MTR'!$S$6:$S$1005,A436,'ITENS_MTR'!$C$6:$C$1005,f_res)&gt;0,1,0)))</f>
        <v>0</v>
      </c>
      <c r="AZ436" s="97" t="str">
        <f>IF(ISNUMBER(E436),DATE(YEAR(E436),MONTH(E436),1),"")</f>
        <v/>
      </c>
      <c r="BA436" s="96">
        <f>IF(Z436=0,0,IF(AND(OR(r_ini="",AND(ISNUMBER(E436),E436&gt;=r_ini)),OR(r_fim="",AND(ISNUMBER(E436),E436&lt;=r_fim)),OR(r_un="",r_un="(Todas)",G436=r_un),OR(r_de="",r_de="(Todos)",I436=r_de)),1,0))</f>
        <v>0</v>
      </c>
      <c r="BB436" s="96" t="str">
        <f>IF(BA436=1,COUNTIF($BA$6:BA436,1),"")</f>
        <v/>
      </c>
      <c r="BC436" s="96" t="str">
        <f>IF(AND(AU436&lt;&gt;"",OR(r_un="",r_un="(Todas)",G436=r_un),OR(r_de="",r_de="(Todos)",I436=r_de)),AU436,"")</f>
        <v/>
      </c>
      <c r="BD436" s="96" t="str">
        <f>IF(Z436=1,A436&amp;" | nº "&amp;IF(B436="","(sem número)",B436)&amp;" | "&amp;IF(G436="","(sem unidade)",G436),"")</f>
        <v/>
      </c>
      <c r="BE436" s="96" t="str">
        <f>IF(Z436=1,COUNTIF($Z$6:Z436,1),"")</f>
        <v/>
      </c>
      <c r="BF436" s="96" t="str">
        <f>IF(T436="","",IF(T436="RECEBIMENTO NÃO CONFIRMADO","Transp.: "&amp;H436&amp;" | Dest.: "&amp;I436,IF(OR(T436="CDF NÃO LOCALIZADO",T436="VÍNCULO INCOMPLETO",T436="CDF A CONFERIR"),"Dest.: "&amp;I436,"Gerador: "&amp;G436)))</f>
        <v/>
      </c>
    </row>
    <row r="437">
      <c r="A437" s="89" t="inlineStr">
        <is>
          <t>MTR-000432</t>
        </is>
      </c>
      <c r="B437" s="90" t="n"/>
      <c r="C437" s="91" t="n"/>
      <c r="D437" s="91" t="n"/>
      <c r="E437" s="92" t="n"/>
      <c r="F437" s="92" t="n"/>
      <c r="G437" s="91" t="n"/>
      <c r="H437" s="91" t="n"/>
      <c r="I437" s="91" t="n"/>
      <c r="J437" s="91" t="n"/>
      <c r="K437" s="91" t="n"/>
      <c r="L437" s="92" t="n"/>
      <c r="M437" s="91" t="n"/>
      <c r="N437" s="91" t="n"/>
      <c r="O437" s="91" t="n"/>
      <c r="P437" s="93" t="str">
        <f>IF(Z437=0,"",SUMIFS('ITENS_MTR'!$I$6:$I$1005,'ITENS_MTR'!$S$6:$S$1005,A437,'ITENS_MTR'!$Y$6:$Y$1005,1))</f>
        <v/>
      </c>
      <c r="Q437" s="93" t="str">
        <f>IF(Z437=0,"",SUMIFS('RECEBIMENTOS'!$H$6:$H$1005,'RECEBIMENTOS'!$B$6:$B$1005,A437,'RECEBIMENTOS'!$X$6:$X$1005,1))</f>
        <v/>
      </c>
      <c r="R437" s="93" t="str">
        <f>IF(Z437=0,"",SUMIFS('VÍNCULOS_CDF'!$H$6:$H$1005,'VÍNCULOS_CDF'!$D$6:$D$1005,A437,'VÍNCULOS_CDF'!$V$6:$V$1005,1))</f>
        <v/>
      </c>
      <c r="S437" s="94" t="str">
        <f>IF(Z437=0,"",IF(AA437=1,"Cancelado (informado)",IF(AE437=1,"Cadastro incompleto",IF(OR(AC437=1,AD437=1,AF437&gt;0,AH437&gt;0,AK437&gt;0,AL437&gt;0),"Informação a revisar",IF(AN437=0,"Aguardando recebimento",IF(N(R437)=0,"Aguardando CDF",IF(AJ437&lt;N(W437),"Vínculo de CDF parcial",IF(AO437=0,"CDF localizado, a conferir","Documentação conferida"))))))))</f>
        <v/>
      </c>
      <c r="T437" s="94" t="str">
        <f>IF(Z437=0,"",IF(S437="Cadastro incompleto","MTR INCOMPLETO",IF(S437="Informação a revisar",IF(AND(AH437&gt;0,AC437=0,AD437=0,AF437=0,AK437=0,AL437=0),"QUANTIDADE A REVISAR","IDENTIFICAÇÃO A REVISAR"),IF(S437="Aguardando recebimento","RECEBIMENTO NÃO CONFIRMADO",IF(S437="Aguardando CDF","CDF NÃO LOCALIZADO",IF(S437="Vínculo de CDF parcial","VÍNCULO INCOMPLETO",IF(S437="CDF localizado, a conferir","CDF A CONFERIR","")))))))</f>
        <v/>
      </c>
      <c r="U437" s="95" t="str">
        <f>IF(T437="","",IF(AQ437="","Não calculável",IF(AQ437&gt;TODAY(),"Data futura",TODAY()-AQ437)))</f>
        <v/>
      </c>
      <c r="V437" s="93" t="str">
        <f>IF(Z437=0,"",SUMIFS('RECEBIMENTOS'!$H$6:$H$1005,'RECEBIMENTOS'!$B$6:$B$1005,A437,'RECEBIMENTOS'!$Z$6:$Z$1005,1))</f>
        <v/>
      </c>
      <c r="W437" s="95" t="str">
        <f>IF(Z437=0,"",COUNTIFS('ITENS_MTR'!$S$6:$S$1005,A437,'ITENS_MTR'!$R$6:$R$1005,1))</f>
        <v/>
      </c>
      <c r="X437" s="94" t="str">
        <f>IF(AC437=1,"POSSÍVEL DUPLICIDADE","")</f>
        <v/>
      </c>
      <c r="Y437" s="94" t="str">
        <f>IF(Z437=0,"",IF(AW437="","Nenhuma",LEFT(AW437,LEN(AW437)-2)))</f>
        <v/>
      </c>
      <c r="Z437" s="96">
        <f>IF(COUNTA(B437:O437)&gt;0,1,0)</f>
        <v>0</v>
      </c>
      <c r="AA437" s="96">
        <f>IF(AND(Z437=1,K437&lt;&gt;""),IF(TRIM(K437)=TRIM(cfg_cancel),1,0),0)</f>
        <v>0</v>
      </c>
      <c r="AB437" s="96" t="str">
        <f>IF(AND(Z437=1,B437&lt;&gt;""),C437&amp;"|"&amp;D437&amp;"|"&amp;G437&amp;"|"&amp;TRIM(B437),"")</f>
        <v/>
      </c>
      <c r="AC437" s="96">
        <f>IF(AB437="",0,IF(SUMPRODUCT(--($AB$6:$AB$505=AB437))&gt;1,1,0))</f>
        <v>0</v>
      </c>
      <c r="AD437" s="96">
        <f>IF(Z437=0,0,IF(OR(AND(G437&lt;&gt;"",ISNA(MATCH(G437,'CAD_UNIDADES'!$C$6:$C$105,0))),AND(H437&lt;&gt;"",ISNA(MATCH(H437,cmp_transp,0))),AND(I437&lt;&gt;"",ISNA(MATCH(I437,cmp_dest,0))),AND(E437&lt;&gt;"",NOT(ISNUMBER(E437))),AND(F437&lt;&gt;"",NOT(ISNUMBER(F437))),AND(ISNUMBER(E437),ISNUMBER(F437),F437&lt;E437)),1,0))</f>
        <v>0</v>
      </c>
      <c r="AE437" s="96">
        <f>IF(Z437=0,0,IF(OR(B437="",C437="",E437="",G437="",H437="",I437="",N(W437)=0),1,0))</f>
        <v>0</v>
      </c>
      <c r="AF437" s="96">
        <f>IF(Z437=0,0,COUNTIFS('ITENS_MTR'!$S$6:$S$1005,A437,'ITENS_MTR'!$AI$6:$AI$1005,1))</f>
        <v>0</v>
      </c>
      <c r="AG437" s="96">
        <f>IF(Z437=0,0,COUNTIFS('ITENS_MTR'!$S$6:$S$1005,A437,'ITENS_MTR'!$AJ$6:$AJ$1005,1))</f>
        <v>0</v>
      </c>
      <c r="AH437" s="96">
        <f>IF(Z437=0,0,COUNTIFS('ITENS_MTR'!$S$6:$S$1005,A437,'ITENS_MTR'!$AM$6:$AM$1005,1))</f>
        <v>0</v>
      </c>
      <c r="AI437" s="96">
        <f>IF(Z437=0,0,COUNTIFS('ITENS_MTR'!$S$6:$S$1005,A437,'ITENS_MTR'!$AO$6:$AO$1005,1))</f>
        <v>0</v>
      </c>
      <c r="AJ437" s="96">
        <f>IF(Z437=0,0,COUNTIFS('ITENS_MTR'!$S$6:$S$1005,A437,'ITENS_MTR'!$AN$6:$AN$1005,1))</f>
        <v>0</v>
      </c>
      <c r="AK437" s="96">
        <f>IF(Z437=0,0,COUNTIFS('RECEBIMENTOS'!$B$6:$B$1005,A437,'RECEBIMENTOS'!$Y$6:$Y$1005,1))</f>
        <v>0</v>
      </c>
      <c r="AL437" s="96">
        <f>IF(Z437=0,0,COUNTIFS('VÍNCULOS_CDF'!$D$6:$D$1005,A437,'VÍNCULOS_CDF'!$Y$6:$Y$1005,1))</f>
        <v>0</v>
      </c>
      <c r="AM437" s="96">
        <f>IF(Z437=0,0,COUNTIFS('RECEBIMENTOS'!$B$6:$B$1005,A437,'RECEBIMENTOS'!$Q$6:$Q$1005,1))</f>
        <v>0</v>
      </c>
      <c r="AN437" s="96">
        <f>IF(AND(Z437=1,N(W437)&gt;0,AG437=N(W437)),1,0)</f>
        <v>0</v>
      </c>
      <c r="AO437" s="96">
        <f>IF(AND(Z437=1,N(W437)&gt;0,AI437=N(W437)),1,0)</f>
        <v>0</v>
      </c>
      <c r="AP437" s="97">
        <f>IF(Z437=0,0,_xlfn.MAXIFS('RECEBIMENTOS'!$E$6:$E$1005,'RECEBIMENTOS'!$B$6:$B$1005,A437))</f>
        <v>0</v>
      </c>
      <c r="AQ437" s="97" t="str">
        <f>IF(T437="","",IF(T437="RECEBIMENTO NÃO CONFIRMADO",IF(ISNUMBER(F437),F437,IF(ISNUMBER(E437),E437,"")),IF(OR(T437="CDF NÃO LOCALIZADO",T437="VÍNCULO INCOMPLETO",T437="CDF A CONFERIR"),IF(AP437&gt;0,AP437,IF(ISNUMBER(E437),E437,"")),IF(ISNUMBER(E437),E437,""))))</f>
        <v/>
      </c>
      <c r="AR437" s="96">
        <f>IF(NOT(ISNUMBER(U437)),0,IF(T437="RECEBIMENTO NÃO CONFIRMADO",IF(AND(ISNUMBER(cfg_rec),U437&gt;cfg_rec),1,0),IF(OR(T437="CDF NÃO LOCALIZADO",T437="VÍNCULO INCOMPLETO",T437="CDF A CONFERIR"),IF(AND(ISNUMBER(cfg_cdf),U437&gt;cfg_cdf),1,0),0)))</f>
        <v>0</v>
      </c>
      <c r="AS437" s="96" t="str">
        <f>IF(T437="","",IF(AR437=1,"Alta",IFERROR(INDEX(cfg_pp,MATCH(T437,cfg_pt,0))&amp;"","Média")))</f>
        <v/>
      </c>
      <c r="AT437" s="96" t="str">
        <f>IF(T437="","",IFERROR(INDEX(cfg_pv,MATCH(T437,cfg_pt,0))&amp;"",""))</f>
        <v/>
      </c>
      <c r="AU437" s="96" t="str">
        <f>IF(T437="","",IF(AS437="Alta",1,IF(AS437="Média",2,3))*1000000000+(999999-IF(ISNUMBER(U437),MIN(U437,999999),0))*1000+432)</f>
        <v/>
      </c>
      <c r="AV437" s="96">
        <f>IF(T437&lt;&gt;"",1,0)</f>
        <v>0</v>
      </c>
      <c r="AW437" s="96" t="str">
        <f>IF(Z437=0,"",IF(AA437=1,"Cancelamento informado; ","")&amp;IF(AE437=1,"Campos essenciais ou itens faltando; ","")&amp;IF(AC437=1,"Possível duplicidade do número; ","")&amp;IF(AD437=1,"Cadastro ou datas a revisar; ","")&amp;IF(AF437&gt;0,"Item de resíduo com dado a revisar; ","")&amp;IF(AH437&gt;0,"Diferença de quantidade a analisar; ","")&amp;IF(AK437&gt;0,"Recebimento com alerta; ","")&amp;IF(AL437&gt;0,"Vínculo de CDF com alerta; ","")&amp;IF(AND(AA437=0,AN437=0),"Recebimento não confirmado; ","")&amp;IF(AND(AA437=0,AN437=1,AO437=0),"CDF pendente ou a conferir; ",""))</f>
        <v/>
      </c>
      <c r="AX437" s="96">
        <f>IF(Z437=0,0,IF(AND(OR(f_ini="",AND(ISNUMBER(E437),E437&gt;=f_ini)),OR(f_fim="",AND(ISNUMBER(E437),E437&lt;=f_fim)),OR(f_un="",f_un="(Todas)",G437=f_un),OR(f_tr="",f_tr="(Todos)",H437=f_tr),OR(f_de="",f_de="(Todos)",I437=f_de),OR(f_sit="",f_sit="(Todas)",S437=f_sit)),1,0))</f>
        <v>0</v>
      </c>
      <c r="AY437" s="96">
        <f>IF(AX437=0,0,IF(OR(f_res="",f_res="(Todos)"),1,IF(COUNTIFS('ITENS_MTR'!$S$6:$S$1005,A437,'ITENS_MTR'!$C$6:$C$1005,f_res)&gt;0,1,0)))</f>
        <v>0</v>
      </c>
      <c r="AZ437" s="97" t="str">
        <f>IF(ISNUMBER(E437),DATE(YEAR(E437),MONTH(E437),1),"")</f>
        <v/>
      </c>
      <c r="BA437" s="96">
        <f>IF(Z437=0,0,IF(AND(OR(r_ini="",AND(ISNUMBER(E437),E437&gt;=r_ini)),OR(r_fim="",AND(ISNUMBER(E437),E437&lt;=r_fim)),OR(r_un="",r_un="(Todas)",G437=r_un),OR(r_de="",r_de="(Todos)",I437=r_de)),1,0))</f>
        <v>0</v>
      </c>
      <c r="BB437" s="96" t="str">
        <f>IF(BA437=1,COUNTIF($BA$6:BA437,1),"")</f>
        <v/>
      </c>
      <c r="BC437" s="96" t="str">
        <f>IF(AND(AU437&lt;&gt;"",OR(r_un="",r_un="(Todas)",G437=r_un),OR(r_de="",r_de="(Todos)",I437=r_de)),AU437,"")</f>
        <v/>
      </c>
      <c r="BD437" s="96" t="str">
        <f>IF(Z437=1,A437&amp;" | nº "&amp;IF(B437="","(sem número)",B437)&amp;" | "&amp;IF(G437="","(sem unidade)",G437),"")</f>
        <v/>
      </c>
      <c r="BE437" s="96" t="str">
        <f>IF(Z437=1,COUNTIF($Z$6:Z437,1),"")</f>
        <v/>
      </c>
      <c r="BF437" s="96" t="str">
        <f>IF(T437="","",IF(T437="RECEBIMENTO NÃO CONFIRMADO","Transp.: "&amp;H437&amp;" | Dest.: "&amp;I437,IF(OR(T437="CDF NÃO LOCALIZADO",T437="VÍNCULO INCOMPLETO",T437="CDF A CONFERIR"),"Dest.: "&amp;I437,"Gerador: "&amp;G437)))</f>
        <v/>
      </c>
    </row>
    <row r="438">
      <c r="A438" s="89" t="inlineStr">
        <is>
          <t>MTR-000433</t>
        </is>
      </c>
      <c r="B438" s="90" t="n"/>
      <c r="C438" s="91" t="n"/>
      <c r="D438" s="91" t="n"/>
      <c r="E438" s="92" t="n"/>
      <c r="F438" s="92" t="n"/>
      <c r="G438" s="91" t="n"/>
      <c r="H438" s="91" t="n"/>
      <c r="I438" s="91" t="n"/>
      <c r="J438" s="91" t="n"/>
      <c r="K438" s="91" t="n"/>
      <c r="L438" s="92" t="n"/>
      <c r="M438" s="91" t="n"/>
      <c r="N438" s="91" t="n"/>
      <c r="O438" s="91" t="n"/>
      <c r="P438" s="93" t="str">
        <f>IF(Z438=0,"",SUMIFS('ITENS_MTR'!$I$6:$I$1005,'ITENS_MTR'!$S$6:$S$1005,A438,'ITENS_MTR'!$Y$6:$Y$1005,1))</f>
        <v/>
      </c>
      <c r="Q438" s="93" t="str">
        <f>IF(Z438=0,"",SUMIFS('RECEBIMENTOS'!$H$6:$H$1005,'RECEBIMENTOS'!$B$6:$B$1005,A438,'RECEBIMENTOS'!$X$6:$X$1005,1))</f>
        <v/>
      </c>
      <c r="R438" s="93" t="str">
        <f>IF(Z438=0,"",SUMIFS('VÍNCULOS_CDF'!$H$6:$H$1005,'VÍNCULOS_CDF'!$D$6:$D$1005,A438,'VÍNCULOS_CDF'!$V$6:$V$1005,1))</f>
        <v/>
      </c>
      <c r="S438" s="94" t="str">
        <f>IF(Z438=0,"",IF(AA438=1,"Cancelado (informado)",IF(AE438=1,"Cadastro incompleto",IF(OR(AC438=1,AD438=1,AF438&gt;0,AH438&gt;0,AK438&gt;0,AL438&gt;0),"Informação a revisar",IF(AN438=0,"Aguardando recebimento",IF(N(R438)=0,"Aguardando CDF",IF(AJ438&lt;N(W438),"Vínculo de CDF parcial",IF(AO438=0,"CDF localizado, a conferir","Documentação conferida"))))))))</f>
        <v/>
      </c>
      <c r="T438" s="94" t="str">
        <f>IF(Z438=0,"",IF(S438="Cadastro incompleto","MTR INCOMPLETO",IF(S438="Informação a revisar",IF(AND(AH438&gt;0,AC438=0,AD438=0,AF438=0,AK438=0,AL438=0),"QUANTIDADE A REVISAR","IDENTIFICAÇÃO A REVISAR"),IF(S438="Aguardando recebimento","RECEBIMENTO NÃO CONFIRMADO",IF(S438="Aguardando CDF","CDF NÃO LOCALIZADO",IF(S438="Vínculo de CDF parcial","VÍNCULO INCOMPLETO",IF(S438="CDF localizado, a conferir","CDF A CONFERIR","")))))))</f>
        <v/>
      </c>
      <c r="U438" s="95" t="str">
        <f>IF(T438="","",IF(AQ438="","Não calculável",IF(AQ438&gt;TODAY(),"Data futura",TODAY()-AQ438)))</f>
        <v/>
      </c>
      <c r="V438" s="93" t="str">
        <f>IF(Z438=0,"",SUMIFS('RECEBIMENTOS'!$H$6:$H$1005,'RECEBIMENTOS'!$B$6:$B$1005,A438,'RECEBIMENTOS'!$Z$6:$Z$1005,1))</f>
        <v/>
      </c>
      <c r="W438" s="95" t="str">
        <f>IF(Z438=0,"",COUNTIFS('ITENS_MTR'!$S$6:$S$1005,A438,'ITENS_MTR'!$R$6:$R$1005,1))</f>
        <v/>
      </c>
      <c r="X438" s="94" t="str">
        <f>IF(AC438=1,"POSSÍVEL DUPLICIDADE","")</f>
        <v/>
      </c>
      <c r="Y438" s="94" t="str">
        <f>IF(Z438=0,"",IF(AW438="","Nenhuma",LEFT(AW438,LEN(AW438)-2)))</f>
        <v/>
      </c>
      <c r="Z438" s="96">
        <f>IF(COUNTA(B438:O438)&gt;0,1,0)</f>
        <v>0</v>
      </c>
      <c r="AA438" s="96">
        <f>IF(AND(Z438=1,K438&lt;&gt;""),IF(TRIM(K438)=TRIM(cfg_cancel),1,0),0)</f>
        <v>0</v>
      </c>
      <c r="AB438" s="96" t="str">
        <f>IF(AND(Z438=1,B438&lt;&gt;""),C438&amp;"|"&amp;D438&amp;"|"&amp;G438&amp;"|"&amp;TRIM(B438),"")</f>
        <v/>
      </c>
      <c r="AC438" s="96">
        <f>IF(AB438="",0,IF(SUMPRODUCT(--($AB$6:$AB$505=AB438))&gt;1,1,0))</f>
        <v>0</v>
      </c>
      <c r="AD438" s="96">
        <f>IF(Z438=0,0,IF(OR(AND(G438&lt;&gt;"",ISNA(MATCH(G438,'CAD_UNIDADES'!$C$6:$C$105,0))),AND(H438&lt;&gt;"",ISNA(MATCH(H438,cmp_transp,0))),AND(I438&lt;&gt;"",ISNA(MATCH(I438,cmp_dest,0))),AND(E438&lt;&gt;"",NOT(ISNUMBER(E438))),AND(F438&lt;&gt;"",NOT(ISNUMBER(F438))),AND(ISNUMBER(E438),ISNUMBER(F438),F438&lt;E438)),1,0))</f>
        <v>0</v>
      </c>
      <c r="AE438" s="96">
        <f>IF(Z438=0,0,IF(OR(B438="",C438="",E438="",G438="",H438="",I438="",N(W438)=0),1,0))</f>
        <v>0</v>
      </c>
      <c r="AF438" s="96">
        <f>IF(Z438=0,0,COUNTIFS('ITENS_MTR'!$S$6:$S$1005,A438,'ITENS_MTR'!$AI$6:$AI$1005,1))</f>
        <v>0</v>
      </c>
      <c r="AG438" s="96">
        <f>IF(Z438=0,0,COUNTIFS('ITENS_MTR'!$S$6:$S$1005,A438,'ITENS_MTR'!$AJ$6:$AJ$1005,1))</f>
        <v>0</v>
      </c>
      <c r="AH438" s="96">
        <f>IF(Z438=0,0,COUNTIFS('ITENS_MTR'!$S$6:$S$1005,A438,'ITENS_MTR'!$AM$6:$AM$1005,1))</f>
        <v>0</v>
      </c>
      <c r="AI438" s="96">
        <f>IF(Z438=0,0,COUNTIFS('ITENS_MTR'!$S$6:$S$1005,A438,'ITENS_MTR'!$AO$6:$AO$1005,1))</f>
        <v>0</v>
      </c>
      <c r="AJ438" s="96">
        <f>IF(Z438=0,0,COUNTIFS('ITENS_MTR'!$S$6:$S$1005,A438,'ITENS_MTR'!$AN$6:$AN$1005,1))</f>
        <v>0</v>
      </c>
      <c r="AK438" s="96">
        <f>IF(Z438=0,0,COUNTIFS('RECEBIMENTOS'!$B$6:$B$1005,A438,'RECEBIMENTOS'!$Y$6:$Y$1005,1))</f>
        <v>0</v>
      </c>
      <c r="AL438" s="96">
        <f>IF(Z438=0,0,COUNTIFS('VÍNCULOS_CDF'!$D$6:$D$1005,A438,'VÍNCULOS_CDF'!$Y$6:$Y$1005,1))</f>
        <v>0</v>
      </c>
      <c r="AM438" s="96">
        <f>IF(Z438=0,0,COUNTIFS('RECEBIMENTOS'!$B$6:$B$1005,A438,'RECEBIMENTOS'!$Q$6:$Q$1005,1))</f>
        <v>0</v>
      </c>
      <c r="AN438" s="96">
        <f>IF(AND(Z438=1,N(W438)&gt;0,AG438=N(W438)),1,0)</f>
        <v>0</v>
      </c>
      <c r="AO438" s="96">
        <f>IF(AND(Z438=1,N(W438)&gt;0,AI438=N(W438)),1,0)</f>
        <v>0</v>
      </c>
      <c r="AP438" s="97">
        <f>IF(Z438=0,0,_xlfn.MAXIFS('RECEBIMENTOS'!$E$6:$E$1005,'RECEBIMENTOS'!$B$6:$B$1005,A438))</f>
        <v>0</v>
      </c>
      <c r="AQ438" s="97" t="str">
        <f>IF(T438="","",IF(T438="RECEBIMENTO NÃO CONFIRMADO",IF(ISNUMBER(F438),F438,IF(ISNUMBER(E438),E438,"")),IF(OR(T438="CDF NÃO LOCALIZADO",T438="VÍNCULO INCOMPLETO",T438="CDF A CONFERIR"),IF(AP438&gt;0,AP438,IF(ISNUMBER(E438),E438,"")),IF(ISNUMBER(E438),E438,""))))</f>
        <v/>
      </c>
      <c r="AR438" s="96">
        <f>IF(NOT(ISNUMBER(U438)),0,IF(T438="RECEBIMENTO NÃO CONFIRMADO",IF(AND(ISNUMBER(cfg_rec),U438&gt;cfg_rec),1,0),IF(OR(T438="CDF NÃO LOCALIZADO",T438="VÍNCULO INCOMPLETO",T438="CDF A CONFERIR"),IF(AND(ISNUMBER(cfg_cdf),U438&gt;cfg_cdf),1,0),0)))</f>
        <v>0</v>
      </c>
      <c r="AS438" s="96" t="str">
        <f>IF(T438="","",IF(AR438=1,"Alta",IFERROR(INDEX(cfg_pp,MATCH(T438,cfg_pt,0))&amp;"","Média")))</f>
        <v/>
      </c>
      <c r="AT438" s="96" t="str">
        <f>IF(T438="","",IFERROR(INDEX(cfg_pv,MATCH(T438,cfg_pt,0))&amp;"",""))</f>
        <v/>
      </c>
      <c r="AU438" s="96" t="str">
        <f>IF(T438="","",IF(AS438="Alta",1,IF(AS438="Média",2,3))*1000000000+(999999-IF(ISNUMBER(U438),MIN(U438,999999),0))*1000+433)</f>
        <v/>
      </c>
      <c r="AV438" s="96">
        <f>IF(T438&lt;&gt;"",1,0)</f>
        <v>0</v>
      </c>
      <c r="AW438" s="96" t="str">
        <f>IF(Z438=0,"",IF(AA438=1,"Cancelamento informado; ","")&amp;IF(AE438=1,"Campos essenciais ou itens faltando; ","")&amp;IF(AC438=1,"Possível duplicidade do número; ","")&amp;IF(AD438=1,"Cadastro ou datas a revisar; ","")&amp;IF(AF438&gt;0,"Item de resíduo com dado a revisar; ","")&amp;IF(AH438&gt;0,"Diferença de quantidade a analisar; ","")&amp;IF(AK438&gt;0,"Recebimento com alerta; ","")&amp;IF(AL438&gt;0,"Vínculo de CDF com alerta; ","")&amp;IF(AND(AA438=0,AN438=0),"Recebimento não confirmado; ","")&amp;IF(AND(AA438=0,AN438=1,AO438=0),"CDF pendente ou a conferir; ",""))</f>
        <v/>
      </c>
      <c r="AX438" s="96">
        <f>IF(Z438=0,0,IF(AND(OR(f_ini="",AND(ISNUMBER(E438),E438&gt;=f_ini)),OR(f_fim="",AND(ISNUMBER(E438),E438&lt;=f_fim)),OR(f_un="",f_un="(Todas)",G438=f_un),OR(f_tr="",f_tr="(Todos)",H438=f_tr),OR(f_de="",f_de="(Todos)",I438=f_de),OR(f_sit="",f_sit="(Todas)",S438=f_sit)),1,0))</f>
        <v>0</v>
      </c>
      <c r="AY438" s="96">
        <f>IF(AX438=0,0,IF(OR(f_res="",f_res="(Todos)"),1,IF(COUNTIFS('ITENS_MTR'!$S$6:$S$1005,A438,'ITENS_MTR'!$C$6:$C$1005,f_res)&gt;0,1,0)))</f>
        <v>0</v>
      </c>
      <c r="AZ438" s="97" t="str">
        <f>IF(ISNUMBER(E438),DATE(YEAR(E438),MONTH(E438),1),"")</f>
        <v/>
      </c>
      <c r="BA438" s="96">
        <f>IF(Z438=0,0,IF(AND(OR(r_ini="",AND(ISNUMBER(E438),E438&gt;=r_ini)),OR(r_fim="",AND(ISNUMBER(E438),E438&lt;=r_fim)),OR(r_un="",r_un="(Todas)",G438=r_un),OR(r_de="",r_de="(Todos)",I438=r_de)),1,0))</f>
        <v>0</v>
      </c>
      <c r="BB438" s="96" t="str">
        <f>IF(BA438=1,COUNTIF($BA$6:BA438,1),"")</f>
        <v/>
      </c>
      <c r="BC438" s="96" t="str">
        <f>IF(AND(AU438&lt;&gt;"",OR(r_un="",r_un="(Todas)",G438=r_un),OR(r_de="",r_de="(Todos)",I438=r_de)),AU438,"")</f>
        <v/>
      </c>
      <c r="BD438" s="96" t="str">
        <f>IF(Z438=1,A438&amp;" | nº "&amp;IF(B438="","(sem número)",B438)&amp;" | "&amp;IF(G438="","(sem unidade)",G438),"")</f>
        <v/>
      </c>
      <c r="BE438" s="96" t="str">
        <f>IF(Z438=1,COUNTIF($Z$6:Z438,1),"")</f>
        <v/>
      </c>
      <c r="BF438" s="96" t="str">
        <f>IF(T438="","",IF(T438="RECEBIMENTO NÃO CONFIRMADO","Transp.: "&amp;H438&amp;" | Dest.: "&amp;I438,IF(OR(T438="CDF NÃO LOCALIZADO",T438="VÍNCULO INCOMPLETO",T438="CDF A CONFERIR"),"Dest.: "&amp;I438,"Gerador: "&amp;G438)))</f>
        <v/>
      </c>
    </row>
    <row r="439">
      <c r="A439" s="89" t="inlineStr">
        <is>
          <t>MTR-000434</t>
        </is>
      </c>
      <c r="B439" s="90" t="n"/>
      <c r="C439" s="91" t="n"/>
      <c r="D439" s="91" t="n"/>
      <c r="E439" s="92" t="n"/>
      <c r="F439" s="92" t="n"/>
      <c r="G439" s="91" t="n"/>
      <c r="H439" s="91" t="n"/>
      <c r="I439" s="91" t="n"/>
      <c r="J439" s="91" t="n"/>
      <c r="K439" s="91" t="n"/>
      <c r="L439" s="92" t="n"/>
      <c r="M439" s="91" t="n"/>
      <c r="N439" s="91" t="n"/>
      <c r="O439" s="91" t="n"/>
      <c r="P439" s="93" t="str">
        <f>IF(Z439=0,"",SUMIFS('ITENS_MTR'!$I$6:$I$1005,'ITENS_MTR'!$S$6:$S$1005,A439,'ITENS_MTR'!$Y$6:$Y$1005,1))</f>
        <v/>
      </c>
      <c r="Q439" s="93" t="str">
        <f>IF(Z439=0,"",SUMIFS('RECEBIMENTOS'!$H$6:$H$1005,'RECEBIMENTOS'!$B$6:$B$1005,A439,'RECEBIMENTOS'!$X$6:$X$1005,1))</f>
        <v/>
      </c>
      <c r="R439" s="93" t="str">
        <f>IF(Z439=0,"",SUMIFS('VÍNCULOS_CDF'!$H$6:$H$1005,'VÍNCULOS_CDF'!$D$6:$D$1005,A439,'VÍNCULOS_CDF'!$V$6:$V$1005,1))</f>
        <v/>
      </c>
      <c r="S439" s="94" t="str">
        <f>IF(Z439=0,"",IF(AA439=1,"Cancelado (informado)",IF(AE439=1,"Cadastro incompleto",IF(OR(AC439=1,AD439=1,AF439&gt;0,AH439&gt;0,AK439&gt;0,AL439&gt;0),"Informação a revisar",IF(AN439=0,"Aguardando recebimento",IF(N(R439)=0,"Aguardando CDF",IF(AJ439&lt;N(W439),"Vínculo de CDF parcial",IF(AO439=0,"CDF localizado, a conferir","Documentação conferida"))))))))</f>
        <v/>
      </c>
      <c r="T439" s="94" t="str">
        <f>IF(Z439=0,"",IF(S439="Cadastro incompleto","MTR INCOMPLETO",IF(S439="Informação a revisar",IF(AND(AH439&gt;0,AC439=0,AD439=0,AF439=0,AK439=0,AL439=0),"QUANTIDADE A REVISAR","IDENTIFICAÇÃO A REVISAR"),IF(S439="Aguardando recebimento","RECEBIMENTO NÃO CONFIRMADO",IF(S439="Aguardando CDF","CDF NÃO LOCALIZADO",IF(S439="Vínculo de CDF parcial","VÍNCULO INCOMPLETO",IF(S439="CDF localizado, a conferir","CDF A CONFERIR","")))))))</f>
        <v/>
      </c>
      <c r="U439" s="95" t="str">
        <f>IF(T439="","",IF(AQ439="","Não calculável",IF(AQ439&gt;TODAY(),"Data futura",TODAY()-AQ439)))</f>
        <v/>
      </c>
      <c r="V439" s="93" t="str">
        <f>IF(Z439=0,"",SUMIFS('RECEBIMENTOS'!$H$6:$H$1005,'RECEBIMENTOS'!$B$6:$B$1005,A439,'RECEBIMENTOS'!$Z$6:$Z$1005,1))</f>
        <v/>
      </c>
      <c r="W439" s="95" t="str">
        <f>IF(Z439=0,"",COUNTIFS('ITENS_MTR'!$S$6:$S$1005,A439,'ITENS_MTR'!$R$6:$R$1005,1))</f>
        <v/>
      </c>
      <c r="X439" s="94" t="str">
        <f>IF(AC439=1,"POSSÍVEL DUPLICIDADE","")</f>
        <v/>
      </c>
      <c r="Y439" s="94" t="str">
        <f>IF(Z439=0,"",IF(AW439="","Nenhuma",LEFT(AW439,LEN(AW439)-2)))</f>
        <v/>
      </c>
      <c r="Z439" s="96">
        <f>IF(COUNTA(B439:O439)&gt;0,1,0)</f>
        <v>0</v>
      </c>
      <c r="AA439" s="96">
        <f>IF(AND(Z439=1,K439&lt;&gt;""),IF(TRIM(K439)=TRIM(cfg_cancel),1,0),0)</f>
        <v>0</v>
      </c>
      <c r="AB439" s="96" t="str">
        <f>IF(AND(Z439=1,B439&lt;&gt;""),C439&amp;"|"&amp;D439&amp;"|"&amp;G439&amp;"|"&amp;TRIM(B439),"")</f>
        <v/>
      </c>
      <c r="AC439" s="96">
        <f>IF(AB439="",0,IF(SUMPRODUCT(--($AB$6:$AB$505=AB439))&gt;1,1,0))</f>
        <v>0</v>
      </c>
      <c r="AD439" s="96">
        <f>IF(Z439=0,0,IF(OR(AND(G439&lt;&gt;"",ISNA(MATCH(G439,'CAD_UNIDADES'!$C$6:$C$105,0))),AND(H439&lt;&gt;"",ISNA(MATCH(H439,cmp_transp,0))),AND(I439&lt;&gt;"",ISNA(MATCH(I439,cmp_dest,0))),AND(E439&lt;&gt;"",NOT(ISNUMBER(E439))),AND(F439&lt;&gt;"",NOT(ISNUMBER(F439))),AND(ISNUMBER(E439),ISNUMBER(F439),F439&lt;E439)),1,0))</f>
        <v>0</v>
      </c>
      <c r="AE439" s="96">
        <f>IF(Z439=0,0,IF(OR(B439="",C439="",E439="",G439="",H439="",I439="",N(W439)=0),1,0))</f>
        <v>0</v>
      </c>
      <c r="AF439" s="96">
        <f>IF(Z439=0,0,COUNTIFS('ITENS_MTR'!$S$6:$S$1005,A439,'ITENS_MTR'!$AI$6:$AI$1005,1))</f>
        <v>0</v>
      </c>
      <c r="AG439" s="96">
        <f>IF(Z439=0,0,COUNTIFS('ITENS_MTR'!$S$6:$S$1005,A439,'ITENS_MTR'!$AJ$6:$AJ$1005,1))</f>
        <v>0</v>
      </c>
      <c r="AH439" s="96">
        <f>IF(Z439=0,0,COUNTIFS('ITENS_MTR'!$S$6:$S$1005,A439,'ITENS_MTR'!$AM$6:$AM$1005,1))</f>
        <v>0</v>
      </c>
      <c r="AI439" s="96">
        <f>IF(Z439=0,0,COUNTIFS('ITENS_MTR'!$S$6:$S$1005,A439,'ITENS_MTR'!$AO$6:$AO$1005,1))</f>
        <v>0</v>
      </c>
      <c r="AJ439" s="96">
        <f>IF(Z439=0,0,COUNTIFS('ITENS_MTR'!$S$6:$S$1005,A439,'ITENS_MTR'!$AN$6:$AN$1005,1))</f>
        <v>0</v>
      </c>
      <c r="AK439" s="96">
        <f>IF(Z439=0,0,COUNTIFS('RECEBIMENTOS'!$B$6:$B$1005,A439,'RECEBIMENTOS'!$Y$6:$Y$1005,1))</f>
        <v>0</v>
      </c>
      <c r="AL439" s="96">
        <f>IF(Z439=0,0,COUNTIFS('VÍNCULOS_CDF'!$D$6:$D$1005,A439,'VÍNCULOS_CDF'!$Y$6:$Y$1005,1))</f>
        <v>0</v>
      </c>
      <c r="AM439" s="96">
        <f>IF(Z439=0,0,COUNTIFS('RECEBIMENTOS'!$B$6:$B$1005,A439,'RECEBIMENTOS'!$Q$6:$Q$1005,1))</f>
        <v>0</v>
      </c>
      <c r="AN439" s="96">
        <f>IF(AND(Z439=1,N(W439)&gt;0,AG439=N(W439)),1,0)</f>
        <v>0</v>
      </c>
      <c r="AO439" s="96">
        <f>IF(AND(Z439=1,N(W439)&gt;0,AI439=N(W439)),1,0)</f>
        <v>0</v>
      </c>
      <c r="AP439" s="97">
        <f>IF(Z439=0,0,_xlfn.MAXIFS('RECEBIMENTOS'!$E$6:$E$1005,'RECEBIMENTOS'!$B$6:$B$1005,A439))</f>
        <v>0</v>
      </c>
      <c r="AQ439" s="97" t="str">
        <f>IF(T439="","",IF(T439="RECEBIMENTO NÃO CONFIRMADO",IF(ISNUMBER(F439),F439,IF(ISNUMBER(E439),E439,"")),IF(OR(T439="CDF NÃO LOCALIZADO",T439="VÍNCULO INCOMPLETO",T439="CDF A CONFERIR"),IF(AP439&gt;0,AP439,IF(ISNUMBER(E439),E439,"")),IF(ISNUMBER(E439),E439,""))))</f>
        <v/>
      </c>
      <c r="AR439" s="96">
        <f>IF(NOT(ISNUMBER(U439)),0,IF(T439="RECEBIMENTO NÃO CONFIRMADO",IF(AND(ISNUMBER(cfg_rec),U439&gt;cfg_rec),1,0),IF(OR(T439="CDF NÃO LOCALIZADO",T439="VÍNCULO INCOMPLETO",T439="CDF A CONFERIR"),IF(AND(ISNUMBER(cfg_cdf),U439&gt;cfg_cdf),1,0),0)))</f>
        <v>0</v>
      </c>
      <c r="AS439" s="96" t="str">
        <f>IF(T439="","",IF(AR439=1,"Alta",IFERROR(INDEX(cfg_pp,MATCH(T439,cfg_pt,0))&amp;"","Média")))</f>
        <v/>
      </c>
      <c r="AT439" s="96" t="str">
        <f>IF(T439="","",IFERROR(INDEX(cfg_pv,MATCH(T439,cfg_pt,0))&amp;"",""))</f>
        <v/>
      </c>
      <c r="AU439" s="96" t="str">
        <f>IF(T439="","",IF(AS439="Alta",1,IF(AS439="Média",2,3))*1000000000+(999999-IF(ISNUMBER(U439),MIN(U439,999999),0))*1000+434)</f>
        <v/>
      </c>
      <c r="AV439" s="96">
        <f>IF(T439&lt;&gt;"",1,0)</f>
        <v>0</v>
      </c>
      <c r="AW439" s="96" t="str">
        <f>IF(Z439=0,"",IF(AA439=1,"Cancelamento informado; ","")&amp;IF(AE439=1,"Campos essenciais ou itens faltando; ","")&amp;IF(AC439=1,"Possível duplicidade do número; ","")&amp;IF(AD439=1,"Cadastro ou datas a revisar; ","")&amp;IF(AF439&gt;0,"Item de resíduo com dado a revisar; ","")&amp;IF(AH439&gt;0,"Diferença de quantidade a analisar; ","")&amp;IF(AK439&gt;0,"Recebimento com alerta; ","")&amp;IF(AL439&gt;0,"Vínculo de CDF com alerta; ","")&amp;IF(AND(AA439=0,AN439=0),"Recebimento não confirmado; ","")&amp;IF(AND(AA439=0,AN439=1,AO439=0),"CDF pendente ou a conferir; ",""))</f>
        <v/>
      </c>
      <c r="AX439" s="96">
        <f>IF(Z439=0,0,IF(AND(OR(f_ini="",AND(ISNUMBER(E439),E439&gt;=f_ini)),OR(f_fim="",AND(ISNUMBER(E439),E439&lt;=f_fim)),OR(f_un="",f_un="(Todas)",G439=f_un),OR(f_tr="",f_tr="(Todos)",H439=f_tr),OR(f_de="",f_de="(Todos)",I439=f_de),OR(f_sit="",f_sit="(Todas)",S439=f_sit)),1,0))</f>
        <v>0</v>
      </c>
      <c r="AY439" s="96">
        <f>IF(AX439=0,0,IF(OR(f_res="",f_res="(Todos)"),1,IF(COUNTIFS('ITENS_MTR'!$S$6:$S$1005,A439,'ITENS_MTR'!$C$6:$C$1005,f_res)&gt;0,1,0)))</f>
        <v>0</v>
      </c>
      <c r="AZ439" s="97" t="str">
        <f>IF(ISNUMBER(E439),DATE(YEAR(E439),MONTH(E439),1),"")</f>
        <v/>
      </c>
      <c r="BA439" s="96">
        <f>IF(Z439=0,0,IF(AND(OR(r_ini="",AND(ISNUMBER(E439),E439&gt;=r_ini)),OR(r_fim="",AND(ISNUMBER(E439),E439&lt;=r_fim)),OR(r_un="",r_un="(Todas)",G439=r_un),OR(r_de="",r_de="(Todos)",I439=r_de)),1,0))</f>
        <v>0</v>
      </c>
      <c r="BB439" s="96" t="str">
        <f>IF(BA439=1,COUNTIF($BA$6:BA439,1),"")</f>
        <v/>
      </c>
      <c r="BC439" s="96" t="str">
        <f>IF(AND(AU439&lt;&gt;"",OR(r_un="",r_un="(Todas)",G439=r_un),OR(r_de="",r_de="(Todos)",I439=r_de)),AU439,"")</f>
        <v/>
      </c>
      <c r="BD439" s="96" t="str">
        <f>IF(Z439=1,A439&amp;" | nº "&amp;IF(B439="","(sem número)",B439)&amp;" | "&amp;IF(G439="","(sem unidade)",G439),"")</f>
        <v/>
      </c>
      <c r="BE439" s="96" t="str">
        <f>IF(Z439=1,COUNTIF($Z$6:Z439,1),"")</f>
        <v/>
      </c>
      <c r="BF439" s="96" t="str">
        <f>IF(T439="","",IF(T439="RECEBIMENTO NÃO CONFIRMADO","Transp.: "&amp;H439&amp;" | Dest.: "&amp;I439,IF(OR(T439="CDF NÃO LOCALIZADO",T439="VÍNCULO INCOMPLETO",T439="CDF A CONFERIR"),"Dest.: "&amp;I439,"Gerador: "&amp;G439)))</f>
        <v/>
      </c>
    </row>
    <row r="440">
      <c r="A440" s="89" t="inlineStr">
        <is>
          <t>MTR-000435</t>
        </is>
      </c>
      <c r="B440" s="90" t="n"/>
      <c r="C440" s="91" t="n"/>
      <c r="D440" s="91" t="n"/>
      <c r="E440" s="92" t="n"/>
      <c r="F440" s="92" t="n"/>
      <c r="G440" s="91" t="n"/>
      <c r="H440" s="91" t="n"/>
      <c r="I440" s="91" t="n"/>
      <c r="J440" s="91" t="n"/>
      <c r="K440" s="91" t="n"/>
      <c r="L440" s="92" t="n"/>
      <c r="M440" s="91" t="n"/>
      <c r="N440" s="91" t="n"/>
      <c r="O440" s="91" t="n"/>
      <c r="P440" s="93" t="str">
        <f>IF(Z440=0,"",SUMIFS('ITENS_MTR'!$I$6:$I$1005,'ITENS_MTR'!$S$6:$S$1005,A440,'ITENS_MTR'!$Y$6:$Y$1005,1))</f>
        <v/>
      </c>
      <c r="Q440" s="93" t="str">
        <f>IF(Z440=0,"",SUMIFS('RECEBIMENTOS'!$H$6:$H$1005,'RECEBIMENTOS'!$B$6:$B$1005,A440,'RECEBIMENTOS'!$X$6:$X$1005,1))</f>
        <v/>
      </c>
      <c r="R440" s="93" t="str">
        <f>IF(Z440=0,"",SUMIFS('VÍNCULOS_CDF'!$H$6:$H$1005,'VÍNCULOS_CDF'!$D$6:$D$1005,A440,'VÍNCULOS_CDF'!$V$6:$V$1005,1))</f>
        <v/>
      </c>
      <c r="S440" s="94" t="str">
        <f>IF(Z440=0,"",IF(AA440=1,"Cancelado (informado)",IF(AE440=1,"Cadastro incompleto",IF(OR(AC440=1,AD440=1,AF440&gt;0,AH440&gt;0,AK440&gt;0,AL440&gt;0),"Informação a revisar",IF(AN440=0,"Aguardando recebimento",IF(N(R440)=0,"Aguardando CDF",IF(AJ440&lt;N(W440),"Vínculo de CDF parcial",IF(AO440=0,"CDF localizado, a conferir","Documentação conferida"))))))))</f>
        <v/>
      </c>
      <c r="T440" s="94" t="str">
        <f>IF(Z440=0,"",IF(S440="Cadastro incompleto","MTR INCOMPLETO",IF(S440="Informação a revisar",IF(AND(AH440&gt;0,AC440=0,AD440=0,AF440=0,AK440=0,AL440=0),"QUANTIDADE A REVISAR","IDENTIFICAÇÃO A REVISAR"),IF(S440="Aguardando recebimento","RECEBIMENTO NÃO CONFIRMADO",IF(S440="Aguardando CDF","CDF NÃO LOCALIZADO",IF(S440="Vínculo de CDF parcial","VÍNCULO INCOMPLETO",IF(S440="CDF localizado, a conferir","CDF A CONFERIR","")))))))</f>
        <v/>
      </c>
      <c r="U440" s="95" t="str">
        <f>IF(T440="","",IF(AQ440="","Não calculável",IF(AQ440&gt;TODAY(),"Data futura",TODAY()-AQ440)))</f>
        <v/>
      </c>
      <c r="V440" s="93" t="str">
        <f>IF(Z440=0,"",SUMIFS('RECEBIMENTOS'!$H$6:$H$1005,'RECEBIMENTOS'!$B$6:$B$1005,A440,'RECEBIMENTOS'!$Z$6:$Z$1005,1))</f>
        <v/>
      </c>
      <c r="W440" s="95" t="str">
        <f>IF(Z440=0,"",COUNTIFS('ITENS_MTR'!$S$6:$S$1005,A440,'ITENS_MTR'!$R$6:$R$1005,1))</f>
        <v/>
      </c>
      <c r="X440" s="94" t="str">
        <f>IF(AC440=1,"POSSÍVEL DUPLICIDADE","")</f>
        <v/>
      </c>
      <c r="Y440" s="94" t="str">
        <f>IF(Z440=0,"",IF(AW440="","Nenhuma",LEFT(AW440,LEN(AW440)-2)))</f>
        <v/>
      </c>
      <c r="Z440" s="96">
        <f>IF(COUNTA(B440:O440)&gt;0,1,0)</f>
        <v>0</v>
      </c>
      <c r="AA440" s="96">
        <f>IF(AND(Z440=1,K440&lt;&gt;""),IF(TRIM(K440)=TRIM(cfg_cancel),1,0),0)</f>
        <v>0</v>
      </c>
      <c r="AB440" s="96" t="str">
        <f>IF(AND(Z440=1,B440&lt;&gt;""),C440&amp;"|"&amp;D440&amp;"|"&amp;G440&amp;"|"&amp;TRIM(B440),"")</f>
        <v/>
      </c>
      <c r="AC440" s="96">
        <f>IF(AB440="",0,IF(SUMPRODUCT(--($AB$6:$AB$505=AB440))&gt;1,1,0))</f>
        <v>0</v>
      </c>
      <c r="AD440" s="96">
        <f>IF(Z440=0,0,IF(OR(AND(G440&lt;&gt;"",ISNA(MATCH(G440,'CAD_UNIDADES'!$C$6:$C$105,0))),AND(H440&lt;&gt;"",ISNA(MATCH(H440,cmp_transp,0))),AND(I440&lt;&gt;"",ISNA(MATCH(I440,cmp_dest,0))),AND(E440&lt;&gt;"",NOT(ISNUMBER(E440))),AND(F440&lt;&gt;"",NOT(ISNUMBER(F440))),AND(ISNUMBER(E440),ISNUMBER(F440),F440&lt;E440)),1,0))</f>
        <v>0</v>
      </c>
      <c r="AE440" s="96">
        <f>IF(Z440=0,0,IF(OR(B440="",C440="",E440="",G440="",H440="",I440="",N(W440)=0),1,0))</f>
        <v>0</v>
      </c>
      <c r="AF440" s="96">
        <f>IF(Z440=0,0,COUNTIFS('ITENS_MTR'!$S$6:$S$1005,A440,'ITENS_MTR'!$AI$6:$AI$1005,1))</f>
        <v>0</v>
      </c>
      <c r="AG440" s="96">
        <f>IF(Z440=0,0,COUNTIFS('ITENS_MTR'!$S$6:$S$1005,A440,'ITENS_MTR'!$AJ$6:$AJ$1005,1))</f>
        <v>0</v>
      </c>
      <c r="AH440" s="96">
        <f>IF(Z440=0,0,COUNTIFS('ITENS_MTR'!$S$6:$S$1005,A440,'ITENS_MTR'!$AM$6:$AM$1005,1))</f>
        <v>0</v>
      </c>
      <c r="AI440" s="96">
        <f>IF(Z440=0,0,COUNTIFS('ITENS_MTR'!$S$6:$S$1005,A440,'ITENS_MTR'!$AO$6:$AO$1005,1))</f>
        <v>0</v>
      </c>
      <c r="AJ440" s="96">
        <f>IF(Z440=0,0,COUNTIFS('ITENS_MTR'!$S$6:$S$1005,A440,'ITENS_MTR'!$AN$6:$AN$1005,1))</f>
        <v>0</v>
      </c>
      <c r="AK440" s="96">
        <f>IF(Z440=0,0,COUNTIFS('RECEBIMENTOS'!$B$6:$B$1005,A440,'RECEBIMENTOS'!$Y$6:$Y$1005,1))</f>
        <v>0</v>
      </c>
      <c r="AL440" s="96">
        <f>IF(Z440=0,0,COUNTIFS('VÍNCULOS_CDF'!$D$6:$D$1005,A440,'VÍNCULOS_CDF'!$Y$6:$Y$1005,1))</f>
        <v>0</v>
      </c>
      <c r="AM440" s="96">
        <f>IF(Z440=0,0,COUNTIFS('RECEBIMENTOS'!$B$6:$B$1005,A440,'RECEBIMENTOS'!$Q$6:$Q$1005,1))</f>
        <v>0</v>
      </c>
      <c r="AN440" s="96">
        <f>IF(AND(Z440=1,N(W440)&gt;0,AG440=N(W440)),1,0)</f>
        <v>0</v>
      </c>
      <c r="AO440" s="96">
        <f>IF(AND(Z440=1,N(W440)&gt;0,AI440=N(W440)),1,0)</f>
        <v>0</v>
      </c>
      <c r="AP440" s="97">
        <f>IF(Z440=0,0,_xlfn.MAXIFS('RECEBIMENTOS'!$E$6:$E$1005,'RECEBIMENTOS'!$B$6:$B$1005,A440))</f>
        <v>0</v>
      </c>
      <c r="AQ440" s="97" t="str">
        <f>IF(T440="","",IF(T440="RECEBIMENTO NÃO CONFIRMADO",IF(ISNUMBER(F440),F440,IF(ISNUMBER(E440),E440,"")),IF(OR(T440="CDF NÃO LOCALIZADO",T440="VÍNCULO INCOMPLETO",T440="CDF A CONFERIR"),IF(AP440&gt;0,AP440,IF(ISNUMBER(E440),E440,"")),IF(ISNUMBER(E440),E440,""))))</f>
        <v/>
      </c>
      <c r="AR440" s="96">
        <f>IF(NOT(ISNUMBER(U440)),0,IF(T440="RECEBIMENTO NÃO CONFIRMADO",IF(AND(ISNUMBER(cfg_rec),U440&gt;cfg_rec),1,0),IF(OR(T440="CDF NÃO LOCALIZADO",T440="VÍNCULO INCOMPLETO",T440="CDF A CONFERIR"),IF(AND(ISNUMBER(cfg_cdf),U440&gt;cfg_cdf),1,0),0)))</f>
        <v>0</v>
      </c>
      <c r="AS440" s="96" t="str">
        <f>IF(T440="","",IF(AR440=1,"Alta",IFERROR(INDEX(cfg_pp,MATCH(T440,cfg_pt,0))&amp;"","Média")))</f>
        <v/>
      </c>
      <c r="AT440" s="96" t="str">
        <f>IF(T440="","",IFERROR(INDEX(cfg_pv,MATCH(T440,cfg_pt,0))&amp;"",""))</f>
        <v/>
      </c>
      <c r="AU440" s="96" t="str">
        <f>IF(T440="","",IF(AS440="Alta",1,IF(AS440="Média",2,3))*1000000000+(999999-IF(ISNUMBER(U440),MIN(U440,999999),0))*1000+435)</f>
        <v/>
      </c>
      <c r="AV440" s="96">
        <f>IF(T440&lt;&gt;"",1,0)</f>
        <v>0</v>
      </c>
      <c r="AW440" s="96" t="str">
        <f>IF(Z440=0,"",IF(AA440=1,"Cancelamento informado; ","")&amp;IF(AE440=1,"Campos essenciais ou itens faltando; ","")&amp;IF(AC440=1,"Possível duplicidade do número; ","")&amp;IF(AD440=1,"Cadastro ou datas a revisar; ","")&amp;IF(AF440&gt;0,"Item de resíduo com dado a revisar; ","")&amp;IF(AH440&gt;0,"Diferença de quantidade a analisar; ","")&amp;IF(AK440&gt;0,"Recebimento com alerta; ","")&amp;IF(AL440&gt;0,"Vínculo de CDF com alerta; ","")&amp;IF(AND(AA440=0,AN440=0),"Recebimento não confirmado; ","")&amp;IF(AND(AA440=0,AN440=1,AO440=0),"CDF pendente ou a conferir; ",""))</f>
        <v/>
      </c>
      <c r="AX440" s="96">
        <f>IF(Z440=0,0,IF(AND(OR(f_ini="",AND(ISNUMBER(E440),E440&gt;=f_ini)),OR(f_fim="",AND(ISNUMBER(E440),E440&lt;=f_fim)),OR(f_un="",f_un="(Todas)",G440=f_un),OR(f_tr="",f_tr="(Todos)",H440=f_tr),OR(f_de="",f_de="(Todos)",I440=f_de),OR(f_sit="",f_sit="(Todas)",S440=f_sit)),1,0))</f>
        <v>0</v>
      </c>
      <c r="AY440" s="96">
        <f>IF(AX440=0,0,IF(OR(f_res="",f_res="(Todos)"),1,IF(COUNTIFS('ITENS_MTR'!$S$6:$S$1005,A440,'ITENS_MTR'!$C$6:$C$1005,f_res)&gt;0,1,0)))</f>
        <v>0</v>
      </c>
      <c r="AZ440" s="97" t="str">
        <f>IF(ISNUMBER(E440),DATE(YEAR(E440),MONTH(E440),1),"")</f>
        <v/>
      </c>
      <c r="BA440" s="96">
        <f>IF(Z440=0,0,IF(AND(OR(r_ini="",AND(ISNUMBER(E440),E440&gt;=r_ini)),OR(r_fim="",AND(ISNUMBER(E440),E440&lt;=r_fim)),OR(r_un="",r_un="(Todas)",G440=r_un),OR(r_de="",r_de="(Todos)",I440=r_de)),1,0))</f>
        <v>0</v>
      </c>
      <c r="BB440" s="96" t="str">
        <f>IF(BA440=1,COUNTIF($BA$6:BA440,1),"")</f>
        <v/>
      </c>
      <c r="BC440" s="96" t="str">
        <f>IF(AND(AU440&lt;&gt;"",OR(r_un="",r_un="(Todas)",G440=r_un),OR(r_de="",r_de="(Todos)",I440=r_de)),AU440,"")</f>
        <v/>
      </c>
      <c r="BD440" s="96" t="str">
        <f>IF(Z440=1,A440&amp;" | nº "&amp;IF(B440="","(sem número)",B440)&amp;" | "&amp;IF(G440="","(sem unidade)",G440),"")</f>
        <v/>
      </c>
      <c r="BE440" s="96" t="str">
        <f>IF(Z440=1,COUNTIF($Z$6:Z440,1),"")</f>
        <v/>
      </c>
      <c r="BF440" s="96" t="str">
        <f>IF(T440="","",IF(T440="RECEBIMENTO NÃO CONFIRMADO","Transp.: "&amp;H440&amp;" | Dest.: "&amp;I440,IF(OR(T440="CDF NÃO LOCALIZADO",T440="VÍNCULO INCOMPLETO",T440="CDF A CONFERIR"),"Dest.: "&amp;I440,"Gerador: "&amp;G440)))</f>
        <v/>
      </c>
    </row>
    <row r="441">
      <c r="A441" s="89" t="inlineStr">
        <is>
          <t>MTR-000436</t>
        </is>
      </c>
      <c r="B441" s="90" t="n"/>
      <c r="C441" s="91" t="n"/>
      <c r="D441" s="91" t="n"/>
      <c r="E441" s="92" t="n"/>
      <c r="F441" s="92" t="n"/>
      <c r="G441" s="91" t="n"/>
      <c r="H441" s="91" t="n"/>
      <c r="I441" s="91" t="n"/>
      <c r="J441" s="91" t="n"/>
      <c r="K441" s="91" t="n"/>
      <c r="L441" s="92" t="n"/>
      <c r="M441" s="91" t="n"/>
      <c r="N441" s="91" t="n"/>
      <c r="O441" s="91" t="n"/>
      <c r="P441" s="93" t="str">
        <f>IF(Z441=0,"",SUMIFS('ITENS_MTR'!$I$6:$I$1005,'ITENS_MTR'!$S$6:$S$1005,A441,'ITENS_MTR'!$Y$6:$Y$1005,1))</f>
        <v/>
      </c>
      <c r="Q441" s="93" t="str">
        <f>IF(Z441=0,"",SUMIFS('RECEBIMENTOS'!$H$6:$H$1005,'RECEBIMENTOS'!$B$6:$B$1005,A441,'RECEBIMENTOS'!$X$6:$X$1005,1))</f>
        <v/>
      </c>
      <c r="R441" s="93" t="str">
        <f>IF(Z441=0,"",SUMIFS('VÍNCULOS_CDF'!$H$6:$H$1005,'VÍNCULOS_CDF'!$D$6:$D$1005,A441,'VÍNCULOS_CDF'!$V$6:$V$1005,1))</f>
        <v/>
      </c>
      <c r="S441" s="94" t="str">
        <f>IF(Z441=0,"",IF(AA441=1,"Cancelado (informado)",IF(AE441=1,"Cadastro incompleto",IF(OR(AC441=1,AD441=1,AF441&gt;0,AH441&gt;0,AK441&gt;0,AL441&gt;0),"Informação a revisar",IF(AN441=0,"Aguardando recebimento",IF(N(R441)=0,"Aguardando CDF",IF(AJ441&lt;N(W441),"Vínculo de CDF parcial",IF(AO441=0,"CDF localizado, a conferir","Documentação conferida"))))))))</f>
        <v/>
      </c>
      <c r="T441" s="94" t="str">
        <f>IF(Z441=0,"",IF(S441="Cadastro incompleto","MTR INCOMPLETO",IF(S441="Informação a revisar",IF(AND(AH441&gt;0,AC441=0,AD441=0,AF441=0,AK441=0,AL441=0),"QUANTIDADE A REVISAR","IDENTIFICAÇÃO A REVISAR"),IF(S441="Aguardando recebimento","RECEBIMENTO NÃO CONFIRMADO",IF(S441="Aguardando CDF","CDF NÃO LOCALIZADO",IF(S441="Vínculo de CDF parcial","VÍNCULO INCOMPLETO",IF(S441="CDF localizado, a conferir","CDF A CONFERIR","")))))))</f>
        <v/>
      </c>
      <c r="U441" s="95" t="str">
        <f>IF(T441="","",IF(AQ441="","Não calculável",IF(AQ441&gt;TODAY(),"Data futura",TODAY()-AQ441)))</f>
        <v/>
      </c>
      <c r="V441" s="93" t="str">
        <f>IF(Z441=0,"",SUMIFS('RECEBIMENTOS'!$H$6:$H$1005,'RECEBIMENTOS'!$B$6:$B$1005,A441,'RECEBIMENTOS'!$Z$6:$Z$1005,1))</f>
        <v/>
      </c>
      <c r="W441" s="95" t="str">
        <f>IF(Z441=0,"",COUNTIFS('ITENS_MTR'!$S$6:$S$1005,A441,'ITENS_MTR'!$R$6:$R$1005,1))</f>
        <v/>
      </c>
      <c r="X441" s="94" t="str">
        <f>IF(AC441=1,"POSSÍVEL DUPLICIDADE","")</f>
        <v/>
      </c>
      <c r="Y441" s="94" t="str">
        <f>IF(Z441=0,"",IF(AW441="","Nenhuma",LEFT(AW441,LEN(AW441)-2)))</f>
        <v/>
      </c>
      <c r="Z441" s="96">
        <f>IF(COUNTA(B441:O441)&gt;0,1,0)</f>
        <v>0</v>
      </c>
      <c r="AA441" s="96">
        <f>IF(AND(Z441=1,K441&lt;&gt;""),IF(TRIM(K441)=TRIM(cfg_cancel),1,0),0)</f>
        <v>0</v>
      </c>
      <c r="AB441" s="96" t="str">
        <f>IF(AND(Z441=1,B441&lt;&gt;""),C441&amp;"|"&amp;D441&amp;"|"&amp;G441&amp;"|"&amp;TRIM(B441),"")</f>
        <v/>
      </c>
      <c r="AC441" s="96">
        <f>IF(AB441="",0,IF(SUMPRODUCT(--($AB$6:$AB$505=AB441))&gt;1,1,0))</f>
        <v>0</v>
      </c>
      <c r="AD441" s="96">
        <f>IF(Z441=0,0,IF(OR(AND(G441&lt;&gt;"",ISNA(MATCH(G441,'CAD_UNIDADES'!$C$6:$C$105,0))),AND(H441&lt;&gt;"",ISNA(MATCH(H441,cmp_transp,0))),AND(I441&lt;&gt;"",ISNA(MATCH(I441,cmp_dest,0))),AND(E441&lt;&gt;"",NOT(ISNUMBER(E441))),AND(F441&lt;&gt;"",NOT(ISNUMBER(F441))),AND(ISNUMBER(E441),ISNUMBER(F441),F441&lt;E441)),1,0))</f>
        <v>0</v>
      </c>
      <c r="AE441" s="96">
        <f>IF(Z441=0,0,IF(OR(B441="",C441="",E441="",G441="",H441="",I441="",N(W441)=0),1,0))</f>
        <v>0</v>
      </c>
      <c r="AF441" s="96">
        <f>IF(Z441=0,0,COUNTIFS('ITENS_MTR'!$S$6:$S$1005,A441,'ITENS_MTR'!$AI$6:$AI$1005,1))</f>
        <v>0</v>
      </c>
      <c r="AG441" s="96">
        <f>IF(Z441=0,0,COUNTIFS('ITENS_MTR'!$S$6:$S$1005,A441,'ITENS_MTR'!$AJ$6:$AJ$1005,1))</f>
        <v>0</v>
      </c>
      <c r="AH441" s="96">
        <f>IF(Z441=0,0,COUNTIFS('ITENS_MTR'!$S$6:$S$1005,A441,'ITENS_MTR'!$AM$6:$AM$1005,1))</f>
        <v>0</v>
      </c>
      <c r="AI441" s="96">
        <f>IF(Z441=0,0,COUNTIFS('ITENS_MTR'!$S$6:$S$1005,A441,'ITENS_MTR'!$AO$6:$AO$1005,1))</f>
        <v>0</v>
      </c>
      <c r="AJ441" s="96">
        <f>IF(Z441=0,0,COUNTIFS('ITENS_MTR'!$S$6:$S$1005,A441,'ITENS_MTR'!$AN$6:$AN$1005,1))</f>
        <v>0</v>
      </c>
      <c r="AK441" s="96">
        <f>IF(Z441=0,0,COUNTIFS('RECEBIMENTOS'!$B$6:$B$1005,A441,'RECEBIMENTOS'!$Y$6:$Y$1005,1))</f>
        <v>0</v>
      </c>
      <c r="AL441" s="96">
        <f>IF(Z441=0,0,COUNTIFS('VÍNCULOS_CDF'!$D$6:$D$1005,A441,'VÍNCULOS_CDF'!$Y$6:$Y$1005,1))</f>
        <v>0</v>
      </c>
      <c r="AM441" s="96">
        <f>IF(Z441=0,0,COUNTIFS('RECEBIMENTOS'!$B$6:$B$1005,A441,'RECEBIMENTOS'!$Q$6:$Q$1005,1))</f>
        <v>0</v>
      </c>
      <c r="AN441" s="96">
        <f>IF(AND(Z441=1,N(W441)&gt;0,AG441=N(W441)),1,0)</f>
        <v>0</v>
      </c>
      <c r="AO441" s="96">
        <f>IF(AND(Z441=1,N(W441)&gt;0,AI441=N(W441)),1,0)</f>
        <v>0</v>
      </c>
      <c r="AP441" s="97">
        <f>IF(Z441=0,0,_xlfn.MAXIFS('RECEBIMENTOS'!$E$6:$E$1005,'RECEBIMENTOS'!$B$6:$B$1005,A441))</f>
        <v>0</v>
      </c>
      <c r="AQ441" s="97" t="str">
        <f>IF(T441="","",IF(T441="RECEBIMENTO NÃO CONFIRMADO",IF(ISNUMBER(F441),F441,IF(ISNUMBER(E441),E441,"")),IF(OR(T441="CDF NÃO LOCALIZADO",T441="VÍNCULO INCOMPLETO",T441="CDF A CONFERIR"),IF(AP441&gt;0,AP441,IF(ISNUMBER(E441),E441,"")),IF(ISNUMBER(E441),E441,""))))</f>
        <v/>
      </c>
      <c r="AR441" s="96">
        <f>IF(NOT(ISNUMBER(U441)),0,IF(T441="RECEBIMENTO NÃO CONFIRMADO",IF(AND(ISNUMBER(cfg_rec),U441&gt;cfg_rec),1,0),IF(OR(T441="CDF NÃO LOCALIZADO",T441="VÍNCULO INCOMPLETO",T441="CDF A CONFERIR"),IF(AND(ISNUMBER(cfg_cdf),U441&gt;cfg_cdf),1,0),0)))</f>
        <v>0</v>
      </c>
      <c r="AS441" s="96" t="str">
        <f>IF(T441="","",IF(AR441=1,"Alta",IFERROR(INDEX(cfg_pp,MATCH(T441,cfg_pt,0))&amp;"","Média")))</f>
        <v/>
      </c>
      <c r="AT441" s="96" t="str">
        <f>IF(T441="","",IFERROR(INDEX(cfg_pv,MATCH(T441,cfg_pt,0))&amp;"",""))</f>
        <v/>
      </c>
      <c r="AU441" s="96" t="str">
        <f>IF(T441="","",IF(AS441="Alta",1,IF(AS441="Média",2,3))*1000000000+(999999-IF(ISNUMBER(U441),MIN(U441,999999),0))*1000+436)</f>
        <v/>
      </c>
      <c r="AV441" s="96">
        <f>IF(T441&lt;&gt;"",1,0)</f>
        <v>0</v>
      </c>
      <c r="AW441" s="96" t="str">
        <f>IF(Z441=0,"",IF(AA441=1,"Cancelamento informado; ","")&amp;IF(AE441=1,"Campos essenciais ou itens faltando; ","")&amp;IF(AC441=1,"Possível duplicidade do número; ","")&amp;IF(AD441=1,"Cadastro ou datas a revisar; ","")&amp;IF(AF441&gt;0,"Item de resíduo com dado a revisar; ","")&amp;IF(AH441&gt;0,"Diferença de quantidade a analisar; ","")&amp;IF(AK441&gt;0,"Recebimento com alerta; ","")&amp;IF(AL441&gt;0,"Vínculo de CDF com alerta; ","")&amp;IF(AND(AA441=0,AN441=0),"Recebimento não confirmado; ","")&amp;IF(AND(AA441=0,AN441=1,AO441=0),"CDF pendente ou a conferir; ",""))</f>
        <v/>
      </c>
      <c r="AX441" s="96">
        <f>IF(Z441=0,0,IF(AND(OR(f_ini="",AND(ISNUMBER(E441),E441&gt;=f_ini)),OR(f_fim="",AND(ISNUMBER(E441),E441&lt;=f_fim)),OR(f_un="",f_un="(Todas)",G441=f_un),OR(f_tr="",f_tr="(Todos)",H441=f_tr),OR(f_de="",f_de="(Todos)",I441=f_de),OR(f_sit="",f_sit="(Todas)",S441=f_sit)),1,0))</f>
        <v>0</v>
      </c>
      <c r="AY441" s="96">
        <f>IF(AX441=0,0,IF(OR(f_res="",f_res="(Todos)"),1,IF(COUNTIFS('ITENS_MTR'!$S$6:$S$1005,A441,'ITENS_MTR'!$C$6:$C$1005,f_res)&gt;0,1,0)))</f>
        <v>0</v>
      </c>
      <c r="AZ441" s="97" t="str">
        <f>IF(ISNUMBER(E441),DATE(YEAR(E441),MONTH(E441),1),"")</f>
        <v/>
      </c>
      <c r="BA441" s="96">
        <f>IF(Z441=0,0,IF(AND(OR(r_ini="",AND(ISNUMBER(E441),E441&gt;=r_ini)),OR(r_fim="",AND(ISNUMBER(E441),E441&lt;=r_fim)),OR(r_un="",r_un="(Todas)",G441=r_un),OR(r_de="",r_de="(Todos)",I441=r_de)),1,0))</f>
        <v>0</v>
      </c>
      <c r="BB441" s="96" t="str">
        <f>IF(BA441=1,COUNTIF($BA$6:BA441,1),"")</f>
        <v/>
      </c>
      <c r="BC441" s="96" t="str">
        <f>IF(AND(AU441&lt;&gt;"",OR(r_un="",r_un="(Todas)",G441=r_un),OR(r_de="",r_de="(Todos)",I441=r_de)),AU441,"")</f>
        <v/>
      </c>
      <c r="BD441" s="96" t="str">
        <f>IF(Z441=1,A441&amp;" | nº "&amp;IF(B441="","(sem número)",B441)&amp;" | "&amp;IF(G441="","(sem unidade)",G441),"")</f>
        <v/>
      </c>
      <c r="BE441" s="96" t="str">
        <f>IF(Z441=1,COUNTIF($Z$6:Z441,1),"")</f>
        <v/>
      </c>
      <c r="BF441" s="96" t="str">
        <f>IF(T441="","",IF(T441="RECEBIMENTO NÃO CONFIRMADO","Transp.: "&amp;H441&amp;" | Dest.: "&amp;I441,IF(OR(T441="CDF NÃO LOCALIZADO",T441="VÍNCULO INCOMPLETO",T441="CDF A CONFERIR"),"Dest.: "&amp;I441,"Gerador: "&amp;G441)))</f>
        <v/>
      </c>
    </row>
    <row r="442">
      <c r="A442" s="89" t="inlineStr">
        <is>
          <t>MTR-000437</t>
        </is>
      </c>
      <c r="B442" s="90" t="n"/>
      <c r="C442" s="91" t="n"/>
      <c r="D442" s="91" t="n"/>
      <c r="E442" s="92" t="n"/>
      <c r="F442" s="92" t="n"/>
      <c r="G442" s="91" t="n"/>
      <c r="H442" s="91" t="n"/>
      <c r="I442" s="91" t="n"/>
      <c r="J442" s="91" t="n"/>
      <c r="K442" s="91" t="n"/>
      <c r="L442" s="92" t="n"/>
      <c r="M442" s="91" t="n"/>
      <c r="N442" s="91" t="n"/>
      <c r="O442" s="91" t="n"/>
      <c r="P442" s="93" t="str">
        <f>IF(Z442=0,"",SUMIFS('ITENS_MTR'!$I$6:$I$1005,'ITENS_MTR'!$S$6:$S$1005,A442,'ITENS_MTR'!$Y$6:$Y$1005,1))</f>
        <v/>
      </c>
      <c r="Q442" s="93" t="str">
        <f>IF(Z442=0,"",SUMIFS('RECEBIMENTOS'!$H$6:$H$1005,'RECEBIMENTOS'!$B$6:$B$1005,A442,'RECEBIMENTOS'!$X$6:$X$1005,1))</f>
        <v/>
      </c>
      <c r="R442" s="93" t="str">
        <f>IF(Z442=0,"",SUMIFS('VÍNCULOS_CDF'!$H$6:$H$1005,'VÍNCULOS_CDF'!$D$6:$D$1005,A442,'VÍNCULOS_CDF'!$V$6:$V$1005,1))</f>
        <v/>
      </c>
      <c r="S442" s="94" t="str">
        <f>IF(Z442=0,"",IF(AA442=1,"Cancelado (informado)",IF(AE442=1,"Cadastro incompleto",IF(OR(AC442=1,AD442=1,AF442&gt;0,AH442&gt;0,AK442&gt;0,AL442&gt;0),"Informação a revisar",IF(AN442=0,"Aguardando recebimento",IF(N(R442)=0,"Aguardando CDF",IF(AJ442&lt;N(W442),"Vínculo de CDF parcial",IF(AO442=0,"CDF localizado, a conferir","Documentação conferida"))))))))</f>
        <v/>
      </c>
      <c r="T442" s="94" t="str">
        <f>IF(Z442=0,"",IF(S442="Cadastro incompleto","MTR INCOMPLETO",IF(S442="Informação a revisar",IF(AND(AH442&gt;0,AC442=0,AD442=0,AF442=0,AK442=0,AL442=0),"QUANTIDADE A REVISAR","IDENTIFICAÇÃO A REVISAR"),IF(S442="Aguardando recebimento","RECEBIMENTO NÃO CONFIRMADO",IF(S442="Aguardando CDF","CDF NÃO LOCALIZADO",IF(S442="Vínculo de CDF parcial","VÍNCULO INCOMPLETO",IF(S442="CDF localizado, a conferir","CDF A CONFERIR","")))))))</f>
        <v/>
      </c>
      <c r="U442" s="95" t="str">
        <f>IF(T442="","",IF(AQ442="","Não calculável",IF(AQ442&gt;TODAY(),"Data futura",TODAY()-AQ442)))</f>
        <v/>
      </c>
      <c r="V442" s="93" t="str">
        <f>IF(Z442=0,"",SUMIFS('RECEBIMENTOS'!$H$6:$H$1005,'RECEBIMENTOS'!$B$6:$B$1005,A442,'RECEBIMENTOS'!$Z$6:$Z$1005,1))</f>
        <v/>
      </c>
      <c r="W442" s="95" t="str">
        <f>IF(Z442=0,"",COUNTIFS('ITENS_MTR'!$S$6:$S$1005,A442,'ITENS_MTR'!$R$6:$R$1005,1))</f>
        <v/>
      </c>
      <c r="X442" s="94" t="str">
        <f>IF(AC442=1,"POSSÍVEL DUPLICIDADE","")</f>
        <v/>
      </c>
      <c r="Y442" s="94" t="str">
        <f>IF(Z442=0,"",IF(AW442="","Nenhuma",LEFT(AW442,LEN(AW442)-2)))</f>
        <v/>
      </c>
      <c r="Z442" s="96">
        <f>IF(COUNTA(B442:O442)&gt;0,1,0)</f>
        <v>0</v>
      </c>
      <c r="AA442" s="96">
        <f>IF(AND(Z442=1,K442&lt;&gt;""),IF(TRIM(K442)=TRIM(cfg_cancel),1,0),0)</f>
        <v>0</v>
      </c>
      <c r="AB442" s="96" t="str">
        <f>IF(AND(Z442=1,B442&lt;&gt;""),C442&amp;"|"&amp;D442&amp;"|"&amp;G442&amp;"|"&amp;TRIM(B442),"")</f>
        <v/>
      </c>
      <c r="AC442" s="96">
        <f>IF(AB442="",0,IF(SUMPRODUCT(--($AB$6:$AB$505=AB442))&gt;1,1,0))</f>
        <v>0</v>
      </c>
      <c r="AD442" s="96">
        <f>IF(Z442=0,0,IF(OR(AND(G442&lt;&gt;"",ISNA(MATCH(G442,'CAD_UNIDADES'!$C$6:$C$105,0))),AND(H442&lt;&gt;"",ISNA(MATCH(H442,cmp_transp,0))),AND(I442&lt;&gt;"",ISNA(MATCH(I442,cmp_dest,0))),AND(E442&lt;&gt;"",NOT(ISNUMBER(E442))),AND(F442&lt;&gt;"",NOT(ISNUMBER(F442))),AND(ISNUMBER(E442),ISNUMBER(F442),F442&lt;E442)),1,0))</f>
        <v>0</v>
      </c>
      <c r="AE442" s="96">
        <f>IF(Z442=0,0,IF(OR(B442="",C442="",E442="",G442="",H442="",I442="",N(W442)=0),1,0))</f>
        <v>0</v>
      </c>
      <c r="AF442" s="96">
        <f>IF(Z442=0,0,COUNTIFS('ITENS_MTR'!$S$6:$S$1005,A442,'ITENS_MTR'!$AI$6:$AI$1005,1))</f>
        <v>0</v>
      </c>
      <c r="AG442" s="96">
        <f>IF(Z442=0,0,COUNTIFS('ITENS_MTR'!$S$6:$S$1005,A442,'ITENS_MTR'!$AJ$6:$AJ$1005,1))</f>
        <v>0</v>
      </c>
      <c r="AH442" s="96">
        <f>IF(Z442=0,0,COUNTIFS('ITENS_MTR'!$S$6:$S$1005,A442,'ITENS_MTR'!$AM$6:$AM$1005,1))</f>
        <v>0</v>
      </c>
      <c r="AI442" s="96">
        <f>IF(Z442=0,0,COUNTIFS('ITENS_MTR'!$S$6:$S$1005,A442,'ITENS_MTR'!$AO$6:$AO$1005,1))</f>
        <v>0</v>
      </c>
      <c r="AJ442" s="96">
        <f>IF(Z442=0,0,COUNTIFS('ITENS_MTR'!$S$6:$S$1005,A442,'ITENS_MTR'!$AN$6:$AN$1005,1))</f>
        <v>0</v>
      </c>
      <c r="AK442" s="96">
        <f>IF(Z442=0,0,COUNTIFS('RECEBIMENTOS'!$B$6:$B$1005,A442,'RECEBIMENTOS'!$Y$6:$Y$1005,1))</f>
        <v>0</v>
      </c>
      <c r="AL442" s="96">
        <f>IF(Z442=0,0,COUNTIFS('VÍNCULOS_CDF'!$D$6:$D$1005,A442,'VÍNCULOS_CDF'!$Y$6:$Y$1005,1))</f>
        <v>0</v>
      </c>
      <c r="AM442" s="96">
        <f>IF(Z442=0,0,COUNTIFS('RECEBIMENTOS'!$B$6:$B$1005,A442,'RECEBIMENTOS'!$Q$6:$Q$1005,1))</f>
        <v>0</v>
      </c>
      <c r="AN442" s="96">
        <f>IF(AND(Z442=1,N(W442)&gt;0,AG442=N(W442)),1,0)</f>
        <v>0</v>
      </c>
      <c r="AO442" s="96">
        <f>IF(AND(Z442=1,N(W442)&gt;0,AI442=N(W442)),1,0)</f>
        <v>0</v>
      </c>
      <c r="AP442" s="97">
        <f>IF(Z442=0,0,_xlfn.MAXIFS('RECEBIMENTOS'!$E$6:$E$1005,'RECEBIMENTOS'!$B$6:$B$1005,A442))</f>
        <v>0</v>
      </c>
      <c r="AQ442" s="97" t="str">
        <f>IF(T442="","",IF(T442="RECEBIMENTO NÃO CONFIRMADO",IF(ISNUMBER(F442),F442,IF(ISNUMBER(E442),E442,"")),IF(OR(T442="CDF NÃO LOCALIZADO",T442="VÍNCULO INCOMPLETO",T442="CDF A CONFERIR"),IF(AP442&gt;0,AP442,IF(ISNUMBER(E442),E442,"")),IF(ISNUMBER(E442),E442,""))))</f>
        <v/>
      </c>
      <c r="AR442" s="96">
        <f>IF(NOT(ISNUMBER(U442)),0,IF(T442="RECEBIMENTO NÃO CONFIRMADO",IF(AND(ISNUMBER(cfg_rec),U442&gt;cfg_rec),1,0),IF(OR(T442="CDF NÃO LOCALIZADO",T442="VÍNCULO INCOMPLETO",T442="CDF A CONFERIR"),IF(AND(ISNUMBER(cfg_cdf),U442&gt;cfg_cdf),1,0),0)))</f>
        <v>0</v>
      </c>
      <c r="AS442" s="96" t="str">
        <f>IF(T442="","",IF(AR442=1,"Alta",IFERROR(INDEX(cfg_pp,MATCH(T442,cfg_pt,0))&amp;"","Média")))</f>
        <v/>
      </c>
      <c r="AT442" s="96" t="str">
        <f>IF(T442="","",IFERROR(INDEX(cfg_pv,MATCH(T442,cfg_pt,0))&amp;"",""))</f>
        <v/>
      </c>
      <c r="AU442" s="96" t="str">
        <f>IF(T442="","",IF(AS442="Alta",1,IF(AS442="Média",2,3))*1000000000+(999999-IF(ISNUMBER(U442),MIN(U442,999999),0))*1000+437)</f>
        <v/>
      </c>
      <c r="AV442" s="96">
        <f>IF(T442&lt;&gt;"",1,0)</f>
        <v>0</v>
      </c>
      <c r="AW442" s="96" t="str">
        <f>IF(Z442=0,"",IF(AA442=1,"Cancelamento informado; ","")&amp;IF(AE442=1,"Campos essenciais ou itens faltando; ","")&amp;IF(AC442=1,"Possível duplicidade do número; ","")&amp;IF(AD442=1,"Cadastro ou datas a revisar; ","")&amp;IF(AF442&gt;0,"Item de resíduo com dado a revisar; ","")&amp;IF(AH442&gt;0,"Diferença de quantidade a analisar; ","")&amp;IF(AK442&gt;0,"Recebimento com alerta; ","")&amp;IF(AL442&gt;0,"Vínculo de CDF com alerta; ","")&amp;IF(AND(AA442=0,AN442=0),"Recebimento não confirmado; ","")&amp;IF(AND(AA442=0,AN442=1,AO442=0),"CDF pendente ou a conferir; ",""))</f>
        <v/>
      </c>
      <c r="AX442" s="96">
        <f>IF(Z442=0,0,IF(AND(OR(f_ini="",AND(ISNUMBER(E442),E442&gt;=f_ini)),OR(f_fim="",AND(ISNUMBER(E442),E442&lt;=f_fim)),OR(f_un="",f_un="(Todas)",G442=f_un),OR(f_tr="",f_tr="(Todos)",H442=f_tr),OR(f_de="",f_de="(Todos)",I442=f_de),OR(f_sit="",f_sit="(Todas)",S442=f_sit)),1,0))</f>
        <v>0</v>
      </c>
      <c r="AY442" s="96">
        <f>IF(AX442=0,0,IF(OR(f_res="",f_res="(Todos)"),1,IF(COUNTIFS('ITENS_MTR'!$S$6:$S$1005,A442,'ITENS_MTR'!$C$6:$C$1005,f_res)&gt;0,1,0)))</f>
        <v>0</v>
      </c>
      <c r="AZ442" s="97" t="str">
        <f>IF(ISNUMBER(E442),DATE(YEAR(E442),MONTH(E442),1),"")</f>
        <v/>
      </c>
      <c r="BA442" s="96">
        <f>IF(Z442=0,0,IF(AND(OR(r_ini="",AND(ISNUMBER(E442),E442&gt;=r_ini)),OR(r_fim="",AND(ISNUMBER(E442),E442&lt;=r_fim)),OR(r_un="",r_un="(Todas)",G442=r_un),OR(r_de="",r_de="(Todos)",I442=r_de)),1,0))</f>
        <v>0</v>
      </c>
      <c r="BB442" s="96" t="str">
        <f>IF(BA442=1,COUNTIF($BA$6:BA442,1),"")</f>
        <v/>
      </c>
      <c r="BC442" s="96" t="str">
        <f>IF(AND(AU442&lt;&gt;"",OR(r_un="",r_un="(Todas)",G442=r_un),OR(r_de="",r_de="(Todos)",I442=r_de)),AU442,"")</f>
        <v/>
      </c>
      <c r="BD442" s="96" t="str">
        <f>IF(Z442=1,A442&amp;" | nº "&amp;IF(B442="","(sem número)",B442)&amp;" | "&amp;IF(G442="","(sem unidade)",G442),"")</f>
        <v/>
      </c>
      <c r="BE442" s="96" t="str">
        <f>IF(Z442=1,COUNTIF($Z$6:Z442,1),"")</f>
        <v/>
      </c>
      <c r="BF442" s="96" t="str">
        <f>IF(T442="","",IF(T442="RECEBIMENTO NÃO CONFIRMADO","Transp.: "&amp;H442&amp;" | Dest.: "&amp;I442,IF(OR(T442="CDF NÃO LOCALIZADO",T442="VÍNCULO INCOMPLETO",T442="CDF A CONFERIR"),"Dest.: "&amp;I442,"Gerador: "&amp;G442)))</f>
        <v/>
      </c>
    </row>
    <row r="443">
      <c r="A443" s="89" t="inlineStr">
        <is>
          <t>MTR-000438</t>
        </is>
      </c>
      <c r="B443" s="90" t="n"/>
      <c r="C443" s="91" t="n"/>
      <c r="D443" s="91" t="n"/>
      <c r="E443" s="92" t="n"/>
      <c r="F443" s="92" t="n"/>
      <c r="G443" s="91" t="n"/>
      <c r="H443" s="91" t="n"/>
      <c r="I443" s="91" t="n"/>
      <c r="J443" s="91" t="n"/>
      <c r="K443" s="91" t="n"/>
      <c r="L443" s="92" t="n"/>
      <c r="M443" s="91" t="n"/>
      <c r="N443" s="91" t="n"/>
      <c r="O443" s="91" t="n"/>
      <c r="P443" s="93" t="str">
        <f>IF(Z443=0,"",SUMIFS('ITENS_MTR'!$I$6:$I$1005,'ITENS_MTR'!$S$6:$S$1005,A443,'ITENS_MTR'!$Y$6:$Y$1005,1))</f>
        <v/>
      </c>
      <c r="Q443" s="93" t="str">
        <f>IF(Z443=0,"",SUMIFS('RECEBIMENTOS'!$H$6:$H$1005,'RECEBIMENTOS'!$B$6:$B$1005,A443,'RECEBIMENTOS'!$X$6:$X$1005,1))</f>
        <v/>
      </c>
      <c r="R443" s="93" t="str">
        <f>IF(Z443=0,"",SUMIFS('VÍNCULOS_CDF'!$H$6:$H$1005,'VÍNCULOS_CDF'!$D$6:$D$1005,A443,'VÍNCULOS_CDF'!$V$6:$V$1005,1))</f>
        <v/>
      </c>
      <c r="S443" s="94" t="str">
        <f>IF(Z443=0,"",IF(AA443=1,"Cancelado (informado)",IF(AE443=1,"Cadastro incompleto",IF(OR(AC443=1,AD443=1,AF443&gt;0,AH443&gt;0,AK443&gt;0,AL443&gt;0),"Informação a revisar",IF(AN443=0,"Aguardando recebimento",IF(N(R443)=0,"Aguardando CDF",IF(AJ443&lt;N(W443),"Vínculo de CDF parcial",IF(AO443=0,"CDF localizado, a conferir","Documentação conferida"))))))))</f>
        <v/>
      </c>
      <c r="T443" s="94" t="str">
        <f>IF(Z443=0,"",IF(S443="Cadastro incompleto","MTR INCOMPLETO",IF(S443="Informação a revisar",IF(AND(AH443&gt;0,AC443=0,AD443=0,AF443=0,AK443=0,AL443=0),"QUANTIDADE A REVISAR","IDENTIFICAÇÃO A REVISAR"),IF(S443="Aguardando recebimento","RECEBIMENTO NÃO CONFIRMADO",IF(S443="Aguardando CDF","CDF NÃO LOCALIZADO",IF(S443="Vínculo de CDF parcial","VÍNCULO INCOMPLETO",IF(S443="CDF localizado, a conferir","CDF A CONFERIR","")))))))</f>
        <v/>
      </c>
      <c r="U443" s="95" t="str">
        <f>IF(T443="","",IF(AQ443="","Não calculável",IF(AQ443&gt;TODAY(),"Data futura",TODAY()-AQ443)))</f>
        <v/>
      </c>
      <c r="V443" s="93" t="str">
        <f>IF(Z443=0,"",SUMIFS('RECEBIMENTOS'!$H$6:$H$1005,'RECEBIMENTOS'!$B$6:$B$1005,A443,'RECEBIMENTOS'!$Z$6:$Z$1005,1))</f>
        <v/>
      </c>
      <c r="W443" s="95" t="str">
        <f>IF(Z443=0,"",COUNTIFS('ITENS_MTR'!$S$6:$S$1005,A443,'ITENS_MTR'!$R$6:$R$1005,1))</f>
        <v/>
      </c>
      <c r="X443" s="94" t="str">
        <f>IF(AC443=1,"POSSÍVEL DUPLICIDADE","")</f>
        <v/>
      </c>
      <c r="Y443" s="94" t="str">
        <f>IF(Z443=0,"",IF(AW443="","Nenhuma",LEFT(AW443,LEN(AW443)-2)))</f>
        <v/>
      </c>
      <c r="Z443" s="96">
        <f>IF(COUNTA(B443:O443)&gt;0,1,0)</f>
        <v>0</v>
      </c>
      <c r="AA443" s="96">
        <f>IF(AND(Z443=1,K443&lt;&gt;""),IF(TRIM(K443)=TRIM(cfg_cancel),1,0),0)</f>
        <v>0</v>
      </c>
      <c r="AB443" s="96" t="str">
        <f>IF(AND(Z443=1,B443&lt;&gt;""),C443&amp;"|"&amp;D443&amp;"|"&amp;G443&amp;"|"&amp;TRIM(B443),"")</f>
        <v/>
      </c>
      <c r="AC443" s="96">
        <f>IF(AB443="",0,IF(SUMPRODUCT(--($AB$6:$AB$505=AB443))&gt;1,1,0))</f>
        <v>0</v>
      </c>
      <c r="AD443" s="96">
        <f>IF(Z443=0,0,IF(OR(AND(G443&lt;&gt;"",ISNA(MATCH(G443,'CAD_UNIDADES'!$C$6:$C$105,0))),AND(H443&lt;&gt;"",ISNA(MATCH(H443,cmp_transp,0))),AND(I443&lt;&gt;"",ISNA(MATCH(I443,cmp_dest,0))),AND(E443&lt;&gt;"",NOT(ISNUMBER(E443))),AND(F443&lt;&gt;"",NOT(ISNUMBER(F443))),AND(ISNUMBER(E443),ISNUMBER(F443),F443&lt;E443)),1,0))</f>
        <v>0</v>
      </c>
      <c r="AE443" s="96">
        <f>IF(Z443=0,0,IF(OR(B443="",C443="",E443="",G443="",H443="",I443="",N(W443)=0),1,0))</f>
        <v>0</v>
      </c>
      <c r="AF443" s="96">
        <f>IF(Z443=0,0,COUNTIFS('ITENS_MTR'!$S$6:$S$1005,A443,'ITENS_MTR'!$AI$6:$AI$1005,1))</f>
        <v>0</v>
      </c>
      <c r="AG443" s="96">
        <f>IF(Z443=0,0,COUNTIFS('ITENS_MTR'!$S$6:$S$1005,A443,'ITENS_MTR'!$AJ$6:$AJ$1005,1))</f>
        <v>0</v>
      </c>
      <c r="AH443" s="96">
        <f>IF(Z443=0,0,COUNTIFS('ITENS_MTR'!$S$6:$S$1005,A443,'ITENS_MTR'!$AM$6:$AM$1005,1))</f>
        <v>0</v>
      </c>
      <c r="AI443" s="96">
        <f>IF(Z443=0,0,COUNTIFS('ITENS_MTR'!$S$6:$S$1005,A443,'ITENS_MTR'!$AO$6:$AO$1005,1))</f>
        <v>0</v>
      </c>
      <c r="AJ443" s="96">
        <f>IF(Z443=0,0,COUNTIFS('ITENS_MTR'!$S$6:$S$1005,A443,'ITENS_MTR'!$AN$6:$AN$1005,1))</f>
        <v>0</v>
      </c>
      <c r="AK443" s="96">
        <f>IF(Z443=0,0,COUNTIFS('RECEBIMENTOS'!$B$6:$B$1005,A443,'RECEBIMENTOS'!$Y$6:$Y$1005,1))</f>
        <v>0</v>
      </c>
      <c r="AL443" s="96">
        <f>IF(Z443=0,0,COUNTIFS('VÍNCULOS_CDF'!$D$6:$D$1005,A443,'VÍNCULOS_CDF'!$Y$6:$Y$1005,1))</f>
        <v>0</v>
      </c>
      <c r="AM443" s="96">
        <f>IF(Z443=0,0,COUNTIFS('RECEBIMENTOS'!$B$6:$B$1005,A443,'RECEBIMENTOS'!$Q$6:$Q$1005,1))</f>
        <v>0</v>
      </c>
      <c r="AN443" s="96">
        <f>IF(AND(Z443=1,N(W443)&gt;0,AG443=N(W443)),1,0)</f>
        <v>0</v>
      </c>
      <c r="AO443" s="96">
        <f>IF(AND(Z443=1,N(W443)&gt;0,AI443=N(W443)),1,0)</f>
        <v>0</v>
      </c>
      <c r="AP443" s="97">
        <f>IF(Z443=0,0,_xlfn.MAXIFS('RECEBIMENTOS'!$E$6:$E$1005,'RECEBIMENTOS'!$B$6:$B$1005,A443))</f>
        <v>0</v>
      </c>
      <c r="AQ443" s="97" t="str">
        <f>IF(T443="","",IF(T443="RECEBIMENTO NÃO CONFIRMADO",IF(ISNUMBER(F443),F443,IF(ISNUMBER(E443),E443,"")),IF(OR(T443="CDF NÃO LOCALIZADO",T443="VÍNCULO INCOMPLETO",T443="CDF A CONFERIR"),IF(AP443&gt;0,AP443,IF(ISNUMBER(E443),E443,"")),IF(ISNUMBER(E443),E443,""))))</f>
        <v/>
      </c>
      <c r="AR443" s="96">
        <f>IF(NOT(ISNUMBER(U443)),0,IF(T443="RECEBIMENTO NÃO CONFIRMADO",IF(AND(ISNUMBER(cfg_rec),U443&gt;cfg_rec),1,0),IF(OR(T443="CDF NÃO LOCALIZADO",T443="VÍNCULO INCOMPLETO",T443="CDF A CONFERIR"),IF(AND(ISNUMBER(cfg_cdf),U443&gt;cfg_cdf),1,0),0)))</f>
        <v>0</v>
      </c>
      <c r="AS443" s="96" t="str">
        <f>IF(T443="","",IF(AR443=1,"Alta",IFERROR(INDEX(cfg_pp,MATCH(T443,cfg_pt,0))&amp;"","Média")))</f>
        <v/>
      </c>
      <c r="AT443" s="96" t="str">
        <f>IF(T443="","",IFERROR(INDEX(cfg_pv,MATCH(T443,cfg_pt,0))&amp;"",""))</f>
        <v/>
      </c>
      <c r="AU443" s="96" t="str">
        <f>IF(T443="","",IF(AS443="Alta",1,IF(AS443="Média",2,3))*1000000000+(999999-IF(ISNUMBER(U443),MIN(U443,999999),0))*1000+438)</f>
        <v/>
      </c>
      <c r="AV443" s="96">
        <f>IF(T443&lt;&gt;"",1,0)</f>
        <v>0</v>
      </c>
      <c r="AW443" s="96" t="str">
        <f>IF(Z443=0,"",IF(AA443=1,"Cancelamento informado; ","")&amp;IF(AE443=1,"Campos essenciais ou itens faltando; ","")&amp;IF(AC443=1,"Possível duplicidade do número; ","")&amp;IF(AD443=1,"Cadastro ou datas a revisar; ","")&amp;IF(AF443&gt;0,"Item de resíduo com dado a revisar; ","")&amp;IF(AH443&gt;0,"Diferença de quantidade a analisar; ","")&amp;IF(AK443&gt;0,"Recebimento com alerta; ","")&amp;IF(AL443&gt;0,"Vínculo de CDF com alerta; ","")&amp;IF(AND(AA443=0,AN443=0),"Recebimento não confirmado; ","")&amp;IF(AND(AA443=0,AN443=1,AO443=0),"CDF pendente ou a conferir; ",""))</f>
        <v/>
      </c>
      <c r="AX443" s="96">
        <f>IF(Z443=0,0,IF(AND(OR(f_ini="",AND(ISNUMBER(E443),E443&gt;=f_ini)),OR(f_fim="",AND(ISNUMBER(E443),E443&lt;=f_fim)),OR(f_un="",f_un="(Todas)",G443=f_un),OR(f_tr="",f_tr="(Todos)",H443=f_tr),OR(f_de="",f_de="(Todos)",I443=f_de),OR(f_sit="",f_sit="(Todas)",S443=f_sit)),1,0))</f>
        <v>0</v>
      </c>
      <c r="AY443" s="96">
        <f>IF(AX443=0,0,IF(OR(f_res="",f_res="(Todos)"),1,IF(COUNTIFS('ITENS_MTR'!$S$6:$S$1005,A443,'ITENS_MTR'!$C$6:$C$1005,f_res)&gt;0,1,0)))</f>
        <v>0</v>
      </c>
      <c r="AZ443" s="97" t="str">
        <f>IF(ISNUMBER(E443),DATE(YEAR(E443),MONTH(E443),1),"")</f>
        <v/>
      </c>
      <c r="BA443" s="96">
        <f>IF(Z443=0,0,IF(AND(OR(r_ini="",AND(ISNUMBER(E443),E443&gt;=r_ini)),OR(r_fim="",AND(ISNUMBER(E443),E443&lt;=r_fim)),OR(r_un="",r_un="(Todas)",G443=r_un),OR(r_de="",r_de="(Todos)",I443=r_de)),1,0))</f>
        <v>0</v>
      </c>
      <c r="BB443" s="96" t="str">
        <f>IF(BA443=1,COUNTIF($BA$6:BA443,1),"")</f>
        <v/>
      </c>
      <c r="BC443" s="96" t="str">
        <f>IF(AND(AU443&lt;&gt;"",OR(r_un="",r_un="(Todas)",G443=r_un),OR(r_de="",r_de="(Todos)",I443=r_de)),AU443,"")</f>
        <v/>
      </c>
      <c r="BD443" s="96" t="str">
        <f>IF(Z443=1,A443&amp;" | nº "&amp;IF(B443="","(sem número)",B443)&amp;" | "&amp;IF(G443="","(sem unidade)",G443),"")</f>
        <v/>
      </c>
      <c r="BE443" s="96" t="str">
        <f>IF(Z443=1,COUNTIF($Z$6:Z443,1),"")</f>
        <v/>
      </c>
      <c r="BF443" s="96" t="str">
        <f>IF(T443="","",IF(T443="RECEBIMENTO NÃO CONFIRMADO","Transp.: "&amp;H443&amp;" | Dest.: "&amp;I443,IF(OR(T443="CDF NÃO LOCALIZADO",T443="VÍNCULO INCOMPLETO",T443="CDF A CONFERIR"),"Dest.: "&amp;I443,"Gerador: "&amp;G443)))</f>
        <v/>
      </c>
    </row>
    <row r="444">
      <c r="A444" s="89" t="inlineStr">
        <is>
          <t>MTR-000439</t>
        </is>
      </c>
      <c r="B444" s="90" t="n"/>
      <c r="C444" s="91" t="n"/>
      <c r="D444" s="91" t="n"/>
      <c r="E444" s="92" t="n"/>
      <c r="F444" s="92" t="n"/>
      <c r="G444" s="91" t="n"/>
      <c r="H444" s="91" t="n"/>
      <c r="I444" s="91" t="n"/>
      <c r="J444" s="91" t="n"/>
      <c r="K444" s="91" t="n"/>
      <c r="L444" s="92" t="n"/>
      <c r="M444" s="91" t="n"/>
      <c r="N444" s="91" t="n"/>
      <c r="O444" s="91" t="n"/>
      <c r="P444" s="93" t="str">
        <f>IF(Z444=0,"",SUMIFS('ITENS_MTR'!$I$6:$I$1005,'ITENS_MTR'!$S$6:$S$1005,A444,'ITENS_MTR'!$Y$6:$Y$1005,1))</f>
        <v/>
      </c>
      <c r="Q444" s="93" t="str">
        <f>IF(Z444=0,"",SUMIFS('RECEBIMENTOS'!$H$6:$H$1005,'RECEBIMENTOS'!$B$6:$B$1005,A444,'RECEBIMENTOS'!$X$6:$X$1005,1))</f>
        <v/>
      </c>
      <c r="R444" s="93" t="str">
        <f>IF(Z444=0,"",SUMIFS('VÍNCULOS_CDF'!$H$6:$H$1005,'VÍNCULOS_CDF'!$D$6:$D$1005,A444,'VÍNCULOS_CDF'!$V$6:$V$1005,1))</f>
        <v/>
      </c>
      <c r="S444" s="94" t="str">
        <f>IF(Z444=0,"",IF(AA444=1,"Cancelado (informado)",IF(AE444=1,"Cadastro incompleto",IF(OR(AC444=1,AD444=1,AF444&gt;0,AH444&gt;0,AK444&gt;0,AL444&gt;0),"Informação a revisar",IF(AN444=0,"Aguardando recebimento",IF(N(R444)=0,"Aguardando CDF",IF(AJ444&lt;N(W444),"Vínculo de CDF parcial",IF(AO444=0,"CDF localizado, a conferir","Documentação conferida"))))))))</f>
        <v/>
      </c>
      <c r="T444" s="94" t="str">
        <f>IF(Z444=0,"",IF(S444="Cadastro incompleto","MTR INCOMPLETO",IF(S444="Informação a revisar",IF(AND(AH444&gt;0,AC444=0,AD444=0,AF444=0,AK444=0,AL444=0),"QUANTIDADE A REVISAR","IDENTIFICAÇÃO A REVISAR"),IF(S444="Aguardando recebimento","RECEBIMENTO NÃO CONFIRMADO",IF(S444="Aguardando CDF","CDF NÃO LOCALIZADO",IF(S444="Vínculo de CDF parcial","VÍNCULO INCOMPLETO",IF(S444="CDF localizado, a conferir","CDF A CONFERIR","")))))))</f>
        <v/>
      </c>
      <c r="U444" s="95" t="str">
        <f>IF(T444="","",IF(AQ444="","Não calculável",IF(AQ444&gt;TODAY(),"Data futura",TODAY()-AQ444)))</f>
        <v/>
      </c>
      <c r="V444" s="93" t="str">
        <f>IF(Z444=0,"",SUMIFS('RECEBIMENTOS'!$H$6:$H$1005,'RECEBIMENTOS'!$B$6:$B$1005,A444,'RECEBIMENTOS'!$Z$6:$Z$1005,1))</f>
        <v/>
      </c>
      <c r="W444" s="95" t="str">
        <f>IF(Z444=0,"",COUNTIFS('ITENS_MTR'!$S$6:$S$1005,A444,'ITENS_MTR'!$R$6:$R$1005,1))</f>
        <v/>
      </c>
      <c r="X444" s="94" t="str">
        <f>IF(AC444=1,"POSSÍVEL DUPLICIDADE","")</f>
        <v/>
      </c>
      <c r="Y444" s="94" t="str">
        <f>IF(Z444=0,"",IF(AW444="","Nenhuma",LEFT(AW444,LEN(AW444)-2)))</f>
        <v/>
      </c>
      <c r="Z444" s="96">
        <f>IF(COUNTA(B444:O444)&gt;0,1,0)</f>
        <v>0</v>
      </c>
      <c r="AA444" s="96">
        <f>IF(AND(Z444=1,K444&lt;&gt;""),IF(TRIM(K444)=TRIM(cfg_cancel),1,0),0)</f>
        <v>0</v>
      </c>
      <c r="AB444" s="96" t="str">
        <f>IF(AND(Z444=1,B444&lt;&gt;""),C444&amp;"|"&amp;D444&amp;"|"&amp;G444&amp;"|"&amp;TRIM(B444),"")</f>
        <v/>
      </c>
      <c r="AC444" s="96">
        <f>IF(AB444="",0,IF(SUMPRODUCT(--($AB$6:$AB$505=AB444))&gt;1,1,0))</f>
        <v>0</v>
      </c>
      <c r="AD444" s="96">
        <f>IF(Z444=0,0,IF(OR(AND(G444&lt;&gt;"",ISNA(MATCH(G444,'CAD_UNIDADES'!$C$6:$C$105,0))),AND(H444&lt;&gt;"",ISNA(MATCH(H444,cmp_transp,0))),AND(I444&lt;&gt;"",ISNA(MATCH(I444,cmp_dest,0))),AND(E444&lt;&gt;"",NOT(ISNUMBER(E444))),AND(F444&lt;&gt;"",NOT(ISNUMBER(F444))),AND(ISNUMBER(E444),ISNUMBER(F444),F444&lt;E444)),1,0))</f>
        <v>0</v>
      </c>
      <c r="AE444" s="96">
        <f>IF(Z444=0,0,IF(OR(B444="",C444="",E444="",G444="",H444="",I444="",N(W444)=0),1,0))</f>
        <v>0</v>
      </c>
      <c r="AF444" s="96">
        <f>IF(Z444=0,0,COUNTIFS('ITENS_MTR'!$S$6:$S$1005,A444,'ITENS_MTR'!$AI$6:$AI$1005,1))</f>
        <v>0</v>
      </c>
      <c r="AG444" s="96">
        <f>IF(Z444=0,0,COUNTIFS('ITENS_MTR'!$S$6:$S$1005,A444,'ITENS_MTR'!$AJ$6:$AJ$1005,1))</f>
        <v>0</v>
      </c>
      <c r="AH444" s="96">
        <f>IF(Z444=0,0,COUNTIFS('ITENS_MTR'!$S$6:$S$1005,A444,'ITENS_MTR'!$AM$6:$AM$1005,1))</f>
        <v>0</v>
      </c>
      <c r="AI444" s="96">
        <f>IF(Z444=0,0,COUNTIFS('ITENS_MTR'!$S$6:$S$1005,A444,'ITENS_MTR'!$AO$6:$AO$1005,1))</f>
        <v>0</v>
      </c>
      <c r="AJ444" s="96">
        <f>IF(Z444=0,0,COUNTIFS('ITENS_MTR'!$S$6:$S$1005,A444,'ITENS_MTR'!$AN$6:$AN$1005,1))</f>
        <v>0</v>
      </c>
      <c r="AK444" s="96">
        <f>IF(Z444=0,0,COUNTIFS('RECEBIMENTOS'!$B$6:$B$1005,A444,'RECEBIMENTOS'!$Y$6:$Y$1005,1))</f>
        <v>0</v>
      </c>
      <c r="AL444" s="96">
        <f>IF(Z444=0,0,COUNTIFS('VÍNCULOS_CDF'!$D$6:$D$1005,A444,'VÍNCULOS_CDF'!$Y$6:$Y$1005,1))</f>
        <v>0</v>
      </c>
      <c r="AM444" s="96">
        <f>IF(Z444=0,0,COUNTIFS('RECEBIMENTOS'!$B$6:$B$1005,A444,'RECEBIMENTOS'!$Q$6:$Q$1005,1))</f>
        <v>0</v>
      </c>
      <c r="AN444" s="96">
        <f>IF(AND(Z444=1,N(W444)&gt;0,AG444=N(W444)),1,0)</f>
        <v>0</v>
      </c>
      <c r="AO444" s="96">
        <f>IF(AND(Z444=1,N(W444)&gt;0,AI444=N(W444)),1,0)</f>
        <v>0</v>
      </c>
      <c r="AP444" s="97">
        <f>IF(Z444=0,0,_xlfn.MAXIFS('RECEBIMENTOS'!$E$6:$E$1005,'RECEBIMENTOS'!$B$6:$B$1005,A444))</f>
        <v>0</v>
      </c>
      <c r="AQ444" s="97" t="str">
        <f>IF(T444="","",IF(T444="RECEBIMENTO NÃO CONFIRMADO",IF(ISNUMBER(F444),F444,IF(ISNUMBER(E444),E444,"")),IF(OR(T444="CDF NÃO LOCALIZADO",T444="VÍNCULO INCOMPLETO",T444="CDF A CONFERIR"),IF(AP444&gt;0,AP444,IF(ISNUMBER(E444),E444,"")),IF(ISNUMBER(E444),E444,""))))</f>
        <v/>
      </c>
      <c r="AR444" s="96">
        <f>IF(NOT(ISNUMBER(U444)),0,IF(T444="RECEBIMENTO NÃO CONFIRMADO",IF(AND(ISNUMBER(cfg_rec),U444&gt;cfg_rec),1,0),IF(OR(T444="CDF NÃO LOCALIZADO",T444="VÍNCULO INCOMPLETO",T444="CDF A CONFERIR"),IF(AND(ISNUMBER(cfg_cdf),U444&gt;cfg_cdf),1,0),0)))</f>
        <v>0</v>
      </c>
      <c r="AS444" s="96" t="str">
        <f>IF(T444="","",IF(AR444=1,"Alta",IFERROR(INDEX(cfg_pp,MATCH(T444,cfg_pt,0))&amp;"","Média")))</f>
        <v/>
      </c>
      <c r="AT444" s="96" t="str">
        <f>IF(T444="","",IFERROR(INDEX(cfg_pv,MATCH(T444,cfg_pt,0))&amp;"",""))</f>
        <v/>
      </c>
      <c r="AU444" s="96" t="str">
        <f>IF(T444="","",IF(AS444="Alta",1,IF(AS444="Média",2,3))*1000000000+(999999-IF(ISNUMBER(U444),MIN(U444,999999),0))*1000+439)</f>
        <v/>
      </c>
      <c r="AV444" s="96">
        <f>IF(T444&lt;&gt;"",1,0)</f>
        <v>0</v>
      </c>
      <c r="AW444" s="96" t="str">
        <f>IF(Z444=0,"",IF(AA444=1,"Cancelamento informado; ","")&amp;IF(AE444=1,"Campos essenciais ou itens faltando; ","")&amp;IF(AC444=1,"Possível duplicidade do número; ","")&amp;IF(AD444=1,"Cadastro ou datas a revisar; ","")&amp;IF(AF444&gt;0,"Item de resíduo com dado a revisar; ","")&amp;IF(AH444&gt;0,"Diferença de quantidade a analisar; ","")&amp;IF(AK444&gt;0,"Recebimento com alerta; ","")&amp;IF(AL444&gt;0,"Vínculo de CDF com alerta; ","")&amp;IF(AND(AA444=0,AN444=0),"Recebimento não confirmado; ","")&amp;IF(AND(AA444=0,AN444=1,AO444=0),"CDF pendente ou a conferir; ",""))</f>
        <v/>
      </c>
      <c r="AX444" s="96">
        <f>IF(Z444=0,0,IF(AND(OR(f_ini="",AND(ISNUMBER(E444),E444&gt;=f_ini)),OR(f_fim="",AND(ISNUMBER(E444),E444&lt;=f_fim)),OR(f_un="",f_un="(Todas)",G444=f_un),OR(f_tr="",f_tr="(Todos)",H444=f_tr),OR(f_de="",f_de="(Todos)",I444=f_de),OR(f_sit="",f_sit="(Todas)",S444=f_sit)),1,0))</f>
        <v>0</v>
      </c>
      <c r="AY444" s="96">
        <f>IF(AX444=0,0,IF(OR(f_res="",f_res="(Todos)"),1,IF(COUNTIFS('ITENS_MTR'!$S$6:$S$1005,A444,'ITENS_MTR'!$C$6:$C$1005,f_res)&gt;0,1,0)))</f>
        <v>0</v>
      </c>
      <c r="AZ444" s="97" t="str">
        <f>IF(ISNUMBER(E444),DATE(YEAR(E444),MONTH(E444),1),"")</f>
        <v/>
      </c>
      <c r="BA444" s="96">
        <f>IF(Z444=0,0,IF(AND(OR(r_ini="",AND(ISNUMBER(E444),E444&gt;=r_ini)),OR(r_fim="",AND(ISNUMBER(E444),E444&lt;=r_fim)),OR(r_un="",r_un="(Todas)",G444=r_un),OR(r_de="",r_de="(Todos)",I444=r_de)),1,0))</f>
        <v>0</v>
      </c>
      <c r="BB444" s="96" t="str">
        <f>IF(BA444=1,COUNTIF($BA$6:BA444,1),"")</f>
        <v/>
      </c>
      <c r="BC444" s="96" t="str">
        <f>IF(AND(AU444&lt;&gt;"",OR(r_un="",r_un="(Todas)",G444=r_un),OR(r_de="",r_de="(Todos)",I444=r_de)),AU444,"")</f>
        <v/>
      </c>
      <c r="BD444" s="96" t="str">
        <f>IF(Z444=1,A444&amp;" | nº "&amp;IF(B444="","(sem número)",B444)&amp;" | "&amp;IF(G444="","(sem unidade)",G444),"")</f>
        <v/>
      </c>
      <c r="BE444" s="96" t="str">
        <f>IF(Z444=1,COUNTIF($Z$6:Z444,1),"")</f>
        <v/>
      </c>
      <c r="BF444" s="96" t="str">
        <f>IF(T444="","",IF(T444="RECEBIMENTO NÃO CONFIRMADO","Transp.: "&amp;H444&amp;" | Dest.: "&amp;I444,IF(OR(T444="CDF NÃO LOCALIZADO",T444="VÍNCULO INCOMPLETO",T444="CDF A CONFERIR"),"Dest.: "&amp;I444,"Gerador: "&amp;G444)))</f>
        <v/>
      </c>
    </row>
    <row r="445">
      <c r="A445" s="89" t="inlineStr">
        <is>
          <t>MTR-000440</t>
        </is>
      </c>
      <c r="B445" s="90" t="n"/>
      <c r="C445" s="91" t="n"/>
      <c r="D445" s="91" t="n"/>
      <c r="E445" s="92" t="n"/>
      <c r="F445" s="92" t="n"/>
      <c r="G445" s="91" t="n"/>
      <c r="H445" s="91" t="n"/>
      <c r="I445" s="91" t="n"/>
      <c r="J445" s="91" t="n"/>
      <c r="K445" s="91" t="n"/>
      <c r="L445" s="92" t="n"/>
      <c r="M445" s="91" t="n"/>
      <c r="N445" s="91" t="n"/>
      <c r="O445" s="91" t="n"/>
      <c r="P445" s="93" t="str">
        <f>IF(Z445=0,"",SUMIFS('ITENS_MTR'!$I$6:$I$1005,'ITENS_MTR'!$S$6:$S$1005,A445,'ITENS_MTR'!$Y$6:$Y$1005,1))</f>
        <v/>
      </c>
      <c r="Q445" s="93" t="str">
        <f>IF(Z445=0,"",SUMIFS('RECEBIMENTOS'!$H$6:$H$1005,'RECEBIMENTOS'!$B$6:$B$1005,A445,'RECEBIMENTOS'!$X$6:$X$1005,1))</f>
        <v/>
      </c>
      <c r="R445" s="93" t="str">
        <f>IF(Z445=0,"",SUMIFS('VÍNCULOS_CDF'!$H$6:$H$1005,'VÍNCULOS_CDF'!$D$6:$D$1005,A445,'VÍNCULOS_CDF'!$V$6:$V$1005,1))</f>
        <v/>
      </c>
      <c r="S445" s="94" t="str">
        <f>IF(Z445=0,"",IF(AA445=1,"Cancelado (informado)",IF(AE445=1,"Cadastro incompleto",IF(OR(AC445=1,AD445=1,AF445&gt;0,AH445&gt;0,AK445&gt;0,AL445&gt;0),"Informação a revisar",IF(AN445=0,"Aguardando recebimento",IF(N(R445)=0,"Aguardando CDF",IF(AJ445&lt;N(W445),"Vínculo de CDF parcial",IF(AO445=0,"CDF localizado, a conferir","Documentação conferida"))))))))</f>
        <v/>
      </c>
      <c r="T445" s="94" t="str">
        <f>IF(Z445=0,"",IF(S445="Cadastro incompleto","MTR INCOMPLETO",IF(S445="Informação a revisar",IF(AND(AH445&gt;0,AC445=0,AD445=0,AF445=0,AK445=0,AL445=0),"QUANTIDADE A REVISAR","IDENTIFICAÇÃO A REVISAR"),IF(S445="Aguardando recebimento","RECEBIMENTO NÃO CONFIRMADO",IF(S445="Aguardando CDF","CDF NÃO LOCALIZADO",IF(S445="Vínculo de CDF parcial","VÍNCULO INCOMPLETO",IF(S445="CDF localizado, a conferir","CDF A CONFERIR","")))))))</f>
        <v/>
      </c>
      <c r="U445" s="95" t="str">
        <f>IF(T445="","",IF(AQ445="","Não calculável",IF(AQ445&gt;TODAY(),"Data futura",TODAY()-AQ445)))</f>
        <v/>
      </c>
      <c r="V445" s="93" t="str">
        <f>IF(Z445=0,"",SUMIFS('RECEBIMENTOS'!$H$6:$H$1005,'RECEBIMENTOS'!$B$6:$B$1005,A445,'RECEBIMENTOS'!$Z$6:$Z$1005,1))</f>
        <v/>
      </c>
      <c r="W445" s="95" t="str">
        <f>IF(Z445=0,"",COUNTIFS('ITENS_MTR'!$S$6:$S$1005,A445,'ITENS_MTR'!$R$6:$R$1005,1))</f>
        <v/>
      </c>
      <c r="X445" s="94" t="str">
        <f>IF(AC445=1,"POSSÍVEL DUPLICIDADE","")</f>
        <v/>
      </c>
      <c r="Y445" s="94" t="str">
        <f>IF(Z445=0,"",IF(AW445="","Nenhuma",LEFT(AW445,LEN(AW445)-2)))</f>
        <v/>
      </c>
      <c r="Z445" s="96">
        <f>IF(COUNTA(B445:O445)&gt;0,1,0)</f>
        <v>0</v>
      </c>
      <c r="AA445" s="96">
        <f>IF(AND(Z445=1,K445&lt;&gt;""),IF(TRIM(K445)=TRIM(cfg_cancel),1,0),0)</f>
        <v>0</v>
      </c>
      <c r="AB445" s="96" t="str">
        <f>IF(AND(Z445=1,B445&lt;&gt;""),C445&amp;"|"&amp;D445&amp;"|"&amp;G445&amp;"|"&amp;TRIM(B445),"")</f>
        <v/>
      </c>
      <c r="AC445" s="96">
        <f>IF(AB445="",0,IF(SUMPRODUCT(--($AB$6:$AB$505=AB445))&gt;1,1,0))</f>
        <v>0</v>
      </c>
      <c r="AD445" s="96">
        <f>IF(Z445=0,0,IF(OR(AND(G445&lt;&gt;"",ISNA(MATCH(G445,'CAD_UNIDADES'!$C$6:$C$105,0))),AND(H445&lt;&gt;"",ISNA(MATCH(H445,cmp_transp,0))),AND(I445&lt;&gt;"",ISNA(MATCH(I445,cmp_dest,0))),AND(E445&lt;&gt;"",NOT(ISNUMBER(E445))),AND(F445&lt;&gt;"",NOT(ISNUMBER(F445))),AND(ISNUMBER(E445),ISNUMBER(F445),F445&lt;E445)),1,0))</f>
        <v>0</v>
      </c>
      <c r="AE445" s="96">
        <f>IF(Z445=0,0,IF(OR(B445="",C445="",E445="",G445="",H445="",I445="",N(W445)=0),1,0))</f>
        <v>0</v>
      </c>
      <c r="AF445" s="96">
        <f>IF(Z445=0,0,COUNTIFS('ITENS_MTR'!$S$6:$S$1005,A445,'ITENS_MTR'!$AI$6:$AI$1005,1))</f>
        <v>0</v>
      </c>
      <c r="AG445" s="96">
        <f>IF(Z445=0,0,COUNTIFS('ITENS_MTR'!$S$6:$S$1005,A445,'ITENS_MTR'!$AJ$6:$AJ$1005,1))</f>
        <v>0</v>
      </c>
      <c r="AH445" s="96">
        <f>IF(Z445=0,0,COUNTIFS('ITENS_MTR'!$S$6:$S$1005,A445,'ITENS_MTR'!$AM$6:$AM$1005,1))</f>
        <v>0</v>
      </c>
      <c r="AI445" s="96">
        <f>IF(Z445=0,0,COUNTIFS('ITENS_MTR'!$S$6:$S$1005,A445,'ITENS_MTR'!$AO$6:$AO$1005,1))</f>
        <v>0</v>
      </c>
      <c r="AJ445" s="96">
        <f>IF(Z445=0,0,COUNTIFS('ITENS_MTR'!$S$6:$S$1005,A445,'ITENS_MTR'!$AN$6:$AN$1005,1))</f>
        <v>0</v>
      </c>
      <c r="AK445" s="96">
        <f>IF(Z445=0,0,COUNTIFS('RECEBIMENTOS'!$B$6:$B$1005,A445,'RECEBIMENTOS'!$Y$6:$Y$1005,1))</f>
        <v>0</v>
      </c>
      <c r="AL445" s="96">
        <f>IF(Z445=0,0,COUNTIFS('VÍNCULOS_CDF'!$D$6:$D$1005,A445,'VÍNCULOS_CDF'!$Y$6:$Y$1005,1))</f>
        <v>0</v>
      </c>
      <c r="AM445" s="96">
        <f>IF(Z445=0,0,COUNTIFS('RECEBIMENTOS'!$B$6:$B$1005,A445,'RECEBIMENTOS'!$Q$6:$Q$1005,1))</f>
        <v>0</v>
      </c>
      <c r="AN445" s="96">
        <f>IF(AND(Z445=1,N(W445)&gt;0,AG445=N(W445)),1,0)</f>
        <v>0</v>
      </c>
      <c r="AO445" s="96">
        <f>IF(AND(Z445=1,N(W445)&gt;0,AI445=N(W445)),1,0)</f>
        <v>0</v>
      </c>
      <c r="AP445" s="97">
        <f>IF(Z445=0,0,_xlfn.MAXIFS('RECEBIMENTOS'!$E$6:$E$1005,'RECEBIMENTOS'!$B$6:$B$1005,A445))</f>
        <v>0</v>
      </c>
      <c r="AQ445" s="97" t="str">
        <f>IF(T445="","",IF(T445="RECEBIMENTO NÃO CONFIRMADO",IF(ISNUMBER(F445),F445,IF(ISNUMBER(E445),E445,"")),IF(OR(T445="CDF NÃO LOCALIZADO",T445="VÍNCULO INCOMPLETO",T445="CDF A CONFERIR"),IF(AP445&gt;0,AP445,IF(ISNUMBER(E445),E445,"")),IF(ISNUMBER(E445),E445,""))))</f>
        <v/>
      </c>
      <c r="AR445" s="96">
        <f>IF(NOT(ISNUMBER(U445)),0,IF(T445="RECEBIMENTO NÃO CONFIRMADO",IF(AND(ISNUMBER(cfg_rec),U445&gt;cfg_rec),1,0),IF(OR(T445="CDF NÃO LOCALIZADO",T445="VÍNCULO INCOMPLETO",T445="CDF A CONFERIR"),IF(AND(ISNUMBER(cfg_cdf),U445&gt;cfg_cdf),1,0),0)))</f>
        <v>0</v>
      </c>
      <c r="AS445" s="96" t="str">
        <f>IF(T445="","",IF(AR445=1,"Alta",IFERROR(INDEX(cfg_pp,MATCH(T445,cfg_pt,0))&amp;"","Média")))</f>
        <v/>
      </c>
      <c r="AT445" s="96" t="str">
        <f>IF(T445="","",IFERROR(INDEX(cfg_pv,MATCH(T445,cfg_pt,0))&amp;"",""))</f>
        <v/>
      </c>
      <c r="AU445" s="96" t="str">
        <f>IF(T445="","",IF(AS445="Alta",1,IF(AS445="Média",2,3))*1000000000+(999999-IF(ISNUMBER(U445),MIN(U445,999999),0))*1000+440)</f>
        <v/>
      </c>
      <c r="AV445" s="96">
        <f>IF(T445&lt;&gt;"",1,0)</f>
        <v>0</v>
      </c>
      <c r="AW445" s="96" t="str">
        <f>IF(Z445=0,"",IF(AA445=1,"Cancelamento informado; ","")&amp;IF(AE445=1,"Campos essenciais ou itens faltando; ","")&amp;IF(AC445=1,"Possível duplicidade do número; ","")&amp;IF(AD445=1,"Cadastro ou datas a revisar; ","")&amp;IF(AF445&gt;0,"Item de resíduo com dado a revisar; ","")&amp;IF(AH445&gt;0,"Diferença de quantidade a analisar; ","")&amp;IF(AK445&gt;0,"Recebimento com alerta; ","")&amp;IF(AL445&gt;0,"Vínculo de CDF com alerta; ","")&amp;IF(AND(AA445=0,AN445=0),"Recebimento não confirmado; ","")&amp;IF(AND(AA445=0,AN445=1,AO445=0),"CDF pendente ou a conferir; ",""))</f>
        <v/>
      </c>
      <c r="AX445" s="96">
        <f>IF(Z445=0,0,IF(AND(OR(f_ini="",AND(ISNUMBER(E445),E445&gt;=f_ini)),OR(f_fim="",AND(ISNUMBER(E445),E445&lt;=f_fim)),OR(f_un="",f_un="(Todas)",G445=f_un),OR(f_tr="",f_tr="(Todos)",H445=f_tr),OR(f_de="",f_de="(Todos)",I445=f_de),OR(f_sit="",f_sit="(Todas)",S445=f_sit)),1,0))</f>
        <v>0</v>
      </c>
      <c r="AY445" s="96">
        <f>IF(AX445=0,0,IF(OR(f_res="",f_res="(Todos)"),1,IF(COUNTIFS('ITENS_MTR'!$S$6:$S$1005,A445,'ITENS_MTR'!$C$6:$C$1005,f_res)&gt;0,1,0)))</f>
        <v>0</v>
      </c>
      <c r="AZ445" s="97" t="str">
        <f>IF(ISNUMBER(E445),DATE(YEAR(E445),MONTH(E445),1),"")</f>
        <v/>
      </c>
      <c r="BA445" s="96">
        <f>IF(Z445=0,0,IF(AND(OR(r_ini="",AND(ISNUMBER(E445),E445&gt;=r_ini)),OR(r_fim="",AND(ISNUMBER(E445),E445&lt;=r_fim)),OR(r_un="",r_un="(Todas)",G445=r_un),OR(r_de="",r_de="(Todos)",I445=r_de)),1,0))</f>
        <v>0</v>
      </c>
      <c r="BB445" s="96" t="str">
        <f>IF(BA445=1,COUNTIF($BA$6:BA445,1),"")</f>
        <v/>
      </c>
      <c r="BC445" s="96" t="str">
        <f>IF(AND(AU445&lt;&gt;"",OR(r_un="",r_un="(Todas)",G445=r_un),OR(r_de="",r_de="(Todos)",I445=r_de)),AU445,"")</f>
        <v/>
      </c>
      <c r="BD445" s="96" t="str">
        <f>IF(Z445=1,A445&amp;" | nº "&amp;IF(B445="","(sem número)",B445)&amp;" | "&amp;IF(G445="","(sem unidade)",G445),"")</f>
        <v/>
      </c>
      <c r="BE445" s="96" t="str">
        <f>IF(Z445=1,COUNTIF($Z$6:Z445,1),"")</f>
        <v/>
      </c>
      <c r="BF445" s="96" t="str">
        <f>IF(T445="","",IF(T445="RECEBIMENTO NÃO CONFIRMADO","Transp.: "&amp;H445&amp;" | Dest.: "&amp;I445,IF(OR(T445="CDF NÃO LOCALIZADO",T445="VÍNCULO INCOMPLETO",T445="CDF A CONFERIR"),"Dest.: "&amp;I445,"Gerador: "&amp;G445)))</f>
        <v/>
      </c>
    </row>
    <row r="446">
      <c r="A446" s="89" t="inlineStr">
        <is>
          <t>MTR-000441</t>
        </is>
      </c>
      <c r="B446" s="90" t="n"/>
      <c r="C446" s="91" t="n"/>
      <c r="D446" s="91" t="n"/>
      <c r="E446" s="92" t="n"/>
      <c r="F446" s="92" t="n"/>
      <c r="G446" s="91" t="n"/>
      <c r="H446" s="91" t="n"/>
      <c r="I446" s="91" t="n"/>
      <c r="J446" s="91" t="n"/>
      <c r="K446" s="91" t="n"/>
      <c r="L446" s="92" t="n"/>
      <c r="M446" s="91" t="n"/>
      <c r="N446" s="91" t="n"/>
      <c r="O446" s="91" t="n"/>
      <c r="P446" s="93" t="str">
        <f>IF(Z446=0,"",SUMIFS('ITENS_MTR'!$I$6:$I$1005,'ITENS_MTR'!$S$6:$S$1005,A446,'ITENS_MTR'!$Y$6:$Y$1005,1))</f>
        <v/>
      </c>
      <c r="Q446" s="93" t="str">
        <f>IF(Z446=0,"",SUMIFS('RECEBIMENTOS'!$H$6:$H$1005,'RECEBIMENTOS'!$B$6:$B$1005,A446,'RECEBIMENTOS'!$X$6:$X$1005,1))</f>
        <v/>
      </c>
      <c r="R446" s="93" t="str">
        <f>IF(Z446=0,"",SUMIFS('VÍNCULOS_CDF'!$H$6:$H$1005,'VÍNCULOS_CDF'!$D$6:$D$1005,A446,'VÍNCULOS_CDF'!$V$6:$V$1005,1))</f>
        <v/>
      </c>
      <c r="S446" s="94" t="str">
        <f>IF(Z446=0,"",IF(AA446=1,"Cancelado (informado)",IF(AE446=1,"Cadastro incompleto",IF(OR(AC446=1,AD446=1,AF446&gt;0,AH446&gt;0,AK446&gt;0,AL446&gt;0),"Informação a revisar",IF(AN446=0,"Aguardando recebimento",IF(N(R446)=0,"Aguardando CDF",IF(AJ446&lt;N(W446),"Vínculo de CDF parcial",IF(AO446=0,"CDF localizado, a conferir","Documentação conferida"))))))))</f>
        <v/>
      </c>
      <c r="T446" s="94" t="str">
        <f>IF(Z446=0,"",IF(S446="Cadastro incompleto","MTR INCOMPLETO",IF(S446="Informação a revisar",IF(AND(AH446&gt;0,AC446=0,AD446=0,AF446=0,AK446=0,AL446=0),"QUANTIDADE A REVISAR","IDENTIFICAÇÃO A REVISAR"),IF(S446="Aguardando recebimento","RECEBIMENTO NÃO CONFIRMADO",IF(S446="Aguardando CDF","CDF NÃO LOCALIZADO",IF(S446="Vínculo de CDF parcial","VÍNCULO INCOMPLETO",IF(S446="CDF localizado, a conferir","CDF A CONFERIR","")))))))</f>
        <v/>
      </c>
      <c r="U446" s="95" t="str">
        <f>IF(T446="","",IF(AQ446="","Não calculável",IF(AQ446&gt;TODAY(),"Data futura",TODAY()-AQ446)))</f>
        <v/>
      </c>
      <c r="V446" s="93" t="str">
        <f>IF(Z446=0,"",SUMIFS('RECEBIMENTOS'!$H$6:$H$1005,'RECEBIMENTOS'!$B$6:$B$1005,A446,'RECEBIMENTOS'!$Z$6:$Z$1005,1))</f>
        <v/>
      </c>
      <c r="W446" s="95" t="str">
        <f>IF(Z446=0,"",COUNTIFS('ITENS_MTR'!$S$6:$S$1005,A446,'ITENS_MTR'!$R$6:$R$1005,1))</f>
        <v/>
      </c>
      <c r="X446" s="94" t="str">
        <f>IF(AC446=1,"POSSÍVEL DUPLICIDADE","")</f>
        <v/>
      </c>
      <c r="Y446" s="94" t="str">
        <f>IF(Z446=0,"",IF(AW446="","Nenhuma",LEFT(AW446,LEN(AW446)-2)))</f>
        <v/>
      </c>
      <c r="Z446" s="96">
        <f>IF(COUNTA(B446:O446)&gt;0,1,0)</f>
        <v>0</v>
      </c>
      <c r="AA446" s="96">
        <f>IF(AND(Z446=1,K446&lt;&gt;""),IF(TRIM(K446)=TRIM(cfg_cancel),1,0),0)</f>
        <v>0</v>
      </c>
      <c r="AB446" s="96" t="str">
        <f>IF(AND(Z446=1,B446&lt;&gt;""),C446&amp;"|"&amp;D446&amp;"|"&amp;G446&amp;"|"&amp;TRIM(B446),"")</f>
        <v/>
      </c>
      <c r="AC446" s="96">
        <f>IF(AB446="",0,IF(SUMPRODUCT(--($AB$6:$AB$505=AB446))&gt;1,1,0))</f>
        <v>0</v>
      </c>
      <c r="AD446" s="96">
        <f>IF(Z446=0,0,IF(OR(AND(G446&lt;&gt;"",ISNA(MATCH(G446,'CAD_UNIDADES'!$C$6:$C$105,0))),AND(H446&lt;&gt;"",ISNA(MATCH(H446,cmp_transp,0))),AND(I446&lt;&gt;"",ISNA(MATCH(I446,cmp_dest,0))),AND(E446&lt;&gt;"",NOT(ISNUMBER(E446))),AND(F446&lt;&gt;"",NOT(ISNUMBER(F446))),AND(ISNUMBER(E446),ISNUMBER(F446),F446&lt;E446)),1,0))</f>
        <v>0</v>
      </c>
      <c r="AE446" s="96">
        <f>IF(Z446=0,0,IF(OR(B446="",C446="",E446="",G446="",H446="",I446="",N(W446)=0),1,0))</f>
        <v>0</v>
      </c>
      <c r="AF446" s="96">
        <f>IF(Z446=0,0,COUNTIFS('ITENS_MTR'!$S$6:$S$1005,A446,'ITENS_MTR'!$AI$6:$AI$1005,1))</f>
        <v>0</v>
      </c>
      <c r="AG446" s="96">
        <f>IF(Z446=0,0,COUNTIFS('ITENS_MTR'!$S$6:$S$1005,A446,'ITENS_MTR'!$AJ$6:$AJ$1005,1))</f>
        <v>0</v>
      </c>
      <c r="AH446" s="96">
        <f>IF(Z446=0,0,COUNTIFS('ITENS_MTR'!$S$6:$S$1005,A446,'ITENS_MTR'!$AM$6:$AM$1005,1))</f>
        <v>0</v>
      </c>
      <c r="AI446" s="96">
        <f>IF(Z446=0,0,COUNTIFS('ITENS_MTR'!$S$6:$S$1005,A446,'ITENS_MTR'!$AO$6:$AO$1005,1))</f>
        <v>0</v>
      </c>
      <c r="AJ446" s="96">
        <f>IF(Z446=0,0,COUNTIFS('ITENS_MTR'!$S$6:$S$1005,A446,'ITENS_MTR'!$AN$6:$AN$1005,1))</f>
        <v>0</v>
      </c>
      <c r="AK446" s="96">
        <f>IF(Z446=0,0,COUNTIFS('RECEBIMENTOS'!$B$6:$B$1005,A446,'RECEBIMENTOS'!$Y$6:$Y$1005,1))</f>
        <v>0</v>
      </c>
      <c r="AL446" s="96">
        <f>IF(Z446=0,0,COUNTIFS('VÍNCULOS_CDF'!$D$6:$D$1005,A446,'VÍNCULOS_CDF'!$Y$6:$Y$1005,1))</f>
        <v>0</v>
      </c>
      <c r="AM446" s="96">
        <f>IF(Z446=0,0,COUNTIFS('RECEBIMENTOS'!$B$6:$B$1005,A446,'RECEBIMENTOS'!$Q$6:$Q$1005,1))</f>
        <v>0</v>
      </c>
      <c r="AN446" s="96">
        <f>IF(AND(Z446=1,N(W446)&gt;0,AG446=N(W446)),1,0)</f>
        <v>0</v>
      </c>
      <c r="AO446" s="96">
        <f>IF(AND(Z446=1,N(W446)&gt;0,AI446=N(W446)),1,0)</f>
        <v>0</v>
      </c>
      <c r="AP446" s="97">
        <f>IF(Z446=0,0,_xlfn.MAXIFS('RECEBIMENTOS'!$E$6:$E$1005,'RECEBIMENTOS'!$B$6:$B$1005,A446))</f>
        <v>0</v>
      </c>
      <c r="AQ446" s="97" t="str">
        <f>IF(T446="","",IF(T446="RECEBIMENTO NÃO CONFIRMADO",IF(ISNUMBER(F446),F446,IF(ISNUMBER(E446),E446,"")),IF(OR(T446="CDF NÃO LOCALIZADO",T446="VÍNCULO INCOMPLETO",T446="CDF A CONFERIR"),IF(AP446&gt;0,AP446,IF(ISNUMBER(E446),E446,"")),IF(ISNUMBER(E446),E446,""))))</f>
        <v/>
      </c>
      <c r="AR446" s="96">
        <f>IF(NOT(ISNUMBER(U446)),0,IF(T446="RECEBIMENTO NÃO CONFIRMADO",IF(AND(ISNUMBER(cfg_rec),U446&gt;cfg_rec),1,0),IF(OR(T446="CDF NÃO LOCALIZADO",T446="VÍNCULO INCOMPLETO",T446="CDF A CONFERIR"),IF(AND(ISNUMBER(cfg_cdf),U446&gt;cfg_cdf),1,0),0)))</f>
        <v>0</v>
      </c>
      <c r="AS446" s="96" t="str">
        <f>IF(T446="","",IF(AR446=1,"Alta",IFERROR(INDEX(cfg_pp,MATCH(T446,cfg_pt,0))&amp;"","Média")))</f>
        <v/>
      </c>
      <c r="AT446" s="96" t="str">
        <f>IF(T446="","",IFERROR(INDEX(cfg_pv,MATCH(T446,cfg_pt,0))&amp;"",""))</f>
        <v/>
      </c>
      <c r="AU446" s="96" t="str">
        <f>IF(T446="","",IF(AS446="Alta",1,IF(AS446="Média",2,3))*1000000000+(999999-IF(ISNUMBER(U446),MIN(U446,999999),0))*1000+441)</f>
        <v/>
      </c>
      <c r="AV446" s="96">
        <f>IF(T446&lt;&gt;"",1,0)</f>
        <v>0</v>
      </c>
      <c r="AW446" s="96" t="str">
        <f>IF(Z446=0,"",IF(AA446=1,"Cancelamento informado; ","")&amp;IF(AE446=1,"Campos essenciais ou itens faltando; ","")&amp;IF(AC446=1,"Possível duplicidade do número; ","")&amp;IF(AD446=1,"Cadastro ou datas a revisar; ","")&amp;IF(AF446&gt;0,"Item de resíduo com dado a revisar; ","")&amp;IF(AH446&gt;0,"Diferença de quantidade a analisar; ","")&amp;IF(AK446&gt;0,"Recebimento com alerta; ","")&amp;IF(AL446&gt;0,"Vínculo de CDF com alerta; ","")&amp;IF(AND(AA446=0,AN446=0),"Recebimento não confirmado; ","")&amp;IF(AND(AA446=0,AN446=1,AO446=0),"CDF pendente ou a conferir; ",""))</f>
        <v/>
      </c>
      <c r="AX446" s="96">
        <f>IF(Z446=0,0,IF(AND(OR(f_ini="",AND(ISNUMBER(E446),E446&gt;=f_ini)),OR(f_fim="",AND(ISNUMBER(E446),E446&lt;=f_fim)),OR(f_un="",f_un="(Todas)",G446=f_un),OR(f_tr="",f_tr="(Todos)",H446=f_tr),OR(f_de="",f_de="(Todos)",I446=f_de),OR(f_sit="",f_sit="(Todas)",S446=f_sit)),1,0))</f>
        <v>0</v>
      </c>
      <c r="AY446" s="96">
        <f>IF(AX446=0,0,IF(OR(f_res="",f_res="(Todos)"),1,IF(COUNTIFS('ITENS_MTR'!$S$6:$S$1005,A446,'ITENS_MTR'!$C$6:$C$1005,f_res)&gt;0,1,0)))</f>
        <v>0</v>
      </c>
      <c r="AZ446" s="97" t="str">
        <f>IF(ISNUMBER(E446),DATE(YEAR(E446),MONTH(E446),1),"")</f>
        <v/>
      </c>
      <c r="BA446" s="96">
        <f>IF(Z446=0,0,IF(AND(OR(r_ini="",AND(ISNUMBER(E446),E446&gt;=r_ini)),OR(r_fim="",AND(ISNUMBER(E446),E446&lt;=r_fim)),OR(r_un="",r_un="(Todas)",G446=r_un),OR(r_de="",r_de="(Todos)",I446=r_de)),1,0))</f>
        <v>0</v>
      </c>
      <c r="BB446" s="96" t="str">
        <f>IF(BA446=1,COUNTIF($BA$6:BA446,1),"")</f>
        <v/>
      </c>
      <c r="BC446" s="96" t="str">
        <f>IF(AND(AU446&lt;&gt;"",OR(r_un="",r_un="(Todas)",G446=r_un),OR(r_de="",r_de="(Todos)",I446=r_de)),AU446,"")</f>
        <v/>
      </c>
      <c r="BD446" s="96" t="str">
        <f>IF(Z446=1,A446&amp;" | nº "&amp;IF(B446="","(sem número)",B446)&amp;" | "&amp;IF(G446="","(sem unidade)",G446),"")</f>
        <v/>
      </c>
      <c r="BE446" s="96" t="str">
        <f>IF(Z446=1,COUNTIF($Z$6:Z446,1),"")</f>
        <v/>
      </c>
      <c r="BF446" s="96" t="str">
        <f>IF(T446="","",IF(T446="RECEBIMENTO NÃO CONFIRMADO","Transp.: "&amp;H446&amp;" | Dest.: "&amp;I446,IF(OR(T446="CDF NÃO LOCALIZADO",T446="VÍNCULO INCOMPLETO",T446="CDF A CONFERIR"),"Dest.: "&amp;I446,"Gerador: "&amp;G446)))</f>
        <v/>
      </c>
    </row>
    <row r="447">
      <c r="A447" s="89" t="inlineStr">
        <is>
          <t>MTR-000442</t>
        </is>
      </c>
      <c r="B447" s="90" t="n"/>
      <c r="C447" s="91" t="n"/>
      <c r="D447" s="91" t="n"/>
      <c r="E447" s="92" t="n"/>
      <c r="F447" s="92" t="n"/>
      <c r="G447" s="91" t="n"/>
      <c r="H447" s="91" t="n"/>
      <c r="I447" s="91" t="n"/>
      <c r="J447" s="91" t="n"/>
      <c r="K447" s="91" t="n"/>
      <c r="L447" s="92" t="n"/>
      <c r="M447" s="91" t="n"/>
      <c r="N447" s="91" t="n"/>
      <c r="O447" s="91" t="n"/>
      <c r="P447" s="93" t="str">
        <f>IF(Z447=0,"",SUMIFS('ITENS_MTR'!$I$6:$I$1005,'ITENS_MTR'!$S$6:$S$1005,A447,'ITENS_MTR'!$Y$6:$Y$1005,1))</f>
        <v/>
      </c>
      <c r="Q447" s="93" t="str">
        <f>IF(Z447=0,"",SUMIFS('RECEBIMENTOS'!$H$6:$H$1005,'RECEBIMENTOS'!$B$6:$B$1005,A447,'RECEBIMENTOS'!$X$6:$X$1005,1))</f>
        <v/>
      </c>
      <c r="R447" s="93" t="str">
        <f>IF(Z447=0,"",SUMIFS('VÍNCULOS_CDF'!$H$6:$H$1005,'VÍNCULOS_CDF'!$D$6:$D$1005,A447,'VÍNCULOS_CDF'!$V$6:$V$1005,1))</f>
        <v/>
      </c>
      <c r="S447" s="94" t="str">
        <f>IF(Z447=0,"",IF(AA447=1,"Cancelado (informado)",IF(AE447=1,"Cadastro incompleto",IF(OR(AC447=1,AD447=1,AF447&gt;0,AH447&gt;0,AK447&gt;0,AL447&gt;0),"Informação a revisar",IF(AN447=0,"Aguardando recebimento",IF(N(R447)=0,"Aguardando CDF",IF(AJ447&lt;N(W447),"Vínculo de CDF parcial",IF(AO447=0,"CDF localizado, a conferir","Documentação conferida"))))))))</f>
        <v/>
      </c>
      <c r="T447" s="94" t="str">
        <f>IF(Z447=0,"",IF(S447="Cadastro incompleto","MTR INCOMPLETO",IF(S447="Informação a revisar",IF(AND(AH447&gt;0,AC447=0,AD447=0,AF447=0,AK447=0,AL447=0),"QUANTIDADE A REVISAR","IDENTIFICAÇÃO A REVISAR"),IF(S447="Aguardando recebimento","RECEBIMENTO NÃO CONFIRMADO",IF(S447="Aguardando CDF","CDF NÃO LOCALIZADO",IF(S447="Vínculo de CDF parcial","VÍNCULO INCOMPLETO",IF(S447="CDF localizado, a conferir","CDF A CONFERIR","")))))))</f>
        <v/>
      </c>
      <c r="U447" s="95" t="str">
        <f>IF(T447="","",IF(AQ447="","Não calculável",IF(AQ447&gt;TODAY(),"Data futura",TODAY()-AQ447)))</f>
        <v/>
      </c>
      <c r="V447" s="93" t="str">
        <f>IF(Z447=0,"",SUMIFS('RECEBIMENTOS'!$H$6:$H$1005,'RECEBIMENTOS'!$B$6:$B$1005,A447,'RECEBIMENTOS'!$Z$6:$Z$1005,1))</f>
        <v/>
      </c>
      <c r="W447" s="95" t="str">
        <f>IF(Z447=0,"",COUNTIFS('ITENS_MTR'!$S$6:$S$1005,A447,'ITENS_MTR'!$R$6:$R$1005,1))</f>
        <v/>
      </c>
      <c r="X447" s="94" t="str">
        <f>IF(AC447=1,"POSSÍVEL DUPLICIDADE","")</f>
        <v/>
      </c>
      <c r="Y447" s="94" t="str">
        <f>IF(Z447=0,"",IF(AW447="","Nenhuma",LEFT(AW447,LEN(AW447)-2)))</f>
        <v/>
      </c>
      <c r="Z447" s="96">
        <f>IF(COUNTA(B447:O447)&gt;0,1,0)</f>
        <v>0</v>
      </c>
      <c r="AA447" s="96">
        <f>IF(AND(Z447=1,K447&lt;&gt;""),IF(TRIM(K447)=TRIM(cfg_cancel),1,0),0)</f>
        <v>0</v>
      </c>
      <c r="AB447" s="96" t="str">
        <f>IF(AND(Z447=1,B447&lt;&gt;""),C447&amp;"|"&amp;D447&amp;"|"&amp;G447&amp;"|"&amp;TRIM(B447),"")</f>
        <v/>
      </c>
      <c r="AC447" s="96">
        <f>IF(AB447="",0,IF(SUMPRODUCT(--($AB$6:$AB$505=AB447))&gt;1,1,0))</f>
        <v>0</v>
      </c>
      <c r="AD447" s="96">
        <f>IF(Z447=0,0,IF(OR(AND(G447&lt;&gt;"",ISNA(MATCH(G447,'CAD_UNIDADES'!$C$6:$C$105,0))),AND(H447&lt;&gt;"",ISNA(MATCH(H447,cmp_transp,0))),AND(I447&lt;&gt;"",ISNA(MATCH(I447,cmp_dest,0))),AND(E447&lt;&gt;"",NOT(ISNUMBER(E447))),AND(F447&lt;&gt;"",NOT(ISNUMBER(F447))),AND(ISNUMBER(E447),ISNUMBER(F447),F447&lt;E447)),1,0))</f>
        <v>0</v>
      </c>
      <c r="AE447" s="96">
        <f>IF(Z447=0,0,IF(OR(B447="",C447="",E447="",G447="",H447="",I447="",N(W447)=0),1,0))</f>
        <v>0</v>
      </c>
      <c r="AF447" s="96">
        <f>IF(Z447=0,0,COUNTIFS('ITENS_MTR'!$S$6:$S$1005,A447,'ITENS_MTR'!$AI$6:$AI$1005,1))</f>
        <v>0</v>
      </c>
      <c r="AG447" s="96">
        <f>IF(Z447=0,0,COUNTIFS('ITENS_MTR'!$S$6:$S$1005,A447,'ITENS_MTR'!$AJ$6:$AJ$1005,1))</f>
        <v>0</v>
      </c>
      <c r="AH447" s="96">
        <f>IF(Z447=0,0,COUNTIFS('ITENS_MTR'!$S$6:$S$1005,A447,'ITENS_MTR'!$AM$6:$AM$1005,1))</f>
        <v>0</v>
      </c>
      <c r="AI447" s="96">
        <f>IF(Z447=0,0,COUNTIFS('ITENS_MTR'!$S$6:$S$1005,A447,'ITENS_MTR'!$AO$6:$AO$1005,1))</f>
        <v>0</v>
      </c>
      <c r="AJ447" s="96">
        <f>IF(Z447=0,0,COUNTIFS('ITENS_MTR'!$S$6:$S$1005,A447,'ITENS_MTR'!$AN$6:$AN$1005,1))</f>
        <v>0</v>
      </c>
      <c r="AK447" s="96">
        <f>IF(Z447=0,0,COUNTIFS('RECEBIMENTOS'!$B$6:$B$1005,A447,'RECEBIMENTOS'!$Y$6:$Y$1005,1))</f>
        <v>0</v>
      </c>
      <c r="AL447" s="96">
        <f>IF(Z447=0,0,COUNTIFS('VÍNCULOS_CDF'!$D$6:$D$1005,A447,'VÍNCULOS_CDF'!$Y$6:$Y$1005,1))</f>
        <v>0</v>
      </c>
      <c r="AM447" s="96">
        <f>IF(Z447=0,0,COUNTIFS('RECEBIMENTOS'!$B$6:$B$1005,A447,'RECEBIMENTOS'!$Q$6:$Q$1005,1))</f>
        <v>0</v>
      </c>
      <c r="AN447" s="96">
        <f>IF(AND(Z447=1,N(W447)&gt;0,AG447=N(W447)),1,0)</f>
        <v>0</v>
      </c>
      <c r="AO447" s="96">
        <f>IF(AND(Z447=1,N(W447)&gt;0,AI447=N(W447)),1,0)</f>
        <v>0</v>
      </c>
      <c r="AP447" s="97">
        <f>IF(Z447=0,0,_xlfn.MAXIFS('RECEBIMENTOS'!$E$6:$E$1005,'RECEBIMENTOS'!$B$6:$B$1005,A447))</f>
        <v>0</v>
      </c>
      <c r="AQ447" s="97" t="str">
        <f>IF(T447="","",IF(T447="RECEBIMENTO NÃO CONFIRMADO",IF(ISNUMBER(F447),F447,IF(ISNUMBER(E447),E447,"")),IF(OR(T447="CDF NÃO LOCALIZADO",T447="VÍNCULO INCOMPLETO",T447="CDF A CONFERIR"),IF(AP447&gt;0,AP447,IF(ISNUMBER(E447),E447,"")),IF(ISNUMBER(E447),E447,""))))</f>
        <v/>
      </c>
      <c r="AR447" s="96">
        <f>IF(NOT(ISNUMBER(U447)),0,IF(T447="RECEBIMENTO NÃO CONFIRMADO",IF(AND(ISNUMBER(cfg_rec),U447&gt;cfg_rec),1,0),IF(OR(T447="CDF NÃO LOCALIZADO",T447="VÍNCULO INCOMPLETO",T447="CDF A CONFERIR"),IF(AND(ISNUMBER(cfg_cdf),U447&gt;cfg_cdf),1,0),0)))</f>
        <v>0</v>
      </c>
      <c r="AS447" s="96" t="str">
        <f>IF(T447="","",IF(AR447=1,"Alta",IFERROR(INDEX(cfg_pp,MATCH(T447,cfg_pt,0))&amp;"","Média")))</f>
        <v/>
      </c>
      <c r="AT447" s="96" t="str">
        <f>IF(T447="","",IFERROR(INDEX(cfg_pv,MATCH(T447,cfg_pt,0))&amp;"",""))</f>
        <v/>
      </c>
      <c r="AU447" s="96" t="str">
        <f>IF(T447="","",IF(AS447="Alta",1,IF(AS447="Média",2,3))*1000000000+(999999-IF(ISNUMBER(U447),MIN(U447,999999),0))*1000+442)</f>
        <v/>
      </c>
      <c r="AV447" s="96">
        <f>IF(T447&lt;&gt;"",1,0)</f>
        <v>0</v>
      </c>
      <c r="AW447" s="96" t="str">
        <f>IF(Z447=0,"",IF(AA447=1,"Cancelamento informado; ","")&amp;IF(AE447=1,"Campos essenciais ou itens faltando; ","")&amp;IF(AC447=1,"Possível duplicidade do número; ","")&amp;IF(AD447=1,"Cadastro ou datas a revisar; ","")&amp;IF(AF447&gt;0,"Item de resíduo com dado a revisar; ","")&amp;IF(AH447&gt;0,"Diferença de quantidade a analisar; ","")&amp;IF(AK447&gt;0,"Recebimento com alerta; ","")&amp;IF(AL447&gt;0,"Vínculo de CDF com alerta; ","")&amp;IF(AND(AA447=0,AN447=0),"Recebimento não confirmado; ","")&amp;IF(AND(AA447=0,AN447=1,AO447=0),"CDF pendente ou a conferir; ",""))</f>
        <v/>
      </c>
      <c r="AX447" s="96">
        <f>IF(Z447=0,0,IF(AND(OR(f_ini="",AND(ISNUMBER(E447),E447&gt;=f_ini)),OR(f_fim="",AND(ISNUMBER(E447),E447&lt;=f_fim)),OR(f_un="",f_un="(Todas)",G447=f_un),OR(f_tr="",f_tr="(Todos)",H447=f_tr),OR(f_de="",f_de="(Todos)",I447=f_de),OR(f_sit="",f_sit="(Todas)",S447=f_sit)),1,0))</f>
        <v>0</v>
      </c>
      <c r="AY447" s="96">
        <f>IF(AX447=0,0,IF(OR(f_res="",f_res="(Todos)"),1,IF(COUNTIFS('ITENS_MTR'!$S$6:$S$1005,A447,'ITENS_MTR'!$C$6:$C$1005,f_res)&gt;0,1,0)))</f>
        <v>0</v>
      </c>
      <c r="AZ447" s="97" t="str">
        <f>IF(ISNUMBER(E447),DATE(YEAR(E447),MONTH(E447),1),"")</f>
        <v/>
      </c>
      <c r="BA447" s="96">
        <f>IF(Z447=0,0,IF(AND(OR(r_ini="",AND(ISNUMBER(E447),E447&gt;=r_ini)),OR(r_fim="",AND(ISNUMBER(E447),E447&lt;=r_fim)),OR(r_un="",r_un="(Todas)",G447=r_un),OR(r_de="",r_de="(Todos)",I447=r_de)),1,0))</f>
        <v>0</v>
      </c>
      <c r="BB447" s="96" t="str">
        <f>IF(BA447=1,COUNTIF($BA$6:BA447,1),"")</f>
        <v/>
      </c>
      <c r="BC447" s="96" t="str">
        <f>IF(AND(AU447&lt;&gt;"",OR(r_un="",r_un="(Todas)",G447=r_un),OR(r_de="",r_de="(Todos)",I447=r_de)),AU447,"")</f>
        <v/>
      </c>
      <c r="BD447" s="96" t="str">
        <f>IF(Z447=1,A447&amp;" | nº "&amp;IF(B447="","(sem número)",B447)&amp;" | "&amp;IF(G447="","(sem unidade)",G447),"")</f>
        <v/>
      </c>
      <c r="BE447" s="96" t="str">
        <f>IF(Z447=1,COUNTIF($Z$6:Z447,1),"")</f>
        <v/>
      </c>
      <c r="BF447" s="96" t="str">
        <f>IF(T447="","",IF(T447="RECEBIMENTO NÃO CONFIRMADO","Transp.: "&amp;H447&amp;" | Dest.: "&amp;I447,IF(OR(T447="CDF NÃO LOCALIZADO",T447="VÍNCULO INCOMPLETO",T447="CDF A CONFERIR"),"Dest.: "&amp;I447,"Gerador: "&amp;G447)))</f>
        <v/>
      </c>
    </row>
    <row r="448">
      <c r="A448" s="89" t="inlineStr">
        <is>
          <t>MTR-000443</t>
        </is>
      </c>
      <c r="B448" s="90" t="n"/>
      <c r="C448" s="91" t="n"/>
      <c r="D448" s="91" t="n"/>
      <c r="E448" s="92" t="n"/>
      <c r="F448" s="92" t="n"/>
      <c r="G448" s="91" t="n"/>
      <c r="H448" s="91" t="n"/>
      <c r="I448" s="91" t="n"/>
      <c r="J448" s="91" t="n"/>
      <c r="K448" s="91" t="n"/>
      <c r="L448" s="92" t="n"/>
      <c r="M448" s="91" t="n"/>
      <c r="N448" s="91" t="n"/>
      <c r="O448" s="91" t="n"/>
      <c r="P448" s="93" t="str">
        <f>IF(Z448=0,"",SUMIFS('ITENS_MTR'!$I$6:$I$1005,'ITENS_MTR'!$S$6:$S$1005,A448,'ITENS_MTR'!$Y$6:$Y$1005,1))</f>
        <v/>
      </c>
      <c r="Q448" s="93" t="str">
        <f>IF(Z448=0,"",SUMIFS('RECEBIMENTOS'!$H$6:$H$1005,'RECEBIMENTOS'!$B$6:$B$1005,A448,'RECEBIMENTOS'!$X$6:$X$1005,1))</f>
        <v/>
      </c>
      <c r="R448" s="93" t="str">
        <f>IF(Z448=0,"",SUMIFS('VÍNCULOS_CDF'!$H$6:$H$1005,'VÍNCULOS_CDF'!$D$6:$D$1005,A448,'VÍNCULOS_CDF'!$V$6:$V$1005,1))</f>
        <v/>
      </c>
      <c r="S448" s="94" t="str">
        <f>IF(Z448=0,"",IF(AA448=1,"Cancelado (informado)",IF(AE448=1,"Cadastro incompleto",IF(OR(AC448=1,AD448=1,AF448&gt;0,AH448&gt;0,AK448&gt;0,AL448&gt;0),"Informação a revisar",IF(AN448=0,"Aguardando recebimento",IF(N(R448)=0,"Aguardando CDF",IF(AJ448&lt;N(W448),"Vínculo de CDF parcial",IF(AO448=0,"CDF localizado, a conferir","Documentação conferida"))))))))</f>
        <v/>
      </c>
      <c r="T448" s="94" t="str">
        <f>IF(Z448=0,"",IF(S448="Cadastro incompleto","MTR INCOMPLETO",IF(S448="Informação a revisar",IF(AND(AH448&gt;0,AC448=0,AD448=0,AF448=0,AK448=0,AL448=0),"QUANTIDADE A REVISAR","IDENTIFICAÇÃO A REVISAR"),IF(S448="Aguardando recebimento","RECEBIMENTO NÃO CONFIRMADO",IF(S448="Aguardando CDF","CDF NÃO LOCALIZADO",IF(S448="Vínculo de CDF parcial","VÍNCULO INCOMPLETO",IF(S448="CDF localizado, a conferir","CDF A CONFERIR","")))))))</f>
        <v/>
      </c>
      <c r="U448" s="95" t="str">
        <f>IF(T448="","",IF(AQ448="","Não calculável",IF(AQ448&gt;TODAY(),"Data futura",TODAY()-AQ448)))</f>
        <v/>
      </c>
      <c r="V448" s="93" t="str">
        <f>IF(Z448=0,"",SUMIFS('RECEBIMENTOS'!$H$6:$H$1005,'RECEBIMENTOS'!$B$6:$B$1005,A448,'RECEBIMENTOS'!$Z$6:$Z$1005,1))</f>
        <v/>
      </c>
      <c r="W448" s="95" t="str">
        <f>IF(Z448=0,"",COUNTIFS('ITENS_MTR'!$S$6:$S$1005,A448,'ITENS_MTR'!$R$6:$R$1005,1))</f>
        <v/>
      </c>
      <c r="X448" s="94" t="str">
        <f>IF(AC448=1,"POSSÍVEL DUPLICIDADE","")</f>
        <v/>
      </c>
      <c r="Y448" s="94" t="str">
        <f>IF(Z448=0,"",IF(AW448="","Nenhuma",LEFT(AW448,LEN(AW448)-2)))</f>
        <v/>
      </c>
      <c r="Z448" s="96">
        <f>IF(COUNTA(B448:O448)&gt;0,1,0)</f>
        <v>0</v>
      </c>
      <c r="AA448" s="96">
        <f>IF(AND(Z448=1,K448&lt;&gt;""),IF(TRIM(K448)=TRIM(cfg_cancel),1,0),0)</f>
        <v>0</v>
      </c>
      <c r="AB448" s="96" t="str">
        <f>IF(AND(Z448=1,B448&lt;&gt;""),C448&amp;"|"&amp;D448&amp;"|"&amp;G448&amp;"|"&amp;TRIM(B448),"")</f>
        <v/>
      </c>
      <c r="AC448" s="96">
        <f>IF(AB448="",0,IF(SUMPRODUCT(--($AB$6:$AB$505=AB448))&gt;1,1,0))</f>
        <v>0</v>
      </c>
      <c r="AD448" s="96">
        <f>IF(Z448=0,0,IF(OR(AND(G448&lt;&gt;"",ISNA(MATCH(G448,'CAD_UNIDADES'!$C$6:$C$105,0))),AND(H448&lt;&gt;"",ISNA(MATCH(H448,cmp_transp,0))),AND(I448&lt;&gt;"",ISNA(MATCH(I448,cmp_dest,0))),AND(E448&lt;&gt;"",NOT(ISNUMBER(E448))),AND(F448&lt;&gt;"",NOT(ISNUMBER(F448))),AND(ISNUMBER(E448),ISNUMBER(F448),F448&lt;E448)),1,0))</f>
        <v>0</v>
      </c>
      <c r="AE448" s="96">
        <f>IF(Z448=0,0,IF(OR(B448="",C448="",E448="",G448="",H448="",I448="",N(W448)=0),1,0))</f>
        <v>0</v>
      </c>
      <c r="AF448" s="96">
        <f>IF(Z448=0,0,COUNTIFS('ITENS_MTR'!$S$6:$S$1005,A448,'ITENS_MTR'!$AI$6:$AI$1005,1))</f>
        <v>0</v>
      </c>
      <c r="AG448" s="96">
        <f>IF(Z448=0,0,COUNTIFS('ITENS_MTR'!$S$6:$S$1005,A448,'ITENS_MTR'!$AJ$6:$AJ$1005,1))</f>
        <v>0</v>
      </c>
      <c r="AH448" s="96">
        <f>IF(Z448=0,0,COUNTIFS('ITENS_MTR'!$S$6:$S$1005,A448,'ITENS_MTR'!$AM$6:$AM$1005,1))</f>
        <v>0</v>
      </c>
      <c r="AI448" s="96">
        <f>IF(Z448=0,0,COUNTIFS('ITENS_MTR'!$S$6:$S$1005,A448,'ITENS_MTR'!$AO$6:$AO$1005,1))</f>
        <v>0</v>
      </c>
      <c r="AJ448" s="96">
        <f>IF(Z448=0,0,COUNTIFS('ITENS_MTR'!$S$6:$S$1005,A448,'ITENS_MTR'!$AN$6:$AN$1005,1))</f>
        <v>0</v>
      </c>
      <c r="AK448" s="96">
        <f>IF(Z448=0,0,COUNTIFS('RECEBIMENTOS'!$B$6:$B$1005,A448,'RECEBIMENTOS'!$Y$6:$Y$1005,1))</f>
        <v>0</v>
      </c>
      <c r="AL448" s="96">
        <f>IF(Z448=0,0,COUNTIFS('VÍNCULOS_CDF'!$D$6:$D$1005,A448,'VÍNCULOS_CDF'!$Y$6:$Y$1005,1))</f>
        <v>0</v>
      </c>
      <c r="AM448" s="96">
        <f>IF(Z448=0,0,COUNTIFS('RECEBIMENTOS'!$B$6:$B$1005,A448,'RECEBIMENTOS'!$Q$6:$Q$1005,1))</f>
        <v>0</v>
      </c>
      <c r="AN448" s="96">
        <f>IF(AND(Z448=1,N(W448)&gt;0,AG448=N(W448)),1,0)</f>
        <v>0</v>
      </c>
      <c r="AO448" s="96">
        <f>IF(AND(Z448=1,N(W448)&gt;0,AI448=N(W448)),1,0)</f>
        <v>0</v>
      </c>
      <c r="AP448" s="97">
        <f>IF(Z448=0,0,_xlfn.MAXIFS('RECEBIMENTOS'!$E$6:$E$1005,'RECEBIMENTOS'!$B$6:$B$1005,A448))</f>
        <v>0</v>
      </c>
      <c r="AQ448" s="97" t="str">
        <f>IF(T448="","",IF(T448="RECEBIMENTO NÃO CONFIRMADO",IF(ISNUMBER(F448),F448,IF(ISNUMBER(E448),E448,"")),IF(OR(T448="CDF NÃO LOCALIZADO",T448="VÍNCULO INCOMPLETO",T448="CDF A CONFERIR"),IF(AP448&gt;0,AP448,IF(ISNUMBER(E448),E448,"")),IF(ISNUMBER(E448),E448,""))))</f>
        <v/>
      </c>
      <c r="AR448" s="96">
        <f>IF(NOT(ISNUMBER(U448)),0,IF(T448="RECEBIMENTO NÃO CONFIRMADO",IF(AND(ISNUMBER(cfg_rec),U448&gt;cfg_rec),1,0),IF(OR(T448="CDF NÃO LOCALIZADO",T448="VÍNCULO INCOMPLETO",T448="CDF A CONFERIR"),IF(AND(ISNUMBER(cfg_cdf),U448&gt;cfg_cdf),1,0),0)))</f>
        <v>0</v>
      </c>
      <c r="AS448" s="96" t="str">
        <f>IF(T448="","",IF(AR448=1,"Alta",IFERROR(INDEX(cfg_pp,MATCH(T448,cfg_pt,0))&amp;"","Média")))</f>
        <v/>
      </c>
      <c r="AT448" s="96" t="str">
        <f>IF(T448="","",IFERROR(INDEX(cfg_pv,MATCH(T448,cfg_pt,0))&amp;"",""))</f>
        <v/>
      </c>
      <c r="AU448" s="96" t="str">
        <f>IF(T448="","",IF(AS448="Alta",1,IF(AS448="Média",2,3))*1000000000+(999999-IF(ISNUMBER(U448),MIN(U448,999999),0))*1000+443)</f>
        <v/>
      </c>
      <c r="AV448" s="96">
        <f>IF(T448&lt;&gt;"",1,0)</f>
        <v>0</v>
      </c>
      <c r="AW448" s="96" t="str">
        <f>IF(Z448=0,"",IF(AA448=1,"Cancelamento informado; ","")&amp;IF(AE448=1,"Campos essenciais ou itens faltando; ","")&amp;IF(AC448=1,"Possível duplicidade do número; ","")&amp;IF(AD448=1,"Cadastro ou datas a revisar; ","")&amp;IF(AF448&gt;0,"Item de resíduo com dado a revisar; ","")&amp;IF(AH448&gt;0,"Diferença de quantidade a analisar; ","")&amp;IF(AK448&gt;0,"Recebimento com alerta; ","")&amp;IF(AL448&gt;0,"Vínculo de CDF com alerta; ","")&amp;IF(AND(AA448=0,AN448=0),"Recebimento não confirmado; ","")&amp;IF(AND(AA448=0,AN448=1,AO448=0),"CDF pendente ou a conferir; ",""))</f>
        <v/>
      </c>
      <c r="AX448" s="96">
        <f>IF(Z448=0,0,IF(AND(OR(f_ini="",AND(ISNUMBER(E448),E448&gt;=f_ini)),OR(f_fim="",AND(ISNUMBER(E448),E448&lt;=f_fim)),OR(f_un="",f_un="(Todas)",G448=f_un),OR(f_tr="",f_tr="(Todos)",H448=f_tr),OR(f_de="",f_de="(Todos)",I448=f_de),OR(f_sit="",f_sit="(Todas)",S448=f_sit)),1,0))</f>
        <v>0</v>
      </c>
      <c r="AY448" s="96">
        <f>IF(AX448=0,0,IF(OR(f_res="",f_res="(Todos)"),1,IF(COUNTIFS('ITENS_MTR'!$S$6:$S$1005,A448,'ITENS_MTR'!$C$6:$C$1005,f_res)&gt;0,1,0)))</f>
        <v>0</v>
      </c>
      <c r="AZ448" s="97" t="str">
        <f>IF(ISNUMBER(E448),DATE(YEAR(E448),MONTH(E448),1),"")</f>
        <v/>
      </c>
      <c r="BA448" s="96">
        <f>IF(Z448=0,0,IF(AND(OR(r_ini="",AND(ISNUMBER(E448),E448&gt;=r_ini)),OR(r_fim="",AND(ISNUMBER(E448),E448&lt;=r_fim)),OR(r_un="",r_un="(Todas)",G448=r_un),OR(r_de="",r_de="(Todos)",I448=r_de)),1,0))</f>
        <v>0</v>
      </c>
      <c r="BB448" s="96" t="str">
        <f>IF(BA448=1,COUNTIF($BA$6:BA448,1),"")</f>
        <v/>
      </c>
      <c r="BC448" s="96" t="str">
        <f>IF(AND(AU448&lt;&gt;"",OR(r_un="",r_un="(Todas)",G448=r_un),OR(r_de="",r_de="(Todos)",I448=r_de)),AU448,"")</f>
        <v/>
      </c>
      <c r="BD448" s="96" t="str">
        <f>IF(Z448=1,A448&amp;" | nº "&amp;IF(B448="","(sem número)",B448)&amp;" | "&amp;IF(G448="","(sem unidade)",G448),"")</f>
        <v/>
      </c>
      <c r="BE448" s="96" t="str">
        <f>IF(Z448=1,COUNTIF($Z$6:Z448,1),"")</f>
        <v/>
      </c>
      <c r="BF448" s="96" t="str">
        <f>IF(T448="","",IF(T448="RECEBIMENTO NÃO CONFIRMADO","Transp.: "&amp;H448&amp;" | Dest.: "&amp;I448,IF(OR(T448="CDF NÃO LOCALIZADO",T448="VÍNCULO INCOMPLETO",T448="CDF A CONFERIR"),"Dest.: "&amp;I448,"Gerador: "&amp;G448)))</f>
        <v/>
      </c>
    </row>
    <row r="449">
      <c r="A449" s="89" t="inlineStr">
        <is>
          <t>MTR-000444</t>
        </is>
      </c>
      <c r="B449" s="90" t="n"/>
      <c r="C449" s="91" t="n"/>
      <c r="D449" s="91" t="n"/>
      <c r="E449" s="92" t="n"/>
      <c r="F449" s="92" t="n"/>
      <c r="G449" s="91" t="n"/>
      <c r="H449" s="91" t="n"/>
      <c r="I449" s="91" t="n"/>
      <c r="J449" s="91" t="n"/>
      <c r="K449" s="91" t="n"/>
      <c r="L449" s="92" t="n"/>
      <c r="M449" s="91" t="n"/>
      <c r="N449" s="91" t="n"/>
      <c r="O449" s="91" t="n"/>
      <c r="P449" s="93" t="str">
        <f>IF(Z449=0,"",SUMIFS('ITENS_MTR'!$I$6:$I$1005,'ITENS_MTR'!$S$6:$S$1005,A449,'ITENS_MTR'!$Y$6:$Y$1005,1))</f>
        <v/>
      </c>
      <c r="Q449" s="93" t="str">
        <f>IF(Z449=0,"",SUMIFS('RECEBIMENTOS'!$H$6:$H$1005,'RECEBIMENTOS'!$B$6:$B$1005,A449,'RECEBIMENTOS'!$X$6:$X$1005,1))</f>
        <v/>
      </c>
      <c r="R449" s="93" t="str">
        <f>IF(Z449=0,"",SUMIFS('VÍNCULOS_CDF'!$H$6:$H$1005,'VÍNCULOS_CDF'!$D$6:$D$1005,A449,'VÍNCULOS_CDF'!$V$6:$V$1005,1))</f>
        <v/>
      </c>
      <c r="S449" s="94" t="str">
        <f>IF(Z449=0,"",IF(AA449=1,"Cancelado (informado)",IF(AE449=1,"Cadastro incompleto",IF(OR(AC449=1,AD449=1,AF449&gt;0,AH449&gt;0,AK449&gt;0,AL449&gt;0),"Informação a revisar",IF(AN449=0,"Aguardando recebimento",IF(N(R449)=0,"Aguardando CDF",IF(AJ449&lt;N(W449),"Vínculo de CDF parcial",IF(AO449=0,"CDF localizado, a conferir","Documentação conferida"))))))))</f>
        <v/>
      </c>
      <c r="T449" s="94" t="str">
        <f>IF(Z449=0,"",IF(S449="Cadastro incompleto","MTR INCOMPLETO",IF(S449="Informação a revisar",IF(AND(AH449&gt;0,AC449=0,AD449=0,AF449=0,AK449=0,AL449=0),"QUANTIDADE A REVISAR","IDENTIFICAÇÃO A REVISAR"),IF(S449="Aguardando recebimento","RECEBIMENTO NÃO CONFIRMADO",IF(S449="Aguardando CDF","CDF NÃO LOCALIZADO",IF(S449="Vínculo de CDF parcial","VÍNCULO INCOMPLETO",IF(S449="CDF localizado, a conferir","CDF A CONFERIR","")))))))</f>
        <v/>
      </c>
      <c r="U449" s="95" t="str">
        <f>IF(T449="","",IF(AQ449="","Não calculável",IF(AQ449&gt;TODAY(),"Data futura",TODAY()-AQ449)))</f>
        <v/>
      </c>
      <c r="V449" s="93" t="str">
        <f>IF(Z449=0,"",SUMIFS('RECEBIMENTOS'!$H$6:$H$1005,'RECEBIMENTOS'!$B$6:$B$1005,A449,'RECEBIMENTOS'!$Z$6:$Z$1005,1))</f>
        <v/>
      </c>
      <c r="W449" s="95" t="str">
        <f>IF(Z449=0,"",COUNTIFS('ITENS_MTR'!$S$6:$S$1005,A449,'ITENS_MTR'!$R$6:$R$1005,1))</f>
        <v/>
      </c>
      <c r="X449" s="94" t="str">
        <f>IF(AC449=1,"POSSÍVEL DUPLICIDADE","")</f>
        <v/>
      </c>
      <c r="Y449" s="94" t="str">
        <f>IF(Z449=0,"",IF(AW449="","Nenhuma",LEFT(AW449,LEN(AW449)-2)))</f>
        <v/>
      </c>
      <c r="Z449" s="96">
        <f>IF(COUNTA(B449:O449)&gt;0,1,0)</f>
        <v>0</v>
      </c>
      <c r="AA449" s="96">
        <f>IF(AND(Z449=1,K449&lt;&gt;""),IF(TRIM(K449)=TRIM(cfg_cancel),1,0),0)</f>
        <v>0</v>
      </c>
      <c r="AB449" s="96" t="str">
        <f>IF(AND(Z449=1,B449&lt;&gt;""),C449&amp;"|"&amp;D449&amp;"|"&amp;G449&amp;"|"&amp;TRIM(B449),"")</f>
        <v/>
      </c>
      <c r="AC449" s="96">
        <f>IF(AB449="",0,IF(SUMPRODUCT(--($AB$6:$AB$505=AB449))&gt;1,1,0))</f>
        <v>0</v>
      </c>
      <c r="AD449" s="96">
        <f>IF(Z449=0,0,IF(OR(AND(G449&lt;&gt;"",ISNA(MATCH(G449,'CAD_UNIDADES'!$C$6:$C$105,0))),AND(H449&lt;&gt;"",ISNA(MATCH(H449,cmp_transp,0))),AND(I449&lt;&gt;"",ISNA(MATCH(I449,cmp_dest,0))),AND(E449&lt;&gt;"",NOT(ISNUMBER(E449))),AND(F449&lt;&gt;"",NOT(ISNUMBER(F449))),AND(ISNUMBER(E449),ISNUMBER(F449),F449&lt;E449)),1,0))</f>
        <v>0</v>
      </c>
      <c r="AE449" s="96">
        <f>IF(Z449=0,0,IF(OR(B449="",C449="",E449="",G449="",H449="",I449="",N(W449)=0),1,0))</f>
        <v>0</v>
      </c>
      <c r="AF449" s="96">
        <f>IF(Z449=0,0,COUNTIFS('ITENS_MTR'!$S$6:$S$1005,A449,'ITENS_MTR'!$AI$6:$AI$1005,1))</f>
        <v>0</v>
      </c>
      <c r="AG449" s="96">
        <f>IF(Z449=0,0,COUNTIFS('ITENS_MTR'!$S$6:$S$1005,A449,'ITENS_MTR'!$AJ$6:$AJ$1005,1))</f>
        <v>0</v>
      </c>
      <c r="AH449" s="96">
        <f>IF(Z449=0,0,COUNTIFS('ITENS_MTR'!$S$6:$S$1005,A449,'ITENS_MTR'!$AM$6:$AM$1005,1))</f>
        <v>0</v>
      </c>
      <c r="AI449" s="96">
        <f>IF(Z449=0,0,COUNTIFS('ITENS_MTR'!$S$6:$S$1005,A449,'ITENS_MTR'!$AO$6:$AO$1005,1))</f>
        <v>0</v>
      </c>
      <c r="AJ449" s="96">
        <f>IF(Z449=0,0,COUNTIFS('ITENS_MTR'!$S$6:$S$1005,A449,'ITENS_MTR'!$AN$6:$AN$1005,1))</f>
        <v>0</v>
      </c>
      <c r="AK449" s="96">
        <f>IF(Z449=0,0,COUNTIFS('RECEBIMENTOS'!$B$6:$B$1005,A449,'RECEBIMENTOS'!$Y$6:$Y$1005,1))</f>
        <v>0</v>
      </c>
      <c r="AL449" s="96">
        <f>IF(Z449=0,0,COUNTIFS('VÍNCULOS_CDF'!$D$6:$D$1005,A449,'VÍNCULOS_CDF'!$Y$6:$Y$1005,1))</f>
        <v>0</v>
      </c>
      <c r="AM449" s="96">
        <f>IF(Z449=0,0,COUNTIFS('RECEBIMENTOS'!$B$6:$B$1005,A449,'RECEBIMENTOS'!$Q$6:$Q$1005,1))</f>
        <v>0</v>
      </c>
      <c r="AN449" s="96">
        <f>IF(AND(Z449=1,N(W449)&gt;0,AG449=N(W449)),1,0)</f>
        <v>0</v>
      </c>
      <c r="AO449" s="96">
        <f>IF(AND(Z449=1,N(W449)&gt;0,AI449=N(W449)),1,0)</f>
        <v>0</v>
      </c>
      <c r="AP449" s="97">
        <f>IF(Z449=0,0,_xlfn.MAXIFS('RECEBIMENTOS'!$E$6:$E$1005,'RECEBIMENTOS'!$B$6:$B$1005,A449))</f>
        <v>0</v>
      </c>
      <c r="AQ449" s="97" t="str">
        <f>IF(T449="","",IF(T449="RECEBIMENTO NÃO CONFIRMADO",IF(ISNUMBER(F449),F449,IF(ISNUMBER(E449),E449,"")),IF(OR(T449="CDF NÃO LOCALIZADO",T449="VÍNCULO INCOMPLETO",T449="CDF A CONFERIR"),IF(AP449&gt;0,AP449,IF(ISNUMBER(E449),E449,"")),IF(ISNUMBER(E449),E449,""))))</f>
        <v/>
      </c>
      <c r="AR449" s="96">
        <f>IF(NOT(ISNUMBER(U449)),0,IF(T449="RECEBIMENTO NÃO CONFIRMADO",IF(AND(ISNUMBER(cfg_rec),U449&gt;cfg_rec),1,0),IF(OR(T449="CDF NÃO LOCALIZADO",T449="VÍNCULO INCOMPLETO",T449="CDF A CONFERIR"),IF(AND(ISNUMBER(cfg_cdf),U449&gt;cfg_cdf),1,0),0)))</f>
        <v>0</v>
      </c>
      <c r="AS449" s="96" t="str">
        <f>IF(T449="","",IF(AR449=1,"Alta",IFERROR(INDEX(cfg_pp,MATCH(T449,cfg_pt,0))&amp;"","Média")))</f>
        <v/>
      </c>
      <c r="AT449" s="96" t="str">
        <f>IF(T449="","",IFERROR(INDEX(cfg_pv,MATCH(T449,cfg_pt,0))&amp;"",""))</f>
        <v/>
      </c>
      <c r="AU449" s="96" t="str">
        <f>IF(T449="","",IF(AS449="Alta",1,IF(AS449="Média",2,3))*1000000000+(999999-IF(ISNUMBER(U449),MIN(U449,999999),0))*1000+444)</f>
        <v/>
      </c>
      <c r="AV449" s="96">
        <f>IF(T449&lt;&gt;"",1,0)</f>
        <v>0</v>
      </c>
      <c r="AW449" s="96" t="str">
        <f>IF(Z449=0,"",IF(AA449=1,"Cancelamento informado; ","")&amp;IF(AE449=1,"Campos essenciais ou itens faltando; ","")&amp;IF(AC449=1,"Possível duplicidade do número; ","")&amp;IF(AD449=1,"Cadastro ou datas a revisar; ","")&amp;IF(AF449&gt;0,"Item de resíduo com dado a revisar; ","")&amp;IF(AH449&gt;0,"Diferença de quantidade a analisar; ","")&amp;IF(AK449&gt;0,"Recebimento com alerta; ","")&amp;IF(AL449&gt;0,"Vínculo de CDF com alerta; ","")&amp;IF(AND(AA449=0,AN449=0),"Recebimento não confirmado; ","")&amp;IF(AND(AA449=0,AN449=1,AO449=0),"CDF pendente ou a conferir; ",""))</f>
        <v/>
      </c>
      <c r="AX449" s="96">
        <f>IF(Z449=0,0,IF(AND(OR(f_ini="",AND(ISNUMBER(E449),E449&gt;=f_ini)),OR(f_fim="",AND(ISNUMBER(E449),E449&lt;=f_fim)),OR(f_un="",f_un="(Todas)",G449=f_un),OR(f_tr="",f_tr="(Todos)",H449=f_tr),OR(f_de="",f_de="(Todos)",I449=f_de),OR(f_sit="",f_sit="(Todas)",S449=f_sit)),1,0))</f>
        <v>0</v>
      </c>
      <c r="AY449" s="96">
        <f>IF(AX449=0,0,IF(OR(f_res="",f_res="(Todos)"),1,IF(COUNTIFS('ITENS_MTR'!$S$6:$S$1005,A449,'ITENS_MTR'!$C$6:$C$1005,f_res)&gt;0,1,0)))</f>
        <v>0</v>
      </c>
      <c r="AZ449" s="97" t="str">
        <f>IF(ISNUMBER(E449),DATE(YEAR(E449),MONTH(E449),1),"")</f>
        <v/>
      </c>
      <c r="BA449" s="96">
        <f>IF(Z449=0,0,IF(AND(OR(r_ini="",AND(ISNUMBER(E449),E449&gt;=r_ini)),OR(r_fim="",AND(ISNUMBER(E449),E449&lt;=r_fim)),OR(r_un="",r_un="(Todas)",G449=r_un),OR(r_de="",r_de="(Todos)",I449=r_de)),1,0))</f>
        <v>0</v>
      </c>
      <c r="BB449" s="96" t="str">
        <f>IF(BA449=1,COUNTIF($BA$6:BA449,1),"")</f>
        <v/>
      </c>
      <c r="BC449" s="96" t="str">
        <f>IF(AND(AU449&lt;&gt;"",OR(r_un="",r_un="(Todas)",G449=r_un),OR(r_de="",r_de="(Todos)",I449=r_de)),AU449,"")</f>
        <v/>
      </c>
      <c r="BD449" s="96" t="str">
        <f>IF(Z449=1,A449&amp;" | nº "&amp;IF(B449="","(sem número)",B449)&amp;" | "&amp;IF(G449="","(sem unidade)",G449),"")</f>
        <v/>
      </c>
      <c r="BE449" s="96" t="str">
        <f>IF(Z449=1,COUNTIF($Z$6:Z449,1),"")</f>
        <v/>
      </c>
      <c r="BF449" s="96" t="str">
        <f>IF(T449="","",IF(T449="RECEBIMENTO NÃO CONFIRMADO","Transp.: "&amp;H449&amp;" | Dest.: "&amp;I449,IF(OR(T449="CDF NÃO LOCALIZADO",T449="VÍNCULO INCOMPLETO",T449="CDF A CONFERIR"),"Dest.: "&amp;I449,"Gerador: "&amp;G449)))</f>
        <v/>
      </c>
    </row>
    <row r="450">
      <c r="A450" s="89" t="inlineStr">
        <is>
          <t>MTR-000445</t>
        </is>
      </c>
      <c r="B450" s="90" t="n"/>
      <c r="C450" s="91" t="n"/>
      <c r="D450" s="91" t="n"/>
      <c r="E450" s="92" t="n"/>
      <c r="F450" s="92" t="n"/>
      <c r="G450" s="91" t="n"/>
      <c r="H450" s="91" t="n"/>
      <c r="I450" s="91" t="n"/>
      <c r="J450" s="91" t="n"/>
      <c r="K450" s="91" t="n"/>
      <c r="L450" s="92" t="n"/>
      <c r="M450" s="91" t="n"/>
      <c r="N450" s="91" t="n"/>
      <c r="O450" s="91" t="n"/>
      <c r="P450" s="93" t="str">
        <f>IF(Z450=0,"",SUMIFS('ITENS_MTR'!$I$6:$I$1005,'ITENS_MTR'!$S$6:$S$1005,A450,'ITENS_MTR'!$Y$6:$Y$1005,1))</f>
        <v/>
      </c>
      <c r="Q450" s="93" t="str">
        <f>IF(Z450=0,"",SUMIFS('RECEBIMENTOS'!$H$6:$H$1005,'RECEBIMENTOS'!$B$6:$B$1005,A450,'RECEBIMENTOS'!$X$6:$X$1005,1))</f>
        <v/>
      </c>
      <c r="R450" s="93" t="str">
        <f>IF(Z450=0,"",SUMIFS('VÍNCULOS_CDF'!$H$6:$H$1005,'VÍNCULOS_CDF'!$D$6:$D$1005,A450,'VÍNCULOS_CDF'!$V$6:$V$1005,1))</f>
        <v/>
      </c>
      <c r="S450" s="94" t="str">
        <f>IF(Z450=0,"",IF(AA450=1,"Cancelado (informado)",IF(AE450=1,"Cadastro incompleto",IF(OR(AC450=1,AD450=1,AF450&gt;0,AH450&gt;0,AK450&gt;0,AL450&gt;0),"Informação a revisar",IF(AN450=0,"Aguardando recebimento",IF(N(R450)=0,"Aguardando CDF",IF(AJ450&lt;N(W450),"Vínculo de CDF parcial",IF(AO450=0,"CDF localizado, a conferir","Documentação conferida"))))))))</f>
        <v/>
      </c>
      <c r="T450" s="94" t="str">
        <f>IF(Z450=0,"",IF(S450="Cadastro incompleto","MTR INCOMPLETO",IF(S450="Informação a revisar",IF(AND(AH450&gt;0,AC450=0,AD450=0,AF450=0,AK450=0,AL450=0),"QUANTIDADE A REVISAR","IDENTIFICAÇÃO A REVISAR"),IF(S450="Aguardando recebimento","RECEBIMENTO NÃO CONFIRMADO",IF(S450="Aguardando CDF","CDF NÃO LOCALIZADO",IF(S450="Vínculo de CDF parcial","VÍNCULO INCOMPLETO",IF(S450="CDF localizado, a conferir","CDF A CONFERIR","")))))))</f>
        <v/>
      </c>
      <c r="U450" s="95" t="str">
        <f>IF(T450="","",IF(AQ450="","Não calculável",IF(AQ450&gt;TODAY(),"Data futura",TODAY()-AQ450)))</f>
        <v/>
      </c>
      <c r="V450" s="93" t="str">
        <f>IF(Z450=0,"",SUMIFS('RECEBIMENTOS'!$H$6:$H$1005,'RECEBIMENTOS'!$B$6:$B$1005,A450,'RECEBIMENTOS'!$Z$6:$Z$1005,1))</f>
        <v/>
      </c>
      <c r="W450" s="95" t="str">
        <f>IF(Z450=0,"",COUNTIFS('ITENS_MTR'!$S$6:$S$1005,A450,'ITENS_MTR'!$R$6:$R$1005,1))</f>
        <v/>
      </c>
      <c r="X450" s="94" t="str">
        <f>IF(AC450=1,"POSSÍVEL DUPLICIDADE","")</f>
        <v/>
      </c>
      <c r="Y450" s="94" t="str">
        <f>IF(Z450=0,"",IF(AW450="","Nenhuma",LEFT(AW450,LEN(AW450)-2)))</f>
        <v/>
      </c>
      <c r="Z450" s="96">
        <f>IF(COUNTA(B450:O450)&gt;0,1,0)</f>
        <v>0</v>
      </c>
      <c r="AA450" s="96">
        <f>IF(AND(Z450=1,K450&lt;&gt;""),IF(TRIM(K450)=TRIM(cfg_cancel),1,0),0)</f>
        <v>0</v>
      </c>
      <c r="AB450" s="96" t="str">
        <f>IF(AND(Z450=1,B450&lt;&gt;""),C450&amp;"|"&amp;D450&amp;"|"&amp;G450&amp;"|"&amp;TRIM(B450),"")</f>
        <v/>
      </c>
      <c r="AC450" s="96">
        <f>IF(AB450="",0,IF(SUMPRODUCT(--($AB$6:$AB$505=AB450))&gt;1,1,0))</f>
        <v>0</v>
      </c>
      <c r="AD450" s="96">
        <f>IF(Z450=0,0,IF(OR(AND(G450&lt;&gt;"",ISNA(MATCH(G450,'CAD_UNIDADES'!$C$6:$C$105,0))),AND(H450&lt;&gt;"",ISNA(MATCH(H450,cmp_transp,0))),AND(I450&lt;&gt;"",ISNA(MATCH(I450,cmp_dest,0))),AND(E450&lt;&gt;"",NOT(ISNUMBER(E450))),AND(F450&lt;&gt;"",NOT(ISNUMBER(F450))),AND(ISNUMBER(E450),ISNUMBER(F450),F450&lt;E450)),1,0))</f>
        <v>0</v>
      </c>
      <c r="AE450" s="96">
        <f>IF(Z450=0,0,IF(OR(B450="",C450="",E450="",G450="",H450="",I450="",N(W450)=0),1,0))</f>
        <v>0</v>
      </c>
      <c r="AF450" s="96">
        <f>IF(Z450=0,0,COUNTIFS('ITENS_MTR'!$S$6:$S$1005,A450,'ITENS_MTR'!$AI$6:$AI$1005,1))</f>
        <v>0</v>
      </c>
      <c r="AG450" s="96">
        <f>IF(Z450=0,0,COUNTIFS('ITENS_MTR'!$S$6:$S$1005,A450,'ITENS_MTR'!$AJ$6:$AJ$1005,1))</f>
        <v>0</v>
      </c>
      <c r="AH450" s="96">
        <f>IF(Z450=0,0,COUNTIFS('ITENS_MTR'!$S$6:$S$1005,A450,'ITENS_MTR'!$AM$6:$AM$1005,1))</f>
        <v>0</v>
      </c>
      <c r="AI450" s="96">
        <f>IF(Z450=0,0,COUNTIFS('ITENS_MTR'!$S$6:$S$1005,A450,'ITENS_MTR'!$AO$6:$AO$1005,1))</f>
        <v>0</v>
      </c>
      <c r="AJ450" s="96">
        <f>IF(Z450=0,0,COUNTIFS('ITENS_MTR'!$S$6:$S$1005,A450,'ITENS_MTR'!$AN$6:$AN$1005,1))</f>
        <v>0</v>
      </c>
      <c r="AK450" s="96">
        <f>IF(Z450=0,0,COUNTIFS('RECEBIMENTOS'!$B$6:$B$1005,A450,'RECEBIMENTOS'!$Y$6:$Y$1005,1))</f>
        <v>0</v>
      </c>
      <c r="AL450" s="96">
        <f>IF(Z450=0,0,COUNTIFS('VÍNCULOS_CDF'!$D$6:$D$1005,A450,'VÍNCULOS_CDF'!$Y$6:$Y$1005,1))</f>
        <v>0</v>
      </c>
      <c r="AM450" s="96">
        <f>IF(Z450=0,0,COUNTIFS('RECEBIMENTOS'!$B$6:$B$1005,A450,'RECEBIMENTOS'!$Q$6:$Q$1005,1))</f>
        <v>0</v>
      </c>
      <c r="AN450" s="96">
        <f>IF(AND(Z450=1,N(W450)&gt;0,AG450=N(W450)),1,0)</f>
        <v>0</v>
      </c>
      <c r="AO450" s="96">
        <f>IF(AND(Z450=1,N(W450)&gt;0,AI450=N(W450)),1,0)</f>
        <v>0</v>
      </c>
      <c r="AP450" s="97">
        <f>IF(Z450=0,0,_xlfn.MAXIFS('RECEBIMENTOS'!$E$6:$E$1005,'RECEBIMENTOS'!$B$6:$B$1005,A450))</f>
        <v>0</v>
      </c>
      <c r="AQ450" s="97" t="str">
        <f>IF(T450="","",IF(T450="RECEBIMENTO NÃO CONFIRMADO",IF(ISNUMBER(F450),F450,IF(ISNUMBER(E450),E450,"")),IF(OR(T450="CDF NÃO LOCALIZADO",T450="VÍNCULO INCOMPLETO",T450="CDF A CONFERIR"),IF(AP450&gt;0,AP450,IF(ISNUMBER(E450),E450,"")),IF(ISNUMBER(E450),E450,""))))</f>
        <v/>
      </c>
      <c r="AR450" s="96">
        <f>IF(NOT(ISNUMBER(U450)),0,IF(T450="RECEBIMENTO NÃO CONFIRMADO",IF(AND(ISNUMBER(cfg_rec),U450&gt;cfg_rec),1,0),IF(OR(T450="CDF NÃO LOCALIZADO",T450="VÍNCULO INCOMPLETO",T450="CDF A CONFERIR"),IF(AND(ISNUMBER(cfg_cdf),U450&gt;cfg_cdf),1,0),0)))</f>
        <v>0</v>
      </c>
      <c r="AS450" s="96" t="str">
        <f>IF(T450="","",IF(AR450=1,"Alta",IFERROR(INDEX(cfg_pp,MATCH(T450,cfg_pt,0))&amp;"","Média")))</f>
        <v/>
      </c>
      <c r="AT450" s="96" t="str">
        <f>IF(T450="","",IFERROR(INDEX(cfg_pv,MATCH(T450,cfg_pt,0))&amp;"",""))</f>
        <v/>
      </c>
      <c r="AU450" s="96" t="str">
        <f>IF(T450="","",IF(AS450="Alta",1,IF(AS450="Média",2,3))*1000000000+(999999-IF(ISNUMBER(U450),MIN(U450,999999),0))*1000+445)</f>
        <v/>
      </c>
      <c r="AV450" s="96">
        <f>IF(T450&lt;&gt;"",1,0)</f>
        <v>0</v>
      </c>
      <c r="AW450" s="96" t="str">
        <f>IF(Z450=0,"",IF(AA450=1,"Cancelamento informado; ","")&amp;IF(AE450=1,"Campos essenciais ou itens faltando; ","")&amp;IF(AC450=1,"Possível duplicidade do número; ","")&amp;IF(AD450=1,"Cadastro ou datas a revisar; ","")&amp;IF(AF450&gt;0,"Item de resíduo com dado a revisar; ","")&amp;IF(AH450&gt;0,"Diferença de quantidade a analisar; ","")&amp;IF(AK450&gt;0,"Recebimento com alerta; ","")&amp;IF(AL450&gt;0,"Vínculo de CDF com alerta; ","")&amp;IF(AND(AA450=0,AN450=0),"Recebimento não confirmado; ","")&amp;IF(AND(AA450=0,AN450=1,AO450=0),"CDF pendente ou a conferir; ",""))</f>
        <v/>
      </c>
      <c r="AX450" s="96">
        <f>IF(Z450=0,0,IF(AND(OR(f_ini="",AND(ISNUMBER(E450),E450&gt;=f_ini)),OR(f_fim="",AND(ISNUMBER(E450),E450&lt;=f_fim)),OR(f_un="",f_un="(Todas)",G450=f_un),OR(f_tr="",f_tr="(Todos)",H450=f_tr),OR(f_de="",f_de="(Todos)",I450=f_de),OR(f_sit="",f_sit="(Todas)",S450=f_sit)),1,0))</f>
        <v>0</v>
      </c>
      <c r="AY450" s="96">
        <f>IF(AX450=0,0,IF(OR(f_res="",f_res="(Todos)"),1,IF(COUNTIFS('ITENS_MTR'!$S$6:$S$1005,A450,'ITENS_MTR'!$C$6:$C$1005,f_res)&gt;0,1,0)))</f>
        <v>0</v>
      </c>
      <c r="AZ450" s="97" t="str">
        <f>IF(ISNUMBER(E450),DATE(YEAR(E450),MONTH(E450),1),"")</f>
        <v/>
      </c>
      <c r="BA450" s="96">
        <f>IF(Z450=0,0,IF(AND(OR(r_ini="",AND(ISNUMBER(E450),E450&gt;=r_ini)),OR(r_fim="",AND(ISNUMBER(E450),E450&lt;=r_fim)),OR(r_un="",r_un="(Todas)",G450=r_un),OR(r_de="",r_de="(Todos)",I450=r_de)),1,0))</f>
        <v>0</v>
      </c>
      <c r="BB450" s="96" t="str">
        <f>IF(BA450=1,COUNTIF($BA$6:BA450,1),"")</f>
        <v/>
      </c>
      <c r="BC450" s="96" t="str">
        <f>IF(AND(AU450&lt;&gt;"",OR(r_un="",r_un="(Todas)",G450=r_un),OR(r_de="",r_de="(Todos)",I450=r_de)),AU450,"")</f>
        <v/>
      </c>
      <c r="BD450" s="96" t="str">
        <f>IF(Z450=1,A450&amp;" | nº "&amp;IF(B450="","(sem número)",B450)&amp;" | "&amp;IF(G450="","(sem unidade)",G450),"")</f>
        <v/>
      </c>
      <c r="BE450" s="96" t="str">
        <f>IF(Z450=1,COUNTIF($Z$6:Z450,1),"")</f>
        <v/>
      </c>
      <c r="BF450" s="96" t="str">
        <f>IF(T450="","",IF(T450="RECEBIMENTO NÃO CONFIRMADO","Transp.: "&amp;H450&amp;" | Dest.: "&amp;I450,IF(OR(T450="CDF NÃO LOCALIZADO",T450="VÍNCULO INCOMPLETO",T450="CDF A CONFERIR"),"Dest.: "&amp;I450,"Gerador: "&amp;G450)))</f>
        <v/>
      </c>
    </row>
    <row r="451">
      <c r="A451" s="89" t="inlineStr">
        <is>
          <t>MTR-000446</t>
        </is>
      </c>
      <c r="B451" s="90" t="n"/>
      <c r="C451" s="91" t="n"/>
      <c r="D451" s="91" t="n"/>
      <c r="E451" s="92" t="n"/>
      <c r="F451" s="92" t="n"/>
      <c r="G451" s="91" t="n"/>
      <c r="H451" s="91" t="n"/>
      <c r="I451" s="91" t="n"/>
      <c r="J451" s="91" t="n"/>
      <c r="K451" s="91" t="n"/>
      <c r="L451" s="92" t="n"/>
      <c r="M451" s="91" t="n"/>
      <c r="N451" s="91" t="n"/>
      <c r="O451" s="91" t="n"/>
      <c r="P451" s="93" t="str">
        <f>IF(Z451=0,"",SUMIFS('ITENS_MTR'!$I$6:$I$1005,'ITENS_MTR'!$S$6:$S$1005,A451,'ITENS_MTR'!$Y$6:$Y$1005,1))</f>
        <v/>
      </c>
      <c r="Q451" s="93" t="str">
        <f>IF(Z451=0,"",SUMIFS('RECEBIMENTOS'!$H$6:$H$1005,'RECEBIMENTOS'!$B$6:$B$1005,A451,'RECEBIMENTOS'!$X$6:$X$1005,1))</f>
        <v/>
      </c>
      <c r="R451" s="93" t="str">
        <f>IF(Z451=0,"",SUMIFS('VÍNCULOS_CDF'!$H$6:$H$1005,'VÍNCULOS_CDF'!$D$6:$D$1005,A451,'VÍNCULOS_CDF'!$V$6:$V$1005,1))</f>
        <v/>
      </c>
      <c r="S451" s="94" t="str">
        <f>IF(Z451=0,"",IF(AA451=1,"Cancelado (informado)",IF(AE451=1,"Cadastro incompleto",IF(OR(AC451=1,AD451=1,AF451&gt;0,AH451&gt;0,AK451&gt;0,AL451&gt;0),"Informação a revisar",IF(AN451=0,"Aguardando recebimento",IF(N(R451)=0,"Aguardando CDF",IF(AJ451&lt;N(W451),"Vínculo de CDF parcial",IF(AO451=0,"CDF localizado, a conferir","Documentação conferida"))))))))</f>
        <v/>
      </c>
      <c r="T451" s="94" t="str">
        <f>IF(Z451=0,"",IF(S451="Cadastro incompleto","MTR INCOMPLETO",IF(S451="Informação a revisar",IF(AND(AH451&gt;0,AC451=0,AD451=0,AF451=0,AK451=0,AL451=0),"QUANTIDADE A REVISAR","IDENTIFICAÇÃO A REVISAR"),IF(S451="Aguardando recebimento","RECEBIMENTO NÃO CONFIRMADO",IF(S451="Aguardando CDF","CDF NÃO LOCALIZADO",IF(S451="Vínculo de CDF parcial","VÍNCULO INCOMPLETO",IF(S451="CDF localizado, a conferir","CDF A CONFERIR","")))))))</f>
        <v/>
      </c>
      <c r="U451" s="95" t="str">
        <f>IF(T451="","",IF(AQ451="","Não calculável",IF(AQ451&gt;TODAY(),"Data futura",TODAY()-AQ451)))</f>
        <v/>
      </c>
      <c r="V451" s="93" t="str">
        <f>IF(Z451=0,"",SUMIFS('RECEBIMENTOS'!$H$6:$H$1005,'RECEBIMENTOS'!$B$6:$B$1005,A451,'RECEBIMENTOS'!$Z$6:$Z$1005,1))</f>
        <v/>
      </c>
      <c r="W451" s="95" t="str">
        <f>IF(Z451=0,"",COUNTIFS('ITENS_MTR'!$S$6:$S$1005,A451,'ITENS_MTR'!$R$6:$R$1005,1))</f>
        <v/>
      </c>
      <c r="X451" s="94" t="str">
        <f>IF(AC451=1,"POSSÍVEL DUPLICIDADE","")</f>
        <v/>
      </c>
      <c r="Y451" s="94" t="str">
        <f>IF(Z451=0,"",IF(AW451="","Nenhuma",LEFT(AW451,LEN(AW451)-2)))</f>
        <v/>
      </c>
      <c r="Z451" s="96">
        <f>IF(COUNTA(B451:O451)&gt;0,1,0)</f>
        <v>0</v>
      </c>
      <c r="AA451" s="96">
        <f>IF(AND(Z451=1,K451&lt;&gt;""),IF(TRIM(K451)=TRIM(cfg_cancel),1,0),0)</f>
        <v>0</v>
      </c>
      <c r="AB451" s="96" t="str">
        <f>IF(AND(Z451=1,B451&lt;&gt;""),C451&amp;"|"&amp;D451&amp;"|"&amp;G451&amp;"|"&amp;TRIM(B451),"")</f>
        <v/>
      </c>
      <c r="AC451" s="96">
        <f>IF(AB451="",0,IF(SUMPRODUCT(--($AB$6:$AB$505=AB451))&gt;1,1,0))</f>
        <v>0</v>
      </c>
      <c r="AD451" s="96">
        <f>IF(Z451=0,0,IF(OR(AND(G451&lt;&gt;"",ISNA(MATCH(G451,'CAD_UNIDADES'!$C$6:$C$105,0))),AND(H451&lt;&gt;"",ISNA(MATCH(H451,cmp_transp,0))),AND(I451&lt;&gt;"",ISNA(MATCH(I451,cmp_dest,0))),AND(E451&lt;&gt;"",NOT(ISNUMBER(E451))),AND(F451&lt;&gt;"",NOT(ISNUMBER(F451))),AND(ISNUMBER(E451),ISNUMBER(F451),F451&lt;E451)),1,0))</f>
        <v>0</v>
      </c>
      <c r="AE451" s="96">
        <f>IF(Z451=0,0,IF(OR(B451="",C451="",E451="",G451="",H451="",I451="",N(W451)=0),1,0))</f>
        <v>0</v>
      </c>
      <c r="AF451" s="96">
        <f>IF(Z451=0,0,COUNTIFS('ITENS_MTR'!$S$6:$S$1005,A451,'ITENS_MTR'!$AI$6:$AI$1005,1))</f>
        <v>0</v>
      </c>
      <c r="AG451" s="96">
        <f>IF(Z451=0,0,COUNTIFS('ITENS_MTR'!$S$6:$S$1005,A451,'ITENS_MTR'!$AJ$6:$AJ$1005,1))</f>
        <v>0</v>
      </c>
      <c r="AH451" s="96">
        <f>IF(Z451=0,0,COUNTIFS('ITENS_MTR'!$S$6:$S$1005,A451,'ITENS_MTR'!$AM$6:$AM$1005,1))</f>
        <v>0</v>
      </c>
      <c r="AI451" s="96">
        <f>IF(Z451=0,0,COUNTIFS('ITENS_MTR'!$S$6:$S$1005,A451,'ITENS_MTR'!$AO$6:$AO$1005,1))</f>
        <v>0</v>
      </c>
      <c r="AJ451" s="96">
        <f>IF(Z451=0,0,COUNTIFS('ITENS_MTR'!$S$6:$S$1005,A451,'ITENS_MTR'!$AN$6:$AN$1005,1))</f>
        <v>0</v>
      </c>
      <c r="AK451" s="96">
        <f>IF(Z451=0,0,COUNTIFS('RECEBIMENTOS'!$B$6:$B$1005,A451,'RECEBIMENTOS'!$Y$6:$Y$1005,1))</f>
        <v>0</v>
      </c>
      <c r="AL451" s="96">
        <f>IF(Z451=0,0,COUNTIFS('VÍNCULOS_CDF'!$D$6:$D$1005,A451,'VÍNCULOS_CDF'!$Y$6:$Y$1005,1))</f>
        <v>0</v>
      </c>
      <c r="AM451" s="96">
        <f>IF(Z451=0,0,COUNTIFS('RECEBIMENTOS'!$B$6:$B$1005,A451,'RECEBIMENTOS'!$Q$6:$Q$1005,1))</f>
        <v>0</v>
      </c>
      <c r="AN451" s="96">
        <f>IF(AND(Z451=1,N(W451)&gt;0,AG451=N(W451)),1,0)</f>
        <v>0</v>
      </c>
      <c r="AO451" s="96">
        <f>IF(AND(Z451=1,N(W451)&gt;0,AI451=N(W451)),1,0)</f>
        <v>0</v>
      </c>
      <c r="AP451" s="97">
        <f>IF(Z451=0,0,_xlfn.MAXIFS('RECEBIMENTOS'!$E$6:$E$1005,'RECEBIMENTOS'!$B$6:$B$1005,A451))</f>
        <v>0</v>
      </c>
      <c r="AQ451" s="97" t="str">
        <f>IF(T451="","",IF(T451="RECEBIMENTO NÃO CONFIRMADO",IF(ISNUMBER(F451),F451,IF(ISNUMBER(E451),E451,"")),IF(OR(T451="CDF NÃO LOCALIZADO",T451="VÍNCULO INCOMPLETO",T451="CDF A CONFERIR"),IF(AP451&gt;0,AP451,IF(ISNUMBER(E451),E451,"")),IF(ISNUMBER(E451),E451,""))))</f>
        <v/>
      </c>
      <c r="AR451" s="96">
        <f>IF(NOT(ISNUMBER(U451)),0,IF(T451="RECEBIMENTO NÃO CONFIRMADO",IF(AND(ISNUMBER(cfg_rec),U451&gt;cfg_rec),1,0),IF(OR(T451="CDF NÃO LOCALIZADO",T451="VÍNCULO INCOMPLETO",T451="CDF A CONFERIR"),IF(AND(ISNUMBER(cfg_cdf),U451&gt;cfg_cdf),1,0),0)))</f>
        <v>0</v>
      </c>
      <c r="AS451" s="96" t="str">
        <f>IF(T451="","",IF(AR451=1,"Alta",IFERROR(INDEX(cfg_pp,MATCH(T451,cfg_pt,0))&amp;"","Média")))</f>
        <v/>
      </c>
      <c r="AT451" s="96" t="str">
        <f>IF(T451="","",IFERROR(INDEX(cfg_pv,MATCH(T451,cfg_pt,0))&amp;"",""))</f>
        <v/>
      </c>
      <c r="AU451" s="96" t="str">
        <f>IF(T451="","",IF(AS451="Alta",1,IF(AS451="Média",2,3))*1000000000+(999999-IF(ISNUMBER(U451),MIN(U451,999999),0))*1000+446)</f>
        <v/>
      </c>
      <c r="AV451" s="96">
        <f>IF(T451&lt;&gt;"",1,0)</f>
        <v>0</v>
      </c>
      <c r="AW451" s="96" t="str">
        <f>IF(Z451=0,"",IF(AA451=1,"Cancelamento informado; ","")&amp;IF(AE451=1,"Campos essenciais ou itens faltando; ","")&amp;IF(AC451=1,"Possível duplicidade do número; ","")&amp;IF(AD451=1,"Cadastro ou datas a revisar; ","")&amp;IF(AF451&gt;0,"Item de resíduo com dado a revisar; ","")&amp;IF(AH451&gt;0,"Diferença de quantidade a analisar; ","")&amp;IF(AK451&gt;0,"Recebimento com alerta; ","")&amp;IF(AL451&gt;0,"Vínculo de CDF com alerta; ","")&amp;IF(AND(AA451=0,AN451=0),"Recebimento não confirmado; ","")&amp;IF(AND(AA451=0,AN451=1,AO451=0),"CDF pendente ou a conferir; ",""))</f>
        <v/>
      </c>
      <c r="AX451" s="96">
        <f>IF(Z451=0,0,IF(AND(OR(f_ini="",AND(ISNUMBER(E451),E451&gt;=f_ini)),OR(f_fim="",AND(ISNUMBER(E451),E451&lt;=f_fim)),OR(f_un="",f_un="(Todas)",G451=f_un),OR(f_tr="",f_tr="(Todos)",H451=f_tr),OR(f_de="",f_de="(Todos)",I451=f_de),OR(f_sit="",f_sit="(Todas)",S451=f_sit)),1,0))</f>
        <v>0</v>
      </c>
      <c r="AY451" s="96">
        <f>IF(AX451=0,0,IF(OR(f_res="",f_res="(Todos)"),1,IF(COUNTIFS('ITENS_MTR'!$S$6:$S$1005,A451,'ITENS_MTR'!$C$6:$C$1005,f_res)&gt;0,1,0)))</f>
        <v>0</v>
      </c>
      <c r="AZ451" s="97" t="str">
        <f>IF(ISNUMBER(E451),DATE(YEAR(E451),MONTH(E451),1),"")</f>
        <v/>
      </c>
      <c r="BA451" s="96">
        <f>IF(Z451=0,0,IF(AND(OR(r_ini="",AND(ISNUMBER(E451),E451&gt;=r_ini)),OR(r_fim="",AND(ISNUMBER(E451),E451&lt;=r_fim)),OR(r_un="",r_un="(Todas)",G451=r_un),OR(r_de="",r_de="(Todos)",I451=r_de)),1,0))</f>
        <v>0</v>
      </c>
      <c r="BB451" s="96" t="str">
        <f>IF(BA451=1,COUNTIF($BA$6:BA451,1),"")</f>
        <v/>
      </c>
      <c r="BC451" s="96" t="str">
        <f>IF(AND(AU451&lt;&gt;"",OR(r_un="",r_un="(Todas)",G451=r_un),OR(r_de="",r_de="(Todos)",I451=r_de)),AU451,"")</f>
        <v/>
      </c>
      <c r="BD451" s="96" t="str">
        <f>IF(Z451=1,A451&amp;" | nº "&amp;IF(B451="","(sem número)",B451)&amp;" | "&amp;IF(G451="","(sem unidade)",G451),"")</f>
        <v/>
      </c>
      <c r="BE451" s="96" t="str">
        <f>IF(Z451=1,COUNTIF($Z$6:Z451,1),"")</f>
        <v/>
      </c>
      <c r="BF451" s="96" t="str">
        <f>IF(T451="","",IF(T451="RECEBIMENTO NÃO CONFIRMADO","Transp.: "&amp;H451&amp;" | Dest.: "&amp;I451,IF(OR(T451="CDF NÃO LOCALIZADO",T451="VÍNCULO INCOMPLETO",T451="CDF A CONFERIR"),"Dest.: "&amp;I451,"Gerador: "&amp;G451)))</f>
        <v/>
      </c>
    </row>
    <row r="452">
      <c r="A452" s="89" t="inlineStr">
        <is>
          <t>MTR-000447</t>
        </is>
      </c>
      <c r="B452" s="90" t="n"/>
      <c r="C452" s="91" t="n"/>
      <c r="D452" s="91" t="n"/>
      <c r="E452" s="92" t="n"/>
      <c r="F452" s="92" t="n"/>
      <c r="G452" s="91" t="n"/>
      <c r="H452" s="91" t="n"/>
      <c r="I452" s="91" t="n"/>
      <c r="J452" s="91" t="n"/>
      <c r="K452" s="91" t="n"/>
      <c r="L452" s="92" t="n"/>
      <c r="M452" s="91" t="n"/>
      <c r="N452" s="91" t="n"/>
      <c r="O452" s="91" t="n"/>
      <c r="P452" s="93" t="str">
        <f>IF(Z452=0,"",SUMIFS('ITENS_MTR'!$I$6:$I$1005,'ITENS_MTR'!$S$6:$S$1005,A452,'ITENS_MTR'!$Y$6:$Y$1005,1))</f>
        <v/>
      </c>
      <c r="Q452" s="93" t="str">
        <f>IF(Z452=0,"",SUMIFS('RECEBIMENTOS'!$H$6:$H$1005,'RECEBIMENTOS'!$B$6:$B$1005,A452,'RECEBIMENTOS'!$X$6:$X$1005,1))</f>
        <v/>
      </c>
      <c r="R452" s="93" t="str">
        <f>IF(Z452=0,"",SUMIFS('VÍNCULOS_CDF'!$H$6:$H$1005,'VÍNCULOS_CDF'!$D$6:$D$1005,A452,'VÍNCULOS_CDF'!$V$6:$V$1005,1))</f>
        <v/>
      </c>
      <c r="S452" s="94" t="str">
        <f>IF(Z452=0,"",IF(AA452=1,"Cancelado (informado)",IF(AE452=1,"Cadastro incompleto",IF(OR(AC452=1,AD452=1,AF452&gt;0,AH452&gt;0,AK452&gt;0,AL452&gt;0),"Informação a revisar",IF(AN452=0,"Aguardando recebimento",IF(N(R452)=0,"Aguardando CDF",IF(AJ452&lt;N(W452),"Vínculo de CDF parcial",IF(AO452=0,"CDF localizado, a conferir","Documentação conferida"))))))))</f>
        <v/>
      </c>
      <c r="T452" s="94" t="str">
        <f>IF(Z452=0,"",IF(S452="Cadastro incompleto","MTR INCOMPLETO",IF(S452="Informação a revisar",IF(AND(AH452&gt;0,AC452=0,AD452=0,AF452=0,AK452=0,AL452=0),"QUANTIDADE A REVISAR","IDENTIFICAÇÃO A REVISAR"),IF(S452="Aguardando recebimento","RECEBIMENTO NÃO CONFIRMADO",IF(S452="Aguardando CDF","CDF NÃO LOCALIZADO",IF(S452="Vínculo de CDF parcial","VÍNCULO INCOMPLETO",IF(S452="CDF localizado, a conferir","CDF A CONFERIR","")))))))</f>
        <v/>
      </c>
      <c r="U452" s="95" t="str">
        <f>IF(T452="","",IF(AQ452="","Não calculável",IF(AQ452&gt;TODAY(),"Data futura",TODAY()-AQ452)))</f>
        <v/>
      </c>
      <c r="V452" s="93" t="str">
        <f>IF(Z452=0,"",SUMIFS('RECEBIMENTOS'!$H$6:$H$1005,'RECEBIMENTOS'!$B$6:$B$1005,A452,'RECEBIMENTOS'!$Z$6:$Z$1005,1))</f>
        <v/>
      </c>
      <c r="W452" s="95" t="str">
        <f>IF(Z452=0,"",COUNTIFS('ITENS_MTR'!$S$6:$S$1005,A452,'ITENS_MTR'!$R$6:$R$1005,1))</f>
        <v/>
      </c>
      <c r="X452" s="94" t="str">
        <f>IF(AC452=1,"POSSÍVEL DUPLICIDADE","")</f>
        <v/>
      </c>
      <c r="Y452" s="94" t="str">
        <f>IF(Z452=0,"",IF(AW452="","Nenhuma",LEFT(AW452,LEN(AW452)-2)))</f>
        <v/>
      </c>
      <c r="Z452" s="96">
        <f>IF(COUNTA(B452:O452)&gt;0,1,0)</f>
        <v>0</v>
      </c>
      <c r="AA452" s="96">
        <f>IF(AND(Z452=1,K452&lt;&gt;""),IF(TRIM(K452)=TRIM(cfg_cancel),1,0),0)</f>
        <v>0</v>
      </c>
      <c r="AB452" s="96" t="str">
        <f>IF(AND(Z452=1,B452&lt;&gt;""),C452&amp;"|"&amp;D452&amp;"|"&amp;G452&amp;"|"&amp;TRIM(B452),"")</f>
        <v/>
      </c>
      <c r="AC452" s="96">
        <f>IF(AB452="",0,IF(SUMPRODUCT(--($AB$6:$AB$505=AB452))&gt;1,1,0))</f>
        <v>0</v>
      </c>
      <c r="AD452" s="96">
        <f>IF(Z452=0,0,IF(OR(AND(G452&lt;&gt;"",ISNA(MATCH(G452,'CAD_UNIDADES'!$C$6:$C$105,0))),AND(H452&lt;&gt;"",ISNA(MATCH(H452,cmp_transp,0))),AND(I452&lt;&gt;"",ISNA(MATCH(I452,cmp_dest,0))),AND(E452&lt;&gt;"",NOT(ISNUMBER(E452))),AND(F452&lt;&gt;"",NOT(ISNUMBER(F452))),AND(ISNUMBER(E452),ISNUMBER(F452),F452&lt;E452)),1,0))</f>
        <v>0</v>
      </c>
      <c r="AE452" s="96">
        <f>IF(Z452=0,0,IF(OR(B452="",C452="",E452="",G452="",H452="",I452="",N(W452)=0),1,0))</f>
        <v>0</v>
      </c>
      <c r="AF452" s="96">
        <f>IF(Z452=0,0,COUNTIFS('ITENS_MTR'!$S$6:$S$1005,A452,'ITENS_MTR'!$AI$6:$AI$1005,1))</f>
        <v>0</v>
      </c>
      <c r="AG452" s="96">
        <f>IF(Z452=0,0,COUNTIFS('ITENS_MTR'!$S$6:$S$1005,A452,'ITENS_MTR'!$AJ$6:$AJ$1005,1))</f>
        <v>0</v>
      </c>
      <c r="AH452" s="96">
        <f>IF(Z452=0,0,COUNTIFS('ITENS_MTR'!$S$6:$S$1005,A452,'ITENS_MTR'!$AM$6:$AM$1005,1))</f>
        <v>0</v>
      </c>
      <c r="AI452" s="96">
        <f>IF(Z452=0,0,COUNTIFS('ITENS_MTR'!$S$6:$S$1005,A452,'ITENS_MTR'!$AO$6:$AO$1005,1))</f>
        <v>0</v>
      </c>
      <c r="AJ452" s="96">
        <f>IF(Z452=0,0,COUNTIFS('ITENS_MTR'!$S$6:$S$1005,A452,'ITENS_MTR'!$AN$6:$AN$1005,1))</f>
        <v>0</v>
      </c>
      <c r="AK452" s="96">
        <f>IF(Z452=0,0,COUNTIFS('RECEBIMENTOS'!$B$6:$B$1005,A452,'RECEBIMENTOS'!$Y$6:$Y$1005,1))</f>
        <v>0</v>
      </c>
      <c r="AL452" s="96">
        <f>IF(Z452=0,0,COUNTIFS('VÍNCULOS_CDF'!$D$6:$D$1005,A452,'VÍNCULOS_CDF'!$Y$6:$Y$1005,1))</f>
        <v>0</v>
      </c>
      <c r="AM452" s="96">
        <f>IF(Z452=0,0,COUNTIFS('RECEBIMENTOS'!$B$6:$B$1005,A452,'RECEBIMENTOS'!$Q$6:$Q$1005,1))</f>
        <v>0</v>
      </c>
      <c r="AN452" s="96">
        <f>IF(AND(Z452=1,N(W452)&gt;0,AG452=N(W452)),1,0)</f>
        <v>0</v>
      </c>
      <c r="AO452" s="96">
        <f>IF(AND(Z452=1,N(W452)&gt;0,AI452=N(W452)),1,0)</f>
        <v>0</v>
      </c>
      <c r="AP452" s="97">
        <f>IF(Z452=0,0,_xlfn.MAXIFS('RECEBIMENTOS'!$E$6:$E$1005,'RECEBIMENTOS'!$B$6:$B$1005,A452))</f>
        <v>0</v>
      </c>
      <c r="AQ452" s="97" t="str">
        <f>IF(T452="","",IF(T452="RECEBIMENTO NÃO CONFIRMADO",IF(ISNUMBER(F452),F452,IF(ISNUMBER(E452),E452,"")),IF(OR(T452="CDF NÃO LOCALIZADO",T452="VÍNCULO INCOMPLETO",T452="CDF A CONFERIR"),IF(AP452&gt;0,AP452,IF(ISNUMBER(E452),E452,"")),IF(ISNUMBER(E452),E452,""))))</f>
        <v/>
      </c>
      <c r="AR452" s="96">
        <f>IF(NOT(ISNUMBER(U452)),0,IF(T452="RECEBIMENTO NÃO CONFIRMADO",IF(AND(ISNUMBER(cfg_rec),U452&gt;cfg_rec),1,0),IF(OR(T452="CDF NÃO LOCALIZADO",T452="VÍNCULO INCOMPLETO",T452="CDF A CONFERIR"),IF(AND(ISNUMBER(cfg_cdf),U452&gt;cfg_cdf),1,0),0)))</f>
        <v>0</v>
      </c>
      <c r="AS452" s="96" t="str">
        <f>IF(T452="","",IF(AR452=1,"Alta",IFERROR(INDEX(cfg_pp,MATCH(T452,cfg_pt,0))&amp;"","Média")))</f>
        <v/>
      </c>
      <c r="AT452" s="96" t="str">
        <f>IF(T452="","",IFERROR(INDEX(cfg_pv,MATCH(T452,cfg_pt,0))&amp;"",""))</f>
        <v/>
      </c>
      <c r="AU452" s="96" t="str">
        <f>IF(T452="","",IF(AS452="Alta",1,IF(AS452="Média",2,3))*1000000000+(999999-IF(ISNUMBER(U452),MIN(U452,999999),0))*1000+447)</f>
        <v/>
      </c>
      <c r="AV452" s="96">
        <f>IF(T452&lt;&gt;"",1,0)</f>
        <v>0</v>
      </c>
      <c r="AW452" s="96" t="str">
        <f>IF(Z452=0,"",IF(AA452=1,"Cancelamento informado; ","")&amp;IF(AE452=1,"Campos essenciais ou itens faltando; ","")&amp;IF(AC452=1,"Possível duplicidade do número; ","")&amp;IF(AD452=1,"Cadastro ou datas a revisar; ","")&amp;IF(AF452&gt;0,"Item de resíduo com dado a revisar; ","")&amp;IF(AH452&gt;0,"Diferença de quantidade a analisar; ","")&amp;IF(AK452&gt;0,"Recebimento com alerta; ","")&amp;IF(AL452&gt;0,"Vínculo de CDF com alerta; ","")&amp;IF(AND(AA452=0,AN452=0),"Recebimento não confirmado; ","")&amp;IF(AND(AA452=0,AN452=1,AO452=0),"CDF pendente ou a conferir; ",""))</f>
        <v/>
      </c>
      <c r="AX452" s="96">
        <f>IF(Z452=0,0,IF(AND(OR(f_ini="",AND(ISNUMBER(E452),E452&gt;=f_ini)),OR(f_fim="",AND(ISNUMBER(E452),E452&lt;=f_fim)),OR(f_un="",f_un="(Todas)",G452=f_un),OR(f_tr="",f_tr="(Todos)",H452=f_tr),OR(f_de="",f_de="(Todos)",I452=f_de),OR(f_sit="",f_sit="(Todas)",S452=f_sit)),1,0))</f>
        <v>0</v>
      </c>
      <c r="AY452" s="96">
        <f>IF(AX452=0,0,IF(OR(f_res="",f_res="(Todos)"),1,IF(COUNTIFS('ITENS_MTR'!$S$6:$S$1005,A452,'ITENS_MTR'!$C$6:$C$1005,f_res)&gt;0,1,0)))</f>
        <v>0</v>
      </c>
      <c r="AZ452" s="97" t="str">
        <f>IF(ISNUMBER(E452),DATE(YEAR(E452),MONTH(E452),1),"")</f>
        <v/>
      </c>
      <c r="BA452" s="96">
        <f>IF(Z452=0,0,IF(AND(OR(r_ini="",AND(ISNUMBER(E452),E452&gt;=r_ini)),OR(r_fim="",AND(ISNUMBER(E452),E452&lt;=r_fim)),OR(r_un="",r_un="(Todas)",G452=r_un),OR(r_de="",r_de="(Todos)",I452=r_de)),1,0))</f>
        <v>0</v>
      </c>
      <c r="BB452" s="96" t="str">
        <f>IF(BA452=1,COUNTIF($BA$6:BA452,1),"")</f>
        <v/>
      </c>
      <c r="BC452" s="96" t="str">
        <f>IF(AND(AU452&lt;&gt;"",OR(r_un="",r_un="(Todas)",G452=r_un),OR(r_de="",r_de="(Todos)",I452=r_de)),AU452,"")</f>
        <v/>
      </c>
      <c r="BD452" s="96" t="str">
        <f>IF(Z452=1,A452&amp;" | nº "&amp;IF(B452="","(sem número)",B452)&amp;" | "&amp;IF(G452="","(sem unidade)",G452),"")</f>
        <v/>
      </c>
      <c r="BE452" s="96" t="str">
        <f>IF(Z452=1,COUNTIF($Z$6:Z452,1),"")</f>
        <v/>
      </c>
      <c r="BF452" s="96" t="str">
        <f>IF(T452="","",IF(T452="RECEBIMENTO NÃO CONFIRMADO","Transp.: "&amp;H452&amp;" | Dest.: "&amp;I452,IF(OR(T452="CDF NÃO LOCALIZADO",T452="VÍNCULO INCOMPLETO",T452="CDF A CONFERIR"),"Dest.: "&amp;I452,"Gerador: "&amp;G452)))</f>
        <v/>
      </c>
    </row>
    <row r="453">
      <c r="A453" s="89" t="inlineStr">
        <is>
          <t>MTR-000448</t>
        </is>
      </c>
      <c r="B453" s="90" t="n"/>
      <c r="C453" s="91" t="n"/>
      <c r="D453" s="91" t="n"/>
      <c r="E453" s="92" t="n"/>
      <c r="F453" s="92" t="n"/>
      <c r="G453" s="91" t="n"/>
      <c r="H453" s="91" t="n"/>
      <c r="I453" s="91" t="n"/>
      <c r="J453" s="91" t="n"/>
      <c r="K453" s="91" t="n"/>
      <c r="L453" s="92" t="n"/>
      <c r="M453" s="91" t="n"/>
      <c r="N453" s="91" t="n"/>
      <c r="O453" s="91" t="n"/>
      <c r="P453" s="93" t="str">
        <f>IF(Z453=0,"",SUMIFS('ITENS_MTR'!$I$6:$I$1005,'ITENS_MTR'!$S$6:$S$1005,A453,'ITENS_MTR'!$Y$6:$Y$1005,1))</f>
        <v/>
      </c>
      <c r="Q453" s="93" t="str">
        <f>IF(Z453=0,"",SUMIFS('RECEBIMENTOS'!$H$6:$H$1005,'RECEBIMENTOS'!$B$6:$B$1005,A453,'RECEBIMENTOS'!$X$6:$X$1005,1))</f>
        <v/>
      </c>
      <c r="R453" s="93" t="str">
        <f>IF(Z453=0,"",SUMIFS('VÍNCULOS_CDF'!$H$6:$H$1005,'VÍNCULOS_CDF'!$D$6:$D$1005,A453,'VÍNCULOS_CDF'!$V$6:$V$1005,1))</f>
        <v/>
      </c>
      <c r="S453" s="94" t="str">
        <f>IF(Z453=0,"",IF(AA453=1,"Cancelado (informado)",IF(AE453=1,"Cadastro incompleto",IF(OR(AC453=1,AD453=1,AF453&gt;0,AH453&gt;0,AK453&gt;0,AL453&gt;0),"Informação a revisar",IF(AN453=0,"Aguardando recebimento",IF(N(R453)=0,"Aguardando CDF",IF(AJ453&lt;N(W453),"Vínculo de CDF parcial",IF(AO453=0,"CDF localizado, a conferir","Documentação conferida"))))))))</f>
        <v/>
      </c>
      <c r="T453" s="94" t="str">
        <f>IF(Z453=0,"",IF(S453="Cadastro incompleto","MTR INCOMPLETO",IF(S453="Informação a revisar",IF(AND(AH453&gt;0,AC453=0,AD453=0,AF453=0,AK453=0,AL453=0),"QUANTIDADE A REVISAR","IDENTIFICAÇÃO A REVISAR"),IF(S453="Aguardando recebimento","RECEBIMENTO NÃO CONFIRMADO",IF(S453="Aguardando CDF","CDF NÃO LOCALIZADO",IF(S453="Vínculo de CDF parcial","VÍNCULO INCOMPLETO",IF(S453="CDF localizado, a conferir","CDF A CONFERIR","")))))))</f>
        <v/>
      </c>
      <c r="U453" s="95" t="str">
        <f>IF(T453="","",IF(AQ453="","Não calculável",IF(AQ453&gt;TODAY(),"Data futura",TODAY()-AQ453)))</f>
        <v/>
      </c>
      <c r="V453" s="93" t="str">
        <f>IF(Z453=0,"",SUMIFS('RECEBIMENTOS'!$H$6:$H$1005,'RECEBIMENTOS'!$B$6:$B$1005,A453,'RECEBIMENTOS'!$Z$6:$Z$1005,1))</f>
        <v/>
      </c>
      <c r="W453" s="95" t="str">
        <f>IF(Z453=0,"",COUNTIFS('ITENS_MTR'!$S$6:$S$1005,A453,'ITENS_MTR'!$R$6:$R$1005,1))</f>
        <v/>
      </c>
      <c r="X453" s="94" t="str">
        <f>IF(AC453=1,"POSSÍVEL DUPLICIDADE","")</f>
        <v/>
      </c>
      <c r="Y453" s="94" t="str">
        <f>IF(Z453=0,"",IF(AW453="","Nenhuma",LEFT(AW453,LEN(AW453)-2)))</f>
        <v/>
      </c>
      <c r="Z453" s="96">
        <f>IF(COUNTA(B453:O453)&gt;0,1,0)</f>
        <v>0</v>
      </c>
      <c r="AA453" s="96">
        <f>IF(AND(Z453=1,K453&lt;&gt;""),IF(TRIM(K453)=TRIM(cfg_cancel),1,0),0)</f>
        <v>0</v>
      </c>
      <c r="AB453" s="96" t="str">
        <f>IF(AND(Z453=1,B453&lt;&gt;""),C453&amp;"|"&amp;D453&amp;"|"&amp;G453&amp;"|"&amp;TRIM(B453),"")</f>
        <v/>
      </c>
      <c r="AC453" s="96">
        <f>IF(AB453="",0,IF(SUMPRODUCT(--($AB$6:$AB$505=AB453))&gt;1,1,0))</f>
        <v>0</v>
      </c>
      <c r="AD453" s="96">
        <f>IF(Z453=0,0,IF(OR(AND(G453&lt;&gt;"",ISNA(MATCH(G453,'CAD_UNIDADES'!$C$6:$C$105,0))),AND(H453&lt;&gt;"",ISNA(MATCH(H453,cmp_transp,0))),AND(I453&lt;&gt;"",ISNA(MATCH(I453,cmp_dest,0))),AND(E453&lt;&gt;"",NOT(ISNUMBER(E453))),AND(F453&lt;&gt;"",NOT(ISNUMBER(F453))),AND(ISNUMBER(E453),ISNUMBER(F453),F453&lt;E453)),1,0))</f>
        <v>0</v>
      </c>
      <c r="AE453" s="96">
        <f>IF(Z453=0,0,IF(OR(B453="",C453="",E453="",G453="",H453="",I453="",N(W453)=0),1,0))</f>
        <v>0</v>
      </c>
      <c r="AF453" s="96">
        <f>IF(Z453=0,0,COUNTIFS('ITENS_MTR'!$S$6:$S$1005,A453,'ITENS_MTR'!$AI$6:$AI$1005,1))</f>
        <v>0</v>
      </c>
      <c r="AG453" s="96">
        <f>IF(Z453=0,0,COUNTIFS('ITENS_MTR'!$S$6:$S$1005,A453,'ITENS_MTR'!$AJ$6:$AJ$1005,1))</f>
        <v>0</v>
      </c>
      <c r="AH453" s="96">
        <f>IF(Z453=0,0,COUNTIFS('ITENS_MTR'!$S$6:$S$1005,A453,'ITENS_MTR'!$AM$6:$AM$1005,1))</f>
        <v>0</v>
      </c>
      <c r="AI453" s="96">
        <f>IF(Z453=0,0,COUNTIFS('ITENS_MTR'!$S$6:$S$1005,A453,'ITENS_MTR'!$AO$6:$AO$1005,1))</f>
        <v>0</v>
      </c>
      <c r="AJ453" s="96">
        <f>IF(Z453=0,0,COUNTIFS('ITENS_MTR'!$S$6:$S$1005,A453,'ITENS_MTR'!$AN$6:$AN$1005,1))</f>
        <v>0</v>
      </c>
      <c r="AK453" s="96">
        <f>IF(Z453=0,0,COUNTIFS('RECEBIMENTOS'!$B$6:$B$1005,A453,'RECEBIMENTOS'!$Y$6:$Y$1005,1))</f>
        <v>0</v>
      </c>
      <c r="AL453" s="96">
        <f>IF(Z453=0,0,COUNTIFS('VÍNCULOS_CDF'!$D$6:$D$1005,A453,'VÍNCULOS_CDF'!$Y$6:$Y$1005,1))</f>
        <v>0</v>
      </c>
      <c r="AM453" s="96">
        <f>IF(Z453=0,0,COUNTIFS('RECEBIMENTOS'!$B$6:$B$1005,A453,'RECEBIMENTOS'!$Q$6:$Q$1005,1))</f>
        <v>0</v>
      </c>
      <c r="AN453" s="96">
        <f>IF(AND(Z453=1,N(W453)&gt;0,AG453=N(W453)),1,0)</f>
        <v>0</v>
      </c>
      <c r="AO453" s="96">
        <f>IF(AND(Z453=1,N(W453)&gt;0,AI453=N(W453)),1,0)</f>
        <v>0</v>
      </c>
      <c r="AP453" s="97">
        <f>IF(Z453=0,0,_xlfn.MAXIFS('RECEBIMENTOS'!$E$6:$E$1005,'RECEBIMENTOS'!$B$6:$B$1005,A453))</f>
        <v>0</v>
      </c>
      <c r="AQ453" s="97" t="str">
        <f>IF(T453="","",IF(T453="RECEBIMENTO NÃO CONFIRMADO",IF(ISNUMBER(F453),F453,IF(ISNUMBER(E453),E453,"")),IF(OR(T453="CDF NÃO LOCALIZADO",T453="VÍNCULO INCOMPLETO",T453="CDF A CONFERIR"),IF(AP453&gt;0,AP453,IF(ISNUMBER(E453),E453,"")),IF(ISNUMBER(E453),E453,""))))</f>
        <v/>
      </c>
      <c r="AR453" s="96">
        <f>IF(NOT(ISNUMBER(U453)),0,IF(T453="RECEBIMENTO NÃO CONFIRMADO",IF(AND(ISNUMBER(cfg_rec),U453&gt;cfg_rec),1,0),IF(OR(T453="CDF NÃO LOCALIZADO",T453="VÍNCULO INCOMPLETO",T453="CDF A CONFERIR"),IF(AND(ISNUMBER(cfg_cdf),U453&gt;cfg_cdf),1,0),0)))</f>
        <v>0</v>
      </c>
      <c r="AS453" s="96" t="str">
        <f>IF(T453="","",IF(AR453=1,"Alta",IFERROR(INDEX(cfg_pp,MATCH(T453,cfg_pt,0))&amp;"","Média")))</f>
        <v/>
      </c>
      <c r="AT453" s="96" t="str">
        <f>IF(T453="","",IFERROR(INDEX(cfg_pv,MATCH(T453,cfg_pt,0))&amp;"",""))</f>
        <v/>
      </c>
      <c r="AU453" s="96" t="str">
        <f>IF(T453="","",IF(AS453="Alta",1,IF(AS453="Média",2,3))*1000000000+(999999-IF(ISNUMBER(U453),MIN(U453,999999),0))*1000+448)</f>
        <v/>
      </c>
      <c r="AV453" s="96">
        <f>IF(T453&lt;&gt;"",1,0)</f>
        <v>0</v>
      </c>
      <c r="AW453" s="96" t="str">
        <f>IF(Z453=0,"",IF(AA453=1,"Cancelamento informado; ","")&amp;IF(AE453=1,"Campos essenciais ou itens faltando; ","")&amp;IF(AC453=1,"Possível duplicidade do número; ","")&amp;IF(AD453=1,"Cadastro ou datas a revisar; ","")&amp;IF(AF453&gt;0,"Item de resíduo com dado a revisar; ","")&amp;IF(AH453&gt;0,"Diferença de quantidade a analisar; ","")&amp;IF(AK453&gt;0,"Recebimento com alerta; ","")&amp;IF(AL453&gt;0,"Vínculo de CDF com alerta; ","")&amp;IF(AND(AA453=0,AN453=0),"Recebimento não confirmado; ","")&amp;IF(AND(AA453=0,AN453=1,AO453=0),"CDF pendente ou a conferir; ",""))</f>
        <v/>
      </c>
      <c r="AX453" s="96">
        <f>IF(Z453=0,0,IF(AND(OR(f_ini="",AND(ISNUMBER(E453),E453&gt;=f_ini)),OR(f_fim="",AND(ISNUMBER(E453),E453&lt;=f_fim)),OR(f_un="",f_un="(Todas)",G453=f_un),OR(f_tr="",f_tr="(Todos)",H453=f_tr),OR(f_de="",f_de="(Todos)",I453=f_de),OR(f_sit="",f_sit="(Todas)",S453=f_sit)),1,0))</f>
        <v>0</v>
      </c>
      <c r="AY453" s="96">
        <f>IF(AX453=0,0,IF(OR(f_res="",f_res="(Todos)"),1,IF(COUNTIFS('ITENS_MTR'!$S$6:$S$1005,A453,'ITENS_MTR'!$C$6:$C$1005,f_res)&gt;0,1,0)))</f>
        <v>0</v>
      </c>
      <c r="AZ453" s="97" t="str">
        <f>IF(ISNUMBER(E453),DATE(YEAR(E453),MONTH(E453),1),"")</f>
        <v/>
      </c>
      <c r="BA453" s="96">
        <f>IF(Z453=0,0,IF(AND(OR(r_ini="",AND(ISNUMBER(E453),E453&gt;=r_ini)),OR(r_fim="",AND(ISNUMBER(E453),E453&lt;=r_fim)),OR(r_un="",r_un="(Todas)",G453=r_un),OR(r_de="",r_de="(Todos)",I453=r_de)),1,0))</f>
        <v>0</v>
      </c>
      <c r="BB453" s="96" t="str">
        <f>IF(BA453=1,COUNTIF($BA$6:BA453,1),"")</f>
        <v/>
      </c>
      <c r="BC453" s="96" t="str">
        <f>IF(AND(AU453&lt;&gt;"",OR(r_un="",r_un="(Todas)",G453=r_un),OR(r_de="",r_de="(Todos)",I453=r_de)),AU453,"")</f>
        <v/>
      </c>
      <c r="BD453" s="96" t="str">
        <f>IF(Z453=1,A453&amp;" | nº "&amp;IF(B453="","(sem número)",B453)&amp;" | "&amp;IF(G453="","(sem unidade)",G453),"")</f>
        <v/>
      </c>
      <c r="BE453" s="96" t="str">
        <f>IF(Z453=1,COUNTIF($Z$6:Z453,1),"")</f>
        <v/>
      </c>
      <c r="BF453" s="96" t="str">
        <f>IF(T453="","",IF(T453="RECEBIMENTO NÃO CONFIRMADO","Transp.: "&amp;H453&amp;" | Dest.: "&amp;I453,IF(OR(T453="CDF NÃO LOCALIZADO",T453="VÍNCULO INCOMPLETO",T453="CDF A CONFERIR"),"Dest.: "&amp;I453,"Gerador: "&amp;G453)))</f>
        <v/>
      </c>
    </row>
    <row r="454">
      <c r="A454" s="89" t="inlineStr">
        <is>
          <t>MTR-000449</t>
        </is>
      </c>
      <c r="B454" s="90" t="n"/>
      <c r="C454" s="91" t="n"/>
      <c r="D454" s="91" t="n"/>
      <c r="E454" s="92" t="n"/>
      <c r="F454" s="92" t="n"/>
      <c r="G454" s="91" t="n"/>
      <c r="H454" s="91" t="n"/>
      <c r="I454" s="91" t="n"/>
      <c r="J454" s="91" t="n"/>
      <c r="K454" s="91" t="n"/>
      <c r="L454" s="92" t="n"/>
      <c r="M454" s="91" t="n"/>
      <c r="N454" s="91" t="n"/>
      <c r="O454" s="91" t="n"/>
      <c r="P454" s="93" t="str">
        <f>IF(Z454=0,"",SUMIFS('ITENS_MTR'!$I$6:$I$1005,'ITENS_MTR'!$S$6:$S$1005,A454,'ITENS_MTR'!$Y$6:$Y$1005,1))</f>
        <v/>
      </c>
      <c r="Q454" s="93" t="str">
        <f>IF(Z454=0,"",SUMIFS('RECEBIMENTOS'!$H$6:$H$1005,'RECEBIMENTOS'!$B$6:$B$1005,A454,'RECEBIMENTOS'!$X$6:$X$1005,1))</f>
        <v/>
      </c>
      <c r="R454" s="93" t="str">
        <f>IF(Z454=0,"",SUMIFS('VÍNCULOS_CDF'!$H$6:$H$1005,'VÍNCULOS_CDF'!$D$6:$D$1005,A454,'VÍNCULOS_CDF'!$V$6:$V$1005,1))</f>
        <v/>
      </c>
      <c r="S454" s="94" t="str">
        <f>IF(Z454=0,"",IF(AA454=1,"Cancelado (informado)",IF(AE454=1,"Cadastro incompleto",IF(OR(AC454=1,AD454=1,AF454&gt;0,AH454&gt;0,AK454&gt;0,AL454&gt;0),"Informação a revisar",IF(AN454=0,"Aguardando recebimento",IF(N(R454)=0,"Aguardando CDF",IF(AJ454&lt;N(W454),"Vínculo de CDF parcial",IF(AO454=0,"CDF localizado, a conferir","Documentação conferida"))))))))</f>
        <v/>
      </c>
      <c r="T454" s="94" t="str">
        <f>IF(Z454=0,"",IF(S454="Cadastro incompleto","MTR INCOMPLETO",IF(S454="Informação a revisar",IF(AND(AH454&gt;0,AC454=0,AD454=0,AF454=0,AK454=0,AL454=0),"QUANTIDADE A REVISAR","IDENTIFICAÇÃO A REVISAR"),IF(S454="Aguardando recebimento","RECEBIMENTO NÃO CONFIRMADO",IF(S454="Aguardando CDF","CDF NÃO LOCALIZADO",IF(S454="Vínculo de CDF parcial","VÍNCULO INCOMPLETO",IF(S454="CDF localizado, a conferir","CDF A CONFERIR","")))))))</f>
        <v/>
      </c>
      <c r="U454" s="95" t="str">
        <f>IF(T454="","",IF(AQ454="","Não calculável",IF(AQ454&gt;TODAY(),"Data futura",TODAY()-AQ454)))</f>
        <v/>
      </c>
      <c r="V454" s="93" t="str">
        <f>IF(Z454=0,"",SUMIFS('RECEBIMENTOS'!$H$6:$H$1005,'RECEBIMENTOS'!$B$6:$B$1005,A454,'RECEBIMENTOS'!$Z$6:$Z$1005,1))</f>
        <v/>
      </c>
      <c r="W454" s="95" t="str">
        <f>IF(Z454=0,"",COUNTIFS('ITENS_MTR'!$S$6:$S$1005,A454,'ITENS_MTR'!$R$6:$R$1005,1))</f>
        <v/>
      </c>
      <c r="X454" s="94" t="str">
        <f>IF(AC454=1,"POSSÍVEL DUPLICIDADE","")</f>
        <v/>
      </c>
      <c r="Y454" s="94" t="str">
        <f>IF(Z454=0,"",IF(AW454="","Nenhuma",LEFT(AW454,LEN(AW454)-2)))</f>
        <v/>
      </c>
      <c r="Z454" s="96">
        <f>IF(COUNTA(B454:O454)&gt;0,1,0)</f>
        <v>0</v>
      </c>
      <c r="AA454" s="96">
        <f>IF(AND(Z454=1,K454&lt;&gt;""),IF(TRIM(K454)=TRIM(cfg_cancel),1,0),0)</f>
        <v>0</v>
      </c>
      <c r="AB454" s="96" t="str">
        <f>IF(AND(Z454=1,B454&lt;&gt;""),C454&amp;"|"&amp;D454&amp;"|"&amp;G454&amp;"|"&amp;TRIM(B454),"")</f>
        <v/>
      </c>
      <c r="AC454" s="96">
        <f>IF(AB454="",0,IF(SUMPRODUCT(--($AB$6:$AB$505=AB454))&gt;1,1,0))</f>
        <v>0</v>
      </c>
      <c r="AD454" s="96">
        <f>IF(Z454=0,0,IF(OR(AND(G454&lt;&gt;"",ISNA(MATCH(G454,'CAD_UNIDADES'!$C$6:$C$105,0))),AND(H454&lt;&gt;"",ISNA(MATCH(H454,cmp_transp,0))),AND(I454&lt;&gt;"",ISNA(MATCH(I454,cmp_dest,0))),AND(E454&lt;&gt;"",NOT(ISNUMBER(E454))),AND(F454&lt;&gt;"",NOT(ISNUMBER(F454))),AND(ISNUMBER(E454),ISNUMBER(F454),F454&lt;E454)),1,0))</f>
        <v>0</v>
      </c>
      <c r="AE454" s="96">
        <f>IF(Z454=0,0,IF(OR(B454="",C454="",E454="",G454="",H454="",I454="",N(W454)=0),1,0))</f>
        <v>0</v>
      </c>
      <c r="AF454" s="96">
        <f>IF(Z454=0,0,COUNTIFS('ITENS_MTR'!$S$6:$S$1005,A454,'ITENS_MTR'!$AI$6:$AI$1005,1))</f>
        <v>0</v>
      </c>
      <c r="AG454" s="96">
        <f>IF(Z454=0,0,COUNTIFS('ITENS_MTR'!$S$6:$S$1005,A454,'ITENS_MTR'!$AJ$6:$AJ$1005,1))</f>
        <v>0</v>
      </c>
      <c r="AH454" s="96">
        <f>IF(Z454=0,0,COUNTIFS('ITENS_MTR'!$S$6:$S$1005,A454,'ITENS_MTR'!$AM$6:$AM$1005,1))</f>
        <v>0</v>
      </c>
      <c r="AI454" s="96">
        <f>IF(Z454=0,0,COUNTIFS('ITENS_MTR'!$S$6:$S$1005,A454,'ITENS_MTR'!$AO$6:$AO$1005,1))</f>
        <v>0</v>
      </c>
      <c r="AJ454" s="96">
        <f>IF(Z454=0,0,COUNTIFS('ITENS_MTR'!$S$6:$S$1005,A454,'ITENS_MTR'!$AN$6:$AN$1005,1))</f>
        <v>0</v>
      </c>
      <c r="AK454" s="96">
        <f>IF(Z454=0,0,COUNTIFS('RECEBIMENTOS'!$B$6:$B$1005,A454,'RECEBIMENTOS'!$Y$6:$Y$1005,1))</f>
        <v>0</v>
      </c>
      <c r="AL454" s="96">
        <f>IF(Z454=0,0,COUNTIFS('VÍNCULOS_CDF'!$D$6:$D$1005,A454,'VÍNCULOS_CDF'!$Y$6:$Y$1005,1))</f>
        <v>0</v>
      </c>
      <c r="AM454" s="96">
        <f>IF(Z454=0,0,COUNTIFS('RECEBIMENTOS'!$B$6:$B$1005,A454,'RECEBIMENTOS'!$Q$6:$Q$1005,1))</f>
        <v>0</v>
      </c>
      <c r="AN454" s="96">
        <f>IF(AND(Z454=1,N(W454)&gt;0,AG454=N(W454)),1,0)</f>
        <v>0</v>
      </c>
      <c r="AO454" s="96">
        <f>IF(AND(Z454=1,N(W454)&gt;0,AI454=N(W454)),1,0)</f>
        <v>0</v>
      </c>
      <c r="AP454" s="97">
        <f>IF(Z454=0,0,_xlfn.MAXIFS('RECEBIMENTOS'!$E$6:$E$1005,'RECEBIMENTOS'!$B$6:$B$1005,A454))</f>
        <v>0</v>
      </c>
      <c r="AQ454" s="97" t="str">
        <f>IF(T454="","",IF(T454="RECEBIMENTO NÃO CONFIRMADO",IF(ISNUMBER(F454),F454,IF(ISNUMBER(E454),E454,"")),IF(OR(T454="CDF NÃO LOCALIZADO",T454="VÍNCULO INCOMPLETO",T454="CDF A CONFERIR"),IF(AP454&gt;0,AP454,IF(ISNUMBER(E454),E454,"")),IF(ISNUMBER(E454),E454,""))))</f>
        <v/>
      </c>
      <c r="AR454" s="96">
        <f>IF(NOT(ISNUMBER(U454)),0,IF(T454="RECEBIMENTO NÃO CONFIRMADO",IF(AND(ISNUMBER(cfg_rec),U454&gt;cfg_rec),1,0),IF(OR(T454="CDF NÃO LOCALIZADO",T454="VÍNCULO INCOMPLETO",T454="CDF A CONFERIR"),IF(AND(ISNUMBER(cfg_cdf),U454&gt;cfg_cdf),1,0),0)))</f>
        <v>0</v>
      </c>
      <c r="AS454" s="96" t="str">
        <f>IF(T454="","",IF(AR454=1,"Alta",IFERROR(INDEX(cfg_pp,MATCH(T454,cfg_pt,0))&amp;"","Média")))</f>
        <v/>
      </c>
      <c r="AT454" s="96" t="str">
        <f>IF(T454="","",IFERROR(INDEX(cfg_pv,MATCH(T454,cfg_pt,0))&amp;"",""))</f>
        <v/>
      </c>
      <c r="AU454" s="96" t="str">
        <f>IF(T454="","",IF(AS454="Alta",1,IF(AS454="Média",2,3))*1000000000+(999999-IF(ISNUMBER(U454),MIN(U454,999999),0))*1000+449)</f>
        <v/>
      </c>
      <c r="AV454" s="96">
        <f>IF(T454&lt;&gt;"",1,0)</f>
        <v>0</v>
      </c>
      <c r="AW454" s="96" t="str">
        <f>IF(Z454=0,"",IF(AA454=1,"Cancelamento informado; ","")&amp;IF(AE454=1,"Campos essenciais ou itens faltando; ","")&amp;IF(AC454=1,"Possível duplicidade do número; ","")&amp;IF(AD454=1,"Cadastro ou datas a revisar; ","")&amp;IF(AF454&gt;0,"Item de resíduo com dado a revisar; ","")&amp;IF(AH454&gt;0,"Diferença de quantidade a analisar; ","")&amp;IF(AK454&gt;0,"Recebimento com alerta; ","")&amp;IF(AL454&gt;0,"Vínculo de CDF com alerta; ","")&amp;IF(AND(AA454=0,AN454=0),"Recebimento não confirmado; ","")&amp;IF(AND(AA454=0,AN454=1,AO454=0),"CDF pendente ou a conferir; ",""))</f>
        <v/>
      </c>
      <c r="AX454" s="96">
        <f>IF(Z454=0,0,IF(AND(OR(f_ini="",AND(ISNUMBER(E454),E454&gt;=f_ini)),OR(f_fim="",AND(ISNUMBER(E454),E454&lt;=f_fim)),OR(f_un="",f_un="(Todas)",G454=f_un),OR(f_tr="",f_tr="(Todos)",H454=f_tr),OR(f_de="",f_de="(Todos)",I454=f_de),OR(f_sit="",f_sit="(Todas)",S454=f_sit)),1,0))</f>
        <v>0</v>
      </c>
      <c r="AY454" s="96">
        <f>IF(AX454=0,0,IF(OR(f_res="",f_res="(Todos)"),1,IF(COUNTIFS('ITENS_MTR'!$S$6:$S$1005,A454,'ITENS_MTR'!$C$6:$C$1005,f_res)&gt;0,1,0)))</f>
        <v>0</v>
      </c>
      <c r="AZ454" s="97" t="str">
        <f>IF(ISNUMBER(E454),DATE(YEAR(E454),MONTH(E454),1),"")</f>
        <v/>
      </c>
      <c r="BA454" s="96">
        <f>IF(Z454=0,0,IF(AND(OR(r_ini="",AND(ISNUMBER(E454),E454&gt;=r_ini)),OR(r_fim="",AND(ISNUMBER(E454),E454&lt;=r_fim)),OR(r_un="",r_un="(Todas)",G454=r_un),OR(r_de="",r_de="(Todos)",I454=r_de)),1,0))</f>
        <v>0</v>
      </c>
      <c r="BB454" s="96" t="str">
        <f>IF(BA454=1,COUNTIF($BA$6:BA454,1),"")</f>
        <v/>
      </c>
      <c r="BC454" s="96" t="str">
        <f>IF(AND(AU454&lt;&gt;"",OR(r_un="",r_un="(Todas)",G454=r_un),OR(r_de="",r_de="(Todos)",I454=r_de)),AU454,"")</f>
        <v/>
      </c>
      <c r="BD454" s="96" t="str">
        <f>IF(Z454=1,A454&amp;" | nº "&amp;IF(B454="","(sem número)",B454)&amp;" | "&amp;IF(G454="","(sem unidade)",G454),"")</f>
        <v/>
      </c>
      <c r="BE454" s="96" t="str">
        <f>IF(Z454=1,COUNTIF($Z$6:Z454,1),"")</f>
        <v/>
      </c>
      <c r="BF454" s="96" t="str">
        <f>IF(T454="","",IF(T454="RECEBIMENTO NÃO CONFIRMADO","Transp.: "&amp;H454&amp;" | Dest.: "&amp;I454,IF(OR(T454="CDF NÃO LOCALIZADO",T454="VÍNCULO INCOMPLETO",T454="CDF A CONFERIR"),"Dest.: "&amp;I454,"Gerador: "&amp;G454)))</f>
        <v/>
      </c>
    </row>
    <row r="455">
      <c r="A455" s="89" t="inlineStr">
        <is>
          <t>MTR-000450</t>
        </is>
      </c>
      <c r="B455" s="90" t="n"/>
      <c r="C455" s="91" t="n"/>
      <c r="D455" s="91" t="n"/>
      <c r="E455" s="92" t="n"/>
      <c r="F455" s="92" t="n"/>
      <c r="G455" s="91" t="n"/>
      <c r="H455" s="91" t="n"/>
      <c r="I455" s="91" t="n"/>
      <c r="J455" s="91" t="n"/>
      <c r="K455" s="91" t="n"/>
      <c r="L455" s="92" t="n"/>
      <c r="M455" s="91" t="n"/>
      <c r="N455" s="91" t="n"/>
      <c r="O455" s="91" t="n"/>
      <c r="P455" s="93" t="str">
        <f>IF(Z455=0,"",SUMIFS('ITENS_MTR'!$I$6:$I$1005,'ITENS_MTR'!$S$6:$S$1005,A455,'ITENS_MTR'!$Y$6:$Y$1005,1))</f>
        <v/>
      </c>
      <c r="Q455" s="93" t="str">
        <f>IF(Z455=0,"",SUMIFS('RECEBIMENTOS'!$H$6:$H$1005,'RECEBIMENTOS'!$B$6:$B$1005,A455,'RECEBIMENTOS'!$X$6:$X$1005,1))</f>
        <v/>
      </c>
      <c r="R455" s="93" t="str">
        <f>IF(Z455=0,"",SUMIFS('VÍNCULOS_CDF'!$H$6:$H$1005,'VÍNCULOS_CDF'!$D$6:$D$1005,A455,'VÍNCULOS_CDF'!$V$6:$V$1005,1))</f>
        <v/>
      </c>
      <c r="S455" s="94" t="str">
        <f>IF(Z455=0,"",IF(AA455=1,"Cancelado (informado)",IF(AE455=1,"Cadastro incompleto",IF(OR(AC455=1,AD455=1,AF455&gt;0,AH455&gt;0,AK455&gt;0,AL455&gt;0),"Informação a revisar",IF(AN455=0,"Aguardando recebimento",IF(N(R455)=0,"Aguardando CDF",IF(AJ455&lt;N(W455),"Vínculo de CDF parcial",IF(AO455=0,"CDF localizado, a conferir","Documentação conferida"))))))))</f>
        <v/>
      </c>
      <c r="T455" s="94" t="str">
        <f>IF(Z455=0,"",IF(S455="Cadastro incompleto","MTR INCOMPLETO",IF(S455="Informação a revisar",IF(AND(AH455&gt;0,AC455=0,AD455=0,AF455=0,AK455=0,AL455=0),"QUANTIDADE A REVISAR","IDENTIFICAÇÃO A REVISAR"),IF(S455="Aguardando recebimento","RECEBIMENTO NÃO CONFIRMADO",IF(S455="Aguardando CDF","CDF NÃO LOCALIZADO",IF(S455="Vínculo de CDF parcial","VÍNCULO INCOMPLETO",IF(S455="CDF localizado, a conferir","CDF A CONFERIR","")))))))</f>
        <v/>
      </c>
      <c r="U455" s="95" t="str">
        <f>IF(T455="","",IF(AQ455="","Não calculável",IF(AQ455&gt;TODAY(),"Data futura",TODAY()-AQ455)))</f>
        <v/>
      </c>
      <c r="V455" s="93" t="str">
        <f>IF(Z455=0,"",SUMIFS('RECEBIMENTOS'!$H$6:$H$1005,'RECEBIMENTOS'!$B$6:$B$1005,A455,'RECEBIMENTOS'!$Z$6:$Z$1005,1))</f>
        <v/>
      </c>
      <c r="W455" s="95" t="str">
        <f>IF(Z455=0,"",COUNTIFS('ITENS_MTR'!$S$6:$S$1005,A455,'ITENS_MTR'!$R$6:$R$1005,1))</f>
        <v/>
      </c>
      <c r="X455" s="94" t="str">
        <f>IF(AC455=1,"POSSÍVEL DUPLICIDADE","")</f>
        <v/>
      </c>
      <c r="Y455" s="94" t="str">
        <f>IF(Z455=0,"",IF(AW455="","Nenhuma",LEFT(AW455,LEN(AW455)-2)))</f>
        <v/>
      </c>
      <c r="Z455" s="96">
        <f>IF(COUNTA(B455:O455)&gt;0,1,0)</f>
        <v>0</v>
      </c>
      <c r="AA455" s="96">
        <f>IF(AND(Z455=1,K455&lt;&gt;""),IF(TRIM(K455)=TRIM(cfg_cancel),1,0),0)</f>
        <v>0</v>
      </c>
      <c r="AB455" s="96" t="str">
        <f>IF(AND(Z455=1,B455&lt;&gt;""),C455&amp;"|"&amp;D455&amp;"|"&amp;G455&amp;"|"&amp;TRIM(B455),"")</f>
        <v/>
      </c>
      <c r="AC455" s="96">
        <f>IF(AB455="",0,IF(SUMPRODUCT(--($AB$6:$AB$505=AB455))&gt;1,1,0))</f>
        <v>0</v>
      </c>
      <c r="AD455" s="96">
        <f>IF(Z455=0,0,IF(OR(AND(G455&lt;&gt;"",ISNA(MATCH(G455,'CAD_UNIDADES'!$C$6:$C$105,0))),AND(H455&lt;&gt;"",ISNA(MATCH(H455,cmp_transp,0))),AND(I455&lt;&gt;"",ISNA(MATCH(I455,cmp_dest,0))),AND(E455&lt;&gt;"",NOT(ISNUMBER(E455))),AND(F455&lt;&gt;"",NOT(ISNUMBER(F455))),AND(ISNUMBER(E455),ISNUMBER(F455),F455&lt;E455)),1,0))</f>
        <v>0</v>
      </c>
      <c r="AE455" s="96">
        <f>IF(Z455=0,0,IF(OR(B455="",C455="",E455="",G455="",H455="",I455="",N(W455)=0),1,0))</f>
        <v>0</v>
      </c>
      <c r="AF455" s="96">
        <f>IF(Z455=0,0,COUNTIFS('ITENS_MTR'!$S$6:$S$1005,A455,'ITENS_MTR'!$AI$6:$AI$1005,1))</f>
        <v>0</v>
      </c>
      <c r="AG455" s="96">
        <f>IF(Z455=0,0,COUNTIFS('ITENS_MTR'!$S$6:$S$1005,A455,'ITENS_MTR'!$AJ$6:$AJ$1005,1))</f>
        <v>0</v>
      </c>
      <c r="AH455" s="96">
        <f>IF(Z455=0,0,COUNTIFS('ITENS_MTR'!$S$6:$S$1005,A455,'ITENS_MTR'!$AM$6:$AM$1005,1))</f>
        <v>0</v>
      </c>
      <c r="AI455" s="96">
        <f>IF(Z455=0,0,COUNTIFS('ITENS_MTR'!$S$6:$S$1005,A455,'ITENS_MTR'!$AO$6:$AO$1005,1))</f>
        <v>0</v>
      </c>
      <c r="AJ455" s="96">
        <f>IF(Z455=0,0,COUNTIFS('ITENS_MTR'!$S$6:$S$1005,A455,'ITENS_MTR'!$AN$6:$AN$1005,1))</f>
        <v>0</v>
      </c>
      <c r="AK455" s="96">
        <f>IF(Z455=0,0,COUNTIFS('RECEBIMENTOS'!$B$6:$B$1005,A455,'RECEBIMENTOS'!$Y$6:$Y$1005,1))</f>
        <v>0</v>
      </c>
      <c r="AL455" s="96">
        <f>IF(Z455=0,0,COUNTIFS('VÍNCULOS_CDF'!$D$6:$D$1005,A455,'VÍNCULOS_CDF'!$Y$6:$Y$1005,1))</f>
        <v>0</v>
      </c>
      <c r="AM455" s="96">
        <f>IF(Z455=0,0,COUNTIFS('RECEBIMENTOS'!$B$6:$B$1005,A455,'RECEBIMENTOS'!$Q$6:$Q$1005,1))</f>
        <v>0</v>
      </c>
      <c r="AN455" s="96">
        <f>IF(AND(Z455=1,N(W455)&gt;0,AG455=N(W455)),1,0)</f>
        <v>0</v>
      </c>
      <c r="AO455" s="96">
        <f>IF(AND(Z455=1,N(W455)&gt;0,AI455=N(W455)),1,0)</f>
        <v>0</v>
      </c>
      <c r="AP455" s="97">
        <f>IF(Z455=0,0,_xlfn.MAXIFS('RECEBIMENTOS'!$E$6:$E$1005,'RECEBIMENTOS'!$B$6:$B$1005,A455))</f>
        <v>0</v>
      </c>
      <c r="AQ455" s="97" t="str">
        <f>IF(T455="","",IF(T455="RECEBIMENTO NÃO CONFIRMADO",IF(ISNUMBER(F455),F455,IF(ISNUMBER(E455),E455,"")),IF(OR(T455="CDF NÃO LOCALIZADO",T455="VÍNCULO INCOMPLETO",T455="CDF A CONFERIR"),IF(AP455&gt;0,AP455,IF(ISNUMBER(E455),E455,"")),IF(ISNUMBER(E455),E455,""))))</f>
        <v/>
      </c>
      <c r="AR455" s="96">
        <f>IF(NOT(ISNUMBER(U455)),0,IF(T455="RECEBIMENTO NÃO CONFIRMADO",IF(AND(ISNUMBER(cfg_rec),U455&gt;cfg_rec),1,0),IF(OR(T455="CDF NÃO LOCALIZADO",T455="VÍNCULO INCOMPLETO",T455="CDF A CONFERIR"),IF(AND(ISNUMBER(cfg_cdf),U455&gt;cfg_cdf),1,0),0)))</f>
        <v>0</v>
      </c>
      <c r="AS455" s="96" t="str">
        <f>IF(T455="","",IF(AR455=1,"Alta",IFERROR(INDEX(cfg_pp,MATCH(T455,cfg_pt,0))&amp;"","Média")))</f>
        <v/>
      </c>
      <c r="AT455" s="96" t="str">
        <f>IF(T455="","",IFERROR(INDEX(cfg_pv,MATCH(T455,cfg_pt,0))&amp;"",""))</f>
        <v/>
      </c>
      <c r="AU455" s="96" t="str">
        <f>IF(T455="","",IF(AS455="Alta",1,IF(AS455="Média",2,3))*1000000000+(999999-IF(ISNUMBER(U455),MIN(U455,999999),0))*1000+450)</f>
        <v/>
      </c>
      <c r="AV455" s="96">
        <f>IF(T455&lt;&gt;"",1,0)</f>
        <v>0</v>
      </c>
      <c r="AW455" s="96" t="str">
        <f>IF(Z455=0,"",IF(AA455=1,"Cancelamento informado; ","")&amp;IF(AE455=1,"Campos essenciais ou itens faltando; ","")&amp;IF(AC455=1,"Possível duplicidade do número; ","")&amp;IF(AD455=1,"Cadastro ou datas a revisar; ","")&amp;IF(AF455&gt;0,"Item de resíduo com dado a revisar; ","")&amp;IF(AH455&gt;0,"Diferença de quantidade a analisar; ","")&amp;IF(AK455&gt;0,"Recebimento com alerta; ","")&amp;IF(AL455&gt;0,"Vínculo de CDF com alerta; ","")&amp;IF(AND(AA455=0,AN455=0),"Recebimento não confirmado; ","")&amp;IF(AND(AA455=0,AN455=1,AO455=0),"CDF pendente ou a conferir; ",""))</f>
        <v/>
      </c>
      <c r="AX455" s="96">
        <f>IF(Z455=0,0,IF(AND(OR(f_ini="",AND(ISNUMBER(E455),E455&gt;=f_ini)),OR(f_fim="",AND(ISNUMBER(E455),E455&lt;=f_fim)),OR(f_un="",f_un="(Todas)",G455=f_un),OR(f_tr="",f_tr="(Todos)",H455=f_tr),OR(f_de="",f_de="(Todos)",I455=f_de),OR(f_sit="",f_sit="(Todas)",S455=f_sit)),1,0))</f>
        <v>0</v>
      </c>
      <c r="AY455" s="96">
        <f>IF(AX455=0,0,IF(OR(f_res="",f_res="(Todos)"),1,IF(COUNTIFS('ITENS_MTR'!$S$6:$S$1005,A455,'ITENS_MTR'!$C$6:$C$1005,f_res)&gt;0,1,0)))</f>
        <v>0</v>
      </c>
      <c r="AZ455" s="97" t="str">
        <f>IF(ISNUMBER(E455),DATE(YEAR(E455),MONTH(E455),1),"")</f>
        <v/>
      </c>
      <c r="BA455" s="96">
        <f>IF(Z455=0,0,IF(AND(OR(r_ini="",AND(ISNUMBER(E455),E455&gt;=r_ini)),OR(r_fim="",AND(ISNUMBER(E455),E455&lt;=r_fim)),OR(r_un="",r_un="(Todas)",G455=r_un),OR(r_de="",r_de="(Todos)",I455=r_de)),1,0))</f>
        <v>0</v>
      </c>
      <c r="BB455" s="96" t="str">
        <f>IF(BA455=1,COUNTIF($BA$6:BA455,1),"")</f>
        <v/>
      </c>
      <c r="BC455" s="96" t="str">
        <f>IF(AND(AU455&lt;&gt;"",OR(r_un="",r_un="(Todas)",G455=r_un),OR(r_de="",r_de="(Todos)",I455=r_de)),AU455,"")</f>
        <v/>
      </c>
      <c r="BD455" s="96" t="str">
        <f>IF(Z455=1,A455&amp;" | nº "&amp;IF(B455="","(sem número)",B455)&amp;" | "&amp;IF(G455="","(sem unidade)",G455),"")</f>
        <v/>
      </c>
      <c r="BE455" s="96" t="str">
        <f>IF(Z455=1,COUNTIF($Z$6:Z455,1),"")</f>
        <v/>
      </c>
      <c r="BF455" s="96" t="str">
        <f>IF(T455="","",IF(T455="RECEBIMENTO NÃO CONFIRMADO","Transp.: "&amp;H455&amp;" | Dest.: "&amp;I455,IF(OR(T455="CDF NÃO LOCALIZADO",T455="VÍNCULO INCOMPLETO",T455="CDF A CONFERIR"),"Dest.: "&amp;I455,"Gerador: "&amp;G455)))</f>
        <v/>
      </c>
    </row>
    <row r="456">
      <c r="A456" s="89" t="inlineStr">
        <is>
          <t>MTR-000451</t>
        </is>
      </c>
      <c r="B456" s="90" t="n"/>
      <c r="C456" s="91" t="n"/>
      <c r="D456" s="91" t="n"/>
      <c r="E456" s="92" t="n"/>
      <c r="F456" s="92" t="n"/>
      <c r="G456" s="91" t="n"/>
      <c r="H456" s="91" t="n"/>
      <c r="I456" s="91" t="n"/>
      <c r="J456" s="91" t="n"/>
      <c r="K456" s="91" t="n"/>
      <c r="L456" s="92" t="n"/>
      <c r="M456" s="91" t="n"/>
      <c r="N456" s="91" t="n"/>
      <c r="O456" s="91" t="n"/>
      <c r="P456" s="93" t="str">
        <f>IF(Z456=0,"",SUMIFS('ITENS_MTR'!$I$6:$I$1005,'ITENS_MTR'!$S$6:$S$1005,A456,'ITENS_MTR'!$Y$6:$Y$1005,1))</f>
        <v/>
      </c>
      <c r="Q456" s="93" t="str">
        <f>IF(Z456=0,"",SUMIFS('RECEBIMENTOS'!$H$6:$H$1005,'RECEBIMENTOS'!$B$6:$B$1005,A456,'RECEBIMENTOS'!$X$6:$X$1005,1))</f>
        <v/>
      </c>
      <c r="R456" s="93" t="str">
        <f>IF(Z456=0,"",SUMIFS('VÍNCULOS_CDF'!$H$6:$H$1005,'VÍNCULOS_CDF'!$D$6:$D$1005,A456,'VÍNCULOS_CDF'!$V$6:$V$1005,1))</f>
        <v/>
      </c>
      <c r="S456" s="94" t="str">
        <f>IF(Z456=0,"",IF(AA456=1,"Cancelado (informado)",IF(AE456=1,"Cadastro incompleto",IF(OR(AC456=1,AD456=1,AF456&gt;0,AH456&gt;0,AK456&gt;0,AL456&gt;0),"Informação a revisar",IF(AN456=0,"Aguardando recebimento",IF(N(R456)=0,"Aguardando CDF",IF(AJ456&lt;N(W456),"Vínculo de CDF parcial",IF(AO456=0,"CDF localizado, a conferir","Documentação conferida"))))))))</f>
        <v/>
      </c>
      <c r="T456" s="94" t="str">
        <f>IF(Z456=0,"",IF(S456="Cadastro incompleto","MTR INCOMPLETO",IF(S456="Informação a revisar",IF(AND(AH456&gt;0,AC456=0,AD456=0,AF456=0,AK456=0,AL456=0),"QUANTIDADE A REVISAR","IDENTIFICAÇÃO A REVISAR"),IF(S456="Aguardando recebimento","RECEBIMENTO NÃO CONFIRMADO",IF(S456="Aguardando CDF","CDF NÃO LOCALIZADO",IF(S456="Vínculo de CDF parcial","VÍNCULO INCOMPLETO",IF(S456="CDF localizado, a conferir","CDF A CONFERIR","")))))))</f>
        <v/>
      </c>
      <c r="U456" s="95" t="str">
        <f>IF(T456="","",IF(AQ456="","Não calculável",IF(AQ456&gt;TODAY(),"Data futura",TODAY()-AQ456)))</f>
        <v/>
      </c>
      <c r="V456" s="93" t="str">
        <f>IF(Z456=0,"",SUMIFS('RECEBIMENTOS'!$H$6:$H$1005,'RECEBIMENTOS'!$B$6:$B$1005,A456,'RECEBIMENTOS'!$Z$6:$Z$1005,1))</f>
        <v/>
      </c>
      <c r="W456" s="95" t="str">
        <f>IF(Z456=0,"",COUNTIFS('ITENS_MTR'!$S$6:$S$1005,A456,'ITENS_MTR'!$R$6:$R$1005,1))</f>
        <v/>
      </c>
      <c r="X456" s="94" t="str">
        <f>IF(AC456=1,"POSSÍVEL DUPLICIDADE","")</f>
        <v/>
      </c>
      <c r="Y456" s="94" t="str">
        <f>IF(Z456=0,"",IF(AW456="","Nenhuma",LEFT(AW456,LEN(AW456)-2)))</f>
        <v/>
      </c>
      <c r="Z456" s="96">
        <f>IF(COUNTA(B456:O456)&gt;0,1,0)</f>
        <v>0</v>
      </c>
      <c r="AA456" s="96">
        <f>IF(AND(Z456=1,K456&lt;&gt;""),IF(TRIM(K456)=TRIM(cfg_cancel),1,0),0)</f>
        <v>0</v>
      </c>
      <c r="AB456" s="96" t="str">
        <f>IF(AND(Z456=1,B456&lt;&gt;""),C456&amp;"|"&amp;D456&amp;"|"&amp;G456&amp;"|"&amp;TRIM(B456),"")</f>
        <v/>
      </c>
      <c r="AC456" s="96">
        <f>IF(AB456="",0,IF(SUMPRODUCT(--($AB$6:$AB$505=AB456))&gt;1,1,0))</f>
        <v>0</v>
      </c>
      <c r="AD456" s="96">
        <f>IF(Z456=0,0,IF(OR(AND(G456&lt;&gt;"",ISNA(MATCH(G456,'CAD_UNIDADES'!$C$6:$C$105,0))),AND(H456&lt;&gt;"",ISNA(MATCH(H456,cmp_transp,0))),AND(I456&lt;&gt;"",ISNA(MATCH(I456,cmp_dest,0))),AND(E456&lt;&gt;"",NOT(ISNUMBER(E456))),AND(F456&lt;&gt;"",NOT(ISNUMBER(F456))),AND(ISNUMBER(E456),ISNUMBER(F456),F456&lt;E456)),1,0))</f>
        <v>0</v>
      </c>
      <c r="AE456" s="96">
        <f>IF(Z456=0,0,IF(OR(B456="",C456="",E456="",G456="",H456="",I456="",N(W456)=0),1,0))</f>
        <v>0</v>
      </c>
      <c r="AF456" s="96">
        <f>IF(Z456=0,0,COUNTIFS('ITENS_MTR'!$S$6:$S$1005,A456,'ITENS_MTR'!$AI$6:$AI$1005,1))</f>
        <v>0</v>
      </c>
      <c r="AG456" s="96">
        <f>IF(Z456=0,0,COUNTIFS('ITENS_MTR'!$S$6:$S$1005,A456,'ITENS_MTR'!$AJ$6:$AJ$1005,1))</f>
        <v>0</v>
      </c>
      <c r="AH456" s="96">
        <f>IF(Z456=0,0,COUNTIFS('ITENS_MTR'!$S$6:$S$1005,A456,'ITENS_MTR'!$AM$6:$AM$1005,1))</f>
        <v>0</v>
      </c>
      <c r="AI456" s="96">
        <f>IF(Z456=0,0,COUNTIFS('ITENS_MTR'!$S$6:$S$1005,A456,'ITENS_MTR'!$AO$6:$AO$1005,1))</f>
        <v>0</v>
      </c>
      <c r="AJ456" s="96">
        <f>IF(Z456=0,0,COUNTIFS('ITENS_MTR'!$S$6:$S$1005,A456,'ITENS_MTR'!$AN$6:$AN$1005,1))</f>
        <v>0</v>
      </c>
      <c r="AK456" s="96">
        <f>IF(Z456=0,0,COUNTIFS('RECEBIMENTOS'!$B$6:$B$1005,A456,'RECEBIMENTOS'!$Y$6:$Y$1005,1))</f>
        <v>0</v>
      </c>
      <c r="AL456" s="96">
        <f>IF(Z456=0,0,COUNTIFS('VÍNCULOS_CDF'!$D$6:$D$1005,A456,'VÍNCULOS_CDF'!$Y$6:$Y$1005,1))</f>
        <v>0</v>
      </c>
      <c r="AM456" s="96">
        <f>IF(Z456=0,0,COUNTIFS('RECEBIMENTOS'!$B$6:$B$1005,A456,'RECEBIMENTOS'!$Q$6:$Q$1005,1))</f>
        <v>0</v>
      </c>
      <c r="AN456" s="96">
        <f>IF(AND(Z456=1,N(W456)&gt;0,AG456=N(W456)),1,0)</f>
        <v>0</v>
      </c>
      <c r="AO456" s="96">
        <f>IF(AND(Z456=1,N(W456)&gt;0,AI456=N(W456)),1,0)</f>
        <v>0</v>
      </c>
      <c r="AP456" s="97">
        <f>IF(Z456=0,0,_xlfn.MAXIFS('RECEBIMENTOS'!$E$6:$E$1005,'RECEBIMENTOS'!$B$6:$B$1005,A456))</f>
        <v>0</v>
      </c>
      <c r="AQ456" s="97" t="str">
        <f>IF(T456="","",IF(T456="RECEBIMENTO NÃO CONFIRMADO",IF(ISNUMBER(F456),F456,IF(ISNUMBER(E456),E456,"")),IF(OR(T456="CDF NÃO LOCALIZADO",T456="VÍNCULO INCOMPLETO",T456="CDF A CONFERIR"),IF(AP456&gt;0,AP456,IF(ISNUMBER(E456),E456,"")),IF(ISNUMBER(E456),E456,""))))</f>
        <v/>
      </c>
      <c r="AR456" s="96">
        <f>IF(NOT(ISNUMBER(U456)),0,IF(T456="RECEBIMENTO NÃO CONFIRMADO",IF(AND(ISNUMBER(cfg_rec),U456&gt;cfg_rec),1,0),IF(OR(T456="CDF NÃO LOCALIZADO",T456="VÍNCULO INCOMPLETO",T456="CDF A CONFERIR"),IF(AND(ISNUMBER(cfg_cdf),U456&gt;cfg_cdf),1,0),0)))</f>
        <v>0</v>
      </c>
      <c r="AS456" s="96" t="str">
        <f>IF(T456="","",IF(AR456=1,"Alta",IFERROR(INDEX(cfg_pp,MATCH(T456,cfg_pt,0))&amp;"","Média")))</f>
        <v/>
      </c>
      <c r="AT456" s="96" t="str">
        <f>IF(T456="","",IFERROR(INDEX(cfg_pv,MATCH(T456,cfg_pt,0))&amp;"",""))</f>
        <v/>
      </c>
      <c r="AU456" s="96" t="str">
        <f>IF(T456="","",IF(AS456="Alta",1,IF(AS456="Média",2,3))*1000000000+(999999-IF(ISNUMBER(U456),MIN(U456,999999),0))*1000+451)</f>
        <v/>
      </c>
      <c r="AV456" s="96">
        <f>IF(T456&lt;&gt;"",1,0)</f>
        <v>0</v>
      </c>
      <c r="AW456" s="96" t="str">
        <f>IF(Z456=0,"",IF(AA456=1,"Cancelamento informado; ","")&amp;IF(AE456=1,"Campos essenciais ou itens faltando; ","")&amp;IF(AC456=1,"Possível duplicidade do número; ","")&amp;IF(AD456=1,"Cadastro ou datas a revisar; ","")&amp;IF(AF456&gt;0,"Item de resíduo com dado a revisar; ","")&amp;IF(AH456&gt;0,"Diferença de quantidade a analisar; ","")&amp;IF(AK456&gt;0,"Recebimento com alerta; ","")&amp;IF(AL456&gt;0,"Vínculo de CDF com alerta; ","")&amp;IF(AND(AA456=0,AN456=0),"Recebimento não confirmado; ","")&amp;IF(AND(AA456=0,AN456=1,AO456=0),"CDF pendente ou a conferir; ",""))</f>
        <v/>
      </c>
      <c r="AX456" s="96">
        <f>IF(Z456=0,0,IF(AND(OR(f_ini="",AND(ISNUMBER(E456),E456&gt;=f_ini)),OR(f_fim="",AND(ISNUMBER(E456),E456&lt;=f_fim)),OR(f_un="",f_un="(Todas)",G456=f_un),OR(f_tr="",f_tr="(Todos)",H456=f_tr),OR(f_de="",f_de="(Todos)",I456=f_de),OR(f_sit="",f_sit="(Todas)",S456=f_sit)),1,0))</f>
        <v>0</v>
      </c>
      <c r="AY456" s="96">
        <f>IF(AX456=0,0,IF(OR(f_res="",f_res="(Todos)"),1,IF(COUNTIFS('ITENS_MTR'!$S$6:$S$1005,A456,'ITENS_MTR'!$C$6:$C$1005,f_res)&gt;0,1,0)))</f>
        <v>0</v>
      </c>
      <c r="AZ456" s="97" t="str">
        <f>IF(ISNUMBER(E456),DATE(YEAR(E456),MONTH(E456),1),"")</f>
        <v/>
      </c>
      <c r="BA456" s="96">
        <f>IF(Z456=0,0,IF(AND(OR(r_ini="",AND(ISNUMBER(E456),E456&gt;=r_ini)),OR(r_fim="",AND(ISNUMBER(E456),E456&lt;=r_fim)),OR(r_un="",r_un="(Todas)",G456=r_un),OR(r_de="",r_de="(Todos)",I456=r_de)),1,0))</f>
        <v>0</v>
      </c>
      <c r="BB456" s="96" t="str">
        <f>IF(BA456=1,COUNTIF($BA$6:BA456,1),"")</f>
        <v/>
      </c>
      <c r="BC456" s="96" t="str">
        <f>IF(AND(AU456&lt;&gt;"",OR(r_un="",r_un="(Todas)",G456=r_un),OR(r_de="",r_de="(Todos)",I456=r_de)),AU456,"")</f>
        <v/>
      </c>
      <c r="BD456" s="96" t="str">
        <f>IF(Z456=1,A456&amp;" | nº "&amp;IF(B456="","(sem número)",B456)&amp;" | "&amp;IF(G456="","(sem unidade)",G456),"")</f>
        <v/>
      </c>
      <c r="BE456" s="96" t="str">
        <f>IF(Z456=1,COUNTIF($Z$6:Z456,1),"")</f>
        <v/>
      </c>
      <c r="BF456" s="96" t="str">
        <f>IF(T456="","",IF(T456="RECEBIMENTO NÃO CONFIRMADO","Transp.: "&amp;H456&amp;" | Dest.: "&amp;I456,IF(OR(T456="CDF NÃO LOCALIZADO",T456="VÍNCULO INCOMPLETO",T456="CDF A CONFERIR"),"Dest.: "&amp;I456,"Gerador: "&amp;G456)))</f>
        <v/>
      </c>
    </row>
    <row r="457">
      <c r="A457" s="89" t="inlineStr">
        <is>
          <t>MTR-000452</t>
        </is>
      </c>
      <c r="B457" s="90" t="n"/>
      <c r="C457" s="91" t="n"/>
      <c r="D457" s="91" t="n"/>
      <c r="E457" s="92" t="n"/>
      <c r="F457" s="92" t="n"/>
      <c r="G457" s="91" t="n"/>
      <c r="H457" s="91" t="n"/>
      <c r="I457" s="91" t="n"/>
      <c r="J457" s="91" t="n"/>
      <c r="K457" s="91" t="n"/>
      <c r="L457" s="92" t="n"/>
      <c r="M457" s="91" t="n"/>
      <c r="N457" s="91" t="n"/>
      <c r="O457" s="91" t="n"/>
      <c r="P457" s="93" t="str">
        <f>IF(Z457=0,"",SUMIFS('ITENS_MTR'!$I$6:$I$1005,'ITENS_MTR'!$S$6:$S$1005,A457,'ITENS_MTR'!$Y$6:$Y$1005,1))</f>
        <v/>
      </c>
      <c r="Q457" s="93" t="str">
        <f>IF(Z457=0,"",SUMIFS('RECEBIMENTOS'!$H$6:$H$1005,'RECEBIMENTOS'!$B$6:$B$1005,A457,'RECEBIMENTOS'!$X$6:$X$1005,1))</f>
        <v/>
      </c>
      <c r="R457" s="93" t="str">
        <f>IF(Z457=0,"",SUMIFS('VÍNCULOS_CDF'!$H$6:$H$1005,'VÍNCULOS_CDF'!$D$6:$D$1005,A457,'VÍNCULOS_CDF'!$V$6:$V$1005,1))</f>
        <v/>
      </c>
      <c r="S457" s="94" t="str">
        <f>IF(Z457=0,"",IF(AA457=1,"Cancelado (informado)",IF(AE457=1,"Cadastro incompleto",IF(OR(AC457=1,AD457=1,AF457&gt;0,AH457&gt;0,AK457&gt;0,AL457&gt;0),"Informação a revisar",IF(AN457=0,"Aguardando recebimento",IF(N(R457)=0,"Aguardando CDF",IF(AJ457&lt;N(W457),"Vínculo de CDF parcial",IF(AO457=0,"CDF localizado, a conferir","Documentação conferida"))))))))</f>
        <v/>
      </c>
      <c r="T457" s="94" t="str">
        <f>IF(Z457=0,"",IF(S457="Cadastro incompleto","MTR INCOMPLETO",IF(S457="Informação a revisar",IF(AND(AH457&gt;0,AC457=0,AD457=0,AF457=0,AK457=0,AL457=0),"QUANTIDADE A REVISAR","IDENTIFICAÇÃO A REVISAR"),IF(S457="Aguardando recebimento","RECEBIMENTO NÃO CONFIRMADO",IF(S457="Aguardando CDF","CDF NÃO LOCALIZADO",IF(S457="Vínculo de CDF parcial","VÍNCULO INCOMPLETO",IF(S457="CDF localizado, a conferir","CDF A CONFERIR","")))))))</f>
        <v/>
      </c>
      <c r="U457" s="95" t="str">
        <f>IF(T457="","",IF(AQ457="","Não calculável",IF(AQ457&gt;TODAY(),"Data futura",TODAY()-AQ457)))</f>
        <v/>
      </c>
      <c r="V457" s="93" t="str">
        <f>IF(Z457=0,"",SUMIFS('RECEBIMENTOS'!$H$6:$H$1005,'RECEBIMENTOS'!$B$6:$B$1005,A457,'RECEBIMENTOS'!$Z$6:$Z$1005,1))</f>
        <v/>
      </c>
      <c r="W457" s="95" t="str">
        <f>IF(Z457=0,"",COUNTIFS('ITENS_MTR'!$S$6:$S$1005,A457,'ITENS_MTR'!$R$6:$R$1005,1))</f>
        <v/>
      </c>
      <c r="X457" s="94" t="str">
        <f>IF(AC457=1,"POSSÍVEL DUPLICIDADE","")</f>
        <v/>
      </c>
      <c r="Y457" s="94" t="str">
        <f>IF(Z457=0,"",IF(AW457="","Nenhuma",LEFT(AW457,LEN(AW457)-2)))</f>
        <v/>
      </c>
      <c r="Z457" s="96">
        <f>IF(COUNTA(B457:O457)&gt;0,1,0)</f>
        <v>0</v>
      </c>
      <c r="AA457" s="96">
        <f>IF(AND(Z457=1,K457&lt;&gt;""),IF(TRIM(K457)=TRIM(cfg_cancel),1,0),0)</f>
        <v>0</v>
      </c>
      <c r="AB457" s="96" t="str">
        <f>IF(AND(Z457=1,B457&lt;&gt;""),C457&amp;"|"&amp;D457&amp;"|"&amp;G457&amp;"|"&amp;TRIM(B457),"")</f>
        <v/>
      </c>
      <c r="AC457" s="96">
        <f>IF(AB457="",0,IF(SUMPRODUCT(--($AB$6:$AB$505=AB457))&gt;1,1,0))</f>
        <v>0</v>
      </c>
      <c r="AD457" s="96">
        <f>IF(Z457=0,0,IF(OR(AND(G457&lt;&gt;"",ISNA(MATCH(G457,'CAD_UNIDADES'!$C$6:$C$105,0))),AND(H457&lt;&gt;"",ISNA(MATCH(H457,cmp_transp,0))),AND(I457&lt;&gt;"",ISNA(MATCH(I457,cmp_dest,0))),AND(E457&lt;&gt;"",NOT(ISNUMBER(E457))),AND(F457&lt;&gt;"",NOT(ISNUMBER(F457))),AND(ISNUMBER(E457),ISNUMBER(F457),F457&lt;E457)),1,0))</f>
        <v>0</v>
      </c>
      <c r="AE457" s="96">
        <f>IF(Z457=0,0,IF(OR(B457="",C457="",E457="",G457="",H457="",I457="",N(W457)=0),1,0))</f>
        <v>0</v>
      </c>
      <c r="AF457" s="96">
        <f>IF(Z457=0,0,COUNTIFS('ITENS_MTR'!$S$6:$S$1005,A457,'ITENS_MTR'!$AI$6:$AI$1005,1))</f>
        <v>0</v>
      </c>
      <c r="AG457" s="96">
        <f>IF(Z457=0,0,COUNTIFS('ITENS_MTR'!$S$6:$S$1005,A457,'ITENS_MTR'!$AJ$6:$AJ$1005,1))</f>
        <v>0</v>
      </c>
      <c r="AH457" s="96">
        <f>IF(Z457=0,0,COUNTIFS('ITENS_MTR'!$S$6:$S$1005,A457,'ITENS_MTR'!$AM$6:$AM$1005,1))</f>
        <v>0</v>
      </c>
      <c r="AI457" s="96">
        <f>IF(Z457=0,0,COUNTIFS('ITENS_MTR'!$S$6:$S$1005,A457,'ITENS_MTR'!$AO$6:$AO$1005,1))</f>
        <v>0</v>
      </c>
      <c r="AJ457" s="96">
        <f>IF(Z457=0,0,COUNTIFS('ITENS_MTR'!$S$6:$S$1005,A457,'ITENS_MTR'!$AN$6:$AN$1005,1))</f>
        <v>0</v>
      </c>
      <c r="AK457" s="96">
        <f>IF(Z457=0,0,COUNTIFS('RECEBIMENTOS'!$B$6:$B$1005,A457,'RECEBIMENTOS'!$Y$6:$Y$1005,1))</f>
        <v>0</v>
      </c>
      <c r="AL457" s="96">
        <f>IF(Z457=0,0,COUNTIFS('VÍNCULOS_CDF'!$D$6:$D$1005,A457,'VÍNCULOS_CDF'!$Y$6:$Y$1005,1))</f>
        <v>0</v>
      </c>
      <c r="AM457" s="96">
        <f>IF(Z457=0,0,COUNTIFS('RECEBIMENTOS'!$B$6:$B$1005,A457,'RECEBIMENTOS'!$Q$6:$Q$1005,1))</f>
        <v>0</v>
      </c>
      <c r="AN457" s="96">
        <f>IF(AND(Z457=1,N(W457)&gt;0,AG457=N(W457)),1,0)</f>
        <v>0</v>
      </c>
      <c r="AO457" s="96">
        <f>IF(AND(Z457=1,N(W457)&gt;0,AI457=N(W457)),1,0)</f>
        <v>0</v>
      </c>
      <c r="AP457" s="97">
        <f>IF(Z457=0,0,_xlfn.MAXIFS('RECEBIMENTOS'!$E$6:$E$1005,'RECEBIMENTOS'!$B$6:$B$1005,A457))</f>
        <v>0</v>
      </c>
      <c r="AQ457" s="97" t="str">
        <f>IF(T457="","",IF(T457="RECEBIMENTO NÃO CONFIRMADO",IF(ISNUMBER(F457),F457,IF(ISNUMBER(E457),E457,"")),IF(OR(T457="CDF NÃO LOCALIZADO",T457="VÍNCULO INCOMPLETO",T457="CDF A CONFERIR"),IF(AP457&gt;0,AP457,IF(ISNUMBER(E457),E457,"")),IF(ISNUMBER(E457),E457,""))))</f>
        <v/>
      </c>
      <c r="AR457" s="96">
        <f>IF(NOT(ISNUMBER(U457)),0,IF(T457="RECEBIMENTO NÃO CONFIRMADO",IF(AND(ISNUMBER(cfg_rec),U457&gt;cfg_rec),1,0),IF(OR(T457="CDF NÃO LOCALIZADO",T457="VÍNCULO INCOMPLETO",T457="CDF A CONFERIR"),IF(AND(ISNUMBER(cfg_cdf),U457&gt;cfg_cdf),1,0),0)))</f>
        <v>0</v>
      </c>
      <c r="AS457" s="96" t="str">
        <f>IF(T457="","",IF(AR457=1,"Alta",IFERROR(INDEX(cfg_pp,MATCH(T457,cfg_pt,0))&amp;"","Média")))</f>
        <v/>
      </c>
      <c r="AT457" s="96" t="str">
        <f>IF(T457="","",IFERROR(INDEX(cfg_pv,MATCH(T457,cfg_pt,0))&amp;"",""))</f>
        <v/>
      </c>
      <c r="AU457" s="96" t="str">
        <f>IF(T457="","",IF(AS457="Alta",1,IF(AS457="Média",2,3))*1000000000+(999999-IF(ISNUMBER(U457),MIN(U457,999999),0))*1000+452)</f>
        <v/>
      </c>
      <c r="AV457" s="96">
        <f>IF(T457&lt;&gt;"",1,0)</f>
        <v>0</v>
      </c>
      <c r="AW457" s="96" t="str">
        <f>IF(Z457=0,"",IF(AA457=1,"Cancelamento informado; ","")&amp;IF(AE457=1,"Campos essenciais ou itens faltando; ","")&amp;IF(AC457=1,"Possível duplicidade do número; ","")&amp;IF(AD457=1,"Cadastro ou datas a revisar; ","")&amp;IF(AF457&gt;0,"Item de resíduo com dado a revisar; ","")&amp;IF(AH457&gt;0,"Diferença de quantidade a analisar; ","")&amp;IF(AK457&gt;0,"Recebimento com alerta; ","")&amp;IF(AL457&gt;0,"Vínculo de CDF com alerta; ","")&amp;IF(AND(AA457=0,AN457=0),"Recebimento não confirmado; ","")&amp;IF(AND(AA457=0,AN457=1,AO457=0),"CDF pendente ou a conferir; ",""))</f>
        <v/>
      </c>
      <c r="AX457" s="96">
        <f>IF(Z457=0,0,IF(AND(OR(f_ini="",AND(ISNUMBER(E457),E457&gt;=f_ini)),OR(f_fim="",AND(ISNUMBER(E457),E457&lt;=f_fim)),OR(f_un="",f_un="(Todas)",G457=f_un),OR(f_tr="",f_tr="(Todos)",H457=f_tr),OR(f_de="",f_de="(Todos)",I457=f_de),OR(f_sit="",f_sit="(Todas)",S457=f_sit)),1,0))</f>
        <v>0</v>
      </c>
      <c r="AY457" s="96">
        <f>IF(AX457=0,0,IF(OR(f_res="",f_res="(Todos)"),1,IF(COUNTIFS('ITENS_MTR'!$S$6:$S$1005,A457,'ITENS_MTR'!$C$6:$C$1005,f_res)&gt;0,1,0)))</f>
        <v>0</v>
      </c>
      <c r="AZ457" s="97" t="str">
        <f>IF(ISNUMBER(E457),DATE(YEAR(E457),MONTH(E457),1),"")</f>
        <v/>
      </c>
      <c r="BA457" s="96">
        <f>IF(Z457=0,0,IF(AND(OR(r_ini="",AND(ISNUMBER(E457),E457&gt;=r_ini)),OR(r_fim="",AND(ISNUMBER(E457),E457&lt;=r_fim)),OR(r_un="",r_un="(Todas)",G457=r_un),OR(r_de="",r_de="(Todos)",I457=r_de)),1,0))</f>
        <v>0</v>
      </c>
      <c r="BB457" s="96" t="str">
        <f>IF(BA457=1,COUNTIF($BA$6:BA457,1),"")</f>
        <v/>
      </c>
      <c r="BC457" s="96" t="str">
        <f>IF(AND(AU457&lt;&gt;"",OR(r_un="",r_un="(Todas)",G457=r_un),OR(r_de="",r_de="(Todos)",I457=r_de)),AU457,"")</f>
        <v/>
      </c>
      <c r="BD457" s="96" t="str">
        <f>IF(Z457=1,A457&amp;" | nº "&amp;IF(B457="","(sem número)",B457)&amp;" | "&amp;IF(G457="","(sem unidade)",G457),"")</f>
        <v/>
      </c>
      <c r="BE457" s="96" t="str">
        <f>IF(Z457=1,COUNTIF($Z$6:Z457,1),"")</f>
        <v/>
      </c>
      <c r="BF457" s="96" t="str">
        <f>IF(T457="","",IF(T457="RECEBIMENTO NÃO CONFIRMADO","Transp.: "&amp;H457&amp;" | Dest.: "&amp;I457,IF(OR(T457="CDF NÃO LOCALIZADO",T457="VÍNCULO INCOMPLETO",T457="CDF A CONFERIR"),"Dest.: "&amp;I457,"Gerador: "&amp;G457)))</f>
        <v/>
      </c>
    </row>
    <row r="458">
      <c r="A458" s="89" t="inlineStr">
        <is>
          <t>MTR-000453</t>
        </is>
      </c>
      <c r="B458" s="90" t="n"/>
      <c r="C458" s="91" t="n"/>
      <c r="D458" s="91" t="n"/>
      <c r="E458" s="92" t="n"/>
      <c r="F458" s="92" t="n"/>
      <c r="G458" s="91" t="n"/>
      <c r="H458" s="91" t="n"/>
      <c r="I458" s="91" t="n"/>
      <c r="J458" s="91" t="n"/>
      <c r="K458" s="91" t="n"/>
      <c r="L458" s="92" t="n"/>
      <c r="M458" s="91" t="n"/>
      <c r="N458" s="91" t="n"/>
      <c r="O458" s="91" t="n"/>
      <c r="P458" s="93" t="str">
        <f>IF(Z458=0,"",SUMIFS('ITENS_MTR'!$I$6:$I$1005,'ITENS_MTR'!$S$6:$S$1005,A458,'ITENS_MTR'!$Y$6:$Y$1005,1))</f>
        <v/>
      </c>
      <c r="Q458" s="93" t="str">
        <f>IF(Z458=0,"",SUMIFS('RECEBIMENTOS'!$H$6:$H$1005,'RECEBIMENTOS'!$B$6:$B$1005,A458,'RECEBIMENTOS'!$X$6:$X$1005,1))</f>
        <v/>
      </c>
      <c r="R458" s="93" t="str">
        <f>IF(Z458=0,"",SUMIFS('VÍNCULOS_CDF'!$H$6:$H$1005,'VÍNCULOS_CDF'!$D$6:$D$1005,A458,'VÍNCULOS_CDF'!$V$6:$V$1005,1))</f>
        <v/>
      </c>
      <c r="S458" s="94" t="str">
        <f>IF(Z458=0,"",IF(AA458=1,"Cancelado (informado)",IF(AE458=1,"Cadastro incompleto",IF(OR(AC458=1,AD458=1,AF458&gt;0,AH458&gt;0,AK458&gt;0,AL458&gt;0),"Informação a revisar",IF(AN458=0,"Aguardando recebimento",IF(N(R458)=0,"Aguardando CDF",IF(AJ458&lt;N(W458),"Vínculo de CDF parcial",IF(AO458=0,"CDF localizado, a conferir","Documentação conferida"))))))))</f>
        <v/>
      </c>
      <c r="T458" s="94" t="str">
        <f>IF(Z458=0,"",IF(S458="Cadastro incompleto","MTR INCOMPLETO",IF(S458="Informação a revisar",IF(AND(AH458&gt;0,AC458=0,AD458=0,AF458=0,AK458=0,AL458=0),"QUANTIDADE A REVISAR","IDENTIFICAÇÃO A REVISAR"),IF(S458="Aguardando recebimento","RECEBIMENTO NÃO CONFIRMADO",IF(S458="Aguardando CDF","CDF NÃO LOCALIZADO",IF(S458="Vínculo de CDF parcial","VÍNCULO INCOMPLETO",IF(S458="CDF localizado, a conferir","CDF A CONFERIR","")))))))</f>
        <v/>
      </c>
      <c r="U458" s="95" t="str">
        <f>IF(T458="","",IF(AQ458="","Não calculável",IF(AQ458&gt;TODAY(),"Data futura",TODAY()-AQ458)))</f>
        <v/>
      </c>
      <c r="V458" s="93" t="str">
        <f>IF(Z458=0,"",SUMIFS('RECEBIMENTOS'!$H$6:$H$1005,'RECEBIMENTOS'!$B$6:$B$1005,A458,'RECEBIMENTOS'!$Z$6:$Z$1005,1))</f>
        <v/>
      </c>
      <c r="W458" s="95" t="str">
        <f>IF(Z458=0,"",COUNTIFS('ITENS_MTR'!$S$6:$S$1005,A458,'ITENS_MTR'!$R$6:$R$1005,1))</f>
        <v/>
      </c>
      <c r="X458" s="94" t="str">
        <f>IF(AC458=1,"POSSÍVEL DUPLICIDADE","")</f>
        <v/>
      </c>
      <c r="Y458" s="94" t="str">
        <f>IF(Z458=0,"",IF(AW458="","Nenhuma",LEFT(AW458,LEN(AW458)-2)))</f>
        <v/>
      </c>
      <c r="Z458" s="96">
        <f>IF(COUNTA(B458:O458)&gt;0,1,0)</f>
        <v>0</v>
      </c>
      <c r="AA458" s="96">
        <f>IF(AND(Z458=1,K458&lt;&gt;""),IF(TRIM(K458)=TRIM(cfg_cancel),1,0),0)</f>
        <v>0</v>
      </c>
      <c r="AB458" s="96" t="str">
        <f>IF(AND(Z458=1,B458&lt;&gt;""),C458&amp;"|"&amp;D458&amp;"|"&amp;G458&amp;"|"&amp;TRIM(B458),"")</f>
        <v/>
      </c>
      <c r="AC458" s="96">
        <f>IF(AB458="",0,IF(SUMPRODUCT(--($AB$6:$AB$505=AB458))&gt;1,1,0))</f>
        <v>0</v>
      </c>
      <c r="AD458" s="96">
        <f>IF(Z458=0,0,IF(OR(AND(G458&lt;&gt;"",ISNA(MATCH(G458,'CAD_UNIDADES'!$C$6:$C$105,0))),AND(H458&lt;&gt;"",ISNA(MATCH(H458,cmp_transp,0))),AND(I458&lt;&gt;"",ISNA(MATCH(I458,cmp_dest,0))),AND(E458&lt;&gt;"",NOT(ISNUMBER(E458))),AND(F458&lt;&gt;"",NOT(ISNUMBER(F458))),AND(ISNUMBER(E458),ISNUMBER(F458),F458&lt;E458)),1,0))</f>
        <v>0</v>
      </c>
      <c r="AE458" s="96">
        <f>IF(Z458=0,0,IF(OR(B458="",C458="",E458="",G458="",H458="",I458="",N(W458)=0),1,0))</f>
        <v>0</v>
      </c>
      <c r="AF458" s="96">
        <f>IF(Z458=0,0,COUNTIFS('ITENS_MTR'!$S$6:$S$1005,A458,'ITENS_MTR'!$AI$6:$AI$1005,1))</f>
        <v>0</v>
      </c>
      <c r="AG458" s="96">
        <f>IF(Z458=0,0,COUNTIFS('ITENS_MTR'!$S$6:$S$1005,A458,'ITENS_MTR'!$AJ$6:$AJ$1005,1))</f>
        <v>0</v>
      </c>
      <c r="AH458" s="96">
        <f>IF(Z458=0,0,COUNTIFS('ITENS_MTR'!$S$6:$S$1005,A458,'ITENS_MTR'!$AM$6:$AM$1005,1))</f>
        <v>0</v>
      </c>
      <c r="AI458" s="96">
        <f>IF(Z458=0,0,COUNTIFS('ITENS_MTR'!$S$6:$S$1005,A458,'ITENS_MTR'!$AO$6:$AO$1005,1))</f>
        <v>0</v>
      </c>
      <c r="AJ458" s="96">
        <f>IF(Z458=0,0,COUNTIFS('ITENS_MTR'!$S$6:$S$1005,A458,'ITENS_MTR'!$AN$6:$AN$1005,1))</f>
        <v>0</v>
      </c>
      <c r="AK458" s="96">
        <f>IF(Z458=0,0,COUNTIFS('RECEBIMENTOS'!$B$6:$B$1005,A458,'RECEBIMENTOS'!$Y$6:$Y$1005,1))</f>
        <v>0</v>
      </c>
      <c r="AL458" s="96">
        <f>IF(Z458=0,0,COUNTIFS('VÍNCULOS_CDF'!$D$6:$D$1005,A458,'VÍNCULOS_CDF'!$Y$6:$Y$1005,1))</f>
        <v>0</v>
      </c>
      <c r="AM458" s="96">
        <f>IF(Z458=0,0,COUNTIFS('RECEBIMENTOS'!$B$6:$B$1005,A458,'RECEBIMENTOS'!$Q$6:$Q$1005,1))</f>
        <v>0</v>
      </c>
      <c r="AN458" s="96">
        <f>IF(AND(Z458=1,N(W458)&gt;0,AG458=N(W458)),1,0)</f>
        <v>0</v>
      </c>
      <c r="AO458" s="96">
        <f>IF(AND(Z458=1,N(W458)&gt;0,AI458=N(W458)),1,0)</f>
        <v>0</v>
      </c>
      <c r="AP458" s="97">
        <f>IF(Z458=0,0,_xlfn.MAXIFS('RECEBIMENTOS'!$E$6:$E$1005,'RECEBIMENTOS'!$B$6:$B$1005,A458))</f>
        <v>0</v>
      </c>
      <c r="AQ458" s="97" t="str">
        <f>IF(T458="","",IF(T458="RECEBIMENTO NÃO CONFIRMADO",IF(ISNUMBER(F458),F458,IF(ISNUMBER(E458),E458,"")),IF(OR(T458="CDF NÃO LOCALIZADO",T458="VÍNCULO INCOMPLETO",T458="CDF A CONFERIR"),IF(AP458&gt;0,AP458,IF(ISNUMBER(E458),E458,"")),IF(ISNUMBER(E458),E458,""))))</f>
        <v/>
      </c>
      <c r="AR458" s="96">
        <f>IF(NOT(ISNUMBER(U458)),0,IF(T458="RECEBIMENTO NÃO CONFIRMADO",IF(AND(ISNUMBER(cfg_rec),U458&gt;cfg_rec),1,0),IF(OR(T458="CDF NÃO LOCALIZADO",T458="VÍNCULO INCOMPLETO",T458="CDF A CONFERIR"),IF(AND(ISNUMBER(cfg_cdf),U458&gt;cfg_cdf),1,0),0)))</f>
        <v>0</v>
      </c>
      <c r="AS458" s="96" t="str">
        <f>IF(T458="","",IF(AR458=1,"Alta",IFERROR(INDEX(cfg_pp,MATCH(T458,cfg_pt,0))&amp;"","Média")))</f>
        <v/>
      </c>
      <c r="AT458" s="96" t="str">
        <f>IF(T458="","",IFERROR(INDEX(cfg_pv,MATCH(T458,cfg_pt,0))&amp;"",""))</f>
        <v/>
      </c>
      <c r="AU458" s="96" t="str">
        <f>IF(T458="","",IF(AS458="Alta",1,IF(AS458="Média",2,3))*1000000000+(999999-IF(ISNUMBER(U458),MIN(U458,999999),0))*1000+453)</f>
        <v/>
      </c>
      <c r="AV458" s="96">
        <f>IF(T458&lt;&gt;"",1,0)</f>
        <v>0</v>
      </c>
      <c r="AW458" s="96" t="str">
        <f>IF(Z458=0,"",IF(AA458=1,"Cancelamento informado; ","")&amp;IF(AE458=1,"Campos essenciais ou itens faltando; ","")&amp;IF(AC458=1,"Possível duplicidade do número; ","")&amp;IF(AD458=1,"Cadastro ou datas a revisar; ","")&amp;IF(AF458&gt;0,"Item de resíduo com dado a revisar; ","")&amp;IF(AH458&gt;0,"Diferença de quantidade a analisar; ","")&amp;IF(AK458&gt;0,"Recebimento com alerta; ","")&amp;IF(AL458&gt;0,"Vínculo de CDF com alerta; ","")&amp;IF(AND(AA458=0,AN458=0),"Recebimento não confirmado; ","")&amp;IF(AND(AA458=0,AN458=1,AO458=0),"CDF pendente ou a conferir; ",""))</f>
        <v/>
      </c>
      <c r="AX458" s="96">
        <f>IF(Z458=0,0,IF(AND(OR(f_ini="",AND(ISNUMBER(E458),E458&gt;=f_ini)),OR(f_fim="",AND(ISNUMBER(E458),E458&lt;=f_fim)),OR(f_un="",f_un="(Todas)",G458=f_un),OR(f_tr="",f_tr="(Todos)",H458=f_tr),OR(f_de="",f_de="(Todos)",I458=f_de),OR(f_sit="",f_sit="(Todas)",S458=f_sit)),1,0))</f>
        <v>0</v>
      </c>
      <c r="AY458" s="96">
        <f>IF(AX458=0,0,IF(OR(f_res="",f_res="(Todos)"),1,IF(COUNTIFS('ITENS_MTR'!$S$6:$S$1005,A458,'ITENS_MTR'!$C$6:$C$1005,f_res)&gt;0,1,0)))</f>
        <v>0</v>
      </c>
      <c r="AZ458" s="97" t="str">
        <f>IF(ISNUMBER(E458),DATE(YEAR(E458),MONTH(E458),1),"")</f>
        <v/>
      </c>
      <c r="BA458" s="96">
        <f>IF(Z458=0,0,IF(AND(OR(r_ini="",AND(ISNUMBER(E458),E458&gt;=r_ini)),OR(r_fim="",AND(ISNUMBER(E458),E458&lt;=r_fim)),OR(r_un="",r_un="(Todas)",G458=r_un),OR(r_de="",r_de="(Todos)",I458=r_de)),1,0))</f>
        <v>0</v>
      </c>
      <c r="BB458" s="96" t="str">
        <f>IF(BA458=1,COUNTIF($BA$6:BA458,1),"")</f>
        <v/>
      </c>
      <c r="BC458" s="96" t="str">
        <f>IF(AND(AU458&lt;&gt;"",OR(r_un="",r_un="(Todas)",G458=r_un),OR(r_de="",r_de="(Todos)",I458=r_de)),AU458,"")</f>
        <v/>
      </c>
      <c r="BD458" s="96" t="str">
        <f>IF(Z458=1,A458&amp;" | nº "&amp;IF(B458="","(sem número)",B458)&amp;" | "&amp;IF(G458="","(sem unidade)",G458),"")</f>
        <v/>
      </c>
      <c r="BE458" s="96" t="str">
        <f>IF(Z458=1,COUNTIF($Z$6:Z458,1),"")</f>
        <v/>
      </c>
      <c r="BF458" s="96" t="str">
        <f>IF(T458="","",IF(T458="RECEBIMENTO NÃO CONFIRMADO","Transp.: "&amp;H458&amp;" | Dest.: "&amp;I458,IF(OR(T458="CDF NÃO LOCALIZADO",T458="VÍNCULO INCOMPLETO",T458="CDF A CONFERIR"),"Dest.: "&amp;I458,"Gerador: "&amp;G458)))</f>
        <v/>
      </c>
    </row>
    <row r="459">
      <c r="A459" s="89" t="inlineStr">
        <is>
          <t>MTR-000454</t>
        </is>
      </c>
      <c r="B459" s="90" t="n"/>
      <c r="C459" s="91" t="n"/>
      <c r="D459" s="91" t="n"/>
      <c r="E459" s="92" t="n"/>
      <c r="F459" s="92" t="n"/>
      <c r="G459" s="91" t="n"/>
      <c r="H459" s="91" t="n"/>
      <c r="I459" s="91" t="n"/>
      <c r="J459" s="91" t="n"/>
      <c r="K459" s="91" t="n"/>
      <c r="L459" s="92" t="n"/>
      <c r="M459" s="91" t="n"/>
      <c r="N459" s="91" t="n"/>
      <c r="O459" s="91" t="n"/>
      <c r="P459" s="93" t="str">
        <f>IF(Z459=0,"",SUMIFS('ITENS_MTR'!$I$6:$I$1005,'ITENS_MTR'!$S$6:$S$1005,A459,'ITENS_MTR'!$Y$6:$Y$1005,1))</f>
        <v/>
      </c>
      <c r="Q459" s="93" t="str">
        <f>IF(Z459=0,"",SUMIFS('RECEBIMENTOS'!$H$6:$H$1005,'RECEBIMENTOS'!$B$6:$B$1005,A459,'RECEBIMENTOS'!$X$6:$X$1005,1))</f>
        <v/>
      </c>
      <c r="R459" s="93" t="str">
        <f>IF(Z459=0,"",SUMIFS('VÍNCULOS_CDF'!$H$6:$H$1005,'VÍNCULOS_CDF'!$D$6:$D$1005,A459,'VÍNCULOS_CDF'!$V$6:$V$1005,1))</f>
        <v/>
      </c>
      <c r="S459" s="94" t="str">
        <f>IF(Z459=0,"",IF(AA459=1,"Cancelado (informado)",IF(AE459=1,"Cadastro incompleto",IF(OR(AC459=1,AD459=1,AF459&gt;0,AH459&gt;0,AK459&gt;0,AL459&gt;0),"Informação a revisar",IF(AN459=0,"Aguardando recebimento",IF(N(R459)=0,"Aguardando CDF",IF(AJ459&lt;N(W459),"Vínculo de CDF parcial",IF(AO459=0,"CDF localizado, a conferir","Documentação conferida"))))))))</f>
        <v/>
      </c>
      <c r="T459" s="94" t="str">
        <f>IF(Z459=0,"",IF(S459="Cadastro incompleto","MTR INCOMPLETO",IF(S459="Informação a revisar",IF(AND(AH459&gt;0,AC459=0,AD459=0,AF459=0,AK459=0,AL459=0),"QUANTIDADE A REVISAR","IDENTIFICAÇÃO A REVISAR"),IF(S459="Aguardando recebimento","RECEBIMENTO NÃO CONFIRMADO",IF(S459="Aguardando CDF","CDF NÃO LOCALIZADO",IF(S459="Vínculo de CDF parcial","VÍNCULO INCOMPLETO",IF(S459="CDF localizado, a conferir","CDF A CONFERIR","")))))))</f>
        <v/>
      </c>
      <c r="U459" s="95" t="str">
        <f>IF(T459="","",IF(AQ459="","Não calculável",IF(AQ459&gt;TODAY(),"Data futura",TODAY()-AQ459)))</f>
        <v/>
      </c>
      <c r="V459" s="93" t="str">
        <f>IF(Z459=0,"",SUMIFS('RECEBIMENTOS'!$H$6:$H$1005,'RECEBIMENTOS'!$B$6:$B$1005,A459,'RECEBIMENTOS'!$Z$6:$Z$1005,1))</f>
        <v/>
      </c>
      <c r="W459" s="95" t="str">
        <f>IF(Z459=0,"",COUNTIFS('ITENS_MTR'!$S$6:$S$1005,A459,'ITENS_MTR'!$R$6:$R$1005,1))</f>
        <v/>
      </c>
      <c r="X459" s="94" t="str">
        <f>IF(AC459=1,"POSSÍVEL DUPLICIDADE","")</f>
        <v/>
      </c>
      <c r="Y459" s="94" t="str">
        <f>IF(Z459=0,"",IF(AW459="","Nenhuma",LEFT(AW459,LEN(AW459)-2)))</f>
        <v/>
      </c>
      <c r="Z459" s="96">
        <f>IF(COUNTA(B459:O459)&gt;0,1,0)</f>
        <v>0</v>
      </c>
      <c r="AA459" s="96">
        <f>IF(AND(Z459=1,K459&lt;&gt;""),IF(TRIM(K459)=TRIM(cfg_cancel),1,0),0)</f>
        <v>0</v>
      </c>
      <c r="AB459" s="96" t="str">
        <f>IF(AND(Z459=1,B459&lt;&gt;""),C459&amp;"|"&amp;D459&amp;"|"&amp;G459&amp;"|"&amp;TRIM(B459),"")</f>
        <v/>
      </c>
      <c r="AC459" s="96">
        <f>IF(AB459="",0,IF(SUMPRODUCT(--($AB$6:$AB$505=AB459))&gt;1,1,0))</f>
        <v>0</v>
      </c>
      <c r="AD459" s="96">
        <f>IF(Z459=0,0,IF(OR(AND(G459&lt;&gt;"",ISNA(MATCH(G459,'CAD_UNIDADES'!$C$6:$C$105,0))),AND(H459&lt;&gt;"",ISNA(MATCH(H459,cmp_transp,0))),AND(I459&lt;&gt;"",ISNA(MATCH(I459,cmp_dest,0))),AND(E459&lt;&gt;"",NOT(ISNUMBER(E459))),AND(F459&lt;&gt;"",NOT(ISNUMBER(F459))),AND(ISNUMBER(E459),ISNUMBER(F459),F459&lt;E459)),1,0))</f>
        <v>0</v>
      </c>
      <c r="AE459" s="96">
        <f>IF(Z459=0,0,IF(OR(B459="",C459="",E459="",G459="",H459="",I459="",N(W459)=0),1,0))</f>
        <v>0</v>
      </c>
      <c r="AF459" s="96">
        <f>IF(Z459=0,0,COUNTIFS('ITENS_MTR'!$S$6:$S$1005,A459,'ITENS_MTR'!$AI$6:$AI$1005,1))</f>
        <v>0</v>
      </c>
      <c r="AG459" s="96">
        <f>IF(Z459=0,0,COUNTIFS('ITENS_MTR'!$S$6:$S$1005,A459,'ITENS_MTR'!$AJ$6:$AJ$1005,1))</f>
        <v>0</v>
      </c>
      <c r="AH459" s="96">
        <f>IF(Z459=0,0,COUNTIFS('ITENS_MTR'!$S$6:$S$1005,A459,'ITENS_MTR'!$AM$6:$AM$1005,1))</f>
        <v>0</v>
      </c>
      <c r="AI459" s="96">
        <f>IF(Z459=0,0,COUNTIFS('ITENS_MTR'!$S$6:$S$1005,A459,'ITENS_MTR'!$AO$6:$AO$1005,1))</f>
        <v>0</v>
      </c>
      <c r="AJ459" s="96">
        <f>IF(Z459=0,0,COUNTIFS('ITENS_MTR'!$S$6:$S$1005,A459,'ITENS_MTR'!$AN$6:$AN$1005,1))</f>
        <v>0</v>
      </c>
      <c r="AK459" s="96">
        <f>IF(Z459=0,0,COUNTIFS('RECEBIMENTOS'!$B$6:$B$1005,A459,'RECEBIMENTOS'!$Y$6:$Y$1005,1))</f>
        <v>0</v>
      </c>
      <c r="AL459" s="96">
        <f>IF(Z459=0,0,COUNTIFS('VÍNCULOS_CDF'!$D$6:$D$1005,A459,'VÍNCULOS_CDF'!$Y$6:$Y$1005,1))</f>
        <v>0</v>
      </c>
      <c r="AM459" s="96">
        <f>IF(Z459=0,0,COUNTIFS('RECEBIMENTOS'!$B$6:$B$1005,A459,'RECEBIMENTOS'!$Q$6:$Q$1005,1))</f>
        <v>0</v>
      </c>
      <c r="AN459" s="96">
        <f>IF(AND(Z459=1,N(W459)&gt;0,AG459=N(W459)),1,0)</f>
        <v>0</v>
      </c>
      <c r="AO459" s="96">
        <f>IF(AND(Z459=1,N(W459)&gt;0,AI459=N(W459)),1,0)</f>
        <v>0</v>
      </c>
      <c r="AP459" s="97">
        <f>IF(Z459=0,0,_xlfn.MAXIFS('RECEBIMENTOS'!$E$6:$E$1005,'RECEBIMENTOS'!$B$6:$B$1005,A459))</f>
        <v>0</v>
      </c>
      <c r="AQ459" s="97" t="str">
        <f>IF(T459="","",IF(T459="RECEBIMENTO NÃO CONFIRMADO",IF(ISNUMBER(F459),F459,IF(ISNUMBER(E459),E459,"")),IF(OR(T459="CDF NÃO LOCALIZADO",T459="VÍNCULO INCOMPLETO",T459="CDF A CONFERIR"),IF(AP459&gt;0,AP459,IF(ISNUMBER(E459),E459,"")),IF(ISNUMBER(E459),E459,""))))</f>
        <v/>
      </c>
      <c r="AR459" s="96">
        <f>IF(NOT(ISNUMBER(U459)),0,IF(T459="RECEBIMENTO NÃO CONFIRMADO",IF(AND(ISNUMBER(cfg_rec),U459&gt;cfg_rec),1,0),IF(OR(T459="CDF NÃO LOCALIZADO",T459="VÍNCULO INCOMPLETO",T459="CDF A CONFERIR"),IF(AND(ISNUMBER(cfg_cdf),U459&gt;cfg_cdf),1,0),0)))</f>
        <v>0</v>
      </c>
      <c r="AS459" s="96" t="str">
        <f>IF(T459="","",IF(AR459=1,"Alta",IFERROR(INDEX(cfg_pp,MATCH(T459,cfg_pt,0))&amp;"","Média")))</f>
        <v/>
      </c>
      <c r="AT459" s="96" t="str">
        <f>IF(T459="","",IFERROR(INDEX(cfg_pv,MATCH(T459,cfg_pt,0))&amp;"",""))</f>
        <v/>
      </c>
      <c r="AU459" s="96" t="str">
        <f>IF(T459="","",IF(AS459="Alta",1,IF(AS459="Média",2,3))*1000000000+(999999-IF(ISNUMBER(U459),MIN(U459,999999),0))*1000+454)</f>
        <v/>
      </c>
      <c r="AV459" s="96">
        <f>IF(T459&lt;&gt;"",1,0)</f>
        <v>0</v>
      </c>
      <c r="AW459" s="96" t="str">
        <f>IF(Z459=0,"",IF(AA459=1,"Cancelamento informado; ","")&amp;IF(AE459=1,"Campos essenciais ou itens faltando; ","")&amp;IF(AC459=1,"Possível duplicidade do número; ","")&amp;IF(AD459=1,"Cadastro ou datas a revisar; ","")&amp;IF(AF459&gt;0,"Item de resíduo com dado a revisar; ","")&amp;IF(AH459&gt;0,"Diferença de quantidade a analisar; ","")&amp;IF(AK459&gt;0,"Recebimento com alerta; ","")&amp;IF(AL459&gt;0,"Vínculo de CDF com alerta; ","")&amp;IF(AND(AA459=0,AN459=0),"Recebimento não confirmado; ","")&amp;IF(AND(AA459=0,AN459=1,AO459=0),"CDF pendente ou a conferir; ",""))</f>
        <v/>
      </c>
      <c r="AX459" s="96">
        <f>IF(Z459=0,0,IF(AND(OR(f_ini="",AND(ISNUMBER(E459),E459&gt;=f_ini)),OR(f_fim="",AND(ISNUMBER(E459),E459&lt;=f_fim)),OR(f_un="",f_un="(Todas)",G459=f_un),OR(f_tr="",f_tr="(Todos)",H459=f_tr),OR(f_de="",f_de="(Todos)",I459=f_de),OR(f_sit="",f_sit="(Todas)",S459=f_sit)),1,0))</f>
        <v>0</v>
      </c>
      <c r="AY459" s="96">
        <f>IF(AX459=0,0,IF(OR(f_res="",f_res="(Todos)"),1,IF(COUNTIFS('ITENS_MTR'!$S$6:$S$1005,A459,'ITENS_MTR'!$C$6:$C$1005,f_res)&gt;0,1,0)))</f>
        <v>0</v>
      </c>
      <c r="AZ459" s="97" t="str">
        <f>IF(ISNUMBER(E459),DATE(YEAR(E459),MONTH(E459),1),"")</f>
        <v/>
      </c>
      <c r="BA459" s="96">
        <f>IF(Z459=0,0,IF(AND(OR(r_ini="",AND(ISNUMBER(E459),E459&gt;=r_ini)),OR(r_fim="",AND(ISNUMBER(E459),E459&lt;=r_fim)),OR(r_un="",r_un="(Todas)",G459=r_un),OR(r_de="",r_de="(Todos)",I459=r_de)),1,0))</f>
        <v>0</v>
      </c>
      <c r="BB459" s="96" t="str">
        <f>IF(BA459=1,COUNTIF($BA$6:BA459,1),"")</f>
        <v/>
      </c>
      <c r="BC459" s="96" t="str">
        <f>IF(AND(AU459&lt;&gt;"",OR(r_un="",r_un="(Todas)",G459=r_un),OR(r_de="",r_de="(Todos)",I459=r_de)),AU459,"")</f>
        <v/>
      </c>
      <c r="BD459" s="96" t="str">
        <f>IF(Z459=1,A459&amp;" | nº "&amp;IF(B459="","(sem número)",B459)&amp;" | "&amp;IF(G459="","(sem unidade)",G459),"")</f>
        <v/>
      </c>
      <c r="BE459" s="96" t="str">
        <f>IF(Z459=1,COUNTIF($Z$6:Z459,1),"")</f>
        <v/>
      </c>
      <c r="BF459" s="96" t="str">
        <f>IF(T459="","",IF(T459="RECEBIMENTO NÃO CONFIRMADO","Transp.: "&amp;H459&amp;" | Dest.: "&amp;I459,IF(OR(T459="CDF NÃO LOCALIZADO",T459="VÍNCULO INCOMPLETO",T459="CDF A CONFERIR"),"Dest.: "&amp;I459,"Gerador: "&amp;G459)))</f>
        <v/>
      </c>
    </row>
    <row r="460">
      <c r="A460" s="89" t="inlineStr">
        <is>
          <t>MTR-000455</t>
        </is>
      </c>
      <c r="B460" s="90" t="n"/>
      <c r="C460" s="91" t="n"/>
      <c r="D460" s="91" t="n"/>
      <c r="E460" s="92" t="n"/>
      <c r="F460" s="92" t="n"/>
      <c r="G460" s="91" t="n"/>
      <c r="H460" s="91" t="n"/>
      <c r="I460" s="91" t="n"/>
      <c r="J460" s="91" t="n"/>
      <c r="K460" s="91" t="n"/>
      <c r="L460" s="92" t="n"/>
      <c r="M460" s="91" t="n"/>
      <c r="N460" s="91" t="n"/>
      <c r="O460" s="91" t="n"/>
      <c r="P460" s="93" t="str">
        <f>IF(Z460=0,"",SUMIFS('ITENS_MTR'!$I$6:$I$1005,'ITENS_MTR'!$S$6:$S$1005,A460,'ITENS_MTR'!$Y$6:$Y$1005,1))</f>
        <v/>
      </c>
      <c r="Q460" s="93" t="str">
        <f>IF(Z460=0,"",SUMIFS('RECEBIMENTOS'!$H$6:$H$1005,'RECEBIMENTOS'!$B$6:$B$1005,A460,'RECEBIMENTOS'!$X$6:$X$1005,1))</f>
        <v/>
      </c>
      <c r="R460" s="93" t="str">
        <f>IF(Z460=0,"",SUMIFS('VÍNCULOS_CDF'!$H$6:$H$1005,'VÍNCULOS_CDF'!$D$6:$D$1005,A460,'VÍNCULOS_CDF'!$V$6:$V$1005,1))</f>
        <v/>
      </c>
      <c r="S460" s="94" t="str">
        <f>IF(Z460=0,"",IF(AA460=1,"Cancelado (informado)",IF(AE460=1,"Cadastro incompleto",IF(OR(AC460=1,AD460=1,AF460&gt;0,AH460&gt;0,AK460&gt;0,AL460&gt;0),"Informação a revisar",IF(AN460=0,"Aguardando recebimento",IF(N(R460)=0,"Aguardando CDF",IF(AJ460&lt;N(W460),"Vínculo de CDF parcial",IF(AO460=0,"CDF localizado, a conferir","Documentação conferida"))))))))</f>
        <v/>
      </c>
      <c r="T460" s="94" t="str">
        <f>IF(Z460=0,"",IF(S460="Cadastro incompleto","MTR INCOMPLETO",IF(S460="Informação a revisar",IF(AND(AH460&gt;0,AC460=0,AD460=0,AF460=0,AK460=0,AL460=0),"QUANTIDADE A REVISAR","IDENTIFICAÇÃO A REVISAR"),IF(S460="Aguardando recebimento","RECEBIMENTO NÃO CONFIRMADO",IF(S460="Aguardando CDF","CDF NÃO LOCALIZADO",IF(S460="Vínculo de CDF parcial","VÍNCULO INCOMPLETO",IF(S460="CDF localizado, a conferir","CDF A CONFERIR","")))))))</f>
        <v/>
      </c>
      <c r="U460" s="95" t="str">
        <f>IF(T460="","",IF(AQ460="","Não calculável",IF(AQ460&gt;TODAY(),"Data futura",TODAY()-AQ460)))</f>
        <v/>
      </c>
      <c r="V460" s="93" t="str">
        <f>IF(Z460=0,"",SUMIFS('RECEBIMENTOS'!$H$6:$H$1005,'RECEBIMENTOS'!$B$6:$B$1005,A460,'RECEBIMENTOS'!$Z$6:$Z$1005,1))</f>
        <v/>
      </c>
      <c r="W460" s="95" t="str">
        <f>IF(Z460=0,"",COUNTIFS('ITENS_MTR'!$S$6:$S$1005,A460,'ITENS_MTR'!$R$6:$R$1005,1))</f>
        <v/>
      </c>
      <c r="X460" s="94" t="str">
        <f>IF(AC460=1,"POSSÍVEL DUPLICIDADE","")</f>
        <v/>
      </c>
      <c r="Y460" s="94" t="str">
        <f>IF(Z460=0,"",IF(AW460="","Nenhuma",LEFT(AW460,LEN(AW460)-2)))</f>
        <v/>
      </c>
      <c r="Z460" s="96">
        <f>IF(COUNTA(B460:O460)&gt;0,1,0)</f>
        <v>0</v>
      </c>
      <c r="AA460" s="96">
        <f>IF(AND(Z460=1,K460&lt;&gt;""),IF(TRIM(K460)=TRIM(cfg_cancel),1,0),0)</f>
        <v>0</v>
      </c>
      <c r="AB460" s="96" t="str">
        <f>IF(AND(Z460=1,B460&lt;&gt;""),C460&amp;"|"&amp;D460&amp;"|"&amp;G460&amp;"|"&amp;TRIM(B460),"")</f>
        <v/>
      </c>
      <c r="AC460" s="96">
        <f>IF(AB460="",0,IF(SUMPRODUCT(--($AB$6:$AB$505=AB460))&gt;1,1,0))</f>
        <v>0</v>
      </c>
      <c r="AD460" s="96">
        <f>IF(Z460=0,0,IF(OR(AND(G460&lt;&gt;"",ISNA(MATCH(G460,'CAD_UNIDADES'!$C$6:$C$105,0))),AND(H460&lt;&gt;"",ISNA(MATCH(H460,cmp_transp,0))),AND(I460&lt;&gt;"",ISNA(MATCH(I460,cmp_dest,0))),AND(E460&lt;&gt;"",NOT(ISNUMBER(E460))),AND(F460&lt;&gt;"",NOT(ISNUMBER(F460))),AND(ISNUMBER(E460),ISNUMBER(F460),F460&lt;E460)),1,0))</f>
        <v>0</v>
      </c>
      <c r="AE460" s="96">
        <f>IF(Z460=0,0,IF(OR(B460="",C460="",E460="",G460="",H460="",I460="",N(W460)=0),1,0))</f>
        <v>0</v>
      </c>
      <c r="AF460" s="96">
        <f>IF(Z460=0,0,COUNTIFS('ITENS_MTR'!$S$6:$S$1005,A460,'ITENS_MTR'!$AI$6:$AI$1005,1))</f>
        <v>0</v>
      </c>
      <c r="AG460" s="96">
        <f>IF(Z460=0,0,COUNTIFS('ITENS_MTR'!$S$6:$S$1005,A460,'ITENS_MTR'!$AJ$6:$AJ$1005,1))</f>
        <v>0</v>
      </c>
      <c r="AH460" s="96">
        <f>IF(Z460=0,0,COUNTIFS('ITENS_MTR'!$S$6:$S$1005,A460,'ITENS_MTR'!$AM$6:$AM$1005,1))</f>
        <v>0</v>
      </c>
      <c r="AI460" s="96">
        <f>IF(Z460=0,0,COUNTIFS('ITENS_MTR'!$S$6:$S$1005,A460,'ITENS_MTR'!$AO$6:$AO$1005,1))</f>
        <v>0</v>
      </c>
      <c r="AJ460" s="96">
        <f>IF(Z460=0,0,COUNTIFS('ITENS_MTR'!$S$6:$S$1005,A460,'ITENS_MTR'!$AN$6:$AN$1005,1))</f>
        <v>0</v>
      </c>
      <c r="AK460" s="96">
        <f>IF(Z460=0,0,COUNTIFS('RECEBIMENTOS'!$B$6:$B$1005,A460,'RECEBIMENTOS'!$Y$6:$Y$1005,1))</f>
        <v>0</v>
      </c>
      <c r="AL460" s="96">
        <f>IF(Z460=0,0,COUNTIFS('VÍNCULOS_CDF'!$D$6:$D$1005,A460,'VÍNCULOS_CDF'!$Y$6:$Y$1005,1))</f>
        <v>0</v>
      </c>
      <c r="AM460" s="96">
        <f>IF(Z460=0,0,COUNTIFS('RECEBIMENTOS'!$B$6:$B$1005,A460,'RECEBIMENTOS'!$Q$6:$Q$1005,1))</f>
        <v>0</v>
      </c>
      <c r="AN460" s="96">
        <f>IF(AND(Z460=1,N(W460)&gt;0,AG460=N(W460)),1,0)</f>
        <v>0</v>
      </c>
      <c r="AO460" s="96">
        <f>IF(AND(Z460=1,N(W460)&gt;0,AI460=N(W460)),1,0)</f>
        <v>0</v>
      </c>
      <c r="AP460" s="97">
        <f>IF(Z460=0,0,_xlfn.MAXIFS('RECEBIMENTOS'!$E$6:$E$1005,'RECEBIMENTOS'!$B$6:$B$1005,A460))</f>
        <v>0</v>
      </c>
      <c r="AQ460" s="97" t="str">
        <f>IF(T460="","",IF(T460="RECEBIMENTO NÃO CONFIRMADO",IF(ISNUMBER(F460),F460,IF(ISNUMBER(E460),E460,"")),IF(OR(T460="CDF NÃO LOCALIZADO",T460="VÍNCULO INCOMPLETO",T460="CDF A CONFERIR"),IF(AP460&gt;0,AP460,IF(ISNUMBER(E460),E460,"")),IF(ISNUMBER(E460),E460,""))))</f>
        <v/>
      </c>
      <c r="AR460" s="96">
        <f>IF(NOT(ISNUMBER(U460)),0,IF(T460="RECEBIMENTO NÃO CONFIRMADO",IF(AND(ISNUMBER(cfg_rec),U460&gt;cfg_rec),1,0),IF(OR(T460="CDF NÃO LOCALIZADO",T460="VÍNCULO INCOMPLETO",T460="CDF A CONFERIR"),IF(AND(ISNUMBER(cfg_cdf),U460&gt;cfg_cdf),1,0),0)))</f>
        <v>0</v>
      </c>
      <c r="AS460" s="96" t="str">
        <f>IF(T460="","",IF(AR460=1,"Alta",IFERROR(INDEX(cfg_pp,MATCH(T460,cfg_pt,0))&amp;"","Média")))</f>
        <v/>
      </c>
      <c r="AT460" s="96" t="str">
        <f>IF(T460="","",IFERROR(INDEX(cfg_pv,MATCH(T460,cfg_pt,0))&amp;"",""))</f>
        <v/>
      </c>
      <c r="AU460" s="96" t="str">
        <f>IF(T460="","",IF(AS460="Alta",1,IF(AS460="Média",2,3))*1000000000+(999999-IF(ISNUMBER(U460),MIN(U460,999999),0))*1000+455)</f>
        <v/>
      </c>
      <c r="AV460" s="96">
        <f>IF(T460&lt;&gt;"",1,0)</f>
        <v>0</v>
      </c>
      <c r="AW460" s="96" t="str">
        <f>IF(Z460=0,"",IF(AA460=1,"Cancelamento informado; ","")&amp;IF(AE460=1,"Campos essenciais ou itens faltando; ","")&amp;IF(AC460=1,"Possível duplicidade do número; ","")&amp;IF(AD460=1,"Cadastro ou datas a revisar; ","")&amp;IF(AF460&gt;0,"Item de resíduo com dado a revisar; ","")&amp;IF(AH460&gt;0,"Diferença de quantidade a analisar; ","")&amp;IF(AK460&gt;0,"Recebimento com alerta; ","")&amp;IF(AL460&gt;0,"Vínculo de CDF com alerta; ","")&amp;IF(AND(AA460=0,AN460=0),"Recebimento não confirmado; ","")&amp;IF(AND(AA460=0,AN460=1,AO460=0),"CDF pendente ou a conferir; ",""))</f>
        <v/>
      </c>
      <c r="AX460" s="96">
        <f>IF(Z460=0,0,IF(AND(OR(f_ini="",AND(ISNUMBER(E460),E460&gt;=f_ini)),OR(f_fim="",AND(ISNUMBER(E460),E460&lt;=f_fim)),OR(f_un="",f_un="(Todas)",G460=f_un),OR(f_tr="",f_tr="(Todos)",H460=f_tr),OR(f_de="",f_de="(Todos)",I460=f_de),OR(f_sit="",f_sit="(Todas)",S460=f_sit)),1,0))</f>
        <v>0</v>
      </c>
      <c r="AY460" s="96">
        <f>IF(AX460=0,0,IF(OR(f_res="",f_res="(Todos)"),1,IF(COUNTIFS('ITENS_MTR'!$S$6:$S$1005,A460,'ITENS_MTR'!$C$6:$C$1005,f_res)&gt;0,1,0)))</f>
        <v>0</v>
      </c>
      <c r="AZ460" s="97" t="str">
        <f>IF(ISNUMBER(E460),DATE(YEAR(E460),MONTH(E460),1),"")</f>
        <v/>
      </c>
      <c r="BA460" s="96">
        <f>IF(Z460=0,0,IF(AND(OR(r_ini="",AND(ISNUMBER(E460),E460&gt;=r_ini)),OR(r_fim="",AND(ISNUMBER(E460),E460&lt;=r_fim)),OR(r_un="",r_un="(Todas)",G460=r_un),OR(r_de="",r_de="(Todos)",I460=r_de)),1,0))</f>
        <v>0</v>
      </c>
      <c r="BB460" s="96" t="str">
        <f>IF(BA460=1,COUNTIF($BA$6:BA460,1),"")</f>
        <v/>
      </c>
      <c r="BC460" s="96" t="str">
        <f>IF(AND(AU460&lt;&gt;"",OR(r_un="",r_un="(Todas)",G460=r_un),OR(r_de="",r_de="(Todos)",I460=r_de)),AU460,"")</f>
        <v/>
      </c>
      <c r="BD460" s="96" t="str">
        <f>IF(Z460=1,A460&amp;" | nº "&amp;IF(B460="","(sem número)",B460)&amp;" | "&amp;IF(G460="","(sem unidade)",G460),"")</f>
        <v/>
      </c>
      <c r="BE460" s="96" t="str">
        <f>IF(Z460=1,COUNTIF($Z$6:Z460,1),"")</f>
        <v/>
      </c>
      <c r="BF460" s="96" t="str">
        <f>IF(T460="","",IF(T460="RECEBIMENTO NÃO CONFIRMADO","Transp.: "&amp;H460&amp;" | Dest.: "&amp;I460,IF(OR(T460="CDF NÃO LOCALIZADO",T460="VÍNCULO INCOMPLETO",T460="CDF A CONFERIR"),"Dest.: "&amp;I460,"Gerador: "&amp;G460)))</f>
        <v/>
      </c>
    </row>
    <row r="461">
      <c r="A461" s="89" t="inlineStr">
        <is>
          <t>MTR-000456</t>
        </is>
      </c>
      <c r="B461" s="90" t="n"/>
      <c r="C461" s="91" t="n"/>
      <c r="D461" s="91" t="n"/>
      <c r="E461" s="92" t="n"/>
      <c r="F461" s="92" t="n"/>
      <c r="G461" s="91" t="n"/>
      <c r="H461" s="91" t="n"/>
      <c r="I461" s="91" t="n"/>
      <c r="J461" s="91" t="n"/>
      <c r="K461" s="91" t="n"/>
      <c r="L461" s="92" t="n"/>
      <c r="M461" s="91" t="n"/>
      <c r="N461" s="91" t="n"/>
      <c r="O461" s="91" t="n"/>
      <c r="P461" s="93" t="str">
        <f>IF(Z461=0,"",SUMIFS('ITENS_MTR'!$I$6:$I$1005,'ITENS_MTR'!$S$6:$S$1005,A461,'ITENS_MTR'!$Y$6:$Y$1005,1))</f>
        <v/>
      </c>
      <c r="Q461" s="93" t="str">
        <f>IF(Z461=0,"",SUMIFS('RECEBIMENTOS'!$H$6:$H$1005,'RECEBIMENTOS'!$B$6:$B$1005,A461,'RECEBIMENTOS'!$X$6:$X$1005,1))</f>
        <v/>
      </c>
      <c r="R461" s="93" t="str">
        <f>IF(Z461=0,"",SUMIFS('VÍNCULOS_CDF'!$H$6:$H$1005,'VÍNCULOS_CDF'!$D$6:$D$1005,A461,'VÍNCULOS_CDF'!$V$6:$V$1005,1))</f>
        <v/>
      </c>
      <c r="S461" s="94" t="str">
        <f>IF(Z461=0,"",IF(AA461=1,"Cancelado (informado)",IF(AE461=1,"Cadastro incompleto",IF(OR(AC461=1,AD461=1,AF461&gt;0,AH461&gt;0,AK461&gt;0,AL461&gt;0),"Informação a revisar",IF(AN461=0,"Aguardando recebimento",IF(N(R461)=0,"Aguardando CDF",IF(AJ461&lt;N(W461),"Vínculo de CDF parcial",IF(AO461=0,"CDF localizado, a conferir","Documentação conferida"))))))))</f>
        <v/>
      </c>
      <c r="T461" s="94" t="str">
        <f>IF(Z461=0,"",IF(S461="Cadastro incompleto","MTR INCOMPLETO",IF(S461="Informação a revisar",IF(AND(AH461&gt;0,AC461=0,AD461=0,AF461=0,AK461=0,AL461=0),"QUANTIDADE A REVISAR","IDENTIFICAÇÃO A REVISAR"),IF(S461="Aguardando recebimento","RECEBIMENTO NÃO CONFIRMADO",IF(S461="Aguardando CDF","CDF NÃO LOCALIZADO",IF(S461="Vínculo de CDF parcial","VÍNCULO INCOMPLETO",IF(S461="CDF localizado, a conferir","CDF A CONFERIR","")))))))</f>
        <v/>
      </c>
      <c r="U461" s="95" t="str">
        <f>IF(T461="","",IF(AQ461="","Não calculável",IF(AQ461&gt;TODAY(),"Data futura",TODAY()-AQ461)))</f>
        <v/>
      </c>
      <c r="V461" s="93" t="str">
        <f>IF(Z461=0,"",SUMIFS('RECEBIMENTOS'!$H$6:$H$1005,'RECEBIMENTOS'!$B$6:$B$1005,A461,'RECEBIMENTOS'!$Z$6:$Z$1005,1))</f>
        <v/>
      </c>
      <c r="W461" s="95" t="str">
        <f>IF(Z461=0,"",COUNTIFS('ITENS_MTR'!$S$6:$S$1005,A461,'ITENS_MTR'!$R$6:$R$1005,1))</f>
        <v/>
      </c>
      <c r="X461" s="94" t="str">
        <f>IF(AC461=1,"POSSÍVEL DUPLICIDADE","")</f>
        <v/>
      </c>
      <c r="Y461" s="94" t="str">
        <f>IF(Z461=0,"",IF(AW461="","Nenhuma",LEFT(AW461,LEN(AW461)-2)))</f>
        <v/>
      </c>
      <c r="Z461" s="96">
        <f>IF(COUNTA(B461:O461)&gt;0,1,0)</f>
        <v>0</v>
      </c>
      <c r="AA461" s="96">
        <f>IF(AND(Z461=1,K461&lt;&gt;""),IF(TRIM(K461)=TRIM(cfg_cancel),1,0),0)</f>
        <v>0</v>
      </c>
      <c r="AB461" s="96" t="str">
        <f>IF(AND(Z461=1,B461&lt;&gt;""),C461&amp;"|"&amp;D461&amp;"|"&amp;G461&amp;"|"&amp;TRIM(B461),"")</f>
        <v/>
      </c>
      <c r="AC461" s="96">
        <f>IF(AB461="",0,IF(SUMPRODUCT(--($AB$6:$AB$505=AB461))&gt;1,1,0))</f>
        <v>0</v>
      </c>
      <c r="AD461" s="96">
        <f>IF(Z461=0,0,IF(OR(AND(G461&lt;&gt;"",ISNA(MATCH(G461,'CAD_UNIDADES'!$C$6:$C$105,0))),AND(H461&lt;&gt;"",ISNA(MATCH(H461,cmp_transp,0))),AND(I461&lt;&gt;"",ISNA(MATCH(I461,cmp_dest,0))),AND(E461&lt;&gt;"",NOT(ISNUMBER(E461))),AND(F461&lt;&gt;"",NOT(ISNUMBER(F461))),AND(ISNUMBER(E461),ISNUMBER(F461),F461&lt;E461)),1,0))</f>
        <v>0</v>
      </c>
      <c r="AE461" s="96">
        <f>IF(Z461=0,0,IF(OR(B461="",C461="",E461="",G461="",H461="",I461="",N(W461)=0),1,0))</f>
        <v>0</v>
      </c>
      <c r="AF461" s="96">
        <f>IF(Z461=0,0,COUNTIFS('ITENS_MTR'!$S$6:$S$1005,A461,'ITENS_MTR'!$AI$6:$AI$1005,1))</f>
        <v>0</v>
      </c>
      <c r="AG461" s="96">
        <f>IF(Z461=0,0,COUNTIFS('ITENS_MTR'!$S$6:$S$1005,A461,'ITENS_MTR'!$AJ$6:$AJ$1005,1))</f>
        <v>0</v>
      </c>
      <c r="AH461" s="96">
        <f>IF(Z461=0,0,COUNTIFS('ITENS_MTR'!$S$6:$S$1005,A461,'ITENS_MTR'!$AM$6:$AM$1005,1))</f>
        <v>0</v>
      </c>
      <c r="AI461" s="96">
        <f>IF(Z461=0,0,COUNTIFS('ITENS_MTR'!$S$6:$S$1005,A461,'ITENS_MTR'!$AO$6:$AO$1005,1))</f>
        <v>0</v>
      </c>
      <c r="AJ461" s="96">
        <f>IF(Z461=0,0,COUNTIFS('ITENS_MTR'!$S$6:$S$1005,A461,'ITENS_MTR'!$AN$6:$AN$1005,1))</f>
        <v>0</v>
      </c>
      <c r="AK461" s="96">
        <f>IF(Z461=0,0,COUNTIFS('RECEBIMENTOS'!$B$6:$B$1005,A461,'RECEBIMENTOS'!$Y$6:$Y$1005,1))</f>
        <v>0</v>
      </c>
      <c r="AL461" s="96">
        <f>IF(Z461=0,0,COUNTIFS('VÍNCULOS_CDF'!$D$6:$D$1005,A461,'VÍNCULOS_CDF'!$Y$6:$Y$1005,1))</f>
        <v>0</v>
      </c>
      <c r="AM461" s="96">
        <f>IF(Z461=0,0,COUNTIFS('RECEBIMENTOS'!$B$6:$B$1005,A461,'RECEBIMENTOS'!$Q$6:$Q$1005,1))</f>
        <v>0</v>
      </c>
      <c r="AN461" s="96">
        <f>IF(AND(Z461=1,N(W461)&gt;0,AG461=N(W461)),1,0)</f>
        <v>0</v>
      </c>
      <c r="AO461" s="96">
        <f>IF(AND(Z461=1,N(W461)&gt;0,AI461=N(W461)),1,0)</f>
        <v>0</v>
      </c>
      <c r="AP461" s="97">
        <f>IF(Z461=0,0,_xlfn.MAXIFS('RECEBIMENTOS'!$E$6:$E$1005,'RECEBIMENTOS'!$B$6:$B$1005,A461))</f>
        <v>0</v>
      </c>
      <c r="AQ461" s="97" t="str">
        <f>IF(T461="","",IF(T461="RECEBIMENTO NÃO CONFIRMADO",IF(ISNUMBER(F461),F461,IF(ISNUMBER(E461),E461,"")),IF(OR(T461="CDF NÃO LOCALIZADO",T461="VÍNCULO INCOMPLETO",T461="CDF A CONFERIR"),IF(AP461&gt;0,AP461,IF(ISNUMBER(E461),E461,"")),IF(ISNUMBER(E461),E461,""))))</f>
        <v/>
      </c>
      <c r="AR461" s="96">
        <f>IF(NOT(ISNUMBER(U461)),0,IF(T461="RECEBIMENTO NÃO CONFIRMADO",IF(AND(ISNUMBER(cfg_rec),U461&gt;cfg_rec),1,0),IF(OR(T461="CDF NÃO LOCALIZADO",T461="VÍNCULO INCOMPLETO",T461="CDF A CONFERIR"),IF(AND(ISNUMBER(cfg_cdf),U461&gt;cfg_cdf),1,0),0)))</f>
        <v>0</v>
      </c>
      <c r="AS461" s="96" t="str">
        <f>IF(T461="","",IF(AR461=1,"Alta",IFERROR(INDEX(cfg_pp,MATCH(T461,cfg_pt,0))&amp;"","Média")))</f>
        <v/>
      </c>
      <c r="AT461" s="96" t="str">
        <f>IF(T461="","",IFERROR(INDEX(cfg_pv,MATCH(T461,cfg_pt,0))&amp;"",""))</f>
        <v/>
      </c>
      <c r="AU461" s="96" t="str">
        <f>IF(T461="","",IF(AS461="Alta",1,IF(AS461="Média",2,3))*1000000000+(999999-IF(ISNUMBER(U461),MIN(U461,999999),0))*1000+456)</f>
        <v/>
      </c>
      <c r="AV461" s="96">
        <f>IF(T461&lt;&gt;"",1,0)</f>
        <v>0</v>
      </c>
      <c r="AW461" s="96" t="str">
        <f>IF(Z461=0,"",IF(AA461=1,"Cancelamento informado; ","")&amp;IF(AE461=1,"Campos essenciais ou itens faltando; ","")&amp;IF(AC461=1,"Possível duplicidade do número; ","")&amp;IF(AD461=1,"Cadastro ou datas a revisar; ","")&amp;IF(AF461&gt;0,"Item de resíduo com dado a revisar; ","")&amp;IF(AH461&gt;0,"Diferença de quantidade a analisar; ","")&amp;IF(AK461&gt;0,"Recebimento com alerta; ","")&amp;IF(AL461&gt;0,"Vínculo de CDF com alerta; ","")&amp;IF(AND(AA461=0,AN461=0),"Recebimento não confirmado; ","")&amp;IF(AND(AA461=0,AN461=1,AO461=0),"CDF pendente ou a conferir; ",""))</f>
        <v/>
      </c>
      <c r="AX461" s="96">
        <f>IF(Z461=0,0,IF(AND(OR(f_ini="",AND(ISNUMBER(E461),E461&gt;=f_ini)),OR(f_fim="",AND(ISNUMBER(E461),E461&lt;=f_fim)),OR(f_un="",f_un="(Todas)",G461=f_un),OR(f_tr="",f_tr="(Todos)",H461=f_tr),OR(f_de="",f_de="(Todos)",I461=f_de),OR(f_sit="",f_sit="(Todas)",S461=f_sit)),1,0))</f>
        <v>0</v>
      </c>
      <c r="AY461" s="96">
        <f>IF(AX461=0,0,IF(OR(f_res="",f_res="(Todos)"),1,IF(COUNTIFS('ITENS_MTR'!$S$6:$S$1005,A461,'ITENS_MTR'!$C$6:$C$1005,f_res)&gt;0,1,0)))</f>
        <v>0</v>
      </c>
      <c r="AZ461" s="97" t="str">
        <f>IF(ISNUMBER(E461),DATE(YEAR(E461),MONTH(E461),1),"")</f>
        <v/>
      </c>
      <c r="BA461" s="96">
        <f>IF(Z461=0,0,IF(AND(OR(r_ini="",AND(ISNUMBER(E461),E461&gt;=r_ini)),OR(r_fim="",AND(ISNUMBER(E461),E461&lt;=r_fim)),OR(r_un="",r_un="(Todas)",G461=r_un),OR(r_de="",r_de="(Todos)",I461=r_de)),1,0))</f>
        <v>0</v>
      </c>
      <c r="BB461" s="96" t="str">
        <f>IF(BA461=1,COUNTIF($BA$6:BA461,1),"")</f>
        <v/>
      </c>
      <c r="BC461" s="96" t="str">
        <f>IF(AND(AU461&lt;&gt;"",OR(r_un="",r_un="(Todas)",G461=r_un),OR(r_de="",r_de="(Todos)",I461=r_de)),AU461,"")</f>
        <v/>
      </c>
      <c r="BD461" s="96" t="str">
        <f>IF(Z461=1,A461&amp;" | nº "&amp;IF(B461="","(sem número)",B461)&amp;" | "&amp;IF(G461="","(sem unidade)",G461),"")</f>
        <v/>
      </c>
      <c r="BE461" s="96" t="str">
        <f>IF(Z461=1,COUNTIF($Z$6:Z461,1),"")</f>
        <v/>
      </c>
      <c r="BF461" s="96" t="str">
        <f>IF(T461="","",IF(T461="RECEBIMENTO NÃO CONFIRMADO","Transp.: "&amp;H461&amp;" | Dest.: "&amp;I461,IF(OR(T461="CDF NÃO LOCALIZADO",T461="VÍNCULO INCOMPLETO",T461="CDF A CONFERIR"),"Dest.: "&amp;I461,"Gerador: "&amp;G461)))</f>
        <v/>
      </c>
    </row>
    <row r="462">
      <c r="A462" s="89" t="inlineStr">
        <is>
          <t>MTR-000457</t>
        </is>
      </c>
      <c r="B462" s="90" t="n"/>
      <c r="C462" s="91" t="n"/>
      <c r="D462" s="91" t="n"/>
      <c r="E462" s="92" t="n"/>
      <c r="F462" s="92" t="n"/>
      <c r="G462" s="91" t="n"/>
      <c r="H462" s="91" t="n"/>
      <c r="I462" s="91" t="n"/>
      <c r="J462" s="91" t="n"/>
      <c r="K462" s="91" t="n"/>
      <c r="L462" s="92" t="n"/>
      <c r="M462" s="91" t="n"/>
      <c r="N462" s="91" t="n"/>
      <c r="O462" s="91" t="n"/>
      <c r="P462" s="93" t="str">
        <f>IF(Z462=0,"",SUMIFS('ITENS_MTR'!$I$6:$I$1005,'ITENS_MTR'!$S$6:$S$1005,A462,'ITENS_MTR'!$Y$6:$Y$1005,1))</f>
        <v/>
      </c>
      <c r="Q462" s="93" t="str">
        <f>IF(Z462=0,"",SUMIFS('RECEBIMENTOS'!$H$6:$H$1005,'RECEBIMENTOS'!$B$6:$B$1005,A462,'RECEBIMENTOS'!$X$6:$X$1005,1))</f>
        <v/>
      </c>
      <c r="R462" s="93" t="str">
        <f>IF(Z462=0,"",SUMIFS('VÍNCULOS_CDF'!$H$6:$H$1005,'VÍNCULOS_CDF'!$D$6:$D$1005,A462,'VÍNCULOS_CDF'!$V$6:$V$1005,1))</f>
        <v/>
      </c>
      <c r="S462" s="94" t="str">
        <f>IF(Z462=0,"",IF(AA462=1,"Cancelado (informado)",IF(AE462=1,"Cadastro incompleto",IF(OR(AC462=1,AD462=1,AF462&gt;0,AH462&gt;0,AK462&gt;0,AL462&gt;0),"Informação a revisar",IF(AN462=0,"Aguardando recebimento",IF(N(R462)=0,"Aguardando CDF",IF(AJ462&lt;N(W462),"Vínculo de CDF parcial",IF(AO462=0,"CDF localizado, a conferir","Documentação conferida"))))))))</f>
        <v/>
      </c>
      <c r="T462" s="94" t="str">
        <f>IF(Z462=0,"",IF(S462="Cadastro incompleto","MTR INCOMPLETO",IF(S462="Informação a revisar",IF(AND(AH462&gt;0,AC462=0,AD462=0,AF462=0,AK462=0,AL462=0),"QUANTIDADE A REVISAR","IDENTIFICAÇÃO A REVISAR"),IF(S462="Aguardando recebimento","RECEBIMENTO NÃO CONFIRMADO",IF(S462="Aguardando CDF","CDF NÃO LOCALIZADO",IF(S462="Vínculo de CDF parcial","VÍNCULO INCOMPLETO",IF(S462="CDF localizado, a conferir","CDF A CONFERIR","")))))))</f>
        <v/>
      </c>
      <c r="U462" s="95" t="str">
        <f>IF(T462="","",IF(AQ462="","Não calculável",IF(AQ462&gt;TODAY(),"Data futura",TODAY()-AQ462)))</f>
        <v/>
      </c>
      <c r="V462" s="93" t="str">
        <f>IF(Z462=0,"",SUMIFS('RECEBIMENTOS'!$H$6:$H$1005,'RECEBIMENTOS'!$B$6:$B$1005,A462,'RECEBIMENTOS'!$Z$6:$Z$1005,1))</f>
        <v/>
      </c>
      <c r="W462" s="95" t="str">
        <f>IF(Z462=0,"",COUNTIFS('ITENS_MTR'!$S$6:$S$1005,A462,'ITENS_MTR'!$R$6:$R$1005,1))</f>
        <v/>
      </c>
      <c r="X462" s="94" t="str">
        <f>IF(AC462=1,"POSSÍVEL DUPLICIDADE","")</f>
        <v/>
      </c>
      <c r="Y462" s="94" t="str">
        <f>IF(Z462=0,"",IF(AW462="","Nenhuma",LEFT(AW462,LEN(AW462)-2)))</f>
        <v/>
      </c>
      <c r="Z462" s="96">
        <f>IF(COUNTA(B462:O462)&gt;0,1,0)</f>
        <v>0</v>
      </c>
      <c r="AA462" s="96">
        <f>IF(AND(Z462=1,K462&lt;&gt;""),IF(TRIM(K462)=TRIM(cfg_cancel),1,0),0)</f>
        <v>0</v>
      </c>
      <c r="AB462" s="96" t="str">
        <f>IF(AND(Z462=1,B462&lt;&gt;""),C462&amp;"|"&amp;D462&amp;"|"&amp;G462&amp;"|"&amp;TRIM(B462),"")</f>
        <v/>
      </c>
      <c r="AC462" s="96">
        <f>IF(AB462="",0,IF(SUMPRODUCT(--($AB$6:$AB$505=AB462))&gt;1,1,0))</f>
        <v>0</v>
      </c>
      <c r="AD462" s="96">
        <f>IF(Z462=0,0,IF(OR(AND(G462&lt;&gt;"",ISNA(MATCH(G462,'CAD_UNIDADES'!$C$6:$C$105,0))),AND(H462&lt;&gt;"",ISNA(MATCH(H462,cmp_transp,0))),AND(I462&lt;&gt;"",ISNA(MATCH(I462,cmp_dest,0))),AND(E462&lt;&gt;"",NOT(ISNUMBER(E462))),AND(F462&lt;&gt;"",NOT(ISNUMBER(F462))),AND(ISNUMBER(E462),ISNUMBER(F462),F462&lt;E462)),1,0))</f>
        <v>0</v>
      </c>
      <c r="AE462" s="96">
        <f>IF(Z462=0,0,IF(OR(B462="",C462="",E462="",G462="",H462="",I462="",N(W462)=0),1,0))</f>
        <v>0</v>
      </c>
      <c r="AF462" s="96">
        <f>IF(Z462=0,0,COUNTIFS('ITENS_MTR'!$S$6:$S$1005,A462,'ITENS_MTR'!$AI$6:$AI$1005,1))</f>
        <v>0</v>
      </c>
      <c r="AG462" s="96">
        <f>IF(Z462=0,0,COUNTIFS('ITENS_MTR'!$S$6:$S$1005,A462,'ITENS_MTR'!$AJ$6:$AJ$1005,1))</f>
        <v>0</v>
      </c>
      <c r="AH462" s="96">
        <f>IF(Z462=0,0,COUNTIFS('ITENS_MTR'!$S$6:$S$1005,A462,'ITENS_MTR'!$AM$6:$AM$1005,1))</f>
        <v>0</v>
      </c>
      <c r="AI462" s="96">
        <f>IF(Z462=0,0,COUNTIFS('ITENS_MTR'!$S$6:$S$1005,A462,'ITENS_MTR'!$AO$6:$AO$1005,1))</f>
        <v>0</v>
      </c>
      <c r="AJ462" s="96">
        <f>IF(Z462=0,0,COUNTIFS('ITENS_MTR'!$S$6:$S$1005,A462,'ITENS_MTR'!$AN$6:$AN$1005,1))</f>
        <v>0</v>
      </c>
      <c r="AK462" s="96">
        <f>IF(Z462=0,0,COUNTIFS('RECEBIMENTOS'!$B$6:$B$1005,A462,'RECEBIMENTOS'!$Y$6:$Y$1005,1))</f>
        <v>0</v>
      </c>
      <c r="AL462" s="96">
        <f>IF(Z462=0,0,COUNTIFS('VÍNCULOS_CDF'!$D$6:$D$1005,A462,'VÍNCULOS_CDF'!$Y$6:$Y$1005,1))</f>
        <v>0</v>
      </c>
      <c r="AM462" s="96">
        <f>IF(Z462=0,0,COUNTIFS('RECEBIMENTOS'!$B$6:$B$1005,A462,'RECEBIMENTOS'!$Q$6:$Q$1005,1))</f>
        <v>0</v>
      </c>
      <c r="AN462" s="96">
        <f>IF(AND(Z462=1,N(W462)&gt;0,AG462=N(W462)),1,0)</f>
        <v>0</v>
      </c>
      <c r="AO462" s="96">
        <f>IF(AND(Z462=1,N(W462)&gt;0,AI462=N(W462)),1,0)</f>
        <v>0</v>
      </c>
      <c r="AP462" s="97">
        <f>IF(Z462=0,0,_xlfn.MAXIFS('RECEBIMENTOS'!$E$6:$E$1005,'RECEBIMENTOS'!$B$6:$B$1005,A462))</f>
        <v>0</v>
      </c>
      <c r="AQ462" s="97" t="str">
        <f>IF(T462="","",IF(T462="RECEBIMENTO NÃO CONFIRMADO",IF(ISNUMBER(F462),F462,IF(ISNUMBER(E462),E462,"")),IF(OR(T462="CDF NÃO LOCALIZADO",T462="VÍNCULO INCOMPLETO",T462="CDF A CONFERIR"),IF(AP462&gt;0,AP462,IF(ISNUMBER(E462),E462,"")),IF(ISNUMBER(E462),E462,""))))</f>
        <v/>
      </c>
      <c r="AR462" s="96">
        <f>IF(NOT(ISNUMBER(U462)),0,IF(T462="RECEBIMENTO NÃO CONFIRMADO",IF(AND(ISNUMBER(cfg_rec),U462&gt;cfg_rec),1,0),IF(OR(T462="CDF NÃO LOCALIZADO",T462="VÍNCULO INCOMPLETO",T462="CDF A CONFERIR"),IF(AND(ISNUMBER(cfg_cdf),U462&gt;cfg_cdf),1,0),0)))</f>
        <v>0</v>
      </c>
      <c r="AS462" s="96" t="str">
        <f>IF(T462="","",IF(AR462=1,"Alta",IFERROR(INDEX(cfg_pp,MATCH(T462,cfg_pt,0))&amp;"","Média")))</f>
        <v/>
      </c>
      <c r="AT462" s="96" t="str">
        <f>IF(T462="","",IFERROR(INDEX(cfg_pv,MATCH(T462,cfg_pt,0))&amp;"",""))</f>
        <v/>
      </c>
      <c r="AU462" s="96" t="str">
        <f>IF(T462="","",IF(AS462="Alta",1,IF(AS462="Média",2,3))*1000000000+(999999-IF(ISNUMBER(U462),MIN(U462,999999),0))*1000+457)</f>
        <v/>
      </c>
      <c r="AV462" s="96">
        <f>IF(T462&lt;&gt;"",1,0)</f>
        <v>0</v>
      </c>
      <c r="AW462" s="96" t="str">
        <f>IF(Z462=0,"",IF(AA462=1,"Cancelamento informado; ","")&amp;IF(AE462=1,"Campos essenciais ou itens faltando; ","")&amp;IF(AC462=1,"Possível duplicidade do número; ","")&amp;IF(AD462=1,"Cadastro ou datas a revisar; ","")&amp;IF(AF462&gt;0,"Item de resíduo com dado a revisar; ","")&amp;IF(AH462&gt;0,"Diferença de quantidade a analisar; ","")&amp;IF(AK462&gt;0,"Recebimento com alerta; ","")&amp;IF(AL462&gt;0,"Vínculo de CDF com alerta; ","")&amp;IF(AND(AA462=0,AN462=0),"Recebimento não confirmado; ","")&amp;IF(AND(AA462=0,AN462=1,AO462=0),"CDF pendente ou a conferir; ",""))</f>
        <v/>
      </c>
      <c r="AX462" s="96">
        <f>IF(Z462=0,0,IF(AND(OR(f_ini="",AND(ISNUMBER(E462),E462&gt;=f_ini)),OR(f_fim="",AND(ISNUMBER(E462),E462&lt;=f_fim)),OR(f_un="",f_un="(Todas)",G462=f_un),OR(f_tr="",f_tr="(Todos)",H462=f_tr),OR(f_de="",f_de="(Todos)",I462=f_de),OR(f_sit="",f_sit="(Todas)",S462=f_sit)),1,0))</f>
        <v>0</v>
      </c>
      <c r="AY462" s="96">
        <f>IF(AX462=0,0,IF(OR(f_res="",f_res="(Todos)"),1,IF(COUNTIFS('ITENS_MTR'!$S$6:$S$1005,A462,'ITENS_MTR'!$C$6:$C$1005,f_res)&gt;0,1,0)))</f>
        <v>0</v>
      </c>
      <c r="AZ462" s="97" t="str">
        <f>IF(ISNUMBER(E462),DATE(YEAR(E462),MONTH(E462),1),"")</f>
        <v/>
      </c>
      <c r="BA462" s="96">
        <f>IF(Z462=0,0,IF(AND(OR(r_ini="",AND(ISNUMBER(E462),E462&gt;=r_ini)),OR(r_fim="",AND(ISNUMBER(E462),E462&lt;=r_fim)),OR(r_un="",r_un="(Todas)",G462=r_un),OR(r_de="",r_de="(Todos)",I462=r_de)),1,0))</f>
        <v>0</v>
      </c>
      <c r="BB462" s="96" t="str">
        <f>IF(BA462=1,COUNTIF($BA$6:BA462,1),"")</f>
        <v/>
      </c>
      <c r="BC462" s="96" t="str">
        <f>IF(AND(AU462&lt;&gt;"",OR(r_un="",r_un="(Todas)",G462=r_un),OR(r_de="",r_de="(Todos)",I462=r_de)),AU462,"")</f>
        <v/>
      </c>
      <c r="BD462" s="96" t="str">
        <f>IF(Z462=1,A462&amp;" | nº "&amp;IF(B462="","(sem número)",B462)&amp;" | "&amp;IF(G462="","(sem unidade)",G462),"")</f>
        <v/>
      </c>
      <c r="BE462" s="96" t="str">
        <f>IF(Z462=1,COUNTIF($Z$6:Z462,1),"")</f>
        <v/>
      </c>
      <c r="BF462" s="96" t="str">
        <f>IF(T462="","",IF(T462="RECEBIMENTO NÃO CONFIRMADO","Transp.: "&amp;H462&amp;" | Dest.: "&amp;I462,IF(OR(T462="CDF NÃO LOCALIZADO",T462="VÍNCULO INCOMPLETO",T462="CDF A CONFERIR"),"Dest.: "&amp;I462,"Gerador: "&amp;G462)))</f>
        <v/>
      </c>
    </row>
    <row r="463">
      <c r="A463" s="89" t="inlineStr">
        <is>
          <t>MTR-000458</t>
        </is>
      </c>
      <c r="B463" s="90" t="n"/>
      <c r="C463" s="91" t="n"/>
      <c r="D463" s="91" t="n"/>
      <c r="E463" s="92" t="n"/>
      <c r="F463" s="92" t="n"/>
      <c r="G463" s="91" t="n"/>
      <c r="H463" s="91" t="n"/>
      <c r="I463" s="91" t="n"/>
      <c r="J463" s="91" t="n"/>
      <c r="K463" s="91" t="n"/>
      <c r="L463" s="92" t="n"/>
      <c r="M463" s="91" t="n"/>
      <c r="N463" s="91" t="n"/>
      <c r="O463" s="91" t="n"/>
      <c r="P463" s="93" t="str">
        <f>IF(Z463=0,"",SUMIFS('ITENS_MTR'!$I$6:$I$1005,'ITENS_MTR'!$S$6:$S$1005,A463,'ITENS_MTR'!$Y$6:$Y$1005,1))</f>
        <v/>
      </c>
      <c r="Q463" s="93" t="str">
        <f>IF(Z463=0,"",SUMIFS('RECEBIMENTOS'!$H$6:$H$1005,'RECEBIMENTOS'!$B$6:$B$1005,A463,'RECEBIMENTOS'!$X$6:$X$1005,1))</f>
        <v/>
      </c>
      <c r="R463" s="93" t="str">
        <f>IF(Z463=0,"",SUMIFS('VÍNCULOS_CDF'!$H$6:$H$1005,'VÍNCULOS_CDF'!$D$6:$D$1005,A463,'VÍNCULOS_CDF'!$V$6:$V$1005,1))</f>
        <v/>
      </c>
      <c r="S463" s="94" t="str">
        <f>IF(Z463=0,"",IF(AA463=1,"Cancelado (informado)",IF(AE463=1,"Cadastro incompleto",IF(OR(AC463=1,AD463=1,AF463&gt;0,AH463&gt;0,AK463&gt;0,AL463&gt;0),"Informação a revisar",IF(AN463=0,"Aguardando recebimento",IF(N(R463)=0,"Aguardando CDF",IF(AJ463&lt;N(W463),"Vínculo de CDF parcial",IF(AO463=0,"CDF localizado, a conferir","Documentação conferida"))))))))</f>
        <v/>
      </c>
      <c r="T463" s="94" t="str">
        <f>IF(Z463=0,"",IF(S463="Cadastro incompleto","MTR INCOMPLETO",IF(S463="Informação a revisar",IF(AND(AH463&gt;0,AC463=0,AD463=0,AF463=0,AK463=0,AL463=0),"QUANTIDADE A REVISAR","IDENTIFICAÇÃO A REVISAR"),IF(S463="Aguardando recebimento","RECEBIMENTO NÃO CONFIRMADO",IF(S463="Aguardando CDF","CDF NÃO LOCALIZADO",IF(S463="Vínculo de CDF parcial","VÍNCULO INCOMPLETO",IF(S463="CDF localizado, a conferir","CDF A CONFERIR","")))))))</f>
        <v/>
      </c>
      <c r="U463" s="95" t="str">
        <f>IF(T463="","",IF(AQ463="","Não calculável",IF(AQ463&gt;TODAY(),"Data futura",TODAY()-AQ463)))</f>
        <v/>
      </c>
      <c r="V463" s="93" t="str">
        <f>IF(Z463=0,"",SUMIFS('RECEBIMENTOS'!$H$6:$H$1005,'RECEBIMENTOS'!$B$6:$B$1005,A463,'RECEBIMENTOS'!$Z$6:$Z$1005,1))</f>
        <v/>
      </c>
      <c r="W463" s="95" t="str">
        <f>IF(Z463=0,"",COUNTIFS('ITENS_MTR'!$S$6:$S$1005,A463,'ITENS_MTR'!$R$6:$R$1005,1))</f>
        <v/>
      </c>
      <c r="X463" s="94" t="str">
        <f>IF(AC463=1,"POSSÍVEL DUPLICIDADE","")</f>
        <v/>
      </c>
      <c r="Y463" s="94" t="str">
        <f>IF(Z463=0,"",IF(AW463="","Nenhuma",LEFT(AW463,LEN(AW463)-2)))</f>
        <v/>
      </c>
      <c r="Z463" s="96">
        <f>IF(COUNTA(B463:O463)&gt;0,1,0)</f>
        <v>0</v>
      </c>
      <c r="AA463" s="96">
        <f>IF(AND(Z463=1,K463&lt;&gt;""),IF(TRIM(K463)=TRIM(cfg_cancel),1,0),0)</f>
        <v>0</v>
      </c>
      <c r="AB463" s="96" t="str">
        <f>IF(AND(Z463=1,B463&lt;&gt;""),C463&amp;"|"&amp;D463&amp;"|"&amp;G463&amp;"|"&amp;TRIM(B463),"")</f>
        <v/>
      </c>
      <c r="AC463" s="96">
        <f>IF(AB463="",0,IF(SUMPRODUCT(--($AB$6:$AB$505=AB463))&gt;1,1,0))</f>
        <v>0</v>
      </c>
      <c r="AD463" s="96">
        <f>IF(Z463=0,0,IF(OR(AND(G463&lt;&gt;"",ISNA(MATCH(G463,'CAD_UNIDADES'!$C$6:$C$105,0))),AND(H463&lt;&gt;"",ISNA(MATCH(H463,cmp_transp,0))),AND(I463&lt;&gt;"",ISNA(MATCH(I463,cmp_dest,0))),AND(E463&lt;&gt;"",NOT(ISNUMBER(E463))),AND(F463&lt;&gt;"",NOT(ISNUMBER(F463))),AND(ISNUMBER(E463),ISNUMBER(F463),F463&lt;E463)),1,0))</f>
        <v>0</v>
      </c>
      <c r="AE463" s="96">
        <f>IF(Z463=0,0,IF(OR(B463="",C463="",E463="",G463="",H463="",I463="",N(W463)=0),1,0))</f>
        <v>0</v>
      </c>
      <c r="AF463" s="96">
        <f>IF(Z463=0,0,COUNTIFS('ITENS_MTR'!$S$6:$S$1005,A463,'ITENS_MTR'!$AI$6:$AI$1005,1))</f>
        <v>0</v>
      </c>
      <c r="AG463" s="96">
        <f>IF(Z463=0,0,COUNTIFS('ITENS_MTR'!$S$6:$S$1005,A463,'ITENS_MTR'!$AJ$6:$AJ$1005,1))</f>
        <v>0</v>
      </c>
      <c r="AH463" s="96">
        <f>IF(Z463=0,0,COUNTIFS('ITENS_MTR'!$S$6:$S$1005,A463,'ITENS_MTR'!$AM$6:$AM$1005,1))</f>
        <v>0</v>
      </c>
      <c r="AI463" s="96">
        <f>IF(Z463=0,0,COUNTIFS('ITENS_MTR'!$S$6:$S$1005,A463,'ITENS_MTR'!$AO$6:$AO$1005,1))</f>
        <v>0</v>
      </c>
      <c r="AJ463" s="96">
        <f>IF(Z463=0,0,COUNTIFS('ITENS_MTR'!$S$6:$S$1005,A463,'ITENS_MTR'!$AN$6:$AN$1005,1))</f>
        <v>0</v>
      </c>
      <c r="AK463" s="96">
        <f>IF(Z463=0,0,COUNTIFS('RECEBIMENTOS'!$B$6:$B$1005,A463,'RECEBIMENTOS'!$Y$6:$Y$1005,1))</f>
        <v>0</v>
      </c>
      <c r="AL463" s="96">
        <f>IF(Z463=0,0,COUNTIFS('VÍNCULOS_CDF'!$D$6:$D$1005,A463,'VÍNCULOS_CDF'!$Y$6:$Y$1005,1))</f>
        <v>0</v>
      </c>
      <c r="AM463" s="96">
        <f>IF(Z463=0,0,COUNTIFS('RECEBIMENTOS'!$B$6:$B$1005,A463,'RECEBIMENTOS'!$Q$6:$Q$1005,1))</f>
        <v>0</v>
      </c>
      <c r="AN463" s="96">
        <f>IF(AND(Z463=1,N(W463)&gt;0,AG463=N(W463)),1,0)</f>
        <v>0</v>
      </c>
      <c r="AO463" s="96">
        <f>IF(AND(Z463=1,N(W463)&gt;0,AI463=N(W463)),1,0)</f>
        <v>0</v>
      </c>
      <c r="AP463" s="97">
        <f>IF(Z463=0,0,_xlfn.MAXIFS('RECEBIMENTOS'!$E$6:$E$1005,'RECEBIMENTOS'!$B$6:$B$1005,A463))</f>
        <v>0</v>
      </c>
      <c r="AQ463" s="97" t="str">
        <f>IF(T463="","",IF(T463="RECEBIMENTO NÃO CONFIRMADO",IF(ISNUMBER(F463),F463,IF(ISNUMBER(E463),E463,"")),IF(OR(T463="CDF NÃO LOCALIZADO",T463="VÍNCULO INCOMPLETO",T463="CDF A CONFERIR"),IF(AP463&gt;0,AP463,IF(ISNUMBER(E463),E463,"")),IF(ISNUMBER(E463),E463,""))))</f>
        <v/>
      </c>
      <c r="AR463" s="96">
        <f>IF(NOT(ISNUMBER(U463)),0,IF(T463="RECEBIMENTO NÃO CONFIRMADO",IF(AND(ISNUMBER(cfg_rec),U463&gt;cfg_rec),1,0),IF(OR(T463="CDF NÃO LOCALIZADO",T463="VÍNCULO INCOMPLETO",T463="CDF A CONFERIR"),IF(AND(ISNUMBER(cfg_cdf),U463&gt;cfg_cdf),1,0),0)))</f>
        <v>0</v>
      </c>
      <c r="AS463" s="96" t="str">
        <f>IF(T463="","",IF(AR463=1,"Alta",IFERROR(INDEX(cfg_pp,MATCH(T463,cfg_pt,0))&amp;"","Média")))</f>
        <v/>
      </c>
      <c r="AT463" s="96" t="str">
        <f>IF(T463="","",IFERROR(INDEX(cfg_pv,MATCH(T463,cfg_pt,0))&amp;"",""))</f>
        <v/>
      </c>
      <c r="AU463" s="96" t="str">
        <f>IF(T463="","",IF(AS463="Alta",1,IF(AS463="Média",2,3))*1000000000+(999999-IF(ISNUMBER(U463),MIN(U463,999999),0))*1000+458)</f>
        <v/>
      </c>
      <c r="AV463" s="96">
        <f>IF(T463&lt;&gt;"",1,0)</f>
        <v>0</v>
      </c>
      <c r="AW463" s="96" t="str">
        <f>IF(Z463=0,"",IF(AA463=1,"Cancelamento informado; ","")&amp;IF(AE463=1,"Campos essenciais ou itens faltando; ","")&amp;IF(AC463=1,"Possível duplicidade do número; ","")&amp;IF(AD463=1,"Cadastro ou datas a revisar; ","")&amp;IF(AF463&gt;0,"Item de resíduo com dado a revisar; ","")&amp;IF(AH463&gt;0,"Diferença de quantidade a analisar; ","")&amp;IF(AK463&gt;0,"Recebimento com alerta; ","")&amp;IF(AL463&gt;0,"Vínculo de CDF com alerta; ","")&amp;IF(AND(AA463=0,AN463=0),"Recebimento não confirmado; ","")&amp;IF(AND(AA463=0,AN463=1,AO463=0),"CDF pendente ou a conferir; ",""))</f>
        <v/>
      </c>
      <c r="AX463" s="96">
        <f>IF(Z463=0,0,IF(AND(OR(f_ini="",AND(ISNUMBER(E463),E463&gt;=f_ini)),OR(f_fim="",AND(ISNUMBER(E463),E463&lt;=f_fim)),OR(f_un="",f_un="(Todas)",G463=f_un),OR(f_tr="",f_tr="(Todos)",H463=f_tr),OR(f_de="",f_de="(Todos)",I463=f_de),OR(f_sit="",f_sit="(Todas)",S463=f_sit)),1,0))</f>
        <v>0</v>
      </c>
      <c r="AY463" s="96">
        <f>IF(AX463=0,0,IF(OR(f_res="",f_res="(Todos)"),1,IF(COUNTIFS('ITENS_MTR'!$S$6:$S$1005,A463,'ITENS_MTR'!$C$6:$C$1005,f_res)&gt;0,1,0)))</f>
        <v>0</v>
      </c>
      <c r="AZ463" s="97" t="str">
        <f>IF(ISNUMBER(E463),DATE(YEAR(E463),MONTH(E463),1),"")</f>
        <v/>
      </c>
      <c r="BA463" s="96">
        <f>IF(Z463=0,0,IF(AND(OR(r_ini="",AND(ISNUMBER(E463),E463&gt;=r_ini)),OR(r_fim="",AND(ISNUMBER(E463),E463&lt;=r_fim)),OR(r_un="",r_un="(Todas)",G463=r_un),OR(r_de="",r_de="(Todos)",I463=r_de)),1,0))</f>
        <v>0</v>
      </c>
      <c r="BB463" s="96" t="str">
        <f>IF(BA463=1,COUNTIF($BA$6:BA463,1),"")</f>
        <v/>
      </c>
      <c r="BC463" s="96" t="str">
        <f>IF(AND(AU463&lt;&gt;"",OR(r_un="",r_un="(Todas)",G463=r_un),OR(r_de="",r_de="(Todos)",I463=r_de)),AU463,"")</f>
        <v/>
      </c>
      <c r="BD463" s="96" t="str">
        <f>IF(Z463=1,A463&amp;" | nº "&amp;IF(B463="","(sem número)",B463)&amp;" | "&amp;IF(G463="","(sem unidade)",G463),"")</f>
        <v/>
      </c>
      <c r="BE463" s="96" t="str">
        <f>IF(Z463=1,COUNTIF($Z$6:Z463,1),"")</f>
        <v/>
      </c>
      <c r="BF463" s="96" t="str">
        <f>IF(T463="","",IF(T463="RECEBIMENTO NÃO CONFIRMADO","Transp.: "&amp;H463&amp;" | Dest.: "&amp;I463,IF(OR(T463="CDF NÃO LOCALIZADO",T463="VÍNCULO INCOMPLETO",T463="CDF A CONFERIR"),"Dest.: "&amp;I463,"Gerador: "&amp;G463)))</f>
        <v/>
      </c>
    </row>
    <row r="464">
      <c r="A464" s="89" t="inlineStr">
        <is>
          <t>MTR-000459</t>
        </is>
      </c>
      <c r="B464" s="90" t="n"/>
      <c r="C464" s="91" t="n"/>
      <c r="D464" s="91" t="n"/>
      <c r="E464" s="92" t="n"/>
      <c r="F464" s="92" t="n"/>
      <c r="G464" s="91" t="n"/>
      <c r="H464" s="91" t="n"/>
      <c r="I464" s="91" t="n"/>
      <c r="J464" s="91" t="n"/>
      <c r="K464" s="91" t="n"/>
      <c r="L464" s="92" t="n"/>
      <c r="M464" s="91" t="n"/>
      <c r="N464" s="91" t="n"/>
      <c r="O464" s="91" t="n"/>
      <c r="P464" s="93" t="str">
        <f>IF(Z464=0,"",SUMIFS('ITENS_MTR'!$I$6:$I$1005,'ITENS_MTR'!$S$6:$S$1005,A464,'ITENS_MTR'!$Y$6:$Y$1005,1))</f>
        <v/>
      </c>
      <c r="Q464" s="93" t="str">
        <f>IF(Z464=0,"",SUMIFS('RECEBIMENTOS'!$H$6:$H$1005,'RECEBIMENTOS'!$B$6:$B$1005,A464,'RECEBIMENTOS'!$X$6:$X$1005,1))</f>
        <v/>
      </c>
      <c r="R464" s="93" t="str">
        <f>IF(Z464=0,"",SUMIFS('VÍNCULOS_CDF'!$H$6:$H$1005,'VÍNCULOS_CDF'!$D$6:$D$1005,A464,'VÍNCULOS_CDF'!$V$6:$V$1005,1))</f>
        <v/>
      </c>
      <c r="S464" s="94" t="str">
        <f>IF(Z464=0,"",IF(AA464=1,"Cancelado (informado)",IF(AE464=1,"Cadastro incompleto",IF(OR(AC464=1,AD464=1,AF464&gt;0,AH464&gt;0,AK464&gt;0,AL464&gt;0),"Informação a revisar",IF(AN464=0,"Aguardando recebimento",IF(N(R464)=0,"Aguardando CDF",IF(AJ464&lt;N(W464),"Vínculo de CDF parcial",IF(AO464=0,"CDF localizado, a conferir","Documentação conferida"))))))))</f>
        <v/>
      </c>
      <c r="T464" s="94" t="str">
        <f>IF(Z464=0,"",IF(S464="Cadastro incompleto","MTR INCOMPLETO",IF(S464="Informação a revisar",IF(AND(AH464&gt;0,AC464=0,AD464=0,AF464=0,AK464=0,AL464=0),"QUANTIDADE A REVISAR","IDENTIFICAÇÃO A REVISAR"),IF(S464="Aguardando recebimento","RECEBIMENTO NÃO CONFIRMADO",IF(S464="Aguardando CDF","CDF NÃO LOCALIZADO",IF(S464="Vínculo de CDF parcial","VÍNCULO INCOMPLETO",IF(S464="CDF localizado, a conferir","CDF A CONFERIR","")))))))</f>
        <v/>
      </c>
      <c r="U464" s="95" t="str">
        <f>IF(T464="","",IF(AQ464="","Não calculável",IF(AQ464&gt;TODAY(),"Data futura",TODAY()-AQ464)))</f>
        <v/>
      </c>
      <c r="V464" s="93" t="str">
        <f>IF(Z464=0,"",SUMIFS('RECEBIMENTOS'!$H$6:$H$1005,'RECEBIMENTOS'!$B$6:$B$1005,A464,'RECEBIMENTOS'!$Z$6:$Z$1005,1))</f>
        <v/>
      </c>
      <c r="W464" s="95" t="str">
        <f>IF(Z464=0,"",COUNTIFS('ITENS_MTR'!$S$6:$S$1005,A464,'ITENS_MTR'!$R$6:$R$1005,1))</f>
        <v/>
      </c>
      <c r="X464" s="94" t="str">
        <f>IF(AC464=1,"POSSÍVEL DUPLICIDADE","")</f>
        <v/>
      </c>
      <c r="Y464" s="94" t="str">
        <f>IF(Z464=0,"",IF(AW464="","Nenhuma",LEFT(AW464,LEN(AW464)-2)))</f>
        <v/>
      </c>
      <c r="Z464" s="96">
        <f>IF(COUNTA(B464:O464)&gt;0,1,0)</f>
        <v>0</v>
      </c>
      <c r="AA464" s="96">
        <f>IF(AND(Z464=1,K464&lt;&gt;""),IF(TRIM(K464)=TRIM(cfg_cancel),1,0),0)</f>
        <v>0</v>
      </c>
      <c r="AB464" s="96" t="str">
        <f>IF(AND(Z464=1,B464&lt;&gt;""),C464&amp;"|"&amp;D464&amp;"|"&amp;G464&amp;"|"&amp;TRIM(B464),"")</f>
        <v/>
      </c>
      <c r="AC464" s="96">
        <f>IF(AB464="",0,IF(SUMPRODUCT(--($AB$6:$AB$505=AB464))&gt;1,1,0))</f>
        <v>0</v>
      </c>
      <c r="AD464" s="96">
        <f>IF(Z464=0,0,IF(OR(AND(G464&lt;&gt;"",ISNA(MATCH(G464,'CAD_UNIDADES'!$C$6:$C$105,0))),AND(H464&lt;&gt;"",ISNA(MATCH(H464,cmp_transp,0))),AND(I464&lt;&gt;"",ISNA(MATCH(I464,cmp_dest,0))),AND(E464&lt;&gt;"",NOT(ISNUMBER(E464))),AND(F464&lt;&gt;"",NOT(ISNUMBER(F464))),AND(ISNUMBER(E464),ISNUMBER(F464),F464&lt;E464)),1,0))</f>
        <v>0</v>
      </c>
      <c r="AE464" s="96">
        <f>IF(Z464=0,0,IF(OR(B464="",C464="",E464="",G464="",H464="",I464="",N(W464)=0),1,0))</f>
        <v>0</v>
      </c>
      <c r="AF464" s="96">
        <f>IF(Z464=0,0,COUNTIFS('ITENS_MTR'!$S$6:$S$1005,A464,'ITENS_MTR'!$AI$6:$AI$1005,1))</f>
        <v>0</v>
      </c>
      <c r="AG464" s="96">
        <f>IF(Z464=0,0,COUNTIFS('ITENS_MTR'!$S$6:$S$1005,A464,'ITENS_MTR'!$AJ$6:$AJ$1005,1))</f>
        <v>0</v>
      </c>
      <c r="AH464" s="96">
        <f>IF(Z464=0,0,COUNTIFS('ITENS_MTR'!$S$6:$S$1005,A464,'ITENS_MTR'!$AM$6:$AM$1005,1))</f>
        <v>0</v>
      </c>
      <c r="AI464" s="96">
        <f>IF(Z464=0,0,COUNTIFS('ITENS_MTR'!$S$6:$S$1005,A464,'ITENS_MTR'!$AO$6:$AO$1005,1))</f>
        <v>0</v>
      </c>
      <c r="AJ464" s="96">
        <f>IF(Z464=0,0,COUNTIFS('ITENS_MTR'!$S$6:$S$1005,A464,'ITENS_MTR'!$AN$6:$AN$1005,1))</f>
        <v>0</v>
      </c>
      <c r="AK464" s="96">
        <f>IF(Z464=0,0,COUNTIFS('RECEBIMENTOS'!$B$6:$B$1005,A464,'RECEBIMENTOS'!$Y$6:$Y$1005,1))</f>
        <v>0</v>
      </c>
      <c r="AL464" s="96">
        <f>IF(Z464=0,0,COUNTIFS('VÍNCULOS_CDF'!$D$6:$D$1005,A464,'VÍNCULOS_CDF'!$Y$6:$Y$1005,1))</f>
        <v>0</v>
      </c>
      <c r="AM464" s="96">
        <f>IF(Z464=0,0,COUNTIFS('RECEBIMENTOS'!$B$6:$B$1005,A464,'RECEBIMENTOS'!$Q$6:$Q$1005,1))</f>
        <v>0</v>
      </c>
      <c r="AN464" s="96">
        <f>IF(AND(Z464=1,N(W464)&gt;0,AG464=N(W464)),1,0)</f>
        <v>0</v>
      </c>
      <c r="AO464" s="96">
        <f>IF(AND(Z464=1,N(W464)&gt;0,AI464=N(W464)),1,0)</f>
        <v>0</v>
      </c>
      <c r="AP464" s="97">
        <f>IF(Z464=0,0,_xlfn.MAXIFS('RECEBIMENTOS'!$E$6:$E$1005,'RECEBIMENTOS'!$B$6:$B$1005,A464))</f>
        <v>0</v>
      </c>
      <c r="AQ464" s="97" t="str">
        <f>IF(T464="","",IF(T464="RECEBIMENTO NÃO CONFIRMADO",IF(ISNUMBER(F464),F464,IF(ISNUMBER(E464),E464,"")),IF(OR(T464="CDF NÃO LOCALIZADO",T464="VÍNCULO INCOMPLETO",T464="CDF A CONFERIR"),IF(AP464&gt;0,AP464,IF(ISNUMBER(E464),E464,"")),IF(ISNUMBER(E464),E464,""))))</f>
        <v/>
      </c>
      <c r="AR464" s="96">
        <f>IF(NOT(ISNUMBER(U464)),0,IF(T464="RECEBIMENTO NÃO CONFIRMADO",IF(AND(ISNUMBER(cfg_rec),U464&gt;cfg_rec),1,0),IF(OR(T464="CDF NÃO LOCALIZADO",T464="VÍNCULO INCOMPLETO",T464="CDF A CONFERIR"),IF(AND(ISNUMBER(cfg_cdf),U464&gt;cfg_cdf),1,0),0)))</f>
        <v>0</v>
      </c>
      <c r="AS464" s="96" t="str">
        <f>IF(T464="","",IF(AR464=1,"Alta",IFERROR(INDEX(cfg_pp,MATCH(T464,cfg_pt,0))&amp;"","Média")))</f>
        <v/>
      </c>
      <c r="AT464" s="96" t="str">
        <f>IF(T464="","",IFERROR(INDEX(cfg_pv,MATCH(T464,cfg_pt,0))&amp;"",""))</f>
        <v/>
      </c>
      <c r="AU464" s="96" t="str">
        <f>IF(T464="","",IF(AS464="Alta",1,IF(AS464="Média",2,3))*1000000000+(999999-IF(ISNUMBER(U464),MIN(U464,999999),0))*1000+459)</f>
        <v/>
      </c>
      <c r="AV464" s="96">
        <f>IF(T464&lt;&gt;"",1,0)</f>
        <v>0</v>
      </c>
      <c r="AW464" s="96" t="str">
        <f>IF(Z464=0,"",IF(AA464=1,"Cancelamento informado; ","")&amp;IF(AE464=1,"Campos essenciais ou itens faltando; ","")&amp;IF(AC464=1,"Possível duplicidade do número; ","")&amp;IF(AD464=1,"Cadastro ou datas a revisar; ","")&amp;IF(AF464&gt;0,"Item de resíduo com dado a revisar; ","")&amp;IF(AH464&gt;0,"Diferença de quantidade a analisar; ","")&amp;IF(AK464&gt;0,"Recebimento com alerta; ","")&amp;IF(AL464&gt;0,"Vínculo de CDF com alerta; ","")&amp;IF(AND(AA464=0,AN464=0),"Recebimento não confirmado; ","")&amp;IF(AND(AA464=0,AN464=1,AO464=0),"CDF pendente ou a conferir; ",""))</f>
        <v/>
      </c>
      <c r="AX464" s="96">
        <f>IF(Z464=0,0,IF(AND(OR(f_ini="",AND(ISNUMBER(E464),E464&gt;=f_ini)),OR(f_fim="",AND(ISNUMBER(E464),E464&lt;=f_fim)),OR(f_un="",f_un="(Todas)",G464=f_un),OR(f_tr="",f_tr="(Todos)",H464=f_tr),OR(f_de="",f_de="(Todos)",I464=f_de),OR(f_sit="",f_sit="(Todas)",S464=f_sit)),1,0))</f>
        <v>0</v>
      </c>
      <c r="AY464" s="96">
        <f>IF(AX464=0,0,IF(OR(f_res="",f_res="(Todos)"),1,IF(COUNTIFS('ITENS_MTR'!$S$6:$S$1005,A464,'ITENS_MTR'!$C$6:$C$1005,f_res)&gt;0,1,0)))</f>
        <v>0</v>
      </c>
      <c r="AZ464" s="97" t="str">
        <f>IF(ISNUMBER(E464),DATE(YEAR(E464),MONTH(E464),1),"")</f>
        <v/>
      </c>
      <c r="BA464" s="96">
        <f>IF(Z464=0,0,IF(AND(OR(r_ini="",AND(ISNUMBER(E464),E464&gt;=r_ini)),OR(r_fim="",AND(ISNUMBER(E464),E464&lt;=r_fim)),OR(r_un="",r_un="(Todas)",G464=r_un),OR(r_de="",r_de="(Todos)",I464=r_de)),1,0))</f>
        <v>0</v>
      </c>
      <c r="BB464" s="96" t="str">
        <f>IF(BA464=1,COUNTIF($BA$6:BA464,1),"")</f>
        <v/>
      </c>
      <c r="BC464" s="96" t="str">
        <f>IF(AND(AU464&lt;&gt;"",OR(r_un="",r_un="(Todas)",G464=r_un),OR(r_de="",r_de="(Todos)",I464=r_de)),AU464,"")</f>
        <v/>
      </c>
      <c r="BD464" s="96" t="str">
        <f>IF(Z464=1,A464&amp;" | nº "&amp;IF(B464="","(sem número)",B464)&amp;" | "&amp;IF(G464="","(sem unidade)",G464),"")</f>
        <v/>
      </c>
      <c r="BE464" s="96" t="str">
        <f>IF(Z464=1,COUNTIF($Z$6:Z464,1),"")</f>
        <v/>
      </c>
      <c r="BF464" s="96" t="str">
        <f>IF(T464="","",IF(T464="RECEBIMENTO NÃO CONFIRMADO","Transp.: "&amp;H464&amp;" | Dest.: "&amp;I464,IF(OR(T464="CDF NÃO LOCALIZADO",T464="VÍNCULO INCOMPLETO",T464="CDF A CONFERIR"),"Dest.: "&amp;I464,"Gerador: "&amp;G464)))</f>
        <v/>
      </c>
    </row>
    <row r="465">
      <c r="A465" s="89" t="inlineStr">
        <is>
          <t>MTR-000460</t>
        </is>
      </c>
      <c r="B465" s="90" t="n"/>
      <c r="C465" s="91" t="n"/>
      <c r="D465" s="91" t="n"/>
      <c r="E465" s="92" t="n"/>
      <c r="F465" s="92" t="n"/>
      <c r="G465" s="91" t="n"/>
      <c r="H465" s="91" t="n"/>
      <c r="I465" s="91" t="n"/>
      <c r="J465" s="91" t="n"/>
      <c r="K465" s="91" t="n"/>
      <c r="L465" s="92" t="n"/>
      <c r="M465" s="91" t="n"/>
      <c r="N465" s="91" t="n"/>
      <c r="O465" s="91" t="n"/>
      <c r="P465" s="93" t="str">
        <f>IF(Z465=0,"",SUMIFS('ITENS_MTR'!$I$6:$I$1005,'ITENS_MTR'!$S$6:$S$1005,A465,'ITENS_MTR'!$Y$6:$Y$1005,1))</f>
        <v/>
      </c>
      <c r="Q465" s="93" t="str">
        <f>IF(Z465=0,"",SUMIFS('RECEBIMENTOS'!$H$6:$H$1005,'RECEBIMENTOS'!$B$6:$B$1005,A465,'RECEBIMENTOS'!$X$6:$X$1005,1))</f>
        <v/>
      </c>
      <c r="R465" s="93" t="str">
        <f>IF(Z465=0,"",SUMIFS('VÍNCULOS_CDF'!$H$6:$H$1005,'VÍNCULOS_CDF'!$D$6:$D$1005,A465,'VÍNCULOS_CDF'!$V$6:$V$1005,1))</f>
        <v/>
      </c>
      <c r="S465" s="94" t="str">
        <f>IF(Z465=0,"",IF(AA465=1,"Cancelado (informado)",IF(AE465=1,"Cadastro incompleto",IF(OR(AC465=1,AD465=1,AF465&gt;0,AH465&gt;0,AK465&gt;0,AL465&gt;0),"Informação a revisar",IF(AN465=0,"Aguardando recebimento",IF(N(R465)=0,"Aguardando CDF",IF(AJ465&lt;N(W465),"Vínculo de CDF parcial",IF(AO465=0,"CDF localizado, a conferir","Documentação conferida"))))))))</f>
        <v/>
      </c>
      <c r="T465" s="94" t="str">
        <f>IF(Z465=0,"",IF(S465="Cadastro incompleto","MTR INCOMPLETO",IF(S465="Informação a revisar",IF(AND(AH465&gt;0,AC465=0,AD465=0,AF465=0,AK465=0,AL465=0),"QUANTIDADE A REVISAR","IDENTIFICAÇÃO A REVISAR"),IF(S465="Aguardando recebimento","RECEBIMENTO NÃO CONFIRMADO",IF(S465="Aguardando CDF","CDF NÃO LOCALIZADO",IF(S465="Vínculo de CDF parcial","VÍNCULO INCOMPLETO",IF(S465="CDF localizado, a conferir","CDF A CONFERIR","")))))))</f>
        <v/>
      </c>
      <c r="U465" s="95" t="str">
        <f>IF(T465="","",IF(AQ465="","Não calculável",IF(AQ465&gt;TODAY(),"Data futura",TODAY()-AQ465)))</f>
        <v/>
      </c>
      <c r="V465" s="93" t="str">
        <f>IF(Z465=0,"",SUMIFS('RECEBIMENTOS'!$H$6:$H$1005,'RECEBIMENTOS'!$B$6:$B$1005,A465,'RECEBIMENTOS'!$Z$6:$Z$1005,1))</f>
        <v/>
      </c>
      <c r="W465" s="95" t="str">
        <f>IF(Z465=0,"",COUNTIFS('ITENS_MTR'!$S$6:$S$1005,A465,'ITENS_MTR'!$R$6:$R$1005,1))</f>
        <v/>
      </c>
      <c r="X465" s="94" t="str">
        <f>IF(AC465=1,"POSSÍVEL DUPLICIDADE","")</f>
        <v/>
      </c>
      <c r="Y465" s="94" t="str">
        <f>IF(Z465=0,"",IF(AW465="","Nenhuma",LEFT(AW465,LEN(AW465)-2)))</f>
        <v/>
      </c>
      <c r="Z465" s="96">
        <f>IF(COUNTA(B465:O465)&gt;0,1,0)</f>
        <v>0</v>
      </c>
      <c r="AA465" s="96">
        <f>IF(AND(Z465=1,K465&lt;&gt;""),IF(TRIM(K465)=TRIM(cfg_cancel),1,0),0)</f>
        <v>0</v>
      </c>
      <c r="AB465" s="96" t="str">
        <f>IF(AND(Z465=1,B465&lt;&gt;""),C465&amp;"|"&amp;D465&amp;"|"&amp;G465&amp;"|"&amp;TRIM(B465),"")</f>
        <v/>
      </c>
      <c r="AC465" s="96">
        <f>IF(AB465="",0,IF(SUMPRODUCT(--($AB$6:$AB$505=AB465))&gt;1,1,0))</f>
        <v>0</v>
      </c>
      <c r="AD465" s="96">
        <f>IF(Z465=0,0,IF(OR(AND(G465&lt;&gt;"",ISNA(MATCH(G465,'CAD_UNIDADES'!$C$6:$C$105,0))),AND(H465&lt;&gt;"",ISNA(MATCH(H465,cmp_transp,0))),AND(I465&lt;&gt;"",ISNA(MATCH(I465,cmp_dest,0))),AND(E465&lt;&gt;"",NOT(ISNUMBER(E465))),AND(F465&lt;&gt;"",NOT(ISNUMBER(F465))),AND(ISNUMBER(E465),ISNUMBER(F465),F465&lt;E465)),1,0))</f>
        <v>0</v>
      </c>
      <c r="AE465" s="96">
        <f>IF(Z465=0,0,IF(OR(B465="",C465="",E465="",G465="",H465="",I465="",N(W465)=0),1,0))</f>
        <v>0</v>
      </c>
      <c r="AF465" s="96">
        <f>IF(Z465=0,0,COUNTIFS('ITENS_MTR'!$S$6:$S$1005,A465,'ITENS_MTR'!$AI$6:$AI$1005,1))</f>
        <v>0</v>
      </c>
      <c r="AG465" s="96">
        <f>IF(Z465=0,0,COUNTIFS('ITENS_MTR'!$S$6:$S$1005,A465,'ITENS_MTR'!$AJ$6:$AJ$1005,1))</f>
        <v>0</v>
      </c>
      <c r="AH465" s="96">
        <f>IF(Z465=0,0,COUNTIFS('ITENS_MTR'!$S$6:$S$1005,A465,'ITENS_MTR'!$AM$6:$AM$1005,1))</f>
        <v>0</v>
      </c>
      <c r="AI465" s="96">
        <f>IF(Z465=0,0,COUNTIFS('ITENS_MTR'!$S$6:$S$1005,A465,'ITENS_MTR'!$AO$6:$AO$1005,1))</f>
        <v>0</v>
      </c>
      <c r="AJ465" s="96">
        <f>IF(Z465=0,0,COUNTIFS('ITENS_MTR'!$S$6:$S$1005,A465,'ITENS_MTR'!$AN$6:$AN$1005,1))</f>
        <v>0</v>
      </c>
      <c r="AK465" s="96">
        <f>IF(Z465=0,0,COUNTIFS('RECEBIMENTOS'!$B$6:$B$1005,A465,'RECEBIMENTOS'!$Y$6:$Y$1005,1))</f>
        <v>0</v>
      </c>
      <c r="AL465" s="96">
        <f>IF(Z465=0,0,COUNTIFS('VÍNCULOS_CDF'!$D$6:$D$1005,A465,'VÍNCULOS_CDF'!$Y$6:$Y$1005,1))</f>
        <v>0</v>
      </c>
      <c r="AM465" s="96">
        <f>IF(Z465=0,0,COUNTIFS('RECEBIMENTOS'!$B$6:$B$1005,A465,'RECEBIMENTOS'!$Q$6:$Q$1005,1))</f>
        <v>0</v>
      </c>
      <c r="AN465" s="96">
        <f>IF(AND(Z465=1,N(W465)&gt;0,AG465=N(W465)),1,0)</f>
        <v>0</v>
      </c>
      <c r="AO465" s="96">
        <f>IF(AND(Z465=1,N(W465)&gt;0,AI465=N(W465)),1,0)</f>
        <v>0</v>
      </c>
      <c r="AP465" s="97">
        <f>IF(Z465=0,0,_xlfn.MAXIFS('RECEBIMENTOS'!$E$6:$E$1005,'RECEBIMENTOS'!$B$6:$B$1005,A465))</f>
        <v>0</v>
      </c>
      <c r="AQ465" s="97" t="str">
        <f>IF(T465="","",IF(T465="RECEBIMENTO NÃO CONFIRMADO",IF(ISNUMBER(F465),F465,IF(ISNUMBER(E465),E465,"")),IF(OR(T465="CDF NÃO LOCALIZADO",T465="VÍNCULO INCOMPLETO",T465="CDF A CONFERIR"),IF(AP465&gt;0,AP465,IF(ISNUMBER(E465),E465,"")),IF(ISNUMBER(E465),E465,""))))</f>
        <v/>
      </c>
      <c r="AR465" s="96">
        <f>IF(NOT(ISNUMBER(U465)),0,IF(T465="RECEBIMENTO NÃO CONFIRMADO",IF(AND(ISNUMBER(cfg_rec),U465&gt;cfg_rec),1,0),IF(OR(T465="CDF NÃO LOCALIZADO",T465="VÍNCULO INCOMPLETO",T465="CDF A CONFERIR"),IF(AND(ISNUMBER(cfg_cdf),U465&gt;cfg_cdf),1,0),0)))</f>
        <v>0</v>
      </c>
      <c r="AS465" s="96" t="str">
        <f>IF(T465="","",IF(AR465=1,"Alta",IFERROR(INDEX(cfg_pp,MATCH(T465,cfg_pt,0))&amp;"","Média")))</f>
        <v/>
      </c>
      <c r="AT465" s="96" t="str">
        <f>IF(T465="","",IFERROR(INDEX(cfg_pv,MATCH(T465,cfg_pt,0))&amp;"",""))</f>
        <v/>
      </c>
      <c r="AU465" s="96" t="str">
        <f>IF(T465="","",IF(AS465="Alta",1,IF(AS465="Média",2,3))*1000000000+(999999-IF(ISNUMBER(U465),MIN(U465,999999),0))*1000+460)</f>
        <v/>
      </c>
      <c r="AV465" s="96">
        <f>IF(T465&lt;&gt;"",1,0)</f>
        <v>0</v>
      </c>
      <c r="AW465" s="96" t="str">
        <f>IF(Z465=0,"",IF(AA465=1,"Cancelamento informado; ","")&amp;IF(AE465=1,"Campos essenciais ou itens faltando; ","")&amp;IF(AC465=1,"Possível duplicidade do número; ","")&amp;IF(AD465=1,"Cadastro ou datas a revisar; ","")&amp;IF(AF465&gt;0,"Item de resíduo com dado a revisar; ","")&amp;IF(AH465&gt;0,"Diferença de quantidade a analisar; ","")&amp;IF(AK465&gt;0,"Recebimento com alerta; ","")&amp;IF(AL465&gt;0,"Vínculo de CDF com alerta; ","")&amp;IF(AND(AA465=0,AN465=0),"Recebimento não confirmado; ","")&amp;IF(AND(AA465=0,AN465=1,AO465=0),"CDF pendente ou a conferir; ",""))</f>
        <v/>
      </c>
      <c r="AX465" s="96">
        <f>IF(Z465=0,0,IF(AND(OR(f_ini="",AND(ISNUMBER(E465),E465&gt;=f_ini)),OR(f_fim="",AND(ISNUMBER(E465),E465&lt;=f_fim)),OR(f_un="",f_un="(Todas)",G465=f_un),OR(f_tr="",f_tr="(Todos)",H465=f_tr),OR(f_de="",f_de="(Todos)",I465=f_de),OR(f_sit="",f_sit="(Todas)",S465=f_sit)),1,0))</f>
        <v>0</v>
      </c>
      <c r="AY465" s="96">
        <f>IF(AX465=0,0,IF(OR(f_res="",f_res="(Todos)"),1,IF(COUNTIFS('ITENS_MTR'!$S$6:$S$1005,A465,'ITENS_MTR'!$C$6:$C$1005,f_res)&gt;0,1,0)))</f>
        <v>0</v>
      </c>
      <c r="AZ465" s="97" t="str">
        <f>IF(ISNUMBER(E465),DATE(YEAR(E465),MONTH(E465),1),"")</f>
        <v/>
      </c>
      <c r="BA465" s="96">
        <f>IF(Z465=0,0,IF(AND(OR(r_ini="",AND(ISNUMBER(E465),E465&gt;=r_ini)),OR(r_fim="",AND(ISNUMBER(E465),E465&lt;=r_fim)),OR(r_un="",r_un="(Todas)",G465=r_un),OR(r_de="",r_de="(Todos)",I465=r_de)),1,0))</f>
        <v>0</v>
      </c>
      <c r="BB465" s="96" t="str">
        <f>IF(BA465=1,COUNTIF($BA$6:BA465,1),"")</f>
        <v/>
      </c>
      <c r="BC465" s="96" t="str">
        <f>IF(AND(AU465&lt;&gt;"",OR(r_un="",r_un="(Todas)",G465=r_un),OR(r_de="",r_de="(Todos)",I465=r_de)),AU465,"")</f>
        <v/>
      </c>
      <c r="BD465" s="96" t="str">
        <f>IF(Z465=1,A465&amp;" | nº "&amp;IF(B465="","(sem número)",B465)&amp;" | "&amp;IF(G465="","(sem unidade)",G465),"")</f>
        <v/>
      </c>
      <c r="BE465" s="96" t="str">
        <f>IF(Z465=1,COUNTIF($Z$6:Z465,1),"")</f>
        <v/>
      </c>
      <c r="BF465" s="96" t="str">
        <f>IF(T465="","",IF(T465="RECEBIMENTO NÃO CONFIRMADO","Transp.: "&amp;H465&amp;" | Dest.: "&amp;I465,IF(OR(T465="CDF NÃO LOCALIZADO",T465="VÍNCULO INCOMPLETO",T465="CDF A CONFERIR"),"Dest.: "&amp;I465,"Gerador: "&amp;G465)))</f>
        <v/>
      </c>
    </row>
    <row r="466">
      <c r="A466" s="89" t="inlineStr">
        <is>
          <t>MTR-000461</t>
        </is>
      </c>
      <c r="B466" s="90" t="n"/>
      <c r="C466" s="91" t="n"/>
      <c r="D466" s="91" t="n"/>
      <c r="E466" s="92" t="n"/>
      <c r="F466" s="92" t="n"/>
      <c r="G466" s="91" t="n"/>
      <c r="H466" s="91" t="n"/>
      <c r="I466" s="91" t="n"/>
      <c r="J466" s="91" t="n"/>
      <c r="K466" s="91" t="n"/>
      <c r="L466" s="92" t="n"/>
      <c r="M466" s="91" t="n"/>
      <c r="N466" s="91" t="n"/>
      <c r="O466" s="91" t="n"/>
      <c r="P466" s="93" t="str">
        <f>IF(Z466=0,"",SUMIFS('ITENS_MTR'!$I$6:$I$1005,'ITENS_MTR'!$S$6:$S$1005,A466,'ITENS_MTR'!$Y$6:$Y$1005,1))</f>
        <v/>
      </c>
      <c r="Q466" s="93" t="str">
        <f>IF(Z466=0,"",SUMIFS('RECEBIMENTOS'!$H$6:$H$1005,'RECEBIMENTOS'!$B$6:$B$1005,A466,'RECEBIMENTOS'!$X$6:$X$1005,1))</f>
        <v/>
      </c>
      <c r="R466" s="93" t="str">
        <f>IF(Z466=0,"",SUMIFS('VÍNCULOS_CDF'!$H$6:$H$1005,'VÍNCULOS_CDF'!$D$6:$D$1005,A466,'VÍNCULOS_CDF'!$V$6:$V$1005,1))</f>
        <v/>
      </c>
      <c r="S466" s="94" t="str">
        <f>IF(Z466=0,"",IF(AA466=1,"Cancelado (informado)",IF(AE466=1,"Cadastro incompleto",IF(OR(AC466=1,AD466=1,AF466&gt;0,AH466&gt;0,AK466&gt;0,AL466&gt;0),"Informação a revisar",IF(AN466=0,"Aguardando recebimento",IF(N(R466)=0,"Aguardando CDF",IF(AJ466&lt;N(W466),"Vínculo de CDF parcial",IF(AO466=0,"CDF localizado, a conferir","Documentação conferida"))))))))</f>
        <v/>
      </c>
      <c r="T466" s="94" t="str">
        <f>IF(Z466=0,"",IF(S466="Cadastro incompleto","MTR INCOMPLETO",IF(S466="Informação a revisar",IF(AND(AH466&gt;0,AC466=0,AD466=0,AF466=0,AK466=0,AL466=0),"QUANTIDADE A REVISAR","IDENTIFICAÇÃO A REVISAR"),IF(S466="Aguardando recebimento","RECEBIMENTO NÃO CONFIRMADO",IF(S466="Aguardando CDF","CDF NÃO LOCALIZADO",IF(S466="Vínculo de CDF parcial","VÍNCULO INCOMPLETO",IF(S466="CDF localizado, a conferir","CDF A CONFERIR","")))))))</f>
        <v/>
      </c>
      <c r="U466" s="95" t="str">
        <f>IF(T466="","",IF(AQ466="","Não calculável",IF(AQ466&gt;TODAY(),"Data futura",TODAY()-AQ466)))</f>
        <v/>
      </c>
      <c r="V466" s="93" t="str">
        <f>IF(Z466=0,"",SUMIFS('RECEBIMENTOS'!$H$6:$H$1005,'RECEBIMENTOS'!$B$6:$B$1005,A466,'RECEBIMENTOS'!$Z$6:$Z$1005,1))</f>
        <v/>
      </c>
      <c r="W466" s="95" t="str">
        <f>IF(Z466=0,"",COUNTIFS('ITENS_MTR'!$S$6:$S$1005,A466,'ITENS_MTR'!$R$6:$R$1005,1))</f>
        <v/>
      </c>
      <c r="X466" s="94" t="str">
        <f>IF(AC466=1,"POSSÍVEL DUPLICIDADE","")</f>
        <v/>
      </c>
      <c r="Y466" s="94" t="str">
        <f>IF(Z466=0,"",IF(AW466="","Nenhuma",LEFT(AW466,LEN(AW466)-2)))</f>
        <v/>
      </c>
      <c r="Z466" s="96">
        <f>IF(COUNTA(B466:O466)&gt;0,1,0)</f>
        <v>0</v>
      </c>
      <c r="AA466" s="96">
        <f>IF(AND(Z466=1,K466&lt;&gt;""),IF(TRIM(K466)=TRIM(cfg_cancel),1,0),0)</f>
        <v>0</v>
      </c>
      <c r="AB466" s="96" t="str">
        <f>IF(AND(Z466=1,B466&lt;&gt;""),C466&amp;"|"&amp;D466&amp;"|"&amp;G466&amp;"|"&amp;TRIM(B466),"")</f>
        <v/>
      </c>
      <c r="AC466" s="96">
        <f>IF(AB466="",0,IF(SUMPRODUCT(--($AB$6:$AB$505=AB466))&gt;1,1,0))</f>
        <v>0</v>
      </c>
      <c r="AD466" s="96">
        <f>IF(Z466=0,0,IF(OR(AND(G466&lt;&gt;"",ISNA(MATCH(G466,'CAD_UNIDADES'!$C$6:$C$105,0))),AND(H466&lt;&gt;"",ISNA(MATCH(H466,cmp_transp,0))),AND(I466&lt;&gt;"",ISNA(MATCH(I466,cmp_dest,0))),AND(E466&lt;&gt;"",NOT(ISNUMBER(E466))),AND(F466&lt;&gt;"",NOT(ISNUMBER(F466))),AND(ISNUMBER(E466),ISNUMBER(F466),F466&lt;E466)),1,0))</f>
        <v>0</v>
      </c>
      <c r="AE466" s="96">
        <f>IF(Z466=0,0,IF(OR(B466="",C466="",E466="",G466="",H466="",I466="",N(W466)=0),1,0))</f>
        <v>0</v>
      </c>
      <c r="AF466" s="96">
        <f>IF(Z466=0,0,COUNTIFS('ITENS_MTR'!$S$6:$S$1005,A466,'ITENS_MTR'!$AI$6:$AI$1005,1))</f>
        <v>0</v>
      </c>
      <c r="AG466" s="96">
        <f>IF(Z466=0,0,COUNTIFS('ITENS_MTR'!$S$6:$S$1005,A466,'ITENS_MTR'!$AJ$6:$AJ$1005,1))</f>
        <v>0</v>
      </c>
      <c r="AH466" s="96">
        <f>IF(Z466=0,0,COUNTIFS('ITENS_MTR'!$S$6:$S$1005,A466,'ITENS_MTR'!$AM$6:$AM$1005,1))</f>
        <v>0</v>
      </c>
      <c r="AI466" s="96">
        <f>IF(Z466=0,0,COUNTIFS('ITENS_MTR'!$S$6:$S$1005,A466,'ITENS_MTR'!$AO$6:$AO$1005,1))</f>
        <v>0</v>
      </c>
      <c r="AJ466" s="96">
        <f>IF(Z466=0,0,COUNTIFS('ITENS_MTR'!$S$6:$S$1005,A466,'ITENS_MTR'!$AN$6:$AN$1005,1))</f>
        <v>0</v>
      </c>
      <c r="AK466" s="96">
        <f>IF(Z466=0,0,COUNTIFS('RECEBIMENTOS'!$B$6:$B$1005,A466,'RECEBIMENTOS'!$Y$6:$Y$1005,1))</f>
        <v>0</v>
      </c>
      <c r="AL466" s="96">
        <f>IF(Z466=0,0,COUNTIFS('VÍNCULOS_CDF'!$D$6:$D$1005,A466,'VÍNCULOS_CDF'!$Y$6:$Y$1005,1))</f>
        <v>0</v>
      </c>
      <c r="AM466" s="96">
        <f>IF(Z466=0,0,COUNTIFS('RECEBIMENTOS'!$B$6:$B$1005,A466,'RECEBIMENTOS'!$Q$6:$Q$1005,1))</f>
        <v>0</v>
      </c>
      <c r="AN466" s="96">
        <f>IF(AND(Z466=1,N(W466)&gt;0,AG466=N(W466)),1,0)</f>
        <v>0</v>
      </c>
      <c r="AO466" s="96">
        <f>IF(AND(Z466=1,N(W466)&gt;0,AI466=N(W466)),1,0)</f>
        <v>0</v>
      </c>
      <c r="AP466" s="97">
        <f>IF(Z466=0,0,_xlfn.MAXIFS('RECEBIMENTOS'!$E$6:$E$1005,'RECEBIMENTOS'!$B$6:$B$1005,A466))</f>
        <v>0</v>
      </c>
      <c r="AQ466" s="97" t="str">
        <f>IF(T466="","",IF(T466="RECEBIMENTO NÃO CONFIRMADO",IF(ISNUMBER(F466),F466,IF(ISNUMBER(E466),E466,"")),IF(OR(T466="CDF NÃO LOCALIZADO",T466="VÍNCULO INCOMPLETO",T466="CDF A CONFERIR"),IF(AP466&gt;0,AP466,IF(ISNUMBER(E466),E466,"")),IF(ISNUMBER(E466),E466,""))))</f>
        <v/>
      </c>
      <c r="AR466" s="96">
        <f>IF(NOT(ISNUMBER(U466)),0,IF(T466="RECEBIMENTO NÃO CONFIRMADO",IF(AND(ISNUMBER(cfg_rec),U466&gt;cfg_rec),1,0),IF(OR(T466="CDF NÃO LOCALIZADO",T466="VÍNCULO INCOMPLETO",T466="CDF A CONFERIR"),IF(AND(ISNUMBER(cfg_cdf),U466&gt;cfg_cdf),1,0),0)))</f>
        <v>0</v>
      </c>
      <c r="AS466" s="96" t="str">
        <f>IF(T466="","",IF(AR466=1,"Alta",IFERROR(INDEX(cfg_pp,MATCH(T466,cfg_pt,0))&amp;"","Média")))</f>
        <v/>
      </c>
      <c r="AT466" s="96" t="str">
        <f>IF(T466="","",IFERROR(INDEX(cfg_pv,MATCH(T466,cfg_pt,0))&amp;"",""))</f>
        <v/>
      </c>
      <c r="AU466" s="96" t="str">
        <f>IF(T466="","",IF(AS466="Alta",1,IF(AS466="Média",2,3))*1000000000+(999999-IF(ISNUMBER(U466),MIN(U466,999999),0))*1000+461)</f>
        <v/>
      </c>
      <c r="AV466" s="96">
        <f>IF(T466&lt;&gt;"",1,0)</f>
        <v>0</v>
      </c>
      <c r="AW466" s="96" t="str">
        <f>IF(Z466=0,"",IF(AA466=1,"Cancelamento informado; ","")&amp;IF(AE466=1,"Campos essenciais ou itens faltando; ","")&amp;IF(AC466=1,"Possível duplicidade do número; ","")&amp;IF(AD466=1,"Cadastro ou datas a revisar; ","")&amp;IF(AF466&gt;0,"Item de resíduo com dado a revisar; ","")&amp;IF(AH466&gt;0,"Diferença de quantidade a analisar; ","")&amp;IF(AK466&gt;0,"Recebimento com alerta; ","")&amp;IF(AL466&gt;0,"Vínculo de CDF com alerta; ","")&amp;IF(AND(AA466=0,AN466=0),"Recebimento não confirmado; ","")&amp;IF(AND(AA466=0,AN466=1,AO466=0),"CDF pendente ou a conferir; ",""))</f>
        <v/>
      </c>
      <c r="AX466" s="96">
        <f>IF(Z466=0,0,IF(AND(OR(f_ini="",AND(ISNUMBER(E466),E466&gt;=f_ini)),OR(f_fim="",AND(ISNUMBER(E466),E466&lt;=f_fim)),OR(f_un="",f_un="(Todas)",G466=f_un),OR(f_tr="",f_tr="(Todos)",H466=f_tr),OR(f_de="",f_de="(Todos)",I466=f_de),OR(f_sit="",f_sit="(Todas)",S466=f_sit)),1,0))</f>
        <v>0</v>
      </c>
      <c r="AY466" s="96">
        <f>IF(AX466=0,0,IF(OR(f_res="",f_res="(Todos)"),1,IF(COUNTIFS('ITENS_MTR'!$S$6:$S$1005,A466,'ITENS_MTR'!$C$6:$C$1005,f_res)&gt;0,1,0)))</f>
        <v>0</v>
      </c>
      <c r="AZ466" s="97" t="str">
        <f>IF(ISNUMBER(E466),DATE(YEAR(E466),MONTH(E466),1),"")</f>
        <v/>
      </c>
      <c r="BA466" s="96">
        <f>IF(Z466=0,0,IF(AND(OR(r_ini="",AND(ISNUMBER(E466),E466&gt;=r_ini)),OR(r_fim="",AND(ISNUMBER(E466),E466&lt;=r_fim)),OR(r_un="",r_un="(Todas)",G466=r_un),OR(r_de="",r_de="(Todos)",I466=r_de)),1,0))</f>
        <v>0</v>
      </c>
      <c r="BB466" s="96" t="str">
        <f>IF(BA466=1,COUNTIF($BA$6:BA466,1),"")</f>
        <v/>
      </c>
      <c r="BC466" s="96" t="str">
        <f>IF(AND(AU466&lt;&gt;"",OR(r_un="",r_un="(Todas)",G466=r_un),OR(r_de="",r_de="(Todos)",I466=r_de)),AU466,"")</f>
        <v/>
      </c>
      <c r="BD466" s="96" t="str">
        <f>IF(Z466=1,A466&amp;" | nº "&amp;IF(B466="","(sem número)",B466)&amp;" | "&amp;IF(G466="","(sem unidade)",G466),"")</f>
        <v/>
      </c>
      <c r="BE466" s="96" t="str">
        <f>IF(Z466=1,COUNTIF($Z$6:Z466,1),"")</f>
        <v/>
      </c>
      <c r="BF466" s="96" t="str">
        <f>IF(T466="","",IF(T466="RECEBIMENTO NÃO CONFIRMADO","Transp.: "&amp;H466&amp;" | Dest.: "&amp;I466,IF(OR(T466="CDF NÃO LOCALIZADO",T466="VÍNCULO INCOMPLETO",T466="CDF A CONFERIR"),"Dest.: "&amp;I466,"Gerador: "&amp;G466)))</f>
        <v/>
      </c>
    </row>
    <row r="467">
      <c r="A467" s="89" t="inlineStr">
        <is>
          <t>MTR-000462</t>
        </is>
      </c>
      <c r="B467" s="90" t="n"/>
      <c r="C467" s="91" t="n"/>
      <c r="D467" s="91" t="n"/>
      <c r="E467" s="92" t="n"/>
      <c r="F467" s="92" t="n"/>
      <c r="G467" s="91" t="n"/>
      <c r="H467" s="91" t="n"/>
      <c r="I467" s="91" t="n"/>
      <c r="J467" s="91" t="n"/>
      <c r="K467" s="91" t="n"/>
      <c r="L467" s="92" t="n"/>
      <c r="M467" s="91" t="n"/>
      <c r="N467" s="91" t="n"/>
      <c r="O467" s="91" t="n"/>
      <c r="P467" s="93" t="str">
        <f>IF(Z467=0,"",SUMIFS('ITENS_MTR'!$I$6:$I$1005,'ITENS_MTR'!$S$6:$S$1005,A467,'ITENS_MTR'!$Y$6:$Y$1005,1))</f>
        <v/>
      </c>
      <c r="Q467" s="93" t="str">
        <f>IF(Z467=0,"",SUMIFS('RECEBIMENTOS'!$H$6:$H$1005,'RECEBIMENTOS'!$B$6:$B$1005,A467,'RECEBIMENTOS'!$X$6:$X$1005,1))</f>
        <v/>
      </c>
      <c r="R467" s="93" t="str">
        <f>IF(Z467=0,"",SUMIFS('VÍNCULOS_CDF'!$H$6:$H$1005,'VÍNCULOS_CDF'!$D$6:$D$1005,A467,'VÍNCULOS_CDF'!$V$6:$V$1005,1))</f>
        <v/>
      </c>
      <c r="S467" s="94" t="str">
        <f>IF(Z467=0,"",IF(AA467=1,"Cancelado (informado)",IF(AE467=1,"Cadastro incompleto",IF(OR(AC467=1,AD467=1,AF467&gt;0,AH467&gt;0,AK467&gt;0,AL467&gt;0),"Informação a revisar",IF(AN467=0,"Aguardando recebimento",IF(N(R467)=0,"Aguardando CDF",IF(AJ467&lt;N(W467),"Vínculo de CDF parcial",IF(AO467=0,"CDF localizado, a conferir","Documentação conferida"))))))))</f>
        <v/>
      </c>
      <c r="T467" s="94" t="str">
        <f>IF(Z467=0,"",IF(S467="Cadastro incompleto","MTR INCOMPLETO",IF(S467="Informação a revisar",IF(AND(AH467&gt;0,AC467=0,AD467=0,AF467=0,AK467=0,AL467=0),"QUANTIDADE A REVISAR","IDENTIFICAÇÃO A REVISAR"),IF(S467="Aguardando recebimento","RECEBIMENTO NÃO CONFIRMADO",IF(S467="Aguardando CDF","CDF NÃO LOCALIZADO",IF(S467="Vínculo de CDF parcial","VÍNCULO INCOMPLETO",IF(S467="CDF localizado, a conferir","CDF A CONFERIR","")))))))</f>
        <v/>
      </c>
      <c r="U467" s="95" t="str">
        <f>IF(T467="","",IF(AQ467="","Não calculável",IF(AQ467&gt;TODAY(),"Data futura",TODAY()-AQ467)))</f>
        <v/>
      </c>
      <c r="V467" s="93" t="str">
        <f>IF(Z467=0,"",SUMIFS('RECEBIMENTOS'!$H$6:$H$1005,'RECEBIMENTOS'!$B$6:$B$1005,A467,'RECEBIMENTOS'!$Z$6:$Z$1005,1))</f>
        <v/>
      </c>
      <c r="W467" s="95" t="str">
        <f>IF(Z467=0,"",COUNTIFS('ITENS_MTR'!$S$6:$S$1005,A467,'ITENS_MTR'!$R$6:$R$1005,1))</f>
        <v/>
      </c>
      <c r="X467" s="94" t="str">
        <f>IF(AC467=1,"POSSÍVEL DUPLICIDADE","")</f>
        <v/>
      </c>
      <c r="Y467" s="94" t="str">
        <f>IF(Z467=0,"",IF(AW467="","Nenhuma",LEFT(AW467,LEN(AW467)-2)))</f>
        <v/>
      </c>
      <c r="Z467" s="96">
        <f>IF(COUNTA(B467:O467)&gt;0,1,0)</f>
        <v>0</v>
      </c>
      <c r="AA467" s="96">
        <f>IF(AND(Z467=1,K467&lt;&gt;""),IF(TRIM(K467)=TRIM(cfg_cancel),1,0),0)</f>
        <v>0</v>
      </c>
      <c r="AB467" s="96" t="str">
        <f>IF(AND(Z467=1,B467&lt;&gt;""),C467&amp;"|"&amp;D467&amp;"|"&amp;G467&amp;"|"&amp;TRIM(B467),"")</f>
        <v/>
      </c>
      <c r="AC467" s="96">
        <f>IF(AB467="",0,IF(SUMPRODUCT(--($AB$6:$AB$505=AB467))&gt;1,1,0))</f>
        <v>0</v>
      </c>
      <c r="AD467" s="96">
        <f>IF(Z467=0,0,IF(OR(AND(G467&lt;&gt;"",ISNA(MATCH(G467,'CAD_UNIDADES'!$C$6:$C$105,0))),AND(H467&lt;&gt;"",ISNA(MATCH(H467,cmp_transp,0))),AND(I467&lt;&gt;"",ISNA(MATCH(I467,cmp_dest,0))),AND(E467&lt;&gt;"",NOT(ISNUMBER(E467))),AND(F467&lt;&gt;"",NOT(ISNUMBER(F467))),AND(ISNUMBER(E467),ISNUMBER(F467),F467&lt;E467)),1,0))</f>
        <v>0</v>
      </c>
      <c r="AE467" s="96">
        <f>IF(Z467=0,0,IF(OR(B467="",C467="",E467="",G467="",H467="",I467="",N(W467)=0),1,0))</f>
        <v>0</v>
      </c>
      <c r="AF467" s="96">
        <f>IF(Z467=0,0,COUNTIFS('ITENS_MTR'!$S$6:$S$1005,A467,'ITENS_MTR'!$AI$6:$AI$1005,1))</f>
        <v>0</v>
      </c>
      <c r="AG467" s="96">
        <f>IF(Z467=0,0,COUNTIFS('ITENS_MTR'!$S$6:$S$1005,A467,'ITENS_MTR'!$AJ$6:$AJ$1005,1))</f>
        <v>0</v>
      </c>
      <c r="AH467" s="96">
        <f>IF(Z467=0,0,COUNTIFS('ITENS_MTR'!$S$6:$S$1005,A467,'ITENS_MTR'!$AM$6:$AM$1005,1))</f>
        <v>0</v>
      </c>
      <c r="AI467" s="96">
        <f>IF(Z467=0,0,COUNTIFS('ITENS_MTR'!$S$6:$S$1005,A467,'ITENS_MTR'!$AO$6:$AO$1005,1))</f>
        <v>0</v>
      </c>
      <c r="AJ467" s="96">
        <f>IF(Z467=0,0,COUNTIFS('ITENS_MTR'!$S$6:$S$1005,A467,'ITENS_MTR'!$AN$6:$AN$1005,1))</f>
        <v>0</v>
      </c>
      <c r="AK467" s="96">
        <f>IF(Z467=0,0,COUNTIFS('RECEBIMENTOS'!$B$6:$B$1005,A467,'RECEBIMENTOS'!$Y$6:$Y$1005,1))</f>
        <v>0</v>
      </c>
      <c r="AL467" s="96">
        <f>IF(Z467=0,0,COUNTIFS('VÍNCULOS_CDF'!$D$6:$D$1005,A467,'VÍNCULOS_CDF'!$Y$6:$Y$1005,1))</f>
        <v>0</v>
      </c>
      <c r="AM467" s="96">
        <f>IF(Z467=0,0,COUNTIFS('RECEBIMENTOS'!$B$6:$B$1005,A467,'RECEBIMENTOS'!$Q$6:$Q$1005,1))</f>
        <v>0</v>
      </c>
      <c r="AN467" s="96">
        <f>IF(AND(Z467=1,N(W467)&gt;0,AG467=N(W467)),1,0)</f>
        <v>0</v>
      </c>
      <c r="AO467" s="96">
        <f>IF(AND(Z467=1,N(W467)&gt;0,AI467=N(W467)),1,0)</f>
        <v>0</v>
      </c>
      <c r="AP467" s="97">
        <f>IF(Z467=0,0,_xlfn.MAXIFS('RECEBIMENTOS'!$E$6:$E$1005,'RECEBIMENTOS'!$B$6:$B$1005,A467))</f>
        <v>0</v>
      </c>
      <c r="AQ467" s="97" t="str">
        <f>IF(T467="","",IF(T467="RECEBIMENTO NÃO CONFIRMADO",IF(ISNUMBER(F467),F467,IF(ISNUMBER(E467),E467,"")),IF(OR(T467="CDF NÃO LOCALIZADO",T467="VÍNCULO INCOMPLETO",T467="CDF A CONFERIR"),IF(AP467&gt;0,AP467,IF(ISNUMBER(E467),E467,"")),IF(ISNUMBER(E467),E467,""))))</f>
        <v/>
      </c>
      <c r="AR467" s="96">
        <f>IF(NOT(ISNUMBER(U467)),0,IF(T467="RECEBIMENTO NÃO CONFIRMADO",IF(AND(ISNUMBER(cfg_rec),U467&gt;cfg_rec),1,0),IF(OR(T467="CDF NÃO LOCALIZADO",T467="VÍNCULO INCOMPLETO",T467="CDF A CONFERIR"),IF(AND(ISNUMBER(cfg_cdf),U467&gt;cfg_cdf),1,0),0)))</f>
        <v>0</v>
      </c>
      <c r="AS467" s="96" t="str">
        <f>IF(T467="","",IF(AR467=1,"Alta",IFERROR(INDEX(cfg_pp,MATCH(T467,cfg_pt,0))&amp;"","Média")))</f>
        <v/>
      </c>
      <c r="AT467" s="96" t="str">
        <f>IF(T467="","",IFERROR(INDEX(cfg_pv,MATCH(T467,cfg_pt,0))&amp;"",""))</f>
        <v/>
      </c>
      <c r="AU467" s="96" t="str">
        <f>IF(T467="","",IF(AS467="Alta",1,IF(AS467="Média",2,3))*1000000000+(999999-IF(ISNUMBER(U467),MIN(U467,999999),0))*1000+462)</f>
        <v/>
      </c>
      <c r="AV467" s="96">
        <f>IF(T467&lt;&gt;"",1,0)</f>
        <v>0</v>
      </c>
      <c r="AW467" s="96" t="str">
        <f>IF(Z467=0,"",IF(AA467=1,"Cancelamento informado; ","")&amp;IF(AE467=1,"Campos essenciais ou itens faltando; ","")&amp;IF(AC467=1,"Possível duplicidade do número; ","")&amp;IF(AD467=1,"Cadastro ou datas a revisar; ","")&amp;IF(AF467&gt;0,"Item de resíduo com dado a revisar; ","")&amp;IF(AH467&gt;0,"Diferença de quantidade a analisar; ","")&amp;IF(AK467&gt;0,"Recebimento com alerta; ","")&amp;IF(AL467&gt;0,"Vínculo de CDF com alerta; ","")&amp;IF(AND(AA467=0,AN467=0),"Recebimento não confirmado; ","")&amp;IF(AND(AA467=0,AN467=1,AO467=0),"CDF pendente ou a conferir; ",""))</f>
        <v/>
      </c>
      <c r="AX467" s="96">
        <f>IF(Z467=0,0,IF(AND(OR(f_ini="",AND(ISNUMBER(E467),E467&gt;=f_ini)),OR(f_fim="",AND(ISNUMBER(E467),E467&lt;=f_fim)),OR(f_un="",f_un="(Todas)",G467=f_un),OR(f_tr="",f_tr="(Todos)",H467=f_tr),OR(f_de="",f_de="(Todos)",I467=f_de),OR(f_sit="",f_sit="(Todas)",S467=f_sit)),1,0))</f>
        <v>0</v>
      </c>
      <c r="AY467" s="96">
        <f>IF(AX467=0,0,IF(OR(f_res="",f_res="(Todos)"),1,IF(COUNTIFS('ITENS_MTR'!$S$6:$S$1005,A467,'ITENS_MTR'!$C$6:$C$1005,f_res)&gt;0,1,0)))</f>
        <v>0</v>
      </c>
      <c r="AZ467" s="97" t="str">
        <f>IF(ISNUMBER(E467),DATE(YEAR(E467),MONTH(E467),1),"")</f>
        <v/>
      </c>
      <c r="BA467" s="96">
        <f>IF(Z467=0,0,IF(AND(OR(r_ini="",AND(ISNUMBER(E467),E467&gt;=r_ini)),OR(r_fim="",AND(ISNUMBER(E467),E467&lt;=r_fim)),OR(r_un="",r_un="(Todas)",G467=r_un),OR(r_de="",r_de="(Todos)",I467=r_de)),1,0))</f>
        <v>0</v>
      </c>
      <c r="BB467" s="96" t="str">
        <f>IF(BA467=1,COUNTIF($BA$6:BA467,1),"")</f>
        <v/>
      </c>
      <c r="BC467" s="96" t="str">
        <f>IF(AND(AU467&lt;&gt;"",OR(r_un="",r_un="(Todas)",G467=r_un),OR(r_de="",r_de="(Todos)",I467=r_de)),AU467,"")</f>
        <v/>
      </c>
      <c r="BD467" s="96" t="str">
        <f>IF(Z467=1,A467&amp;" | nº "&amp;IF(B467="","(sem número)",B467)&amp;" | "&amp;IF(G467="","(sem unidade)",G467),"")</f>
        <v/>
      </c>
      <c r="BE467" s="96" t="str">
        <f>IF(Z467=1,COUNTIF($Z$6:Z467,1),"")</f>
        <v/>
      </c>
      <c r="BF467" s="96" t="str">
        <f>IF(T467="","",IF(T467="RECEBIMENTO NÃO CONFIRMADO","Transp.: "&amp;H467&amp;" | Dest.: "&amp;I467,IF(OR(T467="CDF NÃO LOCALIZADO",T467="VÍNCULO INCOMPLETO",T467="CDF A CONFERIR"),"Dest.: "&amp;I467,"Gerador: "&amp;G467)))</f>
        <v/>
      </c>
    </row>
    <row r="468">
      <c r="A468" s="89" t="inlineStr">
        <is>
          <t>MTR-000463</t>
        </is>
      </c>
      <c r="B468" s="90" t="n"/>
      <c r="C468" s="91" t="n"/>
      <c r="D468" s="91" t="n"/>
      <c r="E468" s="92" t="n"/>
      <c r="F468" s="92" t="n"/>
      <c r="G468" s="91" t="n"/>
      <c r="H468" s="91" t="n"/>
      <c r="I468" s="91" t="n"/>
      <c r="J468" s="91" t="n"/>
      <c r="K468" s="91" t="n"/>
      <c r="L468" s="92" t="n"/>
      <c r="M468" s="91" t="n"/>
      <c r="N468" s="91" t="n"/>
      <c r="O468" s="91" t="n"/>
      <c r="P468" s="93" t="str">
        <f>IF(Z468=0,"",SUMIFS('ITENS_MTR'!$I$6:$I$1005,'ITENS_MTR'!$S$6:$S$1005,A468,'ITENS_MTR'!$Y$6:$Y$1005,1))</f>
        <v/>
      </c>
      <c r="Q468" s="93" t="str">
        <f>IF(Z468=0,"",SUMIFS('RECEBIMENTOS'!$H$6:$H$1005,'RECEBIMENTOS'!$B$6:$B$1005,A468,'RECEBIMENTOS'!$X$6:$X$1005,1))</f>
        <v/>
      </c>
      <c r="R468" s="93" t="str">
        <f>IF(Z468=0,"",SUMIFS('VÍNCULOS_CDF'!$H$6:$H$1005,'VÍNCULOS_CDF'!$D$6:$D$1005,A468,'VÍNCULOS_CDF'!$V$6:$V$1005,1))</f>
        <v/>
      </c>
      <c r="S468" s="94" t="str">
        <f>IF(Z468=0,"",IF(AA468=1,"Cancelado (informado)",IF(AE468=1,"Cadastro incompleto",IF(OR(AC468=1,AD468=1,AF468&gt;0,AH468&gt;0,AK468&gt;0,AL468&gt;0),"Informação a revisar",IF(AN468=0,"Aguardando recebimento",IF(N(R468)=0,"Aguardando CDF",IF(AJ468&lt;N(W468),"Vínculo de CDF parcial",IF(AO468=0,"CDF localizado, a conferir","Documentação conferida"))))))))</f>
        <v/>
      </c>
      <c r="T468" s="94" t="str">
        <f>IF(Z468=0,"",IF(S468="Cadastro incompleto","MTR INCOMPLETO",IF(S468="Informação a revisar",IF(AND(AH468&gt;0,AC468=0,AD468=0,AF468=0,AK468=0,AL468=0),"QUANTIDADE A REVISAR","IDENTIFICAÇÃO A REVISAR"),IF(S468="Aguardando recebimento","RECEBIMENTO NÃO CONFIRMADO",IF(S468="Aguardando CDF","CDF NÃO LOCALIZADO",IF(S468="Vínculo de CDF parcial","VÍNCULO INCOMPLETO",IF(S468="CDF localizado, a conferir","CDF A CONFERIR","")))))))</f>
        <v/>
      </c>
      <c r="U468" s="95" t="str">
        <f>IF(T468="","",IF(AQ468="","Não calculável",IF(AQ468&gt;TODAY(),"Data futura",TODAY()-AQ468)))</f>
        <v/>
      </c>
      <c r="V468" s="93" t="str">
        <f>IF(Z468=0,"",SUMIFS('RECEBIMENTOS'!$H$6:$H$1005,'RECEBIMENTOS'!$B$6:$B$1005,A468,'RECEBIMENTOS'!$Z$6:$Z$1005,1))</f>
        <v/>
      </c>
      <c r="W468" s="95" t="str">
        <f>IF(Z468=0,"",COUNTIFS('ITENS_MTR'!$S$6:$S$1005,A468,'ITENS_MTR'!$R$6:$R$1005,1))</f>
        <v/>
      </c>
      <c r="X468" s="94" t="str">
        <f>IF(AC468=1,"POSSÍVEL DUPLICIDADE","")</f>
        <v/>
      </c>
      <c r="Y468" s="94" t="str">
        <f>IF(Z468=0,"",IF(AW468="","Nenhuma",LEFT(AW468,LEN(AW468)-2)))</f>
        <v/>
      </c>
      <c r="Z468" s="96">
        <f>IF(COUNTA(B468:O468)&gt;0,1,0)</f>
        <v>0</v>
      </c>
      <c r="AA468" s="96">
        <f>IF(AND(Z468=1,K468&lt;&gt;""),IF(TRIM(K468)=TRIM(cfg_cancel),1,0),0)</f>
        <v>0</v>
      </c>
      <c r="AB468" s="96" t="str">
        <f>IF(AND(Z468=1,B468&lt;&gt;""),C468&amp;"|"&amp;D468&amp;"|"&amp;G468&amp;"|"&amp;TRIM(B468),"")</f>
        <v/>
      </c>
      <c r="AC468" s="96">
        <f>IF(AB468="",0,IF(SUMPRODUCT(--($AB$6:$AB$505=AB468))&gt;1,1,0))</f>
        <v>0</v>
      </c>
      <c r="AD468" s="96">
        <f>IF(Z468=0,0,IF(OR(AND(G468&lt;&gt;"",ISNA(MATCH(G468,'CAD_UNIDADES'!$C$6:$C$105,0))),AND(H468&lt;&gt;"",ISNA(MATCH(H468,cmp_transp,0))),AND(I468&lt;&gt;"",ISNA(MATCH(I468,cmp_dest,0))),AND(E468&lt;&gt;"",NOT(ISNUMBER(E468))),AND(F468&lt;&gt;"",NOT(ISNUMBER(F468))),AND(ISNUMBER(E468),ISNUMBER(F468),F468&lt;E468)),1,0))</f>
        <v>0</v>
      </c>
      <c r="AE468" s="96">
        <f>IF(Z468=0,0,IF(OR(B468="",C468="",E468="",G468="",H468="",I468="",N(W468)=0),1,0))</f>
        <v>0</v>
      </c>
      <c r="AF468" s="96">
        <f>IF(Z468=0,0,COUNTIFS('ITENS_MTR'!$S$6:$S$1005,A468,'ITENS_MTR'!$AI$6:$AI$1005,1))</f>
        <v>0</v>
      </c>
      <c r="AG468" s="96">
        <f>IF(Z468=0,0,COUNTIFS('ITENS_MTR'!$S$6:$S$1005,A468,'ITENS_MTR'!$AJ$6:$AJ$1005,1))</f>
        <v>0</v>
      </c>
      <c r="AH468" s="96">
        <f>IF(Z468=0,0,COUNTIFS('ITENS_MTR'!$S$6:$S$1005,A468,'ITENS_MTR'!$AM$6:$AM$1005,1))</f>
        <v>0</v>
      </c>
      <c r="AI468" s="96">
        <f>IF(Z468=0,0,COUNTIFS('ITENS_MTR'!$S$6:$S$1005,A468,'ITENS_MTR'!$AO$6:$AO$1005,1))</f>
        <v>0</v>
      </c>
      <c r="AJ468" s="96">
        <f>IF(Z468=0,0,COUNTIFS('ITENS_MTR'!$S$6:$S$1005,A468,'ITENS_MTR'!$AN$6:$AN$1005,1))</f>
        <v>0</v>
      </c>
      <c r="AK468" s="96">
        <f>IF(Z468=0,0,COUNTIFS('RECEBIMENTOS'!$B$6:$B$1005,A468,'RECEBIMENTOS'!$Y$6:$Y$1005,1))</f>
        <v>0</v>
      </c>
      <c r="AL468" s="96">
        <f>IF(Z468=0,0,COUNTIFS('VÍNCULOS_CDF'!$D$6:$D$1005,A468,'VÍNCULOS_CDF'!$Y$6:$Y$1005,1))</f>
        <v>0</v>
      </c>
      <c r="AM468" s="96">
        <f>IF(Z468=0,0,COUNTIFS('RECEBIMENTOS'!$B$6:$B$1005,A468,'RECEBIMENTOS'!$Q$6:$Q$1005,1))</f>
        <v>0</v>
      </c>
      <c r="AN468" s="96">
        <f>IF(AND(Z468=1,N(W468)&gt;0,AG468=N(W468)),1,0)</f>
        <v>0</v>
      </c>
      <c r="AO468" s="96">
        <f>IF(AND(Z468=1,N(W468)&gt;0,AI468=N(W468)),1,0)</f>
        <v>0</v>
      </c>
      <c r="AP468" s="97">
        <f>IF(Z468=0,0,_xlfn.MAXIFS('RECEBIMENTOS'!$E$6:$E$1005,'RECEBIMENTOS'!$B$6:$B$1005,A468))</f>
        <v>0</v>
      </c>
      <c r="AQ468" s="97" t="str">
        <f>IF(T468="","",IF(T468="RECEBIMENTO NÃO CONFIRMADO",IF(ISNUMBER(F468),F468,IF(ISNUMBER(E468),E468,"")),IF(OR(T468="CDF NÃO LOCALIZADO",T468="VÍNCULO INCOMPLETO",T468="CDF A CONFERIR"),IF(AP468&gt;0,AP468,IF(ISNUMBER(E468),E468,"")),IF(ISNUMBER(E468),E468,""))))</f>
        <v/>
      </c>
      <c r="AR468" s="96">
        <f>IF(NOT(ISNUMBER(U468)),0,IF(T468="RECEBIMENTO NÃO CONFIRMADO",IF(AND(ISNUMBER(cfg_rec),U468&gt;cfg_rec),1,0),IF(OR(T468="CDF NÃO LOCALIZADO",T468="VÍNCULO INCOMPLETO",T468="CDF A CONFERIR"),IF(AND(ISNUMBER(cfg_cdf),U468&gt;cfg_cdf),1,0),0)))</f>
        <v>0</v>
      </c>
      <c r="AS468" s="96" t="str">
        <f>IF(T468="","",IF(AR468=1,"Alta",IFERROR(INDEX(cfg_pp,MATCH(T468,cfg_pt,0))&amp;"","Média")))</f>
        <v/>
      </c>
      <c r="AT468" s="96" t="str">
        <f>IF(T468="","",IFERROR(INDEX(cfg_pv,MATCH(T468,cfg_pt,0))&amp;"",""))</f>
        <v/>
      </c>
      <c r="AU468" s="96" t="str">
        <f>IF(T468="","",IF(AS468="Alta",1,IF(AS468="Média",2,3))*1000000000+(999999-IF(ISNUMBER(U468),MIN(U468,999999),0))*1000+463)</f>
        <v/>
      </c>
      <c r="AV468" s="96">
        <f>IF(T468&lt;&gt;"",1,0)</f>
        <v>0</v>
      </c>
      <c r="AW468" s="96" t="str">
        <f>IF(Z468=0,"",IF(AA468=1,"Cancelamento informado; ","")&amp;IF(AE468=1,"Campos essenciais ou itens faltando; ","")&amp;IF(AC468=1,"Possível duplicidade do número; ","")&amp;IF(AD468=1,"Cadastro ou datas a revisar; ","")&amp;IF(AF468&gt;0,"Item de resíduo com dado a revisar; ","")&amp;IF(AH468&gt;0,"Diferença de quantidade a analisar; ","")&amp;IF(AK468&gt;0,"Recebimento com alerta; ","")&amp;IF(AL468&gt;0,"Vínculo de CDF com alerta; ","")&amp;IF(AND(AA468=0,AN468=0),"Recebimento não confirmado; ","")&amp;IF(AND(AA468=0,AN468=1,AO468=0),"CDF pendente ou a conferir; ",""))</f>
        <v/>
      </c>
      <c r="AX468" s="96">
        <f>IF(Z468=0,0,IF(AND(OR(f_ini="",AND(ISNUMBER(E468),E468&gt;=f_ini)),OR(f_fim="",AND(ISNUMBER(E468),E468&lt;=f_fim)),OR(f_un="",f_un="(Todas)",G468=f_un),OR(f_tr="",f_tr="(Todos)",H468=f_tr),OR(f_de="",f_de="(Todos)",I468=f_de),OR(f_sit="",f_sit="(Todas)",S468=f_sit)),1,0))</f>
        <v>0</v>
      </c>
      <c r="AY468" s="96">
        <f>IF(AX468=0,0,IF(OR(f_res="",f_res="(Todos)"),1,IF(COUNTIFS('ITENS_MTR'!$S$6:$S$1005,A468,'ITENS_MTR'!$C$6:$C$1005,f_res)&gt;0,1,0)))</f>
        <v>0</v>
      </c>
      <c r="AZ468" s="97" t="str">
        <f>IF(ISNUMBER(E468),DATE(YEAR(E468),MONTH(E468),1),"")</f>
        <v/>
      </c>
      <c r="BA468" s="96">
        <f>IF(Z468=0,0,IF(AND(OR(r_ini="",AND(ISNUMBER(E468),E468&gt;=r_ini)),OR(r_fim="",AND(ISNUMBER(E468),E468&lt;=r_fim)),OR(r_un="",r_un="(Todas)",G468=r_un),OR(r_de="",r_de="(Todos)",I468=r_de)),1,0))</f>
        <v>0</v>
      </c>
      <c r="BB468" s="96" t="str">
        <f>IF(BA468=1,COUNTIF($BA$6:BA468,1),"")</f>
        <v/>
      </c>
      <c r="BC468" s="96" t="str">
        <f>IF(AND(AU468&lt;&gt;"",OR(r_un="",r_un="(Todas)",G468=r_un),OR(r_de="",r_de="(Todos)",I468=r_de)),AU468,"")</f>
        <v/>
      </c>
      <c r="BD468" s="96" t="str">
        <f>IF(Z468=1,A468&amp;" | nº "&amp;IF(B468="","(sem número)",B468)&amp;" | "&amp;IF(G468="","(sem unidade)",G468),"")</f>
        <v/>
      </c>
      <c r="BE468" s="96" t="str">
        <f>IF(Z468=1,COUNTIF($Z$6:Z468,1),"")</f>
        <v/>
      </c>
      <c r="BF468" s="96" t="str">
        <f>IF(T468="","",IF(T468="RECEBIMENTO NÃO CONFIRMADO","Transp.: "&amp;H468&amp;" | Dest.: "&amp;I468,IF(OR(T468="CDF NÃO LOCALIZADO",T468="VÍNCULO INCOMPLETO",T468="CDF A CONFERIR"),"Dest.: "&amp;I468,"Gerador: "&amp;G468)))</f>
        <v/>
      </c>
    </row>
    <row r="469">
      <c r="A469" s="89" t="inlineStr">
        <is>
          <t>MTR-000464</t>
        </is>
      </c>
      <c r="B469" s="90" t="n"/>
      <c r="C469" s="91" t="n"/>
      <c r="D469" s="91" t="n"/>
      <c r="E469" s="92" t="n"/>
      <c r="F469" s="92" t="n"/>
      <c r="G469" s="91" t="n"/>
      <c r="H469" s="91" t="n"/>
      <c r="I469" s="91" t="n"/>
      <c r="J469" s="91" t="n"/>
      <c r="K469" s="91" t="n"/>
      <c r="L469" s="92" t="n"/>
      <c r="M469" s="91" t="n"/>
      <c r="N469" s="91" t="n"/>
      <c r="O469" s="91" t="n"/>
      <c r="P469" s="93" t="str">
        <f>IF(Z469=0,"",SUMIFS('ITENS_MTR'!$I$6:$I$1005,'ITENS_MTR'!$S$6:$S$1005,A469,'ITENS_MTR'!$Y$6:$Y$1005,1))</f>
        <v/>
      </c>
      <c r="Q469" s="93" t="str">
        <f>IF(Z469=0,"",SUMIFS('RECEBIMENTOS'!$H$6:$H$1005,'RECEBIMENTOS'!$B$6:$B$1005,A469,'RECEBIMENTOS'!$X$6:$X$1005,1))</f>
        <v/>
      </c>
      <c r="R469" s="93" t="str">
        <f>IF(Z469=0,"",SUMIFS('VÍNCULOS_CDF'!$H$6:$H$1005,'VÍNCULOS_CDF'!$D$6:$D$1005,A469,'VÍNCULOS_CDF'!$V$6:$V$1005,1))</f>
        <v/>
      </c>
      <c r="S469" s="94" t="str">
        <f>IF(Z469=0,"",IF(AA469=1,"Cancelado (informado)",IF(AE469=1,"Cadastro incompleto",IF(OR(AC469=1,AD469=1,AF469&gt;0,AH469&gt;0,AK469&gt;0,AL469&gt;0),"Informação a revisar",IF(AN469=0,"Aguardando recebimento",IF(N(R469)=0,"Aguardando CDF",IF(AJ469&lt;N(W469),"Vínculo de CDF parcial",IF(AO469=0,"CDF localizado, a conferir","Documentação conferida"))))))))</f>
        <v/>
      </c>
      <c r="T469" s="94" t="str">
        <f>IF(Z469=0,"",IF(S469="Cadastro incompleto","MTR INCOMPLETO",IF(S469="Informação a revisar",IF(AND(AH469&gt;0,AC469=0,AD469=0,AF469=0,AK469=0,AL469=0),"QUANTIDADE A REVISAR","IDENTIFICAÇÃO A REVISAR"),IF(S469="Aguardando recebimento","RECEBIMENTO NÃO CONFIRMADO",IF(S469="Aguardando CDF","CDF NÃO LOCALIZADO",IF(S469="Vínculo de CDF parcial","VÍNCULO INCOMPLETO",IF(S469="CDF localizado, a conferir","CDF A CONFERIR","")))))))</f>
        <v/>
      </c>
      <c r="U469" s="95" t="str">
        <f>IF(T469="","",IF(AQ469="","Não calculável",IF(AQ469&gt;TODAY(),"Data futura",TODAY()-AQ469)))</f>
        <v/>
      </c>
      <c r="V469" s="93" t="str">
        <f>IF(Z469=0,"",SUMIFS('RECEBIMENTOS'!$H$6:$H$1005,'RECEBIMENTOS'!$B$6:$B$1005,A469,'RECEBIMENTOS'!$Z$6:$Z$1005,1))</f>
        <v/>
      </c>
      <c r="W469" s="95" t="str">
        <f>IF(Z469=0,"",COUNTIFS('ITENS_MTR'!$S$6:$S$1005,A469,'ITENS_MTR'!$R$6:$R$1005,1))</f>
        <v/>
      </c>
      <c r="X469" s="94" t="str">
        <f>IF(AC469=1,"POSSÍVEL DUPLICIDADE","")</f>
        <v/>
      </c>
      <c r="Y469" s="94" t="str">
        <f>IF(Z469=0,"",IF(AW469="","Nenhuma",LEFT(AW469,LEN(AW469)-2)))</f>
        <v/>
      </c>
      <c r="Z469" s="96">
        <f>IF(COUNTA(B469:O469)&gt;0,1,0)</f>
        <v>0</v>
      </c>
      <c r="AA469" s="96">
        <f>IF(AND(Z469=1,K469&lt;&gt;""),IF(TRIM(K469)=TRIM(cfg_cancel),1,0),0)</f>
        <v>0</v>
      </c>
      <c r="AB469" s="96" t="str">
        <f>IF(AND(Z469=1,B469&lt;&gt;""),C469&amp;"|"&amp;D469&amp;"|"&amp;G469&amp;"|"&amp;TRIM(B469),"")</f>
        <v/>
      </c>
      <c r="AC469" s="96">
        <f>IF(AB469="",0,IF(SUMPRODUCT(--($AB$6:$AB$505=AB469))&gt;1,1,0))</f>
        <v>0</v>
      </c>
      <c r="AD469" s="96">
        <f>IF(Z469=0,0,IF(OR(AND(G469&lt;&gt;"",ISNA(MATCH(G469,'CAD_UNIDADES'!$C$6:$C$105,0))),AND(H469&lt;&gt;"",ISNA(MATCH(H469,cmp_transp,0))),AND(I469&lt;&gt;"",ISNA(MATCH(I469,cmp_dest,0))),AND(E469&lt;&gt;"",NOT(ISNUMBER(E469))),AND(F469&lt;&gt;"",NOT(ISNUMBER(F469))),AND(ISNUMBER(E469),ISNUMBER(F469),F469&lt;E469)),1,0))</f>
        <v>0</v>
      </c>
      <c r="AE469" s="96">
        <f>IF(Z469=0,0,IF(OR(B469="",C469="",E469="",G469="",H469="",I469="",N(W469)=0),1,0))</f>
        <v>0</v>
      </c>
      <c r="AF469" s="96">
        <f>IF(Z469=0,0,COUNTIFS('ITENS_MTR'!$S$6:$S$1005,A469,'ITENS_MTR'!$AI$6:$AI$1005,1))</f>
        <v>0</v>
      </c>
      <c r="AG469" s="96">
        <f>IF(Z469=0,0,COUNTIFS('ITENS_MTR'!$S$6:$S$1005,A469,'ITENS_MTR'!$AJ$6:$AJ$1005,1))</f>
        <v>0</v>
      </c>
      <c r="AH469" s="96">
        <f>IF(Z469=0,0,COUNTIFS('ITENS_MTR'!$S$6:$S$1005,A469,'ITENS_MTR'!$AM$6:$AM$1005,1))</f>
        <v>0</v>
      </c>
      <c r="AI469" s="96">
        <f>IF(Z469=0,0,COUNTIFS('ITENS_MTR'!$S$6:$S$1005,A469,'ITENS_MTR'!$AO$6:$AO$1005,1))</f>
        <v>0</v>
      </c>
      <c r="AJ469" s="96">
        <f>IF(Z469=0,0,COUNTIFS('ITENS_MTR'!$S$6:$S$1005,A469,'ITENS_MTR'!$AN$6:$AN$1005,1))</f>
        <v>0</v>
      </c>
      <c r="AK469" s="96">
        <f>IF(Z469=0,0,COUNTIFS('RECEBIMENTOS'!$B$6:$B$1005,A469,'RECEBIMENTOS'!$Y$6:$Y$1005,1))</f>
        <v>0</v>
      </c>
      <c r="AL469" s="96">
        <f>IF(Z469=0,0,COUNTIFS('VÍNCULOS_CDF'!$D$6:$D$1005,A469,'VÍNCULOS_CDF'!$Y$6:$Y$1005,1))</f>
        <v>0</v>
      </c>
      <c r="AM469" s="96">
        <f>IF(Z469=0,0,COUNTIFS('RECEBIMENTOS'!$B$6:$B$1005,A469,'RECEBIMENTOS'!$Q$6:$Q$1005,1))</f>
        <v>0</v>
      </c>
      <c r="AN469" s="96">
        <f>IF(AND(Z469=1,N(W469)&gt;0,AG469=N(W469)),1,0)</f>
        <v>0</v>
      </c>
      <c r="AO469" s="96">
        <f>IF(AND(Z469=1,N(W469)&gt;0,AI469=N(W469)),1,0)</f>
        <v>0</v>
      </c>
      <c r="AP469" s="97">
        <f>IF(Z469=0,0,_xlfn.MAXIFS('RECEBIMENTOS'!$E$6:$E$1005,'RECEBIMENTOS'!$B$6:$B$1005,A469))</f>
        <v>0</v>
      </c>
      <c r="AQ469" s="97" t="str">
        <f>IF(T469="","",IF(T469="RECEBIMENTO NÃO CONFIRMADO",IF(ISNUMBER(F469),F469,IF(ISNUMBER(E469),E469,"")),IF(OR(T469="CDF NÃO LOCALIZADO",T469="VÍNCULO INCOMPLETO",T469="CDF A CONFERIR"),IF(AP469&gt;0,AP469,IF(ISNUMBER(E469),E469,"")),IF(ISNUMBER(E469),E469,""))))</f>
        <v/>
      </c>
      <c r="AR469" s="96">
        <f>IF(NOT(ISNUMBER(U469)),0,IF(T469="RECEBIMENTO NÃO CONFIRMADO",IF(AND(ISNUMBER(cfg_rec),U469&gt;cfg_rec),1,0),IF(OR(T469="CDF NÃO LOCALIZADO",T469="VÍNCULO INCOMPLETO",T469="CDF A CONFERIR"),IF(AND(ISNUMBER(cfg_cdf),U469&gt;cfg_cdf),1,0),0)))</f>
        <v>0</v>
      </c>
      <c r="AS469" s="96" t="str">
        <f>IF(T469="","",IF(AR469=1,"Alta",IFERROR(INDEX(cfg_pp,MATCH(T469,cfg_pt,0))&amp;"","Média")))</f>
        <v/>
      </c>
      <c r="AT469" s="96" t="str">
        <f>IF(T469="","",IFERROR(INDEX(cfg_pv,MATCH(T469,cfg_pt,0))&amp;"",""))</f>
        <v/>
      </c>
      <c r="AU469" s="96" t="str">
        <f>IF(T469="","",IF(AS469="Alta",1,IF(AS469="Média",2,3))*1000000000+(999999-IF(ISNUMBER(U469),MIN(U469,999999),0))*1000+464)</f>
        <v/>
      </c>
      <c r="AV469" s="96">
        <f>IF(T469&lt;&gt;"",1,0)</f>
        <v>0</v>
      </c>
      <c r="AW469" s="96" t="str">
        <f>IF(Z469=0,"",IF(AA469=1,"Cancelamento informado; ","")&amp;IF(AE469=1,"Campos essenciais ou itens faltando; ","")&amp;IF(AC469=1,"Possível duplicidade do número; ","")&amp;IF(AD469=1,"Cadastro ou datas a revisar; ","")&amp;IF(AF469&gt;0,"Item de resíduo com dado a revisar; ","")&amp;IF(AH469&gt;0,"Diferença de quantidade a analisar; ","")&amp;IF(AK469&gt;0,"Recebimento com alerta; ","")&amp;IF(AL469&gt;0,"Vínculo de CDF com alerta; ","")&amp;IF(AND(AA469=0,AN469=0),"Recebimento não confirmado; ","")&amp;IF(AND(AA469=0,AN469=1,AO469=0),"CDF pendente ou a conferir; ",""))</f>
        <v/>
      </c>
      <c r="AX469" s="96">
        <f>IF(Z469=0,0,IF(AND(OR(f_ini="",AND(ISNUMBER(E469),E469&gt;=f_ini)),OR(f_fim="",AND(ISNUMBER(E469),E469&lt;=f_fim)),OR(f_un="",f_un="(Todas)",G469=f_un),OR(f_tr="",f_tr="(Todos)",H469=f_tr),OR(f_de="",f_de="(Todos)",I469=f_de),OR(f_sit="",f_sit="(Todas)",S469=f_sit)),1,0))</f>
        <v>0</v>
      </c>
      <c r="AY469" s="96">
        <f>IF(AX469=0,0,IF(OR(f_res="",f_res="(Todos)"),1,IF(COUNTIFS('ITENS_MTR'!$S$6:$S$1005,A469,'ITENS_MTR'!$C$6:$C$1005,f_res)&gt;0,1,0)))</f>
        <v>0</v>
      </c>
      <c r="AZ469" s="97" t="str">
        <f>IF(ISNUMBER(E469),DATE(YEAR(E469),MONTH(E469),1),"")</f>
        <v/>
      </c>
      <c r="BA469" s="96">
        <f>IF(Z469=0,0,IF(AND(OR(r_ini="",AND(ISNUMBER(E469),E469&gt;=r_ini)),OR(r_fim="",AND(ISNUMBER(E469),E469&lt;=r_fim)),OR(r_un="",r_un="(Todas)",G469=r_un),OR(r_de="",r_de="(Todos)",I469=r_de)),1,0))</f>
        <v>0</v>
      </c>
      <c r="BB469" s="96" t="str">
        <f>IF(BA469=1,COUNTIF($BA$6:BA469,1),"")</f>
        <v/>
      </c>
      <c r="BC469" s="96" t="str">
        <f>IF(AND(AU469&lt;&gt;"",OR(r_un="",r_un="(Todas)",G469=r_un),OR(r_de="",r_de="(Todos)",I469=r_de)),AU469,"")</f>
        <v/>
      </c>
      <c r="BD469" s="96" t="str">
        <f>IF(Z469=1,A469&amp;" | nº "&amp;IF(B469="","(sem número)",B469)&amp;" | "&amp;IF(G469="","(sem unidade)",G469),"")</f>
        <v/>
      </c>
      <c r="BE469" s="96" t="str">
        <f>IF(Z469=1,COUNTIF($Z$6:Z469,1),"")</f>
        <v/>
      </c>
      <c r="BF469" s="96" t="str">
        <f>IF(T469="","",IF(T469="RECEBIMENTO NÃO CONFIRMADO","Transp.: "&amp;H469&amp;" | Dest.: "&amp;I469,IF(OR(T469="CDF NÃO LOCALIZADO",T469="VÍNCULO INCOMPLETO",T469="CDF A CONFERIR"),"Dest.: "&amp;I469,"Gerador: "&amp;G469)))</f>
        <v/>
      </c>
    </row>
    <row r="470">
      <c r="A470" s="89" t="inlineStr">
        <is>
          <t>MTR-000465</t>
        </is>
      </c>
      <c r="B470" s="90" t="n"/>
      <c r="C470" s="91" t="n"/>
      <c r="D470" s="91" t="n"/>
      <c r="E470" s="92" t="n"/>
      <c r="F470" s="92" t="n"/>
      <c r="G470" s="91" t="n"/>
      <c r="H470" s="91" t="n"/>
      <c r="I470" s="91" t="n"/>
      <c r="J470" s="91" t="n"/>
      <c r="K470" s="91" t="n"/>
      <c r="L470" s="92" t="n"/>
      <c r="M470" s="91" t="n"/>
      <c r="N470" s="91" t="n"/>
      <c r="O470" s="91" t="n"/>
      <c r="P470" s="93" t="str">
        <f>IF(Z470=0,"",SUMIFS('ITENS_MTR'!$I$6:$I$1005,'ITENS_MTR'!$S$6:$S$1005,A470,'ITENS_MTR'!$Y$6:$Y$1005,1))</f>
        <v/>
      </c>
      <c r="Q470" s="93" t="str">
        <f>IF(Z470=0,"",SUMIFS('RECEBIMENTOS'!$H$6:$H$1005,'RECEBIMENTOS'!$B$6:$B$1005,A470,'RECEBIMENTOS'!$X$6:$X$1005,1))</f>
        <v/>
      </c>
      <c r="R470" s="93" t="str">
        <f>IF(Z470=0,"",SUMIFS('VÍNCULOS_CDF'!$H$6:$H$1005,'VÍNCULOS_CDF'!$D$6:$D$1005,A470,'VÍNCULOS_CDF'!$V$6:$V$1005,1))</f>
        <v/>
      </c>
      <c r="S470" s="94" t="str">
        <f>IF(Z470=0,"",IF(AA470=1,"Cancelado (informado)",IF(AE470=1,"Cadastro incompleto",IF(OR(AC470=1,AD470=1,AF470&gt;0,AH470&gt;0,AK470&gt;0,AL470&gt;0),"Informação a revisar",IF(AN470=0,"Aguardando recebimento",IF(N(R470)=0,"Aguardando CDF",IF(AJ470&lt;N(W470),"Vínculo de CDF parcial",IF(AO470=0,"CDF localizado, a conferir","Documentação conferida"))))))))</f>
        <v/>
      </c>
      <c r="T470" s="94" t="str">
        <f>IF(Z470=0,"",IF(S470="Cadastro incompleto","MTR INCOMPLETO",IF(S470="Informação a revisar",IF(AND(AH470&gt;0,AC470=0,AD470=0,AF470=0,AK470=0,AL470=0),"QUANTIDADE A REVISAR","IDENTIFICAÇÃO A REVISAR"),IF(S470="Aguardando recebimento","RECEBIMENTO NÃO CONFIRMADO",IF(S470="Aguardando CDF","CDF NÃO LOCALIZADO",IF(S470="Vínculo de CDF parcial","VÍNCULO INCOMPLETO",IF(S470="CDF localizado, a conferir","CDF A CONFERIR","")))))))</f>
        <v/>
      </c>
      <c r="U470" s="95" t="str">
        <f>IF(T470="","",IF(AQ470="","Não calculável",IF(AQ470&gt;TODAY(),"Data futura",TODAY()-AQ470)))</f>
        <v/>
      </c>
      <c r="V470" s="93" t="str">
        <f>IF(Z470=0,"",SUMIFS('RECEBIMENTOS'!$H$6:$H$1005,'RECEBIMENTOS'!$B$6:$B$1005,A470,'RECEBIMENTOS'!$Z$6:$Z$1005,1))</f>
        <v/>
      </c>
      <c r="W470" s="95" t="str">
        <f>IF(Z470=0,"",COUNTIFS('ITENS_MTR'!$S$6:$S$1005,A470,'ITENS_MTR'!$R$6:$R$1005,1))</f>
        <v/>
      </c>
      <c r="X470" s="94" t="str">
        <f>IF(AC470=1,"POSSÍVEL DUPLICIDADE","")</f>
        <v/>
      </c>
      <c r="Y470" s="94" t="str">
        <f>IF(Z470=0,"",IF(AW470="","Nenhuma",LEFT(AW470,LEN(AW470)-2)))</f>
        <v/>
      </c>
      <c r="Z470" s="96">
        <f>IF(COUNTA(B470:O470)&gt;0,1,0)</f>
        <v>0</v>
      </c>
      <c r="AA470" s="96">
        <f>IF(AND(Z470=1,K470&lt;&gt;""),IF(TRIM(K470)=TRIM(cfg_cancel),1,0),0)</f>
        <v>0</v>
      </c>
      <c r="AB470" s="96" t="str">
        <f>IF(AND(Z470=1,B470&lt;&gt;""),C470&amp;"|"&amp;D470&amp;"|"&amp;G470&amp;"|"&amp;TRIM(B470),"")</f>
        <v/>
      </c>
      <c r="AC470" s="96">
        <f>IF(AB470="",0,IF(SUMPRODUCT(--($AB$6:$AB$505=AB470))&gt;1,1,0))</f>
        <v>0</v>
      </c>
      <c r="AD470" s="96">
        <f>IF(Z470=0,0,IF(OR(AND(G470&lt;&gt;"",ISNA(MATCH(G470,'CAD_UNIDADES'!$C$6:$C$105,0))),AND(H470&lt;&gt;"",ISNA(MATCH(H470,cmp_transp,0))),AND(I470&lt;&gt;"",ISNA(MATCH(I470,cmp_dest,0))),AND(E470&lt;&gt;"",NOT(ISNUMBER(E470))),AND(F470&lt;&gt;"",NOT(ISNUMBER(F470))),AND(ISNUMBER(E470),ISNUMBER(F470),F470&lt;E470)),1,0))</f>
        <v>0</v>
      </c>
      <c r="AE470" s="96">
        <f>IF(Z470=0,0,IF(OR(B470="",C470="",E470="",G470="",H470="",I470="",N(W470)=0),1,0))</f>
        <v>0</v>
      </c>
      <c r="AF470" s="96">
        <f>IF(Z470=0,0,COUNTIFS('ITENS_MTR'!$S$6:$S$1005,A470,'ITENS_MTR'!$AI$6:$AI$1005,1))</f>
        <v>0</v>
      </c>
      <c r="AG470" s="96">
        <f>IF(Z470=0,0,COUNTIFS('ITENS_MTR'!$S$6:$S$1005,A470,'ITENS_MTR'!$AJ$6:$AJ$1005,1))</f>
        <v>0</v>
      </c>
      <c r="AH470" s="96">
        <f>IF(Z470=0,0,COUNTIFS('ITENS_MTR'!$S$6:$S$1005,A470,'ITENS_MTR'!$AM$6:$AM$1005,1))</f>
        <v>0</v>
      </c>
      <c r="AI470" s="96">
        <f>IF(Z470=0,0,COUNTIFS('ITENS_MTR'!$S$6:$S$1005,A470,'ITENS_MTR'!$AO$6:$AO$1005,1))</f>
        <v>0</v>
      </c>
      <c r="AJ470" s="96">
        <f>IF(Z470=0,0,COUNTIFS('ITENS_MTR'!$S$6:$S$1005,A470,'ITENS_MTR'!$AN$6:$AN$1005,1))</f>
        <v>0</v>
      </c>
      <c r="AK470" s="96">
        <f>IF(Z470=0,0,COUNTIFS('RECEBIMENTOS'!$B$6:$B$1005,A470,'RECEBIMENTOS'!$Y$6:$Y$1005,1))</f>
        <v>0</v>
      </c>
      <c r="AL470" s="96">
        <f>IF(Z470=0,0,COUNTIFS('VÍNCULOS_CDF'!$D$6:$D$1005,A470,'VÍNCULOS_CDF'!$Y$6:$Y$1005,1))</f>
        <v>0</v>
      </c>
      <c r="AM470" s="96">
        <f>IF(Z470=0,0,COUNTIFS('RECEBIMENTOS'!$B$6:$B$1005,A470,'RECEBIMENTOS'!$Q$6:$Q$1005,1))</f>
        <v>0</v>
      </c>
      <c r="AN470" s="96">
        <f>IF(AND(Z470=1,N(W470)&gt;0,AG470=N(W470)),1,0)</f>
        <v>0</v>
      </c>
      <c r="AO470" s="96">
        <f>IF(AND(Z470=1,N(W470)&gt;0,AI470=N(W470)),1,0)</f>
        <v>0</v>
      </c>
      <c r="AP470" s="97">
        <f>IF(Z470=0,0,_xlfn.MAXIFS('RECEBIMENTOS'!$E$6:$E$1005,'RECEBIMENTOS'!$B$6:$B$1005,A470))</f>
        <v>0</v>
      </c>
      <c r="AQ470" s="97" t="str">
        <f>IF(T470="","",IF(T470="RECEBIMENTO NÃO CONFIRMADO",IF(ISNUMBER(F470),F470,IF(ISNUMBER(E470),E470,"")),IF(OR(T470="CDF NÃO LOCALIZADO",T470="VÍNCULO INCOMPLETO",T470="CDF A CONFERIR"),IF(AP470&gt;0,AP470,IF(ISNUMBER(E470),E470,"")),IF(ISNUMBER(E470),E470,""))))</f>
        <v/>
      </c>
      <c r="AR470" s="96">
        <f>IF(NOT(ISNUMBER(U470)),0,IF(T470="RECEBIMENTO NÃO CONFIRMADO",IF(AND(ISNUMBER(cfg_rec),U470&gt;cfg_rec),1,0),IF(OR(T470="CDF NÃO LOCALIZADO",T470="VÍNCULO INCOMPLETO",T470="CDF A CONFERIR"),IF(AND(ISNUMBER(cfg_cdf),U470&gt;cfg_cdf),1,0),0)))</f>
        <v>0</v>
      </c>
      <c r="AS470" s="96" t="str">
        <f>IF(T470="","",IF(AR470=1,"Alta",IFERROR(INDEX(cfg_pp,MATCH(T470,cfg_pt,0))&amp;"","Média")))</f>
        <v/>
      </c>
      <c r="AT470" s="96" t="str">
        <f>IF(T470="","",IFERROR(INDEX(cfg_pv,MATCH(T470,cfg_pt,0))&amp;"",""))</f>
        <v/>
      </c>
      <c r="AU470" s="96" t="str">
        <f>IF(T470="","",IF(AS470="Alta",1,IF(AS470="Média",2,3))*1000000000+(999999-IF(ISNUMBER(U470),MIN(U470,999999),0))*1000+465)</f>
        <v/>
      </c>
      <c r="AV470" s="96">
        <f>IF(T470&lt;&gt;"",1,0)</f>
        <v>0</v>
      </c>
      <c r="AW470" s="96" t="str">
        <f>IF(Z470=0,"",IF(AA470=1,"Cancelamento informado; ","")&amp;IF(AE470=1,"Campos essenciais ou itens faltando; ","")&amp;IF(AC470=1,"Possível duplicidade do número; ","")&amp;IF(AD470=1,"Cadastro ou datas a revisar; ","")&amp;IF(AF470&gt;0,"Item de resíduo com dado a revisar; ","")&amp;IF(AH470&gt;0,"Diferença de quantidade a analisar; ","")&amp;IF(AK470&gt;0,"Recebimento com alerta; ","")&amp;IF(AL470&gt;0,"Vínculo de CDF com alerta; ","")&amp;IF(AND(AA470=0,AN470=0),"Recebimento não confirmado; ","")&amp;IF(AND(AA470=0,AN470=1,AO470=0),"CDF pendente ou a conferir; ",""))</f>
        <v/>
      </c>
      <c r="AX470" s="96">
        <f>IF(Z470=0,0,IF(AND(OR(f_ini="",AND(ISNUMBER(E470),E470&gt;=f_ini)),OR(f_fim="",AND(ISNUMBER(E470),E470&lt;=f_fim)),OR(f_un="",f_un="(Todas)",G470=f_un),OR(f_tr="",f_tr="(Todos)",H470=f_tr),OR(f_de="",f_de="(Todos)",I470=f_de),OR(f_sit="",f_sit="(Todas)",S470=f_sit)),1,0))</f>
        <v>0</v>
      </c>
      <c r="AY470" s="96">
        <f>IF(AX470=0,0,IF(OR(f_res="",f_res="(Todos)"),1,IF(COUNTIFS('ITENS_MTR'!$S$6:$S$1005,A470,'ITENS_MTR'!$C$6:$C$1005,f_res)&gt;0,1,0)))</f>
        <v>0</v>
      </c>
      <c r="AZ470" s="97" t="str">
        <f>IF(ISNUMBER(E470),DATE(YEAR(E470),MONTH(E470),1),"")</f>
        <v/>
      </c>
      <c r="BA470" s="96">
        <f>IF(Z470=0,0,IF(AND(OR(r_ini="",AND(ISNUMBER(E470),E470&gt;=r_ini)),OR(r_fim="",AND(ISNUMBER(E470),E470&lt;=r_fim)),OR(r_un="",r_un="(Todas)",G470=r_un),OR(r_de="",r_de="(Todos)",I470=r_de)),1,0))</f>
        <v>0</v>
      </c>
      <c r="BB470" s="96" t="str">
        <f>IF(BA470=1,COUNTIF($BA$6:BA470,1),"")</f>
        <v/>
      </c>
      <c r="BC470" s="96" t="str">
        <f>IF(AND(AU470&lt;&gt;"",OR(r_un="",r_un="(Todas)",G470=r_un),OR(r_de="",r_de="(Todos)",I470=r_de)),AU470,"")</f>
        <v/>
      </c>
      <c r="BD470" s="96" t="str">
        <f>IF(Z470=1,A470&amp;" | nº "&amp;IF(B470="","(sem número)",B470)&amp;" | "&amp;IF(G470="","(sem unidade)",G470),"")</f>
        <v/>
      </c>
      <c r="BE470" s="96" t="str">
        <f>IF(Z470=1,COUNTIF($Z$6:Z470,1),"")</f>
        <v/>
      </c>
      <c r="BF470" s="96" t="str">
        <f>IF(T470="","",IF(T470="RECEBIMENTO NÃO CONFIRMADO","Transp.: "&amp;H470&amp;" | Dest.: "&amp;I470,IF(OR(T470="CDF NÃO LOCALIZADO",T470="VÍNCULO INCOMPLETO",T470="CDF A CONFERIR"),"Dest.: "&amp;I470,"Gerador: "&amp;G470)))</f>
        <v/>
      </c>
    </row>
    <row r="471">
      <c r="A471" s="89" t="inlineStr">
        <is>
          <t>MTR-000466</t>
        </is>
      </c>
      <c r="B471" s="90" t="n"/>
      <c r="C471" s="91" t="n"/>
      <c r="D471" s="91" t="n"/>
      <c r="E471" s="92" t="n"/>
      <c r="F471" s="92" t="n"/>
      <c r="G471" s="91" t="n"/>
      <c r="H471" s="91" t="n"/>
      <c r="I471" s="91" t="n"/>
      <c r="J471" s="91" t="n"/>
      <c r="K471" s="91" t="n"/>
      <c r="L471" s="92" t="n"/>
      <c r="M471" s="91" t="n"/>
      <c r="N471" s="91" t="n"/>
      <c r="O471" s="91" t="n"/>
      <c r="P471" s="93" t="str">
        <f>IF(Z471=0,"",SUMIFS('ITENS_MTR'!$I$6:$I$1005,'ITENS_MTR'!$S$6:$S$1005,A471,'ITENS_MTR'!$Y$6:$Y$1005,1))</f>
        <v/>
      </c>
      <c r="Q471" s="93" t="str">
        <f>IF(Z471=0,"",SUMIFS('RECEBIMENTOS'!$H$6:$H$1005,'RECEBIMENTOS'!$B$6:$B$1005,A471,'RECEBIMENTOS'!$X$6:$X$1005,1))</f>
        <v/>
      </c>
      <c r="R471" s="93" t="str">
        <f>IF(Z471=0,"",SUMIFS('VÍNCULOS_CDF'!$H$6:$H$1005,'VÍNCULOS_CDF'!$D$6:$D$1005,A471,'VÍNCULOS_CDF'!$V$6:$V$1005,1))</f>
        <v/>
      </c>
      <c r="S471" s="94" t="str">
        <f>IF(Z471=0,"",IF(AA471=1,"Cancelado (informado)",IF(AE471=1,"Cadastro incompleto",IF(OR(AC471=1,AD471=1,AF471&gt;0,AH471&gt;0,AK471&gt;0,AL471&gt;0),"Informação a revisar",IF(AN471=0,"Aguardando recebimento",IF(N(R471)=0,"Aguardando CDF",IF(AJ471&lt;N(W471),"Vínculo de CDF parcial",IF(AO471=0,"CDF localizado, a conferir","Documentação conferida"))))))))</f>
        <v/>
      </c>
      <c r="T471" s="94" t="str">
        <f>IF(Z471=0,"",IF(S471="Cadastro incompleto","MTR INCOMPLETO",IF(S471="Informação a revisar",IF(AND(AH471&gt;0,AC471=0,AD471=0,AF471=0,AK471=0,AL471=0),"QUANTIDADE A REVISAR","IDENTIFICAÇÃO A REVISAR"),IF(S471="Aguardando recebimento","RECEBIMENTO NÃO CONFIRMADO",IF(S471="Aguardando CDF","CDF NÃO LOCALIZADO",IF(S471="Vínculo de CDF parcial","VÍNCULO INCOMPLETO",IF(S471="CDF localizado, a conferir","CDF A CONFERIR","")))))))</f>
        <v/>
      </c>
      <c r="U471" s="95" t="str">
        <f>IF(T471="","",IF(AQ471="","Não calculável",IF(AQ471&gt;TODAY(),"Data futura",TODAY()-AQ471)))</f>
        <v/>
      </c>
      <c r="V471" s="93" t="str">
        <f>IF(Z471=0,"",SUMIFS('RECEBIMENTOS'!$H$6:$H$1005,'RECEBIMENTOS'!$B$6:$B$1005,A471,'RECEBIMENTOS'!$Z$6:$Z$1005,1))</f>
        <v/>
      </c>
      <c r="W471" s="95" t="str">
        <f>IF(Z471=0,"",COUNTIFS('ITENS_MTR'!$S$6:$S$1005,A471,'ITENS_MTR'!$R$6:$R$1005,1))</f>
        <v/>
      </c>
      <c r="X471" s="94" t="str">
        <f>IF(AC471=1,"POSSÍVEL DUPLICIDADE","")</f>
        <v/>
      </c>
      <c r="Y471" s="94" t="str">
        <f>IF(Z471=0,"",IF(AW471="","Nenhuma",LEFT(AW471,LEN(AW471)-2)))</f>
        <v/>
      </c>
      <c r="Z471" s="96">
        <f>IF(COUNTA(B471:O471)&gt;0,1,0)</f>
        <v>0</v>
      </c>
      <c r="AA471" s="96">
        <f>IF(AND(Z471=1,K471&lt;&gt;""),IF(TRIM(K471)=TRIM(cfg_cancel),1,0),0)</f>
        <v>0</v>
      </c>
      <c r="AB471" s="96" t="str">
        <f>IF(AND(Z471=1,B471&lt;&gt;""),C471&amp;"|"&amp;D471&amp;"|"&amp;G471&amp;"|"&amp;TRIM(B471),"")</f>
        <v/>
      </c>
      <c r="AC471" s="96">
        <f>IF(AB471="",0,IF(SUMPRODUCT(--($AB$6:$AB$505=AB471))&gt;1,1,0))</f>
        <v>0</v>
      </c>
      <c r="AD471" s="96">
        <f>IF(Z471=0,0,IF(OR(AND(G471&lt;&gt;"",ISNA(MATCH(G471,'CAD_UNIDADES'!$C$6:$C$105,0))),AND(H471&lt;&gt;"",ISNA(MATCH(H471,cmp_transp,0))),AND(I471&lt;&gt;"",ISNA(MATCH(I471,cmp_dest,0))),AND(E471&lt;&gt;"",NOT(ISNUMBER(E471))),AND(F471&lt;&gt;"",NOT(ISNUMBER(F471))),AND(ISNUMBER(E471),ISNUMBER(F471),F471&lt;E471)),1,0))</f>
        <v>0</v>
      </c>
      <c r="AE471" s="96">
        <f>IF(Z471=0,0,IF(OR(B471="",C471="",E471="",G471="",H471="",I471="",N(W471)=0),1,0))</f>
        <v>0</v>
      </c>
      <c r="AF471" s="96">
        <f>IF(Z471=0,0,COUNTIFS('ITENS_MTR'!$S$6:$S$1005,A471,'ITENS_MTR'!$AI$6:$AI$1005,1))</f>
        <v>0</v>
      </c>
      <c r="AG471" s="96">
        <f>IF(Z471=0,0,COUNTIFS('ITENS_MTR'!$S$6:$S$1005,A471,'ITENS_MTR'!$AJ$6:$AJ$1005,1))</f>
        <v>0</v>
      </c>
      <c r="AH471" s="96">
        <f>IF(Z471=0,0,COUNTIFS('ITENS_MTR'!$S$6:$S$1005,A471,'ITENS_MTR'!$AM$6:$AM$1005,1))</f>
        <v>0</v>
      </c>
      <c r="AI471" s="96">
        <f>IF(Z471=0,0,COUNTIFS('ITENS_MTR'!$S$6:$S$1005,A471,'ITENS_MTR'!$AO$6:$AO$1005,1))</f>
        <v>0</v>
      </c>
      <c r="AJ471" s="96">
        <f>IF(Z471=0,0,COUNTIFS('ITENS_MTR'!$S$6:$S$1005,A471,'ITENS_MTR'!$AN$6:$AN$1005,1))</f>
        <v>0</v>
      </c>
      <c r="AK471" s="96">
        <f>IF(Z471=0,0,COUNTIFS('RECEBIMENTOS'!$B$6:$B$1005,A471,'RECEBIMENTOS'!$Y$6:$Y$1005,1))</f>
        <v>0</v>
      </c>
      <c r="AL471" s="96">
        <f>IF(Z471=0,0,COUNTIFS('VÍNCULOS_CDF'!$D$6:$D$1005,A471,'VÍNCULOS_CDF'!$Y$6:$Y$1005,1))</f>
        <v>0</v>
      </c>
      <c r="AM471" s="96">
        <f>IF(Z471=0,0,COUNTIFS('RECEBIMENTOS'!$B$6:$B$1005,A471,'RECEBIMENTOS'!$Q$6:$Q$1005,1))</f>
        <v>0</v>
      </c>
      <c r="AN471" s="96">
        <f>IF(AND(Z471=1,N(W471)&gt;0,AG471=N(W471)),1,0)</f>
        <v>0</v>
      </c>
      <c r="AO471" s="96">
        <f>IF(AND(Z471=1,N(W471)&gt;0,AI471=N(W471)),1,0)</f>
        <v>0</v>
      </c>
      <c r="AP471" s="97">
        <f>IF(Z471=0,0,_xlfn.MAXIFS('RECEBIMENTOS'!$E$6:$E$1005,'RECEBIMENTOS'!$B$6:$B$1005,A471))</f>
        <v>0</v>
      </c>
      <c r="AQ471" s="97" t="str">
        <f>IF(T471="","",IF(T471="RECEBIMENTO NÃO CONFIRMADO",IF(ISNUMBER(F471),F471,IF(ISNUMBER(E471),E471,"")),IF(OR(T471="CDF NÃO LOCALIZADO",T471="VÍNCULO INCOMPLETO",T471="CDF A CONFERIR"),IF(AP471&gt;0,AP471,IF(ISNUMBER(E471),E471,"")),IF(ISNUMBER(E471),E471,""))))</f>
        <v/>
      </c>
      <c r="AR471" s="96">
        <f>IF(NOT(ISNUMBER(U471)),0,IF(T471="RECEBIMENTO NÃO CONFIRMADO",IF(AND(ISNUMBER(cfg_rec),U471&gt;cfg_rec),1,0),IF(OR(T471="CDF NÃO LOCALIZADO",T471="VÍNCULO INCOMPLETO",T471="CDF A CONFERIR"),IF(AND(ISNUMBER(cfg_cdf),U471&gt;cfg_cdf),1,0),0)))</f>
        <v>0</v>
      </c>
      <c r="AS471" s="96" t="str">
        <f>IF(T471="","",IF(AR471=1,"Alta",IFERROR(INDEX(cfg_pp,MATCH(T471,cfg_pt,0))&amp;"","Média")))</f>
        <v/>
      </c>
      <c r="AT471" s="96" t="str">
        <f>IF(T471="","",IFERROR(INDEX(cfg_pv,MATCH(T471,cfg_pt,0))&amp;"",""))</f>
        <v/>
      </c>
      <c r="AU471" s="96" t="str">
        <f>IF(T471="","",IF(AS471="Alta",1,IF(AS471="Média",2,3))*1000000000+(999999-IF(ISNUMBER(U471),MIN(U471,999999),0))*1000+466)</f>
        <v/>
      </c>
      <c r="AV471" s="96">
        <f>IF(T471&lt;&gt;"",1,0)</f>
        <v>0</v>
      </c>
      <c r="AW471" s="96" t="str">
        <f>IF(Z471=0,"",IF(AA471=1,"Cancelamento informado; ","")&amp;IF(AE471=1,"Campos essenciais ou itens faltando; ","")&amp;IF(AC471=1,"Possível duplicidade do número; ","")&amp;IF(AD471=1,"Cadastro ou datas a revisar; ","")&amp;IF(AF471&gt;0,"Item de resíduo com dado a revisar; ","")&amp;IF(AH471&gt;0,"Diferença de quantidade a analisar; ","")&amp;IF(AK471&gt;0,"Recebimento com alerta; ","")&amp;IF(AL471&gt;0,"Vínculo de CDF com alerta; ","")&amp;IF(AND(AA471=0,AN471=0),"Recebimento não confirmado; ","")&amp;IF(AND(AA471=0,AN471=1,AO471=0),"CDF pendente ou a conferir; ",""))</f>
        <v/>
      </c>
      <c r="AX471" s="96">
        <f>IF(Z471=0,0,IF(AND(OR(f_ini="",AND(ISNUMBER(E471),E471&gt;=f_ini)),OR(f_fim="",AND(ISNUMBER(E471),E471&lt;=f_fim)),OR(f_un="",f_un="(Todas)",G471=f_un),OR(f_tr="",f_tr="(Todos)",H471=f_tr),OR(f_de="",f_de="(Todos)",I471=f_de),OR(f_sit="",f_sit="(Todas)",S471=f_sit)),1,0))</f>
        <v>0</v>
      </c>
      <c r="AY471" s="96">
        <f>IF(AX471=0,0,IF(OR(f_res="",f_res="(Todos)"),1,IF(COUNTIFS('ITENS_MTR'!$S$6:$S$1005,A471,'ITENS_MTR'!$C$6:$C$1005,f_res)&gt;0,1,0)))</f>
        <v>0</v>
      </c>
      <c r="AZ471" s="97" t="str">
        <f>IF(ISNUMBER(E471),DATE(YEAR(E471),MONTH(E471),1),"")</f>
        <v/>
      </c>
      <c r="BA471" s="96">
        <f>IF(Z471=0,0,IF(AND(OR(r_ini="",AND(ISNUMBER(E471),E471&gt;=r_ini)),OR(r_fim="",AND(ISNUMBER(E471),E471&lt;=r_fim)),OR(r_un="",r_un="(Todas)",G471=r_un),OR(r_de="",r_de="(Todos)",I471=r_de)),1,0))</f>
        <v>0</v>
      </c>
      <c r="BB471" s="96" t="str">
        <f>IF(BA471=1,COUNTIF($BA$6:BA471,1),"")</f>
        <v/>
      </c>
      <c r="BC471" s="96" t="str">
        <f>IF(AND(AU471&lt;&gt;"",OR(r_un="",r_un="(Todas)",G471=r_un),OR(r_de="",r_de="(Todos)",I471=r_de)),AU471,"")</f>
        <v/>
      </c>
      <c r="BD471" s="96" t="str">
        <f>IF(Z471=1,A471&amp;" | nº "&amp;IF(B471="","(sem número)",B471)&amp;" | "&amp;IF(G471="","(sem unidade)",G471),"")</f>
        <v/>
      </c>
      <c r="BE471" s="96" t="str">
        <f>IF(Z471=1,COUNTIF($Z$6:Z471,1),"")</f>
        <v/>
      </c>
      <c r="BF471" s="96" t="str">
        <f>IF(T471="","",IF(T471="RECEBIMENTO NÃO CONFIRMADO","Transp.: "&amp;H471&amp;" | Dest.: "&amp;I471,IF(OR(T471="CDF NÃO LOCALIZADO",T471="VÍNCULO INCOMPLETO",T471="CDF A CONFERIR"),"Dest.: "&amp;I471,"Gerador: "&amp;G471)))</f>
        <v/>
      </c>
    </row>
    <row r="472">
      <c r="A472" s="89" t="inlineStr">
        <is>
          <t>MTR-000467</t>
        </is>
      </c>
      <c r="B472" s="90" t="n"/>
      <c r="C472" s="91" t="n"/>
      <c r="D472" s="91" t="n"/>
      <c r="E472" s="92" t="n"/>
      <c r="F472" s="92" t="n"/>
      <c r="G472" s="91" t="n"/>
      <c r="H472" s="91" t="n"/>
      <c r="I472" s="91" t="n"/>
      <c r="J472" s="91" t="n"/>
      <c r="K472" s="91" t="n"/>
      <c r="L472" s="92" t="n"/>
      <c r="M472" s="91" t="n"/>
      <c r="N472" s="91" t="n"/>
      <c r="O472" s="91" t="n"/>
      <c r="P472" s="93" t="str">
        <f>IF(Z472=0,"",SUMIFS('ITENS_MTR'!$I$6:$I$1005,'ITENS_MTR'!$S$6:$S$1005,A472,'ITENS_MTR'!$Y$6:$Y$1005,1))</f>
        <v/>
      </c>
      <c r="Q472" s="93" t="str">
        <f>IF(Z472=0,"",SUMIFS('RECEBIMENTOS'!$H$6:$H$1005,'RECEBIMENTOS'!$B$6:$B$1005,A472,'RECEBIMENTOS'!$X$6:$X$1005,1))</f>
        <v/>
      </c>
      <c r="R472" s="93" t="str">
        <f>IF(Z472=0,"",SUMIFS('VÍNCULOS_CDF'!$H$6:$H$1005,'VÍNCULOS_CDF'!$D$6:$D$1005,A472,'VÍNCULOS_CDF'!$V$6:$V$1005,1))</f>
        <v/>
      </c>
      <c r="S472" s="94" t="str">
        <f>IF(Z472=0,"",IF(AA472=1,"Cancelado (informado)",IF(AE472=1,"Cadastro incompleto",IF(OR(AC472=1,AD472=1,AF472&gt;0,AH472&gt;0,AK472&gt;0,AL472&gt;0),"Informação a revisar",IF(AN472=0,"Aguardando recebimento",IF(N(R472)=0,"Aguardando CDF",IF(AJ472&lt;N(W472),"Vínculo de CDF parcial",IF(AO472=0,"CDF localizado, a conferir","Documentação conferida"))))))))</f>
        <v/>
      </c>
      <c r="T472" s="94" t="str">
        <f>IF(Z472=0,"",IF(S472="Cadastro incompleto","MTR INCOMPLETO",IF(S472="Informação a revisar",IF(AND(AH472&gt;0,AC472=0,AD472=0,AF472=0,AK472=0,AL472=0),"QUANTIDADE A REVISAR","IDENTIFICAÇÃO A REVISAR"),IF(S472="Aguardando recebimento","RECEBIMENTO NÃO CONFIRMADO",IF(S472="Aguardando CDF","CDF NÃO LOCALIZADO",IF(S472="Vínculo de CDF parcial","VÍNCULO INCOMPLETO",IF(S472="CDF localizado, a conferir","CDF A CONFERIR","")))))))</f>
        <v/>
      </c>
      <c r="U472" s="95" t="str">
        <f>IF(T472="","",IF(AQ472="","Não calculável",IF(AQ472&gt;TODAY(),"Data futura",TODAY()-AQ472)))</f>
        <v/>
      </c>
      <c r="V472" s="93" t="str">
        <f>IF(Z472=0,"",SUMIFS('RECEBIMENTOS'!$H$6:$H$1005,'RECEBIMENTOS'!$B$6:$B$1005,A472,'RECEBIMENTOS'!$Z$6:$Z$1005,1))</f>
        <v/>
      </c>
      <c r="W472" s="95" t="str">
        <f>IF(Z472=0,"",COUNTIFS('ITENS_MTR'!$S$6:$S$1005,A472,'ITENS_MTR'!$R$6:$R$1005,1))</f>
        <v/>
      </c>
      <c r="X472" s="94" t="str">
        <f>IF(AC472=1,"POSSÍVEL DUPLICIDADE","")</f>
        <v/>
      </c>
      <c r="Y472" s="94" t="str">
        <f>IF(Z472=0,"",IF(AW472="","Nenhuma",LEFT(AW472,LEN(AW472)-2)))</f>
        <v/>
      </c>
      <c r="Z472" s="96">
        <f>IF(COUNTA(B472:O472)&gt;0,1,0)</f>
        <v>0</v>
      </c>
      <c r="AA472" s="96">
        <f>IF(AND(Z472=1,K472&lt;&gt;""),IF(TRIM(K472)=TRIM(cfg_cancel),1,0),0)</f>
        <v>0</v>
      </c>
      <c r="AB472" s="96" t="str">
        <f>IF(AND(Z472=1,B472&lt;&gt;""),C472&amp;"|"&amp;D472&amp;"|"&amp;G472&amp;"|"&amp;TRIM(B472),"")</f>
        <v/>
      </c>
      <c r="AC472" s="96">
        <f>IF(AB472="",0,IF(SUMPRODUCT(--($AB$6:$AB$505=AB472))&gt;1,1,0))</f>
        <v>0</v>
      </c>
      <c r="AD472" s="96">
        <f>IF(Z472=0,0,IF(OR(AND(G472&lt;&gt;"",ISNA(MATCH(G472,'CAD_UNIDADES'!$C$6:$C$105,0))),AND(H472&lt;&gt;"",ISNA(MATCH(H472,cmp_transp,0))),AND(I472&lt;&gt;"",ISNA(MATCH(I472,cmp_dest,0))),AND(E472&lt;&gt;"",NOT(ISNUMBER(E472))),AND(F472&lt;&gt;"",NOT(ISNUMBER(F472))),AND(ISNUMBER(E472),ISNUMBER(F472),F472&lt;E472)),1,0))</f>
        <v>0</v>
      </c>
      <c r="AE472" s="96">
        <f>IF(Z472=0,0,IF(OR(B472="",C472="",E472="",G472="",H472="",I472="",N(W472)=0),1,0))</f>
        <v>0</v>
      </c>
      <c r="AF472" s="96">
        <f>IF(Z472=0,0,COUNTIFS('ITENS_MTR'!$S$6:$S$1005,A472,'ITENS_MTR'!$AI$6:$AI$1005,1))</f>
        <v>0</v>
      </c>
      <c r="AG472" s="96">
        <f>IF(Z472=0,0,COUNTIFS('ITENS_MTR'!$S$6:$S$1005,A472,'ITENS_MTR'!$AJ$6:$AJ$1005,1))</f>
        <v>0</v>
      </c>
      <c r="AH472" s="96">
        <f>IF(Z472=0,0,COUNTIFS('ITENS_MTR'!$S$6:$S$1005,A472,'ITENS_MTR'!$AM$6:$AM$1005,1))</f>
        <v>0</v>
      </c>
      <c r="AI472" s="96">
        <f>IF(Z472=0,0,COUNTIFS('ITENS_MTR'!$S$6:$S$1005,A472,'ITENS_MTR'!$AO$6:$AO$1005,1))</f>
        <v>0</v>
      </c>
      <c r="AJ472" s="96">
        <f>IF(Z472=0,0,COUNTIFS('ITENS_MTR'!$S$6:$S$1005,A472,'ITENS_MTR'!$AN$6:$AN$1005,1))</f>
        <v>0</v>
      </c>
      <c r="AK472" s="96">
        <f>IF(Z472=0,0,COUNTIFS('RECEBIMENTOS'!$B$6:$B$1005,A472,'RECEBIMENTOS'!$Y$6:$Y$1005,1))</f>
        <v>0</v>
      </c>
      <c r="AL472" s="96">
        <f>IF(Z472=0,0,COUNTIFS('VÍNCULOS_CDF'!$D$6:$D$1005,A472,'VÍNCULOS_CDF'!$Y$6:$Y$1005,1))</f>
        <v>0</v>
      </c>
      <c r="AM472" s="96">
        <f>IF(Z472=0,0,COUNTIFS('RECEBIMENTOS'!$B$6:$B$1005,A472,'RECEBIMENTOS'!$Q$6:$Q$1005,1))</f>
        <v>0</v>
      </c>
      <c r="AN472" s="96">
        <f>IF(AND(Z472=1,N(W472)&gt;0,AG472=N(W472)),1,0)</f>
        <v>0</v>
      </c>
      <c r="AO472" s="96">
        <f>IF(AND(Z472=1,N(W472)&gt;0,AI472=N(W472)),1,0)</f>
        <v>0</v>
      </c>
      <c r="AP472" s="97">
        <f>IF(Z472=0,0,_xlfn.MAXIFS('RECEBIMENTOS'!$E$6:$E$1005,'RECEBIMENTOS'!$B$6:$B$1005,A472))</f>
        <v>0</v>
      </c>
      <c r="AQ472" s="97" t="str">
        <f>IF(T472="","",IF(T472="RECEBIMENTO NÃO CONFIRMADO",IF(ISNUMBER(F472),F472,IF(ISNUMBER(E472),E472,"")),IF(OR(T472="CDF NÃO LOCALIZADO",T472="VÍNCULO INCOMPLETO",T472="CDF A CONFERIR"),IF(AP472&gt;0,AP472,IF(ISNUMBER(E472),E472,"")),IF(ISNUMBER(E472),E472,""))))</f>
        <v/>
      </c>
      <c r="AR472" s="96">
        <f>IF(NOT(ISNUMBER(U472)),0,IF(T472="RECEBIMENTO NÃO CONFIRMADO",IF(AND(ISNUMBER(cfg_rec),U472&gt;cfg_rec),1,0),IF(OR(T472="CDF NÃO LOCALIZADO",T472="VÍNCULO INCOMPLETO",T472="CDF A CONFERIR"),IF(AND(ISNUMBER(cfg_cdf),U472&gt;cfg_cdf),1,0),0)))</f>
        <v>0</v>
      </c>
      <c r="AS472" s="96" t="str">
        <f>IF(T472="","",IF(AR472=1,"Alta",IFERROR(INDEX(cfg_pp,MATCH(T472,cfg_pt,0))&amp;"","Média")))</f>
        <v/>
      </c>
      <c r="AT472" s="96" t="str">
        <f>IF(T472="","",IFERROR(INDEX(cfg_pv,MATCH(T472,cfg_pt,0))&amp;"",""))</f>
        <v/>
      </c>
      <c r="AU472" s="96" t="str">
        <f>IF(T472="","",IF(AS472="Alta",1,IF(AS472="Média",2,3))*1000000000+(999999-IF(ISNUMBER(U472),MIN(U472,999999),0))*1000+467)</f>
        <v/>
      </c>
      <c r="AV472" s="96">
        <f>IF(T472&lt;&gt;"",1,0)</f>
        <v>0</v>
      </c>
      <c r="AW472" s="96" t="str">
        <f>IF(Z472=0,"",IF(AA472=1,"Cancelamento informado; ","")&amp;IF(AE472=1,"Campos essenciais ou itens faltando; ","")&amp;IF(AC472=1,"Possível duplicidade do número; ","")&amp;IF(AD472=1,"Cadastro ou datas a revisar; ","")&amp;IF(AF472&gt;0,"Item de resíduo com dado a revisar; ","")&amp;IF(AH472&gt;0,"Diferença de quantidade a analisar; ","")&amp;IF(AK472&gt;0,"Recebimento com alerta; ","")&amp;IF(AL472&gt;0,"Vínculo de CDF com alerta; ","")&amp;IF(AND(AA472=0,AN472=0),"Recebimento não confirmado; ","")&amp;IF(AND(AA472=0,AN472=1,AO472=0),"CDF pendente ou a conferir; ",""))</f>
        <v/>
      </c>
      <c r="AX472" s="96">
        <f>IF(Z472=0,0,IF(AND(OR(f_ini="",AND(ISNUMBER(E472),E472&gt;=f_ini)),OR(f_fim="",AND(ISNUMBER(E472),E472&lt;=f_fim)),OR(f_un="",f_un="(Todas)",G472=f_un),OR(f_tr="",f_tr="(Todos)",H472=f_tr),OR(f_de="",f_de="(Todos)",I472=f_de),OR(f_sit="",f_sit="(Todas)",S472=f_sit)),1,0))</f>
        <v>0</v>
      </c>
      <c r="AY472" s="96">
        <f>IF(AX472=0,0,IF(OR(f_res="",f_res="(Todos)"),1,IF(COUNTIFS('ITENS_MTR'!$S$6:$S$1005,A472,'ITENS_MTR'!$C$6:$C$1005,f_res)&gt;0,1,0)))</f>
        <v>0</v>
      </c>
      <c r="AZ472" s="97" t="str">
        <f>IF(ISNUMBER(E472),DATE(YEAR(E472),MONTH(E472),1),"")</f>
        <v/>
      </c>
      <c r="BA472" s="96">
        <f>IF(Z472=0,0,IF(AND(OR(r_ini="",AND(ISNUMBER(E472),E472&gt;=r_ini)),OR(r_fim="",AND(ISNUMBER(E472),E472&lt;=r_fim)),OR(r_un="",r_un="(Todas)",G472=r_un),OR(r_de="",r_de="(Todos)",I472=r_de)),1,0))</f>
        <v>0</v>
      </c>
      <c r="BB472" s="96" t="str">
        <f>IF(BA472=1,COUNTIF($BA$6:BA472,1),"")</f>
        <v/>
      </c>
      <c r="BC472" s="96" t="str">
        <f>IF(AND(AU472&lt;&gt;"",OR(r_un="",r_un="(Todas)",G472=r_un),OR(r_de="",r_de="(Todos)",I472=r_de)),AU472,"")</f>
        <v/>
      </c>
      <c r="BD472" s="96" t="str">
        <f>IF(Z472=1,A472&amp;" | nº "&amp;IF(B472="","(sem número)",B472)&amp;" | "&amp;IF(G472="","(sem unidade)",G472),"")</f>
        <v/>
      </c>
      <c r="BE472" s="96" t="str">
        <f>IF(Z472=1,COUNTIF($Z$6:Z472,1),"")</f>
        <v/>
      </c>
      <c r="BF472" s="96" t="str">
        <f>IF(T472="","",IF(T472="RECEBIMENTO NÃO CONFIRMADO","Transp.: "&amp;H472&amp;" | Dest.: "&amp;I472,IF(OR(T472="CDF NÃO LOCALIZADO",T472="VÍNCULO INCOMPLETO",T472="CDF A CONFERIR"),"Dest.: "&amp;I472,"Gerador: "&amp;G472)))</f>
        <v/>
      </c>
    </row>
    <row r="473">
      <c r="A473" s="89" t="inlineStr">
        <is>
          <t>MTR-000468</t>
        </is>
      </c>
      <c r="B473" s="90" t="n"/>
      <c r="C473" s="91" t="n"/>
      <c r="D473" s="91" t="n"/>
      <c r="E473" s="92" t="n"/>
      <c r="F473" s="92" t="n"/>
      <c r="G473" s="91" t="n"/>
      <c r="H473" s="91" t="n"/>
      <c r="I473" s="91" t="n"/>
      <c r="J473" s="91" t="n"/>
      <c r="K473" s="91" t="n"/>
      <c r="L473" s="92" t="n"/>
      <c r="M473" s="91" t="n"/>
      <c r="N473" s="91" t="n"/>
      <c r="O473" s="91" t="n"/>
      <c r="P473" s="93" t="str">
        <f>IF(Z473=0,"",SUMIFS('ITENS_MTR'!$I$6:$I$1005,'ITENS_MTR'!$S$6:$S$1005,A473,'ITENS_MTR'!$Y$6:$Y$1005,1))</f>
        <v/>
      </c>
      <c r="Q473" s="93" t="str">
        <f>IF(Z473=0,"",SUMIFS('RECEBIMENTOS'!$H$6:$H$1005,'RECEBIMENTOS'!$B$6:$B$1005,A473,'RECEBIMENTOS'!$X$6:$X$1005,1))</f>
        <v/>
      </c>
      <c r="R473" s="93" t="str">
        <f>IF(Z473=0,"",SUMIFS('VÍNCULOS_CDF'!$H$6:$H$1005,'VÍNCULOS_CDF'!$D$6:$D$1005,A473,'VÍNCULOS_CDF'!$V$6:$V$1005,1))</f>
        <v/>
      </c>
      <c r="S473" s="94" t="str">
        <f>IF(Z473=0,"",IF(AA473=1,"Cancelado (informado)",IF(AE473=1,"Cadastro incompleto",IF(OR(AC473=1,AD473=1,AF473&gt;0,AH473&gt;0,AK473&gt;0,AL473&gt;0),"Informação a revisar",IF(AN473=0,"Aguardando recebimento",IF(N(R473)=0,"Aguardando CDF",IF(AJ473&lt;N(W473),"Vínculo de CDF parcial",IF(AO473=0,"CDF localizado, a conferir","Documentação conferida"))))))))</f>
        <v/>
      </c>
      <c r="T473" s="94" t="str">
        <f>IF(Z473=0,"",IF(S473="Cadastro incompleto","MTR INCOMPLETO",IF(S473="Informação a revisar",IF(AND(AH473&gt;0,AC473=0,AD473=0,AF473=0,AK473=0,AL473=0),"QUANTIDADE A REVISAR","IDENTIFICAÇÃO A REVISAR"),IF(S473="Aguardando recebimento","RECEBIMENTO NÃO CONFIRMADO",IF(S473="Aguardando CDF","CDF NÃO LOCALIZADO",IF(S473="Vínculo de CDF parcial","VÍNCULO INCOMPLETO",IF(S473="CDF localizado, a conferir","CDF A CONFERIR","")))))))</f>
        <v/>
      </c>
      <c r="U473" s="95" t="str">
        <f>IF(T473="","",IF(AQ473="","Não calculável",IF(AQ473&gt;TODAY(),"Data futura",TODAY()-AQ473)))</f>
        <v/>
      </c>
      <c r="V473" s="93" t="str">
        <f>IF(Z473=0,"",SUMIFS('RECEBIMENTOS'!$H$6:$H$1005,'RECEBIMENTOS'!$B$6:$B$1005,A473,'RECEBIMENTOS'!$Z$6:$Z$1005,1))</f>
        <v/>
      </c>
      <c r="W473" s="95" t="str">
        <f>IF(Z473=0,"",COUNTIFS('ITENS_MTR'!$S$6:$S$1005,A473,'ITENS_MTR'!$R$6:$R$1005,1))</f>
        <v/>
      </c>
      <c r="X473" s="94" t="str">
        <f>IF(AC473=1,"POSSÍVEL DUPLICIDADE","")</f>
        <v/>
      </c>
      <c r="Y473" s="94" t="str">
        <f>IF(Z473=0,"",IF(AW473="","Nenhuma",LEFT(AW473,LEN(AW473)-2)))</f>
        <v/>
      </c>
      <c r="Z473" s="96">
        <f>IF(COUNTA(B473:O473)&gt;0,1,0)</f>
        <v>0</v>
      </c>
      <c r="AA473" s="96">
        <f>IF(AND(Z473=1,K473&lt;&gt;""),IF(TRIM(K473)=TRIM(cfg_cancel),1,0),0)</f>
        <v>0</v>
      </c>
      <c r="AB473" s="96" t="str">
        <f>IF(AND(Z473=1,B473&lt;&gt;""),C473&amp;"|"&amp;D473&amp;"|"&amp;G473&amp;"|"&amp;TRIM(B473),"")</f>
        <v/>
      </c>
      <c r="AC473" s="96">
        <f>IF(AB473="",0,IF(SUMPRODUCT(--($AB$6:$AB$505=AB473))&gt;1,1,0))</f>
        <v>0</v>
      </c>
      <c r="AD473" s="96">
        <f>IF(Z473=0,0,IF(OR(AND(G473&lt;&gt;"",ISNA(MATCH(G473,'CAD_UNIDADES'!$C$6:$C$105,0))),AND(H473&lt;&gt;"",ISNA(MATCH(H473,cmp_transp,0))),AND(I473&lt;&gt;"",ISNA(MATCH(I473,cmp_dest,0))),AND(E473&lt;&gt;"",NOT(ISNUMBER(E473))),AND(F473&lt;&gt;"",NOT(ISNUMBER(F473))),AND(ISNUMBER(E473),ISNUMBER(F473),F473&lt;E473)),1,0))</f>
        <v>0</v>
      </c>
      <c r="AE473" s="96">
        <f>IF(Z473=0,0,IF(OR(B473="",C473="",E473="",G473="",H473="",I473="",N(W473)=0),1,0))</f>
        <v>0</v>
      </c>
      <c r="AF473" s="96">
        <f>IF(Z473=0,0,COUNTIFS('ITENS_MTR'!$S$6:$S$1005,A473,'ITENS_MTR'!$AI$6:$AI$1005,1))</f>
        <v>0</v>
      </c>
      <c r="AG473" s="96">
        <f>IF(Z473=0,0,COUNTIFS('ITENS_MTR'!$S$6:$S$1005,A473,'ITENS_MTR'!$AJ$6:$AJ$1005,1))</f>
        <v>0</v>
      </c>
      <c r="AH473" s="96">
        <f>IF(Z473=0,0,COUNTIFS('ITENS_MTR'!$S$6:$S$1005,A473,'ITENS_MTR'!$AM$6:$AM$1005,1))</f>
        <v>0</v>
      </c>
      <c r="AI473" s="96">
        <f>IF(Z473=0,0,COUNTIFS('ITENS_MTR'!$S$6:$S$1005,A473,'ITENS_MTR'!$AO$6:$AO$1005,1))</f>
        <v>0</v>
      </c>
      <c r="AJ473" s="96">
        <f>IF(Z473=0,0,COUNTIFS('ITENS_MTR'!$S$6:$S$1005,A473,'ITENS_MTR'!$AN$6:$AN$1005,1))</f>
        <v>0</v>
      </c>
      <c r="AK473" s="96">
        <f>IF(Z473=0,0,COUNTIFS('RECEBIMENTOS'!$B$6:$B$1005,A473,'RECEBIMENTOS'!$Y$6:$Y$1005,1))</f>
        <v>0</v>
      </c>
      <c r="AL473" s="96">
        <f>IF(Z473=0,0,COUNTIFS('VÍNCULOS_CDF'!$D$6:$D$1005,A473,'VÍNCULOS_CDF'!$Y$6:$Y$1005,1))</f>
        <v>0</v>
      </c>
      <c r="AM473" s="96">
        <f>IF(Z473=0,0,COUNTIFS('RECEBIMENTOS'!$B$6:$B$1005,A473,'RECEBIMENTOS'!$Q$6:$Q$1005,1))</f>
        <v>0</v>
      </c>
      <c r="AN473" s="96">
        <f>IF(AND(Z473=1,N(W473)&gt;0,AG473=N(W473)),1,0)</f>
        <v>0</v>
      </c>
      <c r="AO473" s="96">
        <f>IF(AND(Z473=1,N(W473)&gt;0,AI473=N(W473)),1,0)</f>
        <v>0</v>
      </c>
      <c r="AP473" s="97">
        <f>IF(Z473=0,0,_xlfn.MAXIFS('RECEBIMENTOS'!$E$6:$E$1005,'RECEBIMENTOS'!$B$6:$B$1005,A473))</f>
        <v>0</v>
      </c>
      <c r="AQ473" s="97" t="str">
        <f>IF(T473="","",IF(T473="RECEBIMENTO NÃO CONFIRMADO",IF(ISNUMBER(F473),F473,IF(ISNUMBER(E473),E473,"")),IF(OR(T473="CDF NÃO LOCALIZADO",T473="VÍNCULO INCOMPLETO",T473="CDF A CONFERIR"),IF(AP473&gt;0,AP473,IF(ISNUMBER(E473),E473,"")),IF(ISNUMBER(E473),E473,""))))</f>
        <v/>
      </c>
      <c r="AR473" s="96">
        <f>IF(NOT(ISNUMBER(U473)),0,IF(T473="RECEBIMENTO NÃO CONFIRMADO",IF(AND(ISNUMBER(cfg_rec),U473&gt;cfg_rec),1,0),IF(OR(T473="CDF NÃO LOCALIZADO",T473="VÍNCULO INCOMPLETO",T473="CDF A CONFERIR"),IF(AND(ISNUMBER(cfg_cdf),U473&gt;cfg_cdf),1,0),0)))</f>
        <v>0</v>
      </c>
      <c r="AS473" s="96" t="str">
        <f>IF(T473="","",IF(AR473=1,"Alta",IFERROR(INDEX(cfg_pp,MATCH(T473,cfg_pt,0))&amp;"","Média")))</f>
        <v/>
      </c>
      <c r="AT473" s="96" t="str">
        <f>IF(T473="","",IFERROR(INDEX(cfg_pv,MATCH(T473,cfg_pt,0))&amp;"",""))</f>
        <v/>
      </c>
      <c r="AU473" s="96" t="str">
        <f>IF(T473="","",IF(AS473="Alta",1,IF(AS473="Média",2,3))*1000000000+(999999-IF(ISNUMBER(U473),MIN(U473,999999),0))*1000+468)</f>
        <v/>
      </c>
      <c r="AV473" s="96">
        <f>IF(T473&lt;&gt;"",1,0)</f>
        <v>0</v>
      </c>
      <c r="AW473" s="96" t="str">
        <f>IF(Z473=0,"",IF(AA473=1,"Cancelamento informado; ","")&amp;IF(AE473=1,"Campos essenciais ou itens faltando; ","")&amp;IF(AC473=1,"Possível duplicidade do número; ","")&amp;IF(AD473=1,"Cadastro ou datas a revisar; ","")&amp;IF(AF473&gt;0,"Item de resíduo com dado a revisar; ","")&amp;IF(AH473&gt;0,"Diferença de quantidade a analisar; ","")&amp;IF(AK473&gt;0,"Recebimento com alerta; ","")&amp;IF(AL473&gt;0,"Vínculo de CDF com alerta; ","")&amp;IF(AND(AA473=0,AN473=0),"Recebimento não confirmado; ","")&amp;IF(AND(AA473=0,AN473=1,AO473=0),"CDF pendente ou a conferir; ",""))</f>
        <v/>
      </c>
      <c r="AX473" s="96">
        <f>IF(Z473=0,0,IF(AND(OR(f_ini="",AND(ISNUMBER(E473),E473&gt;=f_ini)),OR(f_fim="",AND(ISNUMBER(E473),E473&lt;=f_fim)),OR(f_un="",f_un="(Todas)",G473=f_un),OR(f_tr="",f_tr="(Todos)",H473=f_tr),OR(f_de="",f_de="(Todos)",I473=f_de),OR(f_sit="",f_sit="(Todas)",S473=f_sit)),1,0))</f>
        <v>0</v>
      </c>
      <c r="AY473" s="96">
        <f>IF(AX473=0,0,IF(OR(f_res="",f_res="(Todos)"),1,IF(COUNTIFS('ITENS_MTR'!$S$6:$S$1005,A473,'ITENS_MTR'!$C$6:$C$1005,f_res)&gt;0,1,0)))</f>
        <v>0</v>
      </c>
      <c r="AZ473" s="97" t="str">
        <f>IF(ISNUMBER(E473),DATE(YEAR(E473),MONTH(E473),1),"")</f>
        <v/>
      </c>
      <c r="BA473" s="96">
        <f>IF(Z473=0,0,IF(AND(OR(r_ini="",AND(ISNUMBER(E473),E473&gt;=r_ini)),OR(r_fim="",AND(ISNUMBER(E473),E473&lt;=r_fim)),OR(r_un="",r_un="(Todas)",G473=r_un),OR(r_de="",r_de="(Todos)",I473=r_de)),1,0))</f>
        <v>0</v>
      </c>
      <c r="BB473" s="96" t="str">
        <f>IF(BA473=1,COUNTIF($BA$6:BA473,1),"")</f>
        <v/>
      </c>
      <c r="BC473" s="96" t="str">
        <f>IF(AND(AU473&lt;&gt;"",OR(r_un="",r_un="(Todas)",G473=r_un),OR(r_de="",r_de="(Todos)",I473=r_de)),AU473,"")</f>
        <v/>
      </c>
      <c r="BD473" s="96" t="str">
        <f>IF(Z473=1,A473&amp;" | nº "&amp;IF(B473="","(sem número)",B473)&amp;" | "&amp;IF(G473="","(sem unidade)",G473),"")</f>
        <v/>
      </c>
      <c r="BE473" s="96" t="str">
        <f>IF(Z473=1,COUNTIF($Z$6:Z473,1),"")</f>
        <v/>
      </c>
      <c r="BF473" s="96" t="str">
        <f>IF(T473="","",IF(T473="RECEBIMENTO NÃO CONFIRMADO","Transp.: "&amp;H473&amp;" | Dest.: "&amp;I473,IF(OR(T473="CDF NÃO LOCALIZADO",T473="VÍNCULO INCOMPLETO",T473="CDF A CONFERIR"),"Dest.: "&amp;I473,"Gerador: "&amp;G473)))</f>
        <v/>
      </c>
    </row>
    <row r="474">
      <c r="A474" s="89" t="inlineStr">
        <is>
          <t>MTR-000469</t>
        </is>
      </c>
      <c r="B474" s="90" t="n"/>
      <c r="C474" s="91" t="n"/>
      <c r="D474" s="91" t="n"/>
      <c r="E474" s="92" t="n"/>
      <c r="F474" s="92" t="n"/>
      <c r="G474" s="91" t="n"/>
      <c r="H474" s="91" t="n"/>
      <c r="I474" s="91" t="n"/>
      <c r="J474" s="91" t="n"/>
      <c r="K474" s="91" t="n"/>
      <c r="L474" s="92" t="n"/>
      <c r="M474" s="91" t="n"/>
      <c r="N474" s="91" t="n"/>
      <c r="O474" s="91" t="n"/>
      <c r="P474" s="93" t="str">
        <f>IF(Z474=0,"",SUMIFS('ITENS_MTR'!$I$6:$I$1005,'ITENS_MTR'!$S$6:$S$1005,A474,'ITENS_MTR'!$Y$6:$Y$1005,1))</f>
        <v/>
      </c>
      <c r="Q474" s="93" t="str">
        <f>IF(Z474=0,"",SUMIFS('RECEBIMENTOS'!$H$6:$H$1005,'RECEBIMENTOS'!$B$6:$B$1005,A474,'RECEBIMENTOS'!$X$6:$X$1005,1))</f>
        <v/>
      </c>
      <c r="R474" s="93" t="str">
        <f>IF(Z474=0,"",SUMIFS('VÍNCULOS_CDF'!$H$6:$H$1005,'VÍNCULOS_CDF'!$D$6:$D$1005,A474,'VÍNCULOS_CDF'!$V$6:$V$1005,1))</f>
        <v/>
      </c>
      <c r="S474" s="94" t="str">
        <f>IF(Z474=0,"",IF(AA474=1,"Cancelado (informado)",IF(AE474=1,"Cadastro incompleto",IF(OR(AC474=1,AD474=1,AF474&gt;0,AH474&gt;0,AK474&gt;0,AL474&gt;0),"Informação a revisar",IF(AN474=0,"Aguardando recebimento",IF(N(R474)=0,"Aguardando CDF",IF(AJ474&lt;N(W474),"Vínculo de CDF parcial",IF(AO474=0,"CDF localizado, a conferir","Documentação conferida"))))))))</f>
        <v/>
      </c>
      <c r="T474" s="94" t="str">
        <f>IF(Z474=0,"",IF(S474="Cadastro incompleto","MTR INCOMPLETO",IF(S474="Informação a revisar",IF(AND(AH474&gt;0,AC474=0,AD474=0,AF474=0,AK474=0,AL474=0),"QUANTIDADE A REVISAR","IDENTIFICAÇÃO A REVISAR"),IF(S474="Aguardando recebimento","RECEBIMENTO NÃO CONFIRMADO",IF(S474="Aguardando CDF","CDF NÃO LOCALIZADO",IF(S474="Vínculo de CDF parcial","VÍNCULO INCOMPLETO",IF(S474="CDF localizado, a conferir","CDF A CONFERIR","")))))))</f>
        <v/>
      </c>
      <c r="U474" s="95" t="str">
        <f>IF(T474="","",IF(AQ474="","Não calculável",IF(AQ474&gt;TODAY(),"Data futura",TODAY()-AQ474)))</f>
        <v/>
      </c>
      <c r="V474" s="93" t="str">
        <f>IF(Z474=0,"",SUMIFS('RECEBIMENTOS'!$H$6:$H$1005,'RECEBIMENTOS'!$B$6:$B$1005,A474,'RECEBIMENTOS'!$Z$6:$Z$1005,1))</f>
        <v/>
      </c>
      <c r="W474" s="95" t="str">
        <f>IF(Z474=0,"",COUNTIFS('ITENS_MTR'!$S$6:$S$1005,A474,'ITENS_MTR'!$R$6:$R$1005,1))</f>
        <v/>
      </c>
      <c r="X474" s="94" t="str">
        <f>IF(AC474=1,"POSSÍVEL DUPLICIDADE","")</f>
        <v/>
      </c>
      <c r="Y474" s="94" t="str">
        <f>IF(Z474=0,"",IF(AW474="","Nenhuma",LEFT(AW474,LEN(AW474)-2)))</f>
        <v/>
      </c>
      <c r="Z474" s="96">
        <f>IF(COUNTA(B474:O474)&gt;0,1,0)</f>
        <v>0</v>
      </c>
      <c r="AA474" s="96">
        <f>IF(AND(Z474=1,K474&lt;&gt;""),IF(TRIM(K474)=TRIM(cfg_cancel),1,0),0)</f>
        <v>0</v>
      </c>
      <c r="AB474" s="96" t="str">
        <f>IF(AND(Z474=1,B474&lt;&gt;""),C474&amp;"|"&amp;D474&amp;"|"&amp;G474&amp;"|"&amp;TRIM(B474),"")</f>
        <v/>
      </c>
      <c r="AC474" s="96">
        <f>IF(AB474="",0,IF(SUMPRODUCT(--($AB$6:$AB$505=AB474))&gt;1,1,0))</f>
        <v>0</v>
      </c>
      <c r="AD474" s="96">
        <f>IF(Z474=0,0,IF(OR(AND(G474&lt;&gt;"",ISNA(MATCH(G474,'CAD_UNIDADES'!$C$6:$C$105,0))),AND(H474&lt;&gt;"",ISNA(MATCH(H474,cmp_transp,0))),AND(I474&lt;&gt;"",ISNA(MATCH(I474,cmp_dest,0))),AND(E474&lt;&gt;"",NOT(ISNUMBER(E474))),AND(F474&lt;&gt;"",NOT(ISNUMBER(F474))),AND(ISNUMBER(E474),ISNUMBER(F474),F474&lt;E474)),1,0))</f>
        <v>0</v>
      </c>
      <c r="AE474" s="96">
        <f>IF(Z474=0,0,IF(OR(B474="",C474="",E474="",G474="",H474="",I474="",N(W474)=0),1,0))</f>
        <v>0</v>
      </c>
      <c r="AF474" s="96">
        <f>IF(Z474=0,0,COUNTIFS('ITENS_MTR'!$S$6:$S$1005,A474,'ITENS_MTR'!$AI$6:$AI$1005,1))</f>
        <v>0</v>
      </c>
      <c r="AG474" s="96">
        <f>IF(Z474=0,0,COUNTIFS('ITENS_MTR'!$S$6:$S$1005,A474,'ITENS_MTR'!$AJ$6:$AJ$1005,1))</f>
        <v>0</v>
      </c>
      <c r="AH474" s="96">
        <f>IF(Z474=0,0,COUNTIFS('ITENS_MTR'!$S$6:$S$1005,A474,'ITENS_MTR'!$AM$6:$AM$1005,1))</f>
        <v>0</v>
      </c>
      <c r="AI474" s="96">
        <f>IF(Z474=0,0,COUNTIFS('ITENS_MTR'!$S$6:$S$1005,A474,'ITENS_MTR'!$AO$6:$AO$1005,1))</f>
        <v>0</v>
      </c>
      <c r="AJ474" s="96">
        <f>IF(Z474=0,0,COUNTIFS('ITENS_MTR'!$S$6:$S$1005,A474,'ITENS_MTR'!$AN$6:$AN$1005,1))</f>
        <v>0</v>
      </c>
      <c r="AK474" s="96">
        <f>IF(Z474=0,0,COUNTIFS('RECEBIMENTOS'!$B$6:$B$1005,A474,'RECEBIMENTOS'!$Y$6:$Y$1005,1))</f>
        <v>0</v>
      </c>
      <c r="AL474" s="96">
        <f>IF(Z474=0,0,COUNTIFS('VÍNCULOS_CDF'!$D$6:$D$1005,A474,'VÍNCULOS_CDF'!$Y$6:$Y$1005,1))</f>
        <v>0</v>
      </c>
      <c r="AM474" s="96">
        <f>IF(Z474=0,0,COUNTIFS('RECEBIMENTOS'!$B$6:$B$1005,A474,'RECEBIMENTOS'!$Q$6:$Q$1005,1))</f>
        <v>0</v>
      </c>
      <c r="AN474" s="96">
        <f>IF(AND(Z474=1,N(W474)&gt;0,AG474=N(W474)),1,0)</f>
        <v>0</v>
      </c>
      <c r="AO474" s="96">
        <f>IF(AND(Z474=1,N(W474)&gt;0,AI474=N(W474)),1,0)</f>
        <v>0</v>
      </c>
      <c r="AP474" s="97">
        <f>IF(Z474=0,0,_xlfn.MAXIFS('RECEBIMENTOS'!$E$6:$E$1005,'RECEBIMENTOS'!$B$6:$B$1005,A474))</f>
        <v>0</v>
      </c>
      <c r="AQ474" s="97" t="str">
        <f>IF(T474="","",IF(T474="RECEBIMENTO NÃO CONFIRMADO",IF(ISNUMBER(F474),F474,IF(ISNUMBER(E474),E474,"")),IF(OR(T474="CDF NÃO LOCALIZADO",T474="VÍNCULO INCOMPLETO",T474="CDF A CONFERIR"),IF(AP474&gt;0,AP474,IF(ISNUMBER(E474),E474,"")),IF(ISNUMBER(E474),E474,""))))</f>
        <v/>
      </c>
      <c r="AR474" s="96">
        <f>IF(NOT(ISNUMBER(U474)),0,IF(T474="RECEBIMENTO NÃO CONFIRMADO",IF(AND(ISNUMBER(cfg_rec),U474&gt;cfg_rec),1,0),IF(OR(T474="CDF NÃO LOCALIZADO",T474="VÍNCULO INCOMPLETO",T474="CDF A CONFERIR"),IF(AND(ISNUMBER(cfg_cdf),U474&gt;cfg_cdf),1,0),0)))</f>
        <v>0</v>
      </c>
      <c r="AS474" s="96" t="str">
        <f>IF(T474="","",IF(AR474=1,"Alta",IFERROR(INDEX(cfg_pp,MATCH(T474,cfg_pt,0))&amp;"","Média")))</f>
        <v/>
      </c>
      <c r="AT474" s="96" t="str">
        <f>IF(T474="","",IFERROR(INDEX(cfg_pv,MATCH(T474,cfg_pt,0))&amp;"",""))</f>
        <v/>
      </c>
      <c r="AU474" s="96" t="str">
        <f>IF(T474="","",IF(AS474="Alta",1,IF(AS474="Média",2,3))*1000000000+(999999-IF(ISNUMBER(U474),MIN(U474,999999),0))*1000+469)</f>
        <v/>
      </c>
      <c r="AV474" s="96">
        <f>IF(T474&lt;&gt;"",1,0)</f>
        <v>0</v>
      </c>
      <c r="AW474" s="96" t="str">
        <f>IF(Z474=0,"",IF(AA474=1,"Cancelamento informado; ","")&amp;IF(AE474=1,"Campos essenciais ou itens faltando; ","")&amp;IF(AC474=1,"Possível duplicidade do número; ","")&amp;IF(AD474=1,"Cadastro ou datas a revisar; ","")&amp;IF(AF474&gt;0,"Item de resíduo com dado a revisar; ","")&amp;IF(AH474&gt;0,"Diferença de quantidade a analisar; ","")&amp;IF(AK474&gt;0,"Recebimento com alerta; ","")&amp;IF(AL474&gt;0,"Vínculo de CDF com alerta; ","")&amp;IF(AND(AA474=0,AN474=0),"Recebimento não confirmado; ","")&amp;IF(AND(AA474=0,AN474=1,AO474=0),"CDF pendente ou a conferir; ",""))</f>
        <v/>
      </c>
      <c r="AX474" s="96">
        <f>IF(Z474=0,0,IF(AND(OR(f_ini="",AND(ISNUMBER(E474),E474&gt;=f_ini)),OR(f_fim="",AND(ISNUMBER(E474),E474&lt;=f_fim)),OR(f_un="",f_un="(Todas)",G474=f_un),OR(f_tr="",f_tr="(Todos)",H474=f_tr),OR(f_de="",f_de="(Todos)",I474=f_de),OR(f_sit="",f_sit="(Todas)",S474=f_sit)),1,0))</f>
        <v>0</v>
      </c>
      <c r="AY474" s="96">
        <f>IF(AX474=0,0,IF(OR(f_res="",f_res="(Todos)"),1,IF(COUNTIFS('ITENS_MTR'!$S$6:$S$1005,A474,'ITENS_MTR'!$C$6:$C$1005,f_res)&gt;0,1,0)))</f>
        <v>0</v>
      </c>
      <c r="AZ474" s="97" t="str">
        <f>IF(ISNUMBER(E474),DATE(YEAR(E474),MONTH(E474),1),"")</f>
        <v/>
      </c>
      <c r="BA474" s="96">
        <f>IF(Z474=0,0,IF(AND(OR(r_ini="",AND(ISNUMBER(E474),E474&gt;=r_ini)),OR(r_fim="",AND(ISNUMBER(E474),E474&lt;=r_fim)),OR(r_un="",r_un="(Todas)",G474=r_un),OR(r_de="",r_de="(Todos)",I474=r_de)),1,0))</f>
        <v>0</v>
      </c>
      <c r="BB474" s="96" t="str">
        <f>IF(BA474=1,COUNTIF($BA$6:BA474,1),"")</f>
        <v/>
      </c>
      <c r="BC474" s="96" t="str">
        <f>IF(AND(AU474&lt;&gt;"",OR(r_un="",r_un="(Todas)",G474=r_un),OR(r_de="",r_de="(Todos)",I474=r_de)),AU474,"")</f>
        <v/>
      </c>
      <c r="BD474" s="96" t="str">
        <f>IF(Z474=1,A474&amp;" | nº "&amp;IF(B474="","(sem número)",B474)&amp;" | "&amp;IF(G474="","(sem unidade)",G474),"")</f>
        <v/>
      </c>
      <c r="BE474" s="96" t="str">
        <f>IF(Z474=1,COUNTIF($Z$6:Z474,1),"")</f>
        <v/>
      </c>
      <c r="BF474" s="96" t="str">
        <f>IF(T474="","",IF(T474="RECEBIMENTO NÃO CONFIRMADO","Transp.: "&amp;H474&amp;" | Dest.: "&amp;I474,IF(OR(T474="CDF NÃO LOCALIZADO",T474="VÍNCULO INCOMPLETO",T474="CDF A CONFERIR"),"Dest.: "&amp;I474,"Gerador: "&amp;G474)))</f>
        <v/>
      </c>
    </row>
    <row r="475">
      <c r="A475" s="89" t="inlineStr">
        <is>
          <t>MTR-000470</t>
        </is>
      </c>
      <c r="B475" s="90" t="n"/>
      <c r="C475" s="91" t="n"/>
      <c r="D475" s="91" t="n"/>
      <c r="E475" s="92" t="n"/>
      <c r="F475" s="92" t="n"/>
      <c r="G475" s="91" t="n"/>
      <c r="H475" s="91" t="n"/>
      <c r="I475" s="91" t="n"/>
      <c r="J475" s="91" t="n"/>
      <c r="K475" s="91" t="n"/>
      <c r="L475" s="92" t="n"/>
      <c r="M475" s="91" t="n"/>
      <c r="N475" s="91" t="n"/>
      <c r="O475" s="91" t="n"/>
      <c r="P475" s="93" t="str">
        <f>IF(Z475=0,"",SUMIFS('ITENS_MTR'!$I$6:$I$1005,'ITENS_MTR'!$S$6:$S$1005,A475,'ITENS_MTR'!$Y$6:$Y$1005,1))</f>
        <v/>
      </c>
      <c r="Q475" s="93" t="str">
        <f>IF(Z475=0,"",SUMIFS('RECEBIMENTOS'!$H$6:$H$1005,'RECEBIMENTOS'!$B$6:$B$1005,A475,'RECEBIMENTOS'!$X$6:$X$1005,1))</f>
        <v/>
      </c>
      <c r="R475" s="93" t="str">
        <f>IF(Z475=0,"",SUMIFS('VÍNCULOS_CDF'!$H$6:$H$1005,'VÍNCULOS_CDF'!$D$6:$D$1005,A475,'VÍNCULOS_CDF'!$V$6:$V$1005,1))</f>
        <v/>
      </c>
      <c r="S475" s="94" t="str">
        <f>IF(Z475=0,"",IF(AA475=1,"Cancelado (informado)",IF(AE475=1,"Cadastro incompleto",IF(OR(AC475=1,AD475=1,AF475&gt;0,AH475&gt;0,AK475&gt;0,AL475&gt;0),"Informação a revisar",IF(AN475=0,"Aguardando recebimento",IF(N(R475)=0,"Aguardando CDF",IF(AJ475&lt;N(W475),"Vínculo de CDF parcial",IF(AO475=0,"CDF localizado, a conferir","Documentação conferida"))))))))</f>
        <v/>
      </c>
      <c r="T475" s="94" t="str">
        <f>IF(Z475=0,"",IF(S475="Cadastro incompleto","MTR INCOMPLETO",IF(S475="Informação a revisar",IF(AND(AH475&gt;0,AC475=0,AD475=0,AF475=0,AK475=0,AL475=0),"QUANTIDADE A REVISAR","IDENTIFICAÇÃO A REVISAR"),IF(S475="Aguardando recebimento","RECEBIMENTO NÃO CONFIRMADO",IF(S475="Aguardando CDF","CDF NÃO LOCALIZADO",IF(S475="Vínculo de CDF parcial","VÍNCULO INCOMPLETO",IF(S475="CDF localizado, a conferir","CDF A CONFERIR","")))))))</f>
        <v/>
      </c>
      <c r="U475" s="95" t="str">
        <f>IF(T475="","",IF(AQ475="","Não calculável",IF(AQ475&gt;TODAY(),"Data futura",TODAY()-AQ475)))</f>
        <v/>
      </c>
      <c r="V475" s="93" t="str">
        <f>IF(Z475=0,"",SUMIFS('RECEBIMENTOS'!$H$6:$H$1005,'RECEBIMENTOS'!$B$6:$B$1005,A475,'RECEBIMENTOS'!$Z$6:$Z$1005,1))</f>
        <v/>
      </c>
      <c r="W475" s="95" t="str">
        <f>IF(Z475=0,"",COUNTIFS('ITENS_MTR'!$S$6:$S$1005,A475,'ITENS_MTR'!$R$6:$R$1005,1))</f>
        <v/>
      </c>
      <c r="X475" s="94" t="str">
        <f>IF(AC475=1,"POSSÍVEL DUPLICIDADE","")</f>
        <v/>
      </c>
      <c r="Y475" s="94" t="str">
        <f>IF(Z475=0,"",IF(AW475="","Nenhuma",LEFT(AW475,LEN(AW475)-2)))</f>
        <v/>
      </c>
      <c r="Z475" s="96">
        <f>IF(COUNTA(B475:O475)&gt;0,1,0)</f>
        <v>0</v>
      </c>
      <c r="AA475" s="96">
        <f>IF(AND(Z475=1,K475&lt;&gt;""),IF(TRIM(K475)=TRIM(cfg_cancel),1,0),0)</f>
        <v>0</v>
      </c>
      <c r="AB475" s="96" t="str">
        <f>IF(AND(Z475=1,B475&lt;&gt;""),C475&amp;"|"&amp;D475&amp;"|"&amp;G475&amp;"|"&amp;TRIM(B475),"")</f>
        <v/>
      </c>
      <c r="AC475" s="96">
        <f>IF(AB475="",0,IF(SUMPRODUCT(--($AB$6:$AB$505=AB475))&gt;1,1,0))</f>
        <v>0</v>
      </c>
      <c r="AD475" s="96">
        <f>IF(Z475=0,0,IF(OR(AND(G475&lt;&gt;"",ISNA(MATCH(G475,'CAD_UNIDADES'!$C$6:$C$105,0))),AND(H475&lt;&gt;"",ISNA(MATCH(H475,cmp_transp,0))),AND(I475&lt;&gt;"",ISNA(MATCH(I475,cmp_dest,0))),AND(E475&lt;&gt;"",NOT(ISNUMBER(E475))),AND(F475&lt;&gt;"",NOT(ISNUMBER(F475))),AND(ISNUMBER(E475),ISNUMBER(F475),F475&lt;E475)),1,0))</f>
        <v>0</v>
      </c>
      <c r="AE475" s="96">
        <f>IF(Z475=0,0,IF(OR(B475="",C475="",E475="",G475="",H475="",I475="",N(W475)=0),1,0))</f>
        <v>0</v>
      </c>
      <c r="AF475" s="96">
        <f>IF(Z475=0,0,COUNTIFS('ITENS_MTR'!$S$6:$S$1005,A475,'ITENS_MTR'!$AI$6:$AI$1005,1))</f>
        <v>0</v>
      </c>
      <c r="AG475" s="96">
        <f>IF(Z475=0,0,COUNTIFS('ITENS_MTR'!$S$6:$S$1005,A475,'ITENS_MTR'!$AJ$6:$AJ$1005,1))</f>
        <v>0</v>
      </c>
      <c r="AH475" s="96">
        <f>IF(Z475=0,0,COUNTIFS('ITENS_MTR'!$S$6:$S$1005,A475,'ITENS_MTR'!$AM$6:$AM$1005,1))</f>
        <v>0</v>
      </c>
      <c r="AI475" s="96">
        <f>IF(Z475=0,0,COUNTIFS('ITENS_MTR'!$S$6:$S$1005,A475,'ITENS_MTR'!$AO$6:$AO$1005,1))</f>
        <v>0</v>
      </c>
      <c r="AJ475" s="96">
        <f>IF(Z475=0,0,COUNTIFS('ITENS_MTR'!$S$6:$S$1005,A475,'ITENS_MTR'!$AN$6:$AN$1005,1))</f>
        <v>0</v>
      </c>
      <c r="AK475" s="96">
        <f>IF(Z475=0,0,COUNTIFS('RECEBIMENTOS'!$B$6:$B$1005,A475,'RECEBIMENTOS'!$Y$6:$Y$1005,1))</f>
        <v>0</v>
      </c>
      <c r="AL475" s="96">
        <f>IF(Z475=0,0,COUNTIFS('VÍNCULOS_CDF'!$D$6:$D$1005,A475,'VÍNCULOS_CDF'!$Y$6:$Y$1005,1))</f>
        <v>0</v>
      </c>
      <c r="AM475" s="96">
        <f>IF(Z475=0,0,COUNTIFS('RECEBIMENTOS'!$B$6:$B$1005,A475,'RECEBIMENTOS'!$Q$6:$Q$1005,1))</f>
        <v>0</v>
      </c>
      <c r="AN475" s="96">
        <f>IF(AND(Z475=1,N(W475)&gt;0,AG475=N(W475)),1,0)</f>
        <v>0</v>
      </c>
      <c r="AO475" s="96">
        <f>IF(AND(Z475=1,N(W475)&gt;0,AI475=N(W475)),1,0)</f>
        <v>0</v>
      </c>
      <c r="AP475" s="97">
        <f>IF(Z475=0,0,_xlfn.MAXIFS('RECEBIMENTOS'!$E$6:$E$1005,'RECEBIMENTOS'!$B$6:$B$1005,A475))</f>
        <v>0</v>
      </c>
      <c r="AQ475" s="97" t="str">
        <f>IF(T475="","",IF(T475="RECEBIMENTO NÃO CONFIRMADO",IF(ISNUMBER(F475),F475,IF(ISNUMBER(E475),E475,"")),IF(OR(T475="CDF NÃO LOCALIZADO",T475="VÍNCULO INCOMPLETO",T475="CDF A CONFERIR"),IF(AP475&gt;0,AP475,IF(ISNUMBER(E475),E475,"")),IF(ISNUMBER(E475),E475,""))))</f>
        <v/>
      </c>
      <c r="AR475" s="96">
        <f>IF(NOT(ISNUMBER(U475)),0,IF(T475="RECEBIMENTO NÃO CONFIRMADO",IF(AND(ISNUMBER(cfg_rec),U475&gt;cfg_rec),1,0),IF(OR(T475="CDF NÃO LOCALIZADO",T475="VÍNCULO INCOMPLETO",T475="CDF A CONFERIR"),IF(AND(ISNUMBER(cfg_cdf),U475&gt;cfg_cdf),1,0),0)))</f>
        <v>0</v>
      </c>
      <c r="AS475" s="96" t="str">
        <f>IF(T475="","",IF(AR475=1,"Alta",IFERROR(INDEX(cfg_pp,MATCH(T475,cfg_pt,0))&amp;"","Média")))</f>
        <v/>
      </c>
      <c r="AT475" s="96" t="str">
        <f>IF(T475="","",IFERROR(INDEX(cfg_pv,MATCH(T475,cfg_pt,0))&amp;"",""))</f>
        <v/>
      </c>
      <c r="AU475" s="96" t="str">
        <f>IF(T475="","",IF(AS475="Alta",1,IF(AS475="Média",2,3))*1000000000+(999999-IF(ISNUMBER(U475),MIN(U475,999999),0))*1000+470)</f>
        <v/>
      </c>
      <c r="AV475" s="96">
        <f>IF(T475&lt;&gt;"",1,0)</f>
        <v>0</v>
      </c>
      <c r="AW475" s="96" t="str">
        <f>IF(Z475=0,"",IF(AA475=1,"Cancelamento informado; ","")&amp;IF(AE475=1,"Campos essenciais ou itens faltando; ","")&amp;IF(AC475=1,"Possível duplicidade do número; ","")&amp;IF(AD475=1,"Cadastro ou datas a revisar; ","")&amp;IF(AF475&gt;0,"Item de resíduo com dado a revisar; ","")&amp;IF(AH475&gt;0,"Diferença de quantidade a analisar; ","")&amp;IF(AK475&gt;0,"Recebimento com alerta; ","")&amp;IF(AL475&gt;0,"Vínculo de CDF com alerta; ","")&amp;IF(AND(AA475=0,AN475=0),"Recebimento não confirmado; ","")&amp;IF(AND(AA475=0,AN475=1,AO475=0),"CDF pendente ou a conferir; ",""))</f>
        <v/>
      </c>
      <c r="AX475" s="96">
        <f>IF(Z475=0,0,IF(AND(OR(f_ini="",AND(ISNUMBER(E475),E475&gt;=f_ini)),OR(f_fim="",AND(ISNUMBER(E475),E475&lt;=f_fim)),OR(f_un="",f_un="(Todas)",G475=f_un),OR(f_tr="",f_tr="(Todos)",H475=f_tr),OR(f_de="",f_de="(Todos)",I475=f_de),OR(f_sit="",f_sit="(Todas)",S475=f_sit)),1,0))</f>
        <v>0</v>
      </c>
      <c r="AY475" s="96">
        <f>IF(AX475=0,0,IF(OR(f_res="",f_res="(Todos)"),1,IF(COUNTIFS('ITENS_MTR'!$S$6:$S$1005,A475,'ITENS_MTR'!$C$6:$C$1005,f_res)&gt;0,1,0)))</f>
        <v>0</v>
      </c>
      <c r="AZ475" s="97" t="str">
        <f>IF(ISNUMBER(E475),DATE(YEAR(E475),MONTH(E475),1),"")</f>
        <v/>
      </c>
      <c r="BA475" s="96">
        <f>IF(Z475=0,0,IF(AND(OR(r_ini="",AND(ISNUMBER(E475),E475&gt;=r_ini)),OR(r_fim="",AND(ISNUMBER(E475),E475&lt;=r_fim)),OR(r_un="",r_un="(Todas)",G475=r_un),OR(r_de="",r_de="(Todos)",I475=r_de)),1,0))</f>
        <v>0</v>
      </c>
      <c r="BB475" s="96" t="str">
        <f>IF(BA475=1,COUNTIF($BA$6:BA475,1),"")</f>
        <v/>
      </c>
      <c r="BC475" s="96" t="str">
        <f>IF(AND(AU475&lt;&gt;"",OR(r_un="",r_un="(Todas)",G475=r_un),OR(r_de="",r_de="(Todos)",I475=r_de)),AU475,"")</f>
        <v/>
      </c>
      <c r="BD475" s="96" t="str">
        <f>IF(Z475=1,A475&amp;" | nº "&amp;IF(B475="","(sem número)",B475)&amp;" | "&amp;IF(G475="","(sem unidade)",G475),"")</f>
        <v/>
      </c>
      <c r="BE475" s="96" t="str">
        <f>IF(Z475=1,COUNTIF($Z$6:Z475,1),"")</f>
        <v/>
      </c>
      <c r="BF475" s="96" t="str">
        <f>IF(T475="","",IF(T475="RECEBIMENTO NÃO CONFIRMADO","Transp.: "&amp;H475&amp;" | Dest.: "&amp;I475,IF(OR(T475="CDF NÃO LOCALIZADO",T475="VÍNCULO INCOMPLETO",T475="CDF A CONFERIR"),"Dest.: "&amp;I475,"Gerador: "&amp;G475)))</f>
        <v/>
      </c>
    </row>
    <row r="476">
      <c r="A476" s="89" t="inlineStr">
        <is>
          <t>MTR-000471</t>
        </is>
      </c>
      <c r="B476" s="90" t="n"/>
      <c r="C476" s="91" t="n"/>
      <c r="D476" s="91" t="n"/>
      <c r="E476" s="92" t="n"/>
      <c r="F476" s="92" t="n"/>
      <c r="G476" s="91" t="n"/>
      <c r="H476" s="91" t="n"/>
      <c r="I476" s="91" t="n"/>
      <c r="J476" s="91" t="n"/>
      <c r="K476" s="91" t="n"/>
      <c r="L476" s="92" t="n"/>
      <c r="M476" s="91" t="n"/>
      <c r="N476" s="91" t="n"/>
      <c r="O476" s="91" t="n"/>
      <c r="P476" s="93" t="str">
        <f>IF(Z476=0,"",SUMIFS('ITENS_MTR'!$I$6:$I$1005,'ITENS_MTR'!$S$6:$S$1005,A476,'ITENS_MTR'!$Y$6:$Y$1005,1))</f>
        <v/>
      </c>
      <c r="Q476" s="93" t="str">
        <f>IF(Z476=0,"",SUMIFS('RECEBIMENTOS'!$H$6:$H$1005,'RECEBIMENTOS'!$B$6:$B$1005,A476,'RECEBIMENTOS'!$X$6:$X$1005,1))</f>
        <v/>
      </c>
      <c r="R476" s="93" t="str">
        <f>IF(Z476=0,"",SUMIFS('VÍNCULOS_CDF'!$H$6:$H$1005,'VÍNCULOS_CDF'!$D$6:$D$1005,A476,'VÍNCULOS_CDF'!$V$6:$V$1005,1))</f>
        <v/>
      </c>
      <c r="S476" s="94" t="str">
        <f>IF(Z476=0,"",IF(AA476=1,"Cancelado (informado)",IF(AE476=1,"Cadastro incompleto",IF(OR(AC476=1,AD476=1,AF476&gt;0,AH476&gt;0,AK476&gt;0,AL476&gt;0),"Informação a revisar",IF(AN476=0,"Aguardando recebimento",IF(N(R476)=0,"Aguardando CDF",IF(AJ476&lt;N(W476),"Vínculo de CDF parcial",IF(AO476=0,"CDF localizado, a conferir","Documentação conferida"))))))))</f>
        <v/>
      </c>
      <c r="T476" s="94" t="str">
        <f>IF(Z476=0,"",IF(S476="Cadastro incompleto","MTR INCOMPLETO",IF(S476="Informação a revisar",IF(AND(AH476&gt;0,AC476=0,AD476=0,AF476=0,AK476=0,AL476=0),"QUANTIDADE A REVISAR","IDENTIFICAÇÃO A REVISAR"),IF(S476="Aguardando recebimento","RECEBIMENTO NÃO CONFIRMADO",IF(S476="Aguardando CDF","CDF NÃO LOCALIZADO",IF(S476="Vínculo de CDF parcial","VÍNCULO INCOMPLETO",IF(S476="CDF localizado, a conferir","CDF A CONFERIR","")))))))</f>
        <v/>
      </c>
      <c r="U476" s="95" t="str">
        <f>IF(T476="","",IF(AQ476="","Não calculável",IF(AQ476&gt;TODAY(),"Data futura",TODAY()-AQ476)))</f>
        <v/>
      </c>
      <c r="V476" s="93" t="str">
        <f>IF(Z476=0,"",SUMIFS('RECEBIMENTOS'!$H$6:$H$1005,'RECEBIMENTOS'!$B$6:$B$1005,A476,'RECEBIMENTOS'!$Z$6:$Z$1005,1))</f>
        <v/>
      </c>
      <c r="W476" s="95" t="str">
        <f>IF(Z476=0,"",COUNTIFS('ITENS_MTR'!$S$6:$S$1005,A476,'ITENS_MTR'!$R$6:$R$1005,1))</f>
        <v/>
      </c>
      <c r="X476" s="94" t="str">
        <f>IF(AC476=1,"POSSÍVEL DUPLICIDADE","")</f>
        <v/>
      </c>
      <c r="Y476" s="94" t="str">
        <f>IF(Z476=0,"",IF(AW476="","Nenhuma",LEFT(AW476,LEN(AW476)-2)))</f>
        <v/>
      </c>
      <c r="Z476" s="96">
        <f>IF(COUNTA(B476:O476)&gt;0,1,0)</f>
        <v>0</v>
      </c>
      <c r="AA476" s="96">
        <f>IF(AND(Z476=1,K476&lt;&gt;""),IF(TRIM(K476)=TRIM(cfg_cancel),1,0),0)</f>
        <v>0</v>
      </c>
      <c r="AB476" s="96" t="str">
        <f>IF(AND(Z476=1,B476&lt;&gt;""),C476&amp;"|"&amp;D476&amp;"|"&amp;G476&amp;"|"&amp;TRIM(B476),"")</f>
        <v/>
      </c>
      <c r="AC476" s="96">
        <f>IF(AB476="",0,IF(SUMPRODUCT(--($AB$6:$AB$505=AB476))&gt;1,1,0))</f>
        <v>0</v>
      </c>
      <c r="AD476" s="96">
        <f>IF(Z476=0,0,IF(OR(AND(G476&lt;&gt;"",ISNA(MATCH(G476,'CAD_UNIDADES'!$C$6:$C$105,0))),AND(H476&lt;&gt;"",ISNA(MATCH(H476,cmp_transp,0))),AND(I476&lt;&gt;"",ISNA(MATCH(I476,cmp_dest,0))),AND(E476&lt;&gt;"",NOT(ISNUMBER(E476))),AND(F476&lt;&gt;"",NOT(ISNUMBER(F476))),AND(ISNUMBER(E476),ISNUMBER(F476),F476&lt;E476)),1,0))</f>
        <v>0</v>
      </c>
      <c r="AE476" s="96">
        <f>IF(Z476=0,0,IF(OR(B476="",C476="",E476="",G476="",H476="",I476="",N(W476)=0),1,0))</f>
        <v>0</v>
      </c>
      <c r="AF476" s="96">
        <f>IF(Z476=0,0,COUNTIFS('ITENS_MTR'!$S$6:$S$1005,A476,'ITENS_MTR'!$AI$6:$AI$1005,1))</f>
        <v>0</v>
      </c>
      <c r="AG476" s="96">
        <f>IF(Z476=0,0,COUNTIFS('ITENS_MTR'!$S$6:$S$1005,A476,'ITENS_MTR'!$AJ$6:$AJ$1005,1))</f>
        <v>0</v>
      </c>
      <c r="AH476" s="96">
        <f>IF(Z476=0,0,COUNTIFS('ITENS_MTR'!$S$6:$S$1005,A476,'ITENS_MTR'!$AM$6:$AM$1005,1))</f>
        <v>0</v>
      </c>
      <c r="AI476" s="96">
        <f>IF(Z476=0,0,COUNTIFS('ITENS_MTR'!$S$6:$S$1005,A476,'ITENS_MTR'!$AO$6:$AO$1005,1))</f>
        <v>0</v>
      </c>
      <c r="AJ476" s="96">
        <f>IF(Z476=0,0,COUNTIFS('ITENS_MTR'!$S$6:$S$1005,A476,'ITENS_MTR'!$AN$6:$AN$1005,1))</f>
        <v>0</v>
      </c>
      <c r="AK476" s="96">
        <f>IF(Z476=0,0,COUNTIFS('RECEBIMENTOS'!$B$6:$B$1005,A476,'RECEBIMENTOS'!$Y$6:$Y$1005,1))</f>
        <v>0</v>
      </c>
      <c r="AL476" s="96">
        <f>IF(Z476=0,0,COUNTIFS('VÍNCULOS_CDF'!$D$6:$D$1005,A476,'VÍNCULOS_CDF'!$Y$6:$Y$1005,1))</f>
        <v>0</v>
      </c>
      <c r="AM476" s="96">
        <f>IF(Z476=0,0,COUNTIFS('RECEBIMENTOS'!$B$6:$B$1005,A476,'RECEBIMENTOS'!$Q$6:$Q$1005,1))</f>
        <v>0</v>
      </c>
      <c r="AN476" s="96">
        <f>IF(AND(Z476=1,N(W476)&gt;0,AG476=N(W476)),1,0)</f>
        <v>0</v>
      </c>
      <c r="AO476" s="96">
        <f>IF(AND(Z476=1,N(W476)&gt;0,AI476=N(W476)),1,0)</f>
        <v>0</v>
      </c>
      <c r="AP476" s="97">
        <f>IF(Z476=0,0,_xlfn.MAXIFS('RECEBIMENTOS'!$E$6:$E$1005,'RECEBIMENTOS'!$B$6:$B$1005,A476))</f>
        <v>0</v>
      </c>
      <c r="AQ476" s="97" t="str">
        <f>IF(T476="","",IF(T476="RECEBIMENTO NÃO CONFIRMADO",IF(ISNUMBER(F476),F476,IF(ISNUMBER(E476),E476,"")),IF(OR(T476="CDF NÃO LOCALIZADO",T476="VÍNCULO INCOMPLETO",T476="CDF A CONFERIR"),IF(AP476&gt;0,AP476,IF(ISNUMBER(E476),E476,"")),IF(ISNUMBER(E476),E476,""))))</f>
        <v/>
      </c>
      <c r="AR476" s="96">
        <f>IF(NOT(ISNUMBER(U476)),0,IF(T476="RECEBIMENTO NÃO CONFIRMADO",IF(AND(ISNUMBER(cfg_rec),U476&gt;cfg_rec),1,0),IF(OR(T476="CDF NÃO LOCALIZADO",T476="VÍNCULO INCOMPLETO",T476="CDF A CONFERIR"),IF(AND(ISNUMBER(cfg_cdf),U476&gt;cfg_cdf),1,0),0)))</f>
        <v>0</v>
      </c>
      <c r="AS476" s="96" t="str">
        <f>IF(T476="","",IF(AR476=1,"Alta",IFERROR(INDEX(cfg_pp,MATCH(T476,cfg_pt,0))&amp;"","Média")))</f>
        <v/>
      </c>
      <c r="AT476" s="96" t="str">
        <f>IF(T476="","",IFERROR(INDEX(cfg_pv,MATCH(T476,cfg_pt,0))&amp;"",""))</f>
        <v/>
      </c>
      <c r="AU476" s="96" t="str">
        <f>IF(T476="","",IF(AS476="Alta",1,IF(AS476="Média",2,3))*1000000000+(999999-IF(ISNUMBER(U476),MIN(U476,999999),0))*1000+471)</f>
        <v/>
      </c>
      <c r="AV476" s="96">
        <f>IF(T476&lt;&gt;"",1,0)</f>
        <v>0</v>
      </c>
      <c r="AW476" s="96" t="str">
        <f>IF(Z476=0,"",IF(AA476=1,"Cancelamento informado; ","")&amp;IF(AE476=1,"Campos essenciais ou itens faltando; ","")&amp;IF(AC476=1,"Possível duplicidade do número; ","")&amp;IF(AD476=1,"Cadastro ou datas a revisar; ","")&amp;IF(AF476&gt;0,"Item de resíduo com dado a revisar; ","")&amp;IF(AH476&gt;0,"Diferença de quantidade a analisar; ","")&amp;IF(AK476&gt;0,"Recebimento com alerta; ","")&amp;IF(AL476&gt;0,"Vínculo de CDF com alerta; ","")&amp;IF(AND(AA476=0,AN476=0),"Recebimento não confirmado; ","")&amp;IF(AND(AA476=0,AN476=1,AO476=0),"CDF pendente ou a conferir; ",""))</f>
        <v/>
      </c>
      <c r="AX476" s="96">
        <f>IF(Z476=0,0,IF(AND(OR(f_ini="",AND(ISNUMBER(E476),E476&gt;=f_ini)),OR(f_fim="",AND(ISNUMBER(E476),E476&lt;=f_fim)),OR(f_un="",f_un="(Todas)",G476=f_un),OR(f_tr="",f_tr="(Todos)",H476=f_tr),OR(f_de="",f_de="(Todos)",I476=f_de),OR(f_sit="",f_sit="(Todas)",S476=f_sit)),1,0))</f>
        <v>0</v>
      </c>
      <c r="AY476" s="96">
        <f>IF(AX476=0,0,IF(OR(f_res="",f_res="(Todos)"),1,IF(COUNTIFS('ITENS_MTR'!$S$6:$S$1005,A476,'ITENS_MTR'!$C$6:$C$1005,f_res)&gt;0,1,0)))</f>
        <v>0</v>
      </c>
      <c r="AZ476" s="97" t="str">
        <f>IF(ISNUMBER(E476),DATE(YEAR(E476),MONTH(E476),1),"")</f>
        <v/>
      </c>
      <c r="BA476" s="96">
        <f>IF(Z476=0,0,IF(AND(OR(r_ini="",AND(ISNUMBER(E476),E476&gt;=r_ini)),OR(r_fim="",AND(ISNUMBER(E476),E476&lt;=r_fim)),OR(r_un="",r_un="(Todas)",G476=r_un),OR(r_de="",r_de="(Todos)",I476=r_de)),1,0))</f>
        <v>0</v>
      </c>
      <c r="BB476" s="96" t="str">
        <f>IF(BA476=1,COUNTIF($BA$6:BA476,1),"")</f>
        <v/>
      </c>
      <c r="BC476" s="96" t="str">
        <f>IF(AND(AU476&lt;&gt;"",OR(r_un="",r_un="(Todas)",G476=r_un),OR(r_de="",r_de="(Todos)",I476=r_de)),AU476,"")</f>
        <v/>
      </c>
      <c r="BD476" s="96" t="str">
        <f>IF(Z476=1,A476&amp;" | nº "&amp;IF(B476="","(sem número)",B476)&amp;" | "&amp;IF(G476="","(sem unidade)",G476),"")</f>
        <v/>
      </c>
      <c r="BE476" s="96" t="str">
        <f>IF(Z476=1,COUNTIF($Z$6:Z476,1),"")</f>
        <v/>
      </c>
      <c r="BF476" s="96" t="str">
        <f>IF(T476="","",IF(T476="RECEBIMENTO NÃO CONFIRMADO","Transp.: "&amp;H476&amp;" | Dest.: "&amp;I476,IF(OR(T476="CDF NÃO LOCALIZADO",T476="VÍNCULO INCOMPLETO",T476="CDF A CONFERIR"),"Dest.: "&amp;I476,"Gerador: "&amp;G476)))</f>
        <v/>
      </c>
    </row>
    <row r="477">
      <c r="A477" s="89" t="inlineStr">
        <is>
          <t>MTR-000472</t>
        </is>
      </c>
      <c r="B477" s="90" t="n"/>
      <c r="C477" s="91" t="n"/>
      <c r="D477" s="91" t="n"/>
      <c r="E477" s="92" t="n"/>
      <c r="F477" s="92" t="n"/>
      <c r="G477" s="91" t="n"/>
      <c r="H477" s="91" t="n"/>
      <c r="I477" s="91" t="n"/>
      <c r="J477" s="91" t="n"/>
      <c r="K477" s="91" t="n"/>
      <c r="L477" s="92" t="n"/>
      <c r="M477" s="91" t="n"/>
      <c r="N477" s="91" t="n"/>
      <c r="O477" s="91" t="n"/>
      <c r="P477" s="93" t="str">
        <f>IF(Z477=0,"",SUMIFS('ITENS_MTR'!$I$6:$I$1005,'ITENS_MTR'!$S$6:$S$1005,A477,'ITENS_MTR'!$Y$6:$Y$1005,1))</f>
        <v/>
      </c>
      <c r="Q477" s="93" t="str">
        <f>IF(Z477=0,"",SUMIFS('RECEBIMENTOS'!$H$6:$H$1005,'RECEBIMENTOS'!$B$6:$B$1005,A477,'RECEBIMENTOS'!$X$6:$X$1005,1))</f>
        <v/>
      </c>
      <c r="R477" s="93" t="str">
        <f>IF(Z477=0,"",SUMIFS('VÍNCULOS_CDF'!$H$6:$H$1005,'VÍNCULOS_CDF'!$D$6:$D$1005,A477,'VÍNCULOS_CDF'!$V$6:$V$1005,1))</f>
        <v/>
      </c>
      <c r="S477" s="94" t="str">
        <f>IF(Z477=0,"",IF(AA477=1,"Cancelado (informado)",IF(AE477=1,"Cadastro incompleto",IF(OR(AC477=1,AD477=1,AF477&gt;0,AH477&gt;0,AK477&gt;0,AL477&gt;0),"Informação a revisar",IF(AN477=0,"Aguardando recebimento",IF(N(R477)=0,"Aguardando CDF",IF(AJ477&lt;N(W477),"Vínculo de CDF parcial",IF(AO477=0,"CDF localizado, a conferir","Documentação conferida"))))))))</f>
        <v/>
      </c>
      <c r="T477" s="94" t="str">
        <f>IF(Z477=0,"",IF(S477="Cadastro incompleto","MTR INCOMPLETO",IF(S477="Informação a revisar",IF(AND(AH477&gt;0,AC477=0,AD477=0,AF477=0,AK477=0,AL477=0),"QUANTIDADE A REVISAR","IDENTIFICAÇÃO A REVISAR"),IF(S477="Aguardando recebimento","RECEBIMENTO NÃO CONFIRMADO",IF(S477="Aguardando CDF","CDF NÃO LOCALIZADO",IF(S477="Vínculo de CDF parcial","VÍNCULO INCOMPLETO",IF(S477="CDF localizado, a conferir","CDF A CONFERIR","")))))))</f>
        <v/>
      </c>
      <c r="U477" s="95" t="str">
        <f>IF(T477="","",IF(AQ477="","Não calculável",IF(AQ477&gt;TODAY(),"Data futura",TODAY()-AQ477)))</f>
        <v/>
      </c>
      <c r="V477" s="93" t="str">
        <f>IF(Z477=0,"",SUMIFS('RECEBIMENTOS'!$H$6:$H$1005,'RECEBIMENTOS'!$B$6:$B$1005,A477,'RECEBIMENTOS'!$Z$6:$Z$1005,1))</f>
        <v/>
      </c>
      <c r="W477" s="95" t="str">
        <f>IF(Z477=0,"",COUNTIFS('ITENS_MTR'!$S$6:$S$1005,A477,'ITENS_MTR'!$R$6:$R$1005,1))</f>
        <v/>
      </c>
      <c r="X477" s="94" t="str">
        <f>IF(AC477=1,"POSSÍVEL DUPLICIDADE","")</f>
        <v/>
      </c>
      <c r="Y477" s="94" t="str">
        <f>IF(Z477=0,"",IF(AW477="","Nenhuma",LEFT(AW477,LEN(AW477)-2)))</f>
        <v/>
      </c>
      <c r="Z477" s="96">
        <f>IF(COUNTA(B477:O477)&gt;0,1,0)</f>
        <v>0</v>
      </c>
      <c r="AA477" s="96">
        <f>IF(AND(Z477=1,K477&lt;&gt;""),IF(TRIM(K477)=TRIM(cfg_cancel),1,0),0)</f>
        <v>0</v>
      </c>
      <c r="AB477" s="96" t="str">
        <f>IF(AND(Z477=1,B477&lt;&gt;""),C477&amp;"|"&amp;D477&amp;"|"&amp;G477&amp;"|"&amp;TRIM(B477),"")</f>
        <v/>
      </c>
      <c r="AC477" s="96">
        <f>IF(AB477="",0,IF(SUMPRODUCT(--($AB$6:$AB$505=AB477))&gt;1,1,0))</f>
        <v>0</v>
      </c>
      <c r="AD477" s="96">
        <f>IF(Z477=0,0,IF(OR(AND(G477&lt;&gt;"",ISNA(MATCH(G477,'CAD_UNIDADES'!$C$6:$C$105,0))),AND(H477&lt;&gt;"",ISNA(MATCH(H477,cmp_transp,0))),AND(I477&lt;&gt;"",ISNA(MATCH(I477,cmp_dest,0))),AND(E477&lt;&gt;"",NOT(ISNUMBER(E477))),AND(F477&lt;&gt;"",NOT(ISNUMBER(F477))),AND(ISNUMBER(E477),ISNUMBER(F477),F477&lt;E477)),1,0))</f>
        <v>0</v>
      </c>
      <c r="AE477" s="96">
        <f>IF(Z477=0,0,IF(OR(B477="",C477="",E477="",G477="",H477="",I477="",N(W477)=0),1,0))</f>
        <v>0</v>
      </c>
      <c r="AF477" s="96">
        <f>IF(Z477=0,0,COUNTIFS('ITENS_MTR'!$S$6:$S$1005,A477,'ITENS_MTR'!$AI$6:$AI$1005,1))</f>
        <v>0</v>
      </c>
      <c r="AG477" s="96">
        <f>IF(Z477=0,0,COUNTIFS('ITENS_MTR'!$S$6:$S$1005,A477,'ITENS_MTR'!$AJ$6:$AJ$1005,1))</f>
        <v>0</v>
      </c>
      <c r="AH477" s="96">
        <f>IF(Z477=0,0,COUNTIFS('ITENS_MTR'!$S$6:$S$1005,A477,'ITENS_MTR'!$AM$6:$AM$1005,1))</f>
        <v>0</v>
      </c>
      <c r="AI477" s="96">
        <f>IF(Z477=0,0,COUNTIFS('ITENS_MTR'!$S$6:$S$1005,A477,'ITENS_MTR'!$AO$6:$AO$1005,1))</f>
        <v>0</v>
      </c>
      <c r="AJ477" s="96">
        <f>IF(Z477=0,0,COUNTIFS('ITENS_MTR'!$S$6:$S$1005,A477,'ITENS_MTR'!$AN$6:$AN$1005,1))</f>
        <v>0</v>
      </c>
      <c r="AK477" s="96">
        <f>IF(Z477=0,0,COUNTIFS('RECEBIMENTOS'!$B$6:$B$1005,A477,'RECEBIMENTOS'!$Y$6:$Y$1005,1))</f>
        <v>0</v>
      </c>
      <c r="AL477" s="96">
        <f>IF(Z477=0,0,COUNTIFS('VÍNCULOS_CDF'!$D$6:$D$1005,A477,'VÍNCULOS_CDF'!$Y$6:$Y$1005,1))</f>
        <v>0</v>
      </c>
      <c r="AM477" s="96">
        <f>IF(Z477=0,0,COUNTIFS('RECEBIMENTOS'!$B$6:$B$1005,A477,'RECEBIMENTOS'!$Q$6:$Q$1005,1))</f>
        <v>0</v>
      </c>
      <c r="AN477" s="96">
        <f>IF(AND(Z477=1,N(W477)&gt;0,AG477=N(W477)),1,0)</f>
        <v>0</v>
      </c>
      <c r="AO477" s="96">
        <f>IF(AND(Z477=1,N(W477)&gt;0,AI477=N(W477)),1,0)</f>
        <v>0</v>
      </c>
      <c r="AP477" s="97">
        <f>IF(Z477=0,0,_xlfn.MAXIFS('RECEBIMENTOS'!$E$6:$E$1005,'RECEBIMENTOS'!$B$6:$B$1005,A477))</f>
        <v>0</v>
      </c>
      <c r="AQ477" s="97" t="str">
        <f>IF(T477="","",IF(T477="RECEBIMENTO NÃO CONFIRMADO",IF(ISNUMBER(F477),F477,IF(ISNUMBER(E477),E477,"")),IF(OR(T477="CDF NÃO LOCALIZADO",T477="VÍNCULO INCOMPLETO",T477="CDF A CONFERIR"),IF(AP477&gt;0,AP477,IF(ISNUMBER(E477),E477,"")),IF(ISNUMBER(E477),E477,""))))</f>
        <v/>
      </c>
      <c r="AR477" s="96">
        <f>IF(NOT(ISNUMBER(U477)),0,IF(T477="RECEBIMENTO NÃO CONFIRMADO",IF(AND(ISNUMBER(cfg_rec),U477&gt;cfg_rec),1,0),IF(OR(T477="CDF NÃO LOCALIZADO",T477="VÍNCULO INCOMPLETO",T477="CDF A CONFERIR"),IF(AND(ISNUMBER(cfg_cdf),U477&gt;cfg_cdf),1,0),0)))</f>
        <v>0</v>
      </c>
      <c r="AS477" s="96" t="str">
        <f>IF(T477="","",IF(AR477=1,"Alta",IFERROR(INDEX(cfg_pp,MATCH(T477,cfg_pt,0))&amp;"","Média")))</f>
        <v/>
      </c>
      <c r="AT477" s="96" t="str">
        <f>IF(T477="","",IFERROR(INDEX(cfg_pv,MATCH(T477,cfg_pt,0))&amp;"",""))</f>
        <v/>
      </c>
      <c r="AU477" s="96" t="str">
        <f>IF(T477="","",IF(AS477="Alta",1,IF(AS477="Média",2,3))*1000000000+(999999-IF(ISNUMBER(U477),MIN(U477,999999),0))*1000+472)</f>
        <v/>
      </c>
      <c r="AV477" s="96">
        <f>IF(T477&lt;&gt;"",1,0)</f>
        <v>0</v>
      </c>
      <c r="AW477" s="96" t="str">
        <f>IF(Z477=0,"",IF(AA477=1,"Cancelamento informado; ","")&amp;IF(AE477=1,"Campos essenciais ou itens faltando; ","")&amp;IF(AC477=1,"Possível duplicidade do número; ","")&amp;IF(AD477=1,"Cadastro ou datas a revisar; ","")&amp;IF(AF477&gt;0,"Item de resíduo com dado a revisar; ","")&amp;IF(AH477&gt;0,"Diferença de quantidade a analisar; ","")&amp;IF(AK477&gt;0,"Recebimento com alerta; ","")&amp;IF(AL477&gt;0,"Vínculo de CDF com alerta; ","")&amp;IF(AND(AA477=0,AN477=0),"Recebimento não confirmado; ","")&amp;IF(AND(AA477=0,AN477=1,AO477=0),"CDF pendente ou a conferir; ",""))</f>
        <v/>
      </c>
      <c r="AX477" s="96">
        <f>IF(Z477=0,0,IF(AND(OR(f_ini="",AND(ISNUMBER(E477),E477&gt;=f_ini)),OR(f_fim="",AND(ISNUMBER(E477),E477&lt;=f_fim)),OR(f_un="",f_un="(Todas)",G477=f_un),OR(f_tr="",f_tr="(Todos)",H477=f_tr),OR(f_de="",f_de="(Todos)",I477=f_de),OR(f_sit="",f_sit="(Todas)",S477=f_sit)),1,0))</f>
        <v>0</v>
      </c>
      <c r="AY477" s="96">
        <f>IF(AX477=0,0,IF(OR(f_res="",f_res="(Todos)"),1,IF(COUNTIFS('ITENS_MTR'!$S$6:$S$1005,A477,'ITENS_MTR'!$C$6:$C$1005,f_res)&gt;0,1,0)))</f>
        <v>0</v>
      </c>
      <c r="AZ477" s="97" t="str">
        <f>IF(ISNUMBER(E477),DATE(YEAR(E477),MONTH(E477),1),"")</f>
        <v/>
      </c>
      <c r="BA477" s="96">
        <f>IF(Z477=0,0,IF(AND(OR(r_ini="",AND(ISNUMBER(E477),E477&gt;=r_ini)),OR(r_fim="",AND(ISNUMBER(E477),E477&lt;=r_fim)),OR(r_un="",r_un="(Todas)",G477=r_un),OR(r_de="",r_de="(Todos)",I477=r_de)),1,0))</f>
        <v>0</v>
      </c>
      <c r="BB477" s="96" t="str">
        <f>IF(BA477=1,COUNTIF($BA$6:BA477,1),"")</f>
        <v/>
      </c>
      <c r="BC477" s="96" t="str">
        <f>IF(AND(AU477&lt;&gt;"",OR(r_un="",r_un="(Todas)",G477=r_un),OR(r_de="",r_de="(Todos)",I477=r_de)),AU477,"")</f>
        <v/>
      </c>
      <c r="BD477" s="96" t="str">
        <f>IF(Z477=1,A477&amp;" | nº "&amp;IF(B477="","(sem número)",B477)&amp;" | "&amp;IF(G477="","(sem unidade)",G477),"")</f>
        <v/>
      </c>
      <c r="BE477" s="96" t="str">
        <f>IF(Z477=1,COUNTIF($Z$6:Z477,1),"")</f>
        <v/>
      </c>
      <c r="BF477" s="96" t="str">
        <f>IF(T477="","",IF(T477="RECEBIMENTO NÃO CONFIRMADO","Transp.: "&amp;H477&amp;" | Dest.: "&amp;I477,IF(OR(T477="CDF NÃO LOCALIZADO",T477="VÍNCULO INCOMPLETO",T477="CDF A CONFERIR"),"Dest.: "&amp;I477,"Gerador: "&amp;G477)))</f>
        <v/>
      </c>
    </row>
    <row r="478">
      <c r="A478" s="89" t="inlineStr">
        <is>
          <t>MTR-000473</t>
        </is>
      </c>
      <c r="B478" s="90" t="n"/>
      <c r="C478" s="91" t="n"/>
      <c r="D478" s="91" t="n"/>
      <c r="E478" s="92" t="n"/>
      <c r="F478" s="92" t="n"/>
      <c r="G478" s="91" t="n"/>
      <c r="H478" s="91" t="n"/>
      <c r="I478" s="91" t="n"/>
      <c r="J478" s="91" t="n"/>
      <c r="K478" s="91" t="n"/>
      <c r="L478" s="92" t="n"/>
      <c r="M478" s="91" t="n"/>
      <c r="N478" s="91" t="n"/>
      <c r="O478" s="91" t="n"/>
      <c r="P478" s="93" t="str">
        <f>IF(Z478=0,"",SUMIFS('ITENS_MTR'!$I$6:$I$1005,'ITENS_MTR'!$S$6:$S$1005,A478,'ITENS_MTR'!$Y$6:$Y$1005,1))</f>
        <v/>
      </c>
      <c r="Q478" s="93" t="str">
        <f>IF(Z478=0,"",SUMIFS('RECEBIMENTOS'!$H$6:$H$1005,'RECEBIMENTOS'!$B$6:$B$1005,A478,'RECEBIMENTOS'!$X$6:$X$1005,1))</f>
        <v/>
      </c>
      <c r="R478" s="93" t="str">
        <f>IF(Z478=0,"",SUMIFS('VÍNCULOS_CDF'!$H$6:$H$1005,'VÍNCULOS_CDF'!$D$6:$D$1005,A478,'VÍNCULOS_CDF'!$V$6:$V$1005,1))</f>
        <v/>
      </c>
      <c r="S478" s="94" t="str">
        <f>IF(Z478=0,"",IF(AA478=1,"Cancelado (informado)",IF(AE478=1,"Cadastro incompleto",IF(OR(AC478=1,AD478=1,AF478&gt;0,AH478&gt;0,AK478&gt;0,AL478&gt;0),"Informação a revisar",IF(AN478=0,"Aguardando recebimento",IF(N(R478)=0,"Aguardando CDF",IF(AJ478&lt;N(W478),"Vínculo de CDF parcial",IF(AO478=0,"CDF localizado, a conferir","Documentação conferida"))))))))</f>
        <v/>
      </c>
      <c r="T478" s="94" t="str">
        <f>IF(Z478=0,"",IF(S478="Cadastro incompleto","MTR INCOMPLETO",IF(S478="Informação a revisar",IF(AND(AH478&gt;0,AC478=0,AD478=0,AF478=0,AK478=0,AL478=0),"QUANTIDADE A REVISAR","IDENTIFICAÇÃO A REVISAR"),IF(S478="Aguardando recebimento","RECEBIMENTO NÃO CONFIRMADO",IF(S478="Aguardando CDF","CDF NÃO LOCALIZADO",IF(S478="Vínculo de CDF parcial","VÍNCULO INCOMPLETO",IF(S478="CDF localizado, a conferir","CDF A CONFERIR","")))))))</f>
        <v/>
      </c>
      <c r="U478" s="95" t="str">
        <f>IF(T478="","",IF(AQ478="","Não calculável",IF(AQ478&gt;TODAY(),"Data futura",TODAY()-AQ478)))</f>
        <v/>
      </c>
      <c r="V478" s="93" t="str">
        <f>IF(Z478=0,"",SUMIFS('RECEBIMENTOS'!$H$6:$H$1005,'RECEBIMENTOS'!$B$6:$B$1005,A478,'RECEBIMENTOS'!$Z$6:$Z$1005,1))</f>
        <v/>
      </c>
      <c r="W478" s="95" t="str">
        <f>IF(Z478=0,"",COUNTIFS('ITENS_MTR'!$S$6:$S$1005,A478,'ITENS_MTR'!$R$6:$R$1005,1))</f>
        <v/>
      </c>
      <c r="X478" s="94" t="str">
        <f>IF(AC478=1,"POSSÍVEL DUPLICIDADE","")</f>
        <v/>
      </c>
      <c r="Y478" s="94" t="str">
        <f>IF(Z478=0,"",IF(AW478="","Nenhuma",LEFT(AW478,LEN(AW478)-2)))</f>
        <v/>
      </c>
      <c r="Z478" s="96">
        <f>IF(COUNTA(B478:O478)&gt;0,1,0)</f>
        <v>0</v>
      </c>
      <c r="AA478" s="96">
        <f>IF(AND(Z478=1,K478&lt;&gt;""),IF(TRIM(K478)=TRIM(cfg_cancel),1,0),0)</f>
        <v>0</v>
      </c>
      <c r="AB478" s="96" t="str">
        <f>IF(AND(Z478=1,B478&lt;&gt;""),C478&amp;"|"&amp;D478&amp;"|"&amp;G478&amp;"|"&amp;TRIM(B478),"")</f>
        <v/>
      </c>
      <c r="AC478" s="96">
        <f>IF(AB478="",0,IF(SUMPRODUCT(--($AB$6:$AB$505=AB478))&gt;1,1,0))</f>
        <v>0</v>
      </c>
      <c r="AD478" s="96">
        <f>IF(Z478=0,0,IF(OR(AND(G478&lt;&gt;"",ISNA(MATCH(G478,'CAD_UNIDADES'!$C$6:$C$105,0))),AND(H478&lt;&gt;"",ISNA(MATCH(H478,cmp_transp,0))),AND(I478&lt;&gt;"",ISNA(MATCH(I478,cmp_dest,0))),AND(E478&lt;&gt;"",NOT(ISNUMBER(E478))),AND(F478&lt;&gt;"",NOT(ISNUMBER(F478))),AND(ISNUMBER(E478),ISNUMBER(F478),F478&lt;E478)),1,0))</f>
        <v>0</v>
      </c>
      <c r="AE478" s="96">
        <f>IF(Z478=0,0,IF(OR(B478="",C478="",E478="",G478="",H478="",I478="",N(W478)=0),1,0))</f>
        <v>0</v>
      </c>
      <c r="AF478" s="96">
        <f>IF(Z478=0,0,COUNTIFS('ITENS_MTR'!$S$6:$S$1005,A478,'ITENS_MTR'!$AI$6:$AI$1005,1))</f>
        <v>0</v>
      </c>
      <c r="AG478" s="96">
        <f>IF(Z478=0,0,COUNTIFS('ITENS_MTR'!$S$6:$S$1005,A478,'ITENS_MTR'!$AJ$6:$AJ$1005,1))</f>
        <v>0</v>
      </c>
      <c r="AH478" s="96">
        <f>IF(Z478=0,0,COUNTIFS('ITENS_MTR'!$S$6:$S$1005,A478,'ITENS_MTR'!$AM$6:$AM$1005,1))</f>
        <v>0</v>
      </c>
      <c r="AI478" s="96">
        <f>IF(Z478=0,0,COUNTIFS('ITENS_MTR'!$S$6:$S$1005,A478,'ITENS_MTR'!$AO$6:$AO$1005,1))</f>
        <v>0</v>
      </c>
      <c r="AJ478" s="96">
        <f>IF(Z478=0,0,COUNTIFS('ITENS_MTR'!$S$6:$S$1005,A478,'ITENS_MTR'!$AN$6:$AN$1005,1))</f>
        <v>0</v>
      </c>
      <c r="AK478" s="96">
        <f>IF(Z478=0,0,COUNTIFS('RECEBIMENTOS'!$B$6:$B$1005,A478,'RECEBIMENTOS'!$Y$6:$Y$1005,1))</f>
        <v>0</v>
      </c>
      <c r="AL478" s="96">
        <f>IF(Z478=0,0,COUNTIFS('VÍNCULOS_CDF'!$D$6:$D$1005,A478,'VÍNCULOS_CDF'!$Y$6:$Y$1005,1))</f>
        <v>0</v>
      </c>
      <c r="AM478" s="96">
        <f>IF(Z478=0,0,COUNTIFS('RECEBIMENTOS'!$B$6:$B$1005,A478,'RECEBIMENTOS'!$Q$6:$Q$1005,1))</f>
        <v>0</v>
      </c>
      <c r="AN478" s="96">
        <f>IF(AND(Z478=1,N(W478)&gt;0,AG478=N(W478)),1,0)</f>
        <v>0</v>
      </c>
      <c r="AO478" s="96">
        <f>IF(AND(Z478=1,N(W478)&gt;0,AI478=N(W478)),1,0)</f>
        <v>0</v>
      </c>
      <c r="AP478" s="97">
        <f>IF(Z478=0,0,_xlfn.MAXIFS('RECEBIMENTOS'!$E$6:$E$1005,'RECEBIMENTOS'!$B$6:$B$1005,A478))</f>
        <v>0</v>
      </c>
      <c r="AQ478" s="97" t="str">
        <f>IF(T478="","",IF(T478="RECEBIMENTO NÃO CONFIRMADO",IF(ISNUMBER(F478),F478,IF(ISNUMBER(E478),E478,"")),IF(OR(T478="CDF NÃO LOCALIZADO",T478="VÍNCULO INCOMPLETO",T478="CDF A CONFERIR"),IF(AP478&gt;0,AP478,IF(ISNUMBER(E478),E478,"")),IF(ISNUMBER(E478),E478,""))))</f>
        <v/>
      </c>
      <c r="AR478" s="96">
        <f>IF(NOT(ISNUMBER(U478)),0,IF(T478="RECEBIMENTO NÃO CONFIRMADO",IF(AND(ISNUMBER(cfg_rec),U478&gt;cfg_rec),1,0),IF(OR(T478="CDF NÃO LOCALIZADO",T478="VÍNCULO INCOMPLETO",T478="CDF A CONFERIR"),IF(AND(ISNUMBER(cfg_cdf),U478&gt;cfg_cdf),1,0),0)))</f>
        <v>0</v>
      </c>
      <c r="AS478" s="96" t="str">
        <f>IF(T478="","",IF(AR478=1,"Alta",IFERROR(INDEX(cfg_pp,MATCH(T478,cfg_pt,0))&amp;"","Média")))</f>
        <v/>
      </c>
      <c r="AT478" s="96" t="str">
        <f>IF(T478="","",IFERROR(INDEX(cfg_pv,MATCH(T478,cfg_pt,0))&amp;"",""))</f>
        <v/>
      </c>
      <c r="AU478" s="96" t="str">
        <f>IF(T478="","",IF(AS478="Alta",1,IF(AS478="Média",2,3))*1000000000+(999999-IF(ISNUMBER(U478),MIN(U478,999999),0))*1000+473)</f>
        <v/>
      </c>
      <c r="AV478" s="96">
        <f>IF(T478&lt;&gt;"",1,0)</f>
        <v>0</v>
      </c>
      <c r="AW478" s="96" t="str">
        <f>IF(Z478=0,"",IF(AA478=1,"Cancelamento informado; ","")&amp;IF(AE478=1,"Campos essenciais ou itens faltando; ","")&amp;IF(AC478=1,"Possível duplicidade do número; ","")&amp;IF(AD478=1,"Cadastro ou datas a revisar; ","")&amp;IF(AF478&gt;0,"Item de resíduo com dado a revisar; ","")&amp;IF(AH478&gt;0,"Diferença de quantidade a analisar; ","")&amp;IF(AK478&gt;0,"Recebimento com alerta; ","")&amp;IF(AL478&gt;0,"Vínculo de CDF com alerta; ","")&amp;IF(AND(AA478=0,AN478=0),"Recebimento não confirmado; ","")&amp;IF(AND(AA478=0,AN478=1,AO478=0),"CDF pendente ou a conferir; ",""))</f>
        <v/>
      </c>
      <c r="AX478" s="96">
        <f>IF(Z478=0,0,IF(AND(OR(f_ini="",AND(ISNUMBER(E478),E478&gt;=f_ini)),OR(f_fim="",AND(ISNUMBER(E478),E478&lt;=f_fim)),OR(f_un="",f_un="(Todas)",G478=f_un),OR(f_tr="",f_tr="(Todos)",H478=f_tr),OR(f_de="",f_de="(Todos)",I478=f_de),OR(f_sit="",f_sit="(Todas)",S478=f_sit)),1,0))</f>
        <v>0</v>
      </c>
      <c r="AY478" s="96">
        <f>IF(AX478=0,0,IF(OR(f_res="",f_res="(Todos)"),1,IF(COUNTIFS('ITENS_MTR'!$S$6:$S$1005,A478,'ITENS_MTR'!$C$6:$C$1005,f_res)&gt;0,1,0)))</f>
        <v>0</v>
      </c>
      <c r="AZ478" s="97" t="str">
        <f>IF(ISNUMBER(E478),DATE(YEAR(E478),MONTH(E478),1),"")</f>
        <v/>
      </c>
      <c r="BA478" s="96">
        <f>IF(Z478=0,0,IF(AND(OR(r_ini="",AND(ISNUMBER(E478),E478&gt;=r_ini)),OR(r_fim="",AND(ISNUMBER(E478),E478&lt;=r_fim)),OR(r_un="",r_un="(Todas)",G478=r_un),OR(r_de="",r_de="(Todos)",I478=r_de)),1,0))</f>
        <v>0</v>
      </c>
      <c r="BB478" s="96" t="str">
        <f>IF(BA478=1,COUNTIF($BA$6:BA478,1),"")</f>
        <v/>
      </c>
      <c r="BC478" s="96" t="str">
        <f>IF(AND(AU478&lt;&gt;"",OR(r_un="",r_un="(Todas)",G478=r_un),OR(r_de="",r_de="(Todos)",I478=r_de)),AU478,"")</f>
        <v/>
      </c>
      <c r="BD478" s="96" t="str">
        <f>IF(Z478=1,A478&amp;" | nº "&amp;IF(B478="","(sem número)",B478)&amp;" | "&amp;IF(G478="","(sem unidade)",G478),"")</f>
        <v/>
      </c>
      <c r="BE478" s="96" t="str">
        <f>IF(Z478=1,COUNTIF($Z$6:Z478,1),"")</f>
        <v/>
      </c>
      <c r="BF478" s="96" t="str">
        <f>IF(T478="","",IF(T478="RECEBIMENTO NÃO CONFIRMADO","Transp.: "&amp;H478&amp;" | Dest.: "&amp;I478,IF(OR(T478="CDF NÃO LOCALIZADO",T478="VÍNCULO INCOMPLETO",T478="CDF A CONFERIR"),"Dest.: "&amp;I478,"Gerador: "&amp;G478)))</f>
        <v/>
      </c>
    </row>
    <row r="479">
      <c r="A479" s="89" t="inlineStr">
        <is>
          <t>MTR-000474</t>
        </is>
      </c>
      <c r="B479" s="90" t="n"/>
      <c r="C479" s="91" t="n"/>
      <c r="D479" s="91" t="n"/>
      <c r="E479" s="92" t="n"/>
      <c r="F479" s="92" t="n"/>
      <c r="G479" s="91" t="n"/>
      <c r="H479" s="91" t="n"/>
      <c r="I479" s="91" t="n"/>
      <c r="J479" s="91" t="n"/>
      <c r="K479" s="91" t="n"/>
      <c r="L479" s="92" t="n"/>
      <c r="M479" s="91" t="n"/>
      <c r="N479" s="91" t="n"/>
      <c r="O479" s="91" t="n"/>
      <c r="P479" s="93" t="str">
        <f>IF(Z479=0,"",SUMIFS('ITENS_MTR'!$I$6:$I$1005,'ITENS_MTR'!$S$6:$S$1005,A479,'ITENS_MTR'!$Y$6:$Y$1005,1))</f>
        <v/>
      </c>
      <c r="Q479" s="93" t="str">
        <f>IF(Z479=0,"",SUMIFS('RECEBIMENTOS'!$H$6:$H$1005,'RECEBIMENTOS'!$B$6:$B$1005,A479,'RECEBIMENTOS'!$X$6:$X$1005,1))</f>
        <v/>
      </c>
      <c r="R479" s="93" t="str">
        <f>IF(Z479=0,"",SUMIFS('VÍNCULOS_CDF'!$H$6:$H$1005,'VÍNCULOS_CDF'!$D$6:$D$1005,A479,'VÍNCULOS_CDF'!$V$6:$V$1005,1))</f>
        <v/>
      </c>
      <c r="S479" s="94" t="str">
        <f>IF(Z479=0,"",IF(AA479=1,"Cancelado (informado)",IF(AE479=1,"Cadastro incompleto",IF(OR(AC479=1,AD479=1,AF479&gt;0,AH479&gt;0,AK479&gt;0,AL479&gt;0),"Informação a revisar",IF(AN479=0,"Aguardando recebimento",IF(N(R479)=0,"Aguardando CDF",IF(AJ479&lt;N(W479),"Vínculo de CDF parcial",IF(AO479=0,"CDF localizado, a conferir","Documentação conferida"))))))))</f>
        <v/>
      </c>
      <c r="T479" s="94" t="str">
        <f>IF(Z479=0,"",IF(S479="Cadastro incompleto","MTR INCOMPLETO",IF(S479="Informação a revisar",IF(AND(AH479&gt;0,AC479=0,AD479=0,AF479=0,AK479=0,AL479=0),"QUANTIDADE A REVISAR","IDENTIFICAÇÃO A REVISAR"),IF(S479="Aguardando recebimento","RECEBIMENTO NÃO CONFIRMADO",IF(S479="Aguardando CDF","CDF NÃO LOCALIZADO",IF(S479="Vínculo de CDF parcial","VÍNCULO INCOMPLETO",IF(S479="CDF localizado, a conferir","CDF A CONFERIR","")))))))</f>
        <v/>
      </c>
      <c r="U479" s="95" t="str">
        <f>IF(T479="","",IF(AQ479="","Não calculável",IF(AQ479&gt;TODAY(),"Data futura",TODAY()-AQ479)))</f>
        <v/>
      </c>
      <c r="V479" s="93" t="str">
        <f>IF(Z479=0,"",SUMIFS('RECEBIMENTOS'!$H$6:$H$1005,'RECEBIMENTOS'!$B$6:$B$1005,A479,'RECEBIMENTOS'!$Z$6:$Z$1005,1))</f>
        <v/>
      </c>
      <c r="W479" s="95" t="str">
        <f>IF(Z479=0,"",COUNTIFS('ITENS_MTR'!$S$6:$S$1005,A479,'ITENS_MTR'!$R$6:$R$1005,1))</f>
        <v/>
      </c>
      <c r="X479" s="94" t="str">
        <f>IF(AC479=1,"POSSÍVEL DUPLICIDADE","")</f>
        <v/>
      </c>
      <c r="Y479" s="94" t="str">
        <f>IF(Z479=0,"",IF(AW479="","Nenhuma",LEFT(AW479,LEN(AW479)-2)))</f>
        <v/>
      </c>
      <c r="Z479" s="96">
        <f>IF(COUNTA(B479:O479)&gt;0,1,0)</f>
        <v>0</v>
      </c>
      <c r="AA479" s="96">
        <f>IF(AND(Z479=1,K479&lt;&gt;""),IF(TRIM(K479)=TRIM(cfg_cancel),1,0),0)</f>
        <v>0</v>
      </c>
      <c r="AB479" s="96" t="str">
        <f>IF(AND(Z479=1,B479&lt;&gt;""),C479&amp;"|"&amp;D479&amp;"|"&amp;G479&amp;"|"&amp;TRIM(B479),"")</f>
        <v/>
      </c>
      <c r="AC479" s="96">
        <f>IF(AB479="",0,IF(SUMPRODUCT(--($AB$6:$AB$505=AB479))&gt;1,1,0))</f>
        <v>0</v>
      </c>
      <c r="AD479" s="96">
        <f>IF(Z479=0,0,IF(OR(AND(G479&lt;&gt;"",ISNA(MATCH(G479,'CAD_UNIDADES'!$C$6:$C$105,0))),AND(H479&lt;&gt;"",ISNA(MATCH(H479,cmp_transp,0))),AND(I479&lt;&gt;"",ISNA(MATCH(I479,cmp_dest,0))),AND(E479&lt;&gt;"",NOT(ISNUMBER(E479))),AND(F479&lt;&gt;"",NOT(ISNUMBER(F479))),AND(ISNUMBER(E479),ISNUMBER(F479),F479&lt;E479)),1,0))</f>
        <v>0</v>
      </c>
      <c r="AE479" s="96">
        <f>IF(Z479=0,0,IF(OR(B479="",C479="",E479="",G479="",H479="",I479="",N(W479)=0),1,0))</f>
        <v>0</v>
      </c>
      <c r="AF479" s="96">
        <f>IF(Z479=0,0,COUNTIFS('ITENS_MTR'!$S$6:$S$1005,A479,'ITENS_MTR'!$AI$6:$AI$1005,1))</f>
        <v>0</v>
      </c>
      <c r="AG479" s="96">
        <f>IF(Z479=0,0,COUNTIFS('ITENS_MTR'!$S$6:$S$1005,A479,'ITENS_MTR'!$AJ$6:$AJ$1005,1))</f>
        <v>0</v>
      </c>
      <c r="AH479" s="96">
        <f>IF(Z479=0,0,COUNTIFS('ITENS_MTR'!$S$6:$S$1005,A479,'ITENS_MTR'!$AM$6:$AM$1005,1))</f>
        <v>0</v>
      </c>
      <c r="AI479" s="96">
        <f>IF(Z479=0,0,COUNTIFS('ITENS_MTR'!$S$6:$S$1005,A479,'ITENS_MTR'!$AO$6:$AO$1005,1))</f>
        <v>0</v>
      </c>
      <c r="AJ479" s="96">
        <f>IF(Z479=0,0,COUNTIFS('ITENS_MTR'!$S$6:$S$1005,A479,'ITENS_MTR'!$AN$6:$AN$1005,1))</f>
        <v>0</v>
      </c>
      <c r="AK479" s="96">
        <f>IF(Z479=0,0,COUNTIFS('RECEBIMENTOS'!$B$6:$B$1005,A479,'RECEBIMENTOS'!$Y$6:$Y$1005,1))</f>
        <v>0</v>
      </c>
      <c r="AL479" s="96">
        <f>IF(Z479=0,0,COUNTIFS('VÍNCULOS_CDF'!$D$6:$D$1005,A479,'VÍNCULOS_CDF'!$Y$6:$Y$1005,1))</f>
        <v>0</v>
      </c>
      <c r="AM479" s="96">
        <f>IF(Z479=0,0,COUNTIFS('RECEBIMENTOS'!$B$6:$B$1005,A479,'RECEBIMENTOS'!$Q$6:$Q$1005,1))</f>
        <v>0</v>
      </c>
      <c r="AN479" s="96">
        <f>IF(AND(Z479=1,N(W479)&gt;0,AG479=N(W479)),1,0)</f>
        <v>0</v>
      </c>
      <c r="AO479" s="96">
        <f>IF(AND(Z479=1,N(W479)&gt;0,AI479=N(W479)),1,0)</f>
        <v>0</v>
      </c>
      <c r="AP479" s="97">
        <f>IF(Z479=0,0,_xlfn.MAXIFS('RECEBIMENTOS'!$E$6:$E$1005,'RECEBIMENTOS'!$B$6:$B$1005,A479))</f>
        <v>0</v>
      </c>
      <c r="AQ479" s="97" t="str">
        <f>IF(T479="","",IF(T479="RECEBIMENTO NÃO CONFIRMADO",IF(ISNUMBER(F479),F479,IF(ISNUMBER(E479),E479,"")),IF(OR(T479="CDF NÃO LOCALIZADO",T479="VÍNCULO INCOMPLETO",T479="CDF A CONFERIR"),IF(AP479&gt;0,AP479,IF(ISNUMBER(E479),E479,"")),IF(ISNUMBER(E479),E479,""))))</f>
        <v/>
      </c>
      <c r="AR479" s="96">
        <f>IF(NOT(ISNUMBER(U479)),0,IF(T479="RECEBIMENTO NÃO CONFIRMADO",IF(AND(ISNUMBER(cfg_rec),U479&gt;cfg_rec),1,0),IF(OR(T479="CDF NÃO LOCALIZADO",T479="VÍNCULO INCOMPLETO",T479="CDF A CONFERIR"),IF(AND(ISNUMBER(cfg_cdf),U479&gt;cfg_cdf),1,0),0)))</f>
        <v>0</v>
      </c>
      <c r="AS479" s="96" t="str">
        <f>IF(T479="","",IF(AR479=1,"Alta",IFERROR(INDEX(cfg_pp,MATCH(T479,cfg_pt,0))&amp;"","Média")))</f>
        <v/>
      </c>
      <c r="AT479" s="96" t="str">
        <f>IF(T479="","",IFERROR(INDEX(cfg_pv,MATCH(T479,cfg_pt,0))&amp;"",""))</f>
        <v/>
      </c>
      <c r="AU479" s="96" t="str">
        <f>IF(T479="","",IF(AS479="Alta",1,IF(AS479="Média",2,3))*1000000000+(999999-IF(ISNUMBER(U479),MIN(U479,999999),0))*1000+474)</f>
        <v/>
      </c>
      <c r="AV479" s="96">
        <f>IF(T479&lt;&gt;"",1,0)</f>
        <v>0</v>
      </c>
      <c r="AW479" s="96" t="str">
        <f>IF(Z479=0,"",IF(AA479=1,"Cancelamento informado; ","")&amp;IF(AE479=1,"Campos essenciais ou itens faltando; ","")&amp;IF(AC479=1,"Possível duplicidade do número; ","")&amp;IF(AD479=1,"Cadastro ou datas a revisar; ","")&amp;IF(AF479&gt;0,"Item de resíduo com dado a revisar; ","")&amp;IF(AH479&gt;0,"Diferença de quantidade a analisar; ","")&amp;IF(AK479&gt;0,"Recebimento com alerta; ","")&amp;IF(AL479&gt;0,"Vínculo de CDF com alerta; ","")&amp;IF(AND(AA479=0,AN479=0),"Recebimento não confirmado; ","")&amp;IF(AND(AA479=0,AN479=1,AO479=0),"CDF pendente ou a conferir; ",""))</f>
        <v/>
      </c>
      <c r="AX479" s="96">
        <f>IF(Z479=0,0,IF(AND(OR(f_ini="",AND(ISNUMBER(E479),E479&gt;=f_ini)),OR(f_fim="",AND(ISNUMBER(E479),E479&lt;=f_fim)),OR(f_un="",f_un="(Todas)",G479=f_un),OR(f_tr="",f_tr="(Todos)",H479=f_tr),OR(f_de="",f_de="(Todos)",I479=f_de),OR(f_sit="",f_sit="(Todas)",S479=f_sit)),1,0))</f>
        <v>0</v>
      </c>
      <c r="AY479" s="96">
        <f>IF(AX479=0,0,IF(OR(f_res="",f_res="(Todos)"),1,IF(COUNTIFS('ITENS_MTR'!$S$6:$S$1005,A479,'ITENS_MTR'!$C$6:$C$1005,f_res)&gt;0,1,0)))</f>
        <v>0</v>
      </c>
      <c r="AZ479" s="97" t="str">
        <f>IF(ISNUMBER(E479),DATE(YEAR(E479),MONTH(E479),1),"")</f>
        <v/>
      </c>
      <c r="BA479" s="96">
        <f>IF(Z479=0,0,IF(AND(OR(r_ini="",AND(ISNUMBER(E479),E479&gt;=r_ini)),OR(r_fim="",AND(ISNUMBER(E479),E479&lt;=r_fim)),OR(r_un="",r_un="(Todas)",G479=r_un),OR(r_de="",r_de="(Todos)",I479=r_de)),1,0))</f>
        <v>0</v>
      </c>
      <c r="BB479" s="96" t="str">
        <f>IF(BA479=1,COUNTIF($BA$6:BA479,1),"")</f>
        <v/>
      </c>
      <c r="BC479" s="96" t="str">
        <f>IF(AND(AU479&lt;&gt;"",OR(r_un="",r_un="(Todas)",G479=r_un),OR(r_de="",r_de="(Todos)",I479=r_de)),AU479,"")</f>
        <v/>
      </c>
      <c r="BD479" s="96" t="str">
        <f>IF(Z479=1,A479&amp;" | nº "&amp;IF(B479="","(sem número)",B479)&amp;" | "&amp;IF(G479="","(sem unidade)",G479),"")</f>
        <v/>
      </c>
      <c r="BE479" s="96" t="str">
        <f>IF(Z479=1,COUNTIF($Z$6:Z479,1),"")</f>
        <v/>
      </c>
      <c r="BF479" s="96" t="str">
        <f>IF(T479="","",IF(T479="RECEBIMENTO NÃO CONFIRMADO","Transp.: "&amp;H479&amp;" | Dest.: "&amp;I479,IF(OR(T479="CDF NÃO LOCALIZADO",T479="VÍNCULO INCOMPLETO",T479="CDF A CONFERIR"),"Dest.: "&amp;I479,"Gerador: "&amp;G479)))</f>
        <v/>
      </c>
    </row>
    <row r="480">
      <c r="A480" s="89" t="inlineStr">
        <is>
          <t>MTR-000475</t>
        </is>
      </c>
      <c r="B480" s="90" t="n"/>
      <c r="C480" s="91" t="n"/>
      <c r="D480" s="91" t="n"/>
      <c r="E480" s="92" t="n"/>
      <c r="F480" s="92" t="n"/>
      <c r="G480" s="91" t="n"/>
      <c r="H480" s="91" t="n"/>
      <c r="I480" s="91" t="n"/>
      <c r="J480" s="91" t="n"/>
      <c r="K480" s="91" t="n"/>
      <c r="L480" s="92" t="n"/>
      <c r="M480" s="91" t="n"/>
      <c r="N480" s="91" t="n"/>
      <c r="O480" s="91" t="n"/>
      <c r="P480" s="93" t="str">
        <f>IF(Z480=0,"",SUMIFS('ITENS_MTR'!$I$6:$I$1005,'ITENS_MTR'!$S$6:$S$1005,A480,'ITENS_MTR'!$Y$6:$Y$1005,1))</f>
        <v/>
      </c>
      <c r="Q480" s="93" t="str">
        <f>IF(Z480=0,"",SUMIFS('RECEBIMENTOS'!$H$6:$H$1005,'RECEBIMENTOS'!$B$6:$B$1005,A480,'RECEBIMENTOS'!$X$6:$X$1005,1))</f>
        <v/>
      </c>
      <c r="R480" s="93" t="str">
        <f>IF(Z480=0,"",SUMIFS('VÍNCULOS_CDF'!$H$6:$H$1005,'VÍNCULOS_CDF'!$D$6:$D$1005,A480,'VÍNCULOS_CDF'!$V$6:$V$1005,1))</f>
        <v/>
      </c>
      <c r="S480" s="94" t="str">
        <f>IF(Z480=0,"",IF(AA480=1,"Cancelado (informado)",IF(AE480=1,"Cadastro incompleto",IF(OR(AC480=1,AD480=1,AF480&gt;0,AH480&gt;0,AK480&gt;0,AL480&gt;0),"Informação a revisar",IF(AN480=0,"Aguardando recebimento",IF(N(R480)=0,"Aguardando CDF",IF(AJ480&lt;N(W480),"Vínculo de CDF parcial",IF(AO480=0,"CDF localizado, a conferir","Documentação conferida"))))))))</f>
        <v/>
      </c>
      <c r="T480" s="94" t="str">
        <f>IF(Z480=0,"",IF(S480="Cadastro incompleto","MTR INCOMPLETO",IF(S480="Informação a revisar",IF(AND(AH480&gt;0,AC480=0,AD480=0,AF480=0,AK480=0,AL480=0),"QUANTIDADE A REVISAR","IDENTIFICAÇÃO A REVISAR"),IF(S480="Aguardando recebimento","RECEBIMENTO NÃO CONFIRMADO",IF(S480="Aguardando CDF","CDF NÃO LOCALIZADO",IF(S480="Vínculo de CDF parcial","VÍNCULO INCOMPLETO",IF(S480="CDF localizado, a conferir","CDF A CONFERIR","")))))))</f>
        <v/>
      </c>
      <c r="U480" s="95" t="str">
        <f>IF(T480="","",IF(AQ480="","Não calculável",IF(AQ480&gt;TODAY(),"Data futura",TODAY()-AQ480)))</f>
        <v/>
      </c>
      <c r="V480" s="93" t="str">
        <f>IF(Z480=0,"",SUMIFS('RECEBIMENTOS'!$H$6:$H$1005,'RECEBIMENTOS'!$B$6:$B$1005,A480,'RECEBIMENTOS'!$Z$6:$Z$1005,1))</f>
        <v/>
      </c>
      <c r="W480" s="95" t="str">
        <f>IF(Z480=0,"",COUNTIFS('ITENS_MTR'!$S$6:$S$1005,A480,'ITENS_MTR'!$R$6:$R$1005,1))</f>
        <v/>
      </c>
      <c r="X480" s="94" t="str">
        <f>IF(AC480=1,"POSSÍVEL DUPLICIDADE","")</f>
        <v/>
      </c>
      <c r="Y480" s="94" t="str">
        <f>IF(Z480=0,"",IF(AW480="","Nenhuma",LEFT(AW480,LEN(AW480)-2)))</f>
        <v/>
      </c>
      <c r="Z480" s="96">
        <f>IF(COUNTA(B480:O480)&gt;0,1,0)</f>
        <v>0</v>
      </c>
      <c r="AA480" s="96">
        <f>IF(AND(Z480=1,K480&lt;&gt;""),IF(TRIM(K480)=TRIM(cfg_cancel),1,0),0)</f>
        <v>0</v>
      </c>
      <c r="AB480" s="96" t="str">
        <f>IF(AND(Z480=1,B480&lt;&gt;""),C480&amp;"|"&amp;D480&amp;"|"&amp;G480&amp;"|"&amp;TRIM(B480),"")</f>
        <v/>
      </c>
      <c r="AC480" s="96">
        <f>IF(AB480="",0,IF(SUMPRODUCT(--($AB$6:$AB$505=AB480))&gt;1,1,0))</f>
        <v>0</v>
      </c>
      <c r="AD480" s="96">
        <f>IF(Z480=0,0,IF(OR(AND(G480&lt;&gt;"",ISNA(MATCH(G480,'CAD_UNIDADES'!$C$6:$C$105,0))),AND(H480&lt;&gt;"",ISNA(MATCH(H480,cmp_transp,0))),AND(I480&lt;&gt;"",ISNA(MATCH(I480,cmp_dest,0))),AND(E480&lt;&gt;"",NOT(ISNUMBER(E480))),AND(F480&lt;&gt;"",NOT(ISNUMBER(F480))),AND(ISNUMBER(E480),ISNUMBER(F480),F480&lt;E480)),1,0))</f>
        <v>0</v>
      </c>
      <c r="AE480" s="96">
        <f>IF(Z480=0,0,IF(OR(B480="",C480="",E480="",G480="",H480="",I480="",N(W480)=0),1,0))</f>
        <v>0</v>
      </c>
      <c r="AF480" s="96">
        <f>IF(Z480=0,0,COUNTIFS('ITENS_MTR'!$S$6:$S$1005,A480,'ITENS_MTR'!$AI$6:$AI$1005,1))</f>
        <v>0</v>
      </c>
      <c r="AG480" s="96">
        <f>IF(Z480=0,0,COUNTIFS('ITENS_MTR'!$S$6:$S$1005,A480,'ITENS_MTR'!$AJ$6:$AJ$1005,1))</f>
        <v>0</v>
      </c>
      <c r="AH480" s="96">
        <f>IF(Z480=0,0,COUNTIFS('ITENS_MTR'!$S$6:$S$1005,A480,'ITENS_MTR'!$AM$6:$AM$1005,1))</f>
        <v>0</v>
      </c>
      <c r="AI480" s="96">
        <f>IF(Z480=0,0,COUNTIFS('ITENS_MTR'!$S$6:$S$1005,A480,'ITENS_MTR'!$AO$6:$AO$1005,1))</f>
        <v>0</v>
      </c>
      <c r="AJ480" s="96">
        <f>IF(Z480=0,0,COUNTIFS('ITENS_MTR'!$S$6:$S$1005,A480,'ITENS_MTR'!$AN$6:$AN$1005,1))</f>
        <v>0</v>
      </c>
      <c r="AK480" s="96">
        <f>IF(Z480=0,0,COUNTIFS('RECEBIMENTOS'!$B$6:$B$1005,A480,'RECEBIMENTOS'!$Y$6:$Y$1005,1))</f>
        <v>0</v>
      </c>
      <c r="AL480" s="96">
        <f>IF(Z480=0,0,COUNTIFS('VÍNCULOS_CDF'!$D$6:$D$1005,A480,'VÍNCULOS_CDF'!$Y$6:$Y$1005,1))</f>
        <v>0</v>
      </c>
      <c r="AM480" s="96">
        <f>IF(Z480=0,0,COUNTIFS('RECEBIMENTOS'!$B$6:$B$1005,A480,'RECEBIMENTOS'!$Q$6:$Q$1005,1))</f>
        <v>0</v>
      </c>
      <c r="AN480" s="96">
        <f>IF(AND(Z480=1,N(W480)&gt;0,AG480=N(W480)),1,0)</f>
        <v>0</v>
      </c>
      <c r="AO480" s="96">
        <f>IF(AND(Z480=1,N(W480)&gt;0,AI480=N(W480)),1,0)</f>
        <v>0</v>
      </c>
      <c r="AP480" s="97">
        <f>IF(Z480=0,0,_xlfn.MAXIFS('RECEBIMENTOS'!$E$6:$E$1005,'RECEBIMENTOS'!$B$6:$B$1005,A480))</f>
        <v>0</v>
      </c>
      <c r="AQ480" s="97" t="str">
        <f>IF(T480="","",IF(T480="RECEBIMENTO NÃO CONFIRMADO",IF(ISNUMBER(F480),F480,IF(ISNUMBER(E480),E480,"")),IF(OR(T480="CDF NÃO LOCALIZADO",T480="VÍNCULO INCOMPLETO",T480="CDF A CONFERIR"),IF(AP480&gt;0,AP480,IF(ISNUMBER(E480),E480,"")),IF(ISNUMBER(E480),E480,""))))</f>
        <v/>
      </c>
      <c r="AR480" s="96">
        <f>IF(NOT(ISNUMBER(U480)),0,IF(T480="RECEBIMENTO NÃO CONFIRMADO",IF(AND(ISNUMBER(cfg_rec),U480&gt;cfg_rec),1,0),IF(OR(T480="CDF NÃO LOCALIZADO",T480="VÍNCULO INCOMPLETO",T480="CDF A CONFERIR"),IF(AND(ISNUMBER(cfg_cdf),U480&gt;cfg_cdf),1,0),0)))</f>
        <v>0</v>
      </c>
      <c r="AS480" s="96" t="str">
        <f>IF(T480="","",IF(AR480=1,"Alta",IFERROR(INDEX(cfg_pp,MATCH(T480,cfg_pt,0))&amp;"","Média")))</f>
        <v/>
      </c>
      <c r="AT480" s="96" t="str">
        <f>IF(T480="","",IFERROR(INDEX(cfg_pv,MATCH(T480,cfg_pt,0))&amp;"",""))</f>
        <v/>
      </c>
      <c r="AU480" s="96" t="str">
        <f>IF(T480="","",IF(AS480="Alta",1,IF(AS480="Média",2,3))*1000000000+(999999-IF(ISNUMBER(U480),MIN(U480,999999),0))*1000+475)</f>
        <v/>
      </c>
      <c r="AV480" s="96">
        <f>IF(T480&lt;&gt;"",1,0)</f>
        <v>0</v>
      </c>
      <c r="AW480" s="96" t="str">
        <f>IF(Z480=0,"",IF(AA480=1,"Cancelamento informado; ","")&amp;IF(AE480=1,"Campos essenciais ou itens faltando; ","")&amp;IF(AC480=1,"Possível duplicidade do número; ","")&amp;IF(AD480=1,"Cadastro ou datas a revisar; ","")&amp;IF(AF480&gt;0,"Item de resíduo com dado a revisar; ","")&amp;IF(AH480&gt;0,"Diferença de quantidade a analisar; ","")&amp;IF(AK480&gt;0,"Recebimento com alerta; ","")&amp;IF(AL480&gt;0,"Vínculo de CDF com alerta; ","")&amp;IF(AND(AA480=0,AN480=0),"Recebimento não confirmado; ","")&amp;IF(AND(AA480=0,AN480=1,AO480=0),"CDF pendente ou a conferir; ",""))</f>
        <v/>
      </c>
      <c r="AX480" s="96">
        <f>IF(Z480=0,0,IF(AND(OR(f_ini="",AND(ISNUMBER(E480),E480&gt;=f_ini)),OR(f_fim="",AND(ISNUMBER(E480),E480&lt;=f_fim)),OR(f_un="",f_un="(Todas)",G480=f_un),OR(f_tr="",f_tr="(Todos)",H480=f_tr),OR(f_de="",f_de="(Todos)",I480=f_de),OR(f_sit="",f_sit="(Todas)",S480=f_sit)),1,0))</f>
        <v>0</v>
      </c>
      <c r="AY480" s="96">
        <f>IF(AX480=0,0,IF(OR(f_res="",f_res="(Todos)"),1,IF(COUNTIFS('ITENS_MTR'!$S$6:$S$1005,A480,'ITENS_MTR'!$C$6:$C$1005,f_res)&gt;0,1,0)))</f>
        <v>0</v>
      </c>
      <c r="AZ480" s="97" t="str">
        <f>IF(ISNUMBER(E480),DATE(YEAR(E480),MONTH(E480),1),"")</f>
        <v/>
      </c>
      <c r="BA480" s="96">
        <f>IF(Z480=0,0,IF(AND(OR(r_ini="",AND(ISNUMBER(E480),E480&gt;=r_ini)),OR(r_fim="",AND(ISNUMBER(E480),E480&lt;=r_fim)),OR(r_un="",r_un="(Todas)",G480=r_un),OR(r_de="",r_de="(Todos)",I480=r_de)),1,0))</f>
        <v>0</v>
      </c>
      <c r="BB480" s="96" t="str">
        <f>IF(BA480=1,COUNTIF($BA$6:BA480,1),"")</f>
        <v/>
      </c>
      <c r="BC480" s="96" t="str">
        <f>IF(AND(AU480&lt;&gt;"",OR(r_un="",r_un="(Todas)",G480=r_un),OR(r_de="",r_de="(Todos)",I480=r_de)),AU480,"")</f>
        <v/>
      </c>
      <c r="BD480" s="96" t="str">
        <f>IF(Z480=1,A480&amp;" | nº "&amp;IF(B480="","(sem número)",B480)&amp;" | "&amp;IF(G480="","(sem unidade)",G480),"")</f>
        <v/>
      </c>
      <c r="BE480" s="96" t="str">
        <f>IF(Z480=1,COUNTIF($Z$6:Z480,1),"")</f>
        <v/>
      </c>
      <c r="BF480" s="96" t="str">
        <f>IF(T480="","",IF(T480="RECEBIMENTO NÃO CONFIRMADO","Transp.: "&amp;H480&amp;" | Dest.: "&amp;I480,IF(OR(T480="CDF NÃO LOCALIZADO",T480="VÍNCULO INCOMPLETO",T480="CDF A CONFERIR"),"Dest.: "&amp;I480,"Gerador: "&amp;G480)))</f>
        <v/>
      </c>
    </row>
    <row r="481">
      <c r="A481" s="89" t="inlineStr">
        <is>
          <t>MTR-000476</t>
        </is>
      </c>
      <c r="B481" s="90" t="n"/>
      <c r="C481" s="91" t="n"/>
      <c r="D481" s="91" t="n"/>
      <c r="E481" s="92" t="n"/>
      <c r="F481" s="92" t="n"/>
      <c r="G481" s="91" t="n"/>
      <c r="H481" s="91" t="n"/>
      <c r="I481" s="91" t="n"/>
      <c r="J481" s="91" t="n"/>
      <c r="K481" s="91" t="n"/>
      <c r="L481" s="92" t="n"/>
      <c r="M481" s="91" t="n"/>
      <c r="N481" s="91" t="n"/>
      <c r="O481" s="91" t="n"/>
      <c r="P481" s="93" t="str">
        <f>IF(Z481=0,"",SUMIFS('ITENS_MTR'!$I$6:$I$1005,'ITENS_MTR'!$S$6:$S$1005,A481,'ITENS_MTR'!$Y$6:$Y$1005,1))</f>
        <v/>
      </c>
      <c r="Q481" s="93" t="str">
        <f>IF(Z481=0,"",SUMIFS('RECEBIMENTOS'!$H$6:$H$1005,'RECEBIMENTOS'!$B$6:$B$1005,A481,'RECEBIMENTOS'!$X$6:$X$1005,1))</f>
        <v/>
      </c>
      <c r="R481" s="93" t="str">
        <f>IF(Z481=0,"",SUMIFS('VÍNCULOS_CDF'!$H$6:$H$1005,'VÍNCULOS_CDF'!$D$6:$D$1005,A481,'VÍNCULOS_CDF'!$V$6:$V$1005,1))</f>
        <v/>
      </c>
      <c r="S481" s="94" t="str">
        <f>IF(Z481=0,"",IF(AA481=1,"Cancelado (informado)",IF(AE481=1,"Cadastro incompleto",IF(OR(AC481=1,AD481=1,AF481&gt;0,AH481&gt;0,AK481&gt;0,AL481&gt;0),"Informação a revisar",IF(AN481=0,"Aguardando recebimento",IF(N(R481)=0,"Aguardando CDF",IF(AJ481&lt;N(W481),"Vínculo de CDF parcial",IF(AO481=0,"CDF localizado, a conferir","Documentação conferida"))))))))</f>
        <v/>
      </c>
      <c r="T481" s="94" t="str">
        <f>IF(Z481=0,"",IF(S481="Cadastro incompleto","MTR INCOMPLETO",IF(S481="Informação a revisar",IF(AND(AH481&gt;0,AC481=0,AD481=0,AF481=0,AK481=0,AL481=0),"QUANTIDADE A REVISAR","IDENTIFICAÇÃO A REVISAR"),IF(S481="Aguardando recebimento","RECEBIMENTO NÃO CONFIRMADO",IF(S481="Aguardando CDF","CDF NÃO LOCALIZADO",IF(S481="Vínculo de CDF parcial","VÍNCULO INCOMPLETO",IF(S481="CDF localizado, a conferir","CDF A CONFERIR","")))))))</f>
        <v/>
      </c>
      <c r="U481" s="95" t="str">
        <f>IF(T481="","",IF(AQ481="","Não calculável",IF(AQ481&gt;TODAY(),"Data futura",TODAY()-AQ481)))</f>
        <v/>
      </c>
      <c r="V481" s="93" t="str">
        <f>IF(Z481=0,"",SUMIFS('RECEBIMENTOS'!$H$6:$H$1005,'RECEBIMENTOS'!$B$6:$B$1005,A481,'RECEBIMENTOS'!$Z$6:$Z$1005,1))</f>
        <v/>
      </c>
      <c r="W481" s="95" t="str">
        <f>IF(Z481=0,"",COUNTIFS('ITENS_MTR'!$S$6:$S$1005,A481,'ITENS_MTR'!$R$6:$R$1005,1))</f>
        <v/>
      </c>
      <c r="X481" s="94" t="str">
        <f>IF(AC481=1,"POSSÍVEL DUPLICIDADE","")</f>
        <v/>
      </c>
      <c r="Y481" s="94" t="str">
        <f>IF(Z481=0,"",IF(AW481="","Nenhuma",LEFT(AW481,LEN(AW481)-2)))</f>
        <v/>
      </c>
      <c r="Z481" s="96">
        <f>IF(COUNTA(B481:O481)&gt;0,1,0)</f>
        <v>0</v>
      </c>
      <c r="AA481" s="96">
        <f>IF(AND(Z481=1,K481&lt;&gt;""),IF(TRIM(K481)=TRIM(cfg_cancel),1,0),0)</f>
        <v>0</v>
      </c>
      <c r="AB481" s="96" t="str">
        <f>IF(AND(Z481=1,B481&lt;&gt;""),C481&amp;"|"&amp;D481&amp;"|"&amp;G481&amp;"|"&amp;TRIM(B481),"")</f>
        <v/>
      </c>
      <c r="AC481" s="96">
        <f>IF(AB481="",0,IF(SUMPRODUCT(--($AB$6:$AB$505=AB481))&gt;1,1,0))</f>
        <v>0</v>
      </c>
      <c r="AD481" s="96">
        <f>IF(Z481=0,0,IF(OR(AND(G481&lt;&gt;"",ISNA(MATCH(G481,'CAD_UNIDADES'!$C$6:$C$105,0))),AND(H481&lt;&gt;"",ISNA(MATCH(H481,cmp_transp,0))),AND(I481&lt;&gt;"",ISNA(MATCH(I481,cmp_dest,0))),AND(E481&lt;&gt;"",NOT(ISNUMBER(E481))),AND(F481&lt;&gt;"",NOT(ISNUMBER(F481))),AND(ISNUMBER(E481),ISNUMBER(F481),F481&lt;E481)),1,0))</f>
        <v>0</v>
      </c>
      <c r="AE481" s="96">
        <f>IF(Z481=0,0,IF(OR(B481="",C481="",E481="",G481="",H481="",I481="",N(W481)=0),1,0))</f>
        <v>0</v>
      </c>
      <c r="AF481" s="96">
        <f>IF(Z481=0,0,COUNTIFS('ITENS_MTR'!$S$6:$S$1005,A481,'ITENS_MTR'!$AI$6:$AI$1005,1))</f>
        <v>0</v>
      </c>
      <c r="AG481" s="96">
        <f>IF(Z481=0,0,COUNTIFS('ITENS_MTR'!$S$6:$S$1005,A481,'ITENS_MTR'!$AJ$6:$AJ$1005,1))</f>
        <v>0</v>
      </c>
      <c r="AH481" s="96">
        <f>IF(Z481=0,0,COUNTIFS('ITENS_MTR'!$S$6:$S$1005,A481,'ITENS_MTR'!$AM$6:$AM$1005,1))</f>
        <v>0</v>
      </c>
      <c r="AI481" s="96">
        <f>IF(Z481=0,0,COUNTIFS('ITENS_MTR'!$S$6:$S$1005,A481,'ITENS_MTR'!$AO$6:$AO$1005,1))</f>
        <v>0</v>
      </c>
      <c r="AJ481" s="96">
        <f>IF(Z481=0,0,COUNTIFS('ITENS_MTR'!$S$6:$S$1005,A481,'ITENS_MTR'!$AN$6:$AN$1005,1))</f>
        <v>0</v>
      </c>
      <c r="AK481" s="96">
        <f>IF(Z481=0,0,COUNTIFS('RECEBIMENTOS'!$B$6:$B$1005,A481,'RECEBIMENTOS'!$Y$6:$Y$1005,1))</f>
        <v>0</v>
      </c>
      <c r="AL481" s="96">
        <f>IF(Z481=0,0,COUNTIFS('VÍNCULOS_CDF'!$D$6:$D$1005,A481,'VÍNCULOS_CDF'!$Y$6:$Y$1005,1))</f>
        <v>0</v>
      </c>
      <c r="AM481" s="96">
        <f>IF(Z481=0,0,COUNTIFS('RECEBIMENTOS'!$B$6:$B$1005,A481,'RECEBIMENTOS'!$Q$6:$Q$1005,1))</f>
        <v>0</v>
      </c>
      <c r="AN481" s="96">
        <f>IF(AND(Z481=1,N(W481)&gt;0,AG481=N(W481)),1,0)</f>
        <v>0</v>
      </c>
      <c r="AO481" s="96">
        <f>IF(AND(Z481=1,N(W481)&gt;0,AI481=N(W481)),1,0)</f>
        <v>0</v>
      </c>
      <c r="AP481" s="97">
        <f>IF(Z481=0,0,_xlfn.MAXIFS('RECEBIMENTOS'!$E$6:$E$1005,'RECEBIMENTOS'!$B$6:$B$1005,A481))</f>
        <v>0</v>
      </c>
      <c r="AQ481" s="97" t="str">
        <f>IF(T481="","",IF(T481="RECEBIMENTO NÃO CONFIRMADO",IF(ISNUMBER(F481),F481,IF(ISNUMBER(E481),E481,"")),IF(OR(T481="CDF NÃO LOCALIZADO",T481="VÍNCULO INCOMPLETO",T481="CDF A CONFERIR"),IF(AP481&gt;0,AP481,IF(ISNUMBER(E481),E481,"")),IF(ISNUMBER(E481),E481,""))))</f>
        <v/>
      </c>
      <c r="AR481" s="96">
        <f>IF(NOT(ISNUMBER(U481)),0,IF(T481="RECEBIMENTO NÃO CONFIRMADO",IF(AND(ISNUMBER(cfg_rec),U481&gt;cfg_rec),1,0),IF(OR(T481="CDF NÃO LOCALIZADO",T481="VÍNCULO INCOMPLETO",T481="CDF A CONFERIR"),IF(AND(ISNUMBER(cfg_cdf),U481&gt;cfg_cdf),1,0),0)))</f>
        <v>0</v>
      </c>
      <c r="AS481" s="96" t="str">
        <f>IF(T481="","",IF(AR481=1,"Alta",IFERROR(INDEX(cfg_pp,MATCH(T481,cfg_pt,0))&amp;"","Média")))</f>
        <v/>
      </c>
      <c r="AT481" s="96" t="str">
        <f>IF(T481="","",IFERROR(INDEX(cfg_pv,MATCH(T481,cfg_pt,0))&amp;"",""))</f>
        <v/>
      </c>
      <c r="AU481" s="96" t="str">
        <f>IF(T481="","",IF(AS481="Alta",1,IF(AS481="Média",2,3))*1000000000+(999999-IF(ISNUMBER(U481),MIN(U481,999999),0))*1000+476)</f>
        <v/>
      </c>
      <c r="AV481" s="96">
        <f>IF(T481&lt;&gt;"",1,0)</f>
        <v>0</v>
      </c>
      <c r="AW481" s="96" t="str">
        <f>IF(Z481=0,"",IF(AA481=1,"Cancelamento informado; ","")&amp;IF(AE481=1,"Campos essenciais ou itens faltando; ","")&amp;IF(AC481=1,"Possível duplicidade do número; ","")&amp;IF(AD481=1,"Cadastro ou datas a revisar; ","")&amp;IF(AF481&gt;0,"Item de resíduo com dado a revisar; ","")&amp;IF(AH481&gt;0,"Diferença de quantidade a analisar; ","")&amp;IF(AK481&gt;0,"Recebimento com alerta; ","")&amp;IF(AL481&gt;0,"Vínculo de CDF com alerta; ","")&amp;IF(AND(AA481=0,AN481=0),"Recebimento não confirmado; ","")&amp;IF(AND(AA481=0,AN481=1,AO481=0),"CDF pendente ou a conferir; ",""))</f>
        <v/>
      </c>
      <c r="AX481" s="96">
        <f>IF(Z481=0,0,IF(AND(OR(f_ini="",AND(ISNUMBER(E481),E481&gt;=f_ini)),OR(f_fim="",AND(ISNUMBER(E481),E481&lt;=f_fim)),OR(f_un="",f_un="(Todas)",G481=f_un),OR(f_tr="",f_tr="(Todos)",H481=f_tr),OR(f_de="",f_de="(Todos)",I481=f_de),OR(f_sit="",f_sit="(Todas)",S481=f_sit)),1,0))</f>
        <v>0</v>
      </c>
      <c r="AY481" s="96">
        <f>IF(AX481=0,0,IF(OR(f_res="",f_res="(Todos)"),1,IF(COUNTIFS('ITENS_MTR'!$S$6:$S$1005,A481,'ITENS_MTR'!$C$6:$C$1005,f_res)&gt;0,1,0)))</f>
        <v>0</v>
      </c>
      <c r="AZ481" s="97" t="str">
        <f>IF(ISNUMBER(E481),DATE(YEAR(E481),MONTH(E481),1),"")</f>
        <v/>
      </c>
      <c r="BA481" s="96">
        <f>IF(Z481=0,0,IF(AND(OR(r_ini="",AND(ISNUMBER(E481),E481&gt;=r_ini)),OR(r_fim="",AND(ISNUMBER(E481),E481&lt;=r_fim)),OR(r_un="",r_un="(Todas)",G481=r_un),OR(r_de="",r_de="(Todos)",I481=r_de)),1,0))</f>
        <v>0</v>
      </c>
      <c r="BB481" s="96" t="str">
        <f>IF(BA481=1,COUNTIF($BA$6:BA481,1),"")</f>
        <v/>
      </c>
      <c r="BC481" s="96" t="str">
        <f>IF(AND(AU481&lt;&gt;"",OR(r_un="",r_un="(Todas)",G481=r_un),OR(r_de="",r_de="(Todos)",I481=r_de)),AU481,"")</f>
        <v/>
      </c>
      <c r="BD481" s="96" t="str">
        <f>IF(Z481=1,A481&amp;" | nº "&amp;IF(B481="","(sem número)",B481)&amp;" | "&amp;IF(G481="","(sem unidade)",G481),"")</f>
        <v/>
      </c>
      <c r="BE481" s="96" t="str">
        <f>IF(Z481=1,COUNTIF($Z$6:Z481,1),"")</f>
        <v/>
      </c>
      <c r="BF481" s="96" t="str">
        <f>IF(T481="","",IF(T481="RECEBIMENTO NÃO CONFIRMADO","Transp.: "&amp;H481&amp;" | Dest.: "&amp;I481,IF(OR(T481="CDF NÃO LOCALIZADO",T481="VÍNCULO INCOMPLETO",T481="CDF A CONFERIR"),"Dest.: "&amp;I481,"Gerador: "&amp;G481)))</f>
        <v/>
      </c>
    </row>
    <row r="482">
      <c r="A482" s="89" t="inlineStr">
        <is>
          <t>MTR-000477</t>
        </is>
      </c>
      <c r="B482" s="90" t="n"/>
      <c r="C482" s="91" t="n"/>
      <c r="D482" s="91" t="n"/>
      <c r="E482" s="92" t="n"/>
      <c r="F482" s="92" t="n"/>
      <c r="G482" s="91" t="n"/>
      <c r="H482" s="91" t="n"/>
      <c r="I482" s="91" t="n"/>
      <c r="J482" s="91" t="n"/>
      <c r="K482" s="91" t="n"/>
      <c r="L482" s="92" t="n"/>
      <c r="M482" s="91" t="n"/>
      <c r="N482" s="91" t="n"/>
      <c r="O482" s="91" t="n"/>
      <c r="P482" s="93" t="str">
        <f>IF(Z482=0,"",SUMIFS('ITENS_MTR'!$I$6:$I$1005,'ITENS_MTR'!$S$6:$S$1005,A482,'ITENS_MTR'!$Y$6:$Y$1005,1))</f>
        <v/>
      </c>
      <c r="Q482" s="93" t="str">
        <f>IF(Z482=0,"",SUMIFS('RECEBIMENTOS'!$H$6:$H$1005,'RECEBIMENTOS'!$B$6:$B$1005,A482,'RECEBIMENTOS'!$X$6:$X$1005,1))</f>
        <v/>
      </c>
      <c r="R482" s="93" t="str">
        <f>IF(Z482=0,"",SUMIFS('VÍNCULOS_CDF'!$H$6:$H$1005,'VÍNCULOS_CDF'!$D$6:$D$1005,A482,'VÍNCULOS_CDF'!$V$6:$V$1005,1))</f>
        <v/>
      </c>
      <c r="S482" s="94" t="str">
        <f>IF(Z482=0,"",IF(AA482=1,"Cancelado (informado)",IF(AE482=1,"Cadastro incompleto",IF(OR(AC482=1,AD482=1,AF482&gt;0,AH482&gt;0,AK482&gt;0,AL482&gt;0),"Informação a revisar",IF(AN482=0,"Aguardando recebimento",IF(N(R482)=0,"Aguardando CDF",IF(AJ482&lt;N(W482),"Vínculo de CDF parcial",IF(AO482=0,"CDF localizado, a conferir","Documentação conferida"))))))))</f>
        <v/>
      </c>
      <c r="T482" s="94" t="str">
        <f>IF(Z482=0,"",IF(S482="Cadastro incompleto","MTR INCOMPLETO",IF(S482="Informação a revisar",IF(AND(AH482&gt;0,AC482=0,AD482=0,AF482=0,AK482=0,AL482=0),"QUANTIDADE A REVISAR","IDENTIFICAÇÃO A REVISAR"),IF(S482="Aguardando recebimento","RECEBIMENTO NÃO CONFIRMADO",IF(S482="Aguardando CDF","CDF NÃO LOCALIZADO",IF(S482="Vínculo de CDF parcial","VÍNCULO INCOMPLETO",IF(S482="CDF localizado, a conferir","CDF A CONFERIR","")))))))</f>
        <v/>
      </c>
      <c r="U482" s="95" t="str">
        <f>IF(T482="","",IF(AQ482="","Não calculável",IF(AQ482&gt;TODAY(),"Data futura",TODAY()-AQ482)))</f>
        <v/>
      </c>
      <c r="V482" s="93" t="str">
        <f>IF(Z482=0,"",SUMIFS('RECEBIMENTOS'!$H$6:$H$1005,'RECEBIMENTOS'!$B$6:$B$1005,A482,'RECEBIMENTOS'!$Z$6:$Z$1005,1))</f>
        <v/>
      </c>
      <c r="W482" s="95" t="str">
        <f>IF(Z482=0,"",COUNTIFS('ITENS_MTR'!$S$6:$S$1005,A482,'ITENS_MTR'!$R$6:$R$1005,1))</f>
        <v/>
      </c>
      <c r="X482" s="94" t="str">
        <f>IF(AC482=1,"POSSÍVEL DUPLICIDADE","")</f>
        <v/>
      </c>
      <c r="Y482" s="94" t="str">
        <f>IF(Z482=0,"",IF(AW482="","Nenhuma",LEFT(AW482,LEN(AW482)-2)))</f>
        <v/>
      </c>
      <c r="Z482" s="96">
        <f>IF(COUNTA(B482:O482)&gt;0,1,0)</f>
        <v>0</v>
      </c>
      <c r="AA482" s="96">
        <f>IF(AND(Z482=1,K482&lt;&gt;""),IF(TRIM(K482)=TRIM(cfg_cancel),1,0),0)</f>
        <v>0</v>
      </c>
      <c r="AB482" s="96" t="str">
        <f>IF(AND(Z482=1,B482&lt;&gt;""),C482&amp;"|"&amp;D482&amp;"|"&amp;G482&amp;"|"&amp;TRIM(B482),"")</f>
        <v/>
      </c>
      <c r="AC482" s="96">
        <f>IF(AB482="",0,IF(SUMPRODUCT(--($AB$6:$AB$505=AB482))&gt;1,1,0))</f>
        <v>0</v>
      </c>
      <c r="AD482" s="96">
        <f>IF(Z482=0,0,IF(OR(AND(G482&lt;&gt;"",ISNA(MATCH(G482,'CAD_UNIDADES'!$C$6:$C$105,0))),AND(H482&lt;&gt;"",ISNA(MATCH(H482,cmp_transp,0))),AND(I482&lt;&gt;"",ISNA(MATCH(I482,cmp_dest,0))),AND(E482&lt;&gt;"",NOT(ISNUMBER(E482))),AND(F482&lt;&gt;"",NOT(ISNUMBER(F482))),AND(ISNUMBER(E482),ISNUMBER(F482),F482&lt;E482)),1,0))</f>
        <v>0</v>
      </c>
      <c r="AE482" s="96">
        <f>IF(Z482=0,0,IF(OR(B482="",C482="",E482="",G482="",H482="",I482="",N(W482)=0),1,0))</f>
        <v>0</v>
      </c>
      <c r="AF482" s="96">
        <f>IF(Z482=0,0,COUNTIFS('ITENS_MTR'!$S$6:$S$1005,A482,'ITENS_MTR'!$AI$6:$AI$1005,1))</f>
        <v>0</v>
      </c>
      <c r="AG482" s="96">
        <f>IF(Z482=0,0,COUNTIFS('ITENS_MTR'!$S$6:$S$1005,A482,'ITENS_MTR'!$AJ$6:$AJ$1005,1))</f>
        <v>0</v>
      </c>
      <c r="AH482" s="96">
        <f>IF(Z482=0,0,COUNTIFS('ITENS_MTR'!$S$6:$S$1005,A482,'ITENS_MTR'!$AM$6:$AM$1005,1))</f>
        <v>0</v>
      </c>
      <c r="AI482" s="96">
        <f>IF(Z482=0,0,COUNTIFS('ITENS_MTR'!$S$6:$S$1005,A482,'ITENS_MTR'!$AO$6:$AO$1005,1))</f>
        <v>0</v>
      </c>
      <c r="AJ482" s="96">
        <f>IF(Z482=0,0,COUNTIFS('ITENS_MTR'!$S$6:$S$1005,A482,'ITENS_MTR'!$AN$6:$AN$1005,1))</f>
        <v>0</v>
      </c>
      <c r="AK482" s="96">
        <f>IF(Z482=0,0,COUNTIFS('RECEBIMENTOS'!$B$6:$B$1005,A482,'RECEBIMENTOS'!$Y$6:$Y$1005,1))</f>
        <v>0</v>
      </c>
      <c r="AL482" s="96">
        <f>IF(Z482=0,0,COUNTIFS('VÍNCULOS_CDF'!$D$6:$D$1005,A482,'VÍNCULOS_CDF'!$Y$6:$Y$1005,1))</f>
        <v>0</v>
      </c>
      <c r="AM482" s="96">
        <f>IF(Z482=0,0,COUNTIFS('RECEBIMENTOS'!$B$6:$B$1005,A482,'RECEBIMENTOS'!$Q$6:$Q$1005,1))</f>
        <v>0</v>
      </c>
      <c r="AN482" s="96">
        <f>IF(AND(Z482=1,N(W482)&gt;0,AG482=N(W482)),1,0)</f>
        <v>0</v>
      </c>
      <c r="AO482" s="96">
        <f>IF(AND(Z482=1,N(W482)&gt;0,AI482=N(W482)),1,0)</f>
        <v>0</v>
      </c>
      <c r="AP482" s="97">
        <f>IF(Z482=0,0,_xlfn.MAXIFS('RECEBIMENTOS'!$E$6:$E$1005,'RECEBIMENTOS'!$B$6:$B$1005,A482))</f>
        <v>0</v>
      </c>
      <c r="AQ482" s="97" t="str">
        <f>IF(T482="","",IF(T482="RECEBIMENTO NÃO CONFIRMADO",IF(ISNUMBER(F482),F482,IF(ISNUMBER(E482),E482,"")),IF(OR(T482="CDF NÃO LOCALIZADO",T482="VÍNCULO INCOMPLETO",T482="CDF A CONFERIR"),IF(AP482&gt;0,AP482,IF(ISNUMBER(E482),E482,"")),IF(ISNUMBER(E482),E482,""))))</f>
        <v/>
      </c>
      <c r="AR482" s="96">
        <f>IF(NOT(ISNUMBER(U482)),0,IF(T482="RECEBIMENTO NÃO CONFIRMADO",IF(AND(ISNUMBER(cfg_rec),U482&gt;cfg_rec),1,0),IF(OR(T482="CDF NÃO LOCALIZADO",T482="VÍNCULO INCOMPLETO",T482="CDF A CONFERIR"),IF(AND(ISNUMBER(cfg_cdf),U482&gt;cfg_cdf),1,0),0)))</f>
        <v>0</v>
      </c>
      <c r="AS482" s="96" t="str">
        <f>IF(T482="","",IF(AR482=1,"Alta",IFERROR(INDEX(cfg_pp,MATCH(T482,cfg_pt,0))&amp;"","Média")))</f>
        <v/>
      </c>
      <c r="AT482" s="96" t="str">
        <f>IF(T482="","",IFERROR(INDEX(cfg_pv,MATCH(T482,cfg_pt,0))&amp;"",""))</f>
        <v/>
      </c>
      <c r="AU482" s="96" t="str">
        <f>IF(T482="","",IF(AS482="Alta",1,IF(AS482="Média",2,3))*1000000000+(999999-IF(ISNUMBER(U482),MIN(U482,999999),0))*1000+477)</f>
        <v/>
      </c>
      <c r="AV482" s="96">
        <f>IF(T482&lt;&gt;"",1,0)</f>
        <v>0</v>
      </c>
      <c r="AW482" s="96" t="str">
        <f>IF(Z482=0,"",IF(AA482=1,"Cancelamento informado; ","")&amp;IF(AE482=1,"Campos essenciais ou itens faltando; ","")&amp;IF(AC482=1,"Possível duplicidade do número; ","")&amp;IF(AD482=1,"Cadastro ou datas a revisar; ","")&amp;IF(AF482&gt;0,"Item de resíduo com dado a revisar; ","")&amp;IF(AH482&gt;0,"Diferença de quantidade a analisar; ","")&amp;IF(AK482&gt;0,"Recebimento com alerta; ","")&amp;IF(AL482&gt;0,"Vínculo de CDF com alerta; ","")&amp;IF(AND(AA482=0,AN482=0),"Recebimento não confirmado; ","")&amp;IF(AND(AA482=0,AN482=1,AO482=0),"CDF pendente ou a conferir; ",""))</f>
        <v/>
      </c>
      <c r="AX482" s="96">
        <f>IF(Z482=0,0,IF(AND(OR(f_ini="",AND(ISNUMBER(E482),E482&gt;=f_ini)),OR(f_fim="",AND(ISNUMBER(E482),E482&lt;=f_fim)),OR(f_un="",f_un="(Todas)",G482=f_un),OR(f_tr="",f_tr="(Todos)",H482=f_tr),OR(f_de="",f_de="(Todos)",I482=f_de),OR(f_sit="",f_sit="(Todas)",S482=f_sit)),1,0))</f>
        <v>0</v>
      </c>
      <c r="AY482" s="96">
        <f>IF(AX482=0,0,IF(OR(f_res="",f_res="(Todos)"),1,IF(COUNTIFS('ITENS_MTR'!$S$6:$S$1005,A482,'ITENS_MTR'!$C$6:$C$1005,f_res)&gt;0,1,0)))</f>
        <v>0</v>
      </c>
      <c r="AZ482" s="97" t="str">
        <f>IF(ISNUMBER(E482),DATE(YEAR(E482),MONTH(E482),1),"")</f>
        <v/>
      </c>
      <c r="BA482" s="96">
        <f>IF(Z482=0,0,IF(AND(OR(r_ini="",AND(ISNUMBER(E482),E482&gt;=r_ini)),OR(r_fim="",AND(ISNUMBER(E482),E482&lt;=r_fim)),OR(r_un="",r_un="(Todas)",G482=r_un),OR(r_de="",r_de="(Todos)",I482=r_de)),1,0))</f>
        <v>0</v>
      </c>
      <c r="BB482" s="96" t="str">
        <f>IF(BA482=1,COUNTIF($BA$6:BA482,1),"")</f>
        <v/>
      </c>
      <c r="BC482" s="96" t="str">
        <f>IF(AND(AU482&lt;&gt;"",OR(r_un="",r_un="(Todas)",G482=r_un),OR(r_de="",r_de="(Todos)",I482=r_de)),AU482,"")</f>
        <v/>
      </c>
      <c r="BD482" s="96" t="str">
        <f>IF(Z482=1,A482&amp;" | nº "&amp;IF(B482="","(sem número)",B482)&amp;" | "&amp;IF(G482="","(sem unidade)",G482),"")</f>
        <v/>
      </c>
      <c r="BE482" s="96" t="str">
        <f>IF(Z482=1,COUNTIF($Z$6:Z482,1),"")</f>
        <v/>
      </c>
      <c r="BF482" s="96" t="str">
        <f>IF(T482="","",IF(T482="RECEBIMENTO NÃO CONFIRMADO","Transp.: "&amp;H482&amp;" | Dest.: "&amp;I482,IF(OR(T482="CDF NÃO LOCALIZADO",T482="VÍNCULO INCOMPLETO",T482="CDF A CONFERIR"),"Dest.: "&amp;I482,"Gerador: "&amp;G482)))</f>
        <v/>
      </c>
    </row>
    <row r="483">
      <c r="A483" s="89" t="inlineStr">
        <is>
          <t>MTR-000478</t>
        </is>
      </c>
      <c r="B483" s="90" t="n"/>
      <c r="C483" s="91" t="n"/>
      <c r="D483" s="91" t="n"/>
      <c r="E483" s="92" t="n"/>
      <c r="F483" s="92" t="n"/>
      <c r="G483" s="91" t="n"/>
      <c r="H483" s="91" t="n"/>
      <c r="I483" s="91" t="n"/>
      <c r="J483" s="91" t="n"/>
      <c r="K483" s="91" t="n"/>
      <c r="L483" s="92" t="n"/>
      <c r="M483" s="91" t="n"/>
      <c r="N483" s="91" t="n"/>
      <c r="O483" s="91" t="n"/>
      <c r="P483" s="93" t="str">
        <f>IF(Z483=0,"",SUMIFS('ITENS_MTR'!$I$6:$I$1005,'ITENS_MTR'!$S$6:$S$1005,A483,'ITENS_MTR'!$Y$6:$Y$1005,1))</f>
        <v/>
      </c>
      <c r="Q483" s="93" t="str">
        <f>IF(Z483=0,"",SUMIFS('RECEBIMENTOS'!$H$6:$H$1005,'RECEBIMENTOS'!$B$6:$B$1005,A483,'RECEBIMENTOS'!$X$6:$X$1005,1))</f>
        <v/>
      </c>
      <c r="R483" s="93" t="str">
        <f>IF(Z483=0,"",SUMIFS('VÍNCULOS_CDF'!$H$6:$H$1005,'VÍNCULOS_CDF'!$D$6:$D$1005,A483,'VÍNCULOS_CDF'!$V$6:$V$1005,1))</f>
        <v/>
      </c>
      <c r="S483" s="94" t="str">
        <f>IF(Z483=0,"",IF(AA483=1,"Cancelado (informado)",IF(AE483=1,"Cadastro incompleto",IF(OR(AC483=1,AD483=1,AF483&gt;0,AH483&gt;0,AK483&gt;0,AL483&gt;0),"Informação a revisar",IF(AN483=0,"Aguardando recebimento",IF(N(R483)=0,"Aguardando CDF",IF(AJ483&lt;N(W483),"Vínculo de CDF parcial",IF(AO483=0,"CDF localizado, a conferir","Documentação conferida"))))))))</f>
        <v/>
      </c>
      <c r="T483" s="94" t="str">
        <f>IF(Z483=0,"",IF(S483="Cadastro incompleto","MTR INCOMPLETO",IF(S483="Informação a revisar",IF(AND(AH483&gt;0,AC483=0,AD483=0,AF483=0,AK483=0,AL483=0),"QUANTIDADE A REVISAR","IDENTIFICAÇÃO A REVISAR"),IF(S483="Aguardando recebimento","RECEBIMENTO NÃO CONFIRMADO",IF(S483="Aguardando CDF","CDF NÃO LOCALIZADO",IF(S483="Vínculo de CDF parcial","VÍNCULO INCOMPLETO",IF(S483="CDF localizado, a conferir","CDF A CONFERIR","")))))))</f>
        <v/>
      </c>
      <c r="U483" s="95" t="str">
        <f>IF(T483="","",IF(AQ483="","Não calculável",IF(AQ483&gt;TODAY(),"Data futura",TODAY()-AQ483)))</f>
        <v/>
      </c>
      <c r="V483" s="93" t="str">
        <f>IF(Z483=0,"",SUMIFS('RECEBIMENTOS'!$H$6:$H$1005,'RECEBIMENTOS'!$B$6:$B$1005,A483,'RECEBIMENTOS'!$Z$6:$Z$1005,1))</f>
        <v/>
      </c>
      <c r="W483" s="95" t="str">
        <f>IF(Z483=0,"",COUNTIFS('ITENS_MTR'!$S$6:$S$1005,A483,'ITENS_MTR'!$R$6:$R$1005,1))</f>
        <v/>
      </c>
      <c r="X483" s="94" t="str">
        <f>IF(AC483=1,"POSSÍVEL DUPLICIDADE","")</f>
        <v/>
      </c>
      <c r="Y483" s="94" t="str">
        <f>IF(Z483=0,"",IF(AW483="","Nenhuma",LEFT(AW483,LEN(AW483)-2)))</f>
        <v/>
      </c>
      <c r="Z483" s="96">
        <f>IF(COUNTA(B483:O483)&gt;0,1,0)</f>
        <v>0</v>
      </c>
      <c r="AA483" s="96">
        <f>IF(AND(Z483=1,K483&lt;&gt;""),IF(TRIM(K483)=TRIM(cfg_cancel),1,0),0)</f>
        <v>0</v>
      </c>
      <c r="AB483" s="96" t="str">
        <f>IF(AND(Z483=1,B483&lt;&gt;""),C483&amp;"|"&amp;D483&amp;"|"&amp;G483&amp;"|"&amp;TRIM(B483),"")</f>
        <v/>
      </c>
      <c r="AC483" s="96">
        <f>IF(AB483="",0,IF(SUMPRODUCT(--($AB$6:$AB$505=AB483))&gt;1,1,0))</f>
        <v>0</v>
      </c>
      <c r="AD483" s="96">
        <f>IF(Z483=0,0,IF(OR(AND(G483&lt;&gt;"",ISNA(MATCH(G483,'CAD_UNIDADES'!$C$6:$C$105,0))),AND(H483&lt;&gt;"",ISNA(MATCH(H483,cmp_transp,0))),AND(I483&lt;&gt;"",ISNA(MATCH(I483,cmp_dest,0))),AND(E483&lt;&gt;"",NOT(ISNUMBER(E483))),AND(F483&lt;&gt;"",NOT(ISNUMBER(F483))),AND(ISNUMBER(E483),ISNUMBER(F483),F483&lt;E483)),1,0))</f>
        <v>0</v>
      </c>
      <c r="AE483" s="96">
        <f>IF(Z483=0,0,IF(OR(B483="",C483="",E483="",G483="",H483="",I483="",N(W483)=0),1,0))</f>
        <v>0</v>
      </c>
      <c r="AF483" s="96">
        <f>IF(Z483=0,0,COUNTIFS('ITENS_MTR'!$S$6:$S$1005,A483,'ITENS_MTR'!$AI$6:$AI$1005,1))</f>
        <v>0</v>
      </c>
      <c r="AG483" s="96">
        <f>IF(Z483=0,0,COUNTIFS('ITENS_MTR'!$S$6:$S$1005,A483,'ITENS_MTR'!$AJ$6:$AJ$1005,1))</f>
        <v>0</v>
      </c>
      <c r="AH483" s="96">
        <f>IF(Z483=0,0,COUNTIFS('ITENS_MTR'!$S$6:$S$1005,A483,'ITENS_MTR'!$AM$6:$AM$1005,1))</f>
        <v>0</v>
      </c>
      <c r="AI483" s="96">
        <f>IF(Z483=0,0,COUNTIFS('ITENS_MTR'!$S$6:$S$1005,A483,'ITENS_MTR'!$AO$6:$AO$1005,1))</f>
        <v>0</v>
      </c>
      <c r="AJ483" s="96">
        <f>IF(Z483=0,0,COUNTIFS('ITENS_MTR'!$S$6:$S$1005,A483,'ITENS_MTR'!$AN$6:$AN$1005,1))</f>
        <v>0</v>
      </c>
      <c r="AK483" s="96">
        <f>IF(Z483=0,0,COUNTIFS('RECEBIMENTOS'!$B$6:$B$1005,A483,'RECEBIMENTOS'!$Y$6:$Y$1005,1))</f>
        <v>0</v>
      </c>
      <c r="AL483" s="96">
        <f>IF(Z483=0,0,COUNTIFS('VÍNCULOS_CDF'!$D$6:$D$1005,A483,'VÍNCULOS_CDF'!$Y$6:$Y$1005,1))</f>
        <v>0</v>
      </c>
      <c r="AM483" s="96">
        <f>IF(Z483=0,0,COUNTIFS('RECEBIMENTOS'!$B$6:$B$1005,A483,'RECEBIMENTOS'!$Q$6:$Q$1005,1))</f>
        <v>0</v>
      </c>
      <c r="AN483" s="96">
        <f>IF(AND(Z483=1,N(W483)&gt;0,AG483=N(W483)),1,0)</f>
        <v>0</v>
      </c>
      <c r="AO483" s="96">
        <f>IF(AND(Z483=1,N(W483)&gt;0,AI483=N(W483)),1,0)</f>
        <v>0</v>
      </c>
      <c r="AP483" s="97">
        <f>IF(Z483=0,0,_xlfn.MAXIFS('RECEBIMENTOS'!$E$6:$E$1005,'RECEBIMENTOS'!$B$6:$B$1005,A483))</f>
        <v>0</v>
      </c>
      <c r="AQ483" s="97" t="str">
        <f>IF(T483="","",IF(T483="RECEBIMENTO NÃO CONFIRMADO",IF(ISNUMBER(F483),F483,IF(ISNUMBER(E483),E483,"")),IF(OR(T483="CDF NÃO LOCALIZADO",T483="VÍNCULO INCOMPLETO",T483="CDF A CONFERIR"),IF(AP483&gt;0,AP483,IF(ISNUMBER(E483),E483,"")),IF(ISNUMBER(E483),E483,""))))</f>
        <v/>
      </c>
      <c r="AR483" s="96">
        <f>IF(NOT(ISNUMBER(U483)),0,IF(T483="RECEBIMENTO NÃO CONFIRMADO",IF(AND(ISNUMBER(cfg_rec),U483&gt;cfg_rec),1,0),IF(OR(T483="CDF NÃO LOCALIZADO",T483="VÍNCULO INCOMPLETO",T483="CDF A CONFERIR"),IF(AND(ISNUMBER(cfg_cdf),U483&gt;cfg_cdf),1,0),0)))</f>
        <v>0</v>
      </c>
      <c r="AS483" s="96" t="str">
        <f>IF(T483="","",IF(AR483=1,"Alta",IFERROR(INDEX(cfg_pp,MATCH(T483,cfg_pt,0))&amp;"","Média")))</f>
        <v/>
      </c>
      <c r="AT483" s="96" t="str">
        <f>IF(T483="","",IFERROR(INDEX(cfg_pv,MATCH(T483,cfg_pt,0))&amp;"",""))</f>
        <v/>
      </c>
      <c r="AU483" s="96" t="str">
        <f>IF(T483="","",IF(AS483="Alta",1,IF(AS483="Média",2,3))*1000000000+(999999-IF(ISNUMBER(U483),MIN(U483,999999),0))*1000+478)</f>
        <v/>
      </c>
      <c r="AV483" s="96">
        <f>IF(T483&lt;&gt;"",1,0)</f>
        <v>0</v>
      </c>
      <c r="AW483" s="96" t="str">
        <f>IF(Z483=0,"",IF(AA483=1,"Cancelamento informado; ","")&amp;IF(AE483=1,"Campos essenciais ou itens faltando; ","")&amp;IF(AC483=1,"Possível duplicidade do número; ","")&amp;IF(AD483=1,"Cadastro ou datas a revisar; ","")&amp;IF(AF483&gt;0,"Item de resíduo com dado a revisar; ","")&amp;IF(AH483&gt;0,"Diferença de quantidade a analisar; ","")&amp;IF(AK483&gt;0,"Recebimento com alerta; ","")&amp;IF(AL483&gt;0,"Vínculo de CDF com alerta; ","")&amp;IF(AND(AA483=0,AN483=0),"Recebimento não confirmado; ","")&amp;IF(AND(AA483=0,AN483=1,AO483=0),"CDF pendente ou a conferir; ",""))</f>
        <v/>
      </c>
      <c r="AX483" s="96">
        <f>IF(Z483=0,0,IF(AND(OR(f_ini="",AND(ISNUMBER(E483),E483&gt;=f_ini)),OR(f_fim="",AND(ISNUMBER(E483),E483&lt;=f_fim)),OR(f_un="",f_un="(Todas)",G483=f_un),OR(f_tr="",f_tr="(Todos)",H483=f_tr),OR(f_de="",f_de="(Todos)",I483=f_de),OR(f_sit="",f_sit="(Todas)",S483=f_sit)),1,0))</f>
        <v>0</v>
      </c>
      <c r="AY483" s="96">
        <f>IF(AX483=0,0,IF(OR(f_res="",f_res="(Todos)"),1,IF(COUNTIFS('ITENS_MTR'!$S$6:$S$1005,A483,'ITENS_MTR'!$C$6:$C$1005,f_res)&gt;0,1,0)))</f>
        <v>0</v>
      </c>
      <c r="AZ483" s="97" t="str">
        <f>IF(ISNUMBER(E483),DATE(YEAR(E483),MONTH(E483),1),"")</f>
        <v/>
      </c>
      <c r="BA483" s="96">
        <f>IF(Z483=0,0,IF(AND(OR(r_ini="",AND(ISNUMBER(E483),E483&gt;=r_ini)),OR(r_fim="",AND(ISNUMBER(E483),E483&lt;=r_fim)),OR(r_un="",r_un="(Todas)",G483=r_un),OR(r_de="",r_de="(Todos)",I483=r_de)),1,0))</f>
        <v>0</v>
      </c>
      <c r="BB483" s="96" t="str">
        <f>IF(BA483=1,COUNTIF($BA$6:BA483,1),"")</f>
        <v/>
      </c>
      <c r="BC483" s="96" t="str">
        <f>IF(AND(AU483&lt;&gt;"",OR(r_un="",r_un="(Todas)",G483=r_un),OR(r_de="",r_de="(Todos)",I483=r_de)),AU483,"")</f>
        <v/>
      </c>
      <c r="BD483" s="96" t="str">
        <f>IF(Z483=1,A483&amp;" | nº "&amp;IF(B483="","(sem número)",B483)&amp;" | "&amp;IF(G483="","(sem unidade)",G483),"")</f>
        <v/>
      </c>
      <c r="BE483" s="96" t="str">
        <f>IF(Z483=1,COUNTIF($Z$6:Z483,1),"")</f>
        <v/>
      </c>
      <c r="BF483" s="96" t="str">
        <f>IF(T483="","",IF(T483="RECEBIMENTO NÃO CONFIRMADO","Transp.: "&amp;H483&amp;" | Dest.: "&amp;I483,IF(OR(T483="CDF NÃO LOCALIZADO",T483="VÍNCULO INCOMPLETO",T483="CDF A CONFERIR"),"Dest.: "&amp;I483,"Gerador: "&amp;G483)))</f>
        <v/>
      </c>
    </row>
    <row r="484">
      <c r="A484" s="89" t="inlineStr">
        <is>
          <t>MTR-000479</t>
        </is>
      </c>
      <c r="B484" s="90" t="n"/>
      <c r="C484" s="91" t="n"/>
      <c r="D484" s="91" t="n"/>
      <c r="E484" s="92" t="n"/>
      <c r="F484" s="92" t="n"/>
      <c r="G484" s="91" t="n"/>
      <c r="H484" s="91" t="n"/>
      <c r="I484" s="91" t="n"/>
      <c r="J484" s="91" t="n"/>
      <c r="K484" s="91" t="n"/>
      <c r="L484" s="92" t="n"/>
      <c r="M484" s="91" t="n"/>
      <c r="N484" s="91" t="n"/>
      <c r="O484" s="91" t="n"/>
      <c r="P484" s="93" t="str">
        <f>IF(Z484=0,"",SUMIFS('ITENS_MTR'!$I$6:$I$1005,'ITENS_MTR'!$S$6:$S$1005,A484,'ITENS_MTR'!$Y$6:$Y$1005,1))</f>
        <v/>
      </c>
      <c r="Q484" s="93" t="str">
        <f>IF(Z484=0,"",SUMIFS('RECEBIMENTOS'!$H$6:$H$1005,'RECEBIMENTOS'!$B$6:$B$1005,A484,'RECEBIMENTOS'!$X$6:$X$1005,1))</f>
        <v/>
      </c>
      <c r="R484" s="93" t="str">
        <f>IF(Z484=0,"",SUMIFS('VÍNCULOS_CDF'!$H$6:$H$1005,'VÍNCULOS_CDF'!$D$6:$D$1005,A484,'VÍNCULOS_CDF'!$V$6:$V$1005,1))</f>
        <v/>
      </c>
      <c r="S484" s="94" t="str">
        <f>IF(Z484=0,"",IF(AA484=1,"Cancelado (informado)",IF(AE484=1,"Cadastro incompleto",IF(OR(AC484=1,AD484=1,AF484&gt;0,AH484&gt;0,AK484&gt;0,AL484&gt;0),"Informação a revisar",IF(AN484=0,"Aguardando recebimento",IF(N(R484)=0,"Aguardando CDF",IF(AJ484&lt;N(W484),"Vínculo de CDF parcial",IF(AO484=0,"CDF localizado, a conferir","Documentação conferida"))))))))</f>
        <v/>
      </c>
      <c r="T484" s="94" t="str">
        <f>IF(Z484=0,"",IF(S484="Cadastro incompleto","MTR INCOMPLETO",IF(S484="Informação a revisar",IF(AND(AH484&gt;0,AC484=0,AD484=0,AF484=0,AK484=0,AL484=0),"QUANTIDADE A REVISAR","IDENTIFICAÇÃO A REVISAR"),IF(S484="Aguardando recebimento","RECEBIMENTO NÃO CONFIRMADO",IF(S484="Aguardando CDF","CDF NÃO LOCALIZADO",IF(S484="Vínculo de CDF parcial","VÍNCULO INCOMPLETO",IF(S484="CDF localizado, a conferir","CDF A CONFERIR","")))))))</f>
        <v/>
      </c>
      <c r="U484" s="95" t="str">
        <f>IF(T484="","",IF(AQ484="","Não calculável",IF(AQ484&gt;TODAY(),"Data futura",TODAY()-AQ484)))</f>
        <v/>
      </c>
      <c r="V484" s="93" t="str">
        <f>IF(Z484=0,"",SUMIFS('RECEBIMENTOS'!$H$6:$H$1005,'RECEBIMENTOS'!$B$6:$B$1005,A484,'RECEBIMENTOS'!$Z$6:$Z$1005,1))</f>
        <v/>
      </c>
      <c r="W484" s="95" t="str">
        <f>IF(Z484=0,"",COUNTIFS('ITENS_MTR'!$S$6:$S$1005,A484,'ITENS_MTR'!$R$6:$R$1005,1))</f>
        <v/>
      </c>
      <c r="X484" s="94" t="str">
        <f>IF(AC484=1,"POSSÍVEL DUPLICIDADE","")</f>
        <v/>
      </c>
      <c r="Y484" s="94" t="str">
        <f>IF(Z484=0,"",IF(AW484="","Nenhuma",LEFT(AW484,LEN(AW484)-2)))</f>
        <v/>
      </c>
      <c r="Z484" s="96">
        <f>IF(COUNTA(B484:O484)&gt;0,1,0)</f>
        <v>0</v>
      </c>
      <c r="AA484" s="96">
        <f>IF(AND(Z484=1,K484&lt;&gt;""),IF(TRIM(K484)=TRIM(cfg_cancel),1,0),0)</f>
        <v>0</v>
      </c>
      <c r="AB484" s="96" t="str">
        <f>IF(AND(Z484=1,B484&lt;&gt;""),C484&amp;"|"&amp;D484&amp;"|"&amp;G484&amp;"|"&amp;TRIM(B484),"")</f>
        <v/>
      </c>
      <c r="AC484" s="96">
        <f>IF(AB484="",0,IF(SUMPRODUCT(--($AB$6:$AB$505=AB484))&gt;1,1,0))</f>
        <v>0</v>
      </c>
      <c r="AD484" s="96">
        <f>IF(Z484=0,0,IF(OR(AND(G484&lt;&gt;"",ISNA(MATCH(G484,'CAD_UNIDADES'!$C$6:$C$105,0))),AND(H484&lt;&gt;"",ISNA(MATCH(H484,cmp_transp,0))),AND(I484&lt;&gt;"",ISNA(MATCH(I484,cmp_dest,0))),AND(E484&lt;&gt;"",NOT(ISNUMBER(E484))),AND(F484&lt;&gt;"",NOT(ISNUMBER(F484))),AND(ISNUMBER(E484),ISNUMBER(F484),F484&lt;E484)),1,0))</f>
        <v>0</v>
      </c>
      <c r="AE484" s="96">
        <f>IF(Z484=0,0,IF(OR(B484="",C484="",E484="",G484="",H484="",I484="",N(W484)=0),1,0))</f>
        <v>0</v>
      </c>
      <c r="AF484" s="96">
        <f>IF(Z484=0,0,COUNTIFS('ITENS_MTR'!$S$6:$S$1005,A484,'ITENS_MTR'!$AI$6:$AI$1005,1))</f>
        <v>0</v>
      </c>
      <c r="AG484" s="96">
        <f>IF(Z484=0,0,COUNTIFS('ITENS_MTR'!$S$6:$S$1005,A484,'ITENS_MTR'!$AJ$6:$AJ$1005,1))</f>
        <v>0</v>
      </c>
      <c r="AH484" s="96">
        <f>IF(Z484=0,0,COUNTIFS('ITENS_MTR'!$S$6:$S$1005,A484,'ITENS_MTR'!$AM$6:$AM$1005,1))</f>
        <v>0</v>
      </c>
      <c r="AI484" s="96">
        <f>IF(Z484=0,0,COUNTIFS('ITENS_MTR'!$S$6:$S$1005,A484,'ITENS_MTR'!$AO$6:$AO$1005,1))</f>
        <v>0</v>
      </c>
      <c r="AJ484" s="96">
        <f>IF(Z484=0,0,COUNTIFS('ITENS_MTR'!$S$6:$S$1005,A484,'ITENS_MTR'!$AN$6:$AN$1005,1))</f>
        <v>0</v>
      </c>
      <c r="AK484" s="96">
        <f>IF(Z484=0,0,COUNTIFS('RECEBIMENTOS'!$B$6:$B$1005,A484,'RECEBIMENTOS'!$Y$6:$Y$1005,1))</f>
        <v>0</v>
      </c>
      <c r="AL484" s="96">
        <f>IF(Z484=0,0,COUNTIFS('VÍNCULOS_CDF'!$D$6:$D$1005,A484,'VÍNCULOS_CDF'!$Y$6:$Y$1005,1))</f>
        <v>0</v>
      </c>
      <c r="AM484" s="96">
        <f>IF(Z484=0,0,COUNTIFS('RECEBIMENTOS'!$B$6:$B$1005,A484,'RECEBIMENTOS'!$Q$6:$Q$1005,1))</f>
        <v>0</v>
      </c>
      <c r="AN484" s="96">
        <f>IF(AND(Z484=1,N(W484)&gt;0,AG484=N(W484)),1,0)</f>
        <v>0</v>
      </c>
      <c r="AO484" s="96">
        <f>IF(AND(Z484=1,N(W484)&gt;0,AI484=N(W484)),1,0)</f>
        <v>0</v>
      </c>
      <c r="AP484" s="97">
        <f>IF(Z484=0,0,_xlfn.MAXIFS('RECEBIMENTOS'!$E$6:$E$1005,'RECEBIMENTOS'!$B$6:$B$1005,A484))</f>
        <v>0</v>
      </c>
      <c r="AQ484" s="97" t="str">
        <f>IF(T484="","",IF(T484="RECEBIMENTO NÃO CONFIRMADO",IF(ISNUMBER(F484),F484,IF(ISNUMBER(E484),E484,"")),IF(OR(T484="CDF NÃO LOCALIZADO",T484="VÍNCULO INCOMPLETO",T484="CDF A CONFERIR"),IF(AP484&gt;0,AP484,IF(ISNUMBER(E484),E484,"")),IF(ISNUMBER(E484),E484,""))))</f>
        <v/>
      </c>
      <c r="AR484" s="96">
        <f>IF(NOT(ISNUMBER(U484)),0,IF(T484="RECEBIMENTO NÃO CONFIRMADO",IF(AND(ISNUMBER(cfg_rec),U484&gt;cfg_rec),1,0),IF(OR(T484="CDF NÃO LOCALIZADO",T484="VÍNCULO INCOMPLETO",T484="CDF A CONFERIR"),IF(AND(ISNUMBER(cfg_cdf),U484&gt;cfg_cdf),1,0),0)))</f>
        <v>0</v>
      </c>
      <c r="AS484" s="96" t="str">
        <f>IF(T484="","",IF(AR484=1,"Alta",IFERROR(INDEX(cfg_pp,MATCH(T484,cfg_pt,0))&amp;"","Média")))</f>
        <v/>
      </c>
      <c r="AT484" s="96" t="str">
        <f>IF(T484="","",IFERROR(INDEX(cfg_pv,MATCH(T484,cfg_pt,0))&amp;"",""))</f>
        <v/>
      </c>
      <c r="AU484" s="96" t="str">
        <f>IF(T484="","",IF(AS484="Alta",1,IF(AS484="Média",2,3))*1000000000+(999999-IF(ISNUMBER(U484),MIN(U484,999999),0))*1000+479)</f>
        <v/>
      </c>
      <c r="AV484" s="96">
        <f>IF(T484&lt;&gt;"",1,0)</f>
        <v>0</v>
      </c>
      <c r="AW484" s="96" t="str">
        <f>IF(Z484=0,"",IF(AA484=1,"Cancelamento informado; ","")&amp;IF(AE484=1,"Campos essenciais ou itens faltando; ","")&amp;IF(AC484=1,"Possível duplicidade do número; ","")&amp;IF(AD484=1,"Cadastro ou datas a revisar; ","")&amp;IF(AF484&gt;0,"Item de resíduo com dado a revisar; ","")&amp;IF(AH484&gt;0,"Diferença de quantidade a analisar; ","")&amp;IF(AK484&gt;0,"Recebimento com alerta; ","")&amp;IF(AL484&gt;0,"Vínculo de CDF com alerta; ","")&amp;IF(AND(AA484=0,AN484=0),"Recebimento não confirmado; ","")&amp;IF(AND(AA484=0,AN484=1,AO484=0),"CDF pendente ou a conferir; ",""))</f>
        <v/>
      </c>
      <c r="AX484" s="96">
        <f>IF(Z484=0,0,IF(AND(OR(f_ini="",AND(ISNUMBER(E484),E484&gt;=f_ini)),OR(f_fim="",AND(ISNUMBER(E484),E484&lt;=f_fim)),OR(f_un="",f_un="(Todas)",G484=f_un),OR(f_tr="",f_tr="(Todos)",H484=f_tr),OR(f_de="",f_de="(Todos)",I484=f_de),OR(f_sit="",f_sit="(Todas)",S484=f_sit)),1,0))</f>
        <v>0</v>
      </c>
      <c r="AY484" s="96">
        <f>IF(AX484=0,0,IF(OR(f_res="",f_res="(Todos)"),1,IF(COUNTIFS('ITENS_MTR'!$S$6:$S$1005,A484,'ITENS_MTR'!$C$6:$C$1005,f_res)&gt;0,1,0)))</f>
        <v>0</v>
      </c>
      <c r="AZ484" s="97" t="str">
        <f>IF(ISNUMBER(E484),DATE(YEAR(E484),MONTH(E484),1),"")</f>
        <v/>
      </c>
      <c r="BA484" s="96">
        <f>IF(Z484=0,0,IF(AND(OR(r_ini="",AND(ISNUMBER(E484),E484&gt;=r_ini)),OR(r_fim="",AND(ISNUMBER(E484),E484&lt;=r_fim)),OR(r_un="",r_un="(Todas)",G484=r_un),OR(r_de="",r_de="(Todos)",I484=r_de)),1,0))</f>
        <v>0</v>
      </c>
      <c r="BB484" s="96" t="str">
        <f>IF(BA484=1,COUNTIF($BA$6:BA484,1),"")</f>
        <v/>
      </c>
      <c r="BC484" s="96" t="str">
        <f>IF(AND(AU484&lt;&gt;"",OR(r_un="",r_un="(Todas)",G484=r_un),OR(r_de="",r_de="(Todos)",I484=r_de)),AU484,"")</f>
        <v/>
      </c>
      <c r="BD484" s="96" t="str">
        <f>IF(Z484=1,A484&amp;" | nº "&amp;IF(B484="","(sem número)",B484)&amp;" | "&amp;IF(G484="","(sem unidade)",G484),"")</f>
        <v/>
      </c>
      <c r="BE484" s="96" t="str">
        <f>IF(Z484=1,COUNTIF($Z$6:Z484,1),"")</f>
        <v/>
      </c>
      <c r="BF484" s="96" t="str">
        <f>IF(T484="","",IF(T484="RECEBIMENTO NÃO CONFIRMADO","Transp.: "&amp;H484&amp;" | Dest.: "&amp;I484,IF(OR(T484="CDF NÃO LOCALIZADO",T484="VÍNCULO INCOMPLETO",T484="CDF A CONFERIR"),"Dest.: "&amp;I484,"Gerador: "&amp;G484)))</f>
        <v/>
      </c>
    </row>
    <row r="485">
      <c r="A485" s="89" t="inlineStr">
        <is>
          <t>MTR-000480</t>
        </is>
      </c>
      <c r="B485" s="90" t="n"/>
      <c r="C485" s="91" t="n"/>
      <c r="D485" s="91" t="n"/>
      <c r="E485" s="92" t="n"/>
      <c r="F485" s="92" t="n"/>
      <c r="G485" s="91" t="n"/>
      <c r="H485" s="91" t="n"/>
      <c r="I485" s="91" t="n"/>
      <c r="J485" s="91" t="n"/>
      <c r="K485" s="91" t="n"/>
      <c r="L485" s="92" t="n"/>
      <c r="M485" s="91" t="n"/>
      <c r="N485" s="91" t="n"/>
      <c r="O485" s="91" t="n"/>
      <c r="P485" s="93" t="str">
        <f>IF(Z485=0,"",SUMIFS('ITENS_MTR'!$I$6:$I$1005,'ITENS_MTR'!$S$6:$S$1005,A485,'ITENS_MTR'!$Y$6:$Y$1005,1))</f>
        <v/>
      </c>
      <c r="Q485" s="93" t="str">
        <f>IF(Z485=0,"",SUMIFS('RECEBIMENTOS'!$H$6:$H$1005,'RECEBIMENTOS'!$B$6:$B$1005,A485,'RECEBIMENTOS'!$X$6:$X$1005,1))</f>
        <v/>
      </c>
      <c r="R485" s="93" t="str">
        <f>IF(Z485=0,"",SUMIFS('VÍNCULOS_CDF'!$H$6:$H$1005,'VÍNCULOS_CDF'!$D$6:$D$1005,A485,'VÍNCULOS_CDF'!$V$6:$V$1005,1))</f>
        <v/>
      </c>
      <c r="S485" s="94" t="str">
        <f>IF(Z485=0,"",IF(AA485=1,"Cancelado (informado)",IF(AE485=1,"Cadastro incompleto",IF(OR(AC485=1,AD485=1,AF485&gt;0,AH485&gt;0,AK485&gt;0,AL485&gt;0),"Informação a revisar",IF(AN485=0,"Aguardando recebimento",IF(N(R485)=0,"Aguardando CDF",IF(AJ485&lt;N(W485),"Vínculo de CDF parcial",IF(AO485=0,"CDF localizado, a conferir","Documentação conferida"))))))))</f>
        <v/>
      </c>
      <c r="T485" s="94" t="str">
        <f>IF(Z485=0,"",IF(S485="Cadastro incompleto","MTR INCOMPLETO",IF(S485="Informação a revisar",IF(AND(AH485&gt;0,AC485=0,AD485=0,AF485=0,AK485=0,AL485=0),"QUANTIDADE A REVISAR","IDENTIFICAÇÃO A REVISAR"),IF(S485="Aguardando recebimento","RECEBIMENTO NÃO CONFIRMADO",IF(S485="Aguardando CDF","CDF NÃO LOCALIZADO",IF(S485="Vínculo de CDF parcial","VÍNCULO INCOMPLETO",IF(S485="CDF localizado, a conferir","CDF A CONFERIR","")))))))</f>
        <v/>
      </c>
      <c r="U485" s="95" t="str">
        <f>IF(T485="","",IF(AQ485="","Não calculável",IF(AQ485&gt;TODAY(),"Data futura",TODAY()-AQ485)))</f>
        <v/>
      </c>
      <c r="V485" s="93" t="str">
        <f>IF(Z485=0,"",SUMIFS('RECEBIMENTOS'!$H$6:$H$1005,'RECEBIMENTOS'!$B$6:$B$1005,A485,'RECEBIMENTOS'!$Z$6:$Z$1005,1))</f>
        <v/>
      </c>
      <c r="W485" s="95" t="str">
        <f>IF(Z485=0,"",COUNTIFS('ITENS_MTR'!$S$6:$S$1005,A485,'ITENS_MTR'!$R$6:$R$1005,1))</f>
        <v/>
      </c>
      <c r="X485" s="94" t="str">
        <f>IF(AC485=1,"POSSÍVEL DUPLICIDADE","")</f>
        <v/>
      </c>
      <c r="Y485" s="94" t="str">
        <f>IF(Z485=0,"",IF(AW485="","Nenhuma",LEFT(AW485,LEN(AW485)-2)))</f>
        <v/>
      </c>
      <c r="Z485" s="96">
        <f>IF(COUNTA(B485:O485)&gt;0,1,0)</f>
        <v>0</v>
      </c>
      <c r="AA485" s="96">
        <f>IF(AND(Z485=1,K485&lt;&gt;""),IF(TRIM(K485)=TRIM(cfg_cancel),1,0),0)</f>
        <v>0</v>
      </c>
      <c r="AB485" s="96" t="str">
        <f>IF(AND(Z485=1,B485&lt;&gt;""),C485&amp;"|"&amp;D485&amp;"|"&amp;G485&amp;"|"&amp;TRIM(B485),"")</f>
        <v/>
      </c>
      <c r="AC485" s="96">
        <f>IF(AB485="",0,IF(SUMPRODUCT(--($AB$6:$AB$505=AB485))&gt;1,1,0))</f>
        <v>0</v>
      </c>
      <c r="AD485" s="96">
        <f>IF(Z485=0,0,IF(OR(AND(G485&lt;&gt;"",ISNA(MATCH(G485,'CAD_UNIDADES'!$C$6:$C$105,0))),AND(H485&lt;&gt;"",ISNA(MATCH(H485,cmp_transp,0))),AND(I485&lt;&gt;"",ISNA(MATCH(I485,cmp_dest,0))),AND(E485&lt;&gt;"",NOT(ISNUMBER(E485))),AND(F485&lt;&gt;"",NOT(ISNUMBER(F485))),AND(ISNUMBER(E485),ISNUMBER(F485),F485&lt;E485)),1,0))</f>
        <v>0</v>
      </c>
      <c r="AE485" s="96">
        <f>IF(Z485=0,0,IF(OR(B485="",C485="",E485="",G485="",H485="",I485="",N(W485)=0),1,0))</f>
        <v>0</v>
      </c>
      <c r="AF485" s="96">
        <f>IF(Z485=0,0,COUNTIFS('ITENS_MTR'!$S$6:$S$1005,A485,'ITENS_MTR'!$AI$6:$AI$1005,1))</f>
        <v>0</v>
      </c>
      <c r="AG485" s="96">
        <f>IF(Z485=0,0,COUNTIFS('ITENS_MTR'!$S$6:$S$1005,A485,'ITENS_MTR'!$AJ$6:$AJ$1005,1))</f>
        <v>0</v>
      </c>
      <c r="AH485" s="96">
        <f>IF(Z485=0,0,COUNTIFS('ITENS_MTR'!$S$6:$S$1005,A485,'ITENS_MTR'!$AM$6:$AM$1005,1))</f>
        <v>0</v>
      </c>
      <c r="AI485" s="96">
        <f>IF(Z485=0,0,COUNTIFS('ITENS_MTR'!$S$6:$S$1005,A485,'ITENS_MTR'!$AO$6:$AO$1005,1))</f>
        <v>0</v>
      </c>
      <c r="AJ485" s="96">
        <f>IF(Z485=0,0,COUNTIFS('ITENS_MTR'!$S$6:$S$1005,A485,'ITENS_MTR'!$AN$6:$AN$1005,1))</f>
        <v>0</v>
      </c>
      <c r="AK485" s="96">
        <f>IF(Z485=0,0,COUNTIFS('RECEBIMENTOS'!$B$6:$B$1005,A485,'RECEBIMENTOS'!$Y$6:$Y$1005,1))</f>
        <v>0</v>
      </c>
      <c r="AL485" s="96">
        <f>IF(Z485=0,0,COUNTIFS('VÍNCULOS_CDF'!$D$6:$D$1005,A485,'VÍNCULOS_CDF'!$Y$6:$Y$1005,1))</f>
        <v>0</v>
      </c>
      <c r="AM485" s="96">
        <f>IF(Z485=0,0,COUNTIFS('RECEBIMENTOS'!$B$6:$B$1005,A485,'RECEBIMENTOS'!$Q$6:$Q$1005,1))</f>
        <v>0</v>
      </c>
      <c r="AN485" s="96">
        <f>IF(AND(Z485=1,N(W485)&gt;0,AG485=N(W485)),1,0)</f>
        <v>0</v>
      </c>
      <c r="AO485" s="96">
        <f>IF(AND(Z485=1,N(W485)&gt;0,AI485=N(W485)),1,0)</f>
        <v>0</v>
      </c>
      <c r="AP485" s="97">
        <f>IF(Z485=0,0,_xlfn.MAXIFS('RECEBIMENTOS'!$E$6:$E$1005,'RECEBIMENTOS'!$B$6:$B$1005,A485))</f>
        <v>0</v>
      </c>
      <c r="AQ485" s="97" t="str">
        <f>IF(T485="","",IF(T485="RECEBIMENTO NÃO CONFIRMADO",IF(ISNUMBER(F485),F485,IF(ISNUMBER(E485),E485,"")),IF(OR(T485="CDF NÃO LOCALIZADO",T485="VÍNCULO INCOMPLETO",T485="CDF A CONFERIR"),IF(AP485&gt;0,AP485,IF(ISNUMBER(E485),E485,"")),IF(ISNUMBER(E485),E485,""))))</f>
        <v/>
      </c>
      <c r="AR485" s="96">
        <f>IF(NOT(ISNUMBER(U485)),0,IF(T485="RECEBIMENTO NÃO CONFIRMADO",IF(AND(ISNUMBER(cfg_rec),U485&gt;cfg_rec),1,0),IF(OR(T485="CDF NÃO LOCALIZADO",T485="VÍNCULO INCOMPLETO",T485="CDF A CONFERIR"),IF(AND(ISNUMBER(cfg_cdf),U485&gt;cfg_cdf),1,0),0)))</f>
        <v>0</v>
      </c>
      <c r="AS485" s="96" t="str">
        <f>IF(T485="","",IF(AR485=1,"Alta",IFERROR(INDEX(cfg_pp,MATCH(T485,cfg_pt,0))&amp;"","Média")))</f>
        <v/>
      </c>
      <c r="AT485" s="96" t="str">
        <f>IF(T485="","",IFERROR(INDEX(cfg_pv,MATCH(T485,cfg_pt,0))&amp;"",""))</f>
        <v/>
      </c>
      <c r="AU485" s="96" t="str">
        <f>IF(T485="","",IF(AS485="Alta",1,IF(AS485="Média",2,3))*1000000000+(999999-IF(ISNUMBER(U485),MIN(U485,999999),0))*1000+480)</f>
        <v/>
      </c>
      <c r="AV485" s="96">
        <f>IF(T485&lt;&gt;"",1,0)</f>
        <v>0</v>
      </c>
      <c r="AW485" s="96" t="str">
        <f>IF(Z485=0,"",IF(AA485=1,"Cancelamento informado; ","")&amp;IF(AE485=1,"Campos essenciais ou itens faltando; ","")&amp;IF(AC485=1,"Possível duplicidade do número; ","")&amp;IF(AD485=1,"Cadastro ou datas a revisar; ","")&amp;IF(AF485&gt;0,"Item de resíduo com dado a revisar; ","")&amp;IF(AH485&gt;0,"Diferença de quantidade a analisar; ","")&amp;IF(AK485&gt;0,"Recebimento com alerta; ","")&amp;IF(AL485&gt;0,"Vínculo de CDF com alerta; ","")&amp;IF(AND(AA485=0,AN485=0),"Recebimento não confirmado; ","")&amp;IF(AND(AA485=0,AN485=1,AO485=0),"CDF pendente ou a conferir; ",""))</f>
        <v/>
      </c>
      <c r="AX485" s="96">
        <f>IF(Z485=0,0,IF(AND(OR(f_ini="",AND(ISNUMBER(E485),E485&gt;=f_ini)),OR(f_fim="",AND(ISNUMBER(E485),E485&lt;=f_fim)),OR(f_un="",f_un="(Todas)",G485=f_un),OR(f_tr="",f_tr="(Todos)",H485=f_tr),OR(f_de="",f_de="(Todos)",I485=f_de),OR(f_sit="",f_sit="(Todas)",S485=f_sit)),1,0))</f>
        <v>0</v>
      </c>
      <c r="AY485" s="96">
        <f>IF(AX485=0,0,IF(OR(f_res="",f_res="(Todos)"),1,IF(COUNTIFS('ITENS_MTR'!$S$6:$S$1005,A485,'ITENS_MTR'!$C$6:$C$1005,f_res)&gt;0,1,0)))</f>
        <v>0</v>
      </c>
      <c r="AZ485" s="97" t="str">
        <f>IF(ISNUMBER(E485),DATE(YEAR(E485),MONTH(E485),1),"")</f>
        <v/>
      </c>
      <c r="BA485" s="96">
        <f>IF(Z485=0,0,IF(AND(OR(r_ini="",AND(ISNUMBER(E485),E485&gt;=r_ini)),OR(r_fim="",AND(ISNUMBER(E485),E485&lt;=r_fim)),OR(r_un="",r_un="(Todas)",G485=r_un),OR(r_de="",r_de="(Todos)",I485=r_de)),1,0))</f>
        <v>0</v>
      </c>
      <c r="BB485" s="96" t="str">
        <f>IF(BA485=1,COUNTIF($BA$6:BA485,1),"")</f>
        <v/>
      </c>
      <c r="BC485" s="96" t="str">
        <f>IF(AND(AU485&lt;&gt;"",OR(r_un="",r_un="(Todas)",G485=r_un),OR(r_de="",r_de="(Todos)",I485=r_de)),AU485,"")</f>
        <v/>
      </c>
      <c r="BD485" s="96" t="str">
        <f>IF(Z485=1,A485&amp;" | nº "&amp;IF(B485="","(sem número)",B485)&amp;" | "&amp;IF(G485="","(sem unidade)",G485),"")</f>
        <v/>
      </c>
      <c r="BE485" s="96" t="str">
        <f>IF(Z485=1,COUNTIF($Z$6:Z485,1),"")</f>
        <v/>
      </c>
      <c r="BF485" s="96" t="str">
        <f>IF(T485="","",IF(T485="RECEBIMENTO NÃO CONFIRMADO","Transp.: "&amp;H485&amp;" | Dest.: "&amp;I485,IF(OR(T485="CDF NÃO LOCALIZADO",T485="VÍNCULO INCOMPLETO",T485="CDF A CONFERIR"),"Dest.: "&amp;I485,"Gerador: "&amp;G485)))</f>
        <v/>
      </c>
    </row>
    <row r="486">
      <c r="A486" s="89" t="inlineStr">
        <is>
          <t>MTR-000481</t>
        </is>
      </c>
      <c r="B486" s="90" t="n"/>
      <c r="C486" s="91" t="n"/>
      <c r="D486" s="91" t="n"/>
      <c r="E486" s="92" t="n"/>
      <c r="F486" s="92" t="n"/>
      <c r="G486" s="91" t="n"/>
      <c r="H486" s="91" t="n"/>
      <c r="I486" s="91" t="n"/>
      <c r="J486" s="91" t="n"/>
      <c r="K486" s="91" t="n"/>
      <c r="L486" s="92" t="n"/>
      <c r="M486" s="91" t="n"/>
      <c r="N486" s="91" t="n"/>
      <c r="O486" s="91" t="n"/>
      <c r="P486" s="93" t="str">
        <f>IF(Z486=0,"",SUMIFS('ITENS_MTR'!$I$6:$I$1005,'ITENS_MTR'!$S$6:$S$1005,A486,'ITENS_MTR'!$Y$6:$Y$1005,1))</f>
        <v/>
      </c>
      <c r="Q486" s="93" t="str">
        <f>IF(Z486=0,"",SUMIFS('RECEBIMENTOS'!$H$6:$H$1005,'RECEBIMENTOS'!$B$6:$B$1005,A486,'RECEBIMENTOS'!$X$6:$X$1005,1))</f>
        <v/>
      </c>
      <c r="R486" s="93" t="str">
        <f>IF(Z486=0,"",SUMIFS('VÍNCULOS_CDF'!$H$6:$H$1005,'VÍNCULOS_CDF'!$D$6:$D$1005,A486,'VÍNCULOS_CDF'!$V$6:$V$1005,1))</f>
        <v/>
      </c>
      <c r="S486" s="94" t="str">
        <f>IF(Z486=0,"",IF(AA486=1,"Cancelado (informado)",IF(AE486=1,"Cadastro incompleto",IF(OR(AC486=1,AD486=1,AF486&gt;0,AH486&gt;0,AK486&gt;0,AL486&gt;0),"Informação a revisar",IF(AN486=0,"Aguardando recebimento",IF(N(R486)=0,"Aguardando CDF",IF(AJ486&lt;N(W486),"Vínculo de CDF parcial",IF(AO486=0,"CDF localizado, a conferir","Documentação conferida"))))))))</f>
        <v/>
      </c>
      <c r="T486" s="94" t="str">
        <f>IF(Z486=0,"",IF(S486="Cadastro incompleto","MTR INCOMPLETO",IF(S486="Informação a revisar",IF(AND(AH486&gt;0,AC486=0,AD486=0,AF486=0,AK486=0,AL486=0),"QUANTIDADE A REVISAR","IDENTIFICAÇÃO A REVISAR"),IF(S486="Aguardando recebimento","RECEBIMENTO NÃO CONFIRMADO",IF(S486="Aguardando CDF","CDF NÃO LOCALIZADO",IF(S486="Vínculo de CDF parcial","VÍNCULO INCOMPLETO",IF(S486="CDF localizado, a conferir","CDF A CONFERIR","")))))))</f>
        <v/>
      </c>
      <c r="U486" s="95" t="str">
        <f>IF(T486="","",IF(AQ486="","Não calculável",IF(AQ486&gt;TODAY(),"Data futura",TODAY()-AQ486)))</f>
        <v/>
      </c>
      <c r="V486" s="93" t="str">
        <f>IF(Z486=0,"",SUMIFS('RECEBIMENTOS'!$H$6:$H$1005,'RECEBIMENTOS'!$B$6:$B$1005,A486,'RECEBIMENTOS'!$Z$6:$Z$1005,1))</f>
        <v/>
      </c>
      <c r="W486" s="95" t="str">
        <f>IF(Z486=0,"",COUNTIFS('ITENS_MTR'!$S$6:$S$1005,A486,'ITENS_MTR'!$R$6:$R$1005,1))</f>
        <v/>
      </c>
      <c r="X486" s="94" t="str">
        <f>IF(AC486=1,"POSSÍVEL DUPLICIDADE","")</f>
        <v/>
      </c>
      <c r="Y486" s="94" t="str">
        <f>IF(Z486=0,"",IF(AW486="","Nenhuma",LEFT(AW486,LEN(AW486)-2)))</f>
        <v/>
      </c>
      <c r="Z486" s="96">
        <f>IF(COUNTA(B486:O486)&gt;0,1,0)</f>
        <v>0</v>
      </c>
      <c r="AA486" s="96">
        <f>IF(AND(Z486=1,K486&lt;&gt;""),IF(TRIM(K486)=TRIM(cfg_cancel),1,0),0)</f>
        <v>0</v>
      </c>
      <c r="AB486" s="96" t="str">
        <f>IF(AND(Z486=1,B486&lt;&gt;""),C486&amp;"|"&amp;D486&amp;"|"&amp;G486&amp;"|"&amp;TRIM(B486),"")</f>
        <v/>
      </c>
      <c r="AC486" s="96">
        <f>IF(AB486="",0,IF(SUMPRODUCT(--($AB$6:$AB$505=AB486))&gt;1,1,0))</f>
        <v>0</v>
      </c>
      <c r="AD486" s="96">
        <f>IF(Z486=0,0,IF(OR(AND(G486&lt;&gt;"",ISNA(MATCH(G486,'CAD_UNIDADES'!$C$6:$C$105,0))),AND(H486&lt;&gt;"",ISNA(MATCH(H486,cmp_transp,0))),AND(I486&lt;&gt;"",ISNA(MATCH(I486,cmp_dest,0))),AND(E486&lt;&gt;"",NOT(ISNUMBER(E486))),AND(F486&lt;&gt;"",NOT(ISNUMBER(F486))),AND(ISNUMBER(E486),ISNUMBER(F486),F486&lt;E486)),1,0))</f>
        <v>0</v>
      </c>
      <c r="AE486" s="96">
        <f>IF(Z486=0,0,IF(OR(B486="",C486="",E486="",G486="",H486="",I486="",N(W486)=0),1,0))</f>
        <v>0</v>
      </c>
      <c r="AF486" s="96">
        <f>IF(Z486=0,0,COUNTIFS('ITENS_MTR'!$S$6:$S$1005,A486,'ITENS_MTR'!$AI$6:$AI$1005,1))</f>
        <v>0</v>
      </c>
      <c r="AG486" s="96">
        <f>IF(Z486=0,0,COUNTIFS('ITENS_MTR'!$S$6:$S$1005,A486,'ITENS_MTR'!$AJ$6:$AJ$1005,1))</f>
        <v>0</v>
      </c>
      <c r="AH486" s="96">
        <f>IF(Z486=0,0,COUNTIFS('ITENS_MTR'!$S$6:$S$1005,A486,'ITENS_MTR'!$AM$6:$AM$1005,1))</f>
        <v>0</v>
      </c>
      <c r="AI486" s="96">
        <f>IF(Z486=0,0,COUNTIFS('ITENS_MTR'!$S$6:$S$1005,A486,'ITENS_MTR'!$AO$6:$AO$1005,1))</f>
        <v>0</v>
      </c>
      <c r="AJ486" s="96">
        <f>IF(Z486=0,0,COUNTIFS('ITENS_MTR'!$S$6:$S$1005,A486,'ITENS_MTR'!$AN$6:$AN$1005,1))</f>
        <v>0</v>
      </c>
      <c r="AK486" s="96">
        <f>IF(Z486=0,0,COUNTIFS('RECEBIMENTOS'!$B$6:$B$1005,A486,'RECEBIMENTOS'!$Y$6:$Y$1005,1))</f>
        <v>0</v>
      </c>
      <c r="AL486" s="96">
        <f>IF(Z486=0,0,COUNTIFS('VÍNCULOS_CDF'!$D$6:$D$1005,A486,'VÍNCULOS_CDF'!$Y$6:$Y$1005,1))</f>
        <v>0</v>
      </c>
      <c r="AM486" s="96">
        <f>IF(Z486=0,0,COUNTIFS('RECEBIMENTOS'!$B$6:$B$1005,A486,'RECEBIMENTOS'!$Q$6:$Q$1005,1))</f>
        <v>0</v>
      </c>
      <c r="AN486" s="96">
        <f>IF(AND(Z486=1,N(W486)&gt;0,AG486=N(W486)),1,0)</f>
        <v>0</v>
      </c>
      <c r="AO486" s="96">
        <f>IF(AND(Z486=1,N(W486)&gt;0,AI486=N(W486)),1,0)</f>
        <v>0</v>
      </c>
      <c r="AP486" s="97">
        <f>IF(Z486=0,0,_xlfn.MAXIFS('RECEBIMENTOS'!$E$6:$E$1005,'RECEBIMENTOS'!$B$6:$B$1005,A486))</f>
        <v>0</v>
      </c>
      <c r="AQ486" s="97" t="str">
        <f>IF(T486="","",IF(T486="RECEBIMENTO NÃO CONFIRMADO",IF(ISNUMBER(F486),F486,IF(ISNUMBER(E486),E486,"")),IF(OR(T486="CDF NÃO LOCALIZADO",T486="VÍNCULO INCOMPLETO",T486="CDF A CONFERIR"),IF(AP486&gt;0,AP486,IF(ISNUMBER(E486),E486,"")),IF(ISNUMBER(E486),E486,""))))</f>
        <v/>
      </c>
      <c r="AR486" s="96">
        <f>IF(NOT(ISNUMBER(U486)),0,IF(T486="RECEBIMENTO NÃO CONFIRMADO",IF(AND(ISNUMBER(cfg_rec),U486&gt;cfg_rec),1,0),IF(OR(T486="CDF NÃO LOCALIZADO",T486="VÍNCULO INCOMPLETO",T486="CDF A CONFERIR"),IF(AND(ISNUMBER(cfg_cdf),U486&gt;cfg_cdf),1,0),0)))</f>
        <v>0</v>
      </c>
      <c r="AS486" s="96" t="str">
        <f>IF(T486="","",IF(AR486=1,"Alta",IFERROR(INDEX(cfg_pp,MATCH(T486,cfg_pt,0))&amp;"","Média")))</f>
        <v/>
      </c>
      <c r="AT486" s="96" t="str">
        <f>IF(T486="","",IFERROR(INDEX(cfg_pv,MATCH(T486,cfg_pt,0))&amp;"",""))</f>
        <v/>
      </c>
      <c r="AU486" s="96" t="str">
        <f>IF(T486="","",IF(AS486="Alta",1,IF(AS486="Média",2,3))*1000000000+(999999-IF(ISNUMBER(U486),MIN(U486,999999),0))*1000+481)</f>
        <v/>
      </c>
      <c r="AV486" s="96">
        <f>IF(T486&lt;&gt;"",1,0)</f>
        <v>0</v>
      </c>
      <c r="AW486" s="96" t="str">
        <f>IF(Z486=0,"",IF(AA486=1,"Cancelamento informado; ","")&amp;IF(AE486=1,"Campos essenciais ou itens faltando; ","")&amp;IF(AC486=1,"Possível duplicidade do número; ","")&amp;IF(AD486=1,"Cadastro ou datas a revisar; ","")&amp;IF(AF486&gt;0,"Item de resíduo com dado a revisar; ","")&amp;IF(AH486&gt;0,"Diferença de quantidade a analisar; ","")&amp;IF(AK486&gt;0,"Recebimento com alerta; ","")&amp;IF(AL486&gt;0,"Vínculo de CDF com alerta; ","")&amp;IF(AND(AA486=0,AN486=0),"Recebimento não confirmado; ","")&amp;IF(AND(AA486=0,AN486=1,AO486=0),"CDF pendente ou a conferir; ",""))</f>
        <v/>
      </c>
      <c r="AX486" s="96">
        <f>IF(Z486=0,0,IF(AND(OR(f_ini="",AND(ISNUMBER(E486),E486&gt;=f_ini)),OR(f_fim="",AND(ISNUMBER(E486),E486&lt;=f_fim)),OR(f_un="",f_un="(Todas)",G486=f_un),OR(f_tr="",f_tr="(Todos)",H486=f_tr),OR(f_de="",f_de="(Todos)",I486=f_de),OR(f_sit="",f_sit="(Todas)",S486=f_sit)),1,0))</f>
        <v>0</v>
      </c>
      <c r="AY486" s="96">
        <f>IF(AX486=0,0,IF(OR(f_res="",f_res="(Todos)"),1,IF(COUNTIFS('ITENS_MTR'!$S$6:$S$1005,A486,'ITENS_MTR'!$C$6:$C$1005,f_res)&gt;0,1,0)))</f>
        <v>0</v>
      </c>
      <c r="AZ486" s="97" t="str">
        <f>IF(ISNUMBER(E486),DATE(YEAR(E486),MONTH(E486),1),"")</f>
        <v/>
      </c>
      <c r="BA486" s="96">
        <f>IF(Z486=0,0,IF(AND(OR(r_ini="",AND(ISNUMBER(E486),E486&gt;=r_ini)),OR(r_fim="",AND(ISNUMBER(E486),E486&lt;=r_fim)),OR(r_un="",r_un="(Todas)",G486=r_un),OR(r_de="",r_de="(Todos)",I486=r_de)),1,0))</f>
        <v>0</v>
      </c>
      <c r="BB486" s="96" t="str">
        <f>IF(BA486=1,COUNTIF($BA$6:BA486,1),"")</f>
        <v/>
      </c>
      <c r="BC486" s="96" t="str">
        <f>IF(AND(AU486&lt;&gt;"",OR(r_un="",r_un="(Todas)",G486=r_un),OR(r_de="",r_de="(Todos)",I486=r_de)),AU486,"")</f>
        <v/>
      </c>
      <c r="BD486" s="96" t="str">
        <f>IF(Z486=1,A486&amp;" | nº "&amp;IF(B486="","(sem número)",B486)&amp;" | "&amp;IF(G486="","(sem unidade)",G486),"")</f>
        <v/>
      </c>
      <c r="BE486" s="96" t="str">
        <f>IF(Z486=1,COUNTIF($Z$6:Z486,1),"")</f>
        <v/>
      </c>
      <c r="BF486" s="96" t="str">
        <f>IF(T486="","",IF(T486="RECEBIMENTO NÃO CONFIRMADO","Transp.: "&amp;H486&amp;" | Dest.: "&amp;I486,IF(OR(T486="CDF NÃO LOCALIZADO",T486="VÍNCULO INCOMPLETO",T486="CDF A CONFERIR"),"Dest.: "&amp;I486,"Gerador: "&amp;G486)))</f>
        <v/>
      </c>
    </row>
    <row r="487">
      <c r="A487" s="89" t="inlineStr">
        <is>
          <t>MTR-000482</t>
        </is>
      </c>
      <c r="B487" s="90" t="n"/>
      <c r="C487" s="91" t="n"/>
      <c r="D487" s="91" t="n"/>
      <c r="E487" s="92" t="n"/>
      <c r="F487" s="92" t="n"/>
      <c r="G487" s="91" t="n"/>
      <c r="H487" s="91" t="n"/>
      <c r="I487" s="91" t="n"/>
      <c r="J487" s="91" t="n"/>
      <c r="K487" s="91" t="n"/>
      <c r="L487" s="92" t="n"/>
      <c r="M487" s="91" t="n"/>
      <c r="N487" s="91" t="n"/>
      <c r="O487" s="91" t="n"/>
      <c r="P487" s="93" t="str">
        <f>IF(Z487=0,"",SUMIFS('ITENS_MTR'!$I$6:$I$1005,'ITENS_MTR'!$S$6:$S$1005,A487,'ITENS_MTR'!$Y$6:$Y$1005,1))</f>
        <v/>
      </c>
      <c r="Q487" s="93" t="str">
        <f>IF(Z487=0,"",SUMIFS('RECEBIMENTOS'!$H$6:$H$1005,'RECEBIMENTOS'!$B$6:$B$1005,A487,'RECEBIMENTOS'!$X$6:$X$1005,1))</f>
        <v/>
      </c>
      <c r="R487" s="93" t="str">
        <f>IF(Z487=0,"",SUMIFS('VÍNCULOS_CDF'!$H$6:$H$1005,'VÍNCULOS_CDF'!$D$6:$D$1005,A487,'VÍNCULOS_CDF'!$V$6:$V$1005,1))</f>
        <v/>
      </c>
      <c r="S487" s="94" t="str">
        <f>IF(Z487=0,"",IF(AA487=1,"Cancelado (informado)",IF(AE487=1,"Cadastro incompleto",IF(OR(AC487=1,AD487=1,AF487&gt;0,AH487&gt;0,AK487&gt;0,AL487&gt;0),"Informação a revisar",IF(AN487=0,"Aguardando recebimento",IF(N(R487)=0,"Aguardando CDF",IF(AJ487&lt;N(W487),"Vínculo de CDF parcial",IF(AO487=0,"CDF localizado, a conferir","Documentação conferida"))))))))</f>
        <v/>
      </c>
      <c r="T487" s="94" t="str">
        <f>IF(Z487=0,"",IF(S487="Cadastro incompleto","MTR INCOMPLETO",IF(S487="Informação a revisar",IF(AND(AH487&gt;0,AC487=0,AD487=0,AF487=0,AK487=0,AL487=0),"QUANTIDADE A REVISAR","IDENTIFICAÇÃO A REVISAR"),IF(S487="Aguardando recebimento","RECEBIMENTO NÃO CONFIRMADO",IF(S487="Aguardando CDF","CDF NÃO LOCALIZADO",IF(S487="Vínculo de CDF parcial","VÍNCULO INCOMPLETO",IF(S487="CDF localizado, a conferir","CDF A CONFERIR","")))))))</f>
        <v/>
      </c>
      <c r="U487" s="95" t="str">
        <f>IF(T487="","",IF(AQ487="","Não calculável",IF(AQ487&gt;TODAY(),"Data futura",TODAY()-AQ487)))</f>
        <v/>
      </c>
      <c r="V487" s="93" t="str">
        <f>IF(Z487=0,"",SUMIFS('RECEBIMENTOS'!$H$6:$H$1005,'RECEBIMENTOS'!$B$6:$B$1005,A487,'RECEBIMENTOS'!$Z$6:$Z$1005,1))</f>
        <v/>
      </c>
      <c r="W487" s="95" t="str">
        <f>IF(Z487=0,"",COUNTIFS('ITENS_MTR'!$S$6:$S$1005,A487,'ITENS_MTR'!$R$6:$R$1005,1))</f>
        <v/>
      </c>
      <c r="X487" s="94" t="str">
        <f>IF(AC487=1,"POSSÍVEL DUPLICIDADE","")</f>
        <v/>
      </c>
      <c r="Y487" s="94" t="str">
        <f>IF(Z487=0,"",IF(AW487="","Nenhuma",LEFT(AW487,LEN(AW487)-2)))</f>
        <v/>
      </c>
      <c r="Z487" s="96">
        <f>IF(COUNTA(B487:O487)&gt;0,1,0)</f>
        <v>0</v>
      </c>
      <c r="AA487" s="96">
        <f>IF(AND(Z487=1,K487&lt;&gt;""),IF(TRIM(K487)=TRIM(cfg_cancel),1,0),0)</f>
        <v>0</v>
      </c>
      <c r="AB487" s="96" t="str">
        <f>IF(AND(Z487=1,B487&lt;&gt;""),C487&amp;"|"&amp;D487&amp;"|"&amp;G487&amp;"|"&amp;TRIM(B487),"")</f>
        <v/>
      </c>
      <c r="AC487" s="96">
        <f>IF(AB487="",0,IF(SUMPRODUCT(--($AB$6:$AB$505=AB487))&gt;1,1,0))</f>
        <v>0</v>
      </c>
      <c r="AD487" s="96">
        <f>IF(Z487=0,0,IF(OR(AND(G487&lt;&gt;"",ISNA(MATCH(G487,'CAD_UNIDADES'!$C$6:$C$105,0))),AND(H487&lt;&gt;"",ISNA(MATCH(H487,cmp_transp,0))),AND(I487&lt;&gt;"",ISNA(MATCH(I487,cmp_dest,0))),AND(E487&lt;&gt;"",NOT(ISNUMBER(E487))),AND(F487&lt;&gt;"",NOT(ISNUMBER(F487))),AND(ISNUMBER(E487),ISNUMBER(F487),F487&lt;E487)),1,0))</f>
        <v>0</v>
      </c>
      <c r="AE487" s="96">
        <f>IF(Z487=0,0,IF(OR(B487="",C487="",E487="",G487="",H487="",I487="",N(W487)=0),1,0))</f>
        <v>0</v>
      </c>
      <c r="AF487" s="96">
        <f>IF(Z487=0,0,COUNTIFS('ITENS_MTR'!$S$6:$S$1005,A487,'ITENS_MTR'!$AI$6:$AI$1005,1))</f>
        <v>0</v>
      </c>
      <c r="AG487" s="96">
        <f>IF(Z487=0,0,COUNTIFS('ITENS_MTR'!$S$6:$S$1005,A487,'ITENS_MTR'!$AJ$6:$AJ$1005,1))</f>
        <v>0</v>
      </c>
      <c r="AH487" s="96">
        <f>IF(Z487=0,0,COUNTIFS('ITENS_MTR'!$S$6:$S$1005,A487,'ITENS_MTR'!$AM$6:$AM$1005,1))</f>
        <v>0</v>
      </c>
      <c r="AI487" s="96">
        <f>IF(Z487=0,0,COUNTIFS('ITENS_MTR'!$S$6:$S$1005,A487,'ITENS_MTR'!$AO$6:$AO$1005,1))</f>
        <v>0</v>
      </c>
      <c r="AJ487" s="96">
        <f>IF(Z487=0,0,COUNTIFS('ITENS_MTR'!$S$6:$S$1005,A487,'ITENS_MTR'!$AN$6:$AN$1005,1))</f>
        <v>0</v>
      </c>
      <c r="AK487" s="96">
        <f>IF(Z487=0,0,COUNTIFS('RECEBIMENTOS'!$B$6:$B$1005,A487,'RECEBIMENTOS'!$Y$6:$Y$1005,1))</f>
        <v>0</v>
      </c>
      <c r="AL487" s="96">
        <f>IF(Z487=0,0,COUNTIFS('VÍNCULOS_CDF'!$D$6:$D$1005,A487,'VÍNCULOS_CDF'!$Y$6:$Y$1005,1))</f>
        <v>0</v>
      </c>
      <c r="AM487" s="96">
        <f>IF(Z487=0,0,COUNTIFS('RECEBIMENTOS'!$B$6:$B$1005,A487,'RECEBIMENTOS'!$Q$6:$Q$1005,1))</f>
        <v>0</v>
      </c>
      <c r="AN487" s="96">
        <f>IF(AND(Z487=1,N(W487)&gt;0,AG487=N(W487)),1,0)</f>
        <v>0</v>
      </c>
      <c r="AO487" s="96">
        <f>IF(AND(Z487=1,N(W487)&gt;0,AI487=N(W487)),1,0)</f>
        <v>0</v>
      </c>
      <c r="AP487" s="97">
        <f>IF(Z487=0,0,_xlfn.MAXIFS('RECEBIMENTOS'!$E$6:$E$1005,'RECEBIMENTOS'!$B$6:$B$1005,A487))</f>
        <v>0</v>
      </c>
      <c r="AQ487" s="97" t="str">
        <f>IF(T487="","",IF(T487="RECEBIMENTO NÃO CONFIRMADO",IF(ISNUMBER(F487),F487,IF(ISNUMBER(E487),E487,"")),IF(OR(T487="CDF NÃO LOCALIZADO",T487="VÍNCULO INCOMPLETO",T487="CDF A CONFERIR"),IF(AP487&gt;0,AP487,IF(ISNUMBER(E487),E487,"")),IF(ISNUMBER(E487),E487,""))))</f>
        <v/>
      </c>
      <c r="AR487" s="96">
        <f>IF(NOT(ISNUMBER(U487)),0,IF(T487="RECEBIMENTO NÃO CONFIRMADO",IF(AND(ISNUMBER(cfg_rec),U487&gt;cfg_rec),1,0),IF(OR(T487="CDF NÃO LOCALIZADO",T487="VÍNCULO INCOMPLETO",T487="CDF A CONFERIR"),IF(AND(ISNUMBER(cfg_cdf),U487&gt;cfg_cdf),1,0),0)))</f>
        <v>0</v>
      </c>
      <c r="AS487" s="96" t="str">
        <f>IF(T487="","",IF(AR487=1,"Alta",IFERROR(INDEX(cfg_pp,MATCH(T487,cfg_pt,0))&amp;"","Média")))</f>
        <v/>
      </c>
      <c r="AT487" s="96" t="str">
        <f>IF(T487="","",IFERROR(INDEX(cfg_pv,MATCH(T487,cfg_pt,0))&amp;"",""))</f>
        <v/>
      </c>
      <c r="AU487" s="96" t="str">
        <f>IF(T487="","",IF(AS487="Alta",1,IF(AS487="Média",2,3))*1000000000+(999999-IF(ISNUMBER(U487),MIN(U487,999999),0))*1000+482)</f>
        <v/>
      </c>
      <c r="AV487" s="96">
        <f>IF(T487&lt;&gt;"",1,0)</f>
        <v>0</v>
      </c>
      <c r="AW487" s="96" t="str">
        <f>IF(Z487=0,"",IF(AA487=1,"Cancelamento informado; ","")&amp;IF(AE487=1,"Campos essenciais ou itens faltando; ","")&amp;IF(AC487=1,"Possível duplicidade do número; ","")&amp;IF(AD487=1,"Cadastro ou datas a revisar; ","")&amp;IF(AF487&gt;0,"Item de resíduo com dado a revisar; ","")&amp;IF(AH487&gt;0,"Diferença de quantidade a analisar; ","")&amp;IF(AK487&gt;0,"Recebimento com alerta; ","")&amp;IF(AL487&gt;0,"Vínculo de CDF com alerta; ","")&amp;IF(AND(AA487=0,AN487=0),"Recebimento não confirmado; ","")&amp;IF(AND(AA487=0,AN487=1,AO487=0),"CDF pendente ou a conferir; ",""))</f>
        <v/>
      </c>
      <c r="AX487" s="96">
        <f>IF(Z487=0,0,IF(AND(OR(f_ini="",AND(ISNUMBER(E487),E487&gt;=f_ini)),OR(f_fim="",AND(ISNUMBER(E487),E487&lt;=f_fim)),OR(f_un="",f_un="(Todas)",G487=f_un),OR(f_tr="",f_tr="(Todos)",H487=f_tr),OR(f_de="",f_de="(Todos)",I487=f_de),OR(f_sit="",f_sit="(Todas)",S487=f_sit)),1,0))</f>
        <v>0</v>
      </c>
      <c r="AY487" s="96">
        <f>IF(AX487=0,0,IF(OR(f_res="",f_res="(Todos)"),1,IF(COUNTIFS('ITENS_MTR'!$S$6:$S$1005,A487,'ITENS_MTR'!$C$6:$C$1005,f_res)&gt;0,1,0)))</f>
        <v>0</v>
      </c>
      <c r="AZ487" s="97" t="str">
        <f>IF(ISNUMBER(E487),DATE(YEAR(E487),MONTH(E487),1),"")</f>
        <v/>
      </c>
      <c r="BA487" s="96">
        <f>IF(Z487=0,0,IF(AND(OR(r_ini="",AND(ISNUMBER(E487),E487&gt;=r_ini)),OR(r_fim="",AND(ISNUMBER(E487),E487&lt;=r_fim)),OR(r_un="",r_un="(Todas)",G487=r_un),OR(r_de="",r_de="(Todos)",I487=r_de)),1,0))</f>
        <v>0</v>
      </c>
      <c r="BB487" s="96" t="str">
        <f>IF(BA487=1,COUNTIF($BA$6:BA487,1),"")</f>
        <v/>
      </c>
      <c r="BC487" s="96" t="str">
        <f>IF(AND(AU487&lt;&gt;"",OR(r_un="",r_un="(Todas)",G487=r_un),OR(r_de="",r_de="(Todos)",I487=r_de)),AU487,"")</f>
        <v/>
      </c>
      <c r="BD487" s="96" t="str">
        <f>IF(Z487=1,A487&amp;" | nº "&amp;IF(B487="","(sem número)",B487)&amp;" | "&amp;IF(G487="","(sem unidade)",G487),"")</f>
        <v/>
      </c>
      <c r="BE487" s="96" t="str">
        <f>IF(Z487=1,COUNTIF($Z$6:Z487,1),"")</f>
        <v/>
      </c>
      <c r="BF487" s="96" t="str">
        <f>IF(T487="","",IF(T487="RECEBIMENTO NÃO CONFIRMADO","Transp.: "&amp;H487&amp;" | Dest.: "&amp;I487,IF(OR(T487="CDF NÃO LOCALIZADO",T487="VÍNCULO INCOMPLETO",T487="CDF A CONFERIR"),"Dest.: "&amp;I487,"Gerador: "&amp;G487)))</f>
        <v/>
      </c>
    </row>
    <row r="488">
      <c r="A488" s="89" t="inlineStr">
        <is>
          <t>MTR-000483</t>
        </is>
      </c>
      <c r="B488" s="90" t="n"/>
      <c r="C488" s="91" t="n"/>
      <c r="D488" s="91" t="n"/>
      <c r="E488" s="92" t="n"/>
      <c r="F488" s="92" t="n"/>
      <c r="G488" s="91" t="n"/>
      <c r="H488" s="91" t="n"/>
      <c r="I488" s="91" t="n"/>
      <c r="J488" s="91" t="n"/>
      <c r="K488" s="91" t="n"/>
      <c r="L488" s="92" t="n"/>
      <c r="M488" s="91" t="n"/>
      <c r="N488" s="91" t="n"/>
      <c r="O488" s="91" t="n"/>
      <c r="P488" s="93" t="str">
        <f>IF(Z488=0,"",SUMIFS('ITENS_MTR'!$I$6:$I$1005,'ITENS_MTR'!$S$6:$S$1005,A488,'ITENS_MTR'!$Y$6:$Y$1005,1))</f>
        <v/>
      </c>
      <c r="Q488" s="93" t="str">
        <f>IF(Z488=0,"",SUMIFS('RECEBIMENTOS'!$H$6:$H$1005,'RECEBIMENTOS'!$B$6:$B$1005,A488,'RECEBIMENTOS'!$X$6:$X$1005,1))</f>
        <v/>
      </c>
      <c r="R488" s="93" t="str">
        <f>IF(Z488=0,"",SUMIFS('VÍNCULOS_CDF'!$H$6:$H$1005,'VÍNCULOS_CDF'!$D$6:$D$1005,A488,'VÍNCULOS_CDF'!$V$6:$V$1005,1))</f>
        <v/>
      </c>
      <c r="S488" s="94" t="str">
        <f>IF(Z488=0,"",IF(AA488=1,"Cancelado (informado)",IF(AE488=1,"Cadastro incompleto",IF(OR(AC488=1,AD488=1,AF488&gt;0,AH488&gt;0,AK488&gt;0,AL488&gt;0),"Informação a revisar",IF(AN488=0,"Aguardando recebimento",IF(N(R488)=0,"Aguardando CDF",IF(AJ488&lt;N(W488),"Vínculo de CDF parcial",IF(AO488=0,"CDF localizado, a conferir","Documentação conferida"))))))))</f>
        <v/>
      </c>
      <c r="T488" s="94" t="str">
        <f>IF(Z488=0,"",IF(S488="Cadastro incompleto","MTR INCOMPLETO",IF(S488="Informação a revisar",IF(AND(AH488&gt;0,AC488=0,AD488=0,AF488=0,AK488=0,AL488=0),"QUANTIDADE A REVISAR","IDENTIFICAÇÃO A REVISAR"),IF(S488="Aguardando recebimento","RECEBIMENTO NÃO CONFIRMADO",IF(S488="Aguardando CDF","CDF NÃO LOCALIZADO",IF(S488="Vínculo de CDF parcial","VÍNCULO INCOMPLETO",IF(S488="CDF localizado, a conferir","CDF A CONFERIR","")))))))</f>
        <v/>
      </c>
      <c r="U488" s="95" t="str">
        <f>IF(T488="","",IF(AQ488="","Não calculável",IF(AQ488&gt;TODAY(),"Data futura",TODAY()-AQ488)))</f>
        <v/>
      </c>
      <c r="V488" s="93" t="str">
        <f>IF(Z488=0,"",SUMIFS('RECEBIMENTOS'!$H$6:$H$1005,'RECEBIMENTOS'!$B$6:$B$1005,A488,'RECEBIMENTOS'!$Z$6:$Z$1005,1))</f>
        <v/>
      </c>
      <c r="W488" s="95" t="str">
        <f>IF(Z488=0,"",COUNTIFS('ITENS_MTR'!$S$6:$S$1005,A488,'ITENS_MTR'!$R$6:$R$1005,1))</f>
        <v/>
      </c>
      <c r="X488" s="94" t="str">
        <f>IF(AC488=1,"POSSÍVEL DUPLICIDADE","")</f>
        <v/>
      </c>
      <c r="Y488" s="94" t="str">
        <f>IF(Z488=0,"",IF(AW488="","Nenhuma",LEFT(AW488,LEN(AW488)-2)))</f>
        <v/>
      </c>
      <c r="Z488" s="96">
        <f>IF(COUNTA(B488:O488)&gt;0,1,0)</f>
        <v>0</v>
      </c>
      <c r="AA488" s="96">
        <f>IF(AND(Z488=1,K488&lt;&gt;""),IF(TRIM(K488)=TRIM(cfg_cancel),1,0),0)</f>
        <v>0</v>
      </c>
      <c r="AB488" s="96" t="str">
        <f>IF(AND(Z488=1,B488&lt;&gt;""),C488&amp;"|"&amp;D488&amp;"|"&amp;G488&amp;"|"&amp;TRIM(B488),"")</f>
        <v/>
      </c>
      <c r="AC488" s="96">
        <f>IF(AB488="",0,IF(SUMPRODUCT(--($AB$6:$AB$505=AB488))&gt;1,1,0))</f>
        <v>0</v>
      </c>
      <c r="AD488" s="96">
        <f>IF(Z488=0,0,IF(OR(AND(G488&lt;&gt;"",ISNA(MATCH(G488,'CAD_UNIDADES'!$C$6:$C$105,0))),AND(H488&lt;&gt;"",ISNA(MATCH(H488,cmp_transp,0))),AND(I488&lt;&gt;"",ISNA(MATCH(I488,cmp_dest,0))),AND(E488&lt;&gt;"",NOT(ISNUMBER(E488))),AND(F488&lt;&gt;"",NOT(ISNUMBER(F488))),AND(ISNUMBER(E488),ISNUMBER(F488),F488&lt;E488)),1,0))</f>
        <v>0</v>
      </c>
      <c r="AE488" s="96">
        <f>IF(Z488=0,0,IF(OR(B488="",C488="",E488="",G488="",H488="",I488="",N(W488)=0),1,0))</f>
        <v>0</v>
      </c>
      <c r="AF488" s="96">
        <f>IF(Z488=0,0,COUNTIFS('ITENS_MTR'!$S$6:$S$1005,A488,'ITENS_MTR'!$AI$6:$AI$1005,1))</f>
        <v>0</v>
      </c>
      <c r="AG488" s="96">
        <f>IF(Z488=0,0,COUNTIFS('ITENS_MTR'!$S$6:$S$1005,A488,'ITENS_MTR'!$AJ$6:$AJ$1005,1))</f>
        <v>0</v>
      </c>
      <c r="AH488" s="96">
        <f>IF(Z488=0,0,COUNTIFS('ITENS_MTR'!$S$6:$S$1005,A488,'ITENS_MTR'!$AM$6:$AM$1005,1))</f>
        <v>0</v>
      </c>
      <c r="AI488" s="96">
        <f>IF(Z488=0,0,COUNTIFS('ITENS_MTR'!$S$6:$S$1005,A488,'ITENS_MTR'!$AO$6:$AO$1005,1))</f>
        <v>0</v>
      </c>
      <c r="AJ488" s="96">
        <f>IF(Z488=0,0,COUNTIFS('ITENS_MTR'!$S$6:$S$1005,A488,'ITENS_MTR'!$AN$6:$AN$1005,1))</f>
        <v>0</v>
      </c>
      <c r="AK488" s="96">
        <f>IF(Z488=0,0,COUNTIFS('RECEBIMENTOS'!$B$6:$B$1005,A488,'RECEBIMENTOS'!$Y$6:$Y$1005,1))</f>
        <v>0</v>
      </c>
      <c r="AL488" s="96">
        <f>IF(Z488=0,0,COUNTIFS('VÍNCULOS_CDF'!$D$6:$D$1005,A488,'VÍNCULOS_CDF'!$Y$6:$Y$1005,1))</f>
        <v>0</v>
      </c>
      <c r="AM488" s="96">
        <f>IF(Z488=0,0,COUNTIFS('RECEBIMENTOS'!$B$6:$B$1005,A488,'RECEBIMENTOS'!$Q$6:$Q$1005,1))</f>
        <v>0</v>
      </c>
      <c r="AN488" s="96">
        <f>IF(AND(Z488=1,N(W488)&gt;0,AG488=N(W488)),1,0)</f>
        <v>0</v>
      </c>
      <c r="AO488" s="96">
        <f>IF(AND(Z488=1,N(W488)&gt;0,AI488=N(W488)),1,0)</f>
        <v>0</v>
      </c>
      <c r="AP488" s="97">
        <f>IF(Z488=0,0,_xlfn.MAXIFS('RECEBIMENTOS'!$E$6:$E$1005,'RECEBIMENTOS'!$B$6:$B$1005,A488))</f>
        <v>0</v>
      </c>
      <c r="AQ488" s="97" t="str">
        <f>IF(T488="","",IF(T488="RECEBIMENTO NÃO CONFIRMADO",IF(ISNUMBER(F488),F488,IF(ISNUMBER(E488),E488,"")),IF(OR(T488="CDF NÃO LOCALIZADO",T488="VÍNCULO INCOMPLETO",T488="CDF A CONFERIR"),IF(AP488&gt;0,AP488,IF(ISNUMBER(E488),E488,"")),IF(ISNUMBER(E488),E488,""))))</f>
        <v/>
      </c>
      <c r="AR488" s="96">
        <f>IF(NOT(ISNUMBER(U488)),0,IF(T488="RECEBIMENTO NÃO CONFIRMADO",IF(AND(ISNUMBER(cfg_rec),U488&gt;cfg_rec),1,0),IF(OR(T488="CDF NÃO LOCALIZADO",T488="VÍNCULO INCOMPLETO",T488="CDF A CONFERIR"),IF(AND(ISNUMBER(cfg_cdf),U488&gt;cfg_cdf),1,0),0)))</f>
        <v>0</v>
      </c>
      <c r="AS488" s="96" t="str">
        <f>IF(T488="","",IF(AR488=1,"Alta",IFERROR(INDEX(cfg_pp,MATCH(T488,cfg_pt,0))&amp;"","Média")))</f>
        <v/>
      </c>
      <c r="AT488" s="96" t="str">
        <f>IF(T488="","",IFERROR(INDEX(cfg_pv,MATCH(T488,cfg_pt,0))&amp;"",""))</f>
        <v/>
      </c>
      <c r="AU488" s="96" t="str">
        <f>IF(T488="","",IF(AS488="Alta",1,IF(AS488="Média",2,3))*1000000000+(999999-IF(ISNUMBER(U488),MIN(U488,999999),0))*1000+483)</f>
        <v/>
      </c>
      <c r="AV488" s="96">
        <f>IF(T488&lt;&gt;"",1,0)</f>
        <v>0</v>
      </c>
      <c r="AW488" s="96" t="str">
        <f>IF(Z488=0,"",IF(AA488=1,"Cancelamento informado; ","")&amp;IF(AE488=1,"Campos essenciais ou itens faltando; ","")&amp;IF(AC488=1,"Possível duplicidade do número; ","")&amp;IF(AD488=1,"Cadastro ou datas a revisar; ","")&amp;IF(AF488&gt;0,"Item de resíduo com dado a revisar; ","")&amp;IF(AH488&gt;0,"Diferença de quantidade a analisar; ","")&amp;IF(AK488&gt;0,"Recebimento com alerta; ","")&amp;IF(AL488&gt;0,"Vínculo de CDF com alerta; ","")&amp;IF(AND(AA488=0,AN488=0),"Recebimento não confirmado; ","")&amp;IF(AND(AA488=0,AN488=1,AO488=0),"CDF pendente ou a conferir; ",""))</f>
        <v/>
      </c>
      <c r="AX488" s="96">
        <f>IF(Z488=0,0,IF(AND(OR(f_ini="",AND(ISNUMBER(E488),E488&gt;=f_ini)),OR(f_fim="",AND(ISNUMBER(E488),E488&lt;=f_fim)),OR(f_un="",f_un="(Todas)",G488=f_un),OR(f_tr="",f_tr="(Todos)",H488=f_tr),OR(f_de="",f_de="(Todos)",I488=f_de),OR(f_sit="",f_sit="(Todas)",S488=f_sit)),1,0))</f>
        <v>0</v>
      </c>
      <c r="AY488" s="96">
        <f>IF(AX488=0,0,IF(OR(f_res="",f_res="(Todos)"),1,IF(COUNTIFS('ITENS_MTR'!$S$6:$S$1005,A488,'ITENS_MTR'!$C$6:$C$1005,f_res)&gt;0,1,0)))</f>
        <v>0</v>
      </c>
      <c r="AZ488" s="97" t="str">
        <f>IF(ISNUMBER(E488),DATE(YEAR(E488),MONTH(E488),1),"")</f>
        <v/>
      </c>
      <c r="BA488" s="96">
        <f>IF(Z488=0,0,IF(AND(OR(r_ini="",AND(ISNUMBER(E488),E488&gt;=r_ini)),OR(r_fim="",AND(ISNUMBER(E488),E488&lt;=r_fim)),OR(r_un="",r_un="(Todas)",G488=r_un),OR(r_de="",r_de="(Todos)",I488=r_de)),1,0))</f>
        <v>0</v>
      </c>
      <c r="BB488" s="96" t="str">
        <f>IF(BA488=1,COUNTIF($BA$6:BA488,1),"")</f>
        <v/>
      </c>
      <c r="BC488" s="96" t="str">
        <f>IF(AND(AU488&lt;&gt;"",OR(r_un="",r_un="(Todas)",G488=r_un),OR(r_de="",r_de="(Todos)",I488=r_de)),AU488,"")</f>
        <v/>
      </c>
      <c r="BD488" s="96" t="str">
        <f>IF(Z488=1,A488&amp;" | nº "&amp;IF(B488="","(sem número)",B488)&amp;" | "&amp;IF(G488="","(sem unidade)",G488),"")</f>
        <v/>
      </c>
      <c r="BE488" s="96" t="str">
        <f>IF(Z488=1,COUNTIF($Z$6:Z488,1),"")</f>
        <v/>
      </c>
      <c r="BF488" s="96" t="str">
        <f>IF(T488="","",IF(T488="RECEBIMENTO NÃO CONFIRMADO","Transp.: "&amp;H488&amp;" | Dest.: "&amp;I488,IF(OR(T488="CDF NÃO LOCALIZADO",T488="VÍNCULO INCOMPLETO",T488="CDF A CONFERIR"),"Dest.: "&amp;I488,"Gerador: "&amp;G488)))</f>
        <v/>
      </c>
    </row>
    <row r="489">
      <c r="A489" s="89" t="inlineStr">
        <is>
          <t>MTR-000484</t>
        </is>
      </c>
      <c r="B489" s="90" t="n"/>
      <c r="C489" s="91" t="n"/>
      <c r="D489" s="91" t="n"/>
      <c r="E489" s="92" t="n"/>
      <c r="F489" s="92" t="n"/>
      <c r="G489" s="91" t="n"/>
      <c r="H489" s="91" t="n"/>
      <c r="I489" s="91" t="n"/>
      <c r="J489" s="91" t="n"/>
      <c r="K489" s="91" t="n"/>
      <c r="L489" s="92" t="n"/>
      <c r="M489" s="91" t="n"/>
      <c r="N489" s="91" t="n"/>
      <c r="O489" s="91" t="n"/>
      <c r="P489" s="93" t="str">
        <f>IF(Z489=0,"",SUMIFS('ITENS_MTR'!$I$6:$I$1005,'ITENS_MTR'!$S$6:$S$1005,A489,'ITENS_MTR'!$Y$6:$Y$1005,1))</f>
        <v/>
      </c>
      <c r="Q489" s="93" t="str">
        <f>IF(Z489=0,"",SUMIFS('RECEBIMENTOS'!$H$6:$H$1005,'RECEBIMENTOS'!$B$6:$B$1005,A489,'RECEBIMENTOS'!$X$6:$X$1005,1))</f>
        <v/>
      </c>
      <c r="R489" s="93" t="str">
        <f>IF(Z489=0,"",SUMIFS('VÍNCULOS_CDF'!$H$6:$H$1005,'VÍNCULOS_CDF'!$D$6:$D$1005,A489,'VÍNCULOS_CDF'!$V$6:$V$1005,1))</f>
        <v/>
      </c>
      <c r="S489" s="94" t="str">
        <f>IF(Z489=0,"",IF(AA489=1,"Cancelado (informado)",IF(AE489=1,"Cadastro incompleto",IF(OR(AC489=1,AD489=1,AF489&gt;0,AH489&gt;0,AK489&gt;0,AL489&gt;0),"Informação a revisar",IF(AN489=0,"Aguardando recebimento",IF(N(R489)=0,"Aguardando CDF",IF(AJ489&lt;N(W489),"Vínculo de CDF parcial",IF(AO489=0,"CDF localizado, a conferir","Documentação conferida"))))))))</f>
        <v/>
      </c>
      <c r="T489" s="94" t="str">
        <f>IF(Z489=0,"",IF(S489="Cadastro incompleto","MTR INCOMPLETO",IF(S489="Informação a revisar",IF(AND(AH489&gt;0,AC489=0,AD489=0,AF489=0,AK489=0,AL489=0),"QUANTIDADE A REVISAR","IDENTIFICAÇÃO A REVISAR"),IF(S489="Aguardando recebimento","RECEBIMENTO NÃO CONFIRMADO",IF(S489="Aguardando CDF","CDF NÃO LOCALIZADO",IF(S489="Vínculo de CDF parcial","VÍNCULO INCOMPLETO",IF(S489="CDF localizado, a conferir","CDF A CONFERIR","")))))))</f>
        <v/>
      </c>
      <c r="U489" s="95" t="str">
        <f>IF(T489="","",IF(AQ489="","Não calculável",IF(AQ489&gt;TODAY(),"Data futura",TODAY()-AQ489)))</f>
        <v/>
      </c>
      <c r="V489" s="93" t="str">
        <f>IF(Z489=0,"",SUMIFS('RECEBIMENTOS'!$H$6:$H$1005,'RECEBIMENTOS'!$B$6:$B$1005,A489,'RECEBIMENTOS'!$Z$6:$Z$1005,1))</f>
        <v/>
      </c>
      <c r="W489" s="95" t="str">
        <f>IF(Z489=0,"",COUNTIFS('ITENS_MTR'!$S$6:$S$1005,A489,'ITENS_MTR'!$R$6:$R$1005,1))</f>
        <v/>
      </c>
      <c r="X489" s="94" t="str">
        <f>IF(AC489=1,"POSSÍVEL DUPLICIDADE","")</f>
        <v/>
      </c>
      <c r="Y489" s="94" t="str">
        <f>IF(Z489=0,"",IF(AW489="","Nenhuma",LEFT(AW489,LEN(AW489)-2)))</f>
        <v/>
      </c>
      <c r="Z489" s="96">
        <f>IF(COUNTA(B489:O489)&gt;0,1,0)</f>
        <v>0</v>
      </c>
      <c r="AA489" s="96">
        <f>IF(AND(Z489=1,K489&lt;&gt;""),IF(TRIM(K489)=TRIM(cfg_cancel),1,0),0)</f>
        <v>0</v>
      </c>
      <c r="AB489" s="96" t="str">
        <f>IF(AND(Z489=1,B489&lt;&gt;""),C489&amp;"|"&amp;D489&amp;"|"&amp;G489&amp;"|"&amp;TRIM(B489),"")</f>
        <v/>
      </c>
      <c r="AC489" s="96">
        <f>IF(AB489="",0,IF(SUMPRODUCT(--($AB$6:$AB$505=AB489))&gt;1,1,0))</f>
        <v>0</v>
      </c>
      <c r="AD489" s="96">
        <f>IF(Z489=0,0,IF(OR(AND(G489&lt;&gt;"",ISNA(MATCH(G489,'CAD_UNIDADES'!$C$6:$C$105,0))),AND(H489&lt;&gt;"",ISNA(MATCH(H489,cmp_transp,0))),AND(I489&lt;&gt;"",ISNA(MATCH(I489,cmp_dest,0))),AND(E489&lt;&gt;"",NOT(ISNUMBER(E489))),AND(F489&lt;&gt;"",NOT(ISNUMBER(F489))),AND(ISNUMBER(E489),ISNUMBER(F489),F489&lt;E489)),1,0))</f>
        <v>0</v>
      </c>
      <c r="AE489" s="96">
        <f>IF(Z489=0,0,IF(OR(B489="",C489="",E489="",G489="",H489="",I489="",N(W489)=0),1,0))</f>
        <v>0</v>
      </c>
      <c r="AF489" s="96">
        <f>IF(Z489=0,0,COUNTIFS('ITENS_MTR'!$S$6:$S$1005,A489,'ITENS_MTR'!$AI$6:$AI$1005,1))</f>
        <v>0</v>
      </c>
      <c r="AG489" s="96">
        <f>IF(Z489=0,0,COUNTIFS('ITENS_MTR'!$S$6:$S$1005,A489,'ITENS_MTR'!$AJ$6:$AJ$1005,1))</f>
        <v>0</v>
      </c>
      <c r="AH489" s="96">
        <f>IF(Z489=0,0,COUNTIFS('ITENS_MTR'!$S$6:$S$1005,A489,'ITENS_MTR'!$AM$6:$AM$1005,1))</f>
        <v>0</v>
      </c>
      <c r="AI489" s="96">
        <f>IF(Z489=0,0,COUNTIFS('ITENS_MTR'!$S$6:$S$1005,A489,'ITENS_MTR'!$AO$6:$AO$1005,1))</f>
        <v>0</v>
      </c>
      <c r="AJ489" s="96">
        <f>IF(Z489=0,0,COUNTIFS('ITENS_MTR'!$S$6:$S$1005,A489,'ITENS_MTR'!$AN$6:$AN$1005,1))</f>
        <v>0</v>
      </c>
      <c r="AK489" s="96">
        <f>IF(Z489=0,0,COUNTIFS('RECEBIMENTOS'!$B$6:$B$1005,A489,'RECEBIMENTOS'!$Y$6:$Y$1005,1))</f>
        <v>0</v>
      </c>
      <c r="AL489" s="96">
        <f>IF(Z489=0,0,COUNTIFS('VÍNCULOS_CDF'!$D$6:$D$1005,A489,'VÍNCULOS_CDF'!$Y$6:$Y$1005,1))</f>
        <v>0</v>
      </c>
      <c r="AM489" s="96">
        <f>IF(Z489=0,0,COUNTIFS('RECEBIMENTOS'!$B$6:$B$1005,A489,'RECEBIMENTOS'!$Q$6:$Q$1005,1))</f>
        <v>0</v>
      </c>
      <c r="AN489" s="96">
        <f>IF(AND(Z489=1,N(W489)&gt;0,AG489=N(W489)),1,0)</f>
        <v>0</v>
      </c>
      <c r="AO489" s="96">
        <f>IF(AND(Z489=1,N(W489)&gt;0,AI489=N(W489)),1,0)</f>
        <v>0</v>
      </c>
      <c r="AP489" s="97">
        <f>IF(Z489=0,0,_xlfn.MAXIFS('RECEBIMENTOS'!$E$6:$E$1005,'RECEBIMENTOS'!$B$6:$B$1005,A489))</f>
        <v>0</v>
      </c>
      <c r="AQ489" s="97" t="str">
        <f>IF(T489="","",IF(T489="RECEBIMENTO NÃO CONFIRMADO",IF(ISNUMBER(F489),F489,IF(ISNUMBER(E489),E489,"")),IF(OR(T489="CDF NÃO LOCALIZADO",T489="VÍNCULO INCOMPLETO",T489="CDF A CONFERIR"),IF(AP489&gt;0,AP489,IF(ISNUMBER(E489),E489,"")),IF(ISNUMBER(E489),E489,""))))</f>
        <v/>
      </c>
      <c r="AR489" s="96">
        <f>IF(NOT(ISNUMBER(U489)),0,IF(T489="RECEBIMENTO NÃO CONFIRMADO",IF(AND(ISNUMBER(cfg_rec),U489&gt;cfg_rec),1,0),IF(OR(T489="CDF NÃO LOCALIZADO",T489="VÍNCULO INCOMPLETO",T489="CDF A CONFERIR"),IF(AND(ISNUMBER(cfg_cdf),U489&gt;cfg_cdf),1,0),0)))</f>
        <v>0</v>
      </c>
      <c r="AS489" s="96" t="str">
        <f>IF(T489="","",IF(AR489=1,"Alta",IFERROR(INDEX(cfg_pp,MATCH(T489,cfg_pt,0))&amp;"","Média")))</f>
        <v/>
      </c>
      <c r="AT489" s="96" t="str">
        <f>IF(T489="","",IFERROR(INDEX(cfg_pv,MATCH(T489,cfg_pt,0))&amp;"",""))</f>
        <v/>
      </c>
      <c r="AU489" s="96" t="str">
        <f>IF(T489="","",IF(AS489="Alta",1,IF(AS489="Média",2,3))*1000000000+(999999-IF(ISNUMBER(U489),MIN(U489,999999),0))*1000+484)</f>
        <v/>
      </c>
      <c r="AV489" s="96">
        <f>IF(T489&lt;&gt;"",1,0)</f>
        <v>0</v>
      </c>
      <c r="AW489" s="96" t="str">
        <f>IF(Z489=0,"",IF(AA489=1,"Cancelamento informado; ","")&amp;IF(AE489=1,"Campos essenciais ou itens faltando; ","")&amp;IF(AC489=1,"Possível duplicidade do número; ","")&amp;IF(AD489=1,"Cadastro ou datas a revisar; ","")&amp;IF(AF489&gt;0,"Item de resíduo com dado a revisar; ","")&amp;IF(AH489&gt;0,"Diferença de quantidade a analisar; ","")&amp;IF(AK489&gt;0,"Recebimento com alerta; ","")&amp;IF(AL489&gt;0,"Vínculo de CDF com alerta; ","")&amp;IF(AND(AA489=0,AN489=0),"Recebimento não confirmado; ","")&amp;IF(AND(AA489=0,AN489=1,AO489=0),"CDF pendente ou a conferir; ",""))</f>
        <v/>
      </c>
      <c r="AX489" s="96">
        <f>IF(Z489=0,0,IF(AND(OR(f_ini="",AND(ISNUMBER(E489),E489&gt;=f_ini)),OR(f_fim="",AND(ISNUMBER(E489),E489&lt;=f_fim)),OR(f_un="",f_un="(Todas)",G489=f_un),OR(f_tr="",f_tr="(Todos)",H489=f_tr),OR(f_de="",f_de="(Todos)",I489=f_de),OR(f_sit="",f_sit="(Todas)",S489=f_sit)),1,0))</f>
        <v>0</v>
      </c>
      <c r="AY489" s="96">
        <f>IF(AX489=0,0,IF(OR(f_res="",f_res="(Todos)"),1,IF(COUNTIFS('ITENS_MTR'!$S$6:$S$1005,A489,'ITENS_MTR'!$C$6:$C$1005,f_res)&gt;0,1,0)))</f>
        <v>0</v>
      </c>
      <c r="AZ489" s="97" t="str">
        <f>IF(ISNUMBER(E489),DATE(YEAR(E489),MONTH(E489),1),"")</f>
        <v/>
      </c>
      <c r="BA489" s="96">
        <f>IF(Z489=0,0,IF(AND(OR(r_ini="",AND(ISNUMBER(E489),E489&gt;=r_ini)),OR(r_fim="",AND(ISNUMBER(E489),E489&lt;=r_fim)),OR(r_un="",r_un="(Todas)",G489=r_un),OR(r_de="",r_de="(Todos)",I489=r_de)),1,0))</f>
        <v>0</v>
      </c>
      <c r="BB489" s="96" t="str">
        <f>IF(BA489=1,COUNTIF($BA$6:BA489,1),"")</f>
        <v/>
      </c>
      <c r="BC489" s="96" t="str">
        <f>IF(AND(AU489&lt;&gt;"",OR(r_un="",r_un="(Todas)",G489=r_un),OR(r_de="",r_de="(Todos)",I489=r_de)),AU489,"")</f>
        <v/>
      </c>
      <c r="BD489" s="96" t="str">
        <f>IF(Z489=1,A489&amp;" | nº "&amp;IF(B489="","(sem número)",B489)&amp;" | "&amp;IF(G489="","(sem unidade)",G489),"")</f>
        <v/>
      </c>
      <c r="BE489" s="96" t="str">
        <f>IF(Z489=1,COUNTIF($Z$6:Z489,1),"")</f>
        <v/>
      </c>
      <c r="BF489" s="96" t="str">
        <f>IF(T489="","",IF(T489="RECEBIMENTO NÃO CONFIRMADO","Transp.: "&amp;H489&amp;" | Dest.: "&amp;I489,IF(OR(T489="CDF NÃO LOCALIZADO",T489="VÍNCULO INCOMPLETO",T489="CDF A CONFERIR"),"Dest.: "&amp;I489,"Gerador: "&amp;G489)))</f>
        <v/>
      </c>
    </row>
    <row r="490">
      <c r="A490" s="89" t="inlineStr">
        <is>
          <t>MTR-000485</t>
        </is>
      </c>
      <c r="B490" s="90" t="n"/>
      <c r="C490" s="91" t="n"/>
      <c r="D490" s="91" t="n"/>
      <c r="E490" s="92" t="n"/>
      <c r="F490" s="92" t="n"/>
      <c r="G490" s="91" t="n"/>
      <c r="H490" s="91" t="n"/>
      <c r="I490" s="91" t="n"/>
      <c r="J490" s="91" t="n"/>
      <c r="K490" s="91" t="n"/>
      <c r="L490" s="92" t="n"/>
      <c r="M490" s="91" t="n"/>
      <c r="N490" s="91" t="n"/>
      <c r="O490" s="91" t="n"/>
      <c r="P490" s="93" t="str">
        <f>IF(Z490=0,"",SUMIFS('ITENS_MTR'!$I$6:$I$1005,'ITENS_MTR'!$S$6:$S$1005,A490,'ITENS_MTR'!$Y$6:$Y$1005,1))</f>
        <v/>
      </c>
      <c r="Q490" s="93" t="str">
        <f>IF(Z490=0,"",SUMIFS('RECEBIMENTOS'!$H$6:$H$1005,'RECEBIMENTOS'!$B$6:$B$1005,A490,'RECEBIMENTOS'!$X$6:$X$1005,1))</f>
        <v/>
      </c>
      <c r="R490" s="93" t="str">
        <f>IF(Z490=0,"",SUMIFS('VÍNCULOS_CDF'!$H$6:$H$1005,'VÍNCULOS_CDF'!$D$6:$D$1005,A490,'VÍNCULOS_CDF'!$V$6:$V$1005,1))</f>
        <v/>
      </c>
      <c r="S490" s="94" t="str">
        <f>IF(Z490=0,"",IF(AA490=1,"Cancelado (informado)",IF(AE490=1,"Cadastro incompleto",IF(OR(AC490=1,AD490=1,AF490&gt;0,AH490&gt;0,AK490&gt;0,AL490&gt;0),"Informação a revisar",IF(AN490=0,"Aguardando recebimento",IF(N(R490)=0,"Aguardando CDF",IF(AJ490&lt;N(W490),"Vínculo de CDF parcial",IF(AO490=0,"CDF localizado, a conferir","Documentação conferida"))))))))</f>
        <v/>
      </c>
      <c r="T490" s="94" t="str">
        <f>IF(Z490=0,"",IF(S490="Cadastro incompleto","MTR INCOMPLETO",IF(S490="Informação a revisar",IF(AND(AH490&gt;0,AC490=0,AD490=0,AF490=0,AK490=0,AL490=0),"QUANTIDADE A REVISAR","IDENTIFICAÇÃO A REVISAR"),IF(S490="Aguardando recebimento","RECEBIMENTO NÃO CONFIRMADO",IF(S490="Aguardando CDF","CDF NÃO LOCALIZADO",IF(S490="Vínculo de CDF parcial","VÍNCULO INCOMPLETO",IF(S490="CDF localizado, a conferir","CDF A CONFERIR","")))))))</f>
        <v/>
      </c>
      <c r="U490" s="95" t="str">
        <f>IF(T490="","",IF(AQ490="","Não calculável",IF(AQ490&gt;TODAY(),"Data futura",TODAY()-AQ490)))</f>
        <v/>
      </c>
      <c r="V490" s="93" t="str">
        <f>IF(Z490=0,"",SUMIFS('RECEBIMENTOS'!$H$6:$H$1005,'RECEBIMENTOS'!$B$6:$B$1005,A490,'RECEBIMENTOS'!$Z$6:$Z$1005,1))</f>
        <v/>
      </c>
      <c r="W490" s="95" t="str">
        <f>IF(Z490=0,"",COUNTIFS('ITENS_MTR'!$S$6:$S$1005,A490,'ITENS_MTR'!$R$6:$R$1005,1))</f>
        <v/>
      </c>
      <c r="X490" s="94" t="str">
        <f>IF(AC490=1,"POSSÍVEL DUPLICIDADE","")</f>
        <v/>
      </c>
      <c r="Y490" s="94" t="str">
        <f>IF(Z490=0,"",IF(AW490="","Nenhuma",LEFT(AW490,LEN(AW490)-2)))</f>
        <v/>
      </c>
      <c r="Z490" s="96">
        <f>IF(COUNTA(B490:O490)&gt;0,1,0)</f>
        <v>0</v>
      </c>
      <c r="AA490" s="96">
        <f>IF(AND(Z490=1,K490&lt;&gt;""),IF(TRIM(K490)=TRIM(cfg_cancel),1,0),0)</f>
        <v>0</v>
      </c>
      <c r="AB490" s="96" t="str">
        <f>IF(AND(Z490=1,B490&lt;&gt;""),C490&amp;"|"&amp;D490&amp;"|"&amp;G490&amp;"|"&amp;TRIM(B490),"")</f>
        <v/>
      </c>
      <c r="AC490" s="96">
        <f>IF(AB490="",0,IF(SUMPRODUCT(--($AB$6:$AB$505=AB490))&gt;1,1,0))</f>
        <v>0</v>
      </c>
      <c r="AD490" s="96">
        <f>IF(Z490=0,0,IF(OR(AND(G490&lt;&gt;"",ISNA(MATCH(G490,'CAD_UNIDADES'!$C$6:$C$105,0))),AND(H490&lt;&gt;"",ISNA(MATCH(H490,cmp_transp,0))),AND(I490&lt;&gt;"",ISNA(MATCH(I490,cmp_dest,0))),AND(E490&lt;&gt;"",NOT(ISNUMBER(E490))),AND(F490&lt;&gt;"",NOT(ISNUMBER(F490))),AND(ISNUMBER(E490),ISNUMBER(F490),F490&lt;E490)),1,0))</f>
        <v>0</v>
      </c>
      <c r="AE490" s="96">
        <f>IF(Z490=0,0,IF(OR(B490="",C490="",E490="",G490="",H490="",I490="",N(W490)=0),1,0))</f>
        <v>0</v>
      </c>
      <c r="AF490" s="96">
        <f>IF(Z490=0,0,COUNTIFS('ITENS_MTR'!$S$6:$S$1005,A490,'ITENS_MTR'!$AI$6:$AI$1005,1))</f>
        <v>0</v>
      </c>
      <c r="AG490" s="96">
        <f>IF(Z490=0,0,COUNTIFS('ITENS_MTR'!$S$6:$S$1005,A490,'ITENS_MTR'!$AJ$6:$AJ$1005,1))</f>
        <v>0</v>
      </c>
      <c r="AH490" s="96">
        <f>IF(Z490=0,0,COUNTIFS('ITENS_MTR'!$S$6:$S$1005,A490,'ITENS_MTR'!$AM$6:$AM$1005,1))</f>
        <v>0</v>
      </c>
      <c r="AI490" s="96">
        <f>IF(Z490=0,0,COUNTIFS('ITENS_MTR'!$S$6:$S$1005,A490,'ITENS_MTR'!$AO$6:$AO$1005,1))</f>
        <v>0</v>
      </c>
      <c r="AJ490" s="96">
        <f>IF(Z490=0,0,COUNTIFS('ITENS_MTR'!$S$6:$S$1005,A490,'ITENS_MTR'!$AN$6:$AN$1005,1))</f>
        <v>0</v>
      </c>
      <c r="AK490" s="96">
        <f>IF(Z490=0,0,COUNTIFS('RECEBIMENTOS'!$B$6:$B$1005,A490,'RECEBIMENTOS'!$Y$6:$Y$1005,1))</f>
        <v>0</v>
      </c>
      <c r="AL490" s="96">
        <f>IF(Z490=0,0,COUNTIFS('VÍNCULOS_CDF'!$D$6:$D$1005,A490,'VÍNCULOS_CDF'!$Y$6:$Y$1005,1))</f>
        <v>0</v>
      </c>
      <c r="AM490" s="96">
        <f>IF(Z490=0,0,COUNTIFS('RECEBIMENTOS'!$B$6:$B$1005,A490,'RECEBIMENTOS'!$Q$6:$Q$1005,1))</f>
        <v>0</v>
      </c>
      <c r="AN490" s="96">
        <f>IF(AND(Z490=1,N(W490)&gt;0,AG490=N(W490)),1,0)</f>
        <v>0</v>
      </c>
      <c r="AO490" s="96">
        <f>IF(AND(Z490=1,N(W490)&gt;0,AI490=N(W490)),1,0)</f>
        <v>0</v>
      </c>
      <c r="AP490" s="97">
        <f>IF(Z490=0,0,_xlfn.MAXIFS('RECEBIMENTOS'!$E$6:$E$1005,'RECEBIMENTOS'!$B$6:$B$1005,A490))</f>
        <v>0</v>
      </c>
      <c r="AQ490" s="97" t="str">
        <f>IF(T490="","",IF(T490="RECEBIMENTO NÃO CONFIRMADO",IF(ISNUMBER(F490),F490,IF(ISNUMBER(E490),E490,"")),IF(OR(T490="CDF NÃO LOCALIZADO",T490="VÍNCULO INCOMPLETO",T490="CDF A CONFERIR"),IF(AP490&gt;0,AP490,IF(ISNUMBER(E490),E490,"")),IF(ISNUMBER(E490),E490,""))))</f>
        <v/>
      </c>
      <c r="AR490" s="96">
        <f>IF(NOT(ISNUMBER(U490)),0,IF(T490="RECEBIMENTO NÃO CONFIRMADO",IF(AND(ISNUMBER(cfg_rec),U490&gt;cfg_rec),1,0),IF(OR(T490="CDF NÃO LOCALIZADO",T490="VÍNCULO INCOMPLETO",T490="CDF A CONFERIR"),IF(AND(ISNUMBER(cfg_cdf),U490&gt;cfg_cdf),1,0),0)))</f>
        <v>0</v>
      </c>
      <c r="AS490" s="96" t="str">
        <f>IF(T490="","",IF(AR490=1,"Alta",IFERROR(INDEX(cfg_pp,MATCH(T490,cfg_pt,0))&amp;"","Média")))</f>
        <v/>
      </c>
      <c r="AT490" s="96" t="str">
        <f>IF(T490="","",IFERROR(INDEX(cfg_pv,MATCH(T490,cfg_pt,0))&amp;"",""))</f>
        <v/>
      </c>
      <c r="AU490" s="96" t="str">
        <f>IF(T490="","",IF(AS490="Alta",1,IF(AS490="Média",2,3))*1000000000+(999999-IF(ISNUMBER(U490),MIN(U490,999999),0))*1000+485)</f>
        <v/>
      </c>
      <c r="AV490" s="96">
        <f>IF(T490&lt;&gt;"",1,0)</f>
        <v>0</v>
      </c>
      <c r="AW490" s="96" t="str">
        <f>IF(Z490=0,"",IF(AA490=1,"Cancelamento informado; ","")&amp;IF(AE490=1,"Campos essenciais ou itens faltando; ","")&amp;IF(AC490=1,"Possível duplicidade do número; ","")&amp;IF(AD490=1,"Cadastro ou datas a revisar; ","")&amp;IF(AF490&gt;0,"Item de resíduo com dado a revisar; ","")&amp;IF(AH490&gt;0,"Diferença de quantidade a analisar; ","")&amp;IF(AK490&gt;0,"Recebimento com alerta; ","")&amp;IF(AL490&gt;0,"Vínculo de CDF com alerta; ","")&amp;IF(AND(AA490=0,AN490=0),"Recebimento não confirmado; ","")&amp;IF(AND(AA490=0,AN490=1,AO490=0),"CDF pendente ou a conferir; ",""))</f>
        <v/>
      </c>
      <c r="AX490" s="96">
        <f>IF(Z490=0,0,IF(AND(OR(f_ini="",AND(ISNUMBER(E490),E490&gt;=f_ini)),OR(f_fim="",AND(ISNUMBER(E490),E490&lt;=f_fim)),OR(f_un="",f_un="(Todas)",G490=f_un),OR(f_tr="",f_tr="(Todos)",H490=f_tr),OR(f_de="",f_de="(Todos)",I490=f_de),OR(f_sit="",f_sit="(Todas)",S490=f_sit)),1,0))</f>
        <v>0</v>
      </c>
      <c r="AY490" s="96">
        <f>IF(AX490=0,0,IF(OR(f_res="",f_res="(Todos)"),1,IF(COUNTIFS('ITENS_MTR'!$S$6:$S$1005,A490,'ITENS_MTR'!$C$6:$C$1005,f_res)&gt;0,1,0)))</f>
        <v>0</v>
      </c>
      <c r="AZ490" s="97" t="str">
        <f>IF(ISNUMBER(E490),DATE(YEAR(E490),MONTH(E490),1),"")</f>
        <v/>
      </c>
      <c r="BA490" s="96">
        <f>IF(Z490=0,0,IF(AND(OR(r_ini="",AND(ISNUMBER(E490),E490&gt;=r_ini)),OR(r_fim="",AND(ISNUMBER(E490),E490&lt;=r_fim)),OR(r_un="",r_un="(Todas)",G490=r_un),OR(r_de="",r_de="(Todos)",I490=r_de)),1,0))</f>
        <v>0</v>
      </c>
      <c r="BB490" s="96" t="str">
        <f>IF(BA490=1,COUNTIF($BA$6:BA490,1),"")</f>
        <v/>
      </c>
      <c r="BC490" s="96" t="str">
        <f>IF(AND(AU490&lt;&gt;"",OR(r_un="",r_un="(Todas)",G490=r_un),OR(r_de="",r_de="(Todos)",I490=r_de)),AU490,"")</f>
        <v/>
      </c>
      <c r="BD490" s="96" t="str">
        <f>IF(Z490=1,A490&amp;" | nº "&amp;IF(B490="","(sem número)",B490)&amp;" | "&amp;IF(G490="","(sem unidade)",G490),"")</f>
        <v/>
      </c>
      <c r="BE490" s="96" t="str">
        <f>IF(Z490=1,COUNTIF($Z$6:Z490,1),"")</f>
        <v/>
      </c>
      <c r="BF490" s="96" t="str">
        <f>IF(T490="","",IF(T490="RECEBIMENTO NÃO CONFIRMADO","Transp.: "&amp;H490&amp;" | Dest.: "&amp;I490,IF(OR(T490="CDF NÃO LOCALIZADO",T490="VÍNCULO INCOMPLETO",T490="CDF A CONFERIR"),"Dest.: "&amp;I490,"Gerador: "&amp;G490)))</f>
        <v/>
      </c>
    </row>
    <row r="491">
      <c r="A491" s="89" t="inlineStr">
        <is>
          <t>MTR-000486</t>
        </is>
      </c>
      <c r="B491" s="90" t="n"/>
      <c r="C491" s="91" t="n"/>
      <c r="D491" s="91" t="n"/>
      <c r="E491" s="92" t="n"/>
      <c r="F491" s="92" t="n"/>
      <c r="G491" s="91" t="n"/>
      <c r="H491" s="91" t="n"/>
      <c r="I491" s="91" t="n"/>
      <c r="J491" s="91" t="n"/>
      <c r="K491" s="91" t="n"/>
      <c r="L491" s="92" t="n"/>
      <c r="M491" s="91" t="n"/>
      <c r="N491" s="91" t="n"/>
      <c r="O491" s="91" t="n"/>
      <c r="P491" s="93" t="str">
        <f>IF(Z491=0,"",SUMIFS('ITENS_MTR'!$I$6:$I$1005,'ITENS_MTR'!$S$6:$S$1005,A491,'ITENS_MTR'!$Y$6:$Y$1005,1))</f>
        <v/>
      </c>
      <c r="Q491" s="93" t="str">
        <f>IF(Z491=0,"",SUMIFS('RECEBIMENTOS'!$H$6:$H$1005,'RECEBIMENTOS'!$B$6:$B$1005,A491,'RECEBIMENTOS'!$X$6:$X$1005,1))</f>
        <v/>
      </c>
      <c r="R491" s="93" t="str">
        <f>IF(Z491=0,"",SUMIFS('VÍNCULOS_CDF'!$H$6:$H$1005,'VÍNCULOS_CDF'!$D$6:$D$1005,A491,'VÍNCULOS_CDF'!$V$6:$V$1005,1))</f>
        <v/>
      </c>
      <c r="S491" s="94" t="str">
        <f>IF(Z491=0,"",IF(AA491=1,"Cancelado (informado)",IF(AE491=1,"Cadastro incompleto",IF(OR(AC491=1,AD491=1,AF491&gt;0,AH491&gt;0,AK491&gt;0,AL491&gt;0),"Informação a revisar",IF(AN491=0,"Aguardando recebimento",IF(N(R491)=0,"Aguardando CDF",IF(AJ491&lt;N(W491),"Vínculo de CDF parcial",IF(AO491=0,"CDF localizado, a conferir","Documentação conferida"))))))))</f>
        <v/>
      </c>
      <c r="T491" s="94" t="str">
        <f>IF(Z491=0,"",IF(S491="Cadastro incompleto","MTR INCOMPLETO",IF(S491="Informação a revisar",IF(AND(AH491&gt;0,AC491=0,AD491=0,AF491=0,AK491=0,AL491=0),"QUANTIDADE A REVISAR","IDENTIFICAÇÃO A REVISAR"),IF(S491="Aguardando recebimento","RECEBIMENTO NÃO CONFIRMADO",IF(S491="Aguardando CDF","CDF NÃO LOCALIZADO",IF(S491="Vínculo de CDF parcial","VÍNCULO INCOMPLETO",IF(S491="CDF localizado, a conferir","CDF A CONFERIR","")))))))</f>
        <v/>
      </c>
      <c r="U491" s="95" t="str">
        <f>IF(T491="","",IF(AQ491="","Não calculável",IF(AQ491&gt;TODAY(),"Data futura",TODAY()-AQ491)))</f>
        <v/>
      </c>
      <c r="V491" s="93" t="str">
        <f>IF(Z491=0,"",SUMIFS('RECEBIMENTOS'!$H$6:$H$1005,'RECEBIMENTOS'!$B$6:$B$1005,A491,'RECEBIMENTOS'!$Z$6:$Z$1005,1))</f>
        <v/>
      </c>
      <c r="W491" s="95" t="str">
        <f>IF(Z491=0,"",COUNTIFS('ITENS_MTR'!$S$6:$S$1005,A491,'ITENS_MTR'!$R$6:$R$1005,1))</f>
        <v/>
      </c>
      <c r="X491" s="94" t="str">
        <f>IF(AC491=1,"POSSÍVEL DUPLICIDADE","")</f>
        <v/>
      </c>
      <c r="Y491" s="94" t="str">
        <f>IF(Z491=0,"",IF(AW491="","Nenhuma",LEFT(AW491,LEN(AW491)-2)))</f>
        <v/>
      </c>
      <c r="Z491" s="96">
        <f>IF(COUNTA(B491:O491)&gt;0,1,0)</f>
        <v>0</v>
      </c>
      <c r="AA491" s="96">
        <f>IF(AND(Z491=1,K491&lt;&gt;""),IF(TRIM(K491)=TRIM(cfg_cancel),1,0),0)</f>
        <v>0</v>
      </c>
      <c r="AB491" s="96" t="str">
        <f>IF(AND(Z491=1,B491&lt;&gt;""),C491&amp;"|"&amp;D491&amp;"|"&amp;G491&amp;"|"&amp;TRIM(B491),"")</f>
        <v/>
      </c>
      <c r="AC491" s="96">
        <f>IF(AB491="",0,IF(SUMPRODUCT(--($AB$6:$AB$505=AB491))&gt;1,1,0))</f>
        <v>0</v>
      </c>
      <c r="AD491" s="96">
        <f>IF(Z491=0,0,IF(OR(AND(G491&lt;&gt;"",ISNA(MATCH(G491,'CAD_UNIDADES'!$C$6:$C$105,0))),AND(H491&lt;&gt;"",ISNA(MATCH(H491,cmp_transp,0))),AND(I491&lt;&gt;"",ISNA(MATCH(I491,cmp_dest,0))),AND(E491&lt;&gt;"",NOT(ISNUMBER(E491))),AND(F491&lt;&gt;"",NOT(ISNUMBER(F491))),AND(ISNUMBER(E491),ISNUMBER(F491),F491&lt;E491)),1,0))</f>
        <v>0</v>
      </c>
      <c r="AE491" s="96">
        <f>IF(Z491=0,0,IF(OR(B491="",C491="",E491="",G491="",H491="",I491="",N(W491)=0),1,0))</f>
        <v>0</v>
      </c>
      <c r="AF491" s="96">
        <f>IF(Z491=0,0,COUNTIFS('ITENS_MTR'!$S$6:$S$1005,A491,'ITENS_MTR'!$AI$6:$AI$1005,1))</f>
        <v>0</v>
      </c>
      <c r="AG491" s="96">
        <f>IF(Z491=0,0,COUNTIFS('ITENS_MTR'!$S$6:$S$1005,A491,'ITENS_MTR'!$AJ$6:$AJ$1005,1))</f>
        <v>0</v>
      </c>
      <c r="AH491" s="96">
        <f>IF(Z491=0,0,COUNTIFS('ITENS_MTR'!$S$6:$S$1005,A491,'ITENS_MTR'!$AM$6:$AM$1005,1))</f>
        <v>0</v>
      </c>
      <c r="AI491" s="96">
        <f>IF(Z491=0,0,COUNTIFS('ITENS_MTR'!$S$6:$S$1005,A491,'ITENS_MTR'!$AO$6:$AO$1005,1))</f>
        <v>0</v>
      </c>
      <c r="AJ491" s="96">
        <f>IF(Z491=0,0,COUNTIFS('ITENS_MTR'!$S$6:$S$1005,A491,'ITENS_MTR'!$AN$6:$AN$1005,1))</f>
        <v>0</v>
      </c>
      <c r="AK491" s="96">
        <f>IF(Z491=0,0,COUNTIFS('RECEBIMENTOS'!$B$6:$B$1005,A491,'RECEBIMENTOS'!$Y$6:$Y$1005,1))</f>
        <v>0</v>
      </c>
      <c r="AL491" s="96">
        <f>IF(Z491=0,0,COUNTIFS('VÍNCULOS_CDF'!$D$6:$D$1005,A491,'VÍNCULOS_CDF'!$Y$6:$Y$1005,1))</f>
        <v>0</v>
      </c>
      <c r="AM491" s="96">
        <f>IF(Z491=0,0,COUNTIFS('RECEBIMENTOS'!$B$6:$B$1005,A491,'RECEBIMENTOS'!$Q$6:$Q$1005,1))</f>
        <v>0</v>
      </c>
      <c r="AN491" s="96">
        <f>IF(AND(Z491=1,N(W491)&gt;0,AG491=N(W491)),1,0)</f>
        <v>0</v>
      </c>
      <c r="AO491" s="96">
        <f>IF(AND(Z491=1,N(W491)&gt;0,AI491=N(W491)),1,0)</f>
        <v>0</v>
      </c>
      <c r="AP491" s="97">
        <f>IF(Z491=0,0,_xlfn.MAXIFS('RECEBIMENTOS'!$E$6:$E$1005,'RECEBIMENTOS'!$B$6:$B$1005,A491))</f>
        <v>0</v>
      </c>
      <c r="AQ491" s="97" t="str">
        <f>IF(T491="","",IF(T491="RECEBIMENTO NÃO CONFIRMADO",IF(ISNUMBER(F491),F491,IF(ISNUMBER(E491),E491,"")),IF(OR(T491="CDF NÃO LOCALIZADO",T491="VÍNCULO INCOMPLETO",T491="CDF A CONFERIR"),IF(AP491&gt;0,AP491,IF(ISNUMBER(E491),E491,"")),IF(ISNUMBER(E491),E491,""))))</f>
        <v/>
      </c>
      <c r="AR491" s="96">
        <f>IF(NOT(ISNUMBER(U491)),0,IF(T491="RECEBIMENTO NÃO CONFIRMADO",IF(AND(ISNUMBER(cfg_rec),U491&gt;cfg_rec),1,0),IF(OR(T491="CDF NÃO LOCALIZADO",T491="VÍNCULO INCOMPLETO",T491="CDF A CONFERIR"),IF(AND(ISNUMBER(cfg_cdf),U491&gt;cfg_cdf),1,0),0)))</f>
        <v>0</v>
      </c>
      <c r="AS491" s="96" t="str">
        <f>IF(T491="","",IF(AR491=1,"Alta",IFERROR(INDEX(cfg_pp,MATCH(T491,cfg_pt,0))&amp;"","Média")))</f>
        <v/>
      </c>
      <c r="AT491" s="96" t="str">
        <f>IF(T491="","",IFERROR(INDEX(cfg_pv,MATCH(T491,cfg_pt,0))&amp;"",""))</f>
        <v/>
      </c>
      <c r="AU491" s="96" t="str">
        <f>IF(T491="","",IF(AS491="Alta",1,IF(AS491="Média",2,3))*1000000000+(999999-IF(ISNUMBER(U491),MIN(U491,999999),0))*1000+486)</f>
        <v/>
      </c>
      <c r="AV491" s="96">
        <f>IF(T491&lt;&gt;"",1,0)</f>
        <v>0</v>
      </c>
      <c r="AW491" s="96" t="str">
        <f>IF(Z491=0,"",IF(AA491=1,"Cancelamento informado; ","")&amp;IF(AE491=1,"Campos essenciais ou itens faltando; ","")&amp;IF(AC491=1,"Possível duplicidade do número; ","")&amp;IF(AD491=1,"Cadastro ou datas a revisar; ","")&amp;IF(AF491&gt;0,"Item de resíduo com dado a revisar; ","")&amp;IF(AH491&gt;0,"Diferença de quantidade a analisar; ","")&amp;IF(AK491&gt;0,"Recebimento com alerta; ","")&amp;IF(AL491&gt;0,"Vínculo de CDF com alerta; ","")&amp;IF(AND(AA491=0,AN491=0),"Recebimento não confirmado; ","")&amp;IF(AND(AA491=0,AN491=1,AO491=0),"CDF pendente ou a conferir; ",""))</f>
        <v/>
      </c>
      <c r="AX491" s="96">
        <f>IF(Z491=0,0,IF(AND(OR(f_ini="",AND(ISNUMBER(E491),E491&gt;=f_ini)),OR(f_fim="",AND(ISNUMBER(E491),E491&lt;=f_fim)),OR(f_un="",f_un="(Todas)",G491=f_un),OR(f_tr="",f_tr="(Todos)",H491=f_tr),OR(f_de="",f_de="(Todos)",I491=f_de),OR(f_sit="",f_sit="(Todas)",S491=f_sit)),1,0))</f>
        <v>0</v>
      </c>
      <c r="AY491" s="96">
        <f>IF(AX491=0,0,IF(OR(f_res="",f_res="(Todos)"),1,IF(COUNTIFS('ITENS_MTR'!$S$6:$S$1005,A491,'ITENS_MTR'!$C$6:$C$1005,f_res)&gt;0,1,0)))</f>
        <v>0</v>
      </c>
      <c r="AZ491" s="97" t="str">
        <f>IF(ISNUMBER(E491),DATE(YEAR(E491),MONTH(E491),1),"")</f>
        <v/>
      </c>
      <c r="BA491" s="96">
        <f>IF(Z491=0,0,IF(AND(OR(r_ini="",AND(ISNUMBER(E491),E491&gt;=r_ini)),OR(r_fim="",AND(ISNUMBER(E491),E491&lt;=r_fim)),OR(r_un="",r_un="(Todas)",G491=r_un),OR(r_de="",r_de="(Todos)",I491=r_de)),1,0))</f>
        <v>0</v>
      </c>
      <c r="BB491" s="96" t="str">
        <f>IF(BA491=1,COUNTIF($BA$6:BA491,1),"")</f>
        <v/>
      </c>
      <c r="BC491" s="96" t="str">
        <f>IF(AND(AU491&lt;&gt;"",OR(r_un="",r_un="(Todas)",G491=r_un),OR(r_de="",r_de="(Todos)",I491=r_de)),AU491,"")</f>
        <v/>
      </c>
      <c r="BD491" s="96" t="str">
        <f>IF(Z491=1,A491&amp;" | nº "&amp;IF(B491="","(sem número)",B491)&amp;" | "&amp;IF(G491="","(sem unidade)",G491),"")</f>
        <v/>
      </c>
      <c r="BE491" s="96" t="str">
        <f>IF(Z491=1,COUNTIF($Z$6:Z491,1),"")</f>
        <v/>
      </c>
      <c r="BF491" s="96" t="str">
        <f>IF(T491="","",IF(T491="RECEBIMENTO NÃO CONFIRMADO","Transp.: "&amp;H491&amp;" | Dest.: "&amp;I491,IF(OR(T491="CDF NÃO LOCALIZADO",T491="VÍNCULO INCOMPLETO",T491="CDF A CONFERIR"),"Dest.: "&amp;I491,"Gerador: "&amp;G491)))</f>
        <v/>
      </c>
    </row>
    <row r="492">
      <c r="A492" s="89" t="inlineStr">
        <is>
          <t>MTR-000487</t>
        </is>
      </c>
      <c r="B492" s="90" t="n"/>
      <c r="C492" s="91" t="n"/>
      <c r="D492" s="91" t="n"/>
      <c r="E492" s="92" t="n"/>
      <c r="F492" s="92" t="n"/>
      <c r="G492" s="91" t="n"/>
      <c r="H492" s="91" t="n"/>
      <c r="I492" s="91" t="n"/>
      <c r="J492" s="91" t="n"/>
      <c r="K492" s="91" t="n"/>
      <c r="L492" s="92" t="n"/>
      <c r="M492" s="91" t="n"/>
      <c r="N492" s="91" t="n"/>
      <c r="O492" s="91" t="n"/>
      <c r="P492" s="93" t="str">
        <f>IF(Z492=0,"",SUMIFS('ITENS_MTR'!$I$6:$I$1005,'ITENS_MTR'!$S$6:$S$1005,A492,'ITENS_MTR'!$Y$6:$Y$1005,1))</f>
        <v/>
      </c>
      <c r="Q492" s="93" t="str">
        <f>IF(Z492=0,"",SUMIFS('RECEBIMENTOS'!$H$6:$H$1005,'RECEBIMENTOS'!$B$6:$B$1005,A492,'RECEBIMENTOS'!$X$6:$X$1005,1))</f>
        <v/>
      </c>
      <c r="R492" s="93" t="str">
        <f>IF(Z492=0,"",SUMIFS('VÍNCULOS_CDF'!$H$6:$H$1005,'VÍNCULOS_CDF'!$D$6:$D$1005,A492,'VÍNCULOS_CDF'!$V$6:$V$1005,1))</f>
        <v/>
      </c>
      <c r="S492" s="94" t="str">
        <f>IF(Z492=0,"",IF(AA492=1,"Cancelado (informado)",IF(AE492=1,"Cadastro incompleto",IF(OR(AC492=1,AD492=1,AF492&gt;0,AH492&gt;0,AK492&gt;0,AL492&gt;0),"Informação a revisar",IF(AN492=0,"Aguardando recebimento",IF(N(R492)=0,"Aguardando CDF",IF(AJ492&lt;N(W492),"Vínculo de CDF parcial",IF(AO492=0,"CDF localizado, a conferir","Documentação conferida"))))))))</f>
        <v/>
      </c>
      <c r="T492" s="94" t="str">
        <f>IF(Z492=0,"",IF(S492="Cadastro incompleto","MTR INCOMPLETO",IF(S492="Informação a revisar",IF(AND(AH492&gt;0,AC492=0,AD492=0,AF492=0,AK492=0,AL492=0),"QUANTIDADE A REVISAR","IDENTIFICAÇÃO A REVISAR"),IF(S492="Aguardando recebimento","RECEBIMENTO NÃO CONFIRMADO",IF(S492="Aguardando CDF","CDF NÃO LOCALIZADO",IF(S492="Vínculo de CDF parcial","VÍNCULO INCOMPLETO",IF(S492="CDF localizado, a conferir","CDF A CONFERIR","")))))))</f>
        <v/>
      </c>
      <c r="U492" s="95" t="str">
        <f>IF(T492="","",IF(AQ492="","Não calculável",IF(AQ492&gt;TODAY(),"Data futura",TODAY()-AQ492)))</f>
        <v/>
      </c>
      <c r="V492" s="93" t="str">
        <f>IF(Z492=0,"",SUMIFS('RECEBIMENTOS'!$H$6:$H$1005,'RECEBIMENTOS'!$B$6:$B$1005,A492,'RECEBIMENTOS'!$Z$6:$Z$1005,1))</f>
        <v/>
      </c>
      <c r="W492" s="95" t="str">
        <f>IF(Z492=0,"",COUNTIFS('ITENS_MTR'!$S$6:$S$1005,A492,'ITENS_MTR'!$R$6:$R$1005,1))</f>
        <v/>
      </c>
      <c r="X492" s="94" t="str">
        <f>IF(AC492=1,"POSSÍVEL DUPLICIDADE","")</f>
        <v/>
      </c>
      <c r="Y492" s="94" t="str">
        <f>IF(Z492=0,"",IF(AW492="","Nenhuma",LEFT(AW492,LEN(AW492)-2)))</f>
        <v/>
      </c>
      <c r="Z492" s="96">
        <f>IF(COUNTA(B492:O492)&gt;0,1,0)</f>
        <v>0</v>
      </c>
      <c r="AA492" s="96">
        <f>IF(AND(Z492=1,K492&lt;&gt;""),IF(TRIM(K492)=TRIM(cfg_cancel),1,0),0)</f>
        <v>0</v>
      </c>
      <c r="AB492" s="96" t="str">
        <f>IF(AND(Z492=1,B492&lt;&gt;""),C492&amp;"|"&amp;D492&amp;"|"&amp;G492&amp;"|"&amp;TRIM(B492),"")</f>
        <v/>
      </c>
      <c r="AC492" s="96">
        <f>IF(AB492="",0,IF(SUMPRODUCT(--($AB$6:$AB$505=AB492))&gt;1,1,0))</f>
        <v>0</v>
      </c>
      <c r="AD492" s="96">
        <f>IF(Z492=0,0,IF(OR(AND(G492&lt;&gt;"",ISNA(MATCH(G492,'CAD_UNIDADES'!$C$6:$C$105,0))),AND(H492&lt;&gt;"",ISNA(MATCH(H492,cmp_transp,0))),AND(I492&lt;&gt;"",ISNA(MATCH(I492,cmp_dest,0))),AND(E492&lt;&gt;"",NOT(ISNUMBER(E492))),AND(F492&lt;&gt;"",NOT(ISNUMBER(F492))),AND(ISNUMBER(E492),ISNUMBER(F492),F492&lt;E492)),1,0))</f>
        <v>0</v>
      </c>
      <c r="AE492" s="96">
        <f>IF(Z492=0,0,IF(OR(B492="",C492="",E492="",G492="",H492="",I492="",N(W492)=0),1,0))</f>
        <v>0</v>
      </c>
      <c r="AF492" s="96">
        <f>IF(Z492=0,0,COUNTIFS('ITENS_MTR'!$S$6:$S$1005,A492,'ITENS_MTR'!$AI$6:$AI$1005,1))</f>
        <v>0</v>
      </c>
      <c r="AG492" s="96">
        <f>IF(Z492=0,0,COUNTIFS('ITENS_MTR'!$S$6:$S$1005,A492,'ITENS_MTR'!$AJ$6:$AJ$1005,1))</f>
        <v>0</v>
      </c>
      <c r="AH492" s="96">
        <f>IF(Z492=0,0,COUNTIFS('ITENS_MTR'!$S$6:$S$1005,A492,'ITENS_MTR'!$AM$6:$AM$1005,1))</f>
        <v>0</v>
      </c>
      <c r="AI492" s="96">
        <f>IF(Z492=0,0,COUNTIFS('ITENS_MTR'!$S$6:$S$1005,A492,'ITENS_MTR'!$AO$6:$AO$1005,1))</f>
        <v>0</v>
      </c>
      <c r="AJ492" s="96">
        <f>IF(Z492=0,0,COUNTIFS('ITENS_MTR'!$S$6:$S$1005,A492,'ITENS_MTR'!$AN$6:$AN$1005,1))</f>
        <v>0</v>
      </c>
      <c r="AK492" s="96">
        <f>IF(Z492=0,0,COUNTIFS('RECEBIMENTOS'!$B$6:$B$1005,A492,'RECEBIMENTOS'!$Y$6:$Y$1005,1))</f>
        <v>0</v>
      </c>
      <c r="AL492" s="96">
        <f>IF(Z492=0,0,COUNTIFS('VÍNCULOS_CDF'!$D$6:$D$1005,A492,'VÍNCULOS_CDF'!$Y$6:$Y$1005,1))</f>
        <v>0</v>
      </c>
      <c r="AM492" s="96">
        <f>IF(Z492=0,0,COUNTIFS('RECEBIMENTOS'!$B$6:$B$1005,A492,'RECEBIMENTOS'!$Q$6:$Q$1005,1))</f>
        <v>0</v>
      </c>
      <c r="AN492" s="96">
        <f>IF(AND(Z492=1,N(W492)&gt;0,AG492=N(W492)),1,0)</f>
        <v>0</v>
      </c>
      <c r="AO492" s="96">
        <f>IF(AND(Z492=1,N(W492)&gt;0,AI492=N(W492)),1,0)</f>
        <v>0</v>
      </c>
      <c r="AP492" s="97">
        <f>IF(Z492=0,0,_xlfn.MAXIFS('RECEBIMENTOS'!$E$6:$E$1005,'RECEBIMENTOS'!$B$6:$B$1005,A492))</f>
        <v>0</v>
      </c>
      <c r="AQ492" s="97" t="str">
        <f>IF(T492="","",IF(T492="RECEBIMENTO NÃO CONFIRMADO",IF(ISNUMBER(F492),F492,IF(ISNUMBER(E492),E492,"")),IF(OR(T492="CDF NÃO LOCALIZADO",T492="VÍNCULO INCOMPLETO",T492="CDF A CONFERIR"),IF(AP492&gt;0,AP492,IF(ISNUMBER(E492),E492,"")),IF(ISNUMBER(E492),E492,""))))</f>
        <v/>
      </c>
      <c r="AR492" s="96">
        <f>IF(NOT(ISNUMBER(U492)),0,IF(T492="RECEBIMENTO NÃO CONFIRMADO",IF(AND(ISNUMBER(cfg_rec),U492&gt;cfg_rec),1,0),IF(OR(T492="CDF NÃO LOCALIZADO",T492="VÍNCULO INCOMPLETO",T492="CDF A CONFERIR"),IF(AND(ISNUMBER(cfg_cdf),U492&gt;cfg_cdf),1,0),0)))</f>
        <v>0</v>
      </c>
      <c r="AS492" s="96" t="str">
        <f>IF(T492="","",IF(AR492=1,"Alta",IFERROR(INDEX(cfg_pp,MATCH(T492,cfg_pt,0))&amp;"","Média")))</f>
        <v/>
      </c>
      <c r="AT492" s="96" t="str">
        <f>IF(T492="","",IFERROR(INDEX(cfg_pv,MATCH(T492,cfg_pt,0))&amp;"",""))</f>
        <v/>
      </c>
      <c r="AU492" s="96" t="str">
        <f>IF(T492="","",IF(AS492="Alta",1,IF(AS492="Média",2,3))*1000000000+(999999-IF(ISNUMBER(U492),MIN(U492,999999),0))*1000+487)</f>
        <v/>
      </c>
      <c r="AV492" s="96">
        <f>IF(T492&lt;&gt;"",1,0)</f>
        <v>0</v>
      </c>
      <c r="AW492" s="96" t="str">
        <f>IF(Z492=0,"",IF(AA492=1,"Cancelamento informado; ","")&amp;IF(AE492=1,"Campos essenciais ou itens faltando; ","")&amp;IF(AC492=1,"Possível duplicidade do número; ","")&amp;IF(AD492=1,"Cadastro ou datas a revisar; ","")&amp;IF(AF492&gt;0,"Item de resíduo com dado a revisar; ","")&amp;IF(AH492&gt;0,"Diferença de quantidade a analisar; ","")&amp;IF(AK492&gt;0,"Recebimento com alerta; ","")&amp;IF(AL492&gt;0,"Vínculo de CDF com alerta; ","")&amp;IF(AND(AA492=0,AN492=0),"Recebimento não confirmado; ","")&amp;IF(AND(AA492=0,AN492=1,AO492=0),"CDF pendente ou a conferir; ",""))</f>
        <v/>
      </c>
      <c r="AX492" s="96">
        <f>IF(Z492=0,0,IF(AND(OR(f_ini="",AND(ISNUMBER(E492),E492&gt;=f_ini)),OR(f_fim="",AND(ISNUMBER(E492),E492&lt;=f_fim)),OR(f_un="",f_un="(Todas)",G492=f_un),OR(f_tr="",f_tr="(Todos)",H492=f_tr),OR(f_de="",f_de="(Todos)",I492=f_de),OR(f_sit="",f_sit="(Todas)",S492=f_sit)),1,0))</f>
        <v>0</v>
      </c>
      <c r="AY492" s="96">
        <f>IF(AX492=0,0,IF(OR(f_res="",f_res="(Todos)"),1,IF(COUNTIFS('ITENS_MTR'!$S$6:$S$1005,A492,'ITENS_MTR'!$C$6:$C$1005,f_res)&gt;0,1,0)))</f>
        <v>0</v>
      </c>
      <c r="AZ492" s="97" t="str">
        <f>IF(ISNUMBER(E492),DATE(YEAR(E492),MONTH(E492),1),"")</f>
        <v/>
      </c>
      <c r="BA492" s="96">
        <f>IF(Z492=0,0,IF(AND(OR(r_ini="",AND(ISNUMBER(E492),E492&gt;=r_ini)),OR(r_fim="",AND(ISNUMBER(E492),E492&lt;=r_fim)),OR(r_un="",r_un="(Todas)",G492=r_un),OR(r_de="",r_de="(Todos)",I492=r_de)),1,0))</f>
        <v>0</v>
      </c>
      <c r="BB492" s="96" t="str">
        <f>IF(BA492=1,COUNTIF($BA$6:BA492,1),"")</f>
        <v/>
      </c>
      <c r="BC492" s="96" t="str">
        <f>IF(AND(AU492&lt;&gt;"",OR(r_un="",r_un="(Todas)",G492=r_un),OR(r_de="",r_de="(Todos)",I492=r_de)),AU492,"")</f>
        <v/>
      </c>
      <c r="BD492" s="96" t="str">
        <f>IF(Z492=1,A492&amp;" | nº "&amp;IF(B492="","(sem número)",B492)&amp;" | "&amp;IF(G492="","(sem unidade)",G492),"")</f>
        <v/>
      </c>
      <c r="BE492" s="96" t="str">
        <f>IF(Z492=1,COUNTIF($Z$6:Z492,1),"")</f>
        <v/>
      </c>
      <c r="BF492" s="96" t="str">
        <f>IF(T492="","",IF(T492="RECEBIMENTO NÃO CONFIRMADO","Transp.: "&amp;H492&amp;" | Dest.: "&amp;I492,IF(OR(T492="CDF NÃO LOCALIZADO",T492="VÍNCULO INCOMPLETO",T492="CDF A CONFERIR"),"Dest.: "&amp;I492,"Gerador: "&amp;G492)))</f>
        <v/>
      </c>
    </row>
    <row r="493">
      <c r="A493" s="89" t="inlineStr">
        <is>
          <t>MTR-000488</t>
        </is>
      </c>
      <c r="B493" s="90" t="n"/>
      <c r="C493" s="91" t="n"/>
      <c r="D493" s="91" t="n"/>
      <c r="E493" s="92" t="n"/>
      <c r="F493" s="92" t="n"/>
      <c r="G493" s="91" t="n"/>
      <c r="H493" s="91" t="n"/>
      <c r="I493" s="91" t="n"/>
      <c r="J493" s="91" t="n"/>
      <c r="K493" s="91" t="n"/>
      <c r="L493" s="92" t="n"/>
      <c r="M493" s="91" t="n"/>
      <c r="N493" s="91" t="n"/>
      <c r="O493" s="91" t="n"/>
      <c r="P493" s="93" t="str">
        <f>IF(Z493=0,"",SUMIFS('ITENS_MTR'!$I$6:$I$1005,'ITENS_MTR'!$S$6:$S$1005,A493,'ITENS_MTR'!$Y$6:$Y$1005,1))</f>
        <v/>
      </c>
      <c r="Q493" s="93" t="str">
        <f>IF(Z493=0,"",SUMIFS('RECEBIMENTOS'!$H$6:$H$1005,'RECEBIMENTOS'!$B$6:$B$1005,A493,'RECEBIMENTOS'!$X$6:$X$1005,1))</f>
        <v/>
      </c>
      <c r="R493" s="93" t="str">
        <f>IF(Z493=0,"",SUMIFS('VÍNCULOS_CDF'!$H$6:$H$1005,'VÍNCULOS_CDF'!$D$6:$D$1005,A493,'VÍNCULOS_CDF'!$V$6:$V$1005,1))</f>
        <v/>
      </c>
      <c r="S493" s="94" t="str">
        <f>IF(Z493=0,"",IF(AA493=1,"Cancelado (informado)",IF(AE493=1,"Cadastro incompleto",IF(OR(AC493=1,AD493=1,AF493&gt;0,AH493&gt;0,AK493&gt;0,AL493&gt;0),"Informação a revisar",IF(AN493=0,"Aguardando recebimento",IF(N(R493)=0,"Aguardando CDF",IF(AJ493&lt;N(W493),"Vínculo de CDF parcial",IF(AO493=0,"CDF localizado, a conferir","Documentação conferida"))))))))</f>
        <v/>
      </c>
      <c r="T493" s="94" t="str">
        <f>IF(Z493=0,"",IF(S493="Cadastro incompleto","MTR INCOMPLETO",IF(S493="Informação a revisar",IF(AND(AH493&gt;0,AC493=0,AD493=0,AF493=0,AK493=0,AL493=0),"QUANTIDADE A REVISAR","IDENTIFICAÇÃO A REVISAR"),IF(S493="Aguardando recebimento","RECEBIMENTO NÃO CONFIRMADO",IF(S493="Aguardando CDF","CDF NÃO LOCALIZADO",IF(S493="Vínculo de CDF parcial","VÍNCULO INCOMPLETO",IF(S493="CDF localizado, a conferir","CDF A CONFERIR","")))))))</f>
        <v/>
      </c>
      <c r="U493" s="95" t="str">
        <f>IF(T493="","",IF(AQ493="","Não calculável",IF(AQ493&gt;TODAY(),"Data futura",TODAY()-AQ493)))</f>
        <v/>
      </c>
      <c r="V493" s="93" t="str">
        <f>IF(Z493=0,"",SUMIFS('RECEBIMENTOS'!$H$6:$H$1005,'RECEBIMENTOS'!$B$6:$B$1005,A493,'RECEBIMENTOS'!$Z$6:$Z$1005,1))</f>
        <v/>
      </c>
      <c r="W493" s="95" t="str">
        <f>IF(Z493=0,"",COUNTIFS('ITENS_MTR'!$S$6:$S$1005,A493,'ITENS_MTR'!$R$6:$R$1005,1))</f>
        <v/>
      </c>
      <c r="X493" s="94" t="str">
        <f>IF(AC493=1,"POSSÍVEL DUPLICIDADE","")</f>
        <v/>
      </c>
      <c r="Y493" s="94" t="str">
        <f>IF(Z493=0,"",IF(AW493="","Nenhuma",LEFT(AW493,LEN(AW493)-2)))</f>
        <v/>
      </c>
      <c r="Z493" s="96">
        <f>IF(COUNTA(B493:O493)&gt;0,1,0)</f>
        <v>0</v>
      </c>
      <c r="AA493" s="96">
        <f>IF(AND(Z493=1,K493&lt;&gt;""),IF(TRIM(K493)=TRIM(cfg_cancel),1,0),0)</f>
        <v>0</v>
      </c>
      <c r="AB493" s="96" t="str">
        <f>IF(AND(Z493=1,B493&lt;&gt;""),C493&amp;"|"&amp;D493&amp;"|"&amp;G493&amp;"|"&amp;TRIM(B493),"")</f>
        <v/>
      </c>
      <c r="AC493" s="96">
        <f>IF(AB493="",0,IF(SUMPRODUCT(--($AB$6:$AB$505=AB493))&gt;1,1,0))</f>
        <v>0</v>
      </c>
      <c r="AD493" s="96">
        <f>IF(Z493=0,0,IF(OR(AND(G493&lt;&gt;"",ISNA(MATCH(G493,'CAD_UNIDADES'!$C$6:$C$105,0))),AND(H493&lt;&gt;"",ISNA(MATCH(H493,cmp_transp,0))),AND(I493&lt;&gt;"",ISNA(MATCH(I493,cmp_dest,0))),AND(E493&lt;&gt;"",NOT(ISNUMBER(E493))),AND(F493&lt;&gt;"",NOT(ISNUMBER(F493))),AND(ISNUMBER(E493),ISNUMBER(F493),F493&lt;E493)),1,0))</f>
        <v>0</v>
      </c>
      <c r="AE493" s="96">
        <f>IF(Z493=0,0,IF(OR(B493="",C493="",E493="",G493="",H493="",I493="",N(W493)=0),1,0))</f>
        <v>0</v>
      </c>
      <c r="AF493" s="96">
        <f>IF(Z493=0,0,COUNTIFS('ITENS_MTR'!$S$6:$S$1005,A493,'ITENS_MTR'!$AI$6:$AI$1005,1))</f>
        <v>0</v>
      </c>
      <c r="AG493" s="96">
        <f>IF(Z493=0,0,COUNTIFS('ITENS_MTR'!$S$6:$S$1005,A493,'ITENS_MTR'!$AJ$6:$AJ$1005,1))</f>
        <v>0</v>
      </c>
      <c r="AH493" s="96">
        <f>IF(Z493=0,0,COUNTIFS('ITENS_MTR'!$S$6:$S$1005,A493,'ITENS_MTR'!$AM$6:$AM$1005,1))</f>
        <v>0</v>
      </c>
      <c r="AI493" s="96">
        <f>IF(Z493=0,0,COUNTIFS('ITENS_MTR'!$S$6:$S$1005,A493,'ITENS_MTR'!$AO$6:$AO$1005,1))</f>
        <v>0</v>
      </c>
      <c r="AJ493" s="96">
        <f>IF(Z493=0,0,COUNTIFS('ITENS_MTR'!$S$6:$S$1005,A493,'ITENS_MTR'!$AN$6:$AN$1005,1))</f>
        <v>0</v>
      </c>
      <c r="AK493" s="96">
        <f>IF(Z493=0,0,COUNTIFS('RECEBIMENTOS'!$B$6:$B$1005,A493,'RECEBIMENTOS'!$Y$6:$Y$1005,1))</f>
        <v>0</v>
      </c>
      <c r="AL493" s="96">
        <f>IF(Z493=0,0,COUNTIFS('VÍNCULOS_CDF'!$D$6:$D$1005,A493,'VÍNCULOS_CDF'!$Y$6:$Y$1005,1))</f>
        <v>0</v>
      </c>
      <c r="AM493" s="96">
        <f>IF(Z493=0,0,COUNTIFS('RECEBIMENTOS'!$B$6:$B$1005,A493,'RECEBIMENTOS'!$Q$6:$Q$1005,1))</f>
        <v>0</v>
      </c>
      <c r="AN493" s="96">
        <f>IF(AND(Z493=1,N(W493)&gt;0,AG493=N(W493)),1,0)</f>
        <v>0</v>
      </c>
      <c r="AO493" s="96">
        <f>IF(AND(Z493=1,N(W493)&gt;0,AI493=N(W493)),1,0)</f>
        <v>0</v>
      </c>
      <c r="AP493" s="97">
        <f>IF(Z493=0,0,_xlfn.MAXIFS('RECEBIMENTOS'!$E$6:$E$1005,'RECEBIMENTOS'!$B$6:$B$1005,A493))</f>
        <v>0</v>
      </c>
      <c r="AQ493" s="97" t="str">
        <f>IF(T493="","",IF(T493="RECEBIMENTO NÃO CONFIRMADO",IF(ISNUMBER(F493),F493,IF(ISNUMBER(E493),E493,"")),IF(OR(T493="CDF NÃO LOCALIZADO",T493="VÍNCULO INCOMPLETO",T493="CDF A CONFERIR"),IF(AP493&gt;0,AP493,IF(ISNUMBER(E493),E493,"")),IF(ISNUMBER(E493),E493,""))))</f>
        <v/>
      </c>
      <c r="AR493" s="96">
        <f>IF(NOT(ISNUMBER(U493)),0,IF(T493="RECEBIMENTO NÃO CONFIRMADO",IF(AND(ISNUMBER(cfg_rec),U493&gt;cfg_rec),1,0),IF(OR(T493="CDF NÃO LOCALIZADO",T493="VÍNCULO INCOMPLETO",T493="CDF A CONFERIR"),IF(AND(ISNUMBER(cfg_cdf),U493&gt;cfg_cdf),1,0),0)))</f>
        <v>0</v>
      </c>
      <c r="AS493" s="96" t="str">
        <f>IF(T493="","",IF(AR493=1,"Alta",IFERROR(INDEX(cfg_pp,MATCH(T493,cfg_pt,0))&amp;"","Média")))</f>
        <v/>
      </c>
      <c r="AT493" s="96" t="str">
        <f>IF(T493="","",IFERROR(INDEX(cfg_pv,MATCH(T493,cfg_pt,0))&amp;"",""))</f>
        <v/>
      </c>
      <c r="AU493" s="96" t="str">
        <f>IF(T493="","",IF(AS493="Alta",1,IF(AS493="Média",2,3))*1000000000+(999999-IF(ISNUMBER(U493),MIN(U493,999999),0))*1000+488)</f>
        <v/>
      </c>
      <c r="AV493" s="96">
        <f>IF(T493&lt;&gt;"",1,0)</f>
        <v>0</v>
      </c>
      <c r="AW493" s="96" t="str">
        <f>IF(Z493=0,"",IF(AA493=1,"Cancelamento informado; ","")&amp;IF(AE493=1,"Campos essenciais ou itens faltando; ","")&amp;IF(AC493=1,"Possível duplicidade do número; ","")&amp;IF(AD493=1,"Cadastro ou datas a revisar; ","")&amp;IF(AF493&gt;0,"Item de resíduo com dado a revisar; ","")&amp;IF(AH493&gt;0,"Diferença de quantidade a analisar; ","")&amp;IF(AK493&gt;0,"Recebimento com alerta; ","")&amp;IF(AL493&gt;0,"Vínculo de CDF com alerta; ","")&amp;IF(AND(AA493=0,AN493=0),"Recebimento não confirmado; ","")&amp;IF(AND(AA493=0,AN493=1,AO493=0),"CDF pendente ou a conferir; ",""))</f>
        <v/>
      </c>
      <c r="AX493" s="96">
        <f>IF(Z493=0,0,IF(AND(OR(f_ini="",AND(ISNUMBER(E493),E493&gt;=f_ini)),OR(f_fim="",AND(ISNUMBER(E493),E493&lt;=f_fim)),OR(f_un="",f_un="(Todas)",G493=f_un),OR(f_tr="",f_tr="(Todos)",H493=f_tr),OR(f_de="",f_de="(Todos)",I493=f_de),OR(f_sit="",f_sit="(Todas)",S493=f_sit)),1,0))</f>
        <v>0</v>
      </c>
      <c r="AY493" s="96">
        <f>IF(AX493=0,0,IF(OR(f_res="",f_res="(Todos)"),1,IF(COUNTIFS('ITENS_MTR'!$S$6:$S$1005,A493,'ITENS_MTR'!$C$6:$C$1005,f_res)&gt;0,1,0)))</f>
        <v>0</v>
      </c>
      <c r="AZ493" s="97" t="str">
        <f>IF(ISNUMBER(E493),DATE(YEAR(E493),MONTH(E493),1),"")</f>
        <v/>
      </c>
      <c r="BA493" s="96">
        <f>IF(Z493=0,0,IF(AND(OR(r_ini="",AND(ISNUMBER(E493),E493&gt;=r_ini)),OR(r_fim="",AND(ISNUMBER(E493),E493&lt;=r_fim)),OR(r_un="",r_un="(Todas)",G493=r_un),OR(r_de="",r_de="(Todos)",I493=r_de)),1,0))</f>
        <v>0</v>
      </c>
      <c r="BB493" s="96" t="str">
        <f>IF(BA493=1,COUNTIF($BA$6:BA493,1),"")</f>
        <v/>
      </c>
      <c r="BC493" s="96" t="str">
        <f>IF(AND(AU493&lt;&gt;"",OR(r_un="",r_un="(Todas)",G493=r_un),OR(r_de="",r_de="(Todos)",I493=r_de)),AU493,"")</f>
        <v/>
      </c>
      <c r="BD493" s="96" t="str">
        <f>IF(Z493=1,A493&amp;" | nº "&amp;IF(B493="","(sem número)",B493)&amp;" | "&amp;IF(G493="","(sem unidade)",G493),"")</f>
        <v/>
      </c>
      <c r="BE493" s="96" t="str">
        <f>IF(Z493=1,COUNTIF($Z$6:Z493,1),"")</f>
        <v/>
      </c>
      <c r="BF493" s="96" t="str">
        <f>IF(T493="","",IF(T493="RECEBIMENTO NÃO CONFIRMADO","Transp.: "&amp;H493&amp;" | Dest.: "&amp;I493,IF(OR(T493="CDF NÃO LOCALIZADO",T493="VÍNCULO INCOMPLETO",T493="CDF A CONFERIR"),"Dest.: "&amp;I493,"Gerador: "&amp;G493)))</f>
        <v/>
      </c>
    </row>
    <row r="494">
      <c r="A494" s="89" t="inlineStr">
        <is>
          <t>MTR-000489</t>
        </is>
      </c>
      <c r="B494" s="90" t="n"/>
      <c r="C494" s="91" t="n"/>
      <c r="D494" s="91" t="n"/>
      <c r="E494" s="92" t="n"/>
      <c r="F494" s="92" t="n"/>
      <c r="G494" s="91" t="n"/>
      <c r="H494" s="91" t="n"/>
      <c r="I494" s="91" t="n"/>
      <c r="J494" s="91" t="n"/>
      <c r="K494" s="91" t="n"/>
      <c r="L494" s="92" t="n"/>
      <c r="M494" s="91" t="n"/>
      <c r="N494" s="91" t="n"/>
      <c r="O494" s="91" t="n"/>
      <c r="P494" s="93" t="str">
        <f>IF(Z494=0,"",SUMIFS('ITENS_MTR'!$I$6:$I$1005,'ITENS_MTR'!$S$6:$S$1005,A494,'ITENS_MTR'!$Y$6:$Y$1005,1))</f>
        <v/>
      </c>
      <c r="Q494" s="93" t="str">
        <f>IF(Z494=0,"",SUMIFS('RECEBIMENTOS'!$H$6:$H$1005,'RECEBIMENTOS'!$B$6:$B$1005,A494,'RECEBIMENTOS'!$X$6:$X$1005,1))</f>
        <v/>
      </c>
      <c r="R494" s="93" t="str">
        <f>IF(Z494=0,"",SUMIFS('VÍNCULOS_CDF'!$H$6:$H$1005,'VÍNCULOS_CDF'!$D$6:$D$1005,A494,'VÍNCULOS_CDF'!$V$6:$V$1005,1))</f>
        <v/>
      </c>
      <c r="S494" s="94" t="str">
        <f>IF(Z494=0,"",IF(AA494=1,"Cancelado (informado)",IF(AE494=1,"Cadastro incompleto",IF(OR(AC494=1,AD494=1,AF494&gt;0,AH494&gt;0,AK494&gt;0,AL494&gt;0),"Informação a revisar",IF(AN494=0,"Aguardando recebimento",IF(N(R494)=0,"Aguardando CDF",IF(AJ494&lt;N(W494),"Vínculo de CDF parcial",IF(AO494=0,"CDF localizado, a conferir","Documentação conferida"))))))))</f>
        <v/>
      </c>
      <c r="T494" s="94" t="str">
        <f>IF(Z494=0,"",IF(S494="Cadastro incompleto","MTR INCOMPLETO",IF(S494="Informação a revisar",IF(AND(AH494&gt;0,AC494=0,AD494=0,AF494=0,AK494=0,AL494=0),"QUANTIDADE A REVISAR","IDENTIFICAÇÃO A REVISAR"),IF(S494="Aguardando recebimento","RECEBIMENTO NÃO CONFIRMADO",IF(S494="Aguardando CDF","CDF NÃO LOCALIZADO",IF(S494="Vínculo de CDF parcial","VÍNCULO INCOMPLETO",IF(S494="CDF localizado, a conferir","CDF A CONFERIR","")))))))</f>
        <v/>
      </c>
      <c r="U494" s="95" t="str">
        <f>IF(T494="","",IF(AQ494="","Não calculável",IF(AQ494&gt;TODAY(),"Data futura",TODAY()-AQ494)))</f>
        <v/>
      </c>
      <c r="V494" s="93" t="str">
        <f>IF(Z494=0,"",SUMIFS('RECEBIMENTOS'!$H$6:$H$1005,'RECEBIMENTOS'!$B$6:$B$1005,A494,'RECEBIMENTOS'!$Z$6:$Z$1005,1))</f>
        <v/>
      </c>
      <c r="W494" s="95" t="str">
        <f>IF(Z494=0,"",COUNTIFS('ITENS_MTR'!$S$6:$S$1005,A494,'ITENS_MTR'!$R$6:$R$1005,1))</f>
        <v/>
      </c>
      <c r="X494" s="94" t="str">
        <f>IF(AC494=1,"POSSÍVEL DUPLICIDADE","")</f>
        <v/>
      </c>
      <c r="Y494" s="94" t="str">
        <f>IF(Z494=0,"",IF(AW494="","Nenhuma",LEFT(AW494,LEN(AW494)-2)))</f>
        <v/>
      </c>
      <c r="Z494" s="96">
        <f>IF(COUNTA(B494:O494)&gt;0,1,0)</f>
        <v>0</v>
      </c>
      <c r="AA494" s="96">
        <f>IF(AND(Z494=1,K494&lt;&gt;""),IF(TRIM(K494)=TRIM(cfg_cancel),1,0),0)</f>
        <v>0</v>
      </c>
      <c r="AB494" s="96" t="str">
        <f>IF(AND(Z494=1,B494&lt;&gt;""),C494&amp;"|"&amp;D494&amp;"|"&amp;G494&amp;"|"&amp;TRIM(B494),"")</f>
        <v/>
      </c>
      <c r="AC494" s="96">
        <f>IF(AB494="",0,IF(SUMPRODUCT(--($AB$6:$AB$505=AB494))&gt;1,1,0))</f>
        <v>0</v>
      </c>
      <c r="AD494" s="96">
        <f>IF(Z494=0,0,IF(OR(AND(G494&lt;&gt;"",ISNA(MATCH(G494,'CAD_UNIDADES'!$C$6:$C$105,0))),AND(H494&lt;&gt;"",ISNA(MATCH(H494,cmp_transp,0))),AND(I494&lt;&gt;"",ISNA(MATCH(I494,cmp_dest,0))),AND(E494&lt;&gt;"",NOT(ISNUMBER(E494))),AND(F494&lt;&gt;"",NOT(ISNUMBER(F494))),AND(ISNUMBER(E494),ISNUMBER(F494),F494&lt;E494)),1,0))</f>
        <v>0</v>
      </c>
      <c r="AE494" s="96">
        <f>IF(Z494=0,0,IF(OR(B494="",C494="",E494="",G494="",H494="",I494="",N(W494)=0),1,0))</f>
        <v>0</v>
      </c>
      <c r="AF494" s="96">
        <f>IF(Z494=0,0,COUNTIFS('ITENS_MTR'!$S$6:$S$1005,A494,'ITENS_MTR'!$AI$6:$AI$1005,1))</f>
        <v>0</v>
      </c>
      <c r="AG494" s="96">
        <f>IF(Z494=0,0,COUNTIFS('ITENS_MTR'!$S$6:$S$1005,A494,'ITENS_MTR'!$AJ$6:$AJ$1005,1))</f>
        <v>0</v>
      </c>
      <c r="AH494" s="96">
        <f>IF(Z494=0,0,COUNTIFS('ITENS_MTR'!$S$6:$S$1005,A494,'ITENS_MTR'!$AM$6:$AM$1005,1))</f>
        <v>0</v>
      </c>
      <c r="AI494" s="96">
        <f>IF(Z494=0,0,COUNTIFS('ITENS_MTR'!$S$6:$S$1005,A494,'ITENS_MTR'!$AO$6:$AO$1005,1))</f>
        <v>0</v>
      </c>
      <c r="AJ494" s="96">
        <f>IF(Z494=0,0,COUNTIFS('ITENS_MTR'!$S$6:$S$1005,A494,'ITENS_MTR'!$AN$6:$AN$1005,1))</f>
        <v>0</v>
      </c>
      <c r="AK494" s="96">
        <f>IF(Z494=0,0,COUNTIFS('RECEBIMENTOS'!$B$6:$B$1005,A494,'RECEBIMENTOS'!$Y$6:$Y$1005,1))</f>
        <v>0</v>
      </c>
      <c r="AL494" s="96">
        <f>IF(Z494=0,0,COUNTIFS('VÍNCULOS_CDF'!$D$6:$D$1005,A494,'VÍNCULOS_CDF'!$Y$6:$Y$1005,1))</f>
        <v>0</v>
      </c>
      <c r="AM494" s="96">
        <f>IF(Z494=0,0,COUNTIFS('RECEBIMENTOS'!$B$6:$B$1005,A494,'RECEBIMENTOS'!$Q$6:$Q$1005,1))</f>
        <v>0</v>
      </c>
      <c r="AN494" s="96">
        <f>IF(AND(Z494=1,N(W494)&gt;0,AG494=N(W494)),1,0)</f>
        <v>0</v>
      </c>
      <c r="AO494" s="96">
        <f>IF(AND(Z494=1,N(W494)&gt;0,AI494=N(W494)),1,0)</f>
        <v>0</v>
      </c>
      <c r="AP494" s="97">
        <f>IF(Z494=0,0,_xlfn.MAXIFS('RECEBIMENTOS'!$E$6:$E$1005,'RECEBIMENTOS'!$B$6:$B$1005,A494))</f>
        <v>0</v>
      </c>
      <c r="AQ494" s="97" t="str">
        <f>IF(T494="","",IF(T494="RECEBIMENTO NÃO CONFIRMADO",IF(ISNUMBER(F494),F494,IF(ISNUMBER(E494),E494,"")),IF(OR(T494="CDF NÃO LOCALIZADO",T494="VÍNCULO INCOMPLETO",T494="CDF A CONFERIR"),IF(AP494&gt;0,AP494,IF(ISNUMBER(E494),E494,"")),IF(ISNUMBER(E494),E494,""))))</f>
        <v/>
      </c>
      <c r="AR494" s="96">
        <f>IF(NOT(ISNUMBER(U494)),0,IF(T494="RECEBIMENTO NÃO CONFIRMADO",IF(AND(ISNUMBER(cfg_rec),U494&gt;cfg_rec),1,0),IF(OR(T494="CDF NÃO LOCALIZADO",T494="VÍNCULO INCOMPLETO",T494="CDF A CONFERIR"),IF(AND(ISNUMBER(cfg_cdf),U494&gt;cfg_cdf),1,0),0)))</f>
        <v>0</v>
      </c>
      <c r="AS494" s="96" t="str">
        <f>IF(T494="","",IF(AR494=1,"Alta",IFERROR(INDEX(cfg_pp,MATCH(T494,cfg_pt,0))&amp;"","Média")))</f>
        <v/>
      </c>
      <c r="AT494" s="96" t="str">
        <f>IF(T494="","",IFERROR(INDEX(cfg_pv,MATCH(T494,cfg_pt,0))&amp;"",""))</f>
        <v/>
      </c>
      <c r="AU494" s="96" t="str">
        <f>IF(T494="","",IF(AS494="Alta",1,IF(AS494="Média",2,3))*1000000000+(999999-IF(ISNUMBER(U494),MIN(U494,999999),0))*1000+489)</f>
        <v/>
      </c>
      <c r="AV494" s="96">
        <f>IF(T494&lt;&gt;"",1,0)</f>
        <v>0</v>
      </c>
      <c r="AW494" s="96" t="str">
        <f>IF(Z494=0,"",IF(AA494=1,"Cancelamento informado; ","")&amp;IF(AE494=1,"Campos essenciais ou itens faltando; ","")&amp;IF(AC494=1,"Possível duplicidade do número; ","")&amp;IF(AD494=1,"Cadastro ou datas a revisar; ","")&amp;IF(AF494&gt;0,"Item de resíduo com dado a revisar; ","")&amp;IF(AH494&gt;0,"Diferença de quantidade a analisar; ","")&amp;IF(AK494&gt;0,"Recebimento com alerta; ","")&amp;IF(AL494&gt;0,"Vínculo de CDF com alerta; ","")&amp;IF(AND(AA494=0,AN494=0),"Recebimento não confirmado; ","")&amp;IF(AND(AA494=0,AN494=1,AO494=0),"CDF pendente ou a conferir; ",""))</f>
        <v/>
      </c>
      <c r="AX494" s="96">
        <f>IF(Z494=0,0,IF(AND(OR(f_ini="",AND(ISNUMBER(E494),E494&gt;=f_ini)),OR(f_fim="",AND(ISNUMBER(E494),E494&lt;=f_fim)),OR(f_un="",f_un="(Todas)",G494=f_un),OR(f_tr="",f_tr="(Todos)",H494=f_tr),OR(f_de="",f_de="(Todos)",I494=f_de),OR(f_sit="",f_sit="(Todas)",S494=f_sit)),1,0))</f>
        <v>0</v>
      </c>
      <c r="AY494" s="96">
        <f>IF(AX494=0,0,IF(OR(f_res="",f_res="(Todos)"),1,IF(COUNTIFS('ITENS_MTR'!$S$6:$S$1005,A494,'ITENS_MTR'!$C$6:$C$1005,f_res)&gt;0,1,0)))</f>
        <v>0</v>
      </c>
      <c r="AZ494" s="97" t="str">
        <f>IF(ISNUMBER(E494),DATE(YEAR(E494),MONTH(E494),1),"")</f>
        <v/>
      </c>
      <c r="BA494" s="96">
        <f>IF(Z494=0,0,IF(AND(OR(r_ini="",AND(ISNUMBER(E494),E494&gt;=r_ini)),OR(r_fim="",AND(ISNUMBER(E494),E494&lt;=r_fim)),OR(r_un="",r_un="(Todas)",G494=r_un),OR(r_de="",r_de="(Todos)",I494=r_de)),1,0))</f>
        <v>0</v>
      </c>
      <c r="BB494" s="96" t="str">
        <f>IF(BA494=1,COUNTIF($BA$6:BA494,1),"")</f>
        <v/>
      </c>
      <c r="BC494" s="96" t="str">
        <f>IF(AND(AU494&lt;&gt;"",OR(r_un="",r_un="(Todas)",G494=r_un),OR(r_de="",r_de="(Todos)",I494=r_de)),AU494,"")</f>
        <v/>
      </c>
      <c r="BD494" s="96" t="str">
        <f>IF(Z494=1,A494&amp;" | nº "&amp;IF(B494="","(sem número)",B494)&amp;" | "&amp;IF(G494="","(sem unidade)",G494),"")</f>
        <v/>
      </c>
      <c r="BE494" s="96" t="str">
        <f>IF(Z494=1,COUNTIF($Z$6:Z494,1),"")</f>
        <v/>
      </c>
      <c r="BF494" s="96" t="str">
        <f>IF(T494="","",IF(T494="RECEBIMENTO NÃO CONFIRMADO","Transp.: "&amp;H494&amp;" | Dest.: "&amp;I494,IF(OR(T494="CDF NÃO LOCALIZADO",T494="VÍNCULO INCOMPLETO",T494="CDF A CONFERIR"),"Dest.: "&amp;I494,"Gerador: "&amp;G494)))</f>
        <v/>
      </c>
    </row>
    <row r="495">
      <c r="A495" s="89" t="inlineStr">
        <is>
          <t>MTR-000490</t>
        </is>
      </c>
      <c r="B495" s="90" t="n"/>
      <c r="C495" s="91" t="n"/>
      <c r="D495" s="91" t="n"/>
      <c r="E495" s="92" t="n"/>
      <c r="F495" s="92" t="n"/>
      <c r="G495" s="91" t="n"/>
      <c r="H495" s="91" t="n"/>
      <c r="I495" s="91" t="n"/>
      <c r="J495" s="91" t="n"/>
      <c r="K495" s="91" t="n"/>
      <c r="L495" s="92" t="n"/>
      <c r="M495" s="91" t="n"/>
      <c r="N495" s="91" t="n"/>
      <c r="O495" s="91" t="n"/>
      <c r="P495" s="93" t="str">
        <f>IF(Z495=0,"",SUMIFS('ITENS_MTR'!$I$6:$I$1005,'ITENS_MTR'!$S$6:$S$1005,A495,'ITENS_MTR'!$Y$6:$Y$1005,1))</f>
        <v/>
      </c>
      <c r="Q495" s="93" t="str">
        <f>IF(Z495=0,"",SUMIFS('RECEBIMENTOS'!$H$6:$H$1005,'RECEBIMENTOS'!$B$6:$B$1005,A495,'RECEBIMENTOS'!$X$6:$X$1005,1))</f>
        <v/>
      </c>
      <c r="R495" s="93" t="str">
        <f>IF(Z495=0,"",SUMIFS('VÍNCULOS_CDF'!$H$6:$H$1005,'VÍNCULOS_CDF'!$D$6:$D$1005,A495,'VÍNCULOS_CDF'!$V$6:$V$1005,1))</f>
        <v/>
      </c>
      <c r="S495" s="94" t="str">
        <f>IF(Z495=0,"",IF(AA495=1,"Cancelado (informado)",IF(AE495=1,"Cadastro incompleto",IF(OR(AC495=1,AD495=1,AF495&gt;0,AH495&gt;0,AK495&gt;0,AL495&gt;0),"Informação a revisar",IF(AN495=0,"Aguardando recebimento",IF(N(R495)=0,"Aguardando CDF",IF(AJ495&lt;N(W495),"Vínculo de CDF parcial",IF(AO495=0,"CDF localizado, a conferir","Documentação conferida"))))))))</f>
        <v/>
      </c>
      <c r="T495" s="94" t="str">
        <f>IF(Z495=0,"",IF(S495="Cadastro incompleto","MTR INCOMPLETO",IF(S495="Informação a revisar",IF(AND(AH495&gt;0,AC495=0,AD495=0,AF495=0,AK495=0,AL495=0),"QUANTIDADE A REVISAR","IDENTIFICAÇÃO A REVISAR"),IF(S495="Aguardando recebimento","RECEBIMENTO NÃO CONFIRMADO",IF(S495="Aguardando CDF","CDF NÃO LOCALIZADO",IF(S495="Vínculo de CDF parcial","VÍNCULO INCOMPLETO",IF(S495="CDF localizado, a conferir","CDF A CONFERIR","")))))))</f>
        <v/>
      </c>
      <c r="U495" s="95" t="str">
        <f>IF(T495="","",IF(AQ495="","Não calculável",IF(AQ495&gt;TODAY(),"Data futura",TODAY()-AQ495)))</f>
        <v/>
      </c>
      <c r="V495" s="93" t="str">
        <f>IF(Z495=0,"",SUMIFS('RECEBIMENTOS'!$H$6:$H$1005,'RECEBIMENTOS'!$B$6:$B$1005,A495,'RECEBIMENTOS'!$Z$6:$Z$1005,1))</f>
        <v/>
      </c>
      <c r="W495" s="95" t="str">
        <f>IF(Z495=0,"",COUNTIFS('ITENS_MTR'!$S$6:$S$1005,A495,'ITENS_MTR'!$R$6:$R$1005,1))</f>
        <v/>
      </c>
      <c r="X495" s="94" t="str">
        <f>IF(AC495=1,"POSSÍVEL DUPLICIDADE","")</f>
        <v/>
      </c>
      <c r="Y495" s="94" t="str">
        <f>IF(Z495=0,"",IF(AW495="","Nenhuma",LEFT(AW495,LEN(AW495)-2)))</f>
        <v/>
      </c>
      <c r="Z495" s="96">
        <f>IF(COUNTA(B495:O495)&gt;0,1,0)</f>
        <v>0</v>
      </c>
      <c r="AA495" s="96">
        <f>IF(AND(Z495=1,K495&lt;&gt;""),IF(TRIM(K495)=TRIM(cfg_cancel),1,0),0)</f>
        <v>0</v>
      </c>
      <c r="AB495" s="96" t="str">
        <f>IF(AND(Z495=1,B495&lt;&gt;""),C495&amp;"|"&amp;D495&amp;"|"&amp;G495&amp;"|"&amp;TRIM(B495),"")</f>
        <v/>
      </c>
      <c r="AC495" s="96">
        <f>IF(AB495="",0,IF(SUMPRODUCT(--($AB$6:$AB$505=AB495))&gt;1,1,0))</f>
        <v>0</v>
      </c>
      <c r="AD495" s="96">
        <f>IF(Z495=0,0,IF(OR(AND(G495&lt;&gt;"",ISNA(MATCH(G495,'CAD_UNIDADES'!$C$6:$C$105,0))),AND(H495&lt;&gt;"",ISNA(MATCH(H495,cmp_transp,0))),AND(I495&lt;&gt;"",ISNA(MATCH(I495,cmp_dest,0))),AND(E495&lt;&gt;"",NOT(ISNUMBER(E495))),AND(F495&lt;&gt;"",NOT(ISNUMBER(F495))),AND(ISNUMBER(E495),ISNUMBER(F495),F495&lt;E495)),1,0))</f>
        <v>0</v>
      </c>
      <c r="AE495" s="96">
        <f>IF(Z495=0,0,IF(OR(B495="",C495="",E495="",G495="",H495="",I495="",N(W495)=0),1,0))</f>
        <v>0</v>
      </c>
      <c r="AF495" s="96">
        <f>IF(Z495=0,0,COUNTIFS('ITENS_MTR'!$S$6:$S$1005,A495,'ITENS_MTR'!$AI$6:$AI$1005,1))</f>
        <v>0</v>
      </c>
      <c r="AG495" s="96">
        <f>IF(Z495=0,0,COUNTIFS('ITENS_MTR'!$S$6:$S$1005,A495,'ITENS_MTR'!$AJ$6:$AJ$1005,1))</f>
        <v>0</v>
      </c>
      <c r="AH495" s="96">
        <f>IF(Z495=0,0,COUNTIFS('ITENS_MTR'!$S$6:$S$1005,A495,'ITENS_MTR'!$AM$6:$AM$1005,1))</f>
        <v>0</v>
      </c>
      <c r="AI495" s="96">
        <f>IF(Z495=0,0,COUNTIFS('ITENS_MTR'!$S$6:$S$1005,A495,'ITENS_MTR'!$AO$6:$AO$1005,1))</f>
        <v>0</v>
      </c>
      <c r="AJ495" s="96">
        <f>IF(Z495=0,0,COUNTIFS('ITENS_MTR'!$S$6:$S$1005,A495,'ITENS_MTR'!$AN$6:$AN$1005,1))</f>
        <v>0</v>
      </c>
      <c r="AK495" s="96">
        <f>IF(Z495=0,0,COUNTIFS('RECEBIMENTOS'!$B$6:$B$1005,A495,'RECEBIMENTOS'!$Y$6:$Y$1005,1))</f>
        <v>0</v>
      </c>
      <c r="AL495" s="96">
        <f>IF(Z495=0,0,COUNTIFS('VÍNCULOS_CDF'!$D$6:$D$1005,A495,'VÍNCULOS_CDF'!$Y$6:$Y$1005,1))</f>
        <v>0</v>
      </c>
      <c r="AM495" s="96">
        <f>IF(Z495=0,0,COUNTIFS('RECEBIMENTOS'!$B$6:$B$1005,A495,'RECEBIMENTOS'!$Q$6:$Q$1005,1))</f>
        <v>0</v>
      </c>
      <c r="AN495" s="96">
        <f>IF(AND(Z495=1,N(W495)&gt;0,AG495=N(W495)),1,0)</f>
        <v>0</v>
      </c>
      <c r="AO495" s="96">
        <f>IF(AND(Z495=1,N(W495)&gt;0,AI495=N(W495)),1,0)</f>
        <v>0</v>
      </c>
      <c r="AP495" s="97">
        <f>IF(Z495=0,0,_xlfn.MAXIFS('RECEBIMENTOS'!$E$6:$E$1005,'RECEBIMENTOS'!$B$6:$B$1005,A495))</f>
        <v>0</v>
      </c>
      <c r="AQ495" s="97" t="str">
        <f>IF(T495="","",IF(T495="RECEBIMENTO NÃO CONFIRMADO",IF(ISNUMBER(F495),F495,IF(ISNUMBER(E495),E495,"")),IF(OR(T495="CDF NÃO LOCALIZADO",T495="VÍNCULO INCOMPLETO",T495="CDF A CONFERIR"),IF(AP495&gt;0,AP495,IF(ISNUMBER(E495),E495,"")),IF(ISNUMBER(E495),E495,""))))</f>
        <v/>
      </c>
      <c r="AR495" s="96">
        <f>IF(NOT(ISNUMBER(U495)),0,IF(T495="RECEBIMENTO NÃO CONFIRMADO",IF(AND(ISNUMBER(cfg_rec),U495&gt;cfg_rec),1,0),IF(OR(T495="CDF NÃO LOCALIZADO",T495="VÍNCULO INCOMPLETO",T495="CDF A CONFERIR"),IF(AND(ISNUMBER(cfg_cdf),U495&gt;cfg_cdf),1,0),0)))</f>
        <v>0</v>
      </c>
      <c r="AS495" s="96" t="str">
        <f>IF(T495="","",IF(AR495=1,"Alta",IFERROR(INDEX(cfg_pp,MATCH(T495,cfg_pt,0))&amp;"","Média")))</f>
        <v/>
      </c>
      <c r="AT495" s="96" t="str">
        <f>IF(T495="","",IFERROR(INDEX(cfg_pv,MATCH(T495,cfg_pt,0))&amp;"",""))</f>
        <v/>
      </c>
      <c r="AU495" s="96" t="str">
        <f>IF(T495="","",IF(AS495="Alta",1,IF(AS495="Média",2,3))*1000000000+(999999-IF(ISNUMBER(U495),MIN(U495,999999),0))*1000+490)</f>
        <v/>
      </c>
      <c r="AV495" s="96">
        <f>IF(T495&lt;&gt;"",1,0)</f>
        <v>0</v>
      </c>
      <c r="AW495" s="96" t="str">
        <f>IF(Z495=0,"",IF(AA495=1,"Cancelamento informado; ","")&amp;IF(AE495=1,"Campos essenciais ou itens faltando; ","")&amp;IF(AC495=1,"Possível duplicidade do número; ","")&amp;IF(AD495=1,"Cadastro ou datas a revisar; ","")&amp;IF(AF495&gt;0,"Item de resíduo com dado a revisar; ","")&amp;IF(AH495&gt;0,"Diferença de quantidade a analisar; ","")&amp;IF(AK495&gt;0,"Recebimento com alerta; ","")&amp;IF(AL495&gt;0,"Vínculo de CDF com alerta; ","")&amp;IF(AND(AA495=0,AN495=0),"Recebimento não confirmado; ","")&amp;IF(AND(AA495=0,AN495=1,AO495=0),"CDF pendente ou a conferir; ",""))</f>
        <v/>
      </c>
      <c r="AX495" s="96">
        <f>IF(Z495=0,0,IF(AND(OR(f_ini="",AND(ISNUMBER(E495),E495&gt;=f_ini)),OR(f_fim="",AND(ISNUMBER(E495),E495&lt;=f_fim)),OR(f_un="",f_un="(Todas)",G495=f_un),OR(f_tr="",f_tr="(Todos)",H495=f_tr),OR(f_de="",f_de="(Todos)",I495=f_de),OR(f_sit="",f_sit="(Todas)",S495=f_sit)),1,0))</f>
        <v>0</v>
      </c>
      <c r="AY495" s="96">
        <f>IF(AX495=0,0,IF(OR(f_res="",f_res="(Todos)"),1,IF(COUNTIFS('ITENS_MTR'!$S$6:$S$1005,A495,'ITENS_MTR'!$C$6:$C$1005,f_res)&gt;0,1,0)))</f>
        <v>0</v>
      </c>
      <c r="AZ495" s="97" t="str">
        <f>IF(ISNUMBER(E495),DATE(YEAR(E495),MONTH(E495),1),"")</f>
        <v/>
      </c>
      <c r="BA495" s="96">
        <f>IF(Z495=0,0,IF(AND(OR(r_ini="",AND(ISNUMBER(E495),E495&gt;=r_ini)),OR(r_fim="",AND(ISNUMBER(E495),E495&lt;=r_fim)),OR(r_un="",r_un="(Todas)",G495=r_un),OR(r_de="",r_de="(Todos)",I495=r_de)),1,0))</f>
        <v>0</v>
      </c>
      <c r="BB495" s="96" t="str">
        <f>IF(BA495=1,COUNTIF($BA$6:BA495,1),"")</f>
        <v/>
      </c>
      <c r="BC495" s="96" t="str">
        <f>IF(AND(AU495&lt;&gt;"",OR(r_un="",r_un="(Todas)",G495=r_un),OR(r_de="",r_de="(Todos)",I495=r_de)),AU495,"")</f>
        <v/>
      </c>
      <c r="BD495" s="96" t="str">
        <f>IF(Z495=1,A495&amp;" | nº "&amp;IF(B495="","(sem número)",B495)&amp;" | "&amp;IF(G495="","(sem unidade)",G495),"")</f>
        <v/>
      </c>
      <c r="BE495" s="96" t="str">
        <f>IF(Z495=1,COUNTIF($Z$6:Z495,1),"")</f>
        <v/>
      </c>
      <c r="BF495" s="96" t="str">
        <f>IF(T495="","",IF(T495="RECEBIMENTO NÃO CONFIRMADO","Transp.: "&amp;H495&amp;" | Dest.: "&amp;I495,IF(OR(T495="CDF NÃO LOCALIZADO",T495="VÍNCULO INCOMPLETO",T495="CDF A CONFERIR"),"Dest.: "&amp;I495,"Gerador: "&amp;G495)))</f>
        <v/>
      </c>
    </row>
    <row r="496">
      <c r="A496" s="89" t="inlineStr">
        <is>
          <t>MTR-000491</t>
        </is>
      </c>
      <c r="B496" s="90" t="n"/>
      <c r="C496" s="91" t="n"/>
      <c r="D496" s="91" t="n"/>
      <c r="E496" s="92" t="n"/>
      <c r="F496" s="92" t="n"/>
      <c r="G496" s="91" t="n"/>
      <c r="H496" s="91" t="n"/>
      <c r="I496" s="91" t="n"/>
      <c r="J496" s="91" t="n"/>
      <c r="K496" s="91" t="n"/>
      <c r="L496" s="92" t="n"/>
      <c r="M496" s="91" t="n"/>
      <c r="N496" s="91" t="n"/>
      <c r="O496" s="91" t="n"/>
      <c r="P496" s="93" t="str">
        <f>IF(Z496=0,"",SUMIFS('ITENS_MTR'!$I$6:$I$1005,'ITENS_MTR'!$S$6:$S$1005,A496,'ITENS_MTR'!$Y$6:$Y$1005,1))</f>
        <v/>
      </c>
      <c r="Q496" s="93" t="str">
        <f>IF(Z496=0,"",SUMIFS('RECEBIMENTOS'!$H$6:$H$1005,'RECEBIMENTOS'!$B$6:$B$1005,A496,'RECEBIMENTOS'!$X$6:$X$1005,1))</f>
        <v/>
      </c>
      <c r="R496" s="93" t="str">
        <f>IF(Z496=0,"",SUMIFS('VÍNCULOS_CDF'!$H$6:$H$1005,'VÍNCULOS_CDF'!$D$6:$D$1005,A496,'VÍNCULOS_CDF'!$V$6:$V$1005,1))</f>
        <v/>
      </c>
      <c r="S496" s="94" t="str">
        <f>IF(Z496=0,"",IF(AA496=1,"Cancelado (informado)",IF(AE496=1,"Cadastro incompleto",IF(OR(AC496=1,AD496=1,AF496&gt;0,AH496&gt;0,AK496&gt;0,AL496&gt;0),"Informação a revisar",IF(AN496=0,"Aguardando recebimento",IF(N(R496)=0,"Aguardando CDF",IF(AJ496&lt;N(W496),"Vínculo de CDF parcial",IF(AO496=0,"CDF localizado, a conferir","Documentação conferida"))))))))</f>
        <v/>
      </c>
      <c r="T496" s="94" t="str">
        <f>IF(Z496=0,"",IF(S496="Cadastro incompleto","MTR INCOMPLETO",IF(S496="Informação a revisar",IF(AND(AH496&gt;0,AC496=0,AD496=0,AF496=0,AK496=0,AL496=0),"QUANTIDADE A REVISAR","IDENTIFICAÇÃO A REVISAR"),IF(S496="Aguardando recebimento","RECEBIMENTO NÃO CONFIRMADO",IF(S496="Aguardando CDF","CDF NÃO LOCALIZADO",IF(S496="Vínculo de CDF parcial","VÍNCULO INCOMPLETO",IF(S496="CDF localizado, a conferir","CDF A CONFERIR","")))))))</f>
        <v/>
      </c>
      <c r="U496" s="95" t="str">
        <f>IF(T496="","",IF(AQ496="","Não calculável",IF(AQ496&gt;TODAY(),"Data futura",TODAY()-AQ496)))</f>
        <v/>
      </c>
      <c r="V496" s="93" t="str">
        <f>IF(Z496=0,"",SUMIFS('RECEBIMENTOS'!$H$6:$H$1005,'RECEBIMENTOS'!$B$6:$B$1005,A496,'RECEBIMENTOS'!$Z$6:$Z$1005,1))</f>
        <v/>
      </c>
      <c r="W496" s="95" t="str">
        <f>IF(Z496=0,"",COUNTIFS('ITENS_MTR'!$S$6:$S$1005,A496,'ITENS_MTR'!$R$6:$R$1005,1))</f>
        <v/>
      </c>
      <c r="X496" s="94" t="str">
        <f>IF(AC496=1,"POSSÍVEL DUPLICIDADE","")</f>
        <v/>
      </c>
      <c r="Y496" s="94" t="str">
        <f>IF(Z496=0,"",IF(AW496="","Nenhuma",LEFT(AW496,LEN(AW496)-2)))</f>
        <v/>
      </c>
      <c r="Z496" s="96">
        <f>IF(COUNTA(B496:O496)&gt;0,1,0)</f>
        <v>0</v>
      </c>
      <c r="AA496" s="96">
        <f>IF(AND(Z496=1,K496&lt;&gt;""),IF(TRIM(K496)=TRIM(cfg_cancel),1,0),0)</f>
        <v>0</v>
      </c>
      <c r="AB496" s="96" t="str">
        <f>IF(AND(Z496=1,B496&lt;&gt;""),C496&amp;"|"&amp;D496&amp;"|"&amp;G496&amp;"|"&amp;TRIM(B496),"")</f>
        <v/>
      </c>
      <c r="AC496" s="96">
        <f>IF(AB496="",0,IF(SUMPRODUCT(--($AB$6:$AB$505=AB496))&gt;1,1,0))</f>
        <v>0</v>
      </c>
      <c r="AD496" s="96">
        <f>IF(Z496=0,0,IF(OR(AND(G496&lt;&gt;"",ISNA(MATCH(G496,'CAD_UNIDADES'!$C$6:$C$105,0))),AND(H496&lt;&gt;"",ISNA(MATCH(H496,cmp_transp,0))),AND(I496&lt;&gt;"",ISNA(MATCH(I496,cmp_dest,0))),AND(E496&lt;&gt;"",NOT(ISNUMBER(E496))),AND(F496&lt;&gt;"",NOT(ISNUMBER(F496))),AND(ISNUMBER(E496),ISNUMBER(F496),F496&lt;E496)),1,0))</f>
        <v>0</v>
      </c>
      <c r="AE496" s="96">
        <f>IF(Z496=0,0,IF(OR(B496="",C496="",E496="",G496="",H496="",I496="",N(W496)=0),1,0))</f>
        <v>0</v>
      </c>
      <c r="AF496" s="96">
        <f>IF(Z496=0,0,COUNTIFS('ITENS_MTR'!$S$6:$S$1005,A496,'ITENS_MTR'!$AI$6:$AI$1005,1))</f>
        <v>0</v>
      </c>
      <c r="AG496" s="96">
        <f>IF(Z496=0,0,COUNTIFS('ITENS_MTR'!$S$6:$S$1005,A496,'ITENS_MTR'!$AJ$6:$AJ$1005,1))</f>
        <v>0</v>
      </c>
      <c r="AH496" s="96">
        <f>IF(Z496=0,0,COUNTIFS('ITENS_MTR'!$S$6:$S$1005,A496,'ITENS_MTR'!$AM$6:$AM$1005,1))</f>
        <v>0</v>
      </c>
      <c r="AI496" s="96">
        <f>IF(Z496=0,0,COUNTIFS('ITENS_MTR'!$S$6:$S$1005,A496,'ITENS_MTR'!$AO$6:$AO$1005,1))</f>
        <v>0</v>
      </c>
      <c r="AJ496" s="96">
        <f>IF(Z496=0,0,COUNTIFS('ITENS_MTR'!$S$6:$S$1005,A496,'ITENS_MTR'!$AN$6:$AN$1005,1))</f>
        <v>0</v>
      </c>
      <c r="AK496" s="96">
        <f>IF(Z496=0,0,COUNTIFS('RECEBIMENTOS'!$B$6:$B$1005,A496,'RECEBIMENTOS'!$Y$6:$Y$1005,1))</f>
        <v>0</v>
      </c>
      <c r="AL496" s="96">
        <f>IF(Z496=0,0,COUNTIFS('VÍNCULOS_CDF'!$D$6:$D$1005,A496,'VÍNCULOS_CDF'!$Y$6:$Y$1005,1))</f>
        <v>0</v>
      </c>
      <c r="AM496" s="96">
        <f>IF(Z496=0,0,COUNTIFS('RECEBIMENTOS'!$B$6:$B$1005,A496,'RECEBIMENTOS'!$Q$6:$Q$1005,1))</f>
        <v>0</v>
      </c>
      <c r="AN496" s="96">
        <f>IF(AND(Z496=1,N(W496)&gt;0,AG496=N(W496)),1,0)</f>
        <v>0</v>
      </c>
      <c r="AO496" s="96">
        <f>IF(AND(Z496=1,N(W496)&gt;0,AI496=N(W496)),1,0)</f>
        <v>0</v>
      </c>
      <c r="AP496" s="97">
        <f>IF(Z496=0,0,_xlfn.MAXIFS('RECEBIMENTOS'!$E$6:$E$1005,'RECEBIMENTOS'!$B$6:$B$1005,A496))</f>
        <v>0</v>
      </c>
      <c r="AQ496" s="97" t="str">
        <f>IF(T496="","",IF(T496="RECEBIMENTO NÃO CONFIRMADO",IF(ISNUMBER(F496),F496,IF(ISNUMBER(E496),E496,"")),IF(OR(T496="CDF NÃO LOCALIZADO",T496="VÍNCULO INCOMPLETO",T496="CDF A CONFERIR"),IF(AP496&gt;0,AP496,IF(ISNUMBER(E496),E496,"")),IF(ISNUMBER(E496),E496,""))))</f>
        <v/>
      </c>
      <c r="AR496" s="96">
        <f>IF(NOT(ISNUMBER(U496)),0,IF(T496="RECEBIMENTO NÃO CONFIRMADO",IF(AND(ISNUMBER(cfg_rec),U496&gt;cfg_rec),1,0),IF(OR(T496="CDF NÃO LOCALIZADO",T496="VÍNCULO INCOMPLETO",T496="CDF A CONFERIR"),IF(AND(ISNUMBER(cfg_cdf),U496&gt;cfg_cdf),1,0),0)))</f>
        <v>0</v>
      </c>
      <c r="AS496" s="96" t="str">
        <f>IF(T496="","",IF(AR496=1,"Alta",IFERROR(INDEX(cfg_pp,MATCH(T496,cfg_pt,0))&amp;"","Média")))</f>
        <v/>
      </c>
      <c r="AT496" s="96" t="str">
        <f>IF(T496="","",IFERROR(INDEX(cfg_pv,MATCH(T496,cfg_pt,0))&amp;"",""))</f>
        <v/>
      </c>
      <c r="AU496" s="96" t="str">
        <f>IF(T496="","",IF(AS496="Alta",1,IF(AS496="Média",2,3))*1000000000+(999999-IF(ISNUMBER(U496),MIN(U496,999999),0))*1000+491)</f>
        <v/>
      </c>
      <c r="AV496" s="96">
        <f>IF(T496&lt;&gt;"",1,0)</f>
        <v>0</v>
      </c>
      <c r="AW496" s="96" t="str">
        <f>IF(Z496=0,"",IF(AA496=1,"Cancelamento informado; ","")&amp;IF(AE496=1,"Campos essenciais ou itens faltando; ","")&amp;IF(AC496=1,"Possível duplicidade do número; ","")&amp;IF(AD496=1,"Cadastro ou datas a revisar; ","")&amp;IF(AF496&gt;0,"Item de resíduo com dado a revisar; ","")&amp;IF(AH496&gt;0,"Diferença de quantidade a analisar; ","")&amp;IF(AK496&gt;0,"Recebimento com alerta; ","")&amp;IF(AL496&gt;0,"Vínculo de CDF com alerta; ","")&amp;IF(AND(AA496=0,AN496=0),"Recebimento não confirmado; ","")&amp;IF(AND(AA496=0,AN496=1,AO496=0),"CDF pendente ou a conferir; ",""))</f>
        <v/>
      </c>
      <c r="AX496" s="96">
        <f>IF(Z496=0,0,IF(AND(OR(f_ini="",AND(ISNUMBER(E496),E496&gt;=f_ini)),OR(f_fim="",AND(ISNUMBER(E496),E496&lt;=f_fim)),OR(f_un="",f_un="(Todas)",G496=f_un),OR(f_tr="",f_tr="(Todos)",H496=f_tr),OR(f_de="",f_de="(Todos)",I496=f_de),OR(f_sit="",f_sit="(Todas)",S496=f_sit)),1,0))</f>
        <v>0</v>
      </c>
      <c r="AY496" s="96">
        <f>IF(AX496=0,0,IF(OR(f_res="",f_res="(Todos)"),1,IF(COUNTIFS('ITENS_MTR'!$S$6:$S$1005,A496,'ITENS_MTR'!$C$6:$C$1005,f_res)&gt;0,1,0)))</f>
        <v>0</v>
      </c>
      <c r="AZ496" s="97" t="str">
        <f>IF(ISNUMBER(E496),DATE(YEAR(E496),MONTH(E496),1),"")</f>
        <v/>
      </c>
      <c r="BA496" s="96">
        <f>IF(Z496=0,0,IF(AND(OR(r_ini="",AND(ISNUMBER(E496),E496&gt;=r_ini)),OR(r_fim="",AND(ISNUMBER(E496),E496&lt;=r_fim)),OR(r_un="",r_un="(Todas)",G496=r_un),OR(r_de="",r_de="(Todos)",I496=r_de)),1,0))</f>
        <v>0</v>
      </c>
      <c r="BB496" s="96" t="str">
        <f>IF(BA496=1,COUNTIF($BA$6:BA496,1),"")</f>
        <v/>
      </c>
      <c r="BC496" s="96" t="str">
        <f>IF(AND(AU496&lt;&gt;"",OR(r_un="",r_un="(Todas)",G496=r_un),OR(r_de="",r_de="(Todos)",I496=r_de)),AU496,"")</f>
        <v/>
      </c>
      <c r="BD496" s="96" t="str">
        <f>IF(Z496=1,A496&amp;" | nº "&amp;IF(B496="","(sem número)",B496)&amp;" | "&amp;IF(G496="","(sem unidade)",G496),"")</f>
        <v/>
      </c>
      <c r="BE496" s="96" t="str">
        <f>IF(Z496=1,COUNTIF($Z$6:Z496,1),"")</f>
        <v/>
      </c>
      <c r="BF496" s="96" t="str">
        <f>IF(T496="","",IF(T496="RECEBIMENTO NÃO CONFIRMADO","Transp.: "&amp;H496&amp;" | Dest.: "&amp;I496,IF(OR(T496="CDF NÃO LOCALIZADO",T496="VÍNCULO INCOMPLETO",T496="CDF A CONFERIR"),"Dest.: "&amp;I496,"Gerador: "&amp;G496)))</f>
        <v/>
      </c>
    </row>
    <row r="497">
      <c r="A497" s="89" t="inlineStr">
        <is>
          <t>MTR-000492</t>
        </is>
      </c>
      <c r="B497" s="90" t="n"/>
      <c r="C497" s="91" t="n"/>
      <c r="D497" s="91" t="n"/>
      <c r="E497" s="92" t="n"/>
      <c r="F497" s="92" t="n"/>
      <c r="G497" s="91" t="n"/>
      <c r="H497" s="91" t="n"/>
      <c r="I497" s="91" t="n"/>
      <c r="J497" s="91" t="n"/>
      <c r="K497" s="91" t="n"/>
      <c r="L497" s="92" t="n"/>
      <c r="M497" s="91" t="n"/>
      <c r="N497" s="91" t="n"/>
      <c r="O497" s="91" t="n"/>
      <c r="P497" s="93" t="str">
        <f>IF(Z497=0,"",SUMIFS('ITENS_MTR'!$I$6:$I$1005,'ITENS_MTR'!$S$6:$S$1005,A497,'ITENS_MTR'!$Y$6:$Y$1005,1))</f>
        <v/>
      </c>
      <c r="Q497" s="93" t="str">
        <f>IF(Z497=0,"",SUMIFS('RECEBIMENTOS'!$H$6:$H$1005,'RECEBIMENTOS'!$B$6:$B$1005,A497,'RECEBIMENTOS'!$X$6:$X$1005,1))</f>
        <v/>
      </c>
      <c r="R497" s="93" t="str">
        <f>IF(Z497=0,"",SUMIFS('VÍNCULOS_CDF'!$H$6:$H$1005,'VÍNCULOS_CDF'!$D$6:$D$1005,A497,'VÍNCULOS_CDF'!$V$6:$V$1005,1))</f>
        <v/>
      </c>
      <c r="S497" s="94" t="str">
        <f>IF(Z497=0,"",IF(AA497=1,"Cancelado (informado)",IF(AE497=1,"Cadastro incompleto",IF(OR(AC497=1,AD497=1,AF497&gt;0,AH497&gt;0,AK497&gt;0,AL497&gt;0),"Informação a revisar",IF(AN497=0,"Aguardando recebimento",IF(N(R497)=0,"Aguardando CDF",IF(AJ497&lt;N(W497),"Vínculo de CDF parcial",IF(AO497=0,"CDF localizado, a conferir","Documentação conferida"))))))))</f>
        <v/>
      </c>
      <c r="T497" s="94" t="str">
        <f>IF(Z497=0,"",IF(S497="Cadastro incompleto","MTR INCOMPLETO",IF(S497="Informação a revisar",IF(AND(AH497&gt;0,AC497=0,AD497=0,AF497=0,AK497=0,AL497=0),"QUANTIDADE A REVISAR","IDENTIFICAÇÃO A REVISAR"),IF(S497="Aguardando recebimento","RECEBIMENTO NÃO CONFIRMADO",IF(S497="Aguardando CDF","CDF NÃO LOCALIZADO",IF(S497="Vínculo de CDF parcial","VÍNCULO INCOMPLETO",IF(S497="CDF localizado, a conferir","CDF A CONFERIR","")))))))</f>
        <v/>
      </c>
      <c r="U497" s="95" t="str">
        <f>IF(T497="","",IF(AQ497="","Não calculável",IF(AQ497&gt;TODAY(),"Data futura",TODAY()-AQ497)))</f>
        <v/>
      </c>
      <c r="V497" s="93" t="str">
        <f>IF(Z497=0,"",SUMIFS('RECEBIMENTOS'!$H$6:$H$1005,'RECEBIMENTOS'!$B$6:$B$1005,A497,'RECEBIMENTOS'!$Z$6:$Z$1005,1))</f>
        <v/>
      </c>
      <c r="W497" s="95" t="str">
        <f>IF(Z497=0,"",COUNTIFS('ITENS_MTR'!$S$6:$S$1005,A497,'ITENS_MTR'!$R$6:$R$1005,1))</f>
        <v/>
      </c>
      <c r="X497" s="94" t="str">
        <f>IF(AC497=1,"POSSÍVEL DUPLICIDADE","")</f>
        <v/>
      </c>
      <c r="Y497" s="94" t="str">
        <f>IF(Z497=0,"",IF(AW497="","Nenhuma",LEFT(AW497,LEN(AW497)-2)))</f>
        <v/>
      </c>
      <c r="Z497" s="96">
        <f>IF(COUNTA(B497:O497)&gt;0,1,0)</f>
        <v>0</v>
      </c>
      <c r="AA497" s="96">
        <f>IF(AND(Z497=1,K497&lt;&gt;""),IF(TRIM(K497)=TRIM(cfg_cancel),1,0),0)</f>
        <v>0</v>
      </c>
      <c r="AB497" s="96" t="str">
        <f>IF(AND(Z497=1,B497&lt;&gt;""),C497&amp;"|"&amp;D497&amp;"|"&amp;G497&amp;"|"&amp;TRIM(B497),"")</f>
        <v/>
      </c>
      <c r="AC497" s="96">
        <f>IF(AB497="",0,IF(SUMPRODUCT(--($AB$6:$AB$505=AB497))&gt;1,1,0))</f>
        <v>0</v>
      </c>
      <c r="AD497" s="96">
        <f>IF(Z497=0,0,IF(OR(AND(G497&lt;&gt;"",ISNA(MATCH(G497,'CAD_UNIDADES'!$C$6:$C$105,0))),AND(H497&lt;&gt;"",ISNA(MATCH(H497,cmp_transp,0))),AND(I497&lt;&gt;"",ISNA(MATCH(I497,cmp_dest,0))),AND(E497&lt;&gt;"",NOT(ISNUMBER(E497))),AND(F497&lt;&gt;"",NOT(ISNUMBER(F497))),AND(ISNUMBER(E497),ISNUMBER(F497),F497&lt;E497)),1,0))</f>
        <v>0</v>
      </c>
      <c r="AE497" s="96">
        <f>IF(Z497=0,0,IF(OR(B497="",C497="",E497="",G497="",H497="",I497="",N(W497)=0),1,0))</f>
        <v>0</v>
      </c>
      <c r="AF497" s="96">
        <f>IF(Z497=0,0,COUNTIFS('ITENS_MTR'!$S$6:$S$1005,A497,'ITENS_MTR'!$AI$6:$AI$1005,1))</f>
        <v>0</v>
      </c>
      <c r="AG497" s="96">
        <f>IF(Z497=0,0,COUNTIFS('ITENS_MTR'!$S$6:$S$1005,A497,'ITENS_MTR'!$AJ$6:$AJ$1005,1))</f>
        <v>0</v>
      </c>
      <c r="AH497" s="96">
        <f>IF(Z497=0,0,COUNTIFS('ITENS_MTR'!$S$6:$S$1005,A497,'ITENS_MTR'!$AM$6:$AM$1005,1))</f>
        <v>0</v>
      </c>
      <c r="AI497" s="96">
        <f>IF(Z497=0,0,COUNTIFS('ITENS_MTR'!$S$6:$S$1005,A497,'ITENS_MTR'!$AO$6:$AO$1005,1))</f>
        <v>0</v>
      </c>
      <c r="AJ497" s="96">
        <f>IF(Z497=0,0,COUNTIFS('ITENS_MTR'!$S$6:$S$1005,A497,'ITENS_MTR'!$AN$6:$AN$1005,1))</f>
        <v>0</v>
      </c>
      <c r="AK497" s="96">
        <f>IF(Z497=0,0,COUNTIFS('RECEBIMENTOS'!$B$6:$B$1005,A497,'RECEBIMENTOS'!$Y$6:$Y$1005,1))</f>
        <v>0</v>
      </c>
      <c r="AL497" s="96">
        <f>IF(Z497=0,0,COUNTIFS('VÍNCULOS_CDF'!$D$6:$D$1005,A497,'VÍNCULOS_CDF'!$Y$6:$Y$1005,1))</f>
        <v>0</v>
      </c>
      <c r="AM497" s="96">
        <f>IF(Z497=0,0,COUNTIFS('RECEBIMENTOS'!$B$6:$B$1005,A497,'RECEBIMENTOS'!$Q$6:$Q$1005,1))</f>
        <v>0</v>
      </c>
      <c r="AN497" s="96">
        <f>IF(AND(Z497=1,N(W497)&gt;0,AG497=N(W497)),1,0)</f>
        <v>0</v>
      </c>
      <c r="AO497" s="96">
        <f>IF(AND(Z497=1,N(W497)&gt;0,AI497=N(W497)),1,0)</f>
        <v>0</v>
      </c>
      <c r="AP497" s="97">
        <f>IF(Z497=0,0,_xlfn.MAXIFS('RECEBIMENTOS'!$E$6:$E$1005,'RECEBIMENTOS'!$B$6:$B$1005,A497))</f>
        <v>0</v>
      </c>
      <c r="AQ497" s="97" t="str">
        <f>IF(T497="","",IF(T497="RECEBIMENTO NÃO CONFIRMADO",IF(ISNUMBER(F497),F497,IF(ISNUMBER(E497),E497,"")),IF(OR(T497="CDF NÃO LOCALIZADO",T497="VÍNCULO INCOMPLETO",T497="CDF A CONFERIR"),IF(AP497&gt;0,AP497,IF(ISNUMBER(E497),E497,"")),IF(ISNUMBER(E497),E497,""))))</f>
        <v/>
      </c>
      <c r="AR497" s="96">
        <f>IF(NOT(ISNUMBER(U497)),0,IF(T497="RECEBIMENTO NÃO CONFIRMADO",IF(AND(ISNUMBER(cfg_rec),U497&gt;cfg_rec),1,0),IF(OR(T497="CDF NÃO LOCALIZADO",T497="VÍNCULO INCOMPLETO",T497="CDF A CONFERIR"),IF(AND(ISNUMBER(cfg_cdf),U497&gt;cfg_cdf),1,0),0)))</f>
        <v>0</v>
      </c>
      <c r="AS497" s="96" t="str">
        <f>IF(T497="","",IF(AR497=1,"Alta",IFERROR(INDEX(cfg_pp,MATCH(T497,cfg_pt,0))&amp;"","Média")))</f>
        <v/>
      </c>
      <c r="AT497" s="96" t="str">
        <f>IF(T497="","",IFERROR(INDEX(cfg_pv,MATCH(T497,cfg_pt,0))&amp;"",""))</f>
        <v/>
      </c>
      <c r="AU497" s="96" t="str">
        <f>IF(T497="","",IF(AS497="Alta",1,IF(AS497="Média",2,3))*1000000000+(999999-IF(ISNUMBER(U497),MIN(U497,999999),0))*1000+492)</f>
        <v/>
      </c>
      <c r="AV497" s="96">
        <f>IF(T497&lt;&gt;"",1,0)</f>
        <v>0</v>
      </c>
      <c r="AW497" s="96" t="str">
        <f>IF(Z497=0,"",IF(AA497=1,"Cancelamento informado; ","")&amp;IF(AE497=1,"Campos essenciais ou itens faltando; ","")&amp;IF(AC497=1,"Possível duplicidade do número; ","")&amp;IF(AD497=1,"Cadastro ou datas a revisar; ","")&amp;IF(AF497&gt;0,"Item de resíduo com dado a revisar; ","")&amp;IF(AH497&gt;0,"Diferença de quantidade a analisar; ","")&amp;IF(AK497&gt;0,"Recebimento com alerta; ","")&amp;IF(AL497&gt;0,"Vínculo de CDF com alerta; ","")&amp;IF(AND(AA497=0,AN497=0),"Recebimento não confirmado; ","")&amp;IF(AND(AA497=0,AN497=1,AO497=0),"CDF pendente ou a conferir; ",""))</f>
        <v/>
      </c>
      <c r="AX497" s="96">
        <f>IF(Z497=0,0,IF(AND(OR(f_ini="",AND(ISNUMBER(E497),E497&gt;=f_ini)),OR(f_fim="",AND(ISNUMBER(E497),E497&lt;=f_fim)),OR(f_un="",f_un="(Todas)",G497=f_un),OR(f_tr="",f_tr="(Todos)",H497=f_tr),OR(f_de="",f_de="(Todos)",I497=f_de),OR(f_sit="",f_sit="(Todas)",S497=f_sit)),1,0))</f>
        <v>0</v>
      </c>
      <c r="AY497" s="96">
        <f>IF(AX497=0,0,IF(OR(f_res="",f_res="(Todos)"),1,IF(COUNTIFS('ITENS_MTR'!$S$6:$S$1005,A497,'ITENS_MTR'!$C$6:$C$1005,f_res)&gt;0,1,0)))</f>
        <v>0</v>
      </c>
      <c r="AZ497" s="97" t="str">
        <f>IF(ISNUMBER(E497),DATE(YEAR(E497),MONTH(E497),1),"")</f>
        <v/>
      </c>
      <c r="BA497" s="96">
        <f>IF(Z497=0,0,IF(AND(OR(r_ini="",AND(ISNUMBER(E497),E497&gt;=r_ini)),OR(r_fim="",AND(ISNUMBER(E497),E497&lt;=r_fim)),OR(r_un="",r_un="(Todas)",G497=r_un),OR(r_de="",r_de="(Todos)",I497=r_de)),1,0))</f>
        <v>0</v>
      </c>
      <c r="BB497" s="96" t="str">
        <f>IF(BA497=1,COUNTIF($BA$6:BA497,1),"")</f>
        <v/>
      </c>
      <c r="BC497" s="96" t="str">
        <f>IF(AND(AU497&lt;&gt;"",OR(r_un="",r_un="(Todas)",G497=r_un),OR(r_de="",r_de="(Todos)",I497=r_de)),AU497,"")</f>
        <v/>
      </c>
      <c r="BD497" s="96" t="str">
        <f>IF(Z497=1,A497&amp;" | nº "&amp;IF(B497="","(sem número)",B497)&amp;" | "&amp;IF(G497="","(sem unidade)",G497),"")</f>
        <v/>
      </c>
      <c r="BE497" s="96" t="str">
        <f>IF(Z497=1,COUNTIF($Z$6:Z497,1),"")</f>
        <v/>
      </c>
      <c r="BF497" s="96" t="str">
        <f>IF(T497="","",IF(T497="RECEBIMENTO NÃO CONFIRMADO","Transp.: "&amp;H497&amp;" | Dest.: "&amp;I497,IF(OR(T497="CDF NÃO LOCALIZADO",T497="VÍNCULO INCOMPLETO",T497="CDF A CONFERIR"),"Dest.: "&amp;I497,"Gerador: "&amp;G497)))</f>
        <v/>
      </c>
    </row>
    <row r="498">
      <c r="A498" s="89" t="inlineStr">
        <is>
          <t>MTR-000493</t>
        </is>
      </c>
      <c r="B498" s="90" t="n"/>
      <c r="C498" s="91" t="n"/>
      <c r="D498" s="91" t="n"/>
      <c r="E498" s="92" t="n"/>
      <c r="F498" s="92" t="n"/>
      <c r="G498" s="91" t="n"/>
      <c r="H498" s="91" t="n"/>
      <c r="I498" s="91" t="n"/>
      <c r="J498" s="91" t="n"/>
      <c r="K498" s="91" t="n"/>
      <c r="L498" s="92" t="n"/>
      <c r="M498" s="91" t="n"/>
      <c r="N498" s="91" t="n"/>
      <c r="O498" s="91" t="n"/>
      <c r="P498" s="93" t="str">
        <f>IF(Z498=0,"",SUMIFS('ITENS_MTR'!$I$6:$I$1005,'ITENS_MTR'!$S$6:$S$1005,A498,'ITENS_MTR'!$Y$6:$Y$1005,1))</f>
        <v/>
      </c>
      <c r="Q498" s="93" t="str">
        <f>IF(Z498=0,"",SUMIFS('RECEBIMENTOS'!$H$6:$H$1005,'RECEBIMENTOS'!$B$6:$B$1005,A498,'RECEBIMENTOS'!$X$6:$X$1005,1))</f>
        <v/>
      </c>
      <c r="R498" s="93" t="str">
        <f>IF(Z498=0,"",SUMIFS('VÍNCULOS_CDF'!$H$6:$H$1005,'VÍNCULOS_CDF'!$D$6:$D$1005,A498,'VÍNCULOS_CDF'!$V$6:$V$1005,1))</f>
        <v/>
      </c>
      <c r="S498" s="94" t="str">
        <f>IF(Z498=0,"",IF(AA498=1,"Cancelado (informado)",IF(AE498=1,"Cadastro incompleto",IF(OR(AC498=1,AD498=1,AF498&gt;0,AH498&gt;0,AK498&gt;0,AL498&gt;0),"Informação a revisar",IF(AN498=0,"Aguardando recebimento",IF(N(R498)=0,"Aguardando CDF",IF(AJ498&lt;N(W498),"Vínculo de CDF parcial",IF(AO498=0,"CDF localizado, a conferir","Documentação conferida"))))))))</f>
        <v/>
      </c>
      <c r="T498" s="94" t="str">
        <f>IF(Z498=0,"",IF(S498="Cadastro incompleto","MTR INCOMPLETO",IF(S498="Informação a revisar",IF(AND(AH498&gt;0,AC498=0,AD498=0,AF498=0,AK498=0,AL498=0),"QUANTIDADE A REVISAR","IDENTIFICAÇÃO A REVISAR"),IF(S498="Aguardando recebimento","RECEBIMENTO NÃO CONFIRMADO",IF(S498="Aguardando CDF","CDF NÃO LOCALIZADO",IF(S498="Vínculo de CDF parcial","VÍNCULO INCOMPLETO",IF(S498="CDF localizado, a conferir","CDF A CONFERIR","")))))))</f>
        <v/>
      </c>
      <c r="U498" s="95" t="str">
        <f>IF(T498="","",IF(AQ498="","Não calculável",IF(AQ498&gt;TODAY(),"Data futura",TODAY()-AQ498)))</f>
        <v/>
      </c>
      <c r="V498" s="93" t="str">
        <f>IF(Z498=0,"",SUMIFS('RECEBIMENTOS'!$H$6:$H$1005,'RECEBIMENTOS'!$B$6:$B$1005,A498,'RECEBIMENTOS'!$Z$6:$Z$1005,1))</f>
        <v/>
      </c>
      <c r="W498" s="95" t="str">
        <f>IF(Z498=0,"",COUNTIFS('ITENS_MTR'!$S$6:$S$1005,A498,'ITENS_MTR'!$R$6:$R$1005,1))</f>
        <v/>
      </c>
      <c r="X498" s="94" t="str">
        <f>IF(AC498=1,"POSSÍVEL DUPLICIDADE","")</f>
        <v/>
      </c>
      <c r="Y498" s="94" t="str">
        <f>IF(Z498=0,"",IF(AW498="","Nenhuma",LEFT(AW498,LEN(AW498)-2)))</f>
        <v/>
      </c>
      <c r="Z498" s="96">
        <f>IF(COUNTA(B498:O498)&gt;0,1,0)</f>
        <v>0</v>
      </c>
      <c r="AA498" s="96">
        <f>IF(AND(Z498=1,K498&lt;&gt;""),IF(TRIM(K498)=TRIM(cfg_cancel),1,0),0)</f>
        <v>0</v>
      </c>
      <c r="AB498" s="96" t="str">
        <f>IF(AND(Z498=1,B498&lt;&gt;""),C498&amp;"|"&amp;D498&amp;"|"&amp;G498&amp;"|"&amp;TRIM(B498),"")</f>
        <v/>
      </c>
      <c r="AC498" s="96">
        <f>IF(AB498="",0,IF(SUMPRODUCT(--($AB$6:$AB$505=AB498))&gt;1,1,0))</f>
        <v>0</v>
      </c>
      <c r="AD498" s="96">
        <f>IF(Z498=0,0,IF(OR(AND(G498&lt;&gt;"",ISNA(MATCH(G498,'CAD_UNIDADES'!$C$6:$C$105,0))),AND(H498&lt;&gt;"",ISNA(MATCH(H498,cmp_transp,0))),AND(I498&lt;&gt;"",ISNA(MATCH(I498,cmp_dest,0))),AND(E498&lt;&gt;"",NOT(ISNUMBER(E498))),AND(F498&lt;&gt;"",NOT(ISNUMBER(F498))),AND(ISNUMBER(E498),ISNUMBER(F498),F498&lt;E498)),1,0))</f>
        <v>0</v>
      </c>
      <c r="AE498" s="96">
        <f>IF(Z498=0,0,IF(OR(B498="",C498="",E498="",G498="",H498="",I498="",N(W498)=0),1,0))</f>
        <v>0</v>
      </c>
      <c r="AF498" s="96">
        <f>IF(Z498=0,0,COUNTIFS('ITENS_MTR'!$S$6:$S$1005,A498,'ITENS_MTR'!$AI$6:$AI$1005,1))</f>
        <v>0</v>
      </c>
      <c r="AG498" s="96">
        <f>IF(Z498=0,0,COUNTIFS('ITENS_MTR'!$S$6:$S$1005,A498,'ITENS_MTR'!$AJ$6:$AJ$1005,1))</f>
        <v>0</v>
      </c>
      <c r="AH498" s="96">
        <f>IF(Z498=0,0,COUNTIFS('ITENS_MTR'!$S$6:$S$1005,A498,'ITENS_MTR'!$AM$6:$AM$1005,1))</f>
        <v>0</v>
      </c>
      <c r="AI498" s="96">
        <f>IF(Z498=0,0,COUNTIFS('ITENS_MTR'!$S$6:$S$1005,A498,'ITENS_MTR'!$AO$6:$AO$1005,1))</f>
        <v>0</v>
      </c>
      <c r="AJ498" s="96">
        <f>IF(Z498=0,0,COUNTIFS('ITENS_MTR'!$S$6:$S$1005,A498,'ITENS_MTR'!$AN$6:$AN$1005,1))</f>
        <v>0</v>
      </c>
      <c r="AK498" s="96">
        <f>IF(Z498=0,0,COUNTIFS('RECEBIMENTOS'!$B$6:$B$1005,A498,'RECEBIMENTOS'!$Y$6:$Y$1005,1))</f>
        <v>0</v>
      </c>
      <c r="AL498" s="96">
        <f>IF(Z498=0,0,COUNTIFS('VÍNCULOS_CDF'!$D$6:$D$1005,A498,'VÍNCULOS_CDF'!$Y$6:$Y$1005,1))</f>
        <v>0</v>
      </c>
      <c r="AM498" s="96">
        <f>IF(Z498=0,0,COUNTIFS('RECEBIMENTOS'!$B$6:$B$1005,A498,'RECEBIMENTOS'!$Q$6:$Q$1005,1))</f>
        <v>0</v>
      </c>
      <c r="AN498" s="96">
        <f>IF(AND(Z498=1,N(W498)&gt;0,AG498=N(W498)),1,0)</f>
        <v>0</v>
      </c>
      <c r="AO498" s="96">
        <f>IF(AND(Z498=1,N(W498)&gt;0,AI498=N(W498)),1,0)</f>
        <v>0</v>
      </c>
      <c r="AP498" s="97">
        <f>IF(Z498=0,0,_xlfn.MAXIFS('RECEBIMENTOS'!$E$6:$E$1005,'RECEBIMENTOS'!$B$6:$B$1005,A498))</f>
        <v>0</v>
      </c>
      <c r="AQ498" s="97" t="str">
        <f>IF(T498="","",IF(T498="RECEBIMENTO NÃO CONFIRMADO",IF(ISNUMBER(F498),F498,IF(ISNUMBER(E498),E498,"")),IF(OR(T498="CDF NÃO LOCALIZADO",T498="VÍNCULO INCOMPLETO",T498="CDF A CONFERIR"),IF(AP498&gt;0,AP498,IF(ISNUMBER(E498),E498,"")),IF(ISNUMBER(E498),E498,""))))</f>
        <v/>
      </c>
      <c r="AR498" s="96">
        <f>IF(NOT(ISNUMBER(U498)),0,IF(T498="RECEBIMENTO NÃO CONFIRMADO",IF(AND(ISNUMBER(cfg_rec),U498&gt;cfg_rec),1,0),IF(OR(T498="CDF NÃO LOCALIZADO",T498="VÍNCULO INCOMPLETO",T498="CDF A CONFERIR"),IF(AND(ISNUMBER(cfg_cdf),U498&gt;cfg_cdf),1,0),0)))</f>
        <v>0</v>
      </c>
      <c r="AS498" s="96" t="str">
        <f>IF(T498="","",IF(AR498=1,"Alta",IFERROR(INDEX(cfg_pp,MATCH(T498,cfg_pt,0))&amp;"","Média")))</f>
        <v/>
      </c>
      <c r="AT498" s="96" t="str">
        <f>IF(T498="","",IFERROR(INDEX(cfg_pv,MATCH(T498,cfg_pt,0))&amp;"",""))</f>
        <v/>
      </c>
      <c r="AU498" s="96" t="str">
        <f>IF(T498="","",IF(AS498="Alta",1,IF(AS498="Média",2,3))*1000000000+(999999-IF(ISNUMBER(U498),MIN(U498,999999),0))*1000+493)</f>
        <v/>
      </c>
      <c r="AV498" s="96">
        <f>IF(T498&lt;&gt;"",1,0)</f>
        <v>0</v>
      </c>
      <c r="AW498" s="96" t="str">
        <f>IF(Z498=0,"",IF(AA498=1,"Cancelamento informado; ","")&amp;IF(AE498=1,"Campos essenciais ou itens faltando; ","")&amp;IF(AC498=1,"Possível duplicidade do número; ","")&amp;IF(AD498=1,"Cadastro ou datas a revisar; ","")&amp;IF(AF498&gt;0,"Item de resíduo com dado a revisar; ","")&amp;IF(AH498&gt;0,"Diferença de quantidade a analisar; ","")&amp;IF(AK498&gt;0,"Recebimento com alerta; ","")&amp;IF(AL498&gt;0,"Vínculo de CDF com alerta; ","")&amp;IF(AND(AA498=0,AN498=0),"Recebimento não confirmado; ","")&amp;IF(AND(AA498=0,AN498=1,AO498=0),"CDF pendente ou a conferir; ",""))</f>
        <v/>
      </c>
      <c r="AX498" s="96">
        <f>IF(Z498=0,0,IF(AND(OR(f_ini="",AND(ISNUMBER(E498),E498&gt;=f_ini)),OR(f_fim="",AND(ISNUMBER(E498),E498&lt;=f_fim)),OR(f_un="",f_un="(Todas)",G498=f_un),OR(f_tr="",f_tr="(Todos)",H498=f_tr),OR(f_de="",f_de="(Todos)",I498=f_de),OR(f_sit="",f_sit="(Todas)",S498=f_sit)),1,0))</f>
        <v>0</v>
      </c>
      <c r="AY498" s="96">
        <f>IF(AX498=0,0,IF(OR(f_res="",f_res="(Todos)"),1,IF(COUNTIFS('ITENS_MTR'!$S$6:$S$1005,A498,'ITENS_MTR'!$C$6:$C$1005,f_res)&gt;0,1,0)))</f>
        <v>0</v>
      </c>
      <c r="AZ498" s="97" t="str">
        <f>IF(ISNUMBER(E498),DATE(YEAR(E498),MONTH(E498),1),"")</f>
        <v/>
      </c>
      <c r="BA498" s="96">
        <f>IF(Z498=0,0,IF(AND(OR(r_ini="",AND(ISNUMBER(E498),E498&gt;=r_ini)),OR(r_fim="",AND(ISNUMBER(E498),E498&lt;=r_fim)),OR(r_un="",r_un="(Todas)",G498=r_un),OR(r_de="",r_de="(Todos)",I498=r_de)),1,0))</f>
        <v>0</v>
      </c>
      <c r="BB498" s="96" t="str">
        <f>IF(BA498=1,COUNTIF($BA$6:BA498,1),"")</f>
        <v/>
      </c>
      <c r="BC498" s="96" t="str">
        <f>IF(AND(AU498&lt;&gt;"",OR(r_un="",r_un="(Todas)",G498=r_un),OR(r_de="",r_de="(Todos)",I498=r_de)),AU498,"")</f>
        <v/>
      </c>
      <c r="BD498" s="96" t="str">
        <f>IF(Z498=1,A498&amp;" | nº "&amp;IF(B498="","(sem número)",B498)&amp;" | "&amp;IF(G498="","(sem unidade)",G498),"")</f>
        <v/>
      </c>
      <c r="BE498" s="96" t="str">
        <f>IF(Z498=1,COUNTIF($Z$6:Z498,1),"")</f>
        <v/>
      </c>
      <c r="BF498" s="96" t="str">
        <f>IF(T498="","",IF(T498="RECEBIMENTO NÃO CONFIRMADO","Transp.: "&amp;H498&amp;" | Dest.: "&amp;I498,IF(OR(T498="CDF NÃO LOCALIZADO",T498="VÍNCULO INCOMPLETO",T498="CDF A CONFERIR"),"Dest.: "&amp;I498,"Gerador: "&amp;G498)))</f>
        <v/>
      </c>
    </row>
    <row r="499">
      <c r="A499" s="89" t="inlineStr">
        <is>
          <t>MTR-000494</t>
        </is>
      </c>
      <c r="B499" s="90" t="n"/>
      <c r="C499" s="91" t="n"/>
      <c r="D499" s="91" t="n"/>
      <c r="E499" s="92" t="n"/>
      <c r="F499" s="92" t="n"/>
      <c r="G499" s="91" t="n"/>
      <c r="H499" s="91" t="n"/>
      <c r="I499" s="91" t="n"/>
      <c r="J499" s="91" t="n"/>
      <c r="K499" s="91" t="n"/>
      <c r="L499" s="92" t="n"/>
      <c r="M499" s="91" t="n"/>
      <c r="N499" s="91" t="n"/>
      <c r="O499" s="91" t="n"/>
      <c r="P499" s="93" t="str">
        <f>IF(Z499=0,"",SUMIFS('ITENS_MTR'!$I$6:$I$1005,'ITENS_MTR'!$S$6:$S$1005,A499,'ITENS_MTR'!$Y$6:$Y$1005,1))</f>
        <v/>
      </c>
      <c r="Q499" s="93" t="str">
        <f>IF(Z499=0,"",SUMIFS('RECEBIMENTOS'!$H$6:$H$1005,'RECEBIMENTOS'!$B$6:$B$1005,A499,'RECEBIMENTOS'!$X$6:$X$1005,1))</f>
        <v/>
      </c>
      <c r="R499" s="93" t="str">
        <f>IF(Z499=0,"",SUMIFS('VÍNCULOS_CDF'!$H$6:$H$1005,'VÍNCULOS_CDF'!$D$6:$D$1005,A499,'VÍNCULOS_CDF'!$V$6:$V$1005,1))</f>
        <v/>
      </c>
      <c r="S499" s="94" t="str">
        <f>IF(Z499=0,"",IF(AA499=1,"Cancelado (informado)",IF(AE499=1,"Cadastro incompleto",IF(OR(AC499=1,AD499=1,AF499&gt;0,AH499&gt;0,AK499&gt;0,AL499&gt;0),"Informação a revisar",IF(AN499=0,"Aguardando recebimento",IF(N(R499)=0,"Aguardando CDF",IF(AJ499&lt;N(W499),"Vínculo de CDF parcial",IF(AO499=0,"CDF localizado, a conferir","Documentação conferida"))))))))</f>
        <v/>
      </c>
      <c r="T499" s="94" t="str">
        <f>IF(Z499=0,"",IF(S499="Cadastro incompleto","MTR INCOMPLETO",IF(S499="Informação a revisar",IF(AND(AH499&gt;0,AC499=0,AD499=0,AF499=0,AK499=0,AL499=0),"QUANTIDADE A REVISAR","IDENTIFICAÇÃO A REVISAR"),IF(S499="Aguardando recebimento","RECEBIMENTO NÃO CONFIRMADO",IF(S499="Aguardando CDF","CDF NÃO LOCALIZADO",IF(S499="Vínculo de CDF parcial","VÍNCULO INCOMPLETO",IF(S499="CDF localizado, a conferir","CDF A CONFERIR","")))))))</f>
        <v/>
      </c>
      <c r="U499" s="95" t="str">
        <f>IF(T499="","",IF(AQ499="","Não calculável",IF(AQ499&gt;TODAY(),"Data futura",TODAY()-AQ499)))</f>
        <v/>
      </c>
      <c r="V499" s="93" t="str">
        <f>IF(Z499=0,"",SUMIFS('RECEBIMENTOS'!$H$6:$H$1005,'RECEBIMENTOS'!$B$6:$B$1005,A499,'RECEBIMENTOS'!$Z$6:$Z$1005,1))</f>
        <v/>
      </c>
      <c r="W499" s="95" t="str">
        <f>IF(Z499=0,"",COUNTIFS('ITENS_MTR'!$S$6:$S$1005,A499,'ITENS_MTR'!$R$6:$R$1005,1))</f>
        <v/>
      </c>
      <c r="X499" s="94" t="str">
        <f>IF(AC499=1,"POSSÍVEL DUPLICIDADE","")</f>
        <v/>
      </c>
      <c r="Y499" s="94" t="str">
        <f>IF(Z499=0,"",IF(AW499="","Nenhuma",LEFT(AW499,LEN(AW499)-2)))</f>
        <v/>
      </c>
      <c r="Z499" s="96">
        <f>IF(COUNTA(B499:O499)&gt;0,1,0)</f>
        <v>0</v>
      </c>
      <c r="AA499" s="96">
        <f>IF(AND(Z499=1,K499&lt;&gt;""),IF(TRIM(K499)=TRIM(cfg_cancel),1,0),0)</f>
        <v>0</v>
      </c>
      <c r="AB499" s="96" t="str">
        <f>IF(AND(Z499=1,B499&lt;&gt;""),C499&amp;"|"&amp;D499&amp;"|"&amp;G499&amp;"|"&amp;TRIM(B499),"")</f>
        <v/>
      </c>
      <c r="AC499" s="96">
        <f>IF(AB499="",0,IF(SUMPRODUCT(--($AB$6:$AB$505=AB499))&gt;1,1,0))</f>
        <v>0</v>
      </c>
      <c r="AD499" s="96">
        <f>IF(Z499=0,0,IF(OR(AND(G499&lt;&gt;"",ISNA(MATCH(G499,'CAD_UNIDADES'!$C$6:$C$105,0))),AND(H499&lt;&gt;"",ISNA(MATCH(H499,cmp_transp,0))),AND(I499&lt;&gt;"",ISNA(MATCH(I499,cmp_dest,0))),AND(E499&lt;&gt;"",NOT(ISNUMBER(E499))),AND(F499&lt;&gt;"",NOT(ISNUMBER(F499))),AND(ISNUMBER(E499),ISNUMBER(F499),F499&lt;E499)),1,0))</f>
        <v>0</v>
      </c>
      <c r="AE499" s="96">
        <f>IF(Z499=0,0,IF(OR(B499="",C499="",E499="",G499="",H499="",I499="",N(W499)=0),1,0))</f>
        <v>0</v>
      </c>
      <c r="AF499" s="96">
        <f>IF(Z499=0,0,COUNTIFS('ITENS_MTR'!$S$6:$S$1005,A499,'ITENS_MTR'!$AI$6:$AI$1005,1))</f>
        <v>0</v>
      </c>
      <c r="AG499" s="96">
        <f>IF(Z499=0,0,COUNTIFS('ITENS_MTR'!$S$6:$S$1005,A499,'ITENS_MTR'!$AJ$6:$AJ$1005,1))</f>
        <v>0</v>
      </c>
      <c r="AH499" s="96">
        <f>IF(Z499=0,0,COUNTIFS('ITENS_MTR'!$S$6:$S$1005,A499,'ITENS_MTR'!$AM$6:$AM$1005,1))</f>
        <v>0</v>
      </c>
      <c r="AI499" s="96">
        <f>IF(Z499=0,0,COUNTIFS('ITENS_MTR'!$S$6:$S$1005,A499,'ITENS_MTR'!$AO$6:$AO$1005,1))</f>
        <v>0</v>
      </c>
      <c r="AJ499" s="96">
        <f>IF(Z499=0,0,COUNTIFS('ITENS_MTR'!$S$6:$S$1005,A499,'ITENS_MTR'!$AN$6:$AN$1005,1))</f>
        <v>0</v>
      </c>
      <c r="AK499" s="96">
        <f>IF(Z499=0,0,COUNTIFS('RECEBIMENTOS'!$B$6:$B$1005,A499,'RECEBIMENTOS'!$Y$6:$Y$1005,1))</f>
        <v>0</v>
      </c>
      <c r="AL499" s="96">
        <f>IF(Z499=0,0,COUNTIFS('VÍNCULOS_CDF'!$D$6:$D$1005,A499,'VÍNCULOS_CDF'!$Y$6:$Y$1005,1))</f>
        <v>0</v>
      </c>
      <c r="AM499" s="96">
        <f>IF(Z499=0,0,COUNTIFS('RECEBIMENTOS'!$B$6:$B$1005,A499,'RECEBIMENTOS'!$Q$6:$Q$1005,1))</f>
        <v>0</v>
      </c>
      <c r="AN499" s="96">
        <f>IF(AND(Z499=1,N(W499)&gt;0,AG499=N(W499)),1,0)</f>
        <v>0</v>
      </c>
      <c r="AO499" s="96">
        <f>IF(AND(Z499=1,N(W499)&gt;0,AI499=N(W499)),1,0)</f>
        <v>0</v>
      </c>
      <c r="AP499" s="97">
        <f>IF(Z499=0,0,_xlfn.MAXIFS('RECEBIMENTOS'!$E$6:$E$1005,'RECEBIMENTOS'!$B$6:$B$1005,A499))</f>
        <v>0</v>
      </c>
      <c r="AQ499" s="97" t="str">
        <f>IF(T499="","",IF(T499="RECEBIMENTO NÃO CONFIRMADO",IF(ISNUMBER(F499),F499,IF(ISNUMBER(E499),E499,"")),IF(OR(T499="CDF NÃO LOCALIZADO",T499="VÍNCULO INCOMPLETO",T499="CDF A CONFERIR"),IF(AP499&gt;0,AP499,IF(ISNUMBER(E499),E499,"")),IF(ISNUMBER(E499),E499,""))))</f>
        <v/>
      </c>
      <c r="AR499" s="96">
        <f>IF(NOT(ISNUMBER(U499)),0,IF(T499="RECEBIMENTO NÃO CONFIRMADO",IF(AND(ISNUMBER(cfg_rec),U499&gt;cfg_rec),1,0),IF(OR(T499="CDF NÃO LOCALIZADO",T499="VÍNCULO INCOMPLETO",T499="CDF A CONFERIR"),IF(AND(ISNUMBER(cfg_cdf),U499&gt;cfg_cdf),1,0),0)))</f>
        <v>0</v>
      </c>
      <c r="AS499" s="96" t="str">
        <f>IF(T499="","",IF(AR499=1,"Alta",IFERROR(INDEX(cfg_pp,MATCH(T499,cfg_pt,0))&amp;"","Média")))</f>
        <v/>
      </c>
      <c r="AT499" s="96" t="str">
        <f>IF(T499="","",IFERROR(INDEX(cfg_pv,MATCH(T499,cfg_pt,0))&amp;"",""))</f>
        <v/>
      </c>
      <c r="AU499" s="96" t="str">
        <f>IF(T499="","",IF(AS499="Alta",1,IF(AS499="Média",2,3))*1000000000+(999999-IF(ISNUMBER(U499),MIN(U499,999999),0))*1000+494)</f>
        <v/>
      </c>
      <c r="AV499" s="96">
        <f>IF(T499&lt;&gt;"",1,0)</f>
        <v>0</v>
      </c>
      <c r="AW499" s="96" t="str">
        <f>IF(Z499=0,"",IF(AA499=1,"Cancelamento informado; ","")&amp;IF(AE499=1,"Campos essenciais ou itens faltando; ","")&amp;IF(AC499=1,"Possível duplicidade do número; ","")&amp;IF(AD499=1,"Cadastro ou datas a revisar; ","")&amp;IF(AF499&gt;0,"Item de resíduo com dado a revisar; ","")&amp;IF(AH499&gt;0,"Diferença de quantidade a analisar; ","")&amp;IF(AK499&gt;0,"Recebimento com alerta; ","")&amp;IF(AL499&gt;0,"Vínculo de CDF com alerta; ","")&amp;IF(AND(AA499=0,AN499=0),"Recebimento não confirmado; ","")&amp;IF(AND(AA499=0,AN499=1,AO499=0),"CDF pendente ou a conferir; ",""))</f>
        <v/>
      </c>
      <c r="AX499" s="96">
        <f>IF(Z499=0,0,IF(AND(OR(f_ini="",AND(ISNUMBER(E499),E499&gt;=f_ini)),OR(f_fim="",AND(ISNUMBER(E499),E499&lt;=f_fim)),OR(f_un="",f_un="(Todas)",G499=f_un),OR(f_tr="",f_tr="(Todos)",H499=f_tr),OR(f_de="",f_de="(Todos)",I499=f_de),OR(f_sit="",f_sit="(Todas)",S499=f_sit)),1,0))</f>
        <v>0</v>
      </c>
      <c r="AY499" s="96">
        <f>IF(AX499=0,0,IF(OR(f_res="",f_res="(Todos)"),1,IF(COUNTIFS('ITENS_MTR'!$S$6:$S$1005,A499,'ITENS_MTR'!$C$6:$C$1005,f_res)&gt;0,1,0)))</f>
        <v>0</v>
      </c>
      <c r="AZ499" s="97" t="str">
        <f>IF(ISNUMBER(E499),DATE(YEAR(E499),MONTH(E499),1),"")</f>
        <v/>
      </c>
      <c r="BA499" s="96">
        <f>IF(Z499=0,0,IF(AND(OR(r_ini="",AND(ISNUMBER(E499),E499&gt;=r_ini)),OR(r_fim="",AND(ISNUMBER(E499),E499&lt;=r_fim)),OR(r_un="",r_un="(Todas)",G499=r_un),OR(r_de="",r_de="(Todos)",I499=r_de)),1,0))</f>
        <v>0</v>
      </c>
      <c r="BB499" s="96" t="str">
        <f>IF(BA499=1,COUNTIF($BA$6:BA499,1),"")</f>
        <v/>
      </c>
      <c r="BC499" s="96" t="str">
        <f>IF(AND(AU499&lt;&gt;"",OR(r_un="",r_un="(Todas)",G499=r_un),OR(r_de="",r_de="(Todos)",I499=r_de)),AU499,"")</f>
        <v/>
      </c>
      <c r="BD499" s="96" t="str">
        <f>IF(Z499=1,A499&amp;" | nº "&amp;IF(B499="","(sem número)",B499)&amp;" | "&amp;IF(G499="","(sem unidade)",G499),"")</f>
        <v/>
      </c>
      <c r="BE499" s="96" t="str">
        <f>IF(Z499=1,COUNTIF($Z$6:Z499,1),"")</f>
        <v/>
      </c>
      <c r="BF499" s="96" t="str">
        <f>IF(T499="","",IF(T499="RECEBIMENTO NÃO CONFIRMADO","Transp.: "&amp;H499&amp;" | Dest.: "&amp;I499,IF(OR(T499="CDF NÃO LOCALIZADO",T499="VÍNCULO INCOMPLETO",T499="CDF A CONFERIR"),"Dest.: "&amp;I499,"Gerador: "&amp;G499)))</f>
        <v/>
      </c>
    </row>
    <row r="500">
      <c r="A500" s="89" t="inlineStr">
        <is>
          <t>MTR-000495</t>
        </is>
      </c>
      <c r="B500" s="90" t="n"/>
      <c r="C500" s="91" t="n"/>
      <c r="D500" s="91" t="n"/>
      <c r="E500" s="92" t="n"/>
      <c r="F500" s="92" t="n"/>
      <c r="G500" s="91" t="n"/>
      <c r="H500" s="91" t="n"/>
      <c r="I500" s="91" t="n"/>
      <c r="J500" s="91" t="n"/>
      <c r="K500" s="91" t="n"/>
      <c r="L500" s="92" t="n"/>
      <c r="M500" s="91" t="n"/>
      <c r="N500" s="91" t="n"/>
      <c r="O500" s="91" t="n"/>
      <c r="P500" s="93" t="str">
        <f>IF(Z500=0,"",SUMIFS('ITENS_MTR'!$I$6:$I$1005,'ITENS_MTR'!$S$6:$S$1005,A500,'ITENS_MTR'!$Y$6:$Y$1005,1))</f>
        <v/>
      </c>
      <c r="Q500" s="93" t="str">
        <f>IF(Z500=0,"",SUMIFS('RECEBIMENTOS'!$H$6:$H$1005,'RECEBIMENTOS'!$B$6:$B$1005,A500,'RECEBIMENTOS'!$X$6:$X$1005,1))</f>
        <v/>
      </c>
      <c r="R500" s="93" t="str">
        <f>IF(Z500=0,"",SUMIFS('VÍNCULOS_CDF'!$H$6:$H$1005,'VÍNCULOS_CDF'!$D$6:$D$1005,A500,'VÍNCULOS_CDF'!$V$6:$V$1005,1))</f>
        <v/>
      </c>
      <c r="S500" s="94" t="str">
        <f>IF(Z500=0,"",IF(AA500=1,"Cancelado (informado)",IF(AE500=1,"Cadastro incompleto",IF(OR(AC500=1,AD500=1,AF500&gt;0,AH500&gt;0,AK500&gt;0,AL500&gt;0),"Informação a revisar",IF(AN500=0,"Aguardando recebimento",IF(N(R500)=0,"Aguardando CDF",IF(AJ500&lt;N(W500),"Vínculo de CDF parcial",IF(AO500=0,"CDF localizado, a conferir","Documentação conferida"))))))))</f>
        <v/>
      </c>
      <c r="T500" s="94" t="str">
        <f>IF(Z500=0,"",IF(S500="Cadastro incompleto","MTR INCOMPLETO",IF(S500="Informação a revisar",IF(AND(AH500&gt;0,AC500=0,AD500=0,AF500=0,AK500=0,AL500=0),"QUANTIDADE A REVISAR","IDENTIFICAÇÃO A REVISAR"),IF(S500="Aguardando recebimento","RECEBIMENTO NÃO CONFIRMADO",IF(S500="Aguardando CDF","CDF NÃO LOCALIZADO",IF(S500="Vínculo de CDF parcial","VÍNCULO INCOMPLETO",IF(S500="CDF localizado, a conferir","CDF A CONFERIR","")))))))</f>
        <v/>
      </c>
      <c r="U500" s="95" t="str">
        <f>IF(T500="","",IF(AQ500="","Não calculável",IF(AQ500&gt;TODAY(),"Data futura",TODAY()-AQ500)))</f>
        <v/>
      </c>
      <c r="V500" s="93" t="str">
        <f>IF(Z500=0,"",SUMIFS('RECEBIMENTOS'!$H$6:$H$1005,'RECEBIMENTOS'!$B$6:$B$1005,A500,'RECEBIMENTOS'!$Z$6:$Z$1005,1))</f>
        <v/>
      </c>
      <c r="W500" s="95" t="str">
        <f>IF(Z500=0,"",COUNTIFS('ITENS_MTR'!$S$6:$S$1005,A500,'ITENS_MTR'!$R$6:$R$1005,1))</f>
        <v/>
      </c>
      <c r="X500" s="94" t="str">
        <f>IF(AC500=1,"POSSÍVEL DUPLICIDADE","")</f>
        <v/>
      </c>
      <c r="Y500" s="94" t="str">
        <f>IF(Z500=0,"",IF(AW500="","Nenhuma",LEFT(AW500,LEN(AW500)-2)))</f>
        <v/>
      </c>
      <c r="Z500" s="96">
        <f>IF(COUNTA(B500:O500)&gt;0,1,0)</f>
        <v>0</v>
      </c>
      <c r="AA500" s="96">
        <f>IF(AND(Z500=1,K500&lt;&gt;""),IF(TRIM(K500)=TRIM(cfg_cancel),1,0),0)</f>
        <v>0</v>
      </c>
      <c r="AB500" s="96" t="str">
        <f>IF(AND(Z500=1,B500&lt;&gt;""),C500&amp;"|"&amp;D500&amp;"|"&amp;G500&amp;"|"&amp;TRIM(B500),"")</f>
        <v/>
      </c>
      <c r="AC500" s="96">
        <f>IF(AB500="",0,IF(SUMPRODUCT(--($AB$6:$AB$505=AB500))&gt;1,1,0))</f>
        <v>0</v>
      </c>
      <c r="AD500" s="96">
        <f>IF(Z500=0,0,IF(OR(AND(G500&lt;&gt;"",ISNA(MATCH(G500,'CAD_UNIDADES'!$C$6:$C$105,0))),AND(H500&lt;&gt;"",ISNA(MATCH(H500,cmp_transp,0))),AND(I500&lt;&gt;"",ISNA(MATCH(I500,cmp_dest,0))),AND(E500&lt;&gt;"",NOT(ISNUMBER(E500))),AND(F500&lt;&gt;"",NOT(ISNUMBER(F500))),AND(ISNUMBER(E500),ISNUMBER(F500),F500&lt;E500)),1,0))</f>
        <v>0</v>
      </c>
      <c r="AE500" s="96">
        <f>IF(Z500=0,0,IF(OR(B500="",C500="",E500="",G500="",H500="",I500="",N(W500)=0),1,0))</f>
        <v>0</v>
      </c>
      <c r="AF500" s="96">
        <f>IF(Z500=0,0,COUNTIFS('ITENS_MTR'!$S$6:$S$1005,A500,'ITENS_MTR'!$AI$6:$AI$1005,1))</f>
        <v>0</v>
      </c>
      <c r="AG500" s="96">
        <f>IF(Z500=0,0,COUNTIFS('ITENS_MTR'!$S$6:$S$1005,A500,'ITENS_MTR'!$AJ$6:$AJ$1005,1))</f>
        <v>0</v>
      </c>
      <c r="AH500" s="96">
        <f>IF(Z500=0,0,COUNTIFS('ITENS_MTR'!$S$6:$S$1005,A500,'ITENS_MTR'!$AM$6:$AM$1005,1))</f>
        <v>0</v>
      </c>
      <c r="AI500" s="96">
        <f>IF(Z500=0,0,COUNTIFS('ITENS_MTR'!$S$6:$S$1005,A500,'ITENS_MTR'!$AO$6:$AO$1005,1))</f>
        <v>0</v>
      </c>
      <c r="AJ500" s="96">
        <f>IF(Z500=0,0,COUNTIFS('ITENS_MTR'!$S$6:$S$1005,A500,'ITENS_MTR'!$AN$6:$AN$1005,1))</f>
        <v>0</v>
      </c>
      <c r="AK500" s="96">
        <f>IF(Z500=0,0,COUNTIFS('RECEBIMENTOS'!$B$6:$B$1005,A500,'RECEBIMENTOS'!$Y$6:$Y$1005,1))</f>
        <v>0</v>
      </c>
      <c r="AL500" s="96">
        <f>IF(Z500=0,0,COUNTIFS('VÍNCULOS_CDF'!$D$6:$D$1005,A500,'VÍNCULOS_CDF'!$Y$6:$Y$1005,1))</f>
        <v>0</v>
      </c>
      <c r="AM500" s="96">
        <f>IF(Z500=0,0,COUNTIFS('RECEBIMENTOS'!$B$6:$B$1005,A500,'RECEBIMENTOS'!$Q$6:$Q$1005,1))</f>
        <v>0</v>
      </c>
      <c r="AN500" s="96">
        <f>IF(AND(Z500=1,N(W500)&gt;0,AG500=N(W500)),1,0)</f>
        <v>0</v>
      </c>
      <c r="AO500" s="96">
        <f>IF(AND(Z500=1,N(W500)&gt;0,AI500=N(W500)),1,0)</f>
        <v>0</v>
      </c>
      <c r="AP500" s="97">
        <f>IF(Z500=0,0,_xlfn.MAXIFS('RECEBIMENTOS'!$E$6:$E$1005,'RECEBIMENTOS'!$B$6:$B$1005,A500))</f>
        <v>0</v>
      </c>
      <c r="AQ500" s="97" t="str">
        <f>IF(T500="","",IF(T500="RECEBIMENTO NÃO CONFIRMADO",IF(ISNUMBER(F500),F500,IF(ISNUMBER(E500),E500,"")),IF(OR(T500="CDF NÃO LOCALIZADO",T500="VÍNCULO INCOMPLETO",T500="CDF A CONFERIR"),IF(AP500&gt;0,AP500,IF(ISNUMBER(E500),E500,"")),IF(ISNUMBER(E500),E500,""))))</f>
        <v/>
      </c>
      <c r="AR500" s="96">
        <f>IF(NOT(ISNUMBER(U500)),0,IF(T500="RECEBIMENTO NÃO CONFIRMADO",IF(AND(ISNUMBER(cfg_rec),U500&gt;cfg_rec),1,0),IF(OR(T500="CDF NÃO LOCALIZADO",T500="VÍNCULO INCOMPLETO",T500="CDF A CONFERIR"),IF(AND(ISNUMBER(cfg_cdf),U500&gt;cfg_cdf),1,0),0)))</f>
        <v>0</v>
      </c>
      <c r="AS500" s="96" t="str">
        <f>IF(T500="","",IF(AR500=1,"Alta",IFERROR(INDEX(cfg_pp,MATCH(T500,cfg_pt,0))&amp;"","Média")))</f>
        <v/>
      </c>
      <c r="AT500" s="96" t="str">
        <f>IF(T500="","",IFERROR(INDEX(cfg_pv,MATCH(T500,cfg_pt,0))&amp;"",""))</f>
        <v/>
      </c>
      <c r="AU500" s="96" t="str">
        <f>IF(T500="","",IF(AS500="Alta",1,IF(AS500="Média",2,3))*1000000000+(999999-IF(ISNUMBER(U500),MIN(U500,999999),0))*1000+495)</f>
        <v/>
      </c>
      <c r="AV500" s="96">
        <f>IF(T500&lt;&gt;"",1,0)</f>
        <v>0</v>
      </c>
      <c r="AW500" s="96" t="str">
        <f>IF(Z500=0,"",IF(AA500=1,"Cancelamento informado; ","")&amp;IF(AE500=1,"Campos essenciais ou itens faltando; ","")&amp;IF(AC500=1,"Possível duplicidade do número; ","")&amp;IF(AD500=1,"Cadastro ou datas a revisar; ","")&amp;IF(AF500&gt;0,"Item de resíduo com dado a revisar; ","")&amp;IF(AH500&gt;0,"Diferença de quantidade a analisar; ","")&amp;IF(AK500&gt;0,"Recebimento com alerta; ","")&amp;IF(AL500&gt;0,"Vínculo de CDF com alerta; ","")&amp;IF(AND(AA500=0,AN500=0),"Recebimento não confirmado; ","")&amp;IF(AND(AA500=0,AN500=1,AO500=0),"CDF pendente ou a conferir; ",""))</f>
        <v/>
      </c>
      <c r="AX500" s="96">
        <f>IF(Z500=0,0,IF(AND(OR(f_ini="",AND(ISNUMBER(E500),E500&gt;=f_ini)),OR(f_fim="",AND(ISNUMBER(E500),E500&lt;=f_fim)),OR(f_un="",f_un="(Todas)",G500=f_un),OR(f_tr="",f_tr="(Todos)",H500=f_tr),OR(f_de="",f_de="(Todos)",I500=f_de),OR(f_sit="",f_sit="(Todas)",S500=f_sit)),1,0))</f>
        <v>0</v>
      </c>
      <c r="AY500" s="96">
        <f>IF(AX500=0,0,IF(OR(f_res="",f_res="(Todos)"),1,IF(COUNTIFS('ITENS_MTR'!$S$6:$S$1005,A500,'ITENS_MTR'!$C$6:$C$1005,f_res)&gt;0,1,0)))</f>
        <v>0</v>
      </c>
      <c r="AZ500" s="97" t="str">
        <f>IF(ISNUMBER(E500),DATE(YEAR(E500),MONTH(E500),1),"")</f>
        <v/>
      </c>
      <c r="BA500" s="96">
        <f>IF(Z500=0,0,IF(AND(OR(r_ini="",AND(ISNUMBER(E500),E500&gt;=r_ini)),OR(r_fim="",AND(ISNUMBER(E500),E500&lt;=r_fim)),OR(r_un="",r_un="(Todas)",G500=r_un),OR(r_de="",r_de="(Todos)",I500=r_de)),1,0))</f>
        <v>0</v>
      </c>
      <c r="BB500" s="96" t="str">
        <f>IF(BA500=1,COUNTIF($BA$6:BA500,1),"")</f>
        <v/>
      </c>
      <c r="BC500" s="96" t="str">
        <f>IF(AND(AU500&lt;&gt;"",OR(r_un="",r_un="(Todas)",G500=r_un),OR(r_de="",r_de="(Todos)",I500=r_de)),AU500,"")</f>
        <v/>
      </c>
      <c r="BD500" s="96" t="str">
        <f>IF(Z500=1,A500&amp;" | nº "&amp;IF(B500="","(sem número)",B500)&amp;" | "&amp;IF(G500="","(sem unidade)",G500),"")</f>
        <v/>
      </c>
      <c r="BE500" s="96" t="str">
        <f>IF(Z500=1,COUNTIF($Z$6:Z500,1),"")</f>
        <v/>
      </c>
      <c r="BF500" s="96" t="str">
        <f>IF(T500="","",IF(T500="RECEBIMENTO NÃO CONFIRMADO","Transp.: "&amp;H500&amp;" | Dest.: "&amp;I500,IF(OR(T500="CDF NÃO LOCALIZADO",T500="VÍNCULO INCOMPLETO",T500="CDF A CONFERIR"),"Dest.: "&amp;I500,"Gerador: "&amp;G500)))</f>
        <v/>
      </c>
    </row>
    <row r="501">
      <c r="A501" s="89" t="inlineStr">
        <is>
          <t>MTR-000496</t>
        </is>
      </c>
      <c r="B501" s="90" t="n"/>
      <c r="C501" s="91" t="n"/>
      <c r="D501" s="91" t="n"/>
      <c r="E501" s="92" t="n"/>
      <c r="F501" s="92" t="n"/>
      <c r="G501" s="91" t="n"/>
      <c r="H501" s="91" t="n"/>
      <c r="I501" s="91" t="n"/>
      <c r="J501" s="91" t="n"/>
      <c r="K501" s="91" t="n"/>
      <c r="L501" s="92" t="n"/>
      <c r="M501" s="91" t="n"/>
      <c r="N501" s="91" t="n"/>
      <c r="O501" s="91" t="n"/>
      <c r="P501" s="93" t="str">
        <f>IF(Z501=0,"",SUMIFS('ITENS_MTR'!$I$6:$I$1005,'ITENS_MTR'!$S$6:$S$1005,A501,'ITENS_MTR'!$Y$6:$Y$1005,1))</f>
        <v/>
      </c>
      <c r="Q501" s="93" t="str">
        <f>IF(Z501=0,"",SUMIFS('RECEBIMENTOS'!$H$6:$H$1005,'RECEBIMENTOS'!$B$6:$B$1005,A501,'RECEBIMENTOS'!$X$6:$X$1005,1))</f>
        <v/>
      </c>
      <c r="R501" s="93" t="str">
        <f>IF(Z501=0,"",SUMIFS('VÍNCULOS_CDF'!$H$6:$H$1005,'VÍNCULOS_CDF'!$D$6:$D$1005,A501,'VÍNCULOS_CDF'!$V$6:$V$1005,1))</f>
        <v/>
      </c>
      <c r="S501" s="94" t="str">
        <f>IF(Z501=0,"",IF(AA501=1,"Cancelado (informado)",IF(AE501=1,"Cadastro incompleto",IF(OR(AC501=1,AD501=1,AF501&gt;0,AH501&gt;0,AK501&gt;0,AL501&gt;0),"Informação a revisar",IF(AN501=0,"Aguardando recebimento",IF(N(R501)=0,"Aguardando CDF",IF(AJ501&lt;N(W501),"Vínculo de CDF parcial",IF(AO501=0,"CDF localizado, a conferir","Documentação conferida"))))))))</f>
        <v/>
      </c>
      <c r="T501" s="94" t="str">
        <f>IF(Z501=0,"",IF(S501="Cadastro incompleto","MTR INCOMPLETO",IF(S501="Informação a revisar",IF(AND(AH501&gt;0,AC501=0,AD501=0,AF501=0,AK501=0,AL501=0),"QUANTIDADE A REVISAR","IDENTIFICAÇÃO A REVISAR"),IF(S501="Aguardando recebimento","RECEBIMENTO NÃO CONFIRMADO",IF(S501="Aguardando CDF","CDF NÃO LOCALIZADO",IF(S501="Vínculo de CDF parcial","VÍNCULO INCOMPLETO",IF(S501="CDF localizado, a conferir","CDF A CONFERIR","")))))))</f>
        <v/>
      </c>
      <c r="U501" s="95" t="str">
        <f>IF(T501="","",IF(AQ501="","Não calculável",IF(AQ501&gt;TODAY(),"Data futura",TODAY()-AQ501)))</f>
        <v/>
      </c>
      <c r="V501" s="93" t="str">
        <f>IF(Z501=0,"",SUMIFS('RECEBIMENTOS'!$H$6:$H$1005,'RECEBIMENTOS'!$B$6:$B$1005,A501,'RECEBIMENTOS'!$Z$6:$Z$1005,1))</f>
        <v/>
      </c>
      <c r="W501" s="95" t="str">
        <f>IF(Z501=0,"",COUNTIFS('ITENS_MTR'!$S$6:$S$1005,A501,'ITENS_MTR'!$R$6:$R$1005,1))</f>
        <v/>
      </c>
      <c r="X501" s="94" t="str">
        <f>IF(AC501=1,"POSSÍVEL DUPLICIDADE","")</f>
        <v/>
      </c>
      <c r="Y501" s="94" t="str">
        <f>IF(Z501=0,"",IF(AW501="","Nenhuma",LEFT(AW501,LEN(AW501)-2)))</f>
        <v/>
      </c>
      <c r="Z501" s="96">
        <f>IF(COUNTA(B501:O501)&gt;0,1,0)</f>
        <v>0</v>
      </c>
      <c r="AA501" s="96">
        <f>IF(AND(Z501=1,K501&lt;&gt;""),IF(TRIM(K501)=TRIM(cfg_cancel),1,0),0)</f>
        <v>0</v>
      </c>
      <c r="AB501" s="96" t="str">
        <f>IF(AND(Z501=1,B501&lt;&gt;""),C501&amp;"|"&amp;D501&amp;"|"&amp;G501&amp;"|"&amp;TRIM(B501),"")</f>
        <v/>
      </c>
      <c r="AC501" s="96">
        <f>IF(AB501="",0,IF(SUMPRODUCT(--($AB$6:$AB$505=AB501))&gt;1,1,0))</f>
        <v>0</v>
      </c>
      <c r="AD501" s="96">
        <f>IF(Z501=0,0,IF(OR(AND(G501&lt;&gt;"",ISNA(MATCH(G501,'CAD_UNIDADES'!$C$6:$C$105,0))),AND(H501&lt;&gt;"",ISNA(MATCH(H501,cmp_transp,0))),AND(I501&lt;&gt;"",ISNA(MATCH(I501,cmp_dest,0))),AND(E501&lt;&gt;"",NOT(ISNUMBER(E501))),AND(F501&lt;&gt;"",NOT(ISNUMBER(F501))),AND(ISNUMBER(E501),ISNUMBER(F501),F501&lt;E501)),1,0))</f>
        <v>0</v>
      </c>
      <c r="AE501" s="96">
        <f>IF(Z501=0,0,IF(OR(B501="",C501="",E501="",G501="",H501="",I501="",N(W501)=0),1,0))</f>
        <v>0</v>
      </c>
      <c r="AF501" s="96">
        <f>IF(Z501=0,0,COUNTIFS('ITENS_MTR'!$S$6:$S$1005,A501,'ITENS_MTR'!$AI$6:$AI$1005,1))</f>
        <v>0</v>
      </c>
      <c r="AG501" s="96">
        <f>IF(Z501=0,0,COUNTIFS('ITENS_MTR'!$S$6:$S$1005,A501,'ITENS_MTR'!$AJ$6:$AJ$1005,1))</f>
        <v>0</v>
      </c>
      <c r="AH501" s="96">
        <f>IF(Z501=0,0,COUNTIFS('ITENS_MTR'!$S$6:$S$1005,A501,'ITENS_MTR'!$AM$6:$AM$1005,1))</f>
        <v>0</v>
      </c>
      <c r="AI501" s="96">
        <f>IF(Z501=0,0,COUNTIFS('ITENS_MTR'!$S$6:$S$1005,A501,'ITENS_MTR'!$AO$6:$AO$1005,1))</f>
        <v>0</v>
      </c>
      <c r="AJ501" s="96">
        <f>IF(Z501=0,0,COUNTIFS('ITENS_MTR'!$S$6:$S$1005,A501,'ITENS_MTR'!$AN$6:$AN$1005,1))</f>
        <v>0</v>
      </c>
      <c r="AK501" s="96">
        <f>IF(Z501=0,0,COUNTIFS('RECEBIMENTOS'!$B$6:$B$1005,A501,'RECEBIMENTOS'!$Y$6:$Y$1005,1))</f>
        <v>0</v>
      </c>
      <c r="AL501" s="96">
        <f>IF(Z501=0,0,COUNTIFS('VÍNCULOS_CDF'!$D$6:$D$1005,A501,'VÍNCULOS_CDF'!$Y$6:$Y$1005,1))</f>
        <v>0</v>
      </c>
      <c r="AM501" s="96">
        <f>IF(Z501=0,0,COUNTIFS('RECEBIMENTOS'!$B$6:$B$1005,A501,'RECEBIMENTOS'!$Q$6:$Q$1005,1))</f>
        <v>0</v>
      </c>
      <c r="AN501" s="96">
        <f>IF(AND(Z501=1,N(W501)&gt;0,AG501=N(W501)),1,0)</f>
        <v>0</v>
      </c>
      <c r="AO501" s="96">
        <f>IF(AND(Z501=1,N(W501)&gt;0,AI501=N(W501)),1,0)</f>
        <v>0</v>
      </c>
      <c r="AP501" s="97">
        <f>IF(Z501=0,0,_xlfn.MAXIFS('RECEBIMENTOS'!$E$6:$E$1005,'RECEBIMENTOS'!$B$6:$B$1005,A501))</f>
        <v>0</v>
      </c>
      <c r="AQ501" s="97" t="str">
        <f>IF(T501="","",IF(T501="RECEBIMENTO NÃO CONFIRMADO",IF(ISNUMBER(F501),F501,IF(ISNUMBER(E501),E501,"")),IF(OR(T501="CDF NÃO LOCALIZADO",T501="VÍNCULO INCOMPLETO",T501="CDF A CONFERIR"),IF(AP501&gt;0,AP501,IF(ISNUMBER(E501),E501,"")),IF(ISNUMBER(E501),E501,""))))</f>
        <v/>
      </c>
      <c r="AR501" s="96">
        <f>IF(NOT(ISNUMBER(U501)),0,IF(T501="RECEBIMENTO NÃO CONFIRMADO",IF(AND(ISNUMBER(cfg_rec),U501&gt;cfg_rec),1,0),IF(OR(T501="CDF NÃO LOCALIZADO",T501="VÍNCULO INCOMPLETO",T501="CDF A CONFERIR"),IF(AND(ISNUMBER(cfg_cdf),U501&gt;cfg_cdf),1,0),0)))</f>
        <v>0</v>
      </c>
      <c r="AS501" s="96" t="str">
        <f>IF(T501="","",IF(AR501=1,"Alta",IFERROR(INDEX(cfg_pp,MATCH(T501,cfg_pt,0))&amp;"","Média")))</f>
        <v/>
      </c>
      <c r="AT501" s="96" t="str">
        <f>IF(T501="","",IFERROR(INDEX(cfg_pv,MATCH(T501,cfg_pt,0))&amp;"",""))</f>
        <v/>
      </c>
      <c r="AU501" s="96" t="str">
        <f>IF(T501="","",IF(AS501="Alta",1,IF(AS501="Média",2,3))*1000000000+(999999-IF(ISNUMBER(U501),MIN(U501,999999),0))*1000+496)</f>
        <v/>
      </c>
      <c r="AV501" s="96">
        <f>IF(T501&lt;&gt;"",1,0)</f>
        <v>0</v>
      </c>
      <c r="AW501" s="96" t="str">
        <f>IF(Z501=0,"",IF(AA501=1,"Cancelamento informado; ","")&amp;IF(AE501=1,"Campos essenciais ou itens faltando; ","")&amp;IF(AC501=1,"Possível duplicidade do número; ","")&amp;IF(AD501=1,"Cadastro ou datas a revisar; ","")&amp;IF(AF501&gt;0,"Item de resíduo com dado a revisar; ","")&amp;IF(AH501&gt;0,"Diferença de quantidade a analisar; ","")&amp;IF(AK501&gt;0,"Recebimento com alerta; ","")&amp;IF(AL501&gt;0,"Vínculo de CDF com alerta; ","")&amp;IF(AND(AA501=0,AN501=0),"Recebimento não confirmado; ","")&amp;IF(AND(AA501=0,AN501=1,AO501=0),"CDF pendente ou a conferir; ",""))</f>
        <v/>
      </c>
      <c r="AX501" s="96">
        <f>IF(Z501=0,0,IF(AND(OR(f_ini="",AND(ISNUMBER(E501),E501&gt;=f_ini)),OR(f_fim="",AND(ISNUMBER(E501),E501&lt;=f_fim)),OR(f_un="",f_un="(Todas)",G501=f_un),OR(f_tr="",f_tr="(Todos)",H501=f_tr),OR(f_de="",f_de="(Todos)",I501=f_de),OR(f_sit="",f_sit="(Todas)",S501=f_sit)),1,0))</f>
        <v>0</v>
      </c>
      <c r="AY501" s="96">
        <f>IF(AX501=0,0,IF(OR(f_res="",f_res="(Todos)"),1,IF(COUNTIFS('ITENS_MTR'!$S$6:$S$1005,A501,'ITENS_MTR'!$C$6:$C$1005,f_res)&gt;0,1,0)))</f>
        <v>0</v>
      </c>
      <c r="AZ501" s="97" t="str">
        <f>IF(ISNUMBER(E501),DATE(YEAR(E501),MONTH(E501),1),"")</f>
        <v/>
      </c>
      <c r="BA501" s="96">
        <f>IF(Z501=0,0,IF(AND(OR(r_ini="",AND(ISNUMBER(E501),E501&gt;=r_ini)),OR(r_fim="",AND(ISNUMBER(E501),E501&lt;=r_fim)),OR(r_un="",r_un="(Todas)",G501=r_un),OR(r_de="",r_de="(Todos)",I501=r_de)),1,0))</f>
        <v>0</v>
      </c>
      <c r="BB501" s="96" t="str">
        <f>IF(BA501=1,COUNTIF($BA$6:BA501,1),"")</f>
        <v/>
      </c>
      <c r="BC501" s="96" t="str">
        <f>IF(AND(AU501&lt;&gt;"",OR(r_un="",r_un="(Todas)",G501=r_un),OR(r_de="",r_de="(Todos)",I501=r_de)),AU501,"")</f>
        <v/>
      </c>
      <c r="BD501" s="96" t="str">
        <f>IF(Z501=1,A501&amp;" | nº "&amp;IF(B501="","(sem número)",B501)&amp;" | "&amp;IF(G501="","(sem unidade)",G501),"")</f>
        <v/>
      </c>
      <c r="BE501" s="96" t="str">
        <f>IF(Z501=1,COUNTIF($Z$6:Z501,1),"")</f>
        <v/>
      </c>
      <c r="BF501" s="96" t="str">
        <f>IF(T501="","",IF(T501="RECEBIMENTO NÃO CONFIRMADO","Transp.: "&amp;H501&amp;" | Dest.: "&amp;I501,IF(OR(T501="CDF NÃO LOCALIZADO",T501="VÍNCULO INCOMPLETO",T501="CDF A CONFERIR"),"Dest.: "&amp;I501,"Gerador: "&amp;G501)))</f>
        <v/>
      </c>
    </row>
    <row r="502">
      <c r="A502" s="89" t="inlineStr">
        <is>
          <t>MTR-000497</t>
        </is>
      </c>
      <c r="B502" s="90" t="n"/>
      <c r="C502" s="91" t="n"/>
      <c r="D502" s="91" t="n"/>
      <c r="E502" s="92" t="n"/>
      <c r="F502" s="92" t="n"/>
      <c r="G502" s="91" t="n"/>
      <c r="H502" s="91" t="n"/>
      <c r="I502" s="91" t="n"/>
      <c r="J502" s="91" t="n"/>
      <c r="K502" s="91" t="n"/>
      <c r="L502" s="92" t="n"/>
      <c r="M502" s="91" t="n"/>
      <c r="N502" s="91" t="n"/>
      <c r="O502" s="91" t="n"/>
      <c r="P502" s="93" t="str">
        <f>IF(Z502=0,"",SUMIFS('ITENS_MTR'!$I$6:$I$1005,'ITENS_MTR'!$S$6:$S$1005,A502,'ITENS_MTR'!$Y$6:$Y$1005,1))</f>
        <v/>
      </c>
      <c r="Q502" s="93" t="str">
        <f>IF(Z502=0,"",SUMIFS('RECEBIMENTOS'!$H$6:$H$1005,'RECEBIMENTOS'!$B$6:$B$1005,A502,'RECEBIMENTOS'!$X$6:$X$1005,1))</f>
        <v/>
      </c>
      <c r="R502" s="93" t="str">
        <f>IF(Z502=0,"",SUMIFS('VÍNCULOS_CDF'!$H$6:$H$1005,'VÍNCULOS_CDF'!$D$6:$D$1005,A502,'VÍNCULOS_CDF'!$V$6:$V$1005,1))</f>
        <v/>
      </c>
      <c r="S502" s="94" t="str">
        <f>IF(Z502=0,"",IF(AA502=1,"Cancelado (informado)",IF(AE502=1,"Cadastro incompleto",IF(OR(AC502=1,AD502=1,AF502&gt;0,AH502&gt;0,AK502&gt;0,AL502&gt;0),"Informação a revisar",IF(AN502=0,"Aguardando recebimento",IF(N(R502)=0,"Aguardando CDF",IF(AJ502&lt;N(W502),"Vínculo de CDF parcial",IF(AO502=0,"CDF localizado, a conferir","Documentação conferida"))))))))</f>
        <v/>
      </c>
      <c r="T502" s="94" t="str">
        <f>IF(Z502=0,"",IF(S502="Cadastro incompleto","MTR INCOMPLETO",IF(S502="Informação a revisar",IF(AND(AH502&gt;0,AC502=0,AD502=0,AF502=0,AK502=0,AL502=0),"QUANTIDADE A REVISAR","IDENTIFICAÇÃO A REVISAR"),IF(S502="Aguardando recebimento","RECEBIMENTO NÃO CONFIRMADO",IF(S502="Aguardando CDF","CDF NÃO LOCALIZADO",IF(S502="Vínculo de CDF parcial","VÍNCULO INCOMPLETO",IF(S502="CDF localizado, a conferir","CDF A CONFERIR","")))))))</f>
        <v/>
      </c>
      <c r="U502" s="95" t="str">
        <f>IF(T502="","",IF(AQ502="","Não calculável",IF(AQ502&gt;TODAY(),"Data futura",TODAY()-AQ502)))</f>
        <v/>
      </c>
      <c r="V502" s="93" t="str">
        <f>IF(Z502=0,"",SUMIFS('RECEBIMENTOS'!$H$6:$H$1005,'RECEBIMENTOS'!$B$6:$B$1005,A502,'RECEBIMENTOS'!$Z$6:$Z$1005,1))</f>
        <v/>
      </c>
      <c r="W502" s="95" t="str">
        <f>IF(Z502=0,"",COUNTIFS('ITENS_MTR'!$S$6:$S$1005,A502,'ITENS_MTR'!$R$6:$R$1005,1))</f>
        <v/>
      </c>
      <c r="X502" s="94" t="str">
        <f>IF(AC502=1,"POSSÍVEL DUPLICIDADE","")</f>
        <v/>
      </c>
      <c r="Y502" s="94" t="str">
        <f>IF(Z502=0,"",IF(AW502="","Nenhuma",LEFT(AW502,LEN(AW502)-2)))</f>
        <v/>
      </c>
      <c r="Z502" s="96">
        <f>IF(COUNTA(B502:O502)&gt;0,1,0)</f>
        <v>0</v>
      </c>
      <c r="AA502" s="96">
        <f>IF(AND(Z502=1,K502&lt;&gt;""),IF(TRIM(K502)=TRIM(cfg_cancel),1,0),0)</f>
        <v>0</v>
      </c>
      <c r="AB502" s="96" t="str">
        <f>IF(AND(Z502=1,B502&lt;&gt;""),C502&amp;"|"&amp;D502&amp;"|"&amp;G502&amp;"|"&amp;TRIM(B502),"")</f>
        <v/>
      </c>
      <c r="AC502" s="96">
        <f>IF(AB502="",0,IF(SUMPRODUCT(--($AB$6:$AB$505=AB502))&gt;1,1,0))</f>
        <v>0</v>
      </c>
      <c r="AD502" s="96">
        <f>IF(Z502=0,0,IF(OR(AND(G502&lt;&gt;"",ISNA(MATCH(G502,'CAD_UNIDADES'!$C$6:$C$105,0))),AND(H502&lt;&gt;"",ISNA(MATCH(H502,cmp_transp,0))),AND(I502&lt;&gt;"",ISNA(MATCH(I502,cmp_dest,0))),AND(E502&lt;&gt;"",NOT(ISNUMBER(E502))),AND(F502&lt;&gt;"",NOT(ISNUMBER(F502))),AND(ISNUMBER(E502),ISNUMBER(F502),F502&lt;E502)),1,0))</f>
        <v>0</v>
      </c>
      <c r="AE502" s="96">
        <f>IF(Z502=0,0,IF(OR(B502="",C502="",E502="",G502="",H502="",I502="",N(W502)=0),1,0))</f>
        <v>0</v>
      </c>
      <c r="AF502" s="96">
        <f>IF(Z502=0,0,COUNTIFS('ITENS_MTR'!$S$6:$S$1005,A502,'ITENS_MTR'!$AI$6:$AI$1005,1))</f>
        <v>0</v>
      </c>
      <c r="AG502" s="96">
        <f>IF(Z502=0,0,COUNTIFS('ITENS_MTR'!$S$6:$S$1005,A502,'ITENS_MTR'!$AJ$6:$AJ$1005,1))</f>
        <v>0</v>
      </c>
      <c r="AH502" s="96">
        <f>IF(Z502=0,0,COUNTIFS('ITENS_MTR'!$S$6:$S$1005,A502,'ITENS_MTR'!$AM$6:$AM$1005,1))</f>
        <v>0</v>
      </c>
      <c r="AI502" s="96">
        <f>IF(Z502=0,0,COUNTIFS('ITENS_MTR'!$S$6:$S$1005,A502,'ITENS_MTR'!$AO$6:$AO$1005,1))</f>
        <v>0</v>
      </c>
      <c r="AJ502" s="96">
        <f>IF(Z502=0,0,COUNTIFS('ITENS_MTR'!$S$6:$S$1005,A502,'ITENS_MTR'!$AN$6:$AN$1005,1))</f>
        <v>0</v>
      </c>
      <c r="AK502" s="96">
        <f>IF(Z502=0,0,COUNTIFS('RECEBIMENTOS'!$B$6:$B$1005,A502,'RECEBIMENTOS'!$Y$6:$Y$1005,1))</f>
        <v>0</v>
      </c>
      <c r="AL502" s="96">
        <f>IF(Z502=0,0,COUNTIFS('VÍNCULOS_CDF'!$D$6:$D$1005,A502,'VÍNCULOS_CDF'!$Y$6:$Y$1005,1))</f>
        <v>0</v>
      </c>
      <c r="AM502" s="96">
        <f>IF(Z502=0,0,COUNTIFS('RECEBIMENTOS'!$B$6:$B$1005,A502,'RECEBIMENTOS'!$Q$6:$Q$1005,1))</f>
        <v>0</v>
      </c>
      <c r="AN502" s="96">
        <f>IF(AND(Z502=1,N(W502)&gt;0,AG502=N(W502)),1,0)</f>
        <v>0</v>
      </c>
      <c r="AO502" s="96">
        <f>IF(AND(Z502=1,N(W502)&gt;0,AI502=N(W502)),1,0)</f>
        <v>0</v>
      </c>
      <c r="AP502" s="97">
        <f>IF(Z502=0,0,_xlfn.MAXIFS('RECEBIMENTOS'!$E$6:$E$1005,'RECEBIMENTOS'!$B$6:$B$1005,A502))</f>
        <v>0</v>
      </c>
      <c r="AQ502" s="97" t="str">
        <f>IF(T502="","",IF(T502="RECEBIMENTO NÃO CONFIRMADO",IF(ISNUMBER(F502),F502,IF(ISNUMBER(E502),E502,"")),IF(OR(T502="CDF NÃO LOCALIZADO",T502="VÍNCULO INCOMPLETO",T502="CDF A CONFERIR"),IF(AP502&gt;0,AP502,IF(ISNUMBER(E502),E502,"")),IF(ISNUMBER(E502),E502,""))))</f>
        <v/>
      </c>
      <c r="AR502" s="96">
        <f>IF(NOT(ISNUMBER(U502)),0,IF(T502="RECEBIMENTO NÃO CONFIRMADO",IF(AND(ISNUMBER(cfg_rec),U502&gt;cfg_rec),1,0),IF(OR(T502="CDF NÃO LOCALIZADO",T502="VÍNCULO INCOMPLETO",T502="CDF A CONFERIR"),IF(AND(ISNUMBER(cfg_cdf),U502&gt;cfg_cdf),1,0),0)))</f>
        <v>0</v>
      </c>
      <c r="AS502" s="96" t="str">
        <f>IF(T502="","",IF(AR502=1,"Alta",IFERROR(INDEX(cfg_pp,MATCH(T502,cfg_pt,0))&amp;"","Média")))</f>
        <v/>
      </c>
      <c r="AT502" s="96" t="str">
        <f>IF(T502="","",IFERROR(INDEX(cfg_pv,MATCH(T502,cfg_pt,0))&amp;"",""))</f>
        <v/>
      </c>
      <c r="AU502" s="96" t="str">
        <f>IF(T502="","",IF(AS502="Alta",1,IF(AS502="Média",2,3))*1000000000+(999999-IF(ISNUMBER(U502),MIN(U502,999999),0))*1000+497)</f>
        <v/>
      </c>
      <c r="AV502" s="96">
        <f>IF(T502&lt;&gt;"",1,0)</f>
        <v>0</v>
      </c>
      <c r="AW502" s="96" t="str">
        <f>IF(Z502=0,"",IF(AA502=1,"Cancelamento informado; ","")&amp;IF(AE502=1,"Campos essenciais ou itens faltando; ","")&amp;IF(AC502=1,"Possível duplicidade do número; ","")&amp;IF(AD502=1,"Cadastro ou datas a revisar; ","")&amp;IF(AF502&gt;0,"Item de resíduo com dado a revisar; ","")&amp;IF(AH502&gt;0,"Diferença de quantidade a analisar; ","")&amp;IF(AK502&gt;0,"Recebimento com alerta; ","")&amp;IF(AL502&gt;0,"Vínculo de CDF com alerta; ","")&amp;IF(AND(AA502=0,AN502=0),"Recebimento não confirmado; ","")&amp;IF(AND(AA502=0,AN502=1,AO502=0),"CDF pendente ou a conferir; ",""))</f>
        <v/>
      </c>
      <c r="AX502" s="96">
        <f>IF(Z502=0,0,IF(AND(OR(f_ini="",AND(ISNUMBER(E502),E502&gt;=f_ini)),OR(f_fim="",AND(ISNUMBER(E502),E502&lt;=f_fim)),OR(f_un="",f_un="(Todas)",G502=f_un),OR(f_tr="",f_tr="(Todos)",H502=f_tr),OR(f_de="",f_de="(Todos)",I502=f_de),OR(f_sit="",f_sit="(Todas)",S502=f_sit)),1,0))</f>
        <v>0</v>
      </c>
      <c r="AY502" s="96">
        <f>IF(AX502=0,0,IF(OR(f_res="",f_res="(Todos)"),1,IF(COUNTIFS('ITENS_MTR'!$S$6:$S$1005,A502,'ITENS_MTR'!$C$6:$C$1005,f_res)&gt;0,1,0)))</f>
        <v>0</v>
      </c>
      <c r="AZ502" s="97" t="str">
        <f>IF(ISNUMBER(E502),DATE(YEAR(E502),MONTH(E502),1),"")</f>
        <v/>
      </c>
      <c r="BA502" s="96">
        <f>IF(Z502=0,0,IF(AND(OR(r_ini="",AND(ISNUMBER(E502),E502&gt;=r_ini)),OR(r_fim="",AND(ISNUMBER(E502),E502&lt;=r_fim)),OR(r_un="",r_un="(Todas)",G502=r_un),OR(r_de="",r_de="(Todos)",I502=r_de)),1,0))</f>
        <v>0</v>
      </c>
      <c r="BB502" s="96" t="str">
        <f>IF(BA502=1,COUNTIF($BA$6:BA502,1),"")</f>
        <v/>
      </c>
      <c r="BC502" s="96" t="str">
        <f>IF(AND(AU502&lt;&gt;"",OR(r_un="",r_un="(Todas)",G502=r_un),OR(r_de="",r_de="(Todos)",I502=r_de)),AU502,"")</f>
        <v/>
      </c>
      <c r="BD502" s="96" t="str">
        <f>IF(Z502=1,A502&amp;" | nº "&amp;IF(B502="","(sem número)",B502)&amp;" | "&amp;IF(G502="","(sem unidade)",G502),"")</f>
        <v/>
      </c>
      <c r="BE502" s="96" t="str">
        <f>IF(Z502=1,COUNTIF($Z$6:Z502,1),"")</f>
        <v/>
      </c>
      <c r="BF502" s="96" t="str">
        <f>IF(T502="","",IF(T502="RECEBIMENTO NÃO CONFIRMADO","Transp.: "&amp;H502&amp;" | Dest.: "&amp;I502,IF(OR(T502="CDF NÃO LOCALIZADO",T502="VÍNCULO INCOMPLETO",T502="CDF A CONFERIR"),"Dest.: "&amp;I502,"Gerador: "&amp;G502)))</f>
        <v/>
      </c>
    </row>
    <row r="503">
      <c r="A503" s="89" t="inlineStr">
        <is>
          <t>MTR-000498</t>
        </is>
      </c>
      <c r="B503" s="90" t="n"/>
      <c r="C503" s="91" t="n"/>
      <c r="D503" s="91" t="n"/>
      <c r="E503" s="92" t="n"/>
      <c r="F503" s="92" t="n"/>
      <c r="G503" s="91" t="n"/>
      <c r="H503" s="91" t="n"/>
      <c r="I503" s="91" t="n"/>
      <c r="J503" s="91" t="n"/>
      <c r="K503" s="91" t="n"/>
      <c r="L503" s="92" t="n"/>
      <c r="M503" s="91" t="n"/>
      <c r="N503" s="91" t="n"/>
      <c r="O503" s="91" t="n"/>
      <c r="P503" s="93" t="str">
        <f>IF(Z503=0,"",SUMIFS('ITENS_MTR'!$I$6:$I$1005,'ITENS_MTR'!$S$6:$S$1005,A503,'ITENS_MTR'!$Y$6:$Y$1005,1))</f>
        <v/>
      </c>
      <c r="Q503" s="93" t="str">
        <f>IF(Z503=0,"",SUMIFS('RECEBIMENTOS'!$H$6:$H$1005,'RECEBIMENTOS'!$B$6:$B$1005,A503,'RECEBIMENTOS'!$X$6:$X$1005,1))</f>
        <v/>
      </c>
      <c r="R503" s="93" t="str">
        <f>IF(Z503=0,"",SUMIFS('VÍNCULOS_CDF'!$H$6:$H$1005,'VÍNCULOS_CDF'!$D$6:$D$1005,A503,'VÍNCULOS_CDF'!$V$6:$V$1005,1))</f>
        <v/>
      </c>
      <c r="S503" s="94" t="str">
        <f>IF(Z503=0,"",IF(AA503=1,"Cancelado (informado)",IF(AE503=1,"Cadastro incompleto",IF(OR(AC503=1,AD503=1,AF503&gt;0,AH503&gt;0,AK503&gt;0,AL503&gt;0),"Informação a revisar",IF(AN503=0,"Aguardando recebimento",IF(N(R503)=0,"Aguardando CDF",IF(AJ503&lt;N(W503),"Vínculo de CDF parcial",IF(AO503=0,"CDF localizado, a conferir","Documentação conferida"))))))))</f>
        <v/>
      </c>
      <c r="T503" s="94" t="str">
        <f>IF(Z503=0,"",IF(S503="Cadastro incompleto","MTR INCOMPLETO",IF(S503="Informação a revisar",IF(AND(AH503&gt;0,AC503=0,AD503=0,AF503=0,AK503=0,AL503=0),"QUANTIDADE A REVISAR","IDENTIFICAÇÃO A REVISAR"),IF(S503="Aguardando recebimento","RECEBIMENTO NÃO CONFIRMADO",IF(S503="Aguardando CDF","CDF NÃO LOCALIZADO",IF(S503="Vínculo de CDF parcial","VÍNCULO INCOMPLETO",IF(S503="CDF localizado, a conferir","CDF A CONFERIR","")))))))</f>
        <v/>
      </c>
      <c r="U503" s="95" t="str">
        <f>IF(T503="","",IF(AQ503="","Não calculável",IF(AQ503&gt;TODAY(),"Data futura",TODAY()-AQ503)))</f>
        <v/>
      </c>
      <c r="V503" s="93" t="str">
        <f>IF(Z503=0,"",SUMIFS('RECEBIMENTOS'!$H$6:$H$1005,'RECEBIMENTOS'!$B$6:$B$1005,A503,'RECEBIMENTOS'!$Z$6:$Z$1005,1))</f>
        <v/>
      </c>
      <c r="W503" s="95" t="str">
        <f>IF(Z503=0,"",COUNTIFS('ITENS_MTR'!$S$6:$S$1005,A503,'ITENS_MTR'!$R$6:$R$1005,1))</f>
        <v/>
      </c>
      <c r="X503" s="94" t="str">
        <f>IF(AC503=1,"POSSÍVEL DUPLICIDADE","")</f>
        <v/>
      </c>
      <c r="Y503" s="94" t="str">
        <f>IF(Z503=0,"",IF(AW503="","Nenhuma",LEFT(AW503,LEN(AW503)-2)))</f>
        <v/>
      </c>
      <c r="Z503" s="96">
        <f>IF(COUNTA(B503:O503)&gt;0,1,0)</f>
        <v>0</v>
      </c>
      <c r="AA503" s="96">
        <f>IF(AND(Z503=1,K503&lt;&gt;""),IF(TRIM(K503)=TRIM(cfg_cancel),1,0),0)</f>
        <v>0</v>
      </c>
      <c r="AB503" s="96" t="str">
        <f>IF(AND(Z503=1,B503&lt;&gt;""),C503&amp;"|"&amp;D503&amp;"|"&amp;G503&amp;"|"&amp;TRIM(B503),"")</f>
        <v/>
      </c>
      <c r="AC503" s="96">
        <f>IF(AB503="",0,IF(SUMPRODUCT(--($AB$6:$AB$505=AB503))&gt;1,1,0))</f>
        <v>0</v>
      </c>
      <c r="AD503" s="96">
        <f>IF(Z503=0,0,IF(OR(AND(G503&lt;&gt;"",ISNA(MATCH(G503,'CAD_UNIDADES'!$C$6:$C$105,0))),AND(H503&lt;&gt;"",ISNA(MATCH(H503,cmp_transp,0))),AND(I503&lt;&gt;"",ISNA(MATCH(I503,cmp_dest,0))),AND(E503&lt;&gt;"",NOT(ISNUMBER(E503))),AND(F503&lt;&gt;"",NOT(ISNUMBER(F503))),AND(ISNUMBER(E503),ISNUMBER(F503),F503&lt;E503)),1,0))</f>
        <v>0</v>
      </c>
      <c r="AE503" s="96">
        <f>IF(Z503=0,0,IF(OR(B503="",C503="",E503="",G503="",H503="",I503="",N(W503)=0),1,0))</f>
        <v>0</v>
      </c>
      <c r="AF503" s="96">
        <f>IF(Z503=0,0,COUNTIFS('ITENS_MTR'!$S$6:$S$1005,A503,'ITENS_MTR'!$AI$6:$AI$1005,1))</f>
        <v>0</v>
      </c>
      <c r="AG503" s="96">
        <f>IF(Z503=0,0,COUNTIFS('ITENS_MTR'!$S$6:$S$1005,A503,'ITENS_MTR'!$AJ$6:$AJ$1005,1))</f>
        <v>0</v>
      </c>
      <c r="AH503" s="96">
        <f>IF(Z503=0,0,COUNTIFS('ITENS_MTR'!$S$6:$S$1005,A503,'ITENS_MTR'!$AM$6:$AM$1005,1))</f>
        <v>0</v>
      </c>
      <c r="AI503" s="96">
        <f>IF(Z503=0,0,COUNTIFS('ITENS_MTR'!$S$6:$S$1005,A503,'ITENS_MTR'!$AO$6:$AO$1005,1))</f>
        <v>0</v>
      </c>
      <c r="AJ503" s="96">
        <f>IF(Z503=0,0,COUNTIFS('ITENS_MTR'!$S$6:$S$1005,A503,'ITENS_MTR'!$AN$6:$AN$1005,1))</f>
        <v>0</v>
      </c>
      <c r="AK503" s="96">
        <f>IF(Z503=0,0,COUNTIFS('RECEBIMENTOS'!$B$6:$B$1005,A503,'RECEBIMENTOS'!$Y$6:$Y$1005,1))</f>
        <v>0</v>
      </c>
      <c r="AL503" s="96">
        <f>IF(Z503=0,0,COUNTIFS('VÍNCULOS_CDF'!$D$6:$D$1005,A503,'VÍNCULOS_CDF'!$Y$6:$Y$1005,1))</f>
        <v>0</v>
      </c>
      <c r="AM503" s="96">
        <f>IF(Z503=0,0,COUNTIFS('RECEBIMENTOS'!$B$6:$B$1005,A503,'RECEBIMENTOS'!$Q$6:$Q$1005,1))</f>
        <v>0</v>
      </c>
      <c r="AN503" s="96">
        <f>IF(AND(Z503=1,N(W503)&gt;0,AG503=N(W503)),1,0)</f>
        <v>0</v>
      </c>
      <c r="AO503" s="96">
        <f>IF(AND(Z503=1,N(W503)&gt;0,AI503=N(W503)),1,0)</f>
        <v>0</v>
      </c>
      <c r="AP503" s="97">
        <f>IF(Z503=0,0,_xlfn.MAXIFS('RECEBIMENTOS'!$E$6:$E$1005,'RECEBIMENTOS'!$B$6:$B$1005,A503))</f>
        <v>0</v>
      </c>
      <c r="AQ503" s="97" t="str">
        <f>IF(T503="","",IF(T503="RECEBIMENTO NÃO CONFIRMADO",IF(ISNUMBER(F503),F503,IF(ISNUMBER(E503),E503,"")),IF(OR(T503="CDF NÃO LOCALIZADO",T503="VÍNCULO INCOMPLETO",T503="CDF A CONFERIR"),IF(AP503&gt;0,AP503,IF(ISNUMBER(E503),E503,"")),IF(ISNUMBER(E503),E503,""))))</f>
        <v/>
      </c>
      <c r="AR503" s="96">
        <f>IF(NOT(ISNUMBER(U503)),0,IF(T503="RECEBIMENTO NÃO CONFIRMADO",IF(AND(ISNUMBER(cfg_rec),U503&gt;cfg_rec),1,0),IF(OR(T503="CDF NÃO LOCALIZADO",T503="VÍNCULO INCOMPLETO",T503="CDF A CONFERIR"),IF(AND(ISNUMBER(cfg_cdf),U503&gt;cfg_cdf),1,0),0)))</f>
        <v>0</v>
      </c>
      <c r="AS503" s="96" t="str">
        <f>IF(T503="","",IF(AR503=1,"Alta",IFERROR(INDEX(cfg_pp,MATCH(T503,cfg_pt,0))&amp;"","Média")))</f>
        <v/>
      </c>
      <c r="AT503" s="96" t="str">
        <f>IF(T503="","",IFERROR(INDEX(cfg_pv,MATCH(T503,cfg_pt,0))&amp;"",""))</f>
        <v/>
      </c>
      <c r="AU503" s="96" t="str">
        <f>IF(T503="","",IF(AS503="Alta",1,IF(AS503="Média",2,3))*1000000000+(999999-IF(ISNUMBER(U503),MIN(U503,999999),0))*1000+498)</f>
        <v/>
      </c>
      <c r="AV503" s="96">
        <f>IF(T503&lt;&gt;"",1,0)</f>
        <v>0</v>
      </c>
      <c r="AW503" s="96" t="str">
        <f>IF(Z503=0,"",IF(AA503=1,"Cancelamento informado; ","")&amp;IF(AE503=1,"Campos essenciais ou itens faltando; ","")&amp;IF(AC503=1,"Possível duplicidade do número; ","")&amp;IF(AD503=1,"Cadastro ou datas a revisar; ","")&amp;IF(AF503&gt;0,"Item de resíduo com dado a revisar; ","")&amp;IF(AH503&gt;0,"Diferença de quantidade a analisar; ","")&amp;IF(AK503&gt;0,"Recebimento com alerta; ","")&amp;IF(AL503&gt;0,"Vínculo de CDF com alerta; ","")&amp;IF(AND(AA503=0,AN503=0),"Recebimento não confirmado; ","")&amp;IF(AND(AA503=0,AN503=1,AO503=0),"CDF pendente ou a conferir; ",""))</f>
        <v/>
      </c>
      <c r="AX503" s="96">
        <f>IF(Z503=0,0,IF(AND(OR(f_ini="",AND(ISNUMBER(E503),E503&gt;=f_ini)),OR(f_fim="",AND(ISNUMBER(E503),E503&lt;=f_fim)),OR(f_un="",f_un="(Todas)",G503=f_un),OR(f_tr="",f_tr="(Todos)",H503=f_tr),OR(f_de="",f_de="(Todos)",I503=f_de),OR(f_sit="",f_sit="(Todas)",S503=f_sit)),1,0))</f>
        <v>0</v>
      </c>
      <c r="AY503" s="96">
        <f>IF(AX503=0,0,IF(OR(f_res="",f_res="(Todos)"),1,IF(COUNTIFS('ITENS_MTR'!$S$6:$S$1005,A503,'ITENS_MTR'!$C$6:$C$1005,f_res)&gt;0,1,0)))</f>
        <v>0</v>
      </c>
      <c r="AZ503" s="97" t="str">
        <f>IF(ISNUMBER(E503),DATE(YEAR(E503),MONTH(E503),1),"")</f>
        <v/>
      </c>
      <c r="BA503" s="96">
        <f>IF(Z503=0,0,IF(AND(OR(r_ini="",AND(ISNUMBER(E503),E503&gt;=r_ini)),OR(r_fim="",AND(ISNUMBER(E503),E503&lt;=r_fim)),OR(r_un="",r_un="(Todas)",G503=r_un),OR(r_de="",r_de="(Todos)",I503=r_de)),1,0))</f>
        <v>0</v>
      </c>
      <c r="BB503" s="96" t="str">
        <f>IF(BA503=1,COUNTIF($BA$6:BA503,1),"")</f>
        <v/>
      </c>
      <c r="BC503" s="96" t="str">
        <f>IF(AND(AU503&lt;&gt;"",OR(r_un="",r_un="(Todas)",G503=r_un),OR(r_de="",r_de="(Todos)",I503=r_de)),AU503,"")</f>
        <v/>
      </c>
      <c r="BD503" s="96" t="str">
        <f>IF(Z503=1,A503&amp;" | nº "&amp;IF(B503="","(sem número)",B503)&amp;" | "&amp;IF(G503="","(sem unidade)",G503),"")</f>
        <v/>
      </c>
      <c r="BE503" s="96" t="str">
        <f>IF(Z503=1,COUNTIF($Z$6:Z503,1),"")</f>
        <v/>
      </c>
      <c r="BF503" s="96" t="str">
        <f>IF(T503="","",IF(T503="RECEBIMENTO NÃO CONFIRMADO","Transp.: "&amp;H503&amp;" | Dest.: "&amp;I503,IF(OR(T503="CDF NÃO LOCALIZADO",T503="VÍNCULO INCOMPLETO",T503="CDF A CONFERIR"),"Dest.: "&amp;I503,"Gerador: "&amp;G503)))</f>
        <v/>
      </c>
    </row>
    <row r="504">
      <c r="A504" s="89" t="inlineStr">
        <is>
          <t>MTR-000499</t>
        </is>
      </c>
      <c r="B504" s="90" t="n"/>
      <c r="C504" s="91" t="n"/>
      <c r="D504" s="91" t="n"/>
      <c r="E504" s="92" t="n"/>
      <c r="F504" s="92" t="n"/>
      <c r="G504" s="91" t="n"/>
      <c r="H504" s="91" t="n"/>
      <c r="I504" s="91" t="n"/>
      <c r="J504" s="91" t="n"/>
      <c r="K504" s="91" t="n"/>
      <c r="L504" s="92" t="n"/>
      <c r="M504" s="91" t="n"/>
      <c r="N504" s="91" t="n"/>
      <c r="O504" s="91" t="n"/>
      <c r="P504" s="93" t="str">
        <f>IF(Z504=0,"",SUMIFS('ITENS_MTR'!$I$6:$I$1005,'ITENS_MTR'!$S$6:$S$1005,A504,'ITENS_MTR'!$Y$6:$Y$1005,1))</f>
        <v/>
      </c>
      <c r="Q504" s="93" t="str">
        <f>IF(Z504=0,"",SUMIFS('RECEBIMENTOS'!$H$6:$H$1005,'RECEBIMENTOS'!$B$6:$B$1005,A504,'RECEBIMENTOS'!$X$6:$X$1005,1))</f>
        <v/>
      </c>
      <c r="R504" s="93" t="str">
        <f>IF(Z504=0,"",SUMIFS('VÍNCULOS_CDF'!$H$6:$H$1005,'VÍNCULOS_CDF'!$D$6:$D$1005,A504,'VÍNCULOS_CDF'!$V$6:$V$1005,1))</f>
        <v/>
      </c>
      <c r="S504" s="94" t="str">
        <f>IF(Z504=0,"",IF(AA504=1,"Cancelado (informado)",IF(AE504=1,"Cadastro incompleto",IF(OR(AC504=1,AD504=1,AF504&gt;0,AH504&gt;0,AK504&gt;0,AL504&gt;0),"Informação a revisar",IF(AN504=0,"Aguardando recebimento",IF(N(R504)=0,"Aguardando CDF",IF(AJ504&lt;N(W504),"Vínculo de CDF parcial",IF(AO504=0,"CDF localizado, a conferir","Documentação conferida"))))))))</f>
        <v/>
      </c>
      <c r="T504" s="94" t="str">
        <f>IF(Z504=0,"",IF(S504="Cadastro incompleto","MTR INCOMPLETO",IF(S504="Informação a revisar",IF(AND(AH504&gt;0,AC504=0,AD504=0,AF504=0,AK504=0,AL504=0),"QUANTIDADE A REVISAR","IDENTIFICAÇÃO A REVISAR"),IF(S504="Aguardando recebimento","RECEBIMENTO NÃO CONFIRMADO",IF(S504="Aguardando CDF","CDF NÃO LOCALIZADO",IF(S504="Vínculo de CDF parcial","VÍNCULO INCOMPLETO",IF(S504="CDF localizado, a conferir","CDF A CONFERIR","")))))))</f>
        <v/>
      </c>
      <c r="U504" s="95" t="str">
        <f>IF(T504="","",IF(AQ504="","Não calculável",IF(AQ504&gt;TODAY(),"Data futura",TODAY()-AQ504)))</f>
        <v/>
      </c>
      <c r="V504" s="93" t="str">
        <f>IF(Z504=0,"",SUMIFS('RECEBIMENTOS'!$H$6:$H$1005,'RECEBIMENTOS'!$B$6:$B$1005,A504,'RECEBIMENTOS'!$Z$6:$Z$1005,1))</f>
        <v/>
      </c>
      <c r="W504" s="95" t="str">
        <f>IF(Z504=0,"",COUNTIFS('ITENS_MTR'!$S$6:$S$1005,A504,'ITENS_MTR'!$R$6:$R$1005,1))</f>
        <v/>
      </c>
      <c r="X504" s="94" t="str">
        <f>IF(AC504=1,"POSSÍVEL DUPLICIDADE","")</f>
        <v/>
      </c>
      <c r="Y504" s="94" t="str">
        <f>IF(Z504=0,"",IF(AW504="","Nenhuma",LEFT(AW504,LEN(AW504)-2)))</f>
        <v/>
      </c>
      <c r="Z504" s="96">
        <f>IF(COUNTA(B504:O504)&gt;0,1,0)</f>
        <v>0</v>
      </c>
      <c r="AA504" s="96">
        <f>IF(AND(Z504=1,K504&lt;&gt;""),IF(TRIM(K504)=TRIM(cfg_cancel),1,0),0)</f>
        <v>0</v>
      </c>
      <c r="AB504" s="96" t="str">
        <f>IF(AND(Z504=1,B504&lt;&gt;""),C504&amp;"|"&amp;D504&amp;"|"&amp;G504&amp;"|"&amp;TRIM(B504),"")</f>
        <v/>
      </c>
      <c r="AC504" s="96">
        <f>IF(AB504="",0,IF(SUMPRODUCT(--($AB$6:$AB$505=AB504))&gt;1,1,0))</f>
        <v>0</v>
      </c>
      <c r="AD504" s="96">
        <f>IF(Z504=0,0,IF(OR(AND(G504&lt;&gt;"",ISNA(MATCH(G504,'CAD_UNIDADES'!$C$6:$C$105,0))),AND(H504&lt;&gt;"",ISNA(MATCH(H504,cmp_transp,0))),AND(I504&lt;&gt;"",ISNA(MATCH(I504,cmp_dest,0))),AND(E504&lt;&gt;"",NOT(ISNUMBER(E504))),AND(F504&lt;&gt;"",NOT(ISNUMBER(F504))),AND(ISNUMBER(E504),ISNUMBER(F504),F504&lt;E504)),1,0))</f>
        <v>0</v>
      </c>
      <c r="AE504" s="96">
        <f>IF(Z504=0,0,IF(OR(B504="",C504="",E504="",G504="",H504="",I504="",N(W504)=0),1,0))</f>
        <v>0</v>
      </c>
      <c r="AF504" s="96">
        <f>IF(Z504=0,0,COUNTIFS('ITENS_MTR'!$S$6:$S$1005,A504,'ITENS_MTR'!$AI$6:$AI$1005,1))</f>
        <v>0</v>
      </c>
      <c r="AG504" s="96">
        <f>IF(Z504=0,0,COUNTIFS('ITENS_MTR'!$S$6:$S$1005,A504,'ITENS_MTR'!$AJ$6:$AJ$1005,1))</f>
        <v>0</v>
      </c>
      <c r="AH504" s="96">
        <f>IF(Z504=0,0,COUNTIFS('ITENS_MTR'!$S$6:$S$1005,A504,'ITENS_MTR'!$AM$6:$AM$1005,1))</f>
        <v>0</v>
      </c>
      <c r="AI504" s="96">
        <f>IF(Z504=0,0,COUNTIFS('ITENS_MTR'!$S$6:$S$1005,A504,'ITENS_MTR'!$AO$6:$AO$1005,1))</f>
        <v>0</v>
      </c>
      <c r="AJ504" s="96">
        <f>IF(Z504=0,0,COUNTIFS('ITENS_MTR'!$S$6:$S$1005,A504,'ITENS_MTR'!$AN$6:$AN$1005,1))</f>
        <v>0</v>
      </c>
      <c r="AK504" s="96">
        <f>IF(Z504=0,0,COUNTIFS('RECEBIMENTOS'!$B$6:$B$1005,A504,'RECEBIMENTOS'!$Y$6:$Y$1005,1))</f>
        <v>0</v>
      </c>
      <c r="AL504" s="96">
        <f>IF(Z504=0,0,COUNTIFS('VÍNCULOS_CDF'!$D$6:$D$1005,A504,'VÍNCULOS_CDF'!$Y$6:$Y$1005,1))</f>
        <v>0</v>
      </c>
      <c r="AM504" s="96">
        <f>IF(Z504=0,0,COUNTIFS('RECEBIMENTOS'!$B$6:$B$1005,A504,'RECEBIMENTOS'!$Q$6:$Q$1005,1))</f>
        <v>0</v>
      </c>
      <c r="AN504" s="96">
        <f>IF(AND(Z504=1,N(W504)&gt;0,AG504=N(W504)),1,0)</f>
        <v>0</v>
      </c>
      <c r="AO504" s="96">
        <f>IF(AND(Z504=1,N(W504)&gt;0,AI504=N(W504)),1,0)</f>
        <v>0</v>
      </c>
      <c r="AP504" s="97">
        <f>IF(Z504=0,0,_xlfn.MAXIFS('RECEBIMENTOS'!$E$6:$E$1005,'RECEBIMENTOS'!$B$6:$B$1005,A504))</f>
        <v>0</v>
      </c>
      <c r="AQ504" s="97" t="str">
        <f>IF(T504="","",IF(T504="RECEBIMENTO NÃO CONFIRMADO",IF(ISNUMBER(F504),F504,IF(ISNUMBER(E504),E504,"")),IF(OR(T504="CDF NÃO LOCALIZADO",T504="VÍNCULO INCOMPLETO",T504="CDF A CONFERIR"),IF(AP504&gt;0,AP504,IF(ISNUMBER(E504),E504,"")),IF(ISNUMBER(E504),E504,""))))</f>
        <v/>
      </c>
      <c r="AR504" s="96">
        <f>IF(NOT(ISNUMBER(U504)),0,IF(T504="RECEBIMENTO NÃO CONFIRMADO",IF(AND(ISNUMBER(cfg_rec),U504&gt;cfg_rec),1,0),IF(OR(T504="CDF NÃO LOCALIZADO",T504="VÍNCULO INCOMPLETO",T504="CDF A CONFERIR"),IF(AND(ISNUMBER(cfg_cdf),U504&gt;cfg_cdf),1,0),0)))</f>
        <v>0</v>
      </c>
      <c r="AS504" s="96" t="str">
        <f>IF(T504="","",IF(AR504=1,"Alta",IFERROR(INDEX(cfg_pp,MATCH(T504,cfg_pt,0))&amp;"","Média")))</f>
        <v/>
      </c>
      <c r="AT504" s="96" t="str">
        <f>IF(T504="","",IFERROR(INDEX(cfg_pv,MATCH(T504,cfg_pt,0))&amp;"",""))</f>
        <v/>
      </c>
      <c r="AU504" s="96" t="str">
        <f>IF(T504="","",IF(AS504="Alta",1,IF(AS504="Média",2,3))*1000000000+(999999-IF(ISNUMBER(U504),MIN(U504,999999),0))*1000+499)</f>
        <v/>
      </c>
      <c r="AV504" s="96">
        <f>IF(T504&lt;&gt;"",1,0)</f>
        <v>0</v>
      </c>
      <c r="AW504" s="96" t="str">
        <f>IF(Z504=0,"",IF(AA504=1,"Cancelamento informado; ","")&amp;IF(AE504=1,"Campos essenciais ou itens faltando; ","")&amp;IF(AC504=1,"Possível duplicidade do número; ","")&amp;IF(AD504=1,"Cadastro ou datas a revisar; ","")&amp;IF(AF504&gt;0,"Item de resíduo com dado a revisar; ","")&amp;IF(AH504&gt;0,"Diferença de quantidade a analisar; ","")&amp;IF(AK504&gt;0,"Recebimento com alerta; ","")&amp;IF(AL504&gt;0,"Vínculo de CDF com alerta; ","")&amp;IF(AND(AA504=0,AN504=0),"Recebimento não confirmado; ","")&amp;IF(AND(AA504=0,AN504=1,AO504=0),"CDF pendente ou a conferir; ",""))</f>
        <v/>
      </c>
      <c r="AX504" s="96">
        <f>IF(Z504=0,0,IF(AND(OR(f_ini="",AND(ISNUMBER(E504),E504&gt;=f_ini)),OR(f_fim="",AND(ISNUMBER(E504),E504&lt;=f_fim)),OR(f_un="",f_un="(Todas)",G504=f_un),OR(f_tr="",f_tr="(Todos)",H504=f_tr),OR(f_de="",f_de="(Todos)",I504=f_de),OR(f_sit="",f_sit="(Todas)",S504=f_sit)),1,0))</f>
        <v>0</v>
      </c>
      <c r="AY504" s="96">
        <f>IF(AX504=0,0,IF(OR(f_res="",f_res="(Todos)"),1,IF(COUNTIFS('ITENS_MTR'!$S$6:$S$1005,A504,'ITENS_MTR'!$C$6:$C$1005,f_res)&gt;0,1,0)))</f>
        <v>0</v>
      </c>
      <c r="AZ504" s="97" t="str">
        <f>IF(ISNUMBER(E504),DATE(YEAR(E504),MONTH(E504),1),"")</f>
        <v/>
      </c>
      <c r="BA504" s="96">
        <f>IF(Z504=0,0,IF(AND(OR(r_ini="",AND(ISNUMBER(E504),E504&gt;=r_ini)),OR(r_fim="",AND(ISNUMBER(E504),E504&lt;=r_fim)),OR(r_un="",r_un="(Todas)",G504=r_un),OR(r_de="",r_de="(Todos)",I504=r_de)),1,0))</f>
        <v>0</v>
      </c>
      <c r="BB504" s="96" t="str">
        <f>IF(BA504=1,COUNTIF($BA$6:BA504,1),"")</f>
        <v/>
      </c>
      <c r="BC504" s="96" t="str">
        <f>IF(AND(AU504&lt;&gt;"",OR(r_un="",r_un="(Todas)",G504=r_un),OR(r_de="",r_de="(Todos)",I504=r_de)),AU504,"")</f>
        <v/>
      </c>
      <c r="BD504" s="96" t="str">
        <f>IF(Z504=1,A504&amp;" | nº "&amp;IF(B504="","(sem número)",B504)&amp;" | "&amp;IF(G504="","(sem unidade)",G504),"")</f>
        <v/>
      </c>
      <c r="BE504" s="96" t="str">
        <f>IF(Z504=1,COUNTIF($Z$6:Z504,1),"")</f>
        <v/>
      </c>
      <c r="BF504" s="96" t="str">
        <f>IF(T504="","",IF(T504="RECEBIMENTO NÃO CONFIRMADO","Transp.: "&amp;H504&amp;" | Dest.: "&amp;I504,IF(OR(T504="CDF NÃO LOCALIZADO",T504="VÍNCULO INCOMPLETO",T504="CDF A CONFERIR"),"Dest.: "&amp;I504,"Gerador: "&amp;G504)))</f>
        <v/>
      </c>
    </row>
    <row r="505">
      <c r="A505" s="89" t="inlineStr">
        <is>
          <t>MTR-000500</t>
        </is>
      </c>
      <c r="B505" s="90" t="n"/>
      <c r="C505" s="91" t="n"/>
      <c r="D505" s="91" t="n"/>
      <c r="E505" s="92" t="n"/>
      <c r="F505" s="92" t="n"/>
      <c r="G505" s="91" t="n"/>
      <c r="H505" s="91" t="n"/>
      <c r="I505" s="91" t="n"/>
      <c r="J505" s="91" t="n"/>
      <c r="K505" s="91" t="n"/>
      <c r="L505" s="92" t="n"/>
      <c r="M505" s="91" t="n"/>
      <c r="N505" s="91" t="n"/>
      <c r="O505" s="91" t="n"/>
      <c r="P505" s="93" t="str">
        <f>IF(Z505=0,"",SUMIFS('ITENS_MTR'!$I$6:$I$1005,'ITENS_MTR'!$S$6:$S$1005,A505,'ITENS_MTR'!$Y$6:$Y$1005,1))</f>
        <v/>
      </c>
      <c r="Q505" s="93" t="str">
        <f>IF(Z505=0,"",SUMIFS('RECEBIMENTOS'!$H$6:$H$1005,'RECEBIMENTOS'!$B$6:$B$1005,A505,'RECEBIMENTOS'!$X$6:$X$1005,1))</f>
        <v/>
      </c>
      <c r="R505" s="93" t="str">
        <f>IF(Z505=0,"",SUMIFS('VÍNCULOS_CDF'!$H$6:$H$1005,'VÍNCULOS_CDF'!$D$6:$D$1005,A505,'VÍNCULOS_CDF'!$V$6:$V$1005,1))</f>
        <v/>
      </c>
      <c r="S505" s="94" t="str">
        <f>IF(Z505=0,"",IF(AA505=1,"Cancelado (informado)",IF(AE505=1,"Cadastro incompleto",IF(OR(AC505=1,AD505=1,AF505&gt;0,AH505&gt;0,AK505&gt;0,AL505&gt;0),"Informação a revisar",IF(AN505=0,"Aguardando recebimento",IF(N(R505)=0,"Aguardando CDF",IF(AJ505&lt;N(W505),"Vínculo de CDF parcial",IF(AO505=0,"CDF localizado, a conferir","Documentação conferida"))))))))</f>
        <v/>
      </c>
      <c r="T505" s="94" t="str">
        <f>IF(Z505=0,"",IF(S505="Cadastro incompleto","MTR INCOMPLETO",IF(S505="Informação a revisar",IF(AND(AH505&gt;0,AC505=0,AD505=0,AF505=0,AK505=0,AL505=0),"QUANTIDADE A REVISAR","IDENTIFICAÇÃO A REVISAR"),IF(S505="Aguardando recebimento","RECEBIMENTO NÃO CONFIRMADO",IF(S505="Aguardando CDF","CDF NÃO LOCALIZADO",IF(S505="Vínculo de CDF parcial","VÍNCULO INCOMPLETO",IF(S505="CDF localizado, a conferir","CDF A CONFERIR","")))))))</f>
        <v/>
      </c>
      <c r="U505" s="95" t="str">
        <f>IF(T505="","",IF(AQ505="","Não calculável",IF(AQ505&gt;TODAY(),"Data futura",TODAY()-AQ505)))</f>
        <v/>
      </c>
      <c r="V505" s="93" t="str">
        <f>IF(Z505=0,"",SUMIFS('RECEBIMENTOS'!$H$6:$H$1005,'RECEBIMENTOS'!$B$6:$B$1005,A505,'RECEBIMENTOS'!$Z$6:$Z$1005,1))</f>
        <v/>
      </c>
      <c r="W505" s="95" t="str">
        <f>IF(Z505=0,"",COUNTIFS('ITENS_MTR'!$S$6:$S$1005,A505,'ITENS_MTR'!$R$6:$R$1005,1))</f>
        <v/>
      </c>
      <c r="X505" s="94" t="str">
        <f>IF(AC505=1,"POSSÍVEL DUPLICIDADE","")</f>
        <v/>
      </c>
      <c r="Y505" s="94" t="str">
        <f>IF(Z505=0,"",IF(AW505="","Nenhuma",LEFT(AW505,LEN(AW505)-2)))</f>
        <v/>
      </c>
      <c r="Z505" s="96">
        <f>IF(COUNTA(B505:O505)&gt;0,1,0)</f>
        <v>0</v>
      </c>
      <c r="AA505" s="96">
        <f>IF(AND(Z505=1,K505&lt;&gt;""),IF(TRIM(K505)=TRIM(cfg_cancel),1,0),0)</f>
        <v>0</v>
      </c>
      <c r="AB505" s="96" t="str">
        <f>IF(AND(Z505=1,B505&lt;&gt;""),C505&amp;"|"&amp;D505&amp;"|"&amp;G505&amp;"|"&amp;TRIM(B505),"")</f>
        <v/>
      </c>
      <c r="AC505" s="96">
        <f>IF(AB505="",0,IF(SUMPRODUCT(--($AB$6:$AB$505=AB505))&gt;1,1,0))</f>
        <v>0</v>
      </c>
      <c r="AD505" s="96">
        <f>IF(Z505=0,0,IF(OR(AND(G505&lt;&gt;"",ISNA(MATCH(G505,'CAD_UNIDADES'!$C$6:$C$105,0))),AND(H505&lt;&gt;"",ISNA(MATCH(H505,cmp_transp,0))),AND(I505&lt;&gt;"",ISNA(MATCH(I505,cmp_dest,0))),AND(E505&lt;&gt;"",NOT(ISNUMBER(E505))),AND(F505&lt;&gt;"",NOT(ISNUMBER(F505))),AND(ISNUMBER(E505),ISNUMBER(F505),F505&lt;E505)),1,0))</f>
        <v>0</v>
      </c>
      <c r="AE505" s="96">
        <f>IF(Z505=0,0,IF(OR(B505="",C505="",E505="",G505="",H505="",I505="",N(W505)=0),1,0))</f>
        <v>0</v>
      </c>
      <c r="AF505" s="96">
        <f>IF(Z505=0,0,COUNTIFS('ITENS_MTR'!$S$6:$S$1005,A505,'ITENS_MTR'!$AI$6:$AI$1005,1))</f>
        <v>0</v>
      </c>
      <c r="AG505" s="96">
        <f>IF(Z505=0,0,COUNTIFS('ITENS_MTR'!$S$6:$S$1005,A505,'ITENS_MTR'!$AJ$6:$AJ$1005,1))</f>
        <v>0</v>
      </c>
      <c r="AH505" s="96">
        <f>IF(Z505=0,0,COUNTIFS('ITENS_MTR'!$S$6:$S$1005,A505,'ITENS_MTR'!$AM$6:$AM$1005,1))</f>
        <v>0</v>
      </c>
      <c r="AI505" s="96">
        <f>IF(Z505=0,0,COUNTIFS('ITENS_MTR'!$S$6:$S$1005,A505,'ITENS_MTR'!$AO$6:$AO$1005,1))</f>
        <v>0</v>
      </c>
      <c r="AJ505" s="96">
        <f>IF(Z505=0,0,COUNTIFS('ITENS_MTR'!$S$6:$S$1005,A505,'ITENS_MTR'!$AN$6:$AN$1005,1))</f>
        <v>0</v>
      </c>
      <c r="AK505" s="96">
        <f>IF(Z505=0,0,COUNTIFS('RECEBIMENTOS'!$B$6:$B$1005,A505,'RECEBIMENTOS'!$Y$6:$Y$1005,1))</f>
        <v>0</v>
      </c>
      <c r="AL505" s="96">
        <f>IF(Z505=0,0,COUNTIFS('VÍNCULOS_CDF'!$D$6:$D$1005,A505,'VÍNCULOS_CDF'!$Y$6:$Y$1005,1))</f>
        <v>0</v>
      </c>
      <c r="AM505" s="96">
        <f>IF(Z505=0,0,COUNTIFS('RECEBIMENTOS'!$B$6:$B$1005,A505,'RECEBIMENTOS'!$Q$6:$Q$1005,1))</f>
        <v>0</v>
      </c>
      <c r="AN505" s="96">
        <f>IF(AND(Z505=1,N(W505)&gt;0,AG505=N(W505)),1,0)</f>
        <v>0</v>
      </c>
      <c r="AO505" s="96">
        <f>IF(AND(Z505=1,N(W505)&gt;0,AI505=N(W505)),1,0)</f>
        <v>0</v>
      </c>
      <c r="AP505" s="97">
        <f>IF(Z505=0,0,_xlfn.MAXIFS('RECEBIMENTOS'!$E$6:$E$1005,'RECEBIMENTOS'!$B$6:$B$1005,A505))</f>
        <v>0</v>
      </c>
      <c r="AQ505" s="97" t="str">
        <f>IF(T505="","",IF(T505="RECEBIMENTO NÃO CONFIRMADO",IF(ISNUMBER(F505),F505,IF(ISNUMBER(E505),E505,"")),IF(OR(T505="CDF NÃO LOCALIZADO",T505="VÍNCULO INCOMPLETO",T505="CDF A CONFERIR"),IF(AP505&gt;0,AP505,IF(ISNUMBER(E505),E505,"")),IF(ISNUMBER(E505),E505,""))))</f>
        <v/>
      </c>
      <c r="AR505" s="96">
        <f>IF(NOT(ISNUMBER(U505)),0,IF(T505="RECEBIMENTO NÃO CONFIRMADO",IF(AND(ISNUMBER(cfg_rec),U505&gt;cfg_rec),1,0),IF(OR(T505="CDF NÃO LOCALIZADO",T505="VÍNCULO INCOMPLETO",T505="CDF A CONFERIR"),IF(AND(ISNUMBER(cfg_cdf),U505&gt;cfg_cdf),1,0),0)))</f>
        <v>0</v>
      </c>
      <c r="AS505" s="96" t="str">
        <f>IF(T505="","",IF(AR505=1,"Alta",IFERROR(INDEX(cfg_pp,MATCH(T505,cfg_pt,0))&amp;"","Média")))</f>
        <v/>
      </c>
      <c r="AT505" s="96" t="str">
        <f>IF(T505="","",IFERROR(INDEX(cfg_pv,MATCH(T505,cfg_pt,0))&amp;"",""))</f>
        <v/>
      </c>
      <c r="AU505" s="96" t="str">
        <f>IF(T505="","",IF(AS505="Alta",1,IF(AS505="Média",2,3))*1000000000+(999999-IF(ISNUMBER(U505),MIN(U505,999999),0))*1000+500)</f>
        <v/>
      </c>
      <c r="AV505" s="96">
        <f>IF(T505&lt;&gt;"",1,0)</f>
        <v>0</v>
      </c>
      <c r="AW505" s="96" t="str">
        <f>IF(Z505=0,"",IF(AA505=1,"Cancelamento informado; ","")&amp;IF(AE505=1,"Campos essenciais ou itens faltando; ","")&amp;IF(AC505=1,"Possível duplicidade do número; ","")&amp;IF(AD505=1,"Cadastro ou datas a revisar; ","")&amp;IF(AF505&gt;0,"Item de resíduo com dado a revisar; ","")&amp;IF(AH505&gt;0,"Diferença de quantidade a analisar; ","")&amp;IF(AK505&gt;0,"Recebimento com alerta; ","")&amp;IF(AL505&gt;0,"Vínculo de CDF com alerta; ","")&amp;IF(AND(AA505=0,AN505=0),"Recebimento não confirmado; ","")&amp;IF(AND(AA505=0,AN505=1,AO505=0),"CDF pendente ou a conferir; ",""))</f>
        <v/>
      </c>
      <c r="AX505" s="96">
        <f>IF(Z505=0,0,IF(AND(OR(f_ini="",AND(ISNUMBER(E505),E505&gt;=f_ini)),OR(f_fim="",AND(ISNUMBER(E505),E505&lt;=f_fim)),OR(f_un="",f_un="(Todas)",G505=f_un),OR(f_tr="",f_tr="(Todos)",H505=f_tr),OR(f_de="",f_de="(Todos)",I505=f_de),OR(f_sit="",f_sit="(Todas)",S505=f_sit)),1,0))</f>
        <v>0</v>
      </c>
      <c r="AY505" s="96">
        <f>IF(AX505=0,0,IF(OR(f_res="",f_res="(Todos)"),1,IF(COUNTIFS('ITENS_MTR'!$S$6:$S$1005,A505,'ITENS_MTR'!$C$6:$C$1005,f_res)&gt;0,1,0)))</f>
        <v>0</v>
      </c>
      <c r="AZ505" s="97" t="str">
        <f>IF(ISNUMBER(E505),DATE(YEAR(E505),MONTH(E505),1),"")</f>
        <v/>
      </c>
      <c r="BA505" s="96">
        <f>IF(Z505=0,0,IF(AND(OR(r_ini="",AND(ISNUMBER(E505),E505&gt;=r_ini)),OR(r_fim="",AND(ISNUMBER(E505),E505&lt;=r_fim)),OR(r_un="",r_un="(Todas)",G505=r_un),OR(r_de="",r_de="(Todos)",I505=r_de)),1,0))</f>
        <v>0</v>
      </c>
      <c r="BB505" s="96" t="str">
        <f>IF(BA505=1,COUNTIF($BA$6:BA505,1),"")</f>
        <v/>
      </c>
      <c r="BC505" s="96" t="str">
        <f>IF(AND(AU505&lt;&gt;"",OR(r_un="",r_un="(Todas)",G505=r_un),OR(r_de="",r_de="(Todos)",I505=r_de)),AU505,"")</f>
        <v/>
      </c>
      <c r="BD505" s="96" t="str">
        <f>IF(Z505=1,A505&amp;" | nº "&amp;IF(B505="","(sem número)",B505)&amp;" | "&amp;IF(G505="","(sem unidade)",G505),"")</f>
        <v/>
      </c>
      <c r="BE505" s="96" t="str">
        <f>IF(Z505=1,COUNTIF($Z$6:Z505,1),"")</f>
        <v/>
      </c>
      <c r="BF505" s="96" t="str">
        <f>IF(T505="","",IF(T505="RECEBIMENTO NÃO CONFIRMADO","Transp.: "&amp;H505&amp;" | Dest.: "&amp;I505,IF(OR(T505="CDF NÃO LOCALIZADO",T505="VÍNCULO INCOMPLETO",T505="CDF A CONFERIR"),"Dest.: "&amp;I505,"Gerador: "&amp;G505)))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Y2"/>
    <mergeCell ref="A1:Y1"/>
  </mergeCells>
  <conditionalFormatting sqref="S6:S505">
    <cfRule type="expression" priority="1" dxfId="0" stopIfTrue="1">
      <formula>OR(ISNUMBER(SEARCH("Cancelado",S6)),ISNUMBER(SEARCH("cancelado",S6)))</formula>
    </cfRule>
    <cfRule type="expression" priority="2" dxfId="1" stopIfTrue="1">
      <formula>OR(ISNUMBER(SEARCH("revisar",S6)),ISNUMBER(SEARCH("REVISAR",S6)),ISNUMBER(SEARCH("incompleto",S6)),ISNUMBER(SEARCH("INCOMPLETO",S6)),ISNUMBER(SEARCH("inexistente",S6)),ISNUMBER(SEARCH("inválid",S6)),ISNUMBER(SEARCH("não informad",S6)),ISNUMBER(SEARCH("fora do cadastro",S6)),ISNUMBER(SEARCH("duplicidade",S6)),ISNUMBER(SEARCH("DUPLICIDADE",S6)),ISNUMBER(SEARCH("UNIDADE A CONFERIR",S6)),ISNUMBER(SEARCH("Unidade a conferir",S6)),ISNUMBER(SEARCH("sem evidência",S6)),ISNUMBER(SEARCH("anterior à emissão",S6)),ISNUMBER(SEARCH("não positiva",S6)),ISNUMBER(SEARCH("não identificado",S6)),ISNUMBER(SEARCH("Sem MTR",S6)),ISNUMBER(SEARCH("Necessita",S6)),ISNUMBER(SEARCH("incompletas",S6)),ISNUMBER(SEARCH("Nome repetido",S6)),ISNUMBER(SEARCH("Informe",S6)),ISNUMBER(SEARCH("vencida",S6)))</formula>
    </cfRule>
    <cfRule type="expression" priority="3" dxfId="2" stopIfTrue="1">
      <formula>OR(ISNUMBER(SEARCH("a conferir",S6)),ISNUMBER(SEARCH("A CONFERIR",S6)),ISNUMBER(SEARCH("Aguardando conferência",S6)),ISNUMBER(SEARCH("Localizado",S6)),ISNUMBER(SEARCH("ver diferença",S6)),ISNUMBER(SEARCH("analisado",S6)),ISNUMBER(SEARCH("Data futura",S6)),ISNUMBER(SEARCH("Não calculável",S6)))</formula>
    </cfRule>
    <cfRule type="expression" priority="4" dxfId="3" stopIfTrue="1">
      <formula>OR(ISNUMBER(SEARCH("Aguardando",S6)),ISNUMBER(SEARCH("parcial",S6)),ISNUMBER(SEARCH("Cadastrado",S6)),ISNUMBER(SEARCH("NÃO CONFIRMADO",S6)),ISNUMBER(SEARCH("NÃO LOCALIZADO",S6)),ISNUMBER(SEARCH("VÍNCULO INCOMPLETO",S6)))</formula>
    </cfRule>
    <cfRule type="expression" priority="5" dxfId="4" stopIfTrue="1">
      <formula>OR(EXACT(S6,"OK"),ISNUMBER(SEARCH("conferida",S6)),ISNUMBER(SEARCH("Conferido",S6)),ISNUMBER(SEARCH("Nenhuma",S6)))</formula>
    </cfRule>
  </conditionalFormatting>
  <conditionalFormatting sqref="T6:T505">
    <cfRule type="expression" priority="6" dxfId="0" stopIfTrue="1">
      <formula>OR(ISNUMBER(SEARCH("Cancelado",T6)),ISNUMBER(SEARCH("cancelado",T6)))</formula>
    </cfRule>
    <cfRule type="expression" priority="7" dxfId="1" stopIfTrue="1">
      <formula>OR(ISNUMBER(SEARCH("revisar",T6)),ISNUMBER(SEARCH("REVISAR",T6)),ISNUMBER(SEARCH("incompleto",T6)),ISNUMBER(SEARCH("INCOMPLETO",T6)),ISNUMBER(SEARCH("inexistente",T6)),ISNUMBER(SEARCH("inválid",T6)),ISNUMBER(SEARCH("não informad",T6)),ISNUMBER(SEARCH("fora do cadastro",T6)),ISNUMBER(SEARCH("duplicidade",T6)),ISNUMBER(SEARCH("DUPLICIDADE",T6)),ISNUMBER(SEARCH("UNIDADE A CONFERIR",T6)),ISNUMBER(SEARCH("Unidade a conferir",T6)),ISNUMBER(SEARCH("sem evidência",T6)),ISNUMBER(SEARCH("anterior à emissão",T6)),ISNUMBER(SEARCH("não positiva",T6)),ISNUMBER(SEARCH("não identificado",T6)),ISNUMBER(SEARCH("Sem MTR",T6)),ISNUMBER(SEARCH("Necessita",T6)),ISNUMBER(SEARCH("incompletas",T6)),ISNUMBER(SEARCH("Nome repetido",T6)),ISNUMBER(SEARCH("Informe",T6)),ISNUMBER(SEARCH("vencida",T6)))</formula>
    </cfRule>
    <cfRule type="expression" priority="8" dxfId="2" stopIfTrue="1">
      <formula>OR(ISNUMBER(SEARCH("a conferir",T6)),ISNUMBER(SEARCH("A CONFERIR",T6)),ISNUMBER(SEARCH("Aguardando conferência",T6)),ISNUMBER(SEARCH("Localizado",T6)),ISNUMBER(SEARCH("ver diferença",T6)),ISNUMBER(SEARCH("analisado",T6)),ISNUMBER(SEARCH("Data futura",T6)),ISNUMBER(SEARCH("Não calculável",T6)))</formula>
    </cfRule>
    <cfRule type="expression" priority="9" dxfId="3" stopIfTrue="1">
      <formula>OR(ISNUMBER(SEARCH("Aguardando",T6)),ISNUMBER(SEARCH("parcial",T6)),ISNUMBER(SEARCH("Cadastrado",T6)),ISNUMBER(SEARCH("NÃO CONFIRMADO",T6)),ISNUMBER(SEARCH("NÃO LOCALIZADO",T6)),ISNUMBER(SEARCH("VÍNCULO INCOMPLETO",T6)))</formula>
    </cfRule>
    <cfRule type="expression" priority="10" dxfId="4" stopIfTrue="1">
      <formula>OR(EXACT(T6,"OK"),ISNUMBER(SEARCH("conferida",T6)),ISNUMBER(SEARCH("Conferido",T6)),ISNUMBER(SEARCH("Nenhuma",T6)))</formula>
    </cfRule>
  </conditionalFormatting>
  <conditionalFormatting sqref="U6:U505">
    <cfRule type="expression" priority="11" dxfId="0" stopIfTrue="1">
      <formula>OR(ISNUMBER(SEARCH("Cancelado",U6)),ISNUMBER(SEARCH("cancelado",U6)))</formula>
    </cfRule>
    <cfRule type="expression" priority="12" dxfId="1" stopIfTrue="1">
      <formula>OR(ISNUMBER(SEARCH("revisar",U6)),ISNUMBER(SEARCH("REVISAR",U6)),ISNUMBER(SEARCH("incompleto",U6)),ISNUMBER(SEARCH("INCOMPLETO",U6)),ISNUMBER(SEARCH("inexistente",U6)),ISNUMBER(SEARCH("inválid",U6)),ISNUMBER(SEARCH("não informad",U6)),ISNUMBER(SEARCH("fora do cadastro",U6)),ISNUMBER(SEARCH("duplicidade",U6)),ISNUMBER(SEARCH("DUPLICIDADE",U6)),ISNUMBER(SEARCH("UNIDADE A CONFERIR",U6)),ISNUMBER(SEARCH("Unidade a conferir",U6)),ISNUMBER(SEARCH("sem evidência",U6)),ISNUMBER(SEARCH("anterior à emissão",U6)),ISNUMBER(SEARCH("não positiva",U6)),ISNUMBER(SEARCH("não identificado",U6)),ISNUMBER(SEARCH("Sem MTR",U6)),ISNUMBER(SEARCH("Necessita",U6)),ISNUMBER(SEARCH("incompletas",U6)),ISNUMBER(SEARCH("Nome repetido",U6)),ISNUMBER(SEARCH("Informe",U6)),ISNUMBER(SEARCH("vencida",U6)))</formula>
    </cfRule>
    <cfRule type="expression" priority="13" dxfId="2" stopIfTrue="1">
      <formula>OR(ISNUMBER(SEARCH("a conferir",U6)),ISNUMBER(SEARCH("A CONFERIR",U6)),ISNUMBER(SEARCH("Aguardando conferência",U6)),ISNUMBER(SEARCH("Localizado",U6)),ISNUMBER(SEARCH("ver diferença",U6)),ISNUMBER(SEARCH("analisado",U6)),ISNUMBER(SEARCH("Data futura",U6)),ISNUMBER(SEARCH("Não calculável",U6)))</formula>
    </cfRule>
    <cfRule type="expression" priority="14" dxfId="3" stopIfTrue="1">
      <formula>OR(ISNUMBER(SEARCH("Aguardando",U6)),ISNUMBER(SEARCH("parcial",U6)),ISNUMBER(SEARCH("Cadastrado",U6)),ISNUMBER(SEARCH("NÃO CONFIRMADO",U6)),ISNUMBER(SEARCH("NÃO LOCALIZADO",U6)),ISNUMBER(SEARCH("VÍNCULO INCOMPLETO",U6)))</formula>
    </cfRule>
    <cfRule type="expression" priority="15" dxfId="4" stopIfTrue="1">
      <formula>OR(EXACT(U6,"OK"),ISNUMBER(SEARCH("conferida",U6)),ISNUMBER(SEARCH("Conferido",U6)),ISNUMBER(SEARCH("Nenhuma",U6)))</formula>
    </cfRule>
    <cfRule type="expression" priority="27" dxfId="1" stopIfTrue="1">
      <formula>$AR6=1</formula>
    </cfRule>
  </conditionalFormatting>
  <conditionalFormatting sqref="X6:X505">
    <cfRule type="expression" priority="16" dxfId="0" stopIfTrue="1">
      <formula>OR(ISNUMBER(SEARCH("Cancelado",X6)),ISNUMBER(SEARCH("cancelado",X6)))</formula>
    </cfRule>
    <cfRule type="expression" priority="17" dxfId="1" stopIfTrue="1">
      <formula>OR(ISNUMBER(SEARCH("revisar",X6)),ISNUMBER(SEARCH("REVISAR",X6)),ISNUMBER(SEARCH("incompleto",X6)),ISNUMBER(SEARCH("INCOMPLETO",X6)),ISNUMBER(SEARCH("inexistente",X6)),ISNUMBER(SEARCH("inválid",X6)),ISNUMBER(SEARCH("não informad",X6)),ISNUMBER(SEARCH("fora do cadastro",X6)),ISNUMBER(SEARCH("duplicidade",X6)),ISNUMBER(SEARCH("DUPLICIDADE",X6)),ISNUMBER(SEARCH("UNIDADE A CONFERIR",X6)),ISNUMBER(SEARCH("Unidade a conferir",X6)),ISNUMBER(SEARCH("sem evidência",X6)),ISNUMBER(SEARCH("anterior à emissão",X6)),ISNUMBER(SEARCH("não positiva",X6)),ISNUMBER(SEARCH("não identificado",X6)),ISNUMBER(SEARCH("Sem MTR",X6)),ISNUMBER(SEARCH("Necessita",X6)),ISNUMBER(SEARCH("incompletas",X6)),ISNUMBER(SEARCH("Nome repetido",X6)),ISNUMBER(SEARCH("Informe",X6)),ISNUMBER(SEARCH("vencida",X6)))</formula>
    </cfRule>
    <cfRule type="expression" priority="18" dxfId="2" stopIfTrue="1">
      <formula>OR(ISNUMBER(SEARCH("a conferir",X6)),ISNUMBER(SEARCH("A CONFERIR",X6)),ISNUMBER(SEARCH("Aguardando conferência",X6)),ISNUMBER(SEARCH("Localizado",X6)),ISNUMBER(SEARCH("ver diferença",X6)),ISNUMBER(SEARCH("analisado",X6)),ISNUMBER(SEARCH("Data futura",X6)),ISNUMBER(SEARCH("Não calculável",X6)))</formula>
    </cfRule>
    <cfRule type="expression" priority="19" dxfId="3" stopIfTrue="1">
      <formula>OR(ISNUMBER(SEARCH("Aguardando",X6)),ISNUMBER(SEARCH("parcial",X6)),ISNUMBER(SEARCH("Cadastrado",X6)),ISNUMBER(SEARCH("NÃO CONFIRMADO",X6)),ISNUMBER(SEARCH("NÃO LOCALIZADO",X6)),ISNUMBER(SEARCH("VÍNCULO INCOMPLETO",X6)))</formula>
    </cfRule>
    <cfRule type="expression" priority="20" dxfId="4" stopIfTrue="1">
      <formula>OR(EXACT(X6,"OK"),ISNUMBER(SEARCH("conferida",X6)),ISNUMBER(SEARCH("Conferido",X6)),ISNUMBER(SEARCH("Nenhuma",X6)))</formula>
    </cfRule>
  </conditionalFormatting>
  <conditionalFormatting sqref="Y6:Y505">
    <cfRule type="expression" priority="21" dxfId="0" stopIfTrue="1">
      <formula>OR(ISNUMBER(SEARCH("Cancelado",Y6)),ISNUMBER(SEARCH("cancelado",Y6)))</formula>
    </cfRule>
    <cfRule type="expression" priority="22" dxfId="1" stopIfTrue="1">
      <formula>OR(ISNUMBER(SEARCH("revisar",Y6)),ISNUMBER(SEARCH("REVISAR",Y6)),ISNUMBER(SEARCH("incompleto",Y6)),ISNUMBER(SEARCH("INCOMPLETO",Y6)),ISNUMBER(SEARCH("inexistente",Y6)),ISNUMBER(SEARCH("inválid",Y6)),ISNUMBER(SEARCH("não informad",Y6)),ISNUMBER(SEARCH("fora do cadastro",Y6)),ISNUMBER(SEARCH("duplicidade",Y6)),ISNUMBER(SEARCH("DUPLICIDADE",Y6)),ISNUMBER(SEARCH("UNIDADE A CONFERIR",Y6)),ISNUMBER(SEARCH("Unidade a conferir",Y6)),ISNUMBER(SEARCH("sem evidência",Y6)),ISNUMBER(SEARCH("anterior à emissão",Y6)),ISNUMBER(SEARCH("não positiva",Y6)),ISNUMBER(SEARCH("não identificado",Y6)),ISNUMBER(SEARCH("Sem MTR",Y6)),ISNUMBER(SEARCH("Necessita",Y6)),ISNUMBER(SEARCH("incompletas",Y6)),ISNUMBER(SEARCH("Nome repetido",Y6)),ISNUMBER(SEARCH("Informe",Y6)),ISNUMBER(SEARCH("vencida",Y6)))</formula>
    </cfRule>
    <cfRule type="expression" priority="23" dxfId="2" stopIfTrue="1">
      <formula>OR(ISNUMBER(SEARCH("a conferir",Y6)),ISNUMBER(SEARCH("A CONFERIR",Y6)),ISNUMBER(SEARCH("Aguardando conferência",Y6)),ISNUMBER(SEARCH("Localizado",Y6)),ISNUMBER(SEARCH("ver diferença",Y6)),ISNUMBER(SEARCH("analisado",Y6)),ISNUMBER(SEARCH("Data futura",Y6)),ISNUMBER(SEARCH("Não calculável",Y6)))</formula>
    </cfRule>
    <cfRule type="expression" priority="24" dxfId="3" stopIfTrue="1">
      <formula>OR(ISNUMBER(SEARCH("Aguardando",Y6)),ISNUMBER(SEARCH("parcial",Y6)),ISNUMBER(SEARCH("Cadastrado",Y6)),ISNUMBER(SEARCH("NÃO CONFIRMADO",Y6)),ISNUMBER(SEARCH("NÃO LOCALIZADO",Y6)),ISNUMBER(SEARCH("VÍNCULO INCOMPLETO",Y6)))</formula>
    </cfRule>
    <cfRule type="expression" priority="25" dxfId="4" stopIfTrue="1">
      <formula>OR(EXACT(Y6,"OK"),ISNUMBER(SEARCH("conferida",Y6)),ISNUMBER(SEARCH("Conferido",Y6)),ISNUMBER(SEARCH("Nenhuma",Y6)))</formula>
    </cfRule>
  </conditionalFormatting>
  <conditionalFormatting sqref="B6:B505">
    <cfRule type="expression" priority="26" dxfId="1">
      <formula>$AC6=1</formula>
    </cfRule>
  </conditionalFormatting>
  <conditionalFormatting sqref="B6:B505 C6:C505 D6:D505 E6:E505 F6:F505 G6:G505 H6:H505 I6:I505 J6:J505 K6:K505 L6:L505 M6:M505 N6:N505 O6:O505">
    <cfRule type="expression" priority="28" dxfId="5">
      <formula>MOD(ROW(),2)=0</formula>
    </cfRule>
  </conditionalFormatting>
  <conditionalFormatting sqref="P6:P505 Q6:Q505 R6:R505 S6:S505 T6:T505 U6:U505 V6:V505 W6:W505 X6:X505 Y6:Y505">
    <cfRule type="expression" priority="29" dxfId="6">
      <formula>MOD(ROW(),2)=0</formula>
    </cfRule>
  </conditionalFormatting>
  <dataValidations count="10">
    <dataValidation sqref="C6:C505" showDropDown="0" showInputMessage="0" showErrorMessage="1" allowBlank="1" errorTitle="Valor fora da lista" error="Valor fora da lista. Confira o cadastro ou ajuste a lista em CONFIGURAÇÕES." type="list" errorStyle="warning">
      <formula1>=lst_sistemas</formula1>
    </dataValidation>
    <dataValidation sqref="D6:D505" showDropDown="0" showInputMessage="0" showErrorMessage="1" allowBlank="1" errorTitle="Valor fora da lista" error="Valor fora da lista. Confira o cadastro ou ajuste a lista em CONFIGURAÇÕES." type="list" errorStyle="warning">
      <formula1>=lst_uf</formula1>
    </dataValidation>
    <dataValidation sqref="E6:E505" showDropDown="0" showInputMessage="0" showErrorMessage="1" allowBlank="1" errorTitle="Data" error="Informe uma data válida (dd/mm/aaaa)." type="date" errorStyle="warning" operator="between">
      <formula1>36526</formula1>
      <formula2>73050</formula2>
    </dataValidation>
    <dataValidation sqref="F6:F505" showDropDown="0" showInputMessage="0" showErrorMessage="1" allowBlank="1" errorTitle="Data" error="Informe uma data válida (dd/mm/aaaa)." type="date" errorStyle="warning" operator="between">
      <formula1>36526</formula1>
      <formula2>73050</formula2>
    </dataValidation>
    <dataValidation sqref="G6:G505" showDropDown="0" showInputMessage="0" showErrorMessage="1" allowBlank="1" errorTitle="Valor fora da lista" error="Valor fora da lista. Confira o cadastro ou ajuste a lista em CONFIGURAÇÕES." type="list" errorStyle="warning">
      <formula1>=lst_unidades</formula1>
    </dataValidation>
    <dataValidation sqref="H6:H505" showDropDown="0" showInputMessage="0" showErrorMessage="1" allowBlank="1" errorTitle="Valor fora da lista" error="Valor fora da lista. Confira o cadastro ou ajuste a lista em CONFIGURAÇÕES." type="list" errorStyle="warning">
      <formula1>=lst_transp</formula1>
    </dataValidation>
    <dataValidation sqref="I6:I505" showDropDown="0" showInputMessage="0" showErrorMessage="1" allowBlank="1" errorTitle="Valor fora da lista" error="Valor fora da lista. Confira o cadastro ou ajuste a lista em CONFIGURAÇÕES." type="list" errorStyle="warning">
      <formula1>=lst_dest</formula1>
    </dataValidation>
    <dataValidation sqref="J6:J505" showDropDown="0" showInputMessage="0" showErrorMessage="1" allowBlank="1" errorTitle="Valor fora da lista" error="Valor fora da lista. Confira o cadastro ou ajuste a lista em CONFIGURAÇÕES." type="list" errorStyle="warning">
      <formula1>=lst_uf</formula1>
    </dataValidation>
    <dataValidation sqref="K6:K505" showDropDown="0" showInputMessage="0" showErrorMessage="1" allowBlank="1" errorTitle="Valor fora da lista" error="Valor fora da lista. Confira o cadastro ou ajuste a lista em CONFIGURAÇÕES." type="list" errorStyle="warning">
      <formula1>=lst_sit_mtr</formula1>
    </dataValidation>
    <dataValidation sqref="L6:L505" showDropDown="0" showInputMessage="0" showErrorMessage="1" allowBlank="1" errorTitle="Data" error="Informe uma data válida (dd/mm/aaaa)." type="date" errorStyle="warning" operator="between">
      <formula1>36526</formula1>
      <formula2>73050</formula2>
    </dataValidation>
  </dataValidations>
  <hyperlinks>
    <hyperlink ref="A3" location="'INÍCIO'!A1"/>
    <hyperlink ref="B3" location="'PAINEL'!A1"/>
    <hyperlink ref="C3" location="'PENDÊNCIAS'!A1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766A9"/>
    <outlinePr summaryBelow="1" summaryRight="1"/>
    <pageSetUpPr fitToPage="1"/>
  </sheetPr>
  <dimension ref="A1:AU1005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28" customWidth="1" min="3" max="3"/>
    <col width="16" customWidth="1" min="4" max="4"/>
    <col width="26" customWidth="1" min="5" max="5"/>
    <col width="18" customWidth="1" min="6" max="6"/>
    <col width="12" customWidth="1" min="7" max="7"/>
    <col width="9" customWidth="1" min="8" max="8"/>
    <col width="14" customWidth="1" min="9" max="9"/>
    <col width="28" customWidth="1" min="10" max="10"/>
    <col width="11" customWidth="1" min="11" max="11"/>
    <col width="14" customWidth="1" min="12" max="12"/>
    <col width="14" customWidth="1" min="13" max="13"/>
    <col width="14" customWidth="1" min="14" max="14"/>
    <col width="11" customWidth="1" min="15" max="15"/>
    <col width="24" customWidth="1" min="16" max="16"/>
    <col width="14" customWidth="1" min="17" max="17"/>
    <col hidden="1" width="6" customWidth="1" min="18" max="18"/>
    <col hidden="1" width="6" customWidth="1" min="19" max="19"/>
    <col hidden="1" width="6" customWidth="1" min="20" max="20"/>
    <col hidden="1" width="6" customWidth="1" min="21" max="21"/>
    <col hidden="1" width="6" customWidth="1" min="22" max="22"/>
    <col hidden="1" width="6" customWidth="1" min="23" max="23"/>
    <col hidden="1" width="6" customWidth="1" min="24" max="24"/>
    <col hidden="1" width="6" customWidth="1" min="25" max="25"/>
    <col hidden="1" width="6" customWidth="1" min="26" max="26"/>
    <col hidden="1" width="6" customWidth="1" min="27" max="27"/>
    <col hidden="1" width="6" customWidth="1" min="28" max="28"/>
    <col hidden="1" width="6" customWidth="1" min="29" max="29"/>
    <col hidden="1" width="6" customWidth="1" min="30" max="30"/>
    <col hidden="1" width="6" customWidth="1" min="31" max="31"/>
    <col hidden="1" width="6" customWidth="1" min="32" max="32"/>
    <col hidden="1" width="6" customWidth="1" min="33" max="33"/>
    <col hidden="1" width="6" customWidth="1" min="34" max="34"/>
    <col hidden="1" width="6" customWidth="1" min="35" max="35"/>
    <col hidden="1" width="6" customWidth="1" min="36" max="36"/>
    <col hidden="1" width="6" customWidth="1" min="37" max="37"/>
    <col hidden="1" width="6" customWidth="1" min="38" max="38"/>
    <col hidden="1" width="6" customWidth="1" min="39" max="39"/>
    <col hidden="1" width="6" customWidth="1" min="40" max="40"/>
    <col hidden="1" width="6" customWidth="1" min="41" max="41"/>
    <col hidden="1" width="6" customWidth="1" min="42" max="42"/>
    <col hidden="1" width="6" customWidth="1" min="43" max="43"/>
    <col hidden="1" width="6" customWidth="1" min="44" max="44"/>
    <col hidden="1" width="6" customWidth="1" min="45" max="45"/>
    <col hidden="1" width="6" customWidth="1" min="46" max="46"/>
    <col hidden="1" width="6" customWidth="1" min="47" max="47"/>
  </cols>
  <sheetData>
    <row r="1" ht="34" customHeight="1">
      <c r="A1" s="79" t="inlineStr">
        <is>
          <t>ITENS DE RESÍDUO DOS MTRs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79" t="n"/>
      <c r="K1" s="79" t="n"/>
      <c r="L1" s="79" t="n"/>
      <c r="M1" s="79" t="n"/>
      <c r="N1" s="79" t="n"/>
      <c r="O1" s="79" t="n"/>
      <c r="P1" s="79" t="n"/>
      <c r="Q1" s="79" t="n"/>
    </row>
    <row r="2" ht="30" customHeight="1">
      <c r="A2" s="80" t="inlineStr">
        <is>
          <t>Cada linha é um resíduo de um MTR. Um MTR pode ter vários itens.  Escolha o MTR e o resíduo pelas listas. Toneladas (t) são convertidas para kg (1 t = 1.000 kg). Marque DIFERENÇA ANALISADA? = Sim só depois de conferir uma diferença de quantidade.</t>
        </is>
      </c>
      <c r="B2" s="80" t="n"/>
      <c r="C2" s="80" t="n"/>
      <c r="D2" s="80" t="n"/>
      <c r="E2" s="80" t="n"/>
      <c r="F2" s="80" t="n"/>
      <c r="G2" s="80" t="n"/>
      <c r="H2" s="80" t="n"/>
      <c r="I2" s="80" t="n"/>
      <c r="J2" s="80" t="n"/>
      <c r="K2" s="80" t="n"/>
      <c r="L2" s="80" t="n"/>
      <c r="M2" s="80" t="n"/>
      <c r="N2" s="80" t="n"/>
      <c r="O2" s="80" t="n"/>
      <c r="P2" s="80" t="n"/>
      <c r="Q2" s="80" t="n"/>
    </row>
    <row r="3" ht="20" customHeight="1">
      <c r="A3" s="81" t="inlineStr">
        <is>
          <t>◀ INÍCIO</t>
        </is>
      </c>
      <c r="B3" s="81" t="inlineStr">
        <is>
          <t>PAINEL</t>
        </is>
      </c>
      <c r="C3" s="81" t="inlineStr">
        <is>
          <t>PENDÊNCIAS</t>
        </is>
      </c>
      <c r="D3" s="82" t="inlineStr">
        <is>
          <t>Azul-claro = preencher   |   Cinza = automático   |   Linhas prontas: 1.000 registros</t>
        </is>
      </c>
    </row>
    <row r="4">
      <c r="A4" s="83" t="inlineStr">
        <is>
          <t>ID FIXO</t>
        </is>
      </c>
      <c r="B4" s="84" t="inlineStr">
        <is>
          <t>PREENCHER</t>
        </is>
      </c>
      <c r="C4" s="84" t="inlineStr">
        <is>
          <t>PREENCHER</t>
        </is>
      </c>
      <c r="D4" s="85" t="inlineStr">
        <is>
          <t>AUTOMÁTICO</t>
        </is>
      </c>
      <c r="E4" s="85" t="inlineStr">
        <is>
          <t>AUTOMÁTICO</t>
        </is>
      </c>
      <c r="F4" s="85" t="inlineStr">
        <is>
          <t>AUTOMÁTICO</t>
        </is>
      </c>
      <c r="G4" s="84" t="inlineStr">
        <is>
          <t>PREENCHER</t>
        </is>
      </c>
      <c r="H4" s="84" t="inlineStr">
        <is>
          <t>PREENCHER</t>
        </is>
      </c>
      <c r="I4" s="85" t="inlineStr">
        <is>
          <t>AUTOMÁTICO</t>
        </is>
      </c>
      <c r="J4" s="84" t="inlineStr">
        <is>
          <t>PREENCHER</t>
        </is>
      </c>
      <c r="K4" s="84" t="inlineStr">
        <is>
          <t>PREENCHER</t>
        </is>
      </c>
      <c r="L4" s="85" t="inlineStr">
        <is>
          <t>AUTOMÁTICO</t>
        </is>
      </c>
      <c r="M4" s="85" t="inlineStr">
        <is>
          <t>AUTOMÁTICO</t>
        </is>
      </c>
      <c r="N4" s="85" t="inlineStr">
        <is>
          <t>AUTOMÁTICO</t>
        </is>
      </c>
      <c r="O4" s="85" t="inlineStr">
        <is>
          <t>AUTOMÁTICO</t>
        </is>
      </c>
      <c r="P4" s="85" t="inlineStr">
        <is>
          <t>AUTOMÁTICO</t>
        </is>
      </c>
      <c r="Q4" s="85" t="inlineStr">
        <is>
          <t>AUTOMÁTICO</t>
        </is>
      </c>
    </row>
    <row r="5" ht="46" customHeight="1">
      <c r="A5" s="86" t="inlineStr">
        <is>
          <t>ID interno do item</t>
        </is>
      </c>
      <c r="B5" s="86" t="inlineStr">
        <is>
          <t>ID interno do MTR</t>
        </is>
      </c>
      <c r="C5" s="86" t="inlineStr">
        <is>
          <t>Resíduo cadastrado</t>
        </is>
      </c>
      <c r="D5" s="87" t="inlineStr">
        <is>
          <t>Código informado para o resíduo</t>
        </is>
      </c>
      <c r="E5" s="87" t="inlineStr">
        <is>
          <t>Descrição do resíduo</t>
        </is>
      </c>
      <c r="F5" s="87" t="inlineStr">
        <is>
          <t>Classificação informada</t>
        </is>
      </c>
      <c r="G5" s="86" t="inlineStr">
        <is>
          <t>Quantidade enviada</t>
        </is>
      </c>
      <c r="H5" s="86" t="inlineStr">
        <is>
          <t>Unidade de medida</t>
        </is>
      </c>
      <c r="I5" s="87" t="inlineStr">
        <is>
          <t>Quantidade convertida (kg)</t>
        </is>
      </c>
      <c r="J5" s="86" t="inlineStr">
        <is>
          <t>Observações</t>
        </is>
      </c>
      <c r="K5" s="86" t="inlineStr">
        <is>
          <t>Diferença analisada?</t>
        </is>
      </c>
      <c r="L5" s="87" t="inlineStr">
        <is>
          <t>Quantidade recebida vinculada (kg)</t>
        </is>
      </c>
      <c r="M5" s="87" t="inlineStr">
        <is>
          <t>Quantidade com CDF vinculada (kg)</t>
        </is>
      </c>
      <c r="N5" s="87" t="inlineStr">
        <is>
          <t>Diferença enviado − recebido (kg)</t>
        </is>
      </c>
      <c r="O5" s="87" t="inlineStr">
        <is>
          <t>Cobertura documental por CDF</t>
        </is>
      </c>
      <c r="P5" s="87" t="inlineStr">
        <is>
          <t>Situação do item</t>
        </is>
      </c>
      <c r="Q5" s="87" t="inlineStr">
        <is>
          <t>Recebido ainda sem vínculo de CDF (kg)</t>
        </is>
      </c>
      <c r="R5" s="88" t="inlineStr">
        <is>
          <t>aux registro ativo</t>
        </is>
      </c>
      <c r="S5" s="88" t="inlineStr">
        <is>
          <t>aux id mtr</t>
        </is>
      </c>
      <c r="T5" s="88" t="inlineStr">
        <is>
          <t>aux linha mtr</t>
        </is>
      </c>
      <c r="U5" s="88" t="inlineStr">
        <is>
          <t>aux mtr válido</t>
        </is>
      </c>
      <c r="V5" s="88" t="inlineStr">
        <is>
          <t>aux resíduo válido</t>
        </is>
      </c>
      <c r="W5" s="88" t="inlineStr">
        <is>
          <t>aux quantidade positiva</t>
        </is>
      </c>
      <c r="X5" s="88" t="inlineStr">
        <is>
          <t>aux fator kg</t>
        </is>
      </c>
      <c r="Y5" s="88" t="inlineStr">
        <is>
          <t>aux quantidade válida</t>
        </is>
      </c>
      <c r="Z5" s="88" t="inlineStr">
        <is>
          <t>aux mtr cancelado</t>
        </is>
      </c>
      <c r="AA5" s="88" t="inlineStr">
        <is>
          <t>aux nº recebimentos</t>
        </is>
      </c>
      <c r="AB5" s="88" t="inlineStr">
        <is>
          <t>aux recebimentos conferidos</t>
        </is>
      </c>
      <c r="AC5" s="88" t="inlineStr">
        <is>
          <t>aux recebimentos com alerta</t>
        </is>
      </c>
      <c r="AD5" s="88" t="inlineStr">
        <is>
          <t>aux nº vínculos</t>
        </is>
      </c>
      <c r="AE5" s="88" t="inlineStr">
        <is>
          <t>aux vínculos ok</t>
        </is>
      </c>
      <c r="AF5" s="88" t="inlineStr">
        <is>
          <t>aux vínculos com alerta</t>
        </is>
      </c>
      <c r="AG5" s="88" t="inlineStr">
        <is>
          <t>aux chave duplicidade</t>
        </is>
      </c>
      <c r="AH5" s="88" t="inlineStr">
        <is>
          <t>aux duplicado</t>
        </is>
      </c>
      <c r="AI5" s="88" t="inlineStr">
        <is>
          <t>aux dado a revisar</t>
        </is>
      </c>
      <c r="AJ5" s="88" t="inlineStr">
        <is>
          <t>aux recebimento conferido</t>
        </is>
      </c>
      <c r="AK5" s="88" t="inlineStr">
        <is>
          <t>aux referência cobertura</t>
        </is>
      </c>
      <c r="AL5" s="88" t="inlineStr">
        <is>
          <t>aux vínculo acima</t>
        </is>
      </c>
      <c r="AM5" s="88" t="inlineStr">
        <is>
          <t>aux quantidade a revisar</t>
        </is>
      </c>
      <c r="AN5" s="88" t="inlineStr">
        <is>
          <t>aux cobertura ok</t>
        </is>
      </c>
      <c r="AO5" s="88" t="inlineStr">
        <is>
          <t>aux cdf ok</t>
        </is>
      </c>
      <c r="AP5" s="88" t="inlineStr">
        <is>
          <t>aux filtro painel</t>
        </is>
      </c>
      <c r="AQ5" s="88" t="inlineStr">
        <is>
          <t>aux mês emissão</t>
        </is>
      </c>
      <c r="AR5" s="88" t="inlineStr">
        <is>
          <t>aux filtro relatórios</t>
        </is>
      </c>
      <c r="AS5" s="88" t="inlineStr">
        <is>
          <t>aux rótulo seleção</t>
        </is>
      </c>
      <c r="AT5" s="88" t="inlineStr">
        <is>
          <t>aux ordem seleção</t>
        </is>
      </c>
      <c r="AU5" s="88" t="inlineStr">
        <is>
          <t>aux destinatário do MTR</t>
        </is>
      </c>
    </row>
    <row r="6">
      <c r="A6" s="89" t="inlineStr">
        <is>
          <t>IT-000001</t>
        </is>
      </c>
      <c r="B6" s="91" t="n"/>
      <c r="C6" s="91" t="n"/>
      <c r="D6" s="94" t="str">
        <f>IF(OR(R6=0,V6=0),"",INDEX('CAD_RESÍDUOS'!$E$6:$E$205,MATCH(C6,'CAD_RESÍDUOS'!$B$6:$B$205,0))&amp;"")</f>
        <v/>
      </c>
      <c r="E6" s="94" t="str">
        <f>IF(OR(R6=0,V6=0),"",INDEX('CAD_RESÍDUOS'!$C$6:$C$205,MATCH(C6,'CAD_RESÍDUOS'!$B$6:$B$205,0))&amp;"")</f>
        <v/>
      </c>
      <c r="F6" s="94" t="str">
        <f>IF(OR(R6=0,V6=0),"",INDEX('CAD_RESÍDUOS'!$G$6:$G$205,MATCH(C6,'CAD_RESÍDUOS'!$B$6:$B$205,0))&amp;"")</f>
        <v/>
      </c>
      <c r="G6" s="98" t="n"/>
      <c r="H6" s="91" t="n"/>
      <c r="I6" s="93" t="str">
        <f>IF(R6=0,"",IF(NOT(ISNUMBER(G6)),"",IF(ISNUMBER(X6),G6*X6,"UNIDADE A CONFERIR")))</f>
        <v/>
      </c>
      <c r="J6" s="91" t="n"/>
      <c r="K6" s="91" t="n"/>
      <c r="L6" s="93" t="str">
        <f>IF(R6=0,"",SUMIFS('RECEBIMENTOS'!$H$6:$H$1005,'RECEBIMENTOS'!$R$6:$R$1005,A6,'RECEBIMENTOS'!$X$6:$X$1005,1))</f>
        <v/>
      </c>
      <c r="M6" s="93" t="str">
        <f>IF(R6=0,"",SUMIFS('VÍNCULOS_CDF'!$H$6:$H$1005,'VÍNCULOS_CDF'!$R$6:$R$1005,A6,'VÍNCULOS_CDF'!$V$6:$V$1005,1))</f>
        <v/>
      </c>
      <c r="N6" s="99" t="str">
        <f>IF(OR(R6=0,AA6=0,NOT(ISNUMBER(I6))),"",I6-N(L6))</f>
        <v/>
      </c>
      <c r="O6" s="100" t="str">
        <f>IF(OR(R6=0,AK6&lt;=0),"",N(M6)/AK6)</f>
        <v/>
      </c>
      <c r="P6" s="94" t="str">
        <f>IF(R6=0,"",IF(S6="","Sem MTR associado",IF(U6=0,"MTR inexistente",IF(C6="","Resíduo não identificado",IF(V6=0,"Resíduo fora do cadastro",IF(W6=0,"Quantidade inválida",IF(H6="","Unidade não informada",IF(NOT(ISNUMBER(I6)),"Unidade a conferir",IF(AND(AH6=1,K6&lt;&gt;"Sim"),"Possível duplicidade",IF(Z6=1,"MTR cancelado",IF(AC6&gt;0,"Recebimento com alerta",IF(AA6=0,"Aguardando recebimento",IF(AB6&lt;AA6,"Recebimento a conferir",IF(AM6=1,"Quantidade a revisar",IF(AF6&gt;0,"Vínculo a revisar",IF(AD6=0,"Aguardando CDF",IF(AN6=0,"Vínculo de CDF parcial",IF(AE6&lt;AD6,"CDF a conferir","Documentação conferida"))))))))))))))))))</f>
        <v/>
      </c>
      <c r="Q6" s="93" t="str">
        <f>IF(OR(R6=0,AA6=0),"",MAX(0,N(L6)-N(M6)))</f>
        <v/>
      </c>
      <c r="R6" s="96">
        <f>IF(COUNTA(B6:C6,G6:H6,J6:K6)&gt;0,1,0)</f>
        <v>0</v>
      </c>
      <c r="S6" s="96" t="str">
        <f>IF(B6="","",TRIM(LEFT(B6,FIND(" |",B6&amp;" |")-1)))</f>
        <v/>
      </c>
      <c r="T6" s="96" t="str">
        <f>IF(S6="","",IFERROR(MATCH(S6,'MTRs'!$A$6:$A$505,0),""))</f>
        <v/>
      </c>
      <c r="U6" s="96">
        <f>IF(T6="",0,IF(INDEX('MTRs'!$Z$6:$Z$505,T6)=1,1,0))</f>
        <v>0</v>
      </c>
      <c r="V6" s="96">
        <f>IF(C6="",0,IF(ISNUMBER(MATCH(C6,'CAD_RESÍDUOS'!$B$6:$B$205,0)),1,0))</f>
        <v>0</v>
      </c>
      <c r="W6" s="96">
        <f>IF(AND(ISNUMBER(G6),G6&gt;0),1,0)</f>
        <v>0</v>
      </c>
      <c r="X6" s="96" t="str">
        <f>IF(H6="","",IFERROR(IF(ISNUMBER(INDEX(cfg_fac,MATCH(H6,cfg_units,0))),IF(INDEX(cfg_fac,MATCH(H6,cfg_units,0))&gt;0,INDEX(cfg_fac,MATCH(H6,cfg_units,0)),""),""),""))</f>
        <v/>
      </c>
      <c r="Y6" s="96">
        <f>IF(AND(W6=1,ISNUMBER(I6)),1,0)</f>
        <v>0</v>
      </c>
      <c r="Z6" s="96">
        <f>IF(U6=1,INDEX('MTRs'!$AA$6:$AA$505,T6),0)</f>
        <v>0</v>
      </c>
      <c r="AA6" s="96">
        <f>IF(R6=0,0,COUNTIFS('RECEBIMENTOS'!$R$6:$R$1005,A6,'RECEBIMENTOS'!$Q$6:$Q$1005,1))</f>
        <v>0</v>
      </c>
      <c r="AB6" s="96">
        <f>IF(R6=0,0,COUNTIFS('RECEBIMENTOS'!$R$6:$R$1005,A6,'RECEBIMENTOS'!$Z$6:$Z$1005,1))</f>
        <v>0</v>
      </c>
      <c r="AC6" s="96">
        <f>IF(R6=0,0,COUNTIFS('RECEBIMENTOS'!$R$6:$R$1005,A6,'RECEBIMENTOS'!$Y$6:$Y$1005,1))</f>
        <v>0</v>
      </c>
      <c r="AD6" s="96">
        <f>IF(R6=0,0,COUNTIFS('VÍNCULOS_CDF'!$R$6:$R$1005,A6,'VÍNCULOS_CDF'!$N$6:$N$1005,1))</f>
        <v>0</v>
      </c>
      <c r="AE6" s="96">
        <f>IF(R6=0,0,COUNTIFS('VÍNCULOS_CDF'!$R$6:$R$1005,A6,'VÍNCULOS_CDF'!$AA$6:$AA$1005,1))</f>
        <v>0</v>
      </c>
      <c r="AF6" s="96">
        <f>IF(R6=0,0,COUNTIFS('VÍNCULOS_CDF'!$R$6:$R$1005,A6,'VÍNCULOS_CDF'!$Y$6:$Y$1005,1))</f>
        <v>0</v>
      </c>
      <c r="AG6" s="96" t="str">
        <f>IF(AND(R6=1,S6&lt;&gt;"",C6&lt;&gt;""),S6&amp;"|"&amp;C6&amp;"|"&amp;G6&amp;"|"&amp;H6,"")</f>
        <v/>
      </c>
      <c r="AH6" s="96">
        <f>IF(AG6="",0,IF(SUMPRODUCT(--($AG$6:$AG$1005=AG6))&gt;1,1,0))</f>
        <v>0</v>
      </c>
      <c r="AI6" s="96">
        <f>IF(R6=0,0,IF(OR(U6=0,V6=0,Y6=0,AND(AH6=1,K6&lt;&gt;"Sim")),1,0))</f>
        <v>0</v>
      </c>
      <c r="AJ6" s="96">
        <f>IF(AND(R6=1,AA6&gt;0,AB6=AA6),1,0)</f>
        <v>0</v>
      </c>
      <c r="AK6" s="96">
        <f>IF(R6=0,0,IF(AA6&gt;0,N(L6),IF(ISNUMBER(I6),I6,0)))</f>
        <v>0</v>
      </c>
      <c r="AL6" s="96">
        <f>IF(R6=0,0,IF(AND(K6&lt;&gt;"Sim",N(M6)&gt;AK6+cfg_tol),1,0))</f>
        <v>0</v>
      </c>
      <c r="AM6" s="96">
        <f>IF(R6=0,0,IF(K6="Sim",0,IF(OR(AND(AA6&gt;0,ISNUMBER(I6),ABS(I6-N(L6))&gt;cfg_tol),AL6=1),1,0)))</f>
        <v>0</v>
      </c>
      <c r="AN6" s="96">
        <f>IF(AND(R6=1,N(M6)&gt;0,OR(N(M6)&gt;=AK6-cfg_tol,K6="Sim")),1,0)</f>
        <v>0</v>
      </c>
      <c r="AO6" s="96">
        <f>IF(AND(AN6=1,AD6&gt;0,AE6=AD6,AL6=0),1,0)</f>
        <v>0</v>
      </c>
      <c r="AP6" s="96">
        <f>IF(U6=0,0,IF(AND(INDEX('MTRs'!$AX$6:$AX$505,T6)=1,Z6=0,OR(f_res="",f_res="(Todos)",C6=f_res)),1,0))</f>
        <v>0</v>
      </c>
      <c r="AQ6" s="97" t="str">
        <f>IF(U6=0,"",INDEX('MTRs'!$AZ$6:$AZ$505,T6))</f>
        <v/>
      </c>
      <c r="AR6" s="96">
        <f>IF(U6=0,0,IF(AND(INDEX('MTRs'!$BA$6:$BA$505,T6)=1,Z6=0),1,0))</f>
        <v>0</v>
      </c>
      <c r="AS6" s="96" t="str">
        <f>IF(R6=1,A6&amp;" | MTR "&amp;IF(U6=1,INDEX('MTRs'!$B$6:$B$505,T6)&amp;"","?")&amp;" | "&amp;IF(C6="","(sem resíduo)",C6),"")</f>
        <v/>
      </c>
      <c r="AT6" s="96" t="str">
        <f>IF(R6=1,COUNTIF($R$6:R6,1),"")</f>
        <v/>
      </c>
      <c r="AU6" s="96" t="str">
        <f>IF(U6=1,INDEX('MTRs'!$I$6:$I$505,T6)&amp;"","")</f>
        <v/>
      </c>
    </row>
    <row r="7">
      <c r="A7" s="89" t="inlineStr">
        <is>
          <t>IT-000002</t>
        </is>
      </c>
      <c r="B7" s="91" t="n"/>
      <c r="C7" s="91" t="n"/>
      <c r="D7" s="94" t="str">
        <f>IF(OR(R7=0,V7=0),"",INDEX('CAD_RESÍDUOS'!$E$6:$E$205,MATCH(C7,'CAD_RESÍDUOS'!$B$6:$B$205,0))&amp;"")</f>
        <v/>
      </c>
      <c r="E7" s="94" t="str">
        <f>IF(OR(R7=0,V7=0),"",INDEX('CAD_RESÍDUOS'!$C$6:$C$205,MATCH(C7,'CAD_RESÍDUOS'!$B$6:$B$205,0))&amp;"")</f>
        <v/>
      </c>
      <c r="F7" s="94" t="str">
        <f>IF(OR(R7=0,V7=0),"",INDEX('CAD_RESÍDUOS'!$G$6:$G$205,MATCH(C7,'CAD_RESÍDUOS'!$B$6:$B$205,0))&amp;"")</f>
        <v/>
      </c>
      <c r="G7" s="98" t="n"/>
      <c r="H7" s="91" t="n"/>
      <c r="I7" s="93" t="str">
        <f>IF(R7=0,"",IF(NOT(ISNUMBER(G7)),"",IF(ISNUMBER(X7),G7*X7,"UNIDADE A CONFERIR")))</f>
        <v/>
      </c>
      <c r="J7" s="91" t="n"/>
      <c r="K7" s="91" t="n"/>
      <c r="L7" s="93" t="str">
        <f>IF(R7=0,"",SUMIFS('RECEBIMENTOS'!$H$6:$H$1005,'RECEBIMENTOS'!$R$6:$R$1005,A7,'RECEBIMENTOS'!$X$6:$X$1005,1))</f>
        <v/>
      </c>
      <c r="M7" s="93" t="str">
        <f>IF(R7=0,"",SUMIFS('VÍNCULOS_CDF'!$H$6:$H$1005,'VÍNCULOS_CDF'!$R$6:$R$1005,A7,'VÍNCULOS_CDF'!$V$6:$V$1005,1))</f>
        <v/>
      </c>
      <c r="N7" s="99" t="str">
        <f>IF(OR(R7=0,AA7=0,NOT(ISNUMBER(I7))),"",I7-N(L7))</f>
        <v/>
      </c>
      <c r="O7" s="100" t="str">
        <f>IF(OR(R7=0,AK7&lt;=0),"",N(M7)/AK7)</f>
        <v/>
      </c>
      <c r="P7" s="94" t="str">
        <f>IF(R7=0,"",IF(S7="","Sem MTR associado",IF(U7=0,"MTR inexistente",IF(C7="","Resíduo não identificado",IF(V7=0,"Resíduo fora do cadastro",IF(W7=0,"Quantidade inválida",IF(H7="","Unidade não informada",IF(NOT(ISNUMBER(I7)),"Unidade a conferir",IF(AND(AH7=1,K7&lt;&gt;"Sim"),"Possível duplicidade",IF(Z7=1,"MTR cancelado",IF(AC7&gt;0,"Recebimento com alerta",IF(AA7=0,"Aguardando recebimento",IF(AB7&lt;AA7,"Recebimento a conferir",IF(AM7=1,"Quantidade a revisar",IF(AF7&gt;0,"Vínculo a revisar",IF(AD7=0,"Aguardando CDF",IF(AN7=0,"Vínculo de CDF parcial",IF(AE7&lt;AD7,"CDF a conferir","Documentação conferida"))))))))))))))))))</f>
        <v/>
      </c>
      <c r="Q7" s="93" t="str">
        <f>IF(OR(R7=0,AA7=0),"",MAX(0,N(L7)-N(M7)))</f>
        <v/>
      </c>
      <c r="R7" s="96">
        <f>IF(COUNTA(B7:C7,G7:H7,J7:K7)&gt;0,1,0)</f>
        <v>0</v>
      </c>
      <c r="S7" s="96" t="str">
        <f>IF(B7="","",TRIM(LEFT(B7,FIND(" |",B7&amp;" |")-1)))</f>
        <v/>
      </c>
      <c r="T7" s="96" t="str">
        <f>IF(S7="","",IFERROR(MATCH(S7,'MTRs'!$A$6:$A$505,0),""))</f>
        <v/>
      </c>
      <c r="U7" s="96">
        <f>IF(T7="",0,IF(INDEX('MTRs'!$Z$6:$Z$505,T7)=1,1,0))</f>
        <v>0</v>
      </c>
      <c r="V7" s="96">
        <f>IF(C7="",0,IF(ISNUMBER(MATCH(C7,'CAD_RESÍDUOS'!$B$6:$B$205,0)),1,0))</f>
        <v>0</v>
      </c>
      <c r="W7" s="96">
        <f>IF(AND(ISNUMBER(G7),G7&gt;0),1,0)</f>
        <v>0</v>
      </c>
      <c r="X7" s="96" t="str">
        <f>IF(H7="","",IFERROR(IF(ISNUMBER(INDEX(cfg_fac,MATCH(H7,cfg_units,0))),IF(INDEX(cfg_fac,MATCH(H7,cfg_units,0))&gt;0,INDEX(cfg_fac,MATCH(H7,cfg_units,0)),""),""),""))</f>
        <v/>
      </c>
      <c r="Y7" s="96">
        <f>IF(AND(W7=1,ISNUMBER(I7)),1,0)</f>
        <v>0</v>
      </c>
      <c r="Z7" s="96">
        <f>IF(U7=1,INDEX('MTRs'!$AA$6:$AA$505,T7),0)</f>
        <v>0</v>
      </c>
      <c r="AA7" s="96">
        <f>IF(R7=0,0,COUNTIFS('RECEBIMENTOS'!$R$6:$R$1005,A7,'RECEBIMENTOS'!$Q$6:$Q$1005,1))</f>
        <v>0</v>
      </c>
      <c r="AB7" s="96">
        <f>IF(R7=0,0,COUNTIFS('RECEBIMENTOS'!$R$6:$R$1005,A7,'RECEBIMENTOS'!$Z$6:$Z$1005,1))</f>
        <v>0</v>
      </c>
      <c r="AC7" s="96">
        <f>IF(R7=0,0,COUNTIFS('RECEBIMENTOS'!$R$6:$R$1005,A7,'RECEBIMENTOS'!$Y$6:$Y$1005,1))</f>
        <v>0</v>
      </c>
      <c r="AD7" s="96">
        <f>IF(R7=0,0,COUNTIFS('VÍNCULOS_CDF'!$R$6:$R$1005,A7,'VÍNCULOS_CDF'!$N$6:$N$1005,1))</f>
        <v>0</v>
      </c>
      <c r="AE7" s="96">
        <f>IF(R7=0,0,COUNTIFS('VÍNCULOS_CDF'!$R$6:$R$1005,A7,'VÍNCULOS_CDF'!$AA$6:$AA$1005,1))</f>
        <v>0</v>
      </c>
      <c r="AF7" s="96">
        <f>IF(R7=0,0,COUNTIFS('VÍNCULOS_CDF'!$R$6:$R$1005,A7,'VÍNCULOS_CDF'!$Y$6:$Y$1005,1))</f>
        <v>0</v>
      </c>
      <c r="AG7" s="96" t="str">
        <f>IF(AND(R7=1,S7&lt;&gt;"",C7&lt;&gt;""),S7&amp;"|"&amp;C7&amp;"|"&amp;G7&amp;"|"&amp;H7,"")</f>
        <v/>
      </c>
      <c r="AH7" s="96">
        <f>IF(AG7="",0,IF(SUMPRODUCT(--($AG$6:$AG$1005=AG7))&gt;1,1,0))</f>
        <v>0</v>
      </c>
      <c r="AI7" s="96">
        <f>IF(R7=0,0,IF(OR(U7=0,V7=0,Y7=0,AND(AH7=1,K7&lt;&gt;"Sim")),1,0))</f>
        <v>0</v>
      </c>
      <c r="AJ7" s="96">
        <f>IF(AND(R7=1,AA7&gt;0,AB7=AA7),1,0)</f>
        <v>0</v>
      </c>
      <c r="AK7" s="96">
        <f>IF(R7=0,0,IF(AA7&gt;0,N(L7),IF(ISNUMBER(I7),I7,0)))</f>
        <v>0</v>
      </c>
      <c r="AL7" s="96">
        <f>IF(R7=0,0,IF(AND(K7&lt;&gt;"Sim",N(M7)&gt;AK7+cfg_tol),1,0))</f>
        <v>0</v>
      </c>
      <c r="AM7" s="96">
        <f>IF(R7=0,0,IF(K7="Sim",0,IF(OR(AND(AA7&gt;0,ISNUMBER(I7),ABS(I7-N(L7))&gt;cfg_tol),AL7=1),1,0)))</f>
        <v>0</v>
      </c>
      <c r="AN7" s="96">
        <f>IF(AND(R7=1,N(M7)&gt;0,OR(N(M7)&gt;=AK7-cfg_tol,K7="Sim")),1,0)</f>
        <v>0</v>
      </c>
      <c r="AO7" s="96">
        <f>IF(AND(AN7=1,AD7&gt;0,AE7=AD7,AL7=0),1,0)</f>
        <v>0</v>
      </c>
      <c r="AP7" s="96">
        <f>IF(U7=0,0,IF(AND(INDEX('MTRs'!$AX$6:$AX$505,T7)=1,Z7=0,OR(f_res="",f_res="(Todos)",C7=f_res)),1,0))</f>
        <v>0</v>
      </c>
      <c r="AQ7" s="97" t="str">
        <f>IF(U7=0,"",INDEX('MTRs'!$AZ$6:$AZ$505,T7))</f>
        <v/>
      </c>
      <c r="AR7" s="96">
        <f>IF(U7=0,0,IF(AND(INDEX('MTRs'!$BA$6:$BA$505,T7)=1,Z7=0),1,0))</f>
        <v>0</v>
      </c>
      <c r="AS7" s="96" t="str">
        <f>IF(R7=1,A7&amp;" | MTR "&amp;IF(U7=1,INDEX('MTRs'!$B$6:$B$505,T7)&amp;"","?")&amp;" | "&amp;IF(C7="","(sem resíduo)",C7),"")</f>
        <v/>
      </c>
      <c r="AT7" s="96" t="str">
        <f>IF(R7=1,COUNTIF($R$6:R7,1),"")</f>
        <v/>
      </c>
      <c r="AU7" s="96" t="str">
        <f>IF(U7=1,INDEX('MTRs'!$I$6:$I$505,T7)&amp;"","")</f>
        <v/>
      </c>
    </row>
    <row r="8">
      <c r="A8" s="89" t="inlineStr">
        <is>
          <t>IT-000003</t>
        </is>
      </c>
      <c r="B8" s="91" t="n"/>
      <c r="C8" s="91" t="n"/>
      <c r="D8" s="94" t="str">
        <f>IF(OR(R8=0,V8=0),"",INDEX('CAD_RESÍDUOS'!$E$6:$E$205,MATCH(C8,'CAD_RESÍDUOS'!$B$6:$B$205,0))&amp;"")</f>
        <v/>
      </c>
      <c r="E8" s="94" t="str">
        <f>IF(OR(R8=0,V8=0),"",INDEX('CAD_RESÍDUOS'!$C$6:$C$205,MATCH(C8,'CAD_RESÍDUOS'!$B$6:$B$205,0))&amp;"")</f>
        <v/>
      </c>
      <c r="F8" s="94" t="str">
        <f>IF(OR(R8=0,V8=0),"",INDEX('CAD_RESÍDUOS'!$G$6:$G$205,MATCH(C8,'CAD_RESÍDUOS'!$B$6:$B$205,0))&amp;"")</f>
        <v/>
      </c>
      <c r="G8" s="98" t="n"/>
      <c r="H8" s="91" t="n"/>
      <c r="I8" s="93" t="str">
        <f>IF(R8=0,"",IF(NOT(ISNUMBER(G8)),"",IF(ISNUMBER(X8),G8*X8,"UNIDADE A CONFERIR")))</f>
        <v/>
      </c>
      <c r="J8" s="91" t="n"/>
      <c r="K8" s="91" t="n"/>
      <c r="L8" s="93" t="str">
        <f>IF(R8=0,"",SUMIFS('RECEBIMENTOS'!$H$6:$H$1005,'RECEBIMENTOS'!$R$6:$R$1005,A8,'RECEBIMENTOS'!$X$6:$X$1005,1))</f>
        <v/>
      </c>
      <c r="M8" s="93" t="str">
        <f>IF(R8=0,"",SUMIFS('VÍNCULOS_CDF'!$H$6:$H$1005,'VÍNCULOS_CDF'!$R$6:$R$1005,A8,'VÍNCULOS_CDF'!$V$6:$V$1005,1))</f>
        <v/>
      </c>
      <c r="N8" s="99" t="str">
        <f>IF(OR(R8=0,AA8=0,NOT(ISNUMBER(I8))),"",I8-N(L8))</f>
        <v/>
      </c>
      <c r="O8" s="100" t="str">
        <f>IF(OR(R8=0,AK8&lt;=0),"",N(M8)/AK8)</f>
        <v/>
      </c>
      <c r="P8" s="94" t="str">
        <f>IF(R8=0,"",IF(S8="","Sem MTR associado",IF(U8=0,"MTR inexistente",IF(C8="","Resíduo não identificado",IF(V8=0,"Resíduo fora do cadastro",IF(W8=0,"Quantidade inválida",IF(H8="","Unidade não informada",IF(NOT(ISNUMBER(I8)),"Unidade a conferir",IF(AND(AH8=1,K8&lt;&gt;"Sim"),"Possível duplicidade",IF(Z8=1,"MTR cancelado",IF(AC8&gt;0,"Recebimento com alerta",IF(AA8=0,"Aguardando recebimento",IF(AB8&lt;AA8,"Recebimento a conferir",IF(AM8=1,"Quantidade a revisar",IF(AF8&gt;0,"Vínculo a revisar",IF(AD8=0,"Aguardando CDF",IF(AN8=0,"Vínculo de CDF parcial",IF(AE8&lt;AD8,"CDF a conferir","Documentação conferida"))))))))))))))))))</f>
        <v/>
      </c>
      <c r="Q8" s="93" t="str">
        <f>IF(OR(R8=0,AA8=0),"",MAX(0,N(L8)-N(M8)))</f>
        <v/>
      </c>
      <c r="R8" s="96">
        <f>IF(COUNTA(B8:C8,G8:H8,J8:K8)&gt;0,1,0)</f>
        <v>0</v>
      </c>
      <c r="S8" s="96" t="str">
        <f>IF(B8="","",TRIM(LEFT(B8,FIND(" |",B8&amp;" |")-1)))</f>
        <v/>
      </c>
      <c r="T8" s="96" t="str">
        <f>IF(S8="","",IFERROR(MATCH(S8,'MTRs'!$A$6:$A$505,0),""))</f>
        <v/>
      </c>
      <c r="U8" s="96">
        <f>IF(T8="",0,IF(INDEX('MTRs'!$Z$6:$Z$505,T8)=1,1,0))</f>
        <v>0</v>
      </c>
      <c r="V8" s="96">
        <f>IF(C8="",0,IF(ISNUMBER(MATCH(C8,'CAD_RESÍDUOS'!$B$6:$B$205,0)),1,0))</f>
        <v>0</v>
      </c>
      <c r="W8" s="96">
        <f>IF(AND(ISNUMBER(G8),G8&gt;0),1,0)</f>
        <v>0</v>
      </c>
      <c r="X8" s="96" t="str">
        <f>IF(H8="","",IFERROR(IF(ISNUMBER(INDEX(cfg_fac,MATCH(H8,cfg_units,0))),IF(INDEX(cfg_fac,MATCH(H8,cfg_units,0))&gt;0,INDEX(cfg_fac,MATCH(H8,cfg_units,0)),""),""),""))</f>
        <v/>
      </c>
      <c r="Y8" s="96">
        <f>IF(AND(W8=1,ISNUMBER(I8)),1,0)</f>
        <v>0</v>
      </c>
      <c r="Z8" s="96">
        <f>IF(U8=1,INDEX('MTRs'!$AA$6:$AA$505,T8),0)</f>
        <v>0</v>
      </c>
      <c r="AA8" s="96">
        <f>IF(R8=0,0,COUNTIFS('RECEBIMENTOS'!$R$6:$R$1005,A8,'RECEBIMENTOS'!$Q$6:$Q$1005,1))</f>
        <v>0</v>
      </c>
      <c r="AB8" s="96">
        <f>IF(R8=0,0,COUNTIFS('RECEBIMENTOS'!$R$6:$R$1005,A8,'RECEBIMENTOS'!$Z$6:$Z$1005,1))</f>
        <v>0</v>
      </c>
      <c r="AC8" s="96">
        <f>IF(R8=0,0,COUNTIFS('RECEBIMENTOS'!$R$6:$R$1005,A8,'RECEBIMENTOS'!$Y$6:$Y$1005,1))</f>
        <v>0</v>
      </c>
      <c r="AD8" s="96">
        <f>IF(R8=0,0,COUNTIFS('VÍNCULOS_CDF'!$R$6:$R$1005,A8,'VÍNCULOS_CDF'!$N$6:$N$1005,1))</f>
        <v>0</v>
      </c>
      <c r="AE8" s="96">
        <f>IF(R8=0,0,COUNTIFS('VÍNCULOS_CDF'!$R$6:$R$1005,A8,'VÍNCULOS_CDF'!$AA$6:$AA$1005,1))</f>
        <v>0</v>
      </c>
      <c r="AF8" s="96">
        <f>IF(R8=0,0,COUNTIFS('VÍNCULOS_CDF'!$R$6:$R$1005,A8,'VÍNCULOS_CDF'!$Y$6:$Y$1005,1))</f>
        <v>0</v>
      </c>
      <c r="AG8" s="96" t="str">
        <f>IF(AND(R8=1,S8&lt;&gt;"",C8&lt;&gt;""),S8&amp;"|"&amp;C8&amp;"|"&amp;G8&amp;"|"&amp;H8,"")</f>
        <v/>
      </c>
      <c r="AH8" s="96">
        <f>IF(AG8="",0,IF(SUMPRODUCT(--($AG$6:$AG$1005=AG8))&gt;1,1,0))</f>
        <v>0</v>
      </c>
      <c r="AI8" s="96">
        <f>IF(R8=0,0,IF(OR(U8=0,V8=0,Y8=0,AND(AH8=1,K8&lt;&gt;"Sim")),1,0))</f>
        <v>0</v>
      </c>
      <c r="AJ8" s="96">
        <f>IF(AND(R8=1,AA8&gt;0,AB8=AA8),1,0)</f>
        <v>0</v>
      </c>
      <c r="AK8" s="96">
        <f>IF(R8=0,0,IF(AA8&gt;0,N(L8),IF(ISNUMBER(I8),I8,0)))</f>
        <v>0</v>
      </c>
      <c r="AL8" s="96">
        <f>IF(R8=0,0,IF(AND(K8&lt;&gt;"Sim",N(M8)&gt;AK8+cfg_tol),1,0))</f>
        <v>0</v>
      </c>
      <c r="AM8" s="96">
        <f>IF(R8=0,0,IF(K8="Sim",0,IF(OR(AND(AA8&gt;0,ISNUMBER(I8),ABS(I8-N(L8))&gt;cfg_tol),AL8=1),1,0)))</f>
        <v>0</v>
      </c>
      <c r="AN8" s="96">
        <f>IF(AND(R8=1,N(M8)&gt;0,OR(N(M8)&gt;=AK8-cfg_tol,K8="Sim")),1,0)</f>
        <v>0</v>
      </c>
      <c r="AO8" s="96">
        <f>IF(AND(AN8=1,AD8&gt;0,AE8=AD8,AL8=0),1,0)</f>
        <v>0</v>
      </c>
      <c r="AP8" s="96">
        <f>IF(U8=0,0,IF(AND(INDEX('MTRs'!$AX$6:$AX$505,T8)=1,Z8=0,OR(f_res="",f_res="(Todos)",C8=f_res)),1,0))</f>
        <v>0</v>
      </c>
      <c r="AQ8" s="97" t="str">
        <f>IF(U8=0,"",INDEX('MTRs'!$AZ$6:$AZ$505,T8))</f>
        <v/>
      </c>
      <c r="AR8" s="96">
        <f>IF(U8=0,0,IF(AND(INDEX('MTRs'!$BA$6:$BA$505,T8)=1,Z8=0),1,0))</f>
        <v>0</v>
      </c>
      <c r="AS8" s="96" t="str">
        <f>IF(R8=1,A8&amp;" | MTR "&amp;IF(U8=1,INDEX('MTRs'!$B$6:$B$505,T8)&amp;"","?")&amp;" | "&amp;IF(C8="","(sem resíduo)",C8),"")</f>
        <v/>
      </c>
      <c r="AT8" s="96" t="str">
        <f>IF(R8=1,COUNTIF($R$6:R8,1),"")</f>
        <v/>
      </c>
      <c r="AU8" s="96" t="str">
        <f>IF(U8=1,INDEX('MTRs'!$I$6:$I$505,T8)&amp;"","")</f>
        <v/>
      </c>
    </row>
    <row r="9">
      <c r="A9" s="89" t="inlineStr">
        <is>
          <t>IT-000004</t>
        </is>
      </c>
      <c r="B9" s="91" t="n"/>
      <c r="C9" s="91" t="n"/>
      <c r="D9" s="94" t="str">
        <f>IF(OR(R9=0,V9=0),"",INDEX('CAD_RESÍDUOS'!$E$6:$E$205,MATCH(C9,'CAD_RESÍDUOS'!$B$6:$B$205,0))&amp;"")</f>
        <v/>
      </c>
      <c r="E9" s="94" t="str">
        <f>IF(OR(R9=0,V9=0),"",INDEX('CAD_RESÍDUOS'!$C$6:$C$205,MATCH(C9,'CAD_RESÍDUOS'!$B$6:$B$205,0))&amp;"")</f>
        <v/>
      </c>
      <c r="F9" s="94" t="str">
        <f>IF(OR(R9=0,V9=0),"",INDEX('CAD_RESÍDUOS'!$G$6:$G$205,MATCH(C9,'CAD_RESÍDUOS'!$B$6:$B$205,0))&amp;"")</f>
        <v/>
      </c>
      <c r="G9" s="98" t="n"/>
      <c r="H9" s="91" t="n"/>
      <c r="I9" s="93" t="str">
        <f>IF(R9=0,"",IF(NOT(ISNUMBER(G9)),"",IF(ISNUMBER(X9),G9*X9,"UNIDADE A CONFERIR")))</f>
        <v/>
      </c>
      <c r="J9" s="91" t="n"/>
      <c r="K9" s="91" t="n"/>
      <c r="L9" s="93" t="str">
        <f>IF(R9=0,"",SUMIFS('RECEBIMENTOS'!$H$6:$H$1005,'RECEBIMENTOS'!$R$6:$R$1005,A9,'RECEBIMENTOS'!$X$6:$X$1005,1))</f>
        <v/>
      </c>
      <c r="M9" s="93" t="str">
        <f>IF(R9=0,"",SUMIFS('VÍNCULOS_CDF'!$H$6:$H$1005,'VÍNCULOS_CDF'!$R$6:$R$1005,A9,'VÍNCULOS_CDF'!$V$6:$V$1005,1))</f>
        <v/>
      </c>
      <c r="N9" s="99" t="str">
        <f>IF(OR(R9=0,AA9=0,NOT(ISNUMBER(I9))),"",I9-N(L9))</f>
        <v/>
      </c>
      <c r="O9" s="100" t="str">
        <f>IF(OR(R9=0,AK9&lt;=0),"",N(M9)/AK9)</f>
        <v/>
      </c>
      <c r="P9" s="94" t="str">
        <f>IF(R9=0,"",IF(S9="","Sem MTR associado",IF(U9=0,"MTR inexistente",IF(C9="","Resíduo não identificado",IF(V9=0,"Resíduo fora do cadastro",IF(W9=0,"Quantidade inválida",IF(H9="","Unidade não informada",IF(NOT(ISNUMBER(I9)),"Unidade a conferir",IF(AND(AH9=1,K9&lt;&gt;"Sim"),"Possível duplicidade",IF(Z9=1,"MTR cancelado",IF(AC9&gt;0,"Recebimento com alerta",IF(AA9=0,"Aguardando recebimento",IF(AB9&lt;AA9,"Recebimento a conferir",IF(AM9=1,"Quantidade a revisar",IF(AF9&gt;0,"Vínculo a revisar",IF(AD9=0,"Aguardando CDF",IF(AN9=0,"Vínculo de CDF parcial",IF(AE9&lt;AD9,"CDF a conferir","Documentação conferida"))))))))))))))))))</f>
        <v/>
      </c>
      <c r="Q9" s="93" t="str">
        <f>IF(OR(R9=0,AA9=0),"",MAX(0,N(L9)-N(M9)))</f>
        <v/>
      </c>
      <c r="R9" s="96">
        <f>IF(COUNTA(B9:C9,G9:H9,J9:K9)&gt;0,1,0)</f>
        <v>0</v>
      </c>
      <c r="S9" s="96" t="str">
        <f>IF(B9="","",TRIM(LEFT(B9,FIND(" |",B9&amp;" |")-1)))</f>
        <v/>
      </c>
      <c r="T9" s="96" t="str">
        <f>IF(S9="","",IFERROR(MATCH(S9,'MTRs'!$A$6:$A$505,0),""))</f>
        <v/>
      </c>
      <c r="U9" s="96">
        <f>IF(T9="",0,IF(INDEX('MTRs'!$Z$6:$Z$505,T9)=1,1,0))</f>
        <v>0</v>
      </c>
      <c r="V9" s="96">
        <f>IF(C9="",0,IF(ISNUMBER(MATCH(C9,'CAD_RESÍDUOS'!$B$6:$B$205,0)),1,0))</f>
        <v>0</v>
      </c>
      <c r="W9" s="96">
        <f>IF(AND(ISNUMBER(G9),G9&gt;0),1,0)</f>
        <v>0</v>
      </c>
      <c r="X9" s="96" t="str">
        <f>IF(H9="","",IFERROR(IF(ISNUMBER(INDEX(cfg_fac,MATCH(H9,cfg_units,0))),IF(INDEX(cfg_fac,MATCH(H9,cfg_units,0))&gt;0,INDEX(cfg_fac,MATCH(H9,cfg_units,0)),""),""),""))</f>
        <v/>
      </c>
      <c r="Y9" s="96">
        <f>IF(AND(W9=1,ISNUMBER(I9)),1,0)</f>
        <v>0</v>
      </c>
      <c r="Z9" s="96">
        <f>IF(U9=1,INDEX('MTRs'!$AA$6:$AA$505,T9),0)</f>
        <v>0</v>
      </c>
      <c r="AA9" s="96">
        <f>IF(R9=0,0,COUNTIFS('RECEBIMENTOS'!$R$6:$R$1005,A9,'RECEBIMENTOS'!$Q$6:$Q$1005,1))</f>
        <v>0</v>
      </c>
      <c r="AB9" s="96">
        <f>IF(R9=0,0,COUNTIFS('RECEBIMENTOS'!$R$6:$R$1005,A9,'RECEBIMENTOS'!$Z$6:$Z$1005,1))</f>
        <v>0</v>
      </c>
      <c r="AC9" s="96">
        <f>IF(R9=0,0,COUNTIFS('RECEBIMENTOS'!$R$6:$R$1005,A9,'RECEBIMENTOS'!$Y$6:$Y$1005,1))</f>
        <v>0</v>
      </c>
      <c r="AD9" s="96">
        <f>IF(R9=0,0,COUNTIFS('VÍNCULOS_CDF'!$R$6:$R$1005,A9,'VÍNCULOS_CDF'!$N$6:$N$1005,1))</f>
        <v>0</v>
      </c>
      <c r="AE9" s="96">
        <f>IF(R9=0,0,COUNTIFS('VÍNCULOS_CDF'!$R$6:$R$1005,A9,'VÍNCULOS_CDF'!$AA$6:$AA$1005,1))</f>
        <v>0</v>
      </c>
      <c r="AF9" s="96">
        <f>IF(R9=0,0,COUNTIFS('VÍNCULOS_CDF'!$R$6:$R$1005,A9,'VÍNCULOS_CDF'!$Y$6:$Y$1005,1))</f>
        <v>0</v>
      </c>
      <c r="AG9" s="96" t="str">
        <f>IF(AND(R9=1,S9&lt;&gt;"",C9&lt;&gt;""),S9&amp;"|"&amp;C9&amp;"|"&amp;G9&amp;"|"&amp;H9,"")</f>
        <v/>
      </c>
      <c r="AH9" s="96">
        <f>IF(AG9="",0,IF(SUMPRODUCT(--($AG$6:$AG$1005=AG9))&gt;1,1,0))</f>
        <v>0</v>
      </c>
      <c r="AI9" s="96">
        <f>IF(R9=0,0,IF(OR(U9=0,V9=0,Y9=0,AND(AH9=1,K9&lt;&gt;"Sim")),1,0))</f>
        <v>0</v>
      </c>
      <c r="AJ9" s="96">
        <f>IF(AND(R9=1,AA9&gt;0,AB9=AA9),1,0)</f>
        <v>0</v>
      </c>
      <c r="AK9" s="96">
        <f>IF(R9=0,0,IF(AA9&gt;0,N(L9),IF(ISNUMBER(I9),I9,0)))</f>
        <v>0</v>
      </c>
      <c r="AL9" s="96">
        <f>IF(R9=0,0,IF(AND(K9&lt;&gt;"Sim",N(M9)&gt;AK9+cfg_tol),1,0))</f>
        <v>0</v>
      </c>
      <c r="AM9" s="96">
        <f>IF(R9=0,0,IF(K9="Sim",0,IF(OR(AND(AA9&gt;0,ISNUMBER(I9),ABS(I9-N(L9))&gt;cfg_tol),AL9=1),1,0)))</f>
        <v>0</v>
      </c>
      <c r="AN9" s="96">
        <f>IF(AND(R9=1,N(M9)&gt;0,OR(N(M9)&gt;=AK9-cfg_tol,K9="Sim")),1,0)</f>
        <v>0</v>
      </c>
      <c r="AO9" s="96">
        <f>IF(AND(AN9=1,AD9&gt;0,AE9=AD9,AL9=0),1,0)</f>
        <v>0</v>
      </c>
      <c r="AP9" s="96">
        <f>IF(U9=0,0,IF(AND(INDEX('MTRs'!$AX$6:$AX$505,T9)=1,Z9=0,OR(f_res="",f_res="(Todos)",C9=f_res)),1,0))</f>
        <v>0</v>
      </c>
      <c r="AQ9" s="97" t="str">
        <f>IF(U9=0,"",INDEX('MTRs'!$AZ$6:$AZ$505,T9))</f>
        <v/>
      </c>
      <c r="AR9" s="96">
        <f>IF(U9=0,0,IF(AND(INDEX('MTRs'!$BA$6:$BA$505,T9)=1,Z9=0),1,0))</f>
        <v>0</v>
      </c>
      <c r="AS9" s="96" t="str">
        <f>IF(R9=1,A9&amp;" | MTR "&amp;IF(U9=1,INDEX('MTRs'!$B$6:$B$505,T9)&amp;"","?")&amp;" | "&amp;IF(C9="","(sem resíduo)",C9),"")</f>
        <v/>
      </c>
      <c r="AT9" s="96" t="str">
        <f>IF(R9=1,COUNTIF($R$6:R9,1),"")</f>
        <v/>
      </c>
      <c r="AU9" s="96" t="str">
        <f>IF(U9=1,INDEX('MTRs'!$I$6:$I$505,T9)&amp;"","")</f>
        <v/>
      </c>
    </row>
    <row r="10">
      <c r="A10" s="89" t="inlineStr">
        <is>
          <t>IT-000005</t>
        </is>
      </c>
      <c r="B10" s="91" t="n"/>
      <c r="C10" s="91" t="n"/>
      <c r="D10" s="94" t="str">
        <f>IF(OR(R10=0,V10=0),"",INDEX('CAD_RESÍDUOS'!$E$6:$E$205,MATCH(C10,'CAD_RESÍDUOS'!$B$6:$B$205,0))&amp;"")</f>
        <v/>
      </c>
      <c r="E10" s="94" t="str">
        <f>IF(OR(R10=0,V10=0),"",INDEX('CAD_RESÍDUOS'!$C$6:$C$205,MATCH(C10,'CAD_RESÍDUOS'!$B$6:$B$205,0))&amp;"")</f>
        <v/>
      </c>
      <c r="F10" s="94" t="str">
        <f>IF(OR(R10=0,V10=0),"",INDEX('CAD_RESÍDUOS'!$G$6:$G$205,MATCH(C10,'CAD_RESÍDUOS'!$B$6:$B$205,0))&amp;"")</f>
        <v/>
      </c>
      <c r="G10" s="98" t="n"/>
      <c r="H10" s="91" t="n"/>
      <c r="I10" s="93" t="str">
        <f>IF(R10=0,"",IF(NOT(ISNUMBER(G10)),"",IF(ISNUMBER(X10),G10*X10,"UNIDADE A CONFERIR")))</f>
        <v/>
      </c>
      <c r="J10" s="91" t="n"/>
      <c r="K10" s="91" t="n"/>
      <c r="L10" s="93" t="str">
        <f>IF(R10=0,"",SUMIFS('RECEBIMENTOS'!$H$6:$H$1005,'RECEBIMENTOS'!$R$6:$R$1005,A10,'RECEBIMENTOS'!$X$6:$X$1005,1))</f>
        <v/>
      </c>
      <c r="M10" s="93" t="str">
        <f>IF(R10=0,"",SUMIFS('VÍNCULOS_CDF'!$H$6:$H$1005,'VÍNCULOS_CDF'!$R$6:$R$1005,A10,'VÍNCULOS_CDF'!$V$6:$V$1005,1))</f>
        <v/>
      </c>
      <c r="N10" s="99" t="str">
        <f>IF(OR(R10=0,AA10=0,NOT(ISNUMBER(I10))),"",I10-N(L10))</f>
        <v/>
      </c>
      <c r="O10" s="100" t="str">
        <f>IF(OR(R10=0,AK10&lt;=0),"",N(M10)/AK10)</f>
        <v/>
      </c>
      <c r="P10" s="94" t="str">
        <f>IF(R10=0,"",IF(S10="","Sem MTR associado",IF(U10=0,"MTR inexistente",IF(C10="","Resíduo não identificado",IF(V10=0,"Resíduo fora do cadastro",IF(W10=0,"Quantidade inválida",IF(H10="","Unidade não informada",IF(NOT(ISNUMBER(I10)),"Unidade a conferir",IF(AND(AH10=1,K10&lt;&gt;"Sim"),"Possível duplicidade",IF(Z10=1,"MTR cancelado",IF(AC10&gt;0,"Recebimento com alerta",IF(AA10=0,"Aguardando recebimento",IF(AB10&lt;AA10,"Recebimento a conferir",IF(AM10=1,"Quantidade a revisar",IF(AF10&gt;0,"Vínculo a revisar",IF(AD10=0,"Aguardando CDF",IF(AN10=0,"Vínculo de CDF parcial",IF(AE10&lt;AD10,"CDF a conferir","Documentação conferida"))))))))))))))))))</f>
        <v/>
      </c>
      <c r="Q10" s="93" t="str">
        <f>IF(OR(R10=0,AA10=0),"",MAX(0,N(L10)-N(M10)))</f>
        <v/>
      </c>
      <c r="R10" s="96">
        <f>IF(COUNTA(B10:C10,G10:H10,J10:K10)&gt;0,1,0)</f>
        <v>0</v>
      </c>
      <c r="S10" s="96" t="str">
        <f>IF(B10="","",TRIM(LEFT(B10,FIND(" |",B10&amp;" |")-1)))</f>
        <v/>
      </c>
      <c r="T10" s="96" t="str">
        <f>IF(S10="","",IFERROR(MATCH(S10,'MTRs'!$A$6:$A$505,0),""))</f>
        <v/>
      </c>
      <c r="U10" s="96">
        <f>IF(T10="",0,IF(INDEX('MTRs'!$Z$6:$Z$505,T10)=1,1,0))</f>
        <v>0</v>
      </c>
      <c r="V10" s="96">
        <f>IF(C10="",0,IF(ISNUMBER(MATCH(C10,'CAD_RESÍDUOS'!$B$6:$B$205,0)),1,0))</f>
        <v>0</v>
      </c>
      <c r="W10" s="96">
        <f>IF(AND(ISNUMBER(G10),G10&gt;0),1,0)</f>
        <v>0</v>
      </c>
      <c r="X10" s="96" t="str">
        <f>IF(H10="","",IFERROR(IF(ISNUMBER(INDEX(cfg_fac,MATCH(H10,cfg_units,0))),IF(INDEX(cfg_fac,MATCH(H10,cfg_units,0))&gt;0,INDEX(cfg_fac,MATCH(H10,cfg_units,0)),""),""),""))</f>
        <v/>
      </c>
      <c r="Y10" s="96">
        <f>IF(AND(W10=1,ISNUMBER(I10)),1,0)</f>
        <v>0</v>
      </c>
      <c r="Z10" s="96">
        <f>IF(U10=1,INDEX('MTRs'!$AA$6:$AA$505,T10),0)</f>
        <v>0</v>
      </c>
      <c r="AA10" s="96">
        <f>IF(R10=0,0,COUNTIFS('RECEBIMENTOS'!$R$6:$R$1005,A10,'RECEBIMENTOS'!$Q$6:$Q$1005,1))</f>
        <v>0</v>
      </c>
      <c r="AB10" s="96">
        <f>IF(R10=0,0,COUNTIFS('RECEBIMENTOS'!$R$6:$R$1005,A10,'RECEBIMENTOS'!$Z$6:$Z$1005,1))</f>
        <v>0</v>
      </c>
      <c r="AC10" s="96">
        <f>IF(R10=0,0,COUNTIFS('RECEBIMENTOS'!$R$6:$R$1005,A10,'RECEBIMENTOS'!$Y$6:$Y$1005,1))</f>
        <v>0</v>
      </c>
      <c r="AD10" s="96">
        <f>IF(R10=0,0,COUNTIFS('VÍNCULOS_CDF'!$R$6:$R$1005,A10,'VÍNCULOS_CDF'!$N$6:$N$1005,1))</f>
        <v>0</v>
      </c>
      <c r="AE10" s="96">
        <f>IF(R10=0,0,COUNTIFS('VÍNCULOS_CDF'!$R$6:$R$1005,A10,'VÍNCULOS_CDF'!$AA$6:$AA$1005,1))</f>
        <v>0</v>
      </c>
      <c r="AF10" s="96">
        <f>IF(R10=0,0,COUNTIFS('VÍNCULOS_CDF'!$R$6:$R$1005,A10,'VÍNCULOS_CDF'!$Y$6:$Y$1005,1))</f>
        <v>0</v>
      </c>
      <c r="AG10" s="96" t="str">
        <f>IF(AND(R10=1,S10&lt;&gt;"",C10&lt;&gt;""),S10&amp;"|"&amp;C10&amp;"|"&amp;G10&amp;"|"&amp;H10,"")</f>
        <v/>
      </c>
      <c r="AH10" s="96">
        <f>IF(AG10="",0,IF(SUMPRODUCT(--($AG$6:$AG$1005=AG10))&gt;1,1,0))</f>
        <v>0</v>
      </c>
      <c r="AI10" s="96">
        <f>IF(R10=0,0,IF(OR(U10=0,V10=0,Y10=0,AND(AH10=1,K10&lt;&gt;"Sim")),1,0))</f>
        <v>0</v>
      </c>
      <c r="AJ10" s="96">
        <f>IF(AND(R10=1,AA10&gt;0,AB10=AA10),1,0)</f>
        <v>0</v>
      </c>
      <c r="AK10" s="96">
        <f>IF(R10=0,0,IF(AA10&gt;0,N(L10),IF(ISNUMBER(I10),I10,0)))</f>
        <v>0</v>
      </c>
      <c r="AL10" s="96">
        <f>IF(R10=0,0,IF(AND(K10&lt;&gt;"Sim",N(M10)&gt;AK10+cfg_tol),1,0))</f>
        <v>0</v>
      </c>
      <c r="AM10" s="96">
        <f>IF(R10=0,0,IF(K10="Sim",0,IF(OR(AND(AA10&gt;0,ISNUMBER(I10),ABS(I10-N(L10))&gt;cfg_tol),AL10=1),1,0)))</f>
        <v>0</v>
      </c>
      <c r="AN10" s="96">
        <f>IF(AND(R10=1,N(M10)&gt;0,OR(N(M10)&gt;=AK10-cfg_tol,K10="Sim")),1,0)</f>
        <v>0</v>
      </c>
      <c r="AO10" s="96">
        <f>IF(AND(AN10=1,AD10&gt;0,AE10=AD10,AL10=0),1,0)</f>
        <v>0</v>
      </c>
      <c r="AP10" s="96">
        <f>IF(U10=0,0,IF(AND(INDEX('MTRs'!$AX$6:$AX$505,T10)=1,Z10=0,OR(f_res="",f_res="(Todos)",C10=f_res)),1,0))</f>
        <v>0</v>
      </c>
      <c r="AQ10" s="97" t="str">
        <f>IF(U10=0,"",INDEX('MTRs'!$AZ$6:$AZ$505,T10))</f>
        <v/>
      </c>
      <c r="AR10" s="96">
        <f>IF(U10=0,0,IF(AND(INDEX('MTRs'!$BA$6:$BA$505,T10)=1,Z10=0),1,0))</f>
        <v>0</v>
      </c>
      <c r="AS10" s="96" t="str">
        <f>IF(R10=1,A10&amp;" | MTR "&amp;IF(U10=1,INDEX('MTRs'!$B$6:$B$505,T10)&amp;"","?")&amp;" | "&amp;IF(C10="","(sem resíduo)",C10),"")</f>
        <v/>
      </c>
      <c r="AT10" s="96" t="str">
        <f>IF(R10=1,COUNTIF($R$6:R10,1),"")</f>
        <v/>
      </c>
      <c r="AU10" s="96" t="str">
        <f>IF(U10=1,INDEX('MTRs'!$I$6:$I$505,T10)&amp;"","")</f>
        <v/>
      </c>
    </row>
    <row r="11">
      <c r="A11" s="89" t="inlineStr">
        <is>
          <t>IT-000006</t>
        </is>
      </c>
      <c r="B11" s="91" t="n"/>
      <c r="C11" s="91" t="n"/>
      <c r="D11" s="94" t="str">
        <f>IF(OR(R11=0,V11=0),"",INDEX('CAD_RESÍDUOS'!$E$6:$E$205,MATCH(C11,'CAD_RESÍDUOS'!$B$6:$B$205,0))&amp;"")</f>
        <v/>
      </c>
      <c r="E11" s="94" t="str">
        <f>IF(OR(R11=0,V11=0),"",INDEX('CAD_RESÍDUOS'!$C$6:$C$205,MATCH(C11,'CAD_RESÍDUOS'!$B$6:$B$205,0))&amp;"")</f>
        <v/>
      </c>
      <c r="F11" s="94" t="str">
        <f>IF(OR(R11=0,V11=0),"",INDEX('CAD_RESÍDUOS'!$G$6:$G$205,MATCH(C11,'CAD_RESÍDUOS'!$B$6:$B$205,0))&amp;"")</f>
        <v/>
      </c>
      <c r="G11" s="98" t="n"/>
      <c r="H11" s="91" t="n"/>
      <c r="I11" s="93" t="str">
        <f>IF(R11=0,"",IF(NOT(ISNUMBER(G11)),"",IF(ISNUMBER(X11),G11*X11,"UNIDADE A CONFERIR")))</f>
        <v/>
      </c>
      <c r="J11" s="91" t="n"/>
      <c r="K11" s="91" t="n"/>
      <c r="L11" s="93" t="str">
        <f>IF(R11=0,"",SUMIFS('RECEBIMENTOS'!$H$6:$H$1005,'RECEBIMENTOS'!$R$6:$R$1005,A11,'RECEBIMENTOS'!$X$6:$X$1005,1))</f>
        <v/>
      </c>
      <c r="M11" s="93" t="str">
        <f>IF(R11=0,"",SUMIFS('VÍNCULOS_CDF'!$H$6:$H$1005,'VÍNCULOS_CDF'!$R$6:$R$1005,A11,'VÍNCULOS_CDF'!$V$6:$V$1005,1))</f>
        <v/>
      </c>
      <c r="N11" s="99" t="str">
        <f>IF(OR(R11=0,AA11=0,NOT(ISNUMBER(I11))),"",I11-N(L11))</f>
        <v/>
      </c>
      <c r="O11" s="100" t="str">
        <f>IF(OR(R11=0,AK11&lt;=0),"",N(M11)/AK11)</f>
        <v/>
      </c>
      <c r="P11" s="94" t="str">
        <f>IF(R11=0,"",IF(S11="","Sem MTR associado",IF(U11=0,"MTR inexistente",IF(C11="","Resíduo não identificado",IF(V11=0,"Resíduo fora do cadastro",IF(W11=0,"Quantidade inválida",IF(H11="","Unidade não informada",IF(NOT(ISNUMBER(I11)),"Unidade a conferir",IF(AND(AH11=1,K11&lt;&gt;"Sim"),"Possível duplicidade",IF(Z11=1,"MTR cancelado",IF(AC11&gt;0,"Recebimento com alerta",IF(AA11=0,"Aguardando recebimento",IF(AB11&lt;AA11,"Recebimento a conferir",IF(AM11=1,"Quantidade a revisar",IF(AF11&gt;0,"Vínculo a revisar",IF(AD11=0,"Aguardando CDF",IF(AN11=0,"Vínculo de CDF parcial",IF(AE11&lt;AD11,"CDF a conferir","Documentação conferida"))))))))))))))))))</f>
        <v/>
      </c>
      <c r="Q11" s="93" t="str">
        <f>IF(OR(R11=0,AA11=0),"",MAX(0,N(L11)-N(M11)))</f>
        <v/>
      </c>
      <c r="R11" s="96">
        <f>IF(COUNTA(B11:C11,G11:H11,J11:K11)&gt;0,1,0)</f>
        <v>0</v>
      </c>
      <c r="S11" s="96" t="str">
        <f>IF(B11="","",TRIM(LEFT(B11,FIND(" |",B11&amp;" |")-1)))</f>
        <v/>
      </c>
      <c r="T11" s="96" t="str">
        <f>IF(S11="","",IFERROR(MATCH(S11,'MTRs'!$A$6:$A$505,0),""))</f>
        <v/>
      </c>
      <c r="U11" s="96">
        <f>IF(T11="",0,IF(INDEX('MTRs'!$Z$6:$Z$505,T11)=1,1,0))</f>
        <v>0</v>
      </c>
      <c r="V11" s="96">
        <f>IF(C11="",0,IF(ISNUMBER(MATCH(C11,'CAD_RESÍDUOS'!$B$6:$B$205,0)),1,0))</f>
        <v>0</v>
      </c>
      <c r="W11" s="96">
        <f>IF(AND(ISNUMBER(G11),G11&gt;0),1,0)</f>
        <v>0</v>
      </c>
      <c r="X11" s="96" t="str">
        <f>IF(H11="","",IFERROR(IF(ISNUMBER(INDEX(cfg_fac,MATCH(H11,cfg_units,0))),IF(INDEX(cfg_fac,MATCH(H11,cfg_units,0))&gt;0,INDEX(cfg_fac,MATCH(H11,cfg_units,0)),""),""),""))</f>
        <v/>
      </c>
      <c r="Y11" s="96">
        <f>IF(AND(W11=1,ISNUMBER(I11)),1,0)</f>
        <v>0</v>
      </c>
      <c r="Z11" s="96">
        <f>IF(U11=1,INDEX('MTRs'!$AA$6:$AA$505,T11),0)</f>
        <v>0</v>
      </c>
      <c r="AA11" s="96">
        <f>IF(R11=0,0,COUNTIFS('RECEBIMENTOS'!$R$6:$R$1005,A11,'RECEBIMENTOS'!$Q$6:$Q$1005,1))</f>
        <v>0</v>
      </c>
      <c r="AB11" s="96">
        <f>IF(R11=0,0,COUNTIFS('RECEBIMENTOS'!$R$6:$R$1005,A11,'RECEBIMENTOS'!$Z$6:$Z$1005,1))</f>
        <v>0</v>
      </c>
      <c r="AC11" s="96">
        <f>IF(R11=0,0,COUNTIFS('RECEBIMENTOS'!$R$6:$R$1005,A11,'RECEBIMENTOS'!$Y$6:$Y$1005,1))</f>
        <v>0</v>
      </c>
      <c r="AD11" s="96">
        <f>IF(R11=0,0,COUNTIFS('VÍNCULOS_CDF'!$R$6:$R$1005,A11,'VÍNCULOS_CDF'!$N$6:$N$1005,1))</f>
        <v>0</v>
      </c>
      <c r="AE11" s="96">
        <f>IF(R11=0,0,COUNTIFS('VÍNCULOS_CDF'!$R$6:$R$1005,A11,'VÍNCULOS_CDF'!$AA$6:$AA$1005,1))</f>
        <v>0</v>
      </c>
      <c r="AF11" s="96">
        <f>IF(R11=0,0,COUNTIFS('VÍNCULOS_CDF'!$R$6:$R$1005,A11,'VÍNCULOS_CDF'!$Y$6:$Y$1005,1))</f>
        <v>0</v>
      </c>
      <c r="AG11" s="96" t="str">
        <f>IF(AND(R11=1,S11&lt;&gt;"",C11&lt;&gt;""),S11&amp;"|"&amp;C11&amp;"|"&amp;G11&amp;"|"&amp;H11,"")</f>
        <v/>
      </c>
      <c r="AH11" s="96">
        <f>IF(AG11="",0,IF(SUMPRODUCT(--($AG$6:$AG$1005=AG11))&gt;1,1,0))</f>
        <v>0</v>
      </c>
      <c r="AI11" s="96">
        <f>IF(R11=0,0,IF(OR(U11=0,V11=0,Y11=0,AND(AH11=1,K11&lt;&gt;"Sim")),1,0))</f>
        <v>0</v>
      </c>
      <c r="AJ11" s="96">
        <f>IF(AND(R11=1,AA11&gt;0,AB11=AA11),1,0)</f>
        <v>0</v>
      </c>
      <c r="AK11" s="96">
        <f>IF(R11=0,0,IF(AA11&gt;0,N(L11),IF(ISNUMBER(I11),I11,0)))</f>
        <v>0</v>
      </c>
      <c r="AL11" s="96">
        <f>IF(R11=0,0,IF(AND(K11&lt;&gt;"Sim",N(M11)&gt;AK11+cfg_tol),1,0))</f>
        <v>0</v>
      </c>
      <c r="AM11" s="96">
        <f>IF(R11=0,0,IF(K11="Sim",0,IF(OR(AND(AA11&gt;0,ISNUMBER(I11),ABS(I11-N(L11))&gt;cfg_tol),AL11=1),1,0)))</f>
        <v>0</v>
      </c>
      <c r="AN11" s="96">
        <f>IF(AND(R11=1,N(M11)&gt;0,OR(N(M11)&gt;=AK11-cfg_tol,K11="Sim")),1,0)</f>
        <v>0</v>
      </c>
      <c r="AO11" s="96">
        <f>IF(AND(AN11=1,AD11&gt;0,AE11=AD11,AL11=0),1,0)</f>
        <v>0</v>
      </c>
      <c r="AP11" s="96">
        <f>IF(U11=0,0,IF(AND(INDEX('MTRs'!$AX$6:$AX$505,T11)=1,Z11=0,OR(f_res="",f_res="(Todos)",C11=f_res)),1,0))</f>
        <v>0</v>
      </c>
      <c r="AQ11" s="97" t="str">
        <f>IF(U11=0,"",INDEX('MTRs'!$AZ$6:$AZ$505,T11))</f>
        <v/>
      </c>
      <c r="AR11" s="96">
        <f>IF(U11=0,0,IF(AND(INDEX('MTRs'!$BA$6:$BA$505,T11)=1,Z11=0),1,0))</f>
        <v>0</v>
      </c>
      <c r="AS11" s="96" t="str">
        <f>IF(R11=1,A11&amp;" | MTR "&amp;IF(U11=1,INDEX('MTRs'!$B$6:$B$505,T11)&amp;"","?")&amp;" | "&amp;IF(C11="","(sem resíduo)",C11),"")</f>
        <v/>
      </c>
      <c r="AT11" s="96" t="str">
        <f>IF(R11=1,COUNTIF($R$6:R11,1),"")</f>
        <v/>
      </c>
      <c r="AU11" s="96" t="str">
        <f>IF(U11=1,INDEX('MTRs'!$I$6:$I$505,T11)&amp;"","")</f>
        <v/>
      </c>
    </row>
    <row r="12">
      <c r="A12" s="89" t="inlineStr">
        <is>
          <t>IT-000007</t>
        </is>
      </c>
      <c r="B12" s="91" t="n"/>
      <c r="C12" s="91" t="n"/>
      <c r="D12" s="94" t="str">
        <f>IF(OR(R12=0,V12=0),"",INDEX('CAD_RESÍDUOS'!$E$6:$E$205,MATCH(C12,'CAD_RESÍDUOS'!$B$6:$B$205,0))&amp;"")</f>
        <v/>
      </c>
      <c r="E12" s="94" t="str">
        <f>IF(OR(R12=0,V12=0),"",INDEX('CAD_RESÍDUOS'!$C$6:$C$205,MATCH(C12,'CAD_RESÍDUOS'!$B$6:$B$205,0))&amp;"")</f>
        <v/>
      </c>
      <c r="F12" s="94" t="str">
        <f>IF(OR(R12=0,V12=0),"",INDEX('CAD_RESÍDUOS'!$G$6:$G$205,MATCH(C12,'CAD_RESÍDUOS'!$B$6:$B$205,0))&amp;"")</f>
        <v/>
      </c>
      <c r="G12" s="98" t="n"/>
      <c r="H12" s="91" t="n"/>
      <c r="I12" s="93" t="str">
        <f>IF(R12=0,"",IF(NOT(ISNUMBER(G12)),"",IF(ISNUMBER(X12),G12*X12,"UNIDADE A CONFERIR")))</f>
        <v/>
      </c>
      <c r="J12" s="91" t="n"/>
      <c r="K12" s="91" t="n"/>
      <c r="L12" s="93" t="str">
        <f>IF(R12=0,"",SUMIFS('RECEBIMENTOS'!$H$6:$H$1005,'RECEBIMENTOS'!$R$6:$R$1005,A12,'RECEBIMENTOS'!$X$6:$X$1005,1))</f>
        <v/>
      </c>
      <c r="M12" s="93" t="str">
        <f>IF(R12=0,"",SUMIFS('VÍNCULOS_CDF'!$H$6:$H$1005,'VÍNCULOS_CDF'!$R$6:$R$1005,A12,'VÍNCULOS_CDF'!$V$6:$V$1005,1))</f>
        <v/>
      </c>
      <c r="N12" s="99" t="str">
        <f>IF(OR(R12=0,AA12=0,NOT(ISNUMBER(I12))),"",I12-N(L12))</f>
        <v/>
      </c>
      <c r="O12" s="100" t="str">
        <f>IF(OR(R12=0,AK12&lt;=0),"",N(M12)/AK12)</f>
        <v/>
      </c>
      <c r="P12" s="94" t="str">
        <f>IF(R12=0,"",IF(S12="","Sem MTR associado",IF(U12=0,"MTR inexistente",IF(C12="","Resíduo não identificado",IF(V12=0,"Resíduo fora do cadastro",IF(W12=0,"Quantidade inválida",IF(H12="","Unidade não informada",IF(NOT(ISNUMBER(I12)),"Unidade a conferir",IF(AND(AH12=1,K12&lt;&gt;"Sim"),"Possível duplicidade",IF(Z12=1,"MTR cancelado",IF(AC12&gt;0,"Recebimento com alerta",IF(AA12=0,"Aguardando recebimento",IF(AB12&lt;AA12,"Recebimento a conferir",IF(AM12=1,"Quantidade a revisar",IF(AF12&gt;0,"Vínculo a revisar",IF(AD12=0,"Aguardando CDF",IF(AN12=0,"Vínculo de CDF parcial",IF(AE12&lt;AD12,"CDF a conferir","Documentação conferida"))))))))))))))))))</f>
        <v/>
      </c>
      <c r="Q12" s="93" t="str">
        <f>IF(OR(R12=0,AA12=0),"",MAX(0,N(L12)-N(M12)))</f>
        <v/>
      </c>
      <c r="R12" s="96">
        <f>IF(COUNTA(B12:C12,G12:H12,J12:K12)&gt;0,1,0)</f>
        <v>0</v>
      </c>
      <c r="S12" s="96" t="str">
        <f>IF(B12="","",TRIM(LEFT(B12,FIND(" |",B12&amp;" |")-1)))</f>
        <v/>
      </c>
      <c r="T12" s="96" t="str">
        <f>IF(S12="","",IFERROR(MATCH(S12,'MTRs'!$A$6:$A$505,0),""))</f>
        <v/>
      </c>
      <c r="U12" s="96">
        <f>IF(T12="",0,IF(INDEX('MTRs'!$Z$6:$Z$505,T12)=1,1,0))</f>
        <v>0</v>
      </c>
      <c r="V12" s="96">
        <f>IF(C12="",0,IF(ISNUMBER(MATCH(C12,'CAD_RESÍDUOS'!$B$6:$B$205,0)),1,0))</f>
        <v>0</v>
      </c>
      <c r="W12" s="96">
        <f>IF(AND(ISNUMBER(G12),G12&gt;0),1,0)</f>
        <v>0</v>
      </c>
      <c r="X12" s="96" t="str">
        <f>IF(H12="","",IFERROR(IF(ISNUMBER(INDEX(cfg_fac,MATCH(H12,cfg_units,0))),IF(INDEX(cfg_fac,MATCH(H12,cfg_units,0))&gt;0,INDEX(cfg_fac,MATCH(H12,cfg_units,0)),""),""),""))</f>
        <v/>
      </c>
      <c r="Y12" s="96">
        <f>IF(AND(W12=1,ISNUMBER(I12)),1,0)</f>
        <v>0</v>
      </c>
      <c r="Z12" s="96">
        <f>IF(U12=1,INDEX('MTRs'!$AA$6:$AA$505,T12),0)</f>
        <v>0</v>
      </c>
      <c r="AA12" s="96">
        <f>IF(R12=0,0,COUNTIFS('RECEBIMENTOS'!$R$6:$R$1005,A12,'RECEBIMENTOS'!$Q$6:$Q$1005,1))</f>
        <v>0</v>
      </c>
      <c r="AB12" s="96">
        <f>IF(R12=0,0,COUNTIFS('RECEBIMENTOS'!$R$6:$R$1005,A12,'RECEBIMENTOS'!$Z$6:$Z$1005,1))</f>
        <v>0</v>
      </c>
      <c r="AC12" s="96">
        <f>IF(R12=0,0,COUNTIFS('RECEBIMENTOS'!$R$6:$R$1005,A12,'RECEBIMENTOS'!$Y$6:$Y$1005,1))</f>
        <v>0</v>
      </c>
      <c r="AD12" s="96">
        <f>IF(R12=0,0,COUNTIFS('VÍNCULOS_CDF'!$R$6:$R$1005,A12,'VÍNCULOS_CDF'!$N$6:$N$1005,1))</f>
        <v>0</v>
      </c>
      <c r="AE12" s="96">
        <f>IF(R12=0,0,COUNTIFS('VÍNCULOS_CDF'!$R$6:$R$1005,A12,'VÍNCULOS_CDF'!$AA$6:$AA$1005,1))</f>
        <v>0</v>
      </c>
      <c r="AF12" s="96">
        <f>IF(R12=0,0,COUNTIFS('VÍNCULOS_CDF'!$R$6:$R$1005,A12,'VÍNCULOS_CDF'!$Y$6:$Y$1005,1))</f>
        <v>0</v>
      </c>
      <c r="AG12" s="96" t="str">
        <f>IF(AND(R12=1,S12&lt;&gt;"",C12&lt;&gt;""),S12&amp;"|"&amp;C12&amp;"|"&amp;G12&amp;"|"&amp;H12,"")</f>
        <v/>
      </c>
      <c r="AH12" s="96">
        <f>IF(AG12="",0,IF(SUMPRODUCT(--($AG$6:$AG$1005=AG12))&gt;1,1,0))</f>
        <v>0</v>
      </c>
      <c r="AI12" s="96">
        <f>IF(R12=0,0,IF(OR(U12=0,V12=0,Y12=0,AND(AH12=1,K12&lt;&gt;"Sim")),1,0))</f>
        <v>0</v>
      </c>
      <c r="AJ12" s="96">
        <f>IF(AND(R12=1,AA12&gt;0,AB12=AA12),1,0)</f>
        <v>0</v>
      </c>
      <c r="AK12" s="96">
        <f>IF(R12=0,0,IF(AA12&gt;0,N(L12),IF(ISNUMBER(I12),I12,0)))</f>
        <v>0</v>
      </c>
      <c r="AL12" s="96">
        <f>IF(R12=0,0,IF(AND(K12&lt;&gt;"Sim",N(M12)&gt;AK12+cfg_tol),1,0))</f>
        <v>0</v>
      </c>
      <c r="AM12" s="96">
        <f>IF(R12=0,0,IF(K12="Sim",0,IF(OR(AND(AA12&gt;0,ISNUMBER(I12),ABS(I12-N(L12))&gt;cfg_tol),AL12=1),1,0)))</f>
        <v>0</v>
      </c>
      <c r="AN12" s="96">
        <f>IF(AND(R12=1,N(M12)&gt;0,OR(N(M12)&gt;=AK12-cfg_tol,K12="Sim")),1,0)</f>
        <v>0</v>
      </c>
      <c r="AO12" s="96">
        <f>IF(AND(AN12=1,AD12&gt;0,AE12=AD12,AL12=0),1,0)</f>
        <v>0</v>
      </c>
      <c r="AP12" s="96">
        <f>IF(U12=0,0,IF(AND(INDEX('MTRs'!$AX$6:$AX$505,T12)=1,Z12=0,OR(f_res="",f_res="(Todos)",C12=f_res)),1,0))</f>
        <v>0</v>
      </c>
      <c r="AQ12" s="97" t="str">
        <f>IF(U12=0,"",INDEX('MTRs'!$AZ$6:$AZ$505,T12))</f>
        <v/>
      </c>
      <c r="AR12" s="96">
        <f>IF(U12=0,0,IF(AND(INDEX('MTRs'!$BA$6:$BA$505,T12)=1,Z12=0),1,0))</f>
        <v>0</v>
      </c>
      <c r="AS12" s="96" t="str">
        <f>IF(R12=1,A12&amp;" | MTR "&amp;IF(U12=1,INDEX('MTRs'!$B$6:$B$505,T12)&amp;"","?")&amp;" | "&amp;IF(C12="","(sem resíduo)",C12),"")</f>
        <v/>
      </c>
      <c r="AT12" s="96" t="str">
        <f>IF(R12=1,COUNTIF($R$6:R12,1),"")</f>
        <v/>
      </c>
      <c r="AU12" s="96" t="str">
        <f>IF(U12=1,INDEX('MTRs'!$I$6:$I$505,T12)&amp;"","")</f>
        <v/>
      </c>
    </row>
    <row r="13">
      <c r="A13" s="89" t="inlineStr">
        <is>
          <t>IT-000008</t>
        </is>
      </c>
      <c r="B13" s="91" t="n"/>
      <c r="C13" s="91" t="n"/>
      <c r="D13" s="94" t="str">
        <f>IF(OR(R13=0,V13=0),"",INDEX('CAD_RESÍDUOS'!$E$6:$E$205,MATCH(C13,'CAD_RESÍDUOS'!$B$6:$B$205,0))&amp;"")</f>
        <v/>
      </c>
      <c r="E13" s="94" t="str">
        <f>IF(OR(R13=0,V13=0),"",INDEX('CAD_RESÍDUOS'!$C$6:$C$205,MATCH(C13,'CAD_RESÍDUOS'!$B$6:$B$205,0))&amp;"")</f>
        <v/>
      </c>
      <c r="F13" s="94" t="str">
        <f>IF(OR(R13=0,V13=0),"",INDEX('CAD_RESÍDUOS'!$G$6:$G$205,MATCH(C13,'CAD_RESÍDUOS'!$B$6:$B$205,0))&amp;"")</f>
        <v/>
      </c>
      <c r="G13" s="98" t="n"/>
      <c r="H13" s="91" t="n"/>
      <c r="I13" s="93" t="str">
        <f>IF(R13=0,"",IF(NOT(ISNUMBER(G13)),"",IF(ISNUMBER(X13),G13*X13,"UNIDADE A CONFERIR")))</f>
        <v/>
      </c>
      <c r="J13" s="91" t="n"/>
      <c r="K13" s="91" t="n"/>
      <c r="L13" s="93" t="str">
        <f>IF(R13=0,"",SUMIFS('RECEBIMENTOS'!$H$6:$H$1005,'RECEBIMENTOS'!$R$6:$R$1005,A13,'RECEBIMENTOS'!$X$6:$X$1005,1))</f>
        <v/>
      </c>
      <c r="M13" s="93" t="str">
        <f>IF(R13=0,"",SUMIFS('VÍNCULOS_CDF'!$H$6:$H$1005,'VÍNCULOS_CDF'!$R$6:$R$1005,A13,'VÍNCULOS_CDF'!$V$6:$V$1005,1))</f>
        <v/>
      </c>
      <c r="N13" s="99" t="str">
        <f>IF(OR(R13=0,AA13=0,NOT(ISNUMBER(I13))),"",I13-N(L13))</f>
        <v/>
      </c>
      <c r="O13" s="100" t="str">
        <f>IF(OR(R13=0,AK13&lt;=0),"",N(M13)/AK13)</f>
        <v/>
      </c>
      <c r="P13" s="94" t="str">
        <f>IF(R13=0,"",IF(S13="","Sem MTR associado",IF(U13=0,"MTR inexistente",IF(C13="","Resíduo não identificado",IF(V13=0,"Resíduo fora do cadastro",IF(W13=0,"Quantidade inválida",IF(H13="","Unidade não informada",IF(NOT(ISNUMBER(I13)),"Unidade a conferir",IF(AND(AH13=1,K13&lt;&gt;"Sim"),"Possível duplicidade",IF(Z13=1,"MTR cancelado",IF(AC13&gt;0,"Recebimento com alerta",IF(AA13=0,"Aguardando recebimento",IF(AB13&lt;AA13,"Recebimento a conferir",IF(AM13=1,"Quantidade a revisar",IF(AF13&gt;0,"Vínculo a revisar",IF(AD13=0,"Aguardando CDF",IF(AN13=0,"Vínculo de CDF parcial",IF(AE13&lt;AD13,"CDF a conferir","Documentação conferida"))))))))))))))))))</f>
        <v/>
      </c>
      <c r="Q13" s="93" t="str">
        <f>IF(OR(R13=0,AA13=0),"",MAX(0,N(L13)-N(M13)))</f>
        <v/>
      </c>
      <c r="R13" s="96">
        <f>IF(COUNTA(B13:C13,G13:H13,J13:K13)&gt;0,1,0)</f>
        <v>0</v>
      </c>
      <c r="S13" s="96" t="str">
        <f>IF(B13="","",TRIM(LEFT(B13,FIND(" |",B13&amp;" |")-1)))</f>
        <v/>
      </c>
      <c r="T13" s="96" t="str">
        <f>IF(S13="","",IFERROR(MATCH(S13,'MTRs'!$A$6:$A$505,0),""))</f>
        <v/>
      </c>
      <c r="U13" s="96">
        <f>IF(T13="",0,IF(INDEX('MTRs'!$Z$6:$Z$505,T13)=1,1,0))</f>
        <v>0</v>
      </c>
      <c r="V13" s="96">
        <f>IF(C13="",0,IF(ISNUMBER(MATCH(C13,'CAD_RESÍDUOS'!$B$6:$B$205,0)),1,0))</f>
        <v>0</v>
      </c>
      <c r="W13" s="96">
        <f>IF(AND(ISNUMBER(G13),G13&gt;0),1,0)</f>
        <v>0</v>
      </c>
      <c r="X13" s="96" t="str">
        <f>IF(H13="","",IFERROR(IF(ISNUMBER(INDEX(cfg_fac,MATCH(H13,cfg_units,0))),IF(INDEX(cfg_fac,MATCH(H13,cfg_units,0))&gt;0,INDEX(cfg_fac,MATCH(H13,cfg_units,0)),""),""),""))</f>
        <v/>
      </c>
      <c r="Y13" s="96">
        <f>IF(AND(W13=1,ISNUMBER(I13)),1,0)</f>
        <v>0</v>
      </c>
      <c r="Z13" s="96">
        <f>IF(U13=1,INDEX('MTRs'!$AA$6:$AA$505,T13),0)</f>
        <v>0</v>
      </c>
      <c r="AA13" s="96">
        <f>IF(R13=0,0,COUNTIFS('RECEBIMENTOS'!$R$6:$R$1005,A13,'RECEBIMENTOS'!$Q$6:$Q$1005,1))</f>
        <v>0</v>
      </c>
      <c r="AB13" s="96">
        <f>IF(R13=0,0,COUNTIFS('RECEBIMENTOS'!$R$6:$R$1005,A13,'RECEBIMENTOS'!$Z$6:$Z$1005,1))</f>
        <v>0</v>
      </c>
      <c r="AC13" s="96">
        <f>IF(R13=0,0,COUNTIFS('RECEBIMENTOS'!$R$6:$R$1005,A13,'RECEBIMENTOS'!$Y$6:$Y$1005,1))</f>
        <v>0</v>
      </c>
      <c r="AD13" s="96">
        <f>IF(R13=0,0,COUNTIFS('VÍNCULOS_CDF'!$R$6:$R$1005,A13,'VÍNCULOS_CDF'!$N$6:$N$1005,1))</f>
        <v>0</v>
      </c>
      <c r="AE13" s="96">
        <f>IF(R13=0,0,COUNTIFS('VÍNCULOS_CDF'!$R$6:$R$1005,A13,'VÍNCULOS_CDF'!$AA$6:$AA$1005,1))</f>
        <v>0</v>
      </c>
      <c r="AF13" s="96">
        <f>IF(R13=0,0,COUNTIFS('VÍNCULOS_CDF'!$R$6:$R$1005,A13,'VÍNCULOS_CDF'!$Y$6:$Y$1005,1))</f>
        <v>0</v>
      </c>
      <c r="AG13" s="96" t="str">
        <f>IF(AND(R13=1,S13&lt;&gt;"",C13&lt;&gt;""),S13&amp;"|"&amp;C13&amp;"|"&amp;G13&amp;"|"&amp;H13,"")</f>
        <v/>
      </c>
      <c r="AH13" s="96">
        <f>IF(AG13="",0,IF(SUMPRODUCT(--($AG$6:$AG$1005=AG13))&gt;1,1,0))</f>
        <v>0</v>
      </c>
      <c r="AI13" s="96">
        <f>IF(R13=0,0,IF(OR(U13=0,V13=0,Y13=0,AND(AH13=1,K13&lt;&gt;"Sim")),1,0))</f>
        <v>0</v>
      </c>
      <c r="AJ13" s="96">
        <f>IF(AND(R13=1,AA13&gt;0,AB13=AA13),1,0)</f>
        <v>0</v>
      </c>
      <c r="AK13" s="96">
        <f>IF(R13=0,0,IF(AA13&gt;0,N(L13),IF(ISNUMBER(I13),I13,0)))</f>
        <v>0</v>
      </c>
      <c r="AL13" s="96">
        <f>IF(R13=0,0,IF(AND(K13&lt;&gt;"Sim",N(M13)&gt;AK13+cfg_tol),1,0))</f>
        <v>0</v>
      </c>
      <c r="AM13" s="96">
        <f>IF(R13=0,0,IF(K13="Sim",0,IF(OR(AND(AA13&gt;0,ISNUMBER(I13),ABS(I13-N(L13))&gt;cfg_tol),AL13=1),1,0)))</f>
        <v>0</v>
      </c>
      <c r="AN13" s="96">
        <f>IF(AND(R13=1,N(M13)&gt;0,OR(N(M13)&gt;=AK13-cfg_tol,K13="Sim")),1,0)</f>
        <v>0</v>
      </c>
      <c r="AO13" s="96">
        <f>IF(AND(AN13=1,AD13&gt;0,AE13=AD13,AL13=0),1,0)</f>
        <v>0</v>
      </c>
      <c r="AP13" s="96">
        <f>IF(U13=0,0,IF(AND(INDEX('MTRs'!$AX$6:$AX$505,T13)=1,Z13=0,OR(f_res="",f_res="(Todos)",C13=f_res)),1,0))</f>
        <v>0</v>
      </c>
      <c r="AQ13" s="97" t="str">
        <f>IF(U13=0,"",INDEX('MTRs'!$AZ$6:$AZ$505,T13))</f>
        <v/>
      </c>
      <c r="AR13" s="96">
        <f>IF(U13=0,0,IF(AND(INDEX('MTRs'!$BA$6:$BA$505,T13)=1,Z13=0),1,0))</f>
        <v>0</v>
      </c>
      <c r="AS13" s="96" t="str">
        <f>IF(R13=1,A13&amp;" | MTR "&amp;IF(U13=1,INDEX('MTRs'!$B$6:$B$505,T13)&amp;"","?")&amp;" | "&amp;IF(C13="","(sem resíduo)",C13),"")</f>
        <v/>
      </c>
      <c r="AT13" s="96" t="str">
        <f>IF(R13=1,COUNTIF($R$6:R13,1),"")</f>
        <v/>
      </c>
      <c r="AU13" s="96" t="str">
        <f>IF(U13=1,INDEX('MTRs'!$I$6:$I$505,T13)&amp;"","")</f>
        <v/>
      </c>
    </row>
    <row r="14">
      <c r="A14" s="89" t="inlineStr">
        <is>
          <t>IT-000009</t>
        </is>
      </c>
      <c r="B14" s="91" t="n"/>
      <c r="C14" s="91" t="n"/>
      <c r="D14" s="94" t="str">
        <f>IF(OR(R14=0,V14=0),"",INDEX('CAD_RESÍDUOS'!$E$6:$E$205,MATCH(C14,'CAD_RESÍDUOS'!$B$6:$B$205,0))&amp;"")</f>
        <v/>
      </c>
      <c r="E14" s="94" t="str">
        <f>IF(OR(R14=0,V14=0),"",INDEX('CAD_RESÍDUOS'!$C$6:$C$205,MATCH(C14,'CAD_RESÍDUOS'!$B$6:$B$205,0))&amp;"")</f>
        <v/>
      </c>
      <c r="F14" s="94" t="str">
        <f>IF(OR(R14=0,V14=0),"",INDEX('CAD_RESÍDUOS'!$G$6:$G$205,MATCH(C14,'CAD_RESÍDUOS'!$B$6:$B$205,0))&amp;"")</f>
        <v/>
      </c>
      <c r="G14" s="98" t="n"/>
      <c r="H14" s="91" t="n"/>
      <c r="I14" s="93" t="str">
        <f>IF(R14=0,"",IF(NOT(ISNUMBER(G14)),"",IF(ISNUMBER(X14),G14*X14,"UNIDADE A CONFERIR")))</f>
        <v/>
      </c>
      <c r="J14" s="91" t="n"/>
      <c r="K14" s="91" t="n"/>
      <c r="L14" s="93" t="str">
        <f>IF(R14=0,"",SUMIFS('RECEBIMENTOS'!$H$6:$H$1005,'RECEBIMENTOS'!$R$6:$R$1005,A14,'RECEBIMENTOS'!$X$6:$X$1005,1))</f>
        <v/>
      </c>
      <c r="M14" s="93" t="str">
        <f>IF(R14=0,"",SUMIFS('VÍNCULOS_CDF'!$H$6:$H$1005,'VÍNCULOS_CDF'!$R$6:$R$1005,A14,'VÍNCULOS_CDF'!$V$6:$V$1005,1))</f>
        <v/>
      </c>
      <c r="N14" s="99" t="str">
        <f>IF(OR(R14=0,AA14=0,NOT(ISNUMBER(I14))),"",I14-N(L14))</f>
        <v/>
      </c>
      <c r="O14" s="100" t="str">
        <f>IF(OR(R14=0,AK14&lt;=0),"",N(M14)/AK14)</f>
        <v/>
      </c>
      <c r="P14" s="94" t="str">
        <f>IF(R14=0,"",IF(S14="","Sem MTR associado",IF(U14=0,"MTR inexistente",IF(C14="","Resíduo não identificado",IF(V14=0,"Resíduo fora do cadastro",IF(W14=0,"Quantidade inválida",IF(H14="","Unidade não informada",IF(NOT(ISNUMBER(I14)),"Unidade a conferir",IF(AND(AH14=1,K14&lt;&gt;"Sim"),"Possível duplicidade",IF(Z14=1,"MTR cancelado",IF(AC14&gt;0,"Recebimento com alerta",IF(AA14=0,"Aguardando recebimento",IF(AB14&lt;AA14,"Recebimento a conferir",IF(AM14=1,"Quantidade a revisar",IF(AF14&gt;0,"Vínculo a revisar",IF(AD14=0,"Aguardando CDF",IF(AN14=0,"Vínculo de CDF parcial",IF(AE14&lt;AD14,"CDF a conferir","Documentação conferida"))))))))))))))))))</f>
        <v/>
      </c>
      <c r="Q14" s="93" t="str">
        <f>IF(OR(R14=0,AA14=0),"",MAX(0,N(L14)-N(M14)))</f>
        <v/>
      </c>
      <c r="R14" s="96">
        <f>IF(COUNTA(B14:C14,G14:H14,J14:K14)&gt;0,1,0)</f>
        <v>0</v>
      </c>
      <c r="S14" s="96" t="str">
        <f>IF(B14="","",TRIM(LEFT(B14,FIND(" |",B14&amp;" |")-1)))</f>
        <v/>
      </c>
      <c r="T14" s="96" t="str">
        <f>IF(S14="","",IFERROR(MATCH(S14,'MTRs'!$A$6:$A$505,0),""))</f>
        <v/>
      </c>
      <c r="U14" s="96">
        <f>IF(T14="",0,IF(INDEX('MTRs'!$Z$6:$Z$505,T14)=1,1,0))</f>
        <v>0</v>
      </c>
      <c r="V14" s="96">
        <f>IF(C14="",0,IF(ISNUMBER(MATCH(C14,'CAD_RESÍDUOS'!$B$6:$B$205,0)),1,0))</f>
        <v>0</v>
      </c>
      <c r="W14" s="96">
        <f>IF(AND(ISNUMBER(G14),G14&gt;0),1,0)</f>
        <v>0</v>
      </c>
      <c r="X14" s="96" t="str">
        <f>IF(H14="","",IFERROR(IF(ISNUMBER(INDEX(cfg_fac,MATCH(H14,cfg_units,0))),IF(INDEX(cfg_fac,MATCH(H14,cfg_units,0))&gt;0,INDEX(cfg_fac,MATCH(H14,cfg_units,0)),""),""),""))</f>
        <v/>
      </c>
      <c r="Y14" s="96">
        <f>IF(AND(W14=1,ISNUMBER(I14)),1,0)</f>
        <v>0</v>
      </c>
      <c r="Z14" s="96">
        <f>IF(U14=1,INDEX('MTRs'!$AA$6:$AA$505,T14),0)</f>
        <v>0</v>
      </c>
      <c r="AA14" s="96">
        <f>IF(R14=0,0,COUNTIFS('RECEBIMENTOS'!$R$6:$R$1005,A14,'RECEBIMENTOS'!$Q$6:$Q$1005,1))</f>
        <v>0</v>
      </c>
      <c r="AB14" s="96">
        <f>IF(R14=0,0,COUNTIFS('RECEBIMENTOS'!$R$6:$R$1005,A14,'RECEBIMENTOS'!$Z$6:$Z$1005,1))</f>
        <v>0</v>
      </c>
      <c r="AC14" s="96">
        <f>IF(R14=0,0,COUNTIFS('RECEBIMENTOS'!$R$6:$R$1005,A14,'RECEBIMENTOS'!$Y$6:$Y$1005,1))</f>
        <v>0</v>
      </c>
      <c r="AD14" s="96">
        <f>IF(R14=0,0,COUNTIFS('VÍNCULOS_CDF'!$R$6:$R$1005,A14,'VÍNCULOS_CDF'!$N$6:$N$1005,1))</f>
        <v>0</v>
      </c>
      <c r="AE14" s="96">
        <f>IF(R14=0,0,COUNTIFS('VÍNCULOS_CDF'!$R$6:$R$1005,A14,'VÍNCULOS_CDF'!$AA$6:$AA$1005,1))</f>
        <v>0</v>
      </c>
      <c r="AF14" s="96">
        <f>IF(R14=0,0,COUNTIFS('VÍNCULOS_CDF'!$R$6:$R$1005,A14,'VÍNCULOS_CDF'!$Y$6:$Y$1005,1))</f>
        <v>0</v>
      </c>
      <c r="AG14" s="96" t="str">
        <f>IF(AND(R14=1,S14&lt;&gt;"",C14&lt;&gt;""),S14&amp;"|"&amp;C14&amp;"|"&amp;G14&amp;"|"&amp;H14,"")</f>
        <v/>
      </c>
      <c r="AH14" s="96">
        <f>IF(AG14="",0,IF(SUMPRODUCT(--($AG$6:$AG$1005=AG14))&gt;1,1,0))</f>
        <v>0</v>
      </c>
      <c r="AI14" s="96">
        <f>IF(R14=0,0,IF(OR(U14=0,V14=0,Y14=0,AND(AH14=1,K14&lt;&gt;"Sim")),1,0))</f>
        <v>0</v>
      </c>
      <c r="AJ14" s="96">
        <f>IF(AND(R14=1,AA14&gt;0,AB14=AA14),1,0)</f>
        <v>0</v>
      </c>
      <c r="AK14" s="96">
        <f>IF(R14=0,0,IF(AA14&gt;0,N(L14),IF(ISNUMBER(I14),I14,0)))</f>
        <v>0</v>
      </c>
      <c r="AL14" s="96">
        <f>IF(R14=0,0,IF(AND(K14&lt;&gt;"Sim",N(M14)&gt;AK14+cfg_tol),1,0))</f>
        <v>0</v>
      </c>
      <c r="AM14" s="96">
        <f>IF(R14=0,0,IF(K14="Sim",0,IF(OR(AND(AA14&gt;0,ISNUMBER(I14),ABS(I14-N(L14))&gt;cfg_tol),AL14=1),1,0)))</f>
        <v>0</v>
      </c>
      <c r="AN14" s="96">
        <f>IF(AND(R14=1,N(M14)&gt;0,OR(N(M14)&gt;=AK14-cfg_tol,K14="Sim")),1,0)</f>
        <v>0</v>
      </c>
      <c r="AO14" s="96">
        <f>IF(AND(AN14=1,AD14&gt;0,AE14=AD14,AL14=0),1,0)</f>
        <v>0</v>
      </c>
      <c r="AP14" s="96">
        <f>IF(U14=0,0,IF(AND(INDEX('MTRs'!$AX$6:$AX$505,T14)=1,Z14=0,OR(f_res="",f_res="(Todos)",C14=f_res)),1,0))</f>
        <v>0</v>
      </c>
      <c r="AQ14" s="97" t="str">
        <f>IF(U14=0,"",INDEX('MTRs'!$AZ$6:$AZ$505,T14))</f>
        <v/>
      </c>
      <c r="AR14" s="96">
        <f>IF(U14=0,0,IF(AND(INDEX('MTRs'!$BA$6:$BA$505,T14)=1,Z14=0),1,0))</f>
        <v>0</v>
      </c>
      <c r="AS14" s="96" t="str">
        <f>IF(R14=1,A14&amp;" | MTR "&amp;IF(U14=1,INDEX('MTRs'!$B$6:$B$505,T14)&amp;"","?")&amp;" | "&amp;IF(C14="","(sem resíduo)",C14),"")</f>
        <v/>
      </c>
      <c r="AT14" s="96" t="str">
        <f>IF(R14=1,COUNTIF($R$6:R14,1),"")</f>
        <v/>
      </c>
      <c r="AU14" s="96" t="str">
        <f>IF(U14=1,INDEX('MTRs'!$I$6:$I$505,T14)&amp;"","")</f>
        <v/>
      </c>
    </row>
    <row r="15">
      <c r="A15" s="89" t="inlineStr">
        <is>
          <t>IT-000010</t>
        </is>
      </c>
      <c r="B15" s="91" t="n"/>
      <c r="C15" s="91" t="n"/>
      <c r="D15" s="94" t="str">
        <f>IF(OR(R15=0,V15=0),"",INDEX('CAD_RESÍDUOS'!$E$6:$E$205,MATCH(C15,'CAD_RESÍDUOS'!$B$6:$B$205,0))&amp;"")</f>
        <v/>
      </c>
      <c r="E15" s="94" t="str">
        <f>IF(OR(R15=0,V15=0),"",INDEX('CAD_RESÍDUOS'!$C$6:$C$205,MATCH(C15,'CAD_RESÍDUOS'!$B$6:$B$205,0))&amp;"")</f>
        <v/>
      </c>
      <c r="F15" s="94" t="str">
        <f>IF(OR(R15=0,V15=0),"",INDEX('CAD_RESÍDUOS'!$G$6:$G$205,MATCH(C15,'CAD_RESÍDUOS'!$B$6:$B$205,0))&amp;"")</f>
        <v/>
      </c>
      <c r="G15" s="98" t="n"/>
      <c r="H15" s="91" t="n"/>
      <c r="I15" s="93" t="str">
        <f>IF(R15=0,"",IF(NOT(ISNUMBER(G15)),"",IF(ISNUMBER(X15),G15*X15,"UNIDADE A CONFERIR")))</f>
        <v/>
      </c>
      <c r="J15" s="91" t="n"/>
      <c r="K15" s="91" t="n"/>
      <c r="L15" s="93" t="str">
        <f>IF(R15=0,"",SUMIFS('RECEBIMENTOS'!$H$6:$H$1005,'RECEBIMENTOS'!$R$6:$R$1005,A15,'RECEBIMENTOS'!$X$6:$X$1005,1))</f>
        <v/>
      </c>
      <c r="M15" s="93" t="str">
        <f>IF(R15=0,"",SUMIFS('VÍNCULOS_CDF'!$H$6:$H$1005,'VÍNCULOS_CDF'!$R$6:$R$1005,A15,'VÍNCULOS_CDF'!$V$6:$V$1005,1))</f>
        <v/>
      </c>
      <c r="N15" s="99" t="str">
        <f>IF(OR(R15=0,AA15=0,NOT(ISNUMBER(I15))),"",I15-N(L15))</f>
        <v/>
      </c>
      <c r="O15" s="100" t="str">
        <f>IF(OR(R15=0,AK15&lt;=0),"",N(M15)/AK15)</f>
        <v/>
      </c>
      <c r="P15" s="94" t="str">
        <f>IF(R15=0,"",IF(S15="","Sem MTR associado",IF(U15=0,"MTR inexistente",IF(C15="","Resíduo não identificado",IF(V15=0,"Resíduo fora do cadastro",IF(W15=0,"Quantidade inválida",IF(H15="","Unidade não informada",IF(NOT(ISNUMBER(I15)),"Unidade a conferir",IF(AND(AH15=1,K15&lt;&gt;"Sim"),"Possível duplicidade",IF(Z15=1,"MTR cancelado",IF(AC15&gt;0,"Recebimento com alerta",IF(AA15=0,"Aguardando recebimento",IF(AB15&lt;AA15,"Recebimento a conferir",IF(AM15=1,"Quantidade a revisar",IF(AF15&gt;0,"Vínculo a revisar",IF(AD15=0,"Aguardando CDF",IF(AN15=0,"Vínculo de CDF parcial",IF(AE15&lt;AD15,"CDF a conferir","Documentação conferida"))))))))))))))))))</f>
        <v/>
      </c>
      <c r="Q15" s="93" t="str">
        <f>IF(OR(R15=0,AA15=0),"",MAX(0,N(L15)-N(M15)))</f>
        <v/>
      </c>
      <c r="R15" s="96">
        <f>IF(COUNTA(B15:C15,G15:H15,J15:K15)&gt;0,1,0)</f>
        <v>0</v>
      </c>
      <c r="S15" s="96" t="str">
        <f>IF(B15="","",TRIM(LEFT(B15,FIND(" |",B15&amp;" |")-1)))</f>
        <v/>
      </c>
      <c r="T15" s="96" t="str">
        <f>IF(S15="","",IFERROR(MATCH(S15,'MTRs'!$A$6:$A$505,0),""))</f>
        <v/>
      </c>
      <c r="U15" s="96">
        <f>IF(T15="",0,IF(INDEX('MTRs'!$Z$6:$Z$505,T15)=1,1,0))</f>
        <v>0</v>
      </c>
      <c r="V15" s="96">
        <f>IF(C15="",0,IF(ISNUMBER(MATCH(C15,'CAD_RESÍDUOS'!$B$6:$B$205,0)),1,0))</f>
        <v>0</v>
      </c>
      <c r="W15" s="96">
        <f>IF(AND(ISNUMBER(G15),G15&gt;0),1,0)</f>
        <v>0</v>
      </c>
      <c r="X15" s="96" t="str">
        <f>IF(H15="","",IFERROR(IF(ISNUMBER(INDEX(cfg_fac,MATCH(H15,cfg_units,0))),IF(INDEX(cfg_fac,MATCH(H15,cfg_units,0))&gt;0,INDEX(cfg_fac,MATCH(H15,cfg_units,0)),""),""),""))</f>
        <v/>
      </c>
      <c r="Y15" s="96">
        <f>IF(AND(W15=1,ISNUMBER(I15)),1,0)</f>
        <v>0</v>
      </c>
      <c r="Z15" s="96">
        <f>IF(U15=1,INDEX('MTRs'!$AA$6:$AA$505,T15),0)</f>
        <v>0</v>
      </c>
      <c r="AA15" s="96">
        <f>IF(R15=0,0,COUNTIFS('RECEBIMENTOS'!$R$6:$R$1005,A15,'RECEBIMENTOS'!$Q$6:$Q$1005,1))</f>
        <v>0</v>
      </c>
      <c r="AB15" s="96">
        <f>IF(R15=0,0,COUNTIFS('RECEBIMENTOS'!$R$6:$R$1005,A15,'RECEBIMENTOS'!$Z$6:$Z$1005,1))</f>
        <v>0</v>
      </c>
      <c r="AC15" s="96">
        <f>IF(R15=0,0,COUNTIFS('RECEBIMENTOS'!$R$6:$R$1005,A15,'RECEBIMENTOS'!$Y$6:$Y$1005,1))</f>
        <v>0</v>
      </c>
      <c r="AD15" s="96">
        <f>IF(R15=0,0,COUNTIFS('VÍNCULOS_CDF'!$R$6:$R$1005,A15,'VÍNCULOS_CDF'!$N$6:$N$1005,1))</f>
        <v>0</v>
      </c>
      <c r="AE15" s="96">
        <f>IF(R15=0,0,COUNTIFS('VÍNCULOS_CDF'!$R$6:$R$1005,A15,'VÍNCULOS_CDF'!$AA$6:$AA$1005,1))</f>
        <v>0</v>
      </c>
      <c r="AF15" s="96">
        <f>IF(R15=0,0,COUNTIFS('VÍNCULOS_CDF'!$R$6:$R$1005,A15,'VÍNCULOS_CDF'!$Y$6:$Y$1005,1))</f>
        <v>0</v>
      </c>
      <c r="AG15" s="96" t="str">
        <f>IF(AND(R15=1,S15&lt;&gt;"",C15&lt;&gt;""),S15&amp;"|"&amp;C15&amp;"|"&amp;G15&amp;"|"&amp;H15,"")</f>
        <v/>
      </c>
      <c r="AH15" s="96">
        <f>IF(AG15="",0,IF(SUMPRODUCT(--($AG$6:$AG$1005=AG15))&gt;1,1,0))</f>
        <v>0</v>
      </c>
      <c r="AI15" s="96">
        <f>IF(R15=0,0,IF(OR(U15=0,V15=0,Y15=0,AND(AH15=1,K15&lt;&gt;"Sim")),1,0))</f>
        <v>0</v>
      </c>
      <c r="AJ15" s="96">
        <f>IF(AND(R15=1,AA15&gt;0,AB15=AA15),1,0)</f>
        <v>0</v>
      </c>
      <c r="AK15" s="96">
        <f>IF(R15=0,0,IF(AA15&gt;0,N(L15),IF(ISNUMBER(I15),I15,0)))</f>
        <v>0</v>
      </c>
      <c r="AL15" s="96">
        <f>IF(R15=0,0,IF(AND(K15&lt;&gt;"Sim",N(M15)&gt;AK15+cfg_tol),1,0))</f>
        <v>0</v>
      </c>
      <c r="AM15" s="96">
        <f>IF(R15=0,0,IF(K15="Sim",0,IF(OR(AND(AA15&gt;0,ISNUMBER(I15),ABS(I15-N(L15))&gt;cfg_tol),AL15=1),1,0)))</f>
        <v>0</v>
      </c>
      <c r="AN15" s="96">
        <f>IF(AND(R15=1,N(M15)&gt;0,OR(N(M15)&gt;=AK15-cfg_tol,K15="Sim")),1,0)</f>
        <v>0</v>
      </c>
      <c r="AO15" s="96">
        <f>IF(AND(AN15=1,AD15&gt;0,AE15=AD15,AL15=0),1,0)</f>
        <v>0</v>
      </c>
      <c r="AP15" s="96">
        <f>IF(U15=0,0,IF(AND(INDEX('MTRs'!$AX$6:$AX$505,T15)=1,Z15=0,OR(f_res="",f_res="(Todos)",C15=f_res)),1,0))</f>
        <v>0</v>
      </c>
      <c r="AQ15" s="97" t="str">
        <f>IF(U15=0,"",INDEX('MTRs'!$AZ$6:$AZ$505,T15))</f>
        <v/>
      </c>
      <c r="AR15" s="96">
        <f>IF(U15=0,0,IF(AND(INDEX('MTRs'!$BA$6:$BA$505,T15)=1,Z15=0),1,0))</f>
        <v>0</v>
      </c>
      <c r="AS15" s="96" t="str">
        <f>IF(R15=1,A15&amp;" | MTR "&amp;IF(U15=1,INDEX('MTRs'!$B$6:$B$505,T15)&amp;"","?")&amp;" | "&amp;IF(C15="","(sem resíduo)",C15),"")</f>
        <v/>
      </c>
      <c r="AT15" s="96" t="str">
        <f>IF(R15=1,COUNTIF($R$6:R15,1),"")</f>
        <v/>
      </c>
      <c r="AU15" s="96" t="str">
        <f>IF(U15=1,INDEX('MTRs'!$I$6:$I$505,T15)&amp;"","")</f>
        <v/>
      </c>
    </row>
    <row r="16">
      <c r="A16" s="89" t="inlineStr">
        <is>
          <t>IT-000011</t>
        </is>
      </c>
      <c r="B16" s="91" t="n"/>
      <c r="C16" s="91" t="n"/>
      <c r="D16" s="94" t="str">
        <f>IF(OR(R16=0,V16=0),"",INDEX('CAD_RESÍDUOS'!$E$6:$E$205,MATCH(C16,'CAD_RESÍDUOS'!$B$6:$B$205,0))&amp;"")</f>
        <v/>
      </c>
      <c r="E16" s="94" t="str">
        <f>IF(OR(R16=0,V16=0),"",INDEX('CAD_RESÍDUOS'!$C$6:$C$205,MATCH(C16,'CAD_RESÍDUOS'!$B$6:$B$205,0))&amp;"")</f>
        <v/>
      </c>
      <c r="F16" s="94" t="str">
        <f>IF(OR(R16=0,V16=0),"",INDEX('CAD_RESÍDUOS'!$G$6:$G$205,MATCH(C16,'CAD_RESÍDUOS'!$B$6:$B$205,0))&amp;"")</f>
        <v/>
      </c>
      <c r="G16" s="98" t="n"/>
      <c r="H16" s="91" t="n"/>
      <c r="I16" s="93" t="str">
        <f>IF(R16=0,"",IF(NOT(ISNUMBER(G16)),"",IF(ISNUMBER(X16),G16*X16,"UNIDADE A CONFERIR")))</f>
        <v/>
      </c>
      <c r="J16" s="91" t="n"/>
      <c r="K16" s="91" t="n"/>
      <c r="L16" s="93" t="str">
        <f>IF(R16=0,"",SUMIFS('RECEBIMENTOS'!$H$6:$H$1005,'RECEBIMENTOS'!$R$6:$R$1005,A16,'RECEBIMENTOS'!$X$6:$X$1005,1))</f>
        <v/>
      </c>
      <c r="M16" s="93" t="str">
        <f>IF(R16=0,"",SUMIFS('VÍNCULOS_CDF'!$H$6:$H$1005,'VÍNCULOS_CDF'!$R$6:$R$1005,A16,'VÍNCULOS_CDF'!$V$6:$V$1005,1))</f>
        <v/>
      </c>
      <c r="N16" s="99" t="str">
        <f>IF(OR(R16=0,AA16=0,NOT(ISNUMBER(I16))),"",I16-N(L16))</f>
        <v/>
      </c>
      <c r="O16" s="100" t="str">
        <f>IF(OR(R16=0,AK16&lt;=0),"",N(M16)/AK16)</f>
        <v/>
      </c>
      <c r="P16" s="94" t="str">
        <f>IF(R16=0,"",IF(S16="","Sem MTR associado",IF(U16=0,"MTR inexistente",IF(C16="","Resíduo não identificado",IF(V16=0,"Resíduo fora do cadastro",IF(W16=0,"Quantidade inválida",IF(H16="","Unidade não informada",IF(NOT(ISNUMBER(I16)),"Unidade a conferir",IF(AND(AH16=1,K16&lt;&gt;"Sim"),"Possível duplicidade",IF(Z16=1,"MTR cancelado",IF(AC16&gt;0,"Recebimento com alerta",IF(AA16=0,"Aguardando recebimento",IF(AB16&lt;AA16,"Recebimento a conferir",IF(AM16=1,"Quantidade a revisar",IF(AF16&gt;0,"Vínculo a revisar",IF(AD16=0,"Aguardando CDF",IF(AN16=0,"Vínculo de CDF parcial",IF(AE16&lt;AD16,"CDF a conferir","Documentação conferida"))))))))))))))))))</f>
        <v/>
      </c>
      <c r="Q16" s="93" t="str">
        <f>IF(OR(R16=0,AA16=0),"",MAX(0,N(L16)-N(M16)))</f>
        <v/>
      </c>
      <c r="R16" s="96">
        <f>IF(COUNTA(B16:C16,G16:H16,J16:K16)&gt;0,1,0)</f>
        <v>0</v>
      </c>
      <c r="S16" s="96" t="str">
        <f>IF(B16="","",TRIM(LEFT(B16,FIND(" |",B16&amp;" |")-1)))</f>
        <v/>
      </c>
      <c r="T16" s="96" t="str">
        <f>IF(S16="","",IFERROR(MATCH(S16,'MTRs'!$A$6:$A$505,0),""))</f>
        <v/>
      </c>
      <c r="U16" s="96">
        <f>IF(T16="",0,IF(INDEX('MTRs'!$Z$6:$Z$505,T16)=1,1,0))</f>
        <v>0</v>
      </c>
      <c r="V16" s="96">
        <f>IF(C16="",0,IF(ISNUMBER(MATCH(C16,'CAD_RESÍDUOS'!$B$6:$B$205,0)),1,0))</f>
        <v>0</v>
      </c>
      <c r="W16" s="96">
        <f>IF(AND(ISNUMBER(G16),G16&gt;0),1,0)</f>
        <v>0</v>
      </c>
      <c r="X16" s="96" t="str">
        <f>IF(H16="","",IFERROR(IF(ISNUMBER(INDEX(cfg_fac,MATCH(H16,cfg_units,0))),IF(INDEX(cfg_fac,MATCH(H16,cfg_units,0))&gt;0,INDEX(cfg_fac,MATCH(H16,cfg_units,0)),""),""),""))</f>
        <v/>
      </c>
      <c r="Y16" s="96">
        <f>IF(AND(W16=1,ISNUMBER(I16)),1,0)</f>
        <v>0</v>
      </c>
      <c r="Z16" s="96">
        <f>IF(U16=1,INDEX('MTRs'!$AA$6:$AA$505,T16),0)</f>
        <v>0</v>
      </c>
      <c r="AA16" s="96">
        <f>IF(R16=0,0,COUNTIFS('RECEBIMENTOS'!$R$6:$R$1005,A16,'RECEBIMENTOS'!$Q$6:$Q$1005,1))</f>
        <v>0</v>
      </c>
      <c r="AB16" s="96">
        <f>IF(R16=0,0,COUNTIFS('RECEBIMENTOS'!$R$6:$R$1005,A16,'RECEBIMENTOS'!$Z$6:$Z$1005,1))</f>
        <v>0</v>
      </c>
      <c r="AC16" s="96">
        <f>IF(R16=0,0,COUNTIFS('RECEBIMENTOS'!$R$6:$R$1005,A16,'RECEBIMENTOS'!$Y$6:$Y$1005,1))</f>
        <v>0</v>
      </c>
      <c r="AD16" s="96">
        <f>IF(R16=0,0,COUNTIFS('VÍNCULOS_CDF'!$R$6:$R$1005,A16,'VÍNCULOS_CDF'!$N$6:$N$1005,1))</f>
        <v>0</v>
      </c>
      <c r="AE16" s="96">
        <f>IF(R16=0,0,COUNTIFS('VÍNCULOS_CDF'!$R$6:$R$1005,A16,'VÍNCULOS_CDF'!$AA$6:$AA$1005,1))</f>
        <v>0</v>
      </c>
      <c r="AF16" s="96">
        <f>IF(R16=0,0,COUNTIFS('VÍNCULOS_CDF'!$R$6:$R$1005,A16,'VÍNCULOS_CDF'!$Y$6:$Y$1005,1))</f>
        <v>0</v>
      </c>
      <c r="AG16" s="96" t="str">
        <f>IF(AND(R16=1,S16&lt;&gt;"",C16&lt;&gt;""),S16&amp;"|"&amp;C16&amp;"|"&amp;G16&amp;"|"&amp;H16,"")</f>
        <v/>
      </c>
      <c r="AH16" s="96">
        <f>IF(AG16="",0,IF(SUMPRODUCT(--($AG$6:$AG$1005=AG16))&gt;1,1,0))</f>
        <v>0</v>
      </c>
      <c r="AI16" s="96">
        <f>IF(R16=0,0,IF(OR(U16=0,V16=0,Y16=0,AND(AH16=1,K16&lt;&gt;"Sim")),1,0))</f>
        <v>0</v>
      </c>
      <c r="AJ16" s="96">
        <f>IF(AND(R16=1,AA16&gt;0,AB16=AA16),1,0)</f>
        <v>0</v>
      </c>
      <c r="AK16" s="96">
        <f>IF(R16=0,0,IF(AA16&gt;0,N(L16),IF(ISNUMBER(I16),I16,0)))</f>
        <v>0</v>
      </c>
      <c r="AL16" s="96">
        <f>IF(R16=0,0,IF(AND(K16&lt;&gt;"Sim",N(M16)&gt;AK16+cfg_tol),1,0))</f>
        <v>0</v>
      </c>
      <c r="AM16" s="96">
        <f>IF(R16=0,0,IF(K16="Sim",0,IF(OR(AND(AA16&gt;0,ISNUMBER(I16),ABS(I16-N(L16))&gt;cfg_tol),AL16=1),1,0)))</f>
        <v>0</v>
      </c>
      <c r="AN16" s="96">
        <f>IF(AND(R16=1,N(M16)&gt;0,OR(N(M16)&gt;=AK16-cfg_tol,K16="Sim")),1,0)</f>
        <v>0</v>
      </c>
      <c r="AO16" s="96">
        <f>IF(AND(AN16=1,AD16&gt;0,AE16=AD16,AL16=0),1,0)</f>
        <v>0</v>
      </c>
      <c r="AP16" s="96">
        <f>IF(U16=0,0,IF(AND(INDEX('MTRs'!$AX$6:$AX$505,T16)=1,Z16=0,OR(f_res="",f_res="(Todos)",C16=f_res)),1,0))</f>
        <v>0</v>
      </c>
      <c r="AQ16" s="97" t="str">
        <f>IF(U16=0,"",INDEX('MTRs'!$AZ$6:$AZ$505,T16))</f>
        <v/>
      </c>
      <c r="AR16" s="96">
        <f>IF(U16=0,0,IF(AND(INDEX('MTRs'!$BA$6:$BA$505,T16)=1,Z16=0),1,0))</f>
        <v>0</v>
      </c>
      <c r="AS16" s="96" t="str">
        <f>IF(R16=1,A16&amp;" | MTR "&amp;IF(U16=1,INDEX('MTRs'!$B$6:$B$505,T16)&amp;"","?")&amp;" | "&amp;IF(C16="","(sem resíduo)",C16),"")</f>
        <v/>
      </c>
      <c r="AT16" s="96" t="str">
        <f>IF(R16=1,COUNTIF($R$6:R16,1),"")</f>
        <v/>
      </c>
      <c r="AU16" s="96" t="str">
        <f>IF(U16=1,INDEX('MTRs'!$I$6:$I$505,T16)&amp;"","")</f>
        <v/>
      </c>
    </row>
    <row r="17">
      <c r="A17" s="89" t="inlineStr">
        <is>
          <t>IT-000012</t>
        </is>
      </c>
      <c r="B17" s="91" t="n"/>
      <c r="C17" s="91" t="n"/>
      <c r="D17" s="94" t="str">
        <f>IF(OR(R17=0,V17=0),"",INDEX('CAD_RESÍDUOS'!$E$6:$E$205,MATCH(C17,'CAD_RESÍDUOS'!$B$6:$B$205,0))&amp;"")</f>
        <v/>
      </c>
      <c r="E17" s="94" t="str">
        <f>IF(OR(R17=0,V17=0),"",INDEX('CAD_RESÍDUOS'!$C$6:$C$205,MATCH(C17,'CAD_RESÍDUOS'!$B$6:$B$205,0))&amp;"")</f>
        <v/>
      </c>
      <c r="F17" s="94" t="str">
        <f>IF(OR(R17=0,V17=0),"",INDEX('CAD_RESÍDUOS'!$G$6:$G$205,MATCH(C17,'CAD_RESÍDUOS'!$B$6:$B$205,0))&amp;"")</f>
        <v/>
      </c>
      <c r="G17" s="98" t="n"/>
      <c r="H17" s="91" t="n"/>
      <c r="I17" s="93" t="str">
        <f>IF(R17=0,"",IF(NOT(ISNUMBER(G17)),"",IF(ISNUMBER(X17),G17*X17,"UNIDADE A CONFERIR")))</f>
        <v/>
      </c>
      <c r="J17" s="91" t="n"/>
      <c r="K17" s="91" t="n"/>
      <c r="L17" s="93" t="str">
        <f>IF(R17=0,"",SUMIFS('RECEBIMENTOS'!$H$6:$H$1005,'RECEBIMENTOS'!$R$6:$R$1005,A17,'RECEBIMENTOS'!$X$6:$X$1005,1))</f>
        <v/>
      </c>
      <c r="M17" s="93" t="str">
        <f>IF(R17=0,"",SUMIFS('VÍNCULOS_CDF'!$H$6:$H$1005,'VÍNCULOS_CDF'!$R$6:$R$1005,A17,'VÍNCULOS_CDF'!$V$6:$V$1005,1))</f>
        <v/>
      </c>
      <c r="N17" s="99" t="str">
        <f>IF(OR(R17=0,AA17=0,NOT(ISNUMBER(I17))),"",I17-N(L17))</f>
        <v/>
      </c>
      <c r="O17" s="100" t="str">
        <f>IF(OR(R17=0,AK17&lt;=0),"",N(M17)/AK17)</f>
        <v/>
      </c>
      <c r="P17" s="94" t="str">
        <f>IF(R17=0,"",IF(S17="","Sem MTR associado",IF(U17=0,"MTR inexistente",IF(C17="","Resíduo não identificado",IF(V17=0,"Resíduo fora do cadastro",IF(W17=0,"Quantidade inválida",IF(H17="","Unidade não informada",IF(NOT(ISNUMBER(I17)),"Unidade a conferir",IF(AND(AH17=1,K17&lt;&gt;"Sim"),"Possível duplicidade",IF(Z17=1,"MTR cancelado",IF(AC17&gt;0,"Recebimento com alerta",IF(AA17=0,"Aguardando recebimento",IF(AB17&lt;AA17,"Recebimento a conferir",IF(AM17=1,"Quantidade a revisar",IF(AF17&gt;0,"Vínculo a revisar",IF(AD17=0,"Aguardando CDF",IF(AN17=0,"Vínculo de CDF parcial",IF(AE17&lt;AD17,"CDF a conferir","Documentação conferida"))))))))))))))))))</f>
        <v/>
      </c>
      <c r="Q17" s="93" t="str">
        <f>IF(OR(R17=0,AA17=0),"",MAX(0,N(L17)-N(M17)))</f>
        <v/>
      </c>
      <c r="R17" s="96">
        <f>IF(COUNTA(B17:C17,G17:H17,J17:K17)&gt;0,1,0)</f>
        <v>0</v>
      </c>
      <c r="S17" s="96" t="str">
        <f>IF(B17="","",TRIM(LEFT(B17,FIND(" |",B17&amp;" |")-1)))</f>
        <v/>
      </c>
      <c r="T17" s="96" t="str">
        <f>IF(S17="","",IFERROR(MATCH(S17,'MTRs'!$A$6:$A$505,0),""))</f>
        <v/>
      </c>
      <c r="U17" s="96">
        <f>IF(T17="",0,IF(INDEX('MTRs'!$Z$6:$Z$505,T17)=1,1,0))</f>
        <v>0</v>
      </c>
      <c r="V17" s="96">
        <f>IF(C17="",0,IF(ISNUMBER(MATCH(C17,'CAD_RESÍDUOS'!$B$6:$B$205,0)),1,0))</f>
        <v>0</v>
      </c>
      <c r="W17" s="96">
        <f>IF(AND(ISNUMBER(G17),G17&gt;0),1,0)</f>
        <v>0</v>
      </c>
      <c r="X17" s="96" t="str">
        <f>IF(H17="","",IFERROR(IF(ISNUMBER(INDEX(cfg_fac,MATCH(H17,cfg_units,0))),IF(INDEX(cfg_fac,MATCH(H17,cfg_units,0))&gt;0,INDEX(cfg_fac,MATCH(H17,cfg_units,0)),""),""),""))</f>
        <v/>
      </c>
      <c r="Y17" s="96">
        <f>IF(AND(W17=1,ISNUMBER(I17)),1,0)</f>
        <v>0</v>
      </c>
      <c r="Z17" s="96">
        <f>IF(U17=1,INDEX('MTRs'!$AA$6:$AA$505,T17),0)</f>
        <v>0</v>
      </c>
      <c r="AA17" s="96">
        <f>IF(R17=0,0,COUNTIFS('RECEBIMENTOS'!$R$6:$R$1005,A17,'RECEBIMENTOS'!$Q$6:$Q$1005,1))</f>
        <v>0</v>
      </c>
      <c r="AB17" s="96">
        <f>IF(R17=0,0,COUNTIFS('RECEBIMENTOS'!$R$6:$R$1005,A17,'RECEBIMENTOS'!$Z$6:$Z$1005,1))</f>
        <v>0</v>
      </c>
      <c r="AC17" s="96">
        <f>IF(R17=0,0,COUNTIFS('RECEBIMENTOS'!$R$6:$R$1005,A17,'RECEBIMENTOS'!$Y$6:$Y$1005,1))</f>
        <v>0</v>
      </c>
      <c r="AD17" s="96">
        <f>IF(R17=0,0,COUNTIFS('VÍNCULOS_CDF'!$R$6:$R$1005,A17,'VÍNCULOS_CDF'!$N$6:$N$1005,1))</f>
        <v>0</v>
      </c>
      <c r="AE17" s="96">
        <f>IF(R17=0,0,COUNTIFS('VÍNCULOS_CDF'!$R$6:$R$1005,A17,'VÍNCULOS_CDF'!$AA$6:$AA$1005,1))</f>
        <v>0</v>
      </c>
      <c r="AF17" s="96">
        <f>IF(R17=0,0,COUNTIFS('VÍNCULOS_CDF'!$R$6:$R$1005,A17,'VÍNCULOS_CDF'!$Y$6:$Y$1005,1))</f>
        <v>0</v>
      </c>
      <c r="AG17" s="96" t="str">
        <f>IF(AND(R17=1,S17&lt;&gt;"",C17&lt;&gt;""),S17&amp;"|"&amp;C17&amp;"|"&amp;G17&amp;"|"&amp;H17,"")</f>
        <v/>
      </c>
      <c r="AH17" s="96">
        <f>IF(AG17="",0,IF(SUMPRODUCT(--($AG$6:$AG$1005=AG17))&gt;1,1,0))</f>
        <v>0</v>
      </c>
      <c r="AI17" s="96">
        <f>IF(R17=0,0,IF(OR(U17=0,V17=0,Y17=0,AND(AH17=1,K17&lt;&gt;"Sim")),1,0))</f>
        <v>0</v>
      </c>
      <c r="AJ17" s="96">
        <f>IF(AND(R17=1,AA17&gt;0,AB17=AA17),1,0)</f>
        <v>0</v>
      </c>
      <c r="AK17" s="96">
        <f>IF(R17=0,0,IF(AA17&gt;0,N(L17),IF(ISNUMBER(I17),I17,0)))</f>
        <v>0</v>
      </c>
      <c r="AL17" s="96">
        <f>IF(R17=0,0,IF(AND(K17&lt;&gt;"Sim",N(M17)&gt;AK17+cfg_tol),1,0))</f>
        <v>0</v>
      </c>
      <c r="AM17" s="96">
        <f>IF(R17=0,0,IF(K17="Sim",0,IF(OR(AND(AA17&gt;0,ISNUMBER(I17),ABS(I17-N(L17))&gt;cfg_tol),AL17=1),1,0)))</f>
        <v>0</v>
      </c>
      <c r="AN17" s="96">
        <f>IF(AND(R17=1,N(M17)&gt;0,OR(N(M17)&gt;=AK17-cfg_tol,K17="Sim")),1,0)</f>
        <v>0</v>
      </c>
      <c r="AO17" s="96">
        <f>IF(AND(AN17=1,AD17&gt;0,AE17=AD17,AL17=0),1,0)</f>
        <v>0</v>
      </c>
      <c r="AP17" s="96">
        <f>IF(U17=0,0,IF(AND(INDEX('MTRs'!$AX$6:$AX$505,T17)=1,Z17=0,OR(f_res="",f_res="(Todos)",C17=f_res)),1,0))</f>
        <v>0</v>
      </c>
      <c r="AQ17" s="97" t="str">
        <f>IF(U17=0,"",INDEX('MTRs'!$AZ$6:$AZ$505,T17))</f>
        <v/>
      </c>
      <c r="AR17" s="96">
        <f>IF(U17=0,0,IF(AND(INDEX('MTRs'!$BA$6:$BA$505,T17)=1,Z17=0),1,0))</f>
        <v>0</v>
      </c>
      <c r="AS17" s="96" t="str">
        <f>IF(R17=1,A17&amp;" | MTR "&amp;IF(U17=1,INDEX('MTRs'!$B$6:$B$505,T17)&amp;"","?")&amp;" | "&amp;IF(C17="","(sem resíduo)",C17),"")</f>
        <v/>
      </c>
      <c r="AT17" s="96" t="str">
        <f>IF(R17=1,COUNTIF($R$6:R17,1),"")</f>
        <v/>
      </c>
      <c r="AU17" s="96" t="str">
        <f>IF(U17=1,INDEX('MTRs'!$I$6:$I$505,T17)&amp;"","")</f>
        <v/>
      </c>
    </row>
    <row r="18">
      <c r="A18" s="89" t="inlineStr">
        <is>
          <t>IT-000013</t>
        </is>
      </c>
      <c r="B18" s="91" t="n"/>
      <c r="C18" s="91" t="n"/>
      <c r="D18" s="94" t="str">
        <f>IF(OR(R18=0,V18=0),"",INDEX('CAD_RESÍDUOS'!$E$6:$E$205,MATCH(C18,'CAD_RESÍDUOS'!$B$6:$B$205,0))&amp;"")</f>
        <v/>
      </c>
      <c r="E18" s="94" t="str">
        <f>IF(OR(R18=0,V18=0),"",INDEX('CAD_RESÍDUOS'!$C$6:$C$205,MATCH(C18,'CAD_RESÍDUOS'!$B$6:$B$205,0))&amp;"")</f>
        <v/>
      </c>
      <c r="F18" s="94" t="str">
        <f>IF(OR(R18=0,V18=0),"",INDEX('CAD_RESÍDUOS'!$G$6:$G$205,MATCH(C18,'CAD_RESÍDUOS'!$B$6:$B$205,0))&amp;"")</f>
        <v/>
      </c>
      <c r="G18" s="98" t="n"/>
      <c r="H18" s="91" t="n"/>
      <c r="I18" s="93" t="str">
        <f>IF(R18=0,"",IF(NOT(ISNUMBER(G18)),"",IF(ISNUMBER(X18),G18*X18,"UNIDADE A CONFERIR")))</f>
        <v/>
      </c>
      <c r="J18" s="91" t="n"/>
      <c r="K18" s="91" t="n"/>
      <c r="L18" s="93" t="str">
        <f>IF(R18=0,"",SUMIFS('RECEBIMENTOS'!$H$6:$H$1005,'RECEBIMENTOS'!$R$6:$R$1005,A18,'RECEBIMENTOS'!$X$6:$X$1005,1))</f>
        <v/>
      </c>
      <c r="M18" s="93" t="str">
        <f>IF(R18=0,"",SUMIFS('VÍNCULOS_CDF'!$H$6:$H$1005,'VÍNCULOS_CDF'!$R$6:$R$1005,A18,'VÍNCULOS_CDF'!$V$6:$V$1005,1))</f>
        <v/>
      </c>
      <c r="N18" s="99" t="str">
        <f>IF(OR(R18=0,AA18=0,NOT(ISNUMBER(I18))),"",I18-N(L18))</f>
        <v/>
      </c>
      <c r="O18" s="100" t="str">
        <f>IF(OR(R18=0,AK18&lt;=0),"",N(M18)/AK18)</f>
        <v/>
      </c>
      <c r="P18" s="94" t="str">
        <f>IF(R18=0,"",IF(S18="","Sem MTR associado",IF(U18=0,"MTR inexistente",IF(C18="","Resíduo não identificado",IF(V18=0,"Resíduo fora do cadastro",IF(W18=0,"Quantidade inválida",IF(H18="","Unidade não informada",IF(NOT(ISNUMBER(I18)),"Unidade a conferir",IF(AND(AH18=1,K18&lt;&gt;"Sim"),"Possível duplicidade",IF(Z18=1,"MTR cancelado",IF(AC18&gt;0,"Recebimento com alerta",IF(AA18=0,"Aguardando recebimento",IF(AB18&lt;AA18,"Recebimento a conferir",IF(AM18=1,"Quantidade a revisar",IF(AF18&gt;0,"Vínculo a revisar",IF(AD18=0,"Aguardando CDF",IF(AN18=0,"Vínculo de CDF parcial",IF(AE18&lt;AD18,"CDF a conferir","Documentação conferida"))))))))))))))))))</f>
        <v/>
      </c>
      <c r="Q18" s="93" t="str">
        <f>IF(OR(R18=0,AA18=0),"",MAX(0,N(L18)-N(M18)))</f>
        <v/>
      </c>
      <c r="R18" s="96">
        <f>IF(COUNTA(B18:C18,G18:H18,J18:K18)&gt;0,1,0)</f>
        <v>0</v>
      </c>
      <c r="S18" s="96" t="str">
        <f>IF(B18="","",TRIM(LEFT(B18,FIND(" |",B18&amp;" |")-1)))</f>
        <v/>
      </c>
      <c r="T18" s="96" t="str">
        <f>IF(S18="","",IFERROR(MATCH(S18,'MTRs'!$A$6:$A$505,0),""))</f>
        <v/>
      </c>
      <c r="U18" s="96">
        <f>IF(T18="",0,IF(INDEX('MTRs'!$Z$6:$Z$505,T18)=1,1,0))</f>
        <v>0</v>
      </c>
      <c r="V18" s="96">
        <f>IF(C18="",0,IF(ISNUMBER(MATCH(C18,'CAD_RESÍDUOS'!$B$6:$B$205,0)),1,0))</f>
        <v>0</v>
      </c>
      <c r="W18" s="96">
        <f>IF(AND(ISNUMBER(G18),G18&gt;0),1,0)</f>
        <v>0</v>
      </c>
      <c r="X18" s="96" t="str">
        <f>IF(H18="","",IFERROR(IF(ISNUMBER(INDEX(cfg_fac,MATCH(H18,cfg_units,0))),IF(INDEX(cfg_fac,MATCH(H18,cfg_units,0))&gt;0,INDEX(cfg_fac,MATCH(H18,cfg_units,0)),""),""),""))</f>
        <v/>
      </c>
      <c r="Y18" s="96">
        <f>IF(AND(W18=1,ISNUMBER(I18)),1,0)</f>
        <v>0</v>
      </c>
      <c r="Z18" s="96">
        <f>IF(U18=1,INDEX('MTRs'!$AA$6:$AA$505,T18),0)</f>
        <v>0</v>
      </c>
      <c r="AA18" s="96">
        <f>IF(R18=0,0,COUNTIFS('RECEBIMENTOS'!$R$6:$R$1005,A18,'RECEBIMENTOS'!$Q$6:$Q$1005,1))</f>
        <v>0</v>
      </c>
      <c r="AB18" s="96">
        <f>IF(R18=0,0,COUNTIFS('RECEBIMENTOS'!$R$6:$R$1005,A18,'RECEBIMENTOS'!$Z$6:$Z$1005,1))</f>
        <v>0</v>
      </c>
      <c r="AC18" s="96">
        <f>IF(R18=0,0,COUNTIFS('RECEBIMENTOS'!$R$6:$R$1005,A18,'RECEBIMENTOS'!$Y$6:$Y$1005,1))</f>
        <v>0</v>
      </c>
      <c r="AD18" s="96">
        <f>IF(R18=0,0,COUNTIFS('VÍNCULOS_CDF'!$R$6:$R$1005,A18,'VÍNCULOS_CDF'!$N$6:$N$1005,1))</f>
        <v>0</v>
      </c>
      <c r="AE18" s="96">
        <f>IF(R18=0,0,COUNTIFS('VÍNCULOS_CDF'!$R$6:$R$1005,A18,'VÍNCULOS_CDF'!$AA$6:$AA$1005,1))</f>
        <v>0</v>
      </c>
      <c r="AF18" s="96">
        <f>IF(R18=0,0,COUNTIFS('VÍNCULOS_CDF'!$R$6:$R$1005,A18,'VÍNCULOS_CDF'!$Y$6:$Y$1005,1))</f>
        <v>0</v>
      </c>
      <c r="AG18" s="96" t="str">
        <f>IF(AND(R18=1,S18&lt;&gt;"",C18&lt;&gt;""),S18&amp;"|"&amp;C18&amp;"|"&amp;G18&amp;"|"&amp;H18,"")</f>
        <v/>
      </c>
      <c r="AH18" s="96">
        <f>IF(AG18="",0,IF(SUMPRODUCT(--($AG$6:$AG$1005=AG18))&gt;1,1,0))</f>
        <v>0</v>
      </c>
      <c r="AI18" s="96">
        <f>IF(R18=0,0,IF(OR(U18=0,V18=0,Y18=0,AND(AH18=1,K18&lt;&gt;"Sim")),1,0))</f>
        <v>0</v>
      </c>
      <c r="AJ18" s="96">
        <f>IF(AND(R18=1,AA18&gt;0,AB18=AA18),1,0)</f>
        <v>0</v>
      </c>
      <c r="AK18" s="96">
        <f>IF(R18=0,0,IF(AA18&gt;0,N(L18),IF(ISNUMBER(I18),I18,0)))</f>
        <v>0</v>
      </c>
      <c r="AL18" s="96">
        <f>IF(R18=0,0,IF(AND(K18&lt;&gt;"Sim",N(M18)&gt;AK18+cfg_tol),1,0))</f>
        <v>0</v>
      </c>
      <c r="AM18" s="96">
        <f>IF(R18=0,0,IF(K18="Sim",0,IF(OR(AND(AA18&gt;0,ISNUMBER(I18),ABS(I18-N(L18))&gt;cfg_tol),AL18=1),1,0)))</f>
        <v>0</v>
      </c>
      <c r="AN18" s="96">
        <f>IF(AND(R18=1,N(M18)&gt;0,OR(N(M18)&gt;=AK18-cfg_tol,K18="Sim")),1,0)</f>
        <v>0</v>
      </c>
      <c r="AO18" s="96">
        <f>IF(AND(AN18=1,AD18&gt;0,AE18=AD18,AL18=0),1,0)</f>
        <v>0</v>
      </c>
      <c r="AP18" s="96">
        <f>IF(U18=0,0,IF(AND(INDEX('MTRs'!$AX$6:$AX$505,T18)=1,Z18=0,OR(f_res="",f_res="(Todos)",C18=f_res)),1,0))</f>
        <v>0</v>
      </c>
      <c r="AQ18" s="97" t="str">
        <f>IF(U18=0,"",INDEX('MTRs'!$AZ$6:$AZ$505,T18))</f>
        <v/>
      </c>
      <c r="AR18" s="96">
        <f>IF(U18=0,0,IF(AND(INDEX('MTRs'!$BA$6:$BA$505,T18)=1,Z18=0),1,0))</f>
        <v>0</v>
      </c>
      <c r="AS18" s="96" t="str">
        <f>IF(R18=1,A18&amp;" | MTR "&amp;IF(U18=1,INDEX('MTRs'!$B$6:$B$505,T18)&amp;"","?")&amp;" | "&amp;IF(C18="","(sem resíduo)",C18),"")</f>
        <v/>
      </c>
      <c r="AT18" s="96" t="str">
        <f>IF(R18=1,COUNTIF($R$6:R18,1),"")</f>
        <v/>
      </c>
      <c r="AU18" s="96" t="str">
        <f>IF(U18=1,INDEX('MTRs'!$I$6:$I$505,T18)&amp;"","")</f>
        <v/>
      </c>
    </row>
    <row r="19">
      <c r="A19" s="89" t="inlineStr">
        <is>
          <t>IT-000014</t>
        </is>
      </c>
      <c r="B19" s="91" t="n"/>
      <c r="C19" s="91" t="n"/>
      <c r="D19" s="94" t="str">
        <f>IF(OR(R19=0,V19=0),"",INDEX('CAD_RESÍDUOS'!$E$6:$E$205,MATCH(C19,'CAD_RESÍDUOS'!$B$6:$B$205,0))&amp;"")</f>
        <v/>
      </c>
      <c r="E19" s="94" t="str">
        <f>IF(OR(R19=0,V19=0),"",INDEX('CAD_RESÍDUOS'!$C$6:$C$205,MATCH(C19,'CAD_RESÍDUOS'!$B$6:$B$205,0))&amp;"")</f>
        <v/>
      </c>
      <c r="F19" s="94" t="str">
        <f>IF(OR(R19=0,V19=0),"",INDEX('CAD_RESÍDUOS'!$G$6:$G$205,MATCH(C19,'CAD_RESÍDUOS'!$B$6:$B$205,0))&amp;"")</f>
        <v/>
      </c>
      <c r="G19" s="98" t="n"/>
      <c r="H19" s="91" t="n"/>
      <c r="I19" s="93" t="str">
        <f>IF(R19=0,"",IF(NOT(ISNUMBER(G19)),"",IF(ISNUMBER(X19),G19*X19,"UNIDADE A CONFERIR")))</f>
        <v/>
      </c>
      <c r="J19" s="91" t="n"/>
      <c r="K19" s="91" t="n"/>
      <c r="L19" s="93" t="str">
        <f>IF(R19=0,"",SUMIFS('RECEBIMENTOS'!$H$6:$H$1005,'RECEBIMENTOS'!$R$6:$R$1005,A19,'RECEBIMENTOS'!$X$6:$X$1005,1))</f>
        <v/>
      </c>
      <c r="M19" s="93" t="str">
        <f>IF(R19=0,"",SUMIFS('VÍNCULOS_CDF'!$H$6:$H$1005,'VÍNCULOS_CDF'!$R$6:$R$1005,A19,'VÍNCULOS_CDF'!$V$6:$V$1005,1))</f>
        <v/>
      </c>
      <c r="N19" s="99" t="str">
        <f>IF(OR(R19=0,AA19=0,NOT(ISNUMBER(I19))),"",I19-N(L19))</f>
        <v/>
      </c>
      <c r="O19" s="100" t="str">
        <f>IF(OR(R19=0,AK19&lt;=0),"",N(M19)/AK19)</f>
        <v/>
      </c>
      <c r="P19" s="94" t="str">
        <f>IF(R19=0,"",IF(S19="","Sem MTR associado",IF(U19=0,"MTR inexistente",IF(C19="","Resíduo não identificado",IF(V19=0,"Resíduo fora do cadastro",IF(W19=0,"Quantidade inválida",IF(H19="","Unidade não informada",IF(NOT(ISNUMBER(I19)),"Unidade a conferir",IF(AND(AH19=1,K19&lt;&gt;"Sim"),"Possível duplicidade",IF(Z19=1,"MTR cancelado",IF(AC19&gt;0,"Recebimento com alerta",IF(AA19=0,"Aguardando recebimento",IF(AB19&lt;AA19,"Recebimento a conferir",IF(AM19=1,"Quantidade a revisar",IF(AF19&gt;0,"Vínculo a revisar",IF(AD19=0,"Aguardando CDF",IF(AN19=0,"Vínculo de CDF parcial",IF(AE19&lt;AD19,"CDF a conferir","Documentação conferida"))))))))))))))))))</f>
        <v/>
      </c>
      <c r="Q19" s="93" t="str">
        <f>IF(OR(R19=0,AA19=0),"",MAX(0,N(L19)-N(M19)))</f>
        <v/>
      </c>
      <c r="R19" s="96">
        <f>IF(COUNTA(B19:C19,G19:H19,J19:K19)&gt;0,1,0)</f>
        <v>0</v>
      </c>
      <c r="S19" s="96" t="str">
        <f>IF(B19="","",TRIM(LEFT(B19,FIND(" |",B19&amp;" |")-1)))</f>
        <v/>
      </c>
      <c r="T19" s="96" t="str">
        <f>IF(S19="","",IFERROR(MATCH(S19,'MTRs'!$A$6:$A$505,0),""))</f>
        <v/>
      </c>
      <c r="U19" s="96">
        <f>IF(T19="",0,IF(INDEX('MTRs'!$Z$6:$Z$505,T19)=1,1,0))</f>
        <v>0</v>
      </c>
      <c r="V19" s="96">
        <f>IF(C19="",0,IF(ISNUMBER(MATCH(C19,'CAD_RESÍDUOS'!$B$6:$B$205,0)),1,0))</f>
        <v>0</v>
      </c>
      <c r="W19" s="96">
        <f>IF(AND(ISNUMBER(G19),G19&gt;0),1,0)</f>
        <v>0</v>
      </c>
      <c r="X19" s="96" t="str">
        <f>IF(H19="","",IFERROR(IF(ISNUMBER(INDEX(cfg_fac,MATCH(H19,cfg_units,0))),IF(INDEX(cfg_fac,MATCH(H19,cfg_units,0))&gt;0,INDEX(cfg_fac,MATCH(H19,cfg_units,0)),""),""),""))</f>
        <v/>
      </c>
      <c r="Y19" s="96">
        <f>IF(AND(W19=1,ISNUMBER(I19)),1,0)</f>
        <v>0</v>
      </c>
      <c r="Z19" s="96">
        <f>IF(U19=1,INDEX('MTRs'!$AA$6:$AA$505,T19),0)</f>
        <v>0</v>
      </c>
      <c r="AA19" s="96">
        <f>IF(R19=0,0,COUNTIFS('RECEBIMENTOS'!$R$6:$R$1005,A19,'RECEBIMENTOS'!$Q$6:$Q$1005,1))</f>
        <v>0</v>
      </c>
      <c r="AB19" s="96">
        <f>IF(R19=0,0,COUNTIFS('RECEBIMENTOS'!$R$6:$R$1005,A19,'RECEBIMENTOS'!$Z$6:$Z$1005,1))</f>
        <v>0</v>
      </c>
      <c r="AC19" s="96">
        <f>IF(R19=0,0,COUNTIFS('RECEBIMENTOS'!$R$6:$R$1005,A19,'RECEBIMENTOS'!$Y$6:$Y$1005,1))</f>
        <v>0</v>
      </c>
      <c r="AD19" s="96">
        <f>IF(R19=0,0,COUNTIFS('VÍNCULOS_CDF'!$R$6:$R$1005,A19,'VÍNCULOS_CDF'!$N$6:$N$1005,1))</f>
        <v>0</v>
      </c>
      <c r="AE19" s="96">
        <f>IF(R19=0,0,COUNTIFS('VÍNCULOS_CDF'!$R$6:$R$1005,A19,'VÍNCULOS_CDF'!$AA$6:$AA$1005,1))</f>
        <v>0</v>
      </c>
      <c r="AF19" s="96">
        <f>IF(R19=0,0,COUNTIFS('VÍNCULOS_CDF'!$R$6:$R$1005,A19,'VÍNCULOS_CDF'!$Y$6:$Y$1005,1))</f>
        <v>0</v>
      </c>
      <c r="AG19" s="96" t="str">
        <f>IF(AND(R19=1,S19&lt;&gt;"",C19&lt;&gt;""),S19&amp;"|"&amp;C19&amp;"|"&amp;G19&amp;"|"&amp;H19,"")</f>
        <v/>
      </c>
      <c r="AH19" s="96">
        <f>IF(AG19="",0,IF(SUMPRODUCT(--($AG$6:$AG$1005=AG19))&gt;1,1,0))</f>
        <v>0</v>
      </c>
      <c r="AI19" s="96">
        <f>IF(R19=0,0,IF(OR(U19=0,V19=0,Y19=0,AND(AH19=1,K19&lt;&gt;"Sim")),1,0))</f>
        <v>0</v>
      </c>
      <c r="AJ19" s="96">
        <f>IF(AND(R19=1,AA19&gt;0,AB19=AA19),1,0)</f>
        <v>0</v>
      </c>
      <c r="AK19" s="96">
        <f>IF(R19=0,0,IF(AA19&gt;0,N(L19),IF(ISNUMBER(I19),I19,0)))</f>
        <v>0</v>
      </c>
      <c r="AL19" s="96">
        <f>IF(R19=0,0,IF(AND(K19&lt;&gt;"Sim",N(M19)&gt;AK19+cfg_tol),1,0))</f>
        <v>0</v>
      </c>
      <c r="AM19" s="96">
        <f>IF(R19=0,0,IF(K19="Sim",0,IF(OR(AND(AA19&gt;0,ISNUMBER(I19),ABS(I19-N(L19))&gt;cfg_tol),AL19=1),1,0)))</f>
        <v>0</v>
      </c>
      <c r="AN19" s="96">
        <f>IF(AND(R19=1,N(M19)&gt;0,OR(N(M19)&gt;=AK19-cfg_tol,K19="Sim")),1,0)</f>
        <v>0</v>
      </c>
      <c r="AO19" s="96">
        <f>IF(AND(AN19=1,AD19&gt;0,AE19=AD19,AL19=0),1,0)</f>
        <v>0</v>
      </c>
      <c r="AP19" s="96">
        <f>IF(U19=0,0,IF(AND(INDEX('MTRs'!$AX$6:$AX$505,T19)=1,Z19=0,OR(f_res="",f_res="(Todos)",C19=f_res)),1,0))</f>
        <v>0</v>
      </c>
      <c r="AQ19" s="97" t="str">
        <f>IF(U19=0,"",INDEX('MTRs'!$AZ$6:$AZ$505,T19))</f>
        <v/>
      </c>
      <c r="AR19" s="96">
        <f>IF(U19=0,0,IF(AND(INDEX('MTRs'!$BA$6:$BA$505,T19)=1,Z19=0),1,0))</f>
        <v>0</v>
      </c>
      <c r="AS19" s="96" t="str">
        <f>IF(R19=1,A19&amp;" | MTR "&amp;IF(U19=1,INDEX('MTRs'!$B$6:$B$505,T19)&amp;"","?")&amp;" | "&amp;IF(C19="","(sem resíduo)",C19),"")</f>
        <v/>
      </c>
      <c r="AT19" s="96" t="str">
        <f>IF(R19=1,COUNTIF($R$6:R19,1),"")</f>
        <v/>
      </c>
      <c r="AU19" s="96" t="str">
        <f>IF(U19=1,INDEX('MTRs'!$I$6:$I$505,T19)&amp;"","")</f>
        <v/>
      </c>
    </row>
    <row r="20">
      <c r="A20" s="89" t="inlineStr">
        <is>
          <t>IT-000015</t>
        </is>
      </c>
      <c r="B20" s="91" t="n"/>
      <c r="C20" s="91" t="n"/>
      <c r="D20" s="94" t="str">
        <f>IF(OR(R20=0,V20=0),"",INDEX('CAD_RESÍDUOS'!$E$6:$E$205,MATCH(C20,'CAD_RESÍDUOS'!$B$6:$B$205,0))&amp;"")</f>
        <v/>
      </c>
      <c r="E20" s="94" t="str">
        <f>IF(OR(R20=0,V20=0),"",INDEX('CAD_RESÍDUOS'!$C$6:$C$205,MATCH(C20,'CAD_RESÍDUOS'!$B$6:$B$205,0))&amp;"")</f>
        <v/>
      </c>
      <c r="F20" s="94" t="str">
        <f>IF(OR(R20=0,V20=0),"",INDEX('CAD_RESÍDUOS'!$G$6:$G$205,MATCH(C20,'CAD_RESÍDUOS'!$B$6:$B$205,0))&amp;"")</f>
        <v/>
      </c>
      <c r="G20" s="98" t="n"/>
      <c r="H20" s="91" t="n"/>
      <c r="I20" s="93" t="str">
        <f>IF(R20=0,"",IF(NOT(ISNUMBER(G20)),"",IF(ISNUMBER(X20),G20*X20,"UNIDADE A CONFERIR")))</f>
        <v/>
      </c>
      <c r="J20" s="91" t="n"/>
      <c r="K20" s="91" t="n"/>
      <c r="L20" s="93" t="str">
        <f>IF(R20=0,"",SUMIFS('RECEBIMENTOS'!$H$6:$H$1005,'RECEBIMENTOS'!$R$6:$R$1005,A20,'RECEBIMENTOS'!$X$6:$X$1005,1))</f>
        <v/>
      </c>
      <c r="M20" s="93" t="str">
        <f>IF(R20=0,"",SUMIFS('VÍNCULOS_CDF'!$H$6:$H$1005,'VÍNCULOS_CDF'!$R$6:$R$1005,A20,'VÍNCULOS_CDF'!$V$6:$V$1005,1))</f>
        <v/>
      </c>
      <c r="N20" s="99" t="str">
        <f>IF(OR(R20=0,AA20=0,NOT(ISNUMBER(I20))),"",I20-N(L20))</f>
        <v/>
      </c>
      <c r="O20" s="100" t="str">
        <f>IF(OR(R20=0,AK20&lt;=0),"",N(M20)/AK20)</f>
        <v/>
      </c>
      <c r="P20" s="94" t="str">
        <f>IF(R20=0,"",IF(S20="","Sem MTR associado",IF(U20=0,"MTR inexistente",IF(C20="","Resíduo não identificado",IF(V20=0,"Resíduo fora do cadastro",IF(W20=0,"Quantidade inválida",IF(H20="","Unidade não informada",IF(NOT(ISNUMBER(I20)),"Unidade a conferir",IF(AND(AH20=1,K20&lt;&gt;"Sim"),"Possível duplicidade",IF(Z20=1,"MTR cancelado",IF(AC20&gt;0,"Recebimento com alerta",IF(AA20=0,"Aguardando recebimento",IF(AB20&lt;AA20,"Recebimento a conferir",IF(AM20=1,"Quantidade a revisar",IF(AF20&gt;0,"Vínculo a revisar",IF(AD20=0,"Aguardando CDF",IF(AN20=0,"Vínculo de CDF parcial",IF(AE20&lt;AD20,"CDF a conferir","Documentação conferida"))))))))))))))))))</f>
        <v/>
      </c>
      <c r="Q20" s="93" t="str">
        <f>IF(OR(R20=0,AA20=0),"",MAX(0,N(L20)-N(M20)))</f>
        <v/>
      </c>
      <c r="R20" s="96">
        <f>IF(COUNTA(B20:C20,G20:H20,J20:K20)&gt;0,1,0)</f>
        <v>0</v>
      </c>
      <c r="S20" s="96" t="str">
        <f>IF(B20="","",TRIM(LEFT(B20,FIND(" |",B20&amp;" |")-1)))</f>
        <v/>
      </c>
      <c r="T20" s="96" t="str">
        <f>IF(S20="","",IFERROR(MATCH(S20,'MTRs'!$A$6:$A$505,0),""))</f>
        <v/>
      </c>
      <c r="U20" s="96">
        <f>IF(T20="",0,IF(INDEX('MTRs'!$Z$6:$Z$505,T20)=1,1,0))</f>
        <v>0</v>
      </c>
      <c r="V20" s="96">
        <f>IF(C20="",0,IF(ISNUMBER(MATCH(C20,'CAD_RESÍDUOS'!$B$6:$B$205,0)),1,0))</f>
        <v>0</v>
      </c>
      <c r="W20" s="96">
        <f>IF(AND(ISNUMBER(G20),G20&gt;0),1,0)</f>
        <v>0</v>
      </c>
      <c r="X20" s="96" t="str">
        <f>IF(H20="","",IFERROR(IF(ISNUMBER(INDEX(cfg_fac,MATCH(H20,cfg_units,0))),IF(INDEX(cfg_fac,MATCH(H20,cfg_units,0))&gt;0,INDEX(cfg_fac,MATCH(H20,cfg_units,0)),""),""),""))</f>
        <v/>
      </c>
      <c r="Y20" s="96">
        <f>IF(AND(W20=1,ISNUMBER(I20)),1,0)</f>
        <v>0</v>
      </c>
      <c r="Z20" s="96">
        <f>IF(U20=1,INDEX('MTRs'!$AA$6:$AA$505,T20),0)</f>
        <v>0</v>
      </c>
      <c r="AA20" s="96">
        <f>IF(R20=0,0,COUNTIFS('RECEBIMENTOS'!$R$6:$R$1005,A20,'RECEBIMENTOS'!$Q$6:$Q$1005,1))</f>
        <v>0</v>
      </c>
      <c r="AB20" s="96">
        <f>IF(R20=0,0,COUNTIFS('RECEBIMENTOS'!$R$6:$R$1005,A20,'RECEBIMENTOS'!$Z$6:$Z$1005,1))</f>
        <v>0</v>
      </c>
      <c r="AC20" s="96">
        <f>IF(R20=0,0,COUNTIFS('RECEBIMENTOS'!$R$6:$R$1005,A20,'RECEBIMENTOS'!$Y$6:$Y$1005,1))</f>
        <v>0</v>
      </c>
      <c r="AD20" s="96">
        <f>IF(R20=0,0,COUNTIFS('VÍNCULOS_CDF'!$R$6:$R$1005,A20,'VÍNCULOS_CDF'!$N$6:$N$1005,1))</f>
        <v>0</v>
      </c>
      <c r="AE20" s="96">
        <f>IF(R20=0,0,COUNTIFS('VÍNCULOS_CDF'!$R$6:$R$1005,A20,'VÍNCULOS_CDF'!$AA$6:$AA$1005,1))</f>
        <v>0</v>
      </c>
      <c r="AF20" s="96">
        <f>IF(R20=0,0,COUNTIFS('VÍNCULOS_CDF'!$R$6:$R$1005,A20,'VÍNCULOS_CDF'!$Y$6:$Y$1005,1))</f>
        <v>0</v>
      </c>
      <c r="AG20" s="96" t="str">
        <f>IF(AND(R20=1,S20&lt;&gt;"",C20&lt;&gt;""),S20&amp;"|"&amp;C20&amp;"|"&amp;G20&amp;"|"&amp;H20,"")</f>
        <v/>
      </c>
      <c r="AH20" s="96">
        <f>IF(AG20="",0,IF(SUMPRODUCT(--($AG$6:$AG$1005=AG20))&gt;1,1,0))</f>
        <v>0</v>
      </c>
      <c r="AI20" s="96">
        <f>IF(R20=0,0,IF(OR(U20=0,V20=0,Y20=0,AND(AH20=1,K20&lt;&gt;"Sim")),1,0))</f>
        <v>0</v>
      </c>
      <c r="AJ20" s="96">
        <f>IF(AND(R20=1,AA20&gt;0,AB20=AA20),1,0)</f>
        <v>0</v>
      </c>
      <c r="AK20" s="96">
        <f>IF(R20=0,0,IF(AA20&gt;0,N(L20),IF(ISNUMBER(I20),I20,0)))</f>
        <v>0</v>
      </c>
      <c r="AL20" s="96">
        <f>IF(R20=0,0,IF(AND(K20&lt;&gt;"Sim",N(M20)&gt;AK20+cfg_tol),1,0))</f>
        <v>0</v>
      </c>
      <c r="AM20" s="96">
        <f>IF(R20=0,0,IF(K20="Sim",0,IF(OR(AND(AA20&gt;0,ISNUMBER(I20),ABS(I20-N(L20))&gt;cfg_tol),AL20=1),1,0)))</f>
        <v>0</v>
      </c>
      <c r="AN20" s="96">
        <f>IF(AND(R20=1,N(M20)&gt;0,OR(N(M20)&gt;=AK20-cfg_tol,K20="Sim")),1,0)</f>
        <v>0</v>
      </c>
      <c r="AO20" s="96">
        <f>IF(AND(AN20=1,AD20&gt;0,AE20=AD20,AL20=0),1,0)</f>
        <v>0</v>
      </c>
      <c r="AP20" s="96">
        <f>IF(U20=0,0,IF(AND(INDEX('MTRs'!$AX$6:$AX$505,T20)=1,Z20=0,OR(f_res="",f_res="(Todos)",C20=f_res)),1,0))</f>
        <v>0</v>
      </c>
      <c r="AQ20" s="97" t="str">
        <f>IF(U20=0,"",INDEX('MTRs'!$AZ$6:$AZ$505,T20))</f>
        <v/>
      </c>
      <c r="AR20" s="96">
        <f>IF(U20=0,0,IF(AND(INDEX('MTRs'!$BA$6:$BA$505,T20)=1,Z20=0),1,0))</f>
        <v>0</v>
      </c>
      <c r="AS20" s="96" t="str">
        <f>IF(R20=1,A20&amp;" | MTR "&amp;IF(U20=1,INDEX('MTRs'!$B$6:$B$505,T20)&amp;"","?")&amp;" | "&amp;IF(C20="","(sem resíduo)",C20),"")</f>
        <v/>
      </c>
      <c r="AT20" s="96" t="str">
        <f>IF(R20=1,COUNTIF($R$6:R20,1),"")</f>
        <v/>
      </c>
      <c r="AU20" s="96" t="str">
        <f>IF(U20=1,INDEX('MTRs'!$I$6:$I$505,T20)&amp;"","")</f>
        <v/>
      </c>
    </row>
    <row r="21">
      <c r="A21" s="89" t="inlineStr">
        <is>
          <t>IT-000016</t>
        </is>
      </c>
      <c r="B21" s="91" t="n"/>
      <c r="C21" s="91" t="n"/>
      <c r="D21" s="94" t="str">
        <f>IF(OR(R21=0,V21=0),"",INDEX('CAD_RESÍDUOS'!$E$6:$E$205,MATCH(C21,'CAD_RESÍDUOS'!$B$6:$B$205,0))&amp;"")</f>
        <v/>
      </c>
      <c r="E21" s="94" t="str">
        <f>IF(OR(R21=0,V21=0),"",INDEX('CAD_RESÍDUOS'!$C$6:$C$205,MATCH(C21,'CAD_RESÍDUOS'!$B$6:$B$205,0))&amp;"")</f>
        <v/>
      </c>
      <c r="F21" s="94" t="str">
        <f>IF(OR(R21=0,V21=0),"",INDEX('CAD_RESÍDUOS'!$G$6:$G$205,MATCH(C21,'CAD_RESÍDUOS'!$B$6:$B$205,0))&amp;"")</f>
        <v/>
      </c>
      <c r="G21" s="98" t="n"/>
      <c r="H21" s="91" t="n"/>
      <c r="I21" s="93" t="str">
        <f>IF(R21=0,"",IF(NOT(ISNUMBER(G21)),"",IF(ISNUMBER(X21),G21*X21,"UNIDADE A CONFERIR")))</f>
        <v/>
      </c>
      <c r="J21" s="91" t="n"/>
      <c r="K21" s="91" t="n"/>
      <c r="L21" s="93" t="str">
        <f>IF(R21=0,"",SUMIFS('RECEBIMENTOS'!$H$6:$H$1005,'RECEBIMENTOS'!$R$6:$R$1005,A21,'RECEBIMENTOS'!$X$6:$X$1005,1))</f>
        <v/>
      </c>
      <c r="M21" s="93" t="str">
        <f>IF(R21=0,"",SUMIFS('VÍNCULOS_CDF'!$H$6:$H$1005,'VÍNCULOS_CDF'!$R$6:$R$1005,A21,'VÍNCULOS_CDF'!$V$6:$V$1005,1))</f>
        <v/>
      </c>
      <c r="N21" s="99" t="str">
        <f>IF(OR(R21=0,AA21=0,NOT(ISNUMBER(I21))),"",I21-N(L21))</f>
        <v/>
      </c>
      <c r="O21" s="100" t="str">
        <f>IF(OR(R21=0,AK21&lt;=0),"",N(M21)/AK21)</f>
        <v/>
      </c>
      <c r="P21" s="94" t="str">
        <f>IF(R21=0,"",IF(S21="","Sem MTR associado",IF(U21=0,"MTR inexistente",IF(C21="","Resíduo não identificado",IF(V21=0,"Resíduo fora do cadastro",IF(W21=0,"Quantidade inválida",IF(H21="","Unidade não informada",IF(NOT(ISNUMBER(I21)),"Unidade a conferir",IF(AND(AH21=1,K21&lt;&gt;"Sim"),"Possível duplicidade",IF(Z21=1,"MTR cancelado",IF(AC21&gt;0,"Recebimento com alerta",IF(AA21=0,"Aguardando recebimento",IF(AB21&lt;AA21,"Recebimento a conferir",IF(AM21=1,"Quantidade a revisar",IF(AF21&gt;0,"Vínculo a revisar",IF(AD21=0,"Aguardando CDF",IF(AN21=0,"Vínculo de CDF parcial",IF(AE21&lt;AD21,"CDF a conferir","Documentação conferida"))))))))))))))))))</f>
        <v/>
      </c>
      <c r="Q21" s="93" t="str">
        <f>IF(OR(R21=0,AA21=0),"",MAX(0,N(L21)-N(M21)))</f>
        <v/>
      </c>
      <c r="R21" s="96">
        <f>IF(COUNTA(B21:C21,G21:H21,J21:K21)&gt;0,1,0)</f>
        <v>0</v>
      </c>
      <c r="S21" s="96" t="str">
        <f>IF(B21="","",TRIM(LEFT(B21,FIND(" |",B21&amp;" |")-1)))</f>
        <v/>
      </c>
      <c r="T21" s="96" t="str">
        <f>IF(S21="","",IFERROR(MATCH(S21,'MTRs'!$A$6:$A$505,0),""))</f>
        <v/>
      </c>
      <c r="U21" s="96">
        <f>IF(T21="",0,IF(INDEX('MTRs'!$Z$6:$Z$505,T21)=1,1,0))</f>
        <v>0</v>
      </c>
      <c r="V21" s="96">
        <f>IF(C21="",0,IF(ISNUMBER(MATCH(C21,'CAD_RESÍDUOS'!$B$6:$B$205,0)),1,0))</f>
        <v>0</v>
      </c>
      <c r="W21" s="96">
        <f>IF(AND(ISNUMBER(G21),G21&gt;0),1,0)</f>
        <v>0</v>
      </c>
      <c r="X21" s="96" t="str">
        <f>IF(H21="","",IFERROR(IF(ISNUMBER(INDEX(cfg_fac,MATCH(H21,cfg_units,0))),IF(INDEX(cfg_fac,MATCH(H21,cfg_units,0))&gt;0,INDEX(cfg_fac,MATCH(H21,cfg_units,0)),""),""),""))</f>
        <v/>
      </c>
      <c r="Y21" s="96">
        <f>IF(AND(W21=1,ISNUMBER(I21)),1,0)</f>
        <v>0</v>
      </c>
      <c r="Z21" s="96">
        <f>IF(U21=1,INDEX('MTRs'!$AA$6:$AA$505,T21),0)</f>
        <v>0</v>
      </c>
      <c r="AA21" s="96">
        <f>IF(R21=0,0,COUNTIFS('RECEBIMENTOS'!$R$6:$R$1005,A21,'RECEBIMENTOS'!$Q$6:$Q$1005,1))</f>
        <v>0</v>
      </c>
      <c r="AB21" s="96">
        <f>IF(R21=0,0,COUNTIFS('RECEBIMENTOS'!$R$6:$R$1005,A21,'RECEBIMENTOS'!$Z$6:$Z$1005,1))</f>
        <v>0</v>
      </c>
      <c r="AC21" s="96">
        <f>IF(R21=0,0,COUNTIFS('RECEBIMENTOS'!$R$6:$R$1005,A21,'RECEBIMENTOS'!$Y$6:$Y$1005,1))</f>
        <v>0</v>
      </c>
      <c r="AD21" s="96">
        <f>IF(R21=0,0,COUNTIFS('VÍNCULOS_CDF'!$R$6:$R$1005,A21,'VÍNCULOS_CDF'!$N$6:$N$1005,1))</f>
        <v>0</v>
      </c>
      <c r="AE21" s="96">
        <f>IF(R21=0,0,COUNTIFS('VÍNCULOS_CDF'!$R$6:$R$1005,A21,'VÍNCULOS_CDF'!$AA$6:$AA$1005,1))</f>
        <v>0</v>
      </c>
      <c r="AF21" s="96">
        <f>IF(R21=0,0,COUNTIFS('VÍNCULOS_CDF'!$R$6:$R$1005,A21,'VÍNCULOS_CDF'!$Y$6:$Y$1005,1))</f>
        <v>0</v>
      </c>
      <c r="AG21" s="96" t="str">
        <f>IF(AND(R21=1,S21&lt;&gt;"",C21&lt;&gt;""),S21&amp;"|"&amp;C21&amp;"|"&amp;G21&amp;"|"&amp;H21,"")</f>
        <v/>
      </c>
      <c r="AH21" s="96">
        <f>IF(AG21="",0,IF(SUMPRODUCT(--($AG$6:$AG$1005=AG21))&gt;1,1,0))</f>
        <v>0</v>
      </c>
      <c r="AI21" s="96">
        <f>IF(R21=0,0,IF(OR(U21=0,V21=0,Y21=0,AND(AH21=1,K21&lt;&gt;"Sim")),1,0))</f>
        <v>0</v>
      </c>
      <c r="AJ21" s="96">
        <f>IF(AND(R21=1,AA21&gt;0,AB21=AA21),1,0)</f>
        <v>0</v>
      </c>
      <c r="AK21" s="96">
        <f>IF(R21=0,0,IF(AA21&gt;0,N(L21),IF(ISNUMBER(I21),I21,0)))</f>
        <v>0</v>
      </c>
      <c r="AL21" s="96">
        <f>IF(R21=0,0,IF(AND(K21&lt;&gt;"Sim",N(M21)&gt;AK21+cfg_tol),1,0))</f>
        <v>0</v>
      </c>
      <c r="AM21" s="96">
        <f>IF(R21=0,0,IF(K21="Sim",0,IF(OR(AND(AA21&gt;0,ISNUMBER(I21),ABS(I21-N(L21))&gt;cfg_tol),AL21=1),1,0)))</f>
        <v>0</v>
      </c>
      <c r="AN21" s="96">
        <f>IF(AND(R21=1,N(M21)&gt;0,OR(N(M21)&gt;=AK21-cfg_tol,K21="Sim")),1,0)</f>
        <v>0</v>
      </c>
      <c r="AO21" s="96">
        <f>IF(AND(AN21=1,AD21&gt;0,AE21=AD21,AL21=0),1,0)</f>
        <v>0</v>
      </c>
      <c r="AP21" s="96">
        <f>IF(U21=0,0,IF(AND(INDEX('MTRs'!$AX$6:$AX$505,T21)=1,Z21=0,OR(f_res="",f_res="(Todos)",C21=f_res)),1,0))</f>
        <v>0</v>
      </c>
      <c r="AQ21" s="97" t="str">
        <f>IF(U21=0,"",INDEX('MTRs'!$AZ$6:$AZ$505,T21))</f>
        <v/>
      </c>
      <c r="AR21" s="96">
        <f>IF(U21=0,0,IF(AND(INDEX('MTRs'!$BA$6:$BA$505,T21)=1,Z21=0),1,0))</f>
        <v>0</v>
      </c>
      <c r="AS21" s="96" t="str">
        <f>IF(R21=1,A21&amp;" | MTR "&amp;IF(U21=1,INDEX('MTRs'!$B$6:$B$505,T21)&amp;"","?")&amp;" | "&amp;IF(C21="","(sem resíduo)",C21),"")</f>
        <v/>
      </c>
      <c r="AT21" s="96" t="str">
        <f>IF(R21=1,COUNTIF($R$6:R21,1),"")</f>
        <v/>
      </c>
      <c r="AU21" s="96" t="str">
        <f>IF(U21=1,INDEX('MTRs'!$I$6:$I$505,T21)&amp;"","")</f>
        <v/>
      </c>
    </row>
    <row r="22">
      <c r="A22" s="89" t="inlineStr">
        <is>
          <t>IT-000017</t>
        </is>
      </c>
      <c r="B22" s="91" t="n"/>
      <c r="C22" s="91" t="n"/>
      <c r="D22" s="94" t="str">
        <f>IF(OR(R22=0,V22=0),"",INDEX('CAD_RESÍDUOS'!$E$6:$E$205,MATCH(C22,'CAD_RESÍDUOS'!$B$6:$B$205,0))&amp;"")</f>
        <v/>
      </c>
      <c r="E22" s="94" t="str">
        <f>IF(OR(R22=0,V22=0),"",INDEX('CAD_RESÍDUOS'!$C$6:$C$205,MATCH(C22,'CAD_RESÍDUOS'!$B$6:$B$205,0))&amp;"")</f>
        <v/>
      </c>
      <c r="F22" s="94" t="str">
        <f>IF(OR(R22=0,V22=0),"",INDEX('CAD_RESÍDUOS'!$G$6:$G$205,MATCH(C22,'CAD_RESÍDUOS'!$B$6:$B$205,0))&amp;"")</f>
        <v/>
      </c>
      <c r="G22" s="98" t="n"/>
      <c r="H22" s="91" t="n"/>
      <c r="I22" s="93" t="str">
        <f>IF(R22=0,"",IF(NOT(ISNUMBER(G22)),"",IF(ISNUMBER(X22),G22*X22,"UNIDADE A CONFERIR")))</f>
        <v/>
      </c>
      <c r="J22" s="91" t="n"/>
      <c r="K22" s="91" t="n"/>
      <c r="L22" s="93" t="str">
        <f>IF(R22=0,"",SUMIFS('RECEBIMENTOS'!$H$6:$H$1005,'RECEBIMENTOS'!$R$6:$R$1005,A22,'RECEBIMENTOS'!$X$6:$X$1005,1))</f>
        <v/>
      </c>
      <c r="M22" s="93" t="str">
        <f>IF(R22=0,"",SUMIFS('VÍNCULOS_CDF'!$H$6:$H$1005,'VÍNCULOS_CDF'!$R$6:$R$1005,A22,'VÍNCULOS_CDF'!$V$6:$V$1005,1))</f>
        <v/>
      </c>
      <c r="N22" s="99" t="str">
        <f>IF(OR(R22=0,AA22=0,NOT(ISNUMBER(I22))),"",I22-N(L22))</f>
        <v/>
      </c>
      <c r="O22" s="100" t="str">
        <f>IF(OR(R22=0,AK22&lt;=0),"",N(M22)/AK22)</f>
        <v/>
      </c>
      <c r="P22" s="94" t="str">
        <f>IF(R22=0,"",IF(S22="","Sem MTR associado",IF(U22=0,"MTR inexistente",IF(C22="","Resíduo não identificado",IF(V22=0,"Resíduo fora do cadastro",IF(W22=0,"Quantidade inválida",IF(H22="","Unidade não informada",IF(NOT(ISNUMBER(I22)),"Unidade a conferir",IF(AND(AH22=1,K22&lt;&gt;"Sim"),"Possível duplicidade",IF(Z22=1,"MTR cancelado",IF(AC22&gt;0,"Recebimento com alerta",IF(AA22=0,"Aguardando recebimento",IF(AB22&lt;AA22,"Recebimento a conferir",IF(AM22=1,"Quantidade a revisar",IF(AF22&gt;0,"Vínculo a revisar",IF(AD22=0,"Aguardando CDF",IF(AN22=0,"Vínculo de CDF parcial",IF(AE22&lt;AD22,"CDF a conferir","Documentação conferida"))))))))))))))))))</f>
        <v/>
      </c>
      <c r="Q22" s="93" t="str">
        <f>IF(OR(R22=0,AA22=0),"",MAX(0,N(L22)-N(M22)))</f>
        <v/>
      </c>
      <c r="R22" s="96">
        <f>IF(COUNTA(B22:C22,G22:H22,J22:K22)&gt;0,1,0)</f>
        <v>0</v>
      </c>
      <c r="S22" s="96" t="str">
        <f>IF(B22="","",TRIM(LEFT(B22,FIND(" |",B22&amp;" |")-1)))</f>
        <v/>
      </c>
      <c r="T22" s="96" t="str">
        <f>IF(S22="","",IFERROR(MATCH(S22,'MTRs'!$A$6:$A$505,0),""))</f>
        <v/>
      </c>
      <c r="U22" s="96">
        <f>IF(T22="",0,IF(INDEX('MTRs'!$Z$6:$Z$505,T22)=1,1,0))</f>
        <v>0</v>
      </c>
      <c r="V22" s="96">
        <f>IF(C22="",0,IF(ISNUMBER(MATCH(C22,'CAD_RESÍDUOS'!$B$6:$B$205,0)),1,0))</f>
        <v>0</v>
      </c>
      <c r="W22" s="96">
        <f>IF(AND(ISNUMBER(G22),G22&gt;0),1,0)</f>
        <v>0</v>
      </c>
      <c r="X22" s="96" t="str">
        <f>IF(H22="","",IFERROR(IF(ISNUMBER(INDEX(cfg_fac,MATCH(H22,cfg_units,0))),IF(INDEX(cfg_fac,MATCH(H22,cfg_units,0))&gt;0,INDEX(cfg_fac,MATCH(H22,cfg_units,0)),""),""),""))</f>
        <v/>
      </c>
      <c r="Y22" s="96">
        <f>IF(AND(W22=1,ISNUMBER(I22)),1,0)</f>
        <v>0</v>
      </c>
      <c r="Z22" s="96">
        <f>IF(U22=1,INDEX('MTRs'!$AA$6:$AA$505,T22),0)</f>
        <v>0</v>
      </c>
      <c r="AA22" s="96">
        <f>IF(R22=0,0,COUNTIFS('RECEBIMENTOS'!$R$6:$R$1005,A22,'RECEBIMENTOS'!$Q$6:$Q$1005,1))</f>
        <v>0</v>
      </c>
      <c r="AB22" s="96">
        <f>IF(R22=0,0,COUNTIFS('RECEBIMENTOS'!$R$6:$R$1005,A22,'RECEBIMENTOS'!$Z$6:$Z$1005,1))</f>
        <v>0</v>
      </c>
      <c r="AC22" s="96">
        <f>IF(R22=0,0,COUNTIFS('RECEBIMENTOS'!$R$6:$R$1005,A22,'RECEBIMENTOS'!$Y$6:$Y$1005,1))</f>
        <v>0</v>
      </c>
      <c r="AD22" s="96">
        <f>IF(R22=0,0,COUNTIFS('VÍNCULOS_CDF'!$R$6:$R$1005,A22,'VÍNCULOS_CDF'!$N$6:$N$1005,1))</f>
        <v>0</v>
      </c>
      <c r="AE22" s="96">
        <f>IF(R22=0,0,COUNTIFS('VÍNCULOS_CDF'!$R$6:$R$1005,A22,'VÍNCULOS_CDF'!$AA$6:$AA$1005,1))</f>
        <v>0</v>
      </c>
      <c r="AF22" s="96">
        <f>IF(R22=0,0,COUNTIFS('VÍNCULOS_CDF'!$R$6:$R$1005,A22,'VÍNCULOS_CDF'!$Y$6:$Y$1005,1))</f>
        <v>0</v>
      </c>
      <c r="AG22" s="96" t="str">
        <f>IF(AND(R22=1,S22&lt;&gt;"",C22&lt;&gt;""),S22&amp;"|"&amp;C22&amp;"|"&amp;G22&amp;"|"&amp;H22,"")</f>
        <v/>
      </c>
      <c r="AH22" s="96">
        <f>IF(AG22="",0,IF(SUMPRODUCT(--($AG$6:$AG$1005=AG22))&gt;1,1,0))</f>
        <v>0</v>
      </c>
      <c r="AI22" s="96">
        <f>IF(R22=0,0,IF(OR(U22=0,V22=0,Y22=0,AND(AH22=1,K22&lt;&gt;"Sim")),1,0))</f>
        <v>0</v>
      </c>
      <c r="AJ22" s="96">
        <f>IF(AND(R22=1,AA22&gt;0,AB22=AA22),1,0)</f>
        <v>0</v>
      </c>
      <c r="AK22" s="96">
        <f>IF(R22=0,0,IF(AA22&gt;0,N(L22),IF(ISNUMBER(I22),I22,0)))</f>
        <v>0</v>
      </c>
      <c r="AL22" s="96">
        <f>IF(R22=0,0,IF(AND(K22&lt;&gt;"Sim",N(M22)&gt;AK22+cfg_tol),1,0))</f>
        <v>0</v>
      </c>
      <c r="AM22" s="96">
        <f>IF(R22=0,0,IF(K22="Sim",0,IF(OR(AND(AA22&gt;0,ISNUMBER(I22),ABS(I22-N(L22))&gt;cfg_tol),AL22=1),1,0)))</f>
        <v>0</v>
      </c>
      <c r="AN22" s="96">
        <f>IF(AND(R22=1,N(M22)&gt;0,OR(N(M22)&gt;=AK22-cfg_tol,K22="Sim")),1,0)</f>
        <v>0</v>
      </c>
      <c r="AO22" s="96">
        <f>IF(AND(AN22=1,AD22&gt;0,AE22=AD22,AL22=0),1,0)</f>
        <v>0</v>
      </c>
      <c r="AP22" s="96">
        <f>IF(U22=0,0,IF(AND(INDEX('MTRs'!$AX$6:$AX$505,T22)=1,Z22=0,OR(f_res="",f_res="(Todos)",C22=f_res)),1,0))</f>
        <v>0</v>
      </c>
      <c r="AQ22" s="97" t="str">
        <f>IF(U22=0,"",INDEX('MTRs'!$AZ$6:$AZ$505,T22))</f>
        <v/>
      </c>
      <c r="AR22" s="96">
        <f>IF(U22=0,0,IF(AND(INDEX('MTRs'!$BA$6:$BA$505,T22)=1,Z22=0),1,0))</f>
        <v>0</v>
      </c>
      <c r="AS22" s="96" t="str">
        <f>IF(R22=1,A22&amp;" | MTR "&amp;IF(U22=1,INDEX('MTRs'!$B$6:$B$505,T22)&amp;"","?")&amp;" | "&amp;IF(C22="","(sem resíduo)",C22),"")</f>
        <v/>
      </c>
      <c r="AT22" s="96" t="str">
        <f>IF(R22=1,COUNTIF($R$6:R22,1),"")</f>
        <v/>
      </c>
      <c r="AU22" s="96" t="str">
        <f>IF(U22=1,INDEX('MTRs'!$I$6:$I$505,T22)&amp;"","")</f>
        <v/>
      </c>
    </row>
    <row r="23">
      <c r="A23" s="89" t="inlineStr">
        <is>
          <t>IT-000018</t>
        </is>
      </c>
      <c r="B23" s="91" t="n"/>
      <c r="C23" s="91" t="n"/>
      <c r="D23" s="94" t="str">
        <f>IF(OR(R23=0,V23=0),"",INDEX('CAD_RESÍDUOS'!$E$6:$E$205,MATCH(C23,'CAD_RESÍDUOS'!$B$6:$B$205,0))&amp;"")</f>
        <v/>
      </c>
      <c r="E23" s="94" t="str">
        <f>IF(OR(R23=0,V23=0),"",INDEX('CAD_RESÍDUOS'!$C$6:$C$205,MATCH(C23,'CAD_RESÍDUOS'!$B$6:$B$205,0))&amp;"")</f>
        <v/>
      </c>
      <c r="F23" s="94" t="str">
        <f>IF(OR(R23=0,V23=0),"",INDEX('CAD_RESÍDUOS'!$G$6:$G$205,MATCH(C23,'CAD_RESÍDUOS'!$B$6:$B$205,0))&amp;"")</f>
        <v/>
      </c>
      <c r="G23" s="98" t="n"/>
      <c r="H23" s="91" t="n"/>
      <c r="I23" s="93" t="str">
        <f>IF(R23=0,"",IF(NOT(ISNUMBER(G23)),"",IF(ISNUMBER(X23),G23*X23,"UNIDADE A CONFERIR")))</f>
        <v/>
      </c>
      <c r="J23" s="91" t="n"/>
      <c r="K23" s="91" t="n"/>
      <c r="L23" s="93" t="str">
        <f>IF(R23=0,"",SUMIFS('RECEBIMENTOS'!$H$6:$H$1005,'RECEBIMENTOS'!$R$6:$R$1005,A23,'RECEBIMENTOS'!$X$6:$X$1005,1))</f>
        <v/>
      </c>
      <c r="M23" s="93" t="str">
        <f>IF(R23=0,"",SUMIFS('VÍNCULOS_CDF'!$H$6:$H$1005,'VÍNCULOS_CDF'!$R$6:$R$1005,A23,'VÍNCULOS_CDF'!$V$6:$V$1005,1))</f>
        <v/>
      </c>
      <c r="N23" s="99" t="str">
        <f>IF(OR(R23=0,AA23=0,NOT(ISNUMBER(I23))),"",I23-N(L23))</f>
        <v/>
      </c>
      <c r="O23" s="100" t="str">
        <f>IF(OR(R23=0,AK23&lt;=0),"",N(M23)/AK23)</f>
        <v/>
      </c>
      <c r="P23" s="94" t="str">
        <f>IF(R23=0,"",IF(S23="","Sem MTR associado",IF(U23=0,"MTR inexistente",IF(C23="","Resíduo não identificado",IF(V23=0,"Resíduo fora do cadastro",IF(W23=0,"Quantidade inválida",IF(H23="","Unidade não informada",IF(NOT(ISNUMBER(I23)),"Unidade a conferir",IF(AND(AH23=1,K23&lt;&gt;"Sim"),"Possível duplicidade",IF(Z23=1,"MTR cancelado",IF(AC23&gt;0,"Recebimento com alerta",IF(AA23=0,"Aguardando recebimento",IF(AB23&lt;AA23,"Recebimento a conferir",IF(AM23=1,"Quantidade a revisar",IF(AF23&gt;0,"Vínculo a revisar",IF(AD23=0,"Aguardando CDF",IF(AN23=0,"Vínculo de CDF parcial",IF(AE23&lt;AD23,"CDF a conferir","Documentação conferida"))))))))))))))))))</f>
        <v/>
      </c>
      <c r="Q23" s="93" t="str">
        <f>IF(OR(R23=0,AA23=0),"",MAX(0,N(L23)-N(M23)))</f>
        <v/>
      </c>
      <c r="R23" s="96">
        <f>IF(COUNTA(B23:C23,G23:H23,J23:K23)&gt;0,1,0)</f>
        <v>0</v>
      </c>
      <c r="S23" s="96" t="str">
        <f>IF(B23="","",TRIM(LEFT(B23,FIND(" |",B23&amp;" |")-1)))</f>
        <v/>
      </c>
      <c r="T23" s="96" t="str">
        <f>IF(S23="","",IFERROR(MATCH(S23,'MTRs'!$A$6:$A$505,0),""))</f>
        <v/>
      </c>
      <c r="U23" s="96">
        <f>IF(T23="",0,IF(INDEX('MTRs'!$Z$6:$Z$505,T23)=1,1,0))</f>
        <v>0</v>
      </c>
      <c r="V23" s="96">
        <f>IF(C23="",0,IF(ISNUMBER(MATCH(C23,'CAD_RESÍDUOS'!$B$6:$B$205,0)),1,0))</f>
        <v>0</v>
      </c>
      <c r="W23" s="96">
        <f>IF(AND(ISNUMBER(G23),G23&gt;0),1,0)</f>
        <v>0</v>
      </c>
      <c r="X23" s="96" t="str">
        <f>IF(H23="","",IFERROR(IF(ISNUMBER(INDEX(cfg_fac,MATCH(H23,cfg_units,0))),IF(INDEX(cfg_fac,MATCH(H23,cfg_units,0))&gt;0,INDEX(cfg_fac,MATCH(H23,cfg_units,0)),""),""),""))</f>
        <v/>
      </c>
      <c r="Y23" s="96">
        <f>IF(AND(W23=1,ISNUMBER(I23)),1,0)</f>
        <v>0</v>
      </c>
      <c r="Z23" s="96">
        <f>IF(U23=1,INDEX('MTRs'!$AA$6:$AA$505,T23),0)</f>
        <v>0</v>
      </c>
      <c r="AA23" s="96">
        <f>IF(R23=0,0,COUNTIFS('RECEBIMENTOS'!$R$6:$R$1005,A23,'RECEBIMENTOS'!$Q$6:$Q$1005,1))</f>
        <v>0</v>
      </c>
      <c r="AB23" s="96">
        <f>IF(R23=0,0,COUNTIFS('RECEBIMENTOS'!$R$6:$R$1005,A23,'RECEBIMENTOS'!$Z$6:$Z$1005,1))</f>
        <v>0</v>
      </c>
      <c r="AC23" s="96">
        <f>IF(R23=0,0,COUNTIFS('RECEBIMENTOS'!$R$6:$R$1005,A23,'RECEBIMENTOS'!$Y$6:$Y$1005,1))</f>
        <v>0</v>
      </c>
      <c r="AD23" s="96">
        <f>IF(R23=0,0,COUNTIFS('VÍNCULOS_CDF'!$R$6:$R$1005,A23,'VÍNCULOS_CDF'!$N$6:$N$1005,1))</f>
        <v>0</v>
      </c>
      <c r="AE23" s="96">
        <f>IF(R23=0,0,COUNTIFS('VÍNCULOS_CDF'!$R$6:$R$1005,A23,'VÍNCULOS_CDF'!$AA$6:$AA$1005,1))</f>
        <v>0</v>
      </c>
      <c r="AF23" s="96">
        <f>IF(R23=0,0,COUNTIFS('VÍNCULOS_CDF'!$R$6:$R$1005,A23,'VÍNCULOS_CDF'!$Y$6:$Y$1005,1))</f>
        <v>0</v>
      </c>
      <c r="AG23" s="96" t="str">
        <f>IF(AND(R23=1,S23&lt;&gt;"",C23&lt;&gt;""),S23&amp;"|"&amp;C23&amp;"|"&amp;G23&amp;"|"&amp;H23,"")</f>
        <v/>
      </c>
      <c r="AH23" s="96">
        <f>IF(AG23="",0,IF(SUMPRODUCT(--($AG$6:$AG$1005=AG23))&gt;1,1,0))</f>
        <v>0</v>
      </c>
      <c r="AI23" s="96">
        <f>IF(R23=0,0,IF(OR(U23=0,V23=0,Y23=0,AND(AH23=1,K23&lt;&gt;"Sim")),1,0))</f>
        <v>0</v>
      </c>
      <c r="AJ23" s="96">
        <f>IF(AND(R23=1,AA23&gt;0,AB23=AA23),1,0)</f>
        <v>0</v>
      </c>
      <c r="AK23" s="96">
        <f>IF(R23=0,0,IF(AA23&gt;0,N(L23),IF(ISNUMBER(I23),I23,0)))</f>
        <v>0</v>
      </c>
      <c r="AL23" s="96">
        <f>IF(R23=0,0,IF(AND(K23&lt;&gt;"Sim",N(M23)&gt;AK23+cfg_tol),1,0))</f>
        <v>0</v>
      </c>
      <c r="AM23" s="96">
        <f>IF(R23=0,0,IF(K23="Sim",0,IF(OR(AND(AA23&gt;0,ISNUMBER(I23),ABS(I23-N(L23))&gt;cfg_tol),AL23=1),1,0)))</f>
        <v>0</v>
      </c>
      <c r="AN23" s="96">
        <f>IF(AND(R23=1,N(M23)&gt;0,OR(N(M23)&gt;=AK23-cfg_tol,K23="Sim")),1,0)</f>
        <v>0</v>
      </c>
      <c r="AO23" s="96">
        <f>IF(AND(AN23=1,AD23&gt;0,AE23=AD23,AL23=0),1,0)</f>
        <v>0</v>
      </c>
      <c r="AP23" s="96">
        <f>IF(U23=0,0,IF(AND(INDEX('MTRs'!$AX$6:$AX$505,T23)=1,Z23=0,OR(f_res="",f_res="(Todos)",C23=f_res)),1,0))</f>
        <v>0</v>
      </c>
      <c r="AQ23" s="97" t="str">
        <f>IF(U23=0,"",INDEX('MTRs'!$AZ$6:$AZ$505,T23))</f>
        <v/>
      </c>
      <c r="AR23" s="96">
        <f>IF(U23=0,0,IF(AND(INDEX('MTRs'!$BA$6:$BA$505,T23)=1,Z23=0),1,0))</f>
        <v>0</v>
      </c>
      <c r="AS23" s="96" t="str">
        <f>IF(R23=1,A23&amp;" | MTR "&amp;IF(U23=1,INDEX('MTRs'!$B$6:$B$505,T23)&amp;"","?")&amp;" | "&amp;IF(C23="","(sem resíduo)",C23),"")</f>
        <v/>
      </c>
      <c r="AT23" s="96" t="str">
        <f>IF(R23=1,COUNTIF($R$6:R23,1),"")</f>
        <v/>
      </c>
      <c r="AU23" s="96" t="str">
        <f>IF(U23=1,INDEX('MTRs'!$I$6:$I$505,T23)&amp;"","")</f>
        <v/>
      </c>
    </row>
    <row r="24">
      <c r="A24" s="89" t="inlineStr">
        <is>
          <t>IT-000019</t>
        </is>
      </c>
      <c r="B24" s="91" t="n"/>
      <c r="C24" s="91" t="n"/>
      <c r="D24" s="94" t="str">
        <f>IF(OR(R24=0,V24=0),"",INDEX('CAD_RESÍDUOS'!$E$6:$E$205,MATCH(C24,'CAD_RESÍDUOS'!$B$6:$B$205,0))&amp;"")</f>
        <v/>
      </c>
      <c r="E24" s="94" t="str">
        <f>IF(OR(R24=0,V24=0),"",INDEX('CAD_RESÍDUOS'!$C$6:$C$205,MATCH(C24,'CAD_RESÍDUOS'!$B$6:$B$205,0))&amp;"")</f>
        <v/>
      </c>
      <c r="F24" s="94" t="str">
        <f>IF(OR(R24=0,V24=0),"",INDEX('CAD_RESÍDUOS'!$G$6:$G$205,MATCH(C24,'CAD_RESÍDUOS'!$B$6:$B$205,0))&amp;"")</f>
        <v/>
      </c>
      <c r="G24" s="98" t="n"/>
      <c r="H24" s="91" t="n"/>
      <c r="I24" s="93" t="str">
        <f>IF(R24=0,"",IF(NOT(ISNUMBER(G24)),"",IF(ISNUMBER(X24),G24*X24,"UNIDADE A CONFERIR")))</f>
        <v/>
      </c>
      <c r="J24" s="91" t="n"/>
      <c r="K24" s="91" t="n"/>
      <c r="L24" s="93" t="str">
        <f>IF(R24=0,"",SUMIFS('RECEBIMENTOS'!$H$6:$H$1005,'RECEBIMENTOS'!$R$6:$R$1005,A24,'RECEBIMENTOS'!$X$6:$X$1005,1))</f>
        <v/>
      </c>
      <c r="M24" s="93" t="str">
        <f>IF(R24=0,"",SUMIFS('VÍNCULOS_CDF'!$H$6:$H$1005,'VÍNCULOS_CDF'!$R$6:$R$1005,A24,'VÍNCULOS_CDF'!$V$6:$V$1005,1))</f>
        <v/>
      </c>
      <c r="N24" s="99" t="str">
        <f>IF(OR(R24=0,AA24=0,NOT(ISNUMBER(I24))),"",I24-N(L24))</f>
        <v/>
      </c>
      <c r="O24" s="100" t="str">
        <f>IF(OR(R24=0,AK24&lt;=0),"",N(M24)/AK24)</f>
        <v/>
      </c>
      <c r="P24" s="94" t="str">
        <f>IF(R24=0,"",IF(S24="","Sem MTR associado",IF(U24=0,"MTR inexistente",IF(C24="","Resíduo não identificado",IF(V24=0,"Resíduo fora do cadastro",IF(W24=0,"Quantidade inválida",IF(H24="","Unidade não informada",IF(NOT(ISNUMBER(I24)),"Unidade a conferir",IF(AND(AH24=1,K24&lt;&gt;"Sim"),"Possível duplicidade",IF(Z24=1,"MTR cancelado",IF(AC24&gt;0,"Recebimento com alerta",IF(AA24=0,"Aguardando recebimento",IF(AB24&lt;AA24,"Recebimento a conferir",IF(AM24=1,"Quantidade a revisar",IF(AF24&gt;0,"Vínculo a revisar",IF(AD24=0,"Aguardando CDF",IF(AN24=0,"Vínculo de CDF parcial",IF(AE24&lt;AD24,"CDF a conferir","Documentação conferida"))))))))))))))))))</f>
        <v/>
      </c>
      <c r="Q24" s="93" t="str">
        <f>IF(OR(R24=0,AA24=0),"",MAX(0,N(L24)-N(M24)))</f>
        <v/>
      </c>
      <c r="R24" s="96">
        <f>IF(COUNTA(B24:C24,G24:H24,J24:K24)&gt;0,1,0)</f>
        <v>0</v>
      </c>
      <c r="S24" s="96" t="str">
        <f>IF(B24="","",TRIM(LEFT(B24,FIND(" |",B24&amp;" |")-1)))</f>
        <v/>
      </c>
      <c r="T24" s="96" t="str">
        <f>IF(S24="","",IFERROR(MATCH(S24,'MTRs'!$A$6:$A$505,0),""))</f>
        <v/>
      </c>
      <c r="U24" s="96">
        <f>IF(T24="",0,IF(INDEX('MTRs'!$Z$6:$Z$505,T24)=1,1,0))</f>
        <v>0</v>
      </c>
      <c r="V24" s="96">
        <f>IF(C24="",0,IF(ISNUMBER(MATCH(C24,'CAD_RESÍDUOS'!$B$6:$B$205,0)),1,0))</f>
        <v>0</v>
      </c>
      <c r="W24" s="96">
        <f>IF(AND(ISNUMBER(G24),G24&gt;0),1,0)</f>
        <v>0</v>
      </c>
      <c r="X24" s="96" t="str">
        <f>IF(H24="","",IFERROR(IF(ISNUMBER(INDEX(cfg_fac,MATCH(H24,cfg_units,0))),IF(INDEX(cfg_fac,MATCH(H24,cfg_units,0))&gt;0,INDEX(cfg_fac,MATCH(H24,cfg_units,0)),""),""),""))</f>
        <v/>
      </c>
      <c r="Y24" s="96">
        <f>IF(AND(W24=1,ISNUMBER(I24)),1,0)</f>
        <v>0</v>
      </c>
      <c r="Z24" s="96">
        <f>IF(U24=1,INDEX('MTRs'!$AA$6:$AA$505,T24),0)</f>
        <v>0</v>
      </c>
      <c r="AA24" s="96">
        <f>IF(R24=0,0,COUNTIFS('RECEBIMENTOS'!$R$6:$R$1005,A24,'RECEBIMENTOS'!$Q$6:$Q$1005,1))</f>
        <v>0</v>
      </c>
      <c r="AB24" s="96">
        <f>IF(R24=0,0,COUNTIFS('RECEBIMENTOS'!$R$6:$R$1005,A24,'RECEBIMENTOS'!$Z$6:$Z$1005,1))</f>
        <v>0</v>
      </c>
      <c r="AC24" s="96">
        <f>IF(R24=0,0,COUNTIFS('RECEBIMENTOS'!$R$6:$R$1005,A24,'RECEBIMENTOS'!$Y$6:$Y$1005,1))</f>
        <v>0</v>
      </c>
      <c r="AD24" s="96">
        <f>IF(R24=0,0,COUNTIFS('VÍNCULOS_CDF'!$R$6:$R$1005,A24,'VÍNCULOS_CDF'!$N$6:$N$1005,1))</f>
        <v>0</v>
      </c>
      <c r="AE24" s="96">
        <f>IF(R24=0,0,COUNTIFS('VÍNCULOS_CDF'!$R$6:$R$1005,A24,'VÍNCULOS_CDF'!$AA$6:$AA$1005,1))</f>
        <v>0</v>
      </c>
      <c r="AF24" s="96">
        <f>IF(R24=0,0,COUNTIFS('VÍNCULOS_CDF'!$R$6:$R$1005,A24,'VÍNCULOS_CDF'!$Y$6:$Y$1005,1))</f>
        <v>0</v>
      </c>
      <c r="AG24" s="96" t="str">
        <f>IF(AND(R24=1,S24&lt;&gt;"",C24&lt;&gt;""),S24&amp;"|"&amp;C24&amp;"|"&amp;G24&amp;"|"&amp;H24,"")</f>
        <v/>
      </c>
      <c r="AH24" s="96">
        <f>IF(AG24="",0,IF(SUMPRODUCT(--($AG$6:$AG$1005=AG24))&gt;1,1,0))</f>
        <v>0</v>
      </c>
      <c r="AI24" s="96">
        <f>IF(R24=0,0,IF(OR(U24=0,V24=0,Y24=0,AND(AH24=1,K24&lt;&gt;"Sim")),1,0))</f>
        <v>0</v>
      </c>
      <c r="AJ24" s="96">
        <f>IF(AND(R24=1,AA24&gt;0,AB24=AA24),1,0)</f>
        <v>0</v>
      </c>
      <c r="AK24" s="96">
        <f>IF(R24=0,0,IF(AA24&gt;0,N(L24),IF(ISNUMBER(I24),I24,0)))</f>
        <v>0</v>
      </c>
      <c r="AL24" s="96">
        <f>IF(R24=0,0,IF(AND(K24&lt;&gt;"Sim",N(M24)&gt;AK24+cfg_tol),1,0))</f>
        <v>0</v>
      </c>
      <c r="AM24" s="96">
        <f>IF(R24=0,0,IF(K24="Sim",0,IF(OR(AND(AA24&gt;0,ISNUMBER(I24),ABS(I24-N(L24))&gt;cfg_tol),AL24=1),1,0)))</f>
        <v>0</v>
      </c>
      <c r="AN24" s="96">
        <f>IF(AND(R24=1,N(M24)&gt;0,OR(N(M24)&gt;=AK24-cfg_tol,K24="Sim")),1,0)</f>
        <v>0</v>
      </c>
      <c r="AO24" s="96">
        <f>IF(AND(AN24=1,AD24&gt;0,AE24=AD24,AL24=0),1,0)</f>
        <v>0</v>
      </c>
      <c r="AP24" s="96">
        <f>IF(U24=0,0,IF(AND(INDEX('MTRs'!$AX$6:$AX$505,T24)=1,Z24=0,OR(f_res="",f_res="(Todos)",C24=f_res)),1,0))</f>
        <v>0</v>
      </c>
      <c r="AQ24" s="97" t="str">
        <f>IF(U24=0,"",INDEX('MTRs'!$AZ$6:$AZ$505,T24))</f>
        <v/>
      </c>
      <c r="AR24" s="96">
        <f>IF(U24=0,0,IF(AND(INDEX('MTRs'!$BA$6:$BA$505,T24)=1,Z24=0),1,0))</f>
        <v>0</v>
      </c>
      <c r="AS24" s="96" t="str">
        <f>IF(R24=1,A24&amp;" | MTR "&amp;IF(U24=1,INDEX('MTRs'!$B$6:$B$505,T24)&amp;"","?")&amp;" | "&amp;IF(C24="","(sem resíduo)",C24),"")</f>
        <v/>
      </c>
      <c r="AT24" s="96" t="str">
        <f>IF(R24=1,COUNTIF($R$6:R24,1),"")</f>
        <v/>
      </c>
      <c r="AU24" s="96" t="str">
        <f>IF(U24=1,INDEX('MTRs'!$I$6:$I$505,T24)&amp;"","")</f>
        <v/>
      </c>
    </row>
    <row r="25">
      <c r="A25" s="89" t="inlineStr">
        <is>
          <t>IT-000020</t>
        </is>
      </c>
      <c r="B25" s="91" t="n"/>
      <c r="C25" s="91" t="n"/>
      <c r="D25" s="94" t="str">
        <f>IF(OR(R25=0,V25=0),"",INDEX('CAD_RESÍDUOS'!$E$6:$E$205,MATCH(C25,'CAD_RESÍDUOS'!$B$6:$B$205,0))&amp;"")</f>
        <v/>
      </c>
      <c r="E25" s="94" t="str">
        <f>IF(OR(R25=0,V25=0),"",INDEX('CAD_RESÍDUOS'!$C$6:$C$205,MATCH(C25,'CAD_RESÍDUOS'!$B$6:$B$205,0))&amp;"")</f>
        <v/>
      </c>
      <c r="F25" s="94" t="str">
        <f>IF(OR(R25=0,V25=0),"",INDEX('CAD_RESÍDUOS'!$G$6:$G$205,MATCH(C25,'CAD_RESÍDUOS'!$B$6:$B$205,0))&amp;"")</f>
        <v/>
      </c>
      <c r="G25" s="98" t="n"/>
      <c r="H25" s="91" t="n"/>
      <c r="I25" s="93" t="str">
        <f>IF(R25=0,"",IF(NOT(ISNUMBER(G25)),"",IF(ISNUMBER(X25),G25*X25,"UNIDADE A CONFERIR")))</f>
        <v/>
      </c>
      <c r="J25" s="91" t="n"/>
      <c r="K25" s="91" t="n"/>
      <c r="L25" s="93" t="str">
        <f>IF(R25=0,"",SUMIFS('RECEBIMENTOS'!$H$6:$H$1005,'RECEBIMENTOS'!$R$6:$R$1005,A25,'RECEBIMENTOS'!$X$6:$X$1005,1))</f>
        <v/>
      </c>
      <c r="M25" s="93" t="str">
        <f>IF(R25=0,"",SUMIFS('VÍNCULOS_CDF'!$H$6:$H$1005,'VÍNCULOS_CDF'!$R$6:$R$1005,A25,'VÍNCULOS_CDF'!$V$6:$V$1005,1))</f>
        <v/>
      </c>
      <c r="N25" s="99" t="str">
        <f>IF(OR(R25=0,AA25=0,NOT(ISNUMBER(I25))),"",I25-N(L25))</f>
        <v/>
      </c>
      <c r="O25" s="100" t="str">
        <f>IF(OR(R25=0,AK25&lt;=0),"",N(M25)/AK25)</f>
        <v/>
      </c>
      <c r="P25" s="94" t="str">
        <f>IF(R25=0,"",IF(S25="","Sem MTR associado",IF(U25=0,"MTR inexistente",IF(C25="","Resíduo não identificado",IF(V25=0,"Resíduo fora do cadastro",IF(W25=0,"Quantidade inválida",IF(H25="","Unidade não informada",IF(NOT(ISNUMBER(I25)),"Unidade a conferir",IF(AND(AH25=1,K25&lt;&gt;"Sim"),"Possível duplicidade",IF(Z25=1,"MTR cancelado",IF(AC25&gt;0,"Recebimento com alerta",IF(AA25=0,"Aguardando recebimento",IF(AB25&lt;AA25,"Recebimento a conferir",IF(AM25=1,"Quantidade a revisar",IF(AF25&gt;0,"Vínculo a revisar",IF(AD25=0,"Aguardando CDF",IF(AN25=0,"Vínculo de CDF parcial",IF(AE25&lt;AD25,"CDF a conferir","Documentação conferida"))))))))))))))))))</f>
        <v/>
      </c>
      <c r="Q25" s="93" t="str">
        <f>IF(OR(R25=0,AA25=0),"",MAX(0,N(L25)-N(M25)))</f>
        <v/>
      </c>
      <c r="R25" s="96">
        <f>IF(COUNTA(B25:C25,G25:H25,J25:K25)&gt;0,1,0)</f>
        <v>0</v>
      </c>
      <c r="S25" s="96" t="str">
        <f>IF(B25="","",TRIM(LEFT(B25,FIND(" |",B25&amp;" |")-1)))</f>
        <v/>
      </c>
      <c r="T25" s="96" t="str">
        <f>IF(S25="","",IFERROR(MATCH(S25,'MTRs'!$A$6:$A$505,0),""))</f>
        <v/>
      </c>
      <c r="U25" s="96">
        <f>IF(T25="",0,IF(INDEX('MTRs'!$Z$6:$Z$505,T25)=1,1,0))</f>
        <v>0</v>
      </c>
      <c r="V25" s="96">
        <f>IF(C25="",0,IF(ISNUMBER(MATCH(C25,'CAD_RESÍDUOS'!$B$6:$B$205,0)),1,0))</f>
        <v>0</v>
      </c>
      <c r="W25" s="96">
        <f>IF(AND(ISNUMBER(G25),G25&gt;0),1,0)</f>
        <v>0</v>
      </c>
      <c r="X25" s="96" t="str">
        <f>IF(H25="","",IFERROR(IF(ISNUMBER(INDEX(cfg_fac,MATCH(H25,cfg_units,0))),IF(INDEX(cfg_fac,MATCH(H25,cfg_units,0))&gt;0,INDEX(cfg_fac,MATCH(H25,cfg_units,0)),""),""),""))</f>
        <v/>
      </c>
      <c r="Y25" s="96">
        <f>IF(AND(W25=1,ISNUMBER(I25)),1,0)</f>
        <v>0</v>
      </c>
      <c r="Z25" s="96">
        <f>IF(U25=1,INDEX('MTRs'!$AA$6:$AA$505,T25),0)</f>
        <v>0</v>
      </c>
      <c r="AA25" s="96">
        <f>IF(R25=0,0,COUNTIFS('RECEBIMENTOS'!$R$6:$R$1005,A25,'RECEBIMENTOS'!$Q$6:$Q$1005,1))</f>
        <v>0</v>
      </c>
      <c r="AB25" s="96">
        <f>IF(R25=0,0,COUNTIFS('RECEBIMENTOS'!$R$6:$R$1005,A25,'RECEBIMENTOS'!$Z$6:$Z$1005,1))</f>
        <v>0</v>
      </c>
      <c r="AC25" s="96">
        <f>IF(R25=0,0,COUNTIFS('RECEBIMENTOS'!$R$6:$R$1005,A25,'RECEBIMENTOS'!$Y$6:$Y$1005,1))</f>
        <v>0</v>
      </c>
      <c r="AD25" s="96">
        <f>IF(R25=0,0,COUNTIFS('VÍNCULOS_CDF'!$R$6:$R$1005,A25,'VÍNCULOS_CDF'!$N$6:$N$1005,1))</f>
        <v>0</v>
      </c>
      <c r="AE25" s="96">
        <f>IF(R25=0,0,COUNTIFS('VÍNCULOS_CDF'!$R$6:$R$1005,A25,'VÍNCULOS_CDF'!$AA$6:$AA$1005,1))</f>
        <v>0</v>
      </c>
      <c r="AF25" s="96">
        <f>IF(R25=0,0,COUNTIFS('VÍNCULOS_CDF'!$R$6:$R$1005,A25,'VÍNCULOS_CDF'!$Y$6:$Y$1005,1))</f>
        <v>0</v>
      </c>
      <c r="AG25" s="96" t="str">
        <f>IF(AND(R25=1,S25&lt;&gt;"",C25&lt;&gt;""),S25&amp;"|"&amp;C25&amp;"|"&amp;G25&amp;"|"&amp;H25,"")</f>
        <v/>
      </c>
      <c r="AH25" s="96">
        <f>IF(AG25="",0,IF(SUMPRODUCT(--($AG$6:$AG$1005=AG25))&gt;1,1,0))</f>
        <v>0</v>
      </c>
      <c r="AI25" s="96">
        <f>IF(R25=0,0,IF(OR(U25=0,V25=0,Y25=0,AND(AH25=1,K25&lt;&gt;"Sim")),1,0))</f>
        <v>0</v>
      </c>
      <c r="AJ25" s="96">
        <f>IF(AND(R25=1,AA25&gt;0,AB25=AA25),1,0)</f>
        <v>0</v>
      </c>
      <c r="AK25" s="96">
        <f>IF(R25=0,0,IF(AA25&gt;0,N(L25),IF(ISNUMBER(I25),I25,0)))</f>
        <v>0</v>
      </c>
      <c r="AL25" s="96">
        <f>IF(R25=0,0,IF(AND(K25&lt;&gt;"Sim",N(M25)&gt;AK25+cfg_tol),1,0))</f>
        <v>0</v>
      </c>
      <c r="AM25" s="96">
        <f>IF(R25=0,0,IF(K25="Sim",0,IF(OR(AND(AA25&gt;0,ISNUMBER(I25),ABS(I25-N(L25))&gt;cfg_tol),AL25=1),1,0)))</f>
        <v>0</v>
      </c>
      <c r="AN25" s="96">
        <f>IF(AND(R25=1,N(M25)&gt;0,OR(N(M25)&gt;=AK25-cfg_tol,K25="Sim")),1,0)</f>
        <v>0</v>
      </c>
      <c r="AO25" s="96">
        <f>IF(AND(AN25=1,AD25&gt;0,AE25=AD25,AL25=0),1,0)</f>
        <v>0</v>
      </c>
      <c r="AP25" s="96">
        <f>IF(U25=0,0,IF(AND(INDEX('MTRs'!$AX$6:$AX$505,T25)=1,Z25=0,OR(f_res="",f_res="(Todos)",C25=f_res)),1,0))</f>
        <v>0</v>
      </c>
      <c r="AQ25" s="97" t="str">
        <f>IF(U25=0,"",INDEX('MTRs'!$AZ$6:$AZ$505,T25))</f>
        <v/>
      </c>
      <c r="AR25" s="96">
        <f>IF(U25=0,0,IF(AND(INDEX('MTRs'!$BA$6:$BA$505,T25)=1,Z25=0),1,0))</f>
        <v>0</v>
      </c>
      <c r="AS25" s="96" t="str">
        <f>IF(R25=1,A25&amp;" | MTR "&amp;IF(U25=1,INDEX('MTRs'!$B$6:$B$505,T25)&amp;"","?")&amp;" | "&amp;IF(C25="","(sem resíduo)",C25),"")</f>
        <v/>
      </c>
      <c r="AT25" s="96" t="str">
        <f>IF(R25=1,COUNTIF($R$6:R25,1),"")</f>
        <v/>
      </c>
      <c r="AU25" s="96" t="str">
        <f>IF(U25=1,INDEX('MTRs'!$I$6:$I$505,T25)&amp;"","")</f>
        <v/>
      </c>
    </row>
    <row r="26">
      <c r="A26" s="89" t="inlineStr">
        <is>
          <t>IT-000021</t>
        </is>
      </c>
      <c r="B26" s="91" t="n"/>
      <c r="C26" s="91" t="n"/>
      <c r="D26" s="94" t="str">
        <f>IF(OR(R26=0,V26=0),"",INDEX('CAD_RESÍDUOS'!$E$6:$E$205,MATCH(C26,'CAD_RESÍDUOS'!$B$6:$B$205,0))&amp;"")</f>
        <v/>
      </c>
      <c r="E26" s="94" t="str">
        <f>IF(OR(R26=0,V26=0),"",INDEX('CAD_RESÍDUOS'!$C$6:$C$205,MATCH(C26,'CAD_RESÍDUOS'!$B$6:$B$205,0))&amp;"")</f>
        <v/>
      </c>
      <c r="F26" s="94" t="str">
        <f>IF(OR(R26=0,V26=0),"",INDEX('CAD_RESÍDUOS'!$G$6:$G$205,MATCH(C26,'CAD_RESÍDUOS'!$B$6:$B$205,0))&amp;"")</f>
        <v/>
      </c>
      <c r="G26" s="98" t="n"/>
      <c r="H26" s="91" t="n"/>
      <c r="I26" s="93" t="str">
        <f>IF(R26=0,"",IF(NOT(ISNUMBER(G26)),"",IF(ISNUMBER(X26),G26*X26,"UNIDADE A CONFERIR")))</f>
        <v/>
      </c>
      <c r="J26" s="91" t="n"/>
      <c r="K26" s="91" t="n"/>
      <c r="L26" s="93" t="str">
        <f>IF(R26=0,"",SUMIFS('RECEBIMENTOS'!$H$6:$H$1005,'RECEBIMENTOS'!$R$6:$R$1005,A26,'RECEBIMENTOS'!$X$6:$X$1005,1))</f>
        <v/>
      </c>
      <c r="M26" s="93" t="str">
        <f>IF(R26=0,"",SUMIFS('VÍNCULOS_CDF'!$H$6:$H$1005,'VÍNCULOS_CDF'!$R$6:$R$1005,A26,'VÍNCULOS_CDF'!$V$6:$V$1005,1))</f>
        <v/>
      </c>
      <c r="N26" s="99" t="str">
        <f>IF(OR(R26=0,AA26=0,NOT(ISNUMBER(I26))),"",I26-N(L26))</f>
        <v/>
      </c>
      <c r="O26" s="100" t="str">
        <f>IF(OR(R26=0,AK26&lt;=0),"",N(M26)/AK26)</f>
        <v/>
      </c>
      <c r="P26" s="94" t="str">
        <f>IF(R26=0,"",IF(S26="","Sem MTR associado",IF(U26=0,"MTR inexistente",IF(C26="","Resíduo não identificado",IF(V26=0,"Resíduo fora do cadastro",IF(W26=0,"Quantidade inválida",IF(H26="","Unidade não informada",IF(NOT(ISNUMBER(I26)),"Unidade a conferir",IF(AND(AH26=1,K26&lt;&gt;"Sim"),"Possível duplicidade",IF(Z26=1,"MTR cancelado",IF(AC26&gt;0,"Recebimento com alerta",IF(AA26=0,"Aguardando recebimento",IF(AB26&lt;AA26,"Recebimento a conferir",IF(AM26=1,"Quantidade a revisar",IF(AF26&gt;0,"Vínculo a revisar",IF(AD26=0,"Aguardando CDF",IF(AN26=0,"Vínculo de CDF parcial",IF(AE26&lt;AD26,"CDF a conferir","Documentação conferida"))))))))))))))))))</f>
        <v/>
      </c>
      <c r="Q26" s="93" t="str">
        <f>IF(OR(R26=0,AA26=0),"",MAX(0,N(L26)-N(M26)))</f>
        <v/>
      </c>
      <c r="R26" s="96">
        <f>IF(COUNTA(B26:C26,G26:H26,J26:K26)&gt;0,1,0)</f>
        <v>0</v>
      </c>
      <c r="S26" s="96" t="str">
        <f>IF(B26="","",TRIM(LEFT(B26,FIND(" |",B26&amp;" |")-1)))</f>
        <v/>
      </c>
      <c r="T26" s="96" t="str">
        <f>IF(S26="","",IFERROR(MATCH(S26,'MTRs'!$A$6:$A$505,0),""))</f>
        <v/>
      </c>
      <c r="U26" s="96">
        <f>IF(T26="",0,IF(INDEX('MTRs'!$Z$6:$Z$505,T26)=1,1,0))</f>
        <v>0</v>
      </c>
      <c r="V26" s="96">
        <f>IF(C26="",0,IF(ISNUMBER(MATCH(C26,'CAD_RESÍDUOS'!$B$6:$B$205,0)),1,0))</f>
        <v>0</v>
      </c>
      <c r="W26" s="96">
        <f>IF(AND(ISNUMBER(G26),G26&gt;0),1,0)</f>
        <v>0</v>
      </c>
      <c r="X26" s="96" t="str">
        <f>IF(H26="","",IFERROR(IF(ISNUMBER(INDEX(cfg_fac,MATCH(H26,cfg_units,0))),IF(INDEX(cfg_fac,MATCH(H26,cfg_units,0))&gt;0,INDEX(cfg_fac,MATCH(H26,cfg_units,0)),""),""),""))</f>
        <v/>
      </c>
      <c r="Y26" s="96">
        <f>IF(AND(W26=1,ISNUMBER(I26)),1,0)</f>
        <v>0</v>
      </c>
      <c r="Z26" s="96">
        <f>IF(U26=1,INDEX('MTRs'!$AA$6:$AA$505,T26),0)</f>
        <v>0</v>
      </c>
      <c r="AA26" s="96">
        <f>IF(R26=0,0,COUNTIFS('RECEBIMENTOS'!$R$6:$R$1005,A26,'RECEBIMENTOS'!$Q$6:$Q$1005,1))</f>
        <v>0</v>
      </c>
      <c r="AB26" s="96">
        <f>IF(R26=0,0,COUNTIFS('RECEBIMENTOS'!$R$6:$R$1005,A26,'RECEBIMENTOS'!$Z$6:$Z$1005,1))</f>
        <v>0</v>
      </c>
      <c r="AC26" s="96">
        <f>IF(R26=0,0,COUNTIFS('RECEBIMENTOS'!$R$6:$R$1005,A26,'RECEBIMENTOS'!$Y$6:$Y$1005,1))</f>
        <v>0</v>
      </c>
      <c r="AD26" s="96">
        <f>IF(R26=0,0,COUNTIFS('VÍNCULOS_CDF'!$R$6:$R$1005,A26,'VÍNCULOS_CDF'!$N$6:$N$1005,1))</f>
        <v>0</v>
      </c>
      <c r="AE26" s="96">
        <f>IF(R26=0,0,COUNTIFS('VÍNCULOS_CDF'!$R$6:$R$1005,A26,'VÍNCULOS_CDF'!$AA$6:$AA$1005,1))</f>
        <v>0</v>
      </c>
      <c r="AF26" s="96">
        <f>IF(R26=0,0,COUNTIFS('VÍNCULOS_CDF'!$R$6:$R$1005,A26,'VÍNCULOS_CDF'!$Y$6:$Y$1005,1))</f>
        <v>0</v>
      </c>
      <c r="AG26" s="96" t="str">
        <f>IF(AND(R26=1,S26&lt;&gt;"",C26&lt;&gt;""),S26&amp;"|"&amp;C26&amp;"|"&amp;G26&amp;"|"&amp;H26,"")</f>
        <v/>
      </c>
      <c r="AH26" s="96">
        <f>IF(AG26="",0,IF(SUMPRODUCT(--($AG$6:$AG$1005=AG26))&gt;1,1,0))</f>
        <v>0</v>
      </c>
      <c r="AI26" s="96">
        <f>IF(R26=0,0,IF(OR(U26=0,V26=0,Y26=0,AND(AH26=1,K26&lt;&gt;"Sim")),1,0))</f>
        <v>0</v>
      </c>
      <c r="AJ26" s="96">
        <f>IF(AND(R26=1,AA26&gt;0,AB26=AA26),1,0)</f>
        <v>0</v>
      </c>
      <c r="AK26" s="96">
        <f>IF(R26=0,0,IF(AA26&gt;0,N(L26),IF(ISNUMBER(I26),I26,0)))</f>
        <v>0</v>
      </c>
      <c r="AL26" s="96">
        <f>IF(R26=0,0,IF(AND(K26&lt;&gt;"Sim",N(M26)&gt;AK26+cfg_tol),1,0))</f>
        <v>0</v>
      </c>
      <c r="AM26" s="96">
        <f>IF(R26=0,0,IF(K26="Sim",0,IF(OR(AND(AA26&gt;0,ISNUMBER(I26),ABS(I26-N(L26))&gt;cfg_tol),AL26=1),1,0)))</f>
        <v>0</v>
      </c>
      <c r="AN26" s="96">
        <f>IF(AND(R26=1,N(M26)&gt;0,OR(N(M26)&gt;=AK26-cfg_tol,K26="Sim")),1,0)</f>
        <v>0</v>
      </c>
      <c r="AO26" s="96">
        <f>IF(AND(AN26=1,AD26&gt;0,AE26=AD26,AL26=0),1,0)</f>
        <v>0</v>
      </c>
      <c r="AP26" s="96">
        <f>IF(U26=0,0,IF(AND(INDEX('MTRs'!$AX$6:$AX$505,T26)=1,Z26=0,OR(f_res="",f_res="(Todos)",C26=f_res)),1,0))</f>
        <v>0</v>
      </c>
      <c r="AQ26" s="97" t="str">
        <f>IF(U26=0,"",INDEX('MTRs'!$AZ$6:$AZ$505,T26))</f>
        <v/>
      </c>
      <c r="AR26" s="96">
        <f>IF(U26=0,0,IF(AND(INDEX('MTRs'!$BA$6:$BA$505,T26)=1,Z26=0),1,0))</f>
        <v>0</v>
      </c>
      <c r="AS26" s="96" t="str">
        <f>IF(R26=1,A26&amp;" | MTR "&amp;IF(U26=1,INDEX('MTRs'!$B$6:$B$505,T26)&amp;"","?")&amp;" | "&amp;IF(C26="","(sem resíduo)",C26),"")</f>
        <v/>
      </c>
      <c r="AT26" s="96" t="str">
        <f>IF(R26=1,COUNTIF($R$6:R26,1),"")</f>
        <v/>
      </c>
      <c r="AU26" s="96" t="str">
        <f>IF(U26=1,INDEX('MTRs'!$I$6:$I$505,T26)&amp;"","")</f>
        <v/>
      </c>
    </row>
    <row r="27">
      <c r="A27" s="89" t="inlineStr">
        <is>
          <t>IT-000022</t>
        </is>
      </c>
      <c r="B27" s="91" t="n"/>
      <c r="C27" s="91" t="n"/>
      <c r="D27" s="94" t="str">
        <f>IF(OR(R27=0,V27=0),"",INDEX('CAD_RESÍDUOS'!$E$6:$E$205,MATCH(C27,'CAD_RESÍDUOS'!$B$6:$B$205,0))&amp;"")</f>
        <v/>
      </c>
      <c r="E27" s="94" t="str">
        <f>IF(OR(R27=0,V27=0),"",INDEX('CAD_RESÍDUOS'!$C$6:$C$205,MATCH(C27,'CAD_RESÍDUOS'!$B$6:$B$205,0))&amp;"")</f>
        <v/>
      </c>
      <c r="F27" s="94" t="str">
        <f>IF(OR(R27=0,V27=0),"",INDEX('CAD_RESÍDUOS'!$G$6:$G$205,MATCH(C27,'CAD_RESÍDUOS'!$B$6:$B$205,0))&amp;"")</f>
        <v/>
      </c>
      <c r="G27" s="98" t="n"/>
      <c r="H27" s="91" t="n"/>
      <c r="I27" s="93" t="str">
        <f>IF(R27=0,"",IF(NOT(ISNUMBER(G27)),"",IF(ISNUMBER(X27),G27*X27,"UNIDADE A CONFERIR")))</f>
        <v/>
      </c>
      <c r="J27" s="91" t="n"/>
      <c r="K27" s="91" t="n"/>
      <c r="L27" s="93" t="str">
        <f>IF(R27=0,"",SUMIFS('RECEBIMENTOS'!$H$6:$H$1005,'RECEBIMENTOS'!$R$6:$R$1005,A27,'RECEBIMENTOS'!$X$6:$X$1005,1))</f>
        <v/>
      </c>
      <c r="M27" s="93" t="str">
        <f>IF(R27=0,"",SUMIFS('VÍNCULOS_CDF'!$H$6:$H$1005,'VÍNCULOS_CDF'!$R$6:$R$1005,A27,'VÍNCULOS_CDF'!$V$6:$V$1005,1))</f>
        <v/>
      </c>
      <c r="N27" s="99" t="str">
        <f>IF(OR(R27=0,AA27=0,NOT(ISNUMBER(I27))),"",I27-N(L27))</f>
        <v/>
      </c>
      <c r="O27" s="100" t="str">
        <f>IF(OR(R27=0,AK27&lt;=0),"",N(M27)/AK27)</f>
        <v/>
      </c>
      <c r="P27" s="94" t="str">
        <f>IF(R27=0,"",IF(S27="","Sem MTR associado",IF(U27=0,"MTR inexistente",IF(C27="","Resíduo não identificado",IF(V27=0,"Resíduo fora do cadastro",IF(W27=0,"Quantidade inválida",IF(H27="","Unidade não informada",IF(NOT(ISNUMBER(I27)),"Unidade a conferir",IF(AND(AH27=1,K27&lt;&gt;"Sim"),"Possível duplicidade",IF(Z27=1,"MTR cancelado",IF(AC27&gt;0,"Recebimento com alerta",IF(AA27=0,"Aguardando recebimento",IF(AB27&lt;AA27,"Recebimento a conferir",IF(AM27=1,"Quantidade a revisar",IF(AF27&gt;0,"Vínculo a revisar",IF(AD27=0,"Aguardando CDF",IF(AN27=0,"Vínculo de CDF parcial",IF(AE27&lt;AD27,"CDF a conferir","Documentação conferida"))))))))))))))))))</f>
        <v/>
      </c>
      <c r="Q27" s="93" t="str">
        <f>IF(OR(R27=0,AA27=0),"",MAX(0,N(L27)-N(M27)))</f>
        <v/>
      </c>
      <c r="R27" s="96">
        <f>IF(COUNTA(B27:C27,G27:H27,J27:K27)&gt;0,1,0)</f>
        <v>0</v>
      </c>
      <c r="S27" s="96" t="str">
        <f>IF(B27="","",TRIM(LEFT(B27,FIND(" |",B27&amp;" |")-1)))</f>
        <v/>
      </c>
      <c r="T27" s="96" t="str">
        <f>IF(S27="","",IFERROR(MATCH(S27,'MTRs'!$A$6:$A$505,0),""))</f>
        <v/>
      </c>
      <c r="U27" s="96">
        <f>IF(T27="",0,IF(INDEX('MTRs'!$Z$6:$Z$505,T27)=1,1,0))</f>
        <v>0</v>
      </c>
      <c r="V27" s="96">
        <f>IF(C27="",0,IF(ISNUMBER(MATCH(C27,'CAD_RESÍDUOS'!$B$6:$B$205,0)),1,0))</f>
        <v>0</v>
      </c>
      <c r="W27" s="96">
        <f>IF(AND(ISNUMBER(G27),G27&gt;0),1,0)</f>
        <v>0</v>
      </c>
      <c r="X27" s="96" t="str">
        <f>IF(H27="","",IFERROR(IF(ISNUMBER(INDEX(cfg_fac,MATCH(H27,cfg_units,0))),IF(INDEX(cfg_fac,MATCH(H27,cfg_units,0))&gt;0,INDEX(cfg_fac,MATCH(H27,cfg_units,0)),""),""),""))</f>
        <v/>
      </c>
      <c r="Y27" s="96">
        <f>IF(AND(W27=1,ISNUMBER(I27)),1,0)</f>
        <v>0</v>
      </c>
      <c r="Z27" s="96">
        <f>IF(U27=1,INDEX('MTRs'!$AA$6:$AA$505,T27),0)</f>
        <v>0</v>
      </c>
      <c r="AA27" s="96">
        <f>IF(R27=0,0,COUNTIFS('RECEBIMENTOS'!$R$6:$R$1005,A27,'RECEBIMENTOS'!$Q$6:$Q$1005,1))</f>
        <v>0</v>
      </c>
      <c r="AB27" s="96">
        <f>IF(R27=0,0,COUNTIFS('RECEBIMENTOS'!$R$6:$R$1005,A27,'RECEBIMENTOS'!$Z$6:$Z$1005,1))</f>
        <v>0</v>
      </c>
      <c r="AC27" s="96">
        <f>IF(R27=0,0,COUNTIFS('RECEBIMENTOS'!$R$6:$R$1005,A27,'RECEBIMENTOS'!$Y$6:$Y$1005,1))</f>
        <v>0</v>
      </c>
      <c r="AD27" s="96">
        <f>IF(R27=0,0,COUNTIFS('VÍNCULOS_CDF'!$R$6:$R$1005,A27,'VÍNCULOS_CDF'!$N$6:$N$1005,1))</f>
        <v>0</v>
      </c>
      <c r="AE27" s="96">
        <f>IF(R27=0,0,COUNTIFS('VÍNCULOS_CDF'!$R$6:$R$1005,A27,'VÍNCULOS_CDF'!$AA$6:$AA$1005,1))</f>
        <v>0</v>
      </c>
      <c r="AF27" s="96">
        <f>IF(R27=0,0,COUNTIFS('VÍNCULOS_CDF'!$R$6:$R$1005,A27,'VÍNCULOS_CDF'!$Y$6:$Y$1005,1))</f>
        <v>0</v>
      </c>
      <c r="AG27" s="96" t="str">
        <f>IF(AND(R27=1,S27&lt;&gt;"",C27&lt;&gt;""),S27&amp;"|"&amp;C27&amp;"|"&amp;G27&amp;"|"&amp;H27,"")</f>
        <v/>
      </c>
      <c r="AH27" s="96">
        <f>IF(AG27="",0,IF(SUMPRODUCT(--($AG$6:$AG$1005=AG27))&gt;1,1,0))</f>
        <v>0</v>
      </c>
      <c r="AI27" s="96">
        <f>IF(R27=0,0,IF(OR(U27=0,V27=0,Y27=0,AND(AH27=1,K27&lt;&gt;"Sim")),1,0))</f>
        <v>0</v>
      </c>
      <c r="AJ27" s="96">
        <f>IF(AND(R27=1,AA27&gt;0,AB27=AA27),1,0)</f>
        <v>0</v>
      </c>
      <c r="AK27" s="96">
        <f>IF(R27=0,0,IF(AA27&gt;0,N(L27),IF(ISNUMBER(I27),I27,0)))</f>
        <v>0</v>
      </c>
      <c r="AL27" s="96">
        <f>IF(R27=0,0,IF(AND(K27&lt;&gt;"Sim",N(M27)&gt;AK27+cfg_tol),1,0))</f>
        <v>0</v>
      </c>
      <c r="AM27" s="96">
        <f>IF(R27=0,0,IF(K27="Sim",0,IF(OR(AND(AA27&gt;0,ISNUMBER(I27),ABS(I27-N(L27))&gt;cfg_tol),AL27=1),1,0)))</f>
        <v>0</v>
      </c>
      <c r="AN27" s="96">
        <f>IF(AND(R27=1,N(M27)&gt;0,OR(N(M27)&gt;=AK27-cfg_tol,K27="Sim")),1,0)</f>
        <v>0</v>
      </c>
      <c r="AO27" s="96">
        <f>IF(AND(AN27=1,AD27&gt;0,AE27=AD27,AL27=0),1,0)</f>
        <v>0</v>
      </c>
      <c r="AP27" s="96">
        <f>IF(U27=0,0,IF(AND(INDEX('MTRs'!$AX$6:$AX$505,T27)=1,Z27=0,OR(f_res="",f_res="(Todos)",C27=f_res)),1,0))</f>
        <v>0</v>
      </c>
      <c r="AQ27" s="97" t="str">
        <f>IF(U27=0,"",INDEX('MTRs'!$AZ$6:$AZ$505,T27))</f>
        <v/>
      </c>
      <c r="AR27" s="96">
        <f>IF(U27=0,0,IF(AND(INDEX('MTRs'!$BA$6:$BA$505,T27)=1,Z27=0),1,0))</f>
        <v>0</v>
      </c>
      <c r="AS27" s="96" t="str">
        <f>IF(R27=1,A27&amp;" | MTR "&amp;IF(U27=1,INDEX('MTRs'!$B$6:$B$505,T27)&amp;"","?")&amp;" | "&amp;IF(C27="","(sem resíduo)",C27),"")</f>
        <v/>
      </c>
      <c r="AT27" s="96" t="str">
        <f>IF(R27=1,COUNTIF($R$6:R27,1),"")</f>
        <v/>
      </c>
      <c r="AU27" s="96" t="str">
        <f>IF(U27=1,INDEX('MTRs'!$I$6:$I$505,T27)&amp;"","")</f>
        <v/>
      </c>
    </row>
    <row r="28">
      <c r="A28" s="89" t="inlineStr">
        <is>
          <t>IT-000023</t>
        </is>
      </c>
      <c r="B28" s="91" t="n"/>
      <c r="C28" s="91" t="n"/>
      <c r="D28" s="94" t="str">
        <f>IF(OR(R28=0,V28=0),"",INDEX('CAD_RESÍDUOS'!$E$6:$E$205,MATCH(C28,'CAD_RESÍDUOS'!$B$6:$B$205,0))&amp;"")</f>
        <v/>
      </c>
      <c r="E28" s="94" t="str">
        <f>IF(OR(R28=0,V28=0),"",INDEX('CAD_RESÍDUOS'!$C$6:$C$205,MATCH(C28,'CAD_RESÍDUOS'!$B$6:$B$205,0))&amp;"")</f>
        <v/>
      </c>
      <c r="F28" s="94" t="str">
        <f>IF(OR(R28=0,V28=0),"",INDEX('CAD_RESÍDUOS'!$G$6:$G$205,MATCH(C28,'CAD_RESÍDUOS'!$B$6:$B$205,0))&amp;"")</f>
        <v/>
      </c>
      <c r="G28" s="98" t="n"/>
      <c r="H28" s="91" t="n"/>
      <c r="I28" s="93" t="str">
        <f>IF(R28=0,"",IF(NOT(ISNUMBER(G28)),"",IF(ISNUMBER(X28),G28*X28,"UNIDADE A CONFERIR")))</f>
        <v/>
      </c>
      <c r="J28" s="91" t="n"/>
      <c r="K28" s="91" t="n"/>
      <c r="L28" s="93" t="str">
        <f>IF(R28=0,"",SUMIFS('RECEBIMENTOS'!$H$6:$H$1005,'RECEBIMENTOS'!$R$6:$R$1005,A28,'RECEBIMENTOS'!$X$6:$X$1005,1))</f>
        <v/>
      </c>
      <c r="M28" s="93" t="str">
        <f>IF(R28=0,"",SUMIFS('VÍNCULOS_CDF'!$H$6:$H$1005,'VÍNCULOS_CDF'!$R$6:$R$1005,A28,'VÍNCULOS_CDF'!$V$6:$V$1005,1))</f>
        <v/>
      </c>
      <c r="N28" s="99" t="str">
        <f>IF(OR(R28=0,AA28=0,NOT(ISNUMBER(I28))),"",I28-N(L28))</f>
        <v/>
      </c>
      <c r="O28" s="100" t="str">
        <f>IF(OR(R28=0,AK28&lt;=0),"",N(M28)/AK28)</f>
        <v/>
      </c>
      <c r="P28" s="94" t="str">
        <f>IF(R28=0,"",IF(S28="","Sem MTR associado",IF(U28=0,"MTR inexistente",IF(C28="","Resíduo não identificado",IF(V28=0,"Resíduo fora do cadastro",IF(W28=0,"Quantidade inválida",IF(H28="","Unidade não informada",IF(NOT(ISNUMBER(I28)),"Unidade a conferir",IF(AND(AH28=1,K28&lt;&gt;"Sim"),"Possível duplicidade",IF(Z28=1,"MTR cancelado",IF(AC28&gt;0,"Recebimento com alerta",IF(AA28=0,"Aguardando recebimento",IF(AB28&lt;AA28,"Recebimento a conferir",IF(AM28=1,"Quantidade a revisar",IF(AF28&gt;0,"Vínculo a revisar",IF(AD28=0,"Aguardando CDF",IF(AN28=0,"Vínculo de CDF parcial",IF(AE28&lt;AD28,"CDF a conferir","Documentação conferida"))))))))))))))))))</f>
        <v/>
      </c>
      <c r="Q28" s="93" t="str">
        <f>IF(OR(R28=0,AA28=0),"",MAX(0,N(L28)-N(M28)))</f>
        <v/>
      </c>
      <c r="R28" s="96">
        <f>IF(COUNTA(B28:C28,G28:H28,J28:K28)&gt;0,1,0)</f>
        <v>0</v>
      </c>
      <c r="S28" s="96" t="str">
        <f>IF(B28="","",TRIM(LEFT(B28,FIND(" |",B28&amp;" |")-1)))</f>
        <v/>
      </c>
      <c r="T28" s="96" t="str">
        <f>IF(S28="","",IFERROR(MATCH(S28,'MTRs'!$A$6:$A$505,0),""))</f>
        <v/>
      </c>
      <c r="U28" s="96">
        <f>IF(T28="",0,IF(INDEX('MTRs'!$Z$6:$Z$505,T28)=1,1,0))</f>
        <v>0</v>
      </c>
      <c r="V28" s="96">
        <f>IF(C28="",0,IF(ISNUMBER(MATCH(C28,'CAD_RESÍDUOS'!$B$6:$B$205,0)),1,0))</f>
        <v>0</v>
      </c>
      <c r="W28" s="96">
        <f>IF(AND(ISNUMBER(G28),G28&gt;0),1,0)</f>
        <v>0</v>
      </c>
      <c r="X28" s="96" t="str">
        <f>IF(H28="","",IFERROR(IF(ISNUMBER(INDEX(cfg_fac,MATCH(H28,cfg_units,0))),IF(INDEX(cfg_fac,MATCH(H28,cfg_units,0))&gt;0,INDEX(cfg_fac,MATCH(H28,cfg_units,0)),""),""),""))</f>
        <v/>
      </c>
      <c r="Y28" s="96">
        <f>IF(AND(W28=1,ISNUMBER(I28)),1,0)</f>
        <v>0</v>
      </c>
      <c r="Z28" s="96">
        <f>IF(U28=1,INDEX('MTRs'!$AA$6:$AA$505,T28),0)</f>
        <v>0</v>
      </c>
      <c r="AA28" s="96">
        <f>IF(R28=0,0,COUNTIFS('RECEBIMENTOS'!$R$6:$R$1005,A28,'RECEBIMENTOS'!$Q$6:$Q$1005,1))</f>
        <v>0</v>
      </c>
      <c r="AB28" s="96">
        <f>IF(R28=0,0,COUNTIFS('RECEBIMENTOS'!$R$6:$R$1005,A28,'RECEBIMENTOS'!$Z$6:$Z$1005,1))</f>
        <v>0</v>
      </c>
      <c r="AC28" s="96">
        <f>IF(R28=0,0,COUNTIFS('RECEBIMENTOS'!$R$6:$R$1005,A28,'RECEBIMENTOS'!$Y$6:$Y$1005,1))</f>
        <v>0</v>
      </c>
      <c r="AD28" s="96">
        <f>IF(R28=0,0,COUNTIFS('VÍNCULOS_CDF'!$R$6:$R$1005,A28,'VÍNCULOS_CDF'!$N$6:$N$1005,1))</f>
        <v>0</v>
      </c>
      <c r="AE28" s="96">
        <f>IF(R28=0,0,COUNTIFS('VÍNCULOS_CDF'!$R$6:$R$1005,A28,'VÍNCULOS_CDF'!$AA$6:$AA$1005,1))</f>
        <v>0</v>
      </c>
      <c r="AF28" s="96">
        <f>IF(R28=0,0,COUNTIFS('VÍNCULOS_CDF'!$R$6:$R$1005,A28,'VÍNCULOS_CDF'!$Y$6:$Y$1005,1))</f>
        <v>0</v>
      </c>
      <c r="AG28" s="96" t="str">
        <f>IF(AND(R28=1,S28&lt;&gt;"",C28&lt;&gt;""),S28&amp;"|"&amp;C28&amp;"|"&amp;G28&amp;"|"&amp;H28,"")</f>
        <v/>
      </c>
      <c r="AH28" s="96">
        <f>IF(AG28="",0,IF(SUMPRODUCT(--($AG$6:$AG$1005=AG28))&gt;1,1,0))</f>
        <v>0</v>
      </c>
      <c r="AI28" s="96">
        <f>IF(R28=0,0,IF(OR(U28=0,V28=0,Y28=0,AND(AH28=1,K28&lt;&gt;"Sim")),1,0))</f>
        <v>0</v>
      </c>
      <c r="AJ28" s="96">
        <f>IF(AND(R28=1,AA28&gt;0,AB28=AA28),1,0)</f>
        <v>0</v>
      </c>
      <c r="AK28" s="96">
        <f>IF(R28=0,0,IF(AA28&gt;0,N(L28),IF(ISNUMBER(I28),I28,0)))</f>
        <v>0</v>
      </c>
      <c r="AL28" s="96">
        <f>IF(R28=0,0,IF(AND(K28&lt;&gt;"Sim",N(M28)&gt;AK28+cfg_tol),1,0))</f>
        <v>0</v>
      </c>
      <c r="AM28" s="96">
        <f>IF(R28=0,0,IF(K28="Sim",0,IF(OR(AND(AA28&gt;0,ISNUMBER(I28),ABS(I28-N(L28))&gt;cfg_tol),AL28=1),1,0)))</f>
        <v>0</v>
      </c>
      <c r="AN28" s="96">
        <f>IF(AND(R28=1,N(M28)&gt;0,OR(N(M28)&gt;=AK28-cfg_tol,K28="Sim")),1,0)</f>
        <v>0</v>
      </c>
      <c r="AO28" s="96">
        <f>IF(AND(AN28=1,AD28&gt;0,AE28=AD28,AL28=0),1,0)</f>
        <v>0</v>
      </c>
      <c r="AP28" s="96">
        <f>IF(U28=0,0,IF(AND(INDEX('MTRs'!$AX$6:$AX$505,T28)=1,Z28=0,OR(f_res="",f_res="(Todos)",C28=f_res)),1,0))</f>
        <v>0</v>
      </c>
      <c r="AQ28" s="97" t="str">
        <f>IF(U28=0,"",INDEX('MTRs'!$AZ$6:$AZ$505,T28))</f>
        <v/>
      </c>
      <c r="AR28" s="96">
        <f>IF(U28=0,0,IF(AND(INDEX('MTRs'!$BA$6:$BA$505,T28)=1,Z28=0),1,0))</f>
        <v>0</v>
      </c>
      <c r="AS28" s="96" t="str">
        <f>IF(R28=1,A28&amp;" | MTR "&amp;IF(U28=1,INDEX('MTRs'!$B$6:$B$505,T28)&amp;"","?")&amp;" | "&amp;IF(C28="","(sem resíduo)",C28),"")</f>
        <v/>
      </c>
      <c r="AT28" s="96" t="str">
        <f>IF(R28=1,COUNTIF($R$6:R28,1),"")</f>
        <v/>
      </c>
      <c r="AU28" s="96" t="str">
        <f>IF(U28=1,INDEX('MTRs'!$I$6:$I$505,T28)&amp;"","")</f>
        <v/>
      </c>
    </row>
    <row r="29">
      <c r="A29" s="89" t="inlineStr">
        <is>
          <t>IT-000024</t>
        </is>
      </c>
      <c r="B29" s="91" t="n"/>
      <c r="C29" s="91" t="n"/>
      <c r="D29" s="94" t="str">
        <f>IF(OR(R29=0,V29=0),"",INDEX('CAD_RESÍDUOS'!$E$6:$E$205,MATCH(C29,'CAD_RESÍDUOS'!$B$6:$B$205,0))&amp;"")</f>
        <v/>
      </c>
      <c r="E29" s="94" t="str">
        <f>IF(OR(R29=0,V29=0),"",INDEX('CAD_RESÍDUOS'!$C$6:$C$205,MATCH(C29,'CAD_RESÍDUOS'!$B$6:$B$205,0))&amp;"")</f>
        <v/>
      </c>
      <c r="F29" s="94" t="str">
        <f>IF(OR(R29=0,V29=0),"",INDEX('CAD_RESÍDUOS'!$G$6:$G$205,MATCH(C29,'CAD_RESÍDUOS'!$B$6:$B$205,0))&amp;"")</f>
        <v/>
      </c>
      <c r="G29" s="98" t="n"/>
      <c r="H29" s="91" t="n"/>
      <c r="I29" s="93" t="str">
        <f>IF(R29=0,"",IF(NOT(ISNUMBER(G29)),"",IF(ISNUMBER(X29),G29*X29,"UNIDADE A CONFERIR")))</f>
        <v/>
      </c>
      <c r="J29" s="91" t="n"/>
      <c r="K29" s="91" t="n"/>
      <c r="L29" s="93" t="str">
        <f>IF(R29=0,"",SUMIFS('RECEBIMENTOS'!$H$6:$H$1005,'RECEBIMENTOS'!$R$6:$R$1005,A29,'RECEBIMENTOS'!$X$6:$X$1005,1))</f>
        <v/>
      </c>
      <c r="M29" s="93" t="str">
        <f>IF(R29=0,"",SUMIFS('VÍNCULOS_CDF'!$H$6:$H$1005,'VÍNCULOS_CDF'!$R$6:$R$1005,A29,'VÍNCULOS_CDF'!$V$6:$V$1005,1))</f>
        <v/>
      </c>
      <c r="N29" s="99" t="str">
        <f>IF(OR(R29=0,AA29=0,NOT(ISNUMBER(I29))),"",I29-N(L29))</f>
        <v/>
      </c>
      <c r="O29" s="100" t="str">
        <f>IF(OR(R29=0,AK29&lt;=0),"",N(M29)/AK29)</f>
        <v/>
      </c>
      <c r="P29" s="94" t="str">
        <f>IF(R29=0,"",IF(S29="","Sem MTR associado",IF(U29=0,"MTR inexistente",IF(C29="","Resíduo não identificado",IF(V29=0,"Resíduo fora do cadastro",IF(W29=0,"Quantidade inválida",IF(H29="","Unidade não informada",IF(NOT(ISNUMBER(I29)),"Unidade a conferir",IF(AND(AH29=1,K29&lt;&gt;"Sim"),"Possível duplicidade",IF(Z29=1,"MTR cancelado",IF(AC29&gt;0,"Recebimento com alerta",IF(AA29=0,"Aguardando recebimento",IF(AB29&lt;AA29,"Recebimento a conferir",IF(AM29=1,"Quantidade a revisar",IF(AF29&gt;0,"Vínculo a revisar",IF(AD29=0,"Aguardando CDF",IF(AN29=0,"Vínculo de CDF parcial",IF(AE29&lt;AD29,"CDF a conferir","Documentação conferida"))))))))))))))))))</f>
        <v/>
      </c>
      <c r="Q29" s="93" t="str">
        <f>IF(OR(R29=0,AA29=0),"",MAX(0,N(L29)-N(M29)))</f>
        <v/>
      </c>
      <c r="R29" s="96">
        <f>IF(COUNTA(B29:C29,G29:H29,J29:K29)&gt;0,1,0)</f>
        <v>0</v>
      </c>
      <c r="S29" s="96" t="str">
        <f>IF(B29="","",TRIM(LEFT(B29,FIND(" |",B29&amp;" |")-1)))</f>
        <v/>
      </c>
      <c r="T29" s="96" t="str">
        <f>IF(S29="","",IFERROR(MATCH(S29,'MTRs'!$A$6:$A$505,0),""))</f>
        <v/>
      </c>
      <c r="U29" s="96">
        <f>IF(T29="",0,IF(INDEX('MTRs'!$Z$6:$Z$505,T29)=1,1,0))</f>
        <v>0</v>
      </c>
      <c r="V29" s="96">
        <f>IF(C29="",0,IF(ISNUMBER(MATCH(C29,'CAD_RESÍDUOS'!$B$6:$B$205,0)),1,0))</f>
        <v>0</v>
      </c>
      <c r="W29" s="96">
        <f>IF(AND(ISNUMBER(G29),G29&gt;0),1,0)</f>
        <v>0</v>
      </c>
      <c r="X29" s="96" t="str">
        <f>IF(H29="","",IFERROR(IF(ISNUMBER(INDEX(cfg_fac,MATCH(H29,cfg_units,0))),IF(INDEX(cfg_fac,MATCH(H29,cfg_units,0))&gt;0,INDEX(cfg_fac,MATCH(H29,cfg_units,0)),""),""),""))</f>
        <v/>
      </c>
      <c r="Y29" s="96">
        <f>IF(AND(W29=1,ISNUMBER(I29)),1,0)</f>
        <v>0</v>
      </c>
      <c r="Z29" s="96">
        <f>IF(U29=1,INDEX('MTRs'!$AA$6:$AA$505,T29),0)</f>
        <v>0</v>
      </c>
      <c r="AA29" s="96">
        <f>IF(R29=0,0,COUNTIFS('RECEBIMENTOS'!$R$6:$R$1005,A29,'RECEBIMENTOS'!$Q$6:$Q$1005,1))</f>
        <v>0</v>
      </c>
      <c r="AB29" s="96">
        <f>IF(R29=0,0,COUNTIFS('RECEBIMENTOS'!$R$6:$R$1005,A29,'RECEBIMENTOS'!$Z$6:$Z$1005,1))</f>
        <v>0</v>
      </c>
      <c r="AC29" s="96">
        <f>IF(R29=0,0,COUNTIFS('RECEBIMENTOS'!$R$6:$R$1005,A29,'RECEBIMENTOS'!$Y$6:$Y$1005,1))</f>
        <v>0</v>
      </c>
      <c r="AD29" s="96">
        <f>IF(R29=0,0,COUNTIFS('VÍNCULOS_CDF'!$R$6:$R$1005,A29,'VÍNCULOS_CDF'!$N$6:$N$1005,1))</f>
        <v>0</v>
      </c>
      <c r="AE29" s="96">
        <f>IF(R29=0,0,COUNTIFS('VÍNCULOS_CDF'!$R$6:$R$1005,A29,'VÍNCULOS_CDF'!$AA$6:$AA$1005,1))</f>
        <v>0</v>
      </c>
      <c r="AF29" s="96">
        <f>IF(R29=0,0,COUNTIFS('VÍNCULOS_CDF'!$R$6:$R$1005,A29,'VÍNCULOS_CDF'!$Y$6:$Y$1005,1))</f>
        <v>0</v>
      </c>
      <c r="AG29" s="96" t="str">
        <f>IF(AND(R29=1,S29&lt;&gt;"",C29&lt;&gt;""),S29&amp;"|"&amp;C29&amp;"|"&amp;G29&amp;"|"&amp;H29,"")</f>
        <v/>
      </c>
      <c r="AH29" s="96">
        <f>IF(AG29="",0,IF(SUMPRODUCT(--($AG$6:$AG$1005=AG29))&gt;1,1,0))</f>
        <v>0</v>
      </c>
      <c r="AI29" s="96">
        <f>IF(R29=0,0,IF(OR(U29=0,V29=0,Y29=0,AND(AH29=1,K29&lt;&gt;"Sim")),1,0))</f>
        <v>0</v>
      </c>
      <c r="AJ29" s="96">
        <f>IF(AND(R29=1,AA29&gt;0,AB29=AA29),1,0)</f>
        <v>0</v>
      </c>
      <c r="AK29" s="96">
        <f>IF(R29=0,0,IF(AA29&gt;0,N(L29),IF(ISNUMBER(I29),I29,0)))</f>
        <v>0</v>
      </c>
      <c r="AL29" s="96">
        <f>IF(R29=0,0,IF(AND(K29&lt;&gt;"Sim",N(M29)&gt;AK29+cfg_tol),1,0))</f>
        <v>0</v>
      </c>
      <c r="AM29" s="96">
        <f>IF(R29=0,0,IF(K29="Sim",0,IF(OR(AND(AA29&gt;0,ISNUMBER(I29),ABS(I29-N(L29))&gt;cfg_tol),AL29=1),1,0)))</f>
        <v>0</v>
      </c>
      <c r="AN29" s="96">
        <f>IF(AND(R29=1,N(M29)&gt;0,OR(N(M29)&gt;=AK29-cfg_tol,K29="Sim")),1,0)</f>
        <v>0</v>
      </c>
      <c r="AO29" s="96">
        <f>IF(AND(AN29=1,AD29&gt;0,AE29=AD29,AL29=0),1,0)</f>
        <v>0</v>
      </c>
      <c r="AP29" s="96">
        <f>IF(U29=0,0,IF(AND(INDEX('MTRs'!$AX$6:$AX$505,T29)=1,Z29=0,OR(f_res="",f_res="(Todos)",C29=f_res)),1,0))</f>
        <v>0</v>
      </c>
      <c r="AQ29" s="97" t="str">
        <f>IF(U29=0,"",INDEX('MTRs'!$AZ$6:$AZ$505,T29))</f>
        <v/>
      </c>
      <c r="AR29" s="96">
        <f>IF(U29=0,0,IF(AND(INDEX('MTRs'!$BA$6:$BA$505,T29)=1,Z29=0),1,0))</f>
        <v>0</v>
      </c>
      <c r="AS29" s="96" t="str">
        <f>IF(R29=1,A29&amp;" | MTR "&amp;IF(U29=1,INDEX('MTRs'!$B$6:$B$505,T29)&amp;"","?")&amp;" | "&amp;IF(C29="","(sem resíduo)",C29),"")</f>
        <v/>
      </c>
      <c r="AT29" s="96" t="str">
        <f>IF(R29=1,COUNTIF($R$6:R29,1),"")</f>
        <v/>
      </c>
      <c r="AU29" s="96" t="str">
        <f>IF(U29=1,INDEX('MTRs'!$I$6:$I$505,T29)&amp;"","")</f>
        <v/>
      </c>
    </row>
    <row r="30">
      <c r="A30" s="89" t="inlineStr">
        <is>
          <t>IT-000025</t>
        </is>
      </c>
      <c r="B30" s="91" t="n"/>
      <c r="C30" s="91" t="n"/>
      <c r="D30" s="94" t="str">
        <f>IF(OR(R30=0,V30=0),"",INDEX('CAD_RESÍDUOS'!$E$6:$E$205,MATCH(C30,'CAD_RESÍDUOS'!$B$6:$B$205,0))&amp;"")</f>
        <v/>
      </c>
      <c r="E30" s="94" t="str">
        <f>IF(OR(R30=0,V30=0),"",INDEX('CAD_RESÍDUOS'!$C$6:$C$205,MATCH(C30,'CAD_RESÍDUOS'!$B$6:$B$205,0))&amp;"")</f>
        <v/>
      </c>
      <c r="F30" s="94" t="str">
        <f>IF(OR(R30=0,V30=0),"",INDEX('CAD_RESÍDUOS'!$G$6:$G$205,MATCH(C30,'CAD_RESÍDUOS'!$B$6:$B$205,0))&amp;"")</f>
        <v/>
      </c>
      <c r="G30" s="98" t="n"/>
      <c r="H30" s="91" t="n"/>
      <c r="I30" s="93" t="str">
        <f>IF(R30=0,"",IF(NOT(ISNUMBER(G30)),"",IF(ISNUMBER(X30),G30*X30,"UNIDADE A CONFERIR")))</f>
        <v/>
      </c>
      <c r="J30" s="91" t="n"/>
      <c r="K30" s="91" t="n"/>
      <c r="L30" s="93" t="str">
        <f>IF(R30=0,"",SUMIFS('RECEBIMENTOS'!$H$6:$H$1005,'RECEBIMENTOS'!$R$6:$R$1005,A30,'RECEBIMENTOS'!$X$6:$X$1005,1))</f>
        <v/>
      </c>
      <c r="M30" s="93" t="str">
        <f>IF(R30=0,"",SUMIFS('VÍNCULOS_CDF'!$H$6:$H$1005,'VÍNCULOS_CDF'!$R$6:$R$1005,A30,'VÍNCULOS_CDF'!$V$6:$V$1005,1))</f>
        <v/>
      </c>
      <c r="N30" s="99" t="str">
        <f>IF(OR(R30=0,AA30=0,NOT(ISNUMBER(I30))),"",I30-N(L30))</f>
        <v/>
      </c>
      <c r="O30" s="100" t="str">
        <f>IF(OR(R30=0,AK30&lt;=0),"",N(M30)/AK30)</f>
        <v/>
      </c>
      <c r="P30" s="94" t="str">
        <f>IF(R30=0,"",IF(S30="","Sem MTR associado",IF(U30=0,"MTR inexistente",IF(C30="","Resíduo não identificado",IF(V30=0,"Resíduo fora do cadastro",IF(W30=0,"Quantidade inválida",IF(H30="","Unidade não informada",IF(NOT(ISNUMBER(I30)),"Unidade a conferir",IF(AND(AH30=1,K30&lt;&gt;"Sim"),"Possível duplicidade",IF(Z30=1,"MTR cancelado",IF(AC30&gt;0,"Recebimento com alerta",IF(AA30=0,"Aguardando recebimento",IF(AB30&lt;AA30,"Recebimento a conferir",IF(AM30=1,"Quantidade a revisar",IF(AF30&gt;0,"Vínculo a revisar",IF(AD30=0,"Aguardando CDF",IF(AN30=0,"Vínculo de CDF parcial",IF(AE30&lt;AD30,"CDF a conferir","Documentação conferida"))))))))))))))))))</f>
        <v/>
      </c>
      <c r="Q30" s="93" t="str">
        <f>IF(OR(R30=0,AA30=0),"",MAX(0,N(L30)-N(M30)))</f>
        <v/>
      </c>
      <c r="R30" s="96">
        <f>IF(COUNTA(B30:C30,G30:H30,J30:K30)&gt;0,1,0)</f>
        <v>0</v>
      </c>
      <c r="S30" s="96" t="str">
        <f>IF(B30="","",TRIM(LEFT(B30,FIND(" |",B30&amp;" |")-1)))</f>
        <v/>
      </c>
      <c r="T30" s="96" t="str">
        <f>IF(S30="","",IFERROR(MATCH(S30,'MTRs'!$A$6:$A$505,0),""))</f>
        <v/>
      </c>
      <c r="U30" s="96">
        <f>IF(T30="",0,IF(INDEX('MTRs'!$Z$6:$Z$505,T30)=1,1,0))</f>
        <v>0</v>
      </c>
      <c r="V30" s="96">
        <f>IF(C30="",0,IF(ISNUMBER(MATCH(C30,'CAD_RESÍDUOS'!$B$6:$B$205,0)),1,0))</f>
        <v>0</v>
      </c>
      <c r="W30" s="96">
        <f>IF(AND(ISNUMBER(G30),G30&gt;0),1,0)</f>
        <v>0</v>
      </c>
      <c r="X30" s="96" t="str">
        <f>IF(H30="","",IFERROR(IF(ISNUMBER(INDEX(cfg_fac,MATCH(H30,cfg_units,0))),IF(INDEX(cfg_fac,MATCH(H30,cfg_units,0))&gt;0,INDEX(cfg_fac,MATCH(H30,cfg_units,0)),""),""),""))</f>
        <v/>
      </c>
      <c r="Y30" s="96">
        <f>IF(AND(W30=1,ISNUMBER(I30)),1,0)</f>
        <v>0</v>
      </c>
      <c r="Z30" s="96">
        <f>IF(U30=1,INDEX('MTRs'!$AA$6:$AA$505,T30),0)</f>
        <v>0</v>
      </c>
      <c r="AA30" s="96">
        <f>IF(R30=0,0,COUNTIFS('RECEBIMENTOS'!$R$6:$R$1005,A30,'RECEBIMENTOS'!$Q$6:$Q$1005,1))</f>
        <v>0</v>
      </c>
      <c r="AB30" s="96">
        <f>IF(R30=0,0,COUNTIFS('RECEBIMENTOS'!$R$6:$R$1005,A30,'RECEBIMENTOS'!$Z$6:$Z$1005,1))</f>
        <v>0</v>
      </c>
      <c r="AC30" s="96">
        <f>IF(R30=0,0,COUNTIFS('RECEBIMENTOS'!$R$6:$R$1005,A30,'RECEBIMENTOS'!$Y$6:$Y$1005,1))</f>
        <v>0</v>
      </c>
      <c r="AD30" s="96">
        <f>IF(R30=0,0,COUNTIFS('VÍNCULOS_CDF'!$R$6:$R$1005,A30,'VÍNCULOS_CDF'!$N$6:$N$1005,1))</f>
        <v>0</v>
      </c>
      <c r="AE30" s="96">
        <f>IF(R30=0,0,COUNTIFS('VÍNCULOS_CDF'!$R$6:$R$1005,A30,'VÍNCULOS_CDF'!$AA$6:$AA$1005,1))</f>
        <v>0</v>
      </c>
      <c r="AF30" s="96">
        <f>IF(R30=0,0,COUNTIFS('VÍNCULOS_CDF'!$R$6:$R$1005,A30,'VÍNCULOS_CDF'!$Y$6:$Y$1005,1))</f>
        <v>0</v>
      </c>
      <c r="AG30" s="96" t="str">
        <f>IF(AND(R30=1,S30&lt;&gt;"",C30&lt;&gt;""),S30&amp;"|"&amp;C30&amp;"|"&amp;G30&amp;"|"&amp;H30,"")</f>
        <v/>
      </c>
      <c r="AH30" s="96">
        <f>IF(AG30="",0,IF(SUMPRODUCT(--($AG$6:$AG$1005=AG30))&gt;1,1,0))</f>
        <v>0</v>
      </c>
      <c r="AI30" s="96">
        <f>IF(R30=0,0,IF(OR(U30=0,V30=0,Y30=0,AND(AH30=1,K30&lt;&gt;"Sim")),1,0))</f>
        <v>0</v>
      </c>
      <c r="AJ30" s="96">
        <f>IF(AND(R30=1,AA30&gt;0,AB30=AA30),1,0)</f>
        <v>0</v>
      </c>
      <c r="AK30" s="96">
        <f>IF(R30=0,0,IF(AA30&gt;0,N(L30),IF(ISNUMBER(I30),I30,0)))</f>
        <v>0</v>
      </c>
      <c r="AL30" s="96">
        <f>IF(R30=0,0,IF(AND(K30&lt;&gt;"Sim",N(M30)&gt;AK30+cfg_tol),1,0))</f>
        <v>0</v>
      </c>
      <c r="AM30" s="96">
        <f>IF(R30=0,0,IF(K30="Sim",0,IF(OR(AND(AA30&gt;0,ISNUMBER(I30),ABS(I30-N(L30))&gt;cfg_tol),AL30=1),1,0)))</f>
        <v>0</v>
      </c>
      <c r="AN30" s="96">
        <f>IF(AND(R30=1,N(M30)&gt;0,OR(N(M30)&gt;=AK30-cfg_tol,K30="Sim")),1,0)</f>
        <v>0</v>
      </c>
      <c r="AO30" s="96">
        <f>IF(AND(AN30=1,AD30&gt;0,AE30=AD30,AL30=0),1,0)</f>
        <v>0</v>
      </c>
      <c r="AP30" s="96">
        <f>IF(U30=0,0,IF(AND(INDEX('MTRs'!$AX$6:$AX$505,T30)=1,Z30=0,OR(f_res="",f_res="(Todos)",C30=f_res)),1,0))</f>
        <v>0</v>
      </c>
      <c r="AQ30" s="97" t="str">
        <f>IF(U30=0,"",INDEX('MTRs'!$AZ$6:$AZ$505,T30))</f>
        <v/>
      </c>
      <c r="AR30" s="96">
        <f>IF(U30=0,0,IF(AND(INDEX('MTRs'!$BA$6:$BA$505,T30)=1,Z30=0),1,0))</f>
        <v>0</v>
      </c>
      <c r="AS30" s="96" t="str">
        <f>IF(R30=1,A30&amp;" | MTR "&amp;IF(U30=1,INDEX('MTRs'!$B$6:$B$505,T30)&amp;"","?")&amp;" | "&amp;IF(C30="","(sem resíduo)",C30),"")</f>
        <v/>
      </c>
      <c r="AT30" s="96" t="str">
        <f>IF(R30=1,COUNTIF($R$6:R30,1),"")</f>
        <v/>
      </c>
      <c r="AU30" s="96" t="str">
        <f>IF(U30=1,INDEX('MTRs'!$I$6:$I$505,T30)&amp;"","")</f>
        <v/>
      </c>
    </row>
    <row r="31">
      <c r="A31" s="89" t="inlineStr">
        <is>
          <t>IT-000026</t>
        </is>
      </c>
      <c r="B31" s="91" t="n"/>
      <c r="C31" s="91" t="n"/>
      <c r="D31" s="94" t="str">
        <f>IF(OR(R31=0,V31=0),"",INDEX('CAD_RESÍDUOS'!$E$6:$E$205,MATCH(C31,'CAD_RESÍDUOS'!$B$6:$B$205,0))&amp;"")</f>
        <v/>
      </c>
      <c r="E31" s="94" t="str">
        <f>IF(OR(R31=0,V31=0),"",INDEX('CAD_RESÍDUOS'!$C$6:$C$205,MATCH(C31,'CAD_RESÍDUOS'!$B$6:$B$205,0))&amp;"")</f>
        <v/>
      </c>
      <c r="F31" s="94" t="str">
        <f>IF(OR(R31=0,V31=0),"",INDEX('CAD_RESÍDUOS'!$G$6:$G$205,MATCH(C31,'CAD_RESÍDUOS'!$B$6:$B$205,0))&amp;"")</f>
        <v/>
      </c>
      <c r="G31" s="98" t="n"/>
      <c r="H31" s="91" t="n"/>
      <c r="I31" s="93" t="str">
        <f>IF(R31=0,"",IF(NOT(ISNUMBER(G31)),"",IF(ISNUMBER(X31),G31*X31,"UNIDADE A CONFERIR")))</f>
        <v/>
      </c>
      <c r="J31" s="91" t="n"/>
      <c r="K31" s="91" t="n"/>
      <c r="L31" s="93" t="str">
        <f>IF(R31=0,"",SUMIFS('RECEBIMENTOS'!$H$6:$H$1005,'RECEBIMENTOS'!$R$6:$R$1005,A31,'RECEBIMENTOS'!$X$6:$X$1005,1))</f>
        <v/>
      </c>
      <c r="M31" s="93" t="str">
        <f>IF(R31=0,"",SUMIFS('VÍNCULOS_CDF'!$H$6:$H$1005,'VÍNCULOS_CDF'!$R$6:$R$1005,A31,'VÍNCULOS_CDF'!$V$6:$V$1005,1))</f>
        <v/>
      </c>
      <c r="N31" s="99" t="str">
        <f>IF(OR(R31=0,AA31=0,NOT(ISNUMBER(I31))),"",I31-N(L31))</f>
        <v/>
      </c>
      <c r="O31" s="100" t="str">
        <f>IF(OR(R31=0,AK31&lt;=0),"",N(M31)/AK31)</f>
        <v/>
      </c>
      <c r="P31" s="94" t="str">
        <f>IF(R31=0,"",IF(S31="","Sem MTR associado",IF(U31=0,"MTR inexistente",IF(C31="","Resíduo não identificado",IF(V31=0,"Resíduo fora do cadastro",IF(W31=0,"Quantidade inválida",IF(H31="","Unidade não informada",IF(NOT(ISNUMBER(I31)),"Unidade a conferir",IF(AND(AH31=1,K31&lt;&gt;"Sim"),"Possível duplicidade",IF(Z31=1,"MTR cancelado",IF(AC31&gt;0,"Recebimento com alerta",IF(AA31=0,"Aguardando recebimento",IF(AB31&lt;AA31,"Recebimento a conferir",IF(AM31=1,"Quantidade a revisar",IF(AF31&gt;0,"Vínculo a revisar",IF(AD31=0,"Aguardando CDF",IF(AN31=0,"Vínculo de CDF parcial",IF(AE31&lt;AD31,"CDF a conferir","Documentação conferida"))))))))))))))))))</f>
        <v/>
      </c>
      <c r="Q31" s="93" t="str">
        <f>IF(OR(R31=0,AA31=0),"",MAX(0,N(L31)-N(M31)))</f>
        <v/>
      </c>
      <c r="R31" s="96">
        <f>IF(COUNTA(B31:C31,G31:H31,J31:K31)&gt;0,1,0)</f>
        <v>0</v>
      </c>
      <c r="S31" s="96" t="str">
        <f>IF(B31="","",TRIM(LEFT(B31,FIND(" |",B31&amp;" |")-1)))</f>
        <v/>
      </c>
      <c r="T31" s="96" t="str">
        <f>IF(S31="","",IFERROR(MATCH(S31,'MTRs'!$A$6:$A$505,0),""))</f>
        <v/>
      </c>
      <c r="U31" s="96">
        <f>IF(T31="",0,IF(INDEX('MTRs'!$Z$6:$Z$505,T31)=1,1,0))</f>
        <v>0</v>
      </c>
      <c r="V31" s="96">
        <f>IF(C31="",0,IF(ISNUMBER(MATCH(C31,'CAD_RESÍDUOS'!$B$6:$B$205,0)),1,0))</f>
        <v>0</v>
      </c>
      <c r="W31" s="96">
        <f>IF(AND(ISNUMBER(G31),G31&gt;0),1,0)</f>
        <v>0</v>
      </c>
      <c r="X31" s="96" t="str">
        <f>IF(H31="","",IFERROR(IF(ISNUMBER(INDEX(cfg_fac,MATCH(H31,cfg_units,0))),IF(INDEX(cfg_fac,MATCH(H31,cfg_units,0))&gt;0,INDEX(cfg_fac,MATCH(H31,cfg_units,0)),""),""),""))</f>
        <v/>
      </c>
      <c r="Y31" s="96">
        <f>IF(AND(W31=1,ISNUMBER(I31)),1,0)</f>
        <v>0</v>
      </c>
      <c r="Z31" s="96">
        <f>IF(U31=1,INDEX('MTRs'!$AA$6:$AA$505,T31),0)</f>
        <v>0</v>
      </c>
      <c r="AA31" s="96">
        <f>IF(R31=0,0,COUNTIFS('RECEBIMENTOS'!$R$6:$R$1005,A31,'RECEBIMENTOS'!$Q$6:$Q$1005,1))</f>
        <v>0</v>
      </c>
      <c r="AB31" s="96">
        <f>IF(R31=0,0,COUNTIFS('RECEBIMENTOS'!$R$6:$R$1005,A31,'RECEBIMENTOS'!$Z$6:$Z$1005,1))</f>
        <v>0</v>
      </c>
      <c r="AC31" s="96">
        <f>IF(R31=0,0,COUNTIFS('RECEBIMENTOS'!$R$6:$R$1005,A31,'RECEBIMENTOS'!$Y$6:$Y$1005,1))</f>
        <v>0</v>
      </c>
      <c r="AD31" s="96">
        <f>IF(R31=0,0,COUNTIFS('VÍNCULOS_CDF'!$R$6:$R$1005,A31,'VÍNCULOS_CDF'!$N$6:$N$1005,1))</f>
        <v>0</v>
      </c>
      <c r="AE31" s="96">
        <f>IF(R31=0,0,COUNTIFS('VÍNCULOS_CDF'!$R$6:$R$1005,A31,'VÍNCULOS_CDF'!$AA$6:$AA$1005,1))</f>
        <v>0</v>
      </c>
      <c r="AF31" s="96">
        <f>IF(R31=0,0,COUNTIFS('VÍNCULOS_CDF'!$R$6:$R$1005,A31,'VÍNCULOS_CDF'!$Y$6:$Y$1005,1))</f>
        <v>0</v>
      </c>
      <c r="AG31" s="96" t="str">
        <f>IF(AND(R31=1,S31&lt;&gt;"",C31&lt;&gt;""),S31&amp;"|"&amp;C31&amp;"|"&amp;G31&amp;"|"&amp;H31,"")</f>
        <v/>
      </c>
      <c r="AH31" s="96">
        <f>IF(AG31="",0,IF(SUMPRODUCT(--($AG$6:$AG$1005=AG31))&gt;1,1,0))</f>
        <v>0</v>
      </c>
      <c r="AI31" s="96">
        <f>IF(R31=0,0,IF(OR(U31=0,V31=0,Y31=0,AND(AH31=1,K31&lt;&gt;"Sim")),1,0))</f>
        <v>0</v>
      </c>
      <c r="AJ31" s="96">
        <f>IF(AND(R31=1,AA31&gt;0,AB31=AA31),1,0)</f>
        <v>0</v>
      </c>
      <c r="AK31" s="96">
        <f>IF(R31=0,0,IF(AA31&gt;0,N(L31),IF(ISNUMBER(I31),I31,0)))</f>
        <v>0</v>
      </c>
      <c r="AL31" s="96">
        <f>IF(R31=0,0,IF(AND(K31&lt;&gt;"Sim",N(M31)&gt;AK31+cfg_tol),1,0))</f>
        <v>0</v>
      </c>
      <c r="AM31" s="96">
        <f>IF(R31=0,0,IF(K31="Sim",0,IF(OR(AND(AA31&gt;0,ISNUMBER(I31),ABS(I31-N(L31))&gt;cfg_tol),AL31=1),1,0)))</f>
        <v>0</v>
      </c>
      <c r="AN31" s="96">
        <f>IF(AND(R31=1,N(M31)&gt;0,OR(N(M31)&gt;=AK31-cfg_tol,K31="Sim")),1,0)</f>
        <v>0</v>
      </c>
      <c r="AO31" s="96">
        <f>IF(AND(AN31=1,AD31&gt;0,AE31=AD31,AL31=0),1,0)</f>
        <v>0</v>
      </c>
      <c r="AP31" s="96">
        <f>IF(U31=0,0,IF(AND(INDEX('MTRs'!$AX$6:$AX$505,T31)=1,Z31=0,OR(f_res="",f_res="(Todos)",C31=f_res)),1,0))</f>
        <v>0</v>
      </c>
      <c r="AQ31" s="97" t="str">
        <f>IF(U31=0,"",INDEX('MTRs'!$AZ$6:$AZ$505,T31))</f>
        <v/>
      </c>
      <c r="AR31" s="96">
        <f>IF(U31=0,0,IF(AND(INDEX('MTRs'!$BA$6:$BA$505,T31)=1,Z31=0),1,0))</f>
        <v>0</v>
      </c>
      <c r="AS31" s="96" t="str">
        <f>IF(R31=1,A31&amp;" | MTR "&amp;IF(U31=1,INDEX('MTRs'!$B$6:$B$505,T31)&amp;"","?")&amp;" | "&amp;IF(C31="","(sem resíduo)",C31),"")</f>
        <v/>
      </c>
      <c r="AT31" s="96" t="str">
        <f>IF(R31=1,COUNTIF($R$6:R31,1),"")</f>
        <v/>
      </c>
      <c r="AU31" s="96" t="str">
        <f>IF(U31=1,INDEX('MTRs'!$I$6:$I$505,T31)&amp;"","")</f>
        <v/>
      </c>
    </row>
    <row r="32">
      <c r="A32" s="89" t="inlineStr">
        <is>
          <t>IT-000027</t>
        </is>
      </c>
      <c r="B32" s="91" t="n"/>
      <c r="C32" s="91" t="n"/>
      <c r="D32" s="94" t="str">
        <f>IF(OR(R32=0,V32=0),"",INDEX('CAD_RESÍDUOS'!$E$6:$E$205,MATCH(C32,'CAD_RESÍDUOS'!$B$6:$B$205,0))&amp;"")</f>
        <v/>
      </c>
      <c r="E32" s="94" t="str">
        <f>IF(OR(R32=0,V32=0),"",INDEX('CAD_RESÍDUOS'!$C$6:$C$205,MATCH(C32,'CAD_RESÍDUOS'!$B$6:$B$205,0))&amp;"")</f>
        <v/>
      </c>
      <c r="F32" s="94" t="str">
        <f>IF(OR(R32=0,V32=0),"",INDEX('CAD_RESÍDUOS'!$G$6:$G$205,MATCH(C32,'CAD_RESÍDUOS'!$B$6:$B$205,0))&amp;"")</f>
        <v/>
      </c>
      <c r="G32" s="98" t="n"/>
      <c r="H32" s="91" t="n"/>
      <c r="I32" s="93" t="str">
        <f>IF(R32=0,"",IF(NOT(ISNUMBER(G32)),"",IF(ISNUMBER(X32),G32*X32,"UNIDADE A CONFERIR")))</f>
        <v/>
      </c>
      <c r="J32" s="91" t="n"/>
      <c r="K32" s="91" t="n"/>
      <c r="L32" s="93" t="str">
        <f>IF(R32=0,"",SUMIFS('RECEBIMENTOS'!$H$6:$H$1005,'RECEBIMENTOS'!$R$6:$R$1005,A32,'RECEBIMENTOS'!$X$6:$X$1005,1))</f>
        <v/>
      </c>
      <c r="M32" s="93" t="str">
        <f>IF(R32=0,"",SUMIFS('VÍNCULOS_CDF'!$H$6:$H$1005,'VÍNCULOS_CDF'!$R$6:$R$1005,A32,'VÍNCULOS_CDF'!$V$6:$V$1005,1))</f>
        <v/>
      </c>
      <c r="N32" s="99" t="str">
        <f>IF(OR(R32=0,AA32=0,NOT(ISNUMBER(I32))),"",I32-N(L32))</f>
        <v/>
      </c>
      <c r="O32" s="100" t="str">
        <f>IF(OR(R32=0,AK32&lt;=0),"",N(M32)/AK32)</f>
        <v/>
      </c>
      <c r="P32" s="94" t="str">
        <f>IF(R32=0,"",IF(S32="","Sem MTR associado",IF(U32=0,"MTR inexistente",IF(C32="","Resíduo não identificado",IF(V32=0,"Resíduo fora do cadastro",IF(W32=0,"Quantidade inválida",IF(H32="","Unidade não informada",IF(NOT(ISNUMBER(I32)),"Unidade a conferir",IF(AND(AH32=1,K32&lt;&gt;"Sim"),"Possível duplicidade",IF(Z32=1,"MTR cancelado",IF(AC32&gt;0,"Recebimento com alerta",IF(AA32=0,"Aguardando recebimento",IF(AB32&lt;AA32,"Recebimento a conferir",IF(AM32=1,"Quantidade a revisar",IF(AF32&gt;0,"Vínculo a revisar",IF(AD32=0,"Aguardando CDF",IF(AN32=0,"Vínculo de CDF parcial",IF(AE32&lt;AD32,"CDF a conferir","Documentação conferida"))))))))))))))))))</f>
        <v/>
      </c>
      <c r="Q32" s="93" t="str">
        <f>IF(OR(R32=0,AA32=0),"",MAX(0,N(L32)-N(M32)))</f>
        <v/>
      </c>
      <c r="R32" s="96">
        <f>IF(COUNTA(B32:C32,G32:H32,J32:K32)&gt;0,1,0)</f>
        <v>0</v>
      </c>
      <c r="S32" s="96" t="str">
        <f>IF(B32="","",TRIM(LEFT(B32,FIND(" |",B32&amp;" |")-1)))</f>
        <v/>
      </c>
      <c r="T32" s="96" t="str">
        <f>IF(S32="","",IFERROR(MATCH(S32,'MTRs'!$A$6:$A$505,0),""))</f>
        <v/>
      </c>
      <c r="U32" s="96">
        <f>IF(T32="",0,IF(INDEX('MTRs'!$Z$6:$Z$505,T32)=1,1,0))</f>
        <v>0</v>
      </c>
      <c r="V32" s="96">
        <f>IF(C32="",0,IF(ISNUMBER(MATCH(C32,'CAD_RESÍDUOS'!$B$6:$B$205,0)),1,0))</f>
        <v>0</v>
      </c>
      <c r="W32" s="96">
        <f>IF(AND(ISNUMBER(G32),G32&gt;0),1,0)</f>
        <v>0</v>
      </c>
      <c r="X32" s="96" t="str">
        <f>IF(H32="","",IFERROR(IF(ISNUMBER(INDEX(cfg_fac,MATCH(H32,cfg_units,0))),IF(INDEX(cfg_fac,MATCH(H32,cfg_units,0))&gt;0,INDEX(cfg_fac,MATCH(H32,cfg_units,0)),""),""),""))</f>
        <v/>
      </c>
      <c r="Y32" s="96">
        <f>IF(AND(W32=1,ISNUMBER(I32)),1,0)</f>
        <v>0</v>
      </c>
      <c r="Z32" s="96">
        <f>IF(U32=1,INDEX('MTRs'!$AA$6:$AA$505,T32),0)</f>
        <v>0</v>
      </c>
      <c r="AA32" s="96">
        <f>IF(R32=0,0,COUNTIFS('RECEBIMENTOS'!$R$6:$R$1005,A32,'RECEBIMENTOS'!$Q$6:$Q$1005,1))</f>
        <v>0</v>
      </c>
      <c r="AB32" s="96">
        <f>IF(R32=0,0,COUNTIFS('RECEBIMENTOS'!$R$6:$R$1005,A32,'RECEBIMENTOS'!$Z$6:$Z$1005,1))</f>
        <v>0</v>
      </c>
      <c r="AC32" s="96">
        <f>IF(R32=0,0,COUNTIFS('RECEBIMENTOS'!$R$6:$R$1005,A32,'RECEBIMENTOS'!$Y$6:$Y$1005,1))</f>
        <v>0</v>
      </c>
      <c r="AD32" s="96">
        <f>IF(R32=0,0,COUNTIFS('VÍNCULOS_CDF'!$R$6:$R$1005,A32,'VÍNCULOS_CDF'!$N$6:$N$1005,1))</f>
        <v>0</v>
      </c>
      <c r="AE32" s="96">
        <f>IF(R32=0,0,COUNTIFS('VÍNCULOS_CDF'!$R$6:$R$1005,A32,'VÍNCULOS_CDF'!$AA$6:$AA$1005,1))</f>
        <v>0</v>
      </c>
      <c r="AF32" s="96">
        <f>IF(R32=0,0,COUNTIFS('VÍNCULOS_CDF'!$R$6:$R$1005,A32,'VÍNCULOS_CDF'!$Y$6:$Y$1005,1))</f>
        <v>0</v>
      </c>
      <c r="AG32" s="96" t="str">
        <f>IF(AND(R32=1,S32&lt;&gt;"",C32&lt;&gt;""),S32&amp;"|"&amp;C32&amp;"|"&amp;G32&amp;"|"&amp;H32,"")</f>
        <v/>
      </c>
      <c r="AH32" s="96">
        <f>IF(AG32="",0,IF(SUMPRODUCT(--($AG$6:$AG$1005=AG32))&gt;1,1,0))</f>
        <v>0</v>
      </c>
      <c r="AI32" s="96">
        <f>IF(R32=0,0,IF(OR(U32=0,V32=0,Y32=0,AND(AH32=1,K32&lt;&gt;"Sim")),1,0))</f>
        <v>0</v>
      </c>
      <c r="AJ32" s="96">
        <f>IF(AND(R32=1,AA32&gt;0,AB32=AA32),1,0)</f>
        <v>0</v>
      </c>
      <c r="AK32" s="96">
        <f>IF(R32=0,0,IF(AA32&gt;0,N(L32),IF(ISNUMBER(I32),I32,0)))</f>
        <v>0</v>
      </c>
      <c r="AL32" s="96">
        <f>IF(R32=0,0,IF(AND(K32&lt;&gt;"Sim",N(M32)&gt;AK32+cfg_tol),1,0))</f>
        <v>0</v>
      </c>
      <c r="AM32" s="96">
        <f>IF(R32=0,0,IF(K32="Sim",0,IF(OR(AND(AA32&gt;0,ISNUMBER(I32),ABS(I32-N(L32))&gt;cfg_tol),AL32=1),1,0)))</f>
        <v>0</v>
      </c>
      <c r="AN32" s="96">
        <f>IF(AND(R32=1,N(M32)&gt;0,OR(N(M32)&gt;=AK32-cfg_tol,K32="Sim")),1,0)</f>
        <v>0</v>
      </c>
      <c r="AO32" s="96">
        <f>IF(AND(AN32=1,AD32&gt;0,AE32=AD32,AL32=0),1,0)</f>
        <v>0</v>
      </c>
      <c r="AP32" s="96">
        <f>IF(U32=0,0,IF(AND(INDEX('MTRs'!$AX$6:$AX$505,T32)=1,Z32=0,OR(f_res="",f_res="(Todos)",C32=f_res)),1,0))</f>
        <v>0</v>
      </c>
      <c r="AQ32" s="97" t="str">
        <f>IF(U32=0,"",INDEX('MTRs'!$AZ$6:$AZ$505,T32))</f>
        <v/>
      </c>
      <c r="AR32" s="96">
        <f>IF(U32=0,0,IF(AND(INDEX('MTRs'!$BA$6:$BA$505,T32)=1,Z32=0),1,0))</f>
        <v>0</v>
      </c>
      <c r="AS32" s="96" t="str">
        <f>IF(R32=1,A32&amp;" | MTR "&amp;IF(U32=1,INDEX('MTRs'!$B$6:$B$505,T32)&amp;"","?")&amp;" | "&amp;IF(C32="","(sem resíduo)",C32),"")</f>
        <v/>
      </c>
      <c r="AT32" s="96" t="str">
        <f>IF(R32=1,COUNTIF($R$6:R32,1),"")</f>
        <v/>
      </c>
      <c r="AU32" s="96" t="str">
        <f>IF(U32=1,INDEX('MTRs'!$I$6:$I$505,T32)&amp;"","")</f>
        <v/>
      </c>
    </row>
    <row r="33">
      <c r="A33" s="89" t="inlineStr">
        <is>
          <t>IT-000028</t>
        </is>
      </c>
      <c r="B33" s="91" t="n"/>
      <c r="C33" s="91" t="n"/>
      <c r="D33" s="94" t="str">
        <f>IF(OR(R33=0,V33=0),"",INDEX('CAD_RESÍDUOS'!$E$6:$E$205,MATCH(C33,'CAD_RESÍDUOS'!$B$6:$B$205,0))&amp;"")</f>
        <v/>
      </c>
      <c r="E33" s="94" t="str">
        <f>IF(OR(R33=0,V33=0),"",INDEX('CAD_RESÍDUOS'!$C$6:$C$205,MATCH(C33,'CAD_RESÍDUOS'!$B$6:$B$205,0))&amp;"")</f>
        <v/>
      </c>
      <c r="F33" s="94" t="str">
        <f>IF(OR(R33=0,V33=0),"",INDEX('CAD_RESÍDUOS'!$G$6:$G$205,MATCH(C33,'CAD_RESÍDUOS'!$B$6:$B$205,0))&amp;"")</f>
        <v/>
      </c>
      <c r="G33" s="98" t="n"/>
      <c r="H33" s="91" t="n"/>
      <c r="I33" s="93" t="str">
        <f>IF(R33=0,"",IF(NOT(ISNUMBER(G33)),"",IF(ISNUMBER(X33),G33*X33,"UNIDADE A CONFERIR")))</f>
        <v/>
      </c>
      <c r="J33" s="91" t="n"/>
      <c r="K33" s="91" t="n"/>
      <c r="L33" s="93" t="str">
        <f>IF(R33=0,"",SUMIFS('RECEBIMENTOS'!$H$6:$H$1005,'RECEBIMENTOS'!$R$6:$R$1005,A33,'RECEBIMENTOS'!$X$6:$X$1005,1))</f>
        <v/>
      </c>
      <c r="M33" s="93" t="str">
        <f>IF(R33=0,"",SUMIFS('VÍNCULOS_CDF'!$H$6:$H$1005,'VÍNCULOS_CDF'!$R$6:$R$1005,A33,'VÍNCULOS_CDF'!$V$6:$V$1005,1))</f>
        <v/>
      </c>
      <c r="N33" s="99" t="str">
        <f>IF(OR(R33=0,AA33=0,NOT(ISNUMBER(I33))),"",I33-N(L33))</f>
        <v/>
      </c>
      <c r="O33" s="100" t="str">
        <f>IF(OR(R33=0,AK33&lt;=0),"",N(M33)/AK33)</f>
        <v/>
      </c>
      <c r="P33" s="94" t="str">
        <f>IF(R33=0,"",IF(S33="","Sem MTR associado",IF(U33=0,"MTR inexistente",IF(C33="","Resíduo não identificado",IF(V33=0,"Resíduo fora do cadastro",IF(W33=0,"Quantidade inválida",IF(H33="","Unidade não informada",IF(NOT(ISNUMBER(I33)),"Unidade a conferir",IF(AND(AH33=1,K33&lt;&gt;"Sim"),"Possível duplicidade",IF(Z33=1,"MTR cancelado",IF(AC33&gt;0,"Recebimento com alerta",IF(AA33=0,"Aguardando recebimento",IF(AB33&lt;AA33,"Recebimento a conferir",IF(AM33=1,"Quantidade a revisar",IF(AF33&gt;0,"Vínculo a revisar",IF(AD33=0,"Aguardando CDF",IF(AN33=0,"Vínculo de CDF parcial",IF(AE33&lt;AD33,"CDF a conferir","Documentação conferida"))))))))))))))))))</f>
        <v/>
      </c>
      <c r="Q33" s="93" t="str">
        <f>IF(OR(R33=0,AA33=0),"",MAX(0,N(L33)-N(M33)))</f>
        <v/>
      </c>
      <c r="R33" s="96">
        <f>IF(COUNTA(B33:C33,G33:H33,J33:K33)&gt;0,1,0)</f>
        <v>0</v>
      </c>
      <c r="S33" s="96" t="str">
        <f>IF(B33="","",TRIM(LEFT(B33,FIND(" |",B33&amp;" |")-1)))</f>
        <v/>
      </c>
      <c r="T33" s="96" t="str">
        <f>IF(S33="","",IFERROR(MATCH(S33,'MTRs'!$A$6:$A$505,0),""))</f>
        <v/>
      </c>
      <c r="U33" s="96">
        <f>IF(T33="",0,IF(INDEX('MTRs'!$Z$6:$Z$505,T33)=1,1,0))</f>
        <v>0</v>
      </c>
      <c r="V33" s="96">
        <f>IF(C33="",0,IF(ISNUMBER(MATCH(C33,'CAD_RESÍDUOS'!$B$6:$B$205,0)),1,0))</f>
        <v>0</v>
      </c>
      <c r="W33" s="96">
        <f>IF(AND(ISNUMBER(G33),G33&gt;0),1,0)</f>
        <v>0</v>
      </c>
      <c r="X33" s="96" t="str">
        <f>IF(H33="","",IFERROR(IF(ISNUMBER(INDEX(cfg_fac,MATCH(H33,cfg_units,0))),IF(INDEX(cfg_fac,MATCH(H33,cfg_units,0))&gt;0,INDEX(cfg_fac,MATCH(H33,cfg_units,0)),""),""),""))</f>
        <v/>
      </c>
      <c r="Y33" s="96">
        <f>IF(AND(W33=1,ISNUMBER(I33)),1,0)</f>
        <v>0</v>
      </c>
      <c r="Z33" s="96">
        <f>IF(U33=1,INDEX('MTRs'!$AA$6:$AA$505,T33),0)</f>
        <v>0</v>
      </c>
      <c r="AA33" s="96">
        <f>IF(R33=0,0,COUNTIFS('RECEBIMENTOS'!$R$6:$R$1005,A33,'RECEBIMENTOS'!$Q$6:$Q$1005,1))</f>
        <v>0</v>
      </c>
      <c r="AB33" s="96">
        <f>IF(R33=0,0,COUNTIFS('RECEBIMENTOS'!$R$6:$R$1005,A33,'RECEBIMENTOS'!$Z$6:$Z$1005,1))</f>
        <v>0</v>
      </c>
      <c r="AC33" s="96">
        <f>IF(R33=0,0,COUNTIFS('RECEBIMENTOS'!$R$6:$R$1005,A33,'RECEBIMENTOS'!$Y$6:$Y$1005,1))</f>
        <v>0</v>
      </c>
      <c r="AD33" s="96">
        <f>IF(R33=0,0,COUNTIFS('VÍNCULOS_CDF'!$R$6:$R$1005,A33,'VÍNCULOS_CDF'!$N$6:$N$1005,1))</f>
        <v>0</v>
      </c>
      <c r="AE33" s="96">
        <f>IF(R33=0,0,COUNTIFS('VÍNCULOS_CDF'!$R$6:$R$1005,A33,'VÍNCULOS_CDF'!$AA$6:$AA$1005,1))</f>
        <v>0</v>
      </c>
      <c r="AF33" s="96">
        <f>IF(R33=0,0,COUNTIFS('VÍNCULOS_CDF'!$R$6:$R$1005,A33,'VÍNCULOS_CDF'!$Y$6:$Y$1005,1))</f>
        <v>0</v>
      </c>
      <c r="AG33" s="96" t="str">
        <f>IF(AND(R33=1,S33&lt;&gt;"",C33&lt;&gt;""),S33&amp;"|"&amp;C33&amp;"|"&amp;G33&amp;"|"&amp;H33,"")</f>
        <v/>
      </c>
      <c r="AH33" s="96">
        <f>IF(AG33="",0,IF(SUMPRODUCT(--($AG$6:$AG$1005=AG33))&gt;1,1,0))</f>
        <v>0</v>
      </c>
      <c r="AI33" s="96">
        <f>IF(R33=0,0,IF(OR(U33=0,V33=0,Y33=0,AND(AH33=1,K33&lt;&gt;"Sim")),1,0))</f>
        <v>0</v>
      </c>
      <c r="AJ33" s="96">
        <f>IF(AND(R33=1,AA33&gt;0,AB33=AA33),1,0)</f>
        <v>0</v>
      </c>
      <c r="AK33" s="96">
        <f>IF(R33=0,0,IF(AA33&gt;0,N(L33),IF(ISNUMBER(I33),I33,0)))</f>
        <v>0</v>
      </c>
      <c r="AL33" s="96">
        <f>IF(R33=0,0,IF(AND(K33&lt;&gt;"Sim",N(M33)&gt;AK33+cfg_tol),1,0))</f>
        <v>0</v>
      </c>
      <c r="AM33" s="96">
        <f>IF(R33=0,0,IF(K33="Sim",0,IF(OR(AND(AA33&gt;0,ISNUMBER(I33),ABS(I33-N(L33))&gt;cfg_tol),AL33=1),1,0)))</f>
        <v>0</v>
      </c>
      <c r="AN33" s="96">
        <f>IF(AND(R33=1,N(M33)&gt;0,OR(N(M33)&gt;=AK33-cfg_tol,K33="Sim")),1,0)</f>
        <v>0</v>
      </c>
      <c r="AO33" s="96">
        <f>IF(AND(AN33=1,AD33&gt;0,AE33=AD33,AL33=0),1,0)</f>
        <v>0</v>
      </c>
      <c r="AP33" s="96">
        <f>IF(U33=0,0,IF(AND(INDEX('MTRs'!$AX$6:$AX$505,T33)=1,Z33=0,OR(f_res="",f_res="(Todos)",C33=f_res)),1,0))</f>
        <v>0</v>
      </c>
      <c r="AQ33" s="97" t="str">
        <f>IF(U33=0,"",INDEX('MTRs'!$AZ$6:$AZ$505,T33))</f>
        <v/>
      </c>
      <c r="AR33" s="96">
        <f>IF(U33=0,0,IF(AND(INDEX('MTRs'!$BA$6:$BA$505,T33)=1,Z33=0),1,0))</f>
        <v>0</v>
      </c>
      <c r="AS33" s="96" t="str">
        <f>IF(R33=1,A33&amp;" | MTR "&amp;IF(U33=1,INDEX('MTRs'!$B$6:$B$505,T33)&amp;"","?")&amp;" | "&amp;IF(C33="","(sem resíduo)",C33),"")</f>
        <v/>
      </c>
      <c r="AT33" s="96" t="str">
        <f>IF(R33=1,COUNTIF($R$6:R33,1),"")</f>
        <v/>
      </c>
      <c r="AU33" s="96" t="str">
        <f>IF(U33=1,INDEX('MTRs'!$I$6:$I$505,T33)&amp;"","")</f>
        <v/>
      </c>
    </row>
    <row r="34">
      <c r="A34" s="89" t="inlineStr">
        <is>
          <t>IT-000029</t>
        </is>
      </c>
      <c r="B34" s="91" t="n"/>
      <c r="C34" s="91" t="n"/>
      <c r="D34" s="94" t="str">
        <f>IF(OR(R34=0,V34=0),"",INDEX('CAD_RESÍDUOS'!$E$6:$E$205,MATCH(C34,'CAD_RESÍDUOS'!$B$6:$B$205,0))&amp;"")</f>
        <v/>
      </c>
      <c r="E34" s="94" t="str">
        <f>IF(OR(R34=0,V34=0),"",INDEX('CAD_RESÍDUOS'!$C$6:$C$205,MATCH(C34,'CAD_RESÍDUOS'!$B$6:$B$205,0))&amp;"")</f>
        <v/>
      </c>
      <c r="F34" s="94" t="str">
        <f>IF(OR(R34=0,V34=0),"",INDEX('CAD_RESÍDUOS'!$G$6:$G$205,MATCH(C34,'CAD_RESÍDUOS'!$B$6:$B$205,0))&amp;"")</f>
        <v/>
      </c>
      <c r="G34" s="98" t="n"/>
      <c r="H34" s="91" t="n"/>
      <c r="I34" s="93" t="str">
        <f>IF(R34=0,"",IF(NOT(ISNUMBER(G34)),"",IF(ISNUMBER(X34),G34*X34,"UNIDADE A CONFERIR")))</f>
        <v/>
      </c>
      <c r="J34" s="91" t="n"/>
      <c r="K34" s="91" t="n"/>
      <c r="L34" s="93" t="str">
        <f>IF(R34=0,"",SUMIFS('RECEBIMENTOS'!$H$6:$H$1005,'RECEBIMENTOS'!$R$6:$R$1005,A34,'RECEBIMENTOS'!$X$6:$X$1005,1))</f>
        <v/>
      </c>
      <c r="M34" s="93" t="str">
        <f>IF(R34=0,"",SUMIFS('VÍNCULOS_CDF'!$H$6:$H$1005,'VÍNCULOS_CDF'!$R$6:$R$1005,A34,'VÍNCULOS_CDF'!$V$6:$V$1005,1))</f>
        <v/>
      </c>
      <c r="N34" s="99" t="str">
        <f>IF(OR(R34=0,AA34=0,NOT(ISNUMBER(I34))),"",I34-N(L34))</f>
        <v/>
      </c>
      <c r="O34" s="100" t="str">
        <f>IF(OR(R34=0,AK34&lt;=0),"",N(M34)/AK34)</f>
        <v/>
      </c>
      <c r="P34" s="94" t="str">
        <f>IF(R34=0,"",IF(S34="","Sem MTR associado",IF(U34=0,"MTR inexistente",IF(C34="","Resíduo não identificado",IF(V34=0,"Resíduo fora do cadastro",IF(W34=0,"Quantidade inválida",IF(H34="","Unidade não informada",IF(NOT(ISNUMBER(I34)),"Unidade a conferir",IF(AND(AH34=1,K34&lt;&gt;"Sim"),"Possível duplicidade",IF(Z34=1,"MTR cancelado",IF(AC34&gt;0,"Recebimento com alerta",IF(AA34=0,"Aguardando recebimento",IF(AB34&lt;AA34,"Recebimento a conferir",IF(AM34=1,"Quantidade a revisar",IF(AF34&gt;0,"Vínculo a revisar",IF(AD34=0,"Aguardando CDF",IF(AN34=0,"Vínculo de CDF parcial",IF(AE34&lt;AD34,"CDF a conferir","Documentação conferida"))))))))))))))))))</f>
        <v/>
      </c>
      <c r="Q34" s="93" t="str">
        <f>IF(OR(R34=0,AA34=0),"",MAX(0,N(L34)-N(M34)))</f>
        <v/>
      </c>
      <c r="R34" s="96">
        <f>IF(COUNTA(B34:C34,G34:H34,J34:K34)&gt;0,1,0)</f>
        <v>0</v>
      </c>
      <c r="S34" s="96" t="str">
        <f>IF(B34="","",TRIM(LEFT(B34,FIND(" |",B34&amp;" |")-1)))</f>
        <v/>
      </c>
      <c r="T34" s="96" t="str">
        <f>IF(S34="","",IFERROR(MATCH(S34,'MTRs'!$A$6:$A$505,0),""))</f>
        <v/>
      </c>
      <c r="U34" s="96">
        <f>IF(T34="",0,IF(INDEX('MTRs'!$Z$6:$Z$505,T34)=1,1,0))</f>
        <v>0</v>
      </c>
      <c r="V34" s="96">
        <f>IF(C34="",0,IF(ISNUMBER(MATCH(C34,'CAD_RESÍDUOS'!$B$6:$B$205,0)),1,0))</f>
        <v>0</v>
      </c>
      <c r="W34" s="96">
        <f>IF(AND(ISNUMBER(G34),G34&gt;0),1,0)</f>
        <v>0</v>
      </c>
      <c r="X34" s="96" t="str">
        <f>IF(H34="","",IFERROR(IF(ISNUMBER(INDEX(cfg_fac,MATCH(H34,cfg_units,0))),IF(INDEX(cfg_fac,MATCH(H34,cfg_units,0))&gt;0,INDEX(cfg_fac,MATCH(H34,cfg_units,0)),""),""),""))</f>
        <v/>
      </c>
      <c r="Y34" s="96">
        <f>IF(AND(W34=1,ISNUMBER(I34)),1,0)</f>
        <v>0</v>
      </c>
      <c r="Z34" s="96">
        <f>IF(U34=1,INDEX('MTRs'!$AA$6:$AA$505,T34),0)</f>
        <v>0</v>
      </c>
      <c r="AA34" s="96">
        <f>IF(R34=0,0,COUNTIFS('RECEBIMENTOS'!$R$6:$R$1005,A34,'RECEBIMENTOS'!$Q$6:$Q$1005,1))</f>
        <v>0</v>
      </c>
      <c r="AB34" s="96">
        <f>IF(R34=0,0,COUNTIFS('RECEBIMENTOS'!$R$6:$R$1005,A34,'RECEBIMENTOS'!$Z$6:$Z$1005,1))</f>
        <v>0</v>
      </c>
      <c r="AC34" s="96">
        <f>IF(R34=0,0,COUNTIFS('RECEBIMENTOS'!$R$6:$R$1005,A34,'RECEBIMENTOS'!$Y$6:$Y$1005,1))</f>
        <v>0</v>
      </c>
      <c r="AD34" s="96">
        <f>IF(R34=0,0,COUNTIFS('VÍNCULOS_CDF'!$R$6:$R$1005,A34,'VÍNCULOS_CDF'!$N$6:$N$1005,1))</f>
        <v>0</v>
      </c>
      <c r="AE34" s="96">
        <f>IF(R34=0,0,COUNTIFS('VÍNCULOS_CDF'!$R$6:$R$1005,A34,'VÍNCULOS_CDF'!$AA$6:$AA$1005,1))</f>
        <v>0</v>
      </c>
      <c r="AF34" s="96">
        <f>IF(R34=0,0,COUNTIFS('VÍNCULOS_CDF'!$R$6:$R$1005,A34,'VÍNCULOS_CDF'!$Y$6:$Y$1005,1))</f>
        <v>0</v>
      </c>
      <c r="AG34" s="96" t="str">
        <f>IF(AND(R34=1,S34&lt;&gt;"",C34&lt;&gt;""),S34&amp;"|"&amp;C34&amp;"|"&amp;G34&amp;"|"&amp;H34,"")</f>
        <v/>
      </c>
      <c r="AH34" s="96">
        <f>IF(AG34="",0,IF(SUMPRODUCT(--($AG$6:$AG$1005=AG34))&gt;1,1,0))</f>
        <v>0</v>
      </c>
      <c r="AI34" s="96">
        <f>IF(R34=0,0,IF(OR(U34=0,V34=0,Y34=0,AND(AH34=1,K34&lt;&gt;"Sim")),1,0))</f>
        <v>0</v>
      </c>
      <c r="AJ34" s="96">
        <f>IF(AND(R34=1,AA34&gt;0,AB34=AA34),1,0)</f>
        <v>0</v>
      </c>
      <c r="AK34" s="96">
        <f>IF(R34=0,0,IF(AA34&gt;0,N(L34),IF(ISNUMBER(I34),I34,0)))</f>
        <v>0</v>
      </c>
      <c r="AL34" s="96">
        <f>IF(R34=0,0,IF(AND(K34&lt;&gt;"Sim",N(M34)&gt;AK34+cfg_tol),1,0))</f>
        <v>0</v>
      </c>
      <c r="AM34" s="96">
        <f>IF(R34=0,0,IF(K34="Sim",0,IF(OR(AND(AA34&gt;0,ISNUMBER(I34),ABS(I34-N(L34))&gt;cfg_tol),AL34=1),1,0)))</f>
        <v>0</v>
      </c>
      <c r="AN34" s="96">
        <f>IF(AND(R34=1,N(M34)&gt;0,OR(N(M34)&gt;=AK34-cfg_tol,K34="Sim")),1,0)</f>
        <v>0</v>
      </c>
      <c r="AO34" s="96">
        <f>IF(AND(AN34=1,AD34&gt;0,AE34=AD34,AL34=0),1,0)</f>
        <v>0</v>
      </c>
      <c r="AP34" s="96">
        <f>IF(U34=0,0,IF(AND(INDEX('MTRs'!$AX$6:$AX$505,T34)=1,Z34=0,OR(f_res="",f_res="(Todos)",C34=f_res)),1,0))</f>
        <v>0</v>
      </c>
      <c r="AQ34" s="97" t="str">
        <f>IF(U34=0,"",INDEX('MTRs'!$AZ$6:$AZ$505,T34))</f>
        <v/>
      </c>
      <c r="AR34" s="96">
        <f>IF(U34=0,0,IF(AND(INDEX('MTRs'!$BA$6:$BA$505,T34)=1,Z34=0),1,0))</f>
        <v>0</v>
      </c>
      <c r="AS34" s="96" t="str">
        <f>IF(R34=1,A34&amp;" | MTR "&amp;IF(U34=1,INDEX('MTRs'!$B$6:$B$505,T34)&amp;"","?")&amp;" | "&amp;IF(C34="","(sem resíduo)",C34),"")</f>
        <v/>
      </c>
      <c r="AT34" s="96" t="str">
        <f>IF(R34=1,COUNTIF($R$6:R34,1),"")</f>
        <v/>
      </c>
      <c r="AU34" s="96" t="str">
        <f>IF(U34=1,INDEX('MTRs'!$I$6:$I$505,T34)&amp;"","")</f>
        <v/>
      </c>
    </row>
    <row r="35">
      <c r="A35" s="89" t="inlineStr">
        <is>
          <t>IT-000030</t>
        </is>
      </c>
      <c r="B35" s="91" t="n"/>
      <c r="C35" s="91" t="n"/>
      <c r="D35" s="94" t="str">
        <f>IF(OR(R35=0,V35=0),"",INDEX('CAD_RESÍDUOS'!$E$6:$E$205,MATCH(C35,'CAD_RESÍDUOS'!$B$6:$B$205,0))&amp;"")</f>
        <v/>
      </c>
      <c r="E35" s="94" t="str">
        <f>IF(OR(R35=0,V35=0),"",INDEX('CAD_RESÍDUOS'!$C$6:$C$205,MATCH(C35,'CAD_RESÍDUOS'!$B$6:$B$205,0))&amp;"")</f>
        <v/>
      </c>
      <c r="F35" s="94" t="str">
        <f>IF(OR(R35=0,V35=0),"",INDEX('CAD_RESÍDUOS'!$G$6:$G$205,MATCH(C35,'CAD_RESÍDUOS'!$B$6:$B$205,0))&amp;"")</f>
        <v/>
      </c>
      <c r="G35" s="98" t="n"/>
      <c r="H35" s="91" t="n"/>
      <c r="I35" s="93" t="str">
        <f>IF(R35=0,"",IF(NOT(ISNUMBER(G35)),"",IF(ISNUMBER(X35),G35*X35,"UNIDADE A CONFERIR")))</f>
        <v/>
      </c>
      <c r="J35" s="91" t="n"/>
      <c r="K35" s="91" t="n"/>
      <c r="L35" s="93" t="str">
        <f>IF(R35=0,"",SUMIFS('RECEBIMENTOS'!$H$6:$H$1005,'RECEBIMENTOS'!$R$6:$R$1005,A35,'RECEBIMENTOS'!$X$6:$X$1005,1))</f>
        <v/>
      </c>
      <c r="M35" s="93" t="str">
        <f>IF(R35=0,"",SUMIFS('VÍNCULOS_CDF'!$H$6:$H$1005,'VÍNCULOS_CDF'!$R$6:$R$1005,A35,'VÍNCULOS_CDF'!$V$6:$V$1005,1))</f>
        <v/>
      </c>
      <c r="N35" s="99" t="str">
        <f>IF(OR(R35=0,AA35=0,NOT(ISNUMBER(I35))),"",I35-N(L35))</f>
        <v/>
      </c>
      <c r="O35" s="100" t="str">
        <f>IF(OR(R35=0,AK35&lt;=0),"",N(M35)/AK35)</f>
        <v/>
      </c>
      <c r="P35" s="94" t="str">
        <f>IF(R35=0,"",IF(S35="","Sem MTR associado",IF(U35=0,"MTR inexistente",IF(C35="","Resíduo não identificado",IF(V35=0,"Resíduo fora do cadastro",IF(W35=0,"Quantidade inválida",IF(H35="","Unidade não informada",IF(NOT(ISNUMBER(I35)),"Unidade a conferir",IF(AND(AH35=1,K35&lt;&gt;"Sim"),"Possível duplicidade",IF(Z35=1,"MTR cancelado",IF(AC35&gt;0,"Recebimento com alerta",IF(AA35=0,"Aguardando recebimento",IF(AB35&lt;AA35,"Recebimento a conferir",IF(AM35=1,"Quantidade a revisar",IF(AF35&gt;0,"Vínculo a revisar",IF(AD35=0,"Aguardando CDF",IF(AN35=0,"Vínculo de CDF parcial",IF(AE35&lt;AD35,"CDF a conferir","Documentação conferida"))))))))))))))))))</f>
        <v/>
      </c>
      <c r="Q35" s="93" t="str">
        <f>IF(OR(R35=0,AA35=0),"",MAX(0,N(L35)-N(M35)))</f>
        <v/>
      </c>
      <c r="R35" s="96">
        <f>IF(COUNTA(B35:C35,G35:H35,J35:K35)&gt;0,1,0)</f>
        <v>0</v>
      </c>
      <c r="S35" s="96" t="str">
        <f>IF(B35="","",TRIM(LEFT(B35,FIND(" |",B35&amp;" |")-1)))</f>
        <v/>
      </c>
      <c r="T35" s="96" t="str">
        <f>IF(S35="","",IFERROR(MATCH(S35,'MTRs'!$A$6:$A$505,0),""))</f>
        <v/>
      </c>
      <c r="U35" s="96">
        <f>IF(T35="",0,IF(INDEX('MTRs'!$Z$6:$Z$505,T35)=1,1,0))</f>
        <v>0</v>
      </c>
      <c r="V35" s="96">
        <f>IF(C35="",0,IF(ISNUMBER(MATCH(C35,'CAD_RESÍDUOS'!$B$6:$B$205,0)),1,0))</f>
        <v>0</v>
      </c>
      <c r="W35" s="96">
        <f>IF(AND(ISNUMBER(G35),G35&gt;0),1,0)</f>
        <v>0</v>
      </c>
      <c r="X35" s="96" t="str">
        <f>IF(H35="","",IFERROR(IF(ISNUMBER(INDEX(cfg_fac,MATCH(H35,cfg_units,0))),IF(INDEX(cfg_fac,MATCH(H35,cfg_units,0))&gt;0,INDEX(cfg_fac,MATCH(H35,cfg_units,0)),""),""),""))</f>
        <v/>
      </c>
      <c r="Y35" s="96">
        <f>IF(AND(W35=1,ISNUMBER(I35)),1,0)</f>
        <v>0</v>
      </c>
      <c r="Z35" s="96">
        <f>IF(U35=1,INDEX('MTRs'!$AA$6:$AA$505,T35),0)</f>
        <v>0</v>
      </c>
      <c r="AA35" s="96">
        <f>IF(R35=0,0,COUNTIFS('RECEBIMENTOS'!$R$6:$R$1005,A35,'RECEBIMENTOS'!$Q$6:$Q$1005,1))</f>
        <v>0</v>
      </c>
      <c r="AB35" s="96">
        <f>IF(R35=0,0,COUNTIFS('RECEBIMENTOS'!$R$6:$R$1005,A35,'RECEBIMENTOS'!$Z$6:$Z$1005,1))</f>
        <v>0</v>
      </c>
      <c r="AC35" s="96">
        <f>IF(R35=0,0,COUNTIFS('RECEBIMENTOS'!$R$6:$R$1005,A35,'RECEBIMENTOS'!$Y$6:$Y$1005,1))</f>
        <v>0</v>
      </c>
      <c r="AD35" s="96">
        <f>IF(R35=0,0,COUNTIFS('VÍNCULOS_CDF'!$R$6:$R$1005,A35,'VÍNCULOS_CDF'!$N$6:$N$1005,1))</f>
        <v>0</v>
      </c>
      <c r="AE35" s="96">
        <f>IF(R35=0,0,COUNTIFS('VÍNCULOS_CDF'!$R$6:$R$1005,A35,'VÍNCULOS_CDF'!$AA$6:$AA$1005,1))</f>
        <v>0</v>
      </c>
      <c r="AF35" s="96">
        <f>IF(R35=0,0,COUNTIFS('VÍNCULOS_CDF'!$R$6:$R$1005,A35,'VÍNCULOS_CDF'!$Y$6:$Y$1005,1))</f>
        <v>0</v>
      </c>
      <c r="AG35" s="96" t="str">
        <f>IF(AND(R35=1,S35&lt;&gt;"",C35&lt;&gt;""),S35&amp;"|"&amp;C35&amp;"|"&amp;G35&amp;"|"&amp;H35,"")</f>
        <v/>
      </c>
      <c r="AH35" s="96">
        <f>IF(AG35="",0,IF(SUMPRODUCT(--($AG$6:$AG$1005=AG35))&gt;1,1,0))</f>
        <v>0</v>
      </c>
      <c r="AI35" s="96">
        <f>IF(R35=0,0,IF(OR(U35=0,V35=0,Y35=0,AND(AH35=1,K35&lt;&gt;"Sim")),1,0))</f>
        <v>0</v>
      </c>
      <c r="AJ35" s="96">
        <f>IF(AND(R35=1,AA35&gt;0,AB35=AA35),1,0)</f>
        <v>0</v>
      </c>
      <c r="AK35" s="96">
        <f>IF(R35=0,0,IF(AA35&gt;0,N(L35),IF(ISNUMBER(I35),I35,0)))</f>
        <v>0</v>
      </c>
      <c r="AL35" s="96">
        <f>IF(R35=0,0,IF(AND(K35&lt;&gt;"Sim",N(M35)&gt;AK35+cfg_tol),1,0))</f>
        <v>0</v>
      </c>
      <c r="AM35" s="96">
        <f>IF(R35=0,0,IF(K35="Sim",0,IF(OR(AND(AA35&gt;0,ISNUMBER(I35),ABS(I35-N(L35))&gt;cfg_tol),AL35=1),1,0)))</f>
        <v>0</v>
      </c>
      <c r="AN35" s="96">
        <f>IF(AND(R35=1,N(M35)&gt;0,OR(N(M35)&gt;=AK35-cfg_tol,K35="Sim")),1,0)</f>
        <v>0</v>
      </c>
      <c r="AO35" s="96">
        <f>IF(AND(AN35=1,AD35&gt;0,AE35=AD35,AL35=0),1,0)</f>
        <v>0</v>
      </c>
      <c r="AP35" s="96">
        <f>IF(U35=0,0,IF(AND(INDEX('MTRs'!$AX$6:$AX$505,T35)=1,Z35=0,OR(f_res="",f_res="(Todos)",C35=f_res)),1,0))</f>
        <v>0</v>
      </c>
      <c r="AQ35" s="97" t="str">
        <f>IF(U35=0,"",INDEX('MTRs'!$AZ$6:$AZ$505,T35))</f>
        <v/>
      </c>
      <c r="AR35" s="96">
        <f>IF(U35=0,0,IF(AND(INDEX('MTRs'!$BA$6:$BA$505,T35)=1,Z35=0),1,0))</f>
        <v>0</v>
      </c>
      <c r="AS35" s="96" t="str">
        <f>IF(R35=1,A35&amp;" | MTR "&amp;IF(U35=1,INDEX('MTRs'!$B$6:$B$505,T35)&amp;"","?")&amp;" | "&amp;IF(C35="","(sem resíduo)",C35),"")</f>
        <v/>
      </c>
      <c r="AT35" s="96" t="str">
        <f>IF(R35=1,COUNTIF($R$6:R35,1),"")</f>
        <v/>
      </c>
      <c r="AU35" s="96" t="str">
        <f>IF(U35=1,INDEX('MTRs'!$I$6:$I$505,T35)&amp;"","")</f>
        <v/>
      </c>
    </row>
    <row r="36">
      <c r="A36" s="89" t="inlineStr">
        <is>
          <t>IT-000031</t>
        </is>
      </c>
      <c r="B36" s="91" t="n"/>
      <c r="C36" s="91" t="n"/>
      <c r="D36" s="94" t="str">
        <f>IF(OR(R36=0,V36=0),"",INDEX('CAD_RESÍDUOS'!$E$6:$E$205,MATCH(C36,'CAD_RESÍDUOS'!$B$6:$B$205,0))&amp;"")</f>
        <v/>
      </c>
      <c r="E36" s="94" t="str">
        <f>IF(OR(R36=0,V36=0),"",INDEX('CAD_RESÍDUOS'!$C$6:$C$205,MATCH(C36,'CAD_RESÍDUOS'!$B$6:$B$205,0))&amp;"")</f>
        <v/>
      </c>
      <c r="F36" s="94" t="str">
        <f>IF(OR(R36=0,V36=0),"",INDEX('CAD_RESÍDUOS'!$G$6:$G$205,MATCH(C36,'CAD_RESÍDUOS'!$B$6:$B$205,0))&amp;"")</f>
        <v/>
      </c>
      <c r="G36" s="98" t="n"/>
      <c r="H36" s="91" t="n"/>
      <c r="I36" s="93" t="str">
        <f>IF(R36=0,"",IF(NOT(ISNUMBER(G36)),"",IF(ISNUMBER(X36),G36*X36,"UNIDADE A CONFERIR")))</f>
        <v/>
      </c>
      <c r="J36" s="91" t="n"/>
      <c r="K36" s="91" t="n"/>
      <c r="L36" s="93" t="str">
        <f>IF(R36=0,"",SUMIFS('RECEBIMENTOS'!$H$6:$H$1005,'RECEBIMENTOS'!$R$6:$R$1005,A36,'RECEBIMENTOS'!$X$6:$X$1005,1))</f>
        <v/>
      </c>
      <c r="M36" s="93" t="str">
        <f>IF(R36=0,"",SUMIFS('VÍNCULOS_CDF'!$H$6:$H$1005,'VÍNCULOS_CDF'!$R$6:$R$1005,A36,'VÍNCULOS_CDF'!$V$6:$V$1005,1))</f>
        <v/>
      </c>
      <c r="N36" s="99" t="str">
        <f>IF(OR(R36=0,AA36=0,NOT(ISNUMBER(I36))),"",I36-N(L36))</f>
        <v/>
      </c>
      <c r="O36" s="100" t="str">
        <f>IF(OR(R36=0,AK36&lt;=0),"",N(M36)/AK36)</f>
        <v/>
      </c>
      <c r="P36" s="94" t="str">
        <f>IF(R36=0,"",IF(S36="","Sem MTR associado",IF(U36=0,"MTR inexistente",IF(C36="","Resíduo não identificado",IF(V36=0,"Resíduo fora do cadastro",IF(W36=0,"Quantidade inválida",IF(H36="","Unidade não informada",IF(NOT(ISNUMBER(I36)),"Unidade a conferir",IF(AND(AH36=1,K36&lt;&gt;"Sim"),"Possível duplicidade",IF(Z36=1,"MTR cancelado",IF(AC36&gt;0,"Recebimento com alerta",IF(AA36=0,"Aguardando recebimento",IF(AB36&lt;AA36,"Recebimento a conferir",IF(AM36=1,"Quantidade a revisar",IF(AF36&gt;0,"Vínculo a revisar",IF(AD36=0,"Aguardando CDF",IF(AN36=0,"Vínculo de CDF parcial",IF(AE36&lt;AD36,"CDF a conferir","Documentação conferida"))))))))))))))))))</f>
        <v/>
      </c>
      <c r="Q36" s="93" t="str">
        <f>IF(OR(R36=0,AA36=0),"",MAX(0,N(L36)-N(M36)))</f>
        <v/>
      </c>
      <c r="R36" s="96">
        <f>IF(COUNTA(B36:C36,G36:H36,J36:K36)&gt;0,1,0)</f>
        <v>0</v>
      </c>
      <c r="S36" s="96" t="str">
        <f>IF(B36="","",TRIM(LEFT(B36,FIND(" |",B36&amp;" |")-1)))</f>
        <v/>
      </c>
      <c r="T36" s="96" t="str">
        <f>IF(S36="","",IFERROR(MATCH(S36,'MTRs'!$A$6:$A$505,0),""))</f>
        <v/>
      </c>
      <c r="U36" s="96">
        <f>IF(T36="",0,IF(INDEX('MTRs'!$Z$6:$Z$505,T36)=1,1,0))</f>
        <v>0</v>
      </c>
      <c r="V36" s="96">
        <f>IF(C36="",0,IF(ISNUMBER(MATCH(C36,'CAD_RESÍDUOS'!$B$6:$B$205,0)),1,0))</f>
        <v>0</v>
      </c>
      <c r="W36" s="96">
        <f>IF(AND(ISNUMBER(G36),G36&gt;0),1,0)</f>
        <v>0</v>
      </c>
      <c r="X36" s="96" t="str">
        <f>IF(H36="","",IFERROR(IF(ISNUMBER(INDEX(cfg_fac,MATCH(H36,cfg_units,0))),IF(INDEX(cfg_fac,MATCH(H36,cfg_units,0))&gt;0,INDEX(cfg_fac,MATCH(H36,cfg_units,0)),""),""),""))</f>
        <v/>
      </c>
      <c r="Y36" s="96">
        <f>IF(AND(W36=1,ISNUMBER(I36)),1,0)</f>
        <v>0</v>
      </c>
      <c r="Z36" s="96">
        <f>IF(U36=1,INDEX('MTRs'!$AA$6:$AA$505,T36),0)</f>
        <v>0</v>
      </c>
      <c r="AA36" s="96">
        <f>IF(R36=0,0,COUNTIFS('RECEBIMENTOS'!$R$6:$R$1005,A36,'RECEBIMENTOS'!$Q$6:$Q$1005,1))</f>
        <v>0</v>
      </c>
      <c r="AB36" s="96">
        <f>IF(R36=0,0,COUNTIFS('RECEBIMENTOS'!$R$6:$R$1005,A36,'RECEBIMENTOS'!$Z$6:$Z$1005,1))</f>
        <v>0</v>
      </c>
      <c r="AC36" s="96">
        <f>IF(R36=0,0,COUNTIFS('RECEBIMENTOS'!$R$6:$R$1005,A36,'RECEBIMENTOS'!$Y$6:$Y$1005,1))</f>
        <v>0</v>
      </c>
      <c r="AD36" s="96">
        <f>IF(R36=0,0,COUNTIFS('VÍNCULOS_CDF'!$R$6:$R$1005,A36,'VÍNCULOS_CDF'!$N$6:$N$1005,1))</f>
        <v>0</v>
      </c>
      <c r="AE36" s="96">
        <f>IF(R36=0,0,COUNTIFS('VÍNCULOS_CDF'!$R$6:$R$1005,A36,'VÍNCULOS_CDF'!$AA$6:$AA$1005,1))</f>
        <v>0</v>
      </c>
      <c r="AF36" s="96">
        <f>IF(R36=0,0,COUNTIFS('VÍNCULOS_CDF'!$R$6:$R$1005,A36,'VÍNCULOS_CDF'!$Y$6:$Y$1005,1))</f>
        <v>0</v>
      </c>
      <c r="AG36" s="96" t="str">
        <f>IF(AND(R36=1,S36&lt;&gt;"",C36&lt;&gt;""),S36&amp;"|"&amp;C36&amp;"|"&amp;G36&amp;"|"&amp;H36,"")</f>
        <v/>
      </c>
      <c r="AH36" s="96">
        <f>IF(AG36="",0,IF(SUMPRODUCT(--($AG$6:$AG$1005=AG36))&gt;1,1,0))</f>
        <v>0</v>
      </c>
      <c r="AI36" s="96">
        <f>IF(R36=0,0,IF(OR(U36=0,V36=0,Y36=0,AND(AH36=1,K36&lt;&gt;"Sim")),1,0))</f>
        <v>0</v>
      </c>
      <c r="AJ36" s="96">
        <f>IF(AND(R36=1,AA36&gt;0,AB36=AA36),1,0)</f>
        <v>0</v>
      </c>
      <c r="AK36" s="96">
        <f>IF(R36=0,0,IF(AA36&gt;0,N(L36),IF(ISNUMBER(I36),I36,0)))</f>
        <v>0</v>
      </c>
      <c r="AL36" s="96">
        <f>IF(R36=0,0,IF(AND(K36&lt;&gt;"Sim",N(M36)&gt;AK36+cfg_tol),1,0))</f>
        <v>0</v>
      </c>
      <c r="AM36" s="96">
        <f>IF(R36=0,0,IF(K36="Sim",0,IF(OR(AND(AA36&gt;0,ISNUMBER(I36),ABS(I36-N(L36))&gt;cfg_tol),AL36=1),1,0)))</f>
        <v>0</v>
      </c>
      <c r="AN36" s="96">
        <f>IF(AND(R36=1,N(M36)&gt;0,OR(N(M36)&gt;=AK36-cfg_tol,K36="Sim")),1,0)</f>
        <v>0</v>
      </c>
      <c r="AO36" s="96">
        <f>IF(AND(AN36=1,AD36&gt;0,AE36=AD36,AL36=0),1,0)</f>
        <v>0</v>
      </c>
      <c r="AP36" s="96">
        <f>IF(U36=0,0,IF(AND(INDEX('MTRs'!$AX$6:$AX$505,T36)=1,Z36=0,OR(f_res="",f_res="(Todos)",C36=f_res)),1,0))</f>
        <v>0</v>
      </c>
      <c r="AQ36" s="97" t="str">
        <f>IF(U36=0,"",INDEX('MTRs'!$AZ$6:$AZ$505,T36))</f>
        <v/>
      </c>
      <c r="AR36" s="96">
        <f>IF(U36=0,0,IF(AND(INDEX('MTRs'!$BA$6:$BA$505,T36)=1,Z36=0),1,0))</f>
        <v>0</v>
      </c>
      <c r="AS36" s="96" t="str">
        <f>IF(R36=1,A36&amp;" | MTR "&amp;IF(U36=1,INDEX('MTRs'!$B$6:$B$505,T36)&amp;"","?")&amp;" | "&amp;IF(C36="","(sem resíduo)",C36),"")</f>
        <v/>
      </c>
      <c r="AT36" s="96" t="str">
        <f>IF(R36=1,COUNTIF($R$6:R36,1),"")</f>
        <v/>
      </c>
      <c r="AU36" s="96" t="str">
        <f>IF(U36=1,INDEX('MTRs'!$I$6:$I$505,T36)&amp;"","")</f>
        <v/>
      </c>
    </row>
    <row r="37">
      <c r="A37" s="89" t="inlineStr">
        <is>
          <t>IT-000032</t>
        </is>
      </c>
      <c r="B37" s="91" t="n"/>
      <c r="C37" s="91" t="n"/>
      <c r="D37" s="94" t="str">
        <f>IF(OR(R37=0,V37=0),"",INDEX('CAD_RESÍDUOS'!$E$6:$E$205,MATCH(C37,'CAD_RESÍDUOS'!$B$6:$B$205,0))&amp;"")</f>
        <v/>
      </c>
      <c r="E37" s="94" t="str">
        <f>IF(OR(R37=0,V37=0),"",INDEX('CAD_RESÍDUOS'!$C$6:$C$205,MATCH(C37,'CAD_RESÍDUOS'!$B$6:$B$205,0))&amp;"")</f>
        <v/>
      </c>
      <c r="F37" s="94" t="str">
        <f>IF(OR(R37=0,V37=0),"",INDEX('CAD_RESÍDUOS'!$G$6:$G$205,MATCH(C37,'CAD_RESÍDUOS'!$B$6:$B$205,0))&amp;"")</f>
        <v/>
      </c>
      <c r="G37" s="98" t="n"/>
      <c r="H37" s="91" t="n"/>
      <c r="I37" s="93" t="str">
        <f>IF(R37=0,"",IF(NOT(ISNUMBER(G37)),"",IF(ISNUMBER(X37),G37*X37,"UNIDADE A CONFERIR")))</f>
        <v/>
      </c>
      <c r="J37" s="91" t="n"/>
      <c r="K37" s="91" t="n"/>
      <c r="L37" s="93" t="str">
        <f>IF(R37=0,"",SUMIFS('RECEBIMENTOS'!$H$6:$H$1005,'RECEBIMENTOS'!$R$6:$R$1005,A37,'RECEBIMENTOS'!$X$6:$X$1005,1))</f>
        <v/>
      </c>
      <c r="M37" s="93" t="str">
        <f>IF(R37=0,"",SUMIFS('VÍNCULOS_CDF'!$H$6:$H$1005,'VÍNCULOS_CDF'!$R$6:$R$1005,A37,'VÍNCULOS_CDF'!$V$6:$V$1005,1))</f>
        <v/>
      </c>
      <c r="N37" s="99" t="str">
        <f>IF(OR(R37=0,AA37=0,NOT(ISNUMBER(I37))),"",I37-N(L37))</f>
        <v/>
      </c>
      <c r="O37" s="100" t="str">
        <f>IF(OR(R37=0,AK37&lt;=0),"",N(M37)/AK37)</f>
        <v/>
      </c>
      <c r="P37" s="94" t="str">
        <f>IF(R37=0,"",IF(S37="","Sem MTR associado",IF(U37=0,"MTR inexistente",IF(C37="","Resíduo não identificado",IF(V37=0,"Resíduo fora do cadastro",IF(W37=0,"Quantidade inválida",IF(H37="","Unidade não informada",IF(NOT(ISNUMBER(I37)),"Unidade a conferir",IF(AND(AH37=1,K37&lt;&gt;"Sim"),"Possível duplicidade",IF(Z37=1,"MTR cancelado",IF(AC37&gt;0,"Recebimento com alerta",IF(AA37=0,"Aguardando recebimento",IF(AB37&lt;AA37,"Recebimento a conferir",IF(AM37=1,"Quantidade a revisar",IF(AF37&gt;0,"Vínculo a revisar",IF(AD37=0,"Aguardando CDF",IF(AN37=0,"Vínculo de CDF parcial",IF(AE37&lt;AD37,"CDF a conferir","Documentação conferida"))))))))))))))))))</f>
        <v/>
      </c>
      <c r="Q37" s="93" t="str">
        <f>IF(OR(R37=0,AA37=0),"",MAX(0,N(L37)-N(M37)))</f>
        <v/>
      </c>
      <c r="R37" s="96">
        <f>IF(COUNTA(B37:C37,G37:H37,J37:K37)&gt;0,1,0)</f>
        <v>0</v>
      </c>
      <c r="S37" s="96" t="str">
        <f>IF(B37="","",TRIM(LEFT(B37,FIND(" |",B37&amp;" |")-1)))</f>
        <v/>
      </c>
      <c r="T37" s="96" t="str">
        <f>IF(S37="","",IFERROR(MATCH(S37,'MTRs'!$A$6:$A$505,0),""))</f>
        <v/>
      </c>
      <c r="U37" s="96">
        <f>IF(T37="",0,IF(INDEX('MTRs'!$Z$6:$Z$505,T37)=1,1,0))</f>
        <v>0</v>
      </c>
      <c r="V37" s="96">
        <f>IF(C37="",0,IF(ISNUMBER(MATCH(C37,'CAD_RESÍDUOS'!$B$6:$B$205,0)),1,0))</f>
        <v>0</v>
      </c>
      <c r="W37" s="96">
        <f>IF(AND(ISNUMBER(G37),G37&gt;0),1,0)</f>
        <v>0</v>
      </c>
      <c r="X37" s="96" t="str">
        <f>IF(H37="","",IFERROR(IF(ISNUMBER(INDEX(cfg_fac,MATCH(H37,cfg_units,0))),IF(INDEX(cfg_fac,MATCH(H37,cfg_units,0))&gt;0,INDEX(cfg_fac,MATCH(H37,cfg_units,0)),""),""),""))</f>
        <v/>
      </c>
      <c r="Y37" s="96">
        <f>IF(AND(W37=1,ISNUMBER(I37)),1,0)</f>
        <v>0</v>
      </c>
      <c r="Z37" s="96">
        <f>IF(U37=1,INDEX('MTRs'!$AA$6:$AA$505,T37),0)</f>
        <v>0</v>
      </c>
      <c r="AA37" s="96">
        <f>IF(R37=0,0,COUNTIFS('RECEBIMENTOS'!$R$6:$R$1005,A37,'RECEBIMENTOS'!$Q$6:$Q$1005,1))</f>
        <v>0</v>
      </c>
      <c r="AB37" s="96">
        <f>IF(R37=0,0,COUNTIFS('RECEBIMENTOS'!$R$6:$R$1005,A37,'RECEBIMENTOS'!$Z$6:$Z$1005,1))</f>
        <v>0</v>
      </c>
      <c r="AC37" s="96">
        <f>IF(R37=0,0,COUNTIFS('RECEBIMENTOS'!$R$6:$R$1005,A37,'RECEBIMENTOS'!$Y$6:$Y$1005,1))</f>
        <v>0</v>
      </c>
      <c r="AD37" s="96">
        <f>IF(R37=0,0,COUNTIFS('VÍNCULOS_CDF'!$R$6:$R$1005,A37,'VÍNCULOS_CDF'!$N$6:$N$1005,1))</f>
        <v>0</v>
      </c>
      <c r="AE37" s="96">
        <f>IF(R37=0,0,COUNTIFS('VÍNCULOS_CDF'!$R$6:$R$1005,A37,'VÍNCULOS_CDF'!$AA$6:$AA$1005,1))</f>
        <v>0</v>
      </c>
      <c r="AF37" s="96">
        <f>IF(R37=0,0,COUNTIFS('VÍNCULOS_CDF'!$R$6:$R$1005,A37,'VÍNCULOS_CDF'!$Y$6:$Y$1005,1))</f>
        <v>0</v>
      </c>
      <c r="AG37" s="96" t="str">
        <f>IF(AND(R37=1,S37&lt;&gt;"",C37&lt;&gt;""),S37&amp;"|"&amp;C37&amp;"|"&amp;G37&amp;"|"&amp;H37,"")</f>
        <v/>
      </c>
      <c r="AH37" s="96">
        <f>IF(AG37="",0,IF(SUMPRODUCT(--($AG$6:$AG$1005=AG37))&gt;1,1,0))</f>
        <v>0</v>
      </c>
      <c r="AI37" s="96">
        <f>IF(R37=0,0,IF(OR(U37=0,V37=0,Y37=0,AND(AH37=1,K37&lt;&gt;"Sim")),1,0))</f>
        <v>0</v>
      </c>
      <c r="AJ37" s="96">
        <f>IF(AND(R37=1,AA37&gt;0,AB37=AA37),1,0)</f>
        <v>0</v>
      </c>
      <c r="AK37" s="96">
        <f>IF(R37=0,0,IF(AA37&gt;0,N(L37),IF(ISNUMBER(I37),I37,0)))</f>
        <v>0</v>
      </c>
      <c r="AL37" s="96">
        <f>IF(R37=0,0,IF(AND(K37&lt;&gt;"Sim",N(M37)&gt;AK37+cfg_tol),1,0))</f>
        <v>0</v>
      </c>
      <c r="AM37" s="96">
        <f>IF(R37=0,0,IF(K37="Sim",0,IF(OR(AND(AA37&gt;0,ISNUMBER(I37),ABS(I37-N(L37))&gt;cfg_tol),AL37=1),1,0)))</f>
        <v>0</v>
      </c>
      <c r="AN37" s="96">
        <f>IF(AND(R37=1,N(M37)&gt;0,OR(N(M37)&gt;=AK37-cfg_tol,K37="Sim")),1,0)</f>
        <v>0</v>
      </c>
      <c r="AO37" s="96">
        <f>IF(AND(AN37=1,AD37&gt;0,AE37=AD37,AL37=0),1,0)</f>
        <v>0</v>
      </c>
      <c r="AP37" s="96">
        <f>IF(U37=0,0,IF(AND(INDEX('MTRs'!$AX$6:$AX$505,T37)=1,Z37=0,OR(f_res="",f_res="(Todos)",C37=f_res)),1,0))</f>
        <v>0</v>
      </c>
      <c r="AQ37" s="97" t="str">
        <f>IF(U37=0,"",INDEX('MTRs'!$AZ$6:$AZ$505,T37))</f>
        <v/>
      </c>
      <c r="AR37" s="96">
        <f>IF(U37=0,0,IF(AND(INDEX('MTRs'!$BA$6:$BA$505,T37)=1,Z37=0),1,0))</f>
        <v>0</v>
      </c>
      <c r="AS37" s="96" t="str">
        <f>IF(R37=1,A37&amp;" | MTR "&amp;IF(U37=1,INDEX('MTRs'!$B$6:$B$505,T37)&amp;"","?")&amp;" | "&amp;IF(C37="","(sem resíduo)",C37),"")</f>
        <v/>
      </c>
      <c r="AT37" s="96" t="str">
        <f>IF(R37=1,COUNTIF($R$6:R37,1),"")</f>
        <v/>
      </c>
      <c r="AU37" s="96" t="str">
        <f>IF(U37=1,INDEX('MTRs'!$I$6:$I$505,T37)&amp;"","")</f>
        <v/>
      </c>
    </row>
    <row r="38">
      <c r="A38" s="89" t="inlineStr">
        <is>
          <t>IT-000033</t>
        </is>
      </c>
      <c r="B38" s="91" t="n"/>
      <c r="C38" s="91" t="n"/>
      <c r="D38" s="94" t="str">
        <f>IF(OR(R38=0,V38=0),"",INDEX('CAD_RESÍDUOS'!$E$6:$E$205,MATCH(C38,'CAD_RESÍDUOS'!$B$6:$B$205,0))&amp;"")</f>
        <v/>
      </c>
      <c r="E38" s="94" t="str">
        <f>IF(OR(R38=0,V38=0),"",INDEX('CAD_RESÍDUOS'!$C$6:$C$205,MATCH(C38,'CAD_RESÍDUOS'!$B$6:$B$205,0))&amp;"")</f>
        <v/>
      </c>
      <c r="F38" s="94" t="str">
        <f>IF(OR(R38=0,V38=0),"",INDEX('CAD_RESÍDUOS'!$G$6:$G$205,MATCH(C38,'CAD_RESÍDUOS'!$B$6:$B$205,0))&amp;"")</f>
        <v/>
      </c>
      <c r="G38" s="98" t="n"/>
      <c r="H38" s="91" t="n"/>
      <c r="I38" s="93" t="str">
        <f>IF(R38=0,"",IF(NOT(ISNUMBER(G38)),"",IF(ISNUMBER(X38),G38*X38,"UNIDADE A CONFERIR")))</f>
        <v/>
      </c>
      <c r="J38" s="91" t="n"/>
      <c r="K38" s="91" t="n"/>
      <c r="L38" s="93" t="str">
        <f>IF(R38=0,"",SUMIFS('RECEBIMENTOS'!$H$6:$H$1005,'RECEBIMENTOS'!$R$6:$R$1005,A38,'RECEBIMENTOS'!$X$6:$X$1005,1))</f>
        <v/>
      </c>
      <c r="M38" s="93" t="str">
        <f>IF(R38=0,"",SUMIFS('VÍNCULOS_CDF'!$H$6:$H$1005,'VÍNCULOS_CDF'!$R$6:$R$1005,A38,'VÍNCULOS_CDF'!$V$6:$V$1005,1))</f>
        <v/>
      </c>
      <c r="N38" s="99" t="str">
        <f>IF(OR(R38=0,AA38=0,NOT(ISNUMBER(I38))),"",I38-N(L38))</f>
        <v/>
      </c>
      <c r="O38" s="100" t="str">
        <f>IF(OR(R38=0,AK38&lt;=0),"",N(M38)/AK38)</f>
        <v/>
      </c>
      <c r="P38" s="94" t="str">
        <f>IF(R38=0,"",IF(S38="","Sem MTR associado",IF(U38=0,"MTR inexistente",IF(C38="","Resíduo não identificado",IF(V38=0,"Resíduo fora do cadastro",IF(W38=0,"Quantidade inválida",IF(H38="","Unidade não informada",IF(NOT(ISNUMBER(I38)),"Unidade a conferir",IF(AND(AH38=1,K38&lt;&gt;"Sim"),"Possível duplicidade",IF(Z38=1,"MTR cancelado",IF(AC38&gt;0,"Recebimento com alerta",IF(AA38=0,"Aguardando recebimento",IF(AB38&lt;AA38,"Recebimento a conferir",IF(AM38=1,"Quantidade a revisar",IF(AF38&gt;0,"Vínculo a revisar",IF(AD38=0,"Aguardando CDF",IF(AN38=0,"Vínculo de CDF parcial",IF(AE38&lt;AD38,"CDF a conferir","Documentação conferida"))))))))))))))))))</f>
        <v/>
      </c>
      <c r="Q38" s="93" t="str">
        <f>IF(OR(R38=0,AA38=0),"",MAX(0,N(L38)-N(M38)))</f>
        <v/>
      </c>
      <c r="R38" s="96">
        <f>IF(COUNTA(B38:C38,G38:H38,J38:K38)&gt;0,1,0)</f>
        <v>0</v>
      </c>
      <c r="S38" s="96" t="str">
        <f>IF(B38="","",TRIM(LEFT(B38,FIND(" |",B38&amp;" |")-1)))</f>
        <v/>
      </c>
      <c r="T38" s="96" t="str">
        <f>IF(S38="","",IFERROR(MATCH(S38,'MTRs'!$A$6:$A$505,0),""))</f>
        <v/>
      </c>
      <c r="U38" s="96">
        <f>IF(T38="",0,IF(INDEX('MTRs'!$Z$6:$Z$505,T38)=1,1,0))</f>
        <v>0</v>
      </c>
      <c r="V38" s="96">
        <f>IF(C38="",0,IF(ISNUMBER(MATCH(C38,'CAD_RESÍDUOS'!$B$6:$B$205,0)),1,0))</f>
        <v>0</v>
      </c>
      <c r="W38" s="96">
        <f>IF(AND(ISNUMBER(G38),G38&gt;0),1,0)</f>
        <v>0</v>
      </c>
      <c r="X38" s="96" t="str">
        <f>IF(H38="","",IFERROR(IF(ISNUMBER(INDEX(cfg_fac,MATCH(H38,cfg_units,0))),IF(INDEX(cfg_fac,MATCH(H38,cfg_units,0))&gt;0,INDEX(cfg_fac,MATCH(H38,cfg_units,0)),""),""),""))</f>
        <v/>
      </c>
      <c r="Y38" s="96">
        <f>IF(AND(W38=1,ISNUMBER(I38)),1,0)</f>
        <v>0</v>
      </c>
      <c r="Z38" s="96">
        <f>IF(U38=1,INDEX('MTRs'!$AA$6:$AA$505,T38),0)</f>
        <v>0</v>
      </c>
      <c r="AA38" s="96">
        <f>IF(R38=0,0,COUNTIFS('RECEBIMENTOS'!$R$6:$R$1005,A38,'RECEBIMENTOS'!$Q$6:$Q$1005,1))</f>
        <v>0</v>
      </c>
      <c r="AB38" s="96">
        <f>IF(R38=0,0,COUNTIFS('RECEBIMENTOS'!$R$6:$R$1005,A38,'RECEBIMENTOS'!$Z$6:$Z$1005,1))</f>
        <v>0</v>
      </c>
      <c r="AC38" s="96">
        <f>IF(R38=0,0,COUNTIFS('RECEBIMENTOS'!$R$6:$R$1005,A38,'RECEBIMENTOS'!$Y$6:$Y$1005,1))</f>
        <v>0</v>
      </c>
      <c r="AD38" s="96">
        <f>IF(R38=0,0,COUNTIFS('VÍNCULOS_CDF'!$R$6:$R$1005,A38,'VÍNCULOS_CDF'!$N$6:$N$1005,1))</f>
        <v>0</v>
      </c>
      <c r="AE38" s="96">
        <f>IF(R38=0,0,COUNTIFS('VÍNCULOS_CDF'!$R$6:$R$1005,A38,'VÍNCULOS_CDF'!$AA$6:$AA$1005,1))</f>
        <v>0</v>
      </c>
      <c r="AF38" s="96">
        <f>IF(R38=0,0,COUNTIFS('VÍNCULOS_CDF'!$R$6:$R$1005,A38,'VÍNCULOS_CDF'!$Y$6:$Y$1005,1))</f>
        <v>0</v>
      </c>
      <c r="AG38" s="96" t="str">
        <f>IF(AND(R38=1,S38&lt;&gt;"",C38&lt;&gt;""),S38&amp;"|"&amp;C38&amp;"|"&amp;G38&amp;"|"&amp;H38,"")</f>
        <v/>
      </c>
      <c r="AH38" s="96">
        <f>IF(AG38="",0,IF(SUMPRODUCT(--($AG$6:$AG$1005=AG38))&gt;1,1,0))</f>
        <v>0</v>
      </c>
      <c r="AI38" s="96">
        <f>IF(R38=0,0,IF(OR(U38=0,V38=0,Y38=0,AND(AH38=1,K38&lt;&gt;"Sim")),1,0))</f>
        <v>0</v>
      </c>
      <c r="AJ38" s="96">
        <f>IF(AND(R38=1,AA38&gt;0,AB38=AA38),1,0)</f>
        <v>0</v>
      </c>
      <c r="AK38" s="96">
        <f>IF(R38=0,0,IF(AA38&gt;0,N(L38),IF(ISNUMBER(I38),I38,0)))</f>
        <v>0</v>
      </c>
      <c r="AL38" s="96">
        <f>IF(R38=0,0,IF(AND(K38&lt;&gt;"Sim",N(M38)&gt;AK38+cfg_tol),1,0))</f>
        <v>0</v>
      </c>
      <c r="AM38" s="96">
        <f>IF(R38=0,0,IF(K38="Sim",0,IF(OR(AND(AA38&gt;0,ISNUMBER(I38),ABS(I38-N(L38))&gt;cfg_tol),AL38=1),1,0)))</f>
        <v>0</v>
      </c>
      <c r="AN38" s="96">
        <f>IF(AND(R38=1,N(M38)&gt;0,OR(N(M38)&gt;=AK38-cfg_tol,K38="Sim")),1,0)</f>
        <v>0</v>
      </c>
      <c r="AO38" s="96">
        <f>IF(AND(AN38=1,AD38&gt;0,AE38=AD38,AL38=0),1,0)</f>
        <v>0</v>
      </c>
      <c r="AP38" s="96">
        <f>IF(U38=0,0,IF(AND(INDEX('MTRs'!$AX$6:$AX$505,T38)=1,Z38=0,OR(f_res="",f_res="(Todos)",C38=f_res)),1,0))</f>
        <v>0</v>
      </c>
      <c r="AQ38" s="97" t="str">
        <f>IF(U38=0,"",INDEX('MTRs'!$AZ$6:$AZ$505,T38))</f>
        <v/>
      </c>
      <c r="AR38" s="96">
        <f>IF(U38=0,0,IF(AND(INDEX('MTRs'!$BA$6:$BA$505,T38)=1,Z38=0),1,0))</f>
        <v>0</v>
      </c>
      <c r="AS38" s="96" t="str">
        <f>IF(R38=1,A38&amp;" | MTR "&amp;IF(U38=1,INDEX('MTRs'!$B$6:$B$505,T38)&amp;"","?")&amp;" | "&amp;IF(C38="","(sem resíduo)",C38),"")</f>
        <v/>
      </c>
      <c r="AT38" s="96" t="str">
        <f>IF(R38=1,COUNTIF($R$6:R38,1),"")</f>
        <v/>
      </c>
      <c r="AU38" s="96" t="str">
        <f>IF(U38=1,INDEX('MTRs'!$I$6:$I$505,T38)&amp;"","")</f>
        <v/>
      </c>
    </row>
    <row r="39">
      <c r="A39" s="89" t="inlineStr">
        <is>
          <t>IT-000034</t>
        </is>
      </c>
      <c r="B39" s="91" t="n"/>
      <c r="C39" s="91" t="n"/>
      <c r="D39" s="94" t="str">
        <f>IF(OR(R39=0,V39=0),"",INDEX('CAD_RESÍDUOS'!$E$6:$E$205,MATCH(C39,'CAD_RESÍDUOS'!$B$6:$B$205,0))&amp;"")</f>
        <v/>
      </c>
      <c r="E39" s="94" t="str">
        <f>IF(OR(R39=0,V39=0),"",INDEX('CAD_RESÍDUOS'!$C$6:$C$205,MATCH(C39,'CAD_RESÍDUOS'!$B$6:$B$205,0))&amp;"")</f>
        <v/>
      </c>
      <c r="F39" s="94" t="str">
        <f>IF(OR(R39=0,V39=0),"",INDEX('CAD_RESÍDUOS'!$G$6:$G$205,MATCH(C39,'CAD_RESÍDUOS'!$B$6:$B$205,0))&amp;"")</f>
        <v/>
      </c>
      <c r="G39" s="98" t="n"/>
      <c r="H39" s="91" t="n"/>
      <c r="I39" s="93" t="str">
        <f>IF(R39=0,"",IF(NOT(ISNUMBER(G39)),"",IF(ISNUMBER(X39),G39*X39,"UNIDADE A CONFERIR")))</f>
        <v/>
      </c>
      <c r="J39" s="91" t="n"/>
      <c r="K39" s="91" t="n"/>
      <c r="L39" s="93" t="str">
        <f>IF(R39=0,"",SUMIFS('RECEBIMENTOS'!$H$6:$H$1005,'RECEBIMENTOS'!$R$6:$R$1005,A39,'RECEBIMENTOS'!$X$6:$X$1005,1))</f>
        <v/>
      </c>
      <c r="M39" s="93" t="str">
        <f>IF(R39=0,"",SUMIFS('VÍNCULOS_CDF'!$H$6:$H$1005,'VÍNCULOS_CDF'!$R$6:$R$1005,A39,'VÍNCULOS_CDF'!$V$6:$V$1005,1))</f>
        <v/>
      </c>
      <c r="N39" s="99" t="str">
        <f>IF(OR(R39=0,AA39=0,NOT(ISNUMBER(I39))),"",I39-N(L39))</f>
        <v/>
      </c>
      <c r="O39" s="100" t="str">
        <f>IF(OR(R39=0,AK39&lt;=0),"",N(M39)/AK39)</f>
        <v/>
      </c>
      <c r="P39" s="94" t="str">
        <f>IF(R39=0,"",IF(S39="","Sem MTR associado",IF(U39=0,"MTR inexistente",IF(C39="","Resíduo não identificado",IF(V39=0,"Resíduo fora do cadastro",IF(W39=0,"Quantidade inválida",IF(H39="","Unidade não informada",IF(NOT(ISNUMBER(I39)),"Unidade a conferir",IF(AND(AH39=1,K39&lt;&gt;"Sim"),"Possível duplicidade",IF(Z39=1,"MTR cancelado",IF(AC39&gt;0,"Recebimento com alerta",IF(AA39=0,"Aguardando recebimento",IF(AB39&lt;AA39,"Recebimento a conferir",IF(AM39=1,"Quantidade a revisar",IF(AF39&gt;0,"Vínculo a revisar",IF(AD39=0,"Aguardando CDF",IF(AN39=0,"Vínculo de CDF parcial",IF(AE39&lt;AD39,"CDF a conferir","Documentação conferida"))))))))))))))))))</f>
        <v/>
      </c>
      <c r="Q39" s="93" t="str">
        <f>IF(OR(R39=0,AA39=0),"",MAX(0,N(L39)-N(M39)))</f>
        <v/>
      </c>
      <c r="R39" s="96">
        <f>IF(COUNTA(B39:C39,G39:H39,J39:K39)&gt;0,1,0)</f>
        <v>0</v>
      </c>
      <c r="S39" s="96" t="str">
        <f>IF(B39="","",TRIM(LEFT(B39,FIND(" |",B39&amp;" |")-1)))</f>
        <v/>
      </c>
      <c r="T39" s="96" t="str">
        <f>IF(S39="","",IFERROR(MATCH(S39,'MTRs'!$A$6:$A$505,0),""))</f>
        <v/>
      </c>
      <c r="U39" s="96">
        <f>IF(T39="",0,IF(INDEX('MTRs'!$Z$6:$Z$505,T39)=1,1,0))</f>
        <v>0</v>
      </c>
      <c r="V39" s="96">
        <f>IF(C39="",0,IF(ISNUMBER(MATCH(C39,'CAD_RESÍDUOS'!$B$6:$B$205,0)),1,0))</f>
        <v>0</v>
      </c>
      <c r="W39" s="96">
        <f>IF(AND(ISNUMBER(G39),G39&gt;0),1,0)</f>
        <v>0</v>
      </c>
      <c r="X39" s="96" t="str">
        <f>IF(H39="","",IFERROR(IF(ISNUMBER(INDEX(cfg_fac,MATCH(H39,cfg_units,0))),IF(INDEX(cfg_fac,MATCH(H39,cfg_units,0))&gt;0,INDEX(cfg_fac,MATCH(H39,cfg_units,0)),""),""),""))</f>
        <v/>
      </c>
      <c r="Y39" s="96">
        <f>IF(AND(W39=1,ISNUMBER(I39)),1,0)</f>
        <v>0</v>
      </c>
      <c r="Z39" s="96">
        <f>IF(U39=1,INDEX('MTRs'!$AA$6:$AA$505,T39),0)</f>
        <v>0</v>
      </c>
      <c r="AA39" s="96">
        <f>IF(R39=0,0,COUNTIFS('RECEBIMENTOS'!$R$6:$R$1005,A39,'RECEBIMENTOS'!$Q$6:$Q$1005,1))</f>
        <v>0</v>
      </c>
      <c r="AB39" s="96">
        <f>IF(R39=0,0,COUNTIFS('RECEBIMENTOS'!$R$6:$R$1005,A39,'RECEBIMENTOS'!$Z$6:$Z$1005,1))</f>
        <v>0</v>
      </c>
      <c r="AC39" s="96">
        <f>IF(R39=0,0,COUNTIFS('RECEBIMENTOS'!$R$6:$R$1005,A39,'RECEBIMENTOS'!$Y$6:$Y$1005,1))</f>
        <v>0</v>
      </c>
      <c r="AD39" s="96">
        <f>IF(R39=0,0,COUNTIFS('VÍNCULOS_CDF'!$R$6:$R$1005,A39,'VÍNCULOS_CDF'!$N$6:$N$1005,1))</f>
        <v>0</v>
      </c>
      <c r="AE39" s="96">
        <f>IF(R39=0,0,COUNTIFS('VÍNCULOS_CDF'!$R$6:$R$1005,A39,'VÍNCULOS_CDF'!$AA$6:$AA$1005,1))</f>
        <v>0</v>
      </c>
      <c r="AF39" s="96">
        <f>IF(R39=0,0,COUNTIFS('VÍNCULOS_CDF'!$R$6:$R$1005,A39,'VÍNCULOS_CDF'!$Y$6:$Y$1005,1))</f>
        <v>0</v>
      </c>
      <c r="AG39" s="96" t="str">
        <f>IF(AND(R39=1,S39&lt;&gt;"",C39&lt;&gt;""),S39&amp;"|"&amp;C39&amp;"|"&amp;G39&amp;"|"&amp;H39,"")</f>
        <v/>
      </c>
      <c r="AH39" s="96">
        <f>IF(AG39="",0,IF(SUMPRODUCT(--($AG$6:$AG$1005=AG39))&gt;1,1,0))</f>
        <v>0</v>
      </c>
      <c r="AI39" s="96">
        <f>IF(R39=0,0,IF(OR(U39=0,V39=0,Y39=0,AND(AH39=1,K39&lt;&gt;"Sim")),1,0))</f>
        <v>0</v>
      </c>
      <c r="AJ39" s="96">
        <f>IF(AND(R39=1,AA39&gt;0,AB39=AA39),1,0)</f>
        <v>0</v>
      </c>
      <c r="AK39" s="96">
        <f>IF(R39=0,0,IF(AA39&gt;0,N(L39),IF(ISNUMBER(I39),I39,0)))</f>
        <v>0</v>
      </c>
      <c r="AL39" s="96">
        <f>IF(R39=0,0,IF(AND(K39&lt;&gt;"Sim",N(M39)&gt;AK39+cfg_tol),1,0))</f>
        <v>0</v>
      </c>
      <c r="AM39" s="96">
        <f>IF(R39=0,0,IF(K39="Sim",0,IF(OR(AND(AA39&gt;0,ISNUMBER(I39),ABS(I39-N(L39))&gt;cfg_tol),AL39=1),1,0)))</f>
        <v>0</v>
      </c>
      <c r="AN39" s="96">
        <f>IF(AND(R39=1,N(M39)&gt;0,OR(N(M39)&gt;=AK39-cfg_tol,K39="Sim")),1,0)</f>
        <v>0</v>
      </c>
      <c r="AO39" s="96">
        <f>IF(AND(AN39=1,AD39&gt;0,AE39=AD39,AL39=0),1,0)</f>
        <v>0</v>
      </c>
      <c r="AP39" s="96">
        <f>IF(U39=0,0,IF(AND(INDEX('MTRs'!$AX$6:$AX$505,T39)=1,Z39=0,OR(f_res="",f_res="(Todos)",C39=f_res)),1,0))</f>
        <v>0</v>
      </c>
      <c r="AQ39" s="97" t="str">
        <f>IF(U39=0,"",INDEX('MTRs'!$AZ$6:$AZ$505,T39))</f>
        <v/>
      </c>
      <c r="AR39" s="96">
        <f>IF(U39=0,0,IF(AND(INDEX('MTRs'!$BA$6:$BA$505,T39)=1,Z39=0),1,0))</f>
        <v>0</v>
      </c>
      <c r="AS39" s="96" t="str">
        <f>IF(R39=1,A39&amp;" | MTR "&amp;IF(U39=1,INDEX('MTRs'!$B$6:$B$505,T39)&amp;"","?")&amp;" | "&amp;IF(C39="","(sem resíduo)",C39),"")</f>
        <v/>
      </c>
      <c r="AT39" s="96" t="str">
        <f>IF(R39=1,COUNTIF($R$6:R39,1),"")</f>
        <v/>
      </c>
      <c r="AU39" s="96" t="str">
        <f>IF(U39=1,INDEX('MTRs'!$I$6:$I$505,T39)&amp;"","")</f>
        <v/>
      </c>
    </row>
    <row r="40">
      <c r="A40" s="89" t="inlineStr">
        <is>
          <t>IT-000035</t>
        </is>
      </c>
      <c r="B40" s="91" t="n"/>
      <c r="C40" s="91" t="n"/>
      <c r="D40" s="94" t="str">
        <f>IF(OR(R40=0,V40=0),"",INDEX('CAD_RESÍDUOS'!$E$6:$E$205,MATCH(C40,'CAD_RESÍDUOS'!$B$6:$B$205,0))&amp;"")</f>
        <v/>
      </c>
      <c r="E40" s="94" t="str">
        <f>IF(OR(R40=0,V40=0),"",INDEX('CAD_RESÍDUOS'!$C$6:$C$205,MATCH(C40,'CAD_RESÍDUOS'!$B$6:$B$205,0))&amp;"")</f>
        <v/>
      </c>
      <c r="F40" s="94" t="str">
        <f>IF(OR(R40=0,V40=0),"",INDEX('CAD_RESÍDUOS'!$G$6:$G$205,MATCH(C40,'CAD_RESÍDUOS'!$B$6:$B$205,0))&amp;"")</f>
        <v/>
      </c>
      <c r="G40" s="98" t="n"/>
      <c r="H40" s="91" t="n"/>
      <c r="I40" s="93" t="str">
        <f>IF(R40=0,"",IF(NOT(ISNUMBER(G40)),"",IF(ISNUMBER(X40),G40*X40,"UNIDADE A CONFERIR")))</f>
        <v/>
      </c>
      <c r="J40" s="91" t="n"/>
      <c r="K40" s="91" t="n"/>
      <c r="L40" s="93" t="str">
        <f>IF(R40=0,"",SUMIFS('RECEBIMENTOS'!$H$6:$H$1005,'RECEBIMENTOS'!$R$6:$R$1005,A40,'RECEBIMENTOS'!$X$6:$X$1005,1))</f>
        <v/>
      </c>
      <c r="M40" s="93" t="str">
        <f>IF(R40=0,"",SUMIFS('VÍNCULOS_CDF'!$H$6:$H$1005,'VÍNCULOS_CDF'!$R$6:$R$1005,A40,'VÍNCULOS_CDF'!$V$6:$V$1005,1))</f>
        <v/>
      </c>
      <c r="N40" s="99" t="str">
        <f>IF(OR(R40=0,AA40=0,NOT(ISNUMBER(I40))),"",I40-N(L40))</f>
        <v/>
      </c>
      <c r="O40" s="100" t="str">
        <f>IF(OR(R40=0,AK40&lt;=0),"",N(M40)/AK40)</f>
        <v/>
      </c>
      <c r="P40" s="94" t="str">
        <f>IF(R40=0,"",IF(S40="","Sem MTR associado",IF(U40=0,"MTR inexistente",IF(C40="","Resíduo não identificado",IF(V40=0,"Resíduo fora do cadastro",IF(W40=0,"Quantidade inválida",IF(H40="","Unidade não informada",IF(NOT(ISNUMBER(I40)),"Unidade a conferir",IF(AND(AH40=1,K40&lt;&gt;"Sim"),"Possível duplicidade",IF(Z40=1,"MTR cancelado",IF(AC40&gt;0,"Recebimento com alerta",IF(AA40=0,"Aguardando recebimento",IF(AB40&lt;AA40,"Recebimento a conferir",IF(AM40=1,"Quantidade a revisar",IF(AF40&gt;0,"Vínculo a revisar",IF(AD40=0,"Aguardando CDF",IF(AN40=0,"Vínculo de CDF parcial",IF(AE40&lt;AD40,"CDF a conferir","Documentação conferida"))))))))))))))))))</f>
        <v/>
      </c>
      <c r="Q40" s="93" t="str">
        <f>IF(OR(R40=0,AA40=0),"",MAX(0,N(L40)-N(M40)))</f>
        <v/>
      </c>
      <c r="R40" s="96">
        <f>IF(COUNTA(B40:C40,G40:H40,J40:K40)&gt;0,1,0)</f>
        <v>0</v>
      </c>
      <c r="S40" s="96" t="str">
        <f>IF(B40="","",TRIM(LEFT(B40,FIND(" |",B40&amp;" |")-1)))</f>
        <v/>
      </c>
      <c r="T40" s="96" t="str">
        <f>IF(S40="","",IFERROR(MATCH(S40,'MTRs'!$A$6:$A$505,0),""))</f>
        <v/>
      </c>
      <c r="U40" s="96">
        <f>IF(T40="",0,IF(INDEX('MTRs'!$Z$6:$Z$505,T40)=1,1,0))</f>
        <v>0</v>
      </c>
      <c r="V40" s="96">
        <f>IF(C40="",0,IF(ISNUMBER(MATCH(C40,'CAD_RESÍDUOS'!$B$6:$B$205,0)),1,0))</f>
        <v>0</v>
      </c>
      <c r="W40" s="96">
        <f>IF(AND(ISNUMBER(G40),G40&gt;0),1,0)</f>
        <v>0</v>
      </c>
      <c r="X40" s="96" t="str">
        <f>IF(H40="","",IFERROR(IF(ISNUMBER(INDEX(cfg_fac,MATCH(H40,cfg_units,0))),IF(INDEX(cfg_fac,MATCH(H40,cfg_units,0))&gt;0,INDEX(cfg_fac,MATCH(H40,cfg_units,0)),""),""),""))</f>
        <v/>
      </c>
      <c r="Y40" s="96">
        <f>IF(AND(W40=1,ISNUMBER(I40)),1,0)</f>
        <v>0</v>
      </c>
      <c r="Z40" s="96">
        <f>IF(U40=1,INDEX('MTRs'!$AA$6:$AA$505,T40),0)</f>
        <v>0</v>
      </c>
      <c r="AA40" s="96">
        <f>IF(R40=0,0,COUNTIFS('RECEBIMENTOS'!$R$6:$R$1005,A40,'RECEBIMENTOS'!$Q$6:$Q$1005,1))</f>
        <v>0</v>
      </c>
      <c r="AB40" s="96">
        <f>IF(R40=0,0,COUNTIFS('RECEBIMENTOS'!$R$6:$R$1005,A40,'RECEBIMENTOS'!$Z$6:$Z$1005,1))</f>
        <v>0</v>
      </c>
      <c r="AC40" s="96">
        <f>IF(R40=0,0,COUNTIFS('RECEBIMENTOS'!$R$6:$R$1005,A40,'RECEBIMENTOS'!$Y$6:$Y$1005,1))</f>
        <v>0</v>
      </c>
      <c r="AD40" s="96">
        <f>IF(R40=0,0,COUNTIFS('VÍNCULOS_CDF'!$R$6:$R$1005,A40,'VÍNCULOS_CDF'!$N$6:$N$1005,1))</f>
        <v>0</v>
      </c>
      <c r="AE40" s="96">
        <f>IF(R40=0,0,COUNTIFS('VÍNCULOS_CDF'!$R$6:$R$1005,A40,'VÍNCULOS_CDF'!$AA$6:$AA$1005,1))</f>
        <v>0</v>
      </c>
      <c r="AF40" s="96">
        <f>IF(R40=0,0,COUNTIFS('VÍNCULOS_CDF'!$R$6:$R$1005,A40,'VÍNCULOS_CDF'!$Y$6:$Y$1005,1))</f>
        <v>0</v>
      </c>
      <c r="AG40" s="96" t="str">
        <f>IF(AND(R40=1,S40&lt;&gt;"",C40&lt;&gt;""),S40&amp;"|"&amp;C40&amp;"|"&amp;G40&amp;"|"&amp;H40,"")</f>
        <v/>
      </c>
      <c r="AH40" s="96">
        <f>IF(AG40="",0,IF(SUMPRODUCT(--($AG$6:$AG$1005=AG40))&gt;1,1,0))</f>
        <v>0</v>
      </c>
      <c r="AI40" s="96">
        <f>IF(R40=0,0,IF(OR(U40=0,V40=0,Y40=0,AND(AH40=1,K40&lt;&gt;"Sim")),1,0))</f>
        <v>0</v>
      </c>
      <c r="AJ40" s="96">
        <f>IF(AND(R40=1,AA40&gt;0,AB40=AA40),1,0)</f>
        <v>0</v>
      </c>
      <c r="AK40" s="96">
        <f>IF(R40=0,0,IF(AA40&gt;0,N(L40),IF(ISNUMBER(I40),I40,0)))</f>
        <v>0</v>
      </c>
      <c r="AL40" s="96">
        <f>IF(R40=0,0,IF(AND(K40&lt;&gt;"Sim",N(M40)&gt;AK40+cfg_tol),1,0))</f>
        <v>0</v>
      </c>
      <c r="AM40" s="96">
        <f>IF(R40=0,0,IF(K40="Sim",0,IF(OR(AND(AA40&gt;0,ISNUMBER(I40),ABS(I40-N(L40))&gt;cfg_tol),AL40=1),1,0)))</f>
        <v>0</v>
      </c>
      <c r="AN40" s="96">
        <f>IF(AND(R40=1,N(M40)&gt;0,OR(N(M40)&gt;=AK40-cfg_tol,K40="Sim")),1,0)</f>
        <v>0</v>
      </c>
      <c r="AO40" s="96">
        <f>IF(AND(AN40=1,AD40&gt;0,AE40=AD40,AL40=0),1,0)</f>
        <v>0</v>
      </c>
      <c r="AP40" s="96">
        <f>IF(U40=0,0,IF(AND(INDEX('MTRs'!$AX$6:$AX$505,T40)=1,Z40=0,OR(f_res="",f_res="(Todos)",C40=f_res)),1,0))</f>
        <v>0</v>
      </c>
      <c r="AQ40" s="97" t="str">
        <f>IF(U40=0,"",INDEX('MTRs'!$AZ$6:$AZ$505,T40))</f>
        <v/>
      </c>
      <c r="AR40" s="96">
        <f>IF(U40=0,0,IF(AND(INDEX('MTRs'!$BA$6:$BA$505,T40)=1,Z40=0),1,0))</f>
        <v>0</v>
      </c>
      <c r="AS40" s="96" t="str">
        <f>IF(R40=1,A40&amp;" | MTR "&amp;IF(U40=1,INDEX('MTRs'!$B$6:$B$505,T40)&amp;"","?")&amp;" | "&amp;IF(C40="","(sem resíduo)",C40),"")</f>
        <v/>
      </c>
      <c r="AT40" s="96" t="str">
        <f>IF(R40=1,COUNTIF($R$6:R40,1),"")</f>
        <v/>
      </c>
      <c r="AU40" s="96" t="str">
        <f>IF(U40=1,INDEX('MTRs'!$I$6:$I$505,T40)&amp;"","")</f>
        <v/>
      </c>
    </row>
    <row r="41">
      <c r="A41" s="89" t="inlineStr">
        <is>
          <t>IT-000036</t>
        </is>
      </c>
      <c r="B41" s="91" t="n"/>
      <c r="C41" s="91" t="n"/>
      <c r="D41" s="94" t="str">
        <f>IF(OR(R41=0,V41=0),"",INDEX('CAD_RESÍDUOS'!$E$6:$E$205,MATCH(C41,'CAD_RESÍDUOS'!$B$6:$B$205,0))&amp;"")</f>
        <v/>
      </c>
      <c r="E41" s="94" t="str">
        <f>IF(OR(R41=0,V41=0),"",INDEX('CAD_RESÍDUOS'!$C$6:$C$205,MATCH(C41,'CAD_RESÍDUOS'!$B$6:$B$205,0))&amp;"")</f>
        <v/>
      </c>
      <c r="F41" s="94" t="str">
        <f>IF(OR(R41=0,V41=0),"",INDEX('CAD_RESÍDUOS'!$G$6:$G$205,MATCH(C41,'CAD_RESÍDUOS'!$B$6:$B$205,0))&amp;"")</f>
        <v/>
      </c>
      <c r="G41" s="98" t="n"/>
      <c r="H41" s="91" t="n"/>
      <c r="I41" s="93" t="str">
        <f>IF(R41=0,"",IF(NOT(ISNUMBER(G41)),"",IF(ISNUMBER(X41),G41*X41,"UNIDADE A CONFERIR")))</f>
        <v/>
      </c>
      <c r="J41" s="91" t="n"/>
      <c r="K41" s="91" t="n"/>
      <c r="L41" s="93" t="str">
        <f>IF(R41=0,"",SUMIFS('RECEBIMENTOS'!$H$6:$H$1005,'RECEBIMENTOS'!$R$6:$R$1005,A41,'RECEBIMENTOS'!$X$6:$X$1005,1))</f>
        <v/>
      </c>
      <c r="M41" s="93" t="str">
        <f>IF(R41=0,"",SUMIFS('VÍNCULOS_CDF'!$H$6:$H$1005,'VÍNCULOS_CDF'!$R$6:$R$1005,A41,'VÍNCULOS_CDF'!$V$6:$V$1005,1))</f>
        <v/>
      </c>
      <c r="N41" s="99" t="str">
        <f>IF(OR(R41=0,AA41=0,NOT(ISNUMBER(I41))),"",I41-N(L41))</f>
        <v/>
      </c>
      <c r="O41" s="100" t="str">
        <f>IF(OR(R41=0,AK41&lt;=0),"",N(M41)/AK41)</f>
        <v/>
      </c>
      <c r="P41" s="94" t="str">
        <f>IF(R41=0,"",IF(S41="","Sem MTR associado",IF(U41=0,"MTR inexistente",IF(C41="","Resíduo não identificado",IF(V41=0,"Resíduo fora do cadastro",IF(W41=0,"Quantidade inválida",IF(H41="","Unidade não informada",IF(NOT(ISNUMBER(I41)),"Unidade a conferir",IF(AND(AH41=1,K41&lt;&gt;"Sim"),"Possível duplicidade",IF(Z41=1,"MTR cancelado",IF(AC41&gt;0,"Recebimento com alerta",IF(AA41=0,"Aguardando recebimento",IF(AB41&lt;AA41,"Recebimento a conferir",IF(AM41=1,"Quantidade a revisar",IF(AF41&gt;0,"Vínculo a revisar",IF(AD41=0,"Aguardando CDF",IF(AN41=0,"Vínculo de CDF parcial",IF(AE41&lt;AD41,"CDF a conferir","Documentação conferida"))))))))))))))))))</f>
        <v/>
      </c>
      <c r="Q41" s="93" t="str">
        <f>IF(OR(R41=0,AA41=0),"",MAX(0,N(L41)-N(M41)))</f>
        <v/>
      </c>
      <c r="R41" s="96">
        <f>IF(COUNTA(B41:C41,G41:H41,J41:K41)&gt;0,1,0)</f>
        <v>0</v>
      </c>
      <c r="S41" s="96" t="str">
        <f>IF(B41="","",TRIM(LEFT(B41,FIND(" |",B41&amp;" |")-1)))</f>
        <v/>
      </c>
      <c r="T41" s="96" t="str">
        <f>IF(S41="","",IFERROR(MATCH(S41,'MTRs'!$A$6:$A$505,0),""))</f>
        <v/>
      </c>
      <c r="U41" s="96">
        <f>IF(T41="",0,IF(INDEX('MTRs'!$Z$6:$Z$505,T41)=1,1,0))</f>
        <v>0</v>
      </c>
      <c r="V41" s="96">
        <f>IF(C41="",0,IF(ISNUMBER(MATCH(C41,'CAD_RESÍDUOS'!$B$6:$B$205,0)),1,0))</f>
        <v>0</v>
      </c>
      <c r="W41" s="96">
        <f>IF(AND(ISNUMBER(G41),G41&gt;0),1,0)</f>
        <v>0</v>
      </c>
      <c r="X41" s="96" t="str">
        <f>IF(H41="","",IFERROR(IF(ISNUMBER(INDEX(cfg_fac,MATCH(H41,cfg_units,0))),IF(INDEX(cfg_fac,MATCH(H41,cfg_units,0))&gt;0,INDEX(cfg_fac,MATCH(H41,cfg_units,0)),""),""),""))</f>
        <v/>
      </c>
      <c r="Y41" s="96">
        <f>IF(AND(W41=1,ISNUMBER(I41)),1,0)</f>
        <v>0</v>
      </c>
      <c r="Z41" s="96">
        <f>IF(U41=1,INDEX('MTRs'!$AA$6:$AA$505,T41),0)</f>
        <v>0</v>
      </c>
      <c r="AA41" s="96">
        <f>IF(R41=0,0,COUNTIFS('RECEBIMENTOS'!$R$6:$R$1005,A41,'RECEBIMENTOS'!$Q$6:$Q$1005,1))</f>
        <v>0</v>
      </c>
      <c r="AB41" s="96">
        <f>IF(R41=0,0,COUNTIFS('RECEBIMENTOS'!$R$6:$R$1005,A41,'RECEBIMENTOS'!$Z$6:$Z$1005,1))</f>
        <v>0</v>
      </c>
      <c r="AC41" s="96">
        <f>IF(R41=0,0,COUNTIFS('RECEBIMENTOS'!$R$6:$R$1005,A41,'RECEBIMENTOS'!$Y$6:$Y$1005,1))</f>
        <v>0</v>
      </c>
      <c r="AD41" s="96">
        <f>IF(R41=0,0,COUNTIFS('VÍNCULOS_CDF'!$R$6:$R$1005,A41,'VÍNCULOS_CDF'!$N$6:$N$1005,1))</f>
        <v>0</v>
      </c>
      <c r="AE41" s="96">
        <f>IF(R41=0,0,COUNTIFS('VÍNCULOS_CDF'!$R$6:$R$1005,A41,'VÍNCULOS_CDF'!$AA$6:$AA$1005,1))</f>
        <v>0</v>
      </c>
      <c r="AF41" s="96">
        <f>IF(R41=0,0,COUNTIFS('VÍNCULOS_CDF'!$R$6:$R$1005,A41,'VÍNCULOS_CDF'!$Y$6:$Y$1005,1))</f>
        <v>0</v>
      </c>
      <c r="AG41" s="96" t="str">
        <f>IF(AND(R41=1,S41&lt;&gt;"",C41&lt;&gt;""),S41&amp;"|"&amp;C41&amp;"|"&amp;G41&amp;"|"&amp;H41,"")</f>
        <v/>
      </c>
      <c r="AH41" s="96">
        <f>IF(AG41="",0,IF(SUMPRODUCT(--($AG$6:$AG$1005=AG41))&gt;1,1,0))</f>
        <v>0</v>
      </c>
      <c r="AI41" s="96">
        <f>IF(R41=0,0,IF(OR(U41=0,V41=0,Y41=0,AND(AH41=1,K41&lt;&gt;"Sim")),1,0))</f>
        <v>0</v>
      </c>
      <c r="AJ41" s="96">
        <f>IF(AND(R41=1,AA41&gt;0,AB41=AA41),1,0)</f>
        <v>0</v>
      </c>
      <c r="AK41" s="96">
        <f>IF(R41=0,0,IF(AA41&gt;0,N(L41),IF(ISNUMBER(I41),I41,0)))</f>
        <v>0</v>
      </c>
      <c r="AL41" s="96">
        <f>IF(R41=0,0,IF(AND(K41&lt;&gt;"Sim",N(M41)&gt;AK41+cfg_tol),1,0))</f>
        <v>0</v>
      </c>
      <c r="AM41" s="96">
        <f>IF(R41=0,0,IF(K41="Sim",0,IF(OR(AND(AA41&gt;0,ISNUMBER(I41),ABS(I41-N(L41))&gt;cfg_tol),AL41=1),1,0)))</f>
        <v>0</v>
      </c>
      <c r="AN41" s="96">
        <f>IF(AND(R41=1,N(M41)&gt;0,OR(N(M41)&gt;=AK41-cfg_tol,K41="Sim")),1,0)</f>
        <v>0</v>
      </c>
      <c r="AO41" s="96">
        <f>IF(AND(AN41=1,AD41&gt;0,AE41=AD41,AL41=0),1,0)</f>
        <v>0</v>
      </c>
      <c r="AP41" s="96">
        <f>IF(U41=0,0,IF(AND(INDEX('MTRs'!$AX$6:$AX$505,T41)=1,Z41=0,OR(f_res="",f_res="(Todos)",C41=f_res)),1,0))</f>
        <v>0</v>
      </c>
      <c r="AQ41" s="97" t="str">
        <f>IF(U41=0,"",INDEX('MTRs'!$AZ$6:$AZ$505,T41))</f>
        <v/>
      </c>
      <c r="AR41" s="96">
        <f>IF(U41=0,0,IF(AND(INDEX('MTRs'!$BA$6:$BA$505,T41)=1,Z41=0),1,0))</f>
        <v>0</v>
      </c>
      <c r="AS41" s="96" t="str">
        <f>IF(R41=1,A41&amp;" | MTR "&amp;IF(U41=1,INDEX('MTRs'!$B$6:$B$505,T41)&amp;"","?")&amp;" | "&amp;IF(C41="","(sem resíduo)",C41),"")</f>
        <v/>
      </c>
      <c r="AT41" s="96" t="str">
        <f>IF(R41=1,COUNTIF($R$6:R41,1),"")</f>
        <v/>
      </c>
      <c r="AU41" s="96" t="str">
        <f>IF(U41=1,INDEX('MTRs'!$I$6:$I$505,T41)&amp;"","")</f>
        <v/>
      </c>
    </row>
    <row r="42">
      <c r="A42" s="89" t="inlineStr">
        <is>
          <t>IT-000037</t>
        </is>
      </c>
      <c r="B42" s="91" t="n"/>
      <c r="C42" s="91" t="n"/>
      <c r="D42" s="94" t="str">
        <f>IF(OR(R42=0,V42=0),"",INDEX('CAD_RESÍDUOS'!$E$6:$E$205,MATCH(C42,'CAD_RESÍDUOS'!$B$6:$B$205,0))&amp;"")</f>
        <v/>
      </c>
      <c r="E42" s="94" t="str">
        <f>IF(OR(R42=0,V42=0),"",INDEX('CAD_RESÍDUOS'!$C$6:$C$205,MATCH(C42,'CAD_RESÍDUOS'!$B$6:$B$205,0))&amp;"")</f>
        <v/>
      </c>
      <c r="F42" s="94" t="str">
        <f>IF(OR(R42=0,V42=0),"",INDEX('CAD_RESÍDUOS'!$G$6:$G$205,MATCH(C42,'CAD_RESÍDUOS'!$B$6:$B$205,0))&amp;"")</f>
        <v/>
      </c>
      <c r="G42" s="98" t="n"/>
      <c r="H42" s="91" t="n"/>
      <c r="I42" s="93" t="str">
        <f>IF(R42=0,"",IF(NOT(ISNUMBER(G42)),"",IF(ISNUMBER(X42),G42*X42,"UNIDADE A CONFERIR")))</f>
        <v/>
      </c>
      <c r="J42" s="91" t="n"/>
      <c r="K42" s="91" t="n"/>
      <c r="L42" s="93" t="str">
        <f>IF(R42=0,"",SUMIFS('RECEBIMENTOS'!$H$6:$H$1005,'RECEBIMENTOS'!$R$6:$R$1005,A42,'RECEBIMENTOS'!$X$6:$X$1005,1))</f>
        <v/>
      </c>
      <c r="M42" s="93" t="str">
        <f>IF(R42=0,"",SUMIFS('VÍNCULOS_CDF'!$H$6:$H$1005,'VÍNCULOS_CDF'!$R$6:$R$1005,A42,'VÍNCULOS_CDF'!$V$6:$V$1005,1))</f>
        <v/>
      </c>
      <c r="N42" s="99" t="str">
        <f>IF(OR(R42=0,AA42=0,NOT(ISNUMBER(I42))),"",I42-N(L42))</f>
        <v/>
      </c>
      <c r="O42" s="100" t="str">
        <f>IF(OR(R42=0,AK42&lt;=0),"",N(M42)/AK42)</f>
        <v/>
      </c>
      <c r="P42" s="94" t="str">
        <f>IF(R42=0,"",IF(S42="","Sem MTR associado",IF(U42=0,"MTR inexistente",IF(C42="","Resíduo não identificado",IF(V42=0,"Resíduo fora do cadastro",IF(W42=0,"Quantidade inválida",IF(H42="","Unidade não informada",IF(NOT(ISNUMBER(I42)),"Unidade a conferir",IF(AND(AH42=1,K42&lt;&gt;"Sim"),"Possível duplicidade",IF(Z42=1,"MTR cancelado",IF(AC42&gt;0,"Recebimento com alerta",IF(AA42=0,"Aguardando recebimento",IF(AB42&lt;AA42,"Recebimento a conferir",IF(AM42=1,"Quantidade a revisar",IF(AF42&gt;0,"Vínculo a revisar",IF(AD42=0,"Aguardando CDF",IF(AN42=0,"Vínculo de CDF parcial",IF(AE42&lt;AD42,"CDF a conferir","Documentação conferida"))))))))))))))))))</f>
        <v/>
      </c>
      <c r="Q42" s="93" t="str">
        <f>IF(OR(R42=0,AA42=0),"",MAX(0,N(L42)-N(M42)))</f>
        <v/>
      </c>
      <c r="R42" s="96">
        <f>IF(COUNTA(B42:C42,G42:H42,J42:K42)&gt;0,1,0)</f>
        <v>0</v>
      </c>
      <c r="S42" s="96" t="str">
        <f>IF(B42="","",TRIM(LEFT(B42,FIND(" |",B42&amp;" |")-1)))</f>
        <v/>
      </c>
      <c r="T42" s="96" t="str">
        <f>IF(S42="","",IFERROR(MATCH(S42,'MTRs'!$A$6:$A$505,0),""))</f>
        <v/>
      </c>
      <c r="U42" s="96">
        <f>IF(T42="",0,IF(INDEX('MTRs'!$Z$6:$Z$505,T42)=1,1,0))</f>
        <v>0</v>
      </c>
      <c r="V42" s="96">
        <f>IF(C42="",0,IF(ISNUMBER(MATCH(C42,'CAD_RESÍDUOS'!$B$6:$B$205,0)),1,0))</f>
        <v>0</v>
      </c>
      <c r="W42" s="96">
        <f>IF(AND(ISNUMBER(G42),G42&gt;0),1,0)</f>
        <v>0</v>
      </c>
      <c r="X42" s="96" t="str">
        <f>IF(H42="","",IFERROR(IF(ISNUMBER(INDEX(cfg_fac,MATCH(H42,cfg_units,0))),IF(INDEX(cfg_fac,MATCH(H42,cfg_units,0))&gt;0,INDEX(cfg_fac,MATCH(H42,cfg_units,0)),""),""),""))</f>
        <v/>
      </c>
      <c r="Y42" s="96">
        <f>IF(AND(W42=1,ISNUMBER(I42)),1,0)</f>
        <v>0</v>
      </c>
      <c r="Z42" s="96">
        <f>IF(U42=1,INDEX('MTRs'!$AA$6:$AA$505,T42),0)</f>
        <v>0</v>
      </c>
      <c r="AA42" s="96">
        <f>IF(R42=0,0,COUNTIFS('RECEBIMENTOS'!$R$6:$R$1005,A42,'RECEBIMENTOS'!$Q$6:$Q$1005,1))</f>
        <v>0</v>
      </c>
      <c r="AB42" s="96">
        <f>IF(R42=0,0,COUNTIFS('RECEBIMENTOS'!$R$6:$R$1005,A42,'RECEBIMENTOS'!$Z$6:$Z$1005,1))</f>
        <v>0</v>
      </c>
      <c r="AC42" s="96">
        <f>IF(R42=0,0,COUNTIFS('RECEBIMENTOS'!$R$6:$R$1005,A42,'RECEBIMENTOS'!$Y$6:$Y$1005,1))</f>
        <v>0</v>
      </c>
      <c r="AD42" s="96">
        <f>IF(R42=0,0,COUNTIFS('VÍNCULOS_CDF'!$R$6:$R$1005,A42,'VÍNCULOS_CDF'!$N$6:$N$1005,1))</f>
        <v>0</v>
      </c>
      <c r="AE42" s="96">
        <f>IF(R42=0,0,COUNTIFS('VÍNCULOS_CDF'!$R$6:$R$1005,A42,'VÍNCULOS_CDF'!$AA$6:$AA$1005,1))</f>
        <v>0</v>
      </c>
      <c r="AF42" s="96">
        <f>IF(R42=0,0,COUNTIFS('VÍNCULOS_CDF'!$R$6:$R$1005,A42,'VÍNCULOS_CDF'!$Y$6:$Y$1005,1))</f>
        <v>0</v>
      </c>
      <c r="AG42" s="96" t="str">
        <f>IF(AND(R42=1,S42&lt;&gt;"",C42&lt;&gt;""),S42&amp;"|"&amp;C42&amp;"|"&amp;G42&amp;"|"&amp;H42,"")</f>
        <v/>
      </c>
      <c r="AH42" s="96">
        <f>IF(AG42="",0,IF(SUMPRODUCT(--($AG$6:$AG$1005=AG42))&gt;1,1,0))</f>
        <v>0</v>
      </c>
      <c r="AI42" s="96">
        <f>IF(R42=0,0,IF(OR(U42=0,V42=0,Y42=0,AND(AH42=1,K42&lt;&gt;"Sim")),1,0))</f>
        <v>0</v>
      </c>
      <c r="AJ42" s="96">
        <f>IF(AND(R42=1,AA42&gt;0,AB42=AA42),1,0)</f>
        <v>0</v>
      </c>
      <c r="AK42" s="96">
        <f>IF(R42=0,0,IF(AA42&gt;0,N(L42),IF(ISNUMBER(I42),I42,0)))</f>
        <v>0</v>
      </c>
      <c r="AL42" s="96">
        <f>IF(R42=0,0,IF(AND(K42&lt;&gt;"Sim",N(M42)&gt;AK42+cfg_tol),1,0))</f>
        <v>0</v>
      </c>
      <c r="AM42" s="96">
        <f>IF(R42=0,0,IF(K42="Sim",0,IF(OR(AND(AA42&gt;0,ISNUMBER(I42),ABS(I42-N(L42))&gt;cfg_tol),AL42=1),1,0)))</f>
        <v>0</v>
      </c>
      <c r="AN42" s="96">
        <f>IF(AND(R42=1,N(M42)&gt;0,OR(N(M42)&gt;=AK42-cfg_tol,K42="Sim")),1,0)</f>
        <v>0</v>
      </c>
      <c r="AO42" s="96">
        <f>IF(AND(AN42=1,AD42&gt;0,AE42=AD42,AL42=0),1,0)</f>
        <v>0</v>
      </c>
      <c r="AP42" s="96">
        <f>IF(U42=0,0,IF(AND(INDEX('MTRs'!$AX$6:$AX$505,T42)=1,Z42=0,OR(f_res="",f_res="(Todos)",C42=f_res)),1,0))</f>
        <v>0</v>
      </c>
      <c r="AQ42" s="97" t="str">
        <f>IF(U42=0,"",INDEX('MTRs'!$AZ$6:$AZ$505,T42))</f>
        <v/>
      </c>
      <c r="AR42" s="96">
        <f>IF(U42=0,0,IF(AND(INDEX('MTRs'!$BA$6:$BA$505,T42)=1,Z42=0),1,0))</f>
        <v>0</v>
      </c>
      <c r="AS42" s="96" t="str">
        <f>IF(R42=1,A42&amp;" | MTR "&amp;IF(U42=1,INDEX('MTRs'!$B$6:$B$505,T42)&amp;"","?")&amp;" | "&amp;IF(C42="","(sem resíduo)",C42),"")</f>
        <v/>
      </c>
      <c r="AT42" s="96" t="str">
        <f>IF(R42=1,COUNTIF($R$6:R42,1),"")</f>
        <v/>
      </c>
      <c r="AU42" s="96" t="str">
        <f>IF(U42=1,INDEX('MTRs'!$I$6:$I$505,T42)&amp;"","")</f>
        <v/>
      </c>
    </row>
    <row r="43">
      <c r="A43" s="89" t="inlineStr">
        <is>
          <t>IT-000038</t>
        </is>
      </c>
      <c r="B43" s="91" t="n"/>
      <c r="C43" s="91" t="n"/>
      <c r="D43" s="94" t="str">
        <f>IF(OR(R43=0,V43=0),"",INDEX('CAD_RESÍDUOS'!$E$6:$E$205,MATCH(C43,'CAD_RESÍDUOS'!$B$6:$B$205,0))&amp;"")</f>
        <v/>
      </c>
      <c r="E43" s="94" t="str">
        <f>IF(OR(R43=0,V43=0),"",INDEX('CAD_RESÍDUOS'!$C$6:$C$205,MATCH(C43,'CAD_RESÍDUOS'!$B$6:$B$205,0))&amp;"")</f>
        <v/>
      </c>
      <c r="F43" s="94" t="str">
        <f>IF(OR(R43=0,V43=0),"",INDEX('CAD_RESÍDUOS'!$G$6:$G$205,MATCH(C43,'CAD_RESÍDUOS'!$B$6:$B$205,0))&amp;"")</f>
        <v/>
      </c>
      <c r="G43" s="98" t="n"/>
      <c r="H43" s="91" t="n"/>
      <c r="I43" s="93" t="str">
        <f>IF(R43=0,"",IF(NOT(ISNUMBER(G43)),"",IF(ISNUMBER(X43),G43*X43,"UNIDADE A CONFERIR")))</f>
        <v/>
      </c>
      <c r="J43" s="91" t="n"/>
      <c r="K43" s="91" t="n"/>
      <c r="L43" s="93" t="str">
        <f>IF(R43=0,"",SUMIFS('RECEBIMENTOS'!$H$6:$H$1005,'RECEBIMENTOS'!$R$6:$R$1005,A43,'RECEBIMENTOS'!$X$6:$X$1005,1))</f>
        <v/>
      </c>
      <c r="M43" s="93" t="str">
        <f>IF(R43=0,"",SUMIFS('VÍNCULOS_CDF'!$H$6:$H$1005,'VÍNCULOS_CDF'!$R$6:$R$1005,A43,'VÍNCULOS_CDF'!$V$6:$V$1005,1))</f>
        <v/>
      </c>
      <c r="N43" s="99" t="str">
        <f>IF(OR(R43=0,AA43=0,NOT(ISNUMBER(I43))),"",I43-N(L43))</f>
        <v/>
      </c>
      <c r="O43" s="100" t="str">
        <f>IF(OR(R43=0,AK43&lt;=0),"",N(M43)/AK43)</f>
        <v/>
      </c>
      <c r="P43" s="94" t="str">
        <f>IF(R43=0,"",IF(S43="","Sem MTR associado",IF(U43=0,"MTR inexistente",IF(C43="","Resíduo não identificado",IF(V43=0,"Resíduo fora do cadastro",IF(W43=0,"Quantidade inválida",IF(H43="","Unidade não informada",IF(NOT(ISNUMBER(I43)),"Unidade a conferir",IF(AND(AH43=1,K43&lt;&gt;"Sim"),"Possível duplicidade",IF(Z43=1,"MTR cancelado",IF(AC43&gt;0,"Recebimento com alerta",IF(AA43=0,"Aguardando recebimento",IF(AB43&lt;AA43,"Recebimento a conferir",IF(AM43=1,"Quantidade a revisar",IF(AF43&gt;0,"Vínculo a revisar",IF(AD43=0,"Aguardando CDF",IF(AN43=0,"Vínculo de CDF parcial",IF(AE43&lt;AD43,"CDF a conferir","Documentação conferida"))))))))))))))))))</f>
        <v/>
      </c>
      <c r="Q43" s="93" t="str">
        <f>IF(OR(R43=0,AA43=0),"",MAX(0,N(L43)-N(M43)))</f>
        <v/>
      </c>
      <c r="R43" s="96">
        <f>IF(COUNTA(B43:C43,G43:H43,J43:K43)&gt;0,1,0)</f>
        <v>0</v>
      </c>
      <c r="S43" s="96" t="str">
        <f>IF(B43="","",TRIM(LEFT(B43,FIND(" |",B43&amp;" |")-1)))</f>
        <v/>
      </c>
      <c r="T43" s="96" t="str">
        <f>IF(S43="","",IFERROR(MATCH(S43,'MTRs'!$A$6:$A$505,0),""))</f>
        <v/>
      </c>
      <c r="U43" s="96">
        <f>IF(T43="",0,IF(INDEX('MTRs'!$Z$6:$Z$505,T43)=1,1,0))</f>
        <v>0</v>
      </c>
      <c r="V43" s="96">
        <f>IF(C43="",0,IF(ISNUMBER(MATCH(C43,'CAD_RESÍDUOS'!$B$6:$B$205,0)),1,0))</f>
        <v>0</v>
      </c>
      <c r="W43" s="96">
        <f>IF(AND(ISNUMBER(G43),G43&gt;0),1,0)</f>
        <v>0</v>
      </c>
      <c r="X43" s="96" t="str">
        <f>IF(H43="","",IFERROR(IF(ISNUMBER(INDEX(cfg_fac,MATCH(H43,cfg_units,0))),IF(INDEX(cfg_fac,MATCH(H43,cfg_units,0))&gt;0,INDEX(cfg_fac,MATCH(H43,cfg_units,0)),""),""),""))</f>
        <v/>
      </c>
      <c r="Y43" s="96">
        <f>IF(AND(W43=1,ISNUMBER(I43)),1,0)</f>
        <v>0</v>
      </c>
      <c r="Z43" s="96">
        <f>IF(U43=1,INDEX('MTRs'!$AA$6:$AA$505,T43),0)</f>
        <v>0</v>
      </c>
      <c r="AA43" s="96">
        <f>IF(R43=0,0,COUNTIFS('RECEBIMENTOS'!$R$6:$R$1005,A43,'RECEBIMENTOS'!$Q$6:$Q$1005,1))</f>
        <v>0</v>
      </c>
      <c r="AB43" s="96">
        <f>IF(R43=0,0,COUNTIFS('RECEBIMENTOS'!$R$6:$R$1005,A43,'RECEBIMENTOS'!$Z$6:$Z$1005,1))</f>
        <v>0</v>
      </c>
      <c r="AC43" s="96">
        <f>IF(R43=0,0,COUNTIFS('RECEBIMENTOS'!$R$6:$R$1005,A43,'RECEBIMENTOS'!$Y$6:$Y$1005,1))</f>
        <v>0</v>
      </c>
      <c r="AD43" s="96">
        <f>IF(R43=0,0,COUNTIFS('VÍNCULOS_CDF'!$R$6:$R$1005,A43,'VÍNCULOS_CDF'!$N$6:$N$1005,1))</f>
        <v>0</v>
      </c>
      <c r="AE43" s="96">
        <f>IF(R43=0,0,COUNTIFS('VÍNCULOS_CDF'!$R$6:$R$1005,A43,'VÍNCULOS_CDF'!$AA$6:$AA$1005,1))</f>
        <v>0</v>
      </c>
      <c r="AF43" s="96">
        <f>IF(R43=0,0,COUNTIFS('VÍNCULOS_CDF'!$R$6:$R$1005,A43,'VÍNCULOS_CDF'!$Y$6:$Y$1005,1))</f>
        <v>0</v>
      </c>
      <c r="AG43" s="96" t="str">
        <f>IF(AND(R43=1,S43&lt;&gt;"",C43&lt;&gt;""),S43&amp;"|"&amp;C43&amp;"|"&amp;G43&amp;"|"&amp;H43,"")</f>
        <v/>
      </c>
      <c r="AH43" s="96">
        <f>IF(AG43="",0,IF(SUMPRODUCT(--($AG$6:$AG$1005=AG43))&gt;1,1,0))</f>
        <v>0</v>
      </c>
      <c r="AI43" s="96">
        <f>IF(R43=0,0,IF(OR(U43=0,V43=0,Y43=0,AND(AH43=1,K43&lt;&gt;"Sim")),1,0))</f>
        <v>0</v>
      </c>
      <c r="AJ43" s="96">
        <f>IF(AND(R43=1,AA43&gt;0,AB43=AA43),1,0)</f>
        <v>0</v>
      </c>
      <c r="AK43" s="96">
        <f>IF(R43=0,0,IF(AA43&gt;0,N(L43),IF(ISNUMBER(I43),I43,0)))</f>
        <v>0</v>
      </c>
      <c r="AL43" s="96">
        <f>IF(R43=0,0,IF(AND(K43&lt;&gt;"Sim",N(M43)&gt;AK43+cfg_tol),1,0))</f>
        <v>0</v>
      </c>
      <c r="AM43" s="96">
        <f>IF(R43=0,0,IF(K43="Sim",0,IF(OR(AND(AA43&gt;0,ISNUMBER(I43),ABS(I43-N(L43))&gt;cfg_tol),AL43=1),1,0)))</f>
        <v>0</v>
      </c>
      <c r="AN43" s="96">
        <f>IF(AND(R43=1,N(M43)&gt;0,OR(N(M43)&gt;=AK43-cfg_tol,K43="Sim")),1,0)</f>
        <v>0</v>
      </c>
      <c r="AO43" s="96">
        <f>IF(AND(AN43=1,AD43&gt;0,AE43=AD43,AL43=0),1,0)</f>
        <v>0</v>
      </c>
      <c r="AP43" s="96">
        <f>IF(U43=0,0,IF(AND(INDEX('MTRs'!$AX$6:$AX$505,T43)=1,Z43=0,OR(f_res="",f_res="(Todos)",C43=f_res)),1,0))</f>
        <v>0</v>
      </c>
      <c r="AQ43" s="97" t="str">
        <f>IF(U43=0,"",INDEX('MTRs'!$AZ$6:$AZ$505,T43))</f>
        <v/>
      </c>
      <c r="AR43" s="96">
        <f>IF(U43=0,0,IF(AND(INDEX('MTRs'!$BA$6:$BA$505,T43)=1,Z43=0),1,0))</f>
        <v>0</v>
      </c>
      <c r="AS43" s="96" t="str">
        <f>IF(R43=1,A43&amp;" | MTR "&amp;IF(U43=1,INDEX('MTRs'!$B$6:$B$505,T43)&amp;"","?")&amp;" | "&amp;IF(C43="","(sem resíduo)",C43),"")</f>
        <v/>
      </c>
      <c r="AT43" s="96" t="str">
        <f>IF(R43=1,COUNTIF($R$6:R43,1),"")</f>
        <v/>
      </c>
      <c r="AU43" s="96" t="str">
        <f>IF(U43=1,INDEX('MTRs'!$I$6:$I$505,T43)&amp;"","")</f>
        <v/>
      </c>
    </row>
    <row r="44">
      <c r="A44" s="89" t="inlineStr">
        <is>
          <t>IT-000039</t>
        </is>
      </c>
      <c r="B44" s="91" t="n"/>
      <c r="C44" s="91" t="n"/>
      <c r="D44" s="94" t="str">
        <f>IF(OR(R44=0,V44=0),"",INDEX('CAD_RESÍDUOS'!$E$6:$E$205,MATCH(C44,'CAD_RESÍDUOS'!$B$6:$B$205,0))&amp;"")</f>
        <v/>
      </c>
      <c r="E44" s="94" t="str">
        <f>IF(OR(R44=0,V44=0),"",INDEX('CAD_RESÍDUOS'!$C$6:$C$205,MATCH(C44,'CAD_RESÍDUOS'!$B$6:$B$205,0))&amp;"")</f>
        <v/>
      </c>
      <c r="F44" s="94" t="str">
        <f>IF(OR(R44=0,V44=0),"",INDEX('CAD_RESÍDUOS'!$G$6:$G$205,MATCH(C44,'CAD_RESÍDUOS'!$B$6:$B$205,0))&amp;"")</f>
        <v/>
      </c>
      <c r="G44" s="98" t="n"/>
      <c r="H44" s="91" t="n"/>
      <c r="I44" s="93" t="str">
        <f>IF(R44=0,"",IF(NOT(ISNUMBER(G44)),"",IF(ISNUMBER(X44),G44*X44,"UNIDADE A CONFERIR")))</f>
        <v/>
      </c>
      <c r="J44" s="91" t="n"/>
      <c r="K44" s="91" t="n"/>
      <c r="L44" s="93" t="str">
        <f>IF(R44=0,"",SUMIFS('RECEBIMENTOS'!$H$6:$H$1005,'RECEBIMENTOS'!$R$6:$R$1005,A44,'RECEBIMENTOS'!$X$6:$X$1005,1))</f>
        <v/>
      </c>
      <c r="M44" s="93" t="str">
        <f>IF(R44=0,"",SUMIFS('VÍNCULOS_CDF'!$H$6:$H$1005,'VÍNCULOS_CDF'!$R$6:$R$1005,A44,'VÍNCULOS_CDF'!$V$6:$V$1005,1))</f>
        <v/>
      </c>
      <c r="N44" s="99" t="str">
        <f>IF(OR(R44=0,AA44=0,NOT(ISNUMBER(I44))),"",I44-N(L44))</f>
        <v/>
      </c>
      <c r="O44" s="100" t="str">
        <f>IF(OR(R44=0,AK44&lt;=0),"",N(M44)/AK44)</f>
        <v/>
      </c>
      <c r="P44" s="94" t="str">
        <f>IF(R44=0,"",IF(S44="","Sem MTR associado",IF(U44=0,"MTR inexistente",IF(C44="","Resíduo não identificado",IF(V44=0,"Resíduo fora do cadastro",IF(W44=0,"Quantidade inválida",IF(H44="","Unidade não informada",IF(NOT(ISNUMBER(I44)),"Unidade a conferir",IF(AND(AH44=1,K44&lt;&gt;"Sim"),"Possível duplicidade",IF(Z44=1,"MTR cancelado",IF(AC44&gt;0,"Recebimento com alerta",IF(AA44=0,"Aguardando recebimento",IF(AB44&lt;AA44,"Recebimento a conferir",IF(AM44=1,"Quantidade a revisar",IF(AF44&gt;0,"Vínculo a revisar",IF(AD44=0,"Aguardando CDF",IF(AN44=0,"Vínculo de CDF parcial",IF(AE44&lt;AD44,"CDF a conferir","Documentação conferida"))))))))))))))))))</f>
        <v/>
      </c>
      <c r="Q44" s="93" t="str">
        <f>IF(OR(R44=0,AA44=0),"",MAX(0,N(L44)-N(M44)))</f>
        <v/>
      </c>
      <c r="R44" s="96">
        <f>IF(COUNTA(B44:C44,G44:H44,J44:K44)&gt;0,1,0)</f>
        <v>0</v>
      </c>
      <c r="S44" s="96" t="str">
        <f>IF(B44="","",TRIM(LEFT(B44,FIND(" |",B44&amp;" |")-1)))</f>
        <v/>
      </c>
      <c r="T44" s="96" t="str">
        <f>IF(S44="","",IFERROR(MATCH(S44,'MTRs'!$A$6:$A$505,0),""))</f>
        <v/>
      </c>
      <c r="U44" s="96">
        <f>IF(T44="",0,IF(INDEX('MTRs'!$Z$6:$Z$505,T44)=1,1,0))</f>
        <v>0</v>
      </c>
      <c r="V44" s="96">
        <f>IF(C44="",0,IF(ISNUMBER(MATCH(C44,'CAD_RESÍDUOS'!$B$6:$B$205,0)),1,0))</f>
        <v>0</v>
      </c>
      <c r="W44" s="96">
        <f>IF(AND(ISNUMBER(G44),G44&gt;0),1,0)</f>
        <v>0</v>
      </c>
      <c r="X44" s="96" t="str">
        <f>IF(H44="","",IFERROR(IF(ISNUMBER(INDEX(cfg_fac,MATCH(H44,cfg_units,0))),IF(INDEX(cfg_fac,MATCH(H44,cfg_units,0))&gt;0,INDEX(cfg_fac,MATCH(H44,cfg_units,0)),""),""),""))</f>
        <v/>
      </c>
      <c r="Y44" s="96">
        <f>IF(AND(W44=1,ISNUMBER(I44)),1,0)</f>
        <v>0</v>
      </c>
      <c r="Z44" s="96">
        <f>IF(U44=1,INDEX('MTRs'!$AA$6:$AA$505,T44),0)</f>
        <v>0</v>
      </c>
      <c r="AA44" s="96">
        <f>IF(R44=0,0,COUNTIFS('RECEBIMENTOS'!$R$6:$R$1005,A44,'RECEBIMENTOS'!$Q$6:$Q$1005,1))</f>
        <v>0</v>
      </c>
      <c r="AB44" s="96">
        <f>IF(R44=0,0,COUNTIFS('RECEBIMENTOS'!$R$6:$R$1005,A44,'RECEBIMENTOS'!$Z$6:$Z$1005,1))</f>
        <v>0</v>
      </c>
      <c r="AC44" s="96">
        <f>IF(R44=0,0,COUNTIFS('RECEBIMENTOS'!$R$6:$R$1005,A44,'RECEBIMENTOS'!$Y$6:$Y$1005,1))</f>
        <v>0</v>
      </c>
      <c r="AD44" s="96">
        <f>IF(R44=0,0,COUNTIFS('VÍNCULOS_CDF'!$R$6:$R$1005,A44,'VÍNCULOS_CDF'!$N$6:$N$1005,1))</f>
        <v>0</v>
      </c>
      <c r="AE44" s="96">
        <f>IF(R44=0,0,COUNTIFS('VÍNCULOS_CDF'!$R$6:$R$1005,A44,'VÍNCULOS_CDF'!$AA$6:$AA$1005,1))</f>
        <v>0</v>
      </c>
      <c r="AF44" s="96">
        <f>IF(R44=0,0,COUNTIFS('VÍNCULOS_CDF'!$R$6:$R$1005,A44,'VÍNCULOS_CDF'!$Y$6:$Y$1005,1))</f>
        <v>0</v>
      </c>
      <c r="AG44" s="96" t="str">
        <f>IF(AND(R44=1,S44&lt;&gt;"",C44&lt;&gt;""),S44&amp;"|"&amp;C44&amp;"|"&amp;G44&amp;"|"&amp;H44,"")</f>
        <v/>
      </c>
      <c r="AH44" s="96">
        <f>IF(AG44="",0,IF(SUMPRODUCT(--($AG$6:$AG$1005=AG44))&gt;1,1,0))</f>
        <v>0</v>
      </c>
      <c r="AI44" s="96">
        <f>IF(R44=0,0,IF(OR(U44=0,V44=0,Y44=0,AND(AH44=1,K44&lt;&gt;"Sim")),1,0))</f>
        <v>0</v>
      </c>
      <c r="AJ44" s="96">
        <f>IF(AND(R44=1,AA44&gt;0,AB44=AA44),1,0)</f>
        <v>0</v>
      </c>
      <c r="AK44" s="96">
        <f>IF(R44=0,0,IF(AA44&gt;0,N(L44),IF(ISNUMBER(I44),I44,0)))</f>
        <v>0</v>
      </c>
      <c r="AL44" s="96">
        <f>IF(R44=0,0,IF(AND(K44&lt;&gt;"Sim",N(M44)&gt;AK44+cfg_tol),1,0))</f>
        <v>0</v>
      </c>
      <c r="AM44" s="96">
        <f>IF(R44=0,0,IF(K44="Sim",0,IF(OR(AND(AA44&gt;0,ISNUMBER(I44),ABS(I44-N(L44))&gt;cfg_tol),AL44=1),1,0)))</f>
        <v>0</v>
      </c>
      <c r="AN44" s="96">
        <f>IF(AND(R44=1,N(M44)&gt;0,OR(N(M44)&gt;=AK44-cfg_tol,K44="Sim")),1,0)</f>
        <v>0</v>
      </c>
      <c r="AO44" s="96">
        <f>IF(AND(AN44=1,AD44&gt;0,AE44=AD44,AL44=0),1,0)</f>
        <v>0</v>
      </c>
      <c r="AP44" s="96">
        <f>IF(U44=0,0,IF(AND(INDEX('MTRs'!$AX$6:$AX$505,T44)=1,Z44=0,OR(f_res="",f_res="(Todos)",C44=f_res)),1,0))</f>
        <v>0</v>
      </c>
      <c r="AQ44" s="97" t="str">
        <f>IF(U44=0,"",INDEX('MTRs'!$AZ$6:$AZ$505,T44))</f>
        <v/>
      </c>
      <c r="AR44" s="96">
        <f>IF(U44=0,0,IF(AND(INDEX('MTRs'!$BA$6:$BA$505,T44)=1,Z44=0),1,0))</f>
        <v>0</v>
      </c>
      <c r="AS44" s="96" t="str">
        <f>IF(R44=1,A44&amp;" | MTR "&amp;IF(U44=1,INDEX('MTRs'!$B$6:$B$505,T44)&amp;"","?")&amp;" | "&amp;IF(C44="","(sem resíduo)",C44),"")</f>
        <v/>
      </c>
      <c r="AT44" s="96" t="str">
        <f>IF(R44=1,COUNTIF($R$6:R44,1),"")</f>
        <v/>
      </c>
      <c r="AU44" s="96" t="str">
        <f>IF(U44=1,INDEX('MTRs'!$I$6:$I$505,T44)&amp;"","")</f>
        <v/>
      </c>
    </row>
    <row r="45">
      <c r="A45" s="89" t="inlineStr">
        <is>
          <t>IT-000040</t>
        </is>
      </c>
      <c r="B45" s="91" t="n"/>
      <c r="C45" s="91" t="n"/>
      <c r="D45" s="94" t="str">
        <f>IF(OR(R45=0,V45=0),"",INDEX('CAD_RESÍDUOS'!$E$6:$E$205,MATCH(C45,'CAD_RESÍDUOS'!$B$6:$B$205,0))&amp;"")</f>
        <v/>
      </c>
      <c r="E45" s="94" t="str">
        <f>IF(OR(R45=0,V45=0),"",INDEX('CAD_RESÍDUOS'!$C$6:$C$205,MATCH(C45,'CAD_RESÍDUOS'!$B$6:$B$205,0))&amp;"")</f>
        <v/>
      </c>
      <c r="F45" s="94" t="str">
        <f>IF(OR(R45=0,V45=0),"",INDEX('CAD_RESÍDUOS'!$G$6:$G$205,MATCH(C45,'CAD_RESÍDUOS'!$B$6:$B$205,0))&amp;"")</f>
        <v/>
      </c>
      <c r="G45" s="98" t="n"/>
      <c r="H45" s="91" t="n"/>
      <c r="I45" s="93" t="str">
        <f>IF(R45=0,"",IF(NOT(ISNUMBER(G45)),"",IF(ISNUMBER(X45),G45*X45,"UNIDADE A CONFERIR")))</f>
        <v/>
      </c>
      <c r="J45" s="91" t="n"/>
      <c r="K45" s="91" t="n"/>
      <c r="L45" s="93" t="str">
        <f>IF(R45=0,"",SUMIFS('RECEBIMENTOS'!$H$6:$H$1005,'RECEBIMENTOS'!$R$6:$R$1005,A45,'RECEBIMENTOS'!$X$6:$X$1005,1))</f>
        <v/>
      </c>
      <c r="M45" s="93" t="str">
        <f>IF(R45=0,"",SUMIFS('VÍNCULOS_CDF'!$H$6:$H$1005,'VÍNCULOS_CDF'!$R$6:$R$1005,A45,'VÍNCULOS_CDF'!$V$6:$V$1005,1))</f>
        <v/>
      </c>
      <c r="N45" s="99" t="str">
        <f>IF(OR(R45=0,AA45=0,NOT(ISNUMBER(I45))),"",I45-N(L45))</f>
        <v/>
      </c>
      <c r="O45" s="100" t="str">
        <f>IF(OR(R45=0,AK45&lt;=0),"",N(M45)/AK45)</f>
        <v/>
      </c>
      <c r="P45" s="94" t="str">
        <f>IF(R45=0,"",IF(S45="","Sem MTR associado",IF(U45=0,"MTR inexistente",IF(C45="","Resíduo não identificado",IF(V45=0,"Resíduo fora do cadastro",IF(W45=0,"Quantidade inválida",IF(H45="","Unidade não informada",IF(NOT(ISNUMBER(I45)),"Unidade a conferir",IF(AND(AH45=1,K45&lt;&gt;"Sim"),"Possível duplicidade",IF(Z45=1,"MTR cancelado",IF(AC45&gt;0,"Recebimento com alerta",IF(AA45=0,"Aguardando recebimento",IF(AB45&lt;AA45,"Recebimento a conferir",IF(AM45=1,"Quantidade a revisar",IF(AF45&gt;0,"Vínculo a revisar",IF(AD45=0,"Aguardando CDF",IF(AN45=0,"Vínculo de CDF parcial",IF(AE45&lt;AD45,"CDF a conferir","Documentação conferida"))))))))))))))))))</f>
        <v/>
      </c>
      <c r="Q45" s="93" t="str">
        <f>IF(OR(R45=0,AA45=0),"",MAX(0,N(L45)-N(M45)))</f>
        <v/>
      </c>
      <c r="R45" s="96">
        <f>IF(COUNTA(B45:C45,G45:H45,J45:K45)&gt;0,1,0)</f>
        <v>0</v>
      </c>
      <c r="S45" s="96" t="str">
        <f>IF(B45="","",TRIM(LEFT(B45,FIND(" |",B45&amp;" |")-1)))</f>
        <v/>
      </c>
      <c r="T45" s="96" t="str">
        <f>IF(S45="","",IFERROR(MATCH(S45,'MTRs'!$A$6:$A$505,0),""))</f>
        <v/>
      </c>
      <c r="U45" s="96">
        <f>IF(T45="",0,IF(INDEX('MTRs'!$Z$6:$Z$505,T45)=1,1,0))</f>
        <v>0</v>
      </c>
      <c r="V45" s="96">
        <f>IF(C45="",0,IF(ISNUMBER(MATCH(C45,'CAD_RESÍDUOS'!$B$6:$B$205,0)),1,0))</f>
        <v>0</v>
      </c>
      <c r="W45" s="96">
        <f>IF(AND(ISNUMBER(G45),G45&gt;0),1,0)</f>
        <v>0</v>
      </c>
      <c r="X45" s="96" t="str">
        <f>IF(H45="","",IFERROR(IF(ISNUMBER(INDEX(cfg_fac,MATCH(H45,cfg_units,0))),IF(INDEX(cfg_fac,MATCH(H45,cfg_units,0))&gt;0,INDEX(cfg_fac,MATCH(H45,cfg_units,0)),""),""),""))</f>
        <v/>
      </c>
      <c r="Y45" s="96">
        <f>IF(AND(W45=1,ISNUMBER(I45)),1,0)</f>
        <v>0</v>
      </c>
      <c r="Z45" s="96">
        <f>IF(U45=1,INDEX('MTRs'!$AA$6:$AA$505,T45),0)</f>
        <v>0</v>
      </c>
      <c r="AA45" s="96">
        <f>IF(R45=0,0,COUNTIFS('RECEBIMENTOS'!$R$6:$R$1005,A45,'RECEBIMENTOS'!$Q$6:$Q$1005,1))</f>
        <v>0</v>
      </c>
      <c r="AB45" s="96">
        <f>IF(R45=0,0,COUNTIFS('RECEBIMENTOS'!$R$6:$R$1005,A45,'RECEBIMENTOS'!$Z$6:$Z$1005,1))</f>
        <v>0</v>
      </c>
      <c r="AC45" s="96">
        <f>IF(R45=0,0,COUNTIFS('RECEBIMENTOS'!$R$6:$R$1005,A45,'RECEBIMENTOS'!$Y$6:$Y$1005,1))</f>
        <v>0</v>
      </c>
      <c r="AD45" s="96">
        <f>IF(R45=0,0,COUNTIFS('VÍNCULOS_CDF'!$R$6:$R$1005,A45,'VÍNCULOS_CDF'!$N$6:$N$1005,1))</f>
        <v>0</v>
      </c>
      <c r="AE45" s="96">
        <f>IF(R45=0,0,COUNTIFS('VÍNCULOS_CDF'!$R$6:$R$1005,A45,'VÍNCULOS_CDF'!$AA$6:$AA$1005,1))</f>
        <v>0</v>
      </c>
      <c r="AF45" s="96">
        <f>IF(R45=0,0,COUNTIFS('VÍNCULOS_CDF'!$R$6:$R$1005,A45,'VÍNCULOS_CDF'!$Y$6:$Y$1005,1))</f>
        <v>0</v>
      </c>
      <c r="AG45" s="96" t="str">
        <f>IF(AND(R45=1,S45&lt;&gt;"",C45&lt;&gt;""),S45&amp;"|"&amp;C45&amp;"|"&amp;G45&amp;"|"&amp;H45,"")</f>
        <v/>
      </c>
      <c r="AH45" s="96">
        <f>IF(AG45="",0,IF(SUMPRODUCT(--($AG$6:$AG$1005=AG45))&gt;1,1,0))</f>
        <v>0</v>
      </c>
      <c r="AI45" s="96">
        <f>IF(R45=0,0,IF(OR(U45=0,V45=0,Y45=0,AND(AH45=1,K45&lt;&gt;"Sim")),1,0))</f>
        <v>0</v>
      </c>
      <c r="AJ45" s="96">
        <f>IF(AND(R45=1,AA45&gt;0,AB45=AA45),1,0)</f>
        <v>0</v>
      </c>
      <c r="AK45" s="96">
        <f>IF(R45=0,0,IF(AA45&gt;0,N(L45),IF(ISNUMBER(I45),I45,0)))</f>
        <v>0</v>
      </c>
      <c r="AL45" s="96">
        <f>IF(R45=0,0,IF(AND(K45&lt;&gt;"Sim",N(M45)&gt;AK45+cfg_tol),1,0))</f>
        <v>0</v>
      </c>
      <c r="AM45" s="96">
        <f>IF(R45=0,0,IF(K45="Sim",0,IF(OR(AND(AA45&gt;0,ISNUMBER(I45),ABS(I45-N(L45))&gt;cfg_tol),AL45=1),1,0)))</f>
        <v>0</v>
      </c>
      <c r="AN45" s="96">
        <f>IF(AND(R45=1,N(M45)&gt;0,OR(N(M45)&gt;=AK45-cfg_tol,K45="Sim")),1,0)</f>
        <v>0</v>
      </c>
      <c r="AO45" s="96">
        <f>IF(AND(AN45=1,AD45&gt;0,AE45=AD45,AL45=0),1,0)</f>
        <v>0</v>
      </c>
      <c r="AP45" s="96">
        <f>IF(U45=0,0,IF(AND(INDEX('MTRs'!$AX$6:$AX$505,T45)=1,Z45=0,OR(f_res="",f_res="(Todos)",C45=f_res)),1,0))</f>
        <v>0</v>
      </c>
      <c r="AQ45" s="97" t="str">
        <f>IF(U45=0,"",INDEX('MTRs'!$AZ$6:$AZ$505,T45))</f>
        <v/>
      </c>
      <c r="AR45" s="96">
        <f>IF(U45=0,0,IF(AND(INDEX('MTRs'!$BA$6:$BA$505,T45)=1,Z45=0),1,0))</f>
        <v>0</v>
      </c>
      <c r="AS45" s="96" t="str">
        <f>IF(R45=1,A45&amp;" | MTR "&amp;IF(U45=1,INDEX('MTRs'!$B$6:$B$505,T45)&amp;"","?")&amp;" | "&amp;IF(C45="","(sem resíduo)",C45),"")</f>
        <v/>
      </c>
      <c r="AT45" s="96" t="str">
        <f>IF(R45=1,COUNTIF($R$6:R45,1),"")</f>
        <v/>
      </c>
      <c r="AU45" s="96" t="str">
        <f>IF(U45=1,INDEX('MTRs'!$I$6:$I$505,T45)&amp;"","")</f>
        <v/>
      </c>
    </row>
    <row r="46">
      <c r="A46" s="89" t="inlineStr">
        <is>
          <t>IT-000041</t>
        </is>
      </c>
      <c r="B46" s="91" t="n"/>
      <c r="C46" s="91" t="n"/>
      <c r="D46" s="94" t="str">
        <f>IF(OR(R46=0,V46=0),"",INDEX('CAD_RESÍDUOS'!$E$6:$E$205,MATCH(C46,'CAD_RESÍDUOS'!$B$6:$B$205,0))&amp;"")</f>
        <v/>
      </c>
      <c r="E46" s="94" t="str">
        <f>IF(OR(R46=0,V46=0),"",INDEX('CAD_RESÍDUOS'!$C$6:$C$205,MATCH(C46,'CAD_RESÍDUOS'!$B$6:$B$205,0))&amp;"")</f>
        <v/>
      </c>
      <c r="F46" s="94" t="str">
        <f>IF(OR(R46=0,V46=0),"",INDEX('CAD_RESÍDUOS'!$G$6:$G$205,MATCH(C46,'CAD_RESÍDUOS'!$B$6:$B$205,0))&amp;"")</f>
        <v/>
      </c>
      <c r="G46" s="98" t="n"/>
      <c r="H46" s="91" t="n"/>
      <c r="I46" s="93" t="str">
        <f>IF(R46=0,"",IF(NOT(ISNUMBER(G46)),"",IF(ISNUMBER(X46),G46*X46,"UNIDADE A CONFERIR")))</f>
        <v/>
      </c>
      <c r="J46" s="91" t="n"/>
      <c r="K46" s="91" t="n"/>
      <c r="L46" s="93" t="str">
        <f>IF(R46=0,"",SUMIFS('RECEBIMENTOS'!$H$6:$H$1005,'RECEBIMENTOS'!$R$6:$R$1005,A46,'RECEBIMENTOS'!$X$6:$X$1005,1))</f>
        <v/>
      </c>
      <c r="M46" s="93" t="str">
        <f>IF(R46=0,"",SUMIFS('VÍNCULOS_CDF'!$H$6:$H$1005,'VÍNCULOS_CDF'!$R$6:$R$1005,A46,'VÍNCULOS_CDF'!$V$6:$V$1005,1))</f>
        <v/>
      </c>
      <c r="N46" s="99" t="str">
        <f>IF(OR(R46=0,AA46=0,NOT(ISNUMBER(I46))),"",I46-N(L46))</f>
        <v/>
      </c>
      <c r="O46" s="100" t="str">
        <f>IF(OR(R46=0,AK46&lt;=0),"",N(M46)/AK46)</f>
        <v/>
      </c>
      <c r="P46" s="94" t="str">
        <f>IF(R46=0,"",IF(S46="","Sem MTR associado",IF(U46=0,"MTR inexistente",IF(C46="","Resíduo não identificado",IF(V46=0,"Resíduo fora do cadastro",IF(W46=0,"Quantidade inválida",IF(H46="","Unidade não informada",IF(NOT(ISNUMBER(I46)),"Unidade a conferir",IF(AND(AH46=1,K46&lt;&gt;"Sim"),"Possível duplicidade",IF(Z46=1,"MTR cancelado",IF(AC46&gt;0,"Recebimento com alerta",IF(AA46=0,"Aguardando recebimento",IF(AB46&lt;AA46,"Recebimento a conferir",IF(AM46=1,"Quantidade a revisar",IF(AF46&gt;0,"Vínculo a revisar",IF(AD46=0,"Aguardando CDF",IF(AN46=0,"Vínculo de CDF parcial",IF(AE46&lt;AD46,"CDF a conferir","Documentação conferida"))))))))))))))))))</f>
        <v/>
      </c>
      <c r="Q46" s="93" t="str">
        <f>IF(OR(R46=0,AA46=0),"",MAX(0,N(L46)-N(M46)))</f>
        <v/>
      </c>
      <c r="R46" s="96">
        <f>IF(COUNTA(B46:C46,G46:H46,J46:K46)&gt;0,1,0)</f>
        <v>0</v>
      </c>
      <c r="S46" s="96" t="str">
        <f>IF(B46="","",TRIM(LEFT(B46,FIND(" |",B46&amp;" |")-1)))</f>
        <v/>
      </c>
      <c r="T46" s="96" t="str">
        <f>IF(S46="","",IFERROR(MATCH(S46,'MTRs'!$A$6:$A$505,0),""))</f>
        <v/>
      </c>
      <c r="U46" s="96">
        <f>IF(T46="",0,IF(INDEX('MTRs'!$Z$6:$Z$505,T46)=1,1,0))</f>
        <v>0</v>
      </c>
      <c r="V46" s="96">
        <f>IF(C46="",0,IF(ISNUMBER(MATCH(C46,'CAD_RESÍDUOS'!$B$6:$B$205,0)),1,0))</f>
        <v>0</v>
      </c>
      <c r="W46" s="96">
        <f>IF(AND(ISNUMBER(G46),G46&gt;0),1,0)</f>
        <v>0</v>
      </c>
      <c r="X46" s="96" t="str">
        <f>IF(H46="","",IFERROR(IF(ISNUMBER(INDEX(cfg_fac,MATCH(H46,cfg_units,0))),IF(INDEX(cfg_fac,MATCH(H46,cfg_units,0))&gt;0,INDEX(cfg_fac,MATCH(H46,cfg_units,0)),""),""),""))</f>
        <v/>
      </c>
      <c r="Y46" s="96">
        <f>IF(AND(W46=1,ISNUMBER(I46)),1,0)</f>
        <v>0</v>
      </c>
      <c r="Z46" s="96">
        <f>IF(U46=1,INDEX('MTRs'!$AA$6:$AA$505,T46),0)</f>
        <v>0</v>
      </c>
      <c r="AA46" s="96">
        <f>IF(R46=0,0,COUNTIFS('RECEBIMENTOS'!$R$6:$R$1005,A46,'RECEBIMENTOS'!$Q$6:$Q$1005,1))</f>
        <v>0</v>
      </c>
      <c r="AB46" s="96">
        <f>IF(R46=0,0,COUNTIFS('RECEBIMENTOS'!$R$6:$R$1005,A46,'RECEBIMENTOS'!$Z$6:$Z$1005,1))</f>
        <v>0</v>
      </c>
      <c r="AC46" s="96">
        <f>IF(R46=0,0,COUNTIFS('RECEBIMENTOS'!$R$6:$R$1005,A46,'RECEBIMENTOS'!$Y$6:$Y$1005,1))</f>
        <v>0</v>
      </c>
      <c r="AD46" s="96">
        <f>IF(R46=0,0,COUNTIFS('VÍNCULOS_CDF'!$R$6:$R$1005,A46,'VÍNCULOS_CDF'!$N$6:$N$1005,1))</f>
        <v>0</v>
      </c>
      <c r="AE46" s="96">
        <f>IF(R46=0,0,COUNTIFS('VÍNCULOS_CDF'!$R$6:$R$1005,A46,'VÍNCULOS_CDF'!$AA$6:$AA$1005,1))</f>
        <v>0</v>
      </c>
      <c r="AF46" s="96">
        <f>IF(R46=0,0,COUNTIFS('VÍNCULOS_CDF'!$R$6:$R$1005,A46,'VÍNCULOS_CDF'!$Y$6:$Y$1005,1))</f>
        <v>0</v>
      </c>
      <c r="AG46" s="96" t="str">
        <f>IF(AND(R46=1,S46&lt;&gt;"",C46&lt;&gt;""),S46&amp;"|"&amp;C46&amp;"|"&amp;G46&amp;"|"&amp;H46,"")</f>
        <v/>
      </c>
      <c r="AH46" s="96">
        <f>IF(AG46="",0,IF(SUMPRODUCT(--($AG$6:$AG$1005=AG46))&gt;1,1,0))</f>
        <v>0</v>
      </c>
      <c r="AI46" s="96">
        <f>IF(R46=0,0,IF(OR(U46=0,V46=0,Y46=0,AND(AH46=1,K46&lt;&gt;"Sim")),1,0))</f>
        <v>0</v>
      </c>
      <c r="AJ46" s="96">
        <f>IF(AND(R46=1,AA46&gt;0,AB46=AA46),1,0)</f>
        <v>0</v>
      </c>
      <c r="AK46" s="96">
        <f>IF(R46=0,0,IF(AA46&gt;0,N(L46),IF(ISNUMBER(I46),I46,0)))</f>
        <v>0</v>
      </c>
      <c r="AL46" s="96">
        <f>IF(R46=0,0,IF(AND(K46&lt;&gt;"Sim",N(M46)&gt;AK46+cfg_tol),1,0))</f>
        <v>0</v>
      </c>
      <c r="AM46" s="96">
        <f>IF(R46=0,0,IF(K46="Sim",0,IF(OR(AND(AA46&gt;0,ISNUMBER(I46),ABS(I46-N(L46))&gt;cfg_tol),AL46=1),1,0)))</f>
        <v>0</v>
      </c>
      <c r="AN46" s="96">
        <f>IF(AND(R46=1,N(M46)&gt;0,OR(N(M46)&gt;=AK46-cfg_tol,K46="Sim")),1,0)</f>
        <v>0</v>
      </c>
      <c r="AO46" s="96">
        <f>IF(AND(AN46=1,AD46&gt;0,AE46=AD46,AL46=0),1,0)</f>
        <v>0</v>
      </c>
      <c r="AP46" s="96">
        <f>IF(U46=0,0,IF(AND(INDEX('MTRs'!$AX$6:$AX$505,T46)=1,Z46=0,OR(f_res="",f_res="(Todos)",C46=f_res)),1,0))</f>
        <v>0</v>
      </c>
      <c r="AQ46" s="97" t="str">
        <f>IF(U46=0,"",INDEX('MTRs'!$AZ$6:$AZ$505,T46))</f>
        <v/>
      </c>
      <c r="AR46" s="96">
        <f>IF(U46=0,0,IF(AND(INDEX('MTRs'!$BA$6:$BA$505,T46)=1,Z46=0),1,0))</f>
        <v>0</v>
      </c>
      <c r="AS46" s="96" t="str">
        <f>IF(R46=1,A46&amp;" | MTR "&amp;IF(U46=1,INDEX('MTRs'!$B$6:$B$505,T46)&amp;"","?")&amp;" | "&amp;IF(C46="","(sem resíduo)",C46),"")</f>
        <v/>
      </c>
      <c r="AT46" s="96" t="str">
        <f>IF(R46=1,COUNTIF($R$6:R46,1),"")</f>
        <v/>
      </c>
      <c r="AU46" s="96" t="str">
        <f>IF(U46=1,INDEX('MTRs'!$I$6:$I$505,T46)&amp;"","")</f>
        <v/>
      </c>
    </row>
    <row r="47">
      <c r="A47" s="89" t="inlineStr">
        <is>
          <t>IT-000042</t>
        </is>
      </c>
      <c r="B47" s="91" t="n"/>
      <c r="C47" s="91" t="n"/>
      <c r="D47" s="94" t="str">
        <f>IF(OR(R47=0,V47=0),"",INDEX('CAD_RESÍDUOS'!$E$6:$E$205,MATCH(C47,'CAD_RESÍDUOS'!$B$6:$B$205,0))&amp;"")</f>
        <v/>
      </c>
      <c r="E47" s="94" t="str">
        <f>IF(OR(R47=0,V47=0),"",INDEX('CAD_RESÍDUOS'!$C$6:$C$205,MATCH(C47,'CAD_RESÍDUOS'!$B$6:$B$205,0))&amp;"")</f>
        <v/>
      </c>
      <c r="F47" s="94" t="str">
        <f>IF(OR(R47=0,V47=0),"",INDEX('CAD_RESÍDUOS'!$G$6:$G$205,MATCH(C47,'CAD_RESÍDUOS'!$B$6:$B$205,0))&amp;"")</f>
        <v/>
      </c>
      <c r="G47" s="98" t="n"/>
      <c r="H47" s="91" t="n"/>
      <c r="I47" s="93" t="str">
        <f>IF(R47=0,"",IF(NOT(ISNUMBER(G47)),"",IF(ISNUMBER(X47),G47*X47,"UNIDADE A CONFERIR")))</f>
        <v/>
      </c>
      <c r="J47" s="91" t="n"/>
      <c r="K47" s="91" t="n"/>
      <c r="L47" s="93" t="str">
        <f>IF(R47=0,"",SUMIFS('RECEBIMENTOS'!$H$6:$H$1005,'RECEBIMENTOS'!$R$6:$R$1005,A47,'RECEBIMENTOS'!$X$6:$X$1005,1))</f>
        <v/>
      </c>
      <c r="M47" s="93" t="str">
        <f>IF(R47=0,"",SUMIFS('VÍNCULOS_CDF'!$H$6:$H$1005,'VÍNCULOS_CDF'!$R$6:$R$1005,A47,'VÍNCULOS_CDF'!$V$6:$V$1005,1))</f>
        <v/>
      </c>
      <c r="N47" s="99" t="str">
        <f>IF(OR(R47=0,AA47=0,NOT(ISNUMBER(I47))),"",I47-N(L47))</f>
        <v/>
      </c>
      <c r="O47" s="100" t="str">
        <f>IF(OR(R47=0,AK47&lt;=0),"",N(M47)/AK47)</f>
        <v/>
      </c>
      <c r="P47" s="94" t="str">
        <f>IF(R47=0,"",IF(S47="","Sem MTR associado",IF(U47=0,"MTR inexistente",IF(C47="","Resíduo não identificado",IF(V47=0,"Resíduo fora do cadastro",IF(W47=0,"Quantidade inválida",IF(H47="","Unidade não informada",IF(NOT(ISNUMBER(I47)),"Unidade a conferir",IF(AND(AH47=1,K47&lt;&gt;"Sim"),"Possível duplicidade",IF(Z47=1,"MTR cancelado",IF(AC47&gt;0,"Recebimento com alerta",IF(AA47=0,"Aguardando recebimento",IF(AB47&lt;AA47,"Recebimento a conferir",IF(AM47=1,"Quantidade a revisar",IF(AF47&gt;0,"Vínculo a revisar",IF(AD47=0,"Aguardando CDF",IF(AN47=0,"Vínculo de CDF parcial",IF(AE47&lt;AD47,"CDF a conferir","Documentação conferida"))))))))))))))))))</f>
        <v/>
      </c>
      <c r="Q47" s="93" t="str">
        <f>IF(OR(R47=0,AA47=0),"",MAX(0,N(L47)-N(M47)))</f>
        <v/>
      </c>
      <c r="R47" s="96">
        <f>IF(COUNTA(B47:C47,G47:H47,J47:K47)&gt;0,1,0)</f>
        <v>0</v>
      </c>
      <c r="S47" s="96" t="str">
        <f>IF(B47="","",TRIM(LEFT(B47,FIND(" |",B47&amp;" |")-1)))</f>
        <v/>
      </c>
      <c r="T47" s="96" t="str">
        <f>IF(S47="","",IFERROR(MATCH(S47,'MTRs'!$A$6:$A$505,0),""))</f>
        <v/>
      </c>
      <c r="U47" s="96">
        <f>IF(T47="",0,IF(INDEX('MTRs'!$Z$6:$Z$505,T47)=1,1,0))</f>
        <v>0</v>
      </c>
      <c r="V47" s="96">
        <f>IF(C47="",0,IF(ISNUMBER(MATCH(C47,'CAD_RESÍDUOS'!$B$6:$B$205,0)),1,0))</f>
        <v>0</v>
      </c>
      <c r="W47" s="96">
        <f>IF(AND(ISNUMBER(G47),G47&gt;0),1,0)</f>
        <v>0</v>
      </c>
      <c r="X47" s="96" t="str">
        <f>IF(H47="","",IFERROR(IF(ISNUMBER(INDEX(cfg_fac,MATCH(H47,cfg_units,0))),IF(INDEX(cfg_fac,MATCH(H47,cfg_units,0))&gt;0,INDEX(cfg_fac,MATCH(H47,cfg_units,0)),""),""),""))</f>
        <v/>
      </c>
      <c r="Y47" s="96">
        <f>IF(AND(W47=1,ISNUMBER(I47)),1,0)</f>
        <v>0</v>
      </c>
      <c r="Z47" s="96">
        <f>IF(U47=1,INDEX('MTRs'!$AA$6:$AA$505,T47),0)</f>
        <v>0</v>
      </c>
      <c r="AA47" s="96">
        <f>IF(R47=0,0,COUNTIFS('RECEBIMENTOS'!$R$6:$R$1005,A47,'RECEBIMENTOS'!$Q$6:$Q$1005,1))</f>
        <v>0</v>
      </c>
      <c r="AB47" s="96">
        <f>IF(R47=0,0,COUNTIFS('RECEBIMENTOS'!$R$6:$R$1005,A47,'RECEBIMENTOS'!$Z$6:$Z$1005,1))</f>
        <v>0</v>
      </c>
      <c r="AC47" s="96">
        <f>IF(R47=0,0,COUNTIFS('RECEBIMENTOS'!$R$6:$R$1005,A47,'RECEBIMENTOS'!$Y$6:$Y$1005,1))</f>
        <v>0</v>
      </c>
      <c r="AD47" s="96">
        <f>IF(R47=0,0,COUNTIFS('VÍNCULOS_CDF'!$R$6:$R$1005,A47,'VÍNCULOS_CDF'!$N$6:$N$1005,1))</f>
        <v>0</v>
      </c>
      <c r="AE47" s="96">
        <f>IF(R47=0,0,COUNTIFS('VÍNCULOS_CDF'!$R$6:$R$1005,A47,'VÍNCULOS_CDF'!$AA$6:$AA$1005,1))</f>
        <v>0</v>
      </c>
      <c r="AF47" s="96">
        <f>IF(R47=0,0,COUNTIFS('VÍNCULOS_CDF'!$R$6:$R$1005,A47,'VÍNCULOS_CDF'!$Y$6:$Y$1005,1))</f>
        <v>0</v>
      </c>
      <c r="AG47" s="96" t="str">
        <f>IF(AND(R47=1,S47&lt;&gt;"",C47&lt;&gt;""),S47&amp;"|"&amp;C47&amp;"|"&amp;G47&amp;"|"&amp;H47,"")</f>
        <v/>
      </c>
      <c r="AH47" s="96">
        <f>IF(AG47="",0,IF(SUMPRODUCT(--($AG$6:$AG$1005=AG47))&gt;1,1,0))</f>
        <v>0</v>
      </c>
      <c r="AI47" s="96">
        <f>IF(R47=0,0,IF(OR(U47=0,V47=0,Y47=0,AND(AH47=1,K47&lt;&gt;"Sim")),1,0))</f>
        <v>0</v>
      </c>
      <c r="AJ47" s="96">
        <f>IF(AND(R47=1,AA47&gt;0,AB47=AA47),1,0)</f>
        <v>0</v>
      </c>
      <c r="AK47" s="96">
        <f>IF(R47=0,0,IF(AA47&gt;0,N(L47),IF(ISNUMBER(I47),I47,0)))</f>
        <v>0</v>
      </c>
      <c r="AL47" s="96">
        <f>IF(R47=0,0,IF(AND(K47&lt;&gt;"Sim",N(M47)&gt;AK47+cfg_tol),1,0))</f>
        <v>0</v>
      </c>
      <c r="AM47" s="96">
        <f>IF(R47=0,0,IF(K47="Sim",0,IF(OR(AND(AA47&gt;0,ISNUMBER(I47),ABS(I47-N(L47))&gt;cfg_tol),AL47=1),1,0)))</f>
        <v>0</v>
      </c>
      <c r="AN47" s="96">
        <f>IF(AND(R47=1,N(M47)&gt;0,OR(N(M47)&gt;=AK47-cfg_tol,K47="Sim")),1,0)</f>
        <v>0</v>
      </c>
      <c r="AO47" s="96">
        <f>IF(AND(AN47=1,AD47&gt;0,AE47=AD47,AL47=0),1,0)</f>
        <v>0</v>
      </c>
      <c r="AP47" s="96">
        <f>IF(U47=0,0,IF(AND(INDEX('MTRs'!$AX$6:$AX$505,T47)=1,Z47=0,OR(f_res="",f_res="(Todos)",C47=f_res)),1,0))</f>
        <v>0</v>
      </c>
      <c r="AQ47" s="97" t="str">
        <f>IF(U47=0,"",INDEX('MTRs'!$AZ$6:$AZ$505,T47))</f>
        <v/>
      </c>
      <c r="AR47" s="96">
        <f>IF(U47=0,0,IF(AND(INDEX('MTRs'!$BA$6:$BA$505,T47)=1,Z47=0),1,0))</f>
        <v>0</v>
      </c>
      <c r="AS47" s="96" t="str">
        <f>IF(R47=1,A47&amp;" | MTR "&amp;IF(U47=1,INDEX('MTRs'!$B$6:$B$505,T47)&amp;"","?")&amp;" | "&amp;IF(C47="","(sem resíduo)",C47),"")</f>
        <v/>
      </c>
      <c r="AT47" s="96" t="str">
        <f>IF(R47=1,COUNTIF($R$6:R47,1),"")</f>
        <v/>
      </c>
      <c r="AU47" s="96" t="str">
        <f>IF(U47=1,INDEX('MTRs'!$I$6:$I$505,T47)&amp;"","")</f>
        <v/>
      </c>
    </row>
    <row r="48">
      <c r="A48" s="89" t="inlineStr">
        <is>
          <t>IT-000043</t>
        </is>
      </c>
      <c r="B48" s="91" t="n"/>
      <c r="C48" s="91" t="n"/>
      <c r="D48" s="94" t="str">
        <f>IF(OR(R48=0,V48=0),"",INDEX('CAD_RESÍDUOS'!$E$6:$E$205,MATCH(C48,'CAD_RESÍDUOS'!$B$6:$B$205,0))&amp;"")</f>
        <v/>
      </c>
      <c r="E48" s="94" t="str">
        <f>IF(OR(R48=0,V48=0),"",INDEX('CAD_RESÍDUOS'!$C$6:$C$205,MATCH(C48,'CAD_RESÍDUOS'!$B$6:$B$205,0))&amp;"")</f>
        <v/>
      </c>
      <c r="F48" s="94" t="str">
        <f>IF(OR(R48=0,V48=0),"",INDEX('CAD_RESÍDUOS'!$G$6:$G$205,MATCH(C48,'CAD_RESÍDUOS'!$B$6:$B$205,0))&amp;"")</f>
        <v/>
      </c>
      <c r="G48" s="98" t="n"/>
      <c r="H48" s="91" t="n"/>
      <c r="I48" s="93" t="str">
        <f>IF(R48=0,"",IF(NOT(ISNUMBER(G48)),"",IF(ISNUMBER(X48),G48*X48,"UNIDADE A CONFERIR")))</f>
        <v/>
      </c>
      <c r="J48" s="91" t="n"/>
      <c r="K48" s="91" t="n"/>
      <c r="L48" s="93" t="str">
        <f>IF(R48=0,"",SUMIFS('RECEBIMENTOS'!$H$6:$H$1005,'RECEBIMENTOS'!$R$6:$R$1005,A48,'RECEBIMENTOS'!$X$6:$X$1005,1))</f>
        <v/>
      </c>
      <c r="M48" s="93" t="str">
        <f>IF(R48=0,"",SUMIFS('VÍNCULOS_CDF'!$H$6:$H$1005,'VÍNCULOS_CDF'!$R$6:$R$1005,A48,'VÍNCULOS_CDF'!$V$6:$V$1005,1))</f>
        <v/>
      </c>
      <c r="N48" s="99" t="str">
        <f>IF(OR(R48=0,AA48=0,NOT(ISNUMBER(I48))),"",I48-N(L48))</f>
        <v/>
      </c>
      <c r="O48" s="100" t="str">
        <f>IF(OR(R48=0,AK48&lt;=0),"",N(M48)/AK48)</f>
        <v/>
      </c>
      <c r="P48" s="94" t="str">
        <f>IF(R48=0,"",IF(S48="","Sem MTR associado",IF(U48=0,"MTR inexistente",IF(C48="","Resíduo não identificado",IF(V48=0,"Resíduo fora do cadastro",IF(W48=0,"Quantidade inválida",IF(H48="","Unidade não informada",IF(NOT(ISNUMBER(I48)),"Unidade a conferir",IF(AND(AH48=1,K48&lt;&gt;"Sim"),"Possível duplicidade",IF(Z48=1,"MTR cancelado",IF(AC48&gt;0,"Recebimento com alerta",IF(AA48=0,"Aguardando recebimento",IF(AB48&lt;AA48,"Recebimento a conferir",IF(AM48=1,"Quantidade a revisar",IF(AF48&gt;0,"Vínculo a revisar",IF(AD48=0,"Aguardando CDF",IF(AN48=0,"Vínculo de CDF parcial",IF(AE48&lt;AD48,"CDF a conferir","Documentação conferida"))))))))))))))))))</f>
        <v/>
      </c>
      <c r="Q48" s="93" t="str">
        <f>IF(OR(R48=0,AA48=0),"",MAX(0,N(L48)-N(M48)))</f>
        <v/>
      </c>
      <c r="R48" s="96">
        <f>IF(COUNTA(B48:C48,G48:H48,J48:K48)&gt;0,1,0)</f>
        <v>0</v>
      </c>
      <c r="S48" s="96" t="str">
        <f>IF(B48="","",TRIM(LEFT(B48,FIND(" |",B48&amp;" |")-1)))</f>
        <v/>
      </c>
      <c r="T48" s="96" t="str">
        <f>IF(S48="","",IFERROR(MATCH(S48,'MTRs'!$A$6:$A$505,0),""))</f>
        <v/>
      </c>
      <c r="U48" s="96">
        <f>IF(T48="",0,IF(INDEX('MTRs'!$Z$6:$Z$505,T48)=1,1,0))</f>
        <v>0</v>
      </c>
      <c r="V48" s="96">
        <f>IF(C48="",0,IF(ISNUMBER(MATCH(C48,'CAD_RESÍDUOS'!$B$6:$B$205,0)),1,0))</f>
        <v>0</v>
      </c>
      <c r="W48" s="96">
        <f>IF(AND(ISNUMBER(G48),G48&gt;0),1,0)</f>
        <v>0</v>
      </c>
      <c r="X48" s="96" t="str">
        <f>IF(H48="","",IFERROR(IF(ISNUMBER(INDEX(cfg_fac,MATCH(H48,cfg_units,0))),IF(INDEX(cfg_fac,MATCH(H48,cfg_units,0))&gt;0,INDEX(cfg_fac,MATCH(H48,cfg_units,0)),""),""),""))</f>
        <v/>
      </c>
      <c r="Y48" s="96">
        <f>IF(AND(W48=1,ISNUMBER(I48)),1,0)</f>
        <v>0</v>
      </c>
      <c r="Z48" s="96">
        <f>IF(U48=1,INDEX('MTRs'!$AA$6:$AA$505,T48),0)</f>
        <v>0</v>
      </c>
      <c r="AA48" s="96">
        <f>IF(R48=0,0,COUNTIFS('RECEBIMENTOS'!$R$6:$R$1005,A48,'RECEBIMENTOS'!$Q$6:$Q$1005,1))</f>
        <v>0</v>
      </c>
      <c r="AB48" s="96">
        <f>IF(R48=0,0,COUNTIFS('RECEBIMENTOS'!$R$6:$R$1005,A48,'RECEBIMENTOS'!$Z$6:$Z$1005,1))</f>
        <v>0</v>
      </c>
      <c r="AC48" s="96">
        <f>IF(R48=0,0,COUNTIFS('RECEBIMENTOS'!$R$6:$R$1005,A48,'RECEBIMENTOS'!$Y$6:$Y$1005,1))</f>
        <v>0</v>
      </c>
      <c r="AD48" s="96">
        <f>IF(R48=0,0,COUNTIFS('VÍNCULOS_CDF'!$R$6:$R$1005,A48,'VÍNCULOS_CDF'!$N$6:$N$1005,1))</f>
        <v>0</v>
      </c>
      <c r="AE48" s="96">
        <f>IF(R48=0,0,COUNTIFS('VÍNCULOS_CDF'!$R$6:$R$1005,A48,'VÍNCULOS_CDF'!$AA$6:$AA$1005,1))</f>
        <v>0</v>
      </c>
      <c r="AF48" s="96">
        <f>IF(R48=0,0,COUNTIFS('VÍNCULOS_CDF'!$R$6:$R$1005,A48,'VÍNCULOS_CDF'!$Y$6:$Y$1005,1))</f>
        <v>0</v>
      </c>
      <c r="AG48" s="96" t="str">
        <f>IF(AND(R48=1,S48&lt;&gt;"",C48&lt;&gt;""),S48&amp;"|"&amp;C48&amp;"|"&amp;G48&amp;"|"&amp;H48,"")</f>
        <v/>
      </c>
      <c r="AH48" s="96">
        <f>IF(AG48="",0,IF(SUMPRODUCT(--($AG$6:$AG$1005=AG48))&gt;1,1,0))</f>
        <v>0</v>
      </c>
      <c r="AI48" s="96">
        <f>IF(R48=0,0,IF(OR(U48=0,V48=0,Y48=0,AND(AH48=1,K48&lt;&gt;"Sim")),1,0))</f>
        <v>0</v>
      </c>
      <c r="AJ48" s="96">
        <f>IF(AND(R48=1,AA48&gt;0,AB48=AA48),1,0)</f>
        <v>0</v>
      </c>
      <c r="AK48" s="96">
        <f>IF(R48=0,0,IF(AA48&gt;0,N(L48),IF(ISNUMBER(I48),I48,0)))</f>
        <v>0</v>
      </c>
      <c r="AL48" s="96">
        <f>IF(R48=0,0,IF(AND(K48&lt;&gt;"Sim",N(M48)&gt;AK48+cfg_tol),1,0))</f>
        <v>0</v>
      </c>
      <c r="AM48" s="96">
        <f>IF(R48=0,0,IF(K48="Sim",0,IF(OR(AND(AA48&gt;0,ISNUMBER(I48),ABS(I48-N(L48))&gt;cfg_tol),AL48=1),1,0)))</f>
        <v>0</v>
      </c>
      <c r="AN48" s="96">
        <f>IF(AND(R48=1,N(M48)&gt;0,OR(N(M48)&gt;=AK48-cfg_tol,K48="Sim")),1,0)</f>
        <v>0</v>
      </c>
      <c r="AO48" s="96">
        <f>IF(AND(AN48=1,AD48&gt;0,AE48=AD48,AL48=0),1,0)</f>
        <v>0</v>
      </c>
      <c r="AP48" s="96">
        <f>IF(U48=0,0,IF(AND(INDEX('MTRs'!$AX$6:$AX$505,T48)=1,Z48=0,OR(f_res="",f_res="(Todos)",C48=f_res)),1,0))</f>
        <v>0</v>
      </c>
      <c r="AQ48" s="97" t="str">
        <f>IF(U48=0,"",INDEX('MTRs'!$AZ$6:$AZ$505,T48))</f>
        <v/>
      </c>
      <c r="AR48" s="96">
        <f>IF(U48=0,0,IF(AND(INDEX('MTRs'!$BA$6:$BA$505,T48)=1,Z48=0),1,0))</f>
        <v>0</v>
      </c>
      <c r="AS48" s="96" t="str">
        <f>IF(R48=1,A48&amp;" | MTR "&amp;IF(U48=1,INDEX('MTRs'!$B$6:$B$505,T48)&amp;"","?")&amp;" | "&amp;IF(C48="","(sem resíduo)",C48),"")</f>
        <v/>
      </c>
      <c r="AT48" s="96" t="str">
        <f>IF(R48=1,COUNTIF($R$6:R48,1),"")</f>
        <v/>
      </c>
      <c r="AU48" s="96" t="str">
        <f>IF(U48=1,INDEX('MTRs'!$I$6:$I$505,T48)&amp;"","")</f>
        <v/>
      </c>
    </row>
    <row r="49">
      <c r="A49" s="89" t="inlineStr">
        <is>
          <t>IT-000044</t>
        </is>
      </c>
      <c r="B49" s="91" t="n"/>
      <c r="C49" s="91" t="n"/>
      <c r="D49" s="94" t="str">
        <f>IF(OR(R49=0,V49=0),"",INDEX('CAD_RESÍDUOS'!$E$6:$E$205,MATCH(C49,'CAD_RESÍDUOS'!$B$6:$B$205,0))&amp;"")</f>
        <v/>
      </c>
      <c r="E49" s="94" t="str">
        <f>IF(OR(R49=0,V49=0),"",INDEX('CAD_RESÍDUOS'!$C$6:$C$205,MATCH(C49,'CAD_RESÍDUOS'!$B$6:$B$205,0))&amp;"")</f>
        <v/>
      </c>
      <c r="F49" s="94" t="str">
        <f>IF(OR(R49=0,V49=0),"",INDEX('CAD_RESÍDUOS'!$G$6:$G$205,MATCH(C49,'CAD_RESÍDUOS'!$B$6:$B$205,0))&amp;"")</f>
        <v/>
      </c>
      <c r="G49" s="98" t="n"/>
      <c r="H49" s="91" t="n"/>
      <c r="I49" s="93" t="str">
        <f>IF(R49=0,"",IF(NOT(ISNUMBER(G49)),"",IF(ISNUMBER(X49),G49*X49,"UNIDADE A CONFERIR")))</f>
        <v/>
      </c>
      <c r="J49" s="91" t="n"/>
      <c r="K49" s="91" t="n"/>
      <c r="L49" s="93" t="str">
        <f>IF(R49=0,"",SUMIFS('RECEBIMENTOS'!$H$6:$H$1005,'RECEBIMENTOS'!$R$6:$R$1005,A49,'RECEBIMENTOS'!$X$6:$X$1005,1))</f>
        <v/>
      </c>
      <c r="M49" s="93" t="str">
        <f>IF(R49=0,"",SUMIFS('VÍNCULOS_CDF'!$H$6:$H$1005,'VÍNCULOS_CDF'!$R$6:$R$1005,A49,'VÍNCULOS_CDF'!$V$6:$V$1005,1))</f>
        <v/>
      </c>
      <c r="N49" s="99" t="str">
        <f>IF(OR(R49=0,AA49=0,NOT(ISNUMBER(I49))),"",I49-N(L49))</f>
        <v/>
      </c>
      <c r="O49" s="100" t="str">
        <f>IF(OR(R49=0,AK49&lt;=0),"",N(M49)/AK49)</f>
        <v/>
      </c>
      <c r="P49" s="94" t="str">
        <f>IF(R49=0,"",IF(S49="","Sem MTR associado",IF(U49=0,"MTR inexistente",IF(C49="","Resíduo não identificado",IF(V49=0,"Resíduo fora do cadastro",IF(W49=0,"Quantidade inválida",IF(H49="","Unidade não informada",IF(NOT(ISNUMBER(I49)),"Unidade a conferir",IF(AND(AH49=1,K49&lt;&gt;"Sim"),"Possível duplicidade",IF(Z49=1,"MTR cancelado",IF(AC49&gt;0,"Recebimento com alerta",IF(AA49=0,"Aguardando recebimento",IF(AB49&lt;AA49,"Recebimento a conferir",IF(AM49=1,"Quantidade a revisar",IF(AF49&gt;0,"Vínculo a revisar",IF(AD49=0,"Aguardando CDF",IF(AN49=0,"Vínculo de CDF parcial",IF(AE49&lt;AD49,"CDF a conferir","Documentação conferida"))))))))))))))))))</f>
        <v/>
      </c>
      <c r="Q49" s="93" t="str">
        <f>IF(OR(R49=0,AA49=0),"",MAX(0,N(L49)-N(M49)))</f>
        <v/>
      </c>
      <c r="R49" s="96">
        <f>IF(COUNTA(B49:C49,G49:H49,J49:K49)&gt;0,1,0)</f>
        <v>0</v>
      </c>
      <c r="S49" s="96" t="str">
        <f>IF(B49="","",TRIM(LEFT(B49,FIND(" |",B49&amp;" |")-1)))</f>
        <v/>
      </c>
      <c r="T49" s="96" t="str">
        <f>IF(S49="","",IFERROR(MATCH(S49,'MTRs'!$A$6:$A$505,0),""))</f>
        <v/>
      </c>
      <c r="U49" s="96">
        <f>IF(T49="",0,IF(INDEX('MTRs'!$Z$6:$Z$505,T49)=1,1,0))</f>
        <v>0</v>
      </c>
      <c r="V49" s="96">
        <f>IF(C49="",0,IF(ISNUMBER(MATCH(C49,'CAD_RESÍDUOS'!$B$6:$B$205,0)),1,0))</f>
        <v>0</v>
      </c>
      <c r="W49" s="96">
        <f>IF(AND(ISNUMBER(G49),G49&gt;0),1,0)</f>
        <v>0</v>
      </c>
      <c r="X49" s="96" t="str">
        <f>IF(H49="","",IFERROR(IF(ISNUMBER(INDEX(cfg_fac,MATCH(H49,cfg_units,0))),IF(INDEX(cfg_fac,MATCH(H49,cfg_units,0))&gt;0,INDEX(cfg_fac,MATCH(H49,cfg_units,0)),""),""),""))</f>
        <v/>
      </c>
      <c r="Y49" s="96">
        <f>IF(AND(W49=1,ISNUMBER(I49)),1,0)</f>
        <v>0</v>
      </c>
      <c r="Z49" s="96">
        <f>IF(U49=1,INDEX('MTRs'!$AA$6:$AA$505,T49),0)</f>
        <v>0</v>
      </c>
      <c r="AA49" s="96">
        <f>IF(R49=0,0,COUNTIFS('RECEBIMENTOS'!$R$6:$R$1005,A49,'RECEBIMENTOS'!$Q$6:$Q$1005,1))</f>
        <v>0</v>
      </c>
      <c r="AB49" s="96">
        <f>IF(R49=0,0,COUNTIFS('RECEBIMENTOS'!$R$6:$R$1005,A49,'RECEBIMENTOS'!$Z$6:$Z$1005,1))</f>
        <v>0</v>
      </c>
      <c r="AC49" s="96">
        <f>IF(R49=0,0,COUNTIFS('RECEBIMENTOS'!$R$6:$R$1005,A49,'RECEBIMENTOS'!$Y$6:$Y$1005,1))</f>
        <v>0</v>
      </c>
      <c r="AD49" s="96">
        <f>IF(R49=0,0,COUNTIFS('VÍNCULOS_CDF'!$R$6:$R$1005,A49,'VÍNCULOS_CDF'!$N$6:$N$1005,1))</f>
        <v>0</v>
      </c>
      <c r="AE49" s="96">
        <f>IF(R49=0,0,COUNTIFS('VÍNCULOS_CDF'!$R$6:$R$1005,A49,'VÍNCULOS_CDF'!$AA$6:$AA$1005,1))</f>
        <v>0</v>
      </c>
      <c r="AF49" s="96">
        <f>IF(R49=0,0,COUNTIFS('VÍNCULOS_CDF'!$R$6:$R$1005,A49,'VÍNCULOS_CDF'!$Y$6:$Y$1005,1))</f>
        <v>0</v>
      </c>
      <c r="AG49" s="96" t="str">
        <f>IF(AND(R49=1,S49&lt;&gt;"",C49&lt;&gt;""),S49&amp;"|"&amp;C49&amp;"|"&amp;G49&amp;"|"&amp;H49,"")</f>
        <v/>
      </c>
      <c r="AH49" s="96">
        <f>IF(AG49="",0,IF(SUMPRODUCT(--($AG$6:$AG$1005=AG49))&gt;1,1,0))</f>
        <v>0</v>
      </c>
      <c r="AI49" s="96">
        <f>IF(R49=0,0,IF(OR(U49=0,V49=0,Y49=0,AND(AH49=1,K49&lt;&gt;"Sim")),1,0))</f>
        <v>0</v>
      </c>
      <c r="AJ49" s="96">
        <f>IF(AND(R49=1,AA49&gt;0,AB49=AA49),1,0)</f>
        <v>0</v>
      </c>
      <c r="AK49" s="96">
        <f>IF(R49=0,0,IF(AA49&gt;0,N(L49),IF(ISNUMBER(I49),I49,0)))</f>
        <v>0</v>
      </c>
      <c r="AL49" s="96">
        <f>IF(R49=0,0,IF(AND(K49&lt;&gt;"Sim",N(M49)&gt;AK49+cfg_tol),1,0))</f>
        <v>0</v>
      </c>
      <c r="AM49" s="96">
        <f>IF(R49=0,0,IF(K49="Sim",0,IF(OR(AND(AA49&gt;0,ISNUMBER(I49),ABS(I49-N(L49))&gt;cfg_tol),AL49=1),1,0)))</f>
        <v>0</v>
      </c>
      <c r="AN49" s="96">
        <f>IF(AND(R49=1,N(M49)&gt;0,OR(N(M49)&gt;=AK49-cfg_tol,K49="Sim")),1,0)</f>
        <v>0</v>
      </c>
      <c r="AO49" s="96">
        <f>IF(AND(AN49=1,AD49&gt;0,AE49=AD49,AL49=0),1,0)</f>
        <v>0</v>
      </c>
      <c r="AP49" s="96">
        <f>IF(U49=0,0,IF(AND(INDEX('MTRs'!$AX$6:$AX$505,T49)=1,Z49=0,OR(f_res="",f_res="(Todos)",C49=f_res)),1,0))</f>
        <v>0</v>
      </c>
      <c r="AQ49" s="97" t="str">
        <f>IF(U49=0,"",INDEX('MTRs'!$AZ$6:$AZ$505,T49))</f>
        <v/>
      </c>
      <c r="AR49" s="96">
        <f>IF(U49=0,0,IF(AND(INDEX('MTRs'!$BA$6:$BA$505,T49)=1,Z49=0),1,0))</f>
        <v>0</v>
      </c>
      <c r="AS49" s="96" t="str">
        <f>IF(R49=1,A49&amp;" | MTR "&amp;IF(U49=1,INDEX('MTRs'!$B$6:$B$505,T49)&amp;"","?")&amp;" | "&amp;IF(C49="","(sem resíduo)",C49),"")</f>
        <v/>
      </c>
      <c r="AT49" s="96" t="str">
        <f>IF(R49=1,COUNTIF($R$6:R49,1),"")</f>
        <v/>
      </c>
      <c r="AU49" s="96" t="str">
        <f>IF(U49=1,INDEX('MTRs'!$I$6:$I$505,T49)&amp;"","")</f>
        <v/>
      </c>
    </row>
    <row r="50">
      <c r="A50" s="89" t="inlineStr">
        <is>
          <t>IT-000045</t>
        </is>
      </c>
      <c r="B50" s="91" t="n"/>
      <c r="C50" s="91" t="n"/>
      <c r="D50" s="94" t="str">
        <f>IF(OR(R50=0,V50=0),"",INDEX('CAD_RESÍDUOS'!$E$6:$E$205,MATCH(C50,'CAD_RESÍDUOS'!$B$6:$B$205,0))&amp;"")</f>
        <v/>
      </c>
      <c r="E50" s="94" t="str">
        <f>IF(OR(R50=0,V50=0),"",INDEX('CAD_RESÍDUOS'!$C$6:$C$205,MATCH(C50,'CAD_RESÍDUOS'!$B$6:$B$205,0))&amp;"")</f>
        <v/>
      </c>
      <c r="F50" s="94" t="str">
        <f>IF(OR(R50=0,V50=0),"",INDEX('CAD_RESÍDUOS'!$G$6:$G$205,MATCH(C50,'CAD_RESÍDUOS'!$B$6:$B$205,0))&amp;"")</f>
        <v/>
      </c>
      <c r="G50" s="98" t="n"/>
      <c r="H50" s="91" t="n"/>
      <c r="I50" s="93" t="str">
        <f>IF(R50=0,"",IF(NOT(ISNUMBER(G50)),"",IF(ISNUMBER(X50),G50*X50,"UNIDADE A CONFERIR")))</f>
        <v/>
      </c>
      <c r="J50" s="91" t="n"/>
      <c r="K50" s="91" t="n"/>
      <c r="L50" s="93" t="str">
        <f>IF(R50=0,"",SUMIFS('RECEBIMENTOS'!$H$6:$H$1005,'RECEBIMENTOS'!$R$6:$R$1005,A50,'RECEBIMENTOS'!$X$6:$X$1005,1))</f>
        <v/>
      </c>
      <c r="M50" s="93" t="str">
        <f>IF(R50=0,"",SUMIFS('VÍNCULOS_CDF'!$H$6:$H$1005,'VÍNCULOS_CDF'!$R$6:$R$1005,A50,'VÍNCULOS_CDF'!$V$6:$V$1005,1))</f>
        <v/>
      </c>
      <c r="N50" s="99" t="str">
        <f>IF(OR(R50=0,AA50=0,NOT(ISNUMBER(I50))),"",I50-N(L50))</f>
        <v/>
      </c>
      <c r="O50" s="100" t="str">
        <f>IF(OR(R50=0,AK50&lt;=0),"",N(M50)/AK50)</f>
        <v/>
      </c>
      <c r="P50" s="94" t="str">
        <f>IF(R50=0,"",IF(S50="","Sem MTR associado",IF(U50=0,"MTR inexistente",IF(C50="","Resíduo não identificado",IF(V50=0,"Resíduo fora do cadastro",IF(W50=0,"Quantidade inválida",IF(H50="","Unidade não informada",IF(NOT(ISNUMBER(I50)),"Unidade a conferir",IF(AND(AH50=1,K50&lt;&gt;"Sim"),"Possível duplicidade",IF(Z50=1,"MTR cancelado",IF(AC50&gt;0,"Recebimento com alerta",IF(AA50=0,"Aguardando recebimento",IF(AB50&lt;AA50,"Recebimento a conferir",IF(AM50=1,"Quantidade a revisar",IF(AF50&gt;0,"Vínculo a revisar",IF(AD50=0,"Aguardando CDF",IF(AN50=0,"Vínculo de CDF parcial",IF(AE50&lt;AD50,"CDF a conferir","Documentação conferida"))))))))))))))))))</f>
        <v/>
      </c>
      <c r="Q50" s="93" t="str">
        <f>IF(OR(R50=0,AA50=0),"",MAX(0,N(L50)-N(M50)))</f>
        <v/>
      </c>
      <c r="R50" s="96">
        <f>IF(COUNTA(B50:C50,G50:H50,J50:K50)&gt;0,1,0)</f>
        <v>0</v>
      </c>
      <c r="S50" s="96" t="str">
        <f>IF(B50="","",TRIM(LEFT(B50,FIND(" |",B50&amp;" |")-1)))</f>
        <v/>
      </c>
      <c r="T50" s="96" t="str">
        <f>IF(S50="","",IFERROR(MATCH(S50,'MTRs'!$A$6:$A$505,0),""))</f>
        <v/>
      </c>
      <c r="U50" s="96">
        <f>IF(T50="",0,IF(INDEX('MTRs'!$Z$6:$Z$505,T50)=1,1,0))</f>
        <v>0</v>
      </c>
      <c r="V50" s="96">
        <f>IF(C50="",0,IF(ISNUMBER(MATCH(C50,'CAD_RESÍDUOS'!$B$6:$B$205,0)),1,0))</f>
        <v>0</v>
      </c>
      <c r="W50" s="96">
        <f>IF(AND(ISNUMBER(G50),G50&gt;0),1,0)</f>
        <v>0</v>
      </c>
      <c r="X50" s="96" t="str">
        <f>IF(H50="","",IFERROR(IF(ISNUMBER(INDEX(cfg_fac,MATCH(H50,cfg_units,0))),IF(INDEX(cfg_fac,MATCH(H50,cfg_units,0))&gt;0,INDEX(cfg_fac,MATCH(H50,cfg_units,0)),""),""),""))</f>
        <v/>
      </c>
      <c r="Y50" s="96">
        <f>IF(AND(W50=1,ISNUMBER(I50)),1,0)</f>
        <v>0</v>
      </c>
      <c r="Z50" s="96">
        <f>IF(U50=1,INDEX('MTRs'!$AA$6:$AA$505,T50),0)</f>
        <v>0</v>
      </c>
      <c r="AA50" s="96">
        <f>IF(R50=0,0,COUNTIFS('RECEBIMENTOS'!$R$6:$R$1005,A50,'RECEBIMENTOS'!$Q$6:$Q$1005,1))</f>
        <v>0</v>
      </c>
      <c r="AB50" s="96">
        <f>IF(R50=0,0,COUNTIFS('RECEBIMENTOS'!$R$6:$R$1005,A50,'RECEBIMENTOS'!$Z$6:$Z$1005,1))</f>
        <v>0</v>
      </c>
      <c r="AC50" s="96">
        <f>IF(R50=0,0,COUNTIFS('RECEBIMENTOS'!$R$6:$R$1005,A50,'RECEBIMENTOS'!$Y$6:$Y$1005,1))</f>
        <v>0</v>
      </c>
      <c r="AD50" s="96">
        <f>IF(R50=0,0,COUNTIFS('VÍNCULOS_CDF'!$R$6:$R$1005,A50,'VÍNCULOS_CDF'!$N$6:$N$1005,1))</f>
        <v>0</v>
      </c>
      <c r="AE50" s="96">
        <f>IF(R50=0,0,COUNTIFS('VÍNCULOS_CDF'!$R$6:$R$1005,A50,'VÍNCULOS_CDF'!$AA$6:$AA$1005,1))</f>
        <v>0</v>
      </c>
      <c r="AF50" s="96">
        <f>IF(R50=0,0,COUNTIFS('VÍNCULOS_CDF'!$R$6:$R$1005,A50,'VÍNCULOS_CDF'!$Y$6:$Y$1005,1))</f>
        <v>0</v>
      </c>
      <c r="AG50" s="96" t="str">
        <f>IF(AND(R50=1,S50&lt;&gt;"",C50&lt;&gt;""),S50&amp;"|"&amp;C50&amp;"|"&amp;G50&amp;"|"&amp;H50,"")</f>
        <v/>
      </c>
      <c r="AH50" s="96">
        <f>IF(AG50="",0,IF(SUMPRODUCT(--($AG$6:$AG$1005=AG50))&gt;1,1,0))</f>
        <v>0</v>
      </c>
      <c r="AI50" s="96">
        <f>IF(R50=0,0,IF(OR(U50=0,V50=0,Y50=0,AND(AH50=1,K50&lt;&gt;"Sim")),1,0))</f>
        <v>0</v>
      </c>
      <c r="AJ50" s="96">
        <f>IF(AND(R50=1,AA50&gt;0,AB50=AA50),1,0)</f>
        <v>0</v>
      </c>
      <c r="AK50" s="96">
        <f>IF(R50=0,0,IF(AA50&gt;0,N(L50),IF(ISNUMBER(I50),I50,0)))</f>
        <v>0</v>
      </c>
      <c r="AL50" s="96">
        <f>IF(R50=0,0,IF(AND(K50&lt;&gt;"Sim",N(M50)&gt;AK50+cfg_tol),1,0))</f>
        <v>0</v>
      </c>
      <c r="AM50" s="96">
        <f>IF(R50=0,0,IF(K50="Sim",0,IF(OR(AND(AA50&gt;0,ISNUMBER(I50),ABS(I50-N(L50))&gt;cfg_tol),AL50=1),1,0)))</f>
        <v>0</v>
      </c>
      <c r="AN50" s="96">
        <f>IF(AND(R50=1,N(M50)&gt;0,OR(N(M50)&gt;=AK50-cfg_tol,K50="Sim")),1,0)</f>
        <v>0</v>
      </c>
      <c r="AO50" s="96">
        <f>IF(AND(AN50=1,AD50&gt;0,AE50=AD50,AL50=0),1,0)</f>
        <v>0</v>
      </c>
      <c r="AP50" s="96">
        <f>IF(U50=0,0,IF(AND(INDEX('MTRs'!$AX$6:$AX$505,T50)=1,Z50=0,OR(f_res="",f_res="(Todos)",C50=f_res)),1,0))</f>
        <v>0</v>
      </c>
      <c r="AQ50" s="97" t="str">
        <f>IF(U50=0,"",INDEX('MTRs'!$AZ$6:$AZ$505,T50))</f>
        <v/>
      </c>
      <c r="AR50" s="96">
        <f>IF(U50=0,0,IF(AND(INDEX('MTRs'!$BA$6:$BA$505,T50)=1,Z50=0),1,0))</f>
        <v>0</v>
      </c>
      <c r="AS50" s="96" t="str">
        <f>IF(R50=1,A50&amp;" | MTR "&amp;IF(U50=1,INDEX('MTRs'!$B$6:$B$505,T50)&amp;"","?")&amp;" | "&amp;IF(C50="","(sem resíduo)",C50),"")</f>
        <v/>
      </c>
      <c r="AT50" s="96" t="str">
        <f>IF(R50=1,COUNTIF($R$6:R50,1),"")</f>
        <v/>
      </c>
      <c r="AU50" s="96" t="str">
        <f>IF(U50=1,INDEX('MTRs'!$I$6:$I$505,T50)&amp;"","")</f>
        <v/>
      </c>
    </row>
    <row r="51">
      <c r="A51" s="89" t="inlineStr">
        <is>
          <t>IT-000046</t>
        </is>
      </c>
      <c r="B51" s="91" t="n"/>
      <c r="C51" s="91" t="n"/>
      <c r="D51" s="94" t="str">
        <f>IF(OR(R51=0,V51=0),"",INDEX('CAD_RESÍDUOS'!$E$6:$E$205,MATCH(C51,'CAD_RESÍDUOS'!$B$6:$B$205,0))&amp;"")</f>
        <v/>
      </c>
      <c r="E51" s="94" t="str">
        <f>IF(OR(R51=0,V51=0),"",INDEX('CAD_RESÍDUOS'!$C$6:$C$205,MATCH(C51,'CAD_RESÍDUOS'!$B$6:$B$205,0))&amp;"")</f>
        <v/>
      </c>
      <c r="F51" s="94" t="str">
        <f>IF(OR(R51=0,V51=0),"",INDEX('CAD_RESÍDUOS'!$G$6:$G$205,MATCH(C51,'CAD_RESÍDUOS'!$B$6:$B$205,0))&amp;"")</f>
        <v/>
      </c>
      <c r="G51" s="98" t="n"/>
      <c r="H51" s="91" t="n"/>
      <c r="I51" s="93" t="str">
        <f>IF(R51=0,"",IF(NOT(ISNUMBER(G51)),"",IF(ISNUMBER(X51),G51*X51,"UNIDADE A CONFERIR")))</f>
        <v/>
      </c>
      <c r="J51" s="91" t="n"/>
      <c r="K51" s="91" t="n"/>
      <c r="L51" s="93" t="str">
        <f>IF(R51=0,"",SUMIFS('RECEBIMENTOS'!$H$6:$H$1005,'RECEBIMENTOS'!$R$6:$R$1005,A51,'RECEBIMENTOS'!$X$6:$X$1005,1))</f>
        <v/>
      </c>
      <c r="M51" s="93" t="str">
        <f>IF(R51=0,"",SUMIFS('VÍNCULOS_CDF'!$H$6:$H$1005,'VÍNCULOS_CDF'!$R$6:$R$1005,A51,'VÍNCULOS_CDF'!$V$6:$V$1005,1))</f>
        <v/>
      </c>
      <c r="N51" s="99" t="str">
        <f>IF(OR(R51=0,AA51=0,NOT(ISNUMBER(I51))),"",I51-N(L51))</f>
        <v/>
      </c>
      <c r="O51" s="100" t="str">
        <f>IF(OR(R51=0,AK51&lt;=0),"",N(M51)/AK51)</f>
        <v/>
      </c>
      <c r="P51" s="94" t="str">
        <f>IF(R51=0,"",IF(S51="","Sem MTR associado",IF(U51=0,"MTR inexistente",IF(C51="","Resíduo não identificado",IF(V51=0,"Resíduo fora do cadastro",IF(W51=0,"Quantidade inválida",IF(H51="","Unidade não informada",IF(NOT(ISNUMBER(I51)),"Unidade a conferir",IF(AND(AH51=1,K51&lt;&gt;"Sim"),"Possível duplicidade",IF(Z51=1,"MTR cancelado",IF(AC51&gt;0,"Recebimento com alerta",IF(AA51=0,"Aguardando recebimento",IF(AB51&lt;AA51,"Recebimento a conferir",IF(AM51=1,"Quantidade a revisar",IF(AF51&gt;0,"Vínculo a revisar",IF(AD51=0,"Aguardando CDF",IF(AN51=0,"Vínculo de CDF parcial",IF(AE51&lt;AD51,"CDF a conferir","Documentação conferida"))))))))))))))))))</f>
        <v/>
      </c>
      <c r="Q51" s="93" t="str">
        <f>IF(OR(R51=0,AA51=0),"",MAX(0,N(L51)-N(M51)))</f>
        <v/>
      </c>
      <c r="R51" s="96">
        <f>IF(COUNTA(B51:C51,G51:H51,J51:K51)&gt;0,1,0)</f>
        <v>0</v>
      </c>
      <c r="S51" s="96" t="str">
        <f>IF(B51="","",TRIM(LEFT(B51,FIND(" |",B51&amp;" |")-1)))</f>
        <v/>
      </c>
      <c r="T51" s="96" t="str">
        <f>IF(S51="","",IFERROR(MATCH(S51,'MTRs'!$A$6:$A$505,0),""))</f>
        <v/>
      </c>
      <c r="U51" s="96">
        <f>IF(T51="",0,IF(INDEX('MTRs'!$Z$6:$Z$505,T51)=1,1,0))</f>
        <v>0</v>
      </c>
      <c r="V51" s="96">
        <f>IF(C51="",0,IF(ISNUMBER(MATCH(C51,'CAD_RESÍDUOS'!$B$6:$B$205,0)),1,0))</f>
        <v>0</v>
      </c>
      <c r="W51" s="96">
        <f>IF(AND(ISNUMBER(G51),G51&gt;0),1,0)</f>
        <v>0</v>
      </c>
      <c r="X51" s="96" t="str">
        <f>IF(H51="","",IFERROR(IF(ISNUMBER(INDEX(cfg_fac,MATCH(H51,cfg_units,0))),IF(INDEX(cfg_fac,MATCH(H51,cfg_units,0))&gt;0,INDEX(cfg_fac,MATCH(H51,cfg_units,0)),""),""),""))</f>
        <v/>
      </c>
      <c r="Y51" s="96">
        <f>IF(AND(W51=1,ISNUMBER(I51)),1,0)</f>
        <v>0</v>
      </c>
      <c r="Z51" s="96">
        <f>IF(U51=1,INDEX('MTRs'!$AA$6:$AA$505,T51),0)</f>
        <v>0</v>
      </c>
      <c r="AA51" s="96">
        <f>IF(R51=0,0,COUNTIFS('RECEBIMENTOS'!$R$6:$R$1005,A51,'RECEBIMENTOS'!$Q$6:$Q$1005,1))</f>
        <v>0</v>
      </c>
      <c r="AB51" s="96">
        <f>IF(R51=0,0,COUNTIFS('RECEBIMENTOS'!$R$6:$R$1005,A51,'RECEBIMENTOS'!$Z$6:$Z$1005,1))</f>
        <v>0</v>
      </c>
      <c r="AC51" s="96">
        <f>IF(R51=0,0,COUNTIFS('RECEBIMENTOS'!$R$6:$R$1005,A51,'RECEBIMENTOS'!$Y$6:$Y$1005,1))</f>
        <v>0</v>
      </c>
      <c r="AD51" s="96">
        <f>IF(R51=0,0,COUNTIFS('VÍNCULOS_CDF'!$R$6:$R$1005,A51,'VÍNCULOS_CDF'!$N$6:$N$1005,1))</f>
        <v>0</v>
      </c>
      <c r="AE51" s="96">
        <f>IF(R51=0,0,COUNTIFS('VÍNCULOS_CDF'!$R$6:$R$1005,A51,'VÍNCULOS_CDF'!$AA$6:$AA$1005,1))</f>
        <v>0</v>
      </c>
      <c r="AF51" s="96">
        <f>IF(R51=0,0,COUNTIFS('VÍNCULOS_CDF'!$R$6:$R$1005,A51,'VÍNCULOS_CDF'!$Y$6:$Y$1005,1))</f>
        <v>0</v>
      </c>
      <c r="AG51" s="96" t="str">
        <f>IF(AND(R51=1,S51&lt;&gt;"",C51&lt;&gt;""),S51&amp;"|"&amp;C51&amp;"|"&amp;G51&amp;"|"&amp;H51,"")</f>
        <v/>
      </c>
      <c r="AH51" s="96">
        <f>IF(AG51="",0,IF(SUMPRODUCT(--($AG$6:$AG$1005=AG51))&gt;1,1,0))</f>
        <v>0</v>
      </c>
      <c r="AI51" s="96">
        <f>IF(R51=0,0,IF(OR(U51=0,V51=0,Y51=0,AND(AH51=1,K51&lt;&gt;"Sim")),1,0))</f>
        <v>0</v>
      </c>
      <c r="AJ51" s="96">
        <f>IF(AND(R51=1,AA51&gt;0,AB51=AA51),1,0)</f>
        <v>0</v>
      </c>
      <c r="AK51" s="96">
        <f>IF(R51=0,0,IF(AA51&gt;0,N(L51),IF(ISNUMBER(I51),I51,0)))</f>
        <v>0</v>
      </c>
      <c r="AL51" s="96">
        <f>IF(R51=0,0,IF(AND(K51&lt;&gt;"Sim",N(M51)&gt;AK51+cfg_tol),1,0))</f>
        <v>0</v>
      </c>
      <c r="AM51" s="96">
        <f>IF(R51=0,0,IF(K51="Sim",0,IF(OR(AND(AA51&gt;0,ISNUMBER(I51),ABS(I51-N(L51))&gt;cfg_tol),AL51=1),1,0)))</f>
        <v>0</v>
      </c>
      <c r="AN51" s="96">
        <f>IF(AND(R51=1,N(M51)&gt;0,OR(N(M51)&gt;=AK51-cfg_tol,K51="Sim")),1,0)</f>
        <v>0</v>
      </c>
      <c r="AO51" s="96">
        <f>IF(AND(AN51=1,AD51&gt;0,AE51=AD51,AL51=0),1,0)</f>
        <v>0</v>
      </c>
      <c r="AP51" s="96">
        <f>IF(U51=0,0,IF(AND(INDEX('MTRs'!$AX$6:$AX$505,T51)=1,Z51=0,OR(f_res="",f_res="(Todos)",C51=f_res)),1,0))</f>
        <v>0</v>
      </c>
      <c r="AQ51" s="97" t="str">
        <f>IF(U51=0,"",INDEX('MTRs'!$AZ$6:$AZ$505,T51))</f>
        <v/>
      </c>
      <c r="AR51" s="96">
        <f>IF(U51=0,0,IF(AND(INDEX('MTRs'!$BA$6:$BA$505,T51)=1,Z51=0),1,0))</f>
        <v>0</v>
      </c>
      <c r="AS51" s="96" t="str">
        <f>IF(R51=1,A51&amp;" | MTR "&amp;IF(U51=1,INDEX('MTRs'!$B$6:$B$505,T51)&amp;"","?")&amp;" | "&amp;IF(C51="","(sem resíduo)",C51),"")</f>
        <v/>
      </c>
      <c r="AT51" s="96" t="str">
        <f>IF(R51=1,COUNTIF($R$6:R51,1),"")</f>
        <v/>
      </c>
      <c r="AU51" s="96" t="str">
        <f>IF(U51=1,INDEX('MTRs'!$I$6:$I$505,T51)&amp;"","")</f>
        <v/>
      </c>
    </row>
    <row r="52">
      <c r="A52" s="89" t="inlineStr">
        <is>
          <t>IT-000047</t>
        </is>
      </c>
      <c r="B52" s="91" t="n"/>
      <c r="C52" s="91" t="n"/>
      <c r="D52" s="94" t="str">
        <f>IF(OR(R52=0,V52=0),"",INDEX('CAD_RESÍDUOS'!$E$6:$E$205,MATCH(C52,'CAD_RESÍDUOS'!$B$6:$B$205,0))&amp;"")</f>
        <v/>
      </c>
      <c r="E52" s="94" t="str">
        <f>IF(OR(R52=0,V52=0),"",INDEX('CAD_RESÍDUOS'!$C$6:$C$205,MATCH(C52,'CAD_RESÍDUOS'!$B$6:$B$205,0))&amp;"")</f>
        <v/>
      </c>
      <c r="F52" s="94" t="str">
        <f>IF(OR(R52=0,V52=0),"",INDEX('CAD_RESÍDUOS'!$G$6:$G$205,MATCH(C52,'CAD_RESÍDUOS'!$B$6:$B$205,0))&amp;"")</f>
        <v/>
      </c>
      <c r="G52" s="98" t="n"/>
      <c r="H52" s="91" t="n"/>
      <c r="I52" s="93" t="str">
        <f>IF(R52=0,"",IF(NOT(ISNUMBER(G52)),"",IF(ISNUMBER(X52),G52*X52,"UNIDADE A CONFERIR")))</f>
        <v/>
      </c>
      <c r="J52" s="91" t="n"/>
      <c r="K52" s="91" t="n"/>
      <c r="L52" s="93" t="str">
        <f>IF(R52=0,"",SUMIFS('RECEBIMENTOS'!$H$6:$H$1005,'RECEBIMENTOS'!$R$6:$R$1005,A52,'RECEBIMENTOS'!$X$6:$X$1005,1))</f>
        <v/>
      </c>
      <c r="M52" s="93" t="str">
        <f>IF(R52=0,"",SUMIFS('VÍNCULOS_CDF'!$H$6:$H$1005,'VÍNCULOS_CDF'!$R$6:$R$1005,A52,'VÍNCULOS_CDF'!$V$6:$V$1005,1))</f>
        <v/>
      </c>
      <c r="N52" s="99" t="str">
        <f>IF(OR(R52=0,AA52=0,NOT(ISNUMBER(I52))),"",I52-N(L52))</f>
        <v/>
      </c>
      <c r="O52" s="100" t="str">
        <f>IF(OR(R52=0,AK52&lt;=0),"",N(M52)/AK52)</f>
        <v/>
      </c>
      <c r="P52" s="94" t="str">
        <f>IF(R52=0,"",IF(S52="","Sem MTR associado",IF(U52=0,"MTR inexistente",IF(C52="","Resíduo não identificado",IF(V52=0,"Resíduo fora do cadastro",IF(W52=0,"Quantidade inválida",IF(H52="","Unidade não informada",IF(NOT(ISNUMBER(I52)),"Unidade a conferir",IF(AND(AH52=1,K52&lt;&gt;"Sim"),"Possível duplicidade",IF(Z52=1,"MTR cancelado",IF(AC52&gt;0,"Recebimento com alerta",IF(AA52=0,"Aguardando recebimento",IF(AB52&lt;AA52,"Recebimento a conferir",IF(AM52=1,"Quantidade a revisar",IF(AF52&gt;0,"Vínculo a revisar",IF(AD52=0,"Aguardando CDF",IF(AN52=0,"Vínculo de CDF parcial",IF(AE52&lt;AD52,"CDF a conferir","Documentação conferida"))))))))))))))))))</f>
        <v/>
      </c>
      <c r="Q52" s="93" t="str">
        <f>IF(OR(R52=0,AA52=0),"",MAX(0,N(L52)-N(M52)))</f>
        <v/>
      </c>
      <c r="R52" s="96">
        <f>IF(COUNTA(B52:C52,G52:H52,J52:K52)&gt;0,1,0)</f>
        <v>0</v>
      </c>
      <c r="S52" s="96" t="str">
        <f>IF(B52="","",TRIM(LEFT(B52,FIND(" |",B52&amp;" |")-1)))</f>
        <v/>
      </c>
      <c r="T52" s="96" t="str">
        <f>IF(S52="","",IFERROR(MATCH(S52,'MTRs'!$A$6:$A$505,0),""))</f>
        <v/>
      </c>
      <c r="U52" s="96">
        <f>IF(T52="",0,IF(INDEX('MTRs'!$Z$6:$Z$505,T52)=1,1,0))</f>
        <v>0</v>
      </c>
      <c r="V52" s="96">
        <f>IF(C52="",0,IF(ISNUMBER(MATCH(C52,'CAD_RESÍDUOS'!$B$6:$B$205,0)),1,0))</f>
        <v>0</v>
      </c>
      <c r="W52" s="96">
        <f>IF(AND(ISNUMBER(G52),G52&gt;0),1,0)</f>
        <v>0</v>
      </c>
      <c r="X52" s="96" t="str">
        <f>IF(H52="","",IFERROR(IF(ISNUMBER(INDEX(cfg_fac,MATCH(H52,cfg_units,0))),IF(INDEX(cfg_fac,MATCH(H52,cfg_units,0))&gt;0,INDEX(cfg_fac,MATCH(H52,cfg_units,0)),""),""),""))</f>
        <v/>
      </c>
      <c r="Y52" s="96">
        <f>IF(AND(W52=1,ISNUMBER(I52)),1,0)</f>
        <v>0</v>
      </c>
      <c r="Z52" s="96">
        <f>IF(U52=1,INDEX('MTRs'!$AA$6:$AA$505,T52),0)</f>
        <v>0</v>
      </c>
      <c r="AA52" s="96">
        <f>IF(R52=0,0,COUNTIFS('RECEBIMENTOS'!$R$6:$R$1005,A52,'RECEBIMENTOS'!$Q$6:$Q$1005,1))</f>
        <v>0</v>
      </c>
      <c r="AB52" s="96">
        <f>IF(R52=0,0,COUNTIFS('RECEBIMENTOS'!$R$6:$R$1005,A52,'RECEBIMENTOS'!$Z$6:$Z$1005,1))</f>
        <v>0</v>
      </c>
      <c r="AC52" s="96">
        <f>IF(R52=0,0,COUNTIFS('RECEBIMENTOS'!$R$6:$R$1005,A52,'RECEBIMENTOS'!$Y$6:$Y$1005,1))</f>
        <v>0</v>
      </c>
      <c r="AD52" s="96">
        <f>IF(R52=0,0,COUNTIFS('VÍNCULOS_CDF'!$R$6:$R$1005,A52,'VÍNCULOS_CDF'!$N$6:$N$1005,1))</f>
        <v>0</v>
      </c>
      <c r="AE52" s="96">
        <f>IF(R52=0,0,COUNTIFS('VÍNCULOS_CDF'!$R$6:$R$1005,A52,'VÍNCULOS_CDF'!$AA$6:$AA$1005,1))</f>
        <v>0</v>
      </c>
      <c r="AF52" s="96">
        <f>IF(R52=0,0,COUNTIFS('VÍNCULOS_CDF'!$R$6:$R$1005,A52,'VÍNCULOS_CDF'!$Y$6:$Y$1005,1))</f>
        <v>0</v>
      </c>
      <c r="AG52" s="96" t="str">
        <f>IF(AND(R52=1,S52&lt;&gt;"",C52&lt;&gt;""),S52&amp;"|"&amp;C52&amp;"|"&amp;G52&amp;"|"&amp;H52,"")</f>
        <v/>
      </c>
      <c r="AH52" s="96">
        <f>IF(AG52="",0,IF(SUMPRODUCT(--($AG$6:$AG$1005=AG52))&gt;1,1,0))</f>
        <v>0</v>
      </c>
      <c r="AI52" s="96">
        <f>IF(R52=0,0,IF(OR(U52=0,V52=0,Y52=0,AND(AH52=1,K52&lt;&gt;"Sim")),1,0))</f>
        <v>0</v>
      </c>
      <c r="AJ52" s="96">
        <f>IF(AND(R52=1,AA52&gt;0,AB52=AA52),1,0)</f>
        <v>0</v>
      </c>
      <c r="AK52" s="96">
        <f>IF(R52=0,0,IF(AA52&gt;0,N(L52),IF(ISNUMBER(I52),I52,0)))</f>
        <v>0</v>
      </c>
      <c r="AL52" s="96">
        <f>IF(R52=0,0,IF(AND(K52&lt;&gt;"Sim",N(M52)&gt;AK52+cfg_tol),1,0))</f>
        <v>0</v>
      </c>
      <c r="AM52" s="96">
        <f>IF(R52=0,0,IF(K52="Sim",0,IF(OR(AND(AA52&gt;0,ISNUMBER(I52),ABS(I52-N(L52))&gt;cfg_tol),AL52=1),1,0)))</f>
        <v>0</v>
      </c>
      <c r="AN52" s="96">
        <f>IF(AND(R52=1,N(M52)&gt;0,OR(N(M52)&gt;=AK52-cfg_tol,K52="Sim")),1,0)</f>
        <v>0</v>
      </c>
      <c r="AO52" s="96">
        <f>IF(AND(AN52=1,AD52&gt;0,AE52=AD52,AL52=0),1,0)</f>
        <v>0</v>
      </c>
      <c r="AP52" s="96">
        <f>IF(U52=0,0,IF(AND(INDEX('MTRs'!$AX$6:$AX$505,T52)=1,Z52=0,OR(f_res="",f_res="(Todos)",C52=f_res)),1,0))</f>
        <v>0</v>
      </c>
      <c r="AQ52" s="97" t="str">
        <f>IF(U52=0,"",INDEX('MTRs'!$AZ$6:$AZ$505,T52))</f>
        <v/>
      </c>
      <c r="AR52" s="96">
        <f>IF(U52=0,0,IF(AND(INDEX('MTRs'!$BA$6:$BA$505,T52)=1,Z52=0),1,0))</f>
        <v>0</v>
      </c>
      <c r="AS52" s="96" t="str">
        <f>IF(R52=1,A52&amp;" | MTR "&amp;IF(U52=1,INDEX('MTRs'!$B$6:$B$505,T52)&amp;"","?")&amp;" | "&amp;IF(C52="","(sem resíduo)",C52),"")</f>
        <v/>
      </c>
      <c r="AT52" s="96" t="str">
        <f>IF(R52=1,COUNTIF($R$6:R52,1),"")</f>
        <v/>
      </c>
      <c r="AU52" s="96" t="str">
        <f>IF(U52=1,INDEX('MTRs'!$I$6:$I$505,T52)&amp;"","")</f>
        <v/>
      </c>
    </row>
    <row r="53">
      <c r="A53" s="89" t="inlineStr">
        <is>
          <t>IT-000048</t>
        </is>
      </c>
      <c r="B53" s="91" t="n"/>
      <c r="C53" s="91" t="n"/>
      <c r="D53" s="94" t="str">
        <f>IF(OR(R53=0,V53=0),"",INDEX('CAD_RESÍDUOS'!$E$6:$E$205,MATCH(C53,'CAD_RESÍDUOS'!$B$6:$B$205,0))&amp;"")</f>
        <v/>
      </c>
      <c r="E53" s="94" t="str">
        <f>IF(OR(R53=0,V53=0),"",INDEX('CAD_RESÍDUOS'!$C$6:$C$205,MATCH(C53,'CAD_RESÍDUOS'!$B$6:$B$205,0))&amp;"")</f>
        <v/>
      </c>
      <c r="F53" s="94" t="str">
        <f>IF(OR(R53=0,V53=0),"",INDEX('CAD_RESÍDUOS'!$G$6:$G$205,MATCH(C53,'CAD_RESÍDUOS'!$B$6:$B$205,0))&amp;"")</f>
        <v/>
      </c>
      <c r="G53" s="98" t="n"/>
      <c r="H53" s="91" t="n"/>
      <c r="I53" s="93" t="str">
        <f>IF(R53=0,"",IF(NOT(ISNUMBER(G53)),"",IF(ISNUMBER(X53),G53*X53,"UNIDADE A CONFERIR")))</f>
        <v/>
      </c>
      <c r="J53" s="91" t="n"/>
      <c r="K53" s="91" t="n"/>
      <c r="L53" s="93" t="str">
        <f>IF(R53=0,"",SUMIFS('RECEBIMENTOS'!$H$6:$H$1005,'RECEBIMENTOS'!$R$6:$R$1005,A53,'RECEBIMENTOS'!$X$6:$X$1005,1))</f>
        <v/>
      </c>
      <c r="M53" s="93" t="str">
        <f>IF(R53=0,"",SUMIFS('VÍNCULOS_CDF'!$H$6:$H$1005,'VÍNCULOS_CDF'!$R$6:$R$1005,A53,'VÍNCULOS_CDF'!$V$6:$V$1005,1))</f>
        <v/>
      </c>
      <c r="N53" s="99" t="str">
        <f>IF(OR(R53=0,AA53=0,NOT(ISNUMBER(I53))),"",I53-N(L53))</f>
        <v/>
      </c>
      <c r="O53" s="100" t="str">
        <f>IF(OR(R53=0,AK53&lt;=0),"",N(M53)/AK53)</f>
        <v/>
      </c>
      <c r="P53" s="94" t="str">
        <f>IF(R53=0,"",IF(S53="","Sem MTR associado",IF(U53=0,"MTR inexistente",IF(C53="","Resíduo não identificado",IF(V53=0,"Resíduo fora do cadastro",IF(W53=0,"Quantidade inválida",IF(H53="","Unidade não informada",IF(NOT(ISNUMBER(I53)),"Unidade a conferir",IF(AND(AH53=1,K53&lt;&gt;"Sim"),"Possível duplicidade",IF(Z53=1,"MTR cancelado",IF(AC53&gt;0,"Recebimento com alerta",IF(AA53=0,"Aguardando recebimento",IF(AB53&lt;AA53,"Recebimento a conferir",IF(AM53=1,"Quantidade a revisar",IF(AF53&gt;0,"Vínculo a revisar",IF(AD53=0,"Aguardando CDF",IF(AN53=0,"Vínculo de CDF parcial",IF(AE53&lt;AD53,"CDF a conferir","Documentação conferida"))))))))))))))))))</f>
        <v/>
      </c>
      <c r="Q53" s="93" t="str">
        <f>IF(OR(R53=0,AA53=0),"",MAX(0,N(L53)-N(M53)))</f>
        <v/>
      </c>
      <c r="R53" s="96">
        <f>IF(COUNTA(B53:C53,G53:H53,J53:K53)&gt;0,1,0)</f>
        <v>0</v>
      </c>
      <c r="S53" s="96" t="str">
        <f>IF(B53="","",TRIM(LEFT(B53,FIND(" |",B53&amp;" |")-1)))</f>
        <v/>
      </c>
      <c r="T53" s="96" t="str">
        <f>IF(S53="","",IFERROR(MATCH(S53,'MTRs'!$A$6:$A$505,0),""))</f>
        <v/>
      </c>
      <c r="U53" s="96">
        <f>IF(T53="",0,IF(INDEX('MTRs'!$Z$6:$Z$505,T53)=1,1,0))</f>
        <v>0</v>
      </c>
      <c r="V53" s="96">
        <f>IF(C53="",0,IF(ISNUMBER(MATCH(C53,'CAD_RESÍDUOS'!$B$6:$B$205,0)),1,0))</f>
        <v>0</v>
      </c>
      <c r="W53" s="96">
        <f>IF(AND(ISNUMBER(G53),G53&gt;0),1,0)</f>
        <v>0</v>
      </c>
      <c r="X53" s="96" t="str">
        <f>IF(H53="","",IFERROR(IF(ISNUMBER(INDEX(cfg_fac,MATCH(H53,cfg_units,0))),IF(INDEX(cfg_fac,MATCH(H53,cfg_units,0))&gt;0,INDEX(cfg_fac,MATCH(H53,cfg_units,0)),""),""),""))</f>
        <v/>
      </c>
      <c r="Y53" s="96">
        <f>IF(AND(W53=1,ISNUMBER(I53)),1,0)</f>
        <v>0</v>
      </c>
      <c r="Z53" s="96">
        <f>IF(U53=1,INDEX('MTRs'!$AA$6:$AA$505,T53),0)</f>
        <v>0</v>
      </c>
      <c r="AA53" s="96">
        <f>IF(R53=0,0,COUNTIFS('RECEBIMENTOS'!$R$6:$R$1005,A53,'RECEBIMENTOS'!$Q$6:$Q$1005,1))</f>
        <v>0</v>
      </c>
      <c r="AB53" s="96">
        <f>IF(R53=0,0,COUNTIFS('RECEBIMENTOS'!$R$6:$R$1005,A53,'RECEBIMENTOS'!$Z$6:$Z$1005,1))</f>
        <v>0</v>
      </c>
      <c r="AC53" s="96">
        <f>IF(R53=0,0,COUNTIFS('RECEBIMENTOS'!$R$6:$R$1005,A53,'RECEBIMENTOS'!$Y$6:$Y$1005,1))</f>
        <v>0</v>
      </c>
      <c r="AD53" s="96">
        <f>IF(R53=0,0,COUNTIFS('VÍNCULOS_CDF'!$R$6:$R$1005,A53,'VÍNCULOS_CDF'!$N$6:$N$1005,1))</f>
        <v>0</v>
      </c>
      <c r="AE53" s="96">
        <f>IF(R53=0,0,COUNTIFS('VÍNCULOS_CDF'!$R$6:$R$1005,A53,'VÍNCULOS_CDF'!$AA$6:$AA$1005,1))</f>
        <v>0</v>
      </c>
      <c r="AF53" s="96">
        <f>IF(R53=0,0,COUNTIFS('VÍNCULOS_CDF'!$R$6:$R$1005,A53,'VÍNCULOS_CDF'!$Y$6:$Y$1005,1))</f>
        <v>0</v>
      </c>
      <c r="AG53" s="96" t="str">
        <f>IF(AND(R53=1,S53&lt;&gt;"",C53&lt;&gt;""),S53&amp;"|"&amp;C53&amp;"|"&amp;G53&amp;"|"&amp;H53,"")</f>
        <v/>
      </c>
      <c r="AH53" s="96">
        <f>IF(AG53="",0,IF(SUMPRODUCT(--($AG$6:$AG$1005=AG53))&gt;1,1,0))</f>
        <v>0</v>
      </c>
      <c r="AI53" s="96">
        <f>IF(R53=0,0,IF(OR(U53=0,V53=0,Y53=0,AND(AH53=1,K53&lt;&gt;"Sim")),1,0))</f>
        <v>0</v>
      </c>
      <c r="AJ53" s="96">
        <f>IF(AND(R53=1,AA53&gt;0,AB53=AA53),1,0)</f>
        <v>0</v>
      </c>
      <c r="AK53" s="96">
        <f>IF(R53=0,0,IF(AA53&gt;0,N(L53),IF(ISNUMBER(I53),I53,0)))</f>
        <v>0</v>
      </c>
      <c r="AL53" s="96">
        <f>IF(R53=0,0,IF(AND(K53&lt;&gt;"Sim",N(M53)&gt;AK53+cfg_tol),1,0))</f>
        <v>0</v>
      </c>
      <c r="AM53" s="96">
        <f>IF(R53=0,0,IF(K53="Sim",0,IF(OR(AND(AA53&gt;0,ISNUMBER(I53),ABS(I53-N(L53))&gt;cfg_tol),AL53=1),1,0)))</f>
        <v>0</v>
      </c>
      <c r="AN53" s="96">
        <f>IF(AND(R53=1,N(M53)&gt;0,OR(N(M53)&gt;=AK53-cfg_tol,K53="Sim")),1,0)</f>
        <v>0</v>
      </c>
      <c r="AO53" s="96">
        <f>IF(AND(AN53=1,AD53&gt;0,AE53=AD53,AL53=0),1,0)</f>
        <v>0</v>
      </c>
      <c r="AP53" s="96">
        <f>IF(U53=0,0,IF(AND(INDEX('MTRs'!$AX$6:$AX$505,T53)=1,Z53=0,OR(f_res="",f_res="(Todos)",C53=f_res)),1,0))</f>
        <v>0</v>
      </c>
      <c r="AQ53" s="97" t="str">
        <f>IF(U53=0,"",INDEX('MTRs'!$AZ$6:$AZ$505,T53))</f>
        <v/>
      </c>
      <c r="AR53" s="96">
        <f>IF(U53=0,0,IF(AND(INDEX('MTRs'!$BA$6:$BA$505,T53)=1,Z53=0),1,0))</f>
        <v>0</v>
      </c>
      <c r="AS53" s="96" t="str">
        <f>IF(R53=1,A53&amp;" | MTR "&amp;IF(U53=1,INDEX('MTRs'!$B$6:$B$505,T53)&amp;"","?")&amp;" | "&amp;IF(C53="","(sem resíduo)",C53),"")</f>
        <v/>
      </c>
      <c r="AT53" s="96" t="str">
        <f>IF(R53=1,COUNTIF($R$6:R53,1),"")</f>
        <v/>
      </c>
      <c r="AU53" s="96" t="str">
        <f>IF(U53=1,INDEX('MTRs'!$I$6:$I$505,T53)&amp;"","")</f>
        <v/>
      </c>
    </row>
    <row r="54">
      <c r="A54" s="89" t="inlineStr">
        <is>
          <t>IT-000049</t>
        </is>
      </c>
      <c r="B54" s="91" t="n"/>
      <c r="C54" s="91" t="n"/>
      <c r="D54" s="94" t="str">
        <f>IF(OR(R54=0,V54=0),"",INDEX('CAD_RESÍDUOS'!$E$6:$E$205,MATCH(C54,'CAD_RESÍDUOS'!$B$6:$B$205,0))&amp;"")</f>
        <v/>
      </c>
      <c r="E54" s="94" t="str">
        <f>IF(OR(R54=0,V54=0),"",INDEX('CAD_RESÍDUOS'!$C$6:$C$205,MATCH(C54,'CAD_RESÍDUOS'!$B$6:$B$205,0))&amp;"")</f>
        <v/>
      </c>
      <c r="F54" s="94" t="str">
        <f>IF(OR(R54=0,V54=0),"",INDEX('CAD_RESÍDUOS'!$G$6:$G$205,MATCH(C54,'CAD_RESÍDUOS'!$B$6:$B$205,0))&amp;"")</f>
        <v/>
      </c>
      <c r="G54" s="98" t="n"/>
      <c r="H54" s="91" t="n"/>
      <c r="I54" s="93" t="str">
        <f>IF(R54=0,"",IF(NOT(ISNUMBER(G54)),"",IF(ISNUMBER(X54),G54*X54,"UNIDADE A CONFERIR")))</f>
        <v/>
      </c>
      <c r="J54" s="91" t="n"/>
      <c r="K54" s="91" t="n"/>
      <c r="L54" s="93" t="str">
        <f>IF(R54=0,"",SUMIFS('RECEBIMENTOS'!$H$6:$H$1005,'RECEBIMENTOS'!$R$6:$R$1005,A54,'RECEBIMENTOS'!$X$6:$X$1005,1))</f>
        <v/>
      </c>
      <c r="M54" s="93" t="str">
        <f>IF(R54=0,"",SUMIFS('VÍNCULOS_CDF'!$H$6:$H$1005,'VÍNCULOS_CDF'!$R$6:$R$1005,A54,'VÍNCULOS_CDF'!$V$6:$V$1005,1))</f>
        <v/>
      </c>
      <c r="N54" s="99" t="str">
        <f>IF(OR(R54=0,AA54=0,NOT(ISNUMBER(I54))),"",I54-N(L54))</f>
        <v/>
      </c>
      <c r="O54" s="100" t="str">
        <f>IF(OR(R54=0,AK54&lt;=0),"",N(M54)/AK54)</f>
        <v/>
      </c>
      <c r="P54" s="94" t="str">
        <f>IF(R54=0,"",IF(S54="","Sem MTR associado",IF(U54=0,"MTR inexistente",IF(C54="","Resíduo não identificado",IF(V54=0,"Resíduo fora do cadastro",IF(W54=0,"Quantidade inválida",IF(H54="","Unidade não informada",IF(NOT(ISNUMBER(I54)),"Unidade a conferir",IF(AND(AH54=1,K54&lt;&gt;"Sim"),"Possível duplicidade",IF(Z54=1,"MTR cancelado",IF(AC54&gt;0,"Recebimento com alerta",IF(AA54=0,"Aguardando recebimento",IF(AB54&lt;AA54,"Recebimento a conferir",IF(AM54=1,"Quantidade a revisar",IF(AF54&gt;0,"Vínculo a revisar",IF(AD54=0,"Aguardando CDF",IF(AN54=0,"Vínculo de CDF parcial",IF(AE54&lt;AD54,"CDF a conferir","Documentação conferida"))))))))))))))))))</f>
        <v/>
      </c>
      <c r="Q54" s="93" t="str">
        <f>IF(OR(R54=0,AA54=0),"",MAX(0,N(L54)-N(M54)))</f>
        <v/>
      </c>
      <c r="R54" s="96">
        <f>IF(COUNTA(B54:C54,G54:H54,J54:K54)&gt;0,1,0)</f>
        <v>0</v>
      </c>
      <c r="S54" s="96" t="str">
        <f>IF(B54="","",TRIM(LEFT(B54,FIND(" |",B54&amp;" |")-1)))</f>
        <v/>
      </c>
      <c r="T54" s="96" t="str">
        <f>IF(S54="","",IFERROR(MATCH(S54,'MTRs'!$A$6:$A$505,0),""))</f>
        <v/>
      </c>
      <c r="U54" s="96">
        <f>IF(T54="",0,IF(INDEX('MTRs'!$Z$6:$Z$505,T54)=1,1,0))</f>
        <v>0</v>
      </c>
      <c r="V54" s="96">
        <f>IF(C54="",0,IF(ISNUMBER(MATCH(C54,'CAD_RESÍDUOS'!$B$6:$B$205,0)),1,0))</f>
        <v>0</v>
      </c>
      <c r="W54" s="96">
        <f>IF(AND(ISNUMBER(G54),G54&gt;0),1,0)</f>
        <v>0</v>
      </c>
      <c r="X54" s="96" t="str">
        <f>IF(H54="","",IFERROR(IF(ISNUMBER(INDEX(cfg_fac,MATCH(H54,cfg_units,0))),IF(INDEX(cfg_fac,MATCH(H54,cfg_units,0))&gt;0,INDEX(cfg_fac,MATCH(H54,cfg_units,0)),""),""),""))</f>
        <v/>
      </c>
      <c r="Y54" s="96">
        <f>IF(AND(W54=1,ISNUMBER(I54)),1,0)</f>
        <v>0</v>
      </c>
      <c r="Z54" s="96">
        <f>IF(U54=1,INDEX('MTRs'!$AA$6:$AA$505,T54),0)</f>
        <v>0</v>
      </c>
      <c r="AA54" s="96">
        <f>IF(R54=0,0,COUNTIFS('RECEBIMENTOS'!$R$6:$R$1005,A54,'RECEBIMENTOS'!$Q$6:$Q$1005,1))</f>
        <v>0</v>
      </c>
      <c r="AB54" s="96">
        <f>IF(R54=0,0,COUNTIFS('RECEBIMENTOS'!$R$6:$R$1005,A54,'RECEBIMENTOS'!$Z$6:$Z$1005,1))</f>
        <v>0</v>
      </c>
      <c r="AC54" s="96">
        <f>IF(R54=0,0,COUNTIFS('RECEBIMENTOS'!$R$6:$R$1005,A54,'RECEBIMENTOS'!$Y$6:$Y$1005,1))</f>
        <v>0</v>
      </c>
      <c r="AD54" s="96">
        <f>IF(R54=0,0,COUNTIFS('VÍNCULOS_CDF'!$R$6:$R$1005,A54,'VÍNCULOS_CDF'!$N$6:$N$1005,1))</f>
        <v>0</v>
      </c>
      <c r="AE54" s="96">
        <f>IF(R54=0,0,COUNTIFS('VÍNCULOS_CDF'!$R$6:$R$1005,A54,'VÍNCULOS_CDF'!$AA$6:$AA$1005,1))</f>
        <v>0</v>
      </c>
      <c r="AF54" s="96">
        <f>IF(R54=0,0,COUNTIFS('VÍNCULOS_CDF'!$R$6:$R$1005,A54,'VÍNCULOS_CDF'!$Y$6:$Y$1005,1))</f>
        <v>0</v>
      </c>
      <c r="AG54" s="96" t="str">
        <f>IF(AND(R54=1,S54&lt;&gt;"",C54&lt;&gt;""),S54&amp;"|"&amp;C54&amp;"|"&amp;G54&amp;"|"&amp;H54,"")</f>
        <v/>
      </c>
      <c r="AH54" s="96">
        <f>IF(AG54="",0,IF(SUMPRODUCT(--($AG$6:$AG$1005=AG54))&gt;1,1,0))</f>
        <v>0</v>
      </c>
      <c r="AI54" s="96">
        <f>IF(R54=0,0,IF(OR(U54=0,V54=0,Y54=0,AND(AH54=1,K54&lt;&gt;"Sim")),1,0))</f>
        <v>0</v>
      </c>
      <c r="AJ54" s="96">
        <f>IF(AND(R54=1,AA54&gt;0,AB54=AA54),1,0)</f>
        <v>0</v>
      </c>
      <c r="AK54" s="96">
        <f>IF(R54=0,0,IF(AA54&gt;0,N(L54),IF(ISNUMBER(I54),I54,0)))</f>
        <v>0</v>
      </c>
      <c r="AL54" s="96">
        <f>IF(R54=0,0,IF(AND(K54&lt;&gt;"Sim",N(M54)&gt;AK54+cfg_tol),1,0))</f>
        <v>0</v>
      </c>
      <c r="AM54" s="96">
        <f>IF(R54=0,0,IF(K54="Sim",0,IF(OR(AND(AA54&gt;0,ISNUMBER(I54),ABS(I54-N(L54))&gt;cfg_tol),AL54=1),1,0)))</f>
        <v>0</v>
      </c>
      <c r="AN54" s="96">
        <f>IF(AND(R54=1,N(M54)&gt;0,OR(N(M54)&gt;=AK54-cfg_tol,K54="Sim")),1,0)</f>
        <v>0</v>
      </c>
      <c r="AO54" s="96">
        <f>IF(AND(AN54=1,AD54&gt;0,AE54=AD54,AL54=0),1,0)</f>
        <v>0</v>
      </c>
      <c r="AP54" s="96">
        <f>IF(U54=0,0,IF(AND(INDEX('MTRs'!$AX$6:$AX$505,T54)=1,Z54=0,OR(f_res="",f_res="(Todos)",C54=f_res)),1,0))</f>
        <v>0</v>
      </c>
      <c r="AQ54" s="97" t="str">
        <f>IF(U54=0,"",INDEX('MTRs'!$AZ$6:$AZ$505,T54))</f>
        <v/>
      </c>
      <c r="AR54" s="96">
        <f>IF(U54=0,0,IF(AND(INDEX('MTRs'!$BA$6:$BA$505,T54)=1,Z54=0),1,0))</f>
        <v>0</v>
      </c>
      <c r="AS54" s="96" t="str">
        <f>IF(R54=1,A54&amp;" | MTR "&amp;IF(U54=1,INDEX('MTRs'!$B$6:$B$505,T54)&amp;"","?")&amp;" | "&amp;IF(C54="","(sem resíduo)",C54),"")</f>
        <v/>
      </c>
      <c r="AT54" s="96" t="str">
        <f>IF(R54=1,COUNTIF($R$6:R54,1),"")</f>
        <v/>
      </c>
      <c r="AU54" s="96" t="str">
        <f>IF(U54=1,INDEX('MTRs'!$I$6:$I$505,T54)&amp;"","")</f>
        <v/>
      </c>
    </row>
    <row r="55">
      <c r="A55" s="89" t="inlineStr">
        <is>
          <t>IT-000050</t>
        </is>
      </c>
      <c r="B55" s="91" t="n"/>
      <c r="C55" s="91" t="n"/>
      <c r="D55" s="94" t="str">
        <f>IF(OR(R55=0,V55=0),"",INDEX('CAD_RESÍDUOS'!$E$6:$E$205,MATCH(C55,'CAD_RESÍDUOS'!$B$6:$B$205,0))&amp;"")</f>
        <v/>
      </c>
      <c r="E55" s="94" t="str">
        <f>IF(OR(R55=0,V55=0),"",INDEX('CAD_RESÍDUOS'!$C$6:$C$205,MATCH(C55,'CAD_RESÍDUOS'!$B$6:$B$205,0))&amp;"")</f>
        <v/>
      </c>
      <c r="F55" s="94" t="str">
        <f>IF(OR(R55=0,V55=0),"",INDEX('CAD_RESÍDUOS'!$G$6:$G$205,MATCH(C55,'CAD_RESÍDUOS'!$B$6:$B$205,0))&amp;"")</f>
        <v/>
      </c>
      <c r="G55" s="98" t="n"/>
      <c r="H55" s="91" t="n"/>
      <c r="I55" s="93" t="str">
        <f>IF(R55=0,"",IF(NOT(ISNUMBER(G55)),"",IF(ISNUMBER(X55),G55*X55,"UNIDADE A CONFERIR")))</f>
        <v/>
      </c>
      <c r="J55" s="91" t="n"/>
      <c r="K55" s="91" t="n"/>
      <c r="L55" s="93" t="str">
        <f>IF(R55=0,"",SUMIFS('RECEBIMENTOS'!$H$6:$H$1005,'RECEBIMENTOS'!$R$6:$R$1005,A55,'RECEBIMENTOS'!$X$6:$X$1005,1))</f>
        <v/>
      </c>
      <c r="M55" s="93" t="str">
        <f>IF(R55=0,"",SUMIFS('VÍNCULOS_CDF'!$H$6:$H$1005,'VÍNCULOS_CDF'!$R$6:$R$1005,A55,'VÍNCULOS_CDF'!$V$6:$V$1005,1))</f>
        <v/>
      </c>
      <c r="N55" s="99" t="str">
        <f>IF(OR(R55=0,AA55=0,NOT(ISNUMBER(I55))),"",I55-N(L55))</f>
        <v/>
      </c>
      <c r="O55" s="100" t="str">
        <f>IF(OR(R55=0,AK55&lt;=0),"",N(M55)/AK55)</f>
        <v/>
      </c>
      <c r="P55" s="94" t="str">
        <f>IF(R55=0,"",IF(S55="","Sem MTR associado",IF(U55=0,"MTR inexistente",IF(C55="","Resíduo não identificado",IF(V55=0,"Resíduo fora do cadastro",IF(W55=0,"Quantidade inválida",IF(H55="","Unidade não informada",IF(NOT(ISNUMBER(I55)),"Unidade a conferir",IF(AND(AH55=1,K55&lt;&gt;"Sim"),"Possível duplicidade",IF(Z55=1,"MTR cancelado",IF(AC55&gt;0,"Recebimento com alerta",IF(AA55=0,"Aguardando recebimento",IF(AB55&lt;AA55,"Recebimento a conferir",IF(AM55=1,"Quantidade a revisar",IF(AF55&gt;0,"Vínculo a revisar",IF(AD55=0,"Aguardando CDF",IF(AN55=0,"Vínculo de CDF parcial",IF(AE55&lt;AD55,"CDF a conferir","Documentação conferida"))))))))))))))))))</f>
        <v/>
      </c>
      <c r="Q55" s="93" t="str">
        <f>IF(OR(R55=0,AA55=0),"",MAX(0,N(L55)-N(M55)))</f>
        <v/>
      </c>
      <c r="R55" s="96">
        <f>IF(COUNTA(B55:C55,G55:H55,J55:K55)&gt;0,1,0)</f>
        <v>0</v>
      </c>
      <c r="S55" s="96" t="str">
        <f>IF(B55="","",TRIM(LEFT(B55,FIND(" |",B55&amp;" |")-1)))</f>
        <v/>
      </c>
      <c r="T55" s="96" t="str">
        <f>IF(S55="","",IFERROR(MATCH(S55,'MTRs'!$A$6:$A$505,0),""))</f>
        <v/>
      </c>
      <c r="U55" s="96">
        <f>IF(T55="",0,IF(INDEX('MTRs'!$Z$6:$Z$505,T55)=1,1,0))</f>
        <v>0</v>
      </c>
      <c r="V55" s="96">
        <f>IF(C55="",0,IF(ISNUMBER(MATCH(C55,'CAD_RESÍDUOS'!$B$6:$B$205,0)),1,0))</f>
        <v>0</v>
      </c>
      <c r="W55" s="96">
        <f>IF(AND(ISNUMBER(G55),G55&gt;0),1,0)</f>
        <v>0</v>
      </c>
      <c r="X55" s="96" t="str">
        <f>IF(H55="","",IFERROR(IF(ISNUMBER(INDEX(cfg_fac,MATCH(H55,cfg_units,0))),IF(INDEX(cfg_fac,MATCH(H55,cfg_units,0))&gt;0,INDEX(cfg_fac,MATCH(H55,cfg_units,0)),""),""),""))</f>
        <v/>
      </c>
      <c r="Y55" s="96">
        <f>IF(AND(W55=1,ISNUMBER(I55)),1,0)</f>
        <v>0</v>
      </c>
      <c r="Z55" s="96">
        <f>IF(U55=1,INDEX('MTRs'!$AA$6:$AA$505,T55),0)</f>
        <v>0</v>
      </c>
      <c r="AA55" s="96">
        <f>IF(R55=0,0,COUNTIFS('RECEBIMENTOS'!$R$6:$R$1005,A55,'RECEBIMENTOS'!$Q$6:$Q$1005,1))</f>
        <v>0</v>
      </c>
      <c r="AB55" s="96">
        <f>IF(R55=0,0,COUNTIFS('RECEBIMENTOS'!$R$6:$R$1005,A55,'RECEBIMENTOS'!$Z$6:$Z$1005,1))</f>
        <v>0</v>
      </c>
      <c r="AC55" s="96">
        <f>IF(R55=0,0,COUNTIFS('RECEBIMENTOS'!$R$6:$R$1005,A55,'RECEBIMENTOS'!$Y$6:$Y$1005,1))</f>
        <v>0</v>
      </c>
      <c r="AD55" s="96">
        <f>IF(R55=0,0,COUNTIFS('VÍNCULOS_CDF'!$R$6:$R$1005,A55,'VÍNCULOS_CDF'!$N$6:$N$1005,1))</f>
        <v>0</v>
      </c>
      <c r="AE55" s="96">
        <f>IF(R55=0,0,COUNTIFS('VÍNCULOS_CDF'!$R$6:$R$1005,A55,'VÍNCULOS_CDF'!$AA$6:$AA$1005,1))</f>
        <v>0</v>
      </c>
      <c r="AF55" s="96">
        <f>IF(R55=0,0,COUNTIFS('VÍNCULOS_CDF'!$R$6:$R$1005,A55,'VÍNCULOS_CDF'!$Y$6:$Y$1005,1))</f>
        <v>0</v>
      </c>
      <c r="AG55" s="96" t="str">
        <f>IF(AND(R55=1,S55&lt;&gt;"",C55&lt;&gt;""),S55&amp;"|"&amp;C55&amp;"|"&amp;G55&amp;"|"&amp;H55,"")</f>
        <v/>
      </c>
      <c r="AH55" s="96">
        <f>IF(AG55="",0,IF(SUMPRODUCT(--($AG$6:$AG$1005=AG55))&gt;1,1,0))</f>
        <v>0</v>
      </c>
      <c r="AI55" s="96">
        <f>IF(R55=0,0,IF(OR(U55=0,V55=0,Y55=0,AND(AH55=1,K55&lt;&gt;"Sim")),1,0))</f>
        <v>0</v>
      </c>
      <c r="AJ55" s="96">
        <f>IF(AND(R55=1,AA55&gt;0,AB55=AA55),1,0)</f>
        <v>0</v>
      </c>
      <c r="AK55" s="96">
        <f>IF(R55=0,0,IF(AA55&gt;0,N(L55),IF(ISNUMBER(I55),I55,0)))</f>
        <v>0</v>
      </c>
      <c r="AL55" s="96">
        <f>IF(R55=0,0,IF(AND(K55&lt;&gt;"Sim",N(M55)&gt;AK55+cfg_tol),1,0))</f>
        <v>0</v>
      </c>
      <c r="AM55" s="96">
        <f>IF(R55=0,0,IF(K55="Sim",0,IF(OR(AND(AA55&gt;0,ISNUMBER(I55),ABS(I55-N(L55))&gt;cfg_tol),AL55=1),1,0)))</f>
        <v>0</v>
      </c>
      <c r="AN55" s="96">
        <f>IF(AND(R55=1,N(M55)&gt;0,OR(N(M55)&gt;=AK55-cfg_tol,K55="Sim")),1,0)</f>
        <v>0</v>
      </c>
      <c r="AO55" s="96">
        <f>IF(AND(AN55=1,AD55&gt;0,AE55=AD55,AL55=0),1,0)</f>
        <v>0</v>
      </c>
      <c r="AP55" s="96">
        <f>IF(U55=0,0,IF(AND(INDEX('MTRs'!$AX$6:$AX$505,T55)=1,Z55=0,OR(f_res="",f_res="(Todos)",C55=f_res)),1,0))</f>
        <v>0</v>
      </c>
      <c r="AQ55" s="97" t="str">
        <f>IF(U55=0,"",INDEX('MTRs'!$AZ$6:$AZ$505,T55))</f>
        <v/>
      </c>
      <c r="AR55" s="96">
        <f>IF(U55=0,0,IF(AND(INDEX('MTRs'!$BA$6:$BA$505,T55)=1,Z55=0),1,0))</f>
        <v>0</v>
      </c>
      <c r="AS55" s="96" t="str">
        <f>IF(R55=1,A55&amp;" | MTR "&amp;IF(U55=1,INDEX('MTRs'!$B$6:$B$505,T55)&amp;"","?")&amp;" | "&amp;IF(C55="","(sem resíduo)",C55),"")</f>
        <v/>
      </c>
      <c r="AT55" s="96" t="str">
        <f>IF(R55=1,COUNTIF($R$6:R55,1),"")</f>
        <v/>
      </c>
      <c r="AU55" s="96" t="str">
        <f>IF(U55=1,INDEX('MTRs'!$I$6:$I$505,T55)&amp;"","")</f>
        <v/>
      </c>
    </row>
    <row r="56">
      <c r="A56" s="89" t="inlineStr">
        <is>
          <t>IT-000051</t>
        </is>
      </c>
      <c r="B56" s="91" t="n"/>
      <c r="C56" s="91" t="n"/>
      <c r="D56" s="94" t="str">
        <f>IF(OR(R56=0,V56=0),"",INDEX('CAD_RESÍDUOS'!$E$6:$E$205,MATCH(C56,'CAD_RESÍDUOS'!$B$6:$B$205,0))&amp;"")</f>
        <v/>
      </c>
      <c r="E56" s="94" t="str">
        <f>IF(OR(R56=0,V56=0),"",INDEX('CAD_RESÍDUOS'!$C$6:$C$205,MATCH(C56,'CAD_RESÍDUOS'!$B$6:$B$205,0))&amp;"")</f>
        <v/>
      </c>
      <c r="F56" s="94" t="str">
        <f>IF(OR(R56=0,V56=0),"",INDEX('CAD_RESÍDUOS'!$G$6:$G$205,MATCH(C56,'CAD_RESÍDUOS'!$B$6:$B$205,0))&amp;"")</f>
        <v/>
      </c>
      <c r="G56" s="98" t="n"/>
      <c r="H56" s="91" t="n"/>
      <c r="I56" s="93" t="str">
        <f>IF(R56=0,"",IF(NOT(ISNUMBER(G56)),"",IF(ISNUMBER(X56),G56*X56,"UNIDADE A CONFERIR")))</f>
        <v/>
      </c>
      <c r="J56" s="91" t="n"/>
      <c r="K56" s="91" t="n"/>
      <c r="L56" s="93" t="str">
        <f>IF(R56=0,"",SUMIFS('RECEBIMENTOS'!$H$6:$H$1005,'RECEBIMENTOS'!$R$6:$R$1005,A56,'RECEBIMENTOS'!$X$6:$X$1005,1))</f>
        <v/>
      </c>
      <c r="M56" s="93" t="str">
        <f>IF(R56=0,"",SUMIFS('VÍNCULOS_CDF'!$H$6:$H$1005,'VÍNCULOS_CDF'!$R$6:$R$1005,A56,'VÍNCULOS_CDF'!$V$6:$V$1005,1))</f>
        <v/>
      </c>
      <c r="N56" s="99" t="str">
        <f>IF(OR(R56=0,AA56=0,NOT(ISNUMBER(I56))),"",I56-N(L56))</f>
        <v/>
      </c>
      <c r="O56" s="100" t="str">
        <f>IF(OR(R56=0,AK56&lt;=0),"",N(M56)/AK56)</f>
        <v/>
      </c>
      <c r="P56" s="94" t="str">
        <f>IF(R56=0,"",IF(S56="","Sem MTR associado",IF(U56=0,"MTR inexistente",IF(C56="","Resíduo não identificado",IF(V56=0,"Resíduo fora do cadastro",IF(W56=0,"Quantidade inválida",IF(H56="","Unidade não informada",IF(NOT(ISNUMBER(I56)),"Unidade a conferir",IF(AND(AH56=1,K56&lt;&gt;"Sim"),"Possível duplicidade",IF(Z56=1,"MTR cancelado",IF(AC56&gt;0,"Recebimento com alerta",IF(AA56=0,"Aguardando recebimento",IF(AB56&lt;AA56,"Recebimento a conferir",IF(AM56=1,"Quantidade a revisar",IF(AF56&gt;0,"Vínculo a revisar",IF(AD56=0,"Aguardando CDF",IF(AN56=0,"Vínculo de CDF parcial",IF(AE56&lt;AD56,"CDF a conferir","Documentação conferida"))))))))))))))))))</f>
        <v/>
      </c>
      <c r="Q56" s="93" t="str">
        <f>IF(OR(R56=0,AA56=0),"",MAX(0,N(L56)-N(M56)))</f>
        <v/>
      </c>
      <c r="R56" s="96">
        <f>IF(COUNTA(B56:C56,G56:H56,J56:K56)&gt;0,1,0)</f>
        <v>0</v>
      </c>
      <c r="S56" s="96" t="str">
        <f>IF(B56="","",TRIM(LEFT(B56,FIND(" |",B56&amp;" |")-1)))</f>
        <v/>
      </c>
      <c r="T56" s="96" t="str">
        <f>IF(S56="","",IFERROR(MATCH(S56,'MTRs'!$A$6:$A$505,0),""))</f>
        <v/>
      </c>
      <c r="U56" s="96">
        <f>IF(T56="",0,IF(INDEX('MTRs'!$Z$6:$Z$505,T56)=1,1,0))</f>
        <v>0</v>
      </c>
      <c r="V56" s="96">
        <f>IF(C56="",0,IF(ISNUMBER(MATCH(C56,'CAD_RESÍDUOS'!$B$6:$B$205,0)),1,0))</f>
        <v>0</v>
      </c>
      <c r="W56" s="96">
        <f>IF(AND(ISNUMBER(G56),G56&gt;0),1,0)</f>
        <v>0</v>
      </c>
      <c r="X56" s="96" t="str">
        <f>IF(H56="","",IFERROR(IF(ISNUMBER(INDEX(cfg_fac,MATCH(H56,cfg_units,0))),IF(INDEX(cfg_fac,MATCH(H56,cfg_units,0))&gt;0,INDEX(cfg_fac,MATCH(H56,cfg_units,0)),""),""),""))</f>
        <v/>
      </c>
      <c r="Y56" s="96">
        <f>IF(AND(W56=1,ISNUMBER(I56)),1,0)</f>
        <v>0</v>
      </c>
      <c r="Z56" s="96">
        <f>IF(U56=1,INDEX('MTRs'!$AA$6:$AA$505,T56),0)</f>
        <v>0</v>
      </c>
      <c r="AA56" s="96">
        <f>IF(R56=0,0,COUNTIFS('RECEBIMENTOS'!$R$6:$R$1005,A56,'RECEBIMENTOS'!$Q$6:$Q$1005,1))</f>
        <v>0</v>
      </c>
      <c r="AB56" s="96">
        <f>IF(R56=0,0,COUNTIFS('RECEBIMENTOS'!$R$6:$R$1005,A56,'RECEBIMENTOS'!$Z$6:$Z$1005,1))</f>
        <v>0</v>
      </c>
      <c r="AC56" s="96">
        <f>IF(R56=0,0,COUNTIFS('RECEBIMENTOS'!$R$6:$R$1005,A56,'RECEBIMENTOS'!$Y$6:$Y$1005,1))</f>
        <v>0</v>
      </c>
      <c r="AD56" s="96">
        <f>IF(R56=0,0,COUNTIFS('VÍNCULOS_CDF'!$R$6:$R$1005,A56,'VÍNCULOS_CDF'!$N$6:$N$1005,1))</f>
        <v>0</v>
      </c>
      <c r="AE56" s="96">
        <f>IF(R56=0,0,COUNTIFS('VÍNCULOS_CDF'!$R$6:$R$1005,A56,'VÍNCULOS_CDF'!$AA$6:$AA$1005,1))</f>
        <v>0</v>
      </c>
      <c r="AF56" s="96">
        <f>IF(R56=0,0,COUNTIFS('VÍNCULOS_CDF'!$R$6:$R$1005,A56,'VÍNCULOS_CDF'!$Y$6:$Y$1005,1))</f>
        <v>0</v>
      </c>
      <c r="AG56" s="96" t="str">
        <f>IF(AND(R56=1,S56&lt;&gt;"",C56&lt;&gt;""),S56&amp;"|"&amp;C56&amp;"|"&amp;G56&amp;"|"&amp;H56,"")</f>
        <v/>
      </c>
      <c r="AH56" s="96">
        <f>IF(AG56="",0,IF(SUMPRODUCT(--($AG$6:$AG$1005=AG56))&gt;1,1,0))</f>
        <v>0</v>
      </c>
      <c r="AI56" s="96">
        <f>IF(R56=0,0,IF(OR(U56=0,V56=0,Y56=0,AND(AH56=1,K56&lt;&gt;"Sim")),1,0))</f>
        <v>0</v>
      </c>
      <c r="AJ56" s="96">
        <f>IF(AND(R56=1,AA56&gt;0,AB56=AA56),1,0)</f>
        <v>0</v>
      </c>
      <c r="AK56" s="96">
        <f>IF(R56=0,0,IF(AA56&gt;0,N(L56),IF(ISNUMBER(I56),I56,0)))</f>
        <v>0</v>
      </c>
      <c r="AL56" s="96">
        <f>IF(R56=0,0,IF(AND(K56&lt;&gt;"Sim",N(M56)&gt;AK56+cfg_tol),1,0))</f>
        <v>0</v>
      </c>
      <c r="AM56" s="96">
        <f>IF(R56=0,0,IF(K56="Sim",0,IF(OR(AND(AA56&gt;0,ISNUMBER(I56),ABS(I56-N(L56))&gt;cfg_tol),AL56=1),1,0)))</f>
        <v>0</v>
      </c>
      <c r="AN56" s="96">
        <f>IF(AND(R56=1,N(M56)&gt;0,OR(N(M56)&gt;=AK56-cfg_tol,K56="Sim")),1,0)</f>
        <v>0</v>
      </c>
      <c r="AO56" s="96">
        <f>IF(AND(AN56=1,AD56&gt;0,AE56=AD56,AL56=0),1,0)</f>
        <v>0</v>
      </c>
      <c r="AP56" s="96">
        <f>IF(U56=0,0,IF(AND(INDEX('MTRs'!$AX$6:$AX$505,T56)=1,Z56=0,OR(f_res="",f_res="(Todos)",C56=f_res)),1,0))</f>
        <v>0</v>
      </c>
      <c r="AQ56" s="97" t="str">
        <f>IF(U56=0,"",INDEX('MTRs'!$AZ$6:$AZ$505,T56))</f>
        <v/>
      </c>
      <c r="AR56" s="96">
        <f>IF(U56=0,0,IF(AND(INDEX('MTRs'!$BA$6:$BA$505,T56)=1,Z56=0),1,0))</f>
        <v>0</v>
      </c>
      <c r="AS56" s="96" t="str">
        <f>IF(R56=1,A56&amp;" | MTR "&amp;IF(U56=1,INDEX('MTRs'!$B$6:$B$505,T56)&amp;"","?")&amp;" | "&amp;IF(C56="","(sem resíduo)",C56),"")</f>
        <v/>
      </c>
      <c r="AT56" s="96" t="str">
        <f>IF(R56=1,COUNTIF($R$6:R56,1),"")</f>
        <v/>
      </c>
      <c r="AU56" s="96" t="str">
        <f>IF(U56=1,INDEX('MTRs'!$I$6:$I$505,T56)&amp;"","")</f>
        <v/>
      </c>
    </row>
    <row r="57">
      <c r="A57" s="89" t="inlineStr">
        <is>
          <t>IT-000052</t>
        </is>
      </c>
      <c r="B57" s="91" t="n"/>
      <c r="C57" s="91" t="n"/>
      <c r="D57" s="94" t="str">
        <f>IF(OR(R57=0,V57=0),"",INDEX('CAD_RESÍDUOS'!$E$6:$E$205,MATCH(C57,'CAD_RESÍDUOS'!$B$6:$B$205,0))&amp;"")</f>
        <v/>
      </c>
      <c r="E57" s="94" t="str">
        <f>IF(OR(R57=0,V57=0),"",INDEX('CAD_RESÍDUOS'!$C$6:$C$205,MATCH(C57,'CAD_RESÍDUOS'!$B$6:$B$205,0))&amp;"")</f>
        <v/>
      </c>
      <c r="F57" s="94" t="str">
        <f>IF(OR(R57=0,V57=0),"",INDEX('CAD_RESÍDUOS'!$G$6:$G$205,MATCH(C57,'CAD_RESÍDUOS'!$B$6:$B$205,0))&amp;"")</f>
        <v/>
      </c>
      <c r="G57" s="98" t="n"/>
      <c r="H57" s="91" t="n"/>
      <c r="I57" s="93" t="str">
        <f>IF(R57=0,"",IF(NOT(ISNUMBER(G57)),"",IF(ISNUMBER(X57),G57*X57,"UNIDADE A CONFERIR")))</f>
        <v/>
      </c>
      <c r="J57" s="91" t="n"/>
      <c r="K57" s="91" t="n"/>
      <c r="L57" s="93" t="str">
        <f>IF(R57=0,"",SUMIFS('RECEBIMENTOS'!$H$6:$H$1005,'RECEBIMENTOS'!$R$6:$R$1005,A57,'RECEBIMENTOS'!$X$6:$X$1005,1))</f>
        <v/>
      </c>
      <c r="M57" s="93" t="str">
        <f>IF(R57=0,"",SUMIFS('VÍNCULOS_CDF'!$H$6:$H$1005,'VÍNCULOS_CDF'!$R$6:$R$1005,A57,'VÍNCULOS_CDF'!$V$6:$V$1005,1))</f>
        <v/>
      </c>
      <c r="N57" s="99" t="str">
        <f>IF(OR(R57=0,AA57=0,NOT(ISNUMBER(I57))),"",I57-N(L57))</f>
        <v/>
      </c>
      <c r="O57" s="100" t="str">
        <f>IF(OR(R57=0,AK57&lt;=0),"",N(M57)/AK57)</f>
        <v/>
      </c>
      <c r="P57" s="94" t="str">
        <f>IF(R57=0,"",IF(S57="","Sem MTR associado",IF(U57=0,"MTR inexistente",IF(C57="","Resíduo não identificado",IF(V57=0,"Resíduo fora do cadastro",IF(W57=0,"Quantidade inválida",IF(H57="","Unidade não informada",IF(NOT(ISNUMBER(I57)),"Unidade a conferir",IF(AND(AH57=1,K57&lt;&gt;"Sim"),"Possível duplicidade",IF(Z57=1,"MTR cancelado",IF(AC57&gt;0,"Recebimento com alerta",IF(AA57=0,"Aguardando recebimento",IF(AB57&lt;AA57,"Recebimento a conferir",IF(AM57=1,"Quantidade a revisar",IF(AF57&gt;0,"Vínculo a revisar",IF(AD57=0,"Aguardando CDF",IF(AN57=0,"Vínculo de CDF parcial",IF(AE57&lt;AD57,"CDF a conferir","Documentação conferida"))))))))))))))))))</f>
        <v/>
      </c>
      <c r="Q57" s="93" t="str">
        <f>IF(OR(R57=0,AA57=0),"",MAX(0,N(L57)-N(M57)))</f>
        <v/>
      </c>
      <c r="R57" s="96">
        <f>IF(COUNTA(B57:C57,G57:H57,J57:K57)&gt;0,1,0)</f>
        <v>0</v>
      </c>
      <c r="S57" s="96" t="str">
        <f>IF(B57="","",TRIM(LEFT(B57,FIND(" |",B57&amp;" |")-1)))</f>
        <v/>
      </c>
      <c r="T57" s="96" t="str">
        <f>IF(S57="","",IFERROR(MATCH(S57,'MTRs'!$A$6:$A$505,0),""))</f>
        <v/>
      </c>
      <c r="U57" s="96">
        <f>IF(T57="",0,IF(INDEX('MTRs'!$Z$6:$Z$505,T57)=1,1,0))</f>
        <v>0</v>
      </c>
      <c r="V57" s="96">
        <f>IF(C57="",0,IF(ISNUMBER(MATCH(C57,'CAD_RESÍDUOS'!$B$6:$B$205,0)),1,0))</f>
        <v>0</v>
      </c>
      <c r="W57" s="96">
        <f>IF(AND(ISNUMBER(G57),G57&gt;0),1,0)</f>
        <v>0</v>
      </c>
      <c r="X57" s="96" t="str">
        <f>IF(H57="","",IFERROR(IF(ISNUMBER(INDEX(cfg_fac,MATCH(H57,cfg_units,0))),IF(INDEX(cfg_fac,MATCH(H57,cfg_units,0))&gt;0,INDEX(cfg_fac,MATCH(H57,cfg_units,0)),""),""),""))</f>
        <v/>
      </c>
      <c r="Y57" s="96">
        <f>IF(AND(W57=1,ISNUMBER(I57)),1,0)</f>
        <v>0</v>
      </c>
      <c r="Z57" s="96">
        <f>IF(U57=1,INDEX('MTRs'!$AA$6:$AA$505,T57),0)</f>
        <v>0</v>
      </c>
      <c r="AA57" s="96">
        <f>IF(R57=0,0,COUNTIFS('RECEBIMENTOS'!$R$6:$R$1005,A57,'RECEBIMENTOS'!$Q$6:$Q$1005,1))</f>
        <v>0</v>
      </c>
      <c r="AB57" s="96">
        <f>IF(R57=0,0,COUNTIFS('RECEBIMENTOS'!$R$6:$R$1005,A57,'RECEBIMENTOS'!$Z$6:$Z$1005,1))</f>
        <v>0</v>
      </c>
      <c r="AC57" s="96">
        <f>IF(R57=0,0,COUNTIFS('RECEBIMENTOS'!$R$6:$R$1005,A57,'RECEBIMENTOS'!$Y$6:$Y$1005,1))</f>
        <v>0</v>
      </c>
      <c r="AD57" s="96">
        <f>IF(R57=0,0,COUNTIFS('VÍNCULOS_CDF'!$R$6:$R$1005,A57,'VÍNCULOS_CDF'!$N$6:$N$1005,1))</f>
        <v>0</v>
      </c>
      <c r="AE57" s="96">
        <f>IF(R57=0,0,COUNTIFS('VÍNCULOS_CDF'!$R$6:$R$1005,A57,'VÍNCULOS_CDF'!$AA$6:$AA$1005,1))</f>
        <v>0</v>
      </c>
      <c r="AF57" s="96">
        <f>IF(R57=0,0,COUNTIFS('VÍNCULOS_CDF'!$R$6:$R$1005,A57,'VÍNCULOS_CDF'!$Y$6:$Y$1005,1))</f>
        <v>0</v>
      </c>
      <c r="AG57" s="96" t="str">
        <f>IF(AND(R57=1,S57&lt;&gt;"",C57&lt;&gt;""),S57&amp;"|"&amp;C57&amp;"|"&amp;G57&amp;"|"&amp;H57,"")</f>
        <v/>
      </c>
      <c r="AH57" s="96">
        <f>IF(AG57="",0,IF(SUMPRODUCT(--($AG$6:$AG$1005=AG57))&gt;1,1,0))</f>
        <v>0</v>
      </c>
      <c r="AI57" s="96">
        <f>IF(R57=0,0,IF(OR(U57=0,V57=0,Y57=0,AND(AH57=1,K57&lt;&gt;"Sim")),1,0))</f>
        <v>0</v>
      </c>
      <c r="AJ57" s="96">
        <f>IF(AND(R57=1,AA57&gt;0,AB57=AA57),1,0)</f>
        <v>0</v>
      </c>
      <c r="AK57" s="96">
        <f>IF(R57=0,0,IF(AA57&gt;0,N(L57),IF(ISNUMBER(I57),I57,0)))</f>
        <v>0</v>
      </c>
      <c r="AL57" s="96">
        <f>IF(R57=0,0,IF(AND(K57&lt;&gt;"Sim",N(M57)&gt;AK57+cfg_tol),1,0))</f>
        <v>0</v>
      </c>
      <c r="AM57" s="96">
        <f>IF(R57=0,0,IF(K57="Sim",0,IF(OR(AND(AA57&gt;0,ISNUMBER(I57),ABS(I57-N(L57))&gt;cfg_tol),AL57=1),1,0)))</f>
        <v>0</v>
      </c>
      <c r="AN57" s="96">
        <f>IF(AND(R57=1,N(M57)&gt;0,OR(N(M57)&gt;=AK57-cfg_tol,K57="Sim")),1,0)</f>
        <v>0</v>
      </c>
      <c r="AO57" s="96">
        <f>IF(AND(AN57=1,AD57&gt;0,AE57=AD57,AL57=0),1,0)</f>
        <v>0</v>
      </c>
      <c r="AP57" s="96">
        <f>IF(U57=0,0,IF(AND(INDEX('MTRs'!$AX$6:$AX$505,T57)=1,Z57=0,OR(f_res="",f_res="(Todos)",C57=f_res)),1,0))</f>
        <v>0</v>
      </c>
      <c r="AQ57" s="97" t="str">
        <f>IF(U57=0,"",INDEX('MTRs'!$AZ$6:$AZ$505,T57))</f>
        <v/>
      </c>
      <c r="AR57" s="96">
        <f>IF(U57=0,0,IF(AND(INDEX('MTRs'!$BA$6:$BA$505,T57)=1,Z57=0),1,0))</f>
        <v>0</v>
      </c>
      <c r="AS57" s="96" t="str">
        <f>IF(R57=1,A57&amp;" | MTR "&amp;IF(U57=1,INDEX('MTRs'!$B$6:$B$505,T57)&amp;"","?")&amp;" | "&amp;IF(C57="","(sem resíduo)",C57),"")</f>
        <v/>
      </c>
      <c r="AT57" s="96" t="str">
        <f>IF(R57=1,COUNTIF($R$6:R57,1),"")</f>
        <v/>
      </c>
      <c r="AU57" s="96" t="str">
        <f>IF(U57=1,INDEX('MTRs'!$I$6:$I$505,T57)&amp;"","")</f>
        <v/>
      </c>
    </row>
    <row r="58">
      <c r="A58" s="89" t="inlineStr">
        <is>
          <t>IT-000053</t>
        </is>
      </c>
      <c r="B58" s="91" t="n"/>
      <c r="C58" s="91" t="n"/>
      <c r="D58" s="94" t="str">
        <f>IF(OR(R58=0,V58=0),"",INDEX('CAD_RESÍDUOS'!$E$6:$E$205,MATCH(C58,'CAD_RESÍDUOS'!$B$6:$B$205,0))&amp;"")</f>
        <v/>
      </c>
      <c r="E58" s="94" t="str">
        <f>IF(OR(R58=0,V58=0),"",INDEX('CAD_RESÍDUOS'!$C$6:$C$205,MATCH(C58,'CAD_RESÍDUOS'!$B$6:$B$205,0))&amp;"")</f>
        <v/>
      </c>
      <c r="F58" s="94" t="str">
        <f>IF(OR(R58=0,V58=0),"",INDEX('CAD_RESÍDUOS'!$G$6:$G$205,MATCH(C58,'CAD_RESÍDUOS'!$B$6:$B$205,0))&amp;"")</f>
        <v/>
      </c>
      <c r="G58" s="98" t="n"/>
      <c r="H58" s="91" t="n"/>
      <c r="I58" s="93" t="str">
        <f>IF(R58=0,"",IF(NOT(ISNUMBER(G58)),"",IF(ISNUMBER(X58),G58*X58,"UNIDADE A CONFERIR")))</f>
        <v/>
      </c>
      <c r="J58" s="91" t="n"/>
      <c r="K58" s="91" t="n"/>
      <c r="L58" s="93" t="str">
        <f>IF(R58=0,"",SUMIFS('RECEBIMENTOS'!$H$6:$H$1005,'RECEBIMENTOS'!$R$6:$R$1005,A58,'RECEBIMENTOS'!$X$6:$X$1005,1))</f>
        <v/>
      </c>
      <c r="M58" s="93" t="str">
        <f>IF(R58=0,"",SUMIFS('VÍNCULOS_CDF'!$H$6:$H$1005,'VÍNCULOS_CDF'!$R$6:$R$1005,A58,'VÍNCULOS_CDF'!$V$6:$V$1005,1))</f>
        <v/>
      </c>
      <c r="N58" s="99" t="str">
        <f>IF(OR(R58=0,AA58=0,NOT(ISNUMBER(I58))),"",I58-N(L58))</f>
        <v/>
      </c>
      <c r="O58" s="100" t="str">
        <f>IF(OR(R58=0,AK58&lt;=0),"",N(M58)/AK58)</f>
        <v/>
      </c>
      <c r="P58" s="94" t="str">
        <f>IF(R58=0,"",IF(S58="","Sem MTR associado",IF(U58=0,"MTR inexistente",IF(C58="","Resíduo não identificado",IF(V58=0,"Resíduo fora do cadastro",IF(W58=0,"Quantidade inválida",IF(H58="","Unidade não informada",IF(NOT(ISNUMBER(I58)),"Unidade a conferir",IF(AND(AH58=1,K58&lt;&gt;"Sim"),"Possível duplicidade",IF(Z58=1,"MTR cancelado",IF(AC58&gt;0,"Recebimento com alerta",IF(AA58=0,"Aguardando recebimento",IF(AB58&lt;AA58,"Recebimento a conferir",IF(AM58=1,"Quantidade a revisar",IF(AF58&gt;0,"Vínculo a revisar",IF(AD58=0,"Aguardando CDF",IF(AN58=0,"Vínculo de CDF parcial",IF(AE58&lt;AD58,"CDF a conferir","Documentação conferida"))))))))))))))))))</f>
        <v/>
      </c>
      <c r="Q58" s="93" t="str">
        <f>IF(OR(R58=0,AA58=0),"",MAX(0,N(L58)-N(M58)))</f>
        <v/>
      </c>
      <c r="R58" s="96">
        <f>IF(COUNTA(B58:C58,G58:H58,J58:K58)&gt;0,1,0)</f>
        <v>0</v>
      </c>
      <c r="S58" s="96" t="str">
        <f>IF(B58="","",TRIM(LEFT(B58,FIND(" |",B58&amp;" |")-1)))</f>
        <v/>
      </c>
      <c r="T58" s="96" t="str">
        <f>IF(S58="","",IFERROR(MATCH(S58,'MTRs'!$A$6:$A$505,0),""))</f>
        <v/>
      </c>
      <c r="U58" s="96">
        <f>IF(T58="",0,IF(INDEX('MTRs'!$Z$6:$Z$505,T58)=1,1,0))</f>
        <v>0</v>
      </c>
      <c r="V58" s="96">
        <f>IF(C58="",0,IF(ISNUMBER(MATCH(C58,'CAD_RESÍDUOS'!$B$6:$B$205,0)),1,0))</f>
        <v>0</v>
      </c>
      <c r="W58" s="96">
        <f>IF(AND(ISNUMBER(G58),G58&gt;0),1,0)</f>
        <v>0</v>
      </c>
      <c r="X58" s="96" t="str">
        <f>IF(H58="","",IFERROR(IF(ISNUMBER(INDEX(cfg_fac,MATCH(H58,cfg_units,0))),IF(INDEX(cfg_fac,MATCH(H58,cfg_units,0))&gt;0,INDEX(cfg_fac,MATCH(H58,cfg_units,0)),""),""),""))</f>
        <v/>
      </c>
      <c r="Y58" s="96">
        <f>IF(AND(W58=1,ISNUMBER(I58)),1,0)</f>
        <v>0</v>
      </c>
      <c r="Z58" s="96">
        <f>IF(U58=1,INDEX('MTRs'!$AA$6:$AA$505,T58),0)</f>
        <v>0</v>
      </c>
      <c r="AA58" s="96">
        <f>IF(R58=0,0,COUNTIFS('RECEBIMENTOS'!$R$6:$R$1005,A58,'RECEBIMENTOS'!$Q$6:$Q$1005,1))</f>
        <v>0</v>
      </c>
      <c r="AB58" s="96">
        <f>IF(R58=0,0,COUNTIFS('RECEBIMENTOS'!$R$6:$R$1005,A58,'RECEBIMENTOS'!$Z$6:$Z$1005,1))</f>
        <v>0</v>
      </c>
      <c r="AC58" s="96">
        <f>IF(R58=0,0,COUNTIFS('RECEBIMENTOS'!$R$6:$R$1005,A58,'RECEBIMENTOS'!$Y$6:$Y$1005,1))</f>
        <v>0</v>
      </c>
      <c r="AD58" s="96">
        <f>IF(R58=0,0,COUNTIFS('VÍNCULOS_CDF'!$R$6:$R$1005,A58,'VÍNCULOS_CDF'!$N$6:$N$1005,1))</f>
        <v>0</v>
      </c>
      <c r="AE58" s="96">
        <f>IF(R58=0,0,COUNTIFS('VÍNCULOS_CDF'!$R$6:$R$1005,A58,'VÍNCULOS_CDF'!$AA$6:$AA$1005,1))</f>
        <v>0</v>
      </c>
      <c r="AF58" s="96">
        <f>IF(R58=0,0,COUNTIFS('VÍNCULOS_CDF'!$R$6:$R$1005,A58,'VÍNCULOS_CDF'!$Y$6:$Y$1005,1))</f>
        <v>0</v>
      </c>
      <c r="AG58" s="96" t="str">
        <f>IF(AND(R58=1,S58&lt;&gt;"",C58&lt;&gt;""),S58&amp;"|"&amp;C58&amp;"|"&amp;G58&amp;"|"&amp;H58,"")</f>
        <v/>
      </c>
      <c r="AH58" s="96">
        <f>IF(AG58="",0,IF(SUMPRODUCT(--($AG$6:$AG$1005=AG58))&gt;1,1,0))</f>
        <v>0</v>
      </c>
      <c r="AI58" s="96">
        <f>IF(R58=0,0,IF(OR(U58=0,V58=0,Y58=0,AND(AH58=1,K58&lt;&gt;"Sim")),1,0))</f>
        <v>0</v>
      </c>
      <c r="AJ58" s="96">
        <f>IF(AND(R58=1,AA58&gt;0,AB58=AA58),1,0)</f>
        <v>0</v>
      </c>
      <c r="AK58" s="96">
        <f>IF(R58=0,0,IF(AA58&gt;0,N(L58),IF(ISNUMBER(I58),I58,0)))</f>
        <v>0</v>
      </c>
      <c r="AL58" s="96">
        <f>IF(R58=0,0,IF(AND(K58&lt;&gt;"Sim",N(M58)&gt;AK58+cfg_tol),1,0))</f>
        <v>0</v>
      </c>
      <c r="AM58" s="96">
        <f>IF(R58=0,0,IF(K58="Sim",0,IF(OR(AND(AA58&gt;0,ISNUMBER(I58),ABS(I58-N(L58))&gt;cfg_tol),AL58=1),1,0)))</f>
        <v>0</v>
      </c>
      <c r="AN58" s="96">
        <f>IF(AND(R58=1,N(M58)&gt;0,OR(N(M58)&gt;=AK58-cfg_tol,K58="Sim")),1,0)</f>
        <v>0</v>
      </c>
      <c r="AO58" s="96">
        <f>IF(AND(AN58=1,AD58&gt;0,AE58=AD58,AL58=0),1,0)</f>
        <v>0</v>
      </c>
      <c r="AP58" s="96">
        <f>IF(U58=0,0,IF(AND(INDEX('MTRs'!$AX$6:$AX$505,T58)=1,Z58=0,OR(f_res="",f_res="(Todos)",C58=f_res)),1,0))</f>
        <v>0</v>
      </c>
      <c r="AQ58" s="97" t="str">
        <f>IF(U58=0,"",INDEX('MTRs'!$AZ$6:$AZ$505,T58))</f>
        <v/>
      </c>
      <c r="AR58" s="96">
        <f>IF(U58=0,0,IF(AND(INDEX('MTRs'!$BA$6:$BA$505,T58)=1,Z58=0),1,0))</f>
        <v>0</v>
      </c>
      <c r="AS58" s="96" t="str">
        <f>IF(R58=1,A58&amp;" | MTR "&amp;IF(U58=1,INDEX('MTRs'!$B$6:$B$505,T58)&amp;"","?")&amp;" | "&amp;IF(C58="","(sem resíduo)",C58),"")</f>
        <v/>
      </c>
      <c r="AT58" s="96" t="str">
        <f>IF(R58=1,COUNTIF($R$6:R58,1),"")</f>
        <v/>
      </c>
      <c r="AU58" s="96" t="str">
        <f>IF(U58=1,INDEX('MTRs'!$I$6:$I$505,T58)&amp;"","")</f>
        <v/>
      </c>
    </row>
    <row r="59">
      <c r="A59" s="89" t="inlineStr">
        <is>
          <t>IT-000054</t>
        </is>
      </c>
      <c r="B59" s="91" t="n"/>
      <c r="C59" s="91" t="n"/>
      <c r="D59" s="94" t="str">
        <f>IF(OR(R59=0,V59=0),"",INDEX('CAD_RESÍDUOS'!$E$6:$E$205,MATCH(C59,'CAD_RESÍDUOS'!$B$6:$B$205,0))&amp;"")</f>
        <v/>
      </c>
      <c r="E59" s="94" t="str">
        <f>IF(OR(R59=0,V59=0),"",INDEX('CAD_RESÍDUOS'!$C$6:$C$205,MATCH(C59,'CAD_RESÍDUOS'!$B$6:$B$205,0))&amp;"")</f>
        <v/>
      </c>
      <c r="F59" s="94" t="str">
        <f>IF(OR(R59=0,V59=0),"",INDEX('CAD_RESÍDUOS'!$G$6:$G$205,MATCH(C59,'CAD_RESÍDUOS'!$B$6:$B$205,0))&amp;"")</f>
        <v/>
      </c>
      <c r="G59" s="98" t="n"/>
      <c r="H59" s="91" t="n"/>
      <c r="I59" s="93" t="str">
        <f>IF(R59=0,"",IF(NOT(ISNUMBER(G59)),"",IF(ISNUMBER(X59),G59*X59,"UNIDADE A CONFERIR")))</f>
        <v/>
      </c>
      <c r="J59" s="91" t="n"/>
      <c r="K59" s="91" t="n"/>
      <c r="L59" s="93" t="str">
        <f>IF(R59=0,"",SUMIFS('RECEBIMENTOS'!$H$6:$H$1005,'RECEBIMENTOS'!$R$6:$R$1005,A59,'RECEBIMENTOS'!$X$6:$X$1005,1))</f>
        <v/>
      </c>
      <c r="M59" s="93" t="str">
        <f>IF(R59=0,"",SUMIFS('VÍNCULOS_CDF'!$H$6:$H$1005,'VÍNCULOS_CDF'!$R$6:$R$1005,A59,'VÍNCULOS_CDF'!$V$6:$V$1005,1))</f>
        <v/>
      </c>
      <c r="N59" s="99" t="str">
        <f>IF(OR(R59=0,AA59=0,NOT(ISNUMBER(I59))),"",I59-N(L59))</f>
        <v/>
      </c>
      <c r="O59" s="100" t="str">
        <f>IF(OR(R59=0,AK59&lt;=0),"",N(M59)/AK59)</f>
        <v/>
      </c>
      <c r="P59" s="94" t="str">
        <f>IF(R59=0,"",IF(S59="","Sem MTR associado",IF(U59=0,"MTR inexistente",IF(C59="","Resíduo não identificado",IF(V59=0,"Resíduo fora do cadastro",IF(W59=0,"Quantidade inválida",IF(H59="","Unidade não informada",IF(NOT(ISNUMBER(I59)),"Unidade a conferir",IF(AND(AH59=1,K59&lt;&gt;"Sim"),"Possível duplicidade",IF(Z59=1,"MTR cancelado",IF(AC59&gt;0,"Recebimento com alerta",IF(AA59=0,"Aguardando recebimento",IF(AB59&lt;AA59,"Recebimento a conferir",IF(AM59=1,"Quantidade a revisar",IF(AF59&gt;0,"Vínculo a revisar",IF(AD59=0,"Aguardando CDF",IF(AN59=0,"Vínculo de CDF parcial",IF(AE59&lt;AD59,"CDF a conferir","Documentação conferida"))))))))))))))))))</f>
        <v/>
      </c>
      <c r="Q59" s="93" t="str">
        <f>IF(OR(R59=0,AA59=0),"",MAX(0,N(L59)-N(M59)))</f>
        <v/>
      </c>
      <c r="R59" s="96">
        <f>IF(COUNTA(B59:C59,G59:H59,J59:K59)&gt;0,1,0)</f>
        <v>0</v>
      </c>
      <c r="S59" s="96" t="str">
        <f>IF(B59="","",TRIM(LEFT(B59,FIND(" |",B59&amp;" |")-1)))</f>
        <v/>
      </c>
      <c r="T59" s="96" t="str">
        <f>IF(S59="","",IFERROR(MATCH(S59,'MTRs'!$A$6:$A$505,0),""))</f>
        <v/>
      </c>
      <c r="U59" s="96">
        <f>IF(T59="",0,IF(INDEX('MTRs'!$Z$6:$Z$505,T59)=1,1,0))</f>
        <v>0</v>
      </c>
      <c r="V59" s="96">
        <f>IF(C59="",0,IF(ISNUMBER(MATCH(C59,'CAD_RESÍDUOS'!$B$6:$B$205,0)),1,0))</f>
        <v>0</v>
      </c>
      <c r="W59" s="96">
        <f>IF(AND(ISNUMBER(G59),G59&gt;0),1,0)</f>
        <v>0</v>
      </c>
      <c r="X59" s="96" t="str">
        <f>IF(H59="","",IFERROR(IF(ISNUMBER(INDEX(cfg_fac,MATCH(H59,cfg_units,0))),IF(INDEX(cfg_fac,MATCH(H59,cfg_units,0))&gt;0,INDEX(cfg_fac,MATCH(H59,cfg_units,0)),""),""),""))</f>
        <v/>
      </c>
      <c r="Y59" s="96">
        <f>IF(AND(W59=1,ISNUMBER(I59)),1,0)</f>
        <v>0</v>
      </c>
      <c r="Z59" s="96">
        <f>IF(U59=1,INDEX('MTRs'!$AA$6:$AA$505,T59),0)</f>
        <v>0</v>
      </c>
      <c r="AA59" s="96">
        <f>IF(R59=0,0,COUNTIFS('RECEBIMENTOS'!$R$6:$R$1005,A59,'RECEBIMENTOS'!$Q$6:$Q$1005,1))</f>
        <v>0</v>
      </c>
      <c r="AB59" s="96">
        <f>IF(R59=0,0,COUNTIFS('RECEBIMENTOS'!$R$6:$R$1005,A59,'RECEBIMENTOS'!$Z$6:$Z$1005,1))</f>
        <v>0</v>
      </c>
      <c r="AC59" s="96">
        <f>IF(R59=0,0,COUNTIFS('RECEBIMENTOS'!$R$6:$R$1005,A59,'RECEBIMENTOS'!$Y$6:$Y$1005,1))</f>
        <v>0</v>
      </c>
      <c r="AD59" s="96">
        <f>IF(R59=0,0,COUNTIFS('VÍNCULOS_CDF'!$R$6:$R$1005,A59,'VÍNCULOS_CDF'!$N$6:$N$1005,1))</f>
        <v>0</v>
      </c>
      <c r="AE59" s="96">
        <f>IF(R59=0,0,COUNTIFS('VÍNCULOS_CDF'!$R$6:$R$1005,A59,'VÍNCULOS_CDF'!$AA$6:$AA$1005,1))</f>
        <v>0</v>
      </c>
      <c r="AF59" s="96">
        <f>IF(R59=0,0,COUNTIFS('VÍNCULOS_CDF'!$R$6:$R$1005,A59,'VÍNCULOS_CDF'!$Y$6:$Y$1005,1))</f>
        <v>0</v>
      </c>
      <c r="AG59" s="96" t="str">
        <f>IF(AND(R59=1,S59&lt;&gt;"",C59&lt;&gt;""),S59&amp;"|"&amp;C59&amp;"|"&amp;G59&amp;"|"&amp;H59,"")</f>
        <v/>
      </c>
      <c r="AH59" s="96">
        <f>IF(AG59="",0,IF(SUMPRODUCT(--($AG$6:$AG$1005=AG59))&gt;1,1,0))</f>
        <v>0</v>
      </c>
      <c r="AI59" s="96">
        <f>IF(R59=0,0,IF(OR(U59=0,V59=0,Y59=0,AND(AH59=1,K59&lt;&gt;"Sim")),1,0))</f>
        <v>0</v>
      </c>
      <c r="AJ59" s="96">
        <f>IF(AND(R59=1,AA59&gt;0,AB59=AA59),1,0)</f>
        <v>0</v>
      </c>
      <c r="AK59" s="96">
        <f>IF(R59=0,0,IF(AA59&gt;0,N(L59),IF(ISNUMBER(I59),I59,0)))</f>
        <v>0</v>
      </c>
      <c r="AL59" s="96">
        <f>IF(R59=0,0,IF(AND(K59&lt;&gt;"Sim",N(M59)&gt;AK59+cfg_tol),1,0))</f>
        <v>0</v>
      </c>
      <c r="AM59" s="96">
        <f>IF(R59=0,0,IF(K59="Sim",0,IF(OR(AND(AA59&gt;0,ISNUMBER(I59),ABS(I59-N(L59))&gt;cfg_tol),AL59=1),1,0)))</f>
        <v>0</v>
      </c>
      <c r="AN59" s="96">
        <f>IF(AND(R59=1,N(M59)&gt;0,OR(N(M59)&gt;=AK59-cfg_tol,K59="Sim")),1,0)</f>
        <v>0</v>
      </c>
      <c r="AO59" s="96">
        <f>IF(AND(AN59=1,AD59&gt;0,AE59=AD59,AL59=0),1,0)</f>
        <v>0</v>
      </c>
      <c r="AP59" s="96">
        <f>IF(U59=0,0,IF(AND(INDEX('MTRs'!$AX$6:$AX$505,T59)=1,Z59=0,OR(f_res="",f_res="(Todos)",C59=f_res)),1,0))</f>
        <v>0</v>
      </c>
      <c r="AQ59" s="97" t="str">
        <f>IF(U59=0,"",INDEX('MTRs'!$AZ$6:$AZ$505,T59))</f>
        <v/>
      </c>
      <c r="AR59" s="96">
        <f>IF(U59=0,0,IF(AND(INDEX('MTRs'!$BA$6:$BA$505,T59)=1,Z59=0),1,0))</f>
        <v>0</v>
      </c>
      <c r="AS59" s="96" t="str">
        <f>IF(R59=1,A59&amp;" | MTR "&amp;IF(U59=1,INDEX('MTRs'!$B$6:$B$505,T59)&amp;"","?")&amp;" | "&amp;IF(C59="","(sem resíduo)",C59),"")</f>
        <v/>
      </c>
      <c r="AT59" s="96" t="str">
        <f>IF(R59=1,COUNTIF($R$6:R59,1),"")</f>
        <v/>
      </c>
      <c r="AU59" s="96" t="str">
        <f>IF(U59=1,INDEX('MTRs'!$I$6:$I$505,T59)&amp;"","")</f>
        <v/>
      </c>
    </row>
    <row r="60">
      <c r="A60" s="89" t="inlineStr">
        <is>
          <t>IT-000055</t>
        </is>
      </c>
      <c r="B60" s="91" t="n"/>
      <c r="C60" s="91" t="n"/>
      <c r="D60" s="94" t="str">
        <f>IF(OR(R60=0,V60=0),"",INDEX('CAD_RESÍDUOS'!$E$6:$E$205,MATCH(C60,'CAD_RESÍDUOS'!$B$6:$B$205,0))&amp;"")</f>
        <v/>
      </c>
      <c r="E60" s="94" t="str">
        <f>IF(OR(R60=0,V60=0),"",INDEX('CAD_RESÍDUOS'!$C$6:$C$205,MATCH(C60,'CAD_RESÍDUOS'!$B$6:$B$205,0))&amp;"")</f>
        <v/>
      </c>
      <c r="F60" s="94" t="str">
        <f>IF(OR(R60=0,V60=0),"",INDEX('CAD_RESÍDUOS'!$G$6:$G$205,MATCH(C60,'CAD_RESÍDUOS'!$B$6:$B$205,0))&amp;"")</f>
        <v/>
      </c>
      <c r="G60" s="98" t="n"/>
      <c r="H60" s="91" t="n"/>
      <c r="I60" s="93" t="str">
        <f>IF(R60=0,"",IF(NOT(ISNUMBER(G60)),"",IF(ISNUMBER(X60),G60*X60,"UNIDADE A CONFERIR")))</f>
        <v/>
      </c>
      <c r="J60" s="91" t="n"/>
      <c r="K60" s="91" t="n"/>
      <c r="L60" s="93" t="str">
        <f>IF(R60=0,"",SUMIFS('RECEBIMENTOS'!$H$6:$H$1005,'RECEBIMENTOS'!$R$6:$R$1005,A60,'RECEBIMENTOS'!$X$6:$X$1005,1))</f>
        <v/>
      </c>
      <c r="M60" s="93" t="str">
        <f>IF(R60=0,"",SUMIFS('VÍNCULOS_CDF'!$H$6:$H$1005,'VÍNCULOS_CDF'!$R$6:$R$1005,A60,'VÍNCULOS_CDF'!$V$6:$V$1005,1))</f>
        <v/>
      </c>
      <c r="N60" s="99" t="str">
        <f>IF(OR(R60=0,AA60=0,NOT(ISNUMBER(I60))),"",I60-N(L60))</f>
        <v/>
      </c>
      <c r="O60" s="100" t="str">
        <f>IF(OR(R60=0,AK60&lt;=0),"",N(M60)/AK60)</f>
        <v/>
      </c>
      <c r="P60" s="94" t="str">
        <f>IF(R60=0,"",IF(S60="","Sem MTR associado",IF(U60=0,"MTR inexistente",IF(C60="","Resíduo não identificado",IF(V60=0,"Resíduo fora do cadastro",IF(W60=0,"Quantidade inválida",IF(H60="","Unidade não informada",IF(NOT(ISNUMBER(I60)),"Unidade a conferir",IF(AND(AH60=1,K60&lt;&gt;"Sim"),"Possível duplicidade",IF(Z60=1,"MTR cancelado",IF(AC60&gt;0,"Recebimento com alerta",IF(AA60=0,"Aguardando recebimento",IF(AB60&lt;AA60,"Recebimento a conferir",IF(AM60=1,"Quantidade a revisar",IF(AF60&gt;0,"Vínculo a revisar",IF(AD60=0,"Aguardando CDF",IF(AN60=0,"Vínculo de CDF parcial",IF(AE60&lt;AD60,"CDF a conferir","Documentação conferida"))))))))))))))))))</f>
        <v/>
      </c>
      <c r="Q60" s="93" t="str">
        <f>IF(OR(R60=0,AA60=0),"",MAX(0,N(L60)-N(M60)))</f>
        <v/>
      </c>
      <c r="R60" s="96">
        <f>IF(COUNTA(B60:C60,G60:H60,J60:K60)&gt;0,1,0)</f>
        <v>0</v>
      </c>
      <c r="S60" s="96" t="str">
        <f>IF(B60="","",TRIM(LEFT(B60,FIND(" |",B60&amp;" |")-1)))</f>
        <v/>
      </c>
      <c r="T60" s="96" t="str">
        <f>IF(S60="","",IFERROR(MATCH(S60,'MTRs'!$A$6:$A$505,0),""))</f>
        <v/>
      </c>
      <c r="U60" s="96">
        <f>IF(T60="",0,IF(INDEX('MTRs'!$Z$6:$Z$505,T60)=1,1,0))</f>
        <v>0</v>
      </c>
      <c r="V60" s="96">
        <f>IF(C60="",0,IF(ISNUMBER(MATCH(C60,'CAD_RESÍDUOS'!$B$6:$B$205,0)),1,0))</f>
        <v>0</v>
      </c>
      <c r="W60" s="96">
        <f>IF(AND(ISNUMBER(G60),G60&gt;0),1,0)</f>
        <v>0</v>
      </c>
      <c r="X60" s="96" t="str">
        <f>IF(H60="","",IFERROR(IF(ISNUMBER(INDEX(cfg_fac,MATCH(H60,cfg_units,0))),IF(INDEX(cfg_fac,MATCH(H60,cfg_units,0))&gt;0,INDEX(cfg_fac,MATCH(H60,cfg_units,0)),""),""),""))</f>
        <v/>
      </c>
      <c r="Y60" s="96">
        <f>IF(AND(W60=1,ISNUMBER(I60)),1,0)</f>
        <v>0</v>
      </c>
      <c r="Z60" s="96">
        <f>IF(U60=1,INDEX('MTRs'!$AA$6:$AA$505,T60),0)</f>
        <v>0</v>
      </c>
      <c r="AA60" s="96">
        <f>IF(R60=0,0,COUNTIFS('RECEBIMENTOS'!$R$6:$R$1005,A60,'RECEBIMENTOS'!$Q$6:$Q$1005,1))</f>
        <v>0</v>
      </c>
      <c r="AB60" s="96">
        <f>IF(R60=0,0,COUNTIFS('RECEBIMENTOS'!$R$6:$R$1005,A60,'RECEBIMENTOS'!$Z$6:$Z$1005,1))</f>
        <v>0</v>
      </c>
      <c r="AC60" s="96">
        <f>IF(R60=0,0,COUNTIFS('RECEBIMENTOS'!$R$6:$R$1005,A60,'RECEBIMENTOS'!$Y$6:$Y$1005,1))</f>
        <v>0</v>
      </c>
      <c r="AD60" s="96">
        <f>IF(R60=0,0,COUNTIFS('VÍNCULOS_CDF'!$R$6:$R$1005,A60,'VÍNCULOS_CDF'!$N$6:$N$1005,1))</f>
        <v>0</v>
      </c>
      <c r="AE60" s="96">
        <f>IF(R60=0,0,COUNTIFS('VÍNCULOS_CDF'!$R$6:$R$1005,A60,'VÍNCULOS_CDF'!$AA$6:$AA$1005,1))</f>
        <v>0</v>
      </c>
      <c r="AF60" s="96">
        <f>IF(R60=0,0,COUNTIFS('VÍNCULOS_CDF'!$R$6:$R$1005,A60,'VÍNCULOS_CDF'!$Y$6:$Y$1005,1))</f>
        <v>0</v>
      </c>
      <c r="AG60" s="96" t="str">
        <f>IF(AND(R60=1,S60&lt;&gt;"",C60&lt;&gt;""),S60&amp;"|"&amp;C60&amp;"|"&amp;G60&amp;"|"&amp;H60,"")</f>
        <v/>
      </c>
      <c r="AH60" s="96">
        <f>IF(AG60="",0,IF(SUMPRODUCT(--($AG$6:$AG$1005=AG60))&gt;1,1,0))</f>
        <v>0</v>
      </c>
      <c r="AI60" s="96">
        <f>IF(R60=0,0,IF(OR(U60=0,V60=0,Y60=0,AND(AH60=1,K60&lt;&gt;"Sim")),1,0))</f>
        <v>0</v>
      </c>
      <c r="AJ60" s="96">
        <f>IF(AND(R60=1,AA60&gt;0,AB60=AA60),1,0)</f>
        <v>0</v>
      </c>
      <c r="AK60" s="96">
        <f>IF(R60=0,0,IF(AA60&gt;0,N(L60),IF(ISNUMBER(I60),I60,0)))</f>
        <v>0</v>
      </c>
      <c r="AL60" s="96">
        <f>IF(R60=0,0,IF(AND(K60&lt;&gt;"Sim",N(M60)&gt;AK60+cfg_tol),1,0))</f>
        <v>0</v>
      </c>
      <c r="AM60" s="96">
        <f>IF(R60=0,0,IF(K60="Sim",0,IF(OR(AND(AA60&gt;0,ISNUMBER(I60),ABS(I60-N(L60))&gt;cfg_tol),AL60=1),1,0)))</f>
        <v>0</v>
      </c>
      <c r="AN60" s="96">
        <f>IF(AND(R60=1,N(M60)&gt;0,OR(N(M60)&gt;=AK60-cfg_tol,K60="Sim")),1,0)</f>
        <v>0</v>
      </c>
      <c r="AO60" s="96">
        <f>IF(AND(AN60=1,AD60&gt;0,AE60=AD60,AL60=0),1,0)</f>
        <v>0</v>
      </c>
      <c r="AP60" s="96">
        <f>IF(U60=0,0,IF(AND(INDEX('MTRs'!$AX$6:$AX$505,T60)=1,Z60=0,OR(f_res="",f_res="(Todos)",C60=f_res)),1,0))</f>
        <v>0</v>
      </c>
      <c r="AQ60" s="97" t="str">
        <f>IF(U60=0,"",INDEX('MTRs'!$AZ$6:$AZ$505,T60))</f>
        <v/>
      </c>
      <c r="AR60" s="96">
        <f>IF(U60=0,0,IF(AND(INDEX('MTRs'!$BA$6:$BA$505,T60)=1,Z60=0),1,0))</f>
        <v>0</v>
      </c>
      <c r="AS60" s="96" t="str">
        <f>IF(R60=1,A60&amp;" | MTR "&amp;IF(U60=1,INDEX('MTRs'!$B$6:$B$505,T60)&amp;"","?")&amp;" | "&amp;IF(C60="","(sem resíduo)",C60),"")</f>
        <v/>
      </c>
      <c r="AT60" s="96" t="str">
        <f>IF(R60=1,COUNTIF($R$6:R60,1),"")</f>
        <v/>
      </c>
      <c r="AU60" s="96" t="str">
        <f>IF(U60=1,INDEX('MTRs'!$I$6:$I$505,T60)&amp;"","")</f>
        <v/>
      </c>
    </row>
    <row r="61">
      <c r="A61" s="89" t="inlineStr">
        <is>
          <t>IT-000056</t>
        </is>
      </c>
      <c r="B61" s="91" t="n"/>
      <c r="C61" s="91" t="n"/>
      <c r="D61" s="94" t="str">
        <f>IF(OR(R61=0,V61=0),"",INDEX('CAD_RESÍDUOS'!$E$6:$E$205,MATCH(C61,'CAD_RESÍDUOS'!$B$6:$B$205,0))&amp;"")</f>
        <v/>
      </c>
      <c r="E61" s="94" t="str">
        <f>IF(OR(R61=0,V61=0),"",INDEX('CAD_RESÍDUOS'!$C$6:$C$205,MATCH(C61,'CAD_RESÍDUOS'!$B$6:$B$205,0))&amp;"")</f>
        <v/>
      </c>
      <c r="F61" s="94" t="str">
        <f>IF(OR(R61=0,V61=0),"",INDEX('CAD_RESÍDUOS'!$G$6:$G$205,MATCH(C61,'CAD_RESÍDUOS'!$B$6:$B$205,0))&amp;"")</f>
        <v/>
      </c>
      <c r="G61" s="98" t="n"/>
      <c r="H61" s="91" t="n"/>
      <c r="I61" s="93" t="str">
        <f>IF(R61=0,"",IF(NOT(ISNUMBER(G61)),"",IF(ISNUMBER(X61),G61*X61,"UNIDADE A CONFERIR")))</f>
        <v/>
      </c>
      <c r="J61" s="91" t="n"/>
      <c r="K61" s="91" t="n"/>
      <c r="L61" s="93" t="str">
        <f>IF(R61=0,"",SUMIFS('RECEBIMENTOS'!$H$6:$H$1005,'RECEBIMENTOS'!$R$6:$R$1005,A61,'RECEBIMENTOS'!$X$6:$X$1005,1))</f>
        <v/>
      </c>
      <c r="M61" s="93" t="str">
        <f>IF(R61=0,"",SUMIFS('VÍNCULOS_CDF'!$H$6:$H$1005,'VÍNCULOS_CDF'!$R$6:$R$1005,A61,'VÍNCULOS_CDF'!$V$6:$V$1005,1))</f>
        <v/>
      </c>
      <c r="N61" s="99" t="str">
        <f>IF(OR(R61=0,AA61=0,NOT(ISNUMBER(I61))),"",I61-N(L61))</f>
        <v/>
      </c>
      <c r="O61" s="100" t="str">
        <f>IF(OR(R61=0,AK61&lt;=0),"",N(M61)/AK61)</f>
        <v/>
      </c>
      <c r="P61" s="94" t="str">
        <f>IF(R61=0,"",IF(S61="","Sem MTR associado",IF(U61=0,"MTR inexistente",IF(C61="","Resíduo não identificado",IF(V61=0,"Resíduo fora do cadastro",IF(W61=0,"Quantidade inválida",IF(H61="","Unidade não informada",IF(NOT(ISNUMBER(I61)),"Unidade a conferir",IF(AND(AH61=1,K61&lt;&gt;"Sim"),"Possível duplicidade",IF(Z61=1,"MTR cancelado",IF(AC61&gt;0,"Recebimento com alerta",IF(AA61=0,"Aguardando recebimento",IF(AB61&lt;AA61,"Recebimento a conferir",IF(AM61=1,"Quantidade a revisar",IF(AF61&gt;0,"Vínculo a revisar",IF(AD61=0,"Aguardando CDF",IF(AN61=0,"Vínculo de CDF parcial",IF(AE61&lt;AD61,"CDF a conferir","Documentação conferida"))))))))))))))))))</f>
        <v/>
      </c>
      <c r="Q61" s="93" t="str">
        <f>IF(OR(R61=0,AA61=0),"",MAX(0,N(L61)-N(M61)))</f>
        <v/>
      </c>
      <c r="R61" s="96">
        <f>IF(COUNTA(B61:C61,G61:H61,J61:K61)&gt;0,1,0)</f>
        <v>0</v>
      </c>
      <c r="S61" s="96" t="str">
        <f>IF(B61="","",TRIM(LEFT(B61,FIND(" |",B61&amp;" |")-1)))</f>
        <v/>
      </c>
      <c r="T61" s="96" t="str">
        <f>IF(S61="","",IFERROR(MATCH(S61,'MTRs'!$A$6:$A$505,0),""))</f>
        <v/>
      </c>
      <c r="U61" s="96">
        <f>IF(T61="",0,IF(INDEX('MTRs'!$Z$6:$Z$505,T61)=1,1,0))</f>
        <v>0</v>
      </c>
      <c r="V61" s="96">
        <f>IF(C61="",0,IF(ISNUMBER(MATCH(C61,'CAD_RESÍDUOS'!$B$6:$B$205,0)),1,0))</f>
        <v>0</v>
      </c>
      <c r="W61" s="96">
        <f>IF(AND(ISNUMBER(G61),G61&gt;0),1,0)</f>
        <v>0</v>
      </c>
      <c r="X61" s="96" t="str">
        <f>IF(H61="","",IFERROR(IF(ISNUMBER(INDEX(cfg_fac,MATCH(H61,cfg_units,0))),IF(INDEX(cfg_fac,MATCH(H61,cfg_units,0))&gt;0,INDEX(cfg_fac,MATCH(H61,cfg_units,0)),""),""),""))</f>
        <v/>
      </c>
      <c r="Y61" s="96">
        <f>IF(AND(W61=1,ISNUMBER(I61)),1,0)</f>
        <v>0</v>
      </c>
      <c r="Z61" s="96">
        <f>IF(U61=1,INDEX('MTRs'!$AA$6:$AA$505,T61),0)</f>
        <v>0</v>
      </c>
      <c r="AA61" s="96">
        <f>IF(R61=0,0,COUNTIFS('RECEBIMENTOS'!$R$6:$R$1005,A61,'RECEBIMENTOS'!$Q$6:$Q$1005,1))</f>
        <v>0</v>
      </c>
      <c r="AB61" s="96">
        <f>IF(R61=0,0,COUNTIFS('RECEBIMENTOS'!$R$6:$R$1005,A61,'RECEBIMENTOS'!$Z$6:$Z$1005,1))</f>
        <v>0</v>
      </c>
      <c r="AC61" s="96">
        <f>IF(R61=0,0,COUNTIFS('RECEBIMENTOS'!$R$6:$R$1005,A61,'RECEBIMENTOS'!$Y$6:$Y$1005,1))</f>
        <v>0</v>
      </c>
      <c r="AD61" s="96">
        <f>IF(R61=0,0,COUNTIFS('VÍNCULOS_CDF'!$R$6:$R$1005,A61,'VÍNCULOS_CDF'!$N$6:$N$1005,1))</f>
        <v>0</v>
      </c>
      <c r="AE61" s="96">
        <f>IF(R61=0,0,COUNTIFS('VÍNCULOS_CDF'!$R$6:$R$1005,A61,'VÍNCULOS_CDF'!$AA$6:$AA$1005,1))</f>
        <v>0</v>
      </c>
      <c r="AF61" s="96">
        <f>IF(R61=0,0,COUNTIFS('VÍNCULOS_CDF'!$R$6:$R$1005,A61,'VÍNCULOS_CDF'!$Y$6:$Y$1005,1))</f>
        <v>0</v>
      </c>
      <c r="AG61" s="96" t="str">
        <f>IF(AND(R61=1,S61&lt;&gt;"",C61&lt;&gt;""),S61&amp;"|"&amp;C61&amp;"|"&amp;G61&amp;"|"&amp;H61,"")</f>
        <v/>
      </c>
      <c r="AH61" s="96">
        <f>IF(AG61="",0,IF(SUMPRODUCT(--($AG$6:$AG$1005=AG61))&gt;1,1,0))</f>
        <v>0</v>
      </c>
      <c r="AI61" s="96">
        <f>IF(R61=0,0,IF(OR(U61=0,V61=0,Y61=0,AND(AH61=1,K61&lt;&gt;"Sim")),1,0))</f>
        <v>0</v>
      </c>
      <c r="AJ61" s="96">
        <f>IF(AND(R61=1,AA61&gt;0,AB61=AA61),1,0)</f>
        <v>0</v>
      </c>
      <c r="AK61" s="96">
        <f>IF(R61=0,0,IF(AA61&gt;0,N(L61),IF(ISNUMBER(I61),I61,0)))</f>
        <v>0</v>
      </c>
      <c r="AL61" s="96">
        <f>IF(R61=0,0,IF(AND(K61&lt;&gt;"Sim",N(M61)&gt;AK61+cfg_tol),1,0))</f>
        <v>0</v>
      </c>
      <c r="AM61" s="96">
        <f>IF(R61=0,0,IF(K61="Sim",0,IF(OR(AND(AA61&gt;0,ISNUMBER(I61),ABS(I61-N(L61))&gt;cfg_tol),AL61=1),1,0)))</f>
        <v>0</v>
      </c>
      <c r="AN61" s="96">
        <f>IF(AND(R61=1,N(M61)&gt;0,OR(N(M61)&gt;=AK61-cfg_tol,K61="Sim")),1,0)</f>
        <v>0</v>
      </c>
      <c r="AO61" s="96">
        <f>IF(AND(AN61=1,AD61&gt;0,AE61=AD61,AL61=0),1,0)</f>
        <v>0</v>
      </c>
      <c r="AP61" s="96">
        <f>IF(U61=0,0,IF(AND(INDEX('MTRs'!$AX$6:$AX$505,T61)=1,Z61=0,OR(f_res="",f_res="(Todos)",C61=f_res)),1,0))</f>
        <v>0</v>
      </c>
      <c r="AQ61" s="97" t="str">
        <f>IF(U61=0,"",INDEX('MTRs'!$AZ$6:$AZ$505,T61))</f>
        <v/>
      </c>
      <c r="AR61" s="96">
        <f>IF(U61=0,0,IF(AND(INDEX('MTRs'!$BA$6:$BA$505,T61)=1,Z61=0),1,0))</f>
        <v>0</v>
      </c>
      <c r="AS61" s="96" t="str">
        <f>IF(R61=1,A61&amp;" | MTR "&amp;IF(U61=1,INDEX('MTRs'!$B$6:$B$505,T61)&amp;"","?")&amp;" | "&amp;IF(C61="","(sem resíduo)",C61),"")</f>
        <v/>
      </c>
      <c r="AT61" s="96" t="str">
        <f>IF(R61=1,COUNTIF($R$6:R61,1),"")</f>
        <v/>
      </c>
      <c r="AU61" s="96" t="str">
        <f>IF(U61=1,INDEX('MTRs'!$I$6:$I$505,T61)&amp;"","")</f>
        <v/>
      </c>
    </row>
    <row r="62">
      <c r="A62" s="89" t="inlineStr">
        <is>
          <t>IT-000057</t>
        </is>
      </c>
      <c r="B62" s="91" t="n"/>
      <c r="C62" s="91" t="n"/>
      <c r="D62" s="94" t="str">
        <f>IF(OR(R62=0,V62=0),"",INDEX('CAD_RESÍDUOS'!$E$6:$E$205,MATCH(C62,'CAD_RESÍDUOS'!$B$6:$B$205,0))&amp;"")</f>
        <v/>
      </c>
      <c r="E62" s="94" t="str">
        <f>IF(OR(R62=0,V62=0),"",INDEX('CAD_RESÍDUOS'!$C$6:$C$205,MATCH(C62,'CAD_RESÍDUOS'!$B$6:$B$205,0))&amp;"")</f>
        <v/>
      </c>
      <c r="F62" s="94" t="str">
        <f>IF(OR(R62=0,V62=0),"",INDEX('CAD_RESÍDUOS'!$G$6:$G$205,MATCH(C62,'CAD_RESÍDUOS'!$B$6:$B$205,0))&amp;"")</f>
        <v/>
      </c>
      <c r="G62" s="98" t="n"/>
      <c r="H62" s="91" t="n"/>
      <c r="I62" s="93" t="str">
        <f>IF(R62=0,"",IF(NOT(ISNUMBER(G62)),"",IF(ISNUMBER(X62),G62*X62,"UNIDADE A CONFERIR")))</f>
        <v/>
      </c>
      <c r="J62" s="91" t="n"/>
      <c r="K62" s="91" t="n"/>
      <c r="L62" s="93" t="str">
        <f>IF(R62=0,"",SUMIFS('RECEBIMENTOS'!$H$6:$H$1005,'RECEBIMENTOS'!$R$6:$R$1005,A62,'RECEBIMENTOS'!$X$6:$X$1005,1))</f>
        <v/>
      </c>
      <c r="M62" s="93" t="str">
        <f>IF(R62=0,"",SUMIFS('VÍNCULOS_CDF'!$H$6:$H$1005,'VÍNCULOS_CDF'!$R$6:$R$1005,A62,'VÍNCULOS_CDF'!$V$6:$V$1005,1))</f>
        <v/>
      </c>
      <c r="N62" s="99" t="str">
        <f>IF(OR(R62=0,AA62=0,NOT(ISNUMBER(I62))),"",I62-N(L62))</f>
        <v/>
      </c>
      <c r="O62" s="100" t="str">
        <f>IF(OR(R62=0,AK62&lt;=0),"",N(M62)/AK62)</f>
        <v/>
      </c>
      <c r="P62" s="94" t="str">
        <f>IF(R62=0,"",IF(S62="","Sem MTR associado",IF(U62=0,"MTR inexistente",IF(C62="","Resíduo não identificado",IF(V62=0,"Resíduo fora do cadastro",IF(W62=0,"Quantidade inválida",IF(H62="","Unidade não informada",IF(NOT(ISNUMBER(I62)),"Unidade a conferir",IF(AND(AH62=1,K62&lt;&gt;"Sim"),"Possível duplicidade",IF(Z62=1,"MTR cancelado",IF(AC62&gt;0,"Recebimento com alerta",IF(AA62=0,"Aguardando recebimento",IF(AB62&lt;AA62,"Recebimento a conferir",IF(AM62=1,"Quantidade a revisar",IF(AF62&gt;0,"Vínculo a revisar",IF(AD62=0,"Aguardando CDF",IF(AN62=0,"Vínculo de CDF parcial",IF(AE62&lt;AD62,"CDF a conferir","Documentação conferida"))))))))))))))))))</f>
        <v/>
      </c>
      <c r="Q62" s="93" t="str">
        <f>IF(OR(R62=0,AA62=0),"",MAX(0,N(L62)-N(M62)))</f>
        <v/>
      </c>
      <c r="R62" s="96">
        <f>IF(COUNTA(B62:C62,G62:H62,J62:K62)&gt;0,1,0)</f>
        <v>0</v>
      </c>
      <c r="S62" s="96" t="str">
        <f>IF(B62="","",TRIM(LEFT(B62,FIND(" |",B62&amp;" |")-1)))</f>
        <v/>
      </c>
      <c r="T62" s="96" t="str">
        <f>IF(S62="","",IFERROR(MATCH(S62,'MTRs'!$A$6:$A$505,0),""))</f>
        <v/>
      </c>
      <c r="U62" s="96">
        <f>IF(T62="",0,IF(INDEX('MTRs'!$Z$6:$Z$505,T62)=1,1,0))</f>
        <v>0</v>
      </c>
      <c r="V62" s="96">
        <f>IF(C62="",0,IF(ISNUMBER(MATCH(C62,'CAD_RESÍDUOS'!$B$6:$B$205,0)),1,0))</f>
        <v>0</v>
      </c>
      <c r="W62" s="96">
        <f>IF(AND(ISNUMBER(G62),G62&gt;0),1,0)</f>
        <v>0</v>
      </c>
      <c r="X62" s="96" t="str">
        <f>IF(H62="","",IFERROR(IF(ISNUMBER(INDEX(cfg_fac,MATCH(H62,cfg_units,0))),IF(INDEX(cfg_fac,MATCH(H62,cfg_units,0))&gt;0,INDEX(cfg_fac,MATCH(H62,cfg_units,0)),""),""),""))</f>
        <v/>
      </c>
      <c r="Y62" s="96">
        <f>IF(AND(W62=1,ISNUMBER(I62)),1,0)</f>
        <v>0</v>
      </c>
      <c r="Z62" s="96">
        <f>IF(U62=1,INDEX('MTRs'!$AA$6:$AA$505,T62),0)</f>
        <v>0</v>
      </c>
      <c r="AA62" s="96">
        <f>IF(R62=0,0,COUNTIFS('RECEBIMENTOS'!$R$6:$R$1005,A62,'RECEBIMENTOS'!$Q$6:$Q$1005,1))</f>
        <v>0</v>
      </c>
      <c r="AB62" s="96">
        <f>IF(R62=0,0,COUNTIFS('RECEBIMENTOS'!$R$6:$R$1005,A62,'RECEBIMENTOS'!$Z$6:$Z$1005,1))</f>
        <v>0</v>
      </c>
      <c r="AC62" s="96">
        <f>IF(R62=0,0,COUNTIFS('RECEBIMENTOS'!$R$6:$R$1005,A62,'RECEBIMENTOS'!$Y$6:$Y$1005,1))</f>
        <v>0</v>
      </c>
      <c r="AD62" s="96">
        <f>IF(R62=0,0,COUNTIFS('VÍNCULOS_CDF'!$R$6:$R$1005,A62,'VÍNCULOS_CDF'!$N$6:$N$1005,1))</f>
        <v>0</v>
      </c>
      <c r="AE62" s="96">
        <f>IF(R62=0,0,COUNTIFS('VÍNCULOS_CDF'!$R$6:$R$1005,A62,'VÍNCULOS_CDF'!$AA$6:$AA$1005,1))</f>
        <v>0</v>
      </c>
      <c r="AF62" s="96">
        <f>IF(R62=0,0,COUNTIFS('VÍNCULOS_CDF'!$R$6:$R$1005,A62,'VÍNCULOS_CDF'!$Y$6:$Y$1005,1))</f>
        <v>0</v>
      </c>
      <c r="AG62" s="96" t="str">
        <f>IF(AND(R62=1,S62&lt;&gt;"",C62&lt;&gt;""),S62&amp;"|"&amp;C62&amp;"|"&amp;G62&amp;"|"&amp;H62,"")</f>
        <v/>
      </c>
      <c r="AH62" s="96">
        <f>IF(AG62="",0,IF(SUMPRODUCT(--($AG$6:$AG$1005=AG62))&gt;1,1,0))</f>
        <v>0</v>
      </c>
      <c r="AI62" s="96">
        <f>IF(R62=0,0,IF(OR(U62=0,V62=0,Y62=0,AND(AH62=1,K62&lt;&gt;"Sim")),1,0))</f>
        <v>0</v>
      </c>
      <c r="AJ62" s="96">
        <f>IF(AND(R62=1,AA62&gt;0,AB62=AA62),1,0)</f>
        <v>0</v>
      </c>
      <c r="AK62" s="96">
        <f>IF(R62=0,0,IF(AA62&gt;0,N(L62),IF(ISNUMBER(I62),I62,0)))</f>
        <v>0</v>
      </c>
      <c r="AL62" s="96">
        <f>IF(R62=0,0,IF(AND(K62&lt;&gt;"Sim",N(M62)&gt;AK62+cfg_tol),1,0))</f>
        <v>0</v>
      </c>
      <c r="AM62" s="96">
        <f>IF(R62=0,0,IF(K62="Sim",0,IF(OR(AND(AA62&gt;0,ISNUMBER(I62),ABS(I62-N(L62))&gt;cfg_tol),AL62=1),1,0)))</f>
        <v>0</v>
      </c>
      <c r="AN62" s="96">
        <f>IF(AND(R62=1,N(M62)&gt;0,OR(N(M62)&gt;=AK62-cfg_tol,K62="Sim")),1,0)</f>
        <v>0</v>
      </c>
      <c r="AO62" s="96">
        <f>IF(AND(AN62=1,AD62&gt;0,AE62=AD62,AL62=0),1,0)</f>
        <v>0</v>
      </c>
      <c r="AP62" s="96">
        <f>IF(U62=0,0,IF(AND(INDEX('MTRs'!$AX$6:$AX$505,T62)=1,Z62=0,OR(f_res="",f_res="(Todos)",C62=f_res)),1,0))</f>
        <v>0</v>
      </c>
      <c r="AQ62" s="97" t="str">
        <f>IF(U62=0,"",INDEX('MTRs'!$AZ$6:$AZ$505,T62))</f>
        <v/>
      </c>
      <c r="AR62" s="96">
        <f>IF(U62=0,0,IF(AND(INDEX('MTRs'!$BA$6:$BA$505,T62)=1,Z62=0),1,0))</f>
        <v>0</v>
      </c>
      <c r="AS62" s="96" t="str">
        <f>IF(R62=1,A62&amp;" | MTR "&amp;IF(U62=1,INDEX('MTRs'!$B$6:$B$505,T62)&amp;"","?")&amp;" | "&amp;IF(C62="","(sem resíduo)",C62),"")</f>
        <v/>
      </c>
      <c r="AT62" s="96" t="str">
        <f>IF(R62=1,COUNTIF($R$6:R62,1),"")</f>
        <v/>
      </c>
      <c r="AU62" s="96" t="str">
        <f>IF(U62=1,INDEX('MTRs'!$I$6:$I$505,T62)&amp;"","")</f>
        <v/>
      </c>
    </row>
    <row r="63">
      <c r="A63" s="89" t="inlineStr">
        <is>
          <t>IT-000058</t>
        </is>
      </c>
      <c r="B63" s="91" t="n"/>
      <c r="C63" s="91" t="n"/>
      <c r="D63" s="94" t="str">
        <f>IF(OR(R63=0,V63=0),"",INDEX('CAD_RESÍDUOS'!$E$6:$E$205,MATCH(C63,'CAD_RESÍDUOS'!$B$6:$B$205,0))&amp;"")</f>
        <v/>
      </c>
      <c r="E63" s="94" t="str">
        <f>IF(OR(R63=0,V63=0),"",INDEX('CAD_RESÍDUOS'!$C$6:$C$205,MATCH(C63,'CAD_RESÍDUOS'!$B$6:$B$205,0))&amp;"")</f>
        <v/>
      </c>
      <c r="F63" s="94" t="str">
        <f>IF(OR(R63=0,V63=0),"",INDEX('CAD_RESÍDUOS'!$G$6:$G$205,MATCH(C63,'CAD_RESÍDUOS'!$B$6:$B$205,0))&amp;"")</f>
        <v/>
      </c>
      <c r="G63" s="98" t="n"/>
      <c r="H63" s="91" t="n"/>
      <c r="I63" s="93" t="str">
        <f>IF(R63=0,"",IF(NOT(ISNUMBER(G63)),"",IF(ISNUMBER(X63),G63*X63,"UNIDADE A CONFERIR")))</f>
        <v/>
      </c>
      <c r="J63" s="91" t="n"/>
      <c r="K63" s="91" t="n"/>
      <c r="L63" s="93" t="str">
        <f>IF(R63=0,"",SUMIFS('RECEBIMENTOS'!$H$6:$H$1005,'RECEBIMENTOS'!$R$6:$R$1005,A63,'RECEBIMENTOS'!$X$6:$X$1005,1))</f>
        <v/>
      </c>
      <c r="M63" s="93" t="str">
        <f>IF(R63=0,"",SUMIFS('VÍNCULOS_CDF'!$H$6:$H$1005,'VÍNCULOS_CDF'!$R$6:$R$1005,A63,'VÍNCULOS_CDF'!$V$6:$V$1005,1))</f>
        <v/>
      </c>
      <c r="N63" s="99" t="str">
        <f>IF(OR(R63=0,AA63=0,NOT(ISNUMBER(I63))),"",I63-N(L63))</f>
        <v/>
      </c>
      <c r="O63" s="100" t="str">
        <f>IF(OR(R63=0,AK63&lt;=0),"",N(M63)/AK63)</f>
        <v/>
      </c>
      <c r="P63" s="94" t="str">
        <f>IF(R63=0,"",IF(S63="","Sem MTR associado",IF(U63=0,"MTR inexistente",IF(C63="","Resíduo não identificado",IF(V63=0,"Resíduo fora do cadastro",IF(W63=0,"Quantidade inválida",IF(H63="","Unidade não informada",IF(NOT(ISNUMBER(I63)),"Unidade a conferir",IF(AND(AH63=1,K63&lt;&gt;"Sim"),"Possível duplicidade",IF(Z63=1,"MTR cancelado",IF(AC63&gt;0,"Recebimento com alerta",IF(AA63=0,"Aguardando recebimento",IF(AB63&lt;AA63,"Recebimento a conferir",IF(AM63=1,"Quantidade a revisar",IF(AF63&gt;0,"Vínculo a revisar",IF(AD63=0,"Aguardando CDF",IF(AN63=0,"Vínculo de CDF parcial",IF(AE63&lt;AD63,"CDF a conferir","Documentação conferida"))))))))))))))))))</f>
        <v/>
      </c>
      <c r="Q63" s="93" t="str">
        <f>IF(OR(R63=0,AA63=0),"",MAX(0,N(L63)-N(M63)))</f>
        <v/>
      </c>
      <c r="R63" s="96">
        <f>IF(COUNTA(B63:C63,G63:H63,J63:K63)&gt;0,1,0)</f>
        <v>0</v>
      </c>
      <c r="S63" s="96" t="str">
        <f>IF(B63="","",TRIM(LEFT(B63,FIND(" |",B63&amp;" |")-1)))</f>
        <v/>
      </c>
      <c r="T63" s="96" t="str">
        <f>IF(S63="","",IFERROR(MATCH(S63,'MTRs'!$A$6:$A$505,0),""))</f>
        <v/>
      </c>
      <c r="U63" s="96">
        <f>IF(T63="",0,IF(INDEX('MTRs'!$Z$6:$Z$505,T63)=1,1,0))</f>
        <v>0</v>
      </c>
      <c r="V63" s="96">
        <f>IF(C63="",0,IF(ISNUMBER(MATCH(C63,'CAD_RESÍDUOS'!$B$6:$B$205,0)),1,0))</f>
        <v>0</v>
      </c>
      <c r="W63" s="96">
        <f>IF(AND(ISNUMBER(G63),G63&gt;0),1,0)</f>
        <v>0</v>
      </c>
      <c r="X63" s="96" t="str">
        <f>IF(H63="","",IFERROR(IF(ISNUMBER(INDEX(cfg_fac,MATCH(H63,cfg_units,0))),IF(INDEX(cfg_fac,MATCH(H63,cfg_units,0))&gt;0,INDEX(cfg_fac,MATCH(H63,cfg_units,0)),""),""),""))</f>
        <v/>
      </c>
      <c r="Y63" s="96">
        <f>IF(AND(W63=1,ISNUMBER(I63)),1,0)</f>
        <v>0</v>
      </c>
      <c r="Z63" s="96">
        <f>IF(U63=1,INDEX('MTRs'!$AA$6:$AA$505,T63),0)</f>
        <v>0</v>
      </c>
      <c r="AA63" s="96">
        <f>IF(R63=0,0,COUNTIFS('RECEBIMENTOS'!$R$6:$R$1005,A63,'RECEBIMENTOS'!$Q$6:$Q$1005,1))</f>
        <v>0</v>
      </c>
      <c r="AB63" s="96">
        <f>IF(R63=0,0,COUNTIFS('RECEBIMENTOS'!$R$6:$R$1005,A63,'RECEBIMENTOS'!$Z$6:$Z$1005,1))</f>
        <v>0</v>
      </c>
      <c r="AC63" s="96">
        <f>IF(R63=0,0,COUNTIFS('RECEBIMENTOS'!$R$6:$R$1005,A63,'RECEBIMENTOS'!$Y$6:$Y$1005,1))</f>
        <v>0</v>
      </c>
      <c r="AD63" s="96">
        <f>IF(R63=0,0,COUNTIFS('VÍNCULOS_CDF'!$R$6:$R$1005,A63,'VÍNCULOS_CDF'!$N$6:$N$1005,1))</f>
        <v>0</v>
      </c>
      <c r="AE63" s="96">
        <f>IF(R63=0,0,COUNTIFS('VÍNCULOS_CDF'!$R$6:$R$1005,A63,'VÍNCULOS_CDF'!$AA$6:$AA$1005,1))</f>
        <v>0</v>
      </c>
      <c r="AF63" s="96">
        <f>IF(R63=0,0,COUNTIFS('VÍNCULOS_CDF'!$R$6:$R$1005,A63,'VÍNCULOS_CDF'!$Y$6:$Y$1005,1))</f>
        <v>0</v>
      </c>
      <c r="AG63" s="96" t="str">
        <f>IF(AND(R63=1,S63&lt;&gt;"",C63&lt;&gt;""),S63&amp;"|"&amp;C63&amp;"|"&amp;G63&amp;"|"&amp;H63,"")</f>
        <v/>
      </c>
      <c r="AH63" s="96">
        <f>IF(AG63="",0,IF(SUMPRODUCT(--($AG$6:$AG$1005=AG63))&gt;1,1,0))</f>
        <v>0</v>
      </c>
      <c r="AI63" s="96">
        <f>IF(R63=0,0,IF(OR(U63=0,V63=0,Y63=0,AND(AH63=1,K63&lt;&gt;"Sim")),1,0))</f>
        <v>0</v>
      </c>
      <c r="AJ63" s="96">
        <f>IF(AND(R63=1,AA63&gt;0,AB63=AA63),1,0)</f>
        <v>0</v>
      </c>
      <c r="AK63" s="96">
        <f>IF(R63=0,0,IF(AA63&gt;0,N(L63),IF(ISNUMBER(I63),I63,0)))</f>
        <v>0</v>
      </c>
      <c r="AL63" s="96">
        <f>IF(R63=0,0,IF(AND(K63&lt;&gt;"Sim",N(M63)&gt;AK63+cfg_tol),1,0))</f>
        <v>0</v>
      </c>
      <c r="AM63" s="96">
        <f>IF(R63=0,0,IF(K63="Sim",0,IF(OR(AND(AA63&gt;0,ISNUMBER(I63),ABS(I63-N(L63))&gt;cfg_tol),AL63=1),1,0)))</f>
        <v>0</v>
      </c>
      <c r="AN63" s="96">
        <f>IF(AND(R63=1,N(M63)&gt;0,OR(N(M63)&gt;=AK63-cfg_tol,K63="Sim")),1,0)</f>
        <v>0</v>
      </c>
      <c r="AO63" s="96">
        <f>IF(AND(AN63=1,AD63&gt;0,AE63=AD63,AL63=0),1,0)</f>
        <v>0</v>
      </c>
      <c r="AP63" s="96">
        <f>IF(U63=0,0,IF(AND(INDEX('MTRs'!$AX$6:$AX$505,T63)=1,Z63=0,OR(f_res="",f_res="(Todos)",C63=f_res)),1,0))</f>
        <v>0</v>
      </c>
      <c r="AQ63" s="97" t="str">
        <f>IF(U63=0,"",INDEX('MTRs'!$AZ$6:$AZ$505,T63))</f>
        <v/>
      </c>
      <c r="AR63" s="96">
        <f>IF(U63=0,0,IF(AND(INDEX('MTRs'!$BA$6:$BA$505,T63)=1,Z63=0),1,0))</f>
        <v>0</v>
      </c>
      <c r="AS63" s="96" t="str">
        <f>IF(R63=1,A63&amp;" | MTR "&amp;IF(U63=1,INDEX('MTRs'!$B$6:$B$505,T63)&amp;"","?")&amp;" | "&amp;IF(C63="","(sem resíduo)",C63),"")</f>
        <v/>
      </c>
      <c r="AT63" s="96" t="str">
        <f>IF(R63=1,COUNTIF($R$6:R63,1),"")</f>
        <v/>
      </c>
      <c r="AU63" s="96" t="str">
        <f>IF(U63=1,INDEX('MTRs'!$I$6:$I$505,T63)&amp;"","")</f>
        <v/>
      </c>
    </row>
    <row r="64">
      <c r="A64" s="89" t="inlineStr">
        <is>
          <t>IT-000059</t>
        </is>
      </c>
      <c r="B64" s="91" t="n"/>
      <c r="C64" s="91" t="n"/>
      <c r="D64" s="94" t="str">
        <f>IF(OR(R64=0,V64=0),"",INDEX('CAD_RESÍDUOS'!$E$6:$E$205,MATCH(C64,'CAD_RESÍDUOS'!$B$6:$B$205,0))&amp;"")</f>
        <v/>
      </c>
      <c r="E64" s="94" t="str">
        <f>IF(OR(R64=0,V64=0),"",INDEX('CAD_RESÍDUOS'!$C$6:$C$205,MATCH(C64,'CAD_RESÍDUOS'!$B$6:$B$205,0))&amp;"")</f>
        <v/>
      </c>
      <c r="F64" s="94" t="str">
        <f>IF(OR(R64=0,V64=0),"",INDEX('CAD_RESÍDUOS'!$G$6:$G$205,MATCH(C64,'CAD_RESÍDUOS'!$B$6:$B$205,0))&amp;"")</f>
        <v/>
      </c>
      <c r="G64" s="98" t="n"/>
      <c r="H64" s="91" t="n"/>
      <c r="I64" s="93" t="str">
        <f>IF(R64=0,"",IF(NOT(ISNUMBER(G64)),"",IF(ISNUMBER(X64),G64*X64,"UNIDADE A CONFERIR")))</f>
        <v/>
      </c>
      <c r="J64" s="91" t="n"/>
      <c r="K64" s="91" t="n"/>
      <c r="L64" s="93" t="str">
        <f>IF(R64=0,"",SUMIFS('RECEBIMENTOS'!$H$6:$H$1005,'RECEBIMENTOS'!$R$6:$R$1005,A64,'RECEBIMENTOS'!$X$6:$X$1005,1))</f>
        <v/>
      </c>
      <c r="M64" s="93" t="str">
        <f>IF(R64=0,"",SUMIFS('VÍNCULOS_CDF'!$H$6:$H$1005,'VÍNCULOS_CDF'!$R$6:$R$1005,A64,'VÍNCULOS_CDF'!$V$6:$V$1005,1))</f>
        <v/>
      </c>
      <c r="N64" s="99" t="str">
        <f>IF(OR(R64=0,AA64=0,NOT(ISNUMBER(I64))),"",I64-N(L64))</f>
        <v/>
      </c>
      <c r="O64" s="100" t="str">
        <f>IF(OR(R64=0,AK64&lt;=0),"",N(M64)/AK64)</f>
        <v/>
      </c>
      <c r="P64" s="94" t="str">
        <f>IF(R64=0,"",IF(S64="","Sem MTR associado",IF(U64=0,"MTR inexistente",IF(C64="","Resíduo não identificado",IF(V64=0,"Resíduo fora do cadastro",IF(W64=0,"Quantidade inválida",IF(H64="","Unidade não informada",IF(NOT(ISNUMBER(I64)),"Unidade a conferir",IF(AND(AH64=1,K64&lt;&gt;"Sim"),"Possível duplicidade",IF(Z64=1,"MTR cancelado",IF(AC64&gt;0,"Recebimento com alerta",IF(AA64=0,"Aguardando recebimento",IF(AB64&lt;AA64,"Recebimento a conferir",IF(AM64=1,"Quantidade a revisar",IF(AF64&gt;0,"Vínculo a revisar",IF(AD64=0,"Aguardando CDF",IF(AN64=0,"Vínculo de CDF parcial",IF(AE64&lt;AD64,"CDF a conferir","Documentação conferida"))))))))))))))))))</f>
        <v/>
      </c>
      <c r="Q64" s="93" t="str">
        <f>IF(OR(R64=0,AA64=0),"",MAX(0,N(L64)-N(M64)))</f>
        <v/>
      </c>
      <c r="R64" s="96">
        <f>IF(COUNTA(B64:C64,G64:H64,J64:K64)&gt;0,1,0)</f>
        <v>0</v>
      </c>
      <c r="S64" s="96" t="str">
        <f>IF(B64="","",TRIM(LEFT(B64,FIND(" |",B64&amp;" |")-1)))</f>
        <v/>
      </c>
      <c r="T64" s="96" t="str">
        <f>IF(S64="","",IFERROR(MATCH(S64,'MTRs'!$A$6:$A$505,0),""))</f>
        <v/>
      </c>
      <c r="U64" s="96">
        <f>IF(T64="",0,IF(INDEX('MTRs'!$Z$6:$Z$505,T64)=1,1,0))</f>
        <v>0</v>
      </c>
      <c r="V64" s="96">
        <f>IF(C64="",0,IF(ISNUMBER(MATCH(C64,'CAD_RESÍDUOS'!$B$6:$B$205,0)),1,0))</f>
        <v>0</v>
      </c>
      <c r="W64" s="96">
        <f>IF(AND(ISNUMBER(G64),G64&gt;0),1,0)</f>
        <v>0</v>
      </c>
      <c r="X64" s="96" t="str">
        <f>IF(H64="","",IFERROR(IF(ISNUMBER(INDEX(cfg_fac,MATCH(H64,cfg_units,0))),IF(INDEX(cfg_fac,MATCH(H64,cfg_units,0))&gt;0,INDEX(cfg_fac,MATCH(H64,cfg_units,0)),""),""),""))</f>
        <v/>
      </c>
      <c r="Y64" s="96">
        <f>IF(AND(W64=1,ISNUMBER(I64)),1,0)</f>
        <v>0</v>
      </c>
      <c r="Z64" s="96">
        <f>IF(U64=1,INDEX('MTRs'!$AA$6:$AA$505,T64),0)</f>
        <v>0</v>
      </c>
      <c r="AA64" s="96">
        <f>IF(R64=0,0,COUNTIFS('RECEBIMENTOS'!$R$6:$R$1005,A64,'RECEBIMENTOS'!$Q$6:$Q$1005,1))</f>
        <v>0</v>
      </c>
      <c r="AB64" s="96">
        <f>IF(R64=0,0,COUNTIFS('RECEBIMENTOS'!$R$6:$R$1005,A64,'RECEBIMENTOS'!$Z$6:$Z$1005,1))</f>
        <v>0</v>
      </c>
      <c r="AC64" s="96">
        <f>IF(R64=0,0,COUNTIFS('RECEBIMENTOS'!$R$6:$R$1005,A64,'RECEBIMENTOS'!$Y$6:$Y$1005,1))</f>
        <v>0</v>
      </c>
      <c r="AD64" s="96">
        <f>IF(R64=0,0,COUNTIFS('VÍNCULOS_CDF'!$R$6:$R$1005,A64,'VÍNCULOS_CDF'!$N$6:$N$1005,1))</f>
        <v>0</v>
      </c>
      <c r="AE64" s="96">
        <f>IF(R64=0,0,COUNTIFS('VÍNCULOS_CDF'!$R$6:$R$1005,A64,'VÍNCULOS_CDF'!$AA$6:$AA$1005,1))</f>
        <v>0</v>
      </c>
      <c r="AF64" s="96">
        <f>IF(R64=0,0,COUNTIFS('VÍNCULOS_CDF'!$R$6:$R$1005,A64,'VÍNCULOS_CDF'!$Y$6:$Y$1005,1))</f>
        <v>0</v>
      </c>
      <c r="AG64" s="96" t="str">
        <f>IF(AND(R64=1,S64&lt;&gt;"",C64&lt;&gt;""),S64&amp;"|"&amp;C64&amp;"|"&amp;G64&amp;"|"&amp;H64,"")</f>
        <v/>
      </c>
      <c r="AH64" s="96">
        <f>IF(AG64="",0,IF(SUMPRODUCT(--($AG$6:$AG$1005=AG64))&gt;1,1,0))</f>
        <v>0</v>
      </c>
      <c r="AI64" s="96">
        <f>IF(R64=0,0,IF(OR(U64=0,V64=0,Y64=0,AND(AH64=1,K64&lt;&gt;"Sim")),1,0))</f>
        <v>0</v>
      </c>
      <c r="AJ64" s="96">
        <f>IF(AND(R64=1,AA64&gt;0,AB64=AA64),1,0)</f>
        <v>0</v>
      </c>
      <c r="AK64" s="96">
        <f>IF(R64=0,0,IF(AA64&gt;0,N(L64),IF(ISNUMBER(I64),I64,0)))</f>
        <v>0</v>
      </c>
      <c r="AL64" s="96">
        <f>IF(R64=0,0,IF(AND(K64&lt;&gt;"Sim",N(M64)&gt;AK64+cfg_tol),1,0))</f>
        <v>0</v>
      </c>
      <c r="AM64" s="96">
        <f>IF(R64=0,0,IF(K64="Sim",0,IF(OR(AND(AA64&gt;0,ISNUMBER(I64),ABS(I64-N(L64))&gt;cfg_tol),AL64=1),1,0)))</f>
        <v>0</v>
      </c>
      <c r="AN64" s="96">
        <f>IF(AND(R64=1,N(M64)&gt;0,OR(N(M64)&gt;=AK64-cfg_tol,K64="Sim")),1,0)</f>
        <v>0</v>
      </c>
      <c r="AO64" s="96">
        <f>IF(AND(AN64=1,AD64&gt;0,AE64=AD64,AL64=0),1,0)</f>
        <v>0</v>
      </c>
      <c r="AP64" s="96">
        <f>IF(U64=0,0,IF(AND(INDEX('MTRs'!$AX$6:$AX$505,T64)=1,Z64=0,OR(f_res="",f_res="(Todos)",C64=f_res)),1,0))</f>
        <v>0</v>
      </c>
      <c r="AQ64" s="97" t="str">
        <f>IF(U64=0,"",INDEX('MTRs'!$AZ$6:$AZ$505,T64))</f>
        <v/>
      </c>
      <c r="AR64" s="96">
        <f>IF(U64=0,0,IF(AND(INDEX('MTRs'!$BA$6:$BA$505,T64)=1,Z64=0),1,0))</f>
        <v>0</v>
      </c>
      <c r="AS64" s="96" t="str">
        <f>IF(R64=1,A64&amp;" | MTR "&amp;IF(U64=1,INDEX('MTRs'!$B$6:$B$505,T64)&amp;"","?")&amp;" | "&amp;IF(C64="","(sem resíduo)",C64),"")</f>
        <v/>
      </c>
      <c r="AT64" s="96" t="str">
        <f>IF(R64=1,COUNTIF($R$6:R64,1),"")</f>
        <v/>
      </c>
      <c r="AU64" s="96" t="str">
        <f>IF(U64=1,INDEX('MTRs'!$I$6:$I$505,T64)&amp;"","")</f>
        <v/>
      </c>
    </row>
    <row r="65">
      <c r="A65" s="89" t="inlineStr">
        <is>
          <t>IT-000060</t>
        </is>
      </c>
      <c r="B65" s="91" t="n"/>
      <c r="C65" s="91" t="n"/>
      <c r="D65" s="94" t="str">
        <f>IF(OR(R65=0,V65=0),"",INDEX('CAD_RESÍDUOS'!$E$6:$E$205,MATCH(C65,'CAD_RESÍDUOS'!$B$6:$B$205,0))&amp;"")</f>
        <v/>
      </c>
      <c r="E65" s="94" t="str">
        <f>IF(OR(R65=0,V65=0),"",INDEX('CAD_RESÍDUOS'!$C$6:$C$205,MATCH(C65,'CAD_RESÍDUOS'!$B$6:$B$205,0))&amp;"")</f>
        <v/>
      </c>
      <c r="F65" s="94" t="str">
        <f>IF(OR(R65=0,V65=0),"",INDEX('CAD_RESÍDUOS'!$G$6:$G$205,MATCH(C65,'CAD_RESÍDUOS'!$B$6:$B$205,0))&amp;"")</f>
        <v/>
      </c>
      <c r="G65" s="98" t="n"/>
      <c r="H65" s="91" t="n"/>
      <c r="I65" s="93" t="str">
        <f>IF(R65=0,"",IF(NOT(ISNUMBER(G65)),"",IF(ISNUMBER(X65),G65*X65,"UNIDADE A CONFERIR")))</f>
        <v/>
      </c>
      <c r="J65" s="91" t="n"/>
      <c r="K65" s="91" t="n"/>
      <c r="L65" s="93" t="str">
        <f>IF(R65=0,"",SUMIFS('RECEBIMENTOS'!$H$6:$H$1005,'RECEBIMENTOS'!$R$6:$R$1005,A65,'RECEBIMENTOS'!$X$6:$X$1005,1))</f>
        <v/>
      </c>
      <c r="M65" s="93" t="str">
        <f>IF(R65=0,"",SUMIFS('VÍNCULOS_CDF'!$H$6:$H$1005,'VÍNCULOS_CDF'!$R$6:$R$1005,A65,'VÍNCULOS_CDF'!$V$6:$V$1005,1))</f>
        <v/>
      </c>
      <c r="N65" s="99" t="str">
        <f>IF(OR(R65=0,AA65=0,NOT(ISNUMBER(I65))),"",I65-N(L65))</f>
        <v/>
      </c>
      <c r="O65" s="100" t="str">
        <f>IF(OR(R65=0,AK65&lt;=0),"",N(M65)/AK65)</f>
        <v/>
      </c>
      <c r="P65" s="94" t="str">
        <f>IF(R65=0,"",IF(S65="","Sem MTR associado",IF(U65=0,"MTR inexistente",IF(C65="","Resíduo não identificado",IF(V65=0,"Resíduo fora do cadastro",IF(W65=0,"Quantidade inválida",IF(H65="","Unidade não informada",IF(NOT(ISNUMBER(I65)),"Unidade a conferir",IF(AND(AH65=1,K65&lt;&gt;"Sim"),"Possível duplicidade",IF(Z65=1,"MTR cancelado",IF(AC65&gt;0,"Recebimento com alerta",IF(AA65=0,"Aguardando recebimento",IF(AB65&lt;AA65,"Recebimento a conferir",IF(AM65=1,"Quantidade a revisar",IF(AF65&gt;0,"Vínculo a revisar",IF(AD65=0,"Aguardando CDF",IF(AN65=0,"Vínculo de CDF parcial",IF(AE65&lt;AD65,"CDF a conferir","Documentação conferida"))))))))))))))))))</f>
        <v/>
      </c>
      <c r="Q65" s="93" t="str">
        <f>IF(OR(R65=0,AA65=0),"",MAX(0,N(L65)-N(M65)))</f>
        <v/>
      </c>
      <c r="R65" s="96">
        <f>IF(COUNTA(B65:C65,G65:H65,J65:K65)&gt;0,1,0)</f>
        <v>0</v>
      </c>
      <c r="S65" s="96" t="str">
        <f>IF(B65="","",TRIM(LEFT(B65,FIND(" |",B65&amp;" |")-1)))</f>
        <v/>
      </c>
      <c r="T65" s="96" t="str">
        <f>IF(S65="","",IFERROR(MATCH(S65,'MTRs'!$A$6:$A$505,0),""))</f>
        <v/>
      </c>
      <c r="U65" s="96">
        <f>IF(T65="",0,IF(INDEX('MTRs'!$Z$6:$Z$505,T65)=1,1,0))</f>
        <v>0</v>
      </c>
      <c r="V65" s="96">
        <f>IF(C65="",0,IF(ISNUMBER(MATCH(C65,'CAD_RESÍDUOS'!$B$6:$B$205,0)),1,0))</f>
        <v>0</v>
      </c>
      <c r="W65" s="96">
        <f>IF(AND(ISNUMBER(G65),G65&gt;0),1,0)</f>
        <v>0</v>
      </c>
      <c r="X65" s="96" t="str">
        <f>IF(H65="","",IFERROR(IF(ISNUMBER(INDEX(cfg_fac,MATCH(H65,cfg_units,0))),IF(INDEX(cfg_fac,MATCH(H65,cfg_units,0))&gt;0,INDEX(cfg_fac,MATCH(H65,cfg_units,0)),""),""),""))</f>
        <v/>
      </c>
      <c r="Y65" s="96">
        <f>IF(AND(W65=1,ISNUMBER(I65)),1,0)</f>
        <v>0</v>
      </c>
      <c r="Z65" s="96">
        <f>IF(U65=1,INDEX('MTRs'!$AA$6:$AA$505,T65),0)</f>
        <v>0</v>
      </c>
      <c r="AA65" s="96">
        <f>IF(R65=0,0,COUNTIFS('RECEBIMENTOS'!$R$6:$R$1005,A65,'RECEBIMENTOS'!$Q$6:$Q$1005,1))</f>
        <v>0</v>
      </c>
      <c r="AB65" s="96">
        <f>IF(R65=0,0,COUNTIFS('RECEBIMENTOS'!$R$6:$R$1005,A65,'RECEBIMENTOS'!$Z$6:$Z$1005,1))</f>
        <v>0</v>
      </c>
      <c r="AC65" s="96">
        <f>IF(R65=0,0,COUNTIFS('RECEBIMENTOS'!$R$6:$R$1005,A65,'RECEBIMENTOS'!$Y$6:$Y$1005,1))</f>
        <v>0</v>
      </c>
      <c r="AD65" s="96">
        <f>IF(R65=0,0,COUNTIFS('VÍNCULOS_CDF'!$R$6:$R$1005,A65,'VÍNCULOS_CDF'!$N$6:$N$1005,1))</f>
        <v>0</v>
      </c>
      <c r="AE65" s="96">
        <f>IF(R65=0,0,COUNTIFS('VÍNCULOS_CDF'!$R$6:$R$1005,A65,'VÍNCULOS_CDF'!$AA$6:$AA$1005,1))</f>
        <v>0</v>
      </c>
      <c r="AF65" s="96">
        <f>IF(R65=0,0,COUNTIFS('VÍNCULOS_CDF'!$R$6:$R$1005,A65,'VÍNCULOS_CDF'!$Y$6:$Y$1005,1))</f>
        <v>0</v>
      </c>
      <c r="AG65" s="96" t="str">
        <f>IF(AND(R65=1,S65&lt;&gt;"",C65&lt;&gt;""),S65&amp;"|"&amp;C65&amp;"|"&amp;G65&amp;"|"&amp;H65,"")</f>
        <v/>
      </c>
      <c r="AH65" s="96">
        <f>IF(AG65="",0,IF(SUMPRODUCT(--($AG$6:$AG$1005=AG65))&gt;1,1,0))</f>
        <v>0</v>
      </c>
      <c r="AI65" s="96">
        <f>IF(R65=0,0,IF(OR(U65=0,V65=0,Y65=0,AND(AH65=1,K65&lt;&gt;"Sim")),1,0))</f>
        <v>0</v>
      </c>
      <c r="AJ65" s="96">
        <f>IF(AND(R65=1,AA65&gt;0,AB65=AA65),1,0)</f>
        <v>0</v>
      </c>
      <c r="AK65" s="96">
        <f>IF(R65=0,0,IF(AA65&gt;0,N(L65),IF(ISNUMBER(I65),I65,0)))</f>
        <v>0</v>
      </c>
      <c r="AL65" s="96">
        <f>IF(R65=0,0,IF(AND(K65&lt;&gt;"Sim",N(M65)&gt;AK65+cfg_tol),1,0))</f>
        <v>0</v>
      </c>
      <c r="AM65" s="96">
        <f>IF(R65=0,0,IF(K65="Sim",0,IF(OR(AND(AA65&gt;0,ISNUMBER(I65),ABS(I65-N(L65))&gt;cfg_tol),AL65=1),1,0)))</f>
        <v>0</v>
      </c>
      <c r="AN65" s="96">
        <f>IF(AND(R65=1,N(M65)&gt;0,OR(N(M65)&gt;=AK65-cfg_tol,K65="Sim")),1,0)</f>
        <v>0</v>
      </c>
      <c r="AO65" s="96">
        <f>IF(AND(AN65=1,AD65&gt;0,AE65=AD65,AL65=0),1,0)</f>
        <v>0</v>
      </c>
      <c r="AP65" s="96">
        <f>IF(U65=0,0,IF(AND(INDEX('MTRs'!$AX$6:$AX$505,T65)=1,Z65=0,OR(f_res="",f_res="(Todos)",C65=f_res)),1,0))</f>
        <v>0</v>
      </c>
      <c r="AQ65" s="97" t="str">
        <f>IF(U65=0,"",INDEX('MTRs'!$AZ$6:$AZ$505,T65))</f>
        <v/>
      </c>
      <c r="AR65" s="96">
        <f>IF(U65=0,0,IF(AND(INDEX('MTRs'!$BA$6:$BA$505,T65)=1,Z65=0),1,0))</f>
        <v>0</v>
      </c>
      <c r="AS65" s="96" t="str">
        <f>IF(R65=1,A65&amp;" | MTR "&amp;IF(U65=1,INDEX('MTRs'!$B$6:$B$505,T65)&amp;"","?")&amp;" | "&amp;IF(C65="","(sem resíduo)",C65),"")</f>
        <v/>
      </c>
      <c r="AT65" s="96" t="str">
        <f>IF(R65=1,COUNTIF($R$6:R65,1),"")</f>
        <v/>
      </c>
      <c r="AU65" s="96" t="str">
        <f>IF(U65=1,INDEX('MTRs'!$I$6:$I$505,T65)&amp;"","")</f>
        <v/>
      </c>
    </row>
    <row r="66">
      <c r="A66" s="89" t="inlineStr">
        <is>
          <t>IT-000061</t>
        </is>
      </c>
      <c r="B66" s="91" t="n"/>
      <c r="C66" s="91" t="n"/>
      <c r="D66" s="94" t="str">
        <f>IF(OR(R66=0,V66=0),"",INDEX('CAD_RESÍDUOS'!$E$6:$E$205,MATCH(C66,'CAD_RESÍDUOS'!$B$6:$B$205,0))&amp;"")</f>
        <v/>
      </c>
      <c r="E66" s="94" t="str">
        <f>IF(OR(R66=0,V66=0),"",INDEX('CAD_RESÍDUOS'!$C$6:$C$205,MATCH(C66,'CAD_RESÍDUOS'!$B$6:$B$205,0))&amp;"")</f>
        <v/>
      </c>
      <c r="F66" s="94" t="str">
        <f>IF(OR(R66=0,V66=0),"",INDEX('CAD_RESÍDUOS'!$G$6:$G$205,MATCH(C66,'CAD_RESÍDUOS'!$B$6:$B$205,0))&amp;"")</f>
        <v/>
      </c>
      <c r="G66" s="98" t="n"/>
      <c r="H66" s="91" t="n"/>
      <c r="I66" s="93" t="str">
        <f>IF(R66=0,"",IF(NOT(ISNUMBER(G66)),"",IF(ISNUMBER(X66),G66*X66,"UNIDADE A CONFERIR")))</f>
        <v/>
      </c>
      <c r="J66" s="91" t="n"/>
      <c r="K66" s="91" t="n"/>
      <c r="L66" s="93" t="str">
        <f>IF(R66=0,"",SUMIFS('RECEBIMENTOS'!$H$6:$H$1005,'RECEBIMENTOS'!$R$6:$R$1005,A66,'RECEBIMENTOS'!$X$6:$X$1005,1))</f>
        <v/>
      </c>
      <c r="M66" s="93" t="str">
        <f>IF(R66=0,"",SUMIFS('VÍNCULOS_CDF'!$H$6:$H$1005,'VÍNCULOS_CDF'!$R$6:$R$1005,A66,'VÍNCULOS_CDF'!$V$6:$V$1005,1))</f>
        <v/>
      </c>
      <c r="N66" s="99" t="str">
        <f>IF(OR(R66=0,AA66=0,NOT(ISNUMBER(I66))),"",I66-N(L66))</f>
        <v/>
      </c>
      <c r="O66" s="100" t="str">
        <f>IF(OR(R66=0,AK66&lt;=0),"",N(M66)/AK66)</f>
        <v/>
      </c>
      <c r="P66" s="94" t="str">
        <f>IF(R66=0,"",IF(S66="","Sem MTR associado",IF(U66=0,"MTR inexistente",IF(C66="","Resíduo não identificado",IF(V66=0,"Resíduo fora do cadastro",IF(W66=0,"Quantidade inválida",IF(H66="","Unidade não informada",IF(NOT(ISNUMBER(I66)),"Unidade a conferir",IF(AND(AH66=1,K66&lt;&gt;"Sim"),"Possível duplicidade",IF(Z66=1,"MTR cancelado",IF(AC66&gt;0,"Recebimento com alerta",IF(AA66=0,"Aguardando recebimento",IF(AB66&lt;AA66,"Recebimento a conferir",IF(AM66=1,"Quantidade a revisar",IF(AF66&gt;0,"Vínculo a revisar",IF(AD66=0,"Aguardando CDF",IF(AN66=0,"Vínculo de CDF parcial",IF(AE66&lt;AD66,"CDF a conferir","Documentação conferida"))))))))))))))))))</f>
        <v/>
      </c>
      <c r="Q66" s="93" t="str">
        <f>IF(OR(R66=0,AA66=0),"",MAX(0,N(L66)-N(M66)))</f>
        <v/>
      </c>
      <c r="R66" s="96">
        <f>IF(COUNTA(B66:C66,G66:H66,J66:K66)&gt;0,1,0)</f>
        <v>0</v>
      </c>
      <c r="S66" s="96" t="str">
        <f>IF(B66="","",TRIM(LEFT(B66,FIND(" |",B66&amp;" |")-1)))</f>
        <v/>
      </c>
      <c r="T66" s="96" t="str">
        <f>IF(S66="","",IFERROR(MATCH(S66,'MTRs'!$A$6:$A$505,0),""))</f>
        <v/>
      </c>
      <c r="U66" s="96">
        <f>IF(T66="",0,IF(INDEX('MTRs'!$Z$6:$Z$505,T66)=1,1,0))</f>
        <v>0</v>
      </c>
      <c r="V66" s="96">
        <f>IF(C66="",0,IF(ISNUMBER(MATCH(C66,'CAD_RESÍDUOS'!$B$6:$B$205,0)),1,0))</f>
        <v>0</v>
      </c>
      <c r="W66" s="96">
        <f>IF(AND(ISNUMBER(G66),G66&gt;0),1,0)</f>
        <v>0</v>
      </c>
      <c r="X66" s="96" t="str">
        <f>IF(H66="","",IFERROR(IF(ISNUMBER(INDEX(cfg_fac,MATCH(H66,cfg_units,0))),IF(INDEX(cfg_fac,MATCH(H66,cfg_units,0))&gt;0,INDEX(cfg_fac,MATCH(H66,cfg_units,0)),""),""),""))</f>
        <v/>
      </c>
      <c r="Y66" s="96">
        <f>IF(AND(W66=1,ISNUMBER(I66)),1,0)</f>
        <v>0</v>
      </c>
      <c r="Z66" s="96">
        <f>IF(U66=1,INDEX('MTRs'!$AA$6:$AA$505,T66),0)</f>
        <v>0</v>
      </c>
      <c r="AA66" s="96">
        <f>IF(R66=0,0,COUNTIFS('RECEBIMENTOS'!$R$6:$R$1005,A66,'RECEBIMENTOS'!$Q$6:$Q$1005,1))</f>
        <v>0</v>
      </c>
      <c r="AB66" s="96">
        <f>IF(R66=0,0,COUNTIFS('RECEBIMENTOS'!$R$6:$R$1005,A66,'RECEBIMENTOS'!$Z$6:$Z$1005,1))</f>
        <v>0</v>
      </c>
      <c r="AC66" s="96">
        <f>IF(R66=0,0,COUNTIFS('RECEBIMENTOS'!$R$6:$R$1005,A66,'RECEBIMENTOS'!$Y$6:$Y$1005,1))</f>
        <v>0</v>
      </c>
      <c r="AD66" s="96">
        <f>IF(R66=0,0,COUNTIFS('VÍNCULOS_CDF'!$R$6:$R$1005,A66,'VÍNCULOS_CDF'!$N$6:$N$1005,1))</f>
        <v>0</v>
      </c>
      <c r="AE66" s="96">
        <f>IF(R66=0,0,COUNTIFS('VÍNCULOS_CDF'!$R$6:$R$1005,A66,'VÍNCULOS_CDF'!$AA$6:$AA$1005,1))</f>
        <v>0</v>
      </c>
      <c r="AF66" s="96">
        <f>IF(R66=0,0,COUNTIFS('VÍNCULOS_CDF'!$R$6:$R$1005,A66,'VÍNCULOS_CDF'!$Y$6:$Y$1005,1))</f>
        <v>0</v>
      </c>
      <c r="AG66" s="96" t="str">
        <f>IF(AND(R66=1,S66&lt;&gt;"",C66&lt;&gt;""),S66&amp;"|"&amp;C66&amp;"|"&amp;G66&amp;"|"&amp;H66,"")</f>
        <v/>
      </c>
      <c r="AH66" s="96">
        <f>IF(AG66="",0,IF(SUMPRODUCT(--($AG$6:$AG$1005=AG66))&gt;1,1,0))</f>
        <v>0</v>
      </c>
      <c r="AI66" s="96">
        <f>IF(R66=0,0,IF(OR(U66=0,V66=0,Y66=0,AND(AH66=1,K66&lt;&gt;"Sim")),1,0))</f>
        <v>0</v>
      </c>
      <c r="AJ66" s="96">
        <f>IF(AND(R66=1,AA66&gt;0,AB66=AA66),1,0)</f>
        <v>0</v>
      </c>
      <c r="AK66" s="96">
        <f>IF(R66=0,0,IF(AA66&gt;0,N(L66),IF(ISNUMBER(I66),I66,0)))</f>
        <v>0</v>
      </c>
      <c r="AL66" s="96">
        <f>IF(R66=0,0,IF(AND(K66&lt;&gt;"Sim",N(M66)&gt;AK66+cfg_tol),1,0))</f>
        <v>0</v>
      </c>
      <c r="AM66" s="96">
        <f>IF(R66=0,0,IF(K66="Sim",0,IF(OR(AND(AA66&gt;0,ISNUMBER(I66),ABS(I66-N(L66))&gt;cfg_tol),AL66=1),1,0)))</f>
        <v>0</v>
      </c>
      <c r="AN66" s="96">
        <f>IF(AND(R66=1,N(M66)&gt;0,OR(N(M66)&gt;=AK66-cfg_tol,K66="Sim")),1,0)</f>
        <v>0</v>
      </c>
      <c r="AO66" s="96">
        <f>IF(AND(AN66=1,AD66&gt;0,AE66=AD66,AL66=0),1,0)</f>
        <v>0</v>
      </c>
      <c r="AP66" s="96">
        <f>IF(U66=0,0,IF(AND(INDEX('MTRs'!$AX$6:$AX$505,T66)=1,Z66=0,OR(f_res="",f_res="(Todos)",C66=f_res)),1,0))</f>
        <v>0</v>
      </c>
      <c r="AQ66" s="97" t="str">
        <f>IF(U66=0,"",INDEX('MTRs'!$AZ$6:$AZ$505,T66))</f>
        <v/>
      </c>
      <c r="AR66" s="96">
        <f>IF(U66=0,0,IF(AND(INDEX('MTRs'!$BA$6:$BA$505,T66)=1,Z66=0),1,0))</f>
        <v>0</v>
      </c>
      <c r="AS66" s="96" t="str">
        <f>IF(R66=1,A66&amp;" | MTR "&amp;IF(U66=1,INDEX('MTRs'!$B$6:$B$505,T66)&amp;"","?")&amp;" | "&amp;IF(C66="","(sem resíduo)",C66),"")</f>
        <v/>
      </c>
      <c r="AT66" s="96" t="str">
        <f>IF(R66=1,COUNTIF($R$6:R66,1),"")</f>
        <v/>
      </c>
      <c r="AU66" s="96" t="str">
        <f>IF(U66=1,INDEX('MTRs'!$I$6:$I$505,T66)&amp;"","")</f>
        <v/>
      </c>
    </row>
    <row r="67">
      <c r="A67" s="89" t="inlineStr">
        <is>
          <t>IT-000062</t>
        </is>
      </c>
      <c r="B67" s="91" t="n"/>
      <c r="C67" s="91" t="n"/>
      <c r="D67" s="94" t="str">
        <f>IF(OR(R67=0,V67=0),"",INDEX('CAD_RESÍDUOS'!$E$6:$E$205,MATCH(C67,'CAD_RESÍDUOS'!$B$6:$B$205,0))&amp;"")</f>
        <v/>
      </c>
      <c r="E67" s="94" t="str">
        <f>IF(OR(R67=0,V67=0),"",INDEX('CAD_RESÍDUOS'!$C$6:$C$205,MATCH(C67,'CAD_RESÍDUOS'!$B$6:$B$205,0))&amp;"")</f>
        <v/>
      </c>
      <c r="F67" s="94" t="str">
        <f>IF(OR(R67=0,V67=0),"",INDEX('CAD_RESÍDUOS'!$G$6:$G$205,MATCH(C67,'CAD_RESÍDUOS'!$B$6:$B$205,0))&amp;"")</f>
        <v/>
      </c>
      <c r="G67" s="98" t="n"/>
      <c r="H67" s="91" t="n"/>
      <c r="I67" s="93" t="str">
        <f>IF(R67=0,"",IF(NOT(ISNUMBER(G67)),"",IF(ISNUMBER(X67),G67*X67,"UNIDADE A CONFERIR")))</f>
        <v/>
      </c>
      <c r="J67" s="91" t="n"/>
      <c r="K67" s="91" t="n"/>
      <c r="L67" s="93" t="str">
        <f>IF(R67=0,"",SUMIFS('RECEBIMENTOS'!$H$6:$H$1005,'RECEBIMENTOS'!$R$6:$R$1005,A67,'RECEBIMENTOS'!$X$6:$X$1005,1))</f>
        <v/>
      </c>
      <c r="M67" s="93" t="str">
        <f>IF(R67=0,"",SUMIFS('VÍNCULOS_CDF'!$H$6:$H$1005,'VÍNCULOS_CDF'!$R$6:$R$1005,A67,'VÍNCULOS_CDF'!$V$6:$V$1005,1))</f>
        <v/>
      </c>
      <c r="N67" s="99" t="str">
        <f>IF(OR(R67=0,AA67=0,NOT(ISNUMBER(I67))),"",I67-N(L67))</f>
        <v/>
      </c>
      <c r="O67" s="100" t="str">
        <f>IF(OR(R67=0,AK67&lt;=0),"",N(M67)/AK67)</f>
        <v/>
      </c>
      <c r="P67" s="94" t="str">
        <f>IF(R67=0,"",IF(S67="","Sem MTR associado",IF(U67=0,"MTR inexistente",IF(C67="","Resíduo não identificado",IF(V67=0,"Resíduo fora do cadastro",IF(W67=0,"Quantidade inválida",IF(H67="","Unidade não informada",IF(NOT(ISNUMBER(I67)),"Unidade a conferir",IF(AND(AH67=1,K67&lt;&gt;"Sim"),"Possível duplicidade",IF(Z67=1,"MTR cancelado",IF(AC67&gt;0,"Recebimento com alerta",IF(AA67=0,"Aguardando recebimento",IF(AB67&lt;AA67,"Recebimento a conferir",IF(AM67=1,"Quantidade a revisar",IF(AF67&gt;0,"Vínculo a revisar",IF(AD67=0,"Aguardando CDF",IF(AN67=0,"Vínculo de CDF parcial",IF(AE67&lt;AD67,"CDF a conferir","Documentação conferida"))))))))))))))))))</f>
        <v/>
      </c>
      <c r="Q67" s="93" t="str">
        <f>IF(OR(R67=0,AA67=0),"",MAX(0,N(L67)-N(M67)))</f>
        <v/>
      </c>
      <c r="R67" s="96">
        <f>IF(COUNTA(B67:C67,G67:H67,J67:K67)&gt;0,1,0)</f>
        <v>0</v>
      </c>
      <c r="S67" s="96" t="str">
        <f>IF(B67="","",TRIM(LEFT(B67,FIND(" |",B67&amp;" |")-1)))</f>
        <v/>
      </c>
      <c r="T67" s="96" t="str">
        <f>IF(S67="","",IFERROR(MATCH(S67,'MTRs'!$A$6:$A$505,0),""))</f>
        <v/>
      </c>
      <c r="U67" s="96">
        <f>IF(T67="",0,IF(INDEX('MTRs'!$Z$6:$Z$505,T67)=1,1,0))</f>
        <v>0</v>
      </c>
      <c r="V67" s="96">
        <f>IF(C67="",0,IF(ISNUMBER(MATCH(C67,'CAD_RESÍDUOS'!$B$6:$B$205,0)),1,0))</f>
        <v>0</v>
      </c>
      <c r="W67" s="96">
        <f>IF(AND(ISNUMBER(G67),G67&gt;0),1,0)</f>
        <v>0</v>
      </c>
      <c r="X67" s="96" t="str">
        <f>IF(H67="","",IFERROR(IF(ISNUMBER(INDEX(cfg_fac,MATCH(H67,cfg_units,0))),IF(INDEX(cfg_fac,MATCH(H67,cfg_units,0))&gt;0,INDEX(cfg_fac,MATCH(H67,cfg_units,0)),""),""),""))</f>
        <v/>
      </c>
      <c r="Y67" s="96">
        <f>IF(AND(W67=1,ISNUMBER(I67)),1,0)</f>
        <v>0</v>
      </c>
      <c r="Z67" s="96">
        <f>IF(U67=1,INDEX('MTRs'!$AA$6:$AA$505,T67),0)</f>
        <v>0</v>
      </c>
      <c r="AA67" s="96">
        <f>IF(R67=0,0,COUNTIFS('RECEBIMENTOS'!$R$6:$R$1005,A67,'RECEBIMENTOS'!$Q$6:$Q$1005,1))</f>
        <v>0</v>
      </c>
      <c r="AB67" s="96">
        <f>IF(R67=0,0,COUNTIFS('RECEBIMENTOS'!$R$6:$R$1005,A67,'RECEBIMENTOS'!$Z$6:$Z$1005,1))</f>
        <v>0</v>
      </c>
      <c r="AC67" s="96">
        <f>IF(R67=0,0,COUNTIFS('RECEBIMENTOS'!$R$6:$R$1005,A67,'RECEBIMENTOS'!$Y$6:$Y$1005,1))</f>
        <v>0</v>
      </c>
      <c r="AD67" s="96">
        <f>IF(R67=0,0,COUNTIFS('VÍNCULOS_CDF'!$R$6:$R$1005,A67,'VÍNCULOS_CDF'!$N$6:$N$1005,1))</f>
        <v>0</v>
      </c>
      <c r="AE67" s="96">
        <f>IF(R67=0,0,COUNTIFS('VÍNCULOS_CDF'!$R$6:$R$1005,A67,'VÍNCULOS_CDF'!$AA$6:$AA$1005,1))</f>
        <v>0</v>
      </c>
      <c r="AF67" s="96">
        <f>IF(R67=0,0,COUNTIFS('VÍNCULOS_CDF'!$R$6:$R$1005,A67,'VÍNCULOS_CDF'!$Y$6:$Y$1005,1))</f>
        <v>0</v>
      </c>
      <c r="AG67" s="96" t="str">
        <f>IF(AND(R67=1,S67&lt;&gt;"",C67&lt;&gt;""),S67&amp;"|"&amp;C67&amp;"|"&amp;G67&amp;"|"&amp;H67,"")</f>
        <v/>
      </c>
      <c r="AH67" s="96">
        <f>IF(AG67="",0,IF(SUMPRODUCT(--($AG$6:$AG$1005=AG67))&gt;1,1,0))</f>
        <v>0</v>
      </c>
      <c r="AI67" s="96">
        <f>IF(R67=0,0,IF(OR(U67=0,V67=0,Y67=0,AND(AH67=1,K67&lt;&gt;"Sim")),1,0))</f>
        <v>0</v>
      </c>
      <c r="AJ67" s="96">
        <f>IF(AND(R67=1,AA67&gt;0,AB67=AA67),1,0)</f>
        <v>0</v>
      </c>
      <c r="AK67" s="96">
        <f>IF(R67=0,0,IF(AA67&gt;0,N(L67),IF(ISNUMBER(I67),I67,0)))</f>
        <v>0</v>
      </c>
      <c r="AL67" s="96">
        <f>IF(R67=0,0,IF(AND(K67&lt;&gt;"Sim",N(M67)&gt;AK67+cfg_tol),1,0))</f>
        <v>0</v>
      </c>
      <c r="AM67" s="96">
        <f>IF(R67=0,0,IF(K67="Sim",0,IF(OR(AND(AA67&gt;0,ISNUMBER(I67),ABS(I67-N(L67))&gt;cfg_tol),AL67=1),1,0)))</f>
        <v>0</v>
      </c>
      <c r="AN67" s="96">
        <f>IF(AND(R67=1,N(M67)&gt;0,OR(N(M67)&gt;=AK67-cfg_tol,K67="Sim")),1,0)</f>
        <v>0</v>
      </c>
      <c r="AO67" s="96">
        <f>IF(AND(AN67=1,AD67&gt;0,AE67=AD67,AL67=0),1,0)</f>
        <v>0</v>
      </c>
      <c r="AP67" s="96">
        <f>IF(U67=0,0,IF(AND(INDEX('MTRs'!$AX$6:$AX$505,T67)=1,Z67=0,OR(f_res="",f_res="(Todos)",C67=f_res)),1,0))</f>
        <v>0</v>
      </c>
      <c r="AQ67" s="97" t="str">
        <f>IF(U67=0,"",INDEX('MTRs'!$AZ$6:$AZ$505,T67))</f>
        <v/>
      </c>
      <c r="AR67" s="96">
        <f>IF(U67=0,0,IF(AND(INDEX('MTRs'!$BA$6:$BA$505,T67)=1,Z67=0),1,0))</f>
        <v>0</v>
      </c>
      <c r="AS67" s="96" t="str">
        <f>IF(R67=1,A67&amp;" | MTR "&amp;IF(U67=1,INDEX('MTRs'!$B$6:$B$505,T67)&amp;"","?")&amp;" | "&amp;IF(C67="","(sem resíduo)",C67),"")</f>
        <v/>
      </c>
      <c r="AT67" s="96" t="str">
        <f>IF(R67=1,COUNTIF($R$6:R67,1),"")</f>
        <v/>
      </c>
      <c r="AU67" s="96" t="str">
        <f>IF(U67=1,INDEX('MTRs'!$I$6:$I$505,T67)&amp;"","")</f>
        <v/>
      </c>
    </row>
    <row r="68">
      <c r="A68" s="89" t="inlineStr">
        <is>
          <t>IT-000063</t>
        </is>
      </c>
      <c r="B68" s="91" t="n"/>
      <c r="C68" s="91" t="n"/>
      <c r="D68" s="94" t="str">
        <f>IF(OR(R68=0,V68=0),"",INDEX('CAD_RESÍDUOS'!$E$6:$E$205,MATCH(C68,'CAD_RESÍDUOS'!$B$6:$B$205,0))&amp;"")</f>
        <v/>
      </c>
      <c r="E68" s="94" t="str">
        <f>IF(OR(R68=0,V68=0),"",INDEX('CAD_RESÍDUOS'!$C$6:$C$205,MATCH(C68,'CAD_RESÍDUOS'!$B$6:$B$205,0))&amp;"")</f>
        <v/>
      </c>
      <c r="F68" s="94" t="str">
        <f>IF(OR(R68=0,V68=0),"",INDEX('CAD_RESÍDUOS'!$G$6:$G$205,MATCH(C68,'CAD_RESÍDUOS'!$B$6:$B$205,0))&amp;"")</f>
        <v/>
      </c>
      <c r="G68" s="98" t="n"/>
      <c r="H68" s="91" t="n"/>
      <c r="I68" s="93" t="str">
        <f>IF(R68=0,"",IF(NOT(ISNUMBER(G68)),"",IF(ISNUMBER(X68),G68*X68,"UNIDADE A CONFERIR")))</f>
        <v/>
      </c>
      <c r="J68" s="91" t="n"/>
      <c r="K68" s="91" t="n"/>
      <c r="L68" s="93" t="str">
        <f>IF(R68=0,"",SUMIFS('RECEBIMENTOS'!$H$6:$H$1005,'RECEBIMENTOS'!$R$6:$R$1005,A68,'RECEBIMENTOS'!$X$6:$X$1005,1))</f>
        <v/>
      </c>
      <c r="M68" s="93" t="str">
        <f>IF(R68=0,"",SUMIFS('VÍNCULOS_CDF'!$H$6:$H$1005,'VÍNCULOS_CDF'!$R$6:$R$1005,A68,'VÍNCULOS_CDF'!$V$6:$V$1005,1))</f>
        <v/>
      </c>
      <c r="N68" s="99" t="str">
        <f>IF(OR(R68=0,AA68=0,NOT(ISNUMBER(I68))),"",I68-N(L68))</f>
        <v/>
      </c>
      <c r="O68" s="100" t="str">
        <f>IF(OR(R68=0,AK68&lt;=0),"",N(M68)/AK68)</f>
        <v/>
      </c>
      <c r="P68" s="94" t="str">
        <f>IF(R68=0,"",IF(S68="","Sem MTR associado",IF(U68=0,"MTR inexistente",IF(C68="","Resíduo não identificado",IF(V68=0,"Resíduo fora do cadastro",IF(W68=0,"Quantidade inválida",IF(H68="","Unidade não informada",IF(NOT(ISNUMBER(I68)),"Unidade a conferir",IF(AND(AH68=1,K68&lt;&gt;"Sim"),"Possível duplicidade",IF(Z68=1,"MTR cancelado",IF(AC68&gt;0,"Recebimento com alerta",IF(AA68=0,"Aguardando recebimento",IF(AB68&lt;AA68,"Recebimento a conferir",IF(AM68=1,"Quantidade a revisar",IF(AF68&gt;0,"Vínculo a revisar",IF(AD68=0,"Aguardando CDF",IF(AN68=0,"Vínculo de CDF parcial",IF(AE68&lt;AD68,"CDF a conferir","Documentação conferida"))))))))))))))))))</f>
        <v/>
      </c>
      <c r="Q68" s="93" t="str">
        <f>IF(OR(R68=0,AA68=0),"",MAX(0,N(L68)-N(M68)))</f>
        <v/>
      </c>
      <c r="R68" s="96">
        <f>IF(COUNTA(B68:C68,G68:H68,J68:K68)&gt;0,1,0)</f>
        <v>0</v>
      </c>
      <c r="S68" s="96" t="str">
        <f>IF(B68="","",TRIM(LEFT(B68,FIND(" |",B68&amp;" |")-1)))</f>
        <v/>
      </c>
      <c r="T68" s="96" t="str">
        <f>IF(S68="","",IFERROR(MATCH(S68,'MTRs'!$A$6:$A$505,0),""))</f>
        <v/>
      </c>
      <c r="U68" s="96">
        <f>IF(T68="",0,IF(INDEX('MTRs'!$Z$6:$Z$505,T68)=1,1,0))</f>
        <v>0</v>
      </c>
      <c r="V68" s="96">
        <f>IF(C68="",0,IF(ISNUMBER(MATCH(C68,'CAD_RESÍDUOS'!$B$6:$B$205,0)),1,0))</f>
        <v>0</v>
      </c>
      <c r="W68" s="96">
        <f>IF(AND(ISNUMBER(G68),G68&gt;0),1,0)</f>
        <v>0</v>
      </c>
      <c r="X68" s="96" t="str">
        <f>IF(H68="","",IFERROR(IF(ISNUMBER(INDEX(cfg_fac,MATCH(H68,cfg_units,0))),IF(INDEX(cfg_fac,MATCH(H68,cfg_units,0))&gt;0,INDEX(cfg_fac,MATCH(H68,cfg_units,0)),""),""),""))</f>
        <v/>
      </c>
      <c r="Y68" s="96">
        <f>IF(AND(W68=1,ISNUMBER(I68)),1,0)</f>
        <v>0</v>
      </c>
      <c r="Z68" s="96">
        <f>IF(U68=1,INDEX('MTRs'!$AA$6:$AA$505,T68),0)</f>
        <v>0</v>
      </c>
      <c r="AA68" s="96">
        <f>IF(R68=0,0,COUNTIFS('RECEBIMENTOS'!$R$6:$R$1005,A68,'RECEBIMENTOS'!$Q$6:$Q$1005,1))</f>
        <v>0</v>
      </c>
      <c r="AB68" s="96">
        <f>IF(R68=0,0,COUNTIFS('RECEBIMENTOS'!$R$6:$R$1005,A68,'RECEBIMENTOS'!$Z$6:$Z$1005,1))</f>
        <v>0</v>
      </c>
      <c r="AC68" s="96">
        <f>IF(R68=0,0,COUNTIFS('RECEBIMENTOS'!$R$6:$R$1005,A68,'RECEBIMENTOS'!$Y$6:$Y$1005,1))</f>
        <v>0</v>
      </c>
      <c r="AD68" s="96">
        <f>IF(R68=0,0,COUNTIFS('VÍNCULOS_CDF'!$R$6:$R$1005,A68,'VÍNCULOS_CDF'!$N$6:$N$1005,1))</f>
        <v>0</v>
      </c>
      <c r="AE68" s="96">
        <f>IF(R68=0,0,COUNTIFS('VÍNCULOS_CDF'!$R$6:$R$1005,A68,'VÍNCULOS_CDF'!$AA$6:$AA$1005,1))</f>
        <v>0</v>
      </c>
      <c r="AF68" s="96">
        <f>IF(R68=0,0,COUNTIFS('VÍNCULOS_CDF'!$R$6:$R$1005,A68,'VÍNCULOS_CDF'!$Y$6:$Y$1005,1))</f>
        <v>0</v>
      </c>
      <c r="AG68" s="96" t="str">
        <f>IF(AND(R68=1,S68&lt;&gt;"",C68&lt;&gt;""),S68&amp;"|"&amp;C68&amp;"|"&amp;G68&amp;"|"&amp;H68,"")</f>
        <v/>
      </c>
      <c r="AH68" s="96">
        <f>IF(AG68="",0,IF(SUMPRODUCT(--($AG$6:$AG$1005=AG68))&gt;1,1,0))</f>
        <v>0</v>
      </c>
      <c r="AI68" s="96">
        <f>IF(R68=0,0,IF(OR(U68=0,V68=0,Y68=0,AND(AH68=1,K68&lt;&gt;"Sim")),1,0))</f>
        <v>0</v>
      </c>
      <c r="AJ68" s="96">
        <f>IF(AND(R68=1,AA68&gt;0,AB68=AA68),1,0)</f>
        <v>0</v>
      </c>
      <c r="AK68" s="96">
        <f>IF(R68=0,0,IF(AA68&gt;0,N(L68),IF(ISNUMBER(I68),I68,0)))</f>
        <v>0</v>
      </c>
      <c r="AL68" s="96">
        <f>IF(R68=0,0,IF(AND(K68&lt;&gt;"Sim",N(M68)&gt;AK68+cfg_tol),1,0))</f>
        <v>0</v>
      </c>
      <c r="AM68" s="96">
        <f>IF(R68=0,0,IF(K68="Sim",0,IF(OR(AND(AA68&gt;0,ISNUMBER(I68),ABS(I68-N(L68))&gt;cfg_tol),AL68=1),1,0)))</f>
        <v>0</v>
      </c>
      <c r="AN68" s="96">
        <f>IF(AND(R68=1,N(M68)&gt;0,OR(N(M68)&gt;=AK68-cfg_tol,K68="Sim")),1,0)</f>
        <v>0</v>
      </c>
      <c r="AO68" s="96">
        <f>IF(AND(AN68=1,AD68&gt;0,AE68=AD68,AL68=0),1,0)</f>
        <v>0</v>
      </c>
      <c r="AP68" s="96">
        <f>IF(U68=0,0,IF(AND(INDEX('MTRs'!$AX$6:$AX$505,T68)=1,Z68=0,OR(f_res="",f_res="(Todos)",C68=f_res)),1,0))</f>
        <v>0</v>
      </c>
      <c r="AQ68" s="97" t="str">
        <f>IF(U68=0,"",INDEX('MTRs'!$AZ$6:$AZ$505,T68))</f>
        <v/>
      </c>
      <c r="AR68" s="96">
        <f>IF(U68=0,0,IF(AND(INDEX('MTRs'!$BA$6:$BA$505,T68)=1,Z68=0),1,0))</f>
        <v>0</v>
      </c>
      <c r="AS68" s="96" t="str">
        <f>IF(R68=1,A68&amp;" | MTR "&amp;IF(U68=1,INDEX('MTRs'!$B$6:$B$505,T68)&amp;"","?")&amp;" | "&amp;IF(C68="","(sem resíduo)",C68),"")</f>
        <v/>
      </c>
      <c r="AT68" s="96" t="str">
        <f>IF(R68=1,COUNTIF($R$6:R68,1),"")</f>
        <v/>
      </c>
      <c r="AU68" s="96" t="str">
        <f>IF(U68=1,INDEX('MTRs'!$I$6:$I$505,T68)&amp;"","")</f>
        <v/>
      </c>
    </row>
    <row r="69">
      <c r="A69" s="89" t="inlineStr">
        <is>
          <t>IT-000064</t>
        </is>
      </c>
      <c r="B69" s="91" t="n"/>
      <c r="C69" s="91" t="n"/>
      <c r="D69" s="94" t="str">
        <f>IF(OR(R69=0,V69=0),"",INDEX('CAD_RESÍDUOS'!$E$6:$E$205,MATCH(C69,'CAD_RESÍDUOS'!$B$6:$B$205,0))&amp;"")</f>
        <v/>
      </c>
      <c r="E69" s="94" t="str">
        <f>IF(OR(R69=0,V69=0),"",INDEX('CAD_RESÍDUOS'!$C$6:$C$205,MATCH(C69,'CAD_RESÍDUOS'!$B$6:$B$205,0))&amp;"")</f>
        <v/>
      </c>
      <c r="F69" s="94" t="str">
        <f>IF(OR(R69=0,V69=0),"",INDEX('CAD_RESÍDUOS'!$G$6:$G$205,MATCH(C69,'CAD_RESÍDUOS'!$B$6:$B$205,0))&amp;"")</f>
        <v/>
      </c>
      <c r="G69" s="98" t="n"/>
      <c r="H69" s="91" t="n"/>
      <c r="I69" s="93" t="str">
        <f>IF(R69=0,"",IF(NOT(ISNUMBER(G69)),"",IF(ISNUMBER(X69),G69*X69,"UNIDADE A CONFERIR")))</f>
        <v/>
      </c>
      <c r="J69" s="91" t="n"/>
      <c r="K69" s="91" t="n"/>
      <c r="L69" s="93" t="str">
        <f>IF(R69=0,"",SUMIFS('RECEBIMENTOS'!$H$6:$H$1005,'RECEBIMENTOS'!$R$6:$R$1005,A69,'RECEBIMENTOS'!$X$6:$X$1005,1))</f>
        <v/>
      </c>
      <c r="M69" s="93" t="str">
        <f>IF(R69=0,"",SUMIFS('VÍNCULOS_CDF'!$H$6:$H$1005,'VÍNCULOS_CDF'!$R$6:$R$1005,A69,'VÍNCULOS_CDF'!$V$6:$V$1005,1))</f>
        <v/>
      </c>
      <c r="N69" s="99" t="str">
        <f>IF(OR(R69=0,AA69=0,NOT(ISNUMBER(I69))),"",I69-N(L69))</f>
        <v/>
      </c>
      <c r="O69" s="100" t="str">
        <f>IF(OR(R69=0,AK69&lt;=0),"",N(M69)/AK69)</f>
        <v/>
      </c>
      <c r="P69" s="94" t="str">
        <f>IF(R69=0,"",IF(S69="","Sem MTR associado",IF(U69=0,"MTR inexistente",IF(C69="","Resíduo não identificado",IF(V69=0,"Resíduo fora do cadastro",IF(W69=0,"Quantidade inválida",IF(H69="","Unidade não informada",IF(NOT(ISNUMBER(I69)),"Unidade a conferir",IF(AND(AH69=1,K69&lt;&gt;"Sim"),"Possível duplicidade",IF(Z69=1,"MTR cancelado",IF(AC69&gt;0,"Recebimento com alerta",IF(AA69=0,"Aguardando recebimento",IF(AB69&lt;AA69,"Recebimento a conferir",IF(AM69=1,"Quantidade a revisar",IF(AF69&gt;0,"Vínculo a revisar",IF(AD69=0,"Aguardando CDF",IF(AN69=0,"Vínculo de CDF parcial",IF(AE69&lt;AD69,"CDF a conferir","Documentação conferida"))))))))))))))))))</f>
        <v/>
      </c>
      <c r="Q69" s="93" t="str">
        <f>IF(OR(R69=0,AA69=0),"",MAX(0,N(L69)-N(M69)))</f>
        <v/>
      </c>
      <c r="R69" s="96">
        <f>IF(COUNTA(B69:C69,G69:H69,J69:K69)&gt;0,1,0)</f>
        <v>0</v>
      </c>
      <c r="S69" s="96" t="str">
        <f>IF(B69="","",TRIM(LEFT(B69,FIND(" |",B69&amp;" |")-1)))</f>
        <v/>
      </c>
      <c r="T69" s="96" t="str">
        <f>IF(S69="","",IFERROR(MATCH(S69,'MTRs'!$A$6:$A$505,0),""))</f>
        <v/>
      </c>
      <c r="U69" s="96">
        <f>IF(T69="",0,IF(INDEX('MTRs'!$Z$6:$Z$505,T69)=1,1,0))</f>
        <v>0</v>
      </c>
      <c r="V69" s="96">
        <f>IF(C69="",0,IF(ISNUMBER(MATCH(C69,'CAD_RESÍDUOS'!$B$6:$B$205,0)),1,0))</f>
        <v>0</v>
      </c>
      <c r="W69" s="96">
        <f>IF(AND(ISNUMBER(G69),G69&gt;0),1,0)</f>
        <v>0</v>
      </c>
      <c r="X69" s="96" t="str">
        <f>IF(H69="","",IFERROR(IF(ISNUMBER(INDEX(cfg_fac,MATCH(H69,cfg_units,0))),IF(INDEX(cfg_fac,MATCH(H69,cfg_units,0))&gt;0,INDEX(cfg_fac,MATCH(H69,cfg_units,0)),""),""),""))</f>
        <v/>
      </c>
      <c r="Y69" s="96">
        <f>IF(AND(W69=1,ISNUMBER(I69)),1,0)</f>
        <v>0</v>
      </c>
      <c r="Z69" s="96">
        <f>IF(U69=1,INDEX('MTRs'!$AA$6:$AA$505,T69),0)</f>
        <v>0</v>
      </c>
      <c r="AA69" s="96">
        <f>IF(R69=0,0,COUNTIFS('RECEBIMENTOS'!$R$6:$R$1005,A69,'RECEBIMENTOS'!$Q$6:$Q$1005,1))</f>
        <v>0</v>
      </c>
      <c r="AB69" s="96">
        <f>IF(R69=0,0,COUNTIFS('RECEBIMENTOS'!$R$6:$R$1005,A69,'RECEBIMENTOS'!$Z$6:$Z$1005,1))</f>
        <v>0</v>
      </c>
      <c r="AC69" s="96">
        <f>IF(R69=0,0,COUNTIFS('RECEBIMENTOS'!$R$6:$R$1005,A69,'RECEBIMENTOS'!$Y$6:$Y$1005,1))</f>
        <v>0</v>
      </c>
      <c r="AD69" s="96">
        <f>IF(R69=0,0,COUNTIFS('VÍNCULOS_CDF'!$R$6:$R$1005,A69,'VÍNCULOS_CDF'!$N$6:$N$1005,1))</f>
        <v>0</v>
      </c>
      <c r="AE69" s="96">
        <f>IF(R69=0,0,COUNTIFS('VÍNCULOS_CDF'!$R$6:$R$1005,A69,'VÍNCULOS_CDF'!$AA$6:$AA$1005,1))</f>
        <v>0</v>
      </c>
      <c r="AF69" s="96">
        <f>IF(R69=0,0,COUNTIFS('VÍNCULOS_CDF'!$R$6:$R$1005,A69,'VÍNCULOS_CDF'!$Y$6:$Y$1005,1))</f>
        <v>0</v>
      </c>
      <c r="AG69" s="96" t="str">
        <f>IF(AND(R69=1,S69&lt;&gt;"",C69&lt;&gt;""),S69&amp;"|"&amp;C69&amp;"|"&amp;G69&amp;"|"&amp;H69,"")</f>
        <v/>
      </c>
      <c r="AH69" s="96">
        <f>IF(AG69="",0,IF(SUMPRODUCT(--($AG$6:$AG$1005=AG69))&gt;1,1,0))</f>
        <v>0</v>
      </c>
      <c r="AI69" s="96">
        <f>IF(R69=0,0,IF(OR(U69=0,V69=0,Y69=0,AND(AH69=1,K69&lt;&gt;"Sim")),1,0))</f>
        <v>0</v>
      </c>
      <c r="AJ69" s="96">
        <f>IF(AND(R69=1,AA69&gt;0,AB69=AA69),1,0)</f>
        <v>0</v>
      </c>
      <c r="AK69" s="96">
        <f>IF(R69=0,0,IF(AA69&gt;0,N(L69),IF(ISNUMBER(I69),I69,0)))</f>
        <v>0</v>
      </c>
      <c r="AL69" s="96">
        <f>IF(R69=0,0,IF(AND(K69&lt;&gt;"Sim",N(M69)&gt;AK69+cfg_tol),1,0))</f>
        <v>0</v>
      </c>
      <c r="AM69" s="96">
        <f>IF(R69=0,0,IF(K69="Sim",0,IF(OR(AND(AA69&gt;0,ISNUMBER(I69),ABS(I69-N(L69))&gt;cfg_tol),AL69=1),1,0)))</f>
        <v>0</v>
      </c>
      <c r="AN69" s="96">
        <f>IF(AND(R69=1,N(M69)&gt;0,OR(N(M69)&gt;=AK69-cfg_tol,K69="Sim")),1,0)</f>
        <v>0</v>
      </c>
      <c r="AO69" s="96">
        <f>IF(AND(AN69=1,AD69&gt;0,AE69=AD69,AL69=0),1,0)</f>
        <v>0</v>
      </c>
      <c r="AP69" s="96">
        <f>IF(U69=0,0,IF(AND(INDEX('MTRs'!$AX$6:$AX$505,T69)=1,Z69=0,OR(f_res="",f_res="(Todos)",C69=f_res)),1,0))</f>
        <v>0</v>
      </c>
      <c r="AQ69" s="97" t="str">
        <f>IF(U69=0,"",INDEX('MTRs'!$AZ$6:$AZ$505,T69))</f>
        <v/>
      </c>
      <c r="AR69" s="96">
        <f>IF(U69=0,0,IF(AND(INDEX('MTRs'!$BA$6:$BA$505,T69)=1,Z69=0),1,0))</f>
        <v>0</v>
      </c>
      <c r="AS69" s="96" t="str">
        <f>IF(R69=1,A69&amp;" | MTR "&amp;IF(U69=1,INDEX('MTRs'!$B$6:$B$505,T69)&amp;"","?")&amp;" | "&amp;IF(C69="","(sem resíduo)",C69),"")</f>
        <v/>
      </c>
      <c r="AT69" s="96" t="str">
        <f>IF(R69=1,COUNTIF($R$6:R69,1),"")</f>
        <v/>
      </c>
      <c r="AU69" s="96" t="str">
        <f>IF(U69=1,INDEX('MTRs'!$I$6:$I$505,T69)&amp;"","")</f>
        <v/>
      </c>
    </row>
    <row r="70">
      <c r="A70" s="89" t="inlineStr">
        <is>
          <t>IT-000065</t>
        </is>
      </c>
      <c r="B70" s="91" t="n"/>
      <c r="C70" s="91" t="n"/>
      <c r="D70" s="94" t="str">
        <f>IF(OR(R70=0,V70=0),"",INDEX('CAD_RESÍDUOS'!$E$6:$E$205,MATCH(C70,'CAD_RESÍDUOS'!$B$6:$B$205,0))&amp;"")</f>
        <v/>
      </c>
      <c r="E70" s="94" t="str">
        <f>IF(OR(R70=0,V70=0),"",INDEX('CAD_RESÍDUOS'!$C$6:$C$205,MATCH(C70,'CAD_RESÍDUOS'!$B$6:$B$205,0))&amp;"")</f>
        <v/>
      </c>
      <c r="F70" s="94" t="str">
        <f>IF(OR(R70=0,V70=0),"",INDEX('CAD_RESÍDUOS'!$G$6:$G$205,MATCH(C70,'CAD_RESÍDUOS'!$B$6:$B$205,0))&amp;"")</f>
        <v/>
      </c>
      <c r="G70" s="98" t="n"/>
      <c r="H70" s="91" t="n"/>
      <c r="I70" s="93" t="str">
        <f>IF(R70=0,"",IF(NOT(ISNUMBER(G70)),"",IF(ISNUMBER(X70),G70*X70,"UNIDADE A CONFERIR")))</f>
        <v/>
      </c>
      <c r="J70" s="91" t="n"/>
      <c r="K70" s="91" t="n"/>
      <c r="L70" s="93" t="str">
        <f>IF(R70=0,"",SUMIFS('RECEBIMENTOS'!$H$6:$H$1005,'RECEBIMENTOS'!$R$6:$R$1005,A70,'RECEBIMENTOS'!$X$6:$X$1005,1))</f>
        <v/>
      </c>
      <c r="M70" s="93" t="str">
        <f>IF(R70=0,"",SUMIFS('VÍNCULOS_CDF'!$H$6:$H$1005,'VÍNCULOS_CDF'!$R$6:$R$1005,A70,'VÍNCULOS_CDF'!$V$6:$V$1005,1))</f>
        <v/>
      </c>
      <c r="N70" s="99" t="str">
        <f>IF(OR(R70=0,AA70=0,NOT(ISNUMBER(I70))),"",I70-N(L70))</f>
        <v/>
      </c>
      <c r="O70" s="100" t="str">
        <f>IF(OR(R70=0,AK70&lt;=0),"",N(M70)/AK70)</f>
        <v/>
      </c>
      <c r="P70" s="94" t="str">
        <f>IF(R70=0,"",IF(S70="","Sem MTR associado",IF(U70=0,"MTR inexistente",IF(C70="","Resíduo não identificado",IF(V70=0,"Resíduo fora do cadastro",IF(W70=0,"Quantidade inválida",IF(H70="","Unidade não informada",IF(NOT(ISNUMBER(I70)),"Unidade a conferir",IF(AND(AH70=1,K70&lt;&gt;"Sim"),"Possível duplicidade",IF(Z70=1,"MTR cancelado",IF(AC70&gt;0,"Recebimento com alerta",IF(AA70=0,"Aguardando recebimento",IF(AB70&lt;AA70,"Recebimento a conferir",IF(AM70=1,"Quantidade a revisar",IF(AF70&gt;0,"Vínculo a revisar",IF(AD70=0,"Aguardando CDF",IF(AN70=0,"Vínculo de CDF parcial",IF(AE70&lt;AD70,"CDF a conferir","Documentação conferida"))))))))))))))))))</f>
        <v/>
      </c>
      <c r="Q70" s="93" t="str">
        <f>IF(OR(R70=0,AA70=0),"",MAX(0,N(L70)-N(M70)))</f>
        <v/>
      </c>
      <c r="R70" s="96">
        <f>IF(COUNTA(B70:C70,G70:H70,J70:K70)&gt;0,1,0)</f>
        <v>0</v>
      </c>
      <c r="S70" s="96" t="str">
        <f>IF(B70="","",TRIM(LEFT(B70,FIND(" |",B70&amp;" |")-1)))</f>
        <v/>
      </c>
      <c r="T70" s="96" t="str">
        <f>IF(S70="","",IFERROR(MATCH(S70,'MTRs'!$A$6:$A$505,0),""))</f>
        <v/>
      </c>
      <c r="U70" s="96">
        <f>IF(T70="",0,IF(INDEX('MTRs'!$Z$6:$Z$505,T70)=1,1,0))</f>
        <v>0</v>
      </c>
      <c r="V70" s="96">
        <f>IF(C70="",0,IF(ISNUMBER(MATCH(C70,'CAD_RESÍDUOS'!$B$6:$B$205,0)),1,0))</f>
        <v>0</v>
      </c>
      <c r="W70" s="96">
        <f>IF(AND(ISNUMBER(G70),G70&gt;0),1,0)</f>
        <v>0</v>
      </c>
      <c r="X70" s="96" t="str">
        <f>IF(H70="","",IFERROR(IF(ISNUMBER(INDEX(cfg_fac,MATCH(H70,cfg_units,0))),IF(INDEX(cfg_fac,MATCH(H70,cfg_units,0))&gt;0,INDEX(cfg_fac,MATCH(H70,cfg_units,0)),""),""),""))</f>
        <v/>
      </c>
      <c r="Y70" s="96">
        <f>IF(AND(W70=1,ISNUMBER(I70)),1,0)</f>
        <v>0</v>
      </c>
      <c r="Z70" s="96">
        <f>IF(U70=1,INDEX('MTRs'!$AA$6:$AA$505,T70),0)</f>
        <v>0</v>
      </c>
      <c r="AA70" s="96">
        <f>IF(R70=0,0,COUNTIFS('RECEBIMENTOS'!$R$6:$R$1005,A70,'RECEBIMENTOS'!$Q$6:$Q$1005,1))</f>
        <v>0</v>
      </c>
      <c r="AB70" s="96">
        <f>IF(R70=0,0,COUNTIFS('RECEBIMENTOS'!$R$6:$R$1005,A70,'RECEBIMENTOS'!$Z$6:$Z$1005,1))</f>
        <v>0</v>
      </c>
      <c r="AC70" s="96">
        <f>IF(R70=0,0,COUNTIFS('RECEBIMENTOS'!$R$6:$R$1005,A70,'RECEBIMENTOS'!$Y$6:$Y$1005,1))</f>
        <v>0</v>
      </c>
      <c r="AD70" s="96">
        <f>IF(R70=0,0,COUNTIFS('VÍNCULOS_CDF'!$R$6:$R$1005,A70,'VÍNCULOS_CDF'!$N$6:$N$1005,1))</f>
        <v>0</v>
      </c>
      <c r="AE70" s="96">
        <f>IF(R70=0,0,COUNTIFS('VÍNCULOS_CDF'!$R$6:$R$1005,A70,'VÍNCULOS_CDF'!$AA$6:$AA$1005,1))</f>
        <v>0</v>
      </c>
      <c r="AF70" s="96">
        <f>IF(R70=0,0,COUNTIFS('VÍNCULOS_CDF'!$R$6:$R$1005,A70,'VÍNCULOS_CDF'!$Y$6:$Y$1005,1))</f>
        <v>0</v>
      </c>
      <c r="AG70" s="96" t="str">
        <f>IF(AND(R70=1,S70&lt;&gt;"",C70&lt;&gt;""),S70&amp;"|"&amp;C70&amp;"|"&amp;G70&amp;"|"&amp;H70,"")</f>
        <v/>
      </c>
      <c r="AH70" s="96">
        <f>IF(AG70="",0,IF(SUMPRODUCT(--($AG$6:$AG$1005=AG70))&gt;1,1,0))</f>
        <v>0</v>
      </c>
      <c r="AI70" s="96">
        <f>IF(R70=0,0,IF(OR(U70=0,V70=0,Y70=0,AND(AH70=1,K70&lt;&gt;"Sim")),1,0))</f>
        <v>0</v>
      </c>
      <c r="AJ70" s="96">
        <f>IF(AND(R70=1,AA70&gt;0,AB70=AA70),1,0)</f>
        <v>0</v>
      </c>
      <c r="AK70" s="96">
        <f>IF(R70=0,0,IF(AA70&gt;0,N(L70),IF(ISNUMBER(I70),I70,0)))</f>
        <v>0</v>
      </c>
      <c r="AL70" s="96">
        <f>IF(R70=0,0,IF(AND(K70&lt;&gt;"Sim",N(M70)&gt;AK70+cfg_tol),1,0))</f>
        <v>0</v>
      </c>
      <c r="AM70" s="96">
        <f>IF(R70=0,0,IF(K70="Sim",0,IF(OR(AND(AA70&gt;0,ISNUMBER(I70),ABS(I70-N(L70))&gt;cfg_tol),AL70=1),1,0)))</f>
        <v>0</v>
      </c>
      <c r="AN70" s="96">
        <f>IF(AND(R70=1,N(M70)&gt;0,OR(N(M70)&gt;=AK70-cfg_tol,K70="Sim")),1,0)</f>
        <v>0</v>
      </c>
      <c r="AO70" s="96">
        <f>IF(AND(AN70=1,AD70&gt;0,AE70=AD70,AL70=0),1,0)</f>
        <v>0</v>
      </c>
      <c r="AP70" s="96">
        <f>IF(U70=0,0,IF(AND(INDEX('MTRs'!$AX$6:$AX$505,T70)=1,Z70=0,OR(f_res="",f_res="(Todos)",C70=f_res)),1,0))</f>
        <v>0</v>
      </c>
      <c r="AQ70" s="97" t="str">
        <f>IF(U70=0,"",INDEX('MTRs'!$AZ$6:$AZ$505,T70))</f>
        <v/>
      </c>
      <c r="AR70" s="96">
        <f>IF(U70=0,0,IF(AND(INDEX('MTRs'!$BA$6:$BA$505,T70)=1,Z70=0),1,0))</f>
        <v>0</v>
      </c>
      <c r="AS70" s="96" t="str">
        <f>IF(R70=1,A70&amp;" | MTR "&amp;IF(U70=1,INDEX('MTRs'!$B$6:$B$505,T70)&amp;"","?")&amp;" | "&amp;IF(C70="","(sem resíduo)",C70),"")</f>
        <v/>
      </c>
      <c r="AT70" s="96" t="str">
        <f>IF(R70=1,COUNTIF($R$6:R70,1),"")</f>
        <v/>
      </c>
      <c r="AU70" s="96" t="str">
        <f>IF(U70=1,INDEX('MTRs'!$I$6:$I$505,T70)&amp;"","")</f>
        <v/>
      </c>
    </row>
    <row r="71">
      <c r="A71" s="89" t="inlineStr">
        <is>
          <t>IT-000066</t>
        </is>
      </c>
      <c r="B71" s="91" t="n"/>
      <c r="C71" s="91" t="n"/>
      <c r="D71" s="94" t="str">
        <f>IF(OR(R71=0,V71=0),"",INDEX('CAD_RESÍDUOS'!$E$6:$E$205,MATCH(C71,'CAD_RESÍDUOS'!$B$6:$B$205,0))&amp;"")</f>
        <v/>
      </c>
      <c r="E71" s="94" t="str">
        <f>IF(OR(R71=0,V71=0),"",INDEX('CAD_RESÍDUOS'!$C$6:$C$205,MATCH(C71,'CAD_RESÍDUOS'!$B$6:$B$205,0))&amp;"")</f>
        <v/>
      </c>
      <c r="F71" s="94" t="str">
        <f>IF(OR(R71=0,V71=0),"",INDEX('CAD_RESÍDUOS'!$G$6:$G$205,MATCH(C71,'CAD_RESÍDUOS'!$B$6:$B$205,0))&amp;"")</f>
        <v/>
      </c>
      <c r="G71" s="98" t="n"/>
      <c r="H71" s="91" t="n"/>
      <c r="I71" s="93" t="str">
        <f>IF(R71=0,"",IF(NOT(ISNUMBER(G71)),"",IF(ISNUMBER(X71),G71*X71,"UNIDADE A CONFERIR")))</f>
        <v/>
      </c>
      <c r="J71" s="91" t="n"/>
      <c r="K71" s="91" t="n"/>
      <c r="L71" s="93" t="str">
        <f>IF(R71=0,"",SUMIFS('RECEBIMENTOS'!$H$6:$H$1005,'RECEBIMENTOS'!$R$6:$R$1005,A71,'RECEBIMENTOS'!$X$6:$X$1005,1))</f>
        <v/>
      </c>
      <c r="M71" s="93" t="str">
        <f>IF(R71=0,"",SUMIFS('VÍNCULOS_CDF'!$H$6:$H$1005,'VÍNCULOS_CDF'!$R$6:$R$1005,A71,'VÍNCULOS_CDF'!$V$6:$V$1005,1))</f>
        <v/>
      </c>
      <c r="N71" s="99" t="str">
        <f>IF(OR(R71=0,AA71=0,NOT(ISNUMBER(I71))),"",I71-N(L71))</f>
        <v/>
      </c>
      <c r="O71" s="100" t="str">
        <f>IF(OR(R71=0,AK71&lt;=0),"",N(M71)/AK71)</f>
        <v/>
      </c>
      <c r="P71" s="94" t="str">
        <f>IF(R71=0,"",IF(S71="","Sem MTR associado",IF(U71=0,"MTR inexistente",IF(C71="","Resíduo não identificado",IF(V71=0,"Resíduo fora do cadastro",IF(W71=0,"Quantidade inválida",IF(H71="","Unidade não informada",IF(NOT(ISNUMBER(I71)),"Unidade a conferir",IF(AND(AH71=1,K71&lt;&gt;"Sim"),"Possível duplicidade",IF(Z71=1,"MTR cancelado",IF(AC71&gt;0,"Recebimento com alerta",IF(AA71=0,"Aguardando recebimento",IF(AB71&lt;AA71,"Recebimento a conferir",IF(AM71=1,"Quantidade a revisar",IF(AF71&gt;0,"Vínculo a revisar",IF(AD71=0,"Aguardando CDF",IF(AN71=0,"Vínculo de CDF parcial",IF(AE71&lt;AD71,"CDF a conferir","Documentação conferida"))))))))))))))))))</f>
        <v/>
      </c>
      <c r="Q71" s="93" t="str">
        <f>IF(OR(R71=0,AA71=0),"",MAX(0,N(L71)-N(M71)))</f>
        <v/>
      </c>
      <c r="R71" s="96">
        <f>IF(COUNTA(B71:C71,G71:H71,J71:K71)&gt;0,1,0)</f>
        <v>0</v>
      </c>
      <c r="S71" s="96" t="str">
        <f>IF(B71="","",TRIM(LEFT(B71,FIND(" |",B71&amp;" |")-1)))</f>
        <v/>
      </c>
      <c r="T71" s="96" t="str">
        <f>IF(S71="","",IFERROR(MATCH(S71,'MTRs'!$A$6:$A$505,0),""))</f>
        <v/>
      </c>
      <c r="U71" s="96">
        <f>IF(T71="",0,IF(INDEX('MTRs'!$Z$6:$Z$505,T71)=1,1,0))</f>
        <v>0</v>
      </c>
      <c r="V71" s="96">
        <f>IF(C71="",0,IF(ISNUMBER(MATCH(C71,'CAD_RESÍDUOS'!$B$6:$B$205,0)),1,0))</f>
        <v>0</v>
      </c>
      <c r="W71" s="96">
        <f>IF(AND(ISNUMBER(G71),G71&gt;0),1,0)</f>
        <v>0</v>
      </c>
      <c r="X71" s="96" t="str">
        <f>IF(H71="","",IFERROR(IF(ISNUMBER(INDEX(cfg_fac,MATCH(H71,cfg_units,0))),IF(INDEX(cfg_fac,MATCH(H71,cfg_units,0))&gt;0,INDEX(cfg_fac,MATCH(H71,cfg_units,0)),""),""),""))</f>
        <v/>
      </c>
      <c r="Y71" s="96">
        <f>IF(AND(W71=1,ISNUMBER(I71)),1,0)</f>
        <v>0</v>
      </c>
      <c r="Z71" s="96">
        <f>IF(U71=1,INDEX('MTRs'!$AA$6:$AA$505,T71),0)</f>
        <v>0</v>
      </c>
      <c r="AA71" s="96">
        <f>IF(R71=0,0,COUNTIFS('RECEBIMENTOS'!$R$6:$R$1005,A71,'RECEBIMENTOS'!$Q$6:$Q$1005,1))</f>
        <v>0</v>
      </c>
      <c r="AB71" s="96">
        <f>IF(R71=0,0,COUNTIFS('RECEBIMENTOS'!$R$6:$R$1005,A71,'RECEBIMENTOS'!$Z$6:$Z$1005,1))</f>
        <v>0</v>
      </c>
      <c r="AC71" s="96">
        <f>IF(R71=0,0,COUNTIFS('RECEBIMENTOS'!$R$6:$R$1005,A71,'RECEBIMENTOS'!$Y$6:$Y$1005,1))</f>
        <v>0</v>
      </c>
      <c r="AD71" s="96">
        <f>IF(R71=0,0,COUNTIFS('VÍNCULOS_CDF'!$R$6:$R$1005,A71,'VÍNCULOS_CDF'!$N$6:$N$1005,1))</f>
        <v>0</v>
      </c>
      <c r="AE71" s="96">
        <f>IF(R71=0,0,COUNTIFS('VÍNCULOS_CDF'!$R$6:$R$1005,A71,'VÍNCULOS_CDF'!$AA$6:$AA$1005,1))</f>
        <v>0</v>
      </c>
      <c r="AF71" s="96">
        <f>IF(R71=0,0,COUNTIFS('VÍNCULOS_CDF'!$R$6:$R$1005,A71,'VÍNCULOS_CDF'!$Y$6:$Y$1005,1))</f>
        <v>0</v>
      </c>
      <c r="AG71" s="96" t="str">
        <f>IF(AND(R71=1,S71&lt;&gt;"",C71&lt;&gt;""),S71&amp;"|"&amp;C71&amp;"|"&amp;G71&amp;"|"&amp;H71,"")</f>
        <v/>
      </c>
      <c r="AH71" s="96">
        <f>IF(AG71="",0,IF(SUMPRODUCT(--($AG$6:$AG$1005=AG71))&gt;1,1,0))</f>
        <v>0</v>
      </c>
      <c r="AI71" s="96">
        <f>IF(R71=0,0,IF(OR(U71=0,V71=0,Y71=0,AND(AH71=1,K71&lt;&gt;"Sim")),1,0))</f>
        <v>0</v>
      </c>
      <c r="AJ71" s="96">
        <f>IF(AND(R71=1,AA71&gt;0,AB71=AA71),1,0)</f>
        <v>0</v>
      </c>
      <c r="AK71" s="96">
        <f>IF(R71=0,0,IF(AA71&gt;0,N(L71),IF(ISNUMBER(I71),I71,0)))</f>
        <v>0</v>
      </c>
      <c r="AL71" s="96">
        <f>IF(R71=0,0,IF(AND(K71&lt;&gt;"Sim",N(M71)&gt;AK71+cfg_tol),1,0))</f>
        <v>0</v>
      </c>
      <c r="AM71" s="96">
        <f>IF(R71=0,0,IF(K71="Sim",0,IF(OR(AND(AA71&gt;0,ISNUMBER(I71),ABS(I71-N(L71))&gt;cfg_tol),AL71=1),1,0)))</f>
        <v>0</v>
      </c>
      <c r="AN71" s="96">
        <f>IF(AND(R71=1,N(M71)&gt;0,OR(N(M71)&gt;=AK71-cfg_tol,K71="Sim")),1,0)</f>
        <v>0</v>
      </c>
      <c r="AO71" s="96">
        <f>IF(AND(AN71=1,AD71&gt;0,AE71=AD71,AL71=0),1,0)</f>
        <v>0</v>
      </c>
      <c r="AP71" s="96">
        <f>IF(U71=0,0,IF(AND(INDEX('MTRs'!$AX$6:$AX$505,T71)=1,Z71=0,OR(f_res="",f_res="(Todos)",C71=f_res)),1,0))</f>
        <v>0</v>
      </c>
      <c r="AQ71" s="97" t="str">
        <f>IF(U71=0,"",INDEX('MTRs'!$AZ$6:$AZ$505,T71))</f>
        <v/>
      </c>
      <c r="AR71" s="96">
        <f>IF(U71=0,0,IF(AND(INDEX('MTRs'!$BA$6:$BA$505,T71)=1,Z71=0),1,0))</f>
        <v>0</v>
      </c>
      <c r="AS71" s="96" t="str">
        <f>IF(R71=1,A71&amp;" | MTR "&amp;IF(U71=1,INDEX('MTRs'!$B$6:$B$505,T71)&amp;"","?")&amp;" | "&amp;IF(C71="","(sem resíduo)",C71),"")</f>
        <v/>
      </c>
      <c r="AT71" s="96" t="str">
        <f>IF(R71=1,COUNTIF($R$6:R71,1),"")</f>
        <v/>
      </c>
      <c r="AU71" s="96" t="str">
        <f>IF(U71=1,INDEX('MTRs'!$I$6:$I$505,T71)&amp;"","")</f>
        <v/>
      </c>
    </row>
    <row r="72">
      <c r="A72" s="89" t="inlineStr">
        <is>
          <t>IT-000067</t>
        </is>
      </c>
      <c r="B72" s="91" t="n"/>
      <c r="C72" s="91" t="n"/>
      <c r="D72" s="94" t="str">
        <f>IF(OR(R72=0,V72=0),"",INDEX('CAD_RESÍDUOS'!$E$6:$E$205,MATCH(C72,'CAD_RESÍDUOS'!$B$6:$B$205,0))&amp;"")</f>
        <v/>
      </c>
      <c r="E72" s="94" t="str">
        <f>IF(OR(R72=0,V72=0),"",INDEX('CAD_RESÍDUOS'!$C$6:$C$205,MATCH(C72,'CAD_RESÍDUOS'!$B$6:$B$205,0))&amp;"")</f>
        <v/>
      </c>
      <c r="F72" s="94" t="str">
        <f>IF(OR(R72=0,V72=0),"",INDEX('CAD_RESÍDUOS'!$G$6:$G$205,MATCH(C72,'CAD_RESÍDUOS'!$B$6:$B$205,0))&amp;"")</f>
        <v/>
      </c>
      <c r="G72" s="98" t="n"/>
      <c r="H72" s="91" t="n"/>
      <c r="I72" s="93" t="str">
        <f>IF(R72=0,"",IF(NOT(ISNUMBER(G72)),"",IF(ISNUMBER(X72),G72*X72,"UNIDADE A CONFERIR")))</f>
        <v/>
      </c>
      <c r="J72" s="91" t="n"/>
      <c r="K72" s="91" t="n"/>
      <c r="L72" s="93" t="str">
        <f>IF(R72=0,"",SUMIFS('RECEBIMENTOS'!$H$6:$H$1005,'RECEBIMENTOS'!$R$6:$R$1005,A72,'RECEBIMENTOS'!$X$6:$X$1005,1))</f>
        <v/>
      </c>
      <c r="M72" s="93" t="str">
        <f>IF(R72=0,"",SUMIFS('VÍNCULOS_CDF'!$H$6:$H$1005,'VÍNCULOS_CDF'!$R$6:$R$1005,A72,'VÍNCULOS_CDF'!$V$6:$V$1005,1))</f>
        <v/>
      </c>
      <c r="N72" s="99" t="str">
        <f>IF(OR(R72=0,AA72=0,NOT(ISNUMBER(I72))),"",I72-N(L72))</f>
        <v/>
      </c>
      <c r="O72" s="100" t="str">
        <f>IF(OR(R72=0,AK72&lt;=0),"",N(M72)/AK72)</f>
        <v/>
      </c>
      <c r="P72" s="94" t="str">
        <f>IF(R72=0,"",IF(S72="","Sem MTR associado",IF(U72=0,"MTR inexistente",IF(C72="","Resíduo não identificado",IF(V72=0,"Resíduo fora do cadastro",IF(W72=0,"Quantidade inválida",IF(H72="","Unidade não informada",IF(NOT(ISNUMBER(I72)),"Unidade a conferir",IF(AND(AH72=1,K72&lt;&gt;"Sim"),"Possível duplicidade",IF(Z72=1,"MTR cancelado",IF(AC72&gt;0,"Recebimento com alerta",IF(AA72=0,"Aguardando recebimento",IF(AB72&lt;AA72,"Recebimento a conferir",IF(AM72=1,"Quantidade a revisar",IF(AF72&gt;0,"Vínculo a revisar",IF(AD72=0,"Aguardando CDF",IF(AN72=0,"Vínculo de CDF parcial",IF(AE72&lt;AD72,"CDF a conferir","Documentação conferida"))))))))))))))))))</f>
        <v/>
      </c>
      <c r="Q72" s="93" t="str">
        <f>IF(OR(R72=0,AA72=0),"",MAX(0,N(L72)-N(M72)))</f>
        <v/>
      </c>
      <c r="R72" s="96">
        <f>IF(COUNTA(B72:C72,G72:H72,J72:K72)&gt;0,1,0)</f>
        <v>0</v>
      </c>
      <c r="S72" s="96" t="str">
        <f>IF(B72="","",TRIM(LEFT(B72,FIND(" |",B72&amp;" |")-1)))</f>
        <v/>
      </c>
      <c r="T72" s="96" t="str">
        <f>IF(S72="","",IFERROR(MATCH(S72,'MTRs'!$A$6:$A$505,0),""))</f>
        <v/>
      </c>
      <c r="U72" s="96">
        <f>IF(T72="",0,IF(INDEX('MTRs'!$Z$6:$Z$505,T72)=1,1,0))</f>
        <v>0</v>
      </c>
      <c r="V72" s="96">
        <f>IF(C72="",0,IF(ISNUMBER(MATCH(C72,'CAD_RESÍDUOS'!$B$6:$B$205,0)),1,0))</f>
        <v>0</v>
      </c>
      <c r="W72" s="96">
        <f>IF(AND(ISNUMBER(G72),G72&gt;0),1,0)</f>
        <v>0</v>
      </c>
      <c r="X72" s="96" t="str">
        <f>IF(H72="","",IFERROR(IF(ISNUMBER(INDEX(cfg_fac,MATCH(H72,cfg_units,0))),IF(INDEX(cfg_fac,MATCH(H72,cfg_units,0))&gt;0,INDEX(cfg_fac,MATCH(H72,cfg_units,0)),""),""),""))</f>
        <v/>
      </c>
      <c r="Y72" s="96">
        <f>IF(AND(W72=1,ISNUMBER(I72)),1,0)</f>
        <v>0</v>
      </c>
      <c r="Z72" s="96">
        <f>IF(U72=1,INDEX('MTRs'!$AA$6:$AA$505,T72),0)</f>
        <v>0</v>
      </c>
      <c r="AA72" s="96">
        <f>IF(R72=0,0,COUNTIFS('RECEBIMENTOS'!$R$6:$R$1005,A72,'RECEBIMENTOS'!$Q$6:$Q$1005,1))</f>
        <v>0</v>
      </c>
      <c r="AB72" s="96">
        <f>IF(R72=0,0,COUNTIFS('RECEBIMENTOS'!$R$6:$R$1005,A72,'RECEBIMENTOS'!$Z$6:$Z$1005,1))</f>
        <v>0</v>
      </c>
      <c r="AC72" s="96">
        <f>IF(R72=0,0,COUNTIFS('RECEBIMENTOS'!$R$6:$R$1005,A72,'RECEBIMENTOS'!$Y$6:$Y$1005,1))</f>
        <v>0</v>
      </c>
      <c r="AD72" s="96">
        <f>IF(R72=0,0,COUNTIFS('VÍNCULOS_CDF'!$R$6:$R$1005,A72,'VÍNCULOS_CDF'!$N$6:$N$1005,1))</f>
        <v>0</v>
      </c>
      <c r="AE72" s="96">
        <f>IF(R72=0,0,COUNTIFS('VÍNCULOS_CDF'!$R$6:$R$1005,A72,'VÍNCULOS_CDF'!$AA$6:$AA$1005,1))</f>
        <v>0</v>
      </c>
      <c r="AF72" s="96">
        <f>IF(R72=0,0,COUNTIFS('VÍNCULOS_CDF'!$R$6:$R$1005,A72,'VÍNCULOS_CDF'!$Y$6:$Y$1005,1))</f>
        <v>0</v>
      </c>
      <c r="AG72" s="96" t="str">
        <f>IF(AND(R72=1,S72&lt;&gt;"",C72&lt;&gt;""),S72&amp;"|"&amp;C72&amp;"|"&amp;G72&amp;"|"&amp;H72,"")</f>
        <v/>
      </c>
      <c r="AH72" s="96">
        <f>IF(AG72="",0,IF(SUMPRODUCT(--($AG$6:$AG$1005=AG72))&gt;1,1,0))</f>
        <v>0</v>
      </c>
      <c r="AI72" s="96">
        <f>IF(R72=0,0,IF(OR(U72=0,V72=0,Y72=0,AND(AH72=1,K72&lt;&gt;"Sim")),1,0))</f>
        <v>0</v>
      </c>
      <c r="AJ72" s="96">
        <f>IF(AND(R72=1,AA72&gt;0,AB72=AA72),1,0)</f>
        <v>0</v>
      </c>
      <c r="AK72" s="96">
        <f>IF(R72=0,0,IF(AA72&gt;0,N(L72),IF(ISNUMBER(I72),I72,0)))</f>
        <v>0</v>
      </c>
      <c r="AL72" s="96">
        <f>IF(R72=0,0,IF(AND(K72&lt;&gt;"Sim",N(M72)&gt;AK72+cfg_tol),1,0))</f>
        <v>0</v>
      </c>
      <c r="AM72" s="96">
        <f>IF(R72=0,0,IF(K72="Sim",0,IF(OR(AND(AA72&gt;0,ISNUMBER(I72),ABS(I72-N(L72))&gt;cfg_tol),AL72=1),1,0)))</f>
        <v>0</v>
      </c>
      <c r="AN72" s="96">
        <f>IF(AND(R72=1,N(M72)&gt;0,OR(N(M72)&gt;=AK72-cfg_tol,K72="Sim")),1,0)</f>
        <v>0</v>
      </c>
      <c r="AO72" s="96">
        <f>IF(AND(AN72=1,AD72&gt;0,AE72=AD72,AL72=0),1,0)</f>
        <v>0</v>
      </c>
      <c r="AP72" s="96">
        <f>IF(U72=0,0,IF(AND(INDEX('MTRs'!$AX$6:$AX$505,T72)=1,Z72=0,OR(f_res="",f_res="(Todos)",C72=f_res)),1,0))</f>
        <v>0</v>
      </c>
      <c r="AQ72" s="97" t="str">
        <f>IF(U72=0,"",INDEX('MTRs'!$AZ$6:$AZ$505,T72))</f>
        <v/>
      </c>
      <c r="AR72" s="96">
        <f>IF(U72=0,0,IF(AND(INDEX('MTRs'!$BA$6:$BA$505,T72)=1,Z72=0),1,0))</f>
        <v>0</v>
      </c>
      <c r="AS72" s="96" t="str">
        <f>IF(R72=1,A72&amp;" | MTR "&amp;IF(U72=1,INDEX('MTRs'!$B$6:$B$505,T72)&amp;"","?")&amp;" | "&amp;IF(C72="","(sem resíduo)",C72),"")</f>
        <v/>
      </c>
      <c r="AT72" s="96" t="str">
        <f>IF(R72=1,COUNTIF($R$6:R72,1),"")</f>
        <v/>
      </c>
      <c r="AU72" s="96" t="str">
        <f>IF(U72=1,INDEX('MTRs'!$I$6:$I$505,T72)&amp;"","")</f>
        <v/>
      </c>
    </row>
    <row r="73">
      <c r="A73" s="89" t="inlineStr">
        <is>
          <t>IT-000068</t>
        </is>
      </c>
      <c r="B73" s="91" t="n"/>
      <c r="C73" s="91" t="n"/>
      <c r="D73" s="94" t="str">
        <f>IF(OR(R73=0,V73=0),"",INDEX('CAD_RESÍDUOS'!$E$6:$E$205,MATCH(C73,'CAD_RESÍDUOS'!$B$6:$B$205,0))&amp;"")</f>
        <v/>
      </c>
      <c r="E73" s="94" t="str">
        <f>IF(OR(R73=0,V73=0),"",INDEX('CAD_RESÍDUOS'!$C$6:$C$205,MATCH(C73,'CAD_RESÍDUOS'!$B$6:$B$205,0))&amp;"")</f>
        <v/>
      </c>
      <c r="F73" s="94" t="str">
        <f>IF(OR(R73=0,V73=0),"",INDEX('CAD_RESÍDUOS'!$G$6:$G$205,MATCH(C73,'CAD_RESÍDUOS'!$B$6:$B$205,0))&amp;"")</f>
        <v/>
      </c>
      <c r="G73" s="98" t="n"/>
      <c r="H73" s="91" t="n"/>
      <c r="I73" s="93" t="str">
        <f>IF(R73=0,"",IF(NOT(ISNUMBER(G73)),"",IF(ISNUMBER(X73),G73*X73,"UNIDADE A CONFERIR")))</f>
        <v/>
      </c>
      <c r="J73" s="91" t="n"/>
      <c r="K73" s="91" t="n"/>
      <c r="L73" s="93" t="str">
        <f>IF(R73=0,"",SUMIFS('RECEBIMENTOS'!$H$6:$H$1005,'RECEBIMENTOS'!$R$6:$R$1005,A73,'RECEBIMENTOS'!$X$6:$X$1005,1))</f>
        <v/>
      </c>
      <c r="M73" s="93" t="str">
        <f>IF(R73=0,"",SUMIFS('VÍNCULOS_CDF'!$H$6:$H$1005,'VÍNCULOS_CDF'!$R$6:$R$1005,A73,'VÍNCULOS_CDF'!$V$6:$V$1005,1))</f>
        <v/>
      </c>
      <c r="N73" s="99" t="str">
        <f>IF(OR(R73=0,AA73=0,NOT(ISNUMBER(I73))),"",I73-N(L73))</f>
        <v/>
      </c>
      <c r="O73" s="100" t="str">
        <f>IF(OR(R73=0,AK73&lt;=0),"",N(M73)/AK73)</f>
        <v/>
      </c>
      <c r="P73" s="94" t="str">
        <f>IF(R73=0,"",IF(S73="","Sem MTR associado",IF(U73=0,"MTR inexistente",IF(C73="","Resíduo não identificado",IF(V73=0,"Resíduo fora do cadastro",IF(W73=0,"Quantidade inválida",IF(H73="","Unidade não informada",IF(NOT(ISNUMBER(I73)),"Unidade a conferir",IF(AND(AH73=1,K73&lt;&gt;"Sim"),"Possível duplicidade",IF(Z73=1,"MTR cancelado",IF(AC73&gt;0,"Recebimento com alerta",IF(AA73=0,"Aguardando recebimento",IF(AB73&lt;AA73,"Recebimento a conferir",IF(AM73=1,"Quantidade a revisar",IF(AF73&gt;0,"Vínculo a revisar",IF(AD73=0,"Aguardando CDF",IF(AN73=0,"Vínculo de CDF parcial",IF(AE73&lt;AD73,"CDF a conferir","Documentação conferida"))))))))))))))))))</f>
        <v/>
      </c>
      <c r="Q73" s="93" t="str">
        <f>IF(OR(R73=0,AA73=0),"",MAX(0,N(L73)-N(M73)))</f>
        <v/>
      </c>
      <c r="R73" s="96">
        <f>IF(COUNTA(B73:C73,G73:H73,J73:K73)&gt;0,1,0)</f>
        <v>0</v>
      </c>
      <c r="S73" s="96" t="str">
        <f>IF(B73="","",TRIM(LEFT(B73,FIND(" |",B73&amp;" |")-1)))</f>
        <v/>
      </c>
      <c r="T73" s="96" t="str">
        <f>IF(S73="","",IFERROR(MATCH(S73,'MTRs'!$A$6:$A$505,0),""))</f>
        <v/>
      </c>
      <c r="U73" s="96">
        <f>IF(T73="",0,IF(INDEX('MTRs'!$Z$6:$Z$505,T73)=1,1,0))</f>
        <v>0</v>
      </c>
      <c r="V73" s="96">
        <f>IF(C73="",0,IF(ISNUMBER(MATCH(C73,'CAD_RESÍDUOS'!$B$6:$B$205,0)),1,0))</f>
        <v>0</v>
      </c>
      <c r="W73" s="96">
        <f>IF(AND(ISNUMBER(G73),G73&gt;0),1,0)</f>
        <v>0</v>
      </c>
      <c r="X73" s="96" t="str">
        <f>IF(H73="","",IFERROR(IF(ISNUMBER(INDEX(cfg_fac,MATCH(H73,cfg_units,0))),IF(INDEX(cfg_fac,MATCH(H73,cfg_units,0))&gt;0,INDEX(cfg_fac,MATCH(H73,cfg_units,0)),""),""),""))</f>
        <v/>
      </c>
      <c r="Y73" s="96">
        <f>IF(AND(W73=1,ISNUMBER(I73)),1,0)</f>
        <v>0</v>
      </c>
      <c r="Z73" s="96">
        <f>IF(U73=1,INDEX('MTRs'!$AA$6:$AA$505,T73),0)</f>
        <v>0</v>
      </c>
      <c r="AA73" s="96">
        <f>IF(R73=0,0,COUNTIFS('RECEBIMENTOS'!$R$6:$R$1005,A73,'RECEBIMENTOS'!$Q$6:$Q$1005,1))</f>
        <v>0</v>
      </c>
      <c r="AB73" s="96">
        <f>IF(R73=0,0,COUNTIFS('RECEBIMENTOS'!$R$6:$R$1005,A73,'RECEBIMENTOS'!$Z$6:$Z$1005,1))</f>
        <v>0</v>
      </c>
      <c r="AC73" s="96">
        <f>IF(R73=0,0,COUNTIFS('RECEBIMENTOS'!$R$6:$R$1005,A73,'RECEBIMENTOS'!$Y$6:$Y$1005,1))</f>
        <v>0</v>
      </c>
      <c r="AD73" s="96">
        <f>IF(R73=0,0,COUNTIFS('VÍNCULOS_CDF'!$R$6:$R$1005,A73,'VÍNCULOS_CDF'!$N$6:$N$1005,1))</f>
        <v>0</v>
      </c>
      <c r="AE73" s="96">
        <f>IF(R73=0,0,COUNTIFS('VÍNCULOS_CDF'!$R$6:$R$1005,A73,'VÍNCULOS_CDF'!$AA$6:$AA$1005,1))</f>
        <v>0</v>
      </c>
      <c r="AF73" s="96">
        <f>IF(R73=0,0,COUNTIFS('VÍNCULOS_CDF'!$R$6:$R$1005,A73,'VÍNCULOS_CDF'!$Y$6:$Y$1005,1))</f>
        <v>0</v>
      </c>
      <c r="AG73" s="96" t="str">
        <f>IF(AND(R73=1,S73&lt;&gt;"",C73&lt;&gt;""),S73&amp;"|"&amp;C73&amp;"|"&amp;G73&amp;"|"&amp;H73,"")</f>
        <v/>
      </c>
      <c r="AH73" s="96">
        <f>IF(AG73="",0,IF(SUMPRODUCT(--($AG$6:$AG$1005=AG73))&gt;1,1,0))</f>
        <v>0</v>
      </c>
      <c r="AI73" s="96">
        <f>IF(R73=0,0,IF(OR(U73=0,V73=0,Y73=0,AND(AH73=1,K73&lt;&gt;"Sim")),1,0))</f>
        <v>0</v>
      </c>
      <c r="AJ73" s="96">
        <f>IF(AND(R73=1,AA73&gt;0,AB73=AA73),1,0)</f>
        <v>0</v>
      </c>
      <c r="AK73" s="96">
        <f>IF(R73=0,0,IF(AA73&gt;0,N(L73),IF(ISNUMBER(I73),I73,0)))</f>
        <v>0</v>
      </c>
      <c r="AL73" s="96">
        <f>IF(R73=0,0,IF(AND(K73&lt;&gt;"Sim",N(M73)&gt;AK73+cfg_tol),1,0))</f>
        <v>0</v>
      </c>
      <c r="AM73" s="96">
        <f>IF(R73=0,0,IF(K73="Sim",0,IF(OR(AND(AA73&gt;0,ISNUMBER(I73),ABS(I73-N(L73))&gt;cfg_tol),AL73=1),1,0)))</f>
        <v>0</v>
      </c>
      <c r="AN73" s="96">
        <f>IF(AND(R73=1,N(M73)&gt;0,OR(N(M73)&gt;=AK73-cfg_tol,K73="Sim")),1,0)</f>
        <v>0</v>
      </c>
      <c r="AO73" s="96">
        <f>IF(AND(AN73=1,AD73&gt;0,AE73=AD73,AL73=0),1,0)</f>
        <v>0</v>
      </c>
      <c r="AP73" s="96">
        <f>IF(U73=0,0,IF(AND(INDEX('MTRs'!$AX$6:$AX$505,T73)=1,Z73=0,OR(f_res="",f_res="(Todos)",C73=f_res)),1,0))</f>
        <v>0</v>
      </c>
      <c r="AQ73" s="97" t="str">
        <f>IF(U73=0,"",INDEX('MTRs'!$AZ$6:$AZ$505,T73))</f>
        <v/>
      </c>
      <c r="AR73" s="96">
        <f>IF(U73=0,0,IF(AND(INDEX('MTRs'!$BA$6:$BA$505,T73)=1,Z73=0),1,0))</f>
        <v>0</v>
      </c>
      <c r="AS73" s="96" t="str">
        <f>IF(R73=1,A73&amp;" | MTR "&amp;IF(U73=1,INDEX('MTRs'!$B$6:$B$505,T73)&amp;"","?")&amp;" | "&amp;IF(C73="","(sem resíduo)",C73),"")</f>
        <v/>
      </c>
      <c r="AT73" s="96" t="str">
        <f>IF(R73=1,COUNTIF($R$6:R73,1),"")</f>
        <v/>
      </c>
      <c r="AU73" s="96" t="str">
        <f>IF(U73=1,INDEX('MTRs'!$I$6:$I$505,T73)&amp;"","")</f>
        <v/>
      </c>
    </row>
    <row r="74">
      <c r="A74" s="89" t="inlineStr">
        <is>
          <t>IT-000069</t>
        </is>
      </c>
      <c r="B74" s="91" t="n"/>
      <c r="C74" s="91" t="n"/>
      <c r="D74" s="94" t="str">
        <f>IF(OR(R74=0,V74=0),"",INDEX('CAD_RESÍDUOS'!$E$6:$E$205,MATCH(C74,'CAD_RESÍDUOS'!$B$6:$B$205,0))&amp;"")</f>
        <v/>
      </c>
      <c r="E74" s="94" t="str">
        <f>IF(OR(R74=0,V74=0),"",INDEX('CAD_RESÍDUOS'!$C$6:$C$205,MATCH(C74,'CAD_RESÍDUOS'!$B$6:$B$205,0))&amp;"")</f>
        <v/>
      </c>
      <c r="F74" s="94" t="str">
        <f>IF(OR(R74=0,V74=0),"",INDEX('CAD_RESÍDUOS'!$G$6:$G$205,MATCH(C74,'CAD_RESÍDUOS'!$B$6:$B$205,0))&amp;"")</f>
        <v/>
      </c>
      <c r="G74" s="98" t="n"/>
      <c r="H74" s="91" t="n"/>
      <c r="I74" s="93" t="str">
        <f>IF(R74=0,"",IF(NOT(ISNUMBER(G74)),"",IF(ISNUMBER(X74),G74*X74,"UNIDADE A CONFERIR")))</f>
        <v/>
      </c>
      <c r="J74" s="91" t="n"/>
      <c r="K74" s="91" t="n"/>
      <c r="L74" s="93" t="str">
        <f>IF(R74=0,"",SUMIFS('RECEBIMENTOS'!$H$6:$H$1005,'RECEBIMENTOS'!$R$6:$R$1005,A74,'RECEBIMENTOS'!$X$6:$X$1005,1))</f>
        <v/>
      </c>
      <c r="M74" s="93" t="str">
        <f>IF(R74=0,"",SUMIFS('VÍNCULOS_CDF'!$H$6:$H$1005,'VÍNCULOS_CDF'!$R$6:$R$1005,A74,'VÍNCULOS_CDF'!$V$6:$V$1005,1))</f>
        <v/>
      </c>
      <c r="N74" s="99" t="str">
        <f>IF(OR(R74=0,AA74=0,NOT(ISNUMBER(I74))),"",I74-N(L74))</f>
        <v/>
      </c>
      <c r="O74" s="100" t="str">
        <f>IF(OR(R74=0,AK74&lt;=0),"",N(M74)/AK74)</f>
        <v/>
      </c>
      <c r="P74" s="94" t="str">
        <f>IF(R74=0,"",IF(S74="","Sem MTR associado",IF(U74=0,"MTR inexistente",IF(C74="","Resíduo não identificado",IF(V74=0,"Resíduo fora do cadastro",IF(W74=0,"Quantidade inválida",IF(H74="","Unidade não informada",IF(NOT(ISNUMBER(I74)),"Unidade a conferir",IF(AND(AH74=1,K74&lt;&gt;"Sim"),"Possível duplicidade",IF(Z74=1,"MTR cancelado",IF(AC74&gt;0,"Recebimento com alerta",IF(AA74=0,"Aguardando recebimento",IF(AB74&lt;AA74,"Recebimento a conferir",IF(AM74=1,"Quantidade a revisar",IF(AF74&gt;0,"Vínculo a revisar",IF(AD74=0,"Aguardando CDF",IF(AN74=0,"Vínculo de CDF parcial",IF(AE74&lt;AD74,"CDF a conferir","Documentação conferida"))))))))))))))))))</f>
        <v/>
      </c>
      <c r="Q74" s="93" t="str">
        <f>IF(OR(R74=0,AA74=0),"",MAX(0,N(L74)-N(M74)))</f>
        <v/>
      </c>
      <c r="R74" s="96">
        <f>IF(COUNTA(B74:C74,G74:H74,J74:K74)&gt;0,1,0)</f>
        <v>0</v>
      </c>
      <c r="S74" s="96" t="str">
        <f>IF(B74="","",TRIM(LEFT(B74,FIND(" |",B74&amp;" |")-1)))</f>
        <v/>
      </c>
      <c r="T74" s="96" t="str">
        <f>IF(S74="","",IFERROR(MATCH(S74,'MTRs'!$A$6:$A$505,0),""))</f>
        <v/>
      </c>
      <c r="U74" s="96">
        <f>IF(T74="",0,IF(INDEX('MTRs'!$Z$6:$Z$505,T74)=1,1,0))</f>
        <v>0</v>
      </c>
      <c r="V74" s="96">
        <f>IF(C74="",0,IF(ISNUMBER(MATCH(C74,'CAD_RESÍDUOS'!$B$6:$B$205,0)),1,0))</f>
        <v>0</v>
      </c>
      <c r="W74" s="96">
        <f>IF(AND(ISNUMBER(G74),G74&gt;0),1,0)</f>
        <v>0</v>
      </c>
      <c r="X74" s="96" t="str">
        <f>IF(H74="","",IFERROR(IF(ISNUMBER(INDEX(cfg_fac,MATCH(H74,cfg_units,0))),IF(INDEX(cfg_fac,MATCH(H74,cfg_units,0))&gt;0,INDEX(cfg_fac,MATCH(H74,cfg_units,0)),""),""),""))</f>
        <v/>
      </c>
      <c r="Y74" s="96">
        <f>IF(AND(W74=1,ISNUMBER(I74)),1,0)</f>
        <v>0</v>
      </c>
      <c r="Z74" s="96">
        <f>IF(U74=1,INDEX('MTRs'!$AA$6:$AA$505,T74),0)</f>
        <v>0</v>
      </c>
      <c r="AA74" s="96">
        <f>IF(R74=0,0,COUNTIFS('RECEBIMENTOS'!$R$6:$R$1005,A74,'RECEBIMENTOS'!$Q$6:$Q$1005,1))</f>
        <v>0</v>
      </c>
      <c r="AB74" s="96">
        <f>IF(R74=0,0,COUNTIFS('RECEBIMENTOS'!$R$6:$R$1005,A74,'RECEBIMENTOS'!$Z$6:$Z$1005,1))</f>
        <v>0</v>
      </c>
      <c r="AC74" s="96">
        <f>IF(R74=0,0,COUNTIFS('RECEBIMENTOS'!$R$6:$R$1005,A74,'RECEBIMENTOS'!$Y$6:$Y$1005,1))</f>
        <v>0</v>
      </c>
      <c r="AD74" s="96">
        <f>IF(R74=0,0,COUNTIFS('VÍNCULOS_CDF'!$R$6:$R$1005,A74,'VÍNCULOS_CDF'!$N$6:$N$1005,1))</f>
        <v>0</v>
      </c>
      <c r="AE74" s="96">
        <f>IF(R74=0,0,COUNTIFS('VÍNCULOS_CDF'!$R$6:$R$1005,A74,'VÍNCULOS_CDF'!$AA$6:$AA$1005,1))</f>
        <v>0</v>
      </c>
      <c r="AF74" s="96">
        <f>IF(R74=0,0,COUNTIFS('VÍNCULOS_CDF'!$R$6:$R$1005,A74,'VÍNCULOS_CDF'!$Y$6:$Y$1005,1))</f>
        <v>0</v>
      </c>
      <c r="AG74" s="96" t="str">
        <f>IF(AND(R74=1,S74&lt;&gt;"",C74&lt;&gt;""),S74&amp;"|"&amp;C74&amp;"|"&amp;G74&amp;"|"&amp;H74,"")</f>
        <v/>
      </c>
      <c r="AH74" s="96">
        <f>IF(AG74="",0,IF(SUMPRODUCT(--($AG$6:$AG$1005=AG74))&gt;1,1,0))</f>
        <v>0</v>
      </c>
      <c r="AI74" s="96">
        <f>IF(R74=0,0,IF(OR(U74=0,V74=0,Y74=0,AND(AH74=1,K74&lt;&gt;"Sim")),1,0))</f>
        <v>0</v>
      </c>
      <c r="AJ74" s="96">
        <f>IF(AND(R74=1,AA74&gt;0,AB74=AA74),1,0)</f>
        <v>0</v>
      </c>
      <c r="AK74" s="96">
        <f>IF(R74=0,0,IF(AA74&gt;0,N(L74),IF(ISNUMBER(I74),I74,0)))</f>
        <v>0</v>
      </c>
      <c r="AL74" s="96">
        <f>IF(R74=0,0,IF(AND(K74&lt;&gt;"Sim",N(M74)&gt;AK74+cfg_tol),1,0))</f>
        <v>0</v>
      </c>
      <c r="AM74" s="96">
        <f>IF(R74=0,0,IF(K74="Sim",0,IF(OR(AND(AA74&gt;0,ISNUMBER(I74),ABS(I74-N(L74))&gt;cfg_tol),AL74=1),1,0)))</f>
        <v>0</v>
      </c>
      <c r="AN74" s="96">
        <f>IF(AND(R74=1,N(M74)&gt;0,OR(N(M74)&gt;=AK74-cfg_tol,K74="Sim")),1,0)</f>
        <v>0</v>
      </c>
      <c r="AO74" s="96">
        <f>IF(AND(AN74=1,AD74&gt;0,AE74=AD74,AL74=0),1,0)</f>
        <v>0</v>
      </c>
      <c r="AP74" s="96">
        <f>IF(U74=0,0,IF(AND(INDEX('MTRs'!$AX$6:$AX$505,T74)=1,Z74=0,OR(f_res="",f_res="(Todos)",C74=f_res)),1,0))</f>
        <v>0</v>
      </c>
      <c r="AQ74" s="97" t="str">
        <f>IF(U74=0,"",INDEX('MTRs'!$AZ$6:$AZ$505,T74))</f>
        <v/>
      </c>
      <c r="AR74" s="96">
        <f>IF(U74=0,0,IF(AND(INDEX('MTRs'!$BA$6:$BA$505,T74)=1,Z74=0),1,0))</f>
        <v>0</v>
      </c>
      <c r="AS74" s="96" t="str">
        <f>IF(R74=1,A74&amp;" | MTR "&amp;IF(U74=1,INDEX('MTRs'!$B$6:$B$505,T74)&amp;"","?")&amp;" | "&amp;IF(C74="","(sem resíduo)",C74),"")</f>
        <v/>
      </c>
      <c r="AT74" s="96" t="str">
        <f>IF(R74=1,COUNTIF($R$6:R74,1),"")</f>
        <v/>
      </c>
      <c r="AU74" s="96" t="str">
        <f>IF(U74=1,INDEX('MTRs'!$I$6:$I$505,T74)&amp;"","")</f>
        <v/>
      </c>
    </row>
    <row r="75">
      <c r="A75" s="89" t="inlineStr">
        <is>
          <t>IT-000070</t>
        </is>
      </c>
      <c r="B75" s="91" t="n"/>
      <c r="C75" s="91" t="n"/>
      <c r="D75" s="94" t="str">
        <f>IF(OR(R75=0,V75=0),"",INDEX('CAD_RESÍDUOS'!$E$6:$E$205,MATCH(C75,'CAD_RESÍDUOS'!$B$6:$B$205,0))&amp;"")</f>
        <v/>
      </c>
      <c r="E75" s="94" t="str">
        <f>IF(OR(R75=0,V75=0),"",INDEX('CAD_RESÍDUOS'!$C$6:$C$205,MATCH(C75,'CAD_RESÍDUOS'!$B$6:$B$205,0))&amp;"")</f>
        <v/>
      </c>
      <c r="F75" s="94" t="str">
        <f>IF(OR(R75=0,V75=0),"",INDEX('CAD_RESÍDUOS'!$G$6:$G$205,MATCH(C75,'CAD_RESÍDUOS'!$B$6:$B$205,0))&amp;"")</f>
        <v/>
      </c>
      <c r="G75" s="98" t="n"/>
      <c r="H75" s="91" t="n"/>
      <c r="I75" s="93" t="str">
        <f>IF(R75=0,"",IF(NOT(ISNUMBER(G75)),"",IF(ISNUMBER(X75),G75*X75,"UNIDADE A CONFERIR")))</f>
        <v/>
      </c>
      <c r="J75" s="91" t="n"/>
      <c r="K75" s="91" t="n"/>
      <c r="L75" s="93" t="str">
        <f>IF(R75=0,"",SUMIFS('RECEBIMENTOS'!$H$6:$H$1005,'RECEBIMENTOS'!$R$6:$R$1005,A75,'RECEBIMENTOS'!$X$6:$X$1005,1))</f>
        <v/>
      </c>
      <c r="M75" s="93" t="str">
        <f>IF(R75=0,"",SUMIFS('VÍNCULOS_CDF'!$H$6:$H$1005,'VÍNCULOS_CDF'!$R$6:$R$1005,A75,'VÍNCULOS_CDF'!$V$6:$V$1005,1))</f>
        <v/>
      </c>
      <c r="N75" s="99" t="str">
        <f>IF(OR(R75=0,AA75=0,NOT(ISNUMBER(I75))),"",I75-N(L75))</f>
        <v/>
      </c>
      <c r="O75" s="100" t="str">
        <f>IF(OR(R75=0,AK75&lt;=0),"",N(M75)/AK75)</f>
        <v/>
      </c>
      <c r="P75" s="94" t="str">
        <f>IF(R75=0,"",IF(S75="","Sem MTR associado",IF(U75=0,"MTR inexistente",IF(C75="","Resíduo não identificado",IF(V75=0,"Resíduo fora do cadastro",IF(W75=0,"Quantidade inválida",IF(H75="","Unidade não informada",IF(NOT(ISNUMBER(I75)),"Unidade a conferir",IF(AND(AH75=1,K75&lt;&gt;"Sim"),"Possível duplicidade",IF(Z75=1,"MTR cancelado",IF(AC75&gt;0,"Recebimento com alerta",IF(AA75=0,"Aguardando recebimento",IF(AB75&lt;AA75,"Recebimento a conferir",IF(AM75=1,"Quantidade a revisar",IF(AF75&gt;0,"Vínculo a revisar",IF(AD75=0,"Aguardando CDF",IF(AN75=0,"Vínculo de CDF parcial",IF(AE75&lt;AD75,"CDF a conferir","Documentação conferida"))))))))))))))))))</f>
        <v/>
      </c>
      <c r="Q75" s="93" t="str">
        <f>IF(OR(R75=0,AA75=0),"",MAX(0,N(L75)-N(M75)))</f>
        <v/>
      </c>
      <c r="R75" s="96">
        <f>IF(COUNTA(B75:C75,G75:H75,J75:K75)&gt;0,1,0)</f>
        <v>0</v>
      </c>
      <c r="S75" s="96" t="str">
        <f>IF(B75="","",TRIM(LEFT(B75,FIND(" |",B75&amp;" |")-1)))</f>
        <v/>
      </c>
      <c r="T75" s="96" t="str">
        <f>IF(S75="","",IFERROR(MATCH(S75,'MTRs'!$A$6:$A$505,0),""))</f>
        <v/>
      </c>
      <c r="U75" s="96">
        <f>IF(T75="",0,IF(INDEX('MTRs'!$Z$6:$Z$505,T75)=1,1,0))</f>
        <v>0</v>
      </c>
      <c r="V75" s="96">
        <f>IF(C75="",0,IF(ISNUMBER(MATCH(C75,'CAD_RESÍDUOS'!$B$6:$B$205,0)),1,0))</f>
        <v>0</v>
      </c>
      <c r="W75" s="96">
        <f>IF(AND(ISNUMBER(G75),G75&gt;0),1,0)</f>
        <v>0</v>
      </c>
      <c r="X75" s="96" t="str">
        <f>IF(H75="","",IFERROR(IF(ISNUMBER(INDEX(cfg_fac,MATCH(H75,cfg_units,0))),IF(INDEX(cfg_fac,MATCH(H75,cfg_units,0))&gt;0,INDEX(cfg_fac,MATCH(H75,cfg_units,0)),""),""),""))</f>
        <v/>
      </c>
      <c r="Y75" s="96">
        <f>IF(AND(W75=1,ISNUMBER(I75)),1,0)</f>
        <v>0</v>
      </c>
      <c r="Z75" s="96">
        <f>IF(U75=1,INDEX('MTRs'!$AA$6:$AA$505,T75),0)</f>
        <v>0</v>
      </c>
      <c r="AA75" s="96">
        <f>IF(R75=0,0,COUNTIFS('RECEBIMENTOS'!$R$6:$R$1005,A75,'RECEBIMENTOS'!$Q$6:$Q$1005,1))</f>
        <v>0</v>
      </c>
      <c r="AB75" s="96">
        <f>IF(R75=0,0,COUNTIFS('RECEBIMENTOS'!$R$6:$R$1005,A75,'RECEBIMENTOS'!$Z$6:$Z$1005,1))</f>
        <v>0</v>
      </c>
      <c r="AC75" s="96">
        <f>IF(R75=0,0,COUNTIFS('RECEBIMENTOS'!$R$6:$R$1005,A75,'RECEBIMENTOS'!$Y$6:$Y$1005,1))</f>
        <v>0</v>
      </c>
      <c r="AD75" s="96">
        <f>IF(R75=0,0,COUNTIFS('VÍNCULOS_CDF'!$R$6:$R$1005,A75,'VÍNCULOS_CDF'!$N$6:$N$1005,1))</f>
        <v>0</v>
      </c>
      <c r="AE75" s="96">
        <f>IF(R75=0,0,COUNTIFS('VÍNCULOS_CDF'!$R$6:$R$1005,A75,'VÍNCULOS_CDF'!$AA$6:$AA$1005,1))</f>
        <v>0</v>
      </c>
      <c r="AF75" s="96">
        <f>IF(R75=0,0,COUNTIFS('VÍNCULOS_CDF'!$R$6:$R$1005,A75,'VÍNCULOS_CDF'!$Y$6:$Y$1005,1))</f>
        <v>0</v>
      </c>
      <c r="AG75" s="96" t="str">
        <f>IF(AND(R75=1,S75&lt;&gt;"",C75&lt;&gt;""),S75&amp;"|"&amp;C75&amp;"|"&amp;G75&amp;"|"&amp;H75,"")</f>
        <v/>
      </c>
      <c r="AH75" s="96">
        <f>IF(AG75="",0,IF(SUMPRODUCT(--($AG$6:$AG$1005=AG75))&gt;1,1,0))</f>
        <v>0</v>
      </c>
      <c r="AI75" s="96">
        <f>IF(R75=0,0,IF(OR(U75=0,V75=0,Y75=0,AND(AH75=1,K75&lt;&gt;"Sim")),1,0))</f>
        <v>0</v>
      </c>
      <c r="AJ75" s="96">
        <f>IF(AND(R75=1,AA75&gt;0,AB75=AA75),1,0)</f>
        <v>0</v>
      </c>
      <c r="AK75" s="96">
        <f>IF(R75=0,0,IF(AA75&gt;0,N(L75),IF(ISNUMBER(I75),I75,0)))</f>
        <v>0</v>
      </c>
      <c r="AL75" s="96">
        <f>IF(R75=0,0,IF(AND(K75&lt;&gt;"Sim",N(M75)&gt;AK75+cfg_tol),1,0))</f>
        <v>0</v>
      </c>
      <c r="AM75" s="96">
        <f>IF(R75=0,0,IF(K75="Sim",0,IF(OR(AND(AA75&gt;0,ISNUMBER(I75),ABS(I75-N(L75))&gt;cfg_tol),AL75=1),1,0)))</f>
        <v>0</v>
      </c>
      <c r="AN75" s="96">
        <f>IF(AND(R75=1,N(M75)&gt;0,OR(N(M75)&gt;=AK75-cfg_tol,K75="Sim")),1,0)</f>
        <v>0</v>
      </c>
      <c r="AO75" s="96">
        <f>IF(AND(AN75=1,AD75&gt;0,AE75=AD75,AL75=0),1,0)</f>
        <v>0</v>
      </c>
      <c r="AP75" s="96">
        <f>IF(U75=0,0,IF(AND(INDEX('MTRs'!$AX$6:$AX$505,T75)=1,Z75=0,OR(f_res="",f_res="(Todos)",C75=f_res)),1,0))</f>
        <v>0</v>
      </c>
      <c r="AQ75" s="97" t="str">
        <f>IF(U75=0,"",INDEX('MTRs'!$AZ$6:$AZ$505,T75))</f>
        <v/>
      </c>
      <c r="AR75" s="96">
        <f>IF(U75=0,0,IF(AND(INDEX('MTRs'!$BA$6:$BA$505,T75)=1,Z75=0),1,0))</f>
        <v>0</v>
      </c>
      <c r="AS75" s="96" t="str">
        <f>IF(R75=1,A75&amp;" | MTR "&amp;IF(U75=1,INDEX('MTRs'!$B$6:$B$505,T75)&amp;"","?")&amp;" | "&amp;IF(C75="","(sem resíduo)",C75),"")</f>
        <v/>
      </c>
      <c r="AT75" s="96" t="str">
        <f>IF(R75=1,COUNTIF($R$6:R75,1),"")</f>
        <v/>
      </c>
      <c r="AU75" s="96" t="str">
        <f>IF(U75=1,INDEX('MTRs'!$I$6:$I$505,T75)&amp;"","")</f>
        <v/>
      </c>
    </row>
    <row r="76">
      <c r="A76" s="89" t="inlineStr">
        <is>
          <t>IT-000071</t>
        </is>
      </c>
      <c r="B76" s="91" t="n"/>
      <c r="C76" s="91" t="n"/>
      <c r="D76" s="94" t="str">
        <f>IF(OR(R76=0,V76=0),"",INDEX('CAD_RESÍDUOS'!$E$6:$E$205,MATCH(C76,'CAD_RESÍDUOS'!$B$6:$B$205,0))&amp;"")</f>
        <v/>
      </c>
      <c r="E76" s="94" t="str">
        <f>IF(OR(R76=0,V76=0),"",INDEX('CAD_RESÍDUOS'!$C$6:$C$205,MATCH(C76,'CAD_RESÍDUOS'!$B$6:$B$205,0))&amp;"")</f>
        <v/>
      </c>
      <c r="F76" s="94" t="str">
        <f>IF(OR(R76=0,V76=0),"",INDEX('CAD_RESÍDUOS'!$G$6:$G$205,MATCH(C76,'CAD_RESÍDUOS'!$B$6:$B$205,0))&amp;"")</f>
        <v/>
      </c>
      <c r="G76" s="98" t="n"/>
      <c r="H76" s="91" t="n"/>
      <c r="I76" s="93" t="str">
        <f>IF(R76=0,"",IF(NOT(ISNUMBER(G76)),"",IF(ISNUMBER(X76),G76*X76,"UNIDADE A CONFERIR")))</f>
        <v/>
      </c>
      <c r="J76" s="91" t="n"/>
      <c r="K76" s="91" t="n"/>
      <c r="L76" s="93" t="str">
        <f>IF(R76=0,"",SUMIFS('RECEBIMENTOS'!$H$6:$H$1005,'RECEBIMENTOS'!$R$6:$R$1005,A76,'RECEBIMENTOS'!$X$6:$X$1005,1))</f>
        <v/>
      </c>
      <c r="M76" s="93" t="str">
        <f>IF(R76=0,"",SUMIFS('VÍNCULOS_CDF'!$H$6:$H$1005,'VÍNCULOS_CDF'!$R$6:$R$1005,A76,'VÍNCULOS_CDF'!$V$6:$V$1005,1))</f>
        <v/>
      </c>
      <c r="N76" s="99" t="str">
        <f>IF(OR(R76=0,AA76=0,NOT(ISNUMBER(I76))),"",I76-N(L76))</f>
        <v/>
      </c>
      <c r="O76" s="100" t="str">
        <f>IF(OR(R76=0,AK76&lt;=0),"",N(M76)/AK76)</f>
        <v/>
      </c>
      <c r="P76" s="94" t="str">
        <f>IF(R76=0,"",IF(S76="","Sem MTR associado",IF(U76=0,"MTR inexistente",IF(C76="","Resíduo não identificado",IF(V76=0,"Resíduo fora do cadastro",IF(W76=0,"Quantidade inválida",IF(H76="","Unidade não informada",IF(NOT(ISNUMBER(I76)),"Unidade a conferir",IF(AND(AH76=1,K76&lt;&gt;"Sim"),"Possível duplicidade",IF(Z76=1,"MTR cancelado",IF(AC76&gt;0,"Recebimento com alerta",IF(AA76=0,"Aguardando recebimento",IF(AB76&lt;AA76,"Recebimento a conferir",IF(AM76=1,"Quantidade a revisar",IF(AF76&gt;0,"Vínculo a revisar",IF(AD76=0,"Aguardando CDF",IF(AN76=0,"Vínculo de CDF parcial",IF(AE76&lt;AD76,"CDF a conferir","Documentação conferida"))))))))))))))))))</f>
        <v/>
      </c>
      <c r="Q76" s="93" t="str">
        <f>IF(OR(R76=0,AA76=0),"",MAX(0,N(L76)-N(M76)))</f>
        <v/>
      </c>
      <c r="R76" s="96">
        <f>IF(COUNTA(B76:C76,G76:H76,J76:K76)&gt;0,1,0)</f>
        <v>0</v>
      </c>
      <c r="S76" s="96" t="str">
        <f>IF(B76="","",TRIM(LEFT(B76,FIND(" |",B76&amp;" |")-1)))</f>
        <v/>
      </c>
      <c r="T76" s="96" t="str">
        <f>IF(S76="","",IFERROR(MATCH(S76,'MTRs'!$A$6:$A$505,0),""))</f>
        <v/>
      </c>
      <c r="U76" s="96">
        <f>IF(T76="",0,IF(INDEX('MTRs'!$Z$6:$Z$505,T76)=1,1,0))</f>
        <v>0</v>
      </c>
      <c r="V76" s="96">
        <f>IF(C76="",0,IF(ISNUMBER(MATCH(C76,'CAD_RESÍDUOS'!$B$6:$B$205,0)),1,0))</f>
        <v>0</v>
      </c>
      <c r="W76" s="96">
        <f>IF(AND(ISNUMBER(G76),G76&gt;0),1,0)</f>
        <v>0</v>
      </c>
      <c r="X76" s="96" t="str">
        <f>IF(H76="","",IFERROR(IF(ISNUMBER(INDEX(cfg_fac,MATCH(H76,cfg_units,0))),IF(INDEX(cfg_fac,MATCH(H76,cfg_units,0))&gt;0,INDEX(cfg_fac,MATCH(H76,cfg_units,0)),""),""),""))</f>
        <v/>
      </c>
      <c r="Y76" s="96">
        <f>IF(AND(W76=1,ISNUMBER(I76)),1,0)</f>
        <v>0</v>
      </c>
      <c r="Z76" s="96">
        <f>IF(U76=1,INDEX('MTRs'!$AA$6:$AA$505,T76),0)</f>
        <v>0</v>
      </c>
      <c r="AA76" s="96">
        <f>IF(R76=0,0,COUNTIFS('RECEBIMENTOS'!$R$6:$R$1005,A76,'RECEBIMENTOS'!$Q$6:$Q$1005,1))</f>
        <v>0</v>
      </c>
      <c r="AB76" s="96">
        <f>IF(R76=0,0,COUNTIFS('RECEBIMENTOS'!$R$6:$R$1005,A76,'RECEBIMENTOS'!$Z$6:$Z$1005,1))</f>
        <v>0</v>
      </c>
      <c r="AC76" s="96">
        <f>IF(R76=0,0,COUNTIFS('RECEBIMENTOS'!$R$6:$R$1005,A76,'RECEBIMENTOS'!$Y$6:$Y$1005,1))</f>
        <v>0</v>
      </c>
      <c r="AD76" s="96">
        <f>IF(R76=0,0,COUNTIFS('VÍNCULOS_CDF'!$R$6:$R$1005,A76,'VÍNCULOS_CDF'!$N$6:$N$1005,1))</f>
        <v>0</v>
      </c>
      <c r="AE76" s="96">
        <f>IF(R76=0,0,COUNTIFS('VÍNCULOS_CDF'!$R$6:$R$1005,A76,'VÍNCULOS_CDF'!$AA$6:$AA$1005,1))</f>
        <v>0</v>
      </c>
      <c r="AF76" s="96">
        <f>IF(R76=0,0,COUNTIFS('VÍNCULOS_CDF'!$R$6:$R$1005,A76,'VÍNCULOS_CDF'!$Y$6:$Y$1005,1))</f>
        <v>0</v>
      </c>
      <c r="AG76" s="96" t="str">
        <f>IF(AND(R76=1,S76&lt;&gt;"",C76&lt;&gt;""),S76&amp;"|"&amp;C76&amp;"|"&amp;G76&amp;"|"&amp;H76,"")</f>
        <v/>
      </c>
      <c r="AH76" s="96">
        <f>IF(AG76="",0,IF(SUMPRODUCT(--($AG$6:$AG$1005=AG76))&gt;1,1,0))</f>
        <v>0</v>
      </c>
      <c r="AI76" s="96">
        <f>IF(R76=0,0,IF(OR(U76=0,V76=0,Y76=0,AND(AH76=1,K76&lt;&gt;"Sim")),1,0))</f>
        <v>0</v>
      </c>
      <c r="AJ76" s="96">
        <f>IF(AND(R76=1,AA76&gt;0,AB76=AA76),1,0)</f>
        <v>0</v>
      </c>
      <c r="AK76" s="96">
        <f>IF(R76=0,0,IF(AA76&gt;0,N(L76),IF(ISNUMBER(I76),I76,0)))</f>
        <v>0</v>
      </c>
      <c r="AL76" s="96">
        <f>IF(R76=0,0,IF(AND(K76&lt;&gt;"Sim",N(M76)&gt;AK76+cfg_tol),1,0))</f>
        <v>0</v>
      </c>
      <c r="AM76" s="96">
        <f>IF(R76=0,0,IF(K76="Sim",0,IF(OR(AND(AA76&gt;0,ISNUMBER(I76),ABS(I76-N(L76))&gt;cfg_tol),AL76=1),1,0)))</f>
        <v>0</v>
      </c>
      <c r="AN76" s="96">
        <f>IF(AND(R76=1,N(M76)&gt;0,OR(N(M76)&gt;=AK76-cfg_tol,K76="Sim")),1,0)</f>
        <v>0</v>
      </c>
      <c r="AO76" s="96">
        <f>IF(AND(AN76=1,AD76&gt;0,AE76=AD76,AL76=0),1,0)</f>
        <v>0</v>
      </c>
      <c r="AP76" s="96">
        <f>IF(U76=0,0,IF(AND(INDEX('MTRs'!$AX$6:$AX$505,T76)=1,Z76=0,OR(f_res="",f_res="(Todos)",C76=f_res)),1,0))</f>
        <v>0</v>
      </c>
      <c r="AQ76" s="97" t="str">
        <f>IF(U76=0,"",INDEX('MTRs'!$AZ$6:$AZ$505,T76))</f>
        <v/>
      </c>
      <c r="AR76" s="96">
        <f>IF(U76=0,0,IF(AND(INDEX('MTRs'!$BA$6:$BA$505,T76)=1,Z76=0),1,0))</f>
        <v>0</v>
      </c>
      <c r="AS76" s="96" t="str">
        <f>IF(R76=1,A76&amp;" | MTR "&amp;IF(U76=1,INDEX('MTRs'!$B$6:$B$505,T76)&amp;"","?")&amp;" | "&amp;IF(C76="","(sem resíduo)",C76),"")</f>
        <v/>
      </c>
      <c r="AT76" s="96" t="str">
        <f>IF(R76=1,COUNTIF($R$6:R76,1),"")</f>
        <v/>
      </c>
      <c r="AU76" s="96" t="str">
        <f>IF(U76=1,INDEX('MTRs'!$I$6:$I$505,T76)&amp;"","")</f>
        <v/>
      </c>
    </row>
    <row r="77">
      <c r="A77" s="89" t="inlineStr">
        <is>
          <t>IT-000072</t>
        </is>
      </c>
      <c r="B77" s="91" t="n"/>
      <c r="C77" s="91" t="n"/>
      <c r="D77" s="94" t="str">
        <f>IF(OR(R77=0,V77=0),"",INDEX('CAD_RESÍDUOS'!$E$6:$E$205,MATCH(C77,'CAD_RESÍDUOS'!$B$6:$B$205,0))&amp;"")</f>
        <v/>
      </c>
      <c r="E77" s="94" t="str">
        <f>IF(OR(R77=0,V77=0),"",INDEX('CAD_RESÍDUOS'!$C$6:$C$205,MATCH(C77,'CAD_RESÍDUOS'!$B$6:$B$205,0))&amp;"")</f>
        <v/>
      </c>
      <c r="F77" s="94" t="str">
        <f>IF(OR(R77=0,V77=0),"",INDEX('CAD_RESÍDUOS'!$G$6:$G$205,MATCH(C77,'CAD_RESÍDUOS'!$B$6:$B$205,0))&amp;"")</f>
        <v/>
      </c>
      <c r="G77" s="98" t="n"/>
      <c r="H77" s="91" t="n"/>
      <c r="I77" s="93" t="str">
        <f>IF(R77=0,"",IF(NOT(ISNUMBER(G77)),"",IF(ISNUMBER(X77),G77*X77,"UNIDADE A CONFERIR")))</f>
        <v/>
      </c>
      <c r="J77" s="91" t="n"/>
      <c r="K77" s="91" t="n"/>
      <c r="L77" s="93" t="str">
        <f>IF(R77=0,"",SUMIFS('RECEBIMENTOS'!$H$6:$H$1005,'RECEBIMENTOS'!$R$6:$R$1005,A77,'RECEBIMENTOS'!$X$6:$X$1005,1))</f>
        <v/>
      </c>
      <c r="M77" s="93" t="str">
        <f>IF(R77=0,"",SUMIFS('VÍNCULOS_CDF'!$H$6:$H$1005,'VÍNCULOS_CDF'!$R$6:$R$1005,A77,'VÍNCULOS_CDF'!$V$6:$V$1005,1))</f>
        <v/>
      </c>
      <c r="N77" s="99" t="str">
        <f>IF(OR(R77=0,AA77=0,NOT(ISNUMBER(I77))),"",I77-N(L77))</f>
        <v/>
      </c>
      <c r="O77" s="100" t="str">
        <f>IF(OR(R77=0,AK77&lt;=0),"",N(M77)/AK77)</f>
        <v/>
      </c>
      <c r="P77" s="94" t="str">
        <f>IF(R77=0,"",IF(S77="","Sem MTR associado",IF(U77=0,"MTR inexistente",IF(C77="","Resíduo não identificado",IF(V77=0,"Resíduo fora do cadastro",IF(W77=0,"Quantidade inválida",IF(H77="","Unidade não informada",IF(NOT(ISNUMBER(I77)),"Unidade a conferir",IF(AND(AH77=1,K77&lt;&gt;"Sim"),"Possível duplicidade",IF(Z77=1,"MTR cancelado",IF(AC77&gt;0,"Recebimento com alerta",IF(AA77=0,"Aguardando recebimento",IF(AB77&lt;AA77,"Recebimento a conferir",IF(AM77=1,"Quantidade a revisar",IF(AF77&gt;0,"Vínculo a revisar",IF(AD77=0,"Aguardando CDF",IF(AN77=0,"Vínculo de CDF parcial",IF(AE77&lt;AD77,"CDF a conferir","Documentação conferida"))))))))))))))))))</f>
        <v/>
      </c>
      <c r="Q77" s="93" t="str">
        <f>IF(OR(R77=0,AA77=0),"",MAX(0,N(L77)-N(M77)))</f>
        <v/>
      </c>
      <c r="R77" s="96">
        <f>IF(COUNTA(B77:C77,G77:H77,J77:K77)&gt;0,1,0)</f>
        <v>0</v>
      </c>
      <c r="S77" s="96" t="str">
        <f>IF(B77="","",TRIM(LEFT(B77,FIND(" |",B77&amp;" |")-1)))</f>
        <v/>
      </c>
      <c r="T77" s="96" t="str">
        <f>IF(S77="","",IFERROR(MATCH(S77,'MTRs'!$A$6:$A$505,0),""))</f>
        <v/>
      </c>
      <c r="U77" s="96">
        <f>IF(T77="",0,IF(INDEX('MTRs'!$Z$6:$Z$505,T77)=1,1,0))</f>
        <v>0</v>
      </c>
      <c r="V77" s="96">
        <f>IF(C77="",0,IF(ISNUMBER(MATCH(C77,'CAD_RESÍDUOS'!$B$6:$B$205,0)),1,0))</f>
        <v>0</v>
      </c>
      <c r="W77" s="96">
        <f>IF(AND(ISNUMBER(G77),G77&gt;0),1,0)</f>
        <v>0</v>
      </c>
      <c r="X77" s="96" t="str">
        <f>IF(H77="","",IFERROR(IF(ISNUMBER(INDEX(cfg_fac,MATCH(H77,cfg_units,0))),IF(INDEX(cfg_fac,MATCH(H77,cfg_units,0))&gt;0,INDEX(cfg_fac,MATCH(H77,cfg_units,0)),""),""),""))</f>
        <v/>
      </c>
      <c r="Y77" s="96">
        <f>IF(AND(W77=1,ISNUMBER(I77)),1,0)</f>
        <v>0</v>
      </c>
      <c r="Z77" s="96">
        <f>IF(U77=1,INDEX('MTRs'!$AA$6:$AA$505,T77),0)</f>
        <v>0</v>
      </c>
      <c r="AA77" s="96">
        <f>IF(R77=0,0,COUNTIFS('RECEBIMENTOS'!$R$6:$R$1005,A77,'RECEBIMENTOS'!$Q$6:$Q$1005,1))</f>
        <v>0</v>
      </c>
      <c r="AB77" s="96">
        <f>IF(R77=0,0,COUNTIFS('RECEBIMENTOS'!$R$6:$R$1005,A77,'RECEBIMENTOS'!$Z$6:$Z$1005,1))</f>
        <v>0</v>
      </c>
      <c r="AC77" s="96">
        <f>IF(R77=0,0,COUNTIFS('RECEBIMENTOS'!$R$6:$R$1005,A77,'RECEBIMENTOS'!$Y$6:$Y$1005,1))</f>
        <v>0</v>
      </c>
      <c r="AD77" s="96">
        <f>IF(R77=0,0,COUNTIFS('VÍNCULOS_CDF'!$R$6:$R$1005,A77,'VÍNCULOS_CDF'!$N$6:$N$1005,1))</f>
        <v>0</v>
      </c>
      <c r="AE77" s="96">
        <f>IF(R77=0,0,COUNTIFS('VÍNCULOS_CDF'!$R$6:$R$1005,A77,'VÍNCULOS_CDF'!$AA$6:$AA$1005,1))</f>
        <v>0</v>
      </c>
      <c r="AF77" s="96">
        <f>IF(R77=0,0,COUNTIFS('VÍNCULOS_CDF'!$R$6:$R$1005,A77,'VÍNCULOS_CDF'!$Y$6:$Y$1005,1))</f>
        <v>0</v>
      </c>
      <c r="AG77" s="96" t="str">
        <f>IF(AND(R77=1,S77&lt;&gt;"",C77&lt;&gt;""),S77&amp;"|"&amp;C77&amp;"|"&amp;G77&amp;"|"&amp;H77,"")</f>
        <v/>
      </c>
      <c r="AH77" s="96">
        <f>IF(AG77="",0,IF(SUMPRODUCT(--($AG$6:$AG$1005=AG77))&gt;1,1,0))</f>
        <v>0</v>
      </c>
      <c r="AI77" s="96">
        <f>IF(R77=0,0,IF(OR(U77=0,V77=0,Y77=0,AND(AH77=1,K77&lt;&gt;"Sim")),1,0))</f>
        <v>0</v>
      </c>
      <c r="AJ77" s="96">
        <f>IF(AND(R77=1,AA77&gt;0,AB77=AA77),1,0)</f>
        <v>0</v>
      </c>
      <c r="AK77" s="96">
        <f>IF(R77=0,0,IF(AA77&gt;0,N(L77),IF(ISNUMBER(I77),I77,0)))</f>
        <v>0</v>
      </c>
      <c r="AL77" s="96">
        <f>IF(R77=0,0,IF(AND(K77&lt;&gt;"Sim",N(M77)&gt;AK77+cfg_tol),1,0))</f>
        <v>0</v>
      </c>
      <c r="AM77" s="96">
        <f>IF(R77=0,0,IF(K77="Sim",0,IF(OR(AND(AA77&gt;0,ISNUMBER(I77),ABS(I77-N(L77))&gt;cfg_tol),AL77=1),1,0)))</f>
        <v>0</v>
      </c>
      <c r="AN77" s="96">
        <f>IF(AND(R77=1,N(M77)&gt;0,OR(N(M77)&gt;=AK77-cfg_tol,K77="Sim")),1,0)</f>
        <v>0</v>
      </c>
      <c r="AO77" s="96">
        <f>IF(AND(AN77=1,AD77&gt;0,AE77=AD77,AL77=0),1,0)</f>
        <v>0</v>
      </c>
      <c r="AP77" s="96">
        <f>IF(U77=0,0,IF(AND(INDEX('MTRs'!$AX$6:$AX$505,T77)=1,Z77=0,OR(f_res="",f_res="(Todos)",C77=f_res)),1,0))</f>
        <v>0</v>
      </c>
      <c r="AQ77" s="97" t="str">
        <f>IF(U77=0,"",INDEX('MTRs'!$AZ$6:$AZ$505,T77))</f>
        <v/>
      </c>
      <c r="AR77" s="96">
        <f>IF(U77=0,0,IF(AND(INDEX('MTRs'!$BA$6:$BA$505,T77)=1,Z77=0),1,0))</f>
        <v>0</v>
      </c>
      <c r="AS77" s="96" t="str">
        <f>IF(R77=1,A77&amp;" | MTR "&amp;IF(U77=1,INDEX('MTRs'!$B$6:$B$505,T77)&amp;"","?")&amp;" | "&amp;IF(C77="","(sem resíduo)",C77),"")</f>
        <v/>
      </c>
      <c r="AT77" s="96" t="str">
        <f>IF(R77=1,COUNTIF($R$6:R77,1),"")</f>
        <v/>
      </c>
      <c r="AU77" s="96" t="str">
        <f>IF(U77=1,INDEX('MTRs'!$I$6:$I$505,T77)&amp;"","")</f>
        <v/>
      </c>
    </row>
    <row r="78">
      <c r="A78" s="89" t="inlineStr">
        <is>
          <t>IT-000073</t>
        </is>
      </c>
      <c r="B78" s="91" t="n"/>
      <c r="C78" s="91" t="n"/>
      <c r="D78" s="94" t="str">
        <f>IF(OR(R78=0,V78=0),"",INDEX('CAD_RESÍDUOS'!$E$6:$E$205,MATCH(C78,'CAD_RESÍDUOS'!$B$6:$B$205,0))&amp;"")</f>
        <v/>
      </c>
      <c r="E78" s="94" t="str">
        <f>IF(OR(R78=0,V78=0),"",INDEX('CAD_RESÍDUOS'!$C$6:$C$205,MATCH(C78,'CAD_RESÍDUOS'!$B$6:$B$205,0))&amp;"")</f>
        <v/>
      </c>
      <c r="F78" s="94" t="str">
        <f>IF(OR(R78=0,V78=0),"",INDEX('CAD_RESÍDUOS'!$G$6:$G$205,MATCH(C78,'CAD_RESÍDUOS'!$B$6:$B$205,0))&amp;"")</f>
        <v/>
      </c>
      <c r="G78" s="98" t="n"/>
      <c r="H78" s="91" t="n"/>
      <c r="I78" s="93" t="str">
        <f>IF(R78=0,"",IF(NOT(ISNUMBER(G78)),"",IF(ISNUMBER(X78),G78*X78,"UNIDADE A CONFERIR")))</f>
        <v/>
      </c>
      <c r="J78" s="91" t="n"/>
      <c r="K78" s="91" t="n"/>
      <c r="L78" s="93" t="str">
        <f>IF(R78=0,"",SUMIFS('RECEBIMENTOS'!$H$6:$H$1005,'RECEBIMENTOS'!$R$6:$R$1005,A78,'RECEBIMENTOS'!$X$6:$X$1005,1))</f>
        <v/>
      </c>
      <c r="M78" s="93" t="str">
        <f>IF(R78=0,"",SUMIFS('VÍNCULOS_CDF'!$H$6:$H$1005,'VÍNCULOS_CDF'!$R$6:$R$1005,A78,'VÍNCULOS_CDF'!$V$6:$V$1005,1))</f>
        <v/>
      </c>
      <c r="N78" s="99" t="str">
        <f>IF(OR(R78=0,AA78=0,NOT(ISNUMBER(I78))),"",I78-N(L78))</f>
        <v/>
      </c>
      <c r="O78" s="100" t="str">
        <f>IF(OR(R78=0,AK78&lt;=0),"",N(M78)/AK78)</f>
        <v/>
      </c>
      <c r="P78" s="94" t="str">
        <f>IF(R78=0,"",IF(S78="","Sem MTR associado",IF(U78=0,"MTR inexistente",IF(C78="","Resíduo não identificado",IF(V78=0,"Resíduo fora do cadastro",IF(W78=0,"Quantidade inválida",IF(H78="","Unidade não informada",IF(NOT(ISNUMBER(I78)),"Unidade a conferir",IF(AND(AH78=1,K78&lt;&gt;"Sim"),"Possível duplicidade",IF(Z78=1,"MTR cancelado",IF(AC78&gt;0,"Recebimento com alerta",IF(AA78=0,"Aguardando recebimento",IF(AB78&lt;AA78,"Recebimento a conferir",IF(AM78=1,"Quantidade a revisar",IF(AF78&gt;0,"Vínculo a revisar",IF(AD78=0,"Aguardando CDF",IF(AN78=0,"Vínculo de CDF parcial",IF(AE78&lt;AD78,"CDF a conferir","Documentação conferida"))))))))))))))))))</f>
        <v/>
      </c>
      <c r="Q78" s="93" t="str">
        <f>IF(OR(R78=0,AA78=0),"",MAX(0,N(L78)-N(M78)))</f>
        <v/>
      </c>
      <c r="R78" s="96">
        <f>IF(COUNTA(B78:C78,G78:H78,J78:K78)&gt;0,1,0)</f>
        <v>0</v>
      </c>
      <c r="S78" s="96" t="str">
        <f>IF(B78="","",TRIM(LEFT(B78,FIND(" |",B78&amp;" |")-1)))</f>
        <v/>
      </c>
      <c r="T78" s="96" t="str">
        <f>IF(S78="","",IFERROR(MATCH(S78,'MTRs'!$A$6:$A$505,0),""))</f>
        <v/>
      </c>
      <c r="U78" s="96">
        <f>IF(T78="",0,IF(INDEX('MTRs'!$Z$6:$Z$505,T78)=1,1,0))</f>
        <v>0</v>
      </c>
      <c r="V78" s="96">
        <f>IF(C78="",0,IF(ISNUMBER(MATCH(C78,'CAD_RESÍDUOS'!$B$6:$B$205,0)),1,0))</f>
        <v>0</v>
      </c>
      <c r="W78" s="96">
        <f>IF(AND(ISNUMBER(G78),G78&gt;0),1,0)</f>
        <v>0</v>
      </c>
      <c r="X78" s="96" t="str">
        <f>IF(H78="","",IFERROR(IF(ISNUMBER(INDEX(cfg_fac,MATCH(H78,cfg_units,0))),IF(INDEX(cfg_fac,MATCH(H78,cfg_units,0))&gt;0,INDEX(cfg_fac,MATCH(H78,cfg_units,0)),""),""),""))</f>
        <v/>
      </c>
      <c r="Y78" s="96">
        <f>IF(AND(W78=1,ISNUMBER(I78)),1,0)</f>
        <v>0</v>
      </c>
      <c r="Z78" s="96">
        <f>IF(U78=1,INDEX('MTRs'!$AA$6:$AA$505,T78),0)</f>
        <v>0</v>
      </c>
      <c r="AA78" s="96">
        <f>IF(R78=0,0,COUNTIFS('RECEBIMENTOS'!$R$6:$R$1005,A78,'RECEBIMENTOS'!$Q$6:$Q$1005,1))</f>
        <v>0</v>
      </c>
      <c r="AB78" s="96">
        <f>IF(R78=0,0,COUNTIFS('RECEBIMENTOS'!$R$6:$R$1005,A78,'RECEBIMENTOS'!$Z$6:$Z$1005,1))</f>
        <v>0</v>
      </c>
      <c r="AC78" s="96">
        <f>IF(R78=0,0,COUNTIFS('RECEBIMENTOS'!$R$6:$R$1005,A78,'RECEBIMENTOS'!$Y$6:$Y$1005,1))</f>
        <v>0</v>
      </c>
      <c r="AD78" s="96">
        <f>IF(R78=0,0,COUNTIFS('VÍNCULOS_CDF'!$R$6:$R$1005,A78,'VÍNCULOS_CDF'!$N$6:$N$1005,1))</f>
        <v>0</v>
      </c>
      <c r="AE78" s="96">
        <f>IF(R78=0,0,COUNTIFS('VÍNCULOS_CDF'!$R$6:$R$1005,A78,'VÍNCULOS_CDF'!$AA$6:$AA$1005,1))</f>
        <v>0</v>
      </c>
      <c r="AF78" s="96">
        <f>IF(R78=0,0,COUNTIFS('VÍNCULOS_CDF'!$R$6:$R$1005,A78,'VÍNCULOS_CDF'!$Y$6:$Y$1005,1))</f>
        <v>0</v>
      </c>
      <c r="AG78" s="96" t="str">
        <f>IF(AND(R78=1,S78&lt;&gt;"",C78&lt;&gt;""),S78&amp;"|"&amp;C78&amp;"|"&amp;G78&amp;"|"&amp;H78,"")</f>
        <v/>
      </c>
      <c r="AH78" s="96">
        <f>IF(AG78="",0,IF(SUMPRODUCT(--($AG$6:$AG$1005=AG78))&gt;1,1,0))</f>
        <v>0</v>
      </c>
      <c r="AI78" s="96">
        <f>IF(R78=0,0,IF(OR(U78=0,V78=0,Y78=0,AND(AH78=1,K78&lt;&gt;"Sim")),1,0))</f>
        <v>0</v>
      </c>
      <c r="AJ78" s="96">
        <f>IF(AND(R78=1,AA78&gt;0,AB78=AA78),1,0)</f>
        <v>0</v>
      </c>
      <c r="AK78" s="96">
        <f>IF(R78=0,0,IF(AA78&gt;0,N(L78),IF(ISNUMBER(I78),I78,0)))</f>
        <v>0</v>
      </c>
      <c r="AL78" s="96">
        <f>IF(R78=0,0,IF(AND(K78&lt;&gt;"Sim",N(M78)&gt;AK78+cfg_tol),1,0))</f>
        <v>0</v>
      </c>
      <c r="AM78" s="96">
        <f>IF(R78=0,0,IF(K78="Sim",0,IF(OR(AND(AA78&gt;0,ISNUMBER(I78),ABS(I78-N(L78))&gt;cfg_tol),AL78=1),1,0)))</f>
        <v>0</v>
      </c>
      <c r="AN78" s="96">
        <f>IF(AND(R78=1,N(M78)&gt;0,OR(N(M78)&gt;=AK78-cfg_tol,K78="Sim")),1,0)</f>
        <v>0</v>
      </c>
      <c r="AO78" s="96">
        <f>IF(AND(AN78=1,AD78&gt;0,AE78=AD78,AL78=0),1,0)</f>
        <v>0</v>
      </c>
      <c r="AP78" s="96">
        <f>IF(U78=0,0,IF(AND(INDEX('MTRs'!$AX$6:$AX$505,T78)=1,Z78=0,OR(f_res="",f_res="(Todos)",C78=f_res)),1,0))</f>
        <v>0</v>
      </c>
      <c r="AQ78" s="97" t="str">
        <f>IF(U78=0,"",INDEX('MTRs'!$AZ$6:$AZ$505,T78))</f>
        <v/>
      </c>
      <c r="AR78" s="96">
        <f>IF(U78=0,0,IF(AND(INDEX('MTRs'!$BA$6:$BA$505,T78)=1,Z78=0),1,0))</f>
        <v>0</v>
      </c>
      <c r="AS78" s="96" t="str">
        <f>IF(R78=1,A78&amp;" | MTR "&amp;IF(U78=1,INDEX('MTRs'!$B$6:$B$505,T78)&amp;"","?")&amp;" | "&amp;IF(C78="","(sem resíduo)",C78),"")</f>
        <v/>
      </c>
      <c r="AT78" s="96" t="str">
        <f>IF(R78=1,COUNTIF($R$6:R78,1),"")</f>
        <v/>
      </c>
      <c r="AU78" s="96" t="str">
        <f>IF(U78=1,INDEX('MTRs'!$I$6:$I$505,T78)&amp;"","")</f>
        <v/>
      </c>
    </row>
    <row r="79">
      <c r="A79" s="89" t="inlineStr">
        <is>
          <t>IT-000074</t>
        </is>
      </c>
      <c r="B79" s="91" t="n"/>
      <c r="C79" s="91" t="n"/>
      <c r="D79" s="94" t="str">
        <f>IF(OR(R79=0,V79=0),"",INDEX('CAD_RESÍDUOS'!$E$6:$E$205,MATCH(C79,'CAD_RESÍDUOS'!$B$6:$B$205,0))&amp;"")</f>
        <v/>
      </c>
      <c r="E79" s="94" t="str">
        <f>IF(OR(R79=0,V79=0),"",INDEX('CAD_RESÍDUOS'!$C$6:$C$205,MATCH(C79,'CAD_RESÍDUOS'!$B$6:$B$205,0))&amp;"")</f>
        <v/>
      </c>
      <c r="F79" s="94" t="str">
        <f>IF(OR(R79=0,V79=0),"",INDEX('CAD_RESÍDUOS'!$G$6:$G$205,MATCH(C79,'CAD_RESÍDUOS'!$B$6:$B$205,0))&amp;"")</f>
        <v/>
      </c>
      <c r="G79" s="98" t="n"/>
      <c r="H79" s="91" t="n"/>
      <c r="I79" s="93" t="str">
        <f>IF(R79=0,"",IF(NOT(ISNUMBER(G79)),"",IF(ISNUMBER(X79),G79*X79,"UNIDADE A CONFERIR")))</f>
        <v/>
      </c>
      <c r="J79" s="91" t="n"/>
      <c r="K79" s="91" t="n"/>
      <c r="L79" s="93" t="str">
        <f>IF(R79=0,"",SUMIFS('RECEBIMENTOS'!$H$6:$H$1005,'RECEBIMENTOS'!$R$6:$R$1005,A79,'RECEBIMENTOS'!$X$6:$X$1005,1))</f>
        <v/>
      </c>
      <c r="M79" s="93" t="str">
        <f>IF(R79=0,"",SUMIFS('VÍNCULOS_CDF'!$H$6:$H$1005,'VÍNCULOS_CDF'!$R$6:$R$1005,A79,'VÍNCULOS_CDF'!$V$6:$V$1005,1))</f>
        <v/>
      </c>
      <c r="N79" s="99" t="str">
        <f>IF(OR(R79=0,AA79=0,NOT(ISNUMBER(I79))),"",I79-N(L79))</f>
        <v/>
      </c>
      <c r="O79" s="100" t="str">
        <f>IF(OR(R79=0,AK79&lt;=0),"",N(M79)/AK79)</f>
        <v/>
      </c>
      <c r="P79" s="94" t="str">
        <f>IF(R79=0,"",IF(S79="","Sem MTR associado",IF(U79=0,"MTR inexistente",IF(C79="","Resíduo não identificado",IF(V79=0,"Resíduo fora do cadastro",IF(W79=0,"Quantidade inválida",IF(H79="","Unidade não informada",IF(NOT(ISNUMBER(I79)),"Unidade a conferir",IF(AND(AH79=1,K79&lt;&gt;"Sim"),"Possível duplicidade",IF(Z79=1,"MTR cancelado",IF(AC79&gt;0,"Recebimento com alerta",IF(AA79=0,"Aguardando recebimento",IF(AB79&lt;AA79,"Recebimento a conferir",IF(AM79=1,"Quantidade a revisar",IF(AF79&gt;0,"Vínculo a revisar",IF(AD79=0,"Aguardando CDF",IF(AN79=0,"Vínculo de CDF parcial",IF(AE79&lt;AD79,"CDF a conferir","Documentação conferida"))))))))))))))))))</f>
        <v/>
      </c>
      <c r="Q79" s="93" t="str">
        <f>IF(OR(R79=0,AA79=0),"",MAX(0,N(L79)-N(M79)))</f>
        <v/>
      </c>
      <c r="R79" s="96">
        <f>IF(COUNTA(B79:C79,G79:H79,J79:K79)&gt;0,1,0)</f>
        <v>0</v>
      </c>
      <c r="S79" s="96" t="str">
        <f>IF(B79="","",TRIM(LEFT(B79,FIND(" |",B79&amp;" |")-1)))</f>
        <v/>
      </c>
      <c r="T79" s="96" t="str">
        <f>IF(S79="","",IFERROR(MATCH(S79,'MTRs'!$A$6:$A$505,0),""))</f>
        <v/>
      </c>
      <c r="U79" s="96">
        <f>IF(T79="",0,IF(INDEX('MTRs'!$Z$6:$Z$505,T79)=1,1,0))</f>
        <v>0</v>
      </c>
      <c r="V79" s="96">
        <f>IF(C79="",0,IF(ISNUMBER(MATCH(C79,'CAD_RESÍDUOS'!$B$6:$B$205,0)),1,0))</f>
        <v>0</v>
      </c>
      <c r="W79" s="96">
        <f>IF(AND(ISNUMBER(G79),G79&gt;0),1,0)</f>
        <v>0</v>
      </c>
      <c r="X79" s="96" t="str">
        <f>IF(H79="","",IFERROR(IF(ISNUMBER(INDEX(cfg_fac,MATCH(H79,cfg_units,0))),IF(INDEX(cfg_fac,MATCH(H79,cfg_units,0))&gt;0,INDEX(cfg_fac,MATCH(H79,cfg_units,0)),""),""),""))</f>
        <v/>
      </c>
      <c r="Y79" s="96">
        <f>IF(AND(W79=1,ISNUMBER(I79)),1,0)</f>
        <v>0</v>
      </c>
      <c r="Z79" s="96">
        <f>IF(U79=1,INDEX('MTRs'!$AA$6:$AA$505,T79),0)</f>
        <v>0</v>
      </c>
      <c r="AA79" s="96">
        <f>IF(R79=0,0,COUNTIFS('RECEBIMENTOS'!$R$6:$R$1005,A79,'RECEBIMENTOS'!$Q$6:$Q$1005,1))</f>
        <v>0</v>
      </c>
      <c r="AB79" s="96">
        <f>IF(R79=0,0,COUNTIFS('RECEBIMENTOS'!$R$6:$R$1005,A79,'RECEBIMENTOS'!$Z$6:$Z$1005,1))</f>
        <v>0</v>
      </c>
      <c r="AC79" s="96">
        <f>IF(R79=0,0,COUNTIFS('RECEBIMENTOS'!$R$6:$R$1005,A79,'RECEBIMENTOS'!$Y$6:$Y$1005,1))</f>
        <v>0</v>
      </c>
      <c r="AD79" s="96">
        <f>IF(R79=0,0,COUNTIFS('VÍNCULOS_CDF'!$R$6:$R$1005,A79,'VÍNCULOS_CDF'!$N$6:$N$1005,1))</f>
        <v>0</v>
      </c>
      <c r="AE79" s="96">
        <f>IF(R79=0,0,COUNTIFS('VÍNCULOS_CDF'!$R$6:$R$1005,A79,'VÍNCULOS_CDF'!$AA$6:$AA$1005,1))</f>
        <v>0</v>
      </c>
      <c r="AF79" s="96">
        <f>IF(R79=0,0,COUNTIFS('VÍNCULOS_CDF'!$R$6:$R$1005,A79,'VÍNCULOS_CDF'!$Y$6:$Y$1005,1))</f>
        <v>0</v>
      </c>
      <c r="AG79" s="96" t="str">
        <f>IF(AND(R79=1,S79&lt;&gt;"",C79&lt;&gt;""),S79&amp;"|"&amp;C79&amp;"|"&amp;G79&amp;"|"&amp;H79,"")</f>
        <v/>
      </c>
      <c r="AH79" s="96">
        <f>IF(AG79="",0,IF(SUMPRODUCT(--($AG$6:$AG$1005=AG79))&gt;1,1,0))</f>
        <v>0</v>
      </c>
      <c r="AI79" s="96">
        <f>IF(R79=0,0,IF(OR(U79=0,V79=0,Y79=0,AND(AH79=1,K79&lt;&gt;"Sim")),1,0))</f>
        <v>0</v>
      </c>
      <c r="AJ79" s="96">
        <f>IF(AND(R79=1,AA79&gt;0,AB79=AA79),1,0)</f>
        <v>0</v>
      </c>
      <c r="AK79" s="96">
        <f>IF(R79=0,0,IF(AA79&gt;0,N(L79),IF(ISNUMBER(I79),I79,0)))</f>
        <v>0</v>
      </c>
      <c r="AL79" s="96">
        <f>IF(R79=0,0,IF(AND(K79&lt;&gt;"Sim",N(M79)&gt;AK79+cfg_tol),1,0))</f>
        <v>0</v>
      </c>
      <c r="AM79" s="96">
        <f>IF(R79=0,0,IF(K79="Sim",0,IF(OR(AND(AA79&gt;0,ISNUMBER(I79),ABS(I79-N(L79))&gt;cfg_tol),AL79=1),1,0)))</f>
        <v>0</v>
      </c>
      <c r="AN79" s="96">
        <f>IF(AND(R79=1,N(M79)&gt;0,OR(N(M79)&gt;=AK79-cfg_tol,K79="Sim")),1,0)</f>
        <v>0</v>
      </c>
      <c r="AO79" s="96">
        <f>IF(AND(AN79=1,AD79&gt;0,AE79=AD79,AL79=0),1,0)</f>
        <v>0</v>
      </c>
      <c r="AP79" s="96">
        <f>IF(U79=0,0,IF(AND(INDEX('MTRs'!$AX$6:$AX$505,T79)=1,Z79=0,OR(f_res="",f_res="(Todos)",C79=f_res)),1,0))</f>
        <v>0</v>
      </c>
      <c r="AQ79" s="97" t="str">
        <f>IF(U79=0,"",INDEX('MTRs'!$AZ$6:$AZ$505,T79))</f>
        <v/>
      </c>
      <c r="AR79" s="96">
        <f>IF(U79=0,0,IF(AND(INDEX('MTRs'!$BA$6:$BA$505,T79)=1,Z79=0),1,0))</f>
        <v>0</v>
      </c>
      <c r="AS79" s="96" t="str">
        <f>IF(R79=1,A79&amp;" | MTR "&amp;IF(U79=1,INDEX('MTRs'!$B$6:$B$505,T79)&amp;"","?")&amp;" | "&amp;IF(C79="","(sem resíduo)",C79),"")</f>
        <v/>
      </c>
      <c r="AT79" s="96" t="str">
        <f>IF(R79=1,COUNTIF($R$6:R79,1),"")</f>
        <v/>
      </c>
      <c r="AU79" s="96" t="str">
        <f>IF(U79=1,INDEX('MTRs'!$I$6:$I$505,T79)&amp;"","")</f>
        <v/>
      </c>
    </row>
    <row r="80">
      <c r="A80" s="89" t="inlineStr">
        <is>
          <t>IT-000075</t>
        </is>
      </c>
      <c r="B80" s="91" t="n"/>
      <c r="C80" s="91" t="n"/>
      <c r="D80" s="94" t="str">
        <f>IF(OR(R80=0,V80=0),"",INDEX('CAD_RESÍDUOS'!$E$6:$E$205,MATCH(C80,'CAD_RESÍDUOS'!$B$6:$B$205,0))&amp;"")</f>
        <v/>
      </c>
      <c r="E80" s="94" t="str">
        <f>IF(OR(R80=0,V80=0),"",INDEX('CAD_RESÍDUOS'!$C$6:$C$205,MATCH(C80,'CAD_RESÍDUOS'!$B$6:$B$205,0))&amp;"")</f>
        <v/>
      </c>
      <c r="F80" s="94" t="str">
        <f>IF(OR(R80=0,V80=0),"",INDEX('CAD_RESÍDUOS'!$G$6:$G$205,MATCH(C80,'CAD_RESÍDUOS'!$B$6:$B$205,0))&amp;"")</f>
        <v/>
      </c>
      <c r="G80" s="98" t="n"/>
      <c r="H80" s="91" t="n"/>
      <c r="I80" s="93" t="str">
        <f>IF(R80=0,"",IF(NOT(ISNUMBER(G80)),"",IF(ISNUMBER(X80),G80*X80,"UNIDADE A CONFERIR")))</f>
        <v/>
      </c>
      <c r="J80" s="91" t="n"/>
      <c r="K80" s="91" t="n"/>
      <c r="L80" s="93" t="str">
        <f>IF(R80=0,"",SUMIFS('RECEBIMENTOS'!$H$6:$H$1005,'RECEBIMENTOS'!$R$6:$R$1005,A80,'RECEBIMENTOS'!$X$6:$X$1005,1))</f>
        <v/>
      </c>
      <c r="M80" s="93" t="str">
        <f>IF(R80=0,"",SUMIFS('VÍNCULOS_CDF'!$H$6:$H$1005,'VÍNCULOS_CDF'!$R$6:$R$1005,A80,'VÍNCULOS_CDF'!$V$6:$V$1005,1))</f>
        <v/>
      </c>
      <c r="N80" s="99" t="str">
        <f>IF(OR(R80=0,AA80=0,NOT(ISNUMBER(I80))),"",I80-N(L80))</f>
        <v/>
      </c>
      <c r="O80" s="100" t="str">
        <f>IF(OR(R80=0,AK80&lt;=0),"",N(M80)/AK80)</f>
        <v/>
      </c>
      <c r="P80" s="94" t="str">
        <f>IF(R80=0,"",IF(S80="","Sem MTR associado",IF(U80=0,"MTR inexistente",IF(C80="","Resíduo não identificado",IF(V80=0,"Resíduo fora do cadastro",IF(W80=0,"Quantidade inválida",IF(H80="","Unidade não informada",IF(NOT(ISNUMBER(I80)),"Unidade a conferir",IF(AND(AH80=1,K80&lt;&gt;"Sim"),"Possível duplicidade",IF(Z80=1,"MTR cancelado",IF(AC80&gt;0,"Recebimento com alerta",IF(AA80=0,"Aguardando recebimento",IF(AB80&lt;AA80,"Recebimento a conferir",IF(AM80=1,"Quantidade a revisar",IF(AF80&gt;0,"Vínculo a revisar",IF(AD80=0,"Aguardando CDF",IF(AN80=0,"Vínculo de CDF parcial",IF(AE80&lt;AD80,"CDF a conferir","Documentação conferida"))))))))))))))))))</f>
        <v/>
      </c>
      <c r="Q80" s="93" t="str">
        <f>IF(OR(R80=0,AA80=0),"",MAX(0,N(L80)-N(M80)))</f>
        <v/>
      </c>
      <c r="R80" s="96">
        <f>IF(COUNTA(B80:C80,G80:H80,J80:K80)&gt;0,1,0)</f>
        <v>0</v>
      </c>
      <c r="S80" s="96" t="str">
        <f>IF(B80="","",TRIM(LEFT(B80,FIND(" |",B80&amp;" |")-1)))</f>
        <v/>
      </c>
      <c r="T80" s="96" t="str">
        <f>IF(S80="","",IFERROR(MATCH(S80,'MTRs'!$A$6:$A$505,0),""))</f>
        <v/>
      </c>
      <c r="U80" s="96">
        <f>IF(T80="",0,IF(INDEX('MTRs'!$Z$6:$Z$505,T80)=1,1,0))</f>
        <v>0</v>
      </c>
      <c r="V80" s="96">
        <f>IF(C80="",0,IF(ISNUMBER(MATCH(C80,'CAD_RESÍDUOS'!$B$6:$B$205,0)),1,0))</f>
        <v>0</v>
      </c>
      <c r="W80" s="96">
        <f>IF(AND(ISNUMBER(G80),G80&gt;0),1,0)</f>
        <v>0</v>
      </c>
      <c r="X80" s="96" t="str">
        <f>IF(H80="","",IFERROR(IF(ISNUMBER(INDEX(cfg_fac,MATCH(H80,cfg_units,0))),IF(INDEX(cfg_fac,MATCH(H80,cfg_units,0))&gt;0,INDEX(cfg_fac,MATCH(H80,cfg_units,0)),""),""),""))</f>
        <v/>
      </c>
      <c r="Y80" s="96">
        <f>IF(AND(W80=1,ISNUMBER(I80)),1,0)</f>
        <v>0</v>
      </c>
      <c r="Z80" s="96">
        <f>IF(U80=1,INDEX('MTRs'!$AA$6:$AA$505,T80),0)</f>
        <v>0</v>
      </c>
      <c r="AA80" s="96">
        <f>IF(R80=0,0,COUNTIFS('RECEBIMENTOS'!$R$6:$R$1005,A80,'RECEBIMENTOS'!$Q$6:$Q$1005,1))</f>
        <v>0</v>
      </c>
      <c r="AB80" s="96">
        <f>IF(R80=0,0,COUNTIFS('RECEBIMENTOS'!$R$6:$R$1005,A80,'RECEBIMENTOS'!$Z$6:$Z$1005,1))</f>
        <v>0</v>
      </c>
      <c r="AC80" s="96">
        <f>IF(R80=0,0,COUNTIFS('RECEBIMENTOS'!$R$6:$R$1005,A80,'RECEBIMENTOS'!$Y$6:$Y$1005,1))</f>
        <v>0</v>
      </c>
      <c r="AD80" s="96">
        <f>IF(R80=0,0,COUNTIFS('VÍNCULOS_CDF'!$R$6:$R$1005,A80,'VÍNCULOS_CDF'!$N$6:$N$1005,1))</f>
        <v>0</v>
      </c>
      <c r="AE80" s="96">
        <f>IF(R80=0,0,COUNTIFS('VÍNCULOS_CDF'!$R$6:$R$1005,A80,'VÍNCULOS_CDF'!$AA$6:$AA$1005,1))</f>
        <v>0</v>
      </c>
      <c r="AF80" s="96">
        <f>IF(R80=0,0,COUNTIFS('VÍNCULOS_CDF'!$R$6:$R$1005,A80,'VÍNCULOS_CDF'!$Y$6:$Y$1005,1))</f>
        <v>0</v>
      </c>
      <c r="AG80" s="96" t="str">
        <f>IF(AND(R80=1,S80&lt;&gt;"",C80&lt;&gt;""),S80&amp;"|"&amp;C80&amp;"|"&amp;G80&amp;"|"&amp;H80,"")</f>
        <v/>
      </c>
      <c r="AH80" s="96">
        <f>IF(AG80="",0,IF(SUMPRODUCT(--($AG$6:$AG$1005=AG80))&gt;1,1,0))</f>
        <v>0</v>
      </c>
      <c r="AI80" s="96">
        <f>IF(R80=0,0,IF(OR(U80=0,V80=0,Y80=0,AND(AH80=1,K80&lt;&gt;"Sim")),1,0))</f>
        <v>0</v>
      </c>
      <c r="AJ80" s="96">
        <f>IF(AND(R80=1,AA80&gt;0,AB80=AA80),1,0)</f>
        <v>0</v>
      </c>
      <c r="AK80" s="96">
        <f>IF(R80=0,0,IF(AA80&gt;0,N(L80),IF(ISNUMBER(I80),I80,0)))</f>
        <v>0</v>
      </c>
      <c r="AL80" s="96">
        <f>IF(R80=0,0,IF(AND(K80&lt;&gt;"Sim",N(M80)&gt;AK80+cfg_tol),1,0))</f>
        <v>0</v>
      </c>
      <c r="AM80" s="96">
        <f>IF(R80=0,0,IF(K80="Sim",0,IF(OR(AND(AA80&gt;0,ISNUMBER(I80),ABS(I80-N(L80))&gt;cfg_tol),AL80=1),1,0)))</f>
        <v>0</v>
      </c>
      <c r="AN80" s="96">
        <f>IF(AND(R80=1,N(M80)&gt;0,OR(N(M80)&gt;=AK80-cfg_tol,K80="Sim")),1,0)</f>
        <v>0</v>
      </c>
      <c r="AO80" s="96">
        <f>IF(AND(AN80=1,AD80&gt;0,AE80=AD80,AL80=0),1,0)</f>
        <v>0</v>
      </c>
      <c r="AP80" s="96">
        <f>IF(U80=0,0,IF(AND(INDEX('MTRs'!$AX$6:$AX$505,T80)=1,Z80=0,OR(f_res="",f_res="(Todos)",C80=f_res)),1,0))</f>
        <v>0</v>
      </c>
      <c r="AQ80" s="97" t="str">
        <f>IF(U80=0,"",INDEX('MTRs'!$AZ$6:$AZ$505,T80))</f>
        <v/>
      </c>
      <c r="AR80" s="96">
        <f>IF(U80=0,0,IF(AND(INDEX('MTRs'!$BA$6:$BA$505,T80)=1,Z80=0),1,0))</f>
        <v>0</v>
      </c>
      <c r="AS80" s="96" t="str">
        <f>IF(R80=1,A80&amp;" | MTR "&amp;IF(U80=1,INDEX('MTRs'!$B$6:$B$505,T80)&amp;"","?")&amp;" | "&amp;IF(C80="","(sem resíduo)",C80),"")</f>
        <v/>
      </c>
      <c r="AT80" s="96" t="str">
        <f>IF(R80=1,COUNTIF($R$6:R80,1),"")</f>
        <v/>
      </c>
      <c r="AU80" s="96" t="str">
        <f>IF(U80=1,INDEX('MTRs'!$I$6:$I$505,T80)&amp;"","")</f>
        <v/>
      </c>
    </row>
    <row r="81">
      <c r="A81" s="89" t="inlineStr">
        <is>
          <t>IT-000076</t>
        </is>
      </c>
      <c r="B81" s="91" t="n"/>
      <c r="C81" s="91" t="n"/>
      <c r="D81" s="94" t="str">
        <f>IF(OR(R81=0,V81=0),"",INDEX('CAD_RESÍDUOS'!$E$6:$E$205,MATCH(C81,'CAD_RESÍDUOS'!$B$6:$B$205,0))&amp;"")</f>
        <v/>
      </c>
      <c r="E81" s="94" t="str">
        <f>IF(OR(R81=0,V81=0),"",INDEX('CAD_RESÍDUOS'!$C$6:$C$205,MATCH(C81,'CAD_RESÍDUOS'!$B$6:$B$205,0))&amp;"")</f>
        <v/>
      </c>
      <c r="F81" s="94" t="str">
        <f>IF(OR(R81=0,V81=0),"",INDEX('CAD_RESÍDUOS'!$G$6:$G$205,MATCH(C81,'CAD_RESÍDUOS'!$B$6:$B$205,0))&amp;"")</f>
        <v/>
      </c>
      <c r="G81" s="98" t="n"/>
      <c r="H81" s="91" t="n"/>
      <c r="I81" s="93" t="str">
        <f>IF(R81=0,"",IF(NOT(ISNUMBER(G81)),"",IF(ISNUMBER(X81),G81*X81,"UNIDADE A CONFERIR")))</f>
        <v/>
      </c>
      <c r="J81" s="91" t="n"/>
      <c r="K81" s="91" t="n"/>
      <c r="L81" s="93" t="str">
        <f>IF(R81=0,"",SUMIFS('RECEBIMENTOS'!$H$6:$H$1005,'RECEBIMENTOS'!$R$6:$R$1005,A81,'RECEBIMENTOS'!$X$6:$X$1005,1))</f>
        <v/>
      </c>
      <c r="M81" s="93" t="str">
        <f>IF(R81=0,"",SUMIFS('VÍNCULOS_CDF'!$H$6:$H$1005,'VÍNCULOS_CDF'!$R$6:$R$1005,A81,'VÍNCULOS_CDF'!$V$6:$V$1005,1))</f>
        <v/>
      </c>
      <c r="N81" s="99" t="str">
        <f>IF(OR(R81=0,AA81=0,NOT(ISNUMBER(I81))),"",I81-N(L81))</f>
        <v/>
      </c>
      <c r="O81" s="100" t="str">
        <f>IF(OR(R81=0,AK81&lt;=0),"",N(M81)/AK81)</f>
        <v/>
      </c>
      <c r="P81" s="94" t="str">
        <f>IF(R81=0,"",IF(S81="","Sem MTR associado",IF(U81=0,"MTR inexistente",IF(C81="","Resíduo não identificado",IF(V81=0,"Resíduo fora do cadastro",IF(W81=0,"Quantidade inválida",IF(H81="","Unidade não informada",IF(NOT(ISNUMBER(I81)),"Unidade a conferir",IF(AND(AH81=1,K81&lt;&gt;"Sim"),"Possível duplicidade",IF(Z81=1,"MTR cancelado",IF(AC81&gt;0,"Recebimento com alerta",IF(AA81=0,"Aguardando recebimento",IF(AB81&lt;AA81,"Recebimento a conferir",IF(AM81=1,"Quantidade a revisar",IF(AF81&gt;0,"Vínculo a revisar",IF(AD81=0,"Aguardando CDF",IF(AN81=0,"Vínculo de CDF parcial",IF(AE81&lt;AD81,"CDF a conferir","Documentação conferida"))))))))))))))))))</f>
        <v/>
      </c>
      <c r="Q81" s="93" t="str">
        <f>IF(OR(R81=0,AA81=0),"",MAX(0,N(L81)-N(M81)))</f>
        <v/>
      </c>
      <c r="R81" s="96">
        <f>IF(COUNTA(B81:C81,G81:H81,J81:K81)&gt;0,1,0)</f>
        <v>0</v>
      </c>
      <c r="S81" s="96" t="str">
        <f>IF(B81="","",TRIM(LEFT(B81,FIND(" |",B81&amp;" |")-1)))</f>
        <v/>
      </c>
      <c r="T81" s="96" t="str">
        <f>IF(S81="","",IFERROR(MATCH(S81,'MTRs'!$A$6:$A$505,0),""))</f>
        <v/>
      </c>
      <c r="U81" s="96">
        <f>IF(T81="",0,IF(INDEX('MTRs'!$Z$6:$Z$505,T81)=1,1,0))</f>
        <v>0</v>
      </c>
      <c r="V81" s="96">
        <f>IF(C81="",0,IF(ISNUMBER(MATCH(C81,'CAD_RESÍDUOS'!$B$6:$B$205,0)),1,0))</f>
        <v>0</v>
      </c>
      <c r="W81" s="96">
        <f>IF(AND(ISNUMBER(G81),G81&gt;0),1,0)</f>
        <v>0</v>
      </c>
      <c r="X81" s="96" t="str">
        <f>IF(H81="","",IFERROR(IF(ISNUMBER(INDEX(cfg_fac,MATCH(H81,cfg_units,0))),IF(INDEX(cfg_fac,MATCH(H81,cfg_units,0))&gt;0,INDEX(cfg_fac,MATCH(H81,cfg_units,0)),""),""),""))</f>
        <v/>
      </c>
      <c r="Y81" s="96">
        <f>IF(AND(W81=1,ISNUMBER(I81)),1,0)</f>
        <v>0</v>
      </c>
      <c r="Z81" s="96">
        <f>IF(U81=1,INDEX('MTRs'!$AA$6:$AA$505,T81),0)</f>
        <v>0</v>
      </c>
      <c r="AA81" s="96">
        <f>IF(R81=0,0,COUNTIFS('RECEBIMENTOS'!$R$6:$R$1005,A81,'RECEBIMENTOS'!$Q$6:$Q$1005,1))</f>
        <v>0</v>
      </c>
      <c r="AB81" s="96">
        <f>IF(R81=0,0,COUNTIFS('RECEBIMENTOS'!$R$6:$R$1005,A81,'RECEBIMENTOS'!$Z$6:$Z$1005,1))</f>
        <v>0</v>
      </c>
      <c r="AC81" s="96">
        <f>IF(R81=0,0,COUNTIFS('RECEBIMENTOS'!$R$6:$R$1005,A81,'RECEBIMENTOS'!$Y$6:$Y$1005,1))</f>
        <v>0</v>
      </c>
      <c r="AD81" s="96">
        <f>IF(R81=0,0,COUNTIFS('VÍNCULOS_CDF'!$R$6:$R$1005,A81,'VÍNCULOS_CDF'!$N$6:$N$1005,1))</f>
        <v>0</v>
      </c>
      <c r="AE81" s="96">
        <f>IF(R81=0,0,COUNTIFS('VÍNCULOS_CDF'!$R$6:$R$1005,A81,'VÍNCULOS_CDF'!$AA$6:$AA$1005,1))</f>
        <v>0</v>
      </c>
      <c r="AF81" s="96">
        <f>IF(R81=0,0,COUNTIFS('VÍNCULOS_CDF'!$R$6:$R$1005,A81,'VÍNCULOS_CDF'!$Y$6:$Y$1005,1))</f>
        <v>0</v>
      </c>
      <c r="AG81" s="96" t="str">
        <f>IF(AND(R81=1,S81&lt;&gt;"",C81&lt;&gt;""),S81&amp;"|"&amp;C81&amp;"|"&amp;G81&amp;"|"&amp;H81,"")</f>
        <v/>
      </c>
      <c r="AH81" s="96">
        <f>IF(AG81="",0,IF(SUMPRODUCT(--($AG$6:$AG$1005=AG81))&gt;1,1,0))</f>
        <v>0</v>
      </c>
      <c r="AI81" s="96">
        <f>IF(R81=0,0,IF(OR(U81=0,V81=0,Y81=0,AND(AH81=1,K81&lt;&gt;"Sim")),1,0))</f>
        <v>0</v>
      </c>
      <c r="AJ81" s="96">
        <f>IF(AND(R81=1,AA81&gt;0,AB81=AA81),1,0)</f>
        <v>0</v>
      </c>
      <c r="AK81" s="96">
        <f>IF(R81=0,0,IF(AA81&gt;0,N(L81),IF(ISNUMBER(I81),I81,0)))</f>
        <v>0</v>
      </c>
      <c r="AL81" s="96">
        <f>IF(R81=0,0,IF(AND(K81&lt;&gt;"Sim",N(M81)&gt;AK81+cfg_tol),1,0))</f>
        <v>0</v>
      </c>
      <c r="AM81" s="96">
        <f>IF(R81=0,0,IF(K81="Sim",0,IF(OR(AND(AA81&gt;0,ISNUMBER(I81),ABS(I81-N(L81))&gt;cfg_tol),AL81=1),1,0)))</f>
        <v>0</v>
      </c>
      <c r="AN81" s="96">
        <f>IF(AND(R81=1,N(M81)&gt;0,OR(N(M81)&gt;=AK81-cfg_tol,K81="Sim")),1,0)</f>
        <v>0</v>
      </c>
      <c r="AO81" s="96">
        <f>IF(AND(AN81=1,AD81&gt;0,AE81=AD81,AL81=0),1,0)</f>
        <v>0</v>
      </c>
      <c r="AP81" s="96">
        <f>IF(U81=0,0,IF(AND(INDEX('MTRs'!$AX$6:$AX$505,T81)=1,Z81=0,OR(f_res="",f_res="(Todos)",C81=f_res)),1,0))</f>
        <v>0</v>
      </c>
      <c r="AQ81" s="97" t="str">
        <f>IF(U81=0,"",INDEX('MTRs'!$AZ$6:$AZ$505,T81))</f>
        <v/>
      </c>
      <c r="AR81" s="96">
        <f>IF(U81=0,0,IF(AND(INDEX('MTRs'!$BA$6:$BA$505,T81)=1,Z81=0),1,0))</f>
        <v>0</v>
      </c>
      <c r="AS81" s="96" t="str">
        <f>IF(R81=1,A81&amp;" | MTR "&amp;IF(U81=1,INDEX('MTRs'!$B$6:$B$505,T81)&amp;"","?")&amp;" | "&amp;IF(C81="","(sem resíduo)",C81),"")</f>
        <v/>
      </c>
      <c r="AT81" s="96" t="str">
        <f>IF(R81=1,COUNTIF($R$6:R81,1),"")</f>
        <v/>
      </c>
      <c r="AU81" s="96" t="str">
        <f>IF(U81=1,INDEX('MTRs'!$I$6:$I$505,T81)&amp;"","")</f>
        <v/>
      </c>
    </row>
    <row r="82">
      <c r="A82" s="89" t="inlineStr">
        <is>
          <t>IT-000077</t>
        </is>
      </c>
      <c r="B82" s="91" t="n"/>
      <c r="C82" s="91" t="n"/>
      <c r="D82" s="94" t="str">
        <f>IF(OR(R82=0,V82=0),"",INDEX('CAD_RESÍDUOS'!$E$6:$E$205,MATCH(C82,'CAD_RESÍDUOS'!$B$6:$B$205,0))&amp;"")</f>
        <v/>
      </c>
      <c r="E82" s="94" t="str">
        <f>IF(OR(R82=0,V82=0),"",INDEX('CAD_RESÍDUOS'!$C$6:$C$205,MATCH(C82,'CAD_RESÍDUOS'!$B$6:$B$205,0))&amp;"")</f>
        <v/>
      </c>
      <c r="F82" s="94" t="str">
        <f>IF(OR(R82=0,V82=0),"",INDEX('CAD_RESÍDUOS'!$G$6:$G$205,MATCH(C82,'CAD_RESÍDUOS'!$B$6:$B$205,0))&amp;"")</f>
        <v/>
      </c>
      <c r="G82" s="98" t="n"/>
      <c r="H82" s="91" t="n"/>
      <c r="I82" s="93" t="str">
        <f>IF(R82=0,"",IF(NOT(ISNUMBER(G82)),"",IF(ISNUMBER(X82),G82*X82,"UNIDADE A CONFERIR")))</f>
        <v/>
      </c>
      <c r="J82" s="91" t="n"/>
      <c r="K82" s="91" t="n"/>
      <c r="L82" s="93" t="str">
        <f>IF(R82=0,"",SUMIFS('RECEBIMENTOS'!$H$6:$H$1005,'RECEBIMENTOS'!$R$6:$R$1005,A82,'RECEBIMENTOS'!$X$6:$X$1005,1))</f>
        <v/>
      </c>
      <c r="M82" s="93" t="str">
        <f>IF(R82=0,"",SUMIFS('VÍNCULOS_CDF'!$H$6:$H$1005,'VÍNCULOS_CDF'!$R$6:$R$1005,A82,'VÍNCULOS_CDF'!$V$6:$V$1005,1))</f>
        <v/>
      </c>
      <c r="N82" s="99" t="str">
        <f>IF(OR(R82=0,AA82=0,NOT(ISNUMBER(I82))),"",I82-N(L82))</f>
        <v/>
      </c>
      <c r="O82" s="100" t="str">
        <f>IF(OR(R82=0,AK82&lt;=0),"",N(M82)/AK82)</f>
        <v/>
      </c>
      <c r="P82" s="94" t="str">
        <f>IF(R82=0,"",IF(S82="","Sem MTR associado",IF(U82=0,"MTR inexistente",IF(C82="","Resíduo não identificado",IF(V82=0,"Resíduo fora do cadastro",IF(W82=0,"Quantidade inválida",IF(H82="","Unidade não informada",IF(NOT(ISNUMBER(I82)),"Unidade a conferir",IF(AND(AH82=1,K82&lt;&gt;"Sim"),"Possível duplicidade",IF(Z82=1,"MTR cancelado",IF(AC82&gt;0,"Recebimento com alerta",IF(AA82=0,"Aguardando recebimento",IF(AB82&lt;AA82,"Recebimento a conferir",IF(AM82=1,"Quantidade a revisar",IF(AF82&gt;0,"Vínculo a revisar",IF(AD82=0,"Aguardando CDF",IF(AN82=0,"Vínculo de CDF parcial",IF(AE82&lt;AD82,"CDF a conferir","Documentação conferida"))))))))))))))))))</f>
        <v/>
      </c>
      <c r="Q82" s="93" t="str">
        <f>IF(OR(R82=0,AA82=0),"",MAX(0,N(L82)-N(M82)))</f>
        <v/>
      </c>
      <c r="R82" s="96">
        <f>IF(COUNTA(B82:C82,G82:H82,J82:K82)&gt;0,1,0)</f>
        <v>0</v>
      </c>
      <c r="S82" s="96" t="str">
        <f>IF(B82="","",TRIM(LEFT(B82,FIND(" |",B82&amp;" |")-1)))</f>
        <v/>
      </c>
      <c r="T82" s="96" t="str">
        <f>IF(S82="","",IFERROR(MATCH(S82,'MTRs'!$A$6:$A$505,0),""))</f>
        <v/>
      </c>
      <c r="U82" s="96">
        <f>IF(T82="",0,IF(INDEX('MTRs'!$Z$6:$Z$505,T82)=1,1,0))</f>
        <v>0</v>
      </c>
      <c r="V82" s="96">
        <f>IF(C82="",0,IF(ISNUMBER(MATCH(C82,'CAD_RESÍDUOS'!$B$6:$B$205,0)),1,0))</f>
        <v>0</v>
      </c>
      <c r="W82" s="96">
        <f>IF(AND(ISNUMBER(G82),G82&gt;0),1,0)</f>
        <v>0</v>
      </c>
      <c r="X82" s="96" t="str">
        <f>IF(H82="","",IFERROR(IF(ISNUMBER(INDEX(cfg_fac,MATCH(H82,cfg_units,0))),IF(INDEX(cfg_fac,MATCH(H82,cfg_units,0))&gt;0,INDEX(cfg_fac,MATCH(H82,cfg_units,0)),""),""),""))</f>
        <v/>
      </c>
      <c r="Y82" s="96">
        <f>IF(AND(W82=1,ISNUMBER(I82)),1,0)</f>
        <v>0</v>
      </c>
      <c r="Z82" s="96">
        <f>IF(U82=1,INDEX('MTRs'!$AA$6:$AA$505,T82),0)</f>
        <v>0</v>
      </c>
      <c r="AA82" s="96">
        <f>IF(R82=0,0,COUNTIFS('RECEBIMENTOS'!$R$6:$R$1005,A82,'RECEBIMENTOS'!$Q$6:$Q$1005,1))</f>
        <v>0</v>
      </c>
      <c r="AB82" s="96">
        <f>IF(R82=0,0,COUNTIFS('RECEBIMENTOS'!$R$6:$R$1005,A82,'RECEBIMENTOS'!$Z$6:$Z$1005,1))</f>
        <v>0</v>
      </c>
      <c r="AC82" s="96">
        <f>IF(R82=0,0,COUNTIFS('RECEBIMENTOS'!$R$6:$R$1005,A82,'RECEBIMENTOS'!$Y$6:$Y$1005,1))</f>
        <v>0</v>
      </c>
      <c r="AD82" s="96">
        <f>IF(R82=0,0,COUNTIFS('VÍNCULOS_CDF'!$R$6:$R$1005,A82,'VÍNCULOS_CDF'!$N$6:$N$1005,1))</f>
        <v>0</v>
      </c>
      <c r="AE82" s="96">
        <f>IF(R82=0,0,COUNTIFS('VÍNCULOS_CDF'!$R$6:$R$1005,A82,'VÍNCULOS_CDF'!$AA$6:$AA$1005,1))</f>
        <v>0</v>
      </c>
      <c r="AF82" s="96">
        <f>IF(R82=0,0,COUNTIFS('VÍNCULOS_CDF'!$R$6:$R$1005,A82,'VÍNCULOS_CDF'!$Y$6:$Y$1005,1))</f>
        <v>0</v>
      </c>
      <c r="AG82" s="96" t="str">
        <f>IF(AND(R82=1,S82&lt;&gt;"",C82&lt;&gt;""),S82&amp;"|"&amp;C82&amp;"|"&amp;G82&amp;"|"&amp;H82,"")</f>
        <v/>
      </c>
      <c r="AH82" s="96">
        <f>IF(AG82="",0,IF(SUMPRODUCT(--($AG$6:$AG$1005=AG82))&gt;1,1,0))</f>
        <v>0</v>
      </c>
      <c r="AI82" s="96">
        <f>IF(R82=0,0,IF(OR(U82=0,V82=0,Y82=0,AND(AH82=1,K82&lt;&gt;"Sim")),1,0))</f>
        <v>0</v>
      </c>
      <c r="AJ82" s="96">
        <f>IF(AND(R82=1,AA82&gt;0,AB82=AA82),1,0)</f>
        <v>0</v>
      </c>
      <c r="AK82" s="96">
        <f>IF(R82=0,0,IF(AA82&gt;0,N(L82),IF(ISNUMBER(I82),I82,0)))</f>
        <v>0</v>
      </c>
      <c r="AL82" s="96">
        <f>IF(R82=0,0,IF(AND(K82&lt;&gt;"Sim",N(M82)&gt;AK82+cfg_tol),1,0))</f>
        <v>0</v>
      </c>
      <c r="AM82" s="96">
        <f>IF(R82=0,0,IF(K82="Sim",0,IF(OR(AND(AA82&gt;0,ISNUMBER(I82),ABS(I82-N(L82))&gt;cfg_tol),AL82=1),1,0)))</f>
        <v>0</v>
      </c>
      <c r="AN82" s="96">
        <f>IF(AND(R82=1,N(M82)&gt;0,OR(N(M82)&gt;=AK82-cfg_tol,K82="Sim")),1,0)</f>
        <v>0</v>
      </c>
      <c r="AO82" s="96">
        <f>IF(AND(AN82=1,AD82&gt;0,AE82=AD82,AL82=0),1,0)</f>
        <v>0</v>
      </c>
      <c r="AP82" s="96">
        <f>IF(U82=0,0,IF(AND(INDEX('MTRs'!$AX$6:$AX$505,T82)=1,Z82=0,OR(f_res="",f_res="(Todos)",C82=f_res)),1,0))</f>
        <v>0</v>
      </c>
      <c r="AQ82" s="97" t="str">
        <f>IF(U82=0,"",INDEX('MTRs'!$AZ$6:$AZ$505,T82))</f>
        <v/>
      </c>
      <c r="AR82" s="96">
        <f>IF(U82=0,0,IF(AND(INDEX('MTRs'!$BA$6:$BA$505,T82)=1,Z82=0),1,0))</f>
        <v>0</v>
      </c>
      <c r="AS82" s="96" t="str">
        <f>IF(R82=1,A82&amp;" | MTR "&amp;IF(U82=1,INDEX('MTRs'!$B$6:$B$505,T82)&amp;"","?")&amp;" | "&amp;IF(C82="","(sem resíduo)",C82),"")</f>
        <v/>
      </c>
      <c r="AT82" s="96" t="str">
        <f>IF(R82=1,COUNTIF($R$6:R82,1),"")</f>
        <v/>
      </c>
      <c r="AU82" s="96" t="str">
        <f>IF(U82=1,INDEX('MTRs'!$I$6:$I$505,T82)&amp;"","")</f>
        <v/>
      </c>
    </row>
    <row r="83">
      <c r="A83" s="89" t="inlineStr">
        <is>
          <t>IT-000078</t>
        </is>
      </c>
      <c r="B83" s="91" t="n"/>
      <c r="C83" s="91" t="n"/>
      <c r="D83" s="94" t="str">
        <f>IF(OR(R83=0,V83=0),"",INDEX('CAD_RESÍDUOS'!$E$6:$E$205,MATCH(C83,'CAD_RESÍDUOS'!$B$6:$B$205,0))&amp;"")</f>
        <v/>
      </c>
      <c r="E83" s="94" t="str">
        <f>IF(OR(R83=0,V83=0),"",INDEX('CAD_RESÍDUOS'!$C$6:$C$205,MATCH(C83,'CAD_RESÍDUOS'!$B$6:$B$205,0))&amp;"")</f>
        <v/>
      </c>
      <c r="F83" s="94" t="str">
        <f>IF(OR(R83=0,V83=0),"",INDEX('CAD_RESÍDUOS'!$G$6:$G$205,MATCH(C83,'CAD_RESÍDUOS'!$B$6:$B$205,0))&amp;"")</f>
        <v/>
      </c>
      <c r="G83" s="98" t="n"/>
      <c r="H83" s="91" t="n"/>
      <c r="I83" s="93" t="str">
        <f>IF(R83=0,"",IF(NOT(ISNUMBER(G83)),"",IF(ISNUMBER(X83),G83*X83,"UNIDADE A CONFERIR")))</f>
        <v/>
      </c>
      <c r="J83" s="91" t="n"/>
      <c r="K83" s="91" t="n"/>
      <c r="L83" s="93" t="str">
        <f>IF(R83=0,"",SUMIFS('RECEBIMENTOS'!$H$6:$H$1005,'RECEBIMENTOS'!$R$6:$R$1005,A83,'RECEBIMENTOS'!$X$6:$X$1005,1))</f>
        <v/>
      </c>
      <c r="M83" s="93" t="str">
        <f>IF(R83=0,"",SUMIFS('VÍNCULOS_CDF'!$H$6:$H$1005,'VÍNCULOS_CDF'!$R$6:$R$1005,A83,'VÍNCULOS_CDF'!$V$6:$V$1005,1))</f>
        <v/>
      </c>
      <c r="N83" s="99" t="str">
        <f>IF(OR(R83=0,AA83=0,NOT(ISNUMBER(I83))),"",I83-N(L83))</f>
        <v/>
      </c>
      <c r="O83" s="100" t="str">
        <f>IF(OR(R83=0,AK83&lt;=0),"",N(M83)/AK83)</f>
        <v/>
      </c>
      <c r="P83" s="94" t="str">
        <f>IF(R83=0,"",IF(S83="","Sem MTR associado",IF(U83=0,"MTR inexistente",IF(C83="","Resíduo não identificado",IF(V83=0,"Resíduo fora do cadastro",IF(W83=0,"Quantidade inválida",IF(H83="","Unidade não informada",IF(NOT(ISNUMBER(I83)),"Unidade a conferir",IF(AND(AH83=1,K83&lt;&gt;"Sim"),"Possível duplicidade",IF(Z83=1,"MTR cancelado",IF(AC83&gt;0,"Recebimento com alerta",IF(AA83=0,"Aguardando recebimento",IF(AB83&lt;AA83,"Recebimento a conferir",IF(AM83=1,"Quantidade a revisar",IF(AF83&gt;0,"Vínculo a revisar",IF(AD83=0,"Aguardando CDF",IF(AN83=0,"Vínculo de CDF parcial",IF(AE83&lt;AD83,"CDF a conferir","Documentação conferida"))))))))))))))))))</f>
        <v/>
      </c>
      <c r="Q83" s="93" t="str">
        <f>IF(OR(R83=0,AA83=0),"",MAX(0,N(L83)-N(M83)))</f>
        <v/>
      </c>
      <c r="R83" s="96">
        <f>IF(COUNTA(B83:C83,G83:H83,J83:K83)&gt;0,1,0)</f>
        <v>0</v>
      </c>
      <c r="S83" s="96" t="str">
        <f>IF(B83="","",TRIM(LEFT(B83,FIND(" |",B83&amp;" |")-1)))</f>
        <v/>
      </c>
      <c r="T83" s="96" t="str">
        <f>IF(S83="","",IFERROR(MATCH(S83,'MTRs'!$A$6:$A$505,0),""))</f>
        <v/>
      </c>
      <c r="U83" s="96">
        <f>IF(T83="",0,IF(INDEX('MTRs'!$Z$6:$Z$505,T83)=1,1,0))</f>
        <v>0</v>
      </c>
      <c r="V83" s="96">
        <f>IF(C83="",0,IF(ISNUMBER(MATCH(C83,'CAD_RESÍDUOS'!$B$6:$B$205,0)),1,0))</f>
        <v>0</v>
      </c>
      <c r="W83" s="96">
        <f>IF(AND(ISNUMBER(G83),G83&gt;0),1,0)</f>
        <v>0</v>
      </c>
      <c r="X83" s="96" t="str">
        <f>IF(H83="","",IFERROR(IF(ISNUMBER(INDEX(cfg_fac,MATCH(H83,cfg_units,0))),IF(INDEX(cfg_fac,MATCH(H83,cfg_units,0))&gt;0,INDEX(cfg_fac,MATCH(H83,cfg_units,0)),""),""),""))</f>
        <v/>
      </c>
      <c r="Y83" s="96">
        <f>IF(AND(W83=1,ISNUMBER(I83)),1,0)</f>
        <v>0</v>
      </c>
      <c r="Z83" s="96">
        <f>IF(U83=1,INDEX('MTRs'!$AA$6:$AA$505,T83),0)</f>
        <v>0</v>
      </c>
      <c r="AA83" s="96">
        <f>IF(R83=0,0,COUNTIFS('RECEBIMENTOS'!$R$6:$R$1005,A83,'RECEBIMENTOS'!$Q$6:$Q$1005,1))</f>
        <v>0</v>
      </c>
      <c r="AB83" s="96">
        <f>IF(R83=0,0,COUNTIFS('RECEBIMENTOS'!$R$6:$R$1005,A83,'RECEBIMENTOS'!$Z$6:$Z$1005,1))</f>
        <v>0</v>
      </c>
      <c r="AC83" s="96">
        <f>IF(R83=0,0,COUNTIFS('RECEBIMENTOS'!$R$6:$R$1005,A83,'RECEBIMENTOS'!$Y$6:$Y$1005,1))</f>
        <v>0</v>
      </c>
      <c r="AD83" s="96">
        <f>IF(R83=0,0,COUNTIFS('VÍNCULOS_CDF'!$R$6:$R$1005,A83,'VÍNCULOS_CDF'!$N$6:$N$1005,1))</f>
        <v>0</v>
      </c>
      <c r="AE83" s="96">
        <f>IF(R83=0,0,COUNTIFS('VÍNCULOS_CDF'!$R$6:$R$1005,A83,'VÍNCULOS_CDF'!$AA$6:$AA$1005,1))</f>
        <v>0</v>
      </c>
      <c r="AF83" s="96">
        <f>IF(R83=0,0,COUNTIFS('VÍNCULOS_CDF'!$R$6:$R$1005,A83,'VÍNCULOS_CDF'!$Y$6:$Y$1005,1))</f>
        <v>0</v>
      </c>
      <c r="AG83" s="96" t="str">
        <f>IF(AND(R83=1,S83&lt;&gt;"",C83&lt;&gt;""),S83&amp;"|"&amp;C83&amp;"|"&amp;G83&amp;"|"&amp;H83,"")</f>
        <v/>
      </c>
      <c r="AH83" s="96">
        <f>IF(AG83="",0,IF(SUMPRODUCT(--($AG$6:$AG$1005=AG83))&gt;1,1,0))</f>
        <v>0</v>
      </c>
      <c r="AI83" s="96">
        <f>IF(R83=0,0,IF(OR(U83=0,V83=0,Y83=0,AND(AH83=1,K83&lt;&gt;"Sim")),1,0))</f>
        <v>0</v>
      </c>
      <c r="AJ83" s="96">
        <f>IF(AND(R83=1,AA83&gt;0,AB83=AA83),1,0)</f>
        <v>0</v>
      </c>
      <c r="AK83" s="96">
        <f>IF(R83=0,0,IF(AA83&gt;0,N(L83),IF(ISNUMBER(I83),I83,0)))</f>
        <v>0</v>
      </c>
      <c r="AL83" s="96">
        <f>IF(R83=0,0,IF(AND(K83&lt;&gt;"Sim",N(M83)&gt;AK83+cfg_tol),1,0))</f>
        <v>0</v>
      </c>
      <c r="AM83" s="96">
        <f>IF(R83=0,0,IF(K83="Sim",0,IF(OR(AND(AA83&gt;0,ISNUMBER(I83),ABS(I83-N(L83))&gt;cfg_tol),AL83=1),1,0)))</f>
        <v>0</v>
      </c>
      <c r="AN83" s="96">
        <f>IF(AND(R83=1,N(M83)&gt;0,OR(N(M83)&gt;=AK83-cfg_tol,K83="Sim")),1,0)</f>
        <v>0</v>
      </c>
      <c r="AO83" s="96">
        <f>IF(AND(AN83=1,AD83&gt;0,AE83=AD83,AL83=0),1,0)</f>
        <v>0</v>
      </c>
      <c r="AP83" s="96">
        <f>IF(U83=0,0,IF(AND(INDEX('MTRs'!$AX$6:$AX$505,T83)=1,Z83=0,OR(f_res="",f_res="(Todos)",C83=f_res)),1,0))</f>
        <v>0</v>
      </c>
      <c r="AQ83" s="97" t="str">
        <f>IF(U83=0,"",INDEX('MTRs'!$AZ$6:$AZ$505,T83))</f>
        <v/>
      </c>
      <c r="AR83" s="96">
        <f>IF(U83=0,0,IF(AND(INDEX('MTRs'!$BA$6:$BA$505,T83)=1,Z83=0),1,0))</f>
        <v>0</v>
      </c>
      <c r="AS83" s="96" t="str">
        <f>IF(R83=1,A83&amp;" | MTR "&amp;IF(U83=1,INDEX('MTRs'!$B$6:$B$505,T83)&amp;"","?")&amp;" | "&amp;IF(C83="","(sem resíduo)",C83),"")</f>
        <v/>
      </c>
      <c r="AT83" s="96" t="str">
        <f>IF(R83=1,COUNTIF($R$6:R83,1),"")</f>
        <v/>
      </c>
      <c r="AU83" s="96" t="str">
        <f>IF(U83=1,INDEX('MTRs'!$I$6:$I$505,T83)&amp;"","")</f>
        <v/>
      </c>
    </row>
    <row r="84">
      <c r="A84" s="89" t="inlineStr">
        <is>
          <t>IT-000079</t>
        </is>
      </c>
      <c r="B84" s="91" t="n"/>
      <c r="C84" s="91" t="n"/>
      <c r="D84" s="94" t="str">
        <f>IF(OR(R84=0,V84=0),"",INDEX('CAD_RESÍDUOS'!$E$6:$E$205,MATCH(C84,'CAD_RESÍDUOS'!$B$6:$B$205,0))&amp;"")</f>
        <v/>
      </c>
      <c r="E84" s="94" t="str">
        <f>IF(OR(R84=0,V84=0),"",INDEX('CAD_RESÍDUOS'!$C$6:$C$205,MATCH(C84,'CAD_RESÍDUOS'!$B$6:$B$205,0))&amp;"")</f>
        <v/>
      </c>
      <c r="F84" s="94" t="str">
        <f>IF(OR(R84=0,V84=0),"",INDEX('CAD_RESÍDUOS'!$G$6:$G$205,MATCH(C84,'CAD_RESÍDUOS'!$B$6:$B$205,0))&amp;"")</f>
        <v/>
      </c>
      <c r="G84" s="98" t="n"/>
      <c r="H84" s="91" t="n"/>
      <c r="I84" s="93" t="str">
        <f>IF(R84=0,"",IF(NOT(ISNUMBER(G84)),"",IF(ISNUMBER(X84),G84*X84,"UNIDADE A CONFERIR")))</f>
        <v/>
      </c>
      <c r="J84" s="91" t="n"/>
      <c r="K84" s="91" t="n"/>
      <c r="L84" s="93" t="str">
        <f>IF(R84=0,"",SUMIFS('RECEBIMENTOS'!$H$6:$H$1005,'RECEBIMENTOS'!$R$6:$R$1005,A84,'RECEBIMENTOS'!$X$6:$X$1005,1))</f>
        <v/>
      </c>
      <c r="M84" s="93" t="str">
        <f>IF(R84=0,"",SUMIFS('VÍNCULOS_CDF'!$H$6:$H$1005,'VÍNCULOS_CDF'!$R$6:$R$1005,A84,'VÍNCULOS_CDF'!$V$6:$V$1005,1))</f>
        <v/>
      </c>
      <c r="N84" s="99" t="str">
        <f>IF(OR(R84=0,AA84=0,NOT(ISNUMBER(I84))),"",I84-N(L84))</f>
        <v/>
      </c>
      <c r="O84" s="100" t="str">
        <f>IF(OR(R84=0,AK84&lt;=0),"",N(M84)/AK84)</f>
        <v/>
      </c>
      <c r="P84" s="94" t="str">
        <f>IF(R84=0,"",IF(S84="","Sem MTR associado",IF(U84=0,"MTR inexistente",IF(C84="","Resíduo não identificado",IF(V84=0,"Resíduo fora do cadastro",IF(W84=0,"Quantidade inválida",IF(H84="","Unidade não informada",IF(NOT(ISNUMBER(I84)),"Unidade a conferir",IF(AND(AH84=1,K84&lt;&gt;"Sim"),"Possível duplicidade",IF(Z84=1,"MTR cancelado",IF(AC84&gt;0,"Recebimento com alerta",IF(AA84=0,"Aguardando recebimento",IF(AB84&lt;AA84,"Recebimento a conferir",IF(AM84=1,"Quantidade a revisar",IF(AF84&gt;0,"Vínculo a revisar",IF(AD84=0,"Aguardando CDF",IF(AN84=0,"Vínculo de CDF parcial",IF(AE84&lt;AD84,"CDF a conferir","Documentação conferida"))))))))))))))))))</f>
        <v/>
      </c>
      <c r="Q84" s="93" t="str">
        <f>IF(OR(R84=0,AA84=0),"",MAX(0,N(L84)-N(M84)))</f>
        <v/>
      </c>
      <c r="R84" s="96">
        <f>IF(COUNTA(B84:C84,G84:H84,J84:K84)&gt;0,1,0)</f>
        <v>0</v>
      </c>
      <c r="S84" s="96" t="str">
        <f>IF(B84="","",TRIM(LEFT(B84,FIND(" |",B84&amp;" |")-1)))</f>
        <v/>
      </c>
      <c r="T84" s="96" t="str">
        <f>IF(S84="","",IFERROR(MATCH(S84,'MTRs'!$A$6:$A$505,0),""))</f>
        <v/>
      </c>
      <c r="U84" s="96">
        <f>IF(T84="",0,IF(INDEX('MTRs'!$Z$6:$Z$505,T84)=1,1,0))</f>
        <v>0</v>
      </c>
      <c r="V84" s="96">
        <f>IF(C84="",0,IF(ISNUMBER(MATCH(C84,'CAD_RESÍDUOS'!$B$6:$B$205,0)),1,0))</f>
        <v>0</v>
      </c>
      <c r="W84" s="96">
        <f>IF(AND(ISNUMBER(G84),G84&gt;0),1,0)</f>
        <v>0</v>
      </c>
      <c r="X84" s="96" t="str">
        <f>IF(H84="","",IFERROR(IF(ISNUMBER(INDEX(cfg_fac,MATCH(H84,cfg_units,0))),IF(INDEX(cfg_fac,MATCH(H84,cfg_units,0))&gt;0,INDEX(cfg_fac,MATCH(H84,cfg_units,0)),""),""),""))</f>
        <v/>
      </c>
      <c r="Y84" s="96">
        <f>IF(AND(W84=1,ISNUMBER(I84)),1,0)</f>
        <v>0</v>
      </c>
      <c r="Z84" s="96">
        <f>IF(U84=1,INDEX('MTRs'!$AA$6:$AA$505,T84),0)</f>
        <v>0</v>
      </c>
      <c r="AA84" s="96">
        <f>IF(R84=0,0,COUNTIFS('RECEBIMENTOS'!$R$6:$R$1005,A84,'RECEBIMENTOS'!$Q$6:$Q$1005,1))</f>
        <v>0</v>
      </c>
      <c r="AB84" s="96">
        <f>IF(R84=0,0,COUNTIFS('RECEBIMENTOS'!$R$6:$R$1005,A84,'RECEBIMENTOS'!$Z$6:$Z$1005,1))</f>
        <v>0</v>
      </c>
      <c r="AC84" s="96">
        <f>IF(R84=0,0,COUNTIFS('RECEBIMENTOS'!$R$6:$R$1005,A84,'RECEBIMENTOS'!$Y$6:$Y$1005,1))</f>
        <v>0</v>
      </c>
      <c r="AD84" s="96">
        <f>IF(R84=0,0,COUNTIFS('VÍNCULOS_CDF'!$R$6:$R$1005,A84,'VÍNCULOS_CDF'!$N$6:$N$1005,1))</f>
        <v>0</v>
      </c>
      <c r="AE84" s="96">
        <f>IF(R84=0,0,COUNTIFS('VÍNCULOS_CDF'!$R$6:$R$1005,A84,'VÍNCULOS_CDF'!$AA$6:$AA$1005,1))</f>
        <v>0</v>
      </c>
      <c r="AF84" s="96">
        <f>IF(R84=0,0,COUNTIFS('VÍNCULOS_CDF'!$R$6:$R$1005,A84,'VÍNCULOS_CDF'!$Y$6:$Y$1005,1))</f>
        <v>0</v>
      </c>
      <c r="AG84" s="96" t="str">
        <f>IF(AND(R84=1,S84&lt;&gt;"",C84&lt;&gt;""),S84&amp;"|"&amp;C84&amp;"|"&amp;G84&amp;"|"&amp;H84,"")</f>
        <v/>
      </c>
      <c r="AH84" s="96">
        <f>IF(AG84="",0,IF(SUMPRODUCT(--($AG$6:$AG$1005=AG84))&gt;1,1,0))</f>
        <v>0</v>
      </c>
      <c r="AI84" s="96">
        <f>IF(R84=0,0,IF(OR(U84=0,V84=0,Y84=0,AND(AH84=1,K84&lt;&gt;"Sim")),1,0))</f>
        <v>0</v>
      </c>
      <c r="AJ84" s="96">
        <f>IF(AND(R84=1,AA84&gt;0,AB84=AA84),1,0)</f>
        <v>0</v>
      </c>
      <c r="AK84" s="96">
        <f>IF(R84=0,0,IF(AA84&gt;0,N(L84),IF(ISNUMBER(I84),I84,0)))</f>
        <v>0</v>
      </c>
      <c r="AL84" s="96">
        <f>IF(R84=0,0,IF(AND(K84&lt;&gt;"Sim",N(M84)&gt;AK84+cfg_tol),1,0))</f>
        <v>0</v>
      </c>
      <c r="AM84" s="96">
        <f>IF(R84=0,0,IF(K84="Sim",0,IF(OR(AND(AA84&gt;0,ISNUMBER(I84),ABS(I84-N(L84))&gt;cfg_tol),AL84=1),1,0)))</f>
        <v>0</v>
      </c>
      <c r="AN84" s="96">
        <f>IF(AND(R84=1,N(M84)&gt;0,OR(N(M84)&gt;=AK84-cfg_tol,K84="Sim")),1,0)</f>
        <v>0</v>
      </c>
      <c r="AO84" s="96">
        <f>IF(AND(AN84=1,AD84&gt;0,AE84=AD84,AL84=0),1,0)</f>
        <v>0</v>
      </c>
      <c r="AP84" s="96">
        <f>IF(U84=0,0,IF(AND(INDEX('MTRs'!$AX$6:$AX$505,T84)=1,Z84=0,OR(f_res="",f_res="(Todos)",C84=f_res)),1,0))</f>
        <v>0</v>
      </c>
      <c r="AQ84" s="97" t="str">
        <f>IF(U84=0,"",INDEX('MTRs'!$AZ$6:$AZ$505,T84))</f>
        <v/>
      </c>
      <c r="AR84" s="96">
        <f>IF(U84=0,0,IF(AND(INDEX('MTRs'!$BA$6:$BA$505,T84)=1,Z84=0),1,0))</f>
        <v>0</v>
      </c>
      <c r="AS84" s="96" t="str">
        <f>IF(R84=1,A84&amp;" | MTR "&amp;IF(U84=1,INDEX('MTRs'!$B$6:$B$505,T84)&amp;"","?")&amp;" | "&amp;IF(C84="","(sem resíduo)",C84),"")</f>
        <v/>
      </c>
      <c r="AT84" s="96" t="str">
        <f>IF(R84=1,COUNTIF($R$6:R84,1),"")</f>
        <v/>
      </c>
      <c r="AU84" s="96" t="str">
        <f>IF(U84=1,INDEX('MTRs'!$I$6:$I$505,T84)&amp;"","")</f>
        <v/>
      </c>
    </row>
    <row r="85">
      <c r="A85" s="89" t="inlineStr">
        <is>
          <t>IT-000080</t>
        </is>
      </c>
      <c r="B85" s="91" t="n"/>
      <c r="C85" s="91" t="n"/>
      <c r="D85" s="94" t="str">
        <f>IF(OR(R85=0,V85=0),"",INDEX('CAD_RESÍDUOS'!$E$6:$E$205,MATCH(C85,'CAD_RESÍDUOS'!$B$6:$B$205,0))&amp;"")</f>
        <v/>
      </c>
      <c r="E85" s="94" t="str">
        <f>IF(OR(R85=0,V85=0),"",INDEX('CAD_RESÍDUOS'!$C$6:$C$205,MATCH(C85,'CAD_RESÍDUOS'!$B$6:$B$205,0))&amp;"")</f>
        <v/>
      </c>
      <c r="F85" s="94" t="str">
        <f>IF(OR(R85=0,V85=0),"",INDEX('CAD_RESÍDUOS'!$G$6:$G$205,MATCH(C85,'CAD_RESÍDUOS'!$B$6:$B$205,0))&amp;"")</f>
        <v/>
      </c>
      <c r="G85" s="98" t="n"/>
      <c r="H85" s="91" t="n"/>
      <c r="I85" s="93" t="str">
        <f>IF(R85=0,"",IF(NOT(ISNUMBER(G85)),"",IF(ISNUMBER(X85),G85*X85,"UNIDADE A CONFERIR")))</f>
        <v/>
      </c>
      <c r="J85" s="91" t="n"/>
      <c r="K85" s="91" t="n"/>
      <c r="L85" s="93" t="str">
        <f>IF(R85=0,"",SUMIFS('RECEBIMENTOS'!$H$6:$H$1005,'RECEBIMENTOS'!$R$6:$R$1005,A85,'RECEBIMENTOS'!$X$6:$X$1005,1))</f>
        <v/>
      </c>
      <c r="M85" s="93" t="str">
        <f>IF(R85=0,"",SUMIFS('VÍNCULOS_CDF'!$H$6:$H$1005,'VÍNCULOS_CDF'!$R$6:$R$1005,A85,'VÍNCULOS_CDF'!$V$6:$V$1005,1))</f>
        <v/>
      </c>
      <c r="N85" s="99" t="str">
        <f>IF(OR(R85=0,AA85=0,NOT(ISNUMBER(I85))),"",I85-N(L85))</f>
        <v/>
      </c>
      <c r="O85" s="100" t="str">
        <f>IF(OR(R85=0,AK85&lt;=0),"",N(M85)/AK85)</f>
        <v/>
      </c>
      <c r="P85" s="94" t="str">
        <f>IF(R85=0,"",IF(S85="","Sem MTR associado",IF(U85=0,"MTR inexistente",IF(C85="","Resíduo não identificado",IF(V85=0,"Resíduo fora do cadastro",IF(W85=0,"Quantidade inválida",IF(H85="","Unidade não informada",IF(NOT(ISNUMBER(I85)),"Unidade a conferir",IF(AND(AH85=1,K85&lt;&gt;"Sim"),"Possível duplicidade",IF(Z85=1,"MTR cancelado",IF(AC85&gt;0,"Recebimento com alerta",IF(AA85=0,"Aguardando recebimento",IF(AB85&lt;AA85,"Recebimento a conferir",IF(AM85=1,"Quantidade a revisar",IF(AF85&gt;0,"Vínculo a revisar",IF(AD85=0,"Aguardando CDF",IF(AN85=0,"Vínculo de CDF parcial",IF(AE85&lt;AD85,"CDF a conferir","Documentação conferida"))))))))))))))))))</f>
        <v/>
      </c>
      <c r="Q85" s="93" t="str">
        <f>IF(OR(R85=0,AA85=0),"",MAX(0,N(L85)-N(M85)))</f>
        <v/>
      </c>
      <c r="R85" s="96">
        <f>IF(COUNTA(B85:C85,G85:H85,J85:K85)&gt;0,1,0)</f>
        <v>0</v>
      </c>
      <c r="S85" s="96" t="str">
        <f>IF(B85="","",TRIM(LEFT(B85,FIND(" |",B85&amp;" |")-1)))</f>
        <v/>
      </c>
      <c r="T85" s="96" t="str">
        <f>IF(S85="","",IFERROR(MATCH(S85,'MTRs'!$A$6:$A$505,0),""))</f>
        <v/>
      </c>
      <c r="U85" s="96">
        <f>IF(T85="",0,IF(INDEX('MTRs'!$Z$6:$Z$505,T85)=1,1,0))</f>
        <v>0</v>
      </c>
      <c r="V85" s="96">
        <f>IF(C85="",0,IF(ISNUMBER(MATCH(C85,'CAD_RESÍDUOS'!$B$6:$B$205,0)),1,0))</f>
        <v>0</v>
      </c>
      <c r="W85" s="96">
        <f>IF(AND(ISNUMBER(G85),G85&gt;0),1,0)</f>
        <v>0</v>
      </c>
      <c r="X85" s="96" t="str">
        <f>IF(H85="","",IFERROR(IF(ISNUMBER(INDEX(cfg_fac,MATCH(H85,cfg_units,0))),IF(INDEX(cfg_fac,MATCH(H85,cfg_units,0))&gt;0,INDEX(cfg_fac,MATCH(H85,cfg_units,0)),""),""),""))</f>
        <v/>
      </c>
      <c r="Y85" s="96">
        <f>IF(AND(W85=1,ISNUMBER(I85)),1,0)</f>
        <v>0</v>
      </c>
      <c r="Z85" s="96">
        <f>IF(U85=1,INDEX('MTRs'!$AA$6:$AA$505,T85),0)</f>
        <v>0</v>
      </c>
      <c r="AA85" s="96">
        <f>IF(R85=0,0,COUNTIFS('RECEBIMENTOS'!$R$6:$R$1005,A85,'RECEBIMENTOS'!$Q$6:$Q$1005,1))</f>
        <v>0</v>
      </c>
      <c r="AB85" s="96">
        <f>IF(R85=0,0,COUNTIFS('RECEBIMENTOS'!$R$6:$R$1005,A85,'RECEBIMENTOS'!$Z$6:$Z$1005,1))</f>
        <v>0</v>
      </c>
      <c r="AC85" s="96">
        <f>IF(R85=0,0,COUNTIFS('RECEBIMENTOS'!$R$6:$R$1005,A85,'RECEBIMENTOS'!$Y$6:$Y$1005,1))</f>
        <v>0</v>
      </c>
      <c r="AD85" s="96">
        <f>IF(R85=0,0,COUNTIFS('VÍNCULOS_CDF'!$R$6:$R$1005,A85,'VÍNCULOS_CDF'!$N$6:$N$1005,1))</f>
        <v>0</v>
      </c>
      <c r="AE85" s="96">
        <f>IF(R85=0,0,COUNTIFS('VÍNCULOS_CDF'!$R$6:$R$1005,A85,'VÍNCULOS_CDF'!$AA$6:$AA$1005,1))</f>
        <v>0</v>
      </c>
      <c r="AF85" s="96">
        <f>IF(R85=0,0,COUNTIFS('VÍNCULOS_CDF'!$R$6:$R$1005,A85,'VÍNCULOS_CDF'!$Y$6:$Y$1005,1))</f>
        <v>0</v>
      </c>
      <c r="AG85" s="96" t="str">
        <f>IF(AND(R85=1,S85&lt;&gt;"",C85&lt;&gt;""),S85&amp;"|"&amp;C85&amp;"|"&amp;G85&amp;"|"&amp;H85,"")</f>
        <v/>
      </c>
      <c r="AH85" s="96">
        <f>IF(AG85="",0,IF(SUMPRODUCT(--($AG$6:$AG$1005=AG85))&gt;1,1,0))</f>
        <v>0</v>
      </c>
      <c r="AI85" s="96">
        <f>IF(R85=0,0,IF(OR(U85=0,V85=0,Y85=0,AND(AH85=1,K85&lt;&gt;"Sim")),1,0))</f>
        <v>0</v>
      </c>
      <c r="AJ85" s="96">
        <f>IF(AND(R85=1,AA85&gt;0,AB85=AA85),1,0)</f>
        <v>0</v>
      </c>
      <c r="AK85" s="96">
        <f>IF(R85=0,0,IF(AA85&gt;0,N(L85),IF(ISNUMBER(I85),I85,0)))</f>
        <v>0</v>
      </c>
      <c r="AL85" s="96">
        <f>IF(R85=0,0,IF(AND(K85&lt;&gt;"Sim",N(M85)&gt;AK85+cfg_tol),1,0))</f>
        <v>0</v>
      </c>
      <c r="AM85" s="96">
        <f>IF(R85=0,0,IF(K85="Sim",0,IF(OR(AND(AA85&gt;0,ISNUMBER(I85),ABS(I85-N(L85))&gt;cfg_tol),AL85=1),1,0)))</f>
        <v>0</v>
      </c>
      <c r="AN85" s="96">
        <f>IF(AND(R85=1,N(M85)&gt;0,OR(N(M85)&gt;=AK85-cfg_tol,K85="Sim")),1,0)</f>
        <v>0</v>
      </c>
      <c r="AO85" s="96">
        <f>IF(AND(AN85=1,AD85&gt;0,AE85=AD85,AL85=0),1,0)</f>
        <v>0</v>
      </c>
      <c r="AP85" s="96">
        <f>IF(U85=0,0,IF(AND(INDEX('MTRs'!$AX$6:$AX$505,T85)=1,Z85=0,OR(f_res="",f_res="(Todos)",C85=f_res)),1,0))</f>
        <v>0</v>
      </c>
      <c r="AQ85" s="97" t="str">
        <f>IF(U85=0,"",INDEX('MTRs'!$AZ$6:$AZ$505,T85))</f>
        <v/>
      </c>
      <c r="AR85" s="96">
        <f>IF(U85=0,0,IF(AND(INDEX('MTRs'!$BA$6:$BA$505,T85)=1,Z85=0),1,0))</f>
        <v>0</v>
      </c>
      <c r="AS85" s="96" t="str">
        <f>IF(R85=1,A85&amp;" | MTR "&amp;IF(U85=1,INDEX('MTRs'!$B$6:$B$505,T85)&amp;"","?")&amp;" | "&amp;IF(C85="","(sem resíduo)",C85),"")</f>
        <v/>
      </c>
      <c r="AT85" s="96" t="str">
        <f>IF(R85=1,COUNTIF($R$6:R85,1),"")</f>
        <v/>
      </c>
      <c r="AU85" s="96" t="str">
        <f>IF(U85=1,INDEX('MTRs'!$I$6:$I$505,T85)&amp;"","")</f>
        <v/>
      </c>
    </row>
    <row r="86">
      <c r="A86" s="89" t="inlineStr">
        <is>
          <t>IT-000081</t>
        </is>
      </c>
      <c r="B86" s="91" t="n"/>
      <c r="C86" s="91" t="n"/>
      <c r="D86" s="94" t="str">
        <f>IF(OR(R86=0,V86=0),"",INDEX('CAD_RESÍDUOS'!$E$6:$E$205,MATCH(C86,'CAD_RESÍDUOS'!$B$6:$B$205,0))&amp;"")</f>
        <v/>
      </c>
      <c r="E86" s="94" t="str">
        <f>IF(OR(R86=0,V86=0),"",INDEX('CAD_RESÍDUOS'!$C$6:$C$205,MATCH(C86,'CAD_RESÍDUOS'!$B$6:$B$205,0))&amp;"")</f>
        <v/>
      </c>
      <c r="F86" s="94" t="str">
        <f>IF(OR(R86=0,V86=0),"",INDEX('CAD_RESÍDUOS'!$G$6:$G$205,MATCH(C86,'CAD_RESÍDUOS'!$B$6:$B$205,0))&amp;"")</f>
        <v/>
      </c>
      <c r="G86" s="98" t="n"/>
      <c r="H86" s="91" t="n"/>
      <c r="I86" s="93" t="str">
        <f>IF(R86=0,"",IF(NOT(ISNUMBER(G86)),"",IF(ISNUMBER(X86),G86*X86,"UNIDADE A CONFERIR")))</f>
        <v/>
      </c>
      <c r="J86" s="91" t="n"/>
      <c r="K86" s="91" t="n"/>
      <c r="L86" s="93" t="str">
        <f>IF(R86=0,"",SUMIFS('RECEBIMENTOS'!$H$6:$H$1005,'RECEBIMENTOS'!$R$6:$R$1005,A86,'RECEBIMENTOS'!$X$6:$X$1005,1))</f>
        <v/>
      </c>
      <c r="M86" s="93" t="str">
        <f>IF(R86=0,"",SUMIFS('VÍNCULOS_CDF'!$H$6:$H$1005,'VÍNCULOS_CDF'!$R$6:$R$1005,A86,'VÍNCULOS_CDF'!$V$6:$V$1005,1))</f>
        <v/>
      </c>
      <c r="N86" s="99" t="str">
        <f>IF(OR(R86=0,AA86=0,NOT(ISNUMBER(I86))),"",I86-N(L86))</f>
        <v/>
      </c>
      <c r="O86" s="100" t="str">
        <f>IF(OR(R86=0,AK86&lt;=0),"",N(M86)/AK86)</f>
        <v/>
      </c>
      <c r="P86" s="94" t="str">
        <f>IF(R86=0,"",IF(S86="","Sem MTR associado",IF(U86=0,"MTR inexistente",IF(C86="","Resíduo não identificado",IF(V86=0,"Resíduo fora do cadastro",IF(W86=0,"Quantidade inválida",IF(H86="","Unidade não informada",IF(NOT(ISNUMBER(I86)),"Unidade a conferir",IF(AND(AH86=1,K86&lt;&gt;"Sim"),"Possível duplicidade",IF(Z86=1,"MTR cancelado",IF(AC86&gt;0,"Recebimento com alerta",IF(AA86=0,"Aguardando recebimento",IF(AB86&lt;AA86,"Recebimento a conferir",IF(AM86=1,"Quantidade a revisar",IF(AF86&gt;0,"Vínculo a revisar",IF(AD86=0,"Aguardando CDF",IF(AN86=0,"Vínculo de CDF parcial",IF(AE86&lt;AD86,"CDF a conferir","Documentação conferida"))))))))))))))))))</f>
        <v/>
      </c>
      <c r="Q86" s="93" t="str">
        <f>IF(OR(R86=0,AA86=0),"",MAX(0,N(L86)-N(M86)))</f>
        <v/>
      </c>
      <c r="R86" s="96">
        <f>IF(COUNTA(B86:C86,G86:H86,J86:K86)&gt;0,1,0)</f>
        <v>0</v>
      </c>
      <c r="S86" s="96" t="str">
        <f>IF(B86="","",TRIM(LEFT(B86,FIND(" |",B86&amp;" |")-1)))</f>
        <v/>
      </c>
      <c r="T86" s="96" t="str">
        <f>IF(S86="","",IFERROR(MATCH(S86,'MTRs'!$A$6:$A$505,0),""))</f>
        <v/>
      </c>
      <c r="U86" s="96">
        <f>IF(T86="",0,IF(INDEX('MTRs'!$Z$6:$Z$505,T86)=1,1,0))</f>
        <v>0</v>
      </c>
      <c r="V86" s="96">
        <f>IF(C86="",0,IF(ISNUMBER(MATCH(C86,'CAD_RESÍDUOS'!$B$6:$B$205,0)),1,0))</f>
        <v>0</v>
      </c>
      <c r="W86" s="96">
        <f>IF(AND(ISNUMBER(G86),G86&gt;0),1,0)</f>
        <v>0</v>
      </c>
      <c r="X86" s="96" t="str">
        <f>IF(H86="","",IFERROR(IF(ISNUMBER(INDEX(cfg_fac,MATCH(H86,cfg_units,0))),IF(INDEX(cfg_fac,MATCH(H86,cfg_units,0))&gt;0,INDEX(cfg_fac,MATCH(H86,cfg_units,0)),""),""),""))</f>
        <v/>
      </c>
      <c r="Y86" s="96">
        <f>IF(AND(W86=1,ISNUMBER(I86)),1,0)</f>
        <v>0</v>
      </c>
      <c r="Z86" s="96">
        <f>IF(U86=1,INDEX('MTRs'!$AA$6:$AA$505,T86),0)</f>
        <v>0</v>
      </c>
      <c r="AA86" s="96">
        <f>IF(R86=0,0,COUNTIFS('RECEBIMENTOS'!$R$6:$R$1005,A86,'RECEBIMENTOS'!$Q$6:$Q$1005,1))</f>
        <v>0</v>
      </c>
      <c r="AB86" s="96">
        <f>IF(R86=0,0,COUNTIFS('RECEBIMENTOS'!$R$6:$R$1005,A86,'RECEBIMENTOS'!$Z$6:$Z$1005,1))</f>
        <v>0</v>
      </c>
      <c r="AC86" s="96">
        <f>IF(R86=0,0,COUNTIFS('RECEBIMENTOS'!$R$6:$R$1005,A86,'RECEBIMENTOS'!$Y$6:$Y$1005,1))</f>
        <v>0</v>
      </c>
      <c r="AD86" s="96">
        <f>IF(R86=0,0,COUNTIFS('VÍNCULOS_CDF'!$R$6:$R$1005,A86,'VÍNCULOS_CDF'!$N$6:$N$1005,1))</f>
        <v>0</v>
      </c>
      <c r="AE86" s="96">
        <f>IF(R86=0,0,COUNTIFS('VÍNCULOS_CDF'!$R$6:$R$1005,A86,'VÍNCULOS_CDF'!$AA$6:$AA$1005,1))</f>
        <v>0</v>
      </c>
      <c r="AF86" s="96">
        <f>IF(R86=0,0,COUNTIFS('VÍNCULOS_CDF'!$R$6:$R$1005,A86,'VÍNCULOS_CDF'!$Y$6:$Y$1005,1))</f>
        <v>0</v>
      </c>
      <c r="AG86" s="96" t="str">
        <f>IF(AND(R86=1,S86&lt;&gt;"",C86&lt;&gt;""),S86&amp;"|"&amp;C86&amp;"|"&amp;G86&amp;"|"&amp;H86,"")</f>
        <v/>
      </c>
      <c r="AH86" s="96">
        <f>IF(AG86="",0,IF(SUMPRODUCT(--($AG$6:$AG$1005=AG86))&gt;1,1,0))</f>
        <v>0</v>
      </c>
      <c r="AI86" s="96">
        <f>IF(R86=0,0,IF(OR(U86=0,V86=0,Y86=0,AND(AH86=1,K86&lt;&gt;"Sim")),1,0))</f>
        <v>0</v>
      </c>
      <c r="AJ86" s="96">
        <f>IF(AND(R86=1,AA86&gt;0,AB86=AA86),1,0)</f>
        <v>0</v>
      </c>
      <c r="AK86" s="96">
        <f>IF(R86=0,0,IF(AA86&gt;0,N(L86),IF(ISNUMBER(I86),I86,0)))</f>
        <v>0</v>
      </c>
      <c r="AL86" s="96">
        <f>IF(R86=0,0,IF(AND(K86&lt;&gt;"Sim",N(M86)&gt;AK86+cfg_tol),1,0))</f>
        <v>0</v>
      </c>
      <c r="AM86" s="96">
        <f>IF(R86=0,0,IF(K86="Sim",0,IF(OR(AND(AA86&gt;0,ISNUMBER(I86),ABS(I86-N(L86))&gt;cfg_tol),AL86=1),1,0)))</f>
        <v>0</v>
      </c>
      <c r="AN86" s="96">
        <f>IF(AND(R86=1,N(M86)&gt;0,OR(N(M86)&gt;=AK86-cfg_tol,K86="Sim")),1,0)</f>
        <v>0</v>
      </c>
      <c r="AO86" s="96">
        <f>IF(AND(AN86=1,AD86&gt;0,AE86=AD86,AL86=0),1,0)</f>
        <v>0</v>
      </c>
      <c r="AP86" s="96">
        <f>IF(U86=0,0,IF(AND(INDEX('MTRs'!$AX$6:$AX$505,T86)=1,Z86=0,OR(f_res="",f_res="(Todos)",C86=f_res)),1,0))</f>
        <v>0</v>
      </c>
      <c r="AQ86" s="97" t="str">
        <f>IF(U86=0,"",INDEX('MTRs'!$AZ$6:$AZ$505,T86))</f>
        <v/>
      </c>
      <c r="AR86" s="96">
        <f>IF(U86=0,0,IF(AND(INDEX('MTRs'!$BA$6:$BA$505,T86)=1,Z86=0),1,0))</f>
        <v>0</v>
      </c>
      <c r="AS86" s="96" t="str">
        <f>IF(R86=1,A86&amp;" | MTR "&amp;IF(U86=1,INDEX('MTRs'!$B$6:$B$505,T86)&amp;"","?")&amp;" | "&amp;IF(C86="","(sem resíduo)",C86),"")</f>
        <v/>
      </c>
      <c r="AT86" s="96" t="str">
        <f>IF(R86=1,COUNTIF($R$6:R86,1),"")</f>
        <v/>
      </c>
      <c r="AU86" s="96" t="str">
        <f>IF(U86=1,INDEX('MTRs'!$I$6:$I$505,T86)&amp;"","")</f>
        <v/>
      </c>
    </row>
    <row r="87">
      <c r="A87" s="89" t="inlineStr">
        <is>
          <t>IT-000082</t>
        </is>
      </c>
      <c r="B87" s="91" t="n"/>
      <c r="C87" s="91" t="n"/>
      <c r="D87" s="94" t="str">
        <f>IF(OR(R87=0,V87=0),"",INDEX('CAD_RESÍDUOS'!$E$6:$E$205,MATCH(C87,'CAD_RESÍDUOS'!$B$6:$B$205,0))&amp;"")</f>
        <v/>
      </c>
      <c r="E87" s="94" t="str">
        <f>IF(OR(R87=0,V87=0),"",INDEX('CAD_RESÍDUOS'!$C$6:$C$205,MATCH(C87,'CAD_RESÍDUOS'!$B$6:$B$205,0))&amp;"")</f>
        <v/>
      </c>
      <c r="F87" s="94" t="str">
        <f>IF(OR(R87=0,V87=0),"",INDEX('CAD_RESÍDUOS'!$G$6:$G$205,MATCH(C87,'CAD_RESÍDUOS'!$B$6:$B$205,0))&amp;"")</f>
        <v/>
      </c>
      <c r="G87" s="98" t="n"/>
      <c r="H87" s="91" t="n"/>
      <c r="I87" s="93" t="str">
        <f>IF(R87=0,"",IF(NOT(ISNUMBER(G87)),"",IF(ISNUMBER(X87),G87*X87,"UNIDADE A CONFERIR")))</f>
        <v/>
      </c>
      <c r="J87" s="91" t="n"/>
      <c r="K87" s="91" t="n"/>
      <c r="L87" s="93" t="str">
        <f>IF(R87=0,"",SUMIFS('RECEBIMENTOS'!$H$6:$H$1005,'RECEBIMENTOS'!$R$6:$R$1005,A87,'RECEBIMENTOS'!$X$6:$X$1005,1))</f>
        <v/>
      </c>
      <c r="M87" s="93" t="str">
        <f>IF(R87=0,"",SUMIFS('VÍNCULOS_CDF'!$H$6:$H$1005,'VÍNCULOS_CDF'!$R$6:$R$1005,A87,'VÍNCULOS_CDF'!$V$6:$V$1005,1))</f>
        <v/>
      </c>
      <c r="N87" s="99" t="str">
        <f>IF(OR(R87=0,AA87=0,NOT(ISNUMBER(I87))),"",I87-N(L87))</f>
        <v/>
      </c>
      <c r="O87" s="100" t="str">
        <f>IF(OR(R87=0,AK87&lt;=0),"",N(M87)/AK87)</f>
        <v/>
      </c>
      <c r="P87" s="94" t="str">
        <f>IF(R87=0,"",IF(S87="","Sem MTR associado",IF(U87=0,"MTR inexistente",IF(C87="","Resíduo não identificado",IF(V87=0,"Resíduo fora do cadastro",IF(W87=0,"Quantidade inválida",IF(H87="","Unidade não informada",IF(NOT(ISNUMBER(I87)),"Unidade a conferir",IF(AND(AH87=1,K87&lt;&gt;"Sim"),"Possível duplicidade",IF(Z87=1,"MTR cancelado",IF(AC87&gt;0,"Recebimento com alerta",IF(AA87=0,"Aguardando recebimento",IF(AB87&lt;AA87,"Recebimento a conferir",IF(AM87=1,"Quantidade a revisar",IF(AF87&gt;0,"Vínculo a revisar",IF(AD87=0,"Aguardando CDF",IF(AN87=0,"Vínculo de CDF parcial",IF(AE87&lt;AD87,"CDF a conferir","Documentação conferida"))))))))))))))))))</f>
        <v/>
      </c>
      <c r="Q87" s="93" t="str">
        <f>IF(OR(R87=0,AA87=0),"",MAX(0,N(L87)-N(M87)))</f>
        <v/>
      </c>
      <c r="R87" s="96">
        <f>IF(COUNTA(B87:C87,G87:H87,J87:K87)&gt;0,1,0)</f>
        <v>0</v>
      </c>
      <c r="S87" s="96" t="str">
        <f>IF(B87="","",TRIM(LEFT(B87,FIND(" |",B87&amp;" |")-1)))</f>
        <v/>
      </c>
      <c r="T87" s="96" t="str">
        <f>IF(S87="","",IFERROR(MATCH(S87,'MTRs'!$A$6:$A$505,0),""))</f>
        <v/>
      </c>
      <c r="U87" s="96">
        <f>IF(T87="",0,IF(INDEX('MTRs'!$Z$6:$Z$505,T87)=1,1,0))</f>
        <v>0</v>
      </c>
      <c r="V87" s="96">
        <f>IF(C87="",0,IF(ISNUMBER(MATCH(C87,'CAD_RESÍDUOS'!$B$6:$B$205,0)),1,0))</f>
        <v>0</v>
      </c>
      <c r="W87" s="96">
        <f>IF(AND(ISNUMBER(G87),G87&gt;0),1,0)</f>
        <v>0</v>
      </c>
      <c r="X87" s="96" t="str">
        <f>IF(H87="","",IFERROR(IF(ISNUMBER(INDEX(cfg_fac,MATCH(H87,cfg_units,0))),IF(INDEX(cfg_fac,MATCH(H87,cfg_units,0))&gt;0,INDEX(cfg_fac,MATCH(H87,cfg_units,0)),""),""),""))</f>
        <v/>
      </c>
      <c r="Y87" s="96">
        <f>IF(AND(W87=1,ISNUMBER(I87)),1,0)</f>
        <v>0</v>
      </c>
      <c r="Z87" s="96">
        <f>IF(U87=1,INDEX('MTRs'!$AA$6:$AA$505,T87),0)</f>
        <v>0</v>
      </c>
      <c r="AA87" s="96">
        <f>IF(R87=0,0,COUNTIFS('RECEBIMENTOS'!$R$6:$R$1005,A87,'RECEBIMENTOS'!$Q$6:$Q$1005,1))</f>
        <v>0</v>
      </c>
      <c r="AB87" s="96">
        <f>IF(R87=0,0,COUNTIFS('RECEBIMENTOS'!$R$6:$R$1005,A87,'RECEBIMENTOS'!$Z$6:$Z$1005,1))</f>
        <v>0</v>
      </c>
      <c r="AC87" s="96">
        <f>IF(R87=0,0,COUNTIFS('RECEBIMENTOS'!$R$6:$R$1005,A87,'RECEBIMENTOS'!$Y$6:$Y$1005,1))</f>
        <v>0</v>
      </c>
      <c r="AD87" s="96">
        <f>IF(R87=0,0,COUNTIFS('VÍNCULOS_CDF'!$R$6:$R$1005,A87,'VÍNCULOS_CDF'!$N$6:$N$1005,1))</f>
        <v>0</v>
      </c>
      <c r="AE87" s="96">
        <f>IF(R87=0,0,COUNTIFS('VÍNCULOS_CDF'!$R$6:$R$1005,A87,'VÍNCULOS_CDF'!$AA$6:$AA$1005,1))</f>
        <v>0</v>
      </c>
      <c r="AF87" s="96">
        <f>IF(R87=0,0,COUNTIFS('VÍNCULOS_CDF'!$R$6:$R$1005,A87,'VÍNCULOS_CDF'!$Y$6:$Y$1005,1))</f>
        <v>0</v>
      </c>
      <c r="AG87" s="96" t="str">
        <f>IF(AND(R87=1,S87&lt;&gt;"",C87&lt;&gt;""),S87&amp;"|"&amp;C87&amp;"|"&amp;G87&amp;"|"&amp;H87,"")</f>
        <v/>
      </c>
      <c r="AH87" s="96">
        <f>IF(AG87="",0,IF(SUMPRODUCT(--($AG$6:$AG$1005=AG87))&gt;1,1,0))</f>
        <v>0</v>
      </c>
      <c r="AI87" s="96">
        <f>IF(R87=0,0,IF(OR(U87=0,V87=0,Y87=0,AND(AH87=1,K87&lt;&gt;"Sim")),1,0))</f>
        <v>0</v>
      </c>
      <c r="AJ87" s="96">
        <f>IF(AND(R87=1,AA87&gt;0,AB87=AA87),1,0)</f>
        <v>0</v>
      </c>
      <c r="AK87" s="96">
        <f>IF(R87=0,0,IF(AA87&gt;0,N(L87),IF(ISNUMBER(I87),I87,0)))</f>
        <v>0</v>
      </c>
      <c r="AL87" s="96">
        <f>IF(R87=0,0,IF(AND(K87&lt;&gt;"Sim",N(M87)&gt;AK87+cfg_tol),1,0))</f>
        <v>0</v>
      </c>
      <c r="AM87" s="96">
        <f>IF(R87=0,0,IF(K87="Sim",0,IF(OR(AND(AA87&gt;0,ISNUMBER(I87),ABS(I87-N(L87))&gt;cfg_tol),AL87=1),1,0)))</f>
        <v>0</v>
      </c>
      <c r="AN87" s="96">
        <f>IF(AND(R87=1,N(M87)&gt;0,OR(N(M87)&gt;=AK87-cfg_tol,K87="Sim")),1,0)</f>
        <v>0</v>
      </c>
      <c r="AO87" s="96">
        <f>IF(AND(AN87=1,AD87&gt;0,AE87=AD87,AL87=0),1,0)</f>
        <v>0</v>
      </c>
      <c r="AP87" s="96">
        <f>IF(U87=0,0,IF(AND(INDEX('MTRs'!$AX$6:$AX$505,T87)=1,Z87=0,OR(f_res="",f_res="(Todos)",C87=f_res)),1,0))</f>
        <v>0</v>
      </c>
      <c r="AQ87" s="97" t="str">
        <f>IF(U87=0,"",INDEX('MTRs'!$AZ$6:$AZ$505,T87))</f>
        <v/>
      </c>
      <c r="AR87" s="96">
        <f>IF(U87=0,0,IF(AND(INDEX('MTRs'!$BA$6:$BA$505,T87)=1,Z87=0),1,0))</f>
        <v>0</v>
      </c>
      <c r="AS87" s="96" t="str">
        <f>IF(R87=1,A87&amp;" | MTR "&amp;IF(U87=1,INDEX('MTRs'!$B$6:$B$505,T87)&amp;"","?")&amp;" | "&amp;IF(C87="","(sem resíduo)",C87),"")</f>
        <v/>
      </c>
      <c r="AT87" s="96" t="str">
        <f>IF(R87=1,COUNTIF($R$6:R87,1),"")</f>
        <v/>
      </c>
      <c r="AU87" s="96" t="str">
        <f>IF(U87=1,INDEX('MTRs'!$I$6:$I$505,T87)&amp;"","")</f>
        <v/>
      </c>
    </row>
    <row r="88">
      <c r="A88" s="89" t="inlineStr">
        <is>
          <t>IT-000083</t>
        </is>
      </c>
      <c r="B88" s="91" t="n"/>
      <c r="C88" s="91" t="n"/>
      <c r="D88" s="94" t="str">
        <f>IF(OR(R88=0,V88=0),"",INDEX('CAD_RESÍDUOS'!$E$6:$E$205,MATCH(C88,'CAD_RESÍDUOS'!$B$6:$B$205,0))&amp;"")</f>
        <v/>
      </c>
      <c r="E88" s="94" t="str">
        <f>IF(OR(R88=0,V88=0),"",INDEX('CAD_RESÍDUOS'!$C$6:$C$205,MATCH(C88,'CAD_RESÍDUOS'!$B$6:$B$205,0))&amp;"")</f>
        <v/>
      </c>
      <c r="F88" s="94" t="str">
        <f>IF(OR(R88=0,V88=0),"",INDEX('CAD_RESÍDUOS'!$G$6:$G$205,MATCH(C88,'CAD_RESÍDUOS'!$B$6:$B$205,0))&amp;"")</f>
        <v/>
      </c>
      <c r="G88" s="98" t="n"/>
      <c r="H88" s="91" t="n"/>
      <c r="I88" s="93" t="str">
        <f>IF(R88=0,"",IF(NOT(ISNUMBER(G88)),"",IF(ISNUMBER(X88),G88*X88,"UNIDADE A CONFERIR")))</f>
        <v/>
      </c>
      <c r="J88" s="91" t="n"/>
      <c r="K88" s="91" t="n"/>
      <c r="L88" s="93" t="str">
        <f>IF(R88=0,"",SUMIFS('RECEBIMENTOS'!$H$6:$H$1005,'RECEBIMENTOS'!$R$6:$R$1005,A88,'RECEBIMENTOS'!$X$6:$X$1005,1))</f>
        <v/>
      </c>
      <c r="M88" s="93" t="str">
        <f>IF(R88=0,"",SUMIFS('VÍNCULOS_CDF'!$H$6:$H$1005,'VÍNCULOS_CDF'!$R$6:$R$1005,A88,'VÍNCULOS_CDF'!$V$6:$V$1005,1))</f>
        <v/>
      </c>
      <c r="N88" s="99" t="str">
        <f>IF(OR(R88=0,AA88=0,NOT(ISNUMBER(I88))),"",I88-N(L88))</f>
        <v/>
      </c>
      <c r="O88" s="100" t="str">
        <f>IF(OR(R88=0,AK88&lt;=0),"",N(M88)/AK88)</f>
        <v/>
      </c>
      <c r="P88" s="94" t="str">
        <f>IF(R88=0,"",IF(S88="","Sem MTR associado",IF(U88=0,"MTR inexistente",IF(C88="","Resíduo não identificado",IF(V88=0,"Resíduo fora do cadastro",IF(W88=0,"Quantidade inválida",IF(H88="","Unidade não informada",IF(NOT(ISNUMBER(I88)),"Unidade a conferir",IF(AND(AH88=1,K88&lt;&gt;"Sim"),"Possível duplicidade",IF(Z88=1,"MTR cancelado",IF(AC88&gt;0,"Recebimento com alerta",IF(AA88=0,"Aguardando recebimento",IF(AB88&lt;AA88,"Recebimento a conferir",IF(AM88=1,"Quantidade a revisar",IF(AF88&gt;0,"Vínculo a revisar",IF(AD88=0,"Aguardando CDF",IF(AN88=0,"Vínculo de CDF parcial",IF(AE88&lt;AD88,"CDF a conferir","Documentação conferida"))))))))))))))))))</f>
        <v/>
      </c>
      <c r="Q88" s="93" t="str">
        <f>IF(OR(R88=0,AA88=0),"",MAX(0,N(L88)-N(M88)))</f>
        <v/>
      </c>
      <c r="R88" s="96">
        <f>IF(COUNTA(B88:C88,G88:H88,J88:K88)&gt;0,1,0)</f>
        <v>0</v>
      </c>
      <c r="S88" s="96" t="str">
        <f>IF(B88="","",TRIM(LEFT(B88,FIND(" |",B88&amp;" |")-1)))</f>
        <v/>
      </c>
      <c r="T88" s="96" t="str">
        <f>IF(S88="","",IFERROR(MATCH(S88,'MTRs'!$A$6:$A$505,0),""))</f>
        <v/>
      </c>
      <c r="U88" s="96">
        <f>IF(T88="",0,IF(INDEX('MTRs'!$Z$6:$Z$505,T88)=1,1,0))</f>
        <v>0</v>
      </c>
      <c r="V88" s="96">
        <f>IF(C88="",0,IF(ISNUMBER(MATCH(C88,'CAD_RESÍDUOS'!$B$6:$B$205,0)),1,0))</f>
        <v>0</v>
      </c>
      <c r="W88" s="96">
        <f>IF(AND(ISNUMBER(G88),G88&gt;0),1,0)</f>
        <v>0</v>
      </c>
      <c r="X88" s="96" t="str">
        <f>IF(H88="","",IFERROR(IF(ISNUMBER(INDEX(cfg_fac,MATCH(H88,cfg_units,0))),IF(INDEX(cfg_fac,MATCH(H88,cfg_units,0))&gt;0,INDEX(cfg_fac,MATCH(H88,cfg_units,0)),""),""),""))</f>
        <v/>
      </c>
      <c r="Y88" s="96">
        <f>IF(AND(W88=1,ISNUMBER(I88)),1,0)</f>
        <v>0</v>
      </c>
      <c r="Z88" s="96">
        <f>IF(U88=1,INDEX('MTRs'!$AA$6:$AA$505,T88),0)</f>
        <v>0</v>
      </c>
      <c r="AA88" s="96">
        <f>IF(R88=0,0,COUNTIFS('RECEBIMENTOS'!$R$6:$R$1005,A88,'RECEBIMENTOS'!$Q$6:$Q$1005,1))</f>
        <v>0</v>
      </c>
      <c r="AB88" s="96">
        <f>IF(R88=0,0,COUNTIFS('RECEBIMENTOS'!$R$6:$R$1005,A88,'RECEBIMENTOS'!$Z$6:$Z$1005,1))</f>
        <v>0</v>
      </c>
      <c r="AC88" s="96">
        <f>IF(R88=0,0,COUNTIFS('RECEBIMENTOS'!$R$6:$R$1005,A88,'RECEBIMENTOS'!$Y$6:$Y$1005,1))</f>
        <v>0</v>
      </c>
      <c r="AD88" s="96">
        <f>IF(R88=0,0,COUNTIFS('VÍNCULOS_CDF'!$R$6:$R$1005,A88,'VÍNCULOS_CDF'!$N$6:$N$1005,1))</f>
        <v>0</v>
      </c>
      <c r="AE88" s="96">
        <f>IF(R88=0,0,COUNTIFS('VÍNCULOS_CDF'!$R$6:$R$1005,A88,'VÍNCULOS_CDF'!$AA$6:$AA$1005,1))</f>
        <v>0</v>
      </c>
      <c r="AF88" s="96">
        <f>IF(R88=0,0,COUNTIFS('VÍNCULOS_CDF'!$R$6:$R$1005,A88,'VÍNCULOS_CDF'!$Y$6:$Y$1005,1))</f>
        <v>0</v>
      </c>
      <c r="AG88" s="96" t="str">
        <f>IF(AND(R88=1,S88&lt;&gt;"",C88&lt;&gt;""),S88&amp;"|"&amp;C88&amp;"|"&amp;G88&amp;"|"&amp;H88,"")</f>
        <v/>
      </c>
      <c r="AH88" s="96">
        <f>IF(AG88="",0,IF(SUMPRODUCT(--($AG$6:$AG$1005=AG88))&gt;1,1,0))</f>
        <v>0</v>
      </c>
      <c r="AI88" s="96">
        <f>IF(R88=0,0,IF(OR(U88=0,V88=0,Y88=0,AND(AH88=1,K88&lt;&gt;"Sim")),1,0))</f>
        <v>0</v>
      </c>
      <c r="AJ88" s="96">
        <f>IF(AND(R88=1,AA88&gt;0,AB88=AA88),1,0)</f>
        <v>0</v>
      </c>
      <c r="AK88" s="96">
        <f>IF(R88=0,0,IF(AA88&gt;0,N(L88),IF(ISNUMBER(I88),I88,0)))</f>
        <v>0</v>
      </c>
      <c r="AL88" s="96">
        <f>IF(R88=0,0,IF(AND(K88&lt;&gt;"Sim",N(M88)&gt;AK88+cfg_tol),1,0))</f>
        <v>0</v>
      </c>
      <c r="AM88" s="96">
        <f>IF(R88=0,0,IF(K88="Sim",0,IF(OR(AND(AA88&gt;0,ISNUMBER(I88),ABS(I88-N(L88))&gt;cfg_tol),AL88=1),1,0)))</f>
        <v>0</v>
      </c>
      <c r="AN88" s="96">
        <f>IF(AND(R88=1,N(M88)&gt;0,OR(N(M88)&gt;=AK88-cfg_tol,K88="Sim")),1,0)</f>
        <v>0</v>
      </c>
      <c r="AO88" s="96">
        <f>IF(AND(AN88=1,AD88&gt;0,AE88=AD88,AL88=0),1,0)</f>
        <v>0</v>
      </c>
      <c r="AP88" s="96">
        <f>IF(U88=0,0,IF(AND(INDEX('MTRs'!$AX$6:$AX$505,T88)=1,Z88=0,OR(f_res="",f_res="(Todos)",C88=f_res)),1,0))</f>
        <v>0</v>
      </c>
      <c r="AQ88" s="97" t="str">
        <f>IF(U88=0,"",INDEX('MTRs'!$AZ$6:$AZ$505,T88))</f>
        <v/>
      </c>
      <c r="AR88" s="96">
        <f>IF(U88=0,0,IF(AND(INDEX('MTRs'!$BA$6:$BA$505,T88)=1,Z88=0),1,0))</f>
        <v>0</v>
      </c>
      <c r="AS88" s="96" t="str">
        <f>IF(R88=1,A88&amp;" | MTR "&amp;IF(U88=1,INDEX('MTRs'!$B$6:$B$505,T88)&amp;"","?")&amp;" | "&amp;IF(C88="","(sem resíduo)",C88),"")</f>
        <v/>
      </c>
      <c r="AT88" s="96" t="str">
        <f>IF(R88=1,COUNTIF($R$6:R88,1),"")</f>
        <v/>
      </c>
      <c r="AU88" s="96" t="str">
        <f>IF(U88=1,INDEX('MTRs'!$I$6:$I$505,T88)&amp;"","")</f>
        <v/>
      </c>
    </row>
    <row r="89">
      <c r="A89" s="89" t="inlineStr">
        <is>
          <t>IT-000084</t>
        </is>
      </c>
      <c r="B89" s="91" t="n"/>
      <c r="C89" s="91" t="n"/>
      <c r="D89" s="94" t="str">
        <f>IF(OR(R89=0,V89=0),"",INDEX('CAD_RESÍDUOS'!$E$6:$E$205,MATCH(C89,'CAD_RESÍDUOS'!$B$6:$B$205,0))&amp;"")</f>
        <v/>
      </c>
      <c r="E89" s="94" t="str">
        <f>IF(OR(R89=0,V89=0),"",INDEX('CAD_RESÍDUOS'!$C$6:$C$205,MATCH(C89,'CAD_RESÍDUOS'!$B$6:$B$205,0))&amp;"")</f>
        <v/>
      </c>
      <c r="F89" s="94" t="str">
        <f>IF(OR(R89=0,V89=0),"",INDEX('CAD_RESÍDUOS'!$G$6:$G$205,MATCH(C89,'CAD_RESÍDUOS'!$B$6:$B$205,0))&amp;"")</f>
        <v/>
      </c>
      <c r="G89" s="98" t="n"/>
      <c r="H89" s="91" t="n"/>
      <c r="I89" s="93" t="str">
        <f>IF(R89=0,"",IF(NOT(ISNUMBER(G89)),"",IF(ISNUMBER(X89),G89*X89,"UNIDADE A CONFERIR")))</f>
        <v/>
      </c>
      <c r="J89" s="91" t="n"/>
      <c r="K89" s="91" t="n"/>
      <c r="L89" s="93" t="str">
        <f>IF(R89=0,"",SUMIFS('RECEBIMENTOS'!$H$6:$H$1005,'RECEBIMENTOS'!$R$6:$R$1005,A89,'RECEBIMENTOS'!$X$6:$X$1005,1))</f>
        <v/>
      </c>
      <c r="M89" s="93" t="str">
        <f>IF(R89=0,"",SUMIFS('VÍNCULOS_CDF'!$H$6:$H$1005,'VÍNCULOS_CDF'!$R$6:$R$1005,A89,'VÍNCULOS_CDF'!$V$6:$V$1005,1))</f>
        <v/>
      </c>
      <c r="N89" s="99" t="str">
        <f>IF(OR(R89=0,AA89=0,NOT(ISNUMBER(I89))),"",I89-N(L89))</f>
        <v/>
      </c>
      <c r="O89" s="100" t="str">
        <f>IF(OR(R89=0,AK89&lt;=0),"",N(M89)/AK89)</f>
        <v/>
      </c>
      <c r="P89" s="94" t="str">
        <f>IF(R89=0,"",IF(S89="","Sem MTR associado",IF(U89=0,"MTR inexistente",IF(C89="","Resíduo não identificado",IF(V89=0,"Resíduo fora do cadastro",IF(W89=0,"Quantidade inválida",IF(H89="","Unidade não informada",IF(NOT(ISNUMBER(I89)),"Unidade a conferir",IF(AND(AH89=1,K89&lt;&gt;"Sim"),"Possível duplicidade",IF(Z89=1,"MTR cancelado",IF(AC89&gt;0,"Recebimento com alerta",IF(AA89=0,"Aguardando recebimento",IF(AB89&lt;AA89,"Recebimento a conferir",IF(AM89=1,"Quantidade a revisar",IF(AF89&gt;0,"Vínculo a revisar",IF(AD89=0,"Aguardando CDF",IF(AN89=0,"Vínculo de CDF parcial",IF(AE89&lt;AD89,"CDF a conferir","Documentação conferida"))))))))))))))))))</f>
        <v/>
      </c>
      <c r="Q89" s="93" t="str">
        <f>IF(OR(R89=0,AA89=0),"",MAX(0,N(L89)-N(M89)))</f>
        <v/>
      </c>
      <c r="R89" s="96">
        <f>IF(COUNTA(B89:C89,G89:H89,J89:K89)&gt;0,1,0)</f>
        <v>0</v>
      </c>
      <c r="S89" s="96" t="str">
        <f>IF(B89="","",TRIM(LEFT(B89,FIND(" |",B89&amp;" |")-1)))</f>
        <v/>
      </c>
      <c r="T89" s="96" t="str">
        <f>IF(S89="","",IFERROR(MATCH(S89,'MTRs'!$A$6:$A$505,0),""))</f>
        <v/>
      </c>
      <c r="U89" s="96">
        <f>IF(T89="",0,IF(INDEX('MTRs'!$Z$6:$Z$505,T89)=1,1,0))</f>
        <v>0</v>
      </c>
      <c r="V89" s="96">
        <f>IF(C89="",0,IF(ISNUMBER(MATCH(C89,'CAD_RESÍDUOS'!$B$6:$B$205,0)),1,0))</f>
        <v>0</v>
      </c>
      <c r="W89" s="96">
        <f>IF(AND(ISNUMBER(G89),G89&gt;0),1,0)</f>
        <v>0</v>
      </c>
      <c r="X89" s="96" t="str">
        <f>IF(H89="","",IFERROR(IF(ISNUMBER(INDEX(cfg_fac,MATCH(H89,cfg_units,0))),IF(INDEX(cfg_fac,MATCH(H89,cfg_units,0))&gt;0,INDEX(cfg_fac,MATCH(H89,cfg_units,0)),""),""),""))</f>
        <v/>
      </c>
      <c r="Y89" s="96">
        <f>IF(AND(W89=1,ISNUMBER(I89)),1,0)</f>
        <v>0</v>
      </c>
      <c r="Z89" s="96">
        <f>IF(U89=1,INDEX('MTRs'!$AA$6:$AA$505,T89),0)</f>
        <v>0</v>
      </c>
      <c r="AA89" s="96">
        <f>IF(R89=0,0,COUNTIFS('RECEBIMENTOS'!$R$6:$R$1005,A89,'RECEBIMENTOS'!$Q$6:$Q$1005,1))</f>
        <v>0</v>
      </c>
      <c r="AB89" s="96">
        <f>IF(R89=0,0,COUNTIFS('RECEBIMENTOS'!$R$6:$R$1005,A89,'RECEBIMENTOS'!$Z$6:$Z$1005,1))</f>
        <v>0</v>
      </c>
      <c r="AC89" s="96">
        <f>IF(R89=0,0,COUNTIFS('RECEBIMENTOS'!$R$6:$R$1005,A89,'RECEBIMENTOS'!$Y$6:$Y$1005,1))</f>
        <v>0</v>
      </c>
      <c r="AD89" s="96">
        <f>IF(R89=0,0,COUNTIFS('VÍNCULOS_CDF'!$R$6:$R$1005,A89,'VÍNCULOS_CDF'!$N$6:$N$1005,1))</f>
        <v>0</v>
      </c>
      <c r="AE89" s="96">
        <f>IF(R89=0,0,COUNTIFS('VÍNCULOS_CDF'!$R$6:$R$1005,A89,'VÍNCULOS_CDF'!$AA$6:$AA$1005,1))</f>
        <v>0</v>
      </c>
      <c r="AF89" s="96">
        <f>IF(R89=0,0,COUNTIFS('VÍNCULOS_CDF'!$R$6:$R$1005,A89,'VÍNCULOS_CDF'!$Y$6:$Y$1005,1))</f>
        <v>0</v>
      </c>
      <c r="AG89" s="96" t="str">
        <f>IF(AND(R89=1,S89&lt;&gt;"",C89&lt;&gt;""),S89&amp;"|"&amp;C89&amp;"|"&amp;G89&amp;"|"&amp;H89,"")</f>
        <v/>
      </c>
      <c r="AH89" s="96">
        <f>IF(AG89="",0,IF(SUMPRODUCT(--($AG$6:$AG$1005=AG89))&gt;1,1,0))</f>
        <v>0</v>
      </c>
      <c r="AI89" s="96">
        <f>IF(R89=0,0,IF(OR(U89=0,V89=0,Y89=0,AND(AH89=1,K89&lt;&gt;"Sim")),1,0))</f>
        <v>0</v>
      </c>
      <c r="AJ89" s="96">
        <f>IF(AND(R89=1,AA89&gt;0,AB89=AA89),1,0)</f>
        <v>0</v>
      </c>
      <c r="AK89" s="96">
        <f>IF(R89=0,0,IF(AA89&gt;0,N(L89),IF(ISNUMBER(I89),I89,0)))</f>
        <v>0</v>
      </c>
      <c r="AL89" s="96">
        <f>IF(R89=0,0,IF(AND(K89&lt;&gt;"Sim",N(M89)&gt;AK89+cfg_tol),1,0))</f>
        <v>0</v>
      </c>
      <c r="AM89" s="96">
        <f>IF(R89=0,0,IF(K89="Sim",0,IF(OR(AND(AA89&gt;0,ISNUMBER(I89),ABS(I89-N(L89))&gt;cfg_tol),AL89=1),1,0)))</f>
        <v>0</v>
      </c>
      <c r="AN89" s="96">
        <f>IF(AND(R89=1,N(M89)&gt;0,OR(N(M89)&gt;=AK89-cfg_tol,K89="Sim")),1,0)</f>
        <v>0</v>
      </c>
      <c r="AO89" s="96">
        <f>IF(AND(AN89=1,AD89&gt;0,AE89=AD89,AL89=0),1,0)</f>
        <v>0</v>
      </c>
      <c r="AP89" s="96">
        <f>IF(U89=0,0,IF(AND(INDEX('MTRs'!$AX$6:$AX$505,T89)=1,Z89=0,OR(f_res="",f_res="(Todos)",C89=f_res)),1,0))</f>
        <v>0</v>
      </c>
      <c r="AQ89" s="97" t="str">
        <f>IF(U89=0,"",INDEX('MTRs'!$AZ$6:$AZ$505,T89))</f>
        <v/>
      </c>
      <c r="AR89" s="96">
        <f>IF(U89=0,0,IF(AND(INDEX('MTRs'!$BA$6:$BA$505,T89)=1,Z89=0),1,0))</f>
        <v>0</v>
      </c>
      <c r="AS89" s="96" t="str">
        <f>IF(R89=1,A89&amp;" | MTR "&amp;IF(U89=1,INDEX('MTRs'!$B$6:$B$505,T89)&amp;"","?")&amp;" | "&amp;IF(C89="","(sem resíduo)",C89),"")</f>
        <v/>
      </c>
      <c r="AT89" s="96" t="str">
        <f>IF(R89=1,COUNTIF($R$6:R89,1),"")</f>
        <v/>
      </c>
      <c r="AU89" s="96" t="str">
        <f>IF(U89=1,INDEX('MTRs'!$I$6:$I$505,T89)&amp;"","")</f>
        <v/>
      </c>
    </row>
    <row r="90">
      <c r="A90" s="89" t="inlineStr">
        <is>
          <t>IT-000085</t>
        </is>
      </c>
      <c r="B90" s="91" t="n"/>
      <c r="C90" s="91" t="n"/>
      <c r="D90" s="94" t="str">
        <f>IF(OR(R90=0,V90=0),"",INDEX('CAD_RESÍDUOS'!$E$6:$E$205,MATCH(C90,'CAD_RESÍDUOS'!$B$6:$B$205,0))&amp;"")</f>
        <v/>
      </c>
      <c r="E90" s="94" t="str">
        <f>IF(OR(R90=0,V90=0),"",INDEX('CAD_RESÍDUOS'!$C$6:$C$205,MATCH(C90,'CAD_RESÍDUOS'!$B$6:$B$205,0))&amp;"")</f>
        <v/>
      </c>
      <c r="F90" s="94" t="str">
        <f>IF(OR(R90=0,V90=0),"",INDEX('CAD_RESÍDUOS'!$G$6:$G$205,MATCH(C90,'CAD_RESÍDUOS'!$B$6:$B$205,0))&amp;"")</f>
        <v/>
      </c>
      <c r="G90" s="98" t="n"/>
      <c r="H90" s="91" t="n"/>
      <c r="I90" s="93" t="str">
        <f>IF(R90=0,"",IF(NOT(ISNUMBER(G90)),"",IF(ISNUMBER(X90),G90*X90,"UNIDADE A CONFERIR")))</f>
        <v/>
      </c>
      <c r="J90" s="91" t="n"/>
      <c r="K90" s="91" t="n"/>
      <c r="L90" s="93" t="str">
        <f>IF(R90=0,"",SUMIFS('RECEBIMENTOS'!$H$6:$H$1005,'RECEBIMENTOS'!$R$6:$R$1005,A90,'RECEBIMENTOS'!$X$6:$X$1005,1))</f>
        <v/>
      </c>
      <c r="M90" s="93" t="str">
        <f>IF(R90=0,"",SUMIFS('VÍNCULOS_CDF'!$H$6:$H$1005,'VÍNCULOS_CDF'!$R$6:$R$1005,A90,'VÍNCULOS_CDF'!$V$6:$V$1005,1))</f>
        <v/>
      </c>
      <c r="N90" s="99" t="str">
        <f>IF(OR(R90=0,AA90=0,NOT(ISNUMBER(I90))),"",I90-N(L90))</f>
        <v/>
      </c>
      <c r="O90" s="100" t="str">
        <f>IF(OR(R90=0,AK90&lt;=0),"",N(M90)/AK90)</f>
        <v/>
      </c>
      <c r="P90" s="94" t="str">
        <f>IF(R90=0,"",IF(S90="","Sem MTR associado",IF(U90=0,"MTR inexistente",IF(C90="","Resíduo não identificado",IF(V90=0,"Resíduo fora do cadastro",IF(W90=0,"Quantidade inválida",IF(H90="","Unidade não informada",IF(NOT(ISNUMBER(I90)),"Unidade a conferir",IF(AND(AH90=1,K90&lt;&gt;"Sim"),"Possível duplicidade",IF(Z90=1,"MTR cancelado",IF(AC90&gt;0,"Recebimento com alerta",IF(AA90=0,"Aguardando recebimento",IF(AB90&lt;AA90,"Recebimento a conferir",IF(AM90=1,"Quantidade a revisar",IF(AF90&gt;0,"Vínculo a revisar",IF(AD90=0,"Aguardando CDF",IF(AN90=0,"Vínculo de CDF parcial",IF(AE90&lt;AD90,"CDF a conferir","Documentação conferida"))))))))))))))))))</f>
        <v/>
      </c>
      <c r="Q90" s="93" t="str">
        <f>IF(OR(R90=0,AA90=0),"",MAX(0,N(L90)-N(M90)))</f>
        <v/>
      </c>
      <c r="R90" s="96">
        <f>IF(COUNTA(B90:C90,G90:H90,J90:K90)&gt;0,1,0)</f>
        <v>0</v>
      </c>
      <c r="S90" s="96" t="str">
        <f>IF(B90="","",TRIM(LEFT(B90,FIND(" |",B90&amp;" |")-1)))</f>
        <v/>
      </c>
      <c r="T90" s="96" t="str">
        <f>IF(S90="","",IFERROR(MATCH(S90,'MTRs'!$A$6:$A$505,0),""))</f>
        <v/>
      </c>
      <c r="U90" s="96">
        <f>IF(T90="",0,IF(INDEX('MTRs'!$Z$6:$Z$505,T90)=1,1,0))</f>
        <v>0</v>
      </c>
      <c r="V90" s="96">
        <f>IF(C90="",0,IF(ISNUMBER(MATCH(C90,'CAD_RESÍDUOS'!$B$6:$B$205,0)),1,0))</f>
        <v>0</v>
      </c>
      <c r="W90" s="96">
        <f>IF(AND(ISNUMBER(G90),G90&gt;0),1,0)</f>
        <v>0</v>
      </c>
      <c r="X90" s="96" t="str">
        <f>IF(H90="","",IFERROR(IF(ISNUMBER(INDEX(cfg_fac,MATCH(H90,cfg_units,0))),IF(INDEX(cfg_fac,MATCH(H90,cfg_units,0))&gt;0,INDEX(cfg_fac,MATCH(H90,cfg_units,0)),""),""),""))</f>
        <v/>
      </c>
      <c r="Y90" s="96">
        <f>IF(AND(W90=1,ISNUMBER(I90)),1,0)</f>
        <v>0</v>
      </c>
      <c r="Z90" s="96">
        <f>IF(U90=1,INDEX('MTRs'!$AA$6:$AA$505,T90),0)</f>
        <v>0</v>
      </c>
      <c r="AA90" s="96">
        <f>IF(R90=0,0,COUNTIFS('RECEBIMENTOS'!$R$6:$R$1005,A90,'RECEBIMENTOS'!$Q$6:$Q$1005,1))</f>
        <v>0</v>
      </c>
      <c r="AB90" s="96">
        <f>IF(R90=0,0,COUNTIFS('RECEBIMENTOS'!$R$6:$R$1005,A90,'RECEBIMENTOS'!$Z$6:$Z$1005,1))</f>
        <v>0</v>
      </c>
      <c r="AC90" s="96">
        <f>IF(R90=0,0,COUNTIFS('RECEBIMENTOS'!$R$6:$R$1005,A90,'RECEBIMENTOS'!$Y$6:$Y$1005,1))</f>
        <v>0</v>
      </c>
      <c r="AD90" s="96">
        <f>IF(R90=0,0,COUNTIFS('VÍNCULOS_CDF'!$R$6:$R$1005,A90,'VÍNCULOS_CDF'!$N$6:$N$1005,1))</f>
        <v>0</v>
      </c>
      <c r="AE90" s="96">
        <f>IF(R90=0,0,COUNTIFS('VÍNCULOS_CDF'!$R$6:$R$1005,A90,'VÍNCULOS_CDF'!$AA$6:$AA$1005,1))</f>
        <v>0</v>
      </c>
      <c r="AF90" s="96">
        <f>IF(R90=0,0,COUNTIFS('VÍNCULOS_CDF'!$R$6:$R$1005,A90,'VÍNCULOS_CDF'!$Y$6:$Y$1005,1))</f>
        <v>0</v>
      </c>
      <c r="AG90" s="96" t="str">
        <f>IF(AND(R90=1,S90&lt;&gt;"",C90&lt;&gt;""),S90&amp;"|"&amp;C90&amp;"|"&amp;G90&amp;"|"&amp;H90,"")</f>
        <v/>
      </c>
      <c r="AH90" s="96">
        <f>IF(AG90="",0,IF(SUMPRODUCT(--($AG$6:$AG$1005=AG90))&gt;1,1,0))</f>
        <v>0</v>
      </c>
      <c r="AI90" s="96">
        <f>IF(R90=0,0,IF(OR(U90=0,V90=0,Y90=0,AND(AH90=1,K90&lt;&gt;"Sim")),1,0))</f>
        <v>0</v>
      </c>
      <c r="AJ90" s="96">
        <f>IF(AND(R90=1,AA90&gt;0,AB90=AA90),1,0)</f>
        <v>0</v>
      </c>
      <c r="AK90" s="96">
        <f>IF(R90=0,0,IF(AA90&gt;0,N(L90),IF(ISNUMBER(I90),I90,0)))</f>
        <v>0</v>
      </c>
      <c r="AL90" s="96">
        <f>IF(R90=0,0,IF(AND(K90&lt;&gt;"Sim",N(M90)&gt;AK90+cfg_tol),1,0))</f>
        <v>0</v>
      </c>
      <c r="AM90" s="96">
        <f>IF(R90=0,0,IF(K90="Sim",0,IF(OR(AND(AA90&gt;0,ISNUMBER(I90),ABS(I90-N(L90))&gt;cfg_tol),AL90=1),1,0)))</f>
        <v>0</v>
      </c>
      <c r="AN90" s="96">
        <f>IF(AND(R90=1,N(M90)&gt;0,OR(N(M90)&gt;=AK90-cfg_tol,K90="Sim")),1,0)</f>
        <v>0</v>
      </c>
      <c r="AO90" s="96">
        <f>IF(AND(AN90=1,AD90&gt;0,AE90=AD90,AL90=0),1,0)</f>
        <v>0</v>
      </c>
      <c r="AP90" s="96">
        <f>IF(U90=0,0,IF(AND(INDEX('MTRs'!$AX$6:$AX$505,T90)=1,Z90=0,OR(f_res="",f_res="(Todos)",C90=f_res)),1,0))</f>
        <v>0</v>
      </c>
      <c r="AQ90" s="97" t="str">
        <f>IF(U90=0,"",INDEX('MTRs'!$AZ$6:$AZ$505,T90))</f>
        <v/>
      </c>
      <c r="AR90" s="96">
        <f>IF(U90=0,0,IF(AND(INDEX('MTRs'!$BA$6:$BA$505,T90)=1,Z90=0),1,0))</f>
        <v>0</v>
      </c>
      <c r="AS90" s="96" t="str">
        <f>IF(R90=1,A90&amp;" | MTR "&amp;IF(U90=1,INDEX('MTRs'!$B$6:$B$505,T90)&amp;"","?")&amp;" | "&amp;IF(C90="","(sem resíduo)",C90),"")</f>
        <v/>
      </c>
      <c r="AT90" s="96" t="str">
        <f>IF(R90=1,COUNTIF($R$6:R90,1),"")</f>
        <v/>
      </c>
      <c r="AU90" s="96" t="str">
        <f>IF(U90=1,INDEX('MTRs'!$I$6:$I$505,T90)&amp;"","")</f>
        <v/>
      </c>
    </row>
    <row r="91">
      <c r="A91" s="89" t="inlineStr">
        <is>
          <t>IT-000086</t>
        </is>
      </c>
      <c r="B91" s="91" t="n"/>
      <c r="C91" s="91" t="n"/>
      <c r="D91" s="94" t="str">
        <f>IF(OR(R91=0,V91=0),"",INDEX('CAD_RESÍDUOS'!$E$6:$E$205,MATCH(C91,'CAD_RESÍDUOS'!$B$6:$B$205,0))&amp;"")</f>
        <v/>
      </c>
      <c r="E91" s="94" t="str">
        <f>IF(OR(R91=0,V91=0),"",INDEX('CAD_RESÍDUOS'!$C$6:$C$205,MATCH(C91,'CAD_RESÍDUOS'!$B$6:$B$205,0))&amp;"")</f>
        <v/>
      </c>
      <c r="F91" s="94" t="str">
        <f>IF(OR(R91=0,V91=0),"",INDEX('CAD_RESÍDUOS'!$G$6:$G$205,MATCH(C91,'CAD_RESÍDUOS'!$B$6:$B$205,0))&amp;"")</f>
        <v/>
      </c>
      <c r="G91" s="98" t="n"/>
      <c r="H91" s="91" t="n"/>
      <c r="I91" s="93" t="str">
        <f>IF(R91=0,"",IF(NOT(ISNUMBER(G91)),"",IF(ISNUMBER(X91),G91*X91,"UNIDADE A CONFERIR")))</f>
        <v/>
      </c>
      <c r="J91" s="91" t="n"/>
      <c r="K91" s="91" t="n"/>
      <c r="L91" s="93" t="str">
        <f>IF(R91=0,"",SUMIFS('RECEBIMENTOS'!$H$6:$H$1005,'RECEBIMENTOS'!$R$6:$R$1005,A91,'RECEBIMENTOS'!$X$6:$X$1005,1))</f>
        <v/>
      </c>
      <c r="M91" s="93" t="str">
        <f>IF(R91=0,"",SUMIFS('VÍNCULOS_CDF'!$H$6:$H$1005,'VÍNCULOS_CDF'!$R$6:$R$1005,A91,'VÍNCULOS_CDF'!$V$6:$V$1005,1))</f>
        <v/>
      </c>
      <c r="N91" s="99" t="str">
        <f>IF(OR(R91=0,AA91=0,NOT(ISNUMBER(I91))),"",I91-N(L91))</f>
        <v/>
      </c>
      <c r="O91" s="100" t="str">
        <f>IF(OR(R91=0,AK91&lt;=0),"",N(M91)/AK91)</f>
        <v/>
      </c>
      <c r="P91" s="94" t="str">
        <f>IF(R91=0,"",IF(S91="","Sem MTR associado",IF(U91=0,"MTR inexistente",IF(C91="","Resíduo não identificado",IF(V91=0,"Resíduo fora do cadastro",IF(W91=0,"Quantidade inválida",IF(H91="","Unidade não informada",IF(NOT(ISNUMBER(I91)),"Unidade a conferir",IF(AND(AH91=1,K91&lt;&gt;"Sim"),"Possível duplicidade",IF(Z91=1,"MTR cancelado",IF(AC91&gt;0,"Recebimento com alerta",IF(AA91=0,"Aguardando recebimento",IF(AB91&lt;AA91,"Recebimento a conferir",IF(AM91=1,"Quantidade a revisar",IF(AF91&gt;0,"Vínculo a revisar",IF(AD91=0,"Aguardando CDF",IF(AN91=0,"Vínculo de CDF parcial",IF(AE91&lt;AD91,"CDF a conferir","Documentação conferida"))))))))))))))))))</f>
        <v/>
      </c>
      <c r="Q91" s="93" t="str">
        <f>IF(OR(R91=0,AA91=0),"",MAX(0,N(L91)-N(M91)))</f>
        <v/>
      </c>
      <c r="R91" s="96">
        <f>IF(COUNTA(B91:C91,G91:H91,J91:K91)&gt;0,1,0)</f>
        <v>0</v>
      </c>
      <c r="S91" s="96" t="str">
        <f>IF(B91="","",TRIM(LEFT(B91,FIND(" |",B91&amp;" |")-1)))</f>
        <v/>
      </c>
      <c r="T91" s="96" t="str">
        <f>IF(S91="","",IFERROR(MATCH(S91,'MTRs'!$A$6:$A$505,0),""))</f>
        <v/>
      </c>
      <c r="U91" s="96">
        <f>IF(T91="",0,IF(INDEX('MTRs'!$Z$6:$Z$505,T91)=1,1,0))</f>
        <v>0</v>
      </c>
      <c r="V91" s="96">
        <f>IF(C91="",0,IF(ISNUMBER(MATCH(C91,'CAD_RESÍDUOS'!$B$6:$B$205,0)),1,0))</f>
        <v>0</v>
      </c>
      <c r="W91" s="96">
        <f>IF(AND(ISNUMBER(G91),G91&gt;0),1,0)</f>
        <v>0</v>
      </c>
      <c r="X91" s="96" t="str">
        <f>IF(H91="","",IFERROR(IF(ISNUMBER(INDEX(cfg_fac,MATCH(H91,cfg_units,0))),IF(INDEX(cfg_fac,MATCH(H91,cfg_units,0))&gt;0,INDEX(cfg_fac,MATCH(H91,cfg_units,0)),""),""),""))</f>
        <v/>
      </c>
      <c r="Y91" s="96">
        <f>IF(AND(W91=1,ISNUMBER(I91)),1,0)</f>
        <v>0</v>
      </c>
      <c r="Z91" s="96">
        <f>IF(U91=1,INDEX('MTRs'!$AA$6:$AA$505,T91),0)</f>
        <v>0</v>
      </c>
      <c r="AA91" s="96">
        <f>IF(R91=0,0,COUNTIFS('RECEBIMENTOS'!$R$6:$R$1005,A91,'RECEBIMENTOS'!$Q$6:$Q$1005,1))</f>
        <v>0</v>
      </c>
      <c r="AB91" s="96">
        <f>IF(R91=0,0,COUNTIFS('RECEBIMENTOS'!$R$6:$R$1005,A91,'RECEBIMENTOS'!$Z$6:$Z$1005,1))</f>
        <v>0</v>
      </c>
      <c r="AC91" s="96">
        <f>IF(R91=0,0,COUNTIFS('RECEBIMENTOS'!$R$6:$R$1005,A91,'RECEBIMENTOS'!$Y$6:$Y$1005,1))</f>
        <v>0</v>
      </c>
      <c r="AD91" s="96">
        <f>IF(R91=0,0,COUNTIFS('VÍNCULOS_CDF'!$R$6:$R$1005,A91,'VÍNCULOS_CDF'!$N$6:$N$1005,1))</f>
        <v>0</v>
      </c>
      <c r="AE91" s="96">
        <f>IF(R91=0,0,COUNTIFS('VÍNCULOS_CDF'!$R$6:$R$1005,A91,'VÍNCULOS_CDF'!$AA$6:$AA$1005,1))</f>
        <v>0</v>
      </c>
      <c r="AF91" s="96">
        <f>IF(R91=0,0,COUNTIFS('VÍNCULOS_CDF'!$R$6:$R$1005,A91,'VÍNCULOS_CDF'!$Y$6:$Y$1005,1))</f>
        <v>0</v>
      </c>
      <c r="AG91" s="96" t="str">
        <f>IF(AND(R91=1,S91&lt;&gt;"",C91&lt;&gt;""),S91&amp;"|"&amp;C91&amp;"|"&amp;G91&amp;"|"&amp;H91,"")</f>
        <v/>
      </c>
      <c r="AH91" s="96">
        <f>IF(AG91="",0,IF(SUMPRODUCT(--($AG$6:$AG$1005=AG91))&gt;1,1,0))</f>
        <v>0</v>
      </c>
      <c r="AI91" s="96">
        <f>IF(R91=0,0,IF(OR(U91=0,V91=0,Y91=0,AND(AH91=1,K91&lt;&gt;"Sim")),1,0))</f>
        <v>0</v>
      </c>
      <c r="AJ91" s="96">
        <f>IF(AND(R91=1,AA91&gt;0,AB91=AA91),1,0)</f>
        <v>0</v>
      </c>
      <c r="AK91" s="96">
        <f>IF(R91=0,0,IF(AA91&gt;0,N(L91),IF(ISNUMBER(I91),I91,0)))</f>
        <v>0</v>
      </c>
      <c r="AL91" s="96">
        <f>IF(R91=0,0,IF(AND(K91&lt;&gt;"Sim",N(M91)&gt;AK91+cfg_tol),1,0))</f>
        <v>0</v>
      </c>
      <c r="AM91" s="96">
        <f>IF(R91=0,0,IF(K91="Sim",0,IF(OR(AND(AA91&gt;0,ISNUMBER(I91),ABS(I91-N(L91))&gt;cfg_tol),AL91=1),1,0)))</f>
        <v>0</v>
      </c>
      <c r="AN91" s="96">
        <f>IF(AND(R91=1,N(M91)&gt;0,OR(N(M91)&gt;=AK91-cfg_tol,K91="Sim")),1,0)</f>
        <v>0</v>
      </c>
      <c r="AO91" s="96">
        <f>IF(AND(AN91=1,AD91&gt;0,AE91=AD91,AL91=0),1,0)</f>
        <v>0</v>
      </c>
      <c r="AP91" s="96">
        <f>IF(U91=0,0,IF(AND(INDEX('MTRs'!$AX$6:$AX$505,T91)=1,Z91=0,OR(f_res="",f_res="(Todos)",C91=f_res)),1,0))</f>
        <v>0</v>
      </c>
      <c r="AQ91" s="97" t="str">
        <f>IF(U91=0,"",INDEX('MTRs'!$AZ$6:$AZ$505,T91))</f>
        <v/>
      </c>
      <c r="AR91" s="96">
        <f>IF(U91=0,0,IF(AND(INDEX('MTRs'!$BA$6:$BA$505,T91)=1,Z91=0),1,0))</f>
        <v>0</v>
      </c>
      <c r="AS91" s="96" t="str">
        <f>IF(R91=1,A91&amp;" | MTR "&amp;IF(U91=1,INDEX('MTRs'!$B$6:$B$505,T91)&amp;"","?")&amp;" | "&amp;IF(C91="","(sem resíduo)",C91),"")</f>
        <v/>
      </c>
      <c r="AT91" s="96" t="str">
        <f>IF(R91=1,COUNTIF($R$6:R91,1),"")</f>
        <v/>
      </c>
      <c r="AU91" s="96" t="str">
        <f>IF(U91=1,INDEX('MTRs'!$I$6:$I$505,T91)&amp;"","")</f>
        <v/>
      </c>
    </row>
    <row r="92">
      <c r="A92" s="89" t="inlineStr">
        <is>
          <t>IT-000087</t>
        </is>
      </c>
      <c r="B92" s="91" t="n"/>
      <c r="C92" s="91" t="n"/>
      <c r="D92" s="94" t="str">
        <f>IF(OR(R92=0,V92=0),"",INDEX('CAD_RESÍDUOS'!$E$6:$E$205,MATCH(C92,'CAD_RESÍDUOS'!$B$6:$B$205,0))&amp;"")</f>
        <v/>
      </c>
      <c r="E92" s="94" t="str">
        <f>IF(OR(R92=0,V92=0),"",INDEX('CAD_RESÍDUOS'!$C$6:$C$205,MATCH(C92,'CAD_RESÍDUOS'!$B$6:$B$205,0))&amp;"")</f>
        <v/>
      </c>
      <c r="F92" s="94" t="str">
        <f>IF(OR(R92=0,V92=0),"",INDEX('CAD_RESÍDUOS'!$G$6:$G$205,MATCH(C92,'CAD_RESÍDUOS'!$B$6:$B$205,0))&amp;"")</f>
        <v/>
      </c>
      <c r="G92" s="98" t="n"/>
      <c r="H92" s="91" t="n"/>
      <c r="I92" s="93" t="str">
        <f>IF(R92=0,"",IF(NOT(ISNUMBER(G92)),"",IF(ISNUMBER(X92),G92*X92,"UNIDADE A CONFERIR")))</f>
        <v/>
      </c>
      <c r="J92" s="91" t="n"/>
      <c r="K92" s="91" t="n"/>
      <c r="L92" s="93" t="str">
        <f>IF(R92=0,"",SUMIFS('RECEBIMENTOS'!$H$6:$H$1005,'RECEBIMENTOS'!$R$6:$R$1005,A92,'RECEBIMENTOS'!$X$6:$X$1005,1))</f>
        <v/>
      </c>
      <c r="M92" s="93" t="str">
        <f>IF(R92=0,"",SUMIFS('VÍNCULOS_CDF'!$H$6:$H$1005,'VÍNCULOS_CDF'!$R$6:$R$1005,A92,'VÍNCULOS_CDF'!$V$6:$V$1005,1))</f>
        <v/>
      </c>
      <c r="N92" s="99" t="str">
        <f>IF(OR(R92=0,AA92=0,NOT(ISNUMBER(I92))),"",I92-N(L92))</f>
        <v/>
      </c>
      <c r="O92" s="100" t="str">
        <f>IF(OR(R92=0,AK92&lt;=0),"",N(M92)/AK92)</f>
        <v/>
      </c>
      <c r="P92" s="94" t="str">
        <f>IF(R92=0,"",IF(S92="","Sem MTR associado",IF(U92=0,"MTR inexistente",IF(C92="","Resíduo não identificado",IF(V92=0,"Resíduo fora do cadastro",IF(W92=0,"Quantidade inválida",IF(H92="","Unidade não informada",IF(NOT(ISNUMBER(I92)),"Unidade a conferir",IF(AND(AH92=1,K92&lt;&gt;"Sim"),"Possível duplicidade",IF(Z92=1,"MTR cancelado",IF(AC92&gt;0,"Recebimento com alerta",IF(AA92=0,"Aguardando recebimento",IF(AB92&lt;AA92,"Recebimento a conferir",IF(AM92=1,"Quantidade a revisar",IF(AF92&gt;0,"Vínculo a revisar",IF(AD92=0,"Aguardando CDF",IF(AN92=0,"Vínculo de CDF parcial",IF(AE92&lt;AD92,"CDF a conferir","Documentação conferida"))))))))))))))))))</f>
        <v/>
      </c>
      <c r="Q92" s="93" t="str">
        <f>IF(OR(R92=0,AA92=0),"",MAX(0,N(L92)-N(M92)))</f>
        <v/>
      </c>
      <c r="R92" s="96">
        <f>IF(COUNTA(B92:C92,G92:H92,J92:K92)&gt;0,1,0)</f>
        <v>0</v>
      </c>
      <c r="S92" s="96" t="str">
        <f>IF(B92="","",TRIM(LEFT(B92,FIND(" |",B92&amp;" |")-1)))</f>
        <v/>
      </c>
      <c r="T92" s="96" t="str">
        <f>IF(S92="","",IFERROR(MATCH(S92,'MTRs'!$A$6:$A$505,0),""))</f>
        <v/>
      </c>
      <c r="U92" s="96">
        <f>IF(T92="",0,IF(INDEX('MTRs'!$Z$6:$Z$505,T92)=1,1,0))</f>
        <v>0</v>
      </c>
      <c r="V92" s="96">
        <f>IF(C92="",0,IF(ISNUMBER(MATCH(C92,'CAD_RESÍDUOS'!$B$6:$B$205,0)),1,0))</f>
        <v>0</v>
      </c>
      <c r="W92" s="96">
        <f>IF(AND(ISNUMBER(G92),G92&gt;0),1,0)</f>
        <v>0</v>
      </c>
      <c r="X92" s="96" t="str">
        <f>IF(H92="","",IFERROR(IF(ISNUMBER(INDEX(cfg_fac,MATCH(H92,cfg_units,0))),IF(INDEX(cfg_fac,MATCH(H92,cfg_units,0))&gt;0,INDEX(cfg_fac,MATCH(H92,cfg_units,0)),""),""),""))</f>
        <v/>
      </c>
      <c r="Y92" s="96">
        <f>IF(AND(W92=1,ISNUMBER(I92)),1,0)</f>
        <v>0</v>
      </c>
      <c r="Z92" s="96">
        <f>IF(U92=1,INDEX('MTRs'!$AA$6:$AA$505,T92),0)</f>
        <v>0</v>
      </c>
      <c r="AA92" s="96">
        <f>IF(R92=0,0,COUNTIFS('RECEBIMENTOS'!$R$6:$R$1005,A92,'RECEBIMENTOS'!$Q$6:$Q$1005,1))</f>
        <v>0</v>
      </c>
      <c r="AB92" s="96">
        <f>IF(R92=0,0,COUNTIFS('RECEBIMENTOS'!$R$6:$R$1005,A92,'RECEBIMENTOS'!$Z$6:$Z$1005,1))</f>
        <v>0</v>
      </c>
      <c r="AC92" s="96">
        <f>IF(R92=0,0,COUNTIFS('RECEBIMENTOS'!$R$6:$R$1005,A92,'RECEBIMENTOS'!$Y$6:$Y$1005,1))</f>
        <v>0</v>
      </c>
      <c r="AD92" s="96">
        <f>IF(R92=0,0,COUNTIFS('VÍNCULOS_CDF'!$R$6:$R$1005,A92,'VÍNCULOS_CDF'!$N$6:$N$1005,1))</f>
        <v>0</v>
      </c>
      <c r="AE92" s="96">
        <f>IF(R92=0,0,COUNTIFS('VÍNCULOS_CDF'!$R$6:$R$1005,A92,'VÍNCULOS_CDF'!$AA$6:$AA$1005,1))</f>
        <v>0</v>
      </c>
      <c r="AF92" s="96">
        <f>IF(R92=0,0,COUNTIFS('VÍNCULOS_CDF'!$R$6:$R$1005,A92,'VÍNCULOS_CDF'!$Y$6:$Y$1005,1))</f>
        <v>0</v>
      </c>
      <c r="AG92" s="96" t="str">
        <f>IF(AND(R92=1,S92&lt;&gt;"",C92&lt;&gt;""),S92&amp;"|"&amp;C92&amp;"|"&amp;G92&amp;"|"&amp;H92,"")</f>
        <v/>
      </c>
      <c r="AH92" s="96">
        <f>IF(AG92="",0,IF(SUMPRODUCT(--($AG$6:$AG$1005=AG92))&gt;1,1,0))</f>
        <v>0</v>
      </c>
      <c r="AI92" s="96">
        <f>IF(R92=0,0,IF(OR(U92=0,V92=0,Y92=0,AND(AH92=1,K92&lt;&gt;"Sim")),1,0))</f>
        <v>0</v>
      </c>
      <c r="AJ92" s="96">
        <f>IF(AND(R92=1,AA92&gt;0,AB92=AA92),1,0)</f>
        <v>0</v>
      </c>
      <c r="AK92" s="96">
        <f>IF(R92=0,0,IF(AA92&gt;0,N(L92),IF(ISNUMBER(I92),I92,0)))</f>
        <v>0</v>
      </c>
      <c r="AL92" s="96">
        <f>IF(R92=0,0,IF(AND(K92&lt;&gt;"Sim",N(M92)&gt;AK92+cfg_tol),1,0))</f>
        <v>0</v>
      </c>
      <c r="AM92" s="96">
        <f>IF(R92=0,0,IF(K92="Sim",0,IF(OR(AND(AA92&gt;0,ISNUMBER(I92),ABS(I92-N(L92))&gt;cfg_tol),AL92=1),1,0)))</f>
        <v>0</v>
      </c>
      <c r="AN92" s="96">
        <f>IF(AND(R92=1,N(M92)&gt;0,OR(N(M92)&gt;=AK92-cfg_tol,K92="Sim")),1,0)</f>
        <v>0</v>
      </c>
      <c r="AO92" s="96">
        <f>IF(AND(AN92=1,AD92&gt;0,AE92=AD92,AL92=0),1,0)</f>
        <v>0</v>
      </c>
      <c r="AP92" s="96">
        <f>IF(U92=0,0,IF(AND(INDEX('MTRs'!$AX$6:$AX$505,T92)=1,Z92=0,OR(f_res="",f_res="(Todos)",C92=f_res)),1,0))</f>
        <v>0</v>
      </c>
      <c r="AQ92" s="97" t="str">
        <f>IF(U92=0,"",INDEX('MTRs'!$AZ$6:$AZ$505,T92))</f>
        <v/>
      </c>
      <c r="AR92" s="96">
        <f>IF(U92=0,0,IF(AND(INDEX('MTRs'!$BA$6:$BA$505,T92)=1,Z92=0),1,0))</f>
        <v>0</v>
      </c>
      <c r="AS92" s="96" t="str">
        <f>IF(R92=1,A92&amp;" | MTR "&amp;IF(U92=1,INDEX('MTRs'!$B$6:$B$505,T92)&amp;"","?")&amp;" | "&amp;IF(C92="","(sem resíduo)",C92),"")</f>
        <v/>
      </c>
      <c r="AT92" s="96" t="str">
        <f>IF(R92=1,COUNTIF($R$6:R92,1),"")</f>
        <v/>
      </c>
      <c r="AU92" s="96" t="str">
        <f>IF(U92=1,INDEX('MTRs'!$I$6:$I$505,T92)&amp;"","")</f>
        <v/>
      </c>
    </row>
    <row r="93">
      <c r="A93" s="89" t="inlineStr">
        <is>
          <t>IT-000088</t>
        </is>
      </c>
      <c r="B93" s="91" t="n"/>
      <c r="C93" s="91" t="n"/>
      <c r="D93" s="94" t="str">
        <f>IF(OR(R93=0,V93=0),"",INDEX('CAD_RESÍDUOS'!$E$6:$E$205,MATCH(C93,'CAD_RESÍDUOS'!$B$6:$B$205,0))&amp;"")</f>
        <v/>
      </c>
      <c r="E93" s="94" t="str">
        <f>IF(OR(R93=0,V93=0),"",INDEX('CAD_RESÍDUOS'!$C$6:$C$205,MATCH(C93,'CAD_RESÍDUOS'!$B$6:$B$205,0))&amp;"")</f>
        <v/>
      </c>
      <c r="F93" s="94" t="str">
        <f>IF(OR(R93=0,V93=0),"",INDEX('CAD_RESÍDUOS'!$G$6:$G$205,MATCH(C93,'CAD_RESÍDUOS'!$B$6:$B$205,0))&amp;"")</f>
        <v/>
      </c>
      <c r="G93" s="98" t="n"/>
      <c r="H93" s="91" t="n"/>
      <c r="I93" s="93" t="str">
        <f>IF(R93=0,"",IF(NOT(ISNUMBER(G93)),"",IF(ISNUMBER(X93),G93*X93,"UNIDADE A CONFERIR")))</f>
        <v/>
      </c>
      <c r="J93" s="91" t="n"/>
      <c r="K93" s="91" t="n"/>
      <c r="L93" s="93" t="str">
        <f>IF(R93=0,"",SUMIFS('RECEBIMENTOS'!$H$6:$H$1005,'RECEBIMENTOS'!$R$6:$R$1005,A93,'RECEBIMENTOS'!$X$6:$X$1005,1))</f>
        <v/>
      </c>
      <c r="M93" s="93" t="str">
        <f>IF(R93=0,"",SUMIFS('VÍNCULOS_CDF'!$H$6:$H$1005,'VÍNCULOS_CDF'!$R$6:$R$1005,A93,'VÍNCULOS_CDF'!$V$6:$V$1005,1))</f>
        <v/>
      </c>
      <c r="N93" s="99" t="str">
        <f>IF(OR(R93=0,AA93=0,NOT(ISNUMBER(I93))),"",I93-N(L93))</f>
        <v/>
      </c>
      <c r="O93" s="100" t="str">
        <f>IF(OR(R93=0,AK93&lt;=0),"",N(M93)/AK93)</f>
        <v/>
      </c>
      <c r="P93" s="94" t="str">
        <f>IF(R93=0,"",IF(S93="","Sem MTR associado",IF(U93=0,"MTR inexistente",IF(C93="","Resíduo não identificado",IF(V93=0,"Resíduo fora do cadastro",IF(W93=0,"Quantidade inválida",IF(H93="","Unidade não informada",IF(NOT(ISNUMBER(I93)),"Unidade a conferir",IF(AND(AH93=1,K93&lt;&gt;"Sim"),"Possível duplicidade",IF(Z93=1,"MTR cancelado",IF(AC93&gt;0,"Recebimento com alerta",IF(AA93=0,"Aguardando recebimento",IF(AB93&lt;AA93,"Recebimento a conferir",IF(AM93=1,"Quantidade a revisar",IF(AF93&gt;0,"Vínculo a revisar",IF(AD93=0,"Aguardando CDF",IF(AN93=0,"Vínculo de CDF parcial",IF(AE93&lt;AD93,"CDF a conferir","Documentação conferida"))))))))))))))))))</f>
        <v/>
      </c>
      <c r="Q93" s="93" t="str">
        <f>IF(OR(R93=0,AA93=0),"",MAX(0,N(L93)-N(M93)))</f>
        <v/>
      </c>
      <c r="R93" s="96">
        <f>IF(COUNTA(B93:C93,G93:H93,J93:K93)&gt;0,1,0)</f>
        <v>0</v>
      </c>
      <c r="S93" s="96" t="str">
        <f>IF(B93="","",TRIM(LEFT(B93,FIND(" |",B93&amp;" |")-1)))</f>
        <v/>
      </c>
      <c r="T93" s="96" t="str">
        <f>IF(S93="","",IFERROR(MATCH(S93,'MTRs'!$A$6:$A$505,0),""))</f>
        <v/>
      </c>
      <c r="U93" s="96">
        <f>IF(T93="",0,IF(INDEX('MTRs'!$Z$6:$Z$505,T93)=1,1,0))</f>
        <v>0</v>
      </c>
      <c r="V93" s="96">
        <f>IF(C93="",0,IF(ISNUMBER(MATCH(C93,'CAD_RESÍDUOS'!$B$6:$B$205,0)),1,0))</f>
        <v>0</v>
      </c>
      <c r="W93" s="96">
        <f>IF(AND(ISNUMBER(G93),G93&gt;0),1,0)</f>
        <v>0</v>
      </c>
      <c r="X93" s="96" t="str">
        <f>IF(H93="","",IFERROR(IF(ISNUMBER(INDEX(cfg_fac,MATCH(H93,cfg_units,0))),IF(INDEX(cfg_fac,MATCH(H93,cfg_units,0))&gt;0,INDEX(cfg_fac,MATCH(H93,cfg_units,0)),""),""),""))</f>
        <v/>
      </c>
      <c r="Y93" s="96">
        <f>IF(AND(W93=1,ISNUMBER(I93)),1,0)</f>
        <v>0</v>
      </c>
      <c r="Z93" s="96">
        <f>IF(U93=1,INDEX('MTRs'!$AA$6:$AA$505,T93),0)</f>
        <v>0</v>
      </c>
      <c r="AA93" s="96">
        <f>IF(R93=0,0,COUNTIFS('RECEBIMENTOS'!$R$6:$R$1005,A93,'RECEBIMENTOS'!$Q$6:$Q$1005,1))</f>
        <v>0</v>
      </c>
      <c r="AB93" s="96">
        <f>IF(R93=0,0,COUNTIFS('RECEBIMENTOS'!$R$6:$R$1005,A93,'RECEBIMENTOS'!$Z$6:$Z$1005,1))</f>
        <v>0</v>
      </c>
      <c r="AC93" s="96">
        <f>IF(R93=0,0,COUNTIFS('RECEBIMENTOS'!$R$6:$R$1005,A93,'RECEBIMENTOS'!$Y$6:$Y$1005,1))</f>
        <v>0</v>
      </c>
      <c r="AD93" s="96">
        <f>IF(R93=0,0,COUNTIFS('VÍNCULOS_CDF'!$R$6:$R$1005,A93,'VÍNCULOS_CDF'!$N$6:$N$1005,1))</f>
        <v>0</v>
      </c>
      <c r="AE93" s="96">
        <f>IF(R93=0,0,COUNTIFS('VÍNCULOS_CDF'!$R$6:$R$1005,A93,'VÍNCULOS_CDF'!$AA$6:$AA$1005,1))</f>
        <v>0</v>
      </c>
      <c r="AF93" s="96">
        <f>IF(R93=0,0,COUNTIFS('VÍNCULOS_CDF'!$R$6:$R$1005,A93,'VÍNCULOS_CDF'!$Y$6:$Y$1005,1))</f>
        <v>0</v>
      </c>
      <c r="AG93" s="96" t="str">
        <f>IF(AND(R93=1,S93&lt;&gt;"",C93&lt;&gt;""),S93&amp;"|"&amp;C93&amp;"|"&amp;G93&amp;"|"&amp;H93,"")</f>
        <v/>
      </c>
      <c r="AH93" s="96">
        <f>IF(AG93="",0,IF(SUMPRODUCT(--($AG$6:$AG$1005=AG93))&gt;1,1,0))</f>
        <v>0</v>
      </c>
      <c r="AI93" s="96">
        <f>IF(R93=0,0,IF(OR(U93=0,V93=0,Y93=0,AND(AH93=1,K93&lt;&gt;"Sim")),1,0))</f>
        <v>0</v>
      </c>
      <c r="AJ93" s="96">
        <f>IF(AND(R93=1,AA93&gt;0,AB93=AA93),1,0)</f>
        <v>0</v>
      </c>
      <c r="AK93" s="96">
        <f>IF(R93=0,0,IF(AA93&gt;0,N(L93),IF(ISNUMBER(I93),I93,0)))</f>
        <v>0</v>
      </c>
      <c r="AL93" s="96">
        <f>IF(R93=0,0,IF(AND(K93&lt;&gt;"Sim",N(M93)&gt;AK93+cfg_tol),1,0))</f>
        <v>0</v>
      </c>
      <c r="AM93" s="96">
        <f>IF(R93=0,0,IF(K93="Sim",0,IF(OR(AND(AA93&gt;0,ISNUMBER(I93),ABS(I93-N(L93))&gt;cfg_tol),AL93=1),1,0)))</f>
        <v>0</v>
      </c>
      <c r="AN93" s="96">
        <f>IF(AND(R93=1,N(M93)&gt;0,OR(N(M93)&gt;=AK93-cfg_tol,K93="Sim")),1,0)</f>
        <v>0</v>
      </c>
      <c r="AO93" s="96">
        <f>IF(AND(AN93=1,AD93&gt;0,AE93=AD93,AL93=0),1,0)</f>
        <v>0</v>
      </c>
      <c r="AP93" s="96">
        <f>IF(U93=0,0,IF(AND(INDEX('MTRs'!$AX$6:$AX$505,T93)=1,Z93=0,OR(f_res="",f_res="(Todos)",C93=f_res)),1,0))</f>
        <v>0</v>
      </c>
      <c r="AQ93" s="97" t="str">
        <f>IF(U93=0,"",INDEX('MTRs'!$AZ$6:$AZ$505,T93))</f>
        <v/>
      </c>
      <c r="AR93" s="96">
        <f>IF(U93=0,0,IF(AND(INDEX('MTRs'!$BA$6:$BA$505,T93)=1,Z93=0),1,0))</f>
        <v>0</v>
      </c>
      <c r="AS93" s="96" t="str">
        <f>IF(R93=1,A93&amp;" | MTR "&amp;IF(U93=1,INDEX('MTRs'!$B$6:$B$505,T93)&amp;"","?")&amp;" | "&amp;IF(C93="","(sem resíduo)",C93),"")</f>
        <v/>
      </c>
      <c r="AT93" s="96" t="str">
        <f>IF(R93=1,COUNTIF($R$6:R93,1),"")</f>
        <v/>
      </c>
      <c r="AU93" s="96" t="str">
        <f>IF(U93=1,INDEX('MTRs'!$I$6:$I$505,T93)&amp;"","")</f>
        <v/>
      </c>
    </row>
    <row r="94">
      <c r="A94" s="89" t="inlineStr">
        <is>
          <t>IT-000089</t>
        </is>
      </c>
      <c r="B94" s="91" t="n"/>
      <c r="C94" s="91" t="n"/>
      <c r="D94" s="94" t="str">
        <f>IF(OR(R94=0,V94=0),"",INDEX('CAD_RESÍDUOS'!$E$6:$E$205,MATCH(C94,'CAD_RESÍDUOS'!$B$6:$B$205,0))&amp;"")</f>
        <v/>
      </c>
      <c r="E94" s="94" t="str">
        <f>IF(OR(R94=0,V94=0),"",INDEX('CAD_RESÍDUOS'!$C$6:$C$205,MATCH(C94,'CAD_RESÍDUOS'!$B$6:$B$205,0))&amp;"")</f>
        <v/>
      </c>
      <c r="F94" s="94" t="str">
        <f>IF(OR(R94=0,V94=0),"",INDEX('CAD_RESÍDUOS'!$G$6:$G$205,MATCH(C94,'CAD_RESÍDUOS'!$B$6:$B$205,0))&amp;"")</f>
        <v/>
      </c>
      <c r="G94" s="98" t="n"/>
      <c r="H94" s="91" t="n"/>
      <c r="I94" s="93" t="str">
        <f>IF(R94=0,"",IF(NOT(ISNUMBER(G94)),"",IF(ISNUMBER(X94),G94*X94,"UNIDADE A CONFERIR")))</f>
        <v/>
      </c>
      <c r="J94" s="91" t="n"/>
      <c r="K94" s="91" t="n"/>
      <c r="L94" s="93" t="str">
        <f>IF(R94=0,"",SUMIFS('RECEBIMENTOS'!$H$6:$H$1005,'RECEBIMENTOS'!$R$6:$R$1005,A94,'RECEBIMENTOS'!$X$6:$X$1005,1))</f>
        <v/>
      </c>
      <c r="M94" s="93" t="str">
        <f>IF(R94=0,"",SUMIFS('VÍNCULOS_CDF'!$H$6:$H$1005,'VÍNCULOS_CDF'!$R$6:$R$1005,A94,'VÍNCULOS_CDF'!$V$6:$V$1005,1))</f>
        <v/>
      </c>
      <c r="N94" s="99" t="str">
        <f>IF(OR(R94=0,AA94=0,NOT(ISNUMBER(I94))),"",I94-N(L94))</f>
        <v/>
      </c>
      <c r="O94" s="100" t="str">
        <f>IF(OR(R94=0,AK94&lt;=0),"",N(M94)/AK94)</f>
        <v/>
      </c>
      <c r="P94" s="94" t="str">
        <f>IF(R94=0,"",IF(S94="","Sem MTR associado",IF(U94=0,"MTR inexistente",IF(C94="","Resíduo não identificado",IF(V94=0,"Resíduo fora do cadastro",IF(W94=0,"Quantidade inválida",IF(H94="","Unidade não informada",IF(NOT(ISNUMBER(I94)),"Unidade a conferir",IF(AND(AH94=1,K94&lt;&gt;"Sim"),"Possível duplicidade",IF(Z94=1,"MTR cancelado",IF(AC94&gt;0,"Recebimento com alerta",IF(AA94=0,"Aguardando recebimento",IF(AB94&lt;AA94,"Recebimento a conferir",IF(AM94=1,"Quantidade a revisar",IF(AF94&gt;0,"Vínculo a revisar",IF(AD94=0,"Aguardando CDF",IF(AN94=0,"Vínculo de CDF parcial",IF(AE94&lt;AD94,"CDF a conferir","Documentação conferida"))))))))))))))))))</f>
        <v/>
      </c>
      <c r="Q94" s="93" t="str">
        <f>IF(OR(R94=0,AA94=0),"",MAX(0,N(L94)-N(M94)))</f>
        <v/>
      </c>
      <c r="R94" s="96">
        <f>IF(COUNTA(B94:C94,G94:H94,J94:K94)&gt;0,1,0)</f>
        <v>0</v>
      </c>
      <c r="S94" s="96" t="str">
        <f>IF(B94="","",TRIM(LEFT(B94,FIND(" |",B94&amp;" |")-1)))</f>
        <v/>
      </c>
      <c r="T94" s="96" t="str">
        <f>IF(S94="","",IFERROR(MATCH(S94,'MTRs'!$A$6:$A$505,0),""))</f>
        <v/>
      </c>
      <c r="U94" s="96">
        <f>IF(T94="",0,IF(INDEX('MTRs'!$Z$6:$Z$505,T94)=1,1,0))</f>
        <v>0</v>
      </c>
      <c r="V94" s="96">
        <f>IF(C94="",0,IF(ISNUMBER(MATCH(C94,'CAD_RESÍDUOS'!$B$6:$B$205,0)),1,0))</f>
        <v>0</v>
      </c>
      <c r="W94" s="96">
        <f>IF(AND(ISNUMBER(G94),G94&gt;0),1,0)</f>
        <v>0</v>
      </c>
      <c r="X94" s="96" t="str">
        <f>IF(H94="","",IFERROR(IF(ISNUMBER(INDEX(cfg_fac,MATCH(H94,cfg_units,0))),IF(INDEX(cfg_fac,MATCH(H94,cfg_units,0))&gt;0,INDEX(cfg_fac,MATCH(H94,cfg_units,0)),""),""),""))</f>
        <v/>
      </c>
      <c r="Y94" s="96">
        <f>IF(AND(W94=1,ISNUMBER(I94)),1,0)</f>
        <v>0</v>
      </c>
      <c r="Z94" s="96">
        <f>IF(U94=1,INDEX('MTRs'!$AA$6:$AA$505,T94),0)</f>
        <v>0</v>
      </c>
      <c r="AA94" s="96">
        <f>IF(R94=0,0,COUNTIFS('RECEBIMENTOS'!$R$6:$R$1005,A94,'RECEBIMENTOS'!$Q$6:$Q$1005,1))</f>
        <v>0</v>
      </c>
      <c r="AB94" s="96">
        <f>IF(R94=0,0,COUNTIFS('RECEBIMENTOS'!$R$6:$R$1005,A94,'RECEBIMENTOS'!$Z$6:$Z$1005,1))</f>
        <v>0</v>
      </c>
      <c r="AC94" s="96">
        <f>IF(R94=0,0,COUNTIFS('RECEBIMENTOS'!$R$6:$R$1005,A94,'RECEBIMENTOS'!$Y$6:$Y$1005,1))</f>
        <v>0</v>
      </c>
      <c r="AD94" s="96">
        <f>IF(R94=0,0,COUNTIFS('VÍNCULOS_CDF'!$R$6:$R$1005,A94,'VÍNCULOS_CDF'!$N$6:$N$1005,1))</f>
        <v>0</v>
      </c>
      <c r="AE94" s="96">
        <f>IF(R94=0,0,COUNTIFS('VÍNCULOS_CDF'!$R$6:$R$1005,A94,'VÍNCULOS_CDF'!$AA$6:$AA$1005,1))</f>
        <v>0</v>
      </c>
      <c r="AF94" s="96">
        <f>IF(R94=0,0,COUNTIFS('VÍNCULOS_CDF'!$R$6:$R$1005,A94,'VÍNCULOS_CDF'!$Y$6:$Y$1005,1))</f>
        <v>0</v>
      </c>
      <c r="AG94" s="96" t="str">
        <f>IF(AND(R94=1,S94&lt;&gt;"",C94&lt;&gt;""),S94&amp;"|"&amp;C94&amp;"|"&amp;G94&amp;"|"&amp;H94,"")</f>
        <v/>
      </c>
      <c r="AH94" s="96">
        <f>IF(AG94="",0,IF(SUMPRODUCT(--($AG$6:$AG$1005=AG94))&gt;1,1,0))</f>
        <v>0</v>
      </c>
      <c r="AI94" s="96">
        <f>IF(R94=0,0,IF(OR(U94=0,V94=0,Y94=0,AND(AH94=1,K94&lt;&gt;"Sim")),1,0))</f>
        <v>0</v>
      </c>
      <c r="AJ94" s="96">
        <f>IF(AND(R94=1,AA94&gt;0,AB94=AA94),1,0)</f>
        <v>0</v>
      </c>
      <c r="AK94" s="96">
        <f>IF(R94=0,0,IF(AA94&gt;0,N(L94),IF(ISNUMBER(I94),I94,0)))</f>
        <v>0</v>
      </c>
      <c r="AL94" s="96">
        <f>IF(R94=0,0,IF(AND(K94&lt;&gt;"Sim",N(M94)&gt;AK94+cfg_tol),1,0))</f>
        <v>0</v>
      </c>
      <c r="AM94" s="96">
        <f>IF(R94=0,0,IF(K94="Sim",0,IF(OR(AND(AA94&gt;0,ISNUMBER(I94),ABS(I94-N(L94))&gt;cfg_tol),AL94=1),1,0)))</f>
        <v>0</v>
      </c>
      <c r="AN94" s="96">
        <f>IF(AND(R94=1,N(M94)&gt;0,OR(N(M94)&gt;=AK94-cfg_tol,K94="Sim")),1,0)</f>
        <v>0</v>
      </c>
      <c r="AO94" s="96">
        <f>IF(AND(AN94=1,AD94&gt;0,AE94=AD94,AL94=0),1,0)</f>
        <v>0</v>
      </c>
      <c r="AP94" s="96">
        <f>IF(U94=0,0,IF(AND(INDEX('MTRs'!$AX$6:$AX$505,T94)=1,Z94=0,OR(f_res="",f_res="(Todos)",C94=f_res)),1,0))</f>
        <v>0</v>
      </c>
      <c r="AQ94" s="97" t="str">
        <f>IF(U94=0,"",INDEX('MTRs'!$AZ$6:$AZ$505,T94))</f>
        <v/>
      </c>
      <c r="AR94" s="96">
        <f>IF(U94=0,0,IF(AND(INDEX('MTRs'!$BA$6:$BA$505,T94)=1,Z94=0),1,0))</f>
        <v>0</v>
      </c>
      <c r="AS94" s="96" t="str">
        <f>IF(R94=1,A94&amp;" | MTR "&amp;IF(U94=1,INDEX('MTRs'!$B$6:$B$505,T94)&amp;"","?")&amp;" | "&amp;IF(C94="","(sem resíduo)",C94),"")</f>
        <v/>
      </c>
      <c r="AT94" s="96" t="str">
        <f>IF(R94=1,COUNTIF($R$6:R94,1),"")</f>
        <v/>
      </c>
      <c r="AU94" s="96" t="str">
        <f>IF(U94=1,INDEX('MTRs'!$I$6:$I$505,T94)&amp;"","")</f>
        <v/>
      </c>
    </row>
    <row r="95">
      <c r="A95" s="89" t="inlineStr">
        <is>
          <t>IT-000090</t>
        </is>
      </c>
      <c r="B95" s="91" t="n"/>
      <c r="C95" s="91" t="n"/>
      <c r="D95" s="94" t="str">
        <f>IF(OR(R95=0,V95=0),"",INDEX('CAD_RESÍDUOS'!$E$6:$E$205,MATCH(C95,'CAD_RESÍDUOS'!$B$6:$B$205,0))&amp;"")</f>
        <v/>
      </c>
      <c r="E95" s="94" t="str">
        <f>IF(OR(R95=0,V95=0),"",INDEX('CAD_RESÍDUOS'!$C$6:$C$205,MATCH(C95,'CAD_RESÍDUOS'!$B$6:$B$205,0))&amp;"")</f>
        <v/>
      </c>
      <c r="F95" s="94" t="str">
        <f>IF(OR(R95=0,V95=0),"",INDEX('CAD_RESÍDUOS'!$G$6:$G$205,MATCH(C95,'CAD_RESÍDUOS'!$B$6:$B$205,0))&amp;"")</f>
        <v/>
      </c>
      <c r="G95" s="98" t="n"/>
      <c r="H95" s="91" t="n"/>
      <c r="I95" s="93" t="str">
        <f>IF(R95=0,"",IF(NOT(ISNUMBER(G95)),"",IF(ISNUMBER(X95),G95*X95,"UNIDADE A CONFERIR")))</f>
        <v/>
      </c>
      <c r="J95" s="91" t="n"/>
      <c r="K95" s="91" t="n"/>
      <c r="L95" s="93" t="str">
        <f>IF(R95=0,"",SUMIFS('RECEBIMENTOS'!$H$6:$H$1005,'RECEBIMENTOS'!$R$6:$R$1005,A95,'RECEBIMENTOS'!$X$6:$X$1005,1))</f>
        <v/>
      </c>
      <c r="M95" s="93" t="str">
        <f>IF(R95=0,"",SUMIFS('VÍNCULOS_CDF'!$H$6:$H$1005,'VÍNCULOS_CDF'!$R$6:$R$1005,A95,'VÍNCULOS_CDF'!$V$6:$V$1005,1))</f>
        <v/>
      </c>
      <c r="N95" s="99" t="str">
        <f>IF(OR(R95=0,AA95=0,NOT(ISNUMBER(I95))),"",I95-N(L95))</f>
        <v/>
      </c>
      <c r="O95" s="100" t="str">
        <f>IF(OR(R95=0,AK95&lt;=0),"",N(M95)/AK95)</f>
        <v/>
      </c>
      <c r="P95" s="94" t="str">
        <f>IF(R95=0,"",IF(S95="","Sem MTR associado",IF(U95=0,"MTR inexistente",IF(C95="","Resíduo não identificado",IF(V95=0,"Resíduo fora do cadastro",IF(W95=0,"Quantidade inválida",IF(H95="","Unidade não informada",IF(NOT(ISNUMBER(I95)),"Unidade a conferir",IF(AND(AH95=1,K95&lt;&gt;"Sim"),"Possível duplicidade",IF(Z95=1,"MTR cancelado",IF(AC95&gt;0,"Recebimento com alerta",IF(AA95=0,"Aguardando recebimento",IF(AB95&lt;AA95,"Recebimento a conferir",IF(AM95=1,"Quantidade a revisar",IF(AF95&gt;0,"Vínculo a revisar",IF(AD95=0,"Aguardando CDF",IF(AN95=0,"Vínculo de CDF parcial",IF(AE95&lt;AD95,"CDF a conferir","Documentação conferida"))))))))))))))))))</f>
        <v/>
      </c>
      <c r="Q95" s="93" t="str">
        <f>IF(OR(R95=0,AA95=0),"",MAX(0,N(L95)-N(M95)))</f>
        <v/>
      </c>
      <c r="R95" s="96">
        <f>IF(COUNTA(B95:C95,G95:H95,J95:K95)&gt;0,1,0)</f>
        <v>0</v>
      </c>
      <c r="S95" s="96" t="str">
        <f>IF(B95="","",TRIM(LEFT(B95,FIND(" |",B95&amp;" |")-1)))</f>
        <v/>
      </c>
      <c r="T95" s="96" t="str">
        <f>IF(S95="","",IFERROR(MATCH(S95,'MTRs'!$A$6:$A$505,0),""))</f>
        <v/>
      </c>
      <c r="U95" s="96">
        <f>IF(T95="",0,IF(INDEX('MTRs'!$Z$6:$Z$505,T95)=1,1,0))</f>
        <v>0</v>
      </c>
      <c r="V95" s="96">
        <f>IF(C95="",0,IF(ISNUMBER(MATCH(C95,'CAD_RESÍDUOS'!$B$6:$B$205,0)),1,0))</f>
        <v>0</v>
      </c>
      <c r="W95" s="96">
        <f>IF(AND(ISNUMBER(G95),G95&gt;0),1,0)</f>
        <v>0</v>
      </c>
      <c r="X95" s="96" t="str">
        <f>IF(H95="","",IFERROR(IF(ISNUMBER(INDEX(cfg_fac,MATCH(H95,cfg_units,0))),IF(INDEX(cfg_fac,MATCH(H95,cfg_units,0))&gt;0,INDEX(cfg_fac,MATCH(H95,cfg_units,0)),""),""),""))</f>
        <v/>
      </c>
      <c r="Y95" s="96">
        <f>IF(AND(W95=1,ISNUMBER(I95)),1,0)</f>
        <v>0</v>
      </c>
      <c r="Z95" s="96">
        <f>IF(U95=1,INDEX('MTRs'!$AA$6:$AA$505,T95),0)</f>
        <v>0</v>
      </c>
      <c r="AA95" s="96">
        <f>IF(R95=0,0,COUNTIFS('RECEBIMENTOS'!$R$6:$R$1005,A95,'RECEBIMENTOS'!$Q$6:$Q$1005,1))</f>
        <v>0</v>
      </c>
      <c r="AB95" s="96">
        <f>IF(R95=0,0,COUNTIFS('RECEBIMENTOS'!$R$6:$R$1005,A95,'RECEBIMENTOS'!$Z$6:$Z$1005,1))</f>
        <v>0</v>
      </c>
      <c r="AC95" s="96">
        <f>IF(R95=0,0,COUNTIFS('RECEBIMENTOS'!$R$6:$R$1005,A95,'RECEBIMENTOS'!$Y$6:$Y$1005,1))</f>
        <v>0</v>
      </c>
      <c r="AD95" s="96">
        <f>IF(R95=0,0,COUNTIFS('VÍNCULOS_CDF'!$R$6:$R$1005,A95,'VÍNCULOS_CDF'!$N$6:$N$1005,1))</f>
        <v>0</v>
      </c>
      <c r="AE95" s="96">
        <f>IF(R95=0,0,COUNTIFS('VÍNCULOS_CDF'!$R$6:$R$1005,A95,'VÍNCULOS_CDF'!$AA$6:$AA$1005,1))</f>
        <v>0</v>
      </c>
      <c r="AF95" s="96">
        <f>IF(R95=0,0,COUNTIFS('VÍNCULOS_CDF'!$R$6:$R$1005,A95,'VÍNCULOS_CDF'!$Y$6:$Y$1005,1))</f>
        <v>0</v>
      </c>
      <c r="AG95" s="96" t="str">
        <f>IF(AND(R95=1,S95&lt;&gt;"",C95&lt;&gt;""),S95&amp;"|"&amp;C95&amp;"|"&amp;G95&amp;"|"&amp;H95,"")</f>
        <v/>
      </c>
      <c r="AH95" s="96">
        <f>IF(AG95="",0,IF(SUMPRODUCT(--($AG$6:$AG$1005=AG95))&gt;1,1,0))</f>
        <v>0</v>
      </c>
      <c r="AI95" s="96">
        <f>IF(R95=0,0,IF(OR(U95=0,V95=0,Y95=0,AND(AH95=1,K95&lt;&gt;"Sim")),1,0))</f>
        <v>0</v>
      </c>
      <c r="AJ95" s="96">
        <f>IF(AND(R95=1,AA95&gt;0,AB95=AA95),1,0)</f>
        <v>0</v>
      </c>
      <c r="AK95" s="96">
        <f>IF(R95=0,0,IF(AA95&gt;0,N(L95),IF(ISNUMBER(I95),I95,0)))</f>
        <v>0</v>
      </c>
      <c r="AL95" s="96">
        <f>IF(R95=0,0,IF(AND(K95&lt;&gt;"Sim",N(M95)&gt;AK95+cfg_tol),1,0))</f>
        <v>0</v>
      </c>
      <c r="AM95" s="96">
        <f>IF(R95=0,0,IF(K95="Sim",0,IF(OR(AND(AA95&gt;0,ISNUMBER(I95),ABS(I95-N(L95))&gt;cfg_tol),AL95=1),1,0)))</f>
        <v>0</v>
      </c>
      <c r="AN95" s="96">
        <f>IF(AND(R95=1,N(M95)&gt;0,OR(N(M95)&gt;=AK95-cfg_tol,K95="Sim")),1,0)</f>
        <v>0</v>
      </c>
      <c r="AO95" s="96">
        <f>IF(AND(AN95=1,AD95&gt;0,AE95=AD95,AL95=0),1,0)</f>
        <v>0</v>
      </c>
      <c r="AP95" s="96">
        <f>IF(U95=0,0,IF(AND(INDEX('MTRs'!$AX$6:$AX$505,T95)=1,Z95=0,OR(f_res="",f_res="(Todos)",C95=f_res)),1,0))</f>
        <v>0</v>
      </c>
      <c r="AQ95" s="97" t="str">
        <f>IF(U95=0,"",INDEX('MTRs'!$AZ$6:$AZ$505,T95))</f>
        <v/>
      </c>
      <c r="AR95" s="96">
        <f>IF(U95=0,0,IF(AND(INDEX('MTRs'!$BA$6:$BA$505,T95)=1,Z95=0),1,0))</f>
        <v>0</v>
      </c>
      <c r="AS95" s="96" t="str">
        <f>IF(R95=1,A95&amp;" | MTR "&amp;IF(U95=1,INDEX('MTRs'!$B$6:$B$505,T95)&amp;"","?")&amp;" | "&amp;IF(C95="","(sem resíduo)",C95),"")</f>
        <v/>
      </c>
      <c r="AT95" s="96" t="str">
        <f>IF(R95=1,COUNTIF($R$6:R95,1),"")</f>
        <v/>
      </c>
      <c r="AU95" s="96" t="str">
        <f>IF(U95=1,INDEX('MTRs'!$I$6:$I$505,T95)&amp;"","")</f>
        <v/>
      </c>
    </row>
    <row r="96">
      <c r="A96" s="89" t="inlineStr">
        <is>
          <t>IT-000091</t>
        </is>
      </c>
      <c r="B96" s="91" t="n"/>
      <c r="C96" s="91" t="n"/>
      <c r="D96" s="94" t="str">
        <f>IF(OR(R96=0,V96=0),"",INDEX('CAD_RESÍDUOS'!$E$6:$E$205,MATCH(C96,'CAD_RESÍDUOS'!$B$6:$B$205,0))&amp;"")</f>
        <v/>
      </c>
      <c r="E96" s="94" t="str">
        <f>IF(OR(R96=0,V96=0),"",INDEX('CAD_RESÍDUOS'!$C$6:$C$205,MATCH(C96,'CAD_RESÍDUOS'!$B$6:$B$205,0))&amp;"")</f>
        <v/>
      </c>
      <c r="F96" s="94" t="str">
        <f>IF(OR(R96=0,V96=0),"",INDEX('CAD_RESÍDUOS'!$G$6:$G$205,MATCH(C96,'CAD_RESÍDUOS'!$B$6:$B$205,0))&amp;"")</f>
        <v/>
      </c>
      <c r="G96" s="98" t="n"/>
      <c r="H96" s="91" t="n"/>
      <c r="I96" s="93" t="str">
        <f>IF(R96=0,"",IF(NOT(ISNUMBER(G96)),"",IF(ISNUMBER(X96),G96*X96,"UNIDADE A CONFERIR")))</f>
        <v/>
      </c>
      <c r="J96" s="91" t="n"/>
      <c r="K96" s="91" t="n"/>
      <c r="L96" s="93" t="str">
        <f>IF(R96=0,"",SUMIFS('RECEBIMENTOS'!$H$6:$H$1005,'RECEBIMENTOS'!$R$6:$R$1005,A96,'RECEBIMENTOS'!$X$6:$X$1005,1))</f>
        <v/>
      </c>
      <c r="M96" s="93" t="str">
        <f>IF(R96=0,"",SUMIFS('VÍNCULOS_CDF'!$H$6:$H$1005,'VÍNCULOS_CDF'!$R$6:$R$1005,A96,'VÍNCULOS_CDF'!$V$6:$V$1005,1))</f>
        <v/>
      </c>
      <c r="N96" s="99" t="str">
        <f>IF(OR(R96=0,AA96=0,NOT(ISNUMBER(I96))),"",I96-N(L96))</f>
        <v/>
      </c>
      <c r="O96" s="100" t="str">
        <f>IF(OR(R96=0,AK96&lt;=0),"",N(M96)/AK96)</f>
        <v/>
      </c>
      <c r="P96" s="94" t="str">
        <f>IF(R96=0,"",IF(S96="","Sem MTR associado",IF(U96=0,"MTR inexistente",IF(C96="","Resíduo não identificado",IF(V96=0,"Resíduo fora do cadastro",IF(W96=0,"Quantidade inválida",IF(H96="","Unidade não informada",IF(NOT(ISNUMBER(I96)),"Unidade a conferir",IF(AND(AH96=1,K96&lt;&gt;"Sim"),"Possível duplicidade",IF(Z96=1,"MTR cancelado",IF(AC96&gt;0,"Recebimento com alerta",IF(AA96=0,"Aguardando recebimento",IF(AB96&lt;AA96,"Recebimento a conferir",IF(AM96=1,"Quantidade a revisar",IF(AF96&gt;0,"Vínculo a revisar",IF(AD96=0,"Aguardando CDF",IF(AN96=0,"Vínculo de CDF parcial",IF(AE96&lt;AD96,"CDF a conferir","Documentação conferida"))))))))))))))))))</f>
        <v/>
      </c>
      <c r="Q96" s="93" t="str">
        <f>IF(OR(R96=0,AA96=0),"",MAX(0,N(L96)-N(M96)))</f>
        <v/>
      </c>
      <c r="R96" s="96">
        <f>IF(COUNTA(B96:C96,G96:H96,J96:K96)&gt;0,1,0)</f>
        <v>0</v>
      </c>
      <c r="S96" s="96" t="str">
        <f>IF(B96="","",TRIM(LEFT(B96,FIND(" |",B96&amp;" |")-1)))</f>
        <v/>
      </c>
      <c r="T96" s="96" t="str">
        <f>IF(S96="","",IFERROR(MATCH(S96,'MTRs'!$A$6:$A$505,0),""))</f>
        <v/>
      </c>
      <c r="U96" s="96">
        <f>IF(T96="",0,IF(INDEX('MTRs'!$Z$6:$Z$505,T96)=1,1,0))</f>
        <v>0</v>
      </c>
      <c r="V96" s="96">
        <f>IF(C96="",0,IF(ISNUMBER(MATCH(C96,'CAD_RESÍDUOS'!$B$6:$B$205,0)),1,0))</f>
        <v>0</v>
      </c>
      <c r="W96" s="96">
        <f>IF(AND(ISNUMBER(G96),G96&gt;0),1,0)</f>
        <v>0</v>
      </c>
      <c r="X96" s="96" t="str">
        <f>IF(H96="","",IFERROR(IF(ISNUMBER(INDEX(cfg_fac,MATCH(H96,cfg_units,0))),IF(INDEX(cfg_fac,MATCH(H96,cfg_units,0))&gt;0,INDEX(cfg_fac,MATCH(H96,cfg_units,0)),""),""),""))</f>
        <v/>
      </c>
      <c r="Y96" s="96">
        <f>IF(AND(W96=1,ISNUMBER(I96)),1,0)</f>
        <v>0</v>
      </c>
      <c r="Z96" s="96">
        <f>IF(U96=1,INDEX('MTRs'!$AA$6:$AA$505,T96),0)</f>
        <v>0</v>
      </c>
      <c r="AA96" s="96">
        <f>IF(R96=0,0,COUNTIFS('RECEBIMENTOS'!$R$6:$R$1005,A96,'RECEBIMENTOS'!$Q$6:$Q$1005,1))</f>
        <v>0</v>
      </c>
      <c r="AB96" s="96">
        <f>IF(R96=0,0,COUNTIFS('RECEBIMENTOS'!$R$6:$R$1005,A96,'RECEBIMENTOS'!$Z$6:$Z$1005,1))</f>
        <v>0</v>
      </c>
      <c r="AC96" s="96">
        <f>IF(R96=0,0,COUNTIFS('RECEBIMENTOS'!$R$6:$R$1005,A96,'RECEBIMENTOS'!$Y$6:$Y$1005,1))</f>
        <v>0</v>
      </c>
      <c r="AD96" s="96">
        <f>IF(R96=0,0,COUNTIFS('VÍNCULOS_CDF'!$R$6:$R$1005,A96,'VÍNCULOS_CDF'!$N$6:$N$1005,1))</f>
        <v>0</v>
      </c>
      <c r="AE96" s="96">
        <f>IF(R96=0,0,COUNTIFS('VÍNCULOS_CDF'!$R$6:$R$1005,A96,'VÍNCULOS_CDF'!$AA$6:$AA$1005,1))</f>
        <v>0</v>
      </c>
      <c r="AF96" s="96">
        <f>IF(R96=0,0,COUNTIFS('VÍNCULOS_CDF'!$R$6:$R$1005,A96,'VÍNCULOS_CDF'!$Y$6:$Y$1005,1))</f>
        <v>0</v>
      </c>
      <c r="AG96" s="96" t="str">
        <f>IF(AND(R96=1,S96&lt;&gt;"",C96&lt;&gt;""),S96&amp;"|"&amp;C96&amp;"|"&amp;G96&amp;"|"&amp;H96,"")</f>
        <v/>
      </c>
      <c r="AH96" s="96">
        <f>IF(AG96="",0,IF(SUMPRODUCT(--($AG$6:$AG$1005=AG96))&gt;1,1,0))</f>
        <v>0</v>
      </c>
      <c r="AI96" s="96">
        <f>IF(R96=0,0,IF(OR(U96=0,V96=0,Y96=0,AND(AH96=1,K96&lt;&gt;"Sim")),1,0))</f>
        <v>0</v>
      </c>
      <c r="AJ96" s="96">
        <f>IF(AND(R96=1,AA96&gt;0,AB96=AA96),1,0)</f>
        <v>0</v>
      </c>
      <c r="AK96" s="96">
        <f>IF(R96=0,0,IF(AA96&gt;0,N(L96),IF(ISNUMBER(I96),I96,0)))</f>
        <v>0</v>
      </c>
      <c r="AL96" s="96">
        <f>IF(R96=0,0,IF(AND(K96&lt;&gt;"Sim",N(M96)&gt;AK96+cfg_tol),1,0))</f>
        <v>0</v>
      </c>
      <c r="AM96" s="96">
        <f>IF(R96=0,0,IF(K96="Sim",0,IF(OR(AND(AA96&gt;0,ISNUMBER(I96),ABS(I96-N(L96))&gt;cfg_tol),AL96=1),1,0)))</f>
        <v>0</v>
      </c>
      <c r="AN96" s="96">
        <f>IF(AND(R96=1,N(M96)&gt;0,OR(N(M96)&gt;=AK96-cfg_tol,K96="Sim")),1,0)</f>
        <v>0</v>
      </c>
      <c r="AO96" s="96">
        <f>IF(AND(AN96=1,AD96&gt;0,AE96=AD96,AL96=0),1,0)</f>
        <v>0</v>
      </c>
      <c r="AP96" s="96">
        <f>IF(U96=0,0,IF(AND(INDEX('MTRs'!$AX$6:$AX$505,T96)=1,Z96=0,OR(f_res="",f_res="(Todos)",C96=f_res)),1,0))</f>
        <v>0</v>
      </c>
      <c r="AQ96" s="97" t="str">
        <f>IF(U96=0,"",INDEX('MTRs'!$AZ$6:$AZ$505,T96))</f>
        <v/>
      </c>
      <c r="AR96" s="96">
        <f>IF(U96=0,0,IF(AND(INDEX('MTRs'!$BA$6:$BA$505,T96)=1,Z96=0),1,0))</f>
        <v>0</v>
      </c>
      <c r="AS96" s="96" t="str">
        <f>IF(R96=1,A96&amp;" | MTR "&amp;IF(U96=1,INDEX('MTRs'!$B$6:$B$505,T96)&amp;"","?")&amp;" | "&amp;IF(C96="","(sem resíduo)",C96),"")</f>
        <v/>
      </c>
      <c r="AT96" s="96" t="str">
        <f>IF(R96=1,COUNTIF($R$6:R96,1),"")</f>
        <v/>
      </c>
      <c r="AU96" s="96" t="str">
        <f>IF(U96=1,INDEX('MTRs'!$I$6:$I$505,T96)&amp;"","")</f>
        <v/>
      </c>
    </row>
    <row r="97">
      <c r="A97" s="89" t="inlineStr">
        <is>
          <t>IT-000092</t>
        </is>
      </c>
      <c r="B97" s="91" t="n"/>
      <c r="C97" s="91" t="n"/>
      <c r="D97" s="94" t="str">
        <f>IF(OR(R97=0,V97=0),"",INDEX('CAD_RESÍDUOS'!$E$6:$E$205,MATCH(C97,'CAD_RESÍDUOS'!$B$6:$B$205,0))&amp;"")</f>
        <v/>
      </c>
      <c r="E97" s="94" t="str">
        <f>IF(OR(R97=0,V97=0),"",INDEX('CAD_RESÍDUOS'!$C$6:$C$205,MATCH(C97,'CAD_RESÍDUOS'!$B$6:$B$205,0))&amp;"")</f>
        <v/>
      </c>
      <c r="F97" s="94" t="str">
        <f>IF(OR(R97=0,V97=0),"",INDEX('CAD_RESÍDUOS'!$G$6:$G$205,MATCH(C97,'CAD_RESÍDUOS'!$B$6:$B$205,0))&amp;"")</f>
        <v/>
      </c>
      <c r="G97" s="98" t="n"/>
      <c r="H97" s="91" t="n"/>
      <c r="I97" s="93" t="str">
        <f>IF(R97=0,"",IF(NOT(ISNUMBER(G97)),"",IF(ISNUMBER(X97),G97*X97,"UNIDADE A CONFERIR")))</f>
        <v/>
      </c>
      <c r="J97" s="91" t="n"/>
      <c r="K97" s="91" t="n"/>
      <c r="L97" s="93" t="str">
        <f>IF(R97=0,"",SUMIFS('RECEBIMENTOS'!$H$6:$H$1005,'RECEBIMENTOS'!$R$6:$R$1005,A97,'RECEBIMENTOS'!$X$6:$X$1005,1))</f>
        <v/>
      </c>
      <c r="M97" s="93" t="str">
        <f>IF(R97=0,"",SUMIFS('VÍNCULOS_CDF'!$H$6:$H$1005,'VÍNCULOS_CDF'!$R$6:$R$1005,A97,'VÍNCULOS_CDF'!$V$6:$V$1005,1))</f>
        <v/>
      </c>
      <c r="N97" s="99" t="str">
        <f>IF(OR(R97=0,AA97=0,NOT(ISNUMBER(I97))),"",I97-N(L97))</f>
        <v/>
      </c>
      <c r="O97" s="100" t="str">
        <f>IF(OR(R97=0,AK97&lt;=0),"",N(M97)/AK97)</f>
        <v/>
      </c>
      <c r="P97" s="94" t="str">
        <f>IF(R97=0,"",IF(S97="","Sem MTR associado",IF(U97=0,"MTR inexistente",IF(C97="","Resíduo não identificado",IF(V97=0,"Resíduo fora do cadastro",IF(W97=0,"Quantidade inválida",IF(H97="","Unidade não informada",IF(NOT(ISNUMBER(I97)),"Unidade a conferir",IF(AND(AH97=1,K97&lt;&gt;"Sim"),"Possível duplicidade",IF(Z97=1,"MTR cancelado",IF(AC97&gt;0,"Recebimento com alerta",IF(AA97=0,"Aguardando recebimento",IF(AB97&lt;AA97,"Recebimento a conferir",IF(AM97=1,"Quantidade a revisar",IF(AF97&gt;0,"Vínculo a revisar",IF(AD97=0,"Aguardando CDF",IF(AN97=0,"Vínculo de CDF parcial",IF(AE97&lt;AD97,"CDF a conferir","Documentação conferida"))))))))))))))))))</f>
        <v/>
      </c>
      <c r="Q97" s="93" t="str">
        <f>IF(OR(R97=0,AA97=0),"",MAX(0,N(L97)-N(M97)))</f>
        <v/>
      </c>
      <c r="R97" s="96">
        <f>IF(COUNTA(B97:C97,G97:H97,J97:K97)&gt;0,1,0)</f>
        <v>0</v>
      </c>
      <c r="S97" s="96" t="str">
        <f>IF(B97="","",TRIM(LEFT(B97,FIND(" |",B97&amp;" |")-1)))</f>
        <v/>
      </c>
      <c r="T97" s="96" t="str">
        <f>IF(S97="","",IFERROR(MATCH(S97,'MTRs'!$A$6:$A$505,0),""))</f>
        <v/>
      </c>
      <c r="U97" s="96">
        <f>IF(T97="",0,IF(INDEX('MTRs'!$Z$6:$Z$505,T97)=1,1,0))</f>
        <v>0</v>
      </c>
      <c r="V97" s="96">
        <f>IF(C97="",0,IF(ISNUMBER(MATCH(C97,'CAD_RESÍDUOS'!$B$6:$B$205,0)),1,0))</f>
        <v>0</v>
      </c>
      <c r="W97" s="96">
        <f>IF(AND(ISNUMBER(G97),G97&gt;0),1,0)</f>
        <v>0</v>
      </c>
      <c r="X97" s="96" t="str">
        <f>IF(H97="","",IFERROR(IF(ISNUMBER(INDEX(cfg_fac,MATCH(H97,cfg_units,0))),IF(INDEX(cfg_fac,MATCH(H97,cfg_units,0))&gt;0,INDEX(cfg_fac,MATCH(H97,cfg_units,0)),""),""),""))</f>
        <v/>
      </c>
      <c r="Y97" s="96">
        <f>IF(AND(W97=1,ISNUMBER(I97)),1,0)</f>
        <v>0</v>
      </c>
      <c r="Z97" s="96">
        <f>IF(U97=1,INDEX('MTRs'!$AA$6:$AA$505,T97),0)</f>
        <v>0</v>
      </c>
      <c r="AA97" s="96">
        <f>IF(R97=0,0,COUNTIFS('RECEBIMENTOS'!$R$6:$R$1005,A97,'RECEBIMENTOS'!$Q$6:$Q$1005,1))</f>
        <v>0</v>
      </c>
      <c r="AB97" s="96">
        <f>IF(R97=0,0,COUNTIFS('RECEBIMENTOS'!$R$6:$R$1005,A97,'RECEBIMENTOS'!$Z$6:$Z$1005,1))</f>
        <v>0</v>
      </c>
      <c r="AC97" s="96">
        <f>IF(R97=0,0,COUNTIFS('RECEBIMENTOS'!$R$6:$R$1005,A97,'RECEBIMENTOS'!$Y$6:$Y$1005,1))</f>
        <v>0</v>
      </c>
      <c r="AD97" s="96">
        <f>IF(R97=0,0,COUNTIFS('VÍNCULOS_CDF'!$R$6:$R$1005,A97,'VÍNCULOS_CDF'!$N$6:$N$1005,1))</f>
        <v>0</v>
      </c>
      <c r="AE97" s="96">
        <f>IF(R97=0,0,COUNTIFS('VÍNCULOS_CDF'!$R$6:$R$1005,A97,'VÍNCULOS_CDF'!$AA$6:$AA$1005,1))</f>
        <v>0</v>
      </c>
      <c r="AF97" s="96">
        <f>IF(R97=0,0,COUNTIFS('VÍNCULOS_CDF'!$R$6:$R$1005,A97,'VÍNCULOS_CDF'!$Y$6:$Y$1005,1))</f>
        <v>0</v>
      </c>
      <c r="AG97" s="96" t="str">
        <f>IF(AND(R97=1,S97&lt;&gt;"",C97&lt;&gt;""),S97&amp;"|"&amp;C97&amp;"|"&amp;G97&amp;"|"&amp;H97,"")</f>
        <v/>
      </c>
      <c r="AH97" s="96">
        <f>IF(AG97="",0,IF(SUMPRODUCT(--($AG$6:$AG$1005=AG97))&gt;1,1,0))</f>
        <v>0</v>
      </c>
      <c r="AI97" s="96">
        <f>IF(R97=0,0,IF(OR(U97=0,V97=0,Y97=0,AND(AH97=1,K97&lt;&gt;"Sim")),1,0))</f>
        <v>0</v>
      </c>
      <c r="AJ97" s="96">
        <f>IF(AND(R97=1,AA97&gt;0,AB97=AA97),1,0)</f>
        <v>0</v>
      </c>
      <c r="AK97" s="96">
        <f>IF(R97=0,0,IF(AA97&gt;0,N(L97),IF(ISNUMBER(I97),I97,0)))</f>
        <v>0</v>
      </c>
      <c r="AL97" s="96">
        <f>IF(R97=0,0,IF(AND(K97&lt;&gt;"Sim",N(M97)&gt;AK97+cfg_tol),1,0))</f>
        <v>0</v>
      </c>
      <c r="AM97" s="96">
        <f>IF(R97=0,0,IF(K97="Sim",0,IF(OR(AND(AA97&gt;0,ISNUMBER(I97),ABS(I97-N(L97))&gt;cfg_tol),AL97=1),1,0)))</f>
        <v>0</v>
      </c>
      <c r="AN97" s="96">
        <f>IF(AND(R97=1,N(M97)&gt;0,OR(N(M97)&gt;=AK97-cfg_tol,K97="Sim")),1,0)</f>
        <v>0</v>
      </c>
      <c r="AO97" s="96">
        <f>IF(AND(AN97=1,AD97&gt;0,AE97=AD97,AL97=0),1,0)</f>
        <v>0</v>
      </c>
      <c r="AP97" s="96">
        <f>IF(U97=0,0,IF(AND(INDEX('MTRs'!$AX$6:$AX$505,T97)=1,Z97=0,OR(f_res="",f_res="(Todos)",C97=f_res)),1,0))</f>
        <v>0</v>
      </c>
      <c r="AQ97" s="97" t="str">
        <f>IF(U97=0,"",INDEX('MTRs'!$AZ$6:$AZ$505,T97))</f>
        <v/>
      </c>
      <c r="AR97" s="96">
        <f>IF(U97=0,0,IF(AND(INDEX('MTRs'!$BA$6:$BA$505,T97)=1,Z97=0),1,0))</f>
        <v>0</v>
      </c>
      <c r="AS97" s="96" t="str">
        <f>IF(R97=1,A97&amp;" | MTR "&amp;IF(U97=1,INDEX('MTRs'!$B$6:$B$505,T97)&amp;"","?")&amp;" | "&amp;IF(C97="","(sem resíduo)",C97),"")</f>
        <v/>
      </c>
      <c r="AT97" s="96" t="str">
        <f>IF(R97=1,COUNTIF($R$6:R97,1),"")</f>
        <v/>
      </c>
      <c r="AU97" s="96" t="str">
        <f>IF(U97=1,INDEX('MTRs'!$I$6:$I$505,T97)&amp;"","")</f>
        <v/>
      </c>
    </row>
    <row r="98">
      <c r="A98" s="89" t="inlineStr">
        <is>
          <t>IT-000093</t>
        </is>
      </c>
      <c r="B98" s="91" t="n"/>
      <c r="C98" s="91" t="n"/>
      <c r="D98" s="94" t="str">
        <f>IF(OR(R98=0,V98=0),"",INDEX('CAD_RESÍDUOS'!$E$6:$E$205,MATCH(C98,'CAD_RESÍDUOS'!$B$6:$B$205,0))&amp;"")</f>
        <v/>
      </c>
      <c r="E98" s="94" t="str">
        <f>IF(OR(R98=0,V98=0),"",INDEX('CAD_RESÍDUOS'!$C$6:$C$205,MATCH(C98,'CAD_RESÍDUOS'!$B$6:$B$205,0))&amp;"")</f>
        <v/>
      </c>
      <c r="F98" s="94" t="str">
        <f>IF(OR(R98=0,V98=0),"",INDEX('CAD_RESÍDUOS'!$G$6:$G$205,MATCH(C98,'CAD_RESÍDUOS'!$B$6:$B$205,0))&amp;"")</f>
        <v/>
      </c>
      <c r="G98" s="98" t="n"/>
      <c r="H98" s="91" t="n"/>
      <c r="I98" s="93" t="str">
        <f>IF(R98=0,"",IF(NOT(ISNUMBER(G98)),"",IF(ISNUMBER(X98),G98*X98,"UNIDADE A CONFERIR")))</f>
        <v/>
      </c>
      <c r="J98" s="91" t="n"/>
      <c r="K98" s="91" t="n"/>
      <c r="L98" s="93" t="str">
        <f>IF(R98=0,"",SUMIFS('RECEBIMENTOS'!$H$6:$H$1005,'RECEBIMENTOS'!$R$6:$R$1005,A98,'RECEBIMENTOS'!$X$6:$X$1005,1))</f>
        <v/>
      </c>
      <c r="M98" s="93" t="str">
        <f>IF(R98=0,"",SUMIFS('VÍNCULOS_CDF'!$H$6:$H$1005,'VÍNCULOS_CDF'!$R$6:$R$1005,A98,'VÍNCULOS_CDF'!$V$6:$V$1005,1))</f>
        <v/>
      </c>
      <c r="N98" s="99" t="str">
        <f>IF(OR(R98=0,AA98=0,NOT(ISNUMBER(I98))),"",I98-N(L98))</f>
        <v/>
      </c>
      <c r="O98" s="100" t="str">
        <f>IF(OR(R98=0,AK98&lt;=0),"",N(M98)/AK98)</f>
        <v/>
      </c>
      <c r="P98" s="94" t="str">
        <f>IF(R98=0,"",IF(S98="","Sem MTR associado",IF(U98=0,"MTR inexistente",IF(C98="","Resíduo não identificado",IF(V98=0,"Resíduo fora do cadastro",IF(W98=0,"Quantidade inválida",IF(H98="","Unidade não informada",IF(NOT(ISNUMBER(I98)),"Unidade a conferir",IF(AND(AH98=1,K98&lt;&gt;"Sim"),"Possível duplicidade",IF(Z98=1,"MTR cancelado",IF(AC98&gt;0,"Recebimento com alerta",IF(AA98=0,"Aguardando recebimento",IF(AB98&lt;AA98,"Recebimento a conferir",IF(AM98=1,"Quantidade a revisar",IF(AF98&gt;0,"Vínculo a revisar",IF(AD98=0,"Aguardando CDF",IF(AN98=0,"Vínculo de CDF parcial",IF(AE98&lt;AD98,"CDF a conferir","Documentação conferida"))))))))))))))))))</f>
        <v/>
      </c>
      <c r="Q98" s="93" t="str">
        <f>IF(OR(R98=0,AA98=0),"",MAX(0,N(L98)-N(M98)))</f>
        <v/>
      </c>
      <c r="R98" s="96">
        <f>IF(COUNTA(B98:C98,G98:H98,J98:K98)&gt;0,1,0)</f>
        <v>0</v>
      </c>
      <c r="S98" s="96" t="str">
        <f>IF(B98="","",TRIM(LEFT(B98,FIND(" |",B98&amp;" |")-1)))</f>
        <v/>
      </c>
      <c r="T98" s="96" t="str">
        <f>IF(S98="","",IFERROR(MATCH(S98,'MTRs'!$A$6:$A$505,0),""))</f>
        <v/>
      </c>
      <c r="U98" s="96">
        <f>IF(T98="",0,IF(INDEX('MTRs'!$Z$6:$Z$505,T98)=1,1,0))</f>
        <v>0</v>
      </c>
      <c r="V98" s="96">
        <f>IF(C98="",0,IF(ISNUMBER(MATCH(C98,'CAD_RESÍDUOS'!$B$6:$B$205,0)),1,0))</f>
        <v>0</v>
      </c>
      <c r="W98" s="96">
        <f>IF(AND(ISNUMBER(G98),G98&gt;0),1,0)</f>
        <v>0</v>
      </c>
      <c r="X98" s="96" t="str">
        <f>IF(H98="","",IFERROR(IF(ISNUMBER(INDEX(cfg_fac,MATCH(H98,cfg_units,0))),IF(INDEX(cfg_fac,MATCH(H98,cfg_units,0))&gt;0,INDEX(cfg_fac,MATCH(H98,cfg_units,0)),""),""),""))</f>
        <v/>
      </c>
      <c r="Y98" s="96">
        <f>IF(AND(W98=1,ISNUMBER(I98)),1,0)</f>
        <v>0</v>
      </c>
      <c r="Z98" s="96">
        <f>IF(U98=1,INDEX('MTRs'!$AA$6:$AA$505,T98),0)</f>
        <v>0</v>
      </c>
      <c r="AA98" s="96">
        <f>IF(R98=0,0,COUNTIFS('RECEBIMENTOS'!$R$6:$R$1005,A98,'RECEBIMENTOS'!$Q$6:$Q$1005,1))</f>
        <v>0</v>
      </c>
      <c r="AB98" s="96">
        <f>IF(R98=0,0,COUNTIFS('RECEBIMENTOS'!$R$6:$R$1005,A98,'RECEBIMENTOS'!$Z$6:$Z$1005,1))</f>
        <v>0</v>
      </c>
      <c r="AC98" s="96">
        <f>IF(R98=0,0,COUNTIFS('RECEBIMENTOS'!$R$6:$R$1005,A98,'RECEBIMENTOS'!$Y$6:$Y$1005,1))</f>
        <v>0</v>
      </c>
      <c r="AD98" s="96">
        <f>IF(R98=0,0,COUNTIFS('VÍNCULOS_CDF'!$R$6:$R$1005,A98,'VÍNCULOS_CDF'!$N$6:$N$1005,1))</f>
        <v>0</v>
      </c>
      <c r="AE98" s="96">
        <f>IF(R98=0,0,COUNTIFS('VÍNCULOS_CDF'!$R$6:$R$1005,A98,'VÍNCULOS_CDF'!$AA$6:$AA$1005,1))</f>
        <v>0</v>
      </c>
      <c r="AF98" s="96">
        <f>IF(R98=0,0,COUNTIFS('VÍNCULOS_CDF'!$R$6:$R$1005,A98,'VÍNCULOS_CDF'!$Y$6:$Y$1005,1))</f>
        <v>0</v>
      </c>
      <c r="AG98" s="96" t="str">
        <f>IF(AND(R98=1,S98&lt;&gt;"",C98&lt;&gt;""),S98&amp;"|"&amp;C98&amp;"|"&amp;G98&amp;"|"&amp;H98,"")</f>
        <v/>
      </c>
      <c r="AH98" s="96">
        <f>IF(AG98="",0,IF(SUMPRODUCT(--($AG$6:$AG$1005=AG98))&gt;1,1,0))</f>
        <v>0</v>
      </c>
      <c r="AI98" s="96">
        <f>IF(R98=0,0,IF(OR(U98=0,V98=0,Y98=0,AND(AH98=1,K98&lt;&gt;"Sim")),1,0))</f>
        <v>0</v>
      </c>
      <c r="AJ98" s="96">
        <f>IF(AND(R98=1,AA98&gt;0,AB98=AA98),1,0)</f>
        <v>0</v>
      </c>
      <c r="AK98" s="96">
        <f>IF(R98=0,0,IF(AA98&gt;0,N(L98),IF(ISNUMBER(I98),I98,0)))</f>
        <v>0</v>
      </c>
      <c r="AL98" s="96">
        <f>IF(R98=0,0,IF(AND(K98&lt;&gt;"Sim",N(M98)&gt;AK98+cfg_tol),1,0))</f>
        <v>0</v>
      </c>
      <c r="AM98" s="96">
        <f>IF(R98=0,0,IF(K98="Sim",0,IF(OR(AND(AA98&gt;0,ISNUMBER(I98),ABS(I98-N(L98))&gt;cfg_tol),AL98=1),1,0)))</f>
        <v>0</v>
      </c>
      <c r="AN98" s="96">
        <f>IF(AND(R98=1,N(M98)&gt;0,OR(N(M98)&gt;=AK98-cfg_tol,K98="Sim")),1,0)</f>
        <v>0</v>
      </c>
      <c r="AO98" s="96">
        <f>IF(AND(AN98=1,AD98&gt;0,AE98=AD98,AL98=0),1,0)</f>
        <v>0</v>
      </c>
      <c r="AP98" s="96">
        <f>IF(U98=0,0,IF(AND(INDEX('MTRs'!$AX$6:$AX$505,T98)=1,Z98=0,OR(f_res="",f_res="(Todos)",C98=f_res)),1,0))</f>
        <v>0</v>
      </c>
      <c r="AQ98" s="97" t="str">
        <f>IF(U98=0,"",INDEX('MTRs'!$AZ$6:$AZ$505,T98))</f>
        <v/>
      </c>
      <c r="AR98" s="96">
        <f>IF(U98=0,0,IF(AND(INDEX('MTRs'!$BA$6:$BA$505,T98)=1,Z98=0),1,0))</f>
        <v>0</v>
      </c>
      <c r="AS98" s="96" t="str">
        <f>IF(R98=1,A98&amp;" | MTR "&amp;IF(U98=1,INDEX('MTRs'!$B$6:$B$505,T98)&amp;"","?")&amp;" | "&amp;IF(C98="","(sem resíduo)",C98),"")</f>
        <v/>
      </c>
      <c r="AT98" s="96" t="str">
        <f>IF(R98=1,COUNTIF($R$6:R98,1),"")</f>
        <v/>
      </c>
      <c r="AU98" s="96" t="str">
        <f>IF(U98=1,INDEX('MTRs'!$I$6:$I$505,T98)&amp;"","")</f>
        <v/>
      </c>
    </row>
    <row r="99">
      <c r="A99" s="89" t="inlineStr">
        <is>
          <t>IT-000094</t>
        </is>
      </c>
      <c r="B99" s="91" t="n"/>
      <c r="C99" s="91" t="n"/>
      <c r="D99" s="94" t="str">
        <f>IF(OR(R99=0,V99=0),"",INDEX('CAD_RESÍDUOS'!$E$6:$E$205,MATCH(C99,'CAD_RESÍDUOS'!$B$6:$B$205,0))&amp;"")</f>
        <v/>
      </c>
      <c r="E99" s="94" t="str">
        <f>IF(OR(R99=0,V99=0),"",INDEX('CAD_RESÍDUOS'!$C$6:$C$205,MATCH(C99,'CAD_RESÍDUOS'!$B$6:$B$205,0))&amp;"")</f>
        <v/>
      </c>
      <c r="F99" s="94" t="str">
        <f>IF(OR(R99=0,V99=0),"",INDEX('CAD_RESÍDUOS'!$G$6:$G$205,MATCH(C99,'CAD_RESÍDUOS'!$B$6:$B$205,0))&amp;"")</f>
        <v/>
      </c>
      <c r="G99" s="98" t="n"/>
      <c r="H99" s="91" t="n"/>
      <c r="I99" s="93" t="str">
        <f>IF(R99=0,"",IF(NOT(ISNUMBER(G99)),"",IF(ISNUMBER(X99),G99*X99,"UNIDADE A CONFERIR")))</f>
        <v/>
      </c>
      <c r="J99" s="91" t="n"/>
      <c r="K99" s="91" t="n"/>
      <c r="L99" s="93" t="str">
        <f>IF(R99=0,"",SUMIFS('RECEBIMENTOS'!$H$6:$H$1005,'RECEBIMENTOS'!$R$6:$R$1005,A99,'RECEBIMENTOS'!$X$6:$X$1005,1))</f>
        <v/>
      </c>
      <c r="M99" s="93" t="str">
        <f>IF(R99=0,"",SUMIFS('VÍNCULOS_CDF'!$H$6:$H$1005,'VÍNCULOS_CDF'!$R$6:$R$1005,A99,'VÍNCULOS_CDF'!$V$6:$V$1005,1))</f>
        <v/>
      </c>
      <c r="N99" s="99" t="str">
        <f>IF(OR(R99=0,AA99=0,NOT(ISNUMBER(I99))),"",I99-N(L99))</f>
        <v/>
      </c>
      <c r="O99" s="100" t="str">
        <f>IF(OR(R99=0,AK99&lt;=0),"",N(M99)/AK99)</f>
        <v/>
      </c>
      <c r="P99" s="94" t="str">
        <f>IF(R99=0,"",IF(S99="","Sem MTR associado",IF(U99=0,"MTR inexistente",IF(C99="","Resíduo não identificado",IF(V99=0,"Resíduo fora do cadastro",IF(W99=0,"Quantidade inválida",IF(H99="","Unidade não informada",IF(NOT(ISNUMBER(I99)),"Unidade a conferir",IF(AND(AH99=1,K99&lt;&gt;"Sim"),"Possível duplicidade",IF(Z99=1,"MTR cancelado",IF(AC99&gt;0,"Recebimento com alerta",IF(AA99=0,"Aguardando recebimento",IF(AB99&lt;AA99,"Recebimento a conferir",IF(AM99=1,"Quantidade a revisar",IF(AF99&gt;0,"Vínculo a revisar",IF(AD99=0,"Aguardando CDF",IF(AN99=0,"Vínculo de CDF parcial",IF(AE99&lt;AD99,"CDF a conferir","Documentação conferida"))))))))))))))))))</f>
        <v/>
      </c>
      <c r="Q99" s="93" t="str">
        <f>IF(OR(R99=0,AA99=0),"",MAX(0,N(L99)-N(M99)))</f>
        <v/>
      </c>
      <c r="R99" s="96">
        <f>IF(COUNTA(B99:C99,G99:H99,J99:K99)&gt;0,1,0)</f>
        <v>0</v>
      </c>
      <c r="S99" s="96" t="str">
        <f>IF(B99="","",TRIM(LEFT(B99,FIND(" |",B99&amp;" |")-1)))</f>
        <v/>
      </c>
      <c r="T99" s="96" t="str">
        <f>IF(S99="","",IFERROR(MATCH(S99,'MTRs'!$A$6:$A$505,0),""))</f>
        <v/>
      </c>
      <c r="U99" s="96">
        <f>IF(T99="",0,IF(INDEX('MTRs'!$Z$6:$Z$505,T99)=1,1,0))</f>
        <v>0</v>
      </c>
      <c r="V99" s="96">
        <f>IF(C99="",0,IF(ISNUMBER(MATCH(C99,'CAD_RESÍDUOS'!$B$6:$B$205,0)),1,0))</f>
        <v>0</v>
      </c>
      <c r="W99" s="96">
        <f>IF(AND(ISNUMBER(G99),G99&gt;0),1,0)</f>
        <v>0</v>
      </c>
      <c r="X99" s="96" t="str">
        <f>IF(H99="","",IFERROR(IF(ISNUMBER(INDEX(cfg_fac,MATCH(H99,cfg_units,0))),IF(INDEX(cfg_fac,MATCH(H99,cfg_units,0))&gt;0,INDEX(cfg_fac,MATCH(H99,cfg_units,0)),""),""),""))</f>
        <v/>
      </c>
      <c r="Y99" s="96">
        <f>IF(AND(W99=1,ISNUMBER(I99)),1,0)</f>
        <v>0</v>
      </c>
      <c r="Z99" s="96">
        <f>IF(U99=1,INDEX('MTRs'!$AA$6:$AA$505,T99),0)</f>
        <v>0</v>
      </c>
      <c r="AA99" s="96">
        <f>IF(R99=0,0,COUNTIFS('RECEBIMENTOS'!$R$6:$R$1005,A99,'RECEBIMENTOS'!$Q$6:$Q$1005,1))</f>
        <v>0</v>
      </c>
      <c r="AB99" s="96">
        <f>IF(R99=0,0,COUNTIFS('RECEBIMENTOS'!$R$6:$R$1005,A99,'RECEBIMENTOS'!$Z$6:$Z$1005,1))</f>
        <v>0</v>
      </c>
      <c r="AC99" s="96">
        <f>IF(R99=0,0,COUNTIFS('RECEBIMENTOS'!$R$6:$R$1005,A99,'RECEBIMENTOS'!$Y$6:$Y$1005,1))</f>
        <v>0</v>
      </c>
      <c r="AD99" s="96">
        <f>IF(R99=0,0,COUNTIFS('VÍNCULOS_CDF'!$R$6:$R$1005,A99,'VÍNCULOS_CDF'!$N$6:$N$1005,1))</f>
        <v>0</v>
      </c>
      <c r="AE99" s="96">
        <f>IF(R99=0,0,COUNTIFS('VÍNCULOS_CDF'!$R$6:$R$1005,A99,'VÍNCULOS_CDF'!$AA$6:$AA$1005,1))</f>
        <v>0</v>
      </c>
      <c r="AF99" s="96">
        <f>IF(R99=0,0,COUNTIFS('VÍNCULOS_CDF'!$R$6:$R$1005,A99,'VÍNCULOS_CDF'!$Y$6:$Y$1005,1))</f>
        <v>0</v>
      </c>
      <c r="AG99" s="96" t="str">
        <f>IF(AND(R99=1,S99&lt;&gt;"",C99&lt;&gt;""),S99&amp;"|"&amp;C99&amp;"|"&amp;G99&amp;"|"&amp;H99,"")</f>
        <v/>
      </c>
      <c r="AH99" s="96">
        <f>IF(AG99="",0,IF(SUMPRODUCT(--($AG$6:$AG$1005=AG99))&gt;1,1,0))</f>
        <v>0</v>
      </c>
      <c r="AI99" s="96">
        <f>IF(R99=0,0,IF(OR(U99=0,V99=0,Y99=0,AND(AH99=1,K99&lt;&gt;"Sim")),1,0))</f>
        <v>0</v>
      </c>
      <c r="AJ99" s="96">
        <f>IF(AND(R99=1,AA99&gt;0,AB99=AA99),1,0)</f>
        <v>0</v>
      </c>
      <c r="AK99" s="96">
        <f>IF(R99=0,0,IF(AA99&gt;0,N(L99),IF(ISNUMBER(I99),I99,0)))</f>
        <v>0</v>
      </c>
      <c r="AL99" s="96">
        <f>IF(R99=0,0,IF(AND(K99&lt;&gt;"Sim",N(M99)&gt;AK99+cfg_tol),1,0))</f>
        <v>0</v>
      </c>
      <c r="AM99" s="96">
        <f>IF(R99=0,0,IF(K99="Sim",0,IF(OR(AND(AA99&gt;0,ISNUMBER(I99),ABS(I99-N(L99))&gt;cfg_tol),AL99=1),1,0)))</f>
        <v>0</v>
      </c>
      <c r="AN99" s="96">
        <f>IF(AND(R99=1,N(M99)&gt;0,OR(N(M99)&gt;=AK99-cfg_tol,K99="Sim")),1,0)</f>
        <v>0</v>
      </c>
      <c r="AO99" s="96">
        <f>IF(AND(AN99=1,AD99&gt;0,AE99=AD99,AL99=0),1,0)</f>
        <v>0</v>
      </c>
      <c r="AP99" s="96">
        <f>IF(U99=0,0,IF(AND(INDEX('MTRs'!$AX$6:$AX$505,T99)=1,Z99=0,OR(f_res="",f_res="(Todos)",C99=f_res)),1,0))</f>
        <v>0</v>
      </c>
      <c r="AQ99" s="97" t="str">
        <f>IF(U99=0,"",INDEX('MTRs'!$AZ$6:$AZ$505,T99))</f>
        <v/>
      </c>
      <c r="AR99" s="96">
        <f>IF(U99=0,0,IF(AND(INDEX('MTRs'!$BA$6:$BA$505,T99)=1,Z99=0),1,0))</f>
        <v>0</v>
      </c>
      <c r="AS99" s="96" t="str">
        <f>IF(R99=1,A99&amp;" | MTR "&amp;IF(U99=1,INDEX('MTRs'!$B$6:$B$505,T99)&amp;"","?")&amp;" | "&amp;IF(C99="","(sem resíduo)",C99),"")</f>
        <v/>
      </c>
      <c r="AT99" s="96" t="str">
        <f>IF(R99=1,COUNTIF($R$6:R99,1),"")</f>
        <v/>
      </c>
      <c r="AU99" s="96" t="str">
        <f>IF(U99=1,INDEX('MTRs'!$I$6:$I$505,T99)&amp;"","")</f>
        <v/>
      </c>
    </row>
    <row r="100">
      <c r="A100" s="89" t="inlineStr">
        <is>
          <t>IT-000095</t>
        </is>
      </c>
      <c r="B100" s="91" t="n"/>
      <c r="C100" s="91" t="n"/>
      <c r="D100" s="94" t="str">
        <f>IF(OR(R100=0,V100=0),"",INDEX('CAD_RESÍDUOS'!$E$6:$E$205,MATCH(C100,'CAD_RESÍDUOS'!$B$6:$B$205,0))&amp;"")</f>
        <v/>
      </c>
      <c r="E100" s="94" t="str">
        <f>IF(OR(R100=0,V100=0),"",INDEX('CAD_RESÍDUOS'!$C$6:$C$205,MATCH(C100,'CAD_RESÍDUOS'!$B$6:$B$205,0))&amp;"")</f>
        <v/>
      </c>
      <c r="F100" s="94" t="str">
        <f>IF(OR(R100=0,V100=0),"",INDEX('CAD_RESÍDUOS'!$G$6:$G$205,MATCH(C100,'CAD_RESÍDUOS'!$B$6:$B$205,0))&amp;"")</f>
        <v/>
      </c>
      <c r="G100" s="98" t="n"/>
      <c r="H100" s="91" t="n"/>
      <c r="I100" s="93" t="str">
        <f>IF(R100=0,"",IF(NOT(ISNUMBER(G100)),"",IF(ISNUMBER(X100),G100*X100,"UNIDADE A CONFERIR")))</f>
        <v/>
      </c>
      <c r="J100" s="91" t="n"/>
      <c r="K100" s="91" t="n"/>
      <c r="L100" s="93" t="str">
        <f>IF(R100=0,"",SUMIFS('RECEBIMENTOS'!$H$6:$H$1005,'RECEBIMENTOS'!$R$6:$R$1005,A100,'RECEBIMENTOS'!$X$6:$X$1005,1))</f>
        <v/>
      </c>
      <c r="M100" s="93" t="str">
        <f>IF(R100=0,"",SUMIFS('VÍNCULOS_CDF'!$H$6:$H$1005,'VÍNCULOS_CDF'!$R$6:$R$1005,A100,'VÍNCULOS_CDF'!$V$6:$V$1005,1))</f>
        <v/>
      </c>
      <c r="N100" s="99" t="str">
        <f>IF(OR(R100=0,AA100=0,NOT(ISNUMBER(I100))),"",I100-N(L100))</f>
        <v/>
      </c>
      <c r="O100" s="100" t="str">
        <f>IF(OR(R100=0,AK100&lt;=0),"",N(M100)/AK100)</f>
        <v/>
      </c>
      <c r="P100" s="94" t="str">
        <f>IF(R100=0,"",IF(S100="","Sem MTR associado",IF(U100=0,"MTR inexistente",IF(C100="","Resíduo não identificado",IF(V100=0,"Resíduo fora do cadastro",IF(W100=0,"Quantidade inválida",IF(H100="","Unidade não informada",IF(NOT(ISNUMBER(I100)),"Unidade a conferir",IF(AND(AH100=1,K100&lt;&gt;"Sim"),"Possível duplicidade",IF(Z100=1,"MTR cancelado",IF(AC100&gt;0,"Recebimento com alerta",IF(AA100=0,"Aguardando recebimento",IF(AB100&lt;AA100,"Recebimento a conferir",IF(AM100=1,"Quantidade a revisar",IF(AF100&gt;0,"Vínculo a revisar",IF(AD100=0,"Aguardando CDF",IF(AN100=0,"Vínculo de CDF parcial",IF(AE100&lt;AD100,"CDF a conferir","Documentação conferida"))))))))))))))))))</f>
        <v/>
      </c>
      <c r="Q100" s="93" t="str">
        <f>IF(OR(R100=0,AA100=0),"",MAX(0,N(L100)-N(M100)))</f>
        <v/>
      </c>
      <c r="R100" s="96">
        <f>IF(COUNTA(B100:C100,G100:H100,J100:K100)&gt;0,1,0)</f>
        <v>0</v>
      </c>
      <c r="S100" s="96" t="str">
        <f>IF(B100="","",TRIM(LEFT(B100,FIND(" |",B100&amp;" |")-1)))</f>
        <v/>
      </c>
      <c r="T100" s="96" t="str">
        <f>IF(S100="","",IFERROR(MATCH(S100,'MTRs'!$A$6:$A$505,0),""))</f>
        <v/>
      </c>
      <c r="U100" s="96">
        <f>IF(T100="",0,IF(INDEX('MTRs'!$Z$6:$Z$505,T100)=1,1,0))</f>
        <v>0</v>
      </c>
      <c r="V100" s="96">
        <f>IF(C100="",0,IF(ISNUMBER(MATCH(C100,'CAD_RESÍDUOS'!$B$6:$B$205,0)),1,0))</f>
        <v>0</v>
      </c>
      <c r="W100" s="96">
        <f>IF(AND(ISNUMBER(G100),G100&gt;0),1,0)</f>
        <v>0</v>
      </c>
      <c r="X100" s="96" t="str">
        <f>IF(H100="","",IFERROR(IF(ISNUMBER(INDEX(cfg_fac,MATCH(H100,cfg_units,0))),IF(INDEX(cfg_fac,MATCH(H100,cfg_units,0))&gt;0,INDEX(cfg_fac,MATCH(H100,cfg_units,0)),""),""),""))</f>
        <v/>
      </c>
      <c r="Y100" s="96">
        <f>IF(AND(W100=1,ISNUMBER(I100)),1,0)</f>
        <v>0</v>
      </c>
      <c r="Z100" s="96">
        <f>IF(U100=1,INDEX('MTRs'!$AA$6:$AA$505,T100),0)</f>
        <v>0</v>
      </c>
      <c r="AA100" s="96">
        <f>IF(R100=0,0,COUNTIFS('RECEBIMENTOS'!$R$6:$R$1005,A100,'RECEBIMENTOS'!$Q$6:$Q$1005,1))</f>
        <v>0</v>
      </c>
      <c r="AB100" s="96">
        <f>IF(R100=0,0,COUNTIFS('RECEBIMENTOS'!$R$6:$R$1005,A100,'RECEBIMENTOS'!$Z$6:$Z$1005,1))</f>
        <v>0</v>
      </c>
      <c r="AC100" s="96">
        <f>IF(R100=0,0,COUNTIFS('RECEBIMENTOS'!$R$6:$R$1005,A100,'RECEBIMENTOS'!$Y$6:$Y$1005,1))</f>
        <v>0</v>
      </c>
      <c r="AD100" s="96">
        <f>IF(R100=0,0,COUNTIFS('VÍNCULOS_CDF'!$R$6:$R$1005,A100,'VÍNCULOS_CDF'!$N$6:$N$1005,1))</f>
        <v>0</v>
      </c>
      <c r="AE100" s="96">
        <f>IF(R100=0,0,COUNTIFS('VÍNCULOS_CDF'!$R$6:$R$1005,A100,'VÍNCULOS_CDF'!$AA$6:$AA$1005,1))</f>
        <v>0</v>
      </c>
      <c r="AF100" s="96">
        <f>IF(R100=0,0,COUNTIFS('VÍNCULOS_CDF'!$R$6:$R$1005,A100,'VÍNCULOS_CDF'!$Y$6:$Y$1005,1))</f>
        <v>0</v>
      </c>
      <c r="AG100" s="96" t="str">
        <f>IF(AND(R100=1,S100&lt;&gt;"",C100&lt;&gt;""),S100&amp;"|"&amp;C100&amp;"|"&amp;G100&amp;"|"&amp;H100,"")</f>
        <v/>
      </c>
      <c r="AH100" s="96">
        <f>IF(AG100="",0,IF(SUMPRODUCT(--($AG$6:$AG$1005=AG100))&gt;1,1,0))</f>
        <v>0</v>
      </c>
      <c r="AI100" s="96">
        <f>IF(R100=0,0,IF(OR(U100=0,V100=0,Y100=0,AND(AH100=1,K100&lt;&gt;"Sim")),1,0))</f>
        <v>0</v>
      </c>
      <c r="AJ100" s="96">
        <f>IF(AND(R100=1,AA100&gt;0,AB100=AA100),1,0)</f>
        <v>0</v>
      </c>
      <c r="AK100" s="96">
        <f>IF(R100=0,0,IF(AA100&gt;0,N(L100),IF(ISNUMBER(I100),I100,0)))</f>
        <v>0</v>
      </c>
      <c r="AL100" s="96">
        <f>IF(R100=0,0,IF(AND(K100&lt;&gt;"Sim",N(M100)&gt;AK100+cfg_tol),1,0))</f>
        <v>0</v>
      </c>
      <c r="AM100" s="96">
        <f>IF(R100=0,0,IF(K100="Sim",0,IF(OR(AND(AA100&gt;0,ISNUMBER(I100),ABS(I100-N(L100))&gt;cfg_tol),AL100=1),1,0)))</f>
        <v>0</v>
      </c>
      <c r="AN100" s="96">
        <f>IF(AND(R100=1,N(M100)&gt;0,OR(N(M100)&gt;=AK100-cfg_tol,K100="Sim")),1,0)</f>
        <v>0</v>
      </c>
      <c r="AO100" s="96">
        <f>IF(AND(AN100=1,AD100&gt;0,AE100=AD100,AL100=0),1,0)</f>
        <v>0</v>
      </c>
      <c r="AP100" s="96">
        <f>IF(U100=0,0,IF(AND(INDEX('MTRs'!$AX$6:$AX$505,T100)=1,Z100=0,OR(f_res="",f_res="(Todos)",C100=f_res)),1,0))</f>
        <v>0</v>
      </c>
      <c r="AQ100" s="97" t="str">
        <f>IF(U100=0,"",INDEX('MTRs'!$AZ$6:$AZ$505,T100))</f>
        <v/>
      </c>
      <c r="AR100" s="96">
        <f>IF(U100=0,0,IF(AND(INDEX('MTRs'!$BA$6:$BA$505,T100)=1,Z100=0),1,0))</f>
        <v>0</v>
      </c>
      <c r="AS100" s="96" t="str">
        <f>IF(R100=1,A100&amp;" | MTR "&amp;IF(U100=1,INDEX('MTRs'!$B$6:$B$505,T100)&amp;"","?")&amp;" | "&amp;IF(C100="","(sem resíduo)",C100),"")</f>
        <v/>
      </c>
      <c r="AT100" s="96" t="str">
        <f>IF(R100=1,COUNTIF($R$6:R100,1),"")</f>
        <v/>
      </c>
      <c r="AU100" s="96" t="str">
        <f>IF(U100=1,INDEX('MTRs'!$I$6:$I$505,T100)&amp;"","")</f>
        <v/>
      </c>
    </row>
    <row r="101">
      <c r="A101" s="89" t="inlineStr">
        <is>
          <t>IT-000096</t>
        </is>
      </c>
      <c r="B101" s="91" t="n"/>
      <c r="C101" s="91" t="n"/>
      <c r="D101" s="94" t="str">
        <f>IF(OR(R101=0,V101=0),"",INDEX('CAD_RESÍDUOS'!$E$6:$E$205,MATCH(C101,'CAD_RESÍDUOS'!$B$6:$B$205,0))&amp;"")</f>
        <v/>
      </c>
      <c r="E101" s="94" t="str">
        <f>IF(OR(R101=0,V101=0),"",INDEX('CAD_RESÍDUOS'!$C$6:$C$205,MATCH(C101,'CAD_RESÍDUOS'!$B$6:$B$205,0))&amp;"")</f>
        <v/>
      </c>
      <c r="F101" s="94" t="str">
        <f>IF(OR(R101=0,V101=0),"",INDEX('CAD_RESÍDUOS'!$G$6:$G$205,MATCH(C101,'CAD_RESÍDUOS'!$B$6:$B$205,0))&amp;"")</f>
        <v/>
      </c>
      <c r="G101" s="98" t="n"/>
      <c r="H101" s="91" t="n"/>
      <c r="I101" s="93" t="str">
        <f>IF(R101=0,"",IF(NOT(ISNUMBER(G101)),"",IF(ISNUMBER(X101),G101*X101,"UNIDADE A CONFERIR")))</f>
        <v/>
      </c>
      <c r="J101" s="91" t="n"/>
      <c r="K101" s="91" t="n"/>
      <c r="L101" s="93" t="str">
        <f>IF(R101=0,"",SUMIFS('RECEBIMENTOS'!$H$6:$H$1005,'RECEBIMENTOS'!$R$6:$R$1005,A101,'RECEBIMENTOS'!$X$6:$X$1005,1))</f>
        <v/>
      </c>
      <c r="M101" s="93" t="str">
        <f>IF(R101=0,"",SUMIFS('VÍNCULOS_CDF'!$H$6:$H$1005,'VÍNCULOS_CDF'!$R$6:$R$1005,A101,'VÍNCULOS_CDF'!$V$6:$V$1005,1))</f>
        <v/>
      </c>
      <c r="N101" s="99" t="str">
        <f>IF(OR(R101=0,AA101=0,NOT(ISNUMBER(I101))),"",I101-N(L101))</f>
        <v/>
      </c>
      <c r="O101" s="100" t="str">
        <f>IF(OR(R101=0,AK101&lt;=0),"",N(M101)/AK101)</f>
        <v/>
      </c>
      <c r="P101" s="94" t="str">
        <f>IF(R101=0,"",IF(S101="","Sem MTR associado",IF(U101=0,"MTR inexistente",IF(C101="","Resíduo não identificado",IF(V101=0,"Resíduo fora do cadastro",IF(W101=0,"Quantidade inválida",IF(H101="","Unidade não informada",IF(NOT(ISNUMBER(I101)),"Unidade a conferir",IF(AND(AH101=1,K101&lt;&gt;"Sim"),"Possível duplicidade",IF(Z101=1,"MTR cancelado",IF(AC101&gt;0,"Recebimento com alerta",IF(AA101=0,"Aguardando recebimento",IF(AB101&lt;AA101,"Recebimento a conferir",IF(AM101=1,"Quantidade a revisar",IF(AF101&gt;0,"Vínculo a revisar",IF(AD101=0,"Aguardando CDF",IF(AN101=0,"Vínculo de CDF parcial",IF(AE101&lt;AD101,"CDF a conferir","Documentação conferida"))))))))))))))))))</f>
        <v/>
      </c>
      <c r="Q101" s="93" t="str">
        <f>IF(OR(R101=0,AA101=0),"",MAX(0,N(L101)-N(M101)))</f>
        <v/>
      </c>
      <c r="R101" s="96">
        <f>IF(COUNTA(B101:C101,G101:H101,J101:K101)&gt;0,1,0)</f>
        <v>0</v>
      </c>
      <c r="S101" s="96" t="str">
        <f>IF(B101="","",TRIM(LEFT(B101,FIND(" |",B101&amp;" |")-1)))</f>
        <v/>
      </c>
      <c r="T101" s="96" t="str">
        <f>IF(S101="","",IFERROR(MATCH(S101,'MTRs'!$A$6:$A$505,0),""))</f>
        <v/>
      </c>
      <c r="U101" s="96">
        <f>IF(T101="",0,IF(INDEX('MTRs'!$Z$6:$Z$505,T101)=1,1,0))</f>
        <v>0</v>
      </c>
      <c r="V101" s="96">
        <f>IF(C101="",0,IF(ISNUMBER(MATCH(C101,'CAD_RESÍDUOS'!$B$6:$B$205,0)),1,0))</f>
        <v>0</v>
      </c>
      <c r="W101" s="96">
        <f>IF(AND(ISNUMBER(G101),G101&gt;0),1,0)</f>
        <v>0</v>
      </c>
      <c r="X101" s="96" t="str">
        <f>IF(H101="","",IFERROR(IF(ISNUMBER(INDEX(cfg_fac,MATCH(H101,cfg_units,0))),IF(INDEX(cfg_fac,MATCH(H101,cfg_units,0))&gt;0,INDEX(cfg_fac,MATCH(H101,cfg_units,0)),""),""),""))</f>
        <v/>
      </c>
      <c r="Y101" s="96">
        <f>IF(AND(W101=1,ISNUMBER(I101)),1,0)</f>
        <v>0</v>
      </c>
      <c r="Z101" s="96">
        <f>IF(U101=1,INDEX('MTRs'!$AA$6:$AA$505,T101),0)</f>
        <v>0</v>
      </c>
      <c r="AA101" s="96">
        <f>IF(R101=0,0,COUNTIFS('RECEBIMENTOS'!$R$6:$R$1005,A101,'RECEBIMENTOS'!$Q$6:$Q$1005,1))</f>
        <v>0</v>
      </c>
      <c r="AB101" s="96">
        <f>IF(R101=0,0,COUNTIFS('RECEBIMENTOS'!$R$6:$R$1005,A101,'RECEBIMENTOS'!$Z$6:$Z$1005,1))</f>
        <v>0</v>
      </c>
      <c r="AC101" s="96">
        <f>IF(R101=0,0,COUNTIFS('RECEBIMENTOS'!$R$6:$R$1005,A101,'RECEBIMENTOS'!$Y$6:$Y$1005,1))</f>
        <v>0</v>
      </c>
      <c r="AD101" s="96">
        <f>IF(R101=0,0,COUNTIFS('VÍNCULOS_CDF'!$R$6:$R$1005,A101,'VÍNCULOS_CDF'!$N$6:$N$1005,1))</f>
        <v>0</v>
      </c>
      <c r="AE101" s="96">
        <f>IF(R101=0,0,COUNTIFS('VÍNCULOS_CDF'!$R$6:$R$1005,A101,'VÍNCULOS_CDF'!$AA$6:$AA$1005,1))</f>
        <v>0</v>
      </c>
      <c r="AF101" s="96">
        <f>IF(R101=0,0,COUNTIFS('VÍNCULOS_CDF'!$R$6:$R$1005,A101,'VÍNCULOS_CDF'!$Y$6:$Y$1005,1))</f>
        <v>0</v>
      </c>
      <c r="AG101" s="96" t="str">
        <f>IF(AND(R101=1,S101&lt;&gt;"",C101&lt;&gt;""),S101&amp;"|"&amp;C101&amp;"|"&amp;G101&amp;"|"&amp;H101,"")</f>
        <v/>
      </c>
      <c r="AH101" s="96">
        <f>IF(AG101="",0,IF(SUMPRODUCT(--($AG$6:$AG$1005=AG101))&gt;1,1,0))</f>
        <v>0</v>
      </c>
      <c r="AI101" s="96">
        <f>IF(R101=0,0,IF(OR(U101=0,V101=0,Y101=0,AND(AH101=1,K101&lt;&gt;"Sim")),1,0))</f>
        <v>0</v>
      </c>
      <c r="AJ101" s="96">
        <f>IF(AND(R101=1,AA101&gt;0,AB101=AA101),1,0)</f>
        <v>0</v>
      </c>
      <c r="AK101" s="96">
        <f>IF(R101=0,0,IF(AA101&gt;0,N(L101),IF(ISNUMBER(I101),I101,0)))</f>
        <v>0</v>
      </c>
      <c r="AL101" s="96">
        <f>IF(R101=0,0,IF(AND(K101&lt;&gt;"Sim",N(M101)&gt;AK101+cfg_tol),1,0))</f>
        <v>0</v>
      </c>
      <c r="AM101" s="96">
        <f>IF(R101=0,0,IF(K101="Sim",0,IF(OR(AND(AA101&gt;0,ISNUMBER(I101),ABS(I101-N(L101))&gt;cfg_tol),AL101=1),1,0)))</f>
        <v>0</v>
      </c>
      <c r="AN101" s="96">
        <f>IF(AND(R101=1,N(M101)&gt;0,OR(N(M101)&gt;=AK101-cfg_tol,K101="Sim")),1,0)</f>
        <v>0</v>
      </c>
      <c r="AO101" s="96">
        <f>IF(AND(AN101=1,AD101&gt;0,AE101=AD101,AL101=0),1,0)</f>
        <v>0</v>
      </c>
      <c r="AP101" s="96">
        <f>IF(U101=0,0,IF(AND(INDEX('MTRs'!$AX$6:$AX$505,T101)=1,Z101=0,OR(f_res="",f_res="(Todos)",C101=f_res)),1,0))</f>
        <v>0</v>
      </c>
      <c r="AQ101" s="97" t="str">
        <f>IF(U101=0,"",INDEX('MTRs'!$AZ$6:$AZ$505,T101))</f>
        <v/>
      </c>
      <c r="AR101" s="96">
        <f>IF(U101=0,0,IF(AND(INDEX('MTRs'!$BA$6:$BA$505,T101)=1,Z101=0),1,0))</f>
        <v>0</v>
      </c>
      <c r="AS101" s="96" t="str">
        <f>IF(R101=1,A101&amp;" | MTR "&amp;IF(U101=1,INDEX('MTRs'!$B$6:$B$505,T101)&amp;"","?")&amp;" | "&amp;IF(C101="","(sem resíduo)",C101),"")</f>
        <v/>
      </c>
      <c r="AT101" s="96" t="str">
        <f>IF(R101=1,COUNTIF($R$6:R101,1),"")</f>
        <v/>
      </c>
      <c r="AU101" s="96" t="str">
        <f>IF(U101=1,INDEX('MTRs'!$I$6:$I$505,T101)&amp;"","")</f>
        <v/>
      </c>
    </row>
    <row r="102">
      <c r="A102" s="89" t="inlineStr">
        <is>
          <t>IT-000097</t>
        </is>
      </c>
      <c r="B102" s="91" t="n"/>
      <c r="C102" s="91" t="n"/>
      <c r="D102" s="94" t="str">
        <f>IF(OR(R102=0,V102=0),"",INDEX('CAD_RESÍDUOS'!$E$6:$E$205,MATCH(C102,'CAD_RESÍDUOS'!$B$6:$B$205,0))&amp;"")</f>
        <v/>
      </c>
      <c r="E102" s="94" t="str">
        <f>IF(OR(R102=0,V102=0),"",INDEX('CAD_RESÍDUOS'!$C$6:$C$205,MATCH(C102,'CAD_RESÍDUOS'!$B$6:$B$205,0))&amp;"")</f>
        <v/>
      </c>
      <c r="F102" s="94" t="str">
        <f>IF(OR(R102=0,V102=0),"",INDEX('CAD_RESÍDUOS'!$G$6:$G$205,MATCH(C102,'CAD_RESÍDUOS'!$B$6:$B$205,0))&amp;"")</f>
        <v/>
      </c>
      <c r="G102" s="98" t="n"/>
      <c r="H102" s="91" t="n"/>
      <c r="I102" s="93" t="str">
        <f>IF(R102=0,"",IF(NOT(ISNUMBER(G102)),"",IF(ISNUMBER(X102),G102*X102,"UNIDADE A CONFERIR")))</f>
        <v/>
      </c>
      <c r="J102" s="91" t="n"/>
      <c r="K102" s="91" t="n"/>
      <c r="L102" s="93" t="str">
        <f>IF(R102=0,"",SUMIFS('RECEBIMENTOS'!$H$6:$H$1005,'RECEBIMENTOS'!$R$6:$R$1005,A102,'RECEBIMENTOS'!$X$6:$X$1005,1))</f>
        <v/>
      </c>
      <c r="M102" s="93" t="str">
        <f>IF(R102=0,"",SUMIFS('VÍNCULOS_CDF'!$H$6:$H$1005,'VÍNCULOS_CDF'!$R$6:$R$1005,A102,'VÍNCULOS_CDF'!$V$6:$V$1005,1))</f>
        <v/>
      </c>
      <c r="N102" s="99" t="str">
        <f>IF(OR(R102=0,AA102=0,NOT(ISNUMBER(I102))),"",I102-N(L102))</f>
        <v/>
      </c>
      <c r="O102" s="100" t="str">
        <f>IF(OR(R102=0,AK102&lt;=0),"",N(M102)/AK102)</f>
        <v/>
      </c>
      <c r="P102" s="94" t="str">
        <f>IF(R102=0,"",IF(S102="","Sem MTR associado",IF(U102=0,"MTR inexistente",IF(C102="","Resíduo não identificado",IF(V102=0,"Resíduo fora do cadastro",IF(W102=0,"Quantidade inválida",IF(H102="","Unidade não informada",IF(NOT(ISNUMBER(I102)),"Unidade a conferir",IF(AND(AH102=1,K102&lt;&gt;"Sim"),"Possível duplicidade",IF(Z102=1,"MTR cancelado",IF(AC102&gt;0,"Recebimento com alerta",IF(AA102=0,"Aguardando recebimento",IF(AB102&lt;AA102,"Recebimento a conferir",IF(AM102=1,"Quantidade a revisar",IF(AF102&gt;0,"Vínculo a revisar",IF(AD102=0,"Aguardando CDF",IF(AN102=0,"Vínculo de CDF parcial",IF(AE102&lt;AD102,"CDF a conferir","Documentação conferida"))))))))))))))))))</f>
        <v/>
      </c>
      <c r="Q102" s="93" t="str">
        <f>IF(OR(R102=0,AA102=0),"",MAX(0,N(L102)-N(M102)))</f>
        <v/>
      </c>
      <c r="R102" s="96">
        <f>IF(COUNTA(B102:C102,G102:H102,J102:K102)&gt;0,1,0)</f>
        <v>0</v>
      </c>
      <c r="S102" s="96" t="str">
        <f>IF(B102="","",TRIM(LEFT(B102,FIND(" |",B102&amp;" |")-1)))</f>
        <v/>
      </c>
      <c r="T102" s="96" t="str">
        <f>IF(S102="","",IFERROR(MATCH(S102,'MTRs'!$A$6:$A$505,0),""))</f>
        <v/>
      </c>
      <c r="U102" s="96">
        <f>IF(T102="",0,IF(INDEX('MTRs'!$Z$6:$Z$505,T102)=1,1,0))</f>
        <v>0</v>
      </c>
      <c r="V102" s="96">
        <f>IF(C102="",0,IF(ISNUMBER(MATCH(C102,'CAD_RESÍDUOS'!$B$6:$B$205,0)),1,0))</f>
        <v>0</v>
      </c>
      <c r="W102" s="96">
        <f>IF(AND(ISNUMBER(G102),G102&gt;0),1,0)</f>
        <v>0</v>
      </c>
      <c r="X102" s="96" t="str">
        <f>IF(H102="","",IFERROR(IF(ISNUMBER(INDEX(cfg_fac,MATCH(H102,cfg_units,0))),IF(INDEX(cfg_fac,MATCH(H102,cfg_units,0))&gt;0,INDEX(cfg_fac,MATCH(H102,cfg_units,0)),""),""),""))</f>
        <v/>
      </c>
      <c r="Y102" s="96">
        <f>IF(AND(W102=1,ISNUMBER(I102)),1,0)</f>
        <v>0</v>
      </c>
      <c r="Z102" s="96">
        <f>IF(U102=1,INDEX('MTRs'!$AA$6:$AA$505,T102),0)</f>
        <v>0</v>
      </c>
      <c r="AA102" s="96">
        <f>IF(R102=0,0,COUNTIFS('RECEBIMENTOS'!$R$6:$R$1005,A102,'RECEBIMENTOS'!$Q$6:$Q$1005,1))</f>
        <v>0</v>
      </c>
      <c r="AB102" s="96">
        <f>IF(R102=0,0,COUNTIFS('RECEBIMENTOS'!$R$6:$R$1005,A102,'RECEBIMENTOS'!$Z$6:$Z$1005,1))</f>
        <v>0</v>
      </c>
      <c r="AC102" s="96">
        <f>IF(R102=0,0,COUNTIFS('RECEBIMENTOS'!$R$6:$R$1005,A102,'RECEBIMENTOS'!$Y$6:$Y$1005,1))</f>
        <v>0</v>
      </c>
      <c r="AD102" s="96">
        <f>IF(R102=0,0,COUNTIFS('VÍNCULOS_CDF'!$R$6:$R$1005,A102,'VÍNCULOS_CDF'!$N$6:$N$1005,1))</f>
        <v>0</v>
      </c>
      <c r="AE102" s="96">
        <f>IF(R102=0,0,COUNTIFS('VÍNCULOS_CDF'!$R$6:$R$1005,A102,'VÍNCULOS_CDF'!$AA$6:$AA$1005,1))</f>
        <v>0</v>
      </c>
      <c r="AF102" s="96">
        <f>IF(R102=0,0,COUNTIFS('VÍNCULOS_CDF'!$R$6:$R$1005,A102,'VÍNCULOS_CDF'!$Y$6:$Y$1005,1))</f>
        <v>0</v>
      </c>
      <c r="AG102" s="96" t="str">
        <f>IF(AND(R102=1,S102&lt;&gt;"",C102&lt;&gt;""),S102&amp;"|"&amp;C102&amp;"|"&amp;G102&amp;"|"&amp;H102,"")</f>
        <v/>
      </c>
      <c r="AH102" s="96">
        <f>IF(AG102="",0,IF(SUMPRODUCT(--($AG$6:$AG$1005=AG102))&gt;1,1,0))</f>
        <v>0</v>
      </c>
      <c r="AI102" s="96">
        <f>IF(R102=0,0,IF(OR(U102=0,V102=0,Y102=0,AND(AH102=1,K102&lt;&gt;"Sim")),1,0))</f>
        <v>0</v>
      </c>
      <c r="AJ102" s="96">
        <f>IF(AND(R102=1,AA102&gt;0,AB102=AA102),1,0)</f>
        <v>0</v>
      </c>
      <c r="AK102" s="96">
        <f>IF(R102=0,0,IF(AA102&gt;0,N(L102),IF(ISNUMBER(I102),I102,0)))</f>
        <v>0</v>
      </c>
      <c r="AL102" s="96">
        <f>IF(R102=0,0,IF(AND(K102&lt;&gt;"Sim",N(M102)&gt;AK102+cfg_tol),1,0))</f>
        <v>0</v>
      </c>
      <c r="AM102" s="96">
        <f>IF(R102=0,0,IF(K102="Sim",0,IF(OR(AND(AA102&gt;0,ISNUMBER(I102),ABS(I102-N(L102))&gt;cfg_tol),AL102=1),1,0)))</f>
        <v>0</v>
      </c>
      <c r="AN102" s="96">
        <f>IF(AND(R102=1,N(M102)&gt;0,OR(N(M102)&gt;=AK102-cfg_tol,K102="Sim")),1,0)</f>
        <v>0</v>
      </c>
      <c r="AO102" s="96">
        <f>IF(AND(AN102=1,AD102&gt;0,AE102=AD102,AL102=0),1,0)</f>
        <v>0</v>
      </c>
      <c r="AP102" s="96">
        <f>IF(U102=0,0,IF(AND(INDEX('MTRs'!$AX$6:$AX$505,T102)=1,Z102=0,OR(f_res="",f_res="(Todos)",C102=f_res)),1,0))</f>
        <v>0</v>
      </c>
      <c r="AQ102" s="97" t="str">
        <f>IF(U102=0,"",INDEX('MTRs'!$AZ$6:$AZ$505,T102))</f>
        <v/>
      </c>
      <c r="AR102" s="96">
        <f>IF(U102=0,0,IF(AND(INDEX('MTRs'!$BA$6:$BA$505,T102)=1,Z102=0),1,0))</f>
        <v>0</v>
      </c>
      <c r="AS102" s="96" t="str">
        <f>IF(R102=1,A102&amp;" | MTR "&amp;IF(U102=1,INDEX('MTRs'!$B$6:$B$505,T102)&amp;"","?")&amp;" | "&amp;IF(C102="","(sem resíduo)",C102),"")</f>
        <v/>
      </c>
      <c r="AT102" s="96" t="str">
        <f>IF(R102=1,COUNTIF($R$6:R102,1),"")</f>
        <v/>
      </c>
      <c r="AU102" s="96" t="str">
        <f>IF(U102=1,INDEX('MTRs'!$I$6:$I$505,T102)&amp;"","")</f>
        <v/>
      </c>
    </row>
    <row r="103">
      <c r="A103" s="89" t="inlineStr">
        <is>
          <t>IT-000098</t>
        </is>
      </c>
      <c r="B103" s="91" t="n"/>
      <c r="C103" s="91" t="n"/>
      <c r="D103" s="94" t="str">
        <f>IF(OR(R103=0,V103=0),"",INDEX('CAD_RESÍDUOS'!$E$6:$E$205,MATCH(C103,'CAD_RESÍDUOS'!$B$6:$B$205,0))&amp;"")</f>
        <v/>
      </c>
      <c r="E103" s="94" t="str">
        <f>IF(OR(R103=0,V103=0),"",INDEX('CAD_RESÍDUOS'!$C$6:$C$205,MATCH(C103,'CAD_RESÍDUOS'!$B$6:$B$205,0))&amp;"")</f>
        <v/>
      </c>
      <c r="F103" s="94" t="str">
        <f>IF(OR(R103=0,V103=0),"",INDEX('CAD_RESÍDUOS'!$G$6:$G$205,MATCH(C103,'CAD_RESÍDUOS'!$B$6:$B$205,0))&amp;"")</f>
        <v/>
      </c>
      <c r="G103" s="98" t="n"/>
      <c r="H103" s="91" t="n"/>
      <c r="I103" s="93" t="str">
        <f>IF(R103=0,"",IF(NOT(ISNUMBER(G103)),"",IF(ISNUMBER(X103),G103*X103,"UNIDADE A CONFERIR")))</f>
        <v/>
      </c>
      <c r="J103" s="91" t="n"/>
      <c r="K103" s="91" t="n"/>
      <c r="L103" s="93" t="str">
        <f>IF(R103=0,"",SUMIFS('RECEBIMENTOS'!$H$6:$H$1005,'RECEBIMENTOS'!$R$6:$R$1005,A103,'RECEBIMENTOS'!$X$6:$X$1005,1))</f>
        <v/>
      </c>
      <c r="M103" s="93" t="str">
        <f>IF(R103=0,"",SUMIFS('VÍNCULOS_CDF'!$H$6:$H$1005,'VÍNCULOS_CDF'!$R$6:$R$1005,A103,'VÍNCULOS_CDF'!$V$6:$V$1005,1))</f>
        <v/>
      </c>
      <c r="N103" s="99" t="str">
        <f>IF(OR(R103=0,AA103=0,NOT(ISNUMBER(I103))),"",I103-N(L103))</f>
        <v/>
      </c>
      <c r="O103" s="100" t="str">
        <f>IF(OR(R103=0,AK103&lt;=0),"",N(M103)/AK103)</f>
        <v/>
      </c>
      <c r="P103" s="94" t="str">
        <f>IF(R103=0,"",IF(S103="","Sem MTR associado",IF(U103=0,"MTR inexistente",IF(C103="","Resíduo não identificado",IF(V103=0,"Resíduo fora do cadastro",IF(W103=0,"Quantidade inválida",IF(H103="","Unidade não informada",IF(NOT(ISNUMBER(I103)),"Unidade a conferir",IF(AND(AH103=1,K103&lt;&gt;"Sim"),"Possível duplicidade",IF(Z103=1,"MTR cancelado",IF(AC103&gt;0,"Recebimento com alerta",IF(AA103=0,"Aguardando recebimento",IF(AB103&lt;AA103,"Recebimento a conferir",IF(AM103=1,"Quantidade a revisar",IF(AF103&gt;0,"Vínculo a revisar",IF(AD103=0,"Aguardando CDF",IF(AN103=0,"Vínculo de CDF parcial",IF(AE103&lt;AD103,"CDF a conferir","Documentação conferida"))))))))))))))))))</f>
        <v/>
      </c>
      <c r="Q103" s="93" t="str">
        <f>IF(OR(R103=0,AA103=0),"",MAX(0,N(L103)-N(M103)))</f>
        <v/>
      </c>
      <c r="R103" s="96">
        <f>IF(COUNTA(B103:C103,G103:H103,J103:K103)&gt;0,1,0)</f>
        <v>0</v>
      </c>
      <c r="S103" s="96" t="str">
        <f>IF(B103="","",TRIM(LEFT(B103,FIND(" |",B103&amp;" |")-1)))</f>
        <v/>
      </c>
      <c r="T103" s="96" t="str">
        <f>IF(S103="","",IFERROR(MATCH(S103,'MTRs'!$A$6:$A$505,0),""))</f>
        <v/>
      </c>
      <c r="U103" s="96">
        <f>IF(T103="",0,IF(INDEX('MTRs'!$Z$6:$Z$505,T103)=1,1,0))</f>
        <v>0</v>
      </c>
      <c r="V103" s="96">
        <f>IF(C103="",0,IF(ISNUMBER(MATCH(C103,'CAD_RESÍDUOS'!$B$6:$B$205,0)),1,0))</f>
        <v>0</v>
      </c>
      <c r="W103" s="96">
        <f>IF(AND(ISNUMBER(G103),G103&gt;0),1,0)</f>
        <v>0</v>
      </c>
      <c r="X103" s="96" t="str">
        <f>IF(H103="","",IFERROR(IF(ISNUMBER(INDEX(cfg_fac,MATCH(H103,cfg_units,0))),IF(INDEX(cfg_fac,MATCH(H103,cfg_units,0))&gt;0,INDEX(cfg_fac,MATCH(H103,cfg_units,0)),""),""),""))</f>
        <v/>
      </c>
      <c r="Y103" s="96">
        <f>IF(AND(W103=1,ISNUMBER(I103)),1,0)</f>
        <v>0</v>
      </c>
      <c r="Z103" s="96">
        <f>IF(U103=1,INDEX('MTRs'!$AA$6:$AA$505,T103),0)</f>
        <v>0</v>
      </c>
      <c r="AA103" s="96">
        <f>IF(R103=0,0,COUNTIFS('RECEBIMENTOS'!$R$6:$R$1005,A103,'RECEBIMENTOS'!$Q$6:$Q$1005,1))</f>
        <v>0</v>
      </c>
      <c r="AB103" s="96">
        <f>IF(R103=0,0,COUNTIFS('RECEBIMENTOS'!$R$6:$R$1005,A103,'RECEBIMENTOS'!$Z$6:$Z$1005,1))</f>
        <v>0</v>
      </c>
      <c r="AC103" s="96">
        <f>IF(R103=0,0,COUNTIFS('RECEBIMENTOS'!$R$6:$R$1005,A103,'RECEBIMENTOS'!$Y$6:$Y$1005,1))</f>
        <v>0</v>
      </c>
      <c r="AD103" s="96">
        <f>IF(R103=0,0,COUNTIFS('VÍNCULOS_CDF'!$R$6:$R$1005,A103,'VÍNCULOS_CDF'!$N$6:$N$1005,1))</f>
        <v>0</v>
      </c>
      <c r="AE103" s="96">
        <f>IF(R103=0,0,COUNTIFS('VÍNCULOS_CDF'!$R$6:$R$1005,A103,'VÍNCULOS_CDF'!$AA$6:$AA$1005,1))</f>
        <v>0</v>
      </c>
      <c r="AF103" s="96">
        <f>IF(R103=0,0,COUNTIFS('VÍNCULOS_CDF'!$R$6:$R$1005,A103,'VÍNCULOS_CDF'!$Y$6:$Y$1005,1))</f>
        <v>0</v>
      </c>
      <c r="AG103" s="96" t="str">
        <f>IF(AND(R103=1,S103&lt;&gt;"",C103&lt;&gt;""),S103&amp;"|"&amp;C103&amp;"|"&amp;G103&amp;"|"&amp;H103,"")</f>
        <v/>
      </c>
      <c r="AH103" s="96">
        <f>IF(AG103="",0,IF(SUMPRODUCT(--($AG$6:$AG$1005=AG103))&gt;1,1,0))</f>
        <v>0</v>
      </c>
      <c r="AI103" s="96">
        <f>IF(R103=0,0,IF(OR(U103=0,V103=0,Y103=0,AND(AH103=1,K103&lt;&gt;"Sim")),1,0))</f>
        <v>0</v>
      </c>
      <c r="AJ103" s="96">
        <f>IF(AND(R103=1,AA103&gt;0,AB103=AA103),1,0)</f>
        <v>0</v>
      </c>
      <c r="AK103" s="96">
        <f>IF(R103=0,0,IF(AA103&gt;0,N(L103),IF(ISNUMBER(I103),I103,0)))</f>
        <v>0</v>
      </c>
      <c r="AL103" s="96">
        <f>IF(R103=0,0,IF(AND(K103&lt;&gt;"Sim",N(M103)&gt;AK103+cfg_tol),1,0))</f>
        <v>0</v>
      </c>
      <c r="AM103" s="96">
        <f>IF(R103=0,0,IF(K103="Sim",0,IF(OR(AND(AA103&gt;0,ISNUMBER(I103),ABS(I103-N(L103))&gt;cfg_tol),AL103=1),1,0)))</f>
        <v>0</v>
      </c>
      <c r="AN103" s="96">
        <f>IF(AND(R103=1,N(M103)&gt;0,OR(N(M103)&gt;=AK103-cfg_tol,K103="Sim")),1,0)</f>
        <v>0</v>
      </c>
      <c r="AO103" s="96">
        <f>IF(AND(AN103=1,AD103&gt;0,AE103=AD103,AL103=0),1,0)</f>
        <v>0</v>
      </c>
      <c r="AP103" s="96">
        <f>IF(U103=0,0,IF(AND(INDEX('MTRs'!$AX$6:$AX$505,T103)=1,Z103=0,OR(f_res="",f_res="(Todos)",C103=f_res)),1,0))</f>
        <v>0</v>
      </c>
      <c r="AQ103" s="97" t="str">
        <f>IF(U103=0,"",INDEX('MTRs'!$AZ$6:$AZ$505,T103))</f>
        <v/>
      </c>
      <c r="AR103" s="96">
        <f>IF(U103=0,0,IF(AND(INDEX('MTRs'!$BA$6:$BA$505,T103)=1,Z103=0),1,0))</f>
        <v>0</v>
      </c>
      <c r="AS103" s="96" t="str">
        <f>IF(R103=1,A103&amp;" | MTR "&amp;IF(U103=1,INDEX('MTRs'!$B$6:$B$505,T103)&amp;"","?")&amp;" | "&amp;IF(C103="","(sem resíduo)",C103),"")</f>
        <v/>
      </c>
      <c r="AT103" s="96" t="str">
        <f>IF(R103=1,COUNTIF($R$6:R103,1),"")</f>
        <v/>
      </c>
      <c r="AU103" s="96" t="str">
        <f>IF(U103=1,INDEX('MTRs'!$I$6:$I$505,T103)&amp;"","")</f>
        <v/>
      </c>
    </row>
    <row r="104">
      <c r="A104" s="89" t="inlineStr">
        <is>
          <t>IT-000099</t>
        </is>
      </c>
      <c r="B104" s="91" t="n"/>
      <c r="C104" s="91" t="n"/>
      <c r="D104" s="94" t="str">
        <f>IF(OR(R104=0,V104=0),"",INDEX('CAD_RESÍDUOS'!$E$6:$E$205,MATCH(C104,'CAD_RESÍDUOS'!$B$6:$B$205,0))&amp;"")</f>
        <v/>
      </c>
      <c r="E104" s="94" t="str">
        <f>IF(OR(R104=0,V104=0),"",INDEX('CAD_RESÍDUOS'!$C$6:$C$205,MATCH(C104,'CAD_RESÍDUOS'!$B$6:$B$205,0))&amp;"")</f>
        <v/>
      </c>
      <c r="F104" s="94" t="str">
        <f>IF(OR(R104=0,V104=0),"",INDEX('CAD_RESÍDUOS'!$G$6:$G$205,MATCH(C104,'CAD_RESÍDUOS'!$B$6:$B$205,0))&amp;"")</f>
        <v/>
      </c>
      <c r="G104" s="98" t="n"/>
      <c r="H104" s="91" t="n"/>
      <c r="I104" s="93" t="str">
        <f>IF(R104=0,"",IF(NOT(ISNUMBER(G104)),"",IF(ISNUMBER(X104),G104*X104,"UNIDADE A CONFERIR")))</f>
        <v/>
      </c>
      <c r="J104" s="91" t="n"/>
      <c r="K104" s="91" t="n"/>
      <c r="L104" s="93" t="str">
        <f>IF(R104=0,"",SUMIFS('RECEBIMENTOS'!$H$6:$H$1005,'RECEBIMENTOS'!$R$6:$R$1005,A104,'RECEBIMENTOS'!$X$6:$X$1005,1))</f>
        <v/>
      </c>
      <c r="M104" s="93" t="str">
        <f>IF(R104=0,"",SUMIFS('VÍNCULOS_CDF'!$H$6:$H$1005,'VÍNCULOS_CDF'!$R$6:$R$1005,A104,'VÍNCULOS_CDF'!$V$6:$V$1005,1))</f>
        <v/>
      </c>
      <c r="N104" s="99" t="str">
        <f>IF(OR(R104=0,AA104=0,NOT(ISNUMBER(I104))),"",I104-N(L104))</f>
        <v/>
      </c>
      <c r="O104" s="100" t="str">
        <f>IF(OR(R104=0,AK104&lt;=0),"",N(M104)/AK104)</f>
        <v/>
      </c>
      <c r="P104" s="94" t="str">
        <f>IF(R104=0,"",IF(S104="","Sem MTR associado",IF(U104=0,"MTR inexistente",IF(C104="","Resíduo não identificado",IF(V104=0,"Resíduo fora do cadastro",IF(W104=0,"Quantidade inválida",IF(H104="","Unidade não informada",IF(NOT(ISNUMBER(I104)),"Unidade a conferir",IF(AND(AH104=1,K104&lt;&gt;"Sim"),"Possível duplicidade",IF(Z104=1,"MTR cancelado",IF(AC104&gt;0,"Recebimento com alerta",IF(AA104=0,"Aguardando recebimento",IF(AB104&lt;AA104,"Recebimento a conferir",IF(AM104=1,"Quantidade a revisar",IF(AF104&gt;0,"Vínculo a revisar",IF(AD104=0,"Aguardando CDF",IF(AN104=0,"Vínculo de CDF parcial",IF(AE104&lt;AD104,"CDF a conferir","Documentação conferida"))))))))))))))))))</f>
        <v/>
      </c>
      <c r="Q104" s="93" t="str">
        <f>IF(OR(R104=0,AA104=0),"",MAX(0,N(L104)-N(M104)))</f>
        <v/>
      </c>
      <c r="R104" s="96">
        <f>IF(COUNTA(B104:C104,G104:H104,J104:K104)&gt;0,1,0)</f>
        <v>0</v>
      </c>
      <c r="S104" s="96" t="str">
        <f>IF(B104="","",TRIM(LEFT(B104,FIND(" |",B104&amp;" |")-1)))</f>
        <v/>
      </c>
      <c r="T104" s="96" t="str">
        <f>IF(S104="","",IFERROR(MATCH(S104,'MTRs'!$A$6:$A$505,0),""))</f>
        <v/>
      </c>
      <c r="U104" s="96">
        <f>IF(T104="",0,IF(INDEX('MTRs'!$Z$6:$Z$505,T104)=1,1,0))</f>
        <v>0</v>
      </c>
      <c r="V104" s="96">
        <f>IF(C104="",0,IF(ISNUMBER(MATCH(C104,'CAD_RESÍDUOS'!$B$6:$B$205,0)),1,0))</f>
        <v>0</v>
      </c>
      <c r="W104" s="96">
        <f>IF(AND(ISNUMBER(G104),G104&gt;0),1,0)</f>
        <v>0</v>
      </c>
      <c r="X104" s="96" t="str">
        <f>IF(H104="","",IFERROR(IF(ISNUMBER(INDEX(cfg_fac,MATCH(H104,cfg_units,0))),IF(INDEX(cfg_fac,MATCH(H104,cfg_units,0))&gt;0,INDEX(cfg_fac,MATCH(H104,cfg_units,0)),""),""),""))</f>
        <v/>
      </c>
      <c r="Y104" s="96">
        <f>IF(AND(W104=1,ISNUMBER(I104)),1,0)</f>
        <v>0</v>
      </c>
      <c r="Z104" s="96">
        <f>IF(U104=1,INDEX('MTRs'!$AA$6:$AA$505,T104),0)</f>
        <v>0</v>
      </c>
      <c r="AA104" s="96">
        <f>IF(R104=0,0,COUNTIFS('RECEBIMENTOS'!$R$6:$R$1005,A104,'RECEBIMENTOS'!$Q$6:$Q$1005,1))</f>
        <v>0</v>
      </c>
      <c r="AB104" s="96">
        <f>IF(R104=0,0,COUNTIFS('RECEBIMENTOS'!$R$6:$R$1005,A104,'RECEBIMENTOS'!$Z$6:$Z$1005,1))</f>
        <v>0</v>
      </c>
      <c r="AC104" s="96">
        <f>IF(R104=0,0,COUNTIFS('RECEBIMENTOS'!$R$6:$R$1005,A104,'RECEBIMENTOS'!$Y$6:$Y$1005,1))</f>
        <v>0</v>
      </c>
      <c r="AD104" s="96">
        <f>IF(R104=0,0,COUNTIFS('VÍNCULOS_CDF'!$R$6:$R$1005,A104,'VÍNCULOS_CDF'!$N$6:$N$1005,1))</f>
        <v>0</v>
      </c>
      <c r="AE104" s="96">
        <f>IF(R104=0,0,COUNTIFS('VÍNCULOS_CDF'!$R$6:$R$1005,A104,'VÍNCULOS_CDF'!$AA$6:$AA$1005,1))</f>
        <v>0</v>
      </c>
      <c r="AF104" s="96">
        <f>IF(R104=0,0,COUNTIFS('VÍNCULOS_CDF'!$R$6:$R$1005,A104,'VÍNCULOS_CDF'!$Y$6:$Y$1005,1))</f>
        <v>0</v>
      </c>
      <c r="AG104" s="96" t="str">
        <f>IF(AND(R104=1,S104&lt;&gt;"",C104&lt;&gt;""),S104&amp;"|"&amp;C104&amp;"|"&amp;G104&amp;"|"&amp;H104,"")</f>
        <v/>
      </c>
      <c r="AH104" s="96">
        <f>IF(AG104="",0,IF(SUMPRODUCT(--($AG$6:$AG$1005=AG104))&gt;1,1,0))</f>
        <v>0</v>
      </c>
      <c r="AI104" s="96">
        <f>IF(R104=0,0,IF(OR(U104=0,V104=0,Y104=0,AND(AH104=1,K104&lt;&gt;"Sim")),1,0))</f>
        <v>0</v>
      </c>
      <c r="AJ104" s="96">
        <f>IF(AND(R104=1,AA104&gt;0,AB104=AA104),1,0)</f>
        <v>0</v>
      </c>
      <c r="AK104" s="96">
        <f>IF(R104=0,0,IF(AA104&gt;0,N(L104),IF(ISNUMBER(I104),I104,0)))</f>
        <v>0</v>
      </c>
      <c r="AL104" s="96">
        <f>IF(R104=0,0,IF(AND(K104&lt;&gt;"Sim",N(M104)&gt;AK104+cfg_tol),1,0))</f>
        <v>0</v>
      </c>
      <c r="AM104" s="96">
        <f>IF(R104=0,0,IF(K104="Sim",0,IF(OR(AND(AA104&gt;0,ISNUMBER(I104),ABS(I104-N(L104))&gt;cfg_tol),AL104=1),1,0)))</f>
        <v>0</v>
      </c>
      <c r="AN104" s="96">
        <f>IF(AND(R104=1,N(M104)&gt;0,OR(N(M104)&gt;=AK104-cfg_tol,K104="Sim")),1,0)</f>
        <v>0</v>
      </c>
      <c r="AO104" s="96">
        <f>IF(AND(AN104=1,AD104&gt;0,AE104=AD104,AL104=0),1,0)</f>
        <v>0</v>
      </c>
      <c r="AP104" s="96">
        <f>IF(U104=0,0,IF(AND(INDEX('MTRs'!$AX$6:$AX$505,T104)=1,Z104=0,OR(f_res="",f_res="(Todos)",C104=f_res)),1,0))</f>
        <v>0</v>
      </c>
      <c r="AQ104" s="97" t="str">
        <f>IF(U104=0,"",INDEX('MTRs'!$AZ$6:$AZ$505,T104))</f>
        <v/>
      </c>
      <c r="AR104" s="96">
        <f>IF(U104=0,0,IF(AND(INDEX('MTRs'!$BA$6:$BA$505,T104)=1,Z104=0),1,0))</f>
        <v>0</v>
      </c>
      <c r="AS104" s="96" t="str">
        <f>IF(R104=1,A104&amp;" | MTR "&amp;IF(U104=1,INDEX('MTRs'!$B$6:$B$505,T104)&amp;"","?")&amp;" | "&amp;IF(C104="","(sem resíduo)",C104),"")</f>
        <v/>
      </c>
      <c r="AT104" s="96" t="str">
        <f>IF(R104=1,COUNTIF($R$6:R104,1),"")</f>
        <v/>
      </c>
      <c r="AU104" s="96" t="str">
        <f>IF(U104=1,INDEX('MTRs'!$I$6:$I$505,T104)&amp;"","")</f>
        <v/>
      </c>
    </row>
    <row r="105">
      <c r="A105" s="89" t="inlineStr">
        <is>
          <t>IT-000100</t>
        </is>
      </c>
      <c r="B105" s="91" t="n"/>
      <c r="C105" s="91" t="n"/>
      <c r="D105" s="94" t="str">
        <f>IF(OR(R105=0,V105=0),"",INDEX('CAD_RESÍDUOS'!$E$6:$E$205,MATCH(C105,'CAD_RESÍDUOS'!$B$6:$B$205,0))&amp;"")</f>
        <v/>
      </c>
      <c r="E105" s="94" t="str">
        <f>IF(OR(R105=0,V105=0),"",INDEX('CAD_RESÍDUOS'!$C$6:$C$205,MATCH(C105,'CAD_RESÍDUOS'!$B$6:$B$205,0))&amp;"")</f>
        <v/>
      </c>
      <c r="F105" s="94" t="str">
        <f>IF(OR(R105=0,V105=0),"",INDEX('CAD_RESÍDUOS'!$G$6:$G$205,MATCH(C105,'CAD_RESÍDUOS'!$B$6:$B$205,0))&amp;"")</f>
        <v/>
      </c>
      <c r="G105" s="98" t="n"/>
      <c r="H105" s="91" t="n"/>
      <c r="I105" s="93" t="str">
        <f>IF(R105=0,"",IF(NOT(ISNUMBER(G105)),"",IF(ISNUMBER(X105),G105*X105,"UNIDADE A CONFERIR")))</f>
        <v/>
      </c>
      <c r="J105" s="91" t="n"/>
      <c r="K105" s="91" t="n"/>
      <c r="L105" s="93" t="str">
        <f>IF(R105=0,"",SUMIFS('RECEBIMENTOS'!$H$6:$H$1005,'RECEBIMENTOS'!$R$6:$R$1005,A105,'RECEBIMENTOS'!$X$6:$X$1005,1))</f>
        <v/>
      </c>
      <c r="M105" s="93" t="str">
        <f>IF(R105=0,"",SUMIFS('VÍNCULOS_CDF'!$H$6:$H$1005,'VÍNCULOS_CDF'!$R$6:$R$1005,A105,'VÍNCULOS_CDF'!$V$6:$V$1005,1))</f>
        <v/>
      </c>
      <c r="N105" s="99" t="str">
        <f>IF(OR(R105=0,AA105=0,NOT(ISNUMBER(I105))),"",I105-N(L105))</f>
        <v/>
      </c>
      <c r="O105" s="100" t="str">
        <f>IF(OR(R105=0,AK105&lt;=0),"",N(M105)/AK105)</f>
        <v/>
      </c>
      <c r="P105" s="94" t="str">
        <f>IF(R105=0,"",IF(S105="","Sem MTR associado",IF(U105=0,"MTR inexistente",IF(C105="","Resíduo não identificado",IF(V105=0,"Resíduo fora do cadastro",IF(W105=0,"Quantidade inválida",IF(H105="","Unidade não informada",IF(NOT(ISNUMBER(I105)),"Unidade a conferir",IF(AND(AH105=1,K105&lt;&gt;"Sim"),"Possível duplicidade",IF(Z105=1,"MTR cancelado",IF(AC105&gt;0,"Recebimento com alerta",IF(AA105=0,"Aguardando recebimento",IF(AB105&lt;AA105,"Recebimento a conferir",IF(AM105=1,"Quantidade a revisar",IF(AF105&gt;0,"Vínculo a revisar",IF(AD105=0,"Aguardando CDF",IF(AN105=0,"Vínculo de CDF parcial",IF(AE105&lt;AD105,"CDF a conferir","Documentação conferida"))))))))))))))))))</f>
        <v/>
      </c>
      <c r="Q105" s="93" t="str">
        <f>IF(OR(R105=0,AA105=0),"",MAX(0,N(L105)-N(M105)))</f>
        <v/>
      </c>
      <c r="R105" s="96">
        <f>IF(COUNTA(B105:C105,G105:H105,J105:K105)&gt;0,1,0)</f>
        <v>0</v>
      </c>
      <c r="S105" s="96" t="str">
        <f>IF(B105="","",TRIM(LEFT(B105,FIND(" |",B105&amp;" |")-1)))</f>
        <v/>
      </c>
      <c r="T105" s="96" t="str">
        <f>IF(S105="","",IFERROR(MATCH(S105,'MTRs'!$A$6:$A$505,0),""))</f>
        <v/>
      </c>
      <c r="U105" s="96">
        <f>IF(T105="",0,IF(INDEX('MTRs'!$Z$6:$Z$505,T105)=1,1,0))</f>
        <v>0</v>
      </c>
      <c r="V105" s="96">
        <f>IF(C105="",0,IF(ISNUMBER(MATCH(C105,'CAD_RESÍDUOS'!$B$6:$B$205,0)),1,0))</f>
        <v>0</v>
      </c>
      <c r="W105" s="96">
        <f>IF(AND(ISNUMBER(G105),G105&gt;0),1,0)</f>
        <v>0</v>
      </c>
      <c r="X105" s="96" t="str">
        <f>IF(H105="","",IFERROR(IF(ISNUMBER(INDEX(cfg_fac,MATCH(H105,cfg_units,0))),IF(INDEX(cfg_fac,MATCH(H105,cfg_units,0))&gt;0,INDEX(cfg_fac,MATCH(H105,cfg_units,0)),""),""),""))</f>
        <v/>
      </c>
      <c r="Y105" s="96">
        <f>IF(AND(W105=1,ISNUMBER(I105)),1,0)</f>
        <v>0</v>
      </c>
      <c r="Z105" s="96">
        <f>IF(U105=1,INDEX('MTRs'!$AA$6:$AA$505,T105),0)</f>
        <v>0</v>
      </c>
      <c r="AA105" s="96">
        <f>IF(R105=0,0,COUNTIFS('RECEBIMENTOS'!$R$6:$R$1005,A105,'RECEBIMENTOS'!$Q$6:$Q$1005,1))</f>
        <v>0</v>
      </c>
      <c r="AB105" s="96">
        <f>IF(R105=0,0,COUNTIFS('RECEBIMENTOS'!$R$6:$R$1005,A105,'RECEBIMENTOS'!$Z$6:$Z$1005,1))</f>
        <v>0</v>
      </c>
      <c r="AC105" s="96">
        <f>IF(R105=0,0,COUNTIFS('RECEBIMENTOS'!$R$6:$R$1005,A105,'RECEBIMENTOS'!$Y$6:$Y$1005,1))</f>
        <v>0</v>
      </c>
      <c r="AD105" s="96">
        <f>IF(R105=0,0,COUNTIFS('VÍNCULOS_CDF'!$R$6:$R$1005,A105,'VÍNCULOS_CDF'!$N$6:$N$1005,1))</f>
        <v>0</v>
      </c>
      <c r="AE105" s="96">
        <f>IF(R105=0,0,COUNTIFS('VÍNCULOS_CDF'!$R$6:$R$1005,A105,'VÍNCULOS_CDF'!$AA$6:$AA$1005,1))</f>
        <v>0</v>
      </c>
      <c r="AF105" s="96">
        <f>IF(R105=0,0,COUNTIFS('VÍNCULOS_CDF'!$R$6:$R$1005,A105,'VÍNCULOS_CDF'!$Y$6:$Y$1005,1))</f>
        <v>0</v>
      </c>
      <c r="AG105" s="96" t="str">
        <f>IF(AND(R105=1,S105&lt;&gt;"",C105&lt;&gt;""),S105&amp;"|"&amp;C105&amp;"|"&amp;G105&amp;"|"&amp;H105,"")</f>
        <v/>
      </c>
      <c r="AH105" s="96">
        <f>IF(AG105="",0,IF(SUMPRODUCT(--($AG$6:$AG$1005=AG105))&gt;1,1,0))</f>
        <v>0</v>
      </c>
      <c r="AI105" s="96">
        <f>IF(R105=0,0,IF(OR(U105=0,V105=0,Y105=0,AND(AH105=1,K105&lt;&gt;"Sim")),1,0))</f>
        <v>0</v>
      </c>
      <c r="AJ105" s="96">
        <f>IF(AND(R105=1,AA105&gt;0,AB105=AA105),1,0)</f>
        <v>0</v>
      </c>
      <c r="AK105" s="96">
        <f>IF(R105=0,0,IF(AA105&gt;0,N(L105),IF(ISNUMBER(I105),I105,0)))</f>
        <v>0</v>
      </c>
      <c r="AL105" s="96">
        <f>IF(R105=0,0,IF(AND(K105&lt;&gt;"Sim",N(M105)&gt;AK105+cfg_tol),1,0))</f>
        <v>0</v>
      </c>
      <c r="AM105" s="96">
        <f>IF(R105=0,0,IF(K105="Sim",0,IF(OR(AND(AA105&gt;0,ISNUMBER(I105),ABS(I105-N(L105))&gt;cfg_tol),AL105=1),1,0)))</f>
        <v>0</v>
      </c>
      <c r="AN105" s="96">
        <f>IF(AND(R105=1,N(M105)&gt;0,OR(N(M105)&gt;=AK105-cfg_tol,K105="Sim")),1,0)</f>
        <v>0</v>
      </c>
      <c r="AO105" s="96">
        <f>IF(AND(AN105=1,AD105&gt;0,AE105=AD105,AL105=0),1,0)</f>
        <v>0</v>
      </c>
      <c r="AP105" s="96">
        <f>IF(U105=0,0,IF(AND(INDEX('MTRs'!$AX$6:$AX$505,T105)=1,Z105=0,OR(f_res="",f_res="(Todos)",C105=f_res)),1,0))</f>
        <v>0</v>
      </c>
      <c r="AQ105" s="97" t="str">
        <f>IF(U105=0,"",INDEX('MTRs'!$AZ$6:$AZ$505,T105))</f>
        <v/>
      </c>
      <c r="AR105" s="96">
        <f>IF(U105=0,0,IF(AND(INDEX('MTRs'!$BA$6:$BA$505,T105)=1,Z105=0),1,0))</f>
        <v>0</v>
      </c>
      <c r="AS105" s="96" t="str">
        <f>IF(R105=1,A105&amp;" | MTR "&amp;IF(U105=1,INDEX('MTRs'!$B$6:$B$505,T105)&amp;"","?")&amp;" | "&amp;IF(C105="","(sem resíduo)",C105),"")</f>
        <v/>
      </c>
      <c r="AT105" s="96" t="str">
        <f>IF(R105=1,COUNTIF($R$6:R105,1),"")</f>
        <v/>
      </c>
      <c r="AU105" s="96" t="str">
        <f>IF(U105=1,INDEX('MTRs'!$I$6:$I$505,T105)&amp;"","")</f>
        <v/>
      </c>
    </row>
    <row r="106">
      <c r="A106" s="89" t="inlineStr">
        <is>
          <t>IT-000101</t>
        </is>
      </c>
      <c r="B106" s="91" t="n"/>
      <c r="C106" s="91" t="n"/>
      <c r="D106" s="94" t="str">
        <f>IF(OR(R106=0,V106=0),"",INDEX('CAD_RESÍDUOS'!$E$6:$E$205,MATCH(C106,'CAD_RESÍDUOS'!$B$6:$B$205,0))&amp;"")</f>
        <v/>
      </c>
      <c r="E106" s="94" t="str">
        <f>IF(OR(R106=0,V106=0),"",INDEX('CAD_RESÍDUOS'!$C$6:$C$205,MATCH(C106,'CAD_RESÍDUOS'!$B$6:$B$205,0))&amp;"")</f>
        <v/>
      </c>
      <c r="F106" s="94" t="str">
        <f>IF(OR(R106=0,V106=0),"",INDEX('CAD_RESÍDUOS'!$G$6:$G$205,MATCH(C106,'CAD_RESÍDUOS'!$B$6:$B$205,0))&amp;"")</f>
        <v/>
      </c>
      <c r="G106" s="98" t="n"/>
      <c r="H106" s="91" t="n"/>
      <c r="I106" s="93" t="str">
        <f>IF(R106=0,"",IF(NOT(ISNUMBER(G106)),"",IF(ISNUMBER(X106),G106*X106,"UNIDADE A CONFERIR")))</f>
        <v/>
      </c>
      <c r="J106" s="91" t="n"/>
      <c r="K106" s="91" t="n"/>
      <c r="L106" s="93" t="str">
        <f>IF(R106=0,"",SUMIFS('RECEBIMENTOS'!$H$6:$H$1005,'RECEBIMENTOS'!$R$6:$R$1005,A106,'RECEBIMENTOS'!$X$6:$X$1005,1))</f>
        <v/>
      </c>
      <c r="M106" s="93" t="str">
        <f>IF(R106=0,"",SUMIFS('VÍNCULOS_CDF'!$H$6:$H$1005,'VÍNCULOS_CDF'!$R$6:$R$1005,A106,'VÍNCULOS_CDF'!$V$6:$V$1005,1))</f>
        <v/>
      </c>
      <c r="N106" s="99" t="str">
        <f>IF(OR(R106=0,AA106=0,NOT(ISNUMBER(I106))),"",I106-N(L106))</f>
        <v/>
      </c>
      <c r="O106" s="100" t="str">
        <f>IF(OR(R106=0,AK106&lt;=0),"",N(M106)/AK106)</f>
        <v/>
      </c>
      <c r="P106" s="94" t="str">
        <f>IF(R106=0,"",IF(S106="","Sem MTR associado",IF(U106=0,"MTR inexistente",IF(C106="","Resíduo não identificado",IF(V106=0,"Resíduo fora do cadastro",IF(W106=0,"Quantidade inválida",IF(H106="","Unidade não informada",IF(NOT(ISNUMBER(I106)),"Unidade a conferir",IF(AND(AH106=1,K106&lt;&gt;"Sim"),"Possível duplicidade",IF(Z106=1,"MTR cancelado",IF(AC106&gt;0,"Recebimento com alerta",IF(AA106=0,"Aguardando recebimento",IF(AB106&lt;AA106,"Recebimento a conferir",IF(AM106=1,"Quantidade a revisar",IF(AF106&gt;0,"Vínculo a revisar",IF(AD106=0,"Aguardando CDF",IF(AN106=0,"Vínculo de CDF parcial",IF(AE106&lt;AD106,"CDF a conferir","Documentação conferida"))))))))))))))))))</f>
        <v/>
      </c>
      <c r="Q106" s="93" t="str">
        <f>IF(OR(R106=0,AA106=0),"",MAX(0,N(L106)-N(M106)))</f>
        <v/>
      </c>
      <c r="R106" s="96">
        <f>IF(COUNTA(B106:C106,G106:H106,J106:K106)&gt;0,1,0)</f>
        <v>0</v>
      </c>
      <c r="S106" s="96" t="str">
        <f>IF(B106="","",TRIM(LEFT(B106,FIND(" |",B106&amp;" |")-1)))</f>
        <v/>
      </c>
      <c r="T106" s="96" t="str">
        <f>IF(S106="","",IFERROR(MATCH(S106,'MTRs'!$A$6:$A$505,0),""))</f>
        <v/>
      </c>
      <c r="U106" s="96">
        <f>IF(T106="",0,IF(INDEX('MTRs'!$Z$6:$Z$505,T106)=1,1,0))</f>
        <v>0</v>
      </c>
      <c r="V106" s="96">
        <f>IF(C106="",0,IF(ISNUMBER(MATCH(C106,'CAD_RESÍDUOS'!$B$6:$B$205,0)),1,0))</f>
        <v>0</v>
      </c>
      <c r="W106" s="96">
        <f>IF(AND(ISNUMBER(G106),G106&gt;0),1,0)</f>
        <v>0</v>
      </c>
      <c r="X106" s="96" t="str">
        <f>IF(H106="","",IFERROR(IF(ISNUMBER(INDEX(cfg_fac,MATCH(H106,cfg_units,0))),IF(INDEX(cfg_fac,MATCH(H106,cfg_units,0))&gt;0,INDEX(cfg_fac,MATCH(H106,cfg_units,0)),""),""),""))</f>
        <v/>
      </c>
      <c r="Y106" s="96">
        <f>IF(AND(W106=1,ISNUMBER(I106)),1,0)</f>
        <v>0</v>
      </c>
      <c r="Z106" s="96">
        <f>IF(U106=1,INDEX('MTRs'!$AA$6:$AA$505,T106),0)</f>
        <v>0</v>
      </c>
      <c r="AA106" s="96">
        <f>IF(R106=0,0,COUNTIFS('RECEBIMENTOS'!$R$6:$R$1005,A106,'RECEBIMENTOS'!$Q$6:$Q$1005,1))</f>
        <v>0</v>
      </c>
      <c r="AB106" s="96">
        <f>IF(R106=0,0,COUNTIFS('RECEBIMENTOS'!$R$6:$R$1005,A106,'RECEBIMENTOS'!$Z$6:$Z$1005,1))</f>
        <v>0</v>
      </c>
      <c r="AC106" s="96">
        <f>IF(R106=0,0,COUNTIFS('RECEBIMENTOS'!$R$6:$R$1005,A106,'RECEBIMENTOS'!$Y$6:$Y$1005,1))</f>
        <v>0</v>
      </c>
      <c r="AD106" s="96">
        <f>IF(R106=0,0,COUNTIFS('VÍNCULOS_CDF'!$R$6:$R$1005,A106,'VÍNCULOS_CDF'!$N$6:$N$1005,1))</f>
        <v>0</v>
      </c>
      <c r="AE106" s="96">
        <f>IF(R106=0,0,COUNTIFS('VÍNCULOS_CDF'!$R$6:$R$1005,A106,'VÍNCULOS_CDF'!$AA$6:$AA$1005,1))</f>
        <v>0</v>
      </c>
      <c r="AF106" s="96">
        <f>IF(R106=0,0,COUNTIFS('VÍNCULOS_CDF'!$R$6:$R$1005,A106,'VÍNCULOS_CDF'!$Y$6:$Y$1005,1))</f>
        <v>0</v>
      </c>
      <c r="AG106" s="96" t="str">
        <f>IF(AND(R106=1,S106&lt;&gt;"",C106&lt;&gt;""),S106&amp;"|"&amp;C106&amp;"|"&amp;G106&amp;"|"&amp;H106,"")</f>
        <v/>
      </c>
      <c r="AH106" s="96">
        <f>IF(AG106="",0,IF(SUMPRODUCT(--($AG$6:$AG$1005=AG106))&gt;1,1,0))</f>
        <v>0</v>
      </c>
      <c r="AI106" s="96">
        <f>IF(R106=0,0,IF(OR(U106=0,V106=0,Y106=0,AND(AH106=1,K106&lt;&gt;"Sim")),1,0))</f>
        <v>0</v>
      </c>
      <c r="AJ106" s="96">
        <f>IF(AND(R106=1,AA106&gt;0,AB106=AA106),1,0)</f>
        <v>0</v>
      </c>
      <c r="AK106" s="96">
        <f>IF(R106=0,0,IF(AA106&gt;0,N(L106),IF(ISNUMBER(I106),I106,0)))</f>
        <v>0</v>
      </c>
      <c r="AL106" s="96">
        <f>IF(R106=0,0,IF(AND(K106&lt;&gt;"Sim",N(M106)&gt;AK106+cfg_tol),1,0))</f>
        <v>0</v>
      </c>
      <c r="AM106" s="96">
        <f>IF(R106=0,0,IF(K106="Sim",0,IF(OR(AND(AA106&gt;0,ISNUMBER(I106),ABS(I106-N(L106))&gt;cfg_tol),AL106=1),1,0)))</f>
        <v>0</v>
      </c>
      <c r="AN106" s="96">
        <f>IF(AND(R106=1,N(M106)&gt;0,OR(N(M106)&gt;=AK106-cfg_tol,K106="Sim")),1,0)</f>
        <v>0</v>
      </c>
      <c r="AO106" s="96">
        <f>IF(AND(AN106=1,AD106&gt;0,AE106=AD106,AL106=0),1,0)</f>
        <v>0</v>
      </c>
      <c r="AP106" s="96">
        <f>IF(U106=0,0,IF(AND(INDEX('MTRs'!$AX$6:$AX$505,T106)=1,Z106=0,OR(f_res="",f_res="(Todos)",C106=f_res)),1,0))</f>
        <v>0</v>
      </c>
      <c r="AQ106" s="97" t="str">
        <f>IF(U106=0,"",INDEX('MTRs'!$AZ$6:$AZ$505,T106))</f>
        <v/>
      </c>
      <c r="AR106" s="96">
        <f>IF(U106=0,0,IF(AND(INDEX('MTRs'!$BA$6:$BA$505,T106)=1,Z106=0),1,0))</f>
        <v>0</v>
      </c>
      <c r="AS106" s="96" t="str">
        <f>IF(R106=1,A106&amp;" | MTR "&amp;IF(U106=1,INDEX('MTRs'!$B$6:$B$505,T106)&amp;"","?")&amp;" | "&amp;IF(C106="","(sem resíduo)",C106),"")</f>
        <v/>
      </c>
      <c r="AT106" s="96" t="str">
        <f>IF(R106=1,COUNTIF($R$6:R106,1),"")</f>
        <v/>
      </c>
      <c r="AU106" s="96" t="str">
        <f>IF(U106=1,INDEX('MTRs'!$I$6:$I$505,T106)&amp;"","")</f>
        <v/>
      </c>
    </row>
    <row r="107">
      <c r="A107" s="89" t="inlineStr">
        <is>
          <t>IT-000102</t>
        </is>
      </c>
      <c r="B107" s="91" t="n"/>
      <c r="C107" s="91" t="n"/>
      <c r="D107" s="94" t="str">
        <f>IF(OR(R107=0,V107=0),"",INDEX('CAD_RESÍDUOS'!$E$6:$E$205,MATCH(C107,'CAD_RESÍDUOS'!$B$6:$B$205,0))&amp;"")</f>
        <v/>
      </c>
      <c r="E107" s="94" t="str">
        <f>IF(OR(R107=0,V107=0),"",INDEX('CAD_RESÍDUOS'!$C$6:$C$205,MATCH(C107,'CAD_RESÍDUOS'!$B$6:$B$205,0))&amp;"")</f>
        <v/>
      </c>
      <c r="F107" s="94" t="str">
        <f>IF(OR(R107=0,V107=0),"",INDEX('CAD_RESÍDUOS'!$G$6:$G$205,MATCH(C107,'CAD_RESÍDUOS'!$B$6:$B$205,0))&amp;"")</f>
        <v/>
      </c>
      <c r="G107" s="98" t="n"/>
      <c r="H107" s="91" t="n"/>
      <c r="I107" s="93" t="str">
        <f>IF(R107=0,"",IF(NOT(ISNUMBER(G107)),"",IF(ISNUMBER(X107),G107*X107,"UNIDADE A CONFERIR")))</f>
        <v/>
      </c>
      <c r="J107" s="91" t="n"/>
      <c r="K107" s="91" t="n"/>
      <c r="L107" s="93" t="str">
        <f>IF(R107=0,"",SUMIFS('RECEBIMENTOS'!$H$6:$H$1005,'RECEBIMENTOS'!$R$6:$R$1005,A107,'RECEBIMENTOS'!$X$6:$X$1005,1))</f>
        <v/>
      </c>
      <c r="M107" s="93" t="str">
        <f>IF(R107=0,"",SUMIFS('VÍNCULOS_CDF'!$H$6:$H$1005,'VÍNCULOS_CDF'!$R$6:$R$1005,A107,'VÍNCULOS_CDF'!$V$6:$V$1005,1))</f>
        <v/>
      </c>
      <c r="N107" s="99" t="str">
        <f>IF(OR(R107=0,AA107=0,NOT(ISNUMBER(I107))),"",I107-N(L107))</f>
        <v/>
      </c>
      <c r="O107" s="100" t="str">
        <f>IF(OR(R107=0,AK107&lt;=0),"",N(M107)/AK107)</f>
        <v/>
      </c>
      <c r="P107" s="94" t="str">
        <f>IF(R107=0,"",IF(S107="","Sem MTR associado",IF(U107=0,"MTR inexistente",IF(C107="","Resíduo não identificado",IF(V107=0,"Resíduo fora do cadastro",IF(W107=0,"Quantidade inválida",IF(H107="","Unidade não informada",IF(NOT(ISNUMBER(I107)),"Unidade a conferir",IF(AND(AH107=1,K107&lt;&gt;"Sim"),"Possível duplicidade",IF(Z107=1,"MTR cancelado",IF(AC107&gt;0,"Recebimento com alerta",IF(AA107=0,"Aguardando recebimento",IF(AB107&lt;AA107,"Recebimento a conferir",IF(AM107=1,"Quantidade a revisar",IF(AF107&gt;0,"Vínculo a revisar",IF(AD107=0,"Aguardando CDF",IF(AN107=0,"Vínculo de CDF parcial",IF(AE107&lt;AD107,"CDF a conferir","Documentação conferida"))))))))))))))))))</f>
        <v/>
      </c>
      <c r="Q107" s="93" t="str">
        <f>IF(OR(R107=0,AA107=0),"",MAX(0,N(L107)-N(M107)))</f>
        <v/>
      </c>
      <c r="R107" s="96">
        <f>IF(COUNTA(B107:C107,G107:H107,J107:K107)&gt;0,1,0)</f>
        <v>0</v>
      </c>
      <c r="S107" s="96" t="str">
        <f>IF(B107="","",TRIM(LEFT(B107,FIND(" |",B107&amp;" |")-1)))</f>
        <v/>
      </c>
      <c r="T107" s="96" t="str">
        <f>IF(S107="","",IFERROR(MATCH(S107,'MTRs'!$A$6:$A$505,0),""))</f>
        <v/>
      </c>
      <c r="U107" s="96">
        <f>IF(T107="",0,IF(INDEX('MTRs'!$Z$6:$Z$505,T107)=1,1,0))</f>
        <v>0</v>
      </c>
      <c r="V107" s="96">
        <f>IF(C107="",0,IF(ISNUMBER(MATCH(C107,'CAD_RESÍDUOS'!$B$6:$B$205,0)),1,0))</f>
        <v>0</v>
      </c>
      <c r="W107" s="96">
        <f>IF(AND(ISNUMBER(G107),G107&gt;0),1,0)</f>
        <v>0</v>
      </c>
      <c r="X107" s="96" t="str">
        <f>IF(H107="","",IFERROR(IF(ISNUMBER(INDEX(cfg_fac,MATCH(H107,cfg_units,0))),IF(INDEX(cfg_fac,MATCH(H107,cfg_units,0))&gt;0,INDEX(cfg_fac,MATCH(H107,cfg_units,0)),""),""),""))</f>
        <v/>
      </c>
      <c r="Y107" s="96">
        <f>IF(AND(W107=1,ISNUMBER(I107)),1,0)</f>
        <v>0</v>
      </c>
      <c r="Z107" s="96">
        <f>IF(U107=1,INDEX('MTRs'!$AA$6:$AA$505,T107),0)</f>
        <v>0</v>
      </c>
      <c r="AA107" s="96">
        <f>IF(R107=0,0,COUNTIFS('RECEBIMENTOS'!$R$6:$R$1005,A107,'RECEBIMENTOS'!$Q$6:$Q$1005,1))</f>
        <v>0</v>
      </c>
      <c r="AB107" s="96">
        <f>IF(R107=0,0,COUNTIFS('RECEBIMENTOS'!$R$6:$R$1005,A107,'RECEBIMENTOS'!$Z$6:$Z$1005,1))</f>
        <v>0</v>
      </c>
      <c r="AC107" s="96">
        <f>IF(R107=0,0,COUNTIFS('RECEBIMENTOS'!$R$6:$R$1005,A107,'RECEBIMENTOS'!$Y$6:$Y$1005,1))</f>
        <v>0</v>
      </c>
      <c r="AD107" s="96">
        <f>IF(R107=0,0,COUNTIFS('VÍNCULOS_CDF'!$R$6:$R$1005,A107,'VÍNCULOS_CDF'!$N$6:$N$1005,1))</f>
        <v>0</v>
      </c>
      <c r="AE107" s="96">
        <f>IF(R107=0,0,COUNTIFS('VÍNCULOS_CDF'!$R$6:$R$1005,A107,'VÍNCULOS_CDF'!$AA$6:$AA$1005,1))</f>
        <v>0</v>
      </c>
      <c r="AF107" s="96">
        <f>IF(R107=0,0,COUNTIFS('VÍNCULOS_CDF'!$R$6:$R$1005,A107,'VÍNCULOS_CDF'!$Y$6:$Y$1005,1))</f>
        <v>0</v>
      </c>
      <c r="AG107" s="96" t="str">
        <f>IF(AND(R107=1,S107&lt;&gt;"",C107&lt;&gt;""),S107&amp;"|"&amp;C107&amp;"|"&amp;G107&amp;"|"&amp;H107,"")</f>
        <v/>
      </c>
      <c r="AH107" s="96">
        <f>IF(AG107="",0,IF(SUMPRODUCT(--($AG$6:$AG$1005=AG107))&gt;1,1,0))</f>
        <v>0</v>
      </c>
      <c r="AI107" s="96">
        <f>IF(R107=0,0,IF(OR(U107=0,V107=0,Y107=0,AND(AH107=1,K107&lt;&gt;"Sim")),1,0))</f>
        <v>0</v>
      </c>
      <c r="AJ107" s="96">
        <f>IF(AND(R107=1,AA107&gt;0,AB107=AA107),1,0)</f>
        <v>0</v>
      </c>
      <c r="AK107" s="96">
        <f>IF(R107=0,0,IF(AA107&gt;0,N(L107),IF(ISNUMBER(I107),I107,0)))</f>
        <v>0</v>
      </c>
      <c r="AL107" s="96">
        <f>IF(R107=0,0,IF(AND(K107&lt;&gt;"Sim",N(M107)&gt;AK107+cfg_tol),1,0))</f>
        <v>0</v>
      </c>
      <c r="AM107" s="96">
        <f>IF(R107=0,0,IF(K107="Sim",0,IF(OR(AND(AA107&gt;0,ISNUMBER(I107),ABS(I107-N(L107))&gt;cfg_tol),AL107=1),1,0)))</f>
        <v>0</v>
      </c>
      <c r="AN107" s="96">
        <f>IF(AND(R107=1,N(M107)&gt;0,OR(N(M107)&gt;=AK107-cfg_tol,K107="Sim")),1,0)</f>
        <v>0</v>
      </c>
      <c r="AO107" s="96">
        <f>IF(AND(AN107=1,AD107&gt;0,AE107=AD107,AL107=0),1,0)</f>
        <v>0</v>
      </c>
      <c r="AP107" s="96">
        <f>IF(U107=0,0,IF(AND(INDEX('MTRs'!$AX$6:$AX$505,T107)=1,Z107=0,OR(f_res="",f_res="(Todos)",C107=f_res)),1,0))</f>
        <v>0</v>
      </c>
      <c r="AQ107" s="97" t="str">
        <f>IF(U107=0,"",INDEX('MTRs'!$AZ$6:$AZ$505,T107))</f>
        <v/>
      </c>
      <c r="AR107" s="96">
        <f>IF(U107=0,0,IF(AND(INDEX('MTRs'!$BA$6:$BA$505,T107)=1,Z107=0),1,0))</f>
        <v>0</v>
      </c>
      <c r="AS107" s="96" t="str">
        <f>IF(R107=1,A107&amp;" | MTR "&amp;IF(U107=1,INDEX('MTRs'!$B$6:$B$505,T107)&amp;"","?")&amp;" | "&amp;IF(C107="","(sem resíduo)",C107),"")</f>
        <v/>
      </c>
      <c r="AT107" s="96" t="str">
        <f>IF(R107=1,COUNTIF($R$6:R107,1),"")</f>
        <v/>
      </c>
      <c r="AU107" s="96" t="str">
        <f>IF(U107=1,INDEX('MTRs'!$I$6:$I$505,T107)&amp;"","")</f>
        <v/>
      </c>
    </row>
    <row r="108">
      <c r="A108" s="89" t="inlineStr">
        <is>
          <t>IT-000103</t>
        </is>
      </c>
      <c r="B108" s="91" t="n"/>
      <c r="C108" s="91" t="n"/>
      <c r="D108" s="94" t="str">
        <f>IF(OR(R108=0,V108=0),"",INDEX('CAD_RESÍDUOS'!$E$6:$E$205,MATCH(C108,'CAD_RESÍDUOS'!$B$6:$B$205,0))&amp;"")</f>
        <v/>
      </c>
      <c r="E108" s="94" t="str">
        <f>IF(OR(R108=0,V108=0),"",INDEX('CAD_RESÍDUOS'!$C$6:$C$205,MATCH(C108,'CAD_RESÍDUOS'!$B$6:$B$205,0))&amp;"")</f>
        <v/>
      </c>
      <c r="F108" s="94" t="str">
        <f>IF(OR(R108=0,V108=0),"",INDEX('CAD_RESÍDUOS'!$G$6:$G$205,MATCH(C108,'CAD_RESÍDUOS'!$B$6:$B$205,0))&amp;"")</f>
        <v/>
      </c>
      <c r="G108" s="98" t="n"/>
      <c r="H108" s="91" t="n"/>
      <c r="I108" s="93" t="str">
        <f>IF(R108=0,"",IF(NOT(ISNUMBER(G108)),"",IF(ISNUMBER(X108),G108*X108,"UNIDADE A CONFERIR")))</f>
        <v/>
      </c>
      <c r="J108" s="91" t="n"/>
      <c r="K108" s="91" t="n"/>
      <c r="L108" s="93" t="str">
        <f>IF(R108=0,"",SUMIFS('RECEBIMENTOS'!$H$6:$H$1005,'RECEBIMENTOS'!$R$6:$R$1005,A108,'RECEBIMENTOS'!$X$6:$X$1005,1))</f>
        <v/>
      </c>
      <c r="M108" s="93" t="str">
        <f>IF(R108=0,"",SUMIFS('VÍNCULOS_CDF'!$H$6:$H$1005,'VÍNCULOS_CDF'!$R$6:$R$1005,A108,'VÍNCULOS_CDF'!$V$6:$V$1005,1))</f>
        <v/>
      </c>
      <c r="N108" s="99" t="str">
        <f>IF(OR(R108=0,AA108=0,NOT(ISNUMBER(I108))),"",I108-N(L108))</f>
        <v/>
      </c>
      <c r="O108" s="100" t="str">
        <f>IF(OR(R108=0,AK108&lt;=0),"",N(M108)/AK108)</f>
        <v/>
      </c>
      <c r="P108" s="94" t="str">
        <f>IF(R108=0,"",IF(S108="","Sem MTR associado",IF(U108=0,"MTR inexistente",IF(C108="","Resíduo não identificado",IF(V108=0,"Resíduo fora do cadastro",IF(W108=0,"Quantidade inválida",IF(H108="","Unidade não informada",IF(NOT(ISNUMBER(I108)),"Unidade a conferir",IF(AND(AH108=1,K108&lt;&gt;"Sim"),"Possível duplicidade",IF(Z108=1,"MTR cancelado",IF(AC108&gt;0,"Recebimento com alerta",IF(AA108=0,"Aguardando recebimento",IF(AB108&lt;AA108,"Recebimento a conferir",IF(AM108=1,"Quantidade a revisar",IF(AF108&gt;0,"Vínculo a revisar",IF(AD108=0,"Aguardando CDF",IF(AN108=0,"Vínculo de CDF parcial",IF(AE108&lt;AD108,"CDF a conferir","Documentação conferida"))))))))))))))))))</f>
        <v/>
      </c>
      <c r="Q108" s="93" t="str">
        <f>IF(OR(R108=0,AA108=0),"",MAX(0,N(L108)-N(M108)))</f>
        <v/>
      </c>
      <c r="R108" s="96">
        <f>IF(COUNTA(B108:C108,G108:H108,J108:K108)&gt;0,1,0)</f>
        <v>0</v>
      </c>
      <c r="S108" s="96" t="str">
        <f>IF(B108="","",TRIM(LEFT(B108,FIND(" |",B108&amp;" |")-1)))</f>
        <v/>
      </c>
      <c r="T108" s="96" t="str">
        <f>IF(S108="","",IFERROR(MATCH(S108,'MTRs'!$A$6:$A$505,0),""))</f>
        <v/>
      </c>
      <c r="U108" s="96">
        <f>IF(T108="",0,IF(INDEX('MTRs'!$Z$6:$Z$505,T108)=1,1,0))</f>
        <v>0</v>
      </c>
      <c r="V108" s="96">
        <f>IF(C108="",0,IF(ISNUMBER(MATCH(C108,'CAD_RESÍDUOS'!$B$6:$B$205,0)),1,0))</f>
        <v>0</v>
      </c>
      <c r="W108" s="96">
        <f>IF(AND(ISNUMBER(G108),G108&gt;0),1,0)</f>
        <v>0</v>
      </c>
      <c r="X108" s="96" t="str">
        <f>IF(H108="","",IFERROR(IF(ISNUMBER(INDEX(cfg_fac,MATCH(H108,cfg_units,0))),IF(INDEX(cfg_fac,MATCH(H108,cfg_units,0))&gt;0,INDEX(cfg_fac,MATCH(H108,cfg_units,0)),""),""),""))</f>
        <v/>
      </c>
      <c r="Y108" s="96">
        <f>IF(AND(W108=1,ISNUMBER(I108)),1,0)</f>
        <v>0</v>
      </c>
      <c r="Z108" s="96">
        <f>IF(U108=1,INDEX('MTRs'!$AA$6:$AA$505,T108),0)</f>
        <v>0</v>
      </c>
      <c r="AA108" s="96">
        <f>IF(R108=0,0,COUNTIFS('RECEBIMENTOS'!$R$6:$R$1005,A108,'RECEBIMENTOS'!$Q$6:$Q$1005,1))</f>
        <v>0</v>
      </c>
      <c r="AB108" s="96">
        <f>IF(R108=0,0,COUNTIFS('RECEBIMENTOS'!$R$6:$R$1005,A108,'RECEBIMENTOS'!$Z$6:$Z$1005,1))</f>
        <v>0</v>
      </c>
      <c r="AC108" s="96">
        <f>IF(R108=0,0,COUNTIFS('RECEBIMENTOS'!$R$6:$R$1005,A108,'RECEBIMENTOS'!$Y$6:$Y$1005,1))</f>
        <v>0</v>
      </c>
      <c r="AD108" s="96">
        <f>IF(R108=0,0,COUNTIFS('VÍNCULOS_CDF'!$R$6:$R$1005,A108,'VÍNCULOS_CDF'!$N$6:$N$1005,1))</f>
        <v>0</v>
      </c>
      <c r="AE108" s="96">
        <f>IF(R108=0,0,COUNTIFS('VÍNCULOS_CDF'!$R$6:$R$1005,A108,'VÍNCULOS_CDF'!$AA$6:$AA$1005,1))</f>
        <v>0</v>
      </c>
      <c r="AF108" s="96">
        <f>IF(R108=0,0,COUNTIFS('VÍNCULOS_CDF'!$R$6:$R$1005,A108,'VÍNCULOS_CDF'!$Y$6:$Y$1005,1))</f>
        <v>0</v>
      </c>
      <c r="AG108" s="96" t="str">
        <f>IF(AND(R108=1,S108&lt;&gt;"",C108&lt;&gt;""),S108&amp;"|"&amp;C108&amp;"|"&amp;G108&amp;"|"&amp;H108,"")</f>
        <v/>
      </c>
      <c r="AH108" s="96">
        <f>IF(AG108="",0,IF(SUMPRODUCT(--($AG$6:$AG$1005=AG108))&gt;1,1,0))</f>
        <v>0</v>
      </c>
      <c r="AI108" s="96">
        <f>IF(R108=0,0,IF(OR(U108=0,V108=0,Y108=0,AND(AH108=1,K108&lt;&gt;"Sim")),1,0))</f>
        <v>0</v>
      </c>
      <c r="AJ108" s="96">
        <f>IF(AND(R108=1,AA108&gt;0,AB108=AA108),1,0)</f>
        <v>0</v>
      </c>
      <c r="AK108" s="96">
        <f>IF(R108=0,0,IF(AA108&gt;0,N(L108),IF(ISNUMBER(I108),I108,0)))</f>
        <v>0</v>
      </c>
      <c r="AL108" s="96">
        <f>IF(R108=0,0,IF(AND(K108&lt;&gt;"Sim",N(M108)&gt;AK108+cfg_tol),1,0))</f>
        <v>0</v>
      </c>
      <c r="AM108" s="96">
        <f>IF(R108=0,0,IF(K108="Sim",0,IF(OR(AND(AA108&gt;0,ISNUMBER(I108),ABS(I108-N(L108))&gt;cfg_tol),AL108=1),1,0)))</f>
        <v>0</v>
      </c>
      <c r="AN108" s="96">
        <f>IF(AND(R108=1,N(M108)&gt;0,OR(N(M108)&gt;=AK108-cfg_tol,K108="Sim")),1,0)</f>
        <v>0</v>
      </c>
      <c r="AO108" s="96">
        <f>IF(AND(AN108=1,AD108&gt;0,AE108=AD108,AL108=0),1,0)</f>
        <v>0</v>
      </c>
      <c r="AP108" s="96">
        <f>IF(U108=0,0,IF(AND(INDEX('MTRs'!$AX$6:$AX$505,T108)=1,Z108=0,OR(f_res="",f_res="(Todos)",C108=f_res)),1,0))</f>
        <v>0</v>
      </c>
      <c r="AQ108" s="97" t="str">
        <f>IF(U108=0,"",INDEX('MTRs'!$AZ$6:$AZ$505,T108))</f>
        <v/>
      </c>
      <c r="AR108" s="96">
        <f>IF(U108=0,0,IF(AND(INDEX('MTRs'!$BA$6:$BA$505,T108)=1,Z108=0),1,0))</f>
        <v>0</v>
      </c>
      <c r="AS108" s="96" t="str">
        <f>IF(R108=1,A108&amp;" | MTR "&amp;IF(U108=1,INDEX('MTRs'!$B$6:$B$505,T108)&amp;"","?")&amp;" | "&amp;IF(C108="","(sem resíduo)",C108),"")</f>
        <v/>
      </c>
      <c r="AT108" s="96" t="str">
        <f>IF(R108=1,COUNTIF($R$6:R108,1),"")</f>
        <v/>
      </c>
      <c r="AU108" s="96" t="str">
        <f>IF(U108=1,INDEX('MTRs'!$I$6:$I$505,T108)&amp;"","")</f>
        <v/>
      </c>
    </row>
    <row r="109">
      <c r="A109" s="89" t="inlineStr">
        <is>
          <t>IT-000104</t>
        </is>
      </c>
      <c r="B109" s="91" t="n"/>
      <c r="C109" s="91" t="n"/>
      <c r="D109" s="94" t="str">
        <f>IF(OR(R109=0,V109=0),"",INDEX('CAD_RESÍDUOS'!$E$6:$E$205,MATCH(C109,'CAD_RESÍDUOS'!$B$6:$B$205,0))&amp;"")</f>
        <v/>
      </c>
      <c r="E109" s="94" t="str">
        <f>IF(OR(R109=0,V109=0),"",INDEX('CAD_RESÍDUOS'!$C$6:$C$205,MATCH(C109,'CAD_RESÍDUOS'!$B$6:$B$205,0))&amp;"")</f>
        <v/>
      </c>
      <c r="F109" s="94" t="str">
        <f>IF(OR(R109=0,V109=0),"",INDEX('CAD_RESÍDUOS'!$G$6:$G$205,MATCH(C109,'CAD_RESÍDUOS'!$B$6:$B$205,0))&amp;"")</f>
        <v/>
      </c>
      <c r="G109" s="98" t="n"/>
      <c r="H109" s="91" t="n"/>
      <c r="I109" s="93" t="str">
        <f>IF(R109=0,"",IF(NOT(ISNUMBER(G109)),"",IF(ISNUMBER(X109),G109*X109,"UNIDADE A CONFERIR")))</f>
        <v/>
      </c>
      <c r="J109" s="91" t="n"/>
      <c r="K109" s="91" t="n"/>
      <c r="L109" s="93" t="str">
        <f>IF(R109=0,"",SUMIFS('RECEBIMENTOS'!$H$6:$H$1005,'RECEBIMENTOS'!$R$6:$R$1005,A109,'RECEBIMENTOS'!$X$6:$X$1005,1))</f>
        <v/>
      </c>
      <c r="M109" s="93" t="str">
        <f>IF(R109=0,"",SUMIFS('VÍNCULOS_CDF'!$H$6:$H$1005,'VÍNCULOS_CDF'!$R$6:$R$1005,A109,'VÍNCULOS_CDF'!$V$6:$V$1005,1))</f>
        <v/>
      </c>
      <c r="N109" s="99" t="str">
        <f>IF(OR(R109=0,AA109=0,NOT(ISNUMBER(I109))),"",I109-N(L109))</f>
        <v/>
      </c>
      <c r="O109" s="100" t="str">
        <f>IF(OR(R109=0,AK109&lt;=0),"",N(M109)/AK109)</f>
        <v/>
      </c>
      <c r="P109" s="94" t="str">
        <f>IF(R109=0,"",IF(S109="","Sem MTR associado",IF(U109=0,"MTR inexistente",IF(C109="","Resíduo não identificado",IF(V109=0,"Resíduo fora do cadastro",IF(W109=0,"Quantidade inválida",IF(H109="","Unidade não informada",IF(NOT(ISNUMBER(I109)),"Unidade a conferir",IF(AND(AH109=1,K109&lt;&gt;"Sim"),"Possível duplicidade",IF(Z109=1,"MTR cancelado",IF(AC109&gt;0,"Recebimento com alerta",IF(AA109=0,"Aguardando recebimento",IF(AB109&lt;AA109,"Recebimento a conferir",IF(AM109=1,"Quantidade a revisar",IF(AF109&gt;0,"Vínculo a revisar",IF(AD109=0,"Aguardando CDF",IF(AN109=0,"Vínculo de CDF parcial",IF(AE109&lt;AD109,"CDF a conferir","Documentação conferida"))))))))))))))))))</f>
        <v/>
      </c>
      <c r="Q109" s="93" t="str">
        <f>IF(OR(R109=0,AA109=0),"",MAX(0,N(L109)-N(M109)))</f>
        <v/>
      </c>
      <c r="R109" s="96">
        <f>IF(COUNTA(B109:C109,G109:H109,J109:K109)&gt;0,1,0)</f>
        <v>0</v>
      </c>
      <c r="S109" s="96" t="str">
        <f>IF(B109="","",TRIM(LEFT(B109,FIND(" |",B109&amp;" |")-1)))</f>
        <v/>
      </c>
      <c r="T109" s="96" t="str">
        <f>IF(S109="","",IFERROR(MATCH(S109,'MTRs'!$A$6:$A$505,0),""))</f>
        <v/>
      </c>
      <c r="U109" s="96">
        <f>IF(T109="",0,IF(INDEX('MTRs'!$Z$6:$Z$505,T109)=1,1,0))</f>
        <v>0</v>
      </c>
      <c r="V109" s="96">
        <f>IF(C109="",0,IF(ISNUMBER(MATCH(C109,'CAD_RESÍDUOS'!$B$6:$B$205,0)),1,0))</f>
        <v>0</v>
      </c>
      <c r="W109" s="96">
        <f>IF(AND(ISNUMBER(G109),G109&gt;0),1,0)</f>
        <v>0</v>
      </c>
      <c r="X109" s="96" t="str">
        <f>IF(H109="","",IFERROR(IF(ISNUMBER(INDEX(cfg_fac,MATCH(H109,cfg_units,0))),IF(INDEX(cfg_fac,MATCH(H109,cfg_units,0))&gt;0,INDEX(cfg_fac,MATCH(H109,cfg_units,0)),""),""),""))</f>
        <v/>
      </c>
      <c r="Y109" s="96">
        <f>IF(AND(W109=1,ISNUMBER(I109)),1,0)</f>
        <v>0</v>
      </c>
      <c r="Z109" s="96">
        <f>IF(U109=1,INDEX('MTRs'!$AA$6:$AA$505,T109),0)</f>
        <v>0</v>
      </c>
      <c r="AA109" s="96">
        <f>IF(R109=0,0,COUNTIFS('RECEBIMENTOS'!$R$6:$R$1005,A109,'RECEBIMENTOS'!$Q$6:$Q$1005,1))</f>
        <v>0</v>
      </c>
      <c r="AB109" s="96">
        <f>IF(R109=0,0,COUNTIFS('RECEBIMENTOS'!$R$6:$R$1005,A109,'RECEBIMENTOS'!$Z$6:$Z$1005,1))</f>
        <v>0</v>
      </c>
      <c r="AC109" s="96">
        <f>IF(R109=0,0,COUNTIFS('RECEBIMENTOS'!$R$6:$R$1005,A109,'RECEBIMENTOS'!$Y$6:$Y$1005,1))</f>
        <v>0</v>
      </c>
      <c r="AD109" s="96">
        <f>IF(R109=0,0,COUNTIFS('VÍNCULOS_CDF'!$R$6:$R$1005,A109,'VÍNCULOS_CDF'!$N$6:$N$1005,1))</f>
        <v>0</v>
      </c>
      <c r="AE109" s="96">
        <f>IF(R109=0,0,COUNTIFS('VÍNCULOS_CDF'!$R$6:$R$1005,A109,'VÍNCULOS_CDF'!$AA$6:$AA$1005,1))</f>
        <v>0</v>
      </c>
      <c r="AF109" s="96">
        <f>IF(R109=0,0,COUNTIFS('VÍNCULOS_CDF'!$R$6:$R$1005,A109,'VÍNCULOS_CDF'!$Y$6:$Y$1005,1))</f>
        <v>0</v>
      </c>
      <c r="AG109" s="96" t="str">
        <f>IF(AND(R109=1,S109&lt;&gt;"",C109&lt;&gt;""),S109&amp;"|"&amp;C109&amp;"|"&amp;G109&amp;"|"&amp;H109,"")</f>
        <v/>
      </c>
      <c r="AH109" s="96">
        <f>IF(AG109="",0,IF(SUMPRODUCT(--($AG$6:$AG$1005=AG109))&gt;1,1,0))</f>
        <v>0</v>
      </c>
      <c r="AI109" s="96">
        <f>IF(R109=0,0,IF(OR(U109=0,V109=0,Y109=0,AND(AH109=1,K109&lt;&gt;"Sim")),1,0))</f>
        <v>0</v>
      </c>
      <c r="AJ109" s="96">
        <f>IF(AND(R109=1,AA109&gt;0,AB109=AA109),1,0)</f>
        <v>0</v>
      </c>
      <c r="AK109" s="96">
        <f>IF(R109=0,0,IF(AA109&gt;0,N(L109),IF(ISNUMBER(I109),I109,0)))</f>
        <v>0</v>
      </c>
      <c r="AL109" s="96">
        <f>IF(R109=0,0,IF(AND(K109&lt;&gt;"Sim",N(M109)&gt;AK109+cfg_tol),1,0))</f>
        <v>0</v>
      </c>
      <c r="AM109" s="96">
        <f>IF(R109=0,0,IF(K109="Sim",0,IF(OR(AND(AA109&gt;0,ISNUMBER(I109),ABS(I109-N(L109))&gt;cfg_tol),AL109=1),1,0)))</f>
        <v>0</v>
      </c>
      <c r="AN109" s="96">
        <f>IF(AND(R109=1,N(M109)&gt;0,OR(N(M109)&gt;=AK109-cfg_tol,K109="Sim")),1,0)</f>
        <v>0</v>
      </c>
      <c r="AO109" s="96">
        <f>IF(AND(AN109=1,AD109&gt;0,AE109=AD109,AL109=0),1,0)</f>
        <v>0</v>
      </c>
      <c r="AP109" s="96">
        <f>IF(U109=0,0,IF(AND(INDEX('MTRs'!$AX$6:$AX$505,T109)=1,Z109=0,OR(f_res="",f_res="(Todos)",C109=f_res)),1,0))</f>
        <v>0</v>
      </c>
      <c r="AQ109" s="97" t="str">
        <f>IF(U109=0,"",INDEX('MTRs'!$AZ$6:$AZ$505,T109))</f>
        <v/>
      </c>
      <c r="AR109" s="96">
        <f>IF(U109=0,0,IF(AND(INDEX('MTRs'!$BA$6:$BA$505,T109)=1,Z109=0),1,0))</f>
        <v>0</v>
      </c>
      <c r="AS109" s="96" t="str">
        <f>IF(R109=1,A109&amp;" | MTR "&amp;IF(U109=1,INDEX('MTRs'!$B$6:$B$505,T109)&amp;"","?")&amp;" | "&amp;IF(C109="","(sem resíduo)",C109),"")</f>
        <v/>
      </c>
      <c r="AT109" s="96" t="str">
        <f>IF(R109=1,COUNTIF($R$6:R109,1),"")</f>
        <v/>
      </c>
      <c r="AU109" s="96" t="str">
        <f>IF(U109=1,INDEX('MTRs'!$I$6:$I$505,T109)&amp;"","")</f>
        <v/>
      </c>
    </row>
    <row r="110">
      <c r="A110" s="89" t="inlineStr">
        <is>
          <t>IT-000105</t>
        </is>
      </c>
      <c r="B110" s="91" t="n"/>
      <c r="C110" s="91" t="n"/>
      <c r="D110" s="94" t="str">
        <f>IF(OR(R110=0,V110=0),"",INDEX('CAD_RESÍDUOS'!$E$6:$E$205,MATCH(C110,'CAD_RESÍDUOS'!$B$6:$B$205,0))&amp;"")</f>
        <v/>
      </c>
      <c r="E110" s="94" t="str">
        <f>IF(OR(R110=0,V110=0),"",INDEX('CAD_RESÍDUOS'!$C$6:$C$205,MATCH(C110,'CAD_RESÍDUOS'!$B$6:$B$205,0))&amp;"")</f>
        <v/>
      </c>
      <c r="F110" s="94" t="str">
        <f>IF(OR(R110=0,V110=0),"",INDEX('CAD_RESÍDUOS'!$G$6:$G$205,MATCH(C110,'CAD_RESÍDUOS'!$B$6:$B$205,0))&amp;"")</f>
        <v/>
      </c>
      <c r="G110" s="98" t="n"/>
      <c r="H110" s="91" t="n"/>
      <c r="I110" s="93" t="str">
        <f>IF(R110=0,"",IF(NOT(ISNUMBER(G110)),"",IF(ISNUMBER(X110),G110*X110,"UNIDADE A CONFERIR")))</f>
        <v/>
      </c>
      <c r="J110" s="91" t="n"/>
      <c r="K110" s="91" t="n"/>
      <c r="L110" s="93" t="str">
        <f>IF(R110=0,"",SUMIFS('RECEBIMENTOS'!$H$6:$H$1005,'RECEBIMENTOS'!$R$6:$R$1005,A110,'RECEBIMENTOS'!$X$6:$X$1005,1))</f>
        <v/>
      </c>
      <c r="M110" s="93" t="str">
        <f>IF(R110=0,"",SUMIFS('VÍNCULOS_CDF'!$H$6:$H$1005,'VÍNCULOS_CDF'!$R$6:$R$1005,A110,'VÍNCULOS_CDF'!$V$6:$V$1005,1))</f>
        <v/>
      </c>
      <c r="N110" s="99" t="str">
        <f>IF(OR(R110=0,AA110=0,NOT(ISNUMBER(I110))),"",I110-N(L110))</f>
        <v/>
      </c>
      <c r="O110" s="100" t="str">
        <f>IF(OR(R110=0,AK110&lt;=0),"",N(M110)/AK110)</f>
        <v/>
      </c>
      <c r="P110" s="94" t="str">
        <f>IF(R110=0,"",IF(S110="","Sem MTR associado",IF(U110=0,"MTR inexistente",IF(C110="","Resíduo não identificado",IF(V110=0,"Resíduo fora do cadastro",IF(W110=0,"Quantidade inválida",IF(H110="","Unidade não informada",IF(NOT(ISNUMBER(I110)),"Unidade a conferir",IF(AND(AH110=1,K110&lt;&gt;"Sim"),"Possível duplicidade",IF(Z110=1,"MTR cancelado",IF(AC110&gt;0,"Recebimento com alerta",IF(AA110=0,"Aguardando recebimento",IF(AB110&lt;AA110,"Recebimento a conferir",IF(AM110=1,"Quantidade a revisar",IF(AF110&gt;0,"Vínculo a revisar",IF(AD110=0,"Aguardando CDF",IF(AN110=0,"Vínculo de CDF parcial",IF(AE110&lt;AD110,"CDF a conferir","Documentação conferida"))))))))))))))))))</f>
        <v/>
      </c>
      <c r="Q110" s="93" t="str">
        <f>IF(OR(R110=0,AA110=0),"",MAX(0,N(L110)-N(M110)))</f>
        <v/>
      </c>
      <c r="R110" s="96">
        <f>IF(COUNTA(B110:C110,G110:H110,J110:K110)&gt;0,1,0)</f>
        <v>0</v>
      </c>
      <c r="S110" s="96" t="str">
        <f>IF(B110="","",TRIM(LEFT(B110,FIND(" |",B110&amp;" |")-1)))</f>
        <v/>
      </c>
      <c r="T110" s="96" t="str">
        <f>IF(S110="","",IFERROR(MATCH(S110,'MTRs'!$A$6:$A$505,0),""))</f>
        <v/>
      </c>
      <c r="U110" s="96">
        <f>IF(T110="",0,IF(INDEX('MTRs'!$Z$6:$Z$505,T110)=1,1,0))</f>
        <v>0</v>
      </c>
      <c r="V110" s="96">
        <f>IF(C110="",0,IF(ISNUMBER(MATCH(C110,'CAD_RESÍDUOS'!$B$6:$B$205,0)),1,0))</f>
        <v>0</v>
      </c>
      <c r="W110" s="96">
        <f>IF(AND(ISNUMBER(G110),G110&gt;0),1,0)</f>
        <v>0</v>
      </c>
      <c r="X110" s="96" t="str">
        <f>IF(H110="","",IFERROR(IF(ISNUMBER(INDEX(cfg_fac,MATCH(H110,cfg_units,0))),IF(INDEX(cfg_fac,MATCH(H110,cfg_units,0))&gt;0,INDEX(cfg_fac,MATCH(H110,cfg_units,0)),""),""),""))</f>
        <v/>
      </c>
      <c r="Y110" s="96">
        <f>IF(AND(W110=1,ISNUMBER(I110)),1,0)</f>
        <v>0</v>
      </c>
      <c r="Z110" s="96">
        <f>IF(U110=1,INDEX('MTRs'!$AA$6:$AA$505,T110),0)</f>
        <v>0</v>
      </c>
      <c r="AA110" s="96">
        <f>IF(R110=0,0,COUNTIFS('RECEBIMENTOS'!$R$6:$R$1005,A110,'RECEBIMENTOS'!$Q$6:$Q$1005,1))</f>
        <v>0</v>
      </c>
      <c r="AB110" s="96">
        <f>IF(R110=0,0,COUNTIFS('RECEBIMENTOS'!$R$6:$R$1005,A110,'RECEBIMENTOS'!$Z$6:$Z$1005,1))</f>
        <v>0</v>
      </c>
      <c r="AC110" s="96">
        <f>IF(R110=0,0,COUNTIFS('RECEBIMENTOS'!$R$6:$R$1005,A110,'RECEBIMENTOS'!$Y$6:$Y$1005,1))</f>
        <v>0</v>
      </c>
      <c r="AD110" s="96">
        <f>IF(R110=0,0,COUNTIFS('VÍNCULOS_CDF'!$R$6:$R$1005,A110,'VÍNCULOS_CDF'!$N$6:$N$1005,1))</f>
        <v>0</v>
      </c>
      <c r="AE110" s="96">
        <f>IF(R110=0,0,COUNTIFS('VÍNCULOS_CDF'!$R$6:$R$1005,A110,'VÍNCULOS_CDF'!$AA$6:$AA$1005,1))</f>
        <v>0</v>
      </c>
      <c r="AF110" s="96">
        <f>IF(R110=0,0,COUNTIFS('VÍNCULOS_CDF'!$R$6:$R$1005,A110,'VÍNCULOS_CDF'!$Y$6:$Y$1005,1))</f>
        <v>0</v>
      </c>
      <c r="AG110" s="96" t="str">
        <f>IF(AND(R110=1,S110&lt;&gt;"",C110&lt;&gt;""),S110&amp;"|"&amp;C110&amp;"|"&amp;G110&amp;"|"&amp;H110,"")</f>
        <v/>
      </c>
      <c r="AH110" s="96">
        <f>IF(AG110="",0,IF(SUMPRODUCT(--($AG$6:$AG$1005=AG110))&gt;1,1,0))</f>
        <v>0</v>
      </c>
      <c r="AI110" s="96">
        <f>IF(R110=0,0,IF(OR(U110=0,V110=0,Y110=0,AND(AH110=1,K110&lt;&gt;"Sim")),1,0))</f>
        <v>0</v>
      </c>
      <c r="AJ110" s="96">
        <f>IF(AND(R110=1,AA110&gt;0,AB110=AA110),1,0)</f>
        <v>0</v>
      </c>
      <c r="AK110" s="96">
        <f>IF(R110=0,0,IF(AA110&gt;0,N(L110),IF(ISNUMBER(I110),I110,0)))</f>
        <v>0</v>
      </c>
      <c r="AL110" s="96">
        <f>IF(R110=0,0,IF(AND(K110&lt;&gt;"Sim",N(M110)&gt;AK110+cfg_tol),1,0))</f>
        <v>0</v>
      </c>
      <c r="AM110" s="96">
        <f>IF(R110=0,0,IF(K110="Sim",0,IF(OR(AND(AA110&gt;0,ISNUMBER(I110),ABS(I110-N(L110))&gt;cfg_tol),AL110=1),1,0)))</f>
        <v>0</v>
      </c>
      <c r="AN110" s="96">
        <f>IF(AND(R110=1,N(M110)&gt;0,OR(N(M110)&gt;=AK110-cfg_tol,K110="Sim")),1,0)</f>
        <v>0</v>
      </c>
      <c r="AO110" s="96">
        <f>IF(AND(AN110=1,AD110&gt;0,AE110=AD110,AL110=0),1,0)</f>
        <v>0</v>
      </c>
      <c r="AP110" s="96">
        <f>IF(U110=0,0,IF(AND(INDEX('MTRs'!$AX$6:$AX$505,T110)=1,Z110=0,OR(f_res="",f_res="(Todos)",C110=f_res)),1,0))</f>
        <v>0</v>
      </c>
      <c r="AQ110" s="97" t="str">
        <f>IF(U110=0,"",INDEX('MTRs'!$AZ$6:$AZ$505,T110))</f>
        <v/>
      </c>
      <c r="AR110" s="96">
        <f>IF(U110=0,0,IF(AND(INDEX('MTRs'!$BA$6:$BA$505,T110)=1,Z110=0),1,0))</f>
        <v>0</v>
      </c>
      <c r="AS110" s="96" t="str">
        <f>IF(R110=1,A110&amp;" | MTR "&amp;IF(U110=1,INDEX('MTRs'!$B$6:$B$505,T110)&amp;"","?")&amp;" | "&amp;IF(C110="","(sem resíduo)",C110),"")</f>
        <v/>
      </c>
      <c r="AT110" s="96" t="str">
        <f>IF(R110=1,COUNTIF($R$6:R110,1),"")</f>
        <v/>
      </c>
      <c r="AU110" s="96" t="str">
        <f>IF(U110=1,INDEX('MTRs'!$I$6:$I$505,T110)&amp;"","")</f>
        <v/>
      </c>
    </row>
    <row r="111">
      <c r="A111" s="89" t="inlineStr">
        <is>
          <t>IT-000106</t>
        </is>
      </c>
      <c r="B111" s="91" t="n"/>
      <c r="C111" s="91" t="n"/>
      <c r="D111" s="94" t="str">
        <f>IF(OR(R111=0,V111=0),"",INDEX('CAD_RESÍDUOS'!$E$6:$E$205,MATCH(C111,'CAD_RESÍDUOS'!$B$6:$B$205,0))&amp;"")</f>
        <v/>
      </c>
      <c r="E111" s="94" t="str">
        <f>IF(OR(R111=0,V111=0),"",INDEX('CAD_RESÍDUOS'!$C$6:$C$205,MATCH(C111,'CAD_RESÍDUOS'!$B$6:$B$205,0))&amp;"")</f>
        <v/>
      </c>
      <c r="F111" s="94" t="str">
        <f>IF(OR(R111=0,V111=0),"",INDEX('CAD_RESÍDUOS'!$G$6:$G$205,MATCH(C111,'CAD_RESÍDUOS'!$B$6:$B$205,0))&amp;"")</f>
        <v/>
      </c>
      <c r="G111" s="98" t="n"/>
      <c r="H111" s="91" t="n"/>
      <c r="I111" s="93" t="str">
        <f>IF(R111=0,"",IF(NOT(ISNUMBER(G111)),"",IF(ISNUMBER(X111),G111*X111,"UNIDADE A CONFERIR")))</f>
        <v/>
      </c>
      <c r="J111" s="91" t="n"/>
      <c r="K111" s="91" t="n"/>
      <c r="L111" s="93" t="str">
        <f>IF(R111=0,"",SUMIFS('RECEBIMENTOS'!$H$6:$H$1005,'RECEBIMENTOS'!$R$6:$R$1005,A111,'RECEBIMENTOS'!$X$6:$X$1005,1))</f>
        <v/>
      </c>
      <c r="M111" s="93" t="str">
        <f>IF(R111=0,"",SUMIFS('VÍNCULOS_CDF'!$H$6:$H$1005,'VÍNCULOS_CDF'!$R$6:$R$1005,A111,'VÍNCULOS_CDF'!$V$6:$V$1005,1))</f>
        <v/>
      </c>
      <c r="N111" s="99" t="str">
        <f>IF(OR(R111=0,AA111=0,NOT(ISNUMBER(I111))),"",I111-N(L111))</f>
        <v/>
      </c>
      <c r="O111" s="100" t="str">
        <f>IF(OR(R111=0,AK111&lt;=0),"",N(M111)/AK111)</f>
        <v/>
      </c>
      <c r="P111" s="94" t="str">
        <f>IF(R111=0,"",IF(S111="","Sem MTR associado",IF(U111=0,"MTR inexistente",IF(C111="","Resíduo não identificado",IF(V111=0,"Resíduo fora do cadastro",IF(W111=0,"Quantidade inválida",IF(H111="","Unidade não informada",IF(NOT(ISNUMBER(I111)),"Unidade a conferir",IF(AND(AH111=1,K111&lt;&gt;"Sim"),"Possível duplicidade",IF(Z111=1,"MTR cancelado",IF(AC111&gt;0,"Recebimento com alerta",IF(AA111=0,"Aguardando recebimento",IF(AB111&lt;AA111,"Recebimento a conferir",IF(AM111=1,"Quantidade a revisar",IF(AF111&gt;0,"Vínculo a revisar",IF(AD111=0,"Aguardando CDF",IF(AN111=0,"Vínculo de CDF parcial",IF(AE111&lt;AD111,"CDF a conferir","Documentação conferida"))))))))))))))))))</f>
        <v/>
      </c>
      <c r="Q111" s="93" t="str">
        <f>IF(OR(R111=0,AA111=0),"",MAX(0,N(L111)-N(M111)))</f>
        <v/>
      </c>
      <c r="R111" s="96">
        <f>IF(COUNTA(B111:C111,G111:H111,J111:K111)&gt;0,1,0)</f>
        <v>0</v>
      </c>
      <c r="S111" s="96" t="str">
        <f>IF(B111="","",TRIM(LEFT(B111,FIND(" |",B111&amp;" |")-1)))</f>
        <v/>
      </c>
      <c r="T111" s="96" t="str">
        <f>IF(S111="","",IFERROR(MATCH(S111,'MTRs'!$A$6:$A$505,0),""))</f>
        <v/>
      </c>
      <c r="U111" s="96">
        <f>IF(T111="",0,IF(INDEX('MTRs'!$Z$6:$Z$505,T111)=1,1,0))</f>
        <v>0</v>
      </c>
      <c r="V111" s="96">
        <f>IF(C111="",0,IF(ISNUMBER(MATCH(C111,'CAD_RESÍDUOS'!$B$6:$B$205,0)),1,0))</f>
        <v>0</v>
      </c>
      <c r="W111" s="96">
        <f>IF(AND(ISNUMBER(G111),G111&gt;0),1,0)</f>
        <v>0</v>
      </c>
      <c r="X111" s="96" t="str">
        <f>IF(H111="","",IFERROR(IF(ISNUMBER(INDEX(cfg_fac,MATCH(H111,cfg_units,0))),IF(INDEX(cfg_fac,MATCH(H111,cfg_units,0))&gt;0,INDEX(cfg_fac,MATCH(H111,cfg_units,0)),""),""),""))</f>
        <v/>
      </c>
      <c r="Y111" s="96">
        <f>IF(AND(W111=1,ISNUMBER(I111)),1,0)</f>
        <v>0</v>
      </c>
      <c r="Z111" s="96">
        <f>IF(U111=1,INDEX('MTRs'!$AA$6:$AA$505,T111),0)</f>
        <v>0</v>
      </c>
      <c r="AA111" s="96">
        <f>IF(R111=0,0,COUNTIFS('RECEBIMENTOS'!$R$6:$R$1005,A111,'RECEBIMENTOS'!$Q$6:$Q$1005,1))</f>
        <v>0</v>
      </c>
      <c r="AB111" s="96">
        <f>IF(R111=0,0,COUNTIFS('RECEBIMENTOS'!$R$6:$R$1005,A111,'RECEBIMENTOS'!$Z$6:$Z$1005,1))</f>
        <v>0</v>
      </c>
      <c r="AC111" s="96">
        <f>IF(R111=0,0,COUNTIFS('RECEBIMENTOS'!$R$6:$R$1005,A111,'RECEBIMENTOS'!$Y$6:$Y$1005,1))</f>
        <v>0</v>
      </c>
      <c r="AD111" s="96">
        <f>IF(R111=0,0,COUNTIFS('VÍNCULOS_CDF'!$R$6:$R$1005,A111,'VÍNCULOS_CDF'!$N$6:$N$1005,1))</f>
        <v>0</v>
      </c>
      <c r="AE111" s="96">
        <f>IF(R111=0,0,COUNTIFS('VÍNCULOS_CDF'!$R$6:$R$1005,A111,'VÍNCULOS_CDF'!$AA$6:$AA$1005,1))</f>
        <v>0</v>
      </c>
      <c r="AF111" s="96">
        <f>IF(R111=0,0,COUNTIFS('VÍNCULOS_CDF'!$R$6:$R$1005,A111,'VÍNCULOS_CDF'!$Y$6:$Y$1005,1))</f>
        <v>0</v>
      </c>
      <c r="AG111" s="96" t="str">
        <f>IF(AND(R111=1,S111&lt;&gt;"",C111&lt;&gt;""),S111&amp;"|"&amp;C111&amp;"|"&amp;G111&amp;"|"&amp;H111,"")</f>
        <v/>
      </c>
      <c r="AH111" s="96">
        <f>IF(AG111="",0,IF(SUMPRODUCT(--($AG$6:$AG$1005=AG111))&gt;1,1,0))</f>
        <v>0</v>
      </c>
      <c r="AI111" s="96">
        <f>IF(R111=0,0,IF(OR(U111=0,V111=0,Y111=0,AND(AH111=1,K111&lt;&gt;"Sim")),1,0))</f>
        <v>0</v>
      </c>
      <c r="AJ111" s="96">
        <f>IF(AND(R111=1,AA111&gt;0,AB111=AA111),1,0)</f>
        <v>0</v>
      </c>
      <c r="AK111" s="96">
        <f>IF(R111=0,0,IF(AA111&gt;0,N(L111),IF(ISNUMBER(I111),I111,0)))</f>
        <v>0</v>
      </c>
      <c r="AL111" s="96">
        <f>IF(R111=0,0,IF(AND(K111&lt;&gt;"Sim",N(M111)&gt;AK111+cfg_tol),1,0))</f>
        <v>0</v>
      </c>
      <c r="AM111" s="96">
        <f>IF(R111=0,0,IF(K111="Sim",0,IF(OR(AND(AA111&gt;0,ISNUMBER(I111),ABS(I111-N(L111))&gt;cfg_tol),AL111=1),1,0)))</f>
        <v>0</v>
      </c>
      <c r="AN111" s="96">
        <f>IF(AND(R111=1,N(M111)&gt;0,OR(N(M111)&gt;=AK111-cfg_tol,K111="Sim")),1,0)</f>
        <v>0</v>
      </c>
      <c r="AO111" s="96">
        <f>IF(AND(AN111=1,AD111&gt;0,AE111=AD111,AL111=0),1,0)</f>
        <v>0</v>
      </c>
      <c r="AP111" s="96">
        <f>IF(U111=0,0,IF(AND(INDEX('MTRs'!$AX$6:$AX$505,T111)=1,Z111=0,OR(f_res="",f_res="(Todos)",C111=f_res)),1,0))</f>
        <v>0</v>
      </c>
      <c r="AQ111" s="97" t="str">
        <f>IF(U111=0,"",INDEX('MTRs'!$AZ$6:$AZ$505,T111))</f>
        <v/>
      </c>
      <c r="AR111" s="96">
        <f>IF(U111=0,0,IF(AND(INDEX('MTRs'!$BA$6:$BA$505,T111)=1,Z111=0),1,0))</f>
        <v>0</v>
      </c>
      <c r="AS111" s="96" t="str">
        <f>IF(R111=1,A111&amp;" | MTR "&amp;IF(U111=1,INDEX('MTRs'!$B$6:$B$505,T111)&amp;"","?")&amp;" | "&amp;IF(C111="","(sem resíduo)",C111),"")</f>
        <v/>
      </c>
      <c r="AT111" s="96" t="str">
        <f>IF(R111=1,COUNTIF($R$6:R111,1),"")</f>
        <v/>
      </c>
      <c r="AU111" s="96" t="str">
        <f>IF(U111=1,INDEX('MTRs'!$I$6:$I$505,T111)&amp;"","")</f>
        <v/>
      </c>
    </row>
    <row r="112">
      <c r="A112" s="89" t="inlineStr">
        <is>
          <t>IT-000107</t>
        </is>
      </c>
      <c r="B112" s="91" t="n"/>
      <c r="C112" s="91" t="n"/>
      <c r="D112" s="94" t="str">
        <f>IF(OR(R112=0,V112=0),"",INDEX('CAD_RESÍDUOS'!$E$6:$E$205,MATCH(C112,'CAD_RESÍDUOS'!$B$6:$B$205,0))&amp;"")</f>
        <v/>
      </c>
      <c r="E112" s="94" t="str">
        <f>IF(OR(R112=0,V112=0),"",INDEX('CAD_RESÍDUOS'!$C$6:$C$205,MATCH(C112,'CAD_RESÍDUOS'!$B$6:$B$205,0))&amp;"")</f>
        <v/>
      </c>
      <c r="F112" s="94" t="str">
        <f>IF(OR(R112=0,V112=0),"",INDEX('CAD_RESÍDUOS'!$G$6:$G$205,MATCH(C112,'CAD_RESÍDUOS'!$B$6:$B$205,0))&amp;"")</f>
        <v/>
      </c>
      <c r="G112" s="98" t="n"/>
      <c r="H112" s="91" t="n"/>
      <c r="I112" s="93" t="str">
        <f>IF(R112=0,"",IF(NOT(ISNUMBER(G112)),"",IF(ISNUMBER(X112),G112*X112,"UNIDADE A CONFERIR")))</f>
        <v/>
      </c>
      <c r="J112" s="91" t="n"/>
      <c r="K112" s="91" t="n"/>
      <c r="L112" s="93" t="str">
        <f>IF(R112=0,"",SUMIFS('RECEBIMENTOS'!$H$6:$H$1005,'RECEBIMENTOS'!$R$6:$R$1005,A112,'RECEBIMENTOS'!$X$6:$X$1005,1))</f>
        <v/>
      </c>
      <c r="M112" s="93" t="str">
        <f>IF(R112=0,"",SUMIFS('VÍNCULOS_CDF'!$H$6:$H$1005,'VÍNCULOS_CDF'!$R$6:$R$1005,A112,'VÍNCULOS_CDF'!$V$6:$V$1005,1))</f>
        <v/>
      </c>
      <c r="N112" s="99" t="str">
        <f>IF(OR(R112=0,AA112=0,NOT(ISNUMBER(I112))),"",I112-N(L112))</f>
        <v/>
      </c>
      <c r="O112" s="100" t="str">
        <f>IF(OR(R112=0,AK112&lt;=0),"",N(M112)/AK112)</f>
        <v/>
      </c>
      <c r="P112" s="94" t="str">
        <f>IF(R112=0,"",IF(S112="","Sem MTR associado",IF(U112=0,"MTR inexistente",IF(C112="","Resíduo não identificado",IF(V112=0,"Resíduo fora do cadastro",IF(W112=0,"Quantidade inválida",IF(H112="","Unidade não informada",IF(NOT(ISNUMBER(I112)),"Unidade a conferir",IF(AND(AH112=1,K112&lt;&gt;"Sim"),"Possível duplicidade",IF(Z112=1,"MTR cancelado",IF(AC112&gt;0,"Recebimento com alerta",IF(AA112=0,"Aguardando recebimento",IF(AB112&lt;AA112,"Recebimento a conferir",IF(AM112=1,"Quantidade a revisar",IF(AF112&gt;0,"Vínculo a revisar",IF(AD112=0,"Aguardando CDF",IF(AN112=0,"Vínculo de CDF parcial",IF(AE112&lt;AD112,"CDF a conferir","Documentação conferida"))))))))))))))))))</f>
        <v/>
      </c>
      <c r="Q112" s="93" t="str">
        <f>IF(OR(R112=0,AA112=0),"",MAX(0,N(L112)-N(M112)))</f>
        <v/>
      </c>
      <c r="R112" s="96">
        <f>IF(COUNTA(B112:C112,G112:H112,J112:K112)&gt;0,1,0)</f>
        <v>0</v>
      </c>
      <c r="S112" s="96" t="str">
        <f>IF(B112="","",TRIM(LEFT(B112,FIND(" |",B112&amp;" |")-1)))</f>
        <v/>
      </c>
      <c r="T112" s="96" t="str">
        <f>IF(S112="","",IFERROR(MATCH(S112,'MTRs'!$A$6:$A$505,0),""))</f>
        <v/>
      </c>
      <c r="U112" s="96">
        <f>IF(T112="",0,IF(INDEX('MTRs'!$Z$6:$Z$505,T112)=1,1,0))</f>
        <v>0</v>
      </c>
      <c r="V112" s="96">
        <f>IF(C112="",0,IF(ISNUMBER(MATCH(C112,'CAD_RESÍDUOS'!$B$6:$B$205,0)),1,0))</f>
        <v>0</v>
      </c>
      <c r="W112" s="96">
        <f>IF(AND(ISNUMBER(G112),G112&gt;0),1,0)</f>
        <v>0</v>
      </c>
      <c r="X112" s="96" t="str">
        <f>IF(H112="","",IFERROR(IF(ISNUMBER(INDEX(cfg_fac,MATCH(H112,cfg_units,0))),IF(INDEX(cfg_fac,MATCH(H112,cfg_units,0))&gt;0,INDEX(cfg_fac,MATCH(H112,cfg_units,0)),""),""),""))</f>
        <v/>
      </c>
      <c r="Y112" s="96">
        <f>IF(AND(W112=1,ISNUMBER(I112)),1,0)</f>
        <v>0</v>
      </c>
      <c r="Z112" s="96">
        <f>IF(U112=1,INDEX('MTRs'!$AA$6:$AA$505,T112),0)</f>
        <v>0</v>
      </c>
      <c r="AA112" s="96">
        <f>IF(R112=0,0,COUNTIFS('RECEBIMENTOS'!$R$6:$R$1005,A112,'RECEBIMENTOS'!$Q$6:$Q$1005,1))</f>
        <v>0</v>
      </c>
      <c r="AB112" s="96">
        <f>IF(R112=0,0,COUNTIFS('RECEBIMENTOS'!$R$6:$R$1005,A112,'RECEBIMENTOS'!$Z$6:$Z$1005,1))</f>
        <v>0</v>
      </c>
      <c r="AC112" s="96">
        <f>IF(R112=0,0,COUNTIFS('RECEBIMENTOS'!$R$6:$R$1005,A112,'RECEBIMENTOS'!$Y$6:$Y$1005,1))</f>
        <v>0</v>
      </c>
      <c r="AD112" s="96">
        <f>IF(R112=0,0,COUNTIFS('VÍNCULOS_CDF'!$R$6:$R$1005,A112,'VÍNCULOS_CDF'!$N$6:$N$1005,1))</f>
        <v>0</v>
      </c>
      <c r="AE112" s="96">
        <f>IF(R112=0,0,COUNTIFS('VÍNCULOS_CDF'!$R$6:$R$1005,A112,'VÍNCULOS_CDF'!$AA$6:$AA$1005,1))</f>
        <v>0</v>
      </c>
      <c r="AF112" s="96">
        <f>IF(R112=0,0,COUNTIFS('VÍNCULOS_CDF'!$R$6:$R$1005,A112,'VÍNCULOS_CDF'!$Y$6:$Y$1005,1))</f>
        <v>0</v>
      </c>
      <c r="AG112" s="96" t="str">
        <f>IF(AND(R112=1,S112&lt;&gt;"",C112&lt;&gt;""),S112&amp;"|"&amp;C112&amp;"|"&amp;G112&amp;"|"&amp;H112,"")</f>
        <v/>
      </c>
      <c r="AH112" s="96">
        <f>IF(AG112="",0,IF(SUMPRODUCT(--($AG$6:$AG$1005=AG112))&gt;1,1,0))</f>
        <v>0</v>
      </c>
      <c r="AI112" s="96">
        <f>IF(R112=0,0,IF(OR(U112=0,V112=0,Y112=0,AND(AH112=1,K112&lt;&gt;"Sim")),1,0))</f>
        <v>0</v>
      </c>
      <c r="AJ112" s="96">
        <f>IF(AND(R112=1,AA112&gt;0,AB112=AA112),1,0)</f>
        <v>0</v>
      </c>
      <c r="AK112" s="96">
        <f>IF(R112=0,0,IF(AA112&gt;0,N(L112),IF(ISNUMBER(I112),I112,0)))</f>
        <v>0</v>
      </c>
      <c r="AL112" s="96">
        <f>IF(R112=0,0,IF(AND(K112&lt;&gt;"Sim",N(M112)&gt;AK112+cfg_tol),1,0))</f>
        <v>0</v>
      </c>
      <c r="AM112" s="96">
        <f>IF(R112=0,0,IF(K112="Sim",0,IF(OR(AND(AA112&gt;0,ISNUMBER(I112),ABS(I112-N(L112))&gt;cfg_tol),AL112=1),1,0)))</f>
        <v>0</v>
      </c>
      <c r="AN112" s="96">
        <f>IF(AND(R112=1,N(M112)&gt;0,OR(N(M112)&gt;=AK112-cfg_tol,K112="Sim")),1,0)</f>
        <v>0</v>
      </c>
      <c r="AO112" s="96">
        <f>IF(AND(AN112=1,AD112&gt;0,AE112=AD112,AL112=0),1,0)</f>
        <v>0</v>
      </c>
      <c r="AP112" s="96">
        <f>IF(U112=0,0,IF(AND(INDEX('MTRs'!$AX$6:$AX$505,T112)=1,Z112=0,OR(f_res="",f_res="(Todos)",C112=f_res)),1,0))</f>
        <v>0</v>
      </c>
      <c r="AQ112" s="97" t="str">
        <f>IF(U112=0,"",INDEX('MTRs'!$AZ$6:$AZ$505,T112))</f>
        <v/>
      </c>
      <c r="AR112" s="96">
        <f>IF(U112=0,0,IF(AND(INDEX('MTRs'!$BA$6:$BA$505,T112)=1,Z112=0),1,0))</f>
        <v>0</v>
      </c>
      <c r="AS112" s="96" t="str">
        <f>IF(R112=1,A112&amp;" | MTR "&amp;IF(U112=1,INDEX('MTRs'!$B$6:$B$505,T112)&amp;"","?")&amp;" | "&amp;IF(C112="","(sem resíduo)",C112),"")</f>
        <v/>
      </c>
      <c r="AT112" s="96" t="str">
        <f>IF(R112=1,COUNTIF($R$6:R112,1),"")</f>
        <v/>
      </c>
      <c r="AU112" s="96" t="str">
        <f>IF(U112=1,INDEX('MTRs'!$I$6:$I$505,T112)&amp;"","")</f>
        <v/>
      </c>
    </row>
    <row r="113">
      <c r="A113" s="89" t="inlineStr">
        <is>
          <t>IT-000108</t>
        </is>
      </c>
      <c r="B113" s="91" t="n"/>
      <c r="C113" s="91" t="n"/>
      <c r="D113" s="94" t="str">
        <f>IF(OR(R113=0,V113=0),"",INDEX('CAD_RESÍDUOS'!$E$6:$E$205,MATCH(C113,'CAD_RESÍDUOS'!$B$6:$B$205,0))&amp;"")</f>
        <v/>
      </c>
      <c r="E113" s="94" t="str">
        <f>IF(OR(R113=0,V113=0),"",INDEX('CAD_RESÍDUOS'!$C$6:$C$205,MATCH(C113,'CAD_RESÍDUOS'!$B$6:$B$205,0))&amp;"")</f>
        <v/>
      </c>
      <c r="F113" s="94" t="str">
        <f>IF(OR(R113=0,V113=0),"",INDEX('CAD_RESÍDUOS'!$G$6:$G$205,MATCH(C113,'CAD_RESÍDUOS'!$B$6:$B$205,0))&amp;"")</f>
        <v/>
      </c>
      <c r="G113" s="98" t="n"/>
      <c r="H113" s="91" t="n"/>
      <c r="I113" s="93" t="str">
        <f>IF(R113=0,"",IF(NOT(ISNUMBER(G113)),"",IF(ISNUMBER(X113),G113*X113,"UNIDADE A CONFERIR")))</f>
        <v/>
      </c>
      <c r="J113" s="91" t="n"/>
      <c r="K113" s="91" t="n"/>
      <c r="L113" s="93" t="str">
        <f>IF(R113=0,"",SUMIFS('RECEBIMENTOS'!$H$6:$H$1005,'RECEBIMENTOS'!$R$6:$R$1005,A113,'RECEBIMENTOS'!$X$6:$X$1005,1))</f>
        <v/>
      </c>
      <c r="M113" s="93" t="str">
        <f>IF(R113=0,"",SUMIFS('VÍNCULOS_CDF'!$H$6:$H$1005,'VÍNCULOS_CDF'!$R$6:$R$1005,A113,'VÍNCULOS_CDF'!$V$6:$V$1005,1))</f>
        <v/>
      </c>
      <c r="N113" s="99" t="str">
        <f>IF(OR(R113=0,AA113=0,NOT(ISNUMBER(I113))),"",I113-N(L113))</f>
        <v/>
      </c>
      <c r="O113" s="100" t="str">
        <f>IF(OR(R113=0,AK113&lt;=0),"",N(M113)/AK113)</f>
        <v/>
      </c>
      <c r="P113" s="94" t="str">
        <f>IF(R113=0,"",IF(S113="","Sem MTR associado",IF(U113=0,"MTR inexistente",IF(C113="","Resíduo não identificado",IF(V113=0,"Resíduo fora do cadastro",IF(W113=0,"Quantidade inválida",IF(H113="","Unidade não informada",IF(NOT(ISNUMBER(I113)),"Unidade a conferir",IF(AND(AH113=1,K113&lt;&gt;"Sim"),"Possível duplicidade",IF(Z113=1,"MTR cancelado",IF(AC113&gt;0,"Recebimento com alerta",IF(AA113=0,"Aguardando recebimento",IF(AB113&lt;AA113,"Recebimento a conferir",IF(AM113=1,"Quantidade a revisar",IF(AF113&gt;0,"Vínculo a revisar",IF(AD113=0,"Aguardando CDF",IF(AN113=0,"Vínculo de CDF parcial",IF(AE113&lt;AD113,"CDF a conferir","Documentação conferida"))))))))))))))))))</f>
        <v/>
      </c>
      <c r="Q113" s="93" t="str">
        <f>IF(OR(R113=0,AA113=0),"",MAX(0,N(L113)-N(M113)))</f>
        <v/>
      </c>
      <c r="R113" s="96">
        <f>IF(COUNTA(B113:C113,G113:H113,J113:K113)&gt;0,1,0)</f>
        <v>0</v>
      </c>
      <c r="S113" s="96" t="str">
        <f>IF(B113="","",TRIM(LEFT(B113,FIND(" |",B113&amp;" |")-1)))</f>
        <v/>
      </c>
      <c r="T113" s="96" t="str">
        <f>IF(S113="","",IFERROR(MATCH(S113,'MTRs'!$A$6:$A$505,0),""))</f>
        <v/>
      </c>
      <c r="U113" s="96">
        <f>IF(T113="",0,IF(INDEX('MTRs'!$Z$6:$Z$505,T113)=1,1,0))</f>
        <v>0</v>
      </c>
      <c r="V113" s="96">
        <f>IF(C113="",0,IF(ISNUMBER(MATCH(C113,'CAD_RESÍDUOS'!$B$6:$B$205,0)),1,0))</f>
        <v>0</v>
      </c>
      <c r="W113" s="96">
        <f>IF(AND(ISNUMBER(G113),G113&gt;0),1,0)</f>
        <v>0</v>
      </c>
      <c r="X113" s="96" t="str">
        <f>IF(H113="","",IFERROR(IF(ISNUMBER(INDEX(cfg_fac,MATCH(H113,cfg_units,0))),IF(INDEX(cfg_fac,MATCH(H113,cfg_units,0))&gt;0,INDEX(cfg_fac,MATCH(H113,cfg_units,0)),""),""),""))</f>
        <v/>
      </c>
      <c r="Y113" s="96">
        <f>IF(AND(W113=1,ISNUMBER(I113)),1,0)</f>
        <v>0</v>
      </c>
      <c r="Z113" s="96">
        <f>IF(U113=1,INDEX('MTRs'!$AA$6:$AA$505,T113),0)</f>
        <v>0</v>
      </c>
      <c r="AA113" s="96">
        <f>IF(R113=0,0,COUNTIFS('RECEBIMENTOS'!$R$6:$R$1005,A113,'RECEBIMENTOS'!$Q$6:$Q$1005,1))</f>
        <v>0</v>
      </c>
      <c r="AB113" s="96">
        <f>IF(R113=0,0,COUNTIFS('RECEBIMENTOS'!$R$6:$R$1005,A113,'RECEBIMENTOS'!$Z$6:$Z$1005,1))</f>
        <v>0</v>
      </c>
      <c r="AC113" s="96">
        <f>IF(R113=0,0,COUNTIFS('RECEBIMENTOS'!$R$6:$R$1005,A113,'RECEBIMENTOS'!$Y$6:$Y$1005,1))</f>
        <v>0</v>
      </c>
      <c r="AD113" s="96">
        <f>IF(R113=0,0,COUNTIFS('VÍNCULOS_CDF'!$R$6:$R$1005,A113,'VÍNCULOS_CDF'!$N$6:$N$1005,1))</f>
        <v>0</v>
      </c>
      <c r="AE113" s="96">
        <f>IF(R113=0,0,COUNTIFS('VÍNCULOS_CDF'!$R$6:$R$1005,A113,'VÍNCULOS_CDF'!$AA$6:$AA$1005,1))</f>
        <v>0</v>
      </c>
      <c r="AF113" s="96">
        <f>IF(R113=0,0,COUNTIFS('VÍNCULOS_CDF'!$R$6:$R$1005,A113,'VÍNCULOS_CDF'!$Y$6:$Y$1005,1))</f>
        <v>0</v>
      </c>
      <c r="AG113" s="96" t="str">
        <f>IF(AND(R113=1,S113&lt;&gt;"",C113&lt;&gt;""),S113&amp;"|"&amp;C113&amp;"|"&amp;G113&amp;"|"&amp;H113,"")</f>
        <v/>
      </c>
      <c r="AH113" s="96">
        <f>IF(AG113="",0,IF(SUMPRODUCT(--($AG$6:$AG$1005=AG113))&gt;1,1,0))</f>
        <v>0</v>
      </c>
      <c r="AI113" s="96">
        <f>IF(R113=0,0,IF(OR(U113=0,V113=0,Y113=0,AND(AH113=1,K113&lt;&gt;"Sim")),1,0))</f>
        <v>0</v>
      </c>
      <c r="AJ113" s="96">
        <f>IF(AND(R113=1,AA113&gt;0,AB113=AA113),1,0)</f>
        <v>0</v>
      </c>
      <c r="AK113" s="96">
        <f>IF(R113=0,0,IF(AA113&gt;0,N(L113),IF(ISNUMBER(I113),I113,0)))</f>
        <v>0</v>
      </c>
      <c r="AL113" s="96">
        <f>IF(R113=0,0,IF(AND(K113&lt;&gt;"Sim",N(M113)&gt;AK113+cfg_tol),1,0))</f>
        <v>0</v>
      </c>
      <c r="AM113" s="96">
        <f>IF(R113=0,0,IF(K113="Sim",0,IF(OR(AND(AA113&gt;0,ISNUMBER(I113),ABS(I113-N(L113))&gt;cfg_tol),AL113=1),1,0)))</f>
        <v>0</v>
      </c>
      <c r="AN113" s="96">
        <f>IF(AND(R113=1,N(M113)&gt;0,OR(N(M113)&gt;=AK113-cfg_tol,K113="Sim")),1,0)</f>
        <v>0</v>
      </c>
      <c r="AO113" s="96">
        <f>IF(AND(AN113=1,AD113&gt;0,AE113=AD113,AL113=0),1,0)</f>
        <v>0</v>
      </c>
      <c r="AP113" s="96">
        <f>IF(U113=0,0,IF(AND(INDEX('MTRs'!$AX$6:$AX$505,T113)=1,Z113=0,OR(f_res="",f_res="(Todos)",C113=f_res)),1,0))</f>
        <v>0</v>
      </c>
      <c r="AQ113" s="97" t="str">
        <f>IF(U113=0,"",INDEX('MTRs'!$AZ$6:$AZ$505,T113))</f>
        <v/>
      </c>
      <c r="AR113" s="96">
        <f>IF(U113=0,0,IF(AND(INDEX('MTRs'!$BA$6:$BA$505,T113)=1,Z113=0),1,0))</f>
        <v>0</v>
      </c>
      <c r="AS113" s="96" t="str">
        <f>IF(R113=1,A113&amp;" | MTR "&amp;IF(U113=1,INDEX('MTRs'!$B$6:$B$505,T113)&amp;"","?")&amp;" | "&amp;IF(C113="","(sem resíduo)",C113),"")</f>
        <v/>
      </c>
      <c r="AT113" s="96" t="str">
        <f>IF(R113=1,COUNTIF($R$6:R113,1),"")</f>
        <v/>
      </c>
      <c r="AU113" s="96" t="str">
        <f>IF(U113=1,INDEX('MTRs'!$I$6:$I$505,T113)&amp;"","")</f>
        <v/>
      </c>
    </row>
    <row r="114">
      <c r="A114" s="89" t="inlineStr">
        <is>
          <t>IT-000109</t>
        </is>
      </c>
      <c r="B114" s="91" t="n"/>
      <c r="C114" s="91" t="n"/>
      <c r="D114" s="94" t="str">
        <f>IF(OR(R114=0,V114=0),"",INDEX('CAD_RESÍDUOS'!$E$6:$E$205,MATCH(C114,'CAD_RESÍDUOS'!$B$6:$B$205,0))&amp;"")</f>
        <v/>
      </c>
      <c r="E114" s="94" t="str">
        <f>IF(OR(R114=0,V114=0),"",INDEX('CAD_RESÍDUOS'!$C$6:$C$205,MATCH(C114,'CAD_RESÍDUOS'!$B$6:$B$205,0))&amp;"")</f>
        <v/>
      </c>
      <c r="F114" s="94" t="str">
        <f>IF(OR(R114=0,V114=0),"",INDEX('CAD_RESÍDUOS'!$G$6:$G$205,MATCH(C114,'CAD_RESÍDUOS'!$B$6:$B$205,0))&amp;"")</f>
        <v/>
      </c>
      <c r="G114" s="98" t="n"/>
      <c r="H114" s="91" t="n"/>
      <c r="I114" s="93" t="str">
        <f>IF(R114=0,"",IF(NOT(ISNUMBER(G114)),"",IF(ISNUMBER(X114),G114*X114,"UNIDADE A CONFERIR")))</f>
        <v/>
      </c>
      <c r="J114" s="91" t="n"/>
      <c r="K114" s="91" t="n"/>
      <c r="L114" s="93" t="str">
        <f>IF(R114=0,"",SUMIFS('RECEBIMENTOS'!$H$6:$H$1005,'RECEBIMENTOS'!$R$6:$R$1005,A114,'RECEBIMENTOS'!$X$6:$X$1005,1))</f>
        <v/>
      </c>
      <c r="M114" s="93" t="str">
        <f>IF(R114=0,"",SUMIFS('VÍNCULOS_CDF'!$H$6:$H$1005,'VÍNCULOS_CDF'!$R$6:$R$1005,A114,'VÍNCULOS_CDF'!$V$6:$V$1005,1))</f>
        <v/>
      </c>
      <c r="N114" s="99" t="str">
        <f>IF(OR(R114=0,AA114=0,NOT(ISNUMBER(I114))),"",I114-N(L114))</f>
        <v/>
      </c>
      <c r="O114" s="100" t="str">
        <f>IF(OR(R114=0,AK114&lt;=0),"",N(M114)/AK114)</f>
        <v/>
      </c>
      <c r="P114" s="94" t="str">
        <f>IF(R114=0,"",IF(S114="","Sem MTR associado",IF(U114=0,"MTR inexistente",IF(C114="","Resíduo não identificado",IF(V114=0,"Resíduo fora do cadastro",IF(W114=0,"Quantidade inválida",IF(H114="","Unidade não informada",IF(NOT(ISNUMBER(I114)),"Unidade a conferir",IF(AND(AH114=1,K114&lt;&gt;"Sim"),"Possível duplicidade",IF(Z114=1,"MTR cancelado",IF(AC114&gt;0,"Recebimento com alerta",IF(AA114=0,"Aguardando recebimento",IF(AB114&lt;AA114,"Recebimento a conferir",IF(AM114=1,"Quantidade a revisar",IF(AF114&gt;0,"Vínculo a revisar",IF(AD114=0,"Aguardando CDF",IF(AN114=0,"Vínculo de CDF parcial",IF(AE114&lt;AD114,"CDF a conferir","Documentação conferida"))))))))))))))))))</f>
        <v/>
      </c>
      <c r="Q114" s="93" t="str">
        <f>IF(OR(R114=0,AA114=0),"",MAX(0,N(L114)-N(M114)))</f>
        <v/>
      </c>
      <c r="R114" s="96">
        <f>IF(COUNTA(B114:C114,G114:H114,J114:K114)&gt;0,1,0)</f>
        <v>0</v>
      </c>
      <c r="S114" s="96" t="str">
        <f>IF(B114="","",TRIM(LEFT(B114,FIND(" |",B114&amp;" |")-1)))</f>
        <v/>
      </c>
      <c r="T114" s="96" t="str">
        <f>IF(S114="","",IFERROR(MATCH(S114,'MTRs'!$A$6:$A$505,0),""))</f>
        <v/>
      </c>
      <c r="U114" s="96">
        <f>IF(T114="",0,IF(INDEX('MTRs'!$Z$6:$Z$505,T114)=1,1,0))</f>
        <v>0</v>
      </c>
      <c r="V114" s="96">
        <f>IF(C114="",0,IF(ISNUMBER(MATCH(C114,'CAD_RESÍDUOS'!$B$6:$B$205,0)),1,0))</f>
        <v>0</v>
      </c>
      <c r="W114" s="96">
        <f>IF(AND(ISNUMBER(G114),G114&gt;0),1,0)</f>
        <v>0</v>
      </c>
      <c r="X114" s="96" t="str">
        <f>IF(H114="","",IFERROR(IF(ISNUMBER(INDEX(cfg_fac,MATCH(H114,cfg_units,0))),IF(INDEX(cfg_fac,MATCH(H114,cfg_units,0))&gt;0,INDEX(cfg_fac,MATCH(H114,cfg_units,0)),""),""),""))</f>
        <v/>
      </c>
      <c r="Y114" s="96">
        <f>IF(AND(W114=1,ISNUMBER(I114)),1,0)</f>
        <v>0</v>
      </c>
      <c r="Z114" s="96">
        <f>IF(U114=1,INDEX('MTRs'!$AA$6:$AA$505,T114),0)</f>
        <v>0</v>
      </c>
      <c r="AA114" s="96">
        <f>IF(R114=0,0,COUNTIFS('RECEBIMENTOS'!$R$6:$R$1005,A114,'RECEBIMENTOS'!$Q$6:$Q$1005,1))</f>
        <v>0</v>
      </c>
      <c r="AB114" s="96">
        <f>IF(R114=0,0,COUNTIFS('RECEBIMENTOS'!$R$6:$R$1005,A114,'RECEBIMENTOS'!$Z$6:$Z$1005,1))</f>
        <v>0</v>
      </c>
      <c r="AC114" s="96">
        <f>IF(R114=0,0,COUNTIFS('RECEBIMENTOS'!$R$6:$R$1005,A114,'RECEBIMENTOS'!$Y$6:$Y$1005,1))</f>
        <v>0</v>
      </c>
      <c r="AD114" s="96">
        <f>IF(R114=0,0,COUNTIFS('VÍNCULOS_CDF'!$R$6:$R$1005,A114,'VÍNCULOS_CDF'!$N$6:$N$1005,1))</f>
        <v>0</v>
      </c>
      <c r="AE114" s="96">
        <f>IF(R114=0,0,COUNTIFS('VÍNCULOS_CDF'!$R$6:$R$1005,A114,'VÍNCULOS_CDF'!$AA$6:$AA$1005,1))</f>
        <v>0</v>
      </c>
      <c r="AF114" s="96">
        <f>IF(R114=0,0,COUNTIFS('VÍNCULOS_CDF'!$R$6:$R$1005,A114,'VÍNCULOS_CDF'!$Y$6:$Y$1005,1))</f>
        <v>0</v>
      </c>
      <c r="AG114" s="96" t="str">
        <f>IF(AND(R114=1,S114&lt;&gt;"",C114&lt;&gt;""),S114&amp;"|"&amp;C114&amp;"|"&amp;G114&amp;"|"&amp;H114,"")</f>
        <v/>
      </c>
      <c r="AH114" s="96">
        <f>IF(AG114="",0,IF(SUMPRODUCT(--($AG$6:$AG$1005=AG114))&gt;1,1,0))</f>
        <v>0</v>
      </c>
      <c r="AI114" s="96">
        <f>IF(R114=0,0,IF(OR(U114=0,V114=0,Y114=0,AND(AH114=1,K114&lt;&gt;"Sim")),1,0))</f>
        <v>0</v>
      </c>
      <c r="AJ114" s="96">
        <f>IF(AND(R114=1,AA114&gt;0,AB114=AA114),1,0)</f>
        <v>0</v>
      </c>
      <c r="AK114" s="96">
        <f>IF(R114=0,0,IF(AA114&gt;0,N(L114),IF(ISNUMBER(I114),I114,0)))</f>
        <v>0</v>
      </c>
      <c r="AL114" s="96">
        <f>IF(R114=0,0,IF(AND(K114&lt;&gt;"Sim",N(M114)&gt;AK114+cfg_tol),1,0))</f>
        <v>0</v>
      </c>
      <c r="AM114" s="96">
        <f>IF(R114=0,0,IF(K114="Sim",0,IF(OR(AND(AA114&gt;0,ISNUMBER(I114),ABS(I114-N(L114))&gt;cfg_tol),AL114=1),1,0)))</f>
        <v>0</v>
      </c>
      <c r="AN114" s="96">
        <f>IF(AND(R114=1,N(M114)&gt;0,OR(N(M114)&gt;=AK114-cfg_tol,K114="Sim")),1,0)</f>
        <v>0</v>
      </c>
      <c r="AO114" s="96">
        <f>IF(AND(AN114=1,AD114&gt;0,AE114=AD114,AL114=0),1,0)</f>
        <v>0</v>
      </c>
      <c r="AP114" s="96">
        <f>IF(U114=0,0,IF(AND(INDEX('MTRs'!$AX$6:$AX$505,T114)=1,Z114=0,OR(f_res="",f_res="(Todos)",C114=f_res)),1,0))</f>
        <v>0</v>
      </c>
      <c r="AQ114" s="97" t="str">
        <f>IF(U114=0,"",INDEX('MTRs'!$AZ$6:$AZ$505,T114))</f>
        <v/>
      </c>
      <c r="AR114" s="96">
        <f>IF(U114=0,0,IF(AND(INDEX('MTRs'!$BA$6:$BA$505,T114)=1,Z114=0),1,0))</f>
        <v>0</v>
      </c>
      <c r="AS114" s="96" t="str">
        <f>IF(R114=1,A114&amp;" | MTR "&amp;IF(U114=1,INDEX('MTRs'!$B$6:$B$505,T114)&amp;"","?")&amp;" | "&amp;IF(C114="","(sem resíduo)",C114),"")</f>
        <v/>
      </c>
      <c r="AT114" s="96" t="str">
        <f>IF(R114=1,COUNTIF($R$6:R114,1),"")</f>
        <v/>
      </c>
      <c r="AU114" s="96" t="str">
        <f>IF(U114=1,INDEX('MTRs'!$I$6:$I$505,T114)&amp;"","")</f>
        <v/>
      </c>
    </row>
    <row r="115">
      <c r="A115" s="89" t="inlineStr">
        <is>
          <t>IT-000110</t>
        </is>
      </c>
      <c r="B115" s="91" t="n"/>
      <c r="C115" s="91" t="n"/>
      <c r="D115" s="94" t="str">
        <f>IF(OR(R115=0,V115=0),"",INDEX('CAD_RESÍDUOS'!$E$6:$E$205,MATCH(C115,'CAD_RESÍDUOS'!$B$6:$B$205,0))&amp;"")</f>
        <v/>
      </c>
      <c r="E115" s="94" t="str">
        <f>IF(OR(R115=0,V115=0),"",INDEX('CAD_RESÍDUOS'!$C$6:$C$205,MATCH(C115,'CAD_RESÍDUOS'!$B$6:$B$205,0))&amp;"")</f>
        <v/>
      </c>
      <c r="F115" s="94" t="str">
        <f>IF(OR(R115=0,V115=0),"",INDEX('CAD_RESÍDUOS'!$G$6:$G$205,MATCH(C115,'CAD_RESÍDUOS'!$B$6:$B$205,0))&amp;"")</f>
        <v/>
      </c>
      <c r="G115" s="98" t="n"/>
      <c r="H115" s="91" t="n"/>
      <c r="I115" s="93" t="str">
        <f>IF(R115=0,"",IF(NOT(ISNUMBER(G115)),"",IF(ISNUMBER(X115),G115*X115,"UNIDADE A CONFERIR")))</f>
        <v/>
      </c>
      <c r="J115" s="91" t="n"/>
      <c r="K115" s="91" t="n"/>
      <c r="L115" s="93" t="str">
        <f>IF(R115=0,"",SUMIFS('RECEBIMENTOS'!$H$6:$H$1005,'RECEBIMENTOS'!$R$6:$R$1005,A115,'RECEBIMENTOS'!$X$6:$X$1005,1))</f>
        <v/>
      </c>
      <c r="M115" s="93" t="str">
        <f>IF(R115=0,"",SUMIFS('VÍNCULOS_CDF'!$H$6:$H$1005,'VÍNCULOS_CDF'!$R$6:$R$1005,A115,'VÍNCULOS_CDF'!$V$6:$V$1005,1))</f>
        <v/>
      </c>
      <c r="N115" s="99" t="str">
        <f>IF(OR(R115=0,AA115=0,NOT(ISNUMBER(I115))),"",I115-N(L115))</f>
        <v/>
      </c>
      <c r="O115" s="100" t="str">
        <f>IF(OR(R115=0,AK115&lt;=0),"",N(M115)/AK115)</f>
        <v/>
      </c>
      <c r="P115" s="94" t="str">
        <f>IF(R115=0,"",IF(S115="","Sem MTR associado",IF(U115=0,"MTR inexistente",IF(C115="","Resíduo não identificado",IF(V115=0,"Resíduo fora do cadastro",IF(W115=0,"Quantidade inválida",IF(H115="","Unidade não informada",IF(NOT(ISNUMBER(I115)),"Unidade a conferir",IF(AND(AH115=1,K115&lt;&gt;"Sim"),"Possível duplicidade",IF(Z115=1,"MTR cancelado",IF(AC115&gt;0,"Recebimento com alerta",IF(AA115=0,"Aguardando recebimento",IF(AB115&lt;AA115,"Recebimento a conferir",IF(AM115=1,"Quantidade a revisar",IF(AF115&gt;0,"Vínculo a revisar",IF(AD115=0,"Aguardando CDF",IF(AN115=0,"Vínculo de CDF parcial",IF(AE115&lt;AD115,"CDF a conferir","Documentação conferida"))))))))))))))))))</f>
        <v/>
      </c>
      <c r="Q115" s="93" t="str">
        <f>IF(OR(R115=0,AA115=0),"",MAX(0,N(L115)-N(M115)))</f>
        <v/>
      </c>
      <c r="R115" s="96">
        <f>IF(COUNTA(B115:C115,G115:H115,J115:K115)&gt;0,1,0)</f>
        <v>0</v>
      </c>
      <c r="S115" s="96" t="str">
        <f>IF(B115="","",TRIM(LEFT(B115,FIND(" |",B115&amp;" |")-1)))</f>
        <v/>
      </c>
      <c r="T115" s="96" t="str">
        <f>IF(S115="","",IFERROR(MATCH(S115,'MTRs'!$A$6:$A$505,0),""))</f>
        <v/>
      </c>
      <c r="U115" s="96">
        <f>IF(T115="",0,IF(INDEX('MTRs'!$Z$6:$Z$505,T115)=1,1,0))</f>
        <v>0</v>
      </c>
      <c r="V115" s="96">
        <f>IF(C115="",0,IF(ISNUMBER(MATCH(C115,'CAD_RESÍDUOS'!$B$6:$B$205,0)),1,0))</f>
        <v>0</v>
      </c>
      <c r="W115" s="96">
        <f>IF(AND(ISNUMBER(G115),G115&gt;0),1,0)</f>
        <v>0</v>
      </c>
      <c r="X115" s="96" t="str">
        <f>IF(H115="","",IFERROR(IF(ISNUMBER(INDEX(cfg_fac,MATCH(H115,cfg_units,0))),IF(INDEX(cfg_fac,MATCH(H115,cfg_units,0))&gt;0,INDEX(cfg_fac,MATCH(H115,cfg_units,0)),""),""),""))</f>
        <v/>
      </c>
      <c r="Y115" s="96">
        <f>IF(AND(W115=1,ISNUMBER(I115)),1,0)</f>
        <v>0</v>
      </c>
      <c r="Z115" s="96">
        <f>IF(U115=1,INDEX('MTRs'!$AA$6:$AA$505,T115),0)</f>
        <v>0</v>
      </c>
      <c r="AA115" s="96">
        <f>IF(R115=0,0,COUNTIFS('RECEBIMENTOS'!$R$6:$R$1005,A115,'RECEBIMENTOS'!$Q$6:$Q$1005,1))</f>
        <v>0</v>
      </c>
      <c r="AB115" s="96">
        <f>IF(R115=0,0,COUNTIFS('RECEBIMENTOS'!$R$6:$R$1005,A115,'RECEBIMENTOS'!$Z$6:$Z$1005,1))</f>
        <v>0</v>
      </c>
      <c r="AC115" s="96">
        <f>IF(R115=0,0,COUNTIFS('RECEBIMENTOS'!$R$6:$R$1005,A115,'RECEBIMENTOS'!$Y$6:$Y$1005,1))</f>
        <v>0</v>
      </c>
      <c r="AD115" s="96">
        <f>IF(R115=0,0,COUNTIFS('VÍNCULOS_CDF'!$R$6:$R$1005,A115,'VÍNCULOS_CDF'!$N$6:$N$1005,1))</f>
        <v>0</v>
      </c>
      <c r="AE115" s="96">
        <f>IF(R115=0,0,COUNTIFS('VÍNCULOS_CDF'!$R$6:$R$1005,A115,'VÍNCULOS_CDF'!$AA$6:$AA$1005,1))</f>
        <v>0</v>
      </c>
      <c r="AF115" s="96">
        <f>IF(R115=0,0,COUNTIFS('VÍNCULOS_CDF'!$R$6:$R$1005,A115,'VÍNCULOS_CDF'!$Y$6:$Y$1005,1))</f>
        <v>0</v>
      </c>
      <c r="AG115" s="96" t="str">
        <f>IF(AND(R115=1,S115&lt;&gt;"",C115&lt;&gt;""),S115&amp;"|"&amp;C115&amp;"|"&amp;G115&amp;"|"&amp;H115,"")</f>
        <v/>
      </c>
      <c r="AH115" s="96">
        <f>IF(AG115="",0,IF(SUMPRODUCT(--($AG$6:$AG$1005=AG115))&gt;1,1,0))</f>
        <v>0</v>
      </c>
      <c r="AI115" s="96">
        <f>IF(R115=0,0,IF(OR(U115=0,V115=0,Y115=0,AND(AH115=1,K115&lt;&gt;"Sim")),1,0))</f>
        <v>0</v>
      </c>
      <c r="AJ115" s="96">
        <f>IF(AND(R115=1,AA115&gt;0,AB115=AA115),1,0)</f>
        <v>0</v>
      </c>
      <c r="AK115" s="96">
        <f>IF(R115=0,0,IF(AA115&gt;0,N(L115),IF(ISNUMBER(I115),I115,0)))</f>
        <v>0</v>
      </c>
      <c r="AL115" s="96">
        <f>IF(R115=0,0,IF(AND(K115&lt;&gt;"Sim",N(M115)&gt;AK115+cfg_tol),1,0))</f>
        <v>0</v>
      </c>
      <c r="AM115" s="96">
        <f>IF(R115=0,0,IF(K115="Sim",0,IF(OR(AND(AA115&gt;0,ISNUMBER(I115),ABS(I115-N(L115))&gt;cfg_tol),AL115=1),1,0)))</f>
        <v>0</v>
      </c>
      <c r="AN115" s="96">
        <f>IF(AND(R115=1,N(M115)&gt;0,OR(N(M115)&gt;=AK115-cfg_tol,K115="Sim")),1,0)</f>
        <v>0</v>
      </c>
      <c r="AO115" s="96">
        <f>IF(AND(AN115=1,AD115&gt;0,AE115=AD115,AL115=0),1,0)</f>
        <v>0</v>
      </c>
      <c r="AP115" s="96">
        <f>IF(U115=0,0,IF(AND(INDEX('MTRs'!$AX$6:$AX$505,T115)=1,Z115=0,OR(f_res="",f_res="(Todos)",C115=f_res)),1,0))</f>
        <v>0</v>
      </c>
      <c r="AQ115" s="97" t="str">
        <f>IF(U115=0,"",INDEX('MTRs'!$AZ$6:$AZ$505,T115))</f>
        <v/>
      </c>
      <c r="AR115" s="96">
        <f>IF(U115=0,0,IF(AND(INDEX('MTRs'!$BA$6:$BA$505,T115)=1,Z115=0),1,0))</f>
        <v>0</v>
      </c>
      <c r="AS115" s="96" t="str">
        <f>IF(R115=1,A115&amp;" | MTR "&amp;IF(U115=1,INDEX('MTRs'!$B$6:$B$505,T115)&amp;"","?")&amp;" | "&amp;IF(C115="","(sem resíduo)",C115),"")</f>
        <v/>
      </c>
      <c r="AT115" s="96" t="str">
        <f>IF(R115=1,COUNTIF($R$6:R115,1),"")</f>
        <v/>
      </c>
      <c r="AU115" s="96" t="str">
        <f>IF(U115=1,INDEX('MTRs'!$I$6:$I$505,T115)&amp;"","")</f>
        <v/>
      </c>
    </row>
    <row r="116">
      <c r="A116" s="89" t="inlineStr">
        <is>
          <t>IT-000111</t>
        </is>
      </c>
      <c r="B116" s="91" t="n"/>
      <c r="C116" s="91" t="n"/>
      <c r="D116" s="94" t="str">
        <f>IF(OR(R116=0,V116=0),"",INDEX('CAD_RESÍDUOS'!$E$6:$E$205,MATCH(C116,'CAD_RESÍDUOS'!$B$6:$B$205,0))&amp;"")</f>
        <v/>
      </c>
      <c r="E116" s="94" t="str">
        <f>IF(OR(R116=0,V116=0),"",INDEX('CAD_RESÍDUOS'!$C$6:$C$205,MATCH(C116,'CAD_RESÍDUOS'!$B$6:$B$205,0))&amp;"")</f>
        <v/>
      </c>
      <c r="F116" s="94" t="str">
        <f>IF(OR(R116=0,V116=0),"",INDEX('CAD_RESÍDUOS'!$G$6:$G$205,MATCH(C116,'CAD_RESÍDUOS'!$B$6:$B$205,0))&amp;"")</f>
        <v/>
      </c>
      <c r="G116" s="98" t="n"/>
      <c r="H116" s="91" t="n"/>
      <c r="I116" s="93" t="str">
        <f>IF(R116=0,"",IF(NOT(ISNUMBER(G116)),"",IF(ISNUMBER(X116),G116*X116,"UNIDADE A CONFERIR")))</f>
        <v/>
      </c>
      <c r="J116" s="91" t="n"/>
      <c r="K116" s="91" t="n"/>
      <c r="L116" s="93" t="str">
        <f>IF(R116=0,"",SUMIFS('RECEBIMENTOS'!$H$6:$H$1005,'RECEBIMENTOS'!$R$6:$R$1005,A116,'RECEBIMENTOS'!$X$6:$X$1005,1))</f>
        <v/>
      </c>
      <c r="M116" s="93" t="str">
        <f>IF(R116=0,"",SUMIFS('VÍNCULOS_CDF'!$H$6:$H$1005,'VÍNCULOS_CDF'!$R$6:$R$1005,A116,'VÍNCULOS_CDF'!$V$6:$V$1005,1))</f>
        <v/>
      </c>
      <c r="N116" s="99" t="str">
        <f>IF(OR(R116=0,AA116=0,NOT(ISNUMBER(I116))),"",I116-N(L116))</f>
        <v/>
      </c>
      <c r="O116" s="100" t="str">
        <f>IF(OR(R116=0,AK116&lt;=0),"",N(M116)/AK116)</f>
        <v/>
      </c>
      <c r="P116" s="94" t="str">
        <f>IF(R116=0,"",IF(S116="","Sem MTR associado",IF(U116=0,"MTR inexistente",IF(C116="","Resíduo não identificado",IF(V116=0,"Resíduo fora do cadastro",IF(W116=0,"Quantidade inválida",IF(H116="","Unidade não informada",IF(NOT(ISNUMBER(I116)),"Unidade a conferir",IF(AND(AH116=1,K116&lt;&gt;"Sim"),"Possível duplicidade",IF(Z116=1,"MTR cancelado",IF(AC116&gt;0,"Recebimento com alerta",IF(AA116=0,"Aguardando recebimento",IF(AB116&lt;AA116,"Recebimento a conferir",IF(AM116=1,"Quantidade a revisar",IF(AF116&gt;0,"Vínculo a revisar",IF(AD116=0,"Aguardando CDF",IF(AN116=0,"Vínculo de CDF parcial",IF(AE116&lt;AD116,"CDF a conferir","Documentação conferida"))))))))))))))))))</f>
        <v/>
      </c>
      <c r="Q116" s="93" t="str">
        <f>IF(OR(R116=0,AA116=0),"",MAX(0,N(L116)-N(M116)))</f>
        <v/>
      </c>
      <c r="R116" s="96">
        <f>IF(COUNTA(B116:C116,G116:H116,J116:K116)&gt;0,1,0)</f>
        <v>0</v>
      </c>
      <c r="S116" s="96" t="str">
        <f>IF(B116="","",TRIM(LEFT(B116,FIND(" |",B116&amp;" |")-1)))</f>
        <v/>
      </c>
      <c r="T116" s="96" t="str">
        <f>IF(S116="","",IFERROR(MATCH(S116,'MTRs'!$A$6:$A$505,0),""))</f>
        <v/>
      </c>
      <c r="U116" s="96">
        <f>IF(T116="",0,IF(INDEX('MTRs'!$Z$6:$Z$505,T116)=1,1,0))</f>
        <v>0</v>
      </c>
      <c r="V116" s="96">
        <f>IF(C116="",0,IF(ISNUMBER(MATCH(C116,'CAD_RESÍDUOS'!$B$6:$B$205,0)),1,0))</f>
        <v>0</v>
      </c>
      <c r="W116" s="96">
        <f>IF(AND(ISNUMBER(G116),G116&gt;0),1,0)</f>
        <v>0</v>
      </c>
      <c r="X116" s="96" t="str">
        <f>IF(H116="","",IFERROR(IF(ISNUMBER(INDEX(cfg_fac,MATCH(H116,cfg_units,0))),IF(INDEX(cfg_fac,MATCH(H116,cfg_units,0))&gt;0,INDEX(cfg_fac,MATCH(H116,cfg_units,0)),""),""),""))</f>
        <v/>
      </c>
      <c r="Y116" s="96">
        <f>IF(AND(W116=1,ISNUMBER(I116)),1,0)</f>
        <v>0</v>
      </c>
      <c r="Z116" s="96">
        <f>IF(U116=1,INDEX('MTRs'!$AA$6:$AA$505,T116),0)</f>
        <v>0</v>
      </c>
      <c r="AA116" s="96">
        <f>IF(R116=0,0,COUNTIFS('RECEBIMENTOS'!$R$6:$R$1005,A116,'RECEBIMENTOS'!$Q$6:$Q$1005,1))</f>
        <v>0</v>
      </c>
      <c r="AB116" s="96">
        <f>IF(R116=0,0,COUNTIFS('RECEBIMENTOS'!$R$6:$R$1005,A116,'RECEBIMENTOS'!$Z$6:$Z$1005,1))</f>
        <v>0</v>
      </c>
      <c r="AC116" s="96">
        <f>IF(R116=0,0,COUNTIFS('RECEBIMENTOS'!$R$6:$R$1005,A116,'RECEBIMENTOS'!$Y$6:$Y$1005,1))</f>
        <v>0</v>
      </c>
      <c r="AD116" s="96">
        <f>IF(R116=0,0,COUNTIFS('VÍNCULOS_CDF'!$R$6:$R$1005,A116,'VÍNCULOS_CDF'!$N$6:$N$1005,1))</f>
        <v>0</v>
      </c>
      <c r="AE116" s="96">
        <f>IF(R116=0,0,COUNTIFS('VÍNCULOS_CDF'!$R$6:$R$1005,A116,'VÍNCULOS_CDF'!$AA$6:$AA$1005,1))</f>
        <v>0</v>
      </c>
      <c r="AF116" s="96">
        <f>IF(R116=0,0,COUNTIFS('VÍNCULOS_CDF'!$R$6:$R$1005,A116,'VÍNCULOS_CDF'!$Y$6:$Y$1005,1))</f>
        <v>0</v>
      </c>
      <c r="AG116" s="96" t="str">
        <f>IF(AND(R116=1,S116&lt;&gt;"",C116&lt;&gt;""),S116&amp;"|"&amp;C116&amp;"|"&amp;G116&amp;"|"&amp;H116,"")</f>
        <v/>
      </c>
      <c r="AH116" s="96">
        <f>IF(AG116="",0,IF(SUMPRODUCT(--($AG$6:$AG$1005=AG116))&gt;1,1,0))</f>
        <v>0</v>
      </c>
      <c r="AI116" s="96">
        <f>IF(R116=0,0,IF(OR(U116=0,V116=0,Y116=0,AND(AH116=1,K116&lt;&gt;"Sim")),1,0))</f>
        <v>0</v>
      </c>
      <c r="AJ116" s="96">
        <f>IF(AND(R116=1,AA116&gt;0,AB116=AA116),1,0)</f>
        <v>0</v>
      </c>
      <c r="AK116" s="96">
        <f>IF(R116=0,0,IF(AA116&gt;0,N(L116),IF(ISNUMBER(I116),I116,0)))</f>
        <v>0</v>
      </c>
      <c r="AL116" s="96">
        <f>IF(R116=0,0,IF(AND(K116&lt;&gt;"Sim",N(M116)&gt;AK116+cfg_tol),1,0))</f>
        <v>0</v>
      </c>
      <c r="AM116" s="96">
        <f>IF(R116=0,0,IF(K116="Sim",0,IF(OR(AND(AA116&gt;0,ISNUMBER(I116),ABS(I116-N(L116))&gt;cfg_tol),AL116=1),1,0)))</f>
        <v>0</v>
      </c>
      <c r="AN116" s="96">
        <f>IF(AND(R116=1,N(M116)&gt;0,OR(N(M116)&gt;=AK116-cfg_tol,K116="Sim")),1,0)</f>
        <v>0</v>
      </c>
      <c r="AO116" s="96">
        <f>IF(AND(AN116=1,AD116&gt;0,AE116=AD116,AL116=0),1,0)</f>
        <v>0</v>
      </c>
      <c r="AP116" s="96">
        <f>IF(U116=0,0,IF(AND(INDEX('MTRs'!$AX$6:$AX$505,T116)=1,Z116=0,OR(f_res="",f_res="(Todos)",C116=f_res)),1,0))</f>
        <v>0</v>
      </c>
      <c r="AQ116" s="97" t="str">
        <f>IF(U116=0,"",INDEX('MTRs'!$AZ$6:$AZ$505,T116))</f>
        <v/>
      </c>
      <c r="AR116" s="96">
        <f>IF(U116=0,0,IF(AND(INDEX('MTRs'!$BA$6:$BA$505,T116)=1,Z116=0),1,0))</f>
        <v>0</v>
      </c>
      <c r="AS116" s="96" t="str">
        <f>IF(R116=1,A116&amp;" | MTR "&amp;IF(U116=1,INDEX('MTRs'!$B$6:$B$505,T116)&amp;"","?")&amp;" | "&amp;IF(C116="","(sem resíduo)",C116),"")</f>
        <v/>
      </c>
      <c r="AT116" s="96" t="str">
        <f>IF(R116=1,COUNTIF($R$6:R116,1),"")</f>
        <v/>
      </c>
      <c r="AU116" s="96" t="str">
        <f>IF(U116=1,INDEX('MTRs'!$I$6:$I$505,T116)&amp;"","")</f>
        <v/>
      </c>
    </row>
    <row r="117">
      <c r="A117" s="89" t="inlineStr">
        <is>
          <t>IT-000112</t>
        </is>
      </c>
      <c r="B117" s="91" t="n"/>
      <c r="C117" s="91" t="n"/>
      <c r="D117" s="94" t="str">
        <f>IF(OR(R117=0,V117=0),"",INDEX('CAD_RESÍDUOS'!$E$6:$E$205,MATCH(C117,'CAD_RESÍDUOS'!$B$6:$B$205,0))&amp;"")</f>
        <v/>
      </c>
      <c r="E117" s="94" t="str">
        <f>IF(OR(R117=0,V117=0),"",INDEX('CAD_RESÍDUOS'!$C$6:$C$205,MATCH(C117,'CAD_RESÍDUOS'!$B$6:$B$205,0))&amp;"")</f>
        <v/>
      </c>
      <c r="F117" s="94" t="str">
        <f>IF(OR(R117=0,V117=0),"",INDEX('CAD_RESÍDUOS'!$G$6:$G$205,MATCH(C117,'CAD_RESÍDUOS'!$B$6:$B$205,0))&amp;"")</f>
        <v/>
      </c>
      <c r="G117" s="98" t="n"/>
      <c r="H117" s="91" t="n"/>
      <c r="I117" s="93" t="str">
        <f>IF(R117=0,"",IF(NOT(ISNUMBER(G117)),"",IF(ISNUMBER(X117),G117*X117,"UNIDADE A CONFERIR")))</f>
        <v/>
      </c>
      <c r="J117" s="91" t="n"/>
      <c r="K117" s="91" t="n"/>
      <c r="L117" s="93" t="str">
        <f>IF(R117=0,"",SUMIFS('RECEBIMENTOS'!$H$6:$H$1005,'RECEBIMENTOS'!$R$6:$R$1005,A117,'RECEBIMENTOS'!$X$6:$X$1005,1))</f>
        <v/>
      </c>
      <c r="M117" s="93" t="str">
        <f>IF(R117=0,"",SUMIFS('VÍNCULOS_CDF'!$H$6:$H$1005,'VÍNCULOS_CDF'!$R$6:$R$1005,A117,'VÍNCULOS_CDF'!$V$6:$V$1005,1))</f>
        <v/>
      </c>
      <c r="N117" s="99" t="str">
        <f>IF(OR(R117=0,AA117=0,NOT(ISNUMBER(I117))),"",I117-N(L117))</f>
        <v/>
      </c>
      <c r="O117" s="100" t="str">
        <f>IF(OR(R117=0,AK117&lt;=0),"",N(M117)/AK117)</f>
        <v/>
      </c>
      <c r="P117" s="94" t="str">
        <f>IF(R117=0,"",IF(S117="","Sem MTR associado",IF(U117=0,"MTR inexistente",IF(C117="","Resíduo não identificado",IF(V117=0,"Resíduo fora do cadastro",IF(W117=0,"Quantidade inválida",IF(H117="","Unidade não informada",IF(NOT(ISNUMBER(I117)),"Unidade a conferir",IF(AND(AH117=1,K117&lt;&gt;"Sim"),"Possível duplicidade",IF(Z117=1,"MTR cancelado",IF(AC117&gt;0,"Recebimento com alerta",IF(AA117=0,"Aguardando recebimento",IF(AB117&lt;AA117,"Recebimento a conferir",IF(AM117=1,"Quantidade a revisar",IF(AF117&gt;0,"Vínculo a revisar",IF(AD117=0,"Aguardando CDF",IF(AN117=0,"Vínculo de CDF parcial",IF(AE117&lt;AD117,"CDF a conferir","Documentação conferida"))))))))))))))))))</f>
        <v/>
      </c>
      <c r="Q117" s="93" t="str">
        <f>IF(OR(R117=0,AA117=0),"",MAX(0,N(L117)-N(M117)))</f>
        <v/>
      </c>
      <c r="R117" s="96">
        <f>IF(COUNTA(B117:C117,G117:H117,J117:K117)&gt;0,1,0)</f>
        <v>0</v>
      </c>
      <c r="S117" s="96" t="str">
        <f>IF(B117="","",TRIM(LEFT(B117,FIND(" |",B117&amp;" |")-1)))</f>
        <v/>
      </c>
      <c r="T117" s="96" t="str">
        <f>IF(S117="","",IFERROR(MATCH(S117,'MTRs'!$A$6:$A$505,0),""))</f>
        <v/>
      </c>
      <c r="U117" s="96">
        <f>IF(T117="",0,IF(INDEX('MTRs'!$Z$6:$Z$505,T117)=1,1,0))</f>
        <v>0</v>
      </c>
      <c r="V117" s="96">
        <f>IF(C117="",0,IF(ISNUMBER(MATCH(C117,'CAD_RESÍDUOS'!$B$6:$B$205,0)),1,0))</f>
        <v>0</v>
      </c>
      <c r="W117" s="96">
        <f>IF(AND(ISNUMBER(G117),G117&gt;0),1,0)</f>
        <v>0</v>
      </c>
      <c r="X117" s="96" t="str">
        <f>IF(H117="","",IFERROR(IF(ISNUMBER(INDEX(cfg_fac,MATCH(H117,cfg_units,0))),IF(INDEX(cfg_fac,MATCH(H117,cfg_units,0))&gt;0,INDEX(cfg_fac,MATCH(H117,cfg_units,0)),""),""),""))</f>
        <v/>
      </c>
      <c r="Y117" s="96">
        <f>IF(AND(W117=1,ISNUMBER(I117)),1,0)</f>
        <v>0</v>
      </c>
      <c r="Z117" s="96">
        <f>IF(U117=1,INDEX('MTRs'!$AA$6:$AA$505,T117),0)</f>
        <v>0</v>
      </c>
      <c r="AA117" s="96">
        <f>IF(R117=0,0,COUNTIFS('RECEBIMENTOS'!$R$6:$R$1005,A117,'RECEBIMENTOS'!$Q$6:$Q$1005,1))</f>
        <v>0</v>
      </c>
      <c r="AB117" s="96">
        <f>IF(R117=0,0,COUNTIFS('RECEBIMENTOS'!$R$6:$R$1005,A117,'RECEBIMENTOS'!$Z$6:$Z$1005,1))</f>
        <v>0</v>
      </c>
      <c r="AC117" s="96">
        <f>IF(R117=0,0,COUNTIFS('RECEBIMENTOS'!$R$6:$R$1005,A117,'RECEBIMENTOS'!$Y$6:$Y$1005,1))</f>
        <v>0</v>
      </c>
      <c r="AD117" s="96">
        <f>IF(R117=0,0,COUNTIFS('VÍNCULOS_CDF'!$R$6:$R$1005,A117,'VÍNCULOS_CDF'!$N$6:$N$1005,1))</f>
        <v>0</v>
      </c>
      <c r="AE117" s="96">
        <f>IF(R117=0,0,COUNTIFS('VÍNCULOS_CDF'!$R$6:$R$1005,A117,'VÍNCULOS_CDF'!$AA$6:$AA$1005,1))</f>
        <v>0</v>
      </c>
      <c r="AF117" s="96">
        <f>IF(R117=0,0,COUNTIFS('VÍNCULOS_CDF'!$R$6:$R$1005,A117,'VÍNCULOS_CDF'!$Y$6:$Y$1005,1))</f>
        <v>0</v>
      </c>
      <c r="AG117" s="96" t="str">
        <f>IF(AND(R117=1,S117&lt;&gt;"",C117&lt;&gt;""),S117&amp;"|"&amp;C117&amp;"|"&amp;G117&amp;"|"&amp;H117,"")</f>
        <v/>
      </c>
      <c r="AH117" s="96">
        <f>IF(AG117="",0,IF(SUMPRODUCT(--($AG$6:$AG$1005=AG117))&gt;1,1,0))</f>
        <v>0</v>
      </c>
      <c r="AI117" s="96">
        <f>IF(R117=0,0,IF(OR(U117=0,V117=0,Y117=0,AND(AH117=1,K117&lt;&gt;"Sim")),1,0))</f>
        <v>0</v>
      </c>
      <c r="AJ117" s="96">
        <f>IF(AND(R117=1,AA117&gt;0,AB117=AA117),1,0)</f>
        <v>0</v>
      </c>
      <c r="AK117" s="96">
        <f>IF(R117=0,0,IF(AA117&gt;0,N(L117),IF(ISNUMBER(I117),I117,0)))</f>
        <v>0</v>
      </c>
      <c r="AL117" s="96">
        <f>IF(R117=0,0,IF(AND(K117&lt;&gt;"Sim",N(M117)&gt;AK117+cfg_tol),1,0))</f>
        <v>0</v>
      </c>
      <c r="AM117" s="96">
        <f>IF(R117=0,0,IF(K117="Sim",0,IF(OR(AND(AA117&gt;0,ISNUMBER(I117),ABS(I117-N(L117))&gt;cfg_tol),AL117=1),1,0)))</f>
        <v>0</v>
      </c>
      <c r="AN117" s="96">
        <f>IF(AND(R117=1,N(M117)&gt;0,OR(N(M117)&gt;=AK117-cfg_tol,K117="Sim")),1,0)</f>
        <v>0</v>
      </c>
      <c r="AO117" s="96">
        <f>IF(AND(AN117=1,AD117&gt;0,AE117=AD117,AL117=0),1,0)</f>
        <v>0</v>
      </c>
      <c r="AP117" s="96">
        <f>IF(U117=0,0,IF(AND(INDEX('MTRs'!$AX$6:$AX$505,T117)=1,Z117=0,OR(f_res="",f_res="(Todos)",C117=f_res)),1,0))</f>
        <v>0</v>
      </c>
      <c r="AQ117" s="97" t="str">
        <f>IF(U117=0,"",INDEX('MTRs'!$AZ$6:$AZ$505,T117))</f>
        <v/>
      </c>
      <c r="AR117" s="96">
        <f>IF(U117=0,0,IF(AND(INDEX('MTRs'!$BA$6:$BA$505,T117)=1,Z117=0),1,0))</f>
        <v>0</v>
      </c>
      <c r="AS117" s="96" t="str">
        <f>IF(R117=1,A117&amp;" | MTR "&amp;IF(U117=1,INDEX('MTRs'!$B$6:$B$505,T117)&amp;"","?")&amp;" | "&amp;IF(C117="","(sem resíduo)",C117),"")</f>
        <v/>
      </c>
      <c r="AT117" s="96" t="str">
        <f>IF(R117=1,COUNTIF($R$6:R117,1),"")</f>
        <v/>
      </c>
      <c r="AU117" s="96" t="str">
        <f>IF(U117=1,INDEX('MTRs'!$I$6:$I$505,T117)&amp;"","")</f>
        <v/>
      </c>
    </row>
    <row r="118">
      <c r="A118" s="89" t="inlineStr">
        <is>
          <t>IT-000113</t>
        </is>
      </c>
      <c r="B118" s="91" t="n"/>
      <c r="C118" s="91" t="n"/>
      <c r="D118" s="94" t="str">
        <f>IF(OR(R118=0,V118=0),"",INDEX('CAD_RESÍDUOS'!$E$6:$E$205,MATCH(C118,'CAD_RESÍDUOS'!$B$6:$B$205,0))&amp;"")</f>
        <v/>
      </c>
      <c r="E118" s="94" t="str">
        <f>IF(OR(R118=0,V118=0),"",INDEX('CAD_RESÍDUOS'!$C$6:$C$205,MATCH(C118,'CAD_RESÍDUOS'!$B$6:$B$205,0))&amp;"")</f>
        <v/>
      </c>
      <c r="F118" s="94" t="str">
        <f>IF(OR(R118=0,V118=0),"",INDEX('CAD_RESÍDUOS'!$G$6:$G$205,MATCH(C118,'CAD_RESÍDUOS'!$B$6:$B$205,0))&amp;"")</f>
        <v/>
      </c>
      <c r="G118" s="98" t="n"/>
      <c r="H118" s="91" t="n"/>
      <c r="I118" s="93" t="str">
        <f>IF(R118=0,"",IF(NOT(ISNUMBER(G118)),"",IF(ISNUMBER(X118),G118*X118,"UNIDADE A CONFERIR")))</f>
        <v/>
      </c>
      <c r="J118" s="91" t="n"/>
      <c r="K118" s="91" t="n"/>
      <c r="L118" s="93" t="str">
        <f>IF(R118=0,"",SUMIFS('RECEBIMENTOS'!$H$6:$H$1005,'RECEBIMENTOS'!$R$6:$R$1005,A118,'RECEBIMENTOS'!$X$6:$X$1005,1))</f>
        <v/>
      </c>
      <c r="M118" s="93" t="str">
        <f>IF(R118=0,"",SUMIFS('VÍNCULOS_CDF'!$H$6:$H$1005,'VÍNCULOS_CDF'!$R$6:$R$1005,A118,'VÍNCULOS_CDF'!$V$6:$V$1005,1))</f>
        <v/>
      </c>
      <c r="N118" s="99" t="str">
        <f>IF(OR(R118=0,AA118=0,NOT(ISNUMBER(I118))),"",I118-N(L118))</f>
        <v/>
      </c>
      <c r="O118" s="100" t="str">
        <f>IF(OR(R118=0,AK118&lt;=0),"",N(M118)/AK118)</f>
        <v/>
      </c>
      <c r="P118" s="94" t="str">
        <f>IF(R118=0,"",IF(S118="","Sem MTR associado",IF(U118=0,"MTR inexistente",IF(C118="","Resíduo não identificado",IF(V118=0,"Resíduo fora do cadastro",IF(W118=0,"Quantidade inválida",IF(H118="","Unidade não informada",IF(NOT(ISNUMBER(I118)),"Unidade a conferir",IF(AND(AH118=1,K118&lt;&gt;"Sim"),"Possível duplicidade",IF(Z118=1,"MTR cancelado",IF(AC118&gt;0,"Recebimento com alerta",IF(AA118=0,"Aguardando recebimento",IF(AB118&lt;AA118,"Recebimento a conferir",IF(AM118=1,"Quantidade a revisar",IF(AF118&gt;0,"Vínculo a revisar",IF(AD118=0,"Aguardando CDF",IF(AN118=0,"Vínculo de CDF parcial",IF(AE118&lt;AD118,"CDF a conferir","Documentação conferida"))))))))))))))))))</f>
        <v/>
      </c>
      <c r="Q118" s="93" t="str">
        <f>IF(OR(R118=0,AA118=0),"",MAX(0,N(L118)-N(M118)))</f>
        <v/>
      </c>
      <c r="R118" s="96">
        <f>IF(COUNTA(B118:C118,G118:H118,J118:K118)&gt;0,1,0)</f>
        <v>0</v>
      </c>
      <c r="S118" s="96" t="str">
        <f>IF(B118="","",TRIM(LEFT(B118,FIND(" |",B118&amp;" |")-1)))</f>
        <v/>
      </c>
      <c r="T118" s="96" t="str">
        <f>IF(S118="","",IFERROR(MATCH(S118,'MTRs'!$A$6:$A$505,0),""))</f>
        <v/>
      </c>
      <c r="U118" s="96">
        <f>IF(T118="",0,IF(INDEX('MTRs'!$Z$6:$Z$505,T118)=1,1,0))</f>
        <v>0</v>
      </c>
      <c r="V118" s="96">
        <f>IF(C118="",0,IF(ISNUMBER(MATCH(C118,'CAD_RESÍDUOS'!$B$6:$B$205,0)),1,0))</f>
        <v>0</v>
      </c>
      <c r="W118" s="96">
        <f>IF(AND(ISNUMBER(G118),G118&gt;0),1,0)</f>
        <v>0</v>
      </c>
      <c r="X118" s="96" t="str">
        <f>IF(H118="","",IFERROR(IF(ISNUMBER(INDEX(cfg_fac,MATCH(H118,cfg_units,0))),IF(INDEX(cfg_fac,MATCH(H118,cfg_units,0))&gt;0,INDEX(cfg_fac,MATCH(H118,cfg_units,0)),""),""),""))</f>
        <v/>
      </c>
      <c r="Y118" s="96">
        <f>IF(AND(W118=1,ISNUMBER(I118)),1,0)</f>
        <v>0</v>
      </c>
      <c r="Z118" s="96">
        <f>IF(U118=1,INDEX('MTRs'!$AA$6:$AA$505,T118),0)</f>
        <v>0</v>
      </c>
      <c r="AA118" s="96">
        <f>IF(R118=0,0,COUNTIFS('RECEBIMENTOS'!$R$6:$R$1005,A118,'RECEBIMENTOS'!$Q$6:$Q$1005,1))</f>
        <v>0</v>
      </c>
      <c r="AB118" s="96">
        <f>IF(R118=0,0,COUNTIFS('RECEBIMENTOS'!$R$6:$R$1005,A118,'RECEBIMENTOS'!$Z$6:$Z$1005,1))</f>
        <v>0</v>
      </c>
      <c r="AC118" s="96">
        <f>IF(R118=0,0,COUNTIFS('RECEBIMENTOS'!$R$6:$R$1005,A118,'RECEBIMENTOS'!$Y$6:$Y$1005,1))</f>
        <v>0</v>
      </c>
      <c r="AD118" s="96">
        <f>IF(R118=0,0,COUNTIFS('VÍNCULOS_CDF'!$R$6:$R$1005,A118,'VÍNCULOS_CDF'!$N$6:$N$1005,1))</f>
        <v>0</v>
      </c>
      <c r="AE118" s="96">
        <f>IF(R118=0,0,COUNTIFS('VÍNCULOS_CDF'!$R$6:$R$1005,A118,'VÍNCULOS_CDF'!$AA$6:$AA$1005,1))</f>
        <v>0</v>
      </c>
      <c r="AF118" s="96">
        <f>IF(R118=0,0,COUNTIFS('VÍNCULOS_CDF'!$R$6:$R$1005,A118,'VÍNCULOS_CDF'!$Y$6:$Y$1005,1))</f>
        <v>0</v>
      </c>
      <c r="AG118" s="96" t="str">
        <f>IF(AND(R118=1,S118&lt;&gt;"",C118&lt;&gt;""),S118&amp;"|"&amp;C118&amp;"|"&amp;G118&amp;"|"&amp;H118,"")</f>
        <v/>
      </c>
      <c r="AH118" s="96">
        <f>IF(AG118="",0,IF(SUMPRODUCT(--($AG$6:$AG$1005=AG118))&gt;1,1,0))</f>
        <v>0</v>
      </c>
      <c r="AI118" s="96">
        <f>IF(R118=0,0,IF(OR(U118=0,V118=0,Y118=0,AND(AH118=1,K118&lt;&gt;"Sim")),1,0))</f>
        <v>0</v>
      </c>
      <c r="AJ118" s="96">
        <f>IF(AND(R118=1,AA118&gt;0,AB118=AA118),1,0)</f>
        <v>0</v>
      </c>
      <c r="AK118" s="96">
        <f>IF(R118=0,0,IF(AA118&gt;0,N(L118),IF(ISNUMBER(I118),I118,0)))</f>
        <v>0</v>
      </c>
      <c r="AL118" s="96">
        <f>IF(R118=0,0,IF(AND(K118&lt;&gt;"Sim",N(M118)&gt;AK118+cfg_tol),1,0))</f>
        <v>0</v>
      </c>
      <c r="AM118" s="96">
        <f>IF(R118=0,0,IF(K118="Sim",0,IF(OR(AND(AA118&gt;0,ISNUMBER(I118),ABS(I118-N(L118))&gt;cfg_tol),AL118=1),1,0)))</f>
        <v>0</v>
      </c>
      <c r="AN118" s="96">
        <f>IF(AND(R118=1,N(M118)&gt;0,OR(N(M118)&gt;=AK118-cfg_tol,K118="Sim")),1,0)</f>
        <v>0</v>
      </c>
      <c r="AO118" s="96">
        <f>IF(AND(AN118=1,AD118&gt;0,AE118=AD118,AL118=0),1,0)</f>
        <v>0</v>
      </c>
      <c r="AP118" s="96">
        <f>IF(U118=0,0,IF(AND(INDEX('MTRs'!$AX$6:$AX$505,T118)=1,Z118=0,OR(f_res="",f_res="(Todos)",C118=f_res)),1,0))</f>
        <v>0</v>
      </c>
      <c r="AQ118" s="97" t="str">
        <f>IF(U118=0,"",INDEX('MTRs'!$AZ$6:$AZ$505,T118))</f>
        <v/>
      </c>
      <c r="AR118" s="96">
        <f>IF(U118=0,0,IF(AND(INDEX('MTRs'!$BA$6:$BA$505,T118)=1,Z118=0),1,0))</f>
        <v>0</v>
      </c>
      <c r="AS118" s="96" t="str">
        <f>IF(R118=1,A118&amp;" | MTR "&amp;IF(U118=1,INDEX('MTRs'!$B$6:$B$505,T118)&amp;"","?")&amp;" | "&amp;IF(C118="","(sem resíduo)",C118),"")</f>
        <v/>
      </c>
      <c r="AT118" s="96" t="str">
        <f>IF(R118=1,COUNTIF($R$6:R118,1),"")</f>
        <v/>
      </c>
      <c r="AU118" s="96" t="str">
        <f>IF(U118=1,INDEX('MTRs'!$I$6:$I$505,T118)&amp;"","")</f>
        <v/>
      </c>
    </row>
    <row r="119">
      <c r="A119" s="89" t="inlineStr">
        <is>
          <t>IT-000114</t>
        </is>
      </c>
      <c r="B119" s="91" t="n"/>
      <c r="C119" s="91" t="n"/>
      <c r="D119" s="94" t="str">
        <f>IF(OR(R119=0,V119=0),"",INDEX('CAD_RESÍDUOS'!$E$6:$E$205,MATCH(C119,'CAD_RESÍDUOS'!$B$6:$B$205,0))&amp;"")</f>
        <v/>
      </c>
      <c r="E119" s="94" t="str">
        <f>IF(OR(R119=0,V119=0),"",INDEX('CAD_RESÍDUOS'!$C$6:$C$205,MATCH(C119,'CAD_RESÍDUOS'!$B$6:$B$205,0))&amp;"")</f>
        <v/>
      </c>
      <c r="F119" s="94" t="str">
        <f>IF(OR(R119=0,V119=0),"",INDEX('CAD_RESÍDUOS'!$G$6:$G$205,MATCH(C119,'CAD_RESÍDUOS'!$B$6:$B$205,0))&amp;"")</f>
        <v/>
      </c>
      <c r="G119" s="98" t="n"/>
      <c r="H119" s="91" t="n"/>
      <c r="I119" s="93" t="str">
        <f>IF(R119=0,"",IF(NOT(ISNUMBER(G119)),"",IF(ISNUMBER(X119),G119*X119,"UNIDADE A CONFERIR")))</f>
        <v/>
      </c>
      <c r="J119" s="91" t="n"/>
      <c r="K119" s="91" t="n"/>
      <c r="L119" s="93" t="str">
        <f>IF(R119=0,"",SUMIFS('RECEBIMENTOS'!$H$6:$H$1005,'RECEBIMENTOS'!$R$6:$R$1005,A119,'RECEBIMENTOS'!$X$6:$X$1005,1))</f>
        <v/>
      </c>
      <c r="M119" s="93" t="str">
        <f>IF(R119=0,"",SUMIFS('VÍNCULOS_CDF'!$H$6:$H$1005,'VÍNCULOS_CDF'!$R$6:$R$1005,A119,'VÍNCULOS_CDF'!$V$6:$V$1005,1))</f>
        <v/>
      </c>
      <c r="N119" s="99" t="str">
        <f>IF(OR(R119=0,AA119=0,NOT(ISNUMBER(I119))),"",I119-N(L119))</f>
        <v/>
      </c>
      <c r="O119" s="100" t="str">
        <f>IF(OR(R119=0,AK119&lt;=0),"",N(M119)/AK119)</f>
        <v/>
      </c>
      <c r="P119" s="94" t="str">
        <f>IF(R119=0,"",IF(S119="","Sem MTR associado",IF(U119=0,"MTR inexistente",IF(C119="","Resíduo não identificado",IF(V119=0,"Resíduo fora do cadastro",IF(W119=0,"Quantidade inválida",IF(H119="","Unidade não informada",IF(NOT(ISNUMBER(I119)),"Unidade a conferir",IF(AND(AH119=1,K119&lt;&gt;"Sim"),"Possível duplicidade",IF(Z119=1,"MTR cancelado",IF(AC119&gt;0,"Recebimento com alerta",IF(AA119=0,"Aguardando recebimento",IF(AB119&lt;AA119,"Recebimento a conferir",IF(AM119=1,"Quantidade a revisar",IF(AF119&gt;0,"Vínculo a revisar",IF(AD119=0,"Aguardando CDF",IF(AN119=0,"Vínculo de CDF parcial",IF(AE119&lt;AD119,"CDF a conferir","Documentação conferida"))))))))))))))))))</f>
        <v/>
      </c>
      <c r="Q119" s="93" t="str">
        <f>IF(OR(R119=0,AA119=0),"",MAX(0,N(L119)-N(M119)))</f>
        <v/>
      </c>
      <c r="R119" s="96">
        <f>IF(COUNTA(B119:C119,G119:H119,J119:K119)&gt;0,1,0)</f>
        <v>0</v>
      </c>
      <c r="S119" s="96" t="str">
        <f>IF(B119="","",TRIM(LEFT(B119,FIND(" |",B119&amp;" |")-1)))</f>
        <v/>
      </c>
      <c r="T119" s="96" t="str">
        <f>IF(S119="","",IFERROR(MATCH(S119,'MTRs'!$A$6:$A$505,0),""))</f>
        <v/>
      </c>
      <c r="U119" s="96">
        <f>IF(T119="",0,IF(INDEX('MTRs'!$Z$6:$Z$505,T119)=1,1,0))</f>
        <v>0</v>
      </c>
      <c r="V119" s="96">
        <f>IF(C119="",0,IF(ISNUMBER(MATCH(C119,'CAD_RESÍDUOS'!$B$6:$B$205,0)),1,0))</f>
        <v>0</v>
      </c>
      <c r="W119" s="96">
        <f>IF(AND(ISNUMBER(G119),G119&gt;0),1,0)</f>
        <v>0</v>
      </c>
      <c r="X119" s="96" t="str">
        <f>IF(H119="","",IFERROR(IF(ISNUMBER(INDEX(cfg_fac,MATCH(H119,cfg_units,0))),IF(INDEX(cfg_fac,MATCH(H119,cfg_units,0))&gt;0,INDEX(cfg_fac,MATCH(H119,cfg_units,0)),""),""),""))</f>
        <v/>
      </c>
      <c r="Y119" s="96">
        <f>IF(AND(W119=1,ISNUMBER(I119)),1,0)</f>
        <v>0</v>
      </c>
      <c r="Z119" s="96">
        <f>IF(U119=1,INDEX('MTRs'!$AA$6:$AA$505,T119),0)</f>
        <v>0</v>
      </c>
      <c r="AA119" s="96">
        <f>IF(R119=0,0,COUNTIFS('RECEBIMENTOS'!$R$6:$R$1005,A119,'RECEBIMENTOS'!$Q$6:$Q$1005,1))</f>
        <v>0</v>
      </c>
      <c r="AB119" s="96">
        <f>IF(R119=0,0,COUNTIFS('RECEBIMENTOS'!$R$6:$R$1005,A119,'RECEBIMENTOS'!$Z$6:$Z$1005,1))</f>
        <v>0</v>
      </c>
      <c r="AC119" s="96">
        <f>IF(R119=0,0,COUNTIFS('RECEBIMENTOS'!$R$6:$R$1005,A119,'RECEBIMENTOS'!$Y$6:$Y$1005,1))</f>
        <v>0</v>
      </c>
      <c r="AD119" s="96">
        <f>IF(R119=0,0,COUNTIFS('VÍNCULOS_CDF'!$R$6:$R$1005,A119,'VÍNCULOS_CDF'!$N$6:$N$1005,1))</f>
        <v>0</v>
      </c>
      <c r="AE119" s="96">
        <f>IF(R119=0,0,COUNTIFS('VÍNCULOS_CDF'!$R$6:$R$1005,A119,'VÍNCULOS_CDF'!$AA$6:$AA$1005,1))</f>
        <v>0</v>
      </c>
      <c r="AF119" s="96">
        <f>IF(R119=0,0,COUNTIFS('VÍNCULOS_CDF'!$R$6:$R$1005,A119,'VÍNCULOS_CDF'!$Y$6:$Y$1005,1))</f>
        <v>0</v>
      </c>
      <c r="AG119" s="96" t="str">
        <f>IF(AND(R119=1,S119&lt;&gt;"",C119&lt;&gt;""),S119&amp;"|"&amp;C119&amp;"|"&amp;G119&amp;"|"&amp;H119,"")</f>
        <v/>
      </c>
      <c r="AH119" s="96">
        <f>IF(AG119="",0,IF(SUMPRODUCT(--($AG$6:$AG$1005=AG119))&gt;1,1,0))</f>
        <v>0</v>
      </c>
      <c r="AI119" s="96">
        <f>IF(R119=0,0,IF(OR(U119=0,V119=0,Y119=0,AND(AH119=1,K119&lt;&gt;"Sim")),1,0))</f>
        <v>0</v>
      </c>
      <c r="AJ119" s="96">
        <f>IF(AND(R119=1,AA119&gt;0,AB119=AA119),1,0)</f>
        <v>0</v>
      </c>
      <c r="AK119" s="96">
        <f>IF(R119=0,0,IF(AA119&gt;0,N(L119),IF(ISNUMBER(I119),I119,0)))</f>
        <v>0</v>
      </c>
      <c r="AL119" s="96">
        <f>IF(R119=0,0,IF(AND(K119&lt;&gt;"Sim",N(M119)&gt;AK119+cfg_tol),1,0))</f>
        <v>0</v>
      </c>
      <c r="AM119" s="96">
        <f>IF(R119=0,0,IF(K119="Sim",0,IF(OR(AND(AA119&gt;0,ISNUMBER(I119),ABS(I119-N(L119))&gt;cfg_tol),AL119=1),1,0)))</f>
        <v>0</v>
      </c>
      <c r="AN119" s="96">
        <f>IF(AND(R119=1,N(M119)&gt;0,OR(N(M119)&gt;=AK119-cfg_tol,K119="Sim")),1,0)</f>
        <v>0</v>
      </c>
      <c r="AO119" s="96">
        <f>IF(AND(AN119=1,AD119&gt;0,AE119=AD119,AL119=0),1,0)</f>
        <v>0</v>
      </c>
      <c r="AP119" s="96">
        <f>IF(U119=0,0,IF(AND(INDEX('MTRs'!$AX$6:$AX$505,T119)=1,Z119=0,OR(f_res="",f_res="(Todos)",C119=f_res)),1,0))</f>
        <v>0</v>
      </c>
      <c r="AQ119" s="97" t="str">
        <f>IF(U119=0,"",INDEX('MTRs'!$AZ$6:$AZ$505,T119))</f>
        <v/>
      </c>
      <c r="AR119" s="96">
        <f>IF(U119=0,0,IF(AND(INDEX('MTRs'!$BA$6:$BA$505,T119)=1,Z119=0),1,0))</f>
        <v>0</v>
      </c>
      <c r="AS119" s="96" t="str">
        <f>IF(R119=1,A119&amp;" | MTR "&amp;IF(U119=1,INDEX('MTRs'!$B$6:$B$505,T119)&amp;"","?")&amp;" | "&amp;IF(C119="","(sem resíduo)",C119),"")</f>
        <v/>
      </c>
      <c r="AT119" s="96" t="str">
        <f>IF(R119=1,COUNTIF($R$6:R119,1),"")</f>
        <v/>
      </c>
      <c r="AU119" s="96" t="str">
        <f>IF(U119=1,INDEX('MTRs'!$I$6:$I$505,T119)&amp;"","")</f>
        <v/>
      </c>
    </row>
    <row r="120">
      <c r="A120" s="89" t="inlineStr">
        <is>
          <t>IT-000115</t>
        </is>
      </c>
      <c r="B120" s="91" t="n"/>
      <c r="C120" s="91" t="n"/>
      <c r="D120" s="94" t="str">
        <f>IF(OR(R120=0,V120=0),"",INDEX('CAD_RESÍDUOS'!$E$6:$E$205,MATCH(C120,'CAD_RESÍDUOS'!$B$6:$B$205,0))&amp;"")</f>
        <v/>
      </c>
      <c r="E120" s="94" t="str">
        <f>IF(OR(R120=0,V120=0),"",INDEX('CAD_RESÍDUOS'!$C$6:$C$205,MATCH(C120,'CAD_RESÍDUOS'!$B$6:$B$205,0))&amp;"")</f>
        <v/>
      </c>
      <c r="F120" s="94" t="str">
        <f>IF(OR(R120=0,V120=0),"",INDEX('CAD_RESÍDUOS'!$G$6:$G$205,MATCH(C120,'CAD_RESÍDUOS'!$B$6:$B$205,0))&amp;"")</f>
        <v/>
      </c>
      <c r="G120" s="98" t="n"/>
      <c r="H120" s="91" t="n"/>
      <c r="I120" s="93" t="str">
        <f>IF(R120=0,"",IF(NOT(ISNUMBER(G120)),"",IF(ISNUMBER(X120),G120*X120,"UNIDADE A CONFERIR")))</f>
        <v/>
      </c>
      <c r="J120" s="91" t="n"/>
      <c r="K120" s="91" t="n"/>
      <c r="L120" s="93" t="str">
        <f>IF(R120=0,"",SUMIFS('RECEBIMENTOS'!$H$6:$H$1005,'RECEBIMENTOS'!$R$6:$R$1005,A120,'RECEBIMENTOS'!$X$6:$X$1005,1))</f>
        <v/>
      </c>
      <c r="M120" s="93" t="str">
        <f>IF(R120=0,"",SUMIFS('VÍNCULOS_CDF'!$H$6:$H$1005,'VÍNCULOS_CDF'!$R$6:$R$1005,A120,'VÍNCULOS_CDF'!$V$6:$V$1005,1))</f>
        <v/>
      </c>
      <c r="N120" s="99" t="str">
        <f>IF(OR(R120=0,AA120=0,NOT(ISNUMBER(I120))),"",I120-N(L120))</f>
        <v/>
      </c>
      <c r="O120" s="100" t="str">
        <f>IF(OR(R120=0,AK120&lt;=0),"",N(M120)/AK120)</f>
        <v/>
      </c>
      <c r="P120" s="94" t="str">
        <f>IF(R120=0,"",IF(S120="","Sem MTR associado",IF(U120=0,"MTR inexistente",IF(C120="","Resíduo não identificado",IF(V120=0,"Resíduo fora do cadastro",IF(W120=0,"Quantidade inválida",IF(H120="","Unidade não informada",IF(NOT(ISNUMBER(I120)),"Unidade a conferir",IF(AND(AH120=1,K120&lt;&gt;"Sim"),"Possível duplicidade",IF(Z120=1,"MTR cancelado",IF(AC120&gt;0,"Recebimento com alerta",IF(AA120=0,"Aguardando recebimento",IF(AB120&lt;AA120,"Recebimento a conferir",IF(AM120=1,"Quantidade a revisar",IF(AF120&gt;0,"Vínculo a revisar",IF(AD120=0,"Aguardando CDF",IF(AN120=0,"Vínculo de CDF parcial",IF(AE120&lt;AD120,"CDF a conferir","Documentação conferida"))))))))))))))))))</f>
        <v/>
      </c>
      <c r="Q120" s="93" t="str">
        <f>IF(OR(R120=0,AA120=0),"",MAX(0,N(L120)-N(M120)))</f>
        <v/>
      </c>
      <c r="R120" s="96">
        <f>IF(COUNTA(B120:C120,G120:H120,J120:K120)&gt;0,1,0)</f>
        <v>0</v>
      </c>
      <c r="S120" s="96" t="str">
        <f>IF(B120="","",TRIM(LEFT(B120,FIND(" |",B120&amp;" |")-1)))</f>
        <v/>
      </c>
      <c r="T120" s="96" t="str">
        <f>IF(S120="","",IFERROR(MATCH(S120,'MTRs'!$A$6:$A$505,0),""))</f>
        <v/>
      </c>
      <c r="U120" s="96">
        <f>IF(T120="",0,IF(INDEX('MTRs'!$Z$6:$Z$505,T120)=1,1,0))</f>
        <v>0</v>
      </c>
      <c r="V120" s="96">
        <f>IF(C120="",0,IF(ISNUMBER(MATCH(C120,'CAD_RESÍDUOS'!$B$6:$B$205,0)),1,0))</f>
        <v>0</v>
      </c>
      <c r="W120" s="96">
        <f>IF(AND(ISNUMBER(G120),G120&gt;0),1,0)</f>
        <v>0</v>
      </c>
      <c r="X120" s="96" t="str">
        <f>IF(H120="","",IFERROR(IF(ISNUMBER(INDEX(cfg_fac,MATCH(H120,cfg_units,0))),IF(INDEX(cfg_fac,MATCH(H120,cfg_units,0))&gt;0,INDEX(cfg_fac,MATCH(H120,cfg_units,0)),""),""),""))</f>
        <v/>
      </c>
      <c r="Y120" s="96">
        <f>IF(AND(W120=1,ISNUMBER(I120)),1,0)</f>
        <v>0</v>
      </c>
      <c r="Z120" s="96">
        <f>IF(U120=1,INDEX('MTRs'!$AA$6:$AA$505,T120),0)</f>
        <v>0</v>
      </c>
      <c r="AA120" s="96">
        <f>IF(R120=0,0,COUNTIFS('RECEBIMENTOS'!$R$6:$R$1005,A120,'RECEBIMENTOS'!$Q$6:$Q$1005,1))</f>
        <v>0</v>
      </c>
      <c r="AB120" s="96">
        <f>IF(R120=0,0,COUNTIFS('RECEBIMENTOS'!$R$6:$R$1005,A120,'RECEBIMENTOS'!$Z$6:$Z$1005,1))</f>
        <v>0</v>
      </c>
      <c r="AC120" s="96">
        <f>IF(R120=0,0,COUNTIFS('RECEBIMENTOS'!$R$6:$R$1005,A120,'RECEBIMENTOS'!$Y$6:$Y$1005,1))</f>
        <v>0</v>
      </c>
      <c r="AD120" s="96">
        <f>IF(R120=0,0,COUNTIFS('VÍNCULOS_CDF'!$R$6:$R$1005,A120,'VÍNCULOS_CDF'!$N$6:$N$1005,1))</f>
        <v>0</v>
      </c>
      <c r="AE120" s="96">
        <f>IF(R120=0,0,COUNTIFS('VÍNCULOS_CDF'!$R$6:$R$1005,A120,'VÍNCULOS_CDF'!$AA$6:$AA$1005,1))</f>
        <v>0</v>
      </c>
      <c r="AF120" s="96">
        <f>IF(R120=0,0,COUNTIFS('VÍNCULOS_CDF'!$R$6:$R$1005,A120,'VÍNCULOS_CDF'!$Y$6:$Y$1005,1))</f>
        <v>0</v>
      </c>
      <c r="AG120" s="96" t="str">
        <f>IF(AND(R120=1,S120&lt;&gt;"",C120&lt;&gt;""),S120&amp;"|"&amp;C120&amp;"|"&amp;G120&amp;"|"&amp;H120,"")</f>
        <v/>
      </c>
      <c r="AH120" s="96">
        <f>IF(AG120="",0,IF(SUMPRODUCT(--($AG$6:$AG$1005=AG120))&gt;1,1,0))</f>
        <v>0</v>
      </c>
      <c r="AI120" s="96">
        <f>IF(R120=0,0,IF(OR(U120=0,V120=0,Y120=0,AND(AH120=1,K120&lt;&gt;"Sim")),1,0))</f>
        <v>0</v>
      </c>
      <c r="AJ120" s="96">
        <f>IF(AND(R120=1,AA120&gt;0,AB120=AA120),1,0)</f>
        <v>0</v>
      </c>
      <c r="AK120" s="96">
        <f>IF(R120=0,0,IF(AA120&gt;0,N(L120),IF(ISNUMBER(I120),I120,0)))</f>
        <v>0</v>
      </c>
      <c r="AL120" s="96">
        <f>IF(R120=0,0,IF(AND(K120&lt;&gt;"Sim",N(M120)&gt;AK120+cfg_tol),1,0))</f>
        <v>0</v>
      </c>
      <c r="AM120" s="96">
        <f>IF(R120=0,0,IF(K120="Sim",0,IF(OR(AND(AA120&gt;0,ISNUMBER(I120),ABS(I120-N(L120))&gt;cfg_tol),AL120=1),1,0)))</f>
        <v>0</v>
      </c>
      <c r="AN120" s="96">
        <f>IF(AND(R120=1,N(M120)&gt;0,OR(N(M120)&gt;=AK120-cfg_tol,K120="Sim")),1,0)</f>
        <v>0</v>
      </c>
      <c r="AO120" s="96">
        <f>IF(AND(AN120=1,AD120&gt;0,AE120=AD120,AL120=0),1,0)</f>
        <v>0</v>
      </c>
      <c r="AP120" s="96">
        <f>IF(U120=0,0,IF(AND(INDEX('MTRs'!$AX$6:$AX$505,T120)=1,Z120=0,OR(f_res="",f_res="(Todos)",C120=f_res)),1,0))</f>
        <v>0</v>
      </c>
      <c r="AQ120" s="97" t="str">
        <f>IF(U120=0,"",INDEX('MTRs'!$AZ$6:$AZ$505,T120))</f>
        <v/>
      </c>
      <c r="AR120" s="96">
        <f>IF(U120=0,0,IF(AND(INDEX('MTRs'!$BA$6:$BA$505,T120)=1,Z120=0),1,0))</f>
        <v>0</v>
      </c>
      <c r="AS120" s="96" t="str">
        <f>IF(R120=1,A120&amp;" | MTR "&amp;IF(U120=1,INDEX('MTRs'!$B$6:$B$505,T120)&amp;"","?")&amp;" | "&amp;IF(C120="","(sem resíduo)",C120),"")</f>
        <v/>
      </c>
      <c r="AT120" s="96" t="str">
        <f>IF(R120=1,COUNTIF($R$6:R120,1),"")</f>
        <v/>
      </c>
      <c r="AU120" s="96" t="str">
        <f>IF(U120=1,INDEX('MTRs'!$I$6:$I$505,T120)&amp;"","")</f>
        <v/>
      </c>
    </row>
    <row r="121">
      <c r="A121" s="89" t="inlineStr">
        <is>
          <t>IT-000116</t>
        </is>
      </c>
      <c r="B121" s="91" t="n"/>
      <c r="C121" s="91" t="n"/>
      <c r="D121" s="94" t="str">
        <f>IF(OR(R121=0,V121=0),"",INDEX('CAD_RESÍDUOS'!$E$6:$E$205,MATCH(C121,'CAD_RESÍDUOS'!$B$6:$B$205,0))&amp;"")</f>
        <v/>
      </c>
      <c r="E121" s="94" t="str">
        <f>IF(OR(R121=0,V121=0),"",INDEX('CAD_RESÍDUOS'!$C$6:$C$205,MATCH(C121,'CAD_RESÍDUOS'!$B$6:$B$205,0))&amp;"")</f>
        <v/>
      </c>
      <c r="F121" s="94" t="str">
        <f>IF(OR(R121=0,V121=0),"",INDEX('CAD_RESÍDUOS'!$G$6:$G$205,MATCH(C121,'CAD_RESÍDUOS'!$B$6:$B$205,0))&amp;"")</f>
        <v/>
      </c>
      <c r="G121" s="98" t="n"/>
      <c r="H121" s="91" t="n"/>
      <c r="I121" s="93" t="str">
        <f>IF(R121=0,"",IF(NOT(ISNUMBER(G121)),"",IF(ISNUMBER(X121),G121*X121,"UNIDADE A CONFERIR")))</f>
        <v/>
      </c>
      <c r="J121" s="91" t="n"/>
      <c r="K121" s="91" t="n"/>
      <c r="L121" s="93" t="str">
        <f>IF(R121=0,"",SUMIFS('RECEBIMENTOS'!$H$6:$H$1005,'RECEBIMENTOS'!$R$6:$R$1005,A121,'RECEBIMENTOS'!$X$6:$X$1005,1))</f>
        <v/>
      </c>
      <c r="M121" s="93" t="str">
        <f>IF(R121=0,"",SUMIFS('VÍNCULOS_CDF'!$H$6:$H$1005,'VÍNCULOS_CDF'!$R$6:$R$1005,A121,'VÍNCULOS_CDF'!$V$6:$V$1005,1))</f>
        <v/>
      </c>
      <c r="N121" s="99" t="str">
        <f>IF(OR(R121=0,AA121=0,NOT(ISNUMBER(I121))),"",I121-N(L121))</f>
        <v/>
      </c>
      <c r="O121" s="100" t="str">
        <f>IF(OR(R121=0,AK121&lt;=0),"",N(M121)/AK121)</f>
        <v/>
      </c>
      <c r="P121" s="94" t="str">
        <f>IF(R121=0,"",IF(S121="","Sem MTR associado",IF(U121=0,"MTR inexistente",IF(C121="","Resíduo não identificado",IF(V121=0,"Resíduo fora do cadastro",IF(W121=0,"Quantidade inválida",IF(H121="","Unidade não informada",IF(NOT(ISNUMBER(I121)),"Unidade a conferir",IF(AND(AH121=1,K121&lt;&gt;"Sim"),"Possível duplicidade",IF(Z121=1,"MTR cancelado",IF(AC121&gt;0,"Recebimento com alerta",IF(AA121=0,"Aguardando recebimento",IF(AB121&lt;AA121,"Recebimento a conferir",IF(AM121=1,"Quantidade a revisar",IF(AF121&gt;0,"Vínculo a revisar",IF(AD121=0,"Aguardando CDF",IF(AN121=0,"Vínculo de CDF parcial",IF(AE121&lt;AD121,"CDF a conferir","Documentação conferida"))))))))))))))))))</f>
        <v/>
      </c>
      <c r="Q121" s="93" t="str">
        <f>IF(OR(R121=0,AA121=0),"",MAX(0,N(L121)-N(M121)))</f>
        <v/>
      </c>
      <c r="R121" s="96">
        <f>IF(COUNTA(B121:C121,G121:H121,J121:K121)&gt;0,1,0)</f>
        <v>0</v>
      </c>
      <c r="S121" s="96" t="str">
        <f>IF(B121="","",TRIM(LEFT(B121,FIND(" |",B121&amp;" |")-1)))</f>
        <v/>
      </c>
      <c r="T121" s="96" t="str">
        <f>IF(S121="","",IFERROR(MATCH(S121,'MTRs'!$A$6:$A$505,0),""))</f>
        <v/>
      </c>
      <c r="U121" s="96">
        <f>IF(T121="",0,IF(INDEX('MTRs'!$Z$6:$Z$505,T121)=1,1,0))</f>
        <v>0</v>
      </c>
      <c r="V121" s="96">
        <f>IF(C121="",0,IF(ISNUMBER(MATCH(C121,'CAD_RESÍDUOS'!$B$6:$B$205,0)),1,0))</f>
        <v>0</v>
      </c>
      <c r="W121" s="96">
        <f>IF(AND(ISNUMBER(G121),G121&gt;0),1,0)</f>
        <v>0</v>
      </c>
      <c r="X121" s="96" t="str">
        <f>IF(H121="","",IFERROR(IF(ISNUMBER(INDEX(cfg_fac,MATCH(H121,cfg_units,0))),IF(INDEX(cfg_fac,MATCH(H121,cfg_units,0))&gt;0,INDEX(cfg_fac,MATCH(H121,cfg_units,0)),""),""),""))</f>
        <v/>
      </c>
      <c r="Y121" s="96">
        <f>IF(AND(W121=1,ISNUMBER(I121)),1,0)</f>
        <v>0</v>
      </c>
      <c r="Z121" s="96">
        <f>IF(U121=1,INDEX('MTRs'!$AA$6:$AA$505,T121),0)</f>
        <v>0</v>
      </c>
      <c r="AA121" s="96">
        <f>IF(R121=0,0,COUNTIFS('RECEBIMENTOS'!$R$6:$R$1005,A121,'RECEBIMENTOS'!$Q$6:$Q$1005,1))</f>
        <v>0</v>
      </c>
      <c r="AB121" s="96">
        <f>IF(R121=0,0,COUNTIFS('RECEBIMENTOS'!$R$6:$R$1005,A121,'RECEBIMENTOS'!$Z$6:$Z$1005,1))</f>
        <v>0</v>
      </c>
      <c r="AC121" s="96">
        <f>IF(R121=0,0,COUNTIFS('RECEBIMENTOS'!$R$6:$R$1005,A121,'RECEBIMENTOS'!$Y$6:$Y$1005,1))</f>
        <v>0</v>
      </c>
      <c r="AD121" s="96">
        <f>IF(R121=0,0,COUNTIFS('VÍNCULOS_CDF'!$R$6:$R$1005,A121,'VÍNCULOS_CDF'!$N$6:$N$1005,1))</f>
        <v>0</v>
      </c>
      <c r="AE121" s="96">
        <f>IF(R121=0,0,COUNTIFS('VÍNCULOS_CDF'!$R$6:$R$1005,A121,'VÍNCULOS_CDF'!$AA$6:$AA$1005,1))</f>
        <v>0</v>
      </c>
      <c r="AF121" s="96">
        <f>IF(R121=0,0,COUNTIFS('VÍNCULOS_CDF'!$R$6:$R$1005,A121,'VÍNCULOS_CDF'!$Y$6:$Y$1005,1))</f>
        <v>0</v>
      </c>
      <c r="AG121" s="96" t="str">
        <f>IF(AND(R121=1,S121&lt;&gt;"",C121&lt;&gt;""),S121&amp;"|"&amp;C121&amp;"|"&amp;G121&amp;"|"&amp;H121,"")</f>
        <v/>
      </c>
      <c r="AH121" s="96">
        <f>IF(AG121="",0,IF(SUMPRODUCT(--($AG$6:$AG$1005=AG121))&gt;1,1,0))</f>
        <v>0</v>
      </c>
      <c r="AI121" s="96">
        <f>IF(R121=0,0,IF(OR(U121=0,V121=0,Y121=0,AND(AH121=1,K121&lt;&gt;"Sim")),1,0))</f>
        <v>0</v>
      </c>
      <c r="AJ121" s="96">
        <f>IF(AND(R121=1,AA121&gt;0,AB121=AA121),1,0)</f>
        <v>0</v>
      </c>
      <c r="AK121" s="96">
        <f>IF(R121=0,0,IF(AA121&gt;0,N(L121),IF(ISNUMBER(I121),I121,0)))</f>
        <v>0</v>
      </c>
      <c r="AL121" s="96">
        <f>IF(R121=0,0,IF(AND(K121&lt;&gt;"Sim",N(M121)&gt;AK121+cfg_tol),1,0))</f>
        <v>0</v>
      </c>
      <c r="AM121" s="96">
        <f>IF(R121=0,0,IF(K121="Sim",0,IF(OR(AND(AA121&gt;0,ISNUMBER(I121),ABS(I121-N(L121))&gt;cfg_tol),AL121=1),1,0)))</f>
        <v>0</v>
      </c>
      <c r="AN121" s="96">
        <f>IF(AND(R121=1,N(M121)&gt;0,OR(N(M121)&gt;=AK121-cfg_tol,K121="Sim")),1,0)</f>
        <v>0</v>
      </c>
      <c r="AO121" s="96">
        <f>IF(AND(AN121=1,AD121&gt;0,AE121=AD121,AL121=0),1,0)</f>
        <v>0</v>
      </c>
      <c r="AP121" s="96">
        <f>IF(U121=0,0,IF(AND(INDEX('MTRs'!$AX$6:$AX$505,T121)=1,Z121=0,OR(f_res="",f_res="(Todos)",C121=f_res)),1,0))</f>
        <v>0</v>
      </c>
      <c r="AQ121" s="97" t="str">
        <f>IF(U121=0,"",INDEX('MTRs'!$AZ$6:$AZ$505,T121))</f>
        <v/>
      </c>
      <c r="AR121" s="96">
        <f>IF(U121=0,0,IF(AND(INDEX('MTRs'!$BA$6:$BA$505,T121)=1,Z121=0),1,0))</f>
        <v>0</v>
      </c>
      <c r="AS121" s="96" t="str">
        <f>IF(R121=1,A121&amp;" | MTR "&amp;IF(U121=1,INDEX('MTRs'!$B$6:$B$505,T121)&amp;"","?")&amp;" | "&amp;IF(C121="","(sem resíduo)",C121),"")</f>
        <v/>
      </c>
      <c r="AT121" s="96" t="str">
        <f>IF(R121=1,COUNTIF($R$6:R121,1),"")</f>
        <v/>
      </c>
      <c r="AU121" s="96" t="str">
        <f>IF(U121=1,INDEX('MTRs'!$I$6:$I$505,T121)&amp;"","")</f>
        <v/>
      </c>
    </row>
    <row r="122">
      <c r="A122" s="89" t="inlineStr">
        <is>
          <t>IT-000117</t>
        </is>
      </c>
      <c r="B122" s="91" t="n"/>
      <c r="C122" s="91" t="n"/>
      <c r="D122" s="94" t="str">
        <f>IF(OR(R122=0,V122=0),"",INDEX('CAD_RESÍDUOS'!$E$6:$E$205,MATCH(C122,'CAD_RESÍDUOS'!$B$6:$B$205,0))&amp;"")</f>
        <v/>
      </c>
      <c r="E122" s="94" t="str">
        <f>IF(OR(R122=0,V122=0),"",INDEX('CAD_RESÍDUOS'!$C$6:$C$205,MATCH(C122,'CAD_RESÍDUOS'!$B$6:$B$205,0))&amp;"")</f>
        <v/>
      </c>
      <c r="F122" s="94" t="str">
        <f>IF(OR(R122=0,V122=0),"",INDEX('CAD_RESÍDUOS'!$G$6:$G$205,MATCH(C122,'CAD_RESÍDUOS'!$B$6:$B$205,0))&amp;"")</f>
        <v/>
      </c>
      <c r="G122" s="98" t="n"/>
      <c r="H122" s="91" t="n"/>
      <c r="I122" s="93" t="str">
        <f>IF(R122=0,"",IF(NOT(ISNUMBER(G122)),"",IF(ISNUMBER(X122),G122*X122,"UNIDADE A CONFERIR")))</f>
        <v/>
      </c>
      <c r="J122" s="91" t="n"/>
      <c r="K122" s="91" t="n"/>
      <c r="L122" s="93" t="str">
        <f>IF(R122=0,"",SUMIFS('RECEBIMENTOS'!$H$6:$H$1005,'RECEBIMENTOS'!$R$6:$R$1005,A122,'RECEBIMENTOS'!$X$6:$X$1005,1))</f>
        <v/>
      </c>
      <c r="M122" s="93" t="str">
        <f>IF(R122=0,"",SUMIFS('VÍNCULOS_CDF'!$H$6:$H$1005,'VÍNCULOS_CDF'!$R$6:$R$1005,A122,'VÍNCULOS_CDF'!$V$6:$V$1005,1))</f>
        <v/>
      </c>
      <c r="N122" s="99" t="str">
        <f>IF(OR(R122=0,AA122=0,NOT(ISNUMBER(I122))),"",I122-N(L122))</f>
        <v/>
      </c>
      <c r="O122" s="100" t="str">
        <f>IF(OR(R122=0,AK122&lt;=0),"",N(M122)/AK122)</f>
        <v/>
      </c>
      <c r="P122" s="94" t="str">
        <f>IF(R122=0,"",IF(S122="","Sem MTR associado",IF(U122=0,"MTR inexistente",IF(C122="","Resíduo não identificado",IF(V122=0,"Resíduo fora do cadastro",IF(W122=0,"Quantidade inválida",IF(H122="","Unidade não informada",IF(NOT(ISNUMBER(I122)),"Unidade a conferir",IF(AND(AH122=1,K122&lt;&gt;"Sim"),"Possível duplicidade",IF(Z122=1,"MTR cancelado",IF(AC122&gt;0,"Recebimento com alerta",IF(AA122=0,"Aguardando recebimento",IF(AB122&lt;AA122,"Recebimento a conferir",IF(AM122=1,"Quantidade a revisar",IF(AF122&gt;0,"Vínculo a revisar",IF(AD122=0,"Aguardando CDF",IF(AN122=0,"Vínculo de CDF parcial",IF(AE122&lt;AD122,"CDF a conferir","Documentação conferida"))))))))))))))))))</f>
        <v/>
      </c>
      <c r="Q122" s="93" t="str">
        <f>IF(OR(R122=0,AA122=0),"",MAX(0,N(L122)-N(M122)))</f>
        <v/>
      </c>
      <c r="R122" s="96">
        <f>IF(COUNTA(B122:C122,G122:H122,J122:K122)&gt;0,1,0)</f>
        <v>0</v>
      </c>
      <c r="S122" s="96" t="str">
        <f>IF(B122="","",TRIM(LEFT(B122,FIND(" |",B122&amp;" |")-1)))</f>
        <v/>
      </c>
      <c r="T122" s="96" t="str">
        <f>IF(S122="","",IFERROR(MATCH(S122,'MTRs'!$A$6:$A$505,0),""))</f>
        <v/>
      </c>
      <c r="U122" s="96">
        <f>IF(T122="",0,IF(INDEX('MTRs'!$Z$6:$Z$505,T122)=1,1,0))</f>
        <v>0</v>
      </c>
      <c r="V122" s="96">
        <f>IF(C122="",0,IF(ISNUMBER(MATCH(C122,'CAD_RESÍDUOS'!$B$6:$B$205,0)),1,0))</f>
        <v>0</v>
      </c>
      <c r="W122" s="96">
        <f>IF(AND(ISNUMBER(G122),G122&gt;0),1,0)</f>
        <v>0</v>
      </c>
      <c r="X122" s="96" t="str">
        <f>IF(H122="","",IFERROR(IF(ISNUMBER(INDEX(cfg_fac,MATCH(H122,cfg_units,0))),IF(INDEX(cfg_fac,MATCH(H122,cfg_units,0))&gt;0,INDEX(cfg_fac,MATCH(H122,cfg_units,0)),""),""),""))</f>
        <v/>
      </c>
      <c r="Y122" s="96">
        <f>IF(AND(W122=1,ISNUMBER(I122)),1,0)</f>
        <v>0</v>
      </c>
      <c r="Z122" s="96">
        <f>IF(U122=1,INDEX('MTRs'!$AA$6:$AA$505,T122),0)</f>
        <v>0</v>
      </c>
      <c r="AA122" s="96">
        <f>IF(R122=0,0,COUNTIFS('RECEBIMENTOS'!$R$6:$R$1005,A122,'RECEBIMENTOS'!$Q$6:$Q$1005,1))</f>
        <v>0</v>
      </c>
      <c r="AB122" s="96">
        <f>IF(R122=0,0,COUNTIFS('RECEBIMENTOS'!$R$6:$R$1005,A122,'RECEBIMENTOS'!$Z$6:$Z$1005,1))</f>
        <v>0</v>
      </c>
      <c r="AC122" s="96">
        <f>IF(R122=0,0,COUNTIFS('RECEBIMENTOS'!$R$6:$R$1005,A122,'RECEBIMENTOS'!$Y$6:$Y$1005,1))</f>
        <v>0</v>
      </c>
      <c r="AD122" s="96">
        <f>IF(R122=0,0,COUNTIFS('VÍNCULOS_CDF'!$R$6:$R$1005,A122,'VÍNCULOS_CDF'!$N$6:$N$1005,1))</f>
        <v>0</v>
      </c>
      <c r="AE122" s="96">
        <f>IF(R122=0,0,COUNTIFS('VÍNCULOS_CDF'!$R$6:$R$1005,A122,'VÍNCULOS_CDF'!$AA$6:$AA$1005,1))</f>
        <v>0</v>
      </c>
      <c r="AF122" s="96">
        <f>IF(R122=0,0,COUNTIFS('VÍNCULOS_CDF'!$R$6:$R$1005,A122,'VÍNCULOS_CDF'!$Y$6:$Y$1005,1))</f>
        <v>0</v>
      </c>
      <c r="AG122" s="96" t="str">
        <f>IF(AND(R122=1,S122&lt;&gt;"",C122&lt;&gt;""),S122&amp;"|"&amp;C122&amp;"|"&amp;G122&amp;"|"&amp;H122,"")</f>
        <v/>
      </c>
      <c r="AH122" s="96">
        <f>IF(AG122="",0,IF(SUMPRODUCT(--($AG$6:$AG$1005=AG122))&gt;1,1,0))</f>
        <v>0</v>
      </c>
      <c r="AI122" s="96">
        <f>IF(R122=0,0,IF(OR(U122=0,V122=0,Y122=0,AND(AH122=1,K122&lt;&gt;"Sim")),1,0))</f>
        <v>0</v>
      </c>
      <c r="AJ122" s="96">
        <f>IF(AND(R122=1,AA122&gt;0,AB122=AA122),1,0)</f>
        <v>0</v>
      </c>
      <c r="AK122" s="96">
        <f>IF(R122=0,0,IF(AA122&gt;0,N(L122),IF(ISNUMBER(I122),I122,0)))</f>
        <v>0</v>
      </c>
      <c r="AL122" s="96">
        <f>IF(R122=0,0,IF(AND(K122&lt;&gt;"Sim",N(M122)&gt;AK122+cfg_tol),1,0))</f>
        <v>0</v>
      </c>
      <c r="AM122" s="96">
        <f>IF(R122=0,0,IF(K122="Sim",0,IF(OR(AND(AA122&gt;0,ISNUMBER(I122),ABS(I122-N(L122))&gt;cfg_tol),AL122=1),1,0)))</f>
        <v>0</v>
      </c>
      <c r="AN122" s="96">
        <f>IF(AND(R122=1,N(M122)&gt;0,OR(N(M122)&gt;=AK122-cfg_tol,K122="Sim")),1,0)</f>
        <v>0</v>
      </c>
      <c r="AO122" s="96">
        <f>IF(AND(AN122=1,AD122&gt;0,AE122=AD122,AL122=0),1,0)</f>
        <v>0</v>
      </c>
      <c r="AP122" s="96">
        <f>IF(U122=0,0,IF(AND(INDEX('MTRs'!$AX$6:$AX$505,T122)=1,Z122=0,OR(f_res="",f_res="(Todos)",C122=f_res)),1,0))</f>
        <v>0</v>
      </c>
      <c r="AQ122" s="97" t="str">
        <f>IF(U122=0,"",INDEX('MTRs'!$AZ$6:$AZ$505,T122))</f>
        <v/>
      </c>
      <c r="AR122" s="96">
        <f>IF(U122=0,0,IF(AND(INDEX('MTRs'!$BA$6:$BA$505,T122)=1,Z122=0),1,0))</f>
        <v>0</v>
      </c>
      <c r="AS122" s="96" t="str">
        <f>IF(R122=1,A122&amp;" | MTR "&amp;IF(U122=1,INDEX('MTRs'!$B$6:$B$505,T122)&amp;"","?")&amp;" | "&amp;IF(C122="","(sem resíduo)",C122),"")</f>
        <v/>
      </c>
      <c r="AT122" s="96" t="str">
        <f>IF(R122=1,COUNTIF($R$6:R122,1),"")</f>
        <v/>
      </c>
      <c r="AU122" s="96" t="str">
        <f>IF(U122=1,INDEX('MTRs'!$I$6:$I$505,T122)&amp;"","")</f>
        <v/>
      </c>
    </row>
    <row r="123">
      <c r="A123" s="89" t="inlineStr">
        <is>
          <t>IT-000118</t>
        </is>
      </c>
      <c r="B123" s="91" t="n"/>
      <c r="C123" s="91" t="n"/>
      <c r="D123" s="94" t="str">
        <f>IF(OR(R123=0,V123=0),"",INDEX('CAD_RESÍDUOS'!$E$6:$E$205,MATCH(C123,'CAD_RESÍDUOS'!$B$6:$B$205,0))&amp;"")</f>
        <v/>
      </c>
      <c r="E123" s="94" t="str">
        <f>IF(OR(R123=0,V123=0),"",INDEX('CAD_RESÍDUOS'!$C$6:$C$205,MATCH(C123,'CAD_RESÍDUOS'!$B$6:$B$205,0))&amp;"")</f>
        <v/>
      </c>
      <c r="F123" s="94" t="str">
        <f>IF(OR(R123=0,V123=0),"",INDEX('CAD_RESÍDUOS'!$G$6:$G$205,MATCH(C123,'CAD_RESÍDUOS'!$B$6:$B$205,0))&amp;"")</f>
        <v/>
      </c>
      <c r="G123" s="98" t="n"/>
      <c r="H123" s="91" t="n"/>
      <c r="I123" s="93" t="str">
        <f>IF(R123=0,"",IF(NOT(ISNUMBER(G123)),"",IF(ISNUMBER(X123),G123*X123,"UNIDADE A CONFERIR")))</f>
        <v/>
      </c>
      <c r="J123" s="91" t="n"/>
      <c r="K123" s="91" t="n"/>
      <c r="L123" s="93" t="str">
        <f>IF(R123=0,"",SUMIFS('RECEBIMENTOS'!$H$6:$H$1005,'RECEBIMENTOS'!$R$6:$R$1005,A123,'RECEBIMENTOS'!$X$6:$X$1005,1))</f>
        <v/>
      </c>
      <c r="M123" s="93" t="str">
        <f>IF(R123=0,"",SUMIFS('VÍNCULOS_CDF'!$H$6:$H$1005,'VÍNCULOS_CDF'!$R$6:$R$1005,A123,'VÍNCULOS_CDF'!$V$6:$V$1005,1))</f>
        <v/>
      </c>
      <c r="N123" s="99" t="str">
        <f>IF(OR(R123=0,AA123=0,NOT(ISNUMBER(I123))),"",I123-N(L123))</f>
        <v/>
      </c>
      <c r="O123" s="100" t="str">
        <f>IF(OR(R123=0,AK123&lt;=0),"",N(M123)/AK123)</f>
        <v/>
      </c>
      <c r="P123" s="94" t="str">
        <f>IF(R123=0,"",IF(S123="","Sem MTR associado",IF(U123=0,"MTR inexistente",IF(C123="","Resíduo não identificado",IF(V123=0,"Resíduo fora do cadastro",IF(W123=0,"Quantidade inválida",IF(H123="","Unidade não informada",IF(NOT(ISNUMBER(I123)),"Unidade a conferir",IF(AND(AH123=1,K123&lt;&gt;"Sim"),"Possível duplicidade",IF(Z123=1,"MTR cancelado",IF(AC123&gt;0,"Recebimento com alerta",IF(AA123=0,"Aguardando recebimento",IF(AB123&lt;AA123,"Recebimento a conferir",IF(AM123=1,"Quantidade a revisar",IF(AF123&gt;0,"Vínculo a revisar",IF(AD123=0,"Aguardando CDF",IF(AN123=0,"Vínculo de CDF parcial",IF(AE123&lt;AD123,"CDF a conferir","Documentação conferida"))))))))))))))))))</f>
        <v/>
      </c>
      <c r="Q123" s="93" t="str">
        <f>IF(OR(R123=0,AA123=0),"",MAX(0,N(L123)-N(M123)))</f>
        <v/>
      </c>
      <c r="R123" s="96">
        <f>IF(COUNTA(B123:C123,G123:H123,J123:K123)&gt;0,1,0)</f>
        <v>0</v>
      </c>
      <c r="S123" s="96" t="str">
        <f>IF(B123="","",TRIM(LEFT(B123,FIND(" |",B123&amp;" |")-1)))</f>
        <v/>
      </c>
      <c r="T123" s="96" t="str">
        <f>IF(S123="","",IFERROR(MATCH(S123,'MTRs'!$A$6:$A$505,0),""))</f>
        <v/>
      </c>
      <c r="U123" s="96">
        <f>IF(T123="",0,IF(INDEX('MTRs'!$Z$6:$Z$505,T123)=1,1,0))</f>
        <v>0</v>
      </c>
      <c r="V123" s="96">
        <f>IF(C123="",0,IF(ISNUMBER(MATCH(C123,'CAD_RESÍDUOS'!$B$6:$B$205,0)),1,0))</f>
        <v>0</v>
      </c>
      <c r="W123" s="96">
        <f>IF(AND(ISNUMBER(G123),G123&gt;0),1,0)</f>
        <v>0</v>
      </c>
      <c r="X123" s="96" t="str">
        <f>IF(H123="","",IFERROR(IF(ISNUMBER(INDEX(cfg_fac,MATCH(H123,cfg_units,0))),IF(INDEX(cfg_fac,MATCH(H123,cfg_units,0))&gt;0,INDEX(cfg_fac,MATCH(H123,cfg_units,0)),""),""),""))</f>
        <v/>
      </c>
      <c r="Y123" s="96">
        <f>IF(AND(W123=1,ISNUMBER(I123)),1,0)</f>
        <v>0</v>
      </c>
      <c r="Z123" s="96">
        <f>IF(U123=1,INDEX('MTRs'!$AA$6:$AA$505,T123),0)</f>
        <v>0</v>
      </c>
      <c r="AA123" s="96">
        <f>IF(R123=0,0,COUNTIFS('RECEBIMENTOS'!$R$6:$R$1005,A123,'RECEBIMENTOS'!$Q$6:$Q$1005,1))</f>
        <v>0</v>
      </c>
      <c r="AB123" s="96">
        <f>IF(R123=0,0,COUNTIFS('RECEBIMENTOS'!$R$6:$R$1005,A123,'RECEBIMENTOS'!$Z$6:$Z$1005,1))</f>
        <v>0</v>
      </c>
      <c r="AC123" s="96">
        <f>IF(R123=0,0,COUNTIFS('RECEBIMENTOS'!$R$6:$R$1005,A123,'RECEBIMENTOS'!$Y$6:$Y$1005,1))</f>
        <v>0</v>
      </c>
      <c r="AD123" s="96">
        <f>IF(R123=0,0,COUNTIFS('VÍNCULOS_CDF'!$R$6:$R$1005,A123,'VÍNCULOS_CDF'!$N$6:$N$1005,1))</f>
        <v>0</v>
      </c>
      <c r="AE123" s="96">
        <f>IF(R123=0,0,COUNTIFS('VÍNCULOS_CDF'!$R$6:$R$1005,A123,'VÍNCULOS_CDF'!$AA$6:$AA$1005,1))</f>
        <v>0</v>
      </c>
      <c r="AF123" s="96">
        <f>IF(R123=0,0,COUNTIFS('VÍNCULOS_CDF'!$R$6:$R$1005,A123,'VÍNCULOS_CDF'!$Y$6:$Y$1005,1))</f>
        <v>0</v>
      </c>
      <c r="AG123" s="96" t="str">
        <f>IF(AND(R123=1,S123&lt;&gt;"",C123&lt;&gt;""),S123&amp;"|"&amp;C123&amp;"|"&amp;G123&amp;"|"&amp;H123,"")</f>
        <v/>
      </c>
      <c r="AH123" s="96">
        <f>IF(AG123="",0,IF(SUMPRODUCT(--($AG$6:$AG$1005=AG123))&gt;1,1,0))</f>
        <v>0</v>
      </c>
      <c r="AI123" s="96">
        <f>IF(R123=0,0,IF(OR(U123=0,V123=0,Y123=0,AND(AH123=1,K123&lt;&gt;"Sim")),1,0))</f>
        <v>0</v>
      </c>
      <c r="AJ123" s="96">
        <f>IF(AND(R123=1,AA123&gt;0,AB123=AA123),1,0)</f>
        <v>0</v>
      </c>
      <c r="AK123" s="96">
        <f>IF(R123=0,0,IF(AA123&gt;0,N(L123),IF(ISNUMBER(I123),I123,0)))</f>
        <v>0</v>
      </c>
      <c r="AL123" s="96">
        <f>IF(R123=0,0,IF(AND(K123&lt;&gt;"Sim",N(M123)&gt;AK123+cfg_tol),1,0))</f>
        <v>0</v>
      </c>
      <c r="AM123" s="96">
        <f>IF(R123=0,0,IF(K123="Sim",0,IF(OR(AND(AA123&gt;0,ISNUMBER(I123),ABS(I123-N(L123))&gt;cfg_tol),AL123=1),1,0)))</f>
        <v>0</v>
      </c>
      <c r="AN123" s="96">
        <f>IF(AND(R123=1,N(M123)&gt;0,OR(N(M123)&gt;=AK123-cfg_tol,K123="Sim")),1,0)</f>
        <v>0</v>
      </c>
      <c r="AO123" s="96">
        <f>IF(AND(AN123=1,AD123&gt;0,AE123=AD123,AL123=0),1,0)</f>
        <v>0</v>
      </c>
      <c r="AP123" s="96">
        <f>IF(U123=0,0,IF(AND(INDEX('MTRs'!$AX$6:$AX$505,T123)=1,Z123=0,OR(f_res="",f_res="(Todos)",C123=f_res)),1,0))</f>
        <v>0</v>
      </c>
      <c r="AQ123" s="97" t="str">
        <f>IF(U123=0,"",INDEX('MTRs'!$AZ$6:$AZ$505,T123))</f>
        <v/>
      </c>
      <c r="AR123" s="96">
        <f>IF(U123=0,0,IF(AND(INDEX('MTRs'!$BA$6:$BA$505,T123)=1,Z123=0),1,0))</f>
        <v>0</v>
      </c>
      <c r="AS123" s="96" t="str">
        <f>IF(R123=1,A123&amp;" | MTR "&amp;IF(U123=1,INDEX('MTRs'!$B$6:$B$505,T123)&amp;"","?")&amp;" | "&amp;IF(C123="","(sem resíduo)",C123),"")</f>
        <v/>
      </c>
      <c r="AT123" s="96" t="str">
        <f>IF(R123=1,COUNTIF($R$6:R123,1),"")</f>
        <v/>
      </c>
      <c r="AU123" s="96" t="str">
        <f>IF(U123=1,INDEX('MTRs'!$I$6:$I$505,T123)&amp;"","")</f>
        <v/>
      </c>
    </row>
    <row r="124">
      <c r="A124" s="89" t="inlineStr">
        <is>
          <t>IT-000119</t>
        </is>
      </c>
      <c r="B124" s="91" t="n"/>
      <c r="C124" s="91" t="n"/>
      <c r="D124" s="94" t="str">
        <f>IF(OR(R124=0,V124=0),"",INDEX('CAD_RESÍDUOS'!$E$6:$E$205,MATCH(C124,'CAD_RESÍDUOS'!$B$6:$B$205,0))&amp;"")</f>
        <v/>
      </c>
      <c r="E124" s="94" t="str">
        <f>IF(OR(R124=0,V124=0),"",INDEX('CAD_RESÍDUOS'!$C$6:$C$205,MATCH(C124,'CAD_RESÍDUOS'!$B$6:$B$205,0))&amp;"")</f>
        <v/>
      </c>
      <c r="F124" s="94" t="str">
        <f>IF(OR(R124=0,V124=0),"",INDEX('CAD_RESÍDUOS'!$G$6:$G$205,MATCH(C124,'CAD_RESÍDUOS'!$B$6:$B$205,0))&amp;"")</f>
        <v/>
      </c>
      <c r="G124" s="98" t="n"/>
      <c r="H124" s="91" t="n"/>
      <c r="I124" s="93" t="str">
        <f>IF(R124=0,"",IF(NOT(ISNUMBER(G124)),"",IF(ISNUMBER(X124),G124*X124,"UNIDADE A CONFERIR")))</f>
        <v/>
      </c>
      <c r="J124" s="91" t="n"/>
      <c r="K124" s="91" t="n"/>
      <c r="L124" s="93" t="str">
        <f>IF(R124=0,"",SUMIFS('RECEBIMENTOS'!$H$6:$H$1005,'RECEBIMENTOS'!$R$6:$R$1005,A124,'RECEBIMENTOS'!$X$6:$X$1005,1))</f>
        <v/>
      </c>
      <c r="M124" s="93" t="str">
        <f>IF(R124=0,"",SUMIFS('VÍNCULOS_CDF'!$H$6:$H$1005,'VÍNCULOS_CDF'!$R$6:$R$1005,A124,'VÍNCULOS_CDF'!$V$6:$V$1005,1))</f>
        <v/>
      </c>
      <c r="N124" s="99" t="str">
        <f>IF(OR(R124=0,AA124=0,NOT(ISNUMBER(I124))),"",I124-N(L124))</f>
        <v/>
      </c>
      <c r="O124" s="100" t="str">
        <f>IF(OR(R124=0,AK124&lt;=0),"",N(M124)/AK124)</f>
        <v/>
      </c>
      <c r="P124" s="94" t="str">
        <f>IF(R124=0,"",IF(S124="","Sem MTR associado",IF(U124=0,"MTR inexistente",IF(C124="","Resíduo não identificado",IF(V124=0,"Resíduo fora do cadastro",IF(W124=0,"Quantidade inválida",IF(H124="","Unidade não informada",IF(NOT(ISNUMBER(I124)),"Unidade a conferir",IF(AND(AH124=1,K124&lt;&gt;"Sim"),"Possível duplicidade",IF(Z124=1,"MTR cancelado",IF(AC124&gt;0,"Recebimento com alerta",IF(AA124=0,"Aguardando recebimento",IF(AB124&lt;AA124,"Recebimento a conferir",IF(AM124=1,"Quantidade a revisar",IF(AF124&gt;0,"Vínculo a revisar",IF(AD124=0,"Aguardando CDF",IF(AN124=0,"Vínculo de CDF parcial",IF(AE124&lt;AD124,"CDF a conferir","Documentação conferida"))))))))))))))))))</f>
        <v/>
      </c>
      <c r="Q124" s="93" t="str">
        <f>IF(OR(R124=0,AA124=0),"",MAX(0,N(L124)-N(M124)))</f>
        <v/>
      </c>
      <c r="R124" s="96">
        <f>IF(COUNTA(B124:C124,G124:H124,J124:K124)&gt;0,1,0)</f>
        <v>0</v>
      </c>
      <c r="S124" s="96" t="str">
        <f>IF(B124="","",TRIM(LEFT(B124,FIND(" |",B124&amp;" |")-1)))</f>
        <v/>
      </c>
      <c r="T124" s="96" t="str">
        <f>IF(S124="","",IFERROR(MATCH(S124,'MTRs'!$A$6:$A$505,0),""))</f>
        <v/>
      </c>
      <c r="U124" s="96">
        <f>IF(T124="",0,IF(INDEX('MTRs'!$Z$6:$Z$505,T124)=1,1,0))</f>
        <v>0</v>
      </c>
      <c r="V124" s="96">
        <f>IF(C124="",0,IF(ISNUMBER(MATCH(C124,'CAD_RESÍDUOS'!$B$6:$B$205,0)),1,0))</f>
        <v>0</v>
      </c>
      <c r="W124" s="96">
        <f>IF(AND(ISNUMBER(G124),G124&gt;0),1,0)</f>
        <v>0</v>
      </c>
      <c r="X124" s="96" t="str">
        <f>IF(H124="","",IFERROR(IF(ISNUMBER(INDEX(cfg_fac,MATCH(H124,cfg_units,0))),IF(INDEX(cfg_fac,MATCH(H124,cfg_units,0))&gt;0,INDEX(cfg_fac,MATCH(H124,cfg_units,0)),""),""),""))</f>
        <v/>
      </c>
      <c r="Y124" s="96">
        <f>IF(AND(W124=1,ISNUMBER(I124)),1,0)</f>
        <v>0</v>
      </c>
      <c r="Z124" s="96">
        <f>IF(U124=1,INDEX('MTRs'!$AA$6:$AA$505,T124),0)</f>
        <v>0</v>
      </c>
      <c r="AA124" s="96">
        <f>IF(R124=0,0,COUNTIFS('RECEBIMENTOS'!$R$6:$R$1005,A124,'RECEBIMENTOS'!$Q$6:$Q$1005,1))</f>
        <v>0</v>
      </c>
      <c r="AB124" s="96">
        <f>IF(R124=0,0,COUNTIFS('RECEBIMENTOS'!$R$6:$R$1005,A124,'RECEBIMENTOS'!$Z$6:$Z$1005,1))</f>
        <v>0</v>
      </c>
      <c r="AC124" s="96">
        <f>IF(R124=0,0,COUNTIFS('RECEBIMENTOS'!$R$6:$R$1005,A124,'RECEBIMENTOS'!$Y$6:$Y$1005,1))</f>
        <v>0</v>
      </c>
      <c r="AD124" s="96">
        <f>IF(R124=0,0,COUNTIFS('VÍNCULOS_CDF'!$R$6:$R$1005,A124,'VÍNCULOS_CDF'!$N$6:$N$1005,1))</f>
        <v>0</v>
      </c>
      <c r="AE124" s="96">
        <f>IF(R124=0,0,COUNTIFS('VÍNCULOS_CDF'!$R$6:$R$1005,A124,'VÍNCULOS_CDF'!$AA$6:$AA$1005,1))</f>
        <v>0</v>
      </c>
      <c r="AF124" s="96">
        <f>IF(R124=0,0,COUNTIFS('VÍNCULOS_CDF'!$R$6:$R$1005,A124,'VÍNCULOS_CDF'!$Y$6:$Y$1005,1))</f>
        <v>0</v>
      </c>
      <c r="AG124" s="96" t="str">
        <f>IF(AND(R124=1,S124&lt;&gt;"",C124&lt;&gt;""),S124&amp;"|"&amp;C124&amp;"|"&amp;G124&amp;"|"&amp;H124,"")</f>
        <v/>
      </c>
      <c r="AH124" s="96">
        <f>IF(AG124="",0,IF(SUMPRODUCT(--($AG$6:$AG$1005=AG124))&gt;1,1,0))</f>
        <v>0</v>
      </c>
      <c r="AI124" s="96">
        <f>IF(R124=0,0,IF(OR(U124=0,V124=0,Y124=0,AND(AH124=1,K124&lt;&gt;"Sim")),1,0))</f>
        <v>0</v>
      </c>
      <c r="AJ124" s="96">
        <f>IF(AND(R124=1,AA124&gt;0,AB124=AA124),1,0)</f>
        <v>0</v>
      </c>
      <c r="AK124" s="96">
        <f>IF(R124=0,0,IF(AA124&gt;0,N(L124),IF(ISNUMBER(I124),I124,0)))</f>
        <v>0</v>
      </c>
      <c r="AL124" s="96">
        <f>IF(R124=0,0,IF(AND(K124&lt;&gt;"Sim",N(M124)&gt;AK124+cfg_tol),1,0))</f>
        <v>0</v>
      </c>
      <c r="AM124" s="96">
        <f>IF(R124=0,0,IF(K124="Sim",0,IF(OR(AND(AA124&gt;0,ISNUMBER(I124),ABS(I124-N(L124))&gt;cfg_tol),AL124=1),1,0)))</f>
        <v>0</v>
      </c>
      <c r="AN124" s="96">
        <f>IF(AND(R124=1,N(M124)&gt;0,OR(N(M124)&gt;=AK124-cfg_tol,K124="Sim")),1,0)</f>
        <v>0</v>
      </c>
      <c r="AO124" s="96">
        <f>IF(AND(AN124=1,AD124&gt;0,AE124=AD124,AL124=0),1,0)</f>
        <v>0</v>
      </c>
      <c r="AP124" s="96">
        <f>IF(U124=0,0,IF(AND(INDEX('MTRs'!$AX$6:$AX$505,T124)=1,Z124=0,OR(f_res="",f_res="(Todos)",C124=f_res)),1,0))</f>
        <v>0</v>
      </c>
      <c r="AQ124" s="97" t="str">
        <f>IF(U124=0,"",INDEX('MTRs'!$AZ$6:$AZ$505,T124))</f>
        <v/>
      </c>
      <c r="AR124" s="96">
        <f>IF(U124=0,0,IF(AND(INDEX('MTRs'!$BA$6:$BA$505,T124)=1,Z124=0),1,0))</f>
        <v>0</v>
      </c>
      <c r="AS124" s="96" t="str">
        <f>IF(R124=1,A124&amp;" | MTR "&amp;IF(U124=1,INDEX('MTRs'!$B$6:$B$505,T124)&amp;"","?")&amp;" | "&amp;IF(C124="","(sem resíduo)",C124),"")</f>
        <v/>
      </c>
      <c r="AT124" s="96" t="str">
        <f>IF(R124=1,COUNTIF($R$6:R124,1),"")</f>
        <v/>
      </c>
      <c r="AU124" s="96" t="str">
        <f>IF(U124=1,INDEX('MTRs'!$I$6:$I$505,T124)&amp;"","")</f>
        <v/>
      </c>
    </row>
    <row r="125">
      <c r="A125" s="89" t="inlineStr">
        <is>
          <t>IT-000120</t>
        </is>
      </c>
      <c r="B125" s="91" t="n"/>
      <c r="C125" s="91" t="n"/>
      <c r="D125" s="94" t="str">
        <f>IF(OR(R125=0,V125=0),"",INDEX('CAD_RESÍDUOS'!$E$6:$E$205,MATCH(C125,'CAD_RESÍDUOS'!$B$6:$B$205,0))&amp;"")</f>
        <v/>
      </c>
      <c r="E125" s="94" t="str">
        <f>IF(OR(R125=0,V125=0),"",INDEX('CAD_RESÍDUOS'!$C$6:$C$205,MATCH(C125,'CAD_RESÍDUOS'!$B$6:$B$205,0))&amp;"")</f>
        <v/>
      </c>
      <c r="F125" s="94" t="str">
        <f>IF(OR(R125=0,V125=0),"",INDEX('CAD_RESÍDUOS'!$G$6:$G$205,MATCH(C125,'CAD_RESÍDUOS'!$B$6:$B$205,0))&amp;"")</f>
        <v/>
      </c>
      <c r="G125" s="98" t="n"/>
      <c r="H125" s="91" t="n"/>
      <c r="I125" s="93" t="str">
        <f>IF(R125=0,"",IF(NOT(ISNUMBER(G125)),"",IF(ISNUMBER(X125),G125*X125,"UNIDADE A CONFERIR")))</f>
        <v/>
      </c>
      <c r="J125" s="91" t="n"/>
      <c r="K125" s="91" t="n"/>
      <c r="L125" s="93" t="str">
        <f>IF(R125=0,"",SUMIFS('RECEBIMENTOS'!$H$6:$H$1005,'RECEBIMENTOS'!$R$6:$R$1005,A125,'RECEBIMENTOS'!$X$6:$X$1005,1))</f>
        <v/>
      </c>
      <c r="M125" s="93" t="str">
        <f>IF(R125=0,"",SUMIFS('VÍNCULOS_CDF'!$H$6:$H$1005,'VÍNCULOS_CDF'!$R$6:$R$1005,A125,'VÍNCULOS_CDF'!$V$6:$V$1005,1))</f>
        <v/>
      </c>
      <c r="N125" s="99" t="str">
        <f>IF(OR(R125=0,AA125=0,NOT(ISNUMBER(I125))),"",I125-N(L125))</f>
        <v/>
      </c>
      <c r="O125" s="100" t="str">
        <f>IF(OR(R125=0,AK125&lt;=0),"",N(M125)/AK125)</f>
        <v/>
      </c>
      <c r="P125" s="94" t="str">
        <f>IF(R125=0,"",IF(S125="","Sem MTR associado",IF(U125=0,"MTR inexistente",IF(C125="","Resíduo não identificado",IF(V125=0,"Resíduo fora do cadastro",IF(W125=0,"Quantidade inválida",IF(H125="","Unidade não informada",IF(NOT(ISNUMBER(I125)),"Unidade a conferir",IF(AND(AH125=1,K125&lt;&gt;"Sim"),"Possível duplicidade",IF(Z125=1,"MTR cancelado",IF(AC125&gt;0,"Recebimento com alerta",IF(AA125=0,"Aguardando recebimento",IF(AB125&lt;AA125,"Recebimento a conferir",IF(AM125=1,"Quantidade a revisar",IF(AF125&gt;0,"Vínculo a revisar",IF(AD125=0,"Aguardando CDF",IF(AN125=0,"Vínculo de CDF parcial",IF(AE125&lt;AD125,"CDF a conferir","Documentação conferida"))))))))))))))))))</f>
        <v/>
      </c>
      <c r="Q125" s="93" t="str">
        <f>IF(OR(R125=0,AA125=0),"",MAX(0,N(L125)-N(M125)))</f>
        <v/>
      </c>
      <c r="R125" s="96">
        <f>IF(COUNTA(B125:C125,G125:H125,J125:K125)&gt;0,1,0)</f>
        <v>0</v>
      </c>
      <c r="S125" s="96" t="str">
        <f>IF(B125="","",TRIM(LEFT(B125,FIND(" |",B125&amp;" |")-1)))</f>
        <v/>
      </c>
      <c r="T125" s="96" t="str">
        <f>IF(S125="","",IFERROR(MATCH(S125,'MTRs'!$A$6:$A$505,0),""))</f>
        <v/>
      </c>
      <c r="U125" s="96">
        <f>IF(T125="",0,IF(INDEX('MTRs'!$Z$6:$Z$505,T125)=1,1,0))</f>
        <v>0</v>
      </c>
      <c r="V125" s="96">
        <f>IF(C125="",0,IF(ISNUMBER(MATCH(C125,'CAD_RESÍDUOS'!$B$6:$B$205,0)),1,0))</f>
        <v>0</v>
      </c>
      <c r="W125" s="96">
        <f>IF(AND(ISNUMBER(G125),G125&gt;0),1,0)</f>
        <v>0</v>
      </c>
      <c r="X125" s="96" t="str">
        <f>IF(H125="","",IFERROR(IF(ISNUMBER(INDEX(cfg_fac,MATCH(H125,cfg_units,0))),IF(INDEX(cfg_fac,MATCH(H125,cfg_units,0))&gt;0,INDEX(cfg_fac,MATCH(H125,cfg_units,0)),""),""),""))</f>
        <v/>
      </c>
      <c r="Y125" s="96">
        <f>IF(AND(W125=1,ISNUMBER(I125)),1,0)</f>
        <v>0</v>
      </c>
      <c r="Z125" s="96">
        <f>IF(U125=1,INDEX('MTRs'!$AA$6:$AA$505,T125),0)</f>
        <v>0</v>
      </c>
      <c r="AA125" s="96">
        <f>IF(R125=0,0,COUNTIFS('RECEBIMENTOS'!$R$6:$R$1005,A125,'RECEBIMENTOS'!$Q$6:$Q$1005,1))</f>
        <v>0</v>
      </c>
      <c r="AB125" s="96">
        <f>IF(R125=0,0,COUNTIFS('RECEBIMENTOS'!$R$6:$R$1005,A125,'RECEBIMENTOS'!$Z$6:$Z$1005,1))</f>
        <v>0</v>
      </c>
      <c r="AC125" s="96">
        <f>IF(R125=0,0,COUNTIFS('RECEBIMENTOS'!$R$6:$R$1005,A125,'RECEBIMENTOS'!$Y$6:$Y$1005,1))</f>
        <v>0</v>
      </c>
      <c r="AD125" s="96">
        <f>IF(R125=0,0,COUNTIFS('VÍNCULOS_CDF'!$R$6:$R$1005,A125,'VÍNCULOS_CDF'!$N$6:$N$1005,1))</f>
        <v>0</v>
      </c>
      <c r="AE125" s="96">
        <f>IF(R125=0,0,COUNTIFS('VÍNCULOS_CDF'!$R$6:$R$1005,A125,'VÍNCULOS_CDF'!$AA$6:$AA$1005,1))</f>
        <v>0</v>
      </c>
      <c r="AF125" s="96">
        <f>IF(R125=0,0,COUNTIFS('VÍNCULOS_CDF'!$R$6:$R$1005,A125,'VÍNCULOS_CDF'!$Y$6:$Y$1005,1))</f>
        <v>0</v>
      </c>
      <c r="AG125" s="96" t="str">
        <f>IF(AND(R125=1,S125&lt;&gt;"",C125&lt;&gt;""),S125&amp;"|"&amp;C125&amp;"|"&amp;G125&amp;"|"&amp;H125,"")</f>
        <v/>
      </c>
      <c r="AH125" s="96">
        <f>IF(AG125="",0,IF(SUMPRODUCT(--($AG$6:$AG$1005=AG125))&gt;1,1,0))</f>
        <v>0</v>
      </c>
      <c r="AI125" s="96">
        <f>IF(R125=0,0,IF(OR(U125=0,V125=0,Y125=0,AND(AH125=1,K125&lt;&gt;"Sim")),1,0))</f>
        <v>0</v>
      </c>
      <c r="AJ125" s="96">
        <f>IF(AND(R125=1,AA125&gt;0,AB125=AA125),1,0)</f>
        <v>0</v>
      </c>
      <c r="AK125" s="96">
        <f>IF(R125=0,0,IF(AA125&gt;0,N(L125),IF(ISNUMBER(I125),I125,0)))</f>
        <v>0</v>
      </c>
      <c r="AL125" s="96">
        <f>IF(R125=0,0,IF(AND(K125&lt;&gt;"Sim",N(M125)&gt;AK125+cfg_tol),1,0))</f>
        <v>0</v>
      </c>
      <c r="AM125" s="96">
        <f>IF(R125=0,0,IF(K125="Sim",0,IF(OR(AND(AA125&gt;0,ISNUMBER(I125),ABS(I125-N(L125))&gt;cfg_tol),AL125=1),1,0)))</f>
        <v>0</v>
      </c>
      <c r="AN125" s="96">
        <f>IF(AND(R125=1,N(M125)&gt;0,OR(N(M125)&gt;=AK125-cfg_tol,K125="Sim")),1,0)</f>
        <v>0</v>
      </c>
      <c r="AO125" s="96">
        <f>IF(AND(AN125=1,AD125&gt;0,AE125=AD125,AL125=0),1,0)</f>
        <v>0</v>
      </c>
      <c r="AP125" s="96">
        <f>IF(U125=0,0,IF(AND(INDEX('MTRs'!$AX$6:$AX$505,T125)=1,Z125=0,OR(f_res="",f_res="(Todos)",C125=f_res)),1,0))</f>
        <v>0</v>
      </c>
      <c r="AQ125" s="97" t="str">
        <f>IF(U125=0,"",INDEX('MTRs'!$AZ$6:$AZ$505,T125))</f>
        <v/>
      </c>
      <c r="AR125" s="96">
        <f>IF(U125=0,0,IF(AND(INDEX('MTRs'!$BA$6:$BA$505,T125)=1,Z125=0),1,0))</f>
        <v>0</v>
      </c>
      <c r="AS125" s="96" t="str">
        <f>IF(R125=1,A125&amp;" | MTR "&amp;IF(U125=1,INDEX('MTRs'!$B$6:$B$505,T125)&amp;"","?")&amp;" | "&amp;IF(C125="","(sem resíduo)",C125),"")</f>
        <v/>
      </c>
      <c r="AT125" s="96" t="str">
        <f>IF(R125=1,COUNTIF($R$6:R125,1),"")</f>
        <v/>
      </c>
      <c r="AU125" s="96" t="str">
        <f>IF(U125=1,INDEX('MTRs'!$I$6:$I$505,T125)&amp;"","")</f>
        <v/>
      </c>
    </row>
    <row r="126">
      <c r="A126" s="89" t="inlineStr">
        <is>
          <t>IT-000121</t>
        </is>
      </c>
      <c r="B126" s="91" t="n"/>
      <c r="C126" s="91" t="n"/>
      <c r="D126" s="94" t="str">
        <f>IF(OR(R126=0,V126=0),"",INDEX('CAD_RESÍDUOS'!$E$6:$E$205,MATCH(C126,'CAD_RESÍDUOS'!$B$6:$B$205,0))&amp;"")</f>
        <v/>
      </c>
      <c r="E126" s="94" t="str">
        <f>IF(OR(R126=0,V126=0),"",INDEX('CAD_RESÍDUOS'!$C$6:$C$205,MATCH(C126,'CAD_RESÍDUOS'!$B$6:$B$205,0))&amp;"")</f>
        <v/>
      </c>
      <c r="F126" s="94" t="str">
        <f>IF(OR(R126=0,V126=0),"",INDEX('CAD_RESÍDUOS'!$G$6:$G$205,MATCH(C126,'CAD_RESÍDUOS'!$B$6:$B$205,0))&amp;"")</f>
        <v/>
      </c>
      <c r="G126" s="98" t="n"/>
      <c r="H126" s="91" t="n"/>
      <c r="I126" s="93" t="str">
        <f>IF(R126=0,"",IF(NOT(ISNUMBER(G126)),"",IF(ISNUMBER(X126),G126*X126,"UNIDADE A CONFERIR")))</f>
        <v/>
      </c>
      <c r="J126" s="91" t="n"/>
      <c r="K126" s="91" t="n"/>
      <c r="L126" s="93" t="str">
        <f>IF(R126=0,"",SUMIFS('RECEBIMENTOS'!$H$6:$H$1005,'RECEBIMENTOS'!$R$6:$R$1005,A126,'RECEBIMENTOS'!$X$6:$X$1005,1))</f>
        <v/>
      </c>
      <c r="M126" s="93" t="str">
        <f>IF(R126=0,"",SUMIFS('VÍNCULOS_CDF'!$H$6:$H$1005,'VÍNCULOS_CDF'!$R$6:$R$1005,A126,'VÍNCULOS_CDF'!$V$6:$V$1005,1))</f>
        <v/>
      </c>
      <c r="N126" s="99" t="str">
        <f>IF(OR(R126=0,AA126=0,NOT(ISNUMBER(I126))),"",I126-N(L126))</f>
        <v/>
      </c>
      <c r="O126" s="100" t="str">
        <f>IF(OR(R126=0,AK126&lt;=0),"",N(M126)/AK126)</f>
        <v/>
      </c>
      <c r="P126" s="94" t="str">
        <f>IF(R126=0,"",IF(S126="","Sem MTR associado",IF(U126=0,"MTR inexistente",IF(C126="","Resíduo não identificado",IF(V126=0,"Resíduo fora do cadastro",IF(W126=0,"Quantidade inválida",IF(H126="","Unidade não informada",IF(NOT(ISNUMBER(I126)),"Unidade a conferir",IF(AND(AH126=1,K126&lt;&gt;"Sim"),"Possível duplicidade",IF(Z126=1,"MTR cancelado",IF(AC126&gt;0,"Recebimento com alerta",IF(AA126=0,"Aguardando recebimento",IF(AB126&lt;AA126,"Recebimento a conferir",IF(AM126=1,"Quantidade a revisar",IF(AF126&gt;0,"Vínculo a revisar",IF(AD126=0,"Aguardando CDF",IF(AN126=0,"Vínculo de CDF parcial",IF(AE126&lt;AD126,"CDF a conferir","Documentação conferida"))))))))))))))))))</f>
        <v/>
      </c>
      <c r="Q126" s="93" t="str">
        <f>IF(OR(R126=0,AA126=0),"",MAX(0,N(L126)-N(M126)))</f>
        <v/>
      </c>
      <c r="R126" s="96">
        <f>IF(COUNTA(B126:C126,G126:H126,J126:K126)&gt;0,1,0)</f>
        <v>0</v>
      </c>
      <c r="S126" s="96" t="str">
        <f>IF(B126="","",TRIM(LEFT(B126,FIND(" |",B126&amp;" |")-1)))</f>
        <v/>
      </c>
      <c r="T126" s="96" t="str">
        <f>IF(S126="","",IFERROR(MATCH(S126,'MTRs'!$A$6:$A$505,0),""))</f>
        <v/>
      </c>
      <c r="U126" s="96">
        <f>IF(T126="",0,IF(INDEX('MTRs'!$Z$6:$Z$505,T126)=1,1,0))</f>
        <v>0</v>
      </c>
      <c r="V126" s="96">
        <f>IF(C126="",0,IF(ISNUMBER(MATCH(C126,'CAD_RESÍDUOS'!$B$6:$B$205,0)),1,0))</f>
        <v>0</v>
      </c>
      <c r="W126" s="96">
        <f>IF(AND(ISNUMBER(G126),G126&gt;0),1,0)</f>
        <v>0</v>
      </c>
      <c r="X126" s="96" t="str">
        <f>IF(H126="","",IFERROR(IF(ISNUMBER(INDEX(cfg_fac,MATCH(H126,cfg_units,0))),IF(INDEX(cfg_fac,MATCH(H126,cfg_units,0))&gt;0,INDEX(cfg_fac,MATCH(H126,cfg_units,0)),""),""),""))</f>
        <v/>
      </c>
      <c r="Y126" s="96">
        <f>IF(AND(W126=1,ISNUMBER(I126)),1,0)</f>
        <v>0</v>
      </c>
      <c r="Z126" s="96">
        <f>IF(U126=1,INDEX('MTRs'!$AA$6:$AA$505,T126),0)</f>
        <v>0</v>
      </c>
      <c r="AA126" s="96">
        <f>IF(R126=0,0,COUNTIFS('RECEBIMENTOS'!$R$6:$R$1005,A126,'RECEBIMENTOS'!$Q$6:$Q$1005,1))</f>
        <v>0</v>
      </c>
      <c r="AB126" s="96">
        <f>IF(R126=0,0,COUNTIFS('RECEBIMENTOS'!$R$6:$R$1005,A126,'RECEBIMENTOS'!$Z$6:$Z$1005,1))</f>
        <v>0</v>
      </c>
      <c r="AC126" s="96">
        <f>IF(R126=0,0,COUNTIFS('RECEBIMENTOS'!$R$6:$R$1005,A126,'RECEBIMENTOS'!$Y$6:$Y$1005,1))</f>
        <v>0</v>
      </c>
      <c r="AD126" s="96">
        <f>IF(R126=0,0,COUNTIFS('VÍNCULOS_CDF'!$R$6:$R$1005,A126,'VÍNCULOS_CDF'!$N$6:$N$1005,1))</f>
        <v>0</v>
      </c>
      <c r="AE126" s="96">
        <f>IF(R126=0,0,COUNTIFS('VÍNCULOS_CDF'!$R$6:$R$1005,A126,'VÍNCULOS_CDF'!$AA$6:$AA$1005,1))</f>
        <v>0</v>
      </c>
      <c r="AF126" s="96">
        <f>IF(R126=0,0,COUNTIFS('VÍNCULOS_CDF'!$R$6:$R$1005,A126,'VÍNCULOS_CDF'!$Y$6:$Y$1005,1))</f>
        <v>0</v>
      </c>
      <c r="AG126" s="96" t="str">
        <f>IF(AND(R126=1,S126&lt;&gt;"",C126&lt;&gt;""),S126&amp;"|"&amp;C126&amp;"|"&amp;G126&amp;"|"&amp;H126,"")</f>
        <v/>
      </c>
      <c r="AH126" s="96">
        <f>IF(AG126="",0,IF(SUMPRODUCT(--($AG$6:$AG$1005=AG126))&gt;1,1,0))</f>
        <v>0</v>
      </c>
      <c r="AI126" s="96">
        <f>IF(R126=0,0,IF(OR(U126=0,V126=0,Y126=0,AND(AH126=1,K126&lt;&gt;"Sim")),1,0))</f>
        <v>0</v>
      </c>
      <c r="AJ126" s="96">
        <f>IF(AND(R126=1,AA126&gt;0,AB126=AA126),1,0)</f>
        <v>0</v>
      </c>
      <c r="AK126" s="96">
        <f>IF(R126=0,0,IF(AA126&gt;0,N(L126),IF(ISNUMBER(I126),I126,0)))</f>
        <v>0</v>
      </c>
      <c r="AL126" s="96">
        <f>IF(R126=0,0,IF(AND(K126&lt;&gt;"Sim",N(M126)&gt;AK126+cfg_tol),1,0))</f>
        <v>0</v>
      </c>
      <c r="AM126" s="96">
        <f>IF(R126=0,0,IF(K126="Sim",0,IF(OR(AND(AA126&gt;0,ISNUMBER(I126),ABS(I126-N(L126))&gt;cfg_tol),AL126=1),1,0)))</f>
        <v>0</v>
      </c>
      <c r="AN126" s="96">
        <f>IF(AND(R126=1,N(M126)&gt;0,OR(N(M126)&gt;=AK126-cfg_tol,K126="Sim")),1,0)</f>
        <v>0</v>
      </c>
      <c r="AO126" s="96">
        <f>IF(AND(AN126=1,AD126&gt;0,AE126=AD126,AL126=0),1,0)</f>
        <v>0</v>
      </c>
      <c r="AP126" s="96">
        <f>IF(U126=0,0,IF(AND(INDEX('MTRs'!$AX$6:$AX$505,T126)=1,Z126=0,OR(f_res="",f_res="(Todos)",C126=f_res)),1,0))</f>
        <v>0</v>
      </c>
      <c r="AQ126" s="97" t="str">
        <f>IF(U126=0,"",INDEX('MTRs'!$AZ$6:$AZ$505,T126))</f>
        <v/>
      </c>
      <c r="AR126" s="96">
        <f>IF(U126=0,0,IF(AND(INDEX('MTRs'!$BA$6:$BA$505,T126)=1,Z126=0),1,0))</f>
        <v>0</v>
      </c>
      <c r="AS126" s="96" t="str">
        <f>IF(R126=1,A126&amp;" | MTR "&amp;IF(U126=1,INDEX('MTRs'!$B$6:$B$505,T126)&amp;"","?")&amp;" | "&amp;IF(C126="","(sem resíduo)",C126),"")</f>
        <v/>
      </c>
      <c r="AT126" s="96" t="str">
        <f>IF(R126=1,COUNTIF($R$6:R126,1),"")</f>
        <v/>
      </c>
      <c r="AU126" s="96" t="str">
        <f>IF(U126=1,INDEX('MTRs'!$I$6:$I$505,T126)&amp;"","")</f>
        <v/>
      </c>
    </row>
    <row r="127">
      <c r="A127" s="89" t="inlineStr">
        <is>
          <t>IT-000122</t>
        </is>
      </c>
      <c r="B127" s="91" t="n"/>
      <c r="C127" s="91" t="n"/>
      <c r="D127" s="94" t="str">
        <f>IF(OR(R127=0,V127=0),"",INDEX('CAD_RESÍDUOS'!$E$6:$E$205,MATCH(C127,'CAD_RESÍDUOS'!$B$6:$B$205,0))&amp;"")</f>
        <v/>
      </c>
      <c r="E127" s="94" t="str">
        <f>IF(OR(R127=0,V127=0),"",INDEX('CAD_RESÍDUOS'!$C$6:$C$205,MATCH(C127,'CAD_RESÍDUOS'!$B$6:$B$205,0))&amp;"")</f>
        <v/>
      </c>
      <c r="F127" s="94" t="str">
        <f>IF(OR(R127=0,V127=0),"",INDEX('CAD_RESÍDUOS'!$G$6:$G$205,MATCH(C127,'CAD_RESÍDUOS'!$B$6:$B$205,0))&amp;"")</f>
        <v/>
      </c>
      <c r="G127" s="98" t="n"/>
      <c r="H127" s="91" t="n"/>
      <c r="I127" s="93" t="str">
        <f>IF(R127=0,"",IF(NOT(ISNUMBER(G127)),"",IF(ISNUMBER(X127),G127*X127,"UNIDADE A CONFERIR")))</f>
        <v/>
      </c>
      <c r="J127" s="91" t="n"/>
      <c r="K127" s="91" t="n"/>
      <c r="L127" s="93" t="str">
        <f>IF(R127=0,"",SUMIFS('RECEBIMENTOS'!$H$6:$H$1005,'RECEBIMENTOS'!$R$6:$R$1005,A127,'RECEBIMENTOS'!$X$6:$X$1005,1))</f>
        <v/>
      </c>
      <c r="M127" s="93" t="str">
        <f>IF(R127=0,"",SUMIFS('VÍNCULOS_CDF'!$H$6:$H$1005,'VÍNCULOS_CDF'!$R$6:$R$1005,A127,'VÍNCULOS_CDF'!$V$6:$V$1005,1))</f>
        <v/>
      </c>
      <c r="N127" s="99" t="str">
        <f>IF(OR(R127=0,AA127=0,NOT(ISNUMBER(I127))),"",I127-N(L127))</f>
        <v/>
      </c>
      <c r="O127" s="100" t="str">
        <f>IF(OR(R127=0,AK127&lt;=0),"",N(M127)/AK127)</f>
        <v/>
      </c>
      <c r="P127" s="94" t="str">
        <f>IF(R127=0,"",IF(S127="","Sem MTR associado",IF(U127=0,"MTR inexistente",IF(C127="","Resíduo não identificado",IF(V127=0,"Resíduo fora do cadastro",IF(W127=0,"Quantidade inválida",IF(H127="","Unidade não informada",IF(NOT(ISNUMBER(I127)),"Unidade a conferir",IF(AND(AH127=1,K127&lt;&gt;"Sim"),"Possível duplicidade",IF(Z127=1,"MTR cancelado",IF(AC127&gt;0,"Recebimento com alerta",IF(AA127=0,"Aguardando recebimento",IF(AB127&lt;AA127,"Recebimento a conferir",IF(AM127=1,"Quantidade a revisar",IF(AF127&gt;0,"Vínculo a revisar",IF(AD127=0,"Aguardando CDF",IF(AN127=0,"Vínculo de CDF parcial",IF(AE127&lt;AD127,"CDF a conferir","Documentação conferida"))))))))))))))))))</f>
        <v/>
      </c>
      <c r="Q127" s="93" t="str">
        <f>IF(OR(R127=0,AA127=0),"",MAX(0,N(L127)-N(M127)))</f>
        <v/>
      </c>
      <c r="R127" s="96">
        <f>IF(COUNTA(B127:C127,G127:H127,J127:K127)&gt;0,1,0)</f>
        <v>0</v>
      </c>
      <c r="S127" s="96" t="str">
        <f>IF(B127="","",TRIM(LEFT(B127,FIND(" |",B127&amp;" |")-1)))</f>
        <v/>
      </c>
      <c r="T127" s="96" t="str">
        <f>IF(S127="","",IFERROR(MATCH(S127,'MTRs'!$A$6:$A$505,0),""))</f>
        <v/>
      </c>
      <c r="U127" s="96">
        <f>IF(T127="",0,IF(INDEX('MTRs'!$Z$6:$Z$505,T127)=1,1,0))</f>
        <v>0</v>
      </c>
      <c r="V127" s="96">
        <f>IF(C127="",0,IF(ISNUMBER(MATCH(C127,'CAD_RESÍDUOS'!$B$6:$B$205,0)),1,0))</f>
        <v>0</v>
      </c>
      <c r="W127" s="96">
        <f>IF(AND(ISNUMBER(G127),G127&gt;0),1,0)</f>
        <v>0</v>
      </c>
      <c r="X127" s="96" t="str">
        <f>IF(H127="","",IFERROR(IF(ISNUMBER(INDEX(cfg_fac,MATCH(H127,cfg_units,0))),IF(INDEX(cfg_fac,MATCH(H127,cfg_units,0))&gt;0,INDEX(cfg_fac,MATCH(H127,cfg_units,0)),""),""),""))</f>
        <v/>
      </c>
      <c r="Y127" s="96">
        <f>IF(AND(W127=1,ISNUMBER(I127)),1,0)</f>
        <v>0</v>
      </c>
      <c r="Z127" s="96">
        <f>IF(U127=1,INDEX('MTRs'!$AA$6:$AA$505,T127),0)</f>
        <v>0</v>
      </c>
      <c r="AA127" s="96">
        <f>IF(R127=0,0,COUNTIFS('RECEBIMENTOS'!$R$6:$R$1005,A127,'RECEBIMENTOS'!$Q$6:$Q$1005,1))</f>
        <v>0</v>
      </c>
      <c r="AB127" s="96">
        <f>IF(R127=0,0,COUNTIFS('RECEBIMENTOS'!$R$6:$R$1005,A127,'RECEBIMENTOS'!$Z$6:$Z$1005,1))</f>
        <v>0</v>
      </c>
      <c r="AC127" s="96">
        <f>IF(R127=0,0,COUNTIFS('RECEBIMENTOS'!$R$6:$R$1005,A127,'RECEBIMENTOS'!$Y$6:$Y$1005,1))</f>
        <v>0</v>
      </c>
      <c r="AD127" s="96">
        <f>IF(R127=0,0,COUNTIFS('VÍNCULOS_CDF'!$R$6:$R$1005,A127,'VÍNCULOS_CDF'!$N$6:$N$1005,1))</f>
        <v>0</v>
      </c>
      <c r="AE127" s="96">
        <f>IF(R127=0,0,COUNTIFS('VÍNCULOS_CDF'!$R$6:$R$1005,A127,'VÍNCULOS_CDF'!$AA$6:$AA$1005,1))</f>
        <v>0</v>
      </c>
      <c r="AF127" s="96">
        <f>IF(R127=0,0,COUNTIFS('VÍNCULOS_CDF'!$R$6:$R$1005,A127,'VÍNCULOS_CDF'!$Y$6:$Y$1005,1))</f>
        <v>0</v>
      </c>
      <c r="AG127" s="96" t="str">
        <f>IF(AND(R127=1,S127&lt;&gt;"",C127&lt;&gt;""),S127&amp;"|"&amp;C127&amp;"|"&amp;G127&amp;"|"&amp;H127,"")</f>
        <v/>
      </c>
      <c r="AH127" s="96">
        <f>IF(AG127="",0,IF(SUMPRODUCT(--($AG$6:$AG$1005=AG127))&gt;1,1,0))</f>
        <v>0</v>
      </c>
      <c r="AI127" s="96">
        <f>IF(R127=0,0,IF(OR(U127=0,V127=0,Y127=0,AND(AH127=1,K127&lt;&gt;"Sim")),1,0))</f>
        <v>0</v>
      </c>
      <c r="AJ127" s="96">
        <f>IF(AND(R127=1,AA127&gt;0,AB127=AA127),1,0)</f>
        <v>0</v>
      </c>
      <c r="AK127" s="96">
        <f>IF(R127=0,0,IF(AA127&gt;0,N(L127),IF(ISNUMBER(I127),I127,0)))</f>
        <v>0</v>
      </c>
      <c r="AL127" s="96">
        <f>IF(R127=0,0,IF(AND(K127&lt;&gt;"Sim",N(M127)&gt;AK127+cfg_tol),1,0))</f>
        <v>0</v>
      </c>
      <c r="AM127" s="96">
        <f>IF(R127=0,0,IF(K127="Sim",0,IF(OR(AND(AA127&gt;0,ISNUMBER(I127),ABS(I127-N(L127))&gt;cfg_tol),AL127=1),1,0)))</f>
        <v>0</v>
      </c>
      <c r="AN127" s="96">
        <f>IF(AND(R127=1,N(M127)&gt;0,OR(N(M127)&gt;=AK127-cfg_tol,K127="Sim")),1,0)</f>
        <v>0</v>
      </c>
      <c r="AO127" s="96">
        <f>IF(AND(AN127=1,AD127&gt;0,AE127=AD127,AL127=0),1,0)</f>
        <v>0</v>
      </c>
      <c r="AP127" s="96">
        <f>IF(U127=0,0,IF(AND(INDEX('MTRs'!$AX$6:$AX$505,T127)=1,Z127=0,OR(f_res="",f_res="(Todos)",C127=f_res)),1,0))</f>
        <v>0</v>
      </c>
      <c r="AQ127" s="97" t="str">
        <f>IF(U127=0,"",INDEX('MTRs'!$AZ$6:$AZ$505,T127))</f>
        <v/>
      </c>
      <c r="AR127" s="96">
        <f>IF(U127=0,0,IF(AND(INDEX('MTRs'!$BA$6:$BA$505,T127)=1,Z127=0),1,0))</f>
        <v>0</v>
      </c>
      <c r="AS127" s="96" t="str">
        <f>IF(R127=1,A127&amp;" | MTR "&amp;IF(U127=1,INDEX('MTRs'!$B$6:$B$505,T127)&amp;"","?")&amp;" | "&amp;IF(C127="","(sem resíduo)",C127),"")</f>
        <v/>
      </c>
      <c r="AT127" s="96" t="str">
        <f>IF(R127=1,COUNTIF($R$6:R127,1),"")</f>
        <v/>
      </c>
      <c r="AU127" s="96" t="str">
        <f>IF(U127=1,INDEX('MTRs'!$I$6:$I$505,T127)&amp;"","")</f>
        <v/>
      </c>
    </row>
    <row r="128">
      <c r="A128" s="89" t="inlineStr">
        <is>
          <t>IT-000123</t>
        </is>
      </c>
      <c r="B128" s="91" t="n"/>
      <c r="C128" s="91" t="n"/>
      <c r="D128" s="94" t="str">
        <f>IF(OR(R128=0,V128=0),"",INDEX('CAD_RESÍDUOS'!$E$6:$E$205,MATCH(C128,'CAD_RESÍDUOS'!$B$6:$B$205,0))&amp;"")</f>
        <v/>
      </c>
      <c r="E128" s="94" t="str">
        <f>IF(OR(R128=0,V128=0),"",INDEX('CAD_RESÍDUOS'!$C$6:$C$205,MATCH(C128,'CAD_RESÍDUOS'!$B$6:$B$205,0))&amp;"")</f>
        <v/>
      </c>
      <c r="F128" s="94" t="str">
        <f>IF(OR(R128=0,V128=0),"",INDEX('CAD_RESÍDUOS'!$G$6:$G$205,MATCH(C128,'CAD_RESÍDUOS'!$B$6:$B$205,0))&amp;"")</f>
        <v/>
      </c>
      <c r="G128" s="98" t="n"/>
      <c r="H128" s="91" t="n"/>
      <c r="I128" s="93" t="str">
        <f>IF(R128=0,"",IF(NOT(ISNUMBER(G128)),"",IF(ISNUMBER(X128),G128*X128,"UNIDADE A CONFERIR")))</f>
        <v/>
      </c>
      <c r="J128" s="91" t="n"/>
      <c r="K128" s="91" t="n"/>
      <c r="L128" s="93" t="str">
        <f>IF(R128=0,"",SUMIFS('RECEBIMENTOS'!$H$6:$H$1005,'RECEBIMENTOS'!$R$6:$R$1005,A128,'RECEBIMENTOS'!$X$6:$X$1005,1))</f>
        <v/>
      </c>
      <c r="M128" s="93" t="str">
        <f>IF(R128=0,"",SUMIFS('VÍNCULOS_CDF'!$H$6:$H$1005,'VÍNCULOS_CDF'!$R$6:$R$1005,A128,'VÍNCULOS_CDF'!$V$6:$V$1005,1))</f>
        <v/>
      </c>
      <c r="N128" s="99" t="str">
        <f>IF(OR(R128=0,AA128=0,NOT(ISNUMBER(I128))),"",I128-N(L128))</f>
        <v/>
      </c>
      <c r="O128" s="100" t="str">
        <f>IF(OR(R128=0,AK128&lt;=0),"",N(M128)/AK128)</f>
        <v/>
      </c>
      <c r="P128" s="94" t="str">
        <f>IF(R128=0,"",IF(S128="","Sem MTR associado",IF(U128=0,"MTR inexistente",IF(C128="","Resíduo não identificado",IF(V128=0,"Resíduo fora do cadastro",IF(W128=0,"Quantidade inválida",IF(H128="","Unidade não informada",IF(NOT(ISNUMBER(I128)),"Unidade a conferir",IF(AND(AH128=1,K128&lt;&gt;"Sim"),"Possível duplicidade",IF(Z128=1,"MTR cancelado",IF(AC128&gt;0,"Recebimento com alerta",IF(AA128=0,"Aguardando recebimento",IF(AB128&lt;AA128,"Recebimento a conferir",IF(AM128=1,"Quantidade a revisar",IF(AF128&gt;0,"Vínculo a revisar",IF(AD128=0,"Aguardando CDF",IF(AN128=0,"Vínculo de CDF parcial",IF(AE128&lt;AD128,"CDF a conferir","Documentação conferida"))))))))))))))))))</f>
        <v/>
      </c>
      <c r="Q128" s="93" t="str">
        <f>IF(OR(R128=0,AA128=0),"",MAX(0,N(L128)-N(M128)))</f>
        <v/>
      </c>
      <c r="R128" s="96">
        <f>IF(COUNTA(B128:C128,G128:H128,J128:K128)&gt;0,1,0)</f>
        <v>0</v>
      </c>
      <c r="S128" s="96" t="str">
        <f>IF(B128="","",TRIM(LEFT(B128,FIND(" |",B128&amp;" |")-1)))</f>
        <v/>
      </c>
      <c r="T128" s="96" t="str">
        <f>IF(S128="","",IFERROR(MATCH(S128,'MTRs'!$A$6:$A$505,0),""))</f>
        <v/>
      </c>
      <c r="U128" s="96">
        <f>IF(T128="",0,IF(INDEX('MTRs'!$Z$6:$Z$505,T128)=1,1,0))</f>
        <v>0</v>
      </c>
      <c r="V128" s="96">
        <f>IF(C128="",0,IF(ISNUMBER(MATCH(C128,'CAD_RESÍDUOS'!$B$6:$B$205,0)),1,0))</f>
        <v>0</v>
      </c>
      <c r="W128" s="96">
        <f>IF(AND(ISNUMBER(G128),G128&gt;0),1,0)</f>
        <v>0</v>
      </c>
      <c r="X128" s="96" t="str">
        <f>IF(H128="","",IFERROR(IF(ISNUMBER(INDEX(cfg_fac,MATCH(H128,cfg_units,0))),IF(INDEX(cfg_fac,MATCH(H128,cfg_units,0))&gt;0,INDEX(cfg_fac,MATCH(H128,cfg_units,0)),""),""),""))</f>
        <v/>
      </c>
      <c r="Y128" s="96">
        <f>IF(AND(W128=1,ISNUMBER(I128)),1,0)</f>
        <v>0</v>
      </c>
      <c r="Z128" s="96">
        <f>IF(U128=1,INDEX('MTRs'!$AA$6:$AA$505,T128),0)</f>
        <v>0</v>
      </c>
      <c r="AA128" s="96">
        <f>IF(R128=0,0,COUNTIFS('RECEBIMENTOS'!$R$6:$R$1005,A128,'RECEBIMENTOS'!$Q$6:$Q$1005,1))</f>
        <v>0</v>
      </c>
      <c r="AB128" s="96">
        <f>IF(R128=0,0,COUNTIFS('RECEBIMENTOS'!$R$6:$R$1005,A128,'RECEBIMENTOS'!$Z$6:$Z$1005,1))</f>
        <v>0</v>
      </c>
      <c r="AC128" s="96">
        <f>IF(R128=0,0,COUNTIFS('RECEBIMENTOS'!$R$6:$R$1005,A128,'RECEBIMENTOS'!$Y$6:$Y$1005,1))</f>
        <v>0</v>
      </c>
      <c r="AD128" s="96">
        <f>IF(R128=0,0,COUNTIFS('VÍNCULOS_CDF'!$R$6:$R$1005,A128,'VÍNCULOS_CDF'!$N$6:$N$1005,1))</f>
        <v>0</v>
      </c>
      <c r="AE128" s="96">
        <f>IF(R128=0,0,COUNTIFS('VÍNCULOS_CDF'!$R$6:$R$1005,A128,'VÍNCULOS_CDF'!$AA$6:$AA$1005,1))</f>
        <v>0</v>
      </c>
      <c r="AF128" s="96">
        <f>IF(R128=0,0,COUNTIFS('VÍNCULOS_CDF'!$R$6:$R$1005,A128,'VÍNCULOS_CDF'!$Y$6:$Y$1005,1))</f>
        <v>0</v>
      </c>
      <c r="AG128" s="96" t="str">
        <f>IF(AND(R128=1,S128&lt;&gt;"",C128&lt;&gt;""),S128&amp;"|"&amp;C128&amp;"|"&amp;G128&amp;"|"&amp;H128,"")</f>
        <v/>
      </c>
      <c r="AH128" s="96">
        <f>IF(AG128="",0,IF(SUMPRODUCT(--($AG$6:$AG$1005=AG128))&gt;1,1,0))</f>
        <v>0</v>
      </c>
      <c r="AI128" s="96">
        <f>IF(R128=0,0,IF(OR(U128=0,V128=0,Y128=0,AND(AH128=1,K128&lt;&gt;"Sim")),1,0))</f>
        <v>0</v>
      </c>
      <c r="AJ128" s="96">
        <f>IF(AND(R128=1,AA128&gt;0,AB128=AA128),1,0)</f>
        <v>0</v>
      </c>
      <c r="AK128" s="96">
        <f>IF(R128=0,0,IF(AA128&gt;0,N(L128),IF(ISNUMBER(I128),I128,0)))</f>
        <v>0</v>
      </c>
      <c r="AL128" s="96">
        <f>IF(R128=0,0,IF(AND(K128&lt;&gt;"Sim",N(M128)&gt;AK128+cfg_tol),1,0))</f>
        <v>0</v>
      </c>
      <c r="AM128" s="96">
        <f>IF(R128=0,0,IF(K128="Sim",0,IF(OR(AND(AA128&gt;0,ISNUMBER(I128),ABS(I128-N(L128))&gt;cfg_tol),AL128=1),1,0)))</f>
        <v>0</v>
      </c>
      <c r="AN128" s="96">
        <f>IF(AND(R128=1,N(M128)&gt;0,OR(N(M128)&gt;=AK128-cfg_tol,K128="Sim")),1,0)</f>
        <v>0</v>
      </c>
      <c r="AO128" s="96">
        <f>IF(AND(AN128=1,AD128&gt;0,AE128=AD128,AL128=0),1,0)</f>
        <v>0</v>
      </c>
      <c r="AP128" s="96">
        <f>IF(U128=0,0,IF(AND(INDEX('MTRs'!$AX$6:$AX$505,T128)=1,Z128=0,OR(f_res="",f_res="(Todos)",C128=f_res)),1,0))</f>
        <v>0</v>
      </c>
      <c r="AQ128" s="97" t="str">
        <f>IF(U128=0,"",INDEX('MTRs'!$AZ$6:$AZ$505,T128))</f>
        <v/>
      </c>
      <c r="AR128" s="96">
        <f>IF(U128=0,0,IF(AND(INDEX('MTRs'!$BA$6:$BA$505,T128)=1,Z128=0),1,0))</f>
        <v>0</v>
      </c>
      <c r="AS128" s="96" t="str">
        <f>IF(R128=1,A128&amp;" | MTR "&amp;IF(U128=1,INDEX('MTRs'!$B$6:$B$505,T128)&amp;"","?")&amp;" | "&amp;IF(C128="","(sem resíduo)",C128),"")</f>
        <v/>
      </c>
      <c r="AT128" s="96" t="str">
        <f>IF(R128=1,COUNTIF($R$6:R128,1),"")</f>
        <v/>
      </c>
      <c r="AU128" s="96" t="str">
        <f>IF(U128=1,INDEX('MTRs'!$I$6:$I$505,T128)&amp;"","")</f>
        <v/>
      </c>
    </row>
    <row r="129">
      <c r="A129" s="89" t="inlineStr">
        <is>
          <t>IT-000124</t>
        </is>
      </c>
      <c r="B129" s="91" t="n"/>
      <c r="C129" s="91" t="n"/>
      <c r="D129" s="94" t="str">
        <f>IF(OR(R129=0,V129=0),"",INDEX('CAD_RESÍDUOS'!$E$6:$E$205,MATCH(C129,'CAD_RESÍDUOS'!$B$6:$B$205,0))&amp;"")</f>
        <v/>
      </c>
      <c r="E129" s="94" t="str">
        <f>IF(OR(R129=0,V129=0),"",INDEX('CAD_RESÍDUOS'!$C$6:$C$205,MATCH(C129,'CAD_RESÍDUOS'!$B$6:$B$205,0))&amp;"")</f>
        <v/>
      </c>
      <c r="F129" s="94" t="str">
        <f>IF(OR(R129=0,V129=0),"",INDEX('CAD_RESÍDUOS'!$G$6:$G$205,MATCH(C129,'CAD_RESÍDUOS'!$B$6:$B$205,0))&amp;"")</f>
        <v/>
      </c>
      <c r="G129" s="98" t="n"/>
      <c r="H129" s="91" t="n"/>
      <c r="I129" s="93" t="str">
        <f>IF(R129=0,"",IF(NOT(ISNUMBER(G129)),"",IF(ISNUMBER(X129),G129*X129,"UNIDADE A CONFERIR")))</f>
        <v/>
      </c>
      <c r="J129" s="91" t="n"/>
      <c r="K129" s="91" t="n"/>
      <c r="L129" s="93" t="str">
        <f>IF(R129=0,"",SUMIFS('RECEBIMENTOS'!$H$6:$H$1005,'RECEBIMENTOS'!$R$6:$R$1005,A129,'RECEBIMENTOS'!$X$6:$X$1005,1))</f>
        <v/>
      </c>
      <c r="M129" s="93" t="str">
        <f>IF(R129=0,"",SUMIFS('VÍNCULOS_CDF'!$H$6:$H$1005,'VÍNCULOS_CDF'!$R$6:$R$1005,A129,'VÍNCULOS_CDF'!$V$6:$V$1005,1))</f>
        <v/>
      </c>
      <c r="N129" s="99" t="str">
        <f>IF(OR(R129=0,AA129=0,NOT(ISNUMBER(I129))),"",I129-N(L129))</f>
        <v/>
      </c>
      <c r="O129" s="100" t="str">
        <f>IF(OR(R129=0,AK129&lt;=0),"",N(M129)/AK129)</f>
        <v/>
      </c>
      <c r="P129" s="94" t="str">
        <f>IF(R129=0,"",IF(S129="","Sem MTR associado",IF(U129=0,"MTR inexistente",IF(C129="","Resíduo não identificado",IF(V129=0,"Resíduo fora do cadastro",IF(W129=0,"Quantidade inválida",IF(H129="","Unidade não informada",IF(NOT(ISNUMBER(I129)),"Unidade a conferir",IF(AND(AH129=1,K129&lt;&gt;"Sim"),"Possível duplicidade",IF(Z129=1,"MTR cancelado",IF(AC129&gt;0,"Recebimento com alerta",IF(AA129=0,"Aguardando recebimento",IF(AB129&lt;AA129,"Recebimento a conferir",IF(AM129=1,"Quantidade a revisar",IF(AF129&gt;0,"Vínculo a revisar",IF(AD129=0,"Aguardando CDF",IF(AN129=0,"Vínculo de CDF parcial",IF(AE129&lt;AD129,"CDF a conferir","Documentação conferida"))))))))))))))))))</f>
        <v/>
      </c>
      <c r="Q129" s="93" t="str">
        <f>IF(OR(R129=0,AA129=0),"",MAX(0,N(L129)-N(M129)))</f>
        <v/>
      </c>
      <c r="R129" s="96">
        <f>IF(COUNTA(B129:C129,G129:H129,J129:K129)&gt;0,1,0)</f>
        <v>0</v>
      </c>
      <c r="S129" s="96" t="str">
        <f>IF(B129="","",TRIM(LEFT(B129,FIND(" |",B129&amp;" |")-1)))</f>
        <v/>
      </c>
      <c r="T129" s="96" t="str">
        <f>IF(S129="","",IFERROR(MATCH(S129,'MTRs'!$A$6:$A$505,0),""))</f>
        <v/>
      </c>
      <c r="U129" s="96">
        <f>IF(T129="",0,IF(INDEX('MTRs'!$Z$6:$Z$505,T129)=1,1,0))</f>
        <v>0</v>
      </c>
      <c r="V129" s="96">
        <f>IF(C129="",0,IF(ISNUMBER(MATCH(C129,'CAD_RESÍDUOS'!$B$6:$B$205,0)),1,0))</f>
        <v>0</v>
      </c>
      <c r="W129" s="96">
        <f>IF(AND(ISNUMBER(G129),G129&gt;0),1,0)</f>
        <v>0</v>
      </c>
      <c r="X129" s="96" t="str">
        <f>IF(H129="","",IFERROR(IF(ISNUMBER(INDEX(cfg_fac,MATCH(H129,cfg_units,0))),IF(INDEX(cfg_fac,MATCH(H129,cfg_units,0))&gt;0,INDEX(cfg_fac,MATCH(H129,cfg_units,0)),""),""),""))</f>
        <v/>
      </c>
      <c r="Y129" s="96">
        <f>IF(AND(W129=1,ISNUMBER(I129)),1,0)</f>
        <v>0</v>
      </c>
      <c r="Z129" s="96">
        <f>IF(U129=1,INDEX('MTRs'!$AA$6:$AA$505,T129),0)</f>
        <v>0</v>
      </c>
      <c r="AA129" s="96">
        <f>IF(R129=0,0,COUNTIFS('RECEBIMENTOS'!$R$6:$R$1005,A129,'RECEBIMENTOS'!$Q$6:$Q$1005,1))</f>
        <v>0</v>
      </c>
      <c r="AB129" s="96">
        <f>IF(R129=0,0,COUNTIFS('RECEBIMENTOS'!$R$6:$R$1005,A129,'RECEBIMENTOS'!$Z$6:$Z$1005,1))</f>
        <v>0</v>
      </c>
      <c r="AC129" s="96">
        <f>IF(R129=0,0,COUNTIFS('RECEBIMENTOS'!$R$6:$R$1005,A129,'RECEBIMENTOS'!$Y$6:$Y$1005,1))</f>
        <v>0</v>
      </c>
      <c r="AD129" s="96">
        <f>IF(R129=0,0,COUNTIFS('VÍNCULOS_CDF'!$R$6:$R$1005,A129,'VÍNCULOS_CDF'!$N$6:$N$1005,1))</f>
        <v>0</v>
      </c>
      <c r="AE129" s="96">
        <f>IF(R129=0,0,COUNTIFS('VÍNCULOS_CDF'!$R$6:$R$1005,A129,'VÍNCULOS_CDF'!$AA$6:$AA$1005,1))</f>
        <v>0</v>
      </c>
      <c r="AF129" s="96">
        <f>IF(R129=0,0,COUNTIFS('VÍNCULOS_CDF'!$R$6:$R$1005,A129,'VÍNCULOS_CDF'!$Y$6:$Y$1005,1))</f>
        <v>0</v>
      </c>
      <c r="AG129" s="96" t="str">
        <f>IF(AND(R129=1,S129&lt;&gt;"",C129&lt;&gt;""),S129&amp;"|"&amp;C129&amp;"|"&amp;G129&amp;"|"&amp;H129,"")</f>
        <v/>
      </c>
      <c r="AH129" s="96">
        <f>IF(AG129="",0,IF(SUMPRODUCT(--($AG$6:$AG$1005=AG129))&gt;1,1,0))</f>
        <v>0</v>
      </c>
      <c r="AI129" s="96">
        <f>IF(R129=0,0,IF(OR(U129=0,V129=0,Y129=0,AND(AH129=1,K129&lt;&gt;"Sim")),1,0))</f>
        <v>0</v>
      </c>
      <c r="AJ129" s="96">
        <f>IF(AND(R129=1,AA129&gt;0,AB129=AA129),1,0)</f>
        <v>0</v>
      </c>
      <c r="AK129" s="96">
        <f>IF(R129=0,0,IF(AA129&gt;0,N(L129),IF(ISNUMBER(I129),I129,0)))</f>
        <v>0</v>
      </c>
      <c r="AL129" s="96">
        <f>IF(R129=0,0,IF(AND(K129&lt;&gt;"Sim",N(M129)&gt;AK129+cfg_tol),1,0))</f>
        <v>0</v>
      </c>
      <c r="AM129" s="96">
        <f>IF(R129=0,0,IF(K129="Sim",0,IF(OR(AND(AA129&gt;0,ISNUMBER(I129),ABS(I129-N(L129))&gt;cfg_tol),AL129=1),1,0)))</f>
        <v>0</v>
      </c>
      <c r="AN129" s="96">
        <f>IF(AND(R129=1,N(M129)&gt;0,OR(N(M129)&gt;=AK129-cfg_tol,K129="Sim")),1,0)</f>
        <v>0</v>
      </c>
      <c r="AO129" s="96">
        <f>IF(AND(AN129=1,AD129&gt;0,AE129=AD129,AL129=0),1,0)</f>
        <v>0</v>
      </c>
      <c r="AP129" s="96">
        <f>IF(U129=0,0,IF(AND(INDEX('MTRs'!$AX$6:$AX$505,T129)=1,Z129=0,OR(f_res="",f_res="(Todos)",C129=f_res)),1,0))</f>
        <v>0</v>
      </c>
      <c r="AQ129" s="97" t="str">
        <f>IF(U129=0,"",INDEX('MTRs'!$AZ$6:$AZ$505,T129))</f>
        <v/>
      </c>
      <c r="AR129" s="96">
        <f>IF(U129=0,0,IF(AND(INDEX('MTRs'!$BA$6:$BA$505,T129)=1,Z129=0),1,0))</f>
        <v>0</v>
      </c>
      <c r="AS129" s="96" t="str">
        <f>IF(R129=1,A129&amp;" | MTR "&amp;IF(U129=1,INDEX('MTRs'!$B$6:$B$505,T129)&amp;"","?")&amp;" | "&amp;IF(C129="","(sem resíduo)",C129),"")</f>
        <v/>
      </c>
      <c r="AT129" s="96" t="str">
        <f>IF(R129=1,COUNTIF($R$6:R129,1),"")</f>
        <v/>
      </c>
      <c r="AU129" s="96" t="str">
        <f>IF(U129=1,INDEX('MTRs'!$I$6:$I$505,T129)&amp;"","")</f>
        <v/>
      </c>
    </row>
    <row r="130">
      <c r="A130" s="89" t="inlineStr">
        <is>
          <t>IT-000125</t>
        </is>
      </c>
      <c r="B130" s="91" t="n"/>
      <c r="C130" s="91" t="n"/>
      <c r="D130" s="94" t="str">
        <f>IF(OR(R130=0,V130=0),"",INDEX('CAD_RESÍDUOS'!$E$6:$E$205,MATCH(C130,'CAD_RESÍDUOS'!$B$6:$B$205,0))&amp;"")</f>
        <v/>
      </c>
      <c r="E130" s="94" t="str">
        <f>IF(OR(R130=0,V130=0),"",INDEX('CAD_RESÍDUOS'!$C$6:$C$205,MATCH(C130,'CAD_RESÍDUOS'!$B$6:$B$205,0))&amp;"")</f>
        <v/>
      </c>
      <c r="F130" s="94" t="str">
        <f>IF(OR(R130=0,V130=0),"",INDEX('CAD_RESÍDUOS'!$G$6:$G$205,MATCH(C130,'CAD_RESÍDUOS'!$B$6:$B$205,0))&amp;"")</f>
        <v/>
      </c>
      <c r="G130" s="98" t="n"/>
      <c r="H130" s="91" t="n"/>
      <c r="I130" s="93" t="str">
        <f>IF(R130=0,"",IF(NOT(ISNUMBER(G130)),"",IF(ISNUMBER(X130),G130*X130,"UNIDADE A CONFERIR")))</f>
        <v/>
      </c>
      <c r="J130" s="91" t="n"/>
      <c r="K130" s="91" t="n"/>
      <c r="L130" s="93" t="str">
        <f>IF(R130=0,"",SUMIFS('RECEBIMENTOS'!$H$6:$H$1005,'RECEBIMENTOS'!$R$6:$R$1005,A130,'RECEBIMENTOS'!$X$6:$X$1005,1))</f>
        <v/>
      </c>
      <c r="M130" s="93" t="str">
        <f>IF(R130=0,"",SUMIFS('VÍNCULOS_CDF'!$H$6:$H$1005,'VÍNCULOS_CDF'!$R$6:$R$1005,A130,'VÍNCULOS_CDF'!$V$6:$V$1005,1))</f>
        <v/>
      </c>
      <c r="N130" s="99" t="str">
        <f>IF(OR(R130=0,AA130=0,NOT(ISNUMBER(I130))),"",I130-N(L130))</f>
        <v/>
      </c>
      <c r="O130" s="100" t="str">
        <f>IF(OR(R130=0,AK130&lt;=0),"",N(M130)/AK130)</f>
        <v/>
      </c>
      <c r="P130" s="94" t="str">
        <f>IF(R130=0,"",IF(S130="","Sem MTR associado",IF(U130=0,"MTR inexistente",IF(C130="","Resíduo não identificado",IF(V130=0,"Resíduo fora do cadastro",IF(W130=0,"Quantidade inválida",IF(H130="","Unidade não informada",IF(NOT(ISNUMBER(I130)),"Unidade a conferir",IF(AND(AH130=1,K130&lt;&gt;"Sim"),"Possível duplicidade",IF(Z130=1,"MTR cancelado",IF(AC130&gt;0,"Recebimento com alerta",IF(AA130=0,"Aguardando recebimento",IF(AB130&lt;AA130,"Recebimento a conferir",IF(AM130=1,"Quantidade a revisar",IF(AF130&gt;0,"Vínculo a revisar",IF(AD130=0,"Aguardando CDF",IF(AN130=0,"Vínculo de CDF parcial",IF(AE130&lt;AD130,"CDF a conferir","Documentação conferida"))))))))))))))))))</f>
        <v/>
      </c>
      <c r="Q130" s="93" t="str">
        <f>IF(OR(R130=0,AA130=0),"",MAX(0,N(L130)-N(M130)))</f>
        <v/>
      </c>
      <c r="R130" s="96">
        <f>IF(COUNTA(B130:C130,G130:H130,J130:K130)&gt;0,1,0)</f>
        <v>0</v>
      </c>
      <c r="S130" s="96" t="str">
        <f>IF(B130="","",TRIM(LEFT(B130,FIND(" |",B130&amp;" |")-1)))</f>
        <v/>
      </c>
      <c r="T130" s="96" t="str">
        <f>IF(S130="","",IFERROR(MATCH(S130,'MTRs'!$A$6:$A$505,0),""))</f>
        <v/>
      </c>
      <c r="U130" s="96">
        <f>IF(T130="",0,IF(INDEX('MTRs'!$Z$6:$Z$505,T130)=1,1,0))</f>
        <v>0</v>
      </c>
      <c r="V130" s="96">
        <f>IF(C130="",0,IF(ISNUMBER(MATCH(C130,'CAD_RESÍDUOS'!$B$6:$B$205,0)),1,0))</f>
        <v>0</v>
      </c>
      <c r="W130" s="96">
        <f>IF(AND(ISNUMBER(G130),G130&gt;0),1,0)</f>
        <v>0</v>
      </c>
      <c r="X130" s="96" t="str">
        <f>IF(H130="","",IFERROR(IF(ISNUMBER(INDEX(cfg_fac,MATCH(H130,cfg_units,0))),IF(INDEX(cfg_fac,MATCH(H130,cfg_units,0))&gt;0,INDEX(cfg_fac,MATCH(H130,cfg_units,0)),""),""),""))</f>
        <v/>
      </c>
      <c r="Y130" s="96">
        <f>IF(AND(W130=1,ISNUMBER(I130)),1,0)</f>
        <v>0</v>
      </c>
      <c r="Z130" s="96">
        <f>IF(U130=1,INDEX('MTRs'!$AA$6:$AA$505,T130),0)</f>
        <v>0</v>
      </c>
      <c r="AA130" s="96">
        <f>IF(R130=0,0,COUNTIFS('RECEBIMENTOS'!$R$6:$R$1005,A130,'RECEBIMENTOS'!$Q$6:$Q$1005,1))</f>
        <v>0</v>
      </c>
      <c r="AB130" s="96">
        <f>IF(R130=0,0,COUNTIFS('RECEBIMENTOS'!$R$6:$R$1005,A130,'RECEBIMENTOS'!$Z$6:$Z$1005,1))</f>
        <v>0</v>
      </c>
      <c r="AC130" s="96">
        <f>IF(R130=0,0,COUNTIFS('RECEBIMENTOS'!$R$6:$R$1005,A130,'RECEBIMENTOS'!$Y$6:$Y$1005,1))</f>
        <v>0</v>
      </c>
      <c r="AD130" s="96">
        <f>IF(R130=0,0,COUNTIFS('VÍNCULOS_CDF'!$R$6:$R$1005,A130,'VÍNCULOS_CDF'!$N$6:$N$1005,1))</f>
        <v>0</v>
      </c>
      <c r="AE130" s="96">
        <f>IF(R130=0,0,COUNTIFS('VÍNCULOS_CDF'!$R$6:$R$1005,A130,'VÍNCULOS_CDF'!$AA$6:$AA$1005,1))</f>
        <v>0</v>
      </c>
      <c r="AF130" s="96">
        <f>IF(R130=0,0,COUNTIFS('VÍNCULOS_CDF'!$R$6:$R$1005,A130,'VÍNCULOS_CDF'!$Y$6:$Y$1005,1))</f>
        <v>0</v>
      </c>
      <c r="AG130" s="96" t="str">
        <f>IF(AND(R130=1,S130&lt;&gt;"",C130&lt;&gt;""),S130&amp;"|"&amp;C130&amp;"|"&amp;G130&amp;"|"&amp;H130,"")</f>
        <v/>
      </c>
      <c r="AH130" s="96">
        <f>IF(AG130="",0,IF(SUMPRODUCT(--($AG$6:$AG$1005=AG130))&gt;1,1,0))</f>
        <v>0</v>
      </c>
      <c r="AI130" s="96">
        <f>IF(R130=0,0,IF(OR(U130=0,V130=0,Y130=0,AND(AH130=1,K130&lt;&gt;"Sim")),1,0))</f>
        <v>0</v>
      </c>
      <c r="AJ130" s="96">
        <f>IF(AND(R130=1,AA130&gt;0,AB130=AA130),1,0)</f>
        <v>0</v>
      </c>
      <c r="AK130" s="96">
        <f>IF(R130=0,0,IF(AA130&gt;0,N(L130),IF(ISNUMBER(I130),I130,0)))</f>
        <v>0</v>
      </c>
      <c r="AL130" s="96">
        <f>IF(R130=0,0,IF(AND(K130&lt;&gt;"Sim",N(M130)&gt;AK130+cfg_tol),1,0))</f>
        <v>0</v>
      </c>
      <c r="AM130" s="96">
        <f>IF(R130=0,0,IF(K130="Sim",0,IF(OR(AND(AA130&gt;0,ISNUMBER(I130),ABS(I130-N(L130))&gt;cfg_tol),AL130=1),1,0)))</f>
        <v>0</v>
      </c>
      <c r="AN130" s="96">
        <f>IF(AND(R130=1,N(M130)&gt;0,OR(N(M130)&gt;=AK130-cfg_tol,K130="Sim")),1,0)</f>
        <v>0</v>
      </c>
      <c r="AO130" s="96">
        <f>IF(AND(AN130=1,AD130&gt;0,AE130=AD130,AL130=0),1,0)</f>
        <v>0</v>
      </c>
      <c r="AP130" s="96">
        <f>IF(U130=0,0,IF(AND(INDEX('MTRs'!$AX$6:$AX$505,T130)=1,Z130=0,OR(f_res="",f_res="(Todos)",C130=f_res)),1,0))</f>
        <v>0</v>
      </c>
      <c r="AQ130" s="97" t="str">
        <f>IF(U130=0,"",INDEX('MTRs'!$AZ$6:$AZ$505,T130))</f>
        <v/>
      </c>
      <c r="AR130" s="96">
        <f>IF(U130=0,0,IF(AND(INDEX('MTRs'!$BA$6:$BA$505,T130)=1,Z130=0),1,0))</f>
        <v>0</v>
      </c>
      <c r="AS130" s="96" t="str">
        <f>IF(R130=1,A130&amp;" | MTR "&amp;IF(U130=1,INDEX('MTRs'!$B$6:$B$505,T130)&amp;"","?")&amp;" | "&amp;IF(C130="","(sem resíduo)",C130),"")</f>
        <v/>
      </c>
      <c r="AT130" s="96" t="str">
        <f>IF(R130=1,COUNTIF($R$6:R130,1),"")</f>
        <v/>
      </c>
      <c r="AU130" s="96" t="str">
        <f>IF(U130=1,INDEX('MTRs'!$I$6:$I$505,T130)&amp;"","")</f>
        <v/>
      </c>
    </row>
    <row r="131">
      <c r="A131" s="89" t="inlineStr">
        <is>
          <t>IT-000126</t>
        </is>
      </c>
      <c r="B131" s="91" t="n"/>
      <c r="C131" s="91" t="n"/>
      <c r="D131" s="94" t="str">
        <f>IF(OR(R131=0,V131=0),"",INDEX('CAD_RESÍDUOS'!$E$6:$E$205,MATCH(C131,'CAD_RESÍDUOS'!$B$6:$B$205,0))&amp;"")</f>
        <v/>
      </c>
      <c r="E131" s="94" t="str">
        <f>IF(OR(R131=0,V131=0),"",INDEX('CAD_RESÍDUOS'!$C$6:$C$205,MATCH(C131,'CAD_RESÍDUOS'!$B$6:$B$205,0))&amp;"")</f>
        <v/>
      </c>
      <c r="F131" s="94" t="str">
        <f>IF(OR(R131=0,V131=0),"",INDEX('CAD_RESÍDUOS'!$G$6:$G$205,MATCH(C131,'CAD_RESÍDUOS'!$B$6:$B$205,0))&amp;"")</f>
        <v/>
      </c>
      <c r="G131" s="98" t="n"/>
      <c r="H131" s="91" t="n"/>
      <c r="I131" s="93" t="str">
        <f>IF(R131=0,"",IF(NOT(ISNUMBER(G131)),"",IF(ISNUMBER(X131),G131*X131,"UNIDADE A CONFERIR")))</f>
        <v/>
      </c>
      <c r="J131" s="91" t="n"/>
      <c r="K131" s="91" t="n"/>
      <c r="L131" s="93" t="str">
        <f>IF(R131=0,"",SUMIFS('RECEBIMENTOS'!$H$6:$H$1005,'RECEBIMENTOS'!$R$6:$R$1005,A131,'RECEBIMENTOS'!$X$6:$X$1005,1))</f>
        <v/>
      </c>
      <c r="M131" s="93" t="str">
        <f>IF(R131=0,"",SUMIFS('VÍNCULOS_CDF'!$H$6:$H$1005,'VÍNCULOS_CDF'!$R$6:$R$1005,A131,'VÍNCULOS_CDF'!$V$6:$V$1005,1))</f>
        <v/>
      </c>
      <c r="N131" s="99" t="str">
        <f>IF(OR(R131=0,AA131=0,NOT(ISNUMBER(I131))),"",I131-N(L131))</f>
        <v/>
      </c>
      <c r="O131" s="100" t="str">
        <f>IF(OR(R131=0,AK131&lt;=0),"",N(M131)/AK131)</f>
        <v/>
      </c>
      <c r="P131" s="94" t="str">
        <f>IF(R131=0,"",IF(S131="","Sem MTR associado",IF(U131=0,"MTR inexistente",IF(C131="","Resíduo não identificado",IF(V131=0,"Resíduo fora do cadastro",IF(W131=0,"Quantidade inválida",IF(H131="","Unidade não informada",IF(NOT(ISNUMBER(I131)),"Unidade a conferir",IF(AND(AH131=1,K131&lt;&gt;"Sim"),"Possível duplicidade",IF(Z131=1,"MTR cancelado",IF(AC131&gt;0,"Recebimento com alerta",IF(AA131=0,"Aguardando recebimento",IF(AB131&lt;AA131,"Recebimento a conferir",IF(AM131=1,"Quantidade a revisar",IF(AF131&gt;0,"Vínculo a revisar",IF(AD131=0,"Aguardando CDF",IF(AN131=0,"Vínculo de CDF parcial",IF(AE131&lt;AD131,"CDF a conferir","Documentação conferida"))))))))))))))))))</f>
        <v/>
      </c>
      <c r="Q131" s="93" t="str">
        <f>IF(OR(R131=0,AA131=0),"",MAX(0,N(L131)-N(M131)))</f>
        <v/>
      </c>
      <c r="R131" s="96">
        <f>IF(COUNTA(B131:C131,G131:H131,J131:K131)&gt;0,1,0)</f>
        <v>0</v>
      </c>
      <c r="S131" s="96" t="str">
        <f>IF(B131="","",TRIM(LEFT(B131,FIND(" |",B131&amp;" |")-1)))</f>
        <v/>
      </c>
      <c r="T131" s="96" t="str">
        <f>IF(S131="","",IFERROR(MATCH(S131,'MTRs'!$A$6:$A$505,0),""))</f>
        <v/>
      </c>
      <c r="U131" s="96">
        <f>IF(T131="",0,IF(INDEX('MTRs'!$Z$6:$Z$505,T131)=1,1,0))</f>
        <v>0</v>
      </c>
      <c r="V131" s="96">
        <f>IF(C131="",0,IF(ISNUMBER(MATCH(C131,'CAD_RESÍDUOS'!$B$6:$B$205,0)),1,0))</f>
        <v>0</v>
      </c>
      <c r="W131" s="96">
        <f>IF(AND(ISNUMBER(G131),G131&gt;0),1,0)</f>
        <v>0</v>
      </c>
      <c r="X131" s="96" t="str">
        <f>IF(H131="","",IFERROR(IF(ISNUMBER(INDEX(cfg_fac,MATCH(H131,cfg_units,0))),IF(INDEX(cfg_fac,MATCH(H131,cfg_units,0))&gt;0,INDEX(cfg_fac,MATCH(H131,cfg_units,0)),""),""),""))</f>
        <v/>
      </c>
      <c r="Y131" s="96">
        <f>IF(AND(W131=1,ISNUMBER(I131)),1,0)</f>
        <v>0</v>
      </c>
      <c r="Z131" s="96">
        <f>IF(U131=1,INDEX('MTRs'!$AA$6:$AA$505,T131),0)</f>
        <v>0</v>
      </c>
      <c r="AA131" s="96">
        <f>IF(R131=0,0,COUNTIFS('RECEBIMENTOS'!$R$6:$R$1005,A131,'RECEBIMENTOS'!$Q$6:$Q$1005,1))</f>
        <v>0</v>
      </c>
      <c r="AB131" s="96">
        <f>IF(R131=0,0,COUNTIFS('RECEBIMENTOS'!$R$6:$R$1005,A131,'RECEBIMENTOS'!$Z$6:$Z$1005,1))</f>
        <v>0</v>
      </c>
      <c r="AC131" s="96">
        <f>IF(R131=0,0,COUNTIFS('RECEBIMENTOS'!$R$6:$R$1005,A131,'RECEBIMENTOS'!$Y$6:$Y$1005,1))</f>
        <v>0</v>
      </c>
      <c r="AD131" s="96">
        <f>IF(R131=0,0,COUNTIFS('VÍNCULOS_CDF'!$R$6:$R$1005,A131,'VÍNCULOS_CDF'!$N$6:$N$1005,1))</f>
        <v>0</v>
      </c>
      <c r="AE131" s="96">
        <f>IF(R131=0,0,COUNTIFS('VÍNCULOS_CDF'!$R$6:$R$1005,A131,'VÍNCULOS_CDF'!$AA$6:$AA$1005,1))</f>
        <v>0</v>
      </c>
      <c r="AF131" s="96">
        <f>IF(R131=0,0,COUNTIFS('VÍNCULOS_CDF'!$R$6:$R$1005,A131,'VÍNCULOS_CDF'!$Y$6:$Y$1005,1))</f>
        <v>0</v>
      </c>
      <c r="AG131" s="96" t="str">
        <f>IF(AND(R131=1,S131&lt;&gt;"",C131&lt;&gt;""),S131&amp;"|"&amp;C131&amp;"|"&amp;G131&amp;"|"&amp;H131,"")</f>
        <v/>
      </c>
      <c r="AH131" s="96">
        <f>IF(AG131="",0,IF(SUMPRODUCT(--($AG$6:$AG$1005=AG131))&gt;1,1,0))</f>
        <v>0</v>
      </c>
      <c r="AI131" s="96">
        <f>IF(R131=0,0,IF(OR(U131=0,V131=0,Y131=0,AND(AH131=1,K131&lt;&gt;"Sim")),1,0))</f>
        <v>0</v>
      </c>
      <c r="AJ131" s="96">
        <f>IF(AND(R131=1,AA131&gt;0,AB131=AA131),1,0)</f>
        <v>0</v>
      </c>
      <c r="AK131" s="96">
        <f>IF(R131=0,0,IF(AA131&gt;0,N(L131),IF(ISNUMBER(I131),I131,0)))</f>
        <v>0</v>
      </c>
      <c r="AL131" s="96">
        <f>IF(R131=0,0,IF(AND(K131&lt;&gt;"Sim",N(M131)&gt;AK131+cfg_tol),1,0))</f>
        <v>0</v>
      </c>
      <c r="AM131" s="96">
        <f>IF(R131=0,0,IF(K131="Sim",0,IF(OR(AND(AA131&gt;0,ISNUMBER(I131),ABS(I131-N(L131))&gt;cfg_tol),AL131=1),1,0)))</f>
        <v>0</v>
      </c>
      <c r="AN131" s="96">
        <f>IF(AND(R131=1,N(M131)&gt;0,OR(N(M131)&gt;=AK131-cfg_tol,K131="Sim")),1,0)</f>
        <v>0</v>
      </c>
      <c r="AO131" s="96">
        <f>IF(AND(AN131=1,AD131&gt;0,AE131=AD131,AL131=0),1,0)</f>
        <v>0</v>
      </c>
      <c r="AP131" s="96">
        <f>IF(U131=0,0,IF(AND(INDEX('MTRs'!$AX$6:$AX$505,T131)=1,Z131=0,OR(f_res="",f_res="(Todos)",C131=f_res)),1,0))</f>
        <v>0</v>
      </c>
      <c r="AQ131" s="97" t="str">
        <f>IF(U131=0,"",INDEX('MTRs'!$AZ$6:$AZ$505,T131))</f>
        <v/>
      </c>
      <c r="AR131" s="96">
        <f>IF(U131=0,0,IF(AND(INDEX('MTRs'!$BA$6:$BA$505,T131)=1,Z131=0),1,0))</f>
        <v>0</v>
      </c>
      <c r="AS131" s="96" t="str">
        <f>IF(R131=1,A131&amp;" | MTR "&amp;IF(U131=1,INDEX('MTRs'!$B$6:$B$505,T131)&amp;"","?")&amp;" | "&amp;IF(C131="","(sem resíduo)",C131),"")</f>
        <v/>
      </c>
      <c r="AT131" s="96" t="str">
        <f>IF(R131=1,COUNTIF($R$6:R131,1),"")</f>
        <v/>
      </c>
      <c r="AU131" s="96" t="str">
        <f>IF(U131=1,INDEX('MTRs'!$I$6:$I$505,T131)&amp;"","")</f>
        <v/>
      </c>
    </row>
    <row r="132">
      <c r="A132" s="89" t="inlineStr">
        <is>
          <t>IT-000127</t>
        </is>
      </c>
      <c r="B132" s="91" t="n"/>
      <c r="C132" s="91" t="n"/>
      <c r="D132" s="94" t="str">
        <f>IF(OR(R132=0,V132=0),"",INDEX('CAD_RESÍDUOS'!$E$6:$E$205,MATCH(C132,'CAD_RESÍDUOS'!$B$6:$B$205,0))&amp;"")</f>
        <v/>
      </c>
      <c r="E132" s="94" t="str">
        <f>IF(OR(R132=0,V132=0),"",INDEX('CAD_RESÍDUOS'!$C$6:$C$205,MATCH(C132,'CAD_RESÍDUOS'!$B$6:$B$205,0))&amp;"")</f>
        <v/>
      </c>
      <c r="F132" s="94" t="str">
        <f>IF(OR(R132=0,V132=0),"",INDEX('CAD_RESÍDUOS'!$G$6:$G$205,MATCH(C132,'CAD_RESÍDUOS'!$B$6:$B$205,0))&amp;"")</f>
        <v/>
      </c>
      <c r="G132" s="98" t="n"/>
      <c r="H132" s="91" t="n"/>
      <c r="I132" s="93" t="str">
        <f>IF(R132=0,"",IF(NOT(ISNUMBER(G132)),"",IF(ISNUMBER(X132),G132*X132,"UNIDADE A CONFERIR")))</f>
        <v/>
      </c>
      <c r="J132" s="91" t="n"/>
      <c r="K132" s="91" t="n"/>
      <c r="L132" s="93" t="str">
        <f>IF(R132=0,"",SUMIFS('RECEBIMENTOS'!$H$6:$H$1005,'RECEBIMENTOS'!$R$6:$R$1005,A132,'RECEBIMENTOS'!$X$6:$X$1005,1))</f>
        <v/>
      </c>
      <c r="M132" s="93" t="str">
        <f>IF(R132=0,"",SUMIFS('VÍNCULOS_CDF'!$H$6:$H$1005,'VÍNCULOS_CDF'!$R$6:$R$1005,A132,'VÍNCULOS_CDF'!$V$6:$V$1005,1))</f>
        <v/>
      </c>
      <c r="N132" s="99" t="str">
        <f>IF(OR(R132=0,AA132=0,NOT(ISNUMBER(I132))),"",I132-N(L132))</f>
        <v/>
      </c>
      <c r="O132" s="100" t="str">
        <f>IF(OR(R132=0,AK132&lt;=0),"",N(M132)/AK132)</f>
        <v/>
      </c>
      <c r="P132" s="94" t="str">
        <f>IF(R132=0,"",IF(S132="","Sem MTR associado",IF(U132=0,"MTR inexistente",IF(C132="","Resíduo não identificado",IF(V132=0,"Resíduo fora do cadastro",IF(W132=0,"Quantidade inválida",IF(H132="","Unidade não informada",IF(NOT(ISNUMBER(I132)),"Unidade a conferir",IF(AND(AH132=1,K132&lt;&gt;"Sim"),"Possível duplicidade",IF(Z132=1,"MTR cancelado",IF(AC132&gt;0,"Recebimento com alerta",IF(AA132=0,"Aguardando recebimento",IF(AB132&lt;AA132,"Recebimento a conferir",IF(AM132=1,"Quantidade a revisar",IF(AF132&gt;0,"Vínculo a revisar",IF(AD132=0,"Aguardando CDF",IF(AN132=0,"Vínculo de CDF parcial",IF(AE132&lt;AD132,"CDF a conferir","Documentação conferida"))))))))))))))))))</f>
        <v/>
      </c>
      <c r="Q132" s="93" t="str">
        <f>IF(OR(R132=0,AA132=0),"",MAX(0,N(L132)-N(M132)))</f>
        <v/>
      </c>
      <c r="R132" s="96">
        <f>IF(COUNTA(B132:C132,G132:H132,J132:K132)&gt;0,1,0)</f>
        <v>0</v>
      </c>
      <c r="S132" s="96" t="str">
        <f>IF(B132="","",TRIM(LEFT(B132,FIND(" |",B132&amp;" |")-1)))</f>
        <v/>
      </c>
      <c r="T132" s="96" t="str">
        <f>IF(S132="","",IFERROR(MATCH(S132,'MTRs'!$A$6:$A$505,0),""))</f>
        <v/>
      </c>
      <c r="U132" s="96">
        <f>IF(T132="",0,IF(INDEX('MTRs'!$Z$6:$Z$505,T132)=1,1,0))</f>
        <v>0</v>
      </c>
      <c r="V132" s="96">
        <f>IF(C132="",0,IF(ISNUMBER(MATCH(C132,'CAD_RESÍDUOS'!$B$6:$B$205,0)),1,0))</f>
        <v>0</v>
      </c>
      <c r="W132" s="96">
        <f>IF(AND(ISNUMBER(G132),G132&gt;0),1,0)</f>
        <v>0</v>
      </c>
      <c r="X132" s="96" t="str">
        <f>IF(H132="","",IFERROR(IF(ISNUMBER(INDEX(cfg_fac,MATCH(H132,cfg_units,0))),IF(INDEX(cfg_fac,MATCH(H132,cfg_units,0))&gt;0,INDEX(cfg_fac,MATCH(H132,cfg_units,0)),""),""),""))</f>
        <v/>
      </c>
      <c r="Y132" s="96">
        <f>IF(AND(W132=1,ISNUMBER(I132)),1,0)</f>
        <v>0</v>
      </c>
      <c r="Z132" s="96">
        <f>IF(U132=1,INDEX('MTRs'!$AA$6:$AA$505,T132),0)</f>
        <v>0</v>
      </c>
      <c r="AA132" s="96">
        <f>IF(R132=0,0,COUNTIFS('RECEBIMENTOS'!$R$6:$R$1005,A132,'RECEBIMENTOS'!$Q$6:$Q$1005,1))</f>
        <v>0</v>
      </c>
      <c r="AB132" s="96">
        <f>IF(R132=0,0,COUNTIFS('RECEBIMENTOS'!$R$6:$R$1005,A132,'RECEBIMENTOS'!$Z$6:$Z$1005,1))</f>
        <v>0</v>
      </c>
      <c r="AC132" s="96">
        <f>IF(R132=0,0,COUNTIFS('RECEBIMENTOS'!$R$6:$R$1005,A132,'RECEBIMENTOS'!$Y$6:$Y$1005,1))</f>
        <v>0</v>
      </c>
      <c r="AD132" s="96">
        <f>IF(R132=0,0,COUNTIFS('VÍNCULOS_CDF'!$R$6:$R$1005,A132,'VÍNCULOS_CDF'!$N$6:$N$1005,1))</f>
        <v>0</v>
      </c>
      <c r="AE132" s="96">
        <f>IF(R132=0,0,COUNTIFS('VÍNCULOS_CDF'!$R$6:$R$1005,A132,'VÍNCULOS_CDF'!$AA$6:$AA$1005,1))</f>
        <v>0</v>
      </c>
      <c r="AF132" s="96">
        <f>IF(R132=0,0,COUNTIFS('VÍNCULOS_CDF'!$R$6:$R$1005,A132,'VÍNCULOS_CDF'!$Y$6:$Y$1005,1))</f>
        <v>0</v>
      </c>
      <c r="AG132" s="96" t="str">
        <f>IF(AND(R132=1,S132&lt;&gt;"",C132&lt;&gt;""),S132&amp;"|"&amp;C132&amp;"|"&amp;G132&amp;"|"&amp;H132,"")</f>
        <v/>
      </c>
      <c r="AH132" s="96">
        <f>IF(AG132="",0,IF(SUMPRODUCT(--($AG$6:$AG$1005=AG132))&gt;1,1,0))</f>
        <v>0</v>
      </c>
      <c r="AI132" s="96">
        <f>IF(R132=0,0,IF(OR(U132=0,V132=0,Y132=0,AND(AH132=1,K132&lt;&gt;"Sim")),1,0))</f>
        <v>0</v>
      </c>
      <c r="AJ132" s="96">
        <f>IF(AND(R132=1,AA132&gt;0,AB132=AA132),1,0)</f>
        <v>0</v>
      </c>
      <c r="AK132" s="96">
        <f>IF(R132=0,0,IF(AA132&gt;0,N(L132),IF(ISNUMBER(I132),I132,0)))</f>
        <v>0</v>
      </c>
      <c r="AL132" s="96">
        <f>IF(R132=0,0,IF(AND(K132&lt;&gt;"Sim",N(M132)&gt;AK132+cfg_tol),1,0))</f>
        <v>0</v>
      </c>
      <c r="AM132" s="96">
        <f>IF(R132=0,0,IF(K132="Sim",0,IF(OR(AND(AA132&gt;0,ISNUMBER(I132),ABS(I132-N(L132))&gt;cfg_tol),AL132=1),1,0)))</f>
        <v>0</v>
      </c>
      <c r="AN132" s="96">
        <f>IF(AND(R132=1,N(M132)&gt;0,OR(N(M132)&gt;=AK132-cfg_tol,K132="Sim")),1,0)</f>
        <v>0</v>
      </c>
      <c r="AO132" s="96">
        <f>IF(AND(AN132=1,AD132&gt;0,AE132=AD132,AL132=0),1,0)</f>
        <v>0</v>
      </c>
      <c r="AP132" s="96">
        <f>IF(U132=0,0,IF(AND(INDEX('MTRs'!$AX$6:$AX$505,T132)=1,Z132=0,OR(f_res="",f_res="(Todos)",C132=f_res)),1,0))</f>
        <v>0</v>
      </c>
      <c r="AQ132" s="97" t="str">
        <f>IF(U132=0,"",INDEX('MTRs'!$AZ$6:$AZ$505,T132))</f>
        <v/>
      </c>
      <c r="AR132" s="96">
        <f>IF(U132=0,0,IF(AND(INDEX('MTRs'!$BA$6:$BA$505,T132)=1,Z132=0),1,0))</f>
        <v>0</v>
      </c>
      <c r="AS132" s="96" t="str">
        <f>IF(R132=1,A132&amp;" | MTR "&amp;IF(U132=1,INDEX('MTRs'!$B$6:$B$505,T132)&amp;"","?")&amp;" | "&amp;IF(C132="","(sem resíduo)",C132),"")</f>
        <v/>
      </c>
      <c r="AT132" s="96" t="str">
        <f>IF(R132=1,COUNTIF($R$6:R132,1),"")</f>
        <v/>
      </c>
      <c r="AU132" s="96" t="str">
        <f>IF(U132=1,INDEX('MTRs'!$I$6:$I$505,T132)&amp;"","")</f>
        <v/>
      </c>
    </row>
    <row r="133">
      <c r="A133" s="89" t="inlineStr">
        <is>
          <t>IT-000128</t>
        </is>
      </c>
      <c r="B133" s="91" t="n"/>
      <c r="C133" s="91" t="n"/>
      <c r="D133" s="94" t="str">
        <f>IF(OR(R133=0,V133=0),"",INDEX('CAD_RESÍDUOS'!$E$6:$E$205,MATCH(C133,'CAD_RESÍDUOS'!$B$6:$B$205,0))&amp;"")</f>
        <v/>
      </c>
      <c r="E133" s="94" t="str">
        <f>IF(OR(R133=0,V133=0),"",INDEX('CAD_RESÍDUOS'!$C$6:$C$205,MATCH(C133,'CAD_RESÍDUOS'!$B$6:$B$205,0))&amp;"")</f>
        <v/>
      </c>
      <c r="F133" s="94" t="str">
        <f>IF(OR(R133=0,V133=0),"",INDEX('CAD_RESÍDUOS'!$G$6:$G$205,MATCH(C133,'CAD_RESÍDUOS'!$B$6:$B$205,0))&amp;"")</f>
        <v/>
      </c>
      <c r="G133" s="98" t="n"/>
      <c r="H133" s="91" t="n"/>
      <c r="I133" s="93" t="str">
        <f>IF(R133=0,"",IF(NOT(ISNUMBER(G133)),"",IF(ISNUMBER(X133),G133*X133,"UNIDADE A CONFERIR")))</f>
        <v/>
      </c>
      <c r="J133" s="91" t="n"/>
      <c r="K133" s="91" t="n"/>
      <c r="L133" s="93" t="str">
        <f>IF(R133=0,"",SUMIFS('RECEBIMENTOS'!$H$6:$H$1005,'RECEBIMENTOS'!$R$6:$R$1005,A133,'RECEBIMENTOS'!$X$6:$X$1005,1))</f>
        <v/>
      </c>
      <c r="M133" s="93" t="str">
        <f>IF(R133=0,"",SUMIFS('VÍNCULOS_CDF'!$H$6:$H$1005,'VÍNCULOS_CDF'!$R$6:$R$1005,A133,'VÍNCULOS_CDF'!$V$6:$V$1005,1))</f>
        <v/>
      </c>
      <c r="N133" s="99" t="str">
        <f>IF(OR(R133=0,AA133=0,NOT(ISNUMBER(I133))),"",I133-N(L133))</f>
        <v/>
      </c>
      <c r="O133" s="100" t="str">
        <f>IF(OR(R133=0,AK133&lt;=0),"",N(M133)/AK133)</f>
        <v/>
      </c>
      <c r="P133" s="94" t="str">
        <f>IF(R133=0,"",IF(S133="","Sem MTR associado",IF(U133=0,"MTR inexistente",IF(C133="","Resíduo não identificado",IF(V133=0,"Resíduo fora do cadastro",IF(W133=0,"Quantidade inválida",IF(H133="","Unidade não informada",IF(NOT(ISNUMBER(I133)),"Unidade a conferir",IF(AND(AH133=1,K133&lt;&gt;"Sim"),"Possível duplicidade",IF(Z133=1,"MTR cancelado",IF(AC133&gt;0,"Recebimento com alerta",IF(AA133=0,"Aguardando recebimento",IF(AB133&lt;AA133,"Recebimento a conferir",IF(AM133=1,"Quantidade a revisar",IF(AF133&gt;0,"Vínculo a revisar",IF(AD133=0,"Aguardando CDF",IF(AN133=0,"Vínculo de CDF parcial",IF(AE133&lt;AD133,"CDF a conferir","Documentação conferida"))))))))))))))))))</f>
        <v/>
      </c>
      <c r="Q133" s="93" t="str">
        <f>IF(OR(R133=0,AA133=0),"",MAX(0,N(L133)-N(M133)))</f>
        <v/>
      </c>
      <c r="R133" s="96">
        <f>IF(COUNTA(B133:C133,G133:H133,J133:K133)&gt;0,1,0)</f>
        <v>0</v>
      </c>
      <c r="S133" s="96" t="str">
        <f>IF(B133="","",TRIM(LEFT(B133,FIND(" |",B133&amp;" |")-1)))</f>
        <v/>
      </c>
      <c r="T133" s="96" t="str">
        <f>IF(S133="","",IFERROR(MATCH(S133,'MTRs'!$A$6:$A$505,0),""))</f>
        <v/>
      </c>
      <c r="U133" s="96">
        <f>IF(T133="",0,IF(INDEX('MTRs'!$Z$6:$Z$505,T133)=1,1,0))</f>
        <v>0</v>
      </c>
      <c r="V133" s="96">
        <f>IF(C133="",0,IF(ISNUMBER(MATCH(C133,'CAD_RESÍDUOS'!$B$6:$B$205,0)),1,0))</f>
        <v>0</v>
      </c>
      <c r="W133" s="96">
        <f>IF(AND(ISNUMBER(G133),G133&gt;0),1,0)</f>
        <v>0</v>
      </c>
      <c r="X133" s="96" t="str">
        <f>IF(H133="","",IFERROR(IF(ISNUMBER(INDEX(cfg_fac,MATCH(H133,cfg_units,0))),IF(INDEX(cfg_fac,MATCH(H133,cfg_units,0))&gt;0,INDEX(cfg_fac,MATCH(H133,cfg_units,0)),""),""),""))</f>
        <v/>
      </c>
      <c r="Y133" s="96">
        <f>IF(AND(W133=1,ISNUMBER(I133)),1,0)</f>
        <v>0</v>
      </c>
      <c r="Z133" s="96">
        <f>IF(U133=1,INDEX('MTRs'!$AA$6:$AA$505,T133),0)</f>
        <v>0</v>
      </c>
      <c r="AA133" s="96">
        <f>IF(R133=0,0,COUNTIFS('RECEBIMENTOS'!$R$6:$R$1005,A133,'RECEBIMENTOS'!$Q$6:$Q$1005,1))</f>
        <v>0</v>
      </c>
      <c r="AB133" s="96">
        <f>IF(R133=0,0,COUNTIFS('RECEBIMENTOS'!$R$6:$R$1005,A133,'RECEBIMENTOS'!$Z$6:$Z$1005,1))</f>
        <v>0</v>
      </c>
      <c r="AC133" s="96">
        <f>IF(R133=0,0,COUNTIFS('RECEBIMENTOS'!$R$6:$R$1005,A133,'RECEBIMENTOS'!$Y$6:$Y$1005,1))</f>
        <v>0</v>
      </c>
      <c r="AD133" s="96">
        <f>IF(R133=0,0,COUNTIFS('VÍNCULOS_CDF'!$R$6:$R$1005,A133,'VÍNCULOS_CDF'!$N$6:$N$1005,1))</f>
        <v>0</v>
      </c>
      <c r="AE133" s="96">
        <f>IF(R133=0,0,COUNTIFS('VÍNCULOS_CDF'!$R$6:$R$1005,A133,'VÍNCULOS_CDF'!$AA$6:$AA$1005,1))</f>
        <v>0</v>
      </c>
      <c r="AF133" s="96">
        <f>IF(R133=0,0,COUNTIFS('VÍNCULOS_CDF'!$R$6:$R$1005,A133,'VÍNCULOS_CDF'!$Y$6:$Y$1005,1))</f>
        <v>0</v>
      </c>
      <c r="AG133" s="96" t="str">
        <f>IF(AND(R133=1,S133&lt;&gt;"",C133&lt;&gt;""),S133&amp;"|"&amp;C133&amp;"|"&amp;G133&amp;"|"&amp;H133,"")</f>
        <v/>
      </c>
      <c r="AH133" s="96">
        <f>IF(AG133="",0,IF(SUMPRODUCT(--($AG$6:$AG$1005=AG133))&gt;1,1,0))</f>
        <v>0</v>
      </c>
      <c r="AI133" s="96">
        <f>IF(R133=0,0,IF(OR(U133=0,V133=0,Y133=0,AND(AH133=1,K133&lt;&gt;"Sim")),1,0))</f>
        <v>0</v>
      </c>
      <c r="AJ133" s="96">
        <f>IF(AND(R133=1,AA133&gt;0,AB133=AA133),1,0)</f>
        <v>0</v>
      </c>
      <c r="AK133" s="96">
        <f>IF(R133=0,0,IF(AA133&gt;0,N(L133),IF(ISNUMBER(I133),I133,0)))</f>
        <v>0</v>
      </c>
      <c r="AL133" s="96">
        <f>IF(R133=0,0,IF(AND(K133&lt;&gt;"Sim",N(M133)&gt;AK133+cfg_tol),1,0))</f>
        <v>0</v>
      </c>
      <c r="AM133" s="96">
        <f>IF(R133=0,0,IF(K133="Sim",0,IF(OR(AND(AA133&gt;0,ISNUMBER(I133),ABS(I133-N(L133))&gt;cfg_tol),AL133=1),1,0)))</f>
        <v>0</v>
      </c>
      <c r="AN133" s="96">
        <f>IF(AND(R133=1,N(M133)&gt;0,OR(N(M133)&gt;=AK133-cfg_tol,K133="Sim")),1,0)</f>
        <v>0</v>
      </c>
      <c r="AO133" s="96">
        <f>IF(AND(AN133=1,AD133&gt;0,AE133=AD133,AL133=0),1,0)</f>
        <v>0</v>
      </c>
      <c r="AP133" s="96">
        <f>IF(U133=0,0,IF(AND(INDEX('MTRs'!$AX$6:$AX$505,T133)=1,Z133=0,OR(f_res="",f_res="(Todos)",C133=f_res)),1,0))</f>
        <v>0</v>
      </c>
      <c r="AQ133" s="97" t="str">
        <f>IF(U133=0,"",INDEX('MTRs'!$AZ$6:$AZ$505,T133))</f>
        <v/>
      </c>
      <c r="AR133" s="96">
        <f>IF(U133=0,0,IF(AND(INDEX('MTRs'!$BA$6:$BA$505,T133)=1,Z133=0),1,0))</f>
        <v>0</v>
      </c>
      <c r="AS133" s="96" t="str">
        <f>IF(R133=1,A133&amp;" | MTR "&amp;IF(U133=1,INDEX('MTRs'!$B$6:$B$505,T133)&amp;"","?")&amp;" | "&amp;IF(C133="","(sem resíduo)",C133),"")</f>
        <v/>
      </c>
      <c r="AT133" s="96" t="str">
        <f>IF(R133=1,COUNTIF($R$6:R133,1),"")</f>
        <v/>
      </c>
      <c r="AU133" s="96" t="str">
        <f>IF(U133=1,INDEX('MTRs'!$I$6:$I$505,T133)&amp;"","")</f>
        <v/>
      </c>
    </row>
    <row r="134">
      <c r="A134" s="89" t="inlineStr">
        <is>
          <t>IT-000129</t>
        </is>
      </c>
      <c r="B134" s="91" t="n"/>
      <c r="C134" s="91" t="n"/>
      <c r="D134" s="94" t="str">
        <f>IF(OR(R134=0,V134=0),"",INDEX('CAD_RESÍDUOS'!$E$6:$E$205,MATCH(C134,'CAD_RESÍDUOS'!$B$6:$B$205,0))&amp;"")</f>
        <v/>
      </c>
      <c r="E134" s="94" t="str">
        <f>IF(OR(R134=0,V134=0),"",INDEX('CAD_RESÍDUOS'!$C$6:$C$205,MATCH(C134,'CAD_RESÍDUOS'!$B$6:$B$205,0))&amp;"")</f>
        <v/>
      </c>
      <c r="F134" s="94" t="str">
        <f>IF(OR(R134=0,V134=0),"",INDEX('CAD_RESÍDUOS'!$G$6:$G$205,MATCH(C134,'CAD_RESÍDUOS'!$B$6:$B$205,0))&amp;"")</f>
        <v/>
      </c>
      <c r="G134" s="98" t="n"/>
      <c r="H134" s="91" t="n"/>
      <c r="I134" s="93" t="str">
        <f>IF(R134=0,"",IF(NOT(ISNUMBER(G134)),"",IF(ISNUMBER(X134),G134*X134,"UNIDADE A CONFERIR")))</f>
        <v/>
      </c>
      <c r="J134" s="91" t="n"/>
      <c r="K134" s="91" t="n"/>
      <c r="L134" s="93" t="str">
        <f>IF(R134=0,"",SUMIFS('RECEBIMENTOS'!$H$6:$H$1005,'RECEBIMENTOS'!$R$6:$R$1005,A134,'RECEBIMENTOS'!$X$6:$X$1005,1))</f>
        <v/>
      </c>
      <c r="M134" s="93" t="str">
        <f>IF(R134=0,"",SUMIFS('VÍNCULOS_CDF'!$H$6:$H$1005,'VÍNCULOS_CDF'!$R$6:$R$1005,A134,'VÍNCULOS_CDF'!$V$6:$V$1005,1))</f>
        <v/>
      </c>
      <c r="N134" s="99" t="str">
        <f>IF(OR(R134=0,AA134=0,NOT(ISNUMBER(I134))),"",I134-N(L134))</f>
        <v/>
      </c>
      <c r="O134" s="100" t="str">
        <f>IF(OR(R134=0,AK134&lt;=0),"",N(M134)/AK134)</f>
        <v/>
      </c>
      <c r="P134" s="94" t="str">
        <f>IF(R134=0,"",IF(S134="","Sem MTR associado",IF(U134=0,"MTR inexistente",IF(C134="","Resíduo não identificado",IF(V134=0,"Resíduo fora do cadastro",IF(W134=0,"Quantidade inválida",IF(H134="","Unidade não informada",IF(NOT(ISNUMBER(I134)),"Unidade a conferir",IF(AND(AH134=1,K134&lt;&gt;"Sim"),"Possível duplicidade",IF(Z134=1,"MTR cancelado",IF(AC134&gt;0,"Recebimento com alerta",IF(AA134=0,"Aguardando recebimento",IF(AB134&lt;AA134,"Recebimento a conferir",IF(AM134=1,"Quantidade a revisar",IF(AF134&gt;0,"Vínculo a revisar",IF(AD134=0,"Aguardando CDF",IF(AN134=0,"Vínculo de CDF parcial",IF(AE134&lt;AD134,"CDF a conferir","Documentação conferida"))))))))))))))))))</f>
        <v/>
      </c>
      <c r="Q134" s="93" t="str">
        <f>IF(OR(R134=0,AA134=0),"",MAX(0,N(L134)-N(M134)))</f>
        <v/>
      </c>
      <c r="R134" s="96">
        <f>IF(COUNTA(B134:C134,G134:H134,J134:K134)&gt;0,1,0)</f>
        <v>0</v>
      </c>
      <c r="S134" s="96" t="str">
        <f>IF(B134="","",TRIM(LEFT(B134,FIND(" |",B134&amp;" |")-1)))</f>
        <v/>
      </c>
      <c r="T134" s="96" t="str">
        <f>IF(S134="","",IFERROR(MATCH(S134,'MTRs'!$A$6:$A$505,0),""))</f>
        <v/>
      </c>
      <c r="U134" s="96">
        <f>IF(T134="",0,IF(INDEX('MTRs'!$Z$6:$Z$505,T134)=1,1,0))</f>
        <v>0</v>
      </c>
      <c r="V134" s="96">
        <f>IF(C134="",0,IF(ISNUMBER(MATCH(C134,'CAD_RESÍDUOS'!$B$6:$B$205,0)),1,0))</f>
        <v>0</v>
      </c>
      <c r="W134" s="96">
        <f>IF(AND(ISNUMBER(G134),G134&gt;0),1,0)</f>
        <v>0</v>
      </c>
      <c r="X134" s="96" t="str">
        <f>IF(H134="","",IFERROR(IF(ISNUMBER(INDEX(cfg_fac,MATCH(H134,cfg_units,0))),IF(INDEX(cfg_fac,MATCH(H134,cfg_units,0))&gt;0,INDEX(cfg_fac,MATCH(H134,cfg_units,0)),""),""),""))</f>
        <v/>
      </c>
      <c r="Y134" s="96">
        <f>IF(AND(W134=1,ISNUMBER(I134)),1,0)</f>
        <v>0</v>
      </c>
      <c r="Z134" s="96">
        <f>IF(U134=1,INDEX('MTRs'!$AA$6:$AA$505,T134),0)</f>
        <v>0</v>
      </c>
      <c r="AA134" s="96">
        <f>IF(R134=0,0,COUNTIFS('RECEBIMENTOS'!$R$6:$R$1005,A134,'RECEBIMENTOS'!$Q$6:$Q$1005,1))</f>
        <v>0</v>
      </c>
      <c r="AB134" s="96">
        <f>IF(R134=0,0,COUNTIFS('RECEBIMENTOS'!$R$6:$R$1005,A134,'RECEBIMENTOS'!$Z$6:$Z$1005,1))</f>
        <v>0</v>
      </c>
      <c r="AC134" s="96">
        <f>IF(R134=0,0,COUNTIFS('RECEBIMENTOS'!$R$6:$R$1005,A134,'RECEBIMENTOS'!$Y$6:$Y$1005,1))</f>
        <v>0</v>
      </c>
      <c r="AD134" s="96">
        <f>IF(R134=0,0,COUNTIFS('VÍNCULOS_CDF'!$R$6:$R$1005,A134,'VÍNCULOS_CDF'!$N$6:$N$1005,1))</f>
        <v>0</v>
      </c>
      <c r="AE134" s="96">
        <f>IF(R134=0,0,COUNTIFS('VÍNCULOS_CDF'!$R$6:$R$1005,A134,'VÍNCULOS_CDF'!$AA$6:$AA$1005,1))</f>
        <v>0</v>
      </c>
      <c r="AF134" s="96">
        <f>IF(R134=0,0,COUNTIFS('VÍNCULOS_CDF'!$R$6:$R$1005,A134,'VÍNCULOS_CDF'!$Y$6:$Y$1005,1))</f>
        <v>0</v>
      </c>
      <c r="AG134" s="96" t="str">
        <f>IF(AND(R134=1,S134&lt;&gt;"",C134&lt;&gt;""),S134&amp;"|"&amp;C134&amp;"|"&amp;G134&amp;"|"&amp;H134,"")</f>
        <v/>
      </c>
      <c r="AH134" s="96">
        <f>IF(AG134="",0,IF(SUMPRODUCT(--($AG$6:$AG$1005=AG134))&gt;1,1,0))</f>
        <v>0</v>
      </c>
      <c r="AI134" s="96">
        <f>IF(R134=0,0,IF(OR(U134=0,V134=0,Y134=0,AND(AH134=1,K134&lt;&gt;"Sim")),1,0))</f>
        <v>0</v>
      </c>
      <c r="AJ134" s="96">
        <f>IF(AND(R134=1,AA134&gt;0,AB134=AA134),1,0)</f>
        <v>0</v>
      </c>
      <c r="AK134" s="96">
        <f>IF(R134=0,0,IF(AA134&gt;0,N(L134),IF(ISNUMBER(I134),I134,0)))</f>
        <v>0</v>
      </c>
      <c r="AL134" s="96">
        <f>IF(R134=0,0,IF(AND(K134&lt;&gt;"Sim",N(M134)&gt;AK134+cfg_tol),1,0))</f>
        <v>0</v>
      </c>
      <c r="AM134" s="96">
        <f>IF(R134=0,0,IF(K134="Sim",0,IF(OR(AND(AA134&gt;0,ISNUMBER(I134),ABS(I134-N(L134))&gt;cfg_tol),AL134=1),1,0)))</f>
        <v>0</v>
      </c>
      <c r="AN134" s="96">
        <f>IF(AND(R134=1,N(M134)&gt;0,OR(N(M134)&gt;=AK134-cfg_tol,K134="Sim")),1,0)</f>
        <v>0</v>
      </c>
      <c r="AO134" s="96">
        <f>IF(AND(AN134=1,AD134&gt;0,AE134=AD134,AL134=0),1,0)</f>
        <v>0</v>
      </c>
      <c r="AP134" s="96">
        <f>IF(U134=0,0,IF(AND(INDEX('MTRs'!$AX$6:$AX$505,T134)=1,Z134=0,OR(f_res="",f_res="(Todos)",C134=f_res)),1,0))</f>
        <v>0</v>
      </c>
      <c r="AQ134" s="97" t="str">
        <f>IF(U134=0,"",INDEX('MTRs'!$AZ$6:$AZ$505,T134))</f>
        <v/>
      </c>
      <c r="AR134" s="96">
        <f>IF(U134=0,0,IF(AND(INDEX('MTRs'!$BA$6:$BA$505,T134)=1,Z134=0),1,0))</f>
        <v>0</v>
      </c>
      <c r="AS134" s="96" t="str">
        <f>IF(R134=1,A134&amp;" | MTR "&amp;IF(U134=1,INDEX('MTRs'!$B$6:$B$505,T134)&amp;"","?")&amp;" | "&amp;IF(C134="","(sem resíduo)",C134),"")</f>
        <v/>
      </c>
      <c r="AT134" s="96" t="str">
        <f>IF(R134=1,COUNTIF($R$6:R134,1),"")</f>
        <v/>
      </c>
      <c r="AU134" s="96" t="str">
        <f>IF(U134=1,INDEX('MTRs'!$I$6:$I$505,T134)&amp;"","")</f>
        <v/>
      </c>
    </row>
    <row r="135">
      <c r="A135" s="89" t="inlineStr">
        <is>
          <t>IT-000130</t>
        </is>
      </c>
      <c r="B135" s="91" t="n"/>
      <c r="C135" s="91" t="n"/>
      <c r="D135" s="94" t="str">
        <f>IF(OR(R135=0,V135=0),"",INDEX('CAD_RESÍDUOS'!$E$6:$E$205,MATCH(C135,'CAD_RESÍDUOS'!$B$6:$B$205,0))&amp;"")</f>
        <v/>
      </c>
      <c r="E135" s="94" t="str">
        <f>IF(OR(R135=0,V135=0),"",INDEX('CAD_RESÍDUOS'!$C$6:$C$205,MATCH(C135,'CAD_RESÍDUOS'!$B$6:$B$205,0))&amp;"")</f>
        <v/>
      </c>
      <c r="F135" s="94" t="str">
        <f>IF(OR(R135=0,V135=0),"",INDEX('CAD_RESÍDUOS'!$G$6:$G$205,MATCH(C135,'CAD_RESÍDUOS'!$B$6:$B$205,0))&amp;"")</f>
        <v/>
      </c>
      <c r="G135" s="98" t="n"/>
      <c r="H135" s="91" t="n"/>
      <c r="I135" s="93" t="str">
        <f>IF(R135=0,"",IF(NOT(ISNUMBER(G135)),"",IF(ISNUMBER(X135),G135*X135,"UNIDADE A CONFERIR")))</f>
        <v/>
      </c>
      <c r="J135" s="91" t="n"/>
      <c r="K135" s="91" t="n"/>
      <c r="L135" s="93" t="str">
        <f>IF(R135=0,"",SUMIFS('RECEBIMENTOS'!$H$6:$H$1005,'RECEBIMENTOS'!$R$6:$R$1005,A135,'RECEBIMENTOS'!$X$6:$X$1005,1))</f>
        <v/>
      </c>
      <c r="M135" s="93" t="str">
        <f>IF(R135=0,"",SUMIFS('VÍNCULOS_CDF'!$H$6:$H$1005,'VÍNCULOS_CDF'!$R$6:$R$1005,A135,'VÍNCULOS_CDF'!$V$6:$V$1005,1))</f>
        <v/>
      </c>
      <c r="N135" s="99" t="str">
        <f>IF(OR(R135=0,AA135=0,NOT(ISNUMBER(I135))),"",I135-N(L135))</f>
        <v/>
      </c>
      <c r="O135" s="100" t="str">
        <f>IF(OR(R135=0,AK135&lt;=0),"",N(M135)/AK135)</f>
        <v/>
      </c>
      <c r="P135" s="94" t="str">
        <f>IF(R135=0,"",IF(S135="","Sem MTR associado",IF(U135=0,"MTR inexistente",IF(C135="","Resíduo não identificado",IF(V135=0,"Resíduo fora do cadastro",IF(W135=0,"Quantidade inválida",IF(H135="","Unidade não informada",IF(NOT(ISNUMBER(I135)),"Unidade a conferir",IF(AND(AH135=1,K135&lt;&gt;"Sim"),"Possível duplicidade",IF(Z135=1,"MTR cancelado",IF(AC135&gt;0,"Recebimento com alerta",IF(AA135=0,"Aguardando recebimento",IF(AB135&lt;AA135,"Recebimento a conferir",IF(AM135=1,"Quantidade a revisar",IF(AF135&gt;0,"Vínculo a revisar",IF(AD135=0,"Aguardando CDF",IF(AN135=0,"Vínculo de CDF parcial",IF(AE135&lt;AD135,"CDF a conferir","Documentação conferida"))))))))))))))))))</f>
        <v/>
      </c>
      <c r="Q135" s="93" t="str">
        <f>IF(OR(R135=0,AA135=0),"",MAX(0,N(L135)-N(M135)))</f>
        <v/>
      </c>
      <c r="R135" s="96">
        <f>IF(COUNTA(B135:C135,G135:H135,J135:K135)&gt;0,1,0)</f>
        <v>0</v>
      </c>
      <c r="S135" s="96" t="str">
        <f>IF(B135="","",TRIM(LEFT(B135,FIND(" |",B135&amp;" |")-1)))</f>
        <v/>
      </c>
      <c r="T135" s="96" t="str">
        <f>IF(S135="","",IFERROR(MATCH(S135,'MTRs'!$A$6:$A$505,0),""))</f>
        <v/>
      </c>
      <c r="U135" s="96">
        <f>IF(T135="",0,IF(INDEX('MTRs'!$Z$6:$Z$505,T135)=1,1,0))</f>
        <v>0</v>
      </c>
      <c r="V135" s="96">
        <f>IF(C135="",0,IF(ISNUMBER(MATCH(C135,'CAD_RESÍDUOS'!$B$6:$B$205,0)),1,0))</f>
        <v>0</v>
      </c>
      <c r="W135" s="96">
        <f>IF(AND(ISNUMBER(G135),G135&gt;0),1,0)</f>
        <v>0</v>
      </c>
      <c r="X135" s="96" t="str">
        <f>IF(H135="","",IFERROR(IF(ISNUMBER(INDEX(cfg_fac,MATCH(H135,cfg_units,0))),IF(INDEX(cfg_fac,MATCH(H135,cfg_units,0))&gt;0,INDEX(cfg_fac,MATCH(H135,cfg_units,0)),""),""),""))</f>
        <v/>
      </c>
      <c r="Y135" s="96">
        <f>IF(AND(W135=1,ISNUMBER(I135)),1,0)</f>
        <v>0</v>
      </c>
      <c r="Z135" s="96">
        <f>IF(U135=1,INDEX('MTRs'!$AA$6:$AA$505,T135),0)</f>
        <v>0</v>
      </c>
      <c r="AA135" s="96">
        <f>IF(R135=0,0,COUNTIFS('RECEBIMENTOS'!$R$6:$R$1005,A135,'RECEBIMENTOS'!$Q$6:$Q$1005,1))</f>
        <v>0</v>
      </c>
      <c r="AB135" s="96">
        <f>IF(R135=0,0,COUNTIFS('RECEBIMENTOS'!$R$6:$R$1005,A135,'RECEBIMENTOS'!$Z$6:$Z$1005,1))</f>
        <v>0</v>
      </c>
      <c r="AC135" s="96">
        <f>IF(R135=0,0,COUNTIFS('RECEBIMENTOS'!$R$6:$R$1005,A135,'RECEBIMENTOS'!$Y$6:$Y$1005,1))</f>
        <v>0</v>
      </c>
      <c r="AD135" s="96">
        <f>IF(R135=0,0,COUNTIFS('VÍNCULOS_CDF'!$R$6:$R$1005,A135,'VÍNCULOS_CDF'!$N$6:$N$1005,1))</f>
        <v>0</v>
      </c>
      <c r="AE135" s="96">
        <f>IF(R135=0,0,COUNTIFS('VÍNCULOS_CDF'!$R$6:$R$1005,A135,'VÍNCULOS_CDF'!$AA$6:$AA$1005,1))</f>
        <v>0</v>
      </c>
      <c r="AF135" s="96">
        <f>IF(R135=0,0,COUNTIFS('VÍNCULOS_CDF'!$R$6:$R$1005,A135,'VÍNCULOS_CDF'!$Y$6:$Y$1005,1))</f>
        <v>0</v>
      </c>
      <c r="AG135" s="96" t="str">
        <f>IF(AND(R135=1,S135&lt;&gt;"",C135&lt;&gt;""),S135&amp;"|"&amp;C135&amp;"|"&amp;G135&amp;"|"&amp;H135,"")</f>
        <v/>
      </c>
      <c r="AH135" s="96">
        <f>IF(AG135="",0,IF(SUMPRODUCT(--($AG$6:$AG$1005=AG135))&gt;1,1,0))</f>
        <v>0</v>
      </c>
      <c r="AI135" s="96">
        <f>IF(R135=0,0,IF(OR(U135=0,V135=0,Y135=0,AND(AH135=1,K135&lt;&gt;"Sim")),1,0))</f>
        <v>0</v>
      </c>
      <c r="AJ135" s="96">
        <f>IF(AND(R135=1,AA135&gt;0,AB135=AA135),1,0)</f>
        <v>0</v>
      </c>
      <c r="AK135" s="96">
        <f>IF(R135=0,0,IF(AA135&gt;0,N(L135),IF(ISNUMBER(I135),I135,0)))</f>
        <v>0</v>
      </c>
      <c r="AL135" s="96">
        <f>IF(R135=0,0,IF(AND(K135&lt;&gt;"Sim",N(M135)&gt;AK135+cfg_tol),1,0))</f>
        <v>0</v>
      </c>
      <c r="AM135" s="96">
        <f>IF(R135=0,0,IF(K135="Sim",0,IF(OR(AND(AA135&gt;0,ISNUMBER(I135),ABS(I135-N(L135))&gt;cfg_tol),AL135=1),1,0)))</f>
        <v>0</v>
      </c>
      <c r="AN135" s="96">
        <f>IF(AND(R135=1,N(M135)&gt;0,OR(N(M135)&gt;=AK135-cfg_tol,K135="Sim")),1,0)</f>
        <v>0</v>
      </c>
      <c r="AO135" s="96">
        <f>IF(AND(AN135=1,AD135&gt;0,AE135=AD135,AL135=0),1,0)</f>
        <v>0</v>
      </c>
      <c r="AP135" s="96">
        <f>IF(U135=0,0,IF(AND(INDEX('MTRs'!$AX$6:$AX$505,T135)=1,Z135=0,OR(f_res="",f_res="(Todos)",C135=f_res)),1,0))</f>
        <v>0</v>
      </c>
      <c r="AQ135" s="97" t="str">
        <f>IF(U135=0,"",INDEX('MTRs'!$AZ$6:$AZ$505,T135))</f>
        <v/>
      </c>
      <c r="AR135" s="96">
        <f>IF(U135=0,0,IF(AND(INDEX('MTRs'!$BA$6:$BA$505,T135)=1,Z135=0),1,0))</f>
        <v>0</v>
      </c>
      <c r="AS135" s="96" t="str">
        <f>IF(R135=1,A135&amp;" | MTR "&amp;IF(U135=1,INDEX('MTRs'!$B$6:$B$505,T135)&amp;"","?")&amp;" | "&amp;IF(C135="","(sem resíduo)",C135),"")</f>
        <v/>
      </c>
      <c r="AT135" s="96" t="str">
        <f>IF(R135=1,COUNTIF($R$6:R135,1),"")</f>
        <v/>
      </c>
      <c r="AU135" s="96" t="str">
        <f>IF(U135=1,INDEX('MTRs'!$I$6:$I$505,T135)&amp;"","")</f>
        <v/>
      </c>
    </row>
    <row r="136">
      <c r="A136" s="89" t="inlineStr">
        <is>
          <t>IT-000131</t>
        </is>
      </c>
      <c r="B136" s="91" t="n"/>
      <c r="C136" s="91" t="n"/>
      <c r="D136" s="94" t="str">
        <f>IF(OR(R136=0,V136=0),"",INDEX('CAD_RESÍDUOS'!$E$6:$E$205,MATCH(C136,'CAD_RESÍDUOS'!$B$6:$B$205,0))&amp;"")</f>
        <v/>
      </c>
      <c r="E136" s="94" t="str">
        <f>IF(OR(R136=0,V136=0),"",INDEX('CAD_RESÍDUOS'!$C$6:$C$205,MATCH(C136,'CAD_RESÍDUOS'!$B$6:$B$205,0))&amp;"")</f>
        <v/>
      </c>
      <c r="F136" s="94" t="str">
        <f>IF(OR(R136=0,V136=0),"",INDEX('CAD_RESÍDUOS'!$G$6:$G$205,MATCH(C136,'CAD_RESÍDUOS'!$B$6:$B$205,0))&amp;"")</f>
        <v/>
      </c>
      <c r="G136" s="98" t="n"/>
      <c r="H136" s="91" t="n"/>
      <c r="I136" s="93" t="str">
        <f>IF(R136=0,"",IF(NOT(ISNUMBER(G136)),"",IF(ISNUMBER(X136),G136*X136,"UNIDADE A CONFERIR")))</f>
        <v/>
      </c>
      <c r="J136" s="91" t="n"/>
      <c r="K136" s="91" t="n"/>
      <c r="L136" s="93" t="str">
        <f>IF(R136=0,"",SUMIFS('RECEBIMENTOS'!$H$6:$H$1005,'RECEBIMENTOS'!$R$6:$R$1005,A136,'RECEBIMENTOS'!$X$6:$X$1005,1))</f>
        <v/>
      </c>
      <c r="M136" s="93" t="str">
        <f>IF(R136=0,"",SUMIFS('VÍNCULOS_CDF'!$H$6:$H$1005,'VÍNCULOS_CDF'!$R$6:$R$1005,A136,'VÍNCULOS_CDF'!$V$6:$V$1005,1))</f>
        <v/>
      </c>
      <c r="N136" s="99" t="str">
        <f>IF(OR(R136=0,AA136=0,NOT(ISNUMBER(I136))),"",I136-N(L136))</f>
        <v/>
      </c>
      <c r="O136" s="100" t="str">
        <f>IF(OR(R136=0,AK136&lt;=0),"",N(M136)/AK136)</f>
        <v/>
      </c>
      <c r="P136" s="94" t="str">
        <f>IF(R136=0,"",IF(S136="","Sem MTR associado",IF(U136=0,"MTR inexistente",IF(C136="","Resíduo não identificado",IF(V136=0,"Resíduo fora do cadastro",IF(W136=0,"Quantidade inválida",IF(H136="","Unidade não informada",IF(NOT(ISNUMBER(I136)),"Unidade a conferir",IF(AND(AH136=1,K136&lt;&gt;"Sim"),"Possível duplicidade",IF(Z136=1,"MTR cancelado",IF(AC136&gt;0,"Recebimento com alerta",IF(AA136=0,"Aguardando recebimento",IF(AB136&lt;AA136,"Recebimento a conferir",IF(AM136=1,"Quantidade a revisar",IF(AF136&gt;0,"Vínculo a revisar",IF(AD136=0,"Aguardando CDF",IF(AN136=0,"Vínculo de CDF parcial",IF(AE136&lt;AD136,"CDF a conferir","Documentação conferida"))))))))))))))))))</f>
        <v/>
      </c>
      <c r="Q136" s="93" t="str">
        <f>IF(OR(R136=0,AA136=0),"",MAX(0,N(L136)-N(M136)))</f>
        <v/>
      </c>
      <c r="R136" s="96">
        <f>IF(COUNTA(B136:C136,G136:H136,J136:K136)&gt;0,1,0)</f>
        <v>0</v>
      </c>
      <c r="S136" s="96" t="str">
        <f>IF(B136="","",TRIM(LEFT(B136,FIND(" |",B136&amp;" |")-1)))</f>
        <v/>
      </c>
      <c r="T136" s="96" t="str">
        <f>IF(S136="","",IFERROR(MATCH(S136,'MTRs'!$A$6:$A$505,0),""))</f>
        <v/>
      </c>
      <c r="U136" s="96">
        <f>IF(T136="",0,IF(INDEX('MTRs'!$Z$6:$Z$505,T136)=1,1,0))</f>
        <v>0</v>
      </c>
      <c r="V136" s="96">
        <f>IF(C136="",0,IF(ISNUMBER(MATCH(C136,'CAD_RESÍDUOS'!$B$6:$B$205,0)),1,0))</f>
        <v>0</v>
      </c>
      <c r="W136" s="96">
        <f>IF(AND(ISNUMBER(G136),G136&gt;0),1,0)</f>
        <v>0</v>
      </c>
      <c r="X136" s="96" t="str">
        <f>IF(H136="","",IFERROR(IF(ISNUMBER(INDEX(cfg_fac,MATCH(H136,cfg_units,0))),IF(INDEX(cfg_fac,MATCH(H136,cfg_units,0))&gt;0,INDEX(cfg_fac,MATCH(H136,cfg_units,0)),""),""),""))</f>
        <v/>
      </c>
      <c r="Y136" s="96">
        <f>IF(AND(W136=1,ISNUMBER(I136)),1,0)</f>
        <v>0</v>
      </c>
      <c r="Z136" s="96">
        <f>IF(U136=1,INDEX('MTRs'!$AA$6:$AA$505,T136),0)</f>
        <v>0</v>
      </c>
      <c r="AA136" s="96">
        <f>IF(R136=0,0,COUNTIFS('RECEBIMENTOS'!$R$6:$R$1005,A136,'RECEBIMENTOS'!$Q$6:$Q$1005,1))</f>
        <v>0</v>
      </c>
      <c r="AB136" s="96">
        <f>IF(R136=0,0,COUNTIFS('RECEBIMENTOS'!$R$6:$R$1005,A136,'RECEBIMENTOS'!$Z$6:$Z$1005,1))</f>
        <v>0</v>
      </c>
      <c r="AC136" s="96">
        <f>IF(R136=0,0,COUNTIFS('RECEBIMENTOS'!$R$6:$R$1005,A136,'RECEBIMENTOS'!$Y$6:$Y$1005,1))</f>
        <v>0</v>
      </c>
      <c r="AD136" s="96">
        <f>IF(R136=0,0,COUNTIFS('VÍNCULOS_CDF'!$R$6:$R$1005,A136,'VÍNCULOS_CDF'!$N$6:$N$1005,1))</f>
        <v>0</v>
      </c>
      <c r="AE136" s="96">
        <f>IF(R136=0,0,COUNTIFS('VÍNCULOS_CDF'!$R$6:$R$1005,A136,'VÍNCULOS_CDF'!$AA$6:$AA$1005,1))</f>
        <v>0</v>
      </c>
      <c r="AF136" s="96">
        <f>IF(R136=0,0,COUNTIFS('VÍNCULOS_CDF'!$R$6:$R$1005,A136,'VÍNCULOS_CDF'!$Y$6:$Y$1005,1))</f>
        <v>0</v>
      </c>
      <c r="AG136" s="96" t="str">
        <f>IF(AND(R136=1,S136&lt;&gt;"",C136&lt;&gt;""),S136&amp;"|"&amp;C136&amp;"|"&amp;G136&amp;"|"&amp;H136,"")</f>
        <v/>
      </c>
      <c r="AH136" s="96">
        <f>IF(AG136="",0,IF(SUMPRODUCT(--($AG$6:$AG$1005=AG136))&gt;1,1,0))</f>
        <v>0</v>
      </c>
      <c r="AI136" s="96">
        <f>IF(R136=0,0,IF(OR(U136=0,V136=0,Y136=0,AND(AH136=1,K136&lt;&gt;"Sim")),1,0))</f>
        <v>0</v>
      </c>
      <c r="AJ136" s="96">
        <f>IF(AND(R136=1,AA136&gt;0,AB136=AA136),1,0)</f>
        <v>0</v>
      </c>
      <c r="AK136" s="96">
        <f>IF(R136=0,0,IF(AA136&gt;0,N(L136),IF(ISNUMBER(I136),I136,0)))</f>
        <v>0</v>
      </c>
      <c r="AL136" s="96">
        <f>IF(R136=0,0,IF(AND(K136&lt;&gt;"Sim",N(M136)&gt;AK136+cfg_tol),1,0))</f>
        <v>0</v>
      </c>
      <c r="AM136" s="96">
        <f>IF(R136=0,0,IF(K136="Sim",0,IF(OR(AND(AA136&gt;0,ISNUMBER(I136),ABS(I136-N(L136))&gt;cfg_tol),AL136=1),1,0)))</f>
        <v>0</v>
      </c>
      <c r="AN136" s="96">
        <f>IF(AND(R136=1,N(M136)&gt;0,OR(N(M136)&gt;=AK136-cfg_tol,K136="Sim")),1,0)</f>
        <v>0</v>
      </c>
      <c r="AO136" s="96">
        <f>IF(AND(AN136=1,AD136&gt;0,AE136=AD136,AL136=0),1,0)</f>
        <v>0</v>
      </c>
      <c r="AP136" s="96">
        <f>IF(U136=0,0,IF(AND(INDEX('MTRs'!$AX$6:$AX$505,T136)=1,Z136=0,OR(f_res="",f_res="(Todos)",C136=f_res)),1,0))</f>
        <v>0</v>
      </c>
      <c r="AQ136" s="97" t="str">
        <f>IF(U136=0,"",INDEX('MTRs'!$AZ$6:$AZ$505,T136))</f>
        <v/>
      </c>
      <c r="AR136" s="96">
        <f>IF(U136=0,0,IF(AND(INDEX('MTRs'!$BA$6:$BA$505,T136)=1,Z136=0),1,0))</f>
        <v>0</v>
      </c>
      <c r="AS136" s="96" t="str">
        <f>IF(R136=1,A136&amp;" | MTR "&amp;IF(U136=1,INDEX('MTRs'!$B$6:$B$505,T136)&amp;"","?")&amp;" | "&amp;IF(C136="","(sem resíduo)",C136),"")</f>
        <v/>
      </c>
      <c r="AT136" s="96" t="str">
        <f>IF(R136=1,COUNTIF($R$6:R136,1),"")</f>
        <v/>
      </c>
      <c r="AU136" s="96" t="str">
        <f>IF(U136=1,INDEX('MTRs'!$I$6:$I$505,T136)&amp;"","")</f>
        <v/>
      </c>
    </row>
    <row r="137">
      <c r="A137" s="89" t="inlineStr">
        <is>
          <t>IT-000132</t>
        </is>
      </c>
      <c r="B137" s="91" t="n"/>
      <c r="C137" s="91" t="n"/>
      <c r="D137" s="94" t="str">
        <f>IF(OR(R137=0,V137=0),"",INDEX('CAD_RESÍDUOS'!$E$6:$E$205,MATCH(C137,'CAD_RESÍDUOS'!$B$6:$B$205,0))&amp;"")</f>
        <v/>
      </c>
      <c r="E137" s="94" t="str">
        <f>IF(OR(R137=0,V137=0),"",INDEX('CAD_RESÍDUOS'!$C$6:$C$205,MATCH(C137,'CAD_RESÍDUOS'!$B$6:$B$205,0))&amp;"")</f>
        <v/>
      </c>
      <c r="F137" s="94" t="str">
        <f>IF(OR(R137=0,V137=0),"",INDEX('CAD_RESÍDUOS'!$G$6:$G$205,MATCH(C137,'CAD_RESÍDUOS'!$B$6:$B$205,0))&amp;"")</f>
        <v/>
      </c>
      <c r="G137" s="98" t="n"/>
      <c r="H137" s="91" t="n"/>
      <c r="I137" s="93" t="str">
        <f>IF(R137=0,"",IF(NOT(ISNUMBER(G137)),"",IF(ISNUMBER(X137),G137*X137,"UNIDADE A CONFERIR")))</f>
        <v/>
      </c>
      <c r="J137" s="91" t="n"/>
      <c r="K137" s="91" t="n"/>
      <c r="L137" s="93" t="str">
        <f>IF(R137=0,"",SUMIFS('RECEBIMENTOS'!$H$6:$H$1005,'RECEBIMENTOS'!$R$6:$R$1005,A137,'RECEBIMENTOS'!$X$6:$X$1005,1))</f>
        <v/>
      </c>
      <c r="M137" s="93" t="str">
        <f>IF(R137=0,"",SUMIFS('VÍNCULOS_CDF'!$H$6:$H$1005,'VÍNCULOS_CDF'!$R$6:$R$1005,A137,'VÍNCULOS_CDF'!$V$6:$V$1005,1))</f>
        <v/>
      </c>
      <c r="N137" s="99" t="str">
        <f>IF(OR(R137=0,AA137=0,NOT(ISNUMBER(I137))),"",I137-N(L137))</f>
        <v/>
      </c>
      <c r="O137" s="100" t="str">
        <f>IF(OR(R137=0,AK137&lt;=0),"",N(M137)/AK137)</f>
        <v/>
      </c>
      <c r="P137" s="94" t="str">
        <f>IF(R137=0,"",IF(S137="","Sem MTR associado",IF(U137=0,"MTR inexistente",IF(C137="","Resíduo não identificado",IF(V137=0,"Resíduo fora do cadastro",IF(W137=0,"Quantidade inválida",IF(H137="","Unidade não informada",IF(NOT(ISNUMBER(I137)),"Unidade a conferir",IF(AND(AH137=1,K137&lt;&gt;"Sim"),"Possível duplicidade",IF(Z137=1,"MTR cancelado",IF(AC137&gt;0,"Recebimento com alerta",IF(AA137=0,"Aguardando recebimento",IF(AB137&lt;AA137,"Recebimento a conferir",IF(AM137=1,"Quantidade a revisar",IF(AF137&gt;0,"Vínculo a revisar",IF(AD137=0,"Aguardando CDF",IF(AN137=0,"Vínculo de CDF parcial",IF(AE137&lt;AD137,"CDF a conferir","Documentação conferida"))))))))))))))))))</f>
        <v/>
      </c>
      <c r="Q137" s="93" t="str">
        <f>IF(OR(R137=0,AA137=0),"",MAX(0,N(L137)-N(M137)))</f>
        <v/>
      </c>
      <c r="R137" s="96">
        <f>IF(COUNTA(B137:C137,G137:H137,J137:K137)&gt;0,1,0)</f>
        <v>0</v>
      </c>
      <c r="S137" s="96" t="str">
        <f>IF(B137="","",TRIM(LEFT(B137,FIND(" |",B137&amp;" |")-1)))</f>
        <v/>
      </c>
      <c r="T137" s="96" t="str">
        <f>IF(S137="","",IFERROR(MATCH(S137,'MTRs'!$A$6:$A$505,0),""))</f>
        <v/>
      </c>
      <c r="U137" s="96">
        <f>IF(T137="",0,IF(INDEX('MTRs'!$Z$6:$Z$505,T137)=1,1,0))</f>
        <v>0</v>
      </c>
      <c r="V137" s="96">
        <f>IF(C137="",0,IF(ISNUMBER(MATCH(C137,'CAD_RESÍDUOS'!$B$6:$B$205,0)),1,0))</f>
        <v>0</v>
      </c>
      <c r="W137" s="96">
        <f>IF(AND(ISNUMBER(G137),G137&gt;0),1,0)</f>
        <v>0</v>
      </c>
      <c r="X137" s="96" t="str">
        <f>IF(H137="","",IFERROR(IF(ISNUMBER(INDEX(cfg_fac,MATCH(H137,cfg_units,0))),IF(INDEX(cfg_fac,MATCH(H137,cfg_units,0))&gt;0,INDEX(cfg_fac,MATCH(H137,cfg_units,0)),""),""),""))</f>
        <v/>
      </c>
      <c r="Y137" s="96">
        <f>IF(AND(W137=1,ISNUMBER(I137)),1,0)</f>
        <v>0</v>
      </c>
      <c r="Z137" s="96">
        <f>IF(U137=1,INDEX('MTRs'!$AA$6:$AA$505,T137),0)</f>
        <v>0</v>
      </c>
      <c r="AA137" s="96">
        <f>IF(R137=0,0,COUNTIFS('RECEBIMENTOS'!$R$6:$R$1005,A137,'RECEBIMENTOS'!$Q$6:$Q$1005,1))</f>
        <v>0</v>
      </c>
      <c r="AB137" s="96">
        <f>IF(R137=0,0,COUNTIFS('RECEBIMENTOS'!$R$6:$R$1005,A137,'RECEBIMENTOS'!$Z$6:$Z$1005,1))</f>
        <v>0</v>
      </c>
      <c r="AC137" s="96">
        <f>IF(R137=0,0,COUNTIFS('RECEBIMENTOS'!$R$6:$R$1005,A137,'RECEBIMENTOS'!$Y$6:$Y$1005,1))</f>
        <v>0</v>
      </c>
      <c r="AD137" s="96">
        <f>IF(R137=0,0,COUNTIFS('VÍNCULOS_CDF'!$R$6:$R$1005,A137,'VÍNCULOS_CDF'!$N$6:$N$1005,1))</f>
        <v>0</v>
      </c>
      <c r="AE137" s="96">
        <f>IF(R137=0,0,COUNTIFS('VÍNCULOS_CDF'!$R$6:$R$1005,A137,'VÍNCULOS_CDF'!$AA$6:$AA$1005,1))</f>
        <v>0</v>
      </c>
      <c r="AF137" s="96">
        <f>IF(R137=0,0,COUNTIFS('VÍNCULOS_CDF'!$R$6:$R$1005,A137,'VÍNCULOS_CDF'!$Y$6:$Y$1005,1))</f>
        <v>0</v>
      </c>
      <c r="AG137" s="96" t="str">
        <f>IF(AND(R137=1,S137&lt;&gt;"",C137&lt;&gt;""),S137&amp;"|"&amp;C137&amp;"|"&amp;G137&amp;"|"&amp;H137,"")</f>
        <v/>
      </c>
      <c r="AH137" s="96">
        <f>IF(AG137="",0,IF(SUMPRODUCT(--($AG$6:$AG$1005=AG137))&gt;1,1,0))</f>
        <v>0</v>
      </c>
      <c r="AI137" s="96">
        <f>IF(R137=0,0,IF(OR(U137=0,V137=0,Y137=0,AND(AH137=1,K137&lt;&gt;"Sim")),1,0))</f>
        <v>0</v>
      </c>
      <c r="AJ137" s="96">
        <f>IF(AND(R137=1,AA137&gt;0,AB137=AA137),1,0)</f>
        <v>0</v>
      </c>
      <c r="AK137" s="96">
        <f>IF(R137=0,0,IF(AA137&gt;0,N(L137),IF(ISNUMBER(I137),I137,0)))</f>
        <v>0</v>
      </c>
      <c r="AL137" s="96">
        <f>IF(R137=0,0,IF(AND(K137&lt;&gt;"Sim",N(M137)&gt;AK137+cfg_tol),1,0))</f>
        <v>0</v>
      </c>
      <c r="AM137" s="96">
        <f>IF(R137=0,0,IF(K137="Sim",0,IF(OR(AND(AA137&gt;0,ISNUMBER(I137),ABS(I137-N(L137))&gt;cfg_tol),AL137=1),1,0)))</f>
        <v>0</v>
      </c>
      <c r="AN137" s="96">
        <f>IF(AND(R137=1,N(M137)&gt;0,OR(N(M137)&gt;=AK137-cfg_tol,K137="Sim")),1,0)</f>
        <v>0</v>
      </c>
      <c r="AO137" s="96">
        <f>IF(AND(AN137=1,AD137&gt;0,AE137=AD137,AL137=0),1,0)</f>
        <v>0</v>
      </c>
      <c r="AP137" s="96">
        <f>IF(U137=0,0,IF(AND(INDEX('MTRs'!$AX$6:$AX$505,T137)=1,Z137=0,OR(f_res="",f_res="(Todos)",C137=f_res)),1,0))</f>
        <v>0</v>
      </c>
      <c r="AQ137" s="97" t="str">
        <f>IF(U137=0,"",INDEX('MTRs'!$AZ$6:$AZ$505,T137))</f>
        <v/>
      </c>
      <c r="AR137" s="96">
        <f>IF(U137=0,0,IF(AND(INDEX('MTRs'!$BA$6:$BA$505,T137)=1,Z137=0),1,0))</f>
        <v>0</v>
      </c>
      <c r="AS137" s="96" t="str">
        <f>IF(R137=1,A137&amp;" | MTR "&amp;IF(U137=1,INDEX('MTRs'!$B$6:$B$505,T137)&amp;"","?")&amp;" | "&amp;IF(C137="","(sem resíduo)",C137),"")</f>
        <v/>
      </c>
      <c r="AT137" s="96" t="str">
        <f>IF(R137=1,COUNTIF($R$6:R137,1),"")</f>
        <v/>
      </c>
      <c r="AU137" s="96" t="str">
        <f>IF(U137=1,INDEX('MTRs'!$I$6:$I$505,T137)&amp;"","")</f>
        <v/>
      </c>
    </row>
    <row r="138">
      <c r="A138" s="89" t="inlineStr">
        <is>
          <t>IT-000133</t>
        </is>
      </c>
      <c r="B138" s="91" t="n"/>
      <c r="C138" s="91" t="n"/>
      <c r="D138" s="94" t="str">
        <f>IF(OR(R138=0,V138=0),"",INDEX('CAD_RESÍDUOS'!$E$6:$E$205,MATCH(C138,'CAD_RESÍDUOS'!$B$6:$B$205,0))&amp;"")</f>
        <v/>
      </c>
      <c r="E138" s="94" t="str">
        <f>IF(OR(R138=0,V138=0),"",INDEX('CAD_RESÍDUOS'!$C$6:$C$205,MATCH(C138,'CAD_RESÍDUOS'!$B$6:$B$205,0))&amp;"")</f>
        <v/>
      </c>
      <c r="F138" s="94" t="str">
        <f>IF(OR(R138=0,V138=0),"",INDEX('CAD_RESÍDUOS'!$G$6:$G$205,MATCH(C138,'CAD_RESÍDUOS'!$B$6:$B$205,0))&amp;"")</f>
        <v/>
      </c>
      <c r="G138" s="98" t="n"/>
      <c r="H138" s="91" t="n"/>
      <c r="I138" s="93" t="str">
        <f>IF(R138=0,"",IF(NOT(ISNUMBER(G138)),"",IF(ISNUMBER(X138),G138*X138,"UNIDADE A CONFERIR")))</f>
        <v/>
      </c>
      <c r="J138" s="91" t="n"/>
      <c r="K138" s="91" t="n"/>
      <c r="L138" s="93" t="str">
        <f>IF(R138=0,"",SUMIFS('RECEBIMENTOS'!$H$6:$H$1005,'RECEBIMENTOS'!$R$6:$R$1005,A138,'RECEBIMENTOS'!$X$6:$X$1005,1))</f>
        <v/>
      </c>
      <c r="M138" s="93" t="str">
        <f>IF(R138=0,"",SUMIFS('VÍNCULOS_CDF'!$H$6:$H$1005,'VÍNCULOS_CDF'!$R$6:$R$1005,A138,'VÍNCULOS_CDF'!$V$6:$V$1005,1))</f>
        <v/>
      </c>
      <c r="N138" s="99" t="str">
        <f>IF(OR(R138=0,AA138=0,NOT(ISNUMBER(I138))),"",I138-N(L138))</f>
        <v/>
      </c>
      <c r="O138" s="100" t="str">
        <f>IF(OR(R138=0,AK138&lt;=0),"",N(M138)/AK138)</f>
        <v/>
      </c>
      <c r="P138" s="94" t="str">
        <f>IF(R138=0,"",IF(S138="","Sem MTR associado",IF(U138=0,"MTR inexistente",IF(C138="","Resíduo não identificado",IF(V138=0,"Resíduo fora do cadastro",IF(W138=0,"Quantidade inválida",IF(H138="","Unidade não informada",IF(NOT(ISNUMBER(I138)),"Unidade a conferir",IF(AND(AH138=1,K138&lt;&gt;"Sim"),"Possível duplicidade",IF(Z138=1,"MTR cancelado",IF(AC138&gt;0,"Recebimento com alerta",IF(AA138=0,"Aguardando recebimento",IF(AB138&lt;AA138,"Recebimento a conferir",IF(AM138=1,"Quantidade a revisar",IF(AF138&gt;0,"Vínculo a revisar",IF(AD138=0,"Aguardando CDF",IF(AN138=0,"Vínculo de CDF parcial",IF(AE138&lt;AD138,"CDF a conferir","Documentação conferida"))))))))))))))))))</f>
        <v/>
      </c>
      <c r="Q138" s="93" t="str">
        <f>IF(OR(R138=0,AA138=0),"",MAX(0,N(L138)-N(M138)))</f>
        <v/>
      </c>
      <c r="R138" s="96">
        <f>IF(COUNTA(B138:C138,G138:H138,J138:K138)&gt;0,1,0)</f>
        <v>0</v>
      </c>
      <c r="S138" s="96" t="str">
        <f>IF(B138="","",TRIM(LEFT(B138,FIND(" |",B138&amp;" |")-1)))</f>
        <v/>
      </c>
      <c r="T138" s="96" t="str">
        <f>IF(S138="","",IFERROR(MATCH(S138,'MTRs'!$A$6:$A$505,0),""))</f>
        <v/>
      </c>
      <c r="U138" s="96">
        <f>IF(T138="",0,IF(INDEX('MTRs'!$Z$6:$Z$505,T138)=1,1,0))</f>
        <v>0</v>
      </c>
      <c r="V138" s="96">
        <f>IF(C138="",0,IF(ISNUMBER(MATCH(C138,'CAD_RESÍDUOS'!$B$6:$B$205,0)),1,0))</f>
        <v>0</v>
      </c>
      <c r="W138" s="96">
        <f>IF(AND(ISNUMBER(G138),G138&gt;0),1,0)</f>
        <v>0</v>
      </c>
      <c r="X138" s="96" t="str">
        <f>IF(H138="","",IFERROR(IF(ISNUMBER(INDEX(cfg_fac,MATCH(H138,cfg_units,0))),IF(INDEX(cfg_fac,MATCH(H138,cfg_units,0))&gt;0,INDEX(cfg_fac,MATCH(H138,cfg_units,0)),""),""),""))</f>
        <v/>
      </c>
      <c r="Y138" s="96">
        <f>IF(AND(W138=1,ISNUMBER(I138)),1,0)</f>
        <v>0</v>
      </c>
      <c r="Z138" s="96">
        <f>IF(U138=1,INDEX('MTRs'!$AA$6:$AA$505,T138),0)</f>
        <v>0</v>
      </c>
      <c r="AA138" s="96">
        <f>IF(R138=0,0,COUNTIFS('RECEBIMENTOS'!$R$6:$R$1005,A138,'RECEBIMENTOS'!$Q$6:$Q$1005,1))</f>
        <v>0</v>
      </c>
      <c r="AB138" s="96">
        <f>IF(R138=0,0,COUNTIFS('RECEBIMENTOS'!$R$6:$R$1005,A138,'RECEBIMENTOS'!$Z$6:$Z$1005,1))</f>
        <v>0</v>
      </c>
      <c r="AC138" s="96">
        <f>IF(R138=0,0,COUNTIFS('RECEBIMENTOS'!$R$6:$R$1005,A138,'RECEBIMENTOS'!$Y$6:$Y$1005,1))</f>
        <v>0</v>
      </c>
      <c r="AD138" s="96">
        <f>IF(R138=0,0,COUNTIFS('VÍNCULOS_CDF'!$R$6:$R$1005,A138,'VÍNCULOS_CDF'!$N$6:$N$1005,1))</f>
        <v>0</v>
      </c>
      <c r="AE138" s="96">
        <f>IF(R138=0,0,COUNTIFS('VÍNCULOS_CDF'!$R$6:$R$1005,A138,'VÍNCULOS_CDF'!$AA$6:$AA$1005,1))</f>
        <v>0</v>
      </c>
      <c r="AF138" s="96">
        <f>IF(R138=0,0,COUNTIFS('VÍNCULOS_CDF'!$R$6:$R$1005,A138,'VÍNCULOS_CDF'!$Y$6:$Y$1005,1))</f>
        <v>0</v>
      </c>
      <c r="AG138" s="96" t="str">
        <f>IF(AND(R138=1,S138&lt;&gt;"",C138&lt;&gt;""),S138&amp;"|"&amp;C138&amp;"|"&amp;G138&amp;"|"&amp;H138,"")</f>
        <v/>
      </c>
      <c r="AH138" s="96">
        <f>IF(AG138="",0,IF(SUMPRODUCT(--($AG$6:$AG$1005=AG138))&gt;1,1,0))</f>
        <v>0</v>
      </c>
      <c r="AI138" s="96">
        <f>IF(R138=0,0,IF(OR(U138=0,V138=0,Y138=0,AND(AH138=1,K138&lt;&gt;"Sim")),1,0))</f>
        <v>0</v>
      </c>
      <c r="AJ138" s="96">
        <f>IF(AND(R138=1,AA138&gt;0,AB138=AA138),1,0)</f>
        <v>0</v>
      </c>
      <c r="AK138" s="96">
        <f>IF(R138=0,0,IF(AA138&gt;0,N(L138),IF(ISNUMBER(I138),I138,0)))</f>
        <v>0</v>
      </c>
      <c r="AL138" s="96">
        <f>IF(R138=0,0,IF(AND(K138&lt;&gt;"Sim",N(M138)&gt;AK138+cfg_tol),1,0))</f>
        <v>0</v>
      </c>
      <c r="AM138" s="96">
        <f>IF(R138=0,0,IF(K138="Sim",0,IF(OR(AND(AA138&gt;0,ISNUMBER(I138),ABS(I138-N(L138))&gt;cfg_tol),AL138=1),1,0)))</f>
        <v>0</v>
      </c>
      <c r="AN138" s="96">
        <f>IF(AND(R138=1,N(M138)&gt;0,OR(N(M138)&gt;=AK138-cfg_tol,K138="Sim")),1,0)</f>
        <v>0</v>
      </c>
      <c r="AO138" s="96">
        <f>IF(AND(AN138=1,AD138&gt;0,AE138=AD138,AL138=0),1,0)</f>
        <v>0</v>
      </c>
      <c r="AP138" s="96">
        <f>IF(U138=0,0,IF(AND(INDEX('MTRs'!$AX$6:$AX$505,T138)=1,Z138=0,OR(f_res="",f_res="(Todos)",C138=f_res)),1,0))</f>
        <v>0</v>
      </c>
      <c r="AQ138" s="97" t="str">
        <f>IF(U138=0,"",INDEX('MTRs'!$AZ$6:$AZ$505,T138))</f>
        <v/>
      </c>
      <c r="AR138" s="96">
        <f>IF(U138=0,0,IF(AND(INDEX('MTRs'!$BA$6:$BA$505,T138)=1,Z138=0),1,0))</f>
        <v>0</v>
      </c>
      <c r="AS138" s="96" t="str">
        <f>IF(R138=1,A138&amp;" | MTR "&amp;IF(U138=1,INDEX('MTRs'!$B$6:$B$505,T138)&amp;"","?")&amp;" | "&amp;IF(C138="","(sem resíduo)",C138),"")</f>
        <v/>
      </c>
      <c r="AT138" s="96" t="str">
        <f>IF(R138=1,COUNTIF($R$6:R138,1),"")</f>
        <v/>
      </c>
      <c r="AU138" s="96" t="str">
        <f>IF(U138=1,INDEX('MTRs'!$I$6:$I$505,T138)&amp;"","")</f>
        <v/>
      </c>
    </row>
    <row r="139">
      <c r="A139" s="89" t="inlineStr">
        <is>
          <t>IT-000134</t>
        </is>
      </c>
      <c r="B139" s="91" t="n"/>
      <c r="C139" s="91" t="n"/>
      <c r="D139" s="94" t="str">
        <f>IF(OR(R139=0,V139=0),"",INDEX('CAD_RESÍDUOS'!$E$6:$E$205,MATCH(C139,'CAD_RESÍDUOS'!$B$6:$B$205,0))&amp;"")</f>
        <v/>
      </c>
      <c r="E139" s="94" t="str">
        <f>IF(OR(R139=0,V139=0),"",INDEX('CAD_RESÍDUOS'!$C$6:$C$205,MATCH(C139,'CAD_RESÍDUOS'!$B$6:$B$205,0))&amp;"")</f>
        <v/>
      </c>
      <c r="F139" s="94" t="str">
        <f>IF(OR(R139=0,V139=0),"",INDEX('CAD_RESÍDUOS'!$G$6:$G$205,MATCH(C139,'CAD_RESÍDUOS'!$B$6:$B$205,0))&amp;"")</f>
        <v/>
      </c>
      <c r="G139" s="98" t="n"/>
      <c r="H139" s="91" t="n"/>
      <c r="I139" s="93" t="str">
        <f>IF(R139=0,"",IF(NOT(ISNUMBER(G139)),"",IF(ISNUMBER(X139),G139*X139,"UNIDADE A CONFERIR")))</f>
        <v/>
      </c>
      <c r="J139" s="91" t="n"/>
      <c r="K139" s="91" t="n"/>
      <c r="L139" s="93" t="str">
        <f>IF(R139=0,"",SUMIFS('RECEBIMENTOS'!$H$6:$H$1005,'RECEBIMENTOS'!$R$6:$R$1005,A139,'RECEBIMENTOS'!$X$6:$X$1005,1))</f>
        <v/>
      </c>
      <c r="M139" s="93" t="str">
        <f>IF(R139=0,"",SUMIFS('VÍNCULOS_CDF'!$H$6:$H$1005,'VÍNCULOS_CDF'!$R$6:$R$1005,A139,'VÍNCULOS_CDF'!$V$6:$V$1005,1))</f>
        <v/>
      </c>
      <c r="N139" s="99" t="str">
        <f>IF(OR(R139=0,AA139=0,NOT(ISNUMBER(I139))),"",I139-N(L139))</f>
        <v/>
      </c>
      <c r="O139" s="100" t="str">
        <f>IF(OR(R139=0,AK139&lt;=0),"",N(M139)/AK139)</f>
        <v/>
      </c>
      <c r="P139" s="94" t="str">
        <f>IF(R139=0,"",IF(S139="","Sem MTR associado",IF(U139=0,"MTR inexistente",IF(C139="","Resíduo não identificado",IF(V139=0,"Resíduo fora do cadastro",IF(W139=0,"Quantidade inválida",IF(H139="","Unidade não informada",IF(NOT(ISNUMBER(I139)),"Unidade a conferir",IF(AND(AH139=1,K139&lt;&gt;"Sim"),"Possível duplicidade",IF(Z139=1,"MTR cancelado",IF(AC139&gt;0,"Recebimento com alerta",IF(AA139=0,"Aguardando recebimento",IF(AB139&lt;AA139,"Recebimento a conferir",IF(AM139=1,"Quantidade a revisar",IF(AF139&gt;0,"Vínculo a revisar",IF(AD139=0,"Aguardando CDF",IF(AN139=0,"Vínculo de CDF parcial",IF(AE139&lt;AD139,"CDF a conferir","Documentação conferida"))))))))))))))))))</f>
        <v/>
      </c>
      <c r="Q139" s="93" t="str">
        <f>IF(OR(R139=0,AA139=0),"",MAX(0,N(L139)-N(M139)))</f>
        <v/>
      </c>
      <c r="R139" s="96">
        <f>IF(COUNTA(B139:C139,G139:H139,J139:K139)&gt;0,1,0)</f>
        <v>0</v>
      </c>
      <c r="S139" s="96" t="str">
        <f>IF(B139="","",TRIM(LEFT(B139,FIND(" |",B139&amp;" |")-1)))</f>
        <v/>
      </c>
      <c r="T139" s="96" t="str">
        <f>IF(S139="","",IFERROR(MATCH(S139,'MTRs'!$A$6:$A$505,0),""))</f>
        <v/>
      </c>
      <c r="U139" s="96">
        <f>IF(T139="",0,IF(INDEX('MTRs'!$Z$6:$Z$505,T139)=1,1,0))</f>
        <v>0</v>
      </c>
      <c r="V139" s="96">
        <f>IF(C139="",0,IF(ISNUMBER(MATCH(C139,'CAD_RESÍDUOS'!$B$6:$B$205,0)),1,0))</f>
        <v>0</v>
      </c>
      <c r="W139" s="96">
        <f>IF(AND(ISNUMBER(G139),G139&gt;0),1,0)</f>
        <v>0</v>
      </c>
      <c r="X139" s="96" t="str">
        <f>IF(H139="","",IFERROR(IF(ISNUMBER(INDEX(cfg_fac,MATCH(H139,cfg_units,0))),IF(INDEX(cfg_fac,MATCH(H139,cfg_units,0))&gt;0,INDEX(cfg_fac,MATCH(H139,cfg_units,0)),""),""),""))</f>
        <v/>
      </c>
      <c r="Y139" s="96">
        <f>IF(AND(W139=1,ISNUMBER(I139)),1,0)</f>
        <v>0</v>
      </c>
      <c r="Z139" s="96">
        <f>IF(U139=1,INDEX('MTRs'!$AA$6:$AA$505,T139),0)</f>
        <v>0</v>
      </c>
      <c r="AA139" s="96">
        <f>IF(R139=0,0,COUNTIFS('RECEBIMENTOS'!$R$6:$R$1005,A139,'RECEBIMENTOS'!$Q$6:$Q$1005,1))</f>
        <v>0</v>
      </c>
      <c r="AB139" s="96">
        <f>IF(R139=0,0,COUNTIFS('RECEBIMENTOS'!$R$6:$R$1005,A139,'RECEBIMENTOS'!$Z$6:$Z$1005,1))</f>
        <v>0</v>
      </c>
      <c r="AC139" s="96">
        <f>IF(R139=0,0,COUNTIFS('RECEBIMENTOS'!$R$6:$R$1005,A139,'RECEBIMENTOS'!$Y$6:$Y$1005,1))</f>
        <v>0</v>
      </c>
      <c r="AD139" s="96">
        <f>IF(R139=0,0,COUNTIFS('VÍNCULOS_CDF'!$R$6:$R$1005,A139,'VÍNCULOS_CDF'!$N$6:$N$1005,1))</f>
        <v>0</v>
      </c>
      <c r="AE139" s="96">
        <f>IF(R139=0,0,COUNTIFS('VÍNCULOS_CDF'!$R$6:$R$1005,A139,'VÍNCULOS_CDF'!$AA$6:$AA$1005,1))</f>
        <v>0</v>
      </c>
      <c r="AF139" s="96">
        <f>IF(R139=0,0,COUNTIFS('VÍNCULOS_CDF'!$R$6:$R$1005,A139,'VÍNCULOS_CDF'!$Y$6:$Y$1005,1))</f>
        <v>0</v>
      </c>
      <c r="AG139" s="96" t="str">
        <f>IF(AND(R139=1,S139&lt;&gt;"",C139&lt;&gt;""),S139&amp;"|"&amp;C139&amp;"|"&amp;G139&amp;"|"&amp;H139,"")</f>
        <v/>
      </c>
      <c r="AH139" s="96">
        <f>IF(AG139="",0,IF(SUMPRODUCT(--($AG$6:$AG$1005=AG139))&gt;1,1,0))</f>
        <v>0</v>
      </c>
      <c r="AI139" s="96">
        <f>IF(R139=0,0,IF(OR(U139=0,V139=0,Y139=0,AND(AH139=1,K139&lt;&gt;"Sim")),1,0))</f>
        <v>0</v>
      </c>
      <c r="AJ139" s="96">
        <f>IF(AND(R139=1,AA139&gt;0,AB139=AA139),1,0)</f>
        <v>0</v>
      </c>
      <c r="AK139" s="96">
        <f>IF(R139=0,0,IF(AA139&gt;0,N(L139),IF(ISNUMBER(I139),I139,0)))</f>
        <v>0</v>
      </c>
      <c r="AL139" s="96">
        <f>IF(R139=0,0,IF(AND(K139&lt;&gt;"Sim",N(M139)&gt;AK139+cfg_tol),1,0))</f>
        <v>0</v>
      </c>
      <c r="AM139" s="96">
        <f>IF(R139=0,0,IF(K139="Sim",0,IF(OR(AND(AA139&gt;0,ISNUMBER(I139),ABS(I139-N(L139))&gt;cfg_tol),AL139=1),1,0)))</f>
        <v>0</v>
      </c>
      <c r="AN139" s="96">
        <f>IF(AND(R139=1,N(M139)&gt;0,OR(N(M139)&gt;=AK139-cfg_tol,K139="Sim")),1,0)</f>
        <v>0</v>
      </c>
      <c r="AO139" s="96">
        <f>IF(AND(AN139=1,AD139&gt;0,AE139=AD139,AL139=0),1,0)</f>
        <v>0</v>
      </c>
      <c r="AP139" s="96">
        <f>IF(U139=0,0,IF(AND(INDEX('MTRs'!$AX$6:$AX$505,T139)=1,Z139=0,OR(f_res="",f_res="(Todos)",C139=f_res)),1,0))</f>
        <v>0</v>
      </c>
      <c r="AQ139" s="97" t="str">
        <f>IF(U139=0,"",INDEX('MTRs'!$AZ$6:$AZ$505,T139))</f>
        <v/>
      </c>
      <c r="AR139" s="96">
        <f>IF(U139=0,0,IF(AND(INDEX('MTRs'!$BA$6:$BA$505,T139)=1,Z139=0),1,0))</f>
        <v>0</v>
      </c>
      <c r="AS139" s="96" t="str">
        <f>IF(R139=1,A139&amp;" | MTR "&amp;IF(U139=1,INDEX('MTRs'!$B$6:$B$505,T139)&amp;"","?")&amp;" | "&amp;IF(C139="","(sem resíduo)",C139),"")</f>
        <v/>
      </c>
      <c r="AT139" s="96" t="str">
        <f>IF(R139=1,COUNTIF($R$6:R139,1),"")</f>
        <v/>
      </c>
      <c r="AU139" s="96" t="str">
        <f>IF(U139=1,INDEX('MTRs'!$I$6:$I$505,T139)&amp;"","")</f>
        <v/>
      </c>
    </row>
    <row r="140">
      <c r="A140" s="89" t="inlineStr">
        <is>
          <t>IT-000135</t>
        </is>
      </c>
      <c r="B140" s="91" t="n"/>
      <c r="C140" s="91" t="n"/>
      <c r="D140" s="94" t="str">
        <f>IF(OR(R140=0,V140=0),"",INDEX('CAD_RESÍDUOS'!$E$6:$E$205,MATCH(C140,'CAD_RESÍDUOS'!$B$6:$B$205,0))&amp;"")</f>
        <v/>
      </c>
      <c r="E140" s="94" t="str">
        <f>IF(OR(R140=0,V140=0),"",INDEX('CAD_RESÍDUOS'!$C$6:$C$205,MATCH(C140,'CAD_RESÍDUOS'!$B$6:$B$205,0))&amp;"")</f>
        <v/>
      </c>
      <c r="F140" s="94" t="str">
        <f>IF(OR(R140=0,V140=0),"",INDEX('CAD_RESÍDUOS'!$G$6:$G$205,MATCH(C140,'CAD_RESÍDUOS'!$B$6:$B$205,0))&amp;"")</f>
        <v/>
      </c>
      <c r="G140" s="98" t="n"/>
      <c r="H140" s="91" t="n"/>
      <c r="I140" s="93" t="str">
        <f>IF(R140=0,"",IF(NOT(ISNUMBER(G140)),"",IF(ISNUMBER(X140),G140*X140,"UNIDADE A CONFERIR")))</f>
        <v/>
      </c>
      <c r="J140" s="91" t="n"/>
      <c r="K140" s="91" t="n"/>
      <c r="L140" s="93" t="str">
        <f>IF(R140=0,"",SUMIFS('RECEBIMENTOS'!$H$6:$H$1005,'RECEBIMENTOS'!$R$6:$R$1005,A140,'RECEBIMENTOS'!$X$6:$X$1005,1))</f>
        <v/>
      </c>
      <c r="M140" s="93" t="str">
        <f>IF(R140=0,"",SUMIFS('VÍNCULOS_CDF'!$H$6:$H$1005,'VÍNCULOS_CDF'!$R$6:$R$1005,A140,'VÍNCULOS_CDF'!$V$6:$V$1005,1))</f>
        <v/>
      </c>
      <c r="N140" s="99" t="str">
        <f>IF(OR(R140=0,AA140=0,NOT(ISNUMBER(I140))),"",I140-N(L140))</f>
        <v/>
      </c>
      <c r="O140" s="100" t="str">
        <f>IF(OR(R140=0,AK140&lt;=0),"",N(M140)/AK140)</f>
        <v/>
      </c>
      <c r="P140" s="94" t="str">
        <f>IF(R140=0,"",IF(S140="","Sem MTR associado",IF(U140=0,"MTR inexistente",IF(C140="","Resíduo não identificado",IF(V140=0,"Resíduo fora do cadastro",IF(W140=0,"Quantidade inválida",IF(H140="","Unidade não informada",IF(NOT(ISNUMBER(I140)),"Unidade a conferir",IF(AND(AH140=1,K140&lt;&gt;"Sim"),"Possível duplicidade",IF(Z140=1,"MTR cancelado",IF(AC140&gt;0,"Recebimento com alerta",IF(AA140=0,"Aguardando recebimento",IF(AB140&lt;AA140,"Recebimento a conferir",IF(AM140=1,"Quantidade a revisar",IF(AF140&gt;0,"Vínculo a revisar",IF(AD140=0,"Aguardando CDF",IF(AN140=0,"Vínculo de CDF parcial",IF(AE140&lt;AD140,"CDF a conferir","Documentação conferida"))))))))))))))))))</f>
        <v/>
      </c>
      <c r="Q140" s="93" t="str">
        <f>IF(OR(R140=0,AA140=0),"",MAX(0,N(L140)-N(M140)))</f>
        <v/>
      </c>
      <c r="R140" s="96">
        <f>IF(COUNTA(B140:C140,G140:H140,J140:K140)&gt;0,1,0)</f>
        <v>0</v>
      </c>
      <c r="S140" s="96" t="str">
        <f>IF(B140="","",TRIM(LEFT(B140,FIND(" |",B140&amp;" |")-1)))</f>
        <v/>
      </c>
      <c r="T140" s="96" t="str">
        <f>IF(S140="","",IFERROR(MATCH(S140,'MTRs'!$A$6:$A$505,0),""))</f>
        <v/>
      </c>
      <c r="U140" s="96">
        <f>IF(T140="",0,IF(INDEX('MTRs'!$Z$6:$Z$505,T140)=1,1,0))</f>
        <v>0</v>
      </c>
      <c r="V140" s="96">
        <f>IF(C140="",0,IF(ISNUMBER(MATCH(C140,'CAD_RESÍDUOS'!$B$6:$B$205,0)),1,0))</f>
        <v>0</v>
      </c>
      <c r="W140" s="96">
        <f>IF(AND(ISNUMBER(G140),G140&gt;0),1,0)</f>
        <v>0</v>
      </c>
      <c r="X140" s="96" t="str">
        <f>IF(H140="","",IFERROR(IF(ISNUMBER(INDEX(cfg_fac,MATCH(H140,cfg_units,0))),IF(INDEX(cfg_fac,MATCH(H140,cfg_units,0))&gt;0,INDEX(cfg_fac,MATCH(H140,cfg_units,0)),""),""),""))</f>
        <v/>
      </c>
      <c r="Y140" s="96">
        <f>IF(AND(W140=1,ISNUMBER(I140)),1,0)</f>
        <v>0</v>
      </c>
      <c r="Z140" s="96">
        <f>IF(U140=1,INDEX('MTRs'!$AA$6:$AA$505,T140),0)</f>
        <v>0</v>
      </c>
      <c r="AA140" s="96">
        <f>IF(R140=0,0,COUNTIFS('RECEBIMENTOS'!$R$6:$R$1005,A140,'RECEBIMENTOS'!$Q$6:$Q$1005,1))</f>
        <v>0</v>
      </c>
      <c r="AB140" s="96">
        <f>IF(R140=0,0,COUNTIFS('RECEBIMENTOS'!$R$6:$R$1005,A140,'RECEBIMENTOS'!$Z$6:$Z$1005,1))</f>
        <v>0</v>
      </c>
      <c r="AC140" s="96">
        <f>IF(R140=0,0,COUNTIFS('RECEBIMENTOS'!$R$6:$R$1005,A140,'RECEBIMENTOS'!$Y$6:$Y$1005,1))</f>
        <v>0</v>
      </c>
      <c r="AD140" s="96">
        <f>IF(R140=0,0,COUNTIFS('VÍNCULOS_CDF'!$R$6:$R$1005,A140,'VÍNCULOS_CDF'!$N$6:$N$1005,1))</f>
        <v>0</v>
      </c>
      <c r="AE140" s="96">
        <f>IF(R140=0,0,COUNTIFS('VÍNCULOS_CDF'!$R$6:$R$1005,A140,'VÍNCULOS_CDF'!$AA$6:$AA$1005,1))</f>
        <v>0</v>
      </c>
      <c r="AF140" s="96">
        <f>IF(R140=0,0,COUNTIFS('VÍNCULOS_CDF'!$R$6:$R$1005,A140,'VÍNCULOS_CDF'!$Y$6:$Y$1005,1))</f>
        <v>0</v>
      </c>
      <c r="AG140" s="96" t="str">
        <f>IF(AND(R140=1,S140&lt;&gt;"",C140&lt;&gt;""),S140&amp;"|"&amp;C140&amp;"|"&amp;G140&amp;"|"&amp;H140,"")</f>
        <v/>
      </c>
      <c r="AH140" s="96">
        <f>IF(AG140="",0,IF(SUMPRODUCT(--($AG$6:$AG$1005=AG140))&gt;1,1,0))</f>
        <v>0</v>
      </c>
      <c r="AI140" s="96">
        <f>IF(R140=0,0,IF(OR(U140=0,V140=0,Y140=0,AND(AH140=1,K140&lt;&gt;"Sim")),1,0))</f>
        <v>0</v>
      </c>
      <c r="AJ140" s="96">
        <f>IF(AND(R140=1,AA140&gt;0,AB140=AA140),1,0)</f>
        <v>0</v>
      </c>
      <c r="AK140" s="96">
        <f>IF(R140=0,0,IF(AA140&gt;0,N(L140),IF(ISNUMBER(I140),I140,0)))</f>
        <v>0</v>
      </c>
      <c r="AL140" s="96">
        <f>IF(R140=0,0,IF(AND(K140&lt;&gt;"Sim",N(M140)&gt;AK140+cfg_tol),1,0))</f>
        <v>0</v>
      </c>
      <c r="AM140" s="96">
        <f>IF(R140=0,0,IF(K140="Sim",0,IF(OR(AND(AA140&gt;0,ISNUMBER(I140),ABS(I140-N(L140))&gt;cfg_tol),AL140=1),1,0)))</f>
        <v>0</v>
      </c>
      <c r="AN140" s="96">
        <f>IF(AND(R140=1,N(M140)&gt;0,OR(N(M140)&gt;=AK140-cfg_tol,K140="Sim")),1,0)</f>
        <v>0</v>
      </c>
      <c r="AO140" s="96">
        <f>IF(AND(AN140=1,AD140&gt;0,AE140=AD140,AL140=0),1,0)</f>
        <v>0</v>
      </c>
      <c r="AP140" s="96">
        <f>IF(U140=0,0,IF(AND(INDEX('MTRs'!$AX$6:$AX$505,T140)=1,Z140=0,OR(f_res="",f_res="(Todos)",C140=f_res)),1,0))</f>
        <v>0</v>
      </c>
      <c r="AQ140" s="97" t="str">
        <f>IF(U140=0,"",INDEX('MTRs'!$AZ$6:$AZ$505,T140))</f>
        <v/>
      </c>
      <c r="AR140" s="96">
        <f>IF(U140=0,0,IF(AND(INDEX('MTRs'!$BA$6:$BA$505,T140)=1,Z140=0),1,0))</f>
        <v>0</v>
      </c>
      <c r="AS140" s="96" t="str">
        <f>IF(R140=1,A140&amp;" | MTR "&amp;IF(U140=1,INDEX('MTRs'!$B$6:$B$505,T140)&amp;"","?")&amp;" | "&amp;IF(C140="","(sem resíduo)",C140),"")</f>
        <v/>
      </c>
      <c r="AT140" s="96" t="str">
        <f>IF(R140=1,COUNTIF($R$6:R140,1),"")</f>
        <v/>
      </c>
      <c r="AU140" s="96" t="str">
        <f>IF(U140=1,INDEX('MTRs'!$I$6:$I$505,T140)&amp;"","")</f>
        <v/>
      </c>
    </row>
    <row r="141">
      <c r="A141" s="89" t="inlineStr">
        <is>
          <t>IT-000136</t>
        </is>
      </c>
      <c r="B141" s="91" t="n"/>
      <c r="C141" s="91" t="n"/>
      <c r="D141" s="94" t="str">
        <f>IF(OR(R141=0,V141=0),"",INDEX('CAD_RESÍDUOS'!$E$6:$E$205,MATCH(C141,'CAD_RESÍDUOS'!$B$6:$B$205,0))&amp;"")</f>
        <v/>
      </c>
      <c r="E141" s="94" t="str">
        <f>IF(OR(R141=0,V141=0),"",INDEX('CAD_RESÍDUOS'!$C$6:$C$205,MATCH(C141,'CAD_RESÍDUOS'!$B$6:$B$205,0))&amp;"")</f>
        <v/>
      </c>
      <c r="F141" s="94" t="str">
        <f>IF(OR(R141=0,V141=0),"",INDEX('CAD_RESÍDUOS'!$G$6:$G$205,MATCH(C141,'CAD_RESÍDUOS'!$B$6:$B$205,0))&amp;"")</f>
        <v/>
      </c>
      <c r="G141" s="98" t="n"/>
      <c r="H141" s="91" t="n"/>
      <c r="I141" s="93" t="str">
        <f>IF(R141=0,"",IF(NOT(ISNUMBER(G141)),"",IF(ISNUMBER(X141),G141*X141,"UNIDADE A CONFERIR")))</f>
        <v/>
      </c>
      <c r="J141" s="91" t="n"/>
      <c r="K141" s="91" t="n"/>
      <c r="L141" s="93" t="str">
        <f>IF(R141=0,"",SUMIFS('RECEBIMENTOS'!$H$6:$H$1005,'RECEBIMENTOS'!$R$6:$R$1005,A141,'RECEBIMENTOS'!$X$6:$X$1005,1))</f>
        <v/>
      </c>
      <c r="M141" s="93" t="str">
        <f>IF(R141=0,"",SUMIFS('VÍNCULOS_CDF'!$H$6:$H$1005,'VÍNCULOS_CDF'!$R$6:$R$1005,A141,'VÍNCULOS_CDF'!$V$6:$V$1005,1))</f>
        <v/>
      </c>
      <c r="N141" s="99" t="str">
        <f>IF(OR(R141=0,AA141=0,NOT(ISNUMBER(I141))),"",I141-N(L141))</f>
        <v/>
      </c>
      <c r="O141" s="100" t="str">
        <f>IF(OR(R141=0,AK141&lt;=0),"",N(M141)/AK141)</f>
        <v/>
      </c>
      <c r="P141" s="94" t="str">
        <f>IF(R141=0,"",IF(S141="","Sem MTR associado",IF(U141=0,"MTR inexistente",IF(C141="","Resíduo não identificado",IF(V141=0,"Resíduo fora do cadastro",IF(W141=0,"Quantidade inválida",IF(H141="","Unidade não informada",IF(NOT(ISNUMBER(I141)),"Unidade a conferir",IF(AND(AH141=1,K141&lt;&gt;"Sim"),"Possível duplicidade",IF(Z141=1,"MTR cancelado",IF(AC141&gt;0,"Recebimento com alerta",IF(AA141=0,"Aguardando recebimento",IF(AB141&lt;AA141,"Recebimento a conferir",IF(AM141=1,"Quantidade a revisar",IF(AF141&gt;0,"Vínculo a revisar",IF(AD141=0,"Aguardando CDF",IF(AN141=0,"Vínculo de CDF parcial",IF(AE141&lt;AD141,"CDF a conferir","Documentação conferida"))))))))))))))))))</f>
        <v/>
      </c>
      <c r="Q141" s="93" t="str">
        <f>IF(OR(R141=0,AA141=0),"",MAX(0,N(L141)-N(M141)))</f>
        <v/>
      </c>
      <c r="R141" s="96">
        <f>IF(COUNTA(B141:C141,G141:H141,J141:K141)&gt;0,1,0)</f>
        <v>0</v>
      </c>
      <c r="S141" s="96" t="str">
        <f>IF(B141="","",TRIM(LEFT(B141,FIND(" |",B141&amp;" |")-1)))</f>
        <v/>
      </c>
      <c r="T141" s="96" t="str">
        <f>IF(S141="","",IFERROR(MATCH(S141,'MTRs'!$A$6:$A$505,0),""))</f>
        <v/>
      </c>
      <c r="U141" s="96">
        <f>IF(T141="",0,IF(INDEX('MTRs'!$Z$6:$Z$505,T141)=1,1,0))</f>
        <v>0</v>
      </c>
      <c r="V141" s="96">
        <f>IF(C141="",0,IF(ISNUMBER(MATCH(C141,'CAD_RESÍDUOS'!$B$6:$B$205,0)),1,0))</f>
        <v>0</v>
      </c>
      <c r="W141" s="96">
        <f>IF(AND(ISNUMBER(G141),G141&gt;0),1,0)</f>
        <v>0</v>
      </c>
      <c r="X141" s="96" t="str">
        <f>IF(H141="","",IFERROR(IF(ISNUMBER(INDEX(cfg_fac,MATCH(H141,cfg_units,0))),IF(INDEX(cfg_fac,MATCH(H141,cfg_units,0))&gt;0,INDEX(cfg_fac,MATCH(H141,cfg_units,0)),""),""),""))</f>
        <v/>
      </c>
      <c r="Y141" s="96">
        <f>IF(AND(W141=1,ISNUMBER(I141)),1,0)</f>
        <v>0</v>
      </c>
      <c r="Z141" s="96">
        <f>IF(U141=1,INDEX('MTRs'!$AA$6:$AA$505,T141),0)</f>
        <v>0</v>
      </c>
      <c r="AA141" s="96">
        <f>IF(R141=0,0,COUNTIFS('RECEBIMENTOS'!$R$6:$R$1005,A141,'RECEBIMENTOS'!$Q$6:$Q$1005,1))</f>
        <v>0</v>
      </c>
      <c r="AB141" s="96">
        <f>IF(R141=0,0,COUNTIFS('RECEBIMENTOS'!$R$6:$R$1005,A141,'RECEBIMENTOS'!$Z$6:$Z$1005,1))</f>
        <v>0</v>
      </c>
      <c r="AC141" s="96">
        <f>IF(R141=0,0,COUNTIFS('RECEBIMENTOS'!$R$6:$R$1005,A141,'RECEBIMENTOS'!$Y$6:$Y$1005,1))</f>
        <v>0</v>
      </c>
      <c r="AD141" s="96">
        <f>IF(R141=0,0,COUNTIFS('VÍNCULOS_CDF'!$R$6:$R$1005,A141,'VÍNCULOS_CDF'!$N$6:$N$1005,1))</f>
        <v>0</v>
      </c>
      <c r="AE141" s="96">
        <f>IF(R141=0,0,COUNTIFS('VÍNCULOS_CDF'!$R$6:$R$1005,A141,'VÍNCULOS_CDF'!$AA$6:$AA$1005,1))</f>
        <v>0</v>
      </c>
      <c r="AF141" s="96">
        <f>IF(R141=0,0,COUNTIFS('VÍNCULOS_CDF'!$R$6:$R$1005,A141,'VÍNCULOS_CDF'!$Y$6:$Y$1005,1))</f>
        <v>0</v>
      </c>
      <c r="AG141" s="96" t="str">
        <f>IF(AND(R141=1,S141&lt;&gt;"",C141&lt;&gt;""),S141&amp;"|"&amp;C141&amp;"|"&amp;G141&amp;"|"&amp;H141,"")</f>
        <v/>
      </c>
      <c r="AH141" s="96">
        <f>IF(AG141="",0,IF(SUMPRODUCT(--($AG$6:$AG$1005=AG141))&gt;1,1,0))</f>
        <v>0</v>
      </c>
      <c r="AI141" s="96">
        <f>IF(R141=0,0,IF(OR(U141=0,V141=0,Y141=0,AND(AH141=1,K141&lt;&gt;"Sim")),1,0))</f>
        <v>0</v>
      </c>
      <c r="AJ141" s="96">
        <f>IF(AND(R141=1,AA141&gt;0,AB141=AA141),1,0)</f>
        <v>0</v>
      </c>
      <c r="AK141" s="96">
        <f>IF(R141=0,0,IF(AA141&gt;0,N(L141),IF(ISNUMBER(I141),I141,0)))</f>
        <v>0</v>
      </c>
      <c r="AL141" s="96">
        <f>IF(R141=0,0,IF(AND(K141&lt;&gt;"Sim",N(M141)&gt;AK141+cfg_tol),1,0))</f>
        <v>0</v>
      </c>
      <c r="AM141" s="96">
        <f>IF(R141=0,0,IF(K141="Sim",0,IF(OR(AND(AA141&gt;0,ISNUMBER(I141),ABS(I141-N(L141))&gt;cfg_tol),AL141=1),1,0)))</f>
        <v>0</v>
      </c>
      <c r="AN141" s="96">
        <f>IF(AND(R141=1,N(M141)&gt;0,OR(N(M141)&gt;=AK141-cfg_tol,K141="Sim")),1,0)</f>
        <v>0</v>
      </c>
      <c r="AO141" s="96">
        <f>IF(AND(AN141=1,AD141&gt;0,AE141=AD141,AL141=0),1,0)</f>
        <v>0</v>
      </c>
      <c r="AP141" s="96">
        <f>IF(U141=0,0,IF(AND(INDEX('MTRs'!$AX$6:$AX$505,T141)=1,Z141=0,OR(f_res="",f_res="(Todos)",C141=f_res)),1,0))</f>
        <v>0</v>
      </c>
      <c r="AQ141" s="97" t="str">
        <f>IF(U141=0,"",INDEX('MTRs'!$AZ$6:$AZ$505,T141))</f>
        <v/>
      </c>
      <c r="AR141" s="96">
        <f>IF(U141=0,0,IF(AND(INDEX('MTRs'!$BA$6:$BA$505,T141)=1,Z141=0),1,0))</f>
        <v>0</v>
      </c>
      <c r="AS141" s="96" t="str">
        <f>IF(R141=1,A141&amp;" | MTR "&amp;IF(U141=1,INDEX('MTRs'!$B$6:$B$505,T141)&amp;"","?")&amp;" | "&amp;IF(C141="","(sem resíduo)",C141),"")</f>
        <v/>
      </c>
      <c r="AT141" s="96" t="str">
        <f>IF(R141=1,COUNTIF($R$6:R141,1),"")</f>
        <v/>
      </c>
      <c r="AU141" s="96" t="str">
        <f>IF(U141=1,INDEX('MTRs'!$I$6:$I$505,T141)&amp;"","")</f>
        <v/>
      </c>
    </row>
    <row r="142">
      <c r="A142" s="89" t="inlineStr">
        <is>
          <t>IT-000137</t>
        </is>
      </c>
      <c r="B142" s="91" t="n"/>
      <c r="C142" s="91" t="n"/>
      <c r="D142" s="94" t="str">
        <f>IF(OR(R142=0,V142=0),"",INDEX('CAD_RESÍDUOS'!$E$6:$E$205,MATCH(C142,'CAD_RESÍDUOS'!$B$6:$B$205,0))&amp;"")</f>
        <v/>
      </c>
      <c r="E142" s="94" t="str">
        <f>IF(OR(R142=0,V142=0),"",INDEX('CAD_RESÍDUOS'!$C$6:$C$205,MATCH(C142,'CAD_RESÍDUOS'!$B$6:$B$205,0))&amp;"")</f>
        <v/>
      </c>
      <c r="F142" s="94" t="str">
        <f>IF(OR(R142=0,V142=0),"",INDEX('CAD_RESÍDUOS'!$G$6:$G$205,MATCH(C142,'CAD_RESÍDUOS'!$B$6:$B$205,0))&amp;"")</f>
        <v/>
      </c>
      <c r="G142" s="98" t="n"/>
      <c r="H142" s="91" t="n"/>
      <c r="I142" s="93" t="str">
        <f>IF(R142=0,"",IF(NOT(ISNUMBER(G142)),"",IF(ISNUMBER(X142),G142*X142,"UNIDADE A CONFERIR")))</f>
        <v/>
      </c>
      <c r="J142" s="91" t="n"/>
      <c r="K142" s="91" t="n"/>
      <c r="L142" s="93" t="str">
        <f>IF(R142=0,"",SUMIFS('RECEBIMENTOS'!$H$6:$H$1005,'RECEBIMENTOS'!$R$6:$R$1005,A142,'RECEBIMENTOS'!$X$6:$X$1005,1))</f>
        <v/>
      </c>
      <c r="M142" s="93" t="str">
        <f>IF(R142=0,"",SUMIFS('VÍNCULOS_CDF'!$H$6:$H$1005,'VÍNCULOS_CDF'!$R$6:$R$1005,A142,'VÍNCULOS_CDF'!$V$6:$V$1005,1))</f>
        <v/>
      </c>
      <c r="N142" s="99" t="str">
        <f>IF(OR(R142=0,AA142=0,NOT(ISNUMBER(I142))),"",I142-N(L142))</f>
        <v/>
      </c>
      <c r="O142" s="100" t="str">
        <f>IF(OR(R142=0,AK142&lt;=0),"",N(M142)/AK142)</f>
        <v/>
      </c>
      <c r="P142" s="94" t="str">
        <f>IF(R142=0,"",IF(S142="","Sem MTR associado",IF(U142=0,"MTR inexistente",IF(C142="","Resíduo não identificado",IF(V142=0,"Resíduo fora do cadastro",IF(W142=0,"Quantidade inválida",IF(H142="","Unidade não informada",IF(NOT(ISNUMBER(I142)),"Unidade a conferir",IF(AND(AH142=1,K142&lt;&gt;"Sim"),"Possível duplicidade",IF(Z142=1,"MTR cancelado",IF(AC142&gt;0,"Recebimento com alerta",IF(AA142=0,"Aguardando recebimento",IF(AB142&lt;AA142,"Recebimento a conferir",IF(AM142=1,"Quantidade a revisar",IF(AF142&gt;0,"Vínculo a revisar",IF(AD142=0,"Aguardando CDF",IF(AN142=0,"Vínculo de CDF parcial",IF(AE142&lt;AD142,"CDF a conferir","Documentação conferida"))))))))))))))))))</f>
        <v/>
      </c>
      <c r="Q142" s="93" t="str">
        <f>IF(OR(R142=0,AA142=0),"",MAX(0,N(L142)-N(M142)))</f>
        <v/>
      </c>
      <c r="R142" s="96">
        <f>IF(COUNTA(B142:C142,G142:H142,J142:K142)&gt;0,1,0)</f>
        <v>0</v>
      </c>
      <c r="S142" s="96" t="str">
        <f>IF(B142="","",TRIM(LEFT(B142,FIND(" |",B142&amp;" |")-1)))</f>
        <v/>
      </c>
      <c r="T142" s="96" t="str">
        <f>IF(S142="","",IFERROR(MATCH(S142,'MTRs'!$A$6:$A$505,0),""))</f>
        <v/>
      </c>
      <c r="U142" s="96">
        <f>IF(T142="",0,IF(INDEX('MTRs'!$Z$6:$Z$505,T142)=1,1,0))</f>
        <v>0</v>
      </c>
      <c r="V142" s="96">
        <f>IF(C142="",0,IF(ISNUMBER(MATCH(C142,'CAD_RESÍDUOS'!$B$6:$B$205,0)),1,0))</f>
        <v>0</v>
      </c>
      <c r="W142" s="96">
        <f>IF(AND(ISNUMBER(G142),G142&gt;0),1,0)</f>
        <v>0</v>
      </c>
      <c r="X142" s="96" t="str">
        <f>IF(H142="","",IFERROR(IF(ISNUMBER(INDEX(cfg_fac,MATCH(H142,cfg_units,0))),IF(INDEX(cfg_fac,MATCH(H142,cfg_units,0))&gt;0,INDEX(cfg_fac,MATCH(H142,cfg_units,0)),""),""),""))</f>
        <v/>
      </c>
      <c r="Y142" s="96">
        <f>IF(AND(W142=1,ISNUMBER(I142)),1,0)</f>
        <v>0</v>
      </c>
      <c r="Z142" s="96">
        <f>IF(U142=1,INDEX('MTRs'!$AA$6:$AA$505,T142),0)</f>
        <v>0</v>
      </c>
      <c r="AA142" s="96">
        <f>IF(R142=0,0,COUNTIFS('RECEBIMENTOS'!$R$6:$R$1005,A142,'RECEBIMENTOS'!$Q$6:$Q$1005,1))</f>
        <v>0</v>
      </c>
      <c r="AB142" s="96">
        <f>IF(R142=0,0,COUNTIFS('RECEBIMENTOS'!$R$6:$R$1005,A142,'RECEBIMENTOS'!$Z$6:$Z$1005,1))</f>
        <v>0</v>
      </c>
      <c r="AC142" s="96">
        <f>IF(R142=0,0,COUNTIFS('RECEBIMENTOS'!$R$6:$R$1005,A142,'RECEBIMENTOS'!$Y$6:$Y$1005,1))</f>
        <v>0</v>
      </c>
      <c r="AD142" s="96">
        <f>IF(R142=0,0,COUNTIFS('VÍNCULOS_CDF'!$R$6:$R$1005,A142,'VÍNCULOS_CDF'!$N$6:$N$1005,1))</f>
        <v>0</v>
      </c>
      <c r="AE142" s="96">
        <f>IF(R142=0,0,COUNTIFS('VÍNCULOS_CDF'!$R$6:$R$1005,A142,'VÍNCULOS_CDF'!$AA$6:$AA$1005,1))</f>
        <v>0</v>
      </c>
      <c r="AF142" s="96">
        <f>IF(R142=0,0,COUNTIFS('VÍNCULOS_CDF'!$R$6:$R$1005,A142,'VÍNCULOS_CDF'!$Y$6:$Y$1005,1))</f>
        <v>0</v>
      </c>
      <c r="AG142" s="96" t="str">
        <f>IF(AND(R142=1,S142&lt;&gt;"",C142&lt;&gt;""),S142&amp;"|"&amp;C142&amp;"|"&amp;G142&amp;"|"&amp;H142,"")</f>
        <v/>
      </c>
      <c r="AH142" s="96">
        <f>IF(AG142="",0,IF(SUMPRODUCT(--($AG$6:$AG$1005=AG142))&gt;1,1,0))</f>
        <v>0</v>
      </c>
      <c r="AI142" s="96">
        <f>IF(R142=0,0,IF(OR(U142=0,V142=0,Y142=0,AND(AH142=1,K142&lt;&gt;"Sim")),1,0))</f>
        <v>0</v>
      </c>
      <c r="AJ142" s="96">
        <f>IF(AND(R142=1,AA142&gt;0,AB142=AA142),1,0)</f>
        <v>0</v>
      </c>
      <c r="AK142" s="96">
        <f>IF(R142=0,0,IF(AA142&gt;0,N(L142),IF(ISNUMBER(I142),I142,0)))</f>
        <v>0</v>
      </c>
      <c r="AL142" s="96">
        <f>IF(R142=0,0,IF(AND(K142&lt;&gt;"Sim",N(M142)&gt;AK142+cfg_tol),1,0))</f>
        <v>0</v>
      </c>
      <c r="AM142" s="96">
        <f>IF(R142=0,0,IF(K142="Sim",0,IF(OR(AND(AA142&gt;0,ISNUMBER(I142),ABS(I142-N(L142))&gt;cfg_tol),AL142=1),1,0)))</f>
        <v>0</v>
      </c>
      <c r="AN142" s="96">
        <f>IF(AND(R142=1,N(M142)&gt;0,OR(N(M142)&gt;=AK142-cfg_tol,K142="Sim")),1,0)</f>
        <v>0</v>
      </c>
      <c r="AO142" s="96">
        <f>IF(AND(AN142=1,AD142&gt;0,AE142=AD142,AL142=0),1,0)</f>
        <v>0</v>
      </c>
      <c r="AP142" s="96">
        <f>IF(U142=0,0,IF(AND(INDEX('MTRs'!$AX$6:$AX$505,T142)=1,Z142=0,OR(f_res="",f_res="(Todos)",C142=f_res)),1,0))</f>
        <v>0</v>
      </c>
      <c r="AQ142" s="97" t="str">
        <f>IF(U142=0,"",INDEX('MTRs'!$AZ$6:$AZ$505,T142))</f>
        <v/>
      </c>
      <c r="AR142" s="96">
        <f>IF(U142=0,0,IF(AND(INDEX('MTRs'!$BA$6:$BA$505,T142)=1,Z142=0),1,0))</f>
        <v>0</v>
      </c>
      <c r="AS142" s="96" t="str">
        <f>IF(R142=1,A142&amp;" | MTR "&amp;IF(U142=1,INDEX('MTRs'!$B$6:$B$505,T142)&amp;"","?")&amp;" | "&amp;IF(C142="","(sem resíduo)",C142),"")</f>
        <v/>
      </c>
      <c r="AT142" s="96" t="str">
        <f>IF(R142=1,COUNTIF($R$6:R142,1),"")</f>
        <v/>
      </c>
      <c r="AU142" s="96" t="str">
        <f>IF(U142=1,INDEX('MTRs'!$I$6:$I$505,T142)&amp;"","")</f>
        <v/>
      </c>
    </row>
    <row r="143">
      <c r="A143" s="89" t="inlineStr">
        <is>
          <t>IT-000138</t>
        </is>
      </c>
      <c r="B143" s="91" t="n"/>
      <c r="C143" s="91" t="n"/>
      <c r="D143" s="94" t="str">
        <f>IF(OR(R143=0,V143=0),"",INDEX('CAD_RESÍDUOS'!$E$6:$E$205,MATCH(C143,'CAD_RESÍDUOS'!$B$6:$B$205,0))&amp;"")</f>
        <v/>
      </c>
      <c r="E143" s="94" t="str">
        <f>IF(OR(R143=0,V143=0),"",INDEX('CAD_RESÍDUOS'!$C$6:$C$205,MATCH(C143,'CAD_RESÍDUOS'!$B$6:$B$205,0))&amp;"")</f>
        <v/>
      </c>
      <c r="F143" s="94" t="str">
        <f>IF(OR(R143=0,V143=0),"",INDEX('CAD_RESÍDUOS'!$G$6:$G$205,MATCH(C143,'CAD_RESÍDUOS'!$B$6:$B$205,0))&amp;"")</f>
        <v/>
      </c>
      <c r="G143" s="98" t="n"/>
      <c r="H143" s="91" t="n"/>
      <c r="I143" s="93" t="str">
        <f>IF(R143=0,"",IF(NOT(ISNUMBER(G143)),"",IF(ISNUMBER(X143),G143*X143,"UNIDADE A CONFERIR")))</f>
        <v/>
      </c>
      <c r="J143" s="91" t="n"/>
      <c r="K143" s="91" t="n"/>
      <c r="L143" s="93" t="str">
        <f>IF(R143=0,"",SUMIFS('RECEBIMENTOS'!$H$6:$H$1005,'RECEBIMENTOS'!$R$6:$R$1005,A143,'RECEBIMENTOS'!$X$6:$X$1005,1))</f>
        <v/>
      </c>
      <c r="M143" s="93" t="str">
        <f>IF(R143=0,"",SUMIFS('VÍNCULOS_CDF'!$H$6:$H$1005,'VÍNCULOS_CDF'!$R$6:$R$1005,A143,'VÍNCULOS_CDF'!$V$6:$V$1005,1))</f>
        <v/>
      </c>
      <c r="N143" s="99" t="str">
        <f>IF(OR(R143=0,AA143=0,NOT(ISNUMBER(I143))),"",I143-N(L143))</f>
        <v/>
      </c>
      <c r="O143" s="100" t="str">
        <f>IF(OR(R143=0,AK143&lt;=0),"",N(M143)/AK143)</f>
        <v/>
      </c>
      <c r="P143" s="94" t="str">
        <f>IF(R143=0,"",IF(S143="","Sem MTR associado",IF(U143=0,"MTR inexistente",IF(C143="","Resíduo não identificado",IF(V143=0,"Resíduo fora do cadastro",IF(W143=0,"Quantidade inválida",IF(H143="","Unidade não informada",IF(NOT(ISNUMBER(I143)),"Unidade a conferir",IF(AND(AH143=1,K143&lt;&gt;"Sim"),"Possível duplicidade",IF(Z143=1,"MTR cancelado",IF(AC143&gt;0,"Recebimento com alerta",IF(AA143=0,"Aguardando recebimento",IF(AB143&lt;AA143,"Recebimento a conferir",IF(AM143=1,"Quantidade a revisar",IF(AF143&gt;0,"Vínculo a revisar",IF(AD143=0,"Aguardando CDF",IF(AN143=0,"Vínculo de CDF parcial",IF(AE143&lt;AD143,"CDF a conferir","Documentação conferida"))))))))))))))))))</f>
        <v/>
      </c>
      <c r="Q143" s="93" t="str">
        <f>IF(OR(R143=0,AA143=0),"",MAX(0,N(L143)-N(M143)))</f>
        <v/>
      </c>
      <c r="R143" s="96">
        <f>IF(COUNTA(B143:C143,G143:H143,J143:K143)&gt;0,1,0)</f>
        <v>0</v>
      </c>
      <c r="S143" s="96" t="str">
        <f>IF(B143="","",TRIM(LEFT(B143,FIND(" |",B143&amp;" |")-1)))</f>
        <v/>
      </c>
      <c r="T143" s="96" t="str">
        <f>IF(S143="","",IFERROR(MATCH(S143,'MTRs'!$A$6:$A$505,0),""))</f>
        <v/>
      </c>
      <c r="U143" s="96">
        <f>IF(T143="",0,IF(INDEX('MTRs'!$Z$6:$Z$505,T143)=1,1,0))</f>
        <v>0</v>
      </c>
      <c r="V143" s="96">
        <f>IF(C143="",0,IF(ISNUMBER(MATCH(C143,'CAD_RESÍDUOS'!$B$6:$B$205,0)),1,0))</f>
        <v>0</v>
      </c>
      <c r="W143" s="96">
        <f>IF(AND(ISNUMBER(G143),G143&gt;0),1,0)</f>
        <v>0</v>
      </c>
      <c r="X143" s="96" t="str">
        <f>IF(H143="","",IFERROR(IF(ISNUMBER(INDEX(cfg_fac,MATCH(H143,cfg_units,0))),IF(INDEX(cfg_fac,MATCH(H143,cfg_units,0))&gt;0,INDEX(cfg_fac,MATCH(H143,cfg_units,0)),""),""),""))</f>
        <v/>
      </c>
      <c r="Y143" s="96">
        <f>IF(AND(W143=1,ISNUMBER(I143)),1,0)</f>
        <v>0</v>
      </c>
      <c r="Z143" s="96">
        <f>IF(U143=1,INDEX('MTRs'!$AA$6:$AA$505,T143),0)</f>
        <v>0</v>
      </c>
      <c r="AA143" s="96">
        <f>IF(R143=0,0,COUNTIFS('RECEBIMENTOS'!$R$6:$R$1005,A143,'RECEBIMENTOS'!$Q$6:$Q$1005,1))</f>
        <v>0</v>
      </c>
      <c r="AB143" s="96">
        <f>IF(R143=0,0,COUNTIFS('RECEBIMENTOS'!$R$6:$R$1005,A143,'RECEBIMENTOS'!$Z$6:$Z$1005,1))</f>
        <v>0</v>
      </c>
      <c r="AC143" s="96">
        <f>IF(R143=0,0,COUNTIFS('RECEBIMENTOS'!$R$6:$R$1005,A143,'RECEBIMENTOS'!$Y$6:$Y$1005,1))</f>
        <v>0</v>
      </c>
      <c r="AD143" s="96">
        <f>IF(R143=0,0,COUNTIFS('VÍNCULOS_CDF'!$R$6:$R$1005,A143,'VÍNCULOS_CDF'!$N$6:$N$1005,1))</f>
        <v>0</v>
      </c>
      <c r="AE143" s="96">
        <f>IF(R143=0,0,COUNTIFS('VÍNCULOS_CDF'!$R$6:$R$1005,A143,'VÍNCULOS_CDF'!$AA$6:$AA$1005,1))</f>
        <v>0</v>
      </c>
      <c r="AF143" s="96">
        <f>IF(R143=0,0,COUNTIFS('VÍNCULOS_CDF'!$R$6:$R$1005,A143,'VÍNCULOS_CDF'!$Y$6:$Y$1005,1))</f>
        <v>0</v>
      </c>
      <c r="AG143" s="96" t="str">
        <f>IF(AND(R143=1,S143&lt;&gt;"",C143&lt;&gt;""),S143&amp;"|"&amp;C143&amp;"|"&amp;G143&amp;"|"&amp;H143,"")</f>
        <v/>
      </c>
      <c r="AH143" s="96">
        <f>IF(AG143="",0,IF(SUMPRODUCT(--($AG$6:$AG$1005=AG143))&gt;1,1,0))</f>
        <v>0</v>
      </c>
      <c r="AI143" s="96">
        <f>IF(R143=0,0,IF(OR(U143=0,V143=0,Y143=0,AND(AH143=1,K143&lt;&gt;"Sim")),1,0))</f>
        <v>0</v>
      </c>
      <c r="AJ143" s="96">
        <f>IF(AND(R143=1,AA143&gt;0,AB143=AA143),1,0)</f>
        <v>0</v>
      </c>
      <c r="AK143" s="96">
        <f>IF(R143=0,0,IF(AA143&gt;0,N(L143),IF(ISNUMBER(I143),I143,0)))</f>
        <v>0</v>
      </c>
      <c r="AL143" s="96">
        <f>IF(R143=0,0,IF(AND(K143&lt;&gt;"Sim",N(M143)&gt;AK143+cfg_tol),1,0))</f>
        <v>0</v>
      </c>
      <c r="AM143" s="96">
        <f>IF(R143=0,0,IF(K143="Sim",0,IF(OR(AND(AA143&gt;0,ISNUMBER(I143),ABS(I143-N(L143))&gt;cfg_tol),AL143=1),1,0)))</f>
        <v>0</v>
      </c>
      <c r="AN143" s="96">
        <f>IF(AND(R143=1,N(M143)&gt;0,OR(N(M143)&gt;=AK143-cfg_tol,K143="Sim")),1,0)</f>
        <v>0</v>
      </c>
      <c r="AO143" s="96">
        <f>IF(AND(AN143=1,AD143&gt;0,AE143=AD143,AL143=0),1,0)</f>
        <v>0</v>
      </c>
      <c r="AP143" s="96">
        <f>IF(U143=0,0,IF(AND(INDEX('MTRs'!$AX$6:$AX$505,T143)=1,Z143=0,OR(f_res="",f_res="(Todos)",C143=f_res)),1,0))</f>
        <v>0</v>
      </c>
      <c r="AQ143" s="97" t="str">
        <f>IF(U143=0,"",INDEX('MTRs'!$AZ$6:$AZ$505,T143))</f>
        <v/>
      </c>
      <c r="AR143" s="96">
        <f>IF(U143=0,0,IF(AND(INDEX('MTRs'!$BA$6:$BA$505,T143)=1,Z143=0),1,0))</f>
        <v>0</v>
      </c>
      <c r="AS143" s="96" t="str">
        <f>IF(R143=1,A143&amp;" | MTR "&amp;IF(U143=1,INDEX('MTRs'!$B$6:$B$505,T143)&amp;"","?")&amp;" | "&amp;IF(C143="","(sem resíduo)",C143),"")</f>
        <v/>
      </c>
      <c r="AT143" s="96" t="str">
        <f>IF(R143=1,COUNTIF($R$6:R143,1),"")</f>
        <v/>
      </c>
      <c r="AU143" s="96" t="str">
        <f>IF(U143=1,INDEX('MTRs'!$I$6:$I$505,T143)&amp;"","")</f>
        <v/>
      </c>
    </row>
    <row r="144">
      <c r="A144" s="89" t="inlineStr">
        <is>
          <t>IT-000139</t>
        </is>
      </c>
      <c r="B144" s="91" t="n"/>
      <c r="C144" s="91" t="n"/>
      <c r="D144" s="94" t="str">
        <f>IF(OR(R144=0,V144=0),"",INDEX('CAD_RESÍDUOS'!$E$6:$E$205,MATCH(C144,'CAD_RESÍDUOS'!$B$6:$B$205,0))&amp;"")</f>
        <v/>
      </c>
      <c r="E144" s="94" t="str">
        <f>IF(OR(R144=0,V144=0),"",INDEX('CAD_RESÍDUOS'!$C$6:$C$205,MATCH(C144,'CAD_RESÍDUOS'!$B$6:$B$205,0))&amp;"")</f>
        <v/>
      </c>
      <c r="F144" s="94" t="str">
        <f>IF(OR(R144=0,V144=0),"",INDEX('CAD_RESÍDUOS'!$G$6:$G$205,MATCH(C144,'CAD_RESÍDUOS'!$B$6:$B$205,0))&amp;"")</f>
        <v/>
      </c>
      <c r="G144" s="98" t="n"/>
      <c r="H144" s="91" t="n"/>
      <c r="I144" s="93" t="str">
        <f>IF(R144=0,"",IF(NOT(ISNUMBER(G144)),"",IF(ISNUMBER(X144),G144*X144,"UNIDADE A CONFERIR")))</f>
        <v/>
      </c>
      <c r="J144" s="91" t="n"/>
      <c r="K144" s="91" t="n"/>
      <c r="L144" s="93" t="str">
        <f>IF(R144=0,"",SUMIFS('RECEBIMENTOS'!$H$6:$H$1005,'RECEBIMENTOS'!$R$6:$R$1005,A144,'RECEBIMENTOS'!$X$6:$X$1005,1))</f>
        <v/>
      </c>
      <c r="M144" s="93" t="str">
        <f>IF(R144=0,"",SUMIFS('VÍNCULOS_CDF'!$H$6:$H$1005,'VÍNCULOS_CDF'!$R$6:$R$1005,A144,'VÍNCULOS_CDF'!$V$6:$V$1005,1))</f>
        <v/>
      </c>
      <c r="N144" s="99" t="str">
        <f>IF(OR(R144=0,AA144=0,NOT(ISNUMBER(I144))),"",I144-N(L144))</f>
        <v/>
      </c>
      <c r="O144" s="100" t="str">
        <f>IF(OR(R144=0,AK144&lt;=0),"",N(M144)/AK144)</f>
        <v/>
      </c>
      <c r="P144" s="94" t="str">
        <f>IF(R144=0,"",IF(S144="","Sem MTR associado",IF(U144=0,"MTR inexistente",IF(C144="","Resíduo não identificado",IF(V144=0,"Resíduo fora do cadastro",IF(W144=0,"Quantidade inválida",IF(H144="","Unidade não informada",IF(NOT(ISNUMBER(I144)),"Unidade a conferir",IF(AND(AH144=1,K144&lt;&gt;"Sim"),"Possível duplicidade",IF(Z144=1,"MTR cancelado",IF(AC144&gt;0,"Recebimento com alerta",IF(AA144=0,"Aguardando recebimento",IF(AB144&lt;AA144,"Recebimento a conferir",IF(AM144=1,"Quantidade a revisar",IF(AF144&gt;0,"Vínculo a revisar",IF(AD144=0,"Aguardando CDF",IF(AN144=0,"Vínculo de CDF parcial",IF(AE144&lt;AD144,"CDF a conferir","Documentação conferida"))))))))))))))))))</f>
        <v/>
      </c>
      <c r="Q144" s="93" t="str">
        <f>IF(OR(R144=0,AA144=0),"",MAX(0,N(L144)-N(M144)))</f>
        <v/>
      </c>
      <c r="R144" s="96">
        <f>IF(COUNTA(B144:C144,G144:H144,J144:K144)&gt;0,1,0)</f>
        <v>0</v>
      </c>
      <c r="S144" s="96" t="str">
        <f>IF(B144="","",TRIM(LEFT(B144,FIND(" |",B144&amp;" |")-1)))</f>
        <v/>
      </c>
      <c r="T144" s="96" t="str">
        <f>IF(S144="","",IFERROR(MATCH(S144,'MTRs'!$A$6:$A$505,0),""))</f>
        <v/>
      </c>
      <c r="U144" s="96">
        <f>IF(T144="",0,IF(INDEX('MTRs'!$Z$6:$Z$505,T144)=1,1,0))</f>
        <v>0</v>
      </c>
      <c r="V144" s="96">
        <f>IF(C144="",0,IF(ISNUMBER(MATCH(C144,'CAD_RESÍDUOS'!$B$6:$B$205,0)),1,0))</f>
        <v>0</v>
      </c>
      <c r="W144" s="96">
        <f>IF(AND(ISNUMBER(G144),G144&gt;0),1,0)</f>
        <v>0</v>
      </c>
      <c r="X144" s="96" t="str">
        <f>IF(H144="","",IFERROR(IF(ISNUMBER(INDEX(cfg_fac,MATCH(H144,cfg_units,0))),IF(INDEX(cfg_fac,MATCH(H144,cfg_units,0))&gt;0,INDEX(cfg_fac,MATCH(H144,cfg_units,0)),""),""),""))</f>
        <v/>
      </c>
      <c r="Y144" s="96">
        <f>IF(AND(W144=1,ISNUMBER(I144)),1,0)</f>
        <v>0</v>
      </c>
      <c r="Z144" s="96">
        <f>IF(U144=1,INDEX('MTRs'!$AA$6:$AA$505,T144),0)</f>
        <v>0</v>
      </c>
      <c r="AA144" s="96">
        <f>IF(R144=0,0,COUNTIFS('RECEBIMENTOS'!$R$6:$R$1005,A144,'RECEBIMENTOS'!$Q$6:$Q$1005,1))</f>
        <v>0</v>
      </c>
      <c r="AB144" s="96">
        <f>IF(R144=0,0,COUNTIFS('RECEBIMENTOS'!$R$6:$R$1005,A144,'RECEBIMENTOS'!$Z$6:$Z$1005,1))</f>
        <v>0</v>
      </c>
      <c r="AC144" s="96">
        <f>IF(R144=0,0,COUNTIFS('RECEBIMENTOS'!$R$6:$R$1005,A144,'RECEBIMENTOS'!$Y$6:$Y$1005,1))</f>
        <v>0</v>
      </c>
      <c r="AD144" s="96">
        <f>IF(R144=0,0,COUNTIFS('VÍNCULOS_CDF'!$R$6:$R$1005,A144,'VÍNCULOS_CDF'!$N$6:$N$1005,1))</f>
        <v>0</v>
      </c>
      <c r="AE144" s="96">
        <f>IF(R144=0,0,COUNTIFS('VÍNCULOS_CDF'!$R$6:$R$1005,A144,'VÍNCULOS_CDF'!$AA$6:$AA$1005,1))</f>
        <v>0</v>
      </c>
      <c r="AF144" s="96">
        <f>IF(R144=0,0,COUNTIFS('VÍNCULOS_CDF'!$R$6:$R$1005,A144,'VÍNCULOS_CDF'!$Y$6:$Y$1005,1))</f>
        <v>0</v>
      </c>
      <c r="AG144" s="96" t="str">
        <f>IF(AND(R144=1,S144&lt;&gt;"",C144&lt;&gt;""),S144&amp;"|"&amp;C144&amp;"|"&amp;G144&amp;"|"&amp;H144,"")</f>
        <v/>
      </c>
      <c r="AH144" s="96">
        <f>IF(AG144="",0,IF(SUMPRODUCT(--($AG$6:$AG$1005=AG144))&gt;1,1,0))</f>
        <v>0</v>
      </c>
      <c r="AI144" s="96">
        <f>IF(R144=0,0,IF(OR(U144=0,V144=0,Y144=0,AND(AH144=1,K144&lt;&gt;"Sim")),1,0))</f>
        <v>0</v>
      </c>
      <c r="AJ144" s="96">
        <f>IF(AND(R144=1,AA144&gt;0,AB144=AA144),1,0)</f>
        <v>0</v>
      </c>
      <c r="AK144" s="96">
        <f>IF(R144=0,0,IF(AA144&gt;0,N(L144),IF(ISNUMBER(I144),I144,0)))</f>
        <v>0</v>
      </c>
      <c r="AL144" s="96">
        <f>IF(R144=0,0,IF(AND(K144&lt;&gt;"Sim",N(M144)&gt;AK144+cfg_tol),1,0))</f>
        <v>0</v>
      </c>
      <c r="AM144" s="96">
        <f>IF(R144=0,0,IF(K144="Sim",0,IF(OR(AND(AA144&gt;0,ISNUMBER(I144),ABS(I144-N(L144))&gt;cfg_tol),AL144=1),1,0)))</f>
        <v>0</v>
      </c>
      <c r="AN144" s="96">
        <f>IF(AND(R144=1,N(M144)&gt;0,OR(N(M144)&gt;=AK144-cfg_tol,K144="Sim")),1,0)</f>
        <v>0</v>
      </c>
      <c r="AO144" s="96">
        <f>IF(AND(AN144=1,AD144&gt;0,AE144=AD144,AL144=0),1,0)</f>
        <v>0</v>
      </c>
      <c r="AP144" s="96">
        <f>IF(U144=0,0,IF(AND(INDEX('MTRs'!$AX$6:$AX$505,T144)=1,Z144=0,OR(f_res="",f_res="(Todos)",C144=f_res)),1,0))</f>
        <v>0</v>
      </c>
      <c r="AQ144" s="97" t="str">
        <f>IF(U144=0,"",INDEX('MTRs'!$AZ$6:$AZ$505,T144))</f>
        <v/>
      </c>
      <c r="AR144" s="96">
        <f>IF(U144=0,0,IF(AND(INDEX('MTRs'!$BA$6:$BA$505,T144)=1,Z144=0),1,0))</f>
        <v>0</v>
      </c>
      <c r="AS144" s="96" t="str">
        <f>IF(R144=1,A144&amp;" | MTR "&amp;IF(U144=1,INDEX('MTRs'!$B$6:$B$505,T144)&amp;"","?")&amp;" | "&amp;IF(C144="","(sem resíduo)",C144),"")</f>
        <v/>
      </c>
      <c r="AT144" s="96" t="str">
        <f>IF(R144=1,COUNTIF($R$6:R144,1),"")</f>
        <v/>
      </c>
      <c r="AU144" s="96" t="str">
        <f>IF(U144=1,INDEX('MTRs'!$I$6:$I$505,T144)&amp;"","")</f>
        <v/>
      </c>
    </row>
    <row r="145">
      <c r="A145" s="89" t="inlineStr">
        <is>
          <t>IT-000140</t>
        </is>
      </c>
      <c r="B145" s="91" t="n"/>
      <c r="C145" s="91" t="n"/>
      <c r="D145" s="94" t="str">
        <f>IF(OR(R145=0,V145=0),"",INDEX('CAD_RESÍDUOS'!$E$6:$E$205,MATCH(C145,'CAD_RESÍDUOS'!$B$6:$B$205,0))&amp;"")</f>
        <v/>
      </c>
      <c r="E145" s="94" t="str">
        <f>IF(OR(R145=0,V145=0),"",INDEX('CAD_RESÍDUOS'!$C$6:$C$205,MATCH(C145,'CAD_RESÍDUOS'!$B$6:$B$205,0))&amp;"")</f>
        <v/>
      </c>
      <c r="F145" s="94" t="str">
        <f>IF(OR(R145=0,V145=0),"",INDEX('CAD_RESÍDUOS'!$G$6:$G$205,MATCH(C145,'CAD_RESÍDUOS'!$B$6:$B$205,0))&amp;"")</f>
        <v/>
      </c>
      <c r="G145" s="98" t="n"/>
      <c r="H145" s="91" t="n"/>
      <c r="I145" s="93" t="str">
        <f>IF(R145=0,"",IF(NOT(ISNUMBER(G145)),"",IF(ISNUMBER(X145),G145*X145,"UNIDADE A CONFERIR")))</f>
        <v/>
      </c>
      <c r="J145" s="91" t="n"/>
      <c r="K145" s="91" t="n"/>
      <c r="L145" s="93" t="str">
        <f>IF(R145=0,"",SUMIFS('RECEBIMENTOS'!$H$6:$H$1005,'RECEBIMENTOS'!$R$6:$R$1005,A145,'RECEBIMENTOS'!$X$6:$X$1005,1))</f>
        <v/>
      </c>
      <c r="M145" s="93" t="str">
        <f>IF(R145=0,"",SUMIFS('VÍNCULOS_CDF'!$H$6:$H$1005,'VÍNCULOS_CDF'!$R$6:$R$1005,A145,'VÍNCULOS_CDF'!$V$6:$V$1005,1))</f>
        <v/>
      </c>
      <c r="N145" s="99" t="str">
        <f>IF(OR(R145=0,AA145=0,NOT(ISNUMBER(I145))),"",I145-N(L145))</f>
        <v/>
      </c>
      <c r="O145" s="100" t="str">
        <f>IF(OR(R145=0,AK145&lt;=0),"",N(M145)/AK145)</f>
        <v/>
      </c>
      <c r="P145" s="94" t="str">
        <f>IF(R145=0,"",IF(S145="","Sem MTR associado",IF(U145=0,"MTR inexistente",IF(C145="","Resíduo não identificado",IF(V145=0,"Resíduo fora do cadastro",IF(W145=0,"Quantidade inválida",IF(H145="","Unidade não informada",IF(NOT(ISNUMBER(I145)),"Unidade a conferir",IF(AND(AH145=1,K145&lt;&gt;"Sim"),"Possível duplicidade",IF(Z145=1,"MTR cancelado",IF(AC145&gt;0,"Recebimento com alerta",IF(AA145=0,"Aguardando recebimento",IF(AB145&lt;AA145,"Recebimento a conferir",IF(AM145=1,"Quantidade a revisar",IF(AF145&gt;0,"Vínculo a revisar",IF(AD145=0,"Aguardando CDF",IF(AN145=0,"Vínculo de CDF parcial",IF(AE145&lt;AD145,"CDF a conferir","Documentação conferida"))))))))))))))))))</f>
        <v/>
      </c>
      <c r="Q145" s="93" t="str">
        <f>IF(OR(R145=0,AA145=0),"",MAX(0,N(L145)-N(M145)))</f>
        <v/>
      </c>
      <c r="R145" s="96">
        <f>IF(COUNTA(B145:C145,G145:H145,J145:K145)&gt;0,1,0)</f>
        <v>0</v>
      </c>
      <c r="S145" s="96" t="str">
        <f>IF(B145="","",TRIM(LEFT(B145,FIND(" |",B145&amp;" |")-1)))</f>
        <v/>
      </c>
      <c r="T145" s="96" t="str">
        <f>IF(S145="","",IFERROR(MATCH(S145,'MTRs'!$A$6:$A$505,0),""))</f>
        <v/>
      </c>
      <c r="U145" s="96">
        <f>IF(T145="",0,IF(INDEX('MTRs'!$Z$6:$Z$505,T145)=1,1,0))</f>
        <v>0</v>
      </c>
      <c r="V145" s="96">
        <f>IF(C145="",0,IF(ISNUMBER(MATCH(C145,'CAD_RESÍDUOS'!$B$6:$B$205,0)),1,0))</f>
        <v>0</v>
      </c>
      <c r="W145" s="96">
        <f>IF(AND(ISNUMBER(G145),G145&gt;0),1,0)</f>
        <v>0</v>
      </c>
      <c r="X145" s="96" t="str">
        <f>IF(H145="","",IFERROR(IF(ISNUMBER(INDEX(cfg_fac,MATCH(H145,cfg_units,0))),IF(INDEX(cfg_fac,MATCH(H145,cfg_units,0))&gt;0,INDEX(cfg_fac,MATCH(H145,cfg_units,0)),""),""),""))</f>
        <v/>
      </c>
      <c r="Y145" s="96">
        <f>IF(AND(W145=1,ISNUMBER(I145)),1,0)</f>
        <v>0</v>
      </c>
      <c r="Z145" s="96">
        <f>IF(U145=1,INDEX('MTRs'!$AA$6:$AA$505,T145),0)</f>
        <v>0</v>
      </c>
      <c r="AA145" s="96">
        <f>IF(R145=0,0,COUNTIFS('RECEBIMENTOS'!$R$6:$R$1005,A145,'RECEBIMENTOS'!$Q$6:$Q$1005,1))</f>
        <v>0</v>
      </c>
      <c r="AB145" s="96">
        <f>IF(R145=0,0,COUNTIFS('RECEBIMENTOS'!$R$6:$R$1005,A145,'RECEBIMENTOS'!$Z$6:$Z$1005,1))</f>
        <v>0</v>
      </c>
      <c r="AC145" s="96">
        <f>IF(R145=0,0,COUNTIFS('RECEBIMENTOS'!$R$6:$R$1005,A145,'RECEBIMENTOS'!$Y$6:$Y$1005,1))</f>
        <v>0</v>
      </c>
      <c r="AD145" s="96">
        <f>IF(R145=0,0,COUNTIFS('VÍNCULOS_CDF'!$R$6:$R$1005,A145,'VÍNCULOS_CDF'!$N$6:$N$1005,1))</f>
        <v>0</v>
      </c>
      <c r="AE145" s="96">
        <f>IF(R145=0,0,COUNTIFS('VÍNCULOS_CDF'!$R$6:$R$1005,A145,'VÍNCULOS_CDF'!$AA$6:$AA$1005,1))</f>
        <v>0</v>
      </c>
      <c r="AF145" s="96">
        <f>IF(R145=0,0,COUNTIFS('VÍNCULOS_CDF'!$R$6:$R$1005,A145,'VÍNCULOS_CDF'!$Y$6:$Y$1005,1))</f>
        <v>0</v>
      </c>
      <c r="AG145" s="96" t="str">
        <f>IF(AND(R145=1,S145&lt;&gt;"",C145&lt;&gt;""),S145&amp;"|"&amp;C145&amp;"|"&amp;G145&amp;"|"&amp;H145,"")</f>
        <v/>
      </c>
      <c r="AH145" s="96">
        <f>IF(AG145="",0,IF(SUMPRODUCT(--($AG$6:$AG$1005=AG145))&gt;1,1,0))</f>
        <v>0</v>
      </c>
      <c r="AI145" s="96">
        <f>IF(R145=0,0,IF(OR(U145=0,V145=0,Y145=0,AND(AH145=1,K145&lt;&gt;"Sim")),1,0))</f>
        <v>0</v>
      </c>
      <c r="AJ145" s="96">
        <f>IF(AND(R145=1,AA145&gt;0,AB145=AA145),1,0)</f>
        <v>0</v>
      </c>
      <c r="AK145" s="96">
        <f>IF(R145=0,0,IF(AA145&gt;0,N(L145),IF(ISNUMBER(I145),I145,0)))</f>
        <v>0</v>
      </c>
      <c r="AL145" s="96">
        <f>IF(R145=0,0,IF(AND(K145&lt;&gt;"Sim",N(M145)&gt;AK145+cfg_tol),1,0))</f>
        <v>0</v>
      </c>
      <c r="AM145" s="96">
        <f>IF(R145=0,0,IF(K145="Sim",0,IF(OR(AND(AA145&gt;0,ISNUMBER(I145),ABS(I145-N(L145))&gt;cfg_tol),AL145=1),1,0)))</f>
        <v>0</v>
      </c>
      <c r="AN145" s="96">
        <f>IF(AND(R145=1,N(M145)&gt;0,OR(N(M145)&gt;=AK145-cfg_tol,K145="Sim")),1,0)</f>
        <v>0</v>
      </c>
      <c r="AO145" s="96">
        <f>IF(AND(AN145=1,AD145&gt;0,AE145=AD145,AL145=0),1,0)</f>
        <v>0</v>
      </c>
      <c r="AP145" s="96">
        <f>IF(U145=0,0,IF(AND(INDEX('MTRs'!$AX$6:$AX$505,T145)=1,Z145=0,OR(f_res="",f_res="(Todos)",C145=f_res)),1,0))</f>
        <v>0</v>
      </c>
      <c r="AQ145" s="97" t="str">
        <f>IF(U145=0,"",INDEX('MTRs'!$AZ$6:$AZ$505,T145))</f>
        <v/>
      </c>
      <c r="AR145" s="96">
        <f>IF(U145=0,0,IF(AND(INDEX('MTRs'!$BA$6:$BA$505,T145)=1,Z145=0),1,0))</f>
        <v>0</v>
      </c>
      <c r="AS145" s="96" t="str">
        <f>IF(R145=1,A145&amp;" | MTR "&amp;IF(U145=1,INDEX('MTRs'!$B$6:$B$505,T145)&amp;"","?")&amp;" | "&amp;IF(C145="","(sem resíduo)",C145),"")</f>
        <v/>
      </c>
      <c r="AT145" s="96" t="str">
        <f>IF(R145=1,COUNTIF($R$6:R145,1),"")</f>
        <v/>
      </c>
      <c r="AU145" s="96" t="str">
        <f>IF(U145=1,INDEX('MTRs'!$I$6:$I$505,T145)&amp;"","")</f>
        <v/>
      </c>
    </row>
    <row r="146">
      <c r="A146" s="89" t="inlineStr">
        <is>
          <t>IT-000141</t>
        </is>
      </c>
      <c r="B146" s="91" t="n"/>
      <c r="C146" s="91" t="n"/>
      <c r="D146" s="94" t="str">
        <f>IF(OR(R146=0,V146=0),"",INDEX('CAD_RESÍDUOS'!$E$6:$E$205,MATCH(C146,'CAD_RESÍDUOS'!$B$6:$B$205,0))&amp;"")</f>
        <v/>
      </c>
      <c r="E146" s="94" t="str">
        <f>IF(OR(R146=0,V146=0),"",INDEX('CAD_RESÍDUOS'!$C$6:$C$205,MATCH(C146,'CAD_RESÍDUOS'!$B$6:$B$205,0))&amp;"")</f>
        <v/>
      </c>
      <c r="F146" s="94" t="str">
        <f>IF(OR(R146=0,V146=0),"",INDEX('CAD_RESÍDUOS'!$G$6:$G$205,MATCH(C146,'CAD_RESÍDUOS'!$B$6:$B$205,0))&amp;"")</f>
        <v/>
      </c>
      <c r="G146" s="98" t="n"/>
      <c r="H146" s="91" t="n"/>
      <c r="I146" s="93" t="str">
        <f>IF(R146=0,"",IF(NOT(ISNUMBER(G146)),"",IF(ISNUMBER(X146),G146*X146,"UNIDADE A CONFERIR")))</f>
        <v/>
      </c>
      <c r="J146" s="91" t="n"/>
      <c r="K146" s="91" t="n"/>
      <c r="L146" s="93" t="str">
        <f>IF(R146=0,"",SUMIFS('RECEBIMENTOS'!$H$6:$H$1005,'RECEBIMENTOS'!$R$6:$R$1005,A146,'RECEBIMENTOS'!$X$6:$X$1005,1))</f>
        <v/>
      </c>
      <c r="M146" s="93" t="str">
        <f>IF(R146=0,"",SUMIFS('VÍNCULOS_CDF'!$H$6:$H$1005,'VÍNCULOS_CDF'!$R$6:$R$1005,A146,'VÍNCULOS_CDF'!$V$6:$V$1005,1))</f>
        <v/>
      </c>
      <c r="N146" s="99" t="str">
        <f>IF(OR(R146=0,AA146=0,NOT(ISNUMBER(I146))),"",I146-N(L146))</f>
        <v/>
      </c>
      <c r="O146" s="100" t="str">
        <f>IF(OR(R146=0,AK146&lt;=0),"",N(M146)/AK146)</f>
        <v/>
      </c>
      <c r="P146" s="94" t="str">
        <f>IF(R146=0,"",IF(S146="","Sem MTR associado",IF(U146=0,"MTR inexistente",IF(C146="","Resíduo não identificado",IF(V146=0,"Resíduo fora do cadastro",IF(W146=0,"Quantidade inválida",IF(H146="","Unidade não informada",IF(NOT(ISNUMBER(I146)),"Unidade a conferir",IF(AND(AH146=1,K146&lt;&gt;"Sim"),"Possível duplicidade",IF(Z146=1,"MTR cancelado",IF(AC146&gt;0,"Recebimento com alerta",IF(AA146=0,"Aguardando recebimento",IF(AB146&lt;AA146,"Recebimento a conferir",IF(AM146=1,"Quantidade a revisar",IF(AF146&gt;0,"Vínculo a revisar",IF(AD146=0,"Aguardando CDF",IF(AN146=0,"Vínculo de CDF parcial",IF(AE146&lt;AD146,"CDF a conferir","Documentação conferida"))))))))))))))))))</f>
        <v/>
      </c>
      <c r="Q146" s="93" t="str">
        <f>IF(OR(R146=0,AA146=0),"",MAX(0,N(L146)-N(M146)))</f>
        <v/>
      </c>
      <c r="R146" s="96">
        <f>IF(COUNTA(B146:C146,G146:H146,J146:K146)&gt;0,1,0)</f>
        <v>0</v>
      </c>
      <c r="S146" s="96" t="str">
        <f>IF(B146="","",TRIM(LEFT(B146,FIND(" |",B146&amp;" |")-1)))</f>
        <v/>
      </c>
      <c r="T146" s="96" t="str">
        <f>IF(S146="","",IFERROR(MATCH(S146,'MTRs'!$A$6:$A$505,0),""))</f>
        <v/>
      </c>
      <c r="U146" s="96">
        <f>IF(T146="",0,IF(INDEX('MTRs'!$Z$6:$Z$505,T146)=1,1,0))</f>
        <v>0</v>
      </c>
      <c r="V146" s="96">
        <f>IF(C146="",0,IF(ISNUMBER(MATCH(C146,'CAD_RESÍDUOS'!$B$6:$B$205,0)),1,0))</f>
        <v>0</v>
      </c>
      <c r="W146" s="96">
        <f>IF(AND(ISNUMBER(G146),G146&gt;0),1,0)</f>
        <v>0</v>
      </c>
      <c r="X146" s="96" t="str">
        <f>IF(H146="","",IFERROR(IF(ISNUMBER(INDEX(cfg_fac,MATCH(H146,cfg_units,0))),IF(INDEX(cfg_fac,MATCH(H146,cfg_units,0))&gt;0,INDEX(cfg_fac,MATCH(H146,cfg_units,0)),""),""),""))</f>
        <v/>
      </c>
      <c r="Y146" s="96">
        <f>IF(AND(W146=1,ISNUMBER(I146)),1,0)</f>
        <v>0</v>
      </c>
      <c r="Z146" s="96">
        <f>IF(U146=1,INDEX('MTRs'!$AA$6:$AA$505,T146),0)</f>
        <v>0</v>
      </c>
      <c r="AA146" s="96">
        <f>IF(R146=0,0,COUNTIFS('RECEBIMENTOS'!$R$6:$R$1005,A146,'RECEBIMENTOS'!$Q$6:$Q$1005,1))</f>
        <v>0</v>
      </c>
      <c r="AB146" s="96">
        <f>IF(R146=0,0,COUNTIFS('RECEBIMENTOS'!$R$6:$R$1005,A146,'RECEBIMENTOS'!$Z$6:$Z$1005,1))</f>
        <v>0</v>
      </c>
      <c r="AC146" s="96">
        <f>IF(R146=0,0,COUNTIFS('RECEBIMENTOS'!$R$6:$R$1005,A146,'RECEBIMENTOS'!$Y$6:$Y$1005,1))</f>
        <v>0</v>
      </c>
      <c r="AD146" s="96">
        <f>IF(R146=0,0,COUNTIFS('VÍNCULOS_CDF'!$R$6:$R$1005,A146,'VÍNCULOS_CDF'!$N$6:$N$1005,1))</f>
        <v>0</v>
      </c>
      <c r="AE146" s="96">
        <f>IF(R146=0,0,COUNTIFS('VÍNCULOS_CDF'!$R$6:$R$1005,A146,'VÍNCULOS_CDF'!$AA$6:$AA$1005,1))</f>
        <v>0</v>
      </c>
      <c r="AF146" s="96">
        <f>IF(R146=0,0,COUNTIFS('VÍNCULOS_CDF'!$R$6:$R$1005,A146,'VÍNCULOS_CDF'!$Y$6:$Y$1005,1))</f>
        <v>0</v>
      </c>
      <c r="AG146" s="96" t="str">
        <f>IF(AND(R146=1,S146&lt;&gt;"",C146&lt;&gt;""),S146&amp;"|"&amp;C146&amp;"|"&amp;G146&amp;"|"&amp;H146,"")</f>
        <v/>
      </c>
      <c r="AH146" s="96">
        <f>IF(AG146="",0,IF(SUMPRODUCT(--($AG$6:$AG$1005=AG146))&gt;1,1,0))</f>
        <v>0</v>
      </c>
      <c r="AI146" s="96">
        <f>IF(R146=0,0,IF(OR(U146=0,V146=0,Y146=0,AND(AH146=1,K146&lt;&gt;"Sim")),1,0))</f>
        <v>0</v>
      </c>
      <c r="AJ146" s="96">
        <f>IF(AND(R146=1,AA146&gt;0,AB146=AA146),1,0)</f>
        <v>0</v>
      </c>
      <c r="AK146" s="96">
        <f>IF(R146=0,0,IF(AA146&gt;0,N(L146),IF(ISNUMBER(I146),I146,0)))</f>
        <v>0</v>
      </c>
      <c r="AL146" s="96">
        <f>IF(R146=0,0,IF(AND(K146&lt;&gt;"Sim",N(M146)&gt;AK146+cfg_tol),1,0))</f>
        <v>0</v>
      </c>
      <c r="AM146" s="96">
        <f>IF(R146=0,0,IF(K146="Sim",0,IF(OR(AND(AA146&gt;0,ISNUMBER(I146),ABS(I146-N(L146))&gt;cfg_tol),AL146=1),1,0)))</f>
        <v>0</v>
      </c>
      <c r="AN146" s="96">
        <f>IF(AND(R146=1,N(M146)&gt;0,OR(N(M146)&gt;=AK146-cfg_tol,K146="Sim")),1,0)</f>
        <v>0</v>
      </c>
      <c r="AO146" s="96">
        <f>IF(AND(AN146=1,AD146&gt;0,AE146=AD146,AL146=0),1,0)</f>
        <v>0</v>
      </c>
      <c r="AP146" s="96">
        <f>IF(U146=0,0,IF(AND(INDEX('MTRs'!$AX$6:$AX$505,T146)=1,Z146=0,OR(f_res="",f_res="(Todos)",C146=f_res)),1,0))</f>
        <v>0</v>
      </c>
      <c r="AQ146" s="97" t="str">
        <f>IF(U146=0,"",INDEX('MTRs'!$AZ$6:$AZ$505,T146))</f>
        <v/>
      </c>
      <c r="AR146" s="96">
        <f>IF(U146=0,0,IF(AND(INDEX('MTRs'!$BA$6:$BA$505,T146)=1,Z146=0),1,0))</f>
        <v>0</v>
      </c>
      <c r="AS146" s="96" t="str">
        <f>IF(R146=1,A146&amp;" | MTR "&amp;IF(U146=1,INDEX('MTRs'!$B$6:$B$505,T146)&amp;"","?")&amp;" | "&amp;IF(C146="","(sem resíduo)",C146),"")</f>
        <v/>
      </c>
      <c r="AT146" s="96" t="str">
        <f>IF(R146=1,COUNTIF($R$6:R146,1),"")</f>
        <v/>
      </c>
      <c r="AU146" s="96" t="str">
        <f>IF(U146=1,INDEX('MTRs'!$I$6:$I$505,T146)&amp;"","")</f>
        <v/>
      </c>
    </row>
    <row r="147">
      <c r="A147" s="89" t="inlineStr">
        <is>
          <t>IT-000142</t>
        </is>
      </c>
      <c r="B147" s="91" t="n"/>
      <c r="C147" s="91" t="n"/>
      <c r="D147" s="94" t="str">
        <f>IF(OR(R147=0,V147=0),"",INDEX('CAD_RESÍDUOS'!$E$6:$E$205,MATCH(C147,'CAD_RESÍDUOS'!$B$6:$B$205,0))&amp;"")</f>
        <v/>
      </c>
      <c r="E147" s="94" t="str">
        <f>IF(OR(R147=0,V147=0),"",INDEX('CAD_RESÍDUOS'!$C$6:$C$205,MATCH(C147,'CAD_RESÍDUOS'!$B$6:$B$205,0))&amp;"")</f>
        <v/>
      </c>
      <c r="F147" s="94" t="str">
        <f>IF(OR(R147=0,V147=0),"",INDEX('CAD_RESÍDUOS'!$G$6:$G$205,MATCH(C147,'CAD_RESÍDUOS'!$B$6:$B$205,0))&amp;"")</f>
        <v/>
      </c>
      <c r="G147" s="98" t="n"/>
      <c r="H147" s="91" t="n"/>
      <c r="I147" s="93" t="str">
        <f>IF(R147=0,"",IF(NOT(ISNUMBER(G147)),"",IF(ISNUMBER(X147),G147*X147,"UNIDADE A CONFERIR")))</f>
        <v/>
      </c>
      <c r="J147" s="91" t="n"/>
      <c r="K147" s="91" t="n"/>
      <c r="L147" s="93" t="str">
        <f>IF(R147=0,"",SUMIFS('RECEBIMENTOS'!$H$6:$H$1005,'RECEBIMENTOS'!$R$6:$R$1005,A147,'RECEBIMENTOS'!$X$6:$X$1005,1))</f>
        <v/>
      </c>
      <c r="M147" s="93" t="str">
        <f>IF(R147=0,"",SUMIFS('VÍNCULOS_CDF'!$H$6:$H$1005,'VÍNCULOS_CDF'!$R$6:$R$1005,A147,'VÍNCULOS_CDF'!$V$6:$V$1005,1))</f>
        <v/>
      </c>
      <c r="N147" s="99" t="str">
        <f>IF(OR(R147=0,AA147=0,NOT(ISNUMBER(I147))),"",I147-N(L147))</f>
        <v/>
      </c>
      <c r="O147" s="100" t="str">
        <f>IF(OR(R147=0,AK147&lt;=0),"",N(M147)/AK147)</f>
        <v/>
      </c>
      <c r="P147" s="94" t="str">
        <f>IF(R147=0,"",IF(S147="","Sem MTR associado",IF(U147=0,"MTR inexistente",IF(C147="","Resíduo não identificado",IF(V147=0,"Resíduo fora do cadastro",IF(W147=0,"Quantidade inválida",IF(H147="","Unidade não informada",IF(NOT(ISNUMBER(I147)),"Unidade a conferir",IF(AND(AH147=1,K147&lt;&gt;"Sim"),"Possível duplicidade",IF(Z147=1,"MTR cancelado",IF(AC147&gt;0,"Recebimento com alerta",IF(AA147=0,"Aguardando recebimento",IF(AB147&lt;AA147,"Recebimento a conferir",IF(AM147=1,"Quantidade a revisar",IF(AF147&gt;0,"Vínculo a revisar",IF(AD147=0,"Aguardando CDF",IF(AN147=0,"Vínculo de CDF parcial",IF(AE147&lt;AD147,"CDF a conferir","Documentação conferida"))))))))))))))))))</f>
        <v/>
      </c>
      <c r="Q147" s="93" t="str">
        <f>IF(OR(R147=0,AA147=0),"",MAX(0,N(L147)-N(M147)))</f>
        <v/>
      </c>
      <c r="R147" s="96">
        <f>IF(COUNTA(B147:C147,G147:H147,J147:K147)&gt;0,1,0)</f>
        <v>0</v>
      </c>
      <c r="S147" s="96" t="str">
        <f>IF(B147="","",TRIM(LEFT(B147,FIND(" |",B147&amp;" |")-1)))</f>
        <v/>
      </c>
      <c r="T147" s="96" t="str">
        <f>IF(S147="","",IFERROR(MATCH(S147,'MTRs'!$A$6:$A$505,0),""))</f>
        <v/>
      </c>
      <c r="U147" s="96">
        <f>IF(T147="",0,IF(INDEX('MTRs'!$Z$6:$Z$505,T147)=1,1,0))</f>
        <v>0</v>
      </c>
      <c r="V147" s="96">
        <f>IF(C147="",0,IF(ISNUMBER(MATCH(C147,'CAD_RESÍDUOS'!$B$6:$B$205,0)),1,0))</f>
        <v>0</v>
      </c>
      <c r="W147" s="96">
        <f>IF(AND(ISNUMBER(G147),G147&gt;0),1,0)</f>
        <v>0</v>
      </c>
      <c r="X147" s="96" t="str">
        <f>IF(H147="","",IFERROR(IF(ISNUMBER(INDEX(cfg_fac,MATCH(H147,cfg_units,0))),IF(INDEX(cfg_fac,MATCH(H147,cfg_units,0))&gt;0,INDEX(cfg_fac,MATCH(H147,cfg_units,0)),""),""),""))</f>
        <v/>
      </c>
      <c r="Y147" s="96">
        <f>IF(AND(W147=1,ISNUMBER(I147)),1,0)</f>
        <v>0</v>
      </c>
      <c r="Z147" s="96">
        <f>IF(U147=1,INDEX('MTRs'!$AA$6:$AA$505,T147),0)</f>
        <v>0</v>
      </c>
      <c r="AA147" s="96">
        <f>IF(R147=0,0,COUNTIFS('RECEBIMENTOS'!$R$6:$R$1005,A147,'RECEBIMENTOS'!$Q$6:$Q$1005,1))</f>
        <v>0</v>
      </c>
      <c r="AB147" s="96">
        <f>IF(R147=0,0,COUNTIFS('RECEBIMENTOS'!$R$6:$R$1005,A147,'RECEBIMENTOS'!$Z$6:$Z$1005,1))</f>
        <v>0</v>
      </c>
      <c r="AC147" s="96">
        <f>IF(R147=0,0,COUNTIFS('RECEBIMENTOS'!$R$6:$R$1005,A147,'RECEBIMENTOS'!$Y$6:$Y$1005,1))</f>
        <v>0</v>
      </c>
      <c r="AD147" s="96">
        <f>IF(R147=0,0,COUNTIFS('VÍNCULOS_CDF'!$R$6:$R$1005,A147,'VÍNCULOS_CDF'!$N$6:$N$1005,1))</f>
        <v>0</v>
      </c>
      <c r="AE147" s="96">
        <f>IF(R147=0,0,COUNTIFS('VÍNCULOS_CDF'!$R$6:$R$1005,A147,'VÍNCULOS_CDF'!$AA$6:$AA$1005,1))</f>
        <v>0</v>
      </c>
      <c r="AF147" s="96">
        <f>IF(R147=0,0,COUNTIFS('VÍNCULOS_CDF'!$R$6:$R$1005,A147,'VÍNCULOS_CDF'!$Y$6:$Y$1005,1))</f>
        <v>0</v>
      </c>
      <c r="AG147" s="96" t="str">
        <f>IF(AND(R147=1,S147&lt;&gt;"",C147&lt;&gt;""),S147&amp;"|"&amp;C147&amp;"|"&amp;G147&amp;"|"&amp;H147,"")</f>
        <v/>
      </c>
      <c r="AH147" s="96">
        <f>IF(AG147="",0,IF(SUMPRODUCT(--($AG$6:$AG$1005=AG147))&gt;1,1,0))</f>
        <v>0</v>
      </c>
      <c r="AI147" s="96">
        <f>IF(R147=0,0,IF(OR(U147=0,V147=0,Y147=0,AND(AH147=1,K147&lt;&gt;"Sim")),1,0))</f>
        <v>0</v>
      </c>
      <c r="AJ147" s="96">
        <f>IF(AND(R147=1,AA147&gt;0,AB147=AA147),1,0)</f>
        <v>0</v>
      </c>
      <c r="AK147" s="96">
        <f>IF(R147=0,0,IF(AA147&gt;0,N(L147),IF(ISNUMBER(I147),I147,0)))</f>
        <v>0</v>
      </c>
      <c r="AL147" s="96">
        <f>IF(R147=0,0,IF(AND(K147&lt;&gt;"Sim",N(M147)&gt;AK147+cfg_tol),1,0))</f>
        <v>0</v>
      </c>
      <c r="AM147" s="96">
        <f>IF(R147=0,0,IF(K147="Sim",0,IF(OR(AND(AA147&gt;0,ISNUMBER(I147),ABS(I147-N(L147))&gt;cfg_tol),AL147=1),1,0)))</f>
        <v>0</v>
      </c>
      <c r="AN147" s="96">
        <f>IF(AND(R147=1,N(M147)&gt;0,OR(N(M147)&gt;=AK147-cfg_tol,K147="Sim")),1,0)</f>
        <v>0</v>
      </c>
      <c r="AO147" s="96">
        <f>IF(AND(AN147=1,AD147&gt;0,AE147=AD147,AL147=0),1,0)</f>
        <v>0</v>
      </c>
      <c r="AP147" s="96">
        <f>IF(U147=0,0,IF(AND(INDEX('MTRs'!$AX$6:$AX$505,T147)=1,Z147=0,OR(f_res="",f_res="(Todos)",C147=f_res)),1,0))</f>
        <v>0</v>
      </c>
      <c r="AQ147" s="97" t="str">
        <f>IF(U147=0,"",INDEX('MTRs'!$AZ$6:$AZ$505,T147))</f>
        <v/>
      </c>
      <c r="AR147" s="96">
        <f>IF(U147=0,0,IF(AND(INDEX('MTRs'!$BA$6:$BA$505,T147)=1,Z147=0),1,0))</f>
        <v>0</v>
      </c>
      <c r="AS147" s="96" t="str">
        <f>IF(R147=1,A147&amp;" | MTR "&amp;IF(U147=1,INDEX('MTRs'!$B$6:$B$505,T147)&amp;"","?")&amp;" | "&amp;IF(C147="","(sem resíduo)",C147),"")</f>
        <v/>
      </c>
      <c r="AT147" s="96" t="str">
        <f>IF(R147=1,COUNTIF($R$6:R147,1),"")</f>
        <v/>
      </c>
      <c r="AU147" s="96" t="str">
        <f>IF(U147=1,INDEX('MTRs'!$I$6:$I$505,T147)&amp;"","")</f>
        <v/>
      </c>
    </row>
    <row r="148">
      <c r="A148" s="89" t="inlineStr">
        <is>
          <t>IT-000143</t>
        </is>
      </c>
      <c r="B148" s="91" t="n"/>
      <c r="C148" s="91" t="n"/>
      <c r="D148" s="94" t="str">
        <f>IF(OR(R148=0,V148=0),"",INDEX('CAD_RESÍDUOS'!$E$6:$E$205,MATCH(C148,'CAD_RESÍDUOS'!$B$6:$B$205,0))&amp;"")</f>
        <v/>
      </c>
      <c r="E148" s="94" t="str">
        <f>IF(OR(R148=0,V148=0),"",INDEX('CAD_RESÍDUOS'!$C$6:$C$205,MATCH(C148,'CAD_RESÍDUOS'!$B$6:$B$205,0))&amp;"")</f>
        <v/>
      </c>
      <c r="F148" s="94" t="str">
        <f>IF(OR(R148=0,V148=0),"",INDEX('CAD_RESÍDUOS'!$G$6:$G$205,MATCH(C148,'CAD_RESÍDUOS'!$B$6:$B$205,0))&amp;"")</f>
        <v/>
      </c>
      <c r="G148" s="98" t="n"/>
      <c r="H148" s="91" t="n"/>
      <c r="I148" s="93" t="str">
        <f>IF(R148=0,"",IF(NOT(ISNUMBER(G148)),"",IF(ISNUMBER(X148),G148*X148,"UNIDADE A CONFERIR")))</f>
        <v/>
      </c>
      <c r="J148" s="91" t="n"/>
      <c r="K148" s="91" t="n"/>
      <c r="L148" s="93" t="str">
        <f>IF(R148=0,"",SUMIFS('RECEBIMENTOS'!$H$6:$H$1005,'RECEBIMENTOS'!$R$6:$R$1005,A148,'RECEBIMENTOS'!$X$6:$X$1005,1))</f>
        <v/>
      </c>
      <c r="M148" s="93" t="str">
        <f>IF(R148=0,"",SUMIFS('VÍNCULOS_CDF'!$H$6:$H$1005,'VÍNCULOS_CDF'!$R$6:$R$1005,A148,'VÍNCULOS_CDF'!$V$6:$V$1005,1))</f>
        <v/>
      </c>
      <c r="N148" s="99" t="str">
        <f>IF(OR(R148=0,AA148=0,NOT(ISNUMBER(I148))),"",I148-N(L148))</f>
        <v/>
      </c>
      <c r="O148" s="100" t="str">
        <f>IF(OR(R148=0,AK148&lt;=0),"",N(M148)/AK148)</f>
        <v/>
      </c>
      <c r="P148" s="94" t="str">
        <f>IF(R148=0,"",IF(S148="","Sem MTR associado",IF(U148=0,"MTR inexistente",IF(C148="","Resíduo não identificado",IF(V148=0,"Resíduo fora do cadastro",IF(W148=0,"Quantidade inválida",IF(H148="","Unidade não informada",IF(NOT(ISNUMBER(I148)),"Unidade a conferir",IF(AND(AH148=1,K148&lt;&gt;"Sim"),"Possível duplicidade",IF(Z148=1,"MTR cancelado",IF(AC148&gt;0,"Recebimento com alerta",IF(AA148=0,"Aguardando recebimento",IF(AB148&lt;AA148,"Recebimento a conferir",IF(AM148=1,"Quantidade a revisar",IF(AF148&gt;0,"Vínculo a revisar",IF(AD148=0,"Aguardando CDF",IF(AN148=0,"Vínculo de CDF parcial",IF(AE148&lt;AD148,"CDF a conferir","Documentação conferida"))))))))))))))))))</f>
        <v/>
      </c>
      <c r="Q148" s="93" t="str">
        <f>IF(OR(R148=0,AA148=0),"",MAX(0,N(L148)-N(M148)))</f>
        <v/>
      </c>
      <c r="R148" s="96">
        <f>IF(COUNTA(B148:C148,G148:H148,J148:K148)&gt;0,1,0)</f>
        <v>0</v>
      </c>
      <c r="S148" s="96" t="str">
        <f>IF(B148="","",TRIM(LEFT(B148,FIND(" |",B148&amp;" |")-1)))</f>
        <v/>
      </c>
      <c r="T148" s="96" t="str">
        <f>IF(S148="","",IFERROR(MATCH(S148,'MTRs'!$A$6:$A$505,0),""))</f>
        <v/>
      </c>
      <c r="U148" s="96">
        <f>IF(T148="",0,IF(INDEX('MTRs'!$Z$6:$Z$505,T148)=1,1,0))</f>
        <v>0</v>
      </c>
      <c r="V148" s="96">
        <f>IF(C148="",0,IF(ISNUMBER(MATCH(C148,'CAD_RESÍDUOS'!$B$6:$B$205,0)),1,0))</f>
        <v>0</v>
      </c>
      <c r="W148" s="96">
        <f>IF(AND(ISNUMBER(G148),G148&gt;0),1,0)</f>
        <v>0</v>
      </c>
      <c r="X148" s="96" t="str">
        <f>IF(H148="","",IFERROR(IF(ISNUMBER(INDEX(cfg_fac,MATCH(H148,cfg_units,0))),IF(INDEX(cfg_fac,MATCH(H148,cfg_units,0))&gt;0,INDEX(cfg_fac,MATCH(H148,cfg_units,0)),""),""),""))</f>
        <v/>
      </c>
      <c r="Y148" s="96">
        <f>IF(AND(W148=1,ISNUMBER(I148)),1,0)</f>
        <v>0</v>
      </c>
      <c r="Z148" s="96">
        <f>IF(U148=1,INDEX('MTRs'!$AA$6:$AA$505,T148),0)</f>
        <v>0</v>
      </c>
      <c r="AA148" s="96">
        <f>IF(R148=0,0,COUNTIFS('RECEBIMENTOS'!$R$6:$R$1005,A148,'RECEBIMENTOS'!$Q$6:$Q$1005,1))</f>
        <v>0</v>
      </c>
      <c r="AB148" s="96">
        <f>IF(R148=0,0,COUNTIFS('RECEBIMENTOS'!$R$6:$R$1005,A148,'RECEBIMENTOS'!$Z$6:$Z$1005,1))</f>
        <v>0</v>
      </c>
      <c r="AC148" s="96">
        <f>IF(R148=0,0,COUNTIFS('RECEBIMENTOS'!$R$6:$R$1005,A148,'RECEBIMENTOS'!$Y$6:$Y$1005,1))</f>
        <v>0</v>
      </c>
      <c r="AD148" s="96">
        <f>IF(R148=0,0,COUNTIFS('VÍNCULOS_CDF'!$R$6:$R$1005,A148,'VÍNCULOS_CDF'!$N$6:$N$1005,1))</f>
        <v>0</v>
      </c>
      <c r="AE148" s="96">
        <f>IF(R148=0,0,COUNTIFS('VÍNCULOS_CDF'!$R$6:$R$1005,A148,'VÍNCULOS_CDF'!$AA$6:$AA$1005,1))</f>
        <v>0</v>
      </c>
      <c r="AF148" s="96">
        <f>IF(R148=0,0,COUNTIFS('VÍNCULOS_CDF'!$R$6:$R$1005,A148,'VÍNCULOS_CDF'!$Y$6:$Y$1005,1))</f>
        <v>0</v>
      </c>
      <c r="AG148" s="96" t="str">
        <f>IF(AND(R148=1,S148&lt;&gt;"",C148&lt;&gt;""),S148&amp;"|"&amp;C148&amp;"|"&amp;G148&amp;"|"&amp;H148,"")</f>
        <v/>
      </c>
      <c r="AH148" s="96">
        <f>IF(AG148="",0,IF(SUMPRODUCT(--($AG$6:$AG$1005=AG148))&gt;1,1,0))</f>
        <v>0</v>
      </c>
      <c r="AI148" s="96">
        <f>IF(R148=0,0,IF(OR(U148=0,V148=0,Y148=0,AND(AH148=1,K148&lt;&gt;"Sim")),1,0))</f>
        <v>0</v>
      </c>
      <c r="AJ148" s="96">
        <f>IF(AND(R148=1,AA148&gt;0,AB148=AA148),1,0)</f>
        <v>0</v>
      </c>
      <c r="AK148" s="96">
        <f>IF(R148=0,0,IF(AA148&gt;0,N(L148),IF(ISNUMBER(I148),I148,0)))</f>
        <v>0</v>
      </c>
      <c r="AL148" s="96">
        <f>IF(R148=0,0,IF(AND(K148&lt;&gt;"Sim",N(M148)&gt;AK148+cfg_tol),1,0))</f>
        <v>0</v>
      </c>
      <c r="AM148" s="96">
        <f>IF(R148=0,0,IF(K148="Sim",0,IF(OR(AND(AA148&gt;0,ISNUMBER(I148),ABS(I148-N(L148))&gt;cfg_tol),AL148=1),1,0)))</f>
        <v>0</v>
      </c>
      <c r="AN148" s="96">
        <f>IF(AND(R148=1,N(M148)&gt;0,OR(N(M148)&gt;=AK148-cfg_tol,K148="Sim")),1,0)</f>
        <v>0</v>
      </c>
      <c r="AO148" s="96">
        <f>IF(AND(AN148=1,AD148&gt;0,AE148=AD148,AL148=0),1,0)</f>
        <v>0</v>
      </c>
      <c r="AP148" s="96">
        <f>IF(U148=0,0,IF(AND(INDEX('MTRs'!$AX$6:$AX$505,T148)=1,Z148=0,OR(f_res="",f_res="(Todos)",C148=f_res)),1,0))</f>
        <v>0</v>
      </c>
      <c r="AQ148" s="97" t="str">
        <f>IF(U148=0,"",INDEX('MTRs'!$AZ$6:$AZ$505,T148))</f>
        <v/>
      </c>
      <c r="AR148" s="96">
        <f>IF(U148=0,0,IF(AND(INDEX('MTRs'!$BA$6:$BA$505,T148)=1,Z148=0),1,0))</f>
        <v>0</v>
      </c>
      <c r="AS148" s="96" t="str">
        <f>IF(R148=1,A148&amp;" | MTR "&amp;IF(U148=1,INDEX('MTRs'!$B$6:$B$505,T148)&amp;"","?")&amp;" | "&amp;IF(C148="","(sem resíduo)",C148),"")</f>
        <v/>
      </c>
      <c r="AT148" s="96" t="str">
        <f>IF(R148=1,COUNTIF($R$6:R148,1),"")</f>
        <v/>
      </c>
      <c r="AU148" s="96" t="str">
        <f>IF(U148=1,INDEX('MTRs'!$I$6:$I$505,T148)&amp;"","")</f>
        <v/>
      </c>
    </row>
    <row r="149">
      <c r="A149" s="89" t="inlineStr">
        <is>
          <t>IT-000144</t>
        </is>
      </c>
      <c r="B149" s="91" t="n"/>
      <c r="C149" s="91" t="n"/>
      <c r="D149" s="94" t="str">
        <f>IF(OR(R149=0,V149=0),"",INDEX('CAD_RESÍDUOS'!$E$6:$E$205,MATCH(C149,'CAD_RESÍDUOS'!$B$6:$B$205,0))&amp;"")</f>
        <v/>
      </c>
      <c r="E149" s="94" t="str">
        <f>IF(OR(R149=0,V149=0),"",INDEX('CAD_RESÍDUOS'!$C$6:$C$205,MATCH(C149,'CAD_RESÍDUOS'!$B$6:$B$205,0))&amp;"")</f>
        <v/>
      </c>
      <c r="F149" s="94" t="str">
        <f>IF(OR(R149=0,V149=0),"",INDEX('CAD_RESÍDUOS'!$G$6:$G$205,MATCH(C149,'CAD_RESÍDUOS'!$B$6:$B$205,0))&amp;"")</f>
        <v/>
      </c>
      <c r="G149" s="98" t="n"/>
      <c r="H149" s="91" t="n"/>
      <c r="I149" s="93" t="str">
        <f>IF(R149=0,"",IF(NOT(ISNUMBER(G149)),"",IF(ISNUMBER(X149),G149*X149,"UNIDADE A CONFERIR")))</f>
        <v/>
      </c>
      <c r="J149" s="91" t="n"/>
      <c r="K149" s="91" t="n"/>
      <c r="L149" s="93" t="str">
        <f>IF(R149=0,"",SUMIFS('RECEBIMENTOS'!$H$6:$H$1005,'RECEBIMENTOS'!$R$6:$R$1005,A149,'RECEBIMENTOS'!$X$6:$X$1005,1))</f>
        <v/>
      </c>
      <c r="M149" s="93" t="str">
        <f>IF(R149=0,"",SUMIFS('VÍNCULOS_CDF'!$H$6:$H$1005,'VÍNCULOS_CDF'!$R$6:$R$1005,A149,'VÍNCULOS_CDF'!$V$6:$V$1005,1))</f>
        <v/>
      </c>
      <c r="N149" s="99" t="str">
        <f>IF(OR(R149=0,AA149=0,NOT(ISNUMBER(I149))),"",I149-N(L149))</f>
        <v/>
      </c>
      <c r="O149" s="100" t="str">
        <f>IF(OR(R149=0,AK149&lt;=0),"",N(M149)/AK149)</f>
        <v/>
      </c>
      <c r="P149" s="94" t="str">
        <f>IF(R149=0,"",IF(S149="","Sem MTR associado",IF(U149=0,"MTR inexistente",IF(C149="","Resíduo não identificado",IF(V149=0,"Resíduo fora do cadastro",IF(W149=0,"Quantidade inválida",IF(H149="","Unidade não informada",IF(NOT(ISNUMBER(I149)),"Unidade a conferir",IF(AND(AH149=1,K149&lt;&gt;"Sim"),"Possível duplicidade",IF(Z149=1,"MTR cancelado",IF(AC149&gt;0,"Recebimento com alerta",IF(AA149=0,"Aguardando recebimento",IF(AB149&lt;AA149,"Recebimento a conferir",IF(AM149=1,"Quantidade a revisar",IF(AF149&gt;0,"Vínculo a revisar",IF(AD149=0,"Aguardando CDF",IF(AN149=0,"Vínculo de CDF parcial",IF(AE149&lt;AD149,"CDF a conferir","Documentação conferida"))))))))))))))))))</f>
        <v/>
      </c>
      <c r="Q149" s="93" t="str">
        <f>IF(OR(R149=0,AA149=0),"",MAX(0,N(L149)-N(M149)))</f>
        <v/>
      </c>
      <c r="R149" s="96">
        <f>IF(COUNTA(B149:C149,G149:H149,J149:K149)&gt;0,1,0)</f>
        <v>0</v>
      </c>
      <c r="S149" s="96" t="str">
        <f>IF(B149="","",TRIM(LEFT(B149,FIND(" |",B149&amp;" |")-1)))</f>
        <v/>
      </c>
      <c r="T149" s="96" t="str">
        <f>IF(S149="","",IFERROR(MATCH(S149,'MTRs'!$A$6:$A$505,0),""))</f>
        <v/>
      </c>
      <c r="U149" s="96">
        <f>IF(T149="",0,IF(INDEX('MTRs'!$Z$6:$Z$505,T149)=1,1,0))</f>
        <v>0</v>
      </c>
      <c r="V149" s="96">
        <f>IF(C149="",0,IF(ISNUMBER(MATCH(C149,'CAD_RESÍDUOS'!$B$6:$B$205,0)),1,0))</f>
        <v>0</v>
      </c>
      <c r="W149" s="96">
        <f>IF(AND(ISNUMBER(G149),G149&gt;0),1,0)</f>
        <v>0</v>
      </c>
      <c r="X149" s="96" t="str">
        <f>IF(H149="","",IFERROR(IF(ISNUMBER(INDEX(cfg_fac,MATCH(H149,cfg_units,0))),IF(INDEX(cfg_fac,MATCH(H149,cfg_units,0))&gt;0,INDEX(cfg_fac,MATCH(H149,cfg_units,0)),""),""),""))</f>
        <v/>
      </c>
      <c r="Y149" s="96">
        <f>IF(AND(W149=1,ISNUMBER(I149)),1,0)</f>
        <v>0</v>
      </c>
      <c r="Z149" s="96">
        <f>IF(U149=1,INDEX('MTRs'!$AA$6:$AA$505,T149),0)</f>
        <v>0</v>
      </c>
      <c r="AA149" s="96">
        <f>IF(R149=0,0,COUNTIFS('RECEBIMENTOS'!$R$6:$R$1005,A149,'RECEBIMENTOS'!$Q$6:$Q$1005,1))</f>
        <v>0</v>
      </c>
      <c r="AB149" s="96">
        <f>IF(R149=0,0,COUNTIFS('RECEBIMENTOS'!$R$6:$R$1005,A149,'RECEBIMENTOS'!$Z$6:$Z$1005,1))</f>
        <v>0</v>
      </c>
      <c r="AC149" s="96">
        <f>IF(R149=0,0,COUNTIFS('RECEBIMENTOS'!$R$6:$R$1005,A149,'RECEBIMENTOS'!$Y$6:$Y$1005,1))</f>
        <v>0</v>
      </c>
      <c r="AD149" s="96">
        <f>IF(R149=0,0,COUNTIFS('VÍNCULOS_CDF'!$R$6:$R$1005,A149,'VÍNCULOS_CDF'!$N$6:$N$1005,1))</f>
        <v>0</v>
      </c>
      <c r="AE149" s="96">
        <f>IF(R149=0,0,COUNTIFS('VÍNCULOS_CDF'!$R$6:$R$1005,A149,'VÍNCULOS_CDF'!$AA$6:$AA$1005,1))</f>
        <v>0</v>
      </c>
      <c r="AF149" s="96">
        <f>IF(R149=0,0,COUNTIFS('VÍNCULOS_CDF'!$R$6:$R$1005,A149,'VÍNCULOS_CDF'!$Y$6:$Y$1005,1))</f>
        <v>0</v>
      </c>
      <c r="AG149" s="96" t="str">
        <f>IF(AND(R149=1,S149&lt;&gt;"",C149&lt;&gt;""),S149&amp;"|"&amp;C149&amp;"|"&amp;G149&amp;"|"&amp;H149,"")</f>
        <v/>
      </c>
      <c r="AH149" s="96">
        <f>IF(AG149="",0,IF(SUMPRODUCT(--($AG$6:$AG$1005=AG149))&gt;1,1,0))</f>
        <v>0</v>
      </c>
      <c r="AI149" s="96">
        <f>IF(R149=0,0,IF(OR(U149=0,V149=0,Y149=0,AND(AH149=1,K149&lt;&gt;"Sim")),1,0))</f>
        <v>0</v>
      </c>
      <c r="AJ149" s="96">
        <f>IF(AND(R149=1,AA149&gt;0,AB149=AA149),1,0)</f>
        <v>0</v>
      </c>
      <c r="AK149" s="96">
        <f>IF(R149=0,0,IF(AA149&gt;0,N(L149),IF(ISNUMBER(I149),I149,0)))</f>
        <v>0</v>
      </c>
      <c r="AL149" s="96">
        <f>IF(R149=0,0,IF(AND(K149&lt;&gt;"Sim",N(M149)&gt;AK149+cfg_tol),1,0))</f>
        <v>0</v>
      </c>
      <c r="AM149" s="96">
        <f>IF(R149=0,0,IF(K149="Sim",0,IF(OR(AND(AA149&gt;0,ISNUMBER(I149),ABS(I149-N(L149))&gt;cfg_tol),AL149=1),1,0)))</f>
        <v>0</v>
      </c>
      <c r="AN149" s="96">
        <f>IF(AND(R149=1,N(M149)&gt;0,OR(N(M149)&gt;=AK149-cfg_tol,K149="Sim")),1,0)</f>
        <v>0</v>
      </c>
      <c r="AO149" s="96">
        <f>IF(AND(AN149=1,AD149&gt;0,AE149=AD149,AL149=0),1,0)</f>
        <v>0</v>
      </c>
      <c r="AP149" s="96">
        <f>IF(U149=0,0,IF(AND(INDEX('MTRs'!$AX$6:$AX$505,T149)=1,Z149=0,OR(f_res="",f_res="(Todos)",C149=f_res)),1,0))</f>
        <v>0</v>
      </c>
      <c r="AQ149" s="97" t="str">
        <f>IF(U149=0,"",INDEX('MTRs'!$AZ$6:$AZ$505,T149))</f>
        <v/>
      </c>
      <c r="AR149" s="96">
        <f>IF(U149=0,0,IF(AND(INDEX('MTRs'!$BA$6:$BA$505,T149)=1,Z149=0),1,0))</f>
        <v>0</v>
      </c>
      <c r="AS149" s="96" t="str">
        <f>IF(R149=1,A149&amp;" | MTR "&amp;IF(U149=1,INDEX('MTRs'!$B$6:$B$505,T149)&amp;"","?")&amp;" | "&amp;IF(C149="","(sem resíduo)",C149),"")</f>
        <v/>
      </c>
      <c r="AT149" s="96" t="str">
        <f>IF(R149=1,COUNTIF($R$6:R149,1),"")</f>
        <v/>
      </c>
      <c r="AU149" s="96" t="str">
        <f>IF(U149=1,INDEX('MTRs'!$I$6:$I$505,T149)&amp;"","")</f>
        <v/>
      </c>
    </row>
    <row r="150">
      <c r="A150" s="89" t="inlineStr">
        <is>
          <t>IT-000145</t>
        </is>
      </c>
      <c r="B150" s="91" t="n"/>
      <c r="C150" s="91" t="n"/>
      <c r="D150" s="94" t="str">
        <f>IF(OR(R150=0,V150=0),"",INDEX('CAD_RESÍDUOS'!$E$6:$E$205,MATCH(C150,'CAD_RESÍDUOS'!$B$6:$B$205,0))&amp;"")</f>
        <v/>
      </c>
      <c r="E150" s="94" t="str">
        <f>IF(OR(R150=0,V150=0),"",INDEX('CAD_RESÍDUOS'!$C$6:$C$205,MATCH(C150,'CAD_RESÍDUOS'!$B$6:$B$205,0))&amp;"")</f>
        <v/>
      </c>
      <c r="F150" s="94" t="str">
        <f>IF(OR(R150=0,V150=0),"",INDEX('CAD_RESÍDUOS'!$G$6:$G$205,MATCH(C150,'CAD_RESÍDUOS'!$B$6:$B$205,0))&amp;"")</f>
        <v/>
      </c>
      <c r="G150" s="98" t="n"/>
      <c r="H150" s="91" t="n"/>
      <c r="I150" s="93" t="str">
        <f>IF(R150=0,"",IF(NOT(ISNUMBER(G150)),"",IF(ISNUMBER(X150),G150*X150,"UNIDADE A CONFERIR")))</f>
        <v/>
      </c>
      <c r="J150" s="91" t="n"/>
      <c r="K150" s="91" t="n"/>
      <c r="L150" s="93" t="str">
        <f>IF(R150=0,"",SUMIFS('RECEBIMENTOS'!$H$6:$H$1005,'RECEBIMENTOS'!$R$6:$R$1005,A150,'RECEBIMENTOS'!$X$6:$X$1005,1))</f>
        <v/>
      </c>
      <c r="M150" s="93" t="str">
        <f>IF(R150=0,"",SUMIFS('VÍNCULOS_CDF'!$H$6:$H$1005,'VÍNCULOS_CDF'!$R$6:$R$1005,A150,'VÍNCULOS_CDF'!$V$6:$V$1005,1))</f>
        <v/>
      </c>
      <c r="N150" s="99" t="str">
        <f>IF(OR(R150=0,AA150=0,NOT(ISNUMBER(I150))),"",I150-N(L150))</f>
        <v/>
      </c>
      <c r="O150" s="100" t="str">
        <f>IF(OR(R150=0,AK150&lt;=0),"",N(M150)/AK150)</f>
        <v/>
      </c>
      <c r="P150" s="94" t="str">
        <f>IF(R150=0,"",IF(S150="","Sem MTR associado",IF(U150=0,"MTR inexistente",IF(C150="","Resíduo não identificado",IF(V150=0,"Resíduo fora do cadastro",IF(W150=0,"Quantidade inválida",IF(H150="","Unidade não informada",IF(NOT(ISNUMBER(I150)),"Unidade a conferir",IF(AND(AH150=1,K150&lt;&gt;"Sim"),"Possível duplicidade",IF(Z150=1,"MTR cancelado",IF(AC150&gt;0,"Recebimento com alerta",IF(AA150=0,"Aguardando recebimento",IF(AB150&lt;AA150,"Recebimento a conferir",IF(AM150=1,"Quantidade a revisar",IF(AF150&gt;0,"Vínculo a revisar",IF(AD150=0,"Aguardando CDF",IF(AN150=0,"Vínculo de CDF parcial",IF(AE150&lt;AD150,"CDF a conferir","Documentação conferida"))))))))))))))))))</f>
        <v/>
      </c>
      <c r="Q150" s="93" t="str">
        <f>IF(OR(R150=0,AA150=0),"",MAX(0,N(L150)-N(M150)))</f>
        <v/>
      </c>
      <c r="R150" s="96">
        <f>IF(COUNTA(B150:C150,G150:H150,J150:K150)&gt;0,1,0)</f>
        <v>0</v>
      </c>
      <c r="S150" s="96" t="str">
        <f>IF(B150="","",TRIM(LEFT(B150,FIND(" |",B150&amp;" |")-1)))</f>
        <v/>
      </c>
      <c r="T150" s="96" t="str">
        <f>IF(S150="","",IFERROR(MATCH(S150,'MTRs'!$A$6:$A$505,0),""))</f>
        <v/>
      </c>
      <c r="U150" s="96">
        <f>IF(T150="",0,IF(INDEX('MTRs'!$Z$6:$Z$505,T150)=1,1,0))</f>
        <v>0</v>
      </c>
      <c r="V150" s="96">
        <f>IF(C150="",0,IF(ISNUMBER(MATCH(C150,'CAD_RESÍDUOS'!$B$6:$B$205,0)),1,0))</f>
        <v>0</v>
      </c>
      <c r="W150" s="96">
        <f>IF(AND(ISNUMBER(G150),G150&gt;0),1,0)</f>
        <v>0</v>
      </c>
      <c r="X150" s="96" t="str">
        <f>IF(H150="","",IFERROR(IF(ISNUMBER(INDEX(cfg_fac,MATCH(H150,cfg_units,0))),IF(INDEX(cfg_fac,MATCH(H150,cfg_units,0))&gt;0,INDEX(cfg_fac,MATCH(H150,cfg_units,0)),""),""),""))</f>
        <v/>
      </c>
      <c r="Y150" s="96">
        <f>IF(AND(W150=1,ISNUMBER(I150)),1,0)</f>
        <v>0</v>
      </c>
      <c r="Z150" s="96">
        <f>IF(U150=1,INDEX('MTRs'!$AA$6:$AA$505,T150),0)</f>
        <v>0</v>
      </c>
      <c r="AA150" s="96">
        <f>IF(R150=0,0,COUNTIFS('RECEBIMENTOS'!$R$6:$R$1005,A150,'RECEBIMENTOS'!$Q$6:$Q$1005,1))</f>
        <v>0</v>
      </c>
      <c r="AB150" s="96">
        <f>IF(R150=0,0,COUNTIFS('RECEBIMENTOS'!$R$6:$R$1005,A150,'RECEBIMENTOS'!$Z$6:$Z$1005,1))</f>
        <v>0</v>
      </c>
      <c r="AC150" s="96">
        <f>IF(R150=0,0,COUNTIFS('RECEBIMENTOS'!$R$6:$R$1005,A150,'RECEBIMENTOS'!$Y$6:$Y$1005,1))</f>
        <v>0</v>
      </c>
      <c r="AD150" s="96">
        <f>IF(R150=0,0,COUNTIFS('VÍNCULOS_CDF'!$R$6:$R$1005,A150,'VÍNCULOS_CDF'!$N$6:$N$1005,1))</f>
        <v>0</v>
      </c>
      <c r="AE150" s="96">
        <f>IF(R150=0,0,COUNTIFS('VÍNCULOS_CDF'!$R$6:$R$1005,A150,'VÍNCULOS_CDF'!$AA$6:$AA$1005,1))</f>
        <v>0</v>
      </c>
      <c r="AF150" s="96">
        <f>IF(R150=0,0,COUNTIFS('VÍNCULOS_CDF'!$R$6:$R$1005,A150,'VÍNCULOS_CDF'!$Y$6:$Y$1005,1))</f>
        <v>0</v>
      </c>
      <c r="AG150" s="96" t="str">
        <f>IF(AND(R150=1,S150&lt;&gt;"",C150&lt;&gt;""),S150&amp;"|"&amp;C150&amp;"|"&amp;G150&amp;"|"&amp;H150,"")</f>
        <v/>
      </c>
      <c r="AH150" s="96">
        <f>IF(AG150="",0,IF(SUMPRODUCT(--($AG$6:$AG$1005=AG150))&gt;1,1,0))</f>
        <v>0</v>
      </c>
      <c r="AI150" s="96">
        <f>IF(R150=0,0,IF(OR(U150=0,V150=0,Y150=0,AND(AH150=1,K150&lt;&gt;"Sim")),1,0))</f>
        <v>0</v>
      </c>
      <c r="AJ150" s="96">
        <f>IF(AND(R150=1,AA150&gt;0,AB150=AA150),1,0)</f>
        <v>0</v>
      </c>
      <c r="AK150" s="96">
        <f>IF(R150=0,0,IF(AA150&gt;0,N(L150),IF(ISNUMBER(I150),I150,0)))</f>
        <v>0</v>
      </c>
      <c r="AL150" s="96">
        <f>IF(R150=0,0,IF(AND(K150&lt;&gt;"Sim",N(M150)&gt;AK150+cfg_tol),1,0))</f>
        <v>0</v>
      </c>
      <c r="AM150" s="96">
        <f>IF(R150=0,0,IF(K150="Sim",0,IF(OR(AND(AA150&gt;0,ISNUMBER(I150),ABS(I150-N(L150))&gt;cfg_tol),AL150=1),1,0)))</f>
        <v>0</v>
      </c>
      <c r="AN150" s="96">
        <f>IF(AND(R150=1,N(M150)&gt;0,OR(N(M150)&gt;=AK150-cfg_tol,K150="Sim")),1,0)</f>
        <v>0</v>
      </c>
      <c r="AO150" s="96">
        <f>IF(AND(AN150=1,AD150&gt;0,AE150=AD150,AL150=0),1,0)</f>
        <v>0</v>
      </c>
      <c r="AP150" s="96">
        <f>IF(U150=0,0,IF(AND(INDEX('MTRs'!$AX$6:$AX$505,T150)=1,Z150=0,OR(f_res="",f_res="(Todos)",C150=f_res)),1,0))</f>
        <v>0</v>
      </c>
      <c r="AQ150" s="97" t="str">
        <f>IF(U150=0,"",INDEX('MTRs'!$AZ$6:$AZ$505,T150))</f>
        <v/>
      </c>
      <c r="AR150" s="96">
        <f>IF(U150=0,0,IF(AND(INDEX('MTRs'!$BA$6:$BA$505,T150)=1,Z150=0),1,0))</f>
        <v>0</v>
      </c>
      <c r="AS150" s="96" t="str">
        <f>IF(R150=1,A150&amp;" | MTR "&amp;IF(U150=1,INDEX('MTRs'!$B$6:$B$505,T150)&amp;"","?")&amp;" | "&amp;IF(C150="","(sem resíduo)",C150),"")</f>
        <v/>
      </c>
      <c r="AT150" s="96" t="str">
        <f>IF(R150=1,COUNTIF($R$6:R150,1),"")</f>
        <v/>
      </c>
      <c r="AU150" s="96" t="str">
        <f>IF(U150=1,INDEX('MTRs'!$I$6:$I$505,T150)&amp;"","")</f>
        <v/>
      </c>
    </row>
    <row r="151">
      <c r="A151" s="89" t="inlineStr">
        <is>
          <t>IT-000146</t>
        </is>
      </c>
      <c r="B151" s="91" t="n"/>
      <c r="C151" s="91" t="n"/>
      <c r="D151" s="94" t="str">
        <f>IF(OR(R151=0,V151=0),"",INDEX('CAD_RESÍDUOS'!$E$6:$E$205,MATCH(C151,'CAD_RESÍDUOS'!$B$6:$B$205,0))&amp;"")</f>
        <v/>
      </c>
      <c r="E151" s="94" t="str">
        <f>IF(OR(R151=0,V151=0),"",INDEX('CAD_RESÍDUOS'!$C$6:$C$205,MATCH(C151,'CAD_RESÍDUOS'!$B$6:$B$205,0))&amp;"")</f>
        <v/>
      </c>
      <c r="F151" s="94" t="str">
        <f>IF(OR(R151=0,V151=0),"",INDEX('CAD_RESÍDUOS'!$G$6:$G$205,MATCH(C151,'CAD_RESÍDUOS'!$B$6:$B$205,0))&amp;"")</f>
        <v/>
      </c>
      <c r="G151" s="98" t="n"/>
      <c r="H151" s="91" t="n"/>
      <c r="I151" s="93" t="str">
        <f>IF(R151=0,"",IF(NOT(ISNUMBER(G151)),"",IF(ISNUMBER(X151),G151*X151,"UNIDADE A CONFERIR")))</f>
        <v/>
      </c>
      <c r="J151" s="91" t="n"/>
      <c r="K151" s="91" t="n"/>
      <c r="L151" s="93" t="str">
        <f>IF(R151=0,"",SUMIFS('RECEBIMENTOS'!$H$6:$H$1005,'RECEBIMENTOS'!$R$6:$R$1005,A151,'RECEBIMENTOS'!$X$6:$X$1005,1))</f>
        <v/>
      </c>
      <c r="M151" s="93" t="str">
        <f>IF(R151=0,"",SUMIFS('VÍNCULOS_CDF'!$H$6:$H$1005,'VÍNCULOS_CDF'!$R$6:$R$1005,A151,'VÍNCULOS_CDF'!$V$6:$V$1005,1))</f>
        <v/>
      </c>
      <c r="N151" s="99" t="str">
        <f>IF(OR(R151=0,AA151=0,NOT(ISNUMBER(I151))),"",I151-N(L151))</f>
        <v/>
      </c>
      <c r="O151" s="100" t="str">
        <f>IF(OR(R151=0,AK151&lt;=0),"",N(M151)/AK151)</f>
        <v/>
      </c>
      <c r="P151" s="94" t="str">
        <f>IF(R151=0,"",IF(S151="","Sem MTR associado",IF(U151=0,"MTR inexistente",IF(C151="","Resíduo não identificado",IF(V151=0,"Resíduo fora do cadastro",IF(W151=0,"Quantidade inválida",IF(H151="","Unidade não informada",IF(NOT(ISNUMBER(I151)),"Unidade a conferir",IF(AND(AH151=1,K151&lt;&gt;"Sim"),"Possível duplicidade",IF(Z151=1,"MTR cancelado",IF(AC151&gt;0,"Recebimento com alerta",IF(AA151=0,"Aguardando recebimento",IF(AB151&lt;AA151,"Recebimento a conferir",IF(AM151=1,"Quantidade a revisar",IF(AF151&gt;0,"Vínculo a revisar",IF(AD151=0,"Aguardando CDF",IF(AN151=0,"Vínculo de CDF parcial",IF(AE151&lt;AD151,"CDF a conferir","Documentação conferida"))))))))))))))))))</f>
        <v/>
      </c>
      <c r="Q151" s="93" t="str">
        <f>IF(OR(R151=0,AA151=0),"",MAX(0,N(L151)-N(M151)))</f>
        <v/>
      </c>
      <c r="R151" s="96">
        <f>IF(COUNTA(B151:C151,G151:H151,J151:K151)&gt;0,1,0)</f>
        <v>0</v>
      </c>
      <c r="S151" s="96" t="str">
        <f>IF(B151="","",TRIM(LEFT(B151,FIND(" |",B151&amp;" |")-1)))</f>
        <v/>
      </c>
      <c r="T151" s="96" t="str">
        <f>IF(S151="","",IFERROR(MATCH(S151,'MTRs'!$A$6:$A$505,0),""))</f>
        <v/>
      </c>
      <c r="U151" s="96">
        <f>IF(T151="",0,IF(INDEX('MTRs'!$Z$6:$Z$505,T151)=1,1,0))</f>
        <v>0</v>
      </c>
      <c r="V151" s="96">
        <f>IF(C151="",0,IF(ISNUMBER(MATCH(C151,'CAD_RESÍDUOS'!$B$6:$B$205,0)),1,0))</f>
        <v>0</v>
      </c>
      <c r="W151" s="96">
        <f>IF(AND(ISNUMBER(G151),G151&gt;0),1,0)</f>
        <v>0</v>
      </c>
      <c r="X151" s="96" t="str">
        <f>IF(H151="","",IFERROR(IF(ISNUMBER(INDEX(cfg_fac,MATCH(H151,cfg_units,0))),IF(INDEX(cfg_fac,MATCH(H151,cfg_units,0))&gt;0,INDEX(cfg_fac,MATCH(H151,cfg_units,0)),""),""),""))</f>
        <v/>
      </c>
      <c r="Y151" s="96">
        <f>IF(AND(W151=1,ISNUMBER(I151)),1,0)</f>
        <v>0</v>
      </c>
      <c r="Z151" s="96">
        <f>IF(U151=1,INDEX('MTRs'!$AA$6:$AA$505,T151),0)</f>
        <v>0</v>
      </c>
      <c r="AA151" s="96">
        <f>IF(R151=0,0,COUNTIFS('RECEBIMENTOS'!$R$6:$R$1005,A151,'RECEBIMENTOS'!$Q$6:$Q$1005,1))</f>
        <v>0</v>
      </c>
      <c r="AB151" s="96">
        <f>IF(R151=0,0,COUNTIFS('RECEBIMENTOS'!$R$6:$R$1005,A151,'RECEBIMENTOS'!$Z$6:$Z$1005,1))</f>
        <v>0</v>
      </c>
      <c r="AC151" s="96">
        <f>IF(R151=0,0,COUNTIFS('RECEBIMENTOS'!$R$6:$R$1005,A151,'RECEBIMENTOS'!$Y$6:$Y$1005,1))</f>
        <v>0</v>
      </c>
      <c r="AD151" s="96">
        <f>IF(R151=0,0,COUNTIFS('VÍNCULOS_CDF'!$R$6:$R$1005,A151,'VÍNCULOS_CDF'!$N$6:$N$1005,1))</f>
        <v>0</v>
      </c>
      <c r="AE151" s="96">
        <f>IF(R151=0,0,COUNTIFS('VÍNCULOS_CDF'!$R$6:$R$1005,A151,'VÍNCULOS_CDF'!$AA$6:$AA$1005,1))</f>
        <v>0</v>
      </c>
      <c r="AF151" s="96">
        <f>IF(R151=0,0,COUNTIFS('VÍNCULOS_CDF'!$R$6:$R$1005,A151,'VÍNCULOS_CDF'!$Y$6:$Y$1005,1))</f>
        <v>0</v>
      </c>
      <c r="AG151" s="96" t="str">
        <f>IF(AND(R151=1,S151&lt;&gt;"",C151&lt;&gt;""),S151&amp;"|"&amp;C151&amp;"|"&amp;G151&amp;"|"&amp;H151,"")</f>
        <v/>
      </c>
      <c r="AH151" s="96">
        <f>IF(AG151="",0,IF(SUMPRODUCT(--($AG$6:$AG$1005=AG151))&gt;1,1,0))</f>
        <v>0</v>
      </c>
      <c r="AI151" s="96">
        <f>IF(R151=0,0,IF(OR(U151=0,V151=0,Y151=0,AND(AH151=1,K151&lt;&gt;"Sim")),1,0))</f>
        <v>0</v>
      </c>
      <c r="AJ151" s="96">
        <f>IF(AND(R151=1,AA151&gt;0,AB151=AA151),1,0)</f>
        <v>0</v>
      </c>
      <c r="AK151" s="96">
        <f>IF(R151=0,0,IF(AA151&gt;0,N(L151),IF(ISNUMBER(I151),I151,0)))</f>
        <v>0</v>
      </c>
      <c r="AL151" s="96">
        <f>IF(R151=0,0,IF(AND(K151&lt;&gt;"Sim",N(M151)&gt;AK151+cfg_tol),1,0))</f>
        <v>0</v>
      </c>
      <c r="AM151" s="96">
        <f>IF(R151=0,0,IF(K151="Sim",0,IF(OR(AND(AA151&gt;0,ISNUMBER(I151),ABS(I151-N(L151))&gt;cfg_tol),AL151=1),1,0)))</f>
        <v>0</v>
      </c>
      <c r="AN151" s="96">
        <f>IF(AND(R151=1,N(M151)&gt;0,OR(N(M151)&gt;=AK151-cfg_tol,K151="Sim")),1,0)</f>
        <v>0</v>
      </c>
      <c r="AO151" s="96">
        <f>IF(AND(AN151=1,AD151&gt;0,AE151=AD151,AL151=0),1,0)</f>
        <v>0</v>
      </c>
      <c r="AP151" s="96">
        <f>IF(U151=0,0,IF(AND(INDEX('MTRs'!$AX$6:$AX$505,T151)=1,Z151=0,OR(f_res="",f_res="(Todos)",C151=f_res)),1,0))</f>
        <v>0</v>
      </c>
      <c r="AQ151" s="97" t="str">
        <f>IF(U151=0,"",INDEX('MTRs'!$AZ$6:$AZ$505,T151))</f>
        <v/>
      </c>
      <c r="AR151" s="96">
        <f>IF(U151=0,0,IF(AND(INDEX('MTRs'!$BA$6:$BA$505,T151)=1,Z151=0),1,0))</f>
        <v>0</v>
      </c>
      <c r="AS151" s="96" t="str">
        <f>IF(R151=1,A151&amp;" | MTR "&amp;IF(U151=1,INDEX('MTRs'!$B$6:$B$505,T151)&amp;"","?")&amp;" | "&amp;IF(C151="","(sem resíduo)",C151),"")</f>
        <v/>
      </c>
      <c r="AT151" s="96" t="str">
        <f>IF(R151=1,COUNTIF($R$6:R151,1),"")</f>
        <v/>
      </c>
      <c r="AU151" s="96" t="str">
        <f>IF(U151=1,INDEX('MTRs'!$I$6:$I$505,T151)&amp;"","")</f>
        <v/>
      </c>
    </row>
    <row r="152">
      <c r="A152" s="89" t="inlineStr">
        <is>
          <t>IT-000147</t>
        </is>
      </c>
      <c r="B152" s="91" t="n"/>
      <c r="C152" s="91" t="n"/>
      <c r="D152" s="94" t="str">
        <f>IF(OR(R152=0,V152=0),"",INDEX('CAD_RESÍDUOS'!$E$6:$E$205,MATCH(C152,'CAD_RESÍDUOS'!$B$6:$B$205,0))&amp;"")</f>
        <v/>
      </c>
      <c r="E152" s="94" t="str">
        <f>IF(OR(R152=0,V152=0),"",INDEX('CAD_RESÍDUOS'!$C$6:$C$205,MATCH(C152,'CAD_RESÍDUOS'!$B$6:$B$205,0))&amp;"")</f>
        <v/>
      </c>
      <c r="F152" s="94" t="str">
        <f>IF(OR(R152=0,V152=0),"",INDEX('CAD_RESÍDUOS'!$G$6:$G$205,MATCH(C152,'CAD_RESÍDUOS'!$B$6:$B$205,0))&amp;"")</f>
        <v/>
      </c>
      <c r="G152" s="98" t="n"/>
      <c r="H152" s="91" t="n"/>
      <c r="I152" s="93" t="str">
        <f>IF(R152=0,"",IF(NOT(ISNUMBER(G152)),"",IF(ISNUMBER(X152),G152*X152,"UNIDADE A CONFERIR")))</f>
        <v/>
      </c>
      <c r="J152" s="91" t="n"/>
      <c r="K152" s="91" t="n"/>
      <c r="L152" s="93" t="str">
        <f>IF(R152=0,"",SUMIFS('RECEBIMENTOS'!$H$6:$H$1005,'RECEBIMENTOS'!$R$6:$R$1005,A152,'RECEBIMENTOS'!$X$6:$X$1005,1))</f>
        <v/>
      </c>
      <c r="M152" s="93" t="str">
        <f>IF(R152=0,"",SUMIFS('VÍNCULOS_CDF'!$H$6:$H$1005,'VÍNCULOS_CDF'!$R$6:$R$1005,A152,'VÍNCULOS_CDF'!$V$6:$V$1005,1))</f>
        <v/>
      </c>
      <c r="N152" s="99" t="str">
        <f>IF(OR(R152=0,AA152=0,NOT(ISNUMBER(I152))),"",I152-N(L152))</f>
        <v/>
      </c>
      <c r="O152" s="100" t="str">
        <f>IF(OR(R152=0,AK152&lt;=0),"",N(M152)/AK152)</f>
        <v/>
      </c>
      <c r="P152" s="94" t="str">
        <f>IF(R152=0,"",IF(S152="","Sem MTR associado",IF(U152=0,"MTR inexistente",IF(C152="","Resíduo não identificado",IF(V152=0,"Resíduo fora do cadastro",IF(W152=0,"Quantidade inválida",IF(H152="","Unidade não informada",IF(NOT(ISNUMBER(I152)),"Unidade a conferir",IF(AND(AH152=1,K152&lt;&gt;"Sim"),"Possível duplicidade",IF(Z152=1,"MTR cancelado",IF(AC152&gt;0,"Recebimento com alerta",IF(AA152=0,"Aguardando recebimento",IF(AB152&lt;AA152,"Recebimento a conferir",IF(AM152=1,"Quantidade a revisar",IF(AF152&gt;0,"Vínculo a revisar",IF(AD152=0,"Aguardando CDF",IF(AN152=0,"Vínculo de CDF parcial",IF(AE152&lt;AD152,"CDF a conferir","Documentação conferida"))))))))))))))))))</f>
        <v/>
      </c>
      <c r="Q152" s="93" t="str">
        <f>IF(OR(R152=0,AA152=0),"",MAX(0,N(L152)-N(M152)))</f>
        <v/>
      </c>
      <c r="R152" s="96">
        <f>IF(COUNTA(B152:C152,G152:H152,J152:K152)&gt;0,1,0)</f>
        <v>0</v>
      </c>
      <c r="S152" s="96" t="str">
        <f>IF(B152="","",TRIM(LEFT(B152,FIND(" |",B152&amp;" |")-1)))</f>
        <v/>
      </c>
      <c r="T152" s="96" t="str">
        <f>IF(S152="","",IFERROR(MATCH(S152,'MTRs'!$A$6:$A$505,0),""))</f>
        <v/>
      </c>
      <c r="U152" s="96">
        <f>IF(T152="",0,IF(INDEX('MTRs'!$Z$6:$Z$505,T152)=1,1,0))</f>
        <v>0</v>
      </c>
      <c r="V152" s="96">
        <f>IF(C152="",0,IF(ISNUMBER(MATCH(C152,'CAD_RESÍDUOS'!$B$6:$B$205,0)),1,0))</f>
        <v>0</v>
      </c>
      <c r="W152" s="96">
        <f>IF(AND(ISNUMBER(G152),G152&gt;0),1,0)</f>
        <v>0</v>
      </c>
      <c r="X152" s="96" t="str">
        <f>IF(H152="","",IFERROR(IF(ISNUMBER(INDEX(cfg_fac,MATCH(H152,cfg_units,0))),IF(INDEX(cfg_fac,MATCH(H152,cfg_units,0))&gt;0,INDEX(cfg_fac,MATCH(H152,cfg_units,0)),""),""),""))</f>
        <v/>
      </c>
      <c r="Y152" s="96">
        <f>IF(AND(W152=1,ISNUMBER(I152)),1,0)</f>
        <v>0</v>
      </c>
      <c r="Z152" s="96">
        <f>IF(U152=1,INDEX('MTRs'!$AA$6:$AA$505,T152),0)</f>
        <v>0</v>
      </c>
      <c r="AA152" s="96">
        <f>IF(R152=0,0,COUNTIFS('RECEBIMENTOS'!$R$6:$R$1005,A152,'RECEBIMENTOS'!$Q$6:$Q$1005,1))</f>
        <v>0</v>
      </c>
      <c r="AB152" s="96">
        <f>IF(R152=0,0,COUNTIFS('RECEBIMENTOS'!$R$6:$R$1005,A152,'RECEBIMENTOS'!$Z$6:$Z$1005,1))</f>
        <v>0</v>
      </c>
      <c r="AC152" s="96">
        <f>IF(R152=0,0,COUNTIFS('RECEBIMENTOS'!$R$6:$R$1005,A152,'RECEBIMENTOS'!$Y$6:$Y$1005,1))</f>
        <v>0</v>
      </c>
      <c r="AD152" s="96">
        <f>IF(R152=0,0,COUNTIFS('VÍNCULOS_CDF'!$R$6:$R$1005,A152,'VÍNCULOS_CDF'!$N$6:$N$1005,1))</f>
        <v>0</v>
      </c>
      <c r="AE152" s="96">
        <f>IF(R152=0,0,COUNTIFS('VÍNCULOS_CDF'!$R$6:$R$1005,A152,'VÍNCULOS_CDF'!$AA$6:$AA$1005,1))</f>
        <v>0</v>
      </c>
      <c r="AF152" s="96">
        <f>IF(R152=0,0,COUNTIFS('VÍNCULOS_CDF'!$R$6:$R$1005,A152,'VÍNCULOS_CDF'!$Y$6:$Y$1005,1))</f>
        <v>0</v>
      </c>
      <c r="AG152" s="96" t="str">
        <f>IF(AND(R152=1,S152&lt;&gt;"",C152&lt;&gt;""),S152&amp;"|"&amp;C152&amp;"|"&amp;G152&amp;"|"&amp;H152,"")</f>
        <v/>
      </c>
      <c r="AH152" s="96">
        <f>IF(AG152="",0,IF(SUMPRODUCT(--($AG$6:$AG$1005=AG152))&gt;1,1,0))</f>
        <v>0</v>
      </c>
      <c r="AI152" s="96">
        <f>IF(R152=0,0,IF(OR(U152=0,V152=0,Y152=0,AND(AH152=1,K152&lt;&gt;"Sim")),1,0))</f>
        <v>0</v>
      </c>
      <c r="AJ152" s="96">
        <f>IF(AND(R152=1,AA152&gt;0,AB152=AA152),1,0)</f>
        <v>0</v>
      </c>
      <c r="AK152" s="96">
        <f>IF(R152=0,0,IF(AA152&gt;0,N(L152),IF(ISNUMBER(I152),I152,0)))</f>
        <v>0</v>
      </c>
      <c r="AL152" s="96">
        <f>IF(R152=0,0,IF(AND(K152&lt;&gt;"Sim",N(M152)&gt;AK152+cfg_tol),1,0))</f>
        <v>0</v>
      </c>
      <c r="AM152" s="96">
        <f>IF(R152=0,0,IF(K152="Sim",0,IF(OR(AND(AA152&gt;0,ISNUMBER(I152),ABS(I152-N(L152))&gt;cfg_tol),AL152=1),1,0)))</f>
        <v>0</v>
      </c>
      <c r="AN152" s="96">
        <f>IF(AND(R152=1,N(M152)&gt;0,OR(N(M152)&gt;=AK152-cfg_tol,K152="Sim")),1,0)</f>
        <v>0</v>
      </c>
      <c r="AO152" s="96">
        <f>IF(AND(AN152=1,AD152&gt;0,AE152=AD152,AL152=0),1,0)</f>
        <v>0</v>
      </c>
      <c r="AP152" s="96">
        <f>IF(U152=0,0,IF(AND(INDEX('MTRs'!$AX$6:$AX$505,T152)=1,Z152=0,OR(f_res="",f_res="(Todos)",C152=f_res)),1,0))</f>
        <v>0</v>
      </c>
      <c r="AQ152" s="97" t="str">
        <f>IF(U152=0,"",INDEX('MTRs'!$AZ$6:$AZ$505,T152))</f>
        <v/>
      </c>
      <c r="AR152" s="96">
        <f>IF(U152=0,0,IF(AND(INDEX('MTRs'!$BA$6:$BA$505,T152)=1,Z152=0),1,0))</f>
        <v>0</v>
      </c>
      <c r="AS152" s="96" t="str">
        <f>IF(R152=1,A152&amp;" | MTR "&amp;IF(U152=1,INDEX('MTRs'!$B$6:$B$505,T152)&amp;"","?")&amp;" | "&amp;IF(C152="","(sem resíduo)",C152),"")</f>
        <v/>
      </c>
      <c r="AT152" s="96" t="str">
        <f>IF(R152=1,COUNTIF($R$6:R152,1),"")</f>
        <v/>
      </c>
      <c r="AU152" s="96" t="str">
        <f>IF(U152=1,INDEX('MTRs'!$I$6:$I$505,T152)&amp;"","")</f>
        <v/>
      </c>
    </row>
    <row r="153">
      <c r="A153" s="89" t="inlineStr">
        <is>
          <t>IT-000148</t>
        </is>
      </c>
      <c r="B153" s="91" t="n"/>
      <c r="C153" s="91" t="n"/>
      <c r="D153" s="94" t="str">
        <f>IF(OR(R153=0,V153=0),"",INDEX('CAD_RESÍDUOS'!$E$6:$E$205,MATCH(C153,'CAD_RESÍDUOS'!$B$6:$B$205,0))&amp;"")</f>
        <v/>
      </c>
      <c r="E153" s="94" t="str">
        <f>IF(OR(R153=0,V153=0),"",INDEX('CAD_RESÍDUOS'!$C$6:$C$205,MATCH(C153,'CAD_RESÍDUOS'!$B$6:$B$205,0))&amp;"")</f>
        <v/>
      </c>
      <c r="F153" s="94" t="str">
        <f>IF(OR(R153=0,V153=0),"",INDEX('CAD_RESÍDUOS'!$G$6:$G$205,MATCH(C153,'CAD_RESÍDUOS'!$B$6:$B$205,0))&amp;"")</f>
        <v/>
      </c>
      <c r="G153" s="98" t="n"/>
      <c r="H153" s="91" t="n"/>
      <c r="I153" s="93" t="str">
        <f>IF(R153=0,"",IF(NOT(ISNUMBER(G153)),"",IF(ISNUMBER(X153),G153*X153,"UNIDADE A CONFERIR")))</f>
        <v/>
      </c>
      <c r="J153" s="91" t="n"/>
      <c r="K153" s="91" t="n"/>
      <c r="L153" s="93" t="str">
        <f>IF(R153=0,"",SUMIFS('RECEBIMENTOS'!$H$6:$H$1005,'RECEBIMENTOS'!$R$6:$R$1005,A153,'RECEBIMENTOS'!$X$6:$X$1005,1))</f>
        <v/>
      </c>
      <c r="M153" s="93" t="str">
        <f>IF(R153=0,"",SUMIFS('VÍNCULOS_CDF'!$H$6:$H$1005,'VÍNCULOS_CDF'!$R$6:$R$1005,A153,'VÍNCULOS_CDF'!$V$6:$V$1005,1))</f>
        <v/>
      </c>
      <c r="N153" s="99" t="str">
        <f>IF(OR(R153=0,AA153=0,NOT(ISNUMBER(I153))),"",I153-N(L153))</f>
        <v/>
      </c>
      <c r="O153" s="100" t="str">
        <f>IF(OR(R153=0,AK153&lt;=0),"",N(M153)/AK153)</f>
        <v/>
      </c>
      <c r="P153" s="94" t="str">
        <f>IF(R153=0,"",IF(S153="","Sem MTR associado",IF(U153=0,"MTR inexistente",IF(C153="","Resíduo não identificado",IF(V153=0,"Resíduo fora do cadastro",IF(W153=0,"Quantidade inválida",IF(H153="","Unidade não informada",IF(NOT(ISNUMBER(I153)),"Unidade a conferir",IF(AND(AH153=1,K153&lt;&gt;"Sim"),"Possível duplicidade",IF(Z153=1,"MTR cancelado",IF(AC153&gt;0,"Recebimento com alerta",IF(AA153=0,"Aguardando recebimento",IF(AB153&lt;AA153,"Recebimento a conferir",IF(AM153=1,"Quantidade a revisar",IF(AF153&gt;0,"Vínculo a revisar",IF(AD153=0,"Aguardando CDF",IF(AN153=0,"Vínculo de CDF parcial",IF(AE153&lt;AD153,"CDF a conferir","Documentação conferida"))))))))))))))))))</f>
        <v/>
      </c>
      <c r="Q153" s="93" t="str">
        <f>IF(OR(R153=0,AA153=0),"",MAX(0,N(L153)-N(M153)))</f>
        <v/>
      </c>
      <c r="R153" s="96">
        <f>IF(COUNTA(B153:C153,G153:H153,J153:K153)&gt;0,1,0)</f>
        <v>0</v>
      </c>
      <c r="S153" s="96" t="str">
        <f>IF(B153="","",TRIM(LEFT(B153,FIND(" |",B153&amp;" |")-1)))</f>
        <v/>
      </c>
      <c r="T153" s="96" t="str">
        <f>IF(S153="","",IFERROR(MATCH(S153,'MTRs'!$A$6:$A$505,0),""))</f>
        <v/>
      </c>
      <c r="U153" s="96">
        <f>IF(T153="",0,IF(INDEX('MTRs'!$Z$6:$Z$505,T153)=1,1,0))</f>
        <v>0</v>
      </c>
      <c r="V153" s="96">
        <f>IF(C153="",0,IF(ISNUMBER(MATCH(C153,'CAD_RESÍDUOS'!$B$6:$B$205,0)),1,0))</f>
        <v>0</v>
      </c>
      <c r="W153" s="96">
        <f>IF(AND(ISNUMBER(G153),G153&gt;0),1,0)</f>
        <v>0</v>
      </c>
      <c r="X153" s="96" t="str">
        <f>IF(H153="","",IFERROR(IF(ISNUMBER(INDEX(cfg_fac,MATCH(H153,cfg_units,0))),IF(INDEX(cfg_fac,MATCH(H153,cfg_units,0))&gt;0,INDEX(cfg_fac,MATCH(H153,cfg_units,0)),""),""),""))</f>
        <v/>
      </c>
      <c r="Y153" s="96">
        <f>IF(AND(W153=1,ISNUMBER(I153)),1,0)</f>
        <v>0</v>
      </c>
      <c r="Z153" s="96">
        <f>IF(U153=1,INDEX('MTRs'!$AA$6:$AA$505,T153),0)</f>
        <v>0</v>
      </c>
      <c r="AA153" s="96">
        <f>IF(R153=0,0,COUNTIFS('RECEBIMENTOS'!$R$6:$R$1005,A153,'RECEBIMENTOS'!$Q$6:$Q$1005,1))</f>
        <v>0</v>
      </c>
      <c r="AB153" s="96">
        <f>IF(R153=0,0,COUNTIFS('RECEBIMENTOS'!$R$6:$R$1005,A153,'RECEBIMENTOS'!$Z$6:$Z$1005,1))</f>
        <v>0</v>
      </c>
      <c r="AC153" s="96">
        <f>IF(R153=0,0,COUNTIFS('RECEBIMENTOS'!$R$6:$R$1005,A153,'RECEBIMENTOS'!$Y$6:$Y$1005,1))</f>
        <v>0</v>
      </c>
      <c r="AD153" s="96">
        <f>IF(R153=0,0,COUNTIFS('VÍNCULOS_CDF'!$R$6:$R$1005,A153,'VÍNCULOS_CDF'!$N$6:$N$1005,1))</f>
        <v>0</v>
      </c>
      <c r="AE153" s="96">
        <f>IF(R153=0,0,COUNTIFS('VÍNCULOS_CDF'!$R$6:$R$1005,A153,'VÍNCULOS_CDF'!$AA$6:$AA$1005,1))</f>
        <v>0</v>
      </c>
      <c r="AF153" s="96">
        <f>IF(R153=0,0,COUNTIFS('VÍNCULOS_CDF'!$R$6:$R$1005,A153,'VÍNCULOS_CDF'!$Y$6:$Y$1005,1))</f>
        <v>0</v>
      </c>
      <c r="AG153" s="96" t="str">
        <f>IF(AND(R153=1,S153&lt;&gt;"",C153&lt;&gt;""),S153&amp;"|"&amp;C153&amp;"|"&amp;G153&amp;"|"&amp;H153,"")</f>
        <v/>
      </c>
      <c r="AH153" s="96">
        <f>IF(AG153="",0,IF(SUMPRODUCT(--($AG$6:$AG$1005=AG153))&gt;1,1,0))</f>
        <v>0</v>
      </c>
      <c r="AI153" s="96">
        <f>IF(R153=0,0,IF(OR(U153=0,V153=0,Y153=0,AND(AH153=1,K153&lt;&gt;"Sim")),1,0))</f>
        <v>0</v>
      </c>
      <c r="AJ153" s="96">
        <f>IF(AND(R153=1,AA153&gt;0,AB153=AA153),1,0)</f>
        <v>0</v>
      </c>
      <c r="AK153" s="96">
        <f>IF(R153=0,0,IF(AA153&gt;0,N(L153),IF(ISNUMBER(I153),I153,0)))</f>
        <v>0</v>
      </c>
      <c r="AL153" s="96">
        <f>IF(R153=0,0,IF(AND(K153&lt;&gt;"Sim",N(M153)&gt;AK153+cfg_tol),1,0))</f>
        <v>0</v>
      </c>
      <c r="AM153" s="96">
        <f>IF(R153=0,0,IF(K153="Sim",0,IF(OR(AND(AA153&gt;0,ISNUMBER(I153),ABS(I153-N(L153))&gt;cfg_tol),AL153=1),1,0)))</f>
        <v>0</v>
      </c>
      <c r="AN153" s="96">
        <f>IF(AND(R153=1,N(M153)&gt;0,OR(N(M153)&gt;=AK153-cfg_tol,K153="Sim")),1,0)</f>
        <v>0</v>
      </c>
      <c r="AO153" s="96">
        <f>IF(AND(AN153=1,AD153&gt;0,AE153=AD153,AL153=0),1,0)</f>
        <v>0</v>
      </c>
      <c r="AP153" s="96">
        <f>IF(U153=0,0,IF(AND(INDEX('MTRs'!$AX$6:$AX$505,T153)=1,Z153=0,OR(f_res="",f_res="(Todos)",C153=f_res)),1,0))</f>
        <v>0</v>
      </c>
      <c r="AQ153" s="97" t="str">
        <f>IF(U153=0,"",INDEX('MTRs'!$AZ$6:$AZ$505,T153))</f>
        <v/>
      </c>
      <c r="AR153" s="96">
        <f>IF(U153=0,0,IF(AND(INDEX('MTRs'!$BA$6:$BA$505,T153)=1,Z153=0),1,0))</f>
        <v>0</v>
      </c>
      <c r="AS153" s="96" t="str">
        <f>IF(R153=1,A153&amp;" | MTR "&amp;IF(U153=1,INDEX('MTRs'!$B$6:$B$505,T153)&amp;"","?")&amp;" | "&amp;IF(C153="","(sem resíduo)",C153),"")</f>
        <v/>
      </c>
      <c r="AT153" s="96" t="str">
        <f>IF(R153=1,COUNTIF($R$6:R153,1),"")</f>
        <v/>
      </c>
      <c r="AU153" s="96" t="str">
        <f>IF(U153=1,INDEX('MTRs'!$I$6:$I$505,T153)&amp;"","")</f>
        <v/>
      </c>
    </row>
    <row r="154">
      <c r="A154" s="89" t="inlineStr">
        <is>
          <t>IT-000149</t>
        </is>
      </c>
      <c r="B154" s="91" t="n"/>
      <c r="C154" s="91" t="n"/>
      <c r="D154" s="94" t="str">
        <f>IF(OR(R154=0,V154=0),"",INDEX('CAD_RESÍDUOS'!$E$6:$E$205,MATCH(C154,'CAD_RESÍDUOS'!$B$6:$B$205,0))&amp;"")</f>
        <v/>
      </c>
      <c r="E154" s="94" t="str">
        <f>IF(OR(R154=0,V154=0),"",INDEX('CAD_RESÍDUOS'!$C$6:$C$205,MATCH(C154,'CAD_RESÍDUOS'!$B$6:$B$205,0))&amp;"")</f>
        <v/>
      </c>
      <c r="F154" s="94" t="str">
        <f>IF(OR(R154=0,V154=0),"",INDEX('CAD_RESÍDUOS'!$G$6:$G$205,MATCH(C154,'CAD_RESÍDUOS'!$B$6:$B$205,0))&amp;"")</f>
        <v/>
      </c>
      <c r="G154" s="98" t="n"/>
      <c r="H154" s="91" t="n"/>
      <c r="I154" s="93" t="str">
        <f>IF(R154=0,"",IF(NOT(ISNUMBER(G154)),"",IF(ISNUMBER(X154),G154*X154,"UNIDADE A CONFERIR")))</f>
        <v/>
      </c>
      <c r="J154" s="91" t="n"/>
      <c r="K154" s="91" t="n"/>
      <c r="L154" s="93" t="str">
        <f>IF(R154=0,"",SUMIFS('RECEBIMENTOS'!$H$6:$H$1005,'RECEBIMENTOS'!$R$6:$R$1005,A154,'RECEBIMENTOS'!$X$6:$X$1005,1))</f>
        <v/>
      </c>
      <c r="M154" s="93" t="str">
        <f>IF(R154=0,"",SUMIFS('VÍNCULOS_CDF'!$H$6:$H$1005,'VÍNCULOS_CDF'!$R$6:$R$1005,A154,'VÍNCULOS_CDF'!$V$6:$V$1005,1))</f>
        <v/>
      </c>
      <c r="N154" s="99" t="str">
        <f>IF(OR(R154=0,AA154=0,NOT(ISNUMBER(I154))),"",I154-N(L154))</f>
        <v/>
      </c>
      <c r="O154" s="100" t="str">
        <f>IF(OR(R154=0,AK154&lt;=0),"",N(M154)/AK154)</f>
        <v/>
      </c>
      <c r="P154" s="94" t="str">
        <f>IF(R154=0,"",IF(S154="","Sem MTR associado",IF(U154=0,"MTR inexistente",IF(C154="","Resíduo não identificado",IF(V154=0,"Resíduo fora do cadastro",IF(W154=0,"Quantidade inválida",IF(H154="","Unidade não informada",IF(NOT(ISNUMBER(I154)),"Unidade a conferir",IF(AND(AH154=1,K154&lt;&gt;"Sim"),"Possível duplicidade",IF(Z154=1,"MTR cancelado",IF(AC154&gt;0,"Recebimento com alerta",IF(AA154=0,"Aguardando recebimento",IF(AB154&lt;AA154,"Recebimento a conferir",IF(AM154=1,"Quantidade a revisar",IF(AF154&gt;0,"Vínculo a revisar",IF(AD154=0,"Aguardando CDF",IF(AN154=0,"Vínculo de CDF parcial",IF(AE154&lt;AD154,"CDF a conferir","Documentação conferida"))))))))))))))))))</f>
        <v/>
      </c>
      <c r="Q154" s="93" t="str">
        <f>IF(OR(R154=0,AA154=0),"",MAX(0,N(L154)-N(M154)))</f>
        <v/>
      </c>
      <c r="R154" s="96">
        <f>IF(COUNTA(B154:C154,G154:H154,J154:K154)&gt;0,1,0)</f>
        <v>0</v>
      </c>
      <c r="S154" s="96" t="str">
        <f>IF(B154="","",TRIM(LEFT(B154,FIND(" |",B154&amp;" |")-1)))</f>
        <v/>
      </c>
      <c r="T154" s="96" t="str">
        <f>IF(S154="","",IFERROR(MATCH(S154,'MTRs'!$A$6:$A$505,0),""))</f>
        <v/>
      </c>
      <c r="U154" s="96">
        <f>IF(T154="",0,IF(INDEX('MTRs'!$Z$6:$Z$505,T154)=1,1,0))</f>
        <v>0</v>
      </c>
      <c r="V154" s="96">
        <f>IF(C154="",0,IF(ISNUMBER(MATCH(C154,'CAD_RESÍDUOS'!$B$6:$B$205,0)),1,0))</f>
        <v>0</v>
      </c>
      <c r="W154" s="96">
        <f>IF(AND(ISNUMBER(G154),G154&gt;0),1,0)</f>
        <v>0</v>
      </c>
      <c r="X154" s="96" t="str">
        <f>IF(H154="","",IFERROR(IF(ISNUMBER(INDEX(cfg_fac,MATCH(H154,cfg_units,0))),IF(INDEX(cfg_fac,MATCH(H154,cfg_units,0))&gt;0,INDEX(cfg_fac,MATCH(H154,cfg_units,0)),""),""),""))</f>
        <v/>
      </c>
      <c r="Y154" s="96">
        <f>IF(AND(W154=1,ISNUMBER(I154)),1,0)</f>
        <v>0</v>
      </c>
      <c r="Z154" s="96">
        <f>IF(U154=1,INDEX('MTRs'!$AA$6:$AA$505,T154),0)</f>
        <v>0</v>
      </c>
      <c r="AA154" s="96">
        <f>IF(R154=0,0,COUNTIFS('RECEBIMENTOS'!$R$6:$R$1005,A154,'RECEBIMENTOS'!$Q$6:$Q$1005,1))</f>
        <v>0</v>
      </c>
      <c r="AB154" s="96">
        <f>IF(R154=0,0,COUNTIFS('RECEBIMENTOS'!$R$6:$R$1005,A154,'RECEBIMENTOS'!$Z$6:$Z$1005,1))</f>
        <v>0</v>
      </c>
      <c r="AC154" s="96">
        <f>IF(R154=0,0,COUNTIFS('RECEBIMENTOS'!$R$6:$R$1005,A154,'RECEBIMENTOS'!$Y$6:$Y$1005,1))</f>
        <v>0</v>
      </c>
      <c r="AD154" s="96">
        <f>IF(R154=0,0,COUNTIFS('VÍNCULOS_CDF'!$R$6:$R$1005,A154,'VÍNCULOS_CDF'!$N$6:$N$1005,1))</f>
        <v>0</v>
      </c>
      <c r="AE154" s="96">
        <f>IF(R154=0,0,COUNTIFS('VÍNCULOS_CDF'!$R$6:$R$1005,A154,'VÍNCULOS_CDF'!$AA$6:$AA$1005,1))</f>
        <v>0</v>
      </c>
      <c r="AF154" s="96">
        <f>IF(R154=0,0,COUNTIFS('VÍNCULOS_CDF'!$R$6:$R$1005,A154,'VÍNCULOS_CDF'!$Y$6:$Y$1005,1))</f>
        <v>0</v>
      </c>
      <c r="AG154" s="96" t="str">
        <f>IF(AND(R154=1,S154&lt;&gt;"",C154&lt;&gt;""),S154&amp;"|"&amp;C154&amp;"|"&amp;G154&amp;"|"&amp;H154,"")</f>
        <v/>
      </c>
      <c r="AH154" s="96">
        <f>IF(AG154="",0,IF(SUMPRODUCT(--($AG$6:$AG$1005=AG154))&gt;1,1,0))</f>
        <v>0</v>
      </c>
      <c r="AI154" s="96">
        <f>IF(R154=0,0,IF(OR(U154=0,V154=0,Y154=0,AND(AH154=1,K154&lt;&gt;"Sim")),1,0))</f>
        <v>0</v>
      </c>
      <c r="AJ154" s="96">
        <f>IF(AND(R154=1,AA154&gt;0,AB154=AA154),1,0)</f>
        <v>0</v>
      </c>
      <c r="AK154" s="96">
        <f>IF(R154=0,0,IF(AA154&gt;0,N(L154),IF(ISNUMBER(I154),I154,0)))</f>
        <v>0</v>
      </c>
      <c r="AL154" s="96">
        <f>IF(R154=0,0,IF(AND(K154&lt;&gt;"Sim",N(M154)&gt;AK154+cfg_tol),1,0))</f>
        <v>0</v>
      </c>
      <c r="AM154" s="96">
        <f>IF(R154=0,0,IF(K154="Sim",0,IF(OR(AND(AA154&gt;0,ISNUMBER(I154),ABS(I154-N(L154))&gt;cfg_tol),AL154=1),1,0)))</f>
        <v>0</v>
      </c>
      <c r="AN154" s="96">
        <f>IF(AND(R154=1,N(M154)&gt;0,OR(N(M154)&gt;=AK154-cfg_tol,K154="Sim")),1,0)</f>
        <v>0</v>
      </c>
      <c r="AO154" s="96">
        <f>IF(AND(AN154=1,AD154&gt;0,AE154=AD154,AL154=0),1,0)</f>
        <v>0</v>
      </c>
      <c r="AP154" s="96">
        <f>IF(U154=0,0,IF(AND(INDEX('MTRs'!$AX$6:$AX$505,T154)=1,Z154=0,OR(f_res="",f_res="(Todos)",C154=f_res)),1,0))</f>
        <v>0</v>
      </c>
      <c r="AQ154" s="97" t="str">
        <f>IF(U154=0,"",INDEX('MTRs'!$AZ$6:$AZ$505,T154))</f>
        <v/>
      </c>
      <c r="AR154" s="96">
        <f>IF(U154=0,0,IF(AND(INDEX('MTRs'!$BA$6:$BA$505,T154)=1,Z154=0),1,0))</f>
        <v>0</v>
      </c>
      <c r="AS154" s="96" t="str">
        <f>IF(R154=1,A154&amp;" | MTR "&amp;IF(U154=1,INDEX('MTRs'!$B$6:$B$505,T154)&amp;"","?")&amp;" | "&amp;IF(C154="","(sem resíduo)",C154),"")</f>
        <v/>
      </c>
      <c r="AT154" s="96" t="str">
        <f>IF(R154=1,COUNTIF($R$6:R154,1),"")</f>
        <v/>
      </c>
      <c r="AU154" s="96" t="str">
        <f>IF(U154=1,INDEX('MTRs'!$I$6:$I$505,T154)&amp;"","")</f>
        <v/>
      </c>
    </row>
    <row r="155">
      <c r="A155" s="89" t="inlineStr">
        <is>
          <t>IT-000150</t>
        </is>
      </c>
      <c r="B155" s="91" t="n"/>
      <c r="C155" s="91" t="n"/>
      <c r="D155" s="94" t="str">
        <f>IF(OR(R155=0,V155=0),"",INDEX('CAD_RESÍDUOS'!$E$6:$E$205,MATCH(C155,'CAD_RESÍDUOS'!$B$6:$B$205,0))&amp;"")</f>
        <v/>
      </c>
      <c r="E155" s="94" t="str">
        <f>IF(OR(R155=0,V155=0),"",INDEX('CAD_RESÍDUOS'!$C$6:$C$205,MATCH(C155,'CAD_RESÍDUOS'!$B$6:$B$205,0))&amp;"")</f>
        <v/>
      </c>
      <c r="F155" s="94" t="str">
        <f>IF(OR(R155=0,V155=0),"",INDEX('CAD_RESÍDUOS'!$G$6:$G$205,MATCH(C155,'CAD_RESÍDUOS'!$B$6:$B$205,0))&amp;"")</f>
        <v/>
      </c>
      <c r="G155" s="98" t="n"/>
      <c r="H155" s="91" t="n"/>
      <c r="I155" s="93" t="str">
        <f>IF(R155=0,"",IF(NOT(ISNUMBER(G155)),"",IF(ISNUMBER(X155),G155*X155,"UNIDADE A CONFERIR")))</f>
        <v/>
      </c>
      <c r="J155" s="91" t="n"/>
      <c r="K155" s="91" t="n"/>
      <c r="L155" s="93" t="str">
        <f>IF(R155=0,"",SUMIFS('RECEBIMENTOS'!$H$6:$H$1005,'RECEBIMENTOS'!$R$6:$R$1005,A155,'RECEBIMENTOS'!$X$6:$X$1005,1))</f>
        <v/>
      </c>
      <c r="M155" s="93" t="str">
        <f>IF(R155=0,"",SUMIFS('VÍNCULOS_CDF'!$H$6:$H$1005,'VÍNCULOS_CDF'!$R$6:$R$1005,A155,'VÍNCULOS_CDF'!$V$6:$V$1005,1))</f>
        <v/>
      </c>
      <c r="N155" s="99" t="str">
        <f>IF(OR(R155=0,AA155=0,NOT(ISNUMBER(I155))),"",I155-N(L155))</f>
        <v/>
      </c>
      <c r="O155" s="100" t="str">
        <f>IF(OR(R155=0,AK155&lt;=0),"",N(M155)/AK155)</f>
        <v/>
      </c>
      <c r="P155" s="94" t="str">
        <f>IF(R155=0,"",IF(S155="","Sem MTR associado",IF(U155=0,"MTR inexistente",IF(C155="","Resíduo não identificado",IF(V155=0,"Resíduo fora do cadastro",IF(W155=0,"Quantidade inválida",IF(H155="","Unidade não informada",IF(NOT(ISNUMBER(I155)),"Unidade a conferir",IF(AND(AH155=1,K155&lt;&gt;"Sim"),"Possível duplicidade",IF(Z155=1,"MTR cancelado",IF(AC155&gt;0,"Recebimento com alerta",IF(AA155=0,"Aguardando recebimento",IF(AB155&lt;AA155,"Recebimento a conferir",IF(AM155=1,"Quantidade a revisar",IF(AF155&gt;0,"Vínculo a revisar",IF(AD155=0,"Aguardando CDF",IF(AN155=0,"Vínculo de CDF parcial",IF(AE155&lt;AD155,"CDF a conferir","Documentação conferida"))))))))))))))))))</f>
        <v/>
      </c>
      <c r="Q155" s="93" t="str">
        <f>IF(OR(R155=0,AA155=0),"",MAX(0,N(L155)-N(M155)))</f>
        <v/>
      </c>
      <c r="R155" s="96">
        <f>IF(COUNTA(B155:C155,G155:H155,J155:K155)&gt;0,1,0)</f>
        <v>0</v>
      </c>
      <c r="S155" s="96" t="str">
        <f>IF(B155="","",TRIM(LEFT(B155,FIND(" |",B155&amp;" |")-1)))</f>
        <v/>
      </c>
      <c r="T155" s="96" t="str">
        <f>IF(S155="","",IFERROR(MATCH(S155,'MTRs'!$A$6:$A$505,0),""))</f>
        <v/>
      </c>
      <c r="U155" s="96">
        <f>IF(T155="",0,IF(INDEX('MTRs'!$Z$6:$Z$505,T155)=1,1,0))</f>
        <v>0</v>
      </c>
      <c r="V155" s="96">
        <f>IF(C155="",0,IF(ISNUMBER(MATCH(C155,'CAD_RESÍDUOS'!$B$6:$B$205,0)),1,0))</f>
        <v>0</v>
      </c>
      <c r="W155" s="96">
        <f>IF(AND(ISNUMBER(G155),G155&gt;0),1,0)</f>
        <v>0</v>
      </c>
      <c r="X155" s="96" t="str">
        <f>IF(H155="","",IFERROR(IF(ISNUMBER(INDEX(cfg_fac,MATCH(H155,cfg_units,0))),IF(INDEX(cfg_fac,MATCH(H155,cfg_units,0))&gt;0,INDEX(cfg_fac,MATCH(H155,cfg_units,0)),""),""),""))</f>
        <v/>
      </c>
      <c r="Y155" s="96">
        <f>IF(AND(W155=1,ISNUMBER(I155)),1,0)</f>
        <v>0</v>
      </c>
      <c r="Z155" s="96">
        <f>IF(U155=1,INDEX('MTRs'!$AA$6:$AA$505,T155),0)</f>
        <v>0</v>
      </c>
      <c r="AA155" s="96">
        <f>IF(R155=0,0,COUNTIFS('RECEBIMENTOS'!$R$6:$R$1005,A155,'RECEBIMENTOS'!$Q$6:$Q$1005,1))</f>
        <v>0</v>
      </c>
      <c r="AB155" s="96">
        <f>IF(R155=0,0,COUNTIFS('RECEBIMENTOS'!$R$6:$R$1005,A155,'RECEBIMENTOS'!$Z$6:$Z$1005,1))</f>
        <v>0</v>
      </c>
      <c r="AC155" s="96">
        <f>IF(R155=0,0,COUNTIFS('RECEBIMENTOS'!$R$6:$R$1005,A155,'RECEBIMENTOS'!$Y$6:$Y$1005,1))</f>
        <v>0</v>
      </c>
      <c r="AD155" s="96">
        <f>IF(R155=0,0,COUNTIFS('VÍNCULOS_CDF'!$R$6:$R$1005,A155,'VÍNCULOS_CDF'!$N$6:$N$1005,1))</f>
        <v>0</v>
      </c>
      <c r="AE155" s="96">
        <f>IF(R155=0,0,COUNTIFS('VÍNCULOS_CDF'!$R$6:$R$1005,A155,'VÍNCULOS_CDF'!$AA$6:$AA$1005,1))</f>
        <v>0</v>
      </c>
      <c r="AF155" s="96">
        <f>IF(R155=0,0,COUNTIFS('VÍNCULOS_CDF'!$R$6:$R$1005,A155,'VÍNCULOS_CDF'!$Y$6:$Y$1005,1))</f>
        <v>0</v>
      </c>
      <c r="AG155" s="96" t="str">
        <f>IF(AND(R155=1,S155&lt;&gt;"",C155&lt;&gt;""),S155&amp;"|"&amp;C155&amp;"|"&amp;G155&amp;"|"&amp;H155,"")</f>
        <v/>
      </c>
      <c r="AH155" s="96">
        <f>IF(AG155="",0,IF(SUMPRODUCT(--($AG$6:$AG$1005=AG155))&gt;1,1,0))</f>
        <v>0</v>
      </c>
      <c r="AI155" s="96">
        <f>IF(R155=0,0,IF(OR(U155=0,V155=0,Y155=0,AND(AH155=1,K155&lt;&gt;"Sim")),1,0))</f>
        <v>0</v>
      </c>
      <c r="AJ155" s="96">
        <f>IF(AND(R155=1,AA155&gt;0,AB155=AA155),1,0)</f>
        <v>0</v>
      </c>
      <c r="AK155" s="96">
        <f>IF(R155=0,0,IF(AA155&gt;0,N(L155),IF(ISNUMBER(I155),I155,0)))</f>
        <v>0</v>
      </c>
      <c r="AL155" s="96">
        <f>IF(R155=0,0,IF(AND(K155&lt;&gt;"Sim",N(M155)&gt;AK155+cfg_tol),1,0))</f>
        <v>0</v>
      </c>
      <c r="AM155" s="96">
        <f>IF(R155=0,0,IF(K155="Sim",0,IF(OR(AND(AA155&gt;0,ISNUMBER(I155),ABS(I155-N(L155))&gt;cfg_tol),AL155=1),1,0)))</f>
        <v>0</v>
      </c>
      <c r="AN155" s="96">
        <f>IF(AND(R155=1,N(M155)&gt;0,OR(N(M155)&gt;=AK155-cfg_tol,K155="Sim")),1,0)</f>
        <v>0</v>
      </c>
      <c r="AO155" s="96">
        <f>IF(AND(AN155=1,AD155&gt;0,AE155=AD155,AL155=0),1,0)</f>
        <v>0</v>
      </c>
      <c r="AP155" s="96">
        <f>IF(U155=0,0,IF(AND(INDEX('MTRs'!$AX$6:$AX$505,T155)=1,Z155=0,OR(f_res="",f_res="(Todos)",C155=f_res)),1,0))</f>
        <v>0</v>
      </c>
      <c r="AQ155" s="97" t="str">
        <f>IF(U155=0,"",INDEX('MTRs'!$AZ$6:$AZ$505,T155))</f>
        <v/>
      </c>
      <c r="AR155" s="96">
        <f>IF(U155=0,0,IF(AND(INDEX('MTRs'!$BA$6:$BA$505,T155)=1,Z155=0),1,0))</f>
        <v>0</v>
      </c>
      <c r="AS155" s="96" t="str">
        <f>IF(R155=1,A155&amp;" | MTR "&amp;IF(U155=1,INDEX('MTRs'!$B$6:$B$505,T155)&amp;"","?")&amp;" | "&amp;IF(C155="","(sem resíduo)",C155),"")</f>
        <v/>
      </c>
      <c r="AT155" s="96" t="str">
        <f>IF(R155=1,COUNTIF($R$6:R155,1),"")</f>
        <v/>
      </c>
      <c r="AU155" s="96" t="str">
        <f>IF(U155=1,INDEX('MTRs'!$I$6:$I$505,T155)&amp;"","")</f>
        <v/>
      </c>
    </row>
    <row r="156">
      <c r="A156" s="89" t="inlineStr">
        <is>
          <t>IT-000151</t>
        </is>
      </c>
      <c r="B156" s="91" t="n"/>
      <c r="C156" s="91" t="n"/>
      <c r="D156" s="94" t="str">
        <f>IF(OR(R156=0,V156=0),"",INDEX('CAD_RESÍDUOS'!$E$6:$E$205,MATCH(C156,'CAD_RESÍDUOS'!$B$6:$B$205,0))&amp;"")</f>
        <v/>
      </c>
      <c r="E156" s="94" t="str">
        <f>IF(OR(R156=0,V156=0),"",INDEX('CAD_RESÍDUOS'!$C$6:$C$205,MATCH(C156,'CAD_RESÍDUOS'!$B$6:$B$205,0))&amp;"")</f>
        <v/>
      </c>
      <c r="F156" s="94" t="str">
        <f>IF(OR(R156=0,V156=0),"",INDEX('CAD_RESÍDUOS'!$G$6:$G$205,MATCH(C156,'CAD_RESÍDUOS'!$B$6:$B$205,0))&amp;"")</f>
        <v/>
      </c>
      <c r="G156" s="98" t="n"/>
      <c r="H156" s="91" t="n"/>
      <c r="I156" s="93" t="str">
        <f>IF(R156=0,"",IF(NOT(ISNUMBER(G156)),"",IF(ISNUMBER(X156),G156*X156,"UNIDADE A CONFERIR")))</f>
        <v/>
      </c>
      <c r="J156" s="91" t="n"/>
      <c r="K156" s="91" t="n"/>
      <c r="L156" s="93" t="str">
        <f>IF(R156=0,"",SUMIFS('RECEBIMENTOS'!$H$6:$H$1005,'RECEBIMENTOS'!$R$6:$R$1005,A156,'RECEBIMENTOS'!$X$6:$X$1005,1))</f>
        <v/>
      </c>
      <c r="M156" s="93" t="str">
        <f>IF(R156=0,"",SUMIFS('VÍNCULOS_CDF'!$H$6:$H$1005,'VÍNCULOS_CDF'!$R$6:$R$1005,A156,'VÍNCULOS_CDF'!$V$6:$V$1005,1))</f>
        <v/>
      </c>
      <c r="N156" s="99" t="str">
        <f>IF(OR(R156=0,AA156=0,NOT(ISNUMBER(I156))),"",I156-N(L156))</f>
        <v/>
      </c>
      <c r="O156" s="100" t="str">
        <f>IF(OR(R156=0,AK156&lt;=0),"",N(M156)/AK156)</f>
        <v/>
      </c>
      <c r="P156" s="94" t="str">
        <f>IF(R156=0,"",IF(S156="","Sem MTR associado",IF(U156=0,"MTR inexistente",IF(C156="","Resíduo não identificado",IF(V156=0,"Resíduo fora do cadastro",IF(W156=0,"Quantidade inválida",IF(H156="","Unidade não informada",IF(NOT(ISNUMBER(I156)),"Unidade a conferir",IF(AND(AH156=1,K156&lt;&gt;"Sim"),"Possível duplicidade",IF(Z156=1,"MTR cancelado",IF(AC156&gt;0,"Recebimento com alerta",IF(AA156=0,"Aguardando recebimento",IF(AB156&lt;AA156,"Recebimento a conferir",IF(AM156=1,"Quantidade a revisar",IF(AF156&gt;0,"Vínculo a revisar",IF(AD156=0,"Aguardando CDF",IF(AN156=0,"Vínculo de CDF parcial",IF(AE156&lt;AD156,"CDF a conferir","Documentação conferida"))))))))))))))))))</f>
        <v/>
      </c>
      <c r="Q156" s="93" t="str">
        <f>IF(OR(R156=0,AA156=0),"",MAX(0,N(L156)-N(M156)))</f>
        <v/>
      </c>
      <c r="R156" s="96">
        <f>IF(COUNTA(B156:C156,G156:H156,J156:K156)&gt;0,1,0)</f>
        <v>0</v>
      </c>
      <c r="S156" s="96" t="str">
        <f>IF(B156="","",TRIM(LEFT(B156,FIND(" |",B156&amp;" |")-1)))</f>
        <v/>
      </c>
      <c r="T156" s="96" t="str">
        <f>IF(S156="","",IFERROR(MATCH(S156,'MTRs'!$A$6:$A$505,0),""))</f>
        <v/>
      </c>
      <c r="U156" s="96">
        <f>IF(T156="",0,IF(INDEX('MTRs'!$Z$6:$Z$505,T156)=1,1,0))</f>
        <v>0</v>
      </c>
      <c r="V156" s="96">
        <f>IF(C156="",0,IF(ISNUMBER(MATCH(C156,'CAD_RESÍDUOS'!$B$6:$B$205,0)),1,0))</f>
        <v>0</v>
      </c>
      <c r="W156" s="96">
        <f>IF(AND(ISNUMBER(G156),G156&gt;0),1,0)</f>
        <v>0</v>
      </c>
      <c r="X156" s="96" t="str">
        <f>IF(H156="","",IFERROR(IF(ISNUMBER(INDEX(cfg_fac,MATCH(H156,cfg_units,0))),IF(INDEX(cfg_fac,MATCH(H156,cfg_units,0))&gt;0,INDEX(cfg_fac,MATCH(H156,cfg_units,0)),""),""),""))</f>
        <v/>
      </c>
      <c r="Y156" s="96">
        <f>IF(AND(W156=1,ISNUMBER(I156)),1,0)</f>
        <v>0</v>
      </c>
      <c r="Z156" s="96">
        <f>IF(U156=1,INDEX('MTRs'!$AA$6:$AA$505,T156),0)</f>
        <v>0</v>
      </c>
      <c r="AA156" s="96">
        <f>IF(R156=0,0,COUNTIFS('RECEBIMENTOS'!$R$6:$R$1005,A156,'RECEBIMENTOS'!$Q$6:$Q$1005,1))</f>
        <v>0</v>
      </c>
      <c r="AB156" s="96">
        <f>IF(R156=0,0,COUNTIFS('RECEBIMENTOS'!$R$6:$R$1005,A156,'RECEBIMENTOS'!$Z$6:$Z$1005,1))</f>
        <v>0</v>
      </c>
      <c r="AC156" s="96">
        <f>IF(R156=0,0,COUNTIFS('RECEBIMENTOS'!$R$6:$R$1005,A156,'RECEBIMENTOS'!$Y$6:$Y$1005,1))</f>
        <v>0</v>
      </c>
      <c r="AD156" s="96">
        <f>IF(R156=0,0,COUNTIFS('VÍNCULOS_CDF'!$R$6:$R$1005,A156,'VÍNCULOS_CDF'!$N$6:$N$1005,1))</f>
        <v>0</v>
      </c>
      <c r="AE156" s="96">
        <f>IF(R156=0,0,COUNTIFS('VÍNCULOS_CDF'!$R$6:$R$1005,A156,'VÍNCULOS_CDF'!$AA$6:$AA$1005,1))</f>
        <v>0</v>
      </c>
      <c r="AF156" s="96">
        <f>IF(R156=0,0,COUNTIFS('VÍNCULOS_CDF'!$R$6:$R$1005,A156,'VÍNCULOS_CDF'!$Y$6:$Y$1005,1))</f>
        <v>0</v>
      </c>
      <c r="AG156" s="96" t="str">
        <f>IF(AND(R156=1,S156&lt;&gt;"",C156&lt;&gt;""),S156&amp;"|"&amp;C156&amp;"|"&amp;G156&amp;"|"&amp;H156,"")</f>
        <v/>
      </c>
      <c r="AH156" s="96">
        <f>IF(AG156="",0,IF(SUMPRODUCT(--($AG$6:$AG$1005=AG156))&gt;1,1,0))</f>
        <v>0</v>
      </c>
      <c r="AI156" s="96">
        <f>IF(R156=0,0,IF(OR(U156=0,V156=0,Y156=0,AND(AH156=1,K156&lt;&gt;"Sim")),1,0))</f>
        <v>0</v>
      </c>
      <c r="AJ156" s="96">
        <f>IF(AND(R156=1,AA156&gt;0,AB156=AA156),1,0)</f>
        <v>0</v>
      </c>
      <c r="AK156" s="96">
        <f>IF(R156=0,0,IF(AA156&gt;0,N(L156),IF(ISNUMBER(I156),I156,0)))</f>
        <v>0</v>
      </c>
      <c r="AL156" s="96">
        <f>IF(R156=0,0,IF(AND(K156&lt;&gt;"Sim",N(M156)&gt;AK156+cfg_tol),1,0))</f>
        <v>0</v>
      </c>
      <c r="AM156" s="96">
        <f>IF(R156=0,0,IF(K156="Sim",0,IF(OR(AND(AA156&gt;0,ISNUMBER(I156),ABS(I156-N(L156))&gt;cfg_tol),AL156=1),1,0)))</f>
        <v>0</v>
      </c>
      <c r="AN156" s="96">
        <f>IF(AND(R156=1,N(M156)&gt;0,OR(N(M156)&gt;=AK156-cfg_tol,K156="Sim")),1,0)</f>
        <v>0</v>
      </c>
      <c r="AO156" s="96">
        <f>IF(AND(AN156=1,AD156&gt;0,AE156=AD156,AL156=0),1,0)</f>
        <v>0</v>
      </c>
      <c r="AP156" s="96">
        <f>IF(U156=0,0,IF(AND(INDEX('MTRs'!$AX$6:$AX$505,T156)=1,Z156=0,OR(f_res="",f_res="(Todos)",C156=f_res)),1,0))</f>
        <v>0</v>
      </c>
      <c r="AQ156" s="97" t="str">
        <f>IF(U156=0,"",INDEX('MTRs'!$AZ$6:$AZ$505,T156))</f>
        <v/>
      </c>
      <c r="AR156" s="96">
        <f>IF(U156=0,0,IF(AND(INDEX('MTRs'!$BA$6:$BA$505,T156)=1,Z156=0),1,0))</f>
        <v>0</v>
      </c>
      <c r="AS156" s="96" t="str">
        <f>IF(R156=1,A156&amp;" | MTR "&amp;IF(U156=1,INDEX('MTRs'!$B$6:$B$505,T156)&amp;"","?")&amp;" | "&amp;IF(C156="","(sem resíduo)",C156),"")</f>
        <v/>
      </c>
      <c r="AT156" s="96" t="str">
        <f>IF(R156=1,COUNTIF($R$6:R156,1),"")</f>
        <v/>
      </c>
      <c r="AU156" s="96" t="str">
        <f>IF(U156=1,INDEX('MTRs'!$I$6:$I$505,T156)&amp;"","")</f>
        <v/>
      </c>
    </row>
    <row r="157">
      <c r="A157" s="89" t="inlineStr">
        <is>
          <t>IT-000152</t>
        </is>
      </c>
      <c r="B157" s="91" t="n"/>
      <c r="C157" s="91" t="n"/>
      <c r="D157" s="94" t="str">
        <f>IF(OR(R157=0,V157=0),"",INDEX('CAD_RESÍDUOS'!$E$6:$E$205,MATCH(C157,'CAD_RESÍDUOS'!$B$6:$B$205,0))&amp;"")</f>
        <v/>
      </c>
      <c r="E157" s="94" t="str">
        <f>IF(OR(R157=0,V157=0),"",INDEX('CAD_RESÍDUOS'!$C$6:$C$205,MATCH(C157,'CAD_RESÍDUOS'!$B$6:$B$205,0))&amp;"")</f>
        <v/>
      </c>
      <c r="F157" s="94" t="str">
        <f>IF(OR(R157=0,V157=0),"",INDEX('CAD_RESÍDUOS'!$G$6:$G$205,MATCH(C157,'CAD_RESÍDUOS'!$B$6:$B$205,0))&amp;"")</f>
        <v/>
      </c>
      <c r="G157" s="98" t="n"/>
      <c r="H157" s="91" t="n"/>
      <c r="I157" s="93" t="str">
        <f>IF(R157=0,"",IF(NOT(ISNUMBER(G157)),"",IF(ISNUMBER(X157),G157*X157,"UNIDADE A CONFERIR")))</f>
        <v/>
      </c>
      <c r="J157" s="91" t="n"/>
      <c r="K157" s="91" t="n"/>
      <c r="L157" s="93" t="str">
        <f>IF(R157=0,"",SUMIFS('RECEBIMENTOS'!$H$6:$H$1005,'RECEBIMENTOS'!$R$6:$R$1005,A157,'RECEBIMENTOS'!$X$6:$X$1005,1))</f>
        <v/>
      </c>
      <c r="M157" s="93" t="str">
        <f>IF(R157=0,"",SUMIFS('VÍNCULOS_CDF'!$H$6:$H$1005,'VÍNCULOS_CDF'!$R$6:$R$1005,A157,'VÍNCULOS_CDF'!$V$6:$V$1005,1))</f>
        <v/>
      </c>
      <c r="N157" s="99" t="str">
        <f>IF(OR(R157=0,AA157=0,NOT(ISNUMBER(I157))),"",I157-N(L157))</f>
        <v/>
      </c>
      <c r="O157" s="100" t="str">
        <f>IF(OR(R157=0,AK157&lt;=0),"",N(M157)/AK157)</f>
        <v/>
      </c>
      <c r="P157" s="94" t="str">
        <f>IF(R157=0,"",IF(S157="","Sem MTR associado",IF(U157=0,"MTR inexistente",IF(C157="","Resíduo não identificado",IF(V157=0,"Resíduo fora do cadastro",IF(W157=0,"Quantidade inválida",IF(H157="","Unidade não informada",IF(NOT(ISNUMBER(I157)),"Unidade a conferir",IF(AND(AH157=1,K157&lt;&gt;"Sim"),"Possível duplicidade",IF(Z157=1,"MTR cancelado",IF(AC157&gt;0,"Recebimento com alerta",IF(AA157=0,"Aguardando recebimento",IF(AB157&lt;AA157,"Recebimento a conferir",IF(AM157=1,"Quantidade a revisar",IF(AF157&gt;0,"Vínculo a revisar",IF(AD157=0,"Aguardando CDF",IF(AN157=0,"Vínculo de CDF parcial",IF(AE157&lt;AD157,"CDF a conferir","Documentação conferida"))))))))))))))))))</f>
        <v/>
      </c>
      <c r="Q157" s="93" t="str">
        <f>IF(OR(R157=0,AA157=0),"",MAX(0,N(L157)-N(M157)))</f>
        <v/>
      </c>
      <c r="R157" s="96">
        <f>IF(COUNTA(B157:C157,G157:H157,J157:K157)&gt;0,1,0)</f>
        <v>0</v>
      </c>
      <c r="S157" s="96" t="str">
        <f>IF(B157="","",TRIM(LEFT(B157,FIND(" |",B157&amp;" |")-1)))</f>
        <v/>
      </c>
      <c r="T157" s="96" t="str">
        <f>IF(S157="","",IFERROR(MATCH(S157,'MTRs'!$A$6:$A$505,0),""))</f>
        <v/>
      </c>
      <c r="U157" s="96">
        <f>IF(T157="",0,IF(INDEX('MTRs'!$Z$6:$Z$505,T157)=1,1,0))</f>
        <v>0</v>
      </c>
      <c r="V157" s="96">
        <f>IF(C157="",0,IF(ISNUMBER(MATCH(C157,'CAD_RESÍDUOS'!$B$6:$B$205,0)),1,0))</f>
        <v>0</v>
      </c>
      <c r="W157" s="96">
        <f>IF(AND(ISNUMBER(G157),G157&gt;0),1,0)</f>
        <v>0</v>
      </c>
      <c r="X157" s="96" t="str">
        <f>IF(H157="","",IFERROR(IF(ISNUMBER(INDEX(cfg_fac,MATCH(H157,cfg_units,0))),IF(INDEX(cfg_fac,MATCH(H157,cfg_units,0))&gt;0,INDEX(cfg_fac,MATCH(H157,cfg_units,0)),""),""),""))</f>
        <v/>
      </c>
      <c r="Y157" s="96">
        <f>IF(AND(W157=1,ISNUMBER(I157)),1,0)</f>
        <v>0</v>
      </c>
      <c r="Z157" s="96">
        <f>IF(U157=1,INDEX('MTRs'!$AA$6:$AA$505,T157),0)</f>
        <v>0</v>
      </c>
      <c r="AA157" s="96">
        <f>IF(R157=0,0,COUNTIFS('RECEBIMENTOS'!$R$6:$R$1005,A157,'RECEBIMENTOS'!$Q$6:$Q$1005,1))</f>
        <v>0</v>
      </c>
      <c r="AB157" s="96">
        <f>IF(R157=0,0,COUNTIFS('RECEBIMENTOS'!$R$6:$R$1005,A157,'RECEBIMENTOS'!$Z$6:$Z$1005,1))</f>
        <v>0</v>
      </c>
      <c r="AC157" s="96">
        <f>IF(R157=0,0,COUNTIFS('RECEBIMENTOS'!$R$6:$R$1005,A157,'RECEBIMENTOS'!$Y$6:$Y$1005,1))</f>
        <v>0</v>
      </c>
      <c r="AD157" s="96">
        <f>IF(R157=0,0,COUNTIFS('VÍNCULOS_CDF'!$R$6:$R$1005,A157,'VÍNCULOS_CDF'!$N$6:$N$1005,1))</f>
        <v>0</v>
      </c>
      <c r="AE157" s="96">
        <f>IF(R157=0,0,COUNTIFS('VÍNCULOS_CDF'!$R$6:$R$1005,A157,'VÍNCULOS_CDF'!$AA$6:$AA$1005,1))</f>
        <v>0</v>
      </c>
      <c r="AF157" s="96">
        <f>IF(R157=0,0,COUNTIFS('VÍNCULOS_CDF'!$R$6:$R$1005,A157,'VÍNCULOS_CDF'!$Y$6:$Y$1005,1))</f>
        <v>0</v>
      </c>
      <c r="AG157" s="96" t="str">
        <f>IF(AND(R157=1,S157&lt;&gt;"",C157&lt;&gt;""),S157&amp;"|"&amp;C157&amp;"|"&amp;G157&amp;"|"&amp;H157,"")</f>
        <v/>
      </c>
      <c r="AH157" s="96">
        <f>IF(AG157="",0,IF(SUMPRODUCT(--($AG$6:$AG$1005=AG157))&gt;1,1,0))</f>
        <v>0</v>
      </c>
      <c r="AI157" s="96">
        <f>IF(R157=0,0,IF(OR(U157=0,V157=0,Y157=0,AND(AH157=1,K157&lt;&gt;"Sim")),1,0))</f>
        <v>0</v>
      </c>
      <c r="AJ157" s="96">
        <f>IF(AND(R157=1,AA157&gt;0,AB157=AA157),1,0)</f>
        <v>0</v>
      </c>
      <c r="AK157" s="96">
        <f>IF(R157=0,0,IF(AA157&gt;0,N(L157),IF(ISNUMBER(I157),I157,0)))</f>
        <v>0</v>
      </c>
      <c r="AL157" s="96">
        <f>IF(R157=0,0,IF(AND(K157&lt;&gt;"Sim",N(M157)&gt;AK157+cfg_tol),1,0))</f>
        <v>0</v>
      </c>
      <c r="AM157" s="96">
        <f>IF(R157=0,0,IF(K157="Sim",0,IF(OR(AND(AA157&gt;0,ISNUMBER(I157),ABS(I157-N(L157))&gt;cfg_tol),AL157=1),1,0)))</f>
        <v>0</v>
      </c>
      <c r="AN157" s="96">
        <f>IF(AND(R157=1,N(M157)&gt;0,OR(N(M157)&gt;=AK157-cfg_tol,K157="Sim")),1,0)</f>
        <v>0</v>
      </c>
      <c r="AO157" s="96">
        <f>IF(AND(AN157=1,AD157&gt;0,AE157=AD157,AL157=0),1,0)</f>
        <v>0</v>
      </c>
      <c r="AP157" s="96">
        <f>IF(U157=0,0,IF(AND(INDEX('MTRs'!$AX$6:$AX$505,T157)=1,Z157=0,OR(f_res="",f_res="(Todos)",C157=f_res)),1,0))</f>
        <v>0</v>
      </c>
      <c r="AQ157" s="97" t="str">
        <f>IF(U157=0,"",INDEX('MTRs'!$AZ$6:$AZ$505,T157))</f>
        <v/>
      </c>
      <c r="AR157" s="96">
        <f>IF(U157=0,0,IF(AND(INDEX('MTRs'!$BA$6:$BA$505,T157)=1,Z157=0),1,0))</f>
        <v>0</v>
      </c>
      <c r="AS157" s="96" t="str">
        <f>IF(R157=1,A157&amp;" | MTR "&amp;IF(U157=1,INDEX('MTRs'!$B$6:$B$505,T157)&amp;"","?")&amp;" | "&amp;IF(C157="","(sem resíduo)",C157),"")</f>
        <v/>
      </c>
      <c r="AT157" s="96" t="str">
        <f>IF(R157=1,COUNTIF($R$6:R157,1),"")</f>
        <v/>
      </c>
      <c r="AU157" s="96" t="str">
        <f>IF(U157=1,INDEX('MTRs'!$I$6:$I$505,T157)&amp;"","")</f>
        <v/>
      </c>
    </row>
    <row r="158">
      <c r="A158" s="89" t="inlineStr">
        <is>
          <t>IT-000153</t>
        </is>
      </c>
      <c r="B158" s="91" t="n"/>
      <c r="C158" s="91" t="n"/>
      <c r="D158" s="94" t="str">
        <f>IF(OR(R158=0,V158=0),"",INDEX('CAD_RESÍDUOS'!$E$6:$E$205,MATCH(C158,'CAD_RESÍDUOS'!$B$6:$B$205,0))&amp;"")</f>
        <v/>
      </c>
      <c r="E158" s="94" t="str">
        <f>IF(OR(R158=0,V158=0),"",INDEX('CAD_RESÍDUOS'!$C$6:$C$205,MATCH(C158,'CAD_RESÍDUOS'!$B$6:$B$205,0))&amp;"")</f>
        <v/>
      </c>
      <c r="F158" s="94" t="str">
        <f>IF(OR(R158=0,V158=0),"",INDEX('CAD_RESÍDUOS'!$G$6:$G$205,MATCH(C158,'CAD_RESÍDUOS'!$B$6:$B$205,0))&amp;"")</f>
        <v/>
      </c>
      <c r="G158" s="98" t="n"/>
      <c r="H158" s="91" t="n"/>
      <c r="I158" s="93" t="str">
        <f>IF(R158=0,"",IF(NOT(ISNUMBER(G158)),"",IF(ISNUMBER(X158),G158*X158,"UNIDADE A CONFERIR")))</f>
        <v/>
      </c>
      <c r="J158" s="91" t="n"/>
      <c r="K158" s="91" t="n"/>
      <c r="L158" s="93" t="str">
        <f>IF(R158=0,"",SUMIFS('RECEBIMENTOS'!$H$6:$H$1005,'RECEBIMENTOS'!$R$6:$R$1005,A158,'RECEBIMENTOS'!$X$6:$X$1005,1))</f>
        <v/>
      </c>
      <c r="M158" s="93" t="str">
        <f>IF(R158=0,"",SUMIFS('VÍNCULOS_CDF'!$H$6:$H$1005,'VÍNCULOS_CDF'!$R$6:$R$1005,A158,'VÍNCULOS_CDF'!$V$6:$V$1005,1))</f>
        <v/>
      </c>
      <c r="N158" s="99" t="str">
        <f>IF(OR(R158=0,AA158=0,NOT(ISNUMBER(I158))),"",I158-N(L158))</f>
        <v/>
      </c>
      <c r="O158" s="100" t="str">
        <f>IF(OR(R158=0,AK158&lt;=0),"",N(M158)/AK158)</f>
        <v/>
      </c>
      <c r="P158" s="94" t="str">
        <f>IF(R158=0,"",IF(S158="","Sem MTR associado",IF(U158=0,"MTR inexistente",IF(C158="","Resíduo não identificado",IF(V158=0,"Resíduo fora do cadastro",IF(W158=0,"Quantidade inválida",IF(H158="","Unidade não informada",IF(NOT(ISNUMBER(I158)),"Unidade a conferir",IF(AND(AH158=1,K158&lt;&gt;"Sim"),"Possível duplicidade",IF(Z158=1,"MTR cancelado",IF(AC158&gt;0,"Recebimento com alerta",IF(AA158=0,"Aguardando recebimento",IF(AB158&lt;AA158,"Recebimento a conferir",IF(AM158=1,"Quantidade a revisar",IF(AF158&gt;0,"Vínculo a revisar",IF(AD158=0,"Aguardando CDF",IF(AN158=0,"Vínculo de CDF parcial",IF(AE158&lt;AD158,"CDF a conferir","Documentação conferida"))))))))))))))))))</f>
        <v/>
      </c>
      <c r="Q158" s="93" t="str">
        <f>IF(OR(R158=0,AA158=0),"",MAX(0,N(L158)-N(M158)))</f>
        <v/>
      </c>
      <c r="R158" s="96">
        <f>IF(COUNTA(B158:C158,G158:H158,J158:K158)&gt;0,1,0)</f>
        <v>0</v>
      </c>
      <c r="S158" s="96" t="str">
        <f>IF(B158="","",TRIM(LEFT(B158,FIND(" |",B158&amp;" |")-1)))</f>
        <v/>
      </c>
      <c r="T158" s="96" t="str">
        <f>IF(S158="","",IFERROR(MATCH(S158,'MTRs'!$A$6:$A$505,0),""))</f>
        <v/>
      </c>
      <c r="U158" s="96">
        <f>IF(T158="",0,IF(INDEX('MTRs'!$Z$6:$Z$505,T158)=1,1,0))</f>
        <v>0</v>
      </c>
      <c r="V158" s="96">
        <f>IF(C158="",0,IF(ISNUMBER(MATCH(C158,'CAD_RESÍDUOS'!$B$6:$B$205,0)),1,0))</f>
        <v>0</v>
      </c>
      <c r="W158" s="96">
        <f>IF(AND(ISNUMBER(G158),G158&gt;0),1,0)</f>
        <v>0</v>
      </c>
      <c r="X158" s="96" t="str">
        <f>IF(H158="","",IFERROR(IF(ISNUMBER(INDEX(cfg_fac,MATCH(H158,cfg_units,0))),IF(INDEX(cfg_fac,MATCH(H158,cfg_units,0))&gt;0,INDEX(cfg_fac,MATCH(H158,cfg_units,0)),""),""),""))</f>
        <v/>
      </c>
      <c r="Y158" s="96">
        <f>IF(AND(W158=1,ISNUMBER(I158)),1,0)</f>
        <v>0</v>
      </c>
      <c r="Z158" s="96">
        <f>IF(U158=1,INDEX('MTRs'!$AA$6:$AA$505,T158),0)</f>
        <v>0</v>
      </c>
      <c r="AA158" s="96">
        <f>IF(R158=0,0,COUNTIFS('RECEBIMENTOS'!$R$6:$R$1005,A158,'RECEBIMENTOS'!$Q$6:$Q$1005,1))</f>
        <v>0</v>
      </c>
      <c r="AB158" s="96">
        <f>IF(R158=0,0,COUNTIFS('RECEBIMENTOS'!$R$6:$R$1005,A158,'RECEBIMENTOS'!$Z$6:$Z$1005,1))</f>
        <v>0</v>
      </c>
      <c r="AC158" s="96">
        <f>IF(R158=0,0,COUNTIFS('RECEBIMENTOS'!$R$6:$R$1005,A158,'RECEBIMENTOS'!$Y$6:$Y$1005,1))</f>
        <v>0</v>
      </c>
      <c r="AD158" s="96">
        <f>IF(R158=0,0,COUNTIFS('VÍNCULOS_CDF'!$R$6:$R$1005,A158,'VÍNCULOS_CDF'!$N$6:$N$1005,1))</f>
        <v>0</v>
      </c>
      <c r="AE158" s="96">
        <f>IF(R158=0,0,COUNTIFS('VÍNCULOS_CDF'!$R$6:$R$1005,A158,'VÍNCULOS_CDF'!$AA$6:$AA$1005,1))</f>
        <v>0</v>
      </c>
      <c r="AF158" s="96">
        <f>IF(R158=0,0,COUNTIFS('VÍNCULOS_CDF'!$R$6:$R$1005,A158,'VÍNCULOS_CDF'!$Y$6:$Y$1005,1))</f>
        <v>0</v>
      </c>
      <c r="AG158" s="96" t="str">
        <f>IF(AND(R158=1,S158&lt;&gt;"",C158&lt;&gt;""),S158&amp;"|"&amp;C158&amp;"|"&amp;G158&amp;"|"&amp;H158,"")</f>
        <v/>
      </c>
      <c r="AH158" s="96">
        <f>IF(AG158="",0,IF(SUMPRODUCT(--($AG$6:$AG$1005=AG158))&gt;1,1,0))</f>
        <v>0</v>
      </c>
      <c r="AI158" s="96">
        <f>IF(R158=0,0,IF(OR(U158=0,V158=0,Y158=0,AND(AH158=1,K158&lt;&gt;"Sim")),1,0))</f>
        <v>0</v>
      </c>
      <c r="AJ158" s="96">
        <f>IF(AND(R158=1,AA158&gt;0,AB158=AA158),1,0)</f>
        <v>0</v>
      </c>
      <c r="AK158" s="96">
        <f>IF(R158=0,0,IF(AA158&gt;0,N(L158),IF(ISNUMBER(I158),I158,0)))</f>
        <v>0</v>
      </c>
      <c r="AL158" s="96">
        <f>IF(R158=0,0,IF(AND(K158&lt;&gt;"Sim",N(M158)&gt;AK158+cfg_tol),1,0))</f>
        <v>0</v>
      </c>
      <c r="AM158" s="96">
        <f>IF(R158=0,0,IF(K158="Sim",0,IF(OR(AND(AA158&gt;0,ISNUMBER(I158),ABS(I158-N(L158))&gt;cfg_tol),AL158=1),1,0)))</f>
        <v>0</v>
      </c>
      <c r="AN158" s="96">
        <f>IF(AND(R158=1,N(M158)&gt;0,OR(N(M158)&gt;=AK158-cfg_tol,K158="Sim")),1,0)</f>
        <v>0</v>
      </c>
      <c r="AO158" s="96">
        <f>IF(AND(AN158=1,AD158&gt;0,AE158=AD158,AL158=0),1,0)</f>
        <v>0</v>
      </c>
      <c r="AP158" s="96">
        <f>IF(U158=0,0,IF(AND(INDEX('MTRs'!$AX$6:$AX$505,T158)=1,Z158=0,OR(f_res="",f_res="(Todos)",C158=f_res)),1,0))</f>
        <v>0</v>
      </c>
      <c r="AQ158" s="97" t="str">
        <f>IF(U158=0,"",INDEX('MTRs'!$AZ$6:$AZ$505,T158))</f>
        <v/>
      </c>
      <c r="AR158" s="96">
        <f>IF(U158=0,0,IF(AND(INDEX('MTRs'!$BA$6:$BA$505,T158)=1,Z158=0),1,0))</f>
        <v>0</v>
      </c>
      <c r="AS158" s="96" t="str">
        <f>IF(R158=1,A158&amp;" | MTR "&amp;IF(U158=1,INDEX('MTRs'!$B$6:$B$505,T158)&amp;"","?")&amp;" | "&amp;IF(C158="","(sem resíduo)",C158),"")</f>
        <v/>
      </c>
      <c r="AT158" s="96" t="str">
        <f>IF(R158=1,COUNTIF($R$6:R158,1),"")</f>
        <v/>
      </c>
      <c r="AU158" s="96" t="str">
        <f>IF(U158=1,INDEX('MTRs'!$I$6:$I$505,T158)&amp;"","")</f>
        <v/>
      </c>
    </row>
    <row r="159">
      <c r="A159" s="89" t="inlineStr">
        <is>
          <t>IT-000154</t>
        </is>
      </c>
      <c r="B159" s="91" t="n"/>
      <c r="C159" s="91" t="n"/>
      <c r="D159" s="94" t="str">
        <f>IF(OR(R159=0,V159=0),"",INDEX('CAD_RESÍDUOS'!$E$6:$E$205,MATCH(C159,'CAD_RESÍDUOS'!$B$6:$B$205,0))&amp;"")</f>
        <v/>
      </c>
      <c r="E159" s="94" t="str">
        <f>IF(OR(R159=0,V159=0),"",INDEX('CAD_RESÍDUOS'!$C$6:$C$205,MATCH(C159,'CAD_RESÍDUOS'!$B$6:$B$205,0))&amp;"")</f>
        <v/>
      </c>
      <c r="F159" s="94" t="str">
        <f>IF(OR(R159=0,V159=0),"",INDEX('CAD_RESÍDUOS'!$G$6:$G$205,MATCH(C159,'CAD_RESÍDUOS'!$B$6:$B$205,0))&amp;"")</f>
        <v/>
      </c>
      <c r="G159" s="98" t="n"/>
      <c r="H159" s="91" t="n"/>
      <c r="I159" s="93" t="str">
        <f>IF(R159=0,"",IF(NOT(ISNUMBER(G159)),"",IF(ISNUMBER(X159),G159*X159,"UNIDADE A CONFERIR")))</f>
        <v/>
      </c>
      <c r="J159" s="91" t="n"/>
      <c r="K159" s="91" t="n"/>
      <c r="L159" s="93" t="str">
        <f>IF(R159=0,"",SUMIFS('RECEBIMENTOS'!$H$6:$H$1005,'RECEBIMENTOS'!$R$6:$R$1005,A159,'RECEBIMENTOS'!$X$6:$X$1005,1))</f>
        <v/>
      </c>
      <c r="M159" s="93" t="str">
        <f>IF(R159=0,"",SUMIFS('VÍNCULOS_CDF'!$H$6:$H$1005,'VÍNCULOS_CDF'!$R$6:$R$1005,A159,'VÍNCULOS_CDF'!$V$6:$V$1005,1))</f>
        <v/>
      </c>
      <c r="N159" s="99" t="str">
        <f>IF(OR(R159=0,AA159=0,NOT(ISNUMBER(I159))),"",I159-N(L159))</f>
        <v/>
      </c>
      <c r="O159" s="100" t="str">
        <f>IF(OR(R159=0,AK159&lt;=0),"",N(M159)/AK159)</f>
        <v/>
      </c>
      <c r="P159" s="94" t="str">
        <f>IF(R159=0,"",IF(S159="","Sem MTR associado",IF(U159=0,"MTR inexistente",IF(C159="","Resíduo não identificado",IF(V159=0,"Resíduo fora do cadastro",IF(W159=0,"Quantidade inválida",IF(H159="","Unidade não informada",IF(NOT(ISNUMBER(I159)),"Unidade a conferir",IF(AND(AH159=1,K159&lt;&gt;"Sim"),"Possível duplicidade",IF(Z159=1,"MTR cancelado",IF(AC159&gt;0,"Recebimento com alerta",IF(AA159=0,"Aguardando recebimento",IF(AB159&lt;AA159,"Recebimento a conferir",IF(AM159=1,"Quantidade a revisar",IF(AF159&gt;0,"Vínculo a revisar",IF(AD159=0,"Aguardando CDF",IF(AN159=0,"Vínculo de CDF parcial",IF(AE159&lt;AD159,"CDF a conferir","Documentação conferida"))))))))))))))))))</f>
        <v/>
      </c>
      <c r="Q159" s="93" t="str">
        <f>IF(OR(R159=0,AA159=0),"",MAX(0,N(L159)-N(M159)))</f>
        <v/>
      </c>
      <c r="R159" s="96">
        <f>IF(COUNTA(B159:C159,G159:H159,J159:K159)&gt;0,1,0)</f>
        <v>0</v>
      </c>
      <c r="S159" s="96" t="str">
        <f>IF(B159="","",TRIM(LEFT(B159,FIND(" |",B159&amp;" |")-1)))</f>
        <v/>
      </c>
      <c r="T159" s="96" t="str">
        <f>IF(S159="","",IFERROR(MATCH(S159,'MTRs'!$A$6:$A$505,0),""))</f>
        <v/>
      </c>
      <c r="U159" s="96">
        <f>IF(T159="",0,IF(INDEX('MTRs'!$Z$6:$Z$505,T159)=1,1,0))</f>
        <v>0</v>
      </c>
      <c r="V159" s="96">
        <f>IF(C159="",0,IF(ISNUMBER(MATCH(C159,'CAD_RESÍDUOS'!$B$6:$B$205,0)),1,0))</f>
        <v>0</v>
      </c>
      <c r="W159" s="96">
        <f>IF(AND(ISNUMBER(G159),G159&gt;0),1,0)</f>
        <v>0</v>
      </c>
      <c r="X159" s="96" t="str">
        <f>IF(H159="","",IFERROR(IF(ISNUMBER(INDEX(cfg_fac,MATCH(H159,cfg_units,0))),IF(INDEX(cfg_fac,MATCH(H159,cfg_units,0))&gt;0,INDEX(cfg_fac,MATCH(H159,cfg_units,0)),""),""),""))</f>
        <v/>
      </c>
      <c r="Y159" s="96">
        <f>IF(AND(W159=1,ISNUMBER(I159)),1,0)</f>
        <v>0</v>
      </c>
      <c r="Z159" s="96">
        <f>IF(U159=1,INDEX('MTRs'!$AA$6:$AA$505,T159),0)</f>
        <v>0</v>
      </c>
      <c r="AA159" s="96">
        <f>IF(R159=0,0,COUNTIFS('RECEBIMENTOS'!$R$6:$R$1005,A159,'RECEBIMENTOS'!$Q$6:$Q$1005,1))</f>
        <v>0</v>
      </c>
      <c r="AB159" s="96">
        <f>IF(R159=0,0,COUNTIFS('RECEBIMENTOS'!$R$6:$R$1005,A159,'RECEBIMENTOS'!$Z$6:$Z$1005,1))</f>
        <v>0</v>
      </c>
      <c r="AC159" s="96">
        <f>IF(R159=0,0,COUNTIFS('RECEBIMENTOS'!$R$6:$R$1005,A159,'RECEBIMENTOS'!$Y$6:$Y$1005,1))</f>
        <v>0</v>
      </c>
      <c r="AD159" s="96">
        <f>IF(R159=0,0,COUNTIFS('VÍNCULOS_CDF'!$R$6:$R$1005,A159,'VÍNCULOS_CDF'!$N$6:$N$1005,1))</f>
        <v>0</v>
      </c>
      <c r="AE159" s="96">
        <f>IF(R159=0,0,COUNTIFS('VÍNCULOS_CDF'!$R$6:$R$1005,A159,'VÍNCULOS_CDF'!$AA$6:$AA$1005,1))</f>
        <v>0</v>
      </c>
      <c r="AF159" s="96">
        <f>IF(R159=0,0,COUNTIFS('VÍNCULOS_CDF'!$R$6:$R$1005,A159,'VÍNCULOS_CDF'!$Y$6:$Y$1005,1))</f>
        <v>0</v>
      </c>
      <c r="AG159" s="96" t="str">
        <f>IF(AND(R159=1,S159&lt;&gt;"",C159&lt;&gt;""),S159&amp;"|"&amp;C159&amp;"|"&amp;G159&amp;"|"&amp;H159,"")</f>
        <v/>
      </c>
      <c r="AH159" s="96">
        <f>IF(AG159="",0,IF(SUMPRODUCT(--($AG$6:$AG$1005=AG159))&gt;1,1,0))</f>
        <v>0</v>
      </c>
      <c r="AI159" s="96">
        <f>IF(R159=0,0,IF(OR(U159=0,V159=0,Y159=0,AND(AH159=1,K159&lt;&gt;"Sim")),1,0))</f>
        <v>0</v>
      </c>
      <c r="AJ159" s="96">
        <f>IF(AND(R159=1,AA159&gt;0,AB159=AA159),1,0)</f>
        <v>0</v>
      </c>
      <c r="AK159" s="96">
        <f>IF(R159=0,0,IF(AA159&gt;0,N(L159),IF(ISNUMBER(I159),I159,0)))</f>
        <v>0</v>
      </c>
      <c r="AL159" s="96">
        <f>IF(R159=0,0,IF(AND(K159&lt;&gt;"Sim",N(M159)&gt;AK159+cfg_tol),1,0))</f>
        <v>0</v>
      </c>
      <c r="AM159" s="96">
        <f>IF(R159=0,0,IF(K159="Sim",0,IF(OR(AND(AA159&gt;0,ISNUMBER(I159),ABS(I159-N(L159))&gt;cfg_tol),AL159=1),1,0)))</f>
        <v>0</v>
      </c>
      <c r="AN159" s="96">
        <f>IF(AND(R159=1,N(M159)&gt;0,OR(N(M159)&gt;=AK159-cfg_tol,K159="Sim")),1,0)</f>
        <v>0</v>
      </c>
      <c r="AO159" s="96">
        <f>IF(AND(AN159=1,AD159&gt;0,AE159=AD159,AL159=0),1,0)</f>
        <v>0</v>
      </c>
      <c r="AP159" s="96">
        <f>IF(U159=0,0,IF(AND(INDEX('MTRs'!$AX$6:$AX$505,T159)=1,Z159=0,OR(f_res="",f_res="(Todos)",C159=f_res)),1,0))</f>
        <v>0</v>
      </c>
      <c r="AQ159" s="97" t="str">
        <f>IF(U159=0,"",INDEX('MTRs'!$AZ$6:$AZ$505,T159))</f>
        <v/>
      </c>
      <c r="AR159" s="96">
        <f>IF(U159=0,0,IF(AND(INDEX('MTRs'!$BA$6:$BA$505,T159)=1,Z159=0),1,0))</f>
        <v>0</v>
      </c>
      <c r="AS159" s="96" t="str">
        <f>IF(R159=1,A159&amp;" | MTR "&amp;IF(U159=1,INDEX('MTRs'!$B$6:$B$505,T159)&amp;"","?")&amp;" | "&amp;IF(C159="","(sem resíduo)",C159),"")</f>
        <v/>
      </c>
      <c r="AT159" s="96" t="str">
        <f>IF(R159=1,COUNTIF($R$6:R159,1),"")</f>
        <v/>
      </c>
      <c r="AU159" s="96" t="str">
        <f>IF(U159=1,INDEX('MTRs'!$I$6:$I$505,T159)&amp;"","")</f>
        <v/>
      </c>
    </row>
    <row r="160">
      <c r="A160" s="89" t="inlineStr">
        <is>
          <t>IT-000155</t>
        </is>
      </c>
      <c r="B160" s="91" t="n"/>
      <c r="C160" s="91" t="n"/>
      <c r="D160" s="94" t="str">
        <f>IF(OR(R160=0,V160=0),"",INDEX('CAD_RESÍDUOS'!$E$6:$E$205,MATCH(C160,'CAD_RESÍDUOS'!$B$6:$B$205,0))&amp;"")</f>
        <v/>
      </c>
      <c r="E160" s="94" t="str">
        <f>IF(OR(R160=0,V160=0),"",INDEX('CAD_RESÍDUOS'!$C$6:$C$205,MATCH(C160,'CAD_RESÍDUOS'!$B$6:$B$205,0))&amp;"")</f>
        <v/>
      </c>
      <c r="F160" s="94" t="str">
        <f>IF(OR(R160=0,V160=0),"",INDEX('CAD_RESÍDUOS'!$G$6:$G$205,MATCH(C160,'CAD_RESÍDUOS'!$B$6:$B$205,0))&amp;"")</f>
        <v/>
      </c>
      <c r="G160" s="98" t="n"/>
      <c r="H160" s="91" t="n"/>
      <c r="I160" s="93" t="str">
        <f>IF(R160=0,"",IF(NOT(ISNUMBER(G160)),"",IF(ISNUMBER(X160),G160*X160,"UNIDADE A CONFERIR")))</f>
        <v/>
      </c>
      <c r="J160" s="91" t="n"/>
      <c r="K160" s="91" t="n"/>
      <c r="L160" s="93" t="str">
        <f>IF(R160=0,"",SUMIFS('RECEBIMENTOS'!$H$6:$H$1005,'RECEBIMENTOS'!$R$6:$R$1005,A160,'RECEBIMENTOS'!$X$6:$X$1005,1))</f>
        <v/>
      </c>
      <c r="M160" s="93" t="str">
        <f>IF(R160=0,"",SUMIFS('VÍNCULOS_CDF'!$H$6:$H$1005,'VÍNCULOS_CDF'!$R$6:$R$1005,A160,'VÍNCULOS_CDF'!$V$6:$V$1005,1))</f>
        <v/>
      </c>
      <c r="N160" s="99" t="str">
        <f>IF(OR(R160=0,AA160=0,NOT(ISNUMBER(I160))),"",I160-N(L160))</f>
        <v/>
      </c>
      <c r="O160" s="100" t="str">
        <f>IF(OR(R160=0,AK160&lt;=0),"",N(M160)/AK160)</f>
        <v/>
      </c>
      <c r="P160" s="94" t="str">
        <f>IF(R160=0,"",IF(S160="","Sem MTR associado",IF(U160=0,"MTR inexistente",IF(C160="","Resíduo não identificado",IF(V160=0,"Resíduo fora do cadastro",IF(W160=0,"Quantidade inválida",IF(H160="","Unidade não informada",IF(NOT(ISNUMBER(I160)),"Unidade a conferir",IF(AND(AH160=1,K160&lt;&gt;"Sim"),"Possível duplicidade",IF(Z160=1,"MTR cancelado",IF(AC160&gt;0,"Recebimento com alerta",IF(AA160=0,"Aguardando recebimento",IF(AB160&lt;AA160,"Recebimento a conferir",IF(AM160=1,"Quantidade a revisar",IF(AF160&gt;0,"Vínculo a revisar",IF(AD160=0,"Aguardando CDF",IF(AN160=0,"Vínculo de CDF parcial",IF(AE160&lt;AD160,"CDF a conferir","Documentação conferida"))))))))))))))))))</f>
        <v/>
      </c>
      <c r="Q160" s="93" t="str">
        <f>IF(OR(R160=0,AA160=0),"",MAX(0,N(L160)-N(M160)))</f>
        <v/>
      </c>
      <c r="R160" s="96">
        <f>IF(COUNTA(B160:C160,G160:H160,J160:K160)&gt;0,1,0)</f>
        <v>0</v>
      </c>
      <c r="S160" s="96" t="str">
        <f>IF(B160="","",TRIM(LEFT(B160,FIND(" |",B160&amp;" |")-1)))</f>
        <v/>
      </c>
      <c r="T160" s="96" t="str">
        <f>IF(S160="","",IFERROR(MATCH(S160,'MTRs'!$A$6:$A$505,0),""))</f>
        <v/>
      </c>
      <c r="U160" s="96">
        <f>IF(T160="",0,IF(INDEX('MTRs'!$Z$6:$Z$505,T160)=1,1,0))</f>
        <v>0</v>
      </c>
      <c r="V160" s="96">
        <f>IF(C160="",0,IF(ISNUMBER(MATCH(C160,'CAD_RESÍDUOS'!$B$6:$B$205,0)),1,0))</f>
        <v>0</v>
      </c>
      <c r="W160" s="96">
        <f>IF(AND(ISNUMBER(G160),G160&gt;0),1,0)</f>
        <v>0</v>
      </c>
      <c r="X160" s="96" t="str">
        <f>IF(H160="","",IFERROR(IF(ISNUMBER(INDEX(cfg_fac,MATCH(H160,cfg_units,0))),IF(INDEX(cfg_fac,MATCH(H160,cfg_units,0))&gt;0,INDEX(cfg_fac,MATCH(H160,cfg_units,0)),""),""),""))</f>
        <v/>
      </c>
      <c r="Y160" s="96">
        <f>IF(AND(W160=1,ISNUMBER(I160)),1,0)</f>
        <v>0</v>
      </c>
      <c r="Z160" s="96">
        <f>IF(U160=1,INDEX('MTRs'!$AA$6:$AA$505,T160),0)</f>
        <v>0</v>
      </c>
      <c r="AA160" s="96">
        <f>IF(R160=0,0,COUNTIFS('RECEBIMENTOS'!$R$6:$R$1005,A160,'RECEBIMENTOS'!$Q$6:$Q$1005,1))</f>
        <v>0</v>
      </c>
      <c r="AB160" s="96">
        <f>IF(R160=0,0,COUNTIFS('RECEBIMENTOS'!$R$6:$R$1005,A160,'RECEBIMENTOS'!$Z$6:$Z$1005,1))</f>
        <v>0</v>
      </c>
      <c r="AC160" s="96">
        <f>IF(R160=0,0,COUNTIFS('RECEBIMENTOS'!$R$6:$R$1005,A160,'RECEBIMENTOS'!$Y$6:$Y$1005,1))</f>
        <v>0</v>
      </c>
      <c r="AD160" s="96">
        <f>IF(R160=0,0,COUNTIFS('VÍNCULOS_CDF'!$R$6:$R$1005,A160,'VÍNCULOS_CDF'!$N$6:$N$1005,1))</f>
        <v>0</v>
      </c>
      <c r="AE160" s="96">
        <f>IF(R160=0,0,COUNTIFS('VÍNCULOS_CDF'!$R$6:$R$1005,A160,'VÍNCULOS_CDF'!$AA$6:$AA$1005,1))</f>
        <v>0</v>
      </c>
      <c r="AF160" s="96">
        <f>IF(R160=0,0,COUNTIFS('VÍNCULOS_CDF'!$R$6:$R$1005,A160,'VÍNCULOS_CDF'!$Y$6:$Y$1005,1))</f>
        <v>0</v>
      </c>
      <c r="AG160" s="96" t="str">
        <f>IF(AND(R160=1,S160&lt;&gt;"",C160&lt;&gt;""),S160&amp;"|"&amp;C160&amp;"|"&amp;G160&amp;"|"&amp;H160,"")</f>
        <v/>
      </c>
      <c r="AH160" s="96">
        <f>IF(AG160="",0,IF(SUMPRODUCT(--($AG$6:$AG$1005=AG160))&gt;1,1,0))</f>
        <v>0</v>
      </c>
      <c r="AI160" s="96">
        <f>IF(R160=0,0,IF(OR(U160=0,V160=0,Y160=0,AND(AH160=1,K160&lt;&gt;"Sim")),1,0))</f>
        <v>0</v>
      </c>
      <c r="AJ160" s="96">
        <f>IF(AND(R160=1,AA160&gt;0,AB160=AA160),1,0)</f>
        <v>0</v>
      </c>
      <c r="AK160" s="96">
        <f>IF(R160=0,0,IF(AA160&gt;0,N(L160),IF(ISNUMBER(I160),I160,0)))</f>
        <v>0</v>
      </c>
      <c r="AL160" s="96">
        <f>IF(R160=0,0,IF(AND(K160&lt;&gt;"Sim",N(M160)&gt;AK160+cfg_tol),1,0))</f>
        <v>0</v>
      </c>
      <c r="AM160" s="96">
        <f>IF(R160=0,0,IF(K160="Sim",0,IF(OR(AND(AA160&gt;0,ISNUMBER(I160),ABS(I160-N(L160))&gt;cfg_tol),AL160=1),1,0)))</f>
        <v>0</v>
      </c>
      <c r="AN160" s="96">
        <f>IF(AND(R160=1,N(M160)&gt;0,OR(N(M160)&gt;=AK160-cfg_tol,K160="Sim")),1,0)</f>
        <v>0</v>
      </c>
      <c r="AO160" s="96">
        <f>IF(AND(AN160=1,AD160&gt;0,AE160=AD160,AL160=0),1,0)</f>
        <v>0</v>
      </c>
      <c r="AP160" s="96">
        <f>IF(U160=0,0,IF(AND(INDEX('MTRs'!$AX$6:$AX$505,T160)=1,Z160=0,OR(f_res="",f_res="(Todos)",C160=f_res)),1,0))</f>
        <v>0</v>
      </c>
      <c r="AQ160" s="97" t="str">
        <f>IF(U160=0,"",INDEX('MTRs'!$AZ$6:$AZ$505,T160))</f>
        <v/>
      </c>
      <c r="AR160" s="96">
        <f>IF(U160=0,0,IF(AND(INDEX('MTRs'!$BA$6:$BA$505,T160)=1,Z160=0),1,0))</f>
        <v>0</v>
      </c>
      <c r="AS160" s="96" t="str">
        <f>IF(R160=1,A160&amp;" | MTR "&amp;IF(U160=1,INDEX('MTRs'!$B$6:$B$505,T160)&amp;"","?")&amp;" | "&amp;IF(C160="","(sem resíduo)",C160),"")</f>
        <v/>
      </c>
      <c r="AT160" s="96" t="str">
        <f>IF(R160=1,COUNTIF($R$6:R160,1),"")</f>
        <v/>
      </c>
      <c r="AU160" s="96" t="str">
        <f>IF(U160=1,INDEX('MTRs'!$I$6:$I$505,T160)&amp;"","")</f>
        <v/>
      </c>
    </row>
    <row r="161">
      <c r="A161" s="89" t="inlineStr">
        <is>
          <t>IT-000156</t>
        </is>
      </c>
      <c r="B161" s="91" t="n"/>
      <c r="C161" s="91" t="n"/>
      <c r="D161" s="94" t="str">
        <f>IF(OR(R161=0,V161=0),"",INDEX('CAD_RESÍDUOS'!$E$6:$E$205,MATCH(C161,'CAD_RESÍDUOS'!$B$6:$B$205,0))&amp;"")</f>
        <v/>
      </c>
      <c r="E161" s="94" t="str">
        <f>IF(OR(R161=0,V161=0),"",INDEX('CAD_RESÍDUOS'!$C$6:$C$205,MATCH(C161,'CAD_RESÍDUOS'!$B$6:$B$205,0))&amp;"")</f>
        <v/>
      </c>
      <c r="F161" s="94" t="str">
        <f>IF(OR(R161=0,V161=0),"",INDEX('CAD_RESÍDUOS'!$G$6:$G$205,MATCH(C161,'CAD_RESÍDUOS'!$B$6:$B$205,0))&amp;"")</f>
        <v/>
      </c>
      <c r="G161" s="98" t="n"/>
      <c r="H161" s="91" t="n"/>
      <c r="I161" s="93" t="str">
        <f>IF(R161=0,"",IF(NOT(ISNUMBER(G161)),"",IF(ISNUMBER(X161),G161*X161,"UNIDADE A CONFERIR")))</f>
        <v/>
      </c>
      <c r="J161" s="91" t="n"/>
      <c r="K161" s="91" t="n"/>
      <c r="L161" s="93" t="str">
        <f>IF(R161=0,"",SUMIFS('RECEBIMENTOS'!$H$6:$H$1005,'RECEBIMENTOS'!$R$6:$R$1005,A161,'RECEBIMENTOS'!$X$6:$X$1005,1))</f>
        <v/>
      </c>
      <c r="M161" s="93" t="str">
        <f>IF(R161=0,"",SUMIFS('VÍNCULOS_CDF'!$H$6:$H$1005,'VÍNCULOS_CDF'!$R$6:$R$1005,A161,'VÍNCULOS_CDF'!$V$6:$V$1005,1))</f>
        <v/>
      </c>
      <c r="N161" s="99" t="str">
        <f>IF(OR(R161=0,AA161=0,NOT(ISNUMBER(I161))),"",I161-N(L161))</f>
        <v/>
      </c>
      <c r="O161" s="100" t="str">
        <f>IF(OR(R161=0,AK161&lt;=0),"",N(M161)/AK161)</f>
        <v/>
      </c>
      <c r="P161" s="94" t="str">
        <f>IF(R161=0,"",IF(S161="","Sem MTR associado",IF(U161=0,"MTR inexistente",IF(C161="","Resíduo não identificado",IF(V161=0,"Resíduo fora do cadastro",IF(W161=0,"Quantidade inválida",IF(H161="","Unidade não informada",IF(NOT(ISNUMBER(I161)),"Unidade a conferir",IF(AND(AH161=1,K161&lt;&gt;"Sim"),"Possível duplicidade",IF(Z161=1,"MTR cancelado",IF(AC161&gt;0,"Recebimento com alerta",IF(AA161=0,"Aguardando recebimento",IF(AB161&lt;AA161,"Recebimento a conferir",IF(AM161=1,"Quantidade a revisar",IF(AF161&gt;0,"Vínculo a revisar",IF(AD161=0,"Aguardando CDF",IF(AN161=0,"Vínculo de CDF parcial",IF(AE161&lt;AD161,"CDF a conferir","Documentação conferida"))))))))))))))))))</f>
        <v/>
      </c>
      <c r="Q161" s="93" t="str">
        <f>IF(OR(R161=0,AA161=0),"",MAX(0,N(L161)-N(M161)))</f>
        <v/>
      </c>
      <c r="R161" s="96">
        <f>IF(COUNTA(B161:C161,G161:H161,J161:K161)&gt;0,1,0)</f>
        <v>0</v>
      </c>
      <c r="S161" s="96" t="str">
        <f>IF(B161="","",TRIM(LEFT(B161,FIND(" |",B161&amp;" |")-1)))</f>
        <v/>
      </c>
      <c r="T161" s="96" t="str">
        <f>IF(S161="","",IFERROR(MATCH(S161,'MTRs'!$A$6:$A$505,0),""))</f>
        <v/>
      </c>
      <c r="U161" s="96">
        <f>IF(T161="",0,IF(INDEX('MTRs'!$Z$6:$Z$505,T161)=1,1,0))</f>
        <v>0</v>
      </c>
      <c r="V161" s="96">
        <f>IF(C161="",0,IF(ISNUMBER(MATCH(C161,'CAD_RESÍDUOS'!$B$6:$B$205,0)),1,0))</f>
        <v>0</v>
      </c>
      <c r="W161" s="96">
        <f>IF(AND(ISNUMBER(G161),G161&gt;0),1,0)</f>
        <v>0</v>
      </c>
      <c r="X161" s="96" t="str">
        <f>IF(H161="","",IFERROR(IF(ISNUMBER(INDEX(cfg_fac,MATCH(H161,cfg_units,0))),IF(INDEX(cfg_fac,MATCH(H161,cfg_units,0))&gt;0,INDEX(cfg_fac,MATCH(H161,cfg_units,0)),""),""),""))</f>
        <v/>
      </c>
      <c r="Y161" s="96">
        <f>IF(AND(W161=1,ISNUMBER(I161)),1,0)</f>
        <v>0</v>
      </c>
      <c r="Z161" s="96">
        <f>IF(U161=1,INDEX('MTRs'!$AA$6:$AA$505,T161),0)</f>
        <v>0</v>
      </c>
      <c r="AA161" s="96">
        <f>IF(R161=0,0,COUNTIFS('RECEBIMENTOS'!$R$6:$R$1005,A161,'RECEBIMENTOS'!$Q$6:$Q$1005,1))</f>
        <v>0</v>
      </c>
      <c r="AB161" s="96">
        <f>IF(R161=0,0,COUNTIFS('RECEBIMENTOS'!$R$6:$R$1005,A161,'RECEBIMENTOS'!$Z$6:$Z$1005,1))</f>
        <v>0</v>
      </c>
      <c r="AC161" s="96">
        <f>IF(R161=0,0,COUNTIFS('RECEBIMENTOS'!$R$6:$R$1005,A161,'RECEBIMENTOS'!$Y$6:$Y$1005,1))</f>
        <v>0</v>
      </c>
      <c r="AD161" s="96">
        <f>IF(R161=0,0,COUNTIFS('VÍNCULOS_CDF'!$R$6:$R$1005,A161,'VÍNCULOS_CDF'!$N$6:$N$1005,1))</f>
        <v>0</v>
      </c>
      <c r="AE161" s="96">
        <f>IF(R161=0,0,COUNTIFS('VÍNCULOS_CDF'!$R$6:$R$1005,A161,'VÍNCULOS_CDF'!$AA$6:$AA$1005,1))</f>
        <v>0</v>
      </c>
      <c r="AF161" s="96">
        <f>IF(R161=0,0,COUNTIFS('VÍNCULOS_CDF'!$R$6:$R$1005,A161,'VÍNCULOS_CDF'!$Y$6:$Y$1005,1))</f>
        <v>0</v>
      </c>
      <c r="AG161" s="96" t="str">
        <f>IF(AND(R161=1,S161&lt;&gt;"",C161&lt;&gt;""),S161&amp;"|"&amp;C161&amp;"|"&amp;G161&amp;"|"&amp;H161,"")</f>
        <v/>
      </c>
      <c r="AH161" s="96">
        <f>IF(AG161="",0,IF(SUMPRODUCT(--($AG$6:$AG$1005=AG161))&gt;1,1,0))</f>
        <v>0</v>
      </c>
      <c r="AI161" s="96">
        <f>IF(R161=0,0,IF(OR(U161=0,V161=0,Y161=0,AND(AH161=1,K161&lt;&gt;"Sim")),1,0))</f>
        <v>0</v>
      </c>
      <c r="AJ161" s="96">
        <f>IF(AND(R161=1,AA161&gt;0,AB161=AA161),1,0)</f>
        <v>0</v>
      </c>
      <c r="AK161" s="96">
        <f>IF(R161=0,0,IF(AA161&gt;0,N(L161),IF(ISNUMBER(I161),I161,0)))</f>
        <v>0</v>
      </c>
      <c r="AL161" s="96">
        <f>IF(R161=0,0,IF(AND(K161&lt;&gt;"Sim",N(M161)&gt;AK161+cfg_tol),1,0))</f>
        <v>0</v>
      </c>
      <c r="AM161" s="96">
        <f>IF(R161=0,0,IF(K161="Sim",0,IF(OR(AND(AA161&gt;0,ISNUMBER(I161),ABS(I161-N(L161))&gt;cfg_tol),AL161=1),1,0)))</f>
        <v>0</v>
      </c>
      <c r="AN161" s="96">
        <f>IF(AND(R161=1,N(M161)&gt;0,OR(N(M161)&gt;=AK161-cfg_tol,K161="Sim")),1,0)</f>
        <v>0</v>
      </c>
      <c r="AO161" s="96">
        <f>IF(AND(AN161=1,AD161&gt;0,AE161=AD161,AL161=0),1,0)</f>
        <v>0</v>
      </c>
      <c r="AP161" s="96">
        <f>IF(U161=0,0,IF(AND(INDEX('MTRs'!$AX$6:$AX$505,T161)=1,Z161=0,OR(f_res="",f_res="(Todos)",C161=f_res)),1,0))</f>
        <v>0</v>
      </c>
      <c r="AQ161" s="97" t="str">
        <f>IF(U161=0,"",INDEX('MTRs'!$AZ$6:$AZ$505,T161))</f>
        <v/>
      </c>
      <c r="AR161" s="96">
        <f>IF(U161=0,0,IF(AND(INDEX('MTRs'!$BA$6:$BA$505,T161)=1,Z161=0),1,0))</f>
        <v>0</v>
      </c>
      <c r="AS161" s="96" t="str">
        <f>IF(R161=1,A161&amp;" | MTR "&amp;IF(U161=1,INDEX('MTRs'!$B$6:$B$505,T161)&amp;"","?")&amp;" | "&amp;IF(C161="","(sem resíduo)",C161),"")</f>
        <v/>
      </c>
      <c r="AT161" s="96" t="str">
        <f>IF(R161=1,COUNTIF($R$6:R161,1),"")</f>
        <v/>
      </c>
      <c r="AU161" s="96" t="str">
        <f>IF(U161=1,INDEX('MTRs'!$I$6:$I$505,T161)&amp;"","")</f>
        <v/>
      </c>
    </row>
    <row r="162">
      <c r="A162" s="89" t="inlineStr">
        <is>
          <t>IT-000157</t>
        </is>
      </c>
      <c r="B162" s="91" t="n"/>
      <c r="C162" s="91" t="n"/>
      <c r="D162" s="94" t="str">
        <f>IF(OR(R162=0,V162=0),"",INDEX('CAD_RESÍDUOS'!$E$6:$E$205,MATCH(C162,'CAD_RESÍDUOS'!$B$6:$B$205,0))&amp;"")</f>
        <v/>
      </c>
      <c r="E162" s="94" t="str">
        <f>IF(OR(R162=0,V162=0),"",INDEX('CAD_RESÍDUOS'!$C$6:$C$205,MATCH(C162,'CAD_RESÍDUOS'!$B$6:$B$205,0))&amp;"")</f>
        <v/>
      </c>
      <c r="F162" s="94" t="str">
        <f>IF(OR(R162=0,V162=0),"",INDEX('CAD_RESÍDUOS'!$G$6:$G$205,MATCH(C162,'CAD_RESÍDUOS'!$B$6:$B$205,0))&amp;"")</f>
        <v/>
      </c>
      <c r="G162" s="98" t="n"/>
      <c r="H162" s="91" t="n"/>
      <c r="I162" s="93" t="str">
        <f>IF(R162=0,"",IF(NOT(ISNUMBER(G162)),"",IF(ISNUMBER(X162),G162*X162,"UNIDADE A CONFERIR")))</f>
        <v/>
      </c>
      <c r="J162" s="91" t="n"/>
      <c r="K162" s="91" t="n"/>
      <c r="L162" s="93" t="str">
        <f>IF(R162=0,"",SUMIFS('RECEBIMENTOS'!$H$6:$H$1005,'RECEBIMENTOS'!$R$6:$R$1005,A162,'RECEBIMENTOS'!$X$6:$X$1005,1))</f>
        <v/>
      </c>
      <c r="M162" s="93" t="str">
        <f>IF(R162=0,"",SUMIFS('VÍNCULOS_CDF'!$H$6:$H$1005,'VÍNCULOS_CDF'!$R$6:$R$1005,A162,'VÍNCULOS_CDF'!$V$6:$V$1005,1))</f>
        <v/>
      </c>
      <c r="N162" s="99" t="str">
        <f>IF(OR(R162=0,AA162=0,NOT(ISNUMBER(I162))),"",I162-N(L162))</f>
        <v/>
      </c>
      <c r="O162" s="100" t="str">
        <f>IF(OR(R162=0,AK162&lt;=0),"",N(M162)/AK162)</f>
        <v/>
      </c>
      <c r="P162" s="94" t="str">
        <f>IF(R162=0,"",IF(S162="","Sem MTR associado",IF(U162=0,"MTR inexistente",IF(C162="","Resíduo não identificado",IF(V162=0,"Resíduo fora do cadastro",IF(W162=0,"Quantidade inválida",IF(H162="","Unidade não informada",IF(NOT(ISNUMBER(I162)),"Unidade a conferir",IF(AND(AH162=1,K162&lt;&gt;"Sim"),"Possível duplicidade",IF(Z162=1,"MTR cancelado",IF(AC162&gt;0,"Recebimento com alerta",IF(AA162=0,"Aguardando recebimento",IF(AB162&lt;AA162,"Recebimento a conferir",IF(AM162=1,"Quantidade a revisar",IF(AF162&gt;0,"Vínculo a revisar",IF(AD162=0,"Aguardando CDF",IF(AN162=0,"Vínculo de CDF parcial",IF(AE162&lt;AD162,"CDF a conferir","Documentação conferida"))))))))))))))))))</f>
        <v/>
      </c>
      <c r="Q162" s="93" t="str">
        <f>IF(OR(R162=0,AA162=0),"",MAX(0,N(L162)-N(M162)))</f>
        <v/>
      </c>
      <c r="R162" s="96">
        <f>IF(COUNTA(B162:C162,G162:H162,J162:K162)&gt;0,1,0)</f>
        <v>0</v>
      </c>
      <c r="S162" s="96" t="str">
        <f>IF(B162="","",TRIM(LEFT(B162,FIND(" |",B162&amp;" |")-1)))</f>
        <v/>
      </c>
      <c r="T162" s="96" t="str">
        <f>IF(S162="","",IFERROR(MATCH(S162,'MTRs'!$A$6:$A$505,0),""))</f>
        <v/>
      </c>
      <c r="U162" s="96">
        <f>IF(T162="",0,IF(INDEX('MTRs'!$Z$6:$Z$505,T162)=1,1,0))</f>
        <v>0</v>
      </c>
      <c r="V162" s="96">
        <f>IF(C162="",0,IF(ISNUMBER(MATCH(C162,'CAD_RESÍDUOS'!$B$6:$B$205,0)),1,0))</f>
        <v>0</v>
      </c>
      <c r="W162" s="96">
        <f>IF(AND(ISNUMBER(G162),G162&gt;0),1,0)</f>
        <v>0</v>
      </c>
      <c r="X162" s="96" t="str">
        <f>IF(H162="","",IFERROR(IF(ISNUMBER(INDEX(cfg_fac,MATCH(H162,cfg_units,0))),IF(INDEX(cfg_fac,MATCH(H162,cfg_units,0))&gt;0,INDEX(cfg_fac,MATCH(H162,cfg_units,0)),""),""),""))</f>
        <v/>
      </c>
      <c r="Y162" s="96">
        <f>IF(AND(W162=1,ISNUMBER(I162)),1,0)</f>
        <v>0</v>
      </c>
      <c r="Z162" s="96">
        <f>IF(U162=1,INDEX('MTRs'!$AA$6:$AA$505,T162),0)</f>
        <v>0</v>
      </c>
      <c r="AA162" s="96">
        <f>IF(R162=0,0,COUNTIFS('RECEBIMENTOS'!$R$6:$R$1005,A162,'RECEBIMENTOS'!$Q$6:$Q$1005,1))</f>
        <v>0</v>
      </c>
      <c r="AB162" s="96">
        <f>IF(R162=0,0,COUNTIFS('RECEBIMENTOS'!$R$6:$R$1005,A162,'RECEBIMENTOS'!$Z$6:$Z$1005,1))</f>
        <v>0</v>
      </c>
      <c r="AC162" s="96">
        <f>IF(R162=0,0,COUNTIFS('RECEBIMENTOS'!$R$6:$R$1005,A162,'RECEBIMENTOS'!$Y$6:$Y$1005,1))</f>
        <v>0</v>
      </c>
      <c r="AD162" s="96">
        <f>IF(R162=0,0,COUNTIFS('VÍNCULOS_CDF'!$R$6:$R$1005,A162,'VÍNCULOS_CDF'!$N$6:$N$1005,1))</f>
        <v>0</v>
      </c>
      <c r="AE162" s="96">
        <f>IF(R162=0,0,COUNTIFS('VÍNCULOS_CDF'!$R$6:$R$1005,A162,'VÍNCULOS_CDF'!$AA$6:$AA$1005,1))</f>
        <v>0</v>
      </c>
      <c r="AF162" s="96">
        <f>IF(R162=0,0,COUNTIFS('VÍNCULOS_CDF'!$R$6:$R$1005,A162,'VÍNCULOS_CDF'!$Y$6:$Y$1005,1))</f>
        <v>0</v>
      </c>
      <c r="AG162" s="96" t="str">
        <f>IF(AND(R162=1,S162&lt;&gt;"",C162&lt;&gt;""),S162&amp;"|"&amp;C162&amp;"|"&amp;G162&amp;"|"&amp;H162,"")</f>
        <v/>
      </c>
      <c r="AH162" s="96">
        <f>IF(AG162="",0,IF(SUMPRODUCT(--($AG$6:$AG$1005=AG162))&gt;1,1,0))</f>
        <v>0</v>
      </c>
      <c r="AI162" s="96">
        <f>IF(R162=0,0,IF(OR(U162=0,V162=0,Y162=0,AND(AH162=1,K162&lt;&gt;"Sim")),1,0))</f>
        <v>0</v>
      </c>
      <c r="AJ162" s="96">
        <f>IF(AND(R162=1,AA162&gt;0,AB162=AA162),1,0)</f>
        <v>0</v>
      </c>
      <c r="AK162" s="96">
        <f>IF(R162=0,0,IF(AA162&gt;0,N(L162),IF(ISNUMBER(I162),I162,0)))</f>
        <v>0</v>
      </c>
      <c r="AL162" s="96">
        <f>IF(R162=0,0,IF(AND(K162&lt;&gt;"Sim",N(M162)&gt;AK162+cfg_tol),1,0))</f>
        <v>0</v>
      </c>
      <c r="AM162" s="96">
        <f>IF(R162=0,0,IF(K162="Sim",0,IF(OR(AND(AA162&gt;0,ISNUMBER(I162),ABS(I162-N(L162))&gt;cfg_tol),AL162=1),1,0)))</f>
        <v>0</v>
      </c>
      <c r="AN162" s="96">
        <f>IF(AND(R162=1,N(M162)&gt;0,OR(N(M162)&gt;=AK162-cfg_tol,K162="Sim")),1,0)</f>
        <v>0</v>
      </c>
      <c r="AO162" s="96">
        <f>IF(AND(AN162=1,AD162&gt;0,AE162=AD162,AL162=0),1,0)</f>
        <v>0</v>
      </c>
      <c r="AP162" s="96">
        <f>IF(U162=0,0,IF(AND(INDEX('MTRs'!$AX$6:$AX$505,T162)=1,Z162=0,OR(f_res="",f_res="(Todos)",C162=f_res)),1,0))</f>
        <v>0</v>
      </c>
      <c r="AQ162" s="97" t="str">
        <f>IF(U162=0,"",INDEX('MTRs'!$AZ$6:$AZ$505,T162))</f>
        <v/>
      </c>
      <c r="AR162" s="96">
        <f>IF(U162=0,0,IF(AND(INDEX('MTRs'!$BA$6:$BA$505,T162)=1,Z162=0),1,0))</f>
        <v>0</v>
      </c>
      <c r="AS162" s="96" t="str">
        <f>IF(R162=1,A162&amp;" | MTR "&amp;IF(U162=1,INDEX('MTRs'!$B$6:$B$505,T162)&amp;"","?")&amp;" | "&amp;IF(C162="","(sem resíduo)",C162),"")</f>
        <v/>
      </c>
      <c r="AT162" s="96" t="str">
        <f>IF(R162=1,COUNTIF($R$6:R162,1),"")</f>
        <v/>
      </c>
      <c r="AU162" s="96" t="str">
        <f>IF(U162=1,INDEX('MTRs'!$I$6:$I$505,T162)&amp;"","")</f>
        <v/>
      </c>
    </row>
    <row r="163">
      <c r="A163" s="89" t="inlineStr">
        <is>
          <t>IT-000158</t>
        </is>
      </c>
      <c r="B163" s="91" t="n"/>
      <c r="C163" s="91" t="n"/>
      <c r="D163" s="94" t="str">
        <f>IF(OR(R163=0,V163=0),"",INDEX('CAD_RESÍDUOS'!$E$6:$E$205,MATCH(C163,'CAD_RESÍDUOS'!$B$6:$B$205,0))&amp;"")</f>
        <v/>
      </c>
      <c r="E163" s="94" t="str">
        <f>IF(OR(R163=0,V163=0),"",INDEX('CAD_RESÍDUOS'!$C$6:$C$205,MATCH(C163,'CAD_RESÍDUOS'!$B$6:$B$205,0))&amp;"")</f>
        <v/>
      </c>
      <c r="F163" s="94" t="str">
        <f>IF(OR(R163=0,V163=0),"",INDEX('CAD_RESÍDUOS'!$G$6:$G$205,MATCH(C163,'CAD_RESÍDUOS'!$B$6:$B$205,0))&amp;"")</f>
        <v/>
      </c>
      <c r="G163" s="98" t="n"/>
      <c r="H163" s="91" t="n"/>
      <c r="I163" s="93" t="str">
        <f>IF(R163=0,"",IF(NOT(ISNUMBER(G163)),"",IF(ISNUMBER(X163),G163*X163,"UNIDADE A CONFERIR")))</f>
        <v/>
      </c>
      <c r="J163" s="91" t="n"/>
      <c r="K163" s="91" t="n"/>
      <c r="L163" s="93" t="str">
        <f>IF(R163=0,"",SUMIFS('RECEBIMENTOS'!$H$6:$H$1005,'RECEBIMENTOS'!$R$6:$R$1005,A163,'RECEBIMENTOS'!$X$6:$X$1005,1))</f>
        <v/>
      </c>
      <c r="M163" s="93" t="str">
        <f>IF(R163=0,"",SUMIFS('VÍNCULOS_CDF'!$H$6:$H$1005,'VÍNCULOS_CDF'!$R$6:$R$1005,A163,'VÍNCULOS_CDF'!$V$6:$V$1005,1))</f>
        <v/>
      </c>
      <c r="N163" s="99" t="str">
        <f>IF(OR(R163=0,AA163=0,NOT(ISNUMBER(I163))),"",I163-N(L163))</f>
        <v/>
      </c>
      <c r="O163" s="100" t="str">
        <f>IF(OR(R163=0,AK163&lt;=0),"",N(M163)/AK163)</f>
        <v/>
      </c>
      <c r="P163" s="94" t="str">
        <f>IF(R163=0,"",IF(S163="","Sem MTR associado",IF(U163=0,"MTR inexistente",IF(C163="","Resíduo não identificado",IF(V163=0,"Resíduo fora do cadastro",IF(W163=0,"Quantidade inválida",IF(H163="","Unidade não informada",IF(NOT(ISNUMBER(I163)),"Unidade a conferir",IF(AND(AH163=1,K163&lt;&gt;"Sim"),"Possível duplicidade",IF(Z163=1,"MTR cancelado",IF(AC163&gt;0,"Recebimento com alerta",IF(AA163=0,"Aguardando recebimento",IF(AB163&lt;AA163,"Recebimento a conferir",IF(AM163=1,"Quantidade a revisar",IF(AF163&gt;0,"Vínculo a revisar",IF(AD163=0,"Aguardando CDF",IF(AN163=0,"Vínculo de CDF parcial",IF(AE163&lt;AD163,"CDF a conferir","Documentação conferida"))))))))))))))))))</f>
        <v/>
      </c>
      <c r="Q163" s="93" t="str">
        <f>IF(OR(R163=0,AA163=0),"",MAX(0,N(L163)-N(M163)))</f>
        <v/>
      </c>
      <c r="R163" s="96">
        <f>IF(COUNTA(B163:C163,G163:H163,J163:K163)&gt;0,1,0)</f>
        <v>0</v>
      </c>
      <c r="S163" s="96" t="str">
        <f>IF(B163="","",TRIM(LEFT(B163,FIND(" |",B163&amp;" |")-1)))</f>
        <v/>
      </c>
      <c r="T163" s="96" t="str">
        <f>IF(S163="","",IFERROR(MATCH(S163,'MTRs'!$A$6:$A$505,0),""))</f>
        <v/>
      </c>
      <c r="U163" s="96">
        <f>IF(T163="",0,IF(INDEX('MTRs'!$Z$6:$Z$505,T163)=1,1,0))</f>
        <v>0</v>
      </c>
      <c r="V163" s="96">
        <f>IF(C163="",0,IF(ISNUMBER(MATCH(C163,'CAD_RESÍDUOS'!$B$6:$B$205,0)),1,0))</f>
        <v>0</v>
      </c>
      <c r="W163" s="96">
        <f>IF(AND(ISNUMBER(G163),G163&gt;0),1,0)</f>
        <v>0</v>
      </c>
      <c r="X163" s="96" t="str">
        <f>IF(H163="","",IFERROR(IF(ISNUMBER(INDEX(cfg_fac,MATCH(H163,cfg_units,0))),IF(INDEX(cfg_fac,MATCH(H163,cfg_units,0))&gt;0,INDEX(cfg_fac,MATCH(H163,cfg_units,0)),""),""),""))</f>
        <v/>
      </c>
      <c r="Y163" s="96">
        <f>IF(AND(W163=1,ISNUMBER(I163)),1,0)</f>
        <v>0</v>
      </c>
      <c r="Z163" s="96">
        <f>IF(U163=1,INDEX('MTRs'!$AA$6:$AA$505,T163),0)</f>
        <v>0</v>
      </c>
      <c r="AA163" s="96">
        <f>IF(R163=0,0,COUNTIFS('RECEBIMENTOS'!$R$6:$R$1005,A163,'RECEBIMENTOS'!$Q$6:$Q$1005,1))</f>
        <v>0</v>
      </c>
      <c r="AB163" s="96">
        <f>IF(R163=0,0,COUNTIFS('RECEBIMENTOS'!$R$6:$R$1005,A163,'RECEBIMENTOS'!$Z$6:$Z$1005,1))</f>
        <v>0</v>
      </c>
      <c r="AC163" s="96">
        <f>IF(R163=0,0,COUNTIFS('RECEBIMENTOS'!$R$6:$R$1005,A163,'RECEBIMENTOS'!$Y$6:$Y$1005,1))</f>
        <v>0</v>
      </c>
      <c r="AD163" s="96">
        <f>IF(R163=0,0,COUNTIFS('VÍNCULOS_CDF'!$R$6:$R$1005,A163,'VÍNCULOS_CDF'!$N$6:$N$1005,1))</f>
        <v>0</v>
      </c>
      <c r="AE163" s="96">
        <f>IF(R163=0,0,COUNTIFS('VÍNCULOS_CDF'!$R$6:$R$1005,A163,'VÍNCULOS_CDF'!$AA$6:$AA$1005,1))</f>
        <v>0</v>
      </c>
      <c r="AF163" s="96">
        <f>IF(R163=0,0,COUNTIFS('VÍNCULOS_CDF'!$R$6:$R$1005,A163,'VÍNCULOS_CDF'!$Y$6:$Y$1005,1))</f>
        <v>0</v>
      </c>
      <c r="AG163" s="96" t="str">
        <f>IF(AND(R163=1,S163&lt;&gt;"",C163&lt;&gt;""),S163&amp;"|"&amp;C163&amp;"|"&amp;G163&amp;"|"&amp;H163,"")</f>
        <v/>
      </c>
      <c r="AH163" s="96">
        <f>IF(AG163="",0,IF(SUMPRODUCT(--($AG$6:$AG$1005=AG163))&gt;1,1,0))</f>
        <v>0</v>
      </c>
      <c r="AI163" s="96">
        <f>IF(R163=0,0,IF(OR(U163=0,V163=0,Y163=0,AND(AH163=1,K163&lt;&gt;"Sim")),1,0))</f>
        <v>0</v>
      </c>
      <c r="AJ163" s="96">
        <f>IF(AND(R163=1,AA163&gt;0,AB163=AA163),1,0)</f>
        <v>0</v>
      </c>
      <c r="AK163" s="96">
        <f>IF(R163=0,0,IF(AA163&gt;0,N(L163),IF(ISNUMBER(I163),I163,0)))</f>
        <v>0</v>
      </c>
      <c r="AL163" s="96">
        <f>IF(R163=0,0,IF(AND(K163&lt;&gt;"Sim",N(M163)&gt;AK163+cfg_tol),1,0))</f>
        <v>0</v>
      </c>
      <c r="AM163" s="96">
        <f>IF(R163=0,0,IF(K163="Sim",0,IF(OR(AND(AA163&gt;0,ISNUMBER(I163),ABS(I163-N(L163))&gt;cfg_tol),AL163=1),1,0)))</f>
        <v>0</v>
      </c>
      <c r="AN163" s="96">
        <f>IF(AND(R163=1,N(M163)&gt;0,OR(N(M163)&gt;=AK163-cfg_tol,K163="Sim")),1,0)</f>
        <v>0</v>
      </c>
      <c r="AO163" s="96">
        <f>IF(AND(AN163=1,AD163&gt;0,AE163=AD163,AL163=0),1,0)</f>
        <v>0</v>
      </c>
      <c r="AP163" s="96">
        <f>IF(U163=0,0,IF(AND(INDEX('MTRs'!$AX$6:$AX$505,T163)=1,Z163=0,OR(f_res="",f_res="(Todos)",C163=f_res)),1,0))</f>
        <v>0</v>
      </c>
      <c r="AQ163" s="97" t="str">
        <f>IF(U163=0,"",INDEX('MTRs'!$AZ$6:$AZ$505,T163))</f>
        <v/>
      </c>
      <c r="AR163" s="96">
        <f>IF(U163=0,0,IF(AND(INDEX('MTRs'!$BA$6:$BA$505,T163)=1,Z163=0),1,0))</f>
        <v>0</v>
      </c>
      <c r="AS163" s="96" t="str">
        <f>IF(R163=1,A163&amp;" | MTR "&amp;IF(U163=1,INDEX('MTRs'!$B$6:$B$505,T163)&amp;"","?")&amp;" | "&amp;IF(C163="","(sem resíduo)",C163),"")</f>
        <v/>
      </c>
      <c r="AT163" s="96" t="str">
        <f>IF(R163=1,COUNTIF($R$6:R163,1),"")</f>
        <v/>
      </c>
      <c r="AU163" s="96" t="str">
        <f>IF(U163=1,INDEX('MTRs'!$I$6:$I$505,T163)&amp;"","")</f>
        <v/>
      </c>
    </row>
    <row r="164">
      <c r="A164" s="89" t="inlineStr">
        <is>
          <t>IT-000159</t>
        </is>
      </c>
      <c r="B164" s="91" t="n"/>
      <c r="C164" s="91" t="n"/>
      <c r="D164" s="94" t="str">
        <f>IF(OR(R164=0,V164=0),"",INDEX('CAD_RESÍDUOS'!$E$6:$E$205,MATCH(C164,'CAD_RESÍDUOS'!$B$6:$B$205,0))&amp;"")</f>
        <v/>
      </c>
      <c r="E164" s="94" t="str">
        <f>IF(OR(R164=0,V164=0),"",INDEX('CAD_RESÍDUOS'!$C$6:$C$205,MATCH(C164,'CAD_RESÍDUOS'!$B$6:$B$205,0))&amp;"")</f>
        <v/>
      </c>
      <c r="F164" s="94" t="str">
        <f>IF(OR(R164=0,V164=0),"",INDEX('CAD_RESÍDUOS'!$G$6:$G$205,MATCH(C164,'CAD_RESÍDUOS'!$B$6:$B$205,0))&amp;"")</f>
        <v/>
      </c>
      <c r="G164" s="98" t="n"/>
      <c r="H164" s="91" t="n"/>
      <c r="I164" s="93" t="str">
        <f>IF(R164=0,"",IF(NOT(ISNUMBER(G164)),"",IF(ISNUMBER(X164),G164*X164,"UNIDADE A CONFERIR")))</f>
        <v/>
      </c>
      <c r="J164" s="91" t="n"/>
      <c r="K164" s="91" t="n"/>
      <c r="L164" s="93" t="str">
        <f>IF(R164=0,"",SUMIFS('RECEBIMENTOS'!$H$6:$H$1005,'RECEBIMENTOS'!$R$6:$R$1005,A164,'RECEBIMENTOS'!$X$6:$X$1005,1))</f>
        <v/>
      </c>
      <c r="M164" s="93" t="str">
        <f>IF(R164=0,"",SUMIFS('VÍNCULOS_CDF'!$H$6:$H$1005,'VÍNCULOS_CDF'!$R$6:$R$1005,A164,'VÍNCULOS_CDF'!$V$6:$V$1005,1))</f>
        <v/>
      </c>
      <c r="N164" s="99" t="str">
        <f>IF(OR(R164=0,AA164=0,NOT(ISNUMBER(I164))),"",I164-N(L164))</f>
        <v/>
      </c>
      <c r="O164" s="100" t="str">
        <f>IF(OR(R164=0,AK164&lt;=0),"",N(M164)/AK164)</f>
        <v/>
      </c>
      <c r="P164" s="94" t="str">
        <f>IF(R164=0,"",IF(S164="","Sem MTR associado",IF(U164=0,"MTR inexistente",IF(C164="","Resíduo não identificado",IF(V164=0,"Resíduo fora do cadastro",IF(W164=0,"Quantidade inválida",IF(H164="","Unidade não informada",IF(NOT(ISNUMBER(I164)),"Unidade a conferir",IF(AND(AH164=1,K164&lt;&gt;"Sim"),"Possível duplicidade",IF(Z164=1,"MTR cancelado",IF(AC164&gt;0,"Recebimento com alerta",IF(AA164=0,"Aguardando recebimento",IF(AB164&lt;AA164,"Recebimento a conferir",IF(AM164=1,"Quantidade a revisar",IF(AF164&gt;0,"Vínculo a revisar",IF(AD164=0,"Aguardando CDF",IF(AN164=0,"Vínculo de CDF parcial",IF(AE164&lt;AD164,"CDF a conferir","Documentação conferida"))))))))))))))))))</f>
        <v/>
      </c>
      <c r="Q164" s="93" t="str">
        <f>IF(OR(R164=0,AA164=0),"",MAX(0,N(L164)-N(M164)))</f>
        <v/>
      </c>
      <c r="R164" s="96">
        <f>IF(COUNTA(B164:C164,G164:H164,J164:K164)&gt;0,1,0)</f>
        <v>0</v>
      </c>
      <c r="S164" s="96" t="str">
        <f>IF(B164="","",TRIM(LEFT(B164,FIND(" |",B164&amp;" |")-1)))</f>
        <v/>
      </c>
      <c r="T164" s="96" t="str">
        <f>IF(S164="","",IFERROR(MATCH(S164,'MTRs'!$A$6:$A$505,0),""))</f>
        <v/>
      </c>
      <c r="U164" s="96">
        <f>IF(T164="",0,IF(INDEX('MTRs'!$Z$6:$Z$505,T164)=1,1,0))</f>
        <v>0</v>
      </c>
      <c r="V164" s="96">
        <f>IF(C164="",0,IF(ISNUMBER(MATCH(C164,'CAD_RESÍDUOS'!$B$6:$B$205,0)),1,0))</f>
        <v>0</v>
      </c>
      <c r="W164" s="96">
        <f>IF(AND(ISNUMBER(G164),G164&gt;0),1,0)</f>
        <v>0</v>
      </c>
      <c r="X164" s="96" t="str">
        <f>IF(H164="","",IFERROR(IF(ISNUMBER(INDEX(cfg_fac,MATCH(H164,cfg_units,0))),IF(INDEX(cfg_fac,MATCH(H164,cfg_units,0))&gt;0,INDEX(cfg_fac,MATCH(H164,cfg_units,0)),""),""),""))</f>
        <v/>
      </c>
      <c r="Y164" s="96">
        <f>IF(AND(W164=1,ISNUMBER(I164)),1,0)</f>
        <v>0</v>
      </c>
      <c r="Z164" s="96">
        <f>IF(U164=1,INDEX('MTRs'!$AA$6:$AA$505,T164),0)</f>
        <v>0</v>
      </c>
      <c r="AA164" s="96">
        <f>IF(R164=0,0,COUNTIFS('RECEBIMENTOS'!$R$6:$R$1005,A164,'RECEBIMENTOS'!$Q$6:$Q$1005,1))</f>
        <v>0</v>
      </c>
      <c r="AB164" s="96">
        <f>IF(R164=0,0,COUNTIFS('RECEBIMENTOS'!$R$6:$R$1005,A164,'RECEBIMENTOS'!$Z$6:$Z$1005,1))</f>
        <v>0</v>
      </c>
      <c r="AC164" s="96">
        <f>IF(R164=0,0,COUNTIFS('RECEBIMENTOS'!$R$6:$R$1005,A164,'RECEBIMENTOS'!$Y$6:$Y$1005,1))</f>
        <v>0</v>
      </c>
      <c r="AD164" s="96">
        <f>IF(R164=0,0,COUNTIFS('VÍNCULOS_CDF'!$R$6:$R$1005,A164,'VÍNCULOS_CDF'!$N$6:$N$1005,1))</f>
        <v>0</v>
      </c>
      <c r="AE164" s="96">
        <f>IF(R164=0,0,COUNTIFS('VÍNCULOS_CDF'!$R$6:$R$1005,A164,'VÍNCULOS_CDF'!$AA$6:$AA$1005,1))</f>
        <v>0</v>
      </c>
      <c r="AF164" s="96">
        <f>IF(R164=0,0,COUNTIFS('VÍNCULOS_CDF'!$R$6:$R$1005,A164,'VÍNCULOS_CDF'!$Y$6:$Y$1005,1))</f>
        <v>0</v>
      </c>
      <c r="AG164" s="96" t="str">
        <f>IF(AND(R164=1,S164&lt;&gt;"",C164&lt;&gt;""),S164&amp;"|"&amp;C164&amp;"|"&amp;G164&amp;"|"&amp;H164,"")</f>
        <v/>
      </c>
      <c r="AH164" s="96">
        <f>IF(AG164="",0,IF(SUMPRODUCT(--($AG$6:$AG$1005=AG164))&gt;1,1,0))</f>
        <v>0</v>
      </c>
      <c r="AI164" s="96">
        <f>IF(R164=0,0,IF(OR(U164=0,V164=0,Y164=0,AND(AH164=1,K164&lt;&gt;"Sim")),1,0))</f>
        <v>0</v>
      </c>
      <c r="AJ164" s="96">
        <f>IF(AND(R164=1,AA164&gt;0,AB164=AA164),1,0)</f>
        <v>0</v>
      </c>
      <c r="AK164" s="96">
        <f>IF(R164=0,0,IF(AA164&gt;0,N(L164),IF(ISNUMBER(I164),I164,0)))</f>
        <v>0</v>
      </c>
      <c r="AL164" s="96">
        <f>IF(R164=0,0,IF(AND(K164&lt;&gt;"Sim",N(M164)&gt;AK164+cfg_tol),1,0))</f>
        <v>0</v>
      </c>
      <c r="AM164" s="96">
        <f>IF(R164=0,0,IF(K164="Sim",0,IF(OR(AND(AA164&gt;0,ISNUMBER(I164),ABS(I164-N(L164))&gt;cfg_tol),AL164=1),1,0)))</f>
        <v>0</v>
      </c>
      <c r="AN164" s="96">
        <f>IF(AND(R164=1,N(M164)&gt;0,OR(N(M164)&gt;=AK164-cfg_tol,K164="Sim")),1,0)</f>
        <v>0</v>
      </c>
      <c r="AO164" s="96">
        <f>IF(AND(AN164=1,AD164&gt;0,AE164=AD164,AL164=0),1,0)</f>
        <v>0</v>
      </c>
      <c r="AP164" s="96">
        <f>IF(U164=0,0,IF(AND(INDEX('MTRs'!$AX$6:$AX$505,T164)=1,Z164=0,OR(f_res="",f_res="(Todos)",C164=f_res)),1,0))</f>
        <v>0</v>
      </c>
      <c r="AQ164" s="97" t="str">
        <f>IF(U164=0,"",INDEX('MTRs'!$AZ$6:$AZ$505,T164))</f>
        <v/>
      </c>
      <c r="AR164" s="96">
        <f>IF(U164=0,0,IF(AND(INDEX('MTRs'!$BA$6:$BA$505,T164)=1,Z164=0),1,0))</f>
        <v>0</v>
      </c>
      <c r="AS164" s="96" t="str">
        <f>IF(R164=1,A164&amp;" | MTR "&amp;IF(U164=1,INDEX('MTRs'!$B$6:$B$505,T164)&amp;"","?")&amp;" | "&amp;IF(C164="","(sem resíduo)",C164),"")</f>
        <v/>
      </c>
      <c r="AT164" s="96" t="str">
        <f>IF(R164=1,COUNTIF($R$6:R164,1),"")</f>
        <v/>
      </c>
      <c r="AU164" s="96" t="str">
        <f>IF(U164=1,INDEX('MTRs'!$I$6:$I$505,T164)&amp;"","")</f>
        <v/>
      </c>
    </row>
    <row r="165">
      <c r="A165" s="89" t="inlineStr">
        <is>
          <t>IT-000160</t>
        </is>
      </c>
      <c r="B165" s="91" t="n"/>
      <c r="C165" s="91" t="n"/>
      <c r="D165" s="94" t="str">
        <f>IF(OR(R165=0,V165=0),"",INDEX('CAD_RESÍDUOS'!$E$6:$E$205,MATCH(C165,'CAD_RESÍDUOS'!$B$6:$B$205,0))&amp;"")</f>
        <v/>
      </c>
      <c r="E165" s="94" t="str">
        <f>IF(OR(R165=0,V165=0),"",INDEX('CAD_RESÍDUOS'!$C$6:$C$205,MATCH(C165,'CAD_RESÍDUOS'!$B$6:$B$205,0))&amp;"")</f>
        <v/>
      </c>
      <c r="F165" s="94" t="str">
        <f>IF(OR(R165=0,V165=0),"",INDEX('CAD_RESÍDUOS'!$G$6:$G$205,MATCH(C165,'CAD_RESÍDUOS'!$B$6:$B$205,0))&amp;"")</f>
        <v/>
      </c>
      <c r="G165" s="98" t="n"/>
      <c r="H165" s="91" t="n"/>
      <c r="I165" s="93" t="str">
        <f>IF(R165=0,"",IF(NOT(ISNUMBER(G165)),"",IF(ISNUMBER(X165),G165*X165,"UNIDADE A CONFERIR")))</f>
        <v/>
      </c>
      <c r="J165" s="91" t="n"/>
      <c r="K165" s="91" t="n"/>
      <c r="L165" s="93" t="str">
        <f>IF(R165=0,"",SUMIFS('RECEBIMENTOS'!$H$6:$H$1005,'RECEBIMENTOS'!$R$6:$R$1005,A165,'RECEBIMENTOS'!$X$6:$X$1005,1))</f>
        <v/>
      </c>
      <c r="M165" s="93" t="str">
        <f>IF(R165=0,"",SUMIFS('VÍNCULOS_CDF'!$H$6:$H$1005,'VÍNCULOS_CDF'!$R$6:$R$1005,A165,'VÍNCULOS_CDF'!$V$6:$V$1005,1))</f>
        <v/>
      </c>
      <c r="N165" s="99" t="str">
        <f>IF(OR(R165=0,AA165=0,NOT(ISNUMBER(I165))),"",I165-N(L165))</f>
        <v/>
      </c>
      <c r="O165" s="100" t="str">
        <f>IF(OR(R165=0,AK165&lt;=0),"",N(M165)/AK165)</f>
        <v/>
      </c>
      <c r="P165" s="94" t="str">
        <f>IF(R165=0,"",IF(S165="","Sem MTR associado",IF(U165=0,"MTR inexistente",IF(C165="","Resíduo não identificado",IF(V165=0,"Resíduo fora do cadastro",IF(W165=0,"Quantidade inválida",IF(H165="","Unidade não informada",IF(NOT(ISNUMBER(I165)),"Unidade a conferir",IF(AND(AH165=1,K165&lt;&gt;"Sim"),"Possível duplicidade",IF(Z165=1,"MTR cancelado",IF(AC165&gt;0,"Recebimento com alerta",IF(AA165=0,"Aguardando recebimento",IF(AB165&lt;AA165,"Recebimento a conferir",IF(AM165=1,"Quantidade a revisar",IF(AF165&gt;0,"Vínculo a revisar",IF(AD165=0,"Aguardando CDF",IF(AN165=0,"Vínculo de CDF parcial",IF(AE165&lt;AD165,"CDF a conferir","Documentação conferida"))))))))))))))))))</f>
        <v/>
      </c>
      <c r="Q165" s="93" t="str">
        <f>IF(OR(R165=0,AA165=0),"",MAX(0,N(L165)-N(M165)))</f>
        <v/>
      </c>
      <c r="R165" s="96">
        <f>IF(COUNTA(B165:C165,G165:H165,J165:K165)&gt;0,1,0)</f>
        <v>0</v>
      </c>
      <c r="S165" s="96" t="str">
        <f>IF(B165="","",TRIM(LEFT(B165,FIND(" |",B165&amp;" |")-1)))</f>
        <v/>
      </c>
      <c r="T165" s="96" t="str">
        <f>IF(S165="","",IFERROR(MATCH(S165,'MTRs'!$A$6:$A$505,0),""))</f>
        <v/>
      </c>
      <c r="U165" s="96">
        <f>IF(T165="",0,IF(INDEX('MTRs'!$Z$6:$Z$505,T165)=1,1,0))</f>
        <v>0</v>
      </c>
      <c r="V165" s="96">
        <f>IF(C165="",0,IF(ISNUMBER(MATCH(C165,'CAD_RESÍDUOS'!$B$6:$B$205,0)),1,0))</f>
        <v>0</v>
      </c>
      <c r="W165" s="96">
        <f>IF(AND(ISNUMBER(G165),G165&gt;0),1,0)</f>
        <v>0</v>
      </c>
      <c r="X165" s="96" t="str">
        <f>IF(H165="","",IFERROR(IF(ISNUMBER(INDEX(cfg_fac,MATCH(H165,cfg_units,0))),IF(INDEX(cfg_fac,MATCH(H165,cfg_units,0))&gt;0,INDEX(cfg_fac,MATCH(H165,cfg_units,0)),""),""),""))</f>
        <v/>
      </c>
      <c r="Y165" s="96">
        <f>IF(AND(W165=1,ISNUMBER(I165)),1,0)</f>
        <v>0</v>
      </c>
      <c r="Z165" s="96">
        <f>IF(U165=1,INDEX('MTRs'!$AA$6:$AA$505,T165),0)</f>
        <v>0</v>
      </c>
      <c r="AA165" s="96">
        <f>IF(R165=0,0,COUNTIFS('RECEBIMENTOS'!$R$6:$R$1005,A165,'RECEBIMENTOS'!$Q$6:$Q$1005,1))</f>
        <v>0</v>
      </c>
      <c r="AB165" s="96">
        <f>IF(R165=0,0,COUNTIFS('RECEBIMENTOS'!$R$6:$R$1005,A165,'RECEBIMENTOS'!$Z$6:$Z$1005,1))</f>
        <v>0</v>
      </c>
      <c r="AC165" s="96">
        <f>IF(R165=0,0,COUNTIFS('RECEBIMENTOS'!$R$6:$R$1005,A165,'RECEBIMENTOS'!$Y$6:$Y$1005,1))</f>
        <v>0</v>
      </c>
      <c r="AD165" s="96">
        <f>IF(R165=0,0,COUNTIFS('VÍNCULOS_CDF'!$R$6:$R$1005,A165,'VÍNCULOS_CDF'!$N$6:$N$1005,1))</f>
        <v>0</v>
      </c>
      <c r="AE165" s="96">
        <f>IF(R165=0,0,COUNTIFS('VÍNCULOS_CDF'!$R$6:$R$1005,A165,'VÍNCULOS_CDF'!$AA$6:$AA$1005,1))</f>
        <v>0</v>
      </c>
      <c r="AF165" s="96">
        <f>IF(R165=0,0,COUNTIFS('VÍNCULOS_CDF'!$R$6:$R$1005,A165,'VÍNCULOS_CDF'!$Y$6:$Y$1005,1))</f>
        <v>0</v>
      </c>
      <c r="AG165" s="96" t="str">
        <f>IF(AND(R165=1,S165&lt;&gt;"",C165&lt;&gt;""),S165&amp;"|"&amp;C165&amp;"|"&amp;G165&amp;"|"&amp;H165,"")</f>
        <v/>
      </c>
      <c r="AH165" s="96">
        <f>IF(AG165="",0,IF(SUMPRODUCT(--($AG$6:$AG$1005=AG165))&gt;1,1,0))</f>
        <v>0</v>
      </c>
      <c r="AI165" s="96">
        <f>IF(R165=0,0,IF(OR(U165=0,V165=0,Y165=0,AND(AH165=1,K165&lt;&gt;"Sim")),1,0))</f>
        <v>0</v>
      </c>
      <c r="AJ165" s="96">
        <f>IF(AND(R165=1,AA165&gt;0,AB165=AA165),1,0)</f>
        <v>0</v>
      </c>
      <c r="AK165" s="96">
        <f>IF(R165=0,0,IF(AA165&gt;0,N(L165),IF(ISNUMBER(I165),I165,0)))</f>
        <v>0</v>
      </c>
      <c r="AL165" s="96">
        <f>IF(R165=0,0,IF(AND(K165&lt;&gt;"Sim",N(M165)&gt;AK165+cfg_tol),1,0))</f>
        <v>0</v>
      </c>
      <c r="AM165" s="96">
        <f>IF(R165=0,0,IF(K165="Sim",0,IF(OR(AND(AA165&gt;0,ISNUMBER(I165),ABS(I165-N(L165))&gt;cfg_tol),AL165=1),1,0)))</f>
        <v>0</v>
      </c>
      <c r="AN165" s="96">
        <f>IF(AND(R165=1,N(M165)&gt;0,OR(N(M165)&gt;=AK165-cfg_tol,K165="Sim")),1,0)</f>
        <v>0</v>
      </c>
      <c r="AO165" s="96">
        <f>IF(AND(AN165=1,AD165&gt;0,AE165=AD165,AL165=0),1,0)</f>
        <v>0</v>
      </c>
      <c r="AP165" s="96">
        <f>IF(U165=0,0,IF(AND(INDEX('MTRs'!$AX$6:$AX$505,T165)=1,Z165=0,OR(f_res="",f_res="(Todos)",C165=f_res)),1,0))</f>
        <v>0</v>
      </c>
      <c r="AQ165" s="97" t="str">
        <f>IF(U165=0,"",INDEX('MTRs'!$AZ$6:$AZ$505,T165))</f>
        <v/>
      </c>
      <c r="AR165" s="96">
        <f>IF(U165=0,0,IF(AND(INDEX('MTRs'!$BA$6:$BA$505,T165)=1,Z165=0),1,0))</f>
        <v>0</v>
      </c>
      <c r="AS165" s="96" t="str">
        <f>IF(R165=1,A165&amp;" | MTR "&amp;IF(U165=1,INDEX('MTRs'!$B$6:$B$505,T165)&amp;"","?")&amp;" | "&amp;IF(C165="","(sem resíduo)",C165),"")</f>
        <v/>
      </c>
      <c r="AT165" s="96" t="str">
        <f>IF(R165=1,COUNTIF($R$6:R165,1),"")</f>
        <v/>
      </c>
      <c r="AU165" s="96" t="str">
        <f>IF(U165=1,INDEX('MTRs'!$I$6:$I$505,T165)&amp;"","")</f>
        <v/>
      </c>
    </row>
    <row r="166">
      <c r="A166" s="89" t="inlineStr">
        <is>
          <t>IT-000161</t>
        </is>
      </c>
      <c r="B166" s="91" t="n"/>
      <c r="C166" s="91" t="n"/>
      <c r="D166" s="94" t="str">
        <f>IF(OR(R166=0,V166=0),"",INDEX('CAD_RESÍDUOS'!$E$6:$E$205,MATCH(C166,'CAD_RESÍDUOS'!$B$6:$B$205,0))&amp;"")</f>
        <v/>
      </c>
      <c r="E166" s="94" t="str">
        <f>IF(OR(R166=0,V166=0),"",INDEX('CAD_RESÍDUOS'!$C$6:$C$205,MATCH(C166,'CAD_RESÍDUOS'!$B$6:$B$205,0))&amp;"")</f>
        <v/>
      </c>
      <c r="F166" s="94" t="str">
        <f>IF(OR(R166=0,V166=0),"",INDEX('CAD_RESÍDUOS'!$G$6:$G$205,MATCH(C166,'CAD_RESÍDUOS'!$B$6:$B$205,0))&amp;"")</f>
        <v/>
      </c>
      <c r="G166" s="98" t="n"/>
      <c r="H166" s="91" t="n"/>
      <c r="I166" s="93" t="str">
        <f>IF(R166=0,"",IF(NOT(ISNUMBER(G166)),"",IF(ISNUMBER(X166),G166*X166,"UNIDADE A CONFERIR")))</f>
        <v/>
      </c>
      <c r="J166" s="91" t="n"/>
      <c r="K166" s="91" t="n"/>
      <c r="L166" s="93" t="str">
        <f>IF(R166=0,"",SUMIFS('RECEBIMENTOS'!$H$6:$H$1005,'RECEBIMENTOS'!$R$6:$R$1005,A166,'RECEBIMENTOS'!$X$6:$X$1005,1))</f>
        <v/>
      </c>
      <c r="M166" s="93" t="str">
        <f>IF(R166=0,"",SUMIFS('VÍNCULOS_CDF'!$H$6:$H$1005,'VÍNCULOS_CDF'!$R$6:$R$1005,A166,'VÍNCULOS_CDF'!$V$6:$V$1005,1))</f>
        <v/>
      </c>
      <c r="N166" s="99" t="str">
        <f>IF(OR(R166=0,AA166=0,NOT(ISNUMBER(I166))),"",I166-N(L166))</f>
        <v/>
      </c>
      <c r="O166" s="100" t="str">
        <f>IF(OR(R166=0,AK166&lt;=0),"",N(M166)/AK166)</f>
        <v/>
      </c>
      <c r="P166" s="94" t="str">
        <f>IF(R166=0,"",IF(S166="","Sem MTR associado",IF(U166=0,"MTR inexistente",IF(C166="","Resíduo não identificado",IF(V166=0,"Resíduo fora do cadastro",IF(W166=0,"Quantidade inválida",IF(H166="","Unidade não informada",IF(NOT(ISNUMBER(I166)),"Unidade a conferir",IF(AND(AH166=1,K166&lt;&gt;"Sim"),"Possível duplicidade",IF(Z166=1,"MTR cancelado",IF(AC166&gt;0,"Recebimento com alerta",IF(AA166=0,"Aguardando recebimento",IF(AB166&lt;AA166,"Recebimento a conferir",IF(AM166=1,"Quantidade a revisar",IF(AF166&gt;0,"Vínculo a revisar",IF(AD166=0,"Aguardando CDF",IF(AN166=0,"Vínculo de CDF parcial",IF(AE166&lt;AD166,"CDF a conferir","Documentação conferida"))))))))))))))))))</f>
        <v/>
      </c>
      <c r="Q166" s="93" t="str">
        <f>IF(OR(R166=0,AA166=0),"",MAX(0,N(L166)-N(M166)))</f>
        <v/>
      </c>
      <c r="R166" s="96">
        <f>IF(COUNTA(B166:C166,G166:H166,J166:K166)&gt;0,1,0)</f>
        <v>0</v>
      </c>
      <c r="S166" s="96" t="str">
        <f>IF(B166="","",TRIM(LEFT(B166,FIND(" |",B166&amp;" |")-1)))</f>
        <v/>
      </c>
      <c r="T166" s="96" t="str">
        <f>IF(S166="","",IFERROR(MATCH(S166,'MTRs'!$A$6:$A$505,0),""))</f>
        <v/>
      </c>
      <c r="U166" s="96">
        <f>IF(T166="",0,IF(INDEX('MTRs'!$Z$6:$Z$505,T166)=1,1,0))</f>
        <v>0</v>
      </c>
      <c r="V166" s="96">
        <f>IF(C166="",0,IF(ISNUMBER(MATCH(C166,'CAD_RESÍDUOS'!$B$6:$B$205,0)),1,0))</f>
        <v>0</v>
      </c>
      <c r="W166" s="96">
        <f>IF(AND(ISNUMBER(G166),G166&gt;0),1,0)</f>
        <v>0</v>
      </c>
      <c r="X166" s="96" t="str">
        <f>IF(H166="","",IFERROR(IF(ISNUMBER(INDEX(cfg_fac,MATCH(H166,cfg_units,0))),IF(INDEX(cfg_fac,MATCH(H166,cfg_units,0))&gt;0,INDEX(cfg_fac,MATCH(H166,cfg_units,0)),""),""),""))</f>
        <v/>
      </c>
      <c r="Y166" s="96">
        <f>IF(AND(W166=1,ISNUMBER(I166)),1,0)</f>
        <v>0</v>
      </c>
      <c r="Z166" s="96">
        <f>IF(U166=1,INDEX('MTRs'!$AA$6:$AA$505,T166),0)</f>
        <v>0</v>
      </c>
      <c r="AA166" s="96">
        <f>IF(R166=0,0,COUNTIFS('RECEBIMENTOS'!$R$6:$R$1005,A166,'RECEBIMENTOS'!$Q$6:$Q$1005,1))</f>
        <v>0</v>
      </c>
      <c r="AB166" s="96">
        <f>IF(R166=0,0,COUNTIFS('RECEBIMENTOS'!$R$6:$R$1005,A166,'RECEBIMENTOS'!$Z$6:$Z$1005,1))</f>
        <v>0</v>
      </c>
      <c r="AC166" s="96">
        <f>IF(R166=0,0,COUNTIFS('RECEBIMENTOS'!$R$6:$R$1005,A166,'RECEBIMENTOS'!$Y$6:$Y$1005,1))</f>
        <v>0</v>
      </c>
      <c r="AD166" s="96">
        <f>IF(R166=0,0,COUNTIFS('VÍNCULOS_CDF'!$R$6:$R$1005,A166,'VÍNCULOS_CDF'!$N$6:$N$1005,1))</f>
        <v>0</v>
      </c>
      <c r="AE166" s="96">
        <f>IF(R166=0,0,COUNTIFS('VÍNCULOS_CDF'!$R$6:$R$1005,A166,'VÍNCULOS_CDF'!$AA$6:$AA$1005,1))</f>
        <v>0</v>
      </c>
      <c r="AF166" s="96">
        <f>IF(R166=0,0,COUNTIFS('VÍNCULOS_CDF'!$R$6:$R$1005,A166,'VÍNCULOS_CDF'!$Y$6:$Y$1005,1))</f>
        <v>0</v>
      </c>
      <c r="AG166" s="96" t="str">
        <f>IF(AND(R166=1,S166&lt;&gt;"",C166&lt;&gt;""),S166&amp;"|"&amp;C166&amp;"|"&amp;G166&amp;"|"&amp;H166,"")</f>
        <v/>
      </c>
      <c r="AH166" s="96">
        <f>IF(AG166="",0,IF(SUMPRODUCT(--($AG$6:$AG$1005=AG166))&gt;1,1,0))</f>
        <v>0</v>
      </c>
      <c r="AI166" s="96">
        <f>IF(R166=0,0,IF(OR(U166=0,V166=0,Y166=0,AND(AH166=1,K166&lt;&gt;"Sim")),1,0))</f>
        <v>0</v>
      </c>
      <c r="AJ166" s="96">
        <f>IF(AND(R166=1,AA166&gt;0,AB166=AA166),1,0)</f>
        <v>0</v>
      </c>
      <c r="AK166" s="96">
        <f>IF(R166=0,0,IF(AA166&gt;0,N(L166),IF(ISNUMBER(I166),I166,0)))</f>
        <v>0</v>
      </c>
      <c r="AL166" s="96">
        <f>IF(R166=0,0,IF(AND(K166&lt;&gt;"Sim",N(M166)&gt;AK166+cfg_tol),1,0))</f>
        <v>0</v>
      </c>
      <c r="AM166" s="96">
        <f>IF(R166=0,0,IF(K166="Sim",0,IF(OR(AND(AA166&gt;0,ISNUMBER(I166),ABS(I166-N(L166))&gt;cfg_tol),AL166=1),1,0)))</f>
        <v>0</v>
      </c>
      <c r="AN166" s="96">
        <f>IF(AND(R166=1,N(M166)&gt;0,OR(N(M166)&gt;=AK166-cfg_tol,K166="Sim")),1,0)</f>
        <v>0</v>
      </c>
      <c r="AO166" s="96">
        <f>IF(AND(AN166=1,AD166&gt;0,AE166=AD166,AL166=0),1,0)</f>
        <v>0</v>
      </c>
      <c r="AP166" s="96">
        <f>IF(U166=0,0,IF(AND(INDEX('MTRs'!$AX$6:$AX$505,T166)=1,Z166=0,OR(f_res="",f_res="(Todos)",C166=f_res)),1,0))</f>
        <v>0</v>
      </c>
      <c r="AQ166" s="97" t="str">
        <f>IF(U166=0,"",INDEX('MTRs'!$AZ$6:$AZ$505,T166))</f>
        <v/>
      </c>
      <c r="AR166" s="96">
        <f>IF(U166=0,0,IF(AND(INDEX('MTRs'!$BA$6:$BA$505,T166)=1,Z166=0),1,0))</f>
        <v>0</v>
      </c>
      <c r="AS166" s="96" t="str">
        <f>IF(R166=1,A166&amp;" | MTR "&amp;IF(U166=1,INDEX('MTRs'!$B$6:$B$505,T166)&amp;"","?")&amp;" | "&amp;IF(C166="","(sem resíduo)",C166),"")</f>
        <v/>
      </c>
      <c r="AT166" s="96" t="str">
        <f>IF(R166=1,COUNTIF($R$6:R166,1),"")</f>
        <v/>
      </c>
      <c r="AU166" s="96" t="str">
        <f>IF(U166=1,INDEX('MTRs'!$I$6:$I$505,T166)&amp;"","")</f>
        <v/>
      </c>
    </row>
    <row r="167">
      <c r="A167" s="89" t="inlineStr">
        <is>
          <t>IT-000162</t>
        </is>
      </c>
      <c r="B167" s="91" t="n"/>
      <c r="C167" s="91" t="n"/>
      <c r="D167" s="94" t="str">
        <f>IF(OR(R167=0,V167=0),"",INDEX('CAD_RESÍDUOS'!$E$6:$E$205,MATCH(C167,'CAD_RESÍDUOS'!$B$6:$B$205,0))&amp;"")</f>
        <v/>
      </c>
      <c r="E167" s="94" t="str">
        <f>IF(OR(R167=0,V167=0),"",INDEX('CAD_RESÍDUOS'!$C$6:$C$205,MATCH(C167,'CAD_RESÍDUOS'!$B$6:$B$205,0))&amp;"")</f>
        <v/>
      </c>
      <c r="F167" s="94" t="str">
        <f>IF(OR(R167=0,V167=0),"",INDEX('CAD_RESÍDUOS'!$G$6:$G$205,MATCH(C167,'CAD_RESÍDUOS'!$B$6:$B$205,0))&amp;"")</f>
        <v/>
      </c>
      <c r="G167" s="98" t="n"/>
      <c r="H167" s="91" t="n"/>
      <c r="I167" s="93" t="str">
        <f>IF(R167=0,"",IF(NOT(ISNUMBER(G167)),"",IF(ISNUMBER(X167),G167*X167,"UNIDADE A CONFERIR")))</f>
        <v/>
      </c>
      <c r="J167" s="91" t="n"/>
      <c r="K167" s="91" t="n"/>
      <c r="L167" s="93" t="str">
        <f>IF(R167=0,"",SUMIFS('RECEBIMENTOS'!$H$6:$H$1005,'RECEBIMENTOS'!$R$6:$R$1005,A167,'RECEBIMENTOS'!$X$6:$X$1005,1))</f>
        <v/>
      </c>
      <c r="M167" s="93" t="str">
        <f>IF(R167=0,"",SUMIFS('VÍNCULOS_CDF'!$H$6:$H$1005,'VÍNCULOS_CDF'!$R$6:$R$1005,A167,'VÍNCULOS_CDF'!$V$6:$V$1005,1))</f>
        <v/>
      </c>
      <c r="N167" s="99" t="str">
        <f>IF(OR(R167=0,AA167=0,NOT(ISNUMBER(I167))),"",I167-N(L167))</f>
        <v/>
      </c>
      <c r="O167" s="100" t="str">
        <f>IF(OR(R167=0,AK167&lt;=0),"",N(M167)/AK167)</f>
        <v/>
      </c>
      <c r="P167" s="94" t="str">
        <f>IF(R167=0,"",IF(S167="","Sem MTR associado",IF(U167=0,"MTR inexistente",IF(C167="","Resíduo não identificado",IF(V167=0,"Resíduo fora do cadastro",IF(W167=0,"Quantidade inválida",IF(H167="","Unidade não informada",IF(NOT(ISNUMBER(I167)),"Unidade a conferir",IF(AND(AH167=1,K167&lt;&gt;"Sim"),"Possível duplicidade",IF(Z167=1,"MTR cancelado",IF(AC167&gt;0,"Recebimento com alerta",IF(AA167=0,"Aguardando recebimento",IF(AB167&lt;AA167,"Recebimento a conferir",IF(AM167=1,"Quantidade a revisar",IF(AF167&gt;0,"Vínculo a revisar",IF(AD167=0,"Aguardando CDF",IF(AN167=0,"Vínculo de CDF parcial",IF(AE167&lt;AD167,"CDF a conferir","Documentação conferida"))))))))))))))))))</f>
        <v/>
      </c>
      <c r="Q167" s="93" t="str">
        <f>IF(OR(R167=0,AA167=0),"",MAX(0,N(L167)-N(M167)))</f>
        <v/>
      </c>
      <c r="R167" s="96">
        <f>IF(COUNTA(B167:C167,G167:H167,J167:K167)&gt;0,1,0)</f>
        <v>0</v>
      </c>
      <c r="S167" s="96" t="str">
        <f>IF(B167="","",TRIM(LEFT(B167,FIND(" |",B167&amp;" |")-1)))</f>
        <v/>
      </c>
      <c r="T167" s="96" t="str">
        <f>IF(S167="","",IFERROR(MATCH(S167,'MTRs'!$A$6:$A$505,0),""))</f>
        <v/>
      </c>
      <c r="U167" s="96">
        <f>IF(T167="",0,IF(INDEX('MTRs'!$Z$6:$Z$505,T167)=1,1,0))</f>
        <v>0</v>
      </c>
      <c r="V167" s="96">
        <f>IF(C167="",0,IF(ISNUMBER(MATCH(C167,'CAD_RESÍDUOS'!$B$6:$B$205,0)),1,0))</f>
        <v>0</v>
      </c>
      <c r="W167" s="96">
        <f>IF(AND(ISNUMBER(G167),G167&gt;0),1,0)</f>
        <v>0</v>
      </c>
      <c r="X167" s="96" t="str">
        <f>IF(H167="","",IFERROR(IF(ISNUMBER(INDEX(cfg_fac,MATCH(H167,cfg_units,0))),IF(INDEX(cfg_fac,MATCH(H167,cfg_units,0))&gt;0,INDEX(cfg_fac,MATCH(H167,cfg_units,0)),""),""),""))</f>
        <v/>
      </c>
      <c r="Y167" s="96">
        <f>IF(AND(W167=1,ISNUMBER(I167)),1,0)</f>
        <v>0</v>
      </c>
      <c r="Z167" s="96">
        <f>IF(U167=1,INDEX('MTRs'!$AA$6:$AA$505,T167),0)</f>
        <v>0</v>
      </c>
      <c r="AA167" s="96">
        <f>IF(R167=0,0,COUNTIFS('RECEBIMENTOS'!$R$6:$R$1005,A167,'RECEBIMENTOS'!$Q$6:$Q$1005,1))</f>
        <v>0</v>
      </c>
      <c r="AB167" s="96">
        <f>IF(R167=0,0,COUNTIFS('RECEBIMENTOS'!$R$6:$R$1005,A167,'RECEBIMENTOS'!$Z$6:$Z$1005,1))</f>
        <v>0</v>
      </c>
      <c r="AC167" s="96">
        <f>IF(R167=0,0,COUNTIFS('RECEBIMENTOS'!$R$6:$R$1005,A167,'RECEBIMENTOS'!$Y$6:$Y$1005,1))</f>
        <v>0</v>
      </c>
      <c r="AD167" s="96">
        <f>IF(R167=0,0,COUNTIFS('VÍNCULOS_CDF'!$R$6:$R$1005,A167,'VÍNCULOS_CDF'!$N$6:$N$1005,1))</f>
        <v>0</v>
      </c>
      <c r="AE167" s="96">
        <f>IF(R167=0,0,COUNTIFS('VÍNCULOS_CDF'!$R$6:$R$1005,A167,'VÍNCULOS_CDF'!$AA$6:$AA$1005,1))</f>
        <v>0</v>
      </c>
      <c r="AF167" s="96">
        <f>IF(R167=0,0,COUNTIFS('VÍNCULOS_CDF'!$R$6:$R$1005,A167,'VÍNCULOS_CDF'!$Y$6:$Y$1005,1))</f>
        <v>0</v>
      </c>
      <c r="AG167" s="96" t="str">
        <f>IF(AND(R167=1,S167&lt;&gt;"",C167&lt;&gt;""),S167&amp;"|"&amp;C167&amp;"|"&amp;G167&amp;"|"&amp;H167,"")</f>
        <v/>
      </c>
      <c r="AH167" s="96">
        <f>IF(AG167="",0,IF(SUMPRODUCT(--($AG$6:$AG$1005=AG167))&gt;1,1,0))</f>
        <v>0</v>
      </c>
      <c r="AI167" s="96">
        <f>IF(R167=0,0,IF(OR(U167=0,V167=0,Y167=0,AND(AH167=1,K167&lt;&gt;"Sim")),1,0))</f>
        <v>0</v>
      </c>
      <c r="AJ167" s="96">
        <f>IF(AND(R167=1,AA167&gt;0,AB167=AA167),1,0)</f>
        <v>0</v>
      </c>
      <c r="AK167" s="96">
        <f>IF(R167=0,0,IF(AA167&gt;0,N(L167),IF(ISNUMBER(I167),I167,0)))</f>
        <v>0</v>
      </c>
      <c r="AL167" s="96">
        <f>IF(R167=0,0,IF(AND(K167&lt;&gt;"Sim",N(M167)&gt;AK167+cfg_tol),1,0))</f>
        <v>0</v>
      </c>
      <c r="AM167" s="96">
        <f>IF(R167=0,0,IF(K167="Sim",0,IF(OR(AND(AA167&gt;0,ISNUMBER(I167),ABS(I167-N(L167))&gt;cfg_tol),AL167=1),1,0)))</f>
        <v>0</v>
      </c>
      <c r="AN167" s="96">
        <f>IF(AND(R167=1,N(M167)&gt;0,OR(N(M167)&gt;=AK167-cfg_tol,K167="Sim")),1,0)</f>
        <v>0</v>
      </c>
      <c r="AO167" s="96">
        <f>IF(AND(AN167=1,AD167&gt;0,AE167=AD167,AL167=0),1,0)</f>
        <v>0</v>
      </c>
      <c r="AP167" s="96">
        <f>IF(U167=0,0,IF(AND(INDEX('MTRs'!$AX$6:$AX$505,T167)=1,Z167=0,OR(f_res="",f_res="(Todos)",C167=f_res)),1,0))</f>
        <v>0</v>
      </c>
      <c r="AQ167" s="97" t="str">
        <f>IF(U167=0,"",INDEX('MTRs'!$AZ$6:$AZ$505,T167))</f>
        <v/>
      </c>
      <c r="AR167" s="96">
        <f>IF(U167=0,0,IF(AND(INDEX('MTRs'!$BA$6:$BA$505,T167)=1,Z167=0),1,0))</f>
        <v>0</v>
      </c>
      <c r="AS167" s="96" t="str">
        <f>IF(R167=1,A167&amp;" | MTR "&amp;IF(U167=1,INDEX('MTRs'!$B$6:$B$505,T167)&amp;"","?")&amp;" | "&amp;IF(C167="","(sem resíduo)",C167),"")</f>
        <v/>
      </c>
      <c r="AT167" s="96" t="str">
        <f>IF(R167=1,COUNTIF($R$6:R167,1),"")</f>
        <v/>
      </c>
      <c r="AU167" s="96" t="str">
        <f>IF(U167=1,INDEX('MTRs'!$I$6:$I$505,T167)&amp;"","")</f>
        <v/>
      </c>
    </row>
    <row r="168">
      <c r="A168" s="89" t="inlineStr">
        <is>
          <t>IT-000163</t>
        </is>
      </c>
      <c r="B168" s="91" t="n"/>
      <c r="C168" s="91" t="n"/>
      <c r="D168" s="94" t="str">
        <f>IF(OR(R168=0,V168=0),"",INDEX('CAD_RESÍDUOS'!$E$6:$E$205,MATCH(C168,'CAD_RESÍDUOS'!$B$6:$B$205,0))&amp;"")</f>
        <v/>
      </c>
      <c r="E168" s="94" t="str">
        <f>IF(OR(R168=0,V168=0),"",INDEX('CAD_RESÍDUOS'!$C$6:$C$205,MATCH(C168,'CAD_RESÍDUOS'!$B$6:$B$205,0))&amp;"")</f>
        <v/>
      </c>
      <c r="F168" s="94" t="str">
        <f>IF(OR(R168=0,V168=0),"",INDEX('CAD_RESÍDUOS'!$G$6:$G$205,MATCH(C168,'CAD_RESÍDUOS'!$B$6:$B$205,0))&amp;"")</f>
        <v/>
      </c>
      <c r="G168" s="98" t="n"/>
      <c r="H168" s="91" t="n"/>
      <c r="I168" s="93" t="str">
        <f>IF(R168=0,"",IF(NOT(ISNUMBER(G168)),"",IF(ISNUMBER(X168),G168*X168,"UNIDADE A CONFERIR")))</f>
        <v/>
      </c>
      <c r="J168" s="91" t="n"/>
      <c r="K168" s="91" t="n"/>
      <c r="L168" s="93" t="str">
        <f>IF(R168=0,"",SUMIFS('RECEBIMENTOS'!$H$6:$H$1005,'RECEBIMENTOS'!$R$6:$R$1005,A168,'RECEBIMENTOS'!$X$6:$X$1005,1))</f>
        <v/>
      </c>
      <c r="M168" s="93" t="str">
        <f>IF(R168=0,"",SUMIFS('VÍNCULOS_CDF'!$H$6:$H$1005,'VÍNCULOS_CDF'!$R$6:$R$1005,A168,'VÍNCULOS_CDF'!$V$6:$V$1005,1))</f>
        <v/>
      </c>
      <c r="N168" s="99" t="str">
        <f>IF(OR(R168=0,AA168=0,NOT(ISNUMBER(I168))),"",I168-N(L168))</f>
        <v/>
      </c>
      <c r="O168" s="100" t="str">
        <f>IF(OR(R168=0,AK168&lt;=0),"",N(M168)/AK168)</f>
        <v/>
      </c>
      <c r="P168" s="94" t="str">
        <f>IF(R168=0,"",IF(S168="","Sem MTR associado",IF(U168=0,"MTR inexistente",IF(C168="","Resíduo não identificado",IF(V168=0,"Resíduo fora do cadastro",IF(W168=0,"Quantidade inválida",IF(H168="","Unidade não informada",IF(NOT(ISNUMBER(I168)),"Unidade a conferir",IF(AND(AH168=1,K168&lt;&gt;"Sim"),"Possível duplicidade",IF(Z168=1,"MTR cancelado",IF(AC168&gt;0,"Recebimento com alerta",IF(AA168=0,"Aguardando recebimento",IF(AB168&lt;AA168,"Recebimento a conferir",IF(AM168=1,"Quantidade a revisar",IF(AF168&gt;0,"Vínculo a revisar",IF(AD168=0,"Aguardando CDF",IF(AN168=0,"Vínculo de CDF parcial",IF(AE168&lt;AD168,"CDF a conferir","Documentação conferida"))))))))))))))))))</f>
        <v/>
      </c>
      <c r="Q168" s="93" t="str">
        <f>IF(OR(R168=0,AA168=0),"",MAX(0,N(L168)-N(M168)))</f>
        <v/>
      </c>
      <c r="R168" s="96">
        <f>IF(COUNTA(B168:C168,G168:H168,J168:K168)&gt;0,1,0)</f>
        <v>0</v>
      </c>
      <c r="S168" s="96" t="str">
        <f>IF(B168="","",TRIM(LEFT(B168,FIND(" |",B168&amp;" |")-1)))</f>
        <v/>
      </c>
      <c r="T168" s="96" t="str">
        <f>IF(S168="","",IFERROR(MATCH(S168,'MTRs'!$A$6:$A$505,0),""))</f>
        <v/>
      </c>
      <c r="U168" s="96">
        <f>IF(T168="",0,IF(INDEX('MTRs'!$Z$6:$Z$505,T168)=1,1,0))</f>
        <v>0</v>
      </c>
      <c r="V168" s="96">
        <f>IF(C168="",0,IF(ISNUMBER(MATCH(C168,'CAD_RESÍDUOS'!$B$6:$B$205,0)),1,0))</f>
        <v>0</v>
      </c>
      <c r="W168" s="96">
        <f>IF(AND(ISNUMBER(G168),G168&gt;0),1,0)</f>
        <v>0</v>
      </c>
      <c r="X168" s="96" t="str">
        <f>IF(H168="","",IFERROR(IF(ISNUMBER(INDEX(cfg_fac,MATCH(H168,cfg_units,0))),IF(INDEX(cfg_fac,MATCH(H168,cfg_units,0))&gt;0,INDEX(cfg_fac,MATCH(H168,cfg_units,0)),""),""),""))</f>
        <v/>
      </c>
      <c r="Y168" s="96">
        <f>IF(AND(W168=1,ISNUMBER(I168)),1,0)</f>
        <v>0</v>
      </c>
      <c r="Z168" s="96">
        <f>IF(U168=1,INDEX('MTRs'!$AA$6:$AA$505,T168),0)</f>
        <v>0</v>
      </c>
      <c r="AA168" s="96">
        <f>IF(R168=0,0,COUNTIFS('RECEBIMENTOS'!$R$6:$R$1005,A168,'RECEBIMENTOS'!$Q$6:$Q$1005,1))</f>
        <v>0</v>
      </c>
      <c r="AB168" s="96">
        <f>IF(R168=0,0,COUNTIFS('RECEBIMENTOS'!$R$6:$R$1005,A168,'RECEBIMENTOS'!$Z$6:$Z$1005,1))</f>
        <v>0</v>
      </c>
      <c r="AC168" s="96">
        <f>IF(R168=0,0,COUNTIFS('RECEBIMENTOS'!$R$6:$R$1005,A168,'RECEBIMENTOS'!$Y$6:$Y$1005,1))</f>
        <v>0</v>
      </c>
      <c r="AD168" s="96">
        <f>IF(R168=0,0,COUNTIFS('VÍNCULOS_CDF'!$R$6:$R$1005,A168,'VÍNCULOS_CDF'!$N$6:$N$1005,1))</f>
        <v>0</v>
      </c>
      <c r="AE168" s="96">
        <f>IF(R168=0,0,COUNTIFS('VÍNCULOS_CDF'!$R$6:$R$1005,A168,'VÍNCULOS_CDF'!$AA$6:$AA$1005,1))</f>
        <v>0</v>
      </c>
      <c r="AF168" s="96">
        <f>IF(R168=0,0,COUNTIFS('VÍNCULOS_CDF'!$R$6:$R$1005,A168,'VÍNCULOS_CDF'!$Y$6:$Y$1005,1))</f>
        <v>0</v>
      </c>
      <c r="AG168" s="96" t="str">
        <f>IF(AND(R168=1,S168&lt;&gt;"",C168&lt;&gt;""),S168&amp;"|"&amp;C168&amp;"|"&amp;G168&amp;"|"&amp;H168,"")</f>
        <v/>
      </c>
      <c r="AH168" s="96">
        <f>IF(AG168="",0,IF(SUMPRODUCT(--($AG$6:$AG$1005=AG168))&gt;1,1,0))</f>
        <v>0</v>
      </c>
      <c r="AI168" s="96">
        <f>IF(R168=0,0,IF(OR(U168=0,V168=0,Y168=0,AND(AH168=1,K168&lt;&gt;"Sim")),1,0))</f>
        <v>0</v>
      </c>
      <c r="AJ168" s="96">
        <f>IF(AND(R168=1,AA168&gt;0,AB168=AA168),1,0)</f>
        <v>0</v>
      </c>
      <c r="AK168" s="96">
        <f>IF(R168=0,0,IF(AA168&gt;0,N(L168),IF(ISNUMBER(I168),I168,0)))</f>
        <v>0</v>
      </c>
      <c r="AL168" s="96">
        <f>IF(R168=0,0,IF(AND(K168&lt;&gt;"Sim",N(M168)&gt;AK168+cfg_tol),1,0))</f>
        <v>0</v>
      </c>
      <c r="AM168" s="96">
        <f>IF(R168=0,0,IF(K168="Sim",0,IF(OR(AND(AA168&gt;0,ISNUMBER(I168),ABS(I168-N(L168))&gt;cfg_tol),AL168=1),1,0)))</f>
        <v>0</v>
      </c>
      <c r="AN168" s="96">
        <f>IF(AND(R168=1,N(M168)&gt;0,OR(N(M168)&gt;=AK168-cfg_tol,K168="Sim")),1,0)</f>
        <v>0</v>
      </c>
      <c r="AO168" s="96">
        <f>IF(AND(AN168=1,AD168&gt;0,AE168=AD168,AL168=0),1,0)</f>
        <v>0</v>
      </c>
      <c r="AP168" s="96">
        <f>IF(U168=0,0,IF(AND(INDEX('MTRs'!$AX$6:$AX$505,T168)=1,Z168=0,OR(f_res="",f_res="(Todos)",C168=f_res)),1,0))</f>
        <v>0</v>
      </c>
      <c r="AQ168" s="97" t="str">
        <f>IF(U168=0,"",INDEX('MTRs'!$AZ$6:$AZ$505,T168))</f>
        <v/>
      </c>
      <c r="AR168" s="96">
        <f>IF(U168=0,0,IF(AND(INDEX('MTRs'!$BA$6:$BA$505,T168)=1,Z168=0),1,0))</f>
        <v>0</v>
      </c>
      <c r="AS168" s="96" t="str">
        <f>IF(R168=1,A168&amp;" | MTR "&amp;IF(U168=1,INDEX('MTRs'!$B$6:$B$505,T168)&amp;"","?")&amp;" | "&amp;IF(C168="","(sem resíduo)",C168),"")</f>
        <v/>
      </c>
      <c r="AT168" s="96" t="str">
        <f>IF(R168=1,COUNTIF($R$6:R168,1),"")</f>
        <v/>
      </c>
      <c r="AU168" s="96" t="str">
        <f>IF(U168=1,INDEX('MTRs'!$I$6:$I$505,T168)&amp;"","")</f>
        <v/>
      </c>
    </row>
    <row r="169">
      <c r="A169" s="89" t="inlineStr">
        <is>
          <t>IT-000164</t>
        </is>
      </c>
      <c r="B169" s="91" t="n"/>
      <c r="C169" s="91" t="n"/>
      <c r="D169" s="94" t="str">
        <f>IF(OR(R169=0,V169=0),"",INDEX('CAD_RESÍDUOS'!$E$6:$E$205,MATCH(C169,'CAD_RESÍDUOS'!$B$6:$B$205,0))&amp;"")</f>
        <v/>
      </c>
      <c r="E169" s="94" t="str">
        <f>IF(OR(R169=0,V169=0),"",INDEX('CAD_RESÍDUOS'!$C$6:$C$205,MATCH(C169,'CAD_RESÍDUOS'!$B$6:$B$205,0))&amp;"")</f>
        <v/>
      </c>
      <c r="F169" s="94" t="str">
        <f>IF(OR(R169=0,V169=0),"",INDEX('CAD_RESÍDUOS'!$G$6:$G$205,MATCH(C169,'CAD_RESÍDUOS'!$B$6:$B$205,0))&amp;"")</f>
        <v/>
      </c>
      <c r="G169" s="98" t="n"/>
      <c r="H169" s="91" t="n"/>
      <c r="I169" s="93" t="str">
        <f>IF(R169=0,"",IF(NOT(ISNUMBER(G169)),"",IF(ISNUMBER(X169),G169*X169,"UNIDADE A CONFERIR")))</f>
        <v/>
      </c>
      <c r="J169" s="91" t="n"/>
      <c r="K169" s="91" t="n"/>
      <c r="L169" s="93" t="str">
        <f>IF(R169=0,"",SUMIFS('RECEBIMENTOS'!$H$6:$H$1005,'RECEBIMENTOS'!$R$6:$R$1005,A169,'RECEBIMENTOS'!$X$6:$X$1005,1))</f>
        <v/>
      </c>
      <c r="M169" s="93" t="str">
        <f>IF(R169=0,"",SUMIFS('VÍNCULOS_CDF'!$H$6:$H$1005,'VÍNCULOS_CDF'!$R$6:$R$1005,A169,'VÍNCULOS_CDF'!$V$6:$V$1005,1))</f>
        <v/>
      </c>
      <c r="N169" s="99" t="str">
        <f>IF(OR(R169=0,AA169=0,NOT(ISNUMBER(I169))),"",I169-N(L169))</f>
        <v/>
      </c>
      <c r="O169" s="100" t="str">
        <f>IF(OR(R169=0,AK169&lt;=0),"",N(M169)/AK169)</f>
        <v/>
      </c>
      <c r="P169" s="94" t="str">
        <f>IF(R169=0,"",IF(S169="","Sem MTR associado",IF(U169=0,"MTR inexistente",IF(C169="","Resíduo não identificado",IF(V169=0,"Resíduo fora do cadastro",IF(W169=0,"Quantidade inválida",IF(H169="","Unidade não informada",IF(NOT(ISNUMBER(I169)),"Unidade a conferir",IF(AND(AH169=1,K169&lt;&gt;"Sim"),"Possível duplicidade",IF(Z169=1,"MTR cancelado",IF(AC169&gt;0,"Recebimento com alerta",IF(AA169=0,"Aguardando recebimento",IF(AB169&lt;AA169,"Recebimento a conferir",IF(AM169=1,"Quantidade a revisar",IF(AF169&gt;0,"Vínculo a revisar",IF(AD169=0,"Aguardando CDF",IF(AN169=0,"Vínculo de CDF parcial",IF(AE169&lt;AD169,"CDF a conferir","Documentação conferida"))))))))))))))))))</f>
        <v/>
      </c>
      <c r="Q169" s="93" t="str">
        <f>IF(OR(R169=0,AA169=0),"",MAX(0,N(L169)-N(M169)))</f>
        <v/>
      </c>
      <c r="R169" s="96">
        <f>IF(COUNTA(B169:C169,G169:H169,J169:K169)&gt;0,1,0)</f>
        <v>0</v>
      </c>
      <c r="S169" s="96" t="str">
        <f>IF(B169="","",TRIM(LEFT(B169,FIND(" |",B169&amp;" |")-1)))</f>
        <v/>
      </c>
      <c r="T169" s="96" t="str">
        <f>IF(S169="","",IFERROR(MATCH(S169,'MTRs'!$A$6:$A$505,0),""))</f>
        <v/>
      </c>
      <c r="U169" s="96">
        <f>IF(T169="",0,IF(INDEX('MTRs'!$Z$6:$Z$505,T169)=1,1,0))</f>
        <v>0</v>
      </c>
      <c r="V169" s="96">
        <f>IF(C169="",0,IF(ISNUMBER(MATCH(C169,'CAD_RESÍDUOS'!$B$6:$B$205,0)),1,0))</f>
        <v>0</v>
      </c>
      <c r="W169" s="96">
        <f>IF(AND(ISNUMBER(G169),G169&gt;0),1,0)</f>
        <v>0</v>
      </c>
      <c r="X169" s="96" t="str">
        <f>IF(H169="","",IFERROR(IF(ISNUMBER(INDEX(cfg_fac,MATCH(H169,cfg_units,0))),IF(INDEX(cfg_fac,MATCH(H169,cfg_units,0))&gt;0,INDEX(cfg_fac,MATCH(H169,cfg_units,0)),""),""),""))</f>
        <v/>
      </c>
      <c r="Y169" s="96">
        <f>IF(AND(W169=1,ISNUMBER(I169)),1,0)</f>
        <v>0</v>
      </c>
      <c r="Z169" s="96">
        <f>IF(U169=1,INDEX('MTRs'!$AA$6:$AA$505,T169),0)</f>
        <v>0</v>
      </c>
      <c r="AA169" s="96">
        <f>IF(R169=0,0,COUNTIFS('RECEBIMENTOS'!$R$6:$R$1005,A169,'RECEBIMENTOS'!$Q$6:$Q$1005,1))</f>
        <v>0</v>
      </c>
      <c r="AB169" s="96">
        <f>IF(R169=0,0,COUNTIFS('RECEBIMENTOS'!$R$6:$R$1005,A169,'RECEBIMENTOS'!$Z$6:$Z$1005,1))</f>
        <v>0</v>
      </c>
      <c r="AC169" s="96">
        <f>IF(R169=0,0,COUNTIFS('RECEBIMENTOS'!$R$6:$R$1005,A169,'RECEBIMENTOS'!$Y$6:$Y$1005,1))</f>
        <v>0</v>
      </c>
      <c r="AD169" s="96">
        <f>IF(R169=0,0,COUNTIFS('VÍNCULOS_CDF'!$R$6:$R$1005,A169,'VÍNCULOS_CDF'!$N$6:$N$1005,1))</f>
        <v>0</v>
      </c>
      <c r="AE169" s="96">
        <f>IF(R169=0,0,COUNTIFS('VÍNCULOS_CDF'!$R$6:$R$1005,A169,'VÍNCULOS_CDF'!$AA$6:$AA$1005,1))</f>
        <v>0</v>
      </c>
      <c r="AF169" s="96">
        <f>IF(R169=0,0,COUNTIFS('VÍNCULOS_CDF'!$R$6:$R$1005,A169,'VÍNCULOS_CDF'!$Y$6:$Y$1005,1))</f>
        <v>0</v>
      </c>
      <c r="AG169" s="96" t="str">
        <f>IF(AND(R169=1,S169&lt;&gt;"",C169&lt;&gt;""),S169&amp;"|"&amp;C169&amp;"|"&amp;G169&amp;"|"&amp;H169,"")</f>
        <v/>
      </c>
      <c r="AH169" s="96">
        <f>IF(AG169="",0,IF(SUMPRODUCT(--($AG$6:$AG$1005=AG169))&gt;1,1,0))</f>
        <v>0</v>
      </c>
      <c r="AI169" s="96">
        <f>IF(R169=0,0,IF(OR(U169=0,V169=0,Y169=0,AND(AH169=1,K169&lt;&gt;"Sim")),1,0))</f>
        <v>0</v>
      </c>
      <c r="AJ169" s="96">
        <f>IF(AND(R169=1,AA169&gt;0,AB169=AA169),1,0)</f>
        <v>0</v>
      </c>
      <c r="AK169" s="96">
        <f>IF(R169=0,0,IF(AA169&gt;0,N(L169),IF(ISNUMBER(I169),I169,0)))</f>
        <v>0</v>
      </c>
      <c r="AL169" s="96">
        <f>IF(R169=0,0,IF(AND(K169&lt;&gt;"Sim",N(M169)&gt;AK169+cfg_tol),1,0))</f>
        <v>0</v>
      </c>
      <c r="AM169" s="96">
        <f>IF(R169=0,0,IF(K169="Sim",0,IF(OR(AND(AA169&gt;0,ISNUMBER(I169),ABS(I169-N(L169))&gt;cfg_tol),AL169=1),1,0)))</f>
        <v>0</v>
      </c>
      <c r="AN169" s="96">
        <f>IF(AND(R169=1,N(M169)&gt;0,OR(N(M169)&gt;=AK169-cfg_tol,K169="Sim")),1,0)</f>
        <v>0</v>
      </c>
      <c r="AO169" s="96">
        <f>IF(AND(AN169=1,AD169&gt;0,AE169=AD169,AL169=0),1,0)</f>
        <v>0</v>
      </c>
      <c r="AP169" s="96">
        <f>IF(U169=0,0,IF(AND(INDEX('MTRs'!$AX$6:$AX$505,T169)=1,Z169=0,OR(f_res="",f_res="(Todos)",C169=f_res)),1,0))</f>
        <v>0</v>
      </c>
      <c r="AQ169" s="97" t="str">
        <f>IF(U169=0,"",INDEX('MTRs'!$AZ$6:$AZ$505,T169))</f>
        <v/>
      </c>
      <c r="AR169" s="96">
        <f>IF(U169=0,0,IF(AND(INDEX('MTRs'!$BA$6:$BA$505,T169)=1,Z169=0),1,0))</f>
        <v>0</v>
      </c>
      <c r="AS169" s="96" t="str">
        <f>IF(R169=1,A169&amp;" | MTR "&amp;IF(U169=1,INDEX('MTRs'!$B$6:$B$505,T169)&amp;"","?")&amp;" | "&amp;IF(C169="","(sem resíduo)",C169),"")</f>
        <v/>
      </c>
      <c r="AT169" s="96" t="str">
        <f>IF(R169=1,COUNTIF($R$6:R169,1),"")</f>
        <v/>
      </c>
      <c r="AU169" s="96" t="str">
        <f>IF(U169=1,INDEX('MTRs'!$I$6:$I$505,T169)&amp;"","")</f>
        <v/>
      </c>
    </row>
    <row r="170">
      <c r="A170" s="89" t="inlineStr">
        <is>
          <t>IT-000165</t>
        </is>
      </c>
      <c r="B170" s="91" t="n"/>
      <c r="C170" s="91" t="n"/>
      <c r="D170" s="94" t="str">
        <f>IF(OR(R170=0,V170=0),"",INDEX('CAD_RESÍDUOS'!$E$6:$E$205,MATCH(C170,'CAD_RESÍDUOS'!$B$6:$B$205,0))&amp;"")</f>
        <v/>
      </c>
      <c r="E170" s="94" t="str">
        <f>IF(OR(R170=0,V170=0),"",INDEX('CAD_RESÍDUOS'!$C$6:$C$205,MATCH(C170,'CAD_RESÍDUOS'!$B$6:$B$205,0))&amp;"")</f>
        <v/>
      </c>
      <c r="F170" s="94" t="str">
        <f>IF(OR(R170=0,V170=0),"",INDEX('CAD_RESÍDUOS'!$G$6:$G$205,MATCH(C170,'CAD_RESÍDUOS'!$B$6:$B$205,0))&amp;"")</f>
        <v/>
      </c>
      <c r="G170" s="98" t="n"/>
      <c r="H170" s="91" t="n"/>
      <c r="I170" s="93" t="str">
        <f>IF(R170=0,"",IF(NOT(ISNUMBER(G170)),"",IF(ISNUMBER(X170),G170*X170,"UNIDADE A CONFERIR")))</f>
        <v/>
      </c>
      <c r="J170" s="91" t="n"/>
      <c r="K170" s="91" t="n"/>
      <c r="L170" s="93" t="str">
        <f>IF(R170=0,"",SUMIFS('RECEBIMENTOS'!$H$6:$H$1005,'RECEBIMENTOS'!$R$6:$R$1005,A170,'RECEBIMENTOS'!$X$6:$X$1005,1))</f>
        <v/>
      </c>
      <c r="M170" s="93" t="str">
        <f>IF(R170=0,"",SUMIFS('VÍNCULOS_CDF'!$H$6:$H$1005,'VÍNCULOS_CDF'!$R$6:$R$1005,A170,'VÍNCULOS_CDF'!$V$6:$V$1005,1))</f>
        <v/>
      </c>
      <c r="N170" s="99" t="str">
        <f>IF(OR(R170=0,AA170=0,NOT(ISNUMBER(I170))),"",I170-N(L170))</f>
        <v/>
      </c>
      <c r="O170" s="100" t="str">
        <f>IF(OR(R170=0,AK170&lt;=0),"",N(M170)/AK170)</f>
        <v/>
      </c>
      <c r="P170" s="94" t="str">
        <f>IF(R170=0,"",IF(S170="","Sem MTR associado",IF(U170=0,"MTR inexistente",IF(C170="","Resíduo não identificado",IF(V170=0,"Resíduo fora do cadastro",IF(W170=0,"Quantidade inválida",IF(H170="","Unidade não informada",IF(NOT(ISNUMBER(I170)),"Unidade a conferir",IF(AND(AH170=1,K170&lt;&gt;"Sim"),"Possível duplicidade",IF(Z170=1,"MTR cancelado",IF(AC170&gt;0,"Recebimento com alerta",IF(AA170=0,"Aguardando recebimento",IF(AB170&lt;AA170,"Recebimento a conferir",IF(AM170=1,"Quantidade a revisar",IF(AF170&gt;0,"Vínculo a revisar",IF(AD170=0,"Aguardando CDF",IF(AN170=0,"Vínculo de CDF parcial",IF(AE170&lt;AD170,"CDF a conferir","Documentação conferida"))))))))))))))))))</f>
        <v/>
      </c>
      <c r="Q170" s="93" t="str">
        <f>IF(OR(R170=0,AA170=0),"",MAX(0,N(L170)-N(M170)))</f>
        <v/>
      </c>
      <c r="R170" s="96">
        <f>IF(COUNTA(B170:C170,G170:H170,J170:K170)&gt;0,1,0)</f>
        <v>0</v>
      </c>
      <c r="S170" s="96" t="str">
        <f>IF(B170="","",TRIM(LEFT(B170,FIND(" |",B170&amp;" |")-1)))</f>
        <v/>
      </c>
      <c r="T170" s="96" t="str">
        <f>IF(S170="","",IFERROR(MATCH(S170,'MTRs'!$A$6:$A$505,0),""))</f>
        <v/>
      </c>
      <c r="U170" s="96">
        <f>IF(T170="",0,IF(INDEX('MTRs'!$Z$6:$Z$505,T170)=1,1,0))</f>
        <v>0</v>
      </c>
      <c r="V170" s="96">
        <f>IF(C170="",0,IF(ISNUMBER(MATCH(C170,'CAD_RESÍDUOS'!$B$6:$B$205,0)),1,0))</f>
        <v>0</v>
      </c>
      <c r="W170" s="96">
        <f>IF(AND(ISNUMBER(G170),G170&gt;0),1,0)</f>
        <v>0</v>
      </c>
      <c r="X170" s="96" t="str">
        <f>IF(H170="","",IFERROR(IF(ISNUMBER(INDEX(cfg_fac,MATCH(H170,cfg_units,0))),IF(INDEX(cfg_fac,MATCH(H170,cfg_units,0))&gt;0,INDEX(cfg_fac,MATCH(H170,cfg_units,0)),""),""),""))</f>
        <v/>
      </c>
      <c r="Y170" s="96">
        <f>IF(AND(W170=1,ISNUMBER(I170)),1,0)</f>
        <v>0</v>
      </c>
      <c r="Z170" s="96">
        <f>IF(U170=1,INDEX('MTRs'!$AA$6:$AA$505,T170),0)</f>
        <v>0</v>
      </c>
      <c r="AA170" s="96">
        <f>IF(R170=0,0,COUNTIFS('RECEBIMENTOS'!$R$6:$R$1005,A170,'RECEBIMENTOS'!$Q$6:$Q$1005,1))</f>
        <v>0</v>
      </c>
      <c r="AB170" s="96">
        <f>IF(R170=0,0,COUNTIFS('RECEBIMENTOS'!$R$6:$R$1005,A170,'RECEBIMENTOS'!$Z$6:$Z$1005,1))</f>
        <v>0</v>
      </c>
      <c r="AC170" s="96">
        <f>IF(R170=0,0,COUNTIFS('RECEBIMENTOS'!$R$6:$R$1005,A170,'RECEBIMENTOS'!$Y$6:$Y$1005,1))</f>
        <v>0</v>
      </c>
      <c r="AD170" s="96">
        <f>IF(R170=0,0,COUNTIFS('VÍNCULOS_CDF'!$R$6:$R$1005,A170,'VÍNCULOS_CDF'!$N$6:$N$1005,1))</f>
        <v>0</v>
      </c>
      <c r="AE170" s="96">
        <f>IF(R170=0,0,COUNTIFS('VÍNCULOS_CDF'!$R$6:$R$1005,A170,'VÍNCULOS_CDF'!$AA$6:$AA$1005,1))</f>
        <v>0</v>
      </c>
      <c r="AF170" s="96">
        <f>IF(R170=0,0,COUNTIFS('VÍNCULOS_CDF'!$R$6:$R$1005,A170,'VÍNCULOS_CDF'!$Y$6:$Y$1005,1))</f>
        <v>0</v>
      </c>
      <c r="AG170" s="96" t="str">
        <f>IF(AND(R170=1,S170&lt;&gt;"",C170&lt;&gt;""),S170&amp;"|"&amp;C170&amp;"|"&amp;G170&amp;"|"&amp;H170,"")</f>
        <v/>
      </c>
      <c r="AH170" s="96">
        <f>IF(AG170="",0,IF(SUMPRODUCT(--($AG$6:$AG$1005=AG170))&gt;1,1,0))</f>
        <v>0</v>
      </c>
      <c r="AI170" s="96">
        <f>IF(R170=0,0,IF(OR(U170=0,V170=0,Y170=0,AND(AH170=1,K170&lt;&gt;"Sim")),1,0))</f>
        <v>0</v>
      </c>
      <c r="AJ170" s="96">
        <f>IF(AND(R170=1,AA170&gt;0,AB170=AA170),1,0)</f>
        <v>0</v>
      </c>
      <c r="AK170" s="96">
        <f>IF(R170=0,0,IF(AA170&gt;0,N(L170),IF(ISNUMBER(I170),I170,0)))</f>
        <v>0</v>
      </c>
      <c r="AL170" s="96">
        <f>IF(R170=0,0,IF(AND(K170&lt;&gt;"Sim",N(M170)&gt;AK170+cfg_tol),1,0))</f>
        <v>0</v>
      </c>
      <c r="AM170" s="96">
        <f>IF(R170=0,0,IF(K170="Sim",0,IF(OR(AND(AA170&gt;0,ISNUMBER(I170),ABS(I170-N(L170))&gt;cfg_tol),AL170=1),1,0)))</f>
        <v>0</v>
      </c>
      <c r="AN170" s="96">
        <f>IF(AND(R170=1,N(M170)&gt;0,OR(N(M170)&gt;=AK170-cfg_tol,K170="Sim")),1,0)</f>
        <v>0</v>
      </c>
      <c r="AO170" s="96">
        <f>IF(AND(AN170=1,AD170&gt;0,AE170=AD170,AL170=0),1,0)</f>
        <v>0</v>
      </c>
      <c r="AP170" s="96">
        <f>IF(U170=0,0,IF(AND(INDEX('MTRs'!$AX$6:$AX$505,T170)=1,Z170=0,OR(f_res="",f_res="(Todos)",C170=f_res)),1,0))</f>
        <v>0</v>
      </c>
      <c r="AQ170" s="97" t="str">
        <f>IF(U170=0,"",INDEX('MTRs'!$AZ$6:$AZ$505,T170))</f>
        <v/>
      </c>
      <c r="AR170" s="96">
        <f>IF(U170=0,0,IF(AND(INDEX('MTRs'!$BA$6:$BA$505,T170)=1,Z170=0),1,0))</f>
        <v>0</v>
      </c>
      <c r="AS170" s="96" t="str">
        <f>IF(R170=1,A170&amp;" | MTR "&amp;IF(U170=1,INDEX('MTRs'!$B$6:$B$505,T170)&amp;"","?")&amp;" | "&amp;IF(C170="","(sem resíduo)",C170),"")</f>
        <v/>
      </c>
      <c r="AT170" s="96" t="str">
        <f>IF(R170=1,COUNTIF($R$6:R170,1),"")</f>
        <v/>
      </c>
      <c r="AU170" s="96" t="str">
        <f>IF(U170=1,INDEX('MTRs'!$I$6:$I$505,T170)&amp;"","")</f>
        <v/>
      </c>
    </row>
    <row r="171">
      <c r="A171" s="89" t="inlineStr">
        <is>
          <t>IT-000166</t>
        </is>
      </c>
      <c r="B171" s="91" t="n"/>
      <c r="C171" s="91" t="n"/>
      <c r="D171" s="94" t="str">
        <f>IF(OR(R171=0,V171=0),"",INDEX('CAD_RESÍDUOS'!$E$6:$E$205,MATCH(C171,'CAD_RESÍDUOS'!$B$6:$B$205,0))&amp;"")</f>
        <v/>
      </c>
      <c r="E171" s="94" t="str">
        <f>IF(OR(R171=0,V171=0),"",INDEX('CAD_RESÍDUOS'!$C$6:$C$205,MATCH(C171,'CAD_RESÍDUOS'!$B$6:$B$205,0))&amp;"")</f>
        <v/>
      </c>
      <c r="F171" s="94" t="str">
        <f>IF(OR(R171=0,V171=0),"",INDEX('CAD_RESÍDUOS'!$G$6:$G$205,MATCH(C171,'CAD_RESÍDUOS'!$B$6:$B$205,0))&amp;"")</f>
        <v/>
      </c>
      <c r="G171" s="98" t="n"/>
      <c r="H171" s="91" t="n"/>
      <c r="I171" s="93" t="str">
        <f>IF(R171=0,"",IF(NOT(ISNUMBER(G171)),"",IF(ISNUMBER(X171),G171*X171,"UNIDADE A CONFERIR")))</f>
        <v/>
      </c>
      <c r="J171" s="91" t="n"/>
      <c r="K171" s="91" t="n"/>
      <c r="L171" s="93" t="str">
        <f>IF(R171=0,"",SUMIFS('RECEBIMENTOS'!$H$6:$H$1005,'RECEBIMENTOS'!$R$6:$R$1005,A171,'RECEBIMENTOS'!$X$6:$X$1005,1))</f>
        <v/>
      </c>
      <c r="M171" s="93" t="str">
        <f>IF(R171=0,"",SUMIFS('VÍNCULOS_CDF'!$H$6:$H$1005,'VÍNCULOS_CDF'!$R$6:$R$1005,A171,'VÍNCULOS_CDF'!$V$6:$V$1005,1))</f>
        <v/>
      </c>
      <c r="N171" s="99" t="str">
        <f>IF(OR(R171=0,AA171=0,NOT(ISNUMBER(I171))),"",I171-N(L171))</f>
        <v/>
      </c>
      <c r="O171" s="100" t="str">
        <f>IF(OR(R171=0,AK171&lt;=0),"",N(M171)/AK171)</f>
        <v/>
      </c>
      <c r="P171" s="94" t="str">
        <f>IF(R171=0,"",IF(S171="","Sem MTR associado",IF(U171=0,"MTR inexistente",IF(C171="","Resíduo não identificado",IF(V171=0,"Resíduo fora do cadastro",IF(W171=0,"Quantidade inválida",IF(H171="","Unidade não informada",IF(NOT(ISNUMBER(I171)),"Unidade a conferir",IF(AND(AH171=1,K171&lt;&gt;"Sim"),"Possível duplicidade",IF(Z171=1,"MTR cancelado",IF(AC171&gt;0,"Recebimento com alerta",IF(AA171=0,"Aguardando recebimento",IF(AB171&lt;AA171,"Recebimento a conferir",IF(AM171=1,"Quantidade a revisar",IF(AF171&gt;0,"Vínculo a revisar",IF(AD171=0,"Aguardando CDF",IF(AN171=0,"Vínculo de CDF parcial",IF(AE171&lt;AD171,"CDF a conferir","Documentação conferida"))))))))))))))))))</f>
        <v/>
      </c>
      <c r="Q171" s="93" t="str">
        <f>IF(OR(R171=0,AA171=0),"",MAX(0,N(L171)-N(M171)))</f>
        <v/>
      </c>
      <c r="R171" s="96">
        <f>IF(COUNTA(B171:C171,G171:H171,J171:K171)&gt;0,1,0)</f>
        <v>0</v>
      </c>
      <c r="S171" s="96" t="str">
        <f>IF(B171="","",TRIM(LEFT(B171,FIND(" |",B171&amp;" |")-1)))</f>
        <v/>
      </c>
      <c r="T171" s="96" t="str">
        <f>IF(S171="","",IFERROR(MATCH(S171,'MTRs'!$A$6:$A$505,0),""))</f>
        <v/>
      </c>
      <c r="U171" s="96">
        <f>IF(T171="",0,IF(INDEX('MTRs'!$Z$6:$Z$505,T171)=1,1,0))</f>
        <v>0</v>
      </c>
      <c r="V171" s="96">
        <f>IF(C171="",0,IF(ISNUMBER(MATCH(C171,'CAD_RESÍDUOS'!$B$6:$B$205,0)),1,0))</f>
        <v>0</v>
      </c>
      <c r="W171" s="96">
        <f>IF(AND(ISNUMBER(G171),G171&gt;0),1,0)</f>
        <v>0</v>
      </c>
      <c r="X171" s="96" t="str">
        <f>IF(H171="","",IFERROR(IF(ISNUMBER(INDEX(cfg_fac,MATCH(H171,cfg_units,0))),IF(INDEX(cfg_fac,MATCH(H171,cfg_units,0))&gt;0,INDEX(cfg_fac,MATCH(H171,cfg_units,0)),""),""),""))</f>
        <v/>
      </c>
      <c r="Y171" s="96">
        <f>IF(AND(W171=1,ISNUMBER(I171)),1,0)</f>
        <v>0</v>
      </c>
      <c r="Z171" s="96">
        <f>IF(U171=1,INDEX('MTRs'!$AA$6:$AA$505,T171),0)</f>
        <v>0</v>
      </c>
      <c r="AA171" s="96">
        <f>IF(R171=0,0,COUNTIFS('RECEBIMENTOS'!$R$6:$R$1005,A171,'RECEBIMENTOS'!$Q$6:$Q$1005,1))</f>
        <v>0</v>
      </c>
      <c r="AB171" s="96">
        <f>IF(R171=0,0,COUNTIFS('RECEBIMENTOS'!$R$6:$R$1005,A171,'RECEBIMENTOS'!$Z$6:$Z$1005,1))</f>
        <v>0</v>
      </c>
      <c r="AC171" s="96">
        <f>IF(R171=0,0,COUNTIFS('RECEBIMENTOS'!$R$6:$R$1005,A171,'RECEBIMENTOS'!$Y$6:$Y$1005,1))</f>
        <v>0</v>
      </c>
      <c r="AD171" s="96">
        <f>IF(R171=0,0,COUNTIFS('VÍNCULOS_CDF'!$R$6:$R$1005,A171,'VÍNCULOS_CDF'!$N$6:$N$1005,1))</f>
        <v>0</v>
      </c>
      <c r="AE171" s="96">
        <f>IF(R171=0,0,COUNTIFS('VÍNCULOS_CDF'!$R$6:$R$1005,A171,'VÍNCULOS_CDF'!$AA$6:$AA$1005,1))</f>
        <v>0</v>
      </c>
      <c r="AF171" s="96">
        <f>IF(R171=0,0,COUNTIFS('VÍNCULOS_CDF'!$R$6:$R$1005,A171,'VÍNCULOS_CDF'!$Y$6:$Y$1005,1))</f>
        <v>0</v>
      </c>
      <c r="AG171" s="96" t="str">
        <f>IF(AND(R171=1,S171&lt;&gt;"",C171&lt;&gt;""),S171&amp;"|"&amp;C171&amp;"|"&amp;G171&amp;"|"&amp;H171,"")</f>
        <v/>
      </c>
      <c r="AH171" s="96">
        <f>IF(AG171="",0,IF(SUMPRODUCT(--($AG$6:$AG$1005=AG171))&gt;1,1,0))</f>
        <v>0</v>
      </c>
      <c r="AI171" s="96">
        <f>IF(R171=0,0,IF(OR(U171=0,V171=0,Y171=0,AND(AH171=1,K171&lt;&gt;"Sim")),1,0))</f>
        <v>0</v>
      </c>
      <c r="AJ171" s="96">
        <f>IF(AND(R171=1,AA171&gt;0,AB171=AA171),1,0)</f>
        <v>0</v>
      </c>
      <c r="AK171" s="96">
        <f>IF(R171=0,0,IF(AA171&gt;0,N(L171),IF(ISNUMBER(I171),I171,0)))</f>
        <v>0</v>
      </c>
      <c r="AL171" s="96">
        <f>IF(R171=0,0,IF(AND(K171&lt;&gt;"Sim",N(M171)&gt;AK171+cfg_tol),1,0))</f>
        <v>0</v>
      </c>
      <c r="AM171" s="96">
        <f>IF(R171=0,0,IF(K171="Sim",0,IF(OR(AND(AA171&gt;0,ISNUMBER(I171),ABS(I171-N(L171))&gt;cfg_tol),AL171=1),1,0)))</f>
        <v>0</v>
      </c>
      <c r="AN171" s="96">
        <f>IF(AND(R171=1,N(M171)&gt;0,OR(N(M171)&gt;=AK171-cfg_tol,K171="Sim")),1,0)</f>
        <v>0</v>
      </c>
      <c r="AO171" s="96">
        <f>IF(AND(AN171=1,AD171&gt;0,AE171=AD171,AL171=0),1,0)</f>
        <v>0</v>
      </c>
      <c r="AP171" s="96">
        <f>IF(U171=0,0,IF(AND(INDEX('MTRs'!$AX$6:$AX$505,T171)=1,Z171=0,OR(f_res="",f_res="(Todos)",C171=f_res)),1,0))</f>
        <v>0</v>
      </c>
      <c r="AQ171" s="97" t="str">
        <f>IF(U171=0,"",INDEX('MTRs'!$AZ$6:$AZ$505,T171))</f>
        <v/>
      </c>
      <c r="AR171" s="96">
        <f>IF(U171=0,0,IF(AND(INDEX('MTRs'!$BA$6:$BA$505,T171)=1,Z171=0),1,0))</f>
        <v>0</v>
      </c>
      <c r="AS171" s="96" t="str">
        <f>IF(R171=1,A171&amp;" | MTR "&amp;IF(U171=1,INDEX('MTRs'!$B$6:$B$505,T171)&amp;"","?")&amp;" | "&amp;IF(C171="","(sem resíduo)",C171),"")</f>
        <v/>
      </c>
      <c r="AT171" s="96" t="str">
        <f>IF(R171=1,COUNTIF($R$6:R171,1),"")</f>
        <v/>
      </c>
      <c r="AU171" s="96" t="str">
        <f>IF(U171=1,INDEX('MTRs'!$I$6:$I$505,T171)&amp;"","")</f>
        <v/>
      </c>
    </row>
    <row r="172">
      <c r="A172" s="89" t="inlineStr">
        <is>
          <t>IT-000167</t>
        </is>
      </c>
      <c r="B172" s="91" t="n"/>
      <c r="C172" s="91" t="n"/>
      <c r="D172" s="94" t="str">
        <f>IF(OR(R172=0,V172=0),"",INDEX('CAD_RESÍDUOS'!$E$6:$E$205,MATCH(C172,'CAD_RESÍDUOS'!$B$6:$B$205,0))&amp;"")</f>
        <v/>
      </c>
      <c r="E172" s="94" t="str">
        <f>IF(OR(R172=0,V172=0),"",INDEX('CAD_RESÍDUOS'!$C$6:$C$205,MATCH(C172,'CAD_RESÍDUOS'!$B$6:$B$205,0))&amp;"")</f>
        <v/>
      </c>
      <c r="F172" s="94" t="str">
        <f>IF(OR(R172=0,V172=0),"",INDEX('CAD_RESÍDUOS'!$G$6:$G$205,MATCH(C172,'CAD_RESÍDUOS'!$B$6:$B$205,0))&amp;"")</f>
        <v/>
      </c>
      <c r="G172" s="98" t="n"/>
      <c r="H172" s="91" t="n"/>
      <c r="I172" s="93" t="str">
        <f>IF(R172=0,"",IF(NOT(ISNUMBER(G172)),"",IF(ISNUMBER(X172),G172*X172,"UNIDADE A CONFERIR")))</f>
        <v/>
      </c>
      <c r="J172" s="91" t="n"/>
      <c r="K172" s="91" t="n"/>
      <c r="L172" s="93" t="str">
        <f>IF(R172=0,"",SUMIFS('RECEBIMENTOS'!$H$6:$H$1005,'RECEBIMENTOS'!$R$6:$R$1005,A172,'RECEBIMENTOS'!$X$6:$X$1005,1))</f>
        <v/>
      </c>
      <c r="M172" s="93" t="str">
        <f>IF(R172=0,"",SUMIFS('VÍNCULOS_CDF'!$H$6:$H$1005,'VÍNCULOS_CDF'!$R$6:$R$1005,A172,'VÍNCULOS_CDF'!$V$6:$V$1005,1))</f>
        <v/>
      </c>
      <c r="N172" s="99" t="str">
        <f>IF(OR(R172=0,AA172=0,NOT(ISNUMBER(I172))),"",I172-N(L172))</f>
        <v/>
      </c>
      <c r="O172" s="100" t="str">
        <f>IF(OR(R172=0,AK172&lt;=0),"",N(M172)/AK172)</f>
        <v/>
      </c>
      <c r="P172" s="94" t="str">
        <f>IF(R172=0,"",IF(S172="","Sem MTR associado",IF(U172=0,"MTR inexistente",IF(C172="","Resíduo não identificado",IF(V172=0,"Resíduo fora do cadastro",IF(W172=0,"Quantidade inválida",IF(H172="","Unidade não informada",IF(NOT(ISNUMBER(I172)),"Unidade a conferir",IF(AND(AH172=1,K172&lt;&gt;"Sim"),"Possível duplicidade",IF(Z172=1,"MTR cancelado",IF(AC172&gt;0,"Recebimento com alerta",IF(AA172=0,"Aguardando recebimento",IF(AB172&lt;AA172,"Recebimento a conferir",IF(AM172=1,"Quantidade a revisar",IF(AF172&gt;0,"Vínculo a revisar",IF(AD172=0,"Aguardando CDF",IF(AN172=0,"Vínculo de CDF parcial",IF(AE172&lt;AD172,"CDF a conferir","Documentação conferida"))))))))))))))))))</f>
        <v/>
      </c>
      <c r="Q172" s="93" t="str">
        <f>IF(OR(R172=0,AA172=0),"",MAX(0,N(L172)-N(M172)))</f>
        <v/>
      </c>
      <c r="R172" s="96">
        <f>IF(COUNTA(B172:C172,G172:H172,J172:K172)&gt;0,1,0)</f>
        <v>0</v>
      </c>
      <c r="S172" s="96" t="str">
        <f>IF(B172="","",TRIM(LEFT(B172,FIND(" |",B172&amp;" |")-1)))</f>
        <v/>
      </c>
      <c r="T172" s="96" t="str">
        <f>IF(S172="","",IFERROR(MATCH(S172,'MTRs'!$A$6:$A$505,0),""))</f>
        <v/>
      </c>
      <c r="U172" s="96">
        <f>IF(T172="",0,IF(INDEX('MTRs'!$Z$6:$Z$505,T172)=1,1,0))</f>
        <v>0</v>
      </c>
      <c r="V172" s="96">
        <f>IF(C172="",0,IF(ISNUMBER(MATCH(C172,'CAD_RESÍDUOS'!$B$6:$B$205,0)),1,0))</f>
        <v>0</v>
      </c>
      <c r="W172" s="96">
        <f>IF(AND(ISNUMBER(G172),G172&gt;0),1,0)</f>
        <v>0</v>
      </c>
      <c r="X172" s="96" t="str">
        <f>IF(H172="","",IFERROR(IF(ISNUMBER(INDEX(cfg_fac,MATCH(H172,cfg_units,0))),IF(INDEX(cfg_fac,MATCH(H172,cfg_units,0))&gt;0,INDEX(cfg_fac,MATCH(H172,cfg_units,0)),""),""),""))</f>
        <v/>
      </c>
      <c r="Y172" s="96">
        <f>IF(AND(W172=1,ISNUMBER(I172)),1,0)</f>
        <v>0</v>
      </c>
      <c r="Z172" s="96">
        <f>IF(U172=1,INDEX('MTRs'!$AA$6:$AA$505,T172),0)</f>
        <v>0</v>
      </c>
      <c r="AA172" s="96">
        <f>IF(R172=0,0,COUNTIFS('RECEBIMENTOS'!$R$6:$R$1005,A172,'RECEBIMENTOS'!$Q$6:$Q$1005,1))</f>
        <v>0</v>
      </c>
      <c r="AB172" s="96">
        <f>IF(R172=0,0,COUNTIFS('RECEBIMENTOS'!$R$6:$R$1005,A172,'RECEBIMENTOS'!$Z$6:$Z$1005,1))</f>
        <v>0</v>
      </c>
      <c r="AC172" s="96">
        <f>IF(R172=0,0,COUNTIFS('RECEBIMENTOS'!$R$6:$R$1005,A172,'RECEBIMENTOS'!$Y$6:$Y$1005,1))</f>
        <v>0</v>
      </c>
      <c r="AD172" s="96">
        <f>IF(R172=0,0,COUNTIFS('VÍNCULOS_CDF'!$R$6:$R$1005,A172,'VÍNCULOS_CDF'!$N$6:$N$1005,1))</f>
        <v>0</v>
      </c>
      <c r="AE172" s="96">
        <f>IF(R172=0,0,COUNTIFS('VÍNCULOS_CDF'!$R$6:$R$1005,A172,'VÍNCULOS_CDF'!$AA$6:$AA$1005,1))</f>
        <v>0</v>
      </c>
      <c r="AF172" s="96">
        <f>IF(R172=0,0,COUNTIFS('VÍNCULOS_CDF'!$R$6:$R$1005,A172,'VÍNCULOS_CDF'!$Y$6:$Y$1005,1))</f>
        <v>0</v>
      </c>
      <c r="AG172" s="96" t="str">
        <f>IF(AND(R172=1,S172&lt;&gt;"",C172&lt;&gt;""),S172&amp;"|"&amp;C172&amp;"|"&amp;G172&amp;"|"&amp;H172,"")</f>
        <v/>
      </c>
      <c r="AH172" s="96">
        <f>IF(AG172="",0,IF(SUMPRODUCT(--($AG$6:$AG$1005=AG172))&gt;1,1,0))</f>
        <v>0</v>
      </c>
      <c r="AI172" s="96">
        <f>IF(R172=0,0,IF(OR(U172=0,V172=0,Y172=0,AND(AH172=1,K172&lt;&gt;"Sim")),1,0))</f>
        <v>0</v>
      </c>
      <c r="AJ172" s="96">
        <f>IF(AND(R172=1,AA172&gt;0,AB172=AA172),1,0)</f>
        <v>0</v>
      </c>
      <c r="AK172" s="96">
        <f>IF(R172=0,0,IF(AA172&gt;0,N(L172),IF(ISNUMBER(I172),I172,0)))</f>
        <v>0</v>
      </c>
      <c r="AL172" s="96">
        <f>IF(R172=0,0,IF(AND(K172&lt;&gt;"Sim",N(M172)&gt;AK172+cfg_tol),1,0))</f>
        <v>0</v>
      </c>
      <c r="AM172" s="96">
        <f>IF(R172=0,0,IF(K172="Sim",0,IF(OR(AND(AA172&gt;0,ISNUMBER(I172),ABS(I172-N(L172))&gt;cfg_tol),AL172=1),1,0)))</f>
        <v>0</v>
      </c>
      <c r="AN172" s="96">
        <f>IF(AND(R172=1,N(M172)&gt;0,OR(N(M172)&gt;=AK172-cfg_tol,K172="Sim")),1,0)</f>
        <v>0</v>
      </c>
      <c r="AO172" s="96">
        <f>IF(AND(AN172=1,AD172&gt;0,AE172=AD172,AL172=0),1,0)</f>
        <v>0</v>
      </c>
      <c r="AP172" s="96">
        <f>IF(U172=0,0,IF(AND(INDEX('MTRs'!$AX$6:$AX$505,T172)=1,Z172=0,OR(f_res="",f_res="(Todos)",C172=f_res)),1,0))</f>
        <v>0</v>
      </c>
      <c r="AQ172" s="97" t="str">
        <f>IF(U172=0,"",INDEX('MTRs'!$AZ$6:$AZ$505,T172))</f>
        <v/>
      </c>
      <c r="AR172" s="96">
        <f>IF(U172=0,0,IF(AND(INDEX('MTRs'!$BA$6:$BA$505,T172)=1,Z172=0),1,0))</f>
        <v>0</v>
      </c>
      <c r="AS172" s="96" t="str">
        <f>IF(R172=1,A172&amp;" | MTR "&amp;IF(U172=1,INDEX('MTRs'!$B$6:$B$505,T172)&amp;"","?")&amp;" | "&amp;IF(C172="","(sem resíduo)",C172),"")</f>
        <v/>
      </c>
      <c r="AT172" s="96" t="str">
        <f>IF(R172=1,COUNTIF($R$6:R172,1),"")</f>
        <v/>
      </c>
      <c r="AU172" s="96" t="str">
        <f>IF(U172=1,INDEX('MTRs'!$I$6:$I$505,T172)&amp;"","")</f>
        <v/>
      </c>
    </row>
    <row r="173">
      <c r="A173" s="89" t="inlineStr">
        <is>
          <t>IT-000168</t>
        </is>
      </c>
      <c r="B173" s="91" t="n"/>
      <c r="C173" s="91" t="n"/>
      <c r="D173" s="94" t="str">
        <f>IF(OR(R173=0,V173=0),"",INDEX('CAD_RESÍDUOS'!$E$6:$E$205,MATCH(C173,'CAD_RESÍDUOS'!$B$6:$B$205,0))&amp;"")</f>
        <v/>
      </c>
      <c r="E173" s="94" t="str">
        <f>IF(OR(R173=0,V173=0),"",INDEX('CAD_RESÍDUOS'!$C$6:$C$205,MATCH(C173,'CAD_RESÍDUOS'!$B$6:$B$205,0))&amp;"")</f>
        <v/>
      </c>
      <c r="F173" s="94" t="str">
        <f>IF(OR(R173=0,V173=0),"",INDEX('CAD_RESÍDUOS'!$G$6:$G$205,MATCH(C173,'CAD_RESÍDUOS'!$B$6:$B$205,0))&amp;"")</f>
        <v/>
      </c>
      <c r="G173" s="98" t="n"/>
      <c r="H173" s="91" t="n"/>
      <c r="I173" s="93" t="str">
        <f>IF(R173=0,"",IF(NOT(ISNUMBER(G173)),"",IF(ISNUMBER(X173),G173*X173,"UNIDADE A CONFERIR")))</f>
        <v/>
      </c>
      <c r="J173" s="91" t="n"/>
      <c r="K173" s="91" t="n"/>
      <c r="L173" s="93" t="str">
        <f>IF(R173=0,"",SUMIFS('RECEBIMENTOS'!$H$6:$H$1005,'RECEBIMENTOS'!$R$6:$R$1005,A173,'RECEBIMENTOS'!$X$6:$X$1005,1))</f>
        <v/>
      </c>
      <c r="M173" s="93" t="str">
        <f>IF(R173=0,"",SUMIFS('VÍNCULOS_CDF'!$H$6:$H$1005,'VÍNCULOS_CDF'!$R$6:$R$1005,A173,'VÍNCULOS_CDF'!$V$6:$V$1005,1))</f>
        <v/>
      </c>
      <c r="N173" s="99" t="str">
        <f>IF(OR(R173=0,AA173=0,NOT(ISNUMBER(I173))),"",I173-N(L173))</f>
        <v/>
      </c>
      <c r="O173" s="100" t="str">
        <f>IF(OR(R173=0,AK173&lt;=0),"",N(M173)/AK173)</f>
        <v/>
      </c>
      <c r="P173" s="94" t="str">
        <f>IF(R173=0,"",IF(S173="","Sem MTR associado",IF(U173=0,"MTR inexistente",IF(C173="","Resíduo não identificado",IF(V173=0,"Resíduo fora do cadastro",IF(W173=0,"Quantidade inválida",IF(H173="","Unidade não informada",IF(NOT(ISNUMBER(I173)),"Unidade a conferir",IF(AND(AH173=1,K173&lt;&gt;"Sim"),"Possível duplicidade",IF(Z173=1,"MTR cancelado",IF(AC173&gt;0,"Recebimento com alerta",IF(AA173=0,"Aguardando recebimento",IF(AB173&lt;AA173,"Recebimento a conferir",IF(AM173=1,"Quantidade a revisar",IF(AF173&gt;0,"Vínculo a revisar",IF(AD173=0,"Aguardando CDF",IF(AN173=0,"Vínculo de CDF parcial",IF(AE173&lt;AD173,"CDF a conferir","Documentação conferida"))))))))))))))))))</f>
        <v/>
      </c>
      <c r="Q173" s="93" t="str">
        <f>IF(OR(R173=0,AA173=0),"",MAX(0,N(L173)-N(M173)))</f>
        <v/>
      </c>
      <c r="R173" s="96">
        <f>IF(COUNTA(B173:C173,G173:H173,J173:K173)&gt;0,1,0)</f>
        <v>0</v>
      </c>
      <c r="S173" s="96" t="str">
        <f>IF(B173="","",TRIM(LEFT(B173,FIND(" |",B173&amp;" |")-1)))</f>
        <v/>
      </c>
      <c r="T173" s="96" t="str">
        <f>IF(S173="","",IFERROR(MATCH(S173,'MTRs'!$A$6:$A$505,0),""))</f>
        <v/>
      </c>
      <c r="U173" s="96">
        <f>IF(T173="",0,IF(INDEX('MTRs'!$Z$6:$Z$505,T173)=1,1,0))</f>
        <v>0</v>
      </c>
      <c r="V173" s="96">
        <f>IF(C173="",0,IF(ISNUMBER(MATCH(C173,'CAD_RESÍDUOS'!$B$6:$B$205,0)),1,0))</f>
        <v>0</v>
      </c>
      <c r="W173" s="96">
        <f>IF(AND(ISNUMBER(G173),G173&gt;0),1,0)</f>
        <v>0</v>
      </c>
      <c r="X173" s="96" t="str">
        <f>IF(H173="","",IFERROR(IF(ISNUMBER(INDEX(cfg_fac,MATCH(H173,cfg_units,0))),IF(INDEX(cfg_fac,MATCH(H173,cfg_units,0))&gt;0,INDEX(cfg_fac,MATCH(H173,cfg_units,0)),""),""),""))</f>
        <v/>
      </c>
      <c r="Y173" s="96">
        <f>IF(AND(W173=1,ISNUMBER(I173)),1,0)</f>
        <v>0</v>
      </c>
      <c r="Z173" s="96">
        <f>IF(U173=1,INDEX('MTRs'!$AA$6:$AA$505,T173),0)</f>
        <v>0</v>
      </c>
      <c r="AA173" s="96">
        <f>IF(R173=0,0,COUNTIFS('RECEBIMENTOS'!$R$6:$R$1005,A173,'RECEBIMENTOS'!$Q$6:$Q$1005,1))</f>
        <v>0</v>
      </c>
      <c r="AB173" s="96">
        <f>IF(R173=0,0,COUNTIFS('RECEBIMENTOS'!$R$6:$R$1005,A173,'RECEBIMENTOS'!$Z$6:$Z$1005,1))</f>
        <v>0</v>
      </c>
      <c r="AC173" s="96">
        <f>IF(R173=0,0,COUNTIFS('RECEBIMENTOS'!$R$6:$R$1005,A173,'RECEBIMENTOS'!$Y$6:$Y$1005,1))</f>
        <v>0</v>
      </c>
      <c r="AD173" s="96">
        <f>IF(R173=0,0,COUNTIFS('VÍNCULOS_CDF'!$R$6:$R$1005,A173,'VÍNCULOS_CDF'!$N$6:$N$1005,1))</f>
        <v>0</v>
      </c>
      <c r="AE173" s="96">
        <f>IF(R173=0,0,COUNTIFS('VÍNCULOS_CDF'!$R$6:$R$1005,A173,'VÍNCULOS_CDF'!$AA$6:$AA$1005,1))</f>
        <v>0</v>
      </c>
      <c r="AF173" s="96">
        <f>IF(R173=0,0,COUNTIFS('VÍNCULOS_CDF'!$R$6:$R$1005,A173,'VÍNCULOS_CDF'!$Y$6:$Y$1005,1))</f>
        <v>0</v>
      </c>
      <c r="AG173" s="96" t="str">
        <f>IF(AND(R173=1,S173&lt;&gt;"",C173&lt;&gt;""),S173&amp;"|"&amp;C173&amp;"|"&amp;G173&amp;"|"&amp;H173,"")</f>
        <v/>
      </c>
      <c r="AH173" s="96">
        <f>IF(AG173="",0,IF(SUMPRODUCT(--($AG$6:$AG$1005=AG173))&gt;1,1,0))</f>
        <v>0</v>
      </c>
      <c r="AI173" s="96">
        <f>IF(R173=0,0,IF(OR(U173=0,V173=0,Y173=0,AND(AH173=1,K173&lt;&gt;"Sim")),1,0))</f>
        <v>0</v>
      </c>
      <c r="AJ173" s="96">
        <f>IF(AND(R173=1,AA173&gt;0,AB173=AA173),1,0)</f>
        <v>0</v>
      </c>
      <c r="AK173" s="96">
        <f>IF(R173=0,0,IF(AA173&gt;0,N(L173),IF(ISNUMBER(I173),I173,0)))</f>
        <v>0</v>
      </c>
      <c r="AL173" s="96">
        <f>IF(R173=0,0,IF(AND(K173&lt;&gt;"Sim",N(M173)&gt;AK173+cfg_tol),1,0))</f>
        <v>0</v>
      </c>
      <c r="AM173" s="96">
        <f>IF(R173=0,0,IF(K173="Sim",0,IF(OR(AND(AA173&gt;0,ISNUMBER(I173),ABS(I173-N(L173))&gt;cfg_tol),AL173=1),1,0)))</f>
        <v>0</v>
      </c>
      <c r="AN173" s="96">
        <f>IF(AND(R173=1,N(M173)&gt;0,OR(N(M173)&gt;=AK173-cfg_tol,K173="Sim")),1,0)</f>
        <v>0</v>
      </c>
      <c r="AO173" s="96">
        <f>IF(AND(AN173=1,AD173&gt;0,AE173=AD173,AL173=0),1,0)</f>
        <v>0</v>
      </c>
      <c r="AP173" s="96">
        <f>IF(U173=0,0,IF(AND(INDEX('MTRs'!$AX$6:$AX$505,T173)=1,Z173=0,OR(f_res="",f_res="(Todos)",C173=f_res)),1,0))</f>
        <v>0</v>
      </c>
      <c r="AQ173" s="97" t="str">
        <f>IF(U173=0,"",INDEX('MTRs'!$AZ$6:$AZ$505,T173))</f>
        <v/>
      </c>
      <c r="AR173" s="96">
        <f>IF(U173=0,0,IF(AND(INDEX('MTRs'!$BA$6:$BA$505,T173)=1,Z173=0),1,0))</f>
        <v>0</v>
      </c>
      <c r="AS173" s="96" t="str">
        <f>IF(R173=1,A173&amp;" | MTR "&amp;IF(U173=1,INDEX('MTRs'!$B$6:$B$505,T173)&amp;"","?")&amp;" | "&amp;IF(C173="","(sem resíduo)",C173),"")</f>
        <v/>
      </c>
      <c r="AT173" s="96" t="str">
        <f>IF(R173=1,COUNTIF($R$6:R173,1),"")</f>
        <v/>
      </c>
      <c r="AU173" s="96" t="str">
        <f>IF(U173=1,INDEX('MTRs'!$I$6:$I$505,T173)&amp;"","")</f>
        <v/>
      </c>
    </row>
    <row r="174">
      <c r="A174" s="89" t="inlineStr">
        <is>
          <t>IT-000169</t>
        </is>
      </c>
      <c r="B174" s="91" t="n"/>
      <c r="C174" s="91" t="n"/>
      <c r="D174" s="94" t="str">
        <f>IF(OR(R174=0,V174=0),"",INDEX('CAD_RESÍDUOS'!$E$6:$E$205,MATCH(C174,'CAD_RESÍDUOS'!$B$6:$B$205,0))&amp;"")</f>
        <v/>
      </c>
      <c r="E174" s="94" t="str">
        <f>IF(OR(R174=0,V174=0),"",INDEX('CAD_RESÍDUOS'!$C$6:$C$205,MATCH(C174,'CAD_RESÍDUOS'!$B$6:$B$205,0))&amp;"")</f>
        <v/>
      </c>
      <c r="F174" s="94" t="str">
        <f>IF(OR(R174=0,V174=0),"",INDEX('CAD_RESÍDUOS'!$G$6:$G$205,MATCH(C174,'CAD_RESÍDUOS'!$B$6:$B$205,0))&amp;"")</f>
        <v/>
      </c>
      <c r="G174" s="98" t="n"/>
      <c r="H174" s="91" t="n"/>
      <c r="I174" s="93" t="str">
        <f>IF(R174=0,"",IF(NOT(ISNUMBER(G174)),"",IF(ISNUMBER(X174),G174*X174,"UNIDADE A CONFERIR")))</f>
        <v/>
      </c>
      <c r="J174" s="91" t="n"/>
      <c r="K174" s="91" t="n"/>
      <c r="L174" s="93" t="str">
        <f>IF(R174=0,"",SUMIFS('RECEBIMENTOS'!$H$6:$H$1005,'RECEBIMENTOS'!$R$6:$R$1005,A174,'RECEBIMENTOS'!$X$6:$X$1005,1))</f>
        <v/>
      </c>
      <c r="M174" s="93" t="str">
        <f>IF(R174=0,"",SUMIFS('VÍNCULOS_CDF'!$H$6:$H$1005,'VÍNCULOS_CDF'!$R$6:$R$1005,A174,'VÍNCULOS_CDF'!$V$6:$V$1005,1))</f>
        <v/>
      </c>
      <c r="N174" s="99" t="str">
        <f>IF(OR(R174=0,AA174=0,NOT(ISNUMBER(I174))),"",I174-N(L174))</f>
        <v/>
      </c>
      <c r="O174" s="100" t="str">
        <f>IF(OR(R174=0,AK174&lt;=0),"",N(M174)/AK174)</f>
        <v/>
      </c>
      <c r="P174" s="94" t="str">
        <f>IF(R174=0,"",IF(S174="","Sem MTR associado",IF(U174=0,"MTR inexistente",IF(C174="","Resíduo não identificado",IF(V174=0,"Resíduo fora do cadastro",IF(W174=0,"Quantidade inválida",IF(H174="","Unidade não informada",IF(NOT(ISNUMBER(I174)),"Unidade a conferir",IF(AND(AH174=1,K174&lt;&gt;"Sim"),"Possível duplicidade",IF(Z174=1,"MTR cancelado",IF(AC174&gt;0,"Recebimento com alerta",IF(AA174=0,"Aguardando recebimento",IF(AB174&lt;AA174,"Recebimento a conferir",IF(AM174=1,"Quantidade a revisar",IF(AF174&gt;0,"Vínculo a revisar",IF(AD174=0,"Aguardando CDF",IF(AN174=0,"Vínculo de CDF parcial",IF(AE174&lt;AD174,"CDF a conferir","Documentação conferida"))))))))))))))))))</f>
        <v/>
      </c>
      <c r="Q174" s="93" t="str">
        <f>IF(OR(R174=0,AA174=0),"",MAX(0,N(L174)-N(M174)))</f>
        <v/>
      </c>
      <c r="R174" s="96">
        <f>IF(COUNTA(B174:C174,G174:H174,J174:K174)&gt;0,1,0)</f>
        <v>0</v>
      </c>
      <c r="S174" s="96" t="str">
        <f>IF(B174="","",TRIM(LEFT(B174,FIND(" |",B174&amp;" |")-1)))</f>
        <v/>
      </c>
      <c r="T174" s="96" t="str">
        <f>IF(S174="","",IFERROR(MATCH(S174,'MTRs'!$A$6:$A$505,0),""))</f>
        <v/>
      </c>
      <c r="U174" s="96">
        <f>IF(T174="",0,IF(INDEX('MTRs'!$Z$6:$Z$505,T174)=1,1,0))</f>
        <v>0</v>
      </c>
      <c r="V174" s="96">
        <f>IF(C174="",0,IF(ISNUMBER(MATCH(C174,'CAD_RESÍDUOS'!$B$6:$B$205,0)),1,0))</f>
        <v>0</v>
      </c>
      <c r="W174" s="96">
        <f>IF(AND(ISNUMBER(G174),G174&gt;0),1,0)</f>
        <v>0</v>
      </c>
      <c r="X174" s="96" t="str">
        <f>IF(H174="","",IFERROR(IF(ISNUMBER(INDEX(cfg_fac,MATCH(H174,cfg_units,0))),IF(INDEX(cfg_fac,MATCH(H174,cfg_units,0))&gt;0,INDEX(cfg_fac,MATCH(H174,cfg_units,0)),""),""),""))</f>
        <v/>
      </c>
      <c r="Y174" s="96">
        <f>IF(AND(W174=1,ISNUMBER(I174)),1,0)</f>
        <v>0</v>
      </c>
      <c r="Z174" s="96">
        <f>IF(U174=1,INDEX('MTRs'!$AA$6:$AA$505,T174),0)</f>
        <v>0</v>
      </c>
      <c r="AA174" s="96">
        <f>IF(R174=0,0,COUNTIFS('RECEBIMENTOS'!$R$6:$R$1005,A174,'RECEBIMENTOS'!$Q$6:$Q$1005,1))</f>
        <v>0</v>
      </c>
      <c r="AB174" s="96">
        <f>IF(R174=0,0,COUNTIFS('RECEBIMENTOS'!$R$6:$R$1005,A174,'RECEBIMENTOS'!$Z$6:$Z$1005,1))</f>
        <v>0</v>
      </c>
      <c r="AC174" s="96">
        <f>IF(R174=0,0,COUNTIFS('RECEBIMENTOS'!$R$6:$R$1005,A174,'RECEBIMENTOS'!$Y$6:$Y$1005,1))</f>
        <v>0</v>
      </c>
      <c r="AD174" s="96">
        <f>IF(R174=0,0,COUNTIFS('VÍNCULOS_CDF'!$R$6:$R$1005,A174,'VÍNCULOS_CDF'!$N$6:$N$1005,1))</f>
        <v>0</v>
      </c>
      <c r="AE174" s="96">
        <f>IF(R174=0,0,COUNTIFS('VÍNCULOS_CDF'!$R$6:$R$1005,A174,'VÍNCULOS_CDF'!$AA$6:$AA$1005,1))</f>
        <v>0</v>
      </c>
      <c r="AF174" s="96">
        <f>IF(R174=0,0,COUNTIFS('VÍNCULOS_CDF'!$R$6:$R$1005,A174,'VÍNCULOS_CDF'!$Y$6:$Y$1005,1))</f>
        <v>0</v>
      </c>
      <c r="AG174" s="96" t="str">
        <f>IF(AND(R174=1,S174&lt;&gt;"",C174&lt;&gt;""),S174&amp;"|"&amp;C174&amp;"|"&amp;G174&amp;"|"&amp;H174,"")</f>
        <v/>
      </c>
      <c r="AH174" s="96">
        <f>IF(AG174="",0,IF(SUMPRODUCT(--($AG$6:$AG$1005=AG174))&gt;1,1,0))</f>
        <v>0</v>
      </c>
      <c r="AI174" s="96">
        <f>IF(R174=0,0,IF(OR(U174=0,V174=0,Y174=0,AND(AH174=1,K174&lt;&gt;"Sim")),1,0))</f>
        <v>0</v>
      </c>
      <c r="AJ174" s="96">
        <f>IF(AND(R174=1,AA174&gt;0,AB174=AA174),1,0)</f>
        <v>0</v>
      </c>
      <c r="AK174" s="96">
        <f>IF(R174=0,0,IF(AA174&gt;0,N(L174),IF(ISNUMBER(I174),I174,0)))</f>
        <v>0</v>
      </c>
      <c r="AL174" s="96">
        <f>IF(R174=0,0,IF(AND(K174&lt;&gt;"Sim",N(M174)&gt;AK174+cfg_tol),1,0))</f>
        <v>0</v>
      </c>
      <c r="AM174" s="96">
        <f>IF(R174=0,0,IF(K174="Sim",0,IF(OR(AND(AA174&gt;0,ISNUMBER(I174),ABS(I174-N(L174))&gt;cfg_tol),AL174=1),1,0)))</f>
        <v>0</v>
      </c>
      <c r="AN174" s="96">
        <f>IF(AND(R174=1,N(M174)&gt;0,OR(N(M174)&gt;=AK174-cfg_tol,K174="Sim")),1,0)</f>
        <v>0</v>
      </c>
      <c r="AO174" s="96">
        <f>IF(AND(AN174=1,AD174&gt;0,AE174=AD174,AL174=0),1,0)</f>
        <v>0</v>
      </c>
      <c r="AP174" s="96">
        <f>IF(U174=0,0,IF(AND(INDEX('MTRs'!$AX$6:$AX$505,T174)=1,Z174=0,OR(f_res="",f_res="(Todos)",C174=f_res)),1,0))</f>
        <v>0</v>
      </c>
      <c r="AQ174" s="97" t="str">
        <f>IF(U174=0,"",INDEX('MTRs'!$AZ$6:$AZ$505,T174))</f>
        <v/>
      </c>
      <c r="AR174" s="96">
        <f>IF(U174=0,0,IF(AND(INDEX('MTRs'!$BA$6:$BA$505,T174)=1,Z174=0),1,0))</f>
        <v>0</v>
      </c>
      <c r="AS174" s="96" t="str">
        <f>IF(R174=1,A174&amp;" | MTR "&amp;IF(U174=1,INDEX('MTRs'!$B$6:$B$505,T174)&amp;"","?")&amp;" | "&amp;IF(C174="","(sem resíduo)",C174),"")</f>
        <v/>
      </c>
      <c r="AT174" s="96" t="str">
        <f>IF(R174=1,COUNTIF($R$6:R174,1),"")</f>
        <v/>
      </c>
      <c r="AU174" s="96" t="str">
        <f>IF(U174=1,INDEX('MTRs'!$I$6:$I$505,T174)&amp;"","")</f>
        <v/>
      </c>
    </row>
    <row r="175">
      <c r="A175" s="89" t="inlineStr">
        <is>
          <t>IT-000170</t>
        </is>
      </c>
      <c r="B175" s="91" t="n"/>
      <c r="C175" s="91" t="n"/>
      <c r="D175" s="94" t="str">
        <f>IF(OR(R175=0,V175=0),"",INDEX('CAD_RESÍDUOS'!$E$6:$E$205,MATCH(C175,'CAD_RESÍDUOS'!$B$6:$B$205,0))&amp;"")</f>
        <v/>
      </c>
      <c r="E175" s="94" t="str">
        <f>IF(OR(R175=0,V175=0),"",INDEX('CAD_RESÍDUOS'!$C$6:$C$205,MATCH(C175,'CAD_RESÍDUOS'!$B$6:$B$205,0))&amp;"")</f>
        <v/>
      </c>
      <c r="F175" s="94" t="str">
        <f>IF(OR(R175=0,V175=0),"",INDEX('CAD_RESÍDUOS'!$G$6:$G$205,MATCH(C175,'CAD_RESÍDUOS'!$B$6:$B$205,0))&amp;"")</f>
        <v/>
      </c>
      <c r="G175" s="98" t="n"/>
      <c r="H175" s="91" t="n"/>
      <c r="I175" s="93" t="str">
        <f>IF(R175=0,"",IF(NOT(ISNUMBER(G175)),"",IF(ISNUMBER(X175),G175*X175,"UNIDADE A CONFERIR")))</f>
        <v/>
      </c>
      <c r="J175" s="91" t="n"/>
      <c r="K175" s="91" t="n"/>
      <c r="L175" s="93" t="str">
        <f>IF(R175=0,"",SUMIFS('RECEBIMENTOS'!$H$6:$H$1005,'RECEBIMENTOS'!$R$6:$R$1005,A175,'RECEBIMENTOS'!$X$6:$X$1005,1))</f>
        <v/>
      </c>
      <c r="M175" s="93" t="str">
        <f>IF(R175=0,"",SUMIFS('VÍNCULOS_CDF'!$H$6:$H$1005,'VÍNCULOS_CDF'!$R$6:$R$1005,A175,'VÍNCULOS_CDF'!$V$6:$V$1005,1))</f>
        <v/>
      </c>
      <c r="N175" s="99" t="str">
        <f>IF(OR(R175=0,AA175=0,NOT(ISNUMBER(I175))),"",I175-N(L175))</f>
        <v/>
      </c>
      <c r="O175" s="100" t="str">
        <f>IF(OR(R175=0,AK175&lt;=0),"",N(M175)/AK175)</f>
        <v/>
      </c>
      <c r="P175" s="94" t="str">
        <f>IF(R175=0,"",IF(S175="","Sem MTR associado",IF(U175=0,"MTR inexistente",IF(C175="","Resíduo não identificado",IF(V175=0,"Resíduo fora do cadastro",IF(W175=0,"Quantidade inválida",IF(H175="","Unidade não informada",IF(NOT(ISNUMBER(I175)),"Unidade a conferir",IF(AND(AH175=1,K175&lt;&gt;"Sim"),"Possível duplicidade",IF(Z175=1,"MTR cancelado",IF(AC175&gt;0,"Recebimento com alerta",IF(AA175=0,"Aguardando recebimento",IF(AB175&lt;AA175,"Recebimento a conferir",IF(AM175=1,"Quantidade a revisar",IF(AF175&gt;0,"Vínculo a revisar",IF(AD175=0,"Aguardando CDF",IF(AN175=0,"Vínculo de CDF parcial",IF(AE175&lt;AD175,"CDF a conferir","Documentação conferida"))))))))))))))))))</f>
        <v/>
      </c>
      <c r="Q175" s="93" t="str">
        <f>IF(OR(R175=0,AA175=0),"",MAX(0,N(L175)-N(M175)))</f>
        <v/>
      </c>
      <c r="R175" s="96">
        <f>IF(COUNTA(B175:C175,G175:H175,J175:K175)&gt;0,1,0)</f>
        <v>0</v>
      </c>
      <c r="S175" s="96" t="str">
        <f>IF(B175="","",TRIM(LEFT(B175,FIND(" |",B175&amp;" |")-1)))</f>
        <v/>
      </c>
      <c r="T175" s="96" t="str">
        <f>IF(S175="","",IFERROR(MATCH(S175,'MTRs'!$A$6:$A$505,0),""))</f>
        <v/>
      </c>
      <c r="U175" s="96">
        <f>IF(T175="",0,IF(INDEX('MTRs'!$Z$6:$Z$505,T175)=1,1,0))</f>
        <v>0</v>
      </c>
      <c r="V175" s="96">
        <f>IF(C175="",0,IF(ISNUMBER(MATCH(C175,'CAD_RESÍDUOS'!$B$6:$B$205,0)),1,0))</f>
        <v>0</v>
      </c>
      <c r="W175" s="96">
        <f>IF(AND(ISNUMBER(G175),G175&gt;0),1,0)</f>
        <v>0</v>
      </c>
      <c r="X175" s="96" t="str">
        <f>IF(H175="","",IFERROR(IF(ISNUMBER(INDEX(cfg_fac,MATCH(H175,cfg_units,0))),IF(INDEX(cfg_fac,MATCH(H175,cfg_units,0))&gt;0,INDEX(cfg_fac,MATCH(H175,cfg_units,0)),""),""),""))</f>
        <v/>
      </c>
      <c r="Y175" s="96">
        <f>IF(AND(W175=1,ISNUMBER(I175)),1,0)</f>
        <v>0</v>
      </c>
      <c r="Z175" s="96">
        <f>IF(U175=1,INDEX('MTRs'!$AA$6:$AA$505,T175),0)</f>
        <v>0</v>
      </c>
      <c r="AA175" s="96">
        <f>IF(R175=0,0,COUNTIFS('RECEBIMENTOS'!$R$6:$R$1005,A175,'RECEBIMENTOS'!$Q$6:$Q$1005,1))</f>
        <v>0</v>
      </c>
      <c r="AB175" s="96">
        <f>IF(R175=0,0,COUNTIFS('RECEBIMENTOS'!$R$6:$R$1005,A175,'RECEBIMENTOS'!$Z$6:$Z$1005,1))</f>
        <v>0</v>
      </c>
      <c r="AC175" s="96">
        <f>IF(R175=0,0,COUNTIFS('RECEBIMENTOS'!$R$6:$R$1005,A175,'RECEBIMENTOS'!$Y$6:$Y$1005,1))</f>
        <v>0</v>
      </c>
      <c r="AD175" s="96">
        <f>IF(R175=0,0,COUNTIFS('VÍNCULOS_CDF'!$R$6:$R$1005,A175,'VÍNCULOS_CDF'!$N$6:$N$1005,1))</f>
        <v>0</v>
      </c>
      <c r="AE175" s="96">
        <f>IF(R175=0,0,COUNTIFS('VÍNCULOS_CDF'!$R$6:$R$1005,A175,'VÍNCULOS_CDF'!$AA$6:$AA$1005,1))</f>
        <v>0</v>
      </c>
      <c r="AF175" s="96">
        <f>IF(R175=0,0,COUNTIFS('VÍNCULOS_CDF'!$R$6:$R$1005,A175,'VÍNCULOS_CDF'!$Y$6:$Y$1005,1))</f>
        <v>0</v>
      </c>
      <c r="AG175" s="96" t="str">
        <f>IF(AND(R175=1,S175&lt;&gt;"",C175&lt;&gt;""),S175&amp;"|"&amp;C175&amp;"|"&amp;G175&amp;"|"&amp;H175,"")</f>
        <v/>
      </c>
      <c r="AH175" s="96">
        <f>IF(AG175="",0,IF(SUMPRODUCT(--($AG$6:$AG$1005=AG175))&gt;1,1,0))</f>
        <v>0</v>
      </c>
      <c r="AI175" s="96">
        <f>IF(R175=0,0,IF(OR(U175=0,V175=0,Y175=0,AND(AH175=1,K175&lt;&gt;"Sim")),1,0))</f>
        <v>0</v>
      </c>
      <c r="AJ175" s="96">
        <f>IF(AND(R175=1,AA175&gt;0,AB175=AA175),1,0)</f>
        <v>0</v>
      </c>
      <c r="AK175" s="96">
        <f>IF(R175=0,0,IF(AA175&gt;0,N(L175),IF(ISNUMBER(I175),I175,0)))</f>
        <v>0</v>
      </c>
      <c r="AL175" s="96">
        <f>IF(R175=0,0,IF(AND(K175&lt;&gt;"Sim",N(M175)&gt;AK175+cfg_tol),1,0))</f>
        <v>0</v>
      </c>
      <c r="AM175" s="96">
        <f>IF(R175=0,0,IF(K175="Sim",0,IF(OR(AND(AA175&gt;0,ISNUMBER(I175),ABS(I175-N(L175))&gt;cfg_tol),AL175=1),1,0)))</f>
        <v>0</v>
      </c>
      <c r="AN175" s="96">
        <f>IF(AND(R175=1,N(M175)&gt;0,OR(N(M175)&gt;=AK175-cfg_tol,K175="Sim")),1,0)</f>
        <v>0</v>
      </c>
      <c r="AO175" s="96">
        <f>IF(AND(AN175=1,AD175&gt;0,AE175=AD175,AL175=0),1,0)</f>
        <v>0</v>
      </c>
      <c r="AP175" s="96">
        <f>IF(U175=0,0,IF(AND(INDEX('MTRs'!$AX$6:$AX$505,T175)=1,Z175=0,OR(f_res="",f_res="(Todos)",C175=f_res)),1,0))</f>
        <v>0</v>
      </c>
      <c r="AQ175" s="97" t="str">
        <f>IF(U175=0,"",INDEX('MTRs'!$AZ$6:$AZ$505,T175))</f>
        <v/>
      </c>
      <c r="AR175" s="96">
        <f>IF(U175=0,0,IF(AND(INDEX('MTRs'!$BA$6:$BA$505,T175)=1,Z175=0),1,0))</f>
        <v>0</v>
      </c>
      <c r="AS175" s="96" t="str">
        <f>IF(R175=1,A175&amp;" | MTR "&amp;IF(U175=1,INDEX('MTRs'!$B$6:$B$505,T175)&amp;"","?")&amp;" | "&amp;IF(C175="","(sem resíduo)",C175),"")</f>
        <v/>
      </c>
      <c r="AT175" s="96" t="str">
        <f>IF(R175=1,COUNTIF($R$6:R175,1),"")</f>
        <v/>
      </c>
      <c r="AU175" s="96" t="str">
        <f>IF(U175=1,INDEX('MTRs'!$I$6:$I$505,T175)&amp;"","")</f>
        <v/>
      </c>
    </row>
    <row r="176">
      <c r="A176" s="89" t="inlineStr">
        <is>
          <t>IT-000171</t>
        </is>
      </c>
      <c r="B176" s="91" t="n"/>
      <c r="C176" s="91" t="n"/>
      <c r="D176" s="94" t="str">
        <f>IF(OR(R176=0,V176=0),"",INDEX('CAD_RESÍDUOS'!$E$6:$E$205,MATCH(C176,'CAD_RESÍDUOS'!$B$6:$B$205,0))&amp;"")</f>
        <v/>
      </c>
      <c r="E176" s="94" t="str">
        <f>IF(OR(R176=0,V176=0),"",INDEX('CAD_RESÍDUOS'!$C$6:$C$205,MATCH(C176,'CAD_RESÍDUOS'!$B$6:$B$205,0))&amp;"")</f>
        <v/>
      </c>
      <c r="F176" s="94" t="str">
        <f>IF(OR(R176=0,V176=0),"",INDEX('CAD_RESÍDUOS'!$G$6:$G$205,MATCH(C176,'CAD_RESÍDUOS'!$B$6:$B$205,0))&amp;"")</f>
        <v/>
      </c>
      <c r="G176" s="98" t="n"/>
      <c r="H176" s="91" t="n"/>
      <c r="I176" s="93" t="str">
        <f>IF(R176=0,"",IF(NOT(ISNUMBER(G176)),"",IF(ISNUMBER(X176),G176*X176,"UNIDADE A CONFERIR")))</f>
        <v/>
      </c>
      <c r="J176" s="91" t="n"/>
      <c r="K176" s="91" t="n"/>
      <c r="L176" s="93" t="str">
        <f>IF(R176=0,"",SUMIFS('RECEBIMENTOS'!$H$6:$H$1005,'RECEBIMENTOS'!$R$6:$R$1005,A176,'RECEBIMENTOS'!$X$6:$X$1005,1))</f>
        <v/>
      </c>
      <c r="M176" s="93" t="str">
        <f>IF(R176=0,"",SUMIFS('VÍNCULOS_CDF'!$H$6:$H$1005,'VÍNCULOS_CDF'!$R$6:$R$1005,A176,'VÍNCULOS_CDF'!$V$6:$V$1005,1))</f>
        <v/>
      </c>
      <c r="N176" s="99" t="str">
        <f>IF(OR(R176=0,AA176=0,NOT(ISNUMBER(I176))),"",I176-N(L176))</f>
        <v/>
      </c>
      <c r="O176" s="100" t="str">
        <f>IF(OR(R176=0,AK176&lt;=0),"",N(M176)/AK176)</f>
        <v/>
      </c>
      <c r="P176" s="94" t="str">
        <f>IF(R176=0,"",IF(S176="","Sem MTR associado",IF(U176=0,"MTR inexistente",IF(C176="","Resíduo não identificado",IF(V176=0,"Resíduo fora do cadastro",IF(W176=0,"Quantidade inválida",IF(H176="","Unidade não informada",IF(NOT(ISNUMBER(I176)),"Unidade a conferir",IF(AND(AH176=1,K176&lt;&gt;"Sim"),"Possível duplicidade",IF(Z176=1,"MTR cancelado",IF(AC176&gt;0,"Recebimento com alerta",IF(AA176=0,"Aguardando recebimento",IF(AB176&lt;AA176,"Recebimento a conferir",IF(AM176=1,"Quantidade a revisar",IF(AF176&gt;0,"Vínculo a revisar",IF(AD176=0,"Aguardando CDF",IF(AN176=0,"Vínculo de CDF parcial",IF(AE176&lt;AD176,"CDF a conferir","Documentação conferida"))))))))))))))))))</f>
        <v/>
      </c>
      <c r="Q176" s="93" t="str">
        <f>IF(OR(R176=0,AA176=0),"",MAX(0,N(L176)-N(M176)))</f>
        <v/>
      </c>
      <c r="R176" s="96">
        <f>IF(COUNTA(B176:C176,G176:H176,J176:K176)&gt;0,1,0)</f>
        <v>0</v>
      </c>
      <c r="S176" s="96" t="str">
        <f>IF(B176="","",TRIM(LEFT(B176,FIND(" |",B176&amp;" |")-1)))</f>
        <v/>
      </c>
      <c r="T176" s="96" t="str">
        <f>IF(S176="","",IFERROR(MATCH(S176,'MTRs'!$A$6:$A$505,0),""))</f>
        <v/>
      </c>
      <c r="U176" s="96">
        <f>IF(T176="",0,IF(INDEX('MTRs'!$Z$6:$Z$505,T176)=1,1,0))</f>
        <v>0</v>
      </c>
      <c r="V176" s="96">
        <f>IF(C176="",0,IF(ISNUMBER(MATCH(C176,'CAD_RESÍDUOS'!$B$6:$B$205,0)),1,0))</f>
        <v>0</v>
      </c>
      <c r="W176" s="96">
        <f>IF(AND(ISNUMBER(G176),G176&gt;0),1,0)</f>
        <v>0</v>
      </c>
      <c r="X176" s="96" t="str">
        <f>IF(H176="","",IFERROR(IF(ISNUMBER(INDEX(cfg_fac,MATCH(H176,cfg_units,0))),IF(INDEX(cfg_fac,MATCH(H176,cfg_units,0))&gt;0,INDEX(cfg_fac,MATCH(H176,cfg_units,0)),""),""),""))</f>
        <v/>
      </c>
      <c r="Y176" s="96">
        <f>IF(AND(W176=1,ISNUMBER(I176)),1,0)</f>
        <v>0</v>
      </c>
      <c r="Z176" s="96">
        <f>IF(U176=1,INDEX('MTRs'!$AA$6:$AA$505,T176),0)</f>
        <v>0</v>
      </c>
      <c r="AA176" s="96">
        <f>IF(R176=0,0,COUNTIFS('RECEBIMENTOS'!$R$6:$R$1005,A176,'RECEBIMENTOS'!$Q$6:$Q$1005,1))</f>
        <v>0</v>
      </c>
      <c r="AB176" s="96">
        <f>IF(R176=0,0,COUNTIFS('RECEBIMENTOS'!$R$6:$R$1005,A176,'RECEBIMENTOS'!$Z$6:$Z$1005,1))</f>
        <v>0</v>
      </c>
      <c r="AC176" s="96">
        <f>IF(R176=0,0,COUNTIFS('RECEBIMENTOS'!$R$6:$R$1005,A176,'RECEBIMENTOS'!$Y$6:$Y$1005,1))</f>
        <v>0</v>
      </c>
      <c r="AD176" s="96">
        <f>IF(R176=0,0,COUNTIFS('VÍNCULOS_CDF'!$R$6:$R$1005,A176,'VÍNCULOS_CDF'!$N$6:$N$1005,1))</f>
        <v>0</v>
      </c>
      <c r="AE176" s="96">
        <f>IF(R176=0,0,COUNTIFS('VÍNCULOS_CDF'!$R$6:$R$1005,A176,'VÍNCULOS_CDF'!$AA$6:$AA$1005,1))</f>
        <v>0</v>
      </c>
      <c r="AF176" s="96">
        <f>IF(R176=0,0,COUNTIFS('VÍNCULOS_CDF'!$R$6:$R$1005,A176,'VÍNCULOS_CDF'!$Y$6:$Y$1005,1))</f>
        <v>0</v>
      </c>
      <c r="AG176" s="96" t="str">
        <f>IF(AND(R176=1,S176&lt;&gt;"",C176&lt;&gt;""),S176&amp;"|"&amp;C176&amp;"|"&amp;G176&amp;"|"&amp;H176,"")</f>
        <v/>
      </c>
      <c r="AH176" s="96">
        <f>IF(AG176="",0,IF(SUMPRODUCT(--($AG$6:$AG$1005=AG176))&gt;1,1,0))</f>
        <v>0</v>
      </c>
      <c r="AI176" s="96">
        <f>IF(R176=0,0,IF(OR(U176=0,V176=0,Y176=0,AND(AH176=1,K176&lt;&gt;"Sim")),1,0))</f>
        <v>0</v>
      </c>
      <c r="AJ176" s="96">
        <f>IF(AND(R176=1,AA176&gt;0,AB176=AA176),1,0)</f>
        <v>0</v>
      </c>
      <c r="AK176" s="96">
        <f>IF(R176=0,0,IF(AA176&gt;0,N(L176),IF(ISNUMBER(I176),I176,0)))</f>
        <v>0</v>
      </c>
      <c r="AL176" s="96">
        <f>IF(R176=0,0,IF(AND(K176&lt;&gt;"Sim",N(M176)&gt;AK176+cfg_tol),1,0))</f>
        <v>0</v>
      </c>
      <c r="AM176" s="96">
        <f>IF(R176=0,0,IF(K176="Sim",0,IF(OR(AND(AA176&gt;0,ISNUMBER(I176),ABS(I176-N(L176))&gt;cfg_tol),AL176=1),1,0)))</f>
        <v>0</v>
      </c>
      <c r="AN176" s="96">
        <f>IF(AND(R176=1,N(M176)&gt;0,OR(N(M176)&gt;=AK176-cfg_tol,K176="Sim")),1,0)</f>
        <v>0</v>
      </c>
      <c r="AO176" s="96">
        <f>IF(AND(AN176=1,AD176&gt;0,AE176=AD176,AL176=0),1,0)</f>
        <v>0</v>
      </c>
      <c r="AP176" s="96">
        <f>IF(U176=0,0,IF(AND(INDEX('MTRs'!$AX$6:$AX$505,T176)=1,Z176=0,OR(f_res="",f_res="(Todos)",C176=f_res)),1,0))</f>
        <v>0</v>
      </c>
      <c r="AQ176" s="97" t="str">
        <f>IF(U176=0,"",INDEX('MTRs'!$AZ$6:$AZ$505,T176))</f>
        <v/>
      </c>
      <c r="AR176" s="96">
        <f>IF(U176=0,0,IF(AND(INDEX('MTRs'!$BA$6:$BA$505,T176)=1,Z176=0),1,0))</f>
        <v>0</v>
      </c>
      <c r="AS176" s="96" t="str">
        <f>IF(R176=1,A176&amp;" | MTR "&amp;IF(U176=1,INDEX('MTRs'!$B$6:$B$505,T176)&amp;"","?")&amp;" | "&amp;IF(C176="","(sem resíduo)",C176),"")</f>
        <v/>
      </c>
      <c r="AT176" s="96" t="str">
        <f>IF(R176=1,COUNTIF($R$6:R176,1),"")</f>
        <v/>
      </c>
      <c r="AU176" s="96" t="str">
        <f>IF(U176=1,INDEX('MTRs'!$I$6:$I$505,T176)&amp;"","")</f>
        <v/>
      </c>
    </row>
    <row r="177">
      <c r="A177" s="89" t="inlineStr">
        <is>
          <t>IT-000172</t>
        </is>
      </c>
      <c r="B177" s="91" t="n"/>
      <c r="C177" s="91" t="n"/>
      <c r="D177" s="94" t="str">
        <f>IF(OR(R177=0,V177=0),"",INDEX('CAD_RESÍDUOS'!$E$6:$E$205,MATCH(C177,'CAD_RESÍDUOS'!$B$6:$B$205,0))&amp;"")</f>
        <v/>
      </c>
      <c r="E177" s="94" t="str">
        <f>IF(OR(R177=0,V177=0),"",INDEX('CAD_RESÍDUOS'!$C$6:$C$205,MATCH(C177,'CAD_RESÍDUOS'!$B$6:$B$205,0))&amp;"")</f>
        <v/>
      </c>
      <c r="F177" s="94" t="str">
        <f>IF(OR(R177=0,V177=0),"",INDEX('CAD_RESÍDUOS'!$G$6:$G$205,MATCH(C177,'CAD_RESÍDUOS'!$B$6:$B$205,0))&amp;"")</f>
        <v/>
      </c>
      <c r="G177" s="98" t="n"/>
      <c r="H177" s="91" t="n"/>
      <c r="I177" s="93" t="str">
        <f>IF(R177=0,"",IF(NOT(ISNUMBER(G177)),"",IF(ISNUMBER(X177),G177*X177,"UNIDADE A CONFERIR")))</f>
        <v/>
      </c>
      <c r="J177" s="91" t="n"/>
      <c r="K177" s="91" t="n"/>
      <c r="L177" s="93" t="str">
        <f>IF(R177=0,"",SUMIFS('RECEBIMENTOS'!$H$6:$H$1005,'RECEBIMENTOS'!$R$6:$R$1005,A177,'RECEBIMENTOS'!$X$6:$X$1005,1))</f>
        <v/>
      </c>
      <c r="M177" s="93" t="str">
        <f>IF(R177=0,"",SUMIFS('VÍNCULOS_CDF'!$H$6:$H$1005,'VÍNCULOS_CDF'!$R$6:$R$1005,A177,'VÍNCULOS_CDF'!$V$6:$V$1005,1))</f>
        <v/>
      </c>
      <c r="N177" s="99" t="str">
        <f>IF(OR(R177=0,AA177=0,NOT(ISNUMBER(I177))),"",I177-N(L177))</f>
        <v/>
      </c>
      <c r="O177" s="100" t="str">
        <f>IF(OR(R177=0,AK177&lt;=0),"",N(M177)/AK177)</f>
        <v/>
      </c>
      <c r="P177" s="94" t="str">
        <f>IF(R177=0,"",IF(S177="","Sem MTR associado",IF(U177=0,"MTR inexistente",IF(C177="","Resíduo não identificado",IF(V177=0,"Resíduo fora do cadastro",IF(W177=0,"Quantidade inválida",IF(H177="","Unidade não informada",IF(NOT(ISNUMBER(I177)),"Unidade a conferir",IF(AND(AH177=1,K177&lt;&gt;"Sim"),"Possível duplicidade",IF(Z177=1,"MTR cancelado",IF(AC177&gt;0,"Recebimento com alerta",IF(AA177=0,"Aguardando recebimento",IF(AB177&lt;AA177,"Recebimento a conferir",IF(AM177=1,"Quantidade a revisar",IF(AF177&gt;0,"Vínculo a revisar",IF(AD177=0,"Aguardando CDF",IF(AN177=0,"Vínculo de CDF parcial",IF(AE177&lt;AD177,"CDF a conferir","Documentação conferida"))))))))))))))))))</f>
        <v/>
      </c>
      <c r="Q177" s="93" t="str">
        <f>IF(OR(R177=0,AA177=0),"",MAX(0,N(L177)-N(M177)))</f>
        <v/>
      </c>
      <c r="R177" s="96">
        <f>IF(COUNTA(B177:C177,G177:H177,J177:K177)&gt;0,1,0)</f>
        <v>0</v>
      </c>
      <c r="S177" s="96" t="str">
        <f>IF(B177="","",TRIM(LEFT(B177,FIND(" |",B177&amp;" |")-1)))</f>
        <v/>
      </c>
      <c r="T177" s="96" t="str">
        <f>IF(S177="","",IFERROR(MATCH(S177,'MTRs'!$A$6:$A$505,0),""))</f>
        <v/>
      </c>
      <c r="U177" s="96">
        <f>IF(T177="",0,IF(INDEX('MTRs'!$Z$6:$Z$505,T177)=1,1,0))</f>
        <v>0</v>
      </c>
      <c r="V177" s="96">
        <f>IF(C177="",0,IF(ISNUMBER(MATCH(C177,'CAD_RESÍDUOS'!$B$6:$B$205,0)),1,0))</f>
        <v>0</v>
      </c>
      <c r="W177" s="96">
        <f>IF(AND(ISNUMBER(G177),G177&gt;0),1,0)</f>
        <v>0</v>
      </c>
      <c r="X177" s="96" t="str">
        <f>IF(H177="","",IFERROR(IF(ISNUMBER(INDEX(cfg_fac,MATCH(H177,cfg_units,0))),IF(INDEX(cfg_fac,MATCH(H177,cfg_units,0))&gt;0,INDEX(cfg_fac,MATCH(H177,cfg_units,0)),""),""),""))</f>
        <v/>
      </c>
      <c r="Y177" s="96">
        <f>IF(AND(W177=1,ISNUMBER(I177)),1,0)</f>
        <v>0</v>
      </c>
      <c r="Z177" s="96">
        <f>IF(U177=1,INDEX('MTRs'!$AA$6:$AA$505,T177),0)</f>
        <v>0</v>
      </c>
      <c r="AA177" s="96">
        <f>IF(R177=0,0,COUNTIFS('RECEBIMENTOS'!$R$6:$R$1005,A177,'RECEBIMENTOS'!$Q$6:$Q$1005,1))</f>
        <v>0</v>
      </c>
      <c r="AB177" s="96">
        <f>IF(R177=0,0,COUNTIFS('RECEBIMENTOS'!$R$6:$R$1005,A177,'RECEBIMENTOS'!$Z$6:$Z$1005,1))</f>
        <v>0</v>
      </c>
      <c r="AC177" s="96">
        <f>IF(R177=0,0,COUNTIFS('RECEBIMENTOS'!$R$6:$R$1005,A177,'RECEBIMENTOS'!$Y$6:$Y$1005,1))</f>
        <v>0</v>
      </c>
      <c r="AD177" s="96">
        <f>IF(R177=0,0,COUNTIFS('VÍNCULOS_CDF'!$R$6:$R$1005,A177,'VÍNCULOS_CDF'!$N$6:$N$1005,1))</f>
        <v>0</v>
      </c>
      <c r="AE177" s="96">
        <f>IF(R177=0,0,COUNTIFS('VÍNCULOS_CDF'!$R$6:$R$1005,A177,'VÍNCULOS_CDF'!$AA$6:$AA$1005,1))</f>
        <v>0</v>
      </c>
      <c r="AF177" s="96">
        <f>IF(R177=0,0,COUNTIFS('VÍNCULOS_CDF'!$R$6:$R$1005,A177,'VÍNCULOS_CDF'!$Y$6:$Y$1005,1))</f>
        <v>0</v>
      </c>
      <c r="AG177" s="96" t="str">
        <f>IF(AND(R177=1,S177&lt;&gt;"",C177&lt;&gt;""),S177&amp;"|"&amp;C177&amp;"|"&amp;G177&amp;"|"&amp;H177,"")</f>
        <v/>
      </c>
      <c r="AH177" s="96">
        <f>IF(AG177="",0,IF(SUMPRODUCT(--($AG$6:$AG$1005=AG177))&gt;1,1,0))</f>
        <v>0</v>
      </c>
      <c r="AI177" s="96">
        <f>IF(R177=0,0,IF(OR(U177=0,V177=0,Y177=0,AND(AH177=1,K177&lt;&gt;"Sim")),1,0))</f>
        <v>0</v>
      </c>
      <c r="AJ177" s="96">
        <f>IF(AND(R177=1,AA177&gt;0,AB177=AA177),1,0)</f>
        <v>0</v>
      </c>
      <c r="AK177" s="96">
        <f>IF(R177=0,0,IF(AA177&gt;0,N(L177),IF(ISNUMBER(I177),I177,0)))</f>
        <v>0</v>
      </c>
      <c r="AL177" s="96">
        <f>IF(R177=0,0,IF(AND(K177&lt;&gt;"Sim",N(M177)&gt;AK177+cfg_tol),1,0))</f>
        <v>0</v>
      </c>
      <c r="AM177" s="96">
        <f>IF(R177=0,0,IF(K177="Sim",0,IF(OR(AND(AA177&gt;0,ISNUMBER(I177),ABS(I177-N(L177))&gt;cfg_tol),AL177=1),1,0)))</f>
        <v>0</v>
      </c>
      <c r="AN177" s="96">
        <f>IF(AND(R177=1,N(M177)&gt;0,OR(N(M177)&gt;=AK177-cfg_tol,K177="Sim")),1,0)</f>
        <v>0</v>
      </c>
      <c r="AO177" s="96">
        <f>IF(AND(AN177=1,AD177&gt;0,AE177=AD177,AL177=0),1,0)</f>
        <v>0</v>
      </c>
      <c r="AP177" s="96">
        <f>IF(U177=0,0,IF(AND(INDEX('MTRs'!$AX$6:$AX$505,T177)=1,Z177=0,OR(f_res="",f_res="(Todos)",C177=f_res)),1,0))</f>
        <v>0</v>
      </c>
      <c r="AQ177" s="97" t="str">
        <f>IF(U177=0,"",INDEX('MTRs'!$AZ$6:$AZ$505,T177))</f>
        <v/>
      </c>
      <c r="AR177" s="96">
        <f>IF(U177=0,0,IF(AND(INDEX('MTRs'!$BA$6:$BA$505,T177)=1,Z177=0),1,0))</f>
        <v>0</v>
      </c>
      <c r="AS177" s="96" t="str">
        <f>IF(R177=1,A177&amp;" | MTR "&amp;IF(U177=1,INDEX('MTRs'!$B$6:$B$505,T177)&amp;"","?")&amp;" | "&amp;IF(C177="","(sem resíduo)",C177),"")</f>
        <v/>
      </c>
      <c r="AT177" s="96" t="str">
        <f>IF(R177=1,COUNTIF($R$6:R177,1),"")</f>
        <v/>
      </c>
      <c r="AU177" s="96" t="str">
        <f>IF(U177=1,INDEX('MTRs'!$I$6:$I$505,T177)&amp;"","")</f>
        <v/>
      </c>
    </row>
    <row r="178">
      <c r="A178" s="89" t="inlineStr">
        <is>
          <t>IT-000173</t>
        </is>
      </c>
      <c r="B178" s="91" t="n"/>
      <c r="C178" s="91" t="n"/>
      <c r="D178" s="94" t="str">
        <f>IF(OR(R178=0,V178=0),"",INDEX('CAD_RESÍDUOS'!$E$6:$E$205,MATCH(C178,'CAD_RESÍDUOS'!$B$6:$B$205,0))&amp;"")</f>
        <v/>
      </c>
      <c r="E178" s="94" t="str">
        <f>IF(OR(R178=0,V178=0),"",INDEX('CAD_RESÍDUOS'!$C$6:$C$205,MATCH(C178,'CAD_RESÍDUOS'!$B$6:$B$205,0))&amp;"")</f>
        <v/>
      </c>
      <c r="F178" s="94" t="str">
        <f>IF(OR(R178=0,V178=0),"",INDEX('CAD_RESÍDUOS'!$G$6:$G$205,MATCH(C178,'CAD_RESÍDUOS'!$B$6:$B$205,0))&amp;"")</f>
        <v/>
      </c>
      <c r="G178" s="98" t="n"/>
      <c r="H178" s="91" t="n"/>
      <c r="I178" s="93" t="str">
        <f>IF(R178=0,"",IF(NOT(ISNUMBER(G178)),"",IF(ISNUMBER(X178),G178*X178,"UNIDADE A CONFERIR")))</f>
        <v/>
      </c>
      <c r="J178" s="91" t="n"/>
      <c r="K178" s="91" t="n"/>
      <c r="L178" s="93" t="str">
        <f>IF(R178=0,"",SUMIFS('RECEBIMENTOS'!$H$6:$H$1005,'RECEBIMENTOS'!$R$6:$R$1005,A178,'RECEBIMENTOS'!$X$6:$X$1005,1))</f>
        <v/>
      </c>
      <c r="M178" s="93" t="str">
        <f>IF(R178=0,"",SUMIFS('VÍNCULOS_CDF'!$H$6:$H$1005,'VÍNCULOS_CDF'!$R$6:$R$1005,A178,'VÍNCULOS_CDF'!$V$6:$V$1005,1))</f>
        <v/>
      </c>
      <c r="N178" s="99" t="str">
        <f>IF(OR(R178=0,AA178=0,NOT(ISNUMBER(I178))),"",I178-N(L178))</f>
        <v/>
      </c>
      <c r="O178" s="100" t="str">
        <f>IF(OR(R178=0,AK178&lt;=0),"",N(M178)/AK178)</f>
        <v/>
      </c>
      <c r="P178" s="94" t="str">
        <f>IF(R178=0,"",IF(S178="","Sem MTR associado",IF(U178=0,"MTR inexistente",IF(C178="","Resíduo não identificado",IF(V178=0,"Resíduo fora do cadastro",IF(W178=0,"Quantidade inválida",IF(H178="","Unidade não informada",IF(NOT(ISNUMBER(I178)),"Unidade a conferir",IF(AND(AH178=1,K178&lt;&gt;"Sim"),"Possível duplicidade",IF(Z178=1,"MTR cancelado",IF(AC178&gt;0,"Recebimento com alerta",IF(AA178=0,"Aguardando recebimento",IF(AB178&lt;AA178,"Recebimento a conferir",IF(AM178=1,"Quantidade a revisar",IF(AF178&gt;0,"Vínculo a revisar",IF(AD178=0,"Aguardando CDF",IF(AN178=0,"Vínculo de CDF parcial",IF(AE178&lt;AD178,"CDF a conferir","Documentação conferida"))))))))))))))))))</f>
        <v/>
      </c>
      <c r="Q178" s="93" t="str">
        <f>IF(OR(R178=0,AA178=0),"",MAX(0,N(L178)-N(M178)))</f>
        <v/>
      </c>
      <c r="R178" s="96">
        <f>IF(COUNTA(B178:C178,G178:H178,J178:K178)&gt;0,1,0)</f>
        <v>0</v>
      </c>
      <c r="S178" s="96" t="str">
        <f>IF(B178="","",TRIM(LEFT(B178,FIND(" |",B178&amp;" |")-1)))</f>
        <v/>
      </c>
      <c r="T178" s="96" t="str">
        <f>IF(S178="","",IFERROR(MATCH(S178,'MTRs'!$A$6:$A$505,0),""))</f>
        <v/>
      </c>
      <c r="U178" s="96">
        <f>IF(T178="",0,IF(INDEX('MTRs'!$Z$6:$Z$505,T178)=1,1,0))</f>
        <v>0</v>
      </c>
      <c r="V178" s="96">
        <f>IF(C178="",0,IF(ISNUMBER(MATCH(C178,'CAD_RESÍDUOS'!$B$6:$B$205,0)),1,0))</f>
        <v>0</v>
      </c>
      <c r="W178" s="96">
        <f>IF(AND(ISNUMBER(G178),G178&gt;0),1,0)</f>
        <v>0</v>
      </c>
      <c r="X178" s="96" t="str">
        <f>IF(H178="","",IFERROR(IF(ISNUMBER(INDEX(cfg_fac,MATCH(H178,cfg_units,0))),IF(INDEX(cfg_fac,MATCH(H178,cfg_units,0))&gt;0,INDEX(cfg_fac,MATCH(H178,cfg_units,0)),""),""),""))</f>
        <v/>
      </c>
      <c r="Y178" s="96">
        <f>IF(AND(W178=1,ISNUMBER(I178)),1,0)</f>
        <v>0</v>
      </c>
      <c r="Z178" s="96">
        <f>IF(U178=1,INDEX('MTRs'!$AA$6:$AA$505,T178),0)</f>
        <v>0</v>
      </c>
      <c r="AA178" s="96">
        <f>IF(R178=0,0,COUNTIFS('RECEBIMENTOS'!$R$6:$R$1005,A178,'RECEBIMENTOS'!$Q$6:$Q$1005,1))</f>
        <v>0</v>
      </c>
      <c r="AB178" s="96">
        <f>IF(R178=0,0,COUNTIFS('RECEBIMENTOS'!$R$6:$R$1005,A178,'RECEBIMENTOS'!$Z$6:$Z$1005,1))</f>
        <v>0</v>
      </c>
      <c r="AC178" s="96">
        <f>IF(R178=0,0,COUNTIFS('RECEBIMENTOS'!$R$6:$R$1005,A178,'RECEBIMENTOS'!$Y$6:$Y$1005,1))</f>
        <v>0</v>
      </c>
      <c r="AD178" s="96">
        <f>IF(R178=0,0,COUNTIFS('VÍNCULOS_CDF'!$R$6:$R$1005,A178,'VÍNCULOS_CDF'!$N$6:$N$1005,1))</f>
        <v>0</v>
      </c>
      <c r="AE178" s="96">
        <f>IF(R178=0,0,COUNTIFS('VÍNCULOS_CDF'!$R$6:$R$1005,A178,'VÍNCULOS_CDF'!$AA$6:$AA$1005,1))</f>
        <v>0</v>
      </c>
      <c r="AF178" s="96">
        <f>IF(R178=0,0,COUNTIFS('VÍNCULOS_CDF'!$R$6:$R$1005,A178,'VÍNCULOS_CDF'!$Y$6:$Y$1005,1))</f>
        <v>0</v>
      </c>
      <c r="AG178" s="96" t="str">
        <f>IF(AND(R178=1,S178&lt;&gt;"",C178&lt;&gt;""),S178&amp;"|"&amp;C178&amp;"|"&amp;G178&amp;"|"&amp;H178,"")</f>
        <v/>
      </c>
      <c r="AH178" s="96">
        <f>IF(AG178="",0,IF(SUMPRODUCT(--($AG$6:$AG$1005=AG178))&gt;1,1,0))</f>
        <v>0</v>
      </c>
      <c r="AI178" s="96">
        <f>IF(R178=0,0,IF(OR(U178=0,V178=0,Y178=0,AND(AH178=1,K178&lt;&gt;"Sim")),1,0))</f>
        <v>0</v>
      </c>
      <c r="AJ178" s="96">
        <f>IF(AND(R178=1,AA178&gt;0,AB178=AA178),1,0)</f>
        <v>0</v>
      </c>
      <c r="AK178" s="96">
        <f>IF(R178=0,0,IF(AA178&gt;0,N(L178),IF(ISNUMBER(I178),I178,0)))</f>
        <v>0</v>
      </c>
      <c r="AL178" s="96">
        <f>IF(R178=0,0,IF(AND(K178&lt;&gt;"Sim",N(M178)&gt;AK178+cfg_tol),1,0))</f>
        <v>0</v>
      </c>
      <c r="AM178" s="96">
        <f>IF(R178=0,0,IF(K178="Sim",0,IF(OR(AND(AA178&gt;0,ISNUMBER(I178),ABS(I178-N(L178))&gt;cfg_tol),AL178=1),1,0)))</f>
        <v>0</v>
      </c>
      <c r="AN178" s="96">
        <f>IF(AND(R178=1,N(M178)&gt;0,OR(N(M178)&gt;=AK178-cfg_tol,K178="Sim")),1,0)</f>
        <v>0</v>
      </c>
      <c r="AO178" s="96">
        <f>IF(AND(AN178=1,AD178&gt;0,AE178=AD178,AL178=0),1,0)</f>
        <v>0</v>
      </c>
      <c r="AP178" s="96">
        <f>IF(U178=0,0,IF(AND(INDEX('MTRs'!$AX$6:$AX$505,T178)=1,Z178=0,OR(f_res="",f_res="(Todos)",C178=f_res)),1,0))</f>
        <v>0</v>
      </c>
      <c r="AQ178" s="97" t="str">
        <f>IF(U178=0,"",INDEX('MTRs'!$AZ$6:$AZ$505,T178))</f>
        <v/>
      </c>
      <c r="AR178" s="96">
        <f>IF(U178=0,0,IF(AND(INDEX('MTRs'!$BA$6:$BA$505,T178)=1,Z178=0),1,0))</f>
        <v>0</v>
      </c>
      <c r="AS178" s="96" t="str">
        <f>IF(R178=1,A178&amp;" | MTR "&amp;IF(U178=1,INDEX('MTRs'!$B$6:$B$505,T178)&amp;"","?")&amp;" | "&amp;IF(C178="","(sem resíduo)",C178),"")</f>
        <v/>
      </c>
      <c r="AT178" s="96" t="str">
        <f>IF(R178=1,COUNTIF($R$6:R178,1),"")</f>
        <v/>
      </c>
      <c r="AU178" s="96" t="str">
        <f>IF(U178=1,INDEX('MTRs'!$I$6:$I$505,T178)&amp;"","")</f>
        <v/>
      </c>
    </row>
    <row r="179">
      <c r="A179" s="89" t="inlineStr">
        <is>
          <t>IT-000174</t>
        </is>
      </c>
      <c r="B179" s="91" t="n"/>
      <c r="C179" s="91" t="n"/>
      <c r="D179" s="94" t="str">
        <f>IF(OR(R179=0,V179=0),"",INDEX('CAD_RESÍDUOS'!$E$6:$E$205,MATCH(C179,'CAD_RESÍDUOS'!$B$6:$B$205,0))&amp;"")</f>
        <v/>
      </c>
      <c r="E179" s="94" t="str">
        <f>IF(OR(R179=0,V179=0),"",INDEX('CAD_RESÍDUOS'!$C$6:$C$205,MATCH(C179,'CAD_RESÍDUOS'!$B$6:$B$205,0))&amp;"")</f>
        <v/>
      </c>
      <c r="F179" s="94" t="str">
        <f>IF(OR(R179=0,V179=0),"",INDEX('CAD_RESÍDUOS'!$G$6:$G$205,MATCH(C179,'CAD_RESÍDUOS'!$B$6:$B$205,0))&amp;"")</f>
        <v/>
      </c>
      <c r="G179" s="98" t="n"/>
      <c r="H179" s="91" t="n"/>
      <c r="I179" s="93" t="str">
        <f>IF(R179=0,"",IF(NOT(ISNUMBER(G179)),"",IF(ISNUMBER(X179),G179*X179,"UNIDADE A CONFERIR")))</f>
        <v/>
      </c>
      <c r="J179" s="91" t="n"/>
      <c r="K179" s="91" t="n"/>
      <c r="L179" s="93" t="str">
        <f>IF(R179=0,"",SUMIFS('RECEBIMENTOS'!$H$6:$H$1005,'RECEBIMENTOS'!$R$6:$R$1005,A179,'RECEBIMENTOS'!$X$6:$X$1005,1))</f>
        <v/>
      </c>
      <c r="M179" s="93" t="str">
        <f>IF(R179=0,"",SUMIFS('VÍNCULOS_CDF'!$H$6:$H$1005,'VÍNCULOS_CDF'!$R$6:$R$1005,A179,'VÍNCULOS_CDF'!$V$6:$V$1005,1))</f>
        <v/>
      </c>
      <c r="N179" s="99" t="str">
        <f>IF(OR(R179=0,AA179=0,NOT(ISNUMBER(I179))),"",I179-N(L179))</f>
        <v/>
      </c>
      <c r="O179" s="100" t="str">
        <f>IF(OR(R179=0,AK179&lt;=0),"",N(M179)/AK179)</f>
        <v/>
      </c>
      <c r="P179" s="94" t="str">
        <f>IF(R179=0,"",IF(S179="","Sem MTR associado",IF(U179=0,"MTR inexistente",IF(C179="","Resíduo não identificado",IF(V179=0,"Resíduo fora do cadastro",IF(W179=0,"Quantidade inválida",IF(H179="","Unidade não informada",IF(NOT(ISNUMBER(I179)),"Unidade a conferir",IF(AND(AH179=1,K179&lt;&gt;"Sim"),"Possível duplicidade",IF(Z179=1,"MTR cancelado",IF(AC179&gt;0,"Recebimento com alerta",IF(AA179=0,"Aguardando recebimento",IF(AB179&lt;AA179,"Recebimento a conferir",IF(AM179=1,"Quantidade a revisar",IF(AF179&gt;0,"Vínculo a revisar",IF(AD179=0,"Aguardando CDF",IF(AN179=0,"Vínculo de CDF parcial",IF(AE179&lt;AD179,"CDF a conferir","Documentação conferida"))))))))))))))))))</f>
        <v/>
      </c>
      <c r="Q179" s="93" t="str">
        <f>IF(OR(R179=0,AA179=0),"",MAX(0,N(L179)-N(M179)))</f>
        <v/>
      </c>
      <c r="R179" s="96">
        <f>IF(COUNTA(B179:C179,G179:H179,J179:K179)&gt;0,1,0)</f>
        <v>0</v>
      </c>
      <c r="S179" s="96" t="str">
        <f>IF(B179="","",TRIM(LEFT(B179,FIND(" |",B179&amp;" |")-1)))</f>
        <v/>
      </c>
      <c r="T179" s="96" t="str">
        <f>IF(S179="","",IFERROR(MATCH(S179,'MTRs'!$A$6:$A$505,0),""))</f>
        <v/>
      </c>
      <c r="U179" s="96">
        <f>IF(T179="",0,IF(INDEX('MTRs'!$Z$6:$Z$505,T179)=1,1,0))</f>
        <v>0</v>
      </c>
      <c r="V179" s="96">
        <f>IF(C179="",0,IF(ISNUMBER(MATCH(C179,'CAD_RESÍDUOS'!$B$6:$B$205,0)),1,0))</f>
        <v>0</v>
      </c>
      <c r="W179" s="96">
        <f>IF(AND(ISNUMBER(G179),G179&gt;0),1,0)</f>
        <v>0</v>
      </c>
      <c r="X179" s="96" t="str">
        <f>IF(H179="","",IFERROR(IF(ISNUMBER(INDEX(cfg_fac,MATCH(H179,cfg_units,0))),IF(INDEX(cfg_fac,MATCH(H179,cfg_units,0))&gt;0,INDEX(cfg_fac,MATCH(H179,cfg_units,0)),""),""),""))</f>
        <v/>
      </c>
      <c r="Y179" s="96">
        <f>IF(AND(W179=1,ISNUMBER(I179)),1,0)</f>
        <v>0</v>
      </c>
      <c r="Z179" s="96">
        <f>IF(U179=1,INDEX('MTRs'!$AA$6:$AA$505,T179),0)</f>
        <v>0</v>
      </c>
      <c r="AA179" s="96">
        <f>IF(R179=0,0,COUNTIFS('RECEBIMENTOS'!$R$6:$R$1005,A179,'RECEBIMENTOS'!$Q$6:$Q$1005,1))</f>
        <v>0</v>
      </c>
      <c r="AB179" s="96">
        <f>IF(R179=0,0,COUNTIFS('RECEBIMENTOS'!$R$6:$R$1005,A179,'RECEBIMENTOS'!$Z$6:$Z$1005,1))</f>
        <v>0</v>
      </c>
      <c r="AC179" s="96">
        <f>IF(R179=0,0,COUNTIFS('RECEBIMENTOS'!$R$6:$R$1005,A179,'RECEBIMENTOS'!$Y$6:$Y$1005,1))</f>
        <v>0</v>
      </c>
      <c r="AD179" s="96">
        <f>IF(R179=0,0,COUNTIFS('VÍNCULOS_CDF'!$R$6:$R$1005,A179,'VÍNCULOS_CDF'!$N$6:$N$1005,1))</f>
        <v>0</v>
      </c>
      <c r="AE179" s="96">
        <f>IF(R179=0,0,COUNTIFS('VÍNCULOS_CDF'!$R$6:$R$1005,A179,'VÍNCULOS_CDF'!$AA$6:$AA$1005,1))</f>
        <v>0</v>
      </c>
      <c r="AF179" s="96">
        <f>IF(R179=0,0,COUNTIFS('VÍNCULOS_CDF'!$R$6:$R$1005,A179,'VÍNCULOS_CDF'!$Y$6:$Y$1005,1))</f>
        <v>0</v>
      </c>
      <c r="AG179" s="96" t="str">
        <f>IF(AND(R179=1,S179&lt;&gt;"",C179&lt;&gt;""),S179&amp;"|"&amp;C179&amp;"|"&amp;G179&amp;"|"&amp;H179,"")</f>
        <v/>
      </c>
      <c r="AH179" s="96">
        <f>IF(AG179="",0,IF(SUMPRODUCT(--($AG$6:$AG$1005=AG179))&gt;1,1,0))</f>
        <v>0</v>
      </c>
      <c r="AI179" s="96">
        <f>IF(R179=0,0,IF(OR(U179=0,V179=0,Y179=0,AND(AH179=1,K179&lt;&gt;"Sim")),1,0))</f>
        <v>0</v>
      </c>
      <c r="AJ179" s="96">
        <f>IF(AND(R179=1,AA179&gt;0,AB179=AA179),1,0)</f>
        <v>0</v>
      </c>
      <c r="AK179" s="96">
        <f>IF(R179=0,0,IF(AA179&gt;0,N(L179),IF(ISNUMBER(I179),I179,0)))</f>
        <v>0</v>
      </c>
      <c r="AL179" s="96">
        <f>IF(R179=0,0,IF(AND(K179&lt;&gt;"Sim",N(M179)&gt;AK179+cfg_tol),1,0))</f>
        <v>0</v>
      </c>
      <c r="AM179" s="96">
        <f>IF(R179=0,0,IF(K179="Sim",0,IF(OR(AND(AA179&gt;0,ISNUMBER(I179),ABS(I179-N(L179))&gt;cfg_tol),AL179=1),1,0)))</f>
        <v>0</v>
      </c>
      <c r="AN179" s="96">
        <f>IF(AND(R179=1,N(M179)&gt;0,OR(N(M179)&gt;=AK179-cfg_tol,K179="Sim")),1,0)</f>
        <v>0</v>
      </c>
      <c r="AO179" s="96">
        <f>IF(AND(AN179=1,AD179&gt;0,AE179=AD179,AL179=0),1,0)</f>
        <v>0</v>
      </c>
      <c r="AP179" s="96">
        <f>IF(U179=0,0,IF(AND(INDEX('MTRs'!$AX$6:$AX$505,T179)=1,Z179=0,OR(f_res="",f_res="(Todos)",C179=f_res)),1,0))</f>
        <v>0</v>
      </c>
      <c r="AQ179" s="97" t="str">
        <f>IF(U179=0,"",INDEX('MTRs'!$AZ$6:$AZ$505,T179))</f>
        <v/>
      </c>
      <c r="AR179" s="96">
        <f>IF(U179=0,0,IF(AND(INDEX('MTRs'!$BA$6:$BA$505,T179)=1,Z179=0),1,0))</f>
        <v>0</v>
      </c>
      <c r="AS179" s="96" t="str">
        <f>IF(R179=1,A179&amp;" | MTR "&amp;IF(U179=1,INDEX('MTRs'!$B$6:$B$505,T179)&amp;"","?")&amp;" | "&amp;IF(C179="","(sem resíduo)",C179),"")</f>
        <v/>
      </c>
      <c r="AT179" s="96" t="str">
        <f>IF(R179=1,COUNTIF($R$6:R179,1),"")</f>
        <v/>
      </c>
      <c r="AU179" s="96" t="str">
        <f>IF(U179=1,INDEX('MTRs'!$I$6:$I$505,T179)&amp;"","")</f>
        <v/>
      </c>
    </row>
    <row r="180">
      <c r="A180" s="89" t="inlineStr">
        <is>
          <t>IT-000175</t>
        </is>
      </c>
      <c r="B180" s="91" t="n"/>
      <c r="C180" s="91" t="n"/>
      <c r="D180" s="94" t="str">
        <f>IF(OR(R180=0,V180=0),"",INDEX('CAD_RESÍDUOS'!$E$6:$E$205,MATCH(C180,'CAD_RESÍDUOS'!$B$6:$B$205,0))&amp;"")</f>
        <v/>
      </c>
      <c r="E180" s="94" t="str">
        <f>IF(OR(R180=0,V180=0),"",INDEX('CAD_RESÍDUOS'!$C$6:$C$205,MATCH(C180,'CAD_RESÍDUOS'!$B$6:$B$205,0))&amp;"")</f>
        <v/>
      </c>
      <c r="F180" s="94" t="str">
        <f>IF(OR(R180=0,V180=0),"",INDEX('CAD_RESÍDUOS'!$G$6:$G$205,MATCH(C180,'CAD_RESÍDUOS'!$B$6:$B$205,0))&amp;"")</f>
        <v/>
      </c>
      <c r="G180" s="98" t="n"/>
      <c r="H180" s="91" t="n"/>
      <c r="I180" s="93" t="str">
        <f>IF(R180=0,"",IF(NOT(ISNUMBER(G180)),"",IF(ISNUMBER(X180),G180*X180,"UNIDADE A CONFERIR")))</f>
        <v/>
      </c>
      <c r="J180" s="91" t="n"/>
      <c r="K180" s="91" t="n"/>
      <c r="L180" s="93" t="str">
        <f>IF(R180=0,"",SUMIFS('RECEBIMENTOS'!$H$6:$H$1005,'RECEBIMENTOS'!$R$6:$R$1005,A180,'RECEBIMENTOS'!$X$6:$X$1005,1))</f>
        <v/>
      </c>
      <c r="M180" s="93" t="str">
        <f>IF(R180=0,"",SUMIFS('VÍNCULOS_CDF'!$H$6:$H$1005,'VÍNCULOS_CDF'!$R$6:$R$1005,A180,'VÍNCULOS_CDF'!$V$6:$V$1005,1))</f>
        <v/>
      </c>
      <c r="N180" s="99" t="str">
        <f>IF(OR(R180=0,AA180=0,NOT(ISNUMBER(I180))),"",I180-N(L180))</f>
        <v/>
      </c>
      <c r="O180" s="100" t="str">
        <f>IF(OR(R180=0,AK180&lt;=0),"",N(M180)/AK180)</f>
        <v/>
      </c>
      <c r="P180" s="94" t="str">
        <f>IF(R180=0,"",IF(S180="","Sem MTR associado",IF(U180=0,"MTR inexistente",IF(C180="","Resíduo não identificado",IF(V180=0,"Resíduo fora do cadastro",IF(W180=0,"Quantidade inválida",IF(H180="","Unidade não informada",IF(NOT(ISNUMBER(I180)),"Unidade a conferir",IF(AND(AH180=1,K180&lt;&gt;"Sim"),"Possível duplicidade",IF(Z180=1,"MTR cancelado",IF(AC180&gt;0,"Recebimento com alerta",IF(AA180=0,"Aguardando recebimento",IF(AB180&lt;AA180,"Recebimento a conferir",IF(AM180=1,"Quantidade a revisar",IF(AF180&gt;0,"Vínculo a revisar",IF(AD180=0,"Aguardando CDF",IF(AN180=0,"Vínculo de CDF parcial",IF(AE180&lt;AD180,"CDF a conferir","Documentação conferida"))))))))))))))))))</f>
        <v/>
      </c>
      <c r="Q180" s="93" t="str">
        <f>IF(OR(R180=0,AA180=0),"",MAX(0,N(L180)-N(M180)))</f>
        <v/>
      </c>
      <c r="R180" s="96">
        <f>IF(COUNTA(B180:C180,G180:H180,J180:K180)&gt;0,1,0)</f>
        <v>0</v>
      </c>
      <c r="S180" s="96" t="str">
        <f>IF(B180="","",TRIM(LEFT(B180,FIND(" |",B180&amp;" |")-1)))</f>
        <v/>
      </c>
      <c r="T180" s="96" t="str">
        <f>IF(S180="","",IFERROR(MATCH(S180,'MTRs'!$A$6:$A$505,0),""))</f>
        <v/>
      </c>
      <c r="U180" s="96">
        <f>IF(T180="",0,IF(INDEX('MTRs'!$Z$6:$Z$505,T180)=1,1,0))</f>
        <v>0</v>
      </c>
      <c r="V180" s="96">
        <f>IF(C180="",0,IF(ISNUMBER(MATCH(C180,'CAD_RESÍDUOS'!$B$6:$B$205,0)),1,0))</f>
        <v>0</v>
      </c>
      <c r="W180" s="96">
        <f>IF(AND(ISNUMBER(G180),G180&gt;0),1,0)</f>
        <v>0</v>
      </c>
      <c r="X180" s="96" t="str">
        <f>IF(H180="","",IFERROR(IF(ISNUMBER(INDEX(cfg_fac,MATCH(H180,cfg_units,0))),IF(INDEX(cfg_fac,MATCH(H180,cfg_units,0))&gt;0,INDEX(cfg_fac,MATCH(H180,cfg_units,0)),""),""),""))</f>
        <v/>
      </c>
      <c r="Y180" s="96">
        <f>IF(AND(W180=1,ISNUMBER(I180)),1,0)</f>
        <v>0</v>
      </c>
      <c r="Z180" s="96">
        <f>IF(U180=1,INDEX('MTRs'!$AA$6:$AA$505,T180),0)</f>
        <v>0</v>
      </c>
      <c r="AA180" s="96">
        <f>IF(R180=0,0,COUNTIFS('RECEBIMENTOS'!$R$6:$R$1005,A180,'RECEBIMENTOS'!$Q$6:$Q$1005,1))</f>
        <v>0</v>
      </c>
      <c r="AB180" s="96">
        <f>IF(R180=0,0,COUNTIFS('RECEBIMENTOS'!$R$6:$R$1005,A180,'RECEBIMENTOS'!$Z$6:$Z$1005,1))</f>
        <v>0</v>
      </c>
      <c r="AC180" s="96">
        <f>IF(R180=0,0,COUNTIFS('RECEBIMENTOS'!$R$6:$R$1005,A180,'RECEBIMENTOS'!$Y$6:$Y$1005,1))</f>
        <v>0</v>
      </c>
      <c r="AD180" s="96">
        <f>IF(R180=0,0,COUNTIFS('VÍNCULOS_CDF'!$R$6:$R$1005,A180,'VÍNCULOS_CDF'!$N$6:$N$1005,1))</f>
        <v>0</v>
      </c>
      <c r="AE180" s="96">
        <f>IF(R180=0,0,COUNTIFS('VÍNCULOS_CDF'!$R$6:$R$1005,A180,'VÍNCULOS_CDF'!$AA$6:$AA$1005,1))</f>
        <v>0</v>
      </c>
      <c r="AF180" s="96">
        <f>IF(R180=0,0,COUNTIFS('VÍNCULOS_CDF'!$R$6:$R$1005,A180,'VÍNCULOS_CDF'!$Y$6:$Y$1005,1))</f>
        <v>0</v>
      </c>
      <c r="AG180" s="96" t="str">
        <f>IF(AND(R180=1,S180&lt;&gt;"",C180&lt;&gt;""),S180&amp;"|"&amp;C180&amp;"|"&amp;G180&amp;"|"&amp;H180,"")</f>
        <v/>
      </c>
      <c r="AH180" s="96">
        <f>IF(AG180="",0,IF(SUMPRODUCT(--($AG$6:$AG$1005=AG180))&gt;1,1,0))</f>
        <v>0</v>
      </c>
      <c r="AI180" s="96">
        <f>IF(R180=0,0,IF(OR(U180=0,V180=0,Y180=0,AND(AH180=1,K180&lt;&gt;"Sim")),1,0))</f>
        <v>0</v>
      </c>
      <c r="AJ180" s="96">
        <f>IF(AND(R180=1,AA180&gt;0,AB180=AA180),1,0)</f>
        <v>0</v>
      </c>
      <c r="AK180" s="96">
        <f>IF(R180=0,0,IF(AA180&gt;0,N(L180),IF(ISNUMBER(I180),I180,0)))</f>
        <v>0</v>
      </c>
      <c r="AL180" s="96">
        <f>IF(R180=0,0,IF(AND(K180&lt;&gt;"Sim",N(M180)&gt;AK180+cfg_tol),1,0))</f>
        <v>0</v>
      </c>
      <c r="AM180" s="96">
        <f>IF(R180=0,0,IF(K180="Sim",0,IF(OR(AND(AA180&gt;0,ISNUMBER(I180),ABS(I180-N(L180))&gt;cfg_tol),AL180=1),1,0)))</f>
        <v>0</v>
      </c>
      <c r="AN180" s="96">
        <f>IF(AND(R180=1,N(M180)&gt;0,OR(N(M180)&gt;=AK180-cfg_tol,K180="Sim")),1,0)</f>
        <v>0</v>
      </c>
      <c r="AO180" s="96">
        <f>IF(AND(AN180=1,AD180&gt;0,AE180=AD180,AL180=0),1,0)</f>
        <v>0</v>
      </c>
      <c r="AP180" s="96">
        <f>IF(U180=0,0,IF(AND(INDEX('MTRs'!$AX$6:$AX$505,T180)=1,Z180=0,OR(f_res="",f_res="(Todos)",C180=f_res)),1,0))</f>
        <v>0</v>
      </c>
      <c r="AQ180" s="97" t="str">
        <f>IF(U180=0,"",INDEX('MTRs'!$AZ$6:$AZ$505,T180))</f>
        <v/>
      </c>
      <c r="AR180" s="96">
        <f>IF(U180=0,0,IF(AND(INDEX('MTRs'!$BA$6:$BA$505,T180)=1,Z180=0),1,0))</f>
        <v>0</v>
      </c>
      <c r="AS180" s="96" t="str">
        <f>IF(R180=1,A180&amp;" | MTR "&amp;IF(U180=1,INDEX('MTRs'!$B$6:$B$505,T180)&amp;"","?")&amp;" | "&amp;IF(C180="","(sem resíduo)",C180),"")</f>
        <v/>
      </c>
      <c r="AT180" s="96" t="str">
        <f>IF(R180=1,COUNTIF($R$6:R180,1),"")</f>
        <v/>
      </c>
      <c r="AU180" s="96" t="str">
        <f>IF(U180=1,INDEX('MTRs'!$I$6:$I$505,T180)&amp;"","")</f>
        <v/>
      </c>
    </row>
    <row r="181">
      <c r="A181" s="89" t="inlineStr">
        <is>
          <t>IT-000176</t>
        </is>
      </c>
      <c r="B181" s="91" t="n"/>
      <c r="C181" s="91" t="n"/>
      <c r="D181" s="94" t="str">
        <f>IF(OR(R181=0,V181=0),"",INDEX('CAD_RESÍDUOS'!$E$6:$E$205,MATCH(C181,'CAD_RESÍDUOS'!$B$6:$B$205,0))&amp;"")</f>
        <v/>
      </c>
      <c r="E181" s="94" t="str">
        <f>IF(OR(R181=0,V181=0),"",INDEX('CAD_RESÍDUOS'!$C$6:$C$205,MATCH(C181,'CAD_RESÍDUOS'!$B$6:$B$205,0))&amp;"")</f>
        <v/>
      </c>
      <c r="F181" s="94" t="str">
        <f>IF(OR(R181=0,V181=0),"",INDEX('CAD_RESÍDUOS'!$G$6:$G$205,MATCH(C181,'CAD_RESÍDUOS'!$B$6:$B$205,0))&amp;"")</f>
        <v/>
      </c>
      <c r="G181" s="98" t="n"/>
      <c r="H181" s="91" t="n"/>
      <c r="I181" s="93" t="str">
        <f>IF(R181=0,"",IF(NOT(ISNUMBER(G181)),"",IF(ISNUMBER(X181),G181*X181,"UNIDADE A CONFERIR")))</f>
        <v/>
      </c>
      <c r="J181" s="91" t="n"/>
      <c r="K181" s="91" t="n"/>
      <c r="L181" s="93" t="str">
        <f>IF(R181=0,"",SUMIFS('RECEBIMENTOS'!$H$6:$H$1005,'RECEBIMENTOS'!$R$6:$R$1005,A181,'RECEBIMENTOS'!$X$6:$X$1005,1))</f>
        <v/>
      </c>
      <c r="M181" s="93" t="str">
        <f>IF(R181=0,"",SUMIFS('VÍNCULOS_CDF'!$H$6:$H$1005,'VÍNCULOS_CDF'!$R$6:$R$1005,A181,'VÍNCULOS_CDF'!$V$6:$V$1005,1))</f>
        <v/>
      </c>
      <c r="N181" s="99" t="str">
        <f>IF(OR(R181=0,AA181=0,NOT(ISNUMBER(I181))),"",I181-N(L181))</f>
        <v/>
      </c>
      <c r="O181" s="100" t="str">
        <f>IF(OR(R181=0,AK181&lt;=0),"",N(M181)/AK181)</f>
        <v/>
      </c>
      <c r="P181" s="94" t="str">
        <f>IF(R181=0,"",IF(S181="","Sem MTR associado",IF(U181=0,"MTR inexistente",IF(C181="","Resíduo não identificado",IF(V181=0,"Resíduo fora do cadastro",IF(W181=0,"Quantidade inválida",IF(H181="","Unidade não informada",IF(NOT(ISNUMBER(I181)),"Unidade a conferir",IF(AND(AH181=1,K181&lt;&gt;"Sim"),"Possível duplicidade",IF(Z181=1,"MTR cancelado",IF(AC181&gt;0,"Recebimento com alerta",IF(AA181=0,"Aguardando recebimento",IF(AB181&lt;AA181,"Recebimento a conferir",IF(AM181=1,"Quantidade a revisar",IF(AF181&gt;0,"Vínculo a revisar",IF(AD181=0,"Aguardando CDF",IF(AN181=0,"Vínculo de CDF parcial",IF(AE181&lt;AD181,"CDF a conferir","Documentação conferida"))))))))))))))))))</f>
        <v/>
      </c>
      <c r="Q181" s="93" t="str">
        <f>IF(OR(R181=0,AA181=0),"",MAX(0,N(L181)-N(M181)))</f>
        <v/>
      </c>
      <c r="R181" s="96">
        <f>IF(COUNTA(B181:C181,G181:H181,J181:K181)&gt;0,1,0)</f>
        <v>0</v>
      </c>
      <c r="S181" s="96" t="str">
        <f>IF(B181="","",TRIM(LEFT(B181,FIND(" |",B181&amp;" |")-1)))</f>
        <v/>
      </c>
      <c r="T181" s="96" t="str">
        <f>IF(S181="","",IFERROR(MATCH(S181,'MTRs'!$A$6:$A$505,0),""))</f>
        <v/>
      </c>
      <c r="U181" s="96">
        <f>IF(T181="",0,IF(INDEX('MTRs'!$Z$6:$Z$505,T181)=1,1,0))</f>
        <v>0</v>
      </c>
      <c r="V181" s="96">
        <f>IF(C181="",0,IF(ISNUMBER(MATCH(C181,'CAD_RESÍDUOS'!$B$6:$B$205,0)),1,0))</f>
        <v>0</v>
      </c>
      <c r="W181" s="96">
        <f>IF(AND(ISNUMBER(G181),G181&gt;0),1,0)</f>
        <v>0</v>
      </c>
      <c r="X181" s="96" t="str">
        <f>IF(H181="","",IFERROR(IF(ISNUMBER(INDEX(cfg_fac,MATCH(H181,cfg_units,0))),IF(INDEX(cfg_fac,MATCH(H181,cfg_units,0))&gt;0,INDEX(cfg_fac,MATCH(H181,cfg_units,0)),""),""),""))</f>
        <v/>
      </c>
      <c r="Y181" s="96">
        <f>IF(AND(W181=1,ISNUMBER(I181)),1,0)</f>
        <v>0</v>
      </c>
      <c r="Z181" s="96">
        <f>IF(U181=1,INDEX('MTRs'!$AA$6:$AA$505,T181),0)</f>
        <v>0</v>
      </c>
      <c r="AA181" s="96">
        <f>IF(R181=0,0,COUNTIFS('RECEBIMENTOS'!$R$6:$R$1005,A181,'RECEBIMENTOS'!$Q$6:$Q$1005,1))</f>
        <v>0</v>
      </c>
      <c r="AB181" s="96">
        <f>IF(R181=0,0,COUNTIFS('RECEBIMENTOS'!$R$6:$R$1005,A181,'RECEBIMENTOS'!$Z$6:$Z$1005,1))</f>
        <v>0</v>
      </c>
      <c r="AC181" s="96">
        <f>IF(R181=0,0,COUNTIFS('RECEBIMENTOS'!$R$6:$R$1005,A181,'RECEBIMENTOS'!$Y$6:$Y$1005,1))</f>
        <v>0</v>
      </c>
      <c r="AD181" s="96">
        <f>IF(R181=0,0,COUNTIFS('VÍNCULOS_CDF'!$R$6:$R$1005,A181,'VÍNCULOS_CDF'!$N$6:$N$1005,1))</f>
        <v>0</v>
      </c>
      <c r="AE181" s="96">
        <f>IF(R181=0,0,COUNTIFS('VÍNCULOS_CDF'!$R$6:$R$1005,A181,'VÍNCULOS_CDF'!$AA$6:$AA$1005,1))</f>
        <v>0</v>
      </c>
      <c r="AF181" s="96">
        <f>IF(R181=0,0,COUNTIFS('VÍNCULOS_CDF'!$R$6:$R$1005,A181,'VÍNCULOS_CDF'!$Y$6:$Y$1005,1))</f>
        <v>0</v>
      </c>
      <c r="AG181" s="96" t="str">
        <f>IF(AND(R181=1,S181&lt;&gt;"",C181&lt;&gt;""),S181&amp;"|"&amp;C181&amp;"|"&amp;G181&amp;"|"&amp;H181,"")</f>
        <v/>
      </c>
      <c r="AH181" s="96">
        <f>IF(AG181="",0,IF(SUMPRODUCT(--($AG$6:$AG$1005=AG181))&gt;1,1,0))</f>
        <v>0</v>
      </c>
      <c r="AI181" s="96">
        <f>IF(R181=0,0,IF(OR(U181=0,V181=0,Y181=0,AND(AH181=1,K181&lt;&gt;"Sim")),1,0))</f>
        <v>0</v>
      </c>
      <c r="AJ181" s="96">
        <f>IF(AND(R181=1,AA181&gt;0,AB181=AA181),1,0)</f>
        <v>0</v>
      </c>
      <c r="AK181" s="96">
        <f>IF(R181=0,0,IF(AA181&gt;0,N(L181),IF(ISNUMBER(I181),I181,0)))</f>
        <v>0</v>
      </c>
      <c r="AL181" s="96">
        <f>IF(R181=0,0,IF(AND(K181&lt;&gt;"Sim",N(M181)&gt;AK181+cfg_tol),1,0))</f>
        <v>0</v>
      </c>
      <c r="AM181" s="96">
        <f>IF(R181=0,0,IF(K181="Sim",0,IF(OR(AND(AA181&gt;0,ISNUMBER(I181),ABS(I181-N(L181))&gt;cfg_tol),AL181=1),1,0)))</f>
        <v>0</v>
      </c>
      <c r="AN181" s="96">
        <f>IF(AND(R181=1,N(M181)&gt;0,OR(N(M181)&gt;=AK181-cfg_tol,K181="Sim")),1,0)</f>
        <v>0</v>
      </c>
      <c r="AO181" s="96">
        <f>IF(AND(AN181=1,AD181&gt;0,AE181=AD181,AL181=0),1,0)</f>
        <v>0</v>
      </c>
      <c r="AP181" s="96">
        <f>IF(U181=0,0,IF(AND(INDEX('MTRs'!$AX$6:$AX$505,T181)=1,Z181=0,OR(f_res="",f_res="(Todos)",C181=f_res)),1,0))</f>
        <v>0</v>
      </c>
      <c r="AQ181" s="97" t="str">
        <f>IF(U181=0,"",INDEX('MTRs'!$AZ$6:$AZ$505,T181))</f>
        <v/>
      </c>
      <c r="AR181" s="96">
        <f>IF(U181=0,0,IF(AND(INDEX('MTRs'!$BA$6:$BA$505,T181)=1,Z181=0),1,0))</f>
        <v>0</v>
      </c>
      <c r="AS181" s="96" t="str">
        <f>IF(R181=1,A181&amp;" | MTR "&amp;IF(U181=1,INDEX('MTRs'!$B$6:$B$505,T181)&amp;"","?")&amp;" | "&amp;IF(C181="","(sem resíduo)",C181),"")</f>
        <v/>
      </c>
      <c r="AT181" s="96" t="str">
        <f>IF(R181=1,COUNTIF($R$6:R181,1),"")</f>
        <v/>
      </c>
      <c r="AU181" s="96" t="str">
        <f>IF(U181=1,INDEX('MTRs'!$I$6:$I$505,T181)&amp;"","")</f>
        <v/>
      </c>
    </row>
    <row r="182">
      <c r="A182" s="89" t="inlineStr">
        <is>
          <t>IT-000177</t>
        </is>
      </c>
      <c r="B182" s="91" t="n"/>
      <c r="C182" s="91" t="n"/>
      <c r="D182" s="94" t="str">
        <f>IF(OR(R182=0,V182=0),"",INDEX('CAD_RESÍDUOS'!$E$6:$E$205,MATCH(C182,'CAD_RESÍDUOS'!$B$6:$B$205,0))&amp;"")</f>
        <v/>
      </c>
      <c r="E182" s="94" t="str">
        <f>IF(OR(R182=0,V182=0),"",INDEX('CAD_RESÍDUOS'!$C$6:$C$205,MATCH(C182,'CAD_RESÍDUOS'!$B$6:$B$205,0))&amp;"")</f>
        <v/>
      </c>
      <c r="F182" s="94" t="str">
        <f>IF(OR(R182=0,V182=0),"",INDEX('CAD_RESÍDUOS'!$G$6:$G$205,MATCH(C182,'CAD_RESÍDUOS'!$B$6:$B$205,0))&amp;"")</f>
        <v/>
      </c>
      <c r="G182" s="98" t="n"/>
      <c r="H182" s="91" t="n"/>
      <c r="I182" s="93" t="str">
        <f>IF(R182=0,"",IF(NOT(ISNUMBER(G182)),"",IF(ISNUMBER(X182),G182*X182,"UNIDADE A CONFERIR")))</f>
        <v/>
      </c>
      <c r="J182" s="91" t="n"/>
      <c r="K182" s="91" t="n"/>
      <c r="L182" s="93" t="str">
        <f>IF(R182=0,"",SUMIFS('RECEBIMENTOS'!$H$6:$H$1005,'RECEBIMENTOS'!$R$6:$R$1005,A182,'RECEBIMENTOS'!$X$6:$X$1005,1))</f>
        <v/>
      </c>
      <c r="M182" s="93" t="str">
        <f>IF(R182=0,"",SUMIFS('VÍNCULOS_CDF'!$H$6:$H$1005,'VÍNCULOS_CDF'!$R$6:$R$1005,A182,'VÍNCULOS_CDF'!$V$6:$V$1005,1))</f>
        <v/>
      </c>
      <c r="N182" s="99" t="str">
        <f>IF(OR(R182=0,AA182=0,NOT(ISNUMBER(I182))),"",I182-N(L182))</f>
        <v/>
      </c>
      <c r="O182" s="100" t="str">
        <f>IF(OR(R182=0,AK182&lt;=0),"",N(M182)/AK182)</f>
        <v/>
      </c>
      <c r="P182" s="94" t="str">
        <f>IF(R182=0,"",IF(S182="","Sem MTR associado",IF(U182=0,"MTR inexistente",IF(C182="","Resíduo não identificado",IF(V182=0,"Resíduo fora do cadastro",IF(W182=0,"Quantidade inválida",IF(H182="","Unidade não informada",IF(NOT(ISNUMBER(I182)),"Unidade a conferir",IF(AND(AH182=1,K182&lt;&gt;"Sim"),"Possível duplicidade",IF(Z182=1,"MTR cancelado",IF(AC182&gt;0,"Recebimento com alerta",IF(AA182=0,"Aguardando recebimento",IF(AB182&lt;AA182,"Recebimento a conferir",IF(AM182=1,"Quantidade a revisar",IF(AF182&gt;0,"Vínculo a revisar",IF(AD182=0,"Aguardando CDF",IF(AN182=0,"Vínculo de CDF parcial",IF(AE182&lt;AD182,"CDF a conferir","Documentação conferida"))))))))))))))))))</f>
        <v/>
      </c>
      <c r="Q182" s="93" t="str">
        <f>IF(OR(R182=0,AA182=0),"",MAX(0,N(L182)-N(M182)))</f>
        <v/>
      </c>
      <c r="R182" s="96">
        <f>IF(COUNTA(B182:C182,G182:H182,J182:K182)&gt;0,1,0)</f>
        <v>0</v>
      </c>
      <c r="S182" s="96" t="str">
        <f>IF(B182="","",TRIM(LEFT(B182,FIND(" |",B182&amp;" |")-1)))</f>
        <v/>
      </c>
      <c r="T182" s="96" t="str">
        <f>IF(S182="","",IFERROR(MATCH(S182,'MTRs'!$A$6:$A$505,0),""))</f>
        <v/>
      </c>
      <c r="U182" s="96">
        <f>IF(T182="",0,IF(INDEX('MTRs'!$Z$6:$Z$505,T182)=1,1,0))</f>
        <v>0</v>
      </c>
      <c r="V182" s="96">
        <f>IF(C182="",0,IF(ISNUMBER(MATCH(C182,'CAD_RESÍDUOS'!$B$6:$B$205,0)),1,0))</f>
        <v>0</v>
      </c>
      <c r="W182" s="96">
        <f>IF(AND(ISNUMBER(G182),G182&gt;0),1,0)</f>
        <v>0</v>
      </c>
      <c r="X182" s="96" t="str">
        <f>IF(H182="","",IFERROR(IF(ISNUMBER(INDEX(cfg_fac,MATCH(H182,cfg_units,0))),IF(INDEX(cfg_fac,MATCH(H182,cfg_units,0))&gt;0,INDEX(cfg_fac,MATCH(H182,cfg_units,0)),""),""),""))</f>
        <v/>
      </c>
      <c r="Y182" s="96">
        <f>IF(AND(W182=1,ISNUMBER(I182)),1,0)</f>
        <v>0</v>
      </c>
      <c r="Z182" s="96">
        <f>IF(U182=1,INDEX('MTRs'!$AA$6:$AA$505,T182),0)</f>
        <v>0</v>
      </c>
      <c r="AA182" s="96">
        <f>IF(R182=0,0,COUNTIFS('RECEBIMENTOS'!$R$6:$R$1005,A182,'RECEBIMENTOS'!$Q$6:$Q$1005,1))</f>
        <v>0</v>
      </c>
      <c r="AB182" s="96">
        <f>IF(R182=0,0,COUNTIFS('RECEBIMENTOS'!$R$6:$R$1005,A182,'RECEBIMENTOS'!$Z$6:$Z$1005,1))</f>
        <v>0</v>
      </c>
      <c r="AC182" s="96">
        <f>IF(R182=0,0,COUNTIFS('RECEBIMENTOS'!$R$6:$R$1005,A182,'RECEBIMENTOS'!$Y$6:$Y$1005,1))</f>
        <v>0</v>
      </c>
      <c r="AD182" s="96">
        <f>IF(R182=0,0,COUNTIFS('VÍNCULOS_CDF'!$R$6:$R$1005,A182,'VÍNCULOS_CDF'!$N$6:$N$1005,1))</f>
        <v>0</v>
      </c>
      <c r="AE182" s="96">
        <f>IF(R182=0,0,COUNTIFS('VÍNCULOS_CDF'!$R$6:$R$1005,A182,'VÍNCULOS_CDF'!$AA$6:$AA$1005,1))</f>
        <v>0</v>
      </c>
      <c r="AF182" s="96">
        <f>IF(R182=0,0,COUNTIFS('VÍNCULOS_CDF'!$R$6:$R$1005,A182,'VÍNCULOS_CDF'!$Y$6:$Y$1005,1))</f>
        <v>0</v>
      </c>
      <c r="AG182" s="96" t="str">
        <f>IF(AND(R182=1,S182&lt;&gt;"",C182&lt;&gt;""),S182&amp;"|"&amp;C182&amp;"|"&amp;G182&amp;"|"&amp;H182,"")</f>
        <v/>
      </c>
      <c r="AH182" s="96">
        <f>IF(AG182="",0,IF(SUMPRODUCT(--($AG$6:$AG$1005=AG182))&gt;1,1,0))</f>
        <v>0</v>
      </c>
      <c r="AI182" s="96">
        <f>IF(R182=0,0,IF(OR(U182=0,V182=0,Y182=0,AND(AH182=1,K182&lt;&gt;"Sim")),1,0))</f>
        <v>0</v>
      </c>
      <c r="AJ182" s="96">
        <f>IF(AND(R182=1,AA182&gt;0,AB182=AA182),1,0)</f>
        <v>0</v>
      </c>
      <c r="AK182" s="96">
        <f>IF(R182=0,0,IF(AA182&gt;0,N(L182),IF(ISNUMBER(I182),I182,0)))</f>
        <v>0</v>
      </c>
      <c r="AL182" s="96">
        <f>IF(R182=0,0,IF(AND(K182&lt;&gt;"Sim",N(M182)&gt;AK182+cfg_tol),1,0))</f>
        <v>0</v>
      </c>
      <c r="AM182" s="96">
        <f>IF(R182=0,0,IF(K182="Sim",0,IF(OR(AND(AA182&gt;0,ISNUMBER(I182),ABS(I182-N(L182))&gt;cfg_tol),AL182=1),1,0)))</f>
        <v>0</v>
      </c>
      <c r="AN182" s="96">
        <f>IF(AND(R182=1,N(M182)&gt;0,OR(N(M182)&gt;=AK182-cfg_tol,K182="Sim")),1,0)</f>
        <v>0</v>
      </c>
      <c r="AO182" s="96">
        <f>IF(AND(AN182=1,AD182&gt;0,AE182=AD182,AL182=0),1,0)</f>
        <v>0</v>
      </c>
      <c r="AP182" s="96">
        <f>IF(U182=0,0,IF(AND(INDEX('MTRs'!$AX$6:$AX$505,T182)=1,Z182=0,OR(f_res="",f_res="(Todos)",C182=f_res)),1,0))</f>
        <v>0</v>
      </c>
      <c r="AQ182" s="97" t="str">
        <f>IF(U182=0,"",INDEX('MTRs'!$AZ$6:$AZ$505,T182))</f>
        <v/>
      </c>
      <c r="AR182" s="96">
        <f>IF(U182=0,0,IF(AND(INDEX('MTRs'!$BA$6:$BA$505,T182)=1,Z182=0),1,0))</f>
        <v>0</v>
      </c>
      <c r="AS182" s="96" t="str">
        <f>IF(R182=1,A182&amp;" | MTR "&amp;IF(U182=1,INDEX('MTRs'!$B$6:$B$505,T182)&amp;"","?")&amp;" | "&amp;IF(C182="","(sem resíduo)",C182),"")</f>
        <v/>
      </c>
      <c r="AT182" s="96" t="str">
        <f>IF(R182=1,COUNTIF($R$6:R182,1),"")</f>
        <v/>
      </c>
      <c r="AU182" s="96" t="str">
        <f>IF(U182=1,INDEX('MTRs'!$I$6:$I$505,T182)&amp;"","")</f>
        <v/>
      </c>
    </row>
    <row r="183">
      <c r="A183" s="89" t="inlineStr">
        <is>
          <t>IT-000178</t>
        </is>
      </c>
      <c r="B183" s="91" t="n"/>
      <c r="C183" s="91" t="n"/>
      <c r="D183" s="94" t="str">
        <f>IF(OR(R183=0,V183=0),"",INDEX('CAD_RESÍDUOS'!$E$6:$E$205,MATCH(C183,'CAD_RESÍDUOS'!$B$6:$B$205,0))&amp;"")</f>
        <v/>
      </c>
      <c r="E183" s="94" t="str">
        <f>IF(OR(R183=0,V183=0),"",INDEX('CAD_RESÍDUOS'!$C$6:$C$205,MATCH(C183,'CAD_RESÍDUOS'!$B$6:$B$205,0))&amp;"")</f>
        <v/>
      </c>
      <c r="F183" s="94" t="str">
        <f>IF(OR(R183=0,V183=0),"",INDEX('CAD_RESÍDUOS'!$G$6:$G$205,MATCH(C183,'CAD_RESÍDUOS'!$B$6:$B$205,0))&amp;"")</f>
        <v/>
      </c>
      <c r="G183" s="98" t="n"/>
      <c r="H183" s="91" t="n"/>
      <c r="I183" s="93" t="str">
        <f>IF(R183=0,"",IF(NOT(ISNUMBER(G183)),"",IF(ISNUMBER(X183),G183*X183,"UNIDADE A CONFERIR")))</f>
        <v/>
      </c>
      <c r="J183" s="91" t="n"/>
      <c r="K183" s="91" t="n"/>
      <c r="L183" s="93" t="str">
        <f>IF(R183=0,"",SUMIFS('RECEBIMENTOS'!$H$6:$H$1005,'RECEBIMENTOS'!$R$6:$R$1005,A183,'RECEBIMENTOS'!$X$6:$X$1005,1))</f>
        <v/>
      </c>
      <c r="M183" s="93" t="str">
        <f>IF(R183=0,"",SUMIFS('VÍNCULOS_CDF'!$H$6:$H$1005,'VÍNCULOS_CDF'!$R$6:$R$1005,A183,'VÍNCULOS_CDF'!$V$6:$V$1005,1))</f>
        <v/>
      </c>
      <c r="N183" s="99" t="str">
        <f>IF(OR(R183=0,AA183=0,NOT(ISNUMBER(I183))),"",I183-N(L183))</f>
        <v/>
      </c>
      <c r="O183" s="100" t="str">
        <f>IF(OR(R183=0,AK183&lt;=0),"",N(M183)/AK183)</f>
        <v/>
      </c>
      <c r="P183" s="94" t="str">
        <f>IF(R183=0,"",IF(S183="","Sem MTR associado",IF(U183=0,"MTR inexistente",IF(C183="","Resíduo não identificado",IF(V183=0,"Resíduo fora do cadastro",IF(W183=0,"Quantidade inválida",IF(H183="","Unidade não informada",IF(NOT(ISNUMBER(I183)),"Unidade a conferir",IF(AND(AH183=1,K183&lt;&gt;"Sim"),"Possível duplicidade",IF(Z183=1,"MTR cancelado",IF(AC183&gt;0,"Recebimento com alerta",IF(AA183=0,"Aguardando recebimento",IF(AB183&lt;AA183,"Recebimento a conferir",IF(AM183=1,"Quantidade a revisar",IF(AF183&gt;0,"Vínculo a revisar",IF(AD183=0,"Aguardando CDF",IF(AN183=0,"Vínculo de CDF parcial",IF(AE183&lt;AD183,"CDF a conferir","Documentação conferida"))))))))))))))))))</f>
        <v/>
      </c>
      <c r="Q183" s="93" t="str">
        <f>IF(OR(R183=0,AA183=0),"",MAX(0,N(L183)-N(M183)))</f>
        <v/>
      </c>
      <c r="R183" s="96">
        <f>IF(COUNTA(B183:C183,G183:H183,J183:K183)&gt;0,1,0)</f>
        <v>0</v>
      </c>
      <c r="S183" s="96" t="str">
        <f>IF(B183="","",TRIM(LEFT(B183,FIND(" |",B183&amp;" |")-1)))</f>
        <v/>
      </c>
      <c r="T183" s="96" t="str">
        <f>IF(S183="","",IFERROR(MATCH(S183,'MTRs'!$A$6:$A$505,0),""))</f>
        <v/>
      </c>
      <c r="U183" s="96">
        <f>IF(T183="",0,IF(INDEX('MTRs'!$Z$6:$Z$505,T183)=1,1,0))</f>
        <v>0</v>
      </c>
      <c r="V183" s="96">
        <f>IF(C183="",0,IF(ISNUMBER(MATCH(C183,'CAD_RESÍDUOS'!$B$6:$B$205,0)),1,0))</f>
        <v>0</v>
      </c>
      <c r="W183" s="96">
        <f>IF(AND(ISNUMBER(G183),G183&gt;0),1,0)</f>
        <v>0</v>
      </c>
      <c r="X183" s="96" t="str">
        <f>IF(H183="","",IFERROR(IF(ISNUMBER(INDEX(cfg_fac,MATCH(H183,cfg_units,0))),IF(INDEX(cfg_fac,MATCH(H183,cfg_units,0))&gt;0,INDEX(cfg_fac,MATCH(H183,cfg_units,0)),""),""),""))</f>
        <v/>
      </c>
      <c r="Y183" s="96">
        <f>IF(AND(W183=1,ISNUMBER(I183)),1,0)</f>
        <v>0</v>
      </c>
      <c r="Z183" s="96">
        <f>IF(U183=1,INDEX('MTRs'!$AA$6:$AA$505,T183),0)</f>
        <v>0</v>
      </c>
      <c r="AA183" s="96">
        <f>IF(R183=0,0,COUNTIFS('RECEBIMENTOS'!$R$6:$R$1005,A183,'RECEBIMENTOS'!$Q$6:$Q$1005,1))</f>
        <v>0</v>
      </c>
      <c r="AB183" s="96">
        <f>IF(R183=0,0,COUNTIFS('RECEBIMENTOS'!$R$6:$R$1005,A183,'RECEBIMENTOS'!$Z$6:$Z$1005,1))</f>
        <v>0</v>
      </c>
      <c r="AC183" s="96">
        <f>IF(R183=0,0,COUNTIFS('RECEBIMENTOS'!$R$6:$R$1005,A183,'RECEBIMENTOS'!$Y$6:$Y$1005,1))</f>
        <v>0</v>
      </c>
      <c r="AD183" s="96">
        <f>IF(R183=0,0,COUNTIFS('VÍNCULOS_CDF'!$R$6:$R$1005,A183,'VÍNCULOS_CDF'!$N$6:$N$1005,1))</f>
        <v>0</v>
      </c>
      <c r="AE183" s="96">
        <f>IF(R183=0,0,COUNTIFS('VÍNCULOS_CDF'!$R$6:$R$1005,A183,'VÍNCULOS_CDF'!$AA$6:$AA$1005,1))</f>
        <v>0</v>
      </c>
      <c r="AF183" s="96">
        <f>IF(R183=0,0,COUNTIFS('VÍNCULOS_CDF'!$R$6:$R$1005,A183,'VÍNCULOS_CDF'!$Y$6:$Y$1005,1))</f>
        <v>0</v>
      </c>
      <c r="AG183" s="96" t="str">
        <f>IF(AND(R183=1,S183&lt;&gt;"",C183&lt;&gt;""),S183&amp;"|"&amp;C183&amp;"|"&amp;G183&amp;"|"&amp;H183,"")</f>
        <v/>
      </c>
      <c r="AH183" s="96">
        <f>IF(AG183="",0,IF(SUMPRODUCT(--($AG$6:$AG$1005=AG183))&gt;1,1,0))</f>
        <v>0</v>
      </c>
      <c r="AI183" s="96">
        <f>IF(R183=0,0,IF(OR(U183=0,V183=0,Y183=0,AND(AH183=1,K183&lt;&gt;"Sim")),1,0))</f>
        <v>0</v>
      </c>
      <c r="AJ183" s="96">
        <f>IF(AND(R183=1,AA183&gt;0,AB183=AA183),1,0)</f>
        <v>0</v>
      </c>
      <c r="AK183" s="96">
        <f>IF(R183=0,0,IF(AA183&gt;0,N(L183),IF(ISNUMBER(I183),I183,0)))</f>
        <v>0</v>
      </c>
      <c r="AL183" s="96">
        <f>IF(R183=0,0,IF(AND(K183&lt;&gt;"Sim",N(M183)&gt;AK183+cfg_tol),1,0))</f>
        <v>0</v>
      </c>
      <c r="AM183" s="96">
        <f>IF(R183=0,0,IF(K183="Sim",0,IF(OR(AND(AA183&gt;0,ISNUMBER(I183),ABS(I183-N(L183))&gt;cfg_tol),AL183=1),1,0)))</f>
        <v>0</v>
      </c>
      <c r="AN183" s="96">
        <f>IF(AND(R183=1,N(M183)&gt;0,OR(N(M183)&gt;=AK183-cfg_tol,K183="Sim")),1,0)</f>
        <v>0</v>
      </c>
      <c r="AO183" s="96">
        <f>IF(AND(AN183=1,AD183&gt;0,AE183=AD183,AL183=0),1,0)</f>
        <v>0</v>
      </c>
      <c r="AP183" s="96">
        <f>IF(U183=0,0,IF(AND(INDEX('MTRs'!$AX$6:$AX$505,T183)=1,Z183=0,OR(f_res="",f_res="(Todos)",C183=f_res)),1,0))</f>
        <v>0</v>
      </c>
      <c r="AQ183" s="97" t="str">
        <f>IF(U183=0,"",INDEX('MTRs'!$AZ$6:$AZ$505,T183))</f>
        <v/>
      </c>
      <c r="AR183" s="96">
        <f>IF(U183=0,0,IF(AND(INDEX('MTRs'!$BA$6:$BA$505,T183)=1,Z183=0),1,0))</f>
        <v>0</v>
      </c>
      <c r="AS183" s="96" t="str">
        <f>IF(R183=1,A183&amp;" | MTR "&amp;IF(U183=1,INDEX('MTRs'!$B$6:$B$505,T183)&amp;"","?")&amp;" | "&amp;IF(C183="","(sem resíduo)",C183),"")</f>
        <v/>
      </c>
      <c r="AT183" s="96" t="str">
        <f>IF(R183=1,COUNTIF($R$6:R183,1),"")</f>
        <v/>
      </c>
      <c r="AU183" s="96" t="str">
        <f>IF(U183=1,INDEX('MTRs'!$I$6:$I$505,T183)&amp;"","")</f>
        <v/>
      </c>
    </row>
    <row r="184">
      <c r="A184" s="89" t="inlineStr">
        <is>
          <t>IT-000179</t>
        </is>
      </c>
      <c r="B184" s="91" t="n"/>
      <c r="C184" s="91" t="n"/>
      <c r="D184" s="94" t="str">
        <f>IF(OR(R184=0,V184=0),"",INDEX('CAD_RESÍDUOS'!$E$6:$E$205,MATCH(C184,'CAD_RESÍDUOS'!$B$6:$B$205,0))&amp;"")</f>
        <v/>
      </c>
      <c r="E184" s="94" t="str">
        <f>IF(OR(R184=0,V184=0),"",INDEX('CAD_RESÍDUOS'!$C$6:$C$205,MATCH(C184,'CAD_RESÍDUOS'!$B$6:$B$205,0))&amp;"")</f>
        <v/>
      </c>
      <c r="F184" s="94" t="str">
        <f>IF(OR(R184=0,V184=0),"",INDEX('CAD_RESÍDUOS'!$G$6:$G$205,MATCH(C184,'CAD_RESÍDUOS'!$B$6:$B$205,0))&amp;"")</f>
        <v/>
      </c>
      <c r="G184" s="98" t="n"/>
      <c r="H184" s="91" t="n"/>
      <c r="I184" s="93" t="str">
        <f>IF(R184=0,"",IF(NOT(ISNUMBER(G184)),"",IF(ISNUMBER(X184),G184*X184,"UNIDADE A CONFERIR")))</f>
        <v/>
      </c>
      <c r="J184" s="91" t="n"/>
      <c r="K184" s="91" t="n"/>
      <c r="L184" s="93" t="str">
        <f>IF(R184=0,"",SUMIFS('RECEBIMENTOS'!$H$6:$H$1005,'RECEBIMENTOS'!$R$6:$R$1005,A184,'RECEBIMENTOS'!$X$6:$X$1005,1))</f>
        <v/>
      </c>
      <c r="M184" s="93" t="str">
        <f>IF(R184=0,"",SUMIFS('VÍNCULOS_CDF'!$H$6:$H$1005,'VÍNCULOS_CDF'!$R$6:$R$1005,A184,'VÍNCULOS_CDF'!$V$6:$V$1005,1))</f>
        <v/>
      </c>
      <c r="N184" s="99" t="str">
        <f>IF(OR(R184=0,AA184=0,NOT(ISNUMBER(I184))),"",I184-N(L184))</f>
        <v/>
      </c>
      <c r="O184" s="100" t="str">
        <f>IF(OR(R184=0,AK184&lt;=0),"",N(M184)/AK184)</f>
        <v/>
      </c>
      <c r="P184" s="94" t="str">
        <f>IF(R184=0,"",IF(S184="","Sem MTR associado",IF(U184=0,"MTR inexistente",IF(C184="","Resíduo não identificado",IF(V184=0,"Resíduo fora do cadastro",IF(W184=0,"Quantidade inválida",IF(H184="","Unidade não informada",IF(NOT(ISNUMBER(I184)),"Unidade a conferir",IF(AND(AH184=1,K184&lt;&gt;"Sim"),"Possível duplicidade",IF(Z184=1,"MTR cancelado",IF(AC184&gt;0,"Recebimento com alerta",IF(AA184=0,"Aguardando recebimento",IF(AB184&lt;AA184,"Recebimento a conferir",IF(AM184=1,"Quantidade a revisar",IF(AF184&gt;0,"Vínculo a revisar",IF(AD184=0,"Aguardando CDF",IF(AN184=0,"Vínculo de CDF parcial",IF(AE184&lt;AD184,"CDF a conferir","Documentação conferida"))))))))))))))))))</f>
        <v/>
      </c>
      <c r="Q184" s="93" t="str">
        <f>IF(OR(R184=0,AA184=0),"",MAX(0,N(L184)-N(M184)))</f>
        <v/>
      </c>
      <c r="R184" s="96">
        <f>IF(COUNTA(B184:C184,G184:H184,J184:K184)&gt;0,1,0)</f>
        <v>0</v>
      </c>
      <c r="S184" s="96" t="str">
        <f>IF(B184="","",TRIM(LEFT(B184,FIND(" |",B184&amp;" |")-1)))</f>
        <v/>
      </c>
      <c r="T184" s="96" t="str">
        <f>IF(S184="","",IFERROR(MATCH(S184,'MTRs'!$A$6:$A$505,0),""))</f>
        <v/>
      </c>
      <c r="U184" s="96">
        <f>IF(T184="",0,IF(INDEX('MTRs'!$Z$6:$Z$505,T184)=1,1,0))</f>
        <v>0</v>
      </c>
      <c r="V184" s="96">
        <f>IF(C184="",0,IF(ISNUMBER(MATCH(C184,'CAD_RESÍDUOS'!$B$6:$B$205,0)),1,0))</f>
        <v>0</v>
      </c>
      <c r="W184" s="96">
        <f>IF(AND(ISNUMBER(G184),G184&gt;0),1,0)</f>
        <v>0</v>
      </c>
      <c r="X184" s="96" t="str">
        <f>IF(H184="","",IFERROR(IF(ISNUMBER(INDEX(cfg_fac,MATCH(H184,cfg_units,0))),IF(INDEX(cfg_fac,MATCH(H184,cfg_units,0))&gt;0,INDEX(cfg_fac,MATCH(H184,cfg_units,0)),""),""),""))</f>
        <v/>
      </c>
      <c r="Y184" s="96">
        <f>IF(AND(W184=1,ISNUMBER(I184)),1,0)</f>
        <v>0</v>
      </c>
      <c r="Z184" s="96">
        <f>IF(U184=1,INDEX('MTRs'!$AA$6:$AA$505,T184),0)</f>
        <v>0</v>
      </c>
      <c r="AA184" s="96">
        <f>IF(R184=0,0,COUNTIFS('RECEBIMENTOS'!$R$6:$R$1005,A184,'RECEBIMENTOS'!$Q$6:$Q$1005,1))</f>
        <v>0</v>
      </c>
      <c r="AB184" s="96">
        <f>IF(R184=0,0,COUNTIFS('RECEBIMENTOS'!$R$6:$R$1005,A184,'RECEBIMENTOS'!$Z$6:$Z$1005,1))</f>
        <v>0</v>
      </c>
      <c r="AC184" s="96">
        <f>IF(R184=0,0,COUNTIFS('RECEBIMENTOS'!$R$6:$R$1005,A184,'RECEBIMENTOS'!$Y$6:$Y$1005,1))</f>
        <v>0</v>
      </c>
      <c r="AD184" s="96">
        <f>IF(R184=0,0,COUNTIFS('VÍNCULOS_CDF'!$R$6:$R$1005,A184,'VÍNCULOS_CDF'!$N$6:$N$1005,1))</f>
        <v>0</v>
      </c>
      <c r="AE184" s="96">
        <f>IF(R184=0,0,COUNTIFS('VÍNCULOS_CDF'!$R$6:$R$1005,A184,'VÍNCULOS_CDF'!$AA$6:$AA$1005,1))</f>
        <v>0</v>
      </c>
      <c r="AF184" s="96">
        <f>IF(R184=0,0,COUNTIFS('VÍNCULOS_CDF'!$R$6:$R$1005,A184,'VÍNCULOS_CDF'!$Y$6:$Y$1005,1))</f>
        <v>0</v>
      </c>
      <c r="AG184" s="96" t="str">
        <f>IF(AND(R184=1,S184&lt;&gt;"",C184&lt;&gt;""),S184&amp;"|"&amp;C184&amp;"|"&amp;G184&amp;"|"&amp;H184,"")</f>
        <v/>
      </c>
      <c r="AH184" s="96">
        <f>IF(AG184="",0,IF(SUMPRODUCT(--($AG$6:$AG$1005=AG184))&gt;1,1,0))</f>
        <v>0</v>
      </c>
      <c r="AI184" s="96">
        <f>IF(R184=0,0,IF(OR(U184=0,V184=0,Y184=0,AND(AH184=1,K184&lt;&gt;"Sim")),1,0))</f>
        <v>0</v>
      </c>
      <c r="AJ184" s="96">
        <f>IF(AND(R184=1,AA184&gt;0,AB184=AA184),1,0)</f>
        <v>0</v>
      </c>
      <c r="AK184" s="96">
        <f>IF(R184=0,0,IF(AA184&gt;0,N(L184),IF(ISNUMBER(I184),I184,0)))</f>
        <v>0</v>
      </c>
      <c r="AL184" s="96">
        <f>IF(R184=0,0,IF(AND(K184&lt;&gt;"Sim",N(M184)&gt;AK184+cfg_tol),1,0))</f>
        <v>0</v>
      </c>
      <c r="AM184" s="96">
        <f>IF(R184=0,0,IF(K184="Sim",0,IF(OR(AND(AA184&gt;0,ISNUMBER(I184),ABS(I184-N(L184))&gt;cfg_tol),AL184=1),1,0)))</f>
        <v>0</v>
      </c>
      <c r="AN184" s="96">
        <f>IF(AND(R184=1,N(M184)&gt;0,OR(N(M184)&gt;=AK184-cfg_tol,K184="Sim")),1,0)</f>
        <v>0</v>
      </c>
      <c r="AO184" s="96">
        <f>IF(AND(AN184=1,AD184&gt;0,AE184=AD184,AL184=0),1,0)</f>
        <v>0</v>
      </c>
      <c r="AP184" s="96">
        <f>IF(U184=0,0,IF(AND(INDEX('MTRs'!$AX$6:$AX$505,T184)=1,Z184=0,OR(f_res="",f_res="(Todos)",C184=f_res)),1,0))</f>
        <v>0</v>
      </c>
      <c r="AQ184" s="97" t="str">
        <f>IF(U184=0,"",INDEX('MTRs'!$AZ$6:$AZ$505,T184))</f>
        <v/>
      </c>
      <c r="AR184" s="96">
        <f>IF(U184=0,0,IF(AND(INDEX('MTRs'!$BA$6:$BA$505,T184)=1,Z184=0),1,0))</f>
        <v>0</v>
      </c>
      <c r="AS184" s="96" t="str">
        <f>IF(R184=1,A184&amp;" | MTR "&amp;IF(U184=1,INDEX('MTRs'!$B$6:$B$505,T184)&amp;"","?")&amp;" | "&amp;IF(C184="","(sem resíduo)",C184),"")</f>
        <v/>
      </c>
      <c r="AT184" s="96" t="str">
        <f>IF(R184=1,COUNTIF($R$6:R184,1),"")</f>
        <v/>
      </c>
      <c r="AU184" s="96" t="str">
        <f>IF(U184=1,INDEX('MTRs'!$I$6:$I$505,T184)&amp;"","")</f>
        <v/>
      </c>
    </row>
    <row r="185">
      <c r="A185" s="89" t="inlineStr">
        <is>
          <t>IT-000180</t>
        </is>
      </c>
      <c r="B185" s="91" t="n"/>
      <c r="C185" s="91" t="n"/>
      <c r="D185" s="94" t="str">
        <f>IF(OR(R185=0,V185=0),"",INDEX('CAD_RESÍDUOS'!$E$6:$E$205,MATCH(C185,'CAD_RESÍDUOS'!$B$6:$B$205,0))&amp;"")</f>
        <v/>
      </c>
      <c r="E185" s="94" t="str">
        <f>IF(OR(R185=0,V185=0),"",INDEX('CAD_RESÍDUOS'!$C$6:$C$205,MATCH(C185,'CAD_RESÍDUOS'!$B$6:$B$205,0))&amp;"")</f>
        <v/>
      </c>
      <c r="F185" s="94" t="str">
        <f>IF(OR(R185=0,V185=0),"",INDEX('CAD_RESÍDUOS'!$G$6:$G$205,MATCH(C185,'CAD_RESÍDUOS'!$B$6:$B$205,0))&amp;"")</f>
        <v/>
      </c>
      <c r="G185" s="98" t="n"/>
      <c r="H185" s="91" t="n"/>
      <c r="I185" s="93" t="str">
        <f>IF(R185=0,"",IF(NOT(ISNUMBER(G185)),"",IF(ISNUMBER(X185),G185*X185,"UNIDADE A CONFERIR")))</f>
        <v/>
      </c>
      <c r="J185" s="91" t="n"/>
      <c r="K185" s="91" t="n"/>
      <c r="L185" s="93" t="str">
        <f>IF(R185=0,"",SUMIFS('RECEBIMENTOS'!$H$6:$H$1005,'RECEBIMENTOS'!$R$6:$R$1005,A185,'RECEBIMENTOS'!$X$6:$X$1005,1))</f>
        <v/>
      </c>
      <c r="M185" s="93" t="str">
        <f>IF(R185=0,"",SUMIFS('VÍNCULOS_CDF'!$H$6:$H$1005,'VÍNCULOS_CDF'!$R$6:$R$1005,A185,'VÍNCULOS_CDF'!$V$6:$V$1005,1))</f>
        <v/>
      </c>
      <c r="N185" s="99" t="str">
        <f>IF(OR(R185=0,AA185=0,NOT(ISNUMBER(I185))),"",I185-N(L185))</f>
        <v/>
      </c>
      <c r="O185" s="100" t="str">
        <f>IF(OR(R185=0,AK185&lt;=0),"",N(M185)/AK185)</f>
        <v/>
      </c>
      <c r="P185" s="94" t="str">
        <f>IF(R185=0,"",IF(S185="","Sem MTR associado",IF(U185=0,"MTR inexistente",IF(C185="","Resíduo não identificado",IF(V185=0,"Resíduo fora do cadastro",IF(W185=0,"Quantidade inválida",IF(H185="","Unidade não informada",IF(NOT(ISNUMBER(I185)),"Unidade a conferir",IF(AND(AH185=1,K185&lt;&gt;"Sim"),"Possível duplicidade",IF(Z185=1,"MTR cancelado",IF(AC185&gt;0,"Recebimento com alerta",IF(AA185=0,"Aguardando recebimento",IF(AB185&lt;AA185,"Recebimento a conferir",IF(AM185=1,"Quantidade a revisar",IF(AF185&gt;0,"Vínculo a revisar",IF(AD185=0,"Aguardando CDF",IF(AN185=0,"Vínculo de CDF parcial",IF(AE185&lt;AD185,"CDF a conferir","Documentação conferida"))))))))))))))))))</f>
        <v/>
      </c>
      <c r="Q185" s="93" t="str">
        <f>IF(OR(R185=0,AA185=0),"",MAX(0,N(L185)-N(M185)))</f>
        <v/>
      </c>
      <c r="R185" s="96">
        <f>IF(COUNTA(B185:C185,G185:H185,J185:K185)&gt;0,1,0)</f>
        <v>0</v>
      </c>
      <c r="S185" s="96" t="str">
        <f>IF(B185="","",TRIM(LEFT(B185,FIND(" |",B185&amp;" |")-1)))</f>
        <v/>
      </c>
      <c r="T185" s="96" t="str">
        <f>IF(S185="","",IFERROR(MATCH(S185,'MTRs'!$A$6:$A$505,0),""))</f>
        <v/>
      </c>
      <c r="U185" s="96">
        <f>IF(T185="",0,IF(INDEX('MTRs'!$Z$6:$Z$505,T185)=1,1,0))</f>
        <v>0</v>
      </c>
      <c r="V185" s="96">
        <f>IF(C185="",0,IF(ISNUMBER(MATCH(C185,'CAD_RESÍDUOS'!$B$6:$B$205,0)),1,0))</f>
        <v>0</v>
      </c>
      <c r="W185" s="96">
        <f>IF(AND(ISNUMBER(G185),G185&gt;0),1,0)</f>
        <v>0</v>
      </c>
      <c r="X185" s="96" t="str">
        <f>IF(H185="","",IFERROR(IF(ISNUMBER(INDEX(cfg_fac,MATCH(H185,cfg_units,0))),IF(INDEX(cfg_fac,MATCH(H185,cfg_units,0))&gt;0,INDEX(cfg_fac,MATCH(H185,cfg_units,0)),""),""),""))</f>
        <v/>
      </c>
      <c r="Y185" s="96">
        <f>IF(AND(W185=1,ISNUMBER(I185)),1,0)</f>
        <v>0</v>
      </c>
      <c r="Z185" s="96">
        <f>IF(U185=1,INDEX('MTRs'!$AA$6:$AA$505,T185),0)</f>
        <v>0</v>
      </c>
      <c r="AA185" s="96">
        <f>IF(R185=0,0,COUNTIFS('RECEBIMENTOS'!$R$6:$R$1005,A185,'RECEBIMENTOS'!$Q$6:$Q$1005,1))</f>
        <v>0</v>
      </c>
      <c r="AB185" s="96">
        <f>IF(R185=0,0,COUNTIFS('RECEBIMENTOS'!$R$6:$R$1005,A185,'RECEBIMENTOS'!$Z$6:$Z$1005,1))</f>
        <v>0</v>
      </c>
      <c r="AC185" s="96">
        <f>IF(R185=0,0,COUNTIFS('RECEBIMENTOS'!$R$6:$R$1005,A185,'RECEBIMENTOS'!$Y$6:$Y$1005,1))</f>
        <v>0</v>
      </c>
      <c r="AD185" s="96">
        <f>IF(R185=0,0,COUNTIFS('VÍNCULOS_CDF'!$R$6:$R$1005,A185,'VÍNCULOS_CDF'!$N$6:$N$1005,1))</f>
        <v>0</v>
      </c>
      <c r="AE185" s="96">
        <f>IF(R185=0,0,COUNTIFS('VÍNCULOS_CDF'!$R$6:$R$1005,A185,'VÍNCULOS_CDF'!$AA$6:$AA$1005,1))</f>
        <v>0</v>
      </c>
      <c r="AF185" s="96">
        <f>IF(R185=0,0,COUNTIFS('VÍNCULOS_CDF'!$R$6:$R$1005,A185,'VÍNCULOS_CDF'!$Y$6:$Y$1005,1))</f>
        <v>0</v>
      </c>
      <c r="AG185" s="96" t="str">
        <f>IF(AND(R185=1,S185&lt;&gt;"",C185&lt;&gt;""),S185&amp;"|"&amp;C185&amp;"|"&amp;G185&amp;"|"&amp;H185,"")</f>
        <v/>
      </c>
      <c r="AH185" s="96">
        <f>IF(AG185="",0,IF(SUMPRODUCT(--($AG$6:$AG$1005=AG185))&gt;1,1,0))</f>
        <v>0</v>
      </c>
      <c r="AI185" s="96">
        <f>IF(R185=0,0,IF(OR(U185=0,V185=0,Y185=0,AND(AH185=1,K185&lt;&gt;"Sim")),1,0))</f>
        <v>0</v>
      </c>
      <c r="AJ185" s="96">
        <f>IF(AND(R185=1,AA185&gt;0,AB185=AA185),1,0)</f>
        <v>0</v>
      </c>
      <c r="AK185" s="96">
        <f>IF(R185=0,0,IF(AA185&gt;0,N(L185),IF(ISNUMBER(I185),I185,0)))</f>
        <v>0</v>
      </c>
      <c r="AL185" s="96">
        <f>IF(R185=0,0,IF(AND(K185&lt;&gt;"Sim",N(M185)&gt;AK185+cfg_tol),1,0))</f>
        <v>0</v>
      </c>
      <c r="AM185" s="96">
        <f>IF(R185=0,0,IF(K185="Sim",0,IF(OR(AND(AA185&gt;0,ISNUMBER(I185),ABS(I185-N(L185))&gt;cfg_tol),AL185=1),1,0)))</f>
        <v>0</v>
      </c>
      <c r="AN185" s="96">
        <f>IF(AND(R185=1,N(M185)&gt;0,OR(N(M185)&gt;=AK185-cfg_tol,K185="Sim")),1,0)</f>
        <v>0</v>
      </c>
      <c r="AO185" s="96">
        <f>IF(AND(AN185=1,AD185&gt;0,AE185=AD185,AL185=0),1,0)</f>
        <v>0</v>
      </c>
      <c r="AP185" s="96">
        <f>IF(U185=0,0,IF(AND(INDEX('MTRs'!$AX$6:$AX$505,T185)=1,Z185=0,OR(f_res="",f_res="(Todos)",C185=f_res)),1,0))</f>
        <v>0</v>
      </c>
      <c r="AQ185" s="97" t="str">
        <f>IF(U185=0,"",INDEX('MTRs'!$AZ$6:$AZ$505,T185))</f>
        <v/>
      </c>
      <c r="AR185" s="96">
        <f>IF(U185=0,0,IF(AND(INDEX('MTRs'!$BA$6:$BA$505,T185)=1,Z185=0),1,0))</f>
        <v>0</v>
      </c>
      <c r="AS185" s="96" t="str">
        <f>IF(R185=1,A185&amp;" | MTR "&amp;IF(U185=1,INDEX('MTRs'!$B$6:$B$505,T185)&amp;"","?")&amp;" | "&amp;IF(C185="","(sem resíduo)",C185),"")</f>
        <v/>
      </c>
      <c r="AT185" s="96" t="str">
        <f>IF(R185=1,COUNTIF($R$6:R185,1),"")</f>
        <v/>
      </c>
      <c r="AU185" s="96" t="str">
        <f>IF(U185=1,INDEX('MTRs'!$I$6:$I$505,T185)&amp;"","")</f>
        <v/>
      </c>
    </row>
    <row r="186">
      <c r="A186" s="89" t="inlineStr">
        <is>
          <t>IT-000181</t>
        </is>
      </c>
      <c r="B186" s="91" t="n"/>
      <c r="C186" s="91" t="n"/>
      <c r="D186" s="94" t="str">
        <f>IF(OR(R186=0,V186=0),"",INDEX('CAD_RESÍDUOS'!$E$6:$E$205,MATCH(C186,'CAD_RESÍDUOS'!$B$6:$B$205,0))&amp;"")</f>
        <v/>
      </c>
      <c r="E186" s="94" t="str">
        <f>IF(OR(R186=0,V186=0),"",INDEX('CAD_RESÍDUOS'!$C$6:$C$205,MATCH(C186,'CAD_RESÍDUOS'!$B$6:$B$205,0))&amp;"")</f>
        <v/>
      </c>
      <c r="F186" s="94" t="str">
        <f>IF(OR(R186=0,V186=0),"",INDEX('CAD_RESÍDUOS'!$G$6:$G$205,MATCH(C186,'CAD_RESÍDUOS'!$B$6:$B$205,0))&amp;"")</f>
        <v/>
      </c>
      <c r="G186" s="98" t="n"/>
      <c r="H186" s="91" t="n"/>
      <c r="I186" s="93" t="str">
        <f>IF(R186=0,"",IF(NOT(ISNUMBER(G186)),"",IF(ISNUMBER(X186),G186*X186,"UNIDADE A CONFERIR")))</f>
        <v/>
      </c>
      <c r="J186" s="91" t="n"/>
      <c r="K186" s="91" t="n"/>
      <c r="L186" s="93" t="str">
        <f>IF(R186=0,"",SUMIFS('RECEBIMENTOS'!$H$6:$H$1005,'RECEBIMENTOS'!$R$6:$R$1005,A186,'RECEBIMENTOS'!$X$6:$X$1005,1))</f>
        <v/>
      </c>
      <c r="M186" s="93" t="str">
        <f>IF(R186=0,"",SUMIFS('VÍNCULOS_CDF'!$H$6:$H$1005,'VÍNCULOS_CDF'!$R$6:$R$1005,A186,'VÍNCULOS_CDF'!$V$6:$V$1005,1))</f>
        <v/>
      </c>
      <c r="N186" s="99" t="str">
        <f>IF(OR(R186=0,AA186=0,NOT(ISNUMBER(I186))),"",I186-N(L186))</f>
        <v/>
      </c>
      <c r="O186" s="100" t="str">
        <f>IF(OR(R186=0,AK186&lt;=0),"",N(M186)/AK186)</f>
        <v/>
      </c>
      <c r="P186" s="94" t="str">
        <f>IF(R186=0,"",IF(S186="","Sem MTR associado",IF(U186=0,"MTR inexistente",IF(C186="","Resíduo não identificado",IF(V186=0,"Resíduo fora do cadastro",IF(W186=0,"Quantidade inválida",IF(H186="","Unidade não informada",IF(NOT(ISNUMBER(I186)),"Unidade a conferir",IF(AND(AH186=1,K186&lt;&gt;"Sim"),"Possível duplicidade",IF(Z186=1,"MTR cancelado",IF(AC186&gt;0,"Recebimento com alerta",IF(AA186=0,"Aguardando recebimento",IF(AB186&lt;AA186,"Recebimento a conferir",IF(AM186=1,"Quantidade a revisar",IF(AF186&gt;0,"Vínculo a revisar",IF(AD186=0,"Aguardando CDF",IF(AN186=0,"Vínculo de CDF parcial",IF(AE186&lt;AD186,"CDF a conferir","Documentação conferida"))))))))))))))))))</f>
        <v/>
      </c>
      <c r="Q186" s="93" t="str">
        <f>IF(OR(R186=0,AA186=0),"",MAX(0,N(L186)-N(M186)))</f>
        <v/>
      </c>
      <c r="R186" s="96">
        <f>IF(COUNTA(B186:C186,G186:H186,J186:K186)&gt;0,1,0)</f>
        <v>0</v>
      </c>
      <c r="S186" s="96" t="str">
        <f>IF(B186="","",TRIM(LEFT(B186,FIND(" |",B186&amp;" |")-1)))</f>
        <v/>
      </c>
      <c r="T186" s="96" t="str">
        <f>IF(S186="","",IFERROR(MATCH(S186,'MTRs'!$A$6:$A$505,0),""))</f>
        <v/>
      </c>
      <c r="U186" s="96">
        <f>IF(T186="",0,IF(INDEX('MTRs'!$Z$6:$Z$505,T186)=1,1,0))</f>
        <v>0</v>
      </c>
      <c r="V186" s="96">
        <f>IF(C186="",0,IF(ISNUMBER(MATCH(C186,'CAD_RESÍDUOS'!$B$6:$B$205,0)),1,0))</f>
        <v>0</v>
      </c>
      <c r="W186" s="96">
        <f>IF(AND(ISNUMBER(G186),G186&gt;0),1,0)</f>
        <v>0</v>
      </c>
      <c r="X186" s="96" t="str">
        <f>IF(H186="","",IFERROR(IF(ISNUMBER(INDEX(cfg_fac,MATCH(H186,cfg_units,0))),IF(INDEX(cfg_fac,MATCH(H186,cfg_units,0))&gt;0,INDEX(cfg_fac,MATCH(H186,cfg_units,0)),""),""),""))</f>
        <v/>
      </c>
      <c r="Y186" s="96">
        <f>IF(AND(W186=1,ISNUMBER(I186)),1,0)</f>
        <v>0</v>
      </c>
      <c r="Z186" s="96">
        <f>IF(U186=1,INDEX('MTRs'!$AA$6:$AA$505,T186),0)</f>
        <v>0</v>
      </c>
      <c r="AA186" s="96">
        <f>IF(R186=0,0,COUNTIFS('RECEBIMENTOS'!$R$6:$R$1005,A186,'RECEBIMENTOS'!$Q$6:$Q$1005,1))</f>
        <v>0</v>
      </c>
      <c r="AB186" s="96">
        <f>IF(R186=0,0,COUNTIFS('RECEBIMENTOS'!$R$6:$R$1005,A186,'RECEBIMENTOS'!$Z$6:$Z$1005,1))</f>
        <v>0</v>
      </c>
      <c r="AC186" s="96">
        <f>IF(R186=0,0,COUNTIFS('RECEBIMENTOS'!$R$6:$R$1005,A186,'RECEBIMENTOS'!$Y$6:$Y$1005,1))</f>
        <v>0</v>
      </c>
      <c r="AD186" s="96">
        <f>IF(R186=0,0,COUNTIFS('VÍNCULOS_CDF'!$R$6:$R$1005,A186,'VÍNCULOS_CDF'!$N$6:$N$1005,1))</f>
        <v>0</v>
      </c>
      <c r="AE186" s="96">
        <f>IF(R186=0,0,COUNTIFS('VÍNCULOS_CDF'!$R$6:$R$1005,A186,'VÍNCULOS_CDF'!$AA$6:$AA$1005,1))</f>
        <v>0</v>
      </c>
      <c r="AF186" s="96">
        <f>IF(R186=0,0,COUNTIFS('VÍNCULOS_CDF'!$R$6:$R$1005,A186,'VÍNCULOS_CDF'!$Y$6:$Y$1005,1))</f>
        <v>0</v>
      </c>
      <c r="AG186" s="96" t="str">
        <f>IF(AND(R186=1,S186&lt;&gt;"",C186&lt;&gt;""),S186&amp;"|"&amp;C186&amp;"|"&amp;G186&amp;"|"&amp;H186,"")</f>
        <v/>
      </c>
      <c r="AH186" s="96">
        <f>IF(AG186="",0,IF(SUMPRODUCT(--($AG$6:$AG$1005=AG186))&gt;1,1,0))</f>
        <v>0</v>
      </c>
      <c r="AI186" s="96">
        <f>IF(R186=0,0,IF(OR(U186=0,V186=0,Y186=0,AND(AH186=1,K186&lt;&gt;"Sim")),1,0))</f>
        <v>0</v>
      </c>
      <c r="AJ186" s="96">
        <f>IF(AND(R186=1,AA186&gt;0,AB186=AA186),1,0)</f>
        <v>0</v>
      </c>
      <c r="AK186" s="96">
        <f>IF(R186=0,0,IF(AA186&gt;0,N(L186),IF(ISNUMBER(I186),I186,0)))</f>
        <v>0</v>
      </c>
      <c r="AL186" s="96">
        <f>IF(R186=0,0,IF(AND(K186&lt;&gt;"Sim",N(M186)&gt;AK186+cfg_tol),1,0))</f>
        <v>0</v>
      </c>
      <c r="AM186" s="96">
        <f>IF(R186=0,0,IF(K186="Sim",0,IF(OR(AND(AA186&gt;0,ISNUMBER(I186),ABS(I186-N(L186))&gt;cfg_tol),AL186=1),1,0)))</f>
        <v>0</v>
      </c>
      <c r="AN186" s="96">
        <f>IF(AND(R186=1,N(M186)&gt;0,OR(N(M186)&gt;=AK186-cfg_tol,K186="Sim")),1,0)</f>
        <v>0</v>
      </c>
      <c r="AO186" s="96">
        <f>IF(AND(AN186=1,AD186&gt;0,AE186=AD186,AL186=0),1,0)</f>
        <v>0</v>
      </c>
      <c r="AP186" s="96">
        <f>IF(U186=0,0,IF(AND(INDEX('MTRs'!$AX$6:$AX$505,T186)=1,Z186=0,OR(f_res="",f_res="(Todos)",C186=f_res)),1,0))</f>
        <v>0</v>
      </c>
      <c r="AQ186" s="97" t="str">
        <f>IF(U186=0,"",INDEX('MTRs'!$AZ$6:$AZ$505,T186))</f>
        <v/>
      </c>
      <c r="AR186" s="96">
        <f>IF(U186=0,0,IF(AND(INDEX('MTRs'!$BA$6:$BA$505,T186)=1,Z186=0),1,0))</f>
        <v>0</v>
      </c>
      <c r="AS186" s="96" t="str">
        <f>IF(R186=1,A186&amp;" | MTR "&amp;IF(U186=1,INDEX('MTRs'!$B$6:$B$505,T186)&amp;"","?")&amp;" | "&amp;IF(C186="","(sem resíduo)",C186),"")</f>
        <v/>
      </c>
      <c r="AT186" s="96" t="str">
        <f>IF(R186=1,COUNTIF($R$6:R186,1),"")</f>
        <v/>
      </c>
      <c r="AU186" s="96" t="str">
        <f>IF(U186=1,INDEX('MTRs'!$I$6:$I$505,T186)&amp;"","")</f>
        <v/>
      </c>
    </row>
    <row r="187">
      <c r="A187" s="89" t="inlineStr">
        <is>
          <t>IT-000182</t>
        </is>
      </c>
      <c r="B187" s="91" t="n"/>
      <c r="C187" s="91" t="n"/>
      <c r="D187" s="94" t="str">
        <f>IF(OR(R187=0,V187=0),"",INDEX('CAD_RESÍDUOS'!$E$6:$E$205,MATCH(C187,'CAD_RESÍDUOS'!$B$6:$B$205,0))&amp;"")</f>
        <v/>
      </c>
      <c r="E187" s="94" t="str">
        <f>IF(OR(R187=0,V187=0),"",INDEX('CAD_RESÍDUOS'!$C$6:$C$205,MATCH(C187,'CAD_RESÍDUOS'!$B$6:$B$205,0))&amp;"")</f>
        <v/>
      </c>
      <c r="F187" s="94" t="str">
        <f>IF(OR(R187=0,V187=0),"",INDEX('CAD_RESÍDUOS'!$G$6:$G$205,MATCH(C187,'CAD_RESÍDUOS'!$B$6:$B$205,0))&amp;"")</f>
        <v/>
      </c>
      <c r="G187" s="98" t="n"/>
      <c r="H187" s="91" t="n"/>
      <c r="I187" s="93" t="str">
        <f>IF(R187=0,"",IF(NOT(ISNUMBER(G187)),"",IF(ISNUMBER(X187),G187*X187,"UNIDADE A CONFERIR")))</f>
        <v/>
      </c>
      <c r="J187" s="91" t="n"/>
      <c r="K187" s="91" t="n"/>
      <c r="L187" s="93" t="str">
        <f>IF(R187=0,"",SUMIFS('RECEBIMENTOS'!$H$6:$H$1005,'RECEBIMENTOS'!$R$6:$R$1005,A187,'RECEBIMENTOS'!$X$6:$X$1005,1))</f>
        <v/>
      </c>
      <c r="M187" s="93" t="str">
        <f>IF(R187=0,"",SUMIFS('VÍNCULOS_CDF'!$H$6:$H$1005,'VÍNCULOS_CDF'!$R$6:$R$1005,A187,'VÍNCULOS_CDF'!$V$6:$V$1005,1))</f>
        <v/>
      </c>
      <c r="N187" s="99" t="str">
        <f>IF(OR(R187=0,AA187=0,NOT(ISNUMBER(I187))),"",I187-N(L187))</f>
        <v/>
      </c>
      <c r="O187" s="100" t="str">
        <f>IF(OR(R187=0,AK187&lt;=0),"",N(M187)/AK187)</f>
        <v/>
      </c>
      <c r="P187" s="94" t="str">
        <f>IF(R187=0,"",IF(S187="","Sem MTR associado",IF(U187=0,"MTR inexistente",IF(C187="","Resíduo não identificado",IF(V187=0,"Resíduo fora do cadastro",IF(W187=0,"Quantidade inválida",IF(H187="","Unidade não informada",IF(NOT(ISNUMBER(I187)),"Unidade a conferir",IF(AND(AH187=1,K187&lt;&gt;"Sim"),"Possível duplicidade",IF(Z187=1,"MTR cancelado",IF(AC187&gt;0,"Recebimento com alerta",IF(AA187=0,"Aguardando recebimento",IF(AB187&lt;AA187,"Recebimento a conferir",IF(AM187=1,"Quantidade a revisar",IF(AF187&gt;0,"Vínculo a revisar",IF(AD187=0,"Aguardando CDF",IF(AN187=0,"Vínculo de CDF parcial",IF(AE187&lt;AD187,"CDF a conferir","Documentação conferida"))))))))))))))))))</f>
        <v/>
      </c>
      <c r="Q187" s="93" t="str">
        <f>IF(OR(R187=0,AA187=0),"",MAX(0,N(L187)-N(M187)))</f>
        <v/>
      </c>
      <c r="R187" s="96">
        <f>IF(COUNTA(B187:C187,G187:H187,J187:K187)&gt;0,1,0)</f>
        <v>0</v>
      </c>
      <c r="S187" s="96" t="str">
        <f>IF(B187="","",TRIM(LEFT(B187,FIND(" |",B187&amp;" |")-1)))</f>
        <v/>
      </c>
      <c r="T187" s="96" t="str">
        <f>IF(S187="","",IFERROR(MATCH(S187,'MTRs'!$A$6:$A$505,0),""))</f>
        <v/>
      </c>
      <c r="U187" s="96">
        <f>IF(T187="",0,IF(INDEX('MTRs'!$Z$6:$Z$505,T187)=1,1,0))</f>
        <v>0</v>
      </c>
      <c r="V187" s="96">
        <f>IF(C187="",0,IF(ISNUMBER(MATCH(C187,'CAD_RESÍDUOS'!$B$6:$B$205,0)),1,0))</f>
        <v>0</v>
      </c>
      <c r="W187" s="96">
        <f>IF(AND(ISNUMBER(G187),G187&gt;0),1,0)</f>
        <v>0</v>
      </c>
      <c r="X187" s="96" t="str">
        <f>IF(H187="","",IFERROR(IF(ISNUMBER(INDEX(cfg_fac,MATCH(H187,cfg_units,0))),IF(INDEX(cfg_fac,MATCH(H187,cfg_units,0))&gt;0,INDEX(cfg_fac,MATCH(H187,cfg_units,0)),""),""),""))</f>
        <v/>
      </c>
      <c r="Y187" s="96">
        <f>IF(AND(W187=1,ISNUMBER(I187)),1,0)</f>
        <v>0</v>
      </c>
      <c r="Z187" s="96">
        <f>IF(U187=1,INDEX('MTRs'!$AA$6:$AA$505,T187),0)</f>
        <v>0</v>
      </c>
      <c r="AA187" s="96">
        <f>IF(R187=0,0,COUNTIFS('RECEBIMENTOS'!$R$6:$R$1005,A187,'RECEBIMENTOS'!$Q$6:$Q$1005,1))</f>
        <v>0</v>
      </c>
      <c r="AB187" s="96">
        <f>IF(R187=0,0,COUNTIFS('RECEBIMENTOS'!$R$6:$R$1005,A187,'RECEBIMENTOS'!$Z$6:$Z$1005,1))</f>
        <v>0</v>
      </c>
      <c r="AC187" s="96">
        <f>IF(R187=0,0,COUNTIFS('RECEBIMENTOS'!$R$6:$R$1005,A187,'RECEBIMENTOS'!$Y$6:$Y$1005,1))</f>
        <v>0</v>
      </c>
      <c r="AD187" s="96">
        <f>IF(R187=0,0,COUNTIFS('VÍNCULOS_CDF'!$R$6:$R$1005,A187,'VÍNCULOS_CDF'!$N$6:$N$1005,1))</f>
        <v>0</v>
      </c>
      <c r="AE187" s="96">
        <f>IF(R187=0,0,COUNTIFS('VÍNCULOS_CDF'!$R$6:$R$1005,A187,'VÍNCULOS_CDF'!$AA$6:$AA$1005,1))</f>
        <v>0</v>
      </c>
      <c r="AF187" s="96">
        <f>IF(R187=0,0,COUNTIFS('VÍNCULOS_CDF'!$R$6:$R$1005,A187,'VÍNCULOS_CDF'!$Y$6:$Y$1005,1))</f>
        <v>0</v>
      </c>
      <c r="AG187" s="96" t="str">
        <f>IF(AND(R187=1,S187&lt;&gt;"",C187&lt;&gt;""),S187&amp;"|"&amp;C187&amp;"|"&amp;G187&amp;"|"&amp;H187,"")</f>
        <v/>
      </c>
      <c r="AH187" s="96">
        <f>IF(AG187="",0,IF(SUMPRODUCT(--($AG$6:$AG$1005=AG187))&gt;1,1,0))</f>
        <v>0</v>
      </c>
      <c r="AI187" s="96">
        <f>IF(R187=0,0,IF(OR(U187=0,V187=0,Y187=0,AND(AH187=1,K187&lt;&gt;"Sim")),1,0))</f>
        <v>0</v>
      </c>
      <c r="AJ187" s="96">
        <f>IF(AND(R187=1,AA187&gt;0,AB187=AA187),1,0)</f>
        <v>0</v>
      </c>
      <c r="AK187" s="96">
        <f>IF(R187=0,0,IF(AA187&gt;0,N(L187),IF(ISNUMBER(I187),I187,0)))</f>
        <v>0</v>
      </c>
      <c r="AL187" s="96">
        <f>IF(R187=0,0,IF(AND(K187&lt;&gt;"Sim",N(M187)&gt;AK187+cfg_tol),1,0))</f>
        <v>0</v>
      </c>
      <c r="AM187" s="96">
        <f>IF(R187=0,0,IF(K187="Sim",0,IF(OR(AND(AA187&gt;0,ISNUMBER(I187),ABS(I187-N(L187))&gt;cfg_tol),AL187=1),1,0)))</f>
        <v>0</v>
      </c>
      <c r="AN187" s="96">
        <f>IF(AND(R187=1,N(M187)&gt;0,OR(N(M187)&gt;=AK187-cfg_tol,K187="Sim")),1,0)</f>
        <v>0</v>
      </c>
      <c r="AO187" s="96">
        <f>IF(AND(AN187=1,AD187&gt;0,AE187=AD187,AL187=0),1,0)</f>
        <v>0</v>
      </c>
      <c r="AP187" s="96">
        <f>IF(U187=0,0,IF(AND(INDEX('MTRs'!$AX$6:$AX$505,T187)=1,Z187=0,OR(f_res="",f_res="(Todos)",C187=f_res)),1,0))</f>
        <v>0</v>
      </c>
      <c r="AQ187" s="97" t="str">
        <f>IF(U187=0,"",INDEX('MTRs'!$AZ$6:$AZ$505,T187))</f>
        <v/>
      </c>
      <c r="AR187" s="96">
        <f>IF(U187=0,0,IF(AND(INDEX('MTRs'!$BA$6:$BA$505,T187)=1,Z187=0),1,0))</f>
        <v>0</v>
      </c>
      <c r="AS187" s="96" t="str">
        <f>IF(R187=1,A187&amp;" | MTR "&amp;IF(U187=1,INDEX('MTRs'!$B$6:$B$505,T187)&amp;"","?")&amp;" | "&amp;IF(C187="","(sem resíduo)",C187),"")</f>
        <v/>
      </c>
      <c r="AT187" s="96" t="str">
        <f>IF(R187=1,COUNTIF($R$6:R187,1),"")</f>
        <v/>
      </c>
      <c r="AU187" s="96" t="str">
        <f>IF(U187=1,INDEX('MTRs'!$I$6:$I$505,T187)&amp;"","")</f>
        <v/>
      </c>
    </row>
    <row r="188">
      <c r="A188" s="89" t="inlineStr">
        <is>
          <t>IT-000183</t>
        </is>
      </c>
      <c r="B188" s="91" t="n"/>
      <c r="C188" s="91" t="n"/>
      <c r="D188" s="94" t="str">
        <f>IF(OR(R188=0,V188=0),"",INDEX('CAD_RESÍDUOS'!$E$6:$E$205,MATCH(C188,'CAD_RESÍDUOS'!$B$6:$B$205,0))&amp;"")</f>
        <v/>
      </c>
      <c r="E188" s="94" t="str">
        <f>IF(OR(R188=0,V188=0),"",INDEX('CAD_RESÍDUOS'!$C$6:$C$205,MATCH(C188,'CAD_RESÍDUOS'!$B$6:$B$205,0))&amp;"")</f>
        <v/>
      </c>
      <c r="F188" s="94" t="str">
        <f>IF(OR(R188=0,V188=0),"",INDEX('CAD_RESÍDUOS'!$G$6:$G$205,MATCH(C188,'CAD_RESÍDUOS'!$B$6:$B$205,0))&amp;"")</f>
        <v/>
      </c>
      <c r="G188" s="98" t="n"/>
      <c r="H188" s="91" t="n"/>
      <c r="I188" s="93" t="str">
        <f>IF(R188=0,"",IF(NOT(ISNUMBER(G188)),"",IF(ISNUMBER(X188),G188*X188,"UNIDADE A CONFERIR")))</f>
        <v/>
      </c>
      <c r="J188" s="91" t="n"/>
      <c r="K188" s="91" t="n"/>
      <c r="L188" s="93" t="str">
        <f>IF(R188=0,"",SUMIFS('RECEBIMENTOS'!$H$6:$H$1005,'RECEBIMENTOS'!$R$6:$R$1005,A188,'RECEBIMENTOS'!$X$6:$X$1005,1))</f>
        <v/>
      </c>
      <c r="M188" s="93" t="str">
        <f>IF(R188=0,"",SUMIFS('VÍNCULOS_CDF'!$H$6:$H$1005,'VÍNCULOS_CDF'!$R$6:$R$1005,A188,'VÍNCULOS_CDF'!$V$6:$V$1005,1))</f>
        <v/>
      </c>
      <c r="N188" s="99" t="str">
        <f>IF(OR(R188=0,AA188=0,NOT(ISNUMBER(I188))),"",I188-N(L188))</f>
        <v/>
      </c>
      <c r="O188" s="100" t="str">
        <f>IF(OR(R188=0,AK188&lt;=0),"",N(M188)/AK188)</f>
        <v/>
      </c>
      <c r="P188" s="94" t="str">
        <f>IF(R188=0,"",IF(S188="","Sem MTR associado",IF(U188=0,"MTR inexistente",IF(C188="","Resíduo não identificado",IF(V188=0,"Resíduo fora do cadastro",IF(W188=0,"Quantidade inválida",IF(H188="","Unidade não informada",IF(NOT(ISNUMBER(I188)),"Unidade a conferir",IF(AND(AH188=1,K188&lt;&gt;"Sim"),"Possível duplicidade",IF(Z188=1,"MTR cancelado",IF(AC188&gt;0,"Recebimento com alerta",IF(AA188=0,"Aguardando recebimento",IF(AB188&lt;AA188,"Recebimento a conferir",IF(AM188=1,"Quantidade a revisar",IF(AF188&gt;0,"Vínculo a revisar",IF(AD188=0,"Aguardando CDF",IF(AN188=0,"Vínculo de CDF parcial",IF(AE188&lt;AD188,"CDF a conferir","Documentação conferida"))))))))))))))))))</f>
        <v/>
      </c>
      <c r="Q188" s="93" t="str">
        <f>IF(OR(R188=0,AA188=0),"",MAX(0,N(L188)-N(M188)))</f>
        <v/>
      </c>
      <c r="R188" s="96">
        <f>IF(COUNTA(B188:C188,G188:H188,J188:K188)&gt;0,1,0)</f>
        <v>0</v>
      </c>
      <c r="S188" s="96" t="str">
        <f>IF(B188="","",TRIM(LEFT(B188,FIND(" |",B188&amp;" |")-1)))</f>
        <v/>
      </c>
      <c r="T188" s="96" t="str">
        <f>IF(S188="","",IFERROR(MATCH(S188,'MTRs'!$A$6:$A$505,0),""))</f>
        <v/>
      </c>
      <c r="U188" s="96">
        <f>IF(T188="",0,IF(INDEX('MTRs'!$Z$6:$Z$505,T188)=1,1,0))</f>
        <v>0</v>
      </c>
      <c r="V188" s="96">
        <f>IF(C188="",0,IF(ISNUMBER(MATCH(C188,'CAD_RESÍDUOS'!$B$6:$B$205,0)),1,0))</f>
        <v>0</v>
      </c>
      <c r="W188" s="96">
        <f>IF(AND(ISNUMBER(G188),G188&gt;0),1,0)</f>
        <v>0</v>
      </c>
      <c r="X188" s="96" t="str">
        <f>IF(H188="","",IFERROR(IF(ISNUMBER(INDEX(cfg_fac,MATCH(H188,cfg_units,0))),IF(INDEX(cfg_fac,MATCH(H188,cfg_units,0))&gt;0,INDEX(cfg_fac,MATCH(H188,cfg_units,0)),""),""),""))</f>
        <v/>
      </c>
      <c r="Y188" s="96">
        <f>IF(AND(W188=1,ISNUMBER(I188)),1,0)</f>
        <v>0</v>
      </c>
      <c r="Z188" s="96">
        <f>IF(U188=1,INDEX('MTRs'!$AA$6:$AA$505,T188),0)</f>
        <v>0</v>
      </c>
      <c r="AA188" s="96">
        <f>IF(R188=0,0,COUNTIFS('RECEBIMENTOS'!$R$6:$R$1005,A188,'RECEBIMENTOS'!$Q$6:$Q$1005,1))</f>
        <v>0</v>
      </c>
      <c r="AB188" s="96">
        <f>IF(R188=0,0,COUNTIFS('RECEBIMENTOS'!$R$6:$R$1005,A188,'RECEBIMENTOS'!$Z$6:$Z$1005,1))</f>
        <v>0</v>
      </c>
      <c r="AC188" s="96">
        <f>IF(R188=0,0,COUNTIFS('RECEBIMENTOS'!$R$6:$R$1005,A188,'RECEBIMENTOS'!$Y$6:$Y$1005,1))</f>
        <v>0</v>
      </c>
      <c r="AD188" s="96">
        <f>IF(R188=0,0,COUNTIFS('VÍNCULOS_CDF'!$R$6:$R$1005,A188,'VÍNCULOS_CDF'!$N$6:$N$1005,1))</f>
        <v>0</v>
      </c>
      <c r="AE188" s="96">
        <f>IF(R188=0,0,COUNTIFS('VÍNCULOS_CDF'!$R$6:$R$1005,A188,'VÍNCULOS_CDF'!$AA$6:$AA$1005,1))</f>
        <v>0</v>
      </c>
      <c r="AF188" s="96">
        <f>IF(R188=0,0,COUNTIFS('VÍNCULOS_CDF'!$R$6:$R$1005,A188,'VÍNCULOS_CDF'!$Y$6:$Y$1005,1))</f>
        <v>0</v>
      </c>
      <c r="AG188" s="96" t="str">
        <f>IF(AND(R188=1,S188&lt;&gt;"",C188&lt;&gt;""),S188&amp;"|"&amp;C188&amp;"|"&amp;G188&amp;"|"&amp;H188,"")</f>
        <v/>
      </c>
      <c r="AH188" s="96">
        <f>IF(AG188="",0,IF(SUMPRODUCT(--($AG$6:$AG$1005=AG188))&gt;1,1,0))</f>
        <v>0</v>
      </c>
      <c r="AI188" s="96">
        <f>IF(R188=0,0,IF(OR(U188=0,V188=0,Y188=0,AND(AH188=1,K188&lt;&gt;"Sim")),1,0))</f>
        <v>0</v>
      </c>
      <c r="AJ188" s="96">
        <f>IF(AND(R188=1,AA188&gt;0,AB188=AA188),1,0)</f>
        <v>0</v>
      </c>
      <c r="AK188" s="96">
        <f>IF(R188=0,0,IF(AA188&gt;0,N(L188),IF(ISNUMBER(I188),I188,0)))</f>
        <v>0</v>
      </c>
      <c r="AL188" s="96">
        <f>IF(R188=0,0,IF(AND(K188&lt;&gt;"Sim",N(M188)&gt;AK188+cfg_tol),1,0))</f>
        <v>0</v>
      </c>
      <c r="AM188" s="96">
        <f>IF(R188=0,0,IF(K188="Sim",0,IF(OR(AND(AA188&gt;0,ISNUMBER(I188),ABS(I188-N(L188))&gt;cfg_tol),AL188=1),1,0)))</f>
        <v>0</v>
      </c>
      <c r="AN188" s="96">
        <f>IF(AND(R188=1,N(M188)&gt;0,OR(N(M188)&gt;=AK188-cfg_tol,K188="Sim")),1,0)</f>
        <v>0</v>
      </c>
      <c r="AO188" s="96">
        <f>IF(AND(AN188=1,AD188&gt;0,AE188=AD188,AL188=0),1,0)</f>
        <v>0</v>
      </c>
      <c r="AP188" s="96">
        <f>IF(U188=0,0,IF(AND(INDEX('MTRs'!$AX$6:$AX$505,T188)=1,Z188=0,OR(f_res="",f_res="(Todos)",C188=f_res)),1,0))</f>
        <v>0</v>
      </c>
      <c r="AQ188" s="97" t="str">
        <f>IF(U188=0,"",INDEX('MTRs'!$AZ$6:$AZ$505,T188))</f>
        <v/>
      </c>
      <c r="AR188" s="96">
        <f>IF(U188=0,0,IF(AND(INDEX('MTRs'!$BA$6:$BA$505,T188)=1,Z188=0),1,0))</f>
        <v>0</v>
      </c>
      <c r="AS188" s="96" t="str">
        <f>IF(R188=1,A188&amp;" | MTR "&amp;IF(U188=1,INDEX('MTRs'!$B$6:$B$505,T188)&amp;"","?")&amp;" | "&amp;IF(C188="","(sem resíduo)",C188),"")</f>
        <v/>
      </c>
      <c r="AT188" s="96" t="str">
        <f>IF(R188=1,COUNTIF($R$6:R188,1),"")</f>
        <v/>
      </c>
      <c r="AU188" s="96" t="str">
        <f>IF(U188=1,INDEX('MTRs'!$I$6:$I$505,T188)&amp;"","")</f>
        <v/>
      </c>
    </row>
    <row r="189">
      <c r="A189" s="89" t="inlineStr">
        <is>
          <t>IT-000184</t>
        </is>
      </c>
      <c r="B189" s="91" t="n"/>
      <c r="C189" s="91" t="n"/>
      <c r="D189" s="94" t="str">
        <f>IF(OR(R189=0,V189=0),"",INDEX('CAD_RESÍDUOS'!$E$6:$E$205,MATCH(C189,'CAD_RESÍDUOS'!$B$6:$B$205,0))&amp;"")</f>
        <v/>
      </c>
      <c r="E189" s="94" t="str">
        <f>IF(OR(R189=0,V189=0),"",INDEX('CAD_RESÍDUOS'!$C$6:$C$205,MATCH(C189,'CAD_RESÍDUOS'!$B$6:$B$205,0))&amp;"")</f>
        <v/>
      </c>
      <c r="F189" s="94" t="str">
        <f>IF(OR(R189=0,V189=0),"",INDEX('CAD_RESÍDUOS'!$G$6:$G$205,MATCH(C189,'CAD_RESÍDUOS'!$B$6:$B$205,0))&amp;"")</f>
        <v/>
      </c>
      <c r="G189" s="98" t="n"/>
      <c r="H189" s="91" t="n"/>
      <c r="I189" s="93" t="str">
        <f>IF(R189=0,"",IF(NOT(ISNUMBER(G189)),"",IF(ISNUMBER(X189),G189*X189,"UNIDADE A CONFERIR")))</f>
        <v/>
      </c>
      <c r="J189" s="91" t="n"/>
      <c r="K189" s="91" t="n"/>
      <c r="L189" s="93" t="str">
        <f>IF(R189=0,"",SUMIFS('RECEBIMENTOS'!$H$6:$H$1005,'RECEBIMENTOS'!$R$6:$R$1005,A189,'RECEBIMENTOS'!$X$6:$X$1005,1))</f>
        <v/>
      </c>
      <c r="M189" s="93" t="str">
        <f>IF(R189=0,"",SUMIFS('VÍNCULOS_CDF'!$H$6:$H$1005,'VÍNCULOS_CDF'!$R$6:$R$1005,A189,'VÍNCULOS_CDF'!$V$6:$V$1005,1))</f>
        <v/>
      </c>
      <c r="N189" s="99" t="str">
        <f>IF(OR(R189=0,AA189=0,NOT(ISNUMBER(I189))),"",I189-N(L189))</f>
        <v/>
      </c>
      <c r="O189" s="100" t="str">
        <f>IF(OR(R189=0,AK189&lt;=0),"",N(M189)/AK189)</f>
        <v/>
      </c>
      <c r="P189" s="94" t="str">
        <f>IF(R189=0,"",IF(S189="","Sem MTR associado",IF(U189=0,"MTR inexistente",IF(C189="","Resíduo não identificado",IF(V189=0,"Resíduo fora do cadastro",IF(W189=0,"Quantidade inválida",IF(H189="","Unidade não informada",IF(NOT(ISNUMBER(I189)),"Unidade a conferir",IF(AND(AH189=1,K189&lt;&gt;"Sim"),"Possível duplicidade",IF(Z189=1,"MTR cancelado",IF(AC189&gt;0,"Recebimento com alerta",IF(AA189=0,"Aguardando recebimento",IF(AB189&lt;AA189,"Recebimento a conferir",IF(AM189=1,"Quantidade a revisar",IF(AF189&gt;0,"Vínculo a revisar",IF(AD189=0,"Aguardando CDF",IF(AN189=0,"Vínculo de CDF parcial",IF(AE189&lt;AD189,"CDF a conferir","Documentação conferida"))))))))))))))))))</f>
        <v/>
      </c>
      <c r="Q189" s="93" t="str">
        <f>IF(OR(R189=0,AA189=0),"",MAX(0,N(L189)-N(M189)))</f>
        <v/>
      </c>
      <c r="R189" s="96">
        <f>IF(COUNTA(B189:C189,G189:H189,J189:K189)&gt;0,1,0)</f>
        <v>0</v>
      </c>
      <c r="S189" s="96" t="str">
        <f>IF(B189="","",TRIM(LEFT(B189,FIND(" |",B189&amp;" |")-1)))</f>
        <v/>
      </c>
      <c r="T189" s="96" t="str">
        <f>IF(S189="","",IFERROR(MATCH(S189,'MTRs'!$A$6:$A$505,0),""))</f>
        <v/>
      </c>
      <c r="U189" s="96">
        <f>IF(T189="",0,IF(INDEX('MTRs'!$Z$6:$Z$505,T189)=1,1,0))</f>
        <v>0</v>
      </c>
      <c r="V189" s="96">
        <f>IF(C189="",0,IF(ISNUMBER(MATCH(C189,'CAD_RESÍDUOS'!$B$6:$B$205,0)),1,0))</f>
        <v>0</v>
      </c>
      <c r="W189" s="96">
        <f>IF(AND(ISNUMBER(G189),G189&gt;0),1,0)</f>
        <v>0</v>
      </c>
      <c r="X189" s="96" t="str">
        <f>IF(H189="","",IFERROR(IF(ISNUMBER(INDEX(cfg_fac,MATCH(H189,cfg_units,0))),IF(INDEX(cfg_fac,MATCH(H189,cfg_units,0))&gt;0,INDEX(cfg_fac,MATCH(H189,cfg_units,0)),""),""),""))</f>
        <v/>
      </c>
      <c r="Y189" s="96">
        <f>IF(AND(W189=1,ISNUMBER(I189)),1,0)</f>
        <v>0</v>
      </c>
      <c r="Z189" s="96">
        <f>IF(U189=1,INDEX('MTRs'!$AA$6:$AA$505,T189),0)</f>
        <v>0</v>
      </c>
      <c r="AA189" s="96">
        <f>IF(R189=0,0,COUNTIFS('RECEBIMENTOS'!$R$6:$R$1005,A189,'RECEBIMENTOS'!$Q$6:$Q$1005,1))</f>
        <v>0</v>
      </c>
      <c r="AB189" s="96">
        <f>IF(R189=0,0,COUNTIFS('RECEBIMENTOS'!$R$6:$R$1005,A189,'RECEBIMENTOS'!$Z$6:$Z$1005,1))</f>
        <v>0</v>
      </c>
      <c r="AC189" s="96">
        <f>IF(R189=0,0,COUNTIFS('RECEBIMENTOS'!$R$6:$R$1005,A189,'RECEBIMENTOS'!$Y$6:$Y$1005,1))</f>
        <v>0</v>
      </c>
      <c r="AD189" s="96">
        <f>IF(R189=0,0,COUNTIFS('VÍNCULOS_CDF'!$R$6:$R$1005,A189,'VÍNCULOS_CDF'!$N$6:$N$1005,1))</f>
        <v>0</v>
      </c>
      <c r="AE189" s="96">
        <f>IF(R189=0,0,COUNTIFS('VÍNCULOS_CDF'!$R$6:$R$1005,A189,'VÍNCULOS_CDF'!$AA$6:$AA$1005,1))</f>
        <v>0</v>
      </c>
      <c r="AF189" s="96">
        <f>IF(R189=0,0,COUNTIFS('VÍNCULOS_CDF'!$R$6:$R$1005,A189,'VÍNCULOS_CDF'!$Y$6:$Y$1005,1))</f>
        <v>0</v>
      </c>
      <c r="AG189" s="96" t="str">
        <f>IF(AND(R189=1,S189&lt;&gt;"",C189&lt;&gt;""),S189&amp;"|"&amp;C189&amp;"|"&amp;G189&amp;"|"&amp;H189,"")</f>
        <v/>
      </c>
      <c r="AH189" s="96">
        <f>IF(AG189="",0,IF(SUMPRODUCT(--($AG$6:$AG$1005=AG189))&gt;1,1,0))</f>
        <v>0</v>
      </c>
      <c r="AI189" s="96">
        <f>IF(R189=0,0,IF(OR(U189=0,V189=0,Y189=0,AND(AH189=1,K189&lt;&gt;"Sim")),1,0))</f>
        <v>0</v>
      </c>
      <c r="AJ189" s="96">
        <f>IF(AND(R189=1,AA189&gt;0,AB189=AA189),1,0)</f>
        <v>0</v>
      </c>
      <c r="AK189" s="96">
        <f>IF(R189=0,0,IF(AA189&gt;0,N(L189),IF(ISNUMBER(I189),I189,0)))</f>
        <v>0</v>
      </c>
      <c r="AL189" s="96">
        <f>IF(R189=0,0,IF(AND(K189&lt;&gt;"Sim",N(M189)&gt;AK189+cfg_tol),1,0))</f>
        <v>0</v>
      </c>
      <c r="AM189" s="96">
        <f>IF(R189=0,0,IF(K189="Sim",0,IF(OR(AND(AA189&gt;0,ISNUMBER(I189),ABS(I189-N(L189))&gt;cfg_tol),AL189=1),1,0)))</f>
        <v>0</v>
      </c>
      <c r="AN189" s="96">
        <f>IF(AND(R189=1,N(M189)&gt;0,OR(N(M189)&gt;=AK189-cfg_tol,K189="Sim")),1,0)</f>
        <v>0</v>
      </c>
      <c r="AO189" s="96">
        <f>IF(AND(AN189=1,AD189&gt;0,AE189=AD189,AL189=0),1,0)</f>
        <v>0</v>
      </c>
      <c r="AP189" s="96">
        <f>IF(U189=0,0,IF(AND(INDEX('MTRs'!$AX$6:$AX$505,T189)=1,Z189=0,OR(f_res="",f_res="(Todos)",C189=f_res)),1,0))</f>
        <v>0</v>
      </c>
      <c r="AQ189" s="97" t="str">
        <f>IF(U189=0,"",INDEX('MTRs'!$AZ$6:$AZ$505,T189))</f>
        <v/>
      </c>
      <c r="AR189" s="96">
        <f>IF(U189=0,0,IF(AND(INDEX('MTRs'!$BA$6:$BA$505,T189)=1,Z189=0),1,0))</f>
        <v>0</v>
      </c>
      <c r="AS189" s="96" t="str">
        <f>IF(R189=1,A189&amp;" | MTR "&amp;IF(U189=1,INDEX('MTRs'!$B$6:$B$505,T189)&amp;"","?")&amp;" | "&amp;IF(C189="","(sem resíduo)",C189),"")</f>
        <v/>
      </c>
      <c r="AT189" s="96" t="str">
        <f>IF(R189=1,COUNTIF($R$6:R189,1),"")</f>
        <v/>
      </c>
      <c r="AU189" s="96" t="str">
        <f>IF(U189=1,INDEX('MTRs'!$I$6:$I$505,T189)&amp;"","")</f>
        <v/>
      </c>
    </row>
    <row r="190">
      <c r="A190" s="89" t="inlineStr">
        <is>
          <t>IT-000185</t>
        </is>
      </c>
      <c r="B190" s="91" t="n"/>
      <c r="C190" s="91" t="n"/>
      <c r="D190" s="94" t="str">
        <f>IF(OR(R190=0,V190=0),"",INDEX('CAD_RESÍDUOS'!$E$6:$E$205,MATCH(C190,'CAD_RESÍDUOS'!$B$6:$B$205,0))&amp;"")</f>
        <v/>
      </c>
      <c r="E190" s="94" t="str">
        <f>IF(OR(R190=0,V190=0),"",INDEX('CAD_RESÍDUOS'!$C$6:$C$205,MATCH(C190,'CAD_RESÍDUOS'!$B$6:$B$205,0))&amp;"")</f>
        <v/>
      </c>
      <c r="F190" s="94" t="str">
        <f>IF(OR(R190=0,V190=0),"",INDEX('CAD_RESÍDUOS'!$G$6:$G$205,MATCH(C190,'CAD_RESÍDUOS'!$B$6:$B$205,0))&amp;"")</f>
        <v/>
      </c>
      <c r="G190" s="98" t="n"/>
      <c r="H190" s="91" t="n"/>
      <c r="I190" s="93" t="str">
        <f>IF(R190=0,"",IF(NOT(ISNUMBER(G190)),"",IF(ISNUMBER(X190),G190*X190,"UNIDADE A CONFERIR")))</f>
        <v/>
      </c>
      <c r="J190" s="91" t="n"/>
      <c r="K190" s="91" t="n"/>
      <c r="L190" s="93" t="str">
        <f>IF(R190=0,"",SUMIFS('RECEBIMENTOS'!$H$6:$H$1005,'RECEBIMENTOS'!$R$6:$R$1005,A190,'RECEBIMENTOS'!$X$6:$X$1005,1))</f>
        <v/>
      </c>
      <c r="M190" s="93" t="str">
        <f>IF(R190=0,"",SUMIFS('VÍNCULOS_CDF'!$H$6:$H$1005,'VÍNCULOS_CDF'!$R$6:$R$1005,A190,'VÍNCULOS_CDF'!$V$6:$V$1005,1))</f>
        <v/>
      </c>
      <c r="N190" s="99" t="str">
        <f>IF(OR(R190=0,AA190=0,NOT(ISNUMBER(I190))),"",I190-N(L190))</f>
        <v/>
      </c>
      <c r="O190" s="100" t="str">
        <f>IF(OR(R190=0,AK190&lt;=0),"",N(M190)/AK190)</f>
        <v/>
      </c>
      <c r="P190" s="94" t="str">
        <f>IF(R190=0,"",IF(S190="","Sem MTR associado",IF(U190=0,"MTR inexistente",IF(C190="","Resíduo não identificado",IF(V190=0,"Resíduo fora do cadastro",IF(W190=0,"Quantidade inválida",IF(H190="","Unidade não informada",IF(NOT(ISNUMBER(I190)),"Unidade a conferir",IF(AND(AH190=1,K190&lt;&gt;"Sim"),"Possível duplicidade",IF(Z190=1,"MTR cancelado",IF(AC190&gt;0,"Recebimento com alerta",IF(AA190=0,"Aguardando recebimento",IF(AB190&lt;AA190,"Recebimento a conferir",IF(AM190=1,"Quantidade a revisar",IF(AF190&gt;0,"Vínculo a revisar",IF(AD190=0,"Aguardando CDF",IF(AN190=0,"Vínculo de CDF parcial",IF(AE190&lt;AD190,"CDF a conferir","Documentação conferida"))))))))))))))))))</f>
        <v/>
      </c>
      <c r="Q190" s="93" t="str">
        <f>IF(OR(R190=0,AA190=0),"",MAX(0,N(L190)-N(M190)))</f>
        <v/>
      </c>
      <c r="R190" s="96">
        <f>IF(COUNTA(B190:C190,G190:H190,J190:K190)&gt;0,1,0)</f>
        <v>0</v>
      </c>
      <c r="S190" s="96" t="str">
        <f>IF(B190="","",TRIM(LEFT(B190,FIND(" |",B190&amp;" |")-1)))</f>
        <v/>
      </c>
      <c r="T190" s="96" t="str">
        <f>IF(S190="","",IFERROR(MATCH(S190,'MTRs'!$A$6:$A$505,0),""))</f>
        <v/>
      </c>
      <c r="U190" s="96">
        <f>IF(T190="",0,IF(INDEX('MTRs'!$Z$6:$Z$505,T190)=1,1,0))</f>
        <v>0</v>
      </c>
      <c r="V190" s="96">
        <f>IF(C190="",0,IF(ISNUMBER(MATCH(C190,'CAD_RESÍDUOS'!$B$6:$B$205,0)),1,0))</f>
        <v>0</v>
      </c>
      <c r="W190" s="96">
        <f>IF(AND(ISNUMBER(G190),G190&gt;0),1,0)</f>
        <v>0</v>
      </c>
      <c r="X190" s="96" t="str">
        <f>IF(H190="","",IFERROR(IF(ISNUMBER(INDEX(cfg_fac,MATCH(H190,cfg_units,0))),IF(INDEX(cfg_fac,MATCH(H190,cfg_units,0))&gt;0,INDEX(cfg_fac,MATCH(H190,cfg_units,0)),""),""),""))</f>
        <v/>
      </c>
      <c r="Y190" s="96">
        <f>IF(AND(W190=1,ISNUMBER(I190)),1,0)</f>
        <v>0</v>
      </c>
      <c r="Z190" s="96">
        <f>IF(U190=1,INDEX('MTRs'!$AA$6:$AA$505,T190),0)</f>
        <v>0</v>
      </c>
      <c r="AA190" s="96">
        <f>IF(R190=0,0,COUNTIFS('RECEBIMENTOS'!$R$6:$R$1005,A190,'RECEBIMENTOS'!$Q$6:$Q$1005,1))</f>
        <v>0</v>
      </c>
      <c r="AB190" s="96">
        <f>IF(R190=0,0,COUNTIFS('RECEBIMENTOS'!$R$6:$R$1005,A190,'RECEBIMENTOS'!$Z$6:$Z$1005,1))</f>
        <v>0</v>
      </c>
      <c r="AC190" s="96">
        <f>IF(R190=0,0,COUNTIFS('RECEBIMENTOS'!$R$6:$R$1005,A190,'RECEBIMENTOS'!$Y$6:$Y$1005,1))</f>
        <v>0</v>
      </c>
      <c r="AD190" s="96">
        <f>IF(R190=0,0,COUNTIFS('VÍNCULOS_CDF'!$R$6:$R$1005,A190,'VÍNCULOS_CDF'!$N$6:$N$1005,1))</f>
        <v>0</v>
      </c>
      <c r="AE190" s="96">
        <f>IF(R190=0,0,COUNTIFS('VÍNCULOS_CDF'!$R$6:$R$1005,A190,'VÍNCULOS_CDF'!$AA$6:$AA$1005,1))</f>
        <v>0</v>
      </c>
      <c r="AF190" s="96">
        <f>IF(R190=0,0,COUNTIFS('VÍNCULOS_CDF'!$R$6:$R$1005,A190,'VÍNCULOS_CDF'!$Y$6:$Y$1005,1))</f>
        <v>0</v>
      </c>
      <c r="AG190" s="96" t="str">
        <f>IF(AND(R190=1,S190&lt;&gt;"",C190&lt;&gt;""),S190&amp;"|"&amp;C190&amp;"|"&amp;G190&amp;"|"&amp;H190,"")</f>
        <v/>
      </c>
      <c r="AH190" s="96">
        <f>IF(AG190="",0,IF(SUMPRODUCT(--($AG$6:$AG$1005=AG190))&gt;1,1,0))</f>
        <v>0</v>
      </c>
      <c r="AI190" s="96">
        <f>IF(R190=0,0,IF(OR(U190=0,V190=0,Y190=0,AND(AH190=1,K190&lt;&gt;"Sim")),1,0))</f>
        <v>0</v>
      </c>
      <c r="AJ190" s="96">
        <f>IF(AND(R190=1,AA190&gt;0,AB190=AA190),1,0)</f>
        <v>0</v>
      </c>
      <c r="AK190" s="96">
        <f>IF(R190=0,0,IF(AA190&gt;0,N(L190),IF(ISNUMBER(I190),I190,0)))</f>
        <v>0</v>
      </c>
      <c r="AL190" s="96">
        <f>IF(R190=0,0,IF(AND(K190&lt;&gt;"Sim",N(M190)&gt;AK190+cfg_tol),1,0))</f>
        <v>0</v>
      </c>
      <c r="AM190" s="96">
        <f>IF(R190=0,0,IF(K190="Sim",0,IF(OR(AND(AA190&gt;0,ISNUMBER(I190),ABS(I190-N(L190))&gt;cfg_tol),AL190=1),1,0)))</f>
        <v>0</v>
      </c>
      <c r="AN190" s="96">
        <f>IF(AND(R190=1,N(M190)&gt;0,OR(N(M190)&gt;=AK190-cfg_tol,K190="Sim")),1,0)</f>
        <v>0</v>
      </c>
      <c r="AO190" s="96">
        <f>IF(AND(AN190=1,AD190&gt;0,AE190=AD190,AL190=0),1,0)</f>
        <v>0</v>
      </c>
      <c r="AP190" s="96">
        <f>IF(U190=0,0,IF(AND(INDEX('MTRs'!$AX$6:$AX$505,T190)=1,Z190=0,OR(f_res="",f_res="(Todos)",C190=f_res)),1,0))</f>
        <v>0</v>
      </c>
      <c r="AQ190" s="97" t="str">
        <f>IF(U190=0,"",INDEX('MTRs'!$AZ$6:$AZ$505,T190))</f>
        <v/>
      </c>
      <c r="AR190" s="96">
        <f>IF(U190=0,0,IF(AND(INDEX('MTRs'!$BA$6:$BA$505,T190)=1,Z190=0),1,0))</f>
        <v>0</v>
      </c>
      <c r="AS190" s="96" t="str">
        <f>IF(R190=1,A190&amp;" | MTR "&amp;IF(U190=1,INDEX('MTRs'!$B$6:$B$505,T190)&amp;"","?")&amp;" | "&amp;IF(C190="","(sem resíduo)",C190),"")</f>
        <v/>
      </c>
      <c r="AT190" s="96" t="str">
        <f>IF(R190=1,COUNTIF($R$6:R190,1),"")</f>
        <v/>
      </c>
      <c r="AU190" s="96" t="str">
        <f>IF(U190=1,INDEX('MTRs'!$I$6:$I$505,T190)&amp;"","")</f>
        <v/>
      </c>
    </row>
    <row r="191">
      <c r="A191" s="89" t="inlineStr">
        <is>
          <t>IT-000186</t>
        </is>
      </c>
      <c r="B191" s="91" t="n"/>
      <c r="C191" s="91" t="n"/>
      <c r="D191" s="94" t="str">
        <f>IF(OR(R191=0,V191=0),"",INDEX('CAD_RESÍDUOS'!$E$6:$E$205,MATCH(C191,'CAD_RESÍDUOS'!$B$6:$B$205,0))&amp;"")</f>
        <v/>
      </c>
      <c r="E191" s="94" t="str">
        <f>IF(OR(R191=0,V191=0),"",INDEX('CAD_RESÍDUOS'!$C$6:$C$205,MATCH(C191,'CAD_RESÍDUOS'!$B$6:$B$205,0))&amp;"")</f>
        <v/>
      </c>
      <c r="F191" s="94" t="str">
        <f>IF(OR(R191=0,V191=0),"",INDEX('CAD_RESÍDUOS'!$G$6:$G$205,MATCH(C191,'CAD_RESÍDUOS'!$B$6:$B$205,0))&amp;"")</f>
        <v/>
      </c>
      <c r="G191" s="98" t="n"/>
      <c r="H191" s="91" t="n"/>
      <c r="I191" s="93" t="str">
        <f>IF(R191=0,"",IF(NOT(ISNUMBER(G191)),"",IF(ISNUMBER(X191),G191*X191,"UNIDADE A CONFERIR")))</f>
        <v/>
      </c>
      <c r="J191" s="91" t="n"/>
      <c r="K191" s="91" t="n"/>
      <c r="L191" s="93" t="str">
        <f>IF(R191=0,"",SUMIFS('RECEBIMENTOS'!$H$6:$H$1005,'RECEBIMENTOS'!$R$6:$R$1005,A191,'RECEBIMENTOS'!$X$6:$X$1005,1))</f>
        <v/>
      </c>
      <c r="M191" s="93" t="str">
        <f>IF(R191=0,"",SUMIFS('VÍNCULOS_CDF'!$H$6:$H$1005,'VÍNCULOS_CDF'!$R$6:$R$1005,A191,'VÍNCULOS_CDF'!$V$6:$V$1005,1))</f>
        <v/>
      </c>
      <c r="N191" s="99" t="str">
        <f>IF(OR(R191=0,AA191=0,NOT(ISNUMBER(I191))),"",I191-N(L191))</f>
        <v/>
      </c>
      <c r="O191" s="100" t="str">
        <f>IF(OR(R191=0,AK191&lt;=0),"",N(M191)/AK191)</f>
        <v/>
      </c>
      <c r="P191" s="94" t="str">
        <f>IF(R191=0,"",IF(S191="","Sem MTR associado",IF(U191=0,"MTR inexistente",IF(C191="","Resíduo não identificado",IF(V191=0,"Resíduo fora do cadastro",IF(W191=0,"Quantidade inválida",IF(H191="","Unidade não informada",IF(NOT(ISNUMBER(I191)),"Unidade a conferir",IF(AND(AH191=1,K191&lt;&gt;"Sim"),"Possível duplicidade",IF(Z191=1,"MTR cancelado",IF(AC191&gt;0,"Recebimento com alerta",IF(AA191=0,"Aguardando recebimento",IF(AB191&lt;AA191,"Recebimento a conferir",IF(AM191=1,"Quantidade a revisar",IF(AF191&gt;0,"Vínculo a revisar",IF(AD191=0,"Aguardando CDF",IF(AN191=0,"Vínculo de CDF parcial",IF(AE191&lt;AD191,"CDF a conferir","Documentação conferida"))))))))))))))))))</f>
        <v/>
      </c>
      <c r="Q191" s="93" t="str">
        <f>IF(OR(R191=0,AA191=0),"",MAX(0,N(L191)-N(M191)))</f>
        <v/>
      </c>
      <c r="R191" s="96">
        <f>IF(COUNTA(B191:C191,G191:H191,J191:K191)&gt;0,1,0)</f>
        <v>0</v>
      </c>
      <c r="S191" s="96" t="str">
        <f>IF(B191="","",TRIM(LEFT(B191,FIND(" |",B191&amp;" |")-1)))</f>
        <v/>
      </c>
      <c r="T191" s="96" t="str">
        <f>IF(S191="","",IFERROR(MATCH(S191,'MTRs'!$A$6:$A$505,0),""))</f>
        <v/>
      </c>
      <c r="U191" s="96">
        <f>IF(T191="",0,IF(INDEX('MTRs'!$Z$6:$Z$505,T191)=1,1,0))</f>
        <v>0</v>
      </c>
      <c r="V191" s="96">
        <f>IF(C191="",0,IF(ISNUMBER(MATCH(C191,'CAD_RESÍDUOS'!$B$6:$B$205,0)),1,0))</f>
        <v>0</v>
      </c>
      <c r="W191" s="96">
        <f>IF(AND(ISNUMBER(G191),G191&gt;0),1,0)</f>
        <v>0</v>
      </c>
      <c r="X191" s="96" t="str">
        <f>IF(H191="","",IFERROR(IF(ISNUMBER(INDEX(cfg_fac,MATCH(H191,cfg_units,0))),IF(INDEX(cfg_fac,MATCH(H191,cfg_units,0))&gt;0,INDEX(cfg_fac,MATCH(H191,cfg_units,0)),""),""),""))</f>
        <v/>
      </c>
      <c r="Y191" s="96">
        <f>IF(AND(W191=1,ISNUMBER(I191)),1,0)</f>
        <v>0</v>
      </c>
      <c r="Z191" s="96">
        <f>IF(U191=1,INDEX('MTRs'!$AA$6:$AA$505,T191),0)</f>
        <v>0</v>
      </c>
      <c r="AA191" s="96">
        <f>IF(R191=0,0,COUNTIFS('RECEBIMENTOS'!$R$6:$R$1005,A191,'RECEBIMENTOS'!$Q$6:$Q$1005,1))</f>
        <v>0</v>
      </c>
      <c r="AB191" s="96">
        <f>IF(R191=0,0,COUNTIFS('RECEBIMENTOS'!$R$6:$R$1005,A191,'RECEBIMENTOS'!$Z$6:$Z$1005,1))</f>
        <v>0</v>
      </c>
      <c r="AC191" s="96">
        <f>IF(R191=0,0,COUNTIFS('RECEBIMENTOS'!$R$6:$R$1005,A191,'RECEBIMENTOS'!$Y$6:$Y$1005,1))</f>
        <v>0</v>
      </c>
      <c r="AD191" s="96">
        <f>IF(R191=0,0,COUNTIFS('VÍNCULOS_CDF'!$R$6:$R$1005,A191,'VÍNCULOS_CDF'!$N$6:$N$1005,1))</f>
        <v>0</v>
      </c>
      <c r="AE191" s="96">
        <f>IF(R191=0,0,COUNTIFS('VÍNCULOS_CDF'!$R$6:$R$1005,A191,'VÍNCULOS_CDF'!$AA$6:$AA$1005,1))</f>
        <v>0</v>
      </c>
      <c r="AF191" s="96">
        <f>IF(R191=0,0,COUNTIFS('VÍNCULOS_CDF'!$R$6:$R$1005,A191,'VÍNCULOS_CDF'!$Y$6:$Y$1005,1))</f>
        <v>0</v>
      </c>
      <c r="AG191" s="96" t="str">
        <f>IF(AND(R191=1,S191&lt;&gt;"",C191&lt;&gt;""),S191&amp;"|"&amp;C191&amp;"|"&amp;G191&amp;"|"&amp;H191,"")</f>
        <v/>
      </c>
      <c r="AH191" s="96">
        <f>IF(AG191="",0,IF(SUMPRODUCT(--($AG$6:$AG$1005=AG191))&gt;1,1,0))</f>
        <v>0</v>
      </c>
      <c r="AI191" s="96">
        <f>IF(R191=0,0,IF(OR(U191=0,V191=0,Y191=0,AND(AH191=1,K191&lt;&gt;"Sim")),1,0))</f>
        <v>0</v>
      </c>
      <c r="AJ191" s="96">
        <f>IF(AND(R191=1,AA191&gt;0,AB191=AA191),1,0)</f>
        <v>0</v>
      </c>
      <c r="AK191" s="96">
        <f>IF(R191=0,0,IF(AA191&gt;0,N(L191),IF(ISNUMBER(I191),I191,0)))</f>
        <v>0</v>
      </c>
      <c r="AL191" s="96">
        <f>IF(R191=0,0,IF(AND(K191&lt;&gt;"Sim",N(M191)&gt;AK191+cfg_tol),1,0))</f>
        <v>0</v>
      </c>
      <c r="AM191" s="96">
        <f>IF(R191=0,0,IF(K191="Sim",0,IF(OR(AND(AA191&gt;0,ISNUMBER(I191),ABS(I191-N(L191))&gt;cfg_tol),AL191=1),1,0)))</f>
        <v>0</v>
      </c>
      <c r="AN191" s="96">
        <f>IF(AND(R191=1,N(M191)&gt;0,OR(N(M191)&gt;=AK191-cfg_tol,K191="Sim")),1,0)</f>
        <v>0</v>
      </c>
      <c r="AO191" s="96">
        <f>IF(AND(AN191=1,AD191&gt;0,AE191=AD191,AL191=0),1,0)</f>
        <v>0</v>
      </c>
      <c r="AP191" s="96">
        <f>IF(U191=0,0,IF(AND(INDEX('MTRs'!$AX$6:$AX$505,T191)=1,Z191=0,OR(f_res="",f_res="(Todos)",C191=f_res)),1,0))</f>
        <v>0</v>
      </c>
      <c r="AQ191" s="97" t="str">
        <f>IF(U191=0,"",INDEX('MTRs'!$AZ$6:$AZ$505,T191))</f>
        <v/>
      </c>
      <c r="AR191" s="96">
        <f>IF(U191=0,0,IF(AND(INDEX('MTRs'!$BA$6:$BA$505,T191)=1,Z191=0),1,0))</f>
        <v>0</v>
      </c>
      <c r="AS191" s="96" t="str">
        <f>IF(R191=1,A191&amp;" | MTR "&amp;IF(U191=1,INDEX('MTRs'!$B$6:$B$505,T191)&amp;"","?")&amp;" | "&amp;IF(C191="","(sem resíduo)",C191),"")</f>
        <v/>
      </c>
      <c r="AT191" s="96" t="str">
        <f>IF(R191=1,COUNTIF($R$6:R191,1),"")</f>
        <v/>
      </c>
      <c r="AU191" s="96" t="str">
        <f>IF(U191=1,INDEX('MTRs'!$I$6:$I$505,T191)&amp;"","")</f>
        <v/>
      </c>
    </row>
    <row r="192">
      <c r="A192" s="89" t="inlineStr">
        <is>
          <t>IT-000187</t>
        </is>
      </c>
      <c r="B192" s="91" t="n"/>
      <c r="C192" s="91" t="n"/>
      <c r="D192" s="94" t="str">
        <f>IF(OR(R192=0,V192=0),"",INDEX('CAD_RESÍDUOS'!$E$6:$E$205,MATCH(C192,'CAD_RESÍDUOS'!$B$6:$B$205,0))&amp;"")</f>
        <v/>
      </c>
      <c r="E192" s="94" t="str">
        <f>IF(OR(R192=0,V192=0),"",INDEX('CAD_RESÍDUOS'!$C$6:$C$205,MATCH(C192,'CAD_RESÍDUOS'!$B$6:$B$205,0))&amp;"")</f>
        <v/>
      </c>
      <c r="F192" s="94" t="str">
        <f>IF(OR(R192=0,V192=0),"",INDEX('CAD_RESÍDUOS'!$G$6:$G$205,MATCH(C192,'CAD_RESÍDUOS'!$B$6:$B$205,0))&amp;"")</f>
        <v/>
      </c>
      <c r="G192" s="98" t="n"/>
      <c r="H192" s="91" t="n"/>
      <c r="I192" s="93" t="str">
        <f>IF(R192=0,"",IF(NOT(ISNUMBER(G192)),"",IF(ISNUMBER(X192),G192*X192,"UNIDADE A CONFERIR")))</f>
        <v/>
      </c>
      <c r="J192" s="91" t="n"/>
      <c r="K192" s="91" t="n"/>
      <c r="L192" s="93" t="str">
        <f>IF(R192=0,"",SUMIFS('RECEBIMENTOS'!$H$6:$H$1005,'RECEBIMENTOS'!$R$6:$R$1005,A192,'RECEBIMENTOS'!$X$6:$X$1005,1))</f>
        <v/>
      </c>
      <c r="M192" s="93" t="str">
        <f>IF(R192=0,"",SUMIFS('VÍNCULOS_CDF'!$H$6:$H$1005,'VÍNCULOS_CDF'!$R$6:$R$1005,A192,'VÍNCULOS_CDF'!$V$6:$V$1005,1))</f>
        <v/>
      </c>
      <c r="N192" s="99" t="str">
        <f>IF(OR(R192=0,AA192=0,NOT(ISNUMBER(I192))),"",I192-N(L192))</f>
        <v/>
      </c>
      <c r="O192" s="100" t="str">
        <f>IF(OR(R192=0,AK192&lt;=0),"",N(M192)/AK192)</f>
        <v/>
      </c>
      <c r="P192" s="94" t="str">
        <f>IF(R192=0,"",IF(S192="","Sem MTR associado",IF(U192=0,"MTR inexistente",IF(C192="","Resíduo não identificado",IF(V192=0,"Resíduo fora do cadastro",IF(W192=0,"Quantidade inválida",IF(H192="","Unidade não informada",IF(NOT(ISNUMBER(I192)),"Unidade a conferir",IF(AND(AH192=1,K192&lt;&gt;"Sim"),"Possível duplicidade",IF(Z192=1,"MTR cancelado",IF(AC192&gt;0,"Recebimento com alerta",IF(AA192=0,"Aguardando recebimento",IF(AB192&lt;AA192,"Recebimento a conferir",IF(AM192=1,"Quantidade a revisar",IF(AF192&gt;0,"Vínculo a revisar",IF(AD192=0,"Aguardando CDF",IF(AN192=0,"Vínculo de CDF parcial",IF(AE192&lt;AD192,"CDF a conferir","Documentação conferida"))))))))))))))))))</f>
        <v/>
      </c>
      <c r="Q192" s="93" t="str">
        <f>IF(OR(R192=0,AA192=0),"",MAX(0,N(L192)-N(M192)))</f>
        <v/>
      </c>
      <c r="R192" s="96">
        <f>IF(COUNTA(B192:C192,G192:H192,J192:K192)&gt;0,1,0)</f>
        <v>0</v>
      </c>
      <c r="S192" s="96" t="str">
        <f>IF(B192="","",TRIM(LEFT(B192,FIND(" |",B192&amp;" |")-1)))</f>
        <v/>
      </c>
      <c r="T192" s="96" t="str">
        <f>IF(S192="","",IFERROR(MATCH(S192,'MTRs'!$A$6:$A$505,0),""))</f>
        <v/>
      </c>
      <c r="U192" s="96">
        <f>IF(T192="",0,IF(INDEX('MTRs'!$Z$6:$Z$505,T192)=1,1,0))</f>
        <v>0</v>
      </c>
      <c r="V192" s="96">
        <f>IF(C192="",0,IF(ISNUMBER(MATCH(C192,'CAD_RESÍDUOS'!$B$6:$B$205,0)),1,0))</f>
        <v>0</v>
      </c>
      <c r="W192" s="96">
        <f>IF(AND(ISNUMBER(G192),G192&gt;0),1,0)</f>
        <v>0</v>
      </c>
      <c r="X192" s="96" t="str">
        <f>IF(H192="","",IFERROR(IF(ISNUMBER(INDEX(cfg_fac,MATCH(H192,cfg_units,0))),IF(INDEX(cfg_fac,MATCH(H192,cfg_units,0))&gt;0,INDEX(cfg_fac,MATCH(H192,cfg_units,0)),""),""),""))</f>
        <v/>
      </c>
      <c r="Y192" s="96">
        <f>IF(AND(W192=1,ISNUMBER(I192)),1,0)</f>
        <v>0</v>
      </c>
      <c r="Z192" s="96">
        <f>IF(U192=1,INDEX('MTRs'!$AA$6:$AA$505,T192),0)</f>
        <v>0</v>
      </c>
      <c r="AA192" s="96">
        <f>IF(R192=0,0,COUNTIFS('RECEBIMENTOS'!$R$6:$R$1005,A192,'RECEBIMENTOS'!$Q$6:$Q$1005,1))</f>
        <v>0</v>
      </c>
      <c r="AB192" s="96">
        <f>IF(R192=0,0,COUNTIFS('RECEBIMENTOS'!$R$6:$R$1005,A192,'RECEBIMENTOS'!$Z$6:$Z$1005,1))</f>
        <v>0</v>
      </c>
      <c r="AC192" s="96">
        <f>IF(R192=0,0,COUNTIFS('RECEBIMENTOS'!$R$6:$R$1005,A192,'RECEBIMENTOS'!$Y$6:$Y$1005,1))</f>
        <v>0</v>
      </c>
      <c r="AD192" s="96">
        <f>IF(R192=0,0,COUNTIFS('VÍNCULOS_CDF'!$R$6:$R$1005,A192,'VÍNCULOS_CDF'!$N$6:$N$1005,1))</f>
        <v>0</v>
      </c>
      <c r="AE192" s="96">
        <f>IF(R192=0,0,COUNTIFS('VÍNCULOS_CDF'!$R$6:$R$1005,A192,'VÍNCULOS_CDF'!$AA$6:$AA$1005,1))</f>
        <v>0</v>
      </c>
      <c r="AF192" s="96">
        <f>IF(R192=0,0,COUNTIFS('VÍNCULOS_CDF'!$R$6:$R$1005,A192,'VÍNCULOS_CDF'!$Y$6:$Y$1005,1))</f>
        <v>0</v>
      </c>
      <c r="AG192" s="96" t="str">
        <f>IF(AND(R192=1,S192&lt;&gt;"",C192&lt;&gt;""),S192&amp;"|"&amp;C192&amp;"|"&amp;G192&amp;"|"&amp;H192,"")</f>
        <v/>
      </c>
      <c r="AH192" s="96">
        <f>IF(AG192="",0,IF(SUMPRODUCT(--($AG$6:$AG$1005=AG192))&gt;1,1,0))</f>
        <v>0</v>
      </c>
      <c r="AI192" s="96">
        <f>IF(R192=0,0,IF(OR(U192=0,V192=0,Y192=0,AND(AH192=1,K192&lt;&gt;"Sim")),1,0))</f>
        <v>0</v>
      </c>
      <c r="AJ192" s="96">
        <f>IF(AND(R192=1,AA192&gt;0,AB192=AA192),1,0)</f>
        <v>0</v>
      </c>
      <c r="AK192" s="96">
        <f>IF(R192=0,0,IF(AA192&gt;0,N(L192),IF(ISNUMBER(I192),I192,0)))</f>
        <v>0</v>
      </c>
      <c r="AL192" s="96">
        <f>IF(R192=0,0,IF(AND(K192&lt;&gt;"Sim",N(M192)&gt;AK192+cfg_tol),1,0))</f>
        <v>0</v>
      </c>
      <c r="AM192" s="96">
        <f>IF(R192=0,0,IF(K192="Sim",0,IF(OR(AND(AA192&gt;0,ISNUMBER(I192),ABS(I192-N(L192))&gt;cfg_tol),AL192=1),1,0)))</f>
        <v>0</v>
      </c>
      <c r="AN192" s="96">
        <f>IF(AND(R192=1,N(M192)&gt;0,OR(N(M192)&gt;=AK192-cfg_tol,K192="Sim")),1,0)</f>
        <v>0</v>
      </c>
      <c r="AO192" s="96">
        <f>IF(AND(AN192=1,AD192&gt;0,AE192=AD192,AL192=0),1,0)</f>
        <v>0</v>
      </c>
      <c r="AP192" s="96">
        <f>IF(U192=0,0,IF(AND(INDEX('MTRs'!$AX$6:$AX$505,T192)=1,Z192=0,OR(f_res="",f_res="(Todos)",C192=f_res)),1,0))</f>
        <v>0</v>
      </c>
      <c r="AQ192" s="97" t="str">
        <f>IF(U192=0,"",INDEX('MTRs'!$AZ$6:$AZ$505,T192))</f>
        <v/>
      </c>
      <c r="AR192" s="96">
        <f>IF(U192=0,0,IF(AND(INDEX('MTRs'!$BA$6:$BA$505,T192)=1,Z192=0),1,0))</f>
        <v>0</v>
      </c>
      <c r="AS192" s="96" t="str">
        <f>IF(R192=1,A192&amp;" | MTR "&amp;IF(U192=1,INDEX('MTRs'!$B$6:$B$505,T192)&amp;"","?")&amp;" | "&amp;IF(C192="","(sem resíduo)",C192),"")</f>
        <v/>
      </c>
      <c r="AT192" s="96" t="str">
        <f>IF(R192=1,COUNTIF($R$6:R192,1),"")</f>
        <v/>
      </c>
      <c r="AU192" s="96" t="str">
        <f>IF(U192=1,INDEX('MTRs'!$I$6:$I$505,T192)&amp;"","")</f>
        <v/>
      </c>
    </row>
    <row r="193">
      <c r="A193" s="89" t="inlineStr">
        <is>
          <t>IT-000188</t>
        </is>
      </c>
      <c r="B193" s="91" t="n"/>
      <c r="C193" s="91" t="n"/>
      <c r="D193" s="94" t="str">
        <f>IF(OR(R193=0,V193=0),"",INDEX('CAD_RESÍDUOS'!$E$6:$E$205,MATCH(C193,'CAD_RESÍDUOS'!$B$6:$B$205,0))&amp;"")</f>
        <v/>
      </c>
      <c r="E193" s="94" t="str">
        <f>IF(OR(R193=0,V193=0),"",INDEX('CAD_RESÍDUOS'!$C$6:$C$205,MATCH(C193,'CAD_RESÍDUOS'!$B$6:$B$205,0))&amp;"")</f>
        <v/>
      </c>
      <c r="F193" s="94" t="str">
        <f>IF(OR(R193=0,V193=0),"",INDEX('CAD_RESÍDUOS'!$G$6:$G$205,MATCH(C193,'CAD_RESÍDUOS'!$B$6:$B$205,0))&amp;"")</f>
        <v/>
      </c>
      <c r="G193" s="98" t="n"/>
      <c r="H193" s="91" t="n"/>
      <c r="I193" s="93" t="str">
        <f>IF(R193=0,"",IF(NOT(ISNUMBER(G193)),"",IF(ISNUMBER(X193),G193*X193,"UNIDADE A CONFERIR")))</f>
        <v/>
      </c>
      <c r="J193" s="91" t="n"/>
      <c r="K193" s="91" t="n"/>
      <c r="L193" s="93" t="str">
        <f>IF(R193=0,"",SUMIFS('RECEBIMENTOS'!$H$6:$H$1005,'RECEBIMENTOS'!$R$6:$R$1005,A193,'RECEBIMENTOS'!$X$6:$X$1005,1))</f>
        <v/>
      </c>
      <c r="M193" s="93" t="str">
        <f>IF(R193=0,"",SUMIFS('VÍNCULOS_CDF'!$H$6:$H$1005,'VÍNCULOS_CDF'!$R$6:$R$1005,A193,'VÍNCULOS_CDF'!$V$6:$V$1005,1))</f>
        <v/>
      </c>
      <c r="N193" s="99" t="str">
        <f>IF(OR(R193=0,AA193=0,NOT(ISNUMBER(I193))),"",I193-N(L193))</f>
        <v/>
      </c>
      <c r="O193" s="100" t="str">
        <f>IF(OR(R193=0,AK193&lt;=0),"",N(M193)/AK193)</f>
        <v/>
      </c>
      <c r="P193" s="94" t="str">
        <f>IF(R193=0,"",IF(S193="","Sem MTR associado",IF(U193=0,"MTR inexistente",IF(C193="","Resíduo não identificado",IF(V193=0,"Resíduo fora do cadastro",IF(W193=0,"Quantidade inválida",IF(H193="","Unidade não informada",IF(NOT(ISNUMBER(I193)),"Unidade a conferir",IF(AND(AH193=1,K193&lt;&gt;"Sim"),"Possível duplicidade",IF(Z193=1,"MTR cancelado",IF(AC193&gt;0,"Recebimento com alerta",IF(AA193=0,"Aguardando recebimento",IF(AB193&lt;AA193,"Recebimento a conferir",IF(AM193=1,"Quantidade a revisar",IF(AF193&gt;0,"Vínculo a revisar",IF(AD193=0,"Aguardando CDF",IF(AN193=0,"Vínculo de CDF parcial",IF(AE193&lt;AD193,"CDF a conferir","Documentação conferida"))))))))))))))))))</f>
        <v/>
      </c>
      <c r="Q193" s="93" t="str">
        <f>IF(OR(R193=0,AA193=0),"",MAX(0,N(L193)-N(M193)))</f>
        <v/>
      </c>
      <c r="R193" s="96">
        <f>IF(COUNTA(B193:C193,G193:H193,J193:K193)&gt;0,1,0)</f>
        <v>0</v>
      </c>
      <c r="S193" s="96" t="str">
        <f>IF(B193="","",TRIM(LEFT(B193,FIND(" |",B193&amp;" |")-1)))</f>
        <v/>
      </c>
      <c r="T193" s="96" t="str">
        <f>IF(S193="","",IFERROR(MATCH(S193,'MTRs'!$A$6:$A$505,0),""))</f>
        <v/>
      </c>
      <c r="U193" s="96">
        <f>IF(T193="",0,IF(INDEX('MTRs'!$Z$6:$Z$505,T193)=1,1,0))</f>
        <v>0</v>
      </c>
      <c r="V193" s="96">
        <f>IF(C193="",0,IF(ISNUMBER(MATCH(C193,'CAD_RESÍDUOS'!$B$6:$B$205,0)),1,0))</f>
        <v>0</v>
      </c>
      <c r="W193" s="96">
        <f>IF(AND(ISNUMBER(G193),G193&gt;0),1,0)</f>
        <v>0</v>
      </c>
      <c r="X193" s="96" t="str">
        <f>IF(H193="","",IFERROR(IF(ISNUMBER(INDEX(cfg_fac,MATCH(H193,cfg_units,0))),IF(INDEX(cfg_fac,MATCH(H193,cfg_units,0))&gt;0,INDEX(cfg_fac,MATCH(H193,cfg_units,0)),""),""),""))</f>
        <v/>
      </c>
      <c r="Y193" s="96">
        <f>IF(AND(W193=1,ISNUMBER(I193)),1,0)</f>
        <v>0</v>
      </c>
      <c r="Z193" s="96">
        <f>IF(U193=1,INDEX('MTRs'!$AA$6:$AA$505,T193),0)</f>
        <v>0</v>
      </c>
      <c r="AA193" s="96">
        <f>IF(R193=0,0,COUNTIFS('RECEBIMENTOS'!$R$6:$R$1005,A193,'RECEBIMENTOS'!$Q$6:$Q$1005,1))</f>
        <v>0</v>
      </c>
      <c r="AB193" s="96">
        <f>IF(R193=0,0,COUNTIFS('RECEBIMENTOS'!$R$6:$R$1005,A193,'RECEBIMENTOS'!$Z$6:$Z$1005,1))</f>
        <v>0</v>
      </c>
      <c r="AC193" s="96">
        <f>IF(R193=0,0,COUNTIFS('RECEBIMENTOS'!$R$6:$R$1005,A193,'RECEBIMENTOS'!$Y$6:$Y$1005,1))</f>
        <v>0</v>
      </c>
      <c r="AD193" s="96">
        <f>IF(R193=0,0,COUNTIFS('VÍNCULOS_CDF'!$R$6:$R$1005,A193,'VÍNCULOS_CDF'!$N$6:$N$1005,1))</f>
        <v>0</v>
      </c>
      <c r="AE193" s="96">
        <f>IF(R193=0,0,COUNTIFS('VÍNCULOS_CDF'!$R$6:$R$1005,A193,'VÍNCULOS_CDF'!$AA$6:$AA$1005,1))</f>
        <v>0</v>
      </c>
      <c r="AF193" s="96">
        <f>IF(R193=0,0,COUNTIFS('VÍNCULOS_CDF'!$R$6:$R$1005,A193,'VÍNCULOS_CDF'!$Y$6:$Y$1005,1))</f>
        <v>0</v>
      </c>
      <c r="AG193" s="96" t="str">
        <f>IF(AND(R193=1,S193&lt;&gt;"",C193&lt;&gt;""),S193&amp;"|"&amp;C193&amp;"|"&amp;G193&amp;"|"&amp;H193,"")</f>
        <v/>
      </c>
      <c r="AH193" s="96">
        <f>IF(AG193="",0,IF(SUMPRODUCT(--($AG$6:$AG$1005=AG193))&gt;1,1,0))</f>
        <v>0</v>
      </c>
      <c r="AI193" s="96">
        <f>IF(R193=0,0,IF(OR(U193=0,V193=0,Y193=0,AND(AH193=1,K193&lt;&gt;"Sim")),1,0))</f>
        <v>0</v>
      </c>
      <c r="AJ193" s="96">
        <f>IF(AND(R193=1,AA193&gt;0,AB193=AA193),1,0)</f>
        <v>0</v>
      </c>
      <c r="AK193" s="96">
        <f>IF(R193=0,0,IF(AA193&gt;0,N(L193),IF(ISNUMBER(I193),I193,0)))</f>
        <v>0</v>
      </c>
      <c r="AL193" s="96">
        <f>IF(R193=0,0,IF(AND(K193&lt;&gt;"Sim",N(M193)&gt;AK193+cfg_tol),1,0))</f>
        <v>0</v>
      </c>
      <c r="AM193" s="96">
        <f>IF(R193=0,0,IF(K193="Sim",0,IF(OR(AND(AA193&gt;0,ISNUMBER(I193),ABS(I193-N(L193))&gt;cfg_tol),AL193=1),1,0)))</f>
        <v>0</v>
      </c>
      <c r="AN193" s="96">
        <f>IF(AND(R193=1,N(M193)&gt;0,OR(N(M193)&gt;=AK193-cfg_tol,K193="Sim")),1,0)</f>
        <v>0</v>
      </c>
      <c r="AO193" s="96">
        <f>IF(AND(AN193=1,AD193&gt;0,AE193=AD193,AL193=0),1,0)</f>
        <v>0</v>
      </c>
      <c r="AP193" s="96">
        <f>IF(U193=0,0,IF(AND(INDEX('MTRs'!$AX$6:$AX$505,T193)=1,Z193=0,OR(f_res="",f_res="(Todos)",C193=f_res)),1,0))</f>
        <v>0</v>
      </c>
      <c r="AQ193" s="97" t="str">
        <f>IF(U193=0,"",INDEX('MTRs'!$AZ$6:$AZ$505,T193))</f>
        <v/>
      </c>
      <c r="AR193" s="96">
        <f>IF(U193=0,0,IF(AND(INDEX('MTRs'!$BA$6:$BA$505,T193)=1,Z193=0),1,0))</f>
        <v>0</v>
      </c>
      <c r="AS193" s="96" t="str">
        <f>IF(R193=1,A193&amp;" | MTR "&amp;IF(U193=1,INDEX('MTRs'!$B$6:$B$505,T193)&amp;"","?")&amp;" | "&amp;IF(C193="","(sem resíduo)",C193),"")</f>
        <v/>
      </c>
      <c r="AT193" s="96" t="str">
        <f>IF(R193=1,COUNTIF($R$6:R193,1),"")</f>
        <v/>
      </c>
      <c r="AU193" s="96" t="str">
        <f>IF(U193=1,INDEX('MTRs'!$I$6:$I$505,T193)&amp;"","")</f>
        <v/>
      </c>
    </row>
    <row r="194">
      <c r="A194" s="89" t="inlineStr">
        <is>
          <t>IT-000189</t>
        </is>
      </c>
      <c r="B194" s="91" t="n"/>
      <c r="C194" s="91" t="n"/>
      <c r="D194" s="94" t="str">
        <f>IF(OR(R194=0,V194=0),"",INDEX('CAD_RESÍDUOS'!$E$6:$E$205,MATCH(C194,'CAD_RESÍDUOS'!$B$6:$B$205,0))&amp;"")</f>
        <v/>
      </c>
      <c r="E194" s="94" t="str">
        <f>IF(OR(R194=0,V194=0),"",INDEX('CAD_RESÍDUOS'!$C$6:$C$205,MATCH(C194,'CAD_RESÍDUOS'!$B$6:$B$205,0))&amp;"")</f>
        <v/>
      </c>
      <c r="F194" s="94" t="str">
        <f>IF(OR(R194=0,V194=0),"",INDEX('CAD_RESÍDUOS'!$G$6:$G$205,MATCH(C194,'CAD_RESÍDUOS'!$B$6:$B$205,0))&amp;"")</f>
        <v/>
      </c>
      <c r="G194" s="98" t="n"/>
      <c r="H194" s="91" t="n"/>
      <c r="I194" s="93" t="str">
        <f>IF(R194=0,"",IF(NOT(ISNUMBER(G194)),"",IF(ISNUMBER(X194),G194*X194,"UNIDADE A CONFERIR")))</f>
        <v/>
      </c>
      <c r="J194" s="91" t="n"/>
      <c r="K194" s="91" t="n"/>
      <c r="L194" s="93" t="str">
        <f>IF(R194=0,"",SUMIFS('RECEBIMENTOS'!$H$6:$H$1005,'RECEBIMENTOS'!$R$6:$R$1005,A194,'RECEBIMENTOS'!$X$6:$X$1005,1))</f>
        <v/>
      </c>
      <c r="M194" s="93" t="str">
        <f>IF(R194=0,"",SUMIFS('VÍNCULOS_CDF'!$H$6:$H$1005,'VÍNCULOS_CDF'!$R$6:$R$1005,A194,'VÍNCULOS_CDF'!$V$6:$V$1005,1))</f>
        <v/>
      </c>
      <c r="N194" s="99" t="str">
        <f>IF(OR(R194=0,AA194=0,NOT(ISNUMBER(I194))),"",I194-N(L194))</f>
        <v/>
      </c>
      <c r="O194" s="100" t="str">
        <f>IF(OR(R194=0,AK194&lt;=0),"",N(M194)/AK194)</f>
        <v/>
      </c>
      <c r="P194" s="94" t="str">
        <f>IF(R194=0,"",IF(S194="","Sem MTR associado",IF(U194=0,"MTR inexistente",IF(C194="","Resíduo não identificado",IF(V194=0,"Resíduo fora do cadastro",IF(W194=0,"Quantidade inválida",IF(H194="","Unidade não informada",IF(NOT(ISNUMBER(I194)),"Unidade a conferir",IF(AND(AH194=1,K194&lt;&gt;"Sim"),"Possível duplicidade",IF(Z194=1,"MTR cancelado",IF(AC194&gt;0,"Recebimento com alerta",IF(AA194=0,"Aguardando recebimento",IF(AB194&lt;AA194,"Recebimento a conferir",IF(AM194=1,"Quantidade a revisar",IF(AF194&gt;0,"Vínculo a revisar",IF(AD194=0,"Aguardando CDF",IF(AN194=0,"Vínculo de CDF parcial",IF(AE194&lt;AD194,"CDF a conferir","Documentação conferida"))))))))))))))))))</f>
        <v/>
      </c>
      <c r="Q194" s="93" t="str">
        <f>IF(OR(R194=0,AA194=0),"",MAX(0,N(L194)-N(M194)))</f>
        <v/>
      </c>
      <c r="R194" s="96">
        <f>IF(COUNTA(B194:C194,G194:H194,J194:K194)&gt;0,1,0)</f>
        <v>0</v>
      </c>
      <c r="S194" s="96" t="str">
        <f>IF(B194="","",TRIM(LEFT(B194,FIND(" |",B194&amp;" |")-1)))</f>
        <v/>
      </c>
      <c r="T194" s="96" t="str">
        <f>IF(S194="","",IFERROR(MATCH(S194,'MTRs'!$A$6:$A$505,0),""))</f>
        <v/>
      </c>
      <c r="U194" s="96">
        <f>IF(T194="",0,IF(INDEX('MTRs'!$Z$6:$Z$505,T194)=1,1,0))</f>
        <v>0</v>
      </c>
      <c r="V194" s="96">
        <f>IF(C194="",0,IF(ISNUMBER(MATCH(C194,'CAD_RESÍDUOS'!$B$6:$B$205,0)),1,0))</f>
        <v>0</v>
      </c>
      <c r="W194" s="96">
        <f>IF(AND(ISNUMBER(G194),G194&gt;0),1,0)</f>
        <v>0</v>
      </c>
      <c r="X194" s="96" t="str">
        <f>IF(H194="","",IFERROR(IF(ISNUMBER(INDEX(cfg_fac,MATCH(H194,cfg_units,0))),IF(INDEX(cfg_fac,MATCH(H194,cfg_units,0))&gt;0,INDEX(cfg_fac,MATCH(H194,cfg_units,0)),""),""),""))</f>
        <v/>
      </c>
      <c r="Y194" s="96">
        <f>IF(AND(W194=1,ISNUMBER(I194)),1,0)</f>
        <v>0</v>
      </c>
      <c r="Z194" s="96">
        <f>IF(U194=1,INDEX('MTRs'!$AA$6:$AA$505,T194),0)</f>
        <v>0</v>
      </c>
      <c r="AA194" s="96">
        <f>IF(R194=0,0,COUNTIFS('RECEBIMENTOS'!$R$6:$R$1005,A194,'RECEBIMENTOS'!$Q$6:$Q$1005,1))</f>
        <v>0</v>
      </c>
      <c r="AB194" s="96">
        <f>IF(R194=0,0,COUNTIFS('RECEBIMENTOS'!$R$6:$R$1005,A194,'RECEBIMENTOS'!$Z$6:$Z$1005,1))</f>
        <v>0</v>
      </c>
      <c r="AC194" s="96">
        <f>IF(R194=0,0,COUNTIFS('RECEBIMENTOS'!$R$6:$R$1005,A194,'RECEBIMENTOS'!$Y$6:$Y$1005,1))</f>
        <v>0</v>
      </c>
      <c r="AD194" s="96">
        <f>IF(R194=0,0,COUNTIFS('VÍNCULOS_CDF'!$R$6:$R$1005,A194,'VÍNCULOS_CDF'!$N$6:$N$1005,1))</f>
        <v>0</v>
      </c>
      <c r="AE194" s="96">
        <f>IF(R194=0,0,COUNTIFS('VÍNCULOS_CDF'!$R$6:$R$1005,A194,'VÍNCULOS_CDF'!$AA$6:$AA$1005,1))</f>
        <v>0</v>
      </c>
      <c r="AF194" s="96">
        <f>IF(R194=0,0,COUNTIFS('VÍNCULOS_CDF'!$R$6:$R$1005,A194,'VÍNCULOS_CDF'!$Y$6:$Y$1005,1))</f>
        <v>0</v>
      </c>
      <c r="AG194" s="96" t="str">
        <f>IF(AND(R194=1,S194&lt;&gt;"",C194&lt;&gt;""),S194&amp;"|"&amp;C194&amp;"|"&amp;G194&amp;"|"&amp;H194,"")</f>
        <v/>
      </c>
      <c r="AH194" s="96">
        <f>IF(AG194="",0,IF(SUMPRODUCT(--($AG$6:$AG$1005=AG194))&gt;1,1,0))</f>
        <v>0</v>
      </c>
      <c r="AI194" s="96">
        <f>IF(R194=0,0,IF(OR(U194=0,V194=0,Y194=0,AND(AH194=1,K194&lt;&gt;"Sim")),1,0))</f>
        <v>0</v>
      </c>
      <c r="AJ194" s="96">
        <f>IF(AND(R194=1,AA194&gt;0,AB194=AA194),1,0)</f>
        <v>0</v>
      </c>
      <c r="AK194" s="96">
        <f>IF(R194=0,0,IF(AA194&gt;0,N(L194),IF(ISNUMBER(I194),I194,0)))</f>
        <v>0</v>
      </c>
      <c r="AL194" s="96">
        <f>IF(R194=0,0,IF(AND(K194&lt;&gt;"Sim",N(M194)&gt;AK194+cfg_tol),1,0))</f>
        <v>0</v>
      </c>
      <c r="AM194" s="96">
        <f>IF(R194=0,0,IF(K194="Sim",0,IF(OR(AND(AA194&gt;0,ISNUMBER(I194),ABS(I194-N(L194))&gt;cfg_tol),AL194=1),1,0)))</f>
        <v>0</v>
      </c>
      <c r="AN194" s="96">
        <f>IF(AND(R194=1,N(M194)&gt;0,OR(N(M194)&gt;=AK194-cfg_tol,K194="Sim")),1,0)</f>
        <v>0</v>
      </c>
      <c r="AO194" s="96">
        <f>IF(AND(AN194=1,AD194&gt;0,AE194=AD194,AL194=0),1,0)</f>
        <v>0</v>
      </c>
      <c r="AP194" s="96">
        <f>IF(U194=0,0,IF(AND(INDEX('MTRs'!$AX$6:$AX$505,T194)=1,Z194=0,OR(f_res="",f_res="(Todos)",C194=f_res)),1,0))</f>
        <v>0</v>
      </c>
      <c r="AQ194" s="97" t="str">
        <f>IF(U194=0,"",INDEX('MTRs'!$AZ$6:$AZ$505,T194))</f>
        <v/>
      </c>
      <c r="AR194" s="96">
        <f>IF(U194=0,0,IF(AND(INDEX('MTRs'!$BA$6:$BA$505,T194)=1,Z194=0),1,0))</f>
        <v>0</v>
      </c>
      <c r="AS194" s="96" t="str">
        <f>IF(R194=1,A194&amp;" | MTR "&amp;IF(U194=1,INDEX('MTRs'!$B$6:$B$505,T194)&amp;"","?")&amp;" | "&amp;IF(C194="","(sem resíduo)",C194),"")</f>
        <v/>
      </c>
      <c r="AT194" s="96" t="str">
        <f>IF(R194=1,COUNTIF($R$6:R194,1),"")</f>
        <v/>
      </c>
      <c r="AU194" s="96" t="str">
        <f>IF(U194=1,INDEX('MTRs'!$I$6:$I$505,T194)&amp;"","")</f>
        <v/>
      </c>
    </row>
    <row r="195">
      <c r="A195" s="89" t="inlineStr">
        <is>
          <t>IT-000190</t>
        </is>
      </c>
      <c r="B195" s="91" t="n"/>
      <c r="C195" s="91" t="n"/>
      <c r="D195" s="94" t="str">
        <f>IF(OR(R195=0,V195=0),"",INDEX('CAD_RESÍDUOS'!$E$6:$E$205,MATCH(C195,'CAD_RESÍDUOS'!$B$6:$B$205,0))&amp;"")</f>
        <v/>
      </c>
      <c r="E195" s="94" t="str">
        <f>IF(OR(R195=0,V195=0),"",INDEX('CAD_RESÍDUOS'!$C$6:$C$205,MATCH(C195,'CAD_RESÍDUOS'!$B$6:$B$205,0))&amp;"")</f>
        <v/>
      </c>
      <c r="F195" s="94" t="str">
        <f>IF(OR(R195=0,V195=0),"",INDEX('CAD_RESÍDUOS'!$G$6:$G$205,MATCH(C195,'CAD_RESÍDUOS'!$B$6:$B$205,0))&amp;"")</f>
        <v/>
      </c>
      <c r="G195" s="98" t="n"/>
      <c r="H195" s="91" t="n"/>
      <c r="I195" s="93" t="str">
        <f>IF(R195=0,"",IF(NOT(ISNUMBER(G195)),"",IF(ISNUMBER(X195),G195*X195,"UNIDADE A CONFERIR")))</f>
        <v/>
      </c>
      <c r="J195" s="91" t="n"/>
      <c r="K195" s="91" t="n"/>
      <c r="L195" s="93" t="str">
        <f>IF(R195=0,"",SUMIFS('RECEBIMENTOS'!$H$6:$H$1005,'RECEBIMENTOS'!$R$6:$R$1005,A195,'RECEBIMENTOS'!$X$6:$X$1005,1))</f>
        <v/>
      </c>
      <c r="M195" s="93" t="str">
        <f>IF(R195=0,"",SUMIFS('VÍNCULOS_CDF'!$H$6:$H$1005,'VÍNCULOS_CDF'!$R$6:$R$1005,A195,'VÍNCULOS_CDF'!$V$6:$V$1005,1))</f>
        <v/>
      </c>
      <c r="N195" s="99" t="str">
        <f>IF(OR(R195=0,AA195=0,NOT(ISNUMBER(I195))),"",I195-N(L195))</f>
        <v/>
      </c>
      <c r="O195" s="100" t="str">
        <f>IF(OR(R195=0,AK195&lt;=0),"",N(M195)/AK195)</f>
        <v/>
      </c>
      <c r="P195" s="94" t="str">
        <f>IF(R195=0,"",IF(S195="","Sem MTR associado",IF(U195=0,"MTR inexistente",IF(C195="","Resíduo não identificado",IF(V195=0,"Resíduo fora do cadastro",IF(W195=0,"Quantidade inválida",IF(H195="","Unidade não informada",IF(NOT(ISNUMBER(I195)),"Unidade a conferir",IF(AND(AH195=1,K195&lt;&gt;"Sim"),"Possível duplicidade",IF(Z195=1,"MTR cancelado",IF(AC195&gt;0,"Recebimento com alerta",IF(AA195=0,"Aguardando recebimento",IF(AB195&lt;AA195,"Recebimento a conferir",IF(AM195=1,"Quantidade a revisar",IF(AF195&gt;0,"Vínculo a revisar",IF(AD195=0,"Aguardando CDF",IF(AN195=0,"Vínculo de CDF parcial",IF(AE195&lt;AD195,"CDF a conferir","Documentação conferida"))))))))))))))))))</f>
        <v/>
      </c>
      <c r="Q195" s="93" t="str">
        <f>IF(OR(R195=0,AA195=0),"",MAX(0,N(L195)-N(M195)))</f>
        <v/>
      </c>
      <c r="R195" s="96">
        <f>IF(COUNTA(B195:C195,G195:H195,J195:K195)&gt;0,1,0)</f>
        <v>0</v>
      </c>
      <c r="S195" s="96" t="str">
        <f>IF(B195="","",TRIM(LEFT(B195,FIND(" |",B195&amp;" |")-1)))</f>
        <v/>
      </c>
      <c r="T195" s="96" t="str">
        <f>IF(S195="","",IFERROR(MATCH(S195,'MTRs'!$A$6:$A$505,0),""))</f>
        <v/>
      </c>
      <c r="U195" s="96">
        <f>IF(T195="",0,IF(INDEX('MTRs'!$Z$6:$Z$505,T195)=1,1,0))</f>
        <v>0</v>
      </c>
      <c r="V195" s="96">
        <f>IF(C195="",0,IF(ISNUMBER(MATCH(C195,'CAD_RESÍDUOS'!$B$6:$B$205,0)),1,0))</f>
        <v>0</v>
      </c>
      <c r="W195" s="96">
        <f>IF(AND(ISNUMBER(G195),G195&gt;0),1,0)</f>
        <v>0</v>
      </c>
      <c r="X195" s="96" t="str">
        <f>IF(H195="","",IFERROR(IF(ISNUMBER(INDEX(cfg_fac,MATCH(H195,cfg_units,0))),IF(INDEX(cfg_fac,MATCH(H195,cfg_units,0))&gt;0,INDEX(cfg_fac,MATCH(H195,cfg_units,0)),""),""),""))</f>
        <v/>
      </c>
      <c r="Y195" s="96">
        <f>IF(AND(W195=1,ISNUMBER(I195)),1,0)</f>
        <v>0</v>
      </c>
      <c r="Z195" s="96">
        <f>IF(U195=1,INDEX('MTRs'!$AA$6:$AA$505,T195),0)</f>
        <v>0</v>
      </c>
      <c r="AA195" s="96">
        <f>IF(R195=0,0,COUNTIFS('RECEBIMENTOS'!$R$6:$R$1005,A195,'RECEBIMENTOS'!$Q$6:$Q$1005,1))</f>
        <v>0</v>
      </c>
      <c r="AB195" s="96">
        <f>IF(R195=0,0,COUNTIFS('RECEBIMENTOS'!$R$6:$R$1005,A195,'RECEBIMENTOS'!$Z$6:$Z$1005,1))</f>
        <v>0</v>
      </c>
      <c r="AC195" s="96">
        <f>IF(R195=0,0,COUNTIFS('RECEBIMENTOS'!$R$6:$R$1005,A195,'RECEBIMENTOS'!$Y$6:$Y$1005,1))</f>
        <v>0</v>
      </c>
      <c r="AD195" s="96">
        <f>IF(R195=0,0,COUNTIFS('VÍNCULOS_CDF'!$R$6:$R$1005,A195,'VÍNCULOS_CDF'!$N$6:$N$1005,1))</f>
        <v>0</v>
      </c>
      <c r="AE195" s="96">
        <f>IF(R195=0,0,COUNTIFS('VÍNCULOS_CDF'!$R$6:$R$1005,A195,'VÍNCULOS_CDF'!$AA$6:$AA$1005,1))</f>
        <v>0</v>
      </c>
      <c r="AF195" s="96">
        <f>IF(R195=0,0,COUNTIFS('VÍNCULOS_CDF'!$R$6:$R$1005,A195,'VÍNCULOS_CDF'!$Y$6:$Y$1005,1))</f>
        <v>0</v>
      </c>
      <c r="AG195" s="96" t="str">
        <f>IF(AND(R195=1,S195&lt;&gt;"",C195&lt;&gt;""),S195&amp;"|"&amp;C195&amp;"|"&amp;G195&amp;"|"&amp;H195,"")</f>
        <v/>
      </c>
      <c r="AH195" s="96">
        <f>IF(AG195="",0,IF(SUMPRODUCT(--($AG$6:$AG$1005=AG195))&gt;1,1,0))</f>
        <v>0</v>
      </c>
      <c r="AI195" s="96">
        <f>IF(R195=0,0,IF(OR(U195=0,V195=0,Y195=0,AND(AH195=1,K195&lt;&gt;"Sim")),1,0))</f>
        <v>0</v>
      </c>
      <c r="AJ195" s="96">
        <f>IF(AND(R195=1,AA195&gt;0,AB195=AA195),1,0)</f>
        <v>0</v>
      </c>
      <c r="AK195" s="96">
        <f>IF(R195=0,0,IF(AA195&gt;0,N(L195),IF(ISNUMBER(I195),I195,0)))</f>
        <v>0</v>
      </c>
      <c r="AL195" s="96">
        <f>IF(R195=0,0,IF(AND(K195&lt;&gt;"Sim",N(M195)&gt;AK195+cfg_tol),1,0))</f>
        <v>0</v>
      </c>
      <c r="AM195" s="96">
        <f>IF(R195=0,0,IF(K195="Sim",0,IF(OR(AND(AA195&gt;0,ISNUMBER(I195),ABS(I195-N(L195))&gt;cfg_tol),AL195=1),1,0)))</f>
        <v>0</v>
      </c>
      <c r="AN195" s="96">
        <f>IF(AND(R195=1,N(M195)&gt;0,OR(N(M195)&gt;=AK195-cfg_tol,K195="Sim")),1,0)</f>
        <v>0</v>
      </c>
      <c r="AO195" s="96">
        <f>IF(AND(AN195=1,AD195&gt;0,AE195=AD195,AL195=0),1,0)</f>
        <v>0</v>
      </c>
      <c r="AP195" s="96">
        <f>IF(U195=0,0,IF(AND(INDEX('MTRs'!$AX$6:$AX$505,T195)=1,Z195=0,OR(f_res="",f_res="(Todos)",C195=f_res)),1,0))</f>
        <v>0</v>
      </c>
      <c r="AQ195" s="97" t="str">
        <f>IF(U195=0,"",INDEX('MTRs'!$AZ$6:$AZ$505,T195))</f>
        <v/>
      </c>
      <c r="AR195" s="96">
        <f>IF(U195=0,0,IF(AND(INDEX('MTRs'!$BA$6:$BA$505,T195)=1,Z195=0),1,0))</f>
        <v>0</v>
      </c>
      <c r="AS195" s="96" t="str">
        <f>IF(R195=1,A195&amp;" | MTR "&amp;IF(U195=1,INDEX('MTRs'!$B$6:$B$505,T195)&amp;"","?")&amp;" | "&amp;IF(C195="","(sem resíduo)",C195),"")</f>
        <v/>
      </c>
      <c r="AT195" s="96" t="str">
        <f>IF(R195=1,COUNTIF($R$6:R195,1),"")</f>
        <v/>
      </c>
      <c r="AU195" s="96" t="str">
        <f>IF(U195=1,INDEX('MTRs'!$I$6:$I$505,T195)&amp;"","")</f>
        <v/>
      </c>
    </row>
    <row r="196">
      <c r="A196" s="89" t="inlineStr">
        <is>
          <t>IT-000191</t>
        </is>
      </c>
      <c r="B196" s="91" t="n"/>
      <c r="C196" s="91" t="n"/>
      <c r="D196" s="94" t="str">
        <f>IF(OR(R196=0,V196=0),"",INDEX('CAD_RESÍDUOS'!$E$6:$E$205,MATCH(C196,'CAD_RESÍDUOS'!$B$6:$B$205,0))&amp;"")</f>
        <v/>
      </c>
      <c r="E196" s="94" t="str">
        <f>IF(OR(R196=0,V196=0),"",INDEX('CAD_RESÍDUOS'!$C$6:$C$205,MATCH(C196,'CAD_RESÍDUOS'!$B$6:$B$205,0))&amp;"")</f>
        <v/>
      </c>
      <c r="F196" s="94" t="str">
        <f>IF(OR(R196=0,V196=0),"",INDEX('CAD_RESÍDUOS'!$G$6:$G$205,MATCH(C196,'CAD_RESÍDUOS'!$B$6:$B$205,0))&amp;"")</f>
        <v/>
      </c>
      <c r="G196" s="98" t="n"/>
      <c r="H196" s="91" t="n"/>
      <c r="I196" s="93" t="str">
        <f>IF(R196=0,"",IF(NOT(ISNUMBER(G196)),"",IF(ISNUMBER(X196),G196*X196,"UNIDADE A CONFERIR")))</f>
        <v/>
      </c>
      <c r="J196" s="91" t="n"/>
      <c r="K196" s="91" t="n"/>
      <c r="L196" s="93" t="str">
        <f>IF(R196=0,"",SUMIFS('RECEBIMENTOS'!$H$6:$H$1005,'RECEBIMENTOS'!$R$6:$R$1005,A196,'RECEBIMENTOS'!$X$6:$X$1005,1))</f>
        <v/>
      </c>
      <c r="M196" s="93" t="str">
        <f>IF(R196=0,"",SUMIFS('VÍNCULOS_CDF'!$H$6:$H$1005,'VÍNCULOS_CDF'!$R$6:$R$1005,A196,'VÍNCULOS_CDF'!$V$6:$V$1005,1))</f>
        <v/>
      </c>
      <c r="N196" s="99" t="str">
        <f>IF(OR(R196=0,AA196=0,NOT(ISNUMBER(I196))),"",I196-N(L196))</f>
        <v/>
      </c>
      <c r="O196" s="100" t="str">
        <f>IF(OR(R196=0,AK196&lt;=0),"",N(M196)/AK196)</f>
        <v/>
      </c>
      <c r="P196" s="94" t="str">
        <f>IF(R196=0,"",IF(S196="","Sem MTR associado",IF(U196=0,"MTR inexistente",IF(C196="","Resíduo não identificado",IF(V196=0,"Resíduo fora do cadastro",IF(W196=0,"Quantidade inválida",IF(H196="","Unidade não informada",IF(NOT(ISNUMBER(I196)),"Unidade a conferir",IF(AND(AH196=1,K196&lt;&gt;"Sim"),"Possível duplicidade",IF(Z196=1,"MTR cancelado",IF(AC196&gt;0,"Recebimento com alerta",IF(AA196=0,"Aguardando recebimento",IF(AB196&lt;AA196,"Recebimento a conferir",IF(AM196=1,"Quantidade a revisar",IF(AF196&gt;0,"Vínculo a revisar",IF(AD196=0,"Aguardando CDF",IF(AN196=0,"Vínculo de CDF parcial",IF(AE196&lt;AD196,"CDF a conferir","Documentação conferida"))))))))))))))))))</f>
        <v/>
      </c>
      <c r="Q196" s="93" t="str">
        <f>IF(OR(R196=0,AA196=0),"",MAX(0,N(L196)-N(M196)))</f>
        <v/>
      </c>
      <c r="R196" s="96">
        <f>IF(COUNTA(B196:C196,G196:H196,J196:K196)&gt;0,1,0)</f>
        <v>0</v>
      </c>
      <c r="S196" s="96" t="str">
        <f>IF(B196="","",TRIM(LEFT(B196,FIND(" |",B196&amp;" |")-1)))</f>
        <v/>
      </c>
      <c r="T196" s="96" t="str">
        <f>IF(S196="","",IFERROR(MATCH(S196,'MTRs'!$A$6:$A$505,0),""))</f>
        <v/>
      </c>
      <c r="U196" s="96">
        <f>IF(T196="",0,IF(INDEX('MTRs'!$Z$6:$Z$505,T196)=1,1,0))</f>
        <v>0</v>
      </c>
      <c r="V196" s="96">
        <f>IF(C196="",0,IF(ISNUMBER(MATCH(C196,'CAD_RESÍDUOS'!$B$6:$B$205,0)),1,0))</f>
        <v>0</v>
      </c>
      <c r="W196" s="96">
        <f>IF(AND(ISNUMBER(G196),G196&gt;0),1,0)</f>
        <v>0</v>
      </c>
      <c r="X196" s="96" t="str">
        <f>IF(H196="","",IFERROR(IF(ISNUMBER(INDEX(cfg_fac,MATCH(H196,cfg_units,0))),IF(INDEX(cfg_fac,MATCH(H196,cfg_units,0))&gt;0,INDEX(cfg_fac,MATCH(H196,cfg_units,0)),""),""),""))</f>
        <v/>
      </c>
      <c r="Y196" s="96">
        <f>IF(AND(W196=1,ISNUMBER(I196)),1,0)</f>
        <v>0</v>
      </c>
      <c r="Z196" s="96">
        <f>IF(U196=1,INDEX('MTRs'!$AA$6:$AA$505,T196),0)</f>
        <v>0</v>
      </c>
      <c r="AA196" s="96">
        <f>IF(R196=0,0,COUNTIFS('RECEBIMENTOS'!$R$6:$R$1005,A196,'RECEBIMENTOS'!$Q$6:$Q$1005,1))</f>
        <v>0</v>
      </c>
      <c r="AB196" s="96">
        <f>IF(R196=0,0,COUNTIFS('RECEBIMENTOS'!$R$6:$R$1005,A196,'RECEBIMENTOS'!$Z$6:$Z$1005,1))</f>
        <v>0</v>
      </c>
      <c r="AC196" s="96">
        <f>IF(R196=0,0,COUNTIFS('RECEBIMENTOS'!$R$6:$R$1005,A196,'RECEBIMENTOS'!$Y$6:$Y$1005,1))</f>
        <v>0</v>
      </c>
      <c r="AD196" s="96">
        <f>IF(R196=0,0,COUNTIFS('VÍNCULOS_CDF'!$R$6:$R$1005,A196,'VÍNCULOS_CDF'!$N$6:$N$1005,1))</f>
        <v>0</v>
      </c>
      <c r="AE196" s="96">
        <f>IF(R196=0,0,COUNTIFS('VÍNCULOS_CDF'!$R$6:$R$1005,A196,'VÍNCULOS_CDF'!$AA$6:$AA$1005,1))</f>
        <v>0</v>
      </c>
      <c r="AF196" s="96">
        <f>IF(R196=0,0,COUNTIFS('VÍNCULOS_CDF'!$R$6:$R$1005,A196,'VÍNCULOS_CDF'!$Y$6:$Y$1005,1))</f>
        <v>0</v>
      </c>
      <c r="AG196" s="96" t="str">
        <f>IF(AND(R196=1,S196&lt;&gt;"",C196&lt;&gt;""),S196&amp;"|"&amp;C196&amp;"|"&amp;G196&amp;"|"&amp;H196,"")</f>
        <v/>
      </c>
      <c r="AH196" s="96">
        <f>IF(AG196="",0,IF(SUMPRODUCT(--($AG$6:$AG$1005=AG196))&gt;1,1,0))</f>
        <v>0</v>
      </c>
      <c r="AI196" s="96">
        <f>IF(R196=0,0,IF(OR(U196=0,V196=0,Y196=0,AND(AH196=1,K196&lt;&gt;"Sim")),1,0))</f>
        <v>0</v>
      </c>
      <c r="AJ196" s="96">
        <f>IF(AND(R196=1,AA196&gt;0,AB196=AA196),1,0)</f>
        <v>0</v>
      </c>
      <c r="AK196" s="96">
        <f>IF(R196=0,0,IF(AA196&gt;0,N(L196),IF(ISNUMBER(I196),I196,0)))</f>
        <v>0</v>
      </c>
      <c r="AL196" s="96">
        <f>IF(R196=0,0,IF(AND(K196&lt;&gt;"Sim",N(M196)&gt;AK196+cfg_tol),1,0))</f>
        <v>0</v>
      </c>
      <c r="AM196" s="96">
        <f>IF(R196=0,0,IF(K196="Sim",0,IF(OR(AND(AA196&gt;0,ISNUMBER(I196),ABS(I196-N(L196))&gt;cfg_tol),AL196=1),1,0)))</f>
        <v>0</v>
      </c>
      <c r="AN196" s="96">
        <f>IF(AND(R196=1,N(M196)&gt;0,OR(N(M196)&gt;=AK196-cfg_tol,K196="Sim")),1,0)</f>
        <v>0</v>
      </c>
      <c r="AO196" s="96">
        <f>IF(AND(AN196=1,AD196&gt;0,AE196=AD196,AL196=0),1,0)</f>
        <v>0</v>
      </c>
      <c r="AP196" s="96">
        <f>IF(U196=0,0,IF(AND(INDEX('MTRs'!$AX$6:$AX$505,T196)=1,Z196=0,OR(f_res="",f_res="(Todos)",C196=f_res)),1,0))</f>
        <v>0</v>
      </c>
      <c r="AQ196" s="97" t="str">
        <f>IF(U196=0,"",INDEX('MTRs'!$AZ$6:$AZ$505,T196))</f>
        <v/>
      </c>
      <c r="AR196" s="96">
        <f>IF(U196=0,0,IF(AND(INDEX('MTRs'!$BA$6:$BA$505,T196)=1,Z196=0),1,0))</f>
        <v>0</v>
      </c>
      <c r="AS196" s="96" t="str">
        <f>IF(R196=1,A196&amp;" | MTR "&amp;IF(U196=1,INDEX('MTRs'!$B$6:$B$505,T196)&amp;"","?")&amp;" | "&amp;IF(C196="","(sem resíduo)",C196),"")</f>
        <v/>
      </c>
      <c r="AT196" s="96" t="str">
        <f>IF(R196=1,COUNTIF($R$6:R196,1),"")</f>
        <v/>
      </c>
      <c r="AU196" s="96" t="str">
        <f>IF(U196=1,INDEX('MTRs'!$I$6:$I$505,T196)&amp;"","")</f>
        <v/>
      </c>
    </row>
    <row r="197">
      <c r="A197" s="89" t="inlineStr">
        <is>
          <t>IT-000192</t>
        </is>
      </c>
      <c r="B197" s="91" t="n"/>
      <c r="C197" s="91" t="n"/>
      <c r="D197" s="94" t="str">
        <f>IF(OR(R197=0,V197=0),"",INDEX('CAD_RESÍDUOS'!$E$6:$E$205,MATCH(C197,'CAD_RESÍDUOS'!$B$6:$B$205,0))&amp;"")</f>
        <v/>
      </c>
      <c r="E197" s="94" t="str">
        <f>IF(OR(R197=0,V197=0),"",INDEX('CAD_RESÍDUOS'!$C$6:$C$205,MATCH(C197,'CAD_RESÍDUOS'!$B$6:$B$205,0))&amp;"")</f>
        <v/>
      </c>
      <c r="F197" s="94" t="str">
        <f>IF(OR(R197=0,V197=0),"",INDEX('CAD_RESÍDUOS'!$G$6:$G$205,MATCH(C197,'CAD_RESÍDUOS'!$B$6:$B$205,0))&amp;"")</f>
        <v/>
      </c>
      <c r="G197" s="98" t="n"/>
      <c r="H197" s="91" t="n"/>
      <c r="I197" s="93" t="str">
        <f>IF(R197=0,"",IF(NOT(ISNUMBER(G197)),"",IF(ISNUMBER(X197),G197*X197,"UNIDADE A CONFERIR")))</f>
        <v/>
      </c>
      <c r="J197" s="91" t="n"/>
      <c r="K197" s="91" t="n"/>
      <c r="L197" s="93" t="str">
        <f>IF(R197=0,"",SUMIFS('RECEBIMENTOS'!$H$6:$H$1005,'RECEBIMENTOS'!$R$6:$R$1005,A197,'RECEBIMENTOS'!$X$6:$X$1005,1))</f>
        <v/>
      </c>
      <c r="M197" s="93" t="str">
        <f>IF(R197=0,"",SUMIFS('VÍNCULOS_CDF'!$H$6:$H$1005,'VÍNCULOS_CDF'!$R$6:$R$1005,A197,'VÍNCULOS_CDF'!$V$6:$V$1005,1))</f>
        <v/>
      </c>
      <c r="N197" s="99" t="str">
        <f>IF(OR(R197=0,AA197=0,NOT(ISNUMBER(I197))),"",I197-N(L197))</f>
        <v/>
      </c>
      <c r="O197" s="100" t="str">
        <f>IF(OR(R197=0,AK197&lt;=0),"",N(M197)/AK197)</f>
        <v/>
      </c>
      <c r="P197" s="94" t="str">
        <f>IF(R197=0,"",IF(S197="","Sem MTR associado",IF(U197=0,"MTR inexistente",IF(C197="","Resíduo não identificado",IF(V197=0,"Resíduo fora do cadastro",IF(W197=0,"Quantidade inválida",IF(H197="","Unidade não informada",IF(NOT(ISNUMBER(I197)),"Unidade a conferir",IF(AND(AH197=1,K197&lt;&gt;"Sim"),"Possível duplicidade",IF(Z197=1,"MTR cancelado",IF(AC197&gt;0,"Recebimento com alerta",IF(AA197=0,"Aguardando recebimento",IF(AB197&lt;AA197,"Recebimento a conferir",IF(AM197=1,"Quantidade a revisar",IF(AF197&gt;0,"Vínculo a revisar",IF(AD197=0,"Aguardando CDF",IF(AN197=0,"Vínculo de CDF parcial",IF(AE197&lt;AD197,"CDF a conferir","Documentação conferida"))))))))))))))))))</f>
        <v/>
      </c>
      <c r="Q197" s="93" t="str">
        <f>IF(OR(R197=0,AA197=0),"",MAX(0,N(L197)-N(M197)))</f>
        <v/>
      </c>
      <c r="R197" s="96">
        <f>IF(COUNTA(B197:C197,G197:H197,J197:K197)&gt;0,1,0)</f>
        <v>0</v>
      </c>
      <c r="S197" s="96" t="str">
        <f>IF(B197="","",TRIM(LEFT(B197,FIND(" |",B197&amp;" |")-1)))</f>
        <v/>
      </c>
      <c r="T197" s="96" t="str">
        <f>IF(S197="","",IFERROR(MATCH(S197,'MTRs'!$A$6:$A$505,0),""))</f>
        <v/>
      </c>
      <c r="U197" s="96">
        <f>IF(T197="",0,IF(INDEX('MTRs'!$Z$6:$Z$505,T197)=1,1,0))</f>
        <v>0</v>
      </c>
      <c r="V197" s="96">
        <f>IF(C197="",0,IF(ISNUMBER(MATCH(C197,'CAD_RESÍDUOS'!$B$6:$B$205,0)),1,0))</f>
        <v>0</v>
      </c>
      <c r="W197" s="96">
        <f>IF(AND(ISNUMBER(G197),G197&gt;0),1,0)</f>
        <v>0</v>
      </c>
      <c r="X197" s="96" t="str">
        <f>IF(H197="","",IFERROR(IF(ISNUMBER(INDEX(cfg_fac,MATCH(H197,cfg_units,0))),IF(INDEX(cfg_fac,MATCH(H197,cfg_units,0))&gt;0,INDEX(cfg_fac,MATCH(H197,cfg_units,0)),""),""),""))</f>
        <v/>
      </c>
      <c r="Y197" s="96">
        <f>IF(AND(W197=1,ISNUMBER(I197)),1,0)</f>
        <v>0</v>
      </c>
      <c r="Z197" s="96">
        <f>IF(U197=1,INDEX('MTRs'!$AA$6:$AA$505,T197),0)</f>
        <v>0</v>
      </c>
      <c r="AA197" s="96">
        <f>IF(R197=0,0,COUNTIFS('RECEBIMENTOS'!$R$6:$R$1005,A197,'RECEBIMENTOS'!$Q$6:$Q$1005,1))</f>
        <v>0</v>
      </c>
      <c r="AB197" s="96">
        <f>IF(R197=0,0,COUNTIFS('RECEBIMENTOS'!$R$6:$R$1005,A197,'RECEBIMENTOS'!$Z$6:$Z$1005,1))</f>
        <v>0</v>
      </c>
      <c r="AC197" s="96">
        <f>IF(R197=0,0,COUNTIFS('RECEBIMENTOS'!$R$6:$R$1005,A197,'RECEBIMENTOS'!$Y$6:$Y$1005,1))</f>
        <v>0</v>
      </c>
      <c r="AD197" s="96">
        <f>IF(R197=0,0,COUNTIFS('VÍNCULOS_CDF'!$R$6:$R$1005,A197,'VÍNCULOS_CDF'!$N$6:$N$1005,1))</f>
        <v>0</v>
      </c>
      <c r="AE197" s="96">
        <f>IF(R197=0,0,COUNTIFS('VÍNCULOS_CDF'!$R$6:$R$1005,A197,'VÍNCULOS_CDF'!$AA$6:$AA$1005,1))</f>
        <v>0</v>
      </c>
      <c r="AF197" s="96">
        <f>IF(R197=0,0,COUNTIFS('VÍNCULOS_CDF'!$R$6:$R$1005,A197,'VÍNCULOS_CDF'!$Y$6:$Y$1005,1))</f>
        <v>0</v>
      </c>
      <c r="AG197" s="96" t="str">
        <f>IF(AND(R197=1,S197&lt;&gt;"",C197&lt;&gt;""),S197&amp;"|"&amp;C197&amp;"|"&amp;G197&amp;"|"&amp;H197,"")</f>
        <v/>
      </c>
      <c r="AH197" s="96">
        <f>IF(AG197="",0,IF(SUMPRODUCT(--($AG$6:$AG$1005=AG197))&gt;1,1,0))</f>
        <v>0</v>
      </c>
      <c r="AI197" s="96">
        <f>IF(R197=0,0,IF(OR(U197=0,V197=0,Y197=0,AND(AH197=1,K197&lt;&gt;"Sim")),1,0))</f>
        <v>0</v>
      </c>
      <c r="AJ197" s="96">
        <f>IF(AND(R197=1,AA197&gt;0,AB197=AA197),1,0)</f>
        <v>0</v>
      </c>
      <c r="AK197" s="96">
        <f>IF(R197=0,0,IF(AA197&gt;0,N(L197),IF(ISNUMBER(I197),I197,0)))</f>
        <v>0</v>
      </c>
      <c r="AL197" s="96">
        <f>IF(R197=0,0,IF(AND(K197&lt;&gt;"Sim",N(M197)&gt;AK197+cfg_tol),1,0))</f>
        <v>0</v>
      </c>
      <c r="AM197" s="96">
        <f>IF(R197=0,0,IF(K197="Sim",0,IF(OR(AND(AA197&gt;0,ISNUMBER(I197),ABS(I197-N(L197))&gt;cfg_tol),AL197=1),1,0)))</f>
        <v>0</v>
      </c>
      <c r="AN197" s="96">
        <f>IF(AND(R197=1,N(M197)&gt;0,OR(N(M197)&gt;=AK197-cfg_tol,K197="Sim")),1,0)</f>
        <v>0</v>
      </c>
      <c r="AO197" s="96">
        <f>IF(AND(AN197=1,AD197&gt;0,AE197=AD197,AL197=0),1,0)</f>
        <v>0</v>
      </c>
      <c r="AP197" s="96">
        <f>IF(U197=0,0,IF(AND(INDEX('MTRs'!$AX$6:$AX$505,T197)=1,Z197=0,OR(f_res="",f_res="(Todos)",C197=f_res)),1,0))</f>
        <v>0</v>
      </c>
      <c r="AQ197" s="97" t="str">
        <f>IF(U197=0,"",INDEX('MTRs'!$AZ$6:$AZ$505,T197))</f>
        <v/>
      </c>
      <c r="AR197" s="96">
        <f>IF(U197=0,0,IF(AND(INDEX('MTRs'!$BA$6:$BA$505,T197)=1,Z197=0),1,0))</f>
        <v>0</v>
      </c>
      <c r="AS197" s="96" t="str">
        <f>IF(R197=1,A197&amp;" | MTR "&amp;IF(U197=1,INDEX('MTRs'!$B$6:$B$505,T197)&amp;"","?")&amp;" | "&amp;IF(C197="","(sem resíduo)",C197),"")</f>
        <v/>
      </c>
      <c r="AT197" s="96" t="str">
        <f>IF(R197=1,COUNTIF($R$6:R197,1),"")</f>
        <v/>
      </c>
      <c r="AU197" s="96" t="str">
        <f>IF(U197=1,INDEX('MTRs'!$I$6:$I$505,T197)&amp;"","")</f>
        <v/>
      </c>
    </row>
    <row r="198">
      <c r="A198" s="89" t="inlineStr">
        <is>
          <t>IT-000193</t>
        </is>
      </c>
      <c r="B198" s="91" t="n"/>
      <c r="C198" s="91" t="n"/>
      <c r="D198" s="94" t="str">
        <f>IF(OR(R198=0,V198=0),"",INDEX('CAD_RESÍDUOS'!$E$6:$E$205,MATCH(C198,'CAD_RESÍDUOS'!$B$6:$B$205,0))&amp;"")</f>
        <v/>
      </c>
      <c r="E198" s="94" t="str">
        <f>IF(OR(R198=0,V198=0),"",INDEX('CAD_RESÍDUOS'!$C$6:$C$205,MATCH(C198,'CAD_RESÍDUOS'!$B$6:$B$205,0))&amp;"")</f>
        <v/>
      </c>
      <c r="F198" s="94" t="str">
        <f>IF(OR(R198=0,V198=0),"",INDEX('CAD_RESÍDUOS'!$G$6:$G$205,MATCH(C198,'CAD_RESÍDUOS'!$B$6:$B$205,0))&amp;"")</f>
        <v/>
      </c>
      <c r="G198" s="98" t="n"/>
      <c r="H198" s="91" t="n"/>
      <c r="I198" s="93" t="str">
        <f>IF(R198=0,"",IF(NOT(ISNUMBER(G198)),"",IF(ISNUMBER(X198),G198*X198,"UNIDADE A CONFERIR")))</f>
        <v/>
      </c>
      <c r="J198" s="91" t="n"/>
      <c r="K198" s="91" t="n"/>
      <c r="L198" s="93" t="str">
        <f>IF(R198=0,"",SUMIFS('RECEBIMENTOS'!$H$6:$H$1005,'RECEBIMENTOS'!$R$6:$R$1005,A198,'RECEBIMENTOS'!$X$6:$X$1005,1))</f>
        <v/>
      </c>
      <c r="M198" s="93" t="str">
        <f>IF(R198=0,"",SUMIFS('VÍNCULOS_CDF'!$H$6:$H$1005,'VÍNCULOS_CDF'!$R$6:$R$1005,A198,'VÍNCULOS_CDF'!$V$6:$V$1005,1))</f>
        <v/>
      </c>
      <c r="N198" s="99" t="str">
        <f>IF(OR(R198=0,AA198=0,NOT(ISNUMBER(I198))),"",I198-N(L198))</f>
        <v/>
      </c>
      <c r="O198" s="100" t="str">
        <f>IF(OR(R198=0,AK198&lt;=0),"",N(M198)/AK198)</f>
        <v/>
      </c>
      <c r="P198" s="94" t="str">
        <f>IF(R198=0,"",IF(S198="","Sem MTR associado",IF(U198=0,"MTR inexistente",IF(C198="","Resíduo não identificado",IF(V198=0,"Resíduo fora do cadastro",IF(W198=0,"Quantidade inválida",IF(H198="","Unidade não informada",IF(NOT(ISNUMBER(I198)),"Unidade a conferir",IF(AND(AH198=1,K198&lt;&gt;"Sim"),"Possível duplicidade",IF(Z198=1,"MTR cancelado",IF(AC198&gt;0,"Recebimento com alerta",IF(AA198=0,"Aguardando recebimento",IF(AB198&lt;AA198,"Recebimento a conferir",IF(AM198=1,"Quantidade a revisar",IF(AF198&gt;0,"Vínculo a revisar",IF(AD198=0,"Aguardando CDF",IF(AN198=0,"Vínculo de CDF parcial",IF(AE198&lt;AD198,"CDF a conferir","Documentação conferida"))))))))))))))))))</f>
        <v/>
      </c>
      <c r="Q198" s="93" t="str">
        <f>IF(OR(R198=0,AA198=0),"",MAX(0,N(L198)-N(M198)))</f>
        <v/>
      </c>
      <c r="R198" s="96">
        <f>IF(COUNTA(B198:C198,G198:H198,J198:K198)&gt;0,1,0)</f>
        <v>0</v>
      </c>
      <c r="S198" s="96" t="str">
        <f>IF(B198="","",TRIM(LEFT(B198,FIND(" |",B198&amp;" |")-1)))</f>
        <v/>
      </c>
      <c r="T198" s="96" t="str">
        <f>IF(S198="","",IFERROR(MATCH(S198,'MTRs'!$A$6:$A$505,0),""))</f>
        <v/>
      </c>
      <c r="U198" s="96">
        <f>IF(T198="",0,IF(INDEX('MTRs'!$Z$6:$Z$505,T198)=1,1,0))</f>
        <v>0</v>
      </c>
      <c r="V198" s="96">
        <f>IF(C198="",0,IF(ISNUMBER(MATCH(C198,'CAD_RESÍDUOS'!$B$6:$B$205,0)),1,0))</f>
        <v>0</v>
      </c>
      <c r="W198" s="96">
        <f>IF(AND(ISNUMBER(G198),G198&gt;0),1,0)</f>
        <v>0</v>
      </c>
      <c r="X198" s="96" t="str">
        <f>IF(H198="","",IFERROR(IF(ISNUMBER(INDEX(cfg_fac,MATCH(H198,cfg_units,0))),IF(INDEX(cfg_fac,MATCH(H198,cfg_units,0))&gt;0,INDEX(cfg_fac,MATCH(H198,cfg_units,0)),""),""),""))</f>
        <v/>
      </c>
      <c r="Y198" s="96">
        <f>IF(AND(W198=1,ISNUMBER(I198)),1,0)</f>
        <v>0</v>
      </c>
      <c r="Z198" s="96">
        <f>IF(U198=1,INDEX('MTRs'!$AA$6:$AA$505,T198),0)</f>
        <v>0</v>
      </c>
      <c r="AA198" s="96">
        <f>IF(R198=0,0,COUNTIFS('RECEBIMENTOS'!$R$6:$R$1005,A198,'RECEBIMENTOS'!$Q$6:$Q$1005,1))</f>
        <v>0</v>
      </c>
      <c r="AB198" s="96">
        <f>IF(R198=0,0,COUNTIFS('RECEBIMENTOS'!$R$6:$R$1005,A198,'RECEBIMENTOS'!$Z$6:$Z$1005,1))</f>
        <v>0</v>
      </c>
      <c r="AC198" s="96">
        <f>IF(R198=0,0,COUNTIFS('RECEBIMENTOS'!$R$6:$R$1005,A198,'RECEBIMENTOS'!$Y$6:$Y$1005,1))</f>
        <v>0</v>
      </c>
      <c r="AD198" s="96">
        <f>IF(R198=0,0,COUNTIFS('VÍNCULOS_CDF'!$R$6:$R$1005,A198,'VÍNCULOS_CDF'!$N$6:$N$1005,1))</f>
        <v>0</v>
      </c>
      <c r="AE198" s="96">
        <f>IF(R198=0,0,COUNTIFS('VÍNCULOS_CDF'!$R$6:$R$1005,A198,'VÍNCULOS_CDF'!$AA$6:$AA$1005,1))</f>
        <v>0</v>
      </c>
      <c r="AF198" s="96">
        <f>IF(R198=0,0,COUNTIFS('VÍNCULOS_CDF'!$R$6:$R$1005,A198,'VÍNCULOS_CDF'!$Y$6:$Y$1005,1))</f>
        <v>0</v>
      </c>
      <c r="AG198" s="96" t="str">
        <f>IF(AND(R198=1,S198&lt;&gt;"",C198&lt;&gt;""),S198&amp;"|"&amp;C198&amp;"|"&amp;G198&amp;"|"&amp;H198,"")</f>
        <v/>
      </c>
      <c r="AH198" s="96">
        <f>IF(AG198="",0,IF(SUMPRODUCT(--($AG$6:$AG$1005=AG198))&gt;1,1,0))</f>
        <v>0</v>
      </c>
      <c r="AI198" s="96">
        <f>IF(R198=0,0,IF(OR(U198=0,V198=0,Y198=0,AND(AH198=1,K198&lt;&gt;"Sim")),1,0))</f>
        <v>0</v>
      </c>
      <c r="AJ198" s="96">
        <f>IF(AND(R198=1,AA198&gt;0,AB198=AA198),1,0)</f>
        <v>0</v>
      </c>
      <c r="AK198" s="96">
        <f>IF(R198=0,0,IF(AA198&gt;0,N(L198),IF(ISNUMBER(I198),I198,0)))</f>
        <v>0</v>
      </c>
      <c r="AL198" s="96">
        <f>IF(R198=0,0,IF(AND(K198&lt;&gt;"Sim",N(M198)&gt;AK198+cfg_tol),1,0))</f>
        <v>0</v>
      </c>
      <c r="AM198" s="96">
        <f>IF(R198=0,0,IF(K198="Sim",0,IF(OR(AND(AA198&gt;0,ISNUMBER(I198),ABS(I198-N(L198))&gt;cfg_tol),AL198=1),1,0)))</f>
        <v>0</v>
      </c>
      <c r="AN198" s="96">
        <f>IF(AND(R198=1,N(M198)&gt;0,OR(N(M198)&gt;=AK198-cfg_tol,K198="Sim")),1,0)</f>
        <v>0</v>
      </c>
      <c r="AO198" s="96">
        <f>IF(AND(AN198=1,AD198&gt;0,AE198=AD198,AL198=0),1,0)</f>
        <v>0</v>
      </c>
      <c r="AP198" s="96">
        <f>IF(U198=0,0,IF(AND(INDEX('MTRs'!$AX$6:$AX$505,T198)=1,Z198=0,OR(f_res="",f_res="(Todos)",C198=f_res)),1,0))</f>
        <v>0</v>
      </c>
      <c r="AQ198" s="97" t="str">
        <f>IF(U198=0,"",INDEX('MTRs'!$AZ$6:$AZ$505,T198))</f>
        <v/>
      </c>
      <c r="AR198" s="96">
        <f>IF(U198=0,0,IF(AND(INDEX('MTRs'!$BA$6:$BA$505,T198)=1,Z198=0),1,0))</f>
        <v>0</v>
      </c>
      <c r="AS198" s="96" t="str">
        <f>IF(R198=1,A198&amp;" | MTR "&amp;IF(U198=1,INDEX('MTRs'!$B$6:$B$505,T198)&amp;"","?")&amp;" | "&amp;IF(C198="","(sem resíduo)",C198),"")</f>
        <v/>
      </c>
      <c r="AT198" s="96" t="str">
        <f>IF(R198=1,COUNTIF($R$6:R198,1),"")</f>
        <v/>
      </c>
      <c r="AU198" s="96" t="str">
        <f>IF(U198=1,INDEX('MTRs'!$I$6:$I$505,T198)&amp;"","")</f>
        <v/>
      </c>
    </row>
    <row r="199">
      <c r="A199" s="89" t="inlineStr">
        <is>
          <t>IT-000194</t>
        </is>
      </c>
      <c r="B199" s="91" t="n"/>
      <c r="C199" s="91" t="n"/>
      <c r="D199" s="94" t="str">
        <f>IF(OR(R199=0,V199=0),"",INDEX('CAD_RESÍDUOS'!$E$6:$E$205,MATCH(C199,'CAD_RESÍDUOS'!$B$6:$B$205,0))&amp;"")</f>
        <v/>
      </c>
      <c r="E199" s="94" t="str">
        <f>IF(OR(R199=0,V199=0),"",INDEX('CAD_RESÍDUOS'!$C$6:$C$205,MATCH(C199,'CAD_RESÍDUOS'!$B$6:$B$205,0))&amp;"")</f>
        <v/>
      </c>
      <c r="F199" s="94" t="str">
        <f>IF(OR(R199=0,V199=0),"",INDEX('CAD_RESÍDUOS'!$G$6:$G$205,MATCH(C199,'CAD_RESÍDUOS'!$B$6:$B$205,0))&amp;"")</f>
        <v/>
      </c>
      <c r="G199" s="98" t="n"/>
      <c r="H199" s="91" t="n"/>
      <c r="I199" s="93" t="str">
        <f>IF(R199=0,"",IF(NOT(ISNUMBER(G199)),"",IF(ISNUMBER(X199),G199*X199,"UNIDADE A CONFERIR")))</f>
        <v/>
      </c>
      <c r="J199" s="91" t="n"/>
      <c r="K199" s="91" t="n"/>
      <c r="L199" s="93" t="str">
        <f>IF(R199=0,"",SUMIFS('RECEBIMENTOS'!$H$6:$H$1005,'RECEBIMENTOS'!$R$6:$R$1005,A199,'RECEBIMENTOS'!$X$6:$X$1005,1))</f>
        <v/>
      </c>
      <c r="M199" s="93" t="str">
        <f>IF(R199=0,"",SUMIFS('VÍNCULOS_CDF'!$H$6:$H$1005,'VÍNCULOS_CDF'!$R$6:$R$1005,A199,'VÍNCULOS_CDF'!$V$6:$V$1005,1))</f>
        <v/>
      </c>
      <c r="N199" s="99" t="str">
        <f>IF(OR(R199=0,AA199=0,NOT(ISNUMBER(I199))),"",I199-N(L199))</f>
        <v/>
      </c>
      <c r="O199" s="100" t="str">
        <f>IF(OR(R199=0,AK199&lt;=0),"",N(M199)/AK199)</f>
        <v/>
      </c>
      <c r="P199" s="94" t="str">
        <f>IF(R199=0,"",IF(S199="","Sem MTR associado",IF(U199=0,"MTR inexistente",IF(C199="","Resíduo não identificado",IF(V199=0,"Resíduo fora do cadastro",IF(W199=0,"Quantidade inválida",IF(H199="","Unidade não informada",IF(NOT(ISNUMBER(I199)),"Unidade a conferir",IF(AND(AH199=1,K199&lt;&gt;"Sim"),"Possível duplicidade",IF(Z199=1,"MTR cancelado",IF(AC199&gt;0,"Recebimento com alerta",IF(AA199=0,"Aguardando recebimento",IF(AB199&lt;AA199,"Recebimento a conferir",IF(AM199=1,"Quantidade a revisar",IF(AF199&gt;0,"Vínculo a revisar",IF(AD199=0,"Aguardando CDF",IF(AN199=0,"Vínculo de CDF parcial",IF(AE199&lt;AD199,"CDF a conferir","Documentação conferida"))))))))))))))))))</f>
        <v/>
      </c>
      <c r="Q199" s="93" t="str">
        <f>IF(OR(R199=0,AA199=0),"",MAX(0,N(L199)-N(M199)))</f>
        <v/>
      </c>
      <c r="R199" s="96">
        <f>IF(COUNTA(B199:C199,G199:H199,J199:K199)&gt;0,1,0)</f>
        <v>0</v>
      </c>
      <c r="S199" s="96" t="str">
        <f>IF(B199="","",TRIM(LEFT(B199,FIND(" |",B199&amp;" |")-1)))</f>
        <v/>
      </c>
      <c r="T199" s="96" t="str">
        <f>IF(S199="","",IFERROR(MATCH(S199,'MTRs'!$A$6:$A$505,0),""))</f>
        <v/>
      </c>
      <c r="U199" s="96">
        <f>IF(T199="",0,IF(INDEX('MTRs'!$Z$6:$Z$505,T199)=1,1,0))</f>
        <v>0</v>
      </c>
      <c r="V199" s="96">
        <f>IF(C199="",0,IF(ISNUMBER(MATCH(C199,'CAD_RESÍDUOS'!$B$6:$B$205,0)),1,0))</f>
        <v>0</v>
      </c>
      <c r="W199" s="96">
        <f>IF(AND(ISNUMBER(G199),G199&gt;0),1,0)</f>
        <v>0</v>
      </c>
      <c r="X199" s="96" t="str">
        <f>IF(H199="","",IFERROR(IF(ISNUMBER(INDEX(cfg_fac,MATCH(H199,cfg_units,0))),IF(INDEX(cfg_fac,MATCH(H199,cfg_units,0))&gt;0,INDEX(cfg_fac,MATCH(H199,cfg_units,0)),""),""),""))</f>
        <v/>
      </c>
      <c r="Y199" s="96">
        <f>IF(AND(W199=1,ISNUMBER(I199)),1,0)</f>
        <v>0</v>
      </c>
      <c r="Z199" s="96">
        <f>IF(U199=1,INDEX('MTRs'!$AA$6:$AA$505,T199),0)</f>
        <v>0</v>
      </c>
      <c r="AA199" s="96">
        <f>IF(R199=0,0,COUNTIFS('RECEBIMENTOS'!$R$6:$R$1005,A199,'RECEBIMENTOS'!$Q$6:$Q$1005,1))</f>
        <v>0</v>
      </c>
      <c r="AB199" s="96">
        <f>IF(R199=0,0,COUNTIFS('RECEBIMENTOS'!$R$6:$R$1005,A199,'RECEBIMENTOS'!$Z$6:$Z$1005,1))</f>
        <v>0</v>
      </c>
      <c r="AC199" s="96">
        <f>IF(R199=0,0,COUNTIFS('RECEBIMENTOS'!$R$6:$R$1005,A199,'RECEBIMENTOS'!$Y$6:$Y$1005,1))</f>
        <v>0</v>
      </c>
      <c r="AD199" s="96">
        <f>IF(R199=0,0,COUNTIFS('VÍNCULOS_CDF'!$R$6:$R$1005,A199,'VÍNCULOS_CDF'!$N$6:$N$1005,1))</f>
        <v>0</v>
      </c>
      <c r="AE199" s="96">
        <f>IF(R199=0,0,COUNTIFS('VÍNCULOS_CDF'!$R$6:$R$1005,A199,'VÍNCULOS_CDF'!$AA$6:$AA$1005,1))</f>
        <v>0</v>
      </c>
      <c r="AF199" s="96">
        <f>IF(R199=0,0,COUNTIFS('VÍNCULOS_CDF'!$R$6:$R$1005,A199,'VÍNCULOS_CDF'!$Y$6:$Y$1005,1))</f>
        <v>0</v>
      </c>
      <c r="AG199" s="96" t="str">
        <f>IF(AND(R199=1,S199&lt;&gt;"",C199&lt;&gt;""),S199&amp;"|"&amp;C199&amp;"|"&amp;G199&amp;"|"&amp;H199,"")</f>
        <v/>
      </c>
      <c r="AH199" s="96">
        <f>IF(AG199="",0,IF(SUMPRODUCT(--($AG$6:$AG$1005=AG199))&gt;1,1,0))</f>
        <v>0</v>
      </c>
      <c r="AI199" s="96">
        <f>IF(R199=0,0,IF(OR(U199=0,V199=0,Y199=0,AND(AH199=1,K199&lt;&gt;"Sim")),1,0))</f>
        <v>0</v>
      </c>
      <c r="AJ199" s="96">
        <f>IF(AND(R199=1,AA199&gt;0,AB199=AA199),1,0)</f>
        <v>0</v>
      </c>
      <c r="AK199" s="96">
        <f>IF(R199=0,0,IF(AA199&gt;0,N(L199),IF(ISNUMBER(I199),I199,0)))</f>
        <v>0</v>
      </c>
      <c r="AL199" s="96">
        <f>IF(R199=0,0,IF(AND(K199&lt;&gt;"Sim",N(M199)&gt;AK199+cfg_tol),1,0))</f>
        <v>0</v>
      </c>
      <c r="AM199" s="96">
        <f>IF(R199=0,0,IF(K199="Sim",0,IF(OR(AND(AA199&gt;0,ISNUMBER(I199),ABS(I199-N(L199))&gt;cfg_tol),AL199=1),1,0)))</f>
        <v>0</v>
      </c>
      <c r="AN199" s="96">
        <f>IF(AND(R199=1,N(M199)&gt;0,OR(N(M199)&gt;=AK199-cfg_tol,K199="Sim")),1,0)</f>
        <v>0</v>
      </c>
      <c r="AO199" s="96">
        <f>IF(AND(AN199=1,AD199&gt;0,AE199=AD199,AL199=0),1,0)</f>
        <v>0</v>
      </c>
      <c r="AP199" s="96">
        <f>IF(U199=0,0,IF(AND(INDEX('MTRs'!$AX$6:$AX$505,T199)=1,Z199=0,OR(f_res="",f_res="(Todos)",C199=f_res)),1,0))</f>
        <v>0</v>
      </c>
      <c r="AQ199" s="97" t="str">
        <f>IF(U199=0,"",INDEX('MTRs'!$AZ$6:$AZ$505,T199))</f>
        <v/>
      </c>
      <c r="AR199" s="96">
        <f>IF(U199=0,0,IF(AND(INDEX('MTRs'!$BA$6:$BA$505,T199)=1,Z199=0),1,0))</f>
        <v>0</v>
      </c>
      <c r="AS199" s="96" t="str">
        <f>IF(R199=1,A199&amp;" | MTR "&amp;IF(U199=1,INDEX('MTRs'!$B$6:$B$505,T199)&amp;"","?")&amp;" | "&amp;IF(C199="","(sem resíduo)",C199),"")</f>
        <v/>
      </c>
      <c r="AT199" s="96" t="str">
        <f>IF(R199=1,COUNTIF($R$6:R199,1),"")</f>
        <v/>
      </c>
      <c r="AU199" s="96" t="str">
        <f>IF(U199=1,INDEX('MTRs'!$I$6:$I$505,T199)&amp;"","")</f>
        <v/>
      </c>
    </row>
    <row r="200">
      <c r="A200" s="89" t="inlineStr">
        <is>
          <t>IT-000195</t>
        </is>
      </c>
      <c r="B200" s="91" t="n"/>
      <c r="C200" s="91" t="n"/>
      <c r="D200" s="94" t="str">
        <f>IF(OR(R200=0,V200=0),"",INDEX('CAD_RESÍDUOS'!$E$6:$E$205,MATCH(C200,'CAD_RESÍDUOS'!$B$6:$B$205,0))&amp;"")</f>
        <v/>
      </c>
      <c r="E200" s="94" t="str">
        <f>IF(OR(R200=0,V200=0),"",INDEX('CAD_RESÍDUOS'!$C$6:$C$205,MATCH(C200,'CAD_RESÍDUOS'!$B$6:$B$205,0))&amp;"")</f>
        <v/>
      </c>
      <c r="F200" s="94" t="str">
        <f>IF(OR(R200=0,V200=0),"",INDEX('CAD_RESÍDUOS'!$G$6:$G$205,MATCH(C200,'CAD_RESÍDUOS'!$B$6:$B$205,0))&amp;"")</f>
        <v/>
      </c>
      <c r="G200" s="98" t="n"/>
      <c r="H200" s="91" t="n"/>
      <c r="I200" s="93" t="str">
        <f>IF(R200=0,"",IF(NOT(ISNUMBER(G200)),"",IF(ISNUMBER(X200),G200*X200,"UNIDADE A CONFERIR")))</f>
        <v/>
      </c>
      <c r="J200" s="91" t="n"/>
      <c r="K200" s="91" t="n"/>
      <c r="L200" s="93" t="str">
        <f>IF(R200=0,"",SUMIFS('RECEBIMENTOS'!$H$6:$H$1005,'RECEBIMENTOS'!$R$6:$R$1005,A200,'RECEBIMENTOS'!$X$6:$X$1005,1))</f>
        <v/>
      </c>
      <c r="M200" s="93" t="str">
        <f>IF(R200=0,"",SUMIFS('VÍNCULOS_CDF'!$H$6:$H$1005,'VÍNCULOS_CDF'!$R$6:$R$1005,A200,'VÍNCULOS_CDF'!$V$6:$V$1005,1))</f>
        <v/>
      </c>
      <c r="N200" s="99" t="str">
        <f>IF(OR(R200=0,AA200=0,NOT(ISNUMBER(I200))),"",I200-N(L200))</f>
        <v/>
      </c>
      <c r="O200" s="100" t="str">
        <f>IF(OR(R200=0,AK200&lt;=0),"",N(M200)/AK200)</f>
        <v/>
      </c>
      <c r="P200" s="94" t="str">
        <f>IF(R200=0,"",IF(S200="","Sem MTR associado",IF(U200=0,"MTR inexistente",IF(C200="","Resíduo não identificado",IF(V200=0,"Resíduo fora do cadastro",IF(W200=0,"Quantidade inválida",IF(H200="","Unidade não informada",IF(NOT(ISNUMBER(I200)),"Unidade a conferir",IF(AND(AH200=1,K200&lt;&gt;"Sim"),"Possível duplicidade",IF(Z200=1,"MTR cancelado",IF(AC200&gt;0,"Recebimento com alerta",IF(AA200=0,"Aguardando recebimento",IF(AB200&lt;AA200,"Recebimento a conferir",IF(AM200=1,"Quantidade a revisar",IF(AF200&gt;0,"Vínculo a revisar",IF(AD200=0,"Aguardando CDF",IF(AN200=0,"Vínculo de CDF parcial",IF(AE200&lt;AD200,"CDF a conferir","Documentação conferida"))))))))))))))))))</f>
        <v/>
      </c>
      <c r="Q200" s="93" t="str">
        <f>IF(OR(R200=0,AA200=0),"",MAX(0,N(L200)-N(M200)))</f>
        <v/>
      </c>
      <c r="R200" s="96">
        <f>IF(COUNTA(B200:C200,G200:H200,J200:K200)&gt;0,1,0)</f>
        <v>0</v>
      </c>
      <c r="S200" s="96" t="str">
        <f>IF(B200="","",TRIM(LEFT(B200,FIND(" |",B200&amp;" |")-1)))</f>
        <v/>
      </c>
      <c r="T200" s="96" t="str">
        <f>IF(S200="","",IFERROR(MATCH(S200,'MTRs'!$A$6:$A$505,0),""))</f>
        <v/>
      </c>
      <c r="U200" s="96">
        <f>IF(T200="",0,IF(INDEX('MTRs'!$Z$6:$Z$505,T200)=1,1,0))</f>
        <v>0</v>
      </c>
      <c r="V200" s="96">
        <f>IF(C200="",0,IF(ISNUMBER(MATCH(C200,'CAD_RESÍDUOS'!$B$6:$B$205,0)),1,0))</f>
        <v>0</v>
      </c>
      <c r="W200" s="96">
        <f>IF(AND(ISNUMBER(G200),G200&gt;0),1,0)</f>
        <v>0</v>
      </c>
      <c r="X200" s="96" t="str">
        <f>IF(H200="","",IFERROR(IF(ISNUMBER(INDEX(cfg_fac,MATCH(H200,cfg_units,0))),IF(INDEX(cfg_fac,MATCH(H200,cfg_units,0))&gt;0,INDEX(cfg_fac,MATCH(H200,cfg_units,0)),""),""),""))</f>
        <v/>
      </c>
      <c r="Y200" s="96">
        <f>IF(AND(W200=1,ISNUMBER(I200)),1,0)</f>
        <v>0</v>
      </c>
      <c r="Z200" s="96">
        <f>IF(U200=1,INDEX('MTRs'!$AA$6:$AA$505,T200),0)</f>
        <v>0</v>
      </c>
      <c r="AA200" s="96">
        <f>IF(R200=0,0,COUNTIFS('RECEBIMENTOS'!$R$6:$R$1005,A200,'RECEBIMENTOS'!$Q$6:$Q$1005,1))</f>
        <v>0</v>
      </c>
      <c r="AB200" s="96">
        <f>IF(R200=0,0,COUNTIFS('RECEBIMENTOS'!$R$6:$R$1005,A200,'RECEBIMENTOS'!$Z$6:$Z$1005,1))</f>
        <v>0</v>
      </c>
      <c r="AC200" s="96">
        <f>IF(R200=0,0,COUNTIFS('RECEBIMENTOS'!$R$6:$R$1005,A200,'RECEBIMENTOS'!$Y$6:$Y$1005,1))</f>
        <v>0</v>
      </c>
      <c r="AD200" s="96">
        <f>IF(R200=0,0,COUNTIFS('VÍNCULOS_CDF'!$R$6:$R$1005,A200,'VÍNCULOS_CDF'!$N$6:$N$1005,1))</f>
        <v>0</v>
      </c>
      <c r="AE200" s="96">
        <f>IF(R200=0,0,COUNTIFS('VÍNCULOS_CDF'!$R$6:$R$1005,A200,'VÍNCULOS_CDF'!$AA$6:$AA$1005,1))</f>
        <v>0</v>
      </c>
      <c r="AF200" s="96">
        <f>IF(R200=0,0,COUNTIFS('VÍNCULOS_CDF'!$R$6:$R$1005,A200,'VÍNCULOS_CDF'!$Y$6:$Y$1005,1))</f>
        <v>0</v>
      </c>
      <c r="AG200" s="96" t="str">
        <f>IF(AND(R200=1,S200&lt;&gt;"",C200&lt;&gt;""),S200&amp;"|"&amp;C200&amp;"|"&amp;G200&amp;"|"&amp;H200,"")</f>
        <v/>
      </c>
      <c r="AH200" s="96">
        <f>IF(AG200="",0,IF(SUMPRODUCT(--($AG$6:$AG$1005=AG200))&gt;1,1,0))</f>
        <v>0</v>
      </c>
      <c r="AI200" s="96">
        <f>IF(R200=0,0,IF(OR(U200=0,V200=0,Y200=0,AND(AH200=1,K200&lt;&gt;"Sim")),1,0))</f>
        <v>0</v>
      </c>
      <c r="AJ200" s="96">
        <f>IF(AND(R200=1,AA200&gt;0,AB200=AA200),1,0)</f>
        <v>0</v>
      </c>
      <c r="AK200" s="96">
        <f>IF(R200=0,0,IF(AA200&gt;0,N(L200),IF(ISNUMBER(I200),I200,0)))</f>
        <v>0</v>
      </c>
      <c r="AL200" s="96">
        <f>IF(R200=0,0,IF(AND(K200&lt;&gt;"Sim",N(M200)&gt;AK200+cfg_tol),1,0))</f>
        <v>0</v>
      </c>
      <c r="AM200" s="96">
        <f>IF(R200=0,0,IF(K200="Sim",0,IF(OR(AND(AA200&gt;0,ISNUMBER(I200),ABS(I200-N(L200))&gt;cfg_tol),AL200=1),1,0)))</f>
        <v>0</v>
      </c>
      <c r="AN200" s="96">
        <f>IF(AND(R200=1,N(M200)&gt;0,OR(N(M200)&gt;=AK200-cfg_tol,K200="Sim")),1,0)</f>
        <v>0</v>
      </c>
      <c r="AO200" s="96">
        <f>IF(AND(AN200=1,AD200&gt;0,AE200=AD200,AL200=0),1,0)</f>
        <v>0</v>
      </c>
      <c r="AP200" s="96">
        <f>IF(U200=0,0,IF(AND(INDEX('MTRs'!$AX$6:$AX$505,T200)=1,Z200=0,OR(f_res="",f_res="(Todos)",C200=f_res)),1,0))</f>
        <v>0</v>
      </c>
      <c r="AQ200" s="97" t="str">
        <f>IF(U200=0,"",INDEX('MTRs'!$AZ$6:$AZ$505,T200))</f>
        <v/>
      </c>
      <c r="AR200" s="96">
        <f>IF(U200=0,0,IF(AND(INDEX('MTRs'!$BA$6:$BA$505,T200)=1,Z200=0),1,0))</f>
        <v>0</v>
      </c>
      <c r="AS200" s="96" t="str">
        <f>IF(R200=1,A200&amp;" | MTR "&amp;IF(U200=1,INDEX('MTRs'!$B$6:$B$505,T200)&amp;"","?")&amp;" | "&amp;IF(C200="","(sem resíduo)",C200),"")</f>
        <v/>
      </c>
      <c r="AT200" s="96" t="str">
        <f>IF(R200=1,COUNTIF($R$6:R200,1),"")</f>
        <v/>
      </c>
      <c r="AU200" s="96" t="str">
        <f>IF(U200=1,INDEX('MTRs'!$I$6:$I$505,T200)&amp;"","")</f>
        <v/>
      </c>
    </row>
    <row r="201">
      <c r="A201" s="89" t="inlineStr">
        <is>
          <t>IT-000196</t>
        </is>
      </c>
      <c r="B201" s="91" t="n"/>
      <c r="C201" s="91" t="n"/>
      <c r="D201" s="94" t="str">
        <f>IF(OR(R201=0,V201=0),"",INDEX('CAD_RESÍDUOS'!$E$6:$E$205,MATCH(C201,'CAD_RESÍDUOS'!$B$6:$B$205,0))&amp;"")</f>
        <v/>
      </c>
      <c r="E201" s="94" t="str">
        <f>IF(OR(R201=0,V201=0),"",INDEX('CAD_RESÍDUOS'!$C$6:$C$205,MATCH(C201,'CAD_RESÍDUOS'!$B$6:$B$205,0))&amp;"")</f>
        <v/>
      </c>
      <c r="F201" s="94" t="str">
        <f>IF(OR(R201=0,V201=0),"",INDEX('CAD_RESÍDUOS'!$G$6:$G$205,MATCH(C201,'CAD_RESÍDUOS'!$B$6:$B$205,0))&amp;"")</f>
        <v/>
      </c>
      <c r="G201" s="98" t="n"/>
      <c r="H201" s="91" t="n"/>
      <c r="I201" s="93" t="str">
        <f>IF(R201=0,"",IF(NOT(ISNUMBER(G201)),"",IF(ISNUMBER(X201),G201*X201,"UNIDADE A CONFERIR")))</f>
        <v/>
      </c>
      <c r="J201" s="91" t="n"/>
      <c r="K201" s="91" t="n"/>
      <c r="L201" s="93" t="str">
        <f>IF(R201=0,"",SUMIFS('RECEBIMENTOS'!$H$6:$H$1005,'RECEBIMENTOS'!$R$6:$R$1005,A201,'RECEBIMENTOS'!$X$6:$X$1005,1))</f>
        <v/>
      </c>
      <c r="M201" s="93" t="str">
        <f>IF(R201=0,"",SUMIFS('VÍNCULOS_CDF'!$H$6:$H$1005,'VÍNCULOS_CDF'!$R$6:$R$1005,A201,'VÍNCULOS_CDF'!$V$6:$V$1005,1))</f>
        <v/>
      </c>
      <c r="N201" s="99" t="str">
        <f>IF(OR(R201=0,AA201=0,NOT(ISNUMBER(I201))),"",I201-N(L201))</f>
        <v/>
      </c>
      <c r="O201" s="100" t="str">
        <f>IF(OR(R201=0,AK201&lt;=0),"",N(M201)/AK201)</f>
        <v/>
      </c>
      <c r="P201" s="94" t="str">
        <f>IF(R201=0,"",IF(S201="","Sem MTR associado",IF(U201=0,"MTR inexistente",IF(C201="","Resíduo não identificado",IF(V201=0,"Resíduo fora do cadastro",IF(W201=0,"Quantidade inválida",IF(H201="","Unidade não informada",IF(NOT(ISNUMBER(I201)),"Unidade a conferir",IF(AND(AH201=1,K201&lt;&gt;"Sim"),"Possível duplicidade",IF(Z201=1,"MTR cancelado",IF(AC201&gt;0,"Recebimento com alerta",IF(AA201=0,"Aguardando recebimento",IF(AB201&lt;AA201,"Recebimento a conferir",IF(AM201=1,"Quantidade a revisar",IF(AF201&gt;0,"Vínculo a revisar",IF(AD201=0,"Aguardando CDF",IF(AN201=0,"Vínculo de CDF parcial",IF(AE201&lt;AD201,"CDF a conferir","Documentação conferida"))))))))))))))))))</f>
        <v/>
      </c>
      <c r="Q201" s="93" t="str">
        <f>IF(OR(R201=0,AA201=0),"",MAX(0,N(L201)-N(M201)))</f>
        <v/>
      </c>
      <c r="R201" s="96">
        <f>IF(COUNTA(B201:C201,G201:H201,J201:K201)&gt;0,1,0)</f>
        <v>0</v>
      </c>
      <c r="S201" s="96" t="str">
        <f>IF(B201="","",TRIM(LEFT(B201,FIND(" |",B201&amp;" |")-1)))</f>
        <v/>
      </c>
      <c r="T201" s="96" t="str">
        <f>IF(S201="","",IFERROR(MATCH(S201,'MTRs'!$A$6:$A$505,0),""))</f>
        <v/>
      </c>
      <c r="U201" s="96">
        <f>IF(T201="",0,IF(INDEX('MTRs'!$Z$6:$Z$505,T201)=1,1,0))</f>
        <v>0</v>
      </c>
      <c r="V201" s="96">
        <f>IF(C201="",0,IF(ISNUMBER(MATCH(C201,'CAD_RESÍDUOS'!$B$6:$B$205,0)),1,0))</f>
        <v>0</v>
      </c>
      <c r="W201" s="96">
        <f>IF(AND(ISNUMBER(G201),G201&gt;0),1,0)</f>
        <v>0</v>
      </c>
      <c r="X201" s="96" t="str">
        <f>IF(H201="","",IFERROR(IF(ISNUMBER(INDEX(cfg_fac,MATCH(H201,cfg_units,0))),IF(INDEX(cfg_fac,MATCH(H201,cfg_units,0))&gt;0,INDEX(cfg_fac,MATCH(H201,cfg_units,0)),""),""),""))</f>
        <v/>
      </c>
      <c r="Y201" s="96">
        <f>IF(AND(W201=1,ISNUMBER(I201)),1,0)</f>
        <v>0</v>
      </c>
      <c r="Z201" s="96">
        <f>IF(U201=1,INDEX('MTRs'!$AA$6:$AA$505,T201),0)</f>
        <v>0</v>
      </c>
      <c r="AA201" s="96">
        <f>IF(R201=0,0,COUNTIFS('RECEBIMENTOS'!$R$6:$R$1005,A201,'RECEBIMENTOS'!$Q$6:$Q$1005,1))</f>
        <v>0</v>
      </c>
      <c r="AB201" s="96">
        <f>IF(R201=0,0,COUNTIFS('RECEBIMENTOS'!$R$6:$R$1005,A201,'RECEBIMENTOS'!$Z$6:$Z$1005,1))</f>
        <v>0</v>
      </c>
      <c r="AC201" s="96">
        <f>IF(R201=0,0,COUNTIFS('RECEBIMENTOS'!$R$6:$R$1005,A201,'RECEBIMENTOS'!$Y$6:$Y$1005,1))</f>
        <v>0</v>
      </c>
      <c r="AD201" s="96">
        <f>IF(R201=0,0,COUNTIFS('VÍNCULOS_CDF'!$R$6:$R$1005,A201,'VÍNCULOS_CDF'!$N$6:$N$1005,1))</f>
        <v>0</v>
      </c>
      <c r="AE201" s="96">
        <f>IF(R201=0,0,COUNTIFS('VÍNCULOS_CDF'!$R$6:$R$1005,A201,'VÍNCULOS_CDF'!$AA$6:$AA$1005,1))</f>
        <v>0</v>
      </c>
      <c r="AF201" s="96">
        <f>IF(R201=0,0,COUNTIFS('VÍNCULOS_CDF'!$R$6:$R$1005,A201,'VÍNCULOS_CDF'!$Y$6:$Y$1005,1))</f>
        <v>0</v>
      </c>
      <c r="AG201" s="96" t="str">
        <f>IF(AND(R201=1,S201&lt;&gt;"",C201&lt;&gt;""),S201&amp;"|"&amp;C201&amp;"|"&amp;G201&amp;"|"&amp;H201,"")</f>
        <v/>
      </c>
      <c r="AH201" s="96">
        <f>IF(AG201="",0,IF(SUMPRODUCT(--($AG$6:$AG$1005=AG201))&gt;1,1,0))</f>
        <v>0</v>
      </c>
      <c r="AI201" s="96">
        <f>IF(R201=0,0,IF(OR(U201=0,V201=0,Y201=0,AND(AH201=1,K201&lt;&gt;"Sim")),1,0))</f>
        <v>0</v>
      </c>
      <c r="AJ201" s="96">
        <f>IF(AND(R201=1,AA201&gt;0,AB201=AA201),1,0)</f>
        <v>0</v>
      </c>
      <c r="AK201" s="96">
        <f>IF(R201=0,0,IF(AA201&gt;0,N(L201),IF(ISNUMBER(I201),I201,0)))</f>
        <v>0</v>
      </c>
      <c r="AL201" s="96">
        <f>IF(R201=0,0,IF(AND(K201&lt;&gt;"Sim",N(M201)&gt;AK201+cfg_tol),1,0))</f>
        <v>0</v>
      </c>
      <c r="AM201" s="96">
        <f>IF(R201=0,0,IF(K201="Sim",0,IF(OR(AND(AA201&gt;0,ISNUMBER(I201),ABS(I201-N(L201))&gt;cfg_tol),AL201=1),1,0)))</f>
        <v>0</v>
      </c>
      <c r="AN201" s="96">
        <f>IF(AND(R201=1,N(M201)&gt;0,OR(N(M201)&gt;=AK201-cfg_tol,K201="Sim")),1,0)</f>
        <v>0</v>
      </c>
      <c r="AO201" s="96">
        <f>IF(AND(AN201=1,AD201&gt;0,AE201=AD201,AL201=0),1,0)</f>
        <v>0</v>
      </c>
      <c r="AP201" s="96">
        <f>IF(U201=0,0,IF(AND(INDEX('MTRs'!$AX$6:$AX$505,T201)=1,Z201=0,OR(f_res="",f_res="(Todos)",C201=f_res)),1,0))</f>
        <v>0</v>
      </c>
      <c r="AQ201" s="97" t="str">
        <f>IF(U201=0,"",INDEX('MTRs'!$AZ$6:$AZ$505,T201))</f>
        <v/>
      </c>
      <c r="AR201" s="96">
        <f>IF(U201=0,0,IF(AND(INDEX('MTRs'!$BA$6:$BA$505,T201)=1,Z201=0),1,0))</f>
        <v>0</v>
      </c>
      <c r="AS201" s="96" t="str">
        <f>IF(R201=1,A201&amp;" | MTR "&amp;IF(U201=1,INDEX('MTRs'!$B$6:$B$505,T201)&amp;"","?")&amp;" | "&amp;IF(C201="","(sem resíduo)",C201),"")</f>
        <v/>
      </c>
      <c r="AT201" s="96" t="str">
        <f>IF(R201=1,COUNTIF($R$6:R201,1),"")</f>
        <v/>
      </c>
      <c r="AU201" s="96" t="str">
        <f>IF(U201=1,INDEX('MTRs'!$I$6:$I$505,T201)&amp;"","")</f>
        <v/>
      </c>
    </row>
    <row r="202">
      <c r="A202" s="89" t="inlineStr">
        <is>
          <t>IT-000197</t>
        </is>
      </c>
      <c r="B202" s="91" t="n"/>
      <c r="C202" s="91" t="n"/>
      <c r="D202" s="94" t="str">
        <f>IF(OR(R202=0,V202=0),"",INDEX('CAD_RESÍDUOS'!$E$6:$E$205,MATCH(C202,'CAD_RESÍDUOS'!$B$6:$B$205,0))&amp;"")</f>
        <v/>
      </c>
      <c r="E202" s="94" t="str">
        <f>IF(OR(R202=0,V202=0),"",INDEX('CAD_RESÍDUOS'!$C$6:$C$205,MATCH(C202,'CAD_RESÍDUOS'!$B$6:$B$205,0))&amp;"")</f>
        <v/>
      </c>
      <c r="F202" s="94" t="str">
        <f>IF(OR(R202=0,V202=0),"",INDEX('CAD_RESÍDUOS'!$G$6:$G$205,MATCH(C202,'CAD_RESÍDUOS'!$B$6:$B$205,0))&amp;"")</f>
        <v/>
      </c>
      <c r="G202" s="98" t="n"/>
      <c r="H202" s="91" t="n"/>
      <c r="I202" s="93" t="str">
        <f>IF(R202=0,"",IF(NOT(ISNUMBER(G202)),"",IF(ISNUMBER(X202),G202*X202,"UNIDADE A CONFERIR")))</f>
        <v/>
      </c>
      <c r="J202" s="91" t="n"/>
      <c r="K202" s="91" t="n"/>
      <c r="L202" s="93" t="str">
        <f>IF(R202=0,"",SUMIFS('RECEBIMENTOS'!$H$6:$H$1005,'RECEBIMENTOS'!$R$6:$R$1005,A202,'RECEBIMENTOS'!$X$6:$X$1005,1))</f>
        <v/>
      </c>
      <c r="M202" s="93" t="str">
        <f>IF(R202=0,"",SUMIFS('VÍNCULOS_CDF'!$H$6:$H$1005,'VÍNCULOS_CDF'!$R$6:$R$1005,A202,'VÍNCULOS_CDF'!$V$6:$V$1005,1))</f>
        <v/>
      </c>
      <c r="N202" s="99" t="str">
        <f>IF(OR(R202=0,AA202=0,NOT(ISNUMBER(I202))),"",I202-N(L202))</f>
        <v/>
      </c>
      <c r="O202" s="100" t="str">
        <f>IF(OR(R202=0,AK202&lt;=0),"",N(M202)/AK202)</f>
        <v/>
      </c>
      <c r="P202" s="94" t="str">
        <f>IF(R202=0,"",IF(S202="","Sem MTR associado",IF(U202=0,"MTR inexistente",IF(C202="","Resíduo não identificado",IF(V202=0,"Resíduo fora do cadastro",IF(W202=0,"Quantidade inválida",IF(H202="","Unidade não informada",IF(NOT(ISNUMBER(I202)),"Unidade a conferir",IF(AND(AH202=1,K202&lt;&gt;"Sim"),"Possível duplicidade",IF(Z202=1,"MTR cancelado",IF(AC202&gt;0,"Recebimento com alerta",IF(AA202=0,"Aguardando recebimento",IF(AB202&lt;AA202,"Recebimento a conferir",IF(AM202=1,"Quantidade a revisar",IF(AF202&gt;0,"Vínculo a revisar",IF(AD202=0,"Aguardando CDF",IF(AN202=0,"Vínculo de CDF parcial",IF(AE202&lt;AD202,"CDF a conferir","Documentação conferida"))))))))))))))))))</f>
        <v/>
      </c>
      <c r="Q202" s="93" t="str">
        <f>IF(OR(R202=0,AA202=0),"",MAX(0,N(L202)-N(M202)))</f>
        <v/>
      </c>
      <c r="R202" s="96">
        <f>IF(COUNTA(B202:C202,G202:H202,J202:K202)&gt;0,1,0)</f>
        <v>0</v>
      </c>
      <c r="S202" s="96" t="str">
        <f>IF(B202="","",TRIM(LEFT(B202,FIND(" |",B202&amp;" |")-1)))</f>
        <v/>
      </c>
      <c r="T202" s="96" t="str">
        <f>IF(S202="","",IFERROR(MATCH(S202,'MTRs'!$A$6:$A$505,0),""))</f>
        <v/>
      </c>
      <c r="U202" s="96">
        <f>IF(T202="",0,IF(INDEX('MTRs'!$Z$6:$Z$505,T202)=1,1,0))</f>
        <v>0</v>
      </c>
      <c r="V202" s="96">
        <f>IF(C202="",0,IF(ISNUMBER(MATCH(C202,'CAD_RESÍDUOS'!$B$6:$B$205,0)),1,0))</f>
        <v>0</v>
      </c>
      <c r="W202" s="96">
        <f>IF(AND(ISNUMBER(G202),G202&gt;0),1,0)</f>
        <v>0</v>
      </c>
      <c r="X202" s="96" t="str">
        <f>IF(H202="","",IFERROR(IF(ISNUMBER(INDEX(cfg_fac,MATCH(H202,cfg_units,0))),IF(INDEX(cfg_fac,MATCH(H202,cfg_units,0))&gt;0,INDEX(cfg_fac,MATCH(H202,cfg_units,0)),""),""),""))</f>
        <v/>
      </c>
      <c r="Y202" s="96">
        <f>IF(AND(W202=1,ISNUMBER(I202)),1,0)</f>
        <v>0</v>
      </c>
      <c r="Z202" s="96">
        <f>IF(U202=1,INDEX('MTRs'!$AA$6:$AA$505,T202),0)</f>
        <v>0</v>
      </c>
      <c r="AA202" s="96">
        <f>IF(R202=0,0,COUNTIFS('RECEBIMENTOS'!$R$6:$R$1005,A202,'RECEBIMENTOS'!$Q$6:$Q$1005,1))</f>
        <v>0</v>
      </c>
      <c r="AB202" s="96">
        <f>IF(R202=0,0,COUNTIFS('RECEBIMENTOS'!$R$6:$R$1005,A202,'RECEBIMENTOS'!$Z$6:$Z$1005,1))</f>
        <v>0</v>
      </c>
      <c r="AC202" s="96">
        <f>IF(R202=0,0,COUNTIFS('RECEBIMENTOS'!$R$6:$R$1005,A202,'RECEBIMENTOS'!$Y$6:$Y$1005,1))</f>
        <v>0</v>
      </c>
      <c r="AD202" s="96">
        <f>IF(R202=0,0,COUNTIFS('VÍNCULOS_CDF'!$R$6:$R$1005,A202,'VÍNCULOS_CDF'!$N$6:$N$1005,1))</f>
        <v>0</v>
      </c>
      <c r="AE202" s="96">
        <f>IF(R202=0,0,COUNTIFS('VÍNCULOS_CDF'!$R$6:$R$1005,A202,'VÍNCULOS_CDF'!$AA$6:$AA$1005,1))</f>
        <v>0</v>
      </c>
      <c r="AF202" s="96">
        <f>IF(R202=0,0,COUNTIFS('VÍNCULOS_CDF'!$R$6:$R$1005,A202,'VÍNCULOS_CDF'!$Y$6:$Y$1005,1))</f>
        <v>0</v>
      </c>
      <c r="AG202" s="96" t="str">
        <f>IF(AND(R202=1,S202&lt;&gt;"",C202&lt;&gt;""),S202&amp;"|"&amp;C202&amp;"|"&amp;G202&amp;"|"&amp;H202,"")</f>
        <v/>
      </c>
      <c r="AH202" s="96">
        <f>IF(AG202="",0,IF(SUMPRODUCT(--($AG$6:$AG$1005=AG202))&gt;1,1,0))</f>
        <v>0</v>
      </c>
      <c r="AI202" s="96">
        <f>IF(R202=0,0,IF(OR(U202=0,V202=0,Y202=0,AND(AH202=1,K202&lt;&gt;"Sim")),1,0))</f>
        <v>0</v>
      </c>
      <c r="AJ202" s="96">
        <f>IF(AND(R202=1,AA202&gt;0,AB202=AA202),1,0)</f>
        <v>0</v>
      </c>
      <c r="AK202" s="96">
        <f>IF(R202=0,0,IF(AA202&gt;0,N(L202),IF(ISNUMBER(I202),I202,0)))</f>
        <v>0</v>
      </c>
      <c r="AL202" s="96">
        <f>IF(R202=0,0,IF(AND(K202&lt;&gt;"Sim",N(M202)&gt;AK202+cfg_tol),1,0))</f>
        <v>0</v>
      </c>
      <c r="AM202" s="96">
        <f>IF(R202=0,0,IF(K202="Sim",0,IF(OR(AND(AA202&gt;0,ISNUMBER(I202),ABS(I202-N(L202))&gt;cfg_tol),AL202=1),1,0)))</f>
        <v>0</v>
      </c>
      <c r="AN202" s="96">
        <f>IF(AND(R202=1,N(M202)&gt;0,OR(N(M202)&gt;=AK202-cfg_tol,K202="Sim")),1,0)</f>
        <v>0</v>
      </c>
      <c r="AO202" s="96">
        <f>IF(AND(AN202=1,AD202&gt;0,AE202=AD202,AL202=0),1,0)</f>
        <v>0</v>
      </c>
      <c r="AP202" s="96">
        <f>IF(U202=0,0,IF(AND(INDEX('MTRs'!$AX$6:$AX$505,T202)=1,Z202=0,OR(f_res="",f_res="(Todos)",C202=f_res)),1,0))</f>
        <v>0</v>
      </c>
      <c r="AQ202" s="97" t="str">
        <f>IF(U202=0,"",INDEX('MTRs'!$AZ$6:$AZ$505,T202))</f>
        <v/>
      </c>
      <c r="AR202" s="96">
        <f>IF(U202=0,0,IF(AND(INDEX('MTRs'!$BA$6:$BA$505,T202)=1,Z202=0),1,0))</f>
        <v>0</v>
      </c>
      <c r="AS202" s="96" t="str">
        <f>IF(R202=1,A202&amp;" | MTR "&amp;IF(U202=1,INDEX('MTRs'!$B$6:$B$505,T202)&amp;"","?")&amp;" | "&amp;IF(C202="","(sem resíduo)",C202),"")</f>
        <v/>
      </c>
      <c r="AT202" s="96" t="str">
        <f>IF(R202=1,COUNTIF($R$6:R202,1),"")</f>
        <v/>
      </c>
      <c r="AU202" s="96" t="str">
        <f>IF(U202=1,INDEX('MTRs'!$I$6:$I$505,T202)&amp;"","")</f>
        <v/>
      </c>
    </row>
    <row r="203">
      <c r="A203" s="89" t="inlineStr">
        <is>
          <t>IT-000198</t>
        </is>
      </c>
      <c r="B203" s="91" t="n"/>
      <c r="C203" s="91" t="n"/>
      <c r="D203" s="94" t="str">
        <f>IF(OR(R203=0,V203=0),"",INDEX('CAD_RESÍDUOS'!$E$6:$E$205,MATCH(C203,'CAD_RESÍDUOS'!$B$6:$B$205,0))&amp;"")</f>
        <v/>
      </c>
      <c r="E203" s="94" t="str">
        <f>IF(OR(R203=0,V203=0),"",INDEX('CAD_RESÍDUOS'!$C$6:$C$205,MATCH(C203,'CAD_RESÍDUOS'!$B$6:$B$205,0))&amp;"")</f>
        <v/>
      </c>
      <c r="F203" s="94" t="str">
        <f>IF(OR(R203=0,V203=0),"",INDEX('CAD_RESÍDUOS'!$G$6:$G$205,MATCH(C203,'CAD_RESÍDUOS'!$B$6:$B$205,0))&amp;"")</f>
        <v/>
      </c>
      <c r="G203" s="98" t="n"/>
      <c r="H203" s="91" t="n"/>
      <c r="I203" s="93" t="str">
        <f>IF(R203=0,"",IF(NOT(ISNUMBER(G203)),"",IF(ISNUMBER(X203),G203*X203,"UNIDADE A CONFERIR")))</f>
        <v/>
      </c>
      <c r="J203" s="91" t="n"/>
      <c r="K203" s="91" t="n"/>
      <c r="L203" s="93" t="str">
        <f>IF(R203=0,"",SUMIFS('RECEBIMENTOS'!$H$6:$H$1005,'RECEBIMENTOS'!$R$6:$R$1005,A203,'RECEBIMENTOS'!$X$6:$X$1005,1))</f>
        <v/>
      </c>
      <c r="M203" s="93" t="str">
        <f>IF(R203=0,"",SUMIFS('VÍNCULOS_CDF'!$H$6:$H$1005,'VÍNCULOS_CDF'!$R$6:$R$1005,A203,'VÍNCULOS_CDF'!$V$6:$V$1005,1))</f>
        <v/>
      </c>
      <c r="N203" s="99" t="str">
        <f>IF(OR(R203=0,AA203=0,NOT(ISNUMBER(I203))),"",I203-N(L203))</f>
        <v/>
      </c>
      <c r="O203" s="100" t="str">
        <f>IF(OR(R203=0,AK203&lt;=0),"",N(M203)/AK203)</f>
        <v/>
      </c>
      <c r="P203" s="94" t="str">
        <f>IF(R203=0,"",IF(S203="","Sem MTR associado",IF(U203=0,"MTR inexistente",IF(C203="","Resíduo não identificado",IF(V203=0,"Resíduo fora do cadastro",IF(W203=0,"Quantidade inválida",IF(H203="","Unidade não informada",IF(NOT(ISNUMBER(I203)),"Unidade a conferir",IF(AND(AH203=1,K203&lt;&gt;"Sim"),"Possível duplicidade",IF(Z203=1,"MTR cancelado",IF(AC203&gt;0,"Recebimento com alerta",IF(AA203=0,"Aguardando recebimento",IF(AB203&lt;AA203,"Recebimento a conferir",IF(AM203=1,"Quantidade a revisar",IF(AF203&gt;0,"Vínculo a revisar",IF(AD203=0,"Aguardando CDF",IF(AN203=0,"Vínculo de CDF parcial",IF(AE203&lt;AD203,"CDF a conferir","Documentação conferida"))))))))))))))))))</f>
        <v/>
      </c>
      <c r="Q203" s="93" t="str">
        <f>IF(OR(R203=0,AA203=0),"",MAX(0,N(L203)-N(M203)))</f>
        <v/>
      </c>
      <c r="R203" s="96">
        <f>IF(COUNTA(B203:C203,G203:H203,J203:K203)&gt;0,1,0)</f>
        <v>0</v>
      </c>
      <c r="S203" s="96" t="str">
        <f>IF(B203="","",TRIM(LEFT(B203,FIND(" |",B203&amp;" |")-1)))</f>
        <v/>
      </c>
      <c r="T203" s="96" t="str">
        <f>IF(S203="","",IFERROR(MATCH(S203,'MTRs'!$A$6:$A$505,0),""))</f>
        <v/>
      </c>
      <c r="U203" s="96">
        <f>IF(T203="",0,IF(INDEX('MTRs'!$Z$6:$Z$505,T203)=1,1,0))</f>
        <v>0</v>
      </c>
      <c r="V203" s="96">
        <f>IF(C203="",0,IF(ISNUMBER(MATCH(C203,'CAD_RESÍDUOS'!$B$6:$B$205,0)),1,0))</f>
        <v>0</v>
      </c>
      <c r="W203" s="96">
        <f>IF(AND(ISNUMBER(G203),G203&gt;0),1,0)</f>
        <v>0</v>
      </c>
      <c r="X203" s="96" t="str">
        <f>IF(H203="","",IFERROR(IF(ISNUMBER(INDEX(cfg_fac,MATCH(H203,cfg_units,0))),IF(INDEX(cfg_fac,MATCH(H203,cfg_units,0))&gt;0,INDEX(cfg_fac,MATCH(H203,cfg_units,0)),""),""),""))</f>
        <v/>
      </c>
      <c r="Y203" s="96">
        <f>IF(AND(W203=1,ISNUMBER(I203)),1,0)</f>
        <v>0</v>
      </c>
      <c r="Z203" s="96">
        <f>IF(U203=1,INDEX('MTRs'!$AA$6:$AA$505,T203),0)</f>
        <v>0</v>
      </c>
      <c r="AA203" s="96">
        <f>IF(R203=0,0,COUNTIFS('RECEBIMENTOS'!$R$6:$R$1005,A203,'RECEBIMENTOS'!$Q$6:$Q$1005,1))</f>
        <v>0</v>
      </c>
      <c r="AB203" s="96">
        <f>IF(R203=0,0,COUNTIFS('RECEBIMENTOS'!$R$6:$R$1005,A203,'RECEBIMENTOS'!$Z$6:$Z$1005,1))</f>
        <v>0</v>
      </c>
      <c r="AC203" s="96">
        <f>IF(R203=0,0,COUNTIFS('RECEBIMENTOS'!$R$6:$R$1005,A203,'RECEBIMENTOS'!$Y$6:$Y$1005,1))</f>
        <v>0</v>
      </c>
      <c r="AD203" s="96">
        <f>IF(R203=0,0,COUNTIFS('VÍNCULOS_CDF'!$R$6:$R$1005,A203,'VÍNCULOS_CDF'!$N$6:$N$1005,1))</f>
        <v>0</v>
      </c>
      <c r="AE203" s="96">
        <f>IF(R203=0,0,COUNTIFS('VÍNCULOS_CDF'!$R$6:$R$1005,A203,'VÍNCULOS_CDF'!$AA$6:$AA$1005,1))</f>
        <v>0</v>
      </c>
      <c r="AF203" s="96">
        <f>IF(R203=0,0,COUNTIFS('VÍNCULOS_CDF'!$R$6:$R$1005,A203,'VÍNCULOS_CDF'!$Y$6:$Y$1005,1))</f>
        <v>0</v>
      </c>
      <c r="AG203" s="96" t="str">
        <f>IF(AND(R203=1,S203&lt;&gt;"",C203&lt;&gt;""),S203&amp;"|"&amp;C203&amp;"|"&amp;G203&amp;"|"&amp;H203,"")</f>
        <v/>
      </c>
      <c r="AH203" s="96">
        <f>IF(AG203="",0,IF(SUMPRODUCT(--($AG$6:$AG$1005=AG203))&gt;1,1,0))</f>
        <v>0</v>
      </c>
      <c r="AI203" s="96">
        <f>IF(R203=0,0,IF(OR(U203=0,V203=0,Y203=0,AND(AH203=1,K203&lt;&gt;"Sim")),1,0))</f>
        <v>0</v>
      </c>
      <c r="AJ203" s="96">
        <f>IF(AND(R203=1,AA203&gt;0,AB203=AA203),1,0)</f>
        <v>0</v>
      </c>
      <c r="AK203" s="96">
        <f>IF(R203=0,0,IF(AA203&gt;0,N(L203),IF(ISNUMBER(I203),I203,0)))</f>
        <v>0</v>
      </c>
      <c r="AL203" s="96">
        <f>IF(R203=0,0,IF(AND(K203&lt;&gt;"Sim",N(M203)&gt;AK203+cfg_tol),1,0))</f>
        <v>0</v>
      </c>
      <c r="AM203" s="96">
        <f>IF(R203=0,0,IF(K203="Sim",0,IF(OR(AND(AA203&gt;0,ISNUMBER(I203),ABS(I203-N(L203))&gt;cfg_tol),AL203=1),1,0)))</f>
        <v>0</v>
      </c>
      <c r="AN203" s="96">
        <f>IF(AND(R203=1,N(M203)&gt;0,OR(N(M203)&gt;=AK203-cfg_tol,K203="Sim")),1,0)</f>
        <v>0</v>
      </c>
      <c r="AO203" s="96">
        <f>IF(AND(AN203=1,AD203&gt;0,AE203=AD203,AL203=0),1,0)</f>
        <v>0</v>
      </c>
      <c r="AP203" s="96">
        <f>IF(U203=0,0,IF(AND(INDEX('MTRs'!$AX$6:$AX$505,T203)=1,Z203=0,OR(f_res="",f_res="(Todos)",C203=f_res)),1,0))</f>
        <v>0</v>
      </c>
      <c r="AQ203" s="97" t="str">
        <f>IF(U203=0,"",INDEX('MTRs'!$AZ$6:$AZ$505,T203))</f>
        <v/>
      </c>
      <c r="AR203" s="96">
        <f>IF(U203=0,0,IF(AND(INDEX('MTRs'!$BA$6:$BA$505,T203)=1,Z203=0),1,0))</f>
        <v>0</v>
      </c>
      <c r="AS203" s="96" t="str">
        <f>IF(R203=1,A203&amp;" | MTR "&amp;IF(U203=1,INDEX('MTRs'!$B$6:$B$505,T203)&amp;"","?")&amp;" | "&amp;IF(C203="","(sem resíduo)",C203),"")</f>
        <v/>
      </c>
      <c r="AT203" s="96" t="str">
        <f>IF(R203=1,COUNTIF($R$6:R203,1),"")</f>
        <v/>
      </c>
      <c r="AU203" s="96" t="str">
        <f>IF(U203=1,INDEX('MTRs'!$I$6:$I$505,T203)&amp;"","")</f>
        <v/>
      </c>
    </row>
    <row r="204">
      <c r="A204" s="89" t="inlineStr">
        <is>
          <t>IT-000199</t>
        </is>
      </c>
      <c r="B204" s="91" t="n"/>
      <c r="C204" s="91" t="n"/>
      <c r="D204" s="94" t="str">
        <f>IF(OR(R204=0,V204=0),"",INDEX('CAD_RESÍDUOS'!$E$6:$E$205,MATCH(C204,'CAD_RESÍDUOS'!$B$6:$B$205,0))&amp;"")</f>
        <v/>
      </c>
      <c r="E204" s="94" t="str">
        <f>IF(OR(R204=0,V204=0),"",INDEX('CAD_RESÍDUOS'!$C$6:$C$205,MATCH(C204,'CAD_RESÍDUOS'!$B$6:$B$205,0))&amp;"")</f>
        <v/>
      </c>
      <c r="F204" s="94" t="str">
        <f>IF(OR(R204=0,V204=0),"",INDEX('CAD_RESÍDUOS'!$G$6:$G$205,MATCH(C204,'CAD_RESÍDUOS'!$B$6:$B$205,0))&amp;"")</f>
        <v/>
      </c>
      <c r="G204" s="98" t="n"/>
      <c r="H204" s="91" t="n"/>
      <c r="I204" s="93" t="str">
        <f>IF(R204=0,"",IF(NOT(ISNUMBER(G204)),"",IF(ISNUMBER(X204),G204*X204,"UNIDADE A CONFERIR")))</f>
        <v/>
      </c>
      <c r="J204" s="91" t="n"/>
      <c r="K204" s="91" t="n"/>
      <c r="L204" s="93" t="str">
        <f>IF(R204=0,"",SUMIFS('RECEBIMENTOS'!$H$6:$H$1005,'RECEBIMENTOS'!$R$6:$R$1005,A204,'RECEBIMENTOS'!$X$6:$X$1005,1))</f>
        <v/>
      </c>
      <c r="M204" s="93" t="str">
        <f>IF(R204=0,"",SUMIFS('VÍNCULOS_CDF'!$H$6:$H$1005,'VÍNCULOS_CDF'!$R$6:$R$1005,A204,'VÍNCULOS_CDF'!$V$6:$V$1005,1))</f>
        <v/>
      </c>
      <c r="N204" s="99" t="str">
        <f>IF(OR(R204=0,AA204=0,NOT(ISNUMBER(I204))),"",I204-N(L204))</f>
        <v/>
      </c>
      <c r="O204" s="100" t="str">
        <f>IF(OR(R204=0,AK204&lt;=0),"",N(M204)/AK204)</f>
        <v/>
      </c>
      <c r="P204" s="94" t="str">
        <f>IF(R204=0,"",IF(S204="","Sem MTR associado",IF(U204=0,"MTR inexistente",IF(C204="","Resíduo não identificado",IF(V204=0,"Resíduo fora do cadastro",IF(W204=0,"Quantidade inválida",IF(H204="","Unidade não informada",IF(NOT(ISNUMBER(I204)),"Unidade a conferir",IF(AND(AH204=1,K204&lt;&gt;"Sim"),"Possível duplicidade",IF(Z204=1,"MTR cancelado",IF(AC204&gt;0,"Recebimento com alerta",IF(AA204=0,"Aguardando recebimento",IF(AB204&lt;AA204,"Recebimento a conferir",IF(AM204=1,"Quantidade a revisar",IF(AF204&gt;0,"Vínculo a revisar",IF(AD204=0,"Aguardando CDF",IF(AN204=0,"Vínculo de CDF parcial",IF(AE204&lt;AD204,"CDF a conferir","Documentação conferida"))))))))))))))))))</f>
        <v/>
      </c>
      <c r="Q204" s="93" t="str">
        <f>IF(OR(R204=0,AA204=0),"",MAX(0,N(L204)-N(M204)))</f>
        <v/>
      </c>
      <c r="R204" s="96">
        <f>IF(COUNTA(B204:C204,G204:H204,J204:K204)&gt;0,1,0)</f>
        <v>0</v>
      </c>
      <c r="S204" s="96" t="str">
        <f>IF(B204="","",TRIM(LEFT(B204,FIND(" |",B204&amp;" |")-1)))</f>
        <v/>
      </c>
      <c r="T204" s="96" t="str">
        <f>IF(S204="","",IFERROR(MATCH(S204,'MTRs'!$A$6:$A$505,0),""))</f>
        <v/>
      </c>
      <c r="U204" s="96">
        <f>IF(T204="",0,IF(INDEX('MTRs'!$Z$6:$Z$505,T204)=1,1,0))</f>
        <v>0</v>
      </c>
      <c r="V204" s="96">
        <f>IF(C204="",0,IF(ISNUMBER(MATCH(C204,'CAD_RESÍDUOS'!$B$6:$B$205,0)),1,0))</f>
        <v>0</v>
      </c>
      <c r="W204" s="96">
        <f>IF(AND(ISNUMBER(G204),G204&gt;0),1,0)</f>
        <v>0</v>
      </c>
      <c r="X204" s="96" t="str">
        <f>IF(H204="","",IFERROR(IF(ISNUMBER(INDEX(cfg_fac,MATCH(H204,cfg_units,0))),IF(INDEX(cfg_fac,MATCH(H204,cfg_units,0))&gt;0,INDEX(cfg_fac,MATCH(H204,cfg_units,0)),""),""),""))</f>
        <v/>
      </c>
      <c r="Y204" s="96">
        <f>IF(AND(W204=1,ISNUMBER(I204)),1,0)</f>
        <v>0</v>
      </c>
      <c r="Z204" s="96">
        <f>IF(U204=1,INDEX('MTRs'!$AA$6:$AA$505,T204),0)</f>
        <v>0</v>
      </c>
      <c r="AA204" s="96">
        <f>IF(R204=0,0,COUNTIFS('RECEBIMENTOS'!$R$6:$R$1005,A204,'RECEBIMENTOS'!$Q$6:$Q$1005,1))</f>
        <v>0</v>
      </c>
      <c r="AB204" s="96">
        <f>IF(R204=0,0,COUNTIFS('RECEBIMENTOS'!$R$6:$R$1005,A204,'RECEBIMENTOS'!$Z$6:$Z$1005,1))</f>
        <v>0</v>
      </c>
      <c r="AC204" s="96">
        <f>IF(R204=0,0,COUNTIFS('RECEBIMENTOS'!$R$6:$R$1005,A204,'RECEBIMENTOS'!$Y$6:$Y$1005,1))</f>
        <v>0</v>
      </c>
      <c r="AD204" s="96">
        <f>IF(R204=0,0,COUNTIFS('VÍNCULOS_CDF'!$R$6:$R$1005,A204,'VÍNCULOS_CDF'!$N$6:$N$1005,1))</f>
        <v>0</v>
      </c>
      <c r="AE204" s="96">
        <f>IF(R204=0,0,COUNTIFS('VÍNCULOS_CDF'!$R$6:$R$1005,A204,'VÍNCULOS_CDF'!$AA$6:$AA$1005,1))</f>
        <v>0</v>
      </c>
      <c r="AF204" s="96">
        <f>IF(R204=0,0,COUNTIFS('VÍNCULOS_CDF'!$R$6:$R$1005,A204,'VÍNCULOS_CDF'!$Y$6:$Y$1005,1))</f>
        <v>0</v>
      </c>
      <c r="AG204" s="96" t="str">
        <f>IF(AND(R204=1,S204&lt;&gt;"",C204&lt;&gt;""),S204&amp;"|"&amp;C204&amp;"|"&amp;G204&amp;"|"&amp;H204,"")</f>
        <v/>
      </c>
      <c r="AH204" s="96">
        <f>IF(AG204="",0,IF(SUMPRODUCT(--($AG$6:$AG$1005=AG204))&gt;1,1,0))</f>
        <v>0</v>
      </c>
      <c r="AI204" s="96">
        <f>IF(R204=0,0,IF(OR(U204=0,V204=0,Y204=0,AND(AH204=1,K204&lt;&gt;"Sim")),1,0))</f>
        <v>0</v>
      </c>
      <c r="AJ204" s="96">
        <f>IF(AND(R204=1,AA204&gt;0,AB204=AA204),1,0)</f>
        <v>0</v>
      </c>
      <c r="AK204" s="96">
        <f>IF(R204=0,0,IF(AA204&gt;0,N(L204),IF(ISNUMBER(I204),I204,0)))</f>
        <v>0</v>
      </c>
      <c r="AL204" s="96">
        <f>IF(R204=0,0,IF(AND(K204&lt;&gt;"Sim",N(M204)&gt;AK204+cfg_tol),1,0))</f>
        <v>0</v>
      </c>
      <c r="AM204" s="96">
        <f>IF(R204=0,0,IF(K204="Sim",0,IF(OR(AND(AA204&gt;0,ISNUMBER(I204),ABS(I204-N(L204))&gt;cfg_tol),AL204=1),1,0)))</f>
        <v>0</v>
      </c>
      <c r="AN204" s="96">
        <f>IF(AND(R204=1,N(M204)&gt;0,OR(N(M204)&gt;=AK204-cfg_tol,K204="Sim")),1,0)</f>
        <v>0</v>
      </c>
      <c r="AO204" s="96">
        <f>IF(AND(AN204=1,AD204&gt;0,AE204=AD204,AL204=0),1,0)</f>
        <v>0</v>
      </c>
      <c r="AP204" s="96">
        <f>IF(U204=0,0,IF(AND(INDEX('MTRs'!$AX$6:$AX$505,T204)=1,Z204=0,OR(f_res="",f_res="(Todos)",C204=f_res)),1,0))</f>
        <v>0</v>
      </c>
      <c r="AQ204" s="97" t="str">
        <f>IF(U204=0,"",INDEX('MTRs'!$AZ$6:$AZ$505,T204))</f>
        <v/>
      </c>
      <c r="AR204" s="96">
        <f>IF(U204=0,0,IF(AND(INDEX('MTRs'!$BA$6:$BA$505,T204)=1,Z204=0),1,0))</f>
        <v>0</v>
      </c>
      <c r="AS204" s="96" t="str">
        <f>IF(R204=1,A204&amp;" | MTR "&amp;IF(U204=1,INDEX('MTRs'!$B$6:$B$505,T204)&amp;"","?")&amp;" | "&amp;IF(C204="","(sem resíduo)",C204),"")</f>
        <v/>
      </c>
      <c r="AT204" s="96" t="str">
        <f>IF(R204=1,COUNTIF($R$6:R204,1),"")</f>
        <v/>
      </c>
      <c r="AU204" s="96" t="str">
        <f>IF(U204=1,INDEX('MTRs'!$I$6:$I$505,T204)&amp;"","")</f>
        <v/>
      </c>
    </row>
    <row r="205">
      <c r="A205" s="89" t="inlineStr">
        <is>
          <t>IT-000200</t>
        </is>
      </c>
      <c r="B205" s="91" t="n"/>
      <c r="C205" s="91" t="n"/>
      <c r="D205" s="94" t="str">
        <f>IF(OR(R205=0,V205=0),"",INDEX('CAD_RESÍDUOS'!$E$6:$E$205,MATCH(C205,'CAD_RESÍDUOS'!$B$6:$B$205,0))&amp;"")</f>
        <v/>
      </c>
      <c r="E205" s="94" t="str">
        <f>IF(OR(R205=0,V205=0),"",INDEX('CAD_RESÍDUOS'!$C$6:$C$205,MATCH(C205,'CAD_RESÍDUOS'!$B$6:$B$205,0))&amp;"")</f>
        <v/>
      </c>
      <c r="F205" s="94" t="str">
        <f>IF(OR(R205=0,V205=0),"",INDEX('CAD_RESÍDUOS'!$G$6:$G$205,MATCH(C205,'CAD_RESÍDUOS'!$B$6:$B$205,0))&amp;"")</f>
        <v/>
      </c>
      <c r="G205" s="98" t="n"/>
      <c r="H205" s="91" t="n"/>
      <c r="I205" s="93" t="str">
        <f>IF(R205=0,"",IF(NOT(ISNUMBER(G205)),"",IF(ISNUMBER(X205),G205*X205,"UNIDADE A CONFERIR")))</f>
        <v/>
      </c>
      <c r="J205" s="91" t="n"/>
      <c r="K205" s="91" t="n"/>
      <c r="L205" s="93" t="str">
        <f>IF(R205=0,"",SUMIFS('RECEBIMENTOS'!$H$6:$H$1005,'RECEBIMENTOS'!$R$6:$R$1005,A205,'RECEBIMENTOS'!$X$6:$X$1005,1))</f>
        <v/>
      </c>
      <c r="M205" s="93" t="str">
        <f>IF(R205=0,"",SUMIFS('VÍNCULOS_CDF'!$H$6:$H$1005,'VÍNCULOS_CDF'!$R$6:$R$1005,A205,'VÍNCULOS_CDF'!$V$6:$V$1005,1))</f>
        <v/>
      </c>
      <c r="N205" s="99" t="str">
        <f>IF(OR(R205=0,AA205=0,NOT(ISNUMBER(I205))),"",I205-N(L205))</f>
        <v/>
      </c>
      <c r="O205" s="100" t="str">
        <f>IF(OR(R205=0,AK205&lt;=0),"",N(M205)/AK205)</f>
        <v/>
      </c>
      <c r="P205" s="94" t="str">
        <f>IF(R205=0,"",IF(S205="","Sem MTR associado",IF(U205=0,"MTR inexistente",IF(C205="","Resíduo não identificado",IF(V205=0,"Resíduo fora do cadastro",IF(W205=0,"Quantidade inválida",IF(H205="","Unidade não informada",IF(NOT(ISNUMBER(I205)),"Unidade a conferir",IF(AND(AH205=1,K205&lt;&gt;"Sim"),"Possível duplicidade",IF(Z205=1,"MTR cancelado",IF(AC205&gt;0,"Recebimento com alerta",IF(AA205=0,"Aguardando recebimento",IF(AB205&lt;AA205,"Recebimento a conferir",IF(AM205=1,"Quantidade a revisar",IF(AF205&gt;0,"Vínculo a revisar",IF(AD205=0,"Aguardando CDF",IF(AN205=0,"Vínculo de CDF parcial",IF(AE205&lt;AD205,"CDF a conferir","Documentação conferida"))))))))))))))))))</f>
        <v/>
      </c>
      <c r="Q205" s="93" t="str">
        <f>IF(OR(R205=0,AA205=0),"",MAX(0,N(L205)-N(M205)))</f>
        <v/>
      </c>
      <c r="R205" s="96">
        <f>IF(COUNTA(B205:C205,G205:H205,J205:K205)&gt;0,1,0)</f>
        <v>0</v>
      </c>
      <c r="S205" s="96" t="str">
        <f>IF(B205="","",TRIM(LEFT(B205,FIND(" |",B205&amp;" |")-1)))</f>
        <v/>
      </c>
      <c r="T205" s="96" t="str">
        <f>IF(S205="","",IFERROR(MATCH(S205,'MTRs'!$A$6:$A$505,0),""))</f>
        <v/>
      </c>
      <c r="U205" s="96">
        <f>IF(T205="",0,IF(INDEX('MTRs'!$Z$6:$Z$505,T205)=1,1,0))</f>
        <v>0</v>
      </c>
      <c r="V205" s="96">
        <f>IF(C205="",0,IF(ISNUMBER(MATCH(C205,'CAD_RESÍDUOS'!$B$6:$B$205,0)),1,0))</f>
        <v>0</v>
      </c>
      <c r="W205" s="96">
        <f>IF(AND(ISNUMBER(G205),G205&gt;0),1,0)</f>
        <v>0</v>
      </c>
      <c r="X205" s="96" t="str">
        <f>IF(H205="","",IFERROR(IF(ISNUMBER(INDEX(cfg_fac,MATCH(H205,cfg_units,0))),IF(INDEX(cfg_fac,MATCH(H205,cfg_units,0))&gt;0,INDEX(cfg_fac,MATCH(H205,cfg_units,0)),""),""),""))</f>
        <v/>
      </c>
      <c r="Y205" s="96">
        <f>IF(AND(W205=1,ISNUMBER(I205)),1,0)</f>
        <v>0</v>
      </c>
      <c r="Z205" s="96">
        <f>IF(U205=1,INDEX('MTRs'!$AA$6:$AA$505,T205),0)</f>
        <v>0</v>
      </c>
      <c r="AA205" s="96">
        <f>IF(R205=0,0,COUNTIFS('RECEBIMENTOS'!$R$6:$R$1005,A205,'RECEBIMENTOS'!$Q$6:$Q$1005,1))</f>
        <v>0</v>
      </c>
      <c r="AB205" s="96">
        <f>IF(R205=0,0,COUNTIFS('RECEBIMENTOS'!$R$6:$R$1005,A205,'RECEBIMENTOS'!$Z$6:$Z$1005,1))</f>
        <v>0</v>
      </c>
      <c r="AC205" s="96">
        <f>IF(R205=0,0,COUNTIFS('RECEBIMENTOS'!$R$6:$R$1005,A205,'RECEBIMENTOS'!$Y$6:$Y$1005,1))</f>
        <v>0</v>
      </c>
      <c r="AD205" s="96">
        <f>IF(R205=0,0,COUNTIFS('VÍNCULOS_CDF'!$R$6:$R$1005,A205,'VÍNCULOS_CDF'!$N$6:$N$1005,1))</f>
        <v>0</v>
      </c>
      <c r="AE205" s="96">
        <f>IF(R205=0,0,COUNTIFS('VÍNCULOS_CDF'!$R$6:$R$1005,A205,'VÍNCULOS_CDF'!$AA$6:$AA$1005,1))</f>
        <v>0</v>
      </c>
      <c r="AF205" s="96">
        <f>IF(R205=0,0,COUNTIFS('VÍNCULOS_CDF'!$R$6:$R$1005,A205,'VÍNCULOS_CDF'!$Y$6:$Y$1005,1))</f>
        <v>0</v>
      </c>
      <c r="AG205" s="96" t="str">
        <f>IF(AND(R205=1,S205&lt;&gt;"",C205&lt;&gt;""),S205&amp;"|"&amp;C205&amp;"|"&amp;G205&amp;"|"&amp;H205,"")</f>
        <v/>
      </c>
      <c r="AH205" s="96">
        <f>IF(AG205="",0,IF(SUMPRODUCT(--($AG$6:$AG$1005=AG205))&gt;1,1,0))</f>
        <v>0</v>
      </c>
      <c r="AI205" s="96">
        <f>IF(R205=0,0,IF(OR(U205=0,V205=0,Y205=0,AND(AH205=1,K205&lt;&gt;"Sim")),1,0))</f>
        <v>0</v>
      </c>
      <c r="AJ205" s="96">
        <f>IF(AND(R205=1,AA205&gt;0,AB205=AA205),1,0)</f>
        <v>0</v>
      </c>
      <c r="AK205" s="96">
        <f>IF(R205=0,0,IF(AA205&gt;0,N(L205),IF(ISNUMBER(I205),I205,0)))</f>
        <v>0</v>
      </c>
      <c r="AL205" s="96">
        <f>IF(R205=0,0,IF(AND(K205&lt;&gt;"Sim",N(M205)&gt;AK205+cfg_tol),1,0))</f>
        <v>0</v>
      </c>
      <c r="AM205" s="96">
        <f>IF(R205=0,0,IF(K205="Sim",0,IF(OR(AND(AA205&gt;0,ISNUMBER(I205),ABS(I205-N(L205))&gt;cfg_tol),AL205=1),1,0)))</f>
        <v>0</v>
      </c>
      <c r="AN205" s="96">
        <f>IF(AND(R205=1,N(M205)&gt;0,OR(N(M205)&gt;=AK205-cfg_tol,K205="Sim")),1,0)</f>
        <v>0</v>
      </c>
      <c r="AO205" s="96">
        <f>IF(AND(AN205=1,AD205&gt;0,AE205=AD205,AL205=0),1,0)</f>
        <v>0</v>
      </c>
      <c r="AP205" s="96">
        <f>IF(U205=0,0,IF(AND(INDEX('MTRs'!$AX$6:$AX$505,T205)=1,Z205=0,OR(f_res="",f_res="(Todos)",C205=f_res)),1,0))</f>
        <v>0</v>
      </c>
      <c r="AQ205" s="97" t="str">
        <f>IF(U205=0,"",INDEX('MTRs'!$AZ$6:$AZ$505,T205))</f>
        <v/>
      </c>
      <c r="AR205" s="96">
        <f>IF(U205=0,0,IF(AND(INDEX('MTRs'!$BA$6:$BA$505,T205)=1,Z205=0),1,0))</f>
        <v>0</v>
      </c>
      <c r="AS205" s="96" t="str">
        <f>IF(R205=1,A205&amp;" | MTR "&amp;IF(U205=1,INDEX('MTRs'!$B$6:$B$505,T205)&amp;"","?")&amp;" | "&amp;IF(C205="","(sem resíduo)",C205),"")</f>
        <v/>
      </c>
      <c r="AT205" s="96" t="str">
        <f>IF(R205=1,COUNTIF($R$6:R205,1),"")</f>
        <v/>
      </c>
      <c r="AU205" s="96" t="str">
        <f>IF(U205=1,INDEX('MTRs'!$I$6:$I$505,T205)&amp;"","")</f>
        <v/>
      </c>
    </row>
    <row r="206">
      <c r="A206" s="89" t="inlineStr">
        <is>
          <t>IT-000201</t>
        </is>
      </c>
      <c r="B206" s="91" t="n"/>
      <c r="C206" s="91" t="n"/>
      <c r="D206" s="94" t="str">
        <f>IF(OR(R206=0,V206=0),"",INDEX('CAD_RESÍDUOS'!$E$6:$E$205,MATCH(C206,'CAD_RESÍDUOS'!$B$6:$B$205,0))&amp;"")</f>
        <v/>
      </c>
      <c r="E206" s="94" t="str">
        <f>IF(OR(R206=0,V206=0),"",INDEX('CAD_RESÍDUOS'!$C$6:$C$205,MATCH(C206,'CAD_RESÍDUOS'!$B$6:$B$205,0))&amp;"")</f>
        <v/>
      </c>
      <c r="F206" s="94" t="str">
        <f>IF(OR(R206=0,V206=0),"",INDEX('CAD_RESÍDUOS'!$G$6:$G$205,MATCH(C206,'CAD_RESÍDUOS'!$B$6:$B$205,0))&amp;"")</f>
        <v/>
      </c>
      <c r="G206" s="98" t="n"/>
      <c r="H206" s="91" t="n"/>
      <c r="I206" s="93" t="str">
        <f>IF(R206=0,"",IF(NOT(ISNUMBER(G206)),"",IF(ISNUMBER(X206),G206*X206,"UNIDADE A CONFERIR")))</f>
        <v/>
      </c>
      <c r="J206" s="91" t="n"/>
      <c r="K206" s="91" t="n"/>
      <c r="L206" s="93" t="str">
        <f>IF(R206=0,"",SUMIFS('RECEBIMENTOS'!$H$6:$H$1005,'RECEBIMENTOS'!$R$6:$R$1005,A206,'RECEBIMENTOS'!$X$6:$X$1005,1))</f>
        <v/>
      </c>
      <c r="M206" s="93" t="str">
        <f>IF(R206=0,"",SUMIFS('VÍNCULOS_CDF'!$H$6:$H$1005,'VÍNCULOS_CDF'!$R$6:$R$1005,A206,'VÍNCULOS_CDF'!$V$6:$V$1005,1))</f>
        <v/>
      </c>
      <c r="N206" s="99" t="str">
        <f>IF(OR(R206=0,AA206=0,NOT(ISNUMBER(I206))),"",I206-N(L206))</f>
        <v/>
      </c>
      <c r="O206" s="100" t="str">
        <f>IF(OR(R206=0,AK206&lt;=0),"",N(M206)/AK206)</f>
        <v/>
      </c>
      <c r="P206" s="94" t="str">
        <f>IF(R206=0,"",IF(S206="","Sem MTR associado",IF(U206=0,"MTR inexistente",IF(C206="","Resíduo não identificado",IF(V206=0,"Resíduo fora do cadastro",IF(W206=0,"Quantidade inválida",IF(H206="","Unidade não informada",IF(NOT(ISNUMBER(I206)),"Unidade a conferir",IF(AND(AH206=1,K206&lt;&gt;"Sim"),"Possível duplicidade",IF(Z206=1,"MTR cancelado",IF(AC206&gt;0,"Recebimento com alerta",IF(AA206=0,"Aguardando recebimento",IF(AB206&lt;AA206,"Recebimento a conferir",IF(AM206=1,"Quantidade a revisar",IF(AF206&gt;0,"Vínculo a revisar",IF(AD206=0,"Aguardando CDF",IF(AN206=0,"Vínculo de CDF parcial",IF(AE206&lt;AD206,"CDF a conferir","Documentação conferida"))))))))))))))))))</f>
        <v/>
      </c>
      <c r="Q206" s="93" t="str">
        <f>IF(OR(R206=0,AA206=0),"",MAX(0,N(L206)-N(M206)))</f>
        <v/>
      </c>
      <c r="R206" s="96">
        <f>IF(COUNTA(B206:C206,G206:H206,J206:K206)&gt;0,1,0)</f>
        <v>0</v>
      </c>
      <c r="S206" s="96" t="str">
        <f>IF(B206="","",TRIM(LEFT(B206,FIND(" |",B206&amp;" |")-1)))</f>
        <v/>
      </c>
      <c r="T206" s="96" t="str">
        <f>IF(S206="","",IFERROR(MATCH(S206,'MTRs'!$A$6:$A$505,0),""))</f>
        <v/>
      </c>
      <c r="U206" s="96">
        <f>IF(T206="",0,IF(INDEX('MTRs'!$Z$6:$Z$505,T206)=1,1,0))</f>
        <v>0</v>
      </c>
      <c r="V206" s="96">
        <f>IF(C206="",0,IF(ISNUMBER(MATCH(C206,'CAD_RESÍDUOS'!$B$6:$B$205,0)),1,0))</f>
        <v>0</v>
      </c>
      <c r="W206" s="96">
        <f>IF(AND(ISNUMBER(G206),G206&gt;0),1,0)</f>
        <v>0</v>
      </c>
      <c r="X206" s="96" t="str">
        <f>IF(H206="","",IFERROR(IF(ISNUMBER(INDEX(cfg_fac,MATCH(H206,cfg_units,0))),IF(INDEX(cfg_fac,MATCH(H206,cfg_units,0))&gt;0,INDEX(cfg_fac,MATCH(H206,cfg_units,0)),""),""),""))</f>
        <v/>
      </c>
      <c r="Y206" s="96">
        <f>IF(AND(W206=1,ISNUMBER(I206)),1,0)</f>
        <v>0</v>
      </c>
      <c r="Z206" s="96">
        <f>IF(U206=1,INDEX('MTRs'!$AA$6:$AA$505,T206),0)</f>
        <v>0</v>
      </c>
      <c r="AA206" s="96">
        <f>IF(R206=0,0,COUNTIFS('RECEBIMENTOS'!$R$6:$R$1005,A206,'RECEBIMENTOS'!$Q$6:$Q$1005,1))</f>
        <v>0</v>
      </c>
      <c r="AB206" s="96">
        <f>IF(R206=0,0,COUNTIFS('RECEBIMENTOS'!$R$6:$R$1005,A206,'RECEBIMENTOS'!$Z$6:$Z$1005,1))</f>
        <v>0</v>
      </c>
      <c r="AC206" s="96">
        <f>IF(R206=0,0,COUNTIFS('RECEBIMENTOS'!$R$6:$R$1005,A206,'RECEBIMENTOS'!$Y$6:$Y$1005,1))</f>
        <v>0</v>
      </c>
      <c r="AD206" s="96">
        <f>IF(R206=0,0,COUNTIFS('VÍNCULOS_CDF'!$R$6:$R$1005,A206,'VÍNCULOS_CDF'!$N$6:$N$1005,1))</f>
        <v>0</v>
      </c>
      <c r="AE206" s="96">
        <f>IF(R206=0,0,COUNTIFS('VÍNCULOS_CDF'!$R$6:$R$1005,A206,'VÍNCULOS_CDF'!$AA$6:$AA$1005,1))</f>
        <v>0</v>
      </c>
      <c r="AF206" s="96">
        <f>IF(R206=0,0,COUNTIFS('VÍNCULOS_CDF'!$R$6:$R$1005,A206,'VÍNCULOS_CDF'!$Y$6:$Y$1005,1))</f>
        <v>0</v>
      </c>
      <c r="AG206" s="96" t="str">
        <f>IF(AND(R206=1,S206&lt;&gt;"",C206&lt;&gt;""),S206&amp;"|"&amp;C206&amp;"|"&amp;G206&amp;"|"&amp;H206,"")</f>
        <v/>
      </c>
      <c r="AH206" s="96">
        <f>IF(AG206="",0,IF(SUMPRODUCT(--($AG$6:$AG$1005=AG206))&gt;1,1,0))</f>
        <v>0</v>
      </c>
      <c r="AI206" s="96">
        <f>IF(R206=0,0,IF(OR(U206=0,V206=0,Y206=0,AND(AH206=1,K206&lt;&gt;"Sim")),1,0))</f>
        <v>0</v>
      </c>
      <c r="AJ206" s="96">
        <f>IF(AND(R206=1,AA206&gt;0,AB206=AA206),1,0)</f>
        <v>0</v>
      </c>
      <c r="AK206" s="96">
        <f>IF(R206=0,0,IF(AA206&gt;0,N(L206),IF(ISNUMBER(I206),I206,0)))</f>
        <v>0</v>
      </c>
      <c r="AL206" s="96">
        <f>IF(R206=0,0,IF(AND(K206&lt;&gt;"Sim",N(M206)&gt;AK206+cfg_tol),1,0))</f>
        <v>0</v>
      </c>
      <c r="AM206" s="96">
        <f>IF(R206=0,0,IF(K206="Sim",0,IF(OR(AND(AA206&gt;0,ISNUMBER(I206),ABS(I206-N(L206))&gt;cfg_tol),AL206=1),1,0)))</f>
        <v>0</v>
      </c>
      <c r="AN206" s="96">
        <f>IF(AND(R206=1,N(M206)&gt;0,OR(N(M206)&gt;=AK206-cfg_tol,K206="Sim")),1,0)</f>
        <v>0</v>
      </c>
      <c r="AO206" s="96">
        <f>IF(AND(AN206=1,AD206&gt;0,AE206=AD206,AL206=0),1,0)</f>
        <v>0</v>
      </c>
      <c r="AP206" s="96">
        <f>IF(U206=0,0,IF(AND(INDEX('MTRs'!$AX$6:$AX$505,T206)=1,Z206=0,OR(f_res="",f_res="(Todos)",C206=f_res)),1,0))</f>
        <v>0</v>
      </c>
      <c r="AQ206" s="97" t="str">
        <f>IF(U206=0,"",INDEX('MTRs'!$AZ$6:$AZ$505,T206))</f>
        <v/>
      </c>
      <c r="AR206" s="96">
        <f>IF(U206=0,0,IF(AND(INDEX('MTRs'!$BA$6:$BA$505,T206)=1,Z206=0),1,0))</f>
        <v>0</v>
      </c>
      <c r="AS206" s="96" t="str">
        <f>IF(R206=1,A206&amp;" | MTR "&amp;IF(U206=1,INDEX('MTRs'!$B$6:$B$505,T206)&amp;"","?")&amp;" | "&amp;IF(C206="","(sem resíduo)",C206),"")</f>
        <v/>
      </c>
      <c r="AT206" s="96" t="str">
        <f>IF(R206=1,COUNTIF($R$6:R206,1),"")</f>
        <v/>
      </c>
      <c r="AU206" s="96" t="str">
        <f>IF(U206=1,INDEX('MTRs'!$I$6:$I$505,T206)&amp;"","")</f>
        <v/>
      </c>
    </row>
    <row r="207">
      <c r="A207" s="89" t="inlineStr">
        <is>
          <t>IT-000202</t>
        </is>
      </c>
      <c r="B207" s="91" t="n"/>
      <c r="C207" s="91" t="n"/>
      <c r="D207" s="94" t="str">
        <f>IF(OR(R207=0,V207=0),"",INDEX('CAD_RESÍDUOS'!$E$6:$E$205,MATCH(C207,'CAD_RESÍDUOS'!$B$6:$B$205,0))&amp;"")</f>
        <v/>
      </c>
      <c r="E207" s="94" t="str">
        <f>IF(OR(R207=0,V207=0),"",INDEX('CAD_RESÍDUOS'!$C$6:$C$205,MATCH(C207,'CAD_RESÍDUOS'!$B$6:$B$205,0))&amp;"")</f>
        <v/>
      </c>
      <c r="F207" s="94" t="str">
        <f>IF(OR(R207=0,V207=0),"",INDEX('CAD_RESÍDUOS'!$G$6:$G$205,MATCH(C207,'CAD_RESÍDUOS'!$B$6:$B$205,0))&amp;"")</f>
        <v/>
      </c>
      <c r="G207" s="98" t="n"/>
      <c r="H207" s="91" t="n"/>
      <c r="I207" s="93" t="str">
        <f>IF(R207=0,"",IF(NOT(ISNUMBER(G207)),"",IF(ISNUMBER(X207),G207*X207,"UNIDADE A CONFERIR")))</f>
        <v/>
      </c>
      <c r="J207" s="91" t="n"/>
      <c r="K207" s="91" t="n"/>
      <c r="L207" s="93" t="str">
        <f>IF(R207=0,"",SUMIFS('RECEBIMENTOS'!$H$6:$H$1005,'RECEBIMENTOS'!$R$6:$R$1005,A207,'RECEBIMENTOS'!$X$6:$X$1005,1))</f>
        <v/>
      </c>
      <c r="M207" s="93" t="str">
        <f>IF(R207=0,"",SUMIFS('VÍNCULOS_CDF'!$H$6:$H$1005,'VÍNCULOS_CDF'!$R$6:$R$1005,A207,'VÍNCULOS_CDF'!$V$6:$V$1005,1))</f>
        <v/>
      </c>
      <c r="N207" s="99" t="str">
        <f>IF(OR(R207=0,AA207=0,NOT(ISNUMBER(I207))),"",I207-N(L207))</f>
        <v/>
      </c>
      <c r="O207" s="100" t="str">
        <f>IF(OR(R207=0,AK207&lt;=0),"",N(M207)/AK207)</f>
        <v/>
      </c>
      <c r="P207" s="94" t="str">
        <f>IF(R207=0,"",IF(S207="","Sem MTR associado",IF(U207=0,"MTR inexistente",IF(C207="","Resíduo não identificado",IF(V207=0,"Resíduo fora do cadastro",IF(W207=0,"Quantidade inválida",IF(H207="","Unidade não informada",IF(NOT(ISNUMBER(I207)),"Unidade a conferir",IF(AND(AH207=1,K207&lt;&gt;"Sim"),"Possível duplicidade",IF(Z207=1,"MTR cancelado",IF(AC207&gt;0,"Recebimento com alerta",IF(AA207=0,"Aguardando recebimento",IF(AB207&lt;AA207,"Recebimento a conferir",IF(AM207=1,"Quantidade a revisar",IF(AF207&gt;0,"Vínculo a revisar",IF(AD207=0,"Aguardando CDF",IF(AN207=0,"Vínculo de CDF parcial",IF(AE207&lt;AD207,"CDF a conferir","Documentação conferida"))))))))))))))))))</f>
        <v/>
      </c>
      <c r="Q207" s="93" t="str">
        <f>IF(OR(R207=0,AA207=0),"",MAX(0,N(L207)-N(M207)))</f>
        <v/>
      </c>
      <c r="R207" s="96">
        <f>IF(COUNTA(B207:C207,G207:H207,J207:K207)&gt;0,1,0)</f>
        <v>0</v>
      </c>
      <c r="S207" s="96" t="str">
        <f>IF(B207="","",TRIM(LEFT(B207,FIND(" |",B207&amp;" |")-1)))</f>
        <v/>
      </c>
      <c r="T207" s="96" t="str">
        <f>IF(S207="","",IFERROR(MATCH(S207,'MTRs'!$A$6:$A$505,0),""))</f>
        <v/>
      </c>
      <c r="U207" s="96">
        <f>IF(T207="",0,IF(INDEX('MTRs'!$Z$6:$Z$505,T207)=1,1,0))</f>
        <v>0</v>
      </c>
      <c r="V207" s="96">
        <f>IF(C207="",0,IF(ISNUMBER(MATCH(C207,'CAD_RESÍDUOS'!$B$6:$B$205,0)),1,0))</f>
        <v>0</v>
      </c>
      <c r="W207" s="96">
        <f>IF(AND(ISNUMBER(G207),G207&gt;0),1,0)</f>
        <v>0</v>
      </c>
      <c r="X207" s="96" t="str">
        <f>IF(H207="","",IFERROR(IF(ISNUMBER(INDEX(cfg_fac,MATCH(H207,cfg_units,0))),IF(INDEX(cfg_fac,MATCH(H207,cfg_units,0))&gt;0,INDEX(cfg_fac,MATCH(H207,cfg_units,0)),""),""),""))</f>
        <v/>
      </c>
      <c r="Y207" s="96">
        <f>IF(AND(W207=1,ISNUMBER(I207)),1,0)</f>
        <v>0</v>
      </c>
      <c r="Z207" s="96">
        <f>IF(U207=1,INDEX('MTRs'!$AA$6:$AA$505,T207),0)</f>
        <v>0</v>
      </c>
      <c r="AA207" s="96">
        <f>IF(R207=0,0,COUNTIFS('RECEBIMENTOS'!$R$6:$R$1005,A207,'RECEBIMENTOS'!$Q$6:$Q$1005,1))</f>
        <v>0</v>
      </c>
      <c r="AB207" s="96">
        <f>IF(R207=0,0,COUNTIFS('RECEBIMENTOS'!$R$6:$R$1005,A207,'RECEBIMENTOS'!$Z$6:$Z$1005,1))</f>
        <v>0</v>
      </c>
      <c r="AC207" s="96">
        <f>IF(R207=0,0,COUNTIFS('RECEBIMENTOS'!$R$6:$R$1005,A207,'RECEBIMENTOS'!$Y$6:$Y$1005,1))</f>
        <v>0</v>
      </c>
      <c r="AD207" s="96">
        <f>IF(R207=0,0,COUNTIFS('VÍNCULOS_CDF'!$R$6:$R$1005,A207,'VÍNCULOS_CDF'!$N$6:$N$1005,1))</f>
        <v>0</v>
      </c>
      <c r="AE207" s="96">
        <f>IF(R207=0,0,COUNTIFS('VÍNCULOS_CDF'!$R$6:$R$1005,A207,'VÍNCULOS_CDF'!$AA$6:$AA$1005,1))</f>
        <v>0</v>
      </c>
      <c r="AF207" s="96">
        <f>IF(R207=0,0,COUNTIFS('VÍNCULOS_CDF'!$R$6:$R$1005,A207,'VÍNCULOS_CDF'!$Y$6:$Y$1005,1))</f>
        <v>0</v>
      </c>
      <c r="AG207" s="96" t="str">
        <f>IF(AND(R207=1,S207&lt;&gt;"",C207&lt;&gt;""),S207&amp;"|"&amp;C207&amp;"|"&amp;G207&amp;"|"&amp;H207,"")</f>
        <v/>
      </c>
      <c r="AH207" s="96">
        <f>IF(AG207="",0,IF(SUMPRODUCT(--($AG$6:$AG$1005=AG207))&gt;1,1,0))</f>
        <v>0</v>
      </c>
      <c r="AI207" s="96">
        <f>IF(R207=0,0,IF(OR(U207=0,V207=0,Y207=0,AND(AH207=1,K207&lt;&gt;"Sim")),1,0))</f>
        <v>0</v>
      </c>
      <c r="AJ207" s="96">
        <f>IF(AND(R207=1,AA207&gt;0,AB207=AA207),1,0)</f>
        <v>0</v>
      </c>
      <c r="AK207" s="96">
        <f>IF(R207=0,0,IF(AA207&gt;0,N(L207),IF(ISNUMBER(I207),I207,0)))</f>
        <v>0</v>
      </c>
      <c r="AL207" s="96">
        <f>IF(R207=0,0,IF(AND(K207&lt;&gt;"Sim",N(M207)&gt;AK207+cfg_tol),1,0))</f>
        <v>0</v>
      </c>
      <c r="AM207" s="96">
        <f>IF(R207=0,0,IF(K207="Sim",0,IF(OR(AND(AA207&gt;0,ISNUMBER(I207),ABS(I207-N(L207))&gt;cfg_tol),AL207=1),1,0)))</f>
        <v>0</v>
      </c>
      <c r="AN207" s="96">
        <f>IF(AND(R207=1,N(M207)&gt;0,OR(N(M207)&gt;=AK207-cfg_tol,K207="Sim")),1,0)</f>
        <v>0</v>
      </c>
      <c r="AO207" s="96">
        <f>IF(AND(AN207=1,AD207&gt;0,AE207=AD207,AL207=0),1,0)</f>
        <v>0</v>
      </c>
      <c r="AP207" s="96">
        <f>IF(U207=0,0,IF(AND(INDEX('MTRs'!$AX$6:$AX$505,T207)=1,Z207=0,OR(f_res="",f_res="(Todos)",C207=f_res)),1,0))</f>
        <v>0</v>
      </c>
      <c r="AQ207" s="97" t="str">
        <f>IF(U207=0,"",INDEX('MTRs'!$AZ$6:$AZ$505,T207))</f>
        <v/>
      </c>
      <c r="AR207" s="96">
        <f>IF(U207=0,0,IF(AND(INDEX('MTRs'!$BA$6:$BA$505,T207)=1,Z207=0),1,0))</f>
        <v>0</v>
      </c>
      <c r="AS207" s="96" t="str">
        <f>IF(R207=1,A207&amp;" | MTR "&amp;IF(U207=1,INDEX('MTRs'!$B$6:$B$505,T207)&amp;"","?")&amp;" | "&amp;IF(C207="","(sem resíduo)",C207),"")</f>
        <v/>
      </c>
      <c r="AT207" s="96" t="str">
        <f>IF(R207=1,COUNTIF($R$6:R207,1),"")</f>
        <v/>
      </c>
      <c r="AU207" s="96" t="str">
        <f>IF(U207=1,INDEX('MTRs'!$I$6:$I$505,T207)&amp;"","")</f>
        <v/>
      </c>
    </row>
    <row r="208">
      <c r="A208" s="89" t="inlineStr">
        <is>
          <t>IT-000203</t>
        </is>
      </c>
      <c r="B208" s="91" t="n"/>
      <c r="C208" s="91" t="n"/>
      <c r="D208" s="94" t="str">
        <f>IF(OR(R208=0,V208=0),"",INDEX('CAD_RESÍDUOS'!$E$6:$E$205,MATCH(C208,'CAD_RESÍDUOS'!$B$6:$B$205,0))&amp;"")</f>
        <v/>
      </c>
      <c r="E208" s="94" t="str">
        <f>IF(OR(R208=0,V208=0),"",INDEX('CAD_RESÍDUOS'!$C$6:$C$205,MATCH(C208,'CAD_RESÍDUOS'!$B$6:$B$205,0))&amp;"")</f>
        <v/>
      </c>
      <c r="F208" s="94" t="str">
        <f>IF(OR(R208=0,V208=0),"",INDEX('CAD_RESÍDUOS'!$G$6:$G$205,MATCH(C208,'CAD_RESÍDUOS'!$B$6:$B$205,0))&amp;"")</f>
        <v/>
      </c>
      <c r="G208" s="98" t="n"/>
      <c r="H208" s="91" t="n"/>
      <c r="I208" s="93" t="str">
        <f>IF(R208=0,"",IF(NOT(ISNUMBER(G208)),"",IF(ISNUMBER(X208),G208*X208,"UNIDADE A CONFERIR")))</f>
        <v/>
      </c>
      <c r="J208" s="91" t="n"/>
      <c r="K208" s="91" t="n"/>
      <c r="L208" s="93" t="str">
        <f>IF(R208=0,"",SUMIFS('RECEBIMENTOS'!$H$6:$H$1005,'RECEBIMENTOS'!$R$6:$R$1005,A208,'RECEBIMENTOS'!$X$6:$X$1005,1))</f>
        <v/>
      </c>
      <c r="M208" s="93" t="str">
        <f>IF(R208=0,"",SUMIFS('VÍNCULOS_CDF'!$H$6:$H$1005,'VÍNCULOS_CDF'!$R$6:$R$1005,A208,'VÍNCULOS_CDF'!$V$6:$V$1005,1))</f>
        <v/>
      </c>
      <c r="N208" s="99" t="str">
        <f>IF(OR(R208=0,AA208=0,NOT(ISNUMBER(I208))),"",I208-N(L208))</f>
        <v/>
      </c>
      <c r="O208" s="100" t="str">
        <f>IF(OR(R208=0,AK208&lt;=0),"",N(M208)/AK208)</f>
        <v/>
      </c>
      <c r="P208" s="94" t="str">
        <f>IF(R208=0,"",IF(S208="","Sem MTR associado",IF(U208=0,"MTR inexistente",IF(C208="","Resíduo não identificado",IF(V208=0,"Resíduo fora do cadastro",IF(W208=0,"Quantidade inválida",IF(H208="","Unidade não informada",IF(NOT(ISNUMBER(I208)),"Unidade a conferir",IF(AND(AH208=1,K208&lt;&gt;"Sim"),"Possível duplicidade",IF(Z208=1,"MTR cancelado",IF(AC208&gt;0,"Recebimento com alerta",IF(AA208=0,"Aguardando recebimento",IF(AB208&lt;AA208,"Recebimento a conferir",IF(AM208=1,"Quantidade a revisar",IF(AF208&gt;0,"Vínculo a revisar",IF(AD208=0,"Aguardando CDF",IF(AN208=0,"Vínculo de CDF parcial",IF(AE208&lt;AD208,"CDF a conferir","Documentação conferida"))))))))))))))))))</f>
        <v/>
      </c>
      <c r="Q208" s="93" t="str">
        <f>IF(OR(R208=0,AA208=0),"",MAX(0,N(L208)-N(M208)))</f>
        <v/>
      </c>
      <c r="R208" s="96">
        <f>IF(COUNTA(B208:C208,G208:H208,J208:K208)&gt;0,1,0)</f>
        <v>0</v>
      </c>
      <c r="S208" s="96" t="str">
        <f>IF(B208="","",TRIM(LEFT(B208,FIND(" |",B208&amp;" |")-1)))</f>
        <v/>
      </c>
      <c r="T208" s="96" t="str">
        <f>IF(S208="","",IFERROR(MATCH(S208,'MTRs'!$A$6:$A$505,0),""))</f>
        <v/>
      </c>
      <c r="U208" s="96">
        <f>IF(T208="",0,IF(INDEX('MTRs'!$Z$6:$Z$505,T208)=1,1,0))</f>
        <v>0</v>
      </c>
      <c r="V208" s="96">
        <f>IF(C208="",0,IF(ISNUMBER(MATCH(C208,'CAD_RESÍDUOS'!$B$6:$B$205,0)),1,0))</f>
        <v>0</v>
      </c>
      <c r="W208" s="96">
        <f>IF(AND(ISNUMBER(G208),G208&gt;0),1,0)</f>
        <v>0</v>
      </c>
      <c r="X208" s="96" t="str">
        <f>IF(H208="","",IFERROR(IF(ISNUMBER(INDEX(cfg_fac,MATCH(H208,cfg_units,0))),IF(INDEX(cfg_fac,MATCH(H208,cfg_units,0))&gt;0,INDEX(cfg_fac,MATCH(H208,cfg_units,0)),""),""),""))</f>
        <v/>
      </c>
      <c r="Y208" s="96">
        <f>IF(AND(W208=1,ISNUMBER(I208)),1,0)</f>
        <v>0</v>
      </c>
      <c r="Z208" s="96">
        <f>IF(U208=1,INDEX('MTRs'!$AA$6:$AA$505,T208),0)</f>
        <v>0</v>
      </c>
      <c r="AA208" s="96">
        <f>IF(R208=0,0,COUNTIFS('RECEBIMENTOS'!$R$6:$R$1005,A208,'RECEBIMENTOS'!$Q$6:$Q$1005,1))</f>
        <v>0</v>
      </c>
      <c r="AB208" s="96">
        <f>IF(R208=0,0,COUNTIFS('RECEBIMENTOS'!$R$6:$R$1005,A208,'RECEBIMENTOS'!$Z$6:$Z$1005,1))</f>
        <v>0</v>
      </c>
      <c r="AC208" s="96">
        <f>IF(R208=0,0,COUNTIFS('RECEBIMENTOS'!$R$6:$R$1005,A208,'RECEBIMENTOS'!$Y$6:$Y$1005,1))</f>
        <v>0</v>
      </c>
      <c r="AD208" s="96">
        <f>IF(R208=0,0,COUNTIFS('VÍNCULOS_CDF'!$R$6:$R$1005,A208,'VÍNCULOS_CDF'!$N$6:$N$1005,1))</f>
        <v>0</v>
      </c>
      <c r="AE208" s="96">
        <f>IF(R208=0,0,COUNTIFS('VÍNCULOS_CDF'!$R$6:$R$1005,A208,'VÍNCULOS_CDF'!$AA$6:$AA$1005,1))</f>
        <v>0</v>
      </c>
      <c r="AF208" s="96">
        <f>IF(R208=0,0,COUNTIFS('VÍNCULOS_CDF'!$R$6:$R$1005,A208,'VÍNCULOS_CDF'!$Y$6:$Y$1005,1))</f>
        <v>0</v>
      </c>
      <c r="AG208" s="96" t="str">
        <f>IF(AND(R208=1,S208&lt;&gt;"",C208&lt;&gt;""),S208&amp;"|"&amp;C208&amp;"|"&amp;G208&amp;"|"&amp;H208,"")</f>
        <v/>
      </c>
      <c r="AH208" s="96">
        <f>IF(AG208="",0,IF(SUMPRODUCT(--($AG$6:$AG$1005=AG208))&gt;1,1,0))</f>
        <v>0</v>
      </c>
      <c r="AI208" s="96">
        <f>IF(R208=0,0,IF(OR(U208=0,V208=0,Y208=0,AND(AH208=1,K208&lt;&gt;"Sim")),1,0))</f>
        <v>0</v>
      </c>
      <c r="AJ208" s="96">
        <f>IF(AND(R208=1,AA208&gt;0,AB208=AA208),1,0)</f>
        <v>0</v>
      </c>
      <c r="AK208" s="96">
        <f>IF(R208=0,0,IF(AA208&gt;0,N(L208),IF(ISNUMBER(I208),I208,0)))</f>
        <v>0</v>
      </c>
      <c r="AL208" s="96">
        <f>IF(R208=0,0,IF(AND(K208&lt;&gt;"Sim",N(M208)&gt;AK208+cfg_tol),1,0))</f>
        <v>0</v>
      </c>
      <c r="AM208" s="96">
        <f>IF(R208=0,0,IF(K208="Sim",0,IF(OR(AND(AA208&gt;0,ISNUMBER(I208),ABS(I208-N(L208))&gt;cfg_tol),AL208=1),1,0)))</f>
        <v>0</v>
      </c>
      <c r="AN208" s="96">
        <f>IF(AND(R208=1,N(M208)&gt;0,OR(N(M208)&gt;=AK208-cfg_tol,K208="Sim")),1,0)</f>
        <v>0</v>
      </c>
      <c r="AO208" s="96">
        <f>IF(AND(AN208=1,AD208&gt;0,AE208=AD208,AL208=0),1,0)</f>
        <v>0</v>
      </c>
      <c r="AP208" s="96">
        <f>IF(U208=0,0,IF(AND(INDEX('MTRs'!$AX$6:$AX$505,T208)=1,Z208=0,OR(f_res="",f_res="(Todos)",C208=f_res)),1,0))</f>
        <v>0</v>
      </c>
      <c r="AQ208" s="97" t="str">
        <f>IF(U208=0,"",INDEX('MTRs'!$AZ$6:$AZ$505,T208))</f>
        <v/>
      </c>
      <c r="AR208" s="96">
        <f>IF(U208=0,0,IF(AND(INDEX('MTRs'!$BA$6:$BA$505,T208)=1,Z208=0),1,0))</f>
        <v>0</v>
      </c>
      <c r="AS208" s="96" t="str">
        <f>IF(R208=1,A208&amp;" | MTR "&amp;IF(U208=1,INDEX('MTRs'!$B$6:$B$505,T208)&amp;"","?")&amp;" | "&amp;IF(C208="","(sem resíduo)",C208),"")</f>
        <v/>
      </c>
      <c r="AT208" s="96" t="str">
        <f>IF(R208=1,COUNTIF($R$6:R208,1),"")</f>
        <v/>
      </c>
      <c r="AU208" s="96" t="str">
        <f>IF(U208=1,INDEX('MTRs'!$I$6:$I$505,T208)&amp;"","")</f>
        <v/>
      </c>
    </row>
    <row r="209">
      <c r="A209" s="89" t="inlineStr">
        <is>
          <t>IT-000204</t>
        </is>
      </c>
      <c r="B209" s="91" t="n"/>
      <c r="C209" s="91" t="n"/>
      <c r="D209" s="94" t="str">
        <f>IF(OR(R209=0,V209=0),"",INDEX('CAD_RESÍDUOS'!$E$6:$E$205,MATCH(C209,'CAD_RESÍDUOS'!$B$6:$B$205,0))&amp;"")</f>
        <v/>
      </c>
      <c r="E209" s="94" t="str">
        <f>IF(OR(R209=0,V209=0),"",INDEX('CAD_RESÍDUOS'!$C$6:$C$205,MATCH(C209,'CAD_RESÍDUOS'!$B$6:$B$205,0))&amp;"")</f>
        <v/>
      </c>
      <c r="F209" s="94" t="str">
        <f>IF(OR(R209=0,V209=0),"",INDEX('CAD_RESÍDUOS'!$G$6:$G$205,MATCH(C209,'CAD_RESÍDUOS'!$B$6:$B$205,0))&amp;"")</f>
        <v/>
      </c>
      <c r="G209" s="98" t="n"/>
      <c r="H209" s="91" t="n"/>
      <c r="I209" s="93" t="str">
        <f>IF(R209=0,"",IF(NOT(ISNUMBER(G209)),"",IF(ISNUMBER(X209),G209*X209,"UNIDADE A CONFERIR")))</f>
        <v/>
      </c>
      <c r="J209" s="91" t="n"/>
      <c r="K209" s="91" t="n"/>
      <c r="L209" s="93" t="str">
        <f>IF(R209=0,"",SUMIFS('RECEBIMENTOS'!$H$6:$H$1005,'RECEBIMENTOS'!$R$6:$R$1005,A209,'RECEBIMENTOS'!$X$6:$X$1005,1))</f>
        <v/>
      </c>
      <c r="M209" s="93" t="str">
        <f>IF(R209=0,"",SUMIFS('VÍNCULOS_CDF'!$H$6:$H$1005,'VÍNCULOS_CDF'!$R$6:$R$1005,A209,'VÍNCULOS_CDF'!$V$6:$V$1005,1))</f>
        <v/>
      </c>
      <c r="N209" s="99" t="str">
        <f>IF(OR(R209=0,AA209=0,NOT(ISNUMBER(I209))),"",I209-N(L209))</f>
        <v/>
      </c>
      <c r="O209" s="100" t="str">
        <f>IF(OR(R209=0,AK209&lt;=0),"",N(M209)/AK209)</f>
        <v/>
      </c>
      <c r="P209" s="94" t="str">
        <f>IF(R209=0,"",IF(S209="","Sem MTR associado",IF(U209=0,"MTR inexistente",IF(C209="","Resíduo não identificado",IF(V209=0,"Resíduo fora do cadastro",IF(W209=0,"Quantidade inválida",IF(H209="","Unidade não informada",IF(NOT(ISNUMBER(I209)),"Unidade a conferir",IF(AND(AH209=1,K209&lt;&gt;"Sim"),"Possível duplicidade",IF(Z209=1,"MTR cancelado",IF(AC209&gt;0,"Recebimento com alerta",IF(AA209=0,"Aguardando recebimento",IF(AB209&lt;AA209,"Recebimento a conferir",IF(AM209=1,"Quantidade a revisar",IF(AF209&gt;0,"Vínculo a revisar",IF(AD209=0,"Aguardando CDF",IF(AN209=0,"Vínculo de CDF parcial",IF(AE209&lt;AD209,"CDF a conferir","Documentação conferida"))))))))))))))))))</f>
        <v/>
      </c>
      <c r="Q209" s="93" t="str">
        <f>IF(OR(R209=0,AA209=0),"",MAX(0,N(L209)-N(M209)))</f>
        <v/>
      </c>
      <c r="R209" s="96">
        <f>IF(COUNTA(B209:C209,G209:H209,J209:K209)&gt;0,1,0)</f>
        <v>0</v>
      </c>
      <c r="S209" s="96" t="str">
        <f>IF(B209="","",TRIM(LEFT(B209,FIND(" |",B209&amp;" |")-1)))</f>
        <v/>
      </c>
      <c r="T209" s="96" t="str">
        <f>IF(S209="","",IFERROR(MATCH(S209,'MTRs'!$A$6:$A$505,0),""))</f>
        <v/>
      </c>
      <c r="U209" s="96">
        <f>IF(T209="",0,IF(INDEX('MTRs'!$Z$6:$Z$505,T209)=1,1,0))</f>
        <v>0</v>
      </c>
      <c r="V209" s="96">
        <f>IF(C209="",0,IF(ISNUMBER(MATCH(C209,'CAD_RESÍDUOS'!$B$6:$B$205,0)),1,0))</f>
        <v>0</v>
      </c>
      <c r="W209" s="96">
        <f>IF(AND(ISNUMBER(G209),G209&gt;0),1,0)</f>
        <v>0</v>
      </c>
      <c r="X209" s="96" t="str">
        <f>IF(H209="","",IFERROR(IF(ISNUMBER(INDEX(cfg_fac,MATCH(H209,cfg_units,0))),IF(INDEX(cfg_fac,MATCH(H209,cfg_units,0))&gt;0,INDEX(cfg_fac,MATCH(H209,cfg_units,0)),""),""),""))</f>
        <v/>
      </c>
      <c r="Y209" s="96">
        <f>IF(AND(W209=1,ISNUMBER(I209)),1,0)</f>
        <v>0</v>
      </c>
      <c r="Z209" s="96">
        <f>IF(U209=1,INDEX('MTRs'!$AA$6:$AA$505,T209),0)</f>
        <v>0</v>
      </c>
      <c r="AA209" s="96">
        <f>IF(R209=0,0,COUNTIFS('RECEBIMENTOS'!$R$6:$R$1005,A209,'RECEBIMENTOS'!$Q$6:$Q$1005,1))</f>
        <v>0</v>
      </c>
      <c r="AB209" s="96">
        <f>IF(R209=0,0,COUNTIFS('RECEBIMENTOS'!$R$6:$R$1005,A209,'RECEBIMENTOS'!$Z$6:$Z$1005,1))</f>
        <v>0</v>
      </c>
      <c r="AC209" s="96">
        <f>IF(R209=0,0,COUNTIFS('RECEBIMENTOS'!$R$6:$R$1005,A209,'RECEBIMENTOS'!$Y$6:$Y$1005,1))</f>
        <v>0</v>
      </c>
      <c r="AD209" s="96">
        <f>IF(R209=0,0,COUNTIFS('VÍNCULOS_CDF'!$R$6:$R$1005,A209,'VÍNCULOS_CDF'!$N$6:$N$1005,1))</f>
        <v>0</v>
      </c>
      <c r="AE209" s="96">
        <f>IF(R209=0,0,COUNTIFS('VÍNCULOS_CDF'!$R$6:$R$1005,A209,'VÍNCULOS_CDF'!$AA$6:$AA$1005,1))</f>
        <v>0</v>
      </c>
      <c r="AF209" s="96">
        <f>IF(R209=0,0,COUNTIFS('VÍNCULOS_CDF'!$R$6:$R$1005,A209,'VÍNCULOS_CDF'!$Y$6:$Y$1005,1))</f>
        <v>0</v>
      </c>
      <c r="AG209" s="96" t="str">
        <f>IF(AND(R209=1,S209&lt;&gt;"",C209&lt;&gt;""),S209&amp;"|"&amp;C209&amp;"|"&amp;G209&amp;"|"&amp;H209,"")</f>
        <v/>
      </c>
      <c r="AH209" s="96">
        <f>IF(AG209="",0,IF(SUMPRODUCT(--($AG$6:$AG$1005=AG209))&gt;1,1,0))</f>
        <v>0</v>
      </c>
      <c r="AI209" s="96">
        <f>IF(R209=0,0,IF(OR(U209=0,V209=0,Y209=0,AND(AH209=1,K209&lt;&gt;"Sim")),1,0))</f>
        <v>0</v>
      </c>
      <c r="AJ209" s="96">
        <f>IF(AND(R209=1,AA209&gt;0,AB209=AA209),1,0)</f>
        <v>0</v>
      </c>
      <c r="AK209" s="96">
        <f>IF(R209=0,0,IF(AA209&gt;0,N(L209),IF(ISNUMBER(I209),I209,0)))</f>
        <v>0</v>
      </c>
      <c r="AL209" s="96">
        <f>IF(R209=0,0,IF(AND(K209&lt;&gt;"Sim",N(M209)&gt;AK209+cfg_tol),1,0))</f>
        <v>0</v>
      </c>
      <c r="AM209" s="96">
        <f>IF(R209=0,0,IF(K209="Sim",0,IF(OR(AND(AA209&gt;0,ISNUMBER(I209),ABS(I209-N(L209))&gt;cfg_tol),AL209=1),1,0)))</f>
        <v>0</v>
      </c>
      <c r="AN209" s="96">
        <f>IF(AND(R209=1,N(M209)&gt;0,OR(N(M209)&gt;=AK209-cfg_tol,K209="Sim")),1,0)</f>
        <v>0</v>
      </c>
      <c r="AO209" s="96">
        <f>IF(AND(AN209=1,AD209&gt;0,AE209=AD209,AL209=0),1,0)</f>
        <v>0</v>
      </c>
      <c r="AP209" s="96">
        <f>IF(U209=0,0,IF(AND(INDEX('MTRs'!$AX$6:$AX$505,T209)=1,Z209=0,OR(f_res="",f_res="(Todos)",C209=f_res)),1,0))</f>
        <v>0</v>
      </c>
      <c r="AQ209" s="97" t="str">
        <f>IF(U209=0,"",INDEX('MTRs'!$AZ$6:$AZ$505,T209))</f>
        <v/>
      </c>
      <c r="AR209" s="96">
        <f>IF(U209=0,0,IF(AND(INDEX('MTRs'!$BA$6:$BA$505,T209)=1,Z209=0),1,0))</f>
        <v>0</v>
      </c>
      <c r="AS209" s="96" t="str">
        <f>IF(R209=1,A209&amp;" | MTR "&amp;IF(U209=1,INDEX('MTRs'!$B$6:$B$505,T209)&amp;"","?")&amp;" | "&amp;IF(C209="","(sem resíduo)",C209),"")</f>
        <v/>
      </c>
      <c r="AT209" s="96" t="str">
        <f>IF(R209=1,COUNTIF($R$6:R209,1),"")</f>
        <v/>
      </c>
      <c r="AU209" s="96" t="str">
        <f>IF(U209=1,INDEX('MTRs'!$I$6:$I$505,T209)&amp;"","")</f>
        <v/>
      </c>
    </row>
    <row r="210">
      <c r="A210" s="89" t="inlineStr">
        <is>
          <t>IT-000205</t>
        </is>
      </c>
      <c r="B210" s="91" t="n"/>
      <c r="C210" s="91" t="n"/>
      <c r="D210" s="94" t="str">
        <f>IF(OR(R210=0,V210=0),"",INDEX('CAD_RESÍDUOS'!$E$6:$E$205,MATCH(C210,'CAD_RESÍDUOS'!$B$6:$B$205,0))&amp;"")</f>
        <v/>
      </c>
      <c r="E210" s="94" t="str">
        <f>IF(OR(R210=0,V210=0),"",INDEX('CAD_RESÍDUOS'!$C$6:$C$205,MATCH(C210,'CAD_RESÍDUOS'!$B$6:$B$205,0))&amp;"")</f>
        <v/>
      </c>
      <c r="F210" s="94" t="str">
        <f>IF(OR(R210=0,V210=0),"",INDEX('CAD_RESÍDUOS'!$G$6:$G$205,MATCH(C210,'CAD_RESÍDUOS'!$B$6:$B$205,0))&amp;"")</f>
        <v/>
      </c>
      <c r="G210" s="98" t="n"/>
      <c r="H210" s="91" t="n"/>
      <c r="I210" s="93" t="str">
        <f>IF(R210=0,"",IF(NOT(ISNUMBER(G210)),"",IF(ISNUMBER(X210),G210*X210,"UNIDADE A CONFERIR")))</f>
        <v/>
      </c>
      <c r="J210" s="91" t="n"/>
      <c r="K210" s="91" t="n"/>
      <c r="L210" s="93" t="str">
        <f>IF(R210=0,"",SUMIFS('RECEBIMENTOS'!$H$6:$H$1005,'RECEBIMENTOS'!$R$6:$R$1005,A210,'RECEBIMENTOS'!$X$6:$X$1005,1))</f>
        <v/>
      </c>
      <c r="M210" s="93" t="str">
        <f>IF(R210=0,"",SUMIFS('VÍNCULOS_CDF'!$H$6:$H$1005,'VÍNCULOS_CDF'!$R$6:$R$1005,A210,'VÍNCULOS_CDF'!$V$6:$V$1005,1))</f>
        <v/>
      </c>
      <c r="N210" s="99" t="str">
        <f>IF(OR(R210=0,AA210=0,NOT(ISNUMBER(I210))),"",I210-N(L210))</f>
        <v/>
      </c>
      <c r="O210" s="100" t="str">
        <f>IF(OR(R210=0,AK210&lt;=0),"",N(M210)/AK210)</f>
        <v/>
      </c>
      <c r="P210" s="94" t="str">
        <f>IF(R210=0,"",IF(S210="","Sem MTR associado",IF(U210=0,"MTR inexistente",IF(C210="","Resíduo não identificado",IF(V210=0,"Resíduo fora do cadastro",IF(W210=0,"Quantidade inválida",IF(H210="","Unidade não informada",IF(NOT(ISNUMBER(I210)),"Unidade a conferir",IF(AND(AH210=1,K210&lt;&gt;"Sim"),"Possível duplicidade",IF(Z210=1,"MTR cancelado",IF(AC210&gt;0,"Recebimento com alerta",IF(AA210=0,"Aguardando recebimento",IF(AB210&lt;AA210,"Recebimento a conferir",IF(AM210=1,"Quantidade a revisar",IF(AF210&gt;0,"Vínculo a revisar",IF(AD210=0,"Aguardando CDF",IF(AN210=0,"Vínculo de CDF parcial",IF(AE210&lt;AD210,"CDF a conferir","Documentação conferida"))))))))))))))))))</f>
        <v/>
      </c>
      <c r="Q210" s="93" t="str">
        <f>IF(OR(R210=0,AA210=0),"",MAX(0,N(L210)-N(M210)))</f>
        <v/>
      </c>
      <c r="R210" s="96">
        <f>IF(COUNTA(B210:C210,G210:H210,J210:K210)&gt;0,1,0)</f>
        <v>0</v>
      </c>
      <c r="S210" s="96" t="str">
        <f>IF(B210="","",TRIM(LEFT(B210,FIND(" |",B210&amp;" |")-1)))</f>
        <v/>
      </c>
      <c r="T210" s="96" t="str">
        <f>IF(S210="","",IFERROR(MATCH(S210,'MTRs'!$A$6:$A$505,0),""))</f>
        <v/>
      </c>
      <c r="U210" s="96">
        <f>IF(T210="",0,IF(INDEX('MTRs'!$Z$6:$Z$505,T210)=1,1,0))</f>
        <v>0</v>
      </c>
      <c r="V210" s="96">
        <f>IF(C210="",0,IF(ISNUMBER(MATCH(C210,'CAD_RESÍDUOS'!$B$6:$B$205,0)),1,0))</f>
        <v>0</v>
      </c>
      <c r="W210" s="96">
        <f>IF(AND(ISNUMBER(G210),G210&gt;0),1,0)</f>
        <v>0</v>
      </c>
      <c r="X210" s="96" t="str">
        <f>IF(H210="","",IFERROR(IF(ISNUMBER(INDEX(cfg_fac,MATCH(H210,cfg_units,0))),IF(INDEX(cfg_fac,MATCH(H210,cfg_units,0))&gt;0,INDEX(cfg_fac,MATCH(H210,cfg_units,0)),""),""),""))</f>
        <v/>
      </c>
      <c r="Y210" s="96">
        <f>IF(AND(W210=1,ISNUMBER(I210)),1,0)</f>
        <v>0</v>
      </c>
      <c r="Z210" s="96">
        <f>IF(U210=1,INDEX('MTRs'!$AA$6:$AA$505,T210),0)</f>
        <v>0</v>
      </c>
      <c r="AA210" s="96">
        <f>IF(R210=0,0,COUNTIFS('RECEBIMENTOS'!$R$6:$R$1005,A210,'RECEBIMENTOS'!$Q$6:$Q$1005,1))</f>
        <v>0</v>
      </c>
      <c r="AB210" s="96">
        <f>IF(R210=0,0,COUNTIFS('RECEBIMENTOS'!$R$6:$R$1005,A210,'RECEBIMENTOS'!$Z$6:$Z$1005,1))</f>
        <v>0</v>
      </c>
      <c r="AC210" s="96">
        <f>IF(R210=0,0,COUNTIFS('RECEBIMENTOS'!$R$6:$R$1005,A210,'RECEBIMENTOS'!$Y$6:$Y$1005,1))</f>
        <v>0</v>
      </c>
      <c r="AD210" s="96">
        <f>IF(R210=0,0,COUNTIFS('VÍNCULOS_CDF'!$R$6:$R$1005,A210,'VÍNCULOS_CDF'!$N$6:$N$1005,1))</f>
        <v>0</v>
      </c>
      <c r="AE210" s="96">
        <f>IF(R210=0,0,COUNTIFS('VÍNCULOS_CDF'!$R$6:$R$1005,A210,'VÍNCULOS_CDF'!$AA$6:$AA$1005,1))</f>
        <v>0</v>
      </c>
      <c r="AF210" s="96">
        <f>IF(R210=0,0,COUNTIFS('VÍNCULOS_CDF'!$R$6:$R$1005,A210,'VÍNCULOS_CDF'!$Y$6:$Y$1005,1))</f>
        <v>0</v>
      </c>
      <c r="AG210" s="96" t="str">
        <f>IF(AND(R210=1,S210&lt;&gt;"",C210&lt;&gt;""),S210&amp;"|"&amp;C210&amp;"|"&amp;G210&amp;"|"&amp;H210,"")</f>
        <v/>
      </c>
      <c r="AH210" s="96">
        <f>IF(AG210="",0,IF(SUMPRODUCT(--($AG$6:$AG$1005=AG210))&gt;1,1,0))</f>
        <v>0</v>
      </c>
      <c r="AI210" s="96">
        <f>IF(R210=0,0,IF(OR(U210=0,V210=0,Y210=0,AND(AH210=1,K210&lt;&gt;"Sim")),1,0))</f>
        <v>0</v>
      </c>
      <c r="AJ210" s="96">
        <f>IF(AND(R210=1,AA210&gt;0,AB210=AA210),1,0)</f>
        <v>0</v>
      </c>
      <c r="AK210" s="96">
        <f>IF(R210=0,0,IF(AA210&gt;0,N(L210),IF(ISNUMBER(I210),I210,0)))</f>
        <v>0</v>
      </c>
      <c r="AL210" s="96">
        <f>IF(R210=0,0,IF(AND(K210&lt;&gt;"Sim",N(M210)&gt;AK210+cfg_tol),1,0))</f>
        <v>0</v>
      </c>
      <c r="AM210" s="96">
        <f>IF(R210=0,0,IF(K210="Sim",0,IF(OR(AND(AA210&gt;0,ISNUMBER(I210),ABS(I210-N(L210))&gt;cfg_tol),AL210=1),1,0)))</f>
        <v>0</v>
      </c>
      <c r="AN210" s="96">
        <f>IF(AND(R210=1,N(M210)&gt;0,OR(N(M210)&gt;=AK210-cfg_tol,K210="Sim")),1,0)</f>
        <v>0</v>
      </c>
      <c r="AO210" s="96">
        <f>IF(AND(AN210=1,AD210&gt;0,AE210=AD210,AL210=0),1,0)</f>
        <v>0</v>
      </c>
      <c r="AP210" s="96">
        <f>IF(U210=0,0,IF(AND(INDEX('MTRs'!$AX$6:$AX$505,T210)=1,Z210=0,OR(f_res="",f_res="(Todos)",C210=f_res)),1,0))</f>
        <v>0</v>
      </c>
      <c r="AQ210" s="97" t="str">
        <f>IF(U210=0,"",INDEX('MTRs'!$AZ$6:$AZ$505,T210))</f>
        <v/>
      </c>
      <c r="AR210" s="96">
        <f>IF(U210=0,0,IF(AND(INDEX('MTRs'!$BA$6:$BA$505,T210)=1,Z210=0),1,0))</f>
        <v>0</v>
      </c>
      <c r="AS210" s="96" t="str">
        <f>IF(R210=1,A210&amp;" | MTR "&amp;IF(U210=1,INDEX('MTRs'!$B$6:$B$505,T210)&amp;"","?")&amp;" | "&amp;IF(C210="","(sem resíduo)",C210),"")</f>
        <v/>
      </c>
      <c r="AT210" s="96" t="str">
        <f>IF(R210=1,COUNTIF($R$6:R210,1),"")</f>
        <v/>
      </c>
      <c r="AU210" s="96" t="str">
        <f>IF(U210=1,INDEX('MTRs'!$I$6:$I$505,T210)&amp;"","")</f>
        <v/>
      </c>
    </row>
    <row r="211">
      <c r="A211" s="89" t="inlineStr">
        <is>
          <t>IT-000206</t>
        </is>
      </c>
      <c r="B211" s="91" t="n"/>
      <c r="C211" s="91" t="n"/>
      <c r="D211" s="94" t="str">
        <f>IF(OR(R211=0,V211=0),"",INDEX('CAD_RESÍDUOS'!$E$6:$E$205,MATCH(C211,'CAD_RESÍDUOS'!$B$6:$B$205,0))&amp;"")</f>
        <v/>
      </c>
      <c r="E211" s="94" t="str">
        <f>IF(OR(R211=0,V211=0),"",INDEX('CAD_RESÍDUOS'!$C$6:$C$205,MATCH(C211,'CAD_RESÍDUOS'!$B$6:$B$205,0))&amp;"")</f>
        <v/>
      </c>
      <c r="F211" s="94" t="str">
        <f>IF(OR(R211=0,V211=0),"",INDEX('CAD_RESÍDUOS'!$G$6:$G$205,MATCH(C211,'CAD_RESÍDUOS'!$B$6:$B$205,0))&amp;"")</f>
        <v/>
      </c>
      <c r="G211" s="98" t="n"/>
      <c r="H211" s="91" t="n"/>
      <c r="I211" s="93" t="str">
        <f>IF(R211=0,"",IF(NOT(ISNUMBER(G211)),"",IF(ISNUMBER(X211),G211*X211,"UNIDADE A CONFERIR")))</f>
        <v/>
      </c>
      <c r="J211" s="91" t="n"/>
      <c r="K211" s="91" t="n"/>
      <c r="L211" s="93" t="str">
        <f>IF(R211=0,"",SUMIFS('RECEBIMENTOS'!$H$6:$H$1005,'RECEBIMENTOS'!$R$6:$R$1005,A211,'RECEBIMENTOS'!$X$6:$X$1005,1))</f>
        <v/>
      </c>
      <c r="M211" s="93" t="str">
        <f>IF(R211=0,"",SUMIFS('VÍNCULOS_CDF'!$H$6:$H$1005,'VÍNCULOS_CDF'!$R$6:$R$1005,A211,'VÍNCULOS_CDF'!$V$6:$V$1005,1))</f>
        <v/>
      </c>
      <c r="N211" s="99" t="str">
        <f>IF(OR(R211=0,AA211=0,NOT(ISNUMBER(I211))),"",I211-N(L211))</f>
        <v/>
      </c>
      <c r="O211" s="100" t="str">
        <f>IF(OR(R211=0,AK211&lt;=0),"",N(M211)/AK211)</f>
        <v/>
      </c>
      <c r="P211" s="94" t="str">
        <f>IF(R211=0,"",IF(S211="","Sem MTR associado",IF(U211=0,"MTR inexistente",IF(C211="","Resíduo não identificado",IF(V211=0,"Resíduo fora do cadastro",IF(W211=0,"Quantidade inválida",IF(H211="","Unidade não informada",IF(NOT(ISNUMBER(I211)),"Unidade a conferir",IF(AND(AH211=1,K211&lt;&gt;"Sim"),"Possível duplicidade",IF(Z211=1,"MTR cancelado",IF(AC211&gt;0,"Recebimento com alerta",IF(AA211=0,"Aguardando recebimento",IF(AB211&lt;AA211,"Recebimento a conferir",IF(AM211=1,"Quantidade a revisar",IF(AF211&gt;0,"Vínculo a revisar",IF(AD211=0,"Aguardando CDF",IF(AN211=0,"Vínculo de CDF parcial",IF(AE211&lt;AD211,"CDF a conferir","Documentação conferida"))))))))))))))))))</f>
        <v/>
      </c>
      <c r="Q211" s="93" t="str">
        <f>IF(OR(R211=0,AA211=0),"",MAX(0,N(L211)-N(M211)))</f>
        <v/>
      </c>
      <c r="R211" s="96">
        <f>IF(COUNTA(B211:C211,G211:H211,J211:K211)&gt;0,1,0)</f>
        <v>0</v>
      </c>
      <c r="S211" s="96" t="str">
        <f>IF(B211="","",TRIM(LEFT(B211,FIND(" |",B211&amp;" |")-1)))</f>
        <v/>
      </c>
      <c r="T211" s="96" t="str">
        <f>IF(S211="","",IFERROR(MATCH(S211,'MTRs'!$A$6:$A$505,0),""))</f>
        <v/>
      </c>
      <c r="U211" s="96">
        <f>IF(T211="",0,IF(INDEX('MTRs'!$Z$6:$Z$505,T211)=1,1,0))</f>
        <v>0</v>
      </c>
      <c r="V211" s="96">
        <f>IF(C211="",0,IF(ISNUMBER(MATCH(C211,'CAD_RESÍDUOS'!$B$6:$B$205,0)),1,0))</f>
        <v>0</v>
      </c>
      <c r="W211" s="96">
        <f>IF(AND(ISNUMBER(G211),G211&gt;0),1,0)</f>
        <v>0</v>
      </c>
      <c r="X211" s="96" t="str">
        <f>IF(H211="","",IFERROR(IF(ISNUMBER(INDEX(cfg_fac,MATCH(H211,cfg_units,0))),IF(INDEX(cfg_fac,MATCH(H211,cfg_units,0))&gt;0,INDEX(cfg_fac,MATCH(H211,cfg_units,0)),""),""),""))</f>
        <v/>
      </c>
      <c r="Y211" s="96">
        <f>IF(AND(W211=1,ISNUMBER(I211)),1,0)</f>
        <v>0</v>
      </c>
      <c r="Z211" s="96">
        <f>IF(U211=1,INDEX('MTRs'!$AA$6:$AA$505,T211),0)</f>
        <v>0</v>
      </c>
      <c r="AA211" s="96">
        <f>IF(R211=0,0,COUNTIFS('RECEBIMENTOS'!$R$6:$R$1005,A211,'RECEBIMENTOS'!$Q$6:$Q$1005,1))</f>
        <v>0</v>
      </c>
      <c r="AB211" s="96">
        <f>IF(R211=0,0,COUNTIFS('RECEBIMENTOS'!$R$6:$R$1005,A211,'RECEBIMENTOS'!$Z$6:$Z$1005,1))</f>
        <v>0</v>
      </c>
      <c r="AC211" s="96">
        <f>IF(R211=0,0,COUNTIFS('RECEBIMENTOS'!$R$6:$R$1005,A211,'RECEBIMENTOS'!$Y$6:$Y$1005,1))</f>
        <v>0</v>
      </c>
      <c r="AD211" s="96">
        <f>IF(R211=0,0,COUNTIFS('VÍNCULOS_CDF'!$R$6:$R$1005,A211,'VÍNCULOS_CDF'!$N$6:$N$1005,1))</f>
        <v>0</v>
      </c>
      <c r="AE211" s="96">
        <f>IF(R211=0,0,COUNTIFS('VÍNCULOS_CDF'!$R$6:$R$1005,A211,'VÍNCULOS_CDF'!$AA$6:$AA$1005,1))</f>
        <v>0</v>
      </c>
      <c r="AF211" s="96">
        <f>IF(R211=0,0,COUNTIFS('VÍNCULOS_CDF'!$R$6:$R$1005,A211,'VÍNCULOS_CDF'!$Y$6:$Y$1005,1))</f>
        <v>0</v>
      </c>
      <c r="AG211" s="96" t="str">
        <f>IF(AND(R211=1,S211&lt;&gt;"",C211&lt;&gt;""),S211&amp;"|"&amp;C211&amp;"|"&amp;G211&amp;"|"&amp;H211,"")</f>
        <v/>
      </c>
      <c r="AH211" s="96">
        <f>IF(AG211="",0,IF(SUMPRODUCT(--($AG$6:$AG$1005=AG211))&gt;1,1,0))</f>
        <v>0</v>
      </c>
      <c r="AI211" s="96">
        <f>IF(R211=0,0,IF(OR(U211=0,V211=0,Y211=0,AND(AH211=1,K211&lt;&gt;"Sim")),1,0))</f>
        <v>0</v>
      </c>
      <c r="AJ211" s="96">
        <f>IF(AND(R211=1,AA211&gt;0,AB211=AA211),1,0)</f>
        <v>0</v>
      </c>
      <c r="AK211" s="96">
        <f>IF(R211=0,0,IF(AA211&gt;0,N(L211),IF(ISNUMBER(I211),I211,0)))</f>
        <v>0</v>
      </c>
      <c r="AL211" s="96">
        <f>IF(R211=0,0,IF(AND(K211&lt;&gt;"Sim",N(M211)&gt;AK211+cfg_tol),1,0))</f>
        <v>0</v>
      </c>
      <c r="AM211" s="96">
        <f>IF(R211=0,0,IF(K211="Sim",0,IF(OR(AND(AA211&gt;0,ISNUMBER(I211),ABS(I211-N(L211))&gt;cfg_tol),AL211=1),1,0)))</f>
        <v>0</v>
      </c>
      <c r="AN211" s="96">
        <f>IF(AND(R211=1,N(M211)&gt;0,OR(N(M211)&gt;=AK211-cfg_tol,K211="Sim")),1,0)</f>
        <v>0</v>
      </c>
      <c r="AO211" s="96">
        <f>IF(AND(AN211=1,AD211&gt;0,AE211=AD211,AL211=0),1,0)</f>
        <v>0</v>
      </c>
      <c r="AP211" s="96">
        <f>IF(U211=0,0,IF(AND(INDEX('MTRs'!$AX$6:$AX$505,T211)=1,Z211=0,OR(f_res="",f_res="(Todos)",C211=f_res)),1,0))</f>
        <v>0</v>
      </c>
      <c r="AQ211" s="97" t="str">
        <f>IF(U211=0,"",INDEX('MTRs'!$AZ$6:$AZ$505,T211))</f>
        <v/>
      </c>
      <c r="AR211" s="96">
        <f>IF(U211=0,0,IF(AND(INDEX('MTRs'!$BA$6:$BA$505,T211)=1,Z211=0),1,0))</f>
        <v>0</v>
      </c>
      <c r="AS211" s="96" t="str">
        <f>IF(R211=1,A211&amp;" | MTR "&amp;IF(U211=1,INDEX('MTRs'!$B$6:$B$505,T211)&amp;"","?")&amp;" | "&amp;IF(C211="","(sem resíduo)",C211),"")</f>
        <v/>
      </c>
      <c r="AT211" s="96" t="str">
        <f>IF(R211=1,COUNTIF($R$6:R211,1),"")</f>
        <v/>
      </c>
      <c r="AU211" s="96" t="str">
        <f>IF(U211=1,INDEX('MTRs'!$I$6:$I$505,T211)&amp;"","")</f>
        <v/>
      </c>
    </row>
    <row r="212">
      <c r="A212" s="89" t="inlineStr">
        <is>
          <t>IT-000207</t>
        </is>
      </c>
      <c r="B212" s="91" t="n"/>
      <c r="C212" s="91" t="n"/>
      <c r="D212" s="94" t="str">
        <f>IF(OR(R212=0,V212=0),"",INDEX('CAD_RESÍDUOS'!$E$6:$E$205,MATCH(C212,'CAD_RESÍDUOS'!$B$6:$B$205,0))&amp;"")</f>
        <v/>
      </c>
      <c r="E212" s="94" t="str">
        <f>IF(OR(R212=0,V212=0),"",INDEX('CAD_RESÍDUOS'!$C$6:$C$205,MATCH(C212,'CAD_RESÍDUOS'!$B$6:$B$205,0))&amp;"")</f>
        <v/>
      </c>
      <c r="F212" s="94" t="str">
        <f>IF(OR(R212=0,V212=0),"",INDEX('CAD_RESÍDUOS'!$G$6:$G$205,MATCH(C212,'CAD_RESÍDUOS'!$B$6:$B$205,0))&amp;"")</f>
        <v/>
      </c>
      <c r="G212" s="98" t="n"/>
      <c r="H212" s="91" t="n"/>
      <c r="I212" s="93" t="str">
        <f>IF(R212=0,"",IF(NOT(ISNUMBER(G212)),"",IF(ISNUMBER(X212),G212*X212,"UNIDADE A CONFERIR")))</f>
        <v/>
      </c>
      <c r="J212" s="91" t="n"/>
      <c r="K212" s="91" t="n"/>
      <c r="L212" s="93" t="str">
        <f>IF(R212=0,"",SUMIFS('RECEBIMENTOS'!$H$6:$H$1005,'RECEBIMENTOS'!$R$6:$R$1005,A212,'RECEBIMENTOS'!$X$6:$X$1005,1))</f>
        <v/>
      </c>
      <c r="M212" s="93" t="str">
        <f>IF(R212=0,"",SUMIFS('VÍNCULOS_CDF'!$H$6:$H$1005,'VÍNCULOS_CDF'!$R$6:$R$1005,A212,'VÍNCULOS_CDF'!$V$6:$V$1005,1))</f>
        <v/>
      </c>
      <c r="N212" s="99" t="str">
        <f>IF(OR(R212=0,AA212=0,NOT(ISNUMBER(I212))),"",I212-N(L212))</f>
        <v/>
      </c>
      <c r="O212" s="100" t="str">
        <f>IF(OR(R212=0,AK212&lt;=0),"",N(M212)/AK212)</f>
        <v/>
      </c>
      <c r="P212" s="94" t="str">
        <f>IF(R212=0,"",IF(S212="","Sem MTR associado",IF(U212=0,"MTR inexistente",IF(C212="","Resíduo não identificado",IF(V212=0,"Resíduo fora do cadastro",IF(W212=0,"Quantidade inválida",IF(H212="","Unidade não informada",IF(NOT(ISNUMBER(I212)),"Unidade a conferir",IF(AND(AH212=1,K212&lt;&gt;"Sim"),"Possível duplicidade",IF(Z212=1,"MTR cancelado",IF(AC212&gt;0,"Recebimento com alerta",IF(AA212=0,"Aguardando recebimento",IF(AB212&lt;AA212,"Recebimento a conferir",IF(AM212=1,"Quantidade a revisar",IF(AF212&gt;0,"Vínculo a revisar",IF(AD212=0,"Aguardando CDF",IF(AN212=0,"Vínculo de CDF parcial",IF(AE212&lt;AD212,"CDF a conferir","Documentação conferida"))))))))))))))))))</f>
        <v/>
      </c>
      <c r="Q212" s="93" t="str">
        <f>IF(OR(R212=0,AA212=0),"",MAX(0,N(L212)-N(M212)))</f>
        <v/>
      </c>
      <c r="R212" s="96">
        <f>IF(COUNTA(B212:C212,G212:H212,J212:K212)&gt;0,1,0)</f>
        <v>0</v>
      </c>
      <c r="S212" s="96" t="str">
        <f>IF(B212="","",TRIM(LEFT(B212,FIND(" |",B212&amp;" |")-1)))</f>
        <v/>
      </c>
      <c r="T212" s="96" t="str">
        <f>IF(S212="","",IFERROR(MATCH(S212,'MTRs'!$A$6:$A$505,0),""))</f>
        <v/>
      </c>
      <c r="U212" s="96">
        <f>IF(T212="",0,IF(INDEX('MTRs'!$Z$6:$Z$505,T212)=1,1,0))</f>
        <v>0</v>
      </c>
      <c r="V212" s="96">
        <f>IF(C212="",0,IF(ISNUMBER(MATCH(C212,'CAD_RESÍDUOS'!$B$6:$B$205,0)),1,0))</f>
        <v>0</v>
      </c>
      <c r="W212" s="96">
        <f>IF(AND(ISNUMBER(G212),G212&gt;0),1,0)</f>
        <v>0</v>
      </c>
      <c r="X212" s="96" t="str">
        <f>IF(H212="","",IFERROR(IF(ISNUMBER(INDEX(cfg_fac,MATCH(H212,cfg_units,0))),IF(INDEX(cfg_fac,MATCH(H212,cfg_units,0))&gt;0,INDEX(cfg_fac,MATCH(H212,cfg_units,0)),""),""),""))</f>
        <v/>
      </c>
      <c r="Y212" s="96">
        <f>IF(AND(W212=1,ISNUMBER(I212)),1,0)</f>
        <v>0</v>
      </c>
      <c r="Z212" s="96">
        <f>IF(U212=1,INDEX('MTRs'!$AA$6:$AA$505,T212),0)</f>
        <v>0</v>
      </c>
      <c r="AA212" s="96">
        <f>IF(R212=0,0,COUNTIFS('RECEBIMENTOS'!$R$6:$R$1005,A212,'RECEBIMENTOS'!$Q$6:$Q$1005,1))</f>
        <v>0</v>
      </c>
      <c r="AB212" s="96">
        <f>IF(R212=0,0,COUNTIFS('RECEBIMENTOS'!$R$6:$R$1005,A212,'RECEBIMENTOS'!$Z$6:$Z$1005,1))</f>
        <v>0</v>
      </c>
      <c r="AC212" s="96">
        <f>IF(R212=0,0,COUNTIFS('RECEBIMENTOS'!$R$6:$R$1005,A212,'RECEBIMENTOS'!$Y$6:$Y$1005,1))</f>
        <v>0</v>
      </c>
      <c r="AD212" s="96">
        <f>IF(R212=0,0,COUNTIFS('VÍNCULOS_CDF'!$R$6:$R$1005,A212,'VÍNCULOS_CDF'!$N$6:$N$1005,1))</f>
        <v>0</v>
      </c>
      <c r="AE212" s="96">
        <f>IF(R212=0,0,COUNTIFS('VÍNCULOS_CDF'!$R$6:$R$1005,A212,'VÍNCULOS_CDF'!$AA$6:$AA$1005,1))</f>
        <v>0</v>
      </c>
      <c r="AF212" s="96">
        <f>IF(R212=0,0,COUNTIFS('VÍNCULOS_CDF'!$R$6:$R$1005,A212,'VÍNCULOS_CDF'!$Y$6:$Y$1005,1))</f>
        <v>0</v>
      </c>
      <c r="AG212" s="96" t="str">
        <f>IF(AND(R212=1,S212&lt;&gt;"",C212&lt;&gt;""),S212&amp;"|"&amp;C212&amp;"|"&amp;G212&amp;"|"&amp;H212,"")</f>
        <v/>
      </c>
      <c r="AH212" s="96">
        <f>IF(AG212="",0,IF(SUMPRODUCT(--($AG$6:$AG$1005=AG212))&gt;1,1,0))</f>
        <v>0</v>
      </c>
      <c r="AI212" s="96">
        <f>IF(R212=0,0,IF(OR(U212=0,V212=0,Y212=0,AND(AH212=1,K212&lt;&gt;"Sim")),1,0))</f>
        <v>0</v>
      </c>
      <c r="AJ212" s="96">
        <f>IF(AND(R212=1,AA212&gt;0,AB212=AA212),1,0)</f>
        <v>0</v>
      </c>
      <c r="AK212" s="96">
        <f>IF(R212=0,0,IF(AA212&gt;0,N(L212),IF(ISNUMBER(I212),I212,0)))</f>
        <v>0</v>
      </c>
      <c r="AL212" s="96">
        <f>IF(R212=0,0,IF(AND(K212&lt;&gt;"Sim",N(M212)&gt;AK212+cfg_tol),1,0))</f>
        <v>0</v>
      </c>
      <c r="AM212" s="96">
        <f>IF(R212=0,0,IF(K212="Sim",0,IF(OR(AND(AA212&gt;0,ISNUMBER(I212),ABS(I212-N(L212))&gt;cfg_tol),AL212=1),1,0)))</f>
        <v>0</v>
      </c>
      <c r="AN212" s="96">
        <f>IF(AND(R212=1,N(M212)&gt;0,OR(N(M212)&gt;=AK212-cfg_tol,K212="Sim")),1,0)</f>
        <v>0</v>
      </c>
      <c r="AO212" s="96">
        <f>IF(AND(AN212=1,AD212&gt;0,AE212=AD212,AL212=0),1,0)</f>
        <v>0</v>
      </c>
      <c r="AP212" s="96">
        <f>IF(U212=0,0,IF(AND(INDEX('MTRs'!$AX$6:$AX$505,T212)=1,Z212=0,OR(f_res="",f_res="(Todos)",C212=f_res)),1,0))</f>
        <v>0</v>
      </c>
      <c r="AQ212" s="97" t="str">
        <f>IF(U212=0,"",INDEX('MTRs'!$AZ$6:$AZ$505,T212))</f>
        <v/>
      </c>
      <c r="AR212" s="96">
        <f>IF(U212=0,0,IF(AND(INDEX('MTRs'!$BA$6:$BA$505,T212)=1,Z212=0),1,0))</f>
        <v>0</v>
      </c>
      <c r="AS212" s="96" t="str">
        <f>IF(R212=1,A212&amp;" | MTR "&amp;IF(U212=1,INDEX('MTRs'!$B$6:$B$505,T212)&amp;"","?")&amp;" | "&amp;IF(C212="","(sem resíduo)",C212),"")</f>
        <v/>
      </c>
      <c r="AT212" s="96" t="str">
        <f>IF(R212=1,COUNTIF($R$6:R212,1),"")</f>
        <v/>
      </c>
      <c r="AU212" s="96" t="str">
        <f>IF(U212=1,INDEX('MTRs'!$I$6:$I$505,T212)&amp;"","")</f>
        <v/>
      </c>
    </row>
    <row r="213">
      <c r="A213" s="89" t="inlineStr">
        <is>
          <t>IT-000208</t>
        </is>
      </c>
      <c r="B213" s="91" t="n"/>
      <c r="C213" s="91" t="n"/>
      <c r="D213" s="94" t="str">
        <f>IF(OR(R213=0,V213=0),"",INDEX('CAD_RESÍDUOS'!$E$6:$E$205,MATCH(C213,'CAD_RESÍDUOS'!$B$6:$B$205,0))&amp;"")</f>
        <v/>
      </c>
      <c r="E213" s="94" t="str">
        <f>IF(OR(R213=0,V213=0),"",INDEX('CAD_RESÍDUOS'!$C$6:$C$205,MATCH(C213,'CAD_RESÍDUOS'!$B$6:$B$205,0))&amp;"")</f>
        <v/>
      </c>
      <c r="F213" s="94" t="str">
        <f>IF(OR(R213=0,V213=0),"",INDEX('CAD_RESÍDUOS'!$G$6:$G$205,MATCH(C213,'CAD_RESÍDUOS'!$B$6:$B$205,0))&amp;"")</f>
        <v/>
      </c>
      <c r="G213" s="98" t="n"/>
      <c r="H213" s="91" t="n"/>
      <c r="I213" s="93" t="str">
        <f>IF(R213=0,"",IF(NOT(ISNUMBER(G213)),"",IF(ISNUMBER(X213),G213*X213,"UNIDADE A CONFERIR")))</f>
        <v/>
      </c>
      <c r="J213" s="91" t="n"/>
      <c r="K213" s="91" t="n"/>
      <c r="L213" s="93" t="str">
        <f>IF(R213=0,"",SUMIFS('RECEBIMENTOS'!$H$6:$H$1005,'RECEBIMENTOS'!$R$6:$R$1005,A213,'RECEBIMENTOS'!$X$6:$X$1005,1))</f>
        <v/>
      </c>
      <c r="M213" s="93" t="str">
        <f>IF(R213=0,"",SUMIFS('VÍNCULOS_CDF'!$H$6:$H$1005,'VÍNCULOS_CDF'!$R$6:$R$1005,A213,'VÍNCULOS_CDF'!$V$6:$V$1005,1))</f>
        <v/>
      </c>
      <c r="N213" s="99" t="str">
        <f>IF(OR(R213=0,AA213=0,NOT(ISNUMBER(I213))),"",I213-N(L213))</f>
        <v/>
      </c>
      <c r="O213" s="100" t="str">
        <f>IF(OR(R213=0,AK213&lt;=0),"",N(M213)/AK213)</f>
        <v/>
      </c>
      <c r="P213" s="94" t="str">
        <f>IF(R213=0,"",IF(S213="","Sem MTR associado",IF(U213=0,"MTR inexistente",IF(C213="","Resíduo não identificado",IF(V213=0,"Resíduo fora do cadastro",IF(W213=0,"Quantidade inválida",IF(H213="","Unidade não informada",IF(NOT(ISNUMBER(I213)),"Unidade a conferir",IF(AND(AH213=1,K213&lt;&gt;"Sim"),"Possível duplicidade",IF(Z213=1,"MTR cancelado",IF(AC213&gt;0,"Recebimento com alerta",IF(AA213=0,"Aguardando recebimento",IF(AB213&lt;AA213,"Recebimento a conferir",IF(AM213=1,"Quantidade a revisar",IF(AF213&gt;0,"Vínculo a revisar",IF(AD213=0,"Aguardando CDF",IF(AN213=0,"Vínculo de CDF parcial",IF(AE213&lt;AD213,"CDF a conferir","Documentação conferida"))))))))))))))))))</f>
        <v/>
      </c>
      <c r="Q213" s="93" t="str">
        <f>IF(OR(R213=0,AA213=0),"",MAX(0,N(L213)-N(M213)))</f>
        <v/>
      </c>
      <c r="R213" s="96">
        <f>IF(COUNTA(B213:C213,G213:H213,J213:K213)&gt;0,1,0)</f>
        <v>0</v>
      </c>
      <c r="S213" s="96" t="str">
        <f>IF(B213="","",TRIM(LEFT(B213,FIND(" |",B213&amp;" |")-1)))</f>
        <v/>
      </c>
      <c r="T213" s="96" t="str">
        <f>IF(S213="","",IFERROR(MATCH(S213,'MTRs'!$A$6:$A$505,0),""))</f>
        <v/>
      </c>
      <c r="U213" s="96">
        <f>IF(T213="",0,IF(INDEX('MTRs'!$Z$6:$Z$505,T213)=1,1,0))</f>
        <v>0</v>
      </c>
      <c r="V213" s="96">
        <f>IF(C213="",0,IF(ISNUMBER(MATCH(C213,'CAD_RESÍDUOS'!$B$6:$B$205,0)),1,0))</f>
        <v>0</v>
      </c>
      <c r="W213" s="96">
        <f>IF(AND(ISNUMBER(G213),G213&gt;0),1,0)</f>
        <v>0</v>
      </c>
      <c r="X213" s="96" t="str">
        <f>IF(H213="","",IFERROR(IF(ISNUMBER(INDEX(cfg_fac,MATCH(H213,cfg_units,0))),IF(INDEX(cfg_fac,MATCH(H213,cfg_units,0))&gt;0,INDEX(cfg_fac,MATCH(H213,cfg_units,0)),""),""),""))</f>
        <v/>
      </c>
      <c r="Y213" s="96">
        <f>IF(AND(W213=1,ISNUMBER(I213)),1,0)</f>
        <v>0</v>
      </c>
      <c r="Z213" s="96">
        <f>IF(U213=1,INDEX('MTRs'!$AA$6:$AA$505,T213),0)</f>
        <v>0</v>
      </c>
      <c r="AA213" s="96">
        <f>IF(R213=0,0,COUNTIFS('RECEBIMENTOS'!$R$6:$R$1005,A213,'RECEBIMENTOS'!$Q$6:$Q$1005,1))</f>
        <v>0</v>
      </c>
      <c r="AB213" s="96">
        <f>IF(R213=0,0,COUNTIFS('RECEBIMENTOS'!$R$6:$R$1005,A213,'RECEBIMENTOS'!$Z$6:$Z$1005,1))</f>
        <v>0</v>
      </c>
      <c r="AC213" s="96">
        <f>IF(R213=0,0,COUNTIFS('RECEBIMENTOS'!$R$6:$R$1005,A213,'RECEBIMENTOS'!$Y$6:$Y$1005,1))</f>
        <v>0</v>
      </c>
      <c r="AD213" s="96">
        <f>IF(R213=0,0,COUNTIFS('VÍNCULOS_CDF'!$R$6:$R$1005,A213,'VÍNCULOS_CDF'!$N$6:$N$1005,1))</f>
        <v>0</v>
      </c>
      <c r="AE213" s="96">
        <f>IF(R213=0,0,COUNTIFS('VÍNCULOS_CDF'!$R$6:$R$1005,A213,'VÍNCULOS_CDF'!$AA$6:$AA$1005,1))</f>
        <v>0</v>
      </c>
      <c r="AF213" s="96">
        <f>IF(R213=0,0,COUNTIFS('VÍNCULOS_CDF'!$R$6:$R$1005,A213,'VÍNCULOS_CDF'!$Y$6:$Y$1005,1))</f>
        <v>0</v>
      </c>
      <c r="AG213" s="96" t="str">
        <f>IF(AND(R213=1,S213&lt;&gt;"",C213&lt;&gt;""),S213&amp;"|"&amp;C213&amp;"|"&amp;G213&amp;"|"&amp;H213,"")</f>
        <v/>
      </c>
      <c r="AH213" s="96">
        <f>IF(AG213="",0,IF(SUMPRODUCT(--($AG$6:$AG$1005=AG213))&gt;1,1,0))</f>
        <v>0</v>
      </c>
      <c r="AI213" s="96">
        <f>IF(R213=0,0,IF(OR(U213=0,V213=0,Y213=0,AND(AH213=1,K213&lt;&gt;"Sim")),1,0))</f>
        <v>0</v>
      </c>
      <c r="AJ213" s="96">
        <f>IF(AND(R213=1,AA213&gt;0,AB213=AA213),1,0)</f>
        <v>0</v>
      </c>
      <c r="AK213" s="96">
        <f>IF(R213=0,0,IF(AA213&gt;0,N(L213),IF(ISNUMBER(I213),I213,0)))</f>
        <v>0</v>
      </c>
      <c r="AL213" s="96">
        <f>IF(R213=0,0,IF(AND(K213&lt;&gt;"Sim",N(M213)&gt;AK213+cfg_tol),1,0))</f>
        <v>0</v>
      </c>
      <c r="AM213" s="96">
        <f>IF(R213=0,0,IF(K213="Sim",0,IF(OR(AND(AA213&gt;0,ISNUMBER(I213),ABS(I213-N(L213))&gt;cfg_tol),AL213=1),1,0)))</f>
        <v>0</v>
      </c>
      <c r="AN213" s="96">
        <f>IF(AND(R213=1,N(M213)&gt;0,OR(N(M213)&gt;=AK213-cfg_tol,K213="Sim")),1,0)</f>
        <v>0</v>
      </c>
      <c r="AO213" s="96">
        <f>IF(AND(AN213=1,AD213&gt;0,AE213=AD213,AL213=0),1,0)</f>
        <v>0</v>
      </c>
      <c r="AP213" s="96">
        <f>IF(U213=0,0,IF(AND(INDEX('MTRs'!$AX$6:$AX$505,T213)=1,Z213=0,OR(f_res="",f_res="(Todos)",C213=f_res)),1,0))</f>
        <v>0</v>
      </c>
      <c r="AQ213" s="97" t="str">
        <f>IF(U213=0,"",INDEX('MTRs'!$AZ$6:$AZ$505,T213))</f>
        <v/>
      </c>
      <c r="AR213" s="96">
        <f>IF(U213=0,0,IF(AND(INDEX('MTRs'!$BA$6:$BA$505,T213)=1,Z213=0),1,0))</f>
        <v>0</v>
      </c>
      <c r="AS213" s="96" t="str">
        <f>IF(R213=1,A213&amp;" | MTR "&amp;IF(U213=1,INDEX('MTRs'!$B$6:$B$505,T213)&amp;"","?")&amp;" | "&amp;IF(C213="","(sem resíduo)",C213),"")</f>
        <v/>
      </c>
      <c r="AT213" s="96" t="str">
        <f>IF(R213=1,COUNTIF($R$6:R213,1),"")</f>
        <v/>
      </c>
      <c r="AU213" s="96" t="str">
        <f>IF(U213=1,INDEX('MTRs'!$I$6:$I$505,T213)&amp;"","")</f>
        <v/>
      </c>
    </row>
    <row r="214">
      <c r="A214" s="89" t="inlineStr">
        <is>
          <t>IT-000209</t>
        </is>
      </c>
      <c r="B214" s="91" t="n"/>
      <c r="C214" s="91" t="n"/>
      <c r="D214" s="94" t="str">
        <f>IF(OR(R214=0,V214=0),"",INDEX('CAD_RESÍDUOS'!$E$6:$E$205,MATCH(C214,'CAD_RESÍDUOS'!$B$6:$B$205,0))&amp;"")</f>
        <v/>
      </c>
      <c r="E214" s="94" t="str">
        <f>IF(OR(R214=0,V214=0),"",INDEX('CAD_RESÍDUOS'!$C$6:$C$205,MATCH(C214,'CAD_RESÍDUOS'!$B$6:$B$205,0))&amp;"")</f>
        <v/>
      </c>
      <c r="F214" s="94" t="str">
        <f>IF(OR(R214=0,V214=0),"",INDEX('CAD_RESÍDUOS'!$G$6:$G$205,MATCH(C214,'CAD_RESÍDUOS'!$B$6:$B$205,0))&amp;"")</f>
        <v/>
      </c>
      <c r="G214" s="98" t="n"/>
      <c r="H214" s="91" t="n"/>
      <c r="I214" s="93" t="str">
        <f>IF(R214=0,"",IF(NOT(ISNUMBER(G214)),"",IF(ISNUMBER(X214),G214*X214,"UNIDADE A CONFERIR")))</f>
        <v/>
      </c>
      <c r="J214" s="91" t="n"/>
      <c r="K214" s="91" t="n"/>
      <c r="L214" s="93" t="str">
        <f>IF(R214=0,"",SUMIFS('RECEBIMENTOS'!$H$6:$H$1005,'RECEBIMENTOS'!$R$6:$R$1005,A214,'RECEBIMENTOS'!$X$6:$X$1005,1))</f>
        <v/>
      </c>
      <c r="M214" s="93" t="str">
        <f>IF(R214=0,"",SUMIFS('VÍNCULOS_CDF'!$H$6:$H$1005,'VÍNCULOS_CDF'!$R$6:$R$1005,A214,'VÍNCULOS_CDF'!$V$6:$V$1005,1))</f>
        <v/>
      </c>
      <c r="N214" s="99" t="str">
        <f>IF(OR(R214=0,AA214=0,NOT(ISNUMBER(I214))),"",I214-N(L214))</f>
        <v/>
      </c>
      <c r="O214" s="100" t="str">
        <f>IF(OR(R214=0,AK214&lt;=0),"",N(M214)/AK214)</f>
        <v/>
      </c>
      <c r="P214" s="94" t="str">
        <f>IF(R214=0,"",IF(S214="","Sem MTR associado",IF(U214=0,"MTR inexistente",IF(C214="","Resíduo não identificado",IF(V214=0,"Resíduo fora do cadastro",IF(W214=0,"Quantidade inválida",IF(H214="","Unidade não informada",IF(NOT(ISNUMBER(I214)),"Unidade a conferir",IF(AND(AH214=1,K214&lt;&gt;"Sim"),"Possível duplicidade",IF(Z214=1,"MTR cancelado",IF(AC214&gt;0,"Recebimento com alerta",IF(AA214=0,"Aguardando recebimento",IF(AB214&lt;AA214,"Recebimento a conferir",IF(AM214=1,"Quantidade a revisar",IF(AF214&gt;0,"Vínculo a revisar",IF(AD214=0,"Aguardando CDF",IF(AN214=0,"Vínculo de CDF parcial",IF(AE214&lt;AD214,"CDF a conferir","Documentação conferida"))))))))))))))))))</f>
        <v/>
      </c>
      <c r="Q214" s="93" t="str">
        <f>IF(OR(R214=0,AA214=0),"",MAX(0,N(L214)-N(M214)))</f>
        <v/>
      </c>
      <c r="R214" s="96">
        <f>IF(COUNTA(B214:C214,G214:H214,J214:K214)&gt;0,1,0)</f>
        <v>0</v>
      </c>
      <c r="S214" s="96" t="str">
        <f>IF(B214="","",TRIM(LEFT(B214,FIND(" |",B214&amp;" |")-1)))</f>
        <v/>
      </c>
      <c r="T214" s="96" t="str">
        <f>IF(S214="","",IFERROR(MATCH(S214,'MTRs'!$A$6:$A$505,0),""))</f>
        <v/>
      </c>
      <c r="U214" s="96">
        <f>IF(T214="",0,IF(INDEX('MTRs'!$Z$6:$Z$505,T214)=1,1,0))</f>
        <v>0</v>
      </c>
      <c r="V214" s="96">
        <f>IF(C214="",0,IF(ISNUMBER(MATCH(C214,'CAD_RESÍDUOS'!$B$6:$B$205,0)),1,0))</f>
        <v>0</v>
      </c>
      <c r="W214" s="96">
        <f>IF(AND(ISNUMBER(G214),G214&gt;0),1,0)</f>
        <v>0</v>
      </c>
      <c r="X214" s="96" t="str">
        <f>IF(H214="","",IFERROR(IF(ISNUMBER(INDEX(cfg_fac,MATCH(H214,cfg_units,0))),IF(INDEX(cfg_fac,MATCH(H214,cfg_units,0))&gt;0,INDEX(cfg_fac,MATCH(H214,cfg_units,0)),""),""),""))</f>
        <v/>
      </c>
      <c r="Y214" s="96">
        <f>IF(AND(W214=1,ISNUMBER(I214)),1,0)</f>
        <v>0</v>
      </c>
      <c r="Z214" s="96">
        <f>IF(U214=1,INDEX('MTRs'!$AA$6:$AA$505,T214),0)</f>
        <v>0</v>
      </c>
      <c r="AA214" s="96">
        <f>IF(R214=0,0,COUNTIFS('RECEBIMENTOS'!$R$6:$R$1005,A214,'RECEBIMENTOS'!$Q$6:$Q$1005,1))</f>
        <v>0</v>
      </c>
      <c r="AB214" s="96">
        <f>IF(R214=0,0,COUNTIFS('RECEBIMENTOS'!$R$6:$R$1005,A214,'RECEBIMENTOS'!$Z$6:$Z$1005,1))</f>
        <v>0</v>
      </c>
      <c r="AC214" s="96">
        <f>IF(R214=0,0,COUNTIFS('RECEBIMENTOS'!$R$6:$R$1005,A214,'RECEBIMENTOS'!$Y$6:$Y$1005,1))</f>
        <v>0</v>
      </c>
      <c r="AD214" s="96">
        <f>IF(R214=0,0,COUNTIFS('VÍNCULOS_CDF'!$R$6:$R$1005,A214,'VÍNCULOS_CDF'!$N$6:$N$1005,1))</f>
        <v>0</v>
      </c>
      <c r="AE214" s="96">
        <f>IF(R214=0,0,COUNTIFS('VÍNCULOS_CDF'!$R$6:$R$1005,A214,'VÍNCULOS_CDF'!$AA$6:$AA$1005,1))</f>
        <v>0</v>
      </c>
      <c r="AF214" s="96">
        <f>IF(R214=0,0,COUNTIFS('VÍNCULOS_CDF'!$R$6:$R$1005,A214,'VÍNCULOS_CDF'!$Y$6:$Y$1005,1))</f>
        <v>0</v>
      </c>
      <c r="AG214" s="96" t="str">
        <f>IF(AND(R214=1,S214&lt;&gt;"",C214&lt;&gt;""),S214&amp;"|"&amp;C214&amp;"|"&amp;G214&amp;"|"&amp;H214,"")</f>
        <v/>
      </c>
      <c r="AH214" s="96">
        <f>IF(AG214="",0,IF(SUMPRODUCT(--($AG$6:$AG$1005=AG214))&gt;1,1,0))</f>
        <v>0</v>
      </c>
      <c r="AI214" s="96">
        <f>IF(R214=0,0,IF(OR(U214=0,V214=0,Y214=0,AND(AH214=1,K214&lt;&gt;"Sim")),1,0))</f>
        <v>0</v>
      </c>
      <c r="AJ214" s="96">
        <f>IF(AND(R214=1,AA214&gt;0,AB214=AA214),1,0)</f>
        <v>0</v>
      </c>
      <c r="AK214" s="96">
        <f>IF(R214=0,0,IF(AA214&gt;0,N(L214),IF(ISNUMBER(I214),I214,0)))</f>
        <v>0</v>
      </c>
      <c r="AL214" s="96">
        <f>IF(R214=0,0,IF(AND(K214&lt;&gt;"Sim",N(M214)&gt;AK214+cfg_tol),1,0))</f>
        <v>0</v>
      </c>
      <c r="AM214" s="96">
        <f>IF(R214=0,0,IF(K214="Sim",0,IF(OR(AND(AA214&gt;0,ISNUMBER(I214),ABS(I214-N(L214))&gt;cfg_tol),AL214=1),1,0)))</f>
        <v>0</v>
      </c>
      <c r="AN214" s="96">
        <f>IF(AND(R214=1,N(M214)&gt;0,OR(N(M214)&gt;=AK214-cfg_tol,K214="Sim")),1,0)</f>
        <v>0</v>
      </c>
      <c r="AO214" s="96">
        <f>IF(AND(AN214=1,AD214&gt;0,AE214=AD214,AL214=0),1,0)</f>
        <v>0</v>
      </c>
      <c r="AP214" s="96">
        <f>IF(U214=0,0,IF(AND(INDEX('MTRs'!$AX$6:$AX$505,T214)=1,Z214=0,OR(f_res="",f_res="(Todos)",C214=f_res)),1,0))</f>
        <v>0</v>
      </c>
      <c r="AQ214" s="97" t="str">
        <f>IF(U214=0,"",INDEX('MTRs'!$AZ$6:$AZ$505,T214))</f>
        <v/>
      </c>
      <c r="AR214" s="96">
        <f>IF(U214=0,0,IF(AND(INDEX('MTRs'!$BA$6:$BA$505,T214)=1,Z214=0),1,0))</f>
        <v>0</v>
      </c>
      <c r="AS214" s="96" t="str">
        <f>IF(R214=1,A214&amp;" | MTR "&amp;IF(U214=1,INDEX('MTRs'!$B$6:$B$505,T214)&amp;"","?")&amp;" | "&amp;IF(C214="","(sem resíduo)",C214),"")</f>
        <v/>
      </c>
      <c r="AT214" s="96" t="str">
        <f>IF(R214=1,COUNTIF($R$6:R214,1),"")</f>
        <v/>
      </c>
      <c r="AU214" s="96" t="str">
        <f>IF(U214=1,INDEX('MTRs'!$I$6:$I$505,T214)&amp;"","")</f>
        <v/>
      </c>
    </row>
    <row r="215">
      <c r="A215" s="89" t="inlineStr">
        <is>
          <t>IT-000210</t>
        </is>
      </c>
      <c r="B215" s="91" t="n"/>
      <c r="C215" s="91" t="n"/>
      <c r="D215" s="94" t="str">
        <f>IF(OR(R215=0,V215=0),"",INDEX('CAD_RESÍDUOS'!$E$6:$E$205,MATCH(C215,'CAD_RESÍDUOS'!$B$6:$B$205,0))&amp;"")</f>
        <v/>
      </c>
      <c r="E215" s="94" t="str">
        <f>IF(OR(R215=0,V215=0),"",INDEX('CAD_RESÍDUOS'!$C$6:$C$205,MATCH(C215,'CAD_RESÍDUOS'!$B$6:$B$205,0))&amp;"")</f>
        <v/>
      </c>
      <c r="F215" s="94" t="str">
        <f>IF(OR(R215=0,V215=0),"",INDEX('CAD_RESÍDUOS'!$G$6:$G$205,MATCH(C215,'CAD_RESÍDUOS'!$B$6:$B$205,0))&amp;"")</f>
        <v/>
      </c>
      <c r="G215" s="98" t="n"/>
      <c r="H215" s="91" t="n"/>
      <c r="I215" s="93" t="str">
        <f>IF(R215=0,"",IF(NOT(ISNUMBER(G215)),"",IF(ISNUMBER(X215),G215*X215,"UNIDADE A CONFERIR")))</f>
        <v/>
      </c>
      <c r="J215" s="91" t="n"/>
      <c r="K215" s="91" t="n"/>
      <c r="L215" s="93" t="str">
        <f>IF(R215=0,"",SUMIFS('RECEBIMENTOS'!$H$6:$H$1005,'RECEBIMENTOS'!$R$6:$R$1005,A215,'RECEBIMENTOS'!$X$6:$X$1005,1))</f>
        <v/>
      </c>
      <c r="M215" s="93" t="str">
        <f>IF(R215=0,"",SUMIFS('VÍNCULOS_CDF'!$H$6:$H$1005,'VÍNCULOS_CDF'!$R$6:$R$1005,A215,'VÍNCULOS_CDF'!$V$6:$V$1005,1))</f>
        <v/>
      </c>
      <c r="N215" s="99" t="str">
        <f>IF(OR(R215=0,AA215=0,NOT(ISNUMBER(I215))),"",I215-N(L215))</f>
        <v/>
      </c>
      <c r="O215" s="100" t="str">
        <f>IF(OR(R215=0,AK215&lt;=0),"",N(M215)/AK215)</f>
        <v/>
      </c>
      <c r="P215" s="94" t="str">
        <f>IF(R215=0,"",IF(S215="","Sem MTR associado",IF(U215=0,"MTR inexistente",IF(C215="","Resíduo não identificado",IF(V215=0,"Resíduo fora do cadastro",IF(W215=0,"Quantidade inválida",IF(H215="","Unidade não informada",IF(NOT(ISNUMBER(I215)),"Unidade a conferir",IF(AND(AH215=1,K215&lt;&gt;"Sim"),"Possível duplicidade",IF(Z215=1,"MTR cancelado",IF(AC215&gt;0,"Recebimento com alerta",IF(AA215=0,"Aguardando recebimento",IF(AB215&lt;AA215,"Recebimento a conferir",IF(AM215=1,"Quantidade a revisar",IF(AF215&gt;0,"Vínculo a revisar",IF(AD215=0,"Aguardando CDF",IF(AN215=0,"Vínculo de CDF parcial",IF(AE215&lt;AD215,"CDF a conferir","Documentação conferida"))))))))))))))))))</f>
        <v/>
      </c>
      <c r="Q215" s="93" t="str">
        <f>IF(OR(R215=0,AA215=0),"",MAX(0,N(L215)-N(M215)))</f>
        <v/>
      </c>
      <c r="R215" s="96">
        <f>IF(COUNTA(B215:C215,G215:H215,J215:K215)&gt;0,1,0)</f>
        <v>0</v>
      </c>
      <c r="S215" s="96" t="str">
        <f>IF(B215="","",TRIM(LEFT(B215,FIND(" |",B215&amp;" |")-1)))</f>
        <v/>
      </c>
      <c r="T215" s="96" t="str">
        <f>IF(S215="","",IFERROR(MATCH(S215,'MTRs'!$A$6:$A$505,0),""))</f>
        <v/>
      </c>
      <c r="U215" s="96">
        <f>IF(T215="",0,IF(INDEX('MTRs'!$Z$6:$Z$505,T215)=1,1,0))</f>
        <v>0</v>
      </c>
      <c r="V215" s="96">
        <f>IF(C215="",0,IF(ISNUMBER(MATCH(C215,'CAD_RESÍDUOS'!$B$6:$B$205,0)),1,0))</f>
        <v>0</v>
      </c>
      <c r="W215" s="96">
        <f>IF(AND(ISNUMBER(G215),G215&gt;0),1,0)</f>
        <v>0</v>
      </c>
      <c r="X215" s="96" t="str">
        <f>IF(H215="","",IFERROR(IF(ISNUMBER(INDEX(cfg_fac,MATCH(H215,cfg_units,0))),IF(INDEX(cfg_fac,MATCH(H215,cfg_units,0))&gt;0,INDEX(cfg_fac,MATCH(H215,cfg_units,0)),""),""),""))</f>
        <v/>
      </c>
      <c r="Y215" s="96">
        <f>IF(AND(W215=1,ISNUMBER(I215)),1,0)</f>
        <v>0</v>
      </c>
      <c r="Z215" s="96">
        <f>IF(U215=1,INDEX('MTRs'!$AA$6:$AA$505,T215),0)</f>
        <v>0</v>
      </c>
      <c r="AA215" s="96">
        <f>IF(R215=0,0,COUNTIFS('RECEBIMENTOS'!$R$6:$R$1005,A215,'RECEBIMENTOS'!$Q$6:$Q$1005,1))</f>
        <v>0</v>
      </c>
      <c r="AB215" s="96">
        <f>IF(R215=0,0,COUNTIFS('RECEBIMENTOS'!$R$6:$R$1005,A215,'RECEBIMENTOS'!$Z$6:$Z$1005,1))</f>
        <v>0</v>
      </c>
      <c r="AC215" s="96">
        <f>IF(R215=0,0,COUNTIFS('RECEBIMENTOS'!$R$6:$R$1005,A215,'RECEBIMENTOS'!$Y$6:$Y$1005,1))</f>
        <v>0</v>
      </c>
      <c r="AD215" s="96">
        <f>IF(R215=0,0,COUNTIFS('VÍNCULOS_CDF'!$R$6:$R$1005,A215,'VÍNCULOS_CDF'!$N$6:$N$1005,1))</f>
        <v>0</v>
      </c>
      <c r="AE215" s="96">
        <f>IF(R215=0,0,COUNTIFS('VÍNCULOS_CDF'!$R$6:$R$1005,A215,'VÍNCULOS_CDF'!$AA$6:$AA$1005,1))</f>
        <v>0</v>
      </c>
      <c r="AF215" s="96">
        <f>IF(R215=0,0,COUNTIFS('VÍNCULOS_CDF'!$R$6:$R$1005,A215,'VÍNCULOS_CDF'!$Y$6:$Y$1005,1))</f>
        <v>0</v>
      </c>
      <c r="AG215" s="96" t="str">
        <f>IF(AND(R215=1,S215&lt;&gt;"",C215&lt;&gt;""),S215&amp;"|"&amp;C215&amp;"|"&amp;G215&amp;"|"&amp;H215,"")</f>
        <v/>
      </c>
      <c r="AH215" s="96">
        <f>IF(AG215="",0,IF(SUMPRODUCT(--($AG$6:$AG$1005=AG215))&gt;1,1,0))</f>
        <v>0</v>
      </c>
      <c r="AI215" s="96">
        <f>IF(R215=0,0,IF(OR(U215=0,V215=0,Y215=0,AND(AH215=1,K215&lt;&gt;"Sim")),1,0))</f>
        <v>0</v>
      </c>
      <c r="AJ215" s="96">
        <f>IF(AND(R215=1,AA215&gt;0,AB215=AA215),1,0)</f>
        <v>0</v>
      </c>
      <c r="AK215" s="96">
        <f>IF(R215=0,0,IF(AA215&gt;0,N(L215),IF(ISNUMBER(I215),I215,0)))</f>
        <v>0</v>
      </c>
      <c r="AL215" s="96">
        <f>IF(R215=0,0,IF(AND(K215&lt;&gt;"Sim",N(M215)&gt;AK215+cfg_tol),1,0))</f>
        <v>0</v>
      </c>
      <c r="AM215" s="96">
        <f>IF(R215=0,0,IF(K215="Sim",0,IF(OR(AND(AA215&gt;0,ISNUMBER(I215),ABS(I215-N(L215))&gt;cfg_tol),AL215=1),1,0)))</f>
        <v>0</v>
      </c>
      <c r="AN215" s="96">
        <f>IF(AND(R215=1,N(M215)&gt;0,OR(N(M215)&gt;=AK215-cfg_tol,K215="Sim")),1,0)</f>
        <v>0</v>
      </c>
      <c r="AO215" s="96">
        <f>IF(AND(AN215=1,AD215&gt;0,AE215=AD215,AL215=0),1,0)</f>
        <v>0</v>
      </c>
      <c r="AP215" s="96">
        <f>IF(U215=0,0,IF(AND(INDEX('MTRs'!$AX$6:$AX$505,T215)=1,Z215=0,OR(f_res="",f_res="(Todos)",C215=f_res)),1,0))</f>
        <v>0</v>
      </c>
      <c r="AQ215" s="97" t="str">
        <f>IF(U215=0,"",INDEX('MTRs'!$AZ$6:$AZ$505,T215))</f>
        <v/>
      </c>
      <c r="AR215" s="96">
        <f>IF(U215=0,0,IF(AND(INDEX('MTRs'!$BA$6:$BA$505,T215)=1,Z215=0),1,0))</f>
        <v>0</v>
      </c>
      <c r="AS215" s="96" t="str">
        <f>IF(R215=1,A215&amp;" | MTR "&amp;IF(U215=1,INDEX('MTRs'!$B$6:$B$505,T215)&amp;"","?")&amp;" | "&amp;IF(C215="","(sem resíduo)",C215),"")</f>
        <v/>
      </c>
      <c r="AT215" s="96" t="str">
        <f>IF(R215=1,COUNTIF($R$6:R215,1),"")</f>
        <v/>
      </c>
      <c r="AU215" s="96" t="str">
        <f>IF(U215=1,INDEX('MTRs'!$I$6:$I$505,T215)&amp;"","")</f>
        <v/>
      </c>
    </row>
    <row r="216">
      <c r="A216" s="89" t="inlineStr">
        <is>
          <t>IT-000211</t>
        </is>
      </c>
      <c r="B216" s="91" t="n"/>
      <c r="C216" s="91" t="n"/>
      <c r="D216" s="94" t="str">
        <f>IF(OR(R216=0,V216=0),"",INDEX('CAD_RESÍDUOS'!$E$6:$E$205,MATCH(C216,'CAD_RESÍDUOS'!$B$6:$B$205,0))&amp;"")</f>
        <v/>
      </c>
      <c r="E216" s="94" t="str">
        <f>IF(OR(R216=0,V216=0),"",INDEX('CAD_RESÍDUOS'!$C$6:$C$205,MATCH(C216,'CAD_RESÍDUOS'!$B$6:$B$205,0))&amp;"")</f>
        <v/>
      </c>
      <c r="F216" s="94" t="str">
        <f>IF(OR(R216=0,V216=0),"",INDEX('CAD_RESÍDUOS'!$G$6:$G$205,MATCH(C216,'CAD_RESÍDUOS'!$B$6:$B$205,0))&amp;"")</f>
        <v/>
      </c>
      <c r="G216" s="98" t="n"/>
      <c r="H216" s="91" t="n"/>
      <c r="I216" s="93" t="str">
        <f>IF(R216=0,"",IF(NOT(ISNUMBER(G216)),"",IF(ISNUMBER(X216),G216*X216,"UNIDADE A CONFERIR")))</f>
        <v/>
      </c>
      <c r="J216" s="91" t="n"/>
      <c r="K216" s="91" t="n"/>
      <c r="L216" s="93" t="str">
        <f>IF(R216=0,"",SUMIFS('RECEBIMENTOS'!$H$6:$H$1005,'RECEBIMENTOS'!$R$6:$R$1005,A216,'RECEBIMENTOS'!$X$6:$X$1005,1))</f>
        <v/>
      </c>
      <c r="M216" s="93" t="str">
        <f>IF(R216=0,"",SUMIFS('VÍNCULOS_CDF'!$H$6:$H$1005,'VÍNCULOS_CDF'!$R$6:$R$1005,A216,'VÍNCULOS_CDF'!$V$6:$V$1005,1))</f>
        <v/>
      </c>
      <c r="N216" s="99" t="str">
        <f>IF(OR(R216=0,AA216=0,NOT(ISNUMBER(I216))),"",I216-N(L216))</f>
        <v/>
      </c>
      <c r="O216" s="100" t="str">
        <f>IF(OR(R216=0,AK216&lt;=0),"",N(M216)/AK216)</f>
        <v/>
      </c>
      <c r="P216" s="94" t="str">
        <f>IF(R216=0,"",IF(S216="","Sem MTR associado",IF(U216=0,"MTR inexistente",IF(C216="","Resíduo não identificado",IF(V216=0,"Resíduo fora do cadastro",IF(W216=0,"Quantidade inválida",IF(H216="","Unidade não informada",IF(NOT(ISNUMBER(I216)),"Unidade a conferir",IF(AND(AH216=1,K216&lt;&gt;"Sim"),"Possível duplicidade",IF(Z216=1,"MTR cancelado",IF(AC216&gt;0,"Recebimento com alerta",IF(AA216=0,"Aguardando recebimento",IF(AB216&lt;AA216,"Recebimento a conferir",IF(AM216=1,"Quantidade a revisar",IF(AF216&gt;0,"Vínculo a revisar",IF(AD216=0,"Aguardando CDF",IF(AN216=0,"Vínculo de CDF parcial",IF(AE216&lt;AD216,"CDF a conferir","Documentação conferida"))))))))))))))))))</f>
        <v/>
      </c>
      <c r="Q216" s="93" t="str">
        <f>IF(OR(R216=0,AA216=0),"",MAX(0,N(L216)-N(M216)))</f>
        <v/>
      </c>
      <c r="R216" s="96">
        <f>IF(COUNTA(B216:C216,G216:H216,J216:K216)&gt;0,1,0)</f>
        <v>0</v>
      </c>
      <c r="S216" s="96" t="str">
        <f>IF(B216="","",TRIM(LEFT(B216,FIND(" |",B216&amp;" |")-1)))</f>
        <v/>
      </c>
      <c r="T216" s="96" t="str">
        <f>IF(S216="","",IFERROR(MATCH(S216,'MTRs'!$A$6:$A$505,0),""))</f>
        <v/>
      </c>
      <c r="U216" s="96">
        <f>IF(T216="",0,IF(INDEX('MTRs'!$Z$6:$Z$505,T216)=1,1,0))</f>
        <v>0</v>
      </c>
      <c r="V216" s="96">
        <f>IF(C216="",0,IF(ISNUMBER(MATCH(C216,'CAD_RESÍDUOS'!$B$6:$B$205,0)),1,0))</f>
        <v>0</v>
      </c>
      <c r="W216" s="96">
        <f>IF(AND(ISNUMBER(G216),G216&gt;0),1,0)</f>
        <v>0</v>
      </c>
      <c r="X216" s="96" t="str">
        <f>IF(H216="","",IFERROR(IF(ISNUMBER(INDEX(cfg_fac,MATCH(H216,cfg_units,0))),IF(INDEX(cfg_fac,MATCH(H216,cfg_units,0))&gt;0,INDEX(cfg_fac,MATCH(H216,cfg_units,0)),""),""),""))</f>
        <v/>
      </c>
      <c r="Y216" s="96">
        <f>IF(AND(W216=1,ISNUMBER(I216)),1,0)</f>
        <v>0</v>
      </c>
      <c r="Z216" s="96">
        <f>IF(U216=1,INDEX('MTRs'!$AA$6:$AA$505,T216),0)</f>
        <v>0</v>
      </c>
      <c r="AA216" s="96">
        <f>IF(R216=0,0,COUNTIFS('RECEBIMENTOS'!$R$6:$R$1005,A216,'RECEBIMENTOS'!$Q$6:$Q$1005,1))</f>
        <v>0</v>
      </c>
      <c r="AB216" s="96">
        <f>IF(R216=0,0,COUNTIFS('RECEBIMENTOS'!$R$6:$R$1005,A216,'RECEBIMENTOS'!$Z$6:$Z$1005,1))</f>
        <v>0</v>
      </c>
      <c r="AC216" s="96">
        <f>IF(R216=0,0,COUNTIFS('RECEBIMENTOS'!$R$6:$R$1005,A216,'RECEBIMENTOS'!$Y$6:$Y$1005,1))</f>
        <v>0</v>
      </c>
      <c r="AD216" s="96">
        <f>IF(R216=0,0,COUNTIFS('VÍNCULOS_CDF'!$R$6:$R$1005,A216,'VÍNCULOS_CDF'!$N$6:$N$1005,1))</f>
        <v>0</v>
      </c>
      <c r="AE216" s="96">
        <f>IF(R216=0,0,COUNTIFS('VÍNCULOS_CDF'!$R$6:$R$1005,A216,'VÍNCULOS_CDF'!$AA$6:$AA$1005,1))</f>
        <v>0</v>
      </c>
      <c r="AF216" s="96">
        <f>IF(R216=0,0,COUNTIFS('VÍNCULOS_CDF'!$R$6:$R$1005,A216,'VÍNCULOS_CDF'!$Y$6:$Y$1005,1))</f>
        <v>0</v>
      </c>
      <c r="AG216" s="96" t="str">
        <f>IF(AND(R216=1,S216&lt;&gt;"",C216&lt;&gt;""),S216&amp;"|"&amp;C216&amp;"|"&amp;G216&amp;"|"&amp;H216,"")</f>
        <v/>
      </c>
      <c r="AH216" s="96">
        <f>IF(AG216="",0,IF(SUMPRODUCT(--($AG$6:$AG$1005=AG216))&gt;1,1,0))</f>
        <v>0</v>
      </c>
      <c r="AI216" s="96">
        <f>IF(R216=0,0,IF(OR(U216=0,V216=0,Y216=0,AND(AH216=1,K216&lt;&gt;"Sim")),1,0))</f>
        <v>0</v>
      </c>
      <c r="AJ216" s="96">
        <f>IF(AND(R216=1,AA216&gt;0,AB216=AA216),1,0)</f>
        <v>0</v>
      </c>
      <c r="AK216" s="96">
        <f>IF(R216=0,0,IF(AA216&gt;0,N(L216),IF(ISNUMBER(I216),I216,0)))</f>
        <v>0</v>
      </c>
      <c r="AL216" s="96">
        <f>IF(R216=0,0,IF(AND(K216&lt;&gt;"Sim",N(M216)&gt;AK216+cfg_tol),1,0))</f>
        <v>0</v>
      </c>
      <c r="AM216" s="96">
        <f>IF(R216=0,0,IF(K216="Sim",0,IF(OR(AND(AA216&gt;0,ISNUMBER(I216),ABS(I216-N(L216))&gt;cfg_tol),AL216=1),1,0)))</f>
        <v>0</v>
      </c>
      <c r="AN216" s="96">
        <f>IF(AND(R216=1,N(M216)&gt;0,OR(N(M216)&gt;=AK216-cfg_tol,K216="Sim")),1,0)</f>
        <v>0</v>
      </c>
      <c r="AO216" s="96">
        <f>IF(AND(AN216=1,AD216&gt;0,AE216=AD216,AL216=0),1,0)</f>
        <v>0</v>
      </c>
      <c r="AP216" s="96">
        <f>IF(U216=0,0,IF(AND(INDEX('MTRs'!$AX$6:$AX$505,T216)=1,Z216=0,OR(f_res="",f_res="(Todos)",C216=f_res)),1,0))</f>
        <v>0</v>
      </c>
      <c r="AQ216" s="97" t="str">
        <f>IF(U216=0,"",INDEX('MTRs'!$AZ$6:$AZ$505,T216))</f>
        <v/>
      </c>
      <c r="AR216" s="96">
        <f>IF(U216=0,0,IF(AND(INDEX('MTRs'!$BA$6:$BA$505,T216)=1,Z216=0),1,0))</f>
        <v>0</v>
      </c>
      <c r="AS216" s="96" t="str">
        <f>IF(R216=1,A216&amp;" | MTR "&amp;IF(U216=1,INDEX('MTRs'!$B$6:$B$505,T216)&amp;"","?")&amp;" | "&amp;IF(C216="","(sem resíduo)",C216),"")</f>
        <v/>
      </c>
      <c r="AT216" s="96" t="str">
        <f>IF(R216=1,COUNTIF($R$6:R216,1),"")</f>
        <v/>
      </c>
      <c r="AU216" s="96" t="str">
        <f>IF(U216=1,INDEX('MTRs'!$I$6:$I$505,T216)&amp;"","")</f>
        <v/>
      </c>
    </row>
    <row r="217">
      <c r="A217" s="89" t="inlineStr">
        <is>
          <t>IT-000212</t>
        </is>
      </c>
      <c r="B217" s="91" t="n"/>
      <c r="C217" s="91" t="n"/>
      <c r="D217" s="94" t="str">
        <f>IF(OR(R217=0,V217=0),"",INDEX('CAD_RESÍDUOS'!$E$6:$E$205,MATCH(C217,'CAD_RESÍDUOS'!$B$6:$B$205,0))&amp;"")</f>
        <v/>
      </c>
      <c r="E217" s="94" t="str">
        <f>IF(OR(R217=0,V217=0),"",INDEX('CAD_RESÍDUOS'!$C$6:$C$205,MATCH(C217,'CAD_RESÍDUOS'!$B$6:$B$205,0))&amp;"")</f>
        <v/>
      </c>
      <c r="F217" s="94" t="str">
        <f>IF(OR(R217=0,V217=0),"",INDEX('CAD_RESÍDUOS'!$G$6:$G$205,MATCH(C217,'CAD_RESÍDUOS'!$B$6:$B$205,0))&amp;"")</f>
        <v/>
      </c>
      <c r="G217" s="98" t="n"/>
      <c r="H217" s="91" t="n"/>
      <c r="I217" s="93" t="str">
        <f>IF(R217=0,"",IF(NOT(ISNUMBER(G217)),"",IF(ISNUMBER(X217),G217*X217,"UNIDADE A CONFERIR")))</f>
        <v/>
      </c>
      <c r="J217" s="91" t="n"/>
      <c r="K217" s="91" t="n"/>
      <c r="L217" s="93" t="str">
        <f>IF(R217=0,"",SUMIFS('RECEBIMENTOS'!$H$6:$H$1005,'RECEBIMENTOS'!$R$6:$R$1005,A217,'RECEBIMENTOS'!$X$6:$X$1005,1))</f>
        <v/>
      </c>
      <c r="M217" s="93" t="str">
        <f>IF(R217=0,"",SUMIFS('VÍNCULOS_CDF'!$H$6:$H$1005,'VÍNCULOS_CDF'!$R$6:$R$1005,A217,'VÍNCULOS_CDF'!$V$6:$V$1005,1))</f>
        <v/>
      </c>
      <c r="N217" s="99" t="str">
        <f>IF(OR(R217=0,AA217=0,NOT(ISNUMBER(I217))),"",I217-N(L217))</f>
        <v/>
      </c>
      <c r="O217" s="100" t="str">
        <f>IF(OR(R217=0,AK217&lt;=0),"",N(M217)/AK217)</f>
        <v/>
      </c>
      <c r="P217" s="94" t="str">
        <f>IF(R217=0,"",IF(S217="","Sem MTR associado",IF(U217=0,"MTR inexistente",IF(C217="","Resíduo não identificado",IF(V217=0,"Resíduo fora do cadastro",IF(W217=0,"Quantidade inválida",IF(H217="","Unidade não informada",IF(NOT(ISNUMBER(I217)),"Unidade a conferir",IF(AND(AH217=1,K217&lt;&gt;"Sim"),"Possível duplicidade",IF(Z217=1,"MTR cancelado",IF(AC217&gt;0,"Recebimento com alerta",IF(AA217=0,"Aguardando recebimento",IF(AB217&lt;AA217,"Recebimento a conferir",IF(AM217=1,"Quantidade a revisar",IF(AF217&gt;0,"Vínculo a revisar",IF(AD217=0,"Aguardando CDF",IF(AN217=0,"Vínculo de CDF parcial",IF(AE217&lt;AD217,"CDF a conferir","Documentação conferida"))))))))))))))))))</f>
        <v/>
      </c>
      <c r="Q217" s="93" t="str">
        <f>IF(OR(R217=0,AA217=0),"",MAX(0,N(L217)-N(M217)))</f>
        <v/>
      </c>
      <c r="R217" s="96">
        <f>IF(COUNTA(B217:C217,G217:H217,J217:K217)&gt;0,1,0)</f>
        <v>0</v>
      </c>
      <c r="S217" s="96" t="str">
        <f>IF(B217="","",TRIM(LEFT(B217,FIND(" |",B217&amp;" |")-1)))</f>
        <v/>
      </c>
      <c r="T217" s="96" t="str">
        <f>IF(S217="","",IFERROR(MATCH(S217,'MTRs'!$A$6:$A$505,0),""))</f>
        <v/>
      </c>
      <c r="U217" s="96">
        <f>IF(T217="",0,IF(INDEX('MTRs'!$Z$6:$Z$505,T217)=1,1,0))</f>
        <v>0</v>
      </c>
      <c r="V217" s="96">
        <f>IF(C217="",0,IF(ISNUMBER(MATCH(C217,'CAD_RESÍDUOS'!$B$6:$B$205,0)),1,0))</f>
        <v>0</v>
      </c>
      <c r="W217" s="96">
        <f>IF(AND(ISNUMBER(G217),G217&gt;0),1,0)</f>
        <v>0</v>
      </c>
      <c r="X217" s="96" t="str">
        <f>IF(H217="","",IFERROR(IF(ISNUMBER(INDEX(cfg_fac,MATCH(H217,cfg_units,0))),IF(INDEX(cfg_fac,MATCH(H217,cfg_units,0))&gt;0,INDEX(cfg_fac,MATCH(H217,cfg_units,0)),""),""),""))</f>
        <v/>
      </c>
      <c r="Y217" s="96">
        <f>IF(AND(W217=1,ISNUMBER(I217)),1,0)</f>
        <v>0</v>
      </c>
      <c r="Z217" s="96">
        <f>IF(U217=1,INDEX('MTRs'!$AA$6:$AA$505,T217),0)</f>
        <v>0</v>
      </c>
      <c r="AA217" s="96">
        <f>IF(R217=0,0,COUNTIFS('RECEBIMENTOS'!$R$6:$R$1005,A217,'RECEBIMENTOS'!$Q$6:$Q$1005,1))</f>
        <v>0</v>
      </c>
      <c r="AB217" s="96">
        <f>IF(R217=0,0,COUNTIFS('RECEBIMENTOS'!$R$6:$R$1005,A217,'RECEBIMENTOS'!$Z$6:$Z$1005,1))</f>
        <v>0</v>
      </c>
      <c r="AC217" s="96">
        <f>IF(R217=0,0,COUNTIFS('RECEBIMENTOS'!$R$6:$R$1005,A217,'RECEBIMENTOS'!$Y$6:$Y$1005,1))</f>
        <v>0</v>
      </c>
      <c r="AD217" s="96">
        <f>IF(R217=0,0,COUNTIFS('VÍNCULOS_CDF'!$R$6:$R$1005,A217,'VÍNCULOS_CDF'!$N$6:$N$1005,1))</f>
        <v>0</v>
      </c>
      <c r="AE217" s="96">
        <f>IF(R217=0,0,COUNTIFS('VÍNCULOS_CDF'!$R$6:$R$1005,A217,'VÍNCULOS_CDF'!$AA$6:$AA$1005,1))</f>
        <v>0</v>
      </c>
      <c r="AF217" s="96">
        <f>IF(R217=0,0,COUNTIFS('VÍNCULOS_CDF'!$R$6:$R$1005,A217,'VÍNCULOS_CDF'!$Y$6:$Y$1005,1))</f>
        <v>0</v>
      </c>
      <c r="AG217" s="96" t="str">
        <f>IF(AND(R217=1,S217&lt;&gt;"",C217&lt;&gt;""),S217&amp;"|"&amp;C217&amp;"|"&amp;G217&amp;"|"&amp;H217,"")</f>
        <v/>
      </c>
      <c r="AH217" s="96">
        <f>IF(AG217="",0,IF(SUMPRODUCT(--($AG$6:$AG$1005=AG217))&gt;1,1,0))</f>
        <v>0</v>
      </c>
      <c r="AI217" s="96">
        <f>IF(R217=0,0,IF(OR(U217=0,V217=0,Y217=0,AND(AH217=1,K217&lt;&gt;"Sim")),1,0))</f>
        <v>0</v>
      </c>
      <c r="AJ217" s="96">
        <f>IF(AND(R217=1,AA217&gt;0,AB217=AA217),1,0)</f>
        <v>0</v>
      </c>
      <c r="AK217" s="96">
        <f>IF(R217=0,0,IF(AA217&gt;0,N(L217),IF(ISNUMBER(I217),I217,0)))</f>
        <v>0</v>
      </c>
      <c r="AL217" s="96">
        <f>IF(R217=0,0,IF(AND(K217&lt;&gt;"Sim",N(M217)&gt;AK217+cfg_tol),1,0))</f>
        <v>0</v>
      </c>
      <c r="AM217" s="96">
        <f>IF(R217=0,0,IF(K217="Sim",0,IF(OR(AND(AA217&gt;0,ISNUMBER(I217),ABS(I217-N(L217))&gt;cfg_tol),AL217=1),1,0)))</f>
        <v>0</v>
      </c>
      <c r="AN217" s="96">
        <f>IF(AND(R217=1,N(M217)&gt;0,OR(N(M217)&gt;=AK217-cfg_tol,K217="Sim")),1,0)</f>
        <v>0</v>
      </c>
      <c r="AO217" s="96">
        <f>IF(AND(AN217=1,AD217&gt;0,AE217=AD217,AL217=0),1,0)</f>
        <v>0</v>
      </c>
      <c r="AP217" s="96">
        <f>IF(U217=0,0,IF(AND(INDEX('MTRs'!$AX$6:$AX$505,T217)=1,Z217=0,OR(f_res="",f_res="(Todos)",C217=f_res)),1,0))</f>
        <v>0</v>
      </c>
      <c r="AQ217" s="97" t="str">
        <f>IF(U217=0,"",INDEX('MTRs'!$AZ$6:$AZ$505,T217))</f>
        <v/>
      </c>
      <c r="AR217" s="96">
        <f>IF(U217=0,0,IF(AND(INDEX('MTRs'!$BA$6:$BA$505,T217)=1,Z217=0),1,0))</f>
        <v>0</v>
      </c>
      <c r="AS217" s="96" t="str">
        <f>IF(R217=1,A217&amp;" | MTR "&amp;IF(U217=1,INDEX('MTRs'!$B$6:$B$505,T217)&amp;"","?")&amp;" | "&amp;IF(C217="","(sem resíduo)",C217),"")</f>
        <v/>
      </c>
      <c r="AT217" s="96" t="str">
        <f>IF(R217=1,COUNTIF($R$6:R217,1),"")</f>
        <v/>
      </c>
      <c r="AU217" s="96" t="str">
        <f>IF(U217=1,INDEX('MTRs'!$I$6:$I$505,T217)&amp;"","")</f>
        <v/>
      </c>
    </row>
    <row r="218">
      <c r="A218" s="89" t="inlineStr">
        <is>
          <t>IT-000213</t>
        </is>
      </c>
      <c r="B218" s="91" t="n"/>
      <c r="C218" s="91" t="n"/>
      <c r="D218" s="94" t="str">
        <f>IF(OR(R218=0,V218=0),"",INDEX('CAD_RESÍDUOS'!$E$6:$E$205,MATCH(C218,'CAD_RESÍDUOS'!$B$6:$B$205,0))&amp;"")</f>
        <v/>
      </c>
      <c r="E218" s="94" t="str">
        <f>IF(OR(R218=0,V218=0),"",INDEX('CAD_RESÍDUOS'!$C$6:$C$205,MATCH(C218,'CAD_RESÍDUOS'!$B$6:$B$205,0))&amp;"")</f>
        <v/>
      </c>
      <c r="F218" s="94" t="str">
        <f>IF(OR(R218=0,V218=0),"",INDEX('CAD_RESÍDUOS'!$G$6:$G$205,MATCH(C218,'CAD_RESÍDUOS'!$B$6:$B$205,0))&amp;"")</f>
        <v/>
      </c>
      <c r="G218" s="98" t="n"/>
      <c r="H218" s="91" t="n"/>
      <c r="I218" s="93" t="str">
        <f>IF(R218=0,"",IF(NOT(ISNUMBER(G218)),"",IF(ISNUMBER(X218),G218*X218,"UNIDADE A CONFERIR")))</f>
        <v/>
      </c>
      <c r="J218" s="91" t="n"/>
      <c r="K218" s="91" t="n"/>
      <c r="L218" s="93" t="str">
        <f>IF(R218=0,"",SUMIFS('RECEBIMENTOS'!$H$6:$H$1005,'RECEBIMENTOS'!$R$6:$R$1005,A218,'RECEBIMENTOS'!$X$6:$X$1005,1))</f>
        <v/>
      </c>
      <c r="M218" s="93" t="str">
        <f>IF(R218=0,"",SUMIFS('VÍNCULOS_CDF'!$H$6:$H$1005,'VÍNCULOS_CDF'!$R$6:$R$1005,A218,'VÍNCULOS_CDF'!$V$6:$V$1005,1))</f>
        <v/>
      </c>
      <c r="N218" s="99" t="str">
        <f>IF(OR(R218=0,AA218=0,NOT(ISNUMBER(I218))),"",I218-N(L218))</f>
        <v/>
      </c>
      <c r="O218" s="100" t="str">
        <f>IF(OR(R218=0,AK218&lt;=0),"",N(M218)/AK218)</f>
        <v/>
      </c>
      <c r="P218" s="94" t="str">
        <f>IF(R218=0,"",IF(S218="","Sem MTR associado",IF(U218=0,"MTR inexistente",IF(C218="","Resíduo não identificado",IF(V218=0,"Resíduo fora do cadastro",IF(W218=0,"Quantidade inválida",IF(H218="","Unidade não informada",IF(NOT(ISNUMBER(I218)),"Unidade a conferir",IF(AND(AH218=1,K218&lt;&gt;"Sim"),"Possível duplicidade",IF(Z218=1,"MTR cancelado",IF(AC218&gt;0,"Recebimento com alerta",IF(AA218=0,"Aguardando recebimento",IF(AB218&lt;AA218,"Recebimento a conferir",IF(AM218=1,"Quantidade a revisar",IF(AF218&gt;0,"Vínculo a revisar",IF(AD218=0,"Aguardando CDF",IF(AN218=0,"Vínculo de CDF parcial",IF(AE218&lt;AD218,"CDF a conferir","Documentação conferida"))))))))))))))))))</f>
        <v/>
      </c>
      <c r="Q218" s="93" t="str">
        <f>IF(OR(R218=0,AA218=0),"",MAX(0,N(L218)-N(M218)))</f>
        <v/>
      </c>
      <c r="R218" s="96">
        <f>IF(COUNTA(B218:C218,G218:H218,J218:K218)&gt;0,1,0)</f>
        <v>0</v>
      </c>
      <c r="S218" s="96" t="str">
        <f>IF(B218="","",TRIM(LEFT(B218,FIND(" |",B218&amp;" |")-1)))</f>
        <v/>
      </c>
      <c r="T218" s="96" t="str">
        <f>IF(S218="","",IFERROR(MATCH(S218,'MTRs'!$A$6:$A$505,0),""))</f>
        <v/>
      </c>
      <c r="U218" s="96">
        <f>IF(T218="",0,IF(INDEX('MTRs'!$Z$6:$Z$505,T218)=1,1,0))</f>
        <v>0</v>
      </c>
      <c r="V218" s="96">
        <f>IF(C218="",0,IF(ISNUMBER(MATCH(C218,'CAD_RESÍDUOS'!$B$6:$B$205,0)),1,0))</f>
        <v>0</v>
      </c>
      <c r="W218" s="96">
        <f>IF(AND(ISNUMBER(G218),G218&gt;0),1,0)</f>
        <v>0</v>
      </c>
      <c r="X218" s="96" t="str">
        <f>IF(H218="","",IFERROR(IF(ISNUMBER(INDEX(cfg_fac,MATCH(H218,cfg_units,0))),IF(INDEX(cfg_fac,MATCH(H218,cfg_units,0))&gt;0,INDEX(cfg_fac,MATCH(H218,cfg_units,0)),""),""),""))</f>
        <v/>
      </c>
      <c r="Y218" s="96">
        <f>IF(AND(W218=1,ISNUMBER(I218)),1,0)</f>
        <v>0</v>
      </c>
      <c r="Z218" s="96">
        <f>IF(U218=1,INDEX('MTRs'!$AA$6:$AA$505,T218),0)</f>
        <v>0</v>
      </c>
      <c r="AA218" s="96">
        <f>IF(R218=0,0,COUNTIFS('RECEBIMENTOS'!$R$6:$R$1005,A218,'RECEBIMENTOS'!$Q$6:$Q$1005,1))</f>
        <v>0</v>
      </c>
      <c r="AB218" s="96">
        <f>IF(R218=0,0,COUNTIFS('RECEBIMENTOS'!$R$6:$R$1005,A218,'RECEBIMENTOS'!$Z$6:$Z$1005,1))</f>
        <v>0</v>
      </c>
      <c r="AC218" s="96">
        <f>IF(R218=0,0,COUNTIFS('RECEBIMENTOS'!$R$6:$R$1005,A218,'RECEBIMENTOS'!$Y$6:$Y$1005,1))</f>
        <v>0</v>
      </c>
      <c r="AD218" s="96">
        <f>IF(R218=0,0,COUNTIFS('VÍNCULOS_CDF'!$R$6:$R$1005,A218,'VÍNCULOS_CDF'!$N$6:$N$1005,1))</f>
        <v>0</v>
      </c>
      <c r="AE218" s="96">
        <f>IF(R218=0,0,COUNTIFS('VÍNCULOS_CDF'!$R$6:$R$1005,A218,'VÍNCULOS_CDF'!$AA$6:$AA$1005,1))</f>
        <v>0</v>
      </c>
      <c r="AF218" s="96">
        <f>IF(R218=0,0,COUNTIFS('VÍNCULOS_CDF'!$R$6:$R$1005,A218,'VÍNCULOS_CDF'!$Y$6:$Y$1005,1))</f>
        <v>0</v>
      </c>
      <c r="AG218" s="96" t="str">
        <f>IF(AND(R218=1,S218&lt;&gt;"",C218&lt;&gt;""),S218&amp;"|"&amp;C218&amp;"|"&amp;G218&amp;"|"&amp;H218,"")</f>
        <v/>
      </c>
      <c r="AH218" s="96">
        <f>IF(AG218="",0,IF(SUMPRODUCT(--($AG$6:$AG$1005=AG218))&gt;1,1,0))</f>
        <v>0</v>
      </c>
      <c r="AI218" s="96">
        <f>IF(R218=0,0,IF(OR(U218=0,V218=0,Y218=0,AND(AH218=1,K218&lt;&gt;"Sim")),1,0))</f>
        <v>0</v>
      </c>
      <c r="AJ218" s="96">
        <f>IF(AND(R218=1,AA218&gt;0,AB218=AA218),1,0)</f>
        <v>0</v>
      </c>
      <c r="AK218" s="96">
        <f>IF(R218=0,0,IF(AA218&gt;0,N(L218),IF(ISNUMBER(I218),I218,0)))</f>
        <v>0</v>
      </c>
      <c r="AL218" s="96">
        <f>IF(R218=0,0,IF(AND(K218&lt;&gt;"Sim",N(M218)&gt;AK218+cfg_tol),1,0))</f>
        <v>0</v>
      </c>
      <c r="AM218" s="96">
        <f>IF(R218=0,0,IF(K218="Sim",0,IF(OR(AND(AA218&gt;0,ISNUMBER(I218),ABS(I218-N(L218))&gt;cfg_tol),AL218=1),1,0)))</f>
        <v>0</v>
      </c>
      <c r="AN218" s="96">
        <f>IF(AND(R218=1,N(M218)&gt;0,OR(N(M218)&gt;=AK218-cfg_tol,K218="Sim")),1,0)</f>
        <v>0</v>
      </c>
      <c r="AO218" s="96">
        <f>IF(AND(AN218=1,AD218&gt;0,AE218=AD218,AL218=0),1,0)</f>
        <v>0</v>
      </c>
      <c r="AP218" s="96">
        <f>IF(U218=0,0,IF(AND(INDEX('MTRs'!$AX$6:$AX$505,T218)=1,Z218=0,OR(f_res="",f_res="(Todos)",C218=f_res)),1,0))</f>
        <v>0</v>
      </c>
      <c r="AQ218" s="97" t="str">
        <f>IF(U218=0,"",INDEX('MTRs'!$AZ$6:$AZ$505,T218))</f>
        <v/>
      </c>
      <c r="AR218" s="96">
        <f>IF(U218=0,0,IF(AND(INDEX('MTRs'!$BA$6:$BA$505,T218)=1,Z218=0),1,0))</f>
        <v>0</v>
      </c>
      <c r="AS218" s="96" t="str">
        <f>IF(R218=1,A218&amp;" | MTR "&amp;IF(U218=1,INDEX('MTRs'!$B$6:$B$505,T218)&amp;"","?")&amp;" | "&amp;IF(C218="","(sem resíduo)",C218),"")</f>
        <v/>
      </c>
      <c r="AT218" s="96" t="str">
        <f>IF(R218=1,COUNTIF($R$6:R218,1),"")</f>
        <v/>
      </c>
      <c r="AU218" s="96" t="str">
        <f>IF(U218=1,INDEX('MTRs'!$I$6:$I$505,T218)&amp;"","")</f>
        <v/>
      </c>
    </row>
    <row r="219">
      <c r="A219" s="89" t="inlineStr">
        <is>
          <t>IT-000214</t>
        </is>
      </c>
      <c r="B219" s="91" t="n"/>
      <c r="C219" s="91" t="n"/>
      <c r="D219" s="94" t="str">
        <f>IF(OR(R219=0,V219=0),"",INDEX('CAD_RESÍDUOS'!$E$6:$E$205,MATCH(C219,'CAD_RESÍDUOS'!$B$6:$B$205,0))&amp;"")</f>
        <v/>
      </c>
      <c r="E219" s="94" t="str">
        <f>IF(OR(R219=0,V219=0),"",INDEX('CAD_RESÍDUOS'!$C$6:$C$205,MATCH(C219,'CAD_RESÍDUOS'!$B$6:$B$205,0))&amp;"")</f>
        <v/>
      </c>
      <c r="F219" s="94" t="str">
        <f>IF(OR(R219=0,V219=0),"",INDEX('CAD_RESÍDUOS'!$G$6:$G$205,MATCH(C219,'CAD_RESÍDUOS'!$B$6:$B$205,0))&amp;"")</f>
        <v/>
      </c>
      <c r="G219" s="98" t="n"/>
      <c r="H219" s="91" t="n"/>
      <c r="I219" s="93" t="str">
        <f>IF(R219=0,"",IF(NOT(ISNUMBER(G219)),"",IF(ISNUMBER(X219),G219*X219,"UNIDADE A CONFERIR")))</f>
        <v/>
      </c>
      <c r="J219" s="91" t="n"/>
      <c r="K219" s="91" t="n"/>
      <c r="L219" s="93" t="str">
        <f>IF(R219=0,"",SUMIFS('RECEBIMENTOS'!$H$6:$H$1005,'RECEBIMENTOS'!$R$6:$R$1005,A219,'RECEBIMENTOS'!$X$6:$X$1005,1))</f>
        <v/>
      </c>
      <c r="M219" s="93" t="str">
        <f>IF(R219=0,"",SUMIFS('VÍNCULOS_CDF'!$H$6:$H$1005,'VÍNCULOS_CDF'!$R$6:$R$1005,A219,'VÍNCULOS_CDF'!$V$6:$V$1005,1))</f>
        <v/>
      </c>
      <c r="N219" s="99" t="str">
        <f>IF(OR(R219=0,AA219=0,NOT(ISNUMBER(I219))),"",I219-N(L219))</f>
        <v/>
      </c>
      <c r="O219" s="100" t="str">
        <f>IF(OR(R219=0,AK219&lt;=0),"",N(M219)/AK219)</f>
        <v/>
      </c>
      <c r="P219" s="94" t="str">
        <f>IF(R219=0,"",IF(S219="","Sem MTR associado",IF(U219=0,"MTR inexistente",IF(C219="","Resíduo não identificado",IF(V219=0,"Resíduo fora do cadastro",IF(W219=0,"Quantidade inválida",IF(H219="","Unidade não informada",IF(NOT(ISNUMBER(I219)),"Unidade a conferir",IF(AND(AH219=1,K219&lt;&gt;"Sim"),"Possível duplicidade",IF(Z219=1,"MTR cancelado",IF(AC219&gt;0,"Recebimento com alerta",IF(AA219=0,"Aguardando recebimento",IF(AB219&lt;AA219,"Recebimento a conferir",IF(AM219=1,"Quantidade a revisar",IF(AF219&gt;0,"Vínculo a revisar",IF(AD219=0,"Aguardando CDF",IF(AN219=0,"Vínculo de CDF parcial",IF(AE219&lt;AD219,"CDF a conferir","Documentação conferida"))))))))))))))))))</f>
        <v/>
      </c>
      <c r="Q219" s="93" t="str">
        <f>IF(OR(R219=0,AA219=0),"",MAX(0,N(L219)-N(M219)))</f>
        <v/>
      </c>
      <c r="R219" s="96">
        <f>IF(COUNTA(B219:C219,G219:H219,J219:K219)&gt;0,1,0)</f>
        <v>0</v>
      </c>
      <c r="S219" s="96" t="str">
        <f>IF(B219="","",TRIM(LEFT(B219,FIND(" |",B219&amp;" |")-1)))</f>
        <v/>
      </c>
      <c r="T219" s="96" t="str">
        <f>IF(S219="","",IFERROR(MATCH(S219,'MTRs'!$A$6:$A$505,0),""))</f>
        <v/>
      </c>
      <c r="U219" s="96">
        <f>IF(T219="",0,IF(INDEX('MTRs'!$Z$6:$Z$505,T219)=1,1,0))</f>
        <v>0</v>
      </c>
      <c r="V219" s="96">
        <f>IF(C219="",0,IF(ISNUMBER(MATCH(C219,'CAD_RESÍDUOS'!$B$6:$B$205,0)),1,0))</f>
        <v>0</v>
      </c>
      <c r="W219" s="96">
        <f>IF(AND(ISNUMBER(G219),G219&gt;0),1,0)</f>
        <v>0</v>
      </c>
      <c r="X219" s="96" t="str">
        <f>IF(H219="","",IFERROR(IF(ISNUMBER(INDEX(cfg_fac,MATCH(H219,cfg_units,0))),IF(INDEX(cfg_fac,MATCH(H219,cfg_units,0))&gt;0,INDEX(cfg_fac,MATCH(H219,cfg_units,0)),""),""),""))</f>
        <v/>
      </c>
      <c r="Y219" s="96">
        <f>IF(AND(W219=1,ISNUMBER(I219)),1,0)</f>
        <v>0</v>
      </c>
      <c r="Z219" s="96">
        <f>IF(U219=1,INDEX('MTRs'!$AA$6:$AA$505,T219),0)</f>
        <v>0</v>
      </c>
      <c r="AA219" s="96">
        <f>IF(R219=0,0,COUNTIFS('RECEBIMENTOS'!$R$6:$R$1005,A219,'RECEBIMENTOS'!$Q$6:$Q$1005,1))</f>
        <v>0</v>
      </c>
      <c r="AB219" s="96">
        <f>IF(R219=0,0,COUNTIFS('RECEBIMENTOS'!$R$6:$R$1005,A219,'RECEBIMENTOS'!$Z$6:$Z$1005,1))</f>
        <v>0</v>
      </c>
      <c r="AC219" s="96">
        <f>IF(R219=0,0,COUNTIFS('RECEBIMENTOS'!$R$6:$R$1005,A219,'RECEBIMENTOS'!$Y$6:$Y$1005,1))</f>
        <v>0</v>
      </c>
      <c r="AD219" s="96">
        <f>IF(R219=0,0,COUNTIFS('VÍNCULOS_CDF'!$R$6:$R$1005,A219,'VÍNCULOS_CDF'!$N$6:$N$1005,1))</f>
        <v>0</v>
      </c>
      <c r="AE219" s="96">
        <f>IF(R219=0,0,COUNTIFS('VÍNCULOS_CDF'!$R$6:$R$1005,A219,'VÍNCULOS_CDF'!$AA$6:$AA$1005,1))</f>
        <v>0</v>
      </c>
      <c r="AF219" s="96">
        <f>IF(R219=0,0,COUNTIFS('VÍNCULOS_CDF'!$R$6:$R$1005,A219,'VÍNCULOS_CDF'!$Y$6:$Y$1005,1))</f>
        <v>0</v>
      </c>
      <c r="AG219" s="96" t="str">
        <f>IF(AND(R219=1,S219&lt;&gt;"",C219&lt;&gt;""),S219&amp;"|"&amp;C219&amp;"|"&amp;G219&amp;"|"&amp;H219,"")</f>
        <v/>
      </c>
      <c r="AH219" s="96">
        <f>IF(AG219="",0,IF(SUMPRODUCT(--($AG$6:$AG$1005=AG219))&gt;1,1,0))</f>
        <v>0</v>
      </c>
      <c r="AI219" s="96">
        <f>IF(R219=0,0,IF(OR(U219=0,V219=0,Y219=0,AND(AH219=1,K219&lt;&gt;"Sim")),1,0))</f>
        <v>0</v>
      </c>
      <c r="AJ219" s="96">
        <f>IF(AND(R219=1,AA219&gt;0,AB219=AA219),1,0)</f>
        <v>0</v>
      </c>
      <c r="AK219" s="96">
        <f>IF(R219=0,0,IF(AA219&gt;0,N(L219),IF(ISNUMBER(I219),I219,0)))</f>
        <v>0</v>
      </c>
      <c r="AL219" s="96">
        <f>IF(R219=0,0,IF(AND(K219&lt;&gt;"Sim",N(M219)&gt;AK219+cfg_tol),1,0))</f>
        <v>0</v>
      </c>
      <c r="AM219" s="96">
        <f>IF(R219=0,0,IF(K219="Sim",0,IF(OR(AND(AA219&gt;0,ISNUMBER(I219),ABS(I219-N(L219))&gt;cfg_tol),AL219=1),1,0)))</f>
        <v>0</v>
      </c>
      <c r="AN219" s="96">
        <f>IF(AND(R219=1,N(M219)&gt;0,OR(N(M219)&gt;=AK219-cfg_tol,K219="Sim")),1,0)</f>
        <v>0</v>
      </c>
      <c r="AO219" s="96">
        <f>IF(AND(AN219=1,AD219&gt;0,AE219=AD219,AL219=0),1,0)</f>
        <v>0</v>
      </c>
      <c r="AP219" s="96">
        <f>IF(U219=0,0,IF(AND(INDEX('MTRs'!$AX$6:$AX$505,T219)=1,Z219=0,OR(f_res="",f_res="(Todos)",C219=f_res)),1,0))</f>
        <v>0</v>
      </c>
      <c r="AQ219" s="97" t="str">
        <f>IF(U219=0,"",INDEX('MTRs'!$AZ$6:$AZ$505,T219))</f>
        <v/>
      </c>
      <c r="AR219" s="96">
        <f>IF(U219=0,0,IF(AND(INDEX('MTRs'!$BA$6:$BA$505,T219)=1,Z219=0),1,0))</f>
        <v>0</v>
      </c>
      <c r="AS219" s="96" t="str">
        <f>IF(R219=1,A219&amp;" | MTR "&amp;IF(U219=1,INDEX('MTRs'!$B$6:$B$505,T219)&amp;"","?")&amp;" | "&amp;IF(C219="","(sem resíduo)",C219),"")</f>
        <v/>
      </c>
      <c r="AT219" s="96" t="str">
        <f>IF(R219=1,COUNTIF($R$6:R219,1),"")</f>
        <v/>
      </c>
      <c r="AU219" s="96" t="str">
        <f>IF(U219=1,INDEX('MTRs'!$I$6:$I$505,T219)&amp;"","")</f>
        <v/>
      </c>
    </row>
    <row r="220">
      <c r="A220" s="89" t="inlineStr">
        <is>
          <t>IT-000215</t>
        </is>
      </c>
      <c r="B220" s="91" t="n"/>
      <c r="C220" s="91" t="n"/>
      <c r="D220" s="94" t="str">
        <f>IF(OR(R220=0,V220=0),"",INDEX('CAD_RESÍDUOS'!$E$6:$E$205,MATCH(C220,'CAD_RESÍDUOS'!$B$6:$B$205,0))&amp;"")</f>
        <v/>
      </c>
      <c r="E220" s="94" t="str">
        <f>IF(OR(R220=0,V220=0),"",INDEX('CAD_RESÍDUOS'!$C$6:$C$205,MATCH(C220,'CAD_RESÍDUOS'!$B$6:$B$205,0))&amp;"")</f>
        <v/>
      </c>
      <c r="F220" s="94" t="str">
        <f>IF(OR(R220=0,V220=0),"",INDEX('CAD_RESÍDUOS'!$G$6:$G$205,MATCH(C220,'CAD_RESÍDUOS'!$B$6:$B$205,0))&amp;"")</f>
        <v/>
      </c>
      <c r="G220" s="98" t="n"/>
      <c r="H220" s="91" t="n"/>
      <c r="I220" s="93" t="str">
        <f>IF(R220=0,"",IF(NOT(ISNUMBER(G220)),"",IF(ISNUMBER(X220),G220*X220,"UNIDADE A CONFERIR")))</f>
        <v/>
      </c>
      <c r="J220" s="91" t="n"/>
      <c r="K220" s="91" t="n"/>
      <c r="L220" s="93" t="str">
        <f>IF(R220=0,"",SUMIFS('RECEBIMENTOS'!$H$6:$H$1005,'RECEBIMENTOS'!$R$6:$R$1005,A220,'RECEBIMENTOS'!$X$6:$X$1005,1))</f>
        <v/>
      </c>
      <c r="M220" s="93" t="str">
        <f>IF(R220=0,"",SUMIFS('VÍNCULOS_CDF'!$H$6:$H$1005,'VÍNCULOS_CDF'!$R$6:$R$1005,A220,'VÍNCULOS_CDF'!$V$6:$V$1005,1))</f>
        <v/>
      </c>
      <c r="N220" s="99" t="str">
        <f>IF(OR(R220=0,AA220=0,NOT(ISNUMBER(I220))),"",I220-N(L220))</f>
        <v/>
      </c>
      <c r="O220" s="100" t="str">
        <f>IF(OR(R220=0,AK220&lt;=0),"",N(M220)/AK220)</f>
        <v/>
      </c>
      <c r="P220" s="94" t="str">
        <f>IF(R220=0,"",IF(S220="","Sem MTR associado",IF(U220=0,"MTR inexistente",IF(C220="","Resíduo não identificado",IF(V220=0,"Resíduo fora do cadastro",IF(W220=0,"Quantidade inválida",IF(H220="","Unidade não informada",IF(NOT(ISNUMBER(I220)),"Unidade a conferir",IF(AND(AH220=1,K220&lt;&gt;"Sim"),"Possível duplicidade",IF(Z220=1,"MTR cancelado",IF(AC220&gt;0,"Recebimento com alerta",IF(AA220=0,"Aguardando recebimento",IF(AB220&lt;AA220,"Recebimento a conferir",IF(AM220=1,"Quantidade a revisar",IF(AF220&gt;0,"Vínculo a revisar",IF(AD220=0,"Aguardando CDF",IF(AN220=0,"Vínculo de CDF parcial",IF(AE220&lt;AD220,"CDF a conferir","Documentação conferida"))))))))))))))))))</f>
        <v/>
      </c>
      <c r="Q220" s="93" t="str">
        <f>IF(OR(R220=0,AA220=0),"",MAX(0,N(L220)-N(M220)))</f>
        <v/>
      </c>
      <c r="R220" s="96">
        <f>IF(COUNTA(B220:C220,G220:H220,J220:K220)&gt;0,1,0)</f>
        <v>0</v>
      </c>
      <c r="S220" s="96" t="str">
        <f>IF(B220="","",TRIM(LEFT(B220,FIND(" |",B220&amp;" |")-1)))</f>
        <v/>
      </c>
      <c r="T220" s="96" t="str">
        <f>IF(S220="","",IFERROR(MATCH(S220,'MTRs'!$A$6:$A$505,0),""))</f>
        <v/>
      </c>
      <c r="U220" s="96">
        <f>IF(T220="",0,IF(INDEX('MTRs'!$Z$6:$Z$505,T220)=1,1,0))</f>
        <v>0</v>
      </c>
      <c r="V220" s="96">
        <f>IF(C220="",0,IF(ISNUMBER(MATCH(C220,'CAD_RESÍDUOS'!$B$6:$B$205,0)),1,0))</f>
        <v>0</v>
      </c>
      <c r="W220" s="96">
        <f>IF(AND(ISNUMBER(G220),G220&gt;0),1,0)</f>
        <v>0</v>
      </c>
      <c r="X220" s="96" t="str">
        <f>IF(H220="","",IFERROR(IF(ISNUMBER(INDEX(cfg_fac,MATCH(H220,cfg_units,0))),IF(INDEX(cfg_fac,MATCH(H220,cfg_units,0))&gt;0,INDEX(cfg_fac,MATCH(H220,cfg_units,0)),""),""),""))</f>
        <v/>
      </c>
      <c r="Y220" s="96">
        <f>IF(AND(W220=1,ISNUMBER(I220)),1,0)</f>
        <v>0</v>
      </c>
      <c r="Z220" s="96">
        <f>IF(U220=1,INDEX('MTRs'!$AA$6:$AA$505,T220),0)</f>
        <v>0</v>
      </c>
      <c r="AA220" s="96">
        <f>IF(R220=0,0,COUNTIFS('RECEBIMENTOS'!$R$6:$R$1005,A220,'RECEBIMENTOS'!$Q$6:$Q$1005,1))</f>
        <v>0</v>
      </c>
      <c r="AB220" s="96">
        <f>IF(R220=0,0,COUNTIFS('RECEBIMENTOS'!$R$6:$R$1005,A220,'RECEBIMENTOS'!$Z$6:$Z$1005,1))</f>
        <v>0</v>
      </c>
      <c r="AC220" s="96">
        <f>IF(R220=0,0,COUNTIFS('RECEBIMENTOS'!$R$6:$R$1005,A220,'RECEBIMENTOS'!$Y$6:$Y$1005,1))</f>
        <v>0</v>
      </c>
      <c r="AD220" s="96">
        <f>IF(R220=0,0,COUNTIFS('VÍNCULOS_CDF'!$R$6:$R$1005,A220,'VÍNCULOS_CDF'!$N$6:$N$1005,1))</f>
        <v>0</v>
      </c>
      <c r="AE220" s="96">
        <f>IF(R220=0,0,COUNTIFS('VÍNCULOS_CDF'!$R$6:$R$1005,A220,'VÍNCULOS_CDF'!$AA$6:$AA$1005,1))</f>
        <v>0</v>
      </c>
      <c r="AF220" s="96">
        <f>IF(R220=0,0,COUNTIFS('VÍNCULOS_CDF'!$R$6:$R$1005,A220,'VÍNCULOS_CDF'!$Y$6:$Y$1005,1))</f>
        <v>0</v>
      </c>
      <c r="AG220" s="96" t="str">
        <f>IF(AND(R220=1,S220&lt;&gt;"",C220&lt;&gt;""),S220&amp;"|"&amp;C220&amp;"|"&amp;G220&amp;"|"&amp;H220,"")</f>
        <v/>
      </c>
      <c r="AH220" s="96">
        <f>IF(AG220="",0,IF(SUMPRODUCT(--($AG$6:$AG$1005=AG220))&gt;1,1,0))</f>
        <v>0</v>
      </c>
      <c r="AI220" s="96">
        <f>IF(R220=0,0,IF(OR(U220=0,V220=0,Y220=0,AND(AH220=1,K220&lt;&gt;"Sim")),1,0))</f>
        <v>0</v>
      </c>
      <c r="AJ220" s="96">
        <f>IF(AND(R220=1,AA220&gt;0,AB220=AA220),1,0)</f>
        <v>0</v>
      </c>
      <c r="AK220" s="96">
        <f>IF(R220=0,0,IF(AA220&gt;0,N(L220),IF(ISNUMBER(I220),I220,0)))</f>
        <v>0</v>
      </c>
      <c r="AL220" s="96">
        <f>IF(R220=0,0,IF(AND(K220&lt;&gt;"Sim",N(M220)&gt;AK220+cfg_tol),1,0))</f>
        <v>0</v>
      </c>
      <c r="AM220" s="96">
        <f>IF(R220=0,0,IF(K220="Sim",0,IF(OR(AND(AA220&gt;0,ISNUMBER(I220),ABS(I220-N(L220))&gt;cfg_tol),AL220=1),1,0)))</f>
        <v>0</v>
      </c>
      <c r="AN220" s="96">
        <f>IF(AND(R220=1,N(M220)&gt;0,OR(N(M220)&gt;=AK220-cfg_tol,K220="Sim")),1,0)</f>
        <v>0</v>
      </c>
      <c r="AO220" s="96">
        <f>IF(AND(AN220=1,AD220&gt;0,AE220=AD220,AL220=0),1,0)</f>
        <v>0</v>
      </c>
      <c r="AP220" s="96">
        <f>IF(U220=0,0,IF(AND(INDEX('MTRs'!$AX$6:$AX$505,T220)=1,Z220=0,OR(f_res="",f_res="(Todos)",C220=f_res)),1,0))</f>
        <v>0</v>
      </c>
      <c r="AQ220" s="97" t="str">
        <f>IF(U220=0,"",INDEX('MTRs'!$AZ$6:$AZ$505,T220))</f>
        <v/>
      </c>
      <c r="AR220" s="96">
        <f>IF(U220=0,0,IF(AND(INDEX('MTRs'!$BA$6:$BA$505,T220)=1,Z220=0),1,0))</f>
        <v>0</v>
      </c>
      <c r="AS220" s="96" t="str">
        <f>IF(R220=1,A220&amp;" | MTR "&amp;IF(U220=1,INDEX('MTRs'!$B$6:$B$505,T220)&amp;"","?")&amp;" | "&amp;IF(C220="","(sem resíduo)",C220),"")</f>
        <v/>
      </c>
      <c r="AT220" s="96" t="str">
        <f>IF(R220=1,COUNTIF($R$6:R220,1),"")</f>
        <v/>
      </c>
      <c r="AU220" s="96" t="str">
        <f>IF(U220=1,INDEX('MTRs'!$I$6:$I$505,T220)&amp;"","")</f>
        <v/>
      </c>
    </row>
    <row r="221">
      <c r="A221" s="89" t="inlineStr">
        <is>
          <t>IT-000216</t>
        </is>
      </c>
      <c r="B221" s="91" t="n"/>
      <c r="C221" s="91" t="n"/>
      <c r="D221" s="94" t="str">
        <f>IF(OR(R221=0,V221=0),"",INDEX('CAD_RESÍDUOS'!$E$6:$E$205,MATCH(C221,'CAD_RESÍDUOS'!$B$6:$B$205,0))&amp;"")</f>
        <v/>
      </c>
      <c r="E221" s="94" t="str">
        <f>IF(OR(R221=0,V221=0),"",INDEX('CAD_RESÍDUOS'!$C$6:$C$205,MATCH(C221,'CAD_RESÍDUOS'!$B$6:$B$205,0))&amp;"")</f>
        <v/>
      </c>
      <c r="F221" s="94" t="str">
        <f>IF(OR(R221=0,V221=0),"",INDEX('CAD_RESÍDUOS'!$G$6:$G$205,MATCH(C221,'CAD_RESÍDUOS'!$B$6:$B$205,0))&amp;"")</f>
        <v/>
      </c>
      <c r="G221" s="98" t="n"/>
      <c r="H221" s="91" t="n"/>
      <c r="I221" s="93" t="str">
        <f>IF(R221=0,"",IF(NOT(ISNUMBER(G221)),"",IF(ISNUMBER(X221),G221*X221,"UNIDADE A CONFERIR")))</f>
        <v/>
      </c>
      <c r="J221" s="91" t="n"/>
      <c r="K221" s="91" t="n"/>
      <c r="L221" s="93" t="str">
        <f>IF(R221=0,"",SUMIFS('RECEBIMENTOS'!$H$6:$H$1005,'RECEBIMENTOS'!$R$6:$R$1005,A221,'RECEBIMENTOS'!$X$6:$X$1005,1))</f>
        <v/>
      </c>
      <c r="M221" s="93" t="str">
        <f>IF(R221=0,"",SUMIFS('VÍNCULOS_CDF'!$H$6:$H$1005,'VÍNCULOS_CDF'!$R$6:$R$1005,A221,'VÍNCULOS_CDF'!$V$6:$V$1005,1))</f>
        <v/>
      </c>
      <c r="N221" s="99" t="str">
        <f>IF(OR(R221=0,AA221=0,NOT(ISNUMBER(I221))),"",I221-N(L221))</f>
        <v/>
      </c>
      <c r="O221" s="100" t="str">
        <f>IF(OR(R221=0,AK221&lt;=0),"",N(M221)/AK221)</f>
        <v/>
      </c>
      <c r="P221" s="94" t="str">
        <f>IF(R221=0,"",IF(S221="","Sem MTR associado",IF(U221=0,"MTR inexistente",IF(C221="","Resíduo não identificado",IF(V221=0,"Resíduo fora do cadastro",IF(W221=0,"Quantidade inválida",IF(H221="","Unidade não informada",IF(NOT(ISNUMBER(I221)),"Unidade a conferir",IF(AND(AH221=1,K221&lt;&gt;"Sim"),"Possível duplicidade",IF(Z221=1,"MTR cancelado",IF(AC221&gt;0,"Recebimento com alerta",IF(AA221=0,"Aguardando recebimento",IF(AB221&lt;AA221,"Recebimento a conferir",IF(AM221=1,"Quantidade a revisar",IF(AF221&gt;0,"Vínculo a revisar",IF(AD221=0,"Aguardando CDF",IF(AN221=0,"Vínculo de CDF parcial",IF(AE221&lt;AD221,"CDF a conferir","Documentação conferida"))))))))))))))))))</f>
        <v/>
      </c>
      <c r="Q221" s="93" t="str">
        <f>IF(OR(R221=0,AA221=0),"",MAX(0,N(L221)-N(M221)))</f>
        <v/>
      </c>
      <c r="R221" s="96">
        <f>IF(COUNTA(B221:C221,G221:H221,J221:K221)&gt;0,1,0)</f>
        <v>0</v>
      </c>
      <c r="S221" s="96" t="str">
        <f>IF(B221="","",TRIM(LEFT(B221,FIND(" |",B221&amp;" |")-1)))</f>
        <v/>
      </c>
      <c r="T221" s="96" t="str">
        <f>IF(S221="","",IFERROR(MATCH(S221,'MTRs'!$A$6:$A$505,0),""))</f>
        <v/>
      </c>
      <c r="U221" s="96">
        <f>IF(T221="",0,IF(INDEX('MTRs'!$Z$6:$Z$505,T221)=1,1,0))</f>
        <v>0</v>
      </c>
      <c r="V221" s="96">
        <f>IF(C221="",0,IF(ISNUMBER(MATCH(C221,'CAD_RESÍDUOS'!$B$6:$B$205,0)),1,0))</f>
        <v>0</v>
      </c>
      <c r="W221" s="96">
        <f>IF(AND(ISNUMBER(G221),G221&gt;0),1,0)</f>
        <v>0</v>
      </c>
      <c r="X221" s="96" t="str">
        <f>IF(H221="","",IFERROR(IF(ISNUMBER(INDEX(cfg_fac,MATCH(H221,cfg_units,0))),IF(INDEX(cfg_fac,MATCH(H221,cfg_units,0))&gt;0,INDEX(cfg_fac,MATCH(H221,cfg_units,0)),""),""),""))</f>
        <v/>
      </c>
      <c r="Y221" s="96">
        <f>IF(AND(W221=1,ISNUMBER(I221)),1,0)</f>
        <v>0</v>
      </c>
      <c r="Z221" s="96">
        <f>IF(U221=1,INDEX('MTRs'!$AA$6:$AA$505,T221),0)</f>
        <v>0</v>
      </c>
      <c r="AA221" s="96">
        <f>IF(R221=0,0,COUNTIFS('RECEBIMENTOS'!$R$6:$R$1005,A221,'RECEBIMENTOS'!$Q$6:$Q$1005,1))</f>
        <v>0</v>
      </c>
      <c r="AB221" s="96">
        <f>IF(R221=0,0,COUNTIFS('RECEBIMENTOS'!$R$6:$R$1005,A221,'RECEBIMENTOS'!$Z$6:$Z$1005,1))</f>
        <v>0</v>
      </c>
      <c r="AC221" s="96">
        <f>IF(R221=0,0,COUNTIFS('RECEBIMENTOS'!$R$6:$R$1005,A221,'RECEBIMENTOS'!$Y$6:$Y$1005,1))</f>
        <v>0</v>
      </c>
      <c r="AD221" s="96">
        <f>IF(R221=0,0,COUNTIFS('VÍNCULOS_CDF'!$R$6:$R$1005,A221,'VÍNCULOS_CDF'!$N$6:$N$1005,1))</f>
        <v>0</v>
      </c>
      <c r="AE221" s="96">
        <f>IF(R221=0,0,COUNTIFS('VÍNCULOS_CDF'!$R$6:$R$1005,A221,'VÍNCULOS_CDF'!$AA$6:$AA$1005,1))</f>
        <v>0</v>
      </c>
      <c r="AF221" s="96">
        <f>IF(R221=0,0,COUNTIFS('VÍNCULOS_CDF'!$R$6:$R$1005,A221,'VÍNCULOS_CDF'!$Y$6:$Y$1005,1))</f>
        <v>0</v>
      </c>
      <c r="AG221" s="96" t="str">
        <f>IF(AND(R221=1,S221&lt;&gt;"",C221&lt;&gt;""),S221&amp;"|"&amp;C221&amp;"|"&amp;G221&amp;"|"&amp;H221,"")</f>
        <v/>
      </c>
      <c r="AH221" s="96">
        <f>IF(AG221="",0,IF(SUMPRODUCT(--($AG$6:$AG$1005=AG221))&gt;1,1,0))</f>
        <v>0</v>
      </c>
      <c r="AI221" s="96">
        <f>IF(R221=0,0,IF(OR(U221=0,V221=0,Y221=0,AND(AH221=1,K221&lt;&gt;"Sim")),1,0))</f>
        <v>0</v>
      </c>
      <c r="AJ221" s="96">
        <f>IF(AND(R221=1,AA221&gt;0,AB221=AA221),1,0)</f>
        <v>0</v>
      </c>
      <c r="AK221" s="96">
        <f>IF(R221=0,0,IF(AA221&gt;0,N(L221),IF(ISNUMBER(I221),I221,0)))</f>
        <v>0</v>
      </c>
      <c r="AL221" s="96">
        <f>IF(R221=0,0,IF(AND(K221&lt;&gt;"Sim",N(M221)&gt;AK221+cfg_tol),1,0))</f>
        <v>0</v>
      </c>
      <c r="AM221" s="96">
        <f>IF(R221=0,0,IF(K221="Sim",0,IF(OR(AND(AA221&gt;0,ISNUMBER(I221),ABS(I221-N(L221))&gt;cfg_tol),AL221=1),1,0)))</f>
        <v>0</v>
      </c>
      <c r="AN221" s="96">
        <f>IF(AND(R221=1,N(M221)&gt;0,OR(N(M221)&gt;=AK221-cfg_tol,K221="Sim")),1,0)</f>
        <v>0</v>
      </c>
      <c r="AO221" s="96">
        <f>IF(AND(AN221=1,AD221&gt;0,AE221=AD221,AL221=0),1,0)</f>
        <v>0</v>
      </c>
      <c r="AP221" s="96">
        <f>IF(U221=0,0,IF(AND(INDEX('MTRs'!$AX$6:$AX$505,T221)=1,Z221=0,OR(f_res="",f_res="(Todos)",C221=f_res)),1,0))</f>
        <v>0</v>
      </c>
      <c r="AQ221" s="97" t="str">
        <f>IF(U221=0,"",INDEX('MTRs'!$AZ$6:$AZ$505,T221))</f>
        <v/>
      </c>
      <c r="AR221" s="96">
        <f>IF(U221=0,0,IF(AND(INDEX('MTRs'!$BA$6:$BA$505,T221)=1,Z221=0),1,0))</f>
        <v>0</v>
      </c>
      <c r="AS221" s="96" t="str">
        <f>IF(R221=1,A221&amp;" | MTR "&amp;IF(U221=1,INDEX('MTRs'!$B$6:$B$505,T221)&amp;"","?")&amp;" | "&amp;IF(C221="","(sem resíduo)",C221),"")</f>
        <v/>
      </c>
      <c r="AT221" s="96" t="str">
        <f>IF(R221=1,COUNTIF($R$6:R221,1),"")</f>
        <v/>
      </c>
      <c r="AU221" s="96" t="str">
        <f>IF(U221=1,INDEX('MTRs'!$I$6:$I$505,T221)&amp;"","")</f>
        <v/>
      </c>
    </row>
    <row r="222">
      <c r="A222" s="89" t="inlineStr">
        <is>
          <t>IT-000217</t>
        </is>
      </c>
      <c r="B222" s="91" t="n"/>
      <c r="C222" s="91" t="n"/>
      <c r="D222" s="94" t="str">
        <f>IF(OR(R222=0,V222=0),"",INDEX('CAD_RESÍDUOS'!$E$6:$E$205,MATCH(C222,'CAD_RESÍDUOS'!$B$6:$B$205,0))&amp;"")</f>
        <v/>
      </c>
      <c r="E222" s="94" t="str">
        <f>IF(OR(R222=0,V222=0),"",INDEX('CAD_RESÍDUOS'!$C$6:$C$205,MATCH(C222,'CAD_RESÍDUOS'!$B$6:$B$205,0))&amp;"")</f>
        <v/>
      </c>
      <c r="F222" s="94" t="str">
        <f>IF(OR(R222=0,V222=0),"",INDEX('CAD_RESÍDUOS'!$G$6:$G$205,MATCH(C222,'CAD_RESÍDUOS'!$B$6:$B$205,0))&amp;"")</f>
        <v/>
      </c>
      <c r="G222" s="98" t="n"/>
      <c r="H222" s="91" t="n"/>
      <c r="I222" s="93" t="str">
        <f>IF(R222=0,"",IF(NOT(ISNUMBER(G222)),"",IF(ISNUMBER(X222),G222*X222,"UNIDADE A CONFERIR")))</f>
        <v/>
      </c>
      <c r="J222" s="91" t="n"/>
      <c r="K222" s="91" t="n"/>
      <c r="L222" s="93" t="str">
        <f>IF(R222=0,"",SUMIFS('RECEBIMENTOS'!$H$6:$H$1005,'RECEBIMENTOS'!$R$6:$R$1005,A222,'RECEBIMENTOS'!$X$6:$X$1005,1))</f>
        <v/>
      </c>
      <c r="M222" s="93" t="str">
        <f>IF(R222=0,"",SUMIFS('VÍNCULOS_CDF'!$H$6:$H$1005,'VÍNCULOS_CDF'!$R$6:$R$1005,A222,'VÍNCULOS_CDF'!$V$6:$V$1005,1))</f>
        <v/>
      </c>
      <c r="N222" s="99" t="str">
        <f>IF(OR(R222=0,AA222=0,NOT(ISNUMBER(I222))),"",I222-N(L222))</f>
        <v/>
      </c>
      <c r="O222" s="100" t="str">
        <f>IF(OR(R222=0,AK222&lt;=0),"",N(M222)/AK222)</f>
        <v/>
      </c>
      <c r="P222" s="94" t="str">
        <f>IF(R222=0,"",IF(S222="","Sem MTR associado",IF(U222=0,"MTR inexistente",IF(C222="","Resíduo não identificado",IF(V222=0,"Resíduo fora do cadastro",IF(W222=0,"Quantidade inválida",IF(H222="","Unidade não informada",IF(NOT(ISNUMBER(I222)),"Unidade a conferir",IF(AND(AH222=1,K222&lt;&gt;"Sim"),"Possível duplicidade",IF(Z222=1,"MTR cancelado",IF(AC222&gt;0,"Recebimento com alerta",IF(AA222=0,"Aguardando recebimento",IF(AB222&lt;AA222,"Recebimento a conferir",IF(AM222=1,"Quantidade a revisar",IF(AF222&gt;0,"Vínculo a revisar",IF(AD222=0,"Aguardando CDF",IF(AN222=0,"Vínculo de CDF parcial",IF(AE222&lt;AD222,"CDF a conferir","Documentação conferida"))))))))))))))))))</f>
        <v/>
      </c>
      <c r="Q222" s="93" t="str">
        <f>IF(OR(R222=0,AA222=0),"",MAX(0,N(L222)-N(M222)))</f>
        <v/>
      </c>
      <c r="R222" s="96">
        <f>IF(COUNTA(B222:C222,G222:H222,J222:K222)&gt;0,1,0)</f>
        <v>0</v>
      </c>
      <c r="S222" s="96" t="str">
        <f>IF(B222="","",TRIM(LEFT(B222,FIND(" |",B222&amp;" |")-1)))</f>
        <v/>
      </c>
      <c r="T222" s="96" t="str">
        <f>IF(S222="","",IFERROR(MATCH(S222,'MTRs'!$A$6:$A$505,0),""))</f>
        <v/>
      </c>
      <c r="U222" s="96">
        <f>IF(T222="",0,IF(INDEX('MTRs'!$Z$6:$Z$505,T222)=1,1,0))</f>
        <v>0</v>
      </c>
      <c r="V222" s="96">
        <f>IF(C222="",0,IF(ISNUMBER(MATCH(C222,'CAD_RESÍDUOS'!$B$6:$B$205,0)),1,0))</f>
        <v>0</v>
      </c>
      <c r="W222" s="96">
        <f>IF(AND(ISNUMBER(G222),G222&gt;0),1,0)</f>
        <v>0</v>
      </c>
      <c r="X222" s="96" t="str">
        <f>IF(H222="","",IFERROR(IF(ISNUMBER(INDEX(cfg_fac,MATCH(H222,cfg_units,0))),IF(INDEX(cfg_fac,MATCH(H222,cfg_units,0))&gt;0,INDEX(cfg_fac,MATCH(H222,cfg_units,0)),""),""),""))</f>
        <v/>
      </c>
      <c r="Y222" s="96">
        <f>IF(AND(W222=1,ISNUMBER(I222)),1,0)</f>
        <v>0</v>
      </c>
      <c r="Z222" s="96">
        <f>IF(U222=1,INDEX('MTRs'!$AA$6:$AA$505,T222),0)</f>
        <v>0</v>
      </c>
      <c r="AA222" s="96">
        <f>IF(R222=0,0,COUNTIFS('RECEBIMENTOS'!$R$6:$R$1005,A222,'RECEBIMENTOS'!$Q$6:$Q$1005,1))</f>
        <v>0</v>
      </c>
      <c r="AB222" s="96">
        <f>IF(R222=0,0,COUNTIFS('RECEBIMENTOS'!$R$6:$R$1005,A222,'RECEBIMENTOS'!$Z$6:$Z$1005,1))</f>
        <v>0</v>
      </c>
      <c r="AC222" s="96">
        <f>IF(R222=0,0,COUNTIFS('RECEBIMENTOS'!$R$6:$R$1005,A222,'RECEBIMENTOS'!$Y$6:$Y$1005,1))</f>
        <v>0</v>
      </c>
      <c r="AD222" s="96">
        <f>IF(R222=0,0,COUNTIFS('VÍNCULOS_CDF'!$R$6:$R$1005,A222,'VÍNCULOS_CDF'!$N$6:$N$1005,1))</f>
        <v>0</v>
      </c>
      <c r="AE222" s="96">
        <f>IF(R222=0,0,COUNTIFS('VÍNCULOS_CDF'!$R$6:$R$1005,A222,'VÍNCULOS_CDF'!$AA$6:$AA$1005,1))</f>
        <v>0</v>
      </c>
      <c r="AF222" s="96">
        <f>IF(R222=0,0,COUNTIFS('VÍNCULOS_CDF'!$R$6:$R$1005,A222,'VÍNCULOS_CDF'!$Y$6:$Y$1005,1))</f>
        <v>0</v>
      </c>
      <c r="AG222" s="96" t="str">
        <f>IF(AND(R222=1,S222&lt;&gt;"",C222&lt;&gt;""),S222&amp;"|"&amp;C222&amp;"|"&amp;G222&amp;"|"&amp;H222,"")</f>
        <v/>
      </c>
      <c r="AH222" s="96">
        <f>IF(AG222="",0,IF(SUMPRODUCT(--($AG$6:$AG$1005=AG222))&gt;1,1,0))</f>
        <v>0</v>
      </c>
      <c r="AI222" s="96">
        <f>IF(R222=0,0,IF(OR(U222=0,V222=0,Y222=0,AND(AH222=1,K222&lt;&gt;"Sim")),1,0))</f>
        <v>0</v>
      </c>
      <c r="AJ222" s="96">
        <f>IF(AND(R222=1,AA222&gt;0,AB222=AA222),1,0)</f>
        <v>0</v>
      </c>
      <c r="AK222" s="96">
        <f>IF(R222=0,0,IF(AA222&gt;0,N(L222),IF(ISNUMBER(I222),I222,0)))</f>
        <v>0</v>
      </c>
      <c r="AL222" s="96">
        <f>IF(R222=0,0,IF(AND(K222&lt;&gt;"Sim",N(M222)&gt;AK222+cfg_tol),1,0))</f>
        <v>0</v>
      </c>
      <c r="AM222" s="96">
        <f>IF(R222=0,0,IF(K222="Sim",0,IF(OR(AND(AA222&gt;0,ISNUMBER(I222),ABS(I222-N(L222))&gt;cfg_tol),AL222=1),1,0)))</f>
        <v>0</v>
      </c>
      <c r="AN222" s="96">
        <f>IF(AND(R222=1,N(M222)&gt;0,OR(N(M222)&gt;=AK222-cfg_tol,K222="Sim")),1,0)</f>
        <v>0</v>
      </c>
      <c r="AO222" s="96">
        <f>IF(AND(AN222=1,AD222&gt;0,AE222=AD222,AL222=0),1,0)</f>
        <v>0</v>
      </c>
      <c r="AP222" s="96">
        <f>IF(U222=0,0,IF(AND(INDEX('MTRs'!$AX$6:$AX$505,T222)=1,Z222=0,OR(f_res="",f_res="(Todos)",C222=f_res)),1,0))</f>
        <v>0</v>
      </c>
      <c r="AQ222" s="97" t="str">
        <f>IF(U222=0,"",INDEX('MTRs'!$AZ$6:$AZ$505,T222))</f>
        <v/>
      </c>
      <c r="AR222" s="96">
        <f>IF(U222=0,0,IF(AND(INDEX('MTRs'!$BA$6:$BA$505,T222)=1,Z222=0),1,0))</f>
        <v>0</v>
      </c>
      <c r="AS222" s="96" t="str">
        <f>IF(R222=1,A222&amp;" | MTR "&amp;IF(U222=1,INDEX('MTRs'!$B$6:$B$505,T222)&amp;"","?")&amp;" | "&amp;IF(C222="","(sem resíduo)",C222),"")</f>
        <v/>
      </c>
      <c r="AT222" s="96" t="str">
        <f>IF(R222=1,COUNTIF($R$6:R222,1),"")</f>
        <v/>
      </c>
      <c r="AU222" s="96" t="str">
        <f>IF(U222=1,INDEX('MTRs'!$I$6:$I$505,T222)&amp;"","")</f>
        <v/>
      </c>
    </row>
    <row r="223">
      <c r="A223" s="89" t="inlineStr">
        <is>
          <t>IT-000218</t>
        </is>
      </c>
      <c r="B223" s="91" t="n"/>
      <c r="C223" s="91" t="n"/>
      <c r="D223" s="94" t="str">
        <f>IF(OR(R223=0,V223=0),"",INDEX('CAD_RESÍDUOS'!$E$6:$E$205,MATCH(C223,'CAD_RESÍDUOS'!$B$6:$B$205,0))&amp;"")</f>
        <v/>
      </c>
      <c r="E223" s="94" t="str">
        <f>IF(OR(R223=0,V223=0),"",INDEX('CAD_RESÍDUOS'!$C$6:$C$205,MATCH(C223,'CAD_RESÍDUOS'!$B$6:$B$205,0))&amp;"")</f>
        <v/>
      </c>
      <c r="F223" s="94" t="str">
        <f>IF(OR(R223=0,V223=0),"",INDEX('CAD_RESÍDUOS'!$G$6:$G$205,MATCH(C223,'CAD_RESÍDUOS'!$B$6:$B$205,0))&amp;"")</f>
        <v/>
      </c>
      <c r="G223" s="98" t="n"/>
      <c r="H223" s="91" t="n"/>
      <c r="I223" s="93" t="str">
        <f>IF(R223=0,"",IF(NOT(ISNUMBER(G223)),"",IF(ISNUMBER(X223),G223*X223,"UNIDADE A CONFERIR")))</f>
        <v/>
      </c>
      <c r="J223" s="91" t="n"/>
      <c r="K223" s="91" t="n"/>
      <c r="L223" s="93" t="str">
        <f>IF(R223=0,"",SUMIFS('RECEBIMENTOS'!$H$6:$H$1005,'RECEBIMENTOS'!$R$6:$R$1005,A223,'RECEBIMENTOS'!$X$6:$X$1005,1))</f>
        <v/>
      </c>
      <c r="M223" s="93" t="str">
        <f>IF(R223=0,"",SUMIFS('VÍNCULOS_CDF'!$H$6:$H$1005,'VÍNCULOS_CDF'!$R$6:$R$1005,A223,'VÍNCULOS_CDF'!$V$6:$V$1005,1))</f>
        <v/>
      </c>
      <c r="N223" s="99" t="str">
        <f>IF(OR(R223=0,AA223=0,NOT(ISNUMBER(I223))),"",I223-N(L223))</f>
        <v/>
      </c>
      <c r="O223" s="100" t="str">
        <f>IF(OR(R223=0,AK223&lt;=0),"",N(M223)/AK223)</f>
        <v/>
      </c>
      <c r="P223" s="94" t="str">
        <f>IF(R223=0,"",IF(S223="","Sem MTR associado",IF(U223=0,"MTR inexistente",IF(C223="","Resíduo não identificado",IF(V223=0,"Resíduo fora do cadastro",IF(W223=0,"Quantidade inválida",IF(H223="","Unidade não informada",IF(NOT(ISNUMBER(I223)),"Unidade a conferir",IF(AND(AH223=1,K223&lt;&gt;"Sim"),"Possível duplicidade",IF(Z223=1,"MTR cancelado",IF(AC223&gt;0,"Recebimento com alerta",IF(AA223=0,"Aguardando recebimento",IF(AB223&lt;AA223,"Recebimento a conferir",IF(AM223=1,"Quantidade a revisar",IF(AF223&gt;0,"Vínculo a revisar",IF(AD223=0,"Aguardando CDF",IF(AN223=0,"Vínculo de CDF parcial",IF(AE223&lt;AD223,"CDF a conferir","Documentação conferida"))))))))))))))))))</f>
        <v/>
      </c>
      <c r="Q223" s="93" t="str">
        <f>IF(OR(R223=0,AA223=0),"",MAX(0,N(L223)-N(M223)))</f>
        <v/>
      </c>
      <c r="R223" s="96">
        <f>IF(COUNTA(B223:C223,G223:H223,J223:K223)&gt;0,1,0)</f>
        <v>0</v>
      </c>
      <c r="S223" s="96" t="str">
        <f>IF(B223="","",TRIM(LEFT(B223,FIND(" |",B223&amp;" |")-1)))</f>
        <v/>
      </c>
      <c r="T223" s="96" t="str">
        <f>IF(S223="","",IFERROR(MATCH(S223,'MTRs'!$A$6:$A$505,0),""))</f>
        <v/>
      </c>
      <c r="U223" s="96">
        <f>IF(T223="",0,IF(INDEX('MTRs'!$Z$6:$Z$505,T223)=1,1,0))</f>
        <v>0</v>
      </c>
      <c r="V223" s="96">
        <f>IF(C223="",0,IF(ISNUMBER(MATCH(C223,'CAD_RESÍDUOS'!$B$6:$B$205,0)),1,0))</f>
        <v>0</v>
      </c>
      <c r="W223" s="96">
        <f>IF(AND(ISNUMBER(G223),G223&gt;0),1,0)</f>
        <v>0</v>
      </c>
      <c r="X223" s="96" t="str">
        <f>IF(H223="","",IFERROR(IF(ISNUMBER(INDEX(cfg_fac,MATCH(H223,cfg_units,0))),IF(INDEX(cfg_fac,MATCH(H223,cfg_units,0))&gt;0,INDEX(cfg_fac,MATCH(H223,cfg_units,0)),""),""),""))</f>
        <v/>
      </c>
      <c r="Y223" s="96">
        <f>IF(AND(W223=1,ISNUMBER(I223)),1,0)</f>
        <v>0</v>
      </c>
      <c r="Z223" s="96">
        <f>IF(U223=1,INDEX('MTRs'!$AA$6:$AA$505,T223),0)</f>
        <v>0</v>
      </c>
      <c r="AA223" s="96">
        <f>IF(R223=0,0,COUNTIFS('RECEBIMENTOS'!$R$6:$R$1005,A223,'RECEBIMENTOS'!$Q$6:$Q$1005,1))</f>
        <v>0</v>
      </c>
      <c r="AB223" s="96">
        <f>IF(R223=0,0,COUNTIFS('RECEBIMENTOS'!$R$6:$R$1005,A223,'RECEBIMENTOS'!$Z$6:$Z$1005,1))</f>
        <v>0</v>
      </c>
      <c r="AC223" s="96">
        <f>IF(R223=0,0,COUNTIFS('RECEBIMENTOS'!$R$6:$R$1005,A223,'RECEBIMENTOS'!$Y$6:$Y$1005,1))</f>
        <v>0</v>
      </c>
      <c r="AD223" s="96">
        <f>IF(R223=0,0,COUNTIFS('VÍNCULOS_CDF'!$R$6:$R$1005,A223,'VÍNCULOS_CDF'!$N$6:$N$1005,1))</f>
        <v>0</v>
      </c>
      <c r="AE223" s="96">
        <f>IF(R223=0,0,COUNTIFS('VÍNCULOS_CDF'!$R$6:$R$1005,A223,'VÍNCULOS_CDF'!$AA$6:$AA$1005,1))</f>
        <v>0</v>
      </c>
      <c r="AF223" s="96">
        <f>IF(R223=0,0,COUNTIFS('VÍNCULOS_CDF'!$R$6:$R$1005,A223,'VÍNCULOS_CDF'!$Y$6:$Y$1005,1))</f>
        <v>0</v>
      </c>
      <c r="AG223" s="96" t="str">
        <f>IF(AND(R223=1,S223&lt;&gt;"",C223&lt;&gt;""),S223&amp;"|"&amp;C223&amp;"|"&amp;G223&amp;"|"&amp;H223,"")</f>
        <v/>
      </c>
      <c r="AH223" s="96">
        <f>IF(AG223="",0,IF(SUMPRODUCT(--($AG$6:$AG$1005=AG223))&gt;1,1,0))</f>
        <v>0</v>
      </c>
      <c r="AI223" s="96">
        <f>IF(R223=0,0,IF(OR(U223=0,V223=0,Y223=0,AND(AH223=1,K223&lt;&gt;"Sim")),1,0))</f>
        <v>0</v>
      </c>
      <c r="AJ223" s="96">
        <f>IF(AND(R223=1,AA223&gt;0,AB223=AA223),1,0)</f>
        <v>0</v>
      </c>
      <c r="AK223" s="96">
        <f>IF(R223=0,0,IF(AA223&gt;0,N(L223),IF(ISNUMBER(I223),I223,0)))</f>
        <v>0</v>
      </c>
      <c r="AL223" s="96">
        <f>IF(R223=0,0,IF(AND(K223&lt;&gt;"Sim",N(M223)&gt;AK223+cfg_tol),1,0))</f>
        <v>0</v>
      </c>
      <c r="AM223" s="96">
        <f>IF(R223=0,0,IF(K223="Sim",0,IF(OR(AND(AA223&gt;0,ISNUMBER(I223),ABS(I223-N(L223))&gt;cfg_tol),AL223=1),1,0)))</f>
        <v>0</v>
      </c>
      <c r="AN223" s="96">
        <f>IF(AND(R223=1,N(M223)&gt;0,OR(N(M223)&gt;=AK223-cfg_tol,K223="Sim")),1,0)</f>
        <v>0</v>
      </c>
      <c r="AO223" s="96">
        <f>IF(AND(AN223=1,AD223&gt;0,AE223=AD223,AL223=0),1,0)</f>
        <v>0</v>
      </c>
      <c r="AP223" s="96">
        <f>IF(U223=0,0,IF(AND(INDEX('MTRs'!$AX$6:$AX$505,T223)=1,Z223=0,OR(f_res="",f_res="(Todos)",C223=f_res)),1,0))</f>
        <v>0</v>
      </c>
      <c r="AQ223" s="97" t="str">
        <f>IF(U223=0,"",INDEX('MTRs'!$AZ$6:$AZ$505,T223))</f>
        <v/>
      </c>
      <c r="AR223" s="96">
        <f>IF(U223=0,0,IF(AND(INDEX('MTRs'!$BA$6:$BA$505,T223)=1,Z223=0),1,0))</f>
        <v>0</v>
      </c>
      <c r="AS223" s="96" t="str">
        <f>IF(R223=1,A223&amp;" | MTR "&amp;IF(U223=1,INDEX('MTRs'!$B$6:$B$505,T223)&amp;"","?")&amp;" | "&amp;IF(C223="","(sem resíduo)",C223),"")</f>
        <v/>
      </c>
      <c r="AT223" s="96" t="str">
        <f>IF(R223=1,COUNTIF($R$6:R223,1),"")</f>
        <v/>
      </c>
      <c r="AU223" s="96" t="str">
        <f>IF(U223=1,INDEX('MTRs'!$I$6:$I$505,T223)&amp;"","")</f>
        <v/>
      </c>
    </row>
    <row r="224">
      <c r="A224" s="89" t="inlineStr">
        <is>
          <t>IT-000219</t>
        </is>
      </c>
      <c r="B224" s="91" t="n"/>
      <c r="C224" s="91" t="n"/>
      <c r="D224" s="94" t="str">
        <f>IF(OR(R224=0,V224=0),"",INDEX('CAD_RESÍDUOS'!$E$6:$E$205,MATCH(C224,'CAD_RESÍDUOS'!$B$6:$B$205,0))&amp;"")</f>
        <v/>
      </c>
      <c r="E224" s="94" t="str">
        <f>IF(OR(R224=0,V224=0),"",INDEX('CAD_RESÍDUOS'!$C$6:$C$205,MATCH(C224,'CAD_RESÍDUOS'!$B$6:$B$205,0))&amp;"")</f>
        <v/>
      </c>
      <c r="F224" s="94" t="str">
        <f>IF(OR(R224=0,V224=0),"",INDEX('CAD_RESÍDUOS'!$G$6:$G$205,MATCH(C224,'CAD_RESÍDUOS'!$B$6:$B$205,0))&amp;"")</f>
        <v/>
      </c>
      <c r="G224" s="98" t="n"/>
      <c r="H224" s="91" t="n"/>
      <c r="I224" s="93" t="str">
        <f>IF(R224=0,"",IF(NOT(ISNUMBER(G224)),"",IF(ISNUMBER(X224),G224*X224,"UNIDADE A CONFERIR")))</f>
        <v/>
      </c>
      <c r="J224" s="91" t="n"/>
      <c r="K224" s="91" t="n"/>
      <c r="L224" s="93" t="str">
        <f>IF(R224=0,"",SUMIFS('RECEBIMENTOS'!$H$6:$H$1005,'RECEBIMENTOS'!$R$6:$R$1005,A224,'RECEBIMENTOS'!$X$6:$X$1005,1))</f>
        <v/>
      </c>
      <c r="M224" s="93" t="str">
        <f>IF(R224=0,"",SUMIFS('VÍNCULOS_CDF'!$H$6:$H$1005,'VÍNCULOS_CDF'!$R$6:$R$1005,A224,'VÍNCULOS_CDF'!$V$6:$V$1005,1))</f>
        <v/>
      </c>
      <c r="N224" s="99" t="str">
        <f>IF(OR(R224=0,AA224=0,NOT(ISNUMBER(I224))),"",I224-N(L224))</f>
        <v/>
      </c>
      <c r="O224" s="100" t="str">
        <f>IF(OR(R224=0,AK224&lt;=0),"",N(M224)/AK224)</f>
        <v/>
      </c>
      <c r="P224" s="94" t="str">
        <f>IF(R224=0,"",IF(S224="","Sem MTR associado",IF(U224=0,"MTR inexistente",IF(C224="","Resíduo não identificado",IF(V224=0,"Resíduo fora do cadastro",IF(W224=0,"Quantidade inválida",IF(H224="","Unidade não informada",IF(NOT(ISNUMBER(I224)),"Unidade a conferir",IF(AND(AH224=1,K224&lt;&gt;"Sim"),"Possível duplicidade",IF(Z224=1,"MTR cancelado",IF(AC224&gt;0,"Recebimento com alerta",IF(AA224=0,"Aguardando recebimento",IF(AB224&lt;AA224,"Recebimento a conferir",IF(AM224=1,"Quantidade a revisar",IF(AF224&gt;0,"Vínculo a revisar",IF(AD224=0,"Aguardando CDF",IF(AN224=0,"Vínculo de CDF parcial",IF(AE224&lt;AD224,"CDF a conferir","Documentação conferida"))))))))))))))))))</f>
        <v/>
      </c>
      <c r="Q224" s="93" t="str">
        <f>IF(OR(R224=0,AA224=0),"",MAX(0,N(L224)-N(M224)))</f>
        <v/>
      </c>
      <c r="R224" s="96">
        <f>IF(COUNTA(B224:C224,G224:H224,J224:K224)&gt;0,1,0)</f>
        <v>0</v>
      </c>
      <c r="S224" s="96" t="str">
        <f>IF(B224="","",TRIM(LEFT(B224,FIND(" |",B224&amp;" |")-1)))</f>
        <v/>
      </c>
      <c r="T224" s="96" t="str">
        <f>IF(S224="","",IFERROR(MATCH(S224,'MTRs'!$A$6:$A$505,0),""))</f>
        <v/>
      </c>
      <c r="U224" s="96">
        <f>IF(T224="",0,IF(INDEX('MTRs'!$Z$6:$Z$505,T224)=1,1,0))</f>
        <v>0</v>
      </c>
      <c r="V224" s="96">
        <f>IF(C224="",0,IF(ISNUMBER(MATCH(C224,'CAD_RESÍDUOS'!$B$6:$B$205,0)),1,0))</f>
        <v>0</v>
      </c>
      <c r="W224" s="96">
        <f>IF(AND(ISNUMBER(G224),G224&gt;0),1,0)</f>
        <v>0</v>
      </c>
      <c r="X224" s="96" t="str">
        <f>IF(H224="","",IFERROR(IF(ISNUMBER(INDEX(cfg_fac,MATCH(H224,cfg_units,0))),IF(INDEX(cfg_fac,MATCH(H224,cfg_units,0))&gt;0,INDEX(cfg_fac,MATCH(H224,cfg_units,0)),""),""),""))</f>
        <v/>
      </c>
      <c r="Y224" s="96">
        <f>IF(AND(W224=1,ISNUMBER(I224)),1,0)</f>
        <v>0</v>
      </c>
      <c r="Z224" s="96">
        <f>IF(U224=1,INDEX('MTRs'!$AA$6:$AA$505,T224),0)</f>
        <v>0</v>
      </c>
      <c r="AA224" s="96">
        <f>IF(R224=0,0,COUNTIFS('RECEBIMENTOS'!$R$6:$R$1005,A224,'RECEBIMENTOS'!$Q$6:$Q$1005,1))</f>
        <v>0</v>
      </c>
      <c r="AB224" s="96">
        <f>IF(R224=0,0,COUNTIFS('RECEBIMENTOS'!$R$6:$R$1005,A224,'RECEBIMENTOS'!$Z$6:$Z$1005,1))</f>
        <v>0</v>
      </c>
      <c r="AC224" s="96">
        <f>IF(R224=0,0,COUNTIFS('RECEBIMENTOS'!$R$6:$R$1005,A224,'RECEBIMENTOS'!$Y$6:$Y$1005,1))</f>
        <v>0</v>
      </c>
      <c r="AD224" s="96">
        <f>IF(R224=0,0,COUNTIFS('VÍNCULOS_CDF'!$R$6:$R$1005,A224,'VÍNCULOS_CDF'!$N$6:$N$1005,1))</f>
        <v>0</v>
      </c>
      <c r="AE224" s="96">
        <f>IF(R224=0,0,COUNTIFS('VÍNCULOS_CDF'!$R$6:$R$1005,A224,'VÍNCULOS_CDF'!$AA$6:$AA$1005,1))</f>
        <v>0</v>
      </c>
      <c r="AF224" s="96">
        <f>IF(R224=0,0,COUNTIFS('VÍNCULOS_CDF'!$R$6:$R$1005,A224,'VÍNCULOS_CDF'!$Y$6:$Y$1005,1))</f>
        <v>0</v>
      </c>
      <c r="AG224" s="96" t="str">
        <f>IF(AND(R224=1,S224&lt;&gt;"",C224&lt;&gt;""),S224&amp;"|"&amp;C224&amp;"|"&amp;G224&amp;"|"&amp;H224,"")</f>
        <v/>
      </c>
      <c r="AH224" s="96">
        <f>IF(AG224="",0,IF(SUMPRODUCT(--($AG$6:$AG$1005=AG224))&gt;1,1,0))</f>
        <v>0</v>
      </c>
      <c r="AI224" s="96">
        <f>IF(R224=0,0,IF(OR(U224=0,V224=0,Y224=0,AND(AH224=1,K224&lt;&gt;"Sim")),1,0))</f>
        <v>0</v>
      </c>
      <c r="AJ224" s="96">
        <f>IF(AND(R224=1,AA224&gt;0,AB224=AA224),1,0)</f>
        <v>0</v>
      </c>
      <c r="AK224" s="96">
        <f>IF(R224=0,0,IF(AA224&gt;0,N(L224),IF(ISNUMBER(I224),I224,0)))</f>
        <v>0</v>
      </c>
      <c r="AL224" s="96">
        <f>IF(R224=0,0,IF(AND(K224&lt;&gt;"Sim",N(M224)&gt;AK224+cfg_tol),1,0))</f>
        <v>0</v>
      </c>
      <c r="AM224" s="96">
        <f>IF(R224=0,0,IF(K224="Sim",0,IF(OR(AND(AA224&gt;0,ISNUMBER(I224),ABS(I224-N(L224))&gt;cfg_tol),AL224=1),1,0)))</f>
        <v>0</v>
      </c>
      <c r="AN224" s="96">
        <f>IF(AND(R224=1,N(M224)&gt;0,OR(N(M224)&gt;=AK224-cfg_tol,K224="Sim")),1,0)</f>
        <v>0</v>
      </c>
      <c r="AO224" s="96">
        <f>IF(AND(AN224=1,AD224&gt;0,AE224=AD224,AL224=0),1,0)</f>
        <v>0</v>
      </c>
      <c r="AP224" s="96">
        <f>IF(U224=0,0,IF(AND(INDEX('MTRs'!$AX$6:$AX$505,T224)=1,Z224=0,OR(f_res="",f_res="(Todos)",C224=f_res)),1,0))</f>
        <v>0</v>
      </c>
      <c r="AQ224" s="97" t="str">
        <f>IF(U224=0,"",INDEX('MTRs'!$AZ$6:$AZ$505,T224))</f>
        <v/>
      </c>
      <c r="AR224" s="96">
        <f>IF(U224=0,0,IF(AND(INDEX('MTRs'!$BA$6:$BA$505,T224)=1,Z224=0),1,0))</f>
        <v>0</v>
      </c>
      <c r="AS224" s="96" t="str">
        <f>IF(R224=1,A224&amp;" | MTR "&amp;IF(U224=1,INDEX('MTRs'!$B$6:$B$505,T224)&amp;"","?")&amp;" | "&amp;IF(C224="","(sem resíduo)",C224),"")</f>
        <v/>
      </c>
      <c r="AT224" s="96" t="str">
        <f>IF(R224=1,COUNTIF($R$6:R224,1),"")</f>
        <v/>
      </c>
      <c r="AU224" s="96" t="str">
        <f>IF(U224=1,INDEX('MTRs'!$I$6:$I$505,T224)&amp;"","")</f>
        <v/>
      </c>
    </row>
    <row r="225">
      <c r="A225" s="89" t="inlineStr">
        <is>
          <t>IT-000220</t>
        </is>
      </c>
      <c r="B225" s="91" t="n"/>
      <c r="C225" s="91" t="n"/>
      <c r="D225" s="94" t="str">
        <f>IF(OR(R225=0,V225=0),"",INDEX('CAD_RESÍDUOS'!$E$6:$E$205,MATCH(C225,'CAD_RESÍDUOS'!$B$6:$B$205,0))&amp;"")</f>
        <v/>
      </c>
      <c r="E225" s="94" t="str">
        <f>IF(OR(R225=0,V225=0),"",INDEX('CAD_RESÍDUOS'!$C$6:$C$205,MATCH(C225,'CAD_RESÍDUOS'!$B$6:$B$205,0))&amp;"")</f>
        <v/>
      </c>
      <c r="F225" s="94" t="str">
        <f>IF(OR(R225=0,V225=0),"",INDEX('CAD_RESÍDUOS'!$G$6:$G$205,MATCH(C225,'CAD_RESÍDUOS'!$B$6:$B$205,0))&amp;"")</f>
        <v/>
      </c>
      <c r="G225" s="98" t="n"/>
      <c r="H225" s="91" t="n"/>
      <c r="I225" s="93" t="str">
        <f>IF(R225=0,"",IF(NOT(ISNUMBER(G225)),"",IF(ISNUMBER(X225),G225*X225,"UNIDADE A CONFERIR")))</f>
        <v/>
      </c>
      <c r="J225" s="91" t="n"/>
      <c r="K225" s="91" t="n"/>
      <c r="L225" s="93" t="str">
        <f>IF(R225=0,"",SUMIFS('RECEBIMENTOS'!$H$6:$H$1005,'RECEBIMENTOS'!$R$6:$R$1005,A225,'RECEBIMENTOS'!$X$6:$X$1005,1))</f>
        <v/>
      </c>
      <c r="M225" s="93" t="str">
        <f>IF(R225=0,"",SUMIFS('VÍNCULOS_CDF'!$H$6:$H$1005,'VÍNCULOS_CDF'!$R$6:$R$1005,A225,'VÍNCULOS_CDF'!$V$6:$V$1005,1))</f>
        <v/>
      </c>
      <c r="N225" s="99" t="str">
        <f>IF(OR(R225=0,AA225=0,NOT(ISNUMBER(I225))),"",I225-N(L225))</f>
        <v/>
      </c>
      <c r="O225" s="100" t="str">
        <f>IF(OR(R225=0,AK225&lt;=0),"",N(M225)/AK225)</f>
        <v/>
      </c>
      <c r="P225" s="94" t="str">
        <f>IF(R225=0,"",IF(S225="","Sem MTR associado",IF(U225=0,"MTR inexistente",IF(C225="","Resíduo não identificado",IF(V225=0,"Resíduo fora do cadastro",IF(W225=0,"Quantidade inválida",IF(H225="","Unidade não informada",IF(NOT(ISNUMBER(I225)),"Unidade a conferir",IF(AND(AH225=1,K225&lt;&gt;"Sim"),"Possível duplicidade",IF(Z225=1,"MTR cancelado",IF(AC225&gt;0,"Recebimento com alerta",IF(AA225=0,"Aguardando recebimento",IF(AB225&lt;AA225,"Recebimento a conferir",IF(AM225=1,"Quantidade a revisar",IF(AF225&gt;0,"Vínculo a revisar",IF(AD225=0,"Aguardando CDF",IF(AN225=0,"Vínculo de CDF parcial",IF(AE225&lt;AD225,"CDF a conferir","Documentação conferida"))))))))))))))))))</f>
        <v/>
      </c>
      <c r="Q225" s="93" t="str">
        <f>IF(OR(R225=0,AA225=0),"",MAX(0,N(L225)-N(M225)))</f>
        <v/>
      </c>
      <c r="R225" s="96">
        <f>IF(COUNTA(B225:C225,G225:H225,J225:K225)&gt;0,1,0)</f>
        <v>0</v>
      </c>
      <c r="S225" s="96" t="str">
        <f>IF(B225="","",TRIM(LEFT(B225,FIND(" |",B225&amp;" |")-1)))</f>
        <v/>
      </c>
      <c r="T225" s="96" t="str">
        <f>IF(S225="","",IFERROR(MATCH(S225,'MTRs'!$A$6:$A$505,0),""))</f>
        <v/>
      </c>
      <c r="U225" s="96">
        <f>IF(T225="",0,IF(INDEX('MTRs'!$Z$6:$Z$505,T225)=1,1,0))</f>
        <v>0</v>
      </c>
      <c r="V225" s="96">
        <f>IF(C225="",0,IF(ISNUMBER(MATCH(C225,'CAD_RESÍDUOS'!$B$6:$B$205,0)),1,0))</f>
        <v>0</v>
      </c>
      <c r="W225" s="96">
        <f>IF(AND(ISNUMBER(G225),G225&gt;0),1,0)</f>
        <v>0</v>
      </c>
      <c r="X225" s="96" t="str">
        <f>IF(H225="","",IFERROR(IF(ISNUMBER(INDEX(cfg_fac,MATCH(H225,cfg_units,0))),IF(INDEX(cfg_fac,MATCH(H225,cfg_units,0))&gt;0,INDEX(cfg_fac,MATCH(H225,cfg_units,0)),""),""),""))</f>
        <v/>
      </c>
      <c r="Y225" s="96">
        <f>IF(AND(W225=1,ISNUMBER(I225)),1,0)</f>
        <v>0</v>
      </c>
      <c r="Z225" s="96">
        <f>IF(U225=1,INDEX('MTRs'!$AA$6:$AA$505,T225),0)</f>
        <v>0</v>
      </c>
      <c r="AA225" s="96">
        <f>IF(R225=0,0,COUNTIFS('RECEBIMENTOS'!$R$6:$R$1005,A225,'RECEBIMENTOS'!$Q$6:$Q$1005,1))</f>
        <v>0</v>
      </c>
      <c r="AB225" s="96">
        <f>IF(R225=0,0,COUNTIFS('RECEBIMENTOS'!$R$6:$R$1005,A225,'RECEBIMENTOS'!$Z$6:$Z$1005,1))</f>
        <v>0</v>
      </c>
      <c r="AC225" s="96">
        <f>IF(R225=0,0,COUNTIFS('RECEBIMENTOS'!$R$6:$R$1005,A225,'RECEBIMENTOS'!$Y$6:$Y$1005,1))</f>
        <v>0</v>
      </c>
      <c r="AD225" s="96">
        <f>IF(R225=0,0,COUNTIFS('VÍNCULOS_CDF'!$R$6:$R$1005,A225,'VÍNCULOS_CDF'!$N$6:$N$1005,1))</f>
        <v>0</v>
      </c>
      <c r="AE225" s="96">
        <f>IF(R225=0,0,COUNTIFS('VÍNCULOS_CDF'!$R$6:$R$1005,A225,'VÍNCULOS_CDF'!$AA$6:$AA$1005,1))</f>
        <v>0</v>
      </c>
      <c r="AF225" s="96">
        <f>IF(R225=0,0,COUNTIFS('VÍNCULOS_CDF'!$R$6:$R$1005,A225,'VÍNCULOS_CDF'!$Y$6:$Y$1005,1))</f>
        <v>0</v>
      </c>
      <c r="AG225" s="96" t="str">
        <f>IF(AND(R225=1,S225&lt;&gt;"",C225&lt;&gt;""),S225&amp;"|"&amp;C225&amp;"|"&amp;G225&amp;"|"&amp;H225,"")</f>
        <v/>
      </c>
      <c r="AH225" s="96">
        <f>IF(AG225="",0,IF(SUMPRODUCT(--($AG$6:$AG$1005=AG225))&gt;1,1,0))</f>
        <v>0</v>
      </c>
      <c r="AI225" s="96">
        <f>IF(R225=0,0,IF(OR(U225=0,V225=0,Y225=0,AND(AH225=1,K225&lt;&gt;"Sim")),1,0))</f>
        <v>0</v>
      </c>
      <c r="AJ225" s="96">
        <f>IF(AND(R225=1,AA225&gt;0,AB225=AA225),1,0)</f>
        <v>0</v>
      </c>
      <c r="AK225" s="96">
        <f>IF(R225=0,0,IF(AA225&gt;0,N(L225),IF(ISNUMBER(I225),I225,0)))</f>
        <v>0</v>
      </c>
      <c r="AL225" s="96">
        <f>IF(R225=0,0,IF(AND(K225&lt;&gt;"Sim",N(M225)&gt;AK225+cfg_tol),1,0))</f>
        <v>0</v>
      </c>
      <c r="AM225" s="96">
        <f>IF(R225=0,0,IF(K225="Sim",0,IF(OR(AND(AA225&gt;0,ISNUMBER(I225),ABS(I225-N(L225))&gt;cfg_tol),AL225=1),1,0)))</f>
        <v>0</v>
      </c>
      <c r="AN225" s="96">
        <f>IF(AND(R225=1,N(M225)&gt;0,OR(N(M225)&gt;=AK225-cfg_tol,K225="Sim")),1,0)</f>
        <v>0</v>
      </c>
      <c r="AO225" s="96">
        <f>IF(AND(AN225=1,AD225&gt;0,AE225=AD225,AL225=0),1,0)</f>
        <v>0</v>
      </c>
      <c r="AP225" s="96">
        <f>IF(U225=0,0,IF(AND(INDEX('MTRs'!$AX$6:$AX$505,T225)=1,Z225=0,OR(f_res="",f_res="(Todos)",C225=f_res)),1,0))</f>
        <v>0</v>
      </c>
      <c r="AQ225" s="97" t="str">
        <f>IF(U225=0,"",INDEX('MTRs'!$AZ$6:$AZ$505,T225))</f>
        <v/>
      </c>
      <c r="AR225" s="96">
        <f>IF(U225=0,0,IF(AND(INDEX('MTRs'!$BA$6:$BA$505,T225)=1,Z225=0),1,0))</f>
        <v>0</v>
      </c>
      <c r="AS225" s="96" t="str">
        <f>IF(R225=1,A225&amp;" | MTR "&amp;IF(U225=1,INDEX('MTRs'!$B$6:$B$505,T225)&amp;"","?")&amp;" | "&amp;IF(C225="","(sem resíduo)",C225),"")</f>
        <v/>
      </c>
      <c r="AT225" s="96" t="str">
        <f>IF(R225=1,COUNTIF($R$6:R225,1),"")</f>
        <v/>
      </c>
      <c r="AU225" s="96" t="str">
        <f>IF(U225=1,INDEX('MTRs'!$I$6:$I$505,T225)&amp;"","")</f>
        <v/>
      </c>
    </row>
    <row r="226">
      <c r="A226" s="89" t="inlineStr">
        <is>
          <t>IT-000221</t>
        </is>
      </c>
      <c r="B226" s="91" t="n"/>
      <c r="C226" s="91" t="n"/>
      <c r="D226" s="94" t="str">
        <f>IF(OR(R226=0,V226=0),"",INDEX('CAD_RESÍDUOS'!$E$6:$E$205,MATCH(C226,'CAD_RESÍDUOS'!$B$6:$B$205,0))&amp;"")</f>
        <v/>
      </c>
      <c r="E226" s="94" t="str">
        <f>IF(OR(R226=0,V226=0),"",INDEX('CAD_RESÍDUOS'!$C$6:$C$205,MATCH(C226,'CAD_RESÍDUOS'!$B$6:$B$205,0))&amp;"")</f>
        <v/>
      </c>
      <c r="F226" s="94" t="str">
        <f>IF(OR(R226=0,V226=0),"",INDEX('CAD_RESÍDUOS'!$G$6:$G$205,MATCH(C226,'CAD_RESÍDUOS'!$B$6:$B$205,0))&amp;"")</f>
        <v/>
      </c>
      <c r="G226" s="98" t="n"/>
      <c r="H226" s="91" t="n"/>
      <c r="I226" s="93" t="str">
        <f>IF(R226=0,"",IF(NOT(ISNUMBER(G226)),"",IF(ISNUMBER(X226),G226*X226,"UNIDADE A CONFERIR")))</f>
        <v/>
      </c>
      <c r="J226" s="91" t="n"/>
      <c r="K226" s="91" t="n"/>
      <c r="L226" s="93" t="str">
        <f>IF(R226=0,"",SUMIFS('RECEBIMENTOS'!$H$6:$H$1005,'RECEBIMENTOS'!$R$6:$R$1005,A226,'RECEBIMENTOS'!$X$6:$X$1005,1))</f>
        <v/>
      </c>
      <c r="M226" s="93" t="str">
        <f>IF(R226=0,"",SUMIFS('VÍNCULOS_CDF'!$H$6:$H$1005,'VÍNCULOS_CDF'!$R$6:$R$1005,A226,'VÍNCULOS_CDF'!$V$6:$V$1005,1))</f>
        <v/>
      </c>
      <c r="N226" s="99" t="str">
        <f>IF(OR(R226=0,AA226=0,NOT(ISNUMBER(I226))),"",I226-N(L226))</f>
        <v/>
      </c>
      <c r="O226" s="100" t="str">
        <f>IF(OR(R226=0,AK226&lt;=0),"",N(M226)/AK226)</f>
        <v/>
      </c>
      <c r="P226" s="94" t="str">
        <f>IF(R226=0,"",IF(S226="","Sem MTR associado",IF(U226=0,"MTR inexistente",IF(C226="","Resíduo não identificado",IF(V226=0,"Resíduo fora do cadastro",IF(W226=0,"Quantidade inválida",IF(H226="","Unidade não informada",IF(NOT(ISNUMBER(I226)),"Unidade a conferir",IF(AND(AH226=1,K226&lt;&gt;"Sim"),"Possível duplicidade",IF(Z226=1,"MTR cancelado",IF(AC226&gt;0,"Recebimento com alerta",IF(AA226=0,"Aguardando recebimento",IF(AB226&lt;AA226,"Recebimento a conferir",IF(AM226=1,"Quantidade a revisar",IF(AF226&gt;0,"Vínculo a revisar",IF(AD226=0,"Aguardando CDF",IF(AN226=0,"Vínculo de CDF parcial",IF(AE226&lt;AD226,"CDF a conferir","Documentação conferida"))))))))))))))))))</f>
        <v/>
      </c>
      <c r="Q226" s="93" t="str">
        <f>IF(OR(R226=0,AA226=0),"",MAX(0,N(L226)-N(M226)))</f>
        <v/>
      </c>
      <c r="R226" s="96">
        <f>IF(COUNTA(B226:C226,G226:H226,J226:K226)&gt;0,1,0)</f>
        <v>0</v>
      </c>
      <c r="S226" s="96" t="str">
        <f>IF(B226="","",TRIM(LEFT(B226,FIND(" |",B226&amp;" |")-1)))</f>
        <v/>
      </c>
      <c r="T226" s="96" t="str">
        <f>IF(S226="","",IFERROR(MATCH(S226,'MTRs'!$A$6:$A$505,0),""))</f>
        <v/>
      </c>
      <c r="U226" s="96">
        <f>IF(T226="",0,IF(INDEX('MTRs'!$Z$6:$Z$505,T226)=1,1,0))</f>
        <v>0</v>
      </c>
      <c r="V226" s="96">
        <f>IF(C226="",0,IF(ISNUMBER(MATCH(C226,'CAD_RESÍDUOS'!$B$6:$B$205,0)),1,0))</f>
        <v>0</v>
      </c>
      <c r="W226" s="96">
        <f>IF(AND(ISNUMBER(G226),G226&gt;0),1,0)</f>
        <v>0</v>
      </c>
      <c r="X226" s="96" t="str">
        <f>IF(H226="","",IFERROR(IF(ISNUMBER(INDEX(cfg_fac,MATCH(H226,cfg_units,0))),IF(INDEX(cfg_fac,MATCH(H226,cfg_units,0))&gt;0,INDEX(cfg_fac,MATCH(H226,cfg_units,0)),""),""),""))</f>
        <v/>
      </c>
      <c r="Y226" s="96">
        <f>IF(AND(W226=1,ISNUMBER(I226)),1,0)</f>
        <v>0</v>
      </c>
      <c r="Z226" s="96">
        <f>IF(U226=1,INDEX('MTRs'!$AA$6:$AA$505,T226),0)</f>
        <v>0</v>
      </c>
      <c r="AA226" s="96">
        <f>IF(R226=0,0,COUNTIFS('RECEBIMENTOS'!$R$6:$R$1005,A226,'RECEBIMENTOS'!$Q$6:$Q$1005,1))</f>
        <v>0</v>
      </c>
      <c r="AB226" s="96">
        <f>IF(R226=0,0,COUNTIFS('RECEBIMENTOS'!$R$6:$R$1005,A226,'RECEBIMENTOS'!$Z$6:$Z$1005,1))</f>
        <v>0</v>
      </c>
      <c r="AC226" s="96">
        <f>IF(R226=0,0,COUNTIFS('RECEBIMENTOS'!$R$6:$R$1005,A226,'RECEBIMENTOS'!$Y$6:$Y$1005,1))</f>
        <v>0</v>
      </c>
      <c r="AD226" s="96">
        <f>IF(R226=0,0,COUNTIFS('VÍNCULOS_CDF'!$R$6:$R$1005,A226,'VÍNCULOS_CDF'!$N$6:$N$1005,1))</f>
        <v>0</v>
      </c>
      <c r="AE226" s="96">
        <f>IF(R226=0,0,COUNTIFS('VÍNCULOS_CDF'!$R$6:$R$1005,A226,'VÍNCULOS_CDF'!$AA$6:$AA$1005,1))</f>
        <v>0</v>
      </c>
      <c r="AF226" s="96">
        <f>IF(R226=0,0,COUNTIFS('VÍNCULOS_CDF'!$R$6:$R$1005,A226,'VÍNCULOS_CDF'!$Y$6:$Y$1005,1))</f>
        <v>0</v>
      </c>
      <c r="AG226" s="96" t="str">
        <f>IF(AND(R226=1,S226&lt;&gt;"",C226&lt;&gt;""),S226&amp;"|"&amp;C226&amp;"|"&amp;G226&amp;"|"&amp;H226,"")</f>
        <v/>
      </c>
      <c r="AH226" s="96">
        <f>IF(AG226="",0,IF(SUMPRODUCT(--($AG$6:$AG$1005=AG226))&gt;1,1,0))</f>
        <v>0</v>
      </c>
      <c r="AI226" s="96">
        <f>IF(R226=0,0,IF(OR(U226=0,V226=0,Y226=0,AND(AH226=1,K226&lt;&gt;"Sim")),1,0))</f>
        <v>0</v>
      </c>
      <c r="AJ226" s="96">
        <f>IF(AND(R226=1,AA226&gt;0,AB226=AA226),1,0)</f>
        <v>0</v>
      </c>
      <c r="AK226" s="96">
        <f>IF(R226=0,0,IF(AA226&gt;0,N(L226),IF(ISNUMBER(I226),I226,0)))</f>
        <v>0</v>
      </c>
      <c r="AL226" s="96">
        <f>IF(R226=0,0,IF(AND(K226&lt;&gt;"Sim",N(M226)&gt;AK226+cfg_tol),1,0))</f>
        <v>0</v>
      </c>
      <c r="AM226" s="96">
        <f>IF(R226=0,0,IF(K226="Sim",0,IF(OR(AND(AA226&gt;0,ISNUMBER(I226),ABS(I226-N(L226))&gt;cfg_tol),AL226=1),1,0)))</f>
        <v>0</v>
      </c>
      <c r="AN226" s="96">
        <f>IF(AND(R226=1,N(M226)&gt;0,OR(N(M226)&gt;=AK226-cfg_tol,K226="Sim")),1,0)</f>
        <v>0</v>
      </c>
      <c r="AO226" s="96">
        <f>IF(AND(AN226=1,AD226&gt;0,AE226=AD226,AL226=0),1,0)</f>
        <v>0</v>
      </c>
      <c r="AP226" s="96">
        <f>IF(U226=0,0,IF(AND(INDEX('MTRs'!$AX$6:$AX$505,T226)=1,Z226=0,OR(f_res="",f_res="(Todos)",C226=f_res)),1,0))</f>
        <v>0</v>
      </c>
      <c r="AQ226" s="97" t="str">
        <f>IF(U226=0,"",INDEX('MTRs'!$AZ$6:$AZ$505,T226))</f>
        <v/>
      </c>
      <c r="AR226" s="96">
        <f>IF(U226=0,0,IF(AND(INDEX('MTRs'!$BA$6:$BA$505,T226)=1,Z226=0),1,0))</f>
        <v>0</v>
      </c>
      <c r="AS226" s="96" t="str">
        <f>IF(R226=1,A226&amp;" | MTR "&amp;IF(U226=1,INDEX('MTRs'!$B$6:$B$505,T226)&amp;"","?")&amp;" | "&amp;IF(C226="","(sem resíduo)",C226),"")</f>
        <v/>
      </c>
      <c r="AT226" s="96" t="str">
        <f>IF(R226=1,COUNTIF($R$6:R226,1),"")</f>
        <v/>
      </c>
      <c r="AU226" s="96" t="str">
        <f>IF(U226=1,INDEX('MTRs'!$I$6:$I$505,T226)&amp;"","")</f>
        <v/>
      </c>
    </row>
    <row r="227">
      <c r="A227" s="89" t="inlineStr">
        <is>
          <t>IT-000222</t>
        </is>
      </c>
      <c r="B227" s="91" t="n"/>
      <c r="C227" s="91" t="n"/>
      <c r="D227" s="94" t="str">
        <f>IF(OR(R227=0,V227=0),"",INDEX('CAD_RESÍDUOS'!$E$6:$E$205,MATCH(C227,'CAD_RESÍDUOS'!$B$6:$B$205,0))&amp;"")</f>
        <v/>
      </c>
      <c r="E227" s="94" t="str">
        <f>IF(OR(R227=0,V227=0),"",INDEX('CAD_RESÍDUOS'!$C$6:$C$205,MATCH(C227,'CAD_RESÍDUOS'!$B$6:$B$205,0))&amp;"")</f>
        <v/>
      </c>
      <c r="F227" s="94" t="str">
        <f>IF(OR(R227=0,V227=0),"",INDEX('CAD_RESÍDUOS'!$G$6:$G$205,MATCH(C227,'CAD_RESÍDUOS'!$B$6:$B$205,0))&amp;"")</f>
        <v/>
      </c>
      <c r="G227" s="98" t="n"/>
      <c r="H227" s="91" t="n"/>
      <c r="I227" s="93" t="str">
        <f>IF(R227=0,"",IF(NOT(ISNUMBER(G227)),"",IF(ISNUMBER(X227),G227*X227,"UNIDADE A CONFERIR")))</f>
        <v/>
      </c>
      <c r="J227" s="91" t="n"/>
      <c r="K227" s="91" t="n"/>
      <c r="L227" s="93" t="str">
        <f>IF(R227=0,"",SUMIFS('RECEBIMENTOS'!$H$6:$H$1005,'RECEBIMENTOS'!$R$6:$R$1005,A227,'RECEBIMENTOS'!$X$6:$X$1005,1))</f>
        <v/>
      </c>
      <c r="M227" s="93" t="str">
        <f>IF(R227=0,"",SUMIFS('VÍNCULOS_CDF'!$H$6:$H$1005,'VÍNCULOS_CDF'!$R$6:$R$1005,A227,'VÍNCULOS_CDF'!$V$6:$V$1005,1))</f>
        <v/>
      </c>
      <c r="N227" s="99" t="str">
        <f>IF(OR(R227=0,AA227=0,NOT(ISNUMBER(I227))),"",I227-N(L227))</f>
        <v/>
      </c>
      <c r="O227" s="100" t="str">
        <f>IF(OR(R227=0,AK227&lt;=0),"",N(M227)/AK227)</f>
        <v/>
      </c>
      <c r="P227" s="94" t="str">
        <f>IF(R227=0,"",IF(S227="","Sem MTR associado",IF(U227=0,"MTR inexistente",IF(C227="","Resíduo não identificado",IF(V227=0,"Resíduo fora do cadastro",IF(W227=0,"Quantidade inválida",IF(H227="","Unidade não informada",IF(NOT(ISNUMBER(I227)),"Unidade a conferir",IF(AND(AH227=1,K227&lt;&gt;"Sim"),"Possível duplicidade",IF(Z227=1,"MTR cancelado",IF(AC227&gt;0,"Recebimento com alerta",IF(AA227=0,"Aguardando recebimento",IF(AB227&lt;AA227,"Recebimento a conferir",IF(AM227=1,"Quantidade a revisar",IF(AF227&gt;0,"Vínculo a revisar",IF(AD227=0,"Aguardando CDF",IF(AN227=0,"Vínculo de CDF parcial",IF(AE227&lt;AD227,"CDF a conferir","Documentação conferida"))))))))))))))))))</f>
        <v/>
      </c>
      <c r="Q227" s="93" t="str">
        <f>IF(OR(R227=0,AA227=0),"",MAX(0,N(L227)-N(M227)))</f>
        <v/>
      </c>
      <c r="R227" s="96">
        <f>IF(COUNTA(B227:C227,G227:H227,J227:K227)&gt;0,1,0)</f>
        <v>0</v>
      </c>
      <c r="S227" s="96" t="str">
        <f>IF(B227="","",TRIM(LEFT(B227,FIND(" |",B227&amp;" |")-1)))</f>
        <v/>
      </c>
      <c r="T227" s="96" t="str">
        <f>IF(S227="","",IFERROR(MATCH(S227,'MTRs'!$A$6:$A$505,0),""))</f>
        <v/>
      </c>
      <c r="U227" s="96">
        <f>IF(T227="",0,IF(INDEX('MTRs'!$Z$6:$Z$505,T227)=1,1,0))</f>
        <v>0</v>
      </c>
      <c r="V227" s="96">
        <f>IF(C227="",0,IF(ISNUMBER(MATCH(C227,'CAD_RESÍDUOS'!$B$6:$B$205,0)),1,0))</f>
        <v>0</v>
      </c>
      <c r="W227" s="96">
        <f>IF(AND(ISNUMBER(G227),G227&gt;0),1,0)</f>
        <v>0</v>
      </c>
      <c r="X227" s="96" t="str">
        <f>IF(H227="","",IFERROR(IF(ISNUMBER(INDEX(cfg_fac,MATCH(H227,cfg_units,0))),IF(INDEX(cfg_fac,MATCH(H227,cfg_units,0))&gt;0,INDEX(cfg_fac,MATCH(H227,cfg_units,0)),""),""),""))</f>
        <v/>
      </c>
      <c r="Y227" s="96">
        <f>IF(AND(W227=1,ISNUMBER(I227)),1,0)</f>
        <v>0</v>
      </c>
      <c r="Z227" s="96">
        <f>IF(U227=1,INDEX('MTRs'!$AA$6:$AA$505,T227),0)</f>
        <v>0</v>
      </c>
      <c r="AA227" s="96">
        <f>IF(R227=0,0,COUNTIFS('RECEBIMENTOS'!$R$6:$R$1005,A227,'RECEBIMENTOS'!$Q$6:$Q$1005,1))</f>
        <v>0</v>
      </c>
      <c r="AB227" s="96">
        <f>IF(R227=0,0,COUNTIFS('RECEBIMENTOS'!$R$6:$R$1005,A227,'RECEBIMENTOS'!$Z$6:$Z$1005,1))</f>
        <v>0</v>
      </c>
      <c r="AC227" s="96">
        <f>IF(R227=0,0,COUNTIFS('RECEBIMENTOS'!$R$6:$R$1005,A227,'RECEBIMENTOS'!$Y$6:$Y$1005,1))</f>
        <v>0</v>
      </c>
      <c r="AD227" s="96">
        <f>IF(R227=0,0,COUNTIFS('VÍNCULOS_CDF'!$R$6:$R$1005,A227,'VÍNCULOS_CDF'!$N$6:$N$1005,1))</f>
        <v>0</v>
      </c>
      <c r="AE227" s="96">
        <f>IF(R227=0,0,COUNTIFS('VÍNCULOS_CDF'!$R$6:$R$1005,A227,'VÍNCULOS_CDF'!$AA$6:$AA$1005,1))</f>
        <v>0</v>
      </c>
      <c r="AF227" s="96">
        <f>IF(R227=0,0,COUNTIFS('VÍNCULOS_CDF'!$R$6:$R$1005,A227,'VÍNCULOS_CDF'!$Y$6:$Y$1005,1))</f>
        <v>0</v>
      </c>
      <c r="AG227" s="96" t="str">
        <f>IF(AND(R227=1,S227&lt;&gt;"",C227&lt;&gt;""),S227&amp;"|"&amp;C227&amp;"|"&amp;G227&amp;"|"&amp;H227,"")</f>
        <v/>
      </c>
      <c r="AH227" s="96">
        <f>IF(AG227="",0,IF(SUMPRODUCT(--($AG$6:$AG$1005=AG227))&gt;1,1,0))</f>
        <v>0</v>
      </c>
      <c r="AI227" s="96">
        <f>IF(R227=0,0,IF(OR(U227=0,V227=0,Y227=0,AND(AH227=1,K227&lt;&gt;"Sim")),1,0))</f>
        <v>0</v>
      </c>
      <c r="AJ227" s="96">
        <f>IF(AND(R227=1,AA227&gt;0,AB227=AA227),1,0)</f>
        <v>0</v>
      </c>
      <c r="AK227" s="96">
        <f>IF(R227=0,0,IF(AA227&gt;0,N(L227),IF(ISNUMBER(I227),I227,0)))</f>
        <v>0</v>
      </c>
      <c r="AL227" s="96">
        <f>IF(R227=0,0,IF(AND(K227&lt;&gt;"Sim",N(M227)&gt;AK227+cfg_tol),1,0))</f>
        <v>0</v>
      </c>
      <c r="AM227" s="96">
        <f>IF(R227=0,0,IF(K227="Sim",0,IF(OR(AND(AA227&gt;0,ISNUMBER(I227),ABS(I227-N(L227))&gt;cfg_tol),AL227=1),1,0)))</f>
        <v>0</v>
      </c>
      <c r="AN227" s="96">
        <f>IF(AND(R227=1,N(M227)&gt;0,OR(N(M227)&gt;=AK227-cfg_tol,K227="Sim")),1,0)</f>
        <v>0</v>
      </c>
      <c r="AO227" s="96">
        <f>IF(AND(AN227=1,AD227&gt;0,AE227=AD227,AL227=0),1,0)</f>
        <v>0</v>
      </c>
      <c r="AP227" s="96">
        <f>IF(U227=0,0,IF(AND(INDEX('MTRs'!$AX$6:$AX$505,T227)=1,Z227=0,OR(f_res="",f_res="(Todos)",C227=f_res)),1,0))</f>
        <v>0</v>
      </c>
      <c r="AQ227" s="97" t="str">
        <f>IF(U227=0,"",INDEX('MTRs'!$AZ$6:$AZ$505,T227))</f>
        <v/>
      </c>
      <c r="AR227" s="96">
        <f>IF(U227=0,0,IF(AND(INDEX('MTRs'!$BA$6:$BA$505,T227)=1,Z227=0),1,0))</f>
        <v>0</v>
      </c>
      <c r="AS227" s="96" t="str">
        <f>IF(R227=1,A227&amp;" | MTR "&amp;IF(U227=1,INDEX('MTRs'!$B$6:$B$505,T227)&amp;"","?")&amp;" | "&amp;IF(C227="","(sem resíduo)",C227),"")</f>
        <v/>
      </c>
      <c r="AT227" s="96" t="str">
        <f>IF(R227=1,COUNTIF($R$6:R227,1),"")</f>
        <v/>
      </c>
      <c r="AU227" s="96" t="str">
        <f>IF(U227=1,INDEX('MTRs'!$I$6:$I$505,T227)&amp;"","")</f>
        <v/>
      </c>
    </row>
    <row r="228">
      <c r="A228" s="89" t="inlineStr">
        <is>
          <t>IT-000223</t>
        </is>
      </c>
      <c r="B228" s="91" t="n"/>
      <c r="C228" s="91" t="n"/>
      <c r="D228" s="94" t="str">
        <f>IF(OR(R228=0,V228=0),"",INDEX('CAD_RESÍDUOS'!$E$6:$E$205,MATCH(C228,'CAD_RESÍDUOS'!$B$6:$B$205,0))&amp;"")</f>
        <v/>
      </c>
      <c r="E228" s="94" t="str">
        <f>IF(OR(R228=0,V228=0),"",INDEX('CAD_RESÍDUOS'!$C$6:$C$205,MATCH(C228,'CAD_RESÍDUOS'!$B$6:$B$205,0))&amp;"")</f>
        <v/>
      </c>
      <c r="F228" s="94" t="str">
        <f>IF(OR(R228=0,V228=0),"",INDEX('CAD_RESÍDUOS'!$G$6:$G$205,MATCH(C228,'CAD_RESÍDUOS'!$B$6:$B$205,0))&amp;"")</f>
        <v/>
      </c>
      <c r="G228" s="98" t="n"/>
      <c r="H228" s="91" t="n"/>
      <c r="I228" s="93" t="str">
        <f>IF(R228=0,"",IF(NOT(ISNUMBER(G228)),"",IF(ISNUMBER(X228),G228*X228,"UNIDADE A CONFERIR")))</f>
        <v/>
      </c>
      <c r="J228" s="91" t="n"/>
      <c r="K228" s="91" t="n"/>
      <c r="L228" s="93" t="str">
        <f>IF(R228=0,"",SUMIFS('RECEBIMENTOS'!$H$6:$H$1005,'RECEBIMENTOS'!$R$6:$R$1005,A228,'RECEBIMENTOS'!$X$6:$X$1005,1))</f>
        <v/>
      </c>
      <c r="M228" s="93" t="str">
        <f>IF(R228=0,"",SUMIFS('VÍNCULOS_CDF'!$H$6:$H$1005,'VÍNCULOS_CDF'!$R$6:$R$1005,A228,'VÍNCULOS_CDF'!$V$6:$V$1005,1))</f>
        <v/>
      </c>
      <c r="N228" s="99" t="str">
        <f>IF(OR(R228=0,AA228=0,NOT(ISNUMBER(I228))),"",I228-N(L228))</f>
        <v/>
      </c>
      <c r="O228" s="100" t="str">
        <f>IF(OR(R228=0,AK228&lt;=0),"",N(M228)/AK228)</f>
        <v/>
      </c>
      <c r="P228" s="94" t="str">
        <f>IF(R228=0,"",IF(S228="","Sem MTR associado",IF(U228=0,"MTR inexistente",IF(C228="","Resíduo não identificado",IF(V228=0,"Resíduo fora do cadastro",IF(W228=0,"Quantidade inválida",IF(H228="","Unidade não informada",IF(NOT(ISNUMBER(I228)),"Unidade a conferir",IF(AND(AH228=1,K228&lt;&gt;"Sim"),"Possível duplicidade",IF(Z228=1,"MTR cancelado",IF(AC228&gt;0,"Recebimento com alerta",IF(AA228=0,"Aguardando recebimento",IF(AB228&lt;AA228,"Recebimento a conferir",IF(AM228=1,"Quantidade a revisar",IF(AF228&gt;0,"Vínculo a revisar",IF(AD228=0,"Aguardando CDF",IF(AN228=0,"Vínculo de CDF parcial",IF(AE228&lt;AD228,"CDF a conferir","Documentação conferida"))))))))))))))))))</f>
        <v/>
      </c>
      <c r="Q228" s="93" t="str">
        <f>IF(OR(R228=0,AA228=0),"",MAX(0,N(L228)-N(M228)))</f>
        <v/>
      </c>
      <c r="R228" s="96">
        <f>IF(COUNTA(B228:C228,G228:H228,J228:K228)&gt;0,1,0)</f>
        <v>0</v>
      </c>
      <c r="S228" s="96" t="str">
        <f>IF(B228="","",TRIM(LEFT(B228,FIND(" |",B228&amp;" |")-1)))</f>
        <v/>
      </c>
      <c r="T228" s="96" t="str">
        <f>IF(S228="","",IFERROR(MATCH(S228,'MTRs'!$A$6:$A$505,0),""))</f>
        <v/>
      </c>
      <c r="U228" s="96">
        <f>IF(T228="",0,IF(INDEX('MTRs'!$Z$6:$Z$505,T228)=1,1,0))</f>
        <v>0</v>
      </c>
      <c r="V228" s="96">
        <f>IF(C228="",0,IF(ISNUMBER(MATCH(C228,'CAD_RESÍDUOS'!$B$6:$B$205,0)),1,0))</f>
        <v>0</v>
      </c>
      <c r="W228" s="96">
        <f>IF(AND(ISNUMBER(G228),G228&gt;0),1,0)</f>
        <v>0</v>
      </c>
      <c r="X228" s="96" t="str">
        <f>IF(H228="","",IFERROR(IF(ISNUMBER(INDEX(cfg_fac,MATCH(H228,cfg_units,0))),IF(INDEX(cfg_fac,MATCH(H228,cfg_units,0))&gt;0,INDEX(cfg_fac,MATCH(H228,cfg_units,0)),""),""),""))</f>
        <v/>
      </c>
      <c r="Y228" s="96">
        <f>IF(AND(W228=1,ISNUMBER(I228)),1,0)</f>
        <v>0</v>
      </c>
      <c r="Z228" s="96">
        <f>IF(U228=1,INDEX('MTRs'!$AA$6:$AA$505,T228),0)</f>
        <v>0</v>
      </c>
      <c r="AA228" s="96">
        <f>IF(R228=0,0,COUNTIFS('RECEBIMENTOS'!$R$6:$R$1005,A228,'RECEBIMENTOS'!$Q$6:$Q$1005,1))</f>
        <v>0</v>
      </c>
      <c r="AB228" s="96">
        <f>IF(R228=0,0,COUNTIFS('RECEBIMENTOS'!$R$6:$R$1005,A228,'RECEBIMENTOS'!$Z$6:$Z$1005,1))</f>
        <v>0</v>
      </c>
      <c r="AC228" s="96">
        <f>IF(R228=0,0,COUNTIFS('RECEBIMENTOS'!$R$6:$R$1005,A228,'RECEBIMENTOS'!$Y$6:$Y$1005,1))</f>
        <v>0</v>
      </c>
      <c r="AD228" s="96">
        <f>IF(R228=0,0,COUNTIFS('VÍNCULOS_CDF'!$R$6:$R$1005,A228,'VÍNCULOS_CDF'!$N$6:$N$1005,1))</f>
        <v>0</v>
      </c>
      <c r="AE228" s="96">
        <f>IF(R228=0,0,COUNTIFS('VÍNCULOS_CDF'!$R$6:$R$1005,A228,'VÍNCULOS_CDF'!$AA$6:$AA$1005,1))</f>
        <v>0</v>
      </c>
      <c r="AF228" s="96">
        <f>IF(R228=0,0,COUNTIFS('VÍNCULOS_CDF'!$R$6:$R$1005,A228,'VÍNCULOS_CDF'!$Y$6:$Y$1005,1))</f>
        <v>0</v>
      </c>
      <c r="AG228" s="96" t="str">
        <f>IF(AND(R228=1,S228&lt;&gt;"",C228&lt;&gt;""),S228&amp;"|"&amp;C228&amp;"|"&amp;G228&amp;"|"&amp;H228,"")</f>
        <v/>
      </c>
      <c r="AH228" s="96">
        <f>IF(AG228="",0,IF(SUMPRODUCT(--($AG$6:$AG$1005=AG228))&gt;1,1,0))</f>
        <v>0</v>
      </c>
      <c r="AI228" s="96">
        <f>IF(R228=0,0,IF(OR(U228=0,V228=0,Y228=0,AND(AH228=1,K228&lt;&gt;"Sim")),1,0))</f>
        <v>0</v>
      </c>
      <c r="AJ228" s="96">
        <f>IF(AND(R228=1,AA228&gt;0,AB228=AA228),1,0)</f>
        <v>0</v>
      </c>
      <c r="AK228" s="96">
        <f>IF(R228=0,0,IF(AA228&gt;0,N(L228),IF(ISNUMBER(I228),I228,0)))</f>
        <v>0</v>
      </c>
      <c r="AL228" s="96">
        <f>IF(R228=0,0,IF(AND(K228&lt;&gt;"Sim",N(M228)&gt;AK228+cfg_tol),1,0))</f>
        <v>0</v>
      </c>
      <c r="AM228" s="96">
        <f>IF(R228=0,0,IF(K228="Sim",0,IF(OR(AND(AA228&gt;0,ISNUMBER(I228),ABS(I228-N(L228))&gt;cfg_tol),AL228=1),1,0)))</f>
        <v>0</v>
      </c>
      <c r="AN228" s="96">
        <f>IF(AND(R228=1,N(M228)&gt;0,OR(N(M228)&gt;=AK228-cfg_tol,K228="Sim")),1,0)</f>
        <v>0</v>
      </c>
      <c r="AO228" s="96">
        <f>IF(AND(AN228=1,AD228&gt;0,AE228=AD228,AL228=0),1,0)</f>
        <v>0</v>
      </c>
      <c r="AP228" s="96">
        <f>IF(U228=0,0,IF(AND(INDEX('MTRs'!$AX$6:$AX$505,T228)=1,Z228=0,OR(f_res="",f_res="(Todos)",C228=f_res)),1,0))</f>
        <v>0</v>
      </c>
      <c r="AQ228" s="97" t="str">
        <f>IF(U228=0,"",INDEX('MTRs'!$AZ$6:$AZ$505,T228))</f>
        <v/>
      </c>
      <c r="AR228" s="96">
        <f>IF(U228=0,0,IF(AND(INDEX('MTRs'!$BA$6:$BA$505,T228)=1,Z228=0),1,0))</f>
        <v>0</v>
      </c>
      <c r="AS228" s="96" t="str">
        <f>IF(R228=1,A228&amp;" | MTR "&amp;IF(U228=1,INDEX('MTRs'!$B$6:$B$505,T228)&amp;"","?")&amp;" | "&amp;IF(C228="","(sem resíduo)",C228),"")</f>
        <v/>
      </c>
      <c r="AT228" s="96" t="str">
        <f>IF(R228=1,COUNTIF($R$6:R228,1),"")</f>
        <v/>
      </c>
      <c r="AU228" s="96" t="str">
        <f>IF(U228=1,INDEX('MTRs'!$I$6:$I$505,T228)&amp;"","")</f>
        <v/>
      </c>
    </row>
    <row r="229">
      <c r="A229" s="89" t="inlineStr">
        <is>
          <t>IT-000224</t>
        </is>
      </c>
      <c r="B229" s="91" t="n"/>
      <c r="C229" s="91" t="n"/>
      <c r="D229" s="94" t="str">
        <f>IF(OR(R229=0,V229=0),"",INDEX('CAD_RESÍDUOS'!$E$6:$E$205,MATCH(C229,'CAD_RESÍDUOS'!$B$6:$B$205,0))&amp;"")</f>
        <v/>
      </c>
      <c r="E229" s="94" t="str">
        <f>IF(OR(R229=0,V229=0),"",INDEX('CAD_RESÍDUOS'!$C$6:$C$205,MATCH(C229,'CAD_RESÍDUOS'!$B$6:$B$205,0))&amp;"")</f>
        <v/>
      </c>
      <c r="F229" s="94" t="str">
        <f>IF(OR(R229=0,V229=0),"",INDEX('CAD_RESÍDUOS'!$G$6:$G$205,MATCH(C229,'CAD_RESÍDUOS'!$B$6:$B$205,0))&amp;"")</f>
        <v/>
      </c>
      <c r="G229" s="98" t="n"/>
      <c r="H229" s="91" t="n"/>
      <c r="I229" s="93" t="str">
        <f>IF(R229=0,"",IF(NOT(ISNUMBER(G229)),"",IF(ISNUMBER(X229),G229*X229,"UNIDADE A CONFERIR")))</f>
        <v/>
      </c>
      <c r="J229" s="91" t="n"/>
      <c r="K229" s="91" t="n"/>
      <c r="L229" s="93" t="str">
        <f>IF(R229=0,"",SUMIFS('RECEBIMENTOS'!$H$6:$H$1005,'RECEBIMENTOS'!$R$6:$R$1005,A229,'RECEBIMENTOS'!$X$6:$X$1005,1))</f>
        <v/>
      </c>
      <c r="M229" s="93" t="str">
        <f>IF(R229=0,"",SUMIFS('VÍNCULOS_CDF'!$H$6:$H$1005,'VÍNCULOS_CDF'!$R$6:$R$1005,A229,'VÍNCULOS_CDF'!$V$6:$V$1005,1))</f>
        <v/>
      </c>
      <c r="N229" s="99" t="str">
        <f>IF(OR(R229=0,AA229=0,NOT(ISNUMBER(I229))),"",I229-N(L229))</f>
        <v/>
      </c>
      <c r="O229" s="100" t="str">
        <f>IF(OR(R229=0,AK229&lt;=0),"",N(M229)/AK229)</f>
        <v/>
      </c>
      <c r="P229" s="94" t="str">
        <f>IF(R229=0,"",IF(S229="","Sem MTR associado",IF(U229=0,"MTR inexistente",IF(C229="","Resíduo não identificado",IF(V229=0,"Resíduo fora do cadastro",IF(W229=0,"Quantidade inválida",IF(H229="","Unidade não informada",IF(NOT(ISNUMBER(I229)),"Unidade a conferir",IF(AND(AH229=1,K229&lt;&gt;"Sim"),"Possível duplicidade",IF(Z229=1,"MTR cancelado",IF(AC229&gt;0,"Recebimento com alerta",IF(AA229=0,"Aguardando recebimento",IF(AB229&lt;AA229,"Recebimento a conferir",IF(AM229=1,"Quantidade a revisar",IF(AF229&gt;0,"Vínculo a revisar",IF(AD229=0,"Aguardando CDF",IF(AN229=0,"Vínculo de CDF parcial",IF(AE229&lt;AD229,"CDF a conferir","Documentação conferida"))))))))))))))))))</f>
        <v/>
      </c>
      <c r="Q229" s="93" t="str">
        <f>IF(OR(R229=0,AA229=0),"",MAX(0,N(L229)-N(M229)))</f>
        <v/>
      </c>
      <c r="R229" s="96">
        <f>IF(COUNTA(B229:C229,G229:H229,J229:K229)&gt;0,1,0)</f>
        <v>0</v>
      </c>
      <c r="S229" s="96" t="str">
        <f>IF(B229="","",TRIM(LEFT(B229,FIND(" |",B229&amp;" |")-1)))</f>
        <v/>
      </c>
      <c r="T229" s="96" t="str">
        <f>IF(S229="","",IFERROR(MATCH(S229,'MTRs'!$A$6:$A$505,0),""))</f>
        <v/>
      </c>
      <c r="U229" s="96">
        <f>IF(T229="",0,IF(INDEX('MTRs'!$Z$6:$Z$505,T229)=1,1,0))</f>
        <v>0</v>
      </c>
      <c r="V229" s="96">
        <f>IF(C229="",0,IF(ISNUMBER(MATCH(C229,'CAD_RESÍDUOS'!$B$6:$B$205,0)),1,0))</f>
        <v>0</v>
      </c>
      <c r="W229" s="96">
        <f>IF(AND(ISNUMBER(G229),G229&gt;0),1,0)</f>
        <v>0</v>
      </c>
      <c r="X229" s="96" t="str">
        <f>IF(H229="","",IFERROR(IF(ISNUMBER(INDEX(cfg_fac,MATCH(H229,cfg_units,0))),IF(INDEX(cfg_fac,MATCH(H229,cfg_units,0))&gt;0,INDEX(cfg_fac,MATCH(H229,cfg_units,0)),""),""),""))</f>
        <v/>
      </c>
      <c r="Y229" s="96">
        <f>IF(AND(W229=1,ISNUMBER(I229)),1,0)</f>
        <v>0</v>
      </c>
      <c r="Z229" s="96">
        <f>IF(U229=1,INDEX('MTRs'!$AA$6:$AA$505,T229),0)</f>
        <v>0</v>
      </c>
      <c r="AA229" s="96">
        <f>IF(R229=0,0,COUNTIFS('RECEBIMENTOS'!$R$6:$R$1005,A229,'RECEBIMENTOS'!$Q$6:$Q$1005,1))</f>
        <v>0</v>
      </c>
      <c r="AB229" s="96">
        <f>IF(R229=0,0,COUNTIFS('RECEBIMENTOS'!$R$6:$R$1005,A229,'RECEBIMENTOS'!$Z$6:$Z$1005,1))</f>
        <v>0</v>
      </c>
      <c r="AC229" s="96">
        <f>IF(R229=0,0,COUNTIFS('RECEBIMENTOS'!$R$6:$R$1005,A229,'RECEBIMENTOS'!$Y$6:$Y$1005,1))</f>
        <v>0</v>
      </c>
      <c r="AD229" s="96">
        <f>IF(R229=0,0,COUNTIFS('VÍNCULOS_CDF'!$R$6:$R$1005,A229,'VÍNCULOS_CDF'!$N$6:$N$1005,1))</f>
        <v>0</v>
      </c>
      <c r="AE229" s="96">
        <f>IF(R229=0,0,COUNTIFS('VÍNCULOS_CDF'!$R$6:$R$1005,A229,'VÍNCULOS_CDF'!$AA$6:$AA$1005,1))</f>
        <v>0</v>
      </c>
      <c r="AF229" s="96">
        <f>IF(R229=0,0,COUNTIFS('VÍNCULOS_CDF'!$R$6:$R$1005,A229,'VÍNCULOS_CDF'!$Y$6:$Y$1005,1))</f>
        <v>0</v>
      </c>
      <c r="AG229" s="96" t="str">
        <f>IF(AND(R229=1,S229&lt;&gt;"",C229&lt;&gt;""),S229&amp;"|"&amp;C229&amp;"|"&amp;G229&amp;"|"&amp;H229,"")</f>
        <v/>
      </c>
      <c r="AH229" s="96">
        <f>IF(AG229="",0,IF(SUMPRODUCT(--($AG$6:$AG$1005=AG229))&gt;1,1,0))</f>
        <v>0</v>
      </c>
      <c r="AI229" s="96">
        <f>IF(R229=0,0,IF(OR(U229=0,V229=0,Y229=0,AND(AH229=1,K229&lt;&gt;"Sim")),1,0))</f>
        <v>0</v>
      </c>
      <c r="AJ229" s="96">
        <f>IF(AND(R229=1,AA229&gt;0,AB229=AA229),1,0)</f>
        <v>0</v>
      </c>
      <c r="AK229" s="96">
        <f>IF(R229=0,0,IF(AA229&gt;0,N(L229),IF(ISNUMBER(I229),I229,0)))</f>
        <v>0</v>
      </c>
      <c r="AL229" s="96">
        <f>IF(R229=0,0,IF(AND(K229&lt;&gt;"Sim",N(M229)&gt;AK229+cfg_tol),1,0))</f>
        <v>0</v>
      </c>
      <c r="AM229" s="96">
        <f>IF(R229=0,0,IF(K229="Sim",0,IF(OR(AND(AA229&gt;0,ISNUMBER(I229),ABS(I229-N(L229))&gt;cfg_tol),AL229=1),1,0)))</f>
        <v>0</v>
      </c>
      <c r="AN229" s="96">
        <f>IF(AND(R229=1,N(M229)&gt;0,OR(N(M229)&gt;=AK229-cfg_tol,K229="Sim")),1,0)</f>
        <v>0</v>
      </c>
      <c r="AO229" s="96">
        <f>IF(AND(AN229=1,AD229&gt;0,AE229=AD229,AL229=0),1,0)</f>
        <v>0</v>
      </c>
      <c r="AP229" s="96">
        <f>IF(U229=0,0,IF(AND(INDEX('MTRs'!$AX$6:$AX$505,T229)=1,Z229=0,OR(f_res="",f_res="(Todos)",C229=f_res)),1,0))</f>
        <v>0</v>
      </c>
      <c r="AQ229" s="97" t="str">
        <f>IF(U229=0,"",INDEX('MTRs'!$AZ$6:$AZ$505,T229))</f>
        <v/>
      </c>
      <c r="AR229" s="96">
        <f>IF(U229=0,0,IF(AND(INDEX('MTRs'!$BA$6:$BA$505,T229)=1,Z229=0),1,0))</f>
        <v>0</v>
      </c>
      <c r="AS229" s="96" t="str">
        <f>IF(R229=1,A229&amp;" | MTR "&amp;IF(U229=1,INDEX('MTRs'!$B$6:$B$505,T229)&amp;"","?")&amp;" | "&amp;IF(C229="","(sem resíduo)",C229),"")</f>
        <v/>
      </c>
      <c r="AT229" s="96" t="str">
        <f>IF(R229=1,COUNTIF($R$6:R229,1),"")</f>
        <v/>
      </c>
      <c r="AU229" s="96" t="str">
        <f>IF(U229=1,INDEX('MTRs'!$I$6:$I$505,T229)&amp;"","")</f>
        <v/>
      </c>
    </row>
    <row r="230">
      <c r="A230" s="89" t="inlineStr">
        <is>
          <t>IT-000225</t>
        </is>
      </c>
      <c r="B230" s="91" t="n"/>
      <c r="C230" s="91" t="n"/>
      <c r="D230" s="94" t="str">
        <f>IF(OR(R230=0,V230=0),"",INDEX('CAD_RESÍDUOS'!$E$6:$E$205,MATCH(C230,'CAD_RESÍDUOS'!$B$6:$B$205,0))&amp;"")</f>
        <v/>
      </c>
      <c r="E230" s="94" t="str">
        <f>IF(OR(R230=0,V230=0),"",INDEX('CAD_RESÍDUOS'!$C$6:$C$205,MATCH(C230,'CAD_RESÍDUOS'!$B$6:$B$205,0))&amp;"")</f>
        <v/>
      </c>
      <c r="F230" s="94" t="str">
        <f>IF(OR(R230=0,V230=0),"",INDEX('CAD_RESÍDUOS'!$G$6:$G$205,MATCH(C230,'CAD_RESÍDUOS'!$B$6:$B$205,0))&amp;"")</f>
        <v/>
      </c>
      <c r="G230" s="98" t="n"/>
      <c r="H230" s="91" t="n"/>
      <c r="I230" s="93" t="str">
        <f>IF(R230=0,"",IF(NOT(ISNUMBER(G230)),"",IF(ISNUMBER(X230),G230*X230,"UNIDADE A CONFERIR")))</f>
        <v/>
      </c>
      <c r="J230" s="91" t="n"/>
      <c r="K230" s="91" t="n"/>
      <c r="L230" s="93" t="str">
        <f>IF(R230=0,"",SUMIFS('RECEBIMENTOS'!$H$6:$H$1005,'RECEBIMENTOS'!$R$6:$R$1005,A230,'RECEBIMENTOS'!$X$6:$X$1005,1))</f>
        <v/>
      </c>
      <c r="M230" s="93" t="str">
        <f>IF(R230=0,"",SUMIFS('VÍNCULOS_CDF'!$H$6:$H$1005,'VÍNCULOS_CDF'!$R$6:$R$1005,A230,'VÍNCULOS_CDF'!$V$6:$V$1005,1))</f>
        <v/>
      </c>
      <c r="N230" s="99" t="str">
        <f>IF(OR(R230=0,AA230=0,NOT(ISNUMBER(I230))),"",I230-N(L230))</f>
        <v/>
      </c>
      <c r="O230" s="100" t="str">
        <f>IF(OR(R230=0,AK230&lt;=0),"",N(M230)/AK230)</f>
        <v/>
      </c>
      <c r="P230" s="94" t="str">
        <f>IF(R230=0,"",IF(S230="","Sem MTR associado",IF(U230=0,"MTR inexistente",IF(C230="","Resíduo não identificado",IF(V230=0,"Resíduo fora do cadastro",IF(W230=0,"Quantidade inválida",IF(H230="","Unidade não informada",IF(NOT(ISNUMBER(I230)),"Unidade a conferir",IF(AND(AH230=1,K230&lt;&gt;"Sim"),"Possível duplicidade",IF(Z230=1,"MTR cancelado",IF(AC230&gt;0,"Recebimento com alerta",IF(AA230=0,"Aguardando recebimento",IF(AB230&lt;AA230,"Recebimento a conferir",IF(AM230=1,"Quantidade a revisar",IF(AF230&gt;0,"Vínculo a revisar",IF(AD230=0,"Aguardando CDF",IF(AN230=0,"Vínculo de CDF parcial",IF(AE230&lt;AD230,"CDF a conferir","Documentação conferida"))))))))))))))))))</f>
        <v/>
      </c>
      <c r="Q230" s="93" t="str">
        <f>IF(OR(R230=0,AA230=0),"",MAX(0,N(L230)-N(M230)))</f>
        <v/>
      </c>
      <c r="R230" s="96">
        <f>IF(COUNTA(B230:C230,G230:H230,J230:K230)&gt;0,1,0)</f>
        <v>0</v>
      </c>
      <c r="S230" s="96" t="str">
        <f>IF(B230="","",TRIM(LEFT(B230,FIND(" |",B230&amp;" |")-1)))</f>
        <v/>
      </c>
      <c r="T230" s="96" t="str">
        <f>IF(S230="","",IFERROR(MATCH(S230,'MTRs'!$A$6:$A$505,0),""))</f>
        <v/>
      </c>
      <c r="U230" s="96">
        <f>IF(T230="",0,IF(INDEX('MTRs'!$Z$6:$Z$505,T230)=1,1,0))</f>
        <v>0</v>
      </c>
      <c r="V230" s="96">
        <f>IF(C230="",0,IF(ISNUMBER(MATCH(C230,'CAD_RESÍDUOS'!$B$6:$B$205,0)),1,0))</f>
        <v>0</v>
      </c>
      <c r="W230" s="96">
        <f>IF(AND(ISNUMBER(G230),G230&gt;0),1,0)</f>
        <v>0</v>
      </c>
      <c r="X230" s="96" t="str">
        <f>IF(H230="","",IFERROR(IF(ISNUMBER(INDEX(cfg_fac,MATCH(H230,cfg_units,0))),IF(INDEX(cfg_fac,MATCH(H230,cfg_units,0))&gt;0,INDEX(cfg_fac,MATCH(H230,cfg_units,0)),""),""),""))</f>
        <v/>
      </c>
      <c r="Y230" s="96">
        <f>IF(AND(W230=1,ISNUMBER(I230)),1,0)</f>
        <v>0</v>
      </c>
      <c r="Z230" s="96">
        <f>IF(U230=1,INDEX('MTRs'!$AA$6:$AA$505,T230),0)</f>
        <v>0</v>
      </c>
      <c r="AA230" s="96">
        <f>IF(R230=0,0,COUNTIFS('RECEBIMENTOS'!$R$6:$R$1005,A230,'RECEBIMENTOS'!$Q$6:$Q$1005,1))</f>
        <v>0</v>
      </c>
      <c r="AB230" s="96">
        <f>IF(R230=0,0,COUNTIFS('RECEBIMENTOS'!$R$6:$R$1005,A230,'RECEBIMENTOS'!$Z$6:$Z$1005,1))</f>
        <v>0</v>
      </c>
      <c r="AC230" s="96">
        <f>IF(R230=0,0,COUNTIFS('RECEBIMENTOS'!$R$6:$R$1005,A230,'RECEBIMENTOS'!$Y$6:$Y$1005,1))</f>
        <v>0</v>
      </c>
      <c r="AD230" s="96">
        <f>IF(R230=0,0,COUNTIFS('VÍNCULOS_CDF'!$R$6:$R$1005,A230,'VÍNCULOS_CDF'!$N$6:$N$1005,1))</f>
        <v>0</v>
      </c>
      <c r="AE230" s="96">
        <f>IF(R230=0,0,COUNTIFS('VÍNCULOS_CDF'!$R$6:$R$1005,A230,'VÍNCULOS_CDF'!$AA$6:$AA$1005,1))</f>
        <v>0</v>
      </c>
      <c r="AF230" s="96">
        <f>IF(R230=0,0,COUNTIFS('VÍNCULOS_CDF'!$R$6:$R$1005,A230,'VÍNCULOS_CDF'!$Y$6:$Y$1005,1))</f>
        <v>0</v>
      </c>
      <c r="AG230" s="96" t="str">
        <f>IF(AND(R230=1,S230&lt;&gt;"",C230&lt;&gt;""),S230&amp;"|"&amp;C230&amp;"|"&amp;G230&amp;"|"&amp;H230,"")</f>
        <v/>
      </c>
      <c r="AH230" s="96">
        <f>IF(AG230="",0,IF(SUMPRODUCT(--($AG$6:$AG$1005=AG230))&gt;1,1,0))</f>
        <v>0</v>
      </c>
      <c r="AI230" s="96">
        <f>IF(R230=0,0,IF(OR(U230=0,V230=0,Y230=0,AND(AH230=1,K230&lt;&gt;"Sim")),1,0))</f>
        <v>0</v>
      </c>
      <c r="AJ230" s="96">
        <f>IF(AND(R230=1,AA230&gt;0,AB230=AA230),1,0)</f>
        <v>0</v>
      </c>
      <c r="AK230" s="96">
        <f>IF(R230=0,0,IF(AA230&gt;0,N(L230),IF(ISNUMBER(I230),I230,0)))</f>
        <v>0</v>
      </c>
      <c r="AL230" s="96">
        <f>IF(R230=0,0,IF(AND(K230&lt;&gt;"Sim",N(M230)&gt;AK230+cfg_tol),1,0))</f>
        <v>0</v>
      </c>
      <c r="AM230" s="96">
        <f>IF(R230=0,0,IF(K230="Sim",0,IF(OR(AND(AA230&gt;0,ISNUMBER(I230),ABS(I230-N(L230))&gt;cfg_tol),AL230=1),1,0)))</f>
        <v>0</v>
      </c>
      <c r="AN230" s="96">
        <f>IF(AND(R230=1,N(M230)&gt;0,OR(N(M230)&gt;=AK230-cfg_tol,K230="Sim")),1,0)</f>
        <v>0</v>
      </c>
      <c r="AO230" s="96">
        <f>IF(AND(AN230=1,AD230&gt;0,AE230=AD230,AL230=0),1,0)</f>
        <v>0</v>
      </c>
      <c r="AP230" s="96">
        <f>IF(U230=0,0,IF(AND(INDEX('MTRs'!$AX$6:$AX$505,T230)=1,Z230=0,OR(f_res="",f_res="(Todos)",C230=f_res)),1,0))</f>
        <v>0</v>
      </c>
      <c r="AQ230" s="97" t="str">
        <f>IF(U230=0,"",INDEX('MTRs'!$AZ$6:$AZ$505,T230))</f>
        <v/>
      </c>
      <c r="AR230" s="96">
        <f>IF(U230=0,0,IF(AND(INDEX('MTRs'!$BA$6:$BA$505,T230)=1,Z230=0),1,0))</f>
        <v>0</v>
      </c>
      <c r="AS230" s="96" t="str">
        <f>IF(R230=1,A230&amp;" | MTR "&amp;IF(U230=1,INDEX('MTRs'!$B$6:$B$505,T230)&amp;"","?")&amp;" | "&amp;IF(C230="","(sem resíduo)",C230),"")</f>
        <v/>
      </c>
      <c r="AT230" s="96" t="str">
        <f>IF(R230=1,COUNTIF($R$6:R230,1),"")</f>
        <v/>
      </c>
      <c r="AU230" s="96" t="str">
        <f>IF(U230=1,INDEX('MTRs'!$I$6:$I$505,T230)&amp;"","")</f>
        <v/>
      </c>
    </row>
    <row r="231">
      <c r="A231" s="89" t="inlineStr">
        <is>
          <t>IT-000226</t>
        </is>
      </c>
      <c r="B231" s="91" t="n"/>
      <c r="C231" s="91" t="n"/>
      <c r="D231" s="94" t="str">
        <f>IF(OR(R231=0,V231=0),"",INDEX('CAD_RESÍDUOS'!$E$6:$E$205,MATCH(C231,'CAD_RESÍDUOS'!$B$6:$B$205,0))&amp;"")</f>
        <v/>
      </c>
      <c r="E231" s="94" t="str">
        <f>IF(OR(R231=0,V231=0),"",INDEX('CAD_RESÍDUOS'!$C$6:$C$205,MATCH(C231,'CAD_RESÍDUOS'!$B$6:$B$205,0))&amp;"")</f>
        <v/>
      </c>
      <c r="F231" s="94" t="str">
        <f>IF(OR(R231=0,V231=0),"",INDEX('CAD_RESÍDUOS'!$G$6:$G$205,MATCH(C231,'CAD_RESÍDUOS'!$B$6:$B$205,0))&amp;"")</f>
        <v/>
      </c>
      <c r="G231" s="98" t="n"/>
      <c r="H231" s="91" t="n"/>
      <c r="I231" s="93" t="str">
        <f>IF(R231=0,"",IF(NOT(ISNUMBER(G231)),"",IF(ISNUMBER(X231),G231*X231,"UNIDADE A CONFERIR")))</f>
        <v/>
      </c>
      <c r="J231" s="91" t="n"/>
      <c r="K231" s="91" t="n"/>
      <c r="L231" s="93" t="str">
        <f>IF(R231=0,"",SUMIFS('RECEBIMENTOS'!$H$6:$H$1005,'RECEBIMENTOS'!$R$6:$R$1005,A231,'RECEBIMENTOS'!$X$6:$X$1005,1))</f>
        <v/>
      </c>
      <c r="M231" s="93" t="str">
        <f>IF(R231=0,"",SUMIFS('VÍNCULOS_CDF'!$H$6:$H$1005,'VÍNCULOS_CDF'!$R$6:$R$1005,A231,'VÍNCULOS_CDF'!$V$6:$V$1005,1))</f>
        <v/>
      </c>
      <c r="N231" s="99" t="str">
        <f>IF(OR(R231=0,AA231=0,NOT(ISNUMBER(I231))),"",I231-N(L231))</f>
        <v/>
      </c>
      <c r="O231" s="100" t="str">
        <f>IF(OR(R231=0,AK231&lt;=0),"",N(M231)/AK231)</f>
        <v/>
      </c>
      <c r="P231" s="94" t="str">
        <f>IF(R231=0,"",IF(S231="","Sem MTR associado",IF(U231=0,"MTR inexistente",IF(C231="","Resíduo não identificado",IF(V231=0,"Resíduo fora do cadastro",IF(W231=0,"Quantidade inválida",IF(H231="","Unidade não informada",IF(NOT(ISNUMBER(I231)),"Unidade a conferir",IF(AND(AH231=1,K231&lt;&gt;"Sim"),"Possível duplicidade",IF(Z231=1,"MTR cancelado",IF(AC231&gt;0,"Recebimento com alerta",IF(AA231=0,"Aguardando recebimento",IF(AB231&lt;AA231,"Recebimento a conferir",IF(AM231=1,"Quantidade a revisar",IF(AF231&gt;0,"Vínculo a revisar",IF(AD231=0,"Aguardando CDF",IF(AN231=0,"Vínculo de CDF parcial",IF(AE231&lt;AD231,"CDF a conferir","Documentação conferida"))))))))))))))))))</f>
        <v/>
      </c>
      <c r="Q231" s="93" t="str">
        <f>IF(OR(R231=0,AA231=0),"",MAX(0,N(L231)-N(M231)))</f>
        <v/>
      </c>
      <c r="R231" s="96">
        <f>IF(COUNTA(B231:C231,G231:H231,J231:K231)&gt;0,1,0)</f>
        <v>0</v>
      </c>
      <c r="S231" s="96" t="str">
        <f>IF(B231="","",TRIM(LEFT(B231,FIND(" |",B231&amp;" |")-1)))</f>
        <v/>
      </c>
      <c r="T231" s="96" t="str">
        <f>IF(S231="","",IFERROR(MATCH(S231,'MTRs'!$A$6:$A$505,0),""))</f>
        <v/>
      </c>
      <c r="U231" s="96">
        <f>IF(T231="",0,IF(INDEX('MTRs'!$Z$6:$Z$505,T231)=1,1,0))</f>
        <v>0</v>
      </c>
      <c r="V231" s="96">
        <f>IF(C231="",0,IF(ISNUMBER(MATCH(C231,'CAD_RESÍDUOS'!$B$6:$B$205,0)),1,0))</f>
        <v>0</v>
      </c>
      <c r="W231" s="96">
        <f>IF(AND(ISNUMBER(G231),G231&gt;0),1,0)</f>
        <v>0</v>
      </c>
      <c r="X231" s="96" t="str">
        <f>IF(H231="","",IFERROR(IF(ISNUMBER(INDEX(cfg_fac,MATCH(H231,cfg_units,0))),IF(INDEX(cfg_fac,MATCH(H231,cfg_units,0))&gt;0,INDEX(cfg_fac,MATCH(H231,cfg_units,0)),""),""),""))</f>
        <v/>
      </c>
      <c r="Y231" s="96">
        <f>IF(AND(W231=1,ISNUMBER(I231)),1,0)</f>
        <v>0</v>
      </c>
      <c r="Z231" s="96">
        <f>IF(U231=1,INDEX('MTRs'!$AA$6:$AA$505,T231),0)</f>
        <v>0</v>
      </c>
      <c r="AA231" s="96">
        <f>IF(R231=0,0,COUNTIFS('RECEBIMENTOS'!$R$6:$R$1005,A231,'RECEBIMENTOS'!$Q$6:$Q$1005,1))</f>
        <v>0</v>
      </c>
      <c r="AB231" s="96">
        <f>IF(R231=0,0,COUNTIFS('RECEBIMENTOS'!$R$6:$R$1005,A231,'RECEBIMENTOS'!$Z$6:$Z$1005,1))</f>
        <v>0</v>
      </c>
      <c r="AC231" s="96">
        <f>IF(R231=0,0,COUNTIFS('RECEBIMENTOS'!$R$6:$R$1005,A231,'RECEBIMENTOS'!$Y$6:$Y$1005,1))</f>
        <v>0</v>
      </c>
      <c r="AD231" s="96">
        <f>IF(R231=0,0,COUNTIFS('VÍNCULOS_CDF'!$R$6:$R$1005,A231,'VÍNCULOS_CDF'!$N$6:$N$1005,1))</f>
        <v>0</v>
      </c>
      <c r="AE231" s="96">
        <f>IF(R231=0,0,COUNTIFS('VÍNCULOS_CDF'!$R$6:$R$1005,A231,'VÍNCULOS_CDF'!$AA$6:$AA$1005,1))</f>
        <v>0</v>
      </c>
      <c r="AF231" s="96">
        <f>IF(R231=0,0,COUNTIFS('VÍNCULOS_CDF'!$R$6:$R$1005,A231,'VÍNCULOS_CDF'!$Y$6:$Y$1005,1))</f>
        <v>0</v>
      </c>
      <c r="AG231" s="96" t="str">
        <f>IF(AND(R231=1,S231&lt;&gt;"",C231&lt;&gt;""),S231&amp;"|"&amp;C231&amp;"|"&amp;G231&amp;"|"&amp;H231,"")</f>
        <v/>
      </c>
      <c r="AH231" s="96">
        <f>IF(AG231="",0,IF(SUMPRODUCT(--($AG$6:$AG$1005=AG231))&gt;1,1,0))</f>
        <v>0</v>
      </c>
      <c r="AI231" s="96">
        <f>IF(R231=0,0,IF(OR(U231=0,V231=0,Y231=0,AND(AH231=1,K231&lt;&gt;"Sim")),1,0))</f>
        <v>0</v>
      </c>
      <c r="AJ231" s="96">
        <f>IF(AND(R231=1,AA231&gt;0,AB231=AA231),1,0)</f>
        <v>0</v>
      </c>
      <c r="AK231" s="96">
        <f>IF(R231=0,0,IF(AA231&gt;0,N(L231),IF(ISNUMBER(I231),I231,0)))</f>
        <v>0</v>
      </c>
      <c r="AL231" s="96">
        <f>IF(R231=0,0,IF(AND(K231&lt;&gt;"Sim",N(M231)&gt;AK231+cfg_tol),1,0))</f>
        <v>0</v>
      </c>
      <c r="AM231" s="96">
        <f>IF(R231=0,0,IF(K231="Sim",0,IF(OR(AND(AA231&gt;0,ISNUMBER(I231),ABS(I231-N(L231))&gt;cfg_tol),AL231=1),1,0)))</f>
        <v>0</v>
      </c>
      <c r="AN231" s="96">
        <f>IF(AND(R231=1,N(M231)&gt;0,OR(N(M231)&gt;=AK231-cfg_tol,K231="Sim")),1,0)</f>
        <v>0</v>
      </c>
      <c r="AO231" s="96">
        <f>IF(AND(AN231=1,AD231&gt;0,AE231=AD231,AL231=0),1,0)</f>
        <v>0</v>
      </c>
      <c r="AP231" s="96">
        <f>IF(U231=0,0,IF(AND(INDEX('MTRs'!$AX$6:$AX$505,T231)=1,Z231=0,OR(f_res="",f_res="(Todos)",C231=f_res)),1,0))</f>
        <v>0</v>
      </c>
      <c r="AQ231" s="97" t="str">
        <f>IF(U231=0,"",INDEX('MTRs'!$AZ$6:$AZ$505,T231))</f>
        <v/>
      </c>
      <c r="AR231" s="96">
        <f>IF(U231=0,0,IF(AND(INDEX('MTRs'!$BA$6:$BA$505,T231)=1,Z231=0),1,0))</f>
        <v>0</v>
      </c>
      <c r="AS231" s="96" t="str">
        <f>IF(R231=1,A231&amp;" | MTR "&amp;IF(U231=1,INDEX('MTRs'!$B$6:$B$505,T231)&amp;"","?")&amp;" | "&amp;IF(C231="","(sem resíduo)",C231),"")</f>
        <v/>
      </c>
      <c r="AT231" s="96" t="str">
        <f>IF(R231=1,COUNTIF($R$6:R231,1),"")</f>
        <v/>
      </c>
      <c r="AU231" s="96" t="str">
        <f>IF(U231=1,INDEX('MTRs'!$I$6:$I$505,T231)&amp;"","")</f>
        <v/>
      </c>
    </row>
    <row r="232">
      <c r="A232" s="89" t="inlineStr">
        <is>
          <t>IT-000227</t>
        </is>
      </c>
      <c r="B232" s="91" t="n"/>
      <c r="C232" s="91" t="n"/>
      <c r="D232" s="94" t="str">
        <f>IF(OR(R232=0,V232=0),"",INDEX('CAD_RESÍDUOS'!$E$6:$E$205,MATCH(C232,'CAD_RESÍDUOS'!$B$6:$B$205,0))&amp;"")</f>
        <v/>
      </c>
      <c r="E232" s="94" t="str">
        <f>IF(OR(R232=0,V232=0),"",INDEX('CAD_RESÍDUOS'!$C$6:$C$205,MATCH(C232,'CAD_RESÍDUOS'!$B$6:$B$205,0))&amp;"")</f>
        <v/>
      </c>
      <c r="F232" s="94" t="str">
        <f>IF(OR(R232=0,V232=0),"",INDEX('CAD_RESÍDUOS'!$G$6:$G$205,MATCH(C232,'CAD_RESÍDUOS'!$B$6:$B$205,0))&amp;"")</f>
        <v/>
      </c>
      <c r="G232" s="98" t="n"/>
      <c r="H232" s="91" t="n"/>
      <c r="I232" s="93" t="str">
        <f>IF(R232=0,"",IF(NOT(ISNUMBER(G232)),"",IF(ISNUMBER(X232),G232*X232,"UNIDADE A CONFERIR")))</f>
        <v/>
      </c>
      <c r="J232" s="91" t="n"/>
      <c r="K232" s="91" t="n"/>
      <c r="L232" s="93" t="str">
        <f>IF(R232=0,"",SUMIFS('RECEBIMENTOS'!$H$6:$H$1005,'RECEBIMENTOS'!$R$6:$R$1005,A232,'RECEBIMENTOS'!$X$6:$X$1005,1))</f>
        <v/>
      </c>
      <c r="M232" s="93" t="str">
        <f>IF(R232=0,"",SUMIFS('VÍNCULOS_CDF'!$H$6:$H$1005,'VÍNCULOS_CDF'!$R$6:$R$1005,A232,'VÍNCULOS_CDF'!$V$6:$V$1005,1))</f>
        <v/>
      </c>
      <c r="N232" s="99" t="str">
        <f>IF(OR(R232=0,AA232=0,NOT(ISNUMBER(I232))),"",I232-N(L232))</f>
        <v/>
      </c>
      <c r="O232" s="100" t="str">
        <f>IF(OR(R232=0,AK232&lt;=0),"",N(M232)/AK232)</f>
        <v/>
      </c>
      <c r="P232" s="94" t="str">
        <f>IF(R232=0,"",IF(S232="","Sem MTR associado",IF(U232=0,"MTR inexistente",IF(C232="","Resíduo não identificado",IF(V232=0,"Resíduo fora do cadastro",IF(W232=0,"Quantidade inválida",IF(H232="","Unidade não informada",IF(NOT(ISNUMBER(I232)),"Unidade a conferir",IF(AND(AH232=1,K232&lt;&gt;"Sim"),"Possível duplicidade",IF(Z232=1,"MTR cancelado",IF(AC232&gt;0,"Recebimento com alerta",IF(AA232=0,"Aguardando recebimento",IF(AB232&lt;AA232,"Recebimento a conferir",IF(AM232=1,"Quantidade a revisar",IF(AF232&gt;0,"Vínculo a revisar",IF(AD232=0,"Aguardando CDF",IF(AN232=0,"Vínculo de CDF parcial",IF(AE232&lt;AD232,"CDF a conferir","Documentação conferida"))))))))))))))))))</f>
        <v/>
      </c>
      <c r="Q232" s="93" t="str">
        <f>IF(OR(R232=0,AA232=0),"",MAX(0,N(L232)-N(M232)))</f>
        <v/>
      </c>
      <c r="R232" s="96">
        <f>IF(COUNTA(B232:C232,G232:H232,J232:K232)&gt;0,1,0)</f>
        <v>0</v>
      </c>
      <c r="S232" s="96" t="str">
        <f>IF(B232="","",TRIM(LEFT(B232,FIND(" |",B232&amp;" |")-1)))</f>
        <v/>
      </c>
      <c r="T232" s="96" t="str">
        <f>IF(S232="","",IFERROR(MATCH(S232,'MTRs'!$A$6:$A$505,0),""))</f>
        <v/>
      </c>
      <c r="U232" s="96">
        <f>IF(T232="",0,IF(INDEX('MTRs'!$Z$6:$Z$505,T232)=1,1,0))</f>
        <v>0</v>
      </c>
      <c r="V232" s="96">
        <f>IF(C232="",0,IF(ISNUMBER(MATCH(C232,'CAD_RESÍDUOS'!$B$6:$B$205,0)),1,0))</f>
        <v>0</v>
      </c>
      <c r="W232" s="96">
        <f>IF(AND(ISNUMBER(G232),G232&gt;0),1,0)</f>
        <v>0</v>
      </c>
      <c r="X232" s="96" t="str">
        <f>IF(H232="","",IFERROR(IF(ISNUMBER(INDEX(cfg_fac,MATCH(H232,cfg_units,0))),IF(INDEX(cfg_fac,MATCH(H232,cfg_units,0))&gt;0,INDEX(cfg_fac,MATCH(H232,cfg_units,0)),""),""),""))</f>
        <v/>
      </c>
      <c r="Y232" s="96">
        <f>IF(AND(W232=1,ISNUMBER(I232)),1,0)</f>
        <v>0</v>
      </c>
      <c r="Z232" s="96">
        <f>IF(U232=1,INDEX('MTRs'!$AA$6:$AA$505,T232),0)</f>
        <v>0</v>
      </c>
      <c r="AA232" s="96">
        <f>IF(R232=0,0,COUNTIFS('RECEBIMENTOS'!$R$6:$R$1005,A232,'RECEBIMENTOS'!$Q$6:$Q$1005,1))</f>
        <v>0</v>
      </c>
      <c r="AB232" s="96">
        <f>IF(R232=0,0,COUNTIFS('RECEBIMENTOS'!$R$6:$R$1005,A232,'RECEBIMENTOS'!$Z$6:$Z$1005,1))</f>
        <v>0</v>
      </c>
      <c r="AC232" s="96">
        <f>IF(R232=0,0,COUNTIFS('RECEBIMENTOS'!$R$6:$R$1005,A232,'RECEBIMENTOS'!$Y$6:$Y$1005,1))</f>
        <v>0</v>
      </c>
      <c r="AD232" s="96">
        <f>IF(R232=0,0,COUNTIFS('VÍNCULOS_CDF'!$R$6:$R$1005,A232,'VÍNCULOS_CDF'!$N$6:$N$1005,1))</f>
        <v>0</v>
      </c>
      <c r="AE232" s="96">
        <f>IF(R232=0,0,COUNTIFS('VÍNCULOS_CDF'!$R$6:$R$1005,A232,'VÍNCULOS_CDF'!$AA$6:$AA$1005,1))</f>
        <v>0</v>
      </c>
      <c r="AF232" s="96">
        <f>IF(R232=0,0,COUNTIFS('VÍNCULOS_CDF'!$R$6:$R$1005,A232,'VÍNCULOS_CDF'!$Y$6:$Y$1005,1))</f>
        <v>0</v>
      </c>
      <c r="AG232" s="96" t="str">
        <f>IF(AND(R232=1,S232&lt;&gt;"",C232&lt;&gt;""),S232&amp;"|"&amp;C232&amp;"|"&amp;G232&amp;"|"&amp;H232,"")</f>
        <v/>
      </c>
      <c r="AH232" s="96">
        <f>IF(AG232="",0,IF(SUMPRODUCT(--($AG$6:$AG$1005=AG232))&gt;1,1,0))</f>
        <v>0</v>
      </c>
      <c r="AI232" s="96">
        <f>IF(R232=0,0,IF(OR(U232=0,V232=0,Y232=0,AND(AH232=1,K232&lt;&gt;"Sim")),1,0))</f>
        <v>0</v>
      </c>
      <c r="AJ232" s="96">
        <f>IF(AND(R232=1,AA232&gt;0,AB232=AA232),1,0)</f>
        <v>0</v>
      </c>
      <c r="AK232" s="96">
        <f>IF(R232=0,0,IF(AA232&gt;0,N(L232),IF(ISNUMBER(I232),I232,0)))</f>
        <v>0</v>
      </c>
      <c r="AL232" s="96">
        <f>IF(R232=0,0,IF(AND(K232&lt;&gt;"Sim",N(M232)&gt;AK232+cfg_tol),1,0))</f>
        <v>0</v>
      </c>
      <c r="AM232" s="96">
        <f>IF(R232=0,0,IF(K232="Sim",0,IF(OR(AND(AA232&gt;0,ISNUMBER(I232),ABS(I232-N(L232))&gt;cfg_tol),AL232=1),1,0)))</f>
        <v>0</v>
      </c>
      <c r="AN232" s="96">
        <f>IF(AND(R232=1,N(M232)&gt;0,OR(N(M232)&gt;=AK232-cfg_tol,K232="Sim")),1,0)</f>
        <v>0</v>
      </c>
      <c r="AO232" s="96">
        <f>IF(AND(AN232=1,AD232&gt;0,AE232=AD232,AL232=0),1,0)</f>
        <v>0</v>
      </c>
      <c r="AP232" s="96">
        <f>IF(U232=0,0,IF(AND(INDEX('MTRs'!$AX$6:$AX$505,T232)=1,Z232=0,OR(f_res="",f_res="(Todos)",C232=f_res)),1,0))</f>
        <v>0</v>
      </c>
      <c r="AQ232" s="97" t="str">
        <f>IF(U232=0,"",INDEX('MTRs'!$AZ$6:$AZ$505,T232))</f>
        <v/>
      </c>
      <c r="AR232" s="96">
        <f>IF(U232=0,0,IF(AND(INDEX('MTRs'!$BA$6:$BA$505,T232)=1,Z232=0),1,0))</f>
        <v>0</v>
      </c>
      <c r="AS232" s="96" t="str">
        <f>IF(R232=1,A232&amp;" | MTR "&amp;IF(U232=1,INDEX('MTRs'!$B$6:$B$505,T232)&amp;"","?")&amp;" | "&amp;IF(C232="","(sem resíduo)",C232),"")</f>
        <v/>
      </c>
      <c r="AT232" s="96" t="str">
        <f>IF(R232=1,COUNTIF($R$6:R232,1),"")</f>
        <v/>
      </c>
      <c r="AU232" s="96" t="str">
        <f>IF(U232=1,INDEX('MTRs'!$I$6:$I$505,T232)&amp;"","")</f>
        <v/>
      </c>
    </row>
    <row r="233">
      <c r="A233" s="89" t="inlineStr">
        <is>
          <t>IT-000228</t>
        </is>
      </c>
      <c r="B233" s="91" t="n"/>
      <c r="C233" s="91" t="n"/>
      <c r="D233" s="94" t="str">
        <f>IF(OR(R233=0,V233=0),"",INDEX('CAD_RESÍDUOS'!$E$6:$E$205,MATCH(C233,'CAD_RESÍDUOS'!$B$6:$B$205,0))&amp;"")</f>
        <v/>
      </c>
      <c r="E233" s="94" t="str">
        <f>IF(OR(R233=0,V233=0),"",INDEX('CAD_RESÍDUOS'!$C$6:$C$205,MATCH(C233,'CAD_RESÍDUOS'!$B$6:$B$205,0))&amp;"")</f>
        <v/>
      </c>
      <c r="F233" s="94" t="str">
        <f>IF(OR(R233=0,V233=0),"",INDEX('CAD_RESÍDUOS'!$G$6:$G$205,MATCH(C233,'CAD_RESÍDUOS'!$B$6:$B$205,0))&amp;"")</f>
        <v/>
      </c>
      <c r="G233" s="98" t="n"/>
      <c r="H233" s="91" t="n"/>
      <c r="I233" s="93" t="str">
        <f>IF(R233=0,"",IF(NOT(ISNUMBER(G233)),"",IF(ISNUMBER(X233),G233*X233,"UNIDADE A CONFERIR")))</f>
        <v/>
      </c>
      <c r="J233" s="91" t="n"/>
      <c r="K233" s="91" t="n"/>
      <c r="L233" s="93" t="str">
        <f>IF(R233=0,"",SUMIFS('RECEBIMENTOS'!$H$6:$H$1005,'RECEBIMENTOS'!$R$6:$R$1005,A233,'RECEBIMENTOS'!$X$6:$X$1005,1))</f>
        <v/>
      </c>
      <c r="M233" s="93" t="str">
        <f>IF(R233=0,"",SUMIFS('VÍNCULOS_CDF'!$H$6:$H$1005,'VÍNCULOS_CDF'!$R$6:$R$1005,A233,'VÍNCULOS_CDF'!$V$6:$V$1005,1))</f>
        <v/>
      </c>
      <c r="N233" s="99" t="str">
        <f>IF(OR(R233=0,AA233=0,NOT(ISNUMBER(I233))),"",I233-N(L233))</f>
        <v/>
      </c>
      <c r="O233" s="100" t="str">
        <f>IF(OR(R233=0,AK233&lt;=0),"",N(M233)/AK233)</f>
        <v/>
      </c>
      <c r="P233" s="94" t="str">
        <f>IF(R233=0,"",IF(S233="","Sem MTR associado",IF(U233=0,"MTR inexistente",IF(C233="","Resíduo não identificado",IF(V233=0,"Resíduo fora do cadastro",IF(W233=0,"Quantidade inválida",IF(H233="","Unidade não informada",IF(NOT(ISNUMBER(I233)),"Unidade a conferir",IF(AND(AH233=1,K233&lt;&gt;"Sim"),"Possível duplicidade",IF(Z233=1,"MTR cancelado",IF(AC233&gt;0,"Recebimento com alerta",IF(AA233=0,"Aguardando recebimento",IF(AB233&lt;AA233,"Recebimento a conferir",IF(AM233=1,"Quantidade a revisar",IF(AF233&gt;0,"Vínculo a revisar",IF(AD233=0,"Aguardando CDF",IF(AN233=0,"Vínculo de CDF parcial",IF(AE233&lt;AD233,"CDF a conferir","Documentação conferida"))))))))))))))))))</f>
        <v/>
      </c>
      <c r="Q233" s="93" t="str">
        <f>IF(OR(R233=0,AA233=0),"",MAX(0,N(L233)-N(M233)))</f>
        <v/>
      </c>
      <c r="R233" s="96">
        <f>IF(COUNTA(B233:C233,G233:H233,J233:K233)&gt;0,1,0)</f>
        <v>0</v>
      </c>
      <c r="S233" s="96" t="str">
        <f>IF(B233="","",TRIM(LEFT(B233,FIND(" |",B233&amp;" |")-1)))</f>
        <v/>
      </c>
      <c r="T233" s="96" t="str">
        <f>IF(S233="","",IFERROR(MATCH(S233,'MTRs'!$A$6:$A$505,0),""))</f>
        <v/>
      </c>
      <c r="U233" s="96">
        <f>IF(T233="",0,IF(INDEX('MTRs'!$Z$6:$Z$505,T233)=1,1,0))</f>
        <v>0</v>
      </c>
      <c r="V233" s="96">
        <f>IF(C233="",0,IF(ISNUMBER(MATCH(C233,'CAD_RESÍDUOS'!$B$6:$B$205,0)),1,0))</f>
        <v>0</v>
      </c>
      <c r="W233" s="96">
        <f>IF(AND(ISNUMBER(G233),G233&gt;0),1,0)</f>
        <v>0</v>
      </c>
      <c r="X233" s="96" t="str">
        <f>IF(H233="","",IFERROR(IF(ISNUMBER(INDEX(cfg_fac,MATCH(H233,cfg_units,0))),IF(INDEX(cfg_fac,MATCH(H233,cfg_units,0))&gt;0,INDEX(cfg_fac,MATCH(H233,cfg_units,0)),""),""),""))</f>
        <v/>
      </c>
      <c r="Y233" s="96">
        <f>IF(AND(W233=1,ISNUMBER(I233)),1,0)</f>
        <v>0</v>
      </c>
      <c r="Z233" s="96">
        <f>IF(U233=1,INDEX('MTRs'!$AA$6:$AA$505,T233),0)</f>
        <v>0</v>
      </c>
      <c r="AA233" s="96">
        <f>IF(R233=0,0,COUNTIFS('RECEBIMENTOS'!$R$6:$R$1005,A233,'RECEBIMENTOS'!$Q$6:$Q$1005,1))</f>
        <v>0</v>
      </c>
      <c r="AB233" s="96">
        <f>IF(R233=0,0,COUNTIFS('RECEBIMENTOS'!$R$6:$R$1005,A233,'RECEBIMENTOS'!$Z$6:$Z$1005,1))</f>
        <v>0</v>
      </c>
      <c r="AC233" s="96">
        <f>IF(R233=0,0,COUNTIFS('RECEBIMENTOS'!$R$6:$R$1005,A233,'RECEBIMENTOS'!$Y$6:$Y$1005,1))</f>
        <v>0</v>
      </c>
      <c r="AD233" s="96">
        <f>IF(R233=0,0,COUNTIFS('VÍNCULOS_CDF'!$R$6:$R$1005,A233,'VÍNCULOS_CDF'!$N$6:$N$1005,1))</f>
        <v>0</v>
      </c>
      <c r="AE233" s="96">
        <f>IF(R233=0,0,COUNTIFS('VÍNCULOS_CDF'!$R$6:$R$1005,A233,'VÍNCULOS_CDF'!$AA$6:$AA$1005,1))</f>
        <v>0</v>
      </c>
      <c r="AF233" s="96">
        <f>IF(R233=0,0,COUNTIFS('VÍNCULOS_CDF'!$R$6:$R$1005,A233,'VÍNCULOS_CDF'!$Y$6:$Y$1005,1))</f>
        <v>0</v>
      </c>
      <c r="AG233" s="96" t="str">
        <f>IF(AND(R233=1,S233&lt;&gt;"",C233&lt;&gt;""),S233&amp;"|"&amp;C233&amp;"|"&amp;G233&amp;"|"&amp;H233,"")</f>
        <v/>
      </c>
      <c r="AH233" s="96">
        <f>IF(AG233="",0,IF(SUMPRODUCT(--($AG$6:$AG$1005=AG233))&gt;1,1,0))</f>
        <v>0</v>
      </c>
      <c r="AI233" s="96">
        <f>IF(R233=0,0,IF(OR(U233=0,V233=0,Y233=0,AND(AH233=1,K233&lt;&gt;"Sim")),1,0))</f>
        <v>0</v>
      </c>
      <c r="AJ233" s="96">
        <f>IF(AND(R233=1,AA233&gt;0,AB233=AA233),1,0)</f>
        <v>0</v>
      </c>
      <c r="AK233" s="96">
        <f>IF(R233=0,0,IF(AA233&gt;0,N(L233),IF(ISNUMBER(I233),I233,0)))</f>
        <v>0</v>
      </c>
      <c r="AL233" s="96">
        <f>IF(R233=0,0,IF(AND(K233&lt;&gt;"Sim",N(M233)&gt;AK233+cfg_tol),1,0))</f>
        <v>0</v>
      </c>
      <c r="AM233" s="96">
        <f>IF(R233=0,0,IF(K233="Sim",0,IF(OR(AND(AA233&gt;0,ISNUMBER(I233),ABS(I233-N(L233))&gt;cfg_tol),AL233=1),1,0)))</f>
        <v>0</v>
      </c>
      <c r="AN233" s="96">
        <f>IF(AND(R233=1,N(M233)&gt;0,OR(N(M233)&gt;=AK233-cfg_tol,K233="Sim")),1,0)</f>
        <v>0</v>
      </c>
      <c r="AO233" s="96">
        <f>IF(AND(AN233=1,AD233&gt;0,AE233=AD233,AL233=0),1,0)</f>
        <v>0</v>
      </c>
      <c r="AP233" s="96">
        <f>IF(U233=0,0,IF(AND(INDEX('MTRs'!$AX$6:$AX$505,T233)=1,Z233=0,OR(f_res="",f_res="(Todos)",C233=f_res)),1,0))</f>
        <v>0</v>
      </c>
      <c r="AQ233" s="97" t="str">
        <f>IF(U233=0,"",INDEX('MTRs'!$AZ$6:$AZ$505,T233))</f>
        <v/>
      </c>
      <c r="AR233" s="96">
        <f>IF(U233=0,0,IF(AND(INDEX('MTRs'!$BA$6:$BA$505,T233)=1,Z233=0),1,0))</f>
        <v>0</v>
      </c>
      <c r="AS233" s="96" t="str">
        <f>IF(R233=1,A233&amp;" | MTR "&amp;IF(U233=1,INDEX('MTRs'!$B$6:$B$505,T233)&amp;"","?")&amp;" | "&amp;IF(C233="","(sem resíduo)",C233),"")</f>
        <v/>
      </c>
      <c r="AT233" s="96" t="str">
        <f>IF(R233=1,COUNTIF($R$6:R233,1),"")</f>
        <v/>
      </c>
      <c r="AU233" s="96" t="str">
        <f>IF(U233=1,INDEX('MTRs'!$I$6:$I$505,T233)&amp;"","")</f>
        <v/>
      </c>
    </row>
    <row r="234">
      <c r="A234" s="89" t="inlineStr">
        <is>
          <t>IT-000229</t>
        </is>
      </c>
      <c r="B234" s="91" t="n"/>
      <c r="C234" s="91" t="n"/>
      <c r="D234" s="94" t="str">
        <f>IF(OR(R234=0,V234=0),"",INDEX('CAD_RESÍDUOS'!$E$6:$E$205,MATCH(C234,'CAD_RESÍDUOS'!$B$6:$B$205,0))&amp;"")</f>
        <v/>
      </c>
      <c r="E234" s="94" t="str">
        <f>IF(OR(R234=0,V234=0),"",INDEX('CAD_RESÍDUOS'!$C$6:$C$205,MATCH(C234,'CAD_RESÍDUOS'!$B$6:$B$205,0))&amp;"")</f>
        <v/>
      </c>
      <c r="F234" s="94" t="str">
        <f>IF(OR(R234=0,V234=0),"",INDEX('CAD_RESÍDUOS'!$G$6:$G$205,MATCH(C234,'CAD_RESÍDUOS'!$B$6:$B$205,0))&amp;"")</f>
        <v/>
      </c>
      <c r="G234" s="98" t="n"/>
      <c r="H234" s="91" t="n"/>
      <c r="I234" s="93" t="str">
        <f>IF(R234=0,"",IF(NOT(ISNUMBER(G234)),"",IF(ISNUMBER(X234),G234*X234,"UNIDADE A CONFERIR")))</f>
        <v/>
      </c>
      <c r="J234" s="91" t="n"/>
      <c r="K234" s="91" t="n"/>
      <c r="L234" s="93" t="str">
        <f>IF(R234=0,"",SUMIFS('RECEBIMENTOS'!$H$6:$H$1005,'RECEBIMENTOS'!$R$6:$R$1005,A234,'RECEBIMENTOS'!$X$6:$X$1005,1))</f>
        <v/>
      </c>
      <c r="M234" s="93" t="str">
        <f>IF(R234=0,"",SUMIFS('VÍNCULOS_CDF'!$H$6:$H$1005,'VÍNCULOS_CDF'!$R$6:$R$1005,A234,'VÍNCULOS_CDF'!$V$6:$V$1005,1))</f>
        <v/>
      </c>
      <c r="N234" s="99" t="str">
        <f>IF(OR(R234=0,AA234=0,NOT(ISNUMBER(I234))),"",I234-N(L234))</f>
        <v/>
      </c>
      <c r="O234" s="100" t="str">
        <f>IF(OR(R234=0,AK234&lt;=0),"",N(M234)/AK234)</f>
        <v/>
      </c>
      <c r="P234" s="94" t="str">
        <f>IF(R234=0,"",IF(S234="","Sem MTR associado",IF(U234=0,"MTR inexistente",IF(C234="","Resíduo não identificado",IF(V234=0,"Resíduo fora do cadastro",IF(W234=0,"Quantidade inválida",IF(H234="","Unidade não informada",IF(NOT(ISNUMBER(I234)),"Unidade a conferir",IF(AND(AH234=1,K234&lt;&gt;"Sim"),"Possível duplicidade",IF(Z234=1,"MTR cancelado",IF(AC234&gt;0,"Recebimento com alerta",IF(AA234=0,"Aguardando recebimento",IF(AB234&lt;AA234,"Recebimento a conferir",IF(AM234=1,"Quantidade a revisar",IF(AF234&gt;0,"Vínculo a revisar",IF(AD234=0,"Aguardando CDF",IF(AN234=0,"Vínculo de CDF parcial",IF(AE234&lt;AD234,"CDF a conferir","Documentação conferida"))))))))))))))))))</f>
        <v/>
      </c>
      <c r="Q234" s="93" t="str">
        <f>IF(OR(R234=0,AA234=0),"",MAX(0,N(L234)-N(M234)))</f>
        <v/>
      </c>
      <c r="R234" s="96">
        <f>IF(COUNTA(B234:C234,G234:H234,J234:K234)&gt;0,1,0)</f>
        <v>0</v>
      </c>
      <c r="S234" s="96" t="str">
        <f>IF(B234="","",TRIM(LEFT(B234,FIND(" |",B234&amp;" |")-1)))</f>
        <v/>
      </c>
      <c r="T234" s="96" t="str">
        <f>IF(S234="","",IFERROR(MATCH(S234,'MTRs'!$A$6:$A$505,0),""))</f>
        <v/>
      </c>
      <c r="U234" s="96">
        <f>IF(T234="",0,IF(INDEX('MTRs'!$Z$6:$Z$505,T234)=1,1,0))</f>
        <v>0</v>
      </c>
      <c r="V234" s="96">
        <f>IF(C234="",0,IF(ISNUMBER(MATCH(C234,'CAD_RESÍDUOS'!$B$6:$B$205,0)),1,0))</f>
        <v>0</v>
      </c>
      <c r="W234" s="96">
        <f>IF(AND(ISNUMBER(G234),G234&gt;0),1,0)</f>
        <v>0</v>
      </c>
      <c r="X234" s="96" t="str">
        <f>IF(H234="","",IFERROR(IF(ISNUMBER(INDEX(cfg_fac,MATCH(H234,cfg_units,0))),IF(INDEX(cfg_fac,MATCH(H234,cfg_units,0))&gt;0,INDEX(cfg_fac,MATCH(H234,cfg_units,0)),""),""),""))</f>
        <v/>
      </c>
      <c r="Y234" s="96">
        <f>IF(AND(W234=1,ISNUMBER(I234)),1,0)</f>
        <v>0</v>
      </c>
      <c r="Z234" s="96">
        <f>IF(U234=1,INDEX('MTRs'!$AA$6:$AA$505,T234),0)</f>
        <v>0</v>
      </c>
      <c r="AA234" s="96">
        <f>IF(R234=0,0,COUNTIFS('RECEBIMENTOS'!$R$6:$R$1005,A234,'RECEBIMENTOS'!$Q$6:$Q$1005,1))</f>
        <v>0</v>
      </c>
      <c r="AB234" s="96">
        <f>IF(R234=0,0,COUNTIFS('RECEBIMENTOS'!$R$6:$R$1005,A234,'RECEBIMENTOS'!$Z$6:$Z$1005,1))</f>
        <v>0</v>
      </c>
      <c r="AC234" s="96">
        <f>IF(R234=0,0,COUNTIFS('RECEBIMENTOS'!$R$6:$R$1005,A234,'RECEBIMENTOS'!$Y$6:$Y$1005,1))</f>
        <v>0</v>
      </c>
      <c r="AD234" s="96">
        <f>IF(R234=0,0,COUNTIFS('VÍNCULOS_CDF'!$R$6:$R$1005,A234,'VÍNCULOS_CDF'!$N$6:$N$1005,1))</f>
        <v>0</v>
      </c>
      <c r="AE234" s="96">
        <f>IF(R234=0,0,COUNTIFS('VÍNCULOS_CDF'!$R$6:$R$1005,A234,'VÍNCULOS_CDF'!$AA$6:$AA$1005,1))</f>
        <v>0</v>
      </c>
      <c r="AF234" s="96">
        <f>IF(R234=0,0,COUNTIFS('VÍNCULOS_CDF'!$R$6:$R$1005,A234,'VÍNCULOS_CDF'!$Y$6:$Y$1005,1))</f>
        <v>0</v>
      </c>
      <c r="AG234" s="96" t="str">
        <f>IF(AND(R234=1,S234&lt;&gt;"",C234&lt;&gt;""),S234&amp;"|"&amp;C234&amp;"|"&amp;G234&amp;"|"&amp;H234,"")</f>
        <v/>
      </c>
      <c r="AH234" s="96">
        <f>IF(AG234="",0,IF(SUMPRODUCT(--($AG$6:$AG$1005=AG234))&gt;1,1,0))</f>
        <v>0</v>
      </c>
      <c r="AI234" s="96">
        <f>IF(R234=0,0,IF(OR(U234=0,V234=0,Y234=0,AND(AH234=1,K234&lt;&gt;"Sim")),1,0))</f>
        <v>0</v>
      </c>
      <c r="AJ234" s="96">
        <f>IF(AND(R234=1,AA234&gt;0,AB234=AA234),1,0)</f>
        <v>0</v>
      </c>
      <c r="AK234" s="96">
        <f>IF(R234=0,0,IF(AA234&gt;0,N(L234),IF(ISNUMBER(I234),I234,0)))</f>
        <v>0</v>
      </c>
      <c r="AL234" s="96">
        <f>IF(R234=0,0,IF(AND(K234&lt;&gt;"Sim",N(M234)&gt;AK234+cfg_tol),1,0))</f>
        <v>0</v>
      </c>
      <c r="AM234" s="96">
        <f>IF(R234=0,0,IF(K234="Sim",0,IF(OR(AND(AA234&gt;0,ISNUMBER(I234),ABS(I234-N(L234))&gt;cfg_tol),AL234=1),1,0)))</f>
        <v>0</v>
      </c>
      <c r="AN234" s="96">
        <f>IF(AND(R234=1,N(M234)&gt;0,OR(N(M234)&gt;=AK234-cfg_tol,K234="Sim")),1,0)</f>
        <v>0</v>
      </c>
      <c r="AO234" s="96">
        <f>IF(AND(AN234=1,AD234&gt;0,AE234=AD234,AL234=0),1,0)</f>
        <v>0</v>
      </c>
      <c r="AP234" s="96">
        <f>IF(U234=0,0,IF(AND(INDEX('MTRs'!$AX$6:$AX$505,T234)=1,Z234=0,OR(f_res="",f_res="(Todos)",C234=f_res)),1,0))</f>
        <v>0</v>
      </c>
      <c r="AQ234" s="97" t="str">
        <f>IF(U234=0,"",INDEX('MTRs'!$AZ$6:$AZ$505,T234))</f>
        <v/>
      </c>
      <c r="AR234" s="96">
        <f>IF(U234=0,0,IF(AND(INDEX('MTRs'!$BA$6:$BA$505,T234)=1,Z234=0),1,0))</f>
        <v>0</v>
      </c>
      <c r="AS234" s="96" t="str">
        <f>IF(R234=1,A234&amp;" | MTR "&amp;IF(U234=1,INDEX('MTRs'!$B$6:$B$505,T234)&amp;"","?")&amp;" | "&amp;IF(C234="","(sem resíduo)",C234),"")</f>
        <v/>
      </c>
      <c r="AT234" s="96" t="str">
        <f>IF(R234=1,COUNTIF($R$6:R234,1),"")</f>
        <v/>
      </c>
      <c r="AU234" s="96" t="str">
        <f>IF(U234=1,INDEX('MTRs'!$I$6:$I$505,T234)&amp;"","")</f>
        <v/>
      </c>
    </row>
    <row r="235">
      <c r="A235" s="89" t="inlineStr">
        <is>
          <t>IT-000230</t>
        </is>
      </c>
      <c r="B235" s="91" t="n"/>
      <c r="C235" s="91" t="n"/>
      <c r="D235" s="94" t="str">
        <f>IF(OR(R235=0,V235=0),"",INDEX('CAD_RESÍDUOS'!$E$6:$E$205,MATCH(C235,'CAD_RESÍDUOS'!$B$6:$B$205,0))&amp;"")</f>
        <v/>
      </c>
      <c r="E235" s="94" t="str">
        <f>IF(OR(R235=0,V235=0),"",INDEX('CAD_RESÍDUOS'!$C$6:$C$205,MATCH(C235,'CAD_RESÍDUOS'!$B$6:$B$205,0))&amp;"")</f>
        <v/>
      </c>
      <c r="F235" s="94" t="str">
        <f>IF(OR(R235=0,V235=0),"",INDEX('CAD_RESÍDUOS'!$G$6:$G$205,MATCH(C235,'CAD_RESÍDUOS'!$B$6:$B$205,0))&amp;"")</f>
        <v/>
      </c>
      <c r="G235" s="98" t="n"/>
      <c r="H235" s="91" t="n"/>
      <c r="I235" s="93" t="str">
        <f>IF(R235=0,"",IF(NOT(ISNUMBER(G235)),"",IF(ISNUMBER(X235),G235*X235,"UNIDADE A CONFERIR")))</f>
        <v/>
      </c>
      <c r="J235" s="91" t="n"/>
      <c r="K235" s="91" t="n"/>
      <c r="L235" s="93" t="str">
        <f>IF(R235=0,"",SUMIFS('RECEBIMENTOS'!$H$6:$H$1005,'RECEBIMENTOS'!$R$6:$R$1005,A235,'RECEBIMENTOS'!$X$6:$X$1005,1))</f>
        <v/>
      </c>
      <c r="M235" s="93" t="str">
        <f>IF(R235=0,"",SUMIFS('VÍNCULOS_CDF'!$H$6:$H$1005,'VÍNCULOS_CDF'!$R$6:$R$1005,A235,'VÍNCULOS_CDF'!$V$6:$V$1005,1))</f>
        <v/>
      </c>
      <c r="N235" s="99" t="str">
        <f>IF(OR(R235=0,AA235=0,NOT(ISNUMBER(I235))),"",I235-N(L235))</f>
        <v/>
      </c>
      <c r="O235" s="100" t="str">
        <f>IF(OR(R235=0,AK235&lt;=0),"",N(M235)/AK235)</f>
        <v/>
      </c>
      <c r="P235" s="94" t="str">
        <f>IF(R235=0,"",IF(S235="","Sem MTR associado",IF(U235=0,"MTR inexistente",IF(C235="","Resíduo não identificado",IF(V235=0,"Resíduo fora do cadastro",IF(W235=0,"Quantidade inválida",IF(H235="","Unidade não informada",IF(NOT(ISNUMBER(I235)),"Unidade a conferir",IF(AND(AH235=1,K235&lt;&gt;"Sim"),"Possível duplicidade",IF(Z235=1,"MTR cancelado",IF(AC235&gt;0,"Recebimento com alerta",IF(AA235=0,"Aguardando recebimento",IF(AB235&lt;AA235,"Recebimento a conferir",IF(AM235=1,"Quantidade a revisar",IF(AF235&gt;0,"Vínculo a revisar",IF(AD235=0,"Aguardando CDF",IF(AN235=0,"Vínculo de CDF parcial",IF(AE235&lt;AD235,"CDF a conferir","Documentação conferida"))))))))))))))))))</f>
        <v/>
      </c>
      <c r="Q235" s="93" t="str">
        <f>IF(OR(R235=0,AA235=0),"",MAX(0,N(L235)-N(M235)))</f>
        <v/>
      </c>
      <c r="R235" s="96">
        <f>IF(COUNTA(B235:C235,G235:H235,J235:K235)&gt;0,1,0)</f>
        <v>0</v>
      </c>
      <c r="S235" s="96" t="str">
        <f>IF(B235="","",TRIM(LEFT(B235,FIND(" |",B235&amp;" |")-1)))</f>
        <v/>
      </c>
      <c r="T235" s="96" t="str">
        <f>IF(S235="","",IFERROR(MATCH(S235,'MTRs'!$A$6:$A$505,0),""))</f>
        <v/>
      </c>
      <c r="U235" s="96">
        <f>IF(T235="",0,IF(INDEX('MTRs'!$Z$6:$Z$505,T235)=1,1,0))</f>
        <v>0</v>
      </c>
      <c r="V235" s="96">
        <f>IF(C235="",0,IF(ISNUMBER(MATCH(C235,'CAD_RESÍDUOS'!$B$6:$B$205,0)),1,0))</f>
        <v>0</v>
      </c>
      <c r="W235" s="96">
        <f>IF(AND(ISNUMBER(G235),G235&gt;0),1,0)</f>
        <v>0</v>
      </c>
      <c r="X235" s="96" t="str">
        <f>IF(H235="","",IFERROR(IF(ISNUMBER(INDEX(cfg_fac,MATCH(H235,cfg_units,0))),IF(INDEX(cfg_fac,MATCH(H235,cfg_units,0))&gt;0,INDEX(cfg_fac,MATCH(H235,cfg_units,0)),""),""),""))</f>
        <v/>
      </c>
      <c r="Y235" s="96">
        <f>IF(AND(W235=1,ISNUMBER(I235)),1,0)</f>
        <v>0</v>
      </c>
      <c r="Z235" s="96">
        <f>IF(U235=1,INDEX('MTRs'!$AA$6:$AA$505,T235),0)</f>
        <v>0</v>
      </c>
      <c r="AA235" s="96">
        <f>IF(R235=0,0,COUNTIFS('RECEBIMENTOS'!$R$6:$R$1005,A235,'RECEBIMENTOS'!$Q$6:$Q$1005,1))</f>
        <v>0</v>
      </c>
      <c r="AB235" s="96">
        <f>IF(R235=0,0,COUNTIFS('RECEBIMENTOS'!$R$6:$R$1005,A235,'RECEBIMENTOS'!$Z$6:$Z$1005,1))</f>
        <v>0</v>
      </c>
      <c r="AC235" s="96">
        <f>IF(R235=0,0,COUNTIFS('RECEBIMENTOS'!$R$6:$R$1005,A235,'RECEBIMENTOS'!$Y$6:$Y$1005,1))</f>
        <v>0</v>
      </c>
      <c r="AD235" s="96">
        <f>IF(R235=0,0,COUNTIFS('VÍNCULOS_CDF'!$R$6:$R$1005,A235,'VÍNCULOS_CDF'!$N$6:$N$1005,1))</f>
        <v>0</v>
      </c>
      <c r="AE235" s="96">
        <f>IF(R235=0,0,COUNTIFS('VÍNCULOS_CDF'!$R$6:$R$1005,A235,'VÍNCULOS_CDF'!$AA$6:$AA$1005,1))</f>
        <v>0</v>
      </c>
      <c r="AF235" s="96">
        <f>IF(R235=0,0,COUNTIFS('VÍNCULOS_CDF'!$R$6:$R$1005,A235,'VÍNCULOS_CDF'!$Y$6:$Y$1005,1))</f>
        <v>0</v>
      </c>
      <c r="AG235" s="96" t="str">
        <f>IF(AND(R235=1,S235&lt;&gt;"",C235&lt;&gt;""),S235&amp;"|"&amp;C235&amp;"|"&amp;G235&amp;"|"&amp;H235,"")</f>
        <v/>
      </c>
      <c r="AH235" s="96">
        <f>IF(AG235="",0,IF(SUMPRODUCT(--($AG$6:$AG$1005=AG235))&gt;1,1,0))</f>
        <v>0</v>
      </c>
      <c r="AI235" s="96">
        <f>IF(R235=0,0,IF(OR(U235=0,V235=0,Y235=0,AND(AH235=1,K235&lt;&gt;"Sim")),1,0))</f>
        <v>0</v>
      </c>
      <c r="AJ235" s="96">
        <f>IF(AND(R235=1,AA235&gt;0,AB235=AA235),1,0)</f>
        <v>0</v>
      </c>
      <c r="AK235" s="96">
        <f>IF(R235=0,0,IF(AA235&gt;0,N(L235),IF(ISNUMBER(I235),I235,0)))</f>
        <v>0</v>
      </c>
      <c r="AL235" s="96">
        <f>IF(R235=0,0,IF(AND(K235&lt;&gt;"Sim",N(M235)&gt;AK235+cfg_tol),1,0))</f>
        <v>0</v>
      </c>
      <c r="AM235" s="96">
        <f>IF(R235=0,0,IF(K235="Sim",0,IF(OR(AND(AA235&gt;0,ISNUMBER(I235),ABS(I235-N(L235))&gt;cfg_tol),AL235=1),1,0)))</f>
        <v>0</v>
      </c>
      <c r="AN235" s="96">
        <f>IF(AND(R235=1,N(M235)&gt;0,OR(N(M235)&gt;=AK235-cfg_tol,K235="Sim")),1,0)</f>
        <v>0</v>
      </c>
      <c r="AO235" s="96">
        <f>IF(AND(AN235=1,AD235&gt;0,AE235=AD235,AL235=0),1,0)</f>
        <v>0</v>
      </c>
      <c r="AP235" s="96">
        <f>IF(U235=0,0,IF(AND(INDEX('MTRs'!$AX$6:$AX$505,T235)=1,Z235=0,OR(f_res="",f_res="(Todos)",C235=f_res)),1,0))</f>
        <v>0</v>
      </c>
      <c r="AQ235" s="97" t="str">
        <f>IF(U235=0,"",INDEX('MTRs'!$AZ$6:$AZ$505,T235))</f>
        <v/>
      </c>
      <c r="AR235" s="96">
        <f>IF(U235=0,0,IF(AND(INDEX('MTRs'!$BA$6:$BA$505,T235)=1,Z235=0),1,0))</f>
        <v>0</v>
      </c>
      <c r="AS235" s="96" t="str">
        <f>IF(R235=1,A235&amp;" | MTR "&amp;IF(U235=1,INDEX('MTRs'!$B$6:$B$505,T235)&amp;"","?")&amp;" | "&amp;IF(C235="","(sem resíduo)",C235),"")</f>
        <v/>
      </c>
      <c r="AT235" s="96" t="str">
        <f>IF(R235=1,COUNTIF($R$6:R235,1),"")</f>
        <v/>
      </c>
      <c r="AU235" s="96" t="str">
        <f>IF(U235=1,INDEX('MTRs'!$I$6:$I$505,T235)&amp;"","")</f>
        <v/>
      </c>
    </row>
    <row r="236">
      <c r="A236" s="89" t="inlineStr">
        <is>
          <t>IT-000231</t>
        </is>
      </c>
      <c r="B236" s="91" t="n"/>
      <c r="C236" s="91" t="n"/>
      <c r="D236" s="94" t="str">
        <f>IF(OR(R236=0,V236=0),"",INDEX('CAD_RESÍDUOS'!$E$6:$E$205,MATCH(C236,'CAD_RESÍDUOS'!$B$6:$B$205,0))&amp;"")</f>
        <v/>
      </c>
      <c r="E236" s="94" t="str">
        <f>IF(OR(R236=0,V236=0),"",INDEX('CAD_RESÍDUOS'!$C$6:$C$205,MATCH(C236,'CAD_RESÍDUOS'!$B$6:$B$205,0))&amp;"")</f>
        <v/>
      </c>
      <c r="F236" s="94" t="str">
        <f>IF(OR(R236=0,V236=0),"",INDEX('CAD_RESÍDUOS'!$G$6:$G$205,MATCH(C236,'CAD_RESÍDUOS'!$B$6:$B$205,0))&amp;"")</f>
        <v/>
      </c>
      <c r="G236" s="98" t="n"/>
      <c r="H236" s="91" t="n"/>
      <c r="I236" s="93" t="str">
        <f>IF(R236=0,"",IF(NOT(ISNUMBER(G236)),"",IF(ISNUMBER(X236),G236*X236,"UNIDADE A CONFERIR")))</f>
        <v/>
      </c>
      <c r="J236" s="91" t="n"/>
      <c r="K236" s="91" t="n"/>
      <c r="L236" s="93" t="str">
        <f>IF(R236=0,"",SUMIFS('RECEBIMENTOS'!$H$6:$H$1005,'RECEBIMENTOS'!$R$6:$R$1005,A236,'RECEBIMENTOS'!$X$6:$X$1005,1))</f>
        <v/>
      </c>
      <c r="M236" s="93" t="str">
        <f>IF(R236=0,"",SUMIFS('VÍNCULOS_CDF'!$H$6:$H$1005,'VÍNCULOS_CDF'!$R$6:$R$1005,A236,'VÍNCULOS_CDF'!$V$6:$V$1005,1))</f>
        <v/>
      </c>
      <c r="N236" s="99" t="str">
        <f>IF(OR(R236=0,AA236=0,NOT(ISNUMBER(I236))),"",I236-N(L236))</f>
        <v/>
      </c>
      <c r="O236" s="100" t="str">
        <f>IF(OR(R236=0,AK236&lt;=0),"",N(M236)/AK236)</f>
        <v/>
      </c>
      <c r="P236" s="94" t="str">
        <f>IF(R236=0,"",IF(S236="","Sem MTR associado",IF(U236=0,"MTR inexistente",IF(C236="","Resíduo não identificado",IF(V236=0,"Resíduo fora do cadastro",IF(W236=0,"Quantidade inválida",IF(H236="","Unidade não informada",IF(NOT(ISNUMBER(I236)),"Unidade a conferir",IF(AND(AH236=1,K236&lt;&gt;"Sim"),"Possível duplicidade",IF(Z236=1,"MTR cancelado",IF(AC236&gt;0,"Recebimento com alerta",IF(AA236=0,"Aguardando recebimento",IF(AB236&lt;AA236,"Recebimento a conferir",IF(AM236=1,"Quantidade a revisar",IF(AF236&gt;0,"Vínculo a revisar",IF(AD236=0,"Aguardando CDF",IF(AN236=0,"Vínculo de CDF parcial",IF(AE236&lt;AD236,"CDF a conferir","Documentação conferida"))))))))))))))))))</f>
        <v/>
      </c>
      <c r="Q236" s="93" t="str">
        <f>IF(OR(R236=0,AA236=0),"",MAX(0,N(L236)-N(M236)))</f>
        <v/>
      </c>
      <c r="R236" s="96">
        <f>IF(COUNTA(B236:C236,G236:H236,J236:K236)&gt;0,1,0)</f>
        <v>0</v>
      </c>
      <c r="S236" s="96" t="str">
        <f>IF(B236="","",TRIM(LEFT(B236,FIND(" |",B236&amp;" |")-1)))</f>
        <v/>
      </c>
      <c r="T236" s="96" t="str">
        <f>IF(S236="","",IFERROR(MATCH(S236,'MTRs'!$A$6:$A$505,0),""))</f>
        <v/>
      </c>
      <c r="U236" s="96">
        <f>IF(T236="",0,IF(INDEX('MTRs'!$Z$6:$Z$505,T236)=1,1,0))</f>
        <v>0</v>
      </c>
      <c r="V236" s="96">
        <f>IF(C236="",0,IF(ISNUMBER(MATCH(C236,'CAD_RESÍDUOS'!$B$6:$B$205,0)),1,0))</f>
        <v>0</v>
      </c>
      <c r="W236" s="96">
        <f>IF(AND(ISNUMBER(G236),G236&gt;0),1,0)</f>
        <v>0</v>
      </c>
      <c r="X236" s="96" t="str">
        <f>IF(H236="","",IFERROR(IF(ISNUMBER(INDEX(cfg_fac,MATCH(H236,cfg_units,0))),IF(INDEX(cfg_fac,MATCH(H236,cfg_units,0))&gt;0,INDEX(cfg_fac,MATCH(H236,cfg_units,0)),""),""),""))</f>
        <v/>
      </c>
      <c r="Y236" s="96">
        <f>IF(AND(W236=1,ISNUMBER(I236)),1,0)</f>
        <v>0</v>
      </c>
      <c r="Z236" s="96">
        <f>IF(U236=1,INDEX('MTRs'!$AA$6:$AA$505,T236),0)</f>
        <v>0</v>
      </c>
      <c r="AA236" s="96">
        <f>IF(R236=0,0,COUNTIFS('RECEBIMENTOS'!$R$6:$R$1005,A236,'RECEBIMENTOS'!$Q$6:$Q$1005,1))</f>
        <v>0</v>
      </c>
      <c r="AB236" s="96">
        <f>IF(R236=0,0,COUNTIFS('RECEBIMENTOS'!$R$6:$R$1005,A236,'RECEBIMENTOS'!$Z$6:$Z$1005,1))</f>
        <v>0</v>
      </c>
      <c r="AC236" s="96">
        <f>IF(R236=0,0,COUNTIFS('RECEBIMENTOS'!$R$6:$R$1005,A236,'RECEBIMENTOS'!$Y$6:$Y$1005,1))</f>
        <v>0</v>
      </c>
      <c r="AD236" s="96">
        <f>IF(R236=0,0,COUNTIFS('VÍNCULOS_CDF'!$R$6:$R$1005,A236,'VÍNCULOS_CDF'!$N$6:$N$1005,1))</f>
        <v>0</v>
      </c>
      <c r="AE236" s="96">
        <f>IF(R236=0,0,COUNTIFS('VÍNCULOS_CDF'!$R$6:$R$1005,A236,'VÍNCULOS_CDF'!$AA$6:$AA$1005,1))</f>
        <v>0</v>
      </c>
      <c r="AF236" s="96">
        <f>IF(R236=0,0,COUNTIFS('VÍNCULOS_CDF'!$R$6:$R$1005,A236,'VÍNCULOS_CDF'!$Y$6:$Y$1005,1))</f>
        <v>0</v>
      </c>
      <c r="AG236" s="96" t="str">
        <f>IF(AND(R236=1,S236&lt;&gt;"",C236&lt;&gt;""),S236&amp;"|"&amp;C236&amp;"|"&amp;G236&amp;"|"&amp;H236,"")</f>
        <v/>
      </c>
      <c r="AH236" s="96">
        <f>IF(AG236="",0,IF(SUMPRODUCT(--($AG$6:$AG$1005=AG236))&gt;1,1,0))</f>
        <v>0</v>
      </c>
      <c r="AI236" s="96">
        <f>IF(R236=0,0,IF(OR(U236=0,V236=0,Y236=0,AND(AH236=1,K236&lt;&gt;"Sim")),1,0))</f>
        <v>0</v>
      </c>
      <c r="AJ236" s="96">
        <f>IF(AND(R236=1,AA236&gt;0,AB236=AA236),1,0)</f>
        <v>0</v>
      </c>
      <c r="AK236" s="96">
        <f>IF(R236=0,0,IF(AA236&gt;0,N(L236),IF(ISNUMBER(I236),I236,0)))</f>
        <v>0</v>
      </c>
      <c r="AL236" s="96">
        <f>IF(R236=0,0,IF(AND(K236&lt;&gt;"Sim",N(M236)&gt;AK236+cfg_tol),1,0))</f>
        <v>0</v>
      </c>
      <c r="AM236" s="96">
        <f>IF(R236=0,0,IF(K236="Sim",0,IF(OR(AND(AA236&gt;0,ISNUMBER(I236),ABS(I236-N(L236))&gt;cfg_tol),AL236=1),1,0)))</f>
        <v>0</v>
      </c>
      <c r="AN236" s="96">
        <f>IF(AND(R236=1,N(M236)&gt;0,OR(N(M236)&gt;=AK236-cfg_tol,K236="Sim")),1,0)</f>
        <v>0</v>
      </c>
      <c r="AO236" s="96">
        <f>IF(AND(AN236=1,AD236&gt;0,AE236=AD236,AL236=0),1,0)</f>
        <v>0</v>
      </c>
      <c r="AP236" s="96">
        <f>IF(U236=0,0,IF(AND(INDEX('MTRs'!$AX$6:$AX$505,T236)=1,Z236=0,OR(f_res="",f_res="(Todos)",C236=f_res)),1,0))</f>
        <v>0</v>
      </c>
      <c r="AQ236" s="97" t="str">
        <f>IF(U236=0,"",INDEX('MTRs'!$AZ$6:$AZ$505,T236))</f>
        <v/>
      </c>
      <c r="AR236" s="96">
        <f>IF(U236=0,0,IF(AND(INDEX('MTRs'!$BA$6:$BA$505,T236)=1,Z236=0),1,0))</f>
        <v>0</v>
      </c>
      <c r="AS236" s="96" t="str">
        <f>IF(R236=1,A236&amp;" | MTR "&amp;IF(U236=1,INDEX('MTRs'!$B$6:$B$505,T236)&amp;"","?")&amp;" | "&amp;IF(C236="","(sem resíduo)",C236),"")</f>
        <v/>
      </c>
      <c r="AT236" s="96" t="str">
        <f>IF(R236=1,COUNTIF($R$6:R236,1),"")</f>
        <v/>
      </c>
      <c r="AU236" s="96" t="str">
        <f>IF(U236=1,INDEX('MTRs'!$I$6:$I$505,T236)&amp;"","")</f>
        <v/>
      </c>
    </row>
    <row r="237">
      <c r="A237" s="89" t="inlineStr">
        <is>
          <t>IT-000232</t>
        </is>
      </c>
      <c r="B237" s="91" t="n"/>
      <c r="C237" s="91" t="n"/>
      <c r="D237" s="94" t="str">
        <f>IF(OR(R237=0,V237=0),"",INDEX('CAD_RESÍDUOS'!$E$6:$E$205,MATCH(C237,'CAD_RESÍDUOS'!$B$6:$B$205,0))&amp;"")</f>
        <v/>
      </c>
      <c r="E237" s="94" t="str">
        <f>IF(OR(R237=0,V237=0),"",INDEX('CAD_RESÍDUOS'!$C$6:$C$205,MATCH(C237,'CAD_RESÍDUOS'!$B$6:$B$205,0))&amp;"")</f>
        <v/>
      </c>
      <c r="F237" s="94" t="str">
        <f>IF(OR(R237=0,V237=0),"",INDEX('CAD_RESÍDUOS'!$G$6:$G$205,MATCH(C237,'CAD_RESÍDUOS'!$B$6:$B$205,0))&amp;"")</f>
        <v/>
      </c>
      <c r="G237" s="98" t="n"/>
      <c r="H237" s="91" t="n"/>
      <c r="I237" s="93" t="str">
        <f>IF(R237=0,"",IF(NOT(ISNUMBER(G237)),"",IF(ISNUMBER(X237),G237*X237,"UNIDADE A CONFERIR")))</f>
        <v/>
      </c>
      <c r="J237" s="91" t="n"/>
      <c r="K237" s="91" t="n"/>
      <c r="L237" s="93" t="str">
        <f>IF(R237=0,"",SUMIFS('RECEBIMENTOS'!$H$6:$H$1005,'RECEBIMENTOS'!$R$6:$R$1005,A237,'RECEBIMENTOS'!$X$6:$X$1005,1))</f>
        <v/>
      </c>
      <c r="M237" s="93" t="str">
        <f>IF(R237=0,"",SUMIFS('VÍNCULOS_CDF'!$H$6:$H$1005,'VÍNCULOS_CDF'!$R$6:$R$1005,A237,'VÍNCULOS_CDF'!$V$6:$V$1005,1))</f>
        <v/>
      </c>
      <c r="N237" s="99" t="str">
        <f>IF(OR(R237=0,AA237=0,NOT(ISNUMBER(I237))),"",I237-N(L237))</f>
        <v/>
      </c>
      <c r="O237" s="100" t="str">
        <f>IF(OR(R237=0,AK237&lt;=0),"",N(M237)/AK237)</f>
        <v/>
      </c>
      <c r="P237" s="94" t="str">
        <f>IF(R237=0,"",IF(S237="","Sem MTR associado",IF(U237=0,"MTR inexistente",IF(C237="","Resíduo não identificado",IF(V237=0,"Resíduo fora do cadastro",IF(W237=0,"Quantidade inválida",IF(H237="","Unidade não informada",IF(NOT(ISNUMBER(I237)),"Unidade a conferir",IF(AND(AH237=1,K237&lt;&gt;"Sim"),"Possível duplicidade",IF(Z237=1,"MTR cancelado",IF(AC237&gt;0,"Recebimento com alerta",IF(AA237=0,"Aguardando recebimento",IF(AB237&lt;AA237,"Recebimento a conferir",IF(AM237=1,"Quantidade a revisar",IF(AF237&gt;0,"Vínculo a revisar",IF(AD237=0,"Aguardando CDF",IF(AN237=0,"Vínculo de CDF parcial",IF(AE237&lt;AD237,"CDF a conferir","Documentação conferida"))))))))))))))))))</f>
        <v/>
      </c>
      <c r="Q237" s="93" t="str">
        <f>IF(OR(R237=0,AA237=0),"",MAX(0,N(L237)-N(M237)))</f>
        <v/>
      </c>
      <c r="R237" s="96">
        <f>IF(COUNTA(B237:C237,G237:H237,J237:K237)&gt;0,1,0)</f>
        <v>0</v>
      </c>
      <c r="S237" s="96" t="str">
        <f>IF(B237="","",TRIM(LEFT(B237,FIND(" |",B237&amp;" |")-1)))</f>
        <v/>
      </c>
      <c r="T237" s="96" t="str">
        <f>IF(S237="","",IFERROR(MATCH(S237,'MTRs'!$A$6:$A$505,0),""))</f>
        <v/>
      </c>
      <c r="U237" s="96">
        <f>IF(T237="",0,IF(INDEX('MTRs'!$Z$6:$Z$505,T237)=1,1,0))</f>
        <v>0</v>
      </c>
      <c r="V237" s="96">
        <f>IF(C237="",0,IF(ISNUMBER(MATCH(C237,'CAD_RESÍDUOS'!$B$6:$B$205,0)),1,0))</f>
        <v>0</v>
      </c>
      <c r="W237" s="96">
        <f>IF(AND(ISNUMBER(G237),G237&gt;0),1,0)</f>
        <v>0</v>
      </c>
      <c r="X237" s="96" t="str">
        <f>IF(H237="","",IFERROR(IF(ISNUMBER(INDEX(cfg_fac,MATCH(H237,cfg_units,0))),IF(INDEX(cfg_fac,MATCH(H237,cfg_units,0))&gt;0,INDEX(cfg_fac,MATCH(H237,cfg_units,0)),""),""),""))</f>
        <v/>
      </c>
      <c r="Y237" s="96">
        <f>IF(AND(W237=1,ISNUMBER(I237)),1,0)</f>
        <v>0</v>
      </c>
      <c r="Z237" s="96">
        <f>IF(U237=1,INDEX('MTRs'!$AA$6:$AA$505,T237),0)</f>
        <v>0</v>
      </c>
      <c r="AA237" s="96">
        <f>IF(R237=0,0,COUNTIFS('RECEBIMENTOS'!$R$6:$R$1005,A237,'RECEBIMENTOS'!$Q$6:$Q$1005,1))</f>
        <v>0</v>
      </c>
      <c r="AB237" s="96">
        <f>IF(R237=0,0,COUNTIFS('RECEBIMENTOS'!$R$6:$R$1005,A237,'RECEBIMENTOS'!$Z$6:$Z$1005,1))</f>
        <v>0</v>
      </c>
      <c r="AC237" s="96">
        <f>IF(R237=0,0,COUNTIFS('RECEBIMENTOS'!$R$6:$R$1005,A237,'RECEBIMENTOS'!$Y$6:$Y$1005,1))</f>
        <v>0</v>
      </c>
      <c r="AD237" s="96">
        <f>IF(R237=0,0,COUNTIFS('VÍNCULOS_CDF'!$R$6:$R$1005,A237,'VÍNCULOS_CDF'!$N$6:$N$1005,1))</f>
        <v>0</v>
      </c>
      <c r="AE237" s="96">
        <f>IF(R237=0,0,COUNTIFS('VÍNCULOS_CDF'!$R$6:$R$1005,A237,'VÍNCULOS_CDF'!$AA$6:$AA$1005,1))</f>
        <v>0</v>
      </c>
      <c r="AF237" s="96">
        <f>IF(R237=0,0,COUNTIFS('VÍNCULOS_CDF'!$R$6:$R$1005,A237,'VÍNCULOS_CDF'!$Y$6:$Y$1005,1))</f>
        <v>0</v>
      </c>
      <c r="AG237" s="96" t="str">
        <f>IF(AND(R237=1,S237&lt;&gt;"",C237&lt;&gt;""),S237&amp;"|"&amp;C237&amp;"|"&amp;G237&amp;"|"&amp;H237,"")</f>
        <v/>
      </c>
      <c r="AH237" s="96">
        <f>IF(AG237="",0,IF(SUMPRODUCT(--($AG$6:$AG$1005=AG237))&gt;1,1,0))</f>
        <v>0</v>
      </c>
      <c r="AI237" s="96">
        <f>IF(R237=0,0,IF(OR(U237=0,V237=0,Y237=0,AND(AH237=1,K237&lt;&gt;"Sim")),1,0))</f>
        <v>0</v>
      </c>
      <c r="AJ237" s="96">
        <f>IF(AND(R237=1,AA237&gt;0,AB237=AA237),1,0)</f>
        <v>0</v>
      </c>
      <c r="AK237" s="96">
        <f>IF(R237=0,0,IF(AA237&gt;0,N(L237),IF(ISNUMBER(I237),I237,0)))</f>
        <v>0</v>
      </c>
      <c r="AL237" s="96">
        <f>IF(R237=0,0,IF(AND(K237&lt;&gt;"Sim",N(M237)&gt;AK237+cfg_tol),1,0))</f>
        <v>0</v>
      </c>
      <c r="AM237" s="96">
        <f>IF(R237=0,0,IF(K237="Sim",0,IF(OR(AND(AA237&gt;0,ISNUMBER(I237),ABS(I237-N(L237))&gt;cfg_tol),AL237=1),1,0)))</f>
        <v>0</v>
      </c>
      <c r="AN237" s="96">
        <f>IF(AND(R237=1,N(M237)&gt;0,OR(N(M237)&gt;=AK237-cfg_tol,K237="Sim")),1,0)</f>
        <v>0</v>
      </c>
      <c r="AO237" s="96">
        <f>IF(AND(AN237=1,AD237&gt;0,AE237=AD237,AL237=0),1,0)</f>
        <v>0</v>
      </c>
      <c r="AP237" s="96">
        <f>IF(U237=0,0,IF(AND(INDEX('MTRs'!$AX$6:$AX$505,T237)=1,Z237=0,OR(f_res="",f_res="(Todos)",C237=f_res)),1,0))</f>
        <v>0</v>
      </c>
      <c r="AQ237" s="97" t="str">
        <f>IF(U237=0,"",INDEX('MTRs'!$AZ$6:$AZ$505,T237))</f>
        <v/>
      </c>
      <c r="AR237" s="96">
        <f>IF(U237=0,0,IF(AND(INDEX('MTRs'!$BA$6:$BA$505,T237)=1,Z237=0),1,0))</f>
        <v>0</v>
      </c>
      <c r="AS237" s="96" t="str">
        <f>IF(R237=1,A237&amp;" | MTR "&amp;IF(U237=1,INDEX('MTRs'!$B$6:$B$505,T237)&amp;"","?")&amp;" | "&amp;IF(C237="","(sem resíduo)",C237),"")</f>
        <v/>
      </c>
      <c r="AT237" s="96" t="str">
        <f>IF(R237=1,COUNTIF($R$6:R237,1),"")</f>
        <v/>
      </c>
      <c r="AU237" s="96" t="str">
        <f>IF(U237=1,INDEX('MTRs'!$I$6:$I$505,T237)&amp;"","")</f>
        <v/>
      </c>
    </row>
    <row r="238">
      <c r="A238" s="89" t="inlineStr">
        <is>
          <t>IT-000233</t>
        </is>
      </c>
      <c r="B238" s="91" t="n"/>
      <c r="C238" s="91" t="n"/>
      <c r="D238" s="94" t="str">
        <f>IF(OR(R238=0,V238=0),"",INDEX('CAD_RESÍDUOS'!$E$6:$E$205,MATCH(C238,'CAD_RESÍDUOS'!$B$6:$B$205,0))&amp;"")</f>
        <v/>
      </c>
      <c r="E238" s="94" t="str">
        <f>IF(OR(R238=0,V238=0),"",INDEX('CAD_RESÍDUOS'!$C$6:$C$205,MATCH(C238,'CAD_RESÍDUOS'!$B$6:$B$205,0))&amp;"")</f>
        <v/>
      </c>
      <c r="F238" s="94" t="str">
        <f>IF(OR(R238=0,V238=0),"",INDEX('CAD_RESÍDUOS'!$G$6:$G$205,MATCH(C238,'CAD_RESÍDUOS'!$B$6:$B$205,0))&amp;"")</f>
        <v/>
      </c>
      <c r="G238" s="98" t="n"/>
      <c r="H238" s="91" t="n"/>
      <c r="I238" s="93" t="str">
        <f>IF(R238=0,"",IF(NOT(ISNUMBER(G238)),"",IF(ISNUMBER(X238),G238*X238,"UNIDADE A CONFERIR")))</f>
        <v/>
      </c>
      <c r="J238" s="91" t="n"/>
      <c r="K238" s="91" t="n"/>
      <c r="L238" s="93" t="str">
        <f>IF(R238=0,"",SUMIFS('RECEBIMENTOS'!$H$6:$H$1005,'RECEBIMENTOS'!$R$6:$R$1005,A238,'RECEBIMENTOS'!$X$6:$X$1005,1))</f>
        <v/>
      </c>
      <c r="M238" s="93" t="str">
        <f>IF(R238=0,"",SUMIFS('VÍNCULOS_CDF'!$H$6:$H$1005,'VÍNCULOS_CDF'!$R$6:$R$1005,A238,'VÍNCULOS_CDF'!$V$6:$V$1005,1))</f>
        <v/>
      </c>
      <c r="N238" s="99" t="str">
        <f>IF(OR(R238=0,AA238=0,NOT(ISNUMBER(I238))),"",I238-N(L238))</f>
        <v/>
      </c>
      <c r="O238" s="100" t="str">
        <f>IF(OR(R238=0,AK238&lt;=0),"",N(M238)/AK238)</f>
        <v/>
      </c>
      <c r="P238" s="94" t="str">
        <f>IF(R238=0,"",IF(S238="","Sem MTR associado",IF(U238=0,"MTR inexistente",IF(C238="","Resíduo não identificado",IF(V238=0,"Resíduo fora do cadastro",IF(W238=0,"Quantidade inválida",IF(H238="","Unidade não informada",IF(NOT(ISNUMBER(I238)),"Unidade a conferir",IF(AND(AH238=1,K238&lt;&gt;"Sim"),"Possível duplicidade",IF(Z238=1,"MTR cancelado",IF(AC238&gt;0,"Recebimento com alerta",IF(AA238=0,"Aguardando recebimento",IF(AB238&lt;AA238,"Recebimento a conferir",IF(AM238=1,"Quantidade a revisar",IF(AF238&gt;0,"Vínculo a revisar",IF(AD238=0,"Aguardando CDF",IF(AN238=0,"Vínculo de CDF parcial",IF(AE238&lt;AD238,"CDF a conferir","Documentação conferida"))))))))))))))))))</f>
        <v/>
      </c>
      <c r="Q238" s="93" t="str">
        <f>IF(OR(R238=0,AA238=0),"",MAX(0,N(L238)-N(M238)))</f>
        <v/>
      </c>
      <c r="R238" s="96">
        <f>IF(COUNTA(B238:C238,G238:H238,J238:K238)&gt;0,1,0)</f>
        <v>0</v>
      </c>
      <c r="S238" s="96" t="str">
        <f>IF(B238="","",TRIM(LEFT(B238,FIND(" |",B238&amp;" |")-1)))</f>
        <v/>
      </c>
      <c r="T238" s="96" t="str">
        <f>IF(S238="","",IFERROR(MATCH(S238,'MTRs'!$A$6:$A$505,0),""))</f>
        <v/>
      </c>
      <c r="U238" s="96">
        <f>IF(T238="",0,IF(INDEX('MTRs'!$Z$6:$Z$505,T238)=1,1,0))</f>
        <v>0</v>
      </c>
      <c r="V238" s="96">
        <f>IF(C238="",0,IF(ISNUMBER(MATCH(C238,'CAD_RESÍDUOS'!$B$6:$B$205,0)),1,0))</f>
        <v>0</v>
      </c>
      <c r="W238" s="96">
        <f>IF(AND(ISNUMBER(G238),G238&gt;0),1,0)</f>
        <v>0</v>
      </c>
      <c r="X238" s="96" t="str">
        <f>IF(H238="","",IFERROR(IF(ISNUMBER(INDEX(cfg_fac,MATCH(H238,cfg_units,0))),IF(INDEX(cfg_fac,MATCH(H238,cfg_units,0))&gt;0,INDEX(cfg_fac,MATCH(H238,cfg_units,0)),""),""),""))</f>
        <v/>
      </c>
      <c r="Y238" s="96">
        <f>IF(AND(W238=1,ISNUMBER(I238)),1,0)</f>
        <v>0</v>
      </c>
      <c r="Z238" s="96">
        <f>IF(U238=1,INDEX('MTRs'!$AA$6:$AA$505,T238),0)</f>
        <v>0</v>
      </c>
      <c r="AA238" s="96">
        <f>IF(R238=0,0,COUNTIFS('RECEBIMENTOS'!$R$6:$R$1005,A238,'RECEBIMENTOS'!$Q$6:$Q$1005,1))</f>
        <v>0</v>
      </c>
      <c r="AB238" s="96">
        <f>IF(R238=0,0,COUNTIFS('RECEBIMENTOS'!$R$6:$R$1005,A238,'RECEBIMENTOS'!$Z$6:$Z$1005,1))</f>
        <v>0</v>
      </c>
      <c r="AC238" s="96">
        <f>IF(R238=0,0,COUNTIFS('RECEBIMENTOS'!$R$6:$R$1005,A238,'RECEBIMENTOS'!$Y$6:$Y$1005,1))</f>
        <v>0</v>
      </c>
      <c r="AD238" s="96">
        <f>IF(R238=0,0,COUNTIFS('VÍNCULOS_CDF'!$R$6:$R$1005,A238,'VÍNCULOS_CDF'!$N$6:$N$1005,1))</f>
        <v>0</v>
      </c>
      <c r="AE238" s="96">
        <f>IF(R238=0,0,COUNTIFS('VÍNCULOS_CDF'!$R$6:$R$1005,A238,'VÍNCULOS_CDF'!$AA$6:$AA$1005,1))</f>
        <v>0</v>
      </c>
      <c r="AF238" s="96">
        <f>IF(R238=0,0,COUNTIFS('VÍNCULOS_CDF'!$R$6:$R$1005,A238,'VÍNCULOS_CDF'!$Y$6:$Y$1005,1))</f>
        <v>0</v>
      </c>
      <c r="AG238" s="96" t="str">
        <f>IF(AND(R238=1,S238&lt;&gt;"",C238&lt;&gt;""),S238&amp;"|"&amp;C238&amp;"|"&amp;G238&amp;"|"&amp;H238,"")</f>
        <v/>
      </c>
      <c r="AH238" s="96">
        <f>IF(AG238="",0,IF(SUMPRODUCT(--($AG$6:$AG$1005=AG238))&gt;1,1,0))</f>
        <v>0</v>
      </c>
      <c r="AI238" s="96">
        <f>IF(R238=0,0,IF(OR(U238=0,V238=0,Y238=0,AND(AH238=1,K238&lt;&gt;"Sim")),1,0))</f>
        <v>0</v>
      </c>
      <c r="AJ238" s="96">
        <f>IF(AND(R238=1,AA238&gt;0,AB238=AA238),1,0)</f>
        <v>0</v>
      </c>
      <c r="AK238" s="96">
        <f>IF(R238=0,0,IF(AA238&gt;0,N(L238),IF(ISNUMBER(I238),I238,0)))</f>
        <v>0</v>
      </c>
      <c r="AL238" s="96">
        <f>IF(R238=0,0,IF(AND(K238&lt;&gt;"Sim",N(M238)&gt;AK238+cfg_tol),1,0))</f>
        <v>0</v>
      </c>
      <c r="AM238" s="96">
        <f>IF(R238=0,0,IF(K238="Sim",0,IF(OR(AND(AA238&gt;0,ISNUMBER(I238),ABS(I238-N(L238))&gt;cfg_tol),AL238=1),1,0)))</f>
        <v>0</v>
      </c>
      <c r="AN238" s="96">
        <f>IF(AND(R238=1,N(M238)&gt;0,OR(N(M238)&gt;=AK238-cfg_tol,K238="Sim")),1,0)</f>
        <v>0</v>
      </c>
      <c r="AO238" s="96">
        <f>IF(AND(AN238=1,AD238&gt;0,AE238=AD238,AL238=0),1,0)</f>
        <v>0</v>
      </c>
      <c r="AP238" s="96">
        <f>IF(U238=0,0,IF(AND(INDEX('MTRs'!$AX$6:$AX$505,T238)=1,Z238=0,OR(f_res="",f_res="(Todos)",C238=f_res)),1,0))</f>
        <v>0</v>
      </c>
      <c r="AQ238" s="97" t="str">
        <f>IF(U238=0,"",INDEX('MTRs'!$AZ$6:$AZ$505,T238))</f>
        <v/>
      </c>
      <c r="AR238" s="96">
        <f>IF(U238=0,0,IF(AND(INDEX('MTRs'!$BA$6:$BA$505,T238)=1,Z238=0),1,0))</f>
        <v>0</v>
      </c>
      <c r="AS238" s="96" t="str">
        <f>IF(R238=1,A238&amp;" | MTR "&amp;IF(U238=1,INDEX('MTRs'!$B$6:$B$505,T238)&amp;"","?")&amp;" | "&amp;IF(C238="","(sem resíduo)",C238),"")</f>
        <v/>
      </c>
      <c r="AT238" s="96" t="str">
        <f>IF(R238=1,COUNTIF($R$6:R238,1),"")</f>
        <v/>
      </c>
      <c r="AU238" s="96" t="str">
        <f>IF(U238=1,INDEX('MTRs'!$I$6:$I$505,T238)&amp;"","")</f>
        <v/>
      </c>
    </row>
    <row r="239">
      <c r="A239" s="89" t="inlineStr">
        <is>
          <t>IT-000234</t>
        </is>
      </c>
      <c r="B239" s="91" t="n"/>
      <c r="C239" s="91" t="n"/>
      <c r="D239" s="94" t="str">
        <f>IF(OR(R239=0,V239=0),"",INDEX('CAD_RESÍDUOS'!$E$6:$E$205,MATCH(C239,'CAD_RESÍDUOS'!$B$6:$B$205,0))&amp;"")</f>
        <v/>
      </c>
      <c r="E239" s="94" t="str">
        <f>IF(OR(R239=0,V239=0),"",INDEX('CAD_RESÍDUOS'!$C$6:$C$205,MATCH(C239,'CAD_RESÍDUOS'!$B$6:$B$205,0))&amp;"")</f>
        <v/>
      </c>
      <c r="F239" s="94" t="str">
        <f>IF(OR(R239=0,V239=0),"",INDEX('CAD_RESÍDUOS'!$G$6:$G$205,MATCH(C239,'CAD_RESÍDUOS'!$B$6:$B$205,0))&amp;"")</f>
        <v/>
      </c>
      <c r="G239" s="98" t="n"/>
      <c r="H239" s="91" t="n"/>
      <c r="I239" s="93" t="str">
        <f>IF(R239=0,"",IF(NOT(ISNUMBER(G239)),"",IF(ISNUMBER(X239),G239*X239,"UNIDADE A CONFERIR")))</f>
        <v/>
      </c>
      <c r="J239" s="91" t="n"/>
      <c r="K239" s="91" t="n"/>
      <c r="L239" s="93" t="str">
        <f>IF(R239=0,"",SUMIFS('RECEBIMENTOS'!$H$6:$H$1005,'RECEBIMENTOS'!$R$6:$R$1005,A239,'RECEBIMENTOS'!$X$6:$X$1005,1))</f>
        <v/>
      </c>
      <c r="M239" s="93" t="str">
        <f>IF(R239=0,"",SUMIFS('VÍNCULOS_CDF'!$H$6:$H$1005,'VÍNCULOS_CDF'!$R$6:$R$1005,A239,'VÍNCULOS_CDF'!$V$6:$V$1005,1))</f>
        <v/>
      </c>
      <c r="N239" s="99" t="str">
        <f>IF(OR(R239=0,AA239=0,NOT(ISNUMBER(I239))),"",I239-N(L239))</f>
        <v/>
      </c>
      <c r="O239" s="100" t="str">
        <f>IF(OR(R239=0,AK239&lt;=0),"",N(M239)/AK239)</f>
        <v/>
      </c>
      <c r="P239" s="94" t="str">
        <f>IF(R239=0,"",IF(S239="","Sem MTR associado",IF(U239=0,"MTR inexistente",IF(C239="","Resíduo não identificado",IF(V239=0,"Resíduo fora do cadastro",IF(W239=0,"Quantidade inválida",IF(H239="","Unidade não informada",IF(NOT(ISNUMBER(I239)),"Unidade a conferir",IF(AND(AH239=1,K239&lt;&gt;"Sim"),"Possível duplicidade",IF(Z239=1,"MTR cancelado",IF(AC239&gt;0,"Recebimento com alerta",IF(AA239=0,"Aguardando recebimento",IF(AB239&lt;AA239,"Recebimento a conferir",IF(AM239=1,"Quantidade a revisar",IF(AF239&gt;0,"Vínculo a revisar",IF(AD239=0,"Aguardando CDF",IF(AN239=0,"Vínculo de CDF parcial",IF(AE239&lt;AD239,"CDF a conferir","Documentação conferida"))))))))))))))))))</f>
        <v/>
      </c>
      <c r="Q239" s="93" t="str">
        <f>IF(OR(R239=0,AA239=0),"",MAX(0,N(L239)-N(M239)))</f>
        <v/>
      </c>
      <c r="R239" s="96">
        <f>IF(COUNTA(B239:C239,G239:H239,J239:K239)&gt;0,1,0)</f>
        <v>0</v>
      </c>
      <c r="S239" s="96" t="str">
        <f>IF(B239="","",TRIM(LEFT(B239,FIND(" |",B239&amp;" |")-1)))</f>
        <v/>
      </c>
      <c r="T239" s="96" t="str">
        <f>IF(S239="","",IFERROR(MATCH(S239,'MTRs'!$A$6:$A$505,0),""))</f>
        <v/>
      </c>
      <c r="U239" s="96">
        <f>IF(T239="",0,IF(INDEX('MTRs'!$Z$6:$Z$505,T239)=1,1,0))</f>
        <v>0</v>
      </c>
      <c r="V239" s="96">
        <f>IF(C239="",0,IF(ISNUMBER(MATCH(C239,'CAD_RESÍDUOS'!$B$6:$B$205,0)),1,0))</f>
        <v>0</v>
      </c>
      <c r="W239" s="96">
        <f>IF(AND(ISNUMBER(G239),G239&gt;0),1,0)</f>
        <v>0</v>
      </c>
      <c r="X239" s="96" t="str">
        <f>IF(H239="","",IFERROR(IF(ISNUMBER(INDEX(cfg_fac,MATCH(H239,cfg_units,0))),IF(INDEX(cfg_fac,MATCH(H239,cfg_units,0))&gt;0,INDEX(cfg_fac,MATCH(H239,cfg_units,0)),""),""),""))</f>
        <v/>
      </c>
      <c r="Y239" s="96">
        <f>IF(AND(W239=1,ISNUMBER(I239)),1,0)</f>
        <v>0</v>
      </c>
      <c r="Z239" s="96">
        <f>IF(U239=1,INDEX('MTRs'!$AA$6:$AA$505,T239),0)</f>
        <v>0</v>
      </c>
      <c r="AA239" s="96">
        <f>IF(R239=0,0,COUNTIFS('RECEBIMENTOS'!$R$6:$R$1005,A239,'RECEBIMENTOS'!$Q$6:$Q$1005,1))</f>
        <v>0</v>
      </c>
      <c r="AB239" s="96">
        <f>IF(R239=0,0,COUNTIFS('RECEBIMENTOS'!$R$6:$R$1005,A239,'RECEBIMENTOS'!$Z$6:$Z$1005,1))</f>
        <v>0</v>
      </c>
      <c r="AC239" s="96">
        <f>IF(R239=0,0,COUNTIFS('RECEBIMENTOS'!$R$6:$R$1005,A239,'RECEBIMENTOS'!$Y$6:$Y$1005,1))</f>
        <v>0</v>
      </c>
      <c r="AD239" s="96">
        <f>IF(R239=0,0,COUNTIFS('VÍNCULOS_CDF'!$R$6:$R$1005,A239,'VÍNCULOS_CDF'!$N$6:$N$1005,1))</f>
        <v>0</v>
      </c>
      <c r="AE239" s="96">
        <f>IF(R239=0,0,COUNTIFS('VÍNCULOS_CDF'!$R$6:$R$1005,A239,'VÍNCULOS_CDF'!$AA$6:$AA$1005,1))</f>
        <v>0</v>
      </c>
      <c r="AF239" s="96">
        <f>IF(R239=0,0,COUNTIFS('VÍNCULOS_CDF'!$R$6:$R$1005,A239,'VÍNCULOS_CDF'!$Y$6:$Y$1005,1))</f>
        <v>0</v>
      </c>
      <c r="AG239" s="96" t="str">
        <f>IF(AND(R239=1,S239&lt;&gt;"",C239&lt;&gt;""),S239&amp;"|"&amp;C239&amp;"|"&amp;G239&amp;"|"&amp;H239,"")</f>
        <v/>
      </c>
      <c r="AH239" s="96">
        <f>IF(AG239="",0,IF(SUMPRODUCT(--($AG$6:$AG$1005=AG239))&gt;1,1,0))</f>
        <v>0</v>
      </c>
      <c r="AI239" s="96">
        <f>IF(R239=0,0,IF(OR(U239=0,V239=0,Y239=0,AND(AH239=1,K239&lt;&gt;"Sim")),1,0))</f>
        <v>0</v>
      </c>
      <c r="AJ239" s="96">
        <f>IF(AND(R239=1,AA239&gt;0,AB239=AA239),1,0)</f>
        <v>0</v>
      </c>
      <c r="AK239" s="96">
        <f>IF(R239=0,0,IF(AA239&gt;0,N(L239),IF(ISNUMBER(I239),I239,0)))</f>
        <v>0</v>
      </c>
      <c r="AL239" s="96">
        <f>IF(R239=0,0,IF(AND(K239&lt;&gt;"Sim",N(M239)&gt;AK239+cfg_tol),1,0))</f>
        <v>0</v>
      </c>
      <c r="AM239" s="96">
        <f>IF(R239=0,0,IF(K239="Sim",0,IF(OR(AND(AA239&gt;0,ISNUMBER(I239),ABS(I239-N(L239))&gt;cfg_tol),AL239=1),1,0)))</f>
        <v>0</v>
      </c>
      <c r="AN239" s="96">
        <f>IF(AND(R239=1,N(M239)&gt;0,OR(N(M239)&gt;=AK239-cfg_tol,K239="Sim")),1,0)</f>
        <v>0</v>
      </c>
      <c r="AO239" s="96">
        <f>IF(AND(AN239=1,AD239&gt;0,AE239=AD239,AL239=0),1,0)</f>
        <v>0</v>
      </c>
      <c r="AP239" s="96">
        <f>IF(U239=0,0,IF(AND(INDEX('MTRs'!$AX$6:$AX$505,T239)=1,Z239=0,OR(f_res="",f_res="(Todos)",C239=f_res)),1,0))</f>
        <v>0</v>
      </c>
      <c r="AQ239" s="97" t="str">
        <f>IF(U239=0,"",INDEX('MTRs'!$AZ$6:$AZ$505,T239))</f>
        <v/>
      </c>
      <c r="AR239" s="96">
        <f>IF(U239=0,0,IF(AND(INDEX('MTRs'!$BA$6:$BA$505,T239)=1,Z239=0),1,0))</f>
        <v>0</v>
      </c>
      <c r="AS239" s="96" t="str">
        <f>IF(R239=1,A239&amp;" | MTR "&amp;IF(U239=1,INDEX('MTRs'!$B$6:$B$505,T239)&amp;"","?")&amp;" | "&amp;IF(C239="","(sem resíduo)",C239),"")</f>
        <v/>
      </c>
      <c r="AT239" s="96" t="str">
        <f>IF(R239=1,COUNTIF($R$6:R239,1),"")</f>
        <v/>
      </c>
      <c r="AU239" s="96" t="str">
        <f>IF(U239=1,INDEX('MTRs'!$I$6:$I$505,T239)&amp;"","")</f>
        <v/>
      </c>
    </row>
    <row r="240">
      <c r="A240" s="89" t="inlineStr">
        <is>
          <t>IT-000235</t>
        </is>
      </c>
      <c r="B240" s="91" t="n"/>
      <c r="C240" s="91" t="n"/>
      <c r="D240" s="94" t="str">
        <f>IF(OR(R240=0,V240=0),"",INDEX('CAD_RESÍDUOS'!$E$6:$E$205,MATCH(C240,'CAD_RESÍDUOS'!$B$6:$B$205,0))&amp;"")</f>
        <v/>
      </c>
      <c r="E240" s="94" t="str">
        <f>IF(OR(R240=0,V240=0),"",INDEX('CAD_RESÍDUOS'!$C$6:$C$205,MATCH(C240,'CAD_RESÍDUOS'!$B$6:$B$205,0))&amp;"")</f>
        <v/>
      </c>
      <c r="F240" s="94" t="str">
        <f>IF(OR(R240=0,V240=0),"",INDEX('CAD_RESÍDUOS'!$G$6:$G$205,MATCH(C240,'CAD_RESÍDUOS'!$B$6:$B$205,0))&amp;"")</f>
        <v/>
      </c>
      <c r="G240" s="98" t="n"/>
      <c r="H240" s="91" t="n"/>
      <c r="I240" s="93" t="str">
        <f>IF(R240=0,"",IF(NOT(ISNUMBER(G240)),"",IF(ISNUMBER(X240),G240*X240,"UNIDADE A CONFERIR")))</f>
        <v/>
      </c>
      <c r="J240" s="91" t="n"/>
      <c r="K240" s="91" t="n"/>
      <c r="L240" s="93" t="str">
        <f>IF(R240=0,"",SUMIFS('RECEBIMENTOS'!$H$6:$H$1005,'RECEBIMENTOS'!$R$6:$R$1005,A240,'RECEBIMENTOS'!$X$6:$X$1005,1))</f>
        <v/>
      </c>
      <c r="M240" s="93" t="str">
        <f>IF(R240=0,"",SUMIFS('VÍNCULOS_CDF'!$H$6:$H$1005,'VÍNCULOS_CDF'!$R$6:$R$1005,A240,'VÍNCULOS_CDF'!$V$6:$V$1005,1))</f>
        <v/>
      </c>
      <c r="N240" s="99" t="str">
        <f>IF(OR(R240=0,AA240=0,NOT(ISNUMBER(I240))),"",I240-N(L240))</f>
        <v/>
      </c>
      <c r="O240" s="100" t="str">
        <f>IF(OR(R240=0,AK240&lt;=0),"",N(M240)/AK240)</f>
        <v/>
      </c>
      <c r="P240" s="94" t="str">
        <f>IF(R240=0,"",IF(S240="","Sem MTR associado",IF(U240=0,"MTR inexistente",IF(C240="","Resíduo não identificado",IF(V240=0,"Resíduo fora do cadastro",IF(W240=0,"Quantidade inválida",IF(H240="","Unidade não informada",IF(NOT(ISNUMBER(I240)),"Unidade a conferir",IF(AND(AH240=1,K240&lt;&gt;"Sim"),"Possível duplicidade",IF(Z240=1,"MTR cancelado",IF(AC240&gt;0,"Recebimento com alerta",IF(AA240=0,"Aguardando recebimento",IF(AB240&lt;AA240,"Recebimento a conferir",IF(AM240=1,"Quantidade a revisar",IF(AF240&gt;0,"Vínculo a revisar",IF(AD240=0,"Aguardando CDF",IF(AN240=0,"Vínculo de CDF parcial",IF(AE240&lt;AD240,"CDF a conferir","Documentação conferida"))))))))))))))))))</f>
        <v/>
      </c>
      <c r="Q240" s="93" t="str">
        <f>IF(OR(R240=0,AA240=0),"",MAX(0,N(L240)-N(M240)))</f>
        <v/>
      </c>
      <c r="R240" s="96">
        <f>IF(COUNTA(B240:C240,G240:H240,J240:K240)&gt;0,1,0)</f>
        <v>0</v>
      </c>
      <c r="S240" s="96" t="str">
        <f>IF(B240="","",TRIM(LEFT(B240,FIND(" |",B240&amp;" |")-1)))</f>
        <v/>
      </c>
      <c r="T240" s="96" t="str">
        <f>IF(S240="","",IFERROR(MATCH(S240,'MTRs'!$A$6:$A$505,0),""))</f>
        <v/>
      </c>
      <c r="U240" s="96">
        <f>IF(T240="",0,IF(INDEX('MTRs'!$Z$6:$Z$505,T240)=1,1,0))</f>
        <v>0</v>
      </c>
      <c r="V240" s="96">
        <f>IF(C240="",0,IF(ISNUMBER(MATCH(C240,'CAD_RESÍDUOS'!$B$6:$B$205,0)),1,0))</f>
        <v>0</v>
      </c>
      <c r="W240" s="96">
        <f>IF(AND(ISNUMBER(G240),G240&gt;0),1,0)</f>
        <v>0</v>
      </c>
      <c r="X240" s="96" t="str">
        <f>IF(H240="","",IFERROR(IF(ISNUMBER(INDEX(cfg_fac,MATCH(H240,cfg_units,0))),IF(INDEX(cfg_fac,MATCH(H240,cfg_units,0))&gt;0,INDEX(cfg_fac,MATCH(H240,cfg_units,0)),""),""),""))</f>
        <v/>
      </c>
      <c r="Y240" s="96">
        <f>IF(AND(W240=1,ISNUMBER(I240)),1,0)</f>
        <v>0</v>
      </c>
      <c r="Z240" s="96">
        <f>IF(U240=1,INDEX('MTRs'!$AA$6:$AA$505,T240),0)</f>
        <v>0</v>
      </c>
      <c r="AA240" s="96">
        <f>IF(R240=0,0,COUNTIFS('RECEBIMENTOS'!$R$6:$R$1005,A240,'RECEBIMENTOS'!$Q$6:$Q$1005,1))</f>
        <v>0</v>
      </c>
      <c r="AB240" s="96">
        <f>IF(R240=0,0,COUNTIFS('RECEBIMENTOS'!$R$6:$R$1005,A240,'RECEBIMENTOS'!$Z$6:$Z$1005,1))</f>
        <v>0</v>
      </c>
      <c r="AC240" s="96">
        <f>IF(R240=0,0,COUNTIFS('RECEBIMENTOS'!$R$6:$R$1005,A240,'RECEBIMENTOS'!$Y$6:$Y$1005,1))</f>
        <v>0</v>
      </c>
      <c r="AD240" s="96">
        <f>IF(R240=0,0,COUNTIFS('VÍNCULOS_CDF'!$R$6:$R$1005,A240,'VÍNCULOS_CDF'!$N$6:$N$1005,1))</f>
        <v>0</v>
      </c>
      <c r="AE240" s="96">
        <f>IF(R240=0,0,COUNTIFS('VÍNCULOS_CDF'!$R$6:$R$1005,A240,'VÍNCULOS_CDF'!$AA$6:$AA$1005,1))</f>
        <v>0</v>
      </c>
      <c r="AF240" s="96">
        <f>IF(R240=0,0,COUNTIFS('VÍNCULOS_CDF'!$R$6:$R$1005,A240,'VÍNCULOS_CDF'!$Y$6:$Y$1005,1))</f>
        <v>0</v>
      </c>
      <c r="AG240" s="96" t="str">
        <f>IF(AND(R240=1,S240&lt;&gt;"",C240&lt;&gt;""),S240&amp;"|"&amp;C240&amp;"|"&amp;G240&amp;"|"&amp;H240,"")</f>
        <v/>
      </c>
      <c r="AH240" s="96">
        <f>IF(AG240="",0,IF(SUMPRODUCT(--($AG$6:$AG$1005=AG240))&gt;1,1,0))</f>
        <v>0</v>
      </c>
      <c r="AI240" s="96">
        <f>IF(R240=0,0,IF(OR(U240=0,V240=0,Y240=0,AND(AH240=1,K240&lt;&gt;"Sim")),1,0))</f>
        <v>0</v>
      </c>
      <c r="AJ240" s="96">
        <f>IF(AND(R240=1,AA240&gt;0,AB240=AA240),1,0)</f>
        <v>0</v>
      </c>
      <c r="AK240" s="96">
        <f>IF(R240=0,0,IF(AA240&gt;0,N(L240),IF(ISNUMBER(I240),I240,0)))</f>
        <v>0</v>
      </c>
      <c r="AL240" s="96">
        <f>IF(R240=0,0,IF(AND(K240&lt;&gt;"Sim",N(M240)&gt;AK240+cfg_tol),1,0))</f>
        <v>0</v>
      </c>
      <c r="AM240" s="96">
        <f>IF(R240=0,0,IF(K240="Sim",0,IF(OR(AND(AA240&gt;0,ISNUMBER(I240),ABS(I240-N(L240))&gt;cfg_tol),AL240=1),1,0)))</f>
        <v>0</v>
      </c>
      <c r="AN240" s="96">
        <f>IF(AND(R240=1,N(M240)&gt;0,OR(N(M240)&gt;=AK240-cfg_tol,K240="Sim")),1,0)</f>
        <v>0</v>
      </c>
      <c r="AO240" s="96">
        <f>IF(AND(AN240=1,AD240&gt;0,AE240=AD240,AL240=0),1,0)</f>
        <v>0</v>
      </c>
      <c r="AP240" s="96">
        <f>IF(U240=0,0,IF(AND(INDEX('MTRs'!$AX$6:$AX$505,T240)=1,Z240=0,OR(f_res="",f_res="(Todos)",C240=f_res)),1,0))</f>
        <v>0</v>
      </c>
      <c r="AQ240" s="97" t="str">
        <f>IF(U240=0,"",INDEX('MTRs'!$AZ$6:$AZ$505,T240))</f>
        <v/>
      </c>
      <c r="AR240" s="96">
        <f>IF(U240=0,0,IF(AND(INDEX('MTRs'!$BA$6:$BA$505,T240)=1,Z240=0),1,0))</f>
        <v>0</v>
      </c>
      <c r="AS240" s="96" t="str">
        <f>IF(R240=1,A240&amp;" | MTR "&amp;IF(U240=1,INDEX('MTRs'!$B$6:$B$505,T240)&amp;"","?")&amp;" | "&amp;IF(C240="","(sem resíduo)",C240),"")</f>
        <v/>
      </c>
      <c r="AT240" s="96" t="str">
        <f>IF(R240=1,COUNTIF($R$6:R240,1),"")</f>
        <v/>
      </c>
      <c r="AU240" s="96" t="str">
        <f>IF(U240=1,INDEX('MTRs'!$I$6:$I$505,T240)&amp;"","")</f>
        <v/>
      </c>
    </row>
    <row r="241">
      <c r="A241" s="89" t="inlineStr">
        <is>
          <t>IT-000236</t>
        </is>
      </c>
      <c r="B241" s="91" t="n"/>
      <c r="C241" s="91" t="n"/>
      <c r="D241" s="94" t="str">
        <f>IF(OR(R241=0,V241=0),"",INDEX('CAD_RESÍDUOS'!$E$6:$E$205,MATCH(C241,'CAD_RESÍDUOS'!$B$6:$B$205,0))&amp;"")</f>
        <v/>
      </c>
      <c r="E241" s="94" t="str">
        <f>IF(OR(R241=0,V241=0),"",INDEX('CAD_RESÍDUOS'!$C$6:$C$205,MATCH(C241,'CAD_RESÍDUOS'!$B$6:$B$205,0))&amp;"")</f>
        <v/>
      </c>
      <c r="F241" s="94" t="str">
        <f>IF(OR(R241=0,V241=0),"",INDEX('CAD_RESÍDUOS'!$G$6:$G$205,MATCH(C241,'CAD_RESÍDUOS'!$B$6:$B$205,0))&amp;"")</f>
        <v/>
      </c>
      <c r="G241" s="98" t="n"/>
      <c r="H241" s="91" t="n"/>
      <c r="I241" s="93" t="str">
        <f>IF(R241=0,"",IF(NOT(ISNUMBER(G241)),"",IF(ISNUMBER(X241),G241*X241,"UNIDADE A CONFERIR")))</f>
        <v/>
      </c>
      <c r="J241" s="91" t="n"/>
      <c r="K241" s="91" t="n"/>
      <c r="L241" s="93" t="str">
        <f>IF(R241=0,"",SUMIFS('RECEBIMENTOS'!$H$6:$H$1005,'RECEBIMENTOS'!$R$6:$R$1005,A241,'RECEBIMENTOS'!$X$6:$X$1005,1))</f>
        <v/>
      </c>
      <c r="M241" s="93" t="str">
        <f>IF(R241=0,"",SUMIFS('VÍNCULOS_CDF'!$H$6:$H$1005,'VÍNCULOS_CDF'!$R$6:$R$1005,A241,'VÍNCULOS_CDF'!$V$6:$V$1005,1))</f>
        <v/>
      </c>
      <c r="N241" s="99" t="str">
        <f>IF(OR(R241=0,AA241=0,NOT(ISNUMBER(I241))),"",I241-N(L241))</f>
        <v/>
      </c>
      <c r="O241" s="100" t="str">
        <f>IF(OR(R241=0,AK241&lt;=0),"",N(M241)/AK241)</f>
        <v/>
      </c>
      <c r="P241" s="94" t="str">
        <f>IF(R241=0,"",IF(S241="","Sem MTR associado",IF(U241=0,"MTR inexistente",IF(C241="","Resíduo não identificado",IF(V241=0,"Resíduo fora do cadastro",IF(W241=0,"Quantidade inválida",IF(H241="","Unidade não informada",IF(NOT(ISNUMBER(I241)),"Unidade a conferir",IF(AND(AH241=1,K241&lt;&gt;"Sim"),"Possível duplicidade",IF(Z241=1,"MTR cancelado",IF(AC241&gt;0,"Recebimento com alerta",IF(AA241=0,"Aguardando recebimento",IF(AB241&lt;AA241,"Recebimento a conferir",IF(AM241=1,"Quantidade a revisar",IF(AF241&gt;0,"Vínculo a revisar",IF(AD241=0,"Aguardando CDF",IF(AN241=0,"Vínculo de CDF parcial",IF(AE241&lt;AD241,"CDF a conferir","Documentação conferida"))))))))))))))))))</f>
        <v/>
      </c>
      <c r="Q241" s="93" t="str">
        <f>IF(OR(R241=0,AA241=0),"",MAX(0,N(L241)-N(M241)))</f>
        <v/>
      </c>
      <c r="R241" s="96">
        <f>IF(COUNTA(B241:C241,G241:H241,J241:K241)&gt;0,1,0)</f>
        <v>0</v>
      </c>
      <c r="S241" s="96" t="str">
        <f>IF(B241="","",TRIM(LEFT(B241,FIND(" |",B241&amp;" |")-1)))</f>
        <v/>
      </c>
      <c r="T241" s="96" t="str">
        <f>IF(S241="","",IFERROR(MATCH(S241,'MTRs'!$A$6:$A$505,0),""))</f>
        <v/>
      </c>
      <c r="U241" s="96">
        <f>IF(T241="",0,IF(INDEX('MTRs'!$Z$6:$Z$505,T241)=1,1,0))</f>
        <v>0</v>
      </c>
      <c r="V241" s="96">
        <f>IF(C241="",0,IF(ISNUMBER(MATCH(C241,'CAD_RESÍDUOS'!$B$6:$B$205,0)),1,0))</f>
        <v>0</v>
      </c>
      <c r="W241" s="96">
        <f>IF(AND(ISNUMBER(G241),G241&gt;0),1,0)</f>
        <v>0</v>
      </c>
      <c r="X241" s="96" t="str">
        <f>IF(H241="","",IFERROR(IF(ISNUMBER(INDEX(cfg_fac,MATCH(H241,cfg_units,0))),IF(INDEX(cfg_fac,MATCH(H241,cfg_units,0))&gt;0,INDEX(cfg_fac,MATCH(H241,cfg_units,0)),""),""),""))</f>
        <v/>
      </c>
      <c r="Y241" s="96">
        <f>IF(AND(W241=1,ISNUMBER(I241)),1,0)</f>
        <v>0</v>
      </c>
      <c r="Z241" s="96">
        <f>IF(U241=1,INDEX('MTRs'!$AA$6:$AA$505,T241),0)</f>
        <v>0</v>
      </c>
      <c r="AA241" s="96">
        <f>IF(R241=0,0,COUNTIFS('RECEBIMENTOS'!$R$6:$R$1005,A241,'RECEBIMENTOS'!$Q$6:$Q$1005,1))</f>
        <v>0</v>
      </c>
      <c r="AB241" s="96">
        <f>IF(R241=0,0,COUNTIFS('RECEBIMENTOS'!$R$6:$R$1005,A241,'RECEBIMENTOS'!$Z$6:$Z$1005,1))</f>
        <v>0</v>
      </c>
      <c r="AC241" s="96">
        <f>IF(R241=0,0,COUNTIFS('RECEBIMENTOS'!$R$6:$R$1005,A241,'RECEBIMENTOS'!$Y$6:$Y$1005,1))</f>
        <v>0</v>
      </c>
      <c r="AD241" s="96">
        <f>IF(R241=0,0,COUNTIFS('VÍNCULOS_CDF'!$R$6:$R$1005,A241,'VÍNCULOS_CDF'!$N$6:$N$1005,1))</f>
        <v>0</v>
      </c>
      <c r="AE241" s="96">
        <f>IF(R241=0,0,COUNTIFS('VÍNCULOS_CDF'!$R$6:$R$1005,A241,'VÍNCULOS_CDF'!$AA$6:$AA$1005,1))</f>
        <v>0</v>
      </c>
      <c r="AF241" s="96">
        <f>IF(R241=0,0,COUNTIFS('VÍNCULOS_CDF'!$R$6:$R$1005,A241,'VÍNCULOS_CDF'!$Y$6:$Y$1005,1))</f>
        <v>0</v>
      </c>
      <c r="AG241" s="96" t="str">
        <f>IF(AND(R241=1,S241&lt;&gt;"",C241&lt;&gt;""),S241&amp;"|"&amp;C241&amp;"|"&amp;G241&amp;"|"&amp;H241,"")</f>
        <v/>
      </c>
      <c r="AH241" s="96">
        <f>IF(AG241="",0,IF(SUMPRODUCT(--($AG$6:$AG$1005=AG241))&gt;1,1,0))</f>
        <v>0</v>
      </c>
      <c r="AI241" s="96">
        <f>IF(R241=0,0,IF(OR(U241=0,V241=0,Y241=0,AND(AH241=1,K241&lt;&gt;"Sim")),1,0))</f>
        <v>0</v>
      </c>
      <c r="AJ241" s="96">
        <f>IF(AND(R241=1,AA241&gt;0,AB241=AA241),1,0)</f>
        <v>0</v>
      </c>
      <c r="AK241" s="96">
        <f>IF(R241=0,0,IF(AA241&gt;0,N(L241),IF(ISNUMBER(I241),I241,0)))</f>
        <v>0</v>
      </c>
      <c r="AL241" s="96">
        <f>IF(R241=0,0,IF(AND(K241&lt;&gt;"Sim",N(M241)&gt;AK241+cfg_tol),1,0))</f>
        <v>0</v>
      </c>
      <c r="AM241" s="96">
        <f>IF(R241=0,0,IF(K241="Sim",0,IF(OR(AND(AA241&gt;0,ISNUMBER(I241),ABS(I241-N(L241))&gt;cfg_tol),AL241=1),1,0)))</f>
        <v>0</v>
      </c>
      <c r="AN241" s="96">
        <f>IF(AND(R241=1,N(M241)&gt;0,OR(N(M241)&gt;=AK241-cfg_tol,K241="Sim")),1,0)</f>
        <v>0</v>
      </c>
      <c r="AO241" s="96">
        <f>IF(AND(AN241=1,AD241&gt;0,AE241=AD241,AL241=0),1,0)</f>
        <v>0</v>
      </c>
      <c r="AP241" s="96">
        <f>IF(U241=0,0,IF(AND(INDEX('MTRs'!$AX$6:$AX$505,T241)=1,Z241=0,OR(f_res="",f_res="(Todos)",C241=f_res)),1,0))</f>
        <v>0</v>
      </c>
      <c r="AQ241" s="97" t="str">
        <f>IF(U241=0,"",INDEX('MTRs'!$AZ$6:$AZ$505,T241))</f>
        <v/>
      </c>
      <c r="AR241" s="96">
        <f>IF(U241=0,0,IF(AND(INDEX('MTRs'!$BA$6:$BA$505,T241)=1,Z241=0),1,0))</f>
        <v>0</v>
      </c>
      <c r="AS241" s="96" t="str">
        <f>IF(R241=1,A241&amp;" | MTR "&amp;IF(U241=1,INDEX('MTRs'!$B$6:$B$505,T241)&amp;"","?")&amp;" | "&amp;IF(C241="","(sem resíduo)",C241),"")</f>
        <v/>
      </c>
      <c r="AT241" s="96" t="str">
        <f>IF(R241=1,COUNTIF($R$6:R241,1),"")</f>
        <v/>
      </c>
      <c r="AU241" s="96" t="str">
        <f>IF(U241=1,INDEX('MTRs'!$I$6:$I$505,T241)&amp;"","")</f>
        <v/>
      </c>
    </row>
    <row r="242">
      <c r="A242" s="89" t="inlineStr">
        <is>
          <t>IT-000237</t>
        </is>
      </c>
      <c r="B242" s="91" t="n"/>
      <c r="C242" s="91" t="n"/>
      <c r="D242" s="94" t="str">
        <f>IF(OR(R242=0,V242=0),"",INDEX('CAD_RESÍDUOS'!$E$6:$E$205,MATCH(C242,'CAD_RESÍDUOS'!$B$6:$B$205,0))&amp;"")</f>
        <v/>
      </c>
      <c r="E242" s="94" t="str">
        <f>IF(OR(R242=0,V242=0),"",INDEX('CAD_RESÍDUOS'!$C$6:$C$205,MATCH(C242,'CAD_RESÍDUOS'!$B$6:$B$205,0))&amp;"")</f>
        <v/>
      </c>
      <c r="F242" s="94" t="str">
        <f>IF(OR(R242=0,V242=0),"",INDEX('CAD_RESÍDUOS'!$G$6:$G$205,MATCH(C242,'CAD_RESÍDUOS'!$B$6:$B$205,0))&amp;"")</f>
        <v/>
      </c>
      <c r="G242" s="98" t="n"/>
      <c r="H242" s="91" t="n"/>
      <c r="I242" s="93" t="str">
        <f>IF(R242=0,"",IF(NOT(ISNUMBER(G242)),"",IF(ISNUMBER(X242),G242*X242,"UNIDADE A CONFERIR")))</f>
        <v/>
      </c>
      <c r="J242" s="91" t="n"/>
      <c r="K242" s="91" t="n"/>
      <c r="L242" s="93" t="str">
        <f>IF(R242=0,"",SUMIFS('RECEBIMENTOS'!$H$6:$H$1005,'RECEBIMENTOS'!$R$6:$R$1005,A242,'RECEBIMENTOS'!$X$6:$X$1005,1))</f>
        <v/>
      </c>
      <c r="M242" s="93" t="str">
        <f>IF(R242=0,"",SUMIFS('VÍNCULOS_CDF'!$H$6:$H$1005,'VÍNCULOS_CDF'!$R$6:$R$1005,A242,'VÍNCULOS_CDF'!$V$6:$V$1005,1))</f>
        <v/>
      </c>
      <c r="N242" s="99" t="str">
        <f>IF(OR(R242=0,AA242=0,NOT(ISNUMBER(I242))),"",I242-N(L242))</f>
        <v/>
      </c>
      <c r="O242" s="100" t="str">
        <f>IF(OR(R242=0,AK242&lt;=0),"",N(M242)/AK242)</f>
        <v/>
      </c>
      <c r="P242" s="94" t="str">
        <f>IF(R242=0,"",IF(S242="","Sem MTR associado",IF(U242=0,"MTR inexistente",IF(C242="","Resíduo não identificado",IF(V242=0,"Resíduo fora do cadastro",IF(W242=0,"Quantidade inválida",IF(H242="","Unidade não informada",IF(NOT(ISNUMBER(I242)),"Unidade a conferir",IF(AND(AH242=1,K242&lt;&gt;"Sim"),"Possível duplicidade",IF(Z242=1,"MTR cancelado",IF(AC242&gt;0,"Recebimento com alerta",IF(AA242=0,"Aguardando recebimento",IF(AB242&lt;AA242,"Recebimento a conferir",IF(AM242=1,"Quantidade a revisar",IF(AF242&gt;0,"Vínculo a revisar",IF(AD242=0,"Aguardando CDF",IF(AN242=0,"Vínculo de CDF parcial",IF(AE242&lt;AD242,"CDF a conferir","Documentação conferida"))))))))))))))))))</f>
        <v/>
      </c>
      <c r="Q242" s="93" t="str">
        <f>IF(OR(R242=0,AA242=0),"",MAX(0,N(L242)-N(M242)))</f>
        <v/>
      </c>
      <c r="R242" s="96">
        <f>IF(COUNTA(B242:C242,G242:H242,J242:K242)&gt;0,1,0)</f>
        <v>0</v>
      </c>
      <c r="S242" s="96" t="str">
        <f>IF(B242="","",TRIM(LEFT(B242,FIND(" |",B242&amp;" |")-1)))</f>
        <v/>
      </c>
      <c r="T242" s="96" t="str">
        <f>IF(S242="","",IFERROR(MATCH(S242,'MTRs'!$A$6:$A$505,0),""))</f>
        <v/>
      </c>
      <c r="U242" s="96">
        <f>IF(T242="",0,IF(INDEX('MTRs'!$Z$6:$Z$505,T242)=1,1,0))</f>
        <v>0</v>
      </c>
      <c r="V242" s="96">
        <f>IF(C242="",0,IF(ISNUMBER(MATCH(C242,'CAD_RESÍDUOS'!$B$6:$B$205,0)),1,0))</f>
        <v>0</v>
      </c>
      <c r="W242" s="96">
        <f>IF(AND(ISNUMBER(G242),G242&gt;0),1,0)</f>
        <v>0</v>
      </c>
      <c r="X242" s="96" t="str">
        <f>IF(H242="","",IFERROR(IF(ISNUMBER(INDEX(cfg_fac,MATCH(H242,cfg_units,0))),IF(INDEX(cfg_fac,MATCH(H242,cfg_units,0))&gt;0,INDEX(cfg_fac,MATCH(H242,cfg_units,0)),""),""),""))</f>
        <v/>
      </c>
      <c r="Y242" s="96">
        <f>IF(AND(W242=1,ISNUMBER(I242)),1,0)</f>
        <v>0</v>
      </c>
      <c r="Z242" s="96">
        <f>IF(U242=1,INDEX('MTRs'!$AA$6:$AA$505,T242),0)</f>
        <v>0</v>
      </c>
      <c r="AA242" s="96">
        <f>IF(R242=0,0,COUNTIFS('RECEBIMENTOS'!$R$6:$R$1005,A242,'RECEBIMENTOS'!$Q$6:$Q$1005,1))</f>
        <v>0</v>
      </c>
      <c r="AB242" s="96">
        <f>IF(R242=0,0,COUNTIFS('RECEBIMENTOS'!$R$6:$R$1005,A242,'RECEBIMENTOS'!$Z$6:$Z$1005,1))</f>
        <v>0</v>
      </c>
      <c r="AC242" s="96">
        <f>IF(R242=0,0,COUNTIFS('RECEBIMENTOS'!$R$6:$R$1005,A242,'RECEBIMENTOS'!$Y$6:$Y$1005,1))</f>
        <v>0</v>
      </c>
      <c r="AD242" s="96">
        <f>IF(R242=0,0,COUNTIFS('VÍNCULOS_CDF'!$R$6:$R$1005,A242,'VÍNCULOS_CDF'!$N$6:$N$1005,1))</f>
        <v>0</v>
      </c>
      <c r="AE242" s="96">
        <f>IF(R242=0,0,COUNTIFS('VÍNCULOS_CDF'!$R$6:$R$1005,A242,'VÍNCULOS_CDF'!$AA$6:$AA$1005,1))</f>
        <v>0</v>
      </c>
      <c r="AF242" s="96">
        <f>IF(R242=0,0,COUNTIFS('VÍNCULOS_CDF'!$R$6:$R$1005,A242,'VÍNCULOS_CDF'!$Y$6:$Y$1005,1))</f>
        <v>0</v>
      </c>
      <c r="AG242" s="96" t="str">
        <f>IF(AND(R242=1,S242&lt;&gt;"",C242&lt;&gt;""),S242&amp;"|"&amp;C242&amp;"|"&amp;G242&amp;"|"&amp;H242,"")</f>
        <v/>
      </c>
      <c r="AH242" s="96">
        <f>IF(AG242="",0,IF(SUMPRODUCT(--($AG$6:$AG$1005=AG242))&gt;1,1,0))</f>
        <v>0</v>
      </c>
      <c r="AI242" s="96">
        <f>IF(R242=0,0,IF(OR(U242=0,V242=0,Y242=0,AND(AH242=1,K242&lt;&gt;"Sim")),1,0))</f>
        <v>0</v>
      </c>
      <c r="AJ242" s="96">
        <f>IF(AND(R242=1,AA242&gt;0,AB242=AA242),1,0)</f>
        <v>0</v>
      </c>
      <c r="AK242" s="96">
        <f>IF(R242=0,0,IF(AA242&gt;0,N(L242),IF(ISNUMBER(I242),I242,0)))</f>
        <v>0</v>
      </c>
      <c r="AL242" s="96">
        <f>IF(R242=0,0,IF(AND(K242&lt;&gt;"Sim",N(M242)&gt;AK242+cfg_tol),1,0))</f>
        <v>0</v>
      </c>
      <c r="AM242" s="96">
        <f>IF(R242=0,0,IF(K242="Sim",0,IF(OR(AND(AA242&gt;0,ISNUMBER(I242),ABS(I242-N(L242))&gt;cfg_tol),AL242=1),1,0)))</f>
        <v>0</v>
      </c>
      <c r="AN242" s="96">
        <f>IF(AND(R242=1,N(M242)&gt;0,OR(N(M242)&gt;=AK242-cfg_tol,K242="Sim")),1,0)</f>
        <v>0</v>
      </c>
      <c r="AO242" s="96">
        <f>IF(AND(AN242=1,AD242&gt;0,AE242=AD242,AL242=0),1,0)</f>
        <v>0</v>
      </c>
      <c r="AP242" s="96">
        <f>IF(U242=0,0,IF(AND(INDEX('MTRs'!$AX$6:$AX$505,T242)=1,Z242=0,OR(f_res="",f_res="(Todos)",C242=f_res)),1,0))</f>
        <v>0</v>
      </c>
      <c r="AQ242" s="97" t="str">
        <f>IF(U242=0,"",INDEX('MTRs'!$AZ$6:$AZ$505,T242))</f>
        <v/>
      </c>
      <c r="AR242" s="96">
        <f>IF(U242=0,0,IF(AND(INDEX('MTRs'!$BA$6:$BA$505,T242)=1,Z242=0),1,0))</f>
        <v>0</v>
      </c>
      <c r="AS242" s="96" t="str">
        <f>IF(R242=1,A242&amp;" | MTR "&amp;IF(U242=1,INDEX('MTRs'!$B$6:$B$505,T242)&amp;"","?")&amp;" | "&amp;IF(C242="","(sem resíduo)",C242),"")</f>
        <v/>
      </c>
      <c r="AT242" s="96" t="str">
        <f>IF(R242=1,COUNTIF($R$6:R242,1),"")</f>
        <v/>
      </c>
      <c r="AU242" s="96" t="str">
        <f>IF(U242=1,INDEX('MTRs'!$I$6:$I$505,T242)&amp;"","")</f>
        <v/>
      </c>
    </row>
    <row r="243">
      <c r="A243" s="89" t="inlineStr">
        <is>
          <t>IT-000238</t>
        </is>
      </c>
      <c r="B243" s="91" t="n"/>
      <c r="C243" s="91" t="n"/>
      <c r="D243" s="94" t="str">
        <f>IF(OR(R243=0,V243=0),"",INDEX('CAD_RESÍDUOS'!$E$6:$E$205,MATCH(C243,'CAD_RESÍDUOS'!$B$6:$B$205,0))&amp;"")</f>
        <v/>
      </c>
      <c r="E243" s="94" t="str">
        <f>IF(OR(R243=0,V243=0),"",INDEX('CAD_RESÍDUOS'!$C$6:$C$205,MATCH(C243,'CAD_RESÍDUOS'!$B$6:$B$205,0))&amp;"")</f>
        <v/>
      </c>
      <c r="F243" s="94" t="str">
        <f>IF(OR(R243=0,V243=0),"",INDEX('CAD_RESÍDUOS'!$G$6:$G$205,MATCH(C243,'CAD_RESÍDUOS'!$B$6:$B$205,0))&amp;"")</f>
        <v/>
      </c>
      <c r="G243" s="98" t="n"/>
      <c r="H243" s="91" t="n"/>
      <c r="I243" s="93" t="str">
        <f>IF(R243=0,"",IF(NOT(ISNUMBER(G243)),"",IF(ISNUMBER(X243),G243*X243,"UNIDADE A CONFERIR")))</f>
        <v/>
      </c>
      <c r="J243" s="91" t="n"/>
      <c r="K243" s="91" t="n"/>
      <c r="L243" s="93" t="str">
        <f>IF(R243=0,"",SUMIFS('RECEBIMENTOS'!$H$6:$H$1005,'RECEBIMENTOS'!$R$6:$R$1005,A243,'RECEBIMENTOS'!$X$6:$X$1005,1))</f>
        <v/>
      </c>
      <c r="M243" s="93" t="str">
        <f>IF(R243=0,"",SUMIFS('VÍNCULOS_CDF'!$H$6:$H$1005,'VÍNCULOS_CDF'!$R$6:$R$1005,A243,'VÍNCULOS_CDF'!$V$6:$V$1005,1))</f>
        <v/>
      </c>
      <c r="N243" s="99" t="str">
        <f>IF(OR(R243=0,AA243=0,NOT(ISNUMBER(I243))),"",I243-N(L243))</f>
        <v/>
      </c>
      <c r="O243" s="100" t="str">
        <f>IF(OR(R243=0,AK243&lt;=0),"",N(M243)/AK243)</f>
        <v/>
      </c>
      <c r="P243" s="94" t="str">
        <f>IF(R243=0,"",IF(S243="","Sem MTR associado",IF(U243=0,"MTR inexistente",IF(C243="","Resíduo não identificado",IF(V243=0,"Resíduo fora do cadastro",IF(W243=0,"Quantidade inválida",IF(H243="","Unidade não informada",IF(NOT(ISNUMBER(I243)),"Unidade a conferir",IF(AND(AH243=1,K243&lt;&gt;"Sim"),"Possível duplicidade",IF(Z243=1,"MTR cancelado",IF(AC243&gt;0,"Recebimento com alerta",IF(AA243=0,"Aguardando recebimento",IF(AB243&lt;AA243,"Recebimento a conferir",IF(AM243=1,"Quantidade a revisar",IF(AF243&gt;0,"Vínculo a revisar",IF(AD243=0,"Aguardando CDF",IF(AN243=0,"Vínculo de CDF parcial",IF(AE243&lt;AD243,"CDF a conferir","Documentação conferida"))))))))))))))))))</f>
        <v/>
      </c>
      <c r="Q243" s="93" t="str">
        <f>IF(OR(R243=0,AA243=0),"",MAX(0,N(L243)-N(M243)))</f>
        <v/>
      </c>
      <c r="R243" s="96">
        <f>IF(COUNTA(B243:C243,G243:H243,J243:K243)&gt;0,1,0)</f>
        <v>0</v>
      </c>
      <c r="S243" s="96" t="str">
        <f>IF(B243="","",TRIM(LEFT(B243,FIND(" |",B243&amp;" |")-1)))</f>
        <v/>
      </c>
      <c r="T243" s="96" t="str">
        <f>IF(S243="","",IFERROR(MATCH(S243,'MTRs'!$A$6:$A$505,0),""))</f>
        <v/>
      </c>
      <c r="U243" s="96">
        <f>IF(T243="",0,IF(INDEX('MTRs'!$Z$6:$Z$505,T243)=1,1,0))</f>
        <v>0</v>
      </c>
      <c r="V243" s="96">
        <f>IF(C243="",0,IF(ISNUMBER(MATCH(C243,'CAD_RESÍDUOS'!$B$6:$B$205,0)),1,0))</f>
        <v>0</v>
      </c>
      <c r="W243" s="96">
        <f>IF(AND(ISNUMBER(G243),G243&gt;0),1,0)</f>
        <v>0</v>
      </c>
      <c r="X243" s="96" t="str">
        <f>IF(H243="","",IFERROR(IF(ISNUMBER(INDEX(cfg_fac,MATCH(H243,cfg_units,0))),IF(INDEX(cfg_fac,MATCH(H243,cfg_units,0))&gt;0,INDEX(cfg_fac,MATCH(H243,cfg_units,0)),""),""),""))</f>
        <v/>
      </c>
      <c r="Y243" s="96">
        <f>IF(AND(W243=1,ISNUMBER(I243)),1,0)</f>
        <v>0</v>
      </c>
      <c r="Z243" s="96">
        <f>IF(U243=1,INDEX('MTRs'!$AA$6:$AA$505,T243),0)</f>
        <v>0</v>
      </c>
      <c r="AA243" s="96">
        <f>IF(R243=0,0,COUNTIFS('RECEBIMENTOS'!$R$6:$R$1005,A243,'RECEBIMENTOS'!$Q$6:$Q$1005,1))</f>
        <v>0</v>
      </c>
      <c r="AB243" s="96">
        <f>IF(R243=0,0,COUNTIFS('RECEBIMENTOS'!$R$6:$R$1005,A243,'RECEBIMENTOS'!$Z$6:$Z$1005,1))</f>
        <v>0</v>
      </c>
      <c r="AC243" s="96">
        <f>IF(R243=0,0,COUNTIFS('RECEBIMENTOS'!$R$6:$R$1005,A243,'RECEBIMENTOS'!$Y$6:$Y$1005,1))</f>
        <v>0</v>
      </c>
      <c r="AD243" s="96">
        <f>IF(R243=0,0,COUNTIFS('VÍNCULOS_CDF'!$R$6:$R$1005,A243,'VÍNCULOS_CDF'!$N$6:$N$1005,1))</f>
        <v>0</v>
      </c>
      <c r="AE243" s="96">
        <f>IF(R243=0,0,COUNTIFS('VÍNCULOS_CDF'!$R$6:$R$1005,A243,'VÍNCULOS_CDF'!$AA$6:$AA$1005,1))</f>
        <v>0</v>
      </c>
      <c r="AF243" s="96">
        <f>IF(R243=0,0,COUNTIFS('VÍNCULOS_CDF'!$R$6:$R$1005,A243,'VÍNCULOS_CDF'!$Y$6:$Y$1005,1))</f>
        <v>0</v>
      </c>
      <c r="AG243" s="96" t="str">
        <f>IF(AND(R243=1,S243&lt;&gt;"",C243&lt;&gt;""),S243&amp;"|"&amp;C243&amp;"|"&amp;G243&amp;"|"&amp;H243,"")</f>
        <v/>
      </c>
      <c r="AH243" s="96">
        <f>IF(AG243="",0,IF(SUMPRODUCT(--($AG$6:$AG$1005=AG243))&gt;1,1,0))</f>
        <v>0</v>
      </c>
      <c r="AI243" s="96">
        <f>IF(R243=0,0,IF(OR(U243=0,V243=0,Y243=0,AND(AH243=1,K243&lt;&gt;"Sim")),1,0))</f>
        <v>0</v>
      </c>
      <c r="AJ243" s="96">
        <f>IF(AND(R243=1,AA243&gt;0,AB243=AA243),1,0)</f>
        <v>0</v>
      </c>
      <c r="AK243" s="96">
        <f>IF(R243=0,0,IF(AA243&gt;0,N(L243),IF(ISNUMBER(I243),I243,0)))</f>
        <v>0</v>
      </c>
      <c r="AL243" s="96">
        <f>IF(R243=0,0,IF(AND(K243&lt;&gt;"Sim",N(M243)&gt;AK243+cfg_tol),1,0))</f>
        <v>0</v>
      </c>
      <c r="AM243" s="96">
        <f>IF(R243=0,0,IF(K243="Sim",0,IF(OR(AND(AA243&gt;0,ISNUMBER(I243),ABS(I243-N(L243))&gt;cfg_tol),AL243=1),1,0)))</f>
        <v>0</v>
      </c>
      <c r="AN243" s="96">
        <f>IF(AND(R243=1,N(M243)&gt;0,OR(N(M243)&gt;=AK243-cfg_tol,K243="Sim")),1,0)</f>
        <v>0</v>
      </c>
      <c r="AO243" s="96">
        <f>IF(AND(AN243=1,AD243&gt;0,AE243=AD243,AL243=0),1,0)</f>
        <v>0</v>
      </c>
      <c r="AP243" s="96">
        <f>IF(U243=0,0,IF(AND(INDEX('MTRs'!$AX$6:$AX$505,T243)=1,Z243=0,OR(f_res="",f_res="(Todos)",C243=f_res)),1,0))</f>
        <v>0</v>
      </c>
      <c r="AQ243" s="97" t="str">
        <f>IF(U243=0,"",INDEX('MTRs'!$AZ$6:$AZ$505,T243))</f>
        <v/>
      </c>
      <c r="AR243" s="96">
        <f>IF(U243=0,0,IF(AND(INDEX('MTRs'!$BA$6:$BA$505,T243)=1,Z243=0),1,0))</f>
        <v>0</v>
      </c>
      <c r="AS243" s="96" t="str">
        <f>IF(R243=1,A243&amp;" | MTR "&amp;IF(U243=1,INDEX('MTRs'!$B$6:$B$505,T243)&amp;"","?")&amp;" | "&amp;IF(C243="","(sem resíduo)",C243),"")</f>
        <v/>
      </c>
      <c r="AT243" s="96" t="str">
        <f>IF(R243=1,COUNTIF($R$6:R243,1),"")</f>
        <v/>
      </c>
      <c r="AU243" s="96" t="str">
        <f>IF(U243=1,INDEX('MTRs'!$I$6:$I$505,T243)&amp;"","")</f>
        <v/>
      </c>
    </row>
    <row r="244">
      <c r="A244" s="89" t="inlineStr">
        <is>
          <t>IT-000239</t>
        </is>
      </c>
      <c r="B244" s="91" t="n"/>
      <c r="C244" s="91" t="n"/>
      <c r="D244" s="94" t="str">
        <f>IF(OR(R244=0,V244=0),"",INDEX('CAD_RESÍDUOS'!$E$6:$E$205,MATCH(C244,'CAD_RESÍDUOS'!$B$6:$B$205,0))&amp;"")</f>
        <v/>
      </c>
      <c r="E244" s="94" t="str">
        <f>IF(OR(R244=0,V244=0),"",INDEX('CAD_RESÍDUOS'!$C$6:$C$205,MATCH(C244,'CAD_RESÍDUOS'!$B$6:$B$205,0))&amp;"")</f>
        <v/>
      </c>
      <c r="F244" s="94" t="str">
        <f>IF(OR(R244=0,V244=0),"",INDEX('CAD_RESÍDUOS'!$G$6:$G$205,MATCH(C244,'CAD_RESÍDUOS'!$B$6:$B$205,0))&amp;"")</f>
        <v/>
      </c>
      <c r="G244" s="98" t="n"/>
      <c r="H244" s="91" t="n"/>
      <c r="I244" s="93" t="str">
        <f>IF(R244=0,"",IF(NOT(ISNUMBER(G244)),"",IF(ISNUMBER(X244),G244*X244,"UNIDADE A CONFERIR")))</f>
        <v/>
      </c>
      <c r="J244" s="91" t="n"/>
      <c r="K244" s="91" t="n"/>
      <c r="L244" s="93" t="str">
        <f>IF(R244=0,"",SUMIFS('RECEBIMENTOS'!$H$6:$H$1005,'RECEBIMENTOS'!$R$6:$R$1005,A244,'RECEBIMENTOS'!$X$6:$X$1005,1))</f>
        <v/>
      </c>
      <c r="M244" s="93" t="str">
        <f>IF(R244=0,"",SUMIFS('VÍNCULOS_CDF'!$H$6:$H$1005,'VÍNCULOS_CDF'!$R$6:$R$1005,A244,'VÍNCULOS_CDF'!$V$6:$V$1005,1))</f>
        <v/>
      </c>
      <c r="N244" s="99" t="str">
        <f>IF(OR(R244=0,AA244=0,NOT(ISNUMBER(I244))),"",I244-N(L244))</f>
        <v/>
      </c>
      <c r="O244" s="100" t="str">
        <f>IF(OR(R244=0,AK244&lt;=0),"",N(M244)/AK244)</f>
        <v/>
      </c>
      <c r="P244" s="94" t="str">
        <f>IF(R244=0,"",IF(S244="","Sem MTR associado",IF(U244=0,"MTR inexistente",IF(C244="","Resíduo não identificado",IF(V244=0,"Resíduo fora do cadastro",IF(W244=0,"Quantidade inválida",IF(H244="","Unidade não informada",IF(NOT(ISNUMBER(I244)),"Unidade a conferir",IF(AND(AH244=1,K244&lt;&gt;"Sim"),"Possível duplicidade",IF(Z244=1,"MTR cancelado",IF(AC244&gt;0,"Recebimento com alerta",IF(AA244=0,"Aguardando recebimento",IF(AB244&lt;AA244,"Recebimento a conferir",IF(AM244=1,"Quantidade a revisar",IF(AF244&gt;0,"Vínculo a revisar",IF(AD244=0,"Aguardando CDF",IF(AN244=0,"Vínculo de CDF parcial",IF(AE244&lt;AD244,"CDF a conferir","Documentação conferida"))))))))))))))))))</f>
        <v/>
      </c>
      <c r="Q244" s="93" t="str">
        <f>IF(OR(R244=0,AA244=0),"",MAX(0,N(L244)-N(M244)))</f>
        <v/>
      </c>
      <c r="R244" s="96">
        <f>IF(COUNTA(B244:C244,G244:H244,J244:K244)&gt;0,1,0)</f>
        <v>0</v>
      </c>
      <c r="S244" s="96" t="str">
        <f>IF(B244="","",TRIM(LEFT(B244,FIND(" |",B244&amp;" |")-1)))</f>
        <v/>
      </c>
      <c r="T244" s="96" t="str">
        <f>IF(S244="","",IFERROR(MATCH(S244,'MTRs'!$A$6:$A$505,0),""))</f>
        <v/>
      </c>
      <c r="U244" s="96">
        <f>IF(T244="",0,IF(INDEX('MTRs'!$Z$6:$Z$505,T244)=1,1,0))</f>
        <v>0</v>
      </c>
      <c r="V244" s="96">
        <f>IF(C244="",0,IF(ISNUMBER(MATCH(C244,'CAD_RESÍDUOS'!$B$6:$B$205,0)),1,0))</f>
        <v>0</v>
      </c>
      <c r="W244" s="96">
        <f>IF(AND(ISNUMBER(G244),G244&gt;0),1,0)</f>
        <v>0</v>
      </c>
      <c r="X244" s="96" t="str">
        <f>IF(H244="","",IFERROR(IF(ISNUMBER(INDEX(cfg_fac,MATCH(H244,cfg_units,0))),IF(INDEX(cfg_fac,MATCH(H244,cfg_units,0))&gt;0,INDEX(cfg_fac,MATCH(H244,cfg_units,0)),""),""),""))</f>
        <v/>
      </c>
      <c r="Y244" s="96">
        <f>IF(AND(W244=1,ISNUMBER(I244)),1,0)</f>
        <v>0</v>
      </c>
      <c r="Z244" s="96">
        <f>IF(U244=1,INDEX('MTRs'!$AA$6:$AA$505,T244),0)</f>
        <v>0</v>
      </c>
      <c r="AA244" s="96">
        <f>IF(R244=0,0,COUNTIFS('RECEBIMENTOS'!$R$6:$R$1005,A244,'RECEBIMENTOS'!$Q$6:$Q$1005,1))</f>
        <v>0</v>
      </c>
      <c r="AB244" s="96">
        <f>IF(R244=0,0,COUNTIFS('RECEBIMENTOS'!$R$6:$R$1005,A244,'RECEBIMENTOS'!$Z$6:$Z$1005,1))</f>
        <v>0</v>
      </c>
      <c r="AC244" s="96">
        <f>IF(R244=0,0,COUNTIFS('RECEBIMENTOS'!$R$6:$R$1005,A244,'RECEBIMENTOS'!$Y$6:$Y$1005,1))</f>
        <v>0</v>
      </c>
      <c r="AD244" s="96">
        <f>IF(R244=0,0,COUNTIFS('VÍNCULOS_CDF'!$R$6:$R$1005,A244,'VÍNCULOS_CDF'!$N$6:$N$1005,1))</f>
        <v>0</v>
      </c>
      <c r="AE244" s="96">
        <f>IF(R244=0,0,COUNTIFS('VÍNCULOS_CDF'!$R$6:$R$1005,A244,'VÍNCULOS_CDF'!$AA$6:$AA$1005,1))</f>
        <v>0</v>
      </c>
      <c r="AF244" s="96">
        <f>IF(R244=0,0,COUNTIFS('VÍNCULOS_CDF'!$R$6:$R$1005,A244,'VÍNCULOS_CDF'!$Y$6:$Y$1005,1))</f>
        <v>0</v>
      </c>
      <c r="AG244" s="96" t="str">
        <f>IF(AND(R244=1,S244&lt;&gt;"",C244&lt;&gt;""),S244&amp;"|"&amp;C244&amp;"|"&amp;G244&amp;"|"&amp;H244,"")</f>
        <v/>
      </c>
      <c r="AH244" s="96">
        <f>IF(AG244="",0,IF(SUMPRODUCT(--($AG$6:$AG$1005=AG244))&gt;1,1,0))</f>
        <v>0</v>
      </c>
      <c r="AI244" s="96">
        <f>IF(R244=0,0,IF(OR(U244=0,V244=0,Y244=0,AND(AH244=1,K244&lt;&gt;"Sim")),1,0))</f>
        <v>0</v>
      </c>
      <c r="AJ244" s="96">
        <f>IF(AND(R244=1,AA244&gt;0,AB244=AA244),1,0)</f>
        <v>0</v>
      </c>
      <c r="AK244" s="96">
        <f>IF(R244=0,0,IF(AA244&gt;0,N(L244),IF(ISNUMBER(I244),I244,0)))</f>
        <v>0</v>
      </c>
      <c r="AL244" s="96">
        <f>IF(R244=0,0,IF(AND(K244&lt;&gt;"Sim",N(M244)&gt;AK244+cfg_tol),1,0))</f>
        <v>0</v>
      </c>
      <c r="AM244" s="96">
        <f>IF(R244=0,0,IF(K244="Sim",0,IF(OR(AND(AA244&gt;0,ISNUMBER(I244),ABS(I244-N(L244))&gt;cfg_tol),AL244=1),1,0)))</f>
        <v>0</v>
      </c>
      <c r="AN244" s="96">
        <f>IF(AND(R244=1,N(M244)&gt;0,OR(N(M244)&gt;=AK244-cfg_tol,K244="Sim")),1,0)</f>
        <v>0</v>
      </c>
      <c r="AO244" s="96">
        <f>IF(AND(AN244=1,AD244&gt;0,AE244=AD244,AL244=0),1,0)</f>
        <v>0</v>
      </c>
      <c r="AP244" s="96">
        <f>IF(U244=0,0,IF(AND(INDEX('MTRs'!$AX$6:$AX$505,T244)=1,Z244=0,OR(f_res="",f_res="(Todos)",C244=f_res)),1,0))</f>
        <v>0</v>
      </c>
      <c r="AQ244" s="97" t="str">
        <f>IF(U244=0,"",INDEX('MTRs'!$AZ$6:$AZ$505,T244))</f>
        <v/>
      </c>
      <c r="AR244" s="96">
        <f>IF(U244=0,0,IF(AND(INDEX('MTRs'!$BA$6:$BA$505,T244)=1,Z244=0),1,0))</f>
        <v>0</v>
      </c>
      <c r="AS244" s="96" t="str">
        <f>IF(R244=1,A244&amp;" | MTR "&amp;IF(U244=1,INDEX('MTRs'!$B$6:$B$505,T244)&amp;"","?")&amp;" | "&amp;IF(C244="","(sem resíduo)",C244),"")</f>
        <v/>
      </c>
      <c r="AT244" s="96" t="str">
        <f>IF(R244=1,COUNTIF($R$6:R244,1),"")</f>
        <v/>
      </c>
      <c r="AU244" s="96" t="str">
        <f>IF(U244=1,INDEX('MTRs'!$I$6:$I$505,T244)&amp;"","")</f>
        <v/>
      </c>
    </row>
    <row r="245">
      <c r="A245" s="89" t="inlineStr">
        <is>
          <t>IT-000240</t>
        </is>
      </c>
      <c r="B245" s="91" t="n"/>
      <c r="C245" s="91" t="n"/>
      <c r="D245" s="94" t="str">
        <f>IF(OR(R245=0,V245=0),"",INDEX('CAD_RESÍDUOS'!$E$6:$E$205,MATCH(C245,'CAD_RESÍDUOS'!$B$6:$B$205,0))&amp;"")</f>
        <v/>
      </c>
      <c r="E245" s="94" t="str">
        <f>IF(OR(R245=0,V245=0),"",INDEX('CAD_RESÍDUOS'!$C$6:$C$205,MATCH(C245,'CAD_RESÍDUOS'!$B$6:$B$205,0))&amp;"")</f>
        <v/>
      </c>
      <c r="F245" s="94" t="str">
        <f>IF(OR(R245=0,V245=0),"",INDEX('CAD_RESÍDUOS'!$G$6:$G$205,MATCH(C245,'CAD_RESÍDUOS'!$B$6:$B$205,0))&amp;"")</f>
        <v/>
      </c>
      <c r="G245" s="98" t="n"/>
      <c r="H245" s="91" t="n"/>
      <c r="I245" s="93" t="str">
        <f>IF(R245=0,"",IF(NOT(ISNUMBER(G245)),"",IF(ISNUMBER(X245),G245*X245,"UNIDADE A CONFERIR")))</f>
        <v/>
      </c>
      <c r="J245" s="91" t="n"/>
      <c r="K245" s="91" t="n"/>
      <c r="L245" s="93" t="str">
        <f>IF(R245=0,"",SUMIFS('RECEBIMENTOS'!$H$6:$H$1005,'RECEBIMENTOS'!$R$6:$R$1005,A245,'RECEBIMENTOS'!$X$6:$X$1005,1))</f>
        <v/>
      </c>
      <c r="M245" s="93" t="str">
        <f>IF(R245=0,"",SUMIFS('VÍNCULOS_CDF'!$H$6:$H$1005,'VÍNCULOS_CDF'!$R$6:$R$1005,A245,'VÍNCULOS_CDF'!$V$6:$V$1005,1))</f>
        <v/>
      </c>
      <c r="N245" s="99" t="str">
        <f>IF(OR(R245=0,AA245=0,NOT(ISNUMBER(I245))),"",I245-N(L245))</f>
        <v/>
      </c>
      <c r="O245" s="100" t="str">
        <f>IF(OR(R245=0,AK245&lt;=0),"",N(M245)/AK245)</f>
        <v/>
      </c>
      <c r="P245" s="94" t="str">
        <f>IF(R245=0,"",IF(S245="","Sem MTR associado",IF(U245=0,"MTR inexistente",IF(C245="","Resíduo não identificado",IF(V245=0,"Resíduo fora do cadastro",IF(W245=0,"Quantidade inválida",IF(H245="","Unidade não informada",IF(NOT(ISNUMBER(I245)),"Unidade a conferir",IF(AND(AH245=1,K245&lt;&gt;"Sim"),"Possível duplicidade",IF(Z245=1,"MTR cancelado",IF(AC245&gt;0,"Recebimento com alerta",IF(AA245=0,"Aguardando recebimento",IF(AB245&lt;AA245,"Recebimento a conferir",IF(AM245=1,"Quantidade a revisar",IF(AF245&gt;0,"Vínculo a revisar",IF(AD245=0,"Aguardando CDF",IF(AN245=0,"Vínculo de CDF parcial",IF(AE245&lt;AD245,"CDF a conferir","Documentação conferida"))))))))))))))))))</f>
        <v/>
      </c>
      <c r="Q245" s="93" t="str">
        <f>IF(OR(R245=0,AA245=0),"",MAX(0,N(L245)-N(M245)))</f>
        <v/>
      </c>
      <c r="R245" s="96">
        <f>IF(COUNTA(B245:C245,G245:H245,J245:K245)&gt;0,1,0)</f>
        <v>0</v>
      </c>
      <c r="S245" s="96" t="str">
        <f>IF(B245="","",TRIM(LEFT(B245,FIND(" |",B245&amp;" |")-1)))</f>
        <v/>
      </c>
      <c r="T245" s="96" t="str">
        <f>IF(S245="","",IFERROR(MATCH(S245,'MTRs'!$A$6:$A$505,0),""))</f>
        <v/>
      </c>
      <c r="U245" s="96">
        <f>IF(T245="",0,IF(INDEX('MTRs'!$Z$6:$Z$505,T245)=1,1,0))</f>
        <v>0</v>
      </c>
      <c r="V245" s="96">
        <f>IF(C245="",0,IF(ISNUMBER(MATCH(C245,'CAD_RESÍDUOS'!$B$6:$B$205,0)),1,0))</f>
        <v>0</v>
      </c>
      <c r="W245" s="96">
        <f>IF(AND(ISNUMBER(G245),G245&gt;0),1,0)</f>
        <v>0</v>
      </c>
      <c r="X245" s="96" t="str">
        <f>IF(H245="","",IFERROR(IF(ISNUMBER(INDEX(cfg_fac,MATCH(H245,cfg_units,0))),IF(INDEX(cfg_fac,MATCH(H245,cfg_units,0))&gt;0,INDEX(cfg_fac,MATCH(H245,cfg_units,0)),""),""),""))</f>
        <v/>
      </c>
      <c r="Y245" s="96">
        <f>IF(AND(W245=1,ISNUMBER(I245)),1,0)</f>
        <v>0</v>
      </c>
      <c r="Z245" s="96">
        <f>IF(U245=1,INDEX('MTRs'!$AA$6:$AA$505,T245),0)</f>
        <v>0</v>
      </c>
      <c r="AA245" s="96">
        <f>IF(R245=0,0,COUNTIFS('RECEBIMENTOS'!$R$6:$R$1005,A245,'RECEBIMENTOS'!$Q$6:$Q$1005,1))</f>
        <v>0</v>
      </c>
      <c r="AB245" s="96">
        <f>IF(R245=0,0,COUNTIFS('RECEBIMENTOS'!$R$6:$R$1005,A245,'RECEBIMENTOS'!$Z$6:$Z$1005,1))</f>
        <v>0</v>
      </c>
      <c r="AC245" s="96">
        <f>IF(R245=0,0,COUNTIFS('RECEBIMENTOS'!$R$6:$R$1005,A245,'RECEBIMENTOS'!$Y$6:$Y$1005,1))</f>
        <v>0</v>
      </c>
      <c r="AD245" s="96">
        <f>IF(R245=0,0,COUNTIFS('VÍNCULOS_CDF'!$R$6:$R$1005,A245,'VÍNCULOS_CDF'!$N$6:$N$1005,1))</f>
        <v>0</v>
      </c>
      <c r="AE245" s="96">
        <f>IF(R245=0,0,COUNTIFS('VÍNCULOS_CDF'!$R$6:$R$1005,A245,'VÍNCULOS_CDF'!$AA$6:$AA$1005,1))</f>
        <v>0</v>
      </c>
      <c r="AF245" s="96">
        <f>IF(R245=0,0,COUNTIFS('VÍNCULOS_CDF'!$R$6:$R$1005,A245,'VÍNCULOS_CDF'!$Y$6:$Y$1005,1))</f>
        <v>0</v>
      </c>
      <c r="AG245" s="96" t="str">
        <f>IF(AND(R245=1,S245&lt;&gt;"",C245&lt;&gt;""),S245&amp;"|"&amp;C245&amp;"|"&amp;G245&amp;"|"&amp;H245,"")</f>
        <v/>
      </c>
      <c r="AH245" s="96">
        <f>IF(AG245="",0,IF(SUMPRODUCT(--($AG$6:$AG$1005=AG245))&gt;1,1,0))</f>
        <v>0</v>
      </c>
      <c r="AI245" s="96">
        <f>IF(R245=0,0,IF(OR(U245=0,V245=0,Y245=0,AND(AH245=1,K245&lt;&gt;"Sim")),1,0))</f>
        <v>0</v>
      </c>
      <c r="AJ245" s="96">
        <f>IF(AND(R245=1,AA245&gt;0,AB245=AA245),1,0)</f>
        <v>0</v>
      </c>
      <c r="AK245" s="96">
        <f>IF(R245=0,0,IF(AA245&gt;0,N(L245),IF(ISNUMBER(I245),I245,0)))</f>
        <v>0</v>
      </c>
      <c r="AL245" s="96">
        <f>IF(R245=0,0,IF(AND(K245&lt;&gt;"Sim",N(M245)&gt;AK245+cfg_tol),1,0))</f>
        <v>0</v>
      </c>
      <c r="AM245" s="96">
        <f>IF(R245=0,0,IF(K245="Sim",0,IF(OR(AND(AA245&gt;0,ISNUMBER(I245),ABS(I245-N(L245))&gt;cfg_tol),AL245=1),1,0)))</f>
        <v>0</v>
      </c>
      <c r="AN245" s="96">
        <f>IF(AND(R245=1,N(M245)&gt;0,OR(N(M245)&gt;=AK245-cfg_tol,K245="Sim")),1,0)</f>
        <v>0</v>
      </c>
      <c r="AO245" s="96">
        <f>IF(AND(AN245=1,AD245&gt;0,AE245=AD245,AL245=0),1,0)</f>
        <v>0</v>
      </c>
      <c r="AP245" s="96">
        <f>IF(U245=0,0,IF(AND(INDEX('MTRs'!$AX$6:$AX$505,T245)=1,Z245=0,OR(f_res="",f_res="(Todos)",C245=f_res)),1,0))</f>
        <v>0</v>
      </c>
      <c r="AQ245" s="97" t="str">
        <f>IF(U245=0,"",INDEX('MTRs'!$AZ$6:$AZ$505,T245))</f>
        <v/>
      </c>
      <c r="AR245" s="96">
        <f>IF(U245=0,0,IF(AND(INDEX('MTRs'!$BA$6:$BA$505,T245)=1,Z245=0),1,0))</f>
        <v>0</v>
      </c>
      <c r="AS245" s="96" t="str">
        <f>IF(R245=1,A245&amp;" | MTR "&amp;IF(U245=1,INDEX('MTRs'!$B$6:$B$505,T245)&amp;"","?")&amp;" | "&amp;IF(C245="","(sem resíduo)",C245),"")</f>
        <v/>
      </c>
      <c r="AT245" s="96" t="str">
        <f>IF(R245=1,COUNTIF($R$6:R245,1),"")</f>
        <v/>
      </c>
      <c r="AU245" s="96" t="str">
        <f>IF(U245=1,INDEX('MTRs'!$I$6:$I$505,T245)&amp;"","")</f>
        <v/>
      </c>
    </row>
    <row r="246">
      <c r="A246" s="89" t="inlineStr">
        <is>
          <t>IT-000241</t>
        </is>
      </c>
      <c r="B246" s="91" t="n"/>
      <c r="C246" s="91" t="n"/>
      <c r="D246" s="94" t="str">
        <f>IF(OR(R246=0,V246=0),"",INDEX('CAD_RESÍDUOS'!$E$6:$E$205,MATCH(C246,'CAD_RESÍDUOS'!$B$6:$B$205,0))&amp;"")</f>
        <v/>
      </c>
      <c r="E246" s="94" t="str">
        <f>IF(OR(R246=0,V246=0),"",INDEX('CAD_RESÍDUOS'!$C$6:$C$205,MATCH(C246,'CAD_RESÍDUOS'!$B$6:$B$205,0))&amp;"")</f>
        <v/>
      </c>
      <c r="F246" s="94" t="str">
        <f>IF(OR(R246=0,V246=0),"",INDEX('CAD_RESÍDUOS'!$G$6:$G$205,MATCH(C246,'CAD_RESÍDUOS'!$B$6:$B$205,0))&amp;"")</f>
        <v/>
      </c>
      <c r="G246" s="98" t="n"/>
      <c r="H246" s="91" t="n"/>
      <c r="I246" s="93" t="str">
        <f>IF(R246=0,"",IF(NOT(ISNUMBER(G246)),"",IF(ISNUMBER(X246),G246*X246,"UNIDADE A CONFERIR")))</f>
        <v/>
      </c>
      <c r="J246" s="91" t="n"/>
      <c r="K246" s="91" t="n"/>
      <c r="L246" s="93" t="str">
        <f>IF(R246=0,"",SUMIFS('RECEBIMENTOS'!$H$6:$H$1005,'RECEBIMENTOS'!$R$6:$R$1005,A246,'RECEBIMENTOS'!$X$6:$X$1005,1))</f>
        <v/>
      </c>
      <c r="M246" s="93" t="str">
        <f>IF(R246=0,"",SUMIFS('VÍNCULOS_CDF'!$H$6:$H$1005,'VÍNCULOS_CDF'!$R$6:$R$1005,A246,'VÍNCULOS_CDF'!$V$6:$V$1005,1))</f>
        <v/>
      </c>
      <c r="N246" s="99" t="str">
        <f>IF(OR(R246=0,AA246=0,NOT(ISNUMBER(I246))),"",I246-N(L246))</f>
        <v/>
      </c>
      <c r="O246" s="100" t="str">
        <f>IF(OR(R246=0,AK246&lt;=0),"",N(M246)/AK246)</f>
        <v/>
      </c>
      <c r="P246" s="94" t="str">
        <f>IF(R246=0,"",IF(S246="","Sem MTR associado",IF(U246=0,"MTR inexistente",IF(C246="","Resíduo não identificado",IF(V246=0,"Resíduo fora do cadastro",IF(W246=0,"Quantidade inválida",IF(H246="","Unidade não informada",IF(NOT(ISNUMBER(I246)),"Unidade a conferir",IF(AND(AH246=1,K246&lt;&gt;"Sim"),"Possível duplicidade",IF(Z246=1,"MTR cancelado",IF(AC246&gt;0,"Recebimento com alerta",IF(AA246=0,"Aguardando recebimento",IF(AB246&lt;AA246,"Recebimento a conferir",IF(AM246=1,"Quantidade a revisar",IF(AF246&gt;0,"Vínculo a revisar",IF(AD246=0,"Aguardando CDF",IF(AN246=0,"Vínculo de CDF parcial",IF(AE246&lt;AD246,"CDF a conferir","Documentação conferida"))))))))))))))))))</f>
        <v/>
      </c>
      <c r="Q246" s="93" t="str">
        <f>IF(OR(R246=0,AA246=0),"",MAX(0,N(L246)-N(M246)))</f>
        <v/>
      </c>
      <c r="R246" s="96">
        <f>IF(COUNTA(B246:C246,G246:H246,J246:K246)&gt;0,1,0)</f>
        <v>0</v>
      </c>
      <c r="S246" s="96" t="str">
        <f>IF(B246="","",TRIM(LEFT(B246,FIND(" |",B246&amp;" |")-1)))</f>
        <v/>
      </c>
      <c r="T246" s="96" t="str">
        <f>IF(S246="","",IFERROR(MATCH(S246,'MTRs'!$A$6:$A$505,0),""))</f>
        <v/>
      </c>
      <c r="U246" s="96">
        <f>IF(T246="",0,IF(INDEX('MTRs'!$Z$6:$Z$505,T246)=1,1,0))</f>
        <v>0</v>
      </c>
      <c r="V246" s="96">
        <f>IF(C246="",0,IF(ISNUMBER(MATCH(C246,'CAD_RESÍDUOS'!$B$6:$B$205,0)),1,0))</f>
        <v>0</v>
      </c>
      <c r="W246" s="96">
        <f>IF(AND(ISNUMBER(G246),G246&gt;0),1,0)</f>
        <v>0</v>
      </c>
      <c r="X246" s="96" t="str">
        <f>IF(H246="","",IFERROR(IF(ISNUMBER(INDEX(cfg_fac,MATCH(H246,cfg_units,0))),IF(INDEX(cfg_fac,MATCH(H246,cfg_units,0))&gt;0,INDEX(cfg_fac,MATCH(H246,cfg_units,0)),""),""),""))</f>
        <v/>
      </c>
      <c r="Y246" s="96">
        <f>IF(AND(W246=1,ISNUMBER(I246)),1,0)</f>
        <v>0</v>
      </c>
      <c r="Z246" s="96">
        <f>IF(U246=1,INDEX('MTRs'!$AA$6:$AA$505,T246),0)</f>
        <v>0</v>
      </c>
      <c r="AA246" s="96">
        <f>IF(R246=0,0,COUNTIFS('RECEBIMENTOS'!$R$6:$R$1005,A246,'RECEBIMENTOS'!$Q$6:$Q$1005,1))</f>
        <v>0</v>
      </c>
      <c r="AB246" s="96">
        <f>IF(R246=0,0,COUNTIFS('RECEBIMENTOS'!$R$6:$R$1005,A246,'RECEBIMENTOS'!$Z$6:$Z$1005,1))</f>
        <v>0</v>
      </c>
      <c r="AC246" s="96">
        <f>IF(R246=0,0,COUNTIFS('RECEBIMENTOS'!$R$6:$R$1005,A246,'RECEBIMENTOS'!$Y$6:$Y$1005,1))</f>
        <v>0</v>
      </c>
      <c r="AD246" s="96">
        <f>IF(R246=0,0,COUNTIFS('VÍNCULOS_CDF'!$R$6:$R$1005,A246,'VÍNCULOS_CDF'!$N$6:$N$1005,1))</f>
        <v>0</v>
      </c>
      <c r="AE246" s="96">
        <f>IF(R246=0,0,COUNTIFS('VÍNCULOS_CDF'!$R$6:$R$1005,A246,'VÍNCULOS_CDF'!$AA$6:$AA$1005,1))</f>
        <v>0</v>
      </c>
      <c r="AF246" s="96">
        <f>IF(R246=0,0,COUNTIFS('VÍNCULOS_CDF'!$R$6:$R$1005,A246,'VÍNCULOS_CDF'!$Y$6:$Y$1005,1))</f>
        <v>0</v>
      </c>
      <c r="AG246" s="96" t="str">
        <f>IF(AND(R246=1,S246&lt;&gt;"",C246&lt;&gt;""),S246&amp;"|"&amp;C246&amp;"|"&amp;G246&amp;"|"&amp;H246,"")</f>
        <v/>
      </c>
      <c r="AH246" s="96">
        <f>IF(AG246="",0,IF(SUMPRODUCT(--($AG$6:$AG$1005=AG246))&gt;1,1,0))</f>
        <v>0</v>
      </c>
      <c r="AI246" s="96">
        <f>IF(R246=0,0,IF(OR(U246=0,V246=0,Y246=0,AND(AH246=1,K246&lt;&gt;"Sim")),1,0))</f>
        <v>0</v>
      </c>
      <c r="AJ246" s="96">
        <f>IF(AND(R246=1,AA246&gt;0,AB246=AA246),1,0)</f>
        <v>0</v>
      </c>
      <c r="AK246" s="96">
        <f>IF(R246=0,0,IF(AA246&gt;0,N(L246),IF(ISNUMBER(I246),I246,0)))</f>
        <v>0</v>
      </c>
      <c r="AL246" s="96">
        <f>IF(R246=0,0,IF(AND(K246&lt;&gt;"Sim",N(M246)&gt;AK246+cfg_tol),1,0))</f>
        <v>0</v>
      </c>
      <c r="AM246" s="96">
        <f>IF(R246=0,0,IF(K246="Sim",0,IF(OR(AND(AA246&gt;0,ISNUMBER(I246),ABS(I246-N(L246))&gt;cfg_tol),AL246=1),1,0)))</f>
        <v>0</v>
      </c>
      <c r="AN246" s="96">
        <f>IF(AND(R246=1,N(M246)&gt;0,OR(N(M246)&gt;=AK246-cfg_tol,K246="Sim")),1,0)</f>
        <v>0</v>
      </c>
      <c r="AO246" s="96">
        <f>IF(AND(AN246=1,AD246&gt;0,AE246=AD246,AL246=0),1,0)</f>
        <v>0</v>
      </c>
      <c r="AP246" s="96">
        <f>IF(U246=0,0,IF(AND(INDEX('MTRs'!$AX$6:$AX$505,T246)=1,Z246=0,OR(f_res="",f_res="(Todos)",C246=f_res)),1,0))</f>
        <v>0</v>
      </c>
      <c r="AQ246" s="97" t="str">
        <f>IF(U246=0,"",INDEX('MTRs'!$AZ$6:$AZ$505,T246))</f>
        <v/>
      </c>
      <c r="AR246" s="96">
        <f>IF(U246=0,0,IF(AND(INDEX('MTRs'!$BA$6:$BA$505,T246)=1,Z246=0),1,0))</f>
        <v>0</v>
      </c>
      <c r="AS246" s="96" t="str">
        <f>IF(R246=1,A246&amp;" | MTR "&amp;IF(U246=1,INDEX('MTRs'!$B$6:$B$505,T246)&amp;"","?")&amp;" | "&amp;IF(C246="","(sem resíduo)",C246),"")</f>
        <v/>
      </c>
      <c r="AT246" s="96" t="str">
        <f>IF(R246=1,COUNTIF($R$6:R246,1),"")</f>
        <v/>
      </c>
      <c r="AU246" s="96" t="str">
        <f>IF(U246=1,INDEX('MTRs'!$I$6:$I$505,T246)&amp;"","")</f>
        <v/>
      </c>
    </row>
    <row r="247">
      <c r="A247" s="89" t="inlineStr">
        <is>
          <t>IT-000242</t>
        </is>
      </c>
      <c r="B247" s="91" t="n"/>
      <c r="C247" s="91" t="n"/>
      <c r="D247" s="94" t="str">
        <f>IF(OR(R247=0,V247=0),"",INDEX('CAD_RESÍDUOS'!$E$6:$E$205,MATCH(C247,'CAD_RESÍDUOS'!$B$6:$B$205,0))&amp;"")</f>
        <v/>
      </c>
      <c r="E247" s="94" t="str">
        <f>IF(OR(R247=0,V247=0),"",INDEX('CAD_RESÍDUOS'!$C$6:$C$205,MATCH(C247,'CAD_RESÍDUOS'!$B$6:$B$205,0))&amp;"")</f>
        <v/>
      </c>
      <c r="F247" s="94" t="str">
        <f>IF(OR(R247=0,V247=0),"",INDEX('CAD_RESÍDUOS'!$G$6:$G$205,MATCH(C247,'CAD_RESÍDUOS'!$B$6:$B$205,0))&amp;"")</f>
        <v/>
      </c>
      <c r="G247" s="98" t="n"/>
      <c r="H247" s="91" t="n"/>
      <c r="I247" s="93" t="str">
        <f>IF(R247=0,"",IF(NOT(ISNUMBER(G247)),"",IF(ISNUMBER(X247),G247*X247,"UNIDADE A CONFERIR")))</f>
        <v/>
      </c>
      <c r="J247" s="91" t="n"/>
      <c r="K247" s="91" t="n"/>
      <c r="L247" s="93" t="str">
        <f>IF(R247=0,"",SUMIFS('RECEBIMENTOS'!$H$6:$H$1005,'RECEBIMENTOS'!$R$6:$R$1005,A247,'RECEBIMENTOS'!$X$6:$X$1005,1))</f>
        <v/>
      </c>
      <c r="M247" s="93" t="str">
        <f>IF(R247=0,"",SUMIFS('VÍNCULOS_CDF'!$H$6:$H$1005,'VÍNCULOS_CDF'!$R$6:$R$1005,A247,'VÍNCULOS_CDF'!$V$6:$V$1005,1))</f>
        <v/>
      </c>
      <c r="N247" s="99" t="str">
        <f>IF(OR(R247=0,AA247=0,NOT(ISNUMBER(I247))),"",I247-N(L247))</f>
        <v/>
      </c>
      <c r="O247" s="100" t="str">
        <f>IF(OR(R247=0,AK247&lt;=0),"",N(M247)/AK247)</f>
        <v/>
      </c>
      <c r="P247" s="94" t="str">
        <f>IF(R247=0,"",IF(S247="","Sem MTR associado",IF(U247=0,"MTR inexistente",IF(C247="","Resíduo não identificado",IF(V247=0,"Resíduo fora do cadastro",IF(W247=0,"Quantidade inválida",IF(H247="","Unidade não informada",IF(NOT(ISNUMBER(I247)),"Unidade a conferir",IF(AND(AH247=1,K247&lt;&gt;"Sim"),"Possível duplicidade",IF(Z247=1,"MTR cancelado",IF(AC247&gt;0,"Recebimento com alerta",IF(AA247=0,"Aguardando recebimento",IF(AB247&lt;AA247,"Recebimento a conferir",IF(AM247=1,"Quantidade a revisar",IF(AF247&gt;0,"Vínculo a revisar",IF(AD247=0,"Aguardando CDF",IF(AN247=0,"Vínculo de CDF parcial",IF(AE247&lt;AD247,"CDF a conferir","Documentação conferida"))))))))))))))))))</f>
        <v/>
      </c>
      <c r="Q247" s="93" t="str">
        <f>IF(OR(R247=0,AA247=0),"",MAX(0,N(L247)-N(M247)))</f>
        <v/>
      </c>
      <c r="R247" s="96">
        <f>IF(COUNTA(B247:C247,G247:H247,J247:K247)&gt;0,1,0)</f>
        <v>0</v>
      </c>
      <c r="S247" s="96" t="str">
        <f>IF(B247="","",TRIM(LEFT(B247,FIND(" |",B247&amp;" |")-1)))</f>
        <v/>
      </c>
      <c r="T247" s="96" t="str">
        <f>IF(S247="","",IFERROR(MATCH(S247,'MTRs'!$A$6:$A$505,0),""))</f>
        <v/>
      </c>
      <c r="U247" s="96">
        <f>IF(T247="",0,IF(INDEX('MTRs'!$Z$6:$Z$505,T247)=1,1,0))</f>
        <v>0</v>
      </c>
      <c r="V247" s="96">
        <f>IF(C247="",0,IF(ISNUMBER(MATCH(C247,'CAD_RESÍDUOS'!$B$6:$B$205,0)),1,0))</f>
        <v>0</v>
      </c>
      <c r="W247" s="96">
        <f>IF(AND(ISNUMBER(G247),G247&gt;0),1,0)</f>
        <v>0</v>
      </c>
      <c r="X247" s="96" t="str">
        <f>IF(H247="","",IFERROR(IF(ISNUMBER(INDEX(cfg_fac,MATCH(H247,cfg_units,0))),IF(INDEX(cfg_fac,MATCH(H247,cfg_units,0))&gt;0,INDEX(cfg_fac,MATCH(H247,cfg_units,0)),""),""),""))</f>
        <v/>
      </c>
      <c r="Y247" s="96">
        <f>IF(AND(W247=1,ISNUMBER(I247)),1,0)</f>
        <v>0</v>
      </c>
      <c r="Z247" s="96">
        <f>IF(U247=1,INDEX('MTRs'!$AA$6:$AA$505,T247),0)</f>
        <v>0</v>
      </c>
      <c r="AA247" s="96">
        <f>IF(R247=0,0,COUNTIFS('RECEBIMENTOS'!$R$6:$R$1005,A247,'RECEBIMENTOS'!$Q$6:$Q$1005,1))</f>
        <v>0</v>
      </c>
      <c r="AB247" s="96">
        <f>IF(R247=0,0,COUNTIFS('RECEBIMENTOS'!$R$6:$R$1005,A247,'RECEBIMENTOS'!$Z$6:$Z$1005,1))</f>
        <v>0</v>
      </c>
      <c r="AC247" s="96">
        <f>IF(R247=0,0,COUNTIFS('RECEBIMENTOS'!$R$6:$R$1005,A247,'RECEBIMENTOS'!$Y$6:$Y$1005,1))</f>
        <v>0</v>
      </c>
      <c r="AD247" s="96">
        <f>IF(R247=0,0,COUNTIFS('VÍNCULOS_CDF'!$R$6:$R$1005,A247,'VÍNCULOS_CDF'!$N$6:$N$1005,1))</f>
        <v>0</v>
      </c>
      <c r="AE247" s="96">
        <f>IF(R247=0,0,COUNTIFS('VÍNCULOS_CDF'!$R$6:$R$1005,A247,'VÍNCULOS_CDF'!$AA$6:$AA$1005,1))</f>
        <v>0</v>
      </c>
      <c r="AF247" s="96">
        <f>IF(R247=0,0,COUNTIFS('VÍNCULOS_CDF'!$R$6:$R$1005,A247,'VÍNCULOS_CDF'!$Y$6:$Y$1005,1))</f>
        <v>0</v>
      </c>
      <c r="AG247" s="96" t="str">
        <f>IF(AND(R247=1,S247&lt;&gt;"",C247&lt;&gt;""),S247&amp;"|"&amp;C247&amp;"|"&amp;G247&amp;"|"&amp;H247,"")</f>
        <v/>
      </c>
      <c r="AH247" s="96">
        <f>IF(AG247="",0,IF(SUMPRODUCT(--($AG$6:$AG$1005=AG247))&gt;1,1,0))</f>
        <v>0</v>
      </c>
      <c r="AI247" s="96">
        <f>IF(R247=0,0,IF(OR(U247=0,V247=0,Y247=0,AND(AH247=1,K247&lt;&gt;"Sim")),1,0))</f>
        <v>0</v>
      </c>
      <c r="AJ247" s="96">
        <f>IF(AND(R247=1,AA247&gt;0,AB247=AA247),1,0)</f>
        <v>0</v>
      </c>
      <c r="AK247" s="96">
        <f>IF(R247=0,0,IF(AA247&gt;0,N(L247),IF(ISNUMBER(I247),I247,0)))</f>
        <v>0</v>
      </c>
      <c r="AL247" s="96">
        <f>IF(R247=0,0,IF(AND(K247&lt;&gt;"Sim",N(M247)&gt;AK247+cfg_tol),1,0))</f>
        <v>0</v>
      </c>
      <c r="AM247" s="96">
        <f>IF(R247=0,0,IF(K247="Sim",0,IF(OR(AND(AA247&gt;0,ISNUMBER(I247),ABS(I247-N(L247))&gt;cfg_tol),AL247=1),1,0)))</f>
        <v>0</v>
      </c>
      <c r="AN247" s="96">
        <f>IF(AND(R247=1,N(M247)&gt;0,OR(N(M247)&gt;=AK247-cfg_tol,K247="Sim")),1,0)</f>
        <v>0</v>
      </c>
      <c r="AO247" s="96">
        <f>IF(AND(AN247=1,AD247&gt;0,AE247=AD247,AL247=0),1,0)</f>
        <v>0</v>
      </c>
      <c r="AP247" s="96">
        <f>IF(U247=0,0,IF(AND(INDEX('MTRs'!$AX$6:$AX$505,T247)=1,Z247=0,OR(f_res="",f_res="(Todos)",C247=f_res)),1,0))</f>
        <v>0</v>
      </c>
      <c r="AQ247" s="97" t="str">
        <f>IF(U247=0,"",INDEX('MTRs'!$AZ$6:$AZ$505,T247))</f>
        <v/>
      </c>
      <c r="AR247" s="96">
        <f>IF(U247=0,0,IF(AND(INDEX('MTRs'!$BA$6:$BA$505,T247)=1,Z247=0),1,0))</f>
        <v>0</v>
      </c>
      <c r="AS247" s="96" t="str">
        <f>IF(R247=1,A247&amp;" | MTR "&amp;IF(U247=1,INDEX('MTRs'!$B$6:$B$505,T247)&amp;"","?")&amp;" | "&amp;IF(C247="","(sem resíduo)",C247),"")</f>
        <v/>
      </c>
      <c r="AT247" s="96" t="str">
        <f>IF(R247=1,COUNTIF($R$6:R247,1),"")</f>
        <v/>
      </c>
      <c r="AU247" s="96" t="str">
        <f>IF(U247=1,INDEX('MTRs'!$I$6:$I$505,T247)&amp;"","")</f>
        <v/>
      </c>
    </row>
    <row r="248">
      <c r="A248" s="89" t="inlineStr">
        <is>
          <t>IT-000243</t>
        </is>
      </c>
      <c r="B248" s="91" t="n"/>
      <c r="C248" s="91" t="n"/>
      <c r="D248" s="94" t="str">
        <f>IF(OR(R248=0,V248=0),"",INDEX('CAD_RESÍDUOS'!$E$6:$E$205,MATCH(C248,'CAD_RESÍDUOS'!$B$6:$B$205,0))&amp;"")</f>
        <v/>
      </c>
      <c r="E248" s="94" t="str">
        <f>IF(OR(R248=0,V248=0),"",INDEX('CAD_RESÍDUOS'!$C$6:$C$205,MATCH(C248,'CAD_RESÍDUOS'!$B$6:$B$205,0))&amp;"")</f>
        <v/>
      </c>
      <c r="F248" s="94" t="str">
        <f>IF(OR(R248=0,V248=0),"",INDEX('CAD_RESÍDUOS'!$G$6:$G$205,MATCH(C248,'CAD_RESÍDUOS'!$B$6:$B$205,0))&amp;"")</f>
        <v/>
      </c>
      <c r="G248" s="98" t="n"/>
      <c r="H248" s="91" t="n"/>
      <c r="I248" s="93" t="str">
        <f>IF(R248=0,"",IF(NOT(ISNUMBER(G248)),"",IF(ISNUMBER(X248),G248*X248,"UNIDADE A CONFERIR")))</f>
        <v/>
      </c>
      <c r="J248" s="91" t="n"/>
      <c r="K248" s="91" t="n"/>
      <c r="L248" s="93" t="str">
        <f>IF(R248=0,"",SUMIFS('RECEBIMENTOS'!$H$6:$H$1005,'RECEBIMENTOS'!$R$6:$R$1005,A248,'RECEBIMENTOS'!$X$6:$X$1005,1))</f>
        <v/>
      </c>
      <c r="M248" s="93" t="str">
        <f>IF(R248=0,"",SUMIFS('VÍNCULOS_CDF'!$H$6:$H$1005,'VÍNCULOS_CDF'!$R$6:$R$1005,A248,'VÍNCULOS_CDF'!$V$6:$V$1005,1))</f>
        <v/>
      </c>
      <c r="N248" s="99" t="str">
        <f>IF(OR(R248=0,AA248=0,NOT(ISNUMBER(I248))),"",I248-N(L248))</f>
        <v/>
      </c>
      <c r="O248" s="100" t="str">
        <f>IF(OR(R248=0,AK248&lt;=0),"",N(M248)/AK248)</f>
        <v/>
      </c>
      <c r="P248" s="94" t="str">
        <f>IF(R248=0,"",IF(S248="","Sem MTR associado",IF(U248=0,"MTR inexistente",IF(C248="","Resíduo não identificado",IF(V248=0,"Resíduo fora do cadastro",IF(W248=0,"Quantidade inválida",IF(H248="","Unidade não informada",IF(NOT(ISNUMBER(I248)),"Unidade a conferir",IF(AND(AH248=1,K248&lt;&gt;"Sim"),"Possível duplicidade",IF(Z248=1,"MTR cancelado",IF(AC248&gt;0,"Recebimento com alerta",IF(AA248=0,"Aguardando recebimento",IF(AB248&lt;AA248,"Recebimento a conferir",IF(AM248=1,"Quantidade a revisar",IF(AF248&gt;0,"Vínculo a revisar",IF(AD248=0,"Aguardando CDF",IF(AN248=0,"Vínculo de CDF parcial",IF(AE248&lt;AD248,"CDF a conferir","Documentação conferida"))))))))))))))))))</f>
        <v/>
      </c>
      <c r="Q248" s="93" t="str">
        <f>IF(OR(R248=0,AA248=0),"",MAX(0,N(L248)-N(M248)))</f>
        <v/>
      </c>
      <c r="R248" s="96">
        <f>IF(COUNTA(B248:C248,G248:H248,J248:K248)&gt;0,1,0)</f>
        <v>0</v>
      </c>
      <c r="S248" s="96" t="str">
        <f>IF(B248="","",TRIM(LEFT(B248,FIND(" |",B248&amp;" |")-1)))</f>
        <v/>
      </c>
      <c r="T248" s="96" t="str">
        <f>IF(S248="","",IFERROR(MATCH(S248,'MTRs'!$A$6:$A$505,0),""))</f>
        <v/>
      </c>
      <c r="U248" s="96">
        <f>IF(T248="",0,IF(INDEX('MTRs'!$Z$6:$Z$505,T248)=1,1,0))</f>
        <v>0</v>
      </c>
      <c r="V248" s="96">
        <f>IF(C248="",0,IF(ISNUMBER(MATCH(C248,'CAD_RESÍDUOS'!$B$6:$B$205,0)),1,0))</f>
        <v>0</v>
      </c>
      <c r="W248" s="96">
        <f>IF(AND(ISNUMBER(G248),G248&gt;0),1,0)</f>
        <v>0</v>
      </c>
      <c r="X248" s="96" t="str">
        <f>IF(H248="","",IFERROR(IF(ISNUMBER(INDEX(cfg_fac,MATCH(H248,cfg_units,0))),IF(INDEX(cfg_fac,MATCH(H248,cfg_units,0))&gt;0,INDEX(cfg_fac,MATCH(H248,cfg_units,0)),""),""),""))</f>
        <v/>
      </c>
      <c r="Y248" s="96">
        <f>IF(AND(W248=1,ISNUMBER(I248)),1,0)</f>
        <v>0</v>
      </c>
      <c r="Z248" s="96">
        <f>IF(U248=1,INDEX('MTRs'!$AA$6:$AA$505,T248),0)</f>
        <v>0</v>
      </c>
      <c r="AA248" s="96">
        <f>IF(R248=0,0,COUNTIFS('RECEBIMENTOS'!$R$6:$R$1005,A248,'RECEBIMENTOS'!$Q$6:$Q$1005,1))</f>
        <v>0</v>
      </c>
      <c r="AB248" s="96">
        <f>IF(R248=0,0,COUNTIFS('RECEBIMENTOS'!$R$6:$R$1005,A248,'RECEBIMENTOS'!$Z$6:$Z$1005,1))</f>
        <v>0</v>
      </c>
      <c r="AC248" s="96">
        <f>IF(R248=0,0,COUNTIFS('RECEBIMENTOS'!$R$6:$R$1005,A248,'RECEBIMENTOS'!$Y$6:$Y$1005,1))</f>
        <v>0</v>
      </c>
      <c r="AD248" s="96">
        <f>IF(R248=0,0,COUNTIFS('VÍNCULOS_CDF'!$R$6:$R$1005,A248,'VÍNCULOS_CDF'!$N$6:$N$1005,1))</f>
        <v>0</v>
      </c>
      <c r="AE248" s="96">
        <f>IF(R248=0,0,COUNTIFS('VÍNCULOS_CDF'!$R$6:$R$1005,A248,'VÍNCULOS_CDF'!$AA$6:$AA$1005,1))</f>
        <v>0</v>
      </c>
      <c r="AF248" s="96">
        <f>IF(R248=0,0,COUNTIFS('VÍNCULOS_CDF'!$R$6:$R$1005,A248,'VÍNCULOS_CDF'!$Y$6:$Y$1005,1))</f>
        <v>0</v>
      </c>
      <c r="AG248" s="96" t="str">
        <f>IF(AND(R248=1,S248&lt;&gt;"",C248&lt;&gt;""),S248&amp;"|"&amp;C248&amp;"|"&amp;G248&amp;"|"&amp;H248,"")</f>
        <v/>
      </c>
      <c r="AH248" s="96">
        <f>IF(AG248="",0,IF(SUMPRODUCT(--($AG$6:$AG$1005=AG248))&gt;1,1,0))</f>
        <v>0</v>
      </c>
      <c r="AI248" s="96">
        <f>IF(R248=0,0,IF(OR(U248=0,V248=0,Y248=0,AND(AH248=1,K248&lt;&gt;"Sim")),1,0))</f>
        <v>0</v>
      </c>
      <c r="AJ248" s="96">
        <f>IF(AND(R248=1,AA248&gt;0,AB248=AA248),1,0)</f>
        <v>0</v>
      </c>
      <c r="AK248" s="96">
        <f>IF(R248=0,0,IF(AA248&gt;0,N(L248),IF(ISNUMBER(I248),I248,0)))</f>
        <v>0</v>
      </c>
      <c r="AL248" s="96">
        <f>IF(R248=0,0,IF(AND(K248&lt;&gt;"Sim",N(M248)&gt;AK248+cfg_tol),1,0))</f>
        <v>0</v>
      </c>
      <c r="AM248" s="96">
        <f>IF(R248=0,0,IF(K248="Sim",0,IF(OR(AND(AA248&gt;0,ISNUMBER(I248),ABS(I248-N(L248))&gt;cfg_tol),AL248=1),1,0)))</f>
        <v>0</v>
      </c>
      <c r="AN248" s="96">
        <f>IF(AND(R248=1,N(M248)&gt;0,OR(N(M248)&gt;=AK248-cfg_tol,K248="Sim")),1,0)</f>
        <v>0</v>
      </c>
      <c r="AO248" s="96">
        <f>IF(AND(AN248=1,AD248&gt;0,AE248=AD248,AL248=0),1,0)</f>
        <v>0</v>
      </c>
      <c r="AP248" s="96">
        <f>IF(U248=0,0,IF(AND(INDEX('MTRs'!$AX$6:$AX$505,T248)=1,Z248=0,OR(f_res="",f_res="(Todos)",C248=f_res)),1,0))</f>
        <v>0</v>
      </c>
      <c r="AQ248" s="97" t="str">
        <f>IF(U248=0,"",INDEX('MTRs'!$AZ$6:$AZ$505,T248))</f>
        <v/>
      </c>
      <c r="AR248" s="96">
        <f>IF(U248=0,0,IF(AND(INDEX('MTRs'!$BA$6:$BA$505,T248)=1,Z248=0),1,0))</f>
        <v>0</v>
      </c>
      <c r="AS248" s="96" t="str">
        <f>IF(R248=1,A248&amp;" | MTR "&amp;IF(U248=1,INDEX('MTRs'!$B$6:$B$505,T248)&amp;"","?")&amp;" | "&amp;IF(C248="","(sem resíduo)",C248),"")</f>
        <v/>
      </c>
      <c r="AT248" s="96" t="str">
        <f>IF(R248=1,COUNTIF($R$6:R248,1),"")</f>
        <v/>
      </c>
      <c r="AU248" s="96" t="str">
        <f>IF(U248=1,INDEX('MTRs'!$I$6:$I$505,T248)&amp;"","")</f>
        <v/>
      </c>
    </row>
    <row r="249">
      <c r="A249" s="89" t="inlineStr">
        <is>
          <t>IT-000244</t>
        </is>
      </c>
      <c r="B249" s="91" t="n"/>
      <c r="C249" s="91" t="n"/>
      <c r="D249" s="94" t="str">
        <f>IF(OR(R249=0,V249=0),"",INDEX('CAD_RESÍDUOS'!$E$6:$E$205,MATCH(C249,'CAD_RESÍDUOS'!$B$6:$B$205,0))&amp;"")</f>
        <v/>
      </c>
      <c r="E249" s="94" t="str">
        <f>IF(OR(R249=0,V249=0),"",INDEX('CAD_RESÍDUOS'!$C$6:$C$205,MATCH(C249,'CAD_RESÍDUOS'!$B$6:$B$205,0))&amp;"")</f>
        <v/>
      </c>
      <c r="F249" s="94" t="str">
        <f>IF(OR(R249=0,V249=0),"",INDEX('CAD_RESÍDUOS'!$G$6:$G$205,MATCH(C249,'CAD_RESÍDUOS'!$B$6:$B$205,0))&amp;"")</f>
        <v/>
      </c>
      <c r="G249" s="98" t="n"/>
      <c r="H249" s="91" t="n"/>
      <c r="I249" s="93" t="str">
        <f>IF(R249=0,"",IF(NOT(ISNUMBER(G249)),"",IF(ISNUMBER(X249),G249*X249,"UNIDADE A CONFERIR")))</f>
        <v/>
      </c>
      <c r="J249" s="91" t="n"/>
      <c r="K249" s="91" t="n"/>
      <c r="L249" s="93" t="str">
        <f>IF(R249=0,"",SUMIFS('RECEBIMENTOS'!$H$6:$H$1005,'RECEBIMENTOS'!$R$6:$R$1005,A249,'RECEBIMENTOS'!$X$6:$X$1005,1))</f>
        <v/>
      </c>
      <c r="M249" s="93" t="str">
        <f>IF(R249=0,"",SUMIFS('VÍNCULOS_CDF'!$H$6:$H$1005,'VÍNCULOS_CDF'!$R$6:$R$1005,A249,'VÍNCULOS_CDF'!$V$6:$V$1005,1))</f>
        <v/>
      </c>
      <c r="N249" s="99" t="str">
        <f>IF(OR(R249=0,AA249=0,NOT(ISNUMBER(I249))),"",I249-N(L249))</f>
        <v/>
      </c>
      <c r="O249" s="100" t="str">
        <f>IF(OR(R249=0,AK249&lt;=0),"",N(M249)/AK249)</f>
        <v/>
      </c>
      <c r="P249" s="94" t="str">
        <f>IF(R249=0,"",IF(S249="","Sem MTR associado",IF(U249=0,"MTR inexistente",IF(C249="","Resíduo não identificado",IF(V249=0,"Resíduo fora do cadastro",IF(W249=0,"Quantidade inválida",IF(H249="","Unidade não informada",IF(NOT(ISNUMBER(I249)),"Unidade a conferir",IF(AND(AH249=1,K249&lt;&gt;"Sim"),"Possível duplicidade",IF(Z249=1,"MTR cancelado",IF(AC249&gt;0,"Recebimento com alerta",IF(AA249=0,"Aguardando recebimento",IF(AB249&lt;AA249,"Recebimento a conferir",IF(AM249=1,"Quantidade a revisar",IF(AF249&gt;0,"Vínculo a revisar",IF(AD249=0,"Aguardando CDF",IF(AN249=0,"Vínculo de CDF parcial",IF(AE249&lt;AD249,"CDF a conferir","Documentação conferida"))))))))))))))))))</f>
        <v/>
      </c>
      <c r="Q249" s="93" t="str">
        <f>IF(OR(R249=0,AA249=0),"",MAX(0,N(L249)-N(M249)))</f>
        <v/>
      </c>
      <c r="R249" s="96">
        <f>IF(COUNTA(B249:C249,G249:H249,J249:K249)&gt;0,1,0)</f>
        <v>0</v>
      </c>
      <c r="S249" s="96" t="str">
        <f>IF(B249="","",TRIM(LEFT(B249,FIND(" |",B249&amp;" |")-1)))</f>
        <v/>
      </c>
      <c r="T249" s="96" t="str">
        <f>IF(S249="","",IFERROR(MATCH(S249,'MTRs'!$A$6:$A$505,0),""))</f>
        <v/>
      </c>
      <c r="U249" s="96">
        <f>IF(T249="",0,IF(INDEX('MTRs'!$Z$6:$Z$505,T249)=1,1,0))</f>
        <v>0</v>
      </c>
      <c r="V249" s="96">
        <f>IF(C249="",0,IF(ISNUMBER(MATCH(C249,'CAD_RESÍDUOS'!$B$6:$B$205,0)),1,0))</f>
        <v>0</v>
      </c>
      <c r="W249" s="96">
        <f>IF(AND(ISNUMBER(G249),G249&gt;0),1,0)</f>
        <v>0</v>
      </c>
      <c r="X249" s="96" t="str">
        <f>IF(H249="","",IFERROR(IF(ISNUMBER(INDEX(cfg_fac,MATCH(H249,cfg_units,0))),IF(INDEX(cfg_fac,MATCH(H249,cfg_units,0))&gt;0,INDEX(cfg_fac,MATCH(H249,cfg_units,0)),""),""),""))</f>
        <v/>
      </c>
      <c r="Y249" s="96">
        <f>IF(AND(W249=1,ISNUMBER(I249)),1,0)</f>
        <v>0</v>
      </c>
      <c r="Z249" s="96">
        <f>IF(U249=1,INDEX('MTRs'!$AA$6:$AA$505,T249),0)</f>
        <v>0</v>
      </c>
      <c r="AA249" s="96">
        <f>IF(R249=0,0,COUNTIFS('RECEBIMENTOS'!$R$6:$R$1005,A249,'RECEBIMENTOS'!$Q$6:$Q$1005,1))</f>
        <v>0</v>
      </c>
      <c r="AB249" s="96">
        <f>IF(R249=0,0,COUNTIFS('RECEBIMENTOS'!$R$6:$R$1005,A249,'RECEBIMENTOS'!$Z$6:$Z$1005,1))</f>
        <v>0</v>
      </c>
      <c r="AC249" s="96">
        <f>IF(R249=0,0,COUNTIFS('RECEBIMENTOS'!$R$6:$R$1005,A249,'RECEBIMENTOS'!$Y$6:$Y$1005,1))</f>
        <v>0</v>
      </c>
      <c r="AD249" s="96">
        <f>IF(R249=0,0,COUNTIFS('VÍNCULOS_CDF'!$R$6:$R$1005,A249,'VÍNCULOS_CDF'!$N$6:$N$1005,1))</f>
        <v>0</v>
      </c>
      <c r="AE249" s="96">
        <f>IF(R249=0,0,COUNTIFS('VÍNCULOS_CDF'!$R$6:$R$1005,A249,'VÍNCULOS_CDF'!$AA$6:$AA$1005,1))</f>
        <v>0</v>
      </c>
      <c r="AF249" s="96">
        <f>IF(R249=0,0,COUNTIFS('VÍNCULOS_CDF'!$R$6:$R$1005,A249,'VÍNCULOS_CDF'!$Y$6:$Y$1005,1))</f>
        <v>0</v>
      </c>
      <c r="AG249" s="96" t="str">
        <f>IF(AND(R249=1,S249&lt;&gt;"",C249&lt;&gt;""),S249&amp;"|"&amp;C249&amp;"|"&amp;G249&amp;"|"&amp;H249,"")</f>
        <v/>
      </c>
      <c r="AH249" s="96">
        <f>IF(AG249="",0,IF(SUMPRODUCT(--($AG$6:$AG$1005=AG249))&gt;1,1,0))</f>
        <v>0</v>
      </c>
      <c r="AI249" s="96">
        <f>IF(R249=0,0,IF(OR(U249=0,V249=0,Y249=0,AND(AH249=1,K249&lt;&gt;"Sim")),1,0))</f>
        <v>0</v>
      </c>
      <c r="AJ249" s="96">
        <f>IF(AND(R249=1,AA249&gt;0,AB249=AA249),1,0)</f>
        <v>0</v>
      </c>
      <c r="AK249" s="96">
        <f>IF(R249=0,0,IF(AA249&gt;0,N(L249),IF(ISNUMBER(I249),I249,0)))</f>
        <v>0</v>
      </c>
      <c r="AL249" s="96">
        <f>IF(R249=0,0,IF(AND(K249&lt;&gt;"Sim",N(M249)&gt;AK249+cfg_tol),1,0))</f>
        <v>0</v>
      </c>
      <c r="AM249" s="96">
        <f>IF(R249=0,0,IF(K249="Sim",0,IF(OR(AND(AA249&gt;0,ISNUMBER(I249),ABS(I249-N(L249))&gt;cfg_tol),AL249=1),1,0)))</f>
        <v>0</v>
      </c>
      <c r="AN249" s="96">
        <f>IF(AND(R249=1,N(M249)&gt;0,OR(N(M249)&gt;=AK249-cfg_tol,K249="Sim")),1,0)</f>
        <v>0</v>
      </c>
      <c r="AO249" s="96">
        <f>IF(AND(AN249=1,AD249&gt;0,AE249=AD249,AL249=0),1,0)</f>
        <v>0</v>
      </c>
      <c r="AP249" s="96">
        <f>IF(U249=0,0,IF(AND(INDEX('MTRs'!$AX$6:$AX$505,T249)=1,Z249=0,OR(f_res="",f_res="(Todos)",C249=f_res)),1,0))</f>
        <v>0</v>
      </c>
      <c r="AQ249" s="97" t="str">
        <f>IF(U249=0,"",INDEX('MTRs'!$AZ$6:$AZ$505,T249))</f>
        <v/>
      </c>
      <c r="AR249" s="96">
        <f>IF(U249=0,0,IF(AND(INDEX('MTRs'!$BA$6:$BA$505,T249)=1,Z249=0),1,0))</f>
        <v>0</v>
      </c>
      <c r="AS249" s="96" t="str">
        <f>IF(R249=1,A249&amp;" | MTR "&amp;IF(U249=1,INDEX('MTRs'!$B$6:$B$505,T249)&amp;"","?")&amp;" | "&amp;IF(C249="","(sem resíduo)",C249),"")</f>
        <v/>
      </c>
      <c r="AT249" s="96" t="str">
        <f>IF(R249=1,COUNTIF($R$6:R249,1),"")</f>
        <v/>
      </c>
      <c r="AU249" s="96" t="str">
        <f>IF(U249=1,INDEX('MTRs'!$I$6:$I$505,T249)&amp;"","")</f>
        <v/>
      </c>
    </row>
    <row r="250">
      <c r="A250" s="89" t="inlineStr">
        <is>
          <t>IT-000245</t>
        </is>
      </c>
      <c r="B250" s="91" t="n"/>
      <c r="C250" s="91" t="n"/>
      <c r="D250" s="94" t="str">
        <f>IF(OR(R250=0,V250=0),"",INDEX('CAD_RESÍDUOS'!$E$6:$E$205,MATCH(C250,'CAD_RESÍDUOS'!$B$6:$B$205,0))&amp;"")</f>
        <v/>
      </c>
      <c r="E250" s="94" t="str">
        <f>IF(OR(R250=0,V250=0),"",INDEX('CAD_RESÍDUOS'!$C$6:$C$205,MATCH(C250,'CAD_RESÍDUOS'!$B$6:$B$205,0))&amp;"")</f>
        <v/>
      </c>
      <c r="F250" s="94" t="str">
        <f>IF(OR(R250=0,V250=0),"",INDEX('CAD_RESÍDUOS'!$G$6:$G$205,MATCH(C250,'CAD_RESÍDUOS'!$B$6:$B$205,0))&amp;"")</f>
        <v/>
      </c>
      <c r="G250" s="98" t="n"/>
      <c r="H250" s="91" t="n"/>
      <c r="I250" s="93" t="str">
        <f>IF(R250=0,"",IF(NOT(ISNUMBER(G250)),"",IF(ISNUMBER(X250),G250*X250,"UNIDADE A CONFERIR")))</f>
        <v/>
      </c>
      <c r="J250" s="91" t="n"/>
      <c r="K250" s="91" t="n"/>
      <c r="L250" s="93" t="str">
        <f>IF(R250=0,"",SUMIFS('RECEBIMENTOS'!$H$6:$H$1005,'RECEBIMENTOS'!$R$6:$R$1005,A250,'RECEBIMENTOS'!$X$6:$X$1005,1))</f>
        <v/>
      </c>
      <c r="M250" s="93" t="str">
        <f>IF(R250=0,"",SUMIFS('VÍNCULOS_CDF'!$H$6:$H$1005,'VÍNCULOS_CDF'!$R$6:$R$1005,A250,'VÍNCULOS_CDF'!$V$6:$V$1005,1))</f>
        <v/>
      </c>
      <c r="N250" s="99" t="str">
        <f>IF(OR(R250=0,AA250=0,NOT(ISNUMBER(I250))),"",I250-N(L250))</f>
        <v/>
      </c>
      <c r="O250" s="100" t="str">
        <f>IF(OR(R250=0,AK250&lt;=0),"",N(M250)/AK250)</f>
        <v/>
      </c>
      <c r="P250" s="94" t="str">
        <f>IF(R250=0,"",IF(S250="","Sem MTR associado",IF(U250=0,"MTR inexistente",IF(C250="","Resíduo não identificado",IF(V250=0,"Resíduo fora do cadastro",IF(W250=0,"Quantidade inválida",IF(H250="","Unidade não informada",IF(NOT(ISNUMBER(I250)),"Unidade a conferir",IF(AND(AH250=1,K250&lt;&gt;"Sim"),"Possível duplicidade",IF(Z250=1,"MTR cancelado",IF(AC250&gt;0,"Recebimento com alerta",IF(AA250=0,"Aguardando recebimento",IF(AB250&lt;AA250,"Recebimento a conferir",IF(AM250=1,"Quantidade a revisar",IF(AF250&gt;0,"Vínculo a revisar",IF(AD250=0,"Aguardando CDF",IF(AN250=0,"Vínculo de CDF parcial",IF(AE250&lt;AD250,"CDF a conferir","Documentação conferida"))))))))))))))))))</f>
        <v/>
      </c>
      <c r="Q250" s="93" t="str">
        <f>IF(OR(R250=0,AA250=0),"",MAX(0,N(L250)-N(M250)))</f>
        <v/>
      </c>
      <c r="R250" s="96">
        <f>IF(COUNTA(B250:C250,G250:H250,J250:K250)&gt;0,1,0)</f>
        <v>0</v>
      </c>
      <c r="S250" s="96" t="str">
        <f>IF(B250="","",TRIM(LEFT(B250,FIND(" |",B250&amp;" |")-1)))</f>
        <v/>
      </c>
      <c r="T250" s="96" t="str">
        <f>IF(S250="","",IFERROR(MATCH(S250,'MTRs'!$A$6:$A$505,0),""))</f>
        <v/>
      </c>
      <c r="U250" s="96">
        <f>IF(T250="",0,IF(INDEX('MTRs'!$Z$6:$Z$505,T250)=1,1,0))</f>
        <v>0</v>
      </c>
      <c r="V250" s="96">
        <f>IF(C250="",0,IF(ISNUMBER(MATCH(C250,'CAD_RESÍDUOS'!$B$6:$B$205,0)),1,0))</f>
        <v>0</v>
      </c>
      <c r="W250" s="96">
        <f>IF(AND(ISNUMBER(G250),G250&gt;0),1,0)</f>
        <v>0</v>
      </c>
      <c r="X250" s="96" t="str">
        <f>IF(H250="","",IFERROR(IF(ISNUMBER(INDEX(cfg_fac,MATCH(H250,cfg_units,0))),IF(INDEX(cfg_fac,MATCH(H250,cfg_units,0))&gt;0,INDEX(cfg_fac,MATCH(H250,cfg_units,0)),""),""),""))</f>
        <v/>
      </c>
      <c r="Y250" s="96">
        <f>IF(AND(W250=1,ISNUMBER(I250)),1,0)</f>
        <v>0</v>
      </c>
      <c r="Z250" s="96">
        <f>IF(U250=1,INDEX('MTRs'!$AA$6:$AA$505,T250),0)</f>
        <v>0</v>
      </c>
      <c r="AA250" s="96">
        <f>IF(R250=0,0,COUNTIFS('RECEBIMENTOS'!$R$6:$R$1005,A250,'RECEBIMENTOS'!$Q$6:$Q$1005,1))</f>
        <v>0</v>
      </c>
      <c r="AB250" s="96">
        <f>IF(R250=0,0,COUNTIFS('RECEBIMENTOS'!$R$6:$R$1005,A250,'RECEBIMENTOS'!$Z$6:$Z$1005,1))</f>
        <v>0</v>
      </c>
      <c r="AC250" s="96">
        <f>IF(R250=0,0,COUNTIFS('RECEBIMENTOS'!$R$6:$R$1005,A250,'RECEBIMENTOS'!$Y$6:$Y$1005,1))</f>
        <v>0</v>
      </c>
      <c r="AD250" s="96">
        <f>IF(R250=0,0,COUNTIFS('VÍNCULOS_CDF'!$R$6:$R$1005,A250,'VÍNCULOS_CDF'!$N$6:$N$1005,1))</f>
        <v>0</v>
      </c>
      <c r="AE250" s="96">
        <f>IF(R250=0,0,COUNTIFS('VÍNCULOS_CDF'!$R$6:$R$1005,A250,'VÍNCULOS_CDF'!$AA$6:$AA$1005,1))</f>
        <v>0</v>
      </c>
      <c r="AF250" s="96">
        <f>IF(R250=0,0,COUNTIFS('VÍNCULOS_CDF'!$R$6:$R$1005,A250,'VÍNCULOS_CDF'!$Y$6:$Y$1005,1))</f>
        <v>0</v>
      </c>
      <c r="AG250" s="96" t="str">
        <f>IF(AND(R250=1,S250&lt;&gt;"",C250&lt;&gt;""),S250&amp;"|"&amp;C250&amp;"|"&amp;G250&amp;"|"&amp;H250,"")</f>
        <v/>
      </c>
      <c r="AH250" s="96">
        <f>IF(AG250="",0,IF(SUMPRODUCT(--($AG$6:$AG$1005=AG250))&gt;1,1,0))</f>
        <v>0</v>
      </c>
      <c r="AI250" s="96">
        <f>IF(R250=0,0,IF(OR(U250=0,V250=0,Y250=0,AND(AH250=1,K250&lt;&gt;"Sim")),1,0))</f>
        <v>0</v>
      </c>
      <c r="AJ250" s="96">
        <f>IF(AND(R250=1,AA250&gt;0,AB250=AA250),1,0)</f>
        <v>0</v>
      </c>
      <c r="AK250" s="96">
        <f>IF(R250=0,0,IF(AA250&gt;0,N(L250),IF(ISNUMBER(I250),I250,0)))</f>
        <v>0</v>
      </c>
      <c r="AL250" s="96">
        <f>IF(R250=0,0,IF(AND(K250&lt;&gt;"Sim",N(M250)&gt;AK250+cfg_tol),1,0))</f>
        <v>0</v>
      </c>
      <c r="AM250" s="96">
        <f>IF(R250=0,0,IF(K250="Sim",0,IF(OR(AND(AA250&gt;0,ISNUMBER(I250),ABS(I250-N(L250))&gt;cfg_tol),AL250=1),1,0)))</f>
        <v>0</v>
      </c>
      <c r="AN250" s="96">
        <f>IF(AND(R250=1,N(M250)&gt;0,OR(N(M250)&gt;=AK250-cfg_tol,K250="Sim")),1,0)</f>
        <v>0</v>
      </c>
      <c r="AO250" s="96">
        <f>IF(AND(AN250=1,AD250&gt;0,AE250=AD250,AL250=0),1,0)</f>
        <v>0</v>
      </c>
      <c r="AP250" s="96">
        <f>IF(U250=0,0,IF(AND(INDEX('MTRs'!$AX$6:$AX$505,T250)=1,Z250=0,OR(f_res="",f_res="(Todos)",C250=f_res)),1,0))</f>
        <v>0</v>
      </c>
      <c r="AQ250" s="97" t="str">
        <f>IF(U250=0,"",INDEX('MTRs'!$AZ$6:$AZ$505,T250))</f>
        <v/>
      </c>
      <c r="AR250" s="96">
        <f>IF(U250=0,0,IF(AND(INDEX('MTRs'!$BA$6:$BA$505,T250)=1,Z250=0),1,0))</f>
        <v>0</v>
      </c>
      <c r="AS250" s="96" t="str">
        <f>IF(R250=1,A250&amp;" | MTR "&amp;IF(U250=1,INDEX('MTRs'!$B$6:$B$505,T250)&amp;"","?")&amp;" | "&amp;IF(C250="","(sem resíduo)",C250),"")</f>
        <v/>
      </c>
      <c r="AT250" s="96" t="str">
        <f>IF(R250=1,COUNTIF($R$6:R250,1),"")</f>
        <v/>
      </c>
      <c r="AU250" s="96" t="str">
        <f>IF(U250=1,INDEX('MTRs'!$I$6:$I$505,T250)&amp;"","")</f>
        <v/>
      </c>
    </row>
    <row r="251">
      <c r="A251" s="89" t="inlineStr">
        <is>
          <t>IT-000246</t>
        </is>
      </c>
      <c r="B251" s="91" t="n"/>
      <c r="C251" s="91" t="n"/>
      <c r="D251" s="94" t="str">
        <f>IF(OR(R251=0,V251=0),"",INDEX('CAD_RESÍDUOS'!$E$6:$E$205,MATCH(C251,'CAD_RESÍDUOS'!$B$6:$B$205,0))&amp;"")</f>
        <v/>
      </c>
      <c r="E251" s="94" t="str">
        <f>IF(OR(R251=0,V251=0),"",INDEX('CAD_RESÍDUOS'!$C$6:$C$205,MATCH(C251,'CAD_RESÍDUOS'!$B$6:$B$205,0))&amp;"")</f>
        <v/>
      </c>
      <c r="F251" s="94" t="str">
        <f>IF(OR(R251=0,V251=0),"",INDEX('CAD_RESÍDUOS'!$G$6:$G$205,MATCH(C251,'CAD_RESÍDUOS'!$B$6:$B$205,0))&amp;"")</f>
        <v/>
      </c>
      <c r="G251" s="98" t="n"/>
      <c r="H251" s="91" t="n"/>
      <c r="I251" s="93" t="str">
        <f>IF(R251=0,"",IF(NOT(ISNUMBER(G251)),"",IF(ISNUMBER(X251),G251*X251,"UNIDADE A CONFERIR")))</f>
        <v/>
      </c>
      <c r="J251" s="91" t="n"/>
      <c r="K251" s="91" t="n"/>
      <c r="L251" s="93" t="str">
        <f>IF(R251=0,"",SUMIFS('RECEBIMENTOS'!$H$6:$H$1005,'RECEBIMENTOS'!$R$6:$R$1005,A251,'RECEBIMENTOS'!$X$6:$X$1005,1))</f>
        <v/>
      </c>
      <c r="M251" s="93" t="str">
        <f>IF(R251=0,"",SUMIFS('VÍNCULOS_CDF'!$H$6:$H$1005,'VÍNCULOS_CDF'!$R$6:$R$1005,A251,'VÍNCULOS_CDF'!$V$6:$V$1005,1))</f>
        <v/>
      </c>
      <c r="N251" s="99" t="str">
        <f>IF(OR(R251=0,AA251=0,NOT(ISNUMBER(I251))),"",I251-N(L251))</f>
        <v/>
      </c>
      <c r="O251" s="100" t="str">
        <f>IF(OR(R251=0,AK251&lt;=0),"",N(M251)/AK251)</f>
        <v/>
      </c>
      <c r="P251" s="94" t="str">
        <f>IF(R251=0,"",IF(S251="","Sem MTR associado",IF(U251=0,"MTR inexistente",IF(C251="","Resíduo não identificado",IF(V251=0,"Resíduo fora do cadastro",IF(W251=0,"Quantidade inválida",IF(H251="","Unidade não informada",IF(NOT(ISNUMBER(I251)),"Unidade a conferir",IF(AND(AH251=1,K251&lt;&gt;"Sim"),"Possível duplicidade",IF(Z251=1,"MTR cancelado",IF(AC251&gt;0,"Recebimento com alerta",IF(AA251=0,"Aguardando recebimento",IF(AB251&lt;AA251,"Recebimento a conferir",IF(AM251=1,"Quantidade a revisar",IF(AF251&gt;0,"Vínculo a revisar",IF(AD251=0,"Aguardando CDF",IF(AN251=0,"Vínculo de CDF parcial",IF(AE251&lt;AD251,"CDF a conferir","Documentação conferida"))))))))))))))))))</f>
        <v/>
      </c>
      <c r="Q251" s="93" t="str">
        <f>IF(OR(R251=0,AA251=0),"",MAX(0,N(L251)-N(M251)))</f>
        <v/>
      </c>
      <c r="R251" s="96">
        <f>IF(COUNTA(B251:C251,G251:H251,J251:K251)&gt;0,1,0)</f>
        <v>0</v>
      </c>
      <c r="S251" s="96" t="str">
        <f>IF(B251="","",TRIM(LEFT(B251,FIND(" |",B251&amp;" |")-1)))</f>
        <v/>
      </c>
      <c r="T251" s="96" t="str">
        <f>IF(S251="","",IFERROR(MATCH(S251,'MTRs'!$A$6:$A$505,0),""))</f>
        <v/>
      </c>
      <c r="U251" s="96">
        <f>IF(T251="",0,IF(INDEX('MTRs'!$Z$6:$Z$505,T251)=1,1,0))</f>
        <v>0</v>
      </c>
      <c r="V251" s="96">
        <f>IF(C251="",0,IF(ISNUMBER(MATCH(C251,'CAD_RESÍDUOS'!$B$6:$B$205,0)),1,0))</f>
        <v>0</v>
      </c>
      <c r="W251" s="96">
        <f>IF(AND(ISNUMBER(G251),G251&gt;0),1,0)</f>
        <v>0</v>
      </c>
      <c r="X251" s="96" t="str">
        <f>IF(H251="","",IFERROR(IF(ISNUMBER(INDEX(cfg_fac,MATCH(H251,cfg_units,0))),IF(INDEX(cfg_fac,MATCH(H251,cfg_units,0))&gt;0,INDEX(cfg_fac,MATCH(H251,cfg_units,0)),""),""),""))</f>
        <v/>
      </c>
      <c r="Y251" s="96">
        <f>IF(AND(W251=1,ISNUMBER(I251)),1,0)</f>
        <v>0</v>
      </c>
      <c r="Z251" s="96">
        <f>IF(U251=1,INDEX('MTRs'!$AA$6:$AA$505,T251),0)</f>
        <v>0</v>
      </c>
      <c r="AA251" s="96">
        <f>IF(R251=0,0,COUNTIFS('RECEBIMENTOS'!$R$6:$R$1005,A251,'RECEBIMENTOS'!$Q$6:$Q$1005,1))</f>
        <v>0</v>
      </c>
      <c r="AB251" s="96">
        <f>IF(R251=0,0,COUNTIFS('RECEBIMENTOS'!$R$6:$R$1005,A251,'RECEBIMENTOS'!$Z$6:$Z$1005,1))</f>
        <v>0</v>
      </c>
      <c r="AC251" s="96">
        <f>IF(R251=0,0,COUNTIFS('RECEBIMENTOS'!$R$6:$R$1005,A251,'RECEBIMENTOS'!$Y$6:$Y$1005,1))</f>
        <v>0</v>
      </c>
      <c r="AD251" s="96">
        <f>IF(R251=0,0,COUNTIFS('VÍNCULOS_CDF'!$R$6:$R$1005,A251,'VÍNCULOS_CDF'!$N$6:$N$1005,1))</f>
        <v>0</v>
      </c>
      <c r="AE251" s="96">
        <f>IF(R251=0,0,COUNTIFS('VÍNCULOS_CDF'!$R$6:$R$1005,A251,'VÍNCULOS_CDF'!$AA$6:$AA$1005,1))</f>
        <v>0</v>
      </c>
      <c r="AF251" s="96">
        <f>IF(R251=0,0,COUNTIFS('VÍNCULOS_CDF'!$R$6:$R$1005,A251,'VÍNCULOS_CDF'!$Y$6:$Y$1005,1))</f>
        <v>0</v>
      </c>
      <c r="AG251" s="96" t="str">
        <f>IF(AND(R251=1,S251&lt;&gt;"",C251&lt;&gt;""),S251&amp;"|"&amp;C251&amp;"|"&amp;G251&amp;"|"&amp;H251,"")</f>
        <v/>
      </c>
      <c r="AH251" s="96">
        <f>IF(AG251="",0,IF(SUMPRODUCT(--($AG$6:$AG$1005=AG251))&gt;1,1,0))</f>
        <v>0</v>
      </c>
      <c r="AI251" s="96">
        <f>IF(R251=0,0,IF(OR(U251=0,V251=0,Y251=0,AND(AH251=1,K251&lt;&gt;"Sim")),1,0))</f>
        <v>0</v>
      </c>
      <c r="AJ251" s="96">
        <f>IF(AND(R251=1,AA251&gt;0,AB251=AA251),1,0)</f>
        <v>0</v>
      </c>
      <c r="AK251" s="96">
        <f>IF(R251=0,0,IF(AA251&gt;0,N(L251),IF(ISNUMBER(I251),I251,0)))</f>
        <v>0</v>
      </c>
      <c r="AL251" s="96">
        <f>IF(R251=0,0,IF(AND(K251&lt;&gt;"Sim",N(M251)&gt;AK251+cfg_tol),1,0))</f>
        <v>0</v>
      </c>
      <c r="AM251" s="96">
        <f>IF(R251=0,0,IF(K251="Sim",0,IF(OR(AND(AA251&gt;0,ISNUMBER(I251),ABS(I251-N(L251))&gt;cfg_tol),AL251=1),1,0)))</f>
        <v>0</v>
      </c>
      <c r="AN251" s="96">
        <f>IF(AND(R251=1,N(M251)&gt;0,OR(N(M251)&gt;=AK251-cfg_tol,K251="Sim")),1,0)</f>
        <v>0</v>
      </c>
      <c r="AO251" s="96">
        <f>IF(AND(AN251=1,AD251&gt;0,AE251=AD251,AL251=0),1,0)</f>
        <v>0</v>
      </c>
      <c r="AP251" s="96">
        <f>IF(U251=0,0,IF(AND(INDEX('MTRs'!$AX$6:$AX$505,T251)=1,Z251=0,OR(f_res="",f_res="(Todos)",C251=f_res)),1,0))</f>
        <v>0</v>
      </c>
      <c r="AQ251" s="97" t="str">
        <f>IF(U251=0,"",INDEX('MTRs'!$AZ$6:$AZ$505,T251))</f>
        <v/>
      </c>
      <c r="AR251" s="96">
        <f>IF(U251=0,0,IF(AND(INDEX('MTRs'!$BA$6:$BA$505,T251)=1,Z251=0),1,0))</f>
        <v>0</v>
      </c>
      <c r="AS251" s="96" t="str">
        <f>IF(R251=1,A251&amp;" | MTR "&amp;IF(U251=1,INDEX('MTRs'!$B$6:$B$505,T251)&amp;"","?")&amp;" | "&amp;IF(C251="","(sem resíduo)",C251),"")</f>
        <v/>
      </c>
      <c r="AT251" s="96" t="str">
        <f>IF(R251=1,COUNTIF($R$6:R251,1),"")</f>
        <v/>
      </c>
      <c r="AU251" s="96" t="str">
        <f>IF(U251=1,INDEX('MTRs'!$I$6:$I$505,T251)&amp;"","")</f>
        <v/>
      </c>
    </row>
    <row r="252">
      <c r="A252" s="89" t="inlineStr">
        <is>
          <t>IT-000247</t>
        </is>
      </c>
      <c r="B252" s="91" t="n"/>
      <c r="C252" s="91" t="n"/>
      <c r="D252" s="94" t="str">
        <f>IF(OR(R252=0,V252=0),"",INDEX('CAD_RESÍDUOS'!$E$6:$E$205,MATCH(C252,'CAD_RESÍDUOS'!$B$6:$B$205,0))&amp;"")</f>
        <v/>
      </c>
      <c r="E252" s="94" t="str">
        <f>IF(OR(R252=0,V252=0),"",INDEX('CAD_RESÍDUOS'!$C$6:$C$205,MATCH(C252,'CAD_RESÍDUOS'!$B$6:$B$205,0))&amp;"")</f>
        <v/>
      </c>
      <c r="F252" s="94" t="str">
        <f>IF(OR(R252=0,V252=0),"",INDEX('CAD_RESÍDUOS'!$G$6:$G$205,MATCH(C252,'CAD_RESÍDUOS'!$B$6:$B$205,0))&amp;"")</f>
        <v/>
      </c>
      <c r="G252" s="98" t="n"/>
      <c r="H252" s="91" t="n"/>
      <c r="I252" s="93" t="str">
        <f>IF(R252=0,"",IF(NOT(ISNUMBER(G252)),"",IF(ISNUMBER(X252),G252*X252,"UNIDADE A CONFERIR")))</f>
        <v/>
      </c>
      <c r="J252" s="91" t="n"/>
      <c r="K252" s="91" t="n"/>
      <c r="L252" s="93" t="str">
        <f>IF(R252=0,"",SUMIFS('RECEBIMENTOS'!$H$6:$H$1005,'RECEBIMENTOS'!$R$6:$R$1005,A252,'RECEBIMENTOS'!$X$6:$X$1005,1))</f>
        <v/>
      </c>
      <c r="M252" s="93" t="str">
        <f>IF(R252=0,"",SUMIFS('VÍNCULOS_CDF'!$H$6:$H$1005,'VÍNCULOS_CDF'!$R$6:$R$1005,A252,'VÍNCULOS_CDF'!$V$6:$V$1005,1))</f>
        <v/>
      </c>
      <c r="N252" s="99" t="str">
        <f>IF(OR(R252=0,AA252=0,NOT(ISNUMBER(I252))),"",I252-N(L252))</f>
        <v/>
      </c>
      <c r="O252" s="100" t="str">
        <f>IF(OR(R252=0,AK252&lt;=0),"",N(M252)/AK252)</f>
        <v/>
      </c>
      <c r="P252" s="94" t="str">
        <f>IF(R252=0,"",IF(S252="","Sem MTR associado",IF(U252=0,"MTR inexistente",IF(C252="","Resíduo não identificado",IF(V252=0,"Resíduo fora do cadastro",IF(W252=0,"Quantidade inválida",IF(H252="","Unidade não informada",IF(NOT(ISNUMBER(I252)),"Unidade a conferir",IF(AND(AH252=1,K252&lt;&gt;"Sim"),"Possível duplicidade",IF(Z252=1,"MTR cancelado",IF(AC252&gt;0,"Recebimento com alerta",IF(AA252=0,"Aguardando recebimento",IF(AB252&lt;AA252,"Recebimento a conferir",IF(AM252=1,"Quantidade a revisar",IF(AF252&gt;0,"Vínculo a revisar",IF(AD252=0,"Aguardando CDF",IF(AN252=0,"Vínculo de CDF parcial",IF(AE252&lt;AD252,"CDF a conferir","Documentação conferida"))))))))))))))))))</f>
        <v/>
      </c>
      <c r="Q252" s="93" t="str">
        <f>IF(OR(R252=0,AA252=0),"",MAX(0,N(L252)-N(M252)))</f>
        <v/>
      </c>
      <c r="R252" s="96">
        <f>IF(COUNTA(B252:C252,G252:H252,J252:K252)&gt;0,1,0)</f>
        <v>0</v>
      </c>
      <c r="S252" s="96" t="str">
        <f>IF(B252="","",TRIM(LEFT(B252,FIND(" |",B252&amp;" |")-1)))</f>
        <v/>
      </c>
      <c r="T252" s="96" t="str">
        <f>IF(S252="","",IFERROR(MATCH(S252,'MTRs'!$A$6:$A$505,0),""))</f>
        <v/>
      </c>
      <c r="U252" s="96">
        <f>IF(T252="",0,IF(INDEX('MTRs'!$Z$6:$Z$505,T252)=1,1,0))</f>
        <v>0</v>
      </c>
      <c r="V252" s="96">
        <f>IF(C252="",0,IF(ISNUMBER(MATCH(C252,'CAD_RESÍDUOS'!$B$6:$B$205,0)),1,0))</f>
        <v>0</v>
      </c>
      <c r="W252" s="96">
        <f>IF(AND(ISNUMBER(G252),G252&gt;0),1,0)</f>
        <v>0</v>
      </c>
      <c r="X252" s="96" t="str">
        <f>IF(H252="","",IFERROR(IF(ISNUMBER(INDEX(cfg_fac,MATCH(H252,cfg_units,0))),IF(INDEX(cfg_fac,MATCH(H252,cfg_units,0))&gt;0,INDEX(cfg_fac,MATCH(H252,cfg_units,0)),""),""),""))</f>
        <v/>
      </c>
      <c r="Y252" s="96">
        <f>IF(AND(W252=1,ISNUMBER(I252)),1,0)</f>
        <v>0</v>
      </c>
      <c r="Z252" s="96">
        <f>IF(U252=1,INDEX('MTRs'!$AA$6:$AA$505,T252),0)</f>
        <v>0</v>
      </c>
      <c r="AA252" s="96">
        <f>IF(R252=0,0,COUNTIFS('RECEBIMENTOS'!$R$6:$R$1005,A252,'RECEBIMENTOS'!$Q$6:$Q$1005,1))</f>
        <v>0</v>
      </c>
      <c r="AB252" s="96">
        <f>IF(R252=0,0,COUNTIFS('RECEBIMENTOS'!$R$6:$R$1005,A252,'RECEBIMENTOS'!$Z$6:$Z$1005,1))</f>
        <v>0</v>
      </c>
      <c r="AC252" s="96">
        <f>IF(R252=0,0,COUNTIFS('RECEBIMENTOS'!$R$6:$R$1005,A252,'RECEBIMENTOS'!$Y$6:$Y$1005,1))</f>
        <v>0</v>
      </c>
      <c r="AD252" s="96">
        <f>IF(R252=0,0,COUNTIFS('VÍNCULOS_CDF'!$R$6:$R$1005,A252,'VÍNCULOS_CDF'!$N$6:$N$1005,1))</f>
        <v>0</v>
      </c>
      <c r="AE252" s="96">
        <f>IF(R252=0,0,COUNTIFS('VÍNCULOS_CDF'!$R$6:$R$1005,A252,'VÍNCULOS_CDF'!$AA$6:$AA$1005,1))</f>
        <v>0</v>
      </c>
      <c r="AF252" s="96">
        <f>IF(R252=0,0,COUNTIFS('VÍNCULOS_CDF'!$R$6:$R$1005,A252,'VÍNCULOS_CDF'!$Y$6:$Y$1005,1))</f>
        <v>0</v>
      </c>
      <c r="AG252" s="96" t="str">
        <f>IF(AND(R252=1,S252&lt;&gt;"",C252&lt;&gt;""),S252&amp;"|"&amp;C252&amp;"|"&amp;G252&amp;"|"&amp;H252,"")</f>
        <v/>
      </c>
      <c r="AH252" s="96">
        <f>IF(AG252="",0,IF(SUMPRODUCT(--($AG$6:$AG$1005=AG252))&gt;1,1,0))</f>
        <v>0</v>
      </c>
      <c r="AI252" s="96">
        <f>IF(R252=0,0,IF(OR(U252=0,V252=0,Y252=0,AND(AH252=1,K252&lt;&gt;"Sim")),1,0))</f>
        <v>0</v>
      </c>
      <c r="AJ252" s="96">
        <f>IF(AND(R252=1,AA252&gt;0,AB252=AA252),1,0)</f>
        <v>0</v>
      </c>
      <c r="AK252" s="96">
        <f>IF(R252=0,0,IF(AA252&gt;0,N(L252),IF(ISNUMBER(I252),I252,0)))</f>
        <v>0</v>
      </c>
      <c r="AL252" s="96">
        <f>IF(R252=0,0,IF(AND(K252&lt;&gt;"Sim",N(M252)&gt;AK252+cfg_tol),1,0))</f>
        <v>0</v>
      </c>
      <c r="AM252" s="96">
        <f>IF(R252=0,0,IF(K252="Sim",0,IF(OR(AND(AA252&gt;0,ISNUMBER(I252),ABS(I252-N(L252))&gt;cfg_tol),AL252=1),1,0)))</f>
        <v>0</v>
      </c>
      <c r="AN252" s="96">
        <f>IF(AND(R252=1,N(M252)&gt;0,OR(N(M252)&gt;=AK252-cfg_tol,K252="Sim")),1,0)</f>
        <v>0</v>
      </c>
      <c r="AO252" s="96">
        <f>IF(AND(AN252=1,AD252&gt;0,AE252=AD252,AL252=0),1,0)</f>
        <v>0</v>
      </c>
      <c r="AP252" s="96">
        <f>IF(U252=0,0,IF(AND(INDEX('MTRs'!$AX$6:$AX$505,T252)=1,Z252=0,OR(f_res="",f_res="(Todos)",C252=f_res)),1,0))</f>
        <v>0</v>
      </c>
      <c r="AQ252" s="97" t="str">
        <f>IF(U252=0,"",INDEX('MTRs'!$AZ$6:$AZ$505,T252))</f>
        <v/>
      </c>
      <c r="AR252" s="96">
        <f>IF(U252=0,0,IF(AND(INDEX('MTRs'!$BA$6:$BA$505,T252)=1,Z252=0),1,0))</f>
        <v>0</v>
      </c>
      <c r="AS252" s="96" t="str">
        <f>IF(R252=1,A252&amp;" | MTR "&amp;IF(U252=1,INDEX('MTRs'!$B$6:$B$505,T252)&amp;"","?")&amp;" | "&amp;IF(C252="","(sem resíduo)",C252),"")</f>
        <v/>
      </c>
      <c r="AT252" s="96" t="str">
        <f>IF(R252=1,COUNTIF($R$6:R252,1),"")</f>
        <v/>
      </c>
      <c r="AU252" s="96" t="str">
        <f>IF(U252=1,INDEX('MTRs'!$I$6:$I$505,T252)&amp;"","")</f>
        <v/>
      </c>
    </row>
    <row r="253">
      <c r="A253" s="89" t="inlineStr">
        <is>
          <t>IT-000248</t>
        </is>
      </c>
      <c r="B253" s="91" t="n"/>
      <c r="C253" s="91" t="n"/>
      <c r="D253" s="94" t="str">
        <f>IF(OR(R253=0,V253=0),"",INDEX('CAD_RESÍDUOS'!$E$6:$E$205,MATCH(C253,'CAD_RESÍDUOS'!$B$6:$B$205,0))&amp;"")</f>
        <v/>
      </c>
      <c r="E253" s="94" t="str">
        <f>IF(OR(R253=0,V253=0),"",INDEX('CAD_RESÍDUOS'!$C$6:$C$205,MATCH(C253,'CAD_RESÍDUOS'!$B$6:$B$205,0))&amp;"")</f>
        <v/>
      </c>
      <c r="F253" s="94" t="str">
        <f>IF(OR(R253=0,V253=0),"",INDEX('CAD_RESÍDUOS'!$G$6:$G$205,MATCH(C253,'CAD_RESÍDUOS'!$B$6:$B$205,0))&amp;"")</f>
        <v/>
      </c>
      <c r="G253" s="98" t="n"/>
      <c r="H253" s="91" t="n"/>
      <c r="I253" s="93" t="str">
        <f>IF(R253=0,"",IF(NOT(ISNUMBER(G253)),"",IF(ISNUMBER(X253),G253*X253,"UNIDADE A CONFERIR")))</f>
        <v/>
      </c>
      <c r="J253" s="91" t="n"/>
      <c r="K253" s="91" t="n"/>
      <c r="L253" s="93" t="str">
        <f>IF(R253=0,"",SUMIFS('RECEBIMENTOS'!$H$6:$H$1005,'RECEBIMENTOS'!$R$6:$R$1005,A253,'RECEBIMENTOS'!$X$6:$X$1005,1))</f>
        <v/>
      </c>
      <c r="M253" s="93" t="str">
        <f>IF(R253=0,"",SUMIFS('VÍNCULOS_CDF'!$H$6:$H$1005,'VÍNCULOS_CDF'!$R$6:$R$1005,A253,'VÍNCULOS_CDF'!$V$6:$V$1005,1))</f>
        <v/>
      </c>
      <c r="N253" s="99" t="str">
        <f>IF(OR(R253=0,AA253=0,NOT(ISNUMBER(I253))),"",I253-N(L253))</f>
        <v/>
      </c>
      <c r="O253" s="100" t="str">
        <f>IF(OR(R253=0,AK253&lt;=0),"",N(M253)/AK253)</f>
        <v/>
      </c>
      <c r="P253" s="94" t="str">
        <f>IF(R253=0,"",IF(S253="","Sem MTR associado",IF(U253=0,"MTR inexistente",IF(C253="","Resíduo não identificado",IF(V253=0,"Resíduo fora do cadastro",IF(W253=0,"Quantidade inválida",IF(H253="","Unidade não informada",IF(NOT(ISNUMBER(I253)),"Unidade a conferir",IF(AND(AH253=1,K253&lt;&gt;"Sim"),"Possível duplicidade",IF(Z253=1,"MTR cancelado",IF(AC253&gt;0,"Recebimento com alerta",IF(AA253=0,"Aguardando recebimento",IF(AB253&lt;AA253,"Recebimento a conferir",IF(AM253=1,"Quantidade a revisar",IF(AF253&gt;0,"Vínculo a revisar",IF(AD253=0,"Aguardando CDF",IF(AN253=0,"Vínculo de CDF parcial",IF(AE253&lt;AD253,"CDF a conferir","Documentação conferida"))))))))))))))))))</f>
        <v/>
      </c>
      <c r="Q253" s="93" t="str">
        <f>IF(OR(R253=0,AA253=0),"",MAX(0,N(L253)-N(M253)))</f>
        <v/>
      </c>
      <c r="R253" s="96">
        <f>IF(COUNTA(B253:C253,G253:H253,J253:K253)&gt;0,1,0)</f>
        <v>0</v>
      </c>
      <c r="S253" s="96" t="str">
        <f>IF(B253="","",TRIM(LEFT(B253,FIND(" |",B253&amp;" |")-1)))</f>
        <v/>
      </c>
      <c r="T253" s="96" t="str">
        <f>IF(S253="","",IFERROR(MATCH(S253,'MTRs'!$A$6:$A$505,0),""))</f>
        <v/>
      </c>
      <c r="U253" s="96">
        <f>IF(T253="",0,IF(INDEX('MTRs'!$Z$6:$Z$505,T253)=1,1,0))</f>
        <v>0</v>
      </c>
      <c r="V253" s="96">
        <f>IF(C253="",0,IF(ISNUMBER(MATCH(C253,'CAD_RESÍDUOS'!$B$6:$B$205,0)),1,0))</f>
        <v>0</v>
      </c>
      <c r="W253" s="96">
        <f>IF(AND(ISNUMBER(G253),G253&gt;0),1,0)</f>
        <v>0</v>
      </c>
      <c r="X253" s="96" t="str">
        <f>IF(H253="","",IFERROR(IF(ISNUMBER(INDEX(cfg_fac,MATCH(H253,cfg_units,0))),IF(INDEX(cfg_fac,MATCH(H253,cfg_units,0))&gt;0,INDEX(cfg_fac,MATCH(H253,cfg_units,0)),""),""),""))</f>
        <v/>
      </c>
      <c r="Y253" s="96">
        <f>IF(AND(W253=1,ISNUMBER(I253)),1,0)</f>
        <v>0</v>
      </c>
      <c r="Z253" s="96">
        <f>IF(U253=1,INDEX('MTRs'!$AA$6:$AA$505,T253),0)</f>
        <v>0</v>
      </c>
      <c r="AA253" s="96">
        <f>IF(R253=0,0,COUNTIFS('RECEBIMENTOS'!$R$6:$R$1005,A253,'RECEBIMENTOS'!$Q$6:$Q$1005,1))</f>
        <v>0</v>
      </c>
      <c r="AB253" s="96">
        <f>IF(R253=0,0,COUNTIFS('RECEBIMENTOS'!$R$6:$R$1005,A253,'RECEBIMENTOS'!$Z$6:$Z$1005,1))</f>
        <v>0</v>
      </c>
      <c r="AC253" s="96">
        <f>IF(R253=0,0,COUNTIFS('RECEBIMENTOS'!$R$6:$R$1005,A253,'RECEBIMENTOS'!$Y$6:$Y$1005,1))</f>
        <v>0</v>
      </c>
      <c r="AD253" s="96">
        <f>IF(R253=0,0,COUNTIFS('VÍNCULOS_CDF'!$R$6:$R$1005,A253,'VÍNCULOS_CDF'!$N$6:$N$1005,1))</f>
        <v>0</v>
      </c>
      <c r="AE253" s="96">
        <f>IF(R253=0,0,COUNTIFS('VÍNCULOS_CDF'!$R$6:$R$1005,A253,'VÍNCULOS_CDF'!$AA$6:$AA$1005,1))</f>
        <v>0</v>
      </c>
      <c r="AF253" s="96">
        <f>IF(R253=0,0,COUNTIFS('VÍNCULOS_CDF'!$R$6:$R$1005,A253,'VÍNCULOS_CDF'!$Y$6:$Y$1005,1))</f>
        <v>0</v>
      </c>
      <c r="AG253" s="96" t="str">
        <f>IF(AND(R253=1,S253&lt;&gt;"",C253&lt;&gt;""),S253&amp;"|"&amp;C253&amp;"|"&amp;G253&amp;"|"&amp;H253,"")</f>
        <v/>
      </c>
      <c r="AH253" s="96">
        <f>IF(AG253="",0,IF(SUMPRODUCT(--($AG$6:$AG$1005=AG253))&gt;1,1,0))</f>
        <v>0</v>
      </c>
      <c r="AI253" s="96">
        <f>IF(R253=0,0,IF(OR(U253=0,V253=0,Y253=0,AND(AH253=1,K253&lt;&gt;"Sim")),1,0))</f>
        <v>0</v>
      </c>
      <c r="AJ253" s="96">
        <f>IF(AND(R253=1,AA253&gt;0,AB253=AA253),1,0)</f>
        <v>0</v>
      </c>
      <c r="AK253" s="96">
        <f>IF(R253=0,0,IF(AA253&gt;0,N(L253),IF(ISNUMBER(I253),I253,0)))</f>
        <v>0</v>
      </c>
      <c r="AL253" s="96">
        <f>IF(R253=0,0,IF(AND(K253&lt;&gt;"Sim",N(M253)&gt;AK253+cfg_tol),1,0))</f>
        <v>0</v>
      </c>
      <c r="AM253" s="96">
        <f>IF(R253=0,0,IF(K253="Sim",0,IF(OR(AND(AA253&gt;0,ISNUMBER(I253),ABS(I253-N(L253))&gt;cfg_tol),AL253=1),1,0)))</f>
        <v>0</v>
      </c>
      <c r="AN253" s="96">
        <f>IF(AND(R253=1,N(M253)&gt;0,OR(N(M253)&gt;=AK253-cfg_tol,K253="Sim")),1,0)</f>
        <v>0</v>
      </c>
      <c r="AO253" s="96">
        <f>IF(AND(AN253=1,AD253&gt;0,AE253=AD253,AL253=0),1,0)</f>
        <v>0</v>
      </c>
      <c r="AP253" s="96">
        <f>IF(U253=0,0,IF(AND(INDEX('MTRs'!$AX$6:$AX$505,T253)=1,Z253=0,OR(f_res="",f_res="(Todos)",C253=f_res)),1,0))</f>
        <v>0</v>
      </c>
      <c r="AQ253" s="97" t="str">
        <f>IF(U253=0,"",INDEX('MTRs'!$AZ$6:$AZ$505,T253))</f>
        <v/>
      </c>
      <c r="AR253" s="96">
        <f>IF(U253=0,0,IF(AND(INDEX('MTRs'!$BA$6:$BA$505,T253)=1,Z253=0),1,0))</f>
        <v>0</v>
      </c>
      <c r="AS253" s="96" t="str">
        <f>IF(R253=1,A253&amp;" | MTR "&amp;IF(U253=1,INDEX('MTRs'!$B$6:$B$505,T253)&amp;"","?")&amp;" | "&amp;IF(C253="","(sem resíduo)",C253),"")</f>
        <v/>
      </c>
      <c r="AT253" s="96" t="str">
        <f>IF(R253=1,COUNTIF($R$6:R253,1),"")</f>
        <v/>
      </c>
      <c r="AU253" s="96" t="str">
        <f>IF(U253=1,INDEX('MTRs'!$I$6:$I$505,T253)&amp;"","")</f>
        <v/>
      </c>
    </row>
    <row r="254">
      <c r="A254" s="89" t="inlineStr">
        <is>
          <t>IT-000249</t>
        </is>
      </c>
      <c r="B254" s="91" t="n"/>
      <c r="C254" s="91" t="n"/>
      <c r="D254" s="94" t="str">
        <f>IF(OR(R254=0,V254=0),"",INDEX('CAD_RESÍDUOS'!$E$6:$E$205,MATCH(C254,'CAD_RESÍDUOS'!$B$6:$B$205,0))&amp;"")</f>
        <v/>
      </c>
      <c r="E254" s="94" t="str">
        <f>IF(OR(R254=0,V254=0),"",INDEX('CAD_RESÍDUOS'!$C$6:$C$205,MATCH(C254,'CAD_RESÍDUOS'!$B$6:$B$205,0))&amp;"")</f>
        <v/>
      </c>
      <c r="F254" s="94" t="str">
        <f>IF(OR(R254=0,V254=0),"",INDEX('CAD_RESÍDUOS'!$G$6:$G$205,MATCH(C254,'CAD_RESÍDUOS'!$B$6:$B$205,0))&amp;"")</f>
        <v/>
      </c>
      <c r="G254" s="98" t="n"/>
      <c r="H254" s="91" t="n"/>
      <c r="I254" s="93" t="str">
        <f>IF(R254=0,"",IF(NOT(ISNUMBER(G254)),"",IF(ISNUMBER(X254),G254*X254,"UNIDADE A CONFERIR")))</f>
        <v/>
      </c>
      <c r="J254" s="91" t="n"/>
      <c r="K254" s="91" t="n"/>
      <c r="L254" s="93" t="str">
        <f>IF(R254=0,"",SUMIFS('RECEBIMENTOS'!$H$6:$H$1005,'RECEBIMENTOS'!$R$6:$R$1005,A254,'RECEBIMENTOS'!$X$6:$X$1005,1))</f>
        <v/>
      </c>
      <c r="M254" s="93" t="str">
        <f>IF(R254=0,"",SUMIFS('VÍNCULOS_CDF'!$H$6:$H$1005,'VÍNCULOS_CDF'!$R$6:$R$1005,A254,'VÍNCULOS_CDF'!$V$6:$V$1005,1))</f>
        <v/>
      </c>
      <c r="N254" s="99" t="str">
        <f>IF(OR(R254=0,AA254=0,NOT(ISNUMBER(I254))),"",I254-N(L254))</f>
        <v/>
      </c>
      <c r="O254" s="100" t="str">
        <f>IF(OR(R254=0,AK254&lt;=0),"",N(M254)/AK254)</f>
        <v/>
      </c>
      <c r="P254" s="94" t="str">
        <f>IF(R254=0,"",IF(S254="","Sem MTR associado",IF(U254=0,"MTR inexistente",IF(C254="","Resíduo não identificado",IF(V254=0,"Resíduo fora do cadastro",IF(W254=0,"Quantidade inválida",IF(H254="","Unidade não informada",IF(NOT(ISNUMBER(I254)),"Unidade a conferir",IF(AND(AH254=1,K254&lt;&gt;"Sim"),"Possível duplicidade",IF(Z254=1,"MTR cancelado",IF(AC254&gt;0,"Recebimento com alerta",IF(AA254=0,"Aguardando recebimento",IF(AB254&lt;AA254,"Recebimento a conferir",IF(AM254=1,"Quantidade a revisar",IF(AF254&gt;0,"Vínculo a revisar",IF(AD254=0,"Aguardando CDF",IF(AN254=0,"Vínculo de CDF parcial",IF(AE254&lt;AD254,"CDF a conferir","Documentação conferida"))))))))))))))))))</f>
        <v/>
      </c>
      <c r="Q254" s="93" t="str">
        <f>IF(OR(R254=0,AA254=0),"",MAX(0,N(L254)-N(M254)))</f>
        <v/>
      </c>
      <c r="R254" s="96">
        <f>IF(COUNTA(B254:C254,G254:H254,J254:K254)&gt;0,1,0)</f>
        <v>0</v>
      </c>
      <c r="S254" s="96" t="str">
        <f>IF(B254="","",TRIM(LEFT(B254,FIND(" |",B254&amp;" |")-1)))</f>
        <v/>
      </c>
      <c r="T254" s="96" t="str">
        <f>IF(S254="","",IFERROR(MATCH(S254,'MTRs'!$A$6:$A$505,0),""))</f>
        <v/>
      </c>
      <c r="U254" s="96">
        <f>IF(T254="",0,IF(INDEX('MTRs'!$Z$6:$Z$505,T254)=1,1,0))</f>
        <v>0</v>
      </c>
      <c r="V254" s="96">
        <f>IF(C254="",0,IF(ISNUMBER(MATCH(C254,'CAD_RESÍDUOS'!$B$6:$B$205,0)),1,0))</f>
        <v>0</v>
      </c>
      <c r="W254" s="96">
        <f>IF(AND(ISNUMBER(G254),G254&gt;0),1,0)</f>
        <v>0</v>
      </c>
      <c r="X254" s="96" t="str">
        <f>IF(H254="","",IFERROR(IF(ISNUMBER(INDEX(cfg_fac,MATCH(H254,cfg_units,0))),IF(INDEX(cfg_fac,MATCH(H254,cfg_units,0))&gt;0,INDEX(cfg_fac,MATCH(H254,cfg_units,0)),""),""),""))</f>
        <v/>
      </c>
      <c r="Y254" s="96">
        <f>IF(AND(W254=1,ISNUMBER(I254)),1,0)</f>
        <v>0</v>
      </c>
      <c r="Z254" s="96">
        <f>IF(U254=1,INDEX('MTRs'!$AA$6:$AA$505,T254),0)</f>
        <v>0</v>
      </c>
      <c r="AA254" s="96">
        <f>IF(R254=0,0,COUNTIFS('RECEBIMENTOS'!$R$6:$R$1005,A254,'RECEBIMENTOS'!$Q$6:$Q$1005,1))</f>
        <v>0</v>
      </c>
      <c r="AB254" s="96">
        <f>IF(R254=0,0,COUNTIFS('RECEBIMENTOS'!$R$6:$R$1005,A254,'RECEBIMENTOS'!$Z$6:$Z$1005,1))</f>
        <v>0</v>
      </c>
      <c r="AC254" s="96">
        <f>IF(R254=0,0,COUNTIFS('RECEBIMENTOS'!$R$6:$R$1005,A254,'RECEBIMENTOS'!$Y$6:$Y$1005,1))</f>
        <v>0</v>
      </c>
      <c r="AD254" s="96">
        <f>IF(R254=0,0,COUNTIFS('VÍNCULOS_CDF'!$R$6:$R$1005,A254,'VÍNCULOS_CDF'!$N$6:$N$1005,1))</f>
        <v>0</v>
      </c>
      <c r="AE254" s="96">
        <f>IF(R254=0,0,COUNTIFS('VÍNCULOS_CDF'!$R$6:$R$1005,A254,'VÍNCULOS_CDF'!$AA$6:$AA$1005,1))</f>
        <v>0</v>
      </c>
      <c r="AF254" s="96">
        <f>IF(R254=0,0,COUNTIFS('VÍNCULOS_CDF'!$R$6:$R$1005,A254,'VÍNCULOS_CDF'!$Y$6:$Y$1005,1))</f>
        <v>0</v>
      </c>
      <c r="AG254" s="96" t="str">
        <f>IF(AND(R254=1,S254&lt;&gt;"",C254&lt;&gt;""),S254&amp;"|"&amp;C254&amp;"|"&amp;G254&amp;"|"&amp;H254,"")</f>
        <v/>
      </c>
      <c r="AH254" s="96">
        <f>IF(AG254="",0,IF(SUMPRODUCT(--($AG$6:$AG$1005=AG254))&gt;1,1,0))</f>
        <v>0</v>
      </c>
      <c r="AI254" s="96">
        <f>IF(R254=0,0,IF(OR(U254=0,V254=0,Y254=0,AND(AH254=1,K254&lt;&gt;"Sim")),1,0))</f>
        <v>0</v>
      </c>
      <c r="AJ254" s="96">
        <f>IF(AND(R254=1,AA254&gt;0,AB254=AA254),1,0)</f>
        <v>0</v>
      </c>
      <c r="AK254" s="96">
        <f>IF(R254=0,0,IF(AA254&gt;0,N(L254),IF(ISNUMBER(I254),I254,0)))</f>
        <v>0</v>
      </c>
      <c r="AL254" s="96">
        <f>IF(R254=0,0,IF(AND(K254&lt;&gt;"Sim",N(M254)&gt;AK254+cfg_tol),1,0))</f>
        <v>0</v>
      </c>
      <c r="AM254" s="96">
        <f>IF(R254=0,0,IF(K254="Sim",0,IF(OR(AND(AA254&gt;0,ISNUMBER(I254),ABS(I254-N(L254))&gt;cfg_tol),AL254=1),1,0)))</f>
        <v>0</v>
      </c>
      <c r="AN254" s="96">
        <f>IF(AND(R254=1,N(M254)&gt;0,OR(N(M254)&gt;=AK254-cfg_tol,K254="Sim")),1,0)</f>
        <v>0</v>
      </c>
      <c r="AO254" s="96">
        <f>IF(AND(AN254=1,AD254&gt;0,AE254=AD254,AL254=0),1,0)</f>
        <v>0</v>
      </c>
      <c r="AP254" s="96">
        <f>IF(U254=0,0,IF(AND(INDEX('MTRs'!$AX$6:$AX$505,T254)=1,Z254=0,OR(f_res="",f_res="(Todos)",C254=f_res)),1,0))</f>
        <v>0</v>
      </c>
      <c r="AQ254" s="97" t="str">
        <f>IF(U254=0,"",INDEX('MTRs'!$AZ$6:$AZ$505,T254))</f>
        <v/>
      </c>
      <c r="AR254" s="96">
        <f>IF(U254=0,0,IF(AND(INDEX('MTRs'!$BA$6:$BA$505,T254)=1,Z254=0),1,0))</f>
        <v>0</v>
      </c>
      <c r="AS254" s="96" t="str">
        <f>IF(R254=1,A254&amp;" | MTR "&amp;IF(U254=1,INDEX('MTRs'!$B$6:$B$505,T254)&amp;"","?")&amp;" | "&amp;IF(C254="","(sem resíduo)",C254),"")</f>
        <v/>
      </c>
      <c r="AT254" s="96" t="str">
        <f>IF(R254=1,COUNTIF($R$6:R254,1),"")</f>
        <v/>
      </c>
      <c r="AU254" s="96" t="str">
        <f>IF(U254=1,INDEX('MTRs'!$I$6:$I$505,T254)&amp;"","")</f>
        <v/>
      </c>
    </row>
    <row r="255">
      <c r="A255" s="89" t="inlineStr">
        <is>
          <t>IT-000250</t>
        </is>
      </c>
      <c r="B255" s="91" t="n"/>
      <c r="C255" s="91" t="n"/>
      <c r="D255" s="94" t="str">
        <f>IF(OR(R255=0,V255=0),"",INDEX('CAD_RESÍDUOS'!$E$6:$E$205,MATCH(C255,'CAD_RESÍDUOS'!$B$6:$B$205,0))&amp;"")</f>
        <v/>
      </c>
      <c r="E255" s="94" t="str">
        <f>IF(OR(R255=0,V255=0),"",INDEX('CAD_RESÍDUOS'!$C$6:$C$205,MATCH(C255,'CAD_RESÍDUOS'!$B$6:$B$205,0))&amp;"")</f>
        <v/>
      </c>
      <c r="F255" s="94" t="str">
        <f>IF(OR(R255=0,V255=0),"",INDEX('CAD_RESÍDUOS'!$G$6:$G$205,MATCH(C255,'CAD_RESÍDUOS'!$B$6:$B$205,0))&amp;"")</f>
        <v/>
      </c>
      <c r="G255" s="98" t="n"/>
      <c r="H255" s="91" t="n"/>
      <c r="I255" s="93" t="str">
        <f>IF(R255=0,"",IF(NOT(ISNUMBER(G255)),"",IF(ISNUMBER(X255),G255*X255,"UNIDADE A CONFERIR")))</f>
        <v/>
      </c>
      <c r="J255" s="91" t="n"/>
      <c r="K255" s="91" t="n"/>
      <c r="L255" s="93" t="str">
        <f>IF(R255=0,"",SUMIFS('RECEBIMENTOS'!$H$6:$H$1005,'RECEBIMENTOS'!$R$6:$R$1005,A255,'RECEBIMENTOS'!$X$6:$X$1005,1))</f>
        <v/>
      </c>
      <c r="M255" s="93" t="str">
        <f>IF(R255=0,"",SUMIFS('VÍNCULOS_CDF'!$H$6:$H$1005,'VÍNCULOS_CDF'!$R$6:$R$1005,A255,'VÍNCULOS_CDF'!$V$6:$V$1005,1))</f>
        <v/>
      </c>
      <c r="N255" s="99" t="str">
        <f>IF(OR(R255=0,AA255=0,NOT(ISNUMBER(I255))),"",I255-N(L255))</f>
        <v/>
      </c>
      <c r="O255" s="100" t="str">
        <f>IF(OR(R255=0,AK255&lt;=0),"",N(M255)/AK255)</f>
        <v/>
      </c>
      <c r="P255" s="94" t="str">
        <f>IF(R255=0,"",IF(S255="","Sem MTR associado",IF(U255=0,"MTR inexistente",IF(C255="","Resíduo não identificado",IF(V255=0,"Resíduo fora do cadastro",IF(W255=0,"Quantidade inválida",IF(H255="","Unidade não informada",IF(NOT(ISNUMBER(I255)),"Unidade a conferir",IF(AND(AH255=1,K255&lt;&gt;"Sim"),"Possível duplicidade",IF(Z255=1,"MTR cancelado",IF(AC255&gt;0,"Recebimento com alerta",IF(AA255=0,"Aguardando recebimento",IF(AB255&lt;AA255,"Recebimento a conferir",IF(AM255=1,"Quantidade a revisar",IF(AF255&gt;0,"Vínculo a revisar",IF(AD255=0,"Aguardando CDF",IF(AN255=0,"Vínculo de CDF parcial",IF(AE255&lt;AD255,"CDF a conferir","Documentação conferida"))))))))))))))))))</f>
        <v/>
      </c>
      <c r="Q255" s="93" t="str">
        <f>IF(OR(R255=0,AA255=0),"",MAX(0,N(L255)-N(M255)))</f>
        <v/>
      </c>
      <c r="R255" s="96">
        <f>IF(COUNTA(B255:C255,G255:H255,J255:K255)&gt;0,1,0)</f>
        <v>0</v>
      </c>
      <c r="S255" s="96" t="str">
        <f>IF(B255="","",TRIM(LEFT(B255,FIND(" |",B255&amp;" |")-1)))</f>
        <v/>
      </c>
      <c r="T255" s="96" t="str">
        <f>IF(S255="","",IFERROR(MATCH(S255,'MTRs'!$A$6:$A$505,0),""))</f>
        <v/>
      </c>
      <c r="U255" s="96">
        <f>IF(T255="",0,IF(INDEX('MTRs'!$Z$6:$Z$505,T255)=1,1,0))</f>
        <v>0</v>
      </c>
      <c r="V255" s="96">
        <f>IF(C255="",0,IF(ISNUMBER(MATCH(C255,'CAD_RESÍDUOS'!$B$6:$B$205,0)),1,0))</f>
        <v>0</v>
      </c>
      <c r="W255" s="96">
        <f>IF(AND(ISNUMBER(G255),G255&gt;0),1,0)</f>
        <v>0</v>
      </c>
      <c r="X255" s="96" t="str">
        <f>IF(H255="","",IFERROR(IF(ISNUMBER(INDEX(cfg_fac,MATCH(H255,cfg_units,0))),IF(INDEX(cfg_fac,MATCH(H255,cfg_units,0))&gt;0,INDEX(cfg_fac,MATCH(H255,cfg_units,0)),""),""),""))</f>
        <v/>
      </c>
      <c r="Y255" s="96">
        <f>IF(AND(W255=1,ISNUMBER(I255)),1,0)</f>
        <v>0</v>
      </c>
      <c r="Z255" s="96">
        <f>IF(U255=1,INDEX('MTRs'!$AA$6:$AA$505,T255),0)</f>
        <v>0</v>
      </c>
      <c r="AA255" s="96">
        <f>IF(R255=0,0,COUNTIFS('RECEBIMENTOS'!$R$6:$R$1005,A255,'RECEBIMENTOS'!$Q$6:$Q$1005,1))</f>
        <v>0</v>
      </c>
      <c r="AB255" s="96">
        <f>IF(R255=0,0,COUNTIFS('RECEBIMENTOS'!$R$6:$R$1005,A255,'RECEBIMENTOS'!$Z$6:$Z$1005,1))</f>
        <v>0</v>
      </c>
      <c r="AC255" s="96">
        <f>IF(R255=0,0,COUNTIFS('RECEBIMENTOS'!$R$6:$R$1005,A255,'RECEBIMENTOS'!$Y$6:$Y$1005,1))</f>
        <v>0</v>
      </c>
      <c r="AD255" s="96">
        <f>IF(R255=0,0,COUNTIFS('VÍNCULOS_CDF'!$R$6:$R$1005,A255,'VÍNCULOS_CDF'!$N$6:$N$1005,1))</f>
        <v>0</v>
      </c>
      <c r="AE255" s="96">
        <f>IF(R255=0,0,COUNTIFS('VÍNCULOS_CDF'!$R$6:$R$1005,A255,'VÍNCULOS_CDF'!$AA$6:$AA$1005,1))</f>
        <v>0</v>
      </c>
      <c r="AF255" s="96">
        <f>IF(R255=0,0,COUNTIFS('VÍNCULOS_CDF'!$R$6:$R$1005,A255,'VÍNCULOS_CDF'!$Y$6:$Y$1005,1))</f>
        <v>0</v>
      </c>
      <c r="AG255" s="96" t="str">
        <f>IF(AND(R255=1,S255&lt;&gt;"",C255&lt;&gt;""),S255&amp;"|"&amp;C255&amp;"|"&amp;G255&amp;"|"&amp;H255,"")</f>
        <v/>
      </c>
      <c r="AH255" s="96">
        <f>IF(AG255="",0,IF(SUMPRODUCT(--($AG$6:$AG$1005=AG255))&gt;1,1,0))</f>
        <v>0</v>
      </c>
      <c r="AI255" s="96">
        <f>IF(R255=0,0,IF(OR(U255=0,V255=0,Y255=0,AND(AH255=1,K255&lt;&gt;"Sim")),1,0))</f>
        <v>0</v>
      </c>
      <c r="AJ255" s="96">
        <f>IF(AND(R255=1,AA255&gt;0,AB255=AA255),1,0)</f>
        <v>0</v>
      </c>
      <c r="AK255" s="96">
        <f>IF(R255=0,0,IF(AA255&gt;0,N(L255),IF(ISNUMBER(I255),I255,0)))</f>
        <v>0</v>
      </c>
      <c r="AL255" s="96">
        <f>IF(R255=0,0,IF(AND(K255&lt;&gt;"Sim",N(M255)&gt;AK255+cfg_tol),1,0))</f>
        <v>0</v>
      </c>
      <c r="AM255" s="96">
        <f>IF(R255=0,0,IF(K255="Sim",0,IF(OR(AND(AA255&gt;0,ISNUMBER(I255),ABS(I255-N(L255))&gt;cfg_tol),AL255=1),1,0)))</f>
        <v>0</v>
      </c>
      <c r="AN255" s="96">
        <f>IF(AND(R255=1,N(M255)&gt;0,OR(N(M255)&gt;=AK255-cfg_tol,K255="Sim")),1,0)</f>
        <v>0</v>
      </c>
      <c r="AO255" s="96">
        <f>IF(AND(AN255=1,AD255&gt;0,AE255=AD255,AL255=0),1,0)</f>
        <v>0</v>
      </c>
      <c r="AP255" s="96">
        <f>IF(U255=0,0,IF(AND(INDEX('MTRs'!$AX$6:$AX$505,T255)=1,Z255=0,OR(f_res="",f_res="(Todos)",C255=f_res)),1,0))</f>
        <v>0</v>
      </c>
      <c r="AQ255" s="97" t="str">
        <f>IF(U255=0,"",INDEX('MTRs'!$AZ$6:$AZ$505,T255))</f>
        <v/>
      </c>
      <c r="AR255" s="96">
        <f>IF(U255=0,0,IF(AND(INDEX('MTRs'!$BA$6:$BA$505,T255)=1,Z255=0),1,0))</f>
        <v>0</v>
      </c>
      <c r="AS255" s="96" t="str">
        <f>IF(R255=1,A255&amp;" | MTR "&amp;IF(U255=1,INDEX('MTRs'!$B$6:$B$505,T255)&amp;"","?")&amp;" | "&amp;IF(C255="","(sem resíduo)",C255),"")</f>
        <v/>
      </c>
      <c r="AT255" s="96" t="str">
        <f>IF(R255=1,COUNTIF($R$6:R255,1),"")</f>
        <v/>
      </c>
      <c r="AU255" s="96" t="str">
        <f>IF(U255=1,INDEX('MTRs'!$I$6:$I$505,T255)&amp;"","")</f>
        <v/>
      </c>
    </row>
    <row r="256">
      <c r="A256" s="89" t="inlineStr">
        <is>
          <t>IT-000251</t>
        </is>
      </c>
      <c r="B256" s="91" t="n"/>
      <c r="C256" s="91" t="n"/>
      <c r="D256" s="94" t="str">
        <f>IF(OR(R256=0,V256=0),"",INDEX('CAD_RESÍDUOS'!$E$6:$E$205,MATCH(C256,'CAD_RESÍDUOS'!$B$6:$B$205,0))&amp;"")</f>
        <v/>
      </c>
      <c r="E256" s="94" t="str">
        <f>IF(OR(R256=0,V256=0),"",INDEX('CAD_RESÍDUOS'!$C$6:$C$205,MATCH(C256,'CAD_RESÍDUOS'!$B$6:$B$205,0))&amp;"")</f>
        <v/>
      </c>
      <c r="F256" s="94" t="str">
        <f>IF(OR(R256=0,V256=0),"",INDEX('CAD_RESÍDUOS'!$G$6:$G$205,MATCH(C256,'CAD_RESÍDUOS'!$B$6:$B$205,0))&amp;"")</f>
        <v/>
      </c>
      <c r="G256" s="98" t="n"/>
      <c r="H256" s="91" t="n"/>
      <c r="I256" s="93" t="str">
        <f>IF(R256=0,"",IF(NOT(ISNUMBER(G256)),"",IF(ISNUMBER(X256),G256*X256,"UNIDADE A CONFERIR")))</f>
        <v/>
      </c>
      <c r="J256" s="91" t="n"/>
      <c r="K256" s="91" t="n"/>
      <c r="L256" s="93" t="str">
        <f>IF(R256=0,"",SUMIFS('RECEBIMENTOS'!$H$6:$H$1005,'RECEBIMENTOS'!$R$6:$R$1005,A256,'RECEBIMENTOS'!$X$6:$X$1005,1))</f>
        <v/>
      </c>
      <c r="M256" s="93" t="str">
        <f>IF(R256=0,"",SUMIFS('VÍNCULOS_CDF'!$H$6:$H$1005,'VÍNCULOS_CDF'!$R$6:$R$1005,A256,'VÍNCULOS_CDF'!$V$6:$V$1005,1))</f>
        <v/>
      </c>
      <c r="N256" s="99" t="str">
        <f>IF(OR(R256=0,AA256=0,NOT(ISNUMBER(I256))),"",I256-N(L256))</f>
        <v/>
      </c>
      <c r="O256" s="100" t="str">
        <f>IF(OR(R256=0,AK256&lt;=0),"",N(M256)/AK256)</f>
        <v/>
      </c>
      <c r="P256" s="94" t="str">
        <f>IF(R256=0,"",IF(S256="","Sem MTR associado",IF(U256=0,"MTR inexistente",IF(C256="","Resíduo não identificado",IF(V256=0,"Resíduo fora do cadastro",IF(W256=0,"Quantidade inválida",IF(H256="","Unidade não informada",IF(NOT(ISNUMBER(I256)),"Unidade a conferir",IF(AND(AH256=1,K256&lt;&gt;"Sim"),"Possível duplicidade",IF(Z256=1,"MTR cancelado",IF(AC256&gt;0,"Recebimento com alerta",IF(AA256=0,"Aguardando recebimento",IF(AB256&lt;AA256,"Recebimento a conferir",IF(AM256=1,"Quantidade a revisar",IF(AF256&gt;0,"Vínculo a revisar",IF(AD256=0,"Aguardando CDF",IF(AN256=0,"Vínculo de CDF parcial",IF(AE256&lt;AD256,"CDF a conferir","Documentação conferida"))))))))))))))))))</f>
        <v/>
      </c>
      <c r="Q256" s="93" t="str">
        <f>IF(OR(R256=0,AA256=0),"",MAX(0,N(L256)-N(M256)))</f>
        <v/>
      </c>
      <c r="R256" s="96">
        <f>IF(COUNTA(B256:C256,G256:H256,J256:K256)&gt;0,1,0)</f>
        <v>0</v>
      </c>
      <c r="S256" s="96" t="str">
        <f>IF(B256="","",TRIM(LEFT(B256,FIND(" |",B256&amp;" |")-1)))</f>
        <v/>
      </c>
      <c r="T256" s="96" t="str">
        <f>IF(S256="","",IFERROR(MATCH(S256,'MTRs'!$A$6:$A$505,0),""))</f>
        <v/>
      </c>
      <c r="U256" s="96">
        <f>IF(T256="",0,IF(INDEX('MTRs'!$Z$6:$Z$505,T256)=1,1,0))</f>
        <v>0</v>
      </c>
      <c r="V256" s="96">
        <f>IF(C256="",0,IF(ISNUMBER(MATCH(C256,'CAD_RESÍDUOS'!$B$6:$B$205,0)),1,0))</f>
        <v>0</v>
      </c>
      <c r="W256" s="96">
        <f>IF(AND(ISNUMBER(G256),G256&gt;0),1,0)</f>
        <v>0</v>
      </c>
      <c r="X256" s="96" t="str">
        <f>IF(H256="","",IFERROR(IF(ISNUMBER(INDEX(cfg_fac,MATCH(H256,cfg_units,0))),IF(INDEX(cfg_fac,MATCH(H256,cfg_units,0))&gt;0,INDEX(cfg_fac,MATCH(H256,cfg_units,0)),""),""),""))</f>
        <v/>
      </c>
      <c r="Y256" s="96">
        <f>IF(AND(W256=1,ISNUMBER(I256)),1,0)</f>
        <v>0</v>
      </c>
      <c r="Z256" s="96">
        <f>IF(U256=1,INDEX('MTRs'!$AA$6:$AA$505,T256),0)</f>
        <v>0</v>
      </c>
      <c r="AA256" s="96">
        <f>IF(R256=0,0,COUNTIFS('RECEBIMENTOS'!$R$6:$R$1005,A256,'RECEBIMENTOS'!$Q$6:$Q$1005,1))</f>
        <v>0</v>
      </c>
      <c r="AB256" s="96">
        <f>IF(R256=0,0,COUNTIFS('RECEBIMENTOS'!$R$6:$R$1005,A256,'RECEBIMENTOS'!$Z$6:$Z$1005,1))</f>
        <v>0</v>
      </c>
      <c r="AC256" s="96">
        <f>IF(R256=0,0,COUNTIFS('RECEBIMENTOS'!$R$6:$R$1005,A256,'RECEBIMENTOS'!$Y$6:$Y$1005,1))</f>
        <v>0</v>
      </c>
      <c r="AD256" s="96">
        <f>IF(R256=0,0,COUNTIFS('VÍNCULOS_CDF'!$R$6:$R$1005,A256,'VÍNCULOS_CDF'!$N$6:$N$1005,1))</f>
        <v>0</v>
      </c>
      <c r="AE256" s="96">
        <f>IF(R256=0,0,COUNTIFS('VÍNCULOS_CDF'!$R$6:$R$1005,A256,'VÍNCULOS_CDF'!$AA$6:$AA$1005,1))</f>
        <v>0</v>
      </c>
      <c r="AF256" s="96">
        <f>IF(R256=0,0,COUNTIFS('VÍNCULOS_CDF'!$R$6:$R$1005,A256,'VÍNCULOS_CDF'!$Y$6:$Y$1005,1))</f>
        <v>0</v>
      </c>
      <c r="AG256" s="96" t="str">
        <f>IF(AND(R256=1,S256&lt;&gt;"",C256&lt;&gt;""),S256&amp;"|"&amp;C256&amp;"|"&amp;G256&amp;"|"&amp;H256,"")</f>
        <v/>
      </c>
      <c r="AH256" s="96">
        <f>IF(AG256="",0,IF(SUMPRODUCT(--($AG$6:$AG$1005=AG256))&gt;1,1,0))</f>
        <v>0</v>
      </c>
      <c r="AI256" s="96">
        <f>IF(R256=0,0,IF(OR(U256=0,V256=0,Y256=0,AND(AH256=1,K256&lt;&gt;"Sim")),1,0))</f>
        <v>0</v>
      </c>
      <c r="AJ256" s="96">
        <f>IF(AND(R256=1,AA256&gt;0,AB256=AA256),1,0)</f>
        <v>0</v>
      </c>
      <c r="AK256" s="96">
        <f>IF(R256=0,0,IF(AA256&gt;0,N(L256),IF(ISNUMBER(I256),I256,0)))</f>
        <v>0</v>
      </c>
      <c r="AL256" s="96">
        <f>IF(R256=0,0,IF(AND(K256&lt;&gt;"Sim",N(M256)&gt;AK256+cfg_tol),1,0))</f>
        <v>0</v>
      </c>
      <c r="AM256" s="96">
        <f>IF(R256=0,0,IF(K256="Sim",0,IF(OR(AND(AA256&gt;0,ISNUMBER(I256),ABS(I256-N(L256))&gt;cfg_tol),AL256=1),1,0)))</f>
        <v>0</v>
      </c>
      <c r="AN256" s="96">
        <f>IF(AND(R256=1,N(M256)&gt;0,OR(N(M256)&gt;=AK256-cfg_tol,K256="Sim")),1,0)</f>
        <v>0</v>
      </c>
      <c r="AO256" s="96">
        <f>IF(AND(AN256=1,AD256&gt;0,AE256=AD256,AL256=0),1,0)</f>
        <v>0</v>
      </c>
      <c r="AP256" s="96">
        <f>IF(U256=0,0,IF(AND(INDEX('MTRs'!$AX$6:$AX$505,T256)=1,Z256=0,OR(f_res="",f_res="(Todos)",C256=f_res)),1,0))</f>
        <v>0</v>
      </c>
      <c r="AQ256" s="97" t="str">
        <f>IF(U256=0,"",INDEX('MTRs'!$AZ$6:$AZ$505,T256))</f>
        <v/>
      </c>
      <c r="AR256" s="96">
        <f>IF(U256=0,0,IF(AND(INDEX('MTRs'!$BA$6:$BA$505,T256)=1,Z256=0),1,0))</f>
        <v>0</v>
      </c>
      <c r="AS256" s="96" t="str">
        <f>IF(R256=1,A256&amp;" | MTR "&amp;IF(U256=1,INDEX('MTRs'!$B$6:$B$505,T256)&amp;"","?")&amp;" | "&amp;IF(C256="","(sem resíduo)",C256),"")</f>
        <v/>
      </c>
      <c r="AT256" s="96" t="str">
        <f>IF(R256=1,COUNTIF($R$6:R256,1),"")</f>
        <v/>
      </c>
      <c r="AU256" s="96" t="str">
        <f>IF(U256=1,INDEX('MTRs'!$I$6:$I$505,T256)&amp;"","")</f>
        <v/>
      </c>
    </row>
    <row r="257">
      <c r="A257" s="89" t="inlineStr">
        <is>
          <t>IT-000252</t>
        </is>
      </c>
      <c r="B257" s="91" t="n"/>
      <c r="C257" s="91" t="n"/>
      <c r="D257" s="94" t="str">
        <f>IF(OR(R257=0,V257=0),"",INDEX('CAD_RESÍDUOS'!$E$6:$E$205,MATCH(C257,'CAD_RESÍDUOS'!$B$6:$B$205,0))&amp;"")</f>
        <v/>
      </c>
      <c r="E257" s="94" t="str">
        <f>IF(OR(R257=0,V257=0),"",INDEX('CAD_RESÍDUOS'!$C$6:$C$205,MATCH(C257,'CAD_RESÍDUOS'!$B$6:$B$205,0))&amp;"")</f>
        <v/>
      </c>
      <c r="F257" s="94" t="str">
        <f>IF(OR(R257=0,V257=0),"",INDEX('CAD_RESÍDUOS'!$G$6:$G$205,MATCH(C257,'CAD_RESÍDUOS'!$B$6:$B$205,0))&amp;"")</f>
        <v/>
      </c>
      <c r="G257" s="98" t="n"/>
      <c r="H257" s="91" t="n"/>
      <c r="I257" s="93" t="str">
        <f>IF(R257=0,"",IF(NOT(ISNUMBER(G257)),"",IF(ISNUMBER(X257),G257*X257,"UNIDADE A CONFERIR")))</f>
        <v/>
      </c>
      <c r="J257" s="91" t="n"/>
      <c r="K257" s="91" t="n"/>
      <c r="L257" s="93" t="str">
        <f>IF(R257=0,"",SUMIFS('RECEBIMENTOS'!$H$6:$H$1005,'RECEBIMENTOS'!$R$6:$R$1005,A257,'RECEBIMENTOS'!$X$6:$X$1005,1))</f>
        <v/>
      </c>
      <c r="M257" s="93" t="str">
        <f>IF(R257=0,"",SUMIFS('VÍNCULOS_CDF'!$H$6:$H$1005,'VÍNCULOS_CDF'!$R$6:$R$1005,A257,'VÍNCULOS_CDF'!$V$6:$V$1005,1))</f>
        <v/>
      </c>
      <c r="N257" s="99" t="str">
        <f>IF(OR(R257=0,AA257=0,NOT(ISNUMBER(I257))),"",I257-N(L257))</f>
        <v/>
      </c>
      <c r="O257" s="100" t="str">
        <f>IF(OR(R257=0,AK257&lt;=0),"",N(M257)/AK257)</f>
        <v/>
      </c>
      <c r="P257" s="94" t="str">
        <f>IF(R257=0,"",IF(S257="","Sem MTR associado",IF(U257=0,"MTR inexistente",IF(C257="","Resíduo não identificado",IF(V257=0,"Resíduo fora do cadastro",IF(W257=0,"Quantidade inválida",IF(H257="","Unidade não informada",IF(NOT(ISNUMBER(I257)),"Unidade a conferir",IF(AND(AH257=1,K257&lt;&gt;"Sim"),"Possível duplicidade",IF(Z257=1,"MTR cancelado",IF(AC257&gt;0,"Recebimento com alerta",IF(AA257=0,"Aguardando recebimento",IF(AB257&lt;AA257,"Recebimento a conferir",IF(AM257=1,"Quantidade a revisar",IF(AF257&gt;0,"Vínculo a revisar",IF(AD257=0,"Aguardando CDF",IF(AN257=0,"Vínculo de CDF parcial",IF(AE257&lt;AD257,"CDF a conferir","Documentação conferida"))))))))))))))))))</f>
        <v/>
      </c>
      <c r="Q257" s="93" t="str">
        <f>IF(OR(R257=0,AA257=0),"",MAX(0,N(L257)-N(M257)))</f>
        <v/>
      </c>
      <c r="R257" s="96">
        <f>IF(COUNTA(B257:C257,G257:H257,J257:K257)&gt;0,1,0)</f>
        <v>0</v>
      </c>
      <c r="S257" s="96" t="str">
        <f>IF(B257="","",TRIM(LEFT(B257,FIND(" |",B257&amp;" |")-1)))</f>
        <v/>
      </c>
      <c r="T257" s="96" t="str">
        <f>IF(S257="","",IFERROR(MATCH(S257,'MTRs'!$A$6:$A$505,0),""))</f>
        <v/>
      </c>
      <c r="U257" s="96">
        <f>IF(T257="",0,IF(INDEX('MTRs'!$Z$6:$Z$505,T257)=1,1,0))</f>
        <v>0</v>
      </c>
      <c r="V257" s="96">
        <f>IF(C257="",0,IF(ISNUMBER(MATCH(C257,'CAD_RESÍDUOS'!$B$6:$B$205,0)),1,0))</f>
        <v>0</v>
      </c>
      <c r="W257" s="96">
        <f>IF(AND(ISNUMBER(G257),G257&gt;0),1,0)</f>
        <v>0</v>
      </c>
      <c r="X257" s="96" t="str">
        <f>IF(H257="","",IFERROR(IF(ISNUMBER(INDEX(cfg_fac,MATCH(H257,cfg_units,0))),IF(INDEX(cfg_fac,MATCH(H257,cfg_units,0))&gt;0,INDEX(cfg_fac,MATCH(H257,cfg_units,0)),""),""),""))</f>
        <v/>
      </c>
      <c r="Y257" s="96">
        <f>IF(AND(W257=1,ISNUMBER(I257)),1,0)</f>
        <v>0</v>
      </c>
      <c r="Z257" s="96">
        <f>IF(U257=1,INDEX('MTRs'!$AA$6:$AA$505,T257),0)</f>
        <v>0</v>
      </c>
      <c r="AA257" s="96">
        <f>IF(R257=0,0,COUNTIFS('RECEBIMENTOS'!$R$6:$R$1005,A257,'RECEBIMENTOS'!$Q$6:$Q$1005,1))</f>
        <v>0</v>
      </c>
      <c r="AB257" s="96">
        <f>IF(R257=0,0,COUNTIFS('RECEBIMENTOS'!$R$6:$R$1005,A257,'RECEBIMENTOS'!$Z$6:$Z$1005,1))</f>
        <v>0</v>
      </c>
      <c r="AC257" s="96">
        <f>IF(R257=0,0,COUNTIFS('RECEBIMENTOS'!$R$6:$R$1005,A257,'RECEBIMENTOS'!$Y$6:$Y$1005,1))</f>
        <v>0</v>
      </c>
      <c r="AD257" s="96">
        <f>IF(R257=0,0,COUNTIFS('VÍNCULOS_CDF'!$R$6:$R$1005,A257,'VÍNCULOS_CDF'!$N$6:$N$1005,1))</f>
        <v>0</v>
      </c>
      <c r="AE257" s="96">
        <f>IF(R257=0,0,COUNTIFS('VÍNCULOS_CDF'!$R$6:$R$1005,A257,'VÍNCULOS_CDF'!$AA$6:$AA$1005,1))</f>
        <v>0</v>
      </c>
      <c r="AF257" s="96">
        <f>IF(R257=0,0,COUNTIFS('VÍNCULOS_CDF'!$R$6:$R$1005,A257,'VÍNCULOS_CDF'!$Y$6:$Y$1005,1))</f>
        <v>0</v>
      </c>
      <c r="AG257" s="96" t="str">
        <f>IF(AND(R257=1,S257&lt;&gt;"",C257&lt;&gt;""),S257&amp;"|"&amp;C257&amp;"|"&amp;G257&amp;"|"&amp;H257,"")</f>
        <v/>
      </c>
      <c r="AH257" s="96">
        <f>IF(AG257="",0,IF(SUMPRODUCT(--($AG$6:$AG$1005=AG257))&gt;1,1,0))</f>
        <v>0</v>
      </c>
      <c r="AI257" s="96">
        <f>IF(R257=0,0,IF(OR(U257=0,V257=0,Y257=0,AND(AH257=1,K257&lt;&gt;"Sim")),1,0))</f>
        <v>0</v>
      </c>
      <c r="AJ257" s="96">
        <f>IF(AND(R257=1,AA257&gt;0,AB257=AA257),1,0)</f>
        <v>0</v>
      </c>
      <c r="AK257" s="96">
        <f>IF(R257=0,0,IF(AA257&gt;0,N(L257),IF(ISNUMBER(I257),I257,0)))</f>
        <v>0</v>
      </c>
      <c r="AL257" s="96">
        <f>IF(R257=0,0,IF(AND(K257&lt;&gt;"Sim",N(M257)&gt;AK257+cfg_tol),1,0))</f>
        <v>0</v>
      </c>
      <c r="AM257" s="96">
        <f>IF(R257=0,0,IF(K257="Sim",0,IF(OR(AND(AA257&gt;0,ISNUMBER(I257),ABS(I257-N(L257))&gt;cfg_tol),AL257=1),1,0)))</f>
        <v>0</v>
      </c>
      <c r="AN257" s="96">
        <f>IF(AND(R257=1,N(M257)&gt;0,OR(N(M257)&gt;=AK257-cfg_tol,K257="Sim")),1,0)</f>
        <v>0</v>
      </c>
      <c r="AO257" s="96">
        <f>IF(AND(AN257=1,AD257&gt;0,AE257=AD257,AL257=0),1,0)</f>
        <v>0</v>
      </c>
      <c r="AP257" s="96">
        <f>IF(U257=0,0,IF(AND(INDEX('MTRs'!$AX$6:$AX$505,T257)=1,Z257=0,OR(f_res="",f_res="(Todos)",C257=f_res)),1,0))</f>
        <v>0</v>
      </c>
      <c r="AQ257" s="97" t="str">
        <f>IF(U257=0,"",INDEX('MTRs'!$AZ$6:$AZ$505,T257))</f>
        <v/>
      </c>
      <c r="AR257" s="96">
        <f>IF(U257=0,0,IF(AND(INDEX('MTRs'!$BA$6:$BA$505,T257)=1,Z257=0),1,0))</f>
        <v>0</v>
      </c>
      <c r="AS257" s="96" t="str">
        <f>IF(R257=1,A257&amp;" | MTR "&amp;IF(U257=1,INDEX('MTRs'!$B$6:$B$505,T257)&amp;"","?")&amp;" | "&amp;IF(C257="","(sem resíduo)",C257),"")</f>
        <v/>
      </c>
      <c r="AT257" s="96" t="str">
        <f>IF(R257=1,COUNTIF($R$6:R257,1),"")</f>
        <v/>
      </c>
      <c r="AU257" s="96" t="str">
        <f>IF(U257=1,INDEX('MTRs'!$I$6:$I$505,T257)&amp;"","")</f>
        <v/>
      </c>
    </row>
    <row r="258">
      <c r="A258" s="89" t="inlineStr">
        <is>
          <t>IT-000253</t>
        </is>
      </c>
      <c r="B258" s="91" t="n"/>
      <c r="C258" s="91" t="n"/>
      <c r="D258" s="94" t="str">
        <f>IF(OR(R258=0,V258=0),"",INDEX('CAD_RESÍDUOS'!$E$6:$E$205,MATCH(C258,'CAD_RESÍDUOS'!$B$6:$B$205,0))&amp;"")</f>
        <v/>
      </c>
      <c r="E258" s="94" t="str">
        <f>IF(OR(R258=0,V258=0),"",INDEX('CAD_RESÍDUOS'!$C$6:$C$205,MATCH(C258,'CAD_RESÍDUOS'!$B$6:$B$205,0))&amp;"")</f>
        <v/>
      </c>
      <c r="F258" s="94" t="str">
        <f>IF(OR(R258=0,V258=0),"",INDEX('CAD_RESÍDUOS'!$G$6:$G$205,MATCH(C258,'CAD_RESÍDUOS'!$B$6:$B$205,0))&amp;"")</f>
        <v/>
      </c>
      <c r="G258" s="98" t="n"/>
      <c r="H258" s="91" t="n"/>
      <c r="I258" s="93" t="str">
        <f>IF(R258=0,"",IF(NOT(ISNUMBER(G258)),"",IF(ISNUMBER(X258),G258*X258,"UNIDADE A CONFERIR")))</f>
        <v/>
      </c>
      <c r="J258" s="91" t="n"/>
      <c r="K258" s="91" t="n"/>
      <c r="L258" s="93" t="str">
        <f>IF(R258=0,"",SUMIFS('RECEBIMENTOS'!$H$6:$H$1005,'RECEBIMENTOS'!$R$6:$R$1005,A258,'RECEBIMENTOS'!$X$6:$X$1005,1))</f>
        <v/>
      </c>
      <c r="M258" s="93" t="str">
        <f>IF(R258=0,"",SUMIFS('VÍNCULOS_CDF'!$H$6:$H$1005,'VÍNCULOS_CDF'!$R$6:$R$1005,A258,'VÍNCULOS_CDF'!$V$6:$V$1005,1))</f>
        <v/>
      </c>
      <c r="N258" s="99" t="str">
        <f>IF(OR(R258=0,AA258=0,NOT(ISNUMBER(I258))),"",I258-N(L258))</f>
        <v/>
      </c>
      <c r="O258" s="100" t="str">
        <f>IF(OR(R258=0,AK258&lt;=0),"",N(M258)/AK258)</f>
        <v/>
      </c>
      <c r="P258" s="94" t="str">
        <f>IF(R258=0,"",IF(S258="","Sem MTR associado",IF(U258=0,"MTR inexistente",IF(C258="","Resíduo não identificado",IF(V258=0,"Resíduo fora do cadastro",IF(W258=0,"Quantidade inválida",IF(H258="","Unidade não informada",IF(NOT(ISNUMBER(I258)),"Unidade a conferir",IF(AND(AH258=1,K258&lt;&gt;"Sim"),"Possível duplicidade",IF(Z258=1,"MTR cancelado",IF(AC258&gt;0,"Recebimento com alerta",IF(AA258=0,"Aguardando recebimento",IF(AB258&lt;AA258,"Recebimento a conferir",IF(AM258=1,"Quantidade a revisar",IF(AF258&gt;0,"Vínculo a revisar",IF(AD258=0,"Aguardando CDF",IF(AN258=0,"Vínculo de CDF parcial",IF(AE258&lt;AD258,"CDF a conferir","Documentação conferida"))))))))))))))))))</f>
        <v/>
      </c>
      <c r="Q258" s="93" t="str">
        <f>IF(OR(R258=0,AA258=0),"",MAX(0,N(L258)-N(M258)))</f>
        <v/>
      </c>
      <c r="R258" s="96">
        <f>IF(COUNTA(B258:C258,G258:H258,J258:K258)&gt;0,1,0)</f>
        <v>0</v>
      </c>
      <c r="S258" s="96" t="str">
        <f>IF(B258="","",TRIM(LEFT(B258,FIND(" |",B258&amp;" |")-1)))</f>
        <v/>
      </c>
      <c r="T258" s="96" t="str">
        <f>IF(S258="","",IFERROR(MATCH(S258,'MTRs'!$A$6:$A$505,0),""))</f>
        <v/>
      </c>
      <c r="U258" s="96">
        <f>IF(T258="",0,IF(INDEX('MTRs'!$Z$6:$Z$505,T258)=1,1,0))</f>
        <v>0</v>
      </c>
      <c r="V258" s="96">
        <f>IF(C258="",0,IF(ISNUMBER(MATCH(C258,'CAD_RESÍDUOS'!$B$6:$B$205,0)),1,0))</f>
        <v>0</v>
      </c>
      <c r="W258" s="96">
        <f>IF(AND(ISNUMBER(G258),G258&gt;0),1,0)</f>
        <v>0</v>
      </c>
      <c r="X258" s="96" t="str">
        <f>IF(H258="","",IFERROR(IF(ISNUMBER(INDEX(cfg_fac,MATCH(H258,cfg_units,0))),IF(INDEX(cfg_fac,MATCH(H258,cfg_units,0))&gt;0,INDEX(cfg_fac,MATCH(H258,cfg_units,0)),""),""),""))</f>
        <v/>
      </c>
      <c r="Y258" s="96">
        <f>IF(AND(W258=1,ISNUMBER(I258)),1,0)</f>
        <v>0</v>
      </c>
      <c r="Z258" s="96">
        <f>IF(U258=1,INDEX('MTRs'!$AA$6:$AA$505,T258),0)</f>
        <v>0</v>
      </c>
      <c r="AA258" s="96">
        <f>IF(R258=0,0,COUNTIFS('RECEBIMENTOS'!$R$6:$R$1005,A258,'RECEBIMENTOS'!$Q$6:$Q$1005,1))</f>
        <v>0</v>
      </c>
      <c r="AB258" s="96">
        <f>IF(R258=0,0,COUNTIFS('RECEBIMENTOS'!$R$6:$R$1005,A258,'RECEBIMENTOS'!$Z$6:$Z$1005,1))</f>
        <v>0</v>
      </c>
      <c r="AC258" s="96">
        <f>IF(R258=0,0,COUNTIFS('RECEBIMENTOS'!$R$6:$R$1005,A258,'RECEBIMENTOS'!$Y$6:$Y$1005,1))</f>
        <v>0</v>
      </c>
      <c r="AD258" s="96">
        <f>IF(R258=0,0,COUNTIFS('VÍNCULOS_CDF'!$R$6:$R$1005,A258,'VÍNCULOS_CDF'!$N$6:$N$1005,1))</f>
        <v>0</v>
      </c>
      <c r="AE258" s="96">
        <f>IF(R258=0,0,COUNTIFS('VÍNCULOS_CDF'!$R$6:$R$1005,A258,'VÍNCULOS_CDF'!$AA$6:$AA$1005,1))</f>
        <v>0</v>
      </c>
      <c r="AF258" s="96">
        <f>IF(R258=0,0,COUNTIFS('VÍNCULOS_CDF'!$R$6:$R$1005,A258,'VÍNCULOS_CDF'!$Y$6:$Y$1005,1))</f>
        <v>0</v>
      </c>
      <c r="AG258" s="96" t="str">
        <f>IF(AND(R258=1,S258&lt;&gt;"",C258&lt;&gt;""),S258&amp;"|"&amp;C258&amp;"|"&amp;G258&amp;"|"&amp;H258,"")</f>
        <v/>
      </c>
      <c r="AH258" s="96">
        <f>IF(AG258="",0,IF(SUMPRODUCT(--($AG$6:$AG$1005=AG258))&gt;1,1,0))</f>
        <v>0</v>
      </c>
      <c r="AI258" s="96">
        <f>IF(R258=0,0,IF(OR(U258=0,V258=0,Y258=0,AND(AH258=1,K258&lt;&gt;"Sim")),1,0))</f>
        <v>0</v>
      </c>
      <c r="AJ258" s="96">
        <f>IF(AND(R258=1,AA258&gt;0,AB258=AA258),1,0)</f>
        <v>0</v>
      </c>
      <c r="AK258" s="96">
        <f>IF(R258=0,0,IF(AA258&gt;0,N(L258),IF(ISNUMBER(I258),I258,0)))</f>
        <v>0</v>
      </c>
      <c r="AL258" s="96">
        <f>IF(R258=0,0,IF(AND(K258&lt;&gt;"Sim",N(M258)&gt;AK258+cfg_tol),1,0))</f>
        <v>0</v>
      </c>
      <c r="AM258" s="96">
        <f>IF(R258=0,0,IF(K258="Sim",0,IF(OR(AND(AA258&gt;0,ISNUMBER(I258),ABS(I258-N(L258))&gt;cfg_tol),AL258=1),1,0)))</f>
        <v>0</v>
      </c>
      <c r="AN258" s="96">
        <f>IF(AND(R258=1,N(M258)&gt;0,OR(N(M258)&gt;=AK258-cfg_tol,K258="Sim")),1,0)</f>
        <v>0</v>
      </c>
      <c r="AO258" s="96">
        <f>IF(AND(AN258=1,AD258&gt;0,AE258=AD258,AL258=0),1,0)</f>
        <v>0</v>
      </c>
      <c r="AP258" s="96">
        <f>IF(U258=0,0,IF(AND(INDEX('MTRs'!$AX$6:$AX$505,T258)=1,Z258=0,OR(f_res="",f_res="(Todos)",C258=f_res)),1,0))</f>
        <v>0</v>
      </c>
      <c r="AQ258" s="97" t="str">
        <f>IF(U258=0,"",INDEX('MTRs'!$AZ$6:$AZ$505,T258))</f>
        <v/>
      </c>
      <c r="AR258" s="96">
        <f>IF(U258=0,0,IF(AND(INDEX('MTRs'!$BA$6:$BA$505,T258)=1,Z258=0),1,0))</f>
        <v>0</v>
      </c>
      <c r="AS258" s="96" t="str">
        <f>IF(R258=1,A258&amp;" | MTR "&amp;IF(U258=1,INDEX('MTRs'!$B$6:$B$505,T258)&amp;"","?")&amp;" | "&amp;IF(C258="","(sem resíduo)",C258),"")</f>
        <v/>
      </c>
      <c r="AT258" s="96" t="str">
        <f>IF(R258=1,COUNTIF($R$6:R258,1),"")</f>
        <v/>
      </c>
      <c r="AU258" s="96" t="str">
        <f>IF(U258=1,INDEX('MTRs'!$I$6:$I$505,T258)&amp;"","")</f>
        <v/>
      </c>
    </row>
    <row r="259">
      <c r="A259" s="89" t="inlineStr">
        <is>
          <t>IT-000254</t>
        </is>
      </c>
      <c r="B259" s="91" t="n"/>
      <c r="C259" s="91" t="n"/>
      <c r="D259" s="94" t="str">
        <f>IF(OR(R259=0,V259=0),"",INDEX('CAD_RESÍDUOS'!$E$6:$E$205,MATCH(C259,'CAD_RESÍDUOS'!$B$6:$B$205,0))&amp;"")</f>
        <v/>
      </c>
      <c r="E259" s="94" t="str">
        <f>IF(OR(R259=0,V259=0),"",INDEX('CAD_RESÍDUOS'!$C$6:$C$205,MATCH(C259,'CAD_RESÍDUOS'!$B$6:$B$205,0))&amp;"")</f>
        <v/>
      </c>
      <c r="F259" s="94" t="str">
        <f>IF(OR(R259=0,V259=0),"",INDEX('CAD_RESÍDUOS'!$G$6:$G$205,MATCH(C259,'CAD_RESÍDUOS'!$B$6:$B$205,0))&amp;"")</f>
        <v/>
      </c>
      <c r="G259" s="98" t="n"/>
      <c r="H259" s="91" t="n"/>
      <c r="I259" s="93" t="str">
        <f>IF(R259=0,"",IF(NOT(ISNUMBER(G259)),"",IF(ISNUMBER(X259),G259*X259,"UNIDADE A CONFERIR")))</f>
        <v/>
      </c>
      <c r="J259" s="91" t="n"/>
      <c r="K259" s="91" t="n"/>
      <c r="L259" s="93" t="str">
        <f>IF(R259=0,"",SUMIFS('RECEBIMENTOS'!$H$6:$H$1005,'RECEBIMENTOS'!$R$6:$R$1005,A259,'RECEBIMENTOS'!$X$6:$X$1005,1))</f>
        <v/>
      </c>
      <c r="M259" s="93" t="str">
        <f>IF(R259=0,"",SUMIFS('VÍNCULOS_CDF'!$H$6:$H$1005,'VÍNCULOS_CDF'!$R$6:$R$1005,A259,'VÍNCULOS_CDF'!$V$6:$V$1005,1))</f>
        <v/>
      </c>
      <c r="N259" s="99" t="str">
        <f>IF(OR(R259=0,AA259=0,NOT(ISNUMBER(I259))),"",I259-N(L259))</f>
        <v/>
      </c>
      <c r="O259" s="100" t="str">
        <f>IF(OR(R259=0,AK259&lt;=0),"",N(M259)/AK259)</f>
        <v/>
      </c>
      <c r="P259" s="94" t="str">
        <f>IF(R259=0,"",IF(S259="","Sem MTR associado",IF(U259=0,"MTR inexistente",IF(C259="","Resíduo não identificado",IF(V259=0,"Resíduo fora do cadastro",IF(W259=0,"Quantidade inválida",IF(H259="","Unidade não informada",IF(NOT(ISNUMBER(I259)),"Unidade a conferir",IF(AND(AH259=1,K259&lt;&gt;"Sim"),"Possível duplicidade",IF(Z259=1,"MTR cancelado",IF(AC259&gt;0,"Recebimento com alerta",IF(AA259=0,"Aguardando recebimento",IF(AB259&lt;AA259,"Recebimento a conferir",IF(AM259=1,"Quantidade a revisar",IF(AF259&gt;0,"Vínculo a revisar",IF(AD259=0,"Aguardando CDF",IF(AN259=0,"Vínculo de CDF parcial",IF(AE259&lt;AD259,"CDF a conferir","Documentação conferida"))))))))))))))))))</f>
        <v/>
      </c>
      <c r="Q259" s="93" t="str">
        <f>IF(OR(R259=0,AA259=0),"",MAX(0,N(L259)-N(M259)))</f>
        <v/>
      </c>
      <c r="R259" s="96">
        <f>IF(COUNTA(B259:C259,G259:H259,J259:K259)&gt;0,1,0)</f>
        <v>0</v>
      </c>
      <c r="S259" s="96" t="str">
        <f>IF(B259="","",TRIM(LEFT(B259,FIND(" |",B259&amp;" |")-1)))</f>
        <v/>
      </c>
      <c r="T259" s="96" t="str">
        <f>IF(S259="","",IFERROR(MATCH(S259,'MTRs'!$A$6:$A$505,0),""))</f>
        <v/>
      </c>
      <c r="U259" s="96">
        <f>IF(T259="",0,IF(INDEX('MTRs'!$Z$6:$Z$505,T259)=1,1,0))</f>
        <v>0</v>
      </c>
      <c r="V259" s="96">
        <f>IF(C259="",0,IF(ISNUMBER(MATCH(C259,'CAD_RESÍDUOS'!$B$6:$B$205,0)),1,0))</f>
        <v>0</v>
      </c>
      <c r="W259" s="96">
        <f>IF(AND(ISNUMBER(G259),G259&gt;0),1,0)</f>
        <v>0</v>
      </c>
      <c r="X259" s="96" t="str">
        <f>IF(H259="","",IFERROR(IF(ISNUMBER(INDEX(cfg_fac,MATCH(H259,cfg_units,0))),IF(INDEX(cfg_fac,MATCH(H259,cfg_units,0))&gt;0,INDEX(cfg_fac,MATCH(H259,cfg_units,0)),""),""),""))</f>
        <v/>
      </c>
      <c r="Y259" s="96">
        <f>IF(AND(W259=1,ISNUMBER(I259)),1,0)</f>
        <v>0</v>
      </c>
      <c r="Z259" s="96">
        <f>IF(U259=1,INDEX('MTRs'!$AA$6:$AA$505,T259),0)</f>
        <v>0</v>
      </c>
      <c r="AA259" s="96">
        <f>IF(R259=0,0,COUNTIFS('RECEBIMENTOS'!$R$6:$R$1005,A259,'RECEBIMENTOS'!$Q$6:$Q$1005,1))</f>
        <v>0</v>
      </c>
      <c r="AB259" s="96">
        <f>IF(R259=0,0,COUNTIFS('RECEBIMENTOS'!$R$6:$R$1005,A259,'RECEBIMENTOS'!$Z$6:$Z$1005,1))</f>
        <v>0</v>
      </c>
      <c r="AC259" s="96">
        <f>IF(R259=0,0,COUNTIFS('RECEBIMENTOS'!$R$6:$R$1005,A259,'RECEBIMENTOS'!$Y$6:$Y$1005,1))</f>
        <v>0</v>
      </c>
      <c r="AD259" s="96">
        <f>IF(R259=0,0,COUNTIFS('VÍNCULOS_CDF'!$R$6:$R$1005,A259,'VÍNCULOS_CDF'!$N$6:$N$1005,1))</f>
        <v>0</v>
      </c>
      <c r="AE259" s="96">
        <f>IF(R259=0,0,COUNTIFS('VÍNCULOS_CDF'!$R$6:$R$1005,A259,'VÍNCULOS_CDF'!$AA$6:$AA$1005,1))</f>
        <v>0</v>
      </c>
      <c r="AF259" s="96">
        <f>IF(R259=0,0,COUNTIFS('VÍNCULOS_CDF'!$R$6:$R$1005,A259,'VÍNCULOS_CDF'!$Y$6:$Y$1005,1))</f>
        <v>0</v>
      </c>
      <c r="AG259" s="96" t="str">
        <f>IF(AND(R259=1,S259&lt;&gt;"",C259&lt;&gt;""),S259&amp;"|"&amp;C259&amp;"|"&amp;G259&amp;"|"&amp;H259,"")</f>
        <v/>
      </c>
      <c r="AH259" s="96">
        <f>IF(AG259="",0,IF(SUMPRODUCT(--($AG$6:$AG$1005=AG259))&gt;1,1,0))</f>
        <v>0</v>
      </c>
      <c r="AI259" s="96">
        <f>IF(R259=0,0,IF(OR(U259=0,V259=0,Y259=0,AND(AH259=1,K259&lt;&gt;"Sim")),1,0))</f>
        <v>0</v>
      </c>
      <c r="AJ259" s="96">
        <f>IF(AND(R259=1,AA259&gt;0,AB259=AA259),1,0)</f>
        <v>0</v>
      </c>
      <c r="AK259" s="96">
        <f>IF(R259=0,0,IF(AA259&gt;0,N(L259),IF(ISNUMBER(I259),I259,0)))</f>
        <v>0</v>
      </c>
      <c r="AL259" s="96">
        <f>IF(R259=0,0,IF(AND(K259&lt;&gt;"Sim",N(M259)&gt;AK259+cfg_tol),1,0))</f>
        <v>0</v>
      </c>
      <c r="AM259" s="96">
        <f>IF(R259=0,0,IF(K259="Sim",0,IF(OR(AND(AA259&gt;0,ISNUMBER(I259),ABS(I259-N(L259))&gt;cfg_tol),AL259=1),1,0)))</f>
        <v>0</v>
      </c>
      <c r="AN259" s="96">
        <f>IF(AND(R259=1,N(M259)&gt;0,OR(N(M259)&gt;=AK259-cfg_tol,K259="Sim")),1,0)</f>
        <v>0</v>
      </c>
      <c r="AO259" s="96">
        <f>IF(AND(AN259=1,AD259&gt;0,AE259=AD259,AL259=0),1,0)</f>
        <v>0</v>
      </c>
      <c r="AP259" s="96">
        <f>IF(U259=0,0,IF(AND(INDEX('MTRs'!$AX$6:$AX$505,T259)=1,Z259=0,OR(f_res="",f_res="(Todos)",C259=f_res)),1,0))</f>
        <v>0</v>
      </c>
      <c r="AQ259" s="97" t="str">
        <f>IF(U259=0,"",INDEX('MTRs'!$AZ$6:$AZ$505,T259))</f>
        <v/>
      </c>
      <c r="AR259" s="96">
        <f>IF(U259=0,0,IF(AND(INDEX('MTRs'!$BA$6:$BA$505,T259)=1,Z259=0),1,0))</f>
        <v>0</v>
      </c>
      <c r="AS259" s="96" t="str">
        <f>IF(R259=1,A259&amp;" | MTR "&amp;IF(U259=1,INDEX('MTRs'!$B$6:$B$505,T259)&amp;"","?")&amp;" | "&amp;IF(C259="","(sem resíduo)",C259),"")</f>
        <v/>
      </c>
      <c r="AT259" s="96" t="str">
        <f>IF(R259=1,COUNTIF($R$6:R259,1),"")</f>
        <v/>
      </c>
      <c r="AU259" s="96" t="str">
        <f>IF(U259=1,INDEX('MTRs'!$I$6:$I$505,T259)&amp;"","")</f>
        <v/>
      </c>
    </row>
    <row r="260">
      <c r="A260" s="89" t="inlineStr">
        <is>
          <t>IT-000255</t>
        </is>
      </c>
      <c r="B260" s="91" t="n"/>
      <c r="C260" s="91" t="n"/>
      <c r="D260" s="94" t="str">
        <f>IF(OR(R260=0,V260=0),"",INDEX('CAD_RESÍDUOS'!$E$6:$E$205,MATCH(C260,'CAD_RESÍDUOS'!$B$6:$B$205,0))&amp;"")</f>
        <v/>
      </c>
      <c r="E260" s="94" t="str">
        <f>IF(OR(R260=0,V260=0),"",INDEX('CAD_RESÍDUOS'!$C$6:$C$205,MATCH(C260,'CAD_RESÍDUOS'!$B$6:$B$205,0))&amp;"")</f>
        <v/>
      </c>
      <c r="F260" s="94" t="str">
        <f>IF(OR(R260=0,V260=0),"",INDEX('CAD_RESÍDUOS'!$G$6:$G$205,MATCH(C260,'CAD_RESÍDUOS'!$B$6:$B$205,0))&amp;"")</f>
        <v/>
      </c>
      <c r="G260" s="98" t="n"/>
      <c r="H260" s="91" t="n"/>
      <c r="I260" s="93" t="str">
        <f>IF(R260=0,"",IF(NOT(ISNUMBER(G260)),"",IF(ISNUMBER(X260),G260*X260,"UNIDADE A CONFERIR")))</f>
        <v/>
      </c>
      <c r="J260" s="91" t="n"/>
      <c r="K260" s="91" t="n"/>
      <c r="L260" s="93" t="str">
        <f>IF(R260=0,"",SUMIFS('RECEBIMENTOS'!$H$6:$H$1005,'RECEBIMENTOS'!$R$6:$R$1005,A260,'RECEBIMENTOS'!$X$6:$X$1005,1))</f>
        <v/>
      </c>
      <c r="M260" s="93" t="str">
        <f>IF(R260=0,"",SUMIFS('VÍNCULOS_CDF'!$H$6:$H$1005,'VÍNCULOS_CDF'!$R$6:$R$1005,A260,'VÍNCULOS_CDF'!$V$6:$V$1005,1))</f>
        <v/>
      </c>
      <c r="N260" s="99" t="str">
        <f>IF(OR(R260=0,AA260=0,NOT(ISNUMBER(I260))),"",I260-N(L260))</f>
        <v/>
      </c>
      <c r="O260" s="100" t="str">
        <f>IF(OR(R260=0,AK260&lt;=0),"",N(M260)/AK260)</f>
        <v/>
      </c>
      <c r="P260" s="94" t="str">
        <f>IF(R260=0,"",IF(S260="","Sem MTR associado",IF(U260=0,"MTR inexistente",IF(C260="","Resíduo não identificado",IF(V260=0,"Resíduo fora do cadastro",IF(W260=0,"Quantidade inválida",IF(H260="","Unidade não informada",IF(NOT(ISNUMBER(I260)),"Unidade a conferir",IF(AND(AH260=1,K260&lt;&gt;"Sim"),"Possível duplicidade",IF(Z260=1,"MTR cancelado",IF(AC260&gt;0,"Recebimento com alerta",IF(AA260=0,"Aguardando recebimento",IF(AB260&lt;AA260,"Recebimento a conferir",IF(AM260=1,"Quantidade a revisar",IF(AF260&gt;0,"Vínculo a revisar",IF(AD260=0,"Aguardando CDF",IF(AN260=0,"Vínculo de CDF parcial",IF(AE260&lt;AD260,"CDF a conferir","Documentação conferida"))))))))))))))))))</f>
        <v/>
      </c>
      <c r="Q260" s="93" t="str">
        <f>IF(OR(R260=0,AA260=0),"",MAX(0,N(L260)-N(M260)))</f>
        <v/>
      </c>
      <c r="R260" s="96">
        <f>IF(COUNTA(B260:C260,G260:H260,J260:K260)&gt;0,1,0)</f>
        <v>0</v>
      </c>
      <c r="S260" s="96" t="str">
        <f>IF(B260="","",TRIM(LEFT(B260,FIND(" |",B260&amp;" |")-1)))</f>
        <v/>
      </c>
      <c r="T260" s="96" t="str">
        <f>IF(S260="","",IFERROR(MATCH(S260,'MTRs'!$A$6:$A$505,0),""))</f>
        <v/>
      </c>
      <c r="U260" s="96">
        <f>IF(T260="",0,IF(INDEX('MTRs'!$Z$6:$Z$505,T260)=1,1,0))</f>
        <v>0</v>
      </c>
      <c r="V260" s="96">
        <f>IF(C260="",0,IF(ISNUMBER(MATCH(C260,'CAD_RESÍDUOS'!$B$6:$B$205,0)),1,0))</f>
        <v>0</v>
      </c>
      <c r="W260" s="96">
        <f>IF(AND(ISNUMBER(G260),G260&gt;0),1,0)</f>
        <v>0</v>
      </c>
      <c r="X260" s="96" t="str">
        <f>IF(H260="","",IFERROR(IF(ISNUMBER(INDEX(cfg_fac,MATCH(H260,cfg_units,0))),IF(INDEX(cfg_fac,MATCH(H260,cfg_units,0))&gt;0,INDEX(cfg_fac,MATCH(H260,cfg_units,0)),""),""),""))</f>
        <v/>
      </c>
      <c r="Y260" s="96">
        <f>IF(AND(W260=1,ISNUMBER(I260)),1,0)</f>
        <v>0</v>
      </c>
      <c r="Z260" s="96">
        <f>IF(U260=1,INDEX('MTRs'!$AA$6:$AA$505,T260),0)</f>
        <v>0</v>
      </c>
      <c r="AA260" s="96">
        <f>IF(R260=0,0,COUNTIFS('RECEBIMENTOS'!$R$6:$R$1005,A260,'RECEBIMENTOS'!$Q$6:$Q$1005,1))</f>
        <v>0</v>
      </c>
      <c r="AB260" s="96">
        <f>IF(R260=0,0,COUNTIFS('RECEBIMENTOS'!$R$6:$R$1005,A260,'RECEBIMENTOS'!$Z$6:$Z$1005,1))</f>
        <v>0</v>
      </c>
      <c r="AC260" s="96">
        <f>IF(R260=0,0,COUNTIFS('RECEBIMENTOS'!$R$6:$R$1005,A260,'RECEBIMENTOS'!$Y$6:$Y$1005,1))</f>
        <v>0</v>
      </c>
      <c r="AD260" s="96">
        <f>IF(R260=0,0,COUNTIFS('VÍNCULOS_CDF'!$R$6:$R$1005,A260,'VÍNCULOS_CDF'!$N$6:$N$1005,1))</f>
        <v>0</v>
      </c>
      <c r="AE260" s="96">
        <f>IF(R260=0,0,COUNTIFS('VÍNCULOS_CDF'!$R$6:$R$1005,A260,'VÍNCULOS_CDF'!$AA$6:$AA$1005,1))</f>
        <v>0</v>
      </c>
      <c r="AF260" s="96">
        <f>IF(R260=0,0,COUNTIFS('VÍNCULOS_CDF'!$R$6:$R$1005,A260,'VÍNCULOS_CDF'!$Y$6:$Y$1005,1))</f>
        <v>0</v>
      </c>
      <c r="AG260" s="96" t="str">
        <f>IF(AND(R260=1,S260&lt;&gt;"",C260&lt;&gt;""),S260&amp;"|"&amp;C260&amp;"|"&amp;G260&amp;"|"&amp;H260,"")</f>
        <v/>
      </c>
      <c r="AH260" s="96">
        <f>IF(AG260="",0,IF(SUMPRODUCT(--($AG$6:$AG$1005=AG260))&gt;1,1,0))</f>
        <v>0</v>
      </c>
      <c r="AI260" s="96">
        <f>IF(R260=0,0,IF(OR(U260=0,V260=0,Y260=0,AND(AH260=1,K260&lt;&gt;"Sim")),1,0))</f>
        <v>0</v>
      </c>
      <c r="AJ260" s="96">
        <f>IF(AND(R260=1,AA260&gt;0,AB260=AA260),1,0)</f>
        <v>0</v>
      </c>
      <c r="AK260" s="96">
        <f>IF(R260=0,0,IF(AA260&gt;0,N(L260),IF(ISNUMBER(I260),I260,0)))</f>
        <v>0</v>
      </c>
      <c r="AL260" s="96">
        <f>IF(R260=0,0,IF(AND(K260&lt;&gt;"Sim",N(M260)&gt;AK260+cfg_tol),1,0))</f>
        <v>0</v>
      </c>
      <c r="AM260" s="96">
        <f>IF(R260=0,0,IF(K260="Sim",0,IF(OR(AND(AA260&gt;0,ISNUMBER(I260),ABS(I260-N(L260))&gt;cfg_tol),AL260=1),1,0)))</f>
        <v>0</v>
      </c>
      <c r="AN260" s="96">
        <f>IF(AND(R260=1,N(M260)&gt;0,OR(N(M260)&gt;=AK260-cfg_tol,K260="Sim")),1,0)</f>
        <v>0</v>
      </c>
      <c r="AO260" s="96">
        <f>IF(AND(AN260=1,AD260&gt;0,AE260=AD260,AL260=0),1,0)</f>
        <v>0</v>
      </c>
      <c r="AP260" s="96">
        <f>IF(U260=0,0,IF(AND(INDEX('MTRs'!$AX$6:$AX$505,T260)=1,Z260=0,OR(f_res="",f_res="(Todos)",C260=f_res)),1,0))</f>
        <v>0</v>
      </c>
      <c r="AQ260" s="97" t="str">
        <f>IF(U260=0,"",INDEX('MTRs'!$AZ$6:$AZ$505,T260))</f>
        <v/>
      </c>
      <c r="AR260" s="96">
        <f>IF(U260=0,0,IF(AND(INDEX('MTRs'!$BA$6:$BA$505,T260)=1,Z260=0),1,0))</f>
        <v>0</v>
      </c>
      <c r="AS260" s="96" t="str">
        <f>IF(R260=1,A260&amp;" | MTR "&amp;IF(U260=1,INDEX('MTRs'!$B$6:$B$505,T260)&amp;"","?")&amp;" | "&amp;IF(C260="","(sem resíduo)",C260),"")</f>
        <v/>
      </c>
      <c r="AT260" s="96" t="str">
        <f>IF(R260=1,COUNTIF($R$6:R260,1),"")</f>
        <v/>
      </c>
      <c r="AU260" s="96" t="str">
        <f>IF(U260=1,INDEX('MTRs'!$I$6:$I$505,T260)&amp;"","")</f>
        <v/>
      </c>
    </row>
    <row r="261">
      <c r="A261" s="89" t="inlineStr">
        <is>
          <t>IT-000256</t>
        </is>
      </c>
      <c r="B261" s="91" t="n"/>
      <c r="C261" s="91" t="n"/>
      <c r="D261" s="94" t="str">
        <f>IF(OR(R261=0,V261=0),"",INDEX('CAD_RESÍDUOS'!$E$6:$E$205,MATCH(C261,'CAD_RESÍDUOS'!$B$6:$B$205,0))&amp;"")</f>
        <v/>
      </c>
      <c r="E261" s="94" t="str">
        <f>IF(OR(R261=0,V261=0),"",INDEX('CAD_RESÍDUOS'!$C$6:$C$205,MATCH(C261,'CAD_RESÍDUOS'!$B$6:$B$205,0))&amp;"")</f>
        <v/>
      </c>
      <c r="F261" s="94" t="str">
        <f>IF(OR(R261=0,V261=0),"",INDEX('CAD_RESÍDUOS'!$G$6:$G$205,MATCH(C261,'CAD_RESÍDUOS'!$B$6:$B$205,0))&amp;"")</f>
        <v/>
      </c>
      <c r="G261" s="98" t="n"/>
      <c r="H261" s="91" t="n"/>
      <c r="I261" s="93" t="str">
        <f>IF(R261=0,"",IF(NOT(ISNUMBER(G261)),"",IF(ISNUMBER(X261),G261*X261,"UNIDADE A CONFERIR")))</f>
        <v/>
      </c>
      <c r="J261" s="91" t="n"/>
      <c r="K261" s="91" t="n"/>
      <c r="L261" s="93" t="str">
        <f>IF(R261=0,"",SUMIFS('RECEBIMENTOS'!$H$6:$H$1005,'RECEBIMENTOS'!$R$6:$R$1005,A261,'RECEBIMENTOS'!$X$6:$X$1005,1))</f>
        <v/>
      </c>
      <c r="M261" s="93" t="str">
        <f>IF(R261=0,"",SUMIFS('VÍNCULOS_CDF'!$H$6:$H$1005,'VÍNCULOS_CDF'!$R$6:$R$1005,A261,'VÍNCULOS_CDF'!$V$6:$V$1005,1))</f>
        <v/>
      </c>
      <c r="N261" s="99" t="str">
        <f>IF(OR(R261=0,AA261=0,NOT(ISNUMBER(I261))),"",I261-N(L261))</f>
        <v/>
      </c>
      <c r="O261" s="100" t="str">
        <f>IF(OR(R261=0,AK261&lt;=0),"",N(M261)/AK261)</f>
        <v/>
      </c>
      <c r="P261" s="94" t="str">
        <f>IF(R261=0,"",IF(S261="","Sem MTR associado",IF(U261=0,"MTR inexistente",IF(C261="","Resíduo não identificado",IF(V261=0,"Resíduo fora do cadastro",IF(W261=0,"Quantidade inválida",IF(H261="","Unidade não informada",IF(NOT(ISNUMBER(I261)),"Unidade a conferir",IF(AND(AH261=1,K261&lt;&gt;"Sim"),"Possível duplicidade",IF(Z261=1,"MTR cancelado",IF(AC261&gt;0,"Recebimento com alerta",IF(AA261=0,"Aguardando recebimento",IF(AB261&lt;AA261,"Recebimento a conferir",IF(AM261=1,"Quantidade a revisar",IF(AF261&gt;0,"Vínculo a revisar",IF(AD261=0,"Aguardando CDF",IF(AN261=0,"Vínculo de CDF parcial",IF(AE261&lt;AD261,"CDF a conferir","Documentação conferida"))))))))))))))))))</f>
        <v/>
      </c>
      <c r="Q261" s="93" t="str">
        <f>IF(OR(R261=0,AA261=0),"",MAX(0,N(L261)-N(M261)))</f>
        <v/>
      </c>
      <c r="R261" s="96">
        <f>IF(COUNTA(B261:C261,G261:H261,J261:K261)&gt;0,1,0)</f>
        <v>0</v>
      </c>
      <c r="S261" s="96" t="str">
        <f>IF(B261="","",TRIM(LEFT(B261,FIND(" |",B261&amp;" |")-1)))</f>
        <v/>
      </c>
      <c r="T261" s="96" t="str">
        <f>IF(S261="","",IFERROR(MATCH(S261,'MTRs'!$A$6:$A$505,0),""))</f>
        <v/>
      </c>
      <c r="U261" s="96">
        <f>IF(T261="",0,IF(INDEX('MTRs'!$Z$6:$Z$505,T261)=1,1,0))</f>
        <v>0</v>
      </c>
      <c r="V261" s="96">
        <f>IF(C261="",0,IF(ISNUMBER(MATCH(C261,'CAD_RESÍDUOS'!$B$6:$B$205,0)),1,0))</f>
        <v>0</v>
      </c>
      <c r="W261" s="96">
        <f>IF(AND(ISNUMBER(G261),G261&gt;0),1,0)</f>
        <v>0</v>
      </c>
      <c r="X261" s="96" t="str">
        <f>IF(H261="","",IFERROR(IF(ISNUMBER(INDEX(cfg_fac,MATCH(H261,cfg_units,0))),IF(INDEX(cfg_fac,MATCH(H261,cfg_units,0))&gt;0,INDEX(cfg_fac,MATCH(H261,cfg_units,0)),""),""),""))</f>
        <v/>
      </c>
      <c r="Y261" s="96">
        <f>IF(AND(W261=1,ISNUMBER(I261)),1,0)</f>
        <v>0</v>
      </c>
      <c r="Z261" s="96">
        <f>IF(U261=1,INDEX('MTRs'!$AA$6:$AA$505,T261),0)</f>
        <v>0</v>
      </c>
      <c r="AA261" s="96">
        <f>IF(R261=0,0,COUNTIFS('RECEBIMENTOS'!$R$6:$R$1005,A261,'RECEBIMENTOS'!$Q$6:$Q$1005,1))</f>
        <v>0</v>
      </c>
      <c r="AB261" s="96">
        <f>IF(R261=0,0,COUNTIFS('RECEBIMENTOS'!$R$6:$R$1005,A261,'RECEBIMENTOS'!$Z$6:$Z$1005,1))</f>
        <v>0</v>
      </c>
      <c r="AC261" s="96">
        <f>IF(R261=0,0,COUNTIFS('RECEBIMENTOS'!$R$6:$R$1005,A261,'RECEBIMENTOS'!$Y$6:$Y$1005,1))</f>
        <v>0</v>
      </c>
      <c r="AD261" s="96">
        <f>IF(R261=0,0,COUNTIFS('VÍNCULOS_CDF'!$R$6:$R$1005,A261,'VÍNCULOS_CDF'!$N$6:$N$1005,1))</f>
        <v>0</v>
      </c>
      <c r="AE261" s="96">
        <f>IF(R261=0,0,COUNTIFS('VÍNCULOS_CDF'!$R$6:$R$1005,A261,'VÍNCULOS_CDF'!$AA$6:$AA$1005,1))</f>
        <v>0</v>
      </c>
      <c r="AF261" s="96">
        <f>IF(R261=0,0,COUNTIFS('VÍNCULOS_CDF'!$R$6:$R$1005,A261,'VÍNCULOS_CDF'!$Y$6:$Y$1005,1))</f>
        <v>0</v>
      </c>
      <c r="AG261" s="96" t="str">
        <f>IF(AND(R261=1,S261&lt;&gt;"",C261&lt;&gt;""),S261&amp;"|"&amp;C261&amp;"|"&amp;G261&amp;"|"&amp;H261,"")</f>
        <v/>
      </c>
      <c r="AH261" s="96">
        <f>IF(AG261="",0,IF(SUMPRODUCT(--($AG$6:$AG$1005=AG261))&gt;1,1,0))</f>
        <v>0</v>
      </c>
      <c r="AI261" s="96">
        <f>IF(R261=0,0,IF(OR(U261=0,V261=0,Y261=0,AND(AH261=1,K261&lt;&gt;"Sim")),1,0))</f>
        <v>0</v>
      </c>
      <c r="AJ261" s="96">
        <f>IF(AND(R261=1,AA261&gt;0,AB261=AA261),1,0)</f>
        <v>0</v>
      </c>
      <c r="AK261" s="96">
        <f>IF(R261=0,0,IF(AA261&gt;0,N(L261),IF(ISNUMBER(I261),I261,0)))</f>
        <v>0</v>
      </c>
      <c r="AL261" s="96">
        <f>IF(R261=0,0,IF(AND(K261&lt;&gt;"Sim",N(M261)&gt;AK261+cfg_tol),1,0))</f>
        <v>0</v>
      </c>
      <c r="AM261" s="96">
        <f>IF(R261=0,0,IF(K261="Sim",0,IF(OR(AND(AA261&gt;0,ISNUMBER(I261),ABS(I261-N(L261))&gt;cfg_tol),AL261=1),1,0)))</f>
        <v>0</v>
      </c>
      <c r="AN261" s="96">
        <f>IF(AND(R261=1,N(M261)&gt;0,OR(N(M261)&gt;=AK261-cfg_tol,K261="Sim")),1,0)</f>
        <v>0</v>
      </c>
      <c r="AO261" s="96">
        <f>IF(AND(AN261=1,AD261&gt;0,AE261=AD261,AL261=0),1,0)</f>
        <v>0</v>
      </c>
      <c r="AP261" s="96">
        <f>IF(U261=0,0,IF(AND(INDEX('MTRs'!$AX$6:$AX$505,T261)=1,Z261=0,OR(f_res="",f_res="(Todos)",C261=f_res)),1,0))</f>
        <v>0</v>
      </c>
      <c r="AQ261" s="97" t="str">
        <f>IF(U261=0,"",INDEX('MTRs'!$AZ$6:$AZ$505,T261))</f>
        <v/>
      </c>
      <c r="AR261" s="96">
        <f>IF(U261=0,0,IF(AND(INDEX('MTRs'!$BA$6:$BA$505,T261)=1,Z261=0),1,0))</f>
        <v>0</v>
      </c>
      <c r="AS261" s="96" t="str">
        <f>IF(R261=1,A261&amp;" | MTR "&amp;IF(U261=1,INDEX('MTRs'!$B$6:$B$505,T261)&amp;"","?")&amp;" | "&amp;IF(C261="","(sem resíduo)",C261),"")</f>
        <v/>
      </c>
      <c r="AT261" s="96" t="str">
        <f>IF(R261=1,COUNTIF($R$6:R261,1),"")</f>
        <v/>
      </c>
      <c r="AU261" s="96" t="str">
        <f>IF(U261=1,INDEX('MTRs'!$I$6:$I$505,T261)&amp;"","")</f>
        <v/>
      </c>
    </row>
    <row r="262">
      <c r="A262" s="89" t="inlineStr">
        <is>
          <t>IT-000257</t>
        </is>
      </c>
      <c r="B262" s="91" t="n"/>
      <c r="C262" s="91" t="n"/>
      <c r="D262" s="94" t="str">
        <f>IF(OR(R262=0,V262=0),"",INDEX('CAD_RESÍDUOS'!$E$6:$E$205,MATCH(C262,'CAD_RESÍDUOS'!$B$6:$B$205,0))&amp;"")</f>
        <v/>
      </c>
      <c r="E262" s="94" t="str">
        <f>IF(OR(R262=0,V262=0),"",INDEX('CAD_RESÍDUOS'!$C$6:$C$205,MATCH(C262,'CAD_RESÍDUOS'!$B$6:$B$205,0))&amp;"")</f>
        <v/>
      </c>
      <c r="F262" s="94" t="str">
        <f>IF(OR(R262=0,V262=0),"",INDEX('CAD_RESÍDUOS'!$G$6:$G$205,MATCH(C262,'CAD_RESÍDUOS'!$B$6:$B$205,0))&amp;"")</f>
        <v/>
      </c>
      <c r="G262" s="98" t="n"/>
      <c r="H262" s="91" t="n"/>
      <c r="I262" s="93" t="str">
        <f>IF(R262=0,"",IF(NOT(ISNUMBER(G262)),"",IF(ISNUMBER(X262),G262*X262,"UNIDADE A CONFERIR")))</f>
        <v/>
      </c>
      <c r="J262" s="91" t="n"/>
      <c r="K262" s="91" t="n"/>
      <c r="L262" s="93" t="str">
        <f>IF(R262=0,"",SUMIFS('RECEBIMENTOS'!$H$6:$H$1005,'RECEBIMENTOS'!$R$6:$R$1005,A262,'RECEBIMENTOS'!$X$6:$X$1005,1))</f>
        <v/>
      </c>
      <c r="M262" s="93" t="str">
        <f>IF(R262=0,"",SUMIFS('VÍNCULOS_CDF'!$H$6:$H$1005,'VÍNCULOS_CDF'!$R$6:$R$1005,A262,'VÍNCULOS_CDF'!$V$6:$V$1005,1))</f>
        <v/>
      </c>
      <c r="N262" s="99" t="str">
        <f>IF(OR(R262=0,AA262=0,NOT(ISNUMBER(I262))),"",I262-N(L262))</f>
        <v/>
      </c>
      <c r="O262" s="100" t="str">
        <f>IF(OR(R262=0,AK262&lt;=0),"",N(M262)/AK262)</f>
        <v/>
      </c>
      <c r="P262" s="94" t="str">
        <f>IF(R262=0,"",IF(S262="","Sem MTR associado",IF(U262=0,"MTR inexistente",IF(C262="","Resíduo não identificado",IF(V262=0,"Resíduo fora do cadastro",IF(W262=0,"Quantidade inválida",IF(H262="","Unidade não informada",IF(NOT(ISNUMBER(I262)),"Unidade a conferir",IF(AND(AH262=1,K262&lt;&gt;"Sim"),"Possível duplicidade",IF(Z262=1,"MTR cancelado",IF(AC262&gt;0,"Recebimento com alerta",IF(AA262=0,"Aguardando recebimento",IF(AB262&lt;AA262,"Recebimento a conferir",IF(AM262=1,"Quantidade a revisar",IF(AF262&gt;0,"Vínculo a revisar",IF(AD262=0,"Aguardando CDF",IF(AN262=0,"Vínculo de CDF parcial",IF(AE262&lt;AD262,"CDF a conferir","Documentação conferida"))))))))))))))))))</f>
        <v/>
      </c>
      <c r="Q262" s="93" t="str">
        <f>IF(OR(R262=0,AA262=0),"",MAX(0,N(L262)-N(M262)))</f>
        <v/>
      </c>
      <c r="R262" s="96">
        <f>IF(COUNTA(B262:C262,G262:H262,J262:K262)&gt;0,1,0)</f>
        <v>0</v>
      </c>
      <c r="S262" s="96" t="str">
        <f>IF(B262="","",TRIM(LEFT(B262,FIND(" |",B262&amp;" |")-1)))</f>
        <v/>
      </c>
      <c r="T262" s="96" t="str">
        <f>IF(S262="","",IFERROR(MATCH(S262,'MTRs'!$A$6:$A$505,0),""))</f>
        <v/>
      </c>
      <c r="U262" s="96">
        <f>IF(T262="",0,IF(INDEX('MTRs'!$Z$6:$Z$505,T262)=1,1,0))</f>
        <v>0</v>
      </c>
      <c r="V262" s="96">
        <f>IF(C262="",0,IF(ISNUMBER(MATCH(C262,'CAD_RESÍDUOS'!$B$6:$B$205,0)),1,0))</f>
        <v>0</v>
      </c>
      <c r="W262" s="96">
        <f>IF(AND(ISNUMBER(G262),G262&gt;0),1,0)</f>
        <v>0</v>
      </c>
      <c r="X262" s="96" t="str">
        <f>IF(H262="","",IFERROR(IF(ISNUMBER(INDEX(cfg_fac,MATCH(H262,cfg_units,0))),IF(INDEX(cfg_fac,MATCH(H262,cfg_units,0))&gt;0,INDEX(cfg_fac,MATCH(H262,cfg_units,0)),""),""),""))</f>
        <v/>
      </c>
      <c r="Y262" s="96">
        <f>IF(AND(W262=1,ISNUMBER(I262)),1,0)</f>
        <v>0</v>
      </c>
      <c r="Z262" s="96">
        <f>IF(U262=1,INDEX('MTRs'!$AA$6:$AA$505,T262),0)</f>
        <v>0</v>
      </c>
      <c r="AA262" s="96">
        <f>IF(R262=0,0,COUNTIFS('RECEBIMENTOS'!$R$6:$R$1005,A262,'RECEBIMENTOS'!$Q$6:$Q$1005,1))</f>
        <v>0</v>
      </c>
      <c r="AB262" s="96">
        <f>IF(R262=0,0,COUNTIFS('RECEBIMENTOS'!$R$6:$R$1005,A262,'RECEBIMENTOS'!$Z$6:$Z$1005,1))</f>
        <v>0</v>
      </c>
      <c r="AC262" s="96">
        <f>IF(R262=0,0,COUNTIFS('RECEBIMENTOS'!$R$6:$R$1005,A262,'RECEBIMENTOS'!$Y$6:$Y$1005,1))</f>
        <v>0</v>
      </c>
      <c r="AD262" s="96">
        <f>IF(R262=0,0,COUNTIFS('VÍNCULOS_CDF'!$R$6:$R$1005,A262,'VÍNCULOS_CDF'!$N$6:$N$1005,1))</f>
        <v>0</v>
      </c>
      <c r="AE262" s="96">
        <f>IF(R262=0,0,COUNTIFS('VÍNCULOS_CDF'!$R$6:$R$1005,A262,'VÍNCULOS_CDF'!$AA$6:$AA$1005,1))</f>
        <v>0</v>
      </c>
      <c r="AF262" s="96">
        <f>IF(R262=0,0,COUNTIFS('VÍNCULOS_CDF'!$R$6:$R$1005,A262,'VÍNCULOS_CDF'!$Y$6:$Y$1005,1))</f>
        <v>0</v>
      </c>
      <c r="AG262" s="96" t="str">
        <f>IF(AND(R262=1,S262&lt;&gt;"",C262&lt;&gt;""),S262&amp;"|"&amp;C262&amp;"|"&amp;G262&amp;"|"&amp;H262,"")</f>
        <v/>
      </c>
      <c r="AH262" s="96">
        <f>IF(AG262="",0,IF(SUMPRODUCT(--($AG$6:$AG$1005=AG262))&gt;1,1,0))</f>
        <v>0</v>
      </c>
      <c r="AI262" s="96">
        <f>IF(R262=0,0,IF(OR(U262=0,V262=0,Y262=0,AND(AH262=1,K262&lt;&gt;"Sim")),1,0))</f>
        <v>0</v>
      </c>
      <c r="AJ262" s="96">
        <f>IF(AND(R262=1,AA262&gt;0,AB262=AA262),1,0)</f>
        <v>0</v>
      </c>
      <c r="AK262" s="96">
        <f>IF(R262=0,0,IF(AA262&gt;0,N(L262),IF(ISNUMBER(I262),I262,0)))</f>
        <v>0</v>
      </c>
      <c r="AL262" s="96">
        <f>IF(R262=0,0,IF(AND(K262&lt;&gt;"Sim",N(M262)&gt;AK262+cfg_tol),1,0))</f>
        <v>0</v>
      </c>
      <c r="AM262" s="96">
        <f>IF(R262=0,0,IF(K262="Sim",0,IF(OR(AND(AA262&gt;0,ISNUMBER(I262),ABS(I262-N(L262))&gt;cfg_tol),AL262=1),1,0)))</f>
        <v>0</v>
      </c>
      <c r="AN262" s="96">
        <f>IF(AND(R262=1,N(M262)&gt;0,OR(N(M262)&gt;=AK262-cfg_tol,K262="Sim")),1,0)</f>
        <v>0</v>
      </c>
      <c r="AO262" s="96">
        <f>IF(AND(AN262=1,AD262&gt;0,AE262=AD262,AL262=0),1,0)</f>
        <v>0</v>
      </c>
      <c r="AP262" s="96">
        <f>IF(U262=0,0,IF(AND(INDEX('MTRs'!$AX$6:$AX$505,T262)=1,Z262=0,OR(f_res="",f_res="(Todos)",C262=f_res)),1,0))</f>
        <v>0</v>
      </c>
      <c r="AQ262" s="97" t="str">
        <f>IF(U262=0,"",INDEX('MTRs'!$AZ$6:$AZ$505,T262))</f>
        <v/>
      </c>
      <c r="AR262" s="96">
        <f>IF(U262=0,0,IF(AND(INDEX('MTRs'!$BA$6:$BA$505,T262)=1,Z262=0),1,0))</f>
        <v>0</v>
      </c>
      <c r="AS262" s="96" t="str">
        <f>IF(R262=1,A262&amp;" | MTR "&amp;IF(U262=1,INDEX('MTRs'!$B$6:$B$505,T262)&amp;"","?")&amp;" | "&amp;IF(C262="","(sem resíduo)",C262),"")</f>
        <v/>
      </c>
      <c r="AT262" s="96" t="str">
        <f>IF(R262=1,COUNTIF($R$6:R262,1),"")</f>
        <v/>
      </c>
      <c r="AU262" s="96" t="str">
        <f>IF(U262=1,INDEX('MTRs'!$I$6:$I$505,T262)&amp;"","")</f>
        <v/>
      </c>
    </row>
    <row r="263">
      <c r="A263" s="89" t="inlineStr">
        <is>
          <t>IT-000258</t>
        </is>
      </c>
      <c r="B263" s="91" t="n"/>
      <c r="C263" s="91" t="n"/>
      <c r="D263" s="94" t="str">
        <f>IF(OR(R263=0,V263=0),"",INDEX('CAD_RESÍDUOS'!$E$6:$E$205,MATCH(C263,'CAD_RESÍDUOS'!$B$6:$B$205,0))&amp;"")</f>
        <v/>
      </c>
      <c r="E263" s="94" t="str">
        <f>IF(OR(R263=0,V263=0),"",INDEX('CAD_RESÍDUOS'!$C$6:$C$205,MATCH(C263,'CAD_RESÍDUOS'!$B$6:$B$205,0))&amp;"")</f>
        <v/>
      </c>
      <c r="F263" s="94" t="str">
        <f>IF(OR(R263=0,V263=0),"",INDEX('CAD_RESÍDUOS'!$G$6:$G$205,MATCH(C263,'CAD_RESÍDUOS'!$B$6:$B$205,0))&amp;"")</f>
        <v/>
      </c>
      <c r="G263" s="98" t="n"/>
      <c r="H263" s="91" t="n"/>
      <c r="I263" s="93" t="str">
        <f>IF(R263=0,"",IF(NOT(ISNUMBER(G263)),"",IF(ISNUMBER(X263),G263*X263,"UNIDADE A CONFERIR")))</f>
        <v/>
      </c>
      <c r="J263" s="91" t="n"/>
      <c r="K263" s="91" t="n"/>
      <c r="L263" s="93" t="str">
        <f>IF(R263=0,"",SUMIFS('RECEBIMENTOS'!$H$6:$H$1005,'RECEBIMENTOS'!$R$6:$R$1005,A263,'RECEBIMENTOS'!$X$6:$X$1005,1))</f>
        <v/>
      </c>
      <c r="M263" s="93" t="str">
        <f>IF(R263=0,"",SUMIFS('VÍNCULOS_CDF'!$H$6:$H$1005,'VÍNCULOS_CDF'!$R$6:$R$1005,A263,'VÍNCULOS_CDF'!$V$6:$V$1005,1))</f>
        <v/>
      </c>
      <c r="N263" s="99" t="str">
        <f>IF(OR(R263=0,AA263=0,NOT(ISNUMBER(I263))),"",I263-N(L263))</f>
        <v/>
      </c>
      <c r="O263" s="100" t="str">
        <f>IF(OR(R263=0,AK263&lt;=0),"",N(M263)/AK263)</f>
        <v/>
      </c>
      <c r="P263" s="94" t="str">
        <f>IF(R263=0,"",IF(S263="","Sem MTR associado",IF(U263=0,"MTR inexistente",IF(C263="","Resíduo não identificado",IF(V263=0,"Resíduo fora do cadastro",IF(W263=0,"Quantidade inválida",IF(H263="","Unidade não informada",IF(NOT(ISNUMBER(I263)),"Unidade a conferir",IF(AND(AH263=1,K263&lt;&gt;"Sim"),"Possível duplicidade",IF(Z263=1,"MTR cancelado",IF(AC263&gt;0,"Recebimento com alerta",IF(AA263=0,"Aguardando recebimento",IF(AB263&lt;AA263,"Recebimento a conferir",IF(AM263=1,"Quantidade a revisar",IF(AF263&gt;0,"Vínculo a revisar",IF(AD263=0,"Aguardando CDF",IF(AN263=0,"Vínculo de CDF parcial",IF(AE263&lt;AD263,"CDF a conferir","Documentação conferida"))))))))))))))))))</f>
        <v/>
      </c>
      <c r="Q263" s="93" t="str">
        <f>IF(OR(R263=0,AA263=0),"",MAX(0,N(L263)-N(M263)))</f>
        <v/>
      </c>
      <c r="R263" s="96">
        <f>IF(COUNTA(B263:C263,G263:H263,J263:K263)&gt;0,1,0)</f>
        <v>0</v>
      </c>
      <c r="S263" s="96" t="str">
        <f>IF(B263="","",TRIM(LEFT(B263,FIND(" |",B263&amp;" |")-1)))</f>
        <v/>
      </c>
      <c r="T263" s="96" t="str">
        <f>IF(S263="","",IFERROR(MATCH(S263,'MTRs'!$A$6:$A$505,0),""))</f>
        <v/>
      </c>
      <c r="U263" s="96">
        <f>IF(T263="",0,IF(INDEX('MTRs'!$Z$6:$Z$505,T263)=1,1,0))</f>
        <v>0</v>
      </c>
      <c r="V263" s="96">
        <f>IF(C263="",0,IF(ISNUMBER(MATCH(C263,'CAD_RESÍDUOS'!$B$6:$B$205,0)),1,0))</f>
        <v>0</v>
      </c>
      <c r="W263" s="96">
        <f>IF(AND(ISNUMBER(G263),G263&gt;0),1,0)</f>
        <v>0</v>
      </c>
      <c r="X263" s="96" t="str">
        <f>IF(H263="","",IFERROR(IF(ISNUMBER(INDEX(cfg_fac,MATCH(H263,cfg_units,0))),IF(INDEX(cfg_fac,MATCH(H263,cfg_units,0))&gt;0,INDEX(cfg_fac,MATCH(H263,cfg_units,0)),""),""),""))</f>
        <v/>
      </c>
      <c r="Y263" s="96">
        <f>IF(AND(W263=1,ISNUMBER(I263)),1,0)</f>
        <v>0</v>
      </c>
      <c r="Z263" s="96">
        <f>IF(U263=1,INDEX('MTRs'!$AA$6:$AA$505,T263),0)</f>
        <v>0</v>
      </c>
      <c r="AA263" s="96">
        <f>IF(R263=0,0,COUNTIFS('RECEBIMENTOS'!$R$6:$R$1005,A263,'RECEBIMENTOS'!$Q$6:$Q$1005,1))</f>
        <v>0</v>
      </c>
      <c r="AB263" s="96">
        <f>IF(R263=0,0,COUNTIFS('RECEBIMENTOS'!$R$6:$R$1005,A263,'RECEBIMENTOS'!$Z$6:$Z$1005,1))</f>
        <v>0</v>
      </c>
      <c r="AC263" s="96">
        <f>IF(R263=0,0,COUNTIFS('RECEBIMENTOS'!$R$6:$R$1005,A263,'RECEBIMENTOS'!$Y$6:$Y$1005,1))</f>
        <v>0</v>
      </c>
      <c r="AD263" s="96">
        <f>IF(R263=0,0,COUNTIFS('VÍNCULOS_CDF'!$R$6:$R$1005,A263,'VÍNCULOS_CDF'!$N$6:$N$1005,1))</f>
        <v>0</v>
      </c>
      <c r="AE263" s="96">
        <f>IF(R263=0,0,COUNTIFS('VÍNCULOS_CDF'!$R$6:$R$1005,A263,'VÍNCULOS_CDF'!$AA$6:$AA$1005,1))</f>
        <v>0</v>
      </c>
      <c r="AF263" s="96">
        <f>IF(R263=0,0,COUNTIFS('VÍNCULOS_CDF'!$R$6:$R$1005,A263,'VÍNCULOS_CDF'!$Y$6:$Y$1005,1))</f>
        <v>0</v>
      </c>
      <c r="AG263" s="96" t="str">
        <f>IF(AND(R263=1,S263&lt;&gt;"",C263&lt;&gt;""),S263&amp;"|"&amp;C263&amp;"|"&amp;G263&amp;"|"&amp;H263,"")</f>
        <v/>
      </c>
      <c r="AH263" s="96">
        <f>IF(AG263="",0,IF(SUMPRODUCT(--($AG$6:$AG$1005=AG263))&gt;1,1,0))</f>
        <v>0</v>
      </c>
      <c r="AI263" s="96">
        <f>IF(R263=0,0,IF(OR(U263=0,V263=0,Y263=0,AND(AH263=1,K263&lt;&gt;"Sim")),1,0))</f>
        <v>0</v>
      </c>
      <c r="AJ263" s="96">
        <f>IF(AND(R263=1,AA263&gt;0,AB263=AA263),1,0)</f>
        <v>0</v>
      </c>
      <c r="AK263" s="96">
        <f>IF(R263=0,0,IF(AA263&gt;0,N(L263),IF(ISNUMBER(I263),I263,0)))</f>
        <v>0</v>
      </c>
      <c r="AL263" s="96">
        <f>IF(R263=0,0,IF(AND(K263&lt;&gt;"Sim",N(M263)&gt;AK263+cfg_tol),1,0))</f>
        <v>0</v>
      </c>
      <c r="AM263" s="96">
        <f>IF(R263=0,0,IF(K263="Sim",0,IF(OR(AND(AA263&gt;0,ISNUMBER(I263),ABS(I263-N(L263))&gt;cfg_tol),AL263=1),1,0)))</f>
        <v>0</v>
      </c>
      <c r="AN263" s="96">
        <f>IF(AND(R263=1,N(M263)&gt;0,OR(N(M263)&gt;=AK263-cfg_tol,K263="Sim")),1,0)</f>
        <v>0</v>
      </c>
      <c r="AO263" s="96">
        <f>IF(AND(AN263=1,AD263&gt;0,AE263=AD263,AL263=0),1,0)</f>
        <v>0</v>
      </c>
      <c r="AP263" s="96">
        <f>IF(U263=0,0,IF(AND(INDEX('MTRs'!$AX$6:$AX$505,T263)=1,Z263=0,OR(f_res="",f_res="(Todos)",C263=f_res)),1,0))</f>
        <v>0</v>
      </c>
      <c r="AQ263" s="97" t="str">
        <f>IF(U263=0,"",INDEX('MTRs'!$AZ$6:$AZ$505,T263))</f>
        <v/>
      </c>
      <c r="AR263" s="96">
        <f>IF(U263=0,0,IF(AND(INDEX('MTRs'!$BA$6:$BA$505,T263)=1,Z263=0),1,0))</f>
        <v>0</v>
      </c>
      <c r="AS263" s="96" t="str">
        <f>IF(R263=1,A263&amp;" | MTR "&amp;IF(U263=1,INDEX('MTRs'!$B$6:$B$505,T263)&amp;"","?")&amp;" | "&amp;IF(C263="","(sem resíduo)",C263),"")</f>
        <v/>
      </c>
      <c r="AT263" s="96" t="str">
        <f>IF(R263=1,COUNTIF($R$6:R263,1),"")</f>
        <v/>
      </c>
      <c r="AU263" s="96" t="str">
        <f>IF(U263=1,INDEX('MTRs'!$I$6:$I$505,T263)&amp;"","")</f>
        <v/>
      </c>
    </row>
    <row r="264">
      <c r="A264" s="89" t="inlineStr">
        <is>
          <t>IT-000259</t>
        </is>
      </c>
      <c r="B264" s="91" t="n"/>
      <c r="C264" s="91" t="n"/>
      <c r="D264" s="94" t="str">
        <f>IF(OR(R264=0,V264=0),"",INDEX('CAD_RESÍDUOS'!$E$6:$E$205,MATCH(C264,'CAD_RESÍDUOS'!$B$6:$B$205,0))&amp;"")</f>
        <v/>
      </c>
      <c r="E264" s="94" t="str">
        <f>IF(OR(R264=0,V264=0),"",INDEX('CAD_RESÍDUOS'!$C$6:$C$205,MATCH(C264,'CAD_RESÍDUOS'!$B$6:$B$205,0))&amp;"")</f>
        <v/>
      </c>
      <c r="F264" s="94" t="str">
        <f>IF(OR(R264=0,V264=0),"",INDEX('CAD_RESÍDUOS'!$G$6:$G$205,MATCH(C264,'CAD_RESÍDUOS'!$B$6:$B$205,0))&amp;"")</f>
        <v/>
      </c>
      <c r="G264" s="98" t="n"/>
      <c r="H264" s="91" t="n"/>
      <c r="I264" s="93" t="str">
        <f>IF(R264=0,"",IF(NOT(ISNUMBER(G264)),"",IF(ISNUMBER(X264),G264*X264,"UNIDADE A CONFERIR")))</f>
        <v/>
      </c>
      <c r="J264" s="91" t="n"/>
      <c r="K264" s="91" t="n"/>
      <c r="L264" s="93" t="str">
        <f>IF(R264=0,"",SUMIFS('RECEBIMENTOS'!$H$6:$H$1005,'RECEBIMENTOS'!$R$6:$R$1005,A264,'RECEBIMENTOS'!$X$6:$X$1005,1))</f>
        <v/>
      </c>
      <c r="M264" s="93" t="str">
        <f>IF(R264=0,"",SUMIFS('VÍNCULOS_CDF'!$H$6:$H$1005,'VÍNCULOS_CDF'!$R$6:$R$1005,A264,'VÍNCULOS_CDF'!$V$6:$V$1005,1))</f>
        <v/>
      </c>
      <c r="N264" s="99" t="str">
        <f>IF(OR(R264=0,AA264=0,NOT(ISNUMBER(I264))),"",I264-N(L264))</f>
        <v/>
      </c>
      <c r="O264" s="100" t="str">
        <f>IF(OR(R264=0,AK264&lt;=0),"",N(M264)/AK264)</f>
        <v/>
      </c>
      <c r="P264" s="94" t="str">
        <f>IF(R264=0,"",IF(S264="","Sem MTR associado",IF(U264=0,"MTR inexistente",IF(C264="","Resíduo não identificado",IF(V264=0,"Resíduo fora do cadastro",IF(W264=0,"Quantidade inválida",IF(H264="","Unidade não informada",IF(NOT(ISNUMBER(I264)),"Unidade a conferir",IF(AND(AH264=1,K264&lt;&gt;"Sim"),"Possível duplicidade",IF(Z264=1,"MTR cancelado",IF(AC264&gt;0,"Recebimento com alerta",IF(AA264=0,"Aguardando recebimento",IF(AB264&lt;AA264,"Recebimento a conferir",IF(AM264=1,"Quantidade a revisar",IF(AF264&gt;0,"Vínculo a revisar",IF(AD264=0,"Aguardando CDF",IF(AN264=0,"Vínculo de CDF parcial",IF(AE264&lt;AD264,"CDF a conferir","Documentação conferida"))))))))))))))))))</f>
        <v/>
      </c>
      <c r="Q264" s="93" t="str">
        <f>IF(OR(R264=0,AA264=0),"",MAX(0,N(L264)-N(M264)))</f>
        <v/>
      </c>
      <c r="R264" s="96">
        <f>IF(COUNTA(B264:C264,G264:H264,J264:K264)&gt;0,1,0)</f>
        <v>0</v>
      </c>
      <c r="S264" s="96" t="str">
        <f>IF(B264="","",TRIM(LEFT(B264,FIND(" |",B264&amp;" |")-1)))</f>
        <v/>
      </c>
      <c r="T264" s="96" t="str">
        <f>IF(S264="","",IFERROR(MATCH(S264,'MTRs'!$A$6:$A$505,0),""))</f>
        <v/>
      </c>
      <c r="U264" s="96">
        <f>IF(T264="",0,IF(INDEX('MTRs'!$Z$6:$Z$505,T264)=1,1,0))</f>
        <v>0</v>
      </c>
      <c r="V264" s="96">
        <f>IF(C264="",0,IF(ISNUMBER(MATCH(C264,'CAD_RESÍDUOS'!$B$6:$B$205,0)),1,0))</f>
        <v>0</v>
      </c>
      <c r="W264" s="96">
        <f>IF(AND(ISNUMBER(G264),G264&gt;0),1,0)</f>
        <v>0</v>
      </c>
      <c r="X264" s="96" t="str">
        <f>IF(H264="","",IFERROR(IF(ISNUMBER(INDEX(cfg_fac,MATCH(H264,cfg_units,0))),IF(INDEX(cfg_fac,MATCH(H264,cfg_units,0))&gt;0,INDEX(cfg_fac,MATCH(H264,cfg_units,0)),""),""),""))</f>
        <v/>
      </c>
      <c r="Y264" s="96">
        <f>IF(AND(W264=1,ISNUMBER(I264)),1,0)</f>
        <v>0</v>
      </c>
      <c r="Z264" s="96">
        <f>IF(U264=1,INDEX('MTRs'!$AA$6:$AA$505,T264),0)</f>
        <v>0</v>
      </c>
      <c r="AA264" s="96">
        <f>IF(R264=0,0,COUNTIFS('RECEBIMENTOS'!$R$6:$R$1005,A264,'RECEBIMENTOS'!$Q$6:$Q$1005,1))</f>
        <v>0</v>
      </c>
      <c r="AB264" s="96">
        <f>IF(R264=0,0,COUNTIFS('RECEBIMENTOS'!$R$6:$R$1005,A264,'RECEBIMENTOS'!$Z$6:$Z$1005,1))</f>
        <v>0</v>
      </c>
      <c r="AC264" s="96">
        <f>IF(R264=0,0,COUNTIFS('RECEBIMENTOS'!$R$6:$R$1005,A264,'RECEBIMENTOS'!$Y$6:$Y$1005,1))</f>
        <v>0</v>
      </c>
      <c r="AD264" s="96">
        <f>IF(R264=0,0,COUNTIFS('VÍNCULOS_CDF'!$R$6:$R$1005,A264,'VÍNCULOS_CDF'!$N$6:$N$1005,1))</f>
        <v>0</v>
      </c>
      <c r="AE264" s="96">
        <f>IF(R264=0,0,COUNTIFS('VÍNCULOS_CDF'!$R$6:$R$1005,A264,'VÍNCULOS_CDF'!$AA$6:$AA$1005,1))</f>
        <v>0</v>
      </c>
      <c r="AF264" s="96">
        <f>IF(R264=0,0,COUNTIFS('VÍNCULOS_CDF'!$R$6:$R$1005,A264,'VÍNCULOS_CDF'!$Y$6:$Y$1005,1))</f>
        <v>0</v>
      </c>
      <c r="AG264" s="96" t="str">
        <f>IF(AND(R264=1,S264&lt;&gt;"",C264&lt;&gt;""),S264&amp;"|"&amp;C264&amp;"|"&amp;G264&amp;"|"&amp;H264,"")</f>
        <v/>
      </c>
      <c r="AH264" s="96">
        <f>IF(AG264="",0,IF(SUMPRODUCT(--($AG$6:$AG$1005=AG264))&gt;1,1,0))</f>
        <v>0</v>
      </c>
      <c r="AI264" s="96">
        <f>IF(R264=0,0,IF(OR(U264=0,V264=0,Y264=0,AND(AH264=1,K264&lt;&gt;"Sim")),1,0))</f>
        <v>0</v>
      </c>
      <c r="AJ264" s="96">
        <f>IF(AND(R264=1,AA264&gt;0,AB264=AA264),1,0)</f>
        <v>0</v>
      </c>
      <c r="AK264" s="96">
        <f>IF(R264=0,0,IF(AA264&gt;0,N(L264),IF(ISNUMBER(I264),I264,0)))</f>
        <v>0</v>
      </c>
      <c r="AL264" s="96">
        <f>IF(R264=0,0,IF(AND(K264&lt;&gt;"Sim",N(M264)&gt;AK264+cfg_tol),1,0))</f>
        <v>0</v>
      </c>
      <c r="AM264" s="96">
        <f>IF(R264=0,0,IF(K264="Sim",0,IF(OR(AND(AA264&gt;0,ISNUMBER(I264),ABS(I264-N(L264))&gt;cfg_tol),AL264=1),1,0)))</f>
        <v>0</v>
      </c>
      <c r="AN264" s="96">
        <f>IF(AND(R264=1,N(M264)&gt;0,OR(N(M264)&gt;=AK264-cfg_tol,K264="Sim")),1,0)</f>
        <v>0</v>
      </c>
      <c r="AO264" s="96">
        <f>IF(AND(AN264=1,AD264&gt;0,AE264=AD264,AL264=0),1,0)</f>
        <v>0</v>
      </c>
      <c r="AP264" s="96">
        <f>IF(U264=0,0,IF(AND(INDEX('MTRs'!$AX$6:$AX$505,T264)=1,Z264=0,OR(f_res="",f_res="(Todos)",C264=f_res)),1,0))</f>
        <v>0</v>
      </c>
      <c r="AQ264" s="97" t="str">
        <f>IF(U264=0,"",INDEX('MTRs'!$AZ$6:$AZ$505,T264))</f>
        <v/>
      </c>
      <c r="AR264" s="96">
        <f>IF(U264=0,0,IF(AND(INDEX('MTRs'!$BA$6:$BA$505,T264)=1,Z264=0),1,0))</f>
        <v>0</v>
      </c>
      <c r="AS264" s="96" t="str">
        <f>IF(R264=1,A264&amp;" | MTR "&amp;IF(U264=1,INDEX('MTRs'!$B$6:$B$505,T264)&amp;"","?")&amp;" | "&amp;IF(C264="","(sem resíduo)",C264),"")</f>
        <v/>
      </c>
      <c r="AT264" s="96" t="str">
        <f>IF(R264=1,COUNTIF($R$6:R264,1),"")</f>
        <v/>
      </c>
      <c r="AU264" s="96" t="str">
        <f>IF(U264=1,INDEX('MTRs'!$I$6:$I$505,T264)&amp;"","")</f>
        <v/>
      </c>
    </row>
    <row r="265">
      <c r="A265" s="89" t="inlineStr">
        <is>
          <t>IT-000260</t>
        </is>
      </c>
      <c r="B265" s="91" t="n"/>
      <c r="C265" s="91" t="n"/>
      <c r="D265" s="94" t="str">
        <f>IF(OR(R265=0,V265=0),"",INDEX('CAD_RESÍDUOS'!$E$6:$E$205,MATCH(C265,'CAD_RESÍDUOS'!$B$6:$B$205,0))&amp;"")</f>
        <v/>
      </c>
      <c r="E265" s="94" t="str">
        <f>IF(OR(R265=0,V265=0),"",INDEX('CAD_RESÍDUOS'!$C$6:$C$205,MATCH(C265,'CAD_RESÍDUOS'!$B$6:$B$205,0))&amp;"")</f>
        <v/>
      </c>
      <c r="F265" s="94" t="str">
        <f>IF(OR(R265=0,V265=0),"",INDEX('CAD_RESÍDUOS'!$G$6:$G$205,MATCH(C265,'CAD_RESÍDUOS'!$B$6:$B$205,0))&amp;"")</f>
        <v/>
      </c>
      <c r="G265" s="98" t="n"/>
      <c r="H265" s="91" t="n"/>
      <c r="I265" s="93" t="str">
        <f>IF(R265=0,"",IF(NOT(ISNUMBER(G265)),"",IF(ISNUMBER(X265),G265*X265,"UNIDADE A CONFERIR")))</f>
        <v/>
      </c>
      <c r="J265" s="91" t="n"/>
      <c r="K265" s="91" t="n"/>
      <c r="L265" s="93" t="str">
        <f>IF(R265=0,"",SUMIFS('RECEBIMENTOS'!$H$6:$H$1005,'RECEBIMENTOS'!$R$6:$R$1005,A265,'RECEBIMENTOS'!$X$6:$X$1005,1))</f>
        <v/>
      </c>
      <c r="M265" s="93" t="str">
        <f>IF(R265=0,"",SUMIFS('VÍNCULOS_CDF'!$H$6:$H$1005,'VÍNCULOS_CDF'!$R$6:$R$1005,A265,'VÍNCULOS_CDF'!$V$6:$V$1005,1))</f>
        <v/>
      </c>
      <c r="N265" s="99" t="str">
        <f>IF(OR(R265=0,AA265=0,NOT(ISNUMBER(I265))),"",I265-N(L265))</f>
        <v/>
      </c>
      <c r="O265" s="100" t="str">
        <f>IF(OR(R265=0,AK265&lt;=0),"",N(M265)/AK265)</f>
        <v/>
      </c>
      <c r="P265" s="94" t="str">
        <f>IF(R265=0,"",IF(S265="","Sem MTR associado",IF(U265=0,"MTR inexistente",IF(C265="","Resíduo não identificado",IF(V265=0,"Resíduo fora do cadastro",IF(W265=0,"Quantidade inválida",IF(H265="","Unidade não informada",IF(NOT(ISNUMBER(I265)),"Unidade a conferir",IF(AND(AH265=1,K265&lt;&gt;"Sim"),"Possível duplicidade",IF(Z265=1,"MTR cancelado",IF(AC265&gt;0,"Recebimento com alerta",IF(AA265=0,"Aguardando recebimento",IF(AB265&lt;AA265,"Recebimento a conferir",IF(AM265=1,"Quantidade a revisar",IF(AF265&gt;0,"Vínculo a revisar",IF(AD265=0,"Aguardando CDF",IF(AN265=0,"Vínculo de CDF parcial",IF(AE265&lt;AD265,"CDF a conferir","Documentação conferida"))))))))))))))))))</f>
        <v/>
      </c>
      <c r="Q265" s="93" t="str">
        <f>IF(OR(R265=0,AA265=0),"",MAX(0,N(L265)-N(M265)))</f>
        <v/>
      </c>
      <c r="R265" s="96">
        <f>IF(COUNTA(B265:C265,G265:H265,J265:K265)&gt;0,1,0)</f>
        <v>0</v>
      </c>
      <c r="S265" s="96" t="str">
        <f>IF(B265="","",TRIM(LEFT(B265,FIND(" |",B265&amp;" |")-1)))</f>
        <v/>
      </c>
      <c r="T265" s="96" t="str">
        <f>IF(S265="","",IFERROR(MATCH(S265,'MTRs'!$A$6:$A$505,0),""))</f>
        <v/>
      </c>
      <c r="U265" s="96">
        <f>IF(T265="",0,IF(INDEX('MTRs'!$Z$6:$Z$505,T265)=1,1,0))</f>
        <v>0</v>
      </c>
      <c r="V265" s="96">
        <f>IF(C265="",0,IF(ISNUMBER(MATCH(C265,'CAD_RESÍDUOS'!$B$6:$B$205,0)),1,0))</f>
        <v>0</v>
      </c>
      <c r="W265" s="96">
        <f>IF(AND(ISNUMBER(G265),G265&gt;0),1,0)</f>
        <v>0</v>
      </c>
      <c r="X265" s="96" t="str">
        <f>IF(H265="","",IFERROR(IF(ISNUMBER(INDEX(cfg_fac,MATCH(H265,cfg_units,0))),IF(INDEX(cfg_fac,MATCH(H265,cfg_units,0))&gt;0,INDEX(cfg_fac,MATCH(H265,cfg_units,0)),""),""),""))</f>
        <v/>
      </c>
      <c r="Y265" s="96">
        <f>IF(AND(W265=1,ISNUMBER(I265)),1,0)</f>
        <v>0</v>
      </c>
      <c r="Z265" s="96">
        <f>IF(U265=1,INDEX('MTRs'!$AA$6:$AA$505,T265),0)</f>
        <v>0</v>
      </c>
      <c r="AA265" s="96">
        <f>IF(R265=0,0,COUNTIFS('RECEBIMENTOS'!$R$6:$R$1005,A265,'RECEBIMENTOS'!$Q$6:$Q$1005,1))</f>
        <v>0</v>
      </c>
      <c r="AB265" s="96">
        <f>IF(R265=0,0,COUNTIFS('RECEBIMENTOS'!$R$6:$R$1005,A265,'RECEBIMENTOS'!$Z$6:$Z$1005,1))</f>
        <v>0</v>
      </c>
      <c r="AC265" s="96">
        <f>IF(R265=0,0,COUNTIFS('RECEBIMENTOS'!$R$6:$R$1005,A265,'RECEBIMENTOS'!$Y$6:$Y$1005,1))</f>
        <v>0</v>
      </c>
      <c r="AD265" s="96">
        <f>IF(R265=0,0,COUNTIFS('VÍNCULOS_CDF'!$R$6:$R$1005,A265,'VÍNCULOS_CDF'!$N$6:$N$1005,1))</f>
        <v>0</v>
      </c>
      <c r="AE265" s="96">
        <f>IF(R265=0,0,COUNTIFS('VÍNCULOS_CDF'!$R$6:$R$1005,A265,'VÍNCULOS_CDF'!$AA$6:$AA$1005,1))</f>
        <v>0</v>
      </c>
      <c r="AF265" s="96">
        <f>IF(R265=0,0,COUNTIFS('VÍNCULOS_CDF'!$R$6:$R$1005,A265,'VÍNCULOS_CDF'!$Y$6:$Y$1005,1))</f>
        <v>0</v>
      </c>
      <c r="AG265" s="96" t="str">
        <f>IF(AND(R265=1,S265&lt;&gt;"",C265&lt;&gt;""),S265&amp;"|"&amp;C265&amp;"|"&amp;G265&amp;"|"&amp;H265,"")</f>
        <v/>
      </c>
      <c r="AH265" s="96">
        <f>IF(AG265="",0,IF(SUMPRODUCT(--($AG$6:$AG$1005=AG265))&gt;1,1,0))</f>
        <v>0</v>
      </c>
      <c r="AI265" s="96">
        <f>IF(R265=0,0,IF(OR(U265=0,V265=0,Y265=0,AND(AH265=1,K265&lt;&gt;"Sim")),1,0))</f>
        <v>0</v>
      </c>
      <c r="AJ265" s="96">
        <f>IF(AND(R265=1,AA265&gt;0,AB265=AA265),1,0)</f>
        <v>0</v>
      </c>
      <c r="AK265" s="96">
        <f>IF(R265=0,0,IF(AA265&gt;0,N(L265),IF(ISNUMBER(I265),I265,0)))</f>
        <v>0</v>
      </c>
      <c r="AL265" s="96">
        <f>IF(R265=0,0,IF(AND(K265&lt;&gt;"Sim",N(M265)&gt;AK265+cfg_tol),1,0))</f>
        <v>0</v>
      </c>
      <c r="AM265" s="96">
        <f>IF(R265=0,0,IF(K265="Sim",0,IF(OR(AND(AA265&gt;0,ISNUMBER(I265),ABS(I265-N(L265))&gt;cfg_tol),AL265=1),1,0)))</f>
        <v>0</v>
      </c>
      <c r="AN265" s="96">
        <f>IF(AND(R265=1,N(M265)&gt;0,OR(N(M265)&gt;=AK265-cfg_tol,K265="Sim")),1,0)</f>
        <v>0</v>
      </c>
      <c r="AO265" s="96">
        <f>IF(AND(AN265=1,AD265&gt;0,AE265=AD265,AL265=0),1,0)</f>
        <v>0</v>
      </c>
      <c r="AP265" s="96">
        <f>IF(U265=0,0,IF(AND(INDEX('MTRs'!$AX$6:$AX$505,T265)=1,Z265=0,OR(f_res="",f_res="(Todos)",C265=f_res)),1,0))</f>
        <v>0</v>
      </c>
      <c r="AQ265" s="97" t="str">
        <f>IF(U265=0,"",INDEX('MTRs'!$AZ$6:$AZ$505,T265))</f>
        <v/>
      </c>
      <c r="AR265" s="96">
        <f>IF(U265=0,0,IF(AND(INDEX('MTRs'!$BA$6:$BA$505,T265)=1,Z265=0),1,0))</f>
        <v>0</v>
      </c>
      <c r="AS265" s="96" t="str">
        <f>IF(R265=1,A265&amp;" | MTR "&amp;IF(U265=1,INDEX('MTRs'!$B$6:$B$505,T265)&amp;"","?")&amp;" | "&amp;IF(C265="","(sem resíduo)",C265),"")</f>
        <v/>
      </c>
      <c r="AT265" s="96" t="str">
        <f>IF(R265=1,COUNTIF($R$6:R265,1),"")</f>
        <v/>
      </c>
      <c r="AU265" s="96" t="str">
        <f>IF(U265=1,INDEX('MTRs'!$I$6:$I$505,T265)&amp;"","")</f>
        <v/>
      </c>
    </row>
    <row r="266">
      <c r="A266" s="89" t="inlineStr">
        <is>
          <t>IT-000261</t>
        </is>
      </c>
      <c r="B266" s="91" t="n"/>
      <c r="C266" s="91" t="n"/>
      <c r="D266" s="94" t="str">
        <f>IF(OR(R266=0,V266=0),"",INDEX('CAD_RESÍDUOS'!$E$6:$E$205,MATCH(C266,'CAD_RESÍDUOS'!$B$6:$B$205,0))&amp;"")</f>
        <v/>
      </c>
      <c r="E266" s="94" t="str">
        <f>IF(OR(R266=0,V266=0),"",INDEX('CAD_RESÍDUOS'!$C$6:$C$205,MATCH(C266,'CAD_RESÍDUOS'!$B$6:$B$205,0))&amp;"")</f>
        <v/>
      </c>
      <c r="F266" s="94" t="str">
        <f>IF(OR(R266=0,V266=0),"",INDEX('CAD_RESÍDUOS'!$G$6:$G$205,MATCH(C266,'CAD_RESÍDUOS'!$B$6:$B$205,0))&amp;"")</f>
        <v/>
      </c>
      <c r="G266" s="98" t="n"/>
      <c r="H266" s="91" t="n"/>
      <c r="I266" s="93" t="str">
        <f>IF(R266=0,"",IF(NOT(ISNUMBER(G266)),"",IF(ISNUMBER(X266),G266*X266,"UNIDADE A CONFERIR")))</f>
        <v/>
      </c>
      <c r="J266" s="91" t="n"/>
      <c r="K266" s="91" t="n"/>
      <c r="L266" s="93" t="str">
        <f>IF(R266=0,"",SUMIFS('RECEBIMENTOS'!$H$6:$H$1005,'RECEBIMENTOS'!$R$6:$R$1005,A266,'RECEBIMENTOS'!$X$6:$X$1005,1))</f>
        <v/>
      </c>
      <c r="M266" s="93" t="str">
        <f>IF(R266=0,"",SUMIFS('VÍNCULOS_CDF'!$H$6:$H$1005,'VÍNCULOS_CDF'!$R$6:$R$1005,A266,'VÍNCULOS_CDF'!$V$6:$V$1005,1))</f>
        <v/>
      </c>
      <c r="N266" s="99" t="str">
        <f>IF(OR(R266=0,AA266=0,NOT(ISNUMBER(I266))),"",I266-N(L266))</f>
        <v/>
      </c>
      <c r="O266" s="100" t="str">
        <f>IF(OR(R266=0,AK266&lt;=0),"",N(M266)/AK266)</f>
        <v/>
      </c>
      <c r="P266" s="94" t="str">
        <f>IF(R266=0,"",IF(S266="","Sem MTR associado",IF(U266=0,"MTR inexistente",IF(C266="","Resíduo não identificado",IF(V266=0,"Resíduo fora do cadastro",IF(W266=0,"Quantidade inválida",IF(H266="","Unidade não informada",IF(NOT(ISNUMBER(I266)),"Unidade a conferir",IF(AND(AH266=1,K266&lt;&gt;"Sim"),"Possível duplicidade",IF(Z266=1,"MTR cancelado",IF(AC266&gt;0,"Recebimento com alerta",IF(AA266=0,"Aguardando recebimento",IF(AB266&lt;AA266,"Recebimento a conferir",IF(AM266=1,"Quantidade a revisar",IF(AF266&gt;0,"Vínculo a revisar",IF(AD266=0,"Aguardando CDF",IF(AN266=0,"Vínculo de CDF parcial",IF(AE266&lt;AD266,"CDF a conferir","Documentação conferida"))))))))))))))))))</f>
        <v/>
      </c>
      <c r="Q266" s="93" t="str">
        <f>IF(OR(R266=0,AA266=0),"",MAX(0,N(L266)-N(M266)))</f>
        <v/>
      </c>
      <c r="R266" s="96">
        <f>IF(COUNTA(B266:C266,G266:H266,J266:K266)&gt;0,1,0)</f>
        <v>0</v>
      </c>
      <c r="S266" s="96" t="str">
        <f>IF(B266="","",TRIM(LEFT(B266,FIND(" |",B266&amp;" |")-1)))</f>
        <v/>
      </c>
      <c r="T266" s="96" t="str">
        <f>IF(S266="","",IFERROR(MATCH(S266,'MTRs'!$A$6:$A$505,0),""))</f>
        <v/>
      </c>
      <c r="U266" s="96">
        <f>IF(T266="",0,IF(INDEX('MTRs'!$Z$6:$Z$505,T266)=1,1,0))</f>
        <v>0</v>
      </c>
      <c r="V266" s="96">
        <f>IF(C266="",0,IF(ISNUMBER(MATCH(C266,'CAD_RESÍDUOS'!$B$6:$B$205,0)),1,0))</f>
        <v>0</v>
      </c>
      <c r="W266" s="96">
        <f>IF(AND(ISNUMBER(G266),G266&gt;0),1,0)</f>
        <v>0</v>
      </c>
      <c r="X266" s="96" t="str">
        <f>IF(H266="","",IFERROR(IF(ISNUMBER(INDEX(cfg_fac,MATCH(H266,cfg_units,0))),IF(INDEX(cfg_fac,MATCH(H266,cfg_units,0))&gt;0,INDEX(cfg_fac,MATCH(H266,cfg_units,0)),""),""),""))</f>
        <v/>
      </c>
      <c r="Y266" s="96">
        <f>IF(AND(W266=1,ISNUMBER(I266)),1,0)</f>
        <v>0</v>
      </c>
      <c r="Z266" s="96">
        <f>IF(U266=1,INDEX('MTRs'!$AA$6:$AA$505,T266),0)</f>
        <v>0</v>
      </c>
      <c r="AA266" s="96">
        <f>IF(R266=0,0,COUNTIFS('RECEBIMENTOS'!$R$6:$R$1005,A266,'RECEBIMENTOS'!$Q$6:$Q$1005,1))</f>
        <v>0</v>
      </c>
      <c r="AB266" s="96">
        <f>IF(R266=0,0,COUNTIFS('RECEBIMENTOS'!$R$6:$R$1005,A266,'RECEBIMENTOS'!$Z$6:$Z$1005,1))</f>
        <v>0</v>
      </c>
      <c r="AC266" s="96">
        <f>IF(R266=0,0,COUNTIFS('RECEBIMENTOS'!$R$6:$R$1005,A266,'RECEBIMENTOS'!$Y$6:$Y$1005,1))</f>
        <v>0</v>
      </c>
      <c r="AD266" s="96">
        <f>IF(R266=0,0,COUNTIFS('VÍNCULOS_CDF'!$R$6:$R$1005,A266,'VÍNCULOS_CDF'!$N$6:$N$1005,1))</f>
        <v>0</v>
      </c>
      <c r="AE266" s="96">
        <f>IF(R266=0,0,COUNTIFS('VÍNCULOS_CDF'!$R$6:$R$1005,A266,'VÍNCULOS_CDF'!$AA$6:$AA$1005,1))</f>
        <v>0</v>
      </c>
      <c r="AF266" s="96">
        <f>IF(R266=0,0,COUNTIFS('VÍNCULOS_CDF'!$R$6:$R$1005,A266,'VÍNCULOS_CDF'!$Y$6:$Y$1005,1))</f>
        <v>0</v>
      </c>
      <c r="AG266" s="96" t="str">
        <f>IF(AND(R266=1,S266&lt;&gt;"",C266&lt;&gt;""),S266&amp;"|"&amp;C266&amp;"|"&amp;G266&amp;"|"&amp;H266,"")</f>
        <v/>
      </c>
      <c r="AH266" s="96">
        <f>IF(AG266="",0,IF(SUMPRODUCT(--($AG$6:$AG$1005=AG266))&gt;1,1,0))</f>
        <v>0</v>
      </c>
      <c r="AI266" s="96">
        <f>IF(R266=0,0,IF(OR(U266=0,V266=0,Y266=0,AND(AH266=1,K266&lt;&gt;"Sim")),1,0))</f>
        <v>0</v>
      </c>
      <c r="AJ266" s="96">
        <f>IF(AND(R266=1,AA266&gt;0,AB266=AA266),1,0)</f>
        <v>0</v>
      </c>
      <c r="AK266" s="96">
        <f>IF(R266=0,0,IF(AA266&gt;0,N(L266),IF(ISNUMBER(I266),I266,0)))</f>
        <v>0</v>
      </c>
      <c r="AL266" s="96">
        <f>IF(R266=0,0,IF(AND(K266&lt;&gt;"Sim",N(M266)&gt;AK266+cfg_tol),1,0))</f>
        <v>0</v>
      </c>
      <c r="AM266" s="96">
        <f>IF(R266=0,0,IF(K266="Sim",0,IF(OR(AND(AA266&gt;0,ISNUMBER(I266),ABS(I266-N(L266))&gt;cfg_tol),AL266=1),1,0)))</f>
        <v>0</v>
      </c>
      <c r="AN266" s="96">
        <f>IF(AND(R266=1,N(M266)&gt;0,OR(N(M266)&gt;=AK266-cfg_tol,K266="Sim")),1,0)</f>
        <v>0</v>
      </c>
      <c r="AO266" s="96">
        <f>IF(AND(AN266=1,AD266&gt;0,AE266=AD266,AL266=0),1,0)</f>
        <v>0</v>
      </c>
      <c r="AP266" s="96">
        <f>IF(U266=0,0,IF(AND(INDEX('MTRs'!$AX$6:$AX$505,T266)=1,Z266=0,OR(f_res="",f_res="(Todos)",C266=f_res)),1,0))</f>
        <v>0</v>
      </c>
      <c r="AQ266" s="97" t="str">
        <f>IF(U266=0,"",INDEX('MTRs'!$AZ$6:$AZ$505,T266))</f>
        <v/>
      </c>
      <c r="AR266" s="96">
        <f>IF(U266=0,0,IF(AND(INDEX('MTRs'!$BA$6:$BA$505,T266)=1,Z266=0),1,0))</f>
        <v>0</v>
      </c>
      <c r="AS266" s="96" t="str">
        <f>IF(R266=1,A266&amp;" | MTR "&amp;IF(U266=1,INDEX('MTRs'!$B$6:$B$505,T266)&amp;"","?")&amp;" | "&amp;IF(C266="","(sem resíduo)",C266),"")</f>
        <v/>
      </c>
      <c r="AT266" s="96" t="str">
        <f>IF(R266=1,COUNTIF($R$6:R266,1),"")</f>
        <v/>
      </c>
      <c r="AU266" s="96" t="str">
        <f>IF(U266=1,INDEX('MTRs'!$I$6:$I$505,T266)&amp;"","")</f>
        <v/>
      </c>
    </row>
    <row r="267">
      <c r="A267" s="89" t="inlineStr">
        <is>
          <t>IT-000262</t>
        </is>
      </c>
      <c r="B267" s="91" t="n"/>
      <c r="C267" s="91" t="n"/>
      <c r="D267" s="94" t="str">
        <f>IF(OR(R267=0,V267=0),"",INDEX('CAD_RESÍDUOS'!$E$6:$E$205,MATCH(C267,'CAD_RESÍDUOS'!$B$6:$B$205,0))&amp;"")</f>
        <v/>
      </c>
      <c r="E267" s="94" t="str">
        <f>IF(OR(R267=0,V267=0),"",INDEX('CAD_RESÍDUOS'!$C$6:$C$205,MATCH(C267,'CAD_RESÍDUOS'!$B$6:$B$205,0))&amp;"")</f>
        <v/>
      </c>
      <c r="F267" s="94" t="str">
        <f>IF(OR(R267=0,V267=0),"",INDEX('CAD_RESÍDUOS'!$G$6:$G$205,MATCH(C267,'CAD_RESÍDUOS'!$B$6:$B$205,0))&amp;"")</f>
        <v/>
      </c>
      <c r="G267" s="98" t="n"/>
      <c r="H267" s="91" t="n"/>
      <c r="I267" s="93" t="str">
        <f>IF(R267=0,"",IF(NOT(ISNUMBER(G267)),"",IF(ISNUMBER(X267),G267*X267,"UNIDADE A CONFERIR")))</f>
        <v/>
      </c>
      <c r="J267" s="91" t="n"/>
      <c r="K267" s="91" t="n"/>
      <c r="L267" s="93" t="str">
        <f>IF(R267=0,"",SUMIFS('RECEBIMENTOS'!$H$6:$H$1005,'RECEBIMENTOS'!$R$6:$R$1005,A267,'RECEBIMENTOS'!$X$6:$X$1005,1))</f>
        <v/>
      </c>
      <c r="M267" s="93" t="str">
        <f>IF(R267=0,"",SUMIFS('VÍNCULOS_CDF'!$H$6:$H$1005,'VÍNCULOS_CDF'!$R$6:$R$1005,A267,'VÍNCULOS_CDF'!$V$6:$V$1005,1))</f>
        <v/>
      </c>
      <c r="N267" s="99" t="str">
        <f>IF(OR(R267=0,AA267=0,NOT(ISNUMBER(I267))),"",I267-N(L267))</f>
        <v/>
      </c>
      <c r="O267" s="100" t="str">
        <f>IF(OR(R267=0,AK267&lt;=0),"",N(M267)/AK267)</f>
        <v/>
      </c>
      <c r="P267" s="94" t="str">
        <f>IF(R267=0,"",IF(S267="","Sem MTR associado",IF(U267=0,"MTR inexistente",IF(C267="","Resíduo não identificado",IF(V267=0,"Resíduo fora do cadastro",IF(W267=0,"Quantidade inválida",IF(H267="","Unidade não informada",IF(NOT(ISNUMBER(I267)),"Unidade a conferir",IF(AND(AH267=1,K267&lt;&gt;"Sim"),"Possível duplicidade",IF(Z267=1,"MTR cancelado",IF(AC267&gt;0,"Recebimento com alerta",IF(AA267=0,"Aguardando recebimento",IF(AB267&lt;AA267,"Recebimento a conferir",IF(AM267=1,"Quantidade a revisar",IF(AF267&gt;0,"Vínculo a revisar",IF(AD267=0,"Aguardando CDF",IF(AN267=0,"Vínculo de CDF parcial",IF(AE267&lt;AD267,"CDF a conferir","Documentação conferida"))))))))))))))))))</f>
        <v/>
      </c>
      <c r="Q267" s="93" t="str">
        <f>IF(OR(R267=0,AA267=0),"",MAX(0,N(L267)-N(M267)))</f>
        <v/>
      </c>
      <c r="R267" s="96">
        <f>IF(COUNTA(B267:C267,G267:H267,J267:K267)&gt;0,1,0)</f>
        <v>0</v>
      </c>
      <c r="S267" s="96" t="str">
        <f>IF(B267="","",TRIM(LEFT(B267,FIND(" |",B267&amp;" |")-1)))</f>
        <v/>
      </c>
      <c r="T267" s="96" t="str">
        <f>IF(S267="","",IFERROR(MATCH(S267,'MTRs'!$A$6:$A$505,0),""))</f>
        <v/>
      </c>
      <c r="U267" s="96">
        <f>IF(T267="",0,IF(INDEX('MTRs'!$Z$6:$Z$505,T267)=1,1,0))</f>
        <v>0</v>
      </c>
      <c r="V267" s="96">
        <f>IF(C267="",0,IF(ISNUMBER(MATCH(C267,'CAD_RESÍDUOS'!$B$6:$B$205,0)),1,0))</f>
        <v>0</v>
      </c>
      <c r="W267" s="96">
        <f>IF(AND(ISNUMBER(G267),G267&gt;0),1,0)</f>
        <v>0</v>
      </c>
      <c r="X267" s="96" t="str">
        <f>IF(H267="","",IFERROR(IF(ISNUMBER(INDEX(cfg_fac,MATCH(H267,cfg_units,0))),IF(INDEX(cfg_fac,MATCH(H267,cfg_units,0))&gt;0,INDEX(cfg_fac,MATCH(H267,cfg_units,0)),""),""),""))</f>
        <v/>
      </c>
      <c r="Y267" s="96">
        <f>IF(AND(W267=1,ISNUMBER(I267)),1,0)</f>
        <v>0</v>
      </c>
      <c r="Z267" s="96">
        <f>IF(U267=1,INDEX('MTRs'!$AA$6:$AA$505,T267),0)</f>
        <v>0</v>
      </c>
      <c r="AA267" s="96">
        <f>IF(R267=0,0,COUNTIFS('RECEBIMENTOS'!$R$6:$R$1005,A267,'RECEBIMENTOS'!$Q$6:$Q$1005,1))</f>
        <v>0</v>
      </c>
      <c r="AB267" s="96">
        <f>IF(R267=0,0,COUNTIFS('RECEBIMENTOS'!$R$6:$R$1005,A267,'RECEBIMENTOS'!$Z$6:$Z$1005,1))</f>
        <v>0</v>
      </c>
      <c r="AC267" s="96">
        <f>IF(R267=0,0,COUNTIFS('RECEBIMENTOS'!$R$6:$R$1005,A267,'RECEBIMENTOS'!$Y$6:$Y$1005,1))</f>
        <v>0</v>
      </c>
      <c r="AD267" s="96">
        <f>IF(R267=0,0,COUNTIFS('VÍNCULOS_CDF'!$R$6:$R$1005,A267,'VÍNCULOS_CDF'!$N$6:$N$1005,1))</f>
        <v>0</v>
      </c>
      <c r="AE267" s="96">
        <f>IF(R267=0,0,COUNTIFS('VÍNCULOS_CDF'!$R$6:$R$1005,A267,'VÍNCULOS_CDF'!$AA$6:$AA$1005,1))</f>
        <v>0</v>
      </c>
      <c r="AF267" s="96">
        <f>IF(R267=0,0,COUNTIFS('VÍNCULOS_CDF'!$R$6:$R$1005,A267,'VÍNCULOS_CDF'!$Y$6:$Y$1005,1))</f>
        <v>0</v>
      </c>
      <c r="AG267" s="96" t="str">
        <f>IF(AND(R267=1,S267&lt;&gt;"",C267&lt;&gt;""),S267&amp;"|"&amp;C267&amp;"|"&amp;G267&amp;"|"&amp;H267,"")</f>
        <v/>
      </c>
      <c r="AH267" s="96">
        <f>IF(AG267="",0,IF(SUMPRODUCT(--($AG$6:$AG$1005=AG267))&gt;1,1,0))</f>
        <v>0</v>
      </c>
      <c r="AI267" s="96">
        <f>IF(R267=0,0,IF(OR(U267=0,V267=0,Y267=0,AND(AH267=1,K267&lt;&gt;"Sim")),1,0))</f>
        <v>0</v>
      </c>
      <c r="AJ267" s="96">
        <f>IF(AND(R267=1,AA267&gt;0,AB267=AA267),1,0)</f>
        <v>0</v>
      </c>
      <c r="AK267" s="96">
        <f>IF(R267=0,0,IF(AA267&gt;0,N(L267),IF(ISNUMBER(I267),I267,0)))</f>
        <v>0</v>
      </c>
      <c r="AL267" s="96">
        <f>IF(R267=0,0,IF(AND(K267&lt;&gt;"Sim",N(M267)&gt;AK267+cfg_tol),1,0))</f>
        <v>0</v>
      </c>
      <c r="AM267" s="96">
        <f>IF(R267=0,0,IF(K267="Sim",0,IF(OR(AND(AA267&gt;0,ISNUMBER(I267),ABS(I267-N(L267))&gt;cfg_tol),AL267=1),1,0)))</f>
        <v>0</v>
      </c>
      <c r="AN267" s="96">
        <f>IF(AND(R267=1,N(M267)&gt;0,OR(N(M267)&gt;=AK267-cfg_tol,K267="Sim")),1,0)</f>
        <v>0</v>
      </c>
      <c r="AO267" s="96">
        <f>IF(AND(AN267=1,AD267&gt;0,AE267=AD267,AL267=0),1,0)</f>
        <v>0</v>
      </c>
      <c r="AP267" s="96">
        <f>IF(U267=0,0,IF(AND(INDEX('MTRs'!$AX$6:$AX$505,T267)=1,Z267=0,OR(f_res="",f_res="(Todos)",C267=f_res)),1,0))</f>
        <v>0</v>
      </c>
      <c r="AQ267" s="97" t="str">
        <f>IF(U267=0,"",INDEX('MTRs'!$AZ$6:$AZ$505,T267))</f>
        <v/>
      </c>
      <c r="AR267" s="96">
        <f>IF(U267=0,0,IF(AND(INDEX('MTRs'!$BA$6:$BA$505,T267)=1,Z267=0),1,0))</f>
        <v>0</v>
      </c>
      <c r="AS267" s="96" t="str">
        <f>IF(R267=1,A267&amp;" | MTR "&amp;IF(U267=1,INDEX('MTRs'!$B$6:$B$505,T267)&amp;"","?")&amp;" | "&amp;IF(C267="","(sem resíduo)",C267),"")</f>
        <v/>
      </c>
      <c r="AT267" s="96" t="str">
        <f>IF(R267=1,COUNTIF($R$6:R267,1),"")</f>
        <v/>
      </c>
      <c r="AU267" s="96" t="str">
        <f>IF(U267=1,INDEX('MTRs'!$I$6:$I$505,T267)&amp;"","")</f>
        <v/>
      </c>
    </row>
    <row r="268">
      <c r="A268" s="89" t="inlineStr">
        <is>
          <t>IT-000263</t>
        </is>
      </c>
      <c r="B268" s="91" t="n"/>
      <c r="C268" s="91" t="n"/>
      <c r="D268" s="94" t="str">
        <f>IF(OR(R268=0,V268=0),"",INDEX('CAD_RESÍDUOS'!$E$6:$E$205,MATCH(C268,'CAD_RESÍDUOS'!$B$6:$B$205,0))&amp;"")</f>
        <v/>
      </c>
      <c r="E268" s="94" t="str">
        <f>IF(OR(R268=0,V268=0),"",INDEX('CAD_RESÍDUOS'!$C$6:$C$205,MATCH(C268,'CAD_RESÍDUOS'!$B$6:$B$205,0))&amp;"")</f>
        <v/>
      </c>
      <c r="F268" s="94" t="str">
        <f>IF(OR(R268=0,V268=0),"",INDEX('CAD_RESÍDUOS'!$G$6:$G$205,MATCH(C268,'CAD_RESÍDUOS'!$B$6:$B$205,0))&amp;"")</f>
        <v/>
      </c>
      <c r="G268" s="98" t="n"/>
      <c r="H268" s="91" t="n"/>
      <c r="I268" s="93" t="str">
        <f>IF(R268=0,"",IF(NOT(ISNUMBER(G268)),"",IF(ISNUMBER(X268),G268*X268,"UNIDADE A CONFERIR")))</f>
        <v/>
      </c>
      <c r="J268" s="91" t="n"/>
      <c r="K268" s="91" t="n"/>
      <c r="L268" s="93" t="str">
        <f>IF(R268=0,"",SUMIFS('RECEBIMENTOS'!$H$6:$H$1005,'RECEBIMENTOS'!$R$6:$R$1005,A268,'RECEBIMENTOS'!$X$6:$X$1005,1))</f>
        <v/>
      </c>
      <c r="M268" s="93" t="str">
        <f>IF(R268=0,"",SUMIFS('VÍNCULOS_CDF'!$H$6:$H$1005,'VÍNCULOS_CDF'!$R$6:$R$1005,A268,'VÍNCULOS_CDF'!$V$6:$V$1005,1))</f>
        <v/>
      </c>
      <c r="N268" s="99" t="str">
        <f>IF(OR(R268=0,AA268=0,NOT(ISNUMBER(I268))),"",I268-N(L268))</f>
        <v/>
      </c>
      <c r="O268" s="100" t="str">
        <f>IF(OR(R268=0,AK268&lt;=0),"",N(M268)/AK268)</f>
        <v/>
      </c>
      <c r="P268" s="94" t="str">
        <f>IF(R268=0,"",IF(S268="","Sem MTR associado",IF(U268=0,"MTR inexistente",IF(C268="","Resíduo não identificado",IF(V268=0,"Resíduo fora do cadastro",IF(W268=0,"Quantidade inválida",IF(H268="","Unidade não informada",IF(NOT(ISNUMBER(I268)),"Unidade a conferir",IF(AND(AH268=1,K268&lt;&gt;"Sim"),"Possível duplicidade",IF(Z268=1,"MTR cancelado",IF(AC268&gt;0,"Recebimento com alerta",IF(AA268=0,"Aguardando recebimento",IF(AB268&lt;AA268,"Recebimento a conferir",IF(AM268=1,"Quantidade a revisar",IF(AF268&gt;0,"Vínculo a revisar",IF(AD268=0,"Aguardando CDF",IF(AN268=0,"Vínculo de CDF parcial",IF(AE268&lt;AD268,"CDF a conferir","Documentação conferida"))))))))))))))))))</f>
        <v/>
      </c>
      <c r="Q268" s="93" t="str">
        <f>IF(OR(R268=0,AA268=0),"",MAX(0,N(L268)-N(M268)))</f>
        <v/>
      </c>
      <c r="R268" s="96">
        <f>IF(COUNTA(B268:C268,G268:H268,J268:K268)&gt;0,1,0)</f>
        <v>0</v>
      </c>
      <c r="S268" s="96" t="str">
        <f>IF(B268="","",TRIM(LEFT(B268,FIND(" |",B268&amp;" |")-1)))</f>
        <v/>
      </c>
      <c r="T268" s="96" t="str">
        <f>IF(S268="","",IFERROR(MATCH(S268,'MTRs'!$A$6:$A$505,0),""))</f>
        <v/>
      </c>
      <c r="U268" s="96">
        <f>IF(T268="",0,IF(INDEX('MTRs'!$Z$6:$Z$505,T268)=1,1,0))</f>
        <v>0</v>
      </c>
      <c r="V268" s="96">
        <f>IF(C268="",0,IF(ISNUMBER(MATCH(C268,'CAD_RESÍDUOS'!$B$6:$B$205,0)),1,0))</f>
        <v>0</v>
      </c>
      <c r="W268" s="96">
        <f>IF(AND(ISNUMBER(G268),G268&gt;0),1,0)</f>
        <v>0</v>
      </c>
      <c r="X268" s="96" t="str">
        <f>IF(H268="","",IFERROR(IF(ISNUMBER(INDEX(cfg_fac,MATCH(H268,cfg_units,0))),IF(INDEX(cfg_fac,MATCH(H268,cfg_units,0))&gt;0,INDEX(cfg_fac,MATCH(H268,cfg_units,0)),""),""),""))</f>
        <v/>
      </c>
      <c r="Y268" s="96">
        <f>IF(AND(W268=1,ISNUMBER(I268)),1,0)</f>
        <v>0</v>
      </c>
      <c r="Z268" s="96">
        <f>IF(U268=1,INDEX('MTRs'!$AA$6:$AA$505,T268),0)</f>
        <v>0</v>
      </c>
      <c r="AA268" s="96">
        <f>IF(R268=0,0,COUNTIFS('RECEBIMENTOS'!$R$6:$R$1005,A268,'RECEBIMENTOS'!$Q$6:$Q$1005,1))</f>
        <v>0</v>
      </c>
      <c r="AB268" s="96">
        <f>IF(R268=0,0,COUNTIFS('RECEBIMENTOS'!$R$6:$R$1005,A268,'RECEBIMENTOS'!$Z$6:$Z$1005,1))</f>
        <v>0</v>
      </c>
      <c r="AC268" s="96">
        <f>IF(R268=0,0,COUNTIFS('RECEBIMENTOS'!$R$6:$R$1005,A268,'RECEBIMENTOS'!$Y$6:$Y$1005,1))</f>
        <v>0</v>
      </c>
      <c r="AD268" s="96">
        <f>IF(R268=0,0,COUNTIFS('VÍNCULOS_CDF'!$R$6:$R$1005,A268,'VÍNCULOS_CDF'!$N$6:$N$1005,1))</f>
        <v>0</v>
      </c>
      <c r="AE268" s="96">
        <f>IF(R268=0,0,COUNTIFS('VÍNCULOS_CDF'!$R$6:$R$1005,A268,'VÍNCULOS_CDF'!$AA$6:$AA$1005,1))</f>
        <v>0</v>
      </c>
      <c r="AF268" s="96">
        <f>IF(R268=0,0,COUNTIFS('VÍNCULOS_CDF'!$R$6:$R$1005,A268,'VÍNCULOS_CDF'!$Y$6:$Y$1005,1))</f>
        <v>0</v>
      </c>
      <c r="AG268" s="96" t="str">
        <f>IF(AND(R268=1,S268&lt;&gt;"",C268&lt;&gt;""),S268&amp;"|"&amp;C268&amp;"|"&amp;G268&amp;"|"&amp;H268,"")</f>
        <v/>
      </c>
      <c r="AH268" s="96">
        <f>IF(AG268="",0,IF(SUMPRODUCT(--($AG$6:$AG$1005=AG268))&gt;1,1,0))</f>
        <v>0</v>
      </c>
      <c r="AI268" s="96">
        <f>IF(R268=0,0,IF(OR(U268=0,V268=0,Y268=0,AND(AH268=1,K268&lt;&gt;"Sim")),1,0))</f>
        <v>0</v>
      </c>
      <c r="AJ268" s="96">
        <f>IF(AND(R268=1,AA268&gt;0,AB268=AA268),1,0)</f>
        <v>0</v>
      </c>
      <c r="AK268" s="96">
        <f>IF(R268=0,0,IF(AA268&gt;0,N(L268),IF(ISNUMBER(I268),I268,0)))</f>
        <v>0</v>
      </c>
      <c r="AL268" s="96">
        <f>IF(R268=0,0,IF(AND(K268&lt;&gt;"Sim",N(M268)&gt;AK268+cfg_tol),1,0))</f>
        <v>0</v>
      </c>
      <c r="AM268" s="96">
        <f>IF(R268=0,0,IF(K268="Sim",0,IF(OR(AND(AA268&gt;0,ISNUMBER(I268),ABS(I268-N(L268))&gt;cfg_tol),AL268=1),1,0)))</f>
        <v>0</v>
      </c>
      <c r="AN268" s="96">
        <f>IF(AND(R268=1,N(M268)&gt;0,OR(N(M268)&gt;=AK268-cfg_tol,K268="Sim")),1,0)</f>
        <v>0</v>
      </c>
      <c r="AO268" s="96">
        <f>IF(AND(AN268=1,AD268&gt;0,AE268=AD268,AL268=0),1,0)</f>
        <v>0</v>
      </c>
      <c r="AP268" s="96">
        <f>IF(U268=0,0,IF(AND(INDEX('MTRs'!$AX$6:$AX$505,T268)=1,Z268=0,OR(f_res="",f_res="(Todos)",C268=f_res)),1,0))</f>
        <v>0</v>
      </c>
      <c r="AQ268" s="97" t="str">
        <f>IF(U268=0,"",INDEX('MTRs'!$AZ$6:$AZ$505,T268))</f>
        <v/>
      </c>
      <c r="AR268" s="96">
        <f>IF(U268=0,0,IF(AND(INDEX('MTRs'!$BA$6:$BA$505,T268)=1,Z268=0),1,0))</f>
        <v>0</v>
      </c>
      <c r="AS268" s="96" t="str">
        <f>IF(R268=1,A268&amp;" | MTR "&amp;IF(U268=1,INDEX('MTRs'!$B$6:$B$505,T268)&amp;"","?")&amp;" | "&amp;IF(C268="","(sem resíduo)",C268),"")</f>
        <v/>
      </c>
      <c r="AT268" s="96" t="str">
        <f>IF(R268=1,COUNTIF($R$6:R268,1),"")</f>
        <v/>
      </c>
      <c r="AU268" s="96" t="str">
        <f>IF(U268=1,INDEX('MTRs'!$I$6:$I$505,T268)&amp;"","")</f>
        <v/>
      </c>
    </row>
    <row r="269">
      <c r="A269" s="89" t="inlineStr">
        <is>
          <t>IT-000264</t>
        </is>
      </c>
      <c r="B269" s="91" t="n"/>
      <c r="C269" s="91" t="n"/>
      <c r="D269" s="94" t="str">
        <f>IF(OR(R269=0,V269=0),"",INDEX('CAD_RESÍDUOS'!$E$6:$E$205,MATCH(C269,'CAD_RESÍDUOS'!$B$6:$B$205,0))&amp;"")</f>
        <v/>
      </c>
      <c r="E269" s="94" t="str">
        <f>IF(OR(R269=0,V269=0),"",INDEX('CAD_RESÍDUOS'!$C$6:$C$205,MATCH(C269,'CAD_RESÍDUOS'!$B$6:$B$205,0))&amp;"")</f>
        <v/>
      </c>
      <c r="F269" s="94" t="str">
        <f>IF(OR(R269=0,V269=0),"",INDEX('CAD_RESÍDUOS'!$G$6:$G$205,MATCH(C269,'CAD_RESÍDUOS'!$B$6:$B$205,0))&amp;"")</f>
        <v/>
      </c>
      <c r="G269" s="98" t="n"/>
      <c r="H269" s="91" t="n"/>
      <c r="I269" s="93" t="str">
        <f>IF(R269=0,"",IF(NOT(ISNUMBER(G269)),"",IF(ISNUMBER(X269),G269*X269,"UNIDADE A CONFERIR")))</f>
        <v/>
      </c>
      <c r="J269" s="91" t="n"/>
      <c r="K269" s="91" t="n"/>
      <c r="L269" s="93" t="str">
        <f>IF(R269=0,"",SUMIFS('RECEBIMENTOS'!$H$6:$H$1005,'RECEBIMENTOS'!$R$6:$R$1005,A269,'RECEBIMENTOS'!$X$6:$X$1005,1))</f>
        <v/>
      </c>
      <c r="M269" s="93" t="str">
        <f>IF(R269=0,"",SUMIFS('VÍNCULOS_CDF'!$H$6:$H$1005,'VÍNCULOS_CDF'!$R$6:$R$1005,A269,'VÍNCULOS_CDF'!$V$6:$V$1005,1))</f>
        <v/>
      </c>
      <c r="N269" s="99" t="str">
        <f>IF(OR(R269=0,AA269=0,NOT(ISNUMBER(I269))),"",I269-N(L269))</f>
        <v/>
      </c>
      <c r="O269" s="100" t="str">
        <f>IF(OR(R269=0,AK269&lt;=0),"",N(M269)/AK269)</f>
        <v/>
      </c>
      <c r="P269" s="94" t="str">
        <f>IF(R269=0,"",IF(S269="","Sem MTR associado",IF(U269=0,"MTR inexistente",IF(C269="","Resíduo não identificado",IF(V269=0,"Resíduo fora do cadastro",IF(W269=0,"Quantidade inválida",IF(H269="","Unidade não informada",IF(NOT(ISNUMBER(I269)),"Unidade a conferir",IF(AND(AH269=1,K269&lt;&gt;"Sim"),"Possível duplicidade",IF(Z269=1,"MTR cancelado",IF(AC269&gt;0,"Recebimento com alerta",IF(AA269=0,"Aguardando recebimento",IF(AB269&lt;AA269,"Recebimento a conferir",IF(AM269=1,"Quantidade a revisar",IF(AF269&gt;0,"Vínculo a revisar",IF(AD269=0,"Aguardando CDF",IF(AN269=0,"Vínculo de CDF parcial",IF(AE269&lt;AD269,"CDF a conferir","Documentação conferida"))))))))))))))))))</f>
        <v/>
      </c>
      <c r="Q269" s="93" t="str">
        <f>IF(OR(R269=0,AA269=0),"",MAX(0,N(L269)-N(M269)))</f>
        <v/>
      </c>
      <c r="R269" s="96">
        <f>IF(COUNTA(B269:C269,G269:H269,J269:K269)&gt;0,1,0)</f>
        <v>0</v>
      </c>
      <c r="S269" s="96" t="str">
        <f>IF(B269="","",TRIM(LEFT(B269,FIND(" |",B269&amp;" |")-1)))</f>
        <v/>
      </c>
      <c r="T269" s="96" t="str">
        <f>IF(S269="","",IFERROR(MATCH(S269,'MTRs'!$A$6:$A$505,0),""))</f>
        <v/>
      </c>
      <c r="U269" s="96">
        <f>IF(T269="",0,IF(INDEX('MTRs'!$Z$6:$Z$505,T269)=1,1,0))</f>
        <v>0</v>
      </c>
      <c r="V269" s="96">
        <f>IF(C269="",0,IF(ISNUMBER(MATCH(C269,'CAD_RESÍDUOS'!$B$6:$B$205,0)),1,0))</f>
        <v>0</v>
      </c>
      <c r="W269" s="96">
        <f>IF(AND(ISNUMBER(G269),G269&gt;0),1,0)</f>
        <v>0</v>
      </c>
      <c r="X269" s="96" t="str">
        <f>IF(H269="","",IFERROR(IF(ISNUMBER(INDEX(cfg_fac,MATCH(H269,cfg_units,0))),IF(INDEX(cfg_fac,MATCH(H269,cfg_units,0))&gt;0,INDEX(cfg_fac,MATCH(H269,cfg_units,0)),""),""),""))</f>
        <v/>
      </c>
      <c r="Y269" s="96">
        <f>IF(AND(W269=1,ISNUMBER(I269)),1,0)</f>
        <v>0</v>
      </c>
      <c r="Z269" s="96">
        <f>IF(U269=1,INDEX('MTRs'!$AA$6:$AA$505,T269),0)</f>
        <v>0</v>
      </c>
      <c r="AA269" s="96">
        <f>IF(R269=0,0,COUNTIFS('RECEBIMENTOS'!$R$6:$R$1005,A269,'RECEBIMENTOS'!$Q$6:$Q$1005,1))</f>
        <v>0</v>
      </c>
      <c r="AB269" s="96">
        <f>IF(R269=0,0,COUNTIFS('RECEBIMENTOS'!$R$6:$R$1005,A269,'RECEBIMENTOS'!$Z$6:$Z$1005,1))</f>
        <v>0</v>
      </c>
      <c r="AC269" s="96">
        <f>IF(R269=0,0,COUNTIFS('RECEBIMENTOS'!$R$6:$R$1005,A269,'RECEBIMENTOS'!$Y$6:$Y$1005,1))</f>
        <v>0</v>
      </c>
      <c r="AD269" s="96">
        <f>IF(R269=0,0,COUNTIFS('VÍNCULOS_CDF'!$R$6:$R$1005,A269,'VÍNCULOS_CDF'!$N$6:$N$1005,1))</f>
        <v>0</v>
      </c>
      <c r="AE269" s="96">
        <f>IF(R269=0,0,COUNTIFS('VÍNCULOS_CDF'!$R$6:$R$1005,A269,'VÍNCULOS_CDF'!$AA$6:$AA$1005,1))</f>
        <v>0</v>
      </c>
      <c r="AF269" s="96">
        <f>IF(R269=0,0,COUNTIFS('VÍNCULOS_CDF'!$R$6:$R$1005,A269,'VÍNCULOS_CDF'!$Y$6:$Y$1005,1))</f>
        <v>0</v>
      </c>
      <c r="AG269" s="96" t="str">
        <f>IF(AND(R269=1,S269&lt;&gt;"",C269&lt;&gt;""),S269&amp;"|"&amp;C269&amp;"|"&amp;G269&amp;"|"&amp;H269,"")</f>
        <v/>
      </c>
      <c r="AH269" s="96">
        <f>IF(AG269="",0,IF(SUMPRODUCT(--($AG$6:$AG$1005=AG269))&gt;1,1,0))</f>
        <v>0</v>
      </c>
      <c r="AI269" s="96">
        <f>IF(R269=0,0,IF(OR(U269=0,V269=0,Y269=0,AND(AH269=1,K269&lt;&gt;"Sim")),1,0))</f>
        <v>0</v>
      </c>
      <c r="AJ269" s="96">
        <f>IF(AND(R269=1,AA269&gt;0,AB269=AA269),1,0)</f>
        <v>0</v>
      </c>
      <c r="AK269" s="96">
        <f>IF(R269=0,0,IF(AA269&gt;0,N(L269),IF(ISNUMBER(I269),I269,0)))</f>
        <v>0</v>
      </c>
      <c r="AL269" s="96">
        <f>IF(R269=0,0,IF(AND(K269&lt;&gt;"Sim",N(M269)&gt;AK269+cfg_tol),1,0))</f>
        <v>0</v>
      </c>
      <c r="AM269" s="96">
        <f>IF(R269=0,0,IF(K269="Sim",0,IF(OR(AND(AA269&gt;0,ISNUMBER(I269),ABS(I269-N(L269))&gt;cfg_tol),AL269=1),1,0)))</f>
        <v>0</v>
      </c>
      <c r="AN269" s="96">
        <f>IF(AND(R269=1,N(M269)&gt;0,OR(N(M269)&gt;=AK269-cfg_tol,K269="Sim")),1,0)</f>
        <v>0</v>
      </c>
      <c r="AO269" s="96">
        <f>IF(AND(AN269=1,AD269&gt;0,AE269=AD269,AL269=0),1,0)</f>
        <v>0</v>
      </c>
      <c r="AP269" s="96">
        <f>IF(U269=0,0,IF(AND(INDEX('MTRs'!$AX$6:$AX$505,T269)=1,Z269=0,OR(f_res="",f_res="(Todos)",C269=f_res)),1,0))</f>
        <v>0</v>
      </c>
      <c r="AQ269" s="97" t="str">
        <f>IF(U269=0,"",INDEX('MTRs'!$AZ$6:$AZ$505,T269))</f>
        <v/>
      </c>
      <c r="AR269" s="96">
        <f>IF(U269=0,0,IF(AND(INDEX('MTRs'!$BA$6:$BA$505,T269)=1,Z269=0),1,0))</f>
        <v>0</v>
      </c>
      <c r="AS269" s="96" t="str">
        <f>IF(R269=1,A269&amp;" | MTR "&amp;IF(U269=1,INDEX('MTRs'!$B$6:$B$505,T269)&amp;"","?")&amp;" | "&amp;IF(C269="","(sem resíduo)",C269),"")</f>
        <v/>
      </c>
      <c r="AT269" s="96" t="str">
        <f>IF(R269=1,COUNTIF($R$6:R269,1),"")</f>
        <v/>
      </c>
      <c r="AU269" s="96" t="str">
        <f>IF(U269=1,INDEX('MTRs'!$I$6:$I$505,T269)&amp;"","")</f>
        <v/>
      </c>
    </row>
    <row r="270">
      <c r="A270" s="89" t="inlineStr">
        <is>
          <t>IT-000265</t>
        </is>
      </c>
      <c r="B270" s="91" t="n"/>
      <c r="C270" s="91" t="n"/>
      <c r="D270" s="94" t="str">
        <f>IF(OR(R270=0,V270=0),"",INDEX('CAD_RESÍDUOS'!$E$6:$E$205,MATCH(C270,'CAD_RESÍDUOS'!$B$6:$B$205,0))&amp;"")</f>
        <v/>
      </c>
      <c r="E270" s="94" t="str">
        <f>IF(OR(R270=0,V270=0),"",INDEX('CAD_RESÍDUOS'!$C$6:$C$205,MATCH(C270,'CAD_RESÍDUOS'!$B$6:$B$205,0))&amp;"")</f>
        <v/>
      </c>
      <c r="F270" s="94" t="str">
        <f>IF(OR(R270=0,V270=0),"",INDEX('CAD_RESÍDUOS'!$G$6:$G$205,MATCH(C270,'CAD_RESÍDUOS'!$B$6:$B$205,0))&amp;"")</f>
        <v/>
      </c>
      <c r="G270" s="98" t="n"/>
      <c r="H270" s="91" t="n"/>
      <c r="I270" s="93" t="str">
        <f>IF(R270=0,"",IF(NOT(ISNUMBER(G270)),"",IF(ISNUMBER(X270),G270*X270,"UNIDADE A CONFERIR")))</f>
        <v/>
      </c>
      <c r="J270" s="91" t="n"/>
      <c r="K270" s="91" t="n"/>
      <c r="L270" s="93" t="str">
        <f>IF(R270=0,"",SUMIFS('RECEBIMENTOS'!$H$6:$H$1005,'RECEBIMENTOS'!$R$6:$R$1005,A270,'RECEBIMENTOS'!$X$6:$X$1005,1))</f>
        <v/>
      </c>
      <c r="M270" s="93" t="str">
        <f>IF(R270=0,"",SUMIFS('VÍNCULOS_CDF'!$H$6:$H$1005,'VÍNCULOS_CDF'!$R$6:$R$1005,A270,'VÍNCULOS_CDF'!$V$6:$V$1005,1))</f>
        <v/>
      </c>
      <c r="N270" s="99" t="str">
        <f>IF(OR(R270=0,AA270=0,NOT(ISNUMBER(I270))),"",I270-N(L270))</f>
        <v/>
      </c>
      <c r="O270" s="100" t="str">
        <f>IF(OR(R270=0,AK270&lt;=0),"",N(M270)/AK270)</f>
        <v/>
      </c>
      <c r="P270" s="94" t="str">
        <f>IF(R270=0,"",IF(S270="","Sem MTR associado",IF(U270=0,"MTR inexistente",IF(C270="","Resíduo não identificado",IF(V270=0,"Resíduo fora do cadastro",IF(W270=0,"Quantidade inválida",IF(H270="","Unidade não informada",IF(NOT(ISNUMBER(I270)),"Unidade a conferir",IF(AND(AH270=1,K270&lt;&gt;"Sim"),"Possível duplicidade",IF(Z270=1,"MTR cancelado",IF(AC270&gt;0,"Recebimento com alerta",IF(AA270=0,"Aguardando recebimento",IF(AB270&lt;AA270,"Recebimento a conferir",IF(AM270=1,"Quantidade a revisar",IF(AF270&gt;0,"Vínculo a revisar",IF(AD270=0,"Aguardando CDF",IF(AN270=0,"Vínculo de CDF parcial",IF(AE270&lt;AD270,"CDF a conferir","Documentação conferida"))))))))))))))))))</f>
        <v/>
      </c>
      <c r="Q270" s="93" t="str">
        <f>IF(OR(R270=0,AA270=0),"",MAX(0,N(L270)-N(M270)))</f>
        <v/>
      </c>
      <c r="R270" s="96">
        <f>IF(COUNTA(B270:C270,G270:H270,J270:K270)&gt;0,1,0)</f>
        <v>0</v>
      </c>
      <c r="S270" s="96" t="str">
        <f>IF(B270="","",TRIM(LEFT(B270,FIND(" |",B270&amp;" |")-1)))</f>
        <v/>
      </c>
      <c r="T270" s="96" t="str">
        <f>IF(S270="","",IFERROR(MATCH(S270,'MTRs'!$A$6:$A$505,0),""))</f>
        <v/>
      </c>
      <c r="U270" s="96">
        <f>IF(T270="",0,IF(INDEX('MTRs'!$Z$6:$Z$505,T270)=1,1,0))</f>
        <v>0</v>
      </c>
      <c r="V270" s="96">
        <f>IF(C270="",0,IF(ISNUMBER(MATCH(C270,'CAD_RESÍDUOS'!$B$6:$B$205,0)),1,0))</f>
        <v>0</v>
      </c>
      <c r="W270" s="96">
        <f>IF(AND(ISNUMBER(G270),G270&gt;0),1,0)</f>
        <v>0</v>
      </c>
      <c r="X270" s="96" t="str">
        <f>IF(H270="","",IFERROR(IF(ISNUMBER(INDEX(cfg_fac,MATCH(H270,cfg_units,0))),IF(INDEX(cfg_fac,MATCH(H270,cfg_units,0))&gt;0,INDEX(cfg_fac,MATCH(H270,cfg_units,0)),""),""),""))</f>
        <v/>
      </c>
      <c r="Y270" s="96">
        <f>IF(AND(W270=1,ISNUMBER(I270)),1,0)</f>
        <v>0</v>
      </c>
      <c r="Z270" s="96">
        <f>IF(U270=1,INDEX('MTRs'!$AA$6:$AA$505,T270),0)</f>
        <v>0</v>
      </c>
      <c r="AA270" s="96">
        <f>IF(R270=0,0,COUNTIFS('RECEBIMENTOS'!$R$6:$R$1005,A270,'RECEBIMENTOS'!$Q$6:$Q$1005,1))</f>
        <v>0</v>
      </c>
      <c r="AB270" s="96">
        <f>IF(R270=0,0,COUNTIFS('RECEBIMENTOS'!$R$6:$R$1005,A270,'RECEBIMENTOS'!$Z$6:$Z$1005,1))</f>
        <v>0</v>
      </c>
      <c r="AC270" s="96">
        <f>IF(R270=0,0,COUNTIFS('RECEBIMENTOS'!$R$6:$R$1005,A270,'RECEBIMENTOS'!$Y$6:$Y$1005,1))</f>
        <v>0</v>
      </c>
      <c r="AD270" s="96">
        <f>IF(R270=0,0,COUNTIFS('VÍNCULOS_CDF'!$R$6:$R$1005,A270,'VÍNCULOS_CDF'!$N$6:$N$1005,1))</f>
        <v>0</v>
      </c>
      <c r="AE270" s="96">
        <f>IF(R270=0,0,COUNTIFS('VÍNCULOS_CDF'!$R$6:$R$1005,A270,'VÍNCULOS_CDF'!$AA$6:$AA$1005,1))</f>
        <v>0</v>
      </c>
      <c r="AF270" s="96">
        <f>IF(R270=0,0,COUNTIFS('VÍNCULOS_CDF'!$R$6:$R$1005,A270,'VÍNCULOS_CDF'!$Y$6:$Y$1005,1))</f>
        <v>0</v>
      </c>
      <c r="AG270" s="96" t="str">
        <f>IF(AND(R270=1,S270&lt;&gt;"",C270&lt;&gt;""),S270&amp;"|"&amp;C270&amp;"|"&amp;G270&amp;"|"&amp;H270,"")</f>
        <v/>
      </c>
      <c r="AH270" s="96">
        <f>IF(AG270="",0,IF(SUMPRODUCT(--($AG$6:$AG$1005=AG270))&gt;1,1,0))</f>
        <v>0</v>
      </c>
      <c r="AI270" s="96">
        <f>IF(R270=0,0,IF(OR(U270=0,V270=0,Y270=0,AND(AH270=1,K270&lt;&gt;"Sim")),1,0))</f>
        <v>0</v>
      </c>
      <c r="AJ270" s="96">
        <f>IF(AND(R270=1,AA270&gt;0,AB270=AA270),1,0)</f>
        <v>0</v>
      </c>
      <c r="AK270" s="96">
        <f>IF(R270=0,0,IF(AA270&gt;0,N(L270),IF(ISNUMBER(I270),I270,0)))</f>
        <v>0</v>
      </c>
      <c r="AL270" s="96">
        <f>IF(R270=0,0,IF(AND(K270&lt;&gt;"Sim",N(M270)&gt;AK270+cfg_tol),1,0))</f>
        <v>0</v>
      </c>
      <c r="AM270" s="96">
        <f>IF(R270=0,0,IF(K270="Sim",0,IF(OR(AND(AA270&gt;0,ISNUMBER(I270),ABS(I270-N(L270))&gt;cfg_tol),AL270=1),1,0)))</f>
        <v>0</v>
      </c>
      <c r="AN270" s="96">
        <f>IF(AND(R270=1,N(M270)&gt;0,OR(N(M270)&gt;=AK270-cfg_tol,K270="Sim")),1,0)</f>
        <v>0</v>
      </c>
      <c r="AO270" s="96">
        <f>IF(AND(AN270=1,AD270&gt;0,AE270=AD270,AL270=0),1,0)</f>
        <v>0</v>
      </c>
      <c r="AP270" s="96">
        <f>IF(U270=0,0,IF(AND(INDEX('MTRs'!$AX$6:$AX$505,T270)=1,Z270=0,OR(f_res="",f_res="(Todos)",C270=f_res)),1,0))</f>
        <v>0</v>
      </c>
      <c r="AQ270" s="97" t="str">
        <f>IF(U270=0,"",INDEX('MTRs'!$AZ$6:$AZ$505,T270))</f>
        <v/>
      </c>
      <c r="AR270" s="96">
        <f>IF(U270=0,0,IF(AND(INDEX('MTRs'!$BA$6:$BA$505,T270)=1,Z270=0),1,0))</f>
        <v>0</v>
      </c>
      <c r="AS270" s="96" t="str">
        <f>IF(R270=1,A270&amp;" | MTR "&amp;IF(U270=1,INDEX('MTRs'!$B$6:$B$505,T270)&amp;"","?")&amp;" | "&amp;IF(C270="","(sem resíduo)",C270),"")</f>
        <v/>
      </c>
      <c r="AT270" s="96" t="str">
        <f>IF(R270=1,COUNTIF($R$6:R270,1),"")</f>
        <v/>
      </c>
      <c r="AU270" s="96" t="str">
        <f>IF(U270=1,INDEX('MTRs'!$I$6:$I$505,T270)&amp;"","")</f>
        <v/>
      </c>
    </row>
    <row r="271">
      <c r="A271" s="89" t="inlineStr">
        <is>
          <t>IT-000266</t>
        </is>
      </c>
      <c r="B271" s="91" t="n"/>
      <c r="C271" s="91" t="n"/>
      <c r="D271" s="94" t="str">
        <f>IF(OR(R271=0,V271=0),"",INDEX('CAD_RESÍDUOS'!$E$6:$E$205,MATCH(C271,'CAD_RESÍDUOS'!$B$6:$B$205,0))&amp;"")</f>
        <v/>
      </c>
      <c r="E271" s="94" t="str">
        <f>IF(OR(R271=0,V271=0),"",INDEX('CAD_RESÍDUOS'!$C$6:$C$205,MATCH(C271,'CAD_RESÍDUOS'!$B$6:$B$205,0))&amp;"")</f>
        <v/>
      </c>
      <c r="F271" s="94" t="str">
        <f>IF(OR(R271=0,V271=0),"",INDEX('CAD_RESÍDUOS'!$G$6:$G$205,MATCH(C271,'CAD_RESÍDUOS'!$B$6:$B$205,0))&amp;"")</f>
        <v/>
      </c>
      <c r="G271" s="98" t="n"/>
      <c r="H271" s="91" t="n"/>
      <c r="I271" s="93" t="str">
        <f>IF(R271=0,"",IF(NOT(ISNUMBER(G271)),"",IF(ISNUMBER(X271),G271*X271,"UNIDADE A CONFERIR")))</f>
        <v/>
      </c>
      <c r="J271" s="91" t="n"/>
      <c r="K271" s="91" t="n"/>
      <c r="L271" s="93" t="str">
        <f>IF(R271=0,"",SUMIFS('RECEBIMENTOS'!$H$6:$H$1005,'RECEBIMENTOS'!$R$6:$R$1005,A271,'RECEBIMENTOS'!$X$6:$X$1005,1))</f>
        <v/>
      </c>
      <c r="M271" s="93" t="str">
        <f>IF(R271=0,"",SUMIFS('VÍNCULOS_CDF'!$H$6:$H$1005,'VÍNCULOS_CDF'!$R$6:$R$1005,A271,'VÍNCULOS_CDF'!$V$6:$V$1005,1))</f>
        <v/>
      </c>
      <c r="N271" s="99" t="str">
        <f>IF(OR(R271=0,AA271=0,NOT(ISNUMBER(I271))),"",I271-N(L271))</f>
        <v/>
      </c>
      <c r="O271" s="100" t="str">
        <f>IF(OR(R271=0,AK271&lt;=0),"",N(M271)/AK271)</f>
        <v/>
      </c>
      <c r="P271" s="94" t="str">
        <f>IF(R271=0,"",IF(S271="","Sem MTR associado",IF(U271=0,"MTR inexistente",IF(C271="","Resíduo não identificado",IF(V271=0,"Resíduo fora do cadastro",IF(W271=0,"Quantidade inválida",IF(H271="","Unidade não informada",IF(NOT(ISNUMBER(I271)),"Unidade a conferir",IF(AND(AH271=1,K271&lt;&gt;"Sim"),"Possível duplicidade",IF(Z271=1,"MTR cancelado",IF(AC271&gt;0,"Recebimento com alerta",IF(AA271=0,"Aguardando recebimento",IF(AB271&lt;AA271,"Recebimento a conferir",IF(AM271=1,"Quantidade a revisar",IF(AF271&gt;0,"Vínculo a revisar",IF(AD271=0,"Aguardando CDF",IF(AN271=0,"Vínculo de CDF parcial",IF(AE271&lt;AD271,"CDF a conferir","Documentação conferida"))))))))))))))))))</f>
        <v/>
      </c>
      <c r="Q271" s="93" t="str">
        <f>IF(OR(R271=0,AA271=0),"",MAX(0,N(L271)-N(M271)))</f>
        <v/>
      </c>
      <c r="R271" s="96">
        <f>IF(COUNTA(B271:C271,G271:H271,J271:K271)&gt;0,1,0)</f>
        <v>0</v>
      </c>
      <c r="S271" s="96" t="str">
        <f>IF(B271="","",TRIM(LEFT(B271,FIND(" |",B271&amp;" |")-1)))</f>
        <v/>
      </c>
      <c r="T271" s="96" t="str">
        <f>IF(S271="","",IFERROR(MATCH(S271,'MTRs'!$A$6:$A$505,0),""))</f>
        <v/>
      </c>
      <c r="U271" s="96">
        <f>IF(T271="",0,IF(INDEX('MTRs'!$Z$6:$Z$505,T271)=1,1,0))</f>
        <v>0</v>
      </c>
      <c r="V271" s="96">
        <f>IF(C271="",0,IF(ISNUMBER(MATCH(C271,'CAD_RESÍDUOS'!$B$6:$B$205,0)),1,0))</f>
        <v>0</v>
      </c>
      <c r="W271" s="96">
        <f>IF(AND(ISNUMBER(G271),G271&gt;0),1,0)</f>
        <v>0</v>
      </c>
      <c r="X271" s="96" t="str">
        <f>IF(H271="","",IFERROR(IF(ISNUMBER(INDEX(cfg_fac,MATCH(H271,cfg_units,0))),IF(INDEX(cfg_fac,MATCH(H271,cfg_units,0))&gt;0,INDEX(cfg_fac,MATCH(H271,cfg_units,0)),""),""),""))</f>
        <v/>
      </c>
      <c r="Y271" s="96">
        <f>IF(AND(W271=1,ISNUMBER(I271)),1,0)</f>
        <v>0</v>
      </c>
      <c r="Z271" s="96">
        <f>IF(U271=1,INDEX('MTRs'!$AA$6:$AA$505,T271),0)</f>
        <v>0</v>
      </c>
      <c r="AA271" s="96">
        <f>IF(R271=0,0,COUNTIFS('RECEBIMENTOS'!$R$6:$R$1005,A271,'RECEBIMENTOS'!$Q$6:$Q$1005,1))</f>
        <v>0</v>
      </c>
      <c r="AB271" s="96">
        <f>IF(R271=0,0,COUNTIFS('RECEBIMENTOS'!$R$6:$R$1005,A271,'RECEBIMENTOS'!$Z$6:$Z$1005,1))</f>
        <v>0</v>
      </c>
      <c r="AC271" s="96">
        <f>IF(R271=0,0,COUNTIFS('RECEBIMENTOS'!$R$6:$R$1005,A271,'RECEBIMENTOS'!$Y$6:$Y$1005,1))</f>
        <v>0</v>
      </c>
      <c r="AD271" s="96">
        <f>IF(R271=0,0,COUNTIFS('VÍNCULOS_CDF'!$R$6:$R$1005,A271,'VÍNCULOS_CDF'!$N$6:$N$1005,1))</f>
        <v>0</v>
      </c>
      <c r="AE271" s="96">
        <f>IF(R271=0,0,COUNTIFS('VÍNCULOS_CDF'!$R$6:$R$1005,A271,'VÍNCULOS_CDF'!$AA$6:$AA$1005,1))</f>
        <v>0</v>
      </c>
      <c r="AF271" s="96">
        <f>IF(R271=0,0,COUNTIFS('VÍNCULOS_CDF'!$R$6:$R$1005,A271,'VÍNCULOS_CDF'!$Y$6:$Y$1005,1))</f>
        <v>0</v>
      </c>
      <c r="AG271" s="96" t="str">
        <f>IF(AND(R271=1,S271&lt;&gt;"",C271&lt;&gt;""),S271&amp;"|"&amp;C271&amp;"|"&amp;G271&amp;"|"&amp;H271,"")</f>
        <v/>
      </c>
      <c r="AH271" s="96">
        <f>IF(AG271="",0,IF(SUMPRODUCT(--($AG$6:$AG$1005=AG271))&gt;1,1,0))</f>
        <v>0</v>
      </c>
      <c r="AI271" s="96">
        <f>IF(R271=0,0,IF(OR(U271=0,V271=0,Y271=0,AND(AH271=1,K271&lt;&gt;"Sim")),1,0))</f>
        <v>0</v>
      </c>
      <c r="AJ271" s="96">
        <f>IF(AND(R271=1,AA271&gt;0,AB271=AA271),1,0)</f>
        <v>0</v>
      </c>
      <c r="AK271" s="96">
        <f>IF(R271=0,0,IF(AA271&gt;0,N(L271),IF(ISNUMBER(I271),I271,0)))</f>
        <v>0</v>
      </c>
      <c r="AL271" s="96">
        <f>IF(R271=0,0,IF(AND(K271&lt;&gt;"Sim",N(M271)&gt;AK271+cfg_tol),1,0))</f>
        <v>0</v>
      </c>
      <c r="AM271" s="96">
        <f>IF(R271=0,0,IF(K271="Sim",0,IF(OR(AND(AA271&gt;0,ISNUMBER(I271),ABS(I271-N(L271))&gt;cfg_tol),AL271=1),1,0)))</f>
        <v>0</v>
      </c>
      <c r="AN271" s="96">
        <f>IF(AND(R271=1,N(M271)&gt;0,OR(N(M271)&gt;=AK271-cfg_tol,K271="Sim")),1,0)</f>
        <v>0</v>
      </c>
      <c r="AO271" s="96">
        <f>IF(AND(AN271=1,AD271&gt;0,AE271=AD271,AL271=0),1,0)</f>
        <v>0</v>
      </c>
      <c r="AP271" s="96">
        <f>IF(U271=0,0,IF(AND(INDEX('MTRs'!$AX$6:$AX$505,T271)=1,Z271=0,OR(f_res="",f_res="(Todos)",C271=f_res)),1,0))</f>
        <v>0</v>
      </c>
      <c r="AQ271" s="97" t="str">
        <f>IF(U271=0,"",INDEX('MTRs'!$AZ$6:$AZ$505,T271))</f>
        <v/>
      </c>
      <c r="AR271" s="96">
        <f>IF(U271=0,0,IF(AND(INDEX('MTRs'!$BA$6:$BA$505,T271)=1,Z271=0),1,0))</f>
        <v>0</v>
      </c>
      <c r="AS271" s="96" t="str">
        <f>IF(R271=1,A271&amp;" | MTR "&amp;IF(U271=1,INDEX('MTRs'!$B$6:$B$505,T271)&amp;"","?")&amp;" | "&amp;IF(C271="","(sem resíduo)",C271),"")</f>
        <v/>
      </c>
      <c r="AT271" s="96" t="str">
        <f>IF(R271=1,COUNTIF($R$6:R271,1),"")</f>
        <v/>
      </c>
      <c r="AU271" s="96" t="str">
        <f>IF(U271=1,INDEX('MTRs'!$I$6:$I$505,T271)&amp;"","")</f>
        <v/>
      </c>
    </row>
    <row r="272">
      <c r="A272" s="89" t="inlineStr">
        <is>
          <t>IT-000267</t>
        </is>
      </c>
      <c r="B272" s="91" t="n"/>
      <c r="C272" s="91" t="n"/>
      <c r="D272" s="94" t="str">
        <f>IF(OR(R272=0,V272=0),"",INDEX('CAD_RESÍDUOS'!$E$6:$E$205,MATCH(C272,'CAD_RESÍDUOS'!$B$6:$B$205,0))&amp;"")</f>
        <v/>
      </c>
      <c r="E272" s="94" t="str">
        <f>IF(OR(R272=0,V272=0),"",INDEX('CAD_RESÍDUOS'!$C$6:$C$205,MATCH(C272,'CAD_RESÍDUOS'!$B$6:$B$205,0))&amp;"")</f>
        <v/>
      </c>
      <c r="F272" s="94" t="str">
        <f>IF(OR(R272=0,V272=0),"",INDEX('CAD_RESÍDUOS'!$G$6:$G$205,MATCH(C272,'CAD_RESÍDUOS'!$B$6:$B$205,0))&amp;"")</f>
        <v/>
      </c>
      <c r="G272" s="98" t="n"/>
      <c r="H272" s="91" t="n"/>
      <c r="I272" s="93" t="str">
        <f>IF(R272=0,"",IF(NOT(ISNUMBER(G272)),"",IF(ISNUMBER(X272),G272*X272,"UNIDADE A CONFERIR")))</f>
        <v/>
      </c>
      <c r="J272" s="91" t="n"/>
      <c r="K272" s="91" t="n"/>
      <c r="L272" s="93" t="str">
        <f>IF(R272=0,"",SUMIFS('RECEBIMENTOS'!$H$6:$H$1005,'RECEBIMENTOS'!$R$6:$R$1005,A272,'RECEBIMENTOS'!$X$6:$X$1005,1))</f>
        <v/>
      </c>
      <c r="M272" s="93" t="str">
        <f>IF(R272=0,"",SUMIFS('VÍNCULOS_CDF'!$H$6:$H$1005,'VÍNCULOS_CDF'!$R$6:$R$1005,A272,'VÍNCULOS_CDF'!$V$6:$V$1005,1))</f>
        <v/>
      </c>
      <c r="N272" s="99" t="str">
        <f>IF(OR(R272=0,AA272=0,NOT(ISNUMBER(I272))),"",I272-N(L272))</f>
        <v/>
      </c>
      <c r="O272" s="100" t="str">
        <f>IF(OR(R272=0,AK272&lt;=0),"",N(M272)/AK272)</f>
        <v/>
      </c>
      <c r="P272" s="94" t="str">
        <f>IF(R272=0,"",IF(S272="","Sem MTR associado",IF(U272=0,"MTR inexistente",IF(C272="","Resíduo não identificado",IF(V272=0,"Resíduo fora do cadastro",IF(W272=0,"Quantidade inválida",IF(H272="","Unidade não informada",IF(NOT(ISNUMBER(I272)),"Unidade a conferir",IF(AND(AH272=1,K272&lt;&gt;"Sim"),"Possível duplicidade",IF(Z272=1,"MTR cancelado",IF(AC272&gt;0,"Recebimento com alerta",IF(AA272=0,"Aguardando recebimento",IF(AB272&lt;AA272,"Recebimento a conferir",IF(AM272=1,"Quantidade a revisar",IF(AF272&gt;0,"Vínculo a revisar",IF(AD272=0,"Aguardando CDF",IF(AN272=0,"Vínculo de CDF parcial",IF(AE272&lt;AD272,"CDF a conferir","Documentação conferida"))))))))))))))))))</f>
        <v/>
      </c>
      <c r="Q272" s="93" t="str">
        <f>IF(OR(R272=0,AA272=0),"",MAX(0,N(L272)-N(M272)))</f>
        <v/>
      </c>
      <c r="R272" s="96">
        <f>IF(COUNTA(B272:C272,G272:H272,J272:K272)&gt;0,1,0)</f>
        <v>0</v>
      </c>
      <c r="S272" s="96" t="str">
        <f>IF(B272="","",TRIM(LEFT(B272,FIND(" |",B272&amp;" |")-1)))</f>
        <v/>
      </c>
      <c r="T272" s="96" t="str">
        <f>IF(S272="","",IFERROR(MATCH(S272,'MTRs'!$A$6:$A$505,0),""))</f>
        <v/>
      </c>
      <c r="U272" s="96">
        <f>IF(T272="",0,IF(INDEX('MTRs'!$Z$6:$Z$505,T272)=1,1,0))</f>
        <v>0</v>
      </c>
      <c r="V272" s="96">
        <f>IF(C272="",0,IF(ISNUMBER(MATCH(C272,'CAD_RESÍDUOS'!$B$6:$B$205,0)),1,0))</f>
        <v>0</v>
      </c>
      <c r="W272" s="96">
        <f>IF(AND(ISNUMBER(G272),G272&gt;0),1,0)</f>
        <v>0</v>
      </c>
      <c r="X272" s="96" t="str">
        <f>IF(H272="","",IFERROR(IF(ISNUMBER(INDEX(cfg_fac,MATCH(H272,cfg_units,0))),IF(INDEX(cfg_fac,MATCH(H272,cfg_units,0))&gt;0,INDEX(cfg_fac,MATCH(H272,cfg_units,0)),""),""),""))</f>
        <v/>
      </c>
      <c r="Y272" s="96">
        <f>IF(AND(W272=1,ISNUMBER(I272)),1,0)</f>
        <v>0</v>
      </c>
      <c r="Z272" s="96">
        <f>IF(U272=1,INDEX('MTRs'!$AA$6:$AA$505,T272),0)</f>
        <v>0</v>
      </c>
      <c r="AA272" s="96">
        <f>IF(R272=0,0,COUNTIFS('RECEBIMENTOS'!$R$6:$R$1005,A272,'RECEBIMENTOS'!$Q$6:$Q$1005,1))</f>
        <v>0</v>
      </c>
      <c r="AB272" s="96">
        <f>IF(R272=0,0,COUNTIFS('RECEBIMENTOS'!$R$6:$R$1005,A272,'RECEBIMENTOS'!$Z$6:$Z$1005,1))</f>
        <v>0</v>
      </c>
      <c r="AC272" s="96">
        <f>IF(R272=0,0,COUNTIFS('RECEBIMENTOS'!$R$6:$R$1005,A272,'RECEBIMENTOS'!$Y$6:$Y$1005,1))</f>
        <v>0</v>
      </c>
      <c r="AD272" s="96">
        <f>IF(R272=0,0,COUNTIFS('VÍNCULOS_CDF'!$R$6:$R$1005,A272,'VÍNCULOS_CDF'!$N$6:$N$1005,1))</f>
        <v>0</v>
      </c>
      <c r="AE272" s="96">
        <f>IF(R272=0,0,COUNTIFS('VÍNCULOS_CDF'!$R$6:$R$1005,A272,'VÍNCULOS_CDF'!$AA$6:$AA$1005,1))</f>
        <v>0</v>
      </c>
      <c r="AF272" s="96">
        <f>IF(R272=0,0,COUNTIFS('VÍNCULOS_CDF'!$R$6:$R$1005,A272,'VÍNCULOS_CDF'!$Y$6:$Y$1005,1))</f>
        <v>0</v>
      </c>
      <c r="AG272" s="96" t="str">
        <f>IF(AND(R272=1,S272&lt;&gt;"",C272&lt;&gt;""),S272&amp;"|"&amp;C272&amp;"|"&amp;G272&amp;"|"&amp;H272,"")</f>
        <v/>
      </c>
      <c r="AH272" s="96">
        <f>IF(AG272="",0,IF(SUMPRODUCT(--($AG$6:$AG$1005=AG272))&gt;1,1,0))</f>
        <v>0</v>
      </c>
      <c r="AI272" s="96">
        <f>IF(R272=0,0,IF(OR(U272=0,V272=0,Y272=0,AND(AH272=1,K272&lt;&gt;"Sim")),1,0))</f>
        <v>0</v>
      </c>
      <c r="AJ272" s="96">
        <f>IF(AND(R272=1,AA272&gt;0,AB272=AA272),1,0)</f>
        <v>0</v>
      </c>
      <c r="AK272" s="96">
        <f>IF(R272=0,0,IF(AA272&gt;0,N(L272),IF(ISNUMBER(I272),I272,0)))</f>
        <v>0</v>
      </c>
      <c r="AL272" s="96">
        <f>IF(R272=0,0,IF(AND(K272&lt;&gt;"Sim",N(M272)&gt;AK272+cfg_tol),1,0))</f>
        <v>0</v>
      </c>
      <c r="AM272" s="96">
        <f>IF(R272=0,0,IF(K272="Sim",0,IF(OR(AND(AA272&gt;0,ISNUMBER(I272),ABS(I272-N(L272))&gt;cfg_tol),AL272=1),1,0)))</f>
        <v>0</v>
      </c>
      <c r="AN272" s="96">
        <f>IF(AND(R272=1,N(M272)&gt;0,OR(N(M272)&gt;=AK272-cfg_tol,K272="Sim")),1,0)</f>
        <v>0</v>
      </c>
      <c r="AO272" s="96">
        <f>IF(AND(AN272=1,AD272&gt;0,AE272=AD272,AL272=0),1,0)</f>
        <v>0</v>
      </c>
      <c r="AP272" s="96">
        <f>IF(U272=0,0,IF(AND(INDEX('MTRs'!$AX$6:$AX$505,T272)=1,Z272=0,OR(f_res="",f_res="(Todos)",C272=f_res)),1,0))</f>
        <v>0</v>
      </c>
      <c r="AQ272" s="97" t="str">
        <f>IF(U272=0,"",INDEX('MTRs'!$AZ$6:$AZ$505,T272))</f>
        <v/>
      </c>
      <c r="AR272" s="96">
        <f>IF(U272=0,0,IF(AND(INDEX('MTRs'!$BA$6:$BA$505,T272)=1,Z272=0),1,0))</f>
        <v>0</v>
      </c>
      <c r="AS272" s="96" t="str">
        <f>IF(R272=1,A272&amp;" | MTR "&amp;IF(U272=1,INDEX('MTRs'!$B$6:$B$505,T272)&amp;"","?")&amp;" | "&amp;IF(C272="","(sem resíduo)",C272),"")</f>
        <v/>
      </c>
      <c r="AT272" s="96" t="str">
        <f>IF(R272=1,COUNTIF($R$6:R272,1),"")</f>
        <v/>
      </c>
      <c r="AU272" s="96" t="str">
        <f>IF(U272=1,INDEX('MTRs'!$I$6:$I$505,T272)&amp;"","")</f>
        <v/>
      </c>
    </row>
    <row r="273">
      <c r="A273" s="89" t="inlineStr">
        <is>
          <t>IT-000268</t>
        </is>
      </c>
      <c r="B273" s="91" t="n"/>
      <c r="C273" s="91" t="n"/>
      <c r="D273" s="94" t="str">
        <f>IF(OR(R273=0,V273=0),"",INDEX('CAD_RESÍDUOS'!$E$6:$E$205,MATCH(C273,'CAD_RESÍDUOS'!$B$6:$B$205,0))&amp;"")</f>
        <v/>
      </c>
      <c r="E273" s="94" t="str">
        <f>IF(OR(R273=0,V273=0),"",INDEX('CAD_RESÍDUOS'!$C$6:$C$205,MATCH(C273,'CAD_RESÍDUOS'!$B$6:$B$205,0))&amp;"")</f>
        <v/>
      </c>
      <c r="F273" s="94" t="str">
        <f>IF(OR(R273=0,V273=0),"",INDEX('CAD_RESÍDUOS'!$G$6:$G$205,MATCH(C273,'CAD_RESÍDUOS'!$B$6:$B$205,0))&amp;"")</f>
        <v/>
      </c>
      <c r="G273" s="98" t="n"/>
      <c r="H273" s="91" t="n"/>
      <c r="I273" s="93" t="str">
        <f>IF(R273=0,"",IF(NOT(ISNUMBER(G273)),"",IF(ISNUMBER(X273),G273*X273,"UNIDADE A CONFERIR")))</f>
        <v/>
      </c>
      <c r="J273" s="91" t="n"/>
      <c r="K273" s="91" t="n"/>
      <c r="L273" s="93" t="str">
        <f>IF(R273=0,"",SUMIFS('RECEBIMENTOS'!$H$6:$H$1005,'RECEBIMENTOS'!$R$6:$R$1005,A273,'RECEBIMENTOS'!$X$6:$X$1005,1))</f>
        <v/>
      </c>
      <c r="M273" s="93" t="str">
        <f>IF(R273=0,"",SUMIFS('VÍNCULOS_CDF'!$H$6:$H$1005,'VÍNCULOS_CDF'!$R$6:$R$1005,A273,'VÍNCULOS_CDF'!$V$6:$V$1005,1))</f>
        <v/>
      </c>
      <c r="N273" s="99" t="str">
        <f>IF(OR(R273=0,AA273=0,NOT(ISNUMBER(I273))),"",I273-N(L273))</f>
        <v/>
      </c>
      <c r="O273" s="100" t="str">
        <f>IF(OR(R273=0,AK273&lt;=0),"",N(M273)/AK273)</f>
        <v/>
      </c>
      <c r="P273" s="94" t="str">
        <f>IF(R273=0,"",IF(S273="","Sem MTR associado",IF(U273=0,"MTR inexistente",IF(C273="","Resíduo não identificado",IF(V273=0,"Resíduo fora do cadastro",IF(W273=0,"Quantidade inválida",IF(H273="","Unidade não informada",IF(NOT(ISNUMBER(I273)),"Unidade a conferir",IF(AND(AH273=1,K273&lt;&gt;"Sim"),"Possível duplicidade",IF(Z273=1,"MTR cancelado",IF(AC273&gt;0,"Recebimento com alerta",IF(AA273=0,"Aguardando recebimento",IF(AB273&lt;AA273,"Recebimento a conferir",IF(AM273=1,"Quantidade a revisar",IF(AF273&gt;0,"Vínculo a revisar",IF(AD273=0,"Aguardando CDF",IF(AN273=0,"Vínculo de CDF parcial",IF(AE273&lt;AD273,"CDF a conferir","Documentação conferida"))))))))))))))))))</f>
        <v/>
      </c>
      <c r="Q273" s="93" t="str">
        <f>IF(OR(R273=0,AA273=0),"",MAX(0,N(L273)-N(M273)))</f>
        <v/>
      </c>
      <c r="R273" s="96">
        <f>IF(COUNTA(B273:C273,G273:H273,J273:K273)&gt;0,1,0)</f>
        <v>0</v>
      </c>
      <c r="S273" s="96" t="str">
        <f>IF(B273="","",TRIM(LEFT(B273,FIND(" |",B273&amp;" |")-1)))</f>
        <v/>
      </c>
      <c r="T273" s="96" t="str">
        <f>IF(S273="","",IFERROR(MATCH(S273,'MTRs'!$A$6:$A$505,0),""))</f>
        <v/>
      </c>
      <c r="U273" s="96">
        <f>IF(T273="",0,IF(INDEX('MTRs'!$Z$6:$Z$505,T273)=1,1,0))</f>
        <v>0</v>
      </c>
      <c r="V273" s="96">
        <f>IF(C273="",0,IF(ISNUMBER(MATCH(C273,'CAD_RESÍDUOS'!$B$6:$B$205,0)),1,0))</f>
        <v>0</v>
      </c>
      <c r="W273" s="96">
        <f>IF(AND(ISNUMBER(G273),G273&gt;0),1,0)</f>
        <v>0</v>
      </c>
      <c r="X273" s="96" t="str">
        <f>IF(H273="","",IFERROR(IF(ISNUMBER(INDEX(cfg_fac,MATCH(H273,cfg_units,0))),IF(INDEX(cfg_fac,MATCH(H273,cfg_units,0))&gt;0,INDEX(cfg_fac,MATCH(H273,cfg_units,0)),""),""),""))</f>
        <v/>
      </c>
      <c r="Y273" s="96">
        <f>IF(AND(W273=1,ISNUMBER(I273)),1,0)</f>
        <v>0</v>
      </c>
      <c r="Z273" s="96">
        <f>IF(U273=1,INDEX('MTRs'!$AA$6:$AA$505,T273),0)</f>
        <v>0</v>
      </c>
      <c r="AA273" s="96">
        <f>IF(R273=0,0,COUNTIFS('RECEBIMENTOS'!$R$6:$R$1005,A273,'RECEBIMENTOS'!$Q$6:$Q$1005,1))</f>
        <v>0</v>
      </c>
      <c r="AB273" s="96">
        <f>IF(R273=0,0,COUNTIFS('RECEBIMENTOS'!$R$6:$R$1005,A273,'RECEBIMENTOS'!$Z$6:$Z$1005,1))</f>
        <v>0</v>
      </c>
      <c r="AC273" s="96">
        <f>IF(R273=0,0,COUNTIFS('RECEBIMENTOS'!$R$6:$R$1005,A273,'RECEBIMENTOS'!$Y$6:$Y$1005,1))</f>
        <v>0</v>
      </c>
      <c r="AD273" s="96">
        <f>IF(R273=0,0,COUNTIFS('VÍNCULOS_CDF'!$R$6:$R$1005,A273,'VÍNCULOS_CDF'!$N$6:$N$1005,1))</f>
        <v>0</v>
      </c>
      <c r="AE273" s="96">
        <f>IF(R273=0,0,COUNTIFS('VÍNCULOS_CDF'!$R$6:$R$1005,A273,'VÍNCULOS_CDF'!$AA$6:$AA$1005,1))</f>
        <v>0</v>
      </c>
      <c r="AF273" s="96">
        <f>IF(R273=0,0,COUNTIFS('VÍNCULOS_CDF'!$R$6:$R$1005,A273,'VÍNCULOS_CDF'!$Y$6:$Y$1005,1))</f>
        <v>0</v>
      </c>
      <c r="AG273" s="96" t="str">
        <f>IF(AND(R273=1,S273&lt;&gt;"",C273&lt;&gt;""),S273&amp;"|"&amp;C273&amp;"|"&amp;G273&amp;"|"&amp;H273,"")</f>
        <v/>
      </c>
      <c r="AH273" s="96">
        <f>IF(AG273="",0,IF(SUMPRODUCT(--($AG$6:$AG$1005=AG273))&gt;1,1,0))</f>
        <v>0</v>
      </c>
      <c r="AI273" s="96">
        <f>IF(R273=0,0,IF(OR(U273=0,V273=0,Y273=0,AND(AH273=1,K273&lt;&gt;"Sim")),1,0))</f>
        <v>0</v>
      </c>
      <c r="AJ273" s="96">
        <f>IF(AND(R273=1,AA273&gt;0,AB273=AA273),1,0)</f>
        <v>0</v>
      </c>
      <c r="AK273" s="96">
        <f>IF(R273=0,0,IF(AA273&gt;0,N(L273),IF(ISNUMBER(I273),I273,0)))</f>
        <v>0</v>
      </c>
      <c r="AL273" s="96">
        <f>IF(R273=0,0,IF(AND(K273&lt;&gt;"Sim",N(M273)&gt;AK273+cfg_tol),1,0))</f>
        <v>0</v>
      </c>
      <c r="AM273" s="96">
        <f>IF(R273=0,0,IF(K273="Sim",0,IF(OR(AND(AA273&gt;0,ISNUMBER(I273),ABS(I273-N(L273))&gt;cfg_tol),AL273=1),1,0)))</f>
        <v>0</v>
      </c>
      <c r="AN273" s="96">
        <f>IF(AND(R273=1,N(M273)&gt;0,OR(N(M273)&gt;=AK273-cfg_tol,K273="Sim")),1,0)</f>
        <v>0</v>
      </c>
      <c r="AO273" s="96">
        <f>IF(AND(AN273=1,AD273&gt;0,AE273=AD273,AL273=0),1,0)</f>
        <v>0</v>
      </c>
      <c r="AP273" s="96">
        <f>IF(U273=0,0,IF(AND(INDEX('MTRs'!$AX$6:$AX$505,T273)=1,Z273=0,OR(f_res="",f_res="(Todos)",C273=f_res)),1,0))</f>
        <v>0</v>
      </c>
      <c r="AQ273" s="97" t="str">
        <f>IF(U273=0,"",INDEX('MTRs'!$AZ$6:$AZ$505,T273))</f>
        <v/>
      </c>
      <c r="AR273" s="96">
        <f>IF(U273=0,0,IF(AND(INDEX('MTRs'!$BA$6:$BA$505,T273)=1,Z273=0),1,0))</f>
        <v>0</v>
      </c>
      <c r="AS273" s="96" t="str">
        <f>IF(R273=1,A273&amp;" | MTR "&amp;IF(U273=1,INDEX('MTRs'!$B$6:$B$505,T273)&amp;"","?")&amp;" | "&amp;IF(C273="","(sem resíduo)",C273),"")</f>
        <v/>
      </c>
      <c r="AT273" s="96" t="str">
        <f>IF(R273=1,COUNTIF($R$6:R273,1),"")</f>
        <v/>
      </c>
      <c r="AU273" s="96" t="str">
        <f>IF(U273=1,INDEX('MTRs'!$I$6:$I$505,T273)&amp;"","")</f>
        <v/>
      </c>
    </row>
    <row r="274">
      <c r="A274" s="89" t="inlineStr">
        <is>
          <t>IT-000269</t>
        </is>
      </c>
      <c r="B274" s="91" t="n"/>
      <c r="C274" s="91" t="n"/>
      <c r="D274" s="94" t="str">
        <f>IF(OR(R274=0,V274=0),"",INDEX('CAD_RESÍDUOS'!$E$6:$E$205,MATCH(C274,'CAD_RESÍDUOS'!$B$6:$B$205,0))&amp;"")</f>
        <v/>
      </c>
      <c r="E274" s="94" t="str">
        <f>IF(OR(R274=0,V274=0),"",INDEX('CAD_RESÍDUOS'!$C$6:$C$205,MATCH(C274,'CAD_RESÍDUOS'!$B$6:$B$205,0))&amp;"")</f>
        <v/>
      </c>
      <c r="F274" s="94" t="str">
        <f>IF(OR(R274=0,V274=0),"",INDEX('CAD_RESÍDUOS'!$G$6:$G$205,MATCH(C274,'CAD_RESÍDUOS'!$B$6:$B$205,0))&amp;"")</f>
        <v/>
      </c>
      <c r="G274" s="98" t="n"/>
      <c r="H274" s="91" t="n"/>
      <c r="I274" s="93" t="str">
        <f>IF(R274=0,"",IF(NOT(ISNUMBER(G274)),"",IF(ISNUMBER(X274),G274*X274,"UNIDADE A CONFERIR")))</f>
        <v/>
      </c>
      <c r="J274" s="91" t="n"/>
      <c r="K274" s="91" t="n"/>
      <c r="L274" s="93" t="str">
        <f>IF(R274=0,"",SUMIFS('RECEBIMENTOS'!$H$6:$H$1005,'RECEBIMENTOS'!$R$6:$R$1005,A274,'RECEBIMENTOS'!$X$6:$X$1005,1))</f>
        <v/>
      </c>
      <c r="M274" s="93" t="str">
        <f>IF(R274=0,"",SUMIFS('VÍNCULOS_CDF'!$H$6:$H$1005,'VÍNCULOS_CDF'!$R$6:$R$1005,A274,'VÍNCULOS_CDF'!$V$6:$V$1005,1))</f>
        <v/>
      </c>
      <c r="N274" s="99" t="str">
        <f>IF(OR(R274=0,AA274=0,NOT(ISNUMBER(I274))),"",I274-N(L274))</f>
        <v/>
      </c>
      <c r="O274" s="100" t="str">
        <f>IF(OR(R274=0,AK274&lt;=0),"",N(M274)/AK274)</f>
        <v/>
      </c>
      <c r="P274" s="94" t="str">
        <f>IF(R274=0,"",IF(S274="","Sem MTR associado",IF(U274=0,"MTR inexistente",IF(C274="","Resíduo não identificado",IF(V274=0,"Resíduo fora do cadastro",IF(W274=0,"Quantidade inválida",IF(H274="","Unidade não informada",IF(NOT(ISNUMBER(I274)),"Unidade a conferir",IF(AND(AH274=1,K274&lt;&gt;"Sim"),"Possível duplicidade",IF(Z274=1,"MTR cancelado",IF(AC274&gt;0,"Recebimento com alerta",IF(AA274=0,"Aguardando recebimento",IF(AB274&lt;AA274,"Recebimento a conferir",IF(AM274=1,"Quantidade a revisar",IF(AF274&gt;0,"Vínculo a revisar",IF(AD274=0,"Aguardando CDF",IF(AN274=0,"Vínculo de CDF parcial",IF(AE274&lt;AD274,"CDF a conferir","Documentação conferida"))))))))))))))))))</f>
        <v/>
      </c>
      <c r="Q274" s="93" t="str">
        <f>IF(OR(R274=0,AA274=0),"",MAX(0,N(L274)-N(M274)))</f>
        <v/>
      </c>
      <c r="R274" s="96">
        <f>IF(COUNTA(B274:C274,G274:H274,J274:K274)&gt;0,1,0)</f>
        <v>0</v>
      </c>
      <c r="S274" s="96" t="str">
        <f>IF(B274="","",TRIM(LEFT(B274,FIND(" |",B274&amp;" |")-1)))</f>
        <v/>
      </c>
      <c r="T274" s="96" t="str">
        <f>IF(S274="","",IFERROR(MATCH(S274,'MTRs'!$A$6:$A$505,0),""))</f>
        <v/>
      </c>
      <c r="U274" s="96">
        <f>IF(T274="",0,IF(INDEX('MTRs'!$Z$6:$Z$505,T274)=1,1,0))</f>
        <v>0</v>
      </c>
      <c r="V274" s="96">
        <f>IF(C274="",0,IF(ISNUMBER(MATCH(C274,'CAD_RESÍDUOS'!$B$6:$B$205,0)),1,0))</f>
        <v>0</v>
      </c>
      <c r="W274" s="96">
        <f>IF(AND(ISNUMBER(G274),G274&gt;0),1,0)</f>
        <v>0</v>
      </c>
      <c r="X274" s="96" t="str">
        <f>IF(H274="","",IFERROR(IF(ISNUMBER(INDEX(cfg_fac,MATCH(H274,cfg_units,0))),IF(INDEX(cfg_fac,MATCH(H274,cfg_units,0))&gt;0,INDEX(cfg_fac,MATCH(H274,cfg_units,0)),""),""),""))</f>
        <v/>
      </c>
      <c r="Y274" s="96">
        <f>IF(AND(W274=1,ISNUMBER(I274)),1,0)</f>
        <v>0</v>
      </c>
      <c r="Z274" s="96">
        <f>IF(U274=1,INDEX('MTRs'!$AA$6:$AA$505,T274),0)</f>
        <v>0</v>
      </c>
      <c r="AA274" s="96">
        <f>IF(R274=0,0,COUNTIFS('RECEBIMENTOS'!$R$6:$R$1005,A274,'RECEBIMENTOS'!$Q$6:$Q$1005,1))</f>
        <v>0</v>
      </c>
      <c r="AB274" s="96">
        <f>IF(R274=0,0,COUNTIFS('RECEBIMENTOS'!$R$6:$R$1005,A274,'RECEBIMENTOS'!$Z$6:$Z$1005,1))</f>
        <v>0</v>
      </c>
      <c r="AC274" s="96">
        <f>IF(R274=0,0,COUNTIFS('RECEBIMENTOS'!$R$6:$R$1005,A274,'RECEBIMENTOS'!$Y$6:$Y$1005,1))</f>
        <v>0</v>
      </c>
      <c r="AD274" s="96">
        <f>IF(R274=0,0,COUNTIFS('VÍNCULOS_CDF'!$R$6:$R$1005,A274,'VÍNCULOS_CDF'!$N$6:$N$1005,1))</f>
        <v>0</v>
      </c>
      <c r="AE274" s="96">
        <f>IF(R274=0,0,COUNTIFS('VÍNCULOS_CDF'!$R$6:$R$1005,A274,'VÍNCULOS_CDF'!$AA$6:$AA$1005,1))</f>
        <v>0</v>
      </c>
      <c r="AF274" s="96">
        <f>IF(R274=0,0,COUNTIFS('VÍNCULOS_CDF'!$R$6:$R$1005,A274,'VÍNCULOS_CDF'!$Y$6:$Y$1005,1))</f>
        <v>0</v>
      </c>
      <c r="AG274" s="96" t="str">
        <f>IF(AND(R274=1,S274&lt;&gt;"",C274&lt;&gt;""),S274&amp;"|"&amp;C274&amp;"|"&amp;G274&amp;"|"&amp;H274,"")</f>
        <v/>
      </c>
      <c r="AH274" s="96">
        <f>IF(AG274="",0,IF(SUMPRODUCT(--($AG$6:$AG$1005=AG274))&gt;1,1,0))</f>
        <v>0</v>
      </c>
      <c r="AI274" s="96">
        <f>IF(R274=0,0,IF(OR(U274=0,V274=0,Y274=0,AND(AH274=1,K274&lt;&gt;"Sim")),1,0))</f>
        <v>0</v>
      </c>
      <c r="AJ274" s="96">
        <f>IF(AND(R274=1,AA274&gt;0,AB274=AA274),1,0)</f>
        <v>0</v>
      </c>
      <c r="AK274" s="96">
        <f>IF(R274=0,0,IF(AA274&gt;0,N(L274),IF(ISNUMBER(I274),I274,0)))</f>
        <v>0</v>
      </c>
      <c r="AL274" s="96">
        <f>IF(R274=0,0,IF(AND(K274&lt;&gt;"Sim",N(M274)&gt;AK274+cfg_tol),1,0))</f>
        <v>0</v>
      </c>
      <c r="AM274" s="96">
        <f>IF(R274=0,0,IF(K274="Sim",0,IF(OR(AND(AA274&gt;0,ISNUMBER(I274),ABS(I274-N(L274))&gt;cfg_tol),AL274=1),1,0)))</f>
        <v>0</v>
      </c>
      <c r="AN274" s="96">
        <f>IF(AND(R274=1,N(M274)&gt;0,OR(N(M274)&gt;=AK274-cfg_tol,K274="Sim")),1,0)</f>
        <v>0</v>
      </c>
      <c r="AO274" s="96">
        <f>IF(AND(AN274=1,AD274&gt;0,AE274=AD274,AL274=0),1,0)</f>
        <v>0</v>
      </c>
      <c r="AP274" s="96">
        <f>IF(U274=0,0,IF(AND(INDEX('MTRs'!$AX$6:$AX$505,T274)=1,Z274=0,OR(f_res="",f_res="(Todos)",C274=f_res)),1,0))</f>
        <v>0</v>
      </c>
      <c r="AQ274" s="97" t="str">
        <f>IF(U274=0,"",INDEX('MTRs'!$AZ$6:$AZ$505,T274))</f>
        <v/>
      </c>
      <c r="AR274" s="96">
        <f>IF(U274=0,0,IF(AND(INDEX('MTRs'!$BA$6:$BA$505,T274)=1,Z274=0),1,0))</f>
        <v>0</v>
      </c>
      <c r="AS274" s="96" t="str">
        <f>IF(R274=1,A274&amp;" | MTR "&amp;IF(U274=1,INDEX('MTRs'!$B$6:$B$505,T274)&amp;"","?")&amp;" | "&amp;IF(C274="","(sem resíduo)",C274),"")</f>
        <v/>
      </c>
      <c r="AT274" s="96" t="str">
        <f>IF(R274=1,COUNTIF($R$6:R274,1),"")</f>
        <v/>
      </c>
      <c r="AU274" s="96" t="str">
        <f>IF(U274=1,INDEX('MTRs'!$I$6:$I$505,T274)&amp;"","")</f>
        <v/>
      </c>
    </row>
    <row r="275">
      <c r="A275" s="89" t="inlineStr">
        <is>
          <t>IT-000270</t>
        </is>
      </c>
      <c r="B275" s="91" t="n"/>
      <c r="C275" s="91" t="n"/>
      <c r="D275" s="94" t="str">
        <f>IF(OR(R275=0,V275=0),"",INDEX('CAD_RESÍDUOS'!$E$6:$E$205,MATCH(C275,'CAD_RESÍDUOS'!$B$6:$B$205,0))&amp;"")</f>
        <v/>
      </c>
      <c r="E275" s="94" t="str">
        <f>IF(OR(R275=0,V275=0),"",INDEX('CAD_RESÍDUOS'!$C$6:$C$205,MATCH(C275,'CAD_RESÍDUOS'!$B$6:$B$205,0))&amp;"")</f>
        <v/>
      </c>
      <c r="F275" s="94" t="str">
        <f>IF(OR(R275=0,V275=0),"",INDEX('CAD_RESÍDUOS'!$G$6:$G$205,MATCH(C275,'CAD_RESÍDUOS'!$B$6:$B$205,0))&amp;"")</f>
        <v/>
      </c>
      <c r="G275" s="98" t="n"/>
      <c r="H275" s="91" t="n"/>
      <c r="I275" s="93" t="str">
        <f>IF(R275=0,"",IF(NOT(ISNUMBER(G275)),"",IF(ISNUMBER(X275),G275*X275,"UNIDADE A CONFERIR")))</f>
        <v/>
      </c>
      <c r="J275" s="91" t="n"/>
      <c r="K275" s="91" t="n"/>
      <c r="L275" s="93" t="str">
        <f>IF(R275=0,"",SUMIFS('RECEBIMENTOS'!$H$6:$H$1005,'RECEBIMENTOS'!$R$6:$R$1005,A275,'RECEBIMENTOS'!$X$6:$X$1005,1))</f>
        <v/>
      </c>
      <c r="M275" s="93" t="str">
        <f>IF(R275=0,"",SUMIFS('VÍNCULOS_CDF'!$H$6:$H$1005,'VÍNCULOS_CDF'!$R$6:$R$1005,A275,'VÍNCULOS_CDF'!$V$6:$V$1005,1))</f>
        <v/>
      </c>
      <c r="N275" s="99" t="str">
        <f>IF(OR(R275=0,AA275=0,NOT(ISNUMBER(I275))),"",I275-N(L275))</f>
        <v/>
      </c>
      <c r="O275" s="100" t="str">
        <f>IF(OR(R275=0,AK275&lt;=0),"",N(M275)/AK275)</f>
        <v/>
      </c>
      <c r="P275" s="94" t="str">
        <f>IF(R275=0,"",IF(S275="","Sem MTR associado",IF(U275=0,"MTR inexistente",IF(C275="","Resíduo não identificado",IF(V275=0,"Resíduo fora do cadastro",IF(W275=0,"Quantidade inválida",IF(H275="","Unidade não informada",IF(NOT(ISNUMBER(I275)),"Unidade a conferir",IF(AND(AH275=1,K275&lt;&gt;"Sim"),"Possível duplicidade",IF(Z275=1,"MTR cancelado",IF(AC275&gt;0,"Recebimento com alerta",IF(AA275=0,"Aguardando recebimento",IF(AB275&lt;AA275,"Recebimento a conferir",IF(AM275=1,"Quantidade a revisar",IF(AF275&gt;0,"Vínculo a revisar",IF(AD275=0,"Aguardando CDF",IF(AN275=0,"Vínculo de CDF parcial",IF(AE275&lt;AD275,"CDF a conferir","Documentação conferida"))))))))))))))))))</f>
        <v/>
      </c>
      <c r="Q275" s="93" t="str">
        <f>IF(OR(R275=0,AA275=0),"",MAX(0,N(L275)-N(M275)))</f>
        <v/>
      </c>
      <c r="R275" s="96">
        <f>IF(COUNTA(B275:C275,G275:H275,J275:K275)&gt;0,1,0)</f>
        <v>0</v>
      </c>
      <c r="S275" s="96" t="str">
        <f>IF(B275="","",TRIM(LEFT(B275,FIND(" |",B275&amp;" |")-1)))</f>
        <v/>
      </c>
      <c r="T275" s="96" t="str">
        <f>IF(S275="","",IFERROR(MATCH(S275,'MTRs'!$A$6:$A$505,0),""))</f>
        <v/>
      </c>
      <c r="U275" s="96">
        <f>IF(T275="",0,IF(INDEX('MTRs'!$Z$6:$Z$505,T275)=1,1,0))</f>
        <v>0</v>
      </c>
      <c r="V275" s="96">
        <f>IF(C275="",0,IF(ISNUMBER(MATCH(C275,'CAD_RESÍDUOS'!$B$6:$B$205,0)),1,0))</f>
        <v>0</v>
      </c>
      <c r="W275" s="96">
        <f>IF(AND(ISNUMBER(G275),G275&gt;0),1,0)</f>
        <v>0</v>
      </c>
      <c r="X275" s="96" t="str">
        <f>IF(H275="","",IFERROR(IF(ISNUMBER(INDEX(cfg_fac,MATCH(H275,cfg_units,0))),IF(INDEX(cfg_fac,MATCH(H275,cfg_units,0))&gt;0,INDEX(cfg_fac,MATCH(H275,cfg_units,0)),""),""),""))</f>
        <v/>
      </c>
      <c r="Y275" s="96">
        <f>IF(AND(W275=1,ISNUMBER(I275)),1,0)</f>
        <v>0</v>
      </c>
      <c r="Z275" s="96">
        <f>IF(U275=1,INDEX('MTRs'!$AA$6:$AA$505,T275),0)</f>
        <v>0</v>
      </c>
      <c r="AA275" s="96">
        <f>IF(R275=0,0,COUNTIFS('RECEBIMENTOS'!$R$6:$R$1005,A275,'RECEBIMENTOS'!$Q$6:$Q$1005,1))</f>
        <v>0</v>
      </c>
      <c r="AB275" s="96">
        <f>IF(R275=0,0,COUNTIFS('RECEBIMENTOS'!$R$6:$R$1005,A275,'RECEBIMENTOS'!$Z$6:$Z$1005,1))</f>
        <v>0</v>
      </c>
      <c r="AC275" s="96">
        <f>IF(R275=0,0,COUNTIFS('RECEBIMENTOS'!$R$6:$R$1005,A275,'RECEBIMENTOS'!$Y$6:$Y$1005,1))</f>
        <v>0</v>
      </c>
      <c r="AD275" s="96">
        <f>IF(R275=0,0,COUNTIFS('VÍNCULOS_CDF'!$R$6:$R$1005,A275,'VÍNCULOS_CDF'!$N$6:$N$1005,1))</f>
        <v>0</v>
      </c>
      <c r="AE275" s="96">
        <f>IF(R275=0,0,COUNTIFS('VÍNCULOS_CDF'!$R$6:$R$1005,A275,'VÍNCULOS_CDF'!$AA$6:$AA$1005,1))</f>
        <v>0</v>
      </c>
      <c r="AF275" s="96">
        <f>IF(R275=0,0,COUNTIFS('VÍNCULOS_CDF'!$R$6:$R$1005,A275,'VÍNCULOS_CDF'!$Y$6:$Y$1005,1))</f>
        <v>0</v>
      </c>
      <c r="AG275" s="96" t="str">
        <f>IF(AND(R275=1,S275&lt;&gt;"",C275&lt;&gt;""),S275&amp;"|"&amp;C275&amp;"|"&amp;G275&amp;"|"&amp;H275,"")</f>
        <v/>
      </c>
      <c r="AH275" s="96">
        <f>IF(AG275="",0,IF(SUMPRODUCT(--($AG$6:$AG$1005=AG275))&gt;1,1,0))</f>
        <v>0</v>
      </c>
      <c r="AI275" s="96">
        <f>IF(R275=0,0,IF(OR(U275=0,V275=0,Y275=0,AND(AH275=1,K275&lt;&gt;"Sim")),1,0))</f>
        <v>0</v>
      </c>
      <c r="AJ275" s="96">
        <f>IF(AND(R275=1,AA275&gt;0,AB275=AA275),1,0)</f>
        <v>0</v>
      </c>
      <c r="AK275" s="96">
        <f>IF(R275=0,0,IF(AA275&gt;0,N(L275),IF(ISNUMBER(I275),I275,0)))</f>
        <v>0</v>
      </c>
      <c r="AL275" s="96">
        <f>IF(R275=0,0,IF(AND(K275&lt;&gt;"Sim",N(M275)&gt;AK275+cfg_tol),1,0))</f>
        <v>0</v>
      </c>
      <c r="AM275" s="96">
        <f>IF(R275=0,0,IF(K275="Sim",0,IF(OR(AND(AA275&gt;0,ISNUMBER(I275),ABS(I275-N(L275))&gt;cfg_tol),AL275=1),1,0)))</f>
        <v>0</v>
      </c>
      <c r="AN275" s="96">
        <f>IF(AND(R275=1,N(M275)&gt;0,OR(N(M275)&gt;=AK275-cfg_tol,K275="Sim")),1,0)</f>
        <v>0</v>
      </c>
      <c r="AO275" s="96">
        <f>IF(AND(AN275=1,AD275&gt;0,AE275=AD275,AL275=0),1,0)</f>
        <v>0</v>
      </c>
      <c r="AP275" s="96">
        <f>IF(U275=0,0,IF(AND(INDEX('MTRs'!$AX$6:$AX$505,T275)=1,Z275=0,OR(f_res="",f_res="(Todos)",C275=f_res)),1,0))</f>
        <v>0</v>
      </c>
      <c r="AQ275" s="97" t="str">
        <f>IF(U275=0,"",INDEX('MTRs'!$AZ$6:$AZ$505,T275))</f>
        <v/>
      </c>
      <c r="AR275" s="96">
        <f>IF(U275=0,0,IF(AND(INDEX('MTRs'!$BA$6:$BA$505,T275)=1,Z275=0),1,0))</f>
        <v>0</v>
      </c>
      <c r="AS275" s="96" t="str">
        <f>IF(R275=1,A275&amp;" | MTR "&amp;IF(U275=1,INDEX('MTRs'!$B$6:$B$505,T275)&amp;"","?")&amp;" | "&amp;IF(C275="","(sem resíduo)",C275),"")</f>
        <v/>
      </c>
      <c r="AT275" s="96" t="str">
        <f>IF(R275=1,COUNTIF($R$6:R275,1),"")</f>
        <v/>
      </c>
      <c r="AU275" s="96" t="str">
        <f>IF(U275=1,INDEX('MTRs'!$I$6:$I$505,T275)&amp;"","")</f>
        <v/>
      </c>
    </row>
    <row r="276">
      <c r="A276" s="89" t="inlineStr">
        <is>
          <t>IT-000271</t>
        </is>
      </c>
      <c r="B276" s="91" t="n"/>
      <c r="C276" s="91" t="n"/>
      <c r="D276" s="94" t="str">
        <f>IF(OR(R276=0,V276=0),"",INDEX('CAD_RESÍDUOS'!$E$6:$E$205,MATCH(C276,'CAD_RESÍDUOS'!$B$6:$B$205,0))&amp;"")</f>
        <v/>
      </c>
      <c r="E276" s="94" t="str">
        <f>IF(OR(R276=0,V276=0),"",INDEX('CAD_RESÍDUOS'!$C$6:$C$205,MATCH(C276,'CAD_RESÍDUOS'!$B$6:$B$205,0))&amp;"")</f>
        <v/>
      </c>
      <c r="F276" s="94" t="str">
        <f>IF(OR(R276=0,V276=0),"",INDEX('CAD_RESÍDUOS'!$G$6:$G$205,MATCH(C276,'CAD_RESÍDUOS'!$B$6:$B$205,0))&amp;"")</f>
        <v/>
      </c>
      <c r="G276" s="98" t="n"/>
      <c r="H276" s="91" t="n"/>
      <c r="I276" s="93" t="str">
        <f>IF(R276=0,"",IF(NOT(ISNUMBER(G276)),"",IF(ISNUMBER(X276),G276*X276,"UNIDADE A CONFERIR")))</f>
        <v/>
      </c>
      <c r="J276" s="91" t="n"/>
      <c r="K276" s="91" t="n"/>
      <c r="L276" s="93" t="str">
        <f>IF(R276=0,"",SUMIFS('RECEBIMENTOS'!$H$6:$H$1005,'RECEBIMENTOS'!$R$6:$R$1005,A276,'RECEBIMENTOS'!$X$6:$X$1005,1))</f>
        <v/>
      </c>
      <c r="M276" s="93" t="str">
        <f>IF(R276=0,"",SUMIFS('VÍNCULOS_CDF'!$H$6:$H$1005,'VÍNCULOS_CDF'!$R$6:$R$1005,A276,'VÍNCULOS_CDF'!$V$6:$V$1005,1))</f>
        <v/>
      </c>
      <c r="N276" s="99" t="str">
        <f>IF(OR(R276=0,AA276=0,NOT(ISNUMBER(I276))),"",I276-N(L276))</f>
        <v/>
      </c>
      <c r="O276" s="100" t="str">
        <f>IF(OR(R276=0,AK276&lt;=0),"",N(M276)/AK276)</f>
        <v/>
      </c>
      <c r="P276" s="94" t="str">
        <f>IF(R276=0,"",IF(S276="","Sem MTR associado",IF(U276=0,"MTR inexistente",IF(C276="","Resíduo não identificado",IF(V276=0,"Resíduo fora do cadastro",IF(W276=0,"Quantidade inválida",IF(H276="","Unidade não informada",IF(NOT(ISNUMBER(I276)),"Unidade a conferir",IF(AND(AH276=1,K276&lt;&gt;"Sim"),"Possível duplicidade",IF(Z276=1,"MTR cancelado",IF(AC276&gt;0,"Recebimento com alerta",IF(AA276=0,"Aguardando recebimento",IF(AB276&lt;AA276,"Recebimento a conferir",IF(AM276=1,"Quantidade a revisar",IF(AF276&gt;0,"Vínculo a revisar",IF(AD276=0,"Aguardando CDF",IF(AN276=0,"Vínculo de CDF parcial",IF(AE276&lt;AD276,"CDF a conferir","Documentação conferida"))))))))))))))))))</f>
        <v/>
      </c>
      <c r="Q276" s="93" t="str">
        <f>IF(OR(R276=0,AA276=0),"",MAX(0,N(L276)-N(M276)))</f>
        <v/>
      </c>
      <c r="R276" s="96">
        <f>IF(COUNTA(B276:C276,G276:H276,J276:K276)&gt;0,1,0)</f>
        <v>0</v>
      </c>
      <c r="S276" s="96" t="str">
        <f>IF(B276="","",TRIM(LEFT(B276,FIND(" |",B276&amp;" |")-1)))</f>
        <v/>
      </c>
      <c r="T276" s="96" t="str">
        <f>IF(S276="","",IFERROR(MATCH(S276,'MTRs'!$A$6:$A$505,0),""))</f>
        <v/>
      </c>
      <c r="U276" s="96">
        <f>IF(T276="",0,IF(INDEX('MTRs'!$Z$6:$Z$505,T276)=1,1,0))</f>
        <v>0</v>
      </c>
      <c r="V276" s="96">
        <f>IF(C276="",0,IF(ISNUMBER(MATCH(C276,'CAD_RESÍDUOS'!$B$6:$B$205,0)),1,0))</f>
        <v>0</v>
      </c>
      <c r="W276" s="96">
        <f>IF(AND(ISNUMBER(G276),G276&gt;0),1,0)</f>
        <v>0</v>
      </c>
      <c r="X276" s="96" t="str">
        <f>IF(H276="","",IFERROR(IF(ISNUMBER(INDEX(cfg_fac,MATCH(H276,cfg_units,0))),IF(INDEX(cfg_fac,MATCH(H276,cfg_units,0))&gt;0,INDEX(cfg_fac,MATCH(H276,cfg_units,0)),""),""),""))</f>
        <v/>
      </c>
      <c r="Y276" s="96">
        <f>IF(AND(W276=1,ISNUMBER(I276)),1,0)</f>
        <v>0</v>
      </c>
      <c r="Z276" s="96">
        <f>IF(U276=1,INDEX('MTRs'!$AA$6:$AA$505,T276),0)</f>
        <v>0</v>
      </c>
      <c r="AA276" s="96">
        <f>IF(R276=0,0,COUNTIFS('RECEBIMENTOS'!$R$6:$R$1005,A276,'RECEBIMENTOS'!$Q$6:$Q$1005,1))</f>
        <v>0</v>
      </c>
      <c r="AB276" s="96">
        <f>IF(R276=0,0,COUNTIFS('RECEBIMENTOS'!$R$6:$R$1005,A276,'RECEBIMENTOS'!$Z$6:$Z$1005,1))</f>
        <v>0</v>
      </c>
      <c r="AC276" s="96">
        <f>IF(R276=0,0,COUNTIFS('RECEBIMENTOS'!$R$6:$R$1005,A276,'RECEBIMENTOS'!$Y$6:$Y$1005,1))</f>
        <v>0</v>
      </c>
      <c r="AD276" s="96">
        <f>IF(R276=0,0,COUNTIFS('VÍNCULOS_CDF'!$R$6:$R$1005,A276,'VÍNCULOS_CDF'!$N$6:$N$1005,1))</f>
        <v>0</v>
      </c>
      <c r="AE276" s="96">
        <f>IF(R276=0,0,COUNTIFS('VÍNCULOS_CDF'!$R$6:$R$1005,A276,'VÍNCULOS_CDF'!$AA$6:$AA$1005,1))</f>
        <v>0</v>
      </c>
      <c r="AF276" s="96">
        <f>IF(R276=0,0,COUNTIFS('VÍNCULOS_CDF'!$R$6:$R$1005,A276,'VÍNCULOS_CDF'!$Y$6:$Y$1005,1))</f>
        <v>0</v>
      </c>
      <c r="AG276" s="96" t="str">
        <f>IF(AND(R276=1,S276&lt;&gt;"",C276&lt;&gt;""),S276&amp;"|"&amp;C276&amp;"|"&amp;G276&amp;"|"&amp;H276,"")</f>
        <v/>
      </c>
      <c r="AH276" s="96">
        <f>IF(AG276="",0,IF(SUMPRODUCT(--($AG$6:$AG$1005=AG276))&gt;1,1,0))</f>
        <v>0</v>
      </c>
      <c r="AI276" s="96">
        <f>IF(R276=0,0,IF(OR(U276=0,V276=0,Y276=0,AND(AH276=1,K276&lt;&gt;"Sim")),1,0))</f>
        <v>0</v>
      </c>
      <c r="AJ276" s="96">
        <f>IF(AND(R276=1,AA276&gt;0,AB276=AA276),1,0)</f>
        <v>0</v>
      </c>
      <c r="AK276" s="96">
        <f>IF(R276=0,0,IF(AA276&gt;0,N(L276),IF(ISNUMBER(I276),I276,0)))</f>
        <v>0</v>
      </c>
      <c r="AL276" s="96">
        <f>IF(R276=0,0,IF(AND(K276&lt;&gt;"Sim",N(M276)&gt;AK276+cfg_tol),1,0))</f>
        <v>0</v>
      </c>
      <c r="AM276" s="96">
        <f>IF(R276=0,0,IF(K276="Sim",0,IF(OR(AND(AA276&gt;0,ISNUMBER(I276),ABS(I276-N(L276))&gt;cfg_tol),AL276=1),1,0)))</f>
        <v>0</v>
      </c>
      <c r="AN276" s="96">
        <f>IF(AND(R276=1,N(M276)&gt;0,OR(N(M276)&gt;=AK276-cfg_tol,K276="Sim")),1,0)</f>
        <v>0</v>
      </c>
      <c r="AO276" s="96">
        <f>IF(AND(AN276=1,AD276&gt;0,AE276=AD276,AL276=0),1,0)</f>
        <v>0</v>
      </c>
      <c r="AP276" s="96">
        <f>IF(U276=0,0,IF(AND(INDEX('MTRs'!$AX$6:$AX$505,T276)=1,Z276=0,OR(f_res="",f_res="(Todos)",C276=f_res)),1,0))</f>
        <v>0</v>
      </c>
      <c r="AQ276" s="97" t="str">
        <f>IF(U276=0,"",INDEX('MTRs'!$AZ$6:$AZ$505,T276))</f>
        <v/>
      </c>
      <c r="AR276" s="96">
        <f>IF(U276=0,0,IF(AND(INDEX('MTRs'!$BA$6:$BA$505,T276)=1,Z276=0),1,0))</f>
        <v>0</v>
      </c>
      <c r="AS276" s="96" t="str">
        <f>IF(R276=1,A276&amp;" | MTR "&amp;IF(U276=1,INDEX('MTRs'!$B$6:$B$505,T276)&amp;"","?")&amp;" | "&amp;IF(C276="","(sem resíduo)",C276),"")</f>
        <v/>
      </c>
      <c r="AT276" s="96" t="str">
        <f>IF(R276=1,COUNTIF($R$6:R276,1),"")</f>
        <v/>
      </c>
      <c r="AU276" s="96" t="str">
        <f>IF(U276=1,INDEX('MTRs'!$I$6:$I$505,T276)&amp;"","")</f>
        <v/>
      </c>
    </row>
    <row r="277">
      <c r="A277" s="89" t="inlineStr">
        <is>
          <t>IT-000272</t>
        </is>
      </c>
      <c r="B277" s="91" t="n"/>
      <c r="C277" s="91" t="n"/>
      <c r="D277" s="94" t="str">
        <f>IF(OR(R277=0,V277=0),"",INDEX('CAD_RESÍDUOS'!$E$6:$E$205,MATCH(C277,'CAD_RESÍDUOS'!$B$6:$B$205,0))&amp;"")</f>
        <v/>
      </c>
      <c r="E277" s="94" t="str">
        <f>IF(OR(R277=0,V277=0),"",INDEX('CAD_RESÍDUOS'!$C$6:$C$205,MATCH(C277,'CAD_RESÍDUOS'!$B$6:$B$205,0))&amp;"")</f>
        <v/>
      </c>
      <c r="F277" s="94" t="str">
        <f>IF(OR(R277=0,V277=0),"",INDEX('CAD_RESÍDUOS'!$G$6:$G$205,MATCH(C277,'CAD_RESÍDUOS'!$B$6:$B$205,0))&amp;"")</f>
        <v/>
      </c>
      <c r="G277" s="98" t="n"/>
      <c r="H277" s="91" t="n"/>
      <c r="I277" s="93" t="str">
        <f>IF(R277=0,"",IF(NOT(ISNUMBER(G277)),"",IF(ISNUMBER(X277),G277*X277,"UNIDADE A CONFERIR")))</f>
        <v/>
      </c>
      <c r="J277" s="91" t="n"/>
      <c r="K277" s="91" t="n"/>
      <c r="L277" s="93" t="str">
        <f>IF(R277=0,"",SUMIFS('RECEBIMENTOS'!$H$6:$H$1005,'RECEBIMENTOS'!$R$6:$R$1005,A277,'RECEBIMENTOS'!$X$6:$X$1005,1))</f>
        <v/>
      </c>
      <c r="M277" s="93" t="str">
        <f>IF(R277=0,"",SUMIFS('VÍNCULOS_CDF'!$H$6:$H$1005,'VÍNCULOS_CDF'!$R$6:$R$1005,A277,'VÍNCULOS_CDF'!$V$6:$V$1005,1))</f>
        <v/>
      </c>
      <c r="N277" s="99" t="str">
        <f>IF(OR(R277=0,AA277=0,NOT(ISNUMBER(I277))),"",I277-N(L277))</f>
        <v/>
      </c>
      <c r="O277" s="100" t="str">
        <f>IF(OR(R277=0,AK277&lt;=0),"",N(M277)/AK277)</f>
        <v/>
      </c>
      <c r="P277" s="94" t="str">
        <f>IF(R277=0,"",IF(S277="","Sem MTR associado",IF(U277=0,"MTR inexistente",IF(C277="","Resíduo não identificado",IF(V277=0,"Resíduo fora do cadastro",IF(W277=0,"Quantidade inválida",IF(H277="","Unidade não informada",IF(NOT(ISNUMBER(I277)),"Unidade a conferir",IF(AND(AH277=1,K277&lt;&gt;"Sim"),"Possível duplicidade",IF(Z277=1,"MTR cancelado",IF(AC277&gt;0,"Recebimento com alerta",IF(AA277=0,"Aguardando recebimento",IF(AB277&lt;AA277,"Recebimento a conferir",IF(AM277=1,"Quantidade a revisar",IF(AF277&gt;0,"Vínculo a revisar",IF(AD277=0,"Aguardando CDF",IF(AN277=0,"Vínculo de CDF parcial",IF(AE277&lt;AD277,"CDF a conferir","Documentação conferida"))))))))))))))))))</f>
        <v/>
      </c>
      <c r="Q277" s="93" t="str">
        <f>IF(OR(R277=0,AA277=0),"",MAX(0,N(L277)-N(M277)))</f>
        <v/>
      </c>
      <c r="R277" s="96">
        <f>IF(COUNTA(B277:C277,G277:H277,J277:K277)&gt;0,1,0)</f>
        <v>0</v>
      </c>
      <c r="S277" s="96" t="str">
        <f>IF(B277="","",TRIM(LEFT(B277,FIND(" |",B277&amp;" |")-1)))</f>
        <v/>
      </c>
      <c r="T277" s="96" t="str">
        <f>IF(S277="","",IFERROR(MATCH(S277,'MTRs'!$A$6:$A$505,0),""))</f>
        <v/>
      </c>
      <c r="U277" s="96">
        <f>IF(T277="",0,IF(INDEX('MTRs'!$Z$6:$Z$505,T277)=1,1,0))</f>
        <v>0</v>
      </c>
      <c r="V277" s="96">
        <f>IF(C277="",0,IF(ISNUMBER(MATCH(C277,'CAD_RESÍDUOS'!$B$6:$B$205,0)),1,0))</f>
        <v>0</v>
      </c>
      <c r="W277" s="96">
        <f>IF(AND(ISNUMBER(G277),G277&gt;0),1,0)</f>
        <v>0</v>
      </c>
      <c r="X277" s="96" t="str">
        <f>IF(H277="","",IFERROR(IF(ISNUMBER(INDEX(cfg_fac,MATCH(H277,cfg_units,0))),IF(INDEX(cfg_fac,MATCH(H277,cfg_units,0))&gt;0,INDEX(cfg_fac,MATCH(H277,cfg_units,0)),""),""),""))</f>
        <v/>
      </c>
      <c r="Y277" s="96">
        <f>IF(AND(W277=1,ISNUMBER(I277)),1,0)</f>
        <v>0</v>
      </c>
      <c r="Z277" s="96">
        <f>IF(U277=1,INDEX('MTRs'!$AA$6:$AA$505,T277),0)</f>
        <v>0</v>
      </c>
      <c r="AA277" s="96">
        <f>IF(R277=0,0,COUNTIFS('RECEBIMENTOS'!$R$6:$R$1005,A277,'RECEBIMENTOS'!$Q$6:$Q$1005,1))</f>
        <v>0</v>
      </c>
      <c r="AB277" s="96">
        <f>IF(R277=0,0,COUNTIFS('RECEBIMENTOS'!$R$6:$R$1005,A277,'RECEBIMENTOS'!$Z$6:$Z$1005,1))</f>
        <v>0</v>
      </c>
      <c r="AC277" s="96">
        <f>IF(R277=0,0,COUNTIFS('RECEBIMENTOS'!$R$6:$R$1005,A277,'RECEBIMENTOS'!$Y$6:$Y$1005,1))</f>
        <v>0</v>
      </c>
      <c r="AD277" s="96">
        <f>IF(R277=0,0,COUNTIFS('VÍNCULOS_CDF'!$R$6:$R$1005,A277,'VÍNCULOS_CDF'!$N$6:$N$1005,1))</f>
        <v>0</v>
      </c>
      <c r="AE277" s="96">
        <f>IF(R277=0,0,COUNTIFS('VÍNCULOS_CDF'!$R$6:$R$1005,A277,'VÍNCULOS_CDF'!$AA$6:$AA$1005,1))</f>
        <v>0</v>
      </c>
      <c r="AF277" s="96">
        <f>IF(R277=0,0,COUNTIFS('VÍNCULOS_CDF'!$R$6:$R$1005,A277,'VÍNCULOS_CDF'!$Y$6:$Y$1005,1))</f>
        <v>0</v>
      </c>
      <c r="AG277" s="96" t="str">
        <f>IF(AND(R277=1,S277&lt;&gt;"",C277&lt;&gt;""),S277&amp;"|"&amp;C277&amp;"|"&amp;G277&amp;"|"&amp;H277,"")</f>
        <v/>
      </c>
      <c r="AH277" s="96">
        <f>IF(AG277="",0,IF(SUMPRODUCT(--($AG$6:$AG$1005=AG277))&gt;1,1,0))</f>
        <v>0</v>
      </c>
      <c r="AI277" s="96">
        <f>IF(R277=0,0,IF(OR(U277=0,V277=0,Y277=0,AND(AH277=1,K277&lt;&gt;"Sim")),1,0))</f>
        <v>0</v>
      </c>
      <c r="AJ277" s="96">
        <f>IF(AND(R277=1,AA277&gt;0,AB277=AA277),1,0)</f>
        <v>0</v>
      </c>
      <c r="AK277" s="96">
        <f>IF(R277=0,0,IF(AA277&gt;0,N(L277),IF(ISNUMBER(I277),I277,0)))</f>
        <v>0</v>
      </c>
      <c r="AL277" s="96">
        <f>IF(R277=0,0,IF(AND(K277&lt;&gt;"Sim",N(M277)&gt;AK277+cfg_tol),1,0))</f>
        <v>0</v>
      </c>
      <c r="AM277" s="96">
        <f>IF(R277=0,0,IF(K277="Sim",0,IF(OR(AND(AA277&gt;0,ISNUMBER(I277),ABS(I277-N(L277))&gt;cfg_tol),AL277=1),1,0)))</f>
        <v>0</v>
      </c>
      <c r="AN277" s="96">
        <f>IF(AND(R277=1,N(M277)&gt;0,OR(N(M277)&gt;=AK277-cfg_tol,K277="Sim")),1,0)</f>
        <v>0</v>
      </c>
      <c r="AO277" s="96">
        <f>IF(AND(AN277=1,AD277&gt;0,AE277=AD277,AL277=0),1,0)</f>
        <v>0</v>
      </c>
      <c r="AP277" s="96">
        <f>IF(U277=0,0,IF(AND(INDEX('MTRs'!$AX$6:$AX$505,T277)=1,Z277=0,OR(f_res="",f_res="(Todos)",C277=f_res)),1,0))</f>
        <v>0</v>
      </c>
      <c r="AQ277" s="97" t="str">
        <f>IF(U277=0,"",INDEX('MTRs'!$AZ$6:$AZ$505,T277))</f>
        <v/>
      </c>
      <c r="AR277" s="96">
        <f>IF(U277=0,0,IF(AND(INDEX('MTRs'!$BA$6:$BA$505,T277)=1,Z277=0),1,0))</f>
        <v>0</v>
      </c>
      <c r="AS277" s="96" t="str">
        <f>IF(R277=1,A277&amp;" | MTR "&amp;IF(U277=1,INDEX('MTRs'!$B$6:$B$505,T277)&amp;"","?")&amp;" | "&amp;IF(C277="","(sem resíduo)",C277),"")</f>
        <v/>
      </c>
      <c r="AT277" s="96" t="str">
        <f>IF(R277=1,COUNTIF($R$6:R277,1),"")</f>
        <v/>
      </c>
      <c r="AU277" s="96" t="str">
        <f>IF(U277=1,INDEX('MTRs'!$I$6:$I$505,T277)&amp;"","")</f>
        <v/>
      </c>
    </row>
    <row r="278">
      <c r="A278" s="89" t="inlineStr">
        <is>
          <t>IT-000273</t>
        </is>
      </c>
      <c r="B278" s="91" t="n"/>
      <c r="C278" s="91" t="n"/>
      <c r="D278" s="94" t="str">
        <f>IF(OR(R278=0,V278=0),"",INDEX('CAD_RESÍDUOS'!$E$6:$E$205,MATCH(C278,'CAD_RESÍDUOS'!$B$6:$B$205,0))&amp;"")</f>
        <v/>
      </c>
      <c r="E278" s="94" t="str">
        <f>IF(OR(R278=0,V278=0),"",INDEX('CAD_RESÍDUOS'!$C$6:$C$205,MATCH(C278,'CAD_RESÍDUOS'!$B$6:$B$205,0))&amp;"")</f>
        <v/>
      </c>
      <c r="F278" s="94" t="str">
        <f>IF(OR(R278=0,V278=0),"",INDEX('CAD_RESÍDUOS'!$G$6:$G$205,MATCH(C278,'CAD_RESÍDUOS'!$B$6:$B$205,0))&amp;"")</f>
        <v/>
      </c>
      <c r="G278" s="98" t="n"/>
      <c r="H278" s="91" t="n"/>
      <c r="I278" s="93" t="str">
        <f>IF(R278=0,"",IF(NOT(ISNUMBER(G278)),"",IF(ISNUMBER(X278),G278*X278,"UNIDADE A CONFERIR")))</f>
        <v/>
      </c>
      <c r="J278" s="91" t="n"/>
      <c r="K278" s="91" t="n"/>
      <c r="L278" s="93" t="str">
        <f>IF(R278=0,"",SUMIFS('RECEBIMENTOS'!$H$6:$H$1005,'RECEBIMENTOS'!$R$6:$R$1005,A278,'RECEBIMENTOS'!$X$6:$X$1005,1))</f>
        <v/>
      </c>
      <c r="M278" s="93" t="str">
        <f>IF(R278=0,"",SUMIFS('VÍNCULOS_CDF'!$H$6:$H$1005,'VÍNCULOS_CDF'!$R$6:$R$1005,A278,'VÍNCULOS_CDF'!$V$6:$V$1005,1))</f>
        <v/>
      </c>
      <c r="N278" s="99" t="str">
        <f>IF(OR(R278=0,AA278=0,NOT(ISNUMBER(I278))),"",I278-N(L278))</f>
        <v/>
      </c>
      <c r="O278" s="100" t="str">
        <f>IF(OR(R278=0,AK278&lt;=0),"",N(M278)/AK278)</f>
        <v/>
      </c>
      <c r="P278" s="94" t="str">
        <f>IF(R278=0,"",IF(S278="","Sem MTR associado",IF(U278=0,"MTR inexistente",IF(C278="","Resíduo não identificado",IF(V278=0,"Resíduo fora do cadastro",IF(W278=0,"Quantidade inválida",IF(H278="","Unidade não informada",IF(NOT(ISNUMBER(I278)),"Unidade a conferir",IF(AND(AH278=1,K278&lt;&gt;"Sim"),"Possível duplicidade",IF(Z278=1,"MTR cancelado",IF(AC278&gt;0,"Recebimento com alerta",IF(AA278=0,"Aguardando recebimento",IF(AB278&lt;AA278,"Recebimento a conferir",IF(AM278=1,"Quantidade a revisar",IF(AF278&gt;0,"Vínculo a revisar",IF(AD278=0,"Aguardando CDF",IF(AN278=0,"Vínculo de CDF parcial",IF(AE278&lt;AD278,"CDF a conferir","Documentação conferida"))))))))))))))))))</f>
        <v/>
      </c>
      <c r="Q278" s="93" t="str">
        <f>IF(OR(R278=0,AA278=0),"",MAX(0,N(L278)-N(M278)))</f>
        <v/>
      </c>
      <c r="R278" s="96">
        <f>IF(COUNTA(B278:C278,G278:H278,J278:K278)&gt;0,1,0)</f>
        <v>0</v>
      </c>
      <c r="S278" s="96" t="str">
        <f>IF(B278="","",TRIM(LEFT(B278,FIND(" |",B278&amp;" |")-1)))</f>
        <v/>
      </c>
      <c r="T278" s="96" t="str">
        <f>IF(S278="","",IFERROR(MATCH(S278,'MTRs'!$A$6:$A$505,0),""))</f>
        <v/>
      </c>
      <c r="U278" s="96">
        <f>IF(T278="",0,IF(INDEX('MTRs'!$Z$6:$Z$505,T278)=1,1,0))</f>
        <v>0</v>
      </c>
      <c r="V278" s="96">
        <f>IF(C278="",0,IF(ISNUMBER(MATCH(C278,'CAD_RESÍDUOS'!$B$6:$B$205,0)),1,0))</f>
        <v>0</v>
      </c>
      <c r="W278" s="96">
        <f>IF(AND(ISNUMBER(G278),G278&gt;0),1,0)</f>
        <v>0</v>
      </c>
      <c r="X278" s="96" t="str">
        <f>IF(H278="","",IFERROR(IF(ISNUMBER(INDEX(cfg_fac,MATCH(H278,cfg_units,0))),IF(INDEX(cfg_fac,MATCH(H278,cfg_units,0))&gt;0,INDEX(cfg_fac,MATCH(H278,cfg_units,0)),""),""),""))</f>
        <v/>
      </c>
      <c r="Y278" s="96">
        <f>IF(AND(W278=1,ISNUMBER(I278)),1,0)</f>
        <v>0</v>
      </c>
      <c r="Z278" s="96">
        <f>IF(U278=1,INDEX('MTRs'!$AA$6:$AA$505,T278),0)</f>
        <v>0</v>
      </c>
      <c r="AA278" s="96">
        <f>IF(R278=0,0,COUNTIFS('RECEBIMENTOS'!$R$6:$R$1005,A278,'RECEBIMENTOS'!$Q$6:$Q$1005,1))</f>
        <v>0</v>
      </c>
      <c r="AB278" s="96">
        <f>IF(R278=0,0,COUNTIFS('RECEBIMENTOS'!$R$6:$R$1005,A278,'RECEBIMENTOS'!$Z$6:$Z$1005,1))</f>
        <v>0</v>
      </c>
      <c r="AC278" s="96">
        <f>IF(R278=0,0,COUNTIFS('RECEBIMENTOS'!$R$6:$R$1005,A278,'RECEBIMENTOS'!$Y$6:$Y$1005,1))</f>
        <v>0</v>
      </c>
      <c r="AD278" s="96">
        <f>IF(R278=0,0,COUNTIFS('VÍNCULOS_CDF'!$R$6:$R$1005,A278,'VÍNCULOS_CDF'!$N$6:$N$1005,1))</f>
        <v>0</v>
      </c>
      <c r="AE278" s="96">
        <f>IF(R278=0,0,COUNTIFS('VÍNCULOS_CDF'!$R$6:$R$1005,A278,'VÍNCULOS_CDF'!$AA$6:$AA$1005,1))</f>
        <v>0</v>
      </c>
      <c r="AF278" s="96">
        <f>IF(R278=0,0,COUNTIFS('VÍNCULOS_CDF'!$R$6:$R$1005,A278,'VÍNCULOS_CDF'!$Y$6:$Y$1005,1))</f>
        <v>0</v>
      </c>
      <c r="AG278" s="96" t="str">
        <f>IF(AND(R278=1,S278&lt;&gt;"",C278&lt;&gt;""),S278&amp;"|"&amp;C278&amp;"|"&amp;G278&amp;"|"&amp;H278,"")</f>
        <v/>
      </c>
      <c r="AH278" s="96">
        <f>IF(AG278="",0,IF(SUMPRODUCT(--($AG$6:$AG$1005=AG278))&gt;1,1,0))</f>
        <v>0</v>
      </c>
      <c r="AI278" s="96">
        <f>IF(R278=0,0,IF(OR(U278=0,V278=0,Y278=0,AND(AH278=1,K278&lt;&gt;"Sim")),1,0))</f>
        <v>0</v>
      </c>
      <c r="AJ278" s="96">
        <f>IF(AND(R278=1,AA278&gt;0,AB278=AA278),1,0)</f>
        <v>0</v>
      </c>
      <c r="AK278" s="96">
        <f>IF(R278=0,0,IF(AA278&gt;0,N(L278),IF(ISNUMBER(I278),I278,0)))</f>
        <v>0</v>
      </c>
      <c r="AL278" s="96">
        <f>IF(R278=0,0,IF(AND(K278&lt;&gt;"Sim",N(M278)&gt;AK278+cfg_tol),1,0))</f>
        <v>0</v>
      </c>
      <c r="AM278" s="96">
        <f>IF(R278=0,0,IF(K278="Sim",0,IF(OR(AND(AA278&gt;0,ISNUMBER(I278),ABS(I278-N(L278))&gt;cfg_tol),AL278=1),1,0)))</f>
        <v>0</v>
      </c>
      <c r="AN278" s="96">
        <f>IF(AND(R278=1,N(M278)&gt;0,OR(N(M278)&gt;=AK278-cfg_tol,K278="Sim")),1,0)</f>
        <v>0</v>
      </c>
      <c r="AO278" s="96">
        <f>IF(AND(AN278=1,AD278&gt;0,AE278=AD278,AL278=0),1,0)</f>
        <v>0</v>
      </c>
      <c r="AP278" s="96">
        <f>IF(U278=0,0,IF(AND(INDEX('MTRs'!$AX$6:$AX$505,T278)=1,Z278=0,OR(f_res="",f_res="(Todos)",C278=f_res)),1,0))</f>
        <v>0</v>
      </c>
      <c r="AQ278" s="97" t="str">
        <f>IF(U278=0,"",INDEX('MTRs'!$AZ$6:$AZ$505,T278))</f>
        <v/>
      </c>
      <c r="AR278" s="96">
        <f>IF(U278=0,0,IF(AND(INDEX('MTRs'!$BA$6:$BA$505,T278)=1,Z278=0),1,0))</f>
        <v>0</v>
      </c>
      <c r="AS278" s="96" t="str">
        <f>IF(R278=1,A278&amp;" | MTR "&amp;IF(U278=1,INDEX('MTRs'!$B$6:$B$505,T278)&amp;"","?")&amp;" | "&amp;IF(C278="","(sem resíduo)",C278),"")</f>
        <v/>
      </c>
      <c r="AT278" s="96" t="str">
        <f>IF(R278=1,COUNTIF($R$6:R278,1),"")</f>
        <v/>
      </c>
      <c r="AU278" s="96" t="str">
        <f>IF(U278=1,INDEX('MTRs'!$I$6:$I$505,T278)&amp;"","")</f>
        <v/>
      </c>
    </row>
    <row r="279">
      <c r="A279" s="89" t="inlineStr">
        <is>
          <t>IT-000274</t>
        </is>
      </c>
      <c r="B279" s="91" t="n"/>
      <c r="C279" s="91" t="n"/>
      <c r="D279" s="94" t="str">
        <f>IF(OR(R279=0,V279=0),"",INDEX('CAD_RESÍDUOS'!$E$6:$E$205,MATCH(C279,'CAD_RESÍDUOS'!$B$6:$B$205,0))&amp;"")</f>
        <v/>
      </c>
      <c r="E279" s="94" t="str">
        <f>IF(OR(R279=0,V279=0),"",INDEX('CAD_RESÍDUOS'!$C$6:$C$205,MATCH(C279,'CAD_RESÍDUOS'!$B$6:$B$205,0))&amp;"")</f>
        <v/>
      </c>
      <c r="F279" s="94" t="str">
        <f>IF(OR(R279=0,V279=0),"",INDEX('CAD_RESÍDUOS'!$G$6:$G$205,MATCH(C279,'CAD_RESÍDUOS'!$B$6:$B$205,0))&amp;"")</f>
        <v/>
      </c>
      <c r="G279" s="98" t="n"/>
      <c r="H279" s="91" t="n"/>
      <c r="I279" s="93" t="str">
        <f>IF(R279=0,"",IF(NOT(ISNUMBER(G279)),"",IF(ISNUMBER(X279),G279*X279,"UNIDADE A CONFERIR")))</f>
        <v/>
      </c>
      <c r="J279" s="91" t="n"/>
      <c r="K279" s="91" t="n"/>
      <c r="L279" s="93" t="str">
        <f>IF(R279=0,"",SUMIFS('RECEBIMENTOS'!$H$6:$H$1005,'RECEBIMENTOS'!$R$6:$R$1005,A279,'RECEBIMENTOS'!$X$6:$X$1005,1))</f>
        <v/>
      </c>
      <c r="M279" s="93" t="str">
        <f>IF(R279=0,"",SUMIFS('VÍNCULOS_CDF'!$H$6:$H$1005,'VÍNCULOS_CDF'!$R$6:$R$1005,A279,'VÍNCULOS_CDF'!$V$6:$V$1005,1))</f>
        <v/>
      </c>
      <c r="N279" s="99" t="str">
        <f>IF(OR(R279=0,AA279=0,NOT(ISNUMBER(I279))),"",I279-N(L279))</f>
        <v/>
      </c>
      <c r="O279" s="100" t="str">
        <f>IF(OR(R279=0,AK279&lt;=0),"",N(M279)/AK279)</f>
        <v/>
      </c>
      <c r="P279" s="94" t="str">
        <f>IF(R279=0,"",IF(S279="","Sem MTR associado",IF(U279=0,"MTR inexistente",IF(C279="","Resíduo não identificado",IF(V279=0,"Resíduo fora do cadastro",IF(W279=0,"Quantidade inválida",IF(H279="","Unidade não informada",IF(NOT(ISNUMBER(I279)),"Unidade a conferir",IF(AND(AH279=1,K279&lt;&gt;"Sim"),"Possível duplicidade",IF(Z279=1,"MTR cancelado",IF(AC279&gt;0,"Recebimento com alerta",IF(AA279=0,"Aguardando recebimento",IF(AB279&lt;AA279,"Recebimento a conferir",IF(AM279=1,"Quantidade a revisar",IF(AF279&gt;0,"Vínculo a revisar",IF(AD279=0,"Aguardando CDF",IF(AN279=0,"Vínculo de CDF parcial",IF(AE279&lt;AD279,"CDF a conferir","Documentação conferida"))))))))))))))))))</f>
        <v/>
      </c>
      <c r="Q279" s="93" t="str">
        <f>IF(OR(R279=0,AA279=0),"",MAX(0,N(L279)-N(M279)))</f>
        <v/>
      </c>
      <c r="R279" s="96">
        <f>IF(COUNTA(B279:C279,G279:H279,J279:K279)&gt;0,1,0)</f>
        <v>0</v>
      </c>
      <c r="S279" s="96" t="str">
        <f>IF(B279="","",TRIM(LEFT(B279,FIND(" |",B279&amp;" |")-1)))</f>
        <v/>
      </c>
      <c r="T279" s="96" t="str">
        <f>IF(S279="","",IFERROR(MATCH(S279,'MTRs'!$A$6:$A$505,0),""))</f>
        <v/>
      </c>
      <c r="U279" s="96">
        <f>IF(T279="",0,IF(INDEX('MTRs'!$Z$6:$Z$505,T279)=1,1,0))</f>
        <v>0</v>
      </c>
      <c r="V279" s="96">
        <f>IF(C279="",0,IF(ISNUMBER(MATCH(C279,'CAD_RESÍDUOS'!$B$6:$B$205,0)),1,0))</f>
        <v>0</v>
      </c>
      <c r="W279" s="96">
        <f>IF(AND(ISNUMBER(G279),G279&gt;0),1,0)</f>
        <v>0</v>
      </c>
      <c r="X279" s="96" t="str">
        <f>IF(H279="","",IFERROR(IF(ISNUMBER(INDEX(cfg_fac,MATCH(H279,cfg_units,0))),IF(INDEX(cfg_fac,MATCH(H279,cfg_units,0))&gt;0,INDEX(cfg_fac,MATCH(H279,cfg_units,0)),""),""),""))</f>
        <v/>
      </c>
      <c r="Y279" s="96">
        <f>IF(AND(W279=1,ISNUMBER(I279)),1,0)</f>
        <v>0</v>
      </c>
      <c r="Z279" s="96">
        <f>IF(U279=1,INDEX('MTRs'!$AA$6:$AA$505,T279),0)</f>
        <v>0</v>
      </c>
      <c r="AA279" s="96">
        <f>IF(R279=0,0,COUNTIFS('RECEBIMENTOS'!$R$6:$R$1005,A279,'RECEBIMENTOS'!$Q$6:$Q$1005,1))</f>
        <v>0</v>
      </c>
      <c r="AB279" s="96">
        <f>IF(R279=0,0,COUNTIFS('RECEBIMENTOS'!$R$6:$R$1005,A279,'RECEBIMENTOS'!$Z$6:$Z$1005,1))</f>
        <v>0</v>
      </c>
      <c r="AC279" s="96">
        <f>IF(R279=0,0,COUNTIFS('RECEBIMENTOS'!$R$6:$R$1005,A279,'RECEBIMENTOS'!$Y$6:$Y$1005,1))</f>
        <v>0</v>
      </c>
      <c r="AD279" s="96">
        <f>IF(R279=0,0,COUNTIFS('VÍNCULOS_CDF'!$R$6:$R$1005,A279,'VÍNCULOS_CDF'!$N$6:$N$1005,1))</f>
        <v>0</v>
      </c>
      <c r="AE279" s="96">
        <f>IF(R279=0,0,COUNTIFS('VÍNCULOS_CDF'!$R$6:$R$1005,A279,'VÍNCULOS_CDF'!$AA$6:$AA$1005,1))</f>
        <v>0</v>
      </c>
      <c r="AF279" s="96">
        <f>IF(R279=0,0,COUNTIFS('VÍNCULOS_CDF'!$R$6:$R$1005,A279,'VÍNCULOS_CDF'!$Y$6:$Y$1005,1))</f>
        <v>0</v>
      </c>
      <c r="AG279" s="96" t="str">
        <f>IF(AND(R279=1,S279&lt;&gt;"",C279&lt;&gt;""),S279&amp;"|"&amp;C279&amp;"|"&amp;G279&amp;"|"&amp;H279,"")</f>
        <v/>
      </c>
      <c r="AH279" s="96">
        <f>IF(AG279="",0,IF(SUMPRODUCT(--($AG$6:$AG$1005=AG279))&gt;1,1,0))</f>
        <v>0</v>
      </c>
      <c r="AI279" s="96">
        <f>IF(R279=0,0,IF(OR(U279=0,V279=0,Y279=0,AND(AH279=1,K279&lt;&gt;"Sim")),1,0))</f>
        <v>0</v>
      </c>
      <c r="AJ279" s="96">
        <f>IF(AND(R279=1,AA279&gt;0,AB279=AA279),1,0)</f>
        <v>0</v>
      </c>
      <c r="AK279" s="96">
        <f>IF(R279=0,0,IF(AA279&gt;0,N(L279),IF(ISNUMBER(I279),I279,0)))</f>
        <v>0</v>
      </c>
      <c r="AL279" s="96">
        <f>IF(R279=0,0,IF(AND(K279&lt;&gt;"Sim",N(M279)&gt;AK279+cfg_tol),1,0))</f>
        <v>0</v>
      </c>
      <c r="AM279" s="96">
        <f>IF(R279=0,0,IF(K279="Sim",0,IF(OR(AND(AA279&gt;0,ISNUMBER(I279),ABS(I279-N(L279))&gt;cfg_tol),AL279=1),1,0)))</f>
        <v>0</v>
      </c>
      <c r="AN279" s="96">
        <f>IF(AND(R279=1,N(M279)&gt;0,OR(N(M279)&gt;=AK279-cfg_tol,K279="Sim")),1,0)</f>
        <v>0</v>
      </c>
      <c r="AO279" s="96">
        <f>IF(AND(AN279=1,AD279&gt;0,AE279=AD279,AL279=0),1,0)</f>
        <v>0</v>
      </c>
      <c r="AP279" s="96">
        <f>IF(U279=0,0,IF(AND(INDEX('MTRs'!$AX$6:$AX$505,T279)=1,Z279=0,OR(f_res="",f_res="(Todos)",C279=f_res)),1,0))</f>
        <v>0</v>
      </c>
      <c r="AQ279" s="97" t="str">
        <f>IF(U279=0,"",INDEX('MTRs'!$AZ$6:$AZ$505,T279))</f>
        <v/>
      </c>
      <c r="AR279" s="96">
        <f>IF(U279=0,0,IF(AND(INDEX('MTRs'!$BA$6:$BA$505,T279)=1,Z279=0),1,0))</f>
        <v>0</v>
      </c>
      <c r="AS279" s="96" t="str">
        <f>IF(R279=1,A279&amp;" | MTR "&amp;IF(U279=1,INDEX('MTRs'!$B$6:$B$505,T279)&amp;"","?")&amp;" | "&amp;IF(C279="","(sem resíduo)",C279),"")</f>
        <v/>
      </c>
      <c r="AT279" s="96" t="str">
        <f>IF(R279=1,COUNTIF($R$6:R279,1),"")</f>
        <v/>
      </c>
      <c r="AU279" s="96" t="str">
        <f>IF(U279=1,INDEX('MTRs'!$I$6:$I$505,T279)&amp;"","")</f>
        <v/>
      </c>
    </row>
    <row r="280">
      <c r="A280" s="89" t="inlineStr">
        <is>
          <t>IT-000275</t>
        </is>
      </c>
      <c r="B280" s="91" t="n"/>
      <c r="C280" s="91" t="n"/>
      <c r="D280" s="94" t="str">
        <f>IF(OR(R280=0,V280=0),"",INDEX('CAD_RESÍDUOS'!$E$6:$E$205,MATCH(C280,'CAD_RESÍDUOS'!$B$6:$B$205,0))&amp;"")</f>
        <v/>
      </c>
      <c r="E280" s="94" t="str">
        <f>IF(OR(R280=0,V280=0),"",INDEX('CAD_RESÍDUOS'!$C$6:$C$205,MATCH(C280,'CAD_RESÍDUOS'!$B$6:$B$205,0))&amp;"")</f>
        <v/>
      </c>
      <c r="F280" s="94" t="str">
        <f>IF(OR(R280=0,V280=0),"",INDEX('CAD_RESÍDUOS'!$G$6:$G$205,MATCH(C280,'CAD_RESÍDUOS'!$B$6:$B$205,0))&amp;"")</f>
        <v/>
      </c>
      <c r="G280" s="98" t="n"/>
      <c r="H280" s="91" t="n"/>
      <c r="I280" s="93" t="str">
        <f>IF(R280=0,"",IF(NOT(ISNUMBER(G280)),"",IF(ISNUMBER(X280),G280*X280,"UNIDADE A CONFERIR")))</f>
        <v/>
      </c>
      <c r="J280" s="91" t="n"/>
      <c r="K280" s="91" t="n"/>
      <c r="L280" s="93" t="str">
        <f>IF(R280=0,"",SUMIFS('RECEBIMENTOS'!$H$6:$H$1005,'RECEBIMENTOS'!$R$6:$R$1005,A280,'RECEBIMENTOS'!$X$6:$X$1005,1))</f>
        <v/>
      </c>
      <c r="M280" s="93" t="str">
        <f>IF(R280=0,"",SUMIFS('VÍNCULOS_CDF'!$H$6:$H$1005,'VÍNCULOS_CDF'!$R$6:$R$1005,A280,'VÍNCULOS_CDF'!$V$6:$V$1005,1))</f>
        <v/>
      </c>
      <c r="N280" s="99" t="str">
        <f>IF(OR(R280=0,AA280=0,NOT(ISNUMBER(I280))),"",I280-N(L280))</f>
        <v/>
      </c>
      <c r="O280" s="100" t="str">
        <f>IF(OR(R280=0,AK280&lt;=0),"",N(M280)/AK280)</f>
        <v/>
      </c>
      <c r="P280" s="94" t="str">
        <f>IF(R280=0,"",IF(S280="","Sem MTR associado",IF(U280=0,"MTR inexistente",IF(C280="","Resíduo não identificado",IF(V280=0,"Resíduo fora do cadastro",IF(W280=0,"Quantidade inválida",IF(H280="","Unidade não informada",IF(NOT(ISNUMBER(I280)),"Unidade a conferir",IF(AND(AH280=1,K280&lt;&gt;"Sim"),"Possível duplicidade",IF(Z280=1,"MTR cancelado",IF(AC280&gt;0,"Recebimento com alerta",IF(AA280=0,"Aguardando recebimento",IF(AB280&lt;AA280,"Recebimento a conferir",IF(AM280=1,"Quantidade a revisar",IF(AF280&gt;0,"Vínculo a revisar",IF(AD280=0,"Aguardando CDF",IF(AN280=0,"Vínculo de CDF parcial",IF(AE280&lt;AD280,"CDF a conferir","Documentação conferida"))))))))))))))))))</f>
        <v/>
      </c>
      <c r="Q280" s="93" t="str">
        <f>IF(OR(R280=0,AA280=0),"",MAX(0,N(L280)-N(M280)))</f>
        <v/>
      </c>
      <c r="R280" s="96">
        <f>IF(COUNTA(B280:C280,G280:H280,J280:K280)&gt;0,1,0)</f>
        <v>0</v>
      </c>
      <c r="S280" s="96" t="str">
        <f>IF(B280="","",TRIM(LEFT(B280,FIND(" |",B280&amp;" |")-1)))</f>
        <v/>
      </c>
      <c r="T280" s="96" t="str">
        <f>IF(S280="","",IFERROR(MATCH(S280,'MTRs'!$A$6:$A$505,0),""))</f>
        <v/>
      </c>
      <c r="U280" s="96">
        <f>IF(T280="",0,IF(INDEX('MTRs'!$Z$6:$Z$505,T280)=1,1,0))</f>
        <v>0</v>
      </c>
      <c r="V280" s="96">
        <f>IF(C280="",0,IF(ISNUMBER(MATCH(C280,'CAD_RESÍDUOS'!$B$6:$B$205,0)),1,0))</f>
        <v>0</v>
      </c>
      <c r="W280" s="96">
        <f>IF(AND(ISNUMBER(G280),G280&gt;0),1,0)</f>
        <v>0</v>
      </c>
      <c r="X280" s="96" t="str">
        <f>IF(H280="","",IFERROR(IF(ISNUMBER(INDEX(cfg_fac,MATCH(H280,cfg_units,0))),IF(INDEX(cfg_fac,MATCH(H280,cfg_units,0))&gt;0,INDEX(cfg_fac,MATCH(H280,cfg_units,0)),""),""),""))</f>
        <v/>
      </c>
      <c r="Y280" s="96">
        <f>IF(AND(W280=1,ISNUMBER(I280)),1,0)</f>
        <v>0</v>
      </c>
      <c r="Z280" s="96">
        <f>IF(U280=1,INDEX('MTRs'!$AA$6:$AA$505,T280),0)</f>
        <v>0</v>
      </c>
      <c r="AA280" s="96">
        <f>IF(R280=0,0,COUNTIFS('RECEBIMENTOS'!$R$6:$R$1005,A280,'RECEBIMENTOS'!$Q$6:$Q$1005,1))</f>
        <v>0</v>
      </c>
      <c r="AB280" s="96">
        <f>IF(R280=0,0,COUNTIFS('RECEBIMENTOS'!$R$6:$R$1005,A280,'RECEBIMENTOS'!$Z$6:$Z$1005,1))</f>
        <v>0</v>
      </c>
      <c r="AC280" s="96">
        <f>IF(R280=0,0,COUNTIFS('RECEBIMENTOS'!$R$6:$R$1005,A280,'RECEBIMENTOS'!$Y$6:$Y$1005,1))</f>
        <v>0</v>
      </c>
      <c r="AD280" s="96">
        <f>IF(R280=0,0,COUNTIFS('VÍNCULOS_CDF'!$R$6:$R$1005,A280,'VÍNCULOS_CDF'!$N$6:$N$1005,1))</f>
        <v>0</v>
      </c>
      <c r="AE280" s="96">
        <f>IF(R280=0,0,COUNTIFS('VÍNCULOS_CDF'!$R$6:$R$1005,A280,'VÍNCULOS_CDF'!$AA$6:$AA$1005,1))</f>
        <v>0</v>
      </c>
      <c r="AF280" s="96">
        <f>IF(R280=0,0,COUNTIFS('VÍNCULOS_CDF'!$R$6:$R$1005,A280,'VÍNCULOS_CDF'!$Y$6:$Y$1005,1))</f>
        <v>0</v>
      </c>
      <c r="AG280" s="96" t="str">
        <f>IF(AND(R280=1,S280&lt;&gt;"",C280&lt;&gt;""),S280&amp;"|"&amp;C280&amp;"|"&amp;G280&amp;"|"&amp;H280,"")</f>
        <v/>
      </c>
      <c r="AH280" s="96">
        <f>IF(AG280="",0,IF(SUMPRODUCT(--($AG$6:$AG$1005=AG280))&gt;1,1,0))</f>
        <v>0</v>
      </c>
      <c r="AI280" s="96">
        <f>IF(R280=0,0,IF(OR(U280=0,V280=0,Y280=0,AND(AH280=1,K280&lt;&gt;"Sim")),1,0))</f>
        <v>0</v>
      </c>
      <c r="AJ280" s="96">
        <f>IF(AND(R280=1,AA280&gt;0,AB280=AA280),1,0)</f>
        <v>0</v>
      </c>
      <c r="AK280" s="96">
        <f>IF(R280=0,0,IF(AA280&gt;0,N(L280),IF(ISNUMBER(I280),I280,0)))</f>
        <v>0</v>
      </c>
      <c r="AL280" s="96">
        <f>IF(R280=0,0,IF(AND(K280&lt;&gt;"Sim",N(M280)&gt;AK280+cfg_tol),1,0))</f>
        <v>0</v>
      </c>
      <c r="AM280" s="96">
        <f>IF(R280=0,0,IF(K280="Sim",0,IF(OR(AND(AA280&gt;0,ISNUMBER(I280),ABS(I280-N(L280))&gt;cfg_tol),AL280=1),1,0)))</f>
        <v>0</v>
      </c>
      <c r="AN280" s="96">
        <f>IF(AND(R280=1,N(M280)&gt;0,OR(N(M280)&gt;=AK280-cfg_tol,K280="Sim")),1,0)</f>
        <v>0</v>
      </c>
      <c r="AO280" s="96">
        <f>IF(AND(AN280=1,AD280&gt;0,AE280=AD280,AL280=0),1,0)</f>
        <v>0</v>
      </c>
      <c r="AP280" s="96">
        <f>IF(U280=0,0,IF(AND(INDEX('MTRs'!$AX$6:$AX$505,T280)=1,Z280=0,OR(f_res="",f_res="(Todos)",C280=f_res)),1,0))</f>
        <v>0</v>
      </c>
      <c r="AQ280" s="97" t="str">
        <f>IF(U280=0,"",INDEX('MTRs'!$AZ$6:$AZ$505,T280))</f>
        <v/>
      </c>
      <c r="AR280" s="96">
        <f>IF(U280=0,0,IF(AND(INDEX('MTRs'!$BA$6:$BA$505,T280)=1,Z280=0),1,0))</f>
        <v>0</v>
      </c>
      <c r="AS280" s="96" t="str">
        <f>IF(R280=1,A280&amp;" | MTR "&amp;IF(U280=1,INDEX('MTRs'!$B$6:$B$505,T280)&amp;"","?")&amp;" | "&amp;IF(C280="","(sem resíduo)",C280),"")</f>
        <v/>
      </c>
      <c r="AT280" s="96" t="str">
        <f>IF(R280=1,COUNTIF($R$6:R280,1),"")</f>
        <v/>
      </c>
      <c r="AU280" s="96" t="str">
        <f>IF(U280=1,INDEX('MTRs'!$I$6:$I$505,T280)&amp;"","")</f>
        <v/>
      </c>
    </row>
    <row r="281">
      <c r="A281" s="89" t="inlineStr">
        <is>
          <t>IT-000276</t>
        </is>
      </c>
      <c r="B281" s="91" t="n"/>
      <c r="C281" s="91" t="n"/>
      <c r="D281" s="94" t="str">
        <f>IF(OR(R281=0,V281=0),"",INDEX('CAD_RESÍDUOS'!$E$6:$E$205,MATCH(C281,'CAD_RESÍDUOS'!$B$6:$B$205,0))&amp;"")</f>
        <v/>
      </c>
      <c r="E281" s="94" t="str">
        <f>IF(OR(R281=0,V281=0),"",INDEX('CAD_RESÍDUOS'!$C$6:$C$205,MATCH(C281,'CAD_RESÍDUOS'!$B$6:$B$205,0))&amp;"")</f>
        <v/>
      </c>
      <c r="F281" s="94" t="str">
        <f>IF(OR(R281=0,V281=0),"",INDEX('CAD_RESÍDUOS'!$G$6:$G$205,MATCH(C281,'CAD_RESÍDUOS'!$B$6:$B$205,0))&amp;"")</f>
        <v/>
      </c>
      <c r="G281" s="98" t="n"/>
      <c r="H281" s="91" t="n"/>
      <c r="I281" s="93" t="str">
        <f>IF(R281=0,"",IF(NOT(ISNUMBER(G281)),"",IF(ISNUMBER(X281),G281*X281,"UNIDADE A CONFERIR")))</f>
        <v/>
      </c>
      <c r="J281" s="91" t="n"/>
      <c r="K281" s="91" t="n"/>
      <c r="L281" s="93" t="str">
        <f>IF(R281=0,"",SUMIFS('RECEBIMENTOS'!$H$6:$H$1005,'RECEBIMENTOS'!$R$6:$R$1005,A281,'RECEBIMENTOS'!$X$6:$X$1005,1))</f>
        <v/>
      </c>
      <c r="M281" s="93" t="str">
        <f>IF(R281=0,"",SUMIFS('VÍNCULOS_CDF'!$H$6:$H$1005,'VÍNCULOS_CDF'!$R$6:$R$1005,A281,'VÍNCULOS_CDF'!$V$6:$V$1005,1))</f>
        <v/>
      </c>
      <c r="N281" s="99" t="str">
        <f>IF(OR(R281=0,AA281=0,NOT(ISNUMBER(I281))),"",I281-N(L281))</f>
        <v/>
      </c>
      <c r="O281" s="100" t="str">
        <f>IF(OR(R281=0,AK281&lt;=0),"",N(M281)/AK281)</f>
        <v/>
      </c>
      <c r="P281" s="94" t="str">
        <f>IF(R281=0,"",IF(S281="","Sem MTR associado",IF(U281=0,"MTR inexistente",IF(C281="","Resíduo não identificado",IF(V281=0,"Resíduo fora do cadastro",IF(W281=0,"Quantidade inválida",IF(H281="","Unidade não informada",IF(NOT(ISNUMBER(I281)),"Unidade a conferir",IF(AND(AH281=1,K281&lt;&gt;"Sim"),"Possível duplicidade",IF(Z281=1,"MTR cancelado",IF(AC281&gt;0,"Recebimento com alerta",IF(AA281=0,"Aguardando recebimento",IF(AB281&lt;AA281,"Recebimento a conferir",IF(AM281=1,"Quantidade a revisar",IF(AF281&gt;0,"Vínculo a revisar",IF(AD281=0,"Aguardando CDF",IF(AN281=0,"Vínculo de CDF parcial",IF(AE281&lt;AD281,"CDF a conferir","Documentação conferida"))))))))))))))))))</f>
        <v/>
      </c>
      <c r="Q281" s="93" t="str">
        <f>IF(OR(R281=0,AA281=0),"",MAX(0,N(L281)-N(M281)))</f>
        <v/>
      </c>
      <c r="R281" s="96">
        <f>IF(COUNTA(B281:C281,G281:H281,J281:K281)&gt;0,1,0)</f>
        <v>0</v>
      </c>
      <c r="S281" s="96" t="str">
        <f>IF(B281="","",TRIM(LEFT(B281,FIND(" |",B281&amp;" |")-1)))</f>
        <v/>
      </c>
      <c r="T281" s="96" t="str">
        <f>IF(S281="","",IFERROR(MATCH(S281,'MTRs'!$A$6:$A$505,0),""))</f>
        <v/>
      </c>
      <c r="U281" s="96">
        <f>IF(T281="",0,IF(INDEX('MTRs'!$Z$6:$Z$505,T281)=1,1,0))</f>
        <v>0</v>
      </c>
      <c r="V281" s="96">
        <f>IF(C281="",0,IF(ISNUMBER(MATCH(C281,'CAD_RESÍDUOS'!$B$6:$B$205,0)),1,0))</f>
        <v>0</v>
      </c>
      <c r="W281" s="96">
        <f>IF(AND(ISNUMBER(G281),G281&gt;0),1,0)</f>
        <v>0</v>
      </c>
      <c r="X281" s="96" t="str">
        <f>IF(H281="","",IFERROR(IF(ISNUMBER(INDEX(cfg_fac,MATCH(H281,cfg_units,0))),IF(INDEX(cfg_fac,MATCH(H281,cfg_units,0))&gt;0,INDEX(cfg_fac,MATCH(H281,cfg_units,0)),""),""),""))</f>
        <v/>
      </c>
      <c r="Y281" s="96">
        <f>IF(AND(W281=1,ISNUMBER(I281)),1,0)</f>
        <v>0</v>
      </c>
      <c r="Z281" s="96">
        <f>IF(U281=1,INDEX('MTRs'!$AA$6:$AA$505,T281),0)</f>
        <v>0</v>
      </c>
      <c r="AA281" s="96">
        <f>IF(R281=0,0,COUNTIFS('RECEBIMENTOS'!$R$6:$R$1005,A281,'RECEBIMENTOS'!$Q$6:$Q$1005,1))</f>
        <v>0</v>
      </c>
      <c r="AB281" s="96">
        <f>IF(R281=0,0,COUNTIFS('RECEBIMENTOS'!$R$6:$R$1005,A281,'RECEBIMENTOS'!$Z$6:$Z$1005,1))</f>
        <v>0</v>
      </c>
      <c r="AC281" s="96">
        <f>IF(R281=0,0,COUNTIFS('RECEBIMENTOS'!$R$6:$R$1005,A281,'RECEBIMENTOS'!$Y$6:$Y$1005,1))</f>
        <v>0</v>
      </c>
      <c r="AD281" s="96">
        <f>IF(R281=0,0,COUNTIFS('VÍNCULOS_CDF'!$R$6:$R$1005,A281,'VÍNCULOS_CDF'!$N$6:$N$1005,1))</f>
        <v>0</v>
      </c>
      <c r="AE281" s="96">
        <f>IF(R281=0,0,COUNTIFS('VÍNCULOS_CDF'!$R$6:$R$1005,A281,'VÍNCULOS_CDF'!$AA$6:$AA$1005,1))</f>
        <v>0</v>
      </c>
      <c r="AF281" s="96">
        <f>IF(R281=0,0,COUNTIFS('VÍNCULOS_CDF'!$R$6:$R$1005,A281,'VÍNCULOS_CDF'!$Y$6:$Y$1005,1))</f>
        <v>0</v>
      </c>
      <c r="AG281" s="96" t="str">
        <f>IF(AND(R281=1,S281&lt;&gt;"",C281&lt;&gt;""),S281&amp;"|"&amp;C281&amp;"|"&amp;G281&amp;"|"&amp;H281,"")</f>
        <v/>
      </c>
      <c r="AH281" s="96">
        <f>IF(AG281="",0,IF(SUMPRODUCT(--($AG$6:$AG$1005=AG281))&gt;1,1,0))</f>
        <v>0</v>
      </c>
      <c r="AI281" s="96">
        <f>IF(R281=0,0,IF(OR(U281=0,V281=0,Y281=0,AND(AH281=1,K281&lt;&gt;"Sim")),1,0))</f>
        <v>0</v>
      </c>
      <c r="AJ281" s="96">
        <f>IF(AND(R281=1,AA281&gt;0,AB281=AA281),1,0)</f>
        <v>0</v>
      </c>
      <c r="AK281" s="96">
        <f>IF(R281=0,0,IF(AA281&gt;0,N(L281),IF(ISNUMBER(I281),I281,0)))</f>
        <v>0</v>
      </c>
      <c r="AL281" s="96">
        <f>IF(R281=0,0,IF(AND(K281&lt;&gt;"Sim",N(M281)&gt;AK281+cfg_tol),1,0))</f>
        <v>0</v>
      </c>
      <c r="AM281" s="96">
        <f>IF(R281=0,0,IF(K281="Sim",0,IF(OR(AND(AA281&gt;0,ISNUMBER(I281),ABS(I281-N(L281))&gt;cfg_tol),AL281=1),1,0)))</f>
        <v>0</v>
      </c>
      <c r="AN281" s="96">
        <f>IF(AND(R281=1,N(M281)&gt;0,OR(N(M281)&gt;=AK281-cfg_tol,K281="Sim")),1,0)</f>
        <v>0</v>
      </c>
      <c r="AO281" s="96">
        <f>IF(AND(AN281=1,AD281&gt;0,AE281=AD281,AL281=0),1,0)</f>
        <v>0</v>
      </c>
      <c r="AP281" s="96">
        <f>IF(U281=0,0,IF(AND(INDEX('MTRs'!$AX$6:$AX$505,T281)=1,Z281=0,OR(f_res="",f_res="(Todos)",C281=f_res)),1,0))</f>
        <v>0</v>
      </c>
      <c r="AQ281" s="97" t="str">
        <f>IF(U281=0,"",INDEX('MTRs'!$AZ$6:$AZ$505,T281))</f>
        <v/>
      </c>
      <c r="AR281" s="96">
        <f>IF(U281=0,0,IF(AND(INDEX('MTRs'!$BA$6:$BA$505,T281)=1,Z281=0),1,0))</f>
        <v>0</v>
      </c>
      <c r="AS281" s="96" t="str">
        <f>IF(R281=1,A281&amp;" | MTR "&amp;IF(U281=1,INDEX('MTRs'!$B$6:$B$505,T281)&amp;"","?")&amp;" | "&amp;IF(C281="","(sem resíduo)",C281),"")</f>
        <v/>
      </c>
      <c r="AT281" s="96" t="str">
        <f>IF(R281=1,COUNTIF($R$6:R281,1),"")</f>
        <v/>
      </c>
      <c r="AU281" s="96" t="str">
        <f>IF(U281=1,INDEX('MTRs'!$I$6:$I$505,T281)&amp;"","")</f>
        <v/>
      </c>
    </row>
    <row r="282">
      <c r="A282" s="89" t="inlineStr">
        <is>
          <t>IT-000277</t>
        </is>
      </c>
      <c r="B282" s="91" t="n"/>
      <c r="C282" s="91" t="n"/>
      <c r="D282" s="94" t="str">
        <f>IF(OR(R282=0,V282=0),"",INDEX('CAD_RESÍDUOS'!$E$6:$E$205,MATCH(C282,'CAD_RESÍDUOS'!$B$6:$B$205,0))&amp;"")</f>
        <v/>
      </c>
      <c r="E282" s="94" t="str">
        <f>IF(OR(R282=0,V282=0),"",INDEX('CAD_RESÍDUOS'!$C$6:$C$205,MATCH(C282,'CAD_RESÍDUOS'!$B$6:$B$205,0))&amp;"")</f>
        <v/>
      </c>
      <c r="F282" s="94" t="str">
        <f>IF(OR(R282=0,V282=0),"",INDEX('CAD_RESÍDUOS'!$G$6:$G$205,MATCH(C282,'CAD_RESÍDUOS'!$B$6:$B$205,0))&amp;"")</f>
        <v/>
      </c>
      <c r="G282" s="98" t="n"/>
      <c r="H282" s="91" t="n"/>
      <c r="I282" s="93" t="str">
        <f>IF(R282=0,"",IF(NOT(ISNUMBER(G282)),"",IF(ISNUMBER(X282),G282*X282,"UNIDADE A CONFERIR")))</f>
        <v/>
      </c>
      <c r="J282" s="91" t="n"/>
      <c r="K282" s="91" t="n"/>
      <c r="L282" s="93" t="str">
        <f>IF(R282=0,"",SUMIFS('RECEBIMENTOS'!$H$6:$H$1005,'RECEBIMENTOS'!$R$6:$R$1005,A282,'RECEBIMENTOS'!$X$6:$X$1005,1))</f>
        <v/>
      </c>
      <c r="M282" s="93" t="str">
        <f>IF(R282=0,"",SUMIFS('VÍNCULOS_CDF'!$H$6:$H$1005,'VÍNCULOS_CDF'!$R$6:$R$1005,A282,'VÍNCULOS_CDF'!$V$6:$V$1005,1))</f>
        <v/>
      </c>
      <c r="N282" s="99" t="str">
        <f>IF(OR(R282=0,AA282=0,NOT(ISNUMBER(I282))),"",I282-N(L282))</f>
        <v/>
      </c>
      <c r="O282" s="100" t="str">
        <f>IF(OR(R282=0,AK282&lt;=0),"",N(M282)/AK282)</f>
        <v/>
      </c>
      <c r="P282" s="94" t="str">
        <f>IF(R282=0,"",IF(S282="","Sem MTR associado",IF(U282=0,"MTR inexistente",IF(C282="","Resíduo não identificado",IF(V282=0,"Resíduo fora do cadastro",IF(W282=0,"Quantidade inválida",IF(H282="","Unidade não informada",IF(NOT(ISNUMBER(I282)),"Unidade a conferir",IF(AND(AH282=1,K282&lt;&gt;"Sim"),"Possível duplicidade",IF(Z282=1,"MTR cancelado",IF(AC282&gt;0,"Recebimento com alerta",IF(AA282=0,"Aguardando recebimento",IF(AB282&lt;AA282,"Recebimento a conferir",IF(AM282=1,"Quantidade a revisar",IF(AF282&gt;0,"Vínculo a revisar",IF(AD282=0,"Aguardando CDF",IF(AN282=0,"Vínculo de CDF parcial",IF(AE282&lt;AD282,"CDF a conferir","Documentação conferida"))))))))))))))))))</f>
        <v/>
      </c>
      <c r="Q282" s="93" t="str">
        <f>IF(OR(R282=0,AA282=0),"",MAX(0,N(L282)-N(M282)))</f>
        <v/>
      </c>
      <c r="R282" s="96">
        <f>IF(COUNTA(B282:C282,G282:H282,J282:K282)&gt;0,1,0)</f>
        <v>0</v>
      </c>
      <c r="S282" s="96" t="str">
        <f>IF(B282="","",TRIM(LEFT(B282,FIND(" |",B282&amp;" |")-1)))</f>
        <v/>
      </c>
      <c r="T282" s="96" t="str">
        <f>IF(S282="","",IFERROR(MATCH(S282,'MTRs'!$A$6:$A$505,0),""))</f>
        <v/>
      </c>
      <c r="U282" s="96">
        <f>IF(T282="",0,IF(INDEX('MTRs'!$Z$6:$Z$505,T282)=1,1,0))</f>
        <v>0</v>
      </c>
      <c r="V282" s="96">
        <f>IF(C282="",0,IF(ISNUMBER(MATCH(C282,'CAD_RESÍDUOS'!$B$6:$B$205,0)),1,0))</f>
        <v>0</v>
      </c>
      <c r="W282" s="96">
        <f>IF(AND(ISNUMBER(G282),G282&gt;0),1,0)</f>
        <v>0</v>
      </c>
      <c r="X282" s="96" t="str">
        <f>IF(H282="","",IFERROR(IF(ISNUMBER(INDEX(cfg_fac,MATCH(H282,cfg_units,0))),IF(INDEX(cfg_fac,MATCH(H282,cfg_units,0))&gt;0,INDEX(cfg_fac,MATCH(H282,cfg_units,0)),""),""),""))</f>
        <v/>
      </c>
      <c r="Y282" s="96">
        <f>IF(AND(W282=1,ISNUMBER(I282)),1,0)</f>
        <v>0</v>
      </c>
      <c r="Z282" s="96">
        <f>IF(U282=1,INDEX('MTRs'!$AA$6:$AA$505,T282),0)</f>
        <v>0</v>
      </c>
      <c r="AA282" s="96">
        <f>IF(R282=0,0,COUNTIFS('RECEBIMENTOS'!$R$6:$R$1005,A282,'RECEBIMENTOS'!$Q$6:$Q$1005,1))</f>
        <v>0</v>
      </c>
      <c r="AB282" s="96">
        <f>IF(R282=0,0,COUNTIFS('RECEBIMENTOS'!$R$6:$R$1005,A282,'RECEBIMENTOS'!$Z$6:$Z$1005,1))</f>
        <v>0</v>
      </c>
      <c r="AC282" s="96">
        <f>IF(R282=0,0,COUNTIFS('RECEBIMENTOS'!$R$6:$R$1005,A282,'RECEBIMENTOS'!$Y$6:$Y$1005,1))</f>
        <v>0</v>
      </c>
      <c r="AD282" s="96">
        <f>IF(R282=0,0,COUNTIFS('VÍNCULOS_CDF'!$R$6:$R$1005,A282,'VÍNCULOS_CDF'!$N$6:$N$1005,1))</f>
        <v>0</v>
      </c>
      <c r="AE282" s="96">
        <f>IF(R282=0,0,COUNTIFS('VÍNCULOS_CDF'!$R$6:$R$1005,A282,'VÍNCULOS_CDF'!$AA$6:$AA$1005,1))</f>
        <v>0</v>
      </c>
      <c r="AF282" s="96">
        <f>IF(R282=0,0,COUNTIFS('VÍNCULOS_CDF'!$R$6:$R$1005,A282,'VÍNCULOS_CDF'!$Y$6:$Y$1005,1))</f>
        <v>0</v>
      </c>
      <c r="AG282" s="96" t="str">
        <f>IF(AND(R282=1,S282&lt;&gt;"",C282&lt;&gt;""),S282&amp;"|"&amp;C282&amp;"|"&amp;G282&amp;"|"&amp;H282,"")</f>
        <v/>
      </c>
      <c r="AH282" s="96">
        <f>IF(AG282="",0,IF(SUMPRODUCT(--($AG$6:$AG$1005=AG282))&gt;1,1,0))</f>
        <v>0</v>
      </c>
      <c r="AI282" s="96">
        <f>IF(R282=0,0,IF(OR(U282=0,V282=0,Y282=0,AND(AH282=1,K282&lt;&gt;"Sim")),1,0))</f>
        <v>0</v>
      </c>
      <c r="AJ282" s="96">
        <f>IF(AND(R282=1,AA282&gt;0,AB282=AA282),1,0)</f>
        <v>0</v>
      </c>
      <c r="AK282" s="96">
        <f>IF(R282=0,0,IF(AA282&gt;0,N(L282),IF(ISNUMBER(I282),I282,0)))</f>
        <v>0</v>
      </c>
      <c r="AL282" s="96">
        <f>IF(R282=0,0,IF(AND(K282&lt;&gt;"Sim",N(M282)&gt;AK282+cfg_tol),1,0))</f>
        <v>0</v>
      </c>
      <c r="AM282" s="96">
        <f>IF(R282=0,0,IF(K282="Sim",0,IF(OR(AND(AA282&gt;0,ISNUMBER(I282),ABS(I282-N(L282))&gt;cfg_tol),AL282=1),1,0)))</f>
        <v>0</v>
      </c>
      <c r="AN282" s="96">
        <f>IF(AND(R282=1,N(M282)&gt;0,OR(N(M282)&gt;=AK282-cfg_tol,K282="Sim")),1,0)</f>
        <v>0</v>
      </c>
      <c r="AO282" s="96">
        <f>IF(AND(AN282=1,AD282&gt;0,AE282=AD282,AL282=0),1,0)</f>
        <v>0</v>
      </c>
      <c r="AP282" s="96">
        <f>IF(U282=0,0,IF(AND(INDEX('MTRs'!$AX$6:$AX$505,T282)=1,Z282=0,OR(f_res="",f_res="(Todos)",C282=f_res)),1,0))</f>
        <v>0</v>
      </c>
      <c r="AQ282" s="97" t="str">
        <f>IF(U282=0,"",INDEX('MTRs'!$AZ$6:$AZ$505,T282))</f>
        <v/>
      </c>
      <c r="AR282" s="96">
        <f>IF(U282=0,0,IF(AND(INDEX('MTRs'!$BA$6:$BA$505,T282)=1,Z282=0),1,0))</f>
        <v>0</v>
      </c>
      <c r="AS282" s="96" t="str">
        <f>IF(R282=1,A282&amp;" | MTR "&amp;IF(U282=1,INDEX('MTRs'!$B$6:$B$505,T282)&amp;"","?")&amp;" | "&amp;IF(C282="","(sem resíduo)",C282),"")</f>
        <v/>
      </c>
      <c r="AT282" s="96" t="str">
        <f>IF(R282=1,COUNTIF($R$6:R282,1),"")</f>
        <v/>
      </c>
      <c r="AU282" s="96" t="str">
        <f>IF(U282=1,INDEX('MTRs'!$I$6:$I$505,T282)&amp;"","")</f>
        <v/>
      </c>
    </row>
    <row r="283">
      <c r="A283" s="89" t="inlineStr">
        <is>
          <t>IT-000278</t>
        </is>
      </c>
      <c r="B283" s="91" t="n"/>
      <c r="C283" s="91" t="n"/>
      <c r="D283" s="94" t="str">
        <f>IF(OR(R283=0,V283=0),"",INDEX('CAD_RESÍDUOS'!$E$6:$E$205,MATCH(C283,'CAD_RESÍDUOS'!$B$6:$B$205,0))&amp;"")</f>
        <v/>
      </c>
      <c r="E283" s="94" t="str">
        <f>IF(OR(R283=0,V283=0),"",INDEX('CAD_RESÍDUOS'!$C$6:$C$205,MATCH(C283,'CAD_RESÍDUOS'!$B$6:$B$205,0))&amp;"")</f>
        <v/>
      </c>
      <c r="F283" s="94" t="str">
        <f>IF(OR(R283=0,V283=0),"",INDEX('CAD_RESÍDUOS'!$G$6:$G$205,MATCH(C283,'CAD_RESÍDUOS'!$B$6:$B$205,0))&amp;"")</f>
        <v/>
      </c>
      <c r="G283" s="98" t="n"/>
      <c r="H283" s="91" t="n"/>
      <c r="I283" s="93" t="str">
        <f>IF(R283=0,"",IF(NOT(ISNUMBER(G283)),"",IF(ISNUMBER(X283),G283*X283,"UNIDADE A CONFERIR")))</f>
        <v/>
      </c>
      <c r="J283" s="91" t="n"/>
      <c r="K283" s="91" t="n"/>
      <c r="L283" s="93" t="str">
        <f>IF(R283=0,"",SUMIFS('RECEBIMENTOS'!$H$6:$H$1005,'RECEBIMENTOS'!$R$6:$R$1005,A283,'RECEBIMENTOS'!$X$6:$X$1005,1))</f>
        <v/>
      </c>
      <c r="M283" s="93" t="str">
        <f>IF(R283=0,"",SUMIFS('VÍNCULOS_CDF'!$H$6:$H$1005,'VÍNCULOS_CDF'!$R$6:$R$1005,A283,'VÍNCULOS_CDF'!$V$6:$V$1005,1))</f>
        <v/>
      </c>
      <c r="N283" s="99" t="str">
        <f>IF(OR(R283=0,AA283=0,NOT(ISNUMBER(I283))),"",I283-N(L283))</f>
        <v/>
      </c>
      <c r="O283" s="100" t="str">
        <f>IF(OR(R283=0,AK283&lt;=0),"",N(M283)/AK283)</f>
        <v/>
      </c>
      <c r="P283" s="94" t="str">
        <f>IF(R283=0,"",IF(S283="","Sem MTR associado",IF(U283=0,"MTR inexistente",IF(C283="","Resíduo não identificado",IF(V283=0,"Resíduo fora do cadastro",IF(W283=0,"Quantidade inválida",IF(H283="","Unidade não informada",IF(NOT(ISNUMBER(I283)),"Unidade a conferir",IF(AND(AH283=1,K283&lt;&gt;"Sim"),"Possível duplicidade",IF(Z283=1,"MTR cancelado",IF(AC283&gt;0,"Recebimento com alerta",IF(AA283=0,"Aguardando recebimento",IF(AB283&lt;AA283,"Recebimento a conferir",IF(AM283=1,"Quantidade a revisar",IF(AF283&gt;0,"Vínculo a revisar",IF(AD283=0,"Aguardando CDF",IF(AN283=0,"Vínculo de CDF parcial",IF(AE283&lt;AD283,"CDF a conferir","Documentação conferida"))))))))))))))))))</f>
        <v/>
      </c>
      <c r="Q283" s="93" t="str">
        <f>IF(OR(R283=0,AA283=0),"",MAX(0,N(L283)-N(M283)))</f>
        <v/>
      </c>
      <c r="R283" s="96">
        <f>IF(COUNTA(B283:C283,G283:H283,J283:K283)&gt;0,1,0)</f>
        <v>0</v>
      </c>
      <c r="S283" s="96" t="str">
        <f>IF(B283="","",TRIM(LEFT(B283,FIND(" |",B283&amp;" |")-1)))</f>
        <v/>
      </c>
      <c r="T283" s="96" t="str">
        <f>IF(S283="","",IFERROR(MATCH(S283,'MTRs'!$A$6:$A$505,0),""))</f>
        <v/>
      </c>
      <c r="U283" s="96">
        <f>IF(T283="",0,IF(INDEX('MTRs'!$Z$6:$Z$505,T283)=1,1,0))</f>
        <v>0</v>
      </c>
      <c r="V283" s="96">
        <f>IF(C283="",0,IF(ISNUMBER(MATCH(C283,'CAD_RESÍDUOS'!$B$6:$B$205,0)),1,0))</f>
        <v>0</v>
      </c>
      <c r="W283" s="96">
        <f>IF(AND(ISNUMBER(G283),G283&gt;0),1,0)</f>
        <v>0</v>
      </c>
      <c r="X283" s="96" t="str">
        <f>IF(H283="","",IFERROR(IF(ISNUMBER(INDEX(cfg_fac,MATCH(H283,cfg_units,0))),IF(INDEX(cfg_fac,MATCH(H283,cfg_units,0))&gt;0,INDEX(cfg_fac,MATCH(H283,cfg_units,0)),""),""),""))</f>
        <v/>
      </c>
      <c r="Y283" s="96">
        <f>IF(AND(W283=1,ISNUMBER(I283)),1,0)</f>
        <v>0</v>
      </c>
      <c r="Z283" s="96">
        <f>IF(U283=1,INDEX('MTRs'!$AA$6:$AA$505,T283),0)</f>
        <v>0</v>
      </c>
      <c r="AA283" s="96">
        <f>IF(R283=0,0,COUNTIFS('RECEBIMENTOS'!$R$6:$R$1005,A283,'RECEBIMENTOS'!$Q$6:$Q$1005,1))</f>
        <v>0</v>
      </c>
      <c r="AB283" s="96">
        <f>IF(R283=0,0,COUNTIFS('RECEBIMENTOS'!$R$6:$R$1005,A283,'RECEBIMENTOS'!$Z$6:$Z$1005,1))</f>
        <v>0</v>
      </c>
      <c r="AC283" s="96">
        <f>IF(R283=0,0,COUNTIFS('RECEBIMENTOS'!$R$6:$R$1005,A283,'RECEBIMENTOS'!$Y$6:$Y$1005,1))</f>
        <v>0</v>
      </c>
      <c r="AD283" s="96">
        <f>IF(R283=0,0,COUNTIFS('VÍNCULOS_CDF'!$R$6:$R$1005,A283,'VÍNCULOS_CDF'!$N$6:$N$1005,1))</f>
        <v>0</v>
      </c>
      <c r="AE283" s="96">
        <f>IF(R283=0,0,COUNTIFS('VÍNCULOS_CDF'!$R$6:$R$1005,A283,'VÍNCULOS_CDF'!$AA$6:$AA$1005,1))</f>
        <v>0</v>
      </c>
      <c r="AF283" s="96">
        <f>IF(R283=0,0,COUNTIFS('VÍNCULOS_CDF'!$R$6:$R$1005,A283,'VÍNCULOS_CDF'!$Y$6:$Y$1005,1))</f>
        <v>0</v>
      </c>
      <c r="AG283" s="96" t="str">
        <f>IF(AND(R283=1,S283&lt;&gt;"",C283&lt;&gt;""),S283&amp;"|"&amp;C283&amp;"|"&amp;G283&amp;"|"&amp;H283,"")</f>
        <v/>
      </c>
      <c r="AH283" s="96">
        <f>IF(AG283="",0,IF(SUMPRODUCT(--($AG$6:$AG$1005=AG283))&gt;1,1,0))</f>
        <v>0</v>
      </c>
      <c r="AI283" s="96">
        <f>IF(R283=0,0,IF(OR(U283=0,V283=0,Y283=0,AND(AH283=1,K283&lt;&gt;"Sim")),1,0))</f>
        <v>0</v>
      </c>
      <c r="AJ283" s="96">
        <f>IF(AND(R283=1,AA283&gt;0,AB283=AA283),1,0)</f>
        <v>0</v>
      </c>
      <c r="AK283" s="96">
        <f>IF(R283=0,0,IF(AA283&gt;0,N(L283),IF(ISNUMBER(I283),I283,0)))</f>
        <v>0</v>
      </c>
      <c r="AL283" s="96">
        <f>IF(R283=0,0,IF(AND(K283&lt;&gt;"Sim",N(M283)&gt;AK283+cfg_tol),1,0))</f>
        <v>0</v>
      </c>
      <c r="AM283" s="96">
        <f>IF(R283=0,0,IF(K283="Sim",0,IF(OR(AND(AA283&gt;0,ISNUMBER(I283),ABS(I283-N(L283))&gt;cfg_tol),AL283=1),1,0)))</f>
        <v>0</v>
      </c>
      <c r="AN283" s="96">
        <f>IF(AND(R283=1,N(M283)&gt;0,OR(N(M283)&gt;=AK283-cfg_tol,K283="Sim")),1,0)</f>
        <v>0</v>
      </c>
      <c r="AO283" s="96">
        <f>IF(AND(AN283=1,AD283&gt;0,AE283=AD283,AL283=0),1,0)</f>
        <v>0</v>
      </c>
      <c r="AP283" s="96">
        <f>IF(U283=0,0,IF(AND(INDEX('MTRs'!$AX$6:$AX$505,T283)=1,Z283=0,OR(f_res="",f_res="(Todos)",C283=f_res)),1,0))</f>
        <v>0</v>
      </c>
      <c r="AQ283" s="97" t="str">
        <f>IF(U283=0,"",INDEX('MTRs'!$AZ$6:$AZ$505,T283))</f>
        <v/>
      </c>
      <c r="AR283" s="96">
        <f>IF(U283=0,0,IF(AND(INDEX('MTRs'!$BA$6:$BA$505,T283)=1,Z283=0),1,0))</f>
        <v>0</v>
      </c>
      <c r="AS283" s="96" t="str">
        <f>IF(R283=1,A283&amp;" | MTR "&amp;IF(U283=1,INDEX('MTRs'!$B$6:$B$505,T283)&amp;"","?")&amp;" | "&amp;IF(C283="","(sem resíduo)",C283),"")</f>
        <v/>
      </c>
      <c r="AT283" s="96" t="str">
        <f>IF(R283=1,COUNTIF($R$6:R283,1),"")</f>
        <v/>
      </c>
      <c r="AU283" s="96" t="str">
        <f>IF(U283=1,INDEX('MTRs'!$I$6:$I$505,T283)&amp;"","")</f>
        <v/>
      </c>
    </row>
    <row r="284">
      <c r="A284" s="89" t="inlineStr">
        <is>
          <t>IT-000279</t>
        </is>
      </c>
      <c r="B284" s="91" t="n"/>
      <c r="C284" s="91" t="n"/>
      <c r="D284" s="94" t="str">
        <f>IF(OR(R284=0,V284=0),"",INDEX('CAD_RESÍDUOS'!$E$6:$E$205,MATCH(C284,'CAD_RESÍDUOS'!$B$6:$B$205,0))&amp;"")</f>
        <v/>
      </c>
      <c r="E284" s="94" t="str">
        <f>IF(OR(R284=0,V284=0),"",INDEX('CAD_RESÍDUOS'!$C$6:$C$205,MATCH(C284,'CAD_RESÍDUOS'!$B$6:$B$205,0))&amp;"")</f>
        <v/>
      </c>
      <c r="F284" s="94" t="str">
        <f>IF(OR(R284=0,V284=0),"",INDEX('CAD_RESÍDUOS'!$G$6:$G$205,MATCH(C284,'CAD_RESÍDUOS'!$B$6:$B$205,0))&amp;"")</f>
        <v/>
      </c>
      <c r="G284" s="98" t="n"/>
      <c r="H284" s="91" t="n"/>
      <c r="I284" s="93" t="str">
        <f>IF(R284=0,"",IF(NOT(ISNUMBER(G284)),"",IF(ISNUMBER(X284),G284*X284,"UNIDADE A CONFERIR")))</f>
        <v/>
      </c>
      <c r="J284" s="91" t="n"/>
      <c r="K284" s="91" t="n"/>
      <c r="L284" s="93" t="str">
        <f>IF(R284=0,"",SUMIFS('RECEBIMENTOS'!$H$6:$H$1005,'RECEBIMENTOS'!$R$6:$R$1005,A284,'RECEBIMENTOS'!$X$6:$X$1005,1))</f>
        <v/>
      </c>
      <c r="M284" s="93" t="str">
        <f>IF(R284=0,"",SUMIFS('VÍNCULOS_CDF'!$H$6:$H$1005,'VÍNCULOS_CDF'!$R$6:$R$1005,A284,'VÍNCULOS_CDF'!$V$6:$V$1005,1))</f>
        <v/>
      </c>
      <c r="N284" s="99" t="str">
        <f>IF(OR(R284=0,AA284=0,NOT(ISNUMBER(I284))),"",I284-N(L284))</f>
        <v/>
      </c>
      <c r="O284" s="100" t="str">
        <f>IF(OR(R284=0,AK284&lt;=0),"",N(M284)/AK284)</f>
        <v/>
      </c>
      <c r="P284" s="94" t="str">
        <f>IF(R284=0,"",IF(S284="","Sem MTR associado",IF(U284=0,"MTR inexistente",IF(C284="","Resíduo não identificado",IF(V284=0,"Resíduo fora do cadastro",IF(W284=0,"Quantidade inválida",IF(H284="","Unidade não informada",IF(NOT(ISNUMBER(I284)),"Unidade a conferir",IF(AND(AH284=1,K284&lt;&gt;"Sim"),"Possível duplicidade",IF(Z284=1,"MTR cancelado",IF(AC284&gt;0,"Recebimento com alerta",IF(AA284=0,"Aguardando recebimento",IF(AB284&lt;AA284,"Recebimento a conferir",IF(AM284=1,"Quantidade a revisar",IF(AF284&gt;0,"Vínculo a revisar",IF(AD284=0,"Aguardando CDF",IF(AN284=0,"Vínculo de CDF parcial",IF(AE284&lt;AD284,"CDF a conferir","Documentação conferida"))))))))))))))))))</f>
        <v/>
      </c>
      <c r="Q284" s="93" t="str">
        <f>IF(OR(R284=0,AA284=0),"",MAX(0,N(L284)-N(M284)))</f>
        <v/>
      </c>
      <c r="R284" s="96">
        <f>IF(COUNTA(B284:C284,G284:H284,J284:K284)&gt;0,1,0)</f>
        <v>0</v>
      </c>
      <c r="S284" s="96" t="str">
        <f>IF(B284="","",TRIM(LEFT(B284,FIND(" |",B284&amp;" |")-1)))</f>
        <v/>
      </c>
      <c r="T284" s="96" t="str">
        <f>IF(S284="","",IFERROR(MATCH(S284,'MTRs'!$A$6:$A$505,0),""))</f>
        <v/>
      </c>
      <c r="U284" s="96">
        <f>IF(T284="",0,IF(INDEX('MTRs'!$Z$6:$Z$505,T284)=1,1,0))</f>
        <v>0</v>
      </c>
      <c r="V284" s="96">
        <f>IF(C284="",0,IF(ISNUMBER(MATCH(C284,'CAD_RESÍDUOS'!$B$6:$B$205,0)),1,0))</f>
        <v>0</v>
      </c>
      <c r="W284" s="96">
        <f>IF(AND(ISNUMBER(G284),G284&gt;0),1,0)</f>
        <v>0</v>
      </c>
      <c r="X284" s="96" t="str">
        <f>IF(H284="","",IFERROR(IF(ISNUMBER(INDEX(cfg_fac,MATCH(H284,cfg_units,0))),IF(INDEX(cfg_fac,MATCH(H284,cfg_units,0))&gt;0,INDEX(cfg_fac,MATCH(H284,cfg_units,0)),""),""),""))</f>
        <v/>
      </c>
      <c r="Y284" s="96">
        <f>IF(AND(W284=1,ISNUMBER(I284)),1,0)</f>
        <v>0</v>
      </c>
      <c r="Z284" s="96">
        <f>IF(U284=1,INDEX('MTRs'!$AA$6:$AA$505,T284),0)</f>
        <v>0</v>
      </c>
      <c r="AA284" s="96">
        <f>IF(R284=0,0,COUNTIFS('RECEBIMENTOS'!$R$6:$R$1005,A284,'RECEBIMENTOS'!$Q$6:$Q$1005,1))</f>
        <v>0</v>
      </c>
      <c r="AB284" s="96">
        <f>IF(R284=0,0,COUNTIFS('RECEBIMENTOS'!$R$6:$R$1005,A284,'RECEBIMENTOS'!$Z$6:$Z$1005,1))</f>
        <v>0</v>
      </c>
      <c r="AC284" s="96">
        <f>IF(R284=0,0,COUNTIFS('RECEBIMENTOS'!$R$6:$R$1005,A284,'RECEBIMENTOS'!$Y$6:$Y$1005,1))</f>
        <v>0</v>
      </c>
      <c r="AD284" s="96">
        <f>IF(R284=0,0,COUNTIFS('VÍNCULOS_CDF'!$R$6:$R$1005,A284,'VÍNCULOS_CDF'!$N$6:$N$1005,1))</f>
        <v>0</v>
      </c>
      <c r="AE284" s="96">
        <f>IF(R284=0,0,COUNTIFS('VÍNCULOS_CDF'!$R$6:$R$1005,A284,'VÍNCULOS_CDF'!$AA$6:$AA$1005,1))</f>
        <v>0</v>
      </c>
      <c r="AF284" s="96">
        <f>IF(R284=0,0,COUNTIFS('VÍNCULOS_CDF'!$R$6:$R$1005,A284,'VÍNCULOS_CDF'!$Y$6:$Y$1005,1))</f>
        <v>0</v>
      </c>
      <c r="AG284" s="96" t="str">
        <f>IF(AND(R284=1,S284&lt;&gt;"",C284&lt;&gt;""),S284&amp;"|"&amp;C284&amp;"|"&amp;G284&amp;"|"&amp;H284,"")</f>
        <v/>
      </c>
      <c r="AH284" s="96">
        <f>IF(AG284="",0,IF(SUMPRODUCT(--($AG$6:$AG$1005=AG284))&gt;1,1,0))</f>
        <v>0</v>
      </c>
      <c r="AI284" s="96">
        <f>IF(R284=0,0,IF(OR(U284=0,V284=0,Y284=0,AND(AH284=1,K284&lt;&gt;"Sim")),1,0))</f>
        <v>0</v>
      </c>
      <c r="AJ284" s="96">
        <f>IF(AND(R284=1,AA284&gt;0,AB284=AA284),1,0)</f>
        <v>0</v>
      </c>
      <c r="AK284" s="96">
        <f>IF(R284=0,0,IF(AA284&gt;0,N(L284),IF(ISNUMBER(I284),I284,0)))</f>
        <v>0</v>
      </c>
      <c r="AL284" s="96">
        <f>IF(R284=0,0,IF(AND(K284&lt;&gt;"Sim",N(M284)&gt;AK284+cfg_tol),1,0))</f>
        <v>0</v>
      </c>
      <c r="AM284" s="96">
        <f>IF(R284=0,0,IF(K284="Sim",0,IF(OR(AND(AA284&gt;0,ISNUMBER(I284),ABS(I284-N(L284))&gt;cfg_tol),AL284=1),1,0)))</f>
        <v>0</v>
      </c>
      <c r="AN284" s="96">
        <f>IF(AND(R284=1,N(M284)&gt;0,OR(N(M284)&gt;=AK284-cfg_tol,K284="Sim")),1,0)</f>
        <v>0</v>
      </c>
      <c r="AO284" s="96">
        <f>IF(AND(AN284=1,AD284&gt;0,AE284=AD284,AL284=0),1,0)</f>
        <v>0</v>
      </c>
      <c r="AP284" s="96">
        <f>IF(U284=0,0,IF(AND(INDEX('MTRs'!$AX$6:$AX$505,T284)=1,Z284=0,OR(f_res="",f_res="(Todos)",C284=f_res)),1,0))</f>
        <v>0</v>
      </c>
      <c r="AQ284" s="97" t="str">
        <f>IF(U284=0,"",INDEX('MTRs'!$AZ$6:$AZ$505,T284))</f>
        <v/>
      </c>
      <c r="AR284" s="96">
        <f>IF(U284=0,0,IF(AND(INDEX('MTRs'!$BA$6:$BA$505,T284)=1,Z284=0),1,0))</f>
        <v>0</v>
      </c>
      <c r="AS284" s="96" t="str">
        <f>IF(R284=1,A284&amp;" | MTR "&amp;IF(U284=1,INDEX('MTRs'!$B$6:$B$505,T284)&amp;"","?")&amp;" | "&amp;IF(C284="","(sem resíduo)",C284),"")</f>
        <v/>
      </c>
      <c r="AT284" s="96" t="str">
        <f>IF(R284=1,COUNTIF($R$6:R284,1),"")</f>
        <v/>
      </c>
      <c r="AU284" s="96" t="str">
        <f>IF(U284=1,INDEX('MTRs'!$I$6:$I$505,T284)&amp;"","")</f>
        <v/>
      </c>
    </row>
    <row r="285">
      <c r="A285" s="89" t="inlineStr">
        <is>
          <t>IT-000280</t>
        </is>
      </c>
      <c r="B285" s="91" t="n"/>
      <c r="C285" s="91" t="n"/>
      <c r="D285" s="94" t="str">
        <f>IF(OR(R285=0,V285=0),"",INDEX('CAD_RESÍDUOS'!$E$6:$E$205,MATCH(C285,'CAD_RESÍDUOS'!$B$6:$B$205,0))&amp;"")</f>
        <v/>
      </c>
      <c r="E285" s="94" t="str">
        <f>IF(OR(R285=0,V285=0),"",INDEX('CAD_RESÍDUOS'!$C$6:$C$205,MATCH(C285,'CAD_RESÍDUOS'!$B$6:$B$205,0))&amp;"")</f>
        <v/>
      </c>
      <c r="F285" s="94" t="str">
        <f>IF(OR(R285=0,V285=0),"",INDEX('CAD_RESÍDUOS'!$G$6:$G$205,MATCH(C285,'CAD_RESÍDUOS'!$B$6:$B$205,0))&amp;"")</f>
        <v/>
      </c>
      <c r="G285" s="98" t="n"/>
      <c r="H285" s="91" t="n"/>
      <c r="I285" s="93" t="str">
        <f>IF(R285=0,"",IF(NOT(ISNUMBER(G285)),"",IF(ISNUMBER(X285),G285*X285,"UNIDADE A CONFERIR")))</f>
        <v/>
      </c>
      <c r="J285" s="91" t="n"/>
      <c r="K285" s="91" t="n"/>
      <c r="L285" s="93" t="str">
        <f>IF(R285=0,"",SUMIFS('RECEBIMENTOS'!$H$6:$H$1005,'RECEBIMENTOS'!$R$6:$R$1005,A285,'RECEBIMENTOS'!$X$6:$X$1005,1))</f>
        <v/>
      </c>
      <c r="M285" s="93" t="str">
        <f>IF(R285=0,"",SUMIFS('VÍNCULOS_CDF'!$H$6:$H$1005,'VÍNCULOS_CDF'!$R$6:$R$1005,A285,'VÍNCULOS_CDF'!$V$6:$V$1005,1))</f>
        <v/>
      </c>
      <c r="N285" s="99" t="str">
        <f>IF(OR(R285=0,AA285=0,NOT(ISNUMBER(I285))),"",I285-N(L285))</f>
        <v/>
      </c>
      <c r="O285" s="100" t="str">
        <f>IF(OR(R285=0,AK285&lt;=0),"",N(M285)/AK285)</f>
        <v/>
      </c>
      <c r="P285" s="94" t="str">
        <f>IF(R285=0,"",IF(S285="","Sem MTR associado",IF(U285=0,"MTR inexistente",IF(C285="","Resíduo não identificado",IF(V285=0,"Resíduo fora do cadastro",IF(W285=0,"Quantidade inválida",IF(H285="","Unidade não informada",IF(NOT(ISNUMBER(I285)),"Unidade a conferir",IF(AND(AH285=1,K285&lt;&gt;"Sim"),"Possível duplicidade",IF(Z285=1,"MTR cancelado",IF(AC285&gt;0,"Recebimento com alerta",IF(AA285=0,"Aguardando recebimento",IF(AB285&lt;AA285,"Recebimento a conferir",IF(AM285=1,"Quantidade a revisar",IF(AF285&gt;0,"Vínculo a revisar",IF(AD285=0,"Aguardando CDF",IF(AN285=0,"Vínculo de CDF parcial",IF(AE285&lt;AD285,"CDF a conferir","Documentação conferida"))))))))))))))))))</f>
        <v/>
      </c>
      <c r="Q285" s="93" t="str">
        <f>IF(OR(R285=0,AA285=0),"",MAX(0,N(L285)-N(M285)))</f>
        <v/>
      </c>
      <c r="R285" s="96">
        <f>IF(COUNTA(B285:C285,G285:H285,J285:K285)&gt;0,1,0)</f>
        <v>0</v>
      </c>
      <c r="S285" s="96" t="str">
        <f>IF(B285="","",TRIM(LEFT(B285,FIND(" |",B285&amp;" |")-1)))</f>
        <v/>
      </c>
      <c r="T285" s="96" t="str">
        <f>IF(S285="","",IFERROR(MATCH(S285,'MTRs'!$A$6:$A$505,0),""))</f>
        <v/>
      </c>
      <c r="U285" s="96">
        <f>IF(T285="",0,IF(INDEX('MTRs'!$Z$6:$Z$505,T285)=1,1,0))</f>
        <v>0</v>
      </c>
      <c r="V285" s="96">
        <f>IF(C285="",0,IF(ISNUMBER(MATCH(C285,'CAD_RESÍDUOS'!$B$6:$B$205,0)),1,0))</f>
        <v>0</v>
      </c>
      <c r="W285" s="96">
        <f>IF(AND(ISNUMBER(G285),G285&gt;0),1,0)</f>
        <v>0</v>
      </c>
      <c r="X285" s="96" t="str">
        <f>IF(H285="","",IFERROR(IF(ISNUMBER(INDEX(cfg_fac,MATCH(H285,cfg_units,0))),IF(INDEX(cfg_fac,MATCH(H285,cfg_units,0))&gt;0,INDEX(cfg_fac,MATCH(H285,cfg_units,0)),""),""),""))</f>
        <v/>
      </c>
      <c r="Y285" s="96">
        <f>IF(AND(W285=1,ISNUMBER(I285)),1,0)</f>
        <v>0</v>
      </c>
      <c r="Z285" s="96">
        <f>IF(U285=1,INDEX('MTRs'!$AA$6:$AA$505,T285),0)</f>
        <v>0</v>
      </c>
      <c r="AA285" s="96">
        <f>IF(R285=0,0,COUNTIFS('RECEBIMENTOS'!$R$6:$R$1005,A285,'RECEBIMENTOS'!$Q$6:$Q$1005,1))</f>
        <v>0</v>
      </c>
      <c r="AB285" s="96">
        <f>IF(R285=0,0,COUNTIFS('RECEBIMENTOS'!$R$6:$R$1005,A285,'RECEBIMENTOS'!$Z$6:$Z$1005,1))</f>
        <v>0</v>
      </c>
      <c r="AC285" s="96">
        <f>IF(R285=0,0,COUNTIFS('RECEBIMENTOS'!$R$6:$R$1005,A285,'RECEBIMENTOS'!$Y$6:$Y$1005,1))</f>
        <v>0</v>
      </c>
      <c r="AD285" s="96">
        <f>IF(R285=0,0,COUNTIFS('VÍNCULOS_CDF'!$R$6:$R$1005,A285,'VÍNCULOS_CDF'!$N$6:$N$1005,1))</f>
        <v>0</v>
      </c>
      <c r="AE285" s="96">
        <f>IF(R285=0,0,COUNTIFS('VÍNCULOS_CDF'!$R$6:$R$1005,A285,'VÍNCULOS_CDF'!$AA$6:$AA$1005,1))</f>
        <v>0</v>
      </c>
      <c r="AF285" s="96">
        <f>IF(R285=0,0,COUNTIFS('VÍNCULOS_CDF'!$R$6:$R$1005,A285,'VÍNCULOS_CDF'!$Y$6:$Y$1005,1))</f>
        <v>0</v>
      </c>
      <c r="AG285" s="96" t="str">
        <f>IF(AND(R285=1,S285&lt;&gt;"",C285&lt;&gt;""),S285&amp;"|"&amp;C285&amp;"|"&amp;G285&amp;"|"&amp;H285,"")</f>
        <v/>
      </c>
      <c r="AH285" s="96">
        <f>IF(AG285="",0,IF(SUMPRODUCT(--($AG$6:$AG$1005=AG285))&gt;1,1,0))</f>
        <v>0</v>
      </c>
      <c r="AI285" s="96">
        <f>IF(R285=0,0,IF(OR(U285=0,V285=0,Y285=0,AND(AH285=1,K285&lt;&gt;"Sim")),1,0))</f>
        <v>0</v>
      </c>
      <c r="AJ285" s="96">
        <f>IF(AND(R285=1,AA285&gt;0,AB285=AA285),1,0)</f>
        <v>0</v>
      </c>
      <c r="AK285" s="96">
        <f>IF(R285=0,0,IF(AA285&gt;0,N(L285),IF(ISNUMBER(I285),I285,0)))</f>
        <v>0</v>
      </c>
      <c r="AL285" s="96">
        <f>IF(R285=0,0,IF(AND(K285&lt;&gt;"Sim",N(M285)&gt;AK285+cfg_tol),1,0))</f>
        <v>0</v>
      </c>
      <c r="AM285" s="96">
        <f>IF(R285=0,0,IF(K285="Sim",0,IF(OR(AND(AA285&gt;0,ISNUMBER(I285),ABS(I285-N(L285))&gt;cfg_tol),AL285=1),1,0)))</f>
        <v>0</v>
      </c>
      <c r="AN285" s="96">
        <f>IF(AND(R285=1,N(M285)&gt;0,OR(N(M285)&gt;=AK285-cfg_tol,K285="Sim")),1,0)</f>
        <v>0</v>
      </c>
      <c r="AO285" s="96">
        <f>IF(AND(AN285=1,AD285&gt;0,AE285=AD285,AL285=0),1,0)</f>
        <v>0</v>
      </c>
      <c r="AP285" s="96">
        <f>IF(U285=0,0,IF(AND(INDEX('MTRs'!$AX$6:$AX$505,T285)=1,Z285=0,OR(f_res="",f_res="(Todos)",C285=f_res)),1,0))</f>
        <v>0</v>
      </c>
      <c r="AQ285" s="97" t="str">
        <f>IF(U285=0,"",INDEX('MTRs'!$AZ$6:$AZ$505,T285))</f>
        <v/>
      </c>
      <c r="AR285" s="96">
        <f>IF(U285=0,0,IF(AND(INDEX('MTRs'!$BA$6:$BA$505,T285)=1,Z285=0),1,0))</f>
        <v>0</v>
      </c>
      <c r="AS285" s="96" t="str">
        <f>IF(R285=1,A285&amp;" | MTR "&amp;IF(U285=1,INDEX('MTRs'!$B$6:$B$505,T285)&amp;"","?")&amp;" | "&amp;IF(C285="","(sem resíduo)",C285),"")</f>
        <v/>
      </c>
      <c r="AT285" s="96" t="str">
        <f>IF(R285=1,COUNTIF($R$6:R285,1),"")</f>
        <v/>
      </c>
      <c r="AU285" s="96" t="str">
        <f>IF(U285=1,INDEX('MTRs'!$I$6:$I$505,T285)&amp;"","")</f>
        <v/>
      </c>
    </row>
    <row r="286">
      <c r="A286" s="89" t="inlineStr">
        <is>
          <t>IT-000281</t>
        </is>
      </c>
      <c r="B286" s="91" t="n"/>
      <c r="C286" s="91" t="n"/>
      <c r="D286" s="94" t="str">
        <f>IF(OR(R286=0,V286=0),"",INDEX('CAD_RESÍDUOS'!$E$6:$E$205,MATCH(C286,'CAD_RESÍDUOS'!$B$6:$B$205,0))&amp;"")</f>
        <v/>
      </c>
      <c r="E286" s="94" t="str">
        <f>IF(OR(R286=0,V286=0),"",INDEX('CAD_RESÍDUOS'!$C$6:$C$205,MATCH(C286,'CAD_RESÍDUOS'!$B$6:$B$205,0))&amp;"")</f>
        <v/>
      </c>
      <c r="F286" s="94" t="str">
        <f>IF(OR(R286=0,V286=0),"",INDEX('CAD_RESÍDUOS'!$G$6:$G$205,MATCH(C286,'CAD_RESÍDUOS'!$B$6:$B$205,0))&amp;"")</f>
        <v/>
      </c>
      <c r="G286" s="98" t="n"/>
      <c r="H286" s="91" t="n"/>
      <c r="I286" s="93" t="str">
        <f>IF(R286=0,"",IF(NOT(ISNUMBER(G286)),"",IF(ISNUMBER(X286),G286*X286,"UNIDADE A CONFERIR")))</f>
        <v/>
      </c>
      <c r="J286" s="91" t="n"/>
      <c r="K286" s="91" t="n"/>
      <c r="L286" s="93" t="str">
        <f>IF(R286=0,"",SUMIFS('RECEBIMENTOS'!$H$6:$H$1005,'RECEBIMENTOS'!$R$6:$R$1005,A286,'RECEBIMENTOS'!$X$6:$X$1005,1))</f>
        <v/>
      </c>
      <c r="M286" s="93" t="str">
        <f>IF(R286=0,"",SUMIFS('VÍNCULOS_CDF'!$H$6:$H$1005,'VÍNCULOS_CDF'!$R$6:$R$1005,A286,'VÍNCULOS_CDF'!$V$6:$V$1005,1))</f>
        <v/>
      </c>
      <c r="N286" s="99" t="str">
        <f>IF(OR(R286=0,AA286=0,NOT(ISNUMBER(I286))),"",I286-N(L286))</f>
        <v/>
      </c>
      <c r="O286" s="100" t="str">
        <f>IF(OR(R286=0,AK286&lt;=0),"",N(M286)/AK286)</f>
        <v/>
      </c>
      <c r="P286" s="94" t="str">
        <f>IF(R286=0,"",IF(S286="","Sem MTR associado",IF(U286=0,"MTR inexistente",IF(C286="","Resíduo não identificado",IF(V286=0,"Resíduo fora do cadastro",IF(W286=0,"Quantidade inválida",IF(H286="","Unidade não informada",IF(NOT(ISNUMBER(I286)),"Unidade a conferir",IF(AND(AH286=1,K286&lt;&gt;"Sim"),"Possível duplicidade",IF(Z286=1,"MTR cancelado",IF(AC286&gt;0,"Recebimento com alerta",IF(AA286=0,"Aguardando recebimento",IF(AB286&lt;AA286,"Recebimento a conferir",IF(AM286=1,"Quantidade a revisar",IF(AF286&gt;0,"Vínculo a revisar",IF(AD286=0,"Aguardando CDF",IF(AN286=0,"Vínculo de CDF parcial",IF(AE286&lt;AD286,"CDF a conferir","Documentação conferida"))))))))))))))))))</f>
        <v/>
      </c>
      <c r="Q286" s="93" t="str">
        <f>IF(OR(R286=0,AA286=0),"",MAX(0,N(L286)-N(M286)))</f>
        <v/>
      </c>
      <c r="R286" s="96">
        <f>IF(COUNTA(B286:C286,G286:H286,J286:K286)&gt;0,1,0)</f>
        <v>0</v>
      </c>
      <c r="S286" s="96" t="str">
        <f>IF(B286="","",TRIM(LEFT(B286,FIND(" |",B286&amp;" |")-1)))</f>
        <v/>
      </c>
      <c r="T286" s="96" t="str">
        <f>IF(S286="","",IFERROR(MATCH(S286,'MTRs'!$A$6:$A$505,0),""))</f>
        <v/>
      </c>
      <c r="U286" s="96">
        <f>IF(T286="",0,IF(INDEX('MTRs'!$Z$6:$Z$505,T286)=1,1,0))</f>
        <v>0</v>
      </c>
      <c r="V286" s="96">
        <f>IF(C286="",0,IF(ISNUMBER(MATCH(C286,'CAD_RESÍDUOS'!$B$6:$B$205,0)),1,0))</f>
        <v>0</v>
      </c>
      <c r="W286" s="96">
        <f>IF(AND(ISNUMBER(G286),G286&gt;0),1,0)</f>
        <v>0</v>
      </c>
      <c r="X286" s="96" t="str">
        <f>IF(H286="","",IFERROR(IF(ISNUMBER(INDEX(cfg_fac,MATCH(H286,cfg_units,0))),IF(INDEX(cfg_fac,MATCH(H286,cfg_units,0))&gt;0,INDEX(cfg_fac,MATCH(H286,cfg_units,0)),""),""),""))</f>
        <v/>
      </c>
      <c r="Y286" s="96">
        <f>IF(AND(W286=1,ISNUMBER(I286)),1,0)</f>
        <v>0</v>
      </c>
      <c r="Z286" s="96">
        <f>IF(U286=1,INDEX('MTRs'!$AA$6:$AA$505,T286),0)</f>
        <v>0</v>
      </c>
      <c r="AA286" s="96">
        <f>IF(R286=0,0,COUNTIFS('RECEBIMENTOS'!$R$6:$R$1005,A286,'RECEBIMENTOS'!$Q$6:$Q$1005,1))</f>
        <v>0</v>
      </c>
      <c r="AB286" s="96">
        <f>IF(R286=0,0,COUNTIFS('RECEBIMENTOS'!$R$6:$R$1005,A286,'RECEBIMENTOS'!$Z$6:$Z$1005,1))</f>
        <v>0</v>
      </c>
      <c r="AC286" s="96">
        <f>IF(R286=0,0,COUNTIFS('RECEBIMENTOS'!$R$6:$R$1005,A286,'RECEBIMENTOS'!$Y$6:$Y$1005,1))</f>
        <v>0</v>
      </c>
      <c r="AD286" s="96">
        <f>IF(R286=0,0,COUNTIFS('VÍNCULOS_CDF'!$R$6:$R$1005,A286,'VÍNCULOS_CDF'!$N$6:$N$1005,1))</f>
        <v>0</v>
      </c>
      <c r="AE286" s="96">
        <f>IF(R286=0,0,COUNTIFS('VÍNCULOS_CDF'!$R$6:$R$1005,A286,'VÍNCULOS_CDF'!$AA$6:$AA$1005,1))</f>
        <v>0</v>
      </c>
      <c r="AF286" s="96">
        <f>IF(R286=0,0,COUNTIFS('VÍNCULOS_CDF'!$R$6:$R$1005,A286,'VÍNCULOS_CDF'!$Y$6:$Y$1005,1))</f>
        <v>0</v>
      </c>
      <c r="AG286" s="96" t="str">
        <f>IF(AND(R286=1,S286&lt;&gt;"",C286&lt;&gt;""),S286&amp;"|"&amp;C286&amp;"|"&amp;G286&amp;"|"&amp;H286,"")</f>
        <v/>
      </c>
      <c r="AH286" s="96">
        <f>IF(AG286="",0,IF(SUMPRODUCT(--($AG$6:$AG$1005=AG286))&gt;1,1,0))</f>
        <v>0</v>
      </c>
      <c r="AI286" s="96">
        <f>IF(R286=0,0,IF(OR(U286=0,V286=0,Y286=0,AND(AH286=1,K286&lt;&gt;"Sim")),1,0))</f>
        <v>0</v>
      </c>
      <c r="AJ286" s="96">
        <f>IF(AND(R286=1,AA286&gt;0,AB286=AA286),1,0)</f>
        <v>0</v>
      </c>
      <c r="AK286" s="96">
        <f>IF(R286=0,0,IF(AA286&gt;0,N(L286),IF(ISNUMBER(I286),I286,0)))</f>
        <v>0</v>
      </c>
      <c r="AL286" s="96">
        <f>IF(R286=0,0,IF(AND(K286&lt;&gt;"Sim",N(M286)&gt;AK286+cfg_tol),1,0))</f>
        <v>0</v>
      </c>
      <c r="AM286" s="96">
        <f>IF(R286=0,0,IF(K286="Sim",0,IF(OR(AND(AA286&gt;0,ISNUMBER(I286),ABS(I286-N(L286))&gt;cfg_tol),AL286=1),1,0)))</f>
        <v>0</v>
      </c>
      <c r="AN286" s="96">
        <f>IF(AND(R286=1,N(M286)&gt;0,OR(N(M286)&gt;=AK286-cfg_tol,K286="Sim")),1,0)</f>
        <v>0</v>
      </c>
      <c r="AO286" s="96">
        <f>IF(AND(AN286=1,AD286&gt;0,AE286=AD286,AL286=0),1,0)</f>
        <v>0</v>
      </c>
      <c r="AP286" s="96">
        <f>IF(U286=0,0,IF(AND(INDEX('MTRs'!$AX$6:$AX$505,T286)=1,Z286=0,OR(f_res="",f_res="(Todos)",C286=f_res)),1,0))</f>
        <v>0</v>
      </c>
      <c r="AQ286" s="97" t="str">
        <f>IF(U286=0,"",INDEX('MTRs'!$AZ$6:$AZ$505,T286))</f>
        <v/>
      </c>
      <c r="AR286" s="96">
        <f>IF(U286=0,0,IF(AND(INDEX('MTRs'!$BA$6:$BA$505,T286)=1,Z286=0),1,0))</f>
        <v>0</v>
      </c>
      <c r="AS286" s="96" t="str">
        <f>IF(R286=1,A286&amp;" | MTR "&amp;IF(U286=1,INDEX('MTRs'!$B$6:$B$505,T286)&amp;"","?")&amp;" | "&amp;IF(C286="","(sem resíduo)",C286),"")</f>
        <v/>
      </c>
      <c r="AT286" s="96" t="str">
        <f>IF(R286=1,COUNTIF($R$6:R286,1),"")</f>
        <v/>
      </c>
      <c r="AU286" s="96" t="str">
        <f>IF(U286=1,INDEX('MTRs'!$I$6:$I$505,T286)&amp;"","")</f>
        <v/>
      </c>
    </row>
    <row r="287">
      <c r="A287" s="89" t="inlineStr">
        <is>
          <t>IT-000282</t>
        </is>
      </c>
      <c r="B287" s="91" t="n"/>
      <c r="C287" s="91" t="n"/>
      <c r="D287" s="94" t="str">
        <f>IF(OR(R287=0,V287=0),"",INDEX('CAD_RESÍDUOS'!$E$6:$E$205,MATCH(C287,'CAD_RESÍDUOS'!$B$6:$B$205,0))&amp;"")</f>
        <v/>
      </c>
      <c r="E287" s="94" t="str">
        <f>IF(OR(R287=0,V287=0),"",INDEX('CAD_RESÍDUOS'!$C$6:$C$205,MATCH(C287,'CAD_RESÍDUOS'!$B$6:$B$205,0))&amp;"")</f>
        <v/>
      </c>
      <c r="F287" s="94" t="str">
        <f>IF(OR(R287=0,V287=0),"",INDEX('CAD_RESÍDUOS'!$G$6:$G$205,MATCH(C287,'CAD_RESÍDUOS'!$B$6:$B$205,0))&amp;"")</f>
        <v/>
      </c>
      <c r="G287" s="98" t="n"/>
      <c r="H287" s="91" t="n"/>
      <c r="I287" s="93" t="str">
        <f>IF(R287=0,"",IF(NOT(ISNUMBER(G287)),"",IF(ISNUMBER(X287),G287*X287,"UNIDADE A CONFERIR")))</f>
        <v/>
      </c>
      <c r="J287" s="91" t="n"/>
      <c r="K287" s="91" t="n"/>
      <c r="L287" s="93" t="str">
        <f>IF(R287=0,"",SUMIFS('RECEBIMENTOS'!$H$6:$H$1005,'RECEBIMENTOS'!$R$6:$R$1005,A287,'RECEBIMENTOS'!$X$6:$X$1005,1))</f>
        <v/>
      </c>
      <c r="M287" s="93" t="str">
        <f>IF(R287=0,"",SUMIFS('VÍNCULOS_CDF'!$H$6:$H$1005,'VÍNCULOS_CDF'!$R$6:$R$1005,A287,'VÍNCULOS_CDF'!$V$6:$V$1005,1))</f>
        <v/>
      </c>
      <c r="N287" s="99" t="str">
        <f>IF(OR(R287=0,AA287=0,NOT(ISNUMBER(I287))),"",I287-N(L287))</f>
        <v/>
      </c>
      <c r="O287" s="100" t="str">
        <f>IF(OR(R287=0,AK287&lt;=0),"",N(M287)/AK287)</f>
        <v/>
      </c>
      <c r="P287" s="94" t="str">
        <f>IF(R287=0,"",IF(S287="","Sem MTR associado",IF(U287=0,"MTR inexistente",IF(C287="","Resíduo não identificado",IF(V287=0,"Resíduo fora do cadastro",IF(W287=0,"Quantidade inválida",IF(H287="","Unidade não informada",IF(NOT(ISNUMBER(I287)),"Unidade a conferir",IF(AND(AH287=1,K287&lt;&gt;"Sim"),"Possível duplicidade",IF(Z287=1,"MTR cancelado",IF(AC287&gt;0,"Recebimento com alerta",IF(AA287=0,"Aguardando recebimento",IF(AB287&lt;AA287,"Recebimento a conferir",IF(AM287=1,"Quantidade a revisar",IF(AF287&gt;0,"Vínculo a revisar",IF(AD287=0,"Aguardando CDF",IF(AN287=0,"Vínculo de CDF parcial",IF(AE287&lt;AD287,"CDF a conferir","Documentação conferida"))))))))))))))))))</f>
        <v/>
      </c>
      <c r="Q287" s="93" t="str">
        <f>IF(OR(R287=0,AA287=0),"",MAX(0,N(L287)-N(M287)))</f>
        <v/>
      </c>
      <c r="R287" s="96">
        <f>IF(COUNTA(B287:C287,G287:H287,J287:K287)&gt;0,1,0)</f>
        <v>0</v>
      </c>
      <c r="S287" s="96" t="str">
        <f>IF(B287="","",TRIM(LEFT(B287,FIND(" |",B287&amp;" |")-1)))</f>
        <v/>
      </c>
      <c r="T287" s="96" t="str">
        <f>IF(S287="","",IFERROR(MATCH(S287,'MTRs'!$A$6:$A$505,0),""))</f>
        <v/>
      </c>
      <c r="U287" s="96">
        <f>IF(T287="",0,IF(INDEX('MTRs'!$Z$6:$Z$505,T287)=1,1,0))</f>
        <v>0</v>
      </c>
      <c r="V287" s="96">
        <f>IF(C287="",0,IF(ISNUMBER(MATCH(C287,'CAD_RESÍDUOS'!$B$6:$B$205,0)),1,0))</f>
        <v>0</v>
      </c>
      <c r="W287" s="96">
        <f>IF(AND(ISNUMBER(G287),G287&gt;0),1,0)</f>
        <v>0</v>
      </c>
      <c r="X287" s="96" t="str">
        <f>IF(H287="","",IFERROR(IF(ISNUMBER(INDEX(cfg_fac,MATCH(H287,cfg_units,0))),IF(INDEX(cfg_fac,MATCH(H287,cfg_units,0))&gt;0,INDEX(cfg_fac,MATCH(H287,cfg_units,0)),""),""),""))</f>
        <v/>
      </c>
      <c r="Y287" s="96">
        <f>IF(AND(W287=1,ISNUMBER(I287)),1,0)</f>
        <v>0</v>
      </c>
      <c r="Z287" s="96">
        <f>IF(U287=1,INDEX('MTRs'!$AA$6:$AA$505,T287),0)</f>
        <v>0</v>
      </c>
      <c r="AA287" s="96">
        <f>IF(R287=0,0,COUNTIFS('RECEBIMENTOS'!$R$6:$R$1005,A287,'RECEBIMENTOS'!$Q$6:$Q$1005,1))</f>
        <v>0</v>
      </c>
      <c r="AB287" s="96">
        <f>IF(R287=0,0,COUNTIFS('RECEBIMENTOS'!$R$6:$R$1005,A287,'RECEBIMENTOS'!$Z$6:$Z$1005,1))</f>
        <v>0</v>
      </c>
      <c r="AC287" s="96">
        <f>IF(R287=0,0,COUNTIFS('RECEBIMENTOS'!$R$6:$R$1005,A287,'RECEBIMENTOS'!$Y$6:$Y$1005,1))</f>
        <v>0</v>
      </c>
      <c r="AD287" s="96">
        <f>IF(R287=0,0,COUNTIFS('VÍNCULOS_CDF'!$R$6:$R$1005,A287,'VÍNCULOS_CDF'!$N$6:$N$1005,1))</f>
        <v>0</v>
      </c>
      <c r="AE287" s="96">
        <f>IF(R287=0,0,COUNTIFS('VÍNCULOS_CDF'!$R$6:$R$1005,A287,'VÍNCULOS_CDF'!$AA$6:$AA$1005,1))</f>
        <v>0</v>
      </c>
      <c r="AF287" s="96">
        <f>IF(R287=0,0,COUNTIFS('VÍNCULOS_CDF'!$R$6:$R$1005,A287,'VÍNCULOS_CDF'!$Y$6:$Y$1005,1))</f>
        <v>0</v>
      </c>
      <c r="AG287" s="96" t="str">
        <f>IF(AND(R287=1,S287&lt;&gt;"",C287&lt;&gt;""),S287&amp;"|"&amp;C287&amp;"|"&amp;G287&amp;"|"&amp;H287,"")</f>
        <v/>
      </c>
      <c r="AH287" s="96">
        <f>IF(AG287="",0,IF(SUMPRODUCT(--($AG$6:$AG$1005=AG287))&gt;1,1,0))</f>
        <v>0</v>
      </c>
      <c r="AI287" s="96">
        <f>IF(R287=0,0,IF(OR(U287=0,V287=0,Y287=0,AND(AH287=1,K287&lt;&gt;"Sim")),1,0))</f>
        <v>0</v>
      </c>
      <c r="AJ287" s="96">
        <f>IF(AND(R287=1,AA287&gt;0,AB287=AA287),1,0)</f>
        <v>0</v>
      </c>
      <c r="AK287" s="96">
        <f>IF(R287=0,0,IF(AA287&gt;0,N(L287),IF(ISNUMBER(I287),I287,0)))</f>
        <v>0</v>
      </c>
      <c r="AL287" s="96">
        <f>IF(R287=0,0,IF(AND(K287&lt;&gt;"Sim",N(M287)&gt;AK287+cfg_tol),1,0))</f>
        <v>0</v>
      </c>
      <c r="AM287" s="96">
        <f>IF(R287=0,0,IF(K287="Sim",0,IF(OR(AND(AA287&gt;0,ISNUMBER(I287),ABS(I287-N(L287))&gt;cfg_tol),AL287=1),1,0)))</f>
        <v>0</v>
      </c>
      <c r="AN287" s="96">
        <f>IF(AND(R287=1,N(M287)&gt;0,OR(N(M287)&gt;=AK287-cfg_tol,K287="Sim")),1,0)</f>
        <v>0</v>
      </c>
      <c r="AO287" s="96">
        <f>IF(AND(AN287=1,AD287&gt;0,AE287=AD287,AL287=0),1,0)</f>
        <v>0</v>
      </c>
      <c r="AP287" s="96">
        <f>IF(U287=0,0,IF(AND(INDEX('MTRs'!$AX$6:$AX$505,T287)=1,Z287=0,OR(f_res="",f_res="(Todos)",C287=f_res)),1,0))</f>
        <v>0</v>
      </c>
      <c r="AQ287" s="97" t="str">
        <f>IF(U287=0,"",INDEX('MTRs'!$AZ$6:$AZ$505,T287))</f>
        <v/>
      </c>
      <c r="AR287" s="96">
        <f>IF(U287=0,0,IF(AND(INDEX('MTRs'!$BA$6:$BA$505,T287)=1,Z287=0),1,0))</f>
        <v>0</v>
      </c>
      <c r="AS287" s="96" t="str">
        <f>IF(R287=1,A287&amp;" | MTR "&amp;IF(U287=1,INDEX('MTRs'!$B$6:$B$505,T287)&amp;"","?")&amp;" | "&amp;IF(C287="","(sem resíduo)",C287),"")</f>
        <v/>
      </c>
      <c r="AT287" s="96" t="str">
        <f>IF(R287=1,COUNTIF($R$6:R287,1),"")</f>
        <v/>
      </c>
      <c r="AU287" s="96" t="str">
        <f>IF(U287=1,INDEX('MTRs'!$I$6:$I$505,T287)&amp;"","")</f>
        <v/>
      </c>
    </row>
    <row r="288">
      <c r="A288" s="89" t="inlineStr">
        <is>
          <t>IT-000283</t>
        </is>
      </c>
      <c r="B288" s="91" t="n"/>
      <c r="C288" s="91" t="n"/>
      <c r="D288" s="94" t="str">
        <f>IF(OR(R288=0,V288=0),"",INDEX('CAD_RESÍDUOS'!$E$6:$E$205,MATCH(C288,'CAD_RESÍDUOS'!$B$6:$B$205,0))&amp;"")</f>
        <v/>
      </c>
      <c r="E288" s="94" t="str">
        <f>IF(OR(R288=0,V288=0),"",INDEX('CAD_RESÍDUOS'!$C$6:$C$205,MATCH(C288,'CAD_RESÍDUOS'!$B$6:$B$205,0))&amp;"")</f>
        <v/>
      </c>
      <c r="F288" s="94" t="str">
        <f>IF(OR(R288=0,V288=0),"",INDEX('CAD_RESÍDUOS'!$G$6:$G$205,MATCH(C288,'CAD_RESÍDUOS'!$B$6:$B$205,0))&amp;"")</f>
        <v/>
      </c>
      <c r="G288" s="98" t="n"/>
      <c r="H288" s="91" t="n"/>
      <c r="I288" s="93" t="str">
        <f>IF(R288=0,"",IF(NOT(ISNUMBER(G288)),"",IF(ISNUMBER(X288),G288*X288,"UNIDADE A CONFERIR")))</f>
        <v/>
      </c>
      <c r="J288" s="91" t="n"/>
      <c r="K288" s="91" t="n"/>
      <c r="L288" s="93" t="str">
        <f>IF(R288=0,"",SUMIFS('RECEBIMENTOS'!$H$6:$H$1005,'RECEBIMENTOS'!$R$6:$R$1005,A288,'RECEBIMENTOS'!$X$6:$X$1005,1))</f>
        <v/>
      </c>
      <c r="M288" s="93" t="str">
        <f>IF(R288=0,"",SUMIFS('VÍNCULOS_CDF'!$H$6:$H$1005,'VÍNCULOS_CDF'!$R$6:$R$1005,A288,'VÍNCULOS_CDF'!$V$6:$V$1005,1))</f>
        <v/>
      </c>
      <c r="N288" s="99" t="str">
        <f>IF(OR(R288=0,AA288=0,NOT(ISNUMBER(I288))),"",I288-N(L288))</f>
        <v/>
      </c>
      <c r="O288" s="100" t="str">
        <f>IF(OR(R288=0,AK288&lt;=0),"",N(M288)/AK288)</f>
        <v/>
      </c>
      <c r="P288" s="94" t="str">
        <f>IF(R288=0,"",IF(S288="","Sem MTR associado",IF(U288=0,"MTR inexistente",IF(C288="","Resíduo não identificado",IF(V288=0,"Resíduo fora do cadastro",IF(W288=0,"Quantidade inválida",IF(H288="","Unidade não informada",IF(NOT(ISNUMBER(I288)),"Unidade a conferir",IF(AND(AH288=1,K288&lt;&gt;"Sim"),"Possível duplicidade",IF(Z288=1,"MTR cancelado",IF(AC288&gt;0,"Recebimento com alerta",IF(AA288=0,"Aguardando recebimento",IF(AB288&lt;AA288,"Recebimento a conferir",IF(AM288=1,"Quantidade a revisar",IF(AF288&gt;0,"Vínculo a revisar",IF(AD288=0,"Aguardando CDF",IF(AN288=0,"Vínculo de CDF parcial",IF(AE288&lt;AD288,"CDF a conferir","Documentação conferida"))))))))))))))))))</f>
        <v/>
      </c>
      <c r="Q288" s="93" t="str">
        <f>IF(OR(R288=0,AA288=0),"",MAX(0,N(L288)-N(M288)))</f>
        <v/>
      </c>
      <c r="R288" s="96">
        <f>IF(COUNTA(B288:C288,G288:H288,J288:K288)&gt;0,1,0)</f>
        <v>0</v>
      </c>
      <c r="S288" s="96" t="str">
        <f>IF(B288="","",TRIM(LEFT(B288,FIND(" |",B288&amp;" |")-1)))</f>
        <v/>
      </c>
      <c r="T288" s="96" t="str">
        <f>IF(S288="","",IFERROR(MATCH(S288,'MTRs'!$A$6:$A$505,0),""))</f>
        <v/>
      </c>
      <c r="U288" s="96">
        <f>IF(T288="",0,IF(INDEX('MTRs'!$Z$6:$Z$505,T288)=1,1,0))</f>
        <v>0</v>
      </c>
      <c r="V288" s="96">
        <f>IF(C288="",0,IF(ISNUMBER(MATCH(C288,'CAD_RESÍDUOS'!$B$6:$B$205,0)),1,0))</f>
        <v>0</v>
      </c>
      <c r="W288" s="96">
        <f>IF(AND(ISNUMBER(G288),G288&gt;0),1,0)</f>
        <v>0</v>
      </c>
      <c r="X288" s="96" t="str">
        <f>IF(H288="","",IFERROR(IF(ISNUMBER(INDEX(cfg_fac,MATCH(H288,cfg_units,0))),IF(INDEX(cfg_fac,MATCH(H288,cfg_units,0))&gt;0,INDEX(cfg_fac,MATCH(H288,cfg_units,0)),""),""),""))</f>
        <v/>
      </c>
      <c r="Y288" s="96">
        <f>IF(AND(W288=1,ISNUMBER(I288)),1,0)</f>
        <v>0</v>
      </c>
      <c r="Z288" s="96">
        <f>IF(U288=1,INDEX('MTRs'!$AA$6:$AA$505,T288),0)</f>
        <v>0</v>
      </c>
      <c r="AA288" s="96">
        <f>IF(R288=0,0,COUNTIFS('RECEBIMENTOS'!$R$6:$R$1005,A288,'RECEBIMENTOS'!$Q$6:$Q$1005,1))</f>
        <v>0</v>
      </c>
      <c r="AB288" s="96">
        <f>IF(R288=0,0,COUNTIFS('RECEBIMENTOS'!$R$6:$R$1005,A288,'RECEBIMENTOS'!$Z$6:$Z$1005,1))</f>
        <v>0</v>
      </c>
      <c r="AC288" s="96">
        <f>IF(R288=0,0,COUNTIFS('RECEBIMENTOS'!$R$6:$R$1005,A288,'RECEBIMENTOS'!$Y$6:$Y$1005,1))</f>
        <v>0</v>
      </c>
      <c r="AD288" s="96">
        <f>IF(R288=0,0,COUNTIFS('VÍNCULOS_CDF'!$R$6:$R$1005,A288,'VÍNCULOS_CDF'!$N$6:$N$1005,1))</f>
        <v>0</v>
      </c>
      <c r="AE288" s="96">
        <f>IF(R288=0,0,COUNTIFS('VÍNCULOS_CDF'!$R$6:$R$1005,A288,'VÍNCULOS_CDF'!$AA$6:$AA$1005,1))</f>
        <v>0</v>
      </c>
      <c r="AF288" s="96">
        <f>IF(R288=0,0,COUNTIFS('VÍNCULOS_CDF'!$R$6:$R$1005,A288,'VÍNCULOS_CDF'!$Y$6:$Y$1005,1))</f>
        <v>0</v>
      </c>
      <c r="AG288" s="96" t="str">
        <f>IF(AND(R288=1,S288&lt;&gt;"",C288&lt;&gt;""),S288&amp;"|"&amp;C288&amp;"|"&amp;G288&amp;"|"&amp;H288,"")</f>
        <v/>
      </c>
      <c r="AH288" s="96">
        <f>IF(AG288="",0,IF(SUMPRODUCT(--($AG$6:$AG$1005=AG288))&gt;1,1,0))</f>
        <v>0</v>
      </c>
      <c r="AI288" s="96">
        <f>IF(R288=0,0,IF(OR(U288=0,V288=0,Y288=0,AND(AH288=1,K288&lt;&gt;"Sim")),1,0))</f>
        <v>0</v>
      </c>
      <c r="AJ288" s="96">
        <f>IF(AND(R288=1,AA288&gt;0,AB288=AA288),1,0)</f>
        <v>0</v>
      </c>
      <c r="AK288" s="96">
        <f>IF(R288=0,0,IF(AA288&gt;0,N(L288),IF(ISNUMBER(I288),I288,0)))</f>
        <v>0</v>
      </c>
      <c r="AL288" s="96">
        <f>IF(R288=0,0,IF(AND(K288&lt;&gt;"Sim",N(M288)&gt;AK288+cfg_tol),1,0))</f>
        <v>0</v>
      </c>
      <c r="AM288" s="96">
        <f>IF(R288=0,0,IF(K288="Sim",0,IF(OR(AND(AA288&gt;0,ISNUMBER(I288),ABS(I288-N(L288))&gt;cfg_tol),AL288=1),1,0)))</f>
        <v>0</v>
      </c>
      <c r="AN288" s="96">
        <f>IF(AND(R288=1,N(M288)&gt;0,OR(N(M288)&gt;=AK288-cfg_tol,K288="Sim")),1,0)</f>
        <v>0</v>
      </c>
      <c r="AO288" s="96">
        <f>IF(AND(AN288=1,AD288&gt;0,AE288=AD288,AL288=0),1,0)</f>
        <v>0</v>
      </c>
      <c r="AP288" s="96">
        <f>IF(U288=0,0,IF(AND(INDEX('MTRs'!$AX$6:$AX$505,T288)=1,Z288=0,OR(f_res="",f_res="(Todos)",C288=f_res)),1,0))</f>
        <v>0</v>
      </c>
      <c r="AQ288" s="97" t="str">
        <f>IF(U288=0,"",INDEX('MTRs'!$AZ$6:$AZ$505,T288))</f>
        <v/>
      </c>
      <c r="AR288" s="96">
        <f>IF(U288=0,0,IF(AND(INDEX('MTRs'!$BA$6:$BA$505,T288)=1,Z288=0),1,0))</f>
        <v>0</v>
      </c>
      <c r="AS288" s="96" t="str">
        <f>IF(R288=1,A288&amp;" | MTR "&amp;IF(U288=1,INDEX('MTRs'!$B$6:$B$505,T288)&amp;"","?")&amp;" | "&amp;IF(C288="","(sem resíduo)",C288),"")</f>
        <v/>
      </c>
      <c r="AT288" s="96" t="str">
        <f>IF(R288=1,COUNTIF($R$6:R288,1),"")</f>
        <v/>
      </c>
      <c r="AU288" s="96" t="str">
        <f>IF(U288=1,INDEX('MTRs'!$I$6:$I$505,T288)&amp;"","")</f>
        <v/>
      </c>
    </row>
    <row r="289">
      <c r="A289" s="89" t="inlineStr">
        <is>
          <t>IT-000284</t>
        </is>
      </c>
      <c r="B289" s="91" t="n"/>
      <c r="C289" s="91" t="n"/>
      <c r="D289" s="94" t="str">
        <f>IF(OR(R289=0,V289=0),"",INDEX('CAD_RESÍDUOS'!$E$6:$E$205,MATCH(C289,'CAD_RESÍDUOS'!$B$6:$B$205,0))&amp;"")</f>
        <v/>
      </c>
      <c r="E289" s="94" t="str">
        <f>IF(OR(R289=0,V289=0),"",INDEX('CAD_RESÍDUOS'!$C$6:$C$205,MATCH(C289,'CAD_RESÍDUOS'!$B$6:$B$205,0))&amp;"")</f>
        <v/>
      </c>
      <c r="F289" s="94" t="str">
        <f>IF(OR(R289=0,V289=0),"",INDEX('CAD_RESÍDUOS'!$G$6:$G$205,MATCH(C289,'CAD_RESÍDUOS'!$B$6:$B$205,0))&amp;"")</f>
        <v/>
      </c>
      <c r="G289" s="98" t="n"/>
      <c r="H289" s="91" t="n"/>
      <c r="I289" s="93" t="str">
        <f>IF(R289=0,"",IF(NOT(ISNUMBER(G289)),"",IF(ISNUMBER(X289),G289*X289,"UNIDADE A CONFERIR")))</f>
        <v/>
      </c>
      <c r="J289" s="91" t="n"/>
      <c r="K289" s="91" t="n"/>
      <c r="L289" s="93" t="str">
        <f>IF(R289=0,"",SUMIFS('RECEBIMENTOS'!$H$6:$H$1005,'RECEBIMENTOS'!$R$6:$R$1005,A289,'RECEBIMENTOS'!$X$6:$X$1005,1))</f>
        <v/>
      </c>
      <c r="M289" s="93" t="str">
        <f>IF(R289=0,"",SUMIFS('VÍNCULOS_CDF'!$H$6:$H$1005,'VÍNCULOS_CDF'!$R$6:$R$1005,A289,'VÍNCULOS_CDF'!$V$6:$V$1005,1))</f>
        <v/>
      </c>
      <c r="N289" s="99" t="str">
        <f>IF(OR(R289=0,AA289=0,NOT(ISNUMBER(I289))),"",I289-N(L289))</f>
        <v/>
      </c>
      <c r="O289" s="100" t="str">
        <f>IF(OR(R289=0,AK289&lt;=0),"",N(M289)/AK289)</f>
        <v/>
      </c>
      <c r="P289" s="94" t="str">
        <f>IF(R289=0,"",IF(S289="","Sem MTR associado",IF(U289=0,"MTR inexistente",IF(C289="","Resíduo não identificado",IF(V289=0,"Resíduo fora do cadastro",IF(W289=0,"Quantidade inválida",IF(H289="","Unidade não informada",IF(NOT(ISNUMBER(I289)),"Unidade a conferir",IF(AND(AH289=1,K289&lt;&gt;"Sim"),"Possível duplicidade",IF(Z289=1,"MTR cancelado",IF(AC289&gt;0,"Recebimento com alerta",IF(AA289=0,"Aguardando recebimento",IF(AB289&lt;AA289,"Recebimento a conferir",IF(AM289=1,"Quantidade a revisar",IF(AF289&gt;0,"Vínculo a revisar",IF(AD289=0,"Aguardando CDF",IF(AN289=0,"Vínculo de CDF parcial",IF(AE289&lt;AD289,"CDF a conferir","Documentação conferida"))))))))))))))))))</f>
        <v/>
      </c>
      <c r="Q289" s="93" t="str">
        <f>IF(OR(R289=0,AA289=0),"",MAX(0,N(L289)-N(M289)))</f>
        <v/>
      </c>
      <c r="R289" s="96">
        <f>IF(COUNTA(B289:C289,G289:H289,J289:K289)&gt;0,1,0)</f>
        <v>0</v>
      </c>
      <c r="S289" s="96" t="str">
        <f>IF(B289="","",TRIM(LEFT(B289,FIND(" |",B289&amp;" |")-1)))</f>
        <v/>
      </c>
      <c r="T289" s="96" t="str">
        <f>IF(S289="","",IFERROR(MATCH(S289,'MTRs'!$A$6:$A$505,0),""))</f>
        <v/>
      </c>
      <c r="U289" s="96">
        <f>IF(T289="",0,IF(INDEX('MTRs'!$Z$6:$Z$505,T289)=1,1,0))</f>
        <v>0</v>
      </c>
      <c r="V289" s="96">
        <f>IF(C289="",0,IF(ISNUMBER(MATCH(C289,'CAD_RESÍDUOS'!$B$6:$B$205,0)),1,0))</f>
        <v>0</v>
      </c>
      <c r="W289" s="96">
        <f>IF(AND(ISNUMBER(G289),G289&gt;0),1,0)</f>
        <v>0</v>
      </c>
      <c r="X289" s="96" t="str">
        <f>IF(H289="","",IFERROR(IF(ISNUMBER(INDEX(cfg_fac,MATCH(H289,cfg_units,0))),IF(INDEX(cfg_fac,MATCH(H289,cfg_units,0))&gt;0,INDEX(cfg_fac,MATCH(H289,cfg_units,0)),""),""),""))</f>
        <v/>
      </c>
      <c r="Y289" s="96">
        <f>IF(AND(W289=1,ISNUMBER(I289)),1,0)</f>
        <v>0</v>
      </c>
      <c r="Z289" s="96">
        <f>IF(U289=1,INDEX('MTRs'!$AA$6:$AA$505,T289),0)</f>
        <v>0</v>
      </c>
      <c r="AA289" s="96">
        <f>IF(R289=0,0,COUNTIFS('RECEBIMENTOS'!$R$6:$R$1005,A289,'RECEBIMENTOS'!$Q$6:$Q$1005,1))</f>
        <v>0</v>
      </c>
      <c r="AB289" s="96">
        <f>IF(R289=0,0,COUNTIFS('RECEBIMENTOS'!$R$6:$R$1005,A289,'RECEBIMENTOS'!$Z$6:$Z$1005,1))</f>
        <v>0</v>
      </c>
      <c r="AC289" s="96">
        <f>IF(R289=0,0,COUNTIFS('RECEBIMENTOS'!$R$6:$R$1005,A289,'RECEBIMENTOS'!$Y$6:$Y$1005,1))</f>
        <v>0</v>
      </c>
      <c r="AD289" s="96">
        <f>IF(R289=0,0,COUNTIFS('VÍNCULOS_CDF'!$R$6:$R$1005,A289,'VÍNCULOS_CDF'!$N$6:$N$1005,1))</f>
        <v>0</v>
      </c>
      <c r="AE289" s="96">
        <f>IF(R289=0,0,COUNTIFS('VÍNCULOS_CDF'!$R$6:$R$1005,A289,'VÍNCULOS_CDF'!$AA$6:$AA$1005,1))</f>
        <v>0</v>
      </c>
      <c r="AF289" s="96">
        <f>IF(R289=0,0,COUNTIFS('VÍNCULOS_CDF'!$R$6:$R$1005,A289,'VÍNCULOS_CDF'!$Y$6:$Y$1005,1))</f>
        <v>0</v>
      </c>
      <c r="AG289" s="96" t="str">
        <f>IF(AND(R289=1,S289&lt;&gt;"",C289&lt;&gt;""),S289&amp;"|"&amp;C289&amp;"|"&amp;G289&amp;"|"&amp;H289,"")</f>
        <v/>
      </c>
      <c r="AH289" s="96">
        <f>IF(AG289="",0,IF(SUMPRODUCT(--($AG$6:$AG$1005=AG289))&gt;1,1,0))</f>
        <v>0</v>
      </c>
      <c r="AI289" s="96">
        <f>IF(R289=0,0,IF(OR(U289=0,V289=0,Y289=0,AND(AH289=1,K289&lt;&gt;"Sim")),1,0))</f>
        <v>0</v>
      </c>
      <c r="AJ289" s="96">
        <f>IF(AND(R289=1,AA289&gt;0,AB289=AA289),1,0)</f>
        <v>0</v>
      </c>
      <c r="AK289" s="96">
        <f>IF(R289=0,0,IF(AA289&gt;0,N(L289),IF(ISNUMBER(I289),I289,0)))</f>
        <v>0</v>
      </c>
      <c r="AL289" s="96">
        <f>IF(R289=0,0,IF(AND(K289&lt;&gt;"Sim",N(M289)&gt;AK289+cfg_tol),1,0))</f>
        <v>0</v>
      </c>
      <c r="AM289" s="96">
        <f>IF(R289=0,0,IF(K289="Sim",0,IF(OR(AND(AA289&gt;0,ISNUMBER(I289),ABS(I289-N(L289))&gt;cfg_tol),AL289=1),1,0)))</f>
        <v>0</v>
      </c>
      <c r="AN289" s="96">
        <f>IF(AND(R289=1,N(M289)&gt;0,OR(N(M289)&gt;=AK289-cfg_tol,K289="Sim")),1,0)</f>
        <v>0</v>
      </c>
      <c r="AO289" s="96">
        <f>IF(AND(AN289=1,AD289&gt;0,AE289=AD289,AL289=0),1,0)</f>
        <v>0</v>
      </c>
      <c r="AP289" s="96">
        <f>IF(U289=0,0,IF(AND(INDEX('MTRs'!$AX$6:$AX$505,T289)=1,Z289=0,OR(f_res="",f_res="(Todos)",C289=f_res)),1,0))</f>
        <v>0</v>
      </c>
      <c r="AQ289" s="97" t="str">
        <f>IF(U289=0,"",INDEX('MTRs'!$AZ$6:$AZ$505,T289))</f>
        <v/>
      </c>
      <c r="AR289" s="96">
        <f>IF(U289=0,0,IF(AND(INDEX('MTRs'!$BA$6:$BA$505,T289)=1,Z289=0),1,0))</f>
        <v>0</v>
      </c>
      <c r="AS289" s="96" t="str">
        <f>IF(R289=1,A289&amp;" | MTR "&amp;IF(U289=1,INDEX('MTRs'!$B$6:$B$505,T289)&amp;"","?")&amp;" | "&amp;IF(C289="","(sem resíduo)",C289),"")</f>
        <v/>
      </c>
      <c r="AT289" s="96" t="str">
        <f>IF(R289=1,COUNTIF($R$6:R289,1),"")</f>
        <v/>
      </c>
      <c r="AU289" s="96" t="str">
        <f>IF(U289=1,INDEX('MTRs'!$I$6:$I$505,T289)&amp;"","")</f>
        <v/>
      </c>
    </row>
    <row r="290">
      <c r="A290" s="89" t="inlineStr">
        <is>
          <t>IT-000285</t>
        </is>
      </c>
      <c r="B290" s="91" t="n"/>
      <c r="C290" s="91" t="n"/>
      <c r="D290" s="94" t="str">
        <f>IF(OR(R290=0,V290=0),"",INDEX('CAD_RESÍDUOS'!$E$6:$E$205,MATCH(C290,'CAD_RESÍDUOS'!$B$6:$B$205,0))&amp;"")</f>
        <v/>
      </c>
      <c r="E290" s="94" t="str">
        <f>IF(OR(R290=0,V290=0),"",INDEX('CAD_RESÍDUOS'!$C$6:$C$205,MATCH(C290,'CAD_RESÍDUOS'!$B$6:$B$205,0))&amp;"")</f>
        <v/>
      </c>
      <c r="F290" s="94" t="str">
        <f>IF(OR(R290=0,V290=0),"",INDEX('CAD_RESÍDUOS'!$G$6:$G$205,MATCH(C290,'CAD_RESÍDUOS'!$B$6:$B$205,0))&amp;"")</f>
        <v/>
      </c>
      <c r="G290" s="98" t="n"/>
      <c r="H290" s="91" t="n"/>
      <c r="I290" s="93" t="str">
        <f>IF(R290=0,"",IF(NOT(ISNUMBER(G290)),"",IF(ISNUMBER(X290),G290*X290,"UNIDADE A CONFERIR")))</f>
        <v/>
      </c>
      <c r="J290" s="91" t="n"/>
      <c r="K290" s="91" t="n"/>
      <c r="L290" s="93" t="str">
        <f>IF(R290=0,"",SUMIFS('RECEBIMENTOS'!$H$6:$H$1005,'RECEBIMENTOS'!$R$6:$R$1005,A290,'RECEBIMENTOS'!$X$6:$X$1005,1))</f>
        <v/>
      </c>
      <c r="M290" s="93" t="str">
        <f>IF(R290=0,"",SUMIFS('VÍNCULOS_CDF'!$H$6:$H$1005,'VÍNCULOS_CDF'!$R$6:$R$1005,A290,'VÍNCULOS_CDF'!$V$6:$V$1005,1))</f>
        <v/>
      </c>
      <c r="N290" s="99" t="str">
        <f>IF(OR(R290=0,AA290=0,NOT(ISNUMBER(I290))),"",I290-N(L290))</f>
        <v/>
      </c>
      <c r="O290" s="100" t="str">
        <f>IF(OR(R290=0,AK290&lt;=0),"",N(M290)/AK290)</f>
        <v/>
      </c>
      <c r="P290" s="94" t="str">
        <f>IF(R290=0,"",IF(S290="","Sem MTR associado",IF(U290=0,"MTR inexistente",IF(C290="","Resíduo não identificado",IF(V290=0,"Resíduo fora do cadastro",IF(W290=0,"Quantidade inválida",IF(H290="","Unidade não informada",IF(NOT(ISNUMBER(I290)),"Unidade a conferir",IF(AND(AH290=1,K290&lt;&gt;"Sim"),"Possível duplicidade",IF(Z290=1,"MTR cancelado",IF(AC290&gt;0,"Recebimento com alerta",IF(AA290=0,"Aguardando recebimento",IF(AB290&lt;AA290,"Recebimento a conferir",IF(AM290=1,"Quantidade a revisar",IF(AF290&gt;0,"Vínculo a revisar",IF(AD290=0,"Aguardando CDF",IF(AN290=0,"Vínculo de CDF parcial",IF(AE290&lt;AD290,"CDF a conferir","Documentação conferida"))))))))))))))))))</f>
        <v/>
      </c>
      <c r="Q290" s="93" t="str">
        <f>IF(OR(R290=0,AA290=0),"",MAX(0,N(L290)-N(M290)))</f>
        <v/>
      </c>
      <c r="R290" s="96">
        <f>IF(COUNTA(B290:C290,G290:H290,J290:K290)&gt;0,1,0)</f>
        <v>0</v>
      </c>
      <c r="S290" s="96" t="str">
        <f>IF(B290="","",TRIM(LEFT(B290,FIND(" |",B290&amp;" |")-1)))</f>
        <v/>
      </c>
      <c r="T290" s="96" t="str">
        <f>IF(S290="","",IFERROR(MATCH(S290,'MTRs'!$A$6:$A$505,0),""))</f>
        <v/>
      </c>
      <c r="U290" s="96">
        <f>IF(T290="",0,IF(INDEX('MTRs'!$Z$6:$Z$505,T290)=1,1,0))</f>
        <v>0</v>
      </c>
      <c r="V290" s="96">
        <f>IF(C290="",0,IF(ISNUMBER(MATCH(C290,'CAD_RESÍDUOS'!$B$6:$B$205,0)),1,0))</f>
        <v>0</v>
      </c>
      <c r="W290" s="96">
        <f>IF(AND(ISNUMBER(G290),G290&gt;0),1,0)</f>
        <v>0</v>
      </c>
      <c r="X290" s="96" t="str">
        <f>IF(H290="","",IFERROR(IF(ISNUMBER(INDEX(cfg_fac,MATCH(H290,cfg_units,0))),IF(INDEX(cfg_fac,MATCH(H290,cfg_units,0))&gt;0,INDEX(cfg_fac,MATCH(H290,cfg_units,0)),""),""),""))</f>
        <v/>
      </c>
      <c r="Y290" s="96">
        <f>IF(AND(W290=1,ISNUMBER(I290)),1,0)</f>
        <v>0</v>
      </c>
      <c r="Z290" s="96">
        <f>IF(U290=1,INDEX('MTRs'!$AA$6:$AA$505,T290),0)</f>
        <v>0</v>
      </c>
      <c r="AA290" s="96">
        <f>IF(R290=0,0,COUNTIFS('RECEBIMENTOS'!$R$6:$R$1005,A290,'RECEBIMENTOS'!$Q$6:$Q$1005,1))</f>
        <v>0</v>
      </c>
      <c r="AB290" s="96">
        <f>IF(R290=0,0,COUNTIFS('RECEBIMENTOS'!$R$6:$R$1005,A290,'RECEBIMENTOS'!$Z$6:$Z$1005,1))</f>
        <v>0</v>
      </c>
      <c r="AC290" s="96">
        <f>IF(R290=0,0,COUNTIFS('RECEBIMENTOS'!$R$6:$R$1005,A290,'RECEBIMENTOS'!$Y$6:$Y$1005,1))</f>
        <v>0</v>
      </c>
      <c r="AD290" s="96">
        <f>IF(R290=0,0,COUNTIFS('VÍNCULOS_CDF'!$R$6:$R$1005,A290,'VÍNCULOS_CDF'!$N$6:$N$1005,1))</f>
        <v>0</v>
      </c>
      <c r="AE290" s="96">
        <f>IF(R290=0,0,COUNTIFS('VÍNCULOS_CDF'!$R$6:$R$1005,A290,'VÍNCULOS_CDF'!$AA$6:$AA$1005,1))</f>
        <v>0</v>
      </c>
      <c r="AF290" s="96">
        <f>IF(R290=0,0,COUNTIFS('VÍNCULOS_CDF'!$R$6:$R$1005,A290,'VÍNCULOS_CDF'!$Y$6:$Y$1005,1))</f>
        <v>0</v>
      </c>
      <c r="AG290" s="96" t="str">
        <f>IF(AND(R290=1,S290&lt;&gt;"",C290&lt;&gt;""),S290&amp;"|"&amp;C290&amp;"|"&amp;G290&amp;"|"&amp;H290,"")</f>
        <v/>
      </c>
      <c r="AH290" s="96">
        <f>IF(AG290="",0,IF(SUMPRODUCT(--($AG$6:$AG$1005=AG290))&gt;1,1,0))</f>
        <v>0</v>
      </c>
      <c r="AI290" s="96">
        <f>IF(R290=0,0,IF(OR(U290=0,V290=0,Y290=0,AND(AH290=1,K290&lt;&gt;"Sim")),1,0))</f>
        <v>0</v>
      </c>
      <c r="AJ290" s="96">
        <f>IF(AND(R290=1,AA290&gt;0,AB290=AA290),1,0)</f>
        <v>0</v>
      </c>
      <c r="AK290" s="96">
        <f>IF(R290=0,0,IF(AA290&gt;0,N(L290),IF(ISNUMBER(I290),I290,0)))</f>
        <v>0</v>
      </c>
      <c r="AL290" s="96">
        <f>IF(R290=0,0,IF(AND(K290&lt;&gt;"Sim",N(M290)&gt;AK290+cfg_tol),1,0))</f>
        <v>0</v>
      </c>
      <c r="AM290" s="96">
        <f>IF(R290=0,0,IF(K290="Sim",0,IF(OR(AND(AA290&gt;0,ISNUMBER(I290),ABS(I290-N(L290))&gt;cfg_tol),AL290=1),1,0)))</f>
        <v>0</v>
      </c>
      <c r="AN290" s="96">
        <f>IF(AND(R290=1,N(M290)&gt;0,OR(N(M290)&gt;=AK290-cfg_tol,K290="Sim")),1,0)</f>
        <v>0</v>
      </c>
      <c r="AO290" s="96">
        <f>IF(AND(AN290=1,AD290&gt;0,AE290=AD290,AL290=0),1,0)</f>
        <v>0</v>
      </c>
      <c r="AP290" s="96">
        <f>IF(U290=0,0,IF(AND(INDEX('MTRs'!$AX$6:$AX$505,T290)=1,Z290=0,OR(f_res="",f_res="(Todos)",C290=f_res)),1,0))</f>
        <v>0</v>
      </c>
      <c r="AQ290" s="97" t="str">
        <f>IF(U290=0,"",INDEX('MTRs'!$AZ$6:$AZ$505,T290))</f>
        <v/>
      </c>
      <c r="AR290" s="96">
        <f>IF(U290=0,0,IF(AND(INDEX('MTRs'!$BA$6:$BA$505,T290)=1,Z290=0),1,0))</f>
        <v>0</v>
      </c>
      <c r="AS290" s="96" t="str">
        <f>IF(R290=1,A290&amp;" | MTR "&amp;IF(U290=1,INDEX('MTRs'!$B$6:$B$505,T290)&amp;"","?")&amp;" | "&amp;IF(C290="","(sem resíduo)",C290),"")</f>
        <v/>
      </c>
      <c r="AT290" s="96" t="str">
        <f>IF(R290=1,COUNTIF($R$6:R290,1),"")</f>
        <v/>
      </c>
      <c r="AU290" s="96" t="str">
        <f>IF(U290=1,INDEX('MTRs'!$I$6:$I$505,T290)&amp;"","")</f>
        <v/>
      </c>
    </row>
    <row r="291">
      <c r="A291" s="89" t="inlineStr">
        <is>
          <t>IT-000286</t>
        </is>
      </c>
      <c r="B291" s="91" t="n"/>
      <c r="C291" s="91" t="n"/>
      <c r="D291" s="94" t="str">
        <f>IF(OR(R291=0,V291=0),"",INDEX('CAD_RESÍDUOS'!$E$6:$E$205,MATCH(C291,'CAD_RESÍDUOS'!$B$6:$B$205,0))&amp;"")</f>
        <v/>
      </c>
      <c r="E291" s="94" t="str">
        <f>IF(OR(R291=0,V291=0),"",INDEX('CAD_RESÍDUOS'!$C$6:$C$205,MATCH(C291,'CAD_RESÍDUOS'!$B$6:$B$205,0))&amp;"")</f>
        <v/>
      </c>
      <c r="F291" s="94" t="str">
        <f>IF(OR(R291=0,V291=0),"",INDEX('CAD_RESÍDUOS'!$G$6:$G$205,MATCH(C291,'CAD_RESÍDUOS'!$B$6:$B$205,0))&amp;"")</f>
        <v/>
      </c>
      <c r="G291" s="98" t="n"/>
      <c r="H291" s="91" t="n"/>
      <c r="I291" s="93" t="str">
        <f>IF(R291=0,"",IF(NOT(ISNUMBER(G291)),"",IF(ISNUMBER(X291),G291*X291,"UNIDADE A CONFERIR")))</f>
        <v/>
      </c>
      <c r="J291" s="91" t="n"/>
      <c r="K291" s="91" t="n"/>
      <c r="L291" s="93" t="str">
        <f>IF(R291=0,"",SUMIFS('RECEBIMENTOS'!$H$6:$H$1005,'RECEBIMENTOS'!$R$6:$R$1005,A291,'RECEBIMENTOS'!$X$6:$X$1005,1))</f>
        <v/>
      </c>
      <c r="M291" s="93" t="str">
        <f>IF(R291=0,"",SUMIFS('VÍNCULOS_CDF'!$H$6:$H$1005,'VÍNCULOS_CDF'!$R$6:$R$1005,A291,'VÍNCULOS_CDF'!$V$6:$V$1005,1))</f>
        <v/>
      </c>
      <c r="N291" s="99" t="str">
        <f>IF(OR(R291=0,AA291=0,NOT(ISNUMBER(I291))),"",I291-N(L291))</f>
        <v/>
      </c>
      <c r="O291" s="100" t="str">
        <f>IF(OR(R291=0,AK291&lt;=0),"",N(M291)/AK291)</f>
        <v/>
      </c>
      <c r="P291" s="94" t="str">
        <f>IF(R291=0,"",IF(S291="","Sem MTR associado",IF(U291=0,"MTR inexistente",IF(C291="","Resíduo não identificado",IF(V291=0,"Resíduo fora do cadastro",IF(W291=0,"Quantidade inválida",IF(H291="","Unidade não informada",IF(NOT(ISNUMBER(I291)),"Unidade a conferir",IF(AND(AH291=1,K291&lt;&gt;"Sim"),"Possível duplicidade",IF(Z291=1,"MTR cancelado",IF(AC291&gt;0,"Recebimento com alerta",IF(AA291=0,"Aguardando recebimento",IF(AB291&lt;AA291,"Recebimento a conferir",IF(AM291=1,"Quantidade a revisar",IF(AF291&gt;0,"Vínculo a revisar",IF(AD291=0,"Aguardando CDF",IF(AN291=0,"Vínculo de CDF parcial",IF(AE291&lt;AD291,"CDF a conferir","Documentação conferida"))))))))))))))))))</f>
        <v/>
      </c>
      <c r="Q291" s="93" t="str">
        <f>IF(OR(R291=0,AA291=0),"",MAX(0,N(L291)-N(M291)))</f>
        <v/>
      </c>
      <c r="R291" s="96">
        <f>IF(COUNTA(B291:C291,G291:H291,J291:K291)&gt;0,1,0)</f>
        <v>0</v>
      </c>
      <c r="S291" s="96" t="str">
        <f>IF(B291="","",TRIM(LEFT(B291,FIND(" |",B291&amp;" |")-1)))</f>
        <v/>
      </c>
      <c r="T291" s="96" t="str">
        <f>IF(S291="","",IFERROR(MATCH(S291,'MTRs'!$A$6:$A$505,0),""))</f>
        <v/>
      </c>
      <c r="U291" s="96">
        <f>IF(T291="",0,IF(INDEX('MTRs'!$Z$6:$Z$505,T291)=1,1,0))</f>
        <v>0</v>
      </c>
      <c r="V291" s="96">
        <f>IF(C291="",0,IF(ISNUMBER(MATCH(C291,'CAD_RESÍDUOS'!$B$6:$B$205,0)),1,0))</f>
        <v>0</v>
      </c>
      <c r="W291" s="96">
        <f>IF(AND(ISNUMBER(G291),G291&gt;0),1,0)</f>
        <v>0</v>
      </c>
      <c r="X291" s="96" t="str">
        <f>IF(H291="","",IFERROR(IF(ISNUMBER(INDEX(cfg_fac,MATCH(H291,cfg_units,0))),IF(INDEX(cfg_fac,MATCH(H291,cfg_units,0))&gt;0,INDEX(cfg_fac,MATCH(H291,cfg_units,0)),""),""),""))</f>
        <v/>
      </c>
      <c r="Y291" s="96">
        <f>IF(AND(W291=1,ISNUMBER(I291)),1,0)</f>
        <v>0</v>
      </c>
      <c r="Z291" s="96">
        <f>IF(U291=1,INDEX('MTRs'!$AA$6:$AA$505,T291),0)</f>
        <v>0</v>
      </c>
      <c r="AA291" s="96">
        <f>IF(R291=0,0,COUNTIFS('RECEBIMENTOS'!$R$6:$R$1005,A291,'RECEBIMENTOS'!$Q$6:$Q$1005,1))</f>
        <v>0</v>
      </c>
      <c r="AB291" s="96">
        <f>IF(R291=0,0,COUNTIFS('RECEBIMENTOS'!$R$6:$R$1005,A291,'RECEBIMENTOS'!$Z$6:$Z$1005,1))</f>
        <v>0</v>
      </c>
      <c r="AC291" s="96">
        <f>IF(R291=0,0,COUNTIFS('RECEBIMENTOS'!$R$6:$R$1005,A291,'RECEBIMENTOS'!$Y$6:$Y$1005,1))</f>
        <v>0</v>
      </c>
      <c r="AD291" s="96">
        <f>IF(R291=0,0,COUNTIFS('VÍNCULOS_CDF'!$R$6:$R$1005,A291,'VÍNCULOS_CDF'!$N$6:$N$1005,1))</f>
        <v>0</v>
      </c>
      <c r="AE291" s="96">
        <f>IF(R291=0,0,COUNTIFS('VÍNCULOS_CDF'!$R$6:$R$1005,A291,'VÍNCULOS_CDF'!$AA$6:$AA$1005,1))</f>
        <v>0</v>
      </c>
      <c r="AF291" s="96">
        <f>IF(R291=0,0,COUNTIFS('VÍNCULOS_CDF'!$R$6:$R$1005,A291,'VÍNCULOS_CDF'!$Y$6:$Y$1005,1))</f>
        <v>0</v>
      </c>
      <c r="AG291" s="96" t="str">
        <f>IF(AND(R291=1,S291&lt;&gt;"",C291&lt;&gt;""),S291&amp;"|"&amp;C291&amp;"|"&amp;G291&amp;"|"&amp;H291,"")</f>
        <v/>
      </c>
      <c r="AH291" s="96">
        <f>IF(AG291="",0,IF(SUMPRODUCT(--($AG$6:$AG$1005=AG291))&gt;1,1,0))</f>
        <v>0</v>
      </c>
      <c r="AI291" s="96">
        <f>IF(R291=0,0,IF(OR(U291=0,V291=0,Y291=0,AND(AH291=1,K291&lt;&gt;"Sim")),1,0))</f>
        <v>0</v>
      </c>
      <c r="AJ291" s="96">
        <f>IF(AND(R291=1,AA291&gt;0,AB291=AA291),1,0)</f>
        <v>0</v>
      </c>
      <c r="AK291" s="96">
        <f>IF(R291=0,0,IF(AA291&gt;0,N(L291),IF(ISNUMBER(I291),I291,0)))</f>
        <v>0</v>
      </c>
      <c r="AL291" s="96">
        <f>IF(R291=0,0,IF(AND(K291&lt;&gt;"Sim",N(M291)&gt;AK291+cfg_tol),1,0))</f>
        <v>0</v>
      </c>
      <c r="AM291" s="96">
        <f>IF(R291=0,0,IF(K291="Sim",0,IF(OR(AND(AA291&gt;0,ISNUMBER(I291),ABS(I291-N(L291))&gt;cfg_tol),AL291=1),1,0)))</f>
        <v>0</v>
      </c>
      <c r="AN291" s="96">
        <f>IF(AND(R291=1,N(M291)&gt;0,OR(N(M291)&gt;=AK291-cfg_tol,K291="Sim")),1,0)</f>
        <v>0</v>
      </c>
      <c r="AO291" s="96">
        <f>IF(AND(AN291=1,AD291&gt;0,AE291=AD291,AL291=0),1,0)</f>
        <v>0</v>
      </c>
      <c r="AP291" s="96">
        <f>IF(U291=0,0,IF(AND(INDEX('MTRs'!$AX$6:$AX$505,T291)=1,Z291=0,OR(f_res="",f_res="(Todos)",C291=f_res)),1,0))</f>
        <v>0</v>
      </c>
      <c r="AQ291" s="97" t="str">
        <f>IF(U291=0,"",INDEX('MTRs'!$AZ$6:$AZ$505,T291))</f>
        <v/>
      </c>
      <c r="AR291" s="96">
        <f>IF(U291=0,0,IF(AND(INDEX('MTRs'!$BA$6:$BA$505,T291)=1,Z291=0),1,0))</f>
        <v>0</v>
      </c>
      <c r="AS291" s="96" t="str">
        <f>IF(R291=1,A291&amp;" | MTR "&amp;IF(U291=1,INDEX('MTRs'!$B$6:$B$505,T291)&amp;"","?")&amp;" | "&amp;IF(C291="","(sem resíduo)",C291),"")</f>
        <v/>
      </c>
      <c r="AT291" s="96" t="str">
        <f>IF(R291=1,COUNTIF($R$6:R291,1),"")</f>
        <v/>
      </c>
      <c r="AU291" s="96" t="str">
        <f>IF(U291=1,INDEX('MTRs'!$I$6:$I$505,T291)&amp;"","")</f>
        <v/>
      </c>
    </row>
    <row r="292">
      <c r="A292" s="89" t="inlineStr">
        <is>
          <t>IT-000287</t>
        </is>
      </c>
      <c r="B292" s="91" t="n"/>
      <c r="C292" s="91" t="n"/>
      <c r="D292" s="94" t="str">
        <f>IF(OR(R292=0,V292=0),"",INDEX('CAD_RESÍDUOS'!$E$6:$E$205,MATCH(C292,'CAD_RESÍDUOS'!$B$6:$B$205,0))&amp;"")</f>
        <v/>
      </c>
      <c r="E292" s="94" t="str">
        <f>IF(OR(R292=0,V292=0),"",INDEX('CAD_RESÍDUOS'!$C$6:$C$205,MATCH(C292,'CAD_RESÍDUOS'!$B$6:$B$205,0))&amp;"")</f>
        <v/>
      </c>
      <c r="F292" s="94" t="str">
        <f>IF(OR(R292=0,V292=0),"",INDEX('CAD_RESÍDUOS'!$G$6:$G$205,MATCH(C292,'CAD_RESÍDUOS'!$B$6:$B$205,0))&amp;"")</f>
        <v/>
      </c>
      <c r="G292" s="98" t="n"/>
      <c r="H292" s="91" t="n"/>
      <c r="I292" s="93" t="str">
        <f>IF(R292=0,"",IF(NOT(ISNUMBER(G292)),"",IF(ISNUMBER(X292),G292*X292,"UNIDADE A CONFERIR")))</f>
        <v/>
      </c>
      <c r="J292" s="91" t="n"/>
      <c r="K292" s="91" t="n"/>
      <c r="L292" s="93" t="str">
        <f>IF(R292=0,"",SUMIFS('RECEBIMENTOS'!$H$6:$H$1005,'RECEBIMENTOS'!$R$6:$R$1005,A292,'RECEBIMENTOS'!$X$6:$X$1005,1))</f>
        <v/>
      </c>
      <c r="M292" s="93" t="str">
        <f>IF(R292=0,"",SUMIFS('VÍNCULOS_CDF'!$H$6:$H$1005,'VÍNCULOS_CDF'!$R$6:$R$1005,A292,'VÍNCULOS_CDF'!$V$6:$V$1005,1))</f>
        <v/>
      </c>
      <c r="N292" s="99" t="str">
        <f>IF(OR(R292=0,AA292=0,NOT(ISNUMBER(I292))),"",I292-N(L292))</f>
        <v/>
      </c>
      <c r="O292" s="100" t="str">
        <f>IF(OR(R292=0,AK292&lt;=0),"",N(M292)/AK292)</f>
        <v/>
      </c>
      <c r="P292" s="94" t="str">
        <f>IF(R292=0,"",IF(S292="","Sem MTR associado",IF(U292=0,"MTR inexistente",IF(C292="","Resíduo não identificado",IF(V292=0,"Resíduo fora do cadastro",IF(W292=0,"Quantidade inválida",IF(H292="","Unidade não informada",IF(NOT(ISNUMBER(I292)),"Unidade a conferir",IF(AND(AH292=1,K292&lt;&gt;"Sim"),"Possível duplicidade",IF(Z292=1,"MTR cancelado",IF(AC292&gt;0,"Recebimento com alerta",IF(AA292=0,"Aguardando recebimento",IF(AB292&lt;AA292,"Recebimento a conferir",IF(AM292=1,"Quantidade a revisar",IF(AF292&gt;0,"Vínculo a revisar",IF(AD292=0,"Aguardando CDF",IF(AN292=0,"Vínculo de CDF parcial",IF(AE292&lt;AD292,"CDF a conferir","Documentação conferida"))))))))))))))))))</f>
        <v/>
      </c>
      <c r="Q292" s="93" t="str">
        <f>IF(OR(R292=0,AA292=0),"",MAX(0,N(L292)-N(M292)))</f>
        <v/>
      </c>
      <c r="R292" s="96">
        <f>IF(COUNTA(B292:C292,G292:H292,J292:K292)&gt;0,1,0)</f>
        <v>0</v>
      </c>
      <c r="S292" s="96" t="str">
        <f>IF(B292="","",TRIM(LEFT(B292,FIND(" |",B292&amp;" |")-1)))</f>
        <v/>
      </c>
      <c r="T292" s="96" t="str">
        <f>IF(S292="","",IFERROR(MATCH(S292,'MTRs'!$A$6:$A$505,0),""))</f>
        <v/>
      </c>
      <c r="U292" s="96">
        <f>IF(T292="",0,IF(INDEX('MTRs'!$Z$6:$Z$505,T292)=1,1,0))</f>
        <v>0</v>
      </c>
      <c r="V292" s="96">
        <f>IF(C292="",0,IF(ISNUMBER(MATCH(C292,'CAD_RESÍDUOS'!$B$6:$B$205,0)),1,0))</f>
        <v>0</v>
      </c>
      <c r="W292" s="96">
        <f>IF(AND(ISNUMBER(G292),G292&gt;0),1,0)</f>
        <v>0</v>
      </c>
      <c r="X292" s="96" t="str">
        <f>IF(H292="","",IFERROR(IF(ISNUMBER(INDEX(cfg_fac,MATCH(H292,cfg_units,0))),IF(INDEX(cfg_fac,MATCH(H292,cfg_units,0))&gt;0,INDEX(cfg_fac,MATCH(H292,cfg_units,0)),""),""),""))</f>
        <v/>
      </c>
      <c r="Y292" s="96">
        <f>IF(AND(W292=1,ISNUMBER(I292)),1,0)</f>
        <v>0</v>
      </c>
      <c r="Z292" s="96">
        <f>IF(U292=1,INDEX('MTRs'!$AA$6:$AA$505,T292),0)</f>
        <v>0</v>
      </c>
      <c r="AA292" s="96">
        <f>IF(R292=0,0,COUNTIFS('RECEBIMENTOS'!$R$6:$R$1005,A292,'RECEBIMENTOS'!$Q$6:$Q$1005,1))</f>
        <v>0</v>
      </c>
      <c r="AB292" s="96">
        <f>IF(R292=0,0,COUNTIFS('RECEBIMENTOS'!$R$6:$R$1005,A292,'RECEBIMENTOS'!$Z$6:$Z$1005,1))</f>
        <v>0</v>
      </c>
      <c r="AC292" s="96">
        <f>IF(R292=0,0,COUNTIFS('RECEBIMENTOS'!$R$6:$R$1005,A292,'RECEBIMENTOS'!$Y$6:$Y$1005,1))</f>
        <v>0</v>
      </c>
      <c r="AD292" s="96">
        <f>IF(R292=0,0,COUNTIFS('VÍNCULOS_CDF'!$R$6:$R$1005,A292,'VÍNCULOS_CDF'!$N$6:$N$1005,1))</f>
        <v>0</v>
      </c>
      <c r="AE292" s="96">
        <f>IF(R292=0,0,COUNTIFS('VÍNCULOS_CDF'!$R$6:$R$1005,A292,'VÍNCULOS_CDF'!$AA$6:$AA$1005,1))</f>
        <v>0</v>
      </c>
      <c r="AF292" s="96">
        <f>IF(R292=0,0,COUNTIFS('VÍNCULOS_CDF'!$R$6:$R$1005,A292,'VÍNCULOS_CDF'!$Y$6:$Y$1005,1))</f>
        <v>0</v>
      </c>
      <c r="AG292" s="96" t="str">
        <f>IF(AND(R292=1,S292&lt;&gt;"",C292&lt;&gt;""),S292&amp;"|"&amp;C292&amp;"|"&amp;G292&amp;"|"&amp;H292,"")</f>
        <v/>
      </c>
      <c r="AH292" s="96">
        <f>IF(AG292="",0,IF(SUMPRODUCT(--($AG$6:$AG$1005=AG292))&gt;1,1,0))</f>
        <v>0</v>
      </c>
      <c r="AI292" s="96">
        <f>IF(R292=0,0,IF(OR(U292=0,V292=0,Y292=0,AND(AH292=1,K292&lt;&gt;"Sim")),1,0))</f>
        <v>0</v>
      </c>
      <c r="AJ292" s="96">
        <f>IF(AND(R292=1,AA292&gt;0,AB292=AA292),1,0)</f>
        <v>0</v>
      </c>
      <c r="AK292" s="96">
        <f>IF(R292=0,0,IF(AA292&gt;0,N(L292),IF(ISNUMBER(I292),I292,0)))</f>
        <v>0</v>
      </c>
      <c r="AL292" s="96">
        <f>IF(R292=0,0,IF(AND(K292&lt;&gt;"Sim",N(M292)&gt;AK292+cfg_tol),1,0))</f>
        <v>0</v>
      </c>
      <c r="AM292" s="96">
        <f>IF(R292=0,0,IF(K292="Sim",0,IF(OR(AND(AA292&gt;0,ISNUMBER(I292),ABS(I292-N(L292))&gt;cfg_tol),AL292=1),1,0)))</f>
        <v>0</v>
      </c>
      <c r="AN292" s="96">
        <f>IF(AND(R292=1,N(M292)&gt;0,OR(N(M292)&gt;=AK292-cfg_tol,K292="Sim")),1,0)</f>
        <v>0</v>
      </c>
      <c r="AO292" s="96">
        <f>IF(AND(AN292=1,AD292&gt;0,AE292=AD292,AL292=0),1,0)</f>
        <v>0</v>
      </c>
      <c r="AP292" s="96">
        <f>IF(U292=0,0,IF(AND(INDEX('MTRs'!$AX$6:$AX$505,T292)=1,Z292=0,OR(f_res="",f_res="(Todos)",C292=f_res)),1,0))</f>
        <v>0</v>
      </c>
      <c r="AQ292" s="97" t="str">
        <f>IF(U292=0,"",INDEX('MTRs'!$AZ$6:$AZ$505,T292))</f>
        <v/>
      </c>
      <c r="AR292" s="96">
        <f>IF(U292=0,0,IF(AND(INDEX('MTRs'!$BA$6:$BA$505,T292)=1,Z292=0),1,0))</f>
        <v>0</v>
      </c>
      <c r="AS292" s="96" t="str">
        <f>IF(R292=1,A292&amp;" | MTR "&amp;IF(U292=1,INDEX('MTRs'!$B$6:$B$505,T292)&amp;"","?")&amp;" | "&amp;IF(C292="","(sem resíduo)",C292),"")</f>
        <v/>
      </c>
      <c r="AT292" s="96" t="str">
        <f>IF(R292=1,COUNTIF($R$6:R292,1),"")</f>
        <v/>
      </c>
      <c r="AU292" s="96" t="str">
        <f>IF(U292=1,INDEX('MTRs'!$I$6:$I$505,T292)&amp;"","")</f>
        <v/>
      </c>
    </row>
    <row r="293">
      <c r="A293" s="89" t="inlineStr">
        <is>
          <t>IT-000288</t>
        </is>
      </c>
      <c r="B293" s="91" t="n"/>
      <c r="C293" s="91" t="n"/>
      <c r="D293" s="94" t="str">
        <f>IF(OR(R293=0,V293=0),"",INDEX('CAD_RESÍDUOS'!$E$6:$E$205,MATCH(C293,'CAD_RESÍDUOS'!$B$6:$B$205,0))&amp;"")</f>
        <v/>
      </c>
      <c r="E293" s="94" t="str">
        <f>IF(OR(R293=0,V293=0),"",INDEX('CAD_RESÍDUOS'!$C$6:$C$205,MATCH(C293,'CAD_RESÍDUOS'!$B$6:$B$205,0))&amp;"")</f>
        <v/>
      </c>
      <c r="F293" s="94" t="str">
        <f>IF(OR(R293=0,V293=0),"",INDEX('CAD_RESÍDUOS'!$G$6:$G$205,MATCH(C293,'CAD_RESÍDUOS'!$B$6:$B$205,0))&amp;"")</f>
        <v/>
      </c>
      <c r="G293" s="98" t="n"/>
      <c r="H293" s="91" t="n"/>
      <c r="I293" s="93" t="str">
        <f>IF(R293=0,"",IF(NOT(ISNUMBER(G293)),"",IF(ISNUMBER(X293),G293*X293,"UNIDADE A CONFERIR")))</f>
        <v/>
      </c>
      <c r="J293" s="91" t="n"/>
      <c r="K293" s="91" t="n"/>
      <c r="L293" s="93" t="str">
        <f>IF(R293=0,"",SUMIFS('RECEBIMENTOS'!$H$6:$H$1005,'RECEBIMENTOS'!$R$6:$R$1005,A293,'RECEBIMENTOS'!$X$6:$X$1005,1))</f>
        <v/>
      </c>
      <c r="M293" s="93" t="str">
        <f>IF(R293=0,"",SUMIFS('VÍNCULOS_CDF'!$H$6:$H$1005,'VÍNCULOS_CDF'!$R$6:$R$1005,A293,'VÍNCULOS_CDF'!$V$6:$V$1005,1))</f>
        <v/>
      </c>
      <c r="N293" s="99" t="str">
        <f>IF(OR(R293=0,AA293=0,NOT(ISNUMBER(I293))),"",I293-N(L293))</f>
        <v/>
      </c>
      <c r="O293" s="100" t="str">
        <f>IF(OR(R293=0,AK293&lt;=0),"",N(M293)/AK293)</f>
        <v/>
      </c>
      <c r="P293" s="94" t="str">
        <f>IF(R293=0,"",IF(S293="","Sem MTR associado",IF(U293=0,"MTR inexistente",IF(C293="","Resíduo não identificado",IF(V293=0,"Resíduo fora do cadastro",IF(W293=0,"Quantidade inválida",IF(H293="","Unidade não informada",IF(NOT(ISNUMBER(I293)),"Unidade a conferir",IF(AND(AH293=1,K293&lt;&gt;"Sim"),"Possível duplicidade",IF(Z293=1,"MTR cancelado",IF(AC293&gt;0,"Recebimento com alerta",IF(AA293=0,"Aguardando recebimento",IF(AB293&lt;AA293,"Recebimento a conferir",IF(AM293=1,"Quantidade a revisar",IF(AF293&gt;0,"Vínculo a revisar",IF(AD293=0,"Aguardando CDF",IF(AN293=0,"Vínculo de CDF parcial",IF(AE293&lt;AD293,"CDF a conferir","Documentação conferida"))))))))))))))))))</f>
        <v/>
      </c>
      <c r="Q293" s="93" t="str">
        <f>IF(OR(R293=0,AA293=0),"",MAX(0,N(L293)-N(M293)))</f>
        <v/>
      </c>
      <c r="R293" s="96">
        <f>IF(COUNTA(B293:C293,G293:H293,J293:K293)&gt;0,1,0)</f>
        <v>0</v>
      </c>
      <c r="S293" s="96" t="str">
        <f>IF(B293="","",TRIM(LEFT(B293,FIND(" |",B293&amp;" |")-1)))</f>
        <v/>
      </c>
      <c r="T293" s="96" t="str">
        <f>IF(S293="","",IFERROR(MATCH(S293,'MTRs'!$A$6:$A$505,0),""))</f>
        <v/>
      </c>
      <c r="U293" s="96">
        <f>IF(T293="",0,IF(INDEX('MTRs'!$Z$6:$Z$505,T293)=1,1,0))</f>
        <v>0</v>
      </c>
      <c r="V293" s="96">
        <f>IF(C293="",0,IF(ISNUMBER(MATCH(C293,'CAD_RESÍDUOS'!$B$6:$B$205,0)),1,0))</f>
        <v>0</v>
      </c>
      <c r="W293" s="96">
        <f>IF(AND(ISNUMBER(G293),G293&gt;0),1,0)</f>
        <v>0</v>
      </c>
      <c r="X293" s="96" t="str">
        <f>IF(H293="","",IFERROR(IF(ISNUMBER(INDEX(cfg_fac,MATCH(H293,cfg_units,0))),IF(INDEX(cfg_fac,MATCH(H293,cfg_units,0))&gt;0,INDEX(cfg_fac,MATCH(H293,cfg_units,0)),""),""),""))</f>
        <v/>
      </c>
      <c r="Y293" s="96">
        <f>IF(AND(W293=1,ISNUMBER(I293)),1,0)</f>
        <v>0</v>
      </c>
      <c r="Z293" s="96">
        <f>IF(U293=1,INDEX('MTRs'!$AA$6:$AA$505,T293),0)</f>
        <v>0</v>
      </c>
      <c r="AA293" s="96">
        <f>IF(R293=0,0,COUNTIFS('RECEBIMENTOS'!$R$6:$R$1005,A293,'RECEBIMENTOS'!$Q$6:$Q$1005,1))</f>
        <v>0</v>
      </c>
      <c r="AB293" s="96">
        <f>IF(R293=0,0,COUNTIFS('RECEBIMENTOS'!$R$6:$R$1005,A293,'RECEBIMENTOS'!$Z$6:$Z$1005,1))</f>
        <v>0</v>
      </c>
      <c r="AC293" s="96">
        <f>IF(R293=0,0,COUNTIFS('RECEBIMENTOS'!$R$6:$R$1005,A293,'RECEBIMENTOS'!$Y$6:$Y$1005,1))</f>
        <v>0</v>
      </c>
      <c r="AD293" s="96">
        <f>IF(R293=0,0,COUNTIFS('VÍNCULOS_CDF'!$R$6:$R$1005,A293,'VÍNCULOS_CDF'!$N$6:$N$1005,1))</f>
        <v>0</v>
      </c>
      <c r="AE293" s="96">
        <f>IF(R293=0,0,COUNTIFS('VÍNCULOS_CDF'!$R$6:$R$1005,A293,'VÍNCULOS_CDF'!$AA$6:$AA$1005,1))</f>
        <v>0</v>
      </c>
      <c r="AF293" s="96">
        <f>IF(R293=0,0,COUNTIFS('VÍNCULOS_CDF'!$R$6:$R$1005,A293,'VÍNCULOS_CDF'!$Y$6:$Y$1005,1))</f>
        <v>0</v>
      </c>
      <c r="AG293" s="96" t="str">
        <f>IF(AND(R293=1,S293&lt;&gt;"",C293&lt;&gt;""),S293&amp;"|"&amp;C293&amp;"|"&amp;G293&amp;"|"&amp;H293,"")</f>
        <v/>
      </c>
      <c r="AH293" s="96">
        <f>IF(AG293="",0,IF(SUMPRODUCT(--($AG$6:$AG$1005=AG293))&gt;1,1,0))</f>
        <v>0</v>
      </c>
      <c r="AI293" s="96">
        <f>IF(R293=0,0,IF(OR(U293=0,V293=0,Y293=0,AND(AH293=1,K293&lt;&gt;"Sim")),1,0))</f>
        <v>0</v>
      </c>
      <c r="AJ293" s="96">
        <f>IF(AND(R293=1,AA293&gt;0,AB293=AA293),1,0)</f>
        <v>0</v>
      </c>
      <c r="AK293" s="96">
        <f>IF(R293=0,0,IF(AA293&gt;0,N(L293),IF(ISNUMBER(I293),I293,0)))</f>
        <v>0</v>
      </c>
      <c r="AL293" s="96">
        <f>IF(R293=0,0,IF(AND(K293&lt;&gt;"Sim",N(M293)&gt;AK293+cfg_tol),1,0))</f>
        <v>0</v>
      </c>
      <c r="AM293" s="96">
        <f>IF(R293=0,0,IF(K293="Sim",0,IF(OR(AND(AA293&gt;0,ISNUMBER(I293),ABS(I293-N(L293))&gt;cfg_tol),AL293=1),1,0)))</f>
        <v>0</v>
      </c>
      <c r="AN293" s="96">
        <f>IF(AND(R293=1,N(M293)&gt;0,OR(N(M293)&gt;=AK293-cfg_tol,K293="Sim")),1,0)</f>
        <v>0</v>
      </c>
      <c r="AO293" s="96">
        <f>IF(AND(AN293=1,AD293&gt;0,AE293=AD293,AL293=0),1,0)</f>
        <v>0</v>
      </c>
      <c r="AP293" s="96">
        <f>IF(U293=0,0,IF(AND(INDEX('MTRs'!$AX$6:$AX$505,T293)=1,Z293=0,OR(f_res="",f_res="(Todos)",C293=f_res)),1,0))</f>
        <v>0</v>
      </c>
      <c r="AQ293" s="97" t="str">
        <f>IF(U293=0,"",INDEX('MTRs'!$AZ$6:$AZ$505,T293))</f>
        <v/>
      </c>
      <c r="AR293" s="96">
        <f>IF(U293=0,0,IF(AND(INDEX('MTRs'!$BA$6:$BA$505,T293)=1,Z293=0),1,0))</f>
        <v>0</v>
      </c>
      <c r="AS293" s="96" t="str">
        <f>IF(R293=1,A293&amp;" | MTR "&amp;IF(U293=1,INDEX('MTRs'!$B$6:$B$505,T293)&amp;"","?")&amp;" | "&amp;IF(C293="","(sem resíduo)",C293),"")</f>
        <v/>
      </c>
      <c r="AT293" s="96" t="str">
        <f>IF(R293=1,COUNTIF($R$6:R293,1),"")</f>
        <v/>
      </c>
      <c r="AU293" s="96" t="str">
        <f>IF(U293=1,INDEX('MTRs'!$I$6:$I$505,T293)&amp;"","")</f>
        <v/>
      </c>
    </row>
    <row r="294">
      <c r="A294" s="89" t="inlineStr">
        <is>
          <t>IT-000289</t>
        </is>
      </c>
      <c r="B294" s="91" t="n"/>
      <c r="C294" s="91" t="n"/>
      <c r="D294" s="94" t="str">
        <f>IF(OR(R294=0,V294=0),"",INDEX('CAD_RESÍDUOS'!$E$6:$E$205,MATCH(C294,'CAD_RESÍDUOS'!$B$6:$B$205,0))&amp;"")</f>
        <v/>
      </c>
      <c r="E294" s="94" t="str">
        <f>IF(OR(R294=0,V294=0),"",INDEX('CAD_RESÍDUOS'!$C$6:$C$205,MATCH(C294,'CAD_RESÍDUOS'!$B$6:$B$205,0))&amp;"")</f>
        <v/>
      </c>
      <c r="F294" s="94" t="str">
        <f>IF(OR(R294=0,V294=0),"",INDEX('CAD_RESÍDUOS'!$G$6:$G$205,MATCH(C294,'CAD_RESÍDUOS'!$B$6:$B$205,0))&amp;"")</f>
        <v/>
      </c>
      <c r="G294" s="98" t="n"/>
      <c r="H294" s="91" t="n"/>
      <c r="I294" s="93" t="str">
        <f>IF(R294=0,"",IF(NOT(ISNUMBER(G294)),"",IF(ISNUMBER(X294),G294*X294,"UNIDADE A CONFERIR")))</f>
        <v/>
      </c>
      <c r="J294" s="91" t="n"/>
      <c r="K294" s="91" t="n"/>
      <c r="L294" s="93" t="str">
        <f>IF(R294=0,"",SUMIFS('RECEBIMENTOS'!$H$6:$H$1005,'RECEBIMENTOS'!$R$6:$R$1005,A294,'RECEBIMENTOS'!$X$6:$X$1005,1))</f>
        <v/>
      </c>
      <c r="M294" s="93" t="str">
        <f>IF(R294=0,"",SUMIFS('VÍNCULOS_CDF'!$H$6:$H$1005,'VÍNCULOS_CDF'!$R$6:$R$1005,A294,'VÍNCULOS_CDF'!$V$6:$V$1005,1))</f>
        <v/>
      </c>
      <c r="N294" s="99" t="str">
        <f>IF(OR(R294=0,AA294=0,NOT(ISNUMBER(I294))),"",I294-N(L294))</f>
        <v/>
      </c>
      <c r="O294" s="100" t="str">
        <f>IF(OR(R294=0,AK294&lt;=0),"",N(M294)/AK294)</f>
        <v/>
      </c>
      <c r="P294" s="94" t="str">
        <f>IF(R294=0,"",IF(S294="","Sem MTR associado",IF(U294=0,"MTR inexistente",IF(C294="","Resíduo não identificado",IF(V294=0,"Resíduo fora do cadastro",IF(W294=0,"Quantidade inválida",IF(H294="","Unidade não informada",IF(NOT(ISNUMBER(I294)),"Unidade a conferir",IF(AND(AH294=1,K294&lt;&gt;"Sim"),"Possível duplicidade",IF(Z294=1,"MTR cancelado",IF(AC294&gt;0,"Recebimento com alerta",IF(AA294=0,"Aguardando recebimento",IF(AB294&lt;AA294,"Recebimento a conferir",IF(AM294=1,"Quantidade a revisar",IF(AF294&gt;0,"Vínculo a revisar",IF(AD294=0,"Aguardando CDF",IF(AN294=0,"Vínculo de CDF parcial",IF(AE294&lt;AD294,"CDF a conferir","Documentação conferida"))))))))))))))))))</f>
        <v/>
      </c>
      <c r="Q294" s="93" t="str">
        <f>IF(OR(R294=0,AA294=0),"",MAX(0,N(L294)-N(M294)))</f>
        <v/>
      </c>
      <c r="R294" s="96">
        <f>IF(COUNTA(B294:C294,G294:H294,J294:K294)&gt;0,1,0)</f>
        <v>0</v>
      </c>
      <c r="S294" s="96" t="str">
        <f>IF(B294="","",TRIM(LEFT(B294,FIND(" |",B294&amp;" |")-1)))</f>
        <v/>
      </c>
      <c r="T294" s="96" t="str">
        <f>IF(S294="","",IFERROR(MATCH(S294,'MTRs'!$A$6:$A$505,0),""))</f>
        <v/>
      </c>
      <c r="U294" s="96">
        <f>IF(T294="",0,IF(INDEX('MTRs'!$Z$6:$Z$505,T294)=1,1,0))</f>
        <v>0</v>
      </c>
      <c r="V294" s="96">
        <f>IF(C294="",0,IF(ISNUMBER(MATCH(C294,'CAD_RESÍDUOS'!$B$6:$B$205,0)),1,0))</f>
        <v>0</v>
      </c>
      <c r="W294" s="96">
        <f>IF(AND(ISNUMBER(G294),G294&gt;0),1,0)</f>
        <v>0</v>
      </c>
      <c r="X294" s="96" t="str">
        <f>IF(H294="","",IFERROR(IF(ISNUMBER(INDEX(cfg_fac,MATCH(H294,cfg_units,0))),IF(INDEX(cfg_fac,MATCH(H294,cfg_units,0))&gt;0,INDEX(cfg_fac,MATCH(H294,cfg_units,0)),""),""),""))</f>
        <v/>
      </c>
      <c r="Y294" s="96">
        <f>IF(AND(W294=1,ISNUMBER(I294)),1,0)</f>
        <v>0</v>
      </c>
      <c r="Z294" s="96">
        <f>IF(U294=1,INDEX('MTRs'!$AA$6:$AA$505,T294),0)</f>
        <v>0</v>
      </c>
      <c r="AA294" s="96">
        <f>IF(R294=0,0,COUNTIFS('RECEBIMENTOS'!$R$6:$R$1005,A294,'RECEBIMENTOS'!$Q$6:$Q$1005,1))</f>
        <v>0</v>
      </c>
      <c r="AB294" s="96">
        <f>IF(R294=0,0,COUNTIFS('RECEBIMENTOS'!$R$6:$R$1005,A294,'RECEBIMENTOS'!$Z$6:$Z$1005,1))</f>
        <v>0</v>
      </c>
      <c r="AC294" s="96">
        <f>IF(R294=0,0,COUNTIFS('RECEBIMENTOS'!$R$6:$R$1005,A294,'RECEBIMENTOS'!$Y$6:$Y$1005,1))</f>
        <v>0</v>
      </c>
      <c r="AD294" s="96">
        <f>IF(R294=0,0,COUNTIFS('VÍNCULOS_CDF'!$R$6:$R$1005,A294,'VÍNCULOS_CDF'!$N$6:$N$1005,1))</f>
        <v>0</v>
      </c>
      <c r="AE294" s="96">
        <f>IF(R294=0,0,COUNTIFS('VÍNCULOS_CDF'!$R$6:$R$1005,A294,'VÍNCULOS_CDF'!$AA$6:$AA$1005,1))</f>
        <v>0</v>
      </c>
      <c r="AF294" s="96">
        <f>IF(R294=0,0,COUNTIFS('VÍNCULOS_CDF'!$R$6:$R$1005,A294,'VÍNCULOS_CDF'!$Y$6:$Y$1005,1))</f>
        <v>0</v>
      </c>
      <c r="AG294" s="96" t="str">
        <f>IF(AND(R294=1,S294&lt;&gt;"",C294&lt;&gt;""),S294&amp;"|"&amp;C294&amp;"|"&amp;G294&amp;"|"&amp;H294,"")</f>
        <v/>
      </c>
      <c r="AH294" s="96">
        <f>IF(AG294="",0,IF(SUMPRODUCT(--($AG$6:$AG$1005=AG294))&gt;1,1,0))</f>
        <v>0</v>
      </c>
      <c r="AI294" s="96">
        <f>IF(R294=0,0,IF(OR(U294=0,V294=0,Y294=0,AND(AH294=1,K294&lt;&gt;"Sim")),1,0))</f>
        <v>0</v>
      </c>
      <c r="AJ294" s="96">
        <f>IF(AND(R294=1,AA294&gt;0,AB294=AA294),1,0)</f>
        <v>0</v>
      </c>
      <c r="AK294" s="96">
        <f>IF(R294=0,0,IF(AA294&gt;0,N(L294),IF(ISNUMBER(I294),I294,0)))</f>
        <v>0</v>
      </c>
      <c r="AL294" s="96">
        <f>IF(R294=0,0,IF(AND(K294&lt;&gt;"Sim",N(M294)&gt;AK294+cfg_tol),1,0))</f>
        <v>0</v>
      </c>
      <c r="AM294" s="96">
        <f>IF(R294=0,0,IF(K294="Sim",0,IF(OR(AND(AA294&gt;0,ISNUMBER(I294),ABS(I294-N(L294))&gt;cfg_tol),AL294=1),1,0)))</f>
        <v>0</v>
      </c>
      <c r="AN294" s="96">
        <f>IF(AND(R294=1,N(M294)&gt;0,OR(N(M294)&gt;=AK294-cfg_tol,K294="Sim")),1,0)</f>
        <v>0</v>
      </c>
      <c r="AO294" s="96">
        <f>IF(AND(AN294=1,AD294&gt;0,AE294=AD294,AL294=0),1,0)</f>
        <v>0</v>
      </c>
      <c r="AP294" s="96">
        <f>IF(U294=0,0,IF(AND(INDEX('MTRs'!$AX$6:$AX$505,T294)=1,Z294=0,OR(f_res="",f_res="(Todos)",C294=f_res)),1,0))</f>
        <v>0</v>
      </c>
      <c r="AQ294" s="97" t="str">
        <f>IF(U294=0,"",INDEX('MTRs'!$AZ$6:$AZ$505,T294))</f>
        <v/>
      </c>
      <c r="AR294" s="96">
        <f>IF(U294=0,0,IF(AND(INDEX('MTRs'!$BA$6:$BA$505,T294)=1,Z294=0),1,0))</f>
        <v>0</v>
      </c>
      <c r="AS294" s="96" t="str">
        <f>IF(R294=1,A294&amp;" | MTR "&amp;IF(U294=1,INDEX('MTRs'!$B$6:$B$505,T294)&amp;"","?")&amp;" | "&amp;IF(C294="","(sem resíduo)",C294),"")</f>
        <v/>
      </c>
      <c r="AT294" s="96" t="str">
        <f>IF(R294=1,COUNTIF($R$6:R294,1),"")</f>
        <v/>
      </c>
      <c r="AU294" s="96" t="str">
        <f>IF(U294=1,INDEX('MTRs'!$I$6:$I$505,T294)&amp;"","")</f>
        <v/>
      </c>
    </row>
    <row r="295">
      <c r="A295" s="89" t="inlineStr">
        <is>
          <t>IT-000290</t>
        </is>
      </c>
      <c r="B295" s="91" t="n"/>
      <c r="C295" s="91" t="n"/>
      <c r="D295" s="94" t="str">
        <f>IF(OR(R295=0,V295=0),"",INDEX('CAD_RESÍDUOS'!$E$6:$E$205,MATCH(C295,'CAD_RESÍDUOS'!$B$6:$B$205,0))&amp;"")</f>
        <v/>
      </c>
      <c r="E295" s="94" t="str">
        <f>IF(OR(R295=0,V295=0),"",INDEX('CAD_RESÍDUOS'!$C$6:$C$205,MATCH(C295,'CAD_RESÍDUOS'!$B$6:$B$205,0))&amp;"")</f>
        <v/>
      </c>
      <c r="F295" s="94" t="str">
        <f>IF(OR(R295=0,V295=0),"",INDEX('CAD_RESÍDUOS'!$G$6:$G$205,MATCH(C295,'CAD_RESÍDUOS'!$B$6:$B$205,0))&amp;"")</f>
        <v/>
      </c>
      <c r="G295" s="98" t="n"/>
      <c r="H295" s="91" t="n"/>
      <c r="I295" s="93" t="str">
        <f>IF(R295=0,"",IF(NOT(ISNUMBER(G295)),"",IF(ISNUMBER(X295),G295*X295,"UNIDADE A CONFERIR")))</f>
        <v/>
      </c>
      <c r="J295" s="91" t="n"/>
      <c r="K295" s="91" t="n"/>
      <c r="L295" s="93" t="str">
        <f>IF(R295=0,"",SUMIFS('RECEBIMENTOS'!$H$6:$H$1005,'RECEBIMENTOS'!$R$6:$R$1005,A295,'RECEBIMENTOS'!$X$6:$X$1005,1))</f>
        <v/>
      </c>
      <c r="M295" s="93" t="str">
        <f>IF(R295=0,"",SUMIFS('VÍNCULOS_CDF'!$H$6:$H$1005,'VÍNCULOS_CDF'!$R$6:$R$1005,A295,'VÍNCULOS_CDF'!$V$6:$V$1005,1))</f>
        <v/>
      </c>
      <c r="N295" s="99" t="str">
        <f>IF(OR(R295=0,AA295=0,NOT(ISNUMBER(I295))),"",I295-N(L295))</f>
        <v/>
      </c>
      <c r="O295" s="100" t="str">
        <f>IF(OR(R295=0,AK295&lt;=0),"",N(M295)/AK295)</f>
        <v/>
      </c>
      <c r="P295" s="94" t="str">
        <f>IF(R295=0,"",IF(S295="","Sem MTR associado",IF(U295=0,"MTR inexistente",IF(C295="","Resíduo não identificado",IF(V295=0,"Resíduo fora do cadastro",IF(W295=0,"Quantidade inválida",IF(H295="","Unidade não informada",IF(NOT(ISNUMBER(I295)),"Unidade a conferir",IF(AND(AH295=1,K295&lt;&gt;"Sim"),"Possível duplicidade",IF(Z295=1,"MTR cancelado",IF(AC295&gt;0,"Recebimento com alerta",IF(AA295=0,"Aguardando recebimento",IF(AB295&lt;AA295,"Recebimento a conferir",IF(AM295=1,"Quantidade a revisar",IF(AF295&gt;0,"Vínculo a revisar",IF(AD295=0,"Aguardando CDF",IF(AN295=0,"Vínculo de CDF parcial",IF(AE295&lt;AD295,"CDF a conferir","Documentação conferida"))))))))))))))))))</f>
        <v/>
      </c>
      <c r="Q295" s="93" t="str">
        <f>IF(OR(R295=0,AA295=0),"",MAX(0,N(L295)-N(M295)))</f>
        <v/>
      </c>
      <c r="R295" s="96">
        <f>IF(COUNTA(B295:C295,G295:H295,J295:K295)&gt;0,1,0)</f>
        <v>0</v>
      </c>
      <c r="S295" s="96" t="str">
        <f>IF(B295="","",TRIM(LEFT(B295,FIND(" |",B295&amp;" |")-1)))</f>
        <v/>
      </c>
      <c r="T295" s="96" t="str">
        <f>IF(S295="","",IFERROR(MATCH(S295,'MTRs'!$A$6:$A$505,0),""))</f>
        <v/>
      </c>
      <c r="U295" s="96">
        <f>IF(T295="",0,IF(INDEX('MTRs'!$Z$6:$Z$505,T295)=1,1,0))</f>
        <v>0</v>
      </c>
      <c r="V295" s="96">
        <f>IF(C295="",0,IF(ISNUMBER(MATCH(C295,'CAD_RESÍDUOS'!$B$6:$B$205,0)),1,0))</f>
        <v>0</v>
      </c>
      <c r="W295" s="96">
        <f>IF(AND(ISNUMBER(G295),G295&gt;0),1,0)</f>
        <v>0</v>
      </c>
      <c r="X295" s="96" t="str">
        <f>IF(H295="","",IFERROR(IF(ISNUMBER(INDEX(cfg_fac,MATCH(H295,cfg_units,0))),IF(INDEX(cfg_fac,MATCH(H295,cfg_units,0))&gt;0,INDEX(cfg_fac,MATCH(H295,cfg_units,0)),""),""),""))</f>
        <v/>
      </c>
      <c r="Y295" s="96">
        <f>IF(AND(W295=1,ISNUMBER(I295)),1,0)</f>
        <v>0</v>
      </c>
      <c r="Z295" s="96">
        <f>IF(U295=1,INDEX('MTRs'!$AA$6:$AA$505,T295),0)</f>
        <v>0</v>
      </c>
      <c r="AA295" s="96">
        <f>IF(R295=0,0,COUNTIFS('RECEBIMENTOS'!$R$6:$R$1005,A295,'RECEBIMENTOS'!$Q$6:$Q$1005,1))</f>
        <v>0</v>
      </c>
      <c r="AB295" s="96">
        <f>IF(R295=0,0,COUNTIFS('RECEBIMENTOS'!$R$6:$R$1005,A295,'RECEBIMENTOS'!$Z$6:$Z$1005,1))</f>
        <v>0</v>
      </c>
      <c r="AC295" s="96">
        <f>IF(R295=0,0,COUNTIFS('RECEBIMENTOS'!$R$6:$R$1005,A295,'RECEBIMENTOS'!$Y$6:$Y$1005,1))</f>
        <v>0</v>
      </c>
      <c r="AD295" s="96">
        <f>IF(R295=0,0,COUNTIFS('VÍNCULOS_CDF'!$R$6:$R$1005,A295,'VÍNCULOS_CDF'!$N$6:$N$1005,1))</f>
        <v>0</v>
      </c>
      <c r="AE295" s="96">
        <f>IF(R295=0,0,COUNTIFS('VÍNCULOS_CDF'!$R$6:$R$1005,A295,'VÍNCULOS_CDF'!$AA$6:$AA$1005,1))</f>
        <v>0</v>
      </c>
      <c r="AF295" s="96">
        <f>IF(R295=0,0,COUNTIFS('VÍNCULOS_CDF'!$R$6:$R$1005,A295,'VÍNCULOS_CDF'!$Y$6:$Y$1005,1))</f>
        <v>0</v>
      </c>
      <c r="AG295" s="96" t="str">
        <f>IF(AND(R295=1,S295&lt;&gt;"",C295&lt;&gt;""),S295&amp;"|"&amp;C295&amp;"|"&amp;G295&amp;"|"&amp;H295,"")</f>
        <v/>
      </c>
      <c r="AH295" s="96">
        <f>IF(AG295="",0,IF(SUMPRODUCT(--($AG$6:$AG$1005=AG295))&gt;1,1,0))</f>
        <v>0</v>
      </c>
      <c r="AI295" s="96">
        <f>IF(R295=0,0,IF(OR(U295=0,V295=0,Y295=0,AND(AH295=1,K295&lt;&gt;"Sim")),1,0))</f>
        <v>0</v>
      </c>
      <c r="AJ295" s="96">
        <f>IF(AND(R295=1,AA295&gt;0,AB295=AA295),1,0)</f>
        <v>0</v>
      </c>
      <c r="AK295" s="96">
        <f>IF(R295=0,0,IF(AA295&gt;0,N(L295),IF(ISNUMBER(I295),I295,0)))</f>
        <v>0</v>
      </c>
      <c r="AL295" s="96">
        <f>IF(R295=0,0,IF(AND(K295&lt;&gt;"Sim",N(M295)&gt;AK295+cfg_tol),1,0))</f>
        <v>0</v>
      </c>
      <c r="AM295" s="96">
        <f>IF(R295=0,0,IF(K295="Sim",0,IF(OR(AND(AA295&gt;0,ISNUMBER(I295),ABS(I295-N(L295))&gt;cfg_tol),AL295=1),1,0)))</f>
        <v>0</v>
      </c>
      <c r="AN295" s="96">
        <f>IF(AND(R295=1,N(M295)&gt;0,OR(N(M295)&gt;=AK295-cfg_tol,K295="Sim")),1,0)</f>
        <v>0</v>
      </c>
      <c r="AO295" s="96">
        <f>IF(AND(AN295=1,AD295&gt;0,AE295=AD295,AL295=0),1,0)</f>
        <v>0</v>
      </c>
      <c r="AP295" s="96">
        <f>IF(U295=0,0,IF(AND(INDEX('MTRs'!$AX$6:$AX$505,T295)=1,Z295=0,OR(f_res="",f_res="(Todos)",C295=f_res)),1,0))</f>
        <v>0</v>
      </c>
      <c r="AQ295" s="97" t="str">
        <f>IF(U295=0,"",INDEX('MTRs'!$AZ$6:$AZ$505,T295))</f>
        <v/>
      </c>
      <c r="AR295" s="96">
        <f>IF(U295=0,0,IF(AND(INDEX('MTRs'!$BA$6:$BA$505,T295)=1,Z295=0),1,0))</f>
        <v>0</v>
      </c>
      <c r="AS295" s="96" t="str">
        <f>IF(R295=1,A295&amp;" | MTR "&amp;IF(U295=1,INDEX('MTRs'!$B$6:$B$505,T295)&amp;"","?")&amp;" | "&amp;IF(C295="","(sem resíduo)",C295),"")</f>
        <v/>
      </c>
      <c r="AT295" s="96" t="str">
        <f>IF(R295=1,COUNTIF($R$6:R295,1),"")</f>
        <v/>
      </c>
      <c r="AU295" s="96" t="str">
        <f>IF(U295=1,INDEX('MTRs'!$I$6:$I$505,T295)&amp;"","")</f>
        <v/>
      </c>
    </row>
    <row r="296">
      <c r="A296" s="89" t="inlineStr">
        <is>
          <t>IT-000291</t>
        </is>
      </c>
      <c r="B296" s="91" t="n"/>
      <c r="C296" s="91" t="n"/>
      <c r="D296" s="94" t="str">
        <f>IF(OR(R296=0,V296=0),"",INDEX('CAD_RESÍDUOS'!$E$6:$E$205,MATCH(C296,'CAD_RESÍDUOS'!$B$6:$B$205,0))&amp;"")</f>
        <v/>
      </c>
      <c r="E296" s="94" t="str">
        <f>IF(OR(R296=0,V296=0),"",INDEX('CAD_RESÍDUOS'!$C$6:$C$205,MATCH(C296,'CAD_RESÍDUOS'!$B$6:$B$205,0))&amp;"")</f>
        <v/>
      </c>
      <c r="F296" s="94" t="str">
        <f>IF(OR(R296=0,V296=0),"",INDEX('CAD_RESÍDUOS'!$G$6:$G$205,MATCH(C296,'CAD_RESÍDUOS'!$B$6:$B$205,0))&amp;"")</f>
        <v/>
      </c>
      <c r="G296" s="98" t="n"/>
      <c r="H296" s="91" t="n"/>
      <c r="I296" s="93" t="str">
        <f>IF(R296=0,"",IF(NOT(ISNUMBER(G296)),"",IF(ISNUMBER(X296),G296*X296,"UNIDADE A CONFERIR")))</f>
        <v/>
      </c>
      <c r="J296" s="91" t="n"/>
      <c r="K296" s="91" t="n"/>
      <c r="L296" s="93" t="str">
        <f>IF(R296=0,"",SUMIFS('RECEBIMENTOS'!$H$6:$H$1005,'RECEBIMENTOS'!$R$6:$R$1005,A296,'RECEBIMENTOS'!$X$6:$X$1005,1))</f>
        <v/>
      </c>
      <c r="M296" s="93" t="str">
        <f>IF(R296=0,"",SUMIFS('VÍNCULOS_CDF'!$H$6:$H$1005,'VÍNCULOS_CDF'!$R$6:$R$1005,A296,'VÍNCULOS_CDF'!$V$6:$V$1005,1))</f>
        <v/>
      </c>
      <c r="N296" s="99" t="str">
        <f>IF(OR(R296=0,AA296=0,NOT(ISNUMBER(I296))),"",I296-N(L296))</f>
        <v/>
      </c>
      <c r="O296" s="100" t="str">
        <f>IF(OR(R296=0,AK296&lt;=0),"",N(M296)/AK296)</f>
        <v/>
      </c>
      <c r="P296" s="94" t="str">
        <f>IF(R296=0,"",IF(S296="","Sem MTR associado",IF(U296=0,"MTR inexistente",IF(C296="","Resíduo não identificado",IF(V296=0,"Resíduo fora do cadastro",IF(W296=0,"Quantidade inválida",IF(H296="","Unidade não informada",IF(NOT(ISNUMBER(I296)),"Unidade a conferir",IF(AND(AH296=1,K296&lt;&gt;"Sim"),"Possível duplicidade",IF(Z296=1,"MTR cancelado",IF(AC296&gt;0,"Recebimento com alerta",IF(AA296=0,"Aguardando recebimento",IF(AB296&lt;AA296,"Recebimento a conferir",IF(AM296=1,"Quantidade a revisar",IF(AF296&gt;0,"Vínculo a revisar",IF(AD296=0,"Aguardando CDF",IF(AN296=0,"Vínculo de CDF parcial",IF(AE296&lt;AD296,"CDF a conferir","Documentação conferida"))))))))))))))))))</f>
        <v/>
      </c>
      <c r="Q296" s="93" t="str">
        <f>IF(OR(R296=0,AA296=0),"",MAX(0,N(L296)-N(M296)))</f>
        <v/>
      </c>
      <c r="R296" s="96">
        <f>IF(COUNTA(B296:C296,G296:H296,J296:K296)&gt;0,1,0)</f>
        <v>0</v>
      </c>
      <c r="S296" s="96" t="str">
        <f>IF(B296="","",TRIM(LEFT(B296,FIND(" |",B296&amp;" |")-1)))</f>
        <v/>
      </c>
      <c r="T296" s="96" t="str">
        <f>IF(S296="","",IFERROR(MATCH(S296,'MTRs'!$A$6:$A$505,0),""))</f>
        <v/>
      </c>
      <c r="U296" s="96">
        <f>IF(T296="",0,IF(INDEX('MTRs'!$Z$6:$Z$505,T296)=1,1,0))</f>
        <v>0</v>
      </c>
      <c r="V296" s="96">
        <f>IF(C296="",0,IF(ISNUMBER(MATCH(C296,'CAD_RESÍDUOS'!$B$6:$B$205,0)),1,0))</f>
        <v>0</v>
      </c>
      <c r="W296" s="96">
        <f>IF(AND(ISNUMBER(G296),G296&gt;0),1,0)</f>
        <v>0</v>
      </c>
      <c r="X296" s="96" t="str">
        <f>IF(H296="","",IFERROR(IF(ISNUMBER(INDEX(cfg_fac,MATCH(H296,cfg_units,0))),IF(INDEX(cfg_fac,MATCH(H296,cfg_units,0))&gt;0,INDEX(cfg_fac,MATCH(H296,cfg_units,0)),""),""),""))</f>
        <v/>
      </c>
      <c r="Y296" s="96">
        <f>IF(AND(W296=1,ISNUMBER(I296)),1,0)</f>
        <v>0</v>
      </c>
      <c r="Z296" s="96">
        <f>IF(U296=1,INDEX('MTRs'!$AA$6:$AA$505,T296),0)</f>
        <v>0</v>
      </c>
      <c r="AA296" s="96">
        <f>IF(R296=0,0,COUNTIFS('RECEBIMENTOS'!$R$6:$R$1005,A296,'RECEBIMENTOS'!$Q$6:$Q$1005,1))</f>
        <v>0</v>
      </c>
      <c r="AB296" s="96">
        <f>IF(R296=0,0,COUNTIFS('RECEBIMENTOS'!$R$6:$R$1005,A296,'RECEBIMENTOS'!$Z$6:$Z$1005,1))</f>
        <v>0</v>
      </c>
      <c r="AC296" s="96">
        <f>IF(R296=0,0,COUNTIFS('RECEBIMENTOS'!$R$6:$R$1005,A296,'RECEBIMENTOS'!$Y$6:$Y$1005,1))</f>
        <v>0</v>
      </c>
      <c r="AD296" s="96">
        <f>IF(R296=0,0,COUNTIFS('VÍNCULOS_CDF'!$R$6:$R$1005,A296,'VÍNCULOS_CDF'!$N$6:$N$1005,1))</f>
        <v>0</v>
      </c>
      <c r="AE296" s="96">
        <f>IF(R296=0,0,COUNTIFS('VÍNCULOS_CDF'!$R$6:$R$1005,A296,'VÍNCULOS_CDF'!$AA$6:$AA$1005,1))</f>
        <v>0</v>
      </c>
      <c r="AF296" s="96">
        <f>IF(R296=0,0,COUNTIFS('VÍNCULOS_CDF'!$R$6:$R$1005,A296,'VÍNCULOS_CDF'!$Y$6:$Y$1005,1))</f>
        <v>0</v>
      </c>
      <c r="AG296" s="96" t="str">
        <f>IF(AND(R296=1,S296&lt;&gt;"",C296&lt;&gt;""),S296&amp;"|"&amp;C296&amp;"|"&amp;G296&amp;"|"&amp;H296,"")</f>
        <v/>
      </c>
      <c r="AH296" s="96">
        <f>IF(AG296="",0,IF(SUMPRODUCT(--($AG$6:$AG$1005=AG296))&gt;1,1,0))</f>
        <v>0</v>
      </c>
      <c r="AI296" s="96">
        <f>IF(R296=0,0,IF(OR(U296=0,V296=0,Y296=0,AND(AH296=1,K296&lt;&gt;"Sim")),1,0))</f>
        <v>0</v>
      </c>
      <c r="AJ296" s="96">
        <f>IF(AND(R296=1,AA296&gt;0,AB296=AA296),1,0)</f>
        <v>0</v>
      </c>
      <c r="AK296" s="96">
        <f>IF(R296=0,0,IF(AA296&gt;0,N(L296),IF(ISNUMBER(I296),I296,0)))</f>
        <v>0</v>
      </c>
      <c r="AL296" s="96">
        <f>IF(R296=0,0,IF(AND(K296&lt;&gt;"Sim",N(M296)&gt;AK296+cfg_tol),1,0))</f>
        <v>0</v>
      </c>
      <c r="AM296" s="96">
        <f>IF(R296=0,0,IF(K296="Sim",0,IF(OR(AND(AA296&gt;0,ISNUMBER(I296),ABS(I296-N(L296))&gt;cfg_tol),AL296=1),1,0)))</f>
        <v>0</v>
      </c>
      <c r="AN296" s="96">
        <f>IF(AND(R296=1,N(M296)&gt;0,OR(N(M296)&gt;=AK296-cfg_tol,K296="Sim")),1,0)</f>
        <v>0</v>
      </c>
      <c r="AO296" s="96">
        <f>IF(AND(AN296=1,AD296&gt;0,AE296=AD296,AL296=0),1,0)</f>
        <v>0</v>
      </c>
      <c r="AP296" s="96">
        <f>IF(U296=0,0,IF(AND(INDEX('MTRs'!$AX$6:$AX$505,T296)=1,Z296=0,OR(f_res="",f_res="(Todos)",C296=f_res)),1,0))</f>
        <v>0</v>
      </c>
      <c r="AQ296" s="97" t="str">
        <f>IF(U296=0,"",INDEX('MTRs'!$AZ$6:$AZ$505,T296))</f>
        <v/>
      </c>
      <c r="AR296" s="96">
        <f>IF(U296=0,0,IF(AND(INDEX('MTRs'!$BA$6:$BA$505,T296)=1,Z296=0),1,0))</f>
        <v>0</v>
      </c>
      <c r="AS296" s="96" t="str">
        <f>IF(R296=1,A296&amp;" | MTR "&amp;IF(U296=1,INDEX('MTRs'!$B$6:$B$505,T296)&amp;"","?")&amp;" | "&amp;IF(C296="","(sem resíduo)",C296),"")</f>
        <v/>
      </c>
      <c r="AT296" s="96" t="str">
        <f>IF(R296=1,COUNTIF($R$6:R296,1),"")</f>
        <v/>
      </c>
      <c r="AU296" s="96" t="str">
        <f>IF(U296=1,INDEX('MTRs'!$I$6:$I$505,T296)&amp;"","")</f>
        <v/>
      </c>
    </row>
    <row r="297">
      <c r="A297" s="89" t="inlineStr">
        <is>
          <t>IT-000292</t>
        </is>
      </c>
      <c r="B297" s="91" t="n"/>
      <c r="C297" s="91" t="n"/>
      <c r="D297" s="94" t="str">
        <f>IF(OR(R297=0,V297=0),"",INDEX('CAD_RESÍDUOS'!$E$6:$E$205,MATCH(C297,'CAD_RESÍDUOS'!$B$6:$B$205,0))&amp;"")</f>
        <v/>
      </c>
      <c r="E297" s="94" t="str">
        <f>IF(OR(R297=0,V297=0),"",INDEX('CAD_RESÍDUOS'!$C$6:$C$205,MATCH(C297,'CAD_RESÍDUOS'!$B$6:$B$205,0))&amp;"")</f>
        <v/>
      </c>
      <c r="F297" s="94" t="str">
        <f>IF(OR(R297=0,V297=0),"",INDEX('CAD_RESÍDUOS'!$G$6:$G$205,MATCH(C297,'CAD_RESÍDUOS'!$B$6:$B$205,0))&amp;"")</f>
        <v/>
      </c>
      <c r="G297" s="98" t="n"/>
      <c r="H297" s="91" t="n"/>
      <c r="I297" s="93" t="str">
        <f>IF(R297=0,"",IF(NOT(ISNUMBER(G297)),"",IF(ISNUMBER(X297),G297*X297,"UNIDADE A CONFERIR")))</f>
        <v/>
      </c>
      <c r="J297" s="91" t="n"/>
      <c r="K297" s="91" t="n"/>
      <c r="L297" s="93" t="str">
        <f>IF(R297=0,"",SUMIFS('RECEBIMENTOS'!$H$6:$H$1005,'RECEBIMENTOS'!$R$6:$R$1005,A297,'RECEBIMENTOS'!$X$6:$X$1005,1))</f>
        <v/>
      </c>
      <c r="M297" s="93" t="str">
        <f>IF(R297=0,"",SUMIFS('VÍNCULOS_CDF'!$H$6:$H$1005,'VÍNCULOS_CDF'!$R$6:$R$1005,A297,'VÍNCULOS_CDF'!$V$6:$V$1005,1))</f>
        <v/>
      </c>
      <c r="N297" s="99" t="str">
        <f>IF(OR(R297=0,AA297=0,NOT(ISNUMBER(I297))),"",I297-N(L297))</f>
        <v/>
      </c>
      <c r="O297" s="100" t="str">
        <f>IF(OR(R297=0,AK297&lt;=0),"",N(M297)/AK297)</f>
        <v/>
      </c>
      <c r="P297" s="94" t="str">
        <f>IF(R297=0,"",IF(S297="","Sem MTR associado",IF(U297=0,"MTR inexistente",IF(C297="","Resíduo não identificado",IF(V297=0,"Resíduo fora do cadastro",IF(W297=0,"Quantidade inválida",IF(H297="","Unidade não informada",IF(NOT(ISNUMBER(I297)),"Unidade a conferir",IF(AND(AH297=1,K297&lt;&gt;"Sim"),"Possível duplicidade",IF(Z297=1,"MTR cancelado",IF(AC297&gt;0,"Recebimento com alerta",IF(AA297=0,"Aguardando recebimento",IF(AB297&lt;AA297,"Recebimento a conferir",IF(AM297=1,"Quantidade a revisar",IF(AF297&gt;0,"Vínculo a revisar",IF(AD297=0,"Aguardando CDF",IF(AN297=0,"Vínculo de CDF parcial",IF(AE297&lt;AD297,"CDF a conferir","Documentação conferida"))))))))))))))))))</f>
        <v/>
      </c>
      <c r="Q297" s="93" t="str">
        <f>IF(OR(R297=0,AA297=0),"",MAX(0,N(L297)-N(M297)))</f>
        <v/>
      </c>
      <c r="R297" s="96">
        <f>IF(COUNTA(B297:C297,G297:H297,J297:K297)&gt;0,1,0)</f>
        <v>0</v>
      </c>
      <c r="S297" s="96" t="str">
        <f>IF(B297="","",TRIM(LEFT(B297,FIND(" |",B297&amp;" |")-1)))</f>
        <v/>
      </c>
      <c r="T297" s="96" t="str">
        <f>IF(S297="","",IFERROR(MATCH(S297,'MTRs'!$A$6:$A$505,0),""))</f>
        <v/>
      </c>
      <c r="U297" s="96">
        <f>IF(T297="",0,IF(INDEX('MTRs'!$Z$6:$Z$505,T297)=1,1,0))</f>
        <v>0</v>
      </c>
      <c r="V297" s="96">
        <f>IF(C297="",0,IF(ISNUMBER(MATCH(C297,'CAD_RESÍDUOS'!$B$6:$B$205,0)),1,0))</f>
        <v>0</v>
      </c>
      <c r="W297" s="96">
        <f>IF(AND(ISNUMBER(G297),G297&gt;0),1,0)</f>
        <v>0</v>
      </c>
      <c r="X297" s="96" t="str">
        <f>IF(H297="","",IFERROR(IF(ISNUMBER(INDEX(cfg_fac,MATCH(H297,cfg_units,0))),IF(INDEX(cfg_fac,MATCH(H297,cfg_units,0))&gt;0,INDEX(cfg_fac,MATCH(H297,cfg_units,0)),""),""),""))</f>
        <v/>
      </c>
      <c r="Y297" s="96">
        <f>IF(AND(W297=1,ISNUMBER(I297)),1,0)</f>
        <v>0</v>
      </c>
      <c r="Z297" s="96">
        <f>IF(U297=1,INDEX('MTRs'!$AA$6:$AA$505,T297),0)</f>
        <v>0</v>
      </c>
      <c r="AA297" s="96">
        <f>IF(R297=0,0,COUNTIFS('RECEBIMENTOS'!$R$6:$R$1005,A297,'RECEBIMENTOS'!$Q$6:$Q$1005,1))</f>
        <v>0</v>
      </c>
      <c r="AB297" s="96">
        <f>IF(R297=0,0,COUNTIFS('RECEBIMENTOS'!$R$6:$R$1005,A297,'RECEBIMENTOS'!$Z$6:$Z$1005,1))</f>
        <v>0</v>
      </c>
      <c r="AC297" s="96">
        <f>IF(R297=0,0,COUNTIFS('RECEBIMENTOS'!$R$6:$R$1005,A297,'RECEBIMENTOS'!$Y$6:$Y$1005,1))</f>
        <v>0</v>
      </c>
      <c r="AD297" s="96">
        <f>IF(R297=0,0,COUNTIFS('VÍNCULOS_CDF'!$R$6:$R$1005,A297,'VÍNCULOS_CDF'!$N$6:$N$1005,1))</f>
        <v>0</v>
      </c>
      <c r="AE297" s="96">
        <f>IF(R297=0,0,COUNTIFS('VÍNCULOS_CDF'!$R$6:$R$1005,A297,'VÍNCULOS_CDF'!$AA$6:$AA$1005,1))</f>
        <v>0</v>
      </c>
      <c r="AF297" s="96">
        <f>IF(R297=0,0,COUNTIFS('VÍNCULOS_CDF'!$R$6:$R$1005,A297,'VÍNCULOS_CDF'!$Y$6:$Y$1005,1))</f>
        <v>0</v>
      </c>
      <c r="AG297" s="96" t="str">
        <f>IF(AND(R297=1,S297&lt;&gt;"",C297&lt;&gt;""),S297&amp;"|"&amp;C297&amp;"|"&amp;G297&amp;"|"&amp;H297,"")</f>
        <v/>
      </c>
      <c r="AH297" s="96">
        <f>IF(AG297="",0,IF(SUMPRODUCT(--($AG$6:$AG$1005=AG297))&gt;1,1,0))</f>
        <v>0</v>
      </c>
      <c r="AI297" s="96">
        <f>IF(R297=0,0,IF(OR(U297=0,V297=0,Y297=0,AND(AH297=1,K297&lt;&gt;"Sim")),1,0))</f>
        <v>0</v>
      </c>
      <c r="AJ297" s="96">
        <f>IF(AND(R297=1,AA297&gt;0,AB297=AA297),1,0)</f>
        <v>0</v>
      </c>
      <c r="AK297" s="96">
        <f>IF(R297=0,0,IF(AA297&gt;0,N(L297),IF(ISNUMBER(I297),I297,0)))</f>
        <v>0</v>
      </c>
      <c r="AL297" s="96">
        <f>IF(R297=0,0,IF(AND(K297&lt;&gt;"Sim",N(M297)&gt;AK297+cfg_tol),1,0))</f>
        <v>0</v>
      </c>
      <c r="AM297" s="96">
        <f>IF(R297=0,0,IF(K297="Sim",0,IF(OR(AND(AA297&gt;0,ISNUMBER(I297),ABS(I297-N(L297))&gt;cfg_tol),AL297=1),1,0)))</f>
        <v>0</v>
      </c>
      <c r="AN297" s="96">
        <f>IF(AND(R297=1,N(M297)&gt;0,OR(N(M297)&gt;=AK297-cfg_tol,K297="Sim")),1,0)</f>
        <v>0</v>
      </c>
      <c r="AO297" s="96">
        <f>IF(AND(AN297=1,AD297&gt;0,AE297=AD297,AL297=0),1,0)</f>
        <v>0</v>
      </c>
      <c r="AP297" s="96">
        <f>IF(U297=0,0,IF(AND(INDEX('MTRs'!$AX$6:$AX$505,T297)=1,Z297=0,OR(f_res="",f_res="(Todos)",C297=f_res)),1,0))</f>
        <v>0</v>
      </c>
      <c r="AQ297" s="97" t="str">
        <f>IF(U297=0,"",INDEX('MTRs'!$AZ$6:$AZ$505,T297))</f>
        <v/>
      </c>
      <c r="AR297" s="96">
        <f>IF(U297=0,0,IF(AND(INDEX('MTRs'!$BA$6:$BA$505,T297)=1,Z297=0),1,0))</f>
        <v>0</v>
      </c>
      <c r="AS297" s="96" t="str">
        <f>IF(R297=1,A297&amp;" | MTR "&amp;IF(U297=1,INDEX('MTRs'!$B$6:$B$505,T297)&amp;"","?")&amp;" | "&amp;IF(C297="","(sem resíduo)",C297),"")</f>
        <v/>
      </c>
      <c r="AT297" s="96" t="str">
        <f>IF(R297=1,COUNTIF($R$6:R297,1),"")</f>
        <v/>
      </c>
      <c r="AU297" s="96" t="str">
        <f>IF(U297=1,INDEX('MTRs'!$I$6:$I$505,T297)&amp;"","")</f>
        <v/>
      </c>
    </row>
    <row r="298">
      <c r="A298" s="89" t="inlineStr">
        <is>
          <t>IT-000293</t>
        </is>
      </c>
      <c r="B298" s="91" t="n"/>
      <c r="C298" s="91" t="n"/>
      <c r="D298" s="94" t="str">
        <f>IF(OR(R298=0,V298=0),"",INDEX('CAD_RESÍDUOS'!$E$6:$E$205,MATCH(C298,'CAD_RESÍDUOS'!$B$6:$B$205,0))&amp;"")</f>
        <v/>
      </c>
      <c r="E298" s="94" t="str">
        <f>IF(OR(R298=0,V298=0),"",INDEX('CAD_RESÍDUOS'!$C$6:$C$205,MATCH(C298,'CAD_RESÍDUOS'!$B$6:$B$205,0))&amp;"")</f>
        <v/>
      </c>
      <c r="F298" s="94" t="str">
        <f>IF(OR(R298=0,V298=0),"",INDEX('CAD_RESÍDUOS'!$G$6:$G$205,MATCH(C298,'CAD_RESÍDUOS'!$B$6:$B$205,0))&amp;"")</f>
        <v/>
      </c>
      <c r="G298" s="98" t="n"/>
      <c r="H298" s="91" t="n"/>
      <c r="I298" s="93" t="str">
        <f>IF(R298=0,"",IF(NOT(ISNUMBER(G298)),"",IF(ISNUMBER(X298),G298*X298,"UNIDADE A CONFERIR")))</f>
        <v/>
      </c>
      <c r="J298" s="91" t="n"/>
      <c r="K298" s="91" t="n"/>
      <c r="L298" s="93" t="str">
        <f>IF(R298=0,"",SUMIFS('RECEBIMENTOS'!$H$6:$H$1005,'RECEBIMENTOS'!$R$6:$R$1005,A298,'RECEBIMENTOS'!$X$6:$X$1005,1))</f>
        <v/>
      </c>
      <c r="M298" s="93" t="str">
        <f>IF(R298=0,"",SUMIFS('VÍNCULOS_CDF'!$H$6:$H$1005,'VÍNCULOS_CDF'!$R$6:$R$1005,A298,'VÍNCULOS_CDF'!$V$6:$V$1005,1))</f>
        <v/>
      </c>
      <c r="N298" s="99" t="str">
        <f>IF(OR(R298=0,AA298=0,NOT(ISNUMBER(I298))),"",I298-N(L298))</f>
        <v/>
      </c>
      <c r="O298" s="100" t="str">
        <f>IF(OR(R298=0,AK298&lt;=0),"",N(M298)/AK298)</f>
        <v/>
      </c>
      <c r="P298" s="94" t="str">
        <f>IF(R298=0,"",IF(S298="","Sem MTR associado",IF(U298=0,"MTR inexistente",IF(C298="","Resíduo não identificado",IF(V298=0,"Resíduo fora do cadastro",IF(W298=0,"Quantidade inválida",IF(H298="","Unidade não informada",IF(NOT(ISNUMBER(I298)),"Unidade a conferir",IF(AND(AH298=1,K298&lt;&gt;"Sim"),"Possível duplicidade",IF(Z298=1,"MTR cancelado",IF(AC298&gt;0,"Recebimento com alerta",IF(AA298=0,"Aguardando recebimento",IF(AB298&lt;AA298,"Recebimento a conferir",IF(AM298=1,"Quantidade a revisar",IF(AF298&gt;0,"Vínculo a revisar",IF(AD298=0,"Aguardando CDF",IF(AN298=0,"Vínculo de CDF parcial",IF(AE298&lt;AD298,"CDF a conferir","Documentação conferida"))))))))))))))))))</f>
        <v/>
      </c>
      <c r="Q298" s="93" t="str">
        <f>IF(OR(R298=0,AA298=0),"",MAX(0,N(L298)-N(M298)))</f>
        <v/>
      </c>
      <c r="R298" s="96">
        <f>IF(COUNTA(B298:C298,G298:H298,J298:K298)&gt;0,1,0)</f>
        <v>0</v>
      </c>
      <c r="S298" s="96" t="str">
        <f>IF(B298="","",TRIM(LEFT(B298,FIND(" |",B298&amp;" |")-1)))</f>
        <v/>
      </c>
      <c r="T298" s="96" t="str">
        <f>IF(S298="","",IFERROR(MATCH(S298,'MTRs'!$A$6:$A$505,0),""))</f>
        <v/>
      </c>
      <c r="U298" s="96">
        <f>IF(T298="",0,IF(INDEX('MTRs'!$Z$6:$Z$505,T298)=1,1,0))</f>
        <v>0</v>
      </c>
      <c r="V298" s="96">
        <f>IF(C298="",0,IF(ISNUMBER(MATCH(C298,'CAD_RESÍDUOS'!$B$6:$B$205,0)),1,0))</f>
        <v>0</v>
      </c>
      <c r="W298" s="96">
        <f>IF(AND(ISNUMBER(G298),G298&gt;0),1,0)</f>
        <v>0</v>
      </c>
      <c r="X298" s="96" t="str">
        <f>IF(H298="","",IFERROR(IF(ISNUMBER(INDEX(cfg_fac,MATCH(H298,cfg_units,0))),IF(INDEX(cfg_fac,MATCH(H298,cfg_units,0))&gt;0,INDEX(cfg_fac,MATCH(H298,cfg_units,0)),""),""),""))</f>
        <v/>
      </c>
      <c r="Y298" s="96">
        <f>IF(AND(W298=1,ISNUMBER(I298)),1,0)</f>
        <v>0</v>
      </c>
      <c r="Z298" s="96">
        <f>IF(U298=1,INDEX('MTRs'!$AA$6:$AA$505,T298),0)</f>
        <v>0</v>
      </c>
      <c r="AA298" s="96">
        <f>IF(R298=0,0,COUNTIFS('RECEBIMENTOS'!$R$6:$R$1005,A298,'RECEBIMENTOS'!$Q$6:$Q$1005,1))</f>
        <v>0</v>
      </c>
      <c r="AB298" s="96">
        <f>IF(R298=0,0,COUNTIFS('RECEBIMENTOS'!$R$6:$R$1005,A298,'RECEBIMENTOS'!$Z$6:$Z$1005,1))</f>
        <v>0</v>
      </c>
      <c r="AC298" s="96">
        <f>IF(R298=0,0,COUNTIFS('RECEBIMENTOS'!$R$6:$R$1005,A298,'RECEBIMENTOS'!$Y$6:$Y$1005,1))</f>
        <v>0</v>
      </c>
      <c r="AD298" s="96">
        <f>IF(R298=0,0,COUNTIFS('VÍNCULOS_CDF'!$R$6:$R$1005,A298,'VÍNCULOS_CDF'!$N$6:$N$1005,1))</f>
        <v>0</v>
      </c>
      <c r="AE298" s="96">
        <f>IF(R298=0,0,COUNTIFS('VÍNCULOS_CDF'!$R$6:$R$1005,A298,'VÍNCULOS_CDF'!$AA$6:$AA$1005,1))</f>
        <v>0</v>
      </c>
      <c r="AF298" s="96">
        <f>IF(R298=0,0,COUNTIFS('VÍNCULOS_CDF'!$R$6:$R$1005,A298,'VÍNCULOS_CDF'!$Y$6:$Y$1005,1))</f>
        <v>0</v>
      </c>
      <c r="AG298" s="96" t="str">
        <f>IF(AND(R298=1,S298&lt;&gt;"",C298&lt;&gt;""),S298&amp;"|"&amp;C298&amp;"|"&amp;G298&amp;"|"&amp;H298,"")</f>
        <v/>
      </c>
      <c r="AH298" s="96">
        <f>IF(AG298="",0,IF(SUMPRODUCT(--($AG$6:$AG$1005=AG298))&gt;1,1,0))</f>
        <v>0</v>
      </c>
      <c r="AI298" s="96">
        <f>IF(R298=0,0,IF(OR(U298=0,V298=0,Y298=0,AND(AH298=1,K298&lt;&gt;"Sim")),1,0))</f>
        <v>0</v>
      </c>
      <c r="AJ298" s="96">
        <f>IF(AND(R298=1,AA298&gt;0,AB298=AA298),1,0)</f>
        <v>0</v>
      </c>
      <c r="AK298" s="96">
        <f>IF(R298=0,0,IF(AA298&gt;0,N(L298),IF(ISNUMBER(I298),I298,0)))</f>
        <v>0</v>
      </c>
      <c r="AL298" s="96">
        <f>IF(R298=0,0,IF(AND(K298&lt;&gt;"Sim",N(M298)&gt;AK298+cfg_tol),1,0))</f>
        <v>0</v>
      </c>
      <c r="AM298" s="96">
        <f>IF(R298=0,0,IF(K298="Sim",0,IF(OR(AND(AA298&gt;0,ISNUMBER(I298),ABS(I298-N(L298))&gt;cfg_tol),AL298=1),1,0)))</f>
        <v>0</v>
      </c>
      <c r="AN298" s="96">
        <f>IF(AND(R298=1,N(M298)&gt;0,OR(N(M298)&gt;=AK298-cfg_tol,K298="Sim")),1,0)</f>
        <v>0</v>
      </c>
      <c r="AO298" s="96">
        <f>IF(AND(AN298=1,AD298&gt;0,AE298=AD298,AL298=0),1,0)</f>
        <v>0</v>
      </c>
      <c r="AP298" s="96">
        <f>IF(U298=0,0,IF(AND(INDEX('MTRs'!$AX$6:$AX$505,T298)=1,Z298=0,OR(f_res="",f_res="(Todos)",C298=f_res)),1,0))</f>
        <v>0</v>
      </c>
      <c r="AQ298" s="97" t="str">
        <f>IF(U298=0,"",INDEX('MTRs'!$AZ$6:$AZ$505,T298))</f>
        <v/>
      </c>
      <c r="AR298" s="96">
        <f>IF(U298=0,0,IF(AND(INDEX('MTRs'!$BA$6:$BA$505,T298)=1,Z298=0),1,0))</f>
        <v>0</v>
      </c>
      <c r="AS298" s="96" t="str">
        <f>IF(R298=1,A298&amp;" | MTR "&amp;IF(U298=1,INDEX('MTRs'!$B$6:$B$505,T298)&amp;"","?")&amp;" | "&amp;IF(C298="","(sem resíduo)",C298),"")</f>
        <v/>
      </c>
      <c r="AT298" s="96" t="str">
        <f>IF(R298=1,COUNTIF($R$6:R298,1),"")</f>
        <v/>
      </c>
      <c r="AU298" s="96" t="str">
        <f>IF(U298=1,INDEX('MTRs'!$I$6:$I$505,T298)&amp;"","")</f>
        <v/>
      </c>
    </row>
    <row r="299">
      <c r="A299" s="89" t="inlineStr">
        <is>
          <t>IT-000294</t>
        </is>
      </c>
      <c r="B299" s="91" t="n"/>
      <c r="C299" s="91" t="n"/>
      <c r="D299" s="94" t="str">
        <f>IF(OR(R299=0,V299=0),"",INDEX('CAD_RESÍDUOS'!$E$6:$E$205,MATCH(C299,'CAD_RESÍDUOS'!$B$6:$B$205,0))&amp;"")</f>
        <v/>
      </c>
      <c r="E299" s="94" t="str">
        <f>IF(OR(R299=0,V299=0),"",INDEX('CAD_RESÍDUOS'!$C$6:$C$205,MATCH(C299,'CAD_RESÍDUOS'!$B$6:$B$205,0))&amp;"")</f>
        <v/>
      </c>
      <c r="F299" s="94" t="str">
        <f>IF(OR(R299=0,V299=0),"",INDEX('CAD_RESÍDUOS'!$G$6:$G$205,MATCH(C299,'CAD_RESÍDUOS'!$B$6:$B$205,0))&amp;"")</f>
        <v/>
      </c>
      <c r="G299" s="98" t="n"/>
      <c r="H299" s="91" t="n"/>
      <c r="I299" s="93" t="str">
        <f>IF(R299=0,"",IF(NOT(ISNUMBER(G299)),"",IF(ISNUMBER(X299),G299*X299,"UNIDADE A CONFERIR")))</f>
        <v/>
      </c>
      <c r="J299" s="91" t="n"/>
      <c r="K299" s="91" t="n"/>
      <c r="L299" s="93" t="str">
        <f>IF(R299=0,"",SUMIFS('RECEBIMENTOS'!$H$6:$H$1005,'RECEBIMENTOS'!$R$6:$R$1005,A299,'RECEBIMENTOS'!$X$6:$X$1005,1))</f>
        <v/>
      </c>
      <c r="M299" s="93" t="str">
        <f>IF(R299=0,"",SUMIFS('VÍNCULOS_CDF'!$H$6:$H$1005,'VÍNCULOS_CDF'!$R$6:$R$1005,A299,'VÍNCULOS_CDF'!$V$6:$V$1005,1))</f>
        <v/>
      </c>
      <c r="N299" s="99" t="str">
        <f>IF(OR(R299=0,AA299=0,NOT(ISNUMBER(I299))),"",I299-N(L299))</f>
        <v/>
      </c>
      <c r="O299" s="100" t="str">
        <f>IF(OR(R299=0,AK299&lt;=0),"",N(M299)/AK299)</f>
        <v/>
      </c>
      <c r="P299" s="94" t="str">
        <f>IF(R299=0,"",IF(S299="","Sem MTR associado",IF(U299=0,"MTR inexistente",IF(C299="","Resíduo não identificado",IF(V299=0,"Resíduo fora do cadastro",IF(W299=0,"Quantidade inválida",IF(H299="","Unidade não informada",IF(NOT(ISNUMBER(I299)),"Unidade a conferir",IF(AND(AH299=1,K299&lt;&gt;"Sim"),"Possível duplicidade",IF(Z299=1,"MTR cancelado",IF(AC299&gt;0,"Recebimento com alerta",IF(AA299=0,"Aguardando recebimento",IF(AB299&lt;AA299,"Recebimento a conferir",IF(AM299=1,"Quantidade a revisar",IF(AF299&gt;0,"Vínculo a revisar",IF(AD299=0,"Aguardando CDF",IF(AN299=0,"Vínculo de CDF parcial",IF(AE299&lt;AD299,"CDF a conferir","Documentação conferida"))))))))))))))))))</f>
        <v/>
      </c>
      <c r="Q299" s="93" t="str">
        <f>IF(OR(R299=0,AA299=0),"",MAX(0,N(L299)-N(M299)))</f>
        <v/>
      </c>
      <c r="R299" s="96">
        <f>IF(COUNTA(B299:C299,G299:H299,J299:K299)&gt;0,1,0)</f>
        <v>0</v>
      </c>
      <c r="S299" s="96" t="str">
        <f>IF(B299="","",TRIM(LEFT(B299,FIND(" |",B299&amp;" |")-1)))</f>
        <v/>
      </c>
      <c r="T299" s="96" t="str">
        <f>IF(S299="","",IFERROR(MATCH(S299,'MTRs'!$A$6:$A$505,0),""))</f>
        <v/>
      </c>
      <c r="U299" s="96">
        <f>IF(T299="",0,IF(INDEX('MTRs'!$Z$6:$Z$505,T299)=1,1,0))</f>
        <v>0</v>
      </c>
      <c r="V299" s="96">
        <f>IF(C299="",0,IF(ISNUMBER(MATCH(C299,'CAD_RESÍDUOS'!$B$6:$B$205,0)),1,0))</f>
        <v>0</v>
      </c>
      <c r="W299" s="96">
        <f>IF(AND(ISNUMBER(G299),G299&gt;0),1,0)</f>
        <v>0</v>
      </c>
      <c r="X299" s="96" t="str">
        <f>IF(H299="","",IFERROR(IF(ISNUMBER(INDEX(cfg_fac,MATCH(H299,cfg_units,0))),IF(INDEX(cfg_fac,MATCH(H299,cfg_units,0))&gt;0,INDEX(cfg_fac,MATCH(H299,cfg_units,0)),""),""),""))</f>
        <v/>
      </c>
      <c r="Y299" s="96">
        <f>IF(AND(W299=1,ISNUMBER(I299)),1,0)</f>
        <v>0</v>
      </c>
      <c r="Z299" s="96">
        <f>IF(U299=1,INDEX('MTRs'!$AA$6:$AA$505,T299),0)</f>
        <v>0</v>
      </c>
      <c r="AA299" s="96">
        <f>IF(R299=0,0,COUNTIFS('RECEBIMENTOS'!$R$6:$R$1005,A299,'RECEBIMENTOS'!$Q$6:$Q$1005,1))</f>
        <v>0</v>
      </c>
      <c r="AB299" s="96">
        <f>IF(R299=0,0,COUNTIFS('RECEBIMENTOS'!$R$6:$R$1005,A299,'RECEBIMENTOS'!$Z$6:$Z$1005,1))</f>
        <v>0</v>
      </c>
      <c r="AC299" s="96">
        <f>IF(R299=0,0,COUNTIFS('RECEBIMENTOS'!$R$6:$R$1005,A299,'RECEBIMENTOS'!$Y$6:$Y$1005,1))</f>
        <v>0</v>
      </c>
      <c r="AD299" s="96">
        <f>IF(R299=0,0,COUNTIFS('VÍNCULOS_CDF'!$R$6:$R$1005,A299,'VÍNCULOS_CDF'!$N$6:$N$1005,1))</f>
        <v>0</v>
      </c>
      <c r="AE299" s="96">
        <f>IF(R299=0,0,COUNTIFS('VÍNCULOS_CDF'!$R$6:$R$1005,A299,'VÍNCULOS_CDF'!$AA$6:$AA$1005,1))</f>
        <v>0</v>
      </c>
      <c r="AF299" s="96">
        <f>IF(R299=0,0,COUNTIFS('VÍNCULOS_CDF'!$R$6:$R$1005,A299,'VÍNCULOS_CDF'!$Y$6:$Y$1005,1))</f>
        <v>0</v>
      </c>
      <c r="AG299" s="96" t="str">
        <f>IF(AND(R299=1,S299&lt;&gt;"",C299&lt;&gt;""),S299&amp;"|"&amp;C299&amp;"|"&amp;G299&amp;"|"&amp;H299,"")</f>
        <v/>
      </c>
      <c r="AH299" s="96">
        <f>IF(AG299="",0,IF(SUMPRODUCT(--($AG$6:$AG$1005=AG299))&gt;1,1,0))</f>
        <v>0</v>
      </c>
      <c r="AI299" s="96">
        <f>IF(R299=0,0,IF(OR(U299=0,V299=0,Y299=0,AND(AH299=1,K299&lt;&gt;"Sim")),1,0))</f>
        <v>0</v>
      </c>
      <c r="AJ299" s="96">
        <f>IF(AND(R299=1,AA299&gt;0,AB299=AA299),1,0)</f>
        <v>0</v>
      </c>
      <c r="AK299" s="96">
        <f>IF(R299=0,0,IF(AA299&gt;0,N(L299),IF(ISNUMBER(I299),I299,0)))</f>
        <v>0</v>
      </c>
      <c r="AL299" s="96">
        <f>IF(R299=0,0,IF(AND(K299&lt;&gt;"Sim",N(M299)&gt;AK299+cfg_tol),1,0))</f>
        <v>0</v>
      </c>
      <c r="AM299" s="96">
        <f>IF(R299=0,0,IF(K299="Sim",0,IF(OR(AND(AA299&gt;0,ISNUMBER(I299),ABS(I299-N(L299))&gt;cfg_tol),AL299=1),1,0)))</f>
        <v>0</v>
      </c>
      <c r="AN299" s="96">
        <f>IF(AND(R299=1,N(M299)&gt;0,OR(N(M299)&gt;=AK299-cfg_tol,K299="Sim")),1,0)</f>
        <v>0</v>
      </c>
      <c r="AO299" s="96">
        <f>IF(AND(AN299=1,AD299&gt;0,AE299=AD299,AL299=0),1,0)</f>
        <v>0</v>
      </c>
      <c r="AP299" s="96">
        <f>IF(U299=0,0,IF(AND(INDEX('MTRs'!$AX$6:$AX$505,T299)=1,Z299=0,OR(f_res="",f_res="(Todos)",C299=f_res)),1,0))</f>
        <v>0</v>
      </c>
      <c r="AQ299" s="97" t="str">
        <f>IF(U299=0,"",INDEX('MTRs'!$AZ$6:$AZ$505,T299))</f>
        <v/>
      </c>
      <c r="AR299" s="96">
        <f>IF(U299=0,0,IF(AND(INDEX('MTRs'!$BA$6:$BA$505,T299)=1,Z299=0),1,0))</f>
        <v>0</v>
      </c>
      <c r="AS299" s="96" t="str">
        <f>IF(R299=1,A299&amp;" | MTR "&amp;IF(U299=1,INDEX('MTRs'!$B$6:$B$505,T299)&amp;"","?")&amp;" | "&amp;IF(C299="","(sem resíduo)",C299),"")</f>
        <v/>
      </c>
      <c r="AT299" s="96" t="str">
        <f>IF(R299=1,COUNTIF($R$6:R299,1),"")</f>
        <v/>
      </c>
      <c r="AU299" s="96" t="str">
        <f>IF(U299=1,INDEX('MTRs'!$I$6:$I$505,T299)&amp;"","")</f>
        <v/>
      </c>
    </row>
    <row r="300">
      <c r="A300" s="89" t="inlineStr">
        <is>
          <t>IT-000295</t>
        </is>
      </c>
      <c r="B300" s="91" t="n"/>
      <c r="C300" s="91" t="n"/>
      <c r="D300" s="94" t="str">
        <f>IF(OR(R300=0,V300=0),"",INDEX('CAD_RESÍDUOS'!$E$6:$E$205,MATCH(C300,'CAD_RESÍDUOS'!$B$6:$B$205,0))&amp;"")</f>
        <v/>
      </c>
      <c r="E300" s="94" t="str">
        <f>IF(OR(R300=0,V300=0),"",INDEX('CAD_RESÍDUOS'!$C$6:$C$205,MATCH(C300,'CAD_RESÍDUOS'!$B$6:$B$205,0))&amp;"")</f>
        <v/>
      </c>
      <c r="F300" s="94" t="str">
        <f>IF(OR(R300=0,V300=0),"",INDEX('CAD_RESÍDUOS'!$G$6:$G$205,MATCH(C300,'CAD_RESÍDUOS'!$B$6:$B$205,0))&amp;"")</f>
        <v/>
      </c>
      <c r="G300" s="98" t="n"/>
      <c r="H300" s="91" t="n"/>
      <c r="I300" s="93" t="str">
        <f>IF(R300=0,"",IF(NOT(ISNUMBER(G300)),"",IF(ISNUMBER(X300),G300*X300,"UNIDADE A CONFERIR")))</f>
        <v/>
      </c>
      <c r="J300" s="91" t="n"/>
      <c r="K300" s="91" t="n"/>
      <c r="L300" s="93" t="str">
        <f>IF(R300=0,"",SUMIFS('RECEBIMENTOS'!$H$6:$H$1005,'RECEBIMENTOS'!$R$6:$R$1005,A300,'RECEBIMENTOS'!$X$6:$X$1005,1))</f>
        <v/>
      </c>
      <c r="M300" s="93" t="str">
        <f>IF(R300=0,"",SUMIFS('VÍNCULOS_CDF'!$H$6:$H$1005,'VÍNCULOS_CDF'!$R$6:$R$1005,A300,'VÍNCULOS_CDF'!$V$6:$V$1005,1))</f>
        <v/>
      </c>
      <c r="N300" s="99" t="str">
        <f>IF(OR(R300=0,AA300=0,NOT(ISNUMBER(I300))),"",I300-N(L300))</f>
        <v/>
      </c>
      <c r="O300" s="100" t="str">
        <f>IF(OR(R300=0,AK300&lt;=0),"",N(M300)/AK300)</f>
        <v/>
      </c>
      <c r="P300" s="94" t="str">
        <f>IF(R300=0,"",IF(S300="","Sem MTR associado",IF(U300=0,"MTR inexistente",IF(C300="","Resíduo não identificado",IF(V300=0,"Resíduo fora do cadastro",IF(W300=0,"Quantidade inválida",IF(H300="","Unidade não informada",IF(NOT(ISNUMBER(I300)),"Unidade a conferir",IF(AND(AH300=1,K300&lt;&gt;"Sim"),"Possível duplicidade",IF(Z300=1,"MTR cancelado",IF(AC300&gt;0,"Recebimento com alerta",IF(AA300=0,"Aguardando recebimento",IF(AB300&lt;AA300,"Recebimento a conferir",IF(AM300=1,"Quantidade a revisar",IF(AF300&gt;0,"Vínculo a revisar",IF(AD300=0,"Aguardando CDF",IF(AN300=0,"Vínculo de CDF parcial",IF(AE300&lt;AD300,"CDF a conferir","Documentação conferida"))))))))))))))))))</f>
        <v/>
      </c>
      <c r="Q300" s="93" t="str">
        <f>IF(OR(R300=0,AA300=0),"",MAX(0,N(L300)-N(M300)))</f>
        <v/>
      </c>
      <c r="R300" s="96">
        <f>IF(COUNTA(B300:C300,G300:H300,J300:K300)&gt;0,1,0)</f>
        <v>0</v>
      </c>
      <c r="S300" s="96" t="str">
        <f>IF(B300="","",TRIM(LEFT(B300,FIND(" |",B300&amp;" |")-1)))</f>
        <v/>
      </c>
      <c r="T300" s="96" t="str">
        <f>IF(S300="","",IFERROR(MATCH(S300,'MTRs'!$A$6:$A$505,0),""))</f>
        <v/>
      </c>
      <c r="U300" s="96">
        <f>IF(T300="",0,IF(INDEX('MTRs'!$Z$6:$Z$505,T300)=1,1,0))</f>
        <v>0</v>
      </c>
      <c r="V300" s="96">
        <f>IF(C300="",0,IF(ISNUMBER(MATCH(C300,'CAD_RESÍDUOS'!$B$6:$B$205,0)),1,0))</f>
        <v>0</v>
      </c>
      <c r="W300" s="96">
        <f>IF(AND(ISNUMBER(G300),G300&gt;0),1,0)</f>
        <v>0</v>
      </c>
      <c r="X300" s="96" t="str">
        <f>IF(H300="","",IFERROR(IF(ISNUMBER(INDEX(cfg_fac,MATCH(H300,cfg_units,0))),IF(INDEX(cfg_fac,MATCH(H300,cfg_units,0))&gt;0,INDEX(cfg_fac,MATCH(H300,cfg_units,0)),""),""),""))</f>
        <v/>
      </c>
      <c r="Y300" s="96">
        <f>IF(AND(W300=1,ISNUMBER(I300)),1,0)</f>
        <v>0</v>
      </c>
      <c r="Z300" s="96">
        <f>IF(U300=1,INDEX('MTRs'!$AA$6:$AA$505,T300),0)</f>
        <v>0</v>
      </c>
      <c r="AA300" s="96">
        <f>IF(R300=0,0,COUNTIFS('RECEBIMENTOS'!$R$6:$R$1005,A300,'RECEBIMENTOS'!$Q$6:$Q$1005,1))</f>
        <v>0</v>
      </c>
      <c r="AB300" s="96">
        <f>IF(R300=0,0,COUNTIFS('RECEBIMENTOS'!$R$6:$R$1005,A300,'RECEBIMENTOS'!$Z$6:$Z$1005,1))</f>
        <v>0</v>
      </c>
      <c r="AC300" s="96">
        <f>IF(R300=0,0,COUNTIFS('RECEBIMENTOS'!$R$6:$R$1005,A300,'RECEBIMENTOS'!$Y$6:$Y$1005,1))</f>
        <v>0</v>
      </c>
      <c r="AD300" s="96">
        <f>IF(R300=0,0,COUNTIFS('VÍNCULOS_CDF'!$R$6:$R$1005,A300,'VÍNCULOS_CDF'!$N$6:$N$1005,1))</f>
        <v>0</v>
      </c>
      <c r="AE300" s="96">
        <f>IF(R300=0,0,COUNTIFS('VÍNCULOS_CDF'!$R$6:$R$1005,A300,'VÍNCULOS_CDF'!$AA$6:$AA$1005,1))</f>
        <v>0</v>
      </c>
      <c r="AF300" s="96">
        <f>IF(R300=0,0,COUNTIFS('VÍNCULOS_CDF'!$R$6:$R$1005,A300,'VÍNCULOS_CDF'!$Y$6:$Y$1005,1))</f>
        <v>0</v>
      </c>
      <c r="AG300" s="96" t="str">
        <f>IF(AND(R300=1,S300&lt;&gt;"",C300&lt;&gt;""),S300&amp;"|"&amp;C300&amp;"|"&amp;G300&amp;"|"&amp;H300,"")</f>
        <v/>
      </c>
      <c r="AH300" s="96">
        <f>IF(AG300="",0,IF(SUMPRODUCT(--($AG$6:$AG$1005=AG300))&gt;1,1,0))</f>
        <v>0</v>
      </c>
      <c r="AI300" s="96">
        <f>IF(R300=0,0,IF(OR(U300=0,V300=0,Y300=0,AND(AH300=1,K300&lt;&gt;"Sim")),1,0))</f>
        <v>0</v>
      </c>
      <c r="AJ300" s="96">
        <f>IF(AND(R300=1,AA300&gt;0,AB300=AA300),1,0)</f>
        <v>0</v>
      </c>
      <c r="AK300" s="96">
        <f>IF(R300=0,0,IF(AA300&gt;0,N(L300),IF(ISNUMBER(I300),I300,0)))</f>
        <v>0</v>
      </c>
      <c r="AL300" s="96">
        <f>IF(R300=0,0,IF(AND(K300&lt;&gt;"Sim",N(M300)&gt;AK300+cfg_tol),1,0))</f>
        <v>0</v>
      </c>
      <c r="AM300" s="96">
        <f>IF(R300=0,0,IF(K300="Sim",0,IF(OR(AND(AA300&gt;0,ISNUMBER(I300),ABS(I300-N(L300))&gt;cfg_tol),AL300=1),1,0)))</f>
        <v>0</v>
      </c>
      <c r="AN300" s="96">
        <f>IF(AND(R300=1,N(M300)&gt;0,OR(N(M300)&gt;=AK300-cfg_tol,K300="Sim")),1,0)</f>
        <v>0</v>
      </c>
      <c r="AO300" s="96">
        <f>IF(AND(AN300=1,AD300&gt;0,AE300=AD300,AL300=0),1,0)</f>
        <v>0</v>
      </c>
      <c r="AP300" s="96">
        <f>IF(U300=0,0,IF(AND(INDEX('MTRs'!$AX$6:$AX$505,T300)=1,Z300=0,OR(f_res="",f_res="(Todos)",C300=f_res)),1,0))</f>
        <v>0</v>
      </c>
      <c r="AQ300" s="97" t="str">
        <f>IF(U300=0,"",INDEX('MTRs'!$AZ$6:$AZ$505,T300))</f>
        <v/>
      </c>
      <c r="AR300" s="96">
        <f>IF(U300=0,0,IF(AND(INDEX('MTRs'!$BA$6:$BA$505,T300)=1,Z300=0),1,0))</f>
        <v>0</v>
      </c>
      <c r="AS300" s="96" t="str">
        <f>IF(R300=1,A300&amp;" | MTR "&amp;IF(U300=1,INDEX('MTRs'!$B$6:$B$505,T300)&amp;"","?")&amp;" | "&amp;IF(C300="","(sem resíduo)",C300),"")</f>
        <v/>
      </c>
      <c r="AT300" s="96" t="str">
        <f>IF(R300=1,COUNTIF($R$6:R300,1),"")</f>
        <v/>
      </c>
      <c r="AU300" s="96" t="str">
        <f>IF(U300=1,INDEX('MTRs'!$I$6:$I$505,T300)&amp;"","")</f>
        <v/>
      </c>
    </row>
    <row r="301">
      <c r="A301" s="89" t="inlineStr">
        <is>
          <t>IT-000296</t>
        </is>
      </c>
      <c r="B301" s="91" t="n"/>
      <c r="C301" s="91" t="n"/>
      <c r="D301" s="94" t="str">
        <f>IF(OR(R301=0,V301=0),"",INDEX('CAD_RESÍDUOS'!$E$6:$E$205,MATCH(C301,'CAD_RESÍDUOS'!$B$6:$B$205,0))&amp;"")</f>
        <v/>
      </c>
      <c r="E301" s="94" t="str">
        <f>IF(OR(R301=0,V301=0),"",INDEX('CAD_RESÍDUOS'!$C$6:$C$205,MATCH(C301,'CAD_RESÍDUOS'!$B$6:$B$205,0))&amp;"")</f>
        <v/>
      </c>
      <c r="F301" s="94" t="str">
        <f>IF(OR(R301=0,V301=0),"",INDEX('CAD_RESÍDUOS'!$G$6:$G$205,MATCH(C301,'CAD_RESÍDUOS'!$B$6:$B$205,0))&amp;"")</f>
        <v/>
      </c>
      <c r="G301" s="98" t="n"/>
      <c r="H301" s="91" t="n"/>
      <c r="I301" s="93" t="str">
        <f>IF(R301=0,"",IF(NOT(ISNUMBER(G301)),"",IF(ISNUMBER(X301),G301*X301,"UNIDADE A CONFERIR")))</f>
        <v/>
      </c>
      <c r="J301" s="91" t="n"/>
      <c r="K301" s="91" t="n"/>
      <c r="L301" s="93" t="str">
        <f>IF(R301=0,"",SUMIFS('RECEBIMENTOS'!$H$6:$H$1005,'RECEBIMENTOS'!$R$6:$R$1005,A301,'RECEBIMENTOS'!$X$6:$X$1005,1))</f>
        <v/>
      </c>
      <c r="M301" s="93" t="str">
        <f>IF(R301=0,"",SUMIFS('VÍNCULOS_CDF'!$H$6:$H$1005,'VÍNCULOS_CDF'!$R$6:$R$1005,A301,'VÍNCULOS_CDF'!$V$6:$V$1005,1))</f>
        <v/>
      </c>
      <c r="N301" s="99" t="str">
        <f>IF(OR(R301=0,AA301=0,NOT(ISNUMBER(I301))),"",I301-N(L301))</f>
        <v/>
      </c>
      <c r="O301" s="100" t="str">
        <f>IF(OR(R301=0,AK301&lt;=0),"",N(M301)/AK301)</f>
        <v/>
      </c>
      <c r="P301" s="94" t="str">
        <f>IF(R301=0,"",IF(S301="","Sem MTR associado",IF(U301=0,"MTR inexistente",IF(C301="","Resíduo não identificado",IF(V301=0,"Resíduo fora do cadastro",IF(W301=0,"Quantidade inválida",IF(H301="","Unidade não informada",IF(NOT(ISNUMBER(I301)),"Unidade a conferir",IF(AND(AH301=1,K301&lt;&gt;"Sim"),"Possível duplicidade",IF(Z301=1,"MTR cancelado",IF(AC301&gt;0,"Recebimento com alerta",IF(AA301=0,"Aguardando recebimento",IF(AB301&lt;AA301,"Recebimento a conferir",IF(AM301=1,"Quantidade a revisar",IF(AF301&gt;0,"Vínculo a revisar",IF(AD301=0,"Aguardando CDF",IF(AN301=0,"Vínculo de CDF parcial",IF(AE301&lt;AD301,"CDF a conferir","Documentação conferida"))))))))))))))))))</f>
        <v/>
      </c>
      <c r="Q301" s="93" t="str">
        <f>IF(OR(R301=0,AA301=0),"",MAX(0,N(L301)-N(M301)))</f>
        <v/>
      </c>
      <c r="R301" s="96">
        <f>IF(COUNTA(B301:C301,G301:H301,J301:K301)&gt;0,1,0)</f>
        <v>0</v>
      </c>
      <c r="S301" s="96" t="str">
        <f>IF(B301="","",TRIM(LEFT(B301,FIND(" |",B301&amp;" |")-1)))</f>
        <v/>
      </c>
      <c r="T301" s="96" t="str">
        <f>IF(S301="","",IFERROR(MATCH(S301,'MTRs'!$A$6:$A$505,0),""))</f>
        <v/>
      </c>
      <c r="U301" s="96">
        <f>IF(T301="",0,IF(INDEX('MTRs'!$Z$6:$Z$505,T301)=1,1,0))</f>
        <v>0</v>
      </c>
      <c r="V301" s="96">
        <f>IF(C301="",0,IF(ISNUMBER(MATCH(C301,'CAD_RESÍDUOS'!$B$6:$B$205,0)),1,0))</f>
        <v>0</v>
      </c>
      <c r="W301" s="96">
        <f>IF(AND(ISNUMBER(G301),G301&gt;0),1,0)</f>
        <v>0</v>
      </c>
      <c r="X301" s="96" t="str">
        <f>IF(H301="","",IFERROR(IF(ISNUMBER(INDEX(cfg_fac,MATCH(H301,cfg_units,0))),IF(INDEX(cfg_fac,MATCH(H301,cfg_units,0))&gt;0,INDEX(cfg_fac,MATCH(H301,cfg_units,0)),""),""),""))</f>
        <v/>
      </c>
      <c r="Y301" s="96">
        <f>IF(AND(W301=1,ISNUMBER(I301)),1,0)</f>
        <v>0</v>
      </c>
      <c r="Z301" s="96">
        <f>IF(U301=1,INDEX('MTRs'!$AA$6:$AA$505,T301),0)</f>
        <v>0</v>
      </c>
      <c r="AA301" s="96">
        <f>IF(R301=0,0,COUNTIFS('RECEBIMENTOS'!$R$6:$R$1005,A301,'RECEBIMENTOS'!$Q$6:$Q$1005,1))</f>
        <v>0</v>
      </c>
      <c r="AB301" s="96">
        <f>IF(R301=0,0,COUNTIFS('RECEBIMENTOS'!$R$6:$R$1005,A301,'RECEBIMENTOS'!$Z$6:$Z$1005,1))</f>
        <v>0</v>
      </c>
      <c r="AC301" s="96">
        <f>IF(R301=0,0,COUNTIFS('RECEBIMENTOS'!$R$6:$R$1005,A301,'RECEBIMENTOS'!$Y$6:$Y$1005,1))</f>
        <v>0</v>
      </c>
      <c r="AD301" s="96">
        <f>IF(R301=0,0,COUNTIFS('VÍNCULOS_CDF'!$R$6:$R$1005,A301,'VÍNCULOS_CDF'!$N$6:$N$1005,1))</f>
        <v>0</v>
      </c>
      <c r="AE301" s="96">
        <f>IF(R301=0,0,COUNTIFS('VÍNCULOS_CDF'!$R$6:$R$1005,A301,'VÍNCULOS_CDF'!$AA$6:$AA$1005,1))</f>
        <v>0</v>
      </c>
      <c r="AF301" s="96">
        <f>IF(R301=0,0,COUNTIFS('VÍNCULOS_CDF'!$R$6:$R$1005,A301,'VÍNCULOS_CDF'!$Y$6:$Y$1005,1))</f>
        <v>0</v>
      </c>
      <c r="AG301" s="96" t="str">
        <f>IF(AND(R301=1,S301&lt;&gt;"",C301&lt;&gt;""),S301&amp;"|"&amp;C301&amp;"|"&amp;G301&amp;"|"&amp;H301,"")</f>
        <v/>
      </c>
      <c r="AH301" s="96">
        <f>IF(AG301="",0,IF(SUMPRODUCT(--($AG$6:$AG$1005=AG301))&gt;1,1,0))</f>
        <v>0</v>
      </c>
      <c r="AI301" s="96">
        <f>IF(R301=0,0,IF(OR(U301=0,V301=0,Y301=0,AND(AH301=1,K301&lt;&gt;"Sim")),1,0))</f>
        <v>0</v>
      </c>
      <c r="AJ301" s="96">
        <f>IF(AND(R301=1,AA301&gt;0,AB301=AA301),1,0)</f>
        <v>0</v>
      </c>
      <c r="AK301" s="96">
        <f>IF(R301=0,0,IF(AA301&gt;0,N(L301),IF(ISNUMBER(I301),I301,0)))</f>
        <v>0</v>
      </c>
      <c r="AL301" s="96">
        <f>IF(R301=0,0,IF(AND(K301&lt;&gt;"Sim",N(M301)&gt;AK301+cfg_tol),1,0))</f>
        <v>0</v>
      </c>
      <c r="AM301" s="96">
        <f>IF(R301=0,0,IF(K301="Sim",0,IF(OR(AND(AA301&gt;0,ISNUMBER(I301),ABS(I301-N(L301))&gt;cfg_tol),AL301=1),1,0)))</f>
        <v>0</v>
      </c>
      <c r="AN301" s="96">
        <f>IF(AND(R301=1,N(M301)&gt;0,OR(N(M301)&gt;=AK301-cfg_tol,K301="Sim")),1,0)</f>
        <v>0</v>
      </c>
      <c r="AO301" s="96">
        <f>IF(AND(AN301=1,AD301&gt;0,AE301=AD301,AL301=0),1,0)</f>
        <v>0</v>
      </c>
      <c r="AP301" s="96">
        <f>IF(U301=0,0,IF(AND(INDEX('MTRs'!$AX$6:$AX$505,T301)=1,Z301=0,OR(f_res="",f_res="(Todos)",C301=f_res)),1,0))</f>
        <v>0</v>
      </c>
      <c r="AQ301" s="97" t="str">
        <f>IF(U301=0,"",INDEX('MTRs'!$AZ$6:$AZ$505,T301))</f>
        <v/>
      </c>
      <c r="AR301" s="96">
        <f>IF(U301=0,0,IF(AND(INDEX('MTRs'!$BA$6:$BA$505,T301)=1,Z301=0),1,0))</f>
        <v>0</v>
      </c>
      <c r="AS301" s="96" t="str">
        <f>IF(R301=1,A301&amp;" | MTR "&amp;IF(U301=1,INDEX('MTRs'!$B$6:$B$505,T301)&amp;"","?")&amp;" | "&amp;IF(C301="","(sem resíduo)",C301),"")</f>
        <v/>
      </c>
      <c r="AT301" s="96" t="str">
        <f>IF(R301=1,COUNTIF($R$6:R301,1),"")</f>
        <v/>
      </c>
      <c r="AU301" s="96" t="str">
        <f>IF(U301=1,INDEX('MTRs'!$I$6:$I$505,T301)&amp;"","")</f>
        <v/>
      </c>
    </row>
    <row r="302">
      <c r="A302" s="89" t="inlineStr">
        <is>
          <t>IT-000297</t>
        </is>
      </c>
      <c r="B302" s="91" t="n"/>
      <c r="C302" s="91" t="n"/>
      <c r="D302" s="94" t="str">
        <f>IF(OR(R302=0,V302=0),"",INDEX('CAD_RESÍDUOS'!$E$6:$E$205,MATCH(C302,'CAD_RESÍDUOS'!$B$6:$B$205,0))&amp;"")</f>
        <v/>
      </c>
      <c r="E302" s="94" t="str">
        <f>IF(OR(R302=0,V302=0),"",INDEX('CAD_RESÍDUOS'!$C$6:$C$205,MATCH(C302,'CAD_RESÍDUOS'!$B$6:$B$205,0))&amp;"")</f>
        <v/>
      </c>
      <c r="F302" s="94" t="str">
        <f>IF(OR(R302=0,V302=0),"",INDEX('CAD_RESÍDUOS'!$G$6:$G$205,MATCH(C302,'CAD_RESÍDUOS'!$B$6:$B$205,0))&amp;"")</f>
        <v/>
      </c>
      <c r="G302" s="98" t="n"/>
      <c r="H302" s="91" t="n"/>
      <c r="I302" s="93" t="str">
        <f>IF(R302=0,"",IF(NOT(ISNUMBER(G302)),"",IF(ISNUMBER(X302),G302*X302,"UNIDADE A CONFERIR")))</f>
        <v/>
      </c>
      <c r="J302" s="91" t="n"/>
      <c r="K302" s="91" t="n"/>
      <c r="L302" s="93" t="str">
        <f>IF(R302=0,"",SUMIFS('RECEBIMENTOS'!$H$6:$H$1005,'RECEBIMENTOS'!$R$6:$R$1005,A302,'RECEBIMENTOS'!$X$6:$X$1005,1))</f>
        <v/>
      </c>
      <c r="M302" s="93" t="str">
        <f>IF(R302=0,"",SUMIFS('VÍNCULOS_CDF'!$H$6:$H$1005,'VÍNCULOS_CDF'!$R$6:$R$1005,A302,'VÍNCULOS_CDF'!$V$6:$V$1005,1))</f>
        <v/>
      </c>
      <c r="N302" s="99" t="str">
        <f>IF(OR(R302=0,AA302=0,NOT(ISNUMBER(I302))),"",I302-N(L302))</f>
        <v/>
      </c>
      <c r="O302" s="100" t="str">
        <f>IF(OR(R302=0,AK302&lt;=0),"",N(M302)/AK302)</f>
        <v/>
      </c>
      <c r="P302" s="94" t="str">
        <f>IF(R302=0,"",IF(S302="","Sem MTR associado",IF(U302=0,"MTR inexistente",IF(C302="","Resíduo não identificado",IF(V302=0,"Resíduo fora do cadastro",IF(W302=0,"Quantidade inválida",IF(H302="","Unidade não informada",IF(NOT(ISNUMBER(I302)),"Unidade a conferir",IF(AND(AH302=1,K302&lt;&gt;"Sim"),"Possível duplicidade",IF(Z302=1,"MTR cancelado",IF(AC302&gt;0,"Recebimento com alerta",IF(AA302=0,"Aguardando recebimento",IF(AB302&lt;AA302,"Recebimento a conferir",IF(AM302=1,"Quantidade a revisar",IF(AF302&gt;0,"Vínculo a revisar",IF(AD302=0,"Aguardando CDF",IF(AN302=0,"Vínculo de CDF parcial",IF(AE302&lt;AD302,"CDF a conferir","Documentação conferida"))))))))))))))))))</f>
        <v/>
      </c>
      <c r="Q302" s="93" t="str">
        <f>IF(OR(R302=0,AA302=0),"",MAX(0,N(L302)-N(M302)))</f>
        <v/>
      </c>
      <c r="R302" s="96">
        <f>IF(COUNTA(B302:C302,G302:H302,J302:K302)&gt;0,1,0)</f>
        <v>0</v>
      </c>
      <c r="S302" s="96" t="str">
        <f>IF(B302="","",TRIM(LEFT(B302,FIND(" |",B302&amp;" |")-1)))</f>
        <v/>
      </c>
      <c r="T302" s="96" t="str">
        <f>IF(S302="","",IFERROR(MATCH(S302,'MTRs'!$A$6:$A$505,0),""))</f>
        <v/>
      </c>
      <c r="U302" s="96">
        <f>IF(T302="",0,IF(INDEX('MTRs'!$Z$6:$Z$505,T302)=1,1,0))</f>
        <v>0</v>
      </c>
      <c r="V302" s="96">
        <f>IF(C302="",0,IF(ISNUMBER(MATCH(C302,'CAD_RESÍDUOS'!$B$6:$B$205,0)),1,0))</f>
        <v>0</v>
      </c>
      <c r="W302" s="96">
        <f>IF(AND(ISNUMBER(G302),G302&gt;0),1,0)</f>
        <v>0</v>
      </c>
      <c r="X302" s="96" t="str">
        <f>IF(H302="","",IFERROR(IF(ISNUMBER(INDEX(cfg_fac,MATCH(H302,cfg_units,0))),IF(INDEX(cfg_fac,MATCH(H302,cfg_units,0))&gt;0,INDEX(cfg_fac,MATCH(H302,cfg_units,0)),""),""),""))</f>
        <v/>
      </c>
      <c r="Y302" s="96">
        <f>IF(AND(W302=1,ISNUMBER(I302)),1,0)</f>
        <v>0</v>
      </c>
      <c r="Z302" s="96">
        <f>IF(U302=1,INDEX('MTRs'!$AA$6:$AA$505,T302),0)</f>
        <v>0</v>
      </c>
      <c r="AA302" s="96">
        <f>IF(R302=0,0,COUNTIFS('RECEBIMENTOS'!$R$6:$R$1005,A302,'RECEBIMENTOS'!$Q$6:$Q$1005,1))</f>
        <v>0</v>
      </c>
      <c r="AB302" s="96">
        <f>IF(R302=0,0,COUNTIFS('RECEBIMENTOS'!$R$6:$R$1005,A302,'RECEBIMENTOS'!$Z$6:$Z$1005,1))</f>
        <v>0</v>
      </c>
      <c r="AC302" s="96">
        <f>IF(R302=0,0,COUNTIFS('RECEBIMENTOS'!$R$6:$R$1005,A302,'RECEBIMENTOS'!$Y$6:$Y$1005,1))</f>
        <v>0</v>
      </c>
      <c r="AD302" s="96">
        <f>IF(R302=0,0,COUNTIFS('VÍNCULOS_CDF'!$R$6:$R$1005,A302,'VÍNCULOS_CDF'!$N$6:$N$1005,1))</f>
        <v>0</v>
      </c>
      <c r="AE302" s="96">
        <f>IF(R302=0,0,COUNTIFS('VÍNCULOS_CDF'!$R$6:$R$1005,A302,'VÍNCULOS_CDF'!$AA$6:$AA$1005,1))</f>
        <v>0</v>
      </c>
      <c r="AF302" s="96">
        <f>IF(R302=0,0,COUNTIFS('VÍNCULOS_CDF'!$R$6:$R$1005,A302,'VÍNCULOS_CDF'!$Y$6:$Y$1005,1))</f>
        <v>0</v>
      </c>
      <c r="AG302" s="96" t="str">
        <f>IF(AND(R302=1,S302&lt;&gt;"",C302&lt;&gt;""),S302&amp;"|"&amp;C302&amp;"|"&amp;G302&amp;"|"&amp;H302,"")</f>
        <v/>
      </c>
      <c r="AH302" s="96">
        <f>IF(AG302="",0,IF(SUMPRODUCT(--($AG$6:$AG$1005=AG302))&gt;1,1,0))</f>
        <v>0</v>
      </c>
      <c r="AI302" s="96">
        <f>IF(R302=0,0,IF(OR(U302=0,V302=0,Y302=0,AND(AH302=1,K302&lt;&gt;"Sim")),1,0))</f>
        <v>0</v>
      </c>
      <c r="AJ302" s="96">
        <f>IF(AND(R302=1,AA302&gt;0,AB302=AA302),1,0)</f>
        <v>0</v>
      </c>
      <c r="AK302" s="96">
        <f>IF(R302=0,0,IF(AA302&gt;0,N(L302),IF(ISNUMBER(I302),I302,0)))</f>
        <v>0</v>
      </c>
      <c r="AL302" s="96">
        <f>IF(R302=0,0,IF(AND(K302&lt;&gt;"Sim",N(M302)&gt;AK302+cfg_tol),1,0))</f>
        <v>0</v>
      </c>
      <c r="AM302" s="96">
        <f>IF(R302=0,0,IF(K302="Sim",0,IF(OR(AND(AA302&gt;0,ISNUMBER(I302),ABS(I302-N(L302))&gt;cfg_tol),AL302=1),1,0)))</f>
        <v>0</v>
      </c>
      <c r="AN302" s="96">
        <f>IF(AND(R302=1,N(M302)&gt;0,OR(N(M302)&gt;=AK302-cfg_tol,K302="Sim")),1,0)</f>
        <v>0</v>
      </c>
      <c r="AO302" s="96">
        <f>IF(AND(AN302=1,AD302&gt;0,AE302=AD302,AL302=0),1,0)</f>
        <v>0</v>
      </c>
      <c r="AP302" s="96">
        <f>IF(U302=0,0,IF(AND(INDEX('MTRs'!$AX$6:$AX$505,T302)=1,Z302=0,OR(f_res="",f_res="(Todos)",C302=f_res)),1,0))</f>
        <v>0</v>
      </c>
      <c r="AQ302" s="97" t="str">
        <f>IF(U302=0,"",INDEX('MTRs'!$AZ$6:$AZ$505,T302))</f>
        <v/>
      </c>
      <c r="AR302" s="96">
        <f>IF(U302=0,0,IF(AND(INDEX('MTRs'!$BA$6:$BA$505,T302)=1,Z302=0),1,0))</f>
        <v>0</v>
      </c>
      <c r="AS302" s="96" t="str">
        <f>IF(R302=1,A302&amp;" | MTR "&amp;IF(U302=1,INDEX('MTRs'!$B$6:$B$505,T302)&amp;"","?")&amp;" | "&amp;IF(C302="","(sem resíduo)",C302),"")</f>
        <v/>
      </c>
      <c r="AT302" s="96" t="str">
        <f>IF(R302=1,COUNTIF($R$6:R302,1),"")</f>
        <v/>
      </c>
      <c r="AU302" s="96" t="str">
        <f>IF(U302=1,INDEX('MTRs'!$I$6:$I$505,T302)&amp;"","")</f>
        <v/>
      </c>
    </row>
    <row r="303">
      <c r="A303" s="89" t="inlineStr">
        <is>
          <t>IT-000298</t>
        </is>
      </c>
      <c r="B303" s="91" t="n"/>
      <c r="C303" s="91" t="n"/>
      <c r="D303" s="94" t="str">
        <f>IF(OR(R303=0,V303=0),"",INDEX('CAD_RESÍDUOS'!$E$6:$E$205,MATCH(C303,'CAD_RESÍDUOS'!$B$6:$B$205,0))&amp;"")</f>
        <v/>
      </c>
      <c r="E303" s="94" t="str">
        <f>IF(OR(R303=0,V303=0),"",INDEX('CAD_RESÍDUOS'!$C$6:$C$205,MATCH(C303,'CAD_RESÍDUOS'!$B$6:$B$205,0))&amp;"")</f>
        <v/>
      </c>
      <c r="F303" s="94" t="str">
        <f>IF(OR(R303=0,V303=0),"",INDEX('CAD_RESÍDUOS'!$G$6:$G$205,MATCH(C303,'CAD_RESÍDUOS'!$B$6:$B$205,0))&amp;"")</f>
        <v/>
      </c>
      <c r="G303" s="98" t="n"/>
      <c r="H303" s="91" t="n"/>
      <c r="I303" s="93" t="str">
        <f>IF(R303=0,"",IF(NOT(ISNUMBER(G303)),"",IF(ISNUMBER(X303),G303*X303,"UNIDADE A CONFERIR")))</f>
        <v/>
      </c>
      <c r="J303" s="91" t="n"/>
      <c r="K303" s="91" t="n"/>
      <c r="L303" s="93" t="str">
        <f>IF(R303=0,"",SUMIFS('RECEBIMENTOS'!$H$6:$H$1005,'RECEBIMENTOS'!$R$6:$R$1005,A303,'RECEBIMENTOS'!$X$6:$X$1005,1))</f>
        <v/>
      </c>
      <c r="M303" s="93" t="str">
        <f>IF(R303=0,"",SUMIFS('VÍNCULOS_CDF'!$H$6:$H$1005,'VÍNCULOS_CDF'!$R$6:$R$1005,A303,'VÍNCULOS_CDF'!$V$6:$V$1005,1))</f>
        <v/>
      </c>
      <c r="N303" s="99" t="str">
        <f>IF(OR(R303=0,AA303=0,NOT(ISNUMBER(I303))),"",I303-N(L303))</f>
        <v/>
      </c>
      <c r="O303" s="100" t="str">
        <f>IF(OR(R303=0,AK303&lt;=0),"",N(M303)/AK303)</f>
        <v/>
      </c>
      <c r="P303" s="94" t="str">
        <f>IF(R303=0,"",IF(S303="","Sem MTR associado",IF(U303=0,"MTR inexistente",IF(C303="","Resíduo não identificado",IF(V303=0,"Resíduo fora do cadastro",IF(W303=0,"Quantidade inválida",IF(H303="","Unidade não informada",IF(NOT(ISNUMBER(I303)),"Unidade a conferir",IF(AND(AH303=1,K303&lt;&gt;"Sim"),"Possível duplicidade",IF(Z303=1,"MTR cancelado",IF(AC303&gt;0,"Recebimento com alerta",IF(AA303=0,"Aguardando recebimento",IF(AB303&lt;AA303,"Recebimento a conferir",IF(AM303=1,"Quantidade a revisar",IF(AF303&gt;0,"Vínculo a revisar",IF(AD303=0,"Aguardando CDF",IF(AN303=0,"Vínculo de CDF parcial",IF(AE303&lt;AD303,"CDF a conferir","Documentação conferida"))))))))))))))))))</f>
        <v/>
      </c>
      <c r="Q303" s="93" t="str">
        <f>IF(OR(R303=0,AA303=0),"",MAX(0,N(L303)-N(M303)))</f>
        <v/>
      </c>
      <c r="R303" s="96">
        <f>IF(COUNTA(B303:C303,G303:H303,J303:K303)&gt;0,1,0)</f>
        <v>0</v>
      </c>
      <c r="S303" s="96" t="str">
        <f>IF(B303="","",TRIM(LEFT(B303,FIND(" |",B303&amp;" |")-1)))</f>
        <v/>
      </c>
      <c r="T303" s="96" t="str">
        <f>IF(S303="","",IFERROR(MATCH(S303,'MTRs'!$A$6:$A$505,0),""))</f>
        <v/>
      </c>
      <c r="U303" s="96">
        <f>IF(T303="",0,IF(INDEX('MTRs'!$Z$6:$Z$505,T303)=1,1,0))</f>
        <v>0</v>
      </c>
      <c r="V303" s="96">
        <f>IF(C303="",0,IF(ISNUMBER(MATCH(C303,'CAD_RESÍDUOS'!$B$6:$B$205,0)),1,0))</f>
        <v>0</v>
      </c>
      <c r="W303" s="96">
        <f>IF(AND(ISNUMBER(G303),G303&gt;0),1,0)</f>
        <v>0</v>
      </c>
      <c r="X303" s="96" t="str">
        <f>IF(H303="","",IFERROR(IF(ISNUMBER(INDEX(cfg_fac,MATCH(H303,cfg_units,0))),IF(INDEX(cfg_fac,MATCH(H303,cfg_units,0))&gt;0,INDEX(cfg_fac,MATCH(H303,cfg_units,0)),""),""),""))</f>
        <v/>
      </c>
      <c r="Y303" s="96">
        <f>IF(AND(W303=1,ISNUMBER(I303)),1,0)</f>
        <v>0</v>
      </c>
      <c r="Z303" s="96">
        <f>IF(U303=1,INDEX('MTRs'!$AA$6:$AA$505,T303),0)</f>
        <v>0</v>
      </c>
      <c r="AA303" s="96">
        <f>IF(R303=0,0,COUNTIFS('RECEBIMENTOS'!$R$6:$R$1005,A303,'RECEBIMENTOS'!$Q$6:$Q$1005,1))</f>
        <v>0</v>
      </c>
      <c r="AB303" s="96">
        <f>IF(R303=0,0,COUNTIFS('RECEBIMENTOS'!$R$6:$R$1005,A303,'RECEBIMENTOS'!$Z$6:$Z$1005,1))</f>
        <v>0</v>
      </c>
      <c r="AC303" s="96">
        <f>IF(R303=0,0,COUNTIFS('RECEBIMENTOS'!$R$6:$R$1005,A303,'RECEBIMENTOS'!$Y$6:$Y$1005,1))</f>
        <v>0</v>
      </c>
      <c r="AD303" s="96">
        <f>IF(R303=0,0,COUNTIFS('VÍNCULOS_CDF'!$R$6:$R$1005,A303,'VÍNCULOS_CDF'!$N$6:$N$1005,1))</f>
        <v>0</v>
      </c>
      <c r="AE303" s="96">
        <f>IF(R303=0,0,COUNTIFS('VÍNCULOS_CDF'!$R$6:$R$1005,A303,'VÍNCULOS_CDF'!$AA$6:$AA$1005,1))</f>
        <v>0</v>
      </c>
      <c r="AF303" s="96">
        <f>IF(R303=0,0,COUNTIFS('VÍNCULOS_CDF'!$R$6:$R$1005,A303,'VÍNCULOS_CDF'!$Y$6:$Y$1005,1))</f>
        <v>0</v>
      </c>
      <c r="AG303" s="96" t="str">
        <f>IF(AND(R303=1,S303&lt;&gt;"",C303&lt;&gt;""),S303&amp;"|"&amp;C303&amp;"|"&amp;G303&amp;"|"&amp;H303,"")</f>
        <v/>
      </c>
      <c r="AH303" s="96">
        <f>IF(AG303="",0,IF(SUMPRODUCT(--($AG$6:$AG$1005=AG303))&gt;1,1,0))</f>
        <v>0</v>
      </c>
      <c r="AI303" s="96">
        <f>IF(R303=0,0,IF(OR(U303=0,V303=0,Y303=0,AND(AH303=1,K303&lt;&gt;"Sim")),1,0))</f>
        <v>0</v>
      </c>
      <c r="AJ303" s="96">
        <f>IF(AND(R303=1,AA303&gt;0,AB303=AA303),1,0)</f>
        <v>0</v>
      </c>
      <c r="AK303" s="96">
        <f>IF(R303=0,0,IF(AA303&gt;0,N(L303),IF(ISNUMBER(I303),I303,0)))</f>
        <v>0</v>
      </c>
      <c r="AL303" s="96">
        <f>IF(R303=0,0,IF(AND(K303&lt;&gt;"Sim",N(M303)&gt;AK303+cfg_tol),1,0))</f>
        <v>0</v>
      </c>
      <c r="AM303" s="96">
        <f>IF(R303=0,0,IF(K303="Sim",0,IF(OR(AND(AA303&gt;0,ISNUMBER(I303),ABS(I303-N(L303))&gt;cfg_tol),AL303=1),1,0)))</f>
        <v>0</v>
      </c>
      <c r="AN303" s="96">
        <f>IF(AND(R303=1,N(M303)&gt;0,OR(N(M303)&gt;=AK303-cfg_tol,K303="Sim")),1,0)</f>
        <v>0</v>
      </c>
      <c r="AO303" s="96">
        <f>IF(AND(AN303=1,AD303&gt;0,AE303=AD303,AL303=0),1,0)</f>
        <v>0</v>
      </c>
      <c r="AP303" s="96">
        <f>IF(U303=0,0,IF(AND(INDEX('MTRs'!$AX$6:$AX$505,T303)=1,Z303=0,OR(f_res="",f_res="(Todos)",C303=f_res)),1,0))</f>
        <v>0</v>
      </c>
      <c r="AQ303" s="97" t="str">
        <f>IF(U303=0,"",INDEX('MTRs'!$AZ$6:$AZ$505,T303))</f>
        <v/>
      </c>
      <c r="AR303" s="96">
        <f>IF(U303=0,0,IF(AND(INDEX('MTRs'!$BA$6:$BA$505,T303)=1,Z303=0),1,0))</f>
        <v>0</v>
      </c>
      <c r="AS303" s="96" t="str">
        <f>IF(R303=1,A303&amp;" | MTR "&amp;IF(U303=1,INDEX('MTRs'!$B$6:$B$505,T303)&amp;"","?")&amp;" | "&amp;IF(C303="","(sem resíduo)",C303),"")</f>
        <v/>
      </c>
      <c r="AT303" s="96" t="str">
        <f>IF(R303=1,COUNTIF($R$6:R303,1),"")</f>
        <v/>
      </c>
      <c r="AU303" s="96" t="str">
        <f>IF(U303=1,INDEX('MTRs'!$I$6:$I$505,T303)&amp;"","")</f>
        <v/>
      </c>
    </row>
    <row r="304">
      <c r="A304" s="89" t="inlineStr">
        <is>
          <t>IT-000299</t>
        </is>
      </c>
      <c r="B304" s="91" t="n"/>
      <c r="C304" s="91" t="n"/>
      <c r="D304" s="94" t="str">
        <f>IF(OR(R304=0,V304=0),"",INDEX('CAD_RESÍDUOS'!$E$6:$E$205,MATCH(C304,'CAD_RESÍDUOS'!$B$6:$B$205,0))&amp;"")</f>
        <v/>
      </c>
      <c r="E304" s="94" t="str">
        <f>IF(OR(R304=0,V304=0),"",INDEX('CAD_RESÍDUOS'!$C$6:$C$205,MATCH(C304,'CAD_RESÍDUOS'!$B$6:$B$205,0))&amp;"")</f>
        <v/>
      </c>
      <c r="F304" s="94" t="str">
        <f>IF(OR(R304=0,V304=0),"",INDEX('CAD_RESÍDUOS'!$G$6:$G$205,MATCH(C304,'CAD_RESÍDUOS'!$B$6:$B$205,0))&amp;"")</f>
        <v/>
      </c>
      <c r="G304" s="98" t="n"/>
      <c r="H304" s="91" t="n"/>
      <c r="I304" s="93" t="str">
        <f>IF(R304=0,"",IF(NOT(ISNUMBER(G304)),"",IF(ISNUMBER(X304),G304*X304,"UNIDADE A CONFERIR")))</f>
        <v/>
      </c>
      <c r="J304" s="91" t="n"/>
      <c r="K304" s="91" t="n"/>
      <c r="L304" s="93" t="str">
        <f>IF(R304=0,"",SUMIFS('RECEBIMENTOS'!$H$6:$H$1005,'RECEBIMENTOS'!$R$6:$R$1005,A304,'RECEBIMENTOS'!$X$6:$X$1005,1))</f>
        <v/>
      </c>
      <c r="M304" s="93" t="str">
        <f>IF(R304=0,"",SUMIFS('VÍNCULOS_CDF'!$H$6:$H$1005,'VÍNCULOS_CDF'!$R$6:$R$1005,A304,'VÍNCULOS_CDF'!$V$6:$V$1005,1))</f>
        <v/>
      </c>
      <c r="N304" s="99" t="str">
        <f>IF(OR(R304=0,AA304=0,NOT(ISNUMBER(I304))),"",I304-N(L304))</f>
        <v/>
      </c>
      <c r="O304" s="100" t="str">
        <f>IF(OR(R304=0,AK304&lt;=0),"",N(M304)/AK304)</f>
        <v/>
      </c>
      <c r="P304" s="94" t="str">
        <f>IF(R304=0,"",IF(S304="","Sem MTR associado",IF(U304=0,"MTR inexistente",IF(C304="","Resíduo não identificado",IF(V304=0,"Resíduo fora do cadastro",IF(W304=0,"Quantidade inválida",IF(H304="","Unidade não informada",IF(NOT(ISNUMBER(I304)),"Unidade a conferir",IF(AND(AH304=1,K304&lt;&gt;"Sim"),"Possível duplicidade",IF(Z304=1,"MTR cancelado",IF(AC304&gt;0,"Recebimento com alerta",IF(AA304=0,"Aguardando recebimento",IF(AB304&lt;AA304,"Recebimento a conferir",IF(AM304=1,"Quantidade a revisar",IF(AF304&gt;0,"Vínculo a revisar",IF(AD304=0,"Aguardando CDF",IF(AN304=0,"Vínculo de CDF parcial",IF(AE304&lt;AD304,"CDF a conferir","Documentação conferida"))))))))))))))))))</f>
        <v/>
      </c>
      <c r="Q304" s="93" t="str">
        <f>IF(OR(R304=0,AA304=0),"",MAX(0,N(L304)-N(M304)))</f>
        <v/>
      </c>
      <c r="R304" s="96">
        <f>IF(COUNTA(B304:C304,G304:H304,J304:K304)&gt;0,1,0)</f>
        <v>0</v>
      </c>
      <c r="S304" s="96" t="str">
        <f>IF(B304="","",TRIM(LEFT(B304,FIND(" |",B304&amp;" |")-1)))</f>
        <v/>
      </c>
      <c r="T304" s="96" t="str">
        <f>IF(S304="","",IFERROR(MATCH(S304,'MTRs'!$A$6:$A$505,0),""))</f>
        <v/>
      </c>
      <c r="U304" s="96">
        <f>IF(T304="",0,IF(INDEX('MTRs'!$Z$6:$Z$505,T304)=1,1,0))</f>
        <v>0</v>
      </c>
      <c r="V304" s="96">
        <f>IF(C304="",0,IF(ISNUMBER(MATCH(C304,'CAD_RESÍDUOS'!$B$6:$B$205,0)),1,0))</f>
        <v>0</v>
      </c>
      <c r="W304" s="96">
        <f>IF(AND(ISNUMBER(G304),G304&gt;0),1,0)</f>
        <v>0</v>
      </c>
      <c r="X304" s="96" t="str">
        <f>IF(H304="","",IFERROR(IF(ISNUMBER(INDEX(cfg_fac,MATCH(H304,cfg_units,0))),IF(INDEX(cfg_fac,MATCH(H304,cfg_units,0))&gt;0,INDEX(cfg_fac,MATCH(H304,cfg_units,0)),""),""),""))</f>
        <v/>
      </c>
      <c r="Y304" s="96">
        <f>IF(AND(W304=1,ISNUMBER(I304)),1,0)</f>
        <v>0</v>
      </c>
      <c r="Z304" s="96">
        <f>IF(U304=1,INDEX('MTRs'!$AA$6:$AA$505,T304),0)</f>
        <v>0</v>
      </c>
      <c r="AA304" s="96">
        <f>IF(R304=0,0,COUNTIFS('RECEBIMENTOS'!$R$6:$R$1005,A304,'RECEBIMENTOS'!$Q$6:$Q$1005,1))</f>
        <v>0</v>
      </c>
      <c r="AB304" s="96">
        <f>IF(R304=0,0,COUNTIFS('RECEBIMENTOS'!$R$6:$R$1005,A304,'RECEBIMENTOS'!$Z$6:$Z$1005,1))</f>
        <v>0</v>
      </c>
      <c r="AC304" s="96">
        <f>IF(R304=0,0,COUNTIFS('RECEBIMENTOS'!$R$6:$R$1005,A304,'RECEBIMENTOS'!$Y$6:$Y$1005,1))</f>
        <v>0</v>
      </c>
      <c r="AD304" s="96">
        <f>IF(R304=0,0,COUNTIFS('VÍNCULOS_CDF'!$R$6:$R$1005,A304,'VÍNCULOS_CDF'!$N$6:$N$1005,1))</f>
        <v>0</v>
      </c>
      <c r="AE304" s="96">
        <f>IF(R304=0,0,COUNTIFS('VÍNCULOS_CDF'!$R$6:$R$1005,A304,'VÍNCULOS_CDF'!$AA$6:$AA$1005,1))</f>
        <v>0</v>
      </c>
      <c r="AF304" s="96">
        <f>IF(R304=0,0,COUNTIFS('VÍNCULOS_CDF'!$R$6:$R$1005,A304,'VÍNCULOS_CDF'!$Y$6:$Y$1005,1))</f>
        <v>0</v>
      </c>
      <c r="AG304" s="96" t="str">
        <f>IF(AND(R304=1,S304&lt;&gt;"",C304&lt;&gt;""),S304&amp;"|"&amp;C304&amp;"|"&amp;G304&amp;"|"&amp;H304,"")</f>
        <v/>
      </c>
      <c r="AH304" s="96">
        <f>IF(AG304="",0,IF(SUMPRODUCT(--($AG$6:$AG$1005=AG304))&gt;1,1,0))</f>
        <v>0</v>
      </c>
      <c r="AI304" s="96">
        <f>IF(R304=0,0,IF(OR(U304=0,V304=0,Y304=0,AND(AH304=1,K304&lt;&gt;"Sim")),1,0))</f>
        <v>0</v>
      </c>
      <c r="AJ304" s="96">
        <f>IF(AND(R304=1,AA304&gt;0,AB304=AA304),1,0)</f>
        <v>0</v>
      </c>
      <c r="AK304" s="96">
        <f>IF(R304=0,0,IF(AA304&gt;0,N(L304),IF(ISNUMBER(I304),I304,0)))</f>
        <v>0</v>
      </c>
      <c r="AL304" s="96">
        <f>IF(R304=0,0,IF(AND(K304&lt;&gt;"Sim",N(M304)&gt;AK304+cfg_tol),1,0))</f>
        <v>0</v>
      </c>
      <c r="AM304" s="96">
        <f>IF(R304=0,0,IF(K304="Sim",0,IF(OR(AND(AA304&gt;0,ISNUMBER(I304),ABS(I304-N(L304))&gt;cfg_tol),AL304=1),1,0)))</f>
        <v>0</v>
      </c>
      <c r="AN304" s="96">
        <f>IF(AND(R304=1,N(M304)&gt;0,OR(N(M304)&gt;=AK304-cfg_tol,K304="Sim")),1,0)</f>
        <v>0</v>
      </c>
      <c r="AO304" s="96">
        <f>IF(AND(AN304=1,AD304&gt;0,AE304=AD304,AL304=0),1,0)</f>
        <v>0</v>
      </c>
      <c r="AP304" s="96">
        <f>IF(U304=0,0,IF(AND(INDEX('MTRs'!$AX$6:$AX$505,T304)=1,Z304=0,OR(f_res="",f_res="(Todos)",C304=f_res)),1,0))</f>
        <v>0</v>
      </c>
      <c r="AQ304" s="97" t="str">
        <f>IF(U304=0,"",INDEX('MTRs'!$AZ$6:$AZ$505,T304))</f>
        <v/>
      </c>
      <c r="AR304" s="96">
        <f>IF(U304=0,0,IF(AND(INDEX('MTRs'!$BA$6:$BA$505,T304)=1,Z304=0),1,0))</f>
        <v>0</v>
      </c>
      <c r="AS304" s="96" t="str">
        <f>IF(R304=1,A304&amp;" | MTR "&amp;IF(U304=1,INDEX('MTRs'!$B$6:$B$505,T304)&amp;"","?")&amp;" | "&amp;IF(C304="","(sem resíduo)",C304),"")</f>
        <v/>
      </c>
      <c r="AT304" s="96" t="str">
        <f>IF(R304=1,COUNTIF($R$6:R304,1),"")</f>
        <v/>
      </c>
      <c r="AU304" s="96" t="str">
        <f>IF(U304=1,INDEX('MTRs'!$I$6:$I$505,T304)&amp;"","")</f>
        <v/>
      </c>
    </row>
    <row r="305">
      <c r="A305" s="89" t="inlineStr">
        <is>
          <t>IT-000300</t>
        </is>
      </c>
      <c r="B305" s="91" t="n"/>
      <c r="C305" s="91" t="n"/>
      <c r="D305" s="94" t="str">
        <f>IF(OR(R305=0,V305=0),"",INDEX('CAD_RESÍDUOS'!$E$6:$E$205,MATCH(C305,'CAD_RESÍDUOS'!$B$6:$B$205,0))&amp;"")</f>
        <v/>
      </c>
      <c r="E305" s="94" t="str">
        <f>IF(OR(R305=0,V305=0),"",INDEX('CAD_RESÍDUOS'!$C$6:$C$205,MATCH(C305,'CAD_RESÍDUOS'!$B$6:$B$205,0))&amp;"")</f>
        <v/>
      </c>
      <c r="F305" s="94" t="str">
        <f>IF(OR(R305=0,V305=0),"",INDEX('CAD_RESÍDUOS'!$G$6:$G$205,MATCH(C305,'CAD_RESÍDUOS'!$B$6:$B$205,0))&amp;"")</f>
        <v/>
      </c>
      <c r="G305" s="98" t="n"/>
      <c r="H305" s="91" t="n"/>
      <c r="I305" s="93" t="str">
        <f>IF(R305=0,"",IF(NOT(ISNUMBER(G305)),"",IF(ISNUMBER(X305),G305*X305,"UNIDADE A CONFERIR")))</f>
        <v/>
      </c>
      <c r="J305" s="91" t="n"/>
      <c r="K305" s="91" t="n"/>
      <c r="L305" s="93" t="str">
        <f>IF(R305=0,"",SUMIFS('RECEBIMENTOS'!$H$6:$H$1005,'RECEBIMENTOS'!$R$6:$R$1005,A305,'RECEBIMENTOS'!$X$6:$X$1005,1))</f>
        <v/>
      </c>
      <c r="M305" s="93" t="str">
        <f>IF(R305=0,"",SUMIFS('VÍNCULOS_CDF'!$H$6:$H$1005,'VÍNCULOS_CDF'!$R$6:$R$1005,A305,'VÍNCULOS_CDF'!$V$6:$V$1005,1))</f>
        <v/>
      </c>
      <c r="N305" s="99" t="str">
        <f>IF(OR(R305=0,AA305=0,NOT(ISNUMBER(I305))),"",I305-N(L305))</f>
        <v/>
      </c>
      <c r="O305" s="100" t="str">
        <f>IF(OR(R305=0,AK305&lt;=0),"",N(M305)/AK305)</f>
        <v/>
      </c>
      <c r="P305" s="94" t="str">
        <f>IF(R305=0,"",IF(S305="","Sem MTR associado",IF(U305=0,"MTR inexistente",IF(C305="","Resíduo não identificado",IF(V305=0,"Resíduo fora do cadastro",IF(W305=0,"Quantidade inválida",IF(H305="","Unidade não informada",IF(NOT(ISNUMBER(I305)),"Unidade a conferir",IF(AND(AH305=1,K305&lt;&gt;"Sim"),"Possível duplicidade",IF(Z305=1,"MTR cancelado",IF(AC305&gt;0,"Recebimento com alerta",IF(AA305=0,"Aguardando recebimento",IF(AB305&lt;AA305,"Recebimento a conferir",IF(AM305=1,"Quantidade a revisar",IF(AF305&gt;0,"Vínculo a revisar",IF(AD305=0,"Aguardando CDF",IF(AN305=0,"Vínculo de CDF parcial",IF(AE305&lt;AD305,"CDF a conferir","Documentação conferida"))))))))))))))))))</f>
        <v/>
      </c>
      <c r="Q305" s="93" t="str">
        <f>IF(OR(R305=0,AA305=0),"",MAX(0,N(L305)-N(M305)))</f>
        <v/>
      </c>
      <c r="R305" s="96">
        <f>IF(COUNTA(B305:C305,G305:H305,J305:K305)&gt;0,1,0)</f>
        <v>0</v>
      </c>
      <c r="S305" s="96" t="str">
        <f>IF(B305="","",TRIM(LEFT(B305,FIND(" |",B305&amp;" |")-1)))</f>
        <v/>
      </c>
      <c r="T305" s="96" t="str">
        <f>IF(S305="","",IFERROR(MATCH(S305,'MTRs'!$A$6:$A$505,0),""))</f>
        <v/>
      </c>
      <c r="U305" s="96">
        <f>IF(T305="",0,IF(INDEX('MTRs'!$Z$6:$Z$505,T305)=1,1,0))</f>
        <v>0</v>
      </c>
      <c r="V305" s="96">
        <f>IF(C305="",0,IF(ISNUMBER(MATCH(C305,'CAD_RESÍDUOS'!$B$6:$B$205,0)),1,0))</f>
        <v>0</v>
      </c>
      <c r="W305" s="96">
        <f>IF(AND(ISNUMBER(G305),G305&gt;0),1,0)</f>
        <v>0</v>
      </c>
      <c r="X305" s="96" t="str">
        <f>IF(H305="","",IFERROR(IF(ISNUMBER(INDEX(cfg_fac,MATCH(H305,cfg_units,0))),IF(INDEX(cfg_fac,MATCH(H305,cfg_units,0))&gt;0,INDEX(cfg_fac,MATCH(H305,cfg_units,0)),""),""),""))</f>
        <v/>
      </c>
      <c r="Y305" s="96">
        <f>IF(AND(W305=1,ISNUMBER(I305)),1,0)</f>
        <v>0</v>
      </c>
      <c r="Z305" s="96">
        <f>IF(U305=1,INDEX('MTRs'!$AA$6:$AA$505,T305),0)</f>
        <v>0</v>
      </c>
      <c r="AA305" s="96">
        <f>IF(R305=0,0,COUNTIFS('RECEBIMENTOS'!$R$6:$R$1005,A305,'RECEBIMENTOS'!$Q$6:$Q$1005,1))</f>
        <v>0</v>
      </c>
      <c r="AB305" s="96">
        <f>IF(R305=0,0,COUNTIFS('RECEBIMENTOS'!$R$6:$R$1005,A305,'RECEBIMENTOS'!$Z$6:$Z$1005,1))</f>
        <v>0</v>
      </c>
      <c r="AC305" s="96">
        <f>IF(R305=0,0,COUNTIFS('RECEBIMENTOS'!$R$6:$R$1005,A305,'RECEBIMENTOS'!$Y$6:$Y$1005,1))</f>
        <v>0</v>
      </c>
      <c r="AD305" s="96">
        <f>IF(R305=0,0,COUNTIFS('VÍNCULOS_CDF'!$R$6:$R$1005,A305,'VÍNCULOS_CDF'!$N$6:$N$1005,1))</f>
        <v>0</v>
      </c>
      <c r="AE305" s="96">
        <f>IF(R305=0,0,COUNTIFS('VÍNCULOS_CDF'!$R$6:$R$1005,A305,'VÍNCULOS_CDF'!$AA$6:$AA$1005,1))</f>
        <v>0</v>
      </c>
      <c r="AF305" s="96">
        <f>IF(R305=0,0,COUNTIFS('VÍNCULOS_CDF'!$R$6:$R$1005,A305,'VÍNCULOS_CDF'!$Y$6:$Y$1005,1))</f>
        <v>0</v>
      </c>
      <c r="AG305" s="96" t="str">
        <f>IF(AND(R305=1,S305&lt;&gt;"",C305&lt;&gt;""),S305&amp;"|"&amp;C305&amp;"|"&amp;G305&amp;"|"&amp;H305,"")</f>
        <v/>
      </c>
      <c r="AH305" s="96">
        <f>IF(AG305="",0,IF(SUMPRODUCT(--($AG$6:$AG$1005=AG305))&gt;1,1,0))</f>
        <v>0</v>
      </c>
      <c r="AI305" s="96">
        <f>IF(R305=0,0,IF(OR(U305=0,V305=0,Y305=0,AND(AH305=1,K305&lt;&gt;"Sim")),1,0))</f>
        <v>0</v>
      </c>
      <c r="AJ305" s="96">
        <f>IF(AND(R305=1,AA305&gt;0,AB305=AA305),1,0)</f>
        <v>0</v>
      </c>
      <c r="AK305" s="96">
        <f>IF(R305=0,0,IF(AA305&gt;0,N(L305),IF(ISNUMBER(I305),I305,0)))</f>
        <v>0</v>
      </c>
      <c r="AL305" s="96">
        <f>IF(R305=0,0,IF(AND(K305&lt;&gt;"Sim",N(M305)&gt;AK305+cfg_tol),1,0))</f>
        <v>0</v>
      </c>
      <c r="AM305" s="96">
        <f>IF(R305=0,0,IF(K305="Sim",0,IF(OR(AND(AA305&gt;0,ISNUMBER(I305),ABS(I305-N(L305))&gt;cfg_tol),AL305=1),1,0)))</f>
        <v>0</v>
      </c>
      <c r="AN305" s="96">
        <f>IF(AND(R305=1,N(M305)&gt;0,OR(N(M305)&gt;=AK305-cfg_tol,K305="Sim")),1,0)</f>
        <v>0</v>
      </c>
      <c r="AO305" s="96">
        <f>IF(AND(AN305=1,AD305&gt;0,AE305=AD305,AL305=0),1,0)</f>
        <v>0</v>
      </c>
      <c r="AP305" s="96">
        <f>IF(U305=0,0,IF(AND(INDEX('MTRs'!$AX$6:$AX$505,T305)=1,Z305=0,OR(f_res="",f_res="(Todos)",C305=f_res)),1,0))</f>
        <v>0</v>
      </c>
      <c r="AQ305" s="97" t="str">
        <f>IF(U305=0,"",INDEX('MTRs'!$AZ$6:$AZ$505,T305))</f>
        <v/>
      </c>
      <c r="AR305" s="96">
        <f>IF(U305=0,0,IF(AND(INDEX('MTRs'!$BA$6:$BA$505,T305)=1,Z305=0),1,0))</f>
        <v>0</v>
      </c>
      <c r="AS305" s="96" t="str">
        <f>IF(R305=1,A305&amp;" | MTR "&amp;IF(U305=1,INDEX('MTRs'!$B$6:$B$505,T305)&amp;"","?")&amp;" | "&amp;IF(C305="","(sem resíduo)",C305),"")</f>
        <v/>
      </c>
      <c r="AT305" s="96" t="str">
        <f>IF(R305=1,COUNTIF($R$6:R305,1),"")</f>
        <v/>
      </c>
      <c r="AU305" s="96" t="str">
        <f>IF(U305=1,INDEX('MTRs'!$I$6:$I$505,T305)&amp;"","")</f>
        <v/>
      </c>
    </row>
    <row r="306">
      <c r="A306" s="89" t="inlineStr">
        <is>
          <t>IT-000301</t>
        </is>
      </c>
      <c r="B306" s="91" t="n"/>
      <c r="C306" s="91" t="n"/>
      <c r="D306" s="94" t="str">
        <f>IF(OR(R306=0,V306=0),"",INDEX('CAD_RESÍDUOS'!$E$6:$E$205,MATCH(C306,'CAD_RESÍDUOS'!$B$6:$B$205,0))&amp;"")</f>
        <v/>
      </c>
      <c r="E306" s="94" t="str">
        <f>IF(OR(R306=0,V306=0),"",INDEX('CAD_RESÍDUOS'!$C$6:$C$205,MATCH(C306,'CAD_RESÍDUOS'!$B$6:$B$205,0))&amp;"")</f>
        <v/>
      </c>
      <c r="F306" s="94" t="str">
        <f>IF(OR(R306=0,V306=0),"",INDEX('CAD_RESÍDUOS'!$G$6:$G$205,MATCH(C306,'CAD_RESÍDUOS'!$B$6:$B$205,0))&amp;"")</f>
        <v/>
      </c>
      <c r="G306" s="98" t="n"/>
      <c r="H306" s="91" t="n"/>
      <c r="I306" s="93" t="str">
        <f>IF(R306=0,"",IF(NOT(ISNUMBER(G306)),"",IF(ISNUMBER(X306),G306*X306,"UNIDADE A CONFERIR")))</f>
        <v/>
      </c>
      <c r="J306" s="91" t="n"/>
      <c r="K306" s="91" t="n"/>
      <c r="L306" s="93" t="str">
        <f>IF(R306=0,"",SUMIFS('RECEBIMENTOS'!$H$6:$H$1005,'RECEBIMENTOS'!$R$6:$R$1005,A306,'RECEBIMENTOS'!$X$6:$X$1005,1))</f>
        <v/>
      </c>
      <c r="M306" s="93" t="str">
        <f>IF(R306=0,"",SUMIFS('VÍNCULOS_CDF'!$H$6:$H$1005,'VÍNCULOS_CDF'!$R$6:$R$1005,A306,'VÍNCULOS_CDF'!$V$6:$V$1005,1))</f>
        <v/>
      </c>
      <c r="N306" s="99" t="str">
        <f>IF(OR(R306=0,AA306=0,NOT(ISNUMBER(I306))),"",I306-N(L306))</f>
        <v/>
      </c>
      <c r="O306" s="100" t="str">
        <f>IF(OR(R306=0,AK306&lt;=0),"",N(M306)/AK306)</f>
        <v/>
      </c>
      <c r="P306" s="94" t="str">
        <f>IF(R306=0,"",IF(S306="","Sem MTR associado",IF(U306=0,"MTR inexistente",IF(C306="","Resíduo não identificado",IF(V306=0,"Resíduo fora do cadastro",IF(W306=0,"Quantidade inválida",IF(H306="","Unidade não informada",IF(NOT(ISNUMBER(I306)),"Unidade a conferir",IF(AND(AH306=1,K306&lt;&gt;"Sim"),"Possível duplicidade",IF(Z306=1,"MTR cancelado",IF(AC306&gt;0,"Recebimento com alerta",IF(AA306=0,"Aguardando recebimento",IF(AB306&lt;AA306,"Recebimento a conferir",IF(AM306=1,"Quantidade a revisar",IF(AF306&gt;0,"Vínculo a revisar",IF(AD306=0,"Aguardando CDF",IF(AN306=0,"Vínculo de CDF parcial",IF(AE306&lt;AD306,"CDF a conferir","Documentação conferida"))))))))))))))))))</f>
        <v/>
      </c>
      <c r="Q306" s="93" t="str">
        <f>IF(OR(R306=0,AA306=0),"",MAX(0,N(L306)-N(M306)))</f>
        <v/>
      </c>
      <c r="R306" s="96">
        <f>IF(COUNTA(B306:C306,G306:H306,J306:K306)&gt;0,1,0)</f>
        <v>0</v>
      </c>
      <c r="S306" s="96" t="str">
        <f>IF(B306="","",TRIM(LEFT(B306,FIND(" |",B306&amp;" |")-1)))</f>
        <v/>
      </c>
      <c r="T306" s="96" t="str">
        <f>IF(S306="","",IFERROR(MATCH(S306,'MTRs'!$A$6:$A$505,0),""))</f>
        <v/>
      </c>
      <c r="U306" s="96">
        <f>IF(T306="",0,IF(INDEX('MTRs'!$Z$6:$Z$505,T306)=1,1,0))</f>
        <v>0</v>
      </c>
      <c r="V306" s="96">
        <f>IF(C306="",0,IF(ISNUMBER(MATCH(C306,'CAD_RESÍDUOS'!$B$6:$B$205,0)),1,0))</f>
        <v>0</v>
      </c>
      <c r="W306" s="96">
        <f>IF(AND(ISNUMBER(G306),G306&gt;0),1,0)</f>
        <v>0</v>
      </c>
      <c r="X306" s="96" t="str">
        <f>IF(H306="","",IFERROR(IF(ISNUMBER(INDEX(cfg_fac,MATCH(H306,cfg_units,0))),IF(INDEX(cfg_fac,MATCH(H306,cfg_units,0))&gt;0,INDEX(cfg_fac,MATCH(H306,cfg_units,0)),""),""),""))</f>
        <v/>
      </c>
      <c r="Y306" s="96">
        <f>IF(AND(W306=1,ISNUMBER(I306)),1,0)</f>
        <v>0</v>
      </c>
      <c r="Z306" s="96">
        <f>IF(U306=1,INDEX('MTRs'!$AA$6:$AA$505,T306),0)</f>
        <v>0</v>
      </c>
      <c r="AA306" s="96">
        <f>IF(R306=0,0,COUNTIFS('RECEBIMENTOS'!$R$6:$R$1005,A306,'RECEBIMENTOS'!$Q$6:$Q$1005,1))</f>
        <v>0</v>
      </c>
      <c r="AB306" s="96">
        <f>IF(R306=0,0,COUNTIFS('RECEBIMENTOS'!$R$6:$R$1005,A306,'RECEBIMENTOS'!$Z$6:$Z$1005,1))</f>
        <v>0</v>
      </c>
      <c r="AC306" s="96">
        <f>IF(R306=0,0,COUNTIFS('RECEBIMENTOS'!$R$6:$R$1005,A306,'RECEBIMENTOS'!$Y$6:$Y$1005,1))</f>
        <v>0</v>
      </c>
      <c r="AD306" s="96">
        <f>IF(R306=0,0,COUNTIFS('VÍNCULOS_CDF'!$R$6:$R$1005,A306,'VÍNCULOS_CDF'!$N$6:$N$1005,1))</f>
        <v>0</v>
      </c>
      <c r="AE306" s="96">
        <f>IF(R306=0,0,COUNTIFS('VÍNCULOS_CDF'!$R$6:$R$1005,A306,'VÍNCULOS_CDF'!$AA$6:$AA$1005,1))</f>
        <v>0</v>
      </c>
      <c r="AF306" s="96">
        <f>IF(R306=0,0,COUNTIFS('VÍNCULOS_CDF'!$R$6:$R$1005,A306,'VÍNCULOS_CDF'!$Y$6:$Y$1005,1))</f>
        <v>0</v>
      </c>
      <c r="AG306" s="96" t="str">
        <f>IF(AND(R306=1,S306&lt;&gt;"",C306&lt;&gt;""),S306&amp;"|"&amp;C306&amp;"|"&amp;G306&amp;"|"&amp;H306,"")</f>
        <v/>
      </c>
      <c r="AH306" s="96">
        <f>IF(AG306="",0,IF(SUMPRODUCT(--($AG$6:$AG$1005=AG306))&gt;1,1,0))</f>
        <v>0</v>
      </c>
      <c r="AI306" s="96">
        <f>IF(R306=0,0,IF(OR(U306=0,V306=0,Y306=0,AND(AH306=1,K306&lt;&gt;"Sim")),1,0))</f>
        <v>0</v>
      </c>
      <c r="AJ306" s="96">
        <f>IF(AND(R306=1,AA306&gt;0,AB306=AA306),1,0)</f>
        <v>0</v>
      </c>
      <c r="AK306" s="96">
        <f>IF(R306=0,0,IF(AA306&gt;0,N(L306),IF(ISNUMBER(I306),I306,0)))</f>
        <v>0</v>
      </c>
      <c r="AL306" s="96">
        <f>IF(R306=0,0,IF(AND(K306&lt;&gt;"Sim",N(M306)&gt;AK306+cfg_tol),1,0))</f>
        <v>0</v>
      </c>
      <c r="AM306" s="96">
        <f>IF(R306=0,0,IF(K306="Sim",0,IF(OR(AND(AA306&gt;0,ISNUMBER(I306),ABS(I306-N(L306))&gt;cfg_tol),AL306=1),1,0)))</f>
        <v>0</v>
      </c>
      <c r="AN306" s="96">
        <f>IF(AND(R306=1,N(M306)&gt;0,OR(N(M306)&gt;=AK306-cfg_tol,K306="Sim")),1,0)</f>
        <v>0</v>
      </c>
      <c r="AO306" s="96">
        <f>IF(AND(AN306=1,AD306&gt;0,AE306=AD306,AL306=0),1,0)</f>
        <v>0</v>
      </c>
      <c r="AP306" s="96">
        <f>IF(U306=0,0,IF(AND(INDEX('MTRs'!$AX$6:$AX$505,T306)=1,Z306=0,OR(f_res="",f_res="(Todos)",C306=f_res)),1,0))</f>
        <v>0</v>
      </c>
      <c r="AQ306" s="97" t="str">
        <f>IF(U306=0,"",INDEX('MTRs'!$AZ$6:$AZ$505,T306))</f>
        <v/>
      </c>
      <c r="AR306" s="96">
        <f>IF(U306=0,0,IF(AND(INDEX('MTRs'!$BA$6:$BA$505,T306)=1,Z306=0),1,0))</f>
        <v>0</v>
      </c>
      <c r="AS306" s="96" t="str">
        <f>IF(R306=1,A306&amp;" | MTR "&amp;IF(U306=1,INDEX('MTRs'!$B$6:$B$505,T306)&amp;"","?")&amp;" | "&amp;IF(C306="","(sem resíduo)",C306),"")</f>
        <v/>
      </c>
      <c r="AT306" s="96" t="str">
        <f>IF(R306=1,COUNTIF($R$6:R306,1),"")</f>
        <v/>
      </c>
      <c r="AU306" s="96" t="str">
        <f>IF(U306=1,INDEX('MTRs'!$I$6:$I$505,T306)&amp;"","")</f>
        <v/>
      </c>
    </row>
    <row r="307">
      <c r="A307" s="89" t="inlineStr">
        <is>
          <t>IT-000302</t>
        </is>
      </c>
      <c r="B307" s="91" t="n"/>
      <c r="C307" s="91" t="n"/>
      <c r="D307" s="94" t="str">
        <f>IF(OR(R307=0,V307=0),"",INDEX('CAD_RESÍDUOS'!$E$6:$E$205,MATCH(C307,'CAD_RESÍDUOS'!$B$6:$B$205,0))&amp;"")</f>
        <v/>
      </c>
      <c r="E307" s="94" t="str">
        <f>IF(OR(R307=0,V307=0),"",INDEX('CAD_RESÍDUOS'!$C$6:$C$205,MATCH(C307,'CAD_RESÍDUOS'!$B$6:$B$205,0))&amp;"")</f>
        <v/>
      </c>
      <c r="F307" s="94" t="str">
        <f>IF(OR(R307=0,V307=0),"",INDEX('CAD_RESÍDUOS'!$G$6:$G$205,MATCH(C307,'CAD_RESÍDUOS'!$B$6:$B$205,0))&amp;"")</f>
        <v/>
      </c>
      <c r="G307" s="98" t="n"/>
      <c r="H307" s="91" t="n"/>
      <c r="I307" s="93" t="str">
        <f>IF(R307=0,"",IF(NOT(ISNUMBER(G307)),"",IF(ISNUMBER(X307),G307*X307,"UNIDADE A CONFERIR")))</f>
        <v/>
      </c>
      <c r="J307" s="91" t="n"/>
      <c r="K307" s="91" t="n"/>
      <c r="L307" s="93" t="str">
        <f>IF(R307=0,"",SUMIFS('RECEBIMENTOS'!$H$6:$H$1005,'RECEBIMENTOS'!$R$6:$R$1005,A307,'RECEBIMENTOS'!$X$6:$X$1005,1))</f>
        <v/>
      </c>
      <c r="M307" s="93" t="str">
        <f>IF(R307=0,"",SUMIFS('VÍNCULOS_CDF'!$H$6:$H$1005,'VÍNCULOS_CDF'!$R$6:$R$1005,A307,'VÍNCULOS_CDF'!$V$6:$V$1005,1))</f>
        <v/>
      </c>
      <c r="N307" s="99" t="str">
        <f>IF(OR(R307=0,AA307=0,NOT(ISNUMBER(I307))),"",I307-N(L307))</f>
        <v/>
      </c>
      <c r="O307" s="100" t="str">
        <f>IF(OR(R307=0,AK307&lt;=0),"",N(M307)/AK307)</f>
        <v/>
      </c>
      <c r="P307" s="94" t="str">
        <f>IF(R307=0,"",IF(S307="","Sem MTR associado",IF(U307=0,"MTR inexistente",IF(C307="","Resíduo não identificado",IF(V307=0,"Resíduo fora do cadastro",IF(W307=0,"Quantidade inválida",IF(H307="","Unidade não informada",IF(NOT(ISNUMBER(I307)),"Unidade a conferir",IF(AND(AH307=1,K307&lt;&gt;"Sim"),"Possível duplicidade",IF(Z307=1,"MTR cancelado",IF(AC307&gt;0,"Recebimento com alerta",IF(AA307=0,"Aguardando recebimento",IF(AB307&lt;AA307,"Recebimento a conferir",IF(AM307=1,"Quantidade a revisar",IF(AF307&gt;0,"Vínculo a revisar",IF(AD307=0,"Aguardando CDF",IF(AN307=0,"Vínculo de CDF parcial",IF(AE307&lt;AD307,"CDF a conferir","Documentação conferida"))))))))))))))))))</f>
        <v/>
      </c>
      <c r="Q307" s="93" t="str">
        <f>IF(OR(R307=0,AA307=0),"",MAX(0,N(L307)-N(M307)))</f>
        <v/>
      </c>
      <c r="R307" s="96">
        <f>IF(COUNTA(B307:C307,G307:H307,J307:K307)&gt;0,1,0)</f>
        <v>0</v>
      </c>
      <c r="S307" s="96" t="str">
        <f>IF(B307="","",TRIM(LEFT(B307,FIND(" |",B307&amp;" |")-1)))</f>
        <v/>
      </c>
      <c r="T307" s="96" t="str">
        <f>IF(S307="","",IFERROR(MATCH(S307,'MTRs'!$A$6:$A$505,0),""))</f>
        <v/>
      </c>
      <c r="U307" s="96">
        <f>IF(T307="",0,IF(INDEX('MTRs'!$Z$6:$Z$505,T307)=1,1,0))</f>
        <v>0</v>
      </c>
      <c r="V307" s="96">
        <f>IF(C307="",0,IF(ISNUMBER(MATCH(C307,'CAD_RESÍDUOS'!$B$6:$B$205,0)),1,0))</f>
        <v>0</v>
      </c>
      <c r="W307" s="96">
        <f>IF(AND(ISNUMBER(G307),G307&gt;0),1,0)</f>
        <v>0</v>
      </c>
      <c r="X307" s="96" t="str">
        <f>IF(H307="","",IFERROR(IF(ISNUMBER(INDEX(cfg_fac,MATCH(H307,cfg_units,0))),IF(INDEX(cfg_fac,MATCH(H307,cfg_units,0))&gt;0,INDEX(cfg_fac,MATCH(H307,cfg_units,0)),""),""),""))</f>
        <v/>
      </c>
      <c r="Y307" s="96">
        <f>IF(AND(W307=1,ISNUMBER(I307)),1,0)</f>
        <v>0</v>
      </c>
      <c r="Z307" s="96">
        <f>IF(U307=1,INDEX('MTRs'!$AA$6:$AA$505,T307),0)</f>
        <v>0</v>
      </c>
      <c r="AA307" s="96">
        <f>IF(R307=0,0,COUNTIFS('RECEBIMENTOS'!$R$6:$R$1005,A307,'RECEBIMENTOS'!$Q$6:$Q$1005,1))</f>
        <v>0</v>
      </c>
      <c r="AB307" s="96">
        <f>IF(R307=0,0,COUNTIFS('RECEBIMENTOS'!$R$6:$R$1005,A307,'RECEBIMENTOS'!$Z$6:$Z$1005,1))</f>
        <v>0</v>
      </c>
      <c r="AC307" s="96">
        <f>IF(R307=0,0,COUNTIFS('RECEBIMENTOS'!$R$6:$R$1005,A307,'RECEBIMENTOS'!$Y$6:$Y$1005,1))</f>
        <v>0</v>
      </c>
      <c r="AD307" s="96">
        <f>IF(R307=0,0,COUNTIFS('VÍNCULOS_CDF'!$R$6:$R$1005,A307,'VÍNCULOS_CDF'!$N$6:$N$1005,1))</f>
        <v>0</v>
      </c>
      <c r="AE307" s="96">
        <f>IF(R307=0,0,COUNTIFS('VÍNCULOS_CDF'!$R$6:$R$1005,A307,'VÍNCULOS_CDF'!$AA$6:$AA$1005,1))</f>
        <v>0</v>
      </c>
      <c r="AF307" s="96">
        <f>IF(R307=0,0,COUNTIFS('VÍNCULOS_CDF'!$R$6:$R$1005,A307,'VÍNCULOS_CDF'!$Y$6:$Y$1005,1))</f>
        <v>0</v>
      </c>
      <c r="AG307" s="96" t="str">
        <f>IF(AND(R307=1,S307&lt;&gt;"",C307&lt;&gt;""),S307&amp;"|"&amp;C307&amp;"|"&amp;G307&amp;"|"&amp;H307,"")</f>
        <v/>
      </c>
      <c r="AH307" s="96">
        <f>IF(AG307="",0,IF(SUMPRODUCT(--($AG$6:$AG$1005=AG307))&gt;1,1,0))</f>
        <v>0</v>
      </c>
      <c r="AI307" s="96">
        <f>IF(R307=0,0,IF(OR(U307=0,V307=0,Y307=0,AND(AH307=1,K307&lt;&gt;"Sim")),1,0))</f>
        <v>0</v>
      </c>
      <c r="AJ307" s="96">
        <f>IF(AND(R307=1,AA307&gt;0,AB307=AA307),1,0)</f>
        <v>0</v>
      </c>
      <c r="AK307" s="96">
        <f>IF(R307=0,0,IF(AA307&gt;0,N(L307),IF(ISNUMBER(I307),I307,0)))</f>
        <v>0</v>
      </c>
      <c r="AL307" s="96">
        <f>IF(R307=0,0,IF(AND(K307&lt;&gt;"Sim",N(M307)&gt;AK307+cfg_tol),1,0))</f>
        <v>0</v>
      </c>
      <c r="AM307" s="96">
        <f>IF(R307=0,0,IF(K307="Sim",0,IF(OR(AND(AA307&gt;0,ISNUMBER(I307),ABS(I307-N(L307))&gt;cfg_tol),AL307=1),1,0)))</f>
        <v>0</v>
      </c>
      <c r="AN307" s="96">
        <f>IF(AND(R307=1,N(M307)&gt;0,OR(N(M307)&gt;=AK307-cfg_tol,K307="Sim")),1,0)</f>
        <v>0</v>
      </c>
      <c r="AO307" s="96">
        <f>IF(AND(AN307=1,AD307&gt;0,AE307=AD307,AL307=0),1,0)</f>
        <v>0</v>
      </c>
      <c r="AP307" s="96">
        <f>IF(U307=0,0,IF(AND(INDEX('MTRs'!$AX$6:$AX$505,T307)=1,Z307=0,OR(f_res="",f_res="(Todos)",C307=f_res)),1,0))</f>
        <v>0</v>
      </c>
      <c r="AQ307" s="97" t="str">
        <f>IF(U307=0,"",INDEX('MTRs'!$AZ$6:$AZ$505,T307))</f>
        <v/>
      </c>
      <c r="AR307" s="96">
        <f>IF(U307=0,0,IF(AND(INDEX('MTRs'!$BA$6:$BA$505,T307)=1,Z307=0),1,0))</f>
        <v>0</v>
      </c>
      <c r="AS307" s="96" t="str">
        <f>IF(R307=1,A307&amp;" | MTR "&amp;IF(U307=1,INDEX('MTRs'!$B$6:$B$505,T307)&amp;"","?")&amp;" | "&amp;IF(C307="","(sem resíduo)",C307),"")</f>
        <v/>
      </c>
      <c r="AT307" s="96" t="str">
        <f>IF(R307=1,COUNTIF($R$6:R307,1),"")</f>
        <v/>
      </c>
      <c r="AU307" s="96" t="str">
        <f>IF(U307=1,INDEX('MTRs'!$I$6:$I$505,T307)&amp;"","")</f>
        <v/>
      </c>
    </row>
    <row r="308">
      <c r="A308" s="89" t="inlineStr">
        <is>
          <t>IT-000303</t>
        </is>
      </c>
      <c r="B308" s="91" t="n"/>
      <c r="C308" s="91" t="n"/>
      <c r="D308" s="94" t="str">
        <f>IF(OR(R308=0,V308=0),"",INDEX('CAD_RESÍDUOS'!$E$6:$E$205,MATCH(C308,'CAD_RESÍDUOS'!$B$6:$B$205,0))&amp;"")</f>
        <v/>
      </c>
      <c r="E308" s="94" t="str">
        <f>IF(OR(R308=0,V308=0),"",INDEX('CAD_RESÍDUOS'!$C$6:$C$205,MATCH(C308,'CAD_RESÍDUOS'!$B$6:$B$205,0))&amp;"")</f>
        <v/>
      </c>
      <c r="F308" s="94" t="str">
        <f>IF(OR(R308=0,V308=0),"",INDEX('CAD_RESÍDUOS'!$G$6:$G$205,MATCH(C308,'CAD_RESÍDUOS'!$B$6:$B$205,0))&amp;"")</f>
        <v/>
      </c>
      <c r="G308" s="98" t="n"/>
      <c r="H308" s="91" t="n"/>
      <c r="I308" s="93" t="str">
        <f>IF(R308=0,"",IF(NOT(ISNUMBER(G308)),"",IF(ISNUMBER(X308),G308*X308,"UNIDADE A CONFERIR")))</f>
        <v/>
      </c>
      <c r="J308" s="91" t="n"/>
      <c r="K308" s="91" t="n"/>
      <c r="L308" s="93" t="str">
        <f>IF(R308=0,"",SUMIFS('RECEBIMENTOS'!$H$6:$H$1005,'RECEBIMENTOS'!$R$6:$R$1005,A308,'RECEBIMENTOS'!$X$6:$X$1005,1))</f>
        <v/>
      </c>
      <c r="M308" s="93" t="str">
        <f>IF(R308=0,"",SUMIFS('VÍNCULOS_CDF'!$H$6:$H$1005,'VÍNCULOS_CDF'!$R$6:$R$1005,A308,'VÍNCULOS_CDF'!$V$6:$V$1005,1))</f>
        <v/>
      </c>
      <c r="N308" s="99" t="str">
        <f>IF(OR(R308=0,AA308=0,NOT(ISNUMBER(I308))),"",I308-N(L308))</f>
        <v/>
      </c>
      <c r="O308" s="100" t="str">
        <f>IF(OR(R308=0,AK308&lt;=0),"",N(M308)/AK308)</f>
        <v/>
      </c>
      <c r="P308" s="94" t="str">
        <f>IF(R308=0,"",IF(S308="","Sem MTR associado",IF(U308=0,"MTR inexistente",IF(C308="","Resíduo não identificado",IF(V308=0,"Resíduo fora do cadastro",IF(W308=0,"Quantidade inválida",IF(H308="","Unidade não informada",IF(NOT(ISNUMBER(I308)),"Unidade a conferir",IF(AND(AH308=1,K308&lt;&gt;"Sim"),"Possível duplicidade",IF(Z308=1,"MTR cancelado",IF(AC308&gt;0,"Recebimento com alerta",IF(AA308=0,"Aguardando recebimento",IF(AB308&lt;AA308,"Recebimento a conferir",IF(AM308=1,"Quantidade a revisar",IF(AF308&gt;0,"Vínculo a revisar",IF(AD308=0,"Aguardando CDF",IF(AN308=0,"Vínculo de CDF parcial",IF(AE308&lt;AD308,"CDF a conferir","Documentação conferida"))))))))))))))))))</f>
        <v/>
      </c>
      <c r="Q308" s="93" t="str">
        <f>IF(OR(R308=0,AA308=0),"",MAX(0,N(L308)-N(M308)))</f>
        <v/>
      </c>
      <c r="R308" s="96">
        <f>IF(COUNTA(B308:C308,G308:H308,J308:K308)&gt;0,1,0)</f>
        <v>0</v>
      </c>
      <c r="S308" s="96" t="str">
        <f>IF(B308="","",TRIM(LEFT(B308,FIND(" |",B308&amp;" |")-1)))</f>
        <v/>
      </c>
      <c r="T308" s="96" t="str">
        <f>IF(S308="","",IFERROR(MATCH(S308,'MTRs'!$A$6:$A$505,0),""))</f>
        <v/>
      </c>
      <c r="U308" s="96">
        <f>IF(T308="",0,IF(INDEX('MTRs'!$Z$6:$Z$505,T308)=1,1,0))</f>
        <v>0</v>
      </c>
      <c r="V308" s="96">
        <f>IF(C308="",0,IF(ISNUMBER(MATCH(C308,'CAD_RESÍDUOS'!$B$6:$B$205,0)),1,0))</f>
        <v>0</v>
      </c>
      <c r="W308" s="96">
        <f>IF(AND(ISNUMBER(G308),G308&gt;0),1,0)</f>
        <v>0</v>
      </c>
      <c r="X308" s="96" t="str">
        <f>IF(H308="","",IFERROR(IF(ISNUMBER(INDEX(cfg_fac,MATCH(H308,cfg_units,0))),IF(INDEX(cfg_fac,MATCH(H308,cfg_units,0))&gt;0,INDEX(cfg_fac,MATCH(H308,cfg_units,0)),""),""),""))</f>
        <v/>
      </c>
      <c r="Y308" s="96">
        <f>IF(AND(W308=1,ISNUMBER(I308)),1,0)</f>
        <v>0</v>
      </c>
      <c r="Z308" s="96">
        <f>IF(U308=1,INDEX('MTRs'!$AA$6:$AA$505,T308),0)</f>
        <v>0</v>
      </c>
      <c r="AA308" s="96">
        <f>IF(R308=0,0,COUNTIFS('RECEBIMENTOS'!$R$6:$R$1005,A308,'RECEBIMENTOS'!$Q$6:$Q$1005,1))</f>
        <v>0</v>
      </c>
      <c r="AB308" s="96">
        <f>IF(R308=0,0,COUNTIFS('RECEBIMENTOS'!$R$6:$R$1005,A308,'RECEBIMENTOS'!$Z$6:$Z$1005,1))</f>
        <v>0</v>
      </c>
      <c r="AC308" s="96">
        <f>IF(R308=0,0,COUNTIFS('RECEBIMENTOS'!$R$6:$R$1005,A308,'RECEBIMENTOS'!$Y$6:$Y$1005,1))</f>
        <v>0</v>
      </c>
      <c r="AD308" s="96">
        <f>IF(R308=0,0,COUNTIFS('VÍNCULOS_CDF'!$R$6:$R$1005,A308,'VÍNCULOS_CDF'!$N$6:$N$1005,1))</f>
        <v>0</v>
      </c>
      <c r="AE308" s="96">
        <f>IF(R308=0,0,COUNTIFS('VÍNCULOS_CDF'!$R$6:$R$1005,A308,'VÍNCULOS_CDF'!$AA$6:$AA$1005,1))</f>
        <v>0</v>
      </c>
      <c r="AF308" s="96">
        <f>IF(R308=0,0,COUNTIFS('VÍNCULOS_CDF'!$R$6:$R$1005,A308,'VÍNCULOS_CDF'!$Y$6:$Y$1005,1))</f>
        <v>0</v>
      </c>
      <c r="AG308" s="96" t="str">
        <f>IF(AND(R308=1,S308&lt;&gt;"",C308&lt;&gt;""),S308&amp;"|"&amp;C308&amp;"|"&amp;G308&amp;"|"&amp;H308,"")</f>
        <v/>
      </c>
      <c r="AH308" s="96">
        <f>IF(AG308="",0,IF(SUMPRODUCT(--($AG$6:$AG$1005=AG308))&gt;1,1,0))</f>
        <v>0</v>
      </c>
      <c r="AI308" s="96">
        <f>IF(R308=0,0,IF(OR(U308=0,V308=0,Y308=0,AND(AH308=1,K308&lt;&gt;"Sim")),1,0))</f>
        <v>0</v>
      </c>
      <c r="AJ308" s="96">
        <f>IF(AND(R308=1,AA308&gt;0,AB308=AA308),1,0)</f>
        <v>0</v>
      </c>
      <c r="AK308" s="96">
        <f>IF(R308=0,0,IF(AA308&gt;0,N(L308),IF(ISNUMBER(I308),I308,0)))</f>
        <v>0</v>
      </c>
      <c r="AL308" s="96">
        <f>IF(R308=0,0,IF(AND(K308&lt;&gt;"Sim",N(M308)&gt;AK308+cfg_tol),1,0))</f>
        <v>0</v>
      </c>
      <c r="AM308" s="96">
        <f>IF(R308=0,0,IF(K308="Sim",0,IF(OR(AND(AA308&gt;0,ISNUMBER(I308),ABS(I308-N(L308))&gt;cfg_tol),AL308=1),1,0)))</f>
        <v>0</v>
      </c>
      <c r="AN308" s="96">
        <f>IF(AND(R308=1,N(M308)&gt;0,OR(N(M308)&gt;=AK308-cfg_tol,K308="Sim")),1,0)</f>
        <v>0</v>
      </c>
      <c r="AO308" s="96">
        <f>IF(AND(AN308=1,AD308&gt;0,AE308=AD308,AL308=0),1,0)</f>
        <v>0</v>
      </c>
      <c r="AP308" s="96">
        <f>IF(U308=0,0,IF(AND(INDEX('MTRs'!$AX$6:$AX$505,T308)=1,Z308=0,OR(f_res="",f_res="(Todos)",C308=f_res)),1,0))</f>
        <v>0</v>
      </c>
      <c r="AQ308" s="97" t="str">
        <f>IF(U308=0,"",INDEX('MTRs'!$AZ$6:$AZ$505,T308))</f>
        <v/>
      </c>
      <c r="AR308" s="96">
        <f>IF(U308=0,0,IF(AND(INDEX('MTRs'!$BA$6:$BA$505,T308)=1,Z308=0),1,0))</f>
        <v>0</v>
      </c>
      <c r="AS308" s="96" t="str">
        <f>IF(R308=1,A308&amp;" | MTR "&amp;IF(U308=1,INDEX('MTRs'!$B$6:$B$505,T308)&amp;"","?")&amp;" | "&amp;IF(C308="","(sem resíduo)",C308),"")</f>
        <v/>
      </c>
      <c r="AT308" s="96" t="str">
        <f>IF(R308=1,COUNTIF($R$6:R308,1),"")</f>
        <v/>
      </c>
      <c r="AU308" s="96" t="str">
        <f>IF(U308=1,INDEX('MTRs'!$I$6:$I$505,T308)&amp;"","")</f>
        <v/>
      </c>
    </row>
    <row r="309">
      <c r="A309" s="89" t="inlineStr">
        <is>
          <t>IT-000304</t>
        </is>
      </c>
      <c r="B309" s="91" t="n"/>
      <c r="C309" s="91" t="n"/>
      <c r="D309" s="94" t="str">
        <f>IF(OR(R309=0,V309=0),"",INDEX('CAD_RESÍDUOS'!$E$6:$E$205,MATCH(C309,'CAD_RESÍDUOS'!$B$6:$B$205,0))&amp;"")</f>
        <v/>
      </c>
      <c r="E309" s="94" t="str">
        <f>IF(OR(R309=0,V309=0),"",INDEX('CAD_RESÍDUOS'!$C$6:$C$205,MATCH(C309,'CAD_RESÍDUOS'!$B$6:$B$205,0))&amp;"")</f>
        <v/>
      </c>
      <c r="F309" s="94" t="str">
        <f>IF(OR(R309=0,V309=0),"",INDEX('CAD_RESÍDUOS'!$G$6:$G$205,MATCH(C309,'CAD_RESÍDUOS'!$B$6:$B$205,0))&amp;"")</f>
        <v/>
      </c>
      <c r="G309" s="98" t="n"/>
      <c r="H309" s="91" t="n"/>
      <c r="I309" s="93" t="str">
        <f>IF(R309=0,"",IF(NOT(ISNUMBER(G309)),"",IF(ISNUMBER(X309),G309*X309,"UNIDADE A CONFERIR")))</f>
        <v/>
      </c>
      <c r="J309" s="91" t="n"/>
      <c r="K309" s="91" t="n"/>
      <c r="L309" s="93" t="str">
        <f>IF(R309=0,"",SUMIFS('RECEBIMENTOS'!$H$6:$H$1005,'RECEBIMENTOS'!$R$6:$R$1005,A309,'RECEBIMENTOS'!$X$6:$X$1005,1))</f>
        <v/>
      </c>
      <c r="M309" s="93" t="str">
        <f>IF(R309=0,"",SUMIFS('VÍNCULOS_CDF'!$H$6:$H$1005,'VÍNCULOS_CDF'!$R$6:$R$1005,A309,'VÍNCULOS_CDF'!$V$6:$V$1005,1))</f>
        <v/>
      </c>
      <c r="N309" s="99" t="str">
        <f>IF(OR(R309=0,AA309=0,NOT(ISNUMBER(I309))),"",I309-N(L309))</f>
        <v/>
      </c>
      <c r="O309" s="100" t="str">
        <f>IF(OR(R309=0,AK309&lt;=0),"",N(M309)/AK309)</f>
        <v/>
      </c>
      <c r="P309" s="94" t="str">
        <f>IF(R309=0,"",IF(S309="","Sem MTR associado",IF(U309=0,"MTR inexistente",IF(C309="","Resíduo não identificado",IF(V309=0,"Resíduo fora do cadastro",IF(W309=0,"Quantidade inválida",IF(H309="","Unidade não informada",IF(NOT(ISNUMBER(I309)),"Unidade a conferir",IF(AND(AH309=1,K309&lt;&gt;"Sim"),"Possível duplicidade",IF(Z309=1,"MTR cancelado",IF(AC309&gt;0,"Recebimento com alerta",IF(AA309=0,"Aguardando recebimento",IF(AB309&lt;AA309,"Recebimento a conferir",IF(AM309=1,"Quantidade a revisar",IF(AF309&gt;0,"Vínculo a revisar",IF(AD309=0,"Aguardando CDF",IF(AN309=0,"Vínculo de CDF parcial",IF(AE309&lt;AD309,"CDF a conferir","Documentação conferida"))))))))))))))))))</f>
        <v/>
      </c>
      <c r="Q309" s="93" t="str">
        <f>IF(OR(R309=0,AA309=0),"",MAX(0,N(L309)-N(M309)))</f>
        <v/>
      </c>
      <c r="R309" s="96">
        <f>IF(COUNTA(B309:C309,G309:H309,J309:K309)&gt;0,1,0)</f>
        <v>0</v>
      </c>
      <c r="S309" s="96" t="str">
        <f>IF(B309="","",TRIM(LEFT(B309,FIND(" |",B309&amp;" |")-1)))</f>
        <v/>
      </c>
      <c r="T309" s="96" t="str">
        <f>IF(S309="","",IFERROR(MATCH(S309,'MTRs'!$A$6:$A$505,0),""))</f>
        <v/>
      </c>
      <c r="U309" s="96">
        <f>IF(T309="",0,IF(INDEX('MTRs'!$Z$6:$Z$505,T309)=1,1,0))</f>
        <v>0</v>
      </c>
      <c r="V309" s="96">
        <f>IF(C309="",0,IF(ISNUMBER(MATCH(C309,'CAD_RESÍDUOS'!$B$6:$B$205,0)),1,0))</f>
        <v>0</v>
      </c>
      <c r="W309" s="96">
        <f>IF(AND(ISNUMBER(G309),G309&gt;0),1,0)</f>
        <v>0</v>
      </c>
      <c r="X309" s="96" t="str">
        <f>IF(H309="","",IFERROR(IF(ISNUMBER(INDEX(cfg_fac,MATCH(H309,cfg_units,0))),IF(INDEX(cfg_fac,MATCH(H309,cfg_units,0))&gt;0,INDEX(cfg_fac,MATCH(H309,cfg_units,0)),""),""),""))</f>
        <v/>
      </c>
      <c r="Y309" s="96">
        <f>IF(AND(W309=1,ISNUMBER(I309)),1,0)</f>
        <v>0</v>
      </c>
      <c r="Z309" s="96">
        <f>IF(U309=1,INDEX('MTRs'!$AA$6:$AA$505,T309),0)</f>
        <v>0</v>
      </c>
      <c r="AA309" s="96">
        <f>IF(R309=0,0,COUNTIFS('RECEBIMENTOS'!$R$6:$R$1005,A309,'RECEBIMENTOS'!$Q$6:$Q$1005,1))</f>
        <v>0</v>
      </c>
      <c r="AB309" s="96">
        <f>IF(R309=0,0,COUNTIFS('RECEBIMENTOS'!$R$6:$R$1005,A309,'RECEBIMENTOS'!$Z$6:$Z$1005,1))</f>
        <v>0</v>
      </c>
      <c r="AC309" s="96">
        <f>IF(R309=0,0,COUNTIFS('RECEBIMENTOS'!$R$6:$R$1005,A309,'RECEBIMENTOS'!$Y$6:$Y$1005,1))</f>
        <v>0</v>
      </c>
      <c r="AD309" s="96">
        <f>IF(R309=0,0,COUNTIFS('VÍNCULOS_CDF'!$R$6:$R$1005,A309,'VÍNCULOS_CDF'!$N$6:$N$1005,1))</f>
        <v>0</v>
      </c>
      <c r="AE309" s="96">
        <f>IF(R309=0,0,COUNTIFS('VÍNCULOS_CDF'!$R$6:$R$1005,A309,'VÍNCULOS_CDF'!$AA$6:$AA$1005,1))</f>
        <v>0</v>
      </c>
      <c r="AF309" s="96">
        <f>IF(R309=0,0,COUNTIFS('VÍNCULOS_CDF'!$R$6:$R$1005,A309,'VÍNCULOS_CDF'!$Y$6:$Y$1005,1))</f>
        <v>0</v>
      </c>
      <c r="AG309" s="96" t="str">
        <f>IF(AND(R309=1,S309&lt;&gt;"",C309&lt;&gt;""),S309&amp;"|"&amp;C309&amp;"|"&amp;G309&amp;"|"&amp;H309,"")</f>
        <v/>
      </c>
      <c r="AH309" s="96">
        <f>IF(AG309="",0,IF(SUMPRODUCT(--($AG$6:$AG$1005=AG309))&gt;1,1,0))</f>
        <v>0</v>
      </c>
      <c r="AI309" s="96">
        <f>IF(R309=0,0,IF(OR(U309=0,V309=0,Y309=0,AND(AH309=1,K309&lt;&gt;"Sim")),1,0))</f>
        <v>0</v>
      </c>
      <c r="AJ309" s="96">
        <f>IF(AND(R309=1,AA309&gt;0,AB309=AA309),1,0)</f>
        <v>0</v>
      </c>
      <c r="AK309" s="96">
        <f>IF(R309=0,0,IF(AA309&gt;0,N(L309),IF(ISNUMBER(I309),I309,0)))</f>
        <v>0</v>
      </c>
      <c r="AL309" s="96">
        <f>IF(R309=0,0,IF(AND(K309&lt;&gt;"Sim",N(M309)&gt;AK309+cfg_tol),1,0))</f>
        <v>0</v>
      </c>
      <c r="AM309" s="96">
        <f>IF(R309=0,0,IF(K309="Sim",0,IF(OR(AND(AA309&gt;0,ISNUMBER(I309),ABS(I309-N(L309))&gt;cfg_tol),AL309=1),1,0)))</f>
        <v>0</v>
      </c>
      <c r="AN309" s="96">
        <f>IF(AND(R309=1,N(M309)&gt;0,OR(N(M309)&gt;=AK309-cfg_tol,K309="Sim")),1,0)</f>
        <v>0</v>
      </c>
      <c r="AO309" s="96">
        <f>IF(AND(AN309=1,AD309&gt;0,AE309=AD309,AL309=0),1,0)</f>
        <v>0</v>
      </c>
      <c r="AP309" s="96">
        <f>IF(U309=0,0,IF(AND(INDEX('MTRs'!$AX$6:$AX$505,T309)=1,Z309=0,OR(f_res="",f_res="(Todos)",C309=f_res)),1,0))</f>
        <v>0</v>
      </c>
      <c r="AQ309" s="97" t="str">
        <f>IF(U309=0,"",INDEX('MTRs'!$AZ$6:$AZ$505,T309))</f>
        <v/>
      </c>
      <c r="AR309" s="96">
        <f>IF(U309=0,0,IF(AND(INDEX('MTRs'!$BA$6:$BA$505,T309)=1,Z309=0),1,0))</f>
        <v>0</v>
      </c>
      <c r="AS309" s="96" t="str">
        <f>IF(R309=1,A309&amp;" | MTR "&amp;IF(U309=1,INDEX('MTRs'!$B$6:$B$505,T309)&amp;"","?")&amp;" | "&amp;IF(C309="","(sem resíduo)",C309),"")</f>
        <v/>
      </c>
      <c r="AT309" s="96" t="str">
        <f>IF(R309=1,COUNTIF($R$6:R309,1),"")</f>
        <v/>
      </c>
      <c r="AU309" s="96" t="str">
        <f>IF(U309=1,INDEX('MTRs'!$I$6:$I$505,T309)&amp;"","")</f>
        <v/>
      </c>
    </row>
    <row r="310">
      <c r="A310" s="89" t="inlineStr">
        <is>
          <t>IT-000305</t>
        </is>
      </c>
      <c r="B310" s="91" t="n"/>
      <c r="C310" s="91" t="n"/>
      <c r="D310" s="94" t="str">
        <f>IF(OR(R310=0,V310=0),"",INDEX('CAD_RESÍDUOS'!$E$6:$E$205,MATCH(C310,'CAD_RESÍDUOS'!$B$6:$B$205,0))&amp;"")</f>
        <v/>
      </c>
      <c r="E310" s="94" t="str">
        <f>IF(OR(R310=0,V310=0),"",INDEX('CAD_RESÍDUOS'!$C$6:$C$205,MATCH(C310,'CAD_RESÍDUOS'!$B$6:$B$205,0))&amp;"")</f>
        <v/>
      </c>
      <c r="F310" s="94" t="str">
        <f>IF(OR(R310=0,V310=0),"",INDEX('CAD_RESÍDUOS'!$G$6:$G$205,MATCH(C310,'CAD_RESÍDUOS'!$B$6:$B$205,0))&amp;"")</f>
        <v/>
      </c>
      <c r="G310" s="98" t="n"/>
      <c r="H310" s="91" t="n"/>
      <c r="I310" s="93" t="str">
        <f>IF(R310=0,"",IF(NOT(ISNUMBER(G310)),"",IF(ISNUMBER(X310),G310*X310,"UNIDADE A CONFERIR")))</f>
        <v/>
      </c>
      <c r="J310" s="91" t="n"/>
      <c r="K310" s="91" t="n"/>
      <c r="L310" s="93" t="str">
        <f>IF(R310=0,"",SUMIFS('RECEBIMENTOS'!$H$6:$H$1005,'RECEBIMENTOS'!$R$6:$R$1005,A310,'RECEBIMENTOS'!$X$6:$X$1005,1))</f>
        <v/>
      </c>
      <c r="M310" s="93" t="str">
        <f>IF(R310=0,"",SUMIFS('VÍNCULOS_CDF'!$H$6:$H$1005,'VÍNCULOS_CDF'!$R$6:$R$1005,A310,'VÍNCULOS_CDF'!$V$6:$V$1005,1))</f>
        <v/>
      </c>
      <c r="N310" s="99" t="str">
        <f>IF(OR(R310=0,AA310=0,NOT(ISNUMBER(I310))),"",I310-N(L310))</f>
        <v/>
      </c>
      <c r="O310" s="100" t="str">
        <f>IF(OR(R310=0,AK310&lt;=0),"",N(M310)/AK310)</f>
        <v/>
      </c>
      <c r="P310" s="94" t="str">
        <f>IF(R310=0,"",IF(S310="","Sem MTR associado",IF(U310=0,"MTR inexistente",IF(C310="","Resíduo não identificado",IF(V310=0,"Resíduo fora do cadastro",IF(W310=0,"Quantidade inválida",IF(H310="","Unidade não informada",IF(NOT(ISNUMBER(I310)),"Unidade a conferir",IF(AND(AH310=1,K310&lt;&gt;"Sim"),"Possível duplicidade",IF(Z310=1,"MTR cancelado",IF(AC310&gt;0,"Recebimento com alerta",IF(AA310=0,"Aguardando recebimento",IF(AB310&lt;AA310,"Recebimento a conferir",IF(AM310=1,"Quantidade a revisar",IF(AF310&gt;0,"Vínculo a revisar",IF(AD310=0,"Aguardando CDF",IF(AN310=0,"Vínculo de CDF parcial",IF(AE310&lt;AD310,"CDF a conferir","Documentação conferida"))))))))))))))))))</f>
        <v/>
      </c>
      <c r="Q310" s="93" t="str">
        <f>IF(OR(R310=0,AA310=0),"",MAX(0,N(L310)-N(M310)))</f>
        <v/>
      </c>
      <c r="R310" s="96">
        <f>IF(COUNTA(B310:C310,G310:H310,J310:K310)&gt;0,1,0)</f>
        <v>0</v>
      </c>
      <c r="S310" s="96" t="str">
        <f>IF(B310="","",TRIM(LEFT(B310,FIND(" |",B310&amp;" |")-1)))</f>
        <v/>
      </c>
      <c r="T310" s="96" t="str">
        <f>IF(S310="","",IFERROR(MATCH(S310,'MTRs'!$A$6:$A$505,0),""))</f>
        <v/>
      </c>
      <c r="U310" s="96">
        <f>IF(T310="",0,IF(INDEX('MTRs'!$Z$6:$Z$505,T310)=1,1,0))</f>
        <v>0</v>
      </c>
      <c r="V310" s="96">
        <f>IF(C310="",0,IF(ISNUMBER(MATCH(C310,'CAD_RESÍDUOS'!$B$6:$B$205,0)),1,0))</f>
        <v>0</v>
      </c>
      <c r="W310" s="96">
        <f>IF(AND(ISNUMBER(G310),G310&gt;0),1,0)</f>
        <v>0</v>
      </c>
      <c r="X310" s="96" t="str">
        <f>IF(H310="","",IFERROR(IF(ISNUMBER(INDEX(cfg_fac,MATCH(H310,cfg_units,0))),IF(INDEX(cfg_fac,MATCH(H310,cfg_units,0))&gt;0,INDEX(cfg_fac,MATCH(H310,cfg_units,0)),""),""),""))</f>
        <v/>
      </c>
      <c r="Y310" s="96">
        <f>IF(AND(W310=1,ISNUMBER(I310)),1,0)</f>
        <v>0</v>
      </c>
      <c r="Z310" s="96">
        <f>IF(U310=1,INDEX('MTRs'!$AA$6:$AA$505,T310),0)</f>
        <v>0</v>
      </c>
      <c r="AA310" s="96">
        <f>IF(R310=0,0,COUNTIFS('RECEBIMENTOS'!$R$6:$R$1005,A310,'RECEBIMENTOS'!$Q$6:$Q$1005,1))</f>
        <v>0</v>
      </c>
      <c r="AB310" s="96">
        <f>IF(R310=0,0,COUNTIFS('RECEBIMENTOS'!$R$6:$R$1005,A310,'RECEBIMENTOS'!$Z$6:$Z$1005,1))</f>
        <v>0</v>
      </c>
      <c r="AC310" s="96">
        <f>IF(R310=0,0,COUNTIFS('RECEBIMENTOS'!$R$6:$R$1005,A310,'RECEBIMENTOS'!$Y$6:$Y$1005,1))</f>
        <v>0</v>
      </c>
      <c r="AD310" s="96">
        <f>IF(R310=0,0,COUNTIFS('VÍNCULOS_CDF'!$R$6:$R$1005,A310,'VÍNCULOS_CDF'!$N$6:$N$1005,1))</f>
        <v>0</v>
      </c>
      <c r="AE310" s="96">
        <f>IF(R310=0,0,COUNTIFS('VÍNCULOS_CDF'!$R$6:$R$1005,A310,'VÍNCULOS_CDF'!$AA$6:$AA$1005,1))</f>
        <v>0</v>
      </c>
      <c r="AF310" s="96">
        <f>IF(R310=0,0,COUNTIFS('VÍNCULOS_CDF'!$R$6:$R$1005,A310,'VÍNCULOS_CDF'!$Y$6:$Y$1005,1))</f>
        <v>0</v>
      </c>
      <c r="AG310" s="96" t="str">
        <f>IF(AND(R310=1,S310&lt;&gt;"",C310&lt;&gt;""),S310&amp;"|"&amp;C310&amp;"|"&amp;G310&amp;"|"&amp;H310,"")</f>
        <v/>
      </c>
      <c r="AH310" s="96">
        <f>IF(AG310="",0,IF(SUMPRODUCT(--($AG$6:$AG$1005=AG310))&gt;1,1,0))</f>
        <v>0</v>
      </c>
      <c r="AI310" s="96">
        <f>IF(R310=0,0,IF(OR(U310=0,V310=0,Y310=0,AND(AH310=1,K310&lt;&gt;"Sim")),1,0))</f>
        <v>0</v>
      </c>
      <c r="AJ310" s="96">
        <f>IF(AND(R310=1,AA310&gt;0,AB310=AA310),1,0)</f>
        <v>0</v>
      </c>
      <c r="AK310" s="96">
        <f>IF(R310=0,0,IF(AA310&gt;0,N(L310),IF(ISNUMBER(I310),I310,0)))</f>
        <v>0</v>
      </c>
      <c r="AL310" s="96">
        <f>IF(R310=0,0,IF(AND(K310&lt;&gt;"Sim",N(M310)&gt;AK310+cfg_tol),1,0))</f>
        <v>0</v>
      </c>
      <c r="AM310" s="96">
        <f>IF(R310=0,0,IF(K310="Sim",0,IF(OR(AND(AA310&gt;0,ISNUMBER(I310),ABS(I310-N(L310))&gt;cfg_tol),AL310=1),1,0)))</f>
        <v>0</v>
      </c>
      <c r="AN310" s="96">
        <f>IF(AND(R310=1,N(M310)&gt;0,OR(N(M310)&gt;=AK310-cfg_tol,K310="Sim")),1,0)</f>
        <v>0</v>
      </c>
      <c r="AO310" s="96">
        <f>IF(AND(AN310=1,AD310&gt;0,AE310=AD310,AL310=0),1,0)</f>
        <v>0</v>
      </c>
      <c r="AP310" s="96">
        <f>IF(U310=0,0,IF(AND(INDEX('MTRs'!$AX$6:$AX$505,T310)=1,Z310=0,OR(f_res="",f_res="(Todos)",C310=f_res)),1,0))</f>
        <v>0</v>
      </c>
      <c r="AQ310" s="97" t="str">
        <f>IF(U310=0,"",INDEX('MTRs'!$AZ$6:$AZ$505,T310))</f>
        <v/>
      </c>
      <c r="AR310" s="96">
        <f>IF(U310=0,0,IF(AND(INDEX('MTRs'!$BA$6:$BA$505,T310)=1,Z310=0),1,0))</f>
        <v>0</v>
      </c>
      <c r="AS310" s="96" t="str">
        <f>IF(R310=1,A310&amp;" | MTR "&amp;IF(U310=1,INDEX('MTRs'!$B$6:$B$505,T310)&amp;"","?")&amp;" | "&amp;IF(C310="","(sem resíduo)",C310),"")</f>
        <v/>
      </c>
      <c r="AT310" s="96" t="str">
        <f>IF(R310=1,COUNTIF($R$6:R310,1),"")</f>
        <v/>
      </c>
      <c r="AU310" s="96" t="str">
        <f>IF(U310=1,INDEX('MTRs'!$I$6:$I$505,T310)&amp;"","")</f>
        <v/>
      </c>
    </row>
    <row r="311">
      <c r="A311" s="89" t="inlineStr">
        <is>
          <t>IT-000306</t>
        </is>
      </c>
      <c r="B311" s="91" t="n"/>
      <c r="C311" s="91" t="n"/>
      <c r="D311" s="94" t="str">
        <f>IF(OR(R311=0,V311=0),"",INDEX('CAD_RESÍDUOS'!$E$6:$E$205,MATCH(C311,'CAD_RESÍDUOS'!$B$6:$B$205,0))&amp;"")</f>
        <v/>
      </c>
      <c r="E311" s="94" t="str">
        <f>IF(OR(R311=0,V311=0),"",INDEX('CAD_RESÍDUOS'!$C$6:$C$205,MATCH(C311,'CAD_RESÍDUOS'!$B$6:$B$205,0))&amp;"")</f>
        <v/>
      </c>
      <c r="F311" s="94" t="str">
        <f>IF(OR(R311=0,V311=0),"",INDEX('CAD_RESÍDUOS'!$G$6:$G$205,MATCH(C311,'CAD_RESÍDUOS'!$B$6:$B$205,0))&amp;"")</f>
        <v/>
      </c>
      <c r="G311" s="98" t="n"/>
      <c r="H311" s="91" t="n"/>
      <c r="I311" s="93" t="str">
        <f>IF(R311=0,"",IF(NOT(ISNUMBER(G311)),"",IF(ISNUMBER(X311),G311*X311,"UNIDADE A CONFERIR")))</f>
        <v/>
      </c>
      <c r="J311" s="91" t="n"/>
      <c r="K311" s="91" t="n"/>
      <c r="L311" s="93" t="str">
        <f>IF(R311=0,"",SUMIFS('RECEBIMENTOS'!$H$6:$H$1005,'RECEBIMENTOS'!$R$6:$R$1005,A311,'RECEBIMENTOS'!$X$6:$X$1005,1))</f>
        <v/>
      </c>
      <c r="M311" s="93" t="str">
        <f>IF(R311=0,"",SUMIFS('VÍNCULOS_CDF'!$H$6:$H$1005,'VÍNCULOS_CDF'!$R$6:$R$1005,A311,'VÍNCULOS_CDF'!$V$6:$V$1005,1))</f>
        <v/>
      </c>
      <c r="N311" s="99" t="str">
        <f>IF(OR(R311=0,AA311=0,NOT(ISNUMBER(I311))),"",I311-N(L311))</f>
        <v/>
      </c>
      <c r="O311" s="100" t="str">
        <f>IF(OR(R311=0,AK311&lt;=0),"",N(M311)/AK311)</f>
        <v/>
      </c>
      <c r="P311" s="94" t="str">
        <f>IF(R311=0,"",IF(S311="","Sem MTR associado",IF(U311=0,"MTR inexistente",IF(C311="","Resíduo não identificado",IF(V311=0,"Resíduo fora do cadastro",IF(W311=0,"Quantidade inválida",IF(H311="","Unidade não informada",IF(NOT(ISNUMBER(I311)),"Unidade a conferir",IF(AND(AH311=1,K311&lt;&gt;"Sim"),"Possível duplicidade",IF(Z311=1,"MTR cancelado",IF(AC311&gt;0,"Recebimento com alerta",IF(AA311=0,"Aguardando recebimento",IF(AB311&lt;AA311,"Recebimento a conferir",IF(AM311=1,"Quantidade a revisar",IF(AF311&gt;0,"Vínculo a revisar",IF(AD311=0,"Aguardando CDF",IF(AN311=0,"Vínculo de CDF parcial",IF(AE311&lt;AD311,"CDF a conferir","Documentação conferida"))))))))))))))))))</f>
        <v/>
      </c>
      <c r="Q311" s="93" t="str">
        <f>IF(OR(R311=0,AA311=0),"",MAX(0,N(L311)-N(M311)))</f>
        <v/>
      </c>
      <c r="R311" s="96">
        <f>IF(COUNTA(B311:C311,G311:H311,J311:K311)&gt;0,1,0)</f>
        <v>0</v>
      </c>
      <c r="S311" s="96" t="str">
        <f>IF(B311="","",TRIM(LEFT(B311,FIND(" |",B311&amp;" |")-1)))</f>
        <v/>
      </c>
      <c r="T311" s="96" t="str">
        <f>IF(S311="","",IFERROR(MATCH(S311,'MTRs'!$A$6:$A$505,0),""))</f>
        <v/>
      </c>
      <c r="U311" s="96">
        <f>IF(T311="",0,IF(INDEX('MTRs'!$Z$6:$Z$505,T311)=1,1,0))</f>
        <v>0</v>
      </c>
      <c r="V311" s="96">
        <f>IF(C311="",0,IF(ISNUMBER(MATCH(C311,'CAD_RESÍDUOS'!$B$6:$B$205,0)),1,0))</f>
        <v>0</v>
      </c>
      <c r="W311" s="96">
        <f>IF(AND(ISNUMBER(G311),G311&gt;0),1,0)</f>
        <v>0</v>
      </c>
      <c r="X311" s="96" t="str">
        <f>IF(H311="","",IFERROR(IF(ISNUMBER(INDEX(cfg_fac,MATCH(H311,cfg_units,0))),IF(INDEX(cfg_fac,MATCH(H311,cfg_units,0))&gt;0,INDEX(cfg_fac,MATCH(H311,cfg_units,0)),""),""),""))</f>
        <v/>
      </c>
      <c r="Y311" s="96">
        <f>IF(AND(W311=1,ISNUMBER(I311)),1,0)</f>
        <v>0</v>
      </c>
      <c r="Z311" s="96">
        <f>IF(U311=1,INDEX('MTRs'!$AA$6:$AA$505,T311),0)</f>
        <v>0</v>
      </c>
      <c r="AA311" s="96">
        <f>IF(R311=0,0,COUNTIFS('RECEBIMENTOS'!$R$6:$R$1005,A311,'RECEBIMENTOS'!$Q$6:$Q$1005,1))</f>
        <v>0</v>
      </c>
      <c r="AB311" s="96">
        <f>IF(R311=0,0,COUNTIFS('RECEBIMENTOS'!$R$6:$R$1005,A311,'RECEBIMENTOS'!$Z$6:$Z$1005,1))</f>
        <v>0</v>
      </c>
      <c r="AC311" s="96">
        <f>IF(R311=0,0,COUNTIFS('RECEBIMENTOS'!$R$6:$R$1005,A311,'RECEBIMENTOS'!$Y$6:$Y$1005,1))</f>
        <v>0</v>
      </c>
      <c r="AD311" s="96">
        <f>IF(R311=0,0,COUNTIFS('VÍNCULOS_CDF'!$R$6:$R$1005,A311,'VÍNCULOS_CDF'!$N$6:$N$1005,1))</f>
        <v>0</v>
      </c>
      <c r="AE311" s="96">
        <f>IF(R311=0,0,COUNTIFS('VÍNCULOS_CDF'!$R$6:$R$1005,A311,'VÍNCULOS_CDF'!$AA$6:$AA$1005,1))</f>
        <v>0</v>
      </c>
      <c r="AF311" s="96">
        <f>IF(R311=0,0,COUNTIFS('VÍNCULOS_CDF'!$R$6:$R$1005,A311,'VÍNCULOS_CDF'!$Y$6:$Y$1005,1))</f>
        <v>0</v>
      </c>
      <c r="AG311" s="96" t="str">
        <f>IF(AND(R311=1,S311&lt;&gt;"",C311&lt;&gt;""),S311&amp;"|"&amp;C311&amp;"|"&amp;G311&amp;"|"&amp;H311,"")</f>
        <v/>
      </c>
      <c r="AH311" s="96">
        <f>IF(AG311="",0,IF(SUMPRODUCT(--($AG$6:$AG$1005=AG311))&gt;1,1,0))</f>
        <v>0</v>
      </c>
      <c r="AI311" s="96">
        <f>IF(R311=0,0,IF(OR(U311=0,V311=0,Y311=0,AND(AH311=1,K311&lt;&gt;"Sim")),1,0))</f>
        <v>0</v>
      </c>
      <c r="AJ311" s="96">
        <f>IF(AND(R311=1,AA311&gt;0,AB311=AA311),1,0)</f>
        <v>0</v>
      </c>
      <c r="AK311" s="96">
        <f>IF(R311=0,0,IF(AA311&gt;0,N(L311),IF(ISNUMBER(I311),I311,0)))</f>
        <v>0</v>
      </c>
      <c r="AL311" s="96">
        <f>IF(R311=0,0,IF(AND(K311&lt;&gt;"Sim",N(M311)&gt;AK311+cfg_tol),1,0))</f>
        <v>0</v>
      </c>
      <c r="AM311" s="96">
        <f>IF(R311=0,0,IF(K311="Sim",0,IF(OR(AND(AA311&gt;0,ISNUMBER(I311),ABS(I311-N(L311))&gt;cfg_tol),AL311=1),1,0)))</f>
        <v>0</v>
      </c>
      <c r="AN311" s="96">
        <f>IF(AND(R311=1,N(M311)&gt;0,OR(N(M311)&gt;=AK311-cfg_tol,K311="Sim")),1,0)</f>
        <v>0</v>
      </c>
      <c r="AO311" s="96">
        <f>IF(AND(AN311=1,AD311&gt;0,AE311=AD311,AL311=0),1,0)</f>
        <v>0</v>
      </c>
      <c r="AP311" s="96">
        <f>IF(U311=0,0,IF(AND(INDEX('MTRs'!$AX$6:$AX$505,T311)=1,Z311=0,OR(f_res="",f_res="(Todos)",C311=f_res)),1,0))</f>
        <v>0</v>
      </c>
      <c r="AQ311" s="97" t="str">
        <f>IF(U311=0,"",INDEX('MTRs'!$AZ$6:$AZ$505,T311))</f>
        <v/>
      </c>
      <c r="AR311" s="96">
        <f>IF(U311=0,0,IF(AND(INDEX('MTRs'!$BA$6:$BA$505,T311)=1,Z311=0),1,0))</f>
        <v>0</v>
      </c>
      <c r="AS311" s="96" t="str">
        <f>IF(R311=1,A311&amp;" | MTR "&amp;IF(U311=1,INDEX('MTRs'!$B$6:$B$505,T311)&amp;"","?")&amp;" | "&amp;IF(C311="","(sem resíduo)",C311),"")</f>
        <v/>
      </c>
      <c r="AT311" s="96" t="str">
        <f>IF(R311=1,COUNTIF($R$6:R311,1),"")</f>
        <v/>
      </c>
      <c r="AU311" s="96" t="str">
        <f>IF(U311=1,INDEX('MTRs'!$I$6:$I$505,T311)&amp;"","")</f>
        <v/>
      </c>
    </row>
    <row r="312">
      <c r="A312" s="89" t="inlineStr">
        <is>
          <t>IT-000307</t>
        </is>
      </c>
      <c r="B312" s="91" t="n"/>
      <c r="C312" s="91" t="n"/>
      <c r="D312" s="94" t="str">
        <f>IF(OR(R312=0,V312=0),"",INDEX('CAD_RESÍDUOS'!$E$6:$E$205,MATCH(C312,'CAD_RESÍDUOS'!$B$6:$B$205,0))&amp;"")</f>
        <v/>
      </c>
      <c r="E312" s="94" t="str">
        <f>IF(OR(R312=0,V312=0),"",INDEX('CAD_RESÍDUOS'!$C$6:$C$205,MATCH(C312,'CAD_RESÍDUOS'!$B$6:$B$205,0))&amp;"")</f>
        <v/>
      </c>
      <c r="F312" s="94" t="str">
        <f>IF(OR(R312=0,V312=0),"",INDEX('CAD_RESÍDUOS'!$G$6:$G$205,MATCH(C312,'CAD_RESÍDUOS'!$B$6:$B$205,0))&amp;"")</f>
        <v/>
      </c>
      <c r="G312" s="98" t="n"/>
      <c r="H312" s="91" t="n"/>
      <c r="I312" s="93" t="str">
        <f>IF(R312=0,"",IF(NOT(ISNUMBER(G312)),"",IF(ISNUMBER(X312),G312*X312,"UNIDADE A CONFERIR")))</f>
        <v/>
      </c>
      <c r="J312" s="91" t="n"/>
      <c r="K312" s="91" t="n"/>
      <c r="L312" s="93" t="str">
        <f>IF(R312=0,"",SUMIFS('RECEBIMENTOS'!$H$6:$H$1005,'RECEBIMENTOS'!$R$6:$R$1005,A312,'RECEBIMENTOS'!$X$6:$X$1005,1))</f>
        <v/>
      </c>
      <c r="M312" s="93" t="str">
        <f>IF(R312=0,"",SUMIFS('VÍNCULOS_CDF'!$H$6:$H$1005,'VÍNCULOS_CDF'!$R$6:$R$1005,A312,'VÍNCULOS_CDF'!$V$6:$V$1005,1))</f>
        <v/>
      </c>
      <c r="N312" s="99" t="str">
        <f>IF(OR(R312=0,AA312=0,NOT(ISNUMBER(I312))),"",I312-N(L312))</f>
        <v/>
      </c>
      <c r="O312" s="100" t="str">
        <f>IF(OR(R312=0,AK312&lt;=0),"",N(M312)/AK312)</f>
        <v/>
      </c>
      <c r="P312" s="94" t="str">
        <f>IF(R312=0,"",IF(S312="","Sem MTR associado",IF(U312=0,"MTR inexistente",IF(C312="","Resíduo não identificado",IF(V312=0,"Resíduo fora do cadastro",IF(W312=0,"Quantidade inválida",IF(H312="","Unidade não informada",IF(NOT(ISNUMBER(I312)),"Unidade a conferir",IF(AND(AH312=1,K312&lt;&gt;"Sim"),"Possível duplicidade",IF(Z312=1,"MTR cancelado",IF(AC312&gt;0,"Recebimento com alerta",IF(AA312=0,"Aguardando recebimento",IF(AB312&lt;AA312,"Recebimento a conferir",IF(AM312=1,"Quantidade a revisar",IF(AF312&gt;0,"Vínculo a revisar",IF(AD312=0,"Aguardando CDF",IF(AN312=0,"Vínculo de CDF parcial",IF(AE312&lt;AD312,"CDF a conferir","Documentação conferida"))))))))))))))))))</f>
        <v/>
      </c>
      <c r="Q312" s="93" t="str">
        <f>IF(OR(R312=0,AA312=0),"",MAX(0,N(L312)-N(M312)))</f>
        <v/>
      </c>
      <c r="R312" s="96">
        <f>IF(COUNTA(B312:C312,G312:H312,J312:K312)&gt;0,1,0)</f>
        <v>0</v>
      </c>
      <c r="S312" s="96" t="str">
        <f>IF(B312="","",TRIM(LEFT(B312,FIND(" |",B312&amp;" |")-1)))</f>
        <v/>
      </c>
      <c r="T312" s="96" t="str">
        <f>IF(S312="","",IFERROR(MATCH(S312,'MTRs'!$A$6:$A$505,0),""))</f>
        <v/>
      </c>
      <c r="U312" s="96">
        <f>IF(T312="",0,IF(INDEX('MTRs'!$Z$6:$Z$505,T312)=1,1,0))</f>
        <v>0</v>
      </c>
      <c r="V312" s="96">
        <f>IF(C312="",0,IF(ISNUMBER(MATCH(C312,'CAD_RESÍDUOS'!$B$6:$B$205,0)),1,0))</f>
        <v>0</v>
      </c>
      <c r="W312" s="96">
        <f>IF(AND(ISNUMBER(G312),G312&gt;0),1,0)</f>
        <v>0</v>
      </c>
      <c r="X312" s="96" t="str">
        <f>IF(H312="","",IFERROR(IF(ISNUMBER(INDEX(cfg_fac,MATCH(H312,cfg_units,0))),IF(INDEX(cfg_fac,MATCH(H312,cfg_units,0))&gt;0,INDEX(cfg_fac,MATCH(H312,cfg_units,0)),""),""),""))</f>
        <v/>
      </c>
      <c r="Y312" s="96">
        <f>IF(AND(W312=1,ISNUMBER(I312)),1,0)</f>
        <v>0</v>
      </c>
      <c r="Z312" s="96">
        <f>IF(U312=1,INDEX('MTRs'!$AA$6:$AA$505,T312),0)</f>
        <v>0</v>
      </c>
      <c r="AA312" s="96">
        <f>IF(R312=0,0,COUNTIFS('RECEBIMENTOS'!$R$6:$R$1005,A312,'RECEBIMENTOS'!$Q$6:$Q$1005,1))</f>
        <v>0</v>
      </c>
      <c r="AB312" s="96">
        <f>IF(R312=0,0,COUNTIFS('RECEBIMENTOS'!$R$6:$R$1005,A312,'RECEBIMENTOS'!$Z$6:$Z$1005,1))</f>
        <v>0</v>
      </c>
      <c r="AC312" s="96">
        <f>IF(R312=0,0,COUNTIFS('RECEBIMENTOS'!$R$6:$R$1005,A312,'RECEBIMENTOS'!$Y$6:$Y$1005,1))</f>
        <v>0</v>
      </c>
      <c r="AD312" s="96">
        <f>IF(R312=0,0,COUNTIFS('VÍNCULOS_CDF'!$R$6:$R$1005,A312,'VÍNCULOS_CDF'!$N$6:$N$1005,1))</f>
        <v>0</v>
      </c>
      <c r="AE312" s="96">
        <f>IF(R312=0,0,COUNTIFS('VÍNCULOS_CDF'!$R$6:$R$1005,A312,'VÍNCULOS_CDF'!$AA$6:$AA$1005,1))</f>
        <v>0</v>
      </c>
      <c r="AF312" s="96">
        <f>IF(R312=0,0,COUNTIFS('VÍNCULOS_CDF'!$R$6:$R$1005,A312,'VÍNCULOS_CDF'!$Y$6:$Y$1005,1))</f>
        <v>0</v>
      </c>
      <c r="AG312" s="96" t="str">
        <f>IF(AND(R312=1,S312&lt;&gt;"",C312&lt;&gt;""),S312&amp;"|"&amp;C312&amp;"|"&amp;G312&amp;"|"&amp;H312,"")</f>
        <v/>
      </c>
      <c r="AH312" s="96">
        <f>IF(AG312="",0,IF(SUMPRODUCT(--($AG$6:$AG$1005=AG312))&gt;1,1,0))</f>
        <v>0</v>
      </c>
      <c r="AI312" s="96">
        <f>IF(R312=0,0,IF(OR(U312=0,V312=0,Y312=0,AND(AH312=1,K312&lt;&gt;"Sim")),1,0))</f>
        <v>0</v>
      </c>
      <c r="AJ312" s="96">
        <f>IF(AND(R312=1,AA312&gt;0,AB312=AA312),1,0)</f>
        <v>0</v>
      </c>
      <c r="AK312" s="96">
        <f>IF(R312=0,0,IF(AA312&gt;0,N(L312),IF(ISNUMBER(I312),I312,0)))</f>
        <v>0</v>
      </c>
      <c r="AL312" s="96">
        <f>IF(R312=0,0,IF(AND(K312&lt;&gt;"Sim",N(M312)&gt;AK312+cfg_tol),1,0))</f>
        <v>0</v>
      </c>
      <c r="AM312" s="96">
        <f>IF(R312=0,0,IF(K312="Sim",0,IF(OR(AND(AA312&gt;0,ISNUMBER(I312),ABS(I312-N(L312))&gt;cfg_tol),AL312=1),1,0)))</f>
        <v>0</v>
      </c>
      <c r="AN312" s="96">
        <f>IF(AND(R312=1,N(M312)&gt;0,OR(N(M312)&gt;=AK312-cfg_tol,K312="Sim")),1,0)</f>
        <v>0</v>
      </c>
      <c r="AO312" s="96">
        <f>IF(AND(AN312=1,AD312&gt;0,AE312=AD312,AL312=0),1,0)</f>
        <v>0</v>
      </c>
      <c r="AP312" s="96">
        <f>IF(U312=0,0,IF(AND(INDEX('MTRs'!$AX$6:$AX$505,T312)=1,Z312=0,OR(f_res="",f_res="(Todos)",C312=f_res)),1,0))</f>
        <v>0</v>
      </c>
      <c r="AQ312" s="97" t="str">
        <f>IF(U312=0,"",INDEX('MTRs'!$AZ$6:$AZ$505,T312))</f>
        <v/>
      </c>
      <c r="AR312" s="96">
        <f>IF(U312=0,0,IF(AND(INDEX('MTRs'!$BA$6:$BA$505,T312)=1,Z312=0),1,0))</f>
        <v>0</v>
      </c>
      <c r="AS312" s="96" t="str">
        <f>IF(R312=1,A312&amp;" | MTR "&amp;IF(U312=1,INDEX('MTRs'!$B$6:$B$505,T312)&amp;"","?")&amp;" | "&amp;IF(C312="","(sem resíduo)",C312),"")</f>
        <v/>
      </c>
      <c r="AT312" s="96" t="str">
        <f>IF(R312=1,COUNTIF($R$6:R312,1),"")</f>
        <v/>
      </c>
      <c r="AU312" s="96" t="str">
        <f>IF(U312=1,INDEX('MTRs'!$I$6:$I$505,T312)&amp;"","")</f>
        <v/>
      </c>
    </row>
    <row r="313">
      <c r="A313" s="89" t="inlineStr">
        <is>
          <t>IT-000308</t>
        </is>
      </c>
      <c r="B313" s="91" t="n"/>
      <c r="C313" s="91" t="n"/>
      <c r="D313" s="94" t="str">
        <f>IF(OR(R313=0,V313=0),"",INDEX('CAD_RESÍDUOS'!$E$6:$E$205,MATCH(C313,'CAD_RESÍDUOS'!$B$6:$B$205,0))&amp;"")</f>
        <v/>
      </c>
      <c r="E313" s="94" t="str">
        <f>IF(OR(R313=0,V313=0),"",INDEX('CAD_RESÍDUOS'!$C$6:$C$205,MATCH(C313,'CAD_RESÍDUOS'!$B$6:$B$205,0))&amp;"")</f>
        <v/>
      </c>
      <c r="F313" s="94" t="str">
        <f>IF(OR(R313=0,V313=0),"",INDEX('CAD_RESÍDUOS'!$G$6:$G$205,MATCH(C313,'CAD_RESÍDUOS'!$B$6:$B$205,0))&amp;"")</f>
        <v/>
      </c>
      <c r="G313" s="98" t="n"/>
      <c r="H313" s="91" t="n"/>
      <c r="I313" s="93" t="str">
        <f>IF(R313=0,"",IF(NOT(ISNUMBER(G313)),"",IF(ISNUMBER(X313),G313*X313,"UNIDADE A CONFERIR")))</f>
        <v/>
      </c>
      <c r="J313" s="91" t="n"/>
      <c r="K313" s="91" t="n"/>
      <c r="L313" s="93" t="str">
        <f>IF(R313=0,"",SUMIFS('RECEBIMENTOS'!$H$6:$H$1005,'RECEBIMENTOS'!$R$6:$R$1005,A313,'RECEBIMENTOS'!$X$6:$X$1005,1))</f>
        <v/>
      </c>
      <c r="M313" s="93" t="str">
        <f>IF(R313=0,"",SUMIFS('VÍNCULOS_CDF'!$H$6:$H$1005,'VÍNCULOS_CDF'!$R$6:$R$1005,A313,'VÍNCULOS_CDF'!$V$6:$V$1005,1))</f>
        <v/>
      </c>
      <c r="N313" s="99" t="str">
        <f>IF(OR(R313=0,AA313=0,NOT(ISNUMBER(I313))),"",I313-N(L313))</f>
        <v/>
      </c>
      <c r="O313" s="100" t="str">
        <f>IF(OR(R313=0,AK313&lt;=0),"",N(M313)/AK313)</f>
        <v/>
      </c>
      <c r="P313" s="94" t="str">
        <f>IF(R313=0,"",IF(S313="","Sem MTR associado",IF(U313=0,"MTR inexistente",IF(C313="","Resíduo não identificado",IF(V313=0,"Resíduo fora do cadastro",IF(W313=0,"Quantidade inválida",IF(H313="","Unidade não informada",IF(NOT(ISNUMBER(I313)),"Unidade a conferir",IF(AND(AH313=1,K313&lt;&gt;"Sim"),"Possível duplicidade",IF(Z313=1,"MTR cancelado",IF(AC313&gt;0,"Recebimento com alerta",IF(AA313=0,"Aguardando recebimento",IF(AB313&lt;AA313,"Recebimento a conferir",IF(AM313=1,"Quantidade a revisar",IF(AF313&gt;0,"Vínculo a revisar",IF(AD313=0,"Aguardando CDF",IF(AN313=0,"Vínculo de CDF parcial",IF(AE313&lt;AD313,"CDF a conferir","Documentação conferida"))))))))))))))))))</f>
        <v/>
      </c>
      <c r="Q313" s="93" t="str">
        <f>IF(OR(R313=0,AA313=0),"",MAX(0,N(L313)-N(M313)))</f>
        <v/>
      </c>
      <c r="R313" s="96">
        <f>IF(COUNTA(B313:C313,G313:H313,J313:K313)&gt;0,1,0)</f>
        <v>0</v>
      </c>
      <c r="S313" s="96" t="str">
        <f>IF(B313="","",TRIM(LEFT(B313,FIND(" |",B313&amp;" |")-1)))</f>
        <v/>
      </c>
      <c r="T313" s="96" t="str">
        <f>IF(S313="","",IFERROR(MATCH(S313,'MTRs'!$A$6:$A$505,0),""))</f>
        <v/>
      </c>
      <c r="U313" s="96">
        <f>IF(T313="",0,IF(INDEX('MTRs'!$Z$6:$Z$505,T313)=1,1,0))</f>
        <v>0</v>
      </c>
      <c r="V313" s="96">
        <f>IF(C313="",0,IF(ISNUMBER(MATCH(C313,'CAD_RESÍDUOS'!$B$6:$B$205,0)),1,0))</f>
        <v>0</v>
      </c>
      <c r="W313" s="96">
        <f>IF(AND(ISNUMBER(G313),G313&gt;0),1,0)</f>
        <v>0</v>
      </c>
      <c r="X313" s="96" t="str">
        <f>IF(H313="","",IFERROR(IF(ISNUMBER(INDEX(cfg_fac,MATCH(H313,cfg_units,0))),IF(INDEX(cfg_fac,MATCH(H313,cfg_units,0))&gt;0,INDEX(cfg_fac,MATCH(H313,cfg_units,0)),""),""),""))</f>
        <v/>
      </c>
      <c r="Y313" s="96">
        <f>IF(AND(W313=1,ISNUMBER(I313)),1,0)</f>
        <v>0</v>
      </c>
      <c r="Z313" s="96">
        <f>IF(U313=1,INDEX('MTRs'!$AA$6:$AA$505,T313),0)</f>
        <v>0</v>
      </c>
      <c r="AA313" s="96">
        <f>IF(R313=0,0,COUNTIFS('RECEBIMENTOS'!$R$6:$R$1005,A313,'RECEBIMENTOS'!$Q$6:$Q$1005,1))</f>
        <v>0</v>
      </c>
      <c r="AB313" s="96">
        <f>IF(R313=0,0,COUNTIFS('RECEBIMENTOS'!$R$6:$R$1005,A313,'RECEBIMENTOS'!$Z$6:$Z$1005,1))</f>
        <v>0</v>
      </c>
      <c r="AC313" s="96">
        <f>IF(R313=0,0,COUNTIFS('RECEBIMENTOS'!$R$6:$R$1005,A313,'RECEBIMENTOS'!$Y$6:$Y$1005,1))</f>
        <v>0</v>
      </c>
      <c r="AD313" s="96">
        <f>IF(R313=0,0,COUNTIFS('VÍNCULOS_CDF'!$R$6:$R$1005,A313,'VÍNCULOS_CDF'!$N$6:$N$1005,1))</f>
        <v>0</v>
      </c>
      <c r="AE313" s="96">
        <f>IF(R313=0,0,COUNTIFS('VÍNCULOS_CDF'!$R$6:$R$1005,A313,'VÍNCULOS_CDF'!$AA$6:$AA$1005,1))</f>
        <v>0</v>
      </c>
      <c r="AF313" s="96">
        <f>IF(R313=0,0,COUNTIFS('VÍNCULOS_CDF'!$R$6:$R$1005,A313,'VÍNCULOS_CDF'!$Y$6:$Y$1005,1))</f>
        <v>0</v>
      </c>
      <c r="AG313" s="96" t="str">
        <f>IF(AND(R313=1,S313&lt;&gt;"",C313&lt;&gt;""),S313&amp;"|"&amp;C313&amp;"|"&amp;G313&amp;"|"&amp;H313,"")</f>
        <v/>
      </c>
      <c r="AH313" s="96">
        <f>IF(AG313="",0,IF(SUMPRODUCT(--($AG$6:$AG$1005=AG313))&gt;1,1,0))</f>
        <v>0</v>
      </c>
      <c r="AI313" s="96">
        <f>IF(R313=0,0,IF(OR(U313=0,V313=0,Y313=0,AND(AH313=1,K313&lt;&gt;"Sim")),1,0))</f>
        <v>0</v>
      </c>
      <c r="AJ313" s="96">
        <f>IF(AND(R313=1,AA313&gt;0,AB313=AA313),1,0)</f>
        <v>0</v>
      </c>
      <c r="AK313" s="96">
        <f>IF(R313=0,0,IF(AA313&gt;0,N(L313),IF(ISNUMBER(I313),I313,0)))</f>
        <v>0</v>
      </c>
      <c r="AL313" s="96">
        <f>IF(R313=0,0,IF(AND(K313&lt;&gt;"Sim",N(M313)&gt;AK313+cfg_tol),1,0))</f>
        <v>0</v>
      </c>
      <c r="AM313" s="96">
        <f>IF(R313=0,0,IF(K313="Sim",0,IF(OR(AND(AA313&gt;0,ISNUMBER(I313),ABS(I313-N(L313))&gt;cfg_tol),AL313=1),1,0)))</f>
        <v>0</v>
      </c>
      <c r="AN313" s="96">
        <f>IF(AND(R313=1,N(M313)&gt;0,OR(N(M313)&gt;=AK313-cfg_tol,K313="Sim")),1,0)</f>
        <v>0</v>
      </c>
      <c r="AO313" s="96">
        <f>IF(AND(AN313=1,AD313&gt;0,AE313=AD313,AL313=0),1,0)</f>
        <v>0</v>
      </c>
      <c r="AP313" s="96">
        <f>IF(U313=0,0,IF(AND(INDEX('MTRs'!$AX$6:$AX$505,T313)=1,Z313=0,OR(f_res="",f_res="(Todos)",C313=f_res)),1,0))</f>
        <v>0</v>
      </c>
      <c r="AQ313" s="97" t="str">
        <f>IF(U313=0,"",INDEX('MTRs'!$AZ$6:$AZ$505,T313))</f>
        <v/>
      </c>
      <c r="AR313" s="96">
        <f>IF(U313=0,0,IF(AND(INDEX('MTRs'!$BA$6:$BA$505,T313)=1,Z313=0),1,0))</f>
        <v>0</v>
      </c>
      <c r="AS313" s="96" t="str">
        <f>IF(R313=1,A313&amp;" | MTR "&amp;IF(U313=1,INDEX('MTRs'!$B$6:$B$505,T313)&amp;"","?")&amp;" | "&amp;IF(C313="","(sem resíduo)",C313),"")</f>
        <v/>
      </c>
      <c r="AT313" s="96" t="str">
        <f>IF(R313=1,COUNTIF($R$6:R313,1),"")</f>
        <v/>
      </c>
      <c r="AU313" s="96" t="str">
        <f>IF(U313=1,INDEX('MTRs'!$I$6:$I$505,T313)&amp;"","")</f>
        <v/>
      </c>
    </row>
    <row r="314">
      <c r="A314" s="89" t="inlineStr">
        <is>
          <t>IT-000309</t>
        </is>
      </c>
      <c r="B314" s="91" t="n"/>
      <c r="C314" s="91" t="n"/>
      <c r="D314" s="94" t="str">
        <f>IF(OR(R314=0,V314=0),"",INDEX('CAD_RESÍDUOS'!$E$6:$E$205,MATCH(C314,'CAD_RESÍDUOS'!$B$6:$B$205,0))&amp;"")</f>
        <v/>
      </c>
      <c r="E314" s="94" t="str">
        <f>IF(OR(R314=0,V314=0),"",INDEX('CAD_RESÍDUOS'!$C$6:$C$205,MATCH(C314,'CAD_RESÍDUOS'!$B$6:$B$205,0))&amp;"")</f>
        <v/>
      </c>
      <c r="F314" s="94" t="str">
        <f>IF(OR(R314=0,V314=0),"",INDEX('CAD_RESÍDUOS'!$G$6:$G$205,MATCH(C314,'CAD_RESÍDUOS'!$B$6:$B$205,0))&amp;"")</f>
        <v/>
      </c>
      <c r="G314" s="98" t="n"/>
      <c r="H314" s="91" t="n"/>
      <c r="I314" s="93" t="str">
        <f>IF(R314=0,"",IF(NOT(ISNUMBER(G314)),"",IF(ISNUMBER(X314),G314*X314,"UNIDADE A CONFERIR")))</f>
        <v/>
      </c>
      <c r="J314" s="91" t="n"/>
      <c r="K314" s="91" t="n"/>
      <c r="L314" s="93" t="str">
        <f>IF(R314=0,"",SUMIFS('RECEBIMENTOS'!$H$6:$H$1005,'RECEBIMENTOS'!$R$6:$R$1005,A314,'RECEBIMENTOS'!$X$6:$X$1005,1))</f>
        <v/>
      </c>
      <c r="M314" s="93" t="str">
        <f>IF(R314=0,"",SUMIFS('VÍNCULOS_CDF'!$H$6:$H$1005,'VÍNCULOS_CDF'!$R$6:$R$1005,A314,'VÍNCULOS_CDF'!$V$6:$V$1005,1))</f>
        <v/>
      </c>
      <c r="N314" s="99" t="str">
        <f>IF(OR(R314=0,AA314=0,NOT(ISNUMBER(I314))),"",I314-N(L314))</f>
        <v/>
      </c>
      <c r="O314" s="100" t="str">
        <f>IF(OR(R314=0,AK314&lt;=0),"",N(M314)/AK314)</f>
        <v/>
      </c>
      <c r="P314" s="94" t="str">
        <f>IF(R314=0,"",IF(S314="","Sem MTR associado",IF(U314=0,"MTR inexistente",IF(C314="","Resíduo não identificado",IF(V314=0,"Resíduo fora do cadastro",IF(W314=0,"Quantidade inválida",IF(H314="","Unidade não informada",IF(NOT(ISNUMBER(I314)),"Unidade a conferir",IF(AND(AH314=1,K314&lt;&gt;"Sim"),"Possível duplicidade",IF(Z314=1,"MTR cancelado",IF(AC314&gt;0,"Recebimento com alerta",IF(AA314=0,"Aguardando recebimento",IF(AB314&lt;AA314,"Recebimento a conferir",IF(AM314=1,"Quantidade a revisar",IF(AF314&gt;0,"Vínculo a revisar",IF(AD314=0,"Aguardando CDF",IF(AN314=0,"Vínculo de CDF parcial",IF(AE314&lt;AD314,"CDF a conferir","Documentação conferida"))))))))))))))))))</f>
        <v/>
      </c>
      <c r="Q314" s="93" t="str">
        <f>IF(OR(R314=0,AA314=0),"",MAX(0,N(L314)-N(M314)))</f>
        <v/>
      </c>
      <c r="R314" s="96">
        <f>IF(COUNTA(B314:C314,G314:H314,J314:K314)&gt;0,1,0)</f>
        <v>0</v>
      </c>
      <c r="S314" s="96" t="str">
        <f>IF(B314="","",TRIM(LEFT(B314,FIND(" |",B314&amp;" |")-1)))</f>
        <v/>
      </c>
      <c r="T314" s="96" t="str">
        <f>IF(S314="","",IFERROR(MATCH(S314,'MTRs'!$A$6:$A$505,0),""))</f>
        <v/>
      </c>
      <c r="U314" s="96">
        <f>IF(T314="",0,IF(INDEX('MTRs'!$Z$6:$Z$505,T314)=1,1,0))</f>
        <v>0</v>
      </c>
      <c r="V314" s="96">
        <f>IF(C314="",0,IF(ISNUMBER(MATCH(C314,'CAD_RESÍDUOS'!$B$6:$B$205,0)),1,0))</f>
        <v>0</v>
      </c>
      <c r="W314" s="96">
        <f>IF(AND(ISNUMBER(G314),G314&gt;0),1,0)</f>
        <v>0</v>
      </c>
      <c r="X314" s="96" t="str">
        <f>IF(H314="","",IFERROR(IF(ISNUMBER(INDEX(cfg_fac,MATCH(H314,cfg_units,0))),IF(INDEX(cfg_fac,MATCH(H314,cfg_units,0))&gt;0,INDEX(cfg_fac,MATCH(H314,cfg_units,0)),""),""),""))</f>
        <v/>
      </c>
      <c r="Y314" s="96">
        <f>IF(AND(W314=1,ISNUMBER(I314)),1,0)</f>
        <v>0</v>
      </c>
      <c r="Z314" s="96">
        <f>IF(U314=1,INDEX('MTRs'!$AA$6:$AA$505,T314),0)</f>
        <v>0</v>
      </c>
      <c r="AA314" s="96">
        <f>IF(R314=0,0,COUNTIFS('RECEBIMENTOS'!$R$6:$R$1005,A314,'RECEBIMENTOS'!$Q$6:$Q$1005,1))</f>
        <v>0</v>
      </c>
      <c r="AB314" s="96">
        <f>IF(R314=0,0,COUNTIFS('RECEBIMENTOS'!$R$6:$R$1005,A314,'RECEBIMENTOS'!$Z$6:$Z$1005,1))</f>
        <v>0</v>
      </c>
      <c r="AC314" s="96">
        <f>IF(R314=0,0,COUNTIFS('RECEBIMENTOS'!$R$6:$R$1005,A314,'RECEBIMENTOS'!$Y$6:$Y$1005,1))</f>
        <v>0</v>
      </c>
      <c r="AD314" s="96">
        <f>IF(R314=0,0,COUNTIFS('VÍNCULOS_CDF'!$R$6:$R$1005,A314,'VÍNCULOS_CDF'!$N$6:$N$1005,1))</f>
        <v>0</v>
      </c>
      <c r="AE314" s="96">
        <f>IF(R314=0,0,COUNTIFS('VÍNCULOS_CDF'!$R$6:$R$1005,A314,'VÍNCULOS_CDF'!$AA$6:$AA$1005,1))</f>
        <v>0</v>
      </c>
      <c r="AF314" s="96">
        <f>IF(R314=0,0,COUNTIFS('VÍNCULOS_CDF'!$R$6:$R$1005,A314,'VÍNCULOS_CDF'!$Y$6:$Y$1005,1))</f>
        <v>0</v>
      </c>
      <c r="AG314" s="96" t="str">
        <f>IF(AND(R314=1,S314&lt;&gt;"",C314&lt;&gt;""),S314&amp;"|"&amp;C314&amp;"|"&amp;G314&amp;"|"&amp;H314,"")</f>
        <v/>
      </c>
      <c r="AH314" s="96">
        <f>IF(AG314="",0,IF(SUMPRODUCT(--($AG$6:$AG$1005=AG314))&gt;1,1,0))</f>
        <v>0</v>
      </c>
      <c r="AI314" s="96">
        <f>IF(R314=0,0,IF(OR(U314=0,V314=0,Y314=0,AND(AH314=1,K314&lt;&gt;"Sim")),1,0))</f>
        <v>0</v>
      </c>
      <c r="AJ314" s="96">
        <f>IF(AND(R314=1,AA314&gt;0,AB314=AA314),1,0)</f>
        <v>0</v>
      </c>
      <c r="AK314" s="96">
        <f>IF(R314=0,0,IF(AA314&gt;0,N(L314),IF(ISNUMBER(I314),I314,0)))</f>
        <v>0</v>
      </c>
      <c r="AL314" s="96">
        <f>IF(R314=0,0,IF(AND(K314&lt;&gt;"Sim",N(M314)&gt;AK314+cfg_tol),1,0))</f>
        <v>0</v>
      </c>
      <c r="AM314" s="96">
        <f>IF(R314=0,0,IF(K314="Sim",0,IF(OR(AND(AA314&gt;0,ISNUMBER(I314),ABS(I314-N(L314))&gt;cfg_tol),AL314=1),1,0)))</f>
        <v>0</v>
      </c>
      <c r="AN314" s="96">
        <f>IF(AND(R314=1,N(M314)&gt;0,OR(N(M314)&gt;=AK314-cfg_tol,K314="Sim")),1,0)</f>
        <v>0</v>
      </c>
      <c r="AO314" s="96">
        <f>IF(AND(AN314=1,AD314&gt;0,AE314=AD314,AL314=0),1,0)</f>
        <v>0</v>
      </c>
      <c r="AP314" s="96">
        <f>IF(U314=0,0,IF(AND(INDEX('MTRs'!$AX$6:$AX$505,T314)=1,Z314=0,OR(f_res="",f_res="(Todos)",C314=f_res)),1,0))</f>
        <v>0</v>
      </c>
      <c r="AQ314" s="97" t="str">
        <f>IF(U314=0,"",INDEX('MTRs'!$AZ$6:$AZ$505,T314))</f>
        <v/>
      </c>
      <c r="AR314" s="96">
        <f>IF(U314=0,0,IF(AND(INDEX('MTRs'!$BA$6:$BA$505,T314)=1,Z314=0),1,0))</f>
        <v>0</v>
      </c>
      <c r="AS314" s="96" t="str">
        <f>IF(R314=1,A314&amp;" | MTR "&amp;IF(U314=1,INDEX('MTRs'!$B$6:$B$505,T314)&amp;"","?")&amp;" | "&amp;IF(C314="","(sem resíduo)",C314),"")</f>
        <v/>
      </c>
      <c r="AT314" s="96" t="str">
        <f>IF(R314=1,COUNTIF($R$6:R314,1),"")</f>
        <v/>
      </c>
      <c r="AU314" s="96" t="str">
        <f>IF(U314=1,INDEX('MTRs'!$I$6:$I$505,T314)&amp;"","")</f>
        <v/>
      </c>
    </row>
    <row r="315">
      <c r="A315" s="89" t="inlineStr">
        <is>
          <t>IT-000310</t>
        </is>
      </c>
      <c r="B315" s="91" t="n"/>
      <c r="C315" s="91" t="n"/>
      <c r="D315" s="94" t="str">
        <f>IF(OR(R315=0,V315=0),"",INDEX('CAD_RESÍDUOS'!$E$6:$E$205,MATCH(C315,'CAD_RESÍDUOS'!$B$6:$B$205,0))&amp;"")</f>
        <v/>
      </c>
      <c r="E315" s="94" t="str">
        <f>IF(OR(R315=0,V315=0),"",INDEX('CAD_RESÍDUOS'!$C$6:$C$205,MATCH(C315,'CAD_RESÍDUOS'!$B$6:$B$205,0))&amp;"")</f>
        <v/>
      </c>
      <c r="F315" s="94" t="str">
        <f>IF(OR(R315=0,V315=0),"",INDEX('CAD_RESÍDUOS'!$G$6:$G$205,MATCH(C315,'CAD_RESÍDUOS'!$B$6:$B$205,0))&amp;"")</f>
        <v/>
      </c>
      <c r="G315" s="98" t="n"/>
      <c r="H315" s="91" t="n"/>
      <c r="I315" s="93" t="str">
        <f>IF(R315=0,"",IF(NOT(ISNUMBER(G315)),"",IF(ISNUMBER(X315),G315*X315,"UNIDADE A CONFERIR")))</f>
        <v/>
      </c>
      <c r="J315" s="91" t="n"/>
      <c r="K315" s="91" t="n"/>
      <c r="L315" s="93" t="str">
        <f>IF(R315=0,"",SUMIFS('RECEBIMENTOS'!$H$6:$H$1005,'RECEBIMENTOS'!$R$6:$R$1005,A315,'RECEBIMENTOS'!$X$6:$X$1005,1))</f>
        <v/>
      </c>
      <c r="M315" s="93" t="str">
        <f>IF(R315=0,"",SUMIFS('VÍNCULOS_CDF'!$H$6:$H$1005,'VÍNCULOS_CDF'!$R$6:$R$1005,A315,'VÍNCULOS_CDF'!$V$6:$V$1005,1))</f>
        <v/>
      </c>
      <c r="N315" s="99" t="str">
        <f>IF(OR(R315=0,AA315=0,NOT(ISNUMBER(I315))),"",I315-N(L315))</f>
        <v/>
      </c>
      <c r="O315" s="100" t="str">
        <f>IF(OR(R315=0,AK315&lt;=0),"",N(M315)/AK315)</f>
        <v/>
      </c>
      <c r="P315" s="94" t="str">
        <f>IF(R315=0,"",IF(S315="","Sem MTR associado",IF(U315=0,"MTR inexistente",IF(C315="","Resíduo não identificado",IF(V315=0,"Resíduo fora do cadastro",IF(W315=0,"Quantidade inválida",IF(H315="","Unidade não informada",IF(NOT(ISNUMBER(I315)),"Unidade a conferir",IF(AND(AH315=1,K315&lt;&gt;"Sim"),"Possível duplicidade",IF(Z315=1,"MTR cancelado",IF(AC315&gt;0,"Recebimento com alerta",IF(AA315=0,"Aguardando recebimento",IF(AB315&lt;AA315,"Recebimento a conferir",IF(AM315=1,"Quantidade a revisar",IF(AF315&gt;0,"Vínculo a revisar",IF(AD315=0,"Aguardando CDF",IF(AN315=0,"Vínculo de CDF parcial",IF(AE315&lt;AD315,"CDF a conferir","Documentação conferida"))))))))))))))))))</f>
        <v/>
      </c>
      <c r="Q315" s="93" t="str">
        <f>IF(OR(R315=0,AA315=0),"",MAX(0,N(L315)-N(M315)))</f>
        <v/>
      </c>
      <c r="R315" s="96">
        <f>IF(COUNTA(B315:C315,G315:H315,J315:K315)&gt;0,1,0)</f>
        <v>0</v>
      </c>
      <c r="S315" s="96" t="str">
        <f>IF(B315="","",TRIM(LEFT(B315,FIND(" |",B315&amp;" |")-1)))</f>
        <v/>
      </c>
      <c r="T315" s="96" t="str">
        <f>IF(S315="","",IFERROR(MATCH(S315,'MTRs'!$A$6:$A$505,0),""))</f>
        <v/>
      </c>
      <c r="U315" s="96">
        <f>IF(T315="",0,IF(INDEX('MTRs'!$Z$6:$Z$505,T315)=1,1,0))</f>
        <v>0</v>
      </c>
      <c r="V315" s="96">
        <f>IF(C315="",0,IF(ISNUMBER(MATCH(C315,'CAD_RESÍDUOS'!$B$6:$B$205,0)),1,0))</f>
        <v>0</v>
      </c>
      <c r="W315" s="96">
        <f>IF(AND(ISNUMBER(G315),G315&gt;0),1,0)</f>
        <v>0</v>
      </c>
      <c r="X315" s="96" t="str">
        <f>IF(H315="","",IFERROR(IF(ISNUMBER(INDEX(cfg_fac,MATCH(H315,cfg_units,0))),IF(INDEX(cfg_fac,MATCH(H315,cfg_units,0))&gt;0,INDEX(cfg_fac,MATCH(H315,cfg_units,0)),""),""),""))</f>
        <v/>
      </c>
      <c r="Y315" s="96">
        <f>IF(AND(W315=1,ISNUMBER(I315)),1,0)</f>
        <v>0</v>
      </c>
      <c r="Z315" s="96">
        <f>IF(U315=1,INDEX('MTRs'!$AA$6:$AA$505,T315),0)</f>
        <v>0</v>
      </c>
      <c r="AA315" s="96">
        <f>IF(R315=0,0,COUNTIFS('RECEBIMENTOS'!$R$6:$R$1005,A315,'RECEBIMENTOS'!$Q$6:$Q$1005,1))</f>
        <v>0</v>
      </c>
      <c r="AB315" s="96">
        <f>IF(R315=0,0,COUNTIFS('RECEBIMENTOS'!$R$6:$R$1005,A315,'RECEBIMENTOS'!$Z$6:$Z$1005,1))</f>
        <v>0</v>
      </c>
      <c r="AC315" s="96">
        <f>IF(R315=0,0,COUNTIFS('RECEBIMENTOS'!$R$6:$R$1005,A315,'RECEBIMENTOS'!$Y$6:$Y$1005,1))</f>
        <v>0</v>
      </c>
      <c r="AD315" s="96">
        <f>IF(R315=0,0,COUNTIFS('VÍNCULOS_CDF'!$R$6:$R$1005,A315,'VÍNCULOS_CDF'!$N$6:$N$1005,1))</f>
        <v>0</v>
      </c>
      <c r="AE315" s="96">
        <f>IF(R315=0,0,COUNTIFS('VÍNCULOS_CDF'!$R$6:$R$1005,A315,'VÍNCULOS_CDF'!$AA$6:$AA$1005,1))</f>
        <v>0</v>
      </c>
      <c r="AF315" s="96">
        <f>IF(R315=0,0,COUNTIFS('VÍNCULOS_CDF'!$R$6:$R$1005,A315,'VÍNCULOS_CDF'!$Y$6:$Y$1005,1))</f>
        <v>0</v>
      </c>
      <c r="AG315" s="96" t="str">
        <f>IF(AND(R315=1,S315&lt;&gt;"",C315&lt;&gt;""),S315&amp;"|"&amp;C315&amp;"|"&amp;G315&amp;"|"&amp;H315,"")</f>
        <v/>
      </c>
      <c r="AH315" s="96">
        <f>IF(AG315="",0,IF(SUMPRODUCT(--($AG$6:$AG$1005=AG315))&gt;1,1,0))</f>
        <v>0</v>
      </c>
      <c r="AI315" s="96">
        <f>IF(R315=0,0,IF(OR(U315=0,V315=0,Y315=0,AND(AH315=1,K315&lt;&gt;"Sim")),1,0))</f>
        <v>0</v>
      </c>
      <c r="AJ315" s="96">
        <f>IF(AND(R315=1,AA315&gt;0,AB315=AA315),1,0)</f>
        <v>0</v>
      </c>
      <c r="AK315" s="96">
        <f>IF(R315=0,0,IF(AA315&gt;0,N(L315),IF(ISNUMBER(I315),I315,0)))</f>
        <v>0</v>
      </c>
      <c r="AL315" s="96">
        <f>IF(R315=0,0,IF(AND(K315&lt;&gt;"Sim",N(M315)&gt;AK315+cfg_tol),1,0))</f>
        <v>0</v>
      </c>
      <c r="AM315" s="96">
        <f>IF(R315=0,0,IF(K315="Sim",0,IF(OR(AND(AA315&gt;0,ISNUMBER(I315),ABS(I315-N(L315))&gt;cfg_tol),AL315=1),1,0)))</f>
        <v>0</v>
      </c>
      <c r="AN315" s="96">
        <f>IF(AND(R315=1,N(M315)&gt;0,OR(N(M315)&gt;=AK315-cfg_tol,K315="Sim")),1,0)</f>
        <v>0</v>
      </c>
      <c r="AO315" s="96">
        <f>IF(AND(AN315=1,AD315&gt;0,AE315=AD315,AL315=0),1,0)</f>
        <v>0</v>
      </c>
      <c r="AP315" s="96">
        <f>IF(U315=0,0,IF(AND(INDEX('MTRs'!$AX$6:$AX$505,T315)=1,Z315=0,OR(f_res="",f_res="(Todos)",C315=f_res)),1,0))</f>
        <v>0</v>
      </c>
      <c r="AQ315" s="97" t="str">
        <f>IF(U315=0,"",INDEX('MTRs'!$AZ$6:$AZ$505,T315))</f>
        <v/>
      </c>
      <c r="AR315" s="96">
        <f>IF(U315=0,0,IF(AND(INDEX('MTRs'!$BA$6:$BA$505,T315)=1,Z315=0),1,0))</f>
        <v>0</v>
      </c>
      <c r="AS315" s="96" t="str">
        <f>IF(R315=1,A315&amp;" | MTR "&amp;IF(U315=1,INDEX('MTRs'!$B$6:$B$505,T315)&amp;"","?")&amp;" | "&amp;IF(C315="","(sem resíduo)",C315),"")</f>
        <v/>
      </c>
      <c r="AT315" s="96" t="str">
        <f>IF(R315=1,COUNTIF($R$6:R315,1),"")</f>
        <v/>
      </c>
      <c r="AU315" s="96" t="str">
        <f>IF(U315=1,INDEX('MTRs'!$I$6:$I$505,T315)&amp;"","")</f>
        <v/>
      </c>
    </row>
    <row r="316">
      <c r="A316" s="89" t="inlineStr">
        <is>
          <t>IT-000311</t>
        </is>
      </c>
      <c r="B316" s="91" t="n"/>
      <c r="C316" s="91" t="n"/>
      <c r="D316" s="94" t="str">
        <f>IF(OR(R316=0,V316=0),"",INDEX('CAD_RESÍDUOS'!$E$6:$E$205,MATCH(C316,'CAD_RESÍDUOS'!$B$6:$B$205,0))&amp;"")</f>
        <v/>
      </c>
      <c r="E316" s="94" t="str">
        <f>IF(OR(R316=0,V316=0),"",INDEX('CAD_RESÍDUOS'!$C$6:$C$205,MATCH(C316,'CAD_RESÍDUOS'!$B$6:$B$205,0))&amp;"")</f>
        <v/>
      </c>
      <c r="F316" s="94" t="str">
        <f>IF(OR(R316=0,V316=0),"",INDEX('CAD_RESÍDUOS'!$G$6:$G$205,MATCH(C316,'CAD_RESÍDUOS'!$B$6:$B$205,0))&amp;"")</f>
        <v/>
      </c>
      <c r="G316" s="98" t="n"/>
      <c r="H316" s="91" t="n"/>
      <c r="I316" s="93" t="str">
        <f>IF(R316=0,"",IF(NOT(ISNUMBER(G316)),"",IF(ISNUMBER(X316),G316*X316,"UNIDADE A CONFERIR")))</f>
        <v/>
      </c>
      <c r="J316" s="91" t="n"/>
      <c r="K316" s="91" t="n"/>
      <c r="L316" s="93" t="str">
        <f>IF(R316=0,"",SUMIFS('RECEBIMENTOS'!$H$6:$H$1005,'RECEBIMENTOS'!$R$6:$R$1005,A316,'RECEBIMENTOS'!$X$6:$X$1005,1))</f>
        <v/>
      </c>
      <c r="M316" s="93" t="str">
        <f>IF(R316=0,"",SUMIFS('VÍNCULOS_CDF'!$H$6:$H$1005,'VÍNCULOS_CDF'!$R$6:$R$1005,A316,'VÍNCULOS_CDF'!$V$6:$V$1005,1))</f>
        <v/>
      </c>
      <c r="N316" s="99" t="str">
        <f>IF(OR(R316=0,AA316=0,NOT(ISNUMBER(I316))),"",I316-N(L316))</f>
        <v/>
      </c>
      <c r="O316" s="100" t="str">
        <f>IF(OR(R316=0,AK316&lt;=0),"",N(M316)/AK316)</f>
        <v/>
      </c>
      <c r="P316" s="94" t="str">
        <f>IF(R316=0,"",IF(S316="","Sem MTR associado",IF(U316=0,"MTR inexistente",IF(C316="","Resíduo não identificado",IF(V316=0,"Resíduo fora do cadastro",IF(W316=0,"Quantidade inválida",IF(H316="","Unidade não informada",IF(NOT(ISNUMBER(I316)),"Unidade a conferir",IF(AND(AH316=1,K316&lt;&gt;"Sim"),"Possível duplicidade",IF(Z316=1,"MTR cancelado",IF(AC316&gt;0,"Recebimento com alerta",IF(AA316=0,"Aguardando recebimento",IF(AB316&lt;AA316,"Recebimento a conferir",IF(AM316=1,"Quantidade a revisar",IF(AF316&gt;0,"Vínculo a revisar",IF(AD316=0,"Aguardando CDF",IF(AN316=0,"Vínculo de CDF parcial",IF(AE316&lt;AD316,"CDF a conferir","Documentação conferida"))))))))))))))))))</f>
        <v/>
      </c>
      <c r="Q316" s="93" t="str">
        <f>IF(OR(R316=0,AA316=0),"",MAX(0,N(L316)-N(M316)))</f>
        <v/>
      </c>
      <c r="R316" s="96">
        <f>IF(COUNTA(B316:C316,G316:H316,J316:K316)&gt;0,1,0)</f>
        <v>0</v>
      </c>
      <c r="S316" s="96" t="str">
        <f>IF(B316="","",TRIM(LEFT(B316,FIND(" |",B316&amp;" |")-1)))</f>
        <v/>
      </c>
      <c r="T316" s="96" t="str">
        <f>IF(S316="","",IFERROR(MATCH(S316,'MTRs'!$A$6:$A$505,0),""))</f>
        <v/>
      </c>
      <c r="U316" s="96">
        <f>IF(T316="",0,IF(INDEX('MTRs'!$Z$6:$Z$505,T316)=1,1,0))</f>
        <v>0</v>
      </c>
      <c r="V316" s="96">
        <f>IF(C316="",0,IF(ISNUMBER(MATCH(C316,'CAD_RESÍDUOS'!$B$6:$B$205,0)),1,0))</f>
        <v>0</v>
      </c>
      <c r="W316" s="96">
        <f>IF(AND(ISNUMBER(G316),G316&gt;0),1,0)</f>
        <v>0</v>
      </c>
      <c r="X316" s="96" t="str">
        <f>IF(H316="","",IFERROR(IF(ISNUMBER(INDEX(cfg_fac,MATCH(H316,cfg_units,0))),IF(INDEX(cfg_fac,MATCH(H316,cfg_units,0))&gt;0,INDEX(cfg_fac,MATCH(H316,cfg_units,0)),""),""),""))</f>
        <v/>
      </c>
      <c r="Y316" s="96">
        <f>IF(AND(W316=1,ISNUMBER(I316)),1,0)</f>
        <v>0</v>
      </c>
      <c r="Z316" s="96">
        <f>IF(U316=1,INDEX('MTRs'!$AA$6:$AA$505,T316),0)</f>
        <v>0</v>
      </c>
      <c r="AA316" s="96">
        <f>IF(R316=0,0,COUNTIFS('RECEBIMENTOS'!$R$6:$R$1005,A316,'RECEBIMENTOS'!$Q$6:$Q$1005,1))</f>
        <v>0</v>
      </c>
      <c r="AB316" s="96">
        <f>IF(R316=0,0,COUNTIFS('RECEBIMENTOS'!$R$6:$R$1005,A316,'RECEBIMENTOS'!$Z$6:$Z$1005,1))</f>
        <v>0</v>
      </c>
      <c r="AC316" s="96">
        <f>IF(R316=0,0,COUNTIFS('RECEBIMENTOS'!$R$6:$R$1005,A316,'RECEBIMENTOS'!$Y$6:$Y$1005,1))</f>
        <v>0</v>
      </c>
      <c r="AD316" s="96">
        <f>IF(R316=0,0,COUNTIFS('VÍNCULOS_CDF'!$R$6:$R$1005,A316,'VÍNCULOS_CDF'!$N$6:$N$1005,1))</f>
        <v>0</v>
      </c>
      <c r="AE316" s="96">
        <f>IF(R316=0,0,COUNTIFS('VÍNCULOS_CDF'!$R$6:$R$1005,A316,'VÍNCULOS_CDF'!$AA$6:$AA$1005,1))</f>
        <v>0</v>
      </c>
      <c r="AF316" s="96">
        <f>IF(R316=0,0,COUNTIFS('VÍNCULOS_CDF'!$R$6:$R$1005,A316,'VÍNCULOS_CDF'!$Y$6:$Y$1005,1))</f>
        <v>0</v>
      </c>
      <c r="AG316" s="96" t="str">
        <f>IF(AND(R316=1,S316&lt;&gt;"",C316&lt;&gt;""),S316&amp;"|"&amp;C316&amp;"|"&amp;G316&amp;"|"&amp;H316,"")</f>
        <v/>
      </c>
      <c r="AH316" s="96">
        <f>IF(AG316="",0,IF(SUMPRODUCT(--($AG$6:$AG$1005=AG316))&gt;1,1,0))</f>
        <v>0</v>
      </c>
      <c r="AI316" s="96">
        <f>IF(R316=0,0,IF(OR(U316=0,V316=0,Y316=0,AND(AH316=1,K316&lt;&gt;"Sim")),1,0))</f>
        <v>0</v>
      </c>
      <c r="AJ316" s="96">
        <f>IF(AND(R316=1,AA316&gt;0,AB316=AA316),1,0)</f>
        <v>0</v>
      </c>
      <c r="AK316" s="96">
        <f>IF(R316=0,0,IF(AA316&gt;0,N(L316),IF(ISNUMBER(I316),I316,0)))</f>
        <v>0</v>
      </c>
      <c r="AL316" s="96">
        <f>IF(R316=0,0,IF(AND(K316&lt;&gt;"Sim",N(M316)&gt;AK316+cfg_tol),1,0))</f>
        <v>0</v>
      </c>
      <c r="AM316" s="96">
        <f>IF(R316=0,0,IF(K316="Sim",0,IF(OR(AND(AA316&gt;0,ISNUMBER(I316),ABS(I316-N(L316))&gt;cfg_tol),AL316=1),1,0)))</f>
        <v>0</v>
      </c>
      <c r="AN316" s="96">
        <f>IF(AND(R316=1,N(M316)&gt;0,OR(N(M316)&gt;=AK316-cfg_tol,K316="Sim")),1,0)</f>
        <v>0</v>
      </c>
      <c r="AO316" s="96">
        <f>IF(AND(AN316=1,AD316&gt;0,AE316=AD316,AL316=0),1,0)</f>
        <v>0</v>
      </c>
      <c r="AP316" s="96">
        <f>IF(U316=0,0,IF(AND(INDEX('MTRs'!$AX$6:$AX$505,T316)=1,Z316=0,OR(f_res="",f_res="(Todos)",C316=f_res)),1,0))</f>
        <v>0</v>
      </c>
      <c r="AQ316" s="97" t="str">
        <f>IF(U316=0,"",INDEX('MTRs'!$AZ$6:$AZ$505,T316))</f>
        <v/>
      </c>
      <c r="AR316" s="96">
        <f>IF(U316=0,0,IF(AND(INDEX('MTRs'!$BA$6:$BA$505,T316)=1,Z316=0),1,0))</f>
        <v>0</v>
      </c>
      <c r="AS316" s="96" t="str">
        <f>IF(R316=1,A316&amp;" | MTR "&amp;IF(U316=1,INDEX('MTRs'!$B$6:$B$505,T316)&amp;"","?")&amp;" | "&amp;IF(C316="","(sem resíduo)",C316),"")</f>
        <v/>
      </c>
      <c r="AT316" s="96" t="str">
        <f>IF(R316=1,COUNTIF($R$6:R316,1),"")</f>
        <v/>
      </c>
      <c r="AU316" s="96" t="str">
        <f>IF(U316=1,INDEX('MTRs'!$I$6:$I$505,T316)&amp;"","")</f>
        <v/>
      </c>
    </row>
    <row r="317">
      <c r="A317" s="89" t="inlineStr">
        <is>
          <t>IT-000312</t>
        </is>
      </c>
      <c r="B317" s="91" t="n"/>
      <c r="C317" s="91" t="n"/>
      <c r="D317" s="94" t="str">
        <f>IF(OR(R317=0,V317=0),"",INDEX('CAD_RESÍDUOS'!$E$6:$E$205,MATCH(C317,'CAD_RESÍDUOS'!$B$6:$B$205,0))&amp;"")</f>
        <v/>
      </c>
      <c r="E317" s="94" t="str">
        <f>IF(OR(R317=0,V317=0),"",INDEX('CAD_RESÍDUOS'!$C$6:$C$205,MATCH(C317,'CAD_RESÍDUOS'!$B$6:$B$205,0))&amp;"")</f>
        <v/>
      </c>
      <c r="F317" s="94" t="str">
        <f>IF(OR(R317=0,V317=0),"",INDEX('CAD_RESÍDUOS'!$G$6:$G$205,MATCH(C317,'CAD_RESÍDUOS'!$B$6:$B$205,0))&amp;"")</f>
        <v/>
      </c>
      <c r="G317" s="98" t="n"/>
      <c r="H317" s="91" t="n"/>
      <c r="I317" s="93" t="str">
        <f>IF(R317=0,"",IF(NOT(ISNUMBER(G317)),"",IF(ISNUMBER(X317),G317*X317,"UNIDADE A CONFERIR")))</f>
        <v/>
      </c>
      <c r="J317" s="91" t="n"/>
      <c r="K317" s="91" t="n"/>
      <c r="L317" s="93" t="str">
        <f>IF(R317=0,"",SUMIFS('RECEBIMENTOS'!$H$6:$H$1005,'RECEBIMENTOS'!$R$6:$R$1005,A317,'RECEBIMENTOS'!$X$6:$X$1005,1))</f>
        <v/>
      </c>
      <c r="M317" s="93" t="str">
        <f>IF(R317=0,"",SUMIFS('VÍNCULOS_CDF'!$H$6:$H$1005,'VÍNCULOS_CDF'!$R$6:$R$1005,A317,'VÍNCULOS_CDF'!$V$6:$V$1005,1))</f>
        <v/>
      </c>
      <c r="N317" s="99" t="str">
        <f>IF(OR(R317=0,AA317=0,NOT(ISNUMBER(I317))),"",I317-N(L317))</f>
        <v/>
      </c>
      <c r="O317" s="100" t="str">
        <f>IF(OR(R317=0,AK317&lt;=0),"",N(M317)/AK317)</f>
        <v/>
      </c>
      <c r="P317" s="94" t="str">
        <f>IF(R317=0,"",IF(S317="","Sem MTR associado",IF(U317=0,"MTR inexistente",IF(C317="","Resíduo não identificado",IF(V317=0,"Resíduo fora do cadastro",IF(W317=0,"Quantidade inválida",IF(H317="","Unidade não informada",IF(NOT(ISNUMBER(I317)),"Unidade a conferir",IF(AND(AH317=1,K317&lt;&gt;"Sim"),"Possível duplicidade",IF(Z317=1,"MTR cancelado",IF(AC317&gt;0,"Recebimento com alerta",IF(AA317=0,"Aguardando recebimento",IF(AB317&lt;AA317,"Recebimento a conferir",IF(AM317=1,"Quantidade a revisar",IF(AF317&gt;0,"Vínculo a revisar",IF(AD317=0,"Aguardando CDF",IF(AN317=0,"Vínculo de CDF parcial",IF(AE317&lt;AD317,"CDF a conferir","Documentação conferida"))))))))))))))))))</f>
        <v/>
      </c>
      <c r="Q317" s="93" t="str">
        <f>IF(OR(R317=0,AA317=0),"",MAX(0,N(L317)-N(M317)))</f>
        <v/>
      </c>
      <c r="R317" s="96">
        <f>IF(COUNTA(B317:C317,G317:H317,J317:K317)&gt;0,1,0)</f>
        <v>0</v>
      </c>
      <c r="S317" s="96" t="str">
        <f>IF(B317="","",TRIM(LEFT(B317,FIND(" |",B317&amp;" |")-1)))</f>
        <v/>
      </c>
      <c r="T317" s="96" t="str">
        <f>IF(S317="","",IFERROR(MATCH(S317,'MTRs'!$A$6:$A$505,0),""))</f>
        <v/>
      </c>
      <c r="U317" s="96">
        <f>IF(T317="",0,IF(INDEX('MTRs'!$Z$6:$Z$505,T317)=1,1,0))</f>
        <v>0</v>
      </c>
      <c r="V317" s="96">
        <f>IF(C317="",0,IF(ISNUMBER(MATCH(C317,'CAD_RESÍDUOS'!$B$6:$B$205,0)),1,0))</f>
        <v>0</v>
      </c>
      <c r="W317" s="96">
        <f>IF(AND(ISNUMBER(G317),G317&gt;0),1,0)</f>
        <v>0</v>
      </c>
      <c r="X317" s="96" t="str">
        <f>IF(H317="","",IFERROR(IF(ISNUMBER(INDEX(cfg_fac,MATCH(H317,cfg_units,0))),IF(INDEX(cfg_fac,MATCH(H317,cfg_units,0))&gt;0,INDEX(cfg_fac,MATCH(H317,cfg_units,0)),""),""),""))</f>
        <v/>
      </c>
      <c r="Y317" s="96">
        <f>IF(AND(W317=1,ISNUMBER(I317)),1,0)</f>
        <v>0</v>
      </c>
      <c r="Z317" s="96">
        <f>IF(U317=1,INDEX('MTRs'!$AA$6:$AA$505,T317),0)</f>
        <v>0</v>
      </c>
      <c r="AA317" s="96">
        <f>IF(R317=0,0,COUNTIFS('RECEBIMENTOS'!$R$6:$R$1005,A317,'RECEBIMENTOS'!$Q$6:$Q$1005,1))</f>
        <v>0</v>
      </c>
      <c r="AB317" s="96">
        <f>IF(R317=0,0,COUNTIFS('RECEBIMENTOS'!$R$6:$R$1005,A317,'RECEBIMENTOS'!$Z$6:$Z$1005,1))</f>
        <v>0</v>
      </c>
      <c r="AC317" s="96">
        <f>IF(R317=0,0,COUNTIFS('RECEBIMENTOS'!$R$6:$R$1005,A317,'RECEBIMENTOS'!$Y$6:$Y$1005,1))</f>
        <v>0</v>
      </c>
      <c r="AD317" s="96">
        <f>IF(R317=0,0,COUNTIFS('VÍNCULOS_CDF'!$R$6:$R$1005,A317,'VÍNCULOS_CDF'!$N$6:$N$1005,1))</f>
        <v>0</v>
      </c>
      <c r="AE317" s="96">
        <f>IF(R317=0,0,COUNTIFS('VÍNCULOS_CDF'!$R$6:$R$1005,A317,'VÍNCULOS_CDF'!$AA$6:$AA$1005,1))</f>
        <v>0</v>
      </c>
      <c r="AF317" s="96">
        <f>IF(R317=0,0,COUNTIFS('VÍNCULOS_CDF'!$R$6:$R$1005,A317,'VÍNCULOS_CDF'!$Y$6:$Y$1005,1))</f>
        <v>0</v>
      </c>
      <c r="AG317" s="96" t="str">
        <f>IF(AND(R317=1,S317&lt;&gt;"",C317&lt;&gt;""),S317&amp;"|"&amp;C317&amp;"|"&amp;G317&amp;"|"&amp;H317,"")</f>
        <v/>
      </c>
      <c r="AH317" s="96">
        <f>IF(AG317="",0,IF(SUMPRODUCT(--($AG$6:$AG$1005=AG317))&gt;1,1,0))</f>
        <v>0</v>
      </c>
      <c r="AI317" s="96">
        <f>IF(R317=0,0,IF(OR(U317=0,V317=0,Y317=0,AND(AH317=1,K317&lt;&gt;"Sim")),1,0))</f>
        <v>0</v>
      </c>
      <c r="AJ317" s="96">
        <f>IF(AND(R317=1,AA317&gt;0,AB317=AA317),1,0)</f>
        <v>0</v>
      </c>
      <c r="AK317" s="96">
        <f>IF(R317=0,0,IF(AA317&gt;0,N(L317),IF(ISNUMBER(I317),I317,0)))</f>
        <v>0</v>
      </c>
      <c r="AL317" s="96">
        <f>IF(R317=0,0,IF(AND(K317&lt;&gt;"Sim",N(M317)&gt;AK317+cfg_tol),1,0))</f>
        <v>0</v>
      </c>
      <c r="AM317" s="96">
        <f>IF(R317=0,0,IF(K317="Sim",0,IF(OR(AND(AA317&gt;0,ISNUMBER(I317),ABS(I317-N(L317))&gt;cfg_tol),AL317=1),1,0)))</f>
        <v>0</v>
      </c>
      <c r="AN317" s="96">
        <f>IF(AND(R317=1,N(M317)&gt;0,OR(N(M317)&gt;=AK317-cfg_tol,K317="Sim")),1,0)</f>
        <v>0</v>
      </c>
      <c r="AO317" s="96">
        <f>IF(AND(AN317=1,AD317&gt;0,AE317=AD317,AL317=0),1,0)</f>
        <v>0</v>
      </c>
      <c r="AP317" s="96">
        <f>IF(U317=0,0,IF(AND(INDEX('MTRs'!$AX$6:$AX$505,T317)=1,Z317=0,OR(f_res="",f_res="(Todos)",C317=f_res)),1,0))</f>
        <v>0</v>
      </c>
      <c r="AQ317" s="97" t="str">
        <f>IF(U317=0,"",INDEX('MTRs'!$AZ$6:$AZ$505,T317))</f>
        <v/>
      </c>
      <c r="AR317" s="96">
        <f>IF(U317=0,0,IF(AND(INDEX('MTRs'!$BA$6:$BA$505,T317)=1,Z317=0),1,0))</f>
        <v>0</v>
      </c>
      <c r="AS317" s="96" t="str">
        <f>IF(R317=1,A317&amp;" | MTR "&amp;IF(U317=1,INDEX('MTRs'!$B$6:$B$505,T317)&amp;"","?")&amp;" | "&amp;IF(C317="","(sem resíduo)",C317),"")</f>
        <v/>
      </c>
      <c r="AT317" s="96" t="str">
        <f>IF(R317=1,COUNTIF($R$6:R317,1),"")</f>
        <v/>
      </c>
      <c r="AU317" s="96" t="str">
        <f>IF(U317=1,INDEX('MTRs'!$I$6:$I$505,T317)&amp;"","")</f>
        <v/>
      </c>
    </row>
    <row r="318">
      <c r="A318" s="89" t="inlineStr">
        <is>
          <t>IT-000313</t>
        </is>
      </c>
      <c r="B318" s="91" t="n"/>
      <c r="C318" s="91" t="n"/>
      <c r="D318" s="94" t="str">
        <f>IF(OR(R318=0,V318=0),"",INDEX('CAD_RESÍDUOS'!$E$6:$E$205,MATCH(C318,'CAD_RESÍDUOS'!$B$6:$B$205,0))&amp;"")</f>
        <v/>
      </c>
      <c r="E318" s="94" t="str">
        <f>IF(OR(R318=0,V318=0),"",INDEX('CAD_RESÍDUOS'!$C$6:$C$205,MATCH(C318,'CAD_RESÍDUOS'!$B$6:$B$205,0))&amp;"")</f>
        <v/>
      </c>
      <c r="F318" s="94" t="str">
        <f>IF(OR(R318=0,V318=0),"",INDEX('CAD_RESÍDUOS'!$G$6:$G$205,MATCH(C318,'CAD_RESÍDUOS'!$B$6:$B$205,0))&amp;"")</f>
        <v/>
      </c>
      <c r="G318" s="98" t="n"/>
      <c r="H318" s="91" t="n"/>
      <c r="I318" s="93" t="str">
        <f>IF(R318=0,"",IF(NOT(ISNUMBER(G318)),"",IF(ISNUMBER(X318),G318*X318,"UNIDADE A CONFERIR")))</f>
        <v/>
      </c>
      <c r="J318" s="91" t="n"/>
      <c r="K318" s="91" t="n"/>
      <c r="L318" s="93" t="str">
        <f>IF(R318=0,"",SUMIFS('RECEBIMENTOS'!$H$6:$H$1005,'RECEBIMENTOS'!$R$6:$R$1005,A318,'RECEBIMENTOS'!$X$6:$X$1005,1))</f>
        <v/>
      </c>
      <c r="M318" s="93" t="str">
        <f>IF(R318=0,"",SUMIFS('VÍNCULOS_CDF'!$H$6:$H$1005,'VÍNCULOS_CDF'!$R$6:$R$1005,A318,'VÍNCULOS_CDF'!$V$6:$V$1005,1))</f>
        <v/>
      </c>
      <c r="N318" s="99" t="str">
        <f>IF(OR(R318=0,AA318=0,NOT(ISNUMBER(I318))),"",I318-N(L318))</f>
        <v/>
      </c>
      <c r="O318" s="100" t="str">
        <f>IF(OR(R318=0,AK318&lt;=0),"",N(M318)/AK318)</f>
        <v/>
      </c>
      <c r="P318" s="94" t="str">
        <f>IF(R318=0,"",IF(S318="","Sem MTR associado",IF(U318=0,"MTR inexistente",IF(C318="","Resíduo não identificado",IF(V318=0,"Resíduo fora do cadastro",IF(W318=0,"Quantidade inválida",IF(H318="","Unidade não informada",IF(NOT(ISNUMBER(I318)),"Unidade a conferir",IF(AND(AH318=1,K318&lt;&gt;"Sim"),"Possível duplicidade",IF(Z318=1,"MTR cancelado",IF(AC318&gt;0,"Recebimento com alerta",IF(AA318=0,"Aguardando recebimento",IF(AB318&lt;AA318,"Recebimento a conferir",IF(AM318=1,"Quantidade a revisar",IF(AF318&gt;0,"Vínculo a revisar",IF(AD318=0,"Aguardando CDF",IF(AN318=0,"Vínculo de CDF parcial",IF(AE318&lt;AD318,"CDF a conferir","Documentação conferida"))))))))))))))))))</f>
        <v/>
      </c>
      <c r="Q318" s="93" t="str">
        <f>IF(OR(R318=0,AA318=0),"",MAX(0,N(L318)-N(M318)))</f>
        <v/>
      </c>
      <c r="R318" s="96">
        <f>IF(COUNTA(B318:C318,G318:H318,J318:K318)&gt;0,1,0)</f>
        <v>0</v>
      </c>
      <c r="S318" s="96" t="str">
        <f>IF(B318="","",TRIM(LEFT(B318,FIND(" |",B318&amp;" |")-1)))</f>
        <v/>
      </c>
      <c r="T318" s="96" t="str">
        <f>IF(S318="","",IFERROR(MATCH(S318,'MTRs'!$A$6:$A$505,0),""))</f>
        <v/>
      </c>
      <c r="U318" s="96">
        <f>IF(T318="",0,IF(INDEX('MTRs'!$Z$6:$Z$505,T318)=1,1,0))</f>
        <v>0</v>
      </c>
      <c r="V318" s="96">
        <f>IF(C318="",0,IF(ISNUMBER(MATCH(C318,'CAD_RESÍDUOS'!$B$6:$B$205,0)),1,0))</f>
        <v>0</v>
      </c>
      <c r="W318" s="96">
        <f>IF(AND(ISNUMBER(G318),G318&gt;0),1,0)</f>
        <v>0</v>
      </c>
      <c r="X318" s="96" t="str">
        <f>IF(H318="","",IFERROR(IF(ISNUMBER(INDEX(cfg_fac,MATCH(H318,cfg_units,0))),IF(INDEX(cfg_fac,MATCH(H318,cfg_units,0))&gt;0,INDEX(cfg_fac,MATCH(H318,cfg_units,0)),""),""),""))</f>
        <v/>
      </c>
      <c r="Y318" s="96">
        <f>IF(AND(W318=1,ISNUMBER(I318)),1,0)</f>
        <v>0</v>
      </c>
      <c r="Z318" s="96">
        <f>IF(U318=1,INDEX('MTRs'!$AA$6:$AA$505,T318),0)</f>
        <v>0</v>
      </c>
      <c r="AA318" s="96">
        <f>IF(R318=0,0,COUNTIFS('RECEBIMENTOS'!$R$6:$R$1005,A318,'RECEBIMENTOS'!$Q$6:$Q$1005,1))</f>
        <v>0</v>
      </c>
      <c r="AB318" s="96">
        <f>IF(R318=0,0,COUNTIFS('RECEBIMENTOS'!$R$6:$R$1005,A318,'RECEBIMENTOS'!$Z$6:$Z$1005,1))</f>
        <v>0</v>
      </c>
      <c r="AC318" s="96">
        <f>IF(R318=0,0,COUNTIFS('RECEBIMENTOS'!$R$6:$R$1005,A318,'RECEBIMENTOS'!$Y$6:$Y$1005,1))</f>
        <v>0</v>
      </c>
      <c r="AD318" s="96">
        <f>IF(R318=0,0,COUNTIFS('VÍNCULOS_CDF'!$R$6:$R$1005,A318,'VÍNCULOS_CDF'!$N$6:$N$1005,1))</f>
        <v>0</v>
      </c>
      <c r="AE318" s="96">
        <f>IF(R318=0,0,COUNTIFS('VÍNCULOS_CDF'!$R$6:$R$1005,A318,'VÍNCULOS_CDF'!$AA$6:$AA$1005,1))</f>
        <v>0</v>
      </c>
      <c r="AF318" s="96">
        <f>IF(R318=0,0,COUNTIFS('VÍNCULOS_CDF'!$R$6:$R$1005,A318,'VÍNCULOS_CDF'!$Y$6:$Y$1005,1))</f>
        <v>0</v>
      </c>
      <c r="AG318" s="96" t="str">
        <f>IF(AND(R318=1,S318&lt;&gt;"",C318&lt;&gt;""),S318&amp;"|"&amp;C318&amp;"|"&amp;G318&amp;"|"&amp;H318,"")</f>
        <v/>
      </c>
      <c r="AH318" s="96">
        <f>IF(AG318="",0,IF(SUMPRODUCT(--($AG$6:$AG$1005=AG318))&gt;1,1,0))</f>
        <v>0</v>
      </c>
      <c r="AI318" s="96">
        <f>IF(R318=0,0,IF(OR(U318=0,V318=0,Y318=0,AND(AH318=1,K318&lt;&gt;"Sim")),1,0))</f>
        <v>0</v>
      </c>
      <c r="AJ318" s="96">
        <f>IF(AND(R318=1,AA318&gt;0,AB318=AA318),1,0)</f>
        <v>0</v>
      </c>
      <c r="AK318" s="96">
        <f>IF(R318=0,0,IF(AA318&gt;0,N(L318),IF(ISNUMBER(I318),I318,0)))</f>
        <v>0</v>
      </c>
      <c r="AL318" s="96">
        <f>IF(R318=0,0,IF(AND(K318&lt;&gt;"Sim",N(M318)&gt;AK318+cfg_tol),1,0))</f>
        <v>0</v>
      </c>
      <c r="AM318" s="96">
        <f>IF(R318=0,0,IF(K318="Sim",0,IF(OR(AND(AA318&gt;0,ISNUMBER(I318),ABS(I318-N(L318))&gt;cfg_tol),AL318=1),1,0)))</f>
        <v>0</v>
      </c>
      <c r="AN318" s="96">
        <f>IF(AND(R318=1,N(M318)&gt;0,OR(N(M318)&gt;=AK318-cfg_tol,K318="Sim")),1,0)</f>
        <v>0</v>
      </c>
      <c r="AO318" s="96">
        <f>IF(AND(AN318=1,AD318&gt;0,AE318=AD318,AL318=0),1,0)</f>
        <v>0</v>
      </c>
      <c r="AP318" s="96">
        <f>IF(U318=0,0,IF(AND(INDEX('MTRs'!$AX$6:$AX$505,T318)=1,Z318=0,OR(f_res="",f_res="(Todos)",C318=f_res)),1,0))</f>
        <v>0</v>
      </c>
      <c r="AQ318" s="97" t="str">
        <f>IF(U318=0,"",INDEX('MTRs'!$AZ$6:$AZ$505,T318))</f>
        <v/>
      </c>
      <c r="AR318" s="96">
        <f>IF(U318=0,0,IF(AND(INDEX('MTRs'!$BA$6:$BA$505,T318)=1,Z318=0),1,0))</f>
        <v>0</v>
      </c>
      <c r="AS318" s="96" t="str">
        <f>IF(R318=1,A318&amp;" | MTR "&amp;IF(U318=1,INDEX('MTRs'!$B$6:$B$505,T318)&amp;"","?")&amp;" | "&amp;IF(C318="","(sem resíduo)",C318),"")</f>
        <v/>
      </c>
      <c r="AT318" s="96" t="str">
        <f>IF(R318=1,COUNTIF($R$6:R318,1),"")</f>
        <v/>
      </c>
      <c r="AU318" s="96" t="str">
        <f>IF(U318=1,INDEX('MTRs'!$I$6:$I$505,T318)&amp;"","")</f>
        <v/>
      </c>
    </row>
    <row r="319">
      <c r="A319" s="89" t="inlineStr">
        <is>
          <t>IT-000314</t>
        </is>
      </c>
      <c r="B319" s="91" t="n"/>
      <c r="C319" s="91" t="n"/>
      <c r="D319" s="94" t="str">
        <f>IF(OR(R319=0,V319=0),"",INDEX('CAD_RESÍDUOS'!$E$6:$E$205,MATCH(C319,'CAD_RESÍDUOS'!$B$6:$B$205,0))&amp;"")</f>
        <v/>
      </c>
      <c r="E319" s="94" t="str">
        <f>IF(OR(R319=0,V319=0),"",INDEX('CAD_RESÍDUOS'!$C$6:$C$205,MATCH(C319,'CAD_RESÍDUOS'!$B$6:$B$205,0))&amp;"")</f>
        <v/>
      </c>
      <c r="F319" s="94" t="str">
        <f>IF(OR(R319=0,V319=0),"",INDEX('CAD_RESÍDUOS'!$G$6:$G$205,MATCH(C319,'CAD_RESÍDUOS'!$B$6:$B$205,0))&amp;"")</f>
        <v/>
      </c>
      <c r="G319" s="98" t="n"/>
      <c r="H319" s="91" t="n"/>
      <c r="I319" s="93" t="str">
        <f>IF(R319=0,"",IF(NOT(ISNUMBER(G319)),"",IF(ISNUMBER(X319),G319*X319,"UNIDADE A CONFERIR")))</f>
        <v/>
      </c>
      <c r="J319" s="91" t="n"/>
      <c r="K319" s="91" t="n"/>
      <c r="L319" s="93" t="str">
        <f>IF(R319=0,"",SUMIFS('RECEBIMENTOS'!$H$6:$H$1005,'RECEBIMENTOS'!$R$6:$R$1005,A319,'RECEBIMENTOS'!$X$6:$X$1005,1))</f>
        <v/>
      </c>
      <c r="M319" s="93" t="str">
        <f>IF(R319=0,"",SUMIFS('VÍNCULOS_CDF'!$H$6:$H$1005,'VÍNCULOS_CDF'!$R$6:$R$1005,A319,'VÍNCULOS_CDF'!$V$6:$V$1005,1))</f>
        <v/>
      </c>
      <c r="N319" s="99" t="str">
        <f>IF(OR(R319=0,AA319=0,NOT(ISNUMBER(I319))),"",I319-N(L319))</f>
        <v/>
      </c>
      <c r="O319" s="100" t="str">
        <f>IF(OR(R319=0,AK319&lt;=0),"",N(M319)/AK319)</f>
        <v/>
      </c>
      <c r="P319" s="94" t="str">
        <f>IF(R319=0,"",IF(S319="","Sem MTR associado",IF(U319=0,"MTR inexistente",IF(C319="","Resíduo não identificado",IF(V319=0,"Resíduo fora do cadastro",IF(W319=0,"Quantidade inválida",IF(H319="","Unidade não informada",IF(NOT(ISNUMBER(I319)),"Unidade a conferir",IF(AND(AH319=1,K319&lt;&gt;"Sim"),"Possível duplicidade",IF(Z319=1,"MTR cancelado",IF(AC319&gt;0,"Recebimento com alerta",IF(AA319=0,"Aguardando recebimento",IF(AB319&lt;AA319,"Recebimento a conferir",IF(AM319=1,"Quantidade a revisar",IF(AF319&gt;0,"Vínculo a revisar",IF(AD319=0,"Aguardando CDF",IF(AN319=0,"Vínculo de CDF parcial",IF(AE319&lt;AD319,"CDF a conferir","Documentação conferida"))))))))))))))))))</f>
        <v/>
      </c>
      <c r="Q319" s="93" t="str">
        <f>IF(OR(R319=0,AA319=0),"",MAX(0,N(L319)-N(M319)))</f>
        <v/>
      </c>
      <c r="R319" s="96">
        <f>IF(COUNTA(B319:C319,G319:H319,J319:K319)&gt;0,1,0)</f>
        <v>0</v>
      </c>
      <c r="S319" s="96" t="str">
        <f>IF(B319="","",TRIM(LEFT(B319,FIND(" |",B319&amp;" |")-1)))</f>
        <v/>
      </c>
      <c r="T319" s="96" t="str">
        <f>IF(S319="","",IFERROR(MATCH(S319,'MTRs'!$A$6:$A$505,0),""))</f>
        <v/>
      </c>
      <c r="U319" s="96">
        <f>IF(T319="",0,IF(INDEX('MTRs'!$Z$6:$Z$505,T319)=1,1,0))</f>
        <v>0</v>
      </c>
      <c r="V319" s="96">
        <f>IF(C319="",0,IF(ISNUMBER(MATCH(C319,'CAD_RESÍDUOS'!$B$6:$B$205,0)),1,0))</f>
        <v>0</v>
      </c>
      <c r="W319" s="96">
        <f>IF(AND(ISNUMBER(G319),G319&gt;0),1,0)</f>
        <v>0</v>
      </c>
      <c r="X319" s="96" t="str">
        <f>IF(H319="","",IFERROR(IF(ISNUMBER(INDEX(cfg_fac,MATCH(H319,cfg_units,0))),IF(INDEX(cfg_fac,MATCH(H319,cfg_units,0))&gt;0,INDEX(cfg_fac,MATCH(H319,cfg_units,0)),""),""),""))</f>
        <v/>
      </c>
      <c r="Y319" s="96">
        <f>IF(AND(W319=1,ISNUMBER(I319)),1,0)</f>
        <v>0</v>
      </c>
      <c r="Z319" s="96">
        <f>IF(U319=1,INDEX('MTRs'!$AA$6:$AA$505,T319),0)</f>
        <v>0</v>
      </c>
      <c r="AA319" s="96">
        <f>IF(R319=0,0,COUNTIFS('RECEBIMENTOS'!$R$6:$R$1005,A319,'RECEBIMENTOS'!$Q$6:$Q$1005,1))</f>
        <v>0</v>
      </c>
      <c r="AB319" s="96">
        <f>IF(R319=0,0,COUNTIFS('RECEBIMENTOS'!$R$6:$R$1005,A319,'RECEBIMENTOS'!$Z$6:$Z$1005,1))</f>
        <v>0</v>
      </c>
      <c r="AC319" s="96">
        <f>IF(R319=0,0,COUNTIFS('RECEBIMENTOS'!$R$6:$R$1005,A319,'RECEBIMENTOS'!$Y$6:$Y$1005,1))</f>
        <v>0</v>
      </c>
      <c r="AD319" s="96">
        <f>IF(R319=0,0,COUNTIFS('VÍNCULOS_CDF'!$R$6:$R$1005,A319,'VÍNCULOS_CDF'!$N$6:$N$1005,1))</f>
        <v>0</v>
      </c>
      <c r="AE319" s="96">
        <f>IF(R319=0,0,COUNTIFS('VÍNCULOS_CDF'!$R$6:$R$1005,A319,'VÍNCULOS_CDF'!$AA$6:$AA$1005,1))</f>
        <v>0</v>
      </c>
      <c r="AF319" s="96">
        <f>IF(R319=0,0,COUNTIFS('VÍNCULOS_CDF'!$R$6:$R$1005,A319,'VÍNCULOS_CDF'!$Y$6:$Y$1005,1))</f>
        <v>0</v>
      </c>
      <c r="AG319" s="96" t="str">
        <f>IF(AND(R319=1,S319&lt;&gt;"",C319&lt;&gt;""),S319&amp;"|"&amp;C319&amp;"|"&amp;G319&amp;"|"&amp;H319,"")</f>
        <v/>
      </c>
      <c r="AH319" s="96">
        <f>IF(AG319="",0,IF(SUMPRODUCT(--($AG$6:$AG$1005=AG319))&gt;1,1,0))</f>
        <v>0</v>
      </c>
      <c r="AI319" s="96">
        <f>IF(R319=0,0,IF(OR(U319=0,V319=0,Y319=0,AND(AH319=1,K319&lt;&gt;"Sim")),1,0))</f>
        <v>0</v>
      </c>
      <c r="AJ319" s="96">
        <f>IF(AND(R319=1,AA319&gt;0,AB319=AA319),1,0)</f>
        <v>0</v>
      </c>
      <c r="AK319" s="96">
        <f>IF(R319=0,0,IF(AA319&gt;0,N(L319),IF(ISNUMBER(I319),I319,0)))</f>
        <v>0</v>
      </c>
      <c r="AL319" s="96">
        <f>IF(R319=0,0,IF(AND(K319&lt;&gt;"Sim",N(M319)&gt;AK319+cfg_tol),1,0))</f>
        <v>0</v>
      </c>
      <c r="AM319" s="96">
        <f>IF(R319=0,0,IF(K319="Sim",0,IF(OR(AND(AA319&gt;0,ISNUMBER(I319),ABS(I319-N(L319))&gt;cfg_tol),AL319=1),1,0)))</f>
        <v>0</v>
      </c>
      <c r="AN319" s="96">
        <f>IF(AND(R319=1,N(M319)&gt;0,OR(N(M319)&gt;=AK319-cfg_tol,K319="Sim")),1,0)</f>
        <v>0</v>
      </c>
      <c r="AO319" s="96">
        <f>IF(AND(AN319=1,AD319&gt;0,AE319=AD319,AL319=0),1,0)</f>
        <v>0</v>
      </c>
      <c r="AP319" s="96">
        <f>IF(U319=0,0,IF(AND(INDEX('MTRs'!$AX$6:$AX$505,T319)=1,Z319=0,OR(f_res="",f_res="(Todos)",C319=f_res)),1,0))</f>
        <v>0</v>
      </c>
      <c r="AQ319" s="97" t="str">
        <f>IF(U319=0,"",INDEX('MTRs'!$AZ$6:$AZ$505,T319))</f>
        <v/>
      </c>
      <c r="AR319" s="96">
        <f>IF(U319=0,0,IF(AND(INDEX('MTRs'!$BA$6:$BA$505,T319)=1,Z319=0),1,0))</f>
        <v>0</v>
      </c>
      <c r="AS319" s="96" t="str">
        <f>IF(R319=1,A319&amp;" | MTR "&amp;IF(U319=1,INDEX('MTRs'!$B$6:$B$505,T319)&amp;"","?")&amp;" | "&amp;IF(C319="","(sem resíduo)",C319),"")</f>
        <v/>
      </c>
      <c r="AT319" s="96" t="str">
        <f>IF(R319=1,COUNTIF($R$6:R319,1),"")</f>
        <v/>
      </c>
      <c r="AU319" s="96" t="str">
        <f>IF(U319=1,INDEX('MTRs'!$I$6:$I$505,T319)&amp;"","")</f>
        <v/>
      </c>
    </row>
    <row r="320">
      <c r="A320" s="89" t="inlineStr">
        <is>
          <t>IT-000315</t>
        </is>
      </c>
      <c r="B320" s="91" t="n"/>
      <c r="C320" s="91" t="n"/>
      <c r="D320" s="94" t="str">
        <f>IF(OR(R320=0,V320=0),"",INDEX('CAD_RESÍDUOS'!$E$6:$E$205,MATCH(C320,'CAD_RESÍDUOS'!$B$6:$B$205,0))&amp;"")</f>
        <v/>
      </c>
      <c r="E320" s="94" t="str">
        <f>IF(OR(R320=0,V320=0),"",INDEX('CAD_RESÍDUOS'!$C$6:$C$205,MATCH(C320,'CAD_RESÍDUOS'!$B$6:$B$205,0))&amp;"")</f>
        <v/>
      </c>
      <c r="F320" s="94" t="str">
        <f>IF(OR(R320=0,V320=0),"",INDEX('CAD_RESÍDUOS'!$G$6:$G$205,MATCH(C320,'CAD_RESÍDUOS'!$B$6:$B$205,0))&amp;"")</f>
        <v/>
      </c>
      <c r="G320" s="98" t="n"/>
      <c r="H320" s="91" t="n"/>
      <c r="I320" s="93" t="str">
        <f>IF(R320=0,"",IF(NOT(ISNUMBER(G320)),"",IF(ISNUMBER(X320),G320*X320,"UNIDADE A CONFERIR")))</f>
        <v/>
      </c>
      <c r="J320" s="91" t="n"/>
      <c r="K320" s="91" t="n"/>
      <c r="L320" s="93" t="str">
        <f>IF(R320=0,"",SUMIFS('RECEBIMENTOS'!$H$6:$H$1005,'RECEBIMENTOS'!$R$6:$R$1005,A320,'RECEBIMENTOS'!$X$6:$X$1005,1))</f>
        <v/>
      </c>
      <c r="M320" s="93" t="str">
        <f>IF(R320=0,"",SUMIFS('VÍNCULOS_CDF'!$H$6:$H$1005,'VÍNCULOS_CDF'!$R$6:$R$1005,A320,'VÍNCULOS_CDF'!$V$6:$V$1005,1))</f>
        <v/>
      </c>
      <c r="N320" s="99" t="str">
        <f>IF(OR(R320=0,AA320=0,NOT(ISNUMBER(I320))),"",I320-N(L320))</f>
        <v/>
      </c>
      <c r="O320" s="100" t="str">
        <f>IF(OR(R320=0,AK320&lt;=0),"",N(M320)/AK320)</f>
        <v/>
      </c>
      <c r="P320" s="94" t="str">
        <f>IF(R320=0,"",IF(S320="","Sem MTR associado",IF(U320=0,"MTR inexistente",IF(C320="","Resíduo não identificado",IF(V320=0,"Resíduo fora do cadastro",IF(W320=0,"Quantidade inválida",IF(H320="","Unidade não informada",IF(NOT(ISNUMBER(I320)),"Unidade a conferir",IF(AND(AH320=1,K320&lt;&gt;"Sim"),"Possível duplicidade",IF(Z320=1,"MTR cancelado",IF(AC320&gt;0,"Recebimento com alerta",IF(AA320=0,"Aguardando recebimento",IF(AB320&lt;AA320,"Recebimento a conferir",IF(AM320=1,"Quantidade a revisar",IF(AF320&gt;0,"Vínculo a revisar",IF(AD320=0,"Aguardando CDF",IF(AN320=0,"Vínculo de CDF parcial",IF(AE320&lt;AD320,"CDF a conferir","Documentação conferida"))))))))))))))))))</f>
        <v/>
      </c>
      <c r="Q320" s="93" t="str">
        <f>IF(OR(R320=0,AA320=0),"",MAX(0,N(L320)-N(M320)))</f>
        <v/>
      </c>
      <c r="R320" s="96">
        <f>IF(COUNTA(B320:C320,G320:H320,J320:K320)&gt;0,1,0)</f>
        <v>0</v>
      </c>
      <c r="S320" s="96" t="str">
        <f>IF(B320="","",TRIM(LEFT(B320,FIND(" |",B320&amp;" |")-1)))</f>
        <v/>
      </c>
      <c r="T320" s="96" t="str">
        <f>IF(S320="","",IFERROR(MATCH(S320,'MTRs'!$A$6:$A$505,0),""))</f>
        <v/>
      </c>
      <c r="U320" s="96">
        <f>IF(T320="",0,IF(INDEX('MTRs'!$Z$6:$Z$505,T320)=1,1,0))</f>
        <v>0</v>
      </c>
      <c r="V320" s="96">
        <f>IF(C320="",0,IF(ISNUMBER(MATCH(C320,'CAD_RESÍDUOS'!$B$6:$B$205,0)),1,0))</f>
        <v>0</v>
      </c>
      <c r="W320" s="96">
        <f>IF(AND(ISNUMBER(G320),G320&gt;0),1,0)</f>
        <v>0</v>
      </c>
      <c r="X320" s="96" t="str">
        <f>IF(H320="","",IFERROR(IF(ISNUMBER(INDEX(cfg_fac,MATCH(H320,cfg_units,0))),IF(INDEX(cfg_fac,MATCH(H320,cfg_units,0))&gt;0,INDEX(cfg_fac,MATCH(H320,cfg_units,0)),""),""),""))</f>
        <v/>
      </c>
      <c r="Y320" s="96">
        <f>IF(AND(W320=1,ISNUMBER(I320)),1,0)</f>
        <v>0</v>
      </c>
      <c r="Z320" s="96">
        <f>IF(U320=1,INDEX('MTRs'!$AA$6:$AA$505,T320),0)</f>
        <v>0</v>
      </c>
      <c r="AA320" s="96">
        <f>IF(R320=0,0,COUNTIFS('RECEBIMENTOS'!$R$6:$R$1005,A320,'RECEBIMENTOS'!$Q$6:$Q$1005,1))</f>
        <v>0</v>
      </c>
      <c r="AB320" s="96">
        <f>IF(R320=0,0,COUNTIFS('RECEBIMENTOS'!$R$6:$R$1005,A320,'RECEBIMENTOS'!$Z$6:$Z$1005,1))</f>
        <v>0</v>
      </c>
      <c r="AC320" s="96">
        <f>IF(R320=0,0,COUNTIFS('RECEBIMENTOS'!$R$6:$R$1005,A320,'RECEBIMENTOS'!$Y$6:$Y$1005,1))</f>
        <v>0</v>
      </c>
      <c r="AD320" s="96">
        <f>IF(R320=0,0,COUNTIFS('VÍNCULOS_CDF'!$R$6:$R$1005,A320,'VÍNCULOS_CDF'!$N$6:$N$1005,1))</f>
        <v>0</v>
      </c>
      <c r="AE320" s="96">
        <f>IF(R320=0,0,COUNTIFS('VÍNCULOS_CDF'!$R$6:$R$1005,A320,'VÍNCULOS_CDF'!$AA$6:$AA$1005,1))</f>
        <v>0</v>
      </c>
      <c r="AF320" s="96">
        <f>IF(R320=0,0,COUNTIFS('VÍNCULOS_CDF'!$R$6:$R$1005,A320,'VÍNCULOS_CDF'!$Y$6:$Y$1005,1))</f>
        <v>0</v>
      </c>
      <c r="AG320" s="96" t="str">
        <f>IF(AND(R320=1,S320&lt;&gt;"",C320&lt;&gt;""),S320&amp;"|"&amp;C320&amp;"|"&amp;G320&amp;"|"&amp;H320,"")</f>
        <v/>
      </c>
      <c r="AH320" s="96">
        <f>IF(AG320="",0,IF(SUMPRODUCT(--($AG$6:$AG$1005=AG320))&gt;1,1,0))</f>
        <v>0</v>
      </c>
      <c r="AI320" s="96">
        <f>IF(R320=0,0,IF(OR(U320=0,V320=0,Y320=0,AND(AH320=1,K320&lt;&gt;"Sim")),1,0))</f>
        <v>0</v>
      </c>
      <c r="AJ320" s="96">
        <f>IF(AND(R320=1,AA320&gt;0,AB320=AA320),1,0)</f>
        <v>0</v>
      </c>
      <c r="AK320" s="96">
        <f>IF(R320=0,0,IF(AA320&gt;0,N(L320),IF(ISNUMBER(I320),I320,0)))</f>
        <v>0</v>
      </c>
      <c r="AL320" s="96">
        <f>IF(R320=0,0,IF(AND(K320&lt;&gt;"Sim",N(M320)&gt;AK320+cfg_tol),1,0))</f>
        <v>0</v>
      </c>
      <c r="AM320" s="96">
        <f>IF(R320=0,0,IF(K320="Sim",0,IF(OR(AND(AA320&gt;0,ISNUMBER(I320),ABS(I320-N(L320))&gt;cfg_tol),AL320=1),1,0)))</f>
        <v>0</v>
      </c>
      <c r="AN320" s="96">
        <f>IF(AND(R320=1,N(M320)&gt;0,OR(N(M320)&gt;=AK320-cfg_tol,K320="Sim")),1,0)</f>
        <v>0</v>
      </c>
      <c r="AO320" s="96">
        <f>IF(AND(AN320=1,AD320&gt;0,AE320=AD320,AL320=0),1,0)</f>
        <v>0</v>
      </c>
      <c r="AP320" s="96">
        <f>IF(U320=0,0,IF(AND(INDEX('MTRs'!$AX$6:$AX$505,T320)=1,Z320=0,OR(f_res="",f_res="(Todos)",C320=f_res)),1,0))</f>
        <v>0</v>
      </c>
      <c r="AQ320" s="97" t="str">
        <f>IF(U320=0,"",INDEX('MTRs'!$AZ$6:$AZ$505,T320))</f>
        <v/>
      </c>
      <c r="AR320" s="96">
        <f>IF(U320=0,0,IF(AND(INDEX('MTRs'!$BA$6:$BA$505,T320)=1,Z320=0),1,0))</f>
        <v>0</v>
      </c>
      <c r="AS320" s="96" t="str">
        <f>IF(R320=1,A320&amp;" | MTR "&amp;IF(U320=1,INDEX('MTRs'!$B$6:$B$505,T320)&amp;"","?")&amp;" | "&amp;IF(C320="","(sem resíduo)",C320),"")</f>
        <v/>
      </c>
      <c r="AT320" s="96" t="str">
        <f>IF(R320=1,COUNTIF($R$6:R320,1),"")</f>
        <v/>
      </c>
      <c r="AU320" s="96" t="str">
        <f>IF(U320=1,INDEX('MTRs'!$I$6:$I$505,T320)&amp;"","")</f>
        <v/>
      </c>
    </row>
    <row r="321">
      <c r="A321" s="89" t="inlineStr">
        <is>
          <t>IT-000316</t>
        </is>
      </c>
      <c r="B321" s="91" t="n"/>
      <c r="C321" s="91" t="n"/>
      <c r="D321" s="94" t="str">
        <f>IF(OR(R321=0,V321=0),"",INDEX('CAD_RESÍDUOS'!$E$6:$E$205,MATCH(C321,'CAD_RESÍDUOS'!$B$6:$B$205,0))&amp;"")</f>
        <v/>
      </c>
      <c r="E321" s="94" t="str">
        <f>IF(OR(R321=0,V321=0),"",INDEX('CAD_RESÍDUOS'!$C$6:$C$205,MATCH(C321,'CAD_RESÍDUOS'!$B$6:$B$205,0))&amp;"")</f>
        <v/>
      </c>
      <c r="F321" s="94" t="str">
        <f>IF(OR(R321=0,V321=0),"",INDEX('CAD_RESÍDUOS'!$G$6:$G$205,MATCH(C321,'CAD_RESÍDUOS'!$B$6:$B$205,0))&amp;"")</f>
        <v/>
      </c>
      <c r="G321" s="98" t="n"/>
      <c r="H321" s="91" t="n"/>
      <c r="I321" s="93" t="str">
        <f>IF(R321=0,"",IF(NOT(ISNUMBER(G321)),"",IF(ISNUMBER(X321),G321*X321,"UNIDADE A CONFERIR")))</f>
        <v/>
      </c>
      <c r="J321" s="91" t="n"/>
      <c r="K321" s="91" t="n"/>
      <c r="L321" s="93" t="str">
        <f>IF(R321=0,"",SUMIFS('RECEBIMENTOS'!$H$6:$H$1005,'RECEBIMENTOS'!$R$6:$R$1005,A321,'RECEBIMENTOS'!$X$6:$X$1005,1))</f>
        <v/>
      </c>
      <c r="M321" s="93" t="str">
        <f>IF(R321=0,"",SUMIFS('VÍNCULOS_CDF'!$H$6:$H$1005,'VÍNCULOS_CDF'!$R$6:$R$1005,A321,'VÍNCULOS_CDF'!$V$6:$V$1005,1))</f>
        <v/>
      </c>
      <c r="N321" s="99" t="str">
        <f>IF(OR(R321=0,AA321=0,NOT(ISNUMBER(I321))),"",I321-N(L321))</f>
        <v/>
      </c>
      <c r="O321" s="100" t="str">
        <f>IF(OR(R321=0,AK321&lt;=0),"",N(M321)/AK321)</f>
        <v/>
      </c>
      <c r="P321" s="94" t="str">
        <f>IF(R321=0,"",IF(S321="","Sem MTR associado",IF(U321=0,"MTR inexistente",IF(C321="","Resíduo não identificado",IF(V321=0,"Resíduo fora do cadastro",IF(W321=0,"Quantidade inválida",IF(H321="","Unidade não informada",IF(NOT(ISNUMBER(I321)),"Unidade a conferir",IF(AND(AH321=1,K321&lt;&gt;"Sim"),"Possível duplicidade",IF(Z321=1,"MTR cancelado",IF(AC321&gt;0,"Recebimento com alerta",IF(AA321=0,"Aguardando recebimento",IF(AB321&lt;AA321,"Recebimento a conferir",IF(AM321=1,"Quantidade a revisar",IF(AF321&gt;0,"Vínculo a revisar",IF(AD321=0,"Aguardando CDF",IF(AN321=0,"Vínculo de CDF parcial",IF(AE321&lt;AD321,"CDF a conferir","Documentação conferida"))))))))))))))))))</f>
        <v/>
      </c>
      <c r="Q321" s="93" t="str">
        <f>IF(OR(R321=0,AA321=0),"",MAX(0,N(L321)-N(M321)))</f>
        <v/>
      </c>
      <c r="R321" s="96">
        <f>IF(COUNTA(B321:C321,G321:H321,J321:K321)&gt;0,1,0)</f>
        <v>0</v>
      </c>
      <c r="S321" s="96" t="str">
        <f>IF(B321="","",TRIM(LEFT(B321,FIND(" |",B321&amp;" |")-1)))</f>
        <v/>
      </c>
      <c r="T321" s="96" t="str">
        <f>IF(S321="","",IFERROR(MATCH(S321,'MTRs'!$A$6:$A$505,0),""))</f>
        <v/>
      </c>
      <c r="U321" s="96">
        <f>IF(T321="",0,IF(INDEX('MTRs'!$Z$6:$Z$505,T321)=1,1,0))</f>
        <v>0</v>
      </c>
      <c r="V321" s="96">
        <f>IF(C321="",0,IF(ISNUMBER(MATCH(C321,'CAD_RESÍDUOS'!$B$6:$B$205,0)),1,0))</f>
        <v>0</v>
      </c>
      <c r="W321" s="96">
        <f>IF(AND(ISNUMBER(G321),G321&gt;0),1,0)</f>
        <v>0</v>
      </c>
      <c r="X321" s="96" t="str">
        <f>IF(H321="","",IFERROR(IF(ISNUMBER(INDEX(cfg_fac,MATCH(H321,cfg_units,0))),IF(INDEX(cfg_fac,MATCH(H321,cfg_units,0))&gt;0,INDEX(cfg_fac,MATCH(H321,cfg_units,0)),""),""),""))</f>
        <v/>
      </c>
      <c r="Y321" s="96">
        <f>IF(AND(W321=1,ISNUMBER(I321)),1,0)</f>
        <v>0</v>
      </c>
      <c r="Z321" s="96">
        <f>IF(U321=1,INDEX('MTRs'!$AA$6:$AA$505,T321),0)</f>
        <v>0</v>
      </c>
      <c r="AA321" s="96">
        <f>IF(R321=0,0,COUNTIFS('RECEBIMENTOS'!$R$6:$R$1005,A321,'RECEBIMENTOS'!$Q$6:$Q$1005,1))</f>
        <v>0</v>
      </c>
      <c r="AB321" s="96">
        <f>IF(R321=0,0,COUNTIFS('RECEBIMENTOS'!$R$6:$R$1005,A321,'RECEBIMENTOS'!$Z$6:$Z$1005,1))</f>
        <v>0</v>
      </c>
      <c r="AC321" s="96">
        <f>IF(R321=0,0,COUNTIFS('RECEBIMENTOS'!$R$6:$R$1005,A321,'RECEBIMENTOS'!$Y$6:$Y$1005,1))</f>
        <v>0</v>
      </c>
      <c r="AD321" s="96">
        <f>IF(R321=0,0,COUNTIFS('VÍNCULOS_CDF'!$R$6:$R$1005,A321,'VÍNCULOS_CDF'!$N$6:$N$1005,1))</f>
        <v>0</v>
      </c>
      <c r="AE321" s="96">
        <f>IF(R321=0,0,COUNTIFS('VÍNCULOS_CDF'!$R$6:$R$1005,A321,'VÍNCULOS_CDF'!$AA$6:$AA$1005,1))</f>
        <v>0</v>
      </c>
      <c r="AF321" s="96">
        <f>IF(R321=0,0,COUNTIFS('VÍNCULOS_CDF'!$R$6:$R$1005,A321,'VÍNCULOS_CDF'!$Y$6:$Y$1005,1))</f>
        <v>0</v>
      </c>
      <c r="AG321" s="96" t="str">
        <f>IF(AND(R321=1,S321&lt;&gt;"",C321&lt;&gt;""),S321&amp;"|"&amp;C321&amp;"|"&amp;G321&amp;"|"&amp;H321,"")</f>
        <v/>
      </c>
      <c r="AH321" s="96">
        <f>IF(AG321="",0,IF(SUMPRODUCT(--($AG$6:$AG$1005=AG321))&gt;1,1,0))</f>
        <v>0</v>
      </c>
      <c r="AI321" s="96">
        <f>IF(R321=0,0,IF(OR(U321=0,V321=0,Y321=0,AND(AH321=1,K321&lt;&gt;"Sim")),1,0))</f>
        <v>0</v>
      </c>
      <c r="AJ321" s="96">
        <f>IF(AND(R321=1,AA321&gt;0,AB321=AA321),1,0)</f>
        <v>0</v>
      </c>
      <c r="AK321" s="96">
        <f>IF(R321=0,0,IF(AA321&gt;0,N(L321),IF(ISNUMBER(I321),I321,0)))</f>
        <v>0</v>
      </c>
      <c r="AL321" s="96">
        <f>IF(R321=0,0,IF(AND(K321&lt;&gt;"Sim",N(M321)&gt;AK321+cfg_tol),1,0))</f>
        <v>0</v>
      </c>
      <c r="AM321" s="96">
        <f>IF(R321=0,0,IF(K321="Sim",0,IF(OR(AND(AA321&gt;0,ISNUMBER(I321),ABS(I321-N(L321))&gt;cfg_tol),AL321=1),1,0)))</f>
        <v>0</v>
      </c>
      <c r="AN321" s="96">
        <f>IF(AND(R321=1,N(M321)&gt;0,OR(N(M321)&gt;=AK321-cfg_tol,K321="Sim")),1,0)</f>
        <v>0</v>
      </c>
      <c r="AO321" s="96">
        <f>IF(AND(AN321=1,AD321&gt;0,AE321=AD321,AL321=0),1,0)</f>
        <v>0</v>
      </c>
      <c r="AP321" s="96">
        <f>IF(U321=0,0,IF(AND(INDEX('MTRs'!$AX$6:$AX$505,T321)=1,Z321=0,OR(f_res="",f_res="(Todos)",C321=f_res)),1,0))</f>
        <v>0</v>
      </c>
      <c r="AQ321" s="97" t="str">
        <f>IF(U321=0,"",INDEX('MTRs'!$AZ$6:$AZ$505,T321))</f>
        <v/>
      </c>
      <c r="AR321" s="96">
        <f>IF(U321=0,0,IF(AND(INDEX('MTRs'!$BA$6:$BA$505,T321)=1,Z321=0),1,0))</f>
        <v>0</v>
      </c>
      <c r="AS321" s="96" t="str">
        <f>IF(R321=1,A321&amp;" | MTR "&amp;IF(U321=1,INDEX('MTRs'!$B$6:$B$505,T321)&amp;"","?")&amp;" | "&amp;IF(C321="","(sem resíduo)",C321),"")</f>
        <v/>
      </c>
      <c r="AT321" s="96" t="str">
        <f>IF(R321=1,COUNTIF($R$6:R321,1),"")</f>
        <v/>
      </c>
      <c r="AU321" s="96" t="str">
        <f>IF(U321=1,INDEX('MTRs'!$I$6:$I$505,T321)&amp;"","")</f>
        <v/>
      </c>
    </row>
    <row r="322">
      <c r="A322" s="89" t="inlineStr">
        <is>
          <t>IT-000317</t>
        </is>
      </c>
      <c r="B322" s="91" t="n"/>
      <c r="C322" s="91" t="n"/>
      <c r="D322" s="94" t="str">
        <f>IF(OR(R322=0,V322=0),"",INDEX('CAD_RESÍDUOS'!$E$6:$E$205,MATCH(C322,'CAD_RESÍDUOS'!$B$6:$B$205,0))&amp;"")</f>
        <v/>
      </c>
      <c r="E322" s="94" t="str">
        <f>IF(OR(R322=0,V322=0),"",INDEX('CAD_RESÍDUOS'!$C$6:$C$205,MATCH(C322,'CAD_RESÍDUOS'!$B$6:$B$205,0))&amp;"")</f>
        <v/>
      </c>
      <c r="F322" s="94" t="str">
        <f>IF(OR(R322=0,V322=0),"",INDEX('CAD_RESÍDUOS'!$G$6:$G$205,MATCH(C322,'CAD_RESÍDUOS'!$B$6:$B$205,0))&amp;"")</f>
        <v/>
      </c>
      <c r="G322" s="98" t="n"/>
      <c r="H322" s="91" t="n"/>
      <c r="I322" s="93" t="str">
        <f>IF(R322=0,"",IF(NOT(ISNUMBER(G322)),"",IF(ISNUMBER(X322),G322*X322,"UNIDADE A CONFERIR")))</f>
        <v/>
      </c>
      <c r="J322" s="91" t="n"/>
      <c r="K322" s="91" t="n"/>
      <c r="L322" s="93" t="str">
        <f>IF(R322=0,"",SUMIFS('RECEBIMENTOS'!$H$6:$H$1005,'RECEBIMENTOS'!$R$6:$R$1005,A322,'RECEBIMENTOS'!$X$6:$X$1005,1))</f>
        <v/>
      </c>
      <c r="M322" s="93" t="str">
        <f>IF(R322=0,"",SUMIFS('VÍNCULOS_CDF'!$H$6:$H$1005,'VÍNCULOS_CDF'!$R$6:$R$1005,A322,'VÍNCULOS_CDF'!$V$6:$V$1005,1))</f>
        <v/>
      </c>
      <c r="N322" s="99" t="str">
        <f>IF(OR(R322=0,AA322=0,NOT(ISNUMBER(I322))),"",I322-N(L322))</f>
        <v/>
      </c>
      <c r="O322" s="100" t="str">
        <f>IF(OR(R322=0,AK322&lt;=0),"",N(M322)/AK322)</f>
        <v/>
      </c>
      <c r="P322" s="94" t="str">
        <f>IF(R322=0,"",IF(S322="","Sem MTR associado",IF(U322=0,"MTR inexistente",IF(C322="","Resíduo não identificado",IF(V322=0,"Resíduo fora do cadastro",IF(W322=0,"Quantidade inválida",IF(H322="","Unidade não informada",IF(NOT(ISNUMBER(I322)),"Unidade a conferir",IF(AND(AH322=1,K322&lt;&gt;"Sim"),"Possível duplicidade",IF(Z322=1,"MTR cancelado",IF(AC322&gt;0,"Recebimento com alerta",IF(AA322=0,"Aguardando recebimento",IF(AB322&lt;AA322,"Recebimento a conferir",IF(AM322=1,"Quantidade a revisar",IF(AF322&gt;0,"Vínculo a revisar",IF(AD322=0,"Aguardando CDF",IF(AN322=0,"Vínculo de CDF parcial",IF(AE322&lt;AD322,"CDF a conferir","Documentação conferida"))))))))))))))))))</f>
        <v/>
      </c>
      <c r="Q322" s="93" t="str">
        <f>IF(OR(R322=0,AA322=0),"",MAX(0,N(L322)-N(M322)))</f>
        <v/>
      </c>
      <c r="R322" s="96">
        <f>IF(COUNTA(B322:C322,G322:H322,J322:K322)&gt;0,1,0)</f>
        <v>0</v>
      </c>
      <c r="S322" s="96" t="str">
        <f>IF(B322="","",TRIM(LEFT(B322,FIND(" |",B322&amp;" |")-1)))</f>
        <v/>
      </c>
      <c r="T322" s="96" t="str">
        <f>IF(S322="","",IFERROR(MATCH(S322,'MTRs'!$A$6:$A$505,0),""))</f>
        <v/>
      </c>
      <c r="U322" s="96">
        <f>IF(T322="",0,IF(INDEX('MTRs'!$Z$6:$Z$505,T322)=1,1,0))</f>
        <v>0</v>
      </c>
      <c r="V322" s="96">
        <f>IF(C322="",0,IF(ISNUMBER(MATCH(C322,'CAD_RESÍDUOS'!$B$6:$B$205,0)),1,0))</f>
        <v>0</v>
      </c>
      <c r="W322" s="96">
        <f>IF(AND(ISNUMBER(G322),G322&gt;0),1,0)</f>
        <v>0</v>
      </c>
      <c r="X322" s="96" t="str">
        <f>IF(H322="","",IFERROR(IF(ISNUMBER(INDEX(cfg_fac,MATCH(H322,cfg_units,0))),IF(INDEX(cfg_fac,MATCH(H322,cfg_units,0))&gt;0,INDEX(cfg_fac,MATCH(H322,cfg_units,0)),""),""),""))</f>
        <v/>
      </c>
      <c r="Y322" s="96">
        <f>IF(AND(W322=1,ISNUMBER(I322)),1,0)</f>
        <v>0</v>
      </c>
      <c r="Z322" s="96">
        <f>IF(U322=1,INDEX('MTRs'!$AA$6:$AA$505,T322),0)</f>
        <v>0</v>
      </c>
      <c r="AA322" s="96">
        <f>IF(R322=0,0,COUNTIFS('RECEBIMENTOS'!$R$6:$R$1005,A322,'RECEBIMENTOS'!$Q$6:$Q$1005,1))</f>
        <v>0</v>
      </c>
      <c r="AB322" s="96">
        <f>IF(R322=0,0,COUNTIFS('RECEBIMENTOS'!$R$6:$R$1005,A322,'RECEBIMENTOS'!$Z$6:$Z$1005,1))</f>
        <v>0</v>
      </c>
      <c r="AC322" s="96">
        <f>IF(R322=0,0,COUNTIFS('RECEBIMENTOS'!$R$6:$R$1005,A322,'RECEBIMENTOS'!$Y$6:$Y$1005,1))</f>
        <v>0</v>
      </c>
      <c r="AD322" s="96">
        <f>IF(R322=0,0,COUNTIFS('VÍNCULOS_CDF'!$R$6:$R$1005,A322,'VÍNCULOS_CDF'!$N$6:$N$1005,1))</f>
        <v>0</v>
      </c>
      <c r="AE322" s="96">
        <f>IF(R322=0,0,COUNTIFS('VÍNCULOS_CDF'!$R$6:$R$1005,A322,'VÍNCULOS_CDF'!$AA$6:$AA$1005,1))</f>
        <v>0</v>
      </c>
      <c r="AF322" s="96">
        <f>IF(R322=0,0,COUNTIFS('VÍNCULOS_CDF'!$R$6:$R$1005,A322,'VÍNCULOS_CDF'!$Y$6:$Y$1005,1))</f>
        <v>0</v>
      </c>
      <c r="AG322" s="96" t="str">
        <f>IF(AND(R322=1,S322&lt;&gt;"",C322&lt;&gt;""),S322&amp;"|"&amp;C322&amp;"|"&amp;G322&amp;"|"&amp;H322,"")</f>
        <v/>
      </c>
      <c r="AH322" s="96">
        <f>IF(AG322="",0,IF(SUMPRODUCT(--($AG$6:$AG$1005=AG322))&gt;1,1,0))</f>
        <v>0</v>
      </c>
      <c r="AI322" s="96">
        <f>IF(R322=0,0,IF(OR(U322=0,V322=0,Y322=0,AND(AH322=1,K322&lt;&gt;"Sim")),1,0))</f>
        <v>0</v>
      </c>
      <c r="AJ322" s="96">
        <f>IF(AND(R322=1,AA322&gt;0,AB322=AA322),1,0)</f>
        <v>0</v>
      </c>
      <c r="AK322" s="96">
        <f>IF(R322=0,0,IF(AA322&gt;0,N(L322),IF(ISNUMBER(I322),I322,0)))</f>
        <v>0</v>
      </c>
      <c r="AL322" s="96">
        <f>IF(R322=0,0,IF(AND(K322&lt;&gt;"Sim",N(M322)&gt;AK322+cfg_tol),1,0))</f>
        <v>0</v>
      </c>
      <c r="AM322" s="96">
        <f>IF(R322=0,0,IF(K322="Sim",0,IF(OR(AND(AA322&gt;0,ISNUMBER(I322),ABS(I322-N(L322))&gt;cfg_tol),AL322=1),1,0)))</f>
        <v>0</v>
      </c>
      <c r="AN322" s="96">
        <f>IF(AND(R322=1,N(M322)&gt;0,OR(N(M322)&gt;=AK322-cfg_tol,K322="Sim")),1,0)</f>
        <v>0</v>
      </c>
      <c r="AO322" s="96">
        <f>IF(AND(AN322=1,AD322&gt;0,AE322=AD322,AL322=0),1,0)</f>
        <v>0</v>
      </c>
      <c r="AP322" s="96">
        <f>IF(U322=0,0,IF(AND(INDEX('MTRs'!$AX$6:$AX$505,T322)=1,Z322=0,OR(f_res="",f_res="(Todos)",C322=f_res)),1,0))</f>
        <v>0</v>
      </c>
      <c r="AQ322" s="97" t="str">
        <f>IF(U322=0,"",INDEX('MTRs'!$AZ$6:$AZ$505,T322))</f>
        <v/>
      </c>
      <c r="AR322" s="96">
        <f>IF(U322=0,0,IF(AND(INDEX('MTRs'!$BA$6:$BA$505,T322)=1,Z322=0),1,0))</f>
        <v>0</v>
      </c>
      <c r="AS322" s="96" t="str">
        <f>IF(R322=1,A322&amp;" | MTR "&amp;IF(U322=1,INDEX('MTRs'!$B$6:$B$505,T322)&amp;"","?")&amp;" | "&amp;IF(C322="","(sem resíduo)",C322),"")</f>
        <v/>
      </c>
      <c r="AT322" s="96" t="str">
        <f>IF(R322=1,COUNTIF($R$6:R322,1),"")</f>
        <v/>
      </c>
      <c r="AU322" s="96" t="str">
        <f>IF(U322=1,INDEX('MTRs'!$I$6:$I$505,T322)&amp;"","")</f>
        <v/>
      </c>
    </row>
    <row r="323">
      <c r="A323" s="89" t="inlineStr">
        <is>
          <t>IT-000318</t>
        </is>
      </c>
      <c r="B323" s="91" t="n"/>
      <c r="C323" s="91" t="n"/>
      <c r="D323" s="94" t="str">
        <f>IF(OR(R323=0,V323=0),"",INDEX('CAD_RESÍDUOS'!$E$6:$E$205,MATCH(C323,'CAD_RESÍDUOS'!$B$6:$B$205,0))&amp;"")</f>
        <v/>
      </c>
      <c r="E323" s="94" t="str">
        <f>IF(OR(R323=0,V323=0),"",INDEX('CAD_RESÍDUOS'!$C$6:$C$205,MATCH(C323,'CAD_RESÍDUOS'!$B$6:$B$205,0))&amp;"")</f>
        <v/>
      </c>
      <c r="F323" s="94" t="str">
        <f>IF(OR(R323=0,V323=0),"",INDEX('CAD_RESÍDUOS'!$G$6:$G$205,MATCH(C323,'CAD_RESÍDUOS'!$B$6:$B$205,0))&amp;"")</f>
        <v/>
      </c>
      <c r="G323" s="98" t="n"/>
      <c r="H323" s="91" t="n"/>
      <c r="I323" s="93" t="str">
        <f>IF(R323=0,"",IF(NOT(ISNUMBER(G323)),"",IF(ISNUMBER(X323),G323*X323,"UNIDADE A CONFERIR")))</f>
        <v/>
      </c>
      <c r="J323" s="91" t="n"/>
      <c r="K323" s="91" t="n"/>
      <c r="L323" s="93" t="str">
        <f>IF(R323=0,"",SUMIFS('RECEBIMENTOS'!$H$6:$H$1005,'RECEBIMENTOS'!$R$6:$R$1005,A323,'RECEBIMENTOS'!$X$6:$X$1005,1))</f>
        <v/>
      </c>
      <c r="M323" s="93" t="str">
        <f>IF(R323=0,"",SUMIFS('VÍNCULOS_CDF'!$H$6:$H$1005,'VÍNCULOS_CDF'!$R$6:$R$1005,A323,'VÍNCULOS_CDF'!$V$6:$V$1005,1))</f>
        <v/>
      </c>
      <c r="N323" s="99" t="str">
        <f>IF(OR(R323=0,AA323=0,NOT(ISNUMBER(I323))),"",I323-N(L323))</f>
        <v/>
      </c>
      <c r="O323" s="100" t="str">
        <f>IF(OR(R323=0,AK323&lt;=0),"",N(M323)/AK323)</f>
        <v/>
      </c>
      <c r="P323" s="94" t="str">
        <f>IF(R323=0,"",IF(S323="","Sem MTR associado",IF(U323=0,"MTR inexistente",IF(C323="","Resíduo não identificado",IF(V323=0,"Resíduo fora do cadastro",IF(W323=0,"Quantidade inválida",IF(H323="","Unidade não informada",IF(NOT(ISNUMBER(I323)),"Unidade a conferir",IF(AND(AH323=1,K323&lt;&gt;"Sim"),"Possível duplicidade",IF(Z323=1,"MTR cancelado",IF(AC323&gt;0,"Recebimento com alerta",IF(AA323=0,"Aguardando recebimento",IF(AB323&lt;AA323,"Recebimento a conferir",IF(AM323=1,"Quantidade a revisar",IF(AF323&gt;0,"Vínculo a revisar",IF(AD323=0,"Aguardando CDF",IF(AN323=0,"Vínculo de CDF parcial",IF(AE323&lt;AD323,"CDF a conferir","Documentação conferida"))))))))))))))))))</f>
        <v/>
      </c>
      <c r="Q323" s="93" t="str">
        <f>IF(OR(R323=0,AA323=0),"",MAX(0,N(L323)-N(M323)))</f>
        <v/>
      </c>
      <c r="R323" s="96">
        <f>IF(COUNTA(B323:C323,G323:H323,J323:K323)&gt;0,1,0)</f>
        <v>0</v>
      </c>
      <c r="S323" s="96" t="str">
        <f>IF(B323="","",TRIM(LEFT(B323,FIND(" |",B323&amp;" |")-1)))</f>
        <v/>
      </c>
      <c r="T323" s="96" t="str">
        <f>IF(S323="","",IFERROR(MATCH(S323,'MTRs'!$A$6:$A$505,0),""))</f>
        <v/>
      </c>
      <c r="U323" s="96">
        <f>IF(T323="",0,IF(INDEX('MTRs'!$Z$6:$Z$505,T323)=1,1,0))</f>
        <v>0</v>
      </c>
      <c r="V323" s="96">
        <f>IF(C323="",0,IF(ISNUMBER(MATCH(C323,'CAD_RESÍDUOS'!$B$6:$B$205,0)),1,0))</f>
        <v>0</v>
      </c>
      <c r="W323" s="96">
        <f>IF(AND(ISNUMBER(G323),G323&gt;0),1,0)</f>
        <v>0</v>
      </c>
      <c r="X323" s="96" t="str">
        <f>IF(H323="","",IFERROR(IF(ISNUMBER(INDEX(cfg_fac,MATCH(H323,cfg_units,0))),IF(INDEX(cfg_fac,MATCH(H323,cfg_units,0))&gt;0,INDEX(cfg_fac,MATCH(H323,cfg_units,0)),""),""),""))</f>
        <v/>
      </c>
      <c r="Y323" s="96">
        <f>IF(AND(W323=1,ISNUMBER(I323)),1,0)</f>
        <v>0</v>
      </c>
      <c r="Z323" s="96">
        <f>IF(U323=1,INDEX('MTRs'!$AA$6:$AA$505,T323),0)</f>
        <v>0</v>
      </c>
      <c r="AA323" s="96">
        <f>IF(R323=0,0,COUNTIFS('RECEBIMENTOS'!$R$6:$R$1005,A323,'RECEBIMENTOS'!$Q$6:$Q$1005,1))</f>
        <v>0</v>
      </c>
      <c r="AB323" s="96">
        <f>IF(R323=0,0,COUNTIFS('RECEBIMENTOS'!$R$6:$R$1005,A323,'RECEBIMENTOS'!$Z$6:$Z$1005,1))</f>
        <v>0</v>
      </c>
      <c r="AC323" s="96">
        <f>IF(R323=0,0,COUNTIFS('RECEBIMENTOS'!$R$6:$R$1005,A323,'RECEBIMENTOS'!$Y$6:$Y$1005,1))</f>
        <v>0</v>
      </c>
      <c r="AD323" s="96">
        <f>IF(R323=0,0,COUNTIFS('VÍNCULOS_CDF'!$R$6:$R$1005,A323,'VÍNCULOS_CDF'!$N$6:$N$1005,1))</f>
        <v>0</v>
      </c>
      <c r="AE323" s="96">
        <f>IF(R323=0,0,COUNTIFS('VÍNCULOS_CDF'!$R$6:$R$1005,A323,'VÍNCULOS_CDF'!$AA$6:$AA$1005,1))</f>
        <v>0</v>
      </c>
      <c r="AF323" s="96">
        <f>IF(R323=0,0,COUNTIFS('VÍNCULOS_CDF'!$R$6:$R$1005,A323,'VÍNCULOS_CDF'!$Y$6:$Y$1005,1))</f>
        <v>0</v>
      </c>
      <c r="AG323" s="96" t="str">
        <f>IF(AND(R323=1,S323&lt;&gt;"",C323&lt;&gt;""),S323&amp;"|"&amp;C323&amp;"|"&amp;G323&amp;"|"&amp;H323,"")</f>
        <v/>
      </c>
      <c r="AH323" s="96">
        <f>IF(AG323="",0,IF(SUMPRODUCT(--($AG$6:$AG$1005=AG323))&gt;1,1,0))</f>
        <v>0</v>
      </c>
      <c r="AI323" s="96">
        <f>IF(R323=0,0,IF(OR(U323=0,V323=0,Y323=0,AND(AH323=1,K323&lt;&gt;"Sim")),1,0))</f>
        <v>0</v>
      </c>
      <c r="AJ323" s="96">
        <f>IF(AND(R323=1,AA323&gt;0,AB323=AA323),1,0)</f>
        <v>0</v>
      </c>
      <c r="AK323" s="96">
        <f>IF(R323=0,0,IF(AA323&gt;0,N(L323),IF(ISNUMBER(I323),I323,0)))</f>
        <v>0</v>
      </c>
      <c r="AL323" s="96">
        <f>IF(R323=0,0,IF(AND(K323&lt;&gt;"Sim",N(M323)&gt;AK323+cfg_tol),1,0))</f>
        <v>0</v>
      </c>
      <c r="AM323" s="96">
        <f>IF(R323=0,0,IF(K323="Sim",0,IF(OR(AND(AA323&gt;0,ISNUMBER(I323),ABS(I323-N(L323))&gt;cfg_tol),AL323=1),1,0)))</f>
        <v>0</v>
      </c>
      <c r="AN323" s="96">
        <f>IF(AND(R323=1,N(M323)&gt;0,OR(N(M323)&gt;=AK323-cfg_tol,K323="Sim")),1,0)</f>
        <v>0</v>
      </c>
      <c r="AO323" s="96">
        <f>IF(AND(AN323=1,AD323&gt;0,AE323=AD323,AL323=0),1,0)</f>
        <v>0</v>
      </c>
      <c r="AP323" s="96">
        <f>IF(U323=0,0,IF(AND(INDEX('MTRs'!$AX$6:$AX$505,T323)=1,Z323=0,OR(f_res="",f_res="(Todos)",C323=f_res)),1,0))</f>
        <v>0</v>
      </c>
      <c r="AQ323" s="97" t="str">
        <f>IF(U323=0,"",INDEX('MTRs'!$AZ$6:$AZ$505,T323))</f>
        <v/>
      </c>
      <c r="AR323" s="96">
        <f>IF(U323=0,0,IF(AND(INDEX('MTRs'!$BA$6:$BA$505,T323)=1,Z323=0),1,0))</f>
        <v>0</v>
      </c>
      <c r="AS323" s="96" t="str">
        <f>IF(R323=1,A323&amp;" | MTR "&amp;IF(U323=1,INDEX('MTRs'!$B$6:$B$505,T323)&amp;"","?")&amp;" | "&amp;IF(C323="","(sem resíduo)",C323),"")</f>
        <v/>
      </c>
      <c r="AT323" s="96" t="str">
        <f>IF(R323=1,COUNTIF($R$6:R323,1),"")</f>
        <v/>
      </c>
      <c r="AU323" s="96" t="str">
        <f>IF(U323=1,INDEX('MTRs'!$I$6:$I$505,T323)&amp;"","")</f>
        <v/>
      </c>
    </row>
    <row r="324">
      <c r="A324" s="89" t="inlineStr">
        <is>
          <t>IT-000319</t>
        </is>
      </c>
      <c r="B324" s="91" t="n"/>
      <c r="C324" s="91" t="n"/>
      <c r="D324" s="94" t="str">
        <f>IF(OR(R324=0,V324=0),"",INDEX('CAD_RESÍDUOS'!$E$6:$E$205,MATCH(C324,'CAD_RESÍDUOS'!$B$6:$B$205,0))&amp;"")</f>
        <v/>
      </c>
      <c r="E324" s="94" t="str">
        <f>IF(OR(R324=0,V324=0),"",INDEX('CAD_RESÍDUOS'!$C$6:$C$205,MATCH(C324,'CAD_RESÍDUOS'!$B$6:$B$205,0))&amp;"")</f>
        <v/>
      </c>
      <c r="F324" s="94" t="str">
        <f>IF(OR(R324=0,V324=0),"",INDEX('CAD_RESÍDUOS'!$G$6:$G$205,MATCH(C324,'CAD_RESÍDUOS'!$B$6:$B$205,0))&amp;"")</f>
        <v/>
      </c>
      <c r="G324" s="98" t="n"/>
      <c r="H324" s="91" t="n"/>
      <c r="I324" s="93" t="str">
        <f>IF(R324=0,"",IF(NOT(ISNUMBER(G324)),"",IF(ISNUMBER(X324),G324*X324,"UNIDADE A CONFERIR")))</f>
        <v/>
      </c>
      <c r="J324" s="91" t="n"/>
      <c r="K324" s="91" t="n"/>
      <c r="L324" s="93" t="str">
        <f>IF(R324=0,"",SUMIFS('RECEBIMENTOS'!$H$6:$H$1005,'RECEBIMENTOS'!$R$6:$R$1005,A324,'RECEBIMENTOS'!$X$6:$X$1005,1))</f>
        <v/>
      </c>
      <c r="M324" s="93" t="str">
        <f>IF(R324=0,"",SUMIFS('VÍNCULOS_CDF'!$H$6:$H$1005,'VÍNCULOS_CDF'!$R$6:$R$1005,A324,'VÍNCULOS_CDF'!$V$6:$V$1005,1))</f>
        <v/>
      </c>
      <c r="N324" s="99" t="str">
        <f>IF(OR(R324=0,AA324=0,NOT(ISNUMBER(I324))),"",I324-N(L324))</f>
        <v/>
      </c>
      <c r="O324" s="100" t="str">
        <f>IF(OR(R324=0,AK324&lt;=0),"",N(M324)/AK324)</f>
        <v/>
      </c>
      <c r="P324" s="94" t="str">
        <f>IF(R324=0,"",IF(S324="","Sem MTR associado",IF(U324=0,"MTR inexistente",IF(C324="","Resíduo não identificado",IF(V324=0,"Resíduo fora do cadastro",IF(W324=0,"Quantidade inválida",IF(H324="","Unidade não informada",IF(NOT(ISNUMBER(I324)),"Unidade a conferir",IF(AND(AH324=1,K324&lt;&gt;"Sim"),"Possível duplicidade",IF(Z324=1,"MTR cancelado",IF(AC324&gt;0,"Recebimento com alerta",IF(AA324=0,"Aguardando recebimento",IF(AB324&lt;AA324,"Recebimento a conferir",IF(AM324=1,"Quantidade a revisar",IF(AF324&gt;0,"Vínculo a revisar",IF(AD324=0,"Aguardando CDF",IF(AN324=0,"Vínculo de CDF parcial",IF(AE324&lt;AD324,"CDF a conferir","Documentação conferida"))))))))))))))))))</f>
        <v/>
      </c>
      <c r="Q324" s="93" t="str">
        <f>IF(OR(R324=0,AA324=0),"",MAX(0,N(L324)-N(M324)))</f>
        <v/>
      </c>
      <c r="R324" s="96">
        <f>IF(COUNTA(B324:C324,G324:H324,J324:K324)&gt;0,1,0)</f>
        <v>0</v>
      </c>
      <c r="S324" s="96" t="str">
        <f>IF(B324="","",TRIM(LEFT(B324,FIND(" |",B324&amp;" |")-1)))</f>
        <v/>
      </c>
      <c r="T324" s="96" t="str">
        <f>IF(S324="","",IFERROR(MATCH(S324,'MTRs'!$A$6:$A$505,0),""))</f>
        <v/>
      </c>
      <c r="U324" s="96">
        <f>IF(T324="",0,IF(INDEX('MTRs'!$Z$6:$Z$505,T324)=1,1,0))</f>
        <v>0</v>
      </c>
      <c r="V324" s="96">
        <f>IF(C324="",0,IF(ISNUMBER(MATCH(C324,'CAD_RESÍDUOS'!$B$6:$B$205,0)),1,0))</f>
        <v>0</v>
      </c>
      <c r="W324" s="96">
        <f>IF(AND(ISNUMBER(G324),G324&gt;0),1,0)</f>
        <v>0</v>
      </c>
      <c r="X324" s="96" t="str">
        <f>IF(H324="","",IFERROR(IF(ISNUMBER(INDEX(cfg_fac,MATCH(H324,cfg_units,0))),IF(INDEX(cfg_fac,MATCH(H324,cfg_units,0))&gt;0,INDEX(cfg_fac,MATCH(H324,cfg_units,0)),""),""),""))</f>
        <v/>
      </c>
      <c r="Y324" s="96">
        <f>IF(AND(W324=1,ISNUMBER(I324)),1,0)</f>
        <v>0</v>
      </c>
      <c r="Z324" s="96">
        <f>IF(U324=1,INDEX('MTRs'!$AA$6:$AA$505,T324),0)</f>
        <v>0</v>
      </c>
      <c r="AA324" s="96">
        <f>IF(R324=0,0,COUNTIFS('RECEBIMENTOS'!$R$6:$R$1005,A324,'RECEBIMENTOS'!$Q$6:$Q$1005,1))</f>
        <v>0</v>
      </c>
      <c r="AB324" s="96">
        <f>IF(R324=0,0,COUNTIFS('RECEBIMENTOS'!$R$6:$R$1005,A324,'RECEBIMENTOS'!$Z$6:$Z$1005,1))</f>
        <v>0</v>
      </c>
      <c r="AC324" s="96">
        <f>IF(R324=0,0,COUNTIFS('RECEBIMENTOS'!$R$6:$R$1005,A324,'RECEBIMENTOS'!$Y$6:$Y$1005,1))</f>
        <v>0</v>
      </c>
      <c r="AD324" s="96">
        <f>IF(R324=0,0,COUNTIFS('VÍNCULOS_CDF'!$R$6:$R$1005,A324,'VÍNCULOS_CDF'!$N$6:$N$1005,1))</f>
        <v>0</v>
      </c>
      <c r="AE324" s="96">
        <f>IF(R324=0,0,COUNTIFS('VÍNCULOS_CDF'!$R$6:$R$1005,A324,'VÍNCULOS_CDF'!$AA$6:$AA$1005,1))</f>
        <v>0</v>
      </c>
      <c r="AF324" s="96">
        <f>IF(R324=0,0,COUNTIFS('VÍNCULOS_CDF'!$R$6:$R$1005,A324,'VÍNCULOS_CDF'!$Y$6:$Y$1005,1))</f>
        <v>0</v>
      </c>
      <c r="AG324" s="96" t="str">
        <f>IF(AND(R324=1,S324&lt;&gt;"",C324&lt;&gt;""),S324&amp;"|"&amp;C324&amp;"|"&amp;G324&amp;"|"&amp;H324,"")</f>
        <v/>
      </c>
      <c r="AH324" s="96">
        <f>IF(AG324="",0,IF(SUMPRODUCT(--($AG$6:$AG$1005=AG324))&gt;1,1,0))</f>
        <v>0</v>
      </c>
      <c r="AI324" s="96">
        <f>IF(R324=0,0,IF(OR(U324=0,V324=0,Y324=0,AND(AH324=1,K324&lt;&gt;"Sim")),1,0))</f>
        <v>0</v>
      </c>
      <c r="AJ324" s="96">
        <f>IF(AND(R324=1,AA324&gt;0,AB324=AA324),1,0)</f>
        <v>0</v>
      </c>
      <c r="AK324" s="96">
        <f>IF(R324=0,0,IF(AA324&gt;0,N(L324),IF(ISNUMBER(I324),I324,0)))</f>
        <v>0</v>
      </c>
      <c r="AL324" s="96">
        <f>IF(R324=0,0,IF(AND(K324&lt;&gt;"Sim",N(M324)&gt;AK324+cfg_tol),1,0))</f>
        <v>0</v>
      </c>
      <c r="AM324" s="96">
        <f>IF(R324=0,0,IF(K324="Sim",0,IF(OR(AND(AA324&gt;0,ISNUMBER(I324),ABS(I324-N(L324))&gt;cfg_tol),AL324=1),1,0)))</f>
        <v>0</v>
      </c>
      <c r="AN324" s="96">
        <f>IF(AND(R324=1,N(M324)&gt;0,OR(N(M324)&gt;=AK324-cfg_tol,K324="Sim")),1,0)</f>
        <v>0</v>
      </c>
      <c r="AO324" s="96">
        <f>IF(AND(AN324=1,AD324&gt;0,AE324=AD324,AL324=0),1,0)</f>
        <v>0</v>
      </c>
      <c r="AP324" s="96">
        <f>IF(U324=0,0,IF(AND(INDEX('MTRs'!$AX$6:$AX$505,T324)=1,Z324=0,OR(f_res="",f_res="(Todos)",C324=f_res)),1,0))</f>
        <v>0</v>
      </c>
      <c r="AQ324" s="97" t="str">
        <f>IF(U324=0,"",INDEX('MTRs'!$AZ$6:$AZ$505,T324))</f>
        <v/>
      </c>
      <c r="AR324" s="96">
        <f>IF(U324=0,0,IF(AND(INDEX('MTRs'!$BA$6:$BA$505,T324)=1,Z324=0),1,0))</f>
        <v>0</v>
      </c>
      <c r="AS324" s="96" t="str">
        <f>IF(R324=1,A324&amp;" | MTR "&amp;IF(U324=1,INDEX('MTRs'!$B$6:$B$505,T324)&amp;"","?")&amp;" | "&amp;IF(C324="","(sem resíduo)",C324),"")</f>
        <v/>
      </c>
      <c r="AT324" s="96" t="str">
        <f>IF(R324=1,COUNTIF($R$6:R324,1),"")</f>
        <v/>
      </c>
      <c r="AU324" s="96" t="str">
        <f>IF(U324=1,INDEX('MTRs'!$I$6:$I$505,T324)&amp;"","")</f>
        <v/>
      </c>
    </row>
    <row r="325">
      <c r="A325" s="89" t="inlineStr">
        <is>
          <t>IT-000320</t>
        </is>
      </c>
      <c r="B325" s="91" t="n"/>
      <c r="C325" s="91" t="n"/>
      <c r="D325" s="94" t="str">
        <f>IF(OR(R325=0,V325=0),"",INDEX('CAD_RESÍDUOS'!$E$6:$E$205,MATCH(C325,'CAD_RESÍDUOS'!$B$6:$B$205,0))&amp;"")</f>
        <v/>
      </c>
      <c r="E325" s="94" t="str">
        <f>IF(OR(R325=0,V325=0),"",INDEX('CAD_RESÍDUOS'!$C$6:$C$205,MATCH(C325,'CAD_RESÍDUOS'!$B$6:$B$205,0))&amp;"")</f>
        <v/>
      </c>
      <c r="F325" s="94" t="str">
        <f>IF(OR(R325=0,V325=0),"",INDEX('CAD_RESÍDUOS'!$G$6:$G$205,MATCH(C325,'CAD_RESÍDUOS'!$B$6:$B$205,0))&amp;"")</f>
        <v/>
      </c>
      <c r="G325" s="98" t="n"/>
      <c r="H325" s="91" t="n"/>
      <c r="I325" s="93" t="str">
        <f>IF(R325=0,"",IF(NOT(ISNUMBER(G325)),"",IF(ISNUMBER(X325),G325*X325,"UNIDADE A CONFERIR")))</f>
        <v/>
      </c>
      <c r="J325" s="91" t="n"/>
      <c r="K325" s="91" t="n"/>
      <c r="L325" s="93" t="str">
        <f>IF(R325=0,"",SUMIFS('RECEBIMENTOS'!$H$6:$H$1005,'RECEBIMENTOS'!$R$6:$R$1005,A325,'RECEBIMENTOS'!$X$6:$X$1005,1))</f>
        <v/>
      </c>
      <c r="M325" s="93" t="str">
        <f>IF(R325=0,"",SUMIFS('VÍNCULOS_CDF'!$H$6:$H$1005,'VÍNCULOS_CDF'!$R$6:$R$1005,A325,'VÍNCULOS_CDF'!$V$6:$V$1005,1))</f>
        <v/>
      </c>
      <c r="N325" s="99" t="str">
        <f>IF(OR(R325=0,AA325=0,NOT(ISNUMBER(I325))),"",I325-N(L325))</f>
        <v/>
      </c>
      <c r="O325" s="100" t="str">
        <f>IF(OR(R325=0,AK325&lt;=0),"",N(M325)/AK325)</f>
        <v/>
      </c>
      <c r="P325" s="94" t="str">
        <f>IF(R325=0,"",IF(S325="","Sem MTR associado",IF(U325=0,"MTR inexistente",IF(C325="","Resíduo não identificado",IF(V325=0,"Resíduo fora do cadastro",IF(W325=0,"Quantidade inválida",IF(H325="","Unidade não informada",IF(NOT(ISNUMBER(I325)),"Unidade a conferir",IF(AND(AH325=1,K325&lt;&gt;"Sim"),"Possível duplicidade",IF(Z325=1,"MTR cancelado",IF(AC325&gt;0,"Recebimento com alerta",IF(AA325=0,"Aguardando recebimento",IF(AB325&lt;AA325,"Recebimento a conferir",IF(AM325=1,"Quantidade a revisar",IF(AF325&gt;0,"Vínculo a revisar",IF(AD325=0,"Aguardando CDF",IF(AN325=0,"Vínculo de CDF parcial",IF(AE325&lt;AD325,"CDF a conferir","Documentação conferida"))))))))))))))))))</f>
        <v/>
      </c>
      <c r="Q325" s="93" t="str">
        <f>IF(OR(R325=0,AA325=0),"",MAX(0,N(L325)-N(M325)))</f>
        <v/>
      </c>
      <c r="R325" s="96">
        <f>IF(COUNTA(B325:C325,G325:H325,J325:K325)&gt;0,1,0)</f>
        <v>0</v>
      </c>
      <c r="S325" s="96" t="str">
        <f>IF(B325="","",TRIM(LEFT(B325,FIND(" |",B325&amp;" |")-1)))</f>
        <v/>
      </c>
      <c r="T325" s="96" t="str">
        <f>IF(S325="","",IFERROR(MATCH(S325,'MTRs'!$A$6:$A$505,0),""))</f>
        <v/>
      </c>
      <c r="U325" s="96">
        <f>IF(T325="",0,IF(INDEX('MTRs'!$Z$6:$Z$505,T325)=1,1,0))</f>
        <v>0</v>
      </c>
      <c r="V325" s="96">
        <f>IF(C325="",0,IF(ISNUMBER(MATCH(C325,'CAD_RESÍDUOS'!$B$6:$B$205,0)),1,0))</f>
        <v>0</v>
      </c>
      <c r="W325" s="96">
        <f>IF(AND(ISNUMBER(G325),G325&gt;0),1,0)</f>
        <v>0</v>
      </c>
      <c r="X325" s="96" t="str">
        <f>IF(H325="","",IFERROR(IF(ISNUMBER(INDEX(cfg_fac,MATCH(H325,cfg_units,0))),IF(INDEX(cfg_fac,MATCH(H325,cfg_units,0))&gt;0,INDEX(cfg_fac,MATCH(H325,cfg_units,0)),""),""),""))</f>
        <v/>
      </c>
      <c r="Y325" s="96">
        <f>IF(AND(W325=1,ISNUMBER(I325)),1,0)</f>
        <v>0</v>
      </c>
      <c r="Z325" s="96">
        <f>IF(U325=1,INDEX('MTRs'!$AA$6:$AA$505,T325),0)</f>
        <v>0</v>
      </c>
      <c r="AA325" s="96">
        <f>IF(R325=0,0,COUNTIFS('RECEBIMENTOS'!$R$6:$R$1005,A325,'RECEBIMENTOS'!$Q$6:$Q$1005,1))</f>
        <v>0</v>
      </c>
      <c r="AB325" s="96">
        <f>IF(R325=0,0,COUNTIFS('RECEBIMENTOS'!$R$6:$R$1005,A325,'RECEBIMENTOS'!$Z$6:$Z$1005,1))</f>
        <v>0</v>
      </c>
      <c r="AC325" s="96">
        <f>IF(R325=0,0,COUNTIFS('RECEBIMENTOS'!$R$6:$R$1005,A325,'RECEBIMENTOS'!$Y$6:$Y$1005,1))</f>
        <v>0</v>
      </c>
      <c r="AD325" s="96">
        <f>IF(R325=0,0,COUNTIFS('VÍNCULOS_CDF'!$R$6:$R$1005,A325,'VÍNCULOS_CDF'!$N$6:$N$1005,1))</f>
        <v>0</v>
      </c>
      <c r="AE325" s="96">
        <f>IF(R325=0,0,COUNTIFS('VÍNCULOS_CDF'!$R$6:$R$1005,A325,'VÍNCULOS_CDF'!$AA$6:$AA$1005,1))</f>
        <v>0</v>
      </c>
      <c r="AF325" s="96">
        <f>IF(R325=0,0,COUNTIFS('VÍNCULOS_CDF'!$R$6:$R$1005,A325,'VÍNCULOS_CDF'!$Y$6:$Y$1005,1))</f>
        <v>0</v>
      </c>
      <c r="AG325" s="96" t="str">
        <f>IF(AND(R325=1,S325&lt;&gt;"",C325&lt;&gt;""),S325&amp;"|"&amp;C325&amp;"|"&amp;G325&amp;"|"&amp;H325,"")</f>
        <v/>
      </c>
      <c r="AH325" s="96">
        <f>IF(AG325="",0,IF(SUMPRODUCT(--($AG$6:$AG$1005=AG325))&gt;1,1,0))</f>
        <v>0</v>
      </c>
      <c r="AI325" s="96">
        <f>IF(R325=0,0,IF(OR(U325=0,V325=0,Y325=0,AND(AH325=1,K325&lt;&gt;"Sim")),1,0))</f>
        <v>0</v>
      </c>
      <c r="AJ325" s="96">
        <f>IF(AND(R325=1,AA325&gt;0,AB325=AA325),1,0)</f>
        <v>0</v>
      </c>
      <c r="AK325" s="96">
        <f>IF(R325=0,0,IF(AA325&gt;0,N(L325),IF(ISNUMBER(I325),I325,0)))</f>
        <v>0</v>
      </c>
      <c r="AL325" s="96">
        <f>IF(R325=0,0,IF(AND(K325&lt;&gt;"Sim",N(M325)&gt;AK325+cfg_tol),1,0))</f>
        <v>0</v>
      </c>
      <c r="AM325" s="96">
        <f>IF(R325=0,0,IF(K325="Sim",0,IF(OR(AND(AA325&gt;0,ISNUMBER(I325),ABS(I325-N(L325))&gt;cfg_tol),AL325=1),1,0)))</f>
        <v>0</v>
      </c>
      <c r="AN325" s="96">
        <f>IF(AND(R325=1,N(M325)&gt;0,OR(N(M325)&gt;=AK325-cfg_tol,K325="Sim")),1,0)</f>
        <v>0</v>
      </c>
      <c r="AO325" s="96">
        <f>IF(AND(AN325=1,AD325&gt;0,AE325=AD325,AL325=0),1,0)</f>
        <v>0</v>
      </c>
      <c r="AP325" s="96">
        <f>IF(U325=0,0,IF(AND(INDEX('MTRs'!$AX$6:$AX$505,T325)=1,Z325=0,OR(f_res="",f_res="(Todos)",C325=f_res)),1,0))</f>
        <v>0</v>
      </c>
      <c r="AQ325" s="97" t="str">
        <f>IF(U325=0,"",INDEX('MTRs'!$AZ$6:$AZ$505,T325))</f>
        <v/>
      </c>
      <c r="AR325" s="96">
        <f>IF(U325=0,0,IF(AND(INDEX('MTRs'!$BA$6:$BA$505,T325)=1,Z325=0),1,0))</f>
        <v>0</v>
      </c>
      <c r="AS325" s="96" t="str">
        <f>IF(R325=1,A325&amp;" | MTR "&amp;IF(U325=1,INDEX('MTRs'!$B$6:$B$505,T325)&amp;"","?")&amp;" | "&amp;IF(C325="","(sem resíduo)",C325),"")</f>
        <v/>
      </c>
      <c r="AT325" s="96" t="str">
        <f>IF(R325=1,COUNTIF($R$6:R325,1),"")</f>
        <v/>
      </c>
      <c r="AU325" s="96" t="str">
        <f>IF(U325=1,INDEX('MTRs'!$I$6:$I$505,T325)&amp;"","")</f>
        <v/>
      </c>
    </row>
    <row r="326">
      <c r="A326" s="89" t="inlineStr">
        <is>
          <t>IT-000321</t>
        </is>
      </c>
      <c r="B326" s="91" t="n"/>
      <c r="C326" s="91" t="n"/>
      <c r="D326" s="94" t="str">
        <f>IF(OR(R326=0,V326=0),"",INDEX('CAD_RESÍDUOS'!$E$6:$E$205,MATCH(C326,'CAD_RESÍDUOS'!$B$6:$B$205,0))&amp;"")</f>
        <v/>
      </c>
      <c r="E326" s="94" t="str">
        <f>IF(OR(R326=0,V326=0),"",INDEX('CAD_RESÍDUOS'!$C$6:$C$205,MATCH(C326,'CAD_RESÍDUOS'!$B$6:$B$205,0))&amp;"")</f>
        <v/>
      </c>
      <c r="F326" s="94" t="str">
        <f>IF(OR(R326=0,V326=0),"",INDEX('CAD_RESÍDUOS'!$G$6:$G$205,MATCH(C326,'CAD_RESÍDUOS'!$B$6:$B$205,0))&amp;"")</f>
        <v/>
      </c>
      <c r="G326" s="98" t="n"/>
      <c r="H326" s="91" t="n"/>
      <c r="I326" s="93" t="str">
        <f>IF(R326=0,"",IF(NOT(ISNUMBER(G326)),"",IF(ISNUMBER(X326),G326*X326,"UNIDADE A CONFERIR")))</f>
        <v/>
      </c>
      <c r="J326" s="91" t="n"/>
      <c r="K326" s="91" t="n"/>
      <c r="L326" s="93" t="str">
        <f>IF(R326=0,"",SUMIFS('RECEBIMENTOS'!$H$6:$H$1005,'RECEBIMENTOS'!$R$6:$R$1005,A326,'RECEBIMENTOS'!$X$6:$X$1005,1))</f>
        <v/>
      </c>
      <c r="M326" s="93" t="str">
        <f>IF(R326=0,"",SUMIFS('VÍNCULOS_CDF'!$H$6:$H$1005,'VÍNCULOS_CDF'!$R$6:$R$1005,A326,'VÍNCULOS_CDF'!$V$6:$V$1005,1))</f>
        <v/>
      </c>
      <c r="N326" s="99" t="str">
        <f>IF(OR(R326=0,AA326=0,NOT(ISNUMBER(I326))),"",I326-N(L326))</f>
        <v/>
      </c>
      <c r="O326" s="100" t="str">
        <f>IF(OR(R326=0,AK326&lt;=0),"",N(M326)/AK326)</f>
        <v/>
      </c>
      <c r="P326" s="94" t="str">
        <f>IF(R326=0,"",IF(S326="","Sem MTR associado",IF(U326=0,"MTR inexistente",IF(C326="","Resíduo não identificado",IF(V326=0,"Resíduo fora do cadastro",IF(W326=0,"Quantidade inválida",IF(H326="","Unidade não informada",IF(NOT(ISNUMBER(I326)),"Unidade a conferir",IF(AND(AH326=1,K326&lt;&gt;"Sim"),"Possível duplicidade",IF(Z326=1,"MTR cancelado",IF(AC326&gt;0,"Recebimento com alerta",IF(AA326=0,"Aguardando recebimento",IF(AB326&lt;AA326,"Recebimento a conferir",IF(AM326=1,"Quantidade a revisar",IF(AF326&gt;0,"Vínculo a revisar",IF(AD326=0,"Aguardando CDF",IF(AN326=0,"Vínculo de CDF parcial",IF(AE326&lt;AD326,"CDF a conferir","Documentação conferida"))))))))))))))))))</f>
        <v/>
      </c>
      <c r="Q326" s="93" t="str">
        <f>IF(OR(R326=0,AA326=0),"",MAX(0,N(L326)-N(M326)))</f>
        <v/>
      </c>
      <c r="R326" s="96">
        <f>IF(COUNTA(B326:C326,G326:H326,J326:K326)&gt;0,1,0)</f>
        <v>0</v>
      </c>
      <c r="S326" s="96" t="str">
        <f>IF(B326="","",TRIM(LEFT(B326,FIND(" |",B326&amp;" |")-1)))</f>
        <v/>
      </c>
      <c r="T326" s="96" t="str">
        <f>IF(S326="","",IFERROR(MATCH(S326,'MTRs'!$A$6:$A$505,0),""))</f>
        <v/>
      </c>
      <c r="U326" s="96">
        <f>IF(T326="",0,IF(INDEX('MTRs'!$Z$6:$Z$505,T326)=1,1,0))</f>
        <v>0</v>
      </c>
      <c r="V326" s="96">
        <f>IF(C326="",0,IF(ISNUMBER(MATCH(C326,'CAD_RESÍDUOS'!$B$6:$B$205,0)),1,0))</f>
        <v>0</v>
      </c>
      <c r="W326" s="96">
        <f>IF(AND(ISNUMBER(G326),G326&gt;0),1,0)</f>
        <v>0</v>
      </c>
      <c r="X326" s="96" t="str">
        <f>IF(H326="","",IFERROR(IF(ISNUMBER(INDEX(cfg_fac,MATCH(H326,cfg_units,0))),IF(INDEX(cfg_fac,MATCH(H326,cfg_units,0))&gt;0,INDEX(cfg_fac,MATCH(H326,cfg_units,0)),""),""),""))</f>
        <v/>
      </c>
      <c r="Y326" s="96">
        <f>IF(AND(W326=1,ISNUMBER(I326)),1,0)</f>
        <v>0</v>
      </c>
      <c r="Z326" s="96">
        <f>IF(U326=1,INDEX('MTRs'!$AA$6:$AA$505,T326),0)</f>
        <v>0</v>
      </c>
      <c r="AA326" s="96">
        <f>IF(R326=0,0,COUNTIFS('RECEBIMENTOS'!$R$6:$R$1005,A326,'RECEBIMENTOS'!$Q$6:$Q$1005,1))</f>
        <v>0</v>
      </c>
      <c r="AB326" s="96">
        <f>IF(R326=0,0,COUNTIFS('RECEBIMENTOS'!$R$6:$R$1005,A326,'RECEBIMENTOS'!$Z$6:$Z$1005,1))</f>
        <v>0</v>
      </c>
      <c r="AC326" s="96">
        <f>IF(R326=0,0,COUNTIFS('RECEBIMENTOS'!$R$6:$R$1005,A326,'RECEBIMENTOS'!$Y$6:$Y$1005,1))</f>
        <v>0</v>
      </c>
      <c r="AD326" s="96">
        <f>IF(R326=0,0,COUNTIFS('VÍNCULOS_CDF'!$R$6:$R$1005,A326,'VÍNCULOS_CDF'!$N$6:$N$1005,1))</f>
        <v>0</v>
      </c>
      <c r="AE326" s="96">
        <f>IF(R326=0,0,COUNTIFS('VÍNCULOS_CDF'!$R$6:$R$1005,A326,'VÍNCULOS_CDF'!$AA$6:$AA$1005,1))</f>
        <v>0</v>
      </c>
      <c r="AF326" s="96">
        <f>IF(R326=0,0,COUNTIFS('VÍNCULOS_CDF'!$R$6:$R$1005,A326,'VÍNCULOS_CDF'!$Y$6:$Y$1005,1))</f>
        <v>0</v>
      </c>
      <c r="AG326" s="96" t="str">
        <f>IF(AND(R326=1,S326&lt;&gt;"",C326&lt;&gt;""),S326&amp;"|"&amp;C326&amp;"|"&amp;G326&amp;"|"&amp;H326,"")</f>
        <v/>
      </c>
      <c r="AH326" s="96">
        <f>IF(AG326="",0,IF(SUMPRODUCT(--($AG$6:$AG$1005=AG326))&gt;1,1,0))</f>
        <v>0</v>
      </c>
      <c r="AI326" s="96">
        <f>IF(R326=0,0,IF(OR(U326=0,V326=0,Y326=0,AND(AH326=1,K326&lt;&gt;"Sim")),1,0))</f>
        <v>0</v>
      </c>
      <c r="AJ326" s="96">
        <f>IF(AND(R326=1,AA326&gt;0,AB326=AA326),1,0)</f>
        <v>0</v>
      </c>
      <c r="AK326" s="96">
        <f>IF(R326=0,0,IF(AA326&gt;0,N(L326),IF(ISNUMBER(I326),I326,0)))</f>
        <v>0</v>
      </c>
      <c r="AL326" s="96">
        <f>IF(R326=0,0,IF(AND(K326&lt;&gt;"Sim",N(M326)&gt;AK326+cfg_tol),1,0))</f>
        <v>0</v>
      </c>
      <c r="AM326" s="96">
        <f>IF(R326=0,0,IF(K326="Sim",0,IF(OR(AND(AA326&gt;0,ISNUMBER(I326),ABS(I326-N(L326))&gt;cfg_tol),AL326=1),1,0)))</f>
        <v>0</v>
      </c>
      <c r="AN326" s="96">
        <f>IF(AND(R326=1,N(M326)&gt;0,OR(N(M326)&gt;=AK326-cfg_tol,K326="Sim")),1,0)</f>
        <v>0</v>
      </c>
      <c r="AO326" s="96">
        <f>IF(AND(AN326=1,AD326&gt;0,AE326=AD326,AL326=0),1,0)</f>
        <v>0</v>
      </c>
      <c r="AP326" s="96">
        <f>IF(U326=0,0,IF(AND(INDEX('MTRs'!$AX$6:$AX$505,T326)=1,Z326=0,OR(f_res="",f_res="(Todos)",C326=f_res)),1,0))</f>
        <v>0</v>
      </c>
      <c r="AQ326" s="97" t="str">
        <f>IF(U326=0,"",INDEX('MTRs'!$AZ$6:$AZ$505,T326))</f>
        <v/>
      </c>
      <c r="AR326" s="96">
        <f>IF(U326=0,0,IF(AND(INDEX('MTRs'!$BA$6:$BA$505,T326)=1,Z326=0),1,0))</f>
        <v>0</v>
      </c>
      <c r="AS326" s="96" t="str">
        <f>IF(R326=1,A326&amp;" | MTR "&amp;IF(U326=1,INDEX('MTRs'!$B$6:$B$505,T326)&amp;"","?")&amp;" | "&amp;IF(C326="","(sem resíduo)",C326),"")</f>
        <v/>
      </c>
      <c r="AT326" s="96" t="str">
        <f>IF(R326=1,COUNTIF($R$6:R326,1),"")</f>
        <v/>
      </c>
      <c r="AU326" s="96" t="str">
        <f>IF(U326=1,INDEX('MTRs'!$I$6:$I$505,T326)&amp;"","")</f>
        <v/>
      </c>
    </row>
    <row r="327">
      <c r="A327" s="89" t="inlineStr">
        <is>
          <t>IT-000322</t>
        </is>
      </c>
      <c r="B327" s="91" t="n"/>
      <c r="C327" s="91" t="n"/>
      <c r="D327" s="94" t="str">
        <f>IF(OR(R327=0,V327=0),"",INDEX('CAD_RESÍDUOS'!$E$6:$E$205,MATCH(C327,'CAD_RESÍDUOS'!$B$6:$B$205,0))&amp;"")</f>
        <v/>
      </c>
      <c r="E327" s="94" t="str">
        <f>IF(OR(R327=0,V327=0),"",INDEX('CAD_RESÍDUOS'!$C$6:$C$205,MATCH(C327,'CAD_RESÍDUOS'!$B$6:$B$205,0))&amp;"")</f>
        <v/>
      </c>
      <c r="F327" s="94" t="str">
        <f>IF(OR(R327=0,V327=0),"",INDEX('CAD_RESÍDUOS'!$G$6:$G$205,MATCH(C327,'CAD_RESÍDUOS'!$B$6:$B$205,0))&amp;"")</f>
        <v/>
      </c>
      <c r="G327" s="98" t="n"/>
      <c r="H327" s="91" t="n"/>
      <c r="I327" s="93" t="str">
        <f>IF(R327=0,"",IF(NOT(ISNUMBER(G327)),"",IF(ISNUMBER(X327),G327*X327,"UNIDADE A CONFERIR")))</f>
        <v/>
      </c>
      <c r="J327" s="91" t="n"/>
      <c r="K327" s="91" t="n"/>
      <c r="L327" s="93" t="str">
        <f>IF(R327=0,"",SUMIFS('RECEBIMENTOS'!$H$6:$H$1005,'RECEBIMENTOS'!$R$6:$R$1005,A327,'RECEBIMENTOS'!$X$6:$X$1005,1))</f>
        <v/>
      </c>
      <c r="M327" s="93" t="str">
        <f>IF(R327=0,"",SUMIFS('VÍNCULOS_CDF'!$H$6:$H$1005,'VÍNCULOS_CDF'!$R$6:$R$1005,A327,'VÍNCULOS_CDF'!$V$6:$V$1005,1))</f>
        <v/>
      </c>
      <c r="N327" s="99" t="str">
        <f>IF(OR(R327=0,AA327=0,NOT(ISNUMBER(I327))),"",I327-N(L327))</f>
        <v/>
      </c>
      <c r="O327" s="100" t="str">
        <f>IF(OR(R327=0,AK327&lt;=0),"",N(M327)/AK327)</f>
        <v/>
      </c>
      <c r="P327" s="94" t="str">
        <f>IF(R327=0,"",IF(S327="","Sem MTR associado",IF(U327=0,"MTR inexistente",IF(C327="","Resíduo não identificado",IF(V327=0,"Resíduo fora do cadastro",IF(W327=0,"Quantidade inválida",IF(H327="","Unidade não informada",IF(NOT(ISNUMBER(I327)),"Unidade a conferir",IF(AND(AH327=1,K327&lt;&gt;"Sim"),"Possível duplicidade",IF(Z327=1,"MTR cancelado",IF(AC327&gt;0,"Recebimento com alerta",IF(AA327=0,"Aguardando recebimento",IF(AB327&lt;AA327,"Recebimento a conferir",IF(AM327=1,"Quantidade a revisar",IF(AF327&gt;0,"Vínculo a revisar",IF(AD327=0,"Aguardando CDF",IF(AN327=0,"Vínculo de CDF parcial",IF(AE327&lt;AD327,"CDF a conferir","Documentação conferida"))))))))))))))))))</f>
        <v/>
      </c>
      <c r="Q327" s="93" t="str">
        <f>IF(OR(R327=0,AA327=0),"",MAX(0,N(L327)-N(M327)))</f>
        <v/>
      </c>
      <c r="R327" s="96">
        <f>IF(COUNTA(B327:C327,G327:H327,J327:K327)&gt;0,1,0)</f>
        <v>0</v>
      </c>
      <c r="S327" s="96" t="str">
        <f>IF(B327="","",TRIM(LEFT(B327,FIND(" |",B327&amp;" |")-1)))</f>
        <v/>
      </c>
      <c r="T327" s="96" t="str">
        <f>IF(S327="","",IFERROR(MATCH(S327,'MTRs'!$A$6:$A$505,0),""))</f>
        <v/>
      </c>
      <c r="U327" s="96">
        <f>IF(T327="",0,IF(INDEX('MTRs'!$Z$6:$Z$505,T327)=1,1,0))</f>
        <v>0</v>
      </c>
      <c r="V327" s="96">
        <f>IF(C327="",0,IF(ISNUMBER(MATCH(C327,'CAD_RESÍDUOS'!$B$6:$B$205,0)),1,0))</f>
        <v>0</v>
      </c>
      <c r="W327" s="96">
        <f>IF(AND(ISNUMBER(G327),G327&gt;0),1,0)</f>
        <v>0</v>
      </c>
      <c r="X327" s="96" t="str">
        <f>IF(H327="","",IFERROR(IF(ISNUMBER(INDEX(cfg_fac,MATCH(H327,cfg_units,0))),IF(INDEX(cfg_fac,MATCH(H327,cfg_units,0))&gt;0,INDEX(cfg_fac,MATCH(H327,cfg_units,0)),""),""),""))</f>
        <v/>
      </c>
      <c r="Y327" s="96">
        <f>IF(AND(W327=1,ISNUMBER(I327)),1,0)</f>
        <v>0</v>
      </c>
      <c r="Z327" s="96">
        <f>IF(U327=1,INDEX('MTRs'!$AA$6:$AA$505,T327),0)</f>
        <v>0</v>
      </c>
      <c r="AA327" s="96">
        <f>IF(R327=0,0,COUNTIFS('RECEBIMENTOS'!$R$6:$R$1005,A327,'RECEBIMENTOS'!$Q$6:$Q$1005,1))</f>
        <v>0</v>
      </c>
      <c r="AB327" s="96">
        <f>IF(R327=0,0,COUNTIFS('RECEBIMENTOS'!$R$6:$R$1005,A327,'RECEBIMENTOS'!$Z$6:$Z$1005,1))</f>
        <v>0</v>
      </c>
      <c r="AC327" s="96">
        <f>IF(R327=0,0,COUNTIFS('RECEBIMENTOS'!$R$6:$R$1005,A327,'RECEBIMENTOS'!$Y$6:$Y$1005,1))</f>
        <v>0</v>
      </c>
      <c r="AD327" s="96">
        <f>IF(R327=0,0,COUNTIFS('VÍNCULOS_CDF'!$R$6:$R$1005,A327,'VÍNCULOS_CDF'!$N$6:$N$1005,1))</f>
        <v>0</v>
      </c>
      <c r="AE327" s="96">
        <f>IF(R327=0,0,COUNTIFS('VÍNCULOS_CDF'!$R$6:$R$1005,A327,'VÍNCULOS_CDF'!$AA$6:$AA$1005,1))</f>
        <v>0</v>
      </c>
      <c r="AF327" s="96">
        <f>IF(R327=0,0,COUNTIFS('VÍNCULOS_CDF'!$R$6:$R$1005,A327,'VÍNCULOS_CDF'!$Y$6:$Y$1005,1))</f>
        <v>0</v>
      </c>
      <c r="AG327" s="96" t="str">
        <f>IF(AND(R327=1,S327&lt;&gt;"",C327&lt;&gt;""),S327&amp;"|"&amp;C327&amp;"|"&amp;G327&amp;"|"&amp;H327,"")</f>
        <v/>
      </c>
      <c r="AH327" s="96">
        <f>IF(AG327="",0,IF(SUMPRODUCT(--($AG$6:$AG$1005=AG327))&gt;1,1,0))</f>
        <v>0</v>
      </c>
      <c r="AI327" s="96">
        <f>IF(R327=0,0,IF(OR(U327=0,V327=0,Y327=0,AND(AH327=1,K327&lt;&gt;"Sim")),1,0))</f>
        <v>0</v>
      </c>
      <c r="AJ327" s="96">
        <f>IF(AND(R327=1,AA327&gt;0,AB327=AA327),1,0)</f>
        <v>0</v>
      </c>
      <c r="AK327" s="96">
        <f>IF(R327=0,0,IF(AA327&gt;0,N(L327),IF(ISNUMBER(I327),I327,0)))</f>
        <v>0</v>
      </c>
      <c r="AL327" s="96">
        <f>IF(R327=0,0,IF(AND(K327&lt;&gt;"Sim",N(M327)&gt;AK327+cfg_tol),1,0))</f>
        <v>0</v>
      </c>
      <c r="AM327" s="96">
        <f>IF(R327=0,0,IF(K327="Sim",0,IF(OR(AND(AA327&gt;0,ISNUMBER(I327),ABS(I327-N(L327))&gt;cfg_tol),AL327=1),1,0)))</f>
        <v>0</v>
      </c>
      <c r="AN327" s="96">
        <f>IF(AND(R327=1,N(M327)&gt;0,OR(N(M327)&gt;=AK327-cfg_tol,K327="Sim")),1,0)</f>
        <v>0</v>
      </c>
      <c r="AO327" s="96">
        <f>IF(AND(AN327=1,AD327&gt;0,AE327=AD327,AL327=0),1,0)</f>
        <v>0</v>
      </c>
      <c r="AP327" s="96">
        <f>IF(U327=0,0,IF(AND(INDEX('MTRs'!$AX$6:$AX$505,T327)=1,Z327=0,OR(f_res="",f_res="(Todos)",C327=f_res)),1,0))</f>
        <v>0</v>
      </c>
      <c r="AQ327" s="97" t="str">
        <f>IF(U327=0,"",INDEX('MTRs'!$AZ$6:$AZ$505,T327))</f>
        <v/>
      </c>
      <c r="AR327" s="96">
        <f>IF(U327=0,0,IF(AND(INDEX('MTRs'!$BA$6:$BA$505,T327)=1,Z327=0),1,0))</f>
        <v>0</v>
      </c>
      <c r="AS327" s="96" t="str">
        <f>IF(R327=1,A327&amp;" | MTR "&amp;IF(U327=1,INDEX('MTRs'!$B$6:$B$505,T327)&amp;"","?")&amp;" | "&amp;IF(C327="","(sem resíduo)",C327),"")</f>
        <v/>
      </c>
      <c r="AT327" s="96" t="str">
        <f>IF(R327=1,COUNTIF($R$6:R327,1),"")</f>
        <v/>
      </c>
      <c r="AU327" s="96" t="str">
        <f>IF(U327=1,INDEX('MTRs'!$I$6:$I$505,T327)&amp;"","")</f>
        <v/>
      </c>
    </row>
    <row r="328">
      <c r="A328" s="89" t="inlineStr">
        <is>
          <t>IT-000323</t>
        </is>
      </c>
      <c r="B328" s="91" t="n"/>
      <c r="C328" s="91" t="n"/>
      <c r="D328" s="94" t="str">
        <f>IF(OR(R328=0,V328=0),"",INDEX('CAD_RESÍDUOS'!$E$6:$E$205,MATCH(C328,'CAD_RESÍDUOS'!$B$6:$B$205,0))&amp;"")</f>
        <v/>
      </c>
      <c r="E328" s="94" t="str">
        <f>IF(OR(R328=0,V328=0),"",INDEX('CAD_RESÍDUOS'!$C$6:$C$205,MATCH(C328,'CAD_RESÍDUOS'!$B$6:$B$205,0))&amp;"")</f>
        <v/>
      </c>
      <c r="F328" s="94" t="str">
        <f>IF(OR(R328=0,V328=0),"",INDEX('CAD_RESÍDUOS'!$G$6:$G$205,MATCH(C328,'CAD_RESÍDUOS'!$B$6:$B$205,0))&amp;"")</f>
        <v/>
      </c>
      <c r="G328" s="98" t="n"/>
      <c r="H328" s="91" t="n"/>
      <c r="I328" s="93" t="str">
        <f>IF(R328=0,"",IF(NOT(ISNUMBER(G328)),"",IF(ISNUMBER(X328),G328*X328,"UNIDADE A CONFERIR")))</f>
        <v/>
      </c>
      <c r="J328" s="91" t="n"/>
      <c r="K328" s="91" t="n"/>
      <c r="L328" s="93" t="str">
        <f>IF(R328=0,"",SUMIFS('RECEBIMENTOS'!$H$6:$H$1005,'RECEBIMENTOS'!$R$6:$R$1005,A328,'RECEBIMENTOS'!$X$6:$X$1005,1))</f>
        <v/>
      </c>
      <c r="M328" s="93" t="str">
        <f>IF(R328=0,"",SUMIFS('VÍNCULOS_CDF'!$H$6:$H$1005,'VÍNCULOS_CDF'!$R$6:$R$1005,A328,'VÍNCULOS_CDF'!$V$6:$V$1005,1))</f>
        <v/>
      </c>
      <c r="N328" s="99" t="str">
        <f>IF(OR(R328=0,AA328=0,NOT(ISNUMBER(I328))),"",I328-N(L328))</f>
        <v/>
      </c>
      <c r="O328" s="100" t="str">
        <f>IF(OR(R328=0,AK328&lt;=0),"",N(M328)/AK328)</f>
        <v/>
      </c>
      <c r="P328" s="94" t="str">
        <f>IF(R328=0,"",IF(S328="","Sem MTR associado",IF(U328=0,"MTR inexistente",IF(C328="","Resíduo não identificado",IF(V328=0,"Resíduo fora do cadastro",IF(W328=0,"Quantidade inválida",IF(H328="","Unidade não informada",IF(NOT(ISNUMBER(I328)),"Unidade a conferir",IF(AND(AH328=1,K328&lt;&gt;"Sim"),"Possível duplicidade",IF(Z328=1,"MTR cancelado",IF(AC328&gt;0,"Recebimento com alerta",IF(AA328=0,"Aguardando recebimento",IF(AB328&lt;AA328,"Recebimento a conferir",IF(AM328=1,"Quantidade a revisar",IF(AF328&gt;0,"Vínculo a revisar",IF(AD328=0,"Aguardando CDF",IF(AN328=0,"Vínculo de CDF parcial",IF(AE328&lt;AD328,"CDF a conferir","Documentação conferida"))))))))))))))))))</f>
        <v/>
      </c>
      <c r="Q328" s="93" t="str">
        <f>IF(OR(R328=0,AA328=0),"",MAX(0,N(L328)-N(M328)))</f>
        <v/>
      </c>
      <c r="R328" s="96">
        <f>IF(COUNTA(B328:C328,G328:H328,J328:K328)&gt;0,1,0)</f>
        <v>0</v>
      </c>
      <c r="S328" s="96" t="str">
        <f>IF(B328="","",TRIM(LEFT(B328,FIND(" |",B328&amp;" |")-1)))</f>
        <v/>
      </c>
      <c r="T328" s="96" t="str">
        <f>IF(S328="","",IFERROR(MATCH(S328,'MTRs'!$A$6:$A$505,0),""))</f>
        <v/>
      </c>
      <c r="U328" s="96">
        <f>IF(T328="",0,IF(INDEX('MTRs'!$Z$6:$Z$505,T328)=1,1,0))</f>
        <v>0</v>
      </c>
      <c r="V328" s="96">
        <f>IF(C328="",0,IF(ISNUMBER(MATCH(C328,'CAD_RESÍDUOS'!$B$6:$B$205,0)),1,0))</f>
        <v>0</v>
      </c>
      <c r="W328" s="96">
        <f>IF(AND(ISNUMBER(G328),G328&gt;0),1,0)</f>
        <v>0</v>
      </c>
      <c r="X328" s="96" t="str">
        <f>IF(H328="","",IFERROR(IF(ISNUMBER(INDEX(cfg_fac,MATCH(H328,cfg_units,0))),IF(INDEX(cfg_fac,MATCH(H328,cfg_units,0))&gt;0,INDEX(cfg_fac,MATCH(H328,cfg_units,0)),""),""),""))</f>
        <v/>
      </c>
      <c r="Y328" s="96">
        <f>IF(AND(W328=1,ISNUMBER(I328)),1,0)</f>
        <v>0</v>
      </c>
      <c r="Z328" s="96">
        <f>IF(U328=1,INDEX('MTRs'!$AA$6:$AA$505,T328),0)</f>
        <v>0</v>
      </c>
      <c r="AA328" s="96">
        <f>IF(R328=0,0,COUNTIFS('RECEBIMENTOS'!$R$6:$R$1005,A328,'RECEBIMENTOS'!$Q$6:$Q$1005,1))</f>
        <v>0</v>
      </c>
      <c r="AB328" s="96">
        <f>IF(R328=0,0,COUNTIFS('RECEBIMENTOS'!$R$6:$R$1005,A328,'RECEBIMENTOS'!$Z$6:$Z$1005,1))</f>
        <v>0</v>
      </c>
      <c r="AC328" s="96">
        <f>IF(R328=0,0,COUNTIFS('RECEBIMENTOS'!$R$6:$R$1005,A328,'RECEBIMENTOS'!$Y$6:$Y$1005,1))</f>
        <v>0</v>
      </c>
      <c r="AD328" s="96">
        <f>IF(R328=0,0,COUNTIFS('VÍNCULOS_CDF'!$R$6:$R$1005,A328,'VÍNCULOS_CDF'!$N$6:$N$1005,1))</f>
        <v>0</v>
      </c>
      <c r="AE328" s="96">
        <f>IF(R328=0,0,COUNTIFS('VÍNCULOS_CDF'!$R$6:$R$1005,A328,'VÍNCULOS_CDF'!$AA$6:$AA$1005,1))</f>
        <v>0</v>
      </c>
      <c r="AF328" s="96">
        <f>IF(R328=0,0,COUNTIFS('VÍNCULOS_CDF'!$R$6:$R$1005,A328,'VÍNCULOS_CDF'!$Y$6:$Y$1005,1))</f>
        <v>0</v>
      </c>
      <c r="AG328" s="96" t="str">
        <f>IF(AND(R328=1,S328&lt;&gt;"",C328&lt;&gt;""),S328&amp;"|"&amp;C328&amp;"|"&amp;G328&amp;"|"&amp;H328,"")</f>
        <v/>
      </c>
      <c r="AH328" s="96">
        <f>IF(AG328="",0,IF(SUMPRODUCT(--($AG$6:$AG$1005=AG328))&gt;1,1,0))</f>
        <v>0</v>
      </c>
      <c r="AI328" s="96">
        <f>IF(R328=0,0,IF(OR(U328=0,V328=0,Y328=0,AND(AH328=1,K328&lt;&gt;"Sim")),1,0))</f>
        <v>0</v>
      </c>
      <c r="AJ328" s="96">
        <f>IF(AND(R328=1,AA328&gt;0,AB328=AA328),1,0)</f>
        <v>0</v>
      </c>
      <c r="AK328" s="96">
        <f>IF(R328=0,0,IF(AA328&gt;0,N(L328),IF(ISNUMBER(I328),I328,0)))</f>
        <v>0</v>
      </c>
      <c r="AL328" s="96">
        <f>IF(R328=0,0,IF(AND(K328&lt;&gt;"Sim",N(M328)&gt;AK328+cfg_tol),1,0))</f>
        <v>0</v>
      </c>
      <c r="AM328" s="96">
        <f>IF(R328=0,0,IF(K328="Sim",0,IF(OR(AND(AA328&gt;0,ISNUMBER(I328),ABS(I328-N(L328))&gt;cfg_tol),AL328=1),1,0)))</f>
        <v>0</v>
      </c>
      <c r="AN328" s="96">
        <f>IF(AND(R328=1,N(M328)&gt;0,OR(N(M328)&gt;=AK328-cfg_tol,K328="Sim")),1,0)</f>
        <v>0</v>
      </c>
      <c r="AO328" s="96">
        <f>IF(AND(AN328=1,AD328&gt;0,AE328=AD328,AL328=0),1,0)</f>
        <v>0</v>
      </c>
      <c r="AP328" s="96">
        <f>IF(U328=0,0,IF(AND(INDEX('MTRs'!$AX$6:$AX$505,T328)=1,Z328=0,OR(f_res="",f_res="(Todos)",C328=f_res)),1,0))</f>
        <v>0</v>
      </c>
      <c r="AQ328" s="97" t="str">
        <f>IF(U328=0,"",INDEX('MTRs'!$AZ$6:$AZ$505,T328))</f>
        <v/>
      </c>
      <c r="AR328" s="96">
        <f>IF(U328=0,0,IF(AND(INDEX('MTRs'!$BA$6:$BA$505,T328)=1,Z328=0),1,0))</f>
        <v>0</v>
      </c>
      <c r="AS328" s="96" t="str">
        <f>IF(R328=1,A328&amp;" | MTR "&amp;IF(U328=1,INDEX('MTRs'!$B$6:$B$505,T328)&amp;"","?")&amp;" | "&amp;IF(C328="","(sem resíduo)",C328),"")</f>
        <v/>
      </c>
      <c r="AT328" s="96" t="str">
        <f>IF(R328=1,COUNTIF($R$6:R328,1),"")</f>
        <v/>
      </c>
      <c r="AU328" s="96" t="str">
        <f>IF(U328=1,INDEX('MTRs'!$I$6:$I$505,T328)&amp;"","")</f>
        <v/>
      </c>
    </row>
    <row r="329">
      <c r="A329" s="89" t="inlineStr">
        <is>
          <t>IT-000324</t>
        </is>
      </c>
      <c r="B329" s="91" t="n"/>
      <c r="C329" s="91" t="n"/>
      <c r="D329" s="94" t="str">
        <f>IF(OR(R329=0,V329=0),"",INDEX('CAD_RESÍDUOS'!$E$6:$E$205,MATCH(C329,'CAD_RESÍDUOS'!$B$6:$B$205,0))&amp;"")</f>
        <v/>
      </c>
      <c r="E329" s="94" t="str">
        <f>IF(OR(R329=0,V329=0),"",INDEX('CAD_RESÍDUOS'!$C$6:$C$205,MATCH(C329,'CAD_RESÍDUOS'!$B$6:$B$205,0))&amp;"")</f>
        <v/>
      </c>
      <c r="F329" s="94" t="str">
        <f>IF(OR(R329=0,V329=0),"",INDEX('CAD_RESÍDUOS'!$G$6:$G$205,MATCH(C329,'CAD_RESÍDUOS'!$B$6:$B$205,0))&amp;"")</f>
        <v/>
      </c>
      <c r="G329" s="98" t="n"/>
      <c r="H329" s="91" t="n"/>
      <c r="I329" s="93" t="str">
        <f>IF(R329=0,"",IF(NOT(ISNUMBER(G329)),"",IF(ISNUMBER(X329),G329*X329,"UNIDADE A CONFERIR")))</f>
        <v/>
      </c>
      <c r="J329" s="91" t="n"/>
      <c r="K329" s="91" t="n"/>
      <c r="L329" s="93" t="str">
        <f>IF(R329=0,"",SUMIFS('RECEBIMENTOS'!$H$6:$H$1005,'RECEBIMENTOS'!$R$6:$R$1005,A329,'RECEBIMENTOS'!$X$6:$X$1005,1))</f>
        <v/>
      </c>
      <c r="M329" s="93" t="str">
        <f>IF(R329=0,"",SUMIFS('VÍNCULOS_CDF'!$H$6:$H$1005,'VÍNCULOS_CDF'!$R$6:$R$1005,A329,'VÍNCULOS_CDF'!$V$6:$V$1005,1))</f>
        <v/>
      </c>
      <c r="N329" s="99" t="str">
        <f>IF(OR(R329=0,AA329=0,NOT(ISNUMBER(I329))),"",I329-N(L329))</f>
        <v/>
      </c>
      <c r="O329" s="100" t="str">
        <f>IF(OR(R329=0,AK329&lt;=0),"",N(M329)/AK329)</f>
        <v/>
      </c>
      <c r="P329" s="94" t="str">
        <f>IF(R329=0,"",IF(S329="","Sem MTR associado",IF(U329=0,"MTR inexistente",IF(C329="","Resíduo não identificado",IF(V329=0,"Resíduo fora do cadastro",IF(W329=0,"Quantidade inválida",IF(H329="","Unidade não informada",IF(NOT(ISNUMBER(I329)),"Unidade a conferir",IF(AND(AH329=1,K329&lt;&gt;"Sim"),"Possível duplicidade",IF(Z329=1,"MTR cancelado",IF(AC329&gt;0,"Recebimento com alerta",IF(AA329=0,"Aguardando recebimento",IF(AB329&lt;AA329,"Recebimento a conferir",IF(AM329=1,"Quantidade a revisar",IF(AF329&gt;0,"Vínculo a revisar",IF(AD329=0,"Aguardando CDF",IF(AN329=0,"Vínculo de CDF parcial",IF(AE329&lt;AD329,"CDF a conferir","Documentação conferida"))))))))))))))))))</f>
        <v/>
      </c>
      <c r="Q329" s="93" t="str">
        <f>IF(OR(R329=0,AA329=0),"",MAX(0,N(L329)-N(M329)))</f>
        <v/>
      </c>
      <c r="R329" s="96">
        <f>IF(COUNTA(B329:C329,G329:H329,J329:K329)&gt;0,1,0)</f>
        <v>0</v>
      </c>
      <c r="S329" s="96" t="str">
        <f>IF(B329="","",TRIM(LEFT(B329,FIND(" |",B329&amp;" |")-1)))</f>
        <v/>
      </c>
      <c r="T329" s="96" t="str">
        <f>IF(S329="","",IFERROR(MATCH(S329,'MTRs'!$A$6:$A$505,0),""))</f>
        <v/>
      </c>
      <c r="U329" s="96">
        <f>IF(T329="",0,IF(INDEX('MTRs'!$Z$6:$Z$505,T329)=1,1,0))</f>
        <v>0</v>
      </c>
      <c r="V329" s="96">
        <f>IF(C329="",0,IF(ISNUMBER(MATCH(C329,'CAD_RESÍDUOS'!$B$6:$B$205,0)),1,0))</f>
        <v>0</v>
      </c>
      <c r="W329" s="96">
        <f>IF(AND(ISNUMBER(G329),G329&gt;0),1,0)</f>
        <v>0</v>
      </c>
      <c r="X329" s="96" t="str">
        <f>IF(H329="","",IFERROR(IF(ISNUMBER(INDEX(cfg_fac,MATCH(H329,cfg_units,0))),IF(INDEX(cfg_fac,MATCH(H329,cfg_units,0))&gt;0,INDEX(cfg_fac,MATCH(H329,cfg_units,0)),""),""),""))</f>
        <v/>
      </c>
      <c r="Y329" s="96">
        <f>IF(AND(W329=1,ISNUMBER(I329)),1,0)</f>
        <v>0</v>
      </c>
      <c r="Z329" s="96">
        <f>IF(U329=1,INDEX('MTRs'!$AA$6:$AA$505,T329),0)</f>
        <v>0</v>
      </c>
      <c r="AA329" s="96">
        <f>IF(R329=0,0,COUNTIFS('RECEBIMENTOS'!$R$6:$R$1005,A329,'RECEBIMENTOS'!$Q$6:$Q$1005,1))</f>
        <v>0</v>
      </c>
      <c r="AB329" s="96">
        <f>IF(R329=0,0,COUNTIFS('RECEBIMENTOS'!$R$6:$R$1005,A329,'RECEBIMENTOS'!$Z$6:$Z$1005,1))</f>
        <v>0</v>
      </c>
      <c r="AC329" s="96">
        <f>IF(R329=0,0,COUNTIFS('RECEBIMENTOS'!$R$6:$R$1005,A329,'RECEBIMENTOS'!$Y$6:$Y$1005,1))</f>
        <v>0</v>
      </c>
      <c r="AD329" s="96">
        <f>IF(R329=0,0,COUNTIFS('VÍNCULOS_CDF'!$R$6:$R$1005,A329,'VÍNCULOS_CDF'!$N$6:$N$1005,1))</f>
        <v>0</v>
      </c>
      <c r="AE329" s="96">
        <f>IF(R329=0,0,COUNTIFS('VÍNCULOS_CDF'!$R$6:$R$1005,A329,'VÍNCULOS_CDF'!$AA$6:$AA$1005,1))</f>
        <v>0</v>
      </c>
      <c r="AF329" s="96">
        <f>IF(R329=0,0,COUNTIFS('VÍNCULOS_CDF'!$R$6:$R$1005,A329,'VÍNCULOS_CDF'!$Y$6:$Y$1005,1))</f>
        <v>0</v>
      </c>
      <c r="AG329" s="96" t="str">
        <f>IF(AND(R329=1,S329&lt;&gt;"",C329&lt;&gt;""),S329&amp;"|"&amp;C329&amp;"|"&amp;G329&amp;"|"&amp;H329,"")</f>
        <v/>
      </c>
      <c r="AH329" s="96">
        <f>IF(AG329="",0,IF(SUMPRODUCT(--($AG$6:$AG$1005=AG329))&gt;1,1,0))</f>
        <v>0</v>
      </c>
      <c r="AI329" s="96">
        <f>IF(R329=0,0,IF(OR(U329=0,V329=0,Y329=0,AND(AH329=1,K329&lt;&gt;"Sim")),1,0))</f>
        <v>0</v>
      </c>
      <c r="AJ329" s="96">
        <f>IF(AND(R329=1,AA329&gt;0,AB329=AA329),1,0)</f>
        <v>0</v>
      </c>
      <c r="AK329" s="96">
        <f>IF(R329=0,0,IF(AA329&gt;0,N(L329),IF(ISNUMBER(I329),I329,0)))</f>
        <v>0</v>
      </c>
      <c r="AL329" s="96">
        <f>IF(R329=0,0,IF(AND(K329&lt;&gt;"Sim",N(M329)&gt;AK329+cfg_tol),1,0))</f>
        <v>0</v>
      </c>
      <c r="AM329" s="96">
        <f>IF(R329=0,0,IF(K329="Sim",0,IF(OR(AND(AA329&gt;0,ISNUMBER(I329),ABS(I329-N(L329))&gt;cfg_tol),AL329=1),1,0)))</f>
        <v>0</v>
      </c>
      <c r="AN329" s="96">
        <f>IF(AND(R329=1,N(M329)&gt;0,OR(N(M329)&gt;=AK329-cfg_tol,K329="Sim")),1,0)</f>
        <v>0</v>
      </c>
      <c r="AO329" s="96">
        <f>IF(AND(AN329=1,AD329&gt;0,AE329=AD329,AL329=0),1,0)</f>
        <v>0</v>
      </c>
      <c r="AP329" s="96">
        <f>IF(U329=0,0,IF(AND(INDEX('MTRs'!$AX$6:$AX$505,T329)=1,Z329=0,OR(f_res="",f_res="(Todos)",C329=f_res)),1,0))</f>
        <v>0</v>
      </c>
      <c r="AQ329" s="97" t="str">
        <f>IF(U329=0,"",INDEX('MTRs'!$AZ$6:$AZ$505,T329))</f>
        <v/>
      </c>
      <c r="AR329" s="96">
        <f>IF(U329=0,0,IF(AND(INDEX('MTRs'!$BA$6:$BA$505,T329)=1,Z329=0),1,0))</f>
        <v>0</v>
      </c>
      <c r="AS329" s="96" t="str">
        <f>IF(R329=1,A329&amp;" | MTR "&amp;IF(U329=1,INDEX('MTRs'!$B$6:$B$505,T329)&amp;"","?")&amp;" | "&amp;IF(C329="","(sem resíduo)",C329),"")</f>
        <v/>
      </c>
      <c r="AT329" s="96" t="str">
        <f>IF(R329=1,COUNTIF($R$6:R329,1),"")</f>
        <v/>
      </c>
      <c r="AU329" s="96" t="str">
        <f>IF(U329=1,INDEX('MTRs'!$I$6:$I$505,T329)&amp;"","")</f>
        <v/>
      </c>
    </row>
    <row r="330">
      <c r="A330" s="89" t="inlineStr">
        <is>
          <t>IT-000325</t>
        </is>
      </c>
      <c r="B330" s="91" t="n"/>
      <c r="C330" s="91" t="n"/>
      <c r="D330" s="94" t="str">
        <f>IF(OR(R330=0,V330=0),"",INDEX('CAD_RESÍDUOS'!$E$6:$E$205,MATCH(C330,'CAD_RESÍDUOS'!$B$6:$B$205,0))&amp;"")</f>
        <v/>
      </c>
      <c r="E330" s="94" t="str">
        <f>IF(OR(R330=0,V330=0),"",INDEX('CAD_RESÍDUOS'!$C$6:$C$205,MATCH(C330,'CAD_RESÍDUOS'!$B$6:$B$205,0))&amp;"")</f>
        <v/>
      </c>
      <c r="F330" s="94" t="str">
        <f>IF(OR(R330=0,V330=0),"",INDEX('CAD_RESÍDUOS'!$G$6:$G$205,MATCH(C330,'CAD_RESÍDUOS'!$B$6:$B$205,0))&amp;"")</f>
        <v/>
      </c>
      <c r="G330" s="98" t="n"/>
      <c r="H330" s="91" t="n"/>
      <c r="I330" s="93" t="str">
        <f>IF(R330=0,"",IF(NOT(ISNUMBER(G330)),"",IF(ISNUMBER(X330),G330*X330,"UNIDADE A CONFERIR")))</f>
        <v/>
      </c>
      <c r="J330" s="91" t="n"/>
      <c r="K330" s="91" t="n"/>
      <c r="L330" s="93" t="str">
        <f>IF(R330=0,"",SUMIFS('RECEBIMENTOS'!$H$6:$H$1005,'RECEBIMENTOS'!$R$6:$R$1005,A330,'RECEBIMENTOS'!$X$6:$X$1005,1))</f>
        <v/>
      </c>
      <c r="M330" s="93" t="str">
        <f>IF(R330=0,"",SUMIFS('VÍNCULOS_CDF'!$H$6:$H$1005,'VÍNCULOS_CDF'!$R$6:$R$1005,A330,'VÍNCULOS_CDF'!$V$6:$V$1005,1))</f>
        <v/>
      </c>
      <c r="N330" s="99" t="str">
        <f>IF(OR(R330=0,AA330=0,NOT(ISNUMBER(I330))),"",I330-N(L330))</f>
        <v/>
      </c>
      <c r="O330" s="100" t="str">
        <f>IF(OR(R330=0,AK330&lt;=0),"",N(M330)/AK330)</f>
        <v/>
      </c>
      <c r="P330" s="94" t="str">
        <f>IF(R330=0,"",IF(S330="","Sem MTR associado",IF(U330=0,"MTR inexistente",IF(C330="","Resíduo não identificado",IF(V330=0,"Resíduo fora do cadastro",IF(W330=0,"Quantidade inválida",IF(H330="","Unidade não informada",IF(NOT(ISNUMBER(I330)),"Unidade a conferir",IF(AND(AH330=1,K330&lt;&gt;"Sim"),"Possível duplicidade",IF(Z330=1,"MTR cancelado",IF(AC330&gt;0,"Recebimento com alerta",IF(AA330=0,"Aguardando recebimento",IF(AB330&lt;AA330,"Recebimento a conferir",IF(AM330=1,"Quantidade a revisar",IF(AF330&gt;0,"Vínculo a revisar",IF(AD330=0,"Aguardando CDF",IF(AN330=0,"Vínculo de CDF parcial",IF(AE330&lt;AD330,"CDF a conferir","Documentação conferida"))))))))))))))))))</f>
        <v/>
      </c>
      <c r="Q330" s="93" t="str">
        <f>IF(OR(R330=0,AA330=0),"",MAX(0,N(L330)-N(M330)))</f>
        <v/>
      </c>
      <c r="R330" s="96">
        <f>IF(COUNTA(B330:C330,G330:H330,J330:K330)&gt;0,1,0)</f>
        <v>0</v>
      </c>
      <c r="S330" s="96" t="str">
        <f>IF(B330="","",TRIM(LEFT(B330,FIND(" |",B330&amp;" |")-1)))</f>
        <v/>
      </c>
      <c r="T330" s="96" t="str">
        <f>IF(S330="","",IFERROR(MATCH(S330,'MTRs'!$A$6:$A$505,0),""))</f>
        <v/>
      </c>
      <c r="U330" s="96">
        <f>IF(T330="",0,IF(INDEX('MTRs'!$Z$6:$Z$505,T330)=1,1,0))</f>
        <v>0</v>
      </c>
      <c r="V330" s="96">
        <f>IF(C330="",0,IF(ISNUMBER(MATCH(C330,'CAD_RESÍDUOS'!$B$6:$B$205,0)),1,0))</f>
        <v>0</v>
      </c>
      <c r="W330" s="96">
        <f>IF(AND(ISNUMBER(G330),G330&gt;0),1,0)</f>
        <v>0</v>
      </c>
      <c r="X330" s="96" t="str">
        <f>IF(H330="","",IFERROR(IF(ISNUMBER(INDEX(cfg_fac,MATCH(H330,cfg_units,0))),IF(INDEX(cfg_fac,MATCH(H330,cfg_units,0))&gt;0,INDEX(cfg_fac,MATCH(H330,cfg_units,0)),""),""),""))</f>
        <v/>
      </c>
      <c r="Y330" s="96">
        <f>IF(AND(W330=1,ISNUMBER(I330)),1,0)</f>
        <v>0</v>
      </c>
      <c r="Z330" s="96">
        <f>IF(U330=1,INDEX('MTRs'!$AA$6:$AA$505,T330),0)</f>
        <v>0</v>
      </c>
      <c r="AA330" s="96">
        <f>IF(R330=0,0,COUNTIFS('RECEBIMENTOS'!$R$6:$R$1005,A330,'RECEBIMENTOS'!$Q$6:$Q$1005,1))</f>
        <v>0</v>
      </c>
      <c r="AB330" s="96">
        <f>IF(R330=0,0,COUNTIFS('RECEBIMENTOS'!$R$6:$R$1005,A330,'RECEBIMENTOS'!$Z$6:$Z$1005,1))</f>
        <v>0</v>
      </c>
      <c r="AC330" s="96">
        <f>IF(R330=0,0,COUNTIFS('RECEBIMENTOS'!$R$6:$R$1005,A330,'RECEBIMENTOS'!$Y$6:$Y$1005,1))</f>
        <v>0</v>
      </c>
      <c r="AD330" s="96">
        <f>IF(R330=0,0,COUNTIFS('VÍNCULOS_CDF'!$R$6:$R$1005,A330,'VÍNCULOS_CDF'!$N$6:$N$1005,1))</f>
        <v>0</v>
      </c>
      <c r="AE330" s="96">
        <f>IF(R330=0,0,COUNTIFS('VÍNCULOS_CDF'!$R$6:$R$1005,A330,'VÍNCULOS_CDF'!$AA$6:$AA$1005,1))</f>
        <v>0</v>
      </c>
      <c r="AF330" s="96">
        <f>IF(R330=0,0,COUNTIFS('VÍNCULOS_CDF'!$R$6:$R$1005,A330,'VÍNCULOS_CDF'!$Y$6:$Y$1005,1))</f>
        <v>0</v>
      </c>
      <c r="AG330" s="96" t="str">
        <f>IF(AND(R330=1,S330&lt;&gt;"",C330&lt;&gt;""),S330&amp;"|"&amp;C330&amp;"|"&amp;G330&amp;"|"&amp;H330,"")</f>
        <v/>
      </c>
      <c r="AH330" s="96">
        <f>IF(AG330="",0,IF(SUMPRODUCT(--($AG$6:$AG$1005=AG330))&gt;1,1,0))</f>
        <v>0</v>
      </c>
      <c r="AI330" s="96">
        <f>IF(R330=0,0,IF(OR(U330=0,V330=0,Y330=0,AND(AH330=1,K330&lt;&gt;"Sim")),1,0))</f>
        <v>0</v>
      </c>
      <c r="AJ330" s="96">
        <f>IF(AND(R330=1,AA330&gt;0,AB330=AA330),1,0)</f>
        <v>0</v>
      </c>
      <c r="AK330" s="96">
        <f>IF(R330=0,0,IF(AA330&gt;0,N(L330),IF(ISNUMBER(I330),I330,0)))</f>
        <v>0</v>
      </c>
      <c r="AL330" s="96">
        <f>IF(R330=0,0,IF(AND(K330&lt;&gt;"Sim",N(M330)&gt;AK330+cfg_tol),1,0))</f>
        <v>0</v>
      </c>
      <c r="AM330" s="96">
        <f>IF(R330=0,0,IF(K330="Sim",0,IF(OR(AND(AA330&gt;0,ISNUMBER(I330),ABS(I330-N(L330))&gt;cfg_tol),AL330=1),1,0)))</f>
        <v>0</v>
      </c>
      <c r="AN330" s="96">
        <f>IF(AND(R330=1,N(M330)&gt;0,OR(N(M330)&gt;=AK330-cfg_tol,K330="Sim")),1,0)</f>
        <v>0</v>
      </c>
      <c r="AO330" s="96">
        <f>IF(AND(AN330=1,AD330&gt;0,AE330=AD330,AL330=0),1,0)</f>
        <v>0</v>
      </c>
      <c r="AP330" s="96">
        <f>IF(U330=0,0,IF(AND(INDEX('MTRs'!$AX$6:$AX$505,T330)=1,Z330=0,OR(f_res="",f_res="(Todos)",C330=f_res)),1,0))</f>
        <v>0</v>
      </c>
      <c r="AQ330" s="97" t="str">
        <f>IF(U330=0,"",INDEX('MTRs'!$AZ$6:$AZ$505,T330))</f>
        <v/>
      </c>
      <c r="AR330" s="96">
        <f>IF(U330=0,0,IF(AND(INDEX('MTRs'!$BA$6:$BA$505,T330)=1,Z330=0),1,0))</f>
        <v>0</v>
      </c>
      <c r="AS330" s="96" t="str">
        <f>IF(R330=1,A330&amp;" | MTR "&amp;IF(U330=1,INDEX('MTRs'!$B$6:$B$505,T330)&amp;"","?")&amp;" | "&amp;IF(C330="","(sem resíduo)",C330),"")</f>
        <v/>
      </c>
      <c r="AT330" s="96" t="str">
        <f>IF(R330=1,COUNTIF($R$6:R330,1),"")</f>
        <v/>
      </c>
      <c r="AU330" s="96" t="str">
        <f>IF(U330=1,INDEX('MTRs'!$I$6:$I$505,T330)&amp;"","")</f>
        <v/>
      </c>
    </row>
    <row r="331">
      <c r="A331" s="89" t="inlineStr">
        <is>
          <t>IT-000326</t>
        </is>
      </c>
      <c r="B331" s="91" t="n"/>
      <c r="C331" s="91" t="n"/>
      <c r="D331" s="94" t="str">
        <f>IF(OR(R331=0,V331=0),"",INDEX('CAD_RESÍDUOS'!$E$6:$E$205,MATCH(C331,'CAD_RESÍDUOS'!$B$6:$B$205,0))&amp;"")</f>
        <v/>
      </c>
      <c r="E331" s="94" t="str">
        <f>IF(OR(R331=0,V331=0),"",INDEX('CAD_RESÍDUOS'!$C$6:$C$205,MATCH(C331,'CAD_RESÍDUOS'!$B$6:$B$205,0))&amp;"")</f>
        <v/>
      </c>
      <c r="F331" s="94" t="str">
        <f>IF(OR(R331=0,V331=0),"",INDEX('CAD_RESÍDUOS'!$G$6:$G$205,MATCH(C331,'CAD_RESÍDUOS'!$B$6:$B$205,0))&amp;"")</f>
        <v/>
      </c>
      <c r="G331" s="98" t="n"/>
      <c r="H331" s="91" t="n"/>
      <c r="I331" s="93" t="str">
        <f>IF(R331=0,"",IF(NOT(ISNUMBER(G331)),"",IF(ISNUMBER(X331),G331*X331,"UNIDADE A CONFERIR")))</f>
        <v/>
      </c>
      <c r="J331" s="91" t="n"/>
      <c r="K331" s="91" t="n"/>
      <c r="L331" s="93" t="str">
        <f>IF(R331=0,"",SUMIFS('RECEBIMENTOS'!$H$6:$H$1005,'RECEBIMENTOS'!$R$6:$R$1005,A331,'RECEBIMENTOS'!$X$6:$X$1005,1))</f>
        <v/>
      </c>
      <c r="M331" s="93" t="str">
        <f>IF(R331=0,"",SUMIFS('VÍNCULOS_CDF'!$H$6:$H$1005,'VÍNCULOS_CDF'!$R$6:$R$1005,A331,'VÍNCULOS_CDF'!$V$6:$V$1005,1))</f>
        <v/>
      </c>
      <c r="N331" s="99" t="str">
        <f>IF(OR(R331=0,AA331=0,NOT(ISNUMBER(I331))),"",I331-N(L331))</f>
        <v/>
      </c>
      <c r="O331" s="100" t="str">
        <f>IF(OR(R331=0,AK331&lt;=0),"",N(M331)/AK331)</f>
        <v/>
      </c>
      <c r="P331" s="94" t="str">
        <f>IF(R331=0,"",IF(S331="","Sem MTR associado",IF(U331=0,"MTR inexistente",IF(C331="","Resíduo não identificado",IF(V331=0,"Resíduo fora do cadastro",IF(W331=0,"Quantidade inválida",IF(H331="","Unidade não informada",IF(NOT(ISNUMBER(I331)),"Unidade a conferir",IF(AND(AH331=1,K331&lt;&gt;"Sim"),"Possível duplicidade",IF(Z331=1,"MTR cancelado",IF(AC331&gt;0,"Recebimento com alerta",IF(AA331=0,"Aguardando recebimento",IF(AB331&lt;AA331,"Recebimento a conferir",IF(AM331=1,"Quantidade a revisar",IF(AF331&gt;0,"Vínculo a revisar",IF(AD331=0,"Aguardando CDF",IF(AN331=0,"Vínculo de CDF parcial",IF(AE331&lt;AD331,"CDF a conferir","Documentação conferida"))))))))))))))))))</f>
        <v/>
      </c>
      <c r="Q331" s="93" t="str">
        <f>IF(OR(R331=0,AA331=0),"",MAX(0,N(L331)-N(M331)))</f>
        <v/>
      </c>
      <c r="R331" s="96">
        <f>IF(COUNTA(B331:C331,G331:H331,J331:K331)&gt;0,1,0)</f>
        <v>0</v>
      </c>
      <c r="S331" s="96" t="str">
        <f>IF(B331="","",TRIM(LEFT(B331,FIND(" |",B331&amp;" |")-1)))</f>
        <v/>
      </c>
      <c r="T331" s="96" t="str">
        <f>IF(S331="","",IFERROR(MATCH(S331,'MTRs'!$A$6:$A$505,0),""))</f>
        <v/>
      </c>
      <c r="U331" s="96">
        <f>IF(T331="",0,IF(INDEX('MTRs'!$Z$6:$Z$505,T331)=1,1,0))</f>
        <v>0</v>
      </c>
      <c r="V331" s="96">
        <f>IF(C331="",0,IF(ISNUMBER(MATCH(C331,'CAD_RESÍDUOS'!$B$6:$B$205,0)),1,0))</f>
        <v>0</v>
      </c>
      <c r="W331" s="96">
        <f>IF(AND(ISNUMBER(G331),G331&gt;0),1,0)</f>
        <v>0</v>
      </c>
      <c r="X331" s="96" t="str">
        <f>IF(H331="","",IFERROR(IF(ISNUMBER(INDEX(cfg_fac,MATCH(H331,cfg_units,0))),IF(INDEX(cfg_fac,MATCH(H331,cfg_units,0))&gt;0,INDEX(cfg_fac,MATCH(H331,cfg_units,0)),""),""),""))</f>
        <v/>
      </c>
      <c r="Y331" s="96">
        <f>IF(AND(W331=1,ISNUMBER(I331)),1,0)</f>
        <v>0</v>
      </c>
      <c r="Z331" s="96">
        <f>IF(U331=1,INDEX('MTRs'!$AA$6:$AA$505,T331),0)</f>
        <v>0</v>
      </c>
      <c r="AA331" s="96">
        <f>IF(R331=0,0,COUNTIFS('RECEBIMENTOS'!$R$6:$R$1005,A331,'RECEBIMENTOS'!$Q$6:$Q$1005,1))</f>
        <v>0</v>
      </c>
      <c r="AB331" s="96">
        <f>IF(R331=0,0,COUNTIFS('RECEBIMENTOS'!$R$6:$R$1005,A331,'RECEBIMENTOS'!$Z$6:$Z$1005,1))</f>
        <v>0</v>
      </c>
      <c r="AC331" s="96">
        <f>IF(R331=0,0,COUNTIFS('RECEBIMENTOS'!$R$6:$R$1005,A331,'RECEBIMENTOS'!$Y$6:$Y$1005,1))</f>
        <v>0</v>
      </c>
      <c r="AD331" s="96">
        <f>IF(R331=0,0,COUNTIFS('VÍNCULOS_CDF'!$R$6:$R$1005,A331,'VÍNCULOS_CDF'!$N$6:$N$1005,1))</f>
        <v>0</v>
      </c>
      <c r="AE331" s="96">
        <f>IF(R331=0,0,COUNTIFS('VÍNCULOS_CDF'!$R$6:$R$1005,A331,'VÍNCULOS_CDF'!$AA$6:$AA$1005,1))</f>
        <v>0</v>
      </c>
      <c r="AF331" s="96">
        <f>IF(R331=0,0,COUNTIFS('VÍNCULOS_CDF'!$R$6:$R$1005,A331,'VÍNCULOS_CDF'!$Y$6:$Y$1005,1))</f>
        <v>0</v>
      </c>
      <c r="AG331" s="96" t="str">
        <f>IF(AND(R331=1,S331&lt;&gt;"",C331&lt;&gt;""),S331&amp;"|"&amp;C331&amp;"|"&amp;G331&amp;"|"&amp;H331,"")</f>
        <v/>
      </c>
      <c r="AH331" s="96">
        <f>IF(AG331="",0,IF(SUMPRODUCT(--($AG$6:$AG$1005=AG331))&gt;1,1,0))</f>
        <v>0</v>
      </c>
      <c r="AI331" s="96">
        <f>IF(R331=0,0,IF(OR(U331=0,V331=0,Y331=0,AND(AH331=1,K331&lt;&gt;"Sim")),1,0))</f>
        <v>0</v>
      </c>
      <c r="AJ331" s="96">
        <f>IF(AND(R331=1,AA331&gt;0,AB331=AA331),1,0)</f>
        <v>0</v>
      </c>
      <c r="AK331" s="96">
        <f>IF(R331=0,0,IF(AA331&gt;0,N(L331),IF(ISNUMBER(I331),I331,0)))</f>
        <v>0</v>
      </c>
      <c r="AL331" s="96">
        <f>IF(R331=0,0,IF(AND(K331&lt;&gt;"Sim",N(M331)&gt;AK331+cfg_tol),1,0))</f>
        <v>0</v>
      </c>
      <c r="AM331" s="96">
        <f>IF(R331=0,0,IF(K331="Sim",0,IF(OR(AND(AA331&gt;0,ISNUMBER(I331),ABS(I331-N(L331))&gt;cfg_tol),AL331=1),1,0)))</f>
        <v>0</v>
      </c>
      <c r="AN331" s="96">
        <f>IF(AND(R331=1,N(M331)&gt;0,OR(N(M331)&gt;=AK331-cfg_tol,K331="Sim")),1,0)</f>
        <v>0</v>
      </c>
      <c r="AO331" s="96">
        <f>IF(AND(AN331=1,AD331&gt;0,AE331=AD331,AL331=0),1,0)</f>
        <v>0</v>
      </c>
      <c r="AP331" s="96">
        <f>IF(U331=0,0,IF(AND(INDEX('MTRs'!$AX$6:$AX$505,T331)=1,Z331=0,OR(f_res="",f_res="(Todos)",C331=f_res)),1,0))</f>
        <v>0</v>
      </c>
      <c r="AQ331" s="97" t="str">
        <f>IF(U331=0,"",INDEX('MTRs'!$AZ$6:$AZ$505,T331))</f>
        <v/>
      </c>
      <c r="AR331" s="96">
        <f>IF(U331=0,0,IF(AND(INDEX('MTRs'!$BA$6:$BA$505,T331)=1,Z331=0),1,0))</f>
        <v>0</v>
      </c>
      <c r="AS331" s="96" t="str">
        <f>IF(R331=1,A331&amp;" | MTR "&amp;IF(U331=1,INDEX('MTRs'!$B$6:$B$505,T331)&amp;"","?")&amp;" | "&amp;IF(C331="","(sem resíduo)",C331),"")</f>
        <v/>
      </c>
      <c r="AT331" s="96" t="str">
        <f>IF(R331=1,COUNTIF($R$6:R331,1),"")</f>
        <v/>
      </c>
      <c r="AU331" s="96" t="str">
        <f>IF(U331=1,INDEX('MTRs'!$I$6:$I$505,T331)&amp;"","")</f>
        <v/>
      </c>
    </row>
    <row r="332">
      <c r="A332" s="89" t="inlineStr">
        <is>
          <t>IT-000327</t>
        </is>
      </c>
      <c r="B332" s="91" t="n"/>
      <c r="C332" s="91" t="n"/>
      <c r="D332" s="94" t="str">
        <f>IF(OR(R332=0,V332=0),"",INDEX('CAD_RESÍDUOS'!$E$6:$E$205,MATCH(C332,'CAD_RESÍDUOS'!$B$6:$B$205,0))&amp;"")</f>
        <v/>
      </c>
      <c r="E332" s="94" t="str">
        <f>IF(OR(R332=0,V332=0),"",INDEX('CAD_RESÍDUOS'!$C$6:$C$205,MATCH(C332,'CAD_RESÍDUOS'!$B$6:$B$205,0))&amp;"")</f>
        <v/>
      </c>
      <c r="F332" s="94" t="str">
        <f>IF(OR(R332=0,V332=0),"",INDEX('CAD_RESÍDUOS'!$G$6:$G$205,MATCH(C332,'CAD_RESÍDUOS'!$B$6:$B$205,0))&amp;"")</f>
        <v/>
      </c>
      <c r="G332" s="98" t="n"/>
      <c r="H332" s="91" t="n"/>
      <c r="I332" s="93" t="str">
        <f>IF(R332=0,"",IF(NOT(ISNUMBER(G332)),"",IF(ISNUMBER(X332),G332*X332,"UNIDADE A CONFERIR")))</f>
        <v/>
      </c>
      <c r="J332" s="91" t="n"/>
      <c r="K332" s="91" t="n"/>
      <c r="L332" s="93" t="str">
        <f>IF(R332=0,"",SUMIFS('RECEBIMENTOS'!$H$6:$H$1005,'RECEBIMENTOS'!$R$6:$R$1005,A332,'RECEBIMENTOS'!$X$6:$X$1005,1))</f>
        <v/>
      </c>
      <c r="M332" s="93" t="str">
        <f>IF(R332=0,"",SUMIFS('VÍNCULOS_CDF'!$H$6:$H$1005,'VÍNCULOS_CDF'!$R$6:$R$1005,A332,'VÍNCULOS_CDF'!$V$6:$V$1005,1))</f>
        <v/>
      </c>
      <c r="N332" s="99" t="str">
        <f>IF(OR(R332=0,AA332=0,NOT(ISNUMBER(I332))),"",I332-N(L332))</f>
        <v/>
      </c>
      <c r="O332" s="100" t="str">
        <f>IF(OR(R332=0,AK332&lt;=0),"",N(M332)/AK332)</f>
        <v/>
      </c>
      <c r="P332" s="94" t="str">
        <f>IF(R332=0,"",IF(S332="","Sem MTR associado",IF(U332=0,"MTR inexistente",IF(C332="","Resíduo não identificado",IF(V332=0,"Resíduo fora do cadastro",IF(W332=0,"Quantidade inválida",IF(H332="","Unidade não informada",IF(NOT(ISNUMBER(I332)),"Unidade a conferir",IF(AND(AH332=1,K332&lt;&gt;"Sim"),"Possível duplicidade",IF(Z332=1,"MTR cancelado",IF(AC332&gt;0,"Recebimento com alerta",IF(AA332=0,"Aguardando recebimento",IF(AB332&lt;AA332,"Recebimento a conferir",IF(AM332=1,"Quantidade a revisar",IF(AF332&gt;0,"Vínculo a revisar",IF(AD332=0,"Aguardando CDF",IF(AN332=0,"Vínculo de CDF parcial",IF(AE332&lt;AD332,"CDF a conferir","Documentação conferida"))))))))))))))))))</f>
        <v/>
      </c>
      <c r="Q332" s="93" t="str">
        <f>IF(OR(R332=0,AA332=0),"",MAX(0,N(L332)-N(M332)))</f>
        <v/>
      </c>
      <c r="R332" s="96">
        <f>IF(COUNTA(B332:C332,G332:H332,J332:K332)&gt;0,1,0)</f>
        <v>0</v>
      </c>
      <c r="S332" s="96" t="str">
        <f>IF(B332="","",TRIM(LEFT(B332,FIND(" |",B332&amp;" |")-1)))</f>
        <v/>
      </c>
      <c r="T332" s="96" t="str">
        <f>IF(S332="","",IFERROR(MATCH(S332,'MTRs'!$A$6:$A$505,0),""))</f>
        <v/>
      </c>
      <c r="U332" s="96">
        <f>IF(T332="",0,IF(INDEX('MTRs'!$Z$6:$Z$505,T332)=1,1,0))</f>
        <v>0</v>
      </c>
      <c r="V332" s="96">
        <f>IF(C332="",0,IF(ISNUMBER(MATCH(C332,'CAD_RESÍDUOS'!$B$6:$B$205,0)),1,0))</f>
        <v>0</v>
      </c>
      <c r="W332" s="96">
        <f>IF(AND(ISNUMBER(G332),G332&gt;0),1,0)</f>
        <v>0</v>
      </c>
      <c r="X332" s="96" t="str">
        <f>IF(H332="","",IFERROR(IF(ISNUMBER(INDEX(cfg_fac,MATCH(H332,cfg_units,0))),IF(INDEX(cfg_fac,MATCH(H332,cfg_units,0))&gt;0,INDEX(cfg_fac,MATCH(H332,cfg_units,0)),""),""),""))</f>
        <v/>
      </c>
      <c r="Y332" s="96">
        <f>IF(AND(W332=1,ISNUMBER(I332)),1,0)</f>
        <v>0</v>
      </c>
      <c r="Z332" s="96">
        <f>IF(U332=1,INDEX('MTRs'!$AA$6:$AA$505,T332),0)</f>
        <v>0</v>
      </c>
      <c r="AA332" s="96">
        <f>IF(R332=0,0,COUNTIFS('RECEBIMENTOS'!$R$6:$R$1005,A332,'RECEBIMENTOS'!$Q$6:$Q$1005,1))</f>
        <v>0</v>
      </c>
      <c r="AB332" s="96">
        <f>IF(R332=0,0,COUNTIFS('RECEBIMENTOS'!$R$6:$R$1005,A332,'RECEBIMENTOS'!$Z$6:$Z$1005,1))</f>
        <v>0</v>
      </c>
      <c r="AC332" s="96">
        <f>IF(R332=0,0,COUNTIFS('RECEBIMENTOS'!$R$6:$R$1005,A332,'RECEBIMENTOS'!$Y$6:$Y$1005,1))</f>
        <v>0</v>
      </c>
      <c r="AD332" s="96">
        <f>IF(R332=0,0,COUNTIFS('VÍNCULOS_CDF'!$R$6:$R$1005,A332,'VÍNCULOS_CDF'!$N$6:$N$1005,1))</f>
        <v>0</v>
      </c>
      <c r="AE332" s="96">
        <f>IF(R332=0,0,COUNTIFS('VÍNCULOS_CDF'!$R$6:$R$1005,A332,'VÍNCULOS_CDF'!$AA$6:$AA$1005,1))</f>
        <v>0</v>
      </c>
      <c r="AF332" s="96">
        <f>IF(R332=0,0,COUNTIFS('VÍNCULOS_CDF'!$R$6:$R$1005,A332,'VÍNCULOS_CDF'!$Y$6:$Y$1005,1))</f>
        <v>0</v>
      </c>
      <c r="AG332" s="96" t="str">
        <f>IF(AND(R332=1,S332&lt;&gt;"",C332&lt;&gt;""),S332&amp;"|"&amp;C332&amp;"|"&amp;G332&amp;"|"&amp;H332,"")</f>
        <v/>
      </c>
      <c r="AH332" s="96">
        <f>IF(AG332="",0,IF(SUMPRODUCT(--($AG$6:$AG$1005=AG332))&gt;1,1,0))</f>
        <v>0</v>
      </c>
      <c r="AI332" s="96">
        <f>IF(R332=0,0,IF(OR(U332=0,V332=0,Y332=0,AND(AH332=1,K332&lt;&gt;"Sim")),1,0))</f>
        <v>0</v>
      </c>
      <c r="AJ332" s="96">
        <f>IF(AND(R332=1,AA332&gt;0,AB332=AA332),1,0)</f>
        <v>0</v>
      </c>
      <c r="AK332" s="96">
        <f>IF(R332=0,0,IF(AA332&gt;0,N(L332),IF(ISNUMBER(I332),I332,0)))</f>
        <v>0</v>
      </c>
      <c r="AL332" s="96">
        <f>IF(R332=0,0,IF(AND(K332&lt;&gt;"Sim",N(M332)&gt;AK332+cfg_tol),1,0))</f>
        <v>0</v>
      </c>
      <c r="AM332" s="96">
        <f>IF(R332=0,0,IF(K332="Sim",0,IF(OR(AND(AA332&gt;0,ISNUMBER(I332),ABS(I332-N(L332))&gt;cfg_tol),AL332=1),1,0)))</f>
        <v>0</v>
      </c>
      <c r="AN332" s="96">
        <f>IF(AND(R332=1,N(M332)&gt;0,OR(N(M332)&gt;=AK332-cfg_tol,K332="Sim")),1,0)</f>
        <v>0</v>
      </c>
      <c r="AO332" s="96">
        <f>IF(AND(AN332=1,AD332&gt;0,AE332=AD332,AL332=0),1,0)</f>
        <v>0</v>
      </c>
      <c r="AP332" s="96">
        <f>IF(U332=0,0,IF(AND(INDEX('MTRs'!$AX$6:$AX$505,T332)=1,Z332=0,OR(f_res="",f_res="(Todos)",C332=f_res)),1,0))</f>
        <v>0</v>
      </c>
      <c r="AQ332" s="97" t="str">
        <f>IF(U332=0,"",INDEX('MTRs'!$AZ$6:$AZ$505,T332))</f>
        <v/>
      </c>
      <c r="AR332" s="96">
        <f>IF(U332=0,0,IF(AND(INDEX('MTRs'!$BA$6:$BA$505,T332)=1,Z332=0),1,0))</f>
        <v>0</v>
      </c>
      <c r="AS332" s="96" t="str">
        <f>IF(R332=1,A332&amp;" | MTR "&amp;IF(U332=1,INDEX('MTRs'!$B$6:$B$505,T332)&amp;"","?")&amp;" | "&amp;IF(C332="","(sem resíduo)",C332),"")</f>
        <v/>
      </c>
      <c r="AT332" s="96" t="str">
        <f>IF(R332=1,COUNTIF($R$6:R332,1),"")</f>
        <v/>
      </c>
      <c r="AU332" s="96" t="str">
        <f>IF(U332=1,INDEX('MTRs'!$I$6:$I$505,T332)&amp;"","")</f>
        <v/>
      </c>
    </row>
    <row r="333">
      <c r="A333" s="89" t="inlineStr">
        <is>
          <t>IT-000328</t>
        </is>
      </c>
      <c r="B333" s="91" t="n"/>
      <c r="C333" s="91" t="n"/>
      <c r="D333" s="94" t="str">
        <f>IF(OR(R333=0,V333=0),"",INDEX('CAD_RESÍDUOS'!$E$6:$E$205,MATCH(C333,'CAD_RESÍDUOS'!$B$6:$B$205,0))&amp;"")</f>
        <v/>
      </c>
      <c r="E333" s="94" t="str">
        <f>IF(OR(R333=0,V333=0),"",INDEX('CAD_RESÍDUOS'!$C$6:$C$205,MATCH(C333,'CAD_RESÍDUOS'!$B$6:$B$205,0))&amp;"")</f>
        <v/>
      </c>
      <c r="F333" s="94" t="str">
        <f>IF(OR(R333=0,V333=0),"",INDEX('CAD_RESÍDUOS'!$G$6:$G$205,MATCH(C333,'CAD_RESÍDUOS'!$B$6:$B$205,0))&amp;"")</f>
        <v/>
      </c>
      <c r="G333" s="98" t="n"/>
      <c r="H333" s="91" t="n"/>
      <c r="I333" s="93" t="str">
        <f>IF(R333=0,"",IF(NOT(ISNUMBER(G333)),"",IF(ISNUMBER(X333),G333*X333,"UNIDADE A CONFERIR")))</f>
        <v/>
      </c>
      <c r="J333" s="91" t="n"/>
      <c r="K333" s="91" t="n"/>
      <c r="L333" s="93" t="str">
        <f>IF(R333=0,"",SUMIFS('RECEBIMENTOS'!$H$6:$H$1005,'RECEBIMENTOS'!$R$6:$R$1005,A333,'RECEBIMENTOS'!$X$6:$X$1005,1))</f>
        <v/>
      </c>
      <c r="M333" s="93" t="str">
        <f>IF(R333=0,"",SUMIFS('VÍNCULOS_CDF'!$H$6:$H$1005,'VÍNCULOS_CDF'!$R$6:$R$1005,A333,'VÍNCULOS_CDF'!$V$6:$V$1005,1))</f>
        <v/>
      </c>
      <c r="N333" s="99" t="str">
        <f>IF(OR(R333=0,AA333=0,NOT(ISNUMBER(I333))),"",I333-N(L333))</f>
        <v/>
      </c>
      <c r="O333" s="100" t="str">
        <f>IF(OR(R333=0,AK333&lt;=0),"",N(M333)/AK333)</f>
        <v/>
      </c>
      <c r="P333" s="94" t="str">
        <f>IF(R333=0,"",IF(S333="","Sem MTR associado",IF(U333=0,"MTR inexistente",IF(C333="","Resíduo não identificado",IF(V333=0,"Resíduo fora do cadastro",IF(W333=0,"Quantidade inválida",IF(H333="","Unidade não informada",IF(NOT(ISNUMBER(I333)),"Unidade a conferir",IF(AND(AH333=1,K333&lt;&gt;"Sim"),"Possível duplicidade",IF(Z333=1,"MTR cancelado",IF(AC333&gt;0,"Recebimento com alerta",IF(AA333=0,"Aguardando recebimento",IF(AB333&lt;AA333,"Recebimento a conferir",IF(AM333=1,"Quantidade a revisar",IF(AF333&gt;0,"Vínculo a revisar",IF(AD333=0,"Aguardando CDF",IF(AN333=0,"Vínculo de CDF parcial",IF(AE333&lt;AD333,"CDF a conferir","Documentação conferida"))))))))))))))))))</f>
        <v/>
      </c>
      <c r="Q333" s="93" t="str">
        <f>IF(OR(R333=0,AA333=0),"",MAX(0,N(L333)-N(M333)))</f>
        <v/>
      </c>
      <c r="R333" s="96">
        <f>IF(COUNTA(B333:C333,G333:H333,J333:K333)&gt;0,1,0)</f>
        <v>0</v>
      </c>
      <c r="S333" s="96" t="str">
        <f>IF(B333="","",TRIM(LEFT(B333,FIND(" |",B333&amp;" |")-1)))</f>
        <v/>
      </c>
      <c r="T333" s="96" t="str">
        <f>IF(S333="","",IFERROR(MATCH(S333,'MTRs'!$A$6:$A$505,0),""))</f>
        <v/>
      </c>
      <c r="U333" s="96">
        <f>IF(T333="",0,IF(INDEX('MTRs'!$Z$6:$Z$505,T333)=1,1,0))</f>
        <v>0</v>
      </c>
      <c r="V333" s="96">
        <f>IF(C333="",0,IF(ISNUMBER(MATCH(C333,'CAD_RESÍDUOS'!$B$6:$B$205,0)),1,0))</f>
        <v>0</v>
      </c>
      <c r="W333" s="96">
        <f>IF(AND(ISNUMBER(G333),G333&gt;0),1,0)</f>
        <v>0</v>
      </c>
      <c r="X333" s="96" t="str">
        <f>IF(H333="","",IFERROR(IF(ISNUMBER(INDEX(cfg_fac,MATCH(H333,cfg_units,0))),IF(INDEX(cfg_fac,MATCH(H333,cfg_units,0))&gt;0,INDEX(cfg_fac,MATCH(H333,cfg_units,0)),""),""),""))</f>
        <v/>
      </c>
      <c r="Y333" s="96">
        <f>IF(AND(W333=1,ISNUMBER(I333)),1,0)</f>
        <v>0</v>
      </c>
      <c r="Z333" s="96">
        <f>IF(U333=1,INDEX('MTRs'!$AA$6:$AA$505,T333),0)</f>
        <v>0</v>
      </c>
      <c r="AA333" s="96">
        <f>IF(R333=0,0,COUNTIFS('RECEBIMENTOS'!$R$6:$R$1005,A333,'RECEBIMENTOS'!$Q$6:$Q$1005,1))</f>
        <v>0</v>
      </c>
      <c r="AB333" s="96">
        <f>IF(R333=0,0,COUNTIFS('RECEBIMENTOS'!$R$6:$R$1005,A333,'RECEBIMENTOS'!$Z$6:$Z$1005,1))</f>
        <v>0</v>
      </c>
      <c r="AC333" s="96">
        <f>IF(R333=0,0,COUNTIFS('RECEBIMENTOS'!$R$6:$R$1005,A333,'RECEBIMENTOS'!$Y$6:$Y$1005,1))</f>
        <v>0</v>
      </c>
      <c r="AD333" s="96">
        <f>IF(R333=0,0,COUNTIFS('VÍNCULOS_CDF'!$R$6:$R$1005,A333,'VÍNCULOS_CDF'!$N$6:$N$1005,1))</f>
        <v>0</v>
      </c>
      <c r="AE333" s="96">
        <f>IF(R333=0,0,COUNTIFS('VÍNCULOS_CDF'!$R$6:$R$1005,A333,'VÍNCULOS_CDF'!$AA$6:$AA$1005,1))</f>
        <v>0</v>
      </c>
      <c r="AF333" s="96">
        <f>IF(R333=0,0,COUNTIFS('VÍNCULOS_CDF'!$R$6:$R$1005,A333,'VÍNCULOS_CDF'!$Y$6:$Y$1005,1))</f>
        <v>0</v>
      </c>
      <c r="AG333" s="96" t="str">
        <f>IF(AND(R333=1,S333&lt;&gt;"",C333&lt;&gt;""),S333&amp;"|"&amp;C333&amp;"|"&amp;G333&amp;"|"&amp;H333,"")</f>
        <v/>
      </c>
      <c r="AH333" s="96">
        <f>IF(AG333="",0,IF(SUMPRODUCT(--($AG$6:$AG$1005=AG333))&gt;1,1,0))</f>
        <v>0</v>
      </c>
      <c r="AI333" s="96">
        <f>IF(R333=0,0,IF(OR(U333=0,V333=0,Y333=0,AND(AH333=1,K333&lt;&gt;"Sim")),1,0))</f>
        <v>0</v>
      </c>
      <c r="AJ333" s="96">
        <f>IF(AND(R333=1,AA333&gt;0,AB333=AA333),1,0)</f>
        <v>0</v>
      </c>
      <c r="AK333" s="96">
        <f>IF(R333=0,0,IF(AA333&gt;0,N(L333),IF(ISNUMBER(I333),I333,0)))</f>
        <v>0</v>
      </c>
      <c r="AL333" s="96">
        <f>IF(R333=0,0,IF(AND(K333&lt;&gt;"Sim",N(M333)&gt;AK333+cfg_tol),1,0))</f>
        <v>0</v>
      </c>
      <c r="AM333" s="96">
        <f>IF(R333=0,0,IF(K333="Sim",0,IF(OR(AND(AA333&gt;0,ISNUMBER(I333),ABS(I333-N(L333))&gt;cfg_tol),AL333=1),1,0)))</f>
        <v>0</v>
      </c>
      <c r="AN333" s="96">
        <f>IF(AND(R333=1,N(M333)&gt;0,OR(N(M333)&gt;=AK333-cfg_tol,K333="Sim")),1,0)</f>
        <v>0</v>
      </c>
      <c r="AO333" s="96">
        <f>IF(AND(AN333=1,AD333&gt;0,AE333=AD333,AL333=0),1,0)</f>
        <v>0</v>
      </c>
      <c r="AP333" s="96">
        <f>IF(U333=0,0,IF(AND(INDEX('MTRs'!$AX$6:$AX$505,T333)=1,Z333=0,OR(f_res="",f_res="(Todos)",C333=f_res)),1,0))</f>
        <v>0</v>
      </c>
      <c r="AQ333" s="97" t="str">
        <f>IF(U333=0,"",INDEX('MTRs'!$AZ$6:$AZ$505,T333))</f>
        <v/>
      </c>
      <c r="AR333" s="96">
        <f>IF(U333=0,0,IF(AND(INDEX('MTRs'!$BA$6:$BA$505,T333)=1,Z333=0),1,0))</f>
        <v>0</v>
      </c>
      <c r="AS333" s="96" t="str">
        <f>IF(R333=1,A333&amp;" | MTR "&amp;IF(U333=1,INDEX('MTRs'!$B$6:$B$505,T333)&amp;"","?")&amp;" | "&amp;IF(C333="","(sem resíduo)",C333),"")</f>
        <v/>
      </c>
      <c r="AT333" s="96" t="str">
        <f>IF(R333=1,COUNTIF($R$6:R333,1),"")</f>
        <v/>
      </c>
      <c r="AU333" s="96" t="str">
        <f>IF(U333=1,INDEX('MTRs'!$I$6:$I$505,T333)&amp;"","")</f>
        <v/>
      </c>
    </row>
    <row r="334">
      <c r="A334" s="89" t="inlineStr">
        <is>
          <t>IT-000329</t>
        </is>
      </c>
      <c r="B334" s="91" t="n"/>
      <c r="C334" s="91" t="n"/>
      <c r="D334" s="94" t="str">
        <f>IF(OR(R334=0,V334=0),"",INDEX('CAD_RESÍDUOS'!$E$6:$E$205,MATCH(C334,'CAD_RESÍDUOS'!$B$6:$B$205,0))&amp;"")</f>
        <v/>
      </c>
      <c r="E334" s="94" t="str">
        <f>IF(OR(R334=0,V334=0),"",INDEX('CAD_RESÍDUOS'!$C$6:$C$205,MATCH(C334,'CAD_RESÍDUOS'!$B$6:$B$205,0))&amp;"")</f>
        <v/>
      </c>
      <c r="F334" s="94" t="str">
        <f>IF(OR(R334=0,V334=0),"",INDEX('CAD_RESÍDUOS'!$G$6:$G$205,MATCH(C334,'CAD_RESÍDUOS'!$B$6:$B$205,0))&amp;"")</f>
        <v/>
      </c>
      <c r="G334" s="98" t="n"/>
      <c r="H334" s="91" t="n"/>
      <c r="I334" s="93" t="str">
        <f>IF(R334=0,"",IF(NOT(ISNUMBER(G334)),"",IF(ISNUMBER(X334),G334*X334,"UNIDADE A CONFERIR")))</f>
        <v/>
      </c>
      <c r="J334" s="91" t="n"/>
      <c r="K334" s="91" t="n"/>
      <c r="L334" s="93" t="str">
        <f>IF(R334=0,"",SUMIFS('RECEBIMENTOS'!$H$6:$H$1005,'RECEBIMENTOS'!$R$6:$R$1005,A334,'RECEBIMENTOS'!$X$6:$X$1005,1))</f>
        <v/>
      </c>
      <c r="M334" s="93" t="str">
        <f>IF(R334=0,"",SUMIFS('VÍNCULOS_CDF'!$H$6:$H$1005,'VÍNCULOS_CDF'!$R$6:$R$1005,A334,'VÍNCULOS_CDF'!$V$6:$V$1005,1))</f>
        <v/>
      </c>
      <c r="N334" s="99" t="str">
        <f>IF(OR(R334=0,AA334=0,NOT(ISNUMBER(I334))),"",I334-N(L334))</f>
        <v/>
      </c>
      <c r="O334" s="100" t="str">
        <f>IF(OR(R334=0,AK334&lt;=0),"",N(M334)/AK334)</f>
        <v/>
      </c>
      <c r="P334" s="94" t="str">
        <f>IF(R334=0,"",IF(S334="","Sem MTR associado",IF(U334=0,"MTR inexistente",IF(C334="","Resíduo não identificado",IF(V334=0,"Resíduo fora do cadastro",IF(W334=0,"Quantidade inválida",IF(H334="","Unidade não informada",IF(NOT(ISNUMBER(I334)),"Unidade a conferir",IF(AND(AH334=1,K334&lt;&gt;"Sim"),"Possível duplicidade",IF(Z334=1,"MTR cancelado",IF(AC334&gt;0,"Recebimento com alerta",IF(AA334=0,"Aguardando recebimento",IF(AB334&lt;AA334,"Recebimento a conferir",IF(AM334=1,"Quantidade a revisar",IF(AF334&gt;0,"Vínculo a revisar",IF(AD334=0,"Aguardando CDF",IF(AN334=0,"Vínculo de CDF parcial",IF(AE334&lt;AD334,"CDF a conferir","Documentação conferida"))))))))))))))))))</f>
        <v/>
      </c>
      <c r="Q334" s="93" t="str">
        <f>IF(OR(R334=0,AA334=0),"",MAX(0,N(L334)-N(M334)))</f>
        <v/>
      </c>
      <c r="R334" s="96">
        <f>IF(COUNTA(B334:C334,G334:H334,J334:K334)&gt;0,1,0)</f>
        <v>0</v>
      </c>
      <c r="S334" s="96" t="str">
        <f>IF(B334="","",TRIM(LEFT(B334,FIND(" |",B334&amp;" |")-1)))</f>
        <v/>
      </c>
      <c r="T334" s="96" t="str">
        <f>IF(S334="","",IFERROR(MATCH(S334,'MTRs'!$A$6:$A$505,0),""))</f>
        <v/>
      </c>
      <c r="U334" s="96">
        <f>IF(T334="",0,IF(INDEX('MTRs'!$Z$6:$Z$505,T334)=1,1,0))</f>
        <v>0</v>
      </c>
      <c r="V334" s="96">
        <f>IF(C334="",0,IF(ISNUMBER(MATCH(C334,'CAD_RESÍDUOS'!$B$6:$B$205,0)),1,0))</f>
        <v>0</v>
      </c>
      <c r="W334" s="96">
        <f>IF(AND(ISNUMBER(G334),G334&gt;0),1,0)</f>
        <v>0</v>
      </c>
      <c r="X334" s="96" t="str">
        <f>IF(H334="","",IFERROR(IF(ISNUMBER(INDEX(cfg_fac,MATCH(H334,cfg_units,0))),IF(INDEX(cfg_fac,MATCH(H334,cfg_units,0))&gt;0,INDEX(cfg_fac,MATCH(H334,cfg_units,0)),""),""),""))</f>
        <v/>
      </c>
      <c r="Y334" s="96">
        <f>IF(AND(W334=1,ISNUMBER(I334)),1,0)</f>
        <v>0</v>
      </c>
      <c r="Z334" s="96">
        <f>IF(U334=1,INDEX('MTRs'!$AA$6:$AA$505,T334),0)</f>
        <v>0</v>
      </c>
      <c r="AA334" s="96">
        <f>IF(R334=0,0,COUNTIFS('RECEBIMENTOS'!$R$6:$R$1005,A334,'RECEBIMENTOS'!$Q$6:$Q$1005,1))</f>
        <v>0</v>
      </c>
      <c r="AB334" s="96">
        <f>IF(R334=0,0,COUNTIFS('RECEBIMENTOS'!$R$6:$R$1005,A334,'RECEBIMENTOS'!$Z$6:$Z$1005,1))</f>
        <v>0</v>
      </c>
      <c r="AC334" s="96">
        <f>IF(R334=0,0,COUNTIFS('RECEBIMENTOS'!$R$6:$R$1005,A334,'RECEBIMENTOS'!$Y$6:$Y$1005,1))</f>
        <v>0</v>
      </c>
      <c r="AD334" s="96">
        <f>IF(R334=0,0,COUNTIFS('VÍNCULOS_CDF'!$R$6:$R$1005,A334,'VÍNCULOS_CDF'!$N$6:$N$1005,1))</f>
        <v>0</v>
      </c>
      <c r="AE334" s="96">
        <f>IF(R334=0,0,COUNTIFS('VÍNCULOS_CDF'!$R$6:$R$1005,A334,'VÍNCULOS_CDF'!$AA$6:$AA$1005,1))</f>
        <v>0</v>
      </c>
      <c r="AF334" s="96">
        <f>IF(R334=0,0,COUNTIFS('VÍNCULOS_CDF'!$R$6:$R$1005,A334,'VÍNCULOS_CDF'!$Y$6:$Y$1005,1))</f>
        <v>0</v>
      </c>
      <c r="AG334" s="96" t="str">
        <f>IF(AND(R334=1,S334&lt;&gt;"",C334&lt;&gt;""),S334&amp;"|"&amp;C334&amp;"|"&amp;G334&amp;"|"&amp;H334,"")</f>
        <v/>
      </c>
      <c r="AH334" s="96">
        <f>IF(AG334="",0,IF(SUMPRODUCT(--($AG$6:$AG$1005=AG334))&gt;1,1,0))</f>
        <v>0</v>
      </c>
      <c r="AI334" s="96">
        <f>IF(R334=0,0,IF(OR(U334=0,V334=0,Y334=0,AND(AH334=1,K334&lt;&gt;"Sim")),1,0))</f>
        <v>0</v>
      </c>
      <c r="AJ334" s="96">
        <f>IF(AND(R334=1,AA334&gt;0,AB334=AA334),1,0)</f>
        <v>0</v>
      </c>
      <c r="AK334" s="96">
        <f>IF(R334=0,0,IF(AA334&gt;0,N(L334),IF(ISNUMBER(I334),I334,0)))</f>
        <v>0</v>
      </c>
      <c r="AL334" s="96">
        <f>IF(R334=0,0,IF(AND(K334&lt;&gt;"Sim",N(M334)&gt;AK334+cfg_tol),1,0))</f>
        <v>0</v>
      </c>
      <c r="AM334" s="96">
        <f>IF(R334=0,0,IF(K334="Sim",0,IF(OR(AND(AA334&gt;0,ISNUMBER(I334),ABS(I334-N(L334))&gt;cfg_tol),AL334=1),1,0)))</f>
        <v>0</v>
      </c>
      <c r="AN334" s="96">
        <f>IF(AND(R334=1,N(M334)&gt;0,OR(N(M334)&gt;=AK334-cfg_tol,K334="Sim")),1,0)</f>
        <v>0</v>
      </c>
      <c r="AO334" s="96">
        <f>IF(AND(AN334=1,AD334&gt;0,AE334=AD334,AL334=0),1,0)</f>
        <v>0</v>
      </c>
      <c r="AP334" s="96">
        <f>IF(U334=0,0,IF(AND(INDEX('MTRs'!$AX$6:$AX$505,T334)=1,Z334=0,OR(f_res="",f_res="(Todos)",C334=f_res)),1,0))</f>
        <v>0</v>
      </c>
      <c r="AQ334" s="97" t="str">
        <f>IF(U334=0,"",INDEX('MTRs'!$AZ$6:$AZ$505,T334))</f>
        <v/>
      </c>
      <c r="AR334" s="96">
        <f>IF(U334=0,0,IF(AND(INDEX('MTRs'!$BA$6:$BA$505,T334)=1,Z334=0),1,0))</f>
        <v>0</v>
      </c>
      <c r="AS334" s="96" t="str">
        <f>IF(R334=1,A334&amp;" | MTR "&amp;IF(U334=1,INDEX('MTRs'!$B$6:$B$505,T334)&amp;"","?")&amp;" | "&amp;IF(C334="","(sem resíduo)",C334),"")</f>
        <v/>
      </c>
      <c r="AT334" s="96" t="str">
        <f>IF(R334=1,COUNTIF($R$6:R334,1),"")</f>
        <v/>
      </c>
      <c r="AU334" s="96" t="str">
        <f>IF(U334=1,INDEX('MTRs'!$I$6:$I$505,T334)&amp;"","")</f>
        <v/>
      </c>
    </row>
    <row r="335">
      <c r="A335" s="89" t="inlineStr">
        <is>
          <t>IT-000330</t>
        </is>
      </c>
      <c r="B335" s="91" t="n"/>
      <c r="C335" s="91" t="n"/>
      <c r="D335" s="94" t="str">
        <f>IF(OR(R335=0,V335=0),"",INDEX('CAD_RESÍDUOS'!$E$6:$E$205,MATCH(C335,'CAD_RESÍDUOS'!$B$6:$B$205,0))&amp;"")</f>
        <v/>
      </c>
      <c r="E335" s="94" t="str">
        <f>IF(OR(R335=0,V335=0),"",INDEX('CAD_RESÍDUOS'!$C$6:$C$205,MATCH(C335,'CAD_RESÍDUOS'!$B$6:$B$205,0))&amp;"")</f>
        <v/>
      </c>
      <c r="F335" s="94" t="str">
        <f>IF(OR(R335=0,V335=0),"",INDEX('CAD_RESÍDUOS'!$G$6:$G$205,MATCH(C335,'CAD_RESÍDUOS'!$B$6:$B$205,0))&amp;"")</f>
        <v/>
      </c>
      <c r="G335" s="98" t="n"/>
      <c r="H335" s="91" t="n"/>
      <c r="I335" s="93" t="str">
        <f>IF(R335=0,"",IF(NOT(ISNUMBER(G335)),"",IF(ISNUMBER(X335),G335*X335,"UNIDADE A CONFERIR")))</f>
        <v/>
      </c>
      <c r="J335" s="91" t="n"/>
      <c r="K335" s="91" t="n"/>
      <c r="L335" s="93" t="str">
        <f>IF(R335=0,"",SUMIFS('RECEBIMENTOS'!$H$6:$H$1005,'RECEBIMENTOS'!$R$6:$R$1005,A335,'RECEBIMENTOS'!$X$6:$X$1005,1))</f>
        <v/>
      </c>
      <c r="M335" s="93" t="str">
        <f>IF(R335=0,"",SUMIFS('VÍNCULOS_CDF'!$H$6:$H$1005,'VÍNCULOS_CDF'!$R$6:$R$1005,A335,'VÍNCULOS_CDF'!$V$6:$V$1005,1))</f>
        <v/>
      </c>
      <c r="N335" s="99" t="str">
        <f>IF(OR(R335=0,AA335=0,NOT(ISNUMBER(I335))),"",I335-N(L335))</f>
        <v/>
      </c>
      <c r="O335" s="100" t="str">
        <f>IF(OR(R335=0,AK335&lt;=0),"",N(M335)/AK335)</f>
        <v/>
      </c>
      <c r="P335" s="94" t="str">
        <f>IF(R335=0,"",IF(S335="","Sem MTR associado",IF(U335=0,"MTR inexistente",IF(C335="","Resíduo não identificado",IF(V335=0,"Resíduo fora do cadastro",IF(W335=0,"Quantidade inválida",IF(H335="","Unidade não informada",IF(NOT(ISNUMBER(I335)),"Unidade a conferir",IF(AND(AH335=1,K335&lt;&gt;"Sim"),"Possível duplicidade",IF(Z335=1,"MTR cancelado",IF(AC335&gt;0,"Recebimento com alerta",IF(AA335=0,"Aguardando recebimento",IF(AB335&lt;AA335,"Recebimento a conferir",IF(AM335=1,"Quantidade a revisar",IF(AF335&gt;0,"Vínculo a revisar",IF(AD335=0,"Aguardando CDF",IF(AN335=0,"Vínculo de CDF parcial",IF(AE335&lt;AD335,"CDF a conferir","Documentação conferida"))))))))))))))))))</f>
        <v/>
      </c>
      <c r="Q335" s="93" t="str">
        <f>IF(OR(R335=0,AA335=0),"",MAX(0,N(L335)-N(M335)))</f>
        <v/>
      </c>
      <c r="R335" s="96">
        <f>IF(COUNTA(B335:C335,G335:H335,J335:K335)&gt;0,1,0)</f>
        <v>0</v>
      </c>
      <c r="S335" s="96" t="str">
        <f>IF(B335="","",TRIM(LEFT(B335,FIND(" |",B335&amp;" |")-1)))</f>
        <v/>
      </c>
      <c r="T335" s="96" t="str">
        <f>IF(S335="","",IFERROR(MATCH(S335,'MTRs'!$A$6:$A$505,0),""))</f>
        <v/>
      </c>
      <c r="U335" s="96">
        <f>IF(T335="",0,IF(INDEX('MTRs'!$Z$6:$Z$505,T335)=1,1,0))</f>
        <v>0</v>
      </c>
      <c r="V335" s="96">
        <f>IF(C335="",0,IF(ISNUMBER(MATCH(C335,'CAD_RESÍDUOS'!$B$6:$B$205,0)),1,0))</f>
        <v>0</v>
      </c>
      <c r="W335" s="96">
        <f>IF(AND(ISNUMBER(G335),G335&gt;0),1,0)</f>
        <v>0</v>
      </c>
      <c r="X335" s="96" t="str">
        <f>IF(H335="","",IFERROR(IF(ISNUMBER(INDEX(cfg_fac,MATCH(H335,cfg_units,0))),IF(INDEX(cfg_fac,MATCH(H335,cfg_units,0))&gt;0,INDEX(cfg_fac,MATCH(H335,cfg_units,0)),""),""),""))</f>
        <v/>
      </c>
      <c r="Y335" s="96">
        <f>IF(AND(W335=1,ISNUMBER(I335)),1,0)</f>
        <v>0</v>
      </c>
      <c r="Z335" s="96">
        <f>IF(U335=1,INDEX('MTRs'!$AA$6:$AA$505,T335),0)</f>
        <v>0</v>
      </c>
      <c r="AA335" s="96">
        <f>IF(R335=0,0,COUNTIFS('RECEBIMENTOS'!$R$6:$R$1005,A335,'RECEBIMENTOS'!$Q$6:$Q$1005,1))</f>
        <v>0</v>
      </c>
      <c r="AB335" s="96">
        <f>IF(R335=0,0,COUNTIFS('RECEBIMENTOS'!$R$6:$R$1005,A335,'RECEBIMENTOS'!$Z$6:$Z$1005,1))</f>
        <v>0</v>
      </c>
      <c r="AC335" s="96">
        <f>IF(R335=0,0,COUNTIFS('RECEBIMENTOS'!$R$6:$R$1005,A335,'RECEBIMENTOS'!$Y$6:$Y$1005,1))</f>
        <v>0</v>
      </c>
      <c r="AD335" s="96">
        <f>IF(R335=0,0,COUNTIFS('VÍNCULOS_CDF'!$R$6:$R$1005,A335,'VÍNCULOS_CDF'!$N$6:$N$1005,1))</f>
        <v>0</v>
      </c>
      <c r="AE335" s="96">
        <f>IF(R335=0,0,COUNTIFS('VÍNCULOS_CDF'!$R$6:$R$1005,A335,'VÍNCULOS_CDF'!$AA$6:$AA$1005,1))</f>
        <v>0</v>
      </c>
      <c r="AF335" s="96">
        <f>IF(R335=0,0,COUNTIFS('VÍNCULOS_CDF'!$R$6:$R$1005,A335,'VÍNCULOS_CDF'!$Y$6:$Y$1005,1))</f>
        <v>0</v>
      </c>
      <c r="AG335" s="96" t="str">
        <f>IF(AND(R335=1,S335&lt;&gt;"",C335&lt;&gt;""),S335&amp;"|"&amp;C335&amp;"|"&amp;G335&amp;"|"&amp;H335,"")</f>
        <v/>
      </c>
      <c r="AH335" s="96">
        <f>IF(AG335="",0,IF(SUMPRODUCT(--($AG$6:$AG$1005=AG335))&gt;1,1,0))</f>
        <v>0</v>
      </c>
      <c r="AI335" s="96">
        <f>IF(R335=0,0,IF(OR(U335=0,V335=0,Y335=0,AND(AH335=1,K335&lt;&gt;"Sim")),1,0))</f>
        <v>0</v>
      </c>
      <c r="AJ335" s="96">
        <f>IF(AND(R335=1,AA335&gt;0,AB335=AA335),1,0)</f>
        <v>0</v>
      </c>
      <c r="AK335" s="96">
        <f>IF(R335=0,0,IF(AA335&gt;0,N(L335),IF(ISNUMBER(I335),I335,0)))</f>
        <v>0</v>
      </c>
      <c r="AL335" s="96">
        <f>IF(R335=0,0,IF(AND(K335&lt;&gt;"Sim",N(M335)&gt;AK335+cfg_tol),1,0))</f>
        <v>0</v>
      </c>
      <c r="AM335" s="96">
        <f>IF(R335=0,0,IF(K335="Sim",0,IF(OR(AND(AA335&gt;0,ISNUMBER(I335),ABS(I335-N(L335))&gt;cfg_tol),AL335=1),1,0)))</f>
        <v>0</v>
      </c>
      <c r="AN335" s="96">
        <f>IF(AND(R335=1,N(M335)&gt;0,OR(N(M335)&gt;=AK335-cfg_tol,K335="Sim")),1,0)</f>
        <v>0</v>
      </c>
      <c r="AO335" s="96">
        <f>IF(AND(AN335=1,AD335&gt;0,AE335=AD335,AL335=0),1,0)</f>
        <v>0</v>
      </c>
      <c r="AP335" s="96">
        <f>IF(U335=0,0,IF(AND(INDEX('MTRs'!$AX$6:$AX$505,T335)=1,Z335=0,OR(f_res="",f_res="(Todos)",C335=f_res)),1,0))</f>
        <v>0</v>
      </c>
      <c r="AQ335" s="97" t="str">
        <f>IF(U335=0,"",INDEX('MTRs'!$AZ$6:$AZ$505,T335))</f>
        <v/>
      </c>
      <c r="AR335" s="96">
        <f>IF(U335=0,0,IF(AND(INDEX('MTRs'!$BA$6:$BA$505,T335)=1,Z335=0),1,0))</f>
        <v>0</v>
      </c>
      <c r="AS335" s="96" t="str">
        <f>IF(R335=1,A335&amp;" | MTR "&amp;IF(U335=1,INDEX('MTRs'!$B$6:$B$505,T335)&amp;"","?")&amp;" | "&amp;IF(C335="","(sem resíduo)",C335),"")</f>
        <v/>
      </c>
      <c r="AT335" s="96" t="str">
        <f>IF(R335=1,COUNTIF($R$6:R335,1),"")</f>
        <v/>
      </c>
      <c r="AU335" s="96" t="str">
        <f>IF(U335=1,INDEX('MTRs'!$I$6:$I$505,T335)&amp;"","")</f>
        <v/>
      </c>
    </row>
    <row r="336">
      <c r="A336" s="89" t="inlineStr">
        <is>
          <t>IT-000331</t>
        </is>
      </c>
      <c r="B336" s="91" t="n"/>
      <c r="C336" s="91" t="n"/>
      <c r="D336" s="94" t="str">
        <f>IF(OR(R336=0,V336=0),"",INDEX('CAD_RESÍDUOS'!$E$6:$E$205,MATCH(C336,'CAD_RESÍDUOS'!$B$6:$B$205,0))&amp;"")</f>
        <v/>
      </c>
      <c r="E336" s="94" t="str">
        <f>IF(OR(R336=0,V336=0),"",INDEX('CAD_RESÍDUOS'!$C$6:$C$205,MATCH(C336,'CAD_RESÍDUOS'!$B$6:$B$205,0))&amp;"")</f>
        <v/>
      </c>
      <c r="F336" s="94" t="str">
        <f>IF(OR(R336=0,V336=0),"",INDEX('CAD_RESÍDUOS'!$G$6:$G$205,MATCH(C336,'CAD_RESÍDUOS'!$B$6:$B$205,0))&amp;"")</f>
        <v/>
      </c>
      <c r="G336" s="98" t="n"/>
      <c r="H336" s="91" t="n"/>
      <c r="I336" s="93" t="str">
        <f>IF(R336=0,"",IF(NOT(ISNUMBER(G336)),"",IF(ISNUMBER(X336),G336*X336,"UNIDADE A CONFERIR")))</f>
        <v/>
      </c>
      <c r="J336" s="91" t="n"/>
      <c r="K336" s="91" t="n"/>
      <c r="L336" s="93" t="str">
        <f>IF(R336=0,"",SUMIFS('RECEBIMENTOS'!$H$6:$H$1005,'RECEBIMENTOS'!$R$6:$R$1005,A336,'RECEBIMENTOS'!$X$6:$X$1005,1))</f>
        <v/>
      </c>
      <c r="M336" s="93" t="str">
        <f>IF(R336=0,"",SUMIFS('VÍNCULOS_CDF'!$H$6:$H$1005,'VÍNCULOS_CDF'!$R$6:$R$1005,A336,'VÍNCULOS_CDF'!$V$6:$V$1005,1))</f>
        <v/>
      </c>
      <c r="N336" s="99" t="str">
        <f>IF(OR(R336=0,AA336=0,NOT(ISNUMBER(I336))),"",I336-N(L336))</f>
        <v/>
      </c>
      <c r="O336" s="100" t="str">
        <f>IF(OR(R336=0,AK336&lt;=0),"",N(M336)/AK336)</f>
        <v/>
      </c>
      <c r="P336" s="94" t="str">
        <f>IF(R336=0,"",IF(S336="","Sem MTR associado",IF(U336=0,"MTR inexistente",IF(C336="","Resíduo não identificado",IF(V336=0,"Resíduo fora do cadastro",IF(W336=0,"Quantidade inválida",IF(H336="","Unidade não informada",IF(NOT(ISNUMBER(I336)),"Unidade a conferir",IF(AND(AH336=1,K336&lt;&gt;"Sim"),"Possível duplicidade",IF(Z336=1,"MTR cancelado",IF(AC336&gt;0,"Recebimento com alerta",IF(AA336=0,"Aguardando recebimento",IF(AB336&lt;AA336,"Recebimento a conferir",IF(AM336=1,"Quantidade a revisar",IF(AF336&gt;0,"Vínculo a revisar",IF(AD336=0,"Aguardando CDF",IF(AN336=0,"Vínculo de CDF parcial",IF(AE336&lt;AD336,"CDF a conferir","Documentação conferida"))))))))))))))))))</f>
        <v/>
      </c>
      <c r="Q336" s="93" t="str">
        <f>IF(OR(R336=0,AA336=0),"",MAX(0,N(L336)-N(M336)))</f>
        <v/>
      </c>
      <c r="R336" s="96">
        <f>IF(COUNTA(B336:C336,G336:H336,J336:K336)&gt;0,1,0)</f>
        <v>0</v>
      </c>
      <c r="S336" s="96" t="str">
        <f>IF(B336="","",TRIM(LEFT(B336,FIND(" |",B336&amp;" |")-1)))</f>
        <v/>
      </c>
      <c r="T336" s="96" t="str">
        <f>IF(S336="","",IFERROR(MATCH(S336,'MTRs'!$A$6:$A$505,0),""))</f>
        <v/>
      </c>
      <c r="U336" s="96">
        <f>IF(T336="",0,IF(INDEX('MTRs'!$Z$6:$Z$505,T336)=1,1,0))</f>
        <v>0</v>
      </c>
      <c r="V336" s="96">
        <f>IF(C336="",0,IF(ISNUMBER(MATCH(C336,'CAD_RESÍDUOS'!$B$6:$B$205,0)),1,0))</f>
        <v>0</v>
      </c>
      <c r="W336" s="96">
        <f>IF(AND(ISNUMBER(G336),G336&gt;0),1,0)</f>
        <v>0</v>
      </c>
      <c r="X336" s="96" t="str">
        <f>IF(H336="","",IFERROR(IF(ISNUMBER(INDEX(cfg_fac,MATCH(H336,cfg_units,0))),IF(INDEX(cfg_fac,MATCH(H336,cfg_units,0))&gt;0,INDEX(cfg_fac,MATCH(H336,cfg_units,0)),""),""),""))</f>
        <v/>
      </c>
      <c r="Y336" s="96">
        <f>IF(AND(W336=1,ISNUMBER(I336)),1,0)</f>
        <v>0</v>
      </c>
      <c r="Z336" s="96">
        <f>IF(U336=1,INDEX('MTRs'!$AA$6:$AA$505,T336),0)</f>
        <v>0</v>
      </c>
      <c r="AA336" s="96">
        <f>IF(R336=0,0,COUNTIFS('RECEBIMENTOS'!$R$6:$R$1005,A336,'RECEBIMENTOS'!$Q$6:$Q$1005,1))</f>
        <v>0</v>
      </c>
      <c r="AB336" s="96">
        <f>IF(R336=0,0,COUNTIFS('RECEBIMENTOS'!$R$6:$R$1005,A336,'RECEBIMENTOS'!$Z$6:$Z$1005,1))</f>
        <v>0</v>
      </c>
      <c r="AC336" s="96">
        <f>IF(R336=0,0,COUNTIFS('RECEBIMENTOS'!$R$6:$R$1005,A336,'RECEBIMENTOS'!$Y$6:$Y$1005,1))</f>
        <v>0</v>
      </c>
      <c r="AD336" s="96">
        <f>IF(R336=0,0,COUNTIFS('VÍNCULOS_CDF'!$R$6:$R$1005,A336,'VÍNCULOS_CDF'!$N$6:$N$1005,1))</f>
        <v>0</v>
      </c>
      <c r="AE336" s="96">
        <f>IF(R336=0,0,COUNTIFS('VÍNCULOS_CDF'!$R$6:$R$1005,A336,'VÍNCULOS_CDF'!$AA$6:$AA$1005,1))</f>
        <v>0</v>
      </c>
      <c r="AF336" s="96">
        <f>IF(R336=0,0,COUNTIFS('VÍNCULOS_CDF'!$R$6:$R$1005,A336,'VÍNCULOS_CDF'!$Y$6:$Y$1005,1))</f>
        <v>0</v>
      </c>
      <c r="AG336" s="96" t="str">
        <f>IF(AND(R336=1,S336&lt;&gt;"",C336&lt;&gt;""),S336&amp;"|"&amp;C336&amp;"|"&amp;G336&amp;"|"&amp;H336,"")</f>
        <v/>
      </c>
      <c r="AH336" s="96">
        <f>IF(AG336="",0,IF(SUMPRODUCT(--($AG$6:$AG$1005=AG336))&gt;1,1,0))</f>
        <v>0</v>
      </c>
      <c r="AI336" s="96">
        <f>IF(R336=0,0,IF(OR(U336=0,V336=0,Y336=0,AND(AH336=1,K336&lt;&gt;"Sim")),1,0))</f>
        <v>0</v>
      </c>
      <c r="AJ336" s="96">
        <f>IF(AND(R336=1,AA336&gt;0,AB336=AA336),1,0)</f>
        <v>0</v>
      </c>
      <c r="AK336" s="96">
        <f>IF(R336=0,0,IF(AA336&gt;0,N(L336),IF(ISNUMBER(I336),I336,0)))</f>
        <v>0</v>
      </c>
      <c r="AL336" s="96">
        <f>IF(R336=0,0,IF(AND(K336&lt;&gt;"Sim",N(M336)&gt;AK336+cfg_tol),1,0))</f>
        <v>0</v>
      </c>
      <c r="AM336" s="96">
        <f>IF(R336=0,0,IF(K336="Sim",0,IF(OR(AND(AA336&gt;0,ISNUMBER(I336),ABS(I336-N(L336))&gt;cfg_tol),AL336=1),1,0)))</f>
        <v>0</v>
      </c>
      <c r="AN336" s="96">
        <f>IF(AND(R336=1,N(M336)&gt;0,OR(N(M336)&gt;=AK336-cfg_tol,K336="Sim")),1,0)</f>
        <v>0</v>
      </c>
      <c r="AO336" s="96">
        <f>IF(AND(AN336=1,AD336&gt;0,AE336=AD336,AL336=0),1,0)</f>
        <v>0</v>
      </c>
      <c r="AP336" s="96">
        <f>IF(U336=0,0,IF(AND(INDEX('MTRs'!$AX$6:$AX$505,T336)=1,Z336=0,OR(f_res="",f_res="(Todos)",C336=f_res)),1,0))</f>
        <v>0</v>
      </c>
      <c r="AQ336" s="97" t="str">
        <f>IF(U336=0,"",INDEX('MTRs'!$AZ$6:$AZ$505,T336))</f>
        <v/>
      </c>
      <c r="AR336" s="96">
        <f>IF(U336=0,0,IF(AND(INDEX('MTRs'!$BA$6:$BA$505,T336)=1,Z336=0),1,0))</f>
        <v>0</v>
      </c>
      <c r="AS336" s="96" t="str">
        <f>IF(R336=1,A336&amp;" | MTR "&amp;IF(U336=1,INDEX('MTRs'!$B$6:$B$505,T336)&amp;"","?")&amp;" | "&amp;IF(C336="","(sem resíduo)",C336),"")</f>
        <v/>
      </c>
      <c r="AT336" s="96" t="str">
        <f>IF(R336=1,COUNTIF($R$6:R336,1),"")</f>
        <v/>
      </c>
      <c r="AU336" s="96" t="str">
        <f>IF(U336=1,INDEX('MTRs'!$I$6:$I$505,T336)&amp;"","")</f>
        <v/>
      </c>
    </row>
    <row r="337">
      <c r="A337" s="89" t="inlineStr">
        <is>
          <t>IT-000332</t>
        </is>
      </c>
      <c r="B337" s="91" t="n"/>
      <c r="C337" s="91" t="n"/>
      <c r="D337" s="94" t="str">
        <f>IF(OR(R337=0,V337=0),"",INDEX('CAD_RESÍDUOS'!$E$6:$E$205,MATCH(C337,'CAD_RESÍDUOS'!$B$6:$B$205,0))&amp;"")</f>
        <v/>
      </c>
      <c r="E337" s="94" t="str">
        <f>IF(OR(R337=0,V337=0),"",INDEX('CAD_RESÍDUOS'!$C$6:$C$205,MATCH(C337,'CAD_RESÍDUOS'!$B$6:$B$205,0))&amp;"")</f>
        <v/>
      </c>
      <c r="F337" s="94" t="str">
        <f>IF(OR(R337=0,V337=0),"",INDEX('CAD_RESÍDUOS'!$G$6:$G$205,MATCH(C337,'CAD_RESÍDUOS'!$B$6:$B$205,0))&amp;"")</f>
        <v/>
      </c>
      <c r="G337" s="98" t="n"/>
      <c r="H337" s="91" t="n"/>
      <c r="I337" s="93" t="str">
        <f>IF(R337=0,"",IF(NOT(ISNUMBER(G337)),"",IF(ISNUMBER(X337),G337*X337,"UNIDADE A CONFERIR")))</f>
        <v/>
      </c>
      <c r="J337" s="91" t="n"/>
      <c r="K337" s="91" t="n"/>
      <c r="L337" s="93" t="str">
        <f>IF(R337=0,"",SUMIFS('RECEBIMENTOS'!$H$6:$H$1005,'RECEBIMENTOS'!$R$6:$R$1005,A337,'RECEBIMENTOS'!$X$6:$X$1005,1))</f>
        <v/>
      </c>
      <c r="M337" s="93" t="str">
        <f>IF(R337=0,"",SUMIFS('VÍNCULOS_CDF'!$H$6:$H$1005,'VÍNCULOS_CDF'!$R$6:$R$1005,A337,'VÍNCULOS_CDF'!$V$6:$V$1005,1))</f>
        <v/>
      </c>
      <c r="N337" s="99" t="str">
        <f>IF(OR(R337=0,AA337=0,NOT(ISNUMBER(I337))),"",I337-N(L337))</f>
        <v/>
      </c>
      <c r="O337" s="100" t="str">
        <f>IF(OR(R337=0,AK337&lt;=0),"",N(M337)/AK337)</f>
        <v/>
      </c>
      <c r="P337" s="94" t="str">
        <f>IF(R337=0,"",IF(S337="","Sem MTR associado",IF(U337=0,"MTR inexistente",IF(C337="","Resíduo não identificado",IF(V337=0,"Resíduo fora do cadastro",IF(W337=0,"Quantidade inválida",IF(H337="","Unidade não informada",IF(NOT(ISNUMBER(I337)),"Unidade a conferir",IF(AND(AH337=1,K337&lt;&gt;"Sim"),"Possível duplicidade",IF(Z337=1,"MTR cancelado",IF(AC337&gt;0,"Recebimento com alerta",IF(AA337=0,"Aguardando recebimento",IF(AB337&lt;AA337,"Recebimento a conferir",IF(AM337=1,"Quantidade a revisar",IF(AF337&gt;0,"Vínculo a revisar",IF(AD337=0,"Aguardando CDF",IF(AN337=0,"Vínculo de CDF parcial",IF(AE337&lt;AD337,"CDF a conferir","Documentação conferida"))))))))))))))))))</f>
        <v/>
      </c>
      <c r="Q337" s="93" t="str">
        <f>IF(OR(R337=0,AA337=0),"",MAX(0,N(L337)-N(M337)))</f>
        <v/>
      </c>
      <c r="R337" s="96">
        <f>IF(COUNTA(B337:C337,G337:H337,J337:K337)&gt;0,1,0)</f>
        <v>0</v>
      </c>
      <c r="S337" s="96" t="str">
        <f>IF(B337="","",TRIM(LEFT(B337,FIND(" |",B337&amp;" |")-1)))</f>
        <v/>
      </c>
      <c r="T337" s="96" t="str">
        <f>IF(S337="","",IFERROR(MATCH(S337,'MTRs'!$A$6:$A$505,0),""))</f>
        <v/>
      </c>
      <c r="U337" s="96">
        <f>IF(T337="",0,IF(INDEX('MTRs'!$Z$6:$Z$505,T337)=1,1,0))</f>
        <v>0</v>
      </c>
      <c r="V337" s="96">
        <f>IF(C337="",0,IF(ISNUMBER(MATCH(C337,'CAD_RESÍDUOS'!$B$6:$B$205,0)),1,0))</f>
        <v>0</v>
      </c>
      <c r="W337" s="96">
        <f>IF(AND(ISNUMBER(G337),G337&gt;0),1,0)</f>
        <v>0</v>
      </c>
      <c r="X337" s="96" t="str">
        <f>IF(H337="","",IFERROR(IF(ISNUMBER(INDEX(cfg_fac,MATCH(H337,cfg_units,0))),IF(INDEX(cfg_fac,MATCH(H337,cfg_units,0))&gt;0,INDEX(cfg_fac,MATCH(H337,cfg_units,0)),""),""),""))</f>
        <v/>
      </c>
      <c r="Y337" s="96">
        <f>IF(AND(W337=1,ISNUMBER(I337)),1,0)</f>
        <v>0</v>
      </c>
      <c r="Z337" s="96">
        <f>IF(U337=1,INDEX('MTRs'!$AA$6:$AA$505,T337),0)</f>
        <v>0</v>
      </c>
      <c r="AA337" s="96">
        <f>IF(R337=0,0,COUNTIFS('RECEBIMENTOS'!$R$6:$R$1005,A337,'RECEBIMENTOS'!$Q$6:$Q$1005,1))</f>
        <v>0</v>
      </c>
      <c r="AB337" s="96">
        <f>IF(R337=0,0,COUNTIFS('RECEBIMENTOS'!$R$6:$R$1005,A337,'RECEBIMENTOS'!$Z$6:$Z$1005,1))</f>
        <v>0</v>
      </c>
      <c r="AC337" s="96">
        <f>IF(R337=0,0,COUNTIFS('RECEBIMENTOS'!$R$6:$R$1005,A337,'RECEBIMENTOS'!$Y$6:$Y$1005,1))</f>
        <v>0</v>
      </c>
      <c r="AD337" s="96">
        <f>IF(R337=0,0,COUNTIFS('VÍNCULOS_CDF'!$R$6:$R$1005,A337,'VÍNCULOS_CDF'!$N$6:$N$1005,1))</f>
        <v>0</v>
      </c>
      <c r="AE337" s="96">
        <f>IF(R337=0,0,COUNTIFS('VÍNCULOS_CDF'!$R$6:$R$1005,A337,'VÍNCULOS_CDF'!$AA$6:$AA$1005,1))</f>
        <v>0</v>
      </c>
      <c r="AF337" s="96">
        <f>IF(R337=0,0,COUNTIFS('VÍNCULOS_CDF'!$R$6:$R$1005,A337,'VÍNCULOS_CDF'!$Y$6:$Y$1005,1))</f>
        <v>0</v>
      </c>
      <c r="AG337" s="96" t="str">
        <f>IF(AND(R337=1,S337&lt;&gt;"",C337&lt;&gt;""),S337&amp;"|"&amp;C337&amp;"|"&amp;G337&amp;"|"&amp;H337,"")</f>
        <v/>
      </c>
      <c r="AH337" s="96">
        <f>IF(AG337="",0,IF(SUMPRODUCT(--($AG$6:$AG$1005=AG337))&gt;1,1,0))</f>
        <v>0</v>
      </c>
      <c r="AI337" s="96">
        <f>IF(R337=0,0,IF(OR(U337=0,V337=0,Y337=0,AND(AH337=1,K337&lt;&gt;"Sim")),1,0))</f>
        <v>0</v>
      </c>
      <c r="AJ337" s="96">
        <f>IF(AND(R337=1,AA337&gt;0,AB337=AA337),1,0)</f>
        <v>0</v>
      </c>
      <c r="AK337" s="96">
        <f>IF(R337=0,0,IF(AA337&gt;0,N(L337),IF(ISNUMBER(I337),I337,0)))</f>
        <v>0</v>
      </c>
      <c r="AL337" s="96">
        <f>IF(R337=0,0,IF(AND(K337&lt;&gt;"Sim",N(M337)&gt;AK337+cfg_tol),1,0))</f>
        <v>0</v>
      </c>
      <c r="AM337" s="96">
        <f>IF(R337=0,0,IF(K337="Sim",0,IF(OR(AND(AA337&gt;0,ISNUMBER(I337),ABS(I337-N(L337))&gt;cfg_tol),AL337=1),1,0)))</f>
        <v>0</v>
      </c>
      <c r="AN337" s="96">
        <f>IF(AND(R337=1,N(M337)&gt;0,OR(N(M337)&gt;=AK337-cfg_tol,K337="Sim")),1,0)</f>
        <v>0</v>
      </c>
      <c r="AO337" s="96">
        <f>IF(AND(AN337=1,AD337&gt;0,AE337=AD337,AL337=0),1,0)</f>
        <v>0</v>
      </c>
      <c r="AP337" s="96">
        <f>IF(U337=0,0,IF(AND(INDEX('MTRs'!$AX$6:$AX$505,T337)=1,Z337=0,OR(f_res="",f_res="(Todos)",C337=f_res)),1,0))</f>
        <v>0</v>
      </c>
      <c r="AQ337" s="97" t="str">
        <f>IF(U337=0,"",INDEX('MTRs'!$AZ$6:$AZ$505,T337))</f>
        <v/>
      </c>
      <c r="AR337" s="96">
        <f>IF(U337=0,0,IF(AND(INDEX('MTRs'!$BA$6:$BA$505,T337)=1,Z337=0),1,0))</f>
        <v>0</v>
      </c>
      <c r="AS337" s="96" t="str">
        <f>IF(R337=1,A337&amp;" | MTR "&amp;IF(U337=1,INDEX('MTRs'!$B$6:$B$505,T337)&amp;"","?")&amp;" | "&amp;IF(C337="","(sem resíduo)",C337),"")</f>
        <v/>
      </c>
      <c r="AT337" s="96" t="str">
        <f>IF(R337=1,COUNTIF($R$6:R337,1),"")</f>
        <v/>
      </c>
      <c r="AU337" s="96" t="str">
        <f>IF(U337=1,INDEX('MTRs'!$I$6:$I$505,T337)&amp;"","")</f>
        <v/>
      </c>
    </row>
    <row r="338">
      <c r="A338" s="89" t="inlineStr">
        <is>
          <t>IT-000333</t>
        </is>
      </c>
      <c r="B338" s="91" t="n"/>
      <c r="C338" s="91" t="n"/>
      <c r="D338" s="94" t="str">
        <f>IF(OR(R338=0,V338=0),"",INDEX('CAD_RESÍDUOS'!$E$6:$E$205,MATCH(C338,'CAD_RESÍDUOS'!$B$6:$B$205,0))&amp;"")</f>
        <v/>
      </c>
      <c r="E338" s="94" t="str">
        <f>IF(OR(R338=0,V338=0),"",INDEX('CAD_RESÍDUOS'!$C$6:$C$205,MATCH(C338,'CAD_RESÍDUOS'!$B$6:$B$205,0))&amp;"")</f>
        <v/>
      </c>
      <c r="F338" s="94" t="str">
        <f>IF(OR(R338=0,V338=0),"",INDEX('CAD_RESÍDUOS'!$G$6:$G$205,MATCH(C338,'CAD_RESÍDUOS'!$B$6:$B$205,0))&amp;"")</f>
        <v/>
      </c>
      <c r="G338" s="98" t="n"/>
      <c r="H338" s="91" t="n"/>
      <c r="I338" s="93" t="str">
        <f>IF(R338=0,"",IF(NOT(ISNUMBER(G338)),"",IF(ISNUMBER(X338),G338*X338,"UNIDADE A CONFERIR")))</f>
        <v/>
      </c>
      <c r="J338" s="91" t="n"/>
      <c r="K338" s="91" t="n"/>
      <c r="L338" s="93" t="str">
        <f>IF(R338=0,"",SUMIFS('RECEBIMENTOS'!$H$6:$H$1005,'RECEBIMENTOS'!$R$6:$R$1005,A338,'RECEBIMENTOS'!$X$6:$X$1005,1))</f>
        <v/>
      </c>
      <c r="M338" s="93" t="str">
        <f>IF(R338=0,"",SUMIFS('VÍNCULOS_CDF'!$H$6:$H$1005,'VÍNCULOS_CDF'!$R$6:$R$1005,A338,'VÍNCULOS_CDF'!$V$6:$V$1005,1))</f>
        <v/>
      </c>
      <c r="N338" s="99" t="str">
        <f>IF(OR(R338=0,AA338=0,NOT(ISNUMBER(I338))),"",I338-N(L338))</f>
        <v/>
      </c>
      <c r="O338" s="100" t="str">
        <f>IF(OR(R338=0,AK338&lt;=0),"",N(M338)/AK338)</f>
        <v/>
      </c>
      <c r="P338" s="94" t="str">
        <f>IF(R338=0,"",IF(S338="","Sem MTR associado",IF(U338=0,"MTR inexistente",IF(C338="","Resíduo não identificado",IF(V338=0,"Resíduo fora do cadastro",IF(W338=0,"Quantidade inválida",IF(H338="","Unidade não informada",IF(NOT(ISNUMBER(I338)),"Unidade a conferir",IF(AND(AH338=1,K338&lt;&gt;"Sim"),"Possível duplicidade",IF(Z338=1,"MTR cancelado",IF(AC338&gt;0,"Recebimento com alerta",IF(AA338=0,"Aguardando recebimento",IF(AB338&lt;AA338,"Recebimento a conferir",IF(AM338=1,"Quantidade a revisar",IF(AF338&gt;0,"Vínculo a revisar",IF(AD338=0,"Aguardando CDF",IF(AN338=0,"Vínculo de CDF parcial",IF(AE338&lt;AD338,"CDF a conferir","Documentação conferida"))))))))))))))))))</f>
        <v/>
      </c>
      <c r="Q338" s="93" t="str">
        <f>IF(OR(R338=0,AA338=0),"",MAX(0,N(L338)-N(M338)))</f>
        <v/>
      </c>
      <c r="R338" s="96">
        <f>IF(COUNTA(B338:C338,G338:H338,J338:K338)&gt;0,1,0)</f>
        <v>0</v>
      </c>
      <c r="S338" s="96" t="str">
        <f>IF(B338="","",TRIM(LEFT(B338,FIND(" |",B338&amp;" |")-1)))</f>
        <v/>
      </c>
      <c r="T338" s="96" t="str">
        <f>IF(S338="","",IFERROR(MATCH(S338,'MTRs'!$A$6:$A$505,0),""))</f>
        <v/>
      </c>
      <c r="U338" s="96">
        <f>IF(T338="",0,IF(INDEX('MTRs'!$Z$6:$Z$505,T338)=1,1,0))</f>
        <v>0</v>
      </c>
      <c r="V338" s="96">
        <f>IF(C338="",0,IF(ISNUMBER(MATCH(C338,'CAD_RESÍDUOS'!$B$6:$B$205,0)),1,0))</f>
        <v>0</v>
      </c>
      <c r="W338" s="96">
        <f>IF(AND(ISNUMBER(G338),G338&gt;0),1,0)</f>
        <v>0</v>
      </c>
      <c r="X338" s="96" t="str">
        <f>IF(H338="","",IFERROR(IF(ISNUMBER(INDEX(cfg_fac,MATCH(H338,cfg_units,0))),IF(INDEX(cfg_fac,MATCH(H338,cfg_units,0))&gt;0,INDEX(cfg_fac,MATCH(H338,cfg_units,0)),""),""),""))</f>
        <v/>
      </c>
      <c r="Y338" s="96">
        <f>IF(AND(W338=1,ISNUMBER(I338)),1,0)</f>
        <v>0</v>
      </c>
      <c r="Z338" s="96">
        <f>IF(U338=1,INDEX('MTRs'!$AA$6:$AA$505,T338),0)</f>
        <v>0</v>
      </c>
      <c r="AA338" s="96">
        <f>IF(R338=0,0,COUNTIFS('RECEBIMENTOS'!$R$6:$R$1005,A338,'RECEBIMENTOS'!$Q$6:$Q$1005,1))</f>
        <v>0</v>
      </c>
      <c r="AB338" s="96">
        <f>IF(R338=0,0,COUNTIFS('RECEBIMENTOS'!$R$6:$R$1005,A338,'RECEBIMENTOS'!$Z$6:$Z$1005,1))</f>
        <v>0</v>
      </c>
      <c r="AC338" s="96">
        <f>IF(R338=0,0,COUNTIFS('RECEBIMENTOS'!$R$6:$R$1005,A338,'RECEBIMENTOS'!$Y$6:$Y$1005,1))</f>
        <v>0</v>
      </c>
      <c r="AD338" s="96">
        <f>IF(R338=0,0,COUNTIFS('VÍNCULOS_CDF'!$R$6:$R$1005,A338,'VÍNCULOS_CDF'!$N$6:$N$1005,1))</f>
        <v>0</v>
      </c>
      <c r="AE338" s="96">
        <f>IF(R338=0,0,COUNTIFS('VÍNCULOS_CDF'!$R$6:$R$1005,A338,'VÍNCULOS_CDF'!$AA$6:$AA$1005,1))</f>
        <v>0</v>
      </c>
      <c r="AF338" s="96">
        <f>IF(R338=0,0,COUNTIFS('VÍNCULOS_CDF'!$R$6:$R$1005,A338,'VÍNCULOS_CDF'!$Y$6:$Y$1005,1))</f>
        <v>0</v>
      </c>
      <c r="AG338" s="96" t="str">
        <f>IF(AND(R338=1,S338&lt;&gt;"",C338&lt;&gt;""),S338&amp;"|"&amp;C338&amp;"|"&amp;G338&amp;"|"&amp;H338,"")</f>
        <v/>
      </c>
      <c r="AH338" s="96">
        <f>IF(AG338="",0,IF(SUMPRODUCT(--($AG$6:$AG$1005=AG338))&gt;1,1,0))</f>
        <v>0</v>
      </c>
      <c r="AI338" s="96">
        <f>IF(R338=0,0,IF(OR(U338=0,V338=0,Y338=0,AND(AH338=1,K338&lt;&gt;"Sim")),1,0))</f>
        <v>0</v>
      </c>
      <c r="AJ338" s="96">
        <f>IF(AND(R338=1,AA338&gt;0,AB338=AA338),1,0)</f>
        <v>0</v>
      </c>
      <c r="AK338" s="96">
        <f>IF(R338=0,0,IF(AA338&gt;0,N(L338),IF(ISNUMBER(I338),I338,0)))</f>
        <v>0</v>
      </c>
      <c r="AL338" s="96">
        <f>IF(R338=0,0,IF(AND(K338&lt;&gt;"Sim",N(M338)&gt;AK338+cfg_tol),1,0))</f>
        <v>0</v>
      </c>
      <c r="AM338" s="96">
        <f>IF(R338=0,0,IF(K338="Sim",0,IF(OR(AND(AA338&gt;0,ISNUMBER(I338),ABS(I338-N(L338))&gt;cfg_tol),AL338=1),1,0)))</f>
        <v>0</v>
      </c>
      <c r="AN338" s="96">
        <f>IF(AND(R338=1,N(M338)&gt;0,OR(N(M338)&gt;=AK338-cfg_tol,K338="Sim")),1,0)</f>
        <v>0</v>
      </c>
      <c r="AO338" s="96">
        <f>IF(AND(AN338=1,AD338&gt;0,AE338=AD338,AL338=0),1,0)</f>
        <v>0</v>
      </c>
      <c r="AP338" s="96">
        <f>IF(U338=0,0,IF(AND(INDEX('MTRs'!$AX$6:$AX$505,T338)=1,Z338=0,OR(f_res="",f_res="(Todos)",C338=f_res)),1,0))</f>
        <v>0</v>
      </c>
      <c r="AQ338" s="97" t="str">
        <f>IF(U338=0,"",INDEX('MTRs'!$AZ$6:$AZ$505,T338))</f>
        <v/>
      </c>
      <c r="AR338" s="96">
        <f>IF(U338=0,0,IF(AND(INDEX('MTRs'!$BA$6:$BA$505,T338)=1,Z338=0),1,0))</f>
        <v>0</v>
      </c>
      <c r="AS338" s="96" t="str">
        <f>IF(R338=1,A338&amp;" | MTR "&amp;IF(U338=1,INDEX('MTRs'!$B$6:$B$505,T338)&amp;"","?")&amp;" | "&amp;IF(C338="","(sem resíduo)",C338),"")</f>
        <v/>
      </c>
      <c r="AT338" s="96" t="str">
        <f>IF(R338=1,COUNTIF($R$6:R338,1),"")</f>
        <v/>
      </c>
      <c r="AU338" s="96" t="str">
        <f>IF(U338=1,INDEX('MTRs'!$I$6:$I$505,T338)&amp;"","")</f>
        <v/>
      </c>
    </row>
    <row r="339">
      <c r="A339" s="89" t="inlineStr">
        <is>
          <t>IT-000334</t>
        </is>
      </c>
      <c r="B339" s="91" t="n"/>
      <c r="C339" s="91" t="n"/>
      <c r="D339" s="94" t="str">
        <f>IF(OR(R339=0,V339=0),"",INDEX('CAD_RESÍDUOS'!$E$6:$E$205,MATCH(C339,'CAD_RESÍDUOS'!$B$6:$B$205,0))&amp;"")</f>
        <v/>
      </c>
      <c r="E339" s="94" t="str">
        <f>IF(OR(R339=0,V339=0),"",INDEX('CAD_RESÍDUOS'!$C$6:$C$205,MATCH(C339,'CAD_RESÍDUOS'!$B$6:$B$205,0))&amp;"")</f>
        <v/>
      </c>
      <c r="F339" s="94" t="str">
        <f>IF(OR(R339=0,V339=0),"",INDEX('CAD_RESÍDUOS'!$G$6:$G$205,MATCH(C339,'CAD_RESÍDUOS'!$B$6:$B$205,0))&amp;"")</f>
        <v/>
      </c>
      <c r="G339" s="98" t="n"/>
      <c r="H339" s="91" t="n"/>
      <c r="I339" s="93" t="str">
        <f>IF(R339=0,"",IF(NOT(ISNUMBER(G339)),"",IF(ISNUMBER(X339),G339*X339,"UNIDADE A CONFERIR")))</f>
        <v/>
      </c>
      <c r="J339" s="91" t="n"/>
      <c r="K339" s="91" t="n"/>
      <c r="L339" s="93" t="str">
        <f>IF(R339=0,"",SUMIFS('RECEBIMENTOS'!$H$6:$H$1005,'RECEBIMENTOS'!$R$6:$R$1005,A339,'RECEBIMENTOS'!$X$6:$X$1005,1))</f>
        <v/>
      </c>
      <c r="M339" s="93" t="str">
        <f>IF(R339=0,"",SUMIFS('VÍNCULOS_CDF'!$H$6:$H$1005,'VÍNCULOS_CDF'!$R$6:$R$1005,A339,'VÍNCULOS_CDF'!$V$6:$V$1005,1))</f>
        <v/>
      </c>
      <c r="N339" s="99" t="str">
        <f>IF(OR(R339=0,AA339=0,NOT(ISNUMBER(I339))),"",I339-N(L339))</f>
        <v/>
      </c>
      <c r="O339" s="100" t="str">
        <f>IF(OR(R339=0,AK339&lt;=0),"",N(M339)/AK339)</f>
        <v/>
      </c>
      <c r="P339" s="94" t="str">
        <f>IF(R339=0,"",IF(S339="","Sem MTR associado",IF(U339=0,"MTR inexistente",IF(C339="","Resíduo não identificado",IF(V339=0,"Resíduo fora do cadastro",IF(W339=0,"Quantidade inválida",IF(H339="","Unidade não informada",IF(NOT(ISNUMBER(I339)),"Unidade a conferir",IF(AND(AH339=1,K339&lt;&gt;"Sim"),"Possível duplicidade",IF(Z339=1,"MTR cancelado",IF(AC339&gt;0,"Recebimento com alerta",IF(AA339=0,"Aguardando recebimento",IF(AB339&lt;AA339,"Recebimento a conferir",IF(AM339=1,"Quantidade a revisar",IF(AF339&gt;0,"Vínculo a revisar",IF(AD339=0,"Aguardando CDF",IF(AN339=0,"Vínculo de CDF parcial",IF(AE339&lt;AD339,"CDF a conferir","Documentação conferida"))))))))))))))))))</f>
        <v/>
      </c>
      <c r="Q339" s="93" t="str">
        <f>IF(OR(R339=0,AA339=0),"",MAX(0,N(L339)-N(M339)))</f>
        <v/>
      </c>
      <c r="R339" s="96">
        <f>IF(COUNTA(B339:C339,G339:H339,J339:K339)&gt;0,1,0)</f>
        <v>0</v>
      </c>
      <c r="S339" s="96" t="str">
        <f>IF(B339="","",TRIM(LEFT(B339,FIND(" |",B339&amp;" |")-1)))</f>
        <v/>
      </c>
      <c r="T339" s="96" t="str">
        <f>IF(S339="","",IFERROR(MATCH(S339,'MTRs'!$A$6:$A$505,0),""))</f>
        <v/>
      </c>
      <c r="U339" s="96">
        <f>IF(T339="",0,IF(INDEX('MTRs'!$Z$6:$Z$505,T339)=1,1,0))</f>
        <v>0</v>
      </c>
      <c r="V339" s="96">
        <f>IF(C339="",0,IF(ISNUMBER(MATCH(C339,'CAD_RESÍDUOS'!$B$6:$B$205,0)),1,0))</f>
        <v>0</v>
      </c>
      <c r="W339" s="96">
        <f>IF(AND(ISNUMBER(G339),G339&gt;0),1,0)</f>
        <v>0</v>
      </c>
      <c r="X339" s="96" t="str">
        <f>IF(H339="","",IFERROR(IF(ISNUMBER(INDEX(cfg_fac,MATCH(H339,cfg_units,0))),IF(INDEX(cfg_fac,MATCH(H339,cfg_units,0))&gt;0,INDEX(cfg_fac,MATCH(H339,cfg_units,0)),""),""),""))</f>
        <v/>
      </c>
      <c r="Y339" s="96">
        <f>IF(AND(W339=1,ISNUMBER(I339)),1,0)</f>
        <v>0</v>
      </c>
      <c r="Z339" s="96">
        <f>IF(U339=1,INDEX('MTRs'!$AA$6:$AA$505,T339),0)</f>
        <v>0</v>
      </c>
      <c r="AA339" s="96">
        <f>IF(R339=0,0,COUNTIFS('RECEBIMENTOS'!$R$6:$R$1005,A339,'RECEBIMENTOS'!$Q$6:$Q$1005,1))</f>
        <v>0</v>
      </c>
      <c r="AB339" s="96">
        <f>IF(R339=0,0,COUNTIFS('RECEBIMENTOS'!$R$6:$R$1005,A339,'RECEBIMENTOS'!$Z$6:$Z$1005,1))</f>
        <v>0</v>
      </c>
      <c r="AC339" s="96">
        <f>IF(R339=0,0,COUNTIFS('RECEBIMENTOS'!$R$6:$R$1005,A339,'RECEBIMENTOS'!$Y$6:$Y$1005,1))</f>
        <v>0</v>
      </c>
      <c r="AD339" s="96">
        <f>IF(R339=0,0,COUNTIFS('VÍNCULOS_CDF'!$R$6:$R$1005,A339,'VÍNCULOS_CDF'!$N$6:$N$1005,1))</f>
        <v>0</v>
      </c>
      <c r="AE339" s="96">
        <f>IF(R339=0,0,COUNTIFS('VÍNCULOS_CDF'!$R$6:$R$1005,A339,'VÍNCULOS_CDF'!$AA$6:$AA$1005,1))</f>
        <v>0</v>
      </c>
      <c r="AF339" s="96">
        <f>IF(R339=0,0,COUNTIFS('VÍNCULOS_CDF'!$R$6:$R$1005,A339,'VÍNCULOS_CDF'!$Y$6:$Y$1005,1))</f>
        <v>0</v>
      </c>
      <c r="AG339" s="96" t="str">
        <f>IF(AND(R339=1,S339&lt;&gt;"",C339&lt;&gt;""),S339&amp;"|"&amp;C339&amp;"|"&amp;G339&amp;"|"&amp;H339,"")</f>
        <v/>
      </c>
      <c r="AH339" s="96">
        <f>IF(AG339="",0,IF(SUMPRODUCT(--($AG$6:$AG$1005=AG339))&gt;1,1,0))</f>
        <v>0</v>
      </c>
      <c r="AI339" s="96">
        <f>IF(R339=0,0,IF(OR(U339=0,V339=0,Y339=0,AND(AH339=1,K339&lt;&gt;"Sim")),1,0))</f>
        <v>0</v>
      </c>
      <c r="AJ339" s="96">
        <f>IF(AND(R339=1,AA339&gt;0,AB339=AA339),1,0)</f>
        <v>0</v>
      </c>
      <c r="AK339" s="96">
        <f>IF(R339=0,0,IF(AA339&gt;0,N(L339),IF(ISNUMBER(I339),I339,0)))</f>
        <v>0</v>
      </c>
      <c r="AL339" s="96">
        <f>IF(R339=0,0,IF(AND(K339&lt;&gt;"Sim",N(M339)&gt;AK339+cfg_tol),1,0))</f>
        <v>0</v>
      </c>
      <c r="AM339" s="96">
        <f>IF(R339=0,0,IF(K339="Sim",0,IF(OR(AND(AA339&gt;0,ISNUMBER(I339),ABS(I339-N(L339))&gt;cfg_tol),AL339=1),1,0)))</f>
        <v>0</v>
      </c>
      <c r="AN339" s="96">
        <f>IF(AND(R339=1,N(M339)&gt;0,OR(N(M339)&gt;=AK339-cfg_tol,K339="Sim")),1,0)</f>
        <v>0</v>
      </c>
      <c r="AO339" s="96">
        <f>IF(AND(AN339=1,AD339&gt;0,AE339=AD339,AL339=0),1,0)</f>
        <v>0</v>
      </c>
      <c r="AP339" s="96">
        <f>IF(U339=0,0,IF(AND(INDEX('MTRs'!$AX$6:$AX$505,T339)=1,Z339=0,OR(f_res="",f_res="(Todos)",C339=f_res)),1,0))</f>
        <v>0</v>
      </c>
      <c r="AQ339" s="97" t="str">
        <f>IF(U339=0,"",INDEX('MTRs'!$AZ$6:$AZ$505,T339))</f>
        <v/>
      </c>
      <c r="AR339" s="96">
        <f>IF(U339=0,0,IF(AND(INDEX('MTRs'!$BA$6:$BA$505,T339)=1,Z339=0),1,0))</f>
        <v>0</v>
      </c>
      <c r="AS339" s="96" t="str">
        <f>IF(R339=1,A339&amp;" | MTR "&amp;IF(U339=1,INDEX('MTRs'!$B$6:$B$505,T339)&amp;"","?")&amp;" | "&amp;IF(C339="","(sem resíduo)",C339),"")</f>
        <v/>
      </c>
      <c r="AT339" s="96" t="str">
        <f>IF(R339=1,COUNTIF($R$6:R339,1),"")</f>
        <v/>
      </c>
      <c r="AU339" s="96" t="str">
        <f>IF(U339=1,INDEX('MTRs'!$I$6:$I$505,T339)&amp;"","")</f>
        <v/>
      </c>
    </row>
    <row r="340">
      <c r="A340" s="89" t="inlineStr">
        <is>
          <t>IT-000335</t>
        </is>
      </c>
      <c r="B340" s="91" t="n"/>
      <c r="C340" s="91" t="n"/>
      <c r="D340" s="94" t="str">
        <f>IF(OR(R340=0,V340=0),"",INDEX('CAD_RESÍDUOS'!$E$6:$E$205,MATCH(C340,'CAD_RESÍDUOS'!$B$6:$B$205,0))&amp;"")</f>
        <v/>
      </c>
      <c r="E340" s="94" t="str">
        <f>IF(OR(R340=0,V340=0),"",INDEX('CAD_RESÍDUOS'!$C$6:$C$205,MATCH(C340,'CAD_RESÍDUOS'!$B$6:$B$205,0))&amp;"")</f>
        <v/>
      </c>
      <c r="F340" s="94" t="str">
        <f>IF(OR(R340=0,V340=0),"",INDEX('CAD_RESÍDUOS'!$G$6:$G$205,MATCH(C340,'CAD_RESÍDUOS'!$B$6:$B$205,0))&amp;"")</f>
        <v/>
      </c>
      <c r="G340" s="98" t="n"/>
      <c r="H340" s="91" t="n"/>
      <c r="I340" s="93" t="str">
        <f>IF(R340=0,"",IF(NOT(ISNUMBER(G340)),"",IF(ISNUMBER(X340),G340*X340,"UNIDADE A CONFERIR")))</f>
        <v/>
      </c>
      <c r="J340" s="91" t="n"/>
      <c r="K340" s="91" t="n"/>
      <c r="L340" s="93" t="str">
        <f>IF(R340=0,"",SUMIFS('RECEBIMENTOS'!$H$6:$H$1005,'RECEBIMENTOS'!$R$6:$R$1005,A340,'RECEBIMENTOS'!$X$6:$X$1005,1))</f>
        <v/>
      </c>
      <c r="M340" s="93" t="str">
        <f>IF(R340=0,"",SUMIFS('VÍNCULOS_CDF'!$H$6:$H$1005,'VÍNCULOS_CDF'!$R$6:$R$1005,A340,'VÍNCULOS_CDF'!$V$6:$V$1005,1))</f>
        <v/>
      </c>
      <c r="N340" s="99" t="str">
        <f>IF(OR(R340=0,AA340=0,NOT(ISNUMBER(I340))),"",I340-N(L340))</f>
        <v/>
      </c>
      <c r="O340" s="100" t="str">
        <f>IF(OR(R340=0,AK340&lt;=0),"",N(M340)/AK340)</f>
        <v/>
      </c>
      <c r="P340" s="94" t="str">
        <f>IF(R340=0,"",IF(S340="","Sem MTR associado",IF(U340=0,"MTR inexistente",IF(C340="","Resíduo não identificado",IF(V340=0,"Resíduo fora do cadastro",IF(W340=0,"Quantidade inválida",IF(H340="","Unidade não informada",IF(NOT(ISNUMBER(I340)),"Unidade a conferir",IF(AND(AH340=1,K340&lt;&gt;"Sim"),"Possível duplicidade",IF(Z340=1,"MTR cancelado",IF(AC340&gt;0,"Recebimento com alerta",IF(AA340=0,"Aguardando recebimento",IF(AB340&lt;AA340,"Recebimento a conferir",IF(AM340=1,"Quantidade a revisar",IF(AF340&gt;0,"Vínculo a revisar",IF(AD340=0,"Aguardando CDF",IF(AN340=0,"Vínculo de CDF parcial",IF(AE340&lt;AD340,"CDF a conferir","Documentação conferida"))))))))))))))))))</f>
        <v/>
      </c>
      <c r="Q340" s="93" t="str">
        <f>IF(OR(R340=0,AA340=0),"",MAX(0,N(L340)-N(M340)))</f>
        <v/>
      </c>
      <c r="R340" s="96">
        <f>IF(COUNTA(B340:C340,G340:H340,J340:K340)&gt;0,1,0)</f>
        <v>0</v>
      </c>
      <c r="S340" s="96" t="str">
        <f>IF(B340="","",TRIM(LEFT(B340,FIND(" |",B340&amp;" |")-1)))</f>
        <v/>
      </c>
      <c r="T340" s="96" t="str">
        <f>IF(S340="","",IFERROR(MATCH(S340,'MTRs'!$A$6:$A$505,0),""))</f>
        <v/>
      </c>
      <c r="U340" s="96">
        <f>IF(T340="",0,IF(INDEX('MTRs'!$Z$6:$Z$505,T340)=1,1,0))</f>
        <v>0</v>
      </c>
      <c r="V340" s="96">
        <f>IF(C340="",0,IF(ISNUMBER(MATCH(C340,'CAD_RESÍDUOS'!$B$6:$B$205,0)),1,0))</f>
        <v>0</v>
      </c>
      <c r="W340" s="96">
        <f>IF(AND(ISNUMBER(G340),G340&gt;0),1,0)</f>
        <v>0</v>
      </c>
      <c r="X340" s="96" t="str">
        <f>IF(H340="","",IFERROR(IF(ISNUMBER(INDEX(cfg_fac,MATCH(H340,cfg_units,0))),IF(INDEX(cfg_fac,MATCH(H340,cfg_units,0))&gt;0,INDEX(cfg_fac,MATCH(H340,cfg_units,0)),""),""),""))</f>
        <v/>
      </c>
      <c r="Y340" s="96">
        <f>IF(AND(W340=1,ISNUMBER(I340)),1,0)</f>
        <v>0</v>
      </c>
      <c r="Z340" s="96">
        <f>IF(U340=1,INDEX('MTRs'!$AA$6:$AA$505,T340),0)</f>
        <v>0</v>
      </c>
      <c r="AA340" s="96">
        <f>IF(R340=0,0,COUNTIFS('RECEBIMENTOS'!$R$6:$R$1005,A340,'RECEBIMENTOS'!$Q$6:$Q$1005,1))</f>
        <v>0</v>
      </c>
      <c r="AB340" s="96">
        <f>IF(R340=0,0,COUNTIFS('RECEBIMENTOS'!$R$6:$R$1005,A340,'RECEBIMENTOS'!$Z$6:$Z$1005,1))</f>
        <v>0</v>
      </c>
      <c r="AC340" s="96">
        <f>IF(R340=0,0,COUNTIFS('RECEBIMENTOS'!$R$6:$R$1005,A340,'RECEBIMENTOS'!$Y$6:$Y$1005,1))</f>
        <v>0</v>
      </c>
      <c r="AD340" s="96">
        <f>IF(R340=0,0,COUNTIFS('VÍNCULOS_CDF'!$R$6:$R$1005,A340,'VÍNCULOS_CDF'!$N$6:$N$1005,1))</f>
        <v>0</v>
      </c>
      <c r="AE340" s="96">
        <f>IF(R340=0,0,COUNTIFS('VÍNCULOS_CDF'!$R$6:$R$1005,A340,'VÍNCULOS_CDF'!$AA$6:$AA$1005,1))</f>
        <v>0</v>
      </c>
      <c r="AF340" s="96">
        <f>IF(R340=0,0,COUNTIFS('VÍNCULOS_CDF'!$R$6:$R$1005,A340,'VÍNCULOS_CDF'!$Y$6:$Y$1005,1))</f>
        <v>0</v>
      </c>
      <c r="AG340" s="96" t="str">
        <f>IF(AND(R340=1,S340&lt;&gt;"",C340&lt;&gt;""),S340&amp;"|"&amp;C340&amp;"|"&amp;G340&amp;"|"&amp;H340,"")</f>
        <v/>
      </c>
      <c r="AH340" s="96">
        <f>IF(AG340="",0,IF(SUMPRODUCT(--($AG$6:$AG$1005=AG340))&gt;1,1,0))</f>
        <v>0</v>
      </c>
      <c r="AI340" s="96">
        <f>IF(R340=0,0,IF(OR(U340=0,V340=0,Y340=0,AND(AH340=1,K340&lt;&gt;"Sim")),1,0))</f>
        <v>0</v>
      </c>
      <c r="AJ340" s="96">
        <f>IF(AND(R340=1,AA340&gt;0,AB340=AA340),1,0)</f>
        <v>0</v>
      </c>
      <c r="AK340" s="96">
        <f>IF(R340=0,0,IF(AA340&gt;0,N(L340),IF(ISNUMBER(I340),I340,0)))</f>
        <v>0</v>
      </c>
      <c r="AL340" s="96">
        <f>IF(R340=0,0,IF(AND(K340&lt;&gt;"Sim",N(M340)&gt;AK340+cfg_tol),1,0))</f>
        <v>0</v>
      </c>
      <c r="AM340" s="96">
        <f>IF(R340=0,0,IF(K340="Sim",0,IF(OR(AND(AA340&gt;0,ISNUMBER(I340),ABS(I340-N(L340))&gt;cfg_tol),AL340=1),1,0)))</f>
        <v>0</v>
      </c>
      <c r="AN340" s="96">
        <f>IF(AND(R340=1,N(M340)&gt;0,OR(N(M340)&gt;=AK340-cfg_tol,K340="Sim")),1,0)</f>
        <v>0</v>
      </c>
      <c r="AO340" s="96">
        <f>IF(AND(AN340=1,AD340&gt;0,AE340=AD340,AL340=0),1,0)</f>
        <v>0</v>
      </c>
      <c r="AP340" s="96">
        <f>IF(U340=0,0,IF(AND(INDEX('MTRs'!$AX$6:$AX$505,T340)=1,Z340=0,OR(f_res="",f_res="(Todos)",C340=f_res)),1,0))</f>
        <v>0</v>
      </c>
      <c r="AQ340" s="97" t="str">
        <f>IF(U340=0,"",INDEX('MTRs'!$AZ$6:$AZ$505,T340))</f>
        <v/>
      </c>
      <c r="AR340" s="96">
        <f>IF(U340=0,0,IF(AND(INDEX('MTRs'!$BA$6:$BA$505,T340)=1,Z340=0),1,0))</f>
        <v>0</v>
      </c>
      <c r="AS340" s="96" t="str">
        <f>IF(R340=1,A340&amp;" | MTR "&amp;IF(U340=1,INDEX('MTRs'!$B$6:$B$505,T340)&amp;"","?")&amp;" | "&amp;IF(C340="","(sem resíduo)",C340),"")</f>
        <v/>
      </c>
      <c r="AT340" s="96" t="str">
        <f>IF(R340=1,COUNTIF($R$6:R340,1),"")</f>
        <v/>
      </c>
      <c r="AU340" s="96" t="str">
        <f>IF(U340=1,INDEX('MTRs'!$I$6:$I$505,T340)&amp;"","")</f>
        <v/>
      </c>
    </row>
    <row r="341">
      <c r="A341" s="89" t="inlineStr">
        <is>
          <t>IT-000336</t>
        </is>
      </c>
      <c r="B341" s="91" t="n"/>
      <c r="C341" s="91" t="n"/>
      <c r="D341" s="94" t="str">
        <f>IF(OR(R341=0,V341=0),"",INDEX('CAD_RESÍDUOS'!$E$6:$E$205,MATCH(C341,'CAD_RESÍDUOS'!$B$6:$B$205,0))&amp;"")</f>
        <v/>
      </c>
      <c r="E341" s="94" t="str">
        <f>IF(OR(R341=0,V341=0),"",INDEX('CAD_RESÍDUOS'!$C$6:$C$205,MATCH(C341,'CAD_RESÍDUOS'!$B$6:$B$205,0))&amp;"")</f>
        <v/>
      </c>
      <c r="F341" s="94" t="str">
        <f>IF(OR(R341=0,V341=0),"",INDEX('CAD_RESÍDUOS'!$G$6:$G$205,MATCH(C341,'CAD_RESÍDUOS'!$B$6:$B$205,0))&amp;"")</f>
        <v/>
      </c>
      <c r="G341" s="98" t="n"/>
      <c r="H341" s="91" t="n"/>
      <c r="I341" s="93" t="str">
        <f>IF(R341=0,"",IF(NOT(ISNUMBER(G341)),"",IF(ISNUMBER(X341),G341*X341,"UNIDADE A CONFERIR")))</f>
        <v/>
      </c>
      <c r="J341" s="91" t="n"/>
      <c r="K341" s="91" t="n"/>
      <c r="L341" s="93" t="str">
        <f>IF(R341=0,"",SUMIFS('RECEBIMENTOS'!$H$6:$H$1005,'RECEBIMENTOS'!$R$6:$R$1005,A341,'RECEBIMENTOS'!$X$6:$X$1005,1))</f>
        <v/>
      </c>
      <c r="M341" s="93" t="str">
        <f>IF(R341=0,"",SUMIFS('VÍNCULOS_CDF'!$H$6:$H$1005,'VÍNCULOS_CDF'!$R$6:$R$1005,A341,'VÍNCULOS_CDF'!$V$6:$V$1005,1))</f>
        <v/>
      </c>
      <c r="N341" s="99" t="str">
        <f>IF(OR(R341=0,AA341=0,NOT(ISNUMBER(I341))),"",I341-N(L341))</f>
        <v/>
      </c>
      <c r="O341" s="100" t="str">
        <f>IF(OR(R341=0,AK341&lt;=0),"",N(M341)/AK341)</f>
        <v/>
      </c>
      <c r="P341" s="94" t="str">
        <f>IF(R341=0,"",IF(S341="","Sem MTR associado",IF(U341=0,"MTR inexistente",IF(C341="","Resíduo não identificado",IF(V341=0,"Resíduo fora do cadastro",IF(W341=0,"Quantidade inválida",IF(H341="","Unidade não informada",IF(NOT(ISNUMBER(I341)),"Unidade a conferir",IF(AND(AH341=1,K341&lt;&gt;"Sim"),"Possível duplicidade",IF(Z341=1,"MTR cancelado",IF(AC341&gt;0,"Recebimento com alerta",IF(AA341=0,"Aguardando recebimento",IF(AB341&lt;AA341,"Recebimento a conferir",IF(AM341=1,"Quantidade a revisar",IF(AF341&gt;0,"Vínculo a revisar",IF(AD341=0,"Aguardando CDF",IF(AN341=0,"Vínculo de CDF parcial",IF(AE341&lt;AD341,"CDF a conferir","Documentação conferida"))))))))))))))))))</f>
        <v/>
      </c>
      <c r="Q341" s="93" t="str">
        <f>IF(OR(R341=0,AA341=0),"",MAX(0,N(L341)-N(M341)))</f>
        <v/>
      </c>
      <c r="R341" s="96">
        <f>IF(COUNTA(B341:C341,G341:H341,J341:K341)&gt;0,1,0)</f>
        <v>0</v>
      </c>
      <c r="S341" s="96" t="str">
        <f>IF(B341="","",TRIM(LEFT(B341,FIND(" |",B341&amp;" |")-1)))</f>
        <v/>
      </c>
      <c r="T341" s="96" t="str">
        <f>IF(S341="","",IFERROR(MATCH(S341,'MTRs'!$A$6:$A$505,0),""))</f>
        <v/>
      </c>
      <c r="U341" s="96">
        <f>IF(T341="",0,IF(INDEX('MTRs'!$Z$6:$Z$505,T341)=1,1,0))</f>
        <v>0</v>
      </c>
      <c r="V341" s="96">
        <f>IF(C341="",0,IF(ISNUMBER(MATCH(C341,'CAD_RESÍDUOS'!$B$6:$B$205,0)),1,0))</f>
        <v>0</v>
      </c>
      <c r="W341" s="96">
        <f>IF(AND(ISNUMBER(G341),G341&gt;0),1,0)</f>
        <v>0</v>
      </c>
      <c r="X341" s="96" t="str">
        <f>IF(H341="","",IFERROR(IF(ISNUMBER(INDEX(cfg_fac,MATCH(H341,cfg_units,0))),IF(INDEX(cfg_fac,MATCH(H341,cfg_units,0))&gt;0,INDEX(cfg_fac,MATCH(H341,cfg_units,0)),""),""),""))</f>
        <v/>
      </c>
      <c r="Y341" s="96">
        <f>IF(AND(W341=1,ISNUMBER(I341)),1,0)</f>
        <v>0</v>
      </c>
      <c r="Z341" s="96">
        <f>IF(U341=1,INDEX('MTRs'!$AA$6:$AA$505,T341),0)</f>
        <v>0</v>
      </c>
      <c r="AA341" s="96">
        <f>IF(R341=0,0,COUNTIFS('RECEBIMENTOS'!$R$6:$R$1005,A341,'RECEBIMENTOS'!$Q$6:$Q$1005,1))</f>
        <v>0</v>
      </c>
      <c r="AB341" s="96">
        <f>IF(R341=0,0,COUNTIFS('RECEBIMENTOS'!$R$6:$R$1005,A341,'RECEBIMENTOS'!$Z$6:$Z$1005,1))</f>
        <v>0</v>
      </c>
      <c r="AC341" s="96">
        <f>IF(R341=0,0,COUNTIFS('RECEBIMENTOS'!$R$6:$R$1005,A341,'RECEBIMENTOS'!$Y$6:$Y$1005,1))</f>
        <v>0</v>
      </c>
      <c r="AD341" s="96">
        <f>IF(R341=0,0,COUNTIFS('VÍNCULOS_CDF'!$R$6:$R$1005,A341,'VÍNCULOS_CDF'!$N$6:$N$1005,1))</f>
        <v>0</v>
      </c>
      <c r="AE341" s="96">
        <f>IF(R341=0,0,COUNTIFS('VÍNCULOS_CDF'!$R$6:$R$1005,A341,'VÍNCULOS_CDF'!$AA$6:$AA$1005,1))</f>
        <v>0</v>
      </c>
      <c r="AF341" s="96">
        <f>IF(R341=0,0,COUNTIFS('VÍNCULOS_CDF'!$R$6:$R$1005,A341,'VÍNCULOS_CDF'!$Y$6:$Y$1005,1))</f>
        <v>0</v>
      </c>
      <c r="AG341" s="96" t="str">
        <f>IF(AND(R341=1,S341&lt;&gt;"",C341&lt;&gt;""),S341&amp;"|"&amp;C341&amp;"|"&amp;G341&amp;"|"&amp;H341,"")</f>
        <v/>
      </c>
      <c r="AH341" s="96">
        <f>IF(AG341="",0,IF(SUMPRODUCT(--($AG$6:$AG$1005=AG341))&gt;1,1,0))</f>
        <v>0</v>
      </c>
      <c r="AI341" s="96">
        <f>IF(R341=0,0,IF(OR(U341=0,V341=0,Y341=0,AND(AH341=1,K341&lt;&gt;"Sim")),1,0))</f>
        <v>0</v>
      </c>
      <c r="AJ341" s="96">
        <f>IF(AND(R341=1,AA341&gt;0,AB341=AA341),1,0)</f>
        <v>0</v>
      </c>
      <c r="AK341" s="96">
        <f>IF(R341=0,0,IF(AA341&gt;0,N(L341),IF(ISNUMBER(I341),I341,0)))</f>
        <v>0</v>
      </c>
      <c r="AL341" s="96">
        <f>IF(R341=0,0,IF(AND(K341&lt;&gt;"Sim",N(M341)&gt;AK341+cfg_tol),1,0))</f>
        <v>0</v>
      </c>
      <c r="AM341" s="96">
        <f>IF(R341=0,0,IF(K341="Sim",0,IF(OR(AND(AA341&gt;0,ISNUMBER(I341),ABS(I341-N(L341))&gt;cfg_tol),AL341=1),1,0)))</f>
        <v>0</v>
      </c>
      <c r="AN341" s="96">
        <f>IF(AND(R341=1,N(M341)&gt;0,OR(N(M341)&gt;=AK341-cfg_tol,K341="Sim")),1,0)</f>
        <v>0</v>
      </c>
      <c r="AO341" s="96">
        <f>IF(AND(AN341=1,AD341&gt;0,AE341=AD341,AL341=0),1,0)</f>
        <v>0</v>
      </c>
      <c r="AP341" s="96">
        <f>IF(U341=0,0,IF(AND(INDEX('MTRs'!$AX$6:$AX$505,T341)=1,Z341=0,OR(f_res="",f_res="(Todos)",C341=f_res)),1,0))</f>
        <v>0</v>
      </c>
      <c r="AQ341" s="97" t="str">
        <f>IF(U341=0,"",INDEX('MTRs'!$AZ$6:$AZ$505,T341))</f>
        <v/>
      </c>
      <c r="AR341" s="96">
        <f>IF(U341=0,0,IF(AND(INDEX('MTRs'!$BA$6:$BA$505,T341)=1,Z341=0),1,0))</f>
        <v>0</v>
      </c>
      <c r="AS341" s="96" t="str">
        <f>IF(R341=1,A341&amp;" | MTR "&amp;IF(U341=1,INDEX('MTRs'!$B$6:$B$505,T341)&amp;"","?")&amp;" | "&amp;IF(C341="","(sem resíduo)",C341),"")</f>
        <v/>
      </c>
      <c r="AT341" s="96" t="str">
        <f>IF(R341=1,COUNTIF($R$6:R341,1),"")</f>
        <v/>
      </c>
      <c r="AU341" s="96" t="str">
        <f>IF(U341=1,INDEX('MTRs'!$I$6:$I$505,T341)&amp;"","")</f>
        <v/>
      </c>
    </row>
    <row r="342">
      <c r="A342" s="89" t="inlineStr">
        <is>
          <t>IT-000337</t>
        </is>
      </c>
      <c r="B342" s="91" t="n"/>
      <c r="C342" s="91" t="n"/>
      <c r="D342" s="94" t="str">
        <f>IF(OR(R342=0,V342=0),"",INDEX('CAD_RESÍDUOS'!$E$6:$E$205,MATCH(C342,'CAD_RESÍDUOS'!$B$6:$B$205,0))&amp;"")</f>
        <v/>
      </c>
      <c r="E342" s="94" t="str">
        <f>IF(OR(R342=0,V342=0),"",INDEX('CAD_RESÍDUOS'!$C$6:$C$205,MATCH(C342,'CAD_RESÍDUOS'!$B$6:$B$205,0))&amp;"")</f>
        <v/>
      </c>
      <c r="F342" s="94" t="str">
        <f>IF(OR(R342=0,V342=0),"",INDEX('CAD_RESÍDUOS'!$G$6:$G$205,MATCH(C342,'CAD_RESÍDUOS'!$B$6:$B$205,0))&amp;"")</f>
        <v/>
      </c>
      <c r="G342" s="98" t="n"/>
      <c r="H342" s="91" t="n"/>
      <c r="I342" s="93" t="str">
        <f>IF(R342=0,"",IF(NOT(ISNUMBER(G342)),"",IF(ISNUMBER(X342),G342*X342,"UNIDADE A CONFERIR")))</f>
        <v/>
      </c>
      <c r="J342" s="91" t="n"/>
      <c r="K342" s="91" t="n"/>
      <c r="L342" s="93" t="str">
        <f>IF(R342=0,"",SUMIFS('RECEBIMENTOS'!$H$6:$H$1005,'RECEBIMENTOS'!$R$6:$R$1005,A342,'RECEBIMENTOS'!$X$6:$X$1005,1))</f>
        <v/>
      </c>
      <c r="M342" s="93" t="str">
        <f>IF(R342=0,"",SUMIFS('VÍNCULOS_CDF'!$H$6:$H$1005,'VÍNCULOS_CDF'!$R$6:$R$1005,A342,'VÍNCULOS_CDF'!$V$6:$V$1005,1))</f>
        <v/>
      </c>
      <c r="N342" s="99" t="str">
        <f>IF(OR(R342=0,AA342=0,NOT(ISNUMBER(I342))),"",I342-N(L342))</f>
        <v/>
      </c>
      <c r="O342" s="100" t="str">
        <f>IF(OR(R342=0,AK342&lt;=0),"",N(M342)/AK342)</f>
        <v/>
      </c>
      <c r="P342" s="94" t="str">
        <f>IF(R342=0,"",IF(S342="","Sem MTR associado",IF(U342=0,"MTR inexistente",IF(C342="","Resíduo não identificado",IF(V342=0,"Resíduo fora do cadastro",IF(W342=0,"Quantidade inválida",IF(H342="","Unidade não informada",IF(NOT(ISNUMBER(I342)),"Unidade a conferir",IF(AND(AH342=1,K342&lt;&gt;"Sim"),"Possível duplicidade",IF(Z342=1,"MTR cancelado",IF(AC342&gt;0,"Recebimento com alerta",IF(AA342=0,"Aguardando recebimento",IF(AB342&lt;AA342,"Recebimento a conferir",IF(AM342=1,"Quantidade a revisar",IF(AF342&gt;0,"Vínculo a revisar",IF(AD342=0,"Aguardando CDF",IF(AN342=0,"Vínculo de CDF parcial",IF(AE342&lt;AD342,"CDF a conferir","Documentação conferida"))))))))))))))))))</f>
        <v/>
      </c>
      <c r="Q342" s="93" t="str">
        <f>IF(OR(R342=0,AA342=0),"",MAX(0,N(L342)-N(M342)))</f>
        <v/>
      </c>
      <c r="R342" s="96">
        <f>IF(COUNTA(B342:C342,G342:H342,J342:K342)&gt;0,1,0)</f>
        <v>0</v>
      </c>
      <c r="S342" s="96" t="str">
        <f>IF(B342="","",TRIM(LEFT(B342,FIND(" |",B342&amp;" |")-1)))</f>
        <v/>
      </c>
      <c r="T342" s="96" t="str">
        <f>IF(S342="","",IFERROR(MATCH(S342,'MTRs'!$A$6:$A$505,0),""))</f>
        <v/>
      </c>
      <c r="U342" s="96">
        <f>IF(T342="",0,IF(INDEX('MTRs'!$Z$6:$Z$505,T342)=1,1,0))</f>
        <v>0</v>
      </c>
      <c r="V342" s="96">
        <f>IF(C342="",0,IF(ISNUMBER(MATCH(C342,'CAD_RESÍDUOS'!$B$6:$B$205,0)),1,0))</f>
        <v>0</v>
      </c>
      <c r="W342" s="96">
        <f>IF(AND(ISNUMBER(G342),G342&gt;0),1,0)</f>
        <v>0</v>
      </c>
      <c r="X342" s="96" t="str">
        <f>IF(H342="","",IFERROR(IF(ISNUMBER(INDEX(cfg_fac,MATCH(H342,cfg_units,0))),IF(INDEX(cfg_fac,MATCH(H342,cfg_units,0))&gt;0,INDEX(cfg_fac,MATCH(H342,cfg_units,0)),""),""),""))</f>
        <v/>
      </c>
      <c r="Y342" s="96">
        <f>IF(AND(W342=1,ISNUMBER(I342)),1,0)</f>
        <v>0</v>
      </c>
      <c r="Z342" s="96">
        <f>IF(U342=1,INDEX('MTRs'!$AA$6:$AA$505,T342),0)</f>
        <v>0</v>
      </c>
      <c r="AA342" s="96">
        <f>IF(R342=0,0,COUNTIFS('RECEBIMENTOS'!$R$6:$R$1005,A342,'RECEBIMENTOS'!$Q$6:$Q$1005,1))</f>
        <v>0</v>
      </c>
      <c r="AB342" s="96">
        <f>IF(R342=0,0,COUNTIFS('RECEBIMENTOS'!$R$6:$R$1005,A342,'RECEBIMENTOS'!$Z$6:$Z$1005,1))</f>
        <v>0</v>
      </c>
      <c r="AC342" s="96">
        <f>IF(R342=0,0,COUNTIFS('RECEBIMENTOS'!$R$6:$R$1005,A342,'RECEBIMENTOS'!$Y$6:$Y$1005,1))</f>
        <v>0</v>
      </c>
      <c r="AD342" s="96">
        <f>IF(R342=0,0,COUNTIFS('VÍNCULOS_CDF'!$R$6:$R$1005,A342,'VÍNCULOS_CDF'!$N$6:$N$1005,1))</f>
        <v>0</v>
      </c>
      <c r="AE342" s="96">
        <f>IF(R342=0,0,COUNTIFS('VÍNCULOS_CDF'!$R$6:$R$1005,A342,'VÍNCULOS_CDF'!$AA$6:$AA$1005,1))</f>
        <v>0</v>
      </c>
      <c r="AF342" s="96">
        <f>IF(R342=0,0,COUNTIFS('VÍNCULOS_CDF'!$R$6:$R$1005,A342,'VÍNCULOS_CDF'!$Y$6:$Y$1005,1))</f>
        <v>0</v>
      </c>
      <c r="AG342" s="96" t="str">
        <f>IF(AND(R342=1,S342&lt;&gt;"",C342&lt;&gt;""),S342&amp;"|"&amp;C342&amp;"|"&amp;G342&amp;"|"&amp;H342,"")</f>
        <v/>
      </c>
      <c r="AH342" s="96">
        <f>IF(AG342="",0,IF(SUMPRODUCT(--($AG$6:$AG$1005=AG342))&gt;1,1,0))</f>
        <v>0</v>
      </c>
      <c r="AI342" s="96">
        <f>IF(R342=0,0,IF(OR(U342=0,V342=0,Y342=0,AND(AH342=1,K342&lt;&gt;"Sim")),1,0))</f>
        <v>0</v>
      </c>
      <c r="AJ342" s="96">
        <f>IF(AND(R342=1,AA342&gt;0,AB342=AA342),1,0)</f>
        <v>0</v>
      </c>
      <c r="AK342" s="96">
        <f>IF(R342=0,0,IF(AA342&gt;0,N(L342),IF(ISNUMBER(I342),I342,0)))</f>
        <v>0</v>
      </c>
      <c r="AL342" s="96">
        <f>IF(R342=0,0,IF(AND(K342&lt;&gt;"Sim",N(M342)&gt;AK342+cfg_tol),1,0))</f>
        <v>0</v>
      </c>
      <c r="AM342" s="96">
        <f>IF(R342=0,0,IF(K342="Sim",0,IF(OR(AND(AA342&gt;0,ISNUMBER(I342),ABS(I342-N(L342))&gt;cfg_tol),AL342=1),1,0)))</f>
        <v>0</v>
      </c>
      <c r="AN342" s="96">
        <f>IF(AND(R342=1,N(M342)&gt;0,OR(N(M342)&gt;=AK342-cfg_tol,K342="Sim")),1,0)</f>
        <v>0</v>
      </c>
      <c r="AO342" s="96">
        <f>IF(AND(AN342=1,AD342&gt;0,AE342=AD342,AL342=0),1,0)</f>
        <v>0</v>
      </c>
      <c r="AP342" s="96">
        <f>IF(U342=0,0,IF(AND(INDEX('MTRs'!$AX$6:$AX$505,T342)=1,Z342=0,OR(f_res="",f_res="(Todos)",C342=f_res)),1,0))</f>
        <v>0</v>
      </c>
      <c r="AQ342" s="97" t="str">
        <f>IF(U342=0,"",INDEX('MTRs'!$AZ$6:$AZ$505,T342))</f>
        <v/>
      </c>
      <c r="AR342" s="96">
        <f>IF(U342=0,0,IF(AND(INDEX('MTRs'!$BA$6:$BA$505,T342)=1,Z342=0),1,0))</f>
        <v>0</v>
      </c>
      <c r="AS342" s="96" t="str">
        <f>IF(R342=1,A342&amp;" | MTR "&amp;IF(U342=1,INDEX('MTRs'!$B$6:$B$505,T342)&amp;"","?")&amp;" | "&amp;IF(C342="","(sem resíduo)",C342),"")</f>
        <v/>
      </c>
      <c r="AT342" s="96" t="str">
        <f>IF(R342=1,COUNTIF($R$6:R342,1),"")</f>
        <v/>
      </c>
      <c r="AU342" s="96" t="str">
        <f>IF(U342=1,INDEX('MTRs'!$I$6:$I$505,T342)&amp;"","")</f>
        <v/>
      </c>
    </row>
    <row r="343">
      <c r="A343" s="89" t="inlineStr">
        <is>
          <t>IT-000338</t>
        </is>
      </c>
      <c r="B343" s="91" t="n"/>
      <c r="C343" s="91" t="n"/>
      <c r="D343" s="94" t="str">
        <f>IF(OR(R343=0,V343=0),"",INDEX('CAD_RESÍDUOS'!$E$6:$E$205,MATCH(C343,'CAD_RESÍDUOS'!$B$6:$B$205,0))&amp;"")</f>
        <v/>
      </c>
      <c r="E343" s="94" t="str">
        <f>IF(OR(R343=0,V343=0),"",INDEX('CAD_RESÍDUOS'!$C$6:$C$205,MATCH(C343,'CAD_RESÍDUOS'!$B$6:$B$205,0))&amp;"")</f>
        <v/>
      </c>
      <c r="F343" s="94" t="str">
        <f>IF(OR(R343=0,V343=0),"",INDEX('CAD_RESÍDUOS'!$G$6:$G$205,MATCH(C343,'CAD_RESÍDUOS'!$B$6:$B$205,0))&amp;"")</f>
        <v/>
      </c>
      <c r="G343" s="98" t="n"/>
      <c r="H343" s="91" t="n"/>
      <c r="I343" s="93" t="str">
        <f>IF(R343=0,"",IF(NOT(ISNUMBER(G343)),"",IF(ISNUMBER(X343),G343*X343,"UNIDADE A CONFERIR")))</f>
        <v/>
      </c>
      <c r="J343" s="91" t="n"/>
      <c r="K343" s="91" t="n"/>
      <c r="L343" s="93" t="str">
        <f>IF(R343=0,"",SUMIFS('RECEBIMENTOS'!$H$6:$H$1005,'RECEBIMENTOS'!$R$6:$R$1005,A343,'RECEBIMENTOS'!$X$6:$X$1005,1))</f>
        <v/>
      </c>
      <c r="M343" s="93" t="str">
        <f>IF(R343=0,"",SUMIFS('VÍNCULOS_CDF'!$H$6:$H$1005,'VÍNCULOS_CDF'!$R$6:$R$1005,A343,'VÍNCULOS_CDF'!$V$6:$V$1005,1))</f>
        <v/>
      </c>
      <c r="N343" s="99" t="str">
        <f>IF(OR(R343=0,AA343=0,NOT(ISNUMBER(I343))),"",I343-N(L343))</f>
        <v/>
      </c>
      <c r="O343" s="100" t="str">
        <f>IF(OR(R343=0,AK343&lt;=0),"",N(M343)/AK343)</f>
        <v/>
      </c>
      <c r="P343" s="94" t="str">
        <f>IF(R343=0,"",IF(S343="","Sem MTR associado",IF(U343=0,"MTR inexistente",IF(C343="","Resíduo não identificado",IF(V343=0,"Resíduo fora do cadastro",IF(W343=0,"Quantidade inválida",IF(H343="","Unidade não informada",IF(NOT(ISNUMBER(I343)),"Unidade a conferir",IF(AND(AH343=1,K343&lt;&gt;"Sim"),"Possível duplicidade",IF(Z343=1,"MTR cancelado",IF(AC343&gt;0,"Recebimento com alerta",IF(AA343=0,"Aguardando recebimento",IF(AB343&lt;AA343,"Recebimento a conferir",IF(AM343=1,"Quantidade a revisar",IF(AF343&gt;0,"Vínculo a revisar",IF(AD343=0,"Aguardando CDF",IF(AN343=0,"Vínculo de CDF parcial",IF(AE343&lt;AD343,"CDF a conferir","Documentação conferida"))))))))))))))))))</f>
        <v/>
      </c>
      <c r="Q343" s="93" t="str">
        <f>IF(OR(R343=0,AA343=0),"",MAX(0,N(L343)-N(M343)))</f>
        <v/>
      </c>
      <c r="R343" s="96">
        <f>IF(COUNTA(B343:C343,G343:H343,J343:K343)&gt;0,1,0)</f>
        <v>0</v>
      </c>
      <c r="S343" s="96" t="str">
        <f>IF(B343="","",TRIM(LEFT(B343,FIND(" |",B343&amp;" |")-1)))</f>
        <v/>
      </c>
      <c r="T343" s="96" t="str">
        <f>IF(S343="","",IFERROR(MATCH(S343,'MTRs'!$A$6:$A$505,0),""))</f>
        <v/>
      </c>
      <c r="U343" s="96">
        <f>IF(T343="",0,IF(INDEX('MTRs'!$Z$6:$Z$505,T343)=1,1,0))</f>
        <v>0</v>
      </c>
      <c r="V343" s="96">
        <f>IF(C343="",0,IF(ISNUMBER(MATCH(C343,'CAD_RESÍDUOS'!$B$6:$B$205,0)),1,0))</f>
        <v>0</v>
      </c>
      <c r="W343" s="96">
        <f>IF(AND(ISNUMBER(G343),G343&gt;0),1,0)</f>
        <v>0</v>
      </c>
      <c r="X343" s="96" t="str">
        <f>IF(H343="","",IFERROR(IF(ISNUMBER(INDEX(cfg_fac,MATCH(H343,cfg_units,0))),IF(INDEX(cfg_fac,MATCH(H343,cfg_units,0))&gt;0,INDEX(cfg_fac,MATCH(H343,cfg_units,0)),""),""),""))</f>
        <v/>
      </c>
      <c r="Y343" s="96">
        <f>IF(AND(W343=1,ISNUMBER(I343)),1,0)</f>
        <v>0</v>
      </c>
      <c r="Z343" s="96">
        <f>IF(U343=1,INDEX('MTRs'!$AA$6:$AA$505,T343),0)</f>
        <v>0</v>
      </c>
      <c r="AA343" s="96">
        <f>IF(R343=0,0,COUNTIFS('RECEBIMENTOS'!$R$6:$R$1005,A343,'RECEBIMENTOS'!$Q$6:$Q$1005,1))</f>
        <v>0</v>
      </c>
      <c r="AB343" s="96">
        <f>IF(R343=0,0,COUNTIFS('RECEBIMENTOS'!$R$6:$R$1005,A343,'RECEBIMENTOS'!$Z$6:$Z$1005,1))</f>
        <v>0</v>
      </c>
      <c r="AC343" s="96">
        <f>IF(R343=0,0,COUNTIFS('RECEBIMENTOS'!$R$6:$R$1005,A343,'RECEBIMENTOS'!$Y$6:$Y$1005,1))</f>
        <v>0</v>
      </c>
      <c r="AD343" s="96">
        <f>IF(R343=0,0,COUNTIFS('VÍNCULOS_CDF'!$R$6:$R$1005,A343,'VÍNCULOS_CDF'!$N$6:$N$1005,1))</f>
        <v>0</v>
      </c>
      <c r="AE343" s="96">
        <f>IF(R343=0,0,COUNTIFS('VÍNCULOS_CDF'!$R$6:$R$1005,A343,'VÍNCULOS_CDF'!$AA$6:$AA$1005,1))</f>
        <v>0</v>
      </c>
      <c r="AF343" s="96">
        <f>IF(R343=0,0,COUNTIFS('VÍNCULOS_CDF'!$R$6:$R$1005,A343,'VÍNCULOS_CDF'!$Y$6:$Y$1005,1))</f>
        <v>0</v>
      </c>
      <c r="AG343" s="96" t="str">
        <f>IF(AND(R343=1,S343&lt;&gt;"",C343&lt;&gt;""),S343&amp;"|"&amp;C343&amp;"|"&amp;G343&amp;"|"&amp;H343,"")</f>
        <v/>
      </c>
      <c r="AH343" s="96">
        <f>IF(AG343="",0,IF(SUMPRODUCT(--($AG$6:$AG$1005=AG343))&gt;1,1,0))</f>
        <v>0</v>
      </c>
      <c r="AI343" s="96">
        <f>IF(R343=0,0,IF(OR(U343=0,V343=0,Y343=0,AND(AH343=1,K343&lt;&gt;"Sim")),1,0))</f>
        <v>0</v>
      </c>
      <c r="AJ343" s="96">
        <f>IF(AND(R343=1,AA343&gt;0,AB343=AA343),1,0)</f>
        <v>0</v>
      </c>
      <c r="AK343" s="96">
        <f>IF(R343=0,0,IF(AA343&gt;0,N(L343),IF(ISNUMBER(I343),I343,0)))</f>
        <v>0</v>
      </c>
      <c r="AL343" s="96">
        <f>IF(R343=0,0,IF(AND(K343&lt;&gt;"Sim",N(M343)&gt;AK343+cfg_tol),1,0))</f>
        <v>0</v>
      </c>
      <c r="AM343" s="96">
        <f>IF(R343=0,0,IF(K343="Sim",0,IF(OR(AND(AA343&gt;0,ISNUMBER(I343),ABS(I343-N(L343))&gt;cfg_tol),AL343=1),1,0)))</f>
        <v>0</v>
      </c>
      <c r="AN343" s="96">
        <f>IF(AND(R343=1,N(M343)&gt;0,OR(N(M343)&gt;=AK343-cfg_tol,K343="Sim")),1,0)</f>
        <v>0</v>
      </c>
      <c r="AO343" s="96">
        <f>IF(AND(AN343=1,AD343&gt;0,AE343=AD343,AL343=0),1,0)</f>
        <v>0</v>
      </c>
      <c r="AP343" s="96">
        <f>IF(U343=0,0,IF(AND(INDEX('MTRs'!$AX$6:$AX$505,T343)=1,Z343=0,OR(f_res="",f_res="(Todos)",C343=f_res)),1,0))</f>
        <v>0</v>
      </c>
      <c r="AQ343" s="97" t="str">
        <f>IF(U343=0,"",INDEX('MTRs'!$AZ$6:$AZ$505,T343))</f>
        <v/>
      </c>
      <c r="AR343" s="96">
        <f>IF(U343=0,0,IF(AND(INDEX('MTRs'!$BA$6:$BA$505,T343)=1,Z343=0),1,0))</f>
        <v>0</v>
      </c>
      <c r="AS343" s="96" t="str">
        <f>IF(R343=1,A343&amp;" | MTR "&amp;IF(U343=1,INDEX('MTRs'!$B$6:$B$505,T343)&amp;"","?")&amp;" | "&amp;IF(C343="","(sem resíduo)",C343),"")</f>
        <v/>
      </c>
      <c r="AT343" s="96" t="str">
        <f>IF(R343=1,COUNTIF($R$6:R343,1),"")</f>
        <v/>
      </c>
      <c r="AU343" s="96" t="str">
        <f>IF(U343=1,INDEX('MTRs'!$I$6:$I$505,T343)&amp;"","")</f>
        <v/>
      </c>
    </row>
    <row r="344">
      <c r="A344" s="89" t="inlineStr">
        <is>
          <t>IT-000339</t>
        </is>
      </c>
      <c r="B344" s="91" t="n"/>
      <c r="C344" s="91" t="n"/>
      <c r="D344" s="94" t="str">
        <f>IF(OR(R344=0,V344=0),"",INDEX('CAD_RESÍDUOS'!$E$6:$E$205,MATCH(C344,'CAD_RESÍDUOS'!$B$6:$B$205,0))&amp;"")</f>
        <v/>
      </c>
      <c r="E344" s="94" t="str">
        <f>IF(OR(R344=0,V344=0),"",INDEX('CAD_RESÍDUOS'!$C$6:$C$205,MATCH(C344,'CAD_RESÍDUOS'!$B$6:$B$205,0))&amp;"")</f>
        <v/>
      </c>
      <c r="F344" s="94" t="str">
        <f>IF(OR(R344=0,V344=0),"",INDEX('CAD_RESÍDUOS'!$G$6:$G$205,MATCH(C344,'CAD_RESÍDUOS'!$B$6:$B$205,0))&amp;"")</f>
        <v/>
      </c>
      <c r="G344" s="98" t="n"/>
      <c r="H344" s="91" t="n"/>
      <c r="I344" s="93" t="str">
        <f>IF(R344=0,"",IF(NOT(ISNUMBER(G344)),"",IF(ISNUMBER(X344),G344*X344,"UNIDADE A CONFERIR")))</f>
        <v/>
      </c>
      <c r="J344" s="91" t="n"/>
      <c r="K344" s="91" t="n"/>
      <c r="L344" s="93" t="str">
        <f>IF(R344=0,"",SUMIFS('RECEBIMENTOS'!$H$6:$H$1005,'RECEBIMENTOS'!$R$6:$R$1005,A344,'RECEBIMENTOS'!$X$6:$X$1005,1))</f>
        <v/>
      </c>
      <c r="M344" s="93" t="str">
        <f>IF(R344=0,"",SUMIFS('VÍNCULOS_CDF'!$H$6:$H$1005,'VÍNCULOS_CDF'!$R$6:$R$1005,A344,'VÍNCULOS_CDF'!$V$6:$V$1005,1))</f>
        <v/>
      </c>
      <c r="N344" s="99" t="str">
        <f>IF(OR(R344=0,AA344=0,NOT(ISNUMBER(I344))),"",I344-N(L344))</f>
        <v/>
      </c>
      <c r="O344" s="100" t="str">
        <f>IF(OR(R344=0,AK344&lt;=0),"",N(M344)/AK344)</f>
        <v/>
      </c>
      <c r="P344" s="94" t="str">
        <f>IF(R344=0,"",IF(S344="","Sem MTR associado",IF(U344=0,"MTR inexistente",IF(C344="","Resíduo não identificado",IF(V344=0,"Resíduo fora do cadastro",IF(W344=0,"Quantidade inválida",IF(H344="","Unidade não informada",IF(NOT(ISNUMBER(I344)),"Unidade a conferir",IF(AND(AH344=1,K344&lt;&gt;"Sim"),"Possível duplicidade",IF(Z344=1,"MTR cancelado",IF(AC344&gt;0,"Recebimento com alerta",IF(AA344=0,"Aguardando recebimento",IF(AB344&lt;AA344,"Recebimento a conferir",IF(AM344=1,"Quantidade a revisar",IF(AF344&gt;0,"Vínculo a revisar",IF(AD344=0,"Aguardando CDF",IF(AN344=0,"Vínculo de CDF parcial",IF(AE344&lt;AD344,"CDF a conferir","Documentação conferida"))))))))))))))))))</f>
        <v/>
      </c>
      <c r="Q344" s="93" t="str">
        <f>IF(OR(R344=0,AA344=0),"",MAX(0,N(L344)-N(M344)))</f>
        <v/>
      </c>
      <c r="R344" s="96">
        <f>IF(COUNTA(B344:C344,G344:H344,J344:K344)&gt;0,1,0)</f>
        <v>0</v>
      </c>
      <c r="S344" s="96" t="str">
        <f>IF(B344="","",TRIM(LEFT(B344,FIND(" |",B344&amp;" |")-1)))</f>
        <v/>
      </c>
      <c r="T344" s="96" t="str">
        <f>IF(S344="","",IFERROR(MATCH(S344,'MTRs'!$A$6:$A$505,0),""))</f>
        <v/>
      </c>
      <c r="U344" s="96">
        <f>IF(T344="",0,IF(INDEX('MTRs'!$Z$6:$Z$505,T344)=1,1,0))</f>
        <v>0</v>
      </c>
      <c r="V344" s="96">
        <f>IF(C344="",0,IF(ISNUMBER(MATCH(C344,'CAD_RESÍDUOS'!$B$6:$B$205,0)),1,0))</f>
        <v>0</v>
      </c>
      <c r="W344" s="96">
        <f>IF(AND(ISNUMBER(G344),G344&gt;0),1,0)</f>
        <v>0</v>
      </c>
      <c r="X344" s="96" t="str">
        <f>IF(H344="","",IFERROR(IF(ISNUMBER(INDEX(cfg_fac,MATCH(H344,cfg_units,0))),IF(INDEX(cfg_fac,MATCH(H344,cfg_units,0))&gt;0,INDEX(cfg_fac,MATCH(H344,cfg_units,0)),""),""),""))</f>
        <v/>
      </c>
      <c r="Y344" s="96">
        <f>IF(AND(W344=1,ISNUMBER(I344)),1,0)</f>
        <v>0</v>
      </c>
      <c r="Z344" s="96">
        <f>IF(U344=1,INDEX('MTRs'!$AA$6:$AA$505,T344),0)</f>
        <v>0</v>
      </c>
      <c r="AA344" s="96">
        <f>IF(R344=0,0,COUNTIFS('RECEBIMENTOS'!$R$6:$R$1005,A344,'RECEBIMENTOS'!$Q$6:$Q$1005,1))</f>
        <v>0</v>
      </c>
      <c r="AB344" s="96">
        <f>IF(R344=0,0,COUNTIFS('RECEBIMENTOS'!$R$6:$R$1005,A344,'RECEBIMENTOS'!$Z$6:$Z$1005,1))</f>
        <v>0</v>
      </c>
      <c r="AC344" s="96">
        <f>IF(R344=0,0,COUNTIFS('RECEBIMENTOS'!$R$6:$R$1005,A344,'RECEBIMENTOS'!$Y$6:$Y$1005,1))</f>
        <v>0</v>
      </c>
      <c r="AD344" s="96">
        <f>IF(R344=0,0,COUNTIFS('VÍNCULOS_CDF'!$R$6:$R$1005,A344,'VÍNCULOS_CDF'!$N$6:$N$1005,1))</f>
        <v>0</v>
      </c>
      <c r="AE344" s="96">
        <f>IF(R344=0,0,COUNTIFS('VÍNCULOS_CDF'!$R$6:$R$1005,A344,'VÍNCULOS_CDF'!$AA$6:$AA$1005,1))</f>
        <v>0</v>
      </c>
      <c r="AF344" s="96">
        <f>IF(R344=0,0,COUNTIFS('VÍNCULOS_CDF'!$R$6:$R$1005,A344,'VÍNCULOS_CDF'!$Y$6:$Y$1005,1))</f>
        <v>0</v>
      </c>
      <c r="AG344" s="96" t="str">
        <f>IF(AND(R344=1,S344&lt;&gt;"",C344&lt;&gt;""),S344&amp;"|"&amp;C344&amp;"|"&amp;G344&amp;"|"&amp;H344,"")</f>
        <v/>
      </c>
      <c r="AH344" s="96">
        <f>IF(AG344="",0,IF(SUMPRODUCT(--($AG$6:$AG$1005=AG344))&gt;1,1,0))</f>
        <v>0</v>
      </c>
      <c r="AI344" s="96">
        <f>IF(R344=0,0,IF(OR(U344=0,V344=0,Y344=0,AND(AH344=1,K344&lt;&gt;"Sim")),1,0))</f>
        <v>0</v>
      </c>
      <c r="AJ344" s="96">
        <f>IF(AND(R344=1,AA344&gt;0,AB344=AA344),1,0)</f>
        <v>0</v>
      </c>
      <c r="AK344" s="96">
        <f>IF(R344=0,0,IF(AA344&gt;0,N(L344),IF(ISNUMBER(I344),I344,0)))</f>
        <v>0</v>
      </c>
      <c r="AL344" s="96">
        <f>IF(R344=0,0,IF(AND(K344&lt;&gt;"Sim",N(M344)&gt;AK344+cfg_tol),1,0))</f>
        <v>0</v>
      </c>
      <c r="AM344" s="96">
        <f>IF(R344=0,0,IF(K344="Sim",0,IF(OR(AND(AA344&gt;0,ISNUMBER(I344),ABS(I344-N(L344))&gt;cfg_tol),AL344=1),1,0)))</f>
        <v>0</v>
      </c>
      <c r="AN344" s="96">
        <f>IF(AND(R344=1,N(M344)&gt;0,OR(N(M344)&gt;=AK344-cfg_tol,K344="Sim")),1,0)</f>
        <v>0</v>
      </c>
      <c r="AO344" s="96">
        <f>IF(AND(AN344=1,AD344&gt;0,AE344=AD344,AL344=0),1,0)</f>
        <v>0</v>
      </c>
      <c r="AP344" s="96">
        <f>IF(U344=0,0,IF(AND(INDEX('MTRs'!$AX$6:$AX$505,T344)=1,Z344=0,OR(f_res="",f_res="(Todos)",C344=f_res)),1,0))</f>
        <v>0</v>
      </c>
      <c r="AQ344" s="97" t="str">
        <f>IF(U344=0,"",INDEX('MTRs'!$AZ$6:$AZ$505,T344))</f>
        <v/>
      </c>
      <c r="AR344" s="96">
        <f>IF(U344=0,0,IF(AND(INDEX('MTRs'!$BA$6:$BA$505,T344)=1,Z344=0),1,0))</f>
        <v>0</v>
      </c>
      <c r="AS344" s="96" t="str">
        <f>IF(R344=1,A344&amp;" | MTR "&amp;IF(U344=1,INDEX('MTRs'!$B$6:$B$505,T344)&amp;"","?")&amp;" | "&amp;IF(C344="","(sem resíduo)",C344),"")</f>
        <v/>
      </c>
      <c r="AT344" s="96" t="str">
        <f>IF(R344=1,COUNTIF($R$6:R344,1),"")</f>
        <v/>
      </c>
      <c r="AU344" s="96" t="str">
        <f>IF(U344=1,INDEX('MTRs'!$I$6:$I$505,T344)&amp;"","")</f>
        <v/>
      </c>
    </row>
    <row r="345">
      <c r="A345" s="89" t="inlineStr">
        <is>
          <t>IT-000340</t>
        </is>
      </c>
      <c r="B345" s="91" t="n"/>
      <c r="C345" s="91" t="n"/>
      <c r="D345" s="94" t="str">
        <f>IF(OR(R345=0,V345=0),"",INDEX('CAD_RESÍDUOS'!$E$6:$E$205,MATCH(C345,'CAD_RESÍDUOS'!$B$6:$B$205,0))&amp;"")</f>
        <v/>
      </c>
      <c r="E345" s="94" t="str">
        <f>IF(OR(R345=0,V345=0),"",INDEX('CAD_RESÍDUOS'!$C$6:$C$205,MATCH(C345,'CAD_RESÍDUOS'!$B$6:$B$205,0))&amp;"")</f>
        <v/>
      </c>
      <c r="F345" s="94" t="str">
        <f>IF(OR(R345=0,V345=0),"",INDEX('CAD_RESÍDUOS'!$G$6:$G$205,MATCH(C345,'CAD_RESÍDUOS'!$B$6:$B$205,0))&amp;"")</f>
        <v/>
      </c>
      <c r="G345" s="98" t="n"/>
      <c r="H345" s="91" t="n"/>
      <c r="I345" s="93" t="str">
        <f>IF(R345=0,"",IF(NOT(ISNUMBER(G345)),"",IF(ISNUMBER(X345),G345*X345,"UNIDADE A CONFERIR")))</f>
        <v/>
      </c>
      <c r="J345" s="91" t="n"/>
      <c r="K345" s="91" t="n"/>
      <c r="L345" s="93" t="str">
        <f>IF(R345=0,"",SUMIFS('RECEBIMENTOS'!$H$6:$H$1005,'RECEBIMENTOS'!$R$6:$R$1005,A345,'RECEBIMENTOS'!$X$6:$X$1005,1))</f>
        <v/>
      </c>
      <c r="M345" s="93" t="str">
        <f>IF(R345=0,"",SUMIFS('VÍNCULOS_CDF'!$H$6:$H$1005,'VÍNCULOS_CDF'!$R$6:$R$1005,A345,'VÍNCULOS_CDF'!$V$6:$V$1005,1))</f>
        <v/>
      </c>
      <c r="N345" s="99" t="str">
        <f>IF(OR(R345=0,AA345=0,NOT(ISNUMBER(I345))),"",I345-N(L345))</f>
        <v/>
      </c>
      <c r="O345" s="100" t="str">
        <f>IF(OR(R345=0,AK345&lt;=0),"",N(M345)/AK345)</f>
        <v/>
      </c>
      <c r="P345" s="94" t="str">
        <f>IF(R345=0,"",IF(S345="","Sem MTR associado",IF(U345=0,"MTR inexistente",IF(C345="","Resíduo não identificado",IF(V345=0,"Resíduo fora do cadastro",IF(W345=0,"Quantidade inválida",IF(H345="","Unidade não informada",IF(NOT(ISNUMBER(I345)),"Unidade a conferir",IF(AND(AH345=1,K345&lt;&gt;"Sim"),"Possível duplicidade",IF(Z345=1,"MTR cancelado",IF(AC345&gt;0,"Recebimento com alerta",IF(AA345=0,"Aguardando recebimento",IF(AB345&lt;AA345,"Recebimento a conferir",IF(AM345=1,"Quantidade a revisar",IF(AF345&gt;0,"Vínculo a revisar",IF(AD345=0,"Aguardando CDF",IF(AN345=0,"Vínculo de CDF parcial",IF(AE345&lt;AD345,"CDF a conferir","Documentação conferida"))))))))))))))))))</f>
        <v/>
      </c>
      <c r="Q345" s="93" t="str">
        <f>IF(OR(R345=0,AA345=0),"",MAX(0,N(L345)-N(M345)))</f>
        <v/>
      </c>
      <c r="R345" s="96">
        <f>IF(COUNTA(B345:C345,G345:H345,J345:K345)&gt;0,1,0)</f>
        <v>0</v>
      </c>
      <c r="S345" s="96" t="str">
        <f>IF(B345="","",TRIM(LEFT(B345,FIND(" |",B345&amp;" |")-1)))</f>
        <v/>
      </c>
      <c r="T345" s="96" t="str">
        <f>IF(S345="","",IFERROR(MATCH(S345,'MTRs'!$A$6:$A$505,0),""))</f>
        <v/>
      </c>
      <c r="U345" s="96">
        <f>IF(T345="",0,IF(INDEX('MTRs'!$Z$6:$Z$505,T345)=1,1,0))</f>
        <v>0</v>
      </c>
      <c r="V345" s="96">
        <f>IF(C345="",0,IF(ISNUMBER(MATCH(C345,'CAD_RESÍDUOS'!$B$6:$B$205,0)),1,0))</f>
        <v>0</v>
      </c>
      <c r="W345" s="96">
        <f>IF(AND(ISNUMBER(G345),G345&gt;0),1,0)</f>
        <v>0</v>
      </c>
      <c r="X345" s="96" t="str">
        <f>IF(H345="","",IFERROR(IF(ISNUMBER(INDEX(cfg_fac,MATCH(H345,cfg_units,0))),IF(INDEX(cfg_fac,MATCH(H345,cfg_units,0))&gt;0,INDEX(cfg_fac,MATCH(H345,cfg_units,0)),""),""),""))</f>
        <v/>
      </c>
      <c r="Y345" s="96">
        <f>IF(AND(W345=1,ISNUMBER(I345)),1,0)</f>
        <v>0</v>
      </c>
      <c r="Z345" s="96">
        <f>IF(U345=1,INDEX('MTRs'!$AA$6:$AA$505,T345),0)</f>
        <v>0</v>
      </c>
      <c r="AA345" s="96">
        <f>IF(R345=0,0,COUNTIFS('RECEBIMENTOS'!$R$6:$R$1005,A345,'RECEBIMENTOS'!$Q$6:$Q$1005,1))</f>
        <v>0</v>
      </c>
      <c r="AB345" s="96">
        <f>IF(R345=0,0,COUNTIFS('RECEBIMENTOS'!$R$6:$R$1005,A345,'RECEBIMENTOS'!$Z$6:$Z$1005,1))</f>
        <v>0</v>
      </c>
      <c r="AC345" s="96">
        <f>IF(R345=0,0,COUNTIFS('RECEBIMENTOS'!$R$6:$R$1005,A345,'RECEBIMENTOS'!$Y$6:$Y$1005,1))</f>
        <v>0</v>
      </c>
      <c r="AD345" s="96">
        <f>IF(R345=0,0,COUNTIFS('VÍNCULOS_CDF'!$R$6:$R$1005,A345,'VÍNCULOS_CDF'!$N$6:$N$1005,1))</f>
        <v>0</v>
      </c>
      <c r="AE345" s="96">
        <f>IF(R345=0,0,COUNTIFS('VÍNCULOS_CDF'!$R$6:$R$1005,A345,'VÍNCULOS_CDF'!$AA$6:$AA$1005,1))</f>
        <v>0</v>
      </c>
      <c r="AF345" s="96">
        <f>IF(R345=0,0,COUNTIFS('VÍNCULOS_CDF'!$R$6:$R$1005,A345,'VÍNCULOS_CDF'!$Y$6:$Y$1005,1))</f>
        <v>0</v>
      </c>
      <c r="AG345" s="96" t="str">
        <f>IF(AND(R345=1,S345&lt;&gt;"",C345&lt;&gt;""),S345&amp;"|"&amp;C345&amp;"|"&amp;G345&amp;"|"&amp;H345,"")</f>
        <v/>
      </c>
      <c r="AH345" s="96">
        <f>IF(AG345="",0,IF(SUMPRODUCT(--($AG$6:$AG$1005=AG345))&gt;1,1,0))</f>
        <v>0</v>
      </c>
      <c r="AI345" s="96">
        <f>IF(R345=0,0,IF(OR(U345=0,V345=0,Y345=0,AND(AH345=1,K345&lt;&gt;"Sim")),1,0))</f>
        <v>0</v>
      </c>
      <c r="AJ345" s="96">
        <f>IF(AND(R345=1,AA345&gt;0,AB345=AA345),1,0)</f>
        <v>0</v>
      </c>
      <c r="AK345" s="96">
        <f>IF(R345=0,0,IF(AA345&gt;0,N(L345),IF(ISNUMBER(I345),I345,0)))</f>
        <v>0</v>
      </c>
      <c r="AL345" s="96">
        <f>IF(R345=0,0,IF(AND(K345&lt;&gt;"Sim",N(M345)&gt;AK345+cfg_tol),1,0))</f>
        <v>0</v>
      </c>
      <c r="AM345" s="96">
        <f>IF(R345=0,0,IF(K345="Sim",0,IF(OR(AND(AA345&gt;0,ISNUMBER(I345),ABS(I345-N(L345))&gt;cfg_tol),AL345=1),1,0)))</f>
        <v>0</v>
      </c>
      <c r="AN345" s="96">
        <f>IF(AND(R345=1,N(M345)&gt;0,OR(N(M345)&gt;=AK345-cfg_tol,K345="Sim")),1,0)</f>
        <v>0</v>
      </c>
      <c r="AO345" s="96">
        <f>IF(AND(AN345=1,AD345&gt;0,AE345=AD345,AL345=0),1,0)</f>
        <v>0</v>
      </c>
      <c r="AP345" s="96">
        <f>IF(U345=0,0,IF(AND(INDEX('MTRs'!$AX$6:$AX$505,T345)=1,Z345=0,OR(f_res="",f_res="(Todos)",C345=f_res)),1,0))</f>
        <v>0</v>
      </c>
      <c r="AQ345" s="97" t="str">
        <f>IF(U345=0,"",INDEX('MTRs'!$AZ$6:$AZ$505,T345))</f>
        <v/>
      </c>
      <c r="AR345" s="96">
        <f>IF(U345=0,0,IF(AND(INDEX('MTRs'!$BA$6:$BA$505,T345)=1,Z345=0),1,0))</f>
        <v>0</v>
      </c>
      <c r="AS345" s="96" t="str">
        <f>IF(R345=1,A345&amp;" | MTR "&amp;IF(U345=1,INDEX('MTRs'!$B$6:$B$505,T345)&amp;"","?")&amp;" | "&amp;IF(C345="","(sem resíduo)",C345),"")</f>
        <v/>
      </c>
      <c r="AT345" s="96" t="str">
        <f>IF(R345=1,COUNTIF($R$6:R345,1),"")</f>
        <v/>
      </c>
      <c r="AU345" s="96" t="str">
        <f>IF(U345=1,INDEX('MTRs'!$I$6:$I$505,T345)&amp;"","")</f>
        <v/>
      </c>
    </row>
    <row r="346">
      <c r="A346" s="89" t="inlineStr">
        <is>
          <t>IT-000341</t>
        </is>
      </c>
      <c r="B346" s="91" t="n"/>
      <c r="C346" s="91" t="n"/>
      <c r="D346" s="94" t="str">
        <f>IF(OR(R346=0,V346=0),"",INDEX('CAD_RESÍDUOS'!$E$6:$E$205,MATCH(C346,'CAD_RESÍDUOS'!$B$6:$B$205,0))&amp;"")</f>
        <v/>
      </c>
      <c r="E346" s="94" t="str">
        <f>IF(OR(R346=0,V346=0),"",INDEX('CAD_RESÍDUOS'!$C$6:$C$205,MATCH(C346,'CAD_RESÍDUOS'!$B$6:$B$205,0))&amp;"")</f>
        <v/>
      </c>
      <c r="F346" s="94" t="str">
        <f>IF(OR(R346=0,V346=0),"",INDEX('CAD_RESÍDUOS'!$G$6:$G$205,MATCH(C346,'CAD_RESÍDUOS'!$B$6:$B$205,0))&amp;"")</f>
        <v/>
      </c>
      <c r="G346" s="98" t="n"/>
      <c r="H346" s="91" t="n"/>
      <c r="I346" s="93" t="str">
        <f>IF(R346=0,"",IF(NOT(ISNUMBER(G346)),"",IF(ISNUMBER(X346),G346*X346,"UNIDADE A CONFERIR")))</f>
        <v/>
      </c>
      <c r="J346" s="91" t="n"/>
      <c r="K346" s="91" t="n"/>
      <c r="L346" s="93" t="str">
        <f>IF(R346=0,"",SUMIFS('RECEBIMENTOS'!$H$6:$H$1005,'RECEBIMENTOS'!$R$6:$R$1005,A346,'RECEBIMENTOS'!$X$6:$X$1005,1))</f>
        <v/>
      </c>
      <c r="M346" s="93" t="str">
        <f>IF(R346=0,"",SUMIFS('VÍNCULOS_CDF'!$H$6:$H$1005,'VÍNCULOS_CDF'!$R$6:$R$1005,A346,'VÍNCULOS_CDF'!$V$6:$V$1005,1))</f>
        <v/>
      </c>
      <c r="N346" s="99" t="str">
        <f>IF(OR(R346=0,AA346=0,NOT(ISNUMBER(I346))),"",I346-N(L346))</f>
        <v/>
      </c>
      <c r="O346" s="100" t="str">
        <f>IF(OR(R346=0,AK346&lt;=0),"",N(M346)/AK346)</f>
        <v/>
      </c>
      <c r="P346" s="94" t="str">
        <f>IF(R346=0,"",IF(S346="","Sem MTR associado",IF(U346=0,"MTR inexistente",IF(C346="","Resíduo não identificado",IF(V346=0,"Resíduo fora do cadastro",IF(W346=0,"Quantidade inválida",IF(H346="","Unidade não informada",IF(NOT(ISNUMBER(I346)),"Unidade a conferir",IF(AND(AH346=1,K346&lt;&gt;"Sim"),"Possível duplicidade",IF(Z346=1,"MTR cancelado",IF(AC346&gt;0,"Recebimento com alerta",IF(AA346=0,"Aguardando recebimento",IF(AB346&lt;AA346,"Recebimento a conferir",IF(AM346=1,"Quantidade a revisar",IF(AF346&gt;0,"Vínculo a revisar",IF(AD346=0,"Aguardando CDF",IF(AN346=0,"Vínculo de CDF parcial",IF(AE346&lt;AD346,"CDF a conferir","Documentação conferida"))))))))))))))))))</f>
        <v/>
      </c>
      <c r="Q346" s="93" t="str">
        <f>IF(OR(R346=0,AA346=0),"",MAX(0,N(L346)-N(M346)))</f>
        <v/>
      </c>
      <c r="R346" s="96">
        <f>IF(COUNTA(B346:C346,G346:H346,J346:K346)&gt;0,1,0)</f>
        <v>0</v>
      </c>
      <c r="S346" s="96" t="str">
        <f>IF(B346="","",TRIM(LEFT(B346,FIND(" |",B346&amp;" |")-1)))</f>
        <v/>
      </c>
      <c r="T346" s="96" t="str">
        <f>IF(S346="","",IFERROR(MATCH(S346,'MTRs'!$A$6:$A$505,0),""))</f>
        <v/>
      </c>
      <c r="U346" s="96">
        <f>IF(T346="",0,IF(INDEX('MTRs'!$Z$6:$Z$505,T346)=1,1,0))</f>
        <v>0</v>
      </c>
      <c r="V346" s="96">
        <f>IF(C346="",0,IF(ISNUMBER(MATCH(C346,'CAD_RESÍDUOS'!$B$6:$B$205,0)),1,0))</f>
        <v>0</v>
      </c>
      <c r="W346" s="96">
        <f>IF(AND(ISNUMBER(G346),G346&gt;0),1,0)</f>
        <v>0</v>
      </c>
      <c r="X346" s="96" t="str">
        <f>IF(H346="","",IFERROR(IF(ISNUMBER(INDEX(cfg_fac,MATCH(H346,cfg_units,0))),IF(INDEX(cfg_fac,MATCH(H346,cfg_units,0))&gt;0,INDEX(cfg_fac,MATCH(H346,cfg_units,0)),""),""),""))</f>
        <v/>
      </c>
      <c r="Y346" s="96">
        <f>IF(AND(W346=1,ISNUMBER(I346)),1,0)</f>
        <v>0</v>
      </c>
      <c r="Z346" s="96">
        <f>IF(U346=1,INDEX('MTRs'!$AA$6:$AA$505,T346),0)</f>
        <v>0</v>
      </c>
      <c r="AA346" s="96">
        <f>IF(R346=0,0,COUNTIFS('RECEBIMENTOS'!$R$6:$R$1005,A346,'RECEBIMENTOS'!$Q$6:$Q$1005,1))</f>
        <v>0</v>
      </c>
      <c r="AB346" s="96">
        <f>IF(R346=0,0,COUNTIFS('RECEBIMENTOS'!$R$6:$R$1005,A346,'RECEBIMENTOS'!$Z$6:$Z$1005,1))</f>
        <v>0</v>
      </c>
      <c r="AC346" s="96">
        <f>IF(R346=0,0,COUNTIFS('RECEBIMENTOS'!$R$6:$R$1005,A346,'RECEBIMENTOS'!$Y$6:$Y$1005,1))</f>
        <v>0</v>
      </c>
      <c r="AD346" s="96">
        <f>IF(R346=0,0,COUNTIFS('VÍNCULOS_CDF'!$R$6:$R$1005,A346,'VÍNCULOS_CDF'!$N$6:$N$1005,1))</f>
        <v>0</v>
      </c>
      <c r="AE346" s="96">
        <f>IF(R346=0,0,COUNTIFS('VÍNCULOS_CDF'!$R$6:$R$1005,A346,'VÍNCULOS_CDF'!$AA$6:$AA$1005,1))</f>
        <v>0</v>
      </c>
      <c r="AF346" s="96">
        <f>IF(R346=0,0,COUNTIFS('VÍNCULOS_CDF'!$R$6:$R$1005,A346,'VÍNCULOS_CDF'!$Y$6:$Y$1005,1))</f>
        <v>0</v>
      </c>
      <c r="AG346" s="96" t="str">
        <f>IF(AND(R346=1,S346&lt;&gt;"",C346&lt;&gt;""),S346&amp;"|"&amp;C346&amp;"|"&amp;G346&amp;"|"&amp;H346,"")</f>
        <v/>
      </c>
      <c r="AH346" s="96">
        <f>IF(AG346="",0,IF(SUMPRODUCT(--($AG$6:$AG$1005=AG346))&gt;1,1,0))</f>
        <v>0</v>
      </c>
      <c r="AI346" s="96">
        <f>IF(R346=0,0,IF(OR(U346=0,V346=0,Y346=0,AND(AH346=1,K346&lt;&gt;"Sim")),1,0))</f>
        <v>0</v>
      </c>
      <c r="AJ346" s="96">
        <f>IF(AND(R346=1,AA346&gt;0,AB346=AA346),1,0)</f>
        <v>0</v>
      </c>
      <c r="AK346" s="96">
        <f>IF(R346=0,0,IF(AA346&gt;0,N(L346),IF(ISNUMBER(I346),I346,0)))</f>
        <v>0</v>
      </c>
      <c r="AL346" s="96">
        <f>IF(R346=0,0,IF(AND(K346&lt;&gt;"Sim",N(M346)&gt;AK346+cfg_tol),1,0))</f>
        <v>0</v>
      </c>
      <c r="AM346" s="96">
        <f>IF(R346=0,0,IF(K346="Sim",0,IF(OR(AND(AA346&gt;0,ISNUMBER(I346),ABS(I346-N(L346))&gt;cfg_tol),AL346=1),1,0)))</f>
        <v>0</v>
      </c>
      <c r="AN346" s="96">
        <f>IF(AND(R346=1,N(M346)&gt;0,OR(N(M346)&gt;=AK346-cfg_tol,K346="Sim")),1,0)</f>
        <v>0</v>
      </c>
      <c r="AO346" s="96">
        <f>IF(AND(AN346=1,AD346&gt;0,AE346=AD346,AL346=0),1,0)</f>
        <v>0</v>
      </c>
      <c r="AP346" s="96">
        <f>IF(U346=0,0,IF(AND(INDEX('MTRs'!$AX$6:$AX$505,T346)=1,Z346=0,OR(f_res="",f_res="(Todos)",C346=f_res)),1,0))</f>
        <v>0</v>
      </c>
      <c r="AQ346" s="97" t="str">
        <f>IF(U346=0,"",INDEX('MTRs'!$AZ$6:$AZ$505,T346))</f>
        <v/>
      </c>
      <c r="AR346" s="96">
        <f>IF(U346=0,0,IF(AND(INDEX('MTRs'!$BA$6:$BA$505,T346)=1,Z346=0),1,0))</f>
        <v>0</v>
      </c>
      <c r="AS346" s="96" t="str">
        <f>IF(R346=1,A346&amp;" | MTR "&amp;IF(U346=1,INDEX('MTRs'!$B$6:$B$505,T346)&amp;"","?")&amp;" | "&amp;IF(C346="","(sem resíduo)",C346),"")</f>
        <v/>
      </c>
      <c r="AT346" s="96" t="str">
        <f>IF(R346=1,COUNTIF($R$6:R346,1),"")</f>
        <v/>
      </c>
      <c r="AU346" s="96" t="str">
        <f>IF(U346=1,INDEX('MTRs'!$I$6:$I$505,T346)&amp;"","")</f>
        <v/>
      </c>
    </row>
    <row r="347">
      <c r="A347" s="89" t="inlineStr">
        <is>
          <t>IT-000342</t>
        </is>
      </c>
      <c r="B347" s="91" t="n"/>
      <c r="C347" s="91" t="n"/>
      <c r="D347" s="94" t="str">
        <f>IF(OR(R347=0,V347=0),"",INDEX('CAD_RESÍDUOS'!$E$6:$E$205,MATCH(C347,'CAD_RESÍDUOS'!$B$6:$B$205,0))&amp;"")</f>
        <v/>
      </c>
      <c r="E347" s="94" t="str">
        <f>IF(OR(R347=0,V347=0),"",INDEX('CAD_RESÍDUOS'!$C$6:$C$205,MATCH(C347,'CAD_RESÍDUOS'!$B$6:$B$205,0))&amp;"")</f>
        <v/>
      </c>
      <c r="F347" s="94" t="str">
        <f>IF(OR(R347=0,V347=0),"",INDEX('CAD_RESÍDUOS'!$G$6:$G$205,MATCH(C347,'CAD_RESÍDUOS'!$B$6:$B$205,0))&amp;"")</f>
        <v/>
      </c>
      <c r="G347" s="98" t="n"/>
      <c r="H347" s="91" t="n"/>
      <c r="I347" s="93" t="str">
        <f>IF(R347=0,"",IF(NOT(ISNUMBER(G347)),"",IF(ISNUMBER(X347),G347*X347,"UNIDADE A CONFERIR")))</f>
        <v/>
      </c>
      <c r="J347" s="91" t="n"/>
      <c r="K347" s="91" t="n"/>
      <c r="L347" s="93" t="str">
        <f>IF(R347=0,"",SUMIFS('RECEBIMENTOS'!$H$6:$H$1005,'RECEBIMENTOS'!$R$6:$R$1005,A347,'RECEBIMENTOS'!$X$6:$X$1005,1))</f>
        <v/>
      </c>
      <c r="M347" s="93" t="str">
        <f>IF(R347=0,"",SUMIFS('VÍNCULOS_CDF'!$H$6:$H$1005,'VÍNCULOS_CDF'!$R$6:$R$1005,A347,'VÍNCULOS_CDF'!$V$6:$V$1005,1))</f>
        <v/>
      </c>
      <c r="N347" s="99" t="str">
        <f>IF(OR(R347=0,AA347=0,NOT(ISNUMBER(I347))),"",I347-N(L347))</f>
        <v/>
      </c>
      <c r="O347" s="100" t="str">
        <f>IF(OR(R347=0,AK347&lt;=0),"",N(M347)/AK347)</f>
        <v/>
      </c>
      <c r="P347" s="94" t="str">
        <f>IF(R347=0,"",IF(S347="","Sem MTR associado",IF(U347=0,"MTR inexistente",IF(C347="","Resíduo não identificado",IF(V347=0,"Resíduo fora do cadastro",IF(W347=0,"Quantidade inválida",IF(H347="","Unidade não informada",IF(NOT(ISNUMBER(I347)),"Unidade a conferir",IF(AND(AH347=1,K347&lt;&gt;"Sim"),"Possível duplicidade",IF(Z347=1,"MTR cancelado",IF(AC347&gt;0,"Recebimento com alerta",IF(AA347=0,"Aguardando recebimento",IF(AB347&lt;AA347,"Recebimento a conferir",IF(AM347=1,"Quantidade a revisar",IF(AF347&gt;0,"Vínculo a revisar",IF(AD347=0,"Aguardando CDF",IF(AN347=0,"Vínculo de CDF parcial",IF(AE347&lt;AD347,"CDF a conferir","Documentação conferida"))))))))))))))))))</f>
        <v/>
      </c>
      <c r="Q347" s="93" t="str">
        <f>IF(OR(R347=0,AA347=0),"",MAX(0,N(L347)-N(M347)))</f>
        <v/>
      </c>
      <c r="R347" s="96">
        <f>IF(COUNTA(B347:C347,G347:H347,J347:K347)&gt;0,1,0)</f>
        <v>0</v>
      </c>
      <c r="S347" s="96" t="str">
        <f>IF(B347="","",TRIM(LEFT(B347,FIND(" |",B347&amp;" |")-1)))</f>
        <v/>
      </c>
      <c r="T347" s="96" t="str">
        <f>IF(S347="","",IFERROR(MATCH(S347,'MTRs'!$A$6:$A$505,0),""))</f>
        <v/>
      </c>
      <c r="U347" s="96">
        <f>IF(T347="",0,IF(INDEX('MTRs'!$Z$6:$Z$505,T347)=1,1,0))</f>
        <v>0</v>
      </c>
      <c r="V347" s="96">
        <f>IF(C347="",0,IF(ISNUMBER(MATCH(C347,'CAD_RESÍDUOS'!$B$6:$B$205,0)),1,0))</f>
        <v>0</v>
      </c>
      <c r="W347" s="96">
        <f>IF(AND(ISNUMBER(G347),G347&gt;0),1,0)</f>
        <v>0</v>
      </c>
      <c r="X347" s="96" t="str">
        <f>IF(H347="","",IFERROR(IF(ISNUMBER(INDEX(cfg_fac,MATCH(H347,cfg_units,0))),IF(INDEX(cfg_fac,MATCH(H347,cfg_units,0))&gt;0,INDEX(cfg_fac,MATCH(H347,cfg_units,0)),""),""),""))</f>
        <v/>
      </c>
      <c r="Y347" s="96">
        <f>IF(AND(W347=1,ISNUMBER(I347)),1,0)</f>
        <v>0</v>
      </c>
      <c r="Z347" s="96">
        <f>IF(U347=1,INDEX('MTRs'!$AA$6:$AA$505,T347),0)</f>
        <v>0</v>
      </c>
      <c r="AA347" s="96">
        <f>IF(R347=0,0,COUNTIFS('RECEBIMENTOS'!$R$6:$R$1005,A347,'RECEBIMENTOS'!$Q$6:$Q$1005,1))</f>
        <v>0</v>
      </c>
      <c r="AB347" s="96">
        <f>IF(R347=0,0,COUNTIFS('RECEBIMENTOS'!$R$6:$R$1005,A347,'RECEBIMENTOS'!$Z$6:$Z$1005,1))</f>
        <v>0</v>
      </c>
      <c r="AC347" s="96">
        <f>IF(R347=0,0,COUNTIFS('RECEBIMENTOS'!$R$6:$R$1005,A347,'RECEBIMENTOS'!$Y$6:$Y$1005,1))</f>
        <v>0</v>
      </c>
      <c r="AD347" s="96">
        <f>IF(R347=0,0,COUNTIFS('VÍNCULOS_CDF'!$R$6:$R$1005,A347,'VÍNCULOS_CDF'!$N$6:$N$1005,1))</f>
        <v>0</v>
      </c>
      <c r="AE347" s="96">
        <f>IF(R347=0,0,COUNTIFS('VÍNCULOS_CDF'!$R$6:$R$1005,A347,'VÍNCULOS_CDF'!$AA$6:$AA$1005,1))</f>
        <v>0</v>
      </c>
      <c r="AF347" s="96">
        <f>IF(R347=0,0,COUNTIFS('VÍNCULOS_CDF'!$R$6:$R$1005,A347,'VÍNCULOS_CDF'!$Y$6:$Y$1005,1))</f>
        <v>0</v>
      </c>
      <c r="AG347" s="96" t="str">
        <f>IF(AND(R347=1,S347&lt;&gt;"",C347&lt;&gt;""),S347&amp;"|"&amp;C347&amp;"|"&amp;G347&amp;"|"&amp;H347,"")</f>
        <v/>
      </c>
      <c r="AH347" s="96">
        <f>IF(AG347="",0,IF(SUMPRODUCT(--($AG$6:$AG$1005=AG347))&gt;1,1,0))</f>
        <v>0</v>
      </c>
      <c r="AI347" s="96">
        <f>IF(R347=0,0,IF(OR(U347=0,V347=0,Y347=0,AND(AH347=1,K347&lt;&gt;"Sim")),1,0))</f>
        <v>0</v>
      </c>
      <c r="AJ347" s="96">
        <f>IF(AND(R347=1,AA347&gt;0,AB347=AA347),1,0)</f>
        <v>0</v>
      </c>
      <c r="AK347" s="96">
        <f>IF(R347=0,0,IF(AA347&gt;0,N(L347),IF(ISNUMBER(I347),I347,0)))</f>
        <v>0</v>
      </c>
      <c r="AL347" s="96">
        <f>IF(R347=0,0,IF(AND(K347&lt;&gt;"Sim",N(M347)&gt;AK347+cfg_tol),1,0))</f>
        <v>0</v>
      </c>
      <c r="AM347" s="96">
        <f>IF(R347=0,0,IF(K347="Sim",0,IF(OR(AND(AA347&gt;0,ISNUMBER(I347),ABS(I347-N(L347))&gt;cfg_tol),AL347=1),1,0)))</f>
        <v>0</v>
      </c>
      <c r="AN347" s="96">
        <f>IF(AND(R347=1,N(M347)&gt;0,OR(N(M347)&gt;=AK347-cfg_tol,K347="Sim")),1,0)</f>
        <v>0</v>
      </c>
      <c r="AO347" s="96">
        <f>IF(AND(AN347=1,AD347&gt;0,AE347=AD347,AL347=0),1,0)</f>
        <v>0</v>
      </c>
      <c r="AP347" s="96">
        <f>IF(U347=0,0,IF(AND(INDEX('MTRs'!$AX$6:$AX$505,T347)=1,Z347=0,OR(f_res="",f_res="(Todos)",C347=f_res)),1,0))</f>
        <v>0</v>
      </c>
      <c r="AQ347" s="97" t="str">
        <f>IF(U347=0,"",INDEX('MTRs'!$AZ$6:$AZ$505,T347))</f>
        <v/>
      </c>
      <c r="AR347" s="96">
        <f>IF(U347=0,0,IF(AND(INDEX('MTRs'!$BA$6:$BA$505,T347)=1,Z347=0),1,0))</f>
        <v>0</v>
      </c>
      <c r="AS347" s="96" t="str">
        <f>IF(R347=1,A347&amp;" | MTR "&amp;IF(U347=1,INDEX('MTRs'!$B$6:$B$505,T347)&amp;"","?")&amp;" | "&amp;IF(C347="","(sem resíduo)",C347),"")</f>
        <v/>
      </c>
      <c r="AT347" s="96" t="str">
        <f>IF(R347=1,COUNTIF($R$6:R347,1),"")</f>
        <v/>
      </c>
      <c r="AU347" s="96" t="str">
        <f>IF(U347=1,INDEX('MTRs'!$I$6:$I$505,T347)&amp;"","")</f>
        <v/>
      </c>
    </row>
    <row r="348">
      <c r="A348" s="89" t="inlineStr">
        <is>
          <t>IT-000343</t>
        </is>
      </c>
      <c r="B348" s="91" t="n"/>
      <c r="C348" s="91" t="n"/>
      <c r="D348" s="94" t="str">
        <f>IF(OR(R348=0,V348=0),"",INDEX('CAD_RESÍDUOS'!$E$6:$E$205,MATCH(C348,'CAD_RESÍDUOS'!$B$6:$B$205,0))&amp;"")</f>
        <v/>
      </c>
      <c r="E348" s="94" t="str">
        <f>IF(OR(R348=0,V348=0),"",INDEX('CAD_RESÍDUOS'!$C$6:$C$205,MATCH(C348,'CAD_RESÍDUOS'!$B$6:$B$205,0))&amp;"")</f>
        <v/>
      </c>
      <c r="F348" s="94" t="str">
        <f>IF(OR(R348=0,V348=0),"",INDEX('CAD_RESÍDUOS'!$G$6:$G$205,MATCH(C348,'CAD_RESÍDUOS'!$B$6:$B$205,0))&amp;"")</f>
        <v/>
      </c>
      <c r="G348" s="98" t="n"/>
      <c r="H348" s="91" t="n"/>
      <c r="I348" s="93" t="str">
        <f>IF(R348=0,"",IF(NOT(ISNUMBER(G348)),"",IF(ISNUMBER(X348),G348*X348,"UNIDADE A CONFERIR")))</f>
        <v/>
      </c>
      <c r="J348" s="91" t="n"/>
      <c r="K348" s="91" t="n"/>
      <c r="L348" s="93" t="str">
        <f>IF(R348=0,"",SUMIFS('RECEBIMENTOS'!$H$6:$H$1005,'RECEBIMENTOS'!$R$6:$R$1005,A348,'RECEBIMENTOS'!$X$6:$X$1005,1))</f>
        <v/>
      </c>
      <c r="M348" s="93" t="str">
        <f>IF(R348=0,"",SUMIFS('VÍNCULOS_CDF'!$H$6:$H$1005,'VÍNCULOS_CDF'!$R$6:$R$1005,A348,'VÍNCULOS_CDF'!$V$6:$V$1005,1))</f>
        <v/>
      </c>
      <c r="N348" s="99" t="str">
        <f>IF(OR(R348=0,AA348=0,NOT(ISNUMBER(I348))),"",I348-N(L348))</f>
        <v/>
      </c>
      <c r="O348" s="100" t="str">
        <f>IF(OR(R348=0,AK348&lt;=0),"",N(M348)/AK348)</f>
        <v/>
      </c>
      <c r="P348" s="94" t="str">
        <f>IF(R348=0,"",IF(S348="","Sem MTR associado",IF(U348=0,"MTR inexistente",IF(C348="","Resíduo não identificado",IF(V348=0,"Resíduo fora do cadastro",IF(W348=0,"Quantidade inválida",IF(H348="","Unidade não informada",IF(NOT(ISNUMBER(I348)),"Unidade a conferir",IF(AND(AH348=1,K348&lt;&gt;"Sim"),"Possível duplicidade",IF(Z348=1,"MTR cancelado",IF(AC348&gt;0,"Recebimento com alerta",IF(AA348=0,"Aguardando recebimento",IF(AB348&lt;AA348,"Recebimento a conferir",IF(AM348=1,"Quantidade a revisar",IF(AF348&gt;0,"Vínculo a revisar",IF(AD348=0,"Aguardando CDF",IF(AN348=0,"Vínculo de CDF parcial",IF(AE348&lt;AD348,"CDF a conferir","Documentação conferida"))))))))))))))))))</f>
        <v/>
      </c>
      <c r="Q348" s="93" t="str">
        <f>IF(OR(R348=0,AA348=0),"",MAX(0,N(L348)-N(M348)))</f>
        <v/>
      </c>
      <c r="R348" s="96">
        <f>IF(COUNTA(B348:C348,G348:H348,J348:K348)&gt;0,1,0)</f>
        <v>0</v>
      </c>
      <c r="S348" s="96" t="str">
        <f>IF(B348="","",TRIM(LEFT(B348,FIND(" |",B348&amp;" |")-1)))</f>
        <v/>
      </c>
      <c r="T348" s="96" t="str">
        <f>IF(S348="","",IFERROR(MATCH(S348,'MTRs'!$A$6:$A$505,0),""))</f>
        <v/>
      </c>
      <c r="U348" s="96">
        <f>IF(T348="",0,IF(INDEX('MTRs'!$Z$6:$Z$505,T348)=1,1,0))</f>
        <v>0</v>
      </c>
      <c r="V348" s="96">
        <f>IF(C348="",0,IF(ISNUMBER(MATCH(C348,'CAD_RESÍDUOS'!$B$6:$B$205,0)),1,0))</f>
        <v>0</v>
      </c>
      <c r="W348" s="96">
        <f>IF(AND(ISNUMBER(G348),G348&gt;0),1,0)</f>
        <v>0</v>
      </c>
      <c r="X348" s="96" t="str">
        <f>IF(H348="","",IFERROR(IF(ISNUMBER(INDEX(cfg_fac,MATCH(H348,cfg_units,0))),IF(INDEX(cfg_fac,MATCH(H348,cfg_units,0))&gt;0,INDEX(cfg_fac,MATCH(H348,cfg_units,0)),""),""),""))</f>
        <v/>
      </c>
      <c r="Y348" s="96">
        <f>IF(AND(W348=1,ISNUMBER(I348)),1,0)</f>
        <v>0</v>
      </c>
      <c r="Z348" s="96">
        <f>IF(U348=1,INDEX('MTRs'!$AA$6:$AA$505,T348),0)</f>
        <v>0</v>
      </c>
      <c r="AA348" s="96">
        <f>IF(R348=0,0,COUNTIFS('RECEBIMENTOS'!$R$6:$R$1005,A348,'RECEBIMENTOS'!$Q$6:$Q$1005,1))</f>
        <v>0</v>
      </c>
      <c r="AB348" s="96">
        <f>IF(R348=0,0,COUNTIFS('RECEBIMENTOS'!$R$6:$R$1005,A348,'RECEBIMENTOS'!$Z$6:$Z$1005,1))</f>
        <v>0</v>
      </c>
      <c r="AC348" s="96">
        <f>IF(R348=0,0,COUNTIFS('RECEBIMENTOS'!$R$6:$R$1005,A348,'RECEBIMENTOS'!$Y$6:$Y$1005,1))</f>
        <v>0</v>
      </c>
      <c r="AD348" s="96">
        <f>IF(R348=0,0,COUNTIFS('VÍNCULOS_CDF'!$R$6:$R$1005,A348,'VÍNCULOS_CDF'!$N$6:$N$1005,1))</f>
        <v>0</v>
      </c>
      <c r="AE348" s="96">
        <f>IF(R348=0,0,COUNTIFS('VÍNCULOS_CDF'!$R$6:$R$1005,A348,'VÍNCULOS_CDF'!$AA$6:$AA$1005,1))</f>
        <v>0</v>
      </c>
      <c r="AF348" s="96">
        <f>IF(R348=0,0,COUNTIFS('VÍNCULOS_CDF'!$R$6:$R$1005,A348,'VÍNCULOS_CDF'!$Y$6:$Y$1005,1))</f>
        <v>0</v>
      </c>
      <c r="AG348" s="96" t="str">
        <f>IF(AND(R348=1,S348&lt;&gt;"",C348&lt;&gt;""),S348&amp;"|"&amp;C348&amp;"|"&amp;G348&amp;"|"&amp;H348,"")</f>
        <v/>
      </c>
      <c r="AH348" s="96">
        <f>IF(AG348="",0,IF(SUMPRODUCT(--($AG$6:$AG$1005=AG348))&gt;1,1,0))</f>
        <v>0</v>
      </c>
      <c r="AI348" s="96">
        <f>IF(R348=0,0,IF(OR(U348=0,V348=0,Y348=0,AND(AH348=1,K348&lt;&gt;"Sim")),1,0))</f>
        <v>0</v>
      </c>
      <c r="AJ348" s="96">
        <f>IF(AND(R348=1,AA348&gt;0,AB348=AA348),1,0)</f>
        <v>0</v>
      </c>
      <c r="AK348" s="96">
        <f>IF(R348=0,0,IF(AA348&gt;0,N(L348),IF(ISNUMBER(I348),I348,0)))</f>
        <v>0</v>
      </c>
      <c r="AL348" s="96">
        <f>IF(R348=0,0,IF(AND(K348&lt;&gt;"Sim",N(M348)&gt;AK348+cfg_tol),1,0))</f>
        <v>0</v>
      </c>
      <c r="AM348" s="96">
        <f>IF(R348=0,0,IF(K348="Sim",0,IF(OR(AND(AA348&gt;0,ISNUMBER(I348),ABS(I348-N(L348))&gt;cfg_tol),AL348=1),1,0)))</f>
        <v>0</v>
      </c>
      <c r="AN348" s="96">
        <f>IF(AND(R348=1,N(M348)&gt;0,OR(N(M348)&gt;=AK348-cfg_tol,K348="Sim")),1,0)</f>
        <v>0</v>
      </c>
      <c r="AO348" s="96">
        <f>IF(AND(AN348=1,AD348&gt;0,AE348=AD348,AL348=0),1,0)</f>
        <v>0</v>
      </c>
      <c r="AP348" s="96">
        <f>IF(U348=0,0,IF(AND(INDEX('MTRs'!$AX$6:$AX$505,T348)=1,Z348=0,OR(f_res="",f_res="(Todos)",C348=f_res)),1,0))</f>
        <v>0</v>
      </c>
      <c r="AQ348" s="97" t="str">
        <f>IF(U348=0,"",INDEX('MTRs'!$AZ$6:$AZ$505,T348))</f>
        <v/>
      </c>
      <c r="AR348" s="96">
        <f>IF(U348=0,0,IF(AND(INDEX('MTRs'!$BA$6:$BA$505,T348)=1,Z348=0),1,0))</f>
        <v>0</v>
      </c>
      <c r="AS348" s="96" t="str">
        <f>IF(R348=1,A348&amp;" | MTR "&amp;IF(U348=1,INDEX('MTRs'!$B$6:$B$505,T348)&amp;"","?")&amp;" | "&amp;IF(C348="","(sem resíduo)",C348),"")</f>
        <v/>
      </c>
      <c r="AT348" s="96" t="str">
        <f>IF(R348=1,COUNTIF($R$6:R348,1),"")</f>
        <v/>
      </c>
      <c r="AU348" s="96" t="str">
        <f>IF(U348=1,INDEX('MTRs'!$I$6:$I$505,T348)&amp;"","")</f>
        <v/>
      </c>
    </row>
    <row r="349">
      <c r="A349" s="89" t="inlineStr">
        <is>
          <t>IT-000344</t>
        </is>
      </c>
      <c r="B349" s="91" t="n"/>
      <c r="C349" s="91" t="n"/>
      <c r="D349" s="94" t="str">
        <f>IF(OR(R349=0,V349=0),"",INDEX('CAD_RESÍDUOS'!$E$6:$E$205,MATCH(C349,'CAD_RESÍDUOS'!$B$6:$B$205,0))&amp;"")</f>
        <v/>
      </c>
      <c r="E349" s="94" t="str">
        <f>IF(OR(R349=0,V349=0),"",INDEX('CAD_RESÍDUOS'!$C$6:$C$205,MATCH(C349,'CAD_RESÍDUOS'!$B$6:$B$205,0))&amp;"")</f>
        <v/>
      </c>
      <c r="F349" s="94" t="str">
        <f>IF(OR(R349=0,V349=0),"",INDEX('CAD_RESÍDUOS'!$G$6:$G$205,MATCH(C349,'CAD_RESÍDUOS'!$B$6:$B$205,0))&amp;"")</f>
        <v/>
      </c>
      <c r="G349" s="98" t="n"/>
      <c r="H349" s="91" t="n"/>
      <c r="I349" s="93" t="str">
        <f>IF(R349=0,"",IF(NOT(ISNUMBER(G349)),"",IF(ISNUMBER(X349),G349*X349,"UNIDADE A CONFERIR")))</f>
        <v/>
      </c>
      <c r="J349" s="91" t="n"/>
      <c r="K349" s="91" t="n"/>
      <c r="L349" s="93" t="str">
        <f>IF(R349=0,"",SUMIFS('RECEBIMENTOS'!$H$6:$H$1005,'RECEBIMENTOS'!$R$6:$R$1005,A349,'RECEBIMENTOS'!$X$6:$X$1005,1))</f>
        <v/>
      </c>
      <c r="M349" s="93" t="str">
        <f>IF(R349=0,"",SUMIFS('VÍNCULOS_CDF'!$H$6:$H$1005,'VÍNCULOS_CDF'!$R$6:$R$1005,A349,'VÍNCULOS_CDF'!$V$6:$V$1005,1))</f>
        <v/>
      </c>
      <c r="N349" s="99" t="str">
        <f>IF(OR(R349=0,AA349=0,NOT(ISNUMBER(I349))),"",I349-N(L349))</f>
        <v/>
      </c>
      <c r="O349" s="100" t="str">
        <f>IF(OR(R349=0,AK349&lt;=0),"",N(M349)/AK349)</f>
        <v/>
      </c>
      <c r="P349" s="94" t="str">
        <f>IF(R349=0,"",IF(S349="","Sem MTR associado",IF(U349=0,"MTR inexistente",IF(C349="","Resíduo não identificado",IF(V349=0,"Resíduo fora do cadastro",IF(W349=0,"Quantidade inválida",IF(H349="","Unidade não informada",IF(NOT(ISNUMBER(I349)),"Unidade a conferir",IF(AND(AH349=1,K349&lt;&gt;"Sim"),"Possível duplicidade",IF(Z349=1,"MTR cancelado",IF(AC349&gt;0,"Recebimento com alerta",IF(AA349=0,"Aguardando recebimento",IF(AB349&lt;AA349,"Recebimento a conferir",IF(AM349=1,"Quantidade a revisar",IF(AF349&gt;0,"Vínculo a revisar",IF(AD349=0,"Aguardando CDF",IF(AN349=0,"Vínculo de CDF parcial",IF(AE349&lt;AD349,"CDF a conferir","Documentação conferida"))))))))))))))))))</f>
        <v/>
      </c>
      <c r="Q349" s="93" t="str">
        <f>IF(OR(R349=0,AA349=0),"",MAX(0,N(L349)-N(M349)))</f>
        <v/>
      </c>
      <c r="R349" s="96">
        <f>IF(COUNTA(B349:C349,G349:H349,J349:K349)&gt;0,1,0)</f>
        <v>0</v>
      </c>
      <c r="S349" s="96" t="str">
        <f>IF(B349="","",TRIM(LEFT(B349,FIND(" |",B349&amp;" |")-1)))</f>
        <v/>
      </c>
      <c r="T349" s="96" t="str">
        <f>IF(S349="","",IFERROR(MATCH(S349,'MTRs'!$A$6:$A$505,0),""))</f>
        <v/>
      </c>
      <c r="U349" s="96">
        <f>IF(T349="",0,IF(INDEX('MTRs'!$Z$6:$Z$505,T349)=1,1,0))</f>
        <v>0</v>
      </c>
      <c r="V349" s="96">
        <f>IF(C349="",0,IF(ISNUMBER(MATCH(C349,'CAD_RESÍDUOS'!$B$6:$B$205,0)),1,0))</f>
        <v>0</v>
      </c>
      <c r="W349" s="96">
        <f>IF(AND(ISNUMBER(G349),G349&gt;0),1,0)</f>
        <v>0</v>
      </c>
      <c r="X349" s="96" t="str">
        <f>IF(H349="","",IFERROR(IF(ISNUMBER(INDEX(cfg_fac,MATCH(H349,cfg_units,0))),IF(INDEX(cfg_fac,MATCH(H349,cfg_units,0))&gt;0,INDEX(cfg_fac,MATCH(H349,cfg_units,0)),""),""),""))</f>
        <v/>
      </c>
      <c r="Y349" s="96">
        <f>IF(AND(W349=1,ISNUMBER(I349)),1,0)</f>
        <v>0</v>
      </c>
      <c r="Z349" s="96">
        <f>IF(U349=1,INDEX('MTRs'!$AA$6:$AA$505,T349),0)</f>
        <v>0</v>
      </c>
      <c r="AA349" s="96">
        <f>IF(R349=0,0,COUNTIFS('RECEBIMENTOS'!$R$6:$R$1005,A349,'RECEBIMENTOS'!$Q$6:$Q$1005,1))</f>
        <v>0</v>
      </c>
      <c r="AB349" s="96">
        <f>IF(R349=0,0,COUNTIFS('RECEBIMENTOS'!$R$6:$R$1005,A349,'RECEBIMENTOS'!$Z$6:$Z$1005,1))</f>
        <v>0</v>
      </c>
      <c r="AC349" s="96">
        <f>IF(R349=0,0,COUNTIFS('RECEBIMENTOS'!$R$6:$R$1005,A349,'RECEBIMENTOS'!$Y$6:$Y$1005,1))</f>
        <v>0</v>
      </c>
      <c r="AD349" s="96">
        <f>IF(R349=0,0,COUNTIFS('VÍNCULOS_CDF'!$R$6:$R$1005,A349,'VÍNCULOS_CDF'!$N$6:$N$1005,1))</f>
        <v>0</v>
      </c>
      <c r="AE349" s="96">
        <f>IF(R349=0,0,COUNTIFS('VÍNCULOS_CDF'!$R$6:$R$1005,A349,'VÍNCULOS_CDF'!$AA$6:$AA$1005,1))</f>
        <v>0</v>
      </c>
      <c r="AF349" s="96">
        <f>IF(R349=0,0,COUNTIFS('VÍNCULOS_CDF'!$R$6:$R$1005,A349,'VÍNCULOS_CDF'!$Y$6:$Y$1005,1))</f>
        <v>0</v>
      </c>
      <c r="AG349" s="96" t="str">
        <f>IF(AND(R349=1,S349&lt;&gt;"",C349&lt;&gt;""),S349&amp;"|"&amp;C349&amp;"|"&amp;G349&amp;"|"&amp;H349,"")</f>
        <v/>
      </c>
      <c r="AH349" s="96">
        <f>IF(AG349="",0,IF(SUMPRODUCT(--($AG$6:$AG$1005=AG349))&gt;1,1,0))</f>
        <v>0</v>
      </c>
      <c r="AI349" s="96">
        <f>IF(R349=0,0,IF(OR(U349=0,V349=0,Y349=0,AND(AH349=1,K349&lt;&gt;"Sim")),1,0))</f>
        <v>0</v>
      </c>
      <c r="AJ349" s="96">
        <f>IF(AND(R349=1,AA349&gt;0,AB349=AA349),1,0)</f>
        <v>0</v>
      </c>
      <c r="AK349" s="96">
        <f>IF(R349=0,0,IF(AA349&gt;0,N(L349),IF(ISNUMBER(I349),I349,0)))</f>
        <v>0</v>
      </c>
      <c r="AL349" s="96">
        <f>IF(R349=0,0,IF(AND(K349&lt;&gt;"Sim",N(M349)&gt;AK349+cfg_tol),1,0))</f>
        <v>0</v>
      </c>
      <c r="AM349" s="96">
        <f>IF(R349=0,0,IF(K349="Sim",0,IF(OR(AND(AA349&gt;0,ISNUMBER(I349),ABS(I349-N(L349))&gt;cfg_tol),AL349=1),1,0)))</f>
        <v>0</v>
      </c>
      <c r="AN349" s="96">
        <f>IF(AND(R349=1,N(M349)&gt;0,OR(N(M349)&gt;=AK349-cfg_tol,K349="Sim")),1,0)</f>
        <v>0</v>
      </c>
      <c r="AO349" s="96">
        <f>IF(AND(AN349=1,AD349&gt;0,AE349=AD349,AL349=0),1,0)</f>
        <v>0</v>
      </c>
      <c r="AP349" s="96">
        <f>IF(U349=0,0,IF(AND(INDEX('MTRs'!$AX$6:$AX$505,T349)=1,Z349=0,OR(f_res="",f_res="(Todos)",C349=f_res)),1,0))</f>
        <v>0</v>
      </c>
      <c r="AQ349" s="97" t="str">
        <f>IF(U349=0,"",INDEX('MTRs'!$AZ$6:$AZ$505,T349))</f>
        <v/>
      </c>
      <c r="AR349" s="96">
        <f>IF(U349=0,0,IF(AND(INDEX('MTRs'!$BA$6:$BA$505,T349)=1,Z349=0),1,0))</f>
        <v>0</v>
      </c>
      <c r="AS349" s="96" t="str">
        <f>IF(R349=1,A349&amp;" | MTR "&amp;IF(U349=1,INDEX('MTRs'!$B$6:$B$505,T349)&amp;"","?")&amp;" | "&amp;IF(C349="","(sem resíduo)",C349),"")</f>
        <v/>
      </c>
      <c r="AT349" s="96" t="str">
        <f>IF(R349=1,COUNTIF($R$6:R349,1),"")</f>
        <v/>
      </c>
      <c r="AU349" s="96" t="str">
        <f>IF(U349=1,INDEX('MTRs'!$I$6:$I$505,T349)&amp;"","")</f>
        <v/>
      </c>
    </row>
    <row r="350">
      <c r="A350" s="89" t="inlineStr">
        <is>
          <t>IT-000345</t>
        </is>
      </c>
      <c r="B350" s="91" t="n"/>
      <c r="C350" s="91" t="n"/>
      <c r="D350" s="94" t="str">
        <f>IF(OR(R350=0,V350=0),"",INDEX('CAD_RESÍDUOS'!$E$6:$E$205,MATCH(C350,'CAD_RESÍDUOS'!$B$6:$B$205,0))&amp;"")</f>
        <v/>
      </c>
      <c r="E350" s="94" t="str">
        <f>IF(OR(R350=0,V350=0),"",INDEX('CAD_RESÍDUOS'!$C$6:$C$205,MATCH(C350,'CAD_RESÍDUOS'!$B$6:$B$205,0))&amp;"")</f>
        <v/>
      </c>
      <c r="F350" s="94" t="str">
        <f>IF(OR(R350=0,V350=0),"",INDEX('CAD_RESÍDUOS'!$G$6:$G$205,MATCH(C350,'CAD_RESÍDUOS'!$B$6:$B$205,0))&amp;"")</f>
        <v/>
      </c>
      <c r="G350" s="98" t="n"/>
      <c r="H350" s="91" t="n"/>
      <c r="I350" s="93" t="str">
        <f>IF(R350=0,"",IF(NOT(ISNUMBER(G350)),"",IF(ISNUMBER(X350),G350*X350,"UNIDADE A CONFERIR")))</f>
        <v/>
      </c>
      <c r="J350" s="91" t="n"/>
      <c r="K350" s="91" t="n"/>
      <c r="L350" s="93" t="str">
        <f>IF(R350=0,"",SUMIFS('RECEBIMENTOS'!$H$6:$H$1005,'RECEBIMENTOS'!$R$6:$R$1005,A350,'RECEBIMENTOS'!$X$6:$X$1005,1))</f>
        <v/>
      </c>
      <c r="M350" s="93" t="str">
        <f>IF(R350=0,"",SUMIFS('VÍNCULOS_CDF'!$H$6:$H$1005,'VÍNCULOS_CDF'!$R$6:$R$1005,A350,'VÍNCULOS_CDF'!$V$6:$V$1005,1))</f>
        <v/>
      </c>
      <c r="N350" s="99" t="str">
        <f>IF(OR(R350=0,AA350=0,NOT(ISNUMBER(I350))),"",I350-N(L350))</f>
        <v/>
      </c>
      <c r="O350" s="100" t="str">
        <f>IF(OR(R350=0,AK350&lt;=0),"",N(M350)/AK350)</f>
        <v/>
      </c>
      <c r="P350" s="94" t="str">
        <f>IF(R350=0,"",IF(S350="","Sem MTR associado",IF(U350=0,"MTR inexistente",IF(C350="","Resíduo não identificado",IF(V350=0,"Resíduo fora do cadastro",IF(W350=0,"Quantidade inválida",IF(H350="","Unidade não informada",IF(NOT(ISNUMBER(I350)),"Unidade a conferir",IF(AND(AH350=1,K350&lt;&gt;"Sim"),"Possível duplicidade",IF(Z350=1,"MTR cancelado",IF(AC350&gt;0,"Recebimento com alerta",IF(AA350=0,"Aguardando recebimento",IF(AB350&lt;AA350,"Recebimento a conferir",IF(AM350=1,"Quantidade a revisar",IF(AF350&gt;0,"Vínculo a revisar",IF(AD350=0,"Aguardando CDF",IF(AN350=0,"Vínculo de CDF parcial",IF(AE350&lt;AD350,"CDF a conferir","Documentação conferida"))))))))))))))))))</f>
        <v/>
      </c>
      <c r="Q350" s="93" t="str">
        <f>IF(OR(R350=0,AA350=0),"",MAX(0,N(L350)-N(M350)))</f>
        <v/>
      </c>
      <c r="R350" s="96">
        <f>IF(COUNTA(B350:C350,G350:H350,J350:K350)&gt;0,1,0)</f>
        <v>0</v>
      </c>
      <c r="S350" s="96" t="str">
        <f>IF(B350="","",TRIM(LEFT(B350,FIND(" |",B350&amp;" |")-1)))</f>
        <v/>
      </c>
      <c r="T350" s="96" t="str">
        <f>IF(S350="","",IFERROR(MATCH(S350,'MTRs'!$A$6:$A$505,0),""))</f>
        <v/>
      </c>
      <c r="U350" s="96">
        <f>IF(T350="",0,IF(INDEX('MTRs'!$Z$6:$Z$505,T350)=1,1,0))</f>
        <v>0</v>
      </c>
      <c r="V350" s="96">
        <f>IF(C350="",0,IF(ISNUMBER(MATCH(C350,'CAD_RESÍDUOS'!$B$6:$B$205,0)),1,0))</f>
        <v>0</v>
      </c>
      <c r="W350" s="96">
        <f>IF(AND(ISNUMBER(G350),G350&gt;0),1,0)</f>
        <v>0</v>
      </c>
      <c r="X350" s="96" t="str">
        <f>IF(H350="","",IFERROR(IF(ISNUMBER(INDEX(cfg_fac,MATCH(H350,cfg_units,0))),IF(INDEX(cfg_fac,MATCH(H350,cfg_units,0))&gt;0,INDEX(cfg_fac,MATCH(H350,cfg_units,0)),""),""),""))</f>
        <v/>
      </c>
      <c r="Y350" s="96">
        <f>IF(AND(W350=1,ISNUMBER(I350)),1,0)</f>
        <v>0</v>
      </c>
      <c r="Z350" s="96">
        <f>IF(U350=1,INDEX('MTRs'!$AA$6:$AA$505,T350),0)</f>
        <v>0</v>
      </c>
      <c r="AA350" s="96">
        <f>IF(R350=0,0,COUNTIFS('RECEBIMENTOS'!$R$6:$R$1005,A350,'RECEBIMENTOS'!$Q$6:$Q$1005,1))</f>
        <v>0</v>
      </c>
      <c r="AB350" s="96">
        <f>IF(R350=0,0,COUNTIFS('RECEBIMENTOS'!$R$6:$R$1005,A350,'RECEBIMENTOS'!$Z$6:$Z$1005,1))</f>
        <v>0</v>
      </c>
      <c r="AC350" s="96">
        <f>IF(R350=0,0,COUNTIFS('RECEBIMENTOS'!$R$6:$R$1005,A350,'RECEBIMENTOS'!$Y$6:$Y$1005,1))</f>
        <v>0</v>
      </c>
      <c r="AD350" s="96">
        <f>IF(R350=0,0,COUNTIFS('VÍNCULOS_CDF'!$R$6:$R$1005,A350,'VÍNCULOS_CDF'!$N$6:$N$1005,1))</f>
        <v>0</v>
      </c>
      <c r="AE350" s="96">
        <f>IF(R350=0,0,COUNTIFS('VÍNCULOS_CDF'!$R$6:$R$1005,A350,'VÍNCULOS_CDF'!$AA$6:$AA$1005,1))</f>
        <v>0</v>
      </c>
      <c r="AF350" s="96">
        <f>IF(R350=0,0,COUNTIFS('VÍNCULOS_CDF'!$R$6:$R$1005,A350,'VÍNCULOS_CDF'!$Y$6:$Y$1005,1))</f>
        <v>0</v>
      </c>
      <c r="AG350" s="96" t="str">
        <f>IF(AND(R350=1,S350&lt;&gt;"",C350&lt;&gt;""),S350&amp;"|"&amp;C350&amp;"|"&amp;G350&amp;"|"&amp;H350,"")</f>
        <v/>
      </c>
      <c r="AH350" s="96">
        <f>IF(AG350="",0,IF(SUMPRODUCT(--($AG$6:$AG$1005=AG350))&gt;1,1,0))</f>
        <v>0</v>
      </c>
      <c r="AI350" s="96">
        <f>IF(R350=0,0,IF(OR(U350=0,V350=0,Y350=0,AND(AH350=1,K350&lt;&gt;"Sim")),1,0))</f>
        <v>0</v>
      </c>
      <c r="AJ350" s="96">
        <f>IF(AND(R350=1,AA350&gt;0,AB350=AA350),1,0)</f>
        <v>0</v>
      </c>
      <c r="AK350" s="96">
        <f>IF(R350=0,0,IF(AA350&gt;0,N(L350),IF(ISNUMBER(I350),I350,0)))</f>
        <v>0</v>
      </c>
      <c r="AL350" s="96">
        <f>IF(R350=0,0,IF(AND(K350&lt;&gt;"Sim",N(M350)&gt;AK350+cfg_tol),1,0))</f>
        <v>0</v>
      </c>
      <c r="AM350" s="96">
        <f>IF(R350=0,0,IF(K350="Sim",0,IF(OR(AND(AA350&gt;0,ISNUMBER(I350),ABS(I350-N(L350))&gt;cfg_tol),AL350=1),1,0)))</f>
        <v>0</v>
      </c>
      <c r="AN350" s="96">
        <f>IF(AND(R350=1,N(M350)&gt;0,OR(N(M350)&gt;=AK350-cfg_tol,K350="Sim")),1,0)</f>
        <v>0</v>
      </c>
      <c r="AO350" s="96">
        <f>IF(AND(AN350=1,AD350&gt;0,AE350=AD350,AL350=0),1,0)</f>
        <v>0</v>
      </c>
      <c r="AP350" s="96">
        <f>IF(U350=0,0,IF(AND(INDEX('MTRs'!$AX$6:$AX$505,T350)=1,Z350=0,OR(f_res="",f_res="(Todos)",C350=f_res)),1,0))</f>
        <v>0</v>
      </c>
      <c r="AQ350" s="97" t="str">
        <f>IF(U350=0,"",INDEX('MTRs'!$AZ$6:$AZ$505,T350))</f>
        <v/>
      </c>
      <c r="AR350" s="96">
        <f>IF(U350=0,0,IF(AND(INDEX('MTRs'!$BA$6:$BA$505,T350)=1,Z350=0),1,0))</f>
        <v>0</v>
      </c>
      <c r="AS350" s="96" t="str">
        <f>IF(R350=1,A350&amp;" | MTR "&amp;IF(U350=1,INDEX('MTRs'!$B$6:$B$505,T350)&amp;"","?")&amp;" | "&amp;IF(C350="","(sem resíduo)",C350),"")</f>
        <v/>
      </c>
      <c r="AT350" s="96" t="str">
        <f>IF(R350=1,COUNTIF($R$6:R350,1),"")</f>
        <v/>
      </c>
      <c r="AU350" s="96" t="str">
        <f>IF(U350=1,INDEX('MTRs'!$I$6:$I$505,T350)&amp;"","")</f>
        <v/>
      </c>
    </row>
    <row r="351">
      <c r="A351" s="89" t="inlineStr">
        <is>
          <t>IT-000346</t>
        </is>
      </c>
      <c r="B351" s="91" t="n"/>
      <c r="C351" s="91" t="n"/>
      <c r="D351" s="94" t="str">
        <f>IF(OR(R351=0,V351=0),"",INDEX('CAD_RESÍDUOS'!$E$6:$E$205,MATCH(C351,'CAD_RESÍDUOS'!$B$6:$B$205,0))&amp;"")</f>
        <v/>
      </c>
      <c r="E351" s="94" t="str">
        <f>IF(OR(R351=0,V351=0),"",INDEX('CAD_RESÍDUOS'!$C$6:$C$205,MATCH(C351,'CAD_RESÍDUOS'!$B$6:$B$205,0))&amp;"")</f>
        <v/>
      </c>
      <c r="F351" s="94" t="str">
        <f>IF(OR(R351=0,V351=0),"",INDEX('CAD_RESÍDUOS'!$G$6:$G$205,MATCH(C351,'CAD_RESÍDUOS'!$B$6:$B$205,0))&amp;"")</f>
        <v/>
      </c>
      <c r="G351" s="98" t="n"/>
      <c r="H351" s="91" t="n"/>
      <c r="I351" s="93" t="str">
        <f>IF(R351=0,"",IF(NOT(ISNUMBER(G351)),"",IF(ISNUMBER(X351),G351*X351,"UNIDADE A CONFERIR")))</f>
        <v/>
      </c>
      <c r="J351" s="91" t="n"/>
      <c r="K351" s="91" t="n"/>
      <c r="L351" s="93" t="str">
        <f>IF(R351=0,"",SUMIFS('RECEBIMENTOS'!$H$6:$H$1005,'RECEBIMENTOS'!$R$6:$R$1005,A351,'RECEBIMENTOS'!$X$6:$X$1005,1))</f>
        <v/>
      </c>
      <c r="M351" s="93" t="str">
        <f>IF(R351=0,"",SUMIFS('VÍNCULOS_CDF'!$H$6:$H$1005,'VÍNCULOS_CDF'!$R$6:$R$1005,A351,'VÍNCULOS_CDF'!$V$6:$V$1005,1))</f>
        <v/>
      </c>
      <c r="N351" s="99" t="str">
        <f>IF(OR(R351=0,AA351=0,NOT(ISNUMBER(I351))),"",I351-N(L351))</f>
        <v/>
      </c>
      <c r="O351" s="100" t="str">
        <f>IF(OR(R351=0,AK351&lt;=0),"",N(M351)/AK351)</f>
        <v/>
      </c>
      <c r="P351" s="94" t="str">
        <f>IF(R351=0,"",IF(S351="","Sem MTR associado",IF(U351=0,"MTR inexistente",IF(C351="","Resíduo não identificado",IF(V351=0,"Resíduo fora do cadastro",IF(W351=0,"Quantidade inválida",IF(H351="","Unidade não informada",IF(NOT(ISNUMBER(I351)),"Unidade a conferir",IF(AND(AH351=1,K351&lt;&gt;"Sim"),"Possível duplicidade",IF(Z351=1,"MTR cancelado",IF(AC351&gt;0,"Recebimento com alerta",IF(AA351=0,"Aguardando recebimento",IF(AB351&lt;AA351,"Recebimento a conferir",IF(AM351=1,"Quantidade a revisar",IF(AF351&gt;0,"Vínculo a revisar",IF(AD351=0,"Aguardando CDF",IF(AN351=0,"Vínculo de CDF parcial",IF(AE351&lt;AD351,"CDF a conferir","Documentação conferida"))))))))))))))))))</f>
        <v/>
      </c>
      <c r="Q351" s="93" t="str">
        <f>IF(OR(R351=0,AA351=0),"",MAX(0,N(L351)-N(M351)))</f>
        <v/>
      </c>
      <c r="R351" s="96">
        <f>IF(COUNTA(B351:C351,G351:H351,J351:K351)&gt;0,1,0)</f>
        <v>0</v>
      </c>
      <c r="S351" s="96" t="str">
        <f>IF(B351="","",TRIM(LEFT(B351,FIND(" |",B351&amp;" |")-1)))</f>
        <v/>
      </c>
      <c r="T351" s="96" t="str">
        <f>IF(S351="","",IFERROR(MATCH(S351,'MTRs'!$A$6:$A$505,0),""))</f>
        <v/>
      </c>
      <c r="U351" s="96">
        <f>IF(T351="",0,IF(INDEX('MTRs'!$Z$6:$Z$505,T351)=1,1,0))</f>
        <v>0</v>
      </c>
      <c r="V351" s="96">
        <f>IF(C351="",0,IF(ISNUMBER(MATCH(C351,'CAD_RESÍDUOS'!$B$6:$B$205,0)),1,0))</f>
        <v>0</v>
      </c>
      <c r="W351" s="96">
        <f>IF(AND(ISNUMBER(G351),G351&gt;0),1,0)</f>
        <v>0</v>
      </c>
      <c r="X351" s="96" t="str">
        <f>IF(H351="","",IFERROR(IF(ISNUMBER(INDEX(cfg_fac,MATCH(H351,cfg_units,0))),IF(INDEX(cfg_fac,MATCH(H351,cfg_units,0))&gt;0,INDEX(cfg_fac,MATCH(H351,cfg_units,0)),""),""),""))</f>
        <v/>
      </c>
      <c r="Y351" s="96">
        <f>IF(AND(W351=1,ISNUMBER(I351)),1,0)</f>
        <v>0</v>
      </c>
      <c r="Z351" s="96">
        <f>IF(U351=1,INDEX('MTRs'!$AA$6:$AA$505,T351),0)</f>
        <v>0</v>
      </c>
      <c r="AA351" s="96">
        <f>IF(R351=0,0,COUNTIFS('RECEBIMENTOS'!$R$6:$R$1005,A351,'RECEBIMENTOS'!$Q$6:$Q$1005,1))</f>
        <v>0</v>
      </c>
      <c r="AB351" s="96">
        <f>IF(R351=0,0,COUNTIFS('RECEBIMENTOS'!$R$6:$R$1005,A351,'RECEBIMENTOS'!$Z$6:$Z$1005,1))</f>
        <v>0</v>
      </c>
      <c r="AC351" s="96">
        <f>IF(R351=0,0,COUNTIFS('RECEBIMENTOS'!$R$6:$R$1005,A351,'RECEBIMENTOS'!$Y$6:$Y$1005,1))</f>
        <v>0</v>
      </c>
      <c r="AD351" s="96">
        <f>IF(R351=0,0,COUNTIFS('VÍNCULOS_CDF'!$R$6:$R$1005,A351,'VÍNCULOS_CDF'!$N$6:$N$1005,1))</f>
        <v>0</v>
      </c>
      <c r="AE351" s="96">
        <f>IF(R351=0,0,COUNTIFS('VÍNCULOS_CDF'!$R$6:$R$1005,A351,'VÍNCULOS_CDF'!$AA$6:$AA$1005,1))</f>
        <v>0</v>
      </c>
      <c r="AF351" s="96">
        <f>IF(R351=0,0,COUNTIFS('VÍNCULOS_CDF'!$R$6:$R$1005,A351,'VÍNCULOS_CDF'!$Y$6:$Y$1005,1))</f>
        <v>0</v>
      </c>
      <c r="AG351" s="96" t="str">
        <f>IF(AND(R351=1,S351&lt;&gt;"",C351&lt;&gt;""),S351&amp;"|"&amp;C351&amp;"|"&amp;G351&amp;"|"&amp;H351,"")</f>
        <v/>
      </c>
      <c r="AH351" s="96">
        <f>IF(AG351="",0,IF(SUMPRODUCT(--($AG$6:$AG$1005=AG351))&gt;1,1,0))</f>
        <v>0</v>
      </c>
      <c r="AI351" s="96">
        <f>IF(R351=0,0,IF(OR(U351=0,V351=0,Y351=0,AND(AH351=1,K351&lt;&gt;"Sim")),1,0))</f>
        <v>0</v>
      </c>
      <c r="AJ351" s="96">
        <f>IF(AND(R351=1,AA351&gt;0,AB351=AA351),1,0)</f>
        <v>0</v>
      </c>
      <c r="AK351" s="96">
        <f>IF(R351=0,0,IF(AA351&gt;0,N(L351),IF(ISNUMBER(I351),I351,0)))</f>
        <v>0</v>
      </c>
      <c r="AL351" s="96">
        <f>IF(R351=0,0,IF(AND(K351&lt;&gt;"Sim",N(M351)&gt;AK351+cfg_tol),1,0))</f>
        <v>0</v>
      </c>
      <c r="AM351" s="96">
        <f>IF(R351=0,0,IF(K351="Sim",0,IF(OR(AND(AA351&gt;0,ISNUMBER(I351),ABS(I351-N(L351))&gt;cfg_tol),AL351=1),1,0)))</f>
        <v>0</v>
      </c>
      <c r="AN351" s="96">
        <f>IF(AND(R351=1,N(M351)&gt;0,OR(N(M351)&gt;=AK351-cfg_tol,K351="Sim")),1,0)</f>
        <v>0</v>
      </c>
      <c r="AO351" s="96">
        <f>IF(AND(AN351=1,AD351&gt;0,AE351=AD351,AL351=0),1,0)</f>
        <v>0</v>
      </c>
      <c r="AP351" s="96">
        <f>IF(U351=0,0,IF(AND(INDEX('MTRs'!$AX$6:$AX$505,T351)=1,Z351=0,OR(f_res="",f_res="(Todos)",C351=f_res)),1,0))</f>
        <v>0</v>
      </c>
      <c r="AQ351" s="97" t="str">
        <f>IF(U351=0,"",INDEX('MTRs'!$AZ$6:$AZ$505,T351))</f>
        <v/>
      </c>
      <c r="AR351" s="96">
        <f>IF(U351=0,0,IF(AND(INDEX('MTRs'!$BA$6:$BA$505,T351)=1,Z351=0),1,0))</f>
        <v>0</v>
      </c>
      <c r="AS351" s="96" t="str">
        <f>IF(R351=1,A351&amp;" | MTR "&amp;IF(U351=1,INDEX('MTRs'!$B$6:$B$505,T351)&amp;"","?")&amp;" | "&amp;IF(C351="","(sem resíduo)",C351),"")</f>
        <v/>
      </c>
      <c r="AT351" s="96" t="str">
        <f>IF(R351=1,COUNTIF($R$6:R351,1),"")</f>
        <v/>
      </c>
      <c r="AU351" s="96" t="str">
        <f>IF(U351=1,INDEX('MTRs'!$I$6:$I$505,T351)&amp;"","")</f>
        <v/>
      </c>
    </row>
    <row r="352">
      <c r="A352" s="89" t="inlineStr">
        <is>
          <t>IT-000347</t>
        </is>
      </c>
      <c r="B352" s="91" t="n"/>
      <c r="C352" s="91" t="n"/>
      <c r="D352" s="94" t="str">
        <f>IF(OR(R352=0,V352=0),"",INDEX('CAD_RESÍDUOS'!$E$6:$E$205,MATCH(C352,'CAD_RESÍDUOS'!$B$6:$B$205,0))&amp;"")</f>
        <v/>
      </c>
      <c r="E352" s="94" t="str">
        <f>IF(OR(R352=0,V352=0),"",INDEX('CAD_RESÍDUOS'!$C$6:$C$205,MATCH(C352,'CAD_RESÍDUOS'!$B$6:$B$205,0))&amp;"")</f>
        <v/>
      </c>
      <c r="F352" s="94" t="str">
        <f>IF(OR(R352=0,V352=0),"",INDEX('CAD_RESÍDUOS'!$G$6:$G$205,MATCH(C352,'CAD_RESÍDUOS'!$B$6:$B$205,0))&amp;"")</f>
        <v/>
      </c>
      <c r="G352" s="98" t="n"/>
      <c r="H352" s="91" t="n"/>
      <c r="I352" s="93" t="str">
        <f>IF(R352=0,"",IF(NOT(ISNUMBER(G352)),"",IF(ISNUMBER(X352),G352*X352,"UNIDADE A CONFERIR")))</f>
        <v/>
      </c>
      <c r="J352" s="91" t="n"/>
      <c r="K352" s="91" t="n"/>
      <c r="L352" s="93" t="str">
        <f>IF(R352=0,"",SUMIFS('RECEBIMENTOS'!$H$6:$H$1005,'RECEBIMENTOS'!$R$6:$R$1005,A352,'RECEBIMENTOS'!$X$6:$X$1005,1))</f>
        <v/>
      </c>
      <c r="M352" s="93" t="str">
        <f>IF(R352=0,"",SUMIFS('VÍNCULOS_CDF'!$H$6:$H$1005,'VÍNCULOS_CDF'!$R$6:$R$1005,A352,'VÍNCULOS_CDF'!$V$6:$V$1005,1))</f>
        <v/>
      </c>
      <c r="N352" s="99" t="str">
        <f>IF(OR(R352=0,AA352=0,NOT(ISNUMBER(I352))),"",I352-N(L352))</f>
        <v/>
      </c>
      <c r="O352" s="100" t="str">
        <f>IF(OR(R352=0,AK352&lt;=0),"",N(M352)/AK352)</f>
        <v/>
      </c>
      <c r="P352" s="94" t="str">
        <f>IF(R352=0,"",IF(S352="","Sem MTR associado",IF(U352=0,"MTR inexistente",IF(C352="","Resíduo não identificado",IF(V352=0,"Resíduo fora do cadastro",IF(W352=0,"Quantidade inválida",IF(H352="","Unidade não informada",IF(NOT(ISNUMBER(I352)),"Unidade a conferir",IF(AND(AH352=1,K352&lt;&gt;"Sim"),"Possível duplicidade",IF(Z352=1,"MTR cancelado",IF(AC352&gt;0,"Recebimento com alerta",IF(AA352=0,"Aguardando recebimento",IF(AB352&lt;AA352,"Recebimento a conferir",IF(AM352=1,"Quantidade a revisar",IF(AF352&gt;0,"Vínculo a revisar",IF(AD352=0,"Aguardando CDF",IF(AN352=0,"Vínculo de CDF parcial",IF(AE352&lt;AD352,"CDF a conferir","Documentação conferida"))))))))))))))))))</f>
        <v/>
      </c>
      <c r="Q352" s="93" t="str">
        <f>IF(OR(R352=0,AA352=0),"",MAX(0,N(L352)-N(M352)))</f>
        <v/>
      </c>
      <c r="R352" s="96">
        <f>IF(COUNTA(B352:C352,G352:H352,J352:K352)&gt;0,1,0)</f>
        <v>0</v>
      </c>
      <c r="S352" s="96" t="str">
        <f>IF(B352="","",TRIM(LEFT(B352,FIND(" |",B352&amp;" |")-1)))</f>
        <v/>
      </c>
      <c r="T352" s="96" t="str">
        <f>IF(S352="","",IFERROR(MATCH(S352,'MTRs'!$A$6:$A$505,0),""))</f>
        <v/>
      </c>
      <c r="U352" s="96">
        <f>IF(T352="",0,IF(INDEX('MTRs'!$Z$6:$Z$505,T352)=1,1,0))</f>
        <v>0</v>
      </c>
      <c r="V352" s="96">
        <f>IF(C352="",0,IF(ISNUMBER(MATCH(C352,'CAD_RESÍDUOS'!$B$6:$B$205,0)),1,0))</f>
        <v>0</v>
      </c>
      <c r="W352" s="96">
        <f>IF(AND(ISNUMBER(G352),G352&gt;0),1,0)</f>
        <v>0</v>
      </c>
      <c r="X352" s="96" t="str">
        <f>IF(H352="","",IFERROR(IF(ISNUMBER(INDEX(cfg_fac,MATCH(H352,cfg_units,0))),IF(INDEX(cfg_fac,MATCH(H352,cfg_units,0))&gt;0,INDEX(cfg_fac,MATCH(H352,cfg_units,0)),""),""),""))</f>
        <v/>
      </c>
      <c r="Y352" s="96">
        <f>IF(AND(W352=1,ISNUMBER(I352)),1,0)</f>
        <v>0</v>
      </c>
      <c r="Z352" s="96">
        <f>IF(U352=1,INDEX('MTRs'!$AA$6:$AA$505,T352),0)</f>
        <v>0</v>
      </c>
      <c r="AA352" s="96">
        <f>IF(R352=0,0,COUNTIFS('RECEBIMENTOS'!$R$6:$R$1005,A352,'RECEBIMENTOS'!$Q$6:$Q$1005,1))</f>
        <v>0</v>
      </c>
      <c r="AB352" s="96">
        <f>IF(R352=0,0,COUNTIFS('RECEBIMENTOS'!$R$6:$R$1005,A352,'RECEBIMENTOS'!$Z$6:$Z$1005,1))</f>
        <v>0</v>
      </c>
      <c r="AC352" s="96">
        <f>IF(R352=0,0,COUNTIFS('RECEBIMENTOS'!$R$6:$R$1005,A352,'RECEBIMENTOS'!$Y$6:$Y$1005,1))</f>
        <v>0</v>
      </c>
      <c r="AD352" s="96">
        <f>IF(R352=0,0,COUNTIFS('VÍNCULOS_CDF'!$R$6:$R$1005,A352,'VÍNCULOS_CDF'!$N$6:$N$1005,1))</f>
        <v>0</v>
      </c>
      <c r="AE352" s="96">
        <f>IF(R352=0,0,COUNTIFS('VÍNCULOS_CDF'!$R$6:$R$1005,A352,'VÍNCULOS_CDF'!$AA$6:$AA$1005,1))</f>
        <v>0</v>
      </c>
      <c r="AF352" s="96">
        <f>IF(R352=0,0,COUNTIFS('VÍNCULOS_CDF'!$R$6:$R$1005,A352,'VÍNCULOS_CDF'!$Y$6:$Y$1005,1))</f>
        <v>0</v>
      </c>
      <c r="AG352" s="96" t="str">
        <f>IF(AND(R352=1,S352&lt;&gt;"",C352&lt;&gt;""),S352&amp;"|"&amp;C352&amp;"|"&amp;G352&amp;"|"&amp;H352,"")</f>
        <v/>
      </c>
      <c r="AH352" s="96">
        <f>IF(AG352="",0,IF(SUMPRODUCT(--($AG$6:$AG$1005=AG352))&gt;1,1,0))</f>
        <v>0</v>
      </c>
      <c r="AI352" s="96">
        <f>IF(R352=0,0,IF(OR(U352=0,V352=0,Y352=0,AND(AH352=1,K352&lt;&gt;"Sim")),1,0))</f>
        <v>0</v>
      </c>
      <c r="AJ352" s="96">
        <f>IF(AND(R352=1,AA352&gt;0,AB352=AA352),1,0)</f>
        <v>0</v>
      </c>
      <c r="AK352" s="96">
        <f>IF(R352=0,0,IF(AA352&gt;0,N(L352),IF(ISNUMBER(I352),I352,0)))</f>
        <v>0</v>
      </c>
      <c r="AL352" s="96">
        <f>IF(R352=0,0,IF(AND(K352&lt;&gt;"Sim",N(M352)&gt;AK352+cfg_tol),1,0))</f>
        <v>0</v>
      </c>
      <c r="AM352" s="96">
        <f>IF(R352=0,0,IF(K352="Sim",0,IF(OR(AND(AA352&gt;0,ISNUMBER(I352),ABS(I352-N(L352))&gt;cfg_tol),AL352=1),1,0)))</f>
        <v>0</v>
      </c>
      <c r="AN352" s="96">
        <f>IF(AND(R352=1,N(M352)&gt;0,OR(N(M352)&gt;=AK352-cfg_tol,K352="Sim")),1,0)</f>
        <v>0</v>
      </c>
      <c r="AO352" s="96">
        <f>IF(AND(AN352=1,AD352&gt;0,AE352=AD352,AL352=0),1,0)</f>
        <v>0</v>
      </c>
      <c r="AP352" s="96">
        <f>IF(U352=0,0,IF(AND(INDEX('MTRs'!$AX$6:$AX$505,T352)=1,Z352=0,OR(f_res="",f_res="(Todos)",C352=f_res)),1,0))</f>
        <v>0</v>
      </c>
      <c r="AQ352" s="97" t="str">
        <f>IF(U352=0,"",INDEX('MTRs'!$AZ$6:$AZ$505,T352))</f>
        <v/>
      </c>
      <c r="AR352" s="96">
        <f>IF(U352=0,0,IF(AND(INDEX('MTRs'!$BA$6:$BA$505,T352)=1,Z352=0),1,0))</f>
        <v>0</v>
      </c>
      <c r="AS352" s="96" t="str">
        <f>IF(R352=1,A352&amp;" | MTR "&amp;IF(U352=1,INDEX('MTRs'!$B$6:$B$505,T352)&amp;"","?")&amp;" | "&amp;IF(C352="","(sem resíduo)",C352),"")</f>
        <v/>
      </c>
      <c r="AT352" s="96" t="str">
        <f>IF(R352=1,COUNTIF($R$6:R352,1),"")</f>
        <v/>
      </c>
      <c r="AU352" s="96" t="str">
        <f>IF(U352=1,INDEX('MTRs'!$I$6:$I$505,T352)&amp;"","")</f>
        <v/>
      </c>
    </row>
    <row r="353">
      <c r="A353" s="89" t="inlineStr">
        <is>
          <t>IT-000348</t>
        </is>
      </c>
      <c r="B353" s="91" t="n"/>
      <c r="C353" s="91" t="n"/>
      <c r="D353" s="94" t="str">
        <f>IF(OR(R353=0,V353=0),"",INDEX('CAD_RESÍDUOS'!$E$6:$E$205,MATCH(C353,'CAD_RESÍDUOS'!$B$6:$B$205,0))&amp;"")</f>
        <v/>
      </c>
      <c r="E353" s="94" t="str">
        <f>IF(OR(R353=0,V353=0),"",INDEX('CAD_RESÍDUOS'!$C$6:$C$205,MATCH(C353,'CAD_RESÍDUOS'!$B$6:$B$205,0))&amp;"")</f>
        <v/>
      </c>
      <c r="F353" s="94" t="str">
        <f>IF(OR(R353=0,V353=0),"",INDEX('CAD_RESÍDUOS'!$G$6:$G$205,MATCH(C353,'CAD_RESÍDUOS'!$B$6:$B$205,0))&amp;"")</f>
        <v/>
      </c>
      <c r="G353" s="98" t="n"/>
      <c r="H353" s="91" t="n"/>
      <c r="I353" s="93" t="str">
        <f>IF(R353=0,"",IF(NOT(ISNUMBER(G353)),"",IF(ISNUMBER(X353),G353*X353,"UNIDADE A CONFERIR")))</f>
        <v/>
      </c>
      <c r="J353" s="91" t="n"/>
      <c r="K353" s="91" t="n"/>
      <c r="L353" s="93" t="str">
        <f>IF(R353=0,"",SUMIFS('RECEBIMENTOS'!$H$6:$H$1005,'RECEBIMENTOS'!$R$6:$R$1005,A353,'RECEBIMENTOS'!$X$6:$X$1005,1))</f>
        <v/>
      </c>
      <c r="M353" s="93" t="str">
        <f>IF(R353=0,"",SUMIFS('VÍNCULOS_CDF'!$H$6:$H$1005,'VÍNCULOS_CDF'!$R$6:$R$1005,A353,'VÍNCULOS_CDF'!$V$6:$V$1005,1))</f>
        <v/>
      </c>
      <c r="N353" s="99" t="str">
        <f>IF(OR(R353=0,AA353=0,NOT(ISNUMBER(I353))),"",I353-N(L353))</f>
        <v/>
      </c>
      <c r="O353" s="100" t="str">
        <f>IF(OR(R353=0,AK353&lt;=0),"",N(M353)/AK353)</f>
        <v/>
      </c>
      <c r="P353" s="94" t="str">
        <f>IF(R353=0,"",IF(S353="","Sem MTR associado",IF(U353=0,"MTR inexistente",IF(C353="","Resíduo não identificado",IF(V353=0,"Resíduo fora do cadastro",IF(W353=0,"Quantidade inválida",IF(H353="","Unidade não informada",IF(NOT(ISNUMBER(I353)),"Unidade a conferir",IF(AND(AH353=1,K353&lt;&gt;"Sim"),"Possível duplicidade",IF(Z353=1,"MTR cancelado",IF(AC353&gt;0,"Recebimento com alerta",IF(AA353=0,"Aguardando recebimento",IF(AB353&lt;AA353,"Recebimento a conferir",IF(AM353=1,"Quantidade a revisar",IF(AF353&gt;0,"Vínculo a revisar",IF(AD353=0,"Aguardando CDF",IF(AN353=0,"Vínculo de CDF parcial",IF(AE353&lt;AD353,"CDF a conferir","Documentação conferida"))))))))))))))))))</f>
        <v/>
      </c>
      <c r="Q353" s="93" t="str">
        <f>IF(OR(R353=0,AA353=0),"",MAX(0,N(L353)-N(M353)))</f>
        <v/>
      </c>
      <c r="R353" s="96">
        <f>IF(COUNTA(B353:C353,G353:H353,J353:K353)&gt;0,1,0)</f>
        <v>0</v>
      </c>
      <c r="S353" s="96" t="str">
        <f>IF(B353="","",TRIM(LEFT(B353,FIND(" |",B353&amp;" |")-1)))</f>
        <v/>
      </c>
      <c r="T353" s="96" t="str">
        <f>IF(S353="","",IFERROR(MATCH(S353,'MTRs'!$A$6:$A$505,0),""))</f>
        <v/>
      </c>
      <c r="U353" s="96">
        <f>IF(T353="",0,IF(INDEX('MTRs'!$Z$6:$Z$505,T353)=1,1,0))</f>
        <v>0</v>
      </c>
      <c r="V353" s="96">
        <f>IF(C353="",0,IF(ISNUMBER(MATCH(C353,'CAD_RESÍDUOS'!$B$6:$B$205,0)),1,0))</f>
        <v>0</v>
      </c>
      <c r="W353" s="96">
        <f>IF(AND(ISNUMBER(G353),G353&gt;0),1,0)</f>
        <v>0</v>
      </c>
      <c r="X353" s="96" t="str">
        <f>IF(H353="","",IFERROR(IF(ISNUMBER(INDEX(cfg_fac,MATCH(H353,cfg_units,0))),IF(INDEX(cfg_fac,MATCH(H353,cfg_units,0))&gt;0,INDEX(cfg_fac,MATCH(H353,cfg_units,0)),""),""),""))</f>
        <v/>
      </c>
      <c r="Y353" s="96">
        <f>IF(AND(W353=1,ISNUMBER(I353)),1,0)</f>
        <v>0</v>
      </c>
      <c r="Z353" s="96">
        <f>IF(U353=1,INDEX('MTRs'!$AA$6:$AA$505,T353),0)</f>
        <v>0</v>
      </c>
      <c r="AA353" s="96">
        <f>IF(R353=0,0,COUNTIFS('RECEBIMENTOS'!$R$6:$R$1005,A353,'RECEBIMENTOS'!$Q$6:$Q$1005,1))</f>
        <v>0</v>
      </c>
      <c r="AB353" s="96">
        <f>IF(R353=0,0,COUNTIFS('RECEBIMENTOS'!$R$6:$R$1005,A353,'RECEBIMENTOS'!$Z$6:$Z$1005,1))</f>
        <v>0</v>
      </c>
      <c r="AC353" s="96">
        <f>IF(R353=0,0,COUNTIFS('RECEBIMENTOS'!$R$6:$R$1005,A353,'RECEBIMENTOS'!$Y$6:$Y$1005,1))</f>
        <v>0</v>
      </c>
      <c r="AD353" s="96">
        <f>IF(R353=0,0,COUNTIFS('VÍNCULOS_CDF'!$R$6:$R$1005,A353,'VÍNCULOS_CDF'!$N$6:$N$1005,1))</f>
        <v>0</v>
      </c>
      <c r="AE353" s="96">
        <f>IF(R353=0,0,COUNTIFS('VÍNCULOS_CDF'!$R$6:$R$1005,A353,'VÍNCULOS_CDF'!$AA$6:$AA$1005,1))</f>
        <v>0</v>
      </c>
      <c r="AF353" s="96">
        <f>IF(R353=0,0,COUNTIFS('VÍNCULOS_CDF'!$R$6:$R$1005,A353,'VÍNCULOS_CDF'!$Y$6:$Y$1005,1))</f>
        <v>0</v>
      </c>
      <c r="AG353" s="96" t="str">
        <f>IF(AND(R353=1,S353&lt;&gt;"",C353&lt;&gt;""),S353&amp;"|"&amp;C353&amp;"|"&amp;G353&amp;"|"&amp;H353,"")</f>
        <v/>
      </c>
      <c r="AH353" s="96">
        <f>IF(AG353="",0,IF(SUMPRODUCT(--($AG$6:$AG$1005=AG353))&gt;1,1,0))</f>
        <v>0</v>
      </c>
      <c r="AI353" s="96">
        <f>IF(R353=0,0,IF(OR(U353=0,V353=0,Y353=0,AND(AH353=1,K353&lt;&gt;"Sim")),1,0))</f>
        <v>0</v>
      </c>
      <c r="AJ353" s="96">
        <f>IF(AND(R353=1,AA353&gt;0,AB353=AA353),1,0)</f>
        <v>0</v>
      </c>
      <c r="AK353" s="96">
        <f>IF(R353=0,0,IF(AA353&gt;0,N(L353),IF(ISNUMBER(I353),I353,0)))</f>
        <v>0</v>
      </c>
      <c r="AL353" s="96">
        <f>IF(R353=0,0,IF(AND(K353&lt;&gt;"Sim",N(M353)&gt;AK353+cfg_tol),1,0))</f>
        <v>0</v>
      </c>
      <c r="AM353" s="96">
        <f>IF(R353=0,0,IF(K353="Sim",0,IF(OR(AND(AA353&gt;0,ISNUMBER(I353),ABS(I353-N(L353))&gt;cfg_tol),AL353=1),1,0)))</f>
        <v>0</v>
      </c>
      <c r="AN353" s="96">
        <f>IF(AND(R353=1,N(M353)&gt;0,OR(N(M353)&gt;=AK353-cfg_tol,K353="Sim")),1,0)</f>
        <v>0</v>
      </c>
      <c r="AO353" s="96">
        <f>IF(AND(AN353=1,AD353&gt;0,AE353=AD353,AL353=0),1,0)</f>
        <v>0</v>
      </c>
      <c r="AP353" s="96">
        <f>IF(U353=0,0,IF(AND(INDEX('MTRs'!$AX$6:$AX$505,T353)=1,Z353=0,OR(f_res="",f_res="(Todos)",C353=f_res)),1,0))</f>
        <v>0</v>
      </c>
      <c r="AQ353" s="97" t="str">
        <f>IF(U353=0,"",INDEX('MTRs'!$AZ$6:$AZ$505,T353))</f>
        <v/>
      </c>
      <c r="AR353" s="96">
        <f>IF(U353=0,0,IF(AND(INDEX('MTRs'!$BA$6:$BA$505,T353)=1,Z353=0),1,0))</f>
        <v>0</v>
      </c>
      <c r="AS353" s="96" t="str">
        <f>IF(R353=1,A353&amp;" | MTR "&amp;IF(U353=1,INDEX('MTRs'!$B$6:$B$505,T353)&amp;"","?")&amp;" | "&amp;IF(C353="","(sem resíduo)",C353),"")</f>
        <v/>
      </c>
      <c r="AT353" s="96" t="str">
        <f>IF(R353=1,COUNTIF($R$6:R353,1),"")</f>
        <v/>
      </c>
      <c r="AU353" s="96" t="str">
        <f>IF(U353=1,INDEX('MTRs'!$I$6:$I$505,T353)&amp;"","")</f>
        <v/>
      </c>
    </row>
    <row r="354">
      <c r="A354" s="89" t="inlineStr">
        <is>
          <t>IT-000349</t>
        </is>
      </c>
      <c r="B354" s="91" t="n"/>
      <c r="C354" s="91" t="n"/>
      <c r="D354" s="94" t="str">
        <f>IF(OR(R354=0,V354=0),"",INDEX('CAD_RESÍDUOS'!$E$6:$E$205,MATCH(C354,'CAD_RESÍDUOS'!$B$6:$B$205,0))&amp;"")</f>
        <v/>
      </c>
      <c r="E354" s="94" t="str">
        <f>IF(OR(R354=0,V354=0),"",INDEX('CAD_RESÍDUOS'!$C$6:$C$205,MATCH(C354,'CAD_RESÍDUOS'!$B$6:$B$205,0))&amp;"")</f>
        <v/>
      </c>
      <c r="F354" s="94" t="str">
        <f>IF(OR(R354=0,V354=0),"",INDEX('CAD_RESÍDUOS'!$G$6:$G$205,MATCH(C354,'CAD_RESÍDUOS'!$B$6:$B$205,0))&amp;"")</f>
        <v/>
      </c>
      <c r="G354" s="98" t="n"/>
      <c r="H354" s="91" t="n"/>
      <c r="I354" s="93" t="str">
        <f>IF(R354=0,"",IF(NOT(ISNUMBER(G354)),"",IF(ISNUMBER(X354),G354*X354,"UNIDADE A CONFERIR")))</f>
        <v/>
      </c>
      <c r="J354" s="91" t="n"/>
      <c r="K354" s="91" t="n"/>
      <c r="L354" s="93" t="str">
        <f>IF(R354=0,"",SUMIFS('RECEBIMENTOS'!$H$6:$H$1005,'RECEBIMENTOS'!$R$6:$R$1005,A354,'RECEBIMENTOS'!$X$6:$X$1005,1))</f>
        <v/>
      </c>
      <c r="M354" s="93" t="str">
        <f>IF(R354=0,"",SUMIFS('VÍNCULOS_CDF'!$H$6:$H$1005,'VÍNCULOS_CDF'!$R$6:$R$1005,A354,'VÍNCULOS_CDF'!$V$6:$V$1005,1))</f>
        <v/>
      </c>
      <c r="N354" s="99" t="str">
        <f>IF(OR(R354=0,AA354=0,NOT(ISNUMBER(I354))),"",I354-N(L354))</f>
        <v/>
      </c>
      <c r="O354" s="100" t="str">
        <f>IF(OR(R354=0,AK354&lt;=0),"",N(M354)/AK354)</f>
        <v/>
      </c>
      <c r="P354" s="94" t="str">
        <f>IF(R354=0,"",IF(S354="","Sem MTR associado",IF(U354=0,"MTR inexistente",IF(C354="","Resíduo não identificado",IF(V354=0,"Resíduo fora do cadastro",IF(W354=0,"Quantidade inválida",IF(H354="","Unidade não informada",IF(NOT(ISNUMBER(I354)),"Unidade a conferir",IF(AND(AH354=1,K354&lt;&gt;"Sim"),"Possível duplicidade",IF(Z354=1,"MTR cancelado",IF(AC354&gt;0,"Recebimento com alerta",IF(AA354=0,"Aguardando recebimento",IF(AB354&lt;AA354,"Recebimento a conferir",IF(AM354=1,"Quantidade a revisar",IF(AF354&gt;0,"Vínculo a revisar",IF(AD354=0,"Aguardando CDF",IF(AN354=0,"Vínculo de CDF parcial",IF(AE354&lt;AD354,"CDF a conferir","Documentação conferida"))))))))))))))))))</f>
        <v/>
      </c>
      <c r="Q354" s="93" t="str">
        <f>IF(OR(R354=0,AA354=0),"",MAX(0,N(L354)-N(M354)))</f>
        <v/>
      </c>
      <c r="R354" s="96">
        <f>IF(COUNTA(B354:C354,G354:H354,J354:K354)&gt;0,1,0)</f>
        <v>0</v>
      </c>
      <c r="S354" s="96" t="str">
        <f>IF(B354="","",TRIM(LEFT(B354,FIND(" |",B354&amp;" |")-1)))</f>
        <v/>
      </c>
      <c r="T354" s="96" t="str">
        <f>IF(S354="","",IFERROR(MATCH(S354,'MTRs'!$A$6:$A$505,0),""))</f>
        <v/>
      </c>
      <c r="U354" s="96">
        <f>IF(T354="",0,IF(INDEX('MTRs'!$Z$6:$Z$505,T354)=1,1,0))</f>
        <v>0</v>
      </c>
      <c r="V354" s="96">
        <f>IF(C354="",0,IF(ISNUMBER(MATCH(C354,'CAD_RESÍDUOS'!$B$6:$B$205,0)),1,0))</f>
        <v>0</v>
      </c>
      <c r="W354" s="96">
        <f>IF(AND(ISNUMBER(G354),G354&gt;0),1,0)</f>
        <v>0</v>
      </c>
      <c r="X354" s="96" t="str">
        <f>IF(H354="","",IFERROR(IF(ISNUMBER(INDEX(cfg_fac,MATCH(H354,cfg_units,0))),IF(INDEX(cfg_fac,MATCH(H354,cfg_units,0))&gt;0,INDEX(cfg_fac,MATCH(H354,cfg_units,0)),""),""),""))</f>
        <v/>
      </c>
      <c r="Y354" s="96">
        <f>IF(AND(W354=1,ISNUMBER(I354)),1,0)</f>
        <v>0</v>
      </c>
      <c r="Z354" s="96">
        <f>IF(U354=1,INDEX('MTRs'!$AA$6:$AA$505,T354),0)</f>
        <v>0</v>
      </c>
      <c r="AA354" s="96">
        <f>IF(R354=0,0,COUNTIFS('RECEBIMENTOS'!$R$6:$R$1005,A354,'RECEBIMENTOS'!$Q$6:$Q$1005,1))</f>
        <v>0</v>
      </c>
      <c r="AB354" s="96">
        <f>IF(R354=0,0,COUNTIFS('RECEBIMENTOS'!$R$6:$R$1005,A354,'RECEBIMENTOS'!$Z$6:$Z$1005,1))</f>
        <v>0</v>
      </c>
      <c r="AC354" s="96">
        <f>IF(R354=0,0,COUNTIFS('RECEBIMENTOS'!$R$6:$R$1005,A354,'RECEBIMENTOS'!$Y$6:$Y$1005,1))</f>
        <v>0</v>
      </c>
      <c r="AD354" s="96">
        <f>IF(R354=0,0,COUNTIFS('VÍNCULOS_CDF'!$R$6:$R$1005,A354,'VÍNCULOS_CDF'!$N$6:$N$1005,1))</f>
        <v>0</v>
      </c>
      <c r="AE354" s="96">
        <f>IF(R354=0,0,COUNTIFS('VÍNCULOS_CDF'!$R$6:$R$1005,A354,'VÍNCULOS_CDF'!$AA$6:$AA$1005,1))</f>
        <v>0</v>
      </c>
      <c r="AF354" s="96">
        <f>IF(R354=0,0,COUNTIFS('VÍNCULOS_CDF'!$R$6:$R$1005,A354,'VÍNCULOS_CDF'!$Y$6:$Y$1005,1))</f>
        <v>0</v>
      </c>
      <c r="AG354" s="96" t="str">
        <f>IF(AND(R354=1,S354&lt;&gt;"",C354&lt;&gt;""),S354&amp;"|"&amp;C354&amp;"|"&amp;G354&amp;"|"&amp;H354,"")</f>
        <v/>
      </c>
      <c r="AH354" s="96">
        <f>IF(AG354="",0,IF(SUMPRODUCT(--($AG$6:$AG$1005=AG354))&gt;1,1,0))</f>
        <v>0</v>
      </c>
      <c r="AI354" s="96">
        <f>IF(R354=0,0,IF(OR(U354=0,V354=0,Y354=0,AND(AH354=1,K354&lt;&gt;"Sim")),1,0))</f>
        <v>0</v>
      </c>
      <c r="AJ354" s="96">
        <f>IF(AND(R354=1,AA354&gt;0,AB354=AA354),1,0)</f>
        <v>0</v>
      </c>
      <c r="AK354" s="96">
        <f>IF(R354=0,0,IF(AA354&gt;0,N(L354),IF(ISNUMBER(I354),I354,0)))</f>
        <v>0</v>
      </c>
      <c r="AL354" s="96">
        <f>IF(R354=0,0,IF(AND(K354&lt;&gt;"Sim",N(M354)&gt;AK354+cfg_tol),1,0))</f>
        <v>0</v>
      </c>
      <c r="AM354" s="96">
        <f>IF(R354=0,0,IF(K354="Sim",0,IF(OR(AND(AA354&gt;0,ISNUMBER(I354),ABS(I354-N(L354))&gt;cfg_tol),AL354=1),1,0)))</f>
        <v>0</v>
      </c>
      <c r="AN354" s="96">
        <f>IF(AND(R354=1,N(M354)&gt;0,OR(N(M354)&gt;=AK354-cfg_tol,K354="Sim")),1,0)</f>
        <v>0</v>
      </c>
      <c r="AO354" s="96">
        <f>IF(AND(AN354=1,AD354&gt;0,AE354=AD354,AL354=0),1,0)</f>
        <v>0</v>
      </c>
      <c r="AP354" s="96">
        <f>IF(U354=0,0,IF(AND(INDEX('MTRs'!$AX$6:$AX$505,T354)=1,Z354=0,OR(f_res="",f_res="(Todos)",C354=f_res)),1,0))</f>
        <v>0</v>
      </c>
      <c r="AQ354" s="97" t="str">
        <f>IF(U354=0,"",INDEX('MTRs'!$AZ$6:$AZ$505,T354))</f>
        <v/>
      </c>
      <c r="AR354" s="96">
        <f>IF(U354=0,0,IF(AND(INDEX('MTRs'!$BA$6:$BA$505,T354)=1,Z354=0),1,0))</f>
        <v>0</v>
      </c>
      <c r="AS354" s="96" t="str">
        <f>IF(R354=1,A354&amp;" | MTR "&amp;IF(U354=1,INDEX('MTRs'!$B$6:$B$505,T354)&amp;"","?")&amp;" | "&amp;IF(C354="","(sem resíduo)",C354),"")</f>
        <v/>
      </c>
      <c r="AT354" s="96" t="str">
        <f>IF(R354=1,COUNTIF($R$6:R354,1),"")</f>
        <v/>
      </c>
      <c r="AU354" s="96" t="str">
        <f>IF(U354=1,INDEX('MTRs'!$I$6:$I$505,T354)&amp;"","")</f>
        <v/>
      </c>
    </row>
    <row r="355">
      <c r="A355" s="89" t="inlineStr">
        <is>
          <t>IT-000350</t>
        </is>
      </c>
      <c r="B355" s="91" t="n"/>
      <c r="C355" s="91" t="n"/>
      <c r="D355" s="94" t="str">
        <f>IF(OR(R355=0,V355=0),"",INDEX('CAD_RESÍDUOS'!$E$6:$E$205,MATCH(C355,'CAD_RESÍDUOS'!$B$6:$B$205,0))&amp;"")</f>
        <v/>
      </c>
      <c r="E355" s="94" t="str">
        <f>IF(OR(R355=0,V355=0),"",INDEX('CAD_RESÍDUOS'!$C$6:$C$205,MATCH(C355,'CAD_RESÍDUOS'!$B$6:$B$205,0))&amp;"")</f>
        <v/>
      </c>
      <c r="F355" s="94" t="str">
        <f>IF(OR(R355=0,V355=0),"",INDEX('CAD_RESÍDUOS'!$G$6:$G$205,MATCH(C355,'CAD_RESÍDUOS'!$B$6:$B$205,0))&amp;"")</f>
        <v/>
      </c>
      <c r="G355" s="98" t="n"/>
      <c r="H355" s="91" t="n"/>
      <c r="I355" s="93" t="str">
        <f>IF(R355=0,"",IF(NOT(ISNUMBER(G355)),"",IF(ISNUMBER(X355),G355*X355,"UNIDADE A CONFERIR")))</f>
        <v/>
      </c>
      <c r="J355" s="91" t="n"/>
      <c r="K355" s="91" t="n"/>
      <c r="L355" s="93" t="str">
        <f>IF(R355=0,"",SUMIFS('RECEBIMENTOS'!$H$6:$H$1005,'RECEBIMENTOS'!$R$6:$R$1005,A355,'RECEBIMENTOS'!$X$6:$X$1005,1))</f>
        <v/>
      </c>
      <c r="M355" s="93" t="str">
        <f>IF(R355=0,"",SUMIFS('VÍNCULOS_CDF'!$H$6:$H$1005,'VÍNCULOS_CDF'!$R$6:$R$1005,A355,'VÍNCULOS_CDF'!$V$6:$V$1005,1))</f>
        <v/>
      </c>
      <c r="N355" s="99" t="str">
        <f>IF(OR(R355=0,AA355=0,NOT(ISNUMBER(I355))),"",I355-N(L355))</f>
        <v/>
      </c>
      <c r="O355" s="100" t="str">
        <f>IF(OR(R355=0,AK355&lt;=0),"",N(M355)/AK355)</f>
        <v/>
      </c>
      <c r="P355" s="94" t="str">
        <f>IF(R355=0,"",IF(S355="","Sem MTR associado",IF(U355=0,"MTR inexistente",IF(C355="","Resíduo não identificado",IF(V355=0,"Resíduo fora do cadastro",IF(W355=0,"Quantidade inválida",IF(H355="","Unidade não informada",IF(NOT(ISNUMBER(I355)),"Unidade a conferir",IF(AND(AH355=1,K355&lt;&gt;"Sim"),"Possível duplicidade",IF(Z355=1,"MTR cancelado",IF(AC355&gt;0,"Recebimento com alerta",IF(AA355=0,"Aguardando recebimento",IF(AB355&lt;AA355,"Recebimento a conferir",IF(AM355=1,"Quantidade a revisar",IF(AF355&gt;0,"Vínculo a revisar",IF(AD355=0,"Aguardando CDF",IF(AN355=0,"Vínculo de CDF parcial",IF(AE355&lt;AD355,"CDF a conferir","Documentação conferida"))))))))))))))))))</f>
        <v/>
      </c>
      <c r="Q355" s="93" t="str">
        <f>IF(OR(R355=0,AA355=0),"",MAX(0,N(L355)-N(M355)))</f>
        <v/>
      </c>
      <c r="R355" s="96">
        <f>IF(COUNTA(B355:C355,G355:H355,J355:K355)&gt;0,1,0)</f>
        <v>0</v>
      </c>
      <c r="S355" s="96" t="str">
        <f>IF(B355="","",TRIM(LEFT(B355,FIND(" |",B355&amp;" |")-1)))</f>
        <v/>
      </c>
      <c r="T355" s="96" t="str">
        <f>IF(S355="","",IFERROR(MATCH(S355,'MTRs'!$A$6:$A$505,0),""))</f>
        <v/>
      </c>
      <c r="U355" s="96">
        <f>IF(T355="",0,IF(INDEX('MTRs'!$Z$6:$Z$505,T355)=1,1,0))</f>
        <v>0</v>
      </c>
      <c r="V355" s="96">
        <f>IF(C355="",0,IF(ISNUMBER(MATCH(C355,'CAD_RESÍDUOS'!$B$6:$B$205,0)),1,0))</f>
        <v>0</v>
      </c>
      <c r="W355" s="96">
        <f>IF(AND(ISNUMBER(G355),G355&gt;0),1,0)</f>
        <v>0</v>
      </c>
      <c r="X355" s="96" t="str">
        <f>IF(H355="","",IFERROR(IF(ISNUMBER(INDEX(cfg_fac,MATCH(H355,cfg_units,0))),IF(INDEX(cfg_fac,MATCH(H355,cfg_units,0))&gt;0,INDEX(cfg_fac,MATCH(H355,cfg_units,0)),""),""),""))</f>
        <v/>
      </c>
      <c r="Y355" s="96">
        <f>IF(AND(W355=1,ISNUMBER(I355)),1,0)</f>
        <v>0</v>
      </c>
      <c r="Z355" s="96">
        <f>IF(U355=1,INDEX('MTRs'!$AA$6:$AA$505,T355),0)</f>
        <v>0</v>
      </c>
      <c r="AA355" s="96">
        <f>IF(R355=0,0,COUNTIFS('RECEBIMENTOS'!$R$6:$R$1005,A355,'RECEBIMENTOS'!$Q$6:$Q$1005,1))</f>
        <v>0</v>
      </c>
      <c r="AB355" s="96">
        <f>IF(R355=0,0,COUNTIFS('RECEBIMENTOS'!$R$6:$R$1005,A355,'RECEBIMENTOS'!$Z$6:$Z$1005,1))</f>
        <v>0</v>
      </c>
      <c r="AC355" s="96">
        <f>IF(R355=0,0,COUNTIFS('RECEBIMENTOS'!$R$6:$R$1005,A355,'RECEBIMENTOS'!$Y$6:$Y$1005,1))</f>
        <v>0</v>
      </c>
      <c r="AD355" s="96">
        <f>IF(R355=0,0,COUNTIFS('VÍNCULOS_CDF'!$R$6:$R$1005,A355,'VÍNCULOS_CDF'!$N$6:$N$1005,1))</f>
        <v>0</v>
      </c>
      <c r="AE355" s="96">
        <f>IF(R355=0,0,COUNTIFS('VÍNCULOS_CDF'!$R$6:$R$1005,A355,'VÍNCULOS_CDF'!$AA$6:$AA$1005,1))</f>
        <v>0</v>
      </c>
      <c r="AF355" s="96">
        <f>IF(R355=0,0,COUNTIFS('VÍNCULOS_CDF'!$R$6:$R$1005,A355,'VÍNCULOS_CDF'!$Y$6:$Y$1005,1))</f>
        <v>0</v>
      </c>
      <c r="AG355" s="96" t="str">
        <f>IF(AND(R355=1,S355&lt;&gt;"",C355&lt;&gt;""),S355&amp;"|"&amp;C355&amp;"|"&amp;G355&amp;"|"&amp;H355,"")</f>
        <v/>
      </c>
      <c r="AH355" s="96">
        <f>IF(AG355="",0,IF(SUMPRODUCT(--($AG$6:$AG$1005=AG355))&gt;1,1,0))</f>
        <v>0</v>
      </c>
      <c r="AI355" s="96">
        <f>IF(R355=0,0,IF(OR(U355=0,V355=0,Y355=0,AND(AH355=1,K355&lt;&gt;"Sim")),1,0))</f>
        <v>0</v>
      </c>
      <c r="AJ355" s="96">
        <f>IF(AND(R355=1,AA355&gt;0,AB355=AA355),1,0)</f>
        <v>0</v>
      </c>
      <c r="AK355" s="96">
        <f>IF(R355=0,0,IF(AA355&gt;0,N(L355),IF(ISNUMBER(I355),I355,0)))</f>
        <v>0</v>
      </c>
      <c r="AL355" s="96">
        <f>IF(R355=0,0,IF(AND(K355&lt;&gt;"Sim",N(M355)&gt;AK355+cfg_tol),1,0))</f>
        <v>0</v>
      </c>
      <c r="AM355" s="96">
        <f>IF(R355=0,0,IF(K355="Sim",0,IF(OR(AND(AA355&gt;0,ISNUMBER(I355),ABS(I355-N(L355))&gt;cfg_tol),AL355=1),1,0)))</f>
        <v>0</v>
      </c>
      <c r="AN355" s="96">
        <f>IF(AND(R355=1,N(M355)&gt;0,OR(N(M355)&gt;=AK355-cfg_tol,K355="Sim")),1,0)</f>
        <v>0</v>
      </c>
      <c r="AO355" s="96">
        <f>IF(AND(AN355=1,AD355&gt;0,AE355=AD355,AL355=0),1,0)</f>
        <v>0</v>
      </c>
      <c r="AP355" s="96">
        <f>IF(U355=0,0,IF(AND(INDEX('MTRs'!$AX$6:$AX$505,T355)=1,Z355=0,OR(f_res="",f_res="(Todos)",C355=f_res)),1,0))</f>
        <v>0</v>
      </c>
      <c r="AQ355" s="97" t="str">
        <f>IF(U355=0,"",INDEX('MTRs'!$AZ$6:$AZ$505,T355))</f>
        <v/>
      </c>
      <c r="AR355" s="96">
        <f>IF(U355=0,0,IF(AND(INDEX('MTRs'!$BA$6:$BA$505,T355)=1,Z355=0),1,0))</f>
        <v>0</v>
      </c>
      <c r="AS355" s="96" t="str">
        <f>IF(R355=1,A355&amp;" | MTR "&amp;IF(U355=1,INDEX('MTRs'!$B$6:$B$505,T355)&amp;"","?")&amp;" | "&amp;IF(C355="","(sem resíduo)",C355),"")</f>
        <v/>
      </c>
      <c r="AT355" s="96" t="str">
        <f>IF(R355=1,COUNTIF($R$6:R355,1),"")</f>
        <v/>
      </c>
      <c r="AU355" s="96" t="str">
        <f>IF(U355=1,INDEX('MTRs'!$I$6:$I$505,T355)&amp;"","")</f>
        <v/>
      </c>
    </row>
    <row r="356">
      <c r="A356" s="89" t="inlineStr">
        <is>
          <t>IT-000351</t>
        </is>
      </c>
      <c r="B356" s="91" t="n"/>
      <c r="C356" s="91" t="n"/>
      <c r="D356" s="94" t="str">
        <f>IF(OR(R356=0,V356=0),"",INDEX('CAD_RESÍDUOS'!$E$6:$E$205,MATCH(C356,'CAD_RESÍDUOS'!$B$6:$B$205,0))&amp;"")</f>
        <v/>
      </c>
      <c r="E356" s="94" t="str">
        <f>IF(OR(R356=0,V356=0),"",INDEX('CAD_RESÍDUOS'!$C$6:$C$205,MATCH(C356,'CAD_RESÍDUOS'!$B$6:$B$205,0))&amp;"")</f>
        <v/>
      </c>
      <c r="F356" s="94" t="str">
        <f>IF(OR(R356=0,V356=0),"",INDEX('CAD_RESÍDUOS'!$G$6:$G$205,MATCH(C356,'CAD_RESÍDUOS'!$B$6:$B$205,0))&amp;"")</f>
        <v/>
      </c>
      <c r="G356" s="98" t="n"/>
      <c r="H356" s="91" t="n"/>
      <c r="I356" s="93" t="str">
        <f>IF(R356=0,"",IF(NOT(ISNUMBER(G356)),"",IF(ISNUMBER(X356),G356*X356,"UNIDADE A CONFERIR")))</f>
        <v/>
      </c>
      <c r="J356" s="91" t="n"/>
      <c r="K356" s="91" t="n"/>
      <c r="L356" s="93" t="str">
        <f>IF(R356=0,"",SUMIFS('RECEBIMENTOS'!$H$6:$H$1005,'RECEBIMENTOS'!$R$6:$R$1005,A356,'RECEBIMENTOS'!$X$6:$X$1005,1))</f>
        <v/>
      </c>
      <c r="M356" s="93" t="str">
        <f>IF(R356=0,"",SUMIFS('VÍNCULOS_CDF'!$H$6:$H$1005,'VÍNCULOS_CDF'!$R$6:$R$1005,A356,'VÍNCULOS_CDF'!$V$6:$V$1005,1))</f>
        <v/>
      </c>
      <c r="N356" s="99" t="str">
        <f>IF(OR(R356=0,AA356=0,NOT(ISNUMBER(I356))),"",I356-N(L356))</f>
        <v/>
      </c>
      <c r="O356" s="100" t="str">
        <f>IF(OR(R356=0,AK356&lt;=0),"",N(M356)/AK356)</f>
        <v/>
      </c>
      <c r="P356" s="94" t="str">
        <f>IF(R356=0,"",IF(S356="","Sem MTR associado",IF(U356=0,"MTR inexistente",IF(C356="","Resíduo não identificado",IF(V356=0,"Resíduo fora do cadastro",IF(W356=0,"Quantidade inválida",IF(H356="","Unidade não informada",IF(NOT(ISNUMBER(I356)),"Unidade a conferir",IF(AND(AH356=1,K356&lt;&gt;"Sim"),"Possível duplicidade",IF(Z356=1,"MTR cancelado",IF(AC356&gt;0,"Recebimento com alerta",IF(AA356=0,"Aguardando recebimento",IF(AB356&lt;AA356,"Recebimento a conferir",IF(AM356=1,"Quantidade a revisar",IF(AF356&gt;0,"Vínculo a revisar",IF(AD356=0,"Aguardando CDF",IF(AN356=0,"Vínculo de CDF parcial",IF(AE356&lt;AD356,"CDF a conferir","Documentação conferida"))))))))))))))))))</f>
        <v/>
      </c>
      <c r="Q356" s="93" t="str">
        <f>IF(OR(R356=0,AA356=0),"",MAX(0,N(L356)-N(M356)))</f>
        <v/>
      </c>
      <c r="R356" s="96">
        <f>IF(COUNTA(B356:C356,G356:H356,J356:K356)&gt;0,1,0)</f>
        <v>0</v>
      </c>
      <c r="S356" s="96" t="str">
        <f>IF(B356="","",TRIM(LEFT(B356,FIND(" |",B356&amp;" |")-1)))</f>
        <v/>
      </c>
      <c r="T356" s="96" t="str">
        <f>IF(S356="","",IFERROR(MATCH(S356,'MTRs'!$A$6:$A$505,0),""))</f>
        <v/>
      </c>
      <c r="U356" s="96">
        <f>IF(T356="",0,IF(INDEX('MTRs'!$Z$6:$Z$505,T356)=1,1,0))</f>
        <v>0</v>
      </c>
      <c r="V356" s="96">
        <f>IF(C356="",0,IF(ISNUMBER(MATCH(C356,'CAD_RESÍDUOS'!$B$6:$B$205,0)),1,0))</f>
        <v>0</v>
      </c>
      <c r="W356" s="96">
        <f>IF(AND(ISNUMBER(G356),G356&gt;0),1,0)</f>
        <v>0</v>
      </c>
      <c r="X356" s="96" t="str">
        <f>IF(H356="","",IFERROR(IF(ISNUMBER(INDEX(cfg_fac,MATCH(H356,cfg_units,0))),IF(INDEX(cfg_fac,MATCH(H356,cfg_units,0))&gt;0,INDEX(cfg_fac,MATCH(H356,cfg_units,0)),""),""),""))</f>
        <v/>
      </c>
      <c r="Y356" s="96">
        <f>IF(AND(W356=1,ISNUMBER(I356)),1,0)</f>
        <v>0</v>
      </c>
      <c r="Z356" s="96">
        <f>IF(U356=1,INDEX('MTRs'!$AA$6:$AA$505,T356),0)</f>
        <v>0</v>
      </c>
      <c r="AA356" s="96">
        <f>IF(R356=0,0,COUNTIFS('RECEBIMENTOS'!$R$6:$R$1005,A356,'RECEBIMENTOS'!$Q$6:$Q$1005,1))</f>
        <v>0</v>
      </c>
      <c r="AB356" s="96">
        <f>IF(R356=0,0,COUNTIFS('RECEBIMENTOS'!$R$6:$R$1005,A356,'RECEBIMENTOS'!$Z$6:$Z$1005,1))</f>
        <v>0</v>
      </c>
      <c r="AC356" s="96">
        <f>IF(R356=0,0,COUNTIFS('RECEBIMENTOS'!$R$6:$R$1005,A356,'RECEBIMENTOS'!$Y$6:$Y$1005,1))</f>
        <v>0</v>
      </c>
      <c r="AD356" s="96">
        <f>IF(R356=0,0,COUNTIFS('VÍNCULOS_CDF'!$R$6:$R$1005,A356,'VÍNCULOS_CDF'!$N$6:$N$1005,1))</f>
        <v>0</v>
      </c>
      <c r="AE356" s="96">
        <f>IF(R356=0,0,COUNTIFS('VÍNCULOS_CDF'!$R$6:$R$1005,A356,'VÍNCULOS_CDF'!$AA$6:$AA$1005,1))</f>
        <v>0</v>
      </c>
      <c r="AF356" s="96">
        <f>IF(R356=0,0,COUNTIFS('VÍNCULOS_CDF'!$R$6:$R$1005,A356,'VÍNCULOS_CDF'!$Y$6:$Y$1005,1))</f>
        <v>0</v>
      </c>
      <c r="AG356" s="96" t="str">
        <f>IF(AND(R356=1,S356&lt;&gt;"",C356&lt;&gt;""),S356&amp;"|"&amp;C356&amp;"|"&amp;G356&amp;"|"&amp;H356,"")</f>
        <v/>
      </c>
      <c r="AH356" s="96">
        <f>IF(AG356="",0,IF(SUMPRODUCT(--($AG$6:$AG$1005=AG356))&gt;1,1,0))</f>
        <v>0</v>
      </c>
      <c r="AI356" s="96">
        <f>IF(R356=0,0,IF(OR(U356=0,V356=0,Y356=0,AND(AH356=1,K356&lt;&gt;"Sim")),1,0))</f>
        <v>0</v>
      </c>
      <c r="AJ356" s="96">
        <f>IF(AND(R356=1,AA356&gt;0,AB356=AA356),1,0)</f>
        <v>0</v>
      </c>
      <c r="AK356" s="96">
        <f>IF(R356=0,0,IF(AA356&gt;0,N(L356),IF(ISNUMBER(I356),I356,0)))</f>
        <v>0</v>
      </c>
      <c r="AL356" s="96">
        <f>IF(R356=0,0,IF(AND(K356&lt;&gt;"Sim",N(M356)&gt;AK356+cfg_tol),1,0))</f>
        <v>0</v>
      </c>
      <c r="AM356" s="96">
        <f>IF(R356=0,0,IF(K356="Sim",0,IF(OR(AND(AA356&gt;0,ISNUMBER(I356),ABS(I356-N(L356))&gt;cfg_tol),AL356=1),1,0)))</f>
        <v>0</v>
      </c>
      <c r="AN356" s="96">
        <f>IF(AND(R356=1,N(M356)&gt;0,OR(N(M356)&gt;=AK356-cfg_tol,K356="Sim")),1,0)</f>
        <v>0</v>
      </c>
      <c r="AO356" s="96">
        <f>IF(AND(AN356=1,AD356&gt;0,AE356=AD356,AL356=0),1,0)</f>
        <v>0</v>
      </c>
      <c r="AP356" s="96">
        <f>IF(U356=0,0,IF(AND(INDEX('MTRs'!$AX$6:$AX$505,T356)=1,Z356=0,OR(f_res="",f_res="(Todos)",C356=f_res)),1,0))</f>
        <v>0</v>
      </c>
      <c r="AQ356" s="97" t="str">
        <f>IF(U356=0,"",INDEX('MTRs'!$AZ$6:$AZ$505,T356))</f>
        <v/>
      </c>
      <c r="AR356" s="96">
        <f>IF(U356=0,0,IF(AND(INDEX('MTRs'!$BA$6:$BA$505,T356)=1,Z356=0),1,0))</f>
        <v>0</v>
      </c>
      <c r="AS356" s="96" t="str">
        <f>IF(R356=1,A356&amp;" | MTR "&amp;IF(U356=1,INDEX('MTRs'!$B$6:$B$505,T356)&amp;"","?")&amp;" | "&amp;IF(C356="","(sem resíduo)",C356),"")</f>
        <v/>
      </c>
      <c r="AT356" s="96" t="str">
        <f>IF(R356=1,COUNTIF($R$6:R356,1),"")</f>
        <v/>
      </c>
      <c r="AU356" s="96" t="str">
        <f>IF(U356=1,INDEX('MTRs'!$I$6:$I$505,T356)&amp;"","")</f>
        <v/>
      </c>
    </row>
    <row r="357">
      <c r="A357" s="89" t="inlineStr">
        <is>
          <t>IT-000352</t>
        </is>
      </c>
      <c r="B357" s="91" t="n"/>
      <c r="C357" s="91" t="n"/>
      <c r="D357" s="94" t="str">
        <f>IF(OR(R357=0,V357=0),"",INDEX('CAD_RESÍDUOS'!$E$6:$E$205,MATCH(C357,'CAD_RESÍDUOS'!$B$6:$B$205,0))&amp;"")</f>
        <v/>
      </c>
      <c r="E357" s="94" t="str">
        <f>IF(OR(R357=0,V357=0),"",INDEX('CAD_RESÍDUOS'!$C$6:$C$205,MATCH(C357,'CAD_RESÍDUOS'!$B$6:$B$205,0))&amp;"")</f>
        <v/>
      </c>
      <c r="F357" s="94" t="str">
        <f>IF(OR(R357=0,V357=0),"",INDEX('CAD_RESÍDUOS'!$G$6:$G$205,MATCH(C357,'CAD_RESÍDUOS'!$B$6:$B$205,0))&amp;"")</f>
        <v/>
      </c>
      <c r="G357" s="98" t="n"/>
      <c r="H357" s="91" t="n"/>
      <c r="I357" s="93" t="str">
        <f>IF(R357=0,"",IF(NOT(ISNUMBER(G357)),"",IF(ISNUMBER(X357),G357*X357,"UNIDADE A CONFERIR")))</f>
        <v/>
      </c>
      <c r="J357" s="91" t="n"/>
      <c r="K357" s="91" t="n"/>
      <c r="L357" s="93" t="str">
        <f>IF(R357=0,"",SUMIFS('RECEBIMENTOS'!$H$6:$H$1005,'RECEBIMENTOS'!$R$6:$R$1005,A357,'RECEBIMENTOS'!$X$6:$X$1005,1))</f>
        <v/>
      </c>
      <c r="M357" s="93" t="str">
        <f>IF(R357=0,"",SUMIFS('VÍNCULOS_CDF'!$H$6:$H$1005,'VÍNCULOS_CDF'!$R$6:$R$1005,A357,'VÍNCULOS_CDF'!$V$6:$V$1005,1))</f>
        <v/>
      </c>
      <c r="N357" s="99" t="str">
        <f>IF(OR(R357=0,AA357=0,NOT(ISNUMBER(I357))),"",I357-N(L357))</f>
        <v/>
      </c>
      <c r="O357" s="100" t="str">
        <f>IF(OR(R357=0,AK357&lt;=0),"",N(M357)/AK357)</f>
        <v/>
      </c>
      <c r="P357" s="94" t="str">
        <f>IF(R357=0,"",IF(S357="","Sem MTR associado",IF(U357=0,"MTR inexistente",IF(C357="","Resíduo não identificado",IF(V357=0,"Resíduo fora do cadastro",IF(W357=0,"Quantidade inválida",IF(H357="","Unidade não informada",IF(NOT(ISNUMBER(I357)),"Unidade a conferir",IF(AND(AH357=1,K357&lt;&gt;"Sim"),"Possível duplicidade",IF(Z357=1,"MTR cancelado",IF(AC357&gt;0,"Recebimento com alerta",IF(AA357=0,"Aguardando recebimento",IF(AB357&lt;AA357,"Recebimento a conferir",IF(AM357=1,"Quantidade a revisar",IF(AF357&gt;0,"Vínculo a revisar",IF(AD357=0,"Aguardando CDF",IF(AN357=0,"Vínculo de CDF parcial",IF(AE357&lt;AD357,"CDF a conferir","Documentação conferida"))))))))))))))))))</f>
        <v/>
      </c>
      <c r="Q357" s="93" t="str">
        <f>IF(OR(R357=0,AA357=0),"",MAX(0,N(L357)-N(M357)))</f>
        <v/>
      </c>
      <c r="R357" s="96">
        <f>IF(COUNTA(B357:C357,G357:H357,J357:K357)&gt;0,1,0)</f>
        <v>0</v>
      </c>
      <c r="S357" s="96" t="str">
        <f>IF(B357="","",TRIM(LEFT(B357,FIND(" |",B357&amp;" |")-1)))</f>
        <v/>
      </c>
      <c r="T357" s="96" t="str">
        <f>IF(S357="","",IFERROR(MATCH(S357,'MTRs'!$A$6:$A$505,0),""))</f>
        <v/>
      </c>
      <c r="U357" s="96">
        <f>IF(T357="",0,IF(INDEX('MTRs'!$Z$6:$Z$505,T357)=1,1,0))</f>
        <v>0</v>
      </c>
      <c r="V357" s="96">
        <f>IF(C357="",0,IF(ISNUMBER(MATCH(C357,'CAD_RESÍDUOS'!$B$6:$B$205,0)),1,0))</f>
        <v>0</v>
      </c>
      <c r="W357" s="96">
        <f>IF(AND(ISNUMBER(G357),G357&gt;0),1,0)</f>
        <v>0</v>
      </c>
      <c r="X357" s="96" t="str">
        <f>IF(H357="","",IFERROR(IF(ISNUMBER(INDEX(cfg_fac,MATCH(H357,cfg_units,0))),IF(INDEX(cfg_fac,MATCH(H357,cfg_units,0))&gt;0,INDEX(cfg_fac,MATCH(H357,cfg_units,0)),""),""),""))</f>
        <v/>
      </c>
      <c r="Y357" s="96">
        <f>IF(AND(W357=1,ISNUMBER(I357)),1,0)</f>
        <v>0</v>
      </c>
      <c r="Z357" s="96">
        <f>IF(U357=1,INDEX('MTRs'!$AA$6:$AA$505,T357),0)</f>
        <v>0</v>
      </c>
      <c r="AA357" s="96">
        <f>IF(R357=0,0,COUNTIFS('RECEBIMENTOS'!$R$6:$R$1005,A357,'RECEBIMENTOS'!$Q$6:$Q$1005,1))</f>
        <v>0</v>
      </c>
      <c r="AB357" s="96">
        <f>IF(R357=0,0,COUNTIFS('RECEBIMENTOS'!$R$6:$R$1005,A357,'RECEBIMENTOS'!$Z$6:$Z$1005,1))</f>
        <v>0</v>
      </c>
      <c r="AC357" s="96">
        <f>IF(R357=0,0,COUNTIFS('RECEBIMENTOS'!$R$6:$R$1005,A357,'RECEBIMENTOS'!$Y$6:$Y$1005,1))</f>
        <v>0</v>
      </c>
      <c r="AD357" s="96">
        <f>IF(R357=0,0,COUNTIFS('VÍNCULOS_CDF'!$R$6:$R$1005,A357,'VÍNCULOS_CDF'!$N$6:$N$1005,1))</f>
        <v>0</v>
      </c>
      <c r="AE357" s="96">
        <f>IF(R357=0,0,COUNTIFS('VÍNCULOS_CDF'!$R$6:$R$1005,A357,'VÍNCULOS_CDF'!$AA$6:$AA$1005,1))</f>
        <v>0</v>
      </c>
      <c r="AF357" s="96">
        <f>IF(R357=0,0,COUNTIFS('VÍNCULOS_CDF'!$R$6:$R$1005,A357,'VÍNCULOS_CDF'!$Y$6:$Y$1005,1))</f>
        <v>0</v>
      </c>
      <c r="AG357" s="96" t="str">
        <f>IF(AND(R357=1,S357&lt;&gt;"",C357&lt;&gt;""),S357&amp;"|"&amp;C357&amp;"|"&amp;G357&amp;"|"&amp;H357,"")</f>
        <v/>
      </c>
      <c r="AH357" s="96">
        <f>IF(AG357="",0,IF(SUMPRODUCT(--($AG$6:$AG$1005=AG357))&gt;1,1,0))</f>
        <v>0</v>
      </c>
      <c r="AI357" s="96">
        <f>IF(R357=0,0,IF(OR(U357=0,V357=0,Y357=0,AND(AH357=1,K357&lt;&gt;"Sim")),1,0))</f>
        <v>0</v>
      </c>
      <c r="AJ357" s="96">
        <f>IF(AND(R357=1,AA357&gt;0,AB357=AA357),1,0)</f>
        <v>0</v>
      </c>
      <c r="AK357" s="96">
        <f>IF(R357=0,0,IF(AA357&gt;0,N(L357),IF(ISNUMBER(I357),I357,0)))</f>
        <v>0</v>
      </c>
      <c r="AL357" s="96">
        <f>IF(R357=0,0,IF(AND(K357&lt;&gt;"Sim",N(M357)&gt;AK357+cfg_tol),1,0))</f>
        <v>0</v>
      </c>
      <c r="AM357" s="96">
        <f>IF(R357=0,0,IF(K357="Sim",0,IF(OR(AND(AA357&gt;0,ISNUMBER(I357),ABS(I357-N(L357))&gt;cfg_tol),AL357=1),1,0)))</f>
        <v>0</v>
      </c>
      <c r="AN357" s="96">
        <f>IF(AND(R357=1,N(M357)&gt;0,OR(N(M357)&gt;=AK357-cfg_tol,K357="Sim")),1,0)</f>
        <v>0</v>
      </c>
      <c r="AO357" s="96">
        <f>IF(AND(AN357=1,AD357&gt;0,AE357=AD357,AL357=0),1,0)</f>
        <v>0</v>
      </c>
      <c r="AP357" s="96">
        <f>IF(U357=0,0,IF(AND(INDEX('MTRs'!$AX$6:$AX$505,T357)=1,Z357=0,OR(f_res="",f_res="(Todos)",C357=f_res)),1,0))</f>
        <v>0</v>
      </c>
      <c r="AQ357" s="97" t="str">
        <f>IF(U357=0,"",INDEX('MTRs'!$AZ$6:$AZ$505,T357))</f>
        <v/>
      </c>
      <c r="AR357" s="96">
        <f>IF(U357=0,0,IF(AND(INDEX('MTRs'!$BA$6:$BA$505,T357)=1,Z357=0),1,0))</f>
        <v>0</v>
      </c>
      <c r="AS357" s="96" t="str">
        <f>IF(R357=1,A357&amp;" | MTR "&amp;IF(U357=1,INDEX('MTRs'!$B$6:$B$505,T357)&amp;"","?")&amp;" | "&amp;IF(C357="","(sem resíduo)",C357),"")</f>
        <v/>
      </c>
      <c r="AT357" s="96" t="str">
        <f>IF(R357=1,COUNTIF($R$6:R357,1),"")</f>
        <v/>
      </c>
      <c r="AU357" s="96" t="str">
        <f>IF(U357=1,INDEX('MTRs'!$I$6:$I$505,T357)&amp;"","")</f>
        <v/>
      </c>
    </row>
    <row r="358">
      <c r="A358" s="89" t="inlineStr">
        <is>
          <t>IT-000353</t>
        </is>
      </c>
      <c r="B358" s="91" t="n"/>
      <c r="C358" s="91" t="n"/>
      <c r="D358" s="94" t="str">
        <f>IF(OR(R358=0,V358=0),"",INDEX('CAD_RESÍDUOS'!$E$6:$E$205,MATCH(C358,'CAD_RESÍDUOS'!$B$6:$B$205,0))&amp;"")</f>
        <v/>
      </c>
      <c r="E358" s="94" t="str">
        <f>IF(OR(R358=0,V358=0),"",INDEX('CAD_RESÍDUOS'!$C$6:$C$205,MATCH(C358,'CAD_RESÍDUOS'!$B$6:$B$205,0))&amp;"")</f>
        <v/>
      </c>
      <c r="F358" s="94" t="str">
        <f>IF(OR(R358=0,V358=0),"",INDEX('CAD_RESÍDUOS'!$G$6:$G$205,MATCH(C358,'CAD_RESÍDUOS'!$B$6:$B$205,0))&amp;"")</f>
        <v/>
      </c>
      <c r="G358" s="98" t="n"/>
      <c r="H358" s="91" t="n"/>
      <c r="I358" s="93" t="str">
        <f>IF(R358=0,"",IF(NOT(ISNUMBER(G358)),"",IF(ISNUMBER(X358),G358*X358,"UNIDADE A CONFERIR")))</f>
        <v/>
      </c>
      <c r="J358" s="91" t="n"/>
      <c r="K358" s="91" t="n"/>
      <c r="L358" s="93" t="str">
        <f>IF(R358=0,"",SUMIFS('RECEBIMENTOS'!$H$6:$H$1005,'RECEBIMENTOS'!$R$6:$R$1005,A358,'RECEBIMENTOS'!$X$6:$X$1005,1))</f>
        <v/>
      </c>
      <c r="M358" s="93" t="str">
        <f>IF(R358=0,"",SUMIFS('VÍNCULOS_CDF'!$H$6:$H$1005,'VÍNCULOS_CDF'!$R$6:$R$1005,A358,'VÍNCULOS_CDF'!$V$6:$V$1005,1))</f>
        <v/>
      </c>
      <c r="N358" s="99" t="str">
        <f>IF(OR(R358=0,AA358=0,NOT(ISNUMBER(I358))),"",I358-N(L358))</f>
        <v/>
      </c>
      <c r="O358" s="100" t="str">
        <f>IF(OR(R358=0,AK358&lt;=0),"",N(M358)/AK358)</f>
        <v/>
      </c>
      <c r="P358" s="94" t="str">
        <f>IF(R358=0,"",IF(S358="","Sem MTR associado",IF(U358=0,"MTR inexistente",IF(C358="","Resíduo não identificado",IF(V358=0,"Resíduo fora do cadastro",IF(W358=0,"Quantidade inválida",IF(H358="","Unidade não informada",IF(NOT(ISNUMBER(I358)),"Unidade a conferir",IF(AND(AH358=1,K358&lt;&gt;"Sim"),"Possível duplicidade",IF(Z358=1,"MTR cancelado",IF(AC358&gt;0,"Recebimento com alerta",IF(AA358=0,"Aguardando recebimento",IF(AB358&lt;AA358,"Recebimento a conferir",IF(AM358=1,"Quantidade a revisar",IF(AF358&gt;0,"Vínculo a revisar",IF(AD358=0,"Aguardando CDF",IF(AN358=0,"Vínculo de CDF parcial",IF(AE358&lt;AD358,"CDF a conferir","Documentação conferida"))))))))))))))))))</f>
        <v/>
      </c>
      <c r="Q358" s="93" t="str">
        <f>IF(OR(R358=0,AA358=0),"",MAX(0,N(L358)-N(M358)))</f>
        <v/>
      </c>
      <c r="R358" s="96">
        <f>IF(COUNTA(B358:C358,G358:H358,J358:K358)&gt;0,1,0)</f>
        <v>0</v>
      </c>
      <c r="S358" s="96" t="str">
        <f>IF(B358="","",TRIM(LEFT(B358,FIND(" |",B358&amp;" |")-1)))</f>
        <v/>
      </c>
      <c r="T358" s="96" t="str">
        <f>IF(S358="","",IFERROR(MATCH(S358,'MTRs'!$A$6:$A$505,0),""))</f>
        <v/>
      </c>
      <c r="U358" s="96">
        <f>IF(T358="",0,IF(INDEX('MTRs'!$Z$6:$Z$505,T358)=1,1,0))</f>
        <v>0</v>
      </c>
      <c r="V358" s="96">
        <f>IF(C358="",0,IF(ISNUMBER(MATCH(C358,'CAD_RESÍDUOS'!$B$6:$B$205,0)),1,0))</f>
        <v>0</v>
      </c>
      <c r="W358" s="96">
        <f>IF(AND(ISNUMBER(G358),G358&gt;0),1,0)</f>
        <v>0</v>
      </c>
      <c r="X358" s="96" t="str">
        <f>IF(H358="","",IFERROR(IF(ISNUMBER(INDEX(cfg_fac,MATCH(H358,cfg_units,0))),IF(INDEX(cfg_fac,MATCH(H358,cfg_units,0))&gt;0,INDEX(cfg_fac,MATCH(H358,cfg_units,0)),""),""),""))</f>
        <v/>
      </c>
      <c r="Y358" s="96">
        <f>IF(AND(W358=1,ISNUMBER(I358)),1,0)</f>
        <v>0</v>
      </c>
      <c r="Z358" s="96">
        <f>IF(U358=1,INDEX('MTRs'!$AA$6:$AA$505,T358),0)</f>
        <v>0</v>
      </c>
      <c r="AA358" s="96">
        <f>IF(R358=0,0,COUNTIFS('RECEBIMENTOS'!$R$6:$R$1005,A358,'RECEBIMENTOS'!$Q$6:$Q$1005,1))</f>
        <v>0</v>
      </c>
      <c r="AB358" s="96">
        <f>IF(R358=0,0,COUNTIFS('RECEBIMENTOS'!$R$6:$R$1005,A358,'RECEBIMENTOS'!$Z$6:$Z$1005,1))</f>
        <v>0</v>
      </c>
      <c r="AC358" s="96">
        <f>IF(R358=0,0,COUNTIFS('RECEBIMENTOS'!$R$6:$R$1005,A358,'RECEBIMENTOS'!$Y$6:$Y$1005,1))</f>
        <v>0</v>
      </c>
      <c r="AD358" s="96">
        <f>IF(R358=0,0,COUNTIFS('VÍNCULOS_CDF'!$R$6:$R$1005,A358,'VÍNCULOS_CDF'!$N$6:$N$1005,1))</f>
        <v>0</v>
      </c>
      <c r="AE358" s="96">
        <f>IF(R358=0,0,COUNTIFS('VÍNCULOS_CDF'!$R$6:$R$1005,A358,'VÍNCULOS_CDF'!$AA$6:$AA$1005,1))</f>
        <v>0</v>
      </c>
      <c r="AF358" s="96">
        <f>IF(R358=0,0,COUNTIFS('VÍNCULOS_CDF'!$R$6:$R$1005,A358,'VÍNCULOS_CDF'!$Y$6:$Y$1005,1))</f>
        <v>0</v>
      </c>
      <c r="AG358" s="96" t="str">
        <f>IF(AND(R358=1,S358&lt;&gt;"",C358&lt;&gt;""),S358&amp;"|"&amp;C358&amp;"|"&amp;G358&amp;"|"&amp;H358,"")</f>
        <v/>
      </c>
      <c r="AH358" s="96">
        <f>IF(AG358="",0,IF(SUMPRODUCT(--($AG$6:$AG$1005=AG358))&gt;1,1,0))</f>
        <v>0</v>
      </c>
      <c r="AI358" s="96">
        <f>IF(R358=0,0,IF(OR(U358=0,V358=0,Y358=0,AND(AH358=1,K358&lt;&gt;"Sim")),1,0))</f>
        <v>0</v>
      </c>
      <c r="AJ358" s="96">
        <f>IF(AND(R358=1,AA358&gt;0,AB358=AA358),1,0)</f>
        <v>0</v>
      </c>
      <c r="AK358" s="96">
        <f>IF(R358=0,0,IF(AA358&gt;0,N(L358),IF(ISNUMBER(I358),I358,0)))</f>
        <v>0</v>
      </c>
      <c r="AL358" s="96">
        <f>IF(R358=0,0,IF(AND(K358&lt;&gt;"Sim",N(M358)&gt;AK358+cfg_tol),1,0))</f>
        <v>0</v>
      </c>
      <c r="AM358" s="96">
        <f>IF(R358=0,0,IF(K358="Sim",0,IF(OR(AND(AA358&gt;0,ISNUMBER(I358),ABS(I358-N(L358))&gt;cfg_tol),AL358=1),1,0)))</f>
        <v>0</v>
      </c>
      <c r="AN358" s="96">
        <f>IF(AND(R358=1,N(M358)&gt;0,OR(N(M358)&gt;=AK358-cfg_tol,K358="Sim")),1,0)</f>
        <v>0</v>
      </c>
      <c r="AO358" s="96">
        <f>IF(AND(AN358=1,AD358&gt;0,AE358=AD358,AL358=0),1,0)</f>
        <v>0</v>
      </c>
      <c r="AP358" s="96">
        <f>IF(U358=0,0,IF(AND(INDEX('MTRs'!$AX$6:$AX$505,T358)=1,Z358=0,OR(f_res="",f_res="(Todos)",C358=f_res)),1,0))</f>
        <v>0</v>
      </c>
      <c r="AQ358" s="97" t="str">
        <f>IF(U358=0,"",INDEX('MTRs'!$AZ$6:$AZ$505,T358))</f>
        <v/>
      </c>
      <c r="AR358" s="96">
        <f>IF(U358=0,0,IF(AND(INDEX('MTRs'!$BA$6:$BA$505,T358)=1,Z358=0),1,0))</f>
        <v>0</v>
      </c>
      <c r="AS358" s="96" t="str">
        <f>IF(R358=1,A358&amp;" | MTR "&amp;IF(U358=1,INDEX('MTRs'!$B$6:$B$505,T358)&amp;"","?")&amp;" | "&amp;IF(C358="","(sem resíduo)",C358),"")</f>
        <v/>
      </c>
      <c r="AT358" s="96" t="str">
        <f>IF(R358=1,COUNTIF($R$6:R358,1),"")</f>
        <v/>
      </c>
      <c r="AU358" s="96" t="str">
        <f>IF(U358=1,INDEX('MTRs'!$I$6:$I$505,T358)&amp;"","")</f>
        <v/>
      </c>
    </row>
    <row r="359">
      <c r="A359" s="89" t="inlineStr">
        <is>
          <t>IT-000354</t>
        </is>
      </c>
      <c r="B359" s="91" t="n"/>
      <c r="C359" s="91" t="n"/>
      <c r="D359" s="94" t="str">
        <f>IF(OR(R359=0,V359=0),"",INDEX('CAD_RESÍDUOS'!$E$6:$E$205,MATCH(C359,'CAD_RESÍDUOS'!$B$6:$B$205,0))&amp;"")</f>
        <v/>
      </c>
      <c r="E359" s="94" t="str">
        <f>IF(OR(R359=0,V359=0),"",INDEX('CAD_RESÍDUOS'!$C$6:$C$205,MATCH(C359,'CAD_RESÍDUOS'!$B$6:$B$205,0))&amp;"")</f>
        <v/>
      </c>
      <c r="F359" s="94" t="str">
        <f>IF(OR(R359=0,V359=0),"",INDEX('CAD_RESÍDUOS'!$G$6:$G$205,MATCH(C359,'CAD_RESÍDUOS'!$B$6:$B$205,0))&amp;"")</f>
        <v/>
      </c>
      <c r="G359" s="98" t="n"/>
      <c r="H359" s="91" t="n"/>
      <c r="I359" s="93" t="str">
        <f>IF(R359=0,"",IF(NOT(ISNUMBER(G359)),"",IF(ISNUMBER(X359),G359*X359,"UNIDADE A CONFERIR")))</f>
        <v/>
      </c>
      <c r="J359" s="91" t="n"/>
      <c r="K359" s="91" t="n"/>
      <c r="L359" s="93" t="str">
        <f>IF(R359=0,"",SUMIFS('RECEBIMENTOS'!$H$6:$H$1005,'RECEBIMENTOS'!$R$6:$R$1005,A359,'RECEBIMENTOS'!$X$6:$X$1005,1))</f>
        <v/>
      </c>
      <c r="M359" s="93" t="str">
        <f>IF(R359=0,"",SUMIFS('VÍNCULOS_CDF'!$H$6:$H$1005,'VÍNCULOS_CDF'!$R$6:$R$1005,A359,'VÍNCULOS_CDF'!$V$6:$V$1005,1))</f>
        <v/>
      </c>
      <c r="N359" s="99" t="str">
        <f>IF(OR(R359=0,AA359=0,NOT(ISNUMBER(I359))),"",I359-N(L359))</f>
        <v/>
      </c>
      <c r="O359" s="100" t="str">
        <f>IF(OR(R359=0,AK359&lt;=0),"",N(M359)/AK359)</f>
        <v/>
      </c>
      <c r="P359" s="94" t="str">
        <f>IF(R359=0,"",IF(S359="","Sem MTR associado",IF(U359=0,"MTR inexistente",IF(C359="","Resíduo não identificado",IF(V359=0,"Resíduo fora do cadastro",IF(W359=0,"Quantidade inválida",IF(H359="","Unidade não informada",IF(NOT(ISNUMBER(I359)),"Unidade a conferir",IF(AND(AH359=1,K359&lt;&gt;"Sim"),"Possível duplicidade",IF(Z359=1,"MTR cancelado",IF(AC359&gt;0,"Recebimento com alerta",IF(AA359=0,"Aguardando recebimento",IF(AB359&lt;AA359,"Recebimento a conferir",IF(AM359=1,"Quantidade a revisar",IF(AF359&gt;0,"Vínculo a revisar",IF(AD359=0,"Aguardando CDF",IF(AN359=0,"Vínculo de CDF parcial",IF(AE359&lt;AD359,"CDF a conferir","Documentação conferida"))))))))))))))))))</f>
        <v/>
      </c>
      <c r="Q359" s="93" t="str">
        <f>IF(OR(R359=0,AA359=0),"",MAX(0,N(L359)-N(M359)))</f>
        <v/>
      </c>
      <c r="R359" s="96">
        <f>IF(COUNTA(B359:C359,G359:H359,J359:K359)&gt;0,1,0)</f>
        <v>0</v>
      </c>
      <c r="S359" s="96" t="str">
        <f>IF(B359="","",TRIM(LEFT(B359,FIND(" |",B359&amp;" |")-1)))</f>
        <v/>
      </c>
      <c r="T359" s="96" t="str">
        <f>IF(S359="","",IFERROR(MATCH(S359,'MTRs'!$A$6:$A$505,0),""))</f>
        <v/>
      </c>
      <c r="U359" s="96">
        <f>IF(T359="",0,IF(INDEX('MTRs'!$Z$6:$Z$505,T359)=1,1,0))</f>
        <v>0</v>
      </c>
      <c r="V359" s="96">
        <f>IF(C359="",0,IF(ISNUMBER(MATCH(C359,'CAD_RESÍDUOS'!$B$6:$B$205,0)),1,0))</f>
        <v>0</v>
      </c>
      <c r="W359" s="96">
        <f>IF(AND(ISNUMBER(G359),G359&gt;0),1,0)</f>
        <v>0</v>
      </c>
      <c r="X359" s="96" t="str">
        <f>IF(H359="","",IFERROR(IF(ISNUMBER(INDEX(cfg_fac,MATCH(H359,cfg_units,0))),IF(INDEX(cfg_fac,MATCH(H359,cfg_units,0))&gt;0,INDEX(cfg_fac,MATCH(H359,cfg_units,0)),""),""),""))</f>
        <v/>
      </c>
      <c r="Y359" s="96">
        <f>IF(AND(W359=1,ISNUMBER(I359)),1,0)</f>
        <v>0</v>
      </c>
      <c r="Z359" s="96">
        <f>IF(U359=1,INDEX('MTRs'!$AA$6:$AA$505,T359),0)</f>
        <v>0</v>
      </c>
      <c r="AA359" s="96">
        <f>IF(R359=0,0,COUNTIFS('RECEBIMENTOS'!$R$6:$R$1005,A359,'RECEBIMENTOS'!$Q$6:$Q$1005,1))</f>
        <v>0</v>
      </c>
      <c r="AB359" s="96">
        <f>IF(R359=0,0,COUNTIFS('RECEBIMENTOS'!$R$6:$R$1005,A359,'RECEBIMENTOS'!$Z$6:$Z$1005,1))</f>
        <v>0</v>
      </c>
      <c r="AC359" s="96">
        <f>IF(R359=0,0,COUNTIFS('RECEBIMENTOS'!$R$6:$R$1005,A359,'RECEBIMENTOS'!$Y$6:$Y$1005,1))</f>
        <v>0</v>
      </c>
      <c r="AD359" s="96">
        <f>IF(R359=0,0,COUNTIFS('VÍNCULOS_CDF'!$R$6:$R$1005,A359,'VÍNCULOS_CDF'!$N$6:$N$1005,1))</f>
        <v>0</v>
      </c>
      <c r="AE359" s="96">
        <f>IF(R359=0,0,COUNTIFS('VÍNCULOS_CDF'!$R$6:$R$1005,A359,'VÍNCULOS_CDF'!$AA$6:$AA$1005,1))</f>
        <v>0</v>
      </c>
      <c r="AF359" s="96">
        <f>IF(R359=0,0,COUNTIFS('VÍNCULOS_CDF'!$R$6:$R$1005,A359,'VÍNCULOS_CDF'!$Y$6:$Y$1005,1))</f>
        <v>0</v>
      </c>
      <c r="AG359" s="96" t="str">
        <f>IF(AND(R359=1,S359&lt;&gt;"",C359&lt;&gt;""),S359&amp;"|"&amp;C359&amp;"|"&amp;G359&amp;"|"&amp;H359,"")</f>
        <v/>
      </c>
      <c r="AH359" s="96">
        <f>IF(AG359="",0,IF(SUMPRODUCT(--($AG$6:$AG$1005=AG359))&gt;1,1,0))</f>
        <v>0</v>
      </c>
      <c r="AI359" s="96">
        <f>IF(R359=0,0,IF(OR(U359=0,V359=0,Y359=0,AND(AH359=1,K359&lt;&gt;"Sim")),1,0))</f>
        <v>0</v>
      </c>
      <c r="AJ359" s="96">
        <f>IF(AND(R359=1,AA359&gt;0,AB359=AA359),1,0)</f>
        <v>0</v>
      </c>
      <c r="AK359" s="96">
        <f>IF(R359=0,0,IF(AA359&gt;0,N(L359),IF(ISNUMBER(I359),I359,0)))</f>
        <v>0</v>
      </c>
      <c r="AL359" s="96">
        <f>IF(R359=0,0,IF(AND(K359&lt;&gt;"Sim",N(M359)&gt;AK359+cfg_tol),1,0))</f>
        <v>0</v>
      </c>
      <c r="AM359" s="96">
        <f>IF(R359=0,0,IF(K359="Sim",0,IF(OR(AND(AA359&gt;0,ISNUMBER(I359),ABS(I359-N(L359))&gt;cfg_tol),AL359=1),1,0)))</f>
        <v>0</v>
      </c>
      <c r="AN359" s="96">
        <f>IF(AND(R359=1,N(M359)&gt;0,OR(N(M359)&gt;=AK359-cfg_tol,K359="Sim")),1,0)</f>
        <v>0</v>
      </c>
      <c r="AO359" s="96">
        <f>IF(AND(AN359=1,AD359&gt;0,AE359=AD359,AL359=0),1,0)</f>
        <v>0</v>
      </c>
      <c r="AP359" s="96">
        <f>IF(U359=0,0,IF(AND(INDEX('MTRs'!$AX$6:$AX$505,T359)=1,Z359=0,OR(f_res="",f_res="(Todos)",C359=f_res)),1,0))</f>
        <v>0</v>
      </c>
      <c r="AQ359" s="97" t="str">
        <f>IF(U359=0,"",INDEX('MTRs'!$AZ$6:$AZ$505,T359))</f>
        <v/>
      </c>
      <c r="AR359" s="96">
        <f>IF(U359=0,0,IF(AND(INDEX('MTRs'!$BA$6:$BA$505,T359)=1,Z359=0),1,0))</f>
        <v>0</v>
      </c>
      <c r="AS359" s="96" t="str">
        <f>IF(R359=1,A359&amp;" | MTR "&amp;IF(U359=1,INDEX('MTRs'!$B$6:$B$505,T359)&amp;"","?")&amp;" | "&amp;IF(C359="","(sem resíduo)",C359),"")</f>
        <v/>
      </c>
      <c r="AT359" s="96" t="str">
        <f>IF(R359=1,COUNTIF($R$6:R359,1),"")</f>
        <v/>
      </c>
      <c r="AU359" s="96" t="str">
        <f>IF(U359=1,INDEX('MTRs'!$I$6:$I$505,T359)&amp;"","")</f>
        <v/>
      </c>
    </row>
    <row r="360">
      <c r="A360" s="89" t="inlineStr">
        <is>
          <t>IT-000355</t>
        </is>
      </c>
      <c r="B360" s="91" t="n"/>
      <c r="C360" s="91" t="n"/>
      <c r="D360" s="94" t="str">
        <f>IF(OR(R360=0,V360=0),"",INDEX('CAD_RESÍDUOS'!$E$6:$E$205,MATCH(C360,'CAD_RESÍDUOS'!$B$6:$B$205,0))&amp;"")</f>
        <v/>
      </c>
      <c r="E360" s="94" t="str">
        <f>IF(OR(R360=0,V360=0),"",INDEX('CAD_RESÍDUOS'!$C$6:$C$205,MATCH(C360,'CAD_RESÍDUOS'!$B$6:$B$205,0))&amp;"")</f>
        <v/>
      </c>
      <c r="F360" s="94" t="str">
        <f>IF(OR(R360=0,V360=0),"",INDEX('CAD_RESÍDUOS'!$G$6:$G$205,MATCH(C360,'CAD_RESÍDUOS'!$B$6:$B$205,0))&amp;"")</f>
        <v/>
      </c>
      <c r="G360" s="98" t="n"/>
      <c r="H360" s="91" t="n"/>
      <c r="I360" s="93" t="str">
        <f>IF(R360=0,"",IF(NOT(ISNUMBER(G360)),"",IF(ISNUMBER(X360),G360*X360,"UNIDADE A CONFERIR")))</f>
        <v/>
      </c>
      <c r="J360" s="91" t="n"/>
      <c r="K360" s="91" t="n"/>
      <c r="L360" s="93" t="str">
        <f>IF(R360=0,"",SUMIFS('RECEBIMENTOS'!$H$6:$H$1005,'RECEBIMENTOS'!$R$6:$R$1005,A360,'RECEBIMENTOS'!$X$6:$X$1005,1))</f>
        <v/>
      </c>
      <c r="M360" s="93" t="str">
        <f>IF(R360=0,"",SUMIFS('VÍNCULOS_CDF'!$H$6:$H$1005,'VÍNCULOS_CDF'!$R$6:$R$1005,A360,'VÍNCULOS_CDF'!$V$6:$V$1005,1))</f>
        <v/>
      </c>
      <c r="N360" s="99" t="str">
        <f>IF(OR(R360=0,AA360=0,NOT(ISNUMBER(I360))),"",I360-N(L360))</f>
        <v/>
      </c>
      <c r="O360" s="100" t="str">
        <f>IF(OR(R360=0,AK360&lt;=0),"",N(M360)/AK360)</f>
        <v/>
      </c>
      <c r="P360" s="94" t="str">
        <f>IF(R360=0,"",IF(S360="","Sem MTR associado",IF(U360=0,"MTR inexistente",IF(C360="","Resíduo não identificado",IF(V360=0,"Resíduo fora do cadastro",IF(W360=0,"Quantidade inválida",IF(H360="","Unidade não informada",IF(NOT(ISNUMBER(I360)),"Unidade a conferir",IF(AND(AH360=1,K360&lt;&gt;"Sim"),"Possível duplicidade",IF(Z360=1,"MTR cancelado",IF(AC360&gt;0,"Recebimento com alerta",IF(AA360=0,"Aguardando recebimento",IF(AB360&lt;AA360,"Recebimento a conferir",IF(AM360=1,"Quantidade a revisar",IF(AF360&gt;0,"Vínculo a revisar",IF(AD360=0,"Aguardando CDF",IF(AN360=0,"Vínculo de CDF parcial",IF(AE360&lt;AD360,"CDF a conferir","Documentação conferida"))))))))))))))))))</f>
        <v/>
      </c>
      <c r="Q360" s="93" t="str">
        <f>IF(OR(R360=0,AA360=0),"",MAX(0,N(L360)-N(M360)))</f>
        <v/>
      </c>
      <c r="R360" s="96">
        <f>IF(COUNTA(B360:C360,G360:H360,J360:K360)&gt;0,1,0)</f>
        <v>0</v>
      </c>
      <c r="S360" s="96" t="str">
        <f>IF(B360="","",TRIM(LEFT(B360,FIND(" |",B360&amp;" |")-1)))</f>
        <v/>
      </c>
      <c r="T360" s="96" t="str">
        <f>IF(S360="","",IFERROR(MATCH(S360,'MTRs'!$A$6:$A$505,0),""))</f>
        <v/>
      </c>
      <c r="U360" s="96">
        <f>IF(T360="",0,IF(INDEX('MTRs'!$Z$6:$Z$505,T360)=1,1,0))</f>
        <v>0</v>
      </c>
      <c r="V360" s="96">
        <f>IF(C360="",0,IF(ISNUMBER(MATCH(C360,'CAD_RESÍDUOS'!$B$6:$B$205,0)),1,0))</f>
        <v>0</v>
      </c>
      <c r="W360" s="96">
        <f>IF(AND(ISNUMBER(G360),G360&gt;0),1,0)</f>
        <v>0</v>
      </c>
      <c r="X360" s="96" t="str">
        <f>IF(H360="","",IFERROR(IF(ISNUMBER(INDEX(cfg_fac,MATCH(H360,cfg_units,0))),IF(INDEX(cfg_fac,MATCH(H360,cfg_units,0))&gt;0,INDEX(cfg_fac,MATCH(H360,cfg_units,0)),""),""),""))</f>
        <v/>
      </c>
      <c r="Y360" s="96">
        <f>IF(AND(W360=1,ISNUMBER(I360)),1,0)</f>
        <v>0</v>
      </c>
      <c r="Z360" s="96">
        <f>IF(U360=1,INDEX('MTRs'!$AA$6:$AA$505,T360),0)</f>
        <v>0</v>
      </c>
      <c r="AA360" s="96">
        <f>IF(R360=0,0,COUNTIFS('RECEBIMENTOS'!$R$6:$R$1005,A360,'RECEBIMENTOS'!$Q$6:$Q$1005,1))</f>
        <v>0</v>
      </c>
      <c r="AB360" s="96">
        <f>IF(R360=0,0,COUNTIFS('RECEBIMENTOS'!$R$6:$R$1005,A360,'RECEBIMENTOS'!$Z$6:$Z$1005,1))</f>
        <v>0</v>
      </c>
      <c r="AC360" s="96">
        <f>IF(R360=0,0,COUNTIFS('RECEBIMENTOS'!$R$6:$R$1005,A360,'RECEBIMENTOS'!$Y$6:$Y$1005,1))</f>
        <v>0</v>
      </c>
      <c r="AD360" s="96">
        <f>IF(R360=0,0,COUNTIFS('VÍNCULOS_CDF'!$R$6:$R$1005,A360,'VÍNCULOS_CDF'!$N$6:$N$1005,1))</f>
        <v>0</v>
      </c>
      <c r="AE360" s="96">
        <f>IF(R360=0,0,COUNTIFS('VÍNCULOS_CDF'!$R$6:$R$1005,A360,'VÍNCULOS_CDF'!$AA$6:$AA$1005,1))</f>
        <v>0</v>
      </c>
      <c r="AF360" s="96">
        <f>IF(R360=0,0,COUNTIFS('VÍNCULOS_CDF'!$R$6:$R$1005,A360,'VÍNCULOS_CDF'!$Y$6:$Y$1005,1))</f>
        <v>0</v>
      </c>
      <c r="AG360" s="96" t="str">
        <f>IF(AND(R360=1,S360&lt;&gt;"",C360&lt;&gt;""),S360&amp;"|"&amp;C360&amp;"|"&amp;G360&amp;"|"&amp;H360,"")</f>
        <v/>
      </c>
      <c r="AH360" s="96">
        <f>IF(AG360="",0,IF(SUMPRODUCT(--($AG$6:$AG$1005=AG360))&gt;1,1,0))</f>
        <v>0</v>
      </c>
      <c r="AI360" s="96">
        <f>IF(R360=0,0,IF(OR(U360=0,V360=0,Y360=0,AND(AH360=1,K360&lt;&gt;"Sim")),1,0))</f>
        <v>0</v>
      </c>
      <c r="AJ360" s="96">
        <f>IF(AND(R360=1,AA360&gt;0,AB360=AA360),1,0)</f>
        <v>0</v>
      </c>
      <c r="AK360" s="96">
        <f>IF(R360=0,0,IF(AA360&gt;0,N(L360),IF(ISNUMBER(I360),I360,0)))</f>
        <v>0</v>
      </c>
      <c r="AL360" s="96">
        <f>IF(R360=0,0,IF(AND(K360&lt;&gt;"Sim",N(M360)&gt;AK360+cfg_tol),1,0))</f>
        <v>0</v>
      </c>
      <c r="AM360" s="96">
        <f>IF(R360=0,0,IF(K360="Sim",0,IF(OR(AND(AA360&gt;0,ISNUMBER(I360),ABS(I360-N(L360))&gt;cfg_tol),AL360=1),1,0)))</f>
        <v>0</v>
      </c>
      <c r="AN360" s="96">
        <f>IF(AND(R360=1,N(M360)&gt;0,OR(N(M360)&gt;=AK360-cfg_tol,K360="Sim")),1,0)</f>
        <v>0</v>
      </c>
      <c r="AO360" s="96">
        <f>IF(AND(AN360=1,AD360&gt;0,AE360=AD360,AL360=0),1,0)</f>
        <v>0</v>
      </c>
      <c r="AP360" s="96">
        <f>IF(U360=0,0,IF(AND(INDEX('MTRs'!$AX$6:$AX$505,T360)=1,Z360=0,OR(f_res="",f_res="(Todos)",C360=f_res)),1,0))</f>
        <v>0</v>
      </c>
      <c r="AQ360" s="97" t="str">
        <f>IF(U360=0,"",INDEX('MTRs'!$AZ$6:$AZ$505,T360))</f>
        <v/>
      </c>
      <c r="AR360" s="96">
        <f>IF(U360=0,0,IF(AND(INDEX('MTRs'!$BA$6:$BA$505,T360)=1,Z360=0),1,0))</f>
        <v>0</v>
      </c>
      <c r="AS360" s="96" t="str">
        <f>IF(R360=1,A360&amp;" | MTR "&amp;IF(U360=1,INDEX('MTRs'!$B$6:$B$505,T360)&amp;"","?")&amp;" | "&amp;IF(C360="","(sem resíduo)",C360),"")</f>
        <v/>
      </c>
      <c r="AT360" s="96" t="str">
        <f>IF(R360=1,COUNTIF($R$6:R360,1),"")</f>
        <v/>
      </c>
      <c r="AU360" s="96" t="str">
        <f>IF(U360=1,INDEX('MTRs'!$I$6:$I$505,T360)&amp;"","")</f>
        <v/>
      </c>
    </row>
    <row r="361">
      <c r="A361" s="89" t="inlineStr">
        <is>
          <t>IT-000356</t>
        </is>
      </c>
      <c r="B361" s="91" t="n"/>
      <c r="C361" s="91" t="n"/>
      <c r="D361" s="94" t="str">
        <f>IF(OR(R361=0,V361=0),"",INDEX('CAD_RESÍDUOS'!$E$6:$E$205,MATCH(C361,'CAD_RESÍDUOS'!$B$6:$B$205,0))&amp;"")</f>
        <v/>
      </c>
      <c r="E361" s="94" t="str">
        <f>IF(OR(R361=0,V361=0),"",INDEX('CAD_RESÍDUOS'!$C$6:$C$205,MATCH(C361,'CAD_RESÍDUOS'!$B$6:$B$205,0))&amp;"")</f>
        <v/>
      </c>
      <c r="F361" s="94" t="str">
        <f>IF(OR(R361=0,V361=0),"",INDEX('CAD_RESÍDUOS'!$G$6:$G$205,MATCH(C361,'CAD_RESÍDUOS'!$B$6:$B$205,0))&amp;"")</f>
        <v/>
      </c>
      <c r="G361" s="98" t="n"/>
      <c r="H361" s="91" t="n"/>
      <c r="I361" s="93" t="str">
        <f>IF(R361=0,"",IF(NOT(ISNUMBER(G361)),"",IF(ISNUMBER(X361),G361*X361,"UNIDADE A CONFERIR")))</f>
        <v/>
      </c>
      <c r="J361" s="91" t="n"/>
      <c r="K361" s="91" t="n"/>
      <c r="L361" s="93" t="str">
        <f>IF(R361=0,"",SUMIFS('RECEBIMENTOS'!$H$6:$H$1005,'RECEBIMENTOS'!$R$6:$R$1005,A361,'RECEBIMENTOS'!$X$6:$X$1005,1))</f>
        <v/>
      </c>
      <c r="M361" s="93" t="str">
        <f>IF(R361=0,"",SUMIFS('VÍNCULOS_CDF'!$H$6:$H$1005,'VÍNCULOS_CDF'!$R$6:$R$1005,A361,'VÍNCULOS_CDF'!$V$6:$V$1005,1))</f>
        <v/>
      </c>
      <c r="N361" s="99" t="str">
        <f>IF(OR(R361=0,AA361=0,NOT(ISNUMBER(I361))),"",I361-N(L361))</f>
        <v/>
      </c>
      <c r="O361" s="100" t="str">
        <f>IF(OR(R361=0,AK361&lt;=0),"",N(M361)/AK361)</f>
        <v/>
      </c>
      <c r="P361" s="94" t="str">
        <f>IF(R361=0,"",IF(S361="","Sem MTR associado",IF(U361=0,"MTR inexistente",IF(C361="","Resíduo não identificado",IF(V361=0,"Resíduo fora do cadastro",IF(W361=0,"Quantidade inválida",IF(H361="","Unidade não informada",IF(NOT(ISNUMBER(I361)),"Unidade a conferir",IF(AND(AH361=1,K361&lt;&gt;"Sim"),"Possível duplicidade",IF(Z361=1,"MTR cancelado",IF(AC361&gt;0,"Recebimento com alerta",IF(AA361=0,"Aguardando recebimento",IF(AB361&lt;AA361,"Recebimento a conferir",IF(AM361=1,"Quantidade a revisar",IF(AF361&gt;0,"Vínculo a revisar",IF(AD361=0,"Aguardando CDF",IF(AN361=0,"Vínculo de CDF parcial",IF(AE361&lt;AD361,"CDF a conferir","Documentação conferida"))))))))))))))))))</f>
        <v/>
      </c>
      <c r="Q361" s="93" t="str">
        <f>IF(OR(R361=0,AA361=0),"",MAX(0,N(L361)-N(M361)))</f>
        <v/>
      </c>
      <c r="R361" s="96">
        <f>IF(COUNTA(B361:C361,G361:H361,J361:K361)&gt;0,1,0)</f>
        <v>0</v>
      </c>
      <c r="S361" s="96" t="str">
        <f>IF(B361="","",TRIM(LEFT(B361,FIND(" |",B361&amp;" |")-1)))</f>
        <v/>
      </c>
      <c r="T361" s="96" t="str">
        <f>IF(S361="","",IFERROR(MATCH(S361,'MTRs'!$A$6:$A$505,0),""))</f>
        <v/>
      </c>
      <c r="U361" s="96">
        <f>IF(T361="",0,IF(INDEX('MTRs'!$Z$6:$Z$505,T361)=1,1,0))</f>
        <v>0</v>
      </c>
      <c r="V361" s="96">
        <f>IF(C361="",0,IF(ISNUMBER(MATCH(C361,'CAD_RESÍDUOS'!$B$6:$B$205,0)),1,0))</f>
        <v>0</v>
      </c>
      <c r="W361" s="96">
        <f>IF(AND(ISNUMBER(G361),G361&gt;0),1,0)</f>
        <v>0</v>
      </c>
      <c r="X361" s="96" t="str">
        <f>IF(H361="","",IFERROR(IF(ISNUMBER(INDEX(cfg_fac,MATCH(H361,cfg_units,0))),IF(INDEX(cfg_fac,MATCH(H361,cfg_units,0))&gt;0,INDEX(cfg_fac,MATCH(H361,cfg_units,0)),""),""),""))</f>
        <v/>
      </c>
      <c r="Y361" s="96">
        <f>IF(AND(W361=1,ISNUMBER(I361)),1,0)</f>
        <v>0</v>
      </c>
      <c r="Z361" s="96">
        <f>IF(U361=1,INDEX('MTRs'!$AA$6:$AA$505,T361),0)</f>
        <v>0</v>
      </c>
      <c r="AA361" s="96">
        <f>IF(R361=0,0,COUNTIFS('RECEBIMENTOS'!$R$6:$R$1005,A361,'RECEBIMENTOS'!$Q$6:$Q$1005,1))</f>
        <v>0</v>
      </c>
      <c r="AB361" s="96">
        <f>IF(R361=0,0,COUNTIFS('RECEBIMENTOS'!$R$6:$R$1005,A361,'RECEBIMENTOS'!$Z$6:$Z$1005,1))</f>
        <v>0</v>
      </c>
      <c r="AC361" s="96">
        <f>IF(R361=0,0,COUNTIFS('RECEBIMENTOS'!$R$6:$R$1005,A361,'RECEBIMENTOS'!$Y$6:$Y$1005,1))</f>
        <v>0</v>
      </c>
      <c r="AD361" s="96">
        <f>IF(R361=0,0,COUNTIFS('VÍNCULOS_CDF'!$R$6:$R$1005,A361,'VÍNCULOS_CDF'!$N$6:$N$1005,1))</f>
        <v>0</v>
      </c>
      <c r="AE361" s="96">
        <f>IF(R361=0,0,COUNTIFS('VÍNCULOS_CDF'!$R$6:$R$1005,A361,'VÍNCULOS_CDF'!$AA$6:$AA$1005,1))</f>
        <v>0</v>
      </c>
      <c r="AF361" s="96">
        <f>IF(R361=0,0,COUNTIFS('VÍNCULOS_CDF'!$R$6:$R$1005,A361,'VÍNCULOS_CDF'!$Y$6:$Y$1005,1))</f>
        <v>0</v>
      </c>
      <c r="AG361" s="96" t="str">
        <f>IF(AND(R361=1,S361&lt;&gt;"",C361&lt;&gt;""),S361&amp;"|"&amp;C361&amp;"|"&amp;G361&amp;"|"&amp;H361,"")</f>
        <v/>
      </c>
      <c r="AH361" s="96">
        <f>IF(AG361="",0,IF(SUMPRODUCT(--($AG$6:$AG$1005=AG361))&gt;1,1,0))</f>
        <v>0</v>
      </c>
      <c r="AI361" s="96">
        <f>IF(R361=0,0,IF(OR(U361=0,V361=0,Y361=0,AND(AH361=1,K361&lt;&gt;"Sim")),1,0))</f>
        <v>0</v>
      </c>
      <c r="AJ361" s="96">
        <f>IF(AND(R361=1,AA361&gt;0,AB361=AA361),1,0)</f>
        <v>0</v>
      </c>
      <c r="AK361" s="96">
        <f>IF(R361=0,0,IF(AA361&gt;0,N(L361),IF(ISNUMBER(I361),I361,0)))</f>
        <v>0</v>
      </c>
      <c r="AL361" s="96">
        <f>IF(R361=0,0,IF(AND(K361&lt;&gt;"Sim",N(M361)&gt;AK361+cfg_tol),1,0))</f>
        <v>0</v>
      </c>
      <c r="AM361" s="96">
        <f>IF(R361=0,0,IF(K361="Sim",0,IF(OR(AND(AA361&gt;0,ISNUMBER(I361),ABS(I361-N(L361))&gt;cfg_tol),AL361=1),1,0)))</f>
        <v>0</v>
      </c>
      <c r="AN361" s="96">
        <f>IF(AND(R361=1,N(M361)&gt;0,OR(N(M361)&gt;=AK361-cfg_tol,K361="Sim")),1,0)</f>
        <v>0</v>
      </c>
      <c r="AO361" s="96">
        <f>IF(AND(AN361=1,AD361&gt;0,AE361=AD361,AL361=0),1,0)</f>
        <v>0</v>
      </c>
      <c r="AP361" s="96">
        <f>IF(U361=0,0,IF(AND(INDEX('MTRs'!$AX$6:$AX$505,T361)=1,Z361=0,OR(f_res="",f_res="(Todos)",C361=f_res)),1,0))</f>
        <v>0</v>
      </c>
      <c r="AQ361" s="97" t="str">
        <f>IF(U361=0,"",INDEX('MTRs'!$AZ$6:$AZ$505,T361))</f>
        <v/>
      </c>
      <c r="AR361" s="96">
        <f>IF(U361=0,0,IF(AND(INDEX('MTRs'!$BA$6:$BA$505,T361)=1,Z361=0),1,0))</f>
        <v>0</v>
      </c>
      <c r="AS361" s="96" t="str">
        <f>IF(R361=1,A361&amp;" | MTR "&amp;IF(U361=1,INDEX('MTRs'!$B$6:$B$505,T361)&amp;"","?")&amp;" | "&amp;IF(C361="","(sem resíduo)",C361),"")</f>
        <v/>
      </c>
      <c r="AT361" s="96" t="str">
        <f>IF(R361=1,COUNTIF($R$6:R361,1),"")</f>
        <v/>
      </c>
      <c r="AU361" s="96" t="str">
        <f>IF(U361=1,INDEX('MTRs'!$I$6:$I$505,T361)&amp;"","")</f>
        <v/>
      </c>
    </row>
    <row r="362">
      <c r="A362" s="89" t="inlineStr">
        <is>
          <t>IT-000357</t>
        </is>
      </c>
      <c r="B362" s="91" t="n"/>
      <c r="C362" s="91" t="n"/>
      <c r="D362" s="94" t="str">
        <f>IF(OR(R362=0,V362=0),"",INDEX('CAD_RESÍDUOS'!$E$6:$E$205,MATCH(C362,'CAD_RESÍDUOS'!$B$6:$B$205,0))&amp;"")</f>
        <v/>
      </c>
      <c r="E362" s="94" t="str">
        <f>IF(OR(R362=0,V362=0),"",INDEX('CAD_RESÍDUOS'!$C$6:$C$205,MATCH(C362,'CAD_RESÍDUOS'!$B$6:$B$205,0))&amp;"")</f>
        <v/>
      </c>
      <c r="F362" s="94" t="str">
        <f>IF(OR(R362=0,V362=0),"",INDEX('CAD_RESÍDUOS'!$G$6:$G$205,MATCH(C362,'CAD_RESÍDUOS'!$B$6:$B$205,0))&amp;"")</f>
        <v/>
      </c>
      <c r="G362" s="98" t="n"/>
      <c r="H362" s="91" t="n"/>
      <c r="I362" s="93" t="str">
        <f>IF(R362=0,"",IF(NOT(ISNUMBER(G362)),"",IF(ISNUMBER(X362),G362*X362,"UNIDADE A CONFERIR")))</f>
        <v/>
      </c>
      <c r="J362" s="91" t="n"/>
      <c r="K362" s="91" t="n"/>
      <c r="L362" s="93" t="str">
        <f>IF(R362=0,"",SUMIFS('RECEBIMENTOS'!$H$6:$H$1005,'RECEBIMENTOS'!$R$6:$R$1005,A362,'RECEBIMENTOS'!$X$6:$X$1005,1))</f>
        <v/>
      </c>
      <c r="M362" s="93" t="str">
        <f>IF(R362=0,"",SUMIFS('VÍNCULOS_CDF'!$H$6:$H$1005,'VÍNCULOS_CDF'!$R$6:$R$1005,A362,'VÍNCULOS_CDF'!$V$6:$V$1005,1))</f>
        <v/>
      </c>
      <c r="N362" s="99" t="str">
        <f>IF(OR(R362=0,AA362=0,NOT(ISNUMBER(I362))),"",I362-N(L362))</f>
        <v/>
      </c>
      <c r="O362" s="100" t="str">
        <f>IF(OR(R362=0,AK362&lt;=0),"",N(M362)/AK362)</f>
        <v/>
      </c>
      <c r="P362" s="94" t="str">
        <f>IF(R362=0,"",IF(S362="","Sem MTR associado",IF(U362=0,"MTR inexistente",IF(C362="","Resíduo não identificado",IF(V362=0,"Resíduo fora do cadastro",IF(W362=0,"Quantidade inválida",IF(H362="","Unidade não informada",IF(NOT(ISNUMBER(I362)),"Unidade a conferir",IF(AND(AH362=1,K362&lt;&gt;"Sim"),"Possível duplicidade",IF(Z362=1,"MTR cancelado",IF(AC362&gt;0,"Recebimento com alerta",IF(AA362=0,"Aguardando recebimento",IF(AB362&lt;AA362,"Recebimento a conferir",IF(AM362=1,"Quantidade a revisar",IF(AF362&gt;0,"Vínculo a revisar",IF(AD362=0,"Aguardando CDF",IF(AN362=0,"Vínculo de CDF parcial",IF(AE362&lt;AD362,"CDF a conferir","Documentação conferida"))))))))))))))))))</f>
        <v/>
      </c>
      <c r="Q362" s="93" t="str">
        <f>IF(OR(R362=0,AA362=0),"",MAX(0,N(L362)-N(M362)))</f>
        <v/>
      </c>
      <c r="R362" s="96">
        <f>IF(COUNTA(B362:C362,G362:H362,J362:K362)&gt;0,1,0)</f>
        <v>0</v>
      </c>
      <c r="S362" s="96" t="str">
        <f>IF(B362="","",TRIM(LEFT(B362,FIND(" |",B362&amp;" |")-1)))</f>
        <v/>
      </c>
      <c r="T362" s="96" t="str">
        <f>IF(S362="","",IFERROR(MATCH(S362,'MTRs'!$A$6:$A$505,0),""))</f>
        <v/>
      </c>
      <c r="U362" s="96">
        <f>IF(T362="",0,IF(INDEX('MTRs'!$Z$6:$Z$505,T362)=1,1,0))</f>
        <v>0</v>
      </c>
      <c r="V362" s="96">
        <f>IF(C362="",0,IF(ISNUMBER(MATCH(C362,'CAD_RESÍDUOS'!$B$6:$B$205,0)),1,0))</f>
        <v>0</v>
      </c>
      <c r="W362" s="96">
        <f>IF(AND(ISNUMBER(G362),G362&gt;0),1,0)</f>
        <v>0</v>
      </c>
      <c r="X362" s="96" t="str">
        <f>IF(H362="","",IFERROR(IF(ISNUMBER(INDEX(cfg_fac,MATCH(H362,cfg_units,0))),IF(INDEX(cfg_fac,MATCH(H362,cfg_units,0))&gt;0,INDEX(cfg_fac,MATCH(H362,cfg_units,0)),""),""),""))</f>
        <v/>
      </c>
      <c r="Y362" s="96">
        <f>IF(AND(W362=1,ISNUMBER(I362)),1,0)</f>
        <v>0</v>
      </c>
      <c r="Z362" s="96">
        <f>IF(U362=1,INDEX('MTRs'!$AA$6:$AA$505,T362),0)</f>
        <v>0</v>
      </c>
      <c r="AA362" s="96">
        <f>IF(R362=0,0,COUNTIFS('RECEBIMENTOS'!$R$6:$R$1005,A362,'RECEBIMENTOS'!$Q$6:$Q$1005,1))</f>
        <v>0</v>
      </c>
      <c r="AB362" s="96">
        <f>IF(R362=0,0,COUNTIFS('RECEBIMENTOS'!$R$6:$R$1005,A362,'RECEBIMENTOS'!$Z$6:$Z$1005,1))</f>
        <v>0</v>
      </c>
      <c r="AC362" s="96">
        <f>IF(R362=0,0,COUNTIFS('RECEBIMENTOS'!$R$6:$R$1005,A362,'RECEBIMENTOS'!$Y$6:$Y$1005,1))</f>
        <v>0</v>
      </c>
      <c r="AD362" s="96">
        <f>IF(R362=0,0,COUNTIFS('VÍNCULOS_CDF'!$R$6:$R$1005,A362,'VÍNCULOS_CDF'!$N$6:$N$1005,1))</f>
        <v>0</v>
      </c>
      <c r="AE362" s="96">
        <f>IF(R362=0,0,COUNTIFS('VÍNCULOS_CDF'!$R$6:$R$1005,A362,'VÍNCULOS_CDF'!$AA$6:$AA$1005,1))</f>
        <v>0</v>
      </c>
      <c r="AF362" s="96">
        <f>IF(R362=0,0,COUNTIFS('VÍNCULOS_CDF'!$R$6:$R$1005,A362,'VÍNCULOS_CDF'!$Y$6:$Y$1005,1))</f>
        <v>0</v>
      </c>
      <c r="AG362" s="96" t="str">
        <f>IF(AND(R362=1,S362&lt;&gt;"",C362&lt;&gt;""),S362&amp;"|"&amp;C362&amp;"|"&amp;G362&amp;"|"&amp;H362,"")</f>
        <v/>
      </c>
      <c r="AH362" s="96">
        <f>IF(AG362="",0,IF(SUMPRODUCT(--($AG$6:$AG$1005=AG362))&gt;1,1,0))</f>
        <v>0</v>
      </c>
      <c r="AI362" s="96">
        <f>IF(R362=0,0,IF(OR(U362=0,V362=0,Y362=0,AND(AH362=1,K362&lt;&gt;"Sim")),1,0))</f>
        <v>0</v>
      </c>
      <c r="AJ362" s="96">
        <f>IF(AND(R362=1,AA362&gt;0,AB362=AA362),1,0)</f>
        <v>0</v>
      </c>
      <c r="AK362" s="96">
        <f>IF(R362=0,0,IF(AA362&gt;0,N(L362),IF(ISNUMBER(I362),I362,0)))</f>
        <v>0</v>
      </c>
      <c r="AL362" s="96">
        <f>IF(R362=0,0,IF(AND(K362&lt;&gt;"Sim",N(M362)&gt;AK362+cfg_tol),1,0))</f>
        <v>0</v>
      </c>
      <c r="AM362" s="96">
        <f>IF(R362=0,0,IF(K362="Sim",0,IF(OR(AND(AA362&gt;0,ISNUMBER(I362),ABS(I362-N(L362))&gt;cfg_tol),AL362=1),1,0)))</f>
        <v>0</v>
      </c>
      <c r="AN362" s="96">
        <f>IF(AND(R362=1,N(M362)&gt;0,OR(N(M362)&gt;=AK362-cfg_tol,K362="Sim")),1,0)</f>
        <v>0</v>
      </c>
      <c r="AO362" s="96">
        <f>IF(AND(AN362=1,AD362&gt;0,AE362=AD362,AL362=0),1,0)</f>
        <v>0</v>
      </c>
      <c r="AP362" s="96">
        <f>IF(U362=0,0,IF(AND(INDEX('MTRs'!$AX$6:$AX$505,T362)=1,Z362=0,OR(f_res="",f_res="(Todos)",C362=f_res)),1,0))</f>
        <v>0</v>
      </c>
      <c r="AQ362" s="97" t="str">
        <f>IF(U362=0,"",INDEX('MTRs'!$AZ$6:$AZ$505,T362))</f>
        <v/>
      </c>
      <c r="AR362" s="96">
        <f>IF(U362=0,0,IF(AND(INDEX('MTRs'!$BA$6:$BA$505,T362)=1,Z362=0),1,0))</f>
        <v>0</v>
      </c>
      <c r="AS362" s="96" t="str">
        <f>IF(R362=1,A362&amp;" | MTR "&amp;IF(U362=1,INDEX('MTRs'!$B$6:$B$505,T362)&amp;"","?")&amp;" | "&amp;IF(C362="","(sem resíduo)",C362),"")</f>
        <v/>
      </c>
      <c r="AT362" s="96" t="str">
        <f>IF(R362=1,COUNTIF($R$6:R362,1),"")</f>
        <v/>
      </c>
      <c r="AU362" s="96" t="str">
        <f>IF(U362=1,INDEX('MTRs'!$I$6:$I$505,T362)&amp;"","")</f>
        <v/>
      </c>
    </row>
    <row r="363">
      <c r="A363" s="89" t="inlineStr">
        <is>
          <t>IT-000358</t>
        </is>
      </c>
      <c r="B363" s="91" t="n"/>
      <c r="C363" s="91" t="n"/>
      <c r="D363" s="94" t="str">
        <f>IF(OR(R363=0,V363=0),"",INDEX('CAD_RESÍDUOS'!$E$6:$E$205,MATCH(C363,'CAD_RESÍDUOS'!$B$6:$B$205,0))&amp;"")</f>
        <v/>
      </c>
      <c r="E363" s="94" t="str">
        <f>IF(OR(R363=0,V363=0),"",INDEX('CAD_RESÍDUOS'!$C$6:$C$205,MATCH(C363,'CAD_RESÍDUOS'!$B$6:$B$205,0))&amp;"")</f>
        <v/>
      </c>
      <c r="F363" s="94" t="str">
        <f>IF(OR(R363=0,V363=0),"",INDEX('CAD_RESÍDUOS'!$G$6:$G$205,MATCH(C363,'CAD_RESÍDUOS'!$B$6:$B$205,0))&amp;"")</f>
        <v/>
      </c>
      <c r="G363" s="98" t="n"/>
      <c r="H363" s="91" t="n"/>
      <c r="I363" s="93" t="str">
        <f>IF(R363=0,"",IF(NOT(ISNUMBER(G363)),"",IF(ISNUMBER(X363),G363*X363,"UNIDADE A CONFERIR")))</f>
        <v/>
      </c>
      <c r="J363" s="91" t="n"/>
      <c r="K363" s="91" t="n"/>
      <c r="L363" s="93" t="str">
        <f>IF(R363=0,"",SUMIFS('RECEBIMENTOS'!$H$6:$H$1005,'RECEBIMENTOS'!$R$6:$R$1005,A363,'RECEBIMENTOS'!$X$6:$X$1005,1))</f>
        <v/>
      </c>
      <c r="M363" s="93" t="str">
        <f>IF(R363=0,"",SUMIFS('VÍNCULOS_CDF'!$H$6:$H$1005,'VÍNCULOS_CDF'!$R$6:$R$1005,A363,'VÍNCULOS_CDF'!$V$6:$V$1005,1))</f>
        <v/>
      </c>
      <c r="N363" s="99" t="str">
        <f>IF(OR(R363=0,AA363=0,NOT(ISNUMBER(I363))),"",I363-N(L363))</f>
        <v/>
      </c>
      <c r="O363" s="100" t="str">
        <f>IF(OR(R363=0,AK363&lt;=0),"",N(M363)/AK363)</f>
        <v/>
      </c>
      <c r="P363" s="94" t="str">
        <f>IF(R363=0,"",IF(S363="","Sem MTR associado",IF(U363=0,"MTR inexistente",IF(C363="","Resíduo não identificado",IF(V363=0,"Resíduo fora do cadastro",IF(W363=0,"Quantidade inválida",IF(H363="","Unidade não informada",IF(NOT(ISNUMBER(I363)),"Unidade a conferir",IF(AND(AH363=1,K363&lt;&gt;"Sim"),"Possível duplicidade",IF(Z363=1,"MTR cancelado",IF(AC363&gt;0,"Recebimento com alerta",IF(AA363=0,"Aguardando recebimento",IF(AB363&lt;AA363,"Recebimento a conferir",IF(AM363=1,"Quantidade a revisar",IF(AF363&gt;0,"Vínculo a revisar",IF(AD363=0,"Aguardando CDF",IF(AN363=0,"Vínculo de CDF parcial",IF(AE363&lt;AD363,"CDF a conferir","Documentação conferida"))))))))))))))))))</f>
        <v/>
      </c>
      <c r="Q363" s="93" t="str">
        <f>IF(OR(R363=0,AA363=0),"",MAX(0,N(L363)-N(M363)))</f>
        <v/>
      </c>
      <c r="R363" s="96">
        <f>IF(COUNTA(B363:C363,G363:H363,J363:K363)&gt;0,1,0)</f>
        <v>0</v>
      </c>
      <c r="S363" s="96" t="str">
        <f>IF(B363="","",TRIM(LEFT(B363,FIND(" |",B363&amp;" |")-1)))</f>
        <v/>
      </c>
      <c r="T363" s="96" t="str">
        <f>IF(S363="","",IFERROR(MATCH(S363,'MTRs'!$A$6:$A$505,0),""))</f>
        <v/>
      </c>
      <c r="U363" s="96">
        <f>IF(T363="",0,IF(INDEX('MTRs'!$Z$6:$Z$505,T363)=1,1,0))</f>
        <v>0</v>
      </c>
      <c r="V363" s="96">
        <f>IF(C363="",0,IF(ISNUMBER(MATCH(C363,'CAD_RESÍDUOS'!$B$6:$B$205,0)),1,0))</f>
        <v>0</v>
      </c>
      <c r="W363" s="96">
        <f>IF(AND(ISNUMBER(G363),G363&gt;0),1,0)</f>
        <v>0</v>
      </c>
      <c r="X363" s="96" t="str">
        <f>IF(H363="","",IFERROR(IF(ISNUMBER(INDEX(cfg_fac,MATCH(H363,cfg_units,0))),IF(INDEX(cfg_fac,MATCH(H363,cfg_units,0))&gt;0,INDEX(cfg_fac,MATCH(H363,cfg_units,0)),""),""),""))</f>
        <v/>
      </c>
      <c r="Y363" s="96">
        <f>IF(AND(W363=1,ISNUMBER(I363)),1,0)</f>
        <v>0</v>
      </c>
      <c r="Z363" s="96">
        <f>IF(U363=1,INDEX('MTRs'!$AA$6:$AA$505,T363),0)</f>
        <v>0</v>
      </c>
      <c r="AA363" s="96">
        <f>IF(R363=0,0,COUNTIFS('RECEBIMENTOS'!$R$6:$R$1005,A363,'RECEBIMENTOS'!$Q$6:$Q$1005,1))</f>
        <v>0</v>
      </c>
      <c r="AB363" s="96">
        <f>IF(R363=0,0,COUNTIFS('RECEBIMENTOS'!$R$6:$R$1005,A363,'RECEBIMENTOS'!$Z$6:$Z$1005,1))</f>
        <v>0</v>
      </c>
      <c r="AC363" s="96">
        <f>IF(R363=0,0,COUNTIFS('RECEBIMENTOS'!$R$6:$R$1005,A363,'RECEBIMENTOS'!$Y$6:$Y$1005,1))</f>
        <v>0</v>
      </c>
      <c r="AD363" s="96">
        <f>IF(R363=0,0,COUNTIFS('VÍNCULOS_CDF'!$R$6:$R$1005,A363,'VÍNCULOS_CDF'!$N$6:$N$1005,1))</f>
        <v>0</v>
      </c>
      <c r="AE363" s="96">
        <f>IF(R363=0,0,COUNTIFS('VÍNCULOS_CDF'!$R$6:$R$1005,A363,'VÍNCULOS_CDF'!$AA$6:$AA$1005,1))</f>
        <v>0</v>
      </c>
      <c r="AF363" s="96">
        <f>IF(R363=0,0,COUNTIFS('VÍNCULOS_CDF'!$R$6:$R$1005,A363,'VÍNCULOS_CDF'!$Y$6:$Y$1005,1))</f>
        <v>0</v>
      </c>
      <c r="AG363" s="96" t="str">
        <f>IF(AND(R363=1,S363&lt;&gt;"",C363&lt;&gt;""),S363&amp;"|"&amp;C363&amp;"|"&amp;G363&amp;"|"&amp;H363,"")</f>
        <v/>
      </c>
      <c r="AH363" s="96">
        <f>IF(AG363="",0,IF(SUMPRODUCT(--($AG$6:$AG$1005=AG363))&gt;1,1,0))</f>
        <v>0</v>
      </c>
      <c r="AI363" s="96">
        <f>IF(R363=0,0,IF(OR(U363=0,V363=0,Y363=0,AND(AH363=1,K363&lt;&gt;"Sim")),1,0))</f>
        <v>0</v>
      </c>
      <c r="AJ363" s="96">
        <f>IF(AND(R363=1,AA363&gt;0,AB363=AA363),1,0)</f>
        <v>0</v>
      </c>
      <c r="AK363" s="96">
        <f>IF(R363=0,0,IF(AA363&gt;0,N(L363),IF(ISNUMBER(I363),I363,0)))</f>
        <v>0</v>
      </c>
      <c r="AL363" s="96">
        <f>IF(R363=0,0,IF(AND(K363&lt;&gt;"Sim",N(M363)&gt;AK363+cfg_tol),1,0))</f>
        <v>0</v>
      </c>
      <c r="AM363" s="96">
        <f>IF(R363=0,0,IF(K363="Sim",0,IF(OR(AND(AA363&gt;0,ISNUMBER(I363),ABS(I363-N(L363))&gt;cfg_tol),AL363=1),1,0)))</f>
        <v>0</v>
      </c>
      <c r="AN363" s="96">
        <f>IF(AND(R363=1,N(M363)&gt;0,OR(N(M363)&gt;=AK363-cfg_tol,K363="Sim")),1,0)</f>
        <v>0</v>
      </c>
      <c r="AO363" s="96">
        <f>IF(AND(AN363=1,AD363&gt;0,AE363=AD363,AL363=0),1,0)</f>
        <v>0</v>
      </c>
      <c r="AP363" s="96">
        <f>IF(U363=0,0,IF(AND(INDEX('MTRs'!$AX$6:$AX$505,T363)=1,Z363=0,OR(f_res="",f_res="(Todos)",C363=f_res)),1,0))</f>
        <v>0</v>
      </c>
      <c r="AQ363" s="97" t="str">
        <f>IF(U363=0,"",INDEX('MTRs'!$AZ$6:$AZ$505,T363))</f>
        <v/>
      </c>
      <c r="AR363" s="96">
        <f>IF(U363=0,0,IF(AND(INDEX('MTRs'!$BA$6:$BA$505,T363)=1,Z363=0),1,0))</f>
        <v>0</v>
      </c>
      <c r="AS363" s="96" t="str">
        <f>IF(R363=1,A363&amp;" | MTR "&amp;IF(U363=1,INDEX('MTRs'!$B$6:$B$505,T363)&amp;"","?")&amp;" | "&amp;IF(C363="","(sem resíduo)",C363),"")</f>
        <v/>
      </c>
      <c r="AT363" s="96" t="str">
        <f>IF(R363=1,COUNTIF($R$6:R363,1),"")</f>
        <v/>
      </c>
      <c r="AU363" s="96" t="str">
        <f>IF(U363=1,INDEX('MTRs'!$I$6:$I$505,T363)&amp;"","")</f>
        <v/>
      </c>
    </row>
    <row r="364">
      <c r="A364" s="89" t="inlineStr">
        <is>
          <t>IT-000359</t>
        </is>
      </c>
      <c r="B364" s="91" t="n"/>
      <c r="C364" s="91" t="n"/>
      <c r="D364" s="94" t="str">
        <f>IF(OR(R364=0,V364=0),"",INDEX('CAD_RESÍDUOS'!$E$6:$E$205,MATCH(C364,'CAD_RESÍDUOS'!$B$6:$B$205,0))&amp;"")</f>
        <v/>
      </c>
      <c r="E364" s="94" t="str">
        <f>IF(OR(R364=0,V364=0),"",INDEX('CAD_RESÍDUOS'!$C$6:$C$205,MATCH(C364,'CAD_RESÍDUOS'!$B$6:$B$205,0))&amp;"")</f>
        <v/>
      </c>
      <c r="F364" s="94" t="str">
        <f>IF(OR(R364=0,V364=0),"",INDEX('CAD_RESÍDUOS'!$G$6:$G$205,MATCH(C364,'CAD_RESÍDUOS'!$B$6:$B$205,0))&amp;"")</f>
        <v/>
      </c>
      <c r="G364" s="98" t="n"/>
      <c r="H364" s="91" t="n"/>
      <c r="I364" s="93" t="str">
        <f>IF(R364=0,"",IF(NOT(ISNUMBER(G364)),"",IF(ISNUMBER(X364),G364*X364,"UNIDADE A CONFERIR")))</f>
        <v/>
      </c>
      <c r="J364" s="91" t="n"/>
      <c r="K364" s="91" t="n"/>
      <c r="L364" s="93" t="str">
        <f>IF(R364=0,"",SUMIFS('RECEBIMENTOS'!$H$6:$H$1005,'RECEBIMENTOS'!$R$6:$R$1005,A364,'RECEBIMENTOS'!$X$6:$X$1005,1))</f>
        <v/>
      </c>
      <c r="M364" s="93" t="str">
        <f>IF(R364=0,"",SUMIFS('VÍNCULOS_CDF'!$H$6:$H$1005,'VÍNCULOS_CDF'!$R$6:$R$1005,A364,'VÍNCULOS_CDF'!$V$6:$V$1005,1))</f>
        <v/>
      </c>
      <c r="N364" s="99" t="str">
        <f>IF(OR(R364=0,AA364=0,NOT(ISNUMBER(I364))),"",I364-N(L364))</f>
        <v/>
      </c>
      <c r="O364" s="100" t="str">
        <f>IF(OR(R364=0,AK364&lt;=0),"",N(M364)/AK364)</f>
        <v/>
      </c>
      <c r="P364" s="94" t="str">
        <f>IF(R364=0,"",IF(S364="","Sem MTR associado",IF(U364=0,"MTR inexistente",IF(C364="","Resíduo não identificado",IF(V364=0,"Resíduo fora do cadastro",IF(W364=0,"Quantidade inválida",IF(H364="","Unidade não informada",IF(NOT(ISNUMBER(I364)),"Unidade a conferir",IF(AND(AH364=1,K364&lt;&gt;"Sim"),"Possível duplicidade",IF(Z364=1,"MTR cancelado",IF(AC364&gt;0,"Recebimento com alerta",IF(AA364=0,"Aguardando recebimento",IF(AB364&lt;AA364,"Recebimento a conferir",IF(AM364=1,"Quantidade a revisar",IF(AF364&gt;0,"Vínculo a revisar",IF(AD364=0,"Aguardando CDF",IF(AN364=0,"Vínculo de CDF parcial",IF(AE364&lt;AD364,"CDF a conferir","Documentação conferida"))))))))))))))))))</f>
        <v/>
      </c>
      <c r="Q364" s="93" t="str">
        <f>IF(OR(R364=0,AA364=0),"",MAX(0,N(L364)-N(M364)))</f>
        <v/>
      </c>
      <c r="R364" s="96">
        <f>IF(COUNTA(B364:C364,G364:H364,J364:K364)&gt;0,1,0)</f>
        <v>0</v>
      </c>
      <c r="S364" s="96" t="str">
        <f>IF(B364="","",TRIM(LEFT(B364,FIND(" |",B364&amp;" |")-1)))</f>
        <v/>
      </c>
      <c r="T364" s="96" t="str">
        <f>IF(S364="","",IFERROR(MATCH(S364,'MTRs'!$A$6:$A$505,0),""))</f>
        <v/>
      </c>
      <c r="U364" s="96">
        <f>IF(T364="",0,IF(INDEX('MTRs'!$Z$6:$Z$505,T364)=1,1,0))</f>
        <v>0</v>
      </c>
      <c r="V364" s="96">
        <f>IF(C364="",0,IF(ISNUMBER(MATCH(C364,'CAD_RESÍDUOS'!$B$6:$B$205,0)),1,0))</f>
        <v>0</v>
      </c>
      <c r="W364" s="96">
        <f>IF(AND(ISNUMBER(G364),G364&gt;0),1,0)</f>
        <v>0</v>
      </c>
      <c r="X364" s="96" t="str">
        <f>IF(H364="","",IFERROR(IF(ISNUMBER(INDEX(cfg_fac,MATCH(H364,cfg_units,0))),IF(INDEX(cfg_fac,MATCH(H364,cfg_units,0))&gt;0,INDEX(cfg_fac,MATCH(H364,cfg_units,0)),""),""),""))</f>
        <v/>
      </c>
      <c r="Y364" s="96">
        <f>IF(AND(W364=1,ISNUMBER(I364)),1,0)</f>
        <v>0</v>
      </c>
      <c r="Z364" s="96">
        <f>IF(U364=1,INDEX('MTRs'!$AA$6:$AA$505,T364),0)</f>
        <v>0</v>
      </c>
      <c r="AA364" s="96">
        <f>IF(R364=0,0,COUNTIFS('RECEBIMENTOS'!$R$6:$R$1005,A364,'RECEBIMENTOS'!$Q$6:$Q$1005,1))</f>
        <v>0</v>
      </c>
      <c r="AB364" s="96">
        <f>IF(R364=0,0,COUNTIFS('RECEBIMENTOS'!$R$6:$R$1005,A364,'RECEBIMENTOS'!$Z$6:$Z$1005,1))</f>
        <v>0</v>
      </c>
      <c r="AC364" s="96">
        <f>IF(R364=0,0,COUNTIFS('RECEBIMENTOS'!$R$6:$R$1005,A364,'RECEBIMENTOS'!$Y$6:$Y$1005,1))</f>
        <v>0</v>
      </c>
      <c r="AD364" s="96">
        <f>IF(R364=0,0,COUNTIFS('VÍNCULOS_CDF'!$R$6:$R$1005,A364,'VÍNCULOS_CDF'!$N$6:$N$1005,1))</f>
        <v>0</v>
      </c>
      <c r="AE364" s="96">
        <f>IF(R364=0,0,COUNTIFS('VÍNCULOS_CDF'!$R$6:$R$1005,A364,'VÍNCULOS_CDF'!$AA$6:$AA$1005,1))</f>
        <v>0</v>
      </c>
      <c r="AF364" s="96">
        <f>IF(R364=0,0,COUNTIFS('VÍNCULOS_CDF'!$R$6:$R$1005,A364,'VÍNCULOS_CDF'!$Y$6:$Y$1005,1))</f>
        <v>0</v>
      </c>
      <c r="AG364" s="96" t="str">
        <f>IF(AND(R364=1,S364&lt;&gt;"",C364&lt;&gt;""),S364&amp;"|"&amp;C364&amp;"|"&amp;G364&amp;"|"&amp;H364,"")</f>
        <v/>
      </c>
      <c r="AH364" s="96">
        <f>IF(AG364="",0,IF(SUMPRODUCT(--($AG$6:$AG$1005=AG364))&gt;1,1,0))</f>
        <v>0</v>
      </c>
      <c r="AI364" s="96">
        <f>IF(R364=0,0,IF(OR(U364=0,V364=0,Y364=0,AND(AH364=1,K364&lt;&gt;"Sim")),1,0))</f>
        <v>0</v>
      </c>
      <c r="AJ364" s="96">
        <f>IF(AND(R364=1,AA364&gt;0,AB364=AA364),1,0)</f>
        <v>0</v>
      </c>
      <c r="AK364" s="96">
        <f>IF(R364=0,0,IF(AA364&gt;0,N(L364),IF(ISNUMBER(I364),I364,0)))</f>
        <v>0</v>
      </c>
      <c r="AL364" s="96">
        <f>IF(R364=0,0,IF(AND(K364&lt;&gt;"Sim",N(M364)&gt;AK364+cfg_tol),1,0))</f>
        <v>0</v>
      </c>
      <c r="AM364" s="96">
        <f>IF(R364=0,0,IF(K364="Sim",0,IF(OR(AND(AA364&gt;0,ISNUMBER(I364),ABS(I364-N(L364))&gt;cfg_tol),AL364=1),1,0)))</f>
        <v>0</v>
      </c>
      <c r="AN364" s="96">
        <f>IF(AND(R364=1,N(M364)&gt;0,OR(N(M364)&gt;=AK364-cfg_tol,K364="Sim")),1,0)</f>
        <v>0</v>
      </c>
      <c r="AO364" s="96">
        <f>IF(AND(AN364=1,AD364&gt;0,AE364=AD364,AL364=0),1,0)</f>
        <v>0</v>
      </c>
      <c r="AP364" s="96">
        <f>IF(U364=0,0,IF(AND(INDEX('MTRs'!$AX$6:$AX$505,T364)=1,Z364=0,OR(f_res="",f_res="(Todos)",C364=f_res)),1,0))</f>
        <v>0</v>
      </c>
      <c r="AQ364" s="97" t="str">
        <f>IF(U364=0,"",INDEX('MTRs'!$AZ$6:$AZ$505,T364))</f>
        <v/>
      </c>
      <c r="AR364" s="96">
        <f>IF(U364=0,0,IF(AND(INDEX('MTRs'!$BA$6:$BA$505,T364)=1,Z364=0),1,0))</f>
        <v>0</v>
      </c>
      <c r="AS364" s="96" t="str">
        <f>IF(R364=1,A364&amp;" | MTR "&amp;IF(U364=1,INDEX('MTRs'!$B$6:$B$505,T364)&amp;"","?")&amp;" | "&amp;IF(C364="","(sem resíduo)",C364),"")</f>
        <v/>
      </c>
      <c r="AT364" s="96" t="str">
        <f>IF(R364=1,COUNTIF($R$6:R364,1),"")</f>
        <v/>
      </c>
      <c r="AU364" s="96" t="str">
        <f>IF(U364=1,INDEX('MTRs'!$I$6:$I$505,T364)&amp;"","")</f>
        <v/>
      </c>
    </row>
    <row r="365">
      <c r="A365" s="89" t="inlineStr">
        <is>
          <t>IT-000360</t>
        </is>
      </c>
      <c r="B365" s="91" t="n"/>
      <c r="C365" s="91" t="n"/>
      <c r="D365" s="94" t="str">
        <f>IF(OR(R365=0,V365=0),"",INDEX('CAD_RESÍDUOS'!$E$6:$E$205,MATCH(C365,'CAD_RESÍDUOS'!$B$6:$B$205,0))&amp;"")</f>
        <v/>
      </c>
      <c r="E365" s="94" t="str">
        <f>IF(OR(R365=0,V365=0),"",INDEX('CAD_RESÍDUOS'!$C$6:$C$205,MATCH(C365,'CAD_RESÍDUOS'!$B$6:$B$205,0))&amp;"")</f>
        <v/>
      </c>
      <c r="F365" s="94" t="str">
        <f>IF(OR(R365=0,V365=0),"",INDEX('CAD_RESÍDUOS'!$G$6:$G$205,MATCH(C365,'CAD_RESÍDUOS'!$B$6:$B$205,0))&amp;"")</f>
        <v/>
      </c>
      <c r="G365" s="98" t="n"/>
      <c r="H365" s="91" t="n"/>
      <c r="I365" s="93" t="str">
        <f>IF(R365=0,"",IF(NOT(ISNUMBER(G365)),"",IF(ISNUMBER(X365),G365*X365,"UNIDADE A CONFERIR")))</f>
        <v/>
      </c>
      <c r="J365" s="91" t="n"/>
      <c r="K365" s="91" t="n"/>
      <c r="L365" s="93" t="str">
        <f>IF(R365=0,"",SUMIFS('RECEBIMENTOS'!$H$6:$H$1005,'RECEBIMENTOS'!$R$6:$R$1005,A365,'RECEBIMENTOS'!$X$6:$X$1005,1))</f>
        <v/>
      </c>
      <c r="M365" s="93" t="str">
        <f>IF(R365=0,"",SUMIFS('VÍNCULOS_CDF'!$H$6:$H$1005,'VÍNCULOS_CDF'!$R$6:$R$1005,A365,'VÍNCULOS_CDF'!$V$6:$V$1005,1))</f>
        <v/>
      </c>
      <c r="N365" s="99" t="str">
        <f>IF(OR(R365=0,AA365=0,NOT(ISNUMBER(I365))),"",I365-N(L365))</f>
        <v/>
      </c>
      <c r="O365" s="100" t="str">
        <f>IF(OR(R365=0,AK365&lt;=0),"",N(M365)/AK365)</f>
        <v/>
      </c>
      <c r="P365" s="94" t="str">
        <f>IF(R365=0,"",IF(S365="","Sem MTR associado",IF(U365=0,"MTR inexistente",IF(C365="","Resíduo não identificado",IF(V365=0,"Resíduo fora do cadastro",IF(W365=0,"Quantidade inválida",IF(H365="","Unidade não informada",IF(NOT(ISNUMBER(I365)),"Unidade a conferir",IF(AND(AH365=1,K365&lt;&gt;"Sim"),"Possível duplicidade",IF(Z365=1,"MTR cancelado",IF(AC365&gt;0,"Recebimento com alerta",IF(AA365=0,"Aguardando recebimento",IF(AB365&lt;AA365,"Recebimento a conferir",IF(AM365=1,"Quantidade a revisar",IF(AF365&gt;0,"Vínculo a revisar",IF(AD365=0,"Aguardando CDF",IF(AN365=0,"Vínculo de CDF parcial",IF(AE365&lt;AD365,"CDF a conferir","Documentação conferida"))))))))))))))))))</f>
        <v/>
      </c>
      <c r="Q365" s="93" t="str">
        <f>IF(OR(R365=0,AA365=0),"",MAX(0,N(L365)-N(M365)))</f>
        <v/>
      </c>
      <c r="R365" s="96">
        <f>IF(COUNTA(B365:C365,G365:H365,J365:K365)&gt;0,1,0)</f>
        <v>0</v>
      </c>
      <c r="S365" s="96" t="str">
        <f>IF(B365="","",TRIM(LEFT(B365,FIND(" |",B365&amp;" |")-1)))</f>
        <v/>
      </c>
      <c r="T365" s="96" t="str">
        <f>IF(S365="","",IFERROR(MATCH(S365,'MTRs'!$A$6:$A$505,0),""))</f>
        <v/>
      </c>
      <c r="U365" s="96">
        <f>IF(T365="",0,IF(INDEX('MTRs'!$Z$6:$Z$505,T365)=1,1,0))</f>
        <v>0</v>
      </c>
      <c r="V365" s="96">
        <f>IF(C365="",0,IF(ISNUMBER(MATCH(C365,'CAD_RESÍDUOS'!$B$6:$B$205,0)),1,0))</f>
        <v>0</v>
      </c>
      <c r="W365" s="96">
        <f>IF(AND(ISNUMBER(G365),G365&gt;0),1,0)</f>
        <v>0</v>
      </c>
      <c r="X365" s="96" t="str">
        <f>IF(H365="","",IFERROR(IF(ISNUMBER(INDEX(cfg_fac,MATCH(H365,cfg_units,0))),IF(INDEX(cfg_fac,MATCH(H365,cfg_units,0))&gt;0,INDEX(cfg_fac,MATCH(H365,cfg_units,0)),""),""),""))</f>
        <v/>
      </c>
      <c r="Y365" s="96">
        <f>IF(AND(W365=1,ISNUMBER(I365)),1,0)</f>
        <v>0</v>
      </c>
      <c r="Z365" s="96">
        <f>IF(U365=1,INDEX('MTRs'!$AA$6:$AA$505,T365),0)</f>
        <v>0</v>
      </c>
      <c r="AA365" s="96">
        <f>IF(R365=0,0,COUNTIFS('RECEBIMENTOS'!$R$6:$R$1005,A365,'RECEBIMENTOS'!$Q$6:$Q$1005,1))</f>
        <v>0</v>
      </c>
      <c r="AB365" s="96">
        <f>IF(R365=0,0,COUNTIFS('RECEBIMENTOS'!$R$6:$R$1005,A365,'RECEBIMENTOS'!$Z$6:$Z$1005,1))</f>
        <v>0</v>
      </c>
      <c r="AC365" s="96">
        <f>IF(R365=0,0,COUNTIFS('RECEBIMENTOS'!$R$6:$R$1005,A365,'RECEBIMENTOS'!$Y$6:$Y$1005,1))</f>
        <v>0</v>
      </c>
      <c r="AD365" s="96">
        <f>IF(R365=0,0,COUNTIFS('VÍNCULOS_CDF'!$R$6:$R$1005,A365,'VÍNCULOS_CDF'!$N$6:$N$1005,1))</f>
        <v>0</v>
      </c>
      <c r="AE365" s="96">
        <f>IF(R365=0,0,COUNTIFS('VÍNCULOS_CDF'!$R$6:$R$1005,A365,'VÍNCULOS_CDF'!$AA$6:$AA$1005,1))</f>
        <v>0</v>
      </c>
      <c r="AF365" s="96">
        <f>IF(R365=0,0,COUNTIFS('VÍNCULOS_CDF'!$R$6:$R$1005,A365,'VÍNCULOS_CDF'!$Y$6:$Y$1005,1))</f>
        <v>0</v>
      </c>
      <c r="AG365" s="96" t="str">
        <f>IF(AND(R365=1,S365&lt;&gt;"",C365&lt;&gt;""),S365&amp;"|"&amp;C365&amp;"|"&amp;G365&amp;"|"&amp;H365,"")</f>
        <v/>
      </c>
      <c r="AH365" s="96">
        <f>IF(AG365="",0,IF(SUMPRODUCT(--($AG$6:$AG$1005=AG365))&gt;1,1,0))</f>
        <v>0</v>
      </c>
      <c r="AI365" s="96">
        <f>IF(R365=0,0,IF(OR(U365=0,V365=0,Y365=0,AND(AH365=1,K365&lt;&gt;"Sim")),1,0))</f>
        <v>0</v>
      </c>
      <c r="AJ365" s="96">
        <f>IF(AND(R365=1,AA365&gt;0,AB365=AA365),1,0)</f>
        <v>0</v>
      </c>
      <c r="AK365" s="96">
        <f>IF(R365=0,0,IF(AA365&gt;0,N(L365),IF(ISNUMBER(I365),I365,0)))</f>
        <v>0</v>
      </c>
      <c r="AL365" s="96">
        <f>IF(R365=0,0,IF(AND(K365&lt;&gt;"Sim",N(M365)&gt;AK365+cfg_tol),1,0))</f>
        <v>0</v>
      </c>
      <c r="AM365" s="96">
        <f>IF(R365=0,0,IF(K365="Sim",0,IF(OR(AND(AA365&gt;0,ISNUMBER(I365),ABS(I365-N(L365))&gt;cfg_tol),AL365=1),1,0)))</f>
        <v>0</v>
      </c>
      <c r="AN365" s="96">
        <f>IF(AND(R365=1,N(M365)&gt;0,OR(N(M365)&gt;=AK365-cfg_tol,K365="Sim")),1,0)</f>
        <v>0</v>
      </c>
      <c r="AO365" s="96">
        <f>IF(AND(AN365=1,AD365&gt;0,AE365=AD365,AL365=0),1,0)</f>
        <v>0</v>
      </c>
      <c r="AP365" s="96">
        <f>IF(U365=0,0,IF(AND(INDEX('MTRs'!$AX$6:$AX$505,T365)=1,Z365=0,OR(f_res="",f_res="(Todos)",C365=f_res)),1,0))</f>
        <v>0</v>
      </c>
      <c r="AQ365" s="97" t="str">
        <f>IF(U365=0,"",INDEX('MTRs'!$AZ$6:$AZ$505,T365))</f>
        <v/>
      </c>
      <c r="AR365" s="96">
        <f>IF(U365=0,0,IF(AND(INDEX('MTRs'!$BA$6:$BA$505,T365)=1,Z365=0),1,0))</f>
        <v>0</v>
      </c>
      <c r="AS365" s="96" t="str">
        <f>IF(R365=1,A365&amp;" | MTR "&amp;IF(U365=1,INDEX('MTRs'!$B$6:$B$505,T365)&amp;"","?")&amp;" | "&amp;IF(C365="","(sem resíduo)",C365),"")</f>
        <v/>
      </c>
      <c r="AT365" s="96" t="str">
        <f>IF(R365=1,COUNTIF($R$6:R365,1),"")</f>
        <v/>
      </c>
      <c r="AU365" s="96" t="str">
        <f>IF(U365=1,INDEX('MTRs'!$I$6:$I$505,T365)&amp;"","")</f>
        <v/>
      </c>
    </row>
    <row r="366">
      <c r="A366" s="89" t="inlineStr">
        <is>
          <t>IT-000361</t>
        </is>
      </c>
      <c r="B366" s="91" t="n"/>
      <c r="C366" s="91" t="n"/>
      <c r="D366" s="94" t="str">
        <f>IF(OR(R366=0,V366=0),"",INDEX('CAD_RESÍDUOS'!$E$6:$E$205,MATCH(C366,'CAD_RESÍDUOS'!$B$6:$B$205,0))&amp;"")</f>
        <v/>
      </c>
      <c r="E366" s="94" t="str">
        <f>IF(OR(R366=0,V366=0),"",INDEX('CAD_RESÍDUOS'!$C$6:$C$205,MATCH(C366,'CAD_RESÍDUOS'!$B$6:$B$205,0))&amp;"")</f>
        <v/>
      </c>
      <c r="F366" s="94" t="str">
        <f>IF(OR(R366=0,V366=0),"",INDEX('CAD_RESÍDUOS'!$G$6:$G$205,MATCH(C366,'CAD_RESÍDUOS'!$B$6:$B$205,0))&amp;"")</f>
        <v/>
      </c>
      <c r="G366" s="98" t="n"/>
      <c r="H366" s="91" t="n"/>
      <c r="I366" s="93" t="str">
        <f>IF(R366=0,"",IF(NOT(ISNUMBER(G366)),"",IF(ISNUMBER(X366),G366*X366,"UNIDADE A CONFERIR")))</f>
        <v/>
      </c>
      <c r="J366" s="91" t="n"/>
      <c r="K366" s="91" t="n"/>
      <c r="L366" s="93" t="str">
        <f>IF(R366=0,"",SUMIFS('RECEBIMENTOS'!$H$6:$H$1005,'RECEBIMENTOS'!$R$6:$R$1005,A366,'RECEBIMENTOS'!$X$6:$X$1005,1))</f>
        <v/>
      </c>
      <c r="M366" s="93" t="str">
        <f>IF(R366=0,"",SUMIFS('VÍNCULOS_CDF'!$H$6:$H$1005,'VÍNCULOS_CDF'!$R$6:$R$1005,A366,'VÍNCULOS_CDF'!$V$6:$V$1005,1))</f>
        <v/>
      </c>
      <c r="N366" s="99" t="str">
        <f>IF(OR(R366=0,AA366=0,NOT(ISNUMBER(I366))),"",I366-N(L366))</f>
        <v/>
      </c>
      <c r="O366" s="100" t="str">
        <f>IF(OR(R366=0,AK366&lt;=0),"",N(M366)/AK366)</f>
        <v/>
      </c>
      <c r="P366" s="94" t="str">
        <f>IF(R366=0,"",IF(S366="","Sem MTR associado",IF(U366=0,"MTR inexistente",IF(C366="","Resíduo não identificado",IF(V366=0,"Resíduo fora do cadastro",IF(W366=0,"Quantidade inválida",IF(H366="","Unidade não informada",IF(NOT(ISNUMBER(I366)),"Unidade a conferir",IF(AND(AH366=1,K366&lt;&gt;"Sim"),"Possível duplicidade",IF(Z366=1,"MTR cancelado",IF(AC366&gt;0,"Recebimento com alerta",IF(AA366=0,"Aguardando recebimento",IF(AB366&lt;AA366,"Recebimento a conferir",IF(AM366=1,"Quantidade a revisar",IF(AF366&gt;0,"Vínculo a revisar",IF(AD366=0,"Aguardando CDF",IF(AN366=0,"Vínculo de CDF parcial",IF(AE366&lt;AD366,"CDF a conferir","Documentação conferida"))))))))))))))))))</f>
        <v/>
      </c>
      <c r="Q366" s="93" t="str">
        <f>IF(OR(R366=0,AA366=0),"",MAX(0,N(L366)-N(M366)))</f>
        <v/>
      </c>
      <c r="R366" s="96">
        <f>IF(COUNTA(B366:C366,G366:H366,J366:K366)&gt;0,1,0)</f>
        <v>0</v>
      </c>
      <c r="S366" s="96" t="str">
        <f>IF(B366="","",TRIM(LEFT(B366,FIND(" |",B366&amp;" |")-1)))</f>
        <v/>
      </c>
      <c r="T366" s="96" t="str">
        <f>IF(S366="","",IFERROR(MATCH(S366,'MTRs'!$A$6:$A$505,0),""))</f>
        <v/>
      </c>
      <c r="U366" s="96">
        <f>IF(T366="",0,IF(INDEX('MTRs'!$Z$6:$Z$505,T366)=1,1,0))</f>
        <v>0</v>
      </c>
      <c r="V366" s="96">
        <f>IF(C366="",0,IF(ISNUMBER(MATCH(C366,'CAD_RESÍDUOS'!$B$6:$B$205,0)),1,0))</f>
        <v>0</v>
      </c>
      <c r="W366" s="96">
        <f>IF(AND(ISNUMBER(G366),G366&gt;0),1,0)</f>
        <v>0</v>
      </c>
      <c r="X366" s="96" t="str">
        <f>IF(H366="","",IFERROR(IF(ISNUMBER(INDEX(cfg_fac,MATCH(H366,cfg_units,0))),IF(INDEX(cfg_fac,MATCH(H366,cfg_units,0))&gt;0,INDEX(cfg_fac,MATCH(H366,cfg_units,0)),""),""),""))</f>
        <v/>
      </c>
      <c r="Y366" s="96">
        <f>IF(AND(W366=1,ISNUMBER(I366)),1,0)</f>
        <v>0</v>
      </c>
      <c r="Z366" s="96">
        <f>IF(U366=1,INDEX('MTRs'!$AA$6:$AA$505,T366),0)</f>
        <v>0</v>
      </c>
      <c r="AA366" s="96">
        <f>IF(R366=0,0,COUNTIFS('RECEBIMENTOS'!$R$6:$R$1005,A366,'RECEBIMENTOS'!$Q$6:$Q$1005,1))</f>
        <v>0</v>
      </c>
      <c r="AB366" s="96">
        <f>IF(R366=0,0,COUNTIFS('RECEBIMENTOS'!$R$6:$R$1005,A366,'RECEBIMENTOS'!$Z$6:$Z$1005,1))</f>
        <v>0</v>
      </c>
      <c r="AC366" s="96">
        <f>IF(R366=0,0,COUNTIFS('RECEBIMENTOS'!$R$6:$R$1005,A366,'RECEBIMENTOS'!$Y$6:$Y$1005,1))</f>
        <v>0</v>
      </c>
      <c r="AD366" s="96">
        <f>IF(R366=0,0,COUNTIFS('VÍNCULOS_CDF'!$R$6:$R$1005,A366,'VÍNCULOS_CDF'!$N$6:$N$1005,1))</f>
        <v>0</v>
      </c>
      <c r="AE366" s="96">
        <f>IF(R366=0,0,COUNTIFS('VÍNCULOS_CDF'!$R$6:$R$1005,A366,'VÍNCULOS_CDF'!$AA$6:$AA$1005,1))</f>
        <v>0</v>
      </c>
      <c r="AF366" s="96">
        <f>IF(R366=0,0,COUNTIFS('VÍNCULOS_CDF'!$R$6:$R$1005,A366,'VÍNCULOS_CDF'!$Y$6:$Y$1005,1))</f>
        <v>0</v>
      </c>
      <c r="AG366" s="96" t="str">
        <f>IF(AND(R366=1,S366&lt;&gt;"",C366&lt;&gt;""),S366&amp;"|"&amp;C366&amp;"|"&amp;G366&amp;"|"&amp;H366,"")</f>
        <v/>
      </c>
      <c r="AH366" s="96">
        <f>IF(AG366="",0,IF(SUMPRODUCT(--($AG$6:$AG$1005=AG366))&gt;1,1,0))</f>
        <v>0</v>
      </c>
      <c r="AI366" s="96">
        <f>IF(R366=0,0,IF(OR(U366=0,V366=0,Y366=0,AND(AH366=1,K366&lt;&gt;"Sim")),1,0))</f>
        <v>0</v>
      </c>
      <c r="AJ366" s="96">
        <f>IF(AND(R366=1,AA366&gt;0,AB366=AA366),1,0)</f>
        <v>0</v>
      </c>
      <c r="AK366" s="96">
        <f>IF(R366=0,0,IF(AA366&gt;0,N(L366),IF(ISNUMBER(I366),I366,0)))</f>
        <v>0</v>
      </c>
      <c r="AL366" s="96">
        <f>IF(R366=0,0,IF(AND(K366&lt;&gt;"Sim",N(M366)&gt;AK366+cfg_tol),1,0))</f>
        <v>0</v>
      </c>
      <c r="AM366" s="96">
        <f>IF(R366=0,0,IF(K366="Sim",0,IF(OR(AND(AA366&gt;0,ISNUMBER(I366),ABS(I366-N(L366))&gt;cfg_tol),AL366=1),1,0)))</f>
        <v>0</v>
      </c>
      <c r="AN366" s="96">
        <f>IF(AND(R366=1,N(M366)&gt;0,OR(N(M366)&gt;=AK366-cfg_tol,K366="Sim")),1,0)</f>
        <v>0</v>
      </c>
      <c r="AO366" s="96">
        <f>IF(AND(AN366=1,AD366&gt;0,AE366=AD366,AL366=0),1,0)</f>
        <v>0</v>
      </c>
      <c r="AP366" s="96">
        <f>IF(U366=0,0,IF(AND(INDEX('MTRs'!$AX$6:$AX$505,T366)=1,Z366=0,OR(f_res="",f_res="(Todos)",C366=f_res)),1,0))</f>
        <v>0</v>
      </c>
      <c r="AQ366" s="97" t="str">
        <f>IF(U366=0,"",INDEX('MTRs'!$AZ$6:$AZ$505,T366))</f>
        <v/>
      </c>
      <c r="AR366" s="96">
        <f>IF(U366=0,0,IF(AND(INDEX('MTRs'!$BA$6:$BA$505,T366)=1,Z366=0),1,0))</f>
        <v>0</v>
      </c>
      <c r="AS366" s="96" t="str">
        <f>IF(R366=1,A366&amp;" | MTR "&amp;IF(U366=1,INDEX('MTRs'!$B$6:$B$505,T366)&amp;"","?")&amp;" | "&amp;IF(C366="","(sem resíduo)",C366),"")</f>
        <v/>
      </c>
      <c r="AT366" s="96" t="str">
        <f>IF(R366=1,COUNTIF($R$6:R366,1),"")</f>
        <v/>
      </c>
      <c r="AU366" s="96" t="str">
        <f>IF(U366=1,INDEX('MTRs'!$I$6:$I$505,T366)&amp;"","")</f>
        <v/>
      </c>
    </row>
    <row r="367">
      <c r="A367" s="89" t="inlineStr">
        <is>
          <t>IT-000362</t>
        </is>
      </c>
      <c r="B367" s="91" t="n"/>
      <c r="C367" s="91" t="n"/>
      <c r="D367" s="94" t="str">
        <f>IF(OR(R367=0,V367=0),"",INDEX('CAD_RESÍDUOS'!$E$6:$E$205,MATCH(C367,'CAD_RESÍDUOS'!$B$6:$B$205,0))&amp;"")</f>
        <v/>
      </c>
      <c r="E367" s="94" t="str">
        <f>IF(OR(R367=0,V367=0),"",INDEX('CAD_RESÍDUOS'!$C$6:$C$205,MATCH(C367,'CAD_RESÍDUOS'!$B$6:$B$205,0))&amp;"")</f>
        <v/>
      </c>
      <c r="F367" s="94" t="str">
        <f>IF(OR(R367=0,V367=0),"",INDEX('CAD_RESÍDUOS'!$G$6:$G$205,MATCH(C367,'CAD_RESÍDUOS'!$B$6:$B$205,0))&amp;"")</f>
        <v/>
      </c>
      <c r="G367" s="98" t="n"/>
      <c r="H367" s="91" t="n"/>
      <c r="I367" s="93" t="str">
        <f>IF(R367=0,"",IF(NOT(ISNUMBER(G367)),"",IF(ISNUMBER(X367),G367*X367,"UNIDADE A CONFERIR")))</f>
        <v/>
      </c>
      <c r="J367" s="91" t="n"/>
      <c r="K367" s="91" t="n"/>
      <c r="L367" s="93" t="str">
        <f>IF(R367=0,"",SUMIFS('RECEBIMENTOS'!$H$6:$H$1005,'RECEBIMENTOS'!$R$6:$R$1005,A367,'RECEBIMENTOS'!$X$6:$X$1005,1))</f>
        <v/>
      </c>
      <c r="M367" s="93" t="str">
        <f>IF(R367=0,"",SUMIFS('VÍNCULOS_CDF'!$H$6:$H$1005,'VÍNCULOS_CDF'!$R$6:$R$1005,A367,'VÍNCULOS_CDF'!$V$6:$V$1005,1))</f>
        <v/>
      </c>
      <c r="N367" s="99" t="str">
        <f>IF(OR(R367=0,AA367=0,NOT(ISNUMBER(I367))),"",I367-N(L367))</f>
        <v/>
      </c>
      <c r="O367" s="100" t="str">
        <f>IF(OR(R367=0,AK367&lt;=0),"",N(M367)/AK367)</f>
        <v/>
      </c>
      <c r="P367" s="94" t="str">
        <f>IF(R367=0,"",IF(S367="","Sem MTR associado",IF(U367=0,"MTR inexistente",IF(C367="","Resíduo não identificado",IF(V367=0,"Resíduo fora do cadastro",IF(W367=0,"Quantidade inválida",IF(H367="","Unidade não informada",IF(NOT(ISNUMBER(I367)),"Unidade a conferir",IF(AND(AH367=1,K367&lt;&gt;"Sim"),"Possível duplicidade",IF(Z367=1,"MTR cancelado",IF(AC367&gt;0,"Recebimento com alerta",IF(AA367=0,"Aguardando recebimento",IF(AB367&lt;AA367,"Recebimento a conferir",IF(AM367=1,"Quantidade a revisar",IF(AF367&gt;0,"Vínculo a revisar",IF(AD367=0,"Aguardando CDF",IF(AN367=0,"Vínculo de CDF parcial",IF(AE367&lt;AD367,"CDF a conferir","Documentação conferida"))))))))))))))))))</f>
        <v/>
      </c>
      <c r="Q367" s="93" t="str">
        <f>IF(OR(R367=0,AA367=0),"",MAX(0,N(L367)-N(M367)))</f>
        <v/>
      </c>
      <c r="R367" s="96">
        <f>IF(COUNTA(B367:C367,G367:H367,J367:K367)&gt;0,1,0)</f>
        <v>0</v>
      </c>
      <c r="S367" s="96" t="str">
        <f>IF(B367="","",TRIM(LEFT(B367,FIND(" |",B367&amp;" |")-1)))</f>
        <v/>
      </c>
      <c r="T367" s="96" t="str">
        <f>IF(S367="","",IFERROR(MATCH(S367,'MTRs'!$A$6:$A$505,0),""))</f>
        <v/>
      </c>
      <c r="U367" s="96">
        <f>IF(T367="",0,IF(INDEX('MTRs'!$Z$6:$Z$505,T367)=1,1,0))</f>
        <v>0</v>
      </c>
      <c r="V367" s="96">
        <f>IF(C367="",0,IF(ISNUMBER(MATCH(C367,'CAD_RESÍDUOS'!$B$6:$B$205,0)),1,0))</f>
        <v>0</v>
      </c>
      <c r="W367" s="96">
        <f>IF(AND(ISNUMBER(G367),G367&gt;0),1,0)</f>
        <v>0</v>
      </c>
      <c r="X367" s="96" t="str">
        <f>IF(H367="","",IFERROR(IF(ISNUMBER(INDEX(cfg_fac,MATCH(H367,cfg_units,0))),IF(INDEX(cfg_fac,MATCH(H367,cfg_units,0))&gt;0,INDEX(cfg_fac,MATCH(H367,cfg_units,0)),""),""),""))</f>
        <v/>
      </c>
      <c r="Y367" s="96">
        <f>IF(AND(W367=1,ISNUMBER(I367)),1,0)</f>
        <v>0</v>
      </c>
      <c r="Z367" s="96">
        <f>IF(U367=1,INDEX('MTRs'!$AA$6:$AA$505,T367),0)</f>
        <v>0</v>
      </c>
      <c r="AA367" s="96">
        <f>IF(R367=0,0,COUNTIFS('RECEBIMENTOS'!$R$6:$R$1005,A367,'RECEBIMENTOS'!$Q$6:$Q$1005,1))</f>
        <v>0</v>
      </c>
      <c r="AB367" s="96">
        <f>IF(R367=0,0,COUNTIFS('RECEBIMENTOS'!$R$6:$R$1005,A367,'RECEBIMENTOS'!$Z$6:$Z$1005,1))</f>
        <v>0</v>
      </c>
      <c r="AC367" s="96">
        <f>IF(R367=0,0,COUNTIFS('RECEBIMENTOS'!$R$6:$R$1005,A367,'RECEBIMENTOS'!$Y$6:$Y$1005,1))</f>
        <v>0</v>
      </c>
      <c r="AD367" s="96">
        <f>IF(R367=0,0,COUNTIFS('VÍNCULOS_CDF'!$R$6:$R$1005,A367,'VÍNCULOS_CDF'!$N$6:$N$1005,1))</f>
        <v>0</v>
      </c>
      <c r="AE367" s="96">
        <f>IF(R367=0,0,COUNTIFS('VÍNCULOS_CDF'!$R$6:$R$1005,A367,'VÍNCULOS_CDF'!$AA$6:$AA$1005,1))</f>
        <v>0</v>
      </c>
      <c r="AF367" s="96">
        <f>IF(R367=0,0,COUNTIFS('VÍNCULOS_CDF'!$R$6:$R$1005,A367,'VÍNCULOS_CDF'!$Y$6:$Y$1005,1))</f>
        <v>0</v>
      </c>
      <c r="AG367" s="96" t="str">
        <f>IF(AND(R367=1,S367&lt;&gt;"",C367&lt;&gt;""),S367&amp;"|"&amp;C367&amp;"|"&amp;G367&amp;"|"&amp;H367,"")</f>
        <v/>
      </c>
      <c r="AH367" s="96">
        <f>IF(AG367="",0,IF(SUMPRODUCT(--($AG$6:$AG$1005=AG367))&gt;1,1,0))</f>
        <v>0</v>
      </c>
      <c r="AI367" s="96">
        <f>IF(R367=0,0,IF(OR(U367=0,V367=0,Y367=0,AND(AH367=1,K367&lt;&gt;"Sim")),1,0))</f>
        <v>0</v>
      </c>
      <c r="AJ367" s="96">
        <f>IF(AND(R367=1,AA367&gt;0,AB367=AA367),1,0)</f>
        <v>0</v>
      </c>
      <c r="AK367" s="96">
        <f>IF(R367=0,0,IF(AA367&gt;0,N(L367),IF(ISNUMBER(I367),I367,0)))</f>
        <v>0</v>
      </c>
      <c r="AL367" s="96">
        <f>IF(R367=0,0,IF(AND(K367&lt;&gt;"Sim",N(M367)&gt;AK367+cfg_tol),1,0))</f>
        <v>0</v>
      </c>
      <c r="AM367" s="96">
        <f>IF(R367=0,0,IF(K367="Sim",0,IF(OR(AND(AA367&gt;0,ISNUMBER(I367),ABS(I367-N(L367))&gt;cfg_tol),AL367=1),1,0)))</f>
        <v>0</v>
      </c>
      <c r="AN367" s="96">
        <f>IF(AND(R367=1,N(M367)&gt;0,OR(N(M367)&gt;=AK367-cfg_tol,K367="Sim")),1,0)</f>
        <v>0</v>
      </c>
      <c r="AO367" s="96">
        <f>IF(AND(AN367=1,AD367&gt;0,AE367=AD367,AL367=0),1,0)</f>
        <v>0</v>
      </c>
      <c r="AP367" s="96">
        <f>IF(U367=0,0,IF(AND(INDEX('MTRs'!$AX$6:$AX$505,T367)=1,Z367=0,OR(f_res="",f_res="(Todos)",C367=f_res)),1,0))</f>
        <v>0</v>
      </c>
      <c r="AQ367" s="97" t="str">
        <f>IF(U367=0,"",INDEX('MTRs'!$AZ$6:$AZ$505,T367))</f>
        <v/>
      </c>
      <c r="AR367" s="96">
        <f>IF(U367=0,0,IF(AND(INDEX('MTRs'!$BA$6:$BA$505,T367)=1,Z367=0),1,0))</f>
        <v>0</v>
      </c>
      <c r="AS367" s="96" t="str">
        <f>IF(R367=1,A367&amp;" | MTR "&amp;IF(U367=1,INDEX('MTRs'!$B$6:$B$505,T367)&amp;"","?")&amp;" | "&amp;IF(C367="","(sem resíduo)",C367),"")</f>
        <v/>
      </c>
      <c r="AT367" s="96" t="str">
        <f>IF(R367=1,COUNTIF($R$6:R367,1),"")</f>
        <v/>
      </c>
      <c r="AU367" s="96" t="str">
        <f>IF(U367=1,INDEX('MTRs'!$I$6:$I$505,T367)&amp;"","")</f>
        <v/>
      </c>
    </row>
    <row r="368">
      <c r="A368" s="89" t="inlineStr">
        <is>
          <t>IT-000363</t>
        </is>
      </c>
      <c r="B368" s="91" t="n"/>
      <c r="C368" s="91" t="n"/>
      <c r="D368" s="94" t="str">
        <f>IF(OR(R368=0,V368=0),"",INDEX('CAD_RESÍDUOS'!$E$6:$E$205,MATCH(C368,'CAD_RESÍDUOS'!$B$6:$B$205,0))&amp;"")</f>
        <v/>
      </c>
      <c r="E368" s="94" t="str">
        <f>IF(OR(R368=0,V368=0),"",INDEX('CAD_RESÍDUOS'!$C$6:$C$205,MATCH(C368,'CAD_RESÍDUOS'!$B$6:$B$205,0))&amp;"")</f>
        <v/>
      </c>
      <c r="F368" s="94" t="str">
        <f>IF(OR(R368=0,V368=0),"",INDEX('CAD_RESÍDUOS'!$G$6:$G$205,MATCH(C368,'CAD_RESÍDUOS'!$B$6:$B$205,0))&amp;"")</f>
        <v/>
      </c>
      <c r="G368" s="98" t="n"/>
      <c r="H368" s="91" t="n"/>
      <c r="I368" s="93" t="str">
        <f>IF(R368=0,"",IF(NOT(ISNUMBER(G368)),"",IF(ISNUMBER(X368),G368*X368,"UNIDADE A CONFERIR")))</f>
        <v/>
      </c>
      <c r="J368" s="91" t="n"/>
      <c r="K368" s="91" t="n"/>
      <c r="L368" s="93" t="str">
        <f>IF(R368=0,"",SUMIFS('RECEBIMENTOS'!$H$6:$H$1005,'RECEBIMENTOS'!$R$6:$R$1005,A368,'RECEBIMENTOS'!$X$6:$X$1005,1))</f>
        <v/>
      </c>
      <c r="M368" s="93" t="str">
        <f>IF(R368=0,"",SUMIFS('VÍNCULOS_CDF'!$H$6:$H$1005,'VÍNCULOS_CDF'!$R$6:$R$1005,A368,'VÍNCULOS_CDF'!$V$6:$V$1005,1))</f>
        <v/>
      </c>
      <c r="N368" s="99" t="str">
        <f>IF(OR(R368=0,AA368=0,NOT(ISNUMBER(I368))),"",I368-N(L368))</f>
        <v/>
      </c>
      <c r="O368" s="100" t="str">
        <f>IF(OR(R368=0,AK368&lt;=0),"",N(M368)/AK368)</f>
        <v/>
      </c>
      <c r="P368" s="94" t="str">
        <f>IF(R368=0,"",IF(S368="","Sem MTR associado",IF(U368=0,"MTR inexistente",IF(C368="","Resíduo não identificado",IF(V368=0,"Resíduo fora do cadastro",IF(W368=0,"Quantidade inválida",IF(H368="","Unidade não informada",IF(NOT(ISNUMBER(I368)),"Unidade a conferir",IF(AND(AH368=1,K368&lt;&gt;"Sim"),"Possível duplicidade",IF(Z368=1,"MTR cancelado",IF(AC368&gt;0,"Recebimento com alerta",IF(AA368=0,"Aguardando recebimento",IF(AB368&lt;AA368,"Recebimento a conferir",IF(AM368=1,"Quantidade a revisar",IF(AF368&gt;0,"Vínculo a revisar",IF(AD368=0,"Aguardando CDF",IF(AN368=0,"Vínculo de CDF parcial",IF(AE368&lt;AD368,"CDF a conferir","Documentação conferida"))))))))))))))))))</f>
        <v/>
      </c>
      <c r="Q368" s="93" t="str">
        <f>IF(OR(R368=0,AA368=0),"",MAX(0,N(L368)-N(M368)))</f>
        <v/>
      </c>
      <c r="R368" s="96">
        <f>IF(COUNTA(B368:C368,G368:H368,J368:K368)&gt;0,1,0)</f>
        <v>0</v>
      </c>
      <c r="S368" s="96" t="str">
        <f>IF(B368="","",TRIM(LEFT(B368,FIND(" |",B368&amp;" |")-1)))</f>
        <v/>
      </c>
      <c r="T368" s="96" t="str">
        <f>IF(S368="","",IFERROR(MATCH(S368,'MTRs'!$A$6:$A$505,0),""))</f>
        <v/>
      </c>
      <c r="U368" s="96">
        <f>IF(T368="",0,IF(INDEX('MTRs'!$Z$6:$Z$505,T368)=1,1,0))</f>
        <v>0</v>
      </c>
      <c r="V368" s="96">
        <f>IF(C368="",0,IF(ISNUMBER(MATCH(C368,'CAD_RESÍDUOS'!$B$6:$B$205,0)),1,0))</f>
        <v>0</v>
      </c>
      <c r="W368" s="96">
        <f>IF(AND(ISNUMBER(G368),G368&gt;0),1,0)</f>
        <v>0</v>
      </c>
      <c r="X368" s="96" t="str">
        <f>IF(H368="","",IFERROR(IF(ISNUMBER(INDEX(cfg_fac,MATCH(H368,cfg_units,0))),IF(INDEX(cfg_fac,MATCH(H368,cfg_units,0))&gt;0,INDEX(cfg_fac,MATCH(H368,cfg_units,0)),""),""),""))</f>
        <v/>
      </c>
      <c r="Y368" s="96">
        <f>IF(AND(W368=1,ISNUMBER(I368)),1,0)</f>
        <v>0</v>
      </c>
      <c r="Z368" s="96">
        <f>IF(U368=1,INDEX('MTRs'!$AA$6:$AA$505,T368),0)</f>
        <v>0</v>
      </c>
      <c r="AA368" s="96">
        <f>IF(R368=0,0,COUNTIFS('RECEBIMENTOS'!$R$6:$R$1005,A368,'RECEBIMENTOS'!$Q$6:$Q$1005,1))</f>
        <v>0</v>
      </c>
      <c r="AB368" s="96">
        <f>IF(R368=0,0,COUNTIFS('RECEBIMENTOS'!$R$6:$R$1005,A368,'RECEBIMENTOS'!$Z$6:$Z$1005,1))</f>
        <v>0</v>
      </c>
      <c r="AC368" s="96">
        <f>IF(R368=0,0,COUNTIFS('RECEBIMENTOS'!$R$6:$R$1005,A368,'RECEBIMENTOS'!$Y$6:$Y$1005,1))</f>
        <v>0</v>
      </c>
      <c r="AD368" s="96">
        <f>IF(R368=0,0,COUNTIFS('VÍNCULOS_CDF'!$R$6:$R$1005,A368,'VÍNCULOS_CDF'!$N$6:$N$1005,1))</f>
        <v>0</v>
      </c>
      <c r="AE368" s="96">
        <f>IF(R368=0,0,COUNTIFS('VÍNCULOS_CDF'!$R$6:$R$1005,A368,'VÍNCULOS_CDF'!$AA$6:$AA$1005,1))</f>
        <v>0</v>
      </c>
      <c r="AF368" s="96">
        <f>IF(R368=0,0,COUNTIFS('VÍNCULOS_CDF'!$R$6:$R$1005,A368,'VÍNCULOS_CDF'!$Y$6:$Y$1005,1))</f>
        <v>0</v>
      </c>
      <c r="AG368" s="96" t="str">
        <f>IF(AND(R368=1,S368&lt;&gt;"",C368&lt;&gt;""),S368&amp;"|"&amp;C368&amp;"|"&amp;G368&amp;"|"&amp;H368,"")</f>
        <v/>
      </c>
      <c r="AH368" s="96">
        <f>IF(AG368="",0,IF(SUMPRODUCT(--($AG$6:$AG$1005=AG368))&gt;1,1,0))</f>
        <v>0</v>
      </c>
      <c r="AI368" s="96">
        <f>IF(R368=0,0,IF(OR(U368=0,V368=0,Y368=0,AND(AH368=1,K368&lt;&gt;"Sim")),1,0))</f>
        <v>0</v>
      </c>
      <c r="AJ368" s="96">
        <f>IF(AND(R368=1,AA368&gt;0,AB368=AA368),1,0)</f>
        <v>0</v>
      </c>
      <c r="AK368" s="96">
        <f>IF(R368=0,0,IF(AA368&gt;0,N(L368),IF(ISNUMBER(I368),I368,0)))</f>
        <v>0</v>
      </c>
      <c r="AL368" s="96">
        <f>IF(R368=0,0,IF(AND(K368&lt;&gt;"Sim",N(M368)&gt;AK368+cfg_tol),1,0))</f>
        <v>0</v>
      </c>
      <c r="AM368" s="96">
        <f>IF(R368=0,0,IF(K368="Sim",0,IF(OR(AND(AA368&gt;0,ISNUMBER(I368),ABS(I368-N(L368))&gt;cfg_tol),AL368=1),1,0)))</f>
        <v>0</v>
      </c>
      <c r="AN368" s="96">
        <f>IF(AND(R368=1,N(M368)&gt;0,OR(N(M368)&gt;=AK368-cfg_tol,K368="Sim")),1,0)</f>
        <v>0</v>
      </c>
      <c r="AO368" s="96">
        <f>IF(AND(AN368=1,AD368&gt;0,AE368=AD368,AL368=0),1,0)</f>
        <v>0</v>
      </c>
      <c r="AP368" s="96">
        <f>IF(U368=0,0,IF(AND(INDEX('MTRs'!$AX$6:$AX$505,T368)=1,Z368=0,OR(f_res="",f_res="(Todos)",C368=f_res)),1,0))</f>
        <v>0</v>
      </c>
      <c r="AQ368" s="97" t="str">
        <f>IF(U368=0,"",INDEX('MTRs'!$AZ$6:$AZ$505,T368))</f>
        <v/>
      </c>
      <c r="AR368" s="96">
        <f>IF(U368=0,0,IF(AND(INDEX('MTRs'!$BA$6:$BA$505,T368)=1,Z368=0),1,0))</f>
        <v>0</v>
      </c>
      <c r="AS368" s="96" t="str">
        <f>IF(R368=1,A368&amp;" | MTR "&amp;IF(U368=1,INDEX('MTRs'!$B$6:$B$505,T368)&amp;"","?")&amp;" | "&amp;IF(C368="","(sem resíduo)",C368),"")</f>
        <v/>
      </c>
      <c r="AT368" s="96" t="str">
        <f>IF(R368=1,COUNTIF($R$6:R368,1),"")</f>
        <v/>
      </c>
      <c r="AU368" s="96" t="str">
        <f>IF(U368=1,INDEX('MTRs'!$I$6:$I$505,T368)&amp;"","")</f>
        <v/>
      </c>
    </row>
    <row r="369">
      <c r="A369" s="89" t="inlineStr">
        <is>
          <t>IT-000364</t>
        </is>
      </c>
      <c r="B369" s="91" t="n"/>
      <c r="C369" s="91" t="n"/>
      <c r="D369" s="94" t="str">
        <f>IF(OR(R369=0,V369=0),"",INDEX('CAD_RESÍDUOS'!$E$6:$E$205,MATCH(C369,'CAD_RESÍDUOS'!$B$6:$B$205,0))&amp;"")</f>
        <v/>
      </c>
      <c r="E369" s="94" t="str">
        <f>IF(OR(R369=0,V369=0),"",INDEX('CAD_RESÍDUOS'!$C$6:$C$205,MATCH(C369,'CAD_RESÍDUOS'!$B$6:$B$205,0))&amp;"")</f>
        <v/>
      </c>
      <c r="F369" s="94" t="str">
        <f>IF(OR(R369=0,V369=0),"",INDEX('CAD_RESÍDUOS'!$G$6:$G$205,MATCH(C369,'CAD_RESÍDUOS'!$B$6:$B$205,0))&amp;"")</f>
        <v/>
      </c>
      <c r="G369" s="98" t="n"/>
      <c r="H369" s="91" t="n"/>
      <c r="I369" s="93" t="str">
        <f>IF(R369=0,"",IF(NOT(ISNUMBER(G369)),"",IF(ISNUMBER(X369),G369*X369,"UNIDADE A CONFERIR")))</f>
        <v/>
      </c>
      <c r="J369" s="91" t="n"/>
      <c r="K369" s="91" t="n"/>
      <c r="L369" s="93" t="str">
        <f>IF(R369=0,"",SUMIFS('RECEBIMENTOS'!$H$6:$H$1005,'RECEBIMENTOS'!$R$6:$R$1005,A369,'RECEBIMENTOS'!$X$6:$X$1005,1))</f>
        <v/>
      </c>
      <c r="M369" s="93" t="str">
        <f>IF(R369=0,"",SUMIFS('VÍNCULOS_CDF'!$H$6:$H$1005,'VÍNCULOS_CDF'!$R$6:$R$1005,A369,'VÍNCULOS_CDF'!$V$6:$V$1005,1))</f>
        <v/>
      </c>
      <c r="N369" s="99" t="str">
        <f>IF(OR(R369=0,AA369=0,NOT(ISNUMBER(I369))),"",I369-N(L369))</f>
        <v/>
      </c>
      <c r="O369" s="100" t="str">
        <f>IF(OR(R369=0,AK369&lt;=0),"",N(M369)/AK369)</f>
        <v/>
      </c>
      <c r="P369" s="94" t="str">
        <f>IF(R369=0,"",IF(S369="","Sem MTR associado",IF(U369=0,"MTR inexistente",IF(C369="","Resíduo não identificado",IF(V369=0,"Resíduo fora do cadastro",IF(W369=0,"Quantidade inválida",IF(H369="","Unidade não informada",IF(NOT(ISNUMBER(I369)),"Unidade a conferir",IF(AND(AH369=1,K369&lt;&gt;"Sim"),"Possível duplicidade",IF(Z369=1,"MTR cancelado",IF(AC369&gt;0,"Recebimento com alerta",IF(AA369=0,"Aguardando recebimento",IF(AB369&lt;AA369,"Recebimento a conferir",IF(AM369=1,"Quantidade a revisar",IF(AF369&gt;0,"Vínculo a revisar",IF(AD369=0,"Aguardando CDF",IF(AN369=0,"Vínculo de CDF parcial",IF(AE369&lt;AD369,"CDF a conferir","Documentação conferida"))))))))))))))))))</f>
        <v/>
      </c>
      <c r="Q369" s="93" t="str">
        <f>IF(OR(R369=0,AA369=0),"",MAX(0,N(L369)-N(M369)))</f>
        <v/>
      </c>
      <c r="R369" s="96">
        <f>IF(COUNTA(B369:C369,G369:H369,J369:K369)&gt;0,1,0)</f>
        <v>0</v>
      </c>
      <c r="S369" s="96" t="str">
        <f>IF(B369="","",TRIM(LEFT(B369,FIND(" |",B369&amp;" |")-1)))</f>
        <v/>
      </c>
      <c r="T369" s="96" t="str">
        <f>IF(S369="","",IFERROR(MATCH(S369,'MTRs'!$A$6:$A$505,0),""))</f>
        <v/>
      </c>
      <c r="U369" s="96">
        <f>IF(T369="",0,IF(INDEX('MTRs'!$Z$6:$Z$505,T369)=1,1,0))</f>
        <v>0</v>
      </c>
      <c r="V369" s="96">
        <f>IF(C369="",0,IF(ISNUMBER(MATCH(C369,'CAD_RESÍDUOS'!$B$6:$B$205,0)),1,0))</f>
        <v>0</v>
      </c>
      <c r="W369" s="96">
        <f>IF(AND(ISNUMBER(G369),G369&gt;0),1,0)</f>
        <v>0</v>
      </c>
      <c r="X369" s="96" t="str">
        <f>IF(H369="","",IFERROR(IF(ISNUMBER(INDEX(cfg_fac,MATCH(H369,cfg_units,0))),IF(INDEX(cfg_fac,MATCH(H369,cfg_units,0))&gt;0,INDEX(cfg_fac,MATCH(H369,cfg_units,0)),""),""),""))</f>
        <v/>
      </c>
      <c r="Y369" s="96">
        <f>IF(AND(W369=1,ISNUMBER(I369)),1,0)</f>
        <v>0</v>
      </c>
      <c r="Z369" s="96">
        <f>IF(U369=1,INDEX('MTRs'!$AA$6:$AA$505,T369),0)</f>
        <v>0</v>
      </c>
      <c r="AA369" s="96">
        <f>IF(R369=0,0,COUNTIFS('RECEBIMENTOS'!$R$6:$R$1005,A369,'RECEBIMENTOS'!$Q$6:$Q$1005,1))</f>
        <v>0</v>
      </c>
      <c r="AB369" s="96">
        <f>IF(R369=0,0,COUNTIFS('RECEBIMENTOS'!$R$6:$R$1005,A369,'RECEBIMENTOS'!$Z$6:$Z$1005,1))</f>
        <v>0</v>
      </c>
      <c r="AC369" s="96">
        <f>IF(R369=0,0,COUNTIFS('RECEBIMENTOS'!$R$6:$R$1005,A369,'RECEBIMENTOS'!$Y$6:$Y$1005,1))</f>
        <v>0</v>
      </c>
      <c r="AD369" s="96">
        <f>IF(R369=0,0,COUNTIFS('VÍNCULOS_CDF'!$R$6:$R$1005,A369,'VÍNCULOS_CDF'!$N$6:$N$1005,1))</f>
        <v>0</v>
      </c>
      <c r="AE369" s="96">
        <f>IF(R369=0,0,COUNTIFS('VÍNCULOS_CDF'!$R$6:$R$1005,A369,'VÍNCULOS_CDF'!$AA$6:$AA$1005,1))</f>
        <v>0</v>
      </c>
      <c r="AF369" s="96">
        <f>IF(R369=0,0,COUNTIFS('VÍNCULOS_CDF'!$R$6:$R$1005,A369,'VÍNCULOS_CDF'!$Y$6:$Y$1005,1))</f>
        <v>0</v>
      </c>
      <c r="AG369" s="96" t="str">
        <f>IF(AND(R369=1,S369&lt;&gt;"",C369&lt;&gt;""),S369&amp;"|"&amp;C369&amp;"|"&amp;G369&amp;"|"&amp;H369,"")</f>
        <v/>
      </c>
      <c r="AH369" s="96">
        <f>IF(AG369="",0,IF(SUMPRODUCT(--($AG$6:$AG$1005=AG369))&gt;1,1,0))</f>
        <v>0</v>
      </c>
      <c r="AI369" s="96">
        <f>IF(R369=0,0,IF(OR(U369=0,V369=0,Y369=0,AND(AH369=1,K369&lt;&gt;"Sim")),1,0))</f>
        <v>0</v>
      </c>
      <c r="AJ369" s="96">
        <f>IF(AND(R369=1,AA369&gt;0,AB369=AA369),1,0)</f>
        <v>0</v>
      </c>
      <c r="AK369" s="96">
        <f>IF(R369=0,0,IF(AA369&gt;0,N(L369),IF(ISNUMBER(I369),I369,0)))</f>
        <v>0</v>
      </c>
      <c r="AL369" s="96">
        <f>IF(R369=0,0,IF(AND(K369&lt;&gt;"Sim",N(M369)&gt;AK369+cfg_tol),1,0))</f>
        <v>0</v>
      </c>
      <c r="AM369" s="96">
        <f>IF(R369=0,0,IF(K369="Sim",0,IF(OR(AND(AA369&gt;0,ISNUMBER(I369),ABS(I369-N(L369))&gt;cfg_tol),AL369=1),1,0)))</f>
        <v>0</v>
      </c>
      <c r="AN369" s="96">
        <f>IF(AND(R369=1,N(M369)&gt;0,OR(N(M369)&gt;=AK369-cfg_tol,K369="Sim")),1,0)</f>
        <v>0</v>
      </c>
      <c r="AO369" s="96">
        <f>IF(AND(AN369=1,AD369&gt;0,AE369=AD369,AL369=0),1,0)</f>
        <v>0</v>
      </c>
      <c r="AP369" s="96">
        <f>IF(U369=0,0,IF(AND(INDEX('MTRs'!$AX$6:$AX$505,T369)=1,Z369=0,OR(f_res="",f_res="(Todos)",C369=f_res)),1,0))</f>
        <v>0</v>
      </c>
      <c r="AQ369" s="97" t="str">
        <f>IF(U369=0,"",INDEX('MTRs'!$AZ$6:$AZ$505,T369))</f>
        <v/>
      </c>
      <c r="AR369" s="96">
        <f>IF(U369=0,0,IF(AND(INDEX('MTRs'!$BA$6:$BA$505,T369)=1,Z369=0),1,0))</f>
        <v>0</v>
      </c>
      <c r="AS369" s="96" t="str">
        <f>IF(R369=1,A369&amp;" | MTR "&amp;IF(U369=1,INDEX('MTRs'!$B$6:$B$505,T369)&amp;"","?")&amp;" | "&amp;IF(C369="","(sem resíduo)",C369),"")</f>
        <v/>
      </c>
      <c r="AT369" s="96" t="str">
        <f>IF(R369=1,COUNTIF($R$6:R369,1),"")</f>
        <v/>
      </c>
      <c r="AU369" s="96" t="str">
        <f>IF(U369=1,INDEX('MTRs'!$I$6:$I$505,T369)&amp;"","")</f>
        <v/>
      </c>
    </row>
    <row r="370">
      <c r="A370" s="89" t="inlineStr">
        <is>
          <t>IT-000365</t>
        </is>
      </c>
      <c r="B370" s="91" t="n"/>
      <c r="C370" s="91" t="n"/>
      <c r="D370" s="94" t="str">
        <f>IF(OR(R370=0,V370=0),"",INDEX('CAD_RESÍDUOS'!$E$6:$E$205,MATCH(C370,'CAD_RESÍDUOS'!$B$6:$B$205,0))&amp;"")</f>
        <v/>
      </c>
      <c r="E370" s="94" t="str">
        <f>IF(OR(R370=0,V370=0),"",INDEX('CAD_RESÍDUOS'!$C$6:$C$205,MATCH(C370,'CAD_RESÍDUOS'!$B$6:$B$205,0))&amp;"")</f>
        <v/>
      </c>
      <c r="F370" s="94" t="str">
        <f>IF(OR(R370=0,V370=0),"",INDEX('CAD_RESÍDUOS'!$G$6:$G$205,MATCH(C370,'CAD_RESÍDUOS'!$B$6:$B$205,0))&amp;"")</f>
        <v/>
      </c>
      <c r="G370" s="98" t="n"/>
      <c r="H370" s="91" t="n"/>
      <c r="I370" s="93" t="str">
        <f>IF(R370=0,"",IF(NOT(ISNUMBER(G370)),"",IF(ISNUMBER(X370),G370*X370,"UNIDADE A CONFERIR")))</f>
        <v/>
      </c>
      <c r="J370" s="91" t="n"/>
      <c r="K370" s="91" t="n"/>
      <c r="L370" s="93" t="str">
        <f>IF(R370=0,"",SUMIFS('RECEBIMENTOS'!$H$6:$H$1005,'RECEBIMENTOS'!$R$6:$R$1005,A370,'RECEBIMENTOS'!$X$6:$X$1005,1))</f>
        <v/>
      </c>
      <c r="M370" s="93" t="str">
        <f>IF(R370=0,"",SUMIFS('VÍNCULOS_CDF'!$H$6:$H$1005,'VÍNCULOS_CDF'!$R$6:$R$1005,A370,'VÍNCULOS_CDF'!$V$6:$V$1005,1))</f>
        <v/>
      </c>
      <c r="N370" s="99" t="str">
        <f>IF(OR(R370=0,AA370=0,NOT(ISNUMBER(I370))),"",I370-N(L370))</f>
        <v/>
      </c>
      <c r="O370" s="100" t="str">
        <f>IF(OR(R370=0,AK370&lt;=0),"",N(M370)/AK370)</f>
        <v/>
      </c>
      <c r="P370" s="94" t="str">
        <f>IF(R370=0,"",IF(S370="","Sem MTR associado",IF(U370=0,"MTR inexistente",IF(C370="","Resíduo não identificado",IF(V370=0,"Resíduo fora do cadastro",IF(W370=0,"Quantidade inválida",IF(H370="","Unidade não informada",IF(NOT(ISNUMBER(I370)),"Unidade a conferir",IF(AND(AH370=1,K370&lt;&gt;"Sim"),"Possível duplicidade",IF(Z370=1,"MTR cancelado",IF(AC370&gt;0,"Recebimento com alerta",IF(AA370=0,"Aguardando recebimento",IF(AB370&lt;AA370,"Recebimento a conferir",IF(AM370=1,"Quantidade a revisar",IF(AF370&gt;0,"Vínculo a revisar",IF(AD370=0,"Aguardando CDF",IF(AN370=0,"Vínculo de CDF parcial",IF(AE370&lt;AD370,"CDF a conferir","Documentação conferida"))))))))))))))))))</f>
        <v/>
      </c>
      <c r="Q370" s="93" t="str">
        <f>IF(OR(R370=0,AA370=0),"",MAX(0,N(L370)-N(M370)))</f>
        <v/>
      </c>
      <c r="R370" s="96">
        <f>IF(COUNTA(B370:C370,G370:H370,J370:K370)&gt;0,1,0)</f>
        <v>0</v>
      </c>
      <c r="S370" s="96" t="str">
        <f>IF(B370="","",TRIM(LEFT(B370,FIND(" |",B370&amp;" |")-1)))</f>
        <v/>
      </c>
      <c r="T370" s="96" t="str">
        <f>IF(S370="","",IFERROR(MATCH(S370,'MTRs'!$A$6:$A$505,0),""))</f>
        <v/>
      </c>
      <c r="U370" s="96">
        <f>IF(T370="",0,IF(INDEX('MTRs'!$Z$6:$Z$505,T370)=1,1,0))</f>
        <v>0</v>
      </c>
      <c r="V370" s="96">
        <f>IF(C370="",0,IF(ISNUMBER(MATCH(C370,'CAD_RESÍDUOS'!$B$6:$B$205,0)),1,0))</f>
        <v>0</v>
      </c>
      <c r="W370" s="96">
        <f>IF(AND(ISNUMBER(G370),G370&gt;0),1,0)</f>
        <v>0</v>
      </c>
      <c r="X370" s="96" t="str">
        <f>IF(H370="","",IFERROR(IF(ISNUMBER(INDEX(cfg_fac,MATCH(H370,cfg_units,0))),IF(INDEX(cfg_fac,MATCH(H370,cfg_units,0))&gt;0,INDEX(cfg_fac,MATCH(H370,cfg_units,0)),""),""),""))</f>
        <v/>
      </c>
      <c r="Y370" s="96">
        <f>IF(AND(W370=1,ISNUMBER(I370)),1,0)</f>
        <v>0</v>
      </c>
      <c r="Z370" s="96">
        <f>IF(U370=1,INDEX('MTRs'!$AA$6:$AA$505,T370),0)</f>
        <v>0</v>
      </c>
      <c r="AA370" s="96">
        <f>IF(R370=0,0,COUNTIFS('RECEBIMENTOS'!$R$6:$R$1005,A370,'RECEBIMENTOS'!$Q$6:$Q$1005,1))</f>
        <v>0</v>
      </c>
      <c r="AB370" s="96">
        <f>IF(R370=0,0,COUNTIFS('RECEBIMENTOS'!$R$6:$R$1005,A370,'RECEBIMENTOS'!$Z$6:$Z$1005,1))</f>
        <v>0</v>
      </c>
      <c r="AC370" s="96">
        <f>IF(R370=0,0,COUNTIFS('RECEBIMENTOS'!$R$6:$R$1005,A370,'RECEBIMENTOS'!$Y$6:$Y$1005,1))</f>
        <v>0</v>
      </c>
      <c r="AD370" s="96">
        <f>IF(R370=0,0,COUNTIFS('VÍNCULOS_CDF'!$R$6:$R$1005,A370,'VÍNCULOS_CDF'!$N$6:$N$1005,1))</f>
        <v>0</v>
      </c>
      <c r="AE370" s="96">
        <f>IF(R370=0,0,COUNTIFS('VÍNCULOS_CDF'!$R$6:$R$1005,A370,'VÍNCULOS_CDF'!$AA$6:$AA$1005,1))</f>
        <v>0</v>
      </c>
      <c r="AF370" s="96">
        <f>IF(R370=0,0,COUNTIFS('VÍNCULOS_CDF'!$R$6:$R$1005,A370,'VÍNCULOS_CDF'!$Y$6:$Y$1005,1))</f>
        <v>0</v>
      </c>
      <c r="AG370" s="96" t="str">
        <f>IF(AND(R370=1,S370&lt;&gt;"",C370&lt;&gt;""),S370&amp;"|"&amp;C370&amp;"|"&amp;G370&amp;"|"&amp;H370,"")</f>
        <v/>
      </c>
      <c r="AH370" s="96">
        <f>IF(AG370="",0,IF(SUMPRODUCT(--($AG$6:$AG$1005=AG370))&gt;1,1,0))</f>
        <v>0</v>
      </c>
      <c r="AI370" s="96">
        <f>IF(R370=0,0,IF(OR(U370=0,V370=0,Y370=0,AND(AH370=1,K370&lt;&gt;"Sim")),1,0))</f>
        <v>0</v>
      </c>
      <c r="AJ370" s="96">
        <f>IF(AND(R370=1,AA370&gt;0,AB370=AA370),1,0)</f>
        <v>0</v>
      </c>
      <c r="AK370" s="96">
        <f>IF(R370=0,0,IF(AA370&gt;0,N(L370),IF(ISNUMBER(I370),I370,0)))</f>
        <v>0</v>
      </c>
      <c r="AL370" s="96">
        <f>IF(R370=0,0,IF(AND(K370&lt;&gt;"Sim",N(M370)&gt;AK370+cfg_tol),1,0))</f>
        <v>0</v>
      </c>
      <c r="AM370" s="96">
        <f>IF(R370=0,0,IF(K370="Sim",0,IF(OR(AND(AA370&gt;0,ISNUMBER(I370),ABS(I370-N(L370))&gt;cfg_tol),AL370=1),1,0)))</f>
        <v>0</v>
      </c>
      <c r="AN370" s="96">
        <f>IF(AND(R370=1,N(M370)&gt;0,OR(N(M370)&gt;=AK370-cfg_tol,K370="Sim")),1,0)</f>
        <v>0</v>
      </c>
      <c r="AO370" s="96">
        <f>IF(AND(AN370=1,AD370&gt;0,AE370=AD370,AL370=0),1,0)</f>
        <v>0</v>
      </c>
      <c r="AP370" s="96">
        <f>IF(U370=0,0,IF(AND(INDEX('MTRs'!$AX$6:$AX$505,T370)=1,Z370=0,OR(f_res="",f_res="(Todos)",C370=f_res)),1,0))</f>
        <v>0</v>
      </c>
      <c r="AQ370" s="97" t="str">
        <f>IF(U370=0,"",INDEX('MTRs'!$AZ$6:$AZ$505,T370))</f>
        <v/>
      </c>
      <c r="AR370" s="96">
        <f>IF(U370=0,0,IF(AND(INDEX('MTRs'!$BA$6:$BA$505,T370)=1,Z370=0),1,0))</f>
        <v>0</v>
      </c>
      <c r="AS370" s="96" t="str">
        <f>IF(R370=1,A370&amp;" | MTR "&amp;IF(U370=1,INDEX('MTRs'!$B$6:$B$505,T370)&amp;"","?")&amp;" | "&amp;IF(C370="","(sem resíduo)",C370),"")</f>
        <v/>
      </c>
      <c r="AT370" s="96" t="str">
        <f>IF(R370=1,COUNTIF($R$6:R370,1),"")</f>
        <v/>
      </c>
      <c r="AU370" s="96" t="str">
        <f>IF(U370=1,INDEX('MTRs'!$I$6:$I$505,T370)&amp;"","")</f>
        <v/>
      </c>
    </row>
    <row r="371">
      <c r="A371" s="89" t="inlineStr">
        <is>
          <t>IT-000366</t>
        </is>
      </c>
      <c r="B371" s="91" t="n"/>
      <c r="C371" s="91" t="n"/>
      <c r="D371" s="94" t="str">
        <f>IF(OR(R371=0,V371=0),"",INDEX('CAD_RESÍDUOS'!$E$6:$E$205,MATCH(C371,'CAD_RESÍDUOS'!$B$6:$B$205,0))&amp;"")</f>
        <v/>
      </c>
      <c r="E371" s="94" t="str">
        <f>IF(OR(R371=0,V371=0),"",INDEX('CAD_RESÍDUOS'!$C$6:$C$205,MATCH(C371,'CAD_RESÍDUOS'!$B$6:$B$205,0))&amp;"")</f>
        <v/>
      </c>
      <c r="F371" s="94" t="str">
        <f>IF(OR(R371=0,V371=0),"",INDEX('CAD_RESÍDUOS'!$G$6:$G$205,MATCH(C371,'CAD_RESÍDUOS'!$B$6:$B$205,0))&amp;"")</f>
        <v/>
      </c>
      <c r="G371" s="98" t="n"/>
      <c r="H371" s="91" t="n"/>
      <c r="I371" s="93" t="str">
        <f>IF(R371=0,"",IF(NOT(ISNUMBER(G371)),"",IF(ISNUMBER(X371),G371*X371,"UNIDADE A CONFERIR")))</f>
        <v/>
      </c>
      <c r="J371" s="91" t="n"/>
      <c r="K371" s="91" t="n"/>
      <c r="L371" s="93" t="str">
        <f>IF(R371=0,"",SUMIFS('RECEBIMENTOS'!$H$6:$H$1005,'RECEBIMENTOS'!$R$6:$R$1005,A371,'RECEBIMENTOS'!$X$6:$X$1005,1))</f>
        <v/>
      </c>
      <c r="M371" s="93" t="str">
        <f>IF(R371=0,"",SUMIFS('VÍNCULOS_CDF'!$H$6:$H$1005,'VÍNCULOS_CDF'!$R$6:$R$1005,A371,'VÍNCULOS_CDF'!$V$6:$V$1005,1))</f>
        <v/>
      </c>
      <c r="N371" s="99" t="str">
        <f>IF(OR(R371=0,AA371=0,NOT(ISNUMBER(I371))),"",I371-N(L371))</f>
        <v/>
      </c>
      <c r="O371" s="100" t="str">
        <f>IF(OR(R371=0,AK371&lt;=0),"",N(M371)/AK371)</f>
        <v/>
      </c>
      <c r="P371" s="94" t="str">
        <f>IF(R371=0,"",IF(S371="","Sem MTR associado",IF(U371=0,"MTR inexistente",IF(C371="","Resíduo não identificado",IF(V371=0,"Resíduo fora do cadastro",IF(W371=0,"Quantidade inválida",IF(H371="","Unidade não informada",IF(NOT(ISNUMBER(I371)),"Unidade a conferir",IF(AND(AH371=1,K371&lt;&gt;"Sim"),"Possível duplicidade",IF(Z371=1,"MTR cancelado",IF(AC371&gt;0,"Recebimento com alerta",IF(AA371=0,"Aguardando recebimento",IF(AB371&lt;AA371,"Recebimento a conferir",IF(AM371=1,"Quantidade a revisar",IF(AF371&gt;0,"Vínculo a revisar",IF(AD371=0,"Aguardando CDF",IF(AN371=0,"Vínculo de CDF parcial",IF(AE371&lt;AD371,"CDF a conferir","Documentação conferida"))))))))))))))))))</f>
        <v/>
      </c>
      <c r="Q371" s="93" t="str">
        <f>IF(OR(R371=0,AA371=0),"",MAX(0,N(L371)-N(M371)))</f>
        <v/>
      </c>
      <c r="R371" s="96">
        <f>IF(COUNTA(B371:C371,G371:H371,J371:K371)&gt;0,1,0)</f>
        <v>0</v>
      </c>
      <c r="S371" s="96" t="str">
        <f>IF(B371="","",TRIM(LEFT(B371,FIND(" |",B371&amp;" |")-1)))</f>
        <v/>
      </c>
      <c r="T371" s="96" t="str">
        <f>IF(S371="","",IFERROR(MATCH(S371,'MTRs'!$A$6:$A$505,0),""))</f>
        <v/>
      </c>
      <c r="U371" s="96">
        <f>IF(T371="",0,IF(INDEX('MTRs'!$Z$6:$Z$505,T371)=1,1,0))</f>
        <v>0</v>
      </c>
      <c r="V371" s="96">
        <f>IF(C371="",0,IF(ISNUMBER(MATCH(C371,'CAD_RESÍDUOS'!$B$6:$B$205,0)),1,0))</f>
        <v>0</v>
      </c>
      <c r="W371" s="96">
        <f>IF(AND(ISNUMBER(G371),G371&gt;0),1,0)</f>
        <v>0</v>
      </c>
      <c r="X371" s="96" t="str">
        <f>IF(H371="","",IFERROR(IF(ISNUMBER(INDEX(cfg_fac,MATCH(H371,cfg_units,0))),IF(INDEX(cfg_fac,MATCH(H371,cfg_units,0))&gt;0,INDEX(cfg_fac,MATCH(H371,cfg_units,0)),""),""),""))</f>
        <v/>
      </c>
      <c r="Y371" s="96">
        <f>IF(AND(W371=1,ISNUMBER(I371)),1,0)</f>
        <v>0</v>
      </c>
      <c r="Z371" s="96">
        <f>IF(U371=1,INDEX('MTRs'!$AA$6:$AA$505,T371),0)</f>
        <v>0</v>
      </c>
      <c r="AA371" s="96">
        <f>IF(R371=0,0,COUNTIFS('RECEBIMENTOS'!$R$6:$R$1005,A371,'RECEBIMENTOS'!$Q$6:$Q$1005,1))</f>
        <v>0</v>
      </c>
      <c r="AB371" s="96">
        <f>IF(R371=0,0,COUNTIFS('RECEBIMENTOS'!$R$6:$R$1005,A371,'RECEBIMENTOS'!$Z$6:$Z$1005,1))</f>
        <v>0</v>
      </c>
      <c r="AC371" s="96">
        <f>IF(R371=0,0,COUNTIFS('RECEBIMENTOS'!$R$6:$R$1005,A371,'RECEBIMENTOS'!$Y$6:$Y$1005,1))</f>
        <v>0</v>
      </c>
      <c r="AD371" s="96">
        <f>IF(R371=0,0,COUNTIFS('VÍNCULOS_CDF'!$R$6:$R$1005,A371,'VÍNCULOS_CDF'!$N$6:$N$1005,1))</f>
        <v>0</v>
      </c>
      <c r="AE371" s="96">
        <f>IF(R371=0,0,COUNTIFS('VÍNCULOS_CDF'!$R$6:$R$1005,A371,'VÍNCULOS_CDF'!$AA$6:$AA$1005,1))</f>
        <v>0</v>
      </c>
      <c r="AF371" s="96">
        <f>IF(R371=0,0,COUNTIFS('VÍNCULOS_CDF'!$R$6:$R$1005,A371,'VÍNCULOS_CDF'!$Y$6:$Y$1005,1))</f>
        <v>0</v>
      </c>
      <c r="AG371" s="96" t="str">
        <f>IF(AND(R371=1,S371&lt;&gt;"",C371&lt;&gt;""),S371&amp;"|"&amp;C371&amp;"|"&amp;G371&amp;"|"&amp;H371,"")</f>
        <v/>
      </c>
      <c r="AH371" s="96">
        <f>IF(AG371="",0,IF(SUMPRODUCT(--($AG$6:$AG$1005=AG371))&gt;1,1,0))</f>
        <v>0</v>
      </c>
      <c r="AI371" s="96">
        <f>IF(R371=0,0,IF(OR(U371=0,V371=0,Y371=0,AND(AH371=1,K371&lt;&gt;"Sim")),1,0))</f>
        <v>0</v>
      </c>
      <c r="AJ371" s="96">
        <f>IF(AND(R371=1,AA371&gt;0,AB371=AA371),1,0)</f>
        <v>0</v>
      </c>
      <c r="AK371" s="96">
        <f>IF(R371=0,0,IF(AA371&gt;0,N(L371),IF(ISNUMBER(I371),I371,0)))</f>
        <v>0</v>
      </c>
      <c r="AL371" s="96">
        <f>IF(R371=0,0,IF(AND(K371&lt;&gt;"Sim",N(M371)&gt;AK371+cfg_tol),1,0))</f>
        <v>0</v>
      </c>
      <c r="AM371" s="96">
        <f>IF(R371=0,0,IF(K371="Sim",0,IF(OR(AND(AA371&gt;0,ISNUMBER(I371),ABS(I371-N(L371))&gt;cfg_tol),AL371=1),1,0)))</f>
        <v>0</v>
      </c>
      <c r="AN371" s="96">
        <f>IF(AND(R371=1,N(M371)&gt;0,OR(N(M371)&gt;=AK371-cfg_tol,K371="Sim")),1,0)</f>
        <v>0</v>
      </c>
      <c r="AO371" s="96">
        <f>IF(AND(AN371=1,AD371&gt;0,AE371=AD371,AL371=0),1,0)</f>
        <v>0</v>
      </c>
      <c r="AP371" s="96">
        <f>IF(U371=0,0,IF(AND(INDEX('MTRs'!$AX$6:$AX$505,T371)=1,Z371=0,OR(f_res="",f_res="(Todos)",C371=f_res)),1,0))</f>
        <v>0</v>
      </c>
      <c r="AQ371" s="97" t="str">
        <f>IF(U371=0,"",INDEX('MTRs'!$AZ$6:$AZ$505,T371))</f>
        <v/>
      </c>
      <c r="AR371" s="96">
        <f>IF(U371=0,0,IF(AND(INDEX('MTRs'!$BA$6:$BA$505,T371)=1,Z371=0),1,0))</f>
        <v>0</v>
      </c>
      <c r="AS371" s="96" t="str">
        <f>IF(R371=1,A371&amp;" | MTR "&amp;IF(U371=1,INDEX('MTRs'!$B$6:$B$505,T371)&amp;"","?")&amp;" | "&amp;IF(C371="","(sem resíduo)",C371),"")</f>
        <v/>
      </c>
      <c r="AT371" s="96" t="str">
        <f>IF(R371=1,COUNTIF($R$6:R371,1),"")</f>
        <v/>
      </c>
      <c r="AU371" s="96" t="str">
        <f>IF(U371=1,INDEX('MTRs'!$I$6:$I$505,T371)&amp;"","")</f>
        <v/>
      </c>
    </row>
    <row r="372">
      <c r="A372" s="89" t="inlineStr">
        <is>
          <t>IT-000367</t>
        </is>
      </c>
      <c r="B372" s="91" t="n"/>
      <c r="C372" s="91" t="n"/>
      <c r="D372" s="94" t="str">
        <f>IF(OR(R372=0,V372=0),"",INDEX('CAD_RESÍDUOS'!$E$6:$E$205,MATCH(C372,'CAD_RESÍDUOS'!$B$6:$B$205,0))&amp;"")</f>
        <v/>
      </c>
      <c r="E372" s="94" t="str">
        <f>IF(OR(R372=0,V372=0),"",INDEX('CAD_RESÍDUOS'!$C$6:$C$205,MATCH(C372,'CAD_RESÍDUOS'!$B$6:$B$205,0))&amp;"")</f>
        <v/>
      </c>
      <c r="F372" s="94" t="str">
        <f>IF(OR(R372=0,V372=0),"",INDEX('CAD_RESÍDUOS'!$G$6:$G$205,MATCH(C372,'CAD_RESÍDUOS'!$B$6:$B$205,0))&amp;"")</f>
        <v/>
      </c>
      <c r="G372" s="98" t="n"/>
      <c r="H372" s="91" t="n"/>
      <c r="I372" s="93" t="str">
        <f>IF(R372=0,"",IF(NOT(ISNUMBER(G372)),"",IF(ISNUMBER(X372),G372*X372,"UNIDADE A CONFERIR")))</f>
        <v/>
      </c>
      <c r="J372" s="91" t="n"/>
      <c r="K372" s="91" t="n"/>
      <c r="L372" s="93" t="str">
        <f>IF(R372=0,"",SUMIFS('RECEBIMENTOS'!$H$6:$H$1005,'RECEBIMENTOS'!$R$6:$R$1005,A372,'RECEBIMENTOS'!$X$6:$X$1005,1))</f>
        <v/>
      </c>
      <c r="M372" s="93" t="str">
        <f>IF(R372=0,"",SUMIFS('VÍNCULOS_CDF'!$H$6:$H$1005,'VÍNCULOS_CDF'!$R$6:$R$1005,A372,'VÍNCULOS_CDF'!$V$6:$V$1005,1))</f>
        <v/>
      </c>
      <c r="N372" s="99" t="str">
        <f>IF(OR(R372=0,AA372=0,NOT(ISNUMBER(I372))),"",I372-N(L372))</f>
        <v/>
      </c>
      <c r="O372" s="100" t="str">
        <f>IF(OR(R372=0,AK372&lt;=0),"",N(M372)/AK372)</f>
        <v/>
      </c>
      <c r="P372" s="94" t="str">
        <f>IF(R372=0,"",IF(S372="","Sem MTR associado",IF(U372=0,"MTR inexistente",IF(C372="","Resíduo não identificado",IF(V372=0,"Resíduo fora do cadastro",IF(W372=0,"Quantidade inválida",IF(H372="","Unidade não informada",IF(NOT(ISNUMBER(I372)),"Unidade a conferir",IF(AND(AH372=1,K372&lt;&gt;"Sim"),"Possível duplicidade",IF(Z372=1,"MTR cancelado",IF(AC372&gt;0,"Recebimento com alerta",IF(AA372=0,"Aguardando recebimento",IF(AB372&lt;AA372,"Recebimento a conferir",IF(AM372=1,"Quantidade a revisar",IF(AF372&gt;0,"Vínculo a revisar",IF(AD372=0,"Aguardando CDF",IF(AN372=0,"Vínculo de CDF parcial",IF(AE372&lt;AD372,"CDF a conferir","Documentação conferida"))))))))))))))))))</f>
        <v/>
      </c>
      <c r="Q372" s="93" t="str">
        <f>IF(OR(R372=0,AA372=0),"",MAX(0,N(L372)-N(M372)))</f>
        <v/>
      </c>
      <c r="R372" s="96">
        <f>IF(COUNTA(B372:C372,G372:H372,J372:K372)&gt;0,1,0)</f>
        <v>0</v>
      </c>
      <c r="S372" s="96" t="str">
        <f>IF(B372="","",TRIM(LEFT(B372,FIND(" |",B372&amp;" |")-1)))</f>
        <v/>
      </c>
      <c r="T372" s="96" t="str">
        <f>IF(S372="","",IFERROR(MATCH(S372,'MTRs'!$A$6:$A$505,0),""))</f>
        <v/>
      </c>
      <c r="U372" s="96">
        <f>IF(T372="",0,IF(INDEX('MTRs'!$Z$6:$Z$505,T372)=1,1,0))</f>
        <v>0</v>
      </c>
      <c r="V372" s="96">
        <f>IF(C372="",0,IF(ISNUMBER(MATCH(C372,'CAD_RESÍDUOS'!$B$6:$B$205,0)),1,0))</f>
        <v>0</v>
      </c>
      <c r="W372" s="96">
        <f>IF(AND(ISNUMBER(G372),G372&gt;0),1,0)</f>
        <v>0</v>
      </c>
      <c r="X372" s="96" t="str">
        <f>IF(H372="","",IFERROR(IF(ISNUMBER(INDEX(cfg_fac,MATCH(H372,cfg_units,0))),IF(INDEX(cfg_fac,MATCH(H372,cfg_units,0))&gt;0,INDEX(cfg_fac,MATCH(H372,cfg_units,0)),""),""),""))</f>
        <v/>
      </c>
      <c r="Y372" s="96">
        <f>IF(AND(W372=1,ISNUMBER(I372)),1,0)</f>
        <v>0</v>
      </c>
      <c r="Z372" s="96">
        <f>IF(U372=1,INDEX('MTRs'!$AA$6:$AA$505,T372),0)</f>
        <v>0</v>
      </c>
      <c r="AA372" s="96">
        <f>IF(R372=0,0,COUNTIFS('RECEBIMENTOS'!$R$6:$R$1005,A372,'RECEBIMENTOS'!$Q$6:$Q$1005,1))</f>
        <v>0</v>
      </c>
      <c r="AB372" s="96">
        <f>IF(R372=0,0,COUNTIFS('RECEBIMENTOS'!$R$6:$R$1005,A372,'RECEBIMENTOS'!$Z$6:$Z$1005,1))</f>
        <v>0</v>
      </c>
      <c r="AC372" s="96">
        <f>IF(R372=0,0,COUNTIFS('RECEBIMENTOS'!$R$6:$R$1005,A372,'RECEBIMENTOS'!$Y$6:$Y$1005,1))</f>
        <v>0</v>
      </c>
      <c r="AD372" s="96">
        <f>IF(R372=0,0,COUNTIFS('VÍNCULOS_CDF'!$R$6:$R$1005,A372,'VÍNCULOS_CDF'!$N$6:$N$1005,1))</f>
        <v>0</v>
      </c>
      <c r="AE372" s="96">
        <f>IF(R372=0,0,COUNTIFS('VÍNCULOS_CDF'!$R$6:$R$1005,A372,'VÍNCULOS_CDF'!$AA$6:$AA$1005,1))</f>
        <v>0</v>
      </c>
      <c r="AF372" s="96">
        <f>IF(R372=0,0,COUNTIFS('VÍNCULOS_CDF'!$R$6:$R$1005,A372,'VÍNCULOS_CDF'!$Y$6:$Y$1005,1))</f>
        <v>0</v>
      </c>
      <c r="AG372" s="96" t="str">
        <f>IF(AND(R372=1,S372&lt;&gt;"",C372&lt;&gt;""),S372&amp;"|"&amp;C372&amp;"|"&amp;G372&amp;"|"&amp;H372,"")</f>
        <v/>
      </c>
      <c r="AH372" s="96">
        <f>IF(AG372="",0,IF(SUMPRODUCT(--($AG$6:$AG$1005=AG372))&gt;1,1,0))</f>
        <v>0</v>
      </c>
      <c r="AI372" s="96">
        <f>IF(R372=0,0,IF(OR(U372=0,V372=0,Y372=0,AND(AH372=1,K372&lt;&gt;"Sim")),1,0))</f>
        <v>0</v>
      </c>
      <c r="AJ372" s="96">
        <f>IF(AND(R372=1,AA372&gt;0,AB372=AA372),1,0)</f>
        <v>0</v>
      </c>
      <c r="AK372" s="96">
        <f>IF(R372=0,0,IF(AA372&gt;0,N(L372),IF(ISNUMBER(I372),I372,0)))</f>
        <v>0</v>
      </c>
      <c r="AL372" s="96">
        <f>IF(R372=0,0,IF(AND(K372&lt;&gt;"Sim",N(M372)&gt;AK372+cfg_tol),1,0))</f>
        <v>0</v>
      </c>
      <c r="AM372" s="96">
        <f>IF(R372=0,0,IF(K372="Sim",0,IF(OR(AND(AA372&gt;0,ISNUMBER(I372),ABS(I372-N(L372))&gt;cfg_tol),AL372=1),1,0)))</f>
        <v>0</v>
      </c>
      <c r="AN372" s="96">
        <f>IF(AND(R372=1,N(M372)&gt;0,OR(N(M372)&gt;=AK372-cfg_tol,K372="Sim")),1,0)</f>
        <v>0</v>
      </c>
      <c r="AO372" s="96">
        <f>IF(AND(AN372=1,AD372&gt;0,AE372=AD372,AL372=0),1,0)</f>
        <v>0</v>
      </c>
      <c r="AP372" s="96">
        <f>IF(U372=0,0,IF(AND(INDEX('MTRs'!$AX$6:$AX$505,T372)=1,Z372=0,OR(f_res="",f_res="(Todos)",C372=f_res)),1,0))</f>
        <v>0</v>
      </c>
      <c r="AQ372" s="97" t="str">
        <f>IF(U372=0,"",INDEX('MTRs'!$AZ$6:$AZ$505,T372))</f>
        <v/>
      </c>
      <c r="AR372" s="96">
        <f>IF(U372=0,0,IF(AND(INDEX('MTRs'!$BA$6:$BA$505,T372)=1,Z372=0),1,0))</f>
        <v>0</v>
      </c>
      <c r="AS372" s="96" t="str">
        <f>IF(R372=1,A372&amp;" | MTR "&amp;IF(U372=1,INDEX('MTRs'!$B$6:$B$505,T372)&amp;"","?")&amp;" | "&amp;IF(C372="","(sem resíduo)",C372),"")</f>
        <v/>
      </c>
      <c r="AT372" s="96" t="str">
        <f>IF(R372=1,COUNTIF($R$6:R372,1),"")</f>
        <v/>
      </c>
      <c r="AU372" s="96" t="str">
        <f>IF(U372=1,INDEX('MTRs'!$I$6:$I$505,T372)&amp;"","")</f>
        <v/>
      </c>
    </row>
    <row r="373">
      <c r="A373" s="89" t="inlineStr">
        <is>
          <t>IT-000368</t>
        </is>
      </c>
      <c r="B373" s="91" t="n"/>
      <c r="C373" s="91" t="n"/>
      <c r="D373" s="94" t="str">
        <f>IF(OR(R373=0,V373=0),"",INDEX('CAD_RESÍDUOS'!$E$6:$E$205,MATCH(C373,'CAD_RESÍDUOS'!$B$6:$B$205,0))&amp;"")</f>
        <v/>
      </c>
      <c r="E373" s="94" t="str">
        <f>IF(OR(R373=0,V373=0),"",INDEX('CAD_RESÍDUOS'!$C$6:$C$205,MATCH(C373,'CAD_RESÍDUOS'!$B$6:$B$205,0))&amp;"")</f>
        <v/>
      </c>
      <c r="F373" s="94" t="str">
        <f>IF(OR(R373=0,V373=0),"",INDEX('CAD_RESÍDUOS'!$G$6:$G$205,MATCH(C373,'CAD_RESÍDUOS'!$B$6:$B$205,0))&amp;"")</f>
        <v/>
      </c>
      <c r="G373" s="98" t="n"/>
      <c r="H373" s="91" t="n"/>
      <c r="I373" s="93" t="str">
        <f>IF(R373=0,"",IF(NOT(ISNUMBER(G373)),"",IF(ISNUMBER(X373),G373*X373,"UNIDADE A CONFERIR")))</f>
        <v/>
      </c>
      <c r="J373" s="91" t="n"/>
      <c r="K373" s="91" t="n"/>
      <c r="L373" s="93" t="str">
        <f>IF(R373=0,"",SUMIFS('RECEBIMENTOS'!$H$6:$H$1005,'RECEBIMENTOS'!$R$6:$R$1005,A373,'RECEBIMENTOS'!$X$6:$X$1005,1))</f>
        <v/>
      </c>
      <c r="M373" s="93" t="str">
        <f>IF(R373=0,"",SUMIFS('VÍNCULOS_CDF'!$H$6:$H$1005,'VÍNCULOS_CDF'!$R$6:$R$1005,A373,'VÍNCULOS_CDF'!$V$6:$V$1005,1))</f>
        <v/>
      </c>
      <c r="N373" s="99" t="str">
        <f>IF(OR(R373=0,AA373=0,NOT(ISNUMBER(I373))),"",I373-N(L373))</f>
        <v/>
      </c>
      <c r="O373" s="100" t="str">
        <f>IF(OR(R373=0,AK373&lt;=0),"",N(M373)/AK373)</f>
        <v/>
      </c>
      <c r="P373" s="94" t="str">
        <f>IF(R373=0,"",IF(S373="","Sem MTR associado",IF(U373=0,"MTR inexistente",IF(C373="","Resíduo não identificado",IF(V373=0,"Resíduo fora do cadastro",IF(W373=0,"Quantidade inválida",IF(H373="","Unidade não informada",IF(NOT(ISNUMBER(I373)),"Unidade a conferir",IF(AND(AH373=1,K373&lt;&gt;"Sim"),"Possível duplicidade",IF(Z373=1,"MTR cancelado",IF(AC373&gt;0,"Recebimento com alerta",IF(AA373=0,"Aguardando recebimento",IF(AB373&lt;AA373,"Recebimento a conferir",IF(AM373=1,"Quantidade a revisar",IF(AF373&gt;0,"Vínculo a revisar",IF(AD373=0,"Aguardando CDF",IF(AN373=0,"Vínculo de CDF parcial",IF(AE373&lt;AD373,"CDF a conferir","Documentação conferida"))))))))))))))))))</f>
        <v/>
      </c>
      <c r="Q373" s="93" t="str">
        <f>IF(OR(R373=0,AA373=0),"",MAX(0,N(L373)-N(M373)))</f>
        <v/>
      </c>
      <c r="R373" s="96">
        <f>IF(COUNTA(B373:C373,G373:H373,J373:K373)&gt;0,1,0)</f>
        <v>0</v>
      </c>
      <c r="S373" s="96" t="str">
        <f>IF(B373="","",TRIM(LEFT(B373,FIND(" |",B373&amp;" |")-1)))</f>
        <v/>
      </c>
      <c r="T373" s="96" t="str">
        <f>IF(S373="","",IFERROR(MATCH(S373,'MTRs'!$A$6:$A$505,0),""))</f>
        <v/>
      </c>
      <c r="U373" s="96">
        <f>IF(T373="",0,IF(INDEX('MTRs'!$Z$6:$Z$505,T373)=1,1,0))</f>
        <v>0</v>
      </c>
      <c r="V373" s="96">
        <f>IF(C373="",0,IF(ISNUMBER(MATCH(C373,'CAD_RESÍDUOS'!$B$6:$B$205,0)),1,0))</f>
        <v>0</v>
      </c>
      <c r="W373" s="96">
        <f>IF(AND(ISNUMBER(G373),G373&gt;0),1,0)</f>
        <v>0</v>
      </c>
      <c r="X373" s="96" t="str">
        <f>IF(H373="","",IFERROR(IF(ISNUMBER(INDEX(cfg_fac,MATCH(H373,cfg_units,0))),IF(INDEX(cfg_fac,MATCH(H373,cfg_units,0))&gt;0,INDEX(cfg_fac,MATCH(H373,cfg_units,0)),""),""),""))</f>
        <v/>
      </c>
      <c r="Y373" s="96">
        <f>IF(AND(W373=1,ISNUMBER(I373)),1,0)</f>
        <v>0</v>
      </c>
      <c r="Z373" s="96">
        <f>IF(U373=1,INDEX('MTRs'!$AA$6:$AA$505,T373),0)</f>
        <v>0</v>
      </c>
      <c r="AA373" s="96">
        <f>IF(R373=0,0,COUNTIFS('RECEBIMENTOS'!$R$6:$R$1005,A373,'RECEBIMENTOS'!$Q$6:$Q$1005,1))</f>
        <v>0</v>
      </c>
      <c r="AB373" s="96">
        <f>IF(R373=0,0,COUNTIFS('RECEBIMENTOS'!$R$6:$R$1005,A373,'RECEBIMENTOS'!$Z$6:$Z$1005,1))</f>
        <v>0</v>
      </c>
      <c r="AC373" s="96">
        <f>IF(R373=0,0,COUNTIFS('RECEBIMENTOS'!$R$6:$R$1005,A373,'RECEBIMENTOS'!$Y$6:$Y$1005,1))</f>
        <v>0</v>
      </c>
      <c r="AD373" s="96">
        <f>IF(R373=0,0,COUNTIFS('VÍNCULOS_CDF'!$R$6:$R$1005,A373,'VÍNCULOS_CDF'!$N$6:$N$1005,1))</f>
        <v>0</v>
      </c>
      <c r="AE373" s="96">
        <f>IF(R373=0,0,COUNTIFS('VÍNCULOS_CDF'!$R$6:$R$1005,A373,'VÍNCULOS_CDF'!$AA$6:$AA$1005,1))</f>
        <v>0</v>
      </c>
      <c r="AF373" s="96">
        <f>IF(R373=0,0,COUNTIFS('VÍNCULOS_CDF'!$R$6:$R$1005,A373,'VÍNCULOS_CDF'!$Y$6:$Y$1005,1))</f>
        <v>0</v>
      </c>
      <c r="AG373" s="96" t="str">
        <f>IF(AND(R373=1,S373&lt;&gt;"",C373&lt;&gt;""),S373&amp;"|"&amp;C373&amp;"|"&amp;G373&amp;"|"&amp;H373,"")</f>
        <v/>
      </c>
      <c r="AH373" s="96">
        <f>IF(AG373="",0,IF(SUMPRODUCT(--($AG$6:$AG$1005=AG373))&gt;1,1,0))</f>
        <v>0</v>
      </c>
      <c r="AI373" s="96">
        <f>IF(R373=0,0,IF(OR(U373=0,V373=0,Y373=0,AND(AH373=1,K373&lt;&gt;"Sim")),1,0))</f>
        <v>0</v>
      </c>
      <c r="AJ373" s="96">
        <f>IF(AND(R373=1,AA373&gt;0,AB373=AA373),1,0)</f>
        <v>0</v>
      </c>
      <c r="AK373" s="96">
        <f>IF(R373=0,0,IF(AA373&gt;0,N(L373),IF(ISNUMBER(I373),I373,0)))</f>
        <v>0</v>
      </c>
      <c r="AL373" s="96">
        <f>IF(R373=0,0,IF(AND(K373&lt;&gt;"Sim",N(M373)&gt;AK373+cfg_tol),1,0))</f>
        <v>0</v>
      </c>
      <c r="AM373" s="96">
        <f>IF(R373=0,0,IF(K373="Sim",0,IF(OR(AND(AA373&gt;0,ISNUMBER(I373),ABS(I373-N(L373))&gt;cfg_tol),AL373=1),1,0)))</f>
        <v>0</v>
      </c>
      <c r="AN373" s="96">
        <f>IF(AND(R373=1,N(M373)&gt;0,OR(N(M373)&gt;=AK373-cfg_tol,K373="Sim")),1,0)</f>
        <v>0</v>
      </c>
      <c r="AO373" s="96">
        <f>IF(AND(AN373=1,AD373&gt;0,AE373=AD373,AL373=0),1,0)</f>
        <v>0</v>
      </c>
      <c r="AP373" s="96">
        <f>IF(U373=0,0,IF(AND(INDEX('MTRs'!$AX$6:$AX$505,T373)=1,Z373=0,OR(f_res="",f_res="(Todos)",C373=f_res)),1,0))</f>
        <v>0</v>
      </c>
      <c r="AQ373" s="97" t="str">
        <f>IF(U373=0,"",INDEX('MTRs'!$AZ$6:$AZ$505,T373))</f>
        <v/>
      </c>
      <c r="AR373" s="96">
        <f>IF(U373=0,0,IF(AND(INDEX('MTRs'!$BA$6:$BA$505,T373)=1,Z373=0),1,0))</f>
        <v>0</v>
      </c>
      <c r="AS373" s="96" t="str">
        <f>IF(R373=1,A373&amp;" | MTR "&amp;IF(U373=1,INDEX('MTRs'!$B$6:$B$505,T373)&amp;"","?")&amp;" | "&amp;IF(C373="","(sem resíduo)",C373),"")</f>
        <v/>
      </c>
      <c r="AT373" s="96" t="str">
        <f>IF(R373=1,COUNTIF($R$6:R373,1),"")</f>
        <v/>
      </c>
      <c r="AU373" s="96" t="str">
        <f>IF(U373=1,INDEX('MTRs'!$I$6:$I$505,T373)&amp;"","")</f>
        <v/>
      </c>
    </row>
    <row r="374">
      <c r="A374" s="89" t="inlineStr">
        <is>
          <t>IT-000369</t>
        </is>
      </c>
      <c r="B374" s="91" t="n"/>
      <c r="C374" s="91" t="n"/>
      <c r="D374" s="94" t="str">
        <f>IF(OR(R374=0,V374=0),"",INDEX('CAD_RESÍDUOS'!$E$6:$E$205,MATCH(C374,'CAD_RESÍDUOS'!$B$6:$B$205,0))&amp;"")</f>
        <v/>
      </c>
      <c r="E374" s="94" t="str">
        <f>IF(OR(R374=0,V374=0),"",INDEX('CAD_RESÍDUOS'!$C$6:$C$205,MATCH(C374,'CAD_RESÍDUOS'!$B$6:$B$205,0))&amp;"")</f>
        <v/>
      </c>
      <c r="F374" s="94" t="str">
        <f>IF(OR(R374=0,V374=0),"",INDEX('CAD_RESÍDUOS'!$G$6:$G$205,MATCH(C374,'CAD_RESÍDUOS'!$B$6:$B$205,0))&amp;"")</f>
        <v/>
      </c>
      <c r="G374" s="98" t="n"/>
      <c r="H374" s="91" t="n"/>
      <c r="I374" s="93" t="str">
        <f>IF(R374=0,"",IF(NOT(ISNUMBER(G374)),"",IF(ISNUMBER(X374),G374*X374,"UNIDADE A CONFERIR")))</f>
        <v/>
      </c>
      <c r="J374" s="91" t="n"/>
      <c r="K374" s="91" t="n"/>
      <c r="L374" s="93" t="str">
        <f>IF(R374=0,"",SUMIFS('RECEBIMENTOS'!$H$6:$H$1005,'RECEBIMENTOS'!$R$6:$R$1005,A374,'RECEBIMENTOS'!$X$6:$X$1005,1))</f>
        <v/>
      </c>
      <c r="M374" s="93" t="str">
        <f>IF(R374=0,"",SUMIFS('VÍNCULOS_CDF'!$H$6:$H$1005,'VÍNCULOS_CDF'!$R$6:$R$1005,A374,'VÍNCULOS_CDF'!$V$6:$V$1005,1))</f>
        <v/>
      </c>
      <c r="N374" s="99" t="str">
        <f>IF(OR(R374=0,AA374=0,NOT(ISNUMBER(I374))),"",I374-N(L374))</f>
        <v/>
      </c>
      <c r="O374" s="100" t="str">
        <f>IF(OR(R374=0,AK374&lt;=0),"",N(M374)/AK374)</f>
        <v/>
      </c>
      <c r="P374" s="94" t="str">
        <f>IF(R374=0,"",IF(S374="","Sem MTR associado",IF(U374=0,"MTR inexistente",IF(C374="","Resíduo não identificado",IF(V374=0,"Resíduo fora do cadastro",IF(W374=0,"Quantidade inválida",IF(H374="","Unidade não informada",IF(NOT(ISNUMBER(I374)),"Unidade a conferir",IF(AND(AH374=1,K374&lt;&gt;"Sim"),"Possível duplicidade",IF(Z374=1,"MTR cancelado",IF(AC374&gt;0,"Recebimento com alerta",IF(AA374=0,"Aguardando recebimento",IF(AB374&lt;AA374,"Recebimento a conferir",IF(AM374=1,"Quantidade a revisar",IF(AF374&gt;0,"Vínculo a revisar",IF(AD374=0,"Aguardando CDF",IF(AN374=0,"Vínculo de CDF parcial",IF(AE374&lt;AD374,"CDF a conferir","Documentação conferida"))))))))))))))))))</f>
        <v/>
      </c>
      <c r="Q374" s="93" t="str">
        <f>IF(OR(R374=0,AA374=0),"",MAX(0,N(L374)-N(M374)))</f>
        <v/>
      </c>
      <c r="R374" s="96">
        <f>IF(COUNTA(B374:C374,G374:H374,J374:K374)&gt;0,1,0)</f>
        <v>0</v>
      </c>
      <c r="S374" s="96" t="str">
        <f>IF(B374="","",TRIM(LEFT(B374,FIND(" |",B374&amp;" |")-1)))</f>
        <v/>
      </c>
      <c r="T374" s="96" t="str">
        <f>IF(S374="","",IFERROR(MATCH(S374,'MTRs'!$A$6:$A$505,0),""))</f>
        <v/>
      </c>
      <c r="U374" s="96">
        <f>IF(T374="",0,IF(INDEX('MTRs'!$Z$6:$Z$505,T374)=1,1,0))</f>
        <v>0</v>
      </c>
      <c r="V374" s="96">
        <f>IF(C374="",0,IF(ISNUMBER(MATCH(C374,'CAD_RESÍDUOS'!$B$6:$B$205,0)),1,0))</f>
        <v>0</v>
      </c>
      <c r="W374" s="96">
        <f>IF(AND(ISNUMBER(G374),G374&gt;0),1,0)</f>
        <v>0</v>
      </c>
      <c r="X374" s="96" t="str">
        <f>IF(H374="","",IFERROR(IF(ISNUMBER(INDEX(cfg_fac,MATCH(H374,cfg_units,0))),IF(INDEX(cfg_fac,MATCH(H374,cfg_units,0))&gt;0,INDEX(cfg_fac,MATCH(H374,cfg_units,0)),""),""),""))</f>
        <v/>
      </c>
      <c r="Y374" s="96">
        <f>IF(AND(W374=1,ISNUMBER(I374)),1,0)</f>
        <v>0</v>
      </c>
      <c r="Z374" s="96">
        <f>IF(U374=1,INDEX('MTRs'!$AA$6:$AA$505,T374),0)</f>
        <v>0</v>
      </c>
      <c r="AA374" s="96">
        <f>IF(R374=0,0,COUNTIFS('RECEBIMENTOS'!$R$6:$R$1005,A374,'RECEBIMENTOS'!$Q$6:$Q$1005,1))</f>
        <v>0</v>
      </c>
      <c r="AB374" s="96">
        <f>IF(R374=0,0,COUNTIFS('RECEBIMENTOS'!$R$6:$R$1005,A374,'RECEBIMENTOS'!$Z$6:$Z$1005,1))</f>
        <v>0</v>
      </c>
      <c r="AC374" s="96">
        <f>IF(R374=0,0,COUNTIFS('RECEBIMENTOS'!$R$6:$R$1005,A374,'RECEBIMENTOS'!$Y$6:$Y$1005,1))</f>
        <v>0</v>
      </c>
      <c r="AD374" s="96">
        <f>IF(R374=0,0,COUNTIFS('VÍNCULOS_CDF'!$R$6:$R$1005,A374,'VÍNCULOS_CDF'!$N$6:$N$1005,1))</f>
        <v>0</v>
      </c>
      <c r="AE374" s="96">
        <f>IF(R374=0,0,COUNTIFS('VÍNCULOS_CDF'!$R$6:$R$1005,A374,'VÍNCULOS_CDF'!$AA$6:$AA$1005,1))</f>
        <v>0</v>
      </c>
      <c r="AF374" s="96">
        <f>IF(R374=0,0,COUNTIFS('VÍNCULOS_CDF'!$R$6:$R$1005,A374,'VÍNCULOS_CDF'!$Y$6:$Y$1005,1))</f>
        <v>0</v>
      </c>
      <c r="AG374" s="96" t="str">
        <f>IF(AND(R374=1,S374&lt;&gt;"",C374&lt;&gt;""),S374&amp;"|"&amp;C374&amp;"|"&amp;G374&amp;"|"&amp;H374,"")</f>
        <v/>
      </c>
      <c r="AH374" s="96">
        <f>IF(AG374="",0,IF(SUMPRODUCT(--($AG$6:$AG$1005=AG374))&gt;1,1,0))</f>
        <v>0</v>
      </c>
      <c r="AI374" s="96">
        <f>IF(R374=0,0,IF(OR(U374=0,V374=0,Y374=0,AND(AH374=1,K374&lt;&gt;"Sim")),1,0))</f>
        <v>0</v>
      </c>
      <c r="AJ374" s="96">
        <f>IF(AND(R374=1,AA374&gt;0,AB374=AA374),1,0)</f>
        <v>0</v>
      </c>
      <c r="AK374" s="96">
        <f>IF(R374=0,0,IF(AA374&gt;0,N(L374),IF(ISNUMBER(I374),I374,0)))</f>
        <v>0</v>
      </c>
      <c r="AL374" s="96">
        <f>IF(R374=0,0,IF(AND(K374&lt;&gt;"Sim",N(M374)&gt;AK374+cfg_tol),1,0))</f>
        <v>0</v>
      </c>
      <c r="AM374" s="96">
        <f>IF(R374=0,0,IF(K374="Sim",0,IF(OR(AND(AA374&gt;0,ISNUMBER(I374),ABS(I374-N(L374))&gt;cfg_tol),AL374=1),1,0)))</f>
        <v>0</v>
      </c>
      <c r="AN374" s="96">
        <f>IF(AND(R374=1,N(M374)&gt;0,OR(N(M374)&gt;=AK374-cfg_tol,K374="Sim")),1,0)</f>
        <v>0</v>
      </c>
      <c r="AO374" s="96">
        <f>IF(AND(AN374=1,AD374&gt;0,AE374=AD374,AL374=0),1,0)</f>
        <v>0</v>
      </c>
      <c r="AP374" s="96">
        <f>IF(U374=0,0,IF(AND(INDEX('MTRs'!$AX$6:$AX$505,T374)=1,Z374=0,OR(f_res="",f_res="(Todos)",C374=f_res)),1,0))</f>
        <v>0</v>
      </c>
      <c r="AQ374" s="97" t="str">
        <f>IF(U374=0,"",INDEX('MTRs'!$AZ$6:$AZ$505,T374))</f>
        <v/>
      </c>
      <c r="AR374" s="96">
        <f>IF(U374=0,0,IF(AND(INDEX('MTRs'!$BA$6:$BA$505,T374)=1,Z374=0),1,0))</f>
        <v>0</v>
      </c>
      <c r="AS374" s="96" t="str">
        <f>IF(R374=1,A374&amp;" | MTR "&amp;IF(U374=1,INDEX('MTRs'!$B$6:$B$505,T374)&amp;"","?")&amp;" | "&amp;IF(C374="","(sem resíduo)",C374),"")</f>
        <v/>
      </c>
      <c r="AT374" s="96" t="str">
        <f>IF(R374=1,COUNTIF($R$6:R374,1),"")</f>
        <v/>
      </c>
      <c r="AU374" s="96" t="str">
        <f>IF(U374=1,INDEX('MTRs'!$I$6:$I$505,T374)&amp;"","")</f>
        <v/>
      </c>
    </row>
    <row r="375">
      <c r="A375" s="89" t="inlineStr">
        <is>
          <t>IT-000370</t>
        </is>
      </c>
      <c r="B375" s="91" t="n"/>
      <c r="C375" s="91" t="n"/>
      <c r="D375" s="94" t="str">
        <f>IF(OR(R375=0,V375=0),"",INDEX('CAD_RESÍDUOS'!$E$6:$E$205,MATCH(C375,'CAD_RESÍDUOS'!$B$6:$B$205,0))&amp;"")</f>
        <v/>
      </c>
      <c r="E375" s="94" t="str">
        <f>IF(OR(R375=0,V375=0),"",INDEX('CAD_RESÍDUOS'!$C$6:$C$205,MATCH(C375,'CAD_RESÍDUOS'!$B$6:$B$205,0))&amp;"")</f>
        <v/>
      </c>
      <c r="F375" s="94" t="str">
        <f>IF(OR(R375=0,V375=0),"",INDEX('CAD_RESÍDUOS'!$G$6:$G$205,MATCH(C375,'CAD_RESÍDUOS'!$B$6:$B$205,0))&amp;"")</f>
        <v/>
      </c>
      <c r="G375" s="98" t="n"/>
      <c r="H375" s="91" t="n"/>
      <c r="I375" s="93" t="str">
        <f>IF(R375=0,"",IF(NOT(ISNUMBER(G375)),"",IF(ISNUMBER(X375),G375*X375,"UNIDADE A CONFERIR")))</f>
        <v/>
      </c>
      <c r="J375" s="91" t="n"/>
      <c r="K375" s="91" t="n"/>
      <c r="L375" s="93" t="str">
        <f>IF(R375=0,"",SUMIFS('RECEBIMENTOS'!$H$6:$H$1005,'RECEBIMENTOS'!$R$6:$R$1005,A375,'RECEBIMENTOS'!$X$6:$X$1005,1))</f>
        <v/>
      </c>
      <c r="M375" s="93" t="str">
        <f>IF(R375=0,"",SUMIFS('VÍNCULOS_CDF'!$H$6:$H$1005,'VÍNCULOS_CDF'!$R$6:$R$1005,A375,'VÍNCULOS_CDF'!$V$6:$V$1005,1))</f>
        <v/>
      </c>
      <c r="N375" s="99" t="str">
        <f>IF(OR(R375=0,AA375=0,NOT(ISNUMBER(I375))),"",I375-N(L375))</f>
        <v/>
      </c>
      <c r="O375" s="100" t="str">
        <f>IF(OR(R375=0,AK375&lt;=0),"",N(M375)/AK375)</f>
        <v/>
      </c>
      <c r="P375" s="94" t="str">
        <f>IF(R375=0,"",IF(S375="","Sem MTR associado",IF(U375=0,"MTR inexistente",IF(C375="","Resíduo não identificado",IF(V375=0,"Resíduo fora do cadastro",IF(W375=0,"Quantidade inválida",IF(H375="","Unidade não informada",IF(NOT(ISNUMBER(I375)),"Unidade a conferir",IF(AND(AH375=1,K375&lt;&gt;"Sim"),"Possível duplicidade",IF(Z375=1,"MTR cancelado",IF(AC375&gt;0,"Recebimento com alerta",IF(AA375=0,"Aguardando recebimento",IF(AB375&lt;AA375,"Recebimento a conferir",IF(AM375=1,"Quantidade a revisar",IF(AF375&gt;0,"Vínculo a revisar",IF(AD375=0,"Aguardando CDF",IF(AN375=0,"Vínculo de CDF parcial",IF(AE375&lt;AD375,"CDF a conferir","Documentação conferida"))))))))))))))))))</f>
        <v/>
      </c>
      <c r="Q375" s="93" t="str">
        <f>IF(OR(R375=0,AA375=0),"",MAX(0,N(L375)-N(M375)))</f>
        <v/>
      </c>
      <c r="R375" s="96">
        <f>IF(COUNTA(B375:C375,G375:H375,J375:K375)&gt;0,1,0)</f>
        <v>0</v>
      </c>
      <c r="S375" s="96" t="str">
        <f>IF(B375="","",TRIM(LEFT(B375,FIND(" |",B375&amp;" |")-1)))</f>
        <v/>
      </c>
      <c r="T375" s="96" t="str">
        <f>IF(S375="","",IFERROR(MATCH(S375,'MTRs'!$A$6:$A$505,0),""))</f>
        <v/>
      </c>
      <c r="U375" s="96">
        <f>IF(T375="",0,IF(INDEX('MTRs'!$Z$6:$Z$505,T375)=1,1,0))</f>
        <v>0</v>
      </c>
      <c r="V375" s="96">
        <f>IF(C375="",0,IF(ISNUMBER(MATCH(C375,'CAD_RESÍDUOS'!$B$6:$B$205,0)),1,0))</f>
        <v>0</v>
      </c>
      <c r="W375" s="96">
        <f>IF(AND(ISNUMBER(G375),G375&gt;0),1,0)</f>
        <v>0</v>
      </c>
      <c r="X375" s="96" t="str">
        <f>IF(H375="","",IFERROR(IF(ISNUMBER(INDEX(cfg_fac,MATCH(H375,cfg_units,0))),IF(INDEX(cfg_fac,MATCH(H375,cfg_units,0))&gt;0,INDEX(cfg_fac,MATCH(H375,cfg_units,0)),""),""),""))</f>
        <v/>
      </c>
      <c r="Y375" s="96">
        <f>IF(AND(W375=1,ISNUMBER(I375)),1,0)</f>
        <v>0</v>
      </c>
      <c r="Z375" s="96">
        <f>IF(U375=1,INDEX('MTRs'!$AA$6:$AA$505,T375),0)</f>
        <v>0</v>
      </c>
      <c r="AA375" s="96">
        <f>IF(R375=0,0,COUNTIFS('RECEBIMENTOS'!$R$6:$R$1005,A375,'RECEBIMENTOS'!$Q$6:$Q$1005,1))</f>
        <v>0</v>
      </c>
      <c r="AB375" s="96">
        <f>IF(R375=0,0,COUNTIFS('RECEBIMENTOS'!$R$6:$R$1005,A375,'RECEBIMENTOS'!$Z$6:$Z$1005,1))</f>
        <v>0</v>
      </c>
      <c r="AC375" s="96">
        <f>IF(R375=0,0,COUNTIFS('RECEBIMENTOS'!$R$6:$R$1005,A375,'RECEBIMENTOS'!$Y$6:$Y$1005,1))</f>
        <v>0</v>
      </c>
      <c r="AD375" s="96">
        <f>IF(R375=0,0,COUNTIFS('VÍNCULOS_CDF'!$R$6:$R$1005,A375,'VÍNCULOS_CDF'!$N$6:$N$1005,1))</f>
        <v>0</v>
      </c>
      <c r="AE375" s="96">
        <f>IF(R375=0,0,COUNTIFS('VÍNCULOS_CDF'!$R$6:$R$1005,A375,'VÍNCULOS_CDF'!$AA$6:$AA$1005,1))</f>
        <v>0</v>
      </c>
      <c r="AF375" s="96">
        <f>IF(R375=0,0,COUNTIFS('VÍNCULOS_CDF'!$R$6:$R$1005,A375,'VÍNCULOS_CDF'!$Y$6:$Y$1005,1))</f>
        <v>0</v>
      </c>
      <c r="AG375" s="96" t="str">
        <f>IF(AND(R375=1,S375&lt;&gt;"",C375&lt;&gt;""),S375&amp;"|"&amp;C375&amp;"|"&amp;G375&amp;"|"&amp;H375,"")</f>
        <v/>
      </c>
      <c r="AH375" s="96">
        <f>IF(AG375="",0,IF(SUMPRODUCT(--($AG$6:$AG$1005=AG375))&gt;1,1,0))</f>
        <v>0</v>
      </c>
      <c r="AI375" s="96">
        <f>IF(R375=0,0,IF(OR(U375=0,V375=0,Y375=0,AND(AH375=1,K375&lt;&gt;"Sim")),1,0))</f>
        <v>0</v>
      </c>
      <c r="AJ375" s="96">
        <f>IF(AND(R375=1,AA375&gt;0,AB375=AA375),1,0)</f>
        <v>0</v>
      </c>
      <c r="AK375" s="96">
        <f>IF(R375=0,0,IF(AA375&gt;0,N(L375),IF(ISNUMBER(I375),I375,0)))</f>
        <v>0</v>
      </c>
      <c r="AL375" s="96">
        <f>IF(R375=0,0,IF(AND(K375&lt;&gt;"Sim",N(M375)&gt;AK375+cfg_tol),1,0))</f>
        <v>0</v>
      </c>
      <c r="AM375" s="96">
        <f>IF(R375=0,0,IF(K375="Sim",0,IF(OR(AND(AA375&gt;0,ISNUMBER(I375),ABS(I375-N(L375))&gt;cfg_tol),AL375=1),1,0)))</f>
        <v>0</v>
      </c>
      <c r="AN375" s="96">
        <f>IF(AND(R375=1,N(M375)&gt;0,OR(N(M375)&gt;=AK375-cfg_tol,K375="Sim")),1,0)</f>
        <v>0</v>
      </c>
      <c r="AO375" s="96">
        <f>IF(AND(AN375=1,AD375&gt;0,AE375=AD375,AL375=0),1,0)</f>
        <v>0</v>
      </c>
      <c r="AP375" s="96">
        <f>IF(U375=0,0,IF(AND(INDEX('MTRs'!$AX$6:$AX$505,T375)=1,Z375=0,OR(f_res="",f_res="(Todos)",C375=f_res)),1,0))</f>
        <v>0</v>
      </c>
      <c r="AQ375" s="97" t="str">
        <f>IF(U375=0,"",INDEX('MTRs'!$AZ$6:$AZ$505,T375))</f>
        <v/>
      </c>
      <c r="AR375" s="96">
        <f>IF(U375=0,0,IF(AND(INDEX('MTRs'!$BA$6:$BA$505,T375)=1,Z375=0),1,0))</f>
        <v>0</v>
      </c>
      <c r="AS375" s="96" t="str">
        <f>IF(R375=1,A375&amp;" | MTR "&amp;IF(U375=1,INDEX('MTRs'!$B$6:$B$505,T375)&amp;"","?")&amp;" | "&amp;IF(C375="","(sem resíduo)",C375),"")</f>
        <v/>
      </c>
      <c r="AT375" s="96" t="str">
        <f>IF(R375=1,COUNTIF($R$6:R375,1),"")</f>
        <v/>
      </c>
      <c r="AU375" s="96" t="str">
        <f>IF(U375=1,INDEX('MTRs'!$I$6:$I$505,T375)&amp;"","")</f>
        <v/>
      </c>
    </row>
    <row r="376">
      <c r="A376" s="89" t="inlineStr">
        <is>
          <t>IT-000371</t>
        </is>
      </c>
      <c r="B376" s="91" t="n"/>
      <c r="C376" s="91" t="n"/>
      <c r="D376" s="94" t="str">
        <f>IF(OR(R376=0,V376=0),"",INDEX('CAD_RESÍDUOS'!$E$6:$E$205,MATCH(C376,'CAD_RESÍDUOS'!$B$6:$B$205,0))&amp;"")</f>
        <v/>
      </c>
      <c r="E376" s="94" t="str">
        <f>IF(OR(R376=0,V376=0),"",INDEX('CAD_RESÍDUOS'!$C$6:$C$205,MATCH(C376,'CAD_RESÍDUOS'!$B$6:$B$205,0))&amp;"")</f>
        <v/>
      </c>
      <c r="F376" s="94" t="str">
        <f>IF(OR(R376=0,V376=0),"",INDEX('CAD_RESÍDUOS'!$G$6:$G$205,MATCH(C376,'CAD_RESÍDUOS'!$B$6:$B$205,0))&amp;"")</f>
        <v/>
      </c>
      <c r="G376" s="98" t="n"/>
      <c r="H376" s="91" t="n"/>
      <c r="I376" s="93" t="str">
        <f>IF(R376=0,"",IF(NOT(ISNUMBER(G376)),"",IF(ISNUMBER(X376),G376*X376,"UNIDADE A CONFERIR")))</f>
        <v/>
      </c>
      <c r="J376" s="91" t="n"/>
      <c r="K376" s="91" t="n"/>
      <c r="L376" s="93" t="str">
        <f>IF(R376=0,"",SUMIFS('RECEBIMENTOS'!$H$6:$H$1005,'RECEBIMENTOS'!$R$6:$R$1005,A376,'RECEBIMENTOS'!$X$6:$X$1005,1))</f>
        <v/>
      </c>
      <c r="M376" s="93" t="str">
        <f>IF(R376=0,"",SUMIFS('VÍNCULOS_CDF'!$H$6:$H$1005,'VÍNCULOS_CDF'!$R$6:$R$1005,A376,'VÍNCULOS_CDF'!$V$6:$V$1005,1))</f>
        <v/>
      </c>
      <c r="N376" s="99" t="str">
        <f>IF(OR(R376=0,AA376=0,NOT(ISNUMBER(I376))),"",I376-N(L376))</f>
        <v/>
      </c>
      <c r="O376" s="100" t="str">
        <f>IF(OR(R376=0,AK376&lt;=0),"",N(M376)/AK376)</f>
        <v/>
      </c>
      <c r="P376" s="94" t="str">
        <f>IF(R376=0,"",IF(S376="","Sem MTR associado",IF(U376=0,"MTR inexistente",IF(C376="","Resíduo não identificado",IF(V376=0,"Resíduo fora do cadastro",IF(W376=0,"Quantidade inválida",IF(H376="","Unidade não informada",IF(NOT(ISNUMBER(I376)),"Unidade a conferir",IF(AND(AH376=1,K376&lt;&gt;"Sim"),"Possível duplicidade",IF(Z376=1,"MTR cancelado",IF(AC376&gt;0,"Recebimento com alerta",IF(AA376=0,"Aguardando recebimento",IF(AB376&lt;AA376,"Recebimento a conferir",IF(AM376=1,"Quantidade a revisar",IF(AF376&gt;0,"Vínculo a revisar",IF(AD376=0,"Aguardando CDF",IF(AN376=0,"Vínculo de CDF parcial",IF(AE376&lt;AD376,"CDF a conferir","Documentação conferida"))))))))))))))))))</f>
        <v/>
      </c>
      <c r="Q376" s="93" t="str">
        <f>IF(OR(R376=0,AA376=0),"",MAX(0,N(L376)-N(M376)))</f>
        <v/>
      </c>
      <c r="R376" s="96">
        <f>IF(COUNTA(B376:C376,G376:H376,J376:K376)&gt;0,1,0)</f>
        <v>0</v>
      </c>
      <c r="S376" s="96" t="str">
        <f>IF(B376="","",TRIM(LEFT(B376,FIND(" |",B376&amp;" |")-1)))</f>
        <v/>
      </c>
      <c r="T376" s="96" t="str">
        <f>IF(S376="","",IFERROR(MATCH(S376,'MTRs'!$A$6:$A$505,0),""))</f>
        <v/>
      </c>
      <c r="U376" s="96">
        <f>IF(T376="",0,IF(INDEX('MTRs'!$Z$6:$Z$505,T376)=1,1,0))</f>
        <v>0</v>
      </c>
      <c r="V376" s="96">
        <f>IF(C376="",0,IF(ISNUMBER(MATCH(C376,'CAD_RESÍDUOS'!$B$6:$B$205,0)),1,0))</f>
        <v>0</v>
      </c>
      <c r="W376" s="96">
        <f>IF(AND(ISNUMBER(G376),G376&gt;0),1,0)</f>
        <v>0</v>
      </c>
      <c r="X376" s="96" t="str">
        <f>IF(H376="","",IFERROR(IF(ISNUMBER(INDEX(cfg_fac,MATCH(H376,cfg_units,0))),IF(INDEX(cfg_fac,MATCH(H376,cfg_units,0))&gt;0,INDEX(cfg_fac,MATCH(H376,cfg_units,0)),""),""),""))</f>
        <v/>
      </c>
      <c r="Y376" s="96">
        <f>IF(AND(W376=1,ISNUMBER(I376)),1,0)</f>
        <v>0</v>
      </c>
      <c r="Z376" s="96">
        <f>IF(U376=1,INDEX('MTRs'!$AA$6:$AA$505,T376),0)</f>
        <v>0</v>
      </c>
      <c r="AA376" s="96">
        <f>IF(R376=0,0,COUNTIFS('RECEBIMENTOS'!$R$6:$R$1005,A376,'RECEBIMENTOS'!$Q$6:$Q$1005,1))</f>
        <v>0</v>
      </c>
      <c r="AB376" s="96">
        <f>IF(R376=0,0,COUNTIFS('RECEBIMENTOS'!$R$6:$R$1005,A376,'RECEBIMENTOS'!$Z$6:$Z$1005,1))</f>
        <v>0</v>
      </c>
      <c r="AC376" s="96">
        <f>IF(R376=0,0,COUNTIFS('RECEBIMENTOS'!$R$6:$R$1005,A376,'RECEBIMENTOS'!$Y$6:$Y$1005,1))</f>
        <v>0</v>
      </c>
      <c r="AD376" s="96">
        <f>IF(R376=0,0,COUNTIFS('VÍNCULOS_CDF'!$R$6:$R$1005,A376,'VÍNCULOS_CDF'!$N$6:$N$1005,1))</f>
        <v>0</v>
      </c>
      <c r="AE376" s="96">
        <f>IF(R376=0,0,COUNTIFS('VÍNCULOS_CDF'!$R$6:$R$1005,A376,'VÍNCULOS_CDF'!$AA$6:$AA$1005,1))</f>
        <v>0</v>
      </c>
      <c r="AF376" s="96">
        <f>IF(R376=0,0,COUNTIFS('VÍNCULOS_CDF'!$R$6:$R$1005,A376,'VÍNCULOS_CDF'!$Y$6:$Y$1005,1))</f>
        <v>0</v>
      </c>
      <c r="AG376" s="96" t="str">
        <f>IF(AND(R376=1,S376&lt;&gt;"",C376&lt;&gt;""),S376&amp;"|"&amp;C376&amp;"|"&amp;G376&amp;"|"&amp;H376,"")</f>
        <v/>
      </c>
      <c r="AH376" s="96">
        <f>IF(AG376="",0,IF(SUMPRODUCT(--($AG$6:$AG$1005=AG376))&gt;1,1,0))</f>
        <v>0</v>
      </c>
      <c r="AI376" s="96">
        <f>IF(R376=0,0,IF(OR(U376=0,V376=0,Y376=0,AND(AH376=1,K376&lt;&gt;"Sim")),1,0))</f>
        <v>0</v>
      </c>
      <c r="AJ376" s="96">
        <f>IF(AND(R376=1,AA376&gt;0,AB376=AA376),1,0)</f>
        <v>0</v>
      </c>
      <c r="AK376" s="96">
        <f>IF(R376=0,0,IF(AA376&gt;0,N(L376),IF(ISNUMBER(I376),I376,0)))</f>
        <v>0</v>
      </c>
      <c r="AL376" s="96">
        <f>IF(R376=0,0,IF(AND(K376&lt;&gt;"Sim",N(M376)&gt;AK376+cfg_tol),1,0))</f>
        <v>0</v>
      </c>
      <c r="AM376" s="96">
        <f>IF(R376=0,0,IF(K376="Sim",0,IF(OR(AND(AA376&gt;0,ISNUMBER(I376),ABS(I376-N(L376))&gt;cfg_tol),AL376=1),1,0)))</f>
        <v>0</v>
      </c>
      <c r="AN376" s="96">
        <f>IF(AND(R376=1,N(M376)&gt;0,OR(N(M376)&gt;=AK376-cfg_tol,K376="Sim")),1,0)</f>
        <v>0</v>
      </c>
      <c r="AO376" s="96">
        <f>IF(AND(AN376=1,AD376&gt;0,AE376=AD376,AL376=0),1,0)</f>
        <v>0</v>
      </c>
      <c r="AP376" s="96">
        <f>IF(U376=0,0,IF(AND(INDEX('MTRs'!$AX$6:$AX$505,T376)=1,Z376=0,OR(f_res="",f_res="(Todos)",C376=f_res)),1,0))</f>
        <v>0</v>
      </c>
      <c r="AQ376" s="97" t="str">
        <f>IF(U376=0,"",INDEX('MTRs'!$AZ$6:$AZ$505,T376))</f>
        <v/>
      </c>
      <c r="AR376" s="96">
        <f>IF(U376=0,0,IF(AND(INDEX('MTRs'!$BA$6:$BA$505,T376)=1,Z376=0),1,0))</f>
        <v>0</v>
      </c>
      <c r="AS376" s="96" t="str">
        <f>IF(R376=1,A376&amp;" | MTR "&amp;IF(U376=1,INDEX('MTRs'!$B$6:$B$505,T376)&amp;"","?")&amp;" | "&amp;IF(C376="","(sem resíduo)",C376),"")</f>
        <v/>
      </c>
      <c r="AT376" s="96" t="str">
        <f>IF(R376=1,COUNTIF($R$6:R376,1),"")</f>
        <v/>
      </c>
      <c r="AU376" s="96" t="str">
        <f>IF(U376=1,INDEX('MTRs'!$I$6:$I$505,T376)&amp;"","")</f>
        <v/>
      </c>
    </row>
    <row r="377">
      <c r="A377" s="89" t="inlineStr">
        <is>
          <t>IT-000372</t>
        </is>
      </c>
      <c r="B377" s="91" t="n"/>
      <c r="C377" s="91" t="n"/>
      <c r="D377" s="94" t="str">
        <f>IF(OR(R377=0,V377=0),"",INDEX('CAD_RESÍDUOS'!$E$6:$E$205,MATCH(C377,'CAD_RESÍDUOS'!$B$6:$B$205,0))&amp;"")</f>
        <v/>
      </c>
      <c r="E377" s="94" t="str">
        <f>IF(OR(R377=0,V377=0),"",INDEX('CAD_RESÍDUOS'!$C$6:$C$205,MATCH(C377,'CAD_RESÍDUOS'!$B$6:$B$205,0))&amp;"")</f>
        <v/>
      </c>
      <c r="F377" s="94" t="str">
        <f>IF(OR(R377=0,V377=0),"",INDEX('CAD_RESÍDUOS'!$G$6:$G$205,MATCH(C377,'CAD_RESÍDUOS'!$B$6:$B$205,0))&amp;"")</f>
        <v/>
      </c>
      <c r="G377" s="98" t="n"/>
      <c r="H377" s="91" t="n"/>
      <c r="I377" s="93" t="str">
        <f>IF(R377=0,"",IF(NOT(ISNUMBER(G377)),"",IF(ISNUMBER(X377),G377*X377,"UNIDADE A CONFERIR")))</f>
        <v/>
      </c>
      <c r="J377" s="91" t="n"/>
      <c r="K377" s="91" t="n"/>
      <c r="L377" s="93" t="str">
        <f>IF(R377=0,"",SUMIFS('RECEBIMENTOS'!$H$6:$H$1005,'RECEBIMENTOS'!$R$6:$R$1005,A377,'RECEBIMENTOS'!$X$6:$X$1005,1))</f>
        <v/>
      </c>
      <c r="M377" s="93" t="str">
        <f>IF(R377=0,"",SUMIFS('VÍNCULOS_CDF'!$H$6:$H$1005,'VÍNCULOS_CDF'!$R$6:$R$1005,A377,'VÍNCULOS_CDF'!$V$6:$V$1005,1))</f>
        <v/>
      </c>
      <c r="N377" s="99" t="str">
        <f>IF(OR(R377=0,AA377=0,NOT(ISNUMBER(I377))),"",I377-N(L377))</f>
        <v/>
      </c>
      <c r="O377" s="100" t="str">
        <f>IF(OR(R377=0,AK377&lt;=0),"",N(M377)/AK377)</f>
        <v/>
      </c>
      <c r="P377" s="94" t="str">
        <f>IF(R377=0,"",IF(S377="","Sem MTR associado",IF(U377=0,"MTR inexistente",IF(C377="","Resíduo não identificado",IF(V377=0,"Resíduo fora do cadastro",IF(W377=0,"Quantidade inválida",IF(H377="","Unidade não informada",IF(NOT(ISNUMBER(I377)),"Unidade a conferir",IF(AND(AH377=1,K377&lt;&gt;"Sim"),"Possível duplicidade",IF(Z377=1,"MTR cancelado",IF(AC377&gt;0,"Recebimento com alerta",IF(AA377=0,"Aguardando recebimento",IF(AB377&lt;AA377,"Recebimento a conferir",IF(AM377=1,"Quantidade a revisar",IF(AF377&gt;0,"Vínculo a revisar",IF(AD377=0,"Aguardando CDF",IF(AN377=0,"Vínculo de CDF parcial",IF(AE377&lt;AD377,"CDF a conferir","Documentação conferida"))))))))))))))))))</f>
        <v/>
      </c>
      <c r="Q377" s="93" t="str">
        <f>IF(OR(R377=0,AA377=0),"",MAX(0,N(L377)-N(M377)))</f>
        <v/>
      </c>
      <c r="R377" s="96">
        <f>IF(COUNTA(B377:C377,G377:H377,J377:K377)&gt;0,1,0)</f>
        <v>0</v>
      </c>
      <c r="S377" s="96" t="str">
        <f>IF(B377="","",TRIM(LEFT(B377,FIND(" |",B377&amp;" |")-1)))</f>
        <v/>
      </c>
      <c r="T377" s="96" t="str">
        <f>IF(S377="","",IFERROR(MATCH(S377,'MTRs'!$A$6:$A$505,0),""))</f>
        <v/>
      </c>
      <c r="U377" s="96">
        <f>IF(T377="",0,IF(INDEX('MTRs'!$Z$6:$Z$505,T377)=1,1,0))</f>
        <v>0</v>
      </c>
      <c r="V377" s="96">
        <f>IF(C377="",0,IF(ISNUMBER(MATCH(C377,'CAD_RESÍDUOS'!$B$6:$B$205,0)),1,0))</f>
        <v>0</v>
      </c>
      <c r="W377" s="96">
        <f>IF(AND(ISNUMBER(G377),G377&gt;0),1,0)</f>
        <v>0</v>
      </c>
      <c r="X377" s="96" t="str">
        <f>IF(H377="","",IFERROR(IF(ISNUMBER(INDEX(cfg_fac,MATCH(H377,cfg_units,0))),IF(INDEX(cfg_fac,MATCH(H377,cfg_units,0))&gt;0,INDEX(cfg_fac,MATCH(H377,cfg_units,0)),""),""),""))</f>
        <v/>
      </c>
      <c r="Y377" s="96">
        <f>IF(AND(W377=1,ISNUMBER(I377)),1,0)</f>
        <v>0</v>
      </c>
      <c r="Z377" s="96">
        <f>IF(U377=1,INDEX('MTRs'!$AA$6:$AA$505,T377),0)</f>
        <v>0</v>
      </c>
      <c r="AA377" s="96">
        <f>IF(R377=0,0,COUNTIFS('RECEBIMENTOS'!$R$6:$R$1005,A377,'RECEBIMENTOS'!$Q$6:$Q$1005,1))</f>
        <v>0</v>
      </c>
      <c r="AB377" s="96">
        <f>IF(R377=0,0,COUNTIFS('RECEBIMENTOS'!$R$6:$R$1005,A377,'RECEBIMENTOS'!$Z$6:$Z$1005,1))</f>
        <v>0</v>
      </c>
      <c r="AC377" s="96">
        <f>IF(R377=0,0,COUNTIFS('RECEBIMENTOS'!$R$6:$R$1005,A377,'RECEBIMENTOS'!$Y$6:$Y$1005,1))</f>
        <v>0</v>
      </c>
      <c r="AD377" s="96">
        <f>IF(R377=0,0,COUNTIFS('VÍNCULOS_CDF'!$R$6:$R$1005,A377,'VÍNCULOS_CDF'!$N$6:$N$1005,1))</f>
        <v>0</v>
      </c>
      <c r="AE377" s="96">
        <f>IF(R377=0,0,COUNTIFS('VÍNCULOS_CDF'!$R$6:$R$1005,A377,'VÍNCULOS_CDF'!$AA$6:$AA$1005,1))</f>
        <v>0</v>
      </c>
      <c r="AF377" s="96">
        <f>IF(R377=0,0,COUNTIFS('VÍNCULOS_CDF'!$R$6:$R$1005,A377,'VÍNCULOS_CDF'!$Y$6:$Y$1005,1))</f>
        <v>0</v>
      </c>
      <c r="AG377" s="96" t="str">
        <f>IF(AND(R377=1,S377&lt;&gt;"",C377&lt;&gt;""),S377&amp;"|"&amp;C377&amp;"|"&amp;G377&amp;"|"&amp;H377,"")</f>
        <v/>
      </c>
      <c r="AH377" s="96">
        <f>IF(AG377="",0,IF(SUMPRODUCT(--($AG$6:$AG$1005=AG377))&gt;1,1,0))</f>
        <v>0</v>
      </c>
      <c r="AI377" s="96">
        <f>IF(R377=0,0,IF(OR(U377=0,V377=0,Y377=0,AND(AH377=1,K377&lt;&gt;"Sim")),1,0))</f>
        <v>0</v>
      </c>
      <c r="AJ377" s="96">
        <f>IF(AND(R377=1,AA377&gt;0,AB377=AA377),1,0)</f>
        <v>0</v>
      </c>
      <c r="AK377" s="96">
        <f>IF(R377=0,0,IF(AA377&gt;0,N(L377),IF(ISNUMBER(I377),I377,0)))</f>
        <v>0</v>
      </c>
      <c r="AL377" s="96">
        <f>IF(R377=0,0,IF(AND(K377&lt;&gt;"Sim",N(M377)&gt;AK377+cfg_tol),1,0))</f>
        <v>0</v>
      </c>
      <c r="AM377" s="96">
        <f>IF(R377=0,0,IF(K377="Sim",0,IF(OR(AND(AA377&gt;0,ISNUMBER(I377),ABS(I377-N(L377))&gt;cfg_tol),AL377=1),1,0)))</f>
        <v>0</v>
      </c>
      <c r="AN377" s="96">
        <f>IF(AND(R377=1,N(M377)&gt;0,OR(N(M377)&gt;=AK377-cfg_tol,K377="Sim")),1,0)</f>
        <v>0</v>
      </c>
      <c r="AO377" s="96">
        <f>IF(AND(AN377=1,AD377&gt;0,AE377=AD377,AL377=0),1,0)</f>
        <v>0</v>
      </c>
      <c r="AP377" s="96">
        <f>IF(U377=0,0,IF(AND(INDEX('MTRs'!$AX$6:$AX$505,T377)=1,Z377=0,OR(f_res="",f_res="(Todos)",C377=f_res)),1,0))</f>
        <v>0</v>
      </c>
      <c r="AQ377" s="97" t="str">
        <f>IF(U377=0,"",INDEX('MTRs'!$AZ$6:$AZ$505,T377))</f>
        <v/>
      </c>
      <c r="AR377" s="96">
        <f>IF(U377=0,0,IF(AND(INDEX('MTRs'!$BA$6:$BA$505,T377)=1,Z377=0),1,0))</f>
        <v>0</v>
      </c>
      <c r="AS377" s="96" t="str">
        <f>IF(R377=1,A377&amp;" | MTR "&amp;IF(U377=1,INDEX('MTRs'!$B$6:$B$505,T377)&amp;"","?")&amp;" | "&amp;IF(C377="","(sem resíduo)",C377),"")</f>
        <v/>
      </c>
      <c r="AT377" s="96" t="str">
        <f>IF(R377=1,COUNTIF($R$6:R377,1),"")</f>
        <v/>
      </c>
      <c r="AU377" s="96" t="str">
        <f>IF(U377=1,INDEX('MTRs'!$I$6:$I$505,T377)&amp;"","")</f>
        <v/>
      </c>
    </row>
    <row r="378">
      <c r="A378" s="89" t="inlineStr">
        <is>
          <t>IT-000373</t>
        </is>
      </c>
      <c r="B378" s="91" t="n"/>
      <c r="C378" s="91" t="n"/>
      <c r="D378" s="94" t="str">
        <f>IF(OR(R378=0,V378=0),"",INDEX('CAD_RESÍDUOS'!$E$6:$E$205,MATCH(C378,'CAD_RESÍDUOS'!$B$6:$B$205,0))&amp;"")</f>
        <v/>
      </c>
      <c r="E378" s="94" t="str">
        <f>IF(OR(R378=0,V378=0),"",INDEX('CAD_RESÍDUOS'!$C$6:$C$205,MATCH(C378,'CAD_RESÍDUOS'!$B$6:$B$205,0))&amp;"")</f>
        <v/>
      </c>
      <c r="F378" s="94" t="str">
        <f>IF(OR(R378=0,V378=0),"",INDEX('CAD_RESÍDUOS'!$G$6:$G$205,MATCH(C378,'CAD_RESÍDUOS'!$B$6:$B$205,0))&amp;"")</f>
        <v/>
      </c>
      <c r="G378" s="98" t="n"/>
      <c r="H378" s="91" t="n"/>
      <c r="I378" s="93" t="str">
        <f>IF(R378=0,"",IF(NOT(ISNUMBER(G378)),"",IF(ISNUMBER(X378),G378*X378,"UNIDADE A CONFERIR")))</f>
        <v/>
      </c>
      <c r="J378" s="91" t="n"/>
      <c r="K378" s="91" t="n"/>
      <c r="L378" s="93" t="str">
        <f>IF(R378=0,"",SUMIFS('RECEBIMENTOS'!$H$6:$H$1005,'RECEBIMENTOS'!$R$6:$R$1005,A378,'RECEBIMENTOS'!$X$6:$X$1005,1))</f>
        <v/>
      </c>
      <c r="M378" s="93" t="str">
        <f>IF(R378=0,"",SUMIFS('VÍNCULOS_CDF'!$H$6:$H$1005,'VÍNCULOS_CDF'!$R$6:$R$1005,A378,'VÍNCULOS_CDF'!$V$6:$V$1005,1))</f>
        <v/>
      </c>
      <c r="N378" s="99" t="str">
        <f>IF(OR(R378=0,AA378=0,NOT(ISNUMBER(I378))),"",I378-N(L378))</f>
        <v/>
      </c>
      <c r="O378" s="100" t="str">
        <f>IF(OR(R378=0,AK378&lt;=0),"",N(M378)/AK378)</f>
        <v/>
      </c>
      <c r="P378" s="94" t="str">
        <f>IF(R378=0,"",IF(S378="","Sem MTR associado",IF(U378=0,"MTR inexistente",IF(C378="","Resíduo não identificado",IF(V378=0,"Resíduo fora do cadastro",IF(W378=0,"Quantidade inválida",IF(H378="","Unidade não informada",IF(NOT(ISNUMBER(I378)),"Unidade a conferir",IF(AND(AH378=1,K378&lt;&gt;"Sim"),"Possível duplicidade",IF(Z378=1,"MTR cancelado",IF(AC378&gt;0,"Recebimento com alerta",IF(AA378=0,"Aguardando recebimento",IF(AB378&lt;AA378,"Recebimento a conferir",IF(AM378=1,"Quantidade a revisar",IF(AF378&gt;0,"Vínculo a revisar",IF(AD378=0,"Aguardando CDF",IF(AN378=0,"Vínculo de CDF parcial",IF(AE378&lt;AD378,"CDF a conferir","Documentação conferida"))))))))))))))))))</f>
        <v/>
      </c>
      <c r="Q378" s="93" t="str">
        <f>IF(OR(R378=0,AA378=0),"",MAX(0,N(L378)-N(M378)))</f>
        <v/>
      </c>
      <c r="R378" s="96">
        <f>IF(COUNTA(B378:C378,G378:H378,J378:K378)&gt;0,1,0)</f>
        <v>0</v>
      </c>
      <c r="S378" s="96" t="str">
        <f>IF(B378="","",TRIM(LEFT(B378,FIND(" |",B378&amp;" |")-1)))</f>
        <v/>
      </c>
      <c r="T378" s="96" t="str">
        <f>IF(S378="","",IFERROR(MATCH(S378,'MTRs'!$A$6:$A$505,0),""))</f>
        <v/>
      </c>
      <c r="U378" s="96">
        <f>IF(T378="",0,IF(INDEX('MTRs'!$Z$6:$Z$505,T378)=1,1,0))</f>
        <v>0</v>
      </c>
      <c r="V378" s="96">
        <f>IF(C378="",0,IF(ISNUMBER(MATCH(C378,'CAD_RESÍDUOS'!$B$6:$B$205,0)),1,0))</f>
        <v>0</v>
      </c>
      <c r="W378" s="96">
        <f>IF(AND(ISNUMBER(G378),G378&gt;0),1,0)</f>
        <v>0</v>
      </c>
      <c r="X378" s="96" t="str">
        <f>IF(H378="","",IFERROR(IF(ISNUMBER(INDEX(cfg_fac,MATCH(H378,cfg_units,0))),IF(INDEX(cfg_fac,MATCH(H378,cfg_units,0))&gt;0,INDEX(cfg_fac,MATCH(H378,cfg_units,0)),""),""),""))</f>
        <v/>
      </c>
      <c r="Y378" s="96">
        <f>IF(AND(W378=1,ISNUMBER(I378)),1,0)</f>
        <v>0</v>
      </c>
      <c r="Z378" s="96">
        <f>IF(U378=1,INDEX('MTRs'!$AA$6:$AA$505,T378),0)</f>
        <v>0</v>
      </c>
      <c r="AA378" s="96">
        <f>IF(R378=0,0,COUNTIFS('RECEBIMENTOS'!$R$6:$R$1005,A378,'RECEBIMENTOS'!$Q$6:$Q$1005,1))</f>
        <v>0</v>
      </c>
      <c r="AB378" s="96">
        <f>IF(R378=0,0,COUNTIFS('RECEBIMENTOS'!$R$6:$R$1005,A378,'RECEBIMENTOS'!$Z$6:$Z$1005,1))</f>
        <v>0</v>
      </c>
      <c r="AC378" s="96">
        <f>IF(R378=0,0,COUNTIFS('RECEBIMENTOS'!$R$6:$R$1005,A378,'RECEBIMENTOS'!$Y$6:$Y$1005,1))</f>
        <v>0</v>
      </c>
      <c r="AD378" s="96">
        <f>IF(R378=0,0,COUNTIFS('VÍNCULOS_CDF'!$R$6:$R$1005,A378,'VÍNCULOS_CDF'!$N$6:$N$1005,1))</f>
        <v>0</v>
      </c>
      <c r="AE378" s="96">
        <f>IF(R378=0,0,COUNTIFS('VÍNCULOS_CDF'!$R$6:$R$1005,A378,'VÍNCULOS_CDF'!$AA$6:$AA$1005,1))</f>
        <v>0</v>
      </c>
      <c r="AF378" s="96">
        <f>IF(R378=0,0,COUNTIFS('VÍNCULOS_CDF'!$R$6:$R$1005,A378,'VÍNCULOS_CDF'!$Y$6:$Y$1005,1))</f>
        <v>0</v>
      </c>
      <c r="AG378" s="96" t="str">
        <f>IF(AND(R378=1,S378&lt;&gt;"",C378&lt;&gt;""),S378&amp;"|"&amp;C378&amp;"|"&amp;G378&amp;"|"&amp;H378,"")</f>
        <v/>
      </c>
      <c r="AH378" s="96">
        <f>IF(AG378="",0,IF(SUMPRODUCT(--($AG$6:$AG$1005=AG378))&gt;1,1,0))</f>
        <v>0</v>
      </c>
      <c r="AI378" s="96">
        <f>IF(R378=0,0,IF(OR(U378=0,V378=0,Y378=0,AND(AH378=1,K378&lt;&gt;"Sim")),1,0))</f>
        <v>0</v>
      </c>
      <c r="AJ378" s="96">
        <f>IF(AND(R378=1,AA378&gt;0,AB378=AA378),1,0)</f>
        <v>0</v>
      </c>
      <c r="AK378" s="96">
        <f>IF(R378=0,0,IF(AA378&gt;0,N(L378),IF(ISNUMBER(I378),I378,0)))</f>
        <v>0</v>
      </c>
      <c r="AL378" s="96">
        <f>IF(R378=0,0,IF(AND(K378&lt;&gt;"Sim",N(M378)&gt;AK378+cfg_tol),1,0))</f>
        <v>0</v>
      </c>
      <c r="AM378" s="96">
        <f>IF(R378=0,0,IF(K378="Sim",0,IF(OR(AND(AA378&gt;0,ISNUMBER(I378),ABS(I378-N(L378))&gt;cfg_tol),AL378=1),1,0)))</f>
        <v>0</v>
      </c>
      <c r="AN378" s="96">
        <f>IF(AND(R378=1,N(M378)&gt;0,OR(N(M378)&gt;=AK378-cfg_tol,K378="Sim")),1,0)</f>
        <v>0</v>
      </c>
      <c r="AO378" s="96">
        <f>IF(AND(AN378=1,AD378&gt;0,AE378=AD378,AL378=0),1,0)</f>
        <v>0</v>
      </c>
      <c r="AP378" s="96">
        <f>IF(U378=0,0,IF(AND(INDEX('MTRs'!$AX$6:$AX$505,T378)=1,Z378=0,OR(f_res="",f_res="(Todos)",C378=f_res)),1,0))</f>
        <v>0</v>
      </c>
      <c r="AQ378" s="97" t="str">
        <f>IF(U378=0,"",INDEX('MTRs'!$AZ$6:$AZ$505,T378))</f>
        <v/>
      </c>
      <c r="AR378" s="96">
        <f>IF(U378=0,0,IF(AND(INDEX('MTRs'!$BA$6:$BA$505,T378)=1,Z378=0),1,0))</f>
        <v>0</v>
      </c>
      <c r="AS378" s="96" t="str">
        <f>IF(R378=1,A378&amp;" | MTR "&amp;IF(U378=1,INDEX('MTRs'!$B$6:$B$505,T378)&amp;"","?")&amp;" | "&amp;IF(C378="","(sem resíduo)",C378),"")</f>
        <v/>
      </c>
      <c r="AT378" s="96" t="str">
        <f>IF(R378=1,COUNTIF($R$6:R378,1),"")</f>
        <v/>
      </c>
      <c r="AU378" s="96" t="str">
        <f>IF(U378=1,INDEX('MTRs'!$I$6:$I$505,T378)&amp;"","")</f>
        <v/>
      </c>
    </row>
    <row r="379">
      <c r="A379" s="89" t="inlineStr">
        <is>
          <t>IT-000374</t>
        </is>
      </c>
      <c r="B379" s="91" t="n"/>
      <c r="C379" s="91" t="n"/>
      <c r="D379" s="94" t="str">
        <f>IF(OR(R379=0,V379=0),"",INDEX('CAD_RESÍDUOS'!$E$6:$E$205,MATCH(C379,'CAD_RESÍDUOS'!$B$6:$B$205,0))&amp;"")</f>
        <v/>
      </c>
      <c r="E379" s="94" t="str">
        <f>IF(OR(R379=0,V379=0),"",INDEX('CAD_RESÍDUOS'!$C$6:$C$205,MATCH(C379,'CAD_RESÍDUOS'!$B$6:$B$205,0))&amp;"")</f>
        <v/>
      </c>
      <c r="F379" s="94" t="str">
        <f>IF(OR(R379=0,V379=0),"",INDEX('CAD_RESÍDUOS'!$G$6:$G$205,MATCH(C379,'CAD_RESÍDUOS'!$B$6:$B$205,0))&amp;"")</f>
        <v/>
      </c>
      <c r="G379" s="98" t="n"/>
      <c r="H379" s="91" t="n"/>
      <c r="I379" s="93" t="str">
        <f>IF(R379=0,"",IF(NOT(ISNUMBER(G379)),"",IF(ISNUMBER(X379),G379*X379,"UNIDADE A CONFERIR")))</f>
        <v/>
      </c>
      <c r="J379" s="91" t="n"/>
      <c r="K379" s="91" t="n"/>
      <c r="L379" s="93" t="str">
        <f>IF(R379=0,"",SUMIFS('RECEBIMENTOS'!$H$6:$H$1005,'RECEBIMENTOS'!$R$6:$R$1005,A379,'RECEBIMENTOS'!$X$6:$X$1005,1))</f>
        <v/>
      </c>
      <c r="M379" s="93" t="str">
        <f>IF(R379=0,"",SUMIFS('VÍNCULOS_CDF'!$H$6:$H$1005,'VÍNCULOS_CDF'!$R$6:$R$1005,A379,'VÍNCULOS_CDF'!$V$6:$V$1005,1))</f>
        <v/>
      </c>
      <c r="N379" s="99" t="str">
        <f>IF(OR(R379=0,AA379=0,NOT(ISNUMBER(I379))),"",I379-N(L379))</f>
        <v/>
      </c>
      <c r="O379" s="100" t="str">
        <f>IF(OR(R379=0,AK379&lt;=0),"",N(M379)/AK379)</f>
        <v/>
      </c>
      <c r="P379" s="94" t="str">
        <f>IF(R379=0,"",IF(S379="","Sem MTR associado",IF(U379=0,"MTR inexistente",IF(C379="","Resíduo não identificado",IF(V379=0,"Resíduo fora do cadastro",IF(W379=0,"Quantidade inválida",IF(H379="","Unidade não informada",IF(NOT(ISNUMBER(I379)),"Unidade a conferir",IF(AND(AH379=1,K379&lt;&gt;"Sim"),"Possível duplicidade",IF(Z379=1,"MTR cancelado",IF(AC379&gt;0,"Recebimento com alerta",IF(AA379=0,"Aguardando recebimento",IF(AB379&lt;AA379,"Recebimento a conferir",IF(AM379=1,"Quantidade a revisar",IF(AF379&gt;0,"Vínculo a revisar",IF(AD379=0,"Aguardando CDF",IF(AN379=0,"Vínculo de CDF parcial",IF(AE379&lt;AD379,"CDF a conferir","Documentação conferida"))))))))))))))))))</f>
        <v/>
      </c>
      <c r="Q379" s="93" t="str">
        <f>IF(OR(R379=0,AA379=0),"",MAX(0,N(L379)-N(M379)))</f>
        <v/>
      </c>
      <c r="R379" s="96">
        <f>IF(COUNTA(B379:C379,G379:H379,J379:K379)&gt;0,1,0)</f>
        <v>0</v>
      </c>
      <c r="S379" s="96" t="str">
        <f>IF(B379="","",TRIM(LEFT(B379,FIND(" |",B379&amp;" |")-1)))</f>
        <v/>
      </c>
      <c r="T379" s="96" t="str">
        <f>IF(S379="","",IFERROR(MATCH(S379,'MTRs'!$A$6:$A$505,0),""))</f>
        <v/>
      </c>
      <c r="U379" s="96">
        <f>IF(T379="",0,IF(INDEX('MTRs'!$Z$6:$Z$505,T379)=1,1,0))</f>
        <v>0</v>
      </c>
      <c r="V379" s="96">
        <f>IF(C379="",0,IF(ISNUMBER(MATCH(C379,'CAD_RESÍDUOS'!$B$6:$B$205,0)),1,0))</f>
        <v>0</v>
      </c>
      <c r="W379" s="96">
        <f>IF(AND(ISNUMBER(G379),G379&gt;0),1,0)</f>
        <v>0</v>
      </c>
      <c r="X379" s="96" t="str">
        <f>IF(H379="","",IFERROR(IF(ISNUMBER(INDEX(cfg_fac,MATCH(H379,cfg_units,0))),IF(INDEX(cfg_fac,MATCH(H379,cfg_units,0))&gt;0,INDEX(cfg_fac,MATCH(H379,cfg_units,0)),""),""),""))</f>
        <v/>
      </c>
      <c r="Y379" s="96">
        <f>IF(AND(W379=1,ISNUMBER(I379)),1,0)</f>
        <v>0</v>
      </c>
      <c r="Z379" s="96">
        <f>IF(U379=1,INDEX('MTRs'!$AA$6:$AA$505,T379),0)</f>
        <v>0</v>
      </c>
      <c r="AA379" s="96">
        <f>IF(R379=0,0,COUNTIFS('RECEBIMENTOS'!$R$6:$R$1005,A379,'RECEBIMENTOS'!$Q$6:$Q$1005,1))</f>
        <v>0</v>
      </c>
      <c r="AB379" s="96">
        <f>IF(R379=0,0,COUNTIFS('RECEBIMENTOS'!$R$6:$R$1005,A379,'RECEBIMENTOS'!$Z$6:$Z$1005,1))</f>
        <v>0</v>
      </c>
      <c r="AC379" s="96">
        <f>IF(R379=0,0,COUNTIFS('RECEBIMENTOS'!$R$6:$R$1005,A379,'RECEBIMENTOS'!$Y$6:$Y$1005,1))</f>
        <v>0</v>
      </c>
      <c r="AD379" s="96">
        <f>IF(R379=0,0,COUNTIFS('VÍNCULOS_CDF'!$R$6:$R$1005,A379,'VÍNCULOS_CDF'!$N$6:$N$1005,1))</f>
        <v>0</v>
      </c>
      <c r="AE379" s="96">
        <f>IF(R379=0,0,COUNTIFS('VÍNCULOS_CDF'!$R$6:$R$1005,A379,'VÍNCULOS_CDF'!$AA$6:$AA$1005,1))</f>
        <v>0</v>
      </c>
      <c r="AF379" s="96">
        <f>IF(R379=0,0,COUNTIFS('VÍNCULOS_CDF'!$R$6:$R$1005,A379,'VÍNCULOS_CDF'!$Y$6:$Y$1005,1))</f>
        <v>0</v>
      </c>
      <c r="AG379" s="96" t="str">
        <f>IF(AND(R379=1,S379&lt;&gt;"",C379&lt;&gt;""),S379&amp;"|"&amp;C379&amp;"|"&amp;G379&amp;"|"&amp;H379,"")</f>
        <v/>
      </c>
      <c r="AH379" s="96">
        <f>IF(AG379="",0,IF(SUMPRODUCT(--($AG$6:$AG$1005=AG379))&gt;1,1,0))</f>
        <v>0</v>
      </c>
      <c r="AI379" s="96">
        <f>IF(R379=0,0,IF(OR(U379=0,V379=0,Y379=0,AND(AH379=1,K379&lt;&gt;"Sim")),1,0))</f>
        <v>0</v>
      </c>
      <c r="AJ379" s="96">
        <f>IF(AND(R379=1,AA379&gt;0,AB379=AA379),1,0)</f>
        <v>0</v>
      </c>
      <c r="AK379" s="96">
        <f>IF(R379=0,0,IF(AA379&gt;0,N(L379),IF(ISNUMBER(I379),I379,0)))</f>
        <v>0</v>
      </c>
      <c r="AL379" s="96">
        <f>IF(R379=0,0,IF(AND(K379&lt;&gt;"Sim",N(M379)&gt;AK379+cfg_tol),1,0))</f>
        <v>0</v>
      </c>
      <c r="AM379" s="96">
        <f>IF(R379=0,0,IF(K379="Sim",0,IF(OR(AND(AA379&gt;0,ISNUMBER(I379),ABS(I379-N(L379))&gt;cfg_tol),AL379=1),1,0)))</f>
        <v>0</v>
      </c>
      <c r="AN379" s="96">
        <f>IF(AND(R379=1,N(M379)&gt;0,OR(N(M379)&gt;=AK379-cfg_tol,K379="Sim")),1,0)</f>
        <v>0</v>
      </c>
      <c r="AO379" s="96">
        <f>IF(AND(AN379=1,AD379&gt;0,AE379=AD379,AL379=0),1,0)</f>
        <v>0</v>
      </c>
      <c r="AP379" s="96">
        <f>IF(U379=0,0,IF(AND(INDEX('MTRs'!$AX$6:$AX$505,T379)=1,Z379=0,OR(f_res="",f_res="(Todos)",C379=f_res)),1,0))</f>
        <v>0</v>
      </c>
      <c r="AQ379" s="97" t="str">
        <f>IF(U379=0,"",INDEX('MTRs'!$AZ$6:$AZ$505,T379))</f>
        <v/>
      </c>
      <c r="AR379" s="96">
        <f>IF(U379=0,0,IF(AND(INDEX('MTRs'!$BA$6:$BA$505,T379)=1,Z379=0),1,0))</f>
        <v>0</v>
      </c>
      <c r="AS379" s="96" t="str">
        <f>IF(R379=1,A379&amp;" | MTR "&amp;IF(U379=1,INDEX('MTRs'!$B$6:$B$505,T379)&amp;"","?")&amp;" | "&amp;IF(C379="","(sem resíduo)",C379),"")</f>
        <v/>
      </c>
      <c r="AT379" s="96" t="str">
        <f>IF(R379=1,COUNTIF($R$6:R379,1),"")</f>
        <v/>
      </c>
      <c r="AU379" s="96" t="str">
        <f>IF(U379=1,INDEX('MTRs'!$I$6:$I$505,T379)&amp;"","")</f>
        <v/>
      </c>
    </row>
    <row r="380">
      <c r="A380" s="89" t="inlineStr">
        <is>
          <t>IT-000375</t>
        </is>
      </c>
      <c r="B380" s="91" t="n"/>
      <c r="C380" s="91" t="n"/>
      <c r="D380" s="94" t="str">
        <f>IF(OR(R380=0,V380=0),"",INDEX('CAD_RESÍDUOS'!$E$6:$E$205,MATCH(C380,'CAD_RESÍDUOS'!$B$6:$B$205,0))&amp;"")</f>
        <v/>
      </c>
      <c r="E380" s="94" t="str">
        <f>IF(OR(R380=0,V380=0),"",INDEX('CAD_RESÍDUOS'!$C$6:$C$205,MATCH(C380,'CAD_RESÍDUOS'!$B$6:$B$205,0))&amp;"")</f>
        <v/>
      </c>
      <c r="F380" s="94" t="str">
        <f>IF(OR(R380=0,V380=0),"",INDEX('CAD_RESÍDUOS'!$G$6:$G$205,MATCH(C380,'CAD_RESÍDUOS'!$B$6:$B$205,0))&amp;"")</f>
        <v/>
      </c>
      <c r="G380" s="98" t="n"/>
      <c r="H380" s="91" t="n"/>
      <c r="I380" s="93" t="str">
        <f>IF(R380=0,"",IF(NOT(ISNUMBER(G380)),"",IF(ISNUMBER(X380),G380*X380,"UNIDADE A CONFERIR")))</f>
        <v/>
      </c>
      <c r="J380" s="91" t="n"/>
      <c r="K380" s="91" t="n"/>
      <c r="L380" s="93" t="str">
        <f>IF(R380=0,"",SUMIFS('RECEBIMENTOS'!$H$6:$H$1005,'RECEBIMENTOS'!$R$6:$R$1005,A380,'RECEBIMENTOS'!$X$6:$X$1005,1))</f>
        <v/>
      </c>
      <c r="M380" s="93" t="str">
        <f>IF(R380=0,"",SUMIFS('VÍNCULOS_CDF'!$H$6:$H$1005,'VÍNCULOS_CDF'!$R$6:$R$1005,A380,'VÍNCULOS_CDF'!$V$6:$V$1005,1))</f>
        <v/>
      </c>
      <c r="N380" s="99" t="str">
        <f>IF(OR(R380=0,AA380=0,NOT(ISNUMBER(I380))),"",I380-N(L380))</f>
        <v/>
      </c>
      <c r="O380" s="100" t="str">
        <f>IF(OR(R380=0,AK380&lt;=0),"",N(M380)/AK380)</f>
        <v/>
      </c>
      <c r="P380" s="94" t="str">
        <f>IF(R380=0,"",IF(S380="","Sem MTR associado",IF(U380=0,"MTR inexistente",IF(C380="","Resíduo não identificado",IF(V380=0,"Resíduo fora do cadastro",IF(W380=0,"Quantidade inválida",IF(H380="","Unidade não informada",IF(NOT(ISNUMBER(I380)),"Unidade a conferir",IF(AND(AH380=1,K380&lt;&gt;"Sim"),"Possível duplicidade",IF(Z380=1,"MTR cancelado",IF(AC380&gt;0,"Recebimento com alerta",IF(AA380=0,"Aguardando recebimento",IF(AB380&lt;AA380,"Recebimento a conferir",IF(AM380=1,"Quantidade a revisar",IF(AF380&gt;0,"Vínculo a revisar",IF(AD380=0,"Aguardando CDF",IF(AN380=0,"Vínculo de CDF parcial",IF(AE380&lt;AD380,"CDF a conferir","Documentação conferida"))))))))))))))))))</f>
        <v/>
      </c>
      <c r="Q380" s="93" t="str">
        <f>IF(OR(R380=0,AA380=0),"",MAX(0,N(L380)-N(M380)))</f>
        <v/>
      </c>
      <c r="R380" s="96">
        <f>IF(COUNTA(B380:C380,G380:H380,J380:K380)&gt;0,1,0)</f>
        <v>0</v>
      </c>
      <c r="S380" s="96" t="str">
        <f>IF(B380="","",TRIM(LEFT(B380,FIND(" |",B380&amp;" |")-1)))</f>
        <v/>
      </c>
      <c r="T380" s="96" t="str">
        <f>IF(S380="","",IFERROR(MATCH(S380,'MTRs'!$A$6:$A$505,0),""))</f>
        <v/>
      </c>
      <c r="U380" s="96">
        <f>IF(T380="",0,IF(INDEX('MTRs'!$Z$6:$Z$505,T380)=1,1,0))</f>
        <v>0</v>
      </c>
      <c r="V380" s="96">
        <f>IF(C380="",0,IF(ISNUMBER(MATCH(C380,'CAD_RESÍDUOS'!$B$6:$B$205,0)),1,0))</f>
        <v>0</v>
      </c>
      <c r="W380" s="96">
        <f>IF(AND(ISNUMBER(G380),G380&gt;0),1,0)</f>
        <v>0</v>
      </c>
      <c r="X380" s="96" t="str">
        <f>IF(H380="","",IFERROR(IF(ISNUMBER(INDEX(cfg_fac,MATCH(H380,cfg_units,0))),IF(INDEX(cfg_fac,MATCH(H380,cfg_units,0))&gt;0,INDEX(cfg_fac,MATCH(H380,cfg_units,0)),""),""),""))</f>
        <v/>
      </c>
      <c r="Y380" s="96">
        <f>IF(AND(W380=1,ISNUMBER(I380)),1,0)</f>
        <v>0</v>
      </c>
      <c r="Z380" s="96">
        <f>IF(U380=1,INDEX('MTRs'!$AA$6:$AA$505,T380),0)</f>
        <v>0</v>
      </c>
      <c r="AA380" s="96">
        <f>IF(R380=0,0,COUNTIFS('RECEBIMENTOS'!$R$6:$R$1005,A380,'RECEBIMENTOS'!$Q$6:$Q$1005,1))</f>
        <v>0</v>
      </c>
      <c r="AB380" s="96">
        <f>IF(R380=0,0,COUNTIFS('RECEBIMENTOS'!$R$6:$R$1005,A380,'RECEBIMENTOS'!$Z$6:$Z$1005,1))</f>
        <v>0</v>
      </c>
      <c r="AC380" s="96">
        <f>IF(R380=0,0,COUNTIFS('RECEBIMENTOS'!$R$6:$R$1005,A380,'RECEBIMENTOS'!$Y$6:$Y$1005,1))</f>
        <v>0</v>
      </c>
      <c r="AD380" s="96">
        <f>IF(R380=0,0,COUNTIFS('VÍNCULOS_CDF'!$R$6:$R$1005,A380,'VÍNCULOS_CDF'!$N$6:$N$1005,1))</f>
        <v>0</v>
      </c>
      <c r="AE380" s="96">
        <f>IF(R380=0,0,COUNTIFS('VÍNCULOS_CDF'!$R$6:$R$1005,A380,'VÍNCULOS_CDF'!$AA$6:$AA$1005,1))</f>
        <v>0</v>
      </c>
      <c r="AF380" s="96">
        <f>IF(R380=0,0,COUNTIFS('VÍNCULOS_CDF'!$R$6:$R$1005,A380,'VÍNCULOS_CDF'!$Y$6:$Y$1005,1))</f>
        <v>0</v>
      </c>
      <c r="AG380" s="96" t="str">
        <f>IF(AND(R380=1,S380&lt;&gt;"",C380&lt;&gt;""),S380&amp;"|"&amp;C380&amp;"|"&amp;G380&amp;"|"&amp;H380,"")</f>
        <v/>
      </c>
      <c r="AH380" s="96">
        <f>IF(AG380="",0,IF(SUMPRODUCT(--($AG$6:$AG$1005=AG380))&gt;1,1,0))</f>
        <v>0</v>
      </c>
      <c r="AI380" s="96">
        <f>IF(R380=0,0,IF(OR(U380=0,V380=0,Y380=0,AND(AH380=1,K380&lt;&gt;"Sim")),1,0))</f>
        <v>0</v>
      </c>
      <c r="AJ380" s="96">
        <f>IF(AND(R380=1,AA380&gt;0,AB380=AA380),1,0)</f>
        <v>0</v>
      </c>
      <c r="AK380" s="96">
        <f>IF(R380=0,0,IF(AA380&gt;0,N(L380),IF(ISNUMBER(I380),I380,0)))</f>
        <v>0</v>
      </c>
      <c r="AL380" s="96">
        <f>IF(R380=0,0,IF(AND(K380&lt;&gt;"Sim",N(M380)&gt;AK380+cfg_tol),1,0))</f>
        <v>0</v>
      </c>
      <c r="AM380" s="96">
        <f>IF(R380=0,0,IF(K380="Sim",0,IF(OR(AND(AA380&gt;0,ISNUMBER(I380),ABS(I380-N(L380))&gt;cfg_tol),AL380=1),1,0)))</f>
        <v>0</v>
      </c>
      <c r="AN380" s="96">
        <f>IF(AND(R380=1,N(M380)&gt;0,OR(N(M380)&gt;=AK380-cfg_tol,K380="Sim")),1,0)</f>
        <v>0</v>
      </c>
      <c r="AO380" s="96">
        <f>IF(AND(AN380=1,AD380&gt;0,AE380=AD380,AL380=0),1,0)</f>
        <v>0</v>
      </c>
      <c r="AP380" s="96">
        <f>IF(U380=0,0,IF(AND(INDEX('MTRs'!$AX$6:$AX$505,T380)=1,Z380=0,OR(f_res="",f_res="(Todos)",C380=f_res)),1,0))</f>
        <v>0</v>
      </c>
      <c r="AQ380" s="97" t="str">
        <f>IF(U380=0,"",INDEX('MTRs'!$AZ$6:$AZ$505,T380))</f>
        <v/>
      </c>
      <c r="AR380" s="96">
        <f>IF(U380=0,0,IF(AND(INDEX('MTRs'!$BA$6:$BA$505,T380)=1,Z380=0),1,0))</f>
        <v>0</v>
      </c>
      <c r="AS380" s="96" t="str">
        <f>IF(R380=1,A380&amp;" | MTR "&amp;IF(U380=1,INDEX('MTRs'!$B$6:$B$505,T380)&amp;"","?")&amp;" | "&amp;IF(C380="","(sem resíduo)",C380),"")</f>
        <v/>
      </c>
      <c r="AT380" s="96" t="str">
        <f>IF(R380=1,COUNTIF($R$6:R380,1),"")</f>
        <v/>
      </c>
      <c r="AU380" s="96" t="str">
        <f>IF(U380=1,INDEX('MTRs'!$I$6:$I$505,T380)&amp;"","")</f>
        <v/>
      </c>
    </row>
    <row r="381">
      <c r="A381" s="89" t="inlineStr">
        <is>
          <t>IT-000376</t>
        </is>
      </c>
      <c r="B381" s="91" t="n"/>
      <c r="C381" s="91" t="n"/>
      <c r="D381" s="94" t="str">
        <f>IF(OR(R381=0,V381=0),"",INDEX('CAD_RESÍDUOS'!$E$6:$E$205,MATCH(C381,'CAD_RESÍDUOS'!$B$6:$B$205,0))&amp;"")</f>
        <v/>
      </c>
      <c r="E381" s="94" t="str">
        <f>IF(OR(R381=0,V381=0),"",INDEX('CAD_RESÍDUOS'!$C$6:$C$205,MATCH(C381,'CAD_RESÍDUOS'!$B$6:$B$205,0))&amp;"")</f>
        <v/>
      </c>
      <c r="F381" s="94" t="str">
        <f>IF(OR(R381=0,V381=0),"",INDEX('CAD_RESÍDUOS'!$G$6:$G$205,MATCH(C381,'CAD_RESÍDUOS'!$B$6:$B$205,0))&amp;"")</f>
        <v/>
      </c>
      <c r="G381" s="98" t="n"/>
      <c r="H381" s="91" t="n"/>
      <c r="I381" s="93" t="str">
        <f>IF(R381=0,"",IF(NOT(ISNUMBER(G381)),"",IF(ISNUMBER(X381),G381*X381,"UNIDADE A CONFERIR")))</f>
        <v/>
      </c>
      <c r="J381" s="91" t="n"/>
      <c r="K381" s="91" t="n"/>
      <c r="L381" s="93" t="str">
        <f>IF(R381=0,"",SUMIFS('RECEBIMENTOS'!$H$6:$H$1005,'RECEBIMENTOS'!$R$6:$R$1005,A381,'RECEBIMENTOS'!$X$6:$X$1005,1))</f>
        <v/>
      </c>
      <c r="M381" s="93" t="str">
        <f>IF(R381=0,"",SUMIFS('VÍNCULOS_CDF'!$H$6:$H$1005,'VÍNCULOS_CDF'!$R$6:$R$1005,A381,'VÍNCULOS_CDF'!$V$6:$V$1005,1))</f>
        <v/>
      </c>
      <c r="N381" s="99" t="str">
        <f>IF(OR(R381=0,AA381=0,NOT(ISNUMBER(I381))),"",I381-N(L381))</f>
        <v/>
      </c>
      <c r="O381" s="100" t="str">
        <f>IF(OR(R381=0,AK381&lt;=0),"",N(M381)/AK381)</f>
        <v/>
      </c>
      <c r="P381" s="94" t="str">
        <f>IF(R381=0,"",IF(S381="","Sem MTR associado",IF(U381=0,"MTR inexistente",IF(C381="","Resíduo não identificado",IF(V381=0,"Resíduo fora do cadastro",IF(W381=0,"Quantidade inválida",IF(H381="","Unidade não informada",IF(NOT(ISNUMBER(I381)),"Unidade a conferir",IF(AND(AH381=1,K381&lt;&gt;"Sim"),"Possível duplicidade",IF(Z381=1,"MTR cancelado",IF(AC381&gt;0,"Recebimento com alerta",IF(AA381=0,"Aguardando recebimento",IF(AB381&lt;AA381,"Recebimento a conferir",IF(AM381=1,"Quantidade a revisar",IF(AF381&gt;0,"Vínculo a revisar",IF(AD381=0,"Aguardando CDF",IF(AN381=0,"Vínculo de CDF parcial",IF(AE381&lt;AD381,"CDF a conferir","Documentação conferida"))))))))))))))))))</f>
        <v/>
      </c>
      <c r="Q381" s="93" t="str">
        <f>IF(OR(R381=0,AA381=0),"",MAX(0,N(L381)-N(M381)))</f>
        <v/>
      </c>
      <c r="R381" s="96">
        <f>IF(COUNTA(B381:C381,G381:H381,J381:K381)&gt;0,1,0)</f>
        <v>0</v>
      </c>
      <c r="S381" s="96" t="str">
        <f>IF(B381="","",TRIM(LEFT(B381,FIND(" |",B381&amp;" |")-1)))</f>
        <v/>
      </c>
      <c r="T381" s="96" t="str">
        <f>IF(S381="","",IFERROR(MATCH(S381,'MTRs'!$A$6:$A$505,0),""))</f>
        <v/>
      </c>
      <c r="U381" s="96">
        <f>IF(T381="",0,IF(INDEX('MTRs'!$Z$6:$Z$505,T381)=1,1,0))</f>
        <v>0</v>
      </c>
      <c r="V381" s="96">
        <f>IF(C381="",0,IF(ISNUMBER(MATCH(C381,'CAD_RESÍDUOS'!$B$6:$B$205,0)),1,0))</f>
        <v>0</v>
      </c>
      <c r="W381" s="96">
        <f>IF(AND(ISNUMBER(G381),G381&gt;0),1,0)</f>
        <v>0</v>
      </c>
      <c r="X381" s="96" t="str">
        <f>IF(H381="","",IFERROR(IF(ISNUMBER(INDEX(cfg_fac,MATCH(H381,cfg_units,0))),IF(INDEX(cfg_fac,MATCH(H381,cfg_units,0))&gt;0,INDEX(cfg_fac,MATCH(H381,cfg_units,0)),""),""),""))</f>
        <v/>
      </c>
      <c r="Y381" s="96">
        <f>IF(AND(W381=1,ISNUMBER(I381)),1,0)</f>
        <v>0</v>
      </c>
      <c r="Z381" s="96">
        <f>IF(U381=1,INDEX('MTRs'!$AA$6:$AA$505,T381),0)</f>
        <v>0</v>
      </c>
      <c r="AA381" s="96">
        <f>IF(R381=0,0,COUNTIFS('RECEBIMENTOS'!$R$6:$R$1005,A381,'RECEBIMENTOS'!$Q$6:$Q$1005,1))</f>
        <v>0</v>
      </c>
      <c r="AB381" s="96">
        <f>IF(R381=0,0,COUNTIFS('RECEBIMENTOS'!$R$6:$R$1005,A381,'RECEBIMENTOS'!$Z$6:$Z$1005,1))</f>
        <v>0</v>
      </c>
      <c r="AC381" s="96">
        <f>IF(R381=0,0,COUNTIFS('RECEBIMENTOS'!$R$6:$R$1005,A381,'RECEBIMENTOS'!$Y$6:$Y$1005,1))</f>
        <v>0</v>
      </c>
      <c r="AD381" s="96">
        <f>IF(R381=0,0,COUNTIFS('VÍNCULOS_CDF'!$R$6:$R$1005,A381,'VÍNCULOS_CDF'!$N$6:$N$1005,1))</f>
        <v>0</v>
      </c>
      <c r="AE381" s="96">
        <f>IF(R381=0,0,COUNTIFS('VÍNCULOS_CDF'!$R$6:$R$1005,A381,'VÍNCULOS_CDF'!$AA$6:$AA$1005,1))</f>
        <v>0</v>
      </c>
      <c r="AF381" s="96">
        <f>IF(R381=0,0,COUNTIFS('VÍNCULOS_CDF'!$R$6:$R$1005,A381,'VÍNCULOS_CDF'!$Y$6:$Y$1005,1))</f>
        <v>0</v>
      </c>
      <c r="AG381" s="96" t="str">
        <f>IF(AND(R381=1,S381&lt;&gt;"",C381&lt;&gt;""),S381&amp;"|"&amp;C381&amp;"|"&amp;G381&amp;"|"&amp;H381,"")</f>
        <v/>
      </c>
      <c r="AH381" s="96">
        <f>IF(AG381="",0,IF(SUMPRODUCT(--($AG$6:$AG$1005=AG381))&gt;1,1,0))</f>
        <v>0</v>
      </c>
      <c r="AI381" s="96">
        <f>IF(R381=0,0,IF(OR(U381=0,V381=0,Y381=0,AND(AH381=1,K381&lt;&gt;"Sim")),1,0))</f>
        <v>0</v>
      </c>
      <c r="AJ381" s="96">
        <f>IF(AND(R381=1,AA381&gt;0,AB381=AA381),1,0)</f>
        <v>0</v>
      </c>
      <c r="AK381" s="96">
        <f>IF(R381=0,0,IF(AA381&gt;0,N(L381),IF(ISNUMBER(I381),I381,0)))</f>
        <v>0</v>
      </c>
      <c r="AL381" s="96">
        <f>IF(R381=0,0,IF(AND(K381&lt;&gt;"Sim",N(M381)&gt;AK381+cfg_tol),1,0))</f>
        <v>0</v>
      </c>
      <c r="AM381" s="96">
        <f>IF(R381=0,0,IF(K381="Sim",0,IF(OR(AND(AA381&gt;0,ISNUMBER(I381),ABS(I381-N(L381))&gt;cfg_tol),AL381=1),1,0)))</f>
        <v>0</v>
      </c>
      <c r="AN381" s="96">
        <f>IF(AND(R381=1,N(M381)&gt;0,OR(N(M381)&gt;=AK381-cfg_tol,K381="Sim")),1,0)</f>
        <v>0</v>
      </c>
      <c r="AO381" s="96">
        <f>IF(AND(AN381=1,AD381&gt;0,AE381=AD381,AL381=0),1,0)</f>
        <v>0</v>
      </c>
      <c r="AP381" s="96">
        <f>IF(U381=0,0,IF(AND(INDEX('MTRs'!$AX$6:$AX$505,T381)=1,Z381=0,OR(f_res="",f_res="(Todos)",C381=f_res)),1,0))</f>
        <v>0</v>
      </c>
      <c r="AQ381" s="97" t="str">
        <f>IF(U381=0,"",INDEX('MTRs'!$AZ$6:$AZ$505,T381))</f>
        <v/>
      </c>
      <c r="AR381" s="96">
        <f>IF(U381=0,0,IF(AND(INDEX('MTRs'!$BA$6:$BA$505,T381)=1,Z381=0),1,0))</f>
        <v>0</v>
      </c>
      <c r="AS381" s="96" t="str">
        <f>IF(R381=1,A381&amp;" | MTR "&amp;IF(U381=1,INDEX('MTRs'!$B$6:$B$505,T381)&amp;"","?")&amp;" | "&amp;IF(C381="","(sem resíduo)",C381),"")</f>
        <v/>
      </c>
      <c r="AT381" s="96" t="str">
        <f>IF(R381=1,COUNTIF($R$6:R381,1),"")</f>
        <v/>
      </c>
      <c r="AU381" s="96" t="str">
        <f>IF(U381=1,INDEX('MTRs'!$I$6:$I$505,T381)&amp;"","")</f>
        <v/>
      </c>
    </row>
    <row r="382">
      <c r="A382" s="89" t="inlineStr">
        <is>
          <t>IT-000377</t>
        </is>
      </c>
      <c r="B382" s="91" t="n"/>
      <c r="C382" s="91" t="n"/>
      <c r="D382" s="94" t="str">
        <f>IF(OR(R382=0,V382=0),"",INDEX('CAD_RESÍDUOS'!$E$6:$E$205,MATCH(C382,'CAD_RESÍDUOS'!$B$6:$B$205,0))&amp;"")</f>
        <v/>
      </c>
      <c r="E382" s="94" t="str">
        <f>IF(OR(R382=0,V382=0),"",INDEX('CAD_RESÍDUOS'!$C$6:$C$205,MATCH(C382,'CAD_RESÍDUOS'!$B$6:$B$205,0))&amp;"")</f>
        <v/>
      </c>
      <c r="F382" s="94" t="str">
        <f>IF(OR(R382=0,V382=0),"",INDEX('CAD_RESÍDUOS'!$G$6:$G$205,MATCH(C382,'CAD_RESÍDUOS'!$B$6:$B$205,0))&amp;"")</f>
        <v/>
      </c>
      <c r="G382" s="98" t="n"/>
      <c r="H382" s="91" t="n"/>
      <c r="I382" s="93" t="str">
        <f>IF(R382=0,"",IF(NOT(ISNUMBER(G382)),"",IF(ISNUMBER(X382),G382*X382,"UNIDADE A CONFERIR")))</f>
        <v/>
      </c>
      <c r="J382" s="91" t="n"/>
      <c r="K382" s="91" t="n"/>
      <c r="L382" s="93" t="str">
        <f>IF(R382=0,"",SUMIFS('RECEBIMENTOS'!$H$6:$H$1005,'RECEBIMENTOS'!$R$6:$R$1005,A382,'RECEBIMENTOS'!$X$6:$X$1005,1))</f>
        <v/>
      </c>
      <c r="M382" s="93" t="str">
        <f>IF(R382=0,"",SUMIFS('VÍNCULOS_CDF'!$H$6:$H$1005,'VÍNCULOS_CDF'!$R$6:$R$1005,A382,'VÍNCULOS_CDF'!$V$6:$V$1005,1))</f>
        <v/>
      </c>
      <c r="N382" s="99" t="str">
        <f>IF(OR(R382=0,AA382=0,NOT(ISNUMBER(I382))),"",I382-N(L382))</f>
        <v/>
      </c>
      <c r="O382" s="100" t="str">
        <f>IF(OR(R382=0,AK382&lt;=0),"",N(M382)/AK382)</f>
        <v/>
      </c>
      <c r="P382" s="94" t="str">
        <f>IF(R382=0,"",IF(S382="","Sem MTR associado",IF(U382=0,"MTR inexistente",IF(C382="","Resíduo não identificado",IF(V382=0,"Resíduo fora do cadastro",IF(W382=0,"Quantidade inválida",IF(H382="","Unidade não informada",IF(NOT(ISNUMBER(I382)),"Unidade a conferir",IF(AND(AH382=1,K382&lt;&gt;"Sim"),"Possível duplicidade",IF(Z382=1,"MTR cancelado",IF(AC382&gt;0,"Recebimento com alerta",IF(AA382=0,"Aguardando recebimento",IF(AB382&lt;AA382,"Recebimento a conferir",IF(AM382=1,"Quantidade a revisar",IF(AF382&gt;0,"Vínculo a revisar",IF(AD382=0,"Aguardando CDF",IF(AN382=0,"Vínculo de CDF parcial",IF(AE382&lt;AD382,"CDF a conferir","Documentação conferida"))))))))))))))))))</f>
        <v/>
      </c>
      <c r="Q382" s="93" t="str">
        <f>IF(OR(R382=0,AA382=0),"",MAX(0,N(L382)-N(M382)))</f>
        <v/>
      </c>
      <c r="R382" s="96">
        <f>IF(COUNTA(B382:C382,G382:H382,J382:K382)&gt;0,1,0)</f>
        <v>0</v>
      </c>
      <c r="S382" s="96" t="str">
        <f>IF(B382="","",TRIM(LEFT(B382,FIND(" |",B382&amp;" |")-1)))</f>
        <v/>
      </c>
      <c r="T382" s="96" t="str">
        <f>IF(S382="","",IFERROR(MATCH(S382,'MTRs'!$A$6:$A$505,0),""))</f>
        <v/>
      </c>
      <c r="U382" s="96">
        <f>IF(T382="",0,IF(INDEX('MTRs'!$Z$6:$Z$505,T382)=1,1,0))</f>
        <v>0</v>
      </c>
      <c r="V382" s="96">
        <f>IF(C382="",0,IF(ISNUMBER(MATCH(C382,'CAD_RESÍDUOS'!$B$6:$B$205,0)),1,0))</f>
        <v>0</v>
      </c>
      <c r="W382" s="96">
        <f>IF(AND(ISNUMBER(G382),G382&gt;0),1,0)</f>
        <v>0</v>
      </c>
      <c r="X382" s="96" t="str">
        <f>IF(H382="","",IFERROR(IF(ISNUMBER(INDEX(cfg_fac,MATCH(H382,cfg_units,0))),IF(INDEX(cfg_fac,MATCH(H382,cfg_units,0))&gt;0,INDEX(cfg_fac,MATCH(H382,cfg_units,0)),""),""),""))</f>
        <v/>
      </c>
      <c r="Y382" s="96">
        <f>IF(AND(W382=1,ISNUMBER(I382)),1,0)</f>
        <v>0</v>
      </c>
      <c r="Z382" s="96">
        <f>IF(U382=1,INDEX('MTRs'!$AA$6:$AA$505,T382),0)</f>
        <v>0</v>
      </c>
      <c r="AA382" s="96">
        <f>IF(R382=0,0,COUNTIFS('RECEBIMENTOS'!$R$6:$R$1005,A382,'RECEBIMENTOS'!$Q$6:$Q$1005,1))</f>
        <v>0</v>
      </c>
      <c r="AB382" s="96">
        <f>IF(R382=0,0,COUNTIFS('RECEBIMENTOS'!$R$6:$R$1005,A382,'RECEBIMENTOS'!$Z$6:$Z$1005,1))</f>
        <v>0</v>
      </c>
      <c r="AC382" s="96">
        <f>IF(R382=0,0,COUNTIFS('RECEBIMENTOS'!$R$6:$R$1005,A382,'RECEBIMENTOS'!$Y$6:$Y$1005,1))</f>
        <v>0</v>
      </c>
      <c r="AD382" s="96">
        <f>IF(R382=0,0,COUNTIFS('VÍNCULOS_CDF'!$R$6:$R$1005,A382,'VÍNCULOS_CDF'!$N$6:$N$1005,1))</f>
        <v>0</v>
      </c>
      <c r="AE382" s="96">
        <f>IF(R382=0,0,COUNTIFS('VÍNCULOS_CDF'!$R$6:$R$1005,A382,'VÍNCULOS_CDF'!$AA$6:$AA$1005,1))</f>
        <v>0</v>
      </c>
      <c r="AF382" s="96">
        <f>IF(R382=0,0,COUNTIFS('VÍNCULOS_CDF'!$R$6:$R$1005,A382,'VÍNCULOS_CDF'!$Y$6:$Y$1005,1))</f>
        <v>0</v>
      </c>
      <c r="AG382" s="96" t="str">
        <f>IF(AND(R382=1,S382&lt;&gt;"",C382&lt;&gt;""),S382&amp;"|"&amp;C382&amp;"|"&amp;G382&amp;"|"&amp;H382,"")</f>
        <v/>
      </c>
      <c r="AH382" s="96">
        <f>IF(AG382="",0,IF(SUMPRODUCT(--($AG$6:$AG$1005=AG382))&gt;1,1,0))</f>
        <v>0</v>
      </c>
      <c r="AI382" s="96">
        <f>IF(R382=0,0,IF(OR(U382=0,V382=0,Y382=0,AND(AH382=1,K382&lt;&gt;"Sim")),1,0))</f>
        <v>0</v>
      </c>
      <c r="AJ382" s="96">
        <f>IF(AND(R382=1,AA382&gt;0,AB382=AA382),1,0)</f>
        <v>0</v>
      </c>
      <c r="AK382" s="96">
        <f>IF(R382=0,0,IF(AA382&gt;0,N(L382),IF(ISNUMBER(I382),I382,0)))</f>
        <v>0</v>
      </c>
      <c r="AL382" s="96">
        <f>IF(R382=0,0,IF(AND(K382&lt;&gt;"Sim",N(M382)&gt;AK382+cfg_tol),1,0))</f>
        <v>0</v>
      </c>
      <c r="AM382" s="96">
        <f>IF(R382=0,0,IF(K382="Sim",0,IF(OR(AND(AA382&gt;0,ISNUMBER(I382),ABS(I382-N(L382))&gt;cfg_tol),AL382=1),1,0)))</f>
        <v>0</v>
      </c>
      <c r="AN382" s="96">
        <f>IF(AND(R382=1,N(M382)&gt;0,OR(N(M382)&gt;=AK382-cfg_tol,K382="Sim")),1,0)</f>
        <v>0</v>
      </c>
      <c r="AO382" s="96">
        <f>IF(AND(AN382=1,AD382&gt;0,AE382=AD382,AL382=0),1,0)</f>
        <v>0</v>
      </c>
      <c r="AP382" s="96">
        <f>IF(U382=0,0,IF(AND(INDEX('MTRs'!$AX$6:$AX$505,T382)=1,Z382=0,OR(f_res="",f_res="(Todos)",C382=f_res)),1,0))</f>
        <v>0</v>
      </c>
      <c r="AQ382" s="97" t="str">
        <f>IF(U382=0,"",INDEX('MTRs'!$AZ$6:$AZ$505,T382))</f>
        <v/>
      </c>
      <c r="AR382" s="96">
        <f>IF(U382=0,0,IF(AND(INDEX('MTRs'!$BA$6:$BA$505,T382)=1,Z382=0),1,0))</f>
        <v>0</v>
      </c>
      <c r="AS382" s="96" t="str">
        <f>IF(R382=1,A382&amp;" | MTR "&amp;IF(U382=1,INDEX('MTRs'!$B$6:$B$505,T382)&amp;"","?")&amp;" | "&amp;IF(C382="","(sem resíduo)",C382),"")</f>
        <v/>
      </c>
      <c r="AT382" s="96" t="str">
        <f>IF(R382=1,COUNTIF($R$6:R382,1),"")</f>
        <v/>
      </c>
      <c r="AU382" s="96" t="str">
        <f>IF(U382=1,INDEX('MTRs'!$I$6:$I$505,T382)&amp;"","")</f>
        <v/>
      </c>
    </row>
    <row r="383">
      <c r="A383" s="89" t="inlineStr">
        <is>
          <t>IT-000378</t>
        </is>
      </c>
      <c r="B383" s="91" t="n"/>
      <c r="C383" s="91" t="n"/>
      <c r="D383" s="94" t="str">
        <f>IF(OR(R383=0,V383=0),"",INDEX('CAD_RESÍDUOS'!$E$6:$E$205,MATCH(C383,'CAD_RESÍDUOS'!$B$6:$B$205,0))&amp;"")</f>
        <v/>
      </c>
      <c r="E383" s="94" t="str">
        <f>IF(OR(R383=0,V383=0),"",INDEX('CAD_RESÍDUOS'!$C$6:$C$205,MATCH(C383,'CAD_RESÍDUOS'!$B$6:$B$205,0))&amp;"")</f>
        <v/>
      </c>
      <c r="F383" s="94" t="str">
        <f>IF(OR(R383=0,V383=0),"",INDEX('CAD_RESÍDUOS'!$G$6:$G$205,MATCH(C383,'CAD_RESÍDUOS'!$B$6:$B$205,0))&amp;"")</f>
        <v/>
      </c>
      <c r="G383" s="98" t="n"/>
      <c r="H383" s="91" t="n"/>
      <c r="I383" s="93" t="str">
        <f>IF(R383=0,"",IF(NOT(ISNUMBER(G383)),"",IF(ISNUMBER(X383),G383*X383,"UNIDADE A CONFERIR")))</f>
        <v/>
      </c>
      <c r="J383" s="91" t="n"/>
      <c r="K383" s="91" t="n"/>
      <c r="L383" s="93" t="str">
        <f>IF(R383=0,"",SUMIFS('RECEBIMENTOS'!$H$6:$H$1005,'RECEBIMENTOS'!$R$6:$R$1005,A383,'RECEBIMENTOS'!$X$6:$X$1005,1))</f>
        <v/>
      </c>
      <c r="M383" s="93" t="str">
        <f>IF(R383=0,"",SUMIFS('VÍNCULOS_CDF'!$H$6:$H$1005,'VÍNCULOS_CDF'!$R$6:$R$1005,A383,'VÍNCULOS_CDF'!$V$6:$V$1005,1))</f>
        <v/>
      </c>
      <c r="N383" s="99" t="str">
        <f>IF(OR(R383=0,AA383=0,NOT(ISNUMBER(I383))),"",I383-N(L383))</f>
        <v/>
      </c>
      <c r="O383" s="100" t="str">
        <f>IF(OR(R383=0,AK383&lt;=0),"",N(M383)/AK383)</f>
        <v/>
      </c>
      <c r="P383" s="94" t="str">
        <f>IF(R383=0,"",IF(S383="","Sem MTR associado",IF(U383=0,"MTR inexistente",IF(C383="","Resíduo não identificado",IF(V383=0,"Resíduo fora do cadastro",IF(W383=0,"Quantidade inválida",IF(H383="","Unidade não informada",IF(NOT(ISNUMBER(I383)),"Unidade a conferir",IF(AND(AH383=1,K383&lt;&gt;"Sim"),"Possível duplicidade",IF(Z383=1,"MTR cancelado",IF(AC383&gt;0,"Recebimento com alerta",IF(AA383=0,"Aguardando recebimento",IF(AB383&lt;AA383,"Recebimento a conferir",IF(AM383=1,"Quantidade a revisar",IF(AF383&gt;0,"Vínculo a revisar",IF(AD383=0,"Aguardando CDF",IF(AN383=0,"Vínculo de CDF parcial",IF(AE383&lt;AD383,"CDF a conferir","Documentação conferida"))))))))))))))))))</f>
        <v/>
      </c>
      <c r="Q383" s="93" t="str">
        <f>IF(OR(R383=0,AA383=0),"",MAX(0,N(L383)-N(M383)))</f>
        <v/>
      </c>
      <c r="R383" s="96">
        <f>IF(COUNTA(B383:C383,G383:H383,J383:K383)&gt;0,1,0)</f>
        <v>0</v>
      </c>
      <c r="S383" s="96" t="str">
        <f>IF(B383="","",TRIM(LEFT(B383,FIND(" |",B383&amp;" |")-1)))</f>
        <v/>
      </c>
      <c r="T383" s="96" t="str">
        <f>IF(S383="","",IFERROR(MATCH(S383,'MTRs'!$A$6:$A$505,0),""))</f>
        <v/>
      </c>
      <c r="U383" s="96">
        <f>IF(T383="",0,IF(INDEX('MTRs'!$Z$6:$Z$505,T383)=1,1,0))</f>
        <v>0</v>
      </c>
      <c r="V383" s="96">
        <f>IF(C383="",0,IF(ISNUMBER(MATCH(C383,'CAD_RESÍDUOS'!$B$6:$B$205,0)),1,0))</f>
        <v>0</v>
      </c>
      <c r="W383" s="96">
        <f>IF(AND(ISNUMBER(G383),G383&gt;0),1,0)</f>
        <v>0</v>
      </c>
      <c r="X383" s="96" t="str">
        <f>IF(H383="","",IFERROR(IF(ISNUMBER(INDEX(cfg_fac,MATCH(H383,cfg_units,0))),IF(INDEX(cfg_fac,MATCH(H383,cfg_units,0))&gt;0,INDEX(cfg_fac,MATCH(H383,cfg_units,0)),""),""),""))</f>
        <v/>
      </c>
      <c r="Y383" s="96">
        <f>IF(AND(W383=1,ISNUMBER(I383)),1,0)</f>
        <v>0</v>
      </c>
      <c r="Z383" s="96">
        <f>IF(U383=1,INDEX('MTRs'!$AA$6:$AA$505,T383),0)</f>
        <v>0</v>
      </c>
      <c r="AA383" s="96">
        <f>IF(R383=0,0,COUNTIFS('RECEBIMENTOS'!$R$6:$R$1005,A383,'RECEBIMENTOS'!$Q$6:$Q$1005,1))</f>
        <v>0</v>
      </c>
      <c r="AB383" s="96">
        <f>IF(R383=0,0,COUNTIFS('RECEBIMENTOS'!$R$6:$R$1005,A383,'RECEBIMENTOS'!$Z$6:$Z$1005,1))</f>
        <v>0</v>
      </c>
      <c r="AC383" s="96">
        <f>IF(R383=0,0,COUNTIFS('RECEBIMENTOS'!$R$6:$R$1005,A383,'RECEBIMENTOS'!$Y$6:$Y$1005,1))</f>
        <v>0</v>
      </c>
      <c r="AD383" s="96">
        <f>IF(R383=0,0,COUNTIFS('VÍNCULOS_CDF'!$R$6:$R$1005,A383,'VÍNCULOS_CDF'!$N$6:$N$1005,1))</f>
        <v>0</v>
      </c>
      <c r="AE383" s="96">
        <f>IF(R383=0,0,COUNTIFS('VÍNCULOS_CDF'!$R$6:$R$1005,A383,'VÍNCULOS_CDF'!$AA$6:$AA$1005,1))</f>
        <v>0</v>
      </c>
      <c r="AF383" s="96">
        <f>IF(R383=0,0,COUNTIFS('VÍNCULOS_CDF'!$R$6:$R$1005,A383,'VÍNCULOS_CDF'!$Y$6:$Y$1005,1))</f>
        <v>0</v>
      </c>
      <c r="AG383" s="96" t="str">
        <f>IF(AND(R383=1,S383&lt;&gt;"",C383&lt;&gt;""),S383&amp;"|"&amp;C383&amp;"|"&amp;G383&amp;"|"&amp;H383,"")</f>
        <v/>
      </c>
      <c r="AH383" s="96">
        <f>IF(AG383="",0,IF(SUMPRODUCT(--($AG$6:$AG$1005=AG383))&gt;1,1,0))</f>
        <v>0</v>
      </c>
      <c r="AI383" s="96">
        <f>IF(R383=0,0,IF(OR(U383=0,V383=0,Y383=0,AND(AH383=1,K383&lt;&gt;"Sim")),1,0))</f>
        <v>0</v>
      </c>
      <c r="AJ383" s="96">
        <f>IF(AND(R383=1,AA383&gt;0,AB383=AA383),1,0)</f>
        <v>0</v>
      </c>
      <c r="AK383" s="96">
        <f>IF(R383=0,0,IF(AA383&gt;0,N(L383),IF(ISNUMBER(I383),I383,0)))</f>
        <v>0</v>
      </c>
      <c r="AL383" s="96">
        <f>IF(R383=0,0,IF(AND(K383&lt;&gt;"Sim",N(M383)&gt;AK383+cfg_tol),1,0))</f>
        <v>0</v>
      </c>
      <c r="AM383" s="96">
        <f>IF(R383=0,0,IF(K383="Sim",0,IF(OR(AND(AA383&gt;0,ISNUMBER(I383),ABS(I383-N(L383))&gt;cfg_tol),AL383=1),1,0)))</f>
        <v>0</v>
      </c>
      <c r="AN383" s="96">
        <f>IF(AND(R383=1,N(M383)&gt;0,OR(N(M383)&gt;=AK383-cfg_tol,K383="Sim")),1,0)</f>
        <v>0</v>
      </c>
      <c r="AO383" s="96">
        <f>IF(AND(AN383=1,AD383&gt;0,AE383=AD383,AL383=0),1,0)</f>
        <v>0</v>
      </c>
      <c r="AP383" s="96">
        <f>IF(U383=0,0,IF(AND(INDEX('MTRs'!$AX$6:$AX$505,T383)=1,Z383=0,OR(f_res="",f_res="(Todos)",C383=f_res)),1,0))</f>
        <v>0</v>
      </c>
      <c r="AQ383" s="97" t="str">
        <f>IF(U383=0,"",INDEX('MTRs'!$AZ$6:$AZ$505,T383))</f>
        <v/>
      </c>
      <c r="AR383" s="96">
        <f>IF(U383=0,0,IF(AND(INDEX('MTRs'!$BA$6:$BA$505,T383)=1,Z383=0),1,0))</f>
        <v>0</v>
      </c>
      <c r="AS383" s="96" t="str">
        <f>IF(R383=1,A383&amp;" | MTR "&amp;IF(U383=1,INDEX('MTRs'!$B$6:$B$505,T383)&amp;"","?")&amp;" | "&amp;IF(C383="","(sem resíduo)",C383),"")</f>
        <v/>
      </c>
      <c r="AT383" s="96" t="str">
        <f>IF(R383=1,COUNTIF($R$6:R383,1),"")</f>
        <v/>
      </c>
      <c r="AU383" s="96" t="str">
        <f>IF(U383=1,INDEX('MTRs'!$I$6:$I$505,T383)&amp;"","")</f>
        <v/>
      </c>
    </row>
    <row r="384">
      <c r="A384" s="89" t="inlineStr">
        <is>
          <t>IT-000379</t>
        </is>
      </c>
      <c r="B384" s="91" t="n"/>
      <c r="C384" s="91" t="n"/>
      <c r="D384" s="94" t="str">
        <f>IF(OR(R384=0,V384=0),"",INDEX('CAD_RESÍDUOS'!$E$6:$E$205,MATCH(C384,'CAD_RESÍDUOS'!$B$6:$B$205,0))&amp;"")</f>
        <v/>
      </c>
      <c r="E384" s="94" t="str">
        <f>IF(OR(R384=0,V384=0),"",INDEX('CAD_RESÍDUOS'!$C$6:$C$205,MATCH(C384,'CAD_RESÍDUOS'!$B$6:$B$205,0))&amp;"")</f>
        <v/>
      </c>
      <c r="F384" s="94" t="str">
        <f>IF(OR(R384=0,V384=0),"",INDEX('CAD_RESÍDUOS'!$G$6:$G$205,MATCH(C384,'CAD_RESÍDUOS'!$B$6:$B$205,0))&amp;"")</f>
        <v/>
      </c>
      <c r="G384" s="98" t="n"/>
      <c r="H384" s="91" t="n"/>
      <c r="I384" s="93" t="str">
        <f>IF(R384=0,"",IF(NOT(ISNUMBER(G384)),"",IF(ISNUMBER(X384),G384*X384,"UNIDADE A CONFERIR")))</f>
        <v/>
      </c>
      <c r="J384" s="91" t="n"/>
      <c r="K384" s="91" t="n"/>
      <c r="L384" s="93" t="str">
        <f>IF(R384=0,"",SUMIFS('RECEBIMENTOS'!$H$6:$H$1005,'RECEBIMENTOS'!$R$6:$R$1005,A384,'RECEBIMENTOS'!$X$6:$X$1005,1))</f>
        <v/>
      </c>
      <c r="M384" s="93" t="str">
        <f>IF(R384=0,"",SUMIFS('VÍNCULOS_CDF'!$H$6:$H$1005,'VÍNCULOS_CDF'!$R$6:$R$1005,A384,'VÍNCULOS_CDF'!$V$6:$V$1005,1))</f>
        <v/>
      </c>
      <c r="N384" s="99" t="str">
        <f>IF(OR(R384=0,AA384=0,NOT(ISNUMBER(I384))),"",I384-N(L384))</f>
        <v/>
      </c>
      <c r="O384" s="100" t="str">
        <f>IF(OR(R384=0,AK384&lt;=0),"",N(M384)/AK384)</f>
        <v/>
      </c>
      <c r="P384" s="94" t="str">
        <f>IF(R384=0,"",IF(S384="","Sem MTR associado",IF(U384=0,"MTR inexistente",IF(C384="","Resíduo não identificado",IF(V384=0,"Resíduo fora do cadastro",IF(W384=0,"Quantidade inválida",IF(H384="","Unidade não informada",IF(NOT(ISNUMBER(I384)),"Unidade a conferir",IF(AND(AH384=1,K384&lt;&gt;"Sim"),"Possível duplicidade",IF(Z384=1,"MTR cancelado",IF(AC384&gt;0,"Recebimento com alerta",IF(AA384=0,"Aguardando recebimento",IF(AB384&lt;AA384,"Recebimento a conferir",IF(AM384=1,"Quantidade a revisar",IF(AF384&gt;0,"Vínculo a revisar",IF(AD384=0,"Aguardando CDF",IF(AN384=0,"Vínculo de CDF parcial",IF(AE384&lt;AD384,"CDF a conferir","Documentação conferida"))))))))))))))))))</f>
        <v/>
      </c>
      <c r="Q384" s="93" t="str">
        <f>IF(OR(R384=0,AA384=0),"",MAX(0,N(L384)-N(M384)))</f>
        <v/>
      </c>
      <c r="R384" s="96">
        <f>IF(COUNTA(B384:C384,G384:H384,J384:K384)&gt;0,1,0)</f>
        <v>0</v>
      </c>
      <c r="S384" s="96" t="str">
        <f>IF(B384="","",TRIM(LEFT(B384,FIND(" |",B384&amp;" |")-1)))</f>
        <v/>
      </c>
      <c r="T384" s="96" t="str">
        <f>IF(S384="","",IFERROR(MATCH(S384,'MTRs'!$A$6:$A$505,0),""))</f>
        <v/>
      </c>
      <c r="U384" s="96">
        <f>IF(T384="",0,IF(INDEX('MTRs'!$Z$6:$Z$505,T384)=1,1,0))</f>
        <v>0</v>
      </c>
      <c r="V384" s="96">
        <f>IF(C384="",0,IF(ISNUMBER(MATCH(C384,'CAD_RESÍDUOS'!$B$6:$B$205,0)),1,0))</f>
        <v>0</v>
      </c>
      <c r="W384" s="96">
        <f>IF(AND(ISNUMBER(G384),G384&gt;0),1,0)</f>
        <v>0</v>
      </c>
      <c r="X384" s="96" t="str">
        <f>IF(H384="","",IFERROR(IF(ISNUMBER(INDEX(cfg_fac,MATCH(H384,cfg_units,0))),IF(INDEX(cfg_fac,MATCH(H384,cfg_units,0))&gt;0,INDEX(cfg_fac,MATCH(H384,cfg_units,0)),""),""),""))</f>
        <v/>
      </c>
      <c r="Y384" s="96">
        <f>IF(AND(W384=1,ISNUMBER(I384)),1,0)</f>
        <v>0</v>
      </c>
      <c r="Z384" s="96">
        <f>IF(U384=1,INDEX('MTRs'!$AA$6:$AA$505,T384),0)</f>
        <v>0</v>
      </c>
      <c r="AA384" s="96">
        <f>IF(R384=0,0,COUNTIFS('RECEBIMENTOS'!$R$6:$R$1005,A384,'RECEBIMENTOS'!$Q$6:$Q$1005,1))</f>
        <v>0</v>
      </c>
      <c r="AB384" s="96">
        <f>IF(R384=0,0,COUNTIFS('RECEBIMENTOS'!$R$6:$R$1005,A384,'RECEBIMENTOS'!$Z$6:$Z$1005,1))</f>
        <v>0</v>
      </c>
      <c r="AC384" s="96">
        <f>IF(R384=0,0,COUNTIFS('RECEBIMENTOS'!$R$6:$R$1005,A384,'RECEBIMENTOS'!$Y$6:$Y$1005,1))</f>
        <v>0</v>
      </c>
      <c r="AD384" s="96">
        <f>IF(R384=0,0,COUNTIFS('VÍNCULOS_CDF'!$R$6:$R$1005,A384,'VÍNCULOS_CDF'!$N$6:$N$1005,1))</f>
        <v>0</v>
      </c>
      <c r="AE384" s="96">
        <f>IF(R384=0,0,COUNTIFS('VÍNCULOS_CDF'!$R$6:$R$1005,A384,'VÍNCULOS_CDF'!$AA$6:$AA$1005,1))</f>
        <v>0</v>
      </c>
      <c r="AF384" s="96">
        <f>IF(R384=0,0,COUNTIFS('VÍNCULOS_CDF'!$R$6:$R$1005,A384,'VÍNCULOS_CDF'!$Y$6:$Y$1005,1))</f>
        <v>0</v>
      </c>
      <c r="AG384" s="96" t="str">
        <f>IF(AND(R384=1,S384&lt;&gt;"",C384&lt;&gt;""),S384&amp;"|"&amp;C384&amp;"|"&amp;G384&amp;"|"&amp;H384,"")</f>
        <v/>
      </c>
      <c r="AH384" s="96">
        <f>IF(AG384="",0,IF(SUMPRODUCT(--($AG$6:$AG$1005=AG384))&gt;1,1,0))</f>
        <v>0</v>
      </c>
      <c r="AI384" s="96">
        <f>IF(R384=0,0,IF(OR(U384=0,V384=0,Y384=0,AND(AH384=1,K384&lt;&gt;"Sim")),1,0))</f>
        <v>0</v>
      </c>
      <c r="AJ384" s="96">
        <f>IF(AND(R384=1,AA384&gt;0,AB384=AA384),1,0)</f>
        <v>0</v>
      </c>
      <c r="AK384" s="96">
        <f>IF(R384=0,0,IF(AA384&gt;0,N(L384),IF(ISNUMBER(I384),I384,0)))</f>
        <v>0</v>
      </c>
      <c r="AL384" s="96">
        <f>IF(R384=0,0,IF(AND(K384&lt;&gt;"Sim",N(M384)&gt;AK384+cfg_tol),1,0))</f>
        <v>0</v>
      </c>
      <c r="AM384" s="96">
        <f>IF(R384=0,0,IF(K384="Sim",0,IF(OR(AND(AA384&gt;0,ISNUMBER(I384),ABS(I384-N(L384))&gt;cfg_tol),AL384=1),1,0)))</f>
        <v>0</v>
      </c>
      <c r="AN384" s="96">
        <f>IF(AND(R384=1,N(M384)&gt;0,OR(N(M384)&gt;=AK384-cfg_tol,K384="Sim")),1,0)</f>
        <v>0</v>
      </c>
      <c r="AO384" s="96">
        <f>IF(AND(AN384=1,AD384&gt;0,AE384=AD384,AL384=0),1,0)</f>
        <v>0</v>
      </c>
      <c r="AP384" s="96">
        <f>IF(U384=0,0,IF(AND(INDEX('MTRs'!$AX$6:$AX$505,T384)=1,Z384=0,OR(f_res="",f_res="(Todos)",C384=f_res)),1,0))</f>
        <v>0</v>
      </c>
      <c r="AQ384" s="97" t="str">
        <f>IF(U384=0,"",INDEX('MTRs'!$AZ$6:$AZ$505,T384))</f>
        <v/>
      </c>
      <c r="AR384" s="96">
        <f>IF(U384=0,0,IF(AND(INDEX('MTRs'!$BA$6:$BA$505,T384)=1,Z384=0),1,0))</f>
        <v>0</v>
      </c>
      <c r="AS384" s="96" t="str">
        <f>IF(R384=1,A384&amp;" | MTR "&amp;IF(U384=1,INDEX('MTRs'!$B$6:$B$505,T384)&amp;"","?")&amp;" | "&amp;IF(C384="","(sem resíduo)",C384),"")</f>
        <v/>
      </c>
      <c r="AT384" s="96" t="str">
        <f>IF(R384=1,COUNTIF($R$6:R384,1),"")</f>
        <v/>
      </c>
      <c r="AU384" s="96" t="str">
        <f>IF(U384=1,INDEX('MTRs'!$I$6:$I$505,T384)&amp;"","")</f>
        <v/>
      </c>
    </row>
    <row r="385">
      <c r="A385" s="89" t="inlineStr">
        <is>
          <t>IT-000380</t>
        </is>
      </c>
      <c r="B385" s="91" t="n"/>
      <c r="C385" s="91" t="n"/>
      <c r="D385" s="94" t="str">
        <f>IF(OR(R385=0,V385=0),"",INDEX('CAD_RESÍDUOS'!$E$6:$E$205,MATCH(C385,'CAD_RESÍDUOS'!$B$6:$B$205,0))&amp;"")</f>
        <v/>
      </c>
      <c r="E385" s="94" t="str">
        <f>IF(OR(R385=0,V385=0),"",INDEX('CAD_RESÍDUOS'!$C$6:$C$205,MATCH(C385,'CAD_RESÍDUOS'!$B$6:$B$205,0))&amp;"")</f>
        <v/>
      </c>
      <c r="F385" s="94" t="str">
        <f>IF(OR(R385=0,V385=0),"",INDEX('CAD_RESÍDUOS'!$G$6:$G$205,MATCH(C385,'CAD_RESÍDUOS'!$B$6:$B$205,0))&amp;"")</f>
        <v/>
      </c>
      <c r="G385" s="98" t="n"/>
      <c r="H385" s="91" t="n"/>
      <c r="I385" s="93" t="str">
        <f>IF(R385=0,"",IF(NOT(ISNUMBER(G385)),"",IF(ISNUMBER(X385),G385*X385,"UNIDADE A CONFERIR")))</f>
        <v/>
      </c>
      <c r="J385" s="91" t="n"/>
      <c r="K385" s="91" t="n"/>
      <c r="L385" s="93" t="str">
        <f>IF(R385=0,"",SUMIFS('RECEBIMENTOS'!$H$6:$H$1005,'RECEBIMENTOS'!$R$6:$R$1005,A385,'RECEBIMENTOS'!$X$6:$X$1005,1))</f>
        <v/>
      </c>
      <c r="M385" s="93" t="str">
        <f>IF(R385=0,"",SUMIFS('VÍNCULOS_CDF'!$H$6:$H$1005,'VÍNCULOS_CDF'!$R$6:$R$1005,A385,'VÍNCULOS_CDF'!$V$6:$V$1005,1))</f>
        <v/>
      </c>
      <c r="N385" s="99" t="str">
        <f>IF(OR(R385=0,AA385=0,NOT(ISNUMBER(I385))),"",I385-N(L385))</f>
        <v/>
      </c>
      <c r="O385" s="100" t="str">
        <f>IF(OR(R385=0,AK385&lt;=0),"",N(M385)/AK385)</f>
        <v/>
      </c>
      <c r="P385" s="94" t="str">
        <f>IF(R385=0,"",IF(S385="","Sem MTR associado",IF(U385=0,"MTR inexistente",IF(C385="","Resíduo não identificado",IF(V385=0,"Resíduo fora do cadastro",IF(W385=0,"Quantidade inválida",IF(H385="","Unidade não informada",IF(NOT(ISNUMBER(I385)),"Unidade a conferir",IF(AND(AH385=1,K385&lt;&gt;"Sim"),"Possível duplicidade",IF(Z385=1,"MTR cancelado",IF(AC385&gt;0,"Recebimento com alerta",IF(AA385=0,"Aguardando recebimento",IF(AB385&lt;AA385,"Recebimento a conferir",IF(AM385=1,"Quantidade a revisar",IF(AF385&gt;0,"Vínculo a revisar",IF(AD385=0,"Aguardando CDF",IF(AN385=0,"Vínculo de CDF parcial",IF(AE385&lt;AD385,"CDF a conferir","Documentação conferida"))))))))))))))))))</f>
        <v/>
      </c>
      <c r="Q385" s="93" t="str">
        <f>IF(OR(R385=0,AA385=0),"",MAX(0,N(L385)-N(M385)))</f>
        <v/>
      </c>
      <c r="R385" s="96">
        <f>IF(COUNTA(B385:C385,G385:H385,J385:K385)&gt;0,1,0)</f>
        <v>0</v>
      </c>
      <c r="S385" s="96" t="str">
        <f>IF(B385="","",TRIM(LEFT(B385,FIND(" |",B385&amp;" |")-1)))</f>
        <v/>
      </c>
      <c r="T385" s="96" t="str">
        <f>IF(S385="","",IFERROR(MATCH(S385,'MTRs'!$A$6:$A$505,0),""))</f>
        <v/>
      </c>
      <c r="U385" s="96">
        <f>IF(T385="",0,IF(INDEX('MTRs'!$Z$6:$Z$505,T385)=1,1,0))</f>
        <v>0</v>
      </c>
      <c r="V385" s="96">
        <f>IF(C385="",0,IF(ISNUMBER(MATCH(C385,'CAD_RESÍDUOS'!$B$6:$B$205,0)),1,0))</f>
        <v>0</v>
      </c>
      <c r="W385" s="96">
        <f>IF(AND(ISNUMBER(G385),G385&gt;0),1,0)</f>
        <v>0</v>
      </c>
      <c r="X385" s="96" t="str">
        <f>IF(H385="","",IFERROR(IF(ISNUMBER(INDEX(cfg_fac,MATCH(H385,cfg_units,0))),IF(INDEX(cfg_fac,MATCH(H385,cfg_units,0))&gt;0,INDEX(cfg_fac,MATCH(H385,cfg_units,0)),""),""),""))</f>
        <v/>
      </c>
      <c r="Y385" s="96">
        <f>IF(AND(W385=1,ISNUMBER(I385)),1,0)</f>
        <v>0</v>
      </c>
      <c r="Z385" s="96">
        <f>IF(U385=1,INDEX('MTRs'!$AA$6:$AA$505,T385),0)</f>
        <v>0</v>
      </c>
      <c r="AA385" s="96">
        <f>IF(R385=0,0,COUNTIFS('RECEBIMENTOS'!$R$6:$R$1005,A385,'RECEBIMENTOS'!$Q$6:$Q$1005,1))</f>
        <v>0</v>
      </c>
      <c r="AB385" s="96">
        <f>IF(R385=0,0,COUNTIFS('RECEBIMENTOS'!$R$6:$R$1005,A385,'RECEBIMENTOS'!$Z$6:$Z$1005,1))</f>
        <v>0</v>
      </c>
      <c r="AC385" s="96">
        <f>IF(R385=0,0,COUNTIFS('RECEBIMENTOS'!$R$6:$R$1005,A385,'RECEBIMENTOS'!$Y$6:$Y$1005,1))</f>
        <v>0</v>
      </c>
      <c r="AD385" s="96">
        <f>IF(R385=0,0,COUNTIFS('VÍNCULOS_CDF'!$R$6:$R$1005,A385,'VÍNCULOS_CDF'!$N$6:$N$1005,1))</f>
        <v>0</v>
      </c>
      <c r="AE385" s="96">
        <f>IF(R385=0,0,COUNTIFS('VÍNCULOS_CDF'!$R$6:$R$1005,A385,'VÍNCULOS_CDF'!$AA$6:$AA$1005,1))</f>
        <v>0</v>
      </c>
      <c r="AF385" s="96">
        <f>IF(R385=0,0,COUNTIFS('VÍNCULOS_CDF'!$R$6:$R$1005,A385,'VÍNCULOS_CDF'!$Y$6:$Y$1005,1))</f>
        <v>0</v>
      </c>
      <c r="AG385" s="96" t="str">
        <f>IF(AND(R385=1,S385&lt;&gt;"",C385&lt;&gt;""),S385&amp;"|"&amp;C385&amp;"|"&amp;G385&amp;"|"&amp;H385,"")</f>
        <v/>
      </c>
      <c r="AH385" s="96">
        <f>IF(AG385="",0,IF(SUMPRODUCT(--($AG$6:$AG$1005=AG385))&gt;1,1,0))</f>
        <v>0</v>
      </c>
      <c r="AI385" s="96">
        <f>IF(R385=0,0,IF(OR(U385=0,V385=0,Y385=0,AND(AH385=1,K385&lt;&gt;"Sim")),1,0))</f>
        <v>0</v>
      </c>
      <c r="AJ385" s="96">
        <f>IF(AND(R385=1,AA385&gt;0,AB385=AA385),1,0)</f>
        <v>0</v>
      </c>
      <c r="AK385" s="96">
        <f>IF(R385=0,0,IF(AA385&gt;0,N(L385),IF(ISNUMBER(I385),I385,0)))</f>
        <v>0</v>
      </c>
      <c r="AL385" s="96">
        <f>IF(R385=0,0,IF(AND(K385&lt;&gt;"Sim",N(M385)&gt;AK385+cfg_tol),1,0))</f>
        <v>0</v>
      </c>
      <c r="AM385" s="96">
        <f>IF(R385=0,0,IF(K385="Sim",0,IF(OR(AND(AA385&gt;0,ISNUMBER(I385),ABS(I385-N(L385))&gt;cfg_tol),AL385=1),1,0)))</f>
        <v>0</v>
      </c>
      <c r="AN385" s="96">
        <f>IF(AND(R385=1,N(M385)&gt;0,OR(N(M385)&gt;=AK385-cfg_tol,K385="Sim")),1,0)</f>
        <v>0</v>
      </c>
      <c r="AO385" s="96">
        <f>IF(AND(AN385=1,AD385&gt;0,AE385=AD385,AL385=0),1,0)</f>
        <v>0</v>
      </c>
      <c r="AP385" s="96">
        <f>IF(U385=0,0,IF(AND(INDEX('MTRs'!$AX$6:$AX$505,T385)=1,Z385=0,OR(f_res="",f_res="(Todos)",C385=f_res)),1,0))</f>
        <v>0</v>
      </c>
      <c r="AQ385" s="97" t="str">
        <f>IF(U385=0,"",INDEX('MTRs'!$AZ$6:$AZ$505,T385))</f>
        <v/>
      </c>
      <c r="AR385" s="96">
        <f>IF(U385=0,0,IF(AND(INDEX('MTRs'!$BA$6:$BA$505,T385)=1,Z385=0),1,0))</f>
        <v>0</v>
      </c>
      <c r="AS385" s="96" t="str">
        <f>IF(R385=1,A385&amp;" | MTR "&amp;IF(U385=1,INDEX('MTRs'!$B$6:$B$505,T385)&amp;"","?")&amp;" | "&amp;IF(C385="","(sem resíduo)",C385),"")</f>
        <v/>
      </c>
      <c r="AT385" s="96" t="str">
        <f>IF(R385=1,COUNTIF($R$6:R385,1),"")</f>
        <v/>
      </c>
      <c r="AU385" s="96" t="str">
        <f>IF(U385=1,INDEX('MTRs'!$I$6:$I$505,T385)&amp;"","")</f>
        <v/>
      </c>
    </row>
    <row r="386">
      <c r="A386" s="89" t="inlineStr">
        <is>
          <t>IT-000381</t>
        </is>
      </c>
      <c r="B386" s="91" t="n"/>
      <c r="C386" s="91" t="n"/>
      <c r="D386" s="94" t="str">
        <f>IF(OR(R386=0,V386=0),"",INDEX('CAD_RESÍDUOS'!$E$6:$E$205,MATCH(C386,'CAD_RESÍDUOS'!$B$6:$B$205,0))&amp;"")</f>
        <v/>
      </c>
      <c r="E386" s="94" t="str">
        <f>IF(OR(R386=0,V386=0),"",INDEX('CAD_RESÍDUOS'!$C$6:$C$205,MATCH(C386,'CAD_RESÍDUOS'!$B$6:$B$205,0))&amp;"")</f>
        <v/>
      </c>
      <c r="F386" s="94" t="str">
        <f>IF(OR(R386=0,V386=0),"",INDEX('CAD_RESÍDUOS'!$G$6:$G$205,MATCH(C386,'CAD_RESÍDUOS'!$B$6:$B$205,0))&amp;"")</f>
        <v/>
      </c>
      <c r="G386" s="98" t="n"/>
      <c r="H386" s="91" t="n"/>
      <c r="I386" s="93" t="str">
        <f>IF(R386=0,"",IF(NOT(ISNUMBER(G386)),"",IF(ISNUMBER(X386),G386*X386,"UNIDADE A CONFERIR")))</f>
        <v/>
      </c>
      <c r="J386" s="91" t="n"/>
      <c r="K386" s="91" t="n"/>
      <c r="L386" s="93" t="str">
        <f>IF(R386=0,"",SUMIFS('RECEBIMENTOS'!$H$6:$H$1005,'RECEBIMENTOS'!$R$6:$R$1005,A386,'RECEBIMENTOS'!$X$6:$X$1005,1))</f>
        <v/>
      </c>
      <c r="M386" s="93" t="str">
        <f>IF(R386=0,"",SUMIFS('VÍNCULOS_CDF'!$H$6:$H$1005,'VÍNCULOS_CDF'!$R$6:$R$1005,A386,'VÍNCULOS_CDF'!$V$6:$V$1005,1))</f>
        <v/>
      </c>
      <c r="N386" s="99" t="str">
        <f>IF(OR(R386=0,AA386=0,NOT(ISNUMBER(I386))),"",I386-N(L386))</f>
        <v/>
      </c>
      <c r="O386" s="100" t="str">
        <f>IF(OR(R386=0,AK386&lt;=0),"",N(M386)/AK386)</f>
        <v/>
      </c>
      <c r="P386" s="94" t="str">
        <f>IF(R386=0,"",IF(S386="","Sem MTR associado",IF(U386=0,"MTR inexistente",IF(C386="","Resíduo não identificado",IF(V386=0,"Resíduo fora do cadastro",IF(W386=0,"Quantidade inválida",IF(H386="","Unidade não informada",IF(NOT(ISNUMBER(I386)),"Unidade a conferir",IF(AND(AH386=1,K386&lt;&gt;"Sim"),"Possível duplicidade",IF(Z386=1,"MTR cancelado",IF(AC386&gt;0,"Recebimento com alerta",IF(AA386=0,"Aguardando recebimento",IF(AB386&lt;AA386,"Recebimento a conferir",IF(AM386=1,"Quantidade a revisar",IF(AF386&gt;0,"Vínculo a revisar",IF(AD386=0,"Aguardando CDF",IF(AN386=0,"Vínculo de CDF parcial",IF(AE386&lt;AD386,"CDF a conferir","Documentação conferida"))))))))))))))))))</f>
        <v/>
      </c>
      <c r="Q386" s="93" t="str">
        <f>IF(OR(R386=0,AA386=0),"",MAX(0,N(L386)-N(M386)))</f>
        <v/>
      </c>
      <c r="R386" s="96">
        <f>IF(COUNTA(B386:C386,G386:H386,J386:K386)&gt;0,1,0)</f>
        <v>0</v>
      </c>
      <c r="S386" s="96" t="str">
        <f>IF(B386="","",TRIM(LEFT(B386,FIND(" |",B386&amp;" |")-1)))</f>
        <v/>
      </c>
      <c r="T386" s="96" t="str">
        <f>IF(S386="","",IFERROR(MATCH(S386,'MTRs'!$A$6:$A$505,0),""))</f>
        <v/>
      </c>
      <c r="U386" s="96">
        <f>IF(T386="",0,IF(INDEX('MTRs'!$Z$6:$Z$505,T386)=1,1,0))</f>
        <v>0</v>
      </c>
      <c r="V386" s="96">
        <f>IF(C386="",0,IF(ISNUMBER(MATCH(C386,'CAD_RESÍDUOS'!$B$6:$B$205,0)),1,0))</f>
        <v>0</v>
      </c>
      <c r="W386" s="96">
        <f>IF(AND(ISNUMBER(G386),G386&gt;0),1,0)</f>
        <v>0</v>
      </c>
      <c r="X386" s="96" t="str">
        <f>IF(H386="","",IFERROR(IF(ISNUMBER(INDEX(cfg_fac,MATCH(H386,cfg_units,0))),IF(INDEX(cfg_fac,MATCH(H386,cfg_units,0))&gt;0,INDEX(cfg_fac,MATCH(H386,cfg_units,0)),""),""),""))</f>
        <v/>
      </c>
      <c r="Y386" s="96">
        <f>IF(AND(W386=1,ISNUMBER(I386)),1,0)</f>
        <v>0</v>
      </c>
      <c r="Z386" s="96">
        <f>IF(U386=1,INDEX('MTRs'!$AA$6:$AA$505,T386),0)</f>
        <v>0</v>
      </c>
      <c r="AA386" s="96">
        <f>IF(R386=0,0,COUNTIFS('RECEBIMENTOS'!$R$6:$R$1005,A386,'RECEBIMENTOS'!$Q$6:$Q$1005,1))</f>
        <v>0</v>
      </c>
      <c r="AB386" s="96">
        <f>IF(R386=0,0,COUNTIFS('RECEBIMENTOS'!$R$6:$R$1005,A386,'RECEBIMENTOS'!$Z$6:$Z$1005,1))</f>
        <v>0</v>
      </c>
      <c r="AC386" s="96">
        <f>IF(R386=0,0,COUNTIFS('RECEBIMENTOS'!$R$6:$R$1005,A386,'RECEBIMENTOS'!$Y$6:$Y$1005,1))</f>
        <v>0</v>
      </c>
      <c r="AD386" s="96">
        <f>IF(R386=0,0,COUNTIFS('VÍNCULOS_CDF'!$R$6:$R$1005,A386,'VÍNCULOS_CDF'!$N$6:$N$1005,1))</f>
        <v>0</v>
      </c>
      <c r="AE386" s="96">
        <f>IF(R386=0,0,COUNTIFS('VÍNCULOS_CDF'!$R$6:$R$1005,A386,'VÍNCULOS_CDF'!$AA$6:$AA$1005,1))</f>
        <v>0</v>
      </c>
      <c r="AF386" s="96">
        <f>IF(R386=0,0,COUNTIFS('VÍNCULOS_CDF'!$R$6:$R$1005,A386,'VÍNCULOS_CDF'!$Y$6:$Y$1005,1))</f>
        <v>0</v>
      </c>
      <c r="AG386" s="96" t="str">
        <f>IF(AND(R386=1,S386&lt;&gt;"",C386&lt;&gt;""),S386&amp;"|"&amp;C386&amp;"|"&amp;G386&amp;"|"&amp;H386,"")</f>
        <v/>
      </c>
      <c r="AH386" s="96">
        <f>IF(AG386="",0,IF(SUMPRODUCT(--($AG$6:$AG$1005=AG386))&gt;1,1,0))</f>
        <v>0</v>
      </c>
      <c r="AI386" s="96">
        <f>IF(R386=0,0,IF(OR(U386=0,V386=0,Y386=0,AND(AH386=1,K386&lt;&gt;"Sim")),1,0))</f>
        <v>0</v>
      </c>
      <c r="AJ386" s="96">
        <f>IF(AND(R386=1,AA386&gt;0,AB386=AA386),1,0)</f>
        <v>0</v>
      </c>
      <c r="AK386" s="96">
        <f>IF(R386=0,0,IF(AA386&gt;0,N(L386),IF(ISNUMBER(I386),I386,0)))</f>
        <v>0</v>
      </c>
      <c r="AL386" s="96">
        <f>IF(R386=0,0,IF(AND(K386&lt;&gt;"Sim",N(M386)&gt;AK386+cfg_tol),1,0))</f>
        <v>0</v>
      </c>
      <c r="AM386" s="96">
        <f>IF(R386=0,0,IF(K386="Sim",0,IF(OR(AND(AA386&gt;0,ISNUMBER(I386),ABS(I386-N(L386))&gt;cfg_tol),AL386=1),1,0)))</f>
        <v>0</v>
      </c>
      <c r="AN386" s="96">
        <f>IF(AND(R386=1,N(M386)&gt;0,OR(N(M386)&gt;=AK386-cfg_tol,K386="Sim")),1,0)</f>
        <v>0</v>
      </c>
      <c r="AO386" s="96">
        <f>IF(AND(AN386=1,AD386&gt;0,AE386=AD386,AL386=0),1,0)</f>
        <v>0</v>
      </c>
      <c r="AP386" s="96">
        <f>IF(U386=0,0,IF(AND(INDEX('MTRs'!$AX$6:$AX$505,T386)=1,Z386=0,OR(f_res="",f_res="(Todos)",C386=f_res)),1,0))</f>
        <v>0</v>
      </c>
      <c r="AQ386" s="97" t="str">
        <f>IF(U386=0,"",INDEX('MTRs'!$AZ$6:$AZ$505,T386))</f>
        <v/>
      </c>
      <c r="AR386" s="96">
        <f>IF(U386=0,0,IF(AND(INDEX('MTRs'!$BA$6:$BA$505,T386)=1,Z386=0),1,0))</f>
        <v>0</v>
      </c>
      <c r="AS386" s="96" t="str">
        <f>IF(R386=1,A386&amp;" | MTR "&amp;IF(U386=1,INDEX('MTRs'!$B$6:$B$505,T386)&amp;"","?")&amp;" | "&amp;IF(C386="","(sem resíduo)",C386),"")</f>
        <v/>
      </c>
      <c r="AT386" s="96" t="str">
        <f>IF(R386=1,COUNTIF($R$6:R386,1),"")</f>
        <v/>
      </c>
      <c r="AU386" s="96" t="str">
        <f>IF(U386=1,INDEX('MTRs'!$I$6:$I$505,T386)&amp;"","")</f>
        <v/>
      </c>
    </row>
    <row r="387">
      <c r="A387" s="89" t="inlineStr">
        <is>
          <t>IT-000382</t>
        </is>
      </c>
      <c r="B387" s="91" t="n"/>
      <c r="C387" s="91" t="n"/>
      <c r="D387" s="94" t="str">
        <f>IF(OR(R387=0,V387=0),"",INDEX('CAD_RESÍDUOS'!$E$6:$E$205,MATCH(C387,'CAD_RESÍDUOS'!$B$6:$B$205,0))&amp;"")</f>
        <v/>
      </c>
      <c r="E387" s="94" t="str">
        <f>IF(OR(R387=0,V387=0),"",INDEX('CAD_RESÍDUOS'!$C$6:$C$205,MATCH(C387,'CAD_RESÍDUOS'!$B$6:$B$205,0))&amp;"")</f>
        <v/>
      </c>
      <c r="F387" s="94" t="str">
        <f>IF(OR(R387=0,V387=0),"",INDEX('CAD_RESÍDUOS'!$G$6:$G$205,MATCH(C387,'CAD_RESÍDUOS'!$B$6:$B$205,0))&amp;"")</f>
        <v/>
      </c>
      <c r="G387" s="98" t="n"/>
      <c r="H387" s="91" t="n"/>
      <c r="I387" s="93" t="str">
        <f>IF(R387=0,"",IF(NOT(ISNUMBER(G387)),"",IF(ISNUMBER(X387),G387*X387,"UNIDADE A CONFERIR")))</f>
        <v/>
      </c>
      <c r="J387" s="91" t="n"/>
      <c r="K387" s="91" t="n"/>
      <c r="L387" s="93" t="str">
        <f>IF(R387=0,"",SUMIFS('RECEBIMENTOS'!$H$6:$H$1005,'RECEBIMENTOS'!$R$6:$R$1005,A387,'RECEBIMENTOS'!$X$6:$X$1005,1))</f>
        <v/>
      </c>
      <c r="M387" s="93" t="str">
        <f>IF(R387=0,"",SUMIFS('VÍNCULOS_CDF'!$H$6:$H$1005,'VÍNCULOS_CDF'!$R$6:$R$1005,A387,'VÍNCULOS_CDF'!$V$6:$V$1005,1))</f>
        <v/>
      </c>
      <c r="N387" s="99" t="str">
        <f>IF(OR(R387=0,AA387=0,NOT(ISNUMBER(I387))),"",I387-N(L387))</f>
        <v/>
      </c>
      <c r="O387" s="100" t="str">
        <f>IF(OR(R387=0,AK387&lt;=0),"",N(M387)/AK387)</f>
        <v/>
      </c>
      <c r="P387" s="94" t="str">
        <f>IF(R387=0,"",IF(S387="","Sem MTR associado",IF(U387=0,"MTR inexistente",IF(C387="","Resíduo não identificado",IF(V387=0,"Resíduo fora do cadastro",IF(W387=0,"Quantidade inválida",IF(H387="","Unidade não informada",IF(NOT(ISNUMBER(I387)),"Unidade a conferir",IF(AND(AH387=1,K387&lt;&gt;"Sim"),"Possível duplicidade",IF(Z387=1,"MTR cancelado",IF(AC387&gt;0,"Recebimento com alerta",IF(AA387=0,"Aguardando recebimento",IF(AB387&lt;AA387,"Recebimento a conferir",IF(AM387=1,"Quantidade a revisar",IF(AF387&gt;0,"Vínculo a revisar",IF(AD387=0,"Aguardando CDF",IF(AN387=0,"Vínculo de CDF parcial",IF(AE387&lt;AD387,"CDF a conferir","Documentação conferida"))))))))))))))))))</f>
        <v/>
      </c>
      <c r="Q387" s="93" t="str">
        <f>IF(OR(R387=0,AA387=0),"",MAX(0,N(L387)-N(M387)))</f>
        <v/>
      </c>
      <c r="R387" s="96">
        <f>IF(COUNTA(B387:C387,G387:H387,J387:K387)&gt;0,1,0)</f>
        <v>0</v>
      </c>
      <c r="S387" s="96" t="str">
        <f>IF(B387="","",TRIM(LEFT(B387,FIND(" |",B387&amp;" |")-1)))</f>
        <v/>
      </c>
      <c r="T387" s="96" t="str">
        <f>IF(S387="","",IFERROR(MATCH(S387,'MTRs'!$A$6:$A$505,0),""))</f>
        <v/>
      </c>
      <c r="U387" s="96">
        <f>IF(T387="",0,IF(INDEX('MTRs'!$Z$6:$Z$505,T387)=1,1,0))</f>
        <v>0</v>
      </c>
      <c r="V387" s="96">
        <f>IF(C387="",0,IF(ISNUMBER(MATCH(C387,'CAD_RESÍDUOS'!$B$6:$B$205,0)),1,0))</f>
        <v>0</v>
      </c>
      <c r="W387" s="96">
        <f>IF(AND(ISNUMBER(G387),G387&gt;0),1,0)</f>
        <v>0</v>
      </c>
      <c r="X387" s="96" t="str">
        <f>IF(H387="","",IFERROR(IF(ISNUMBER(INDEX(cfg_fac,MATCH(H387,cfg_units,0))),IF(INDEX(cfg_fac,MATCH(H387,cfg_units,0))&gt;0,INDEX(cfg_fac,MATCH(H387,cfg_units,0)),""),""),""))</f>
        <v/>
      </c>
      <c r="Y387" s="96">
        <f>IF(AND(W387=1,ISNUMBER(I387)),1,0)</f>
        <v>0</v>
      </c>
      <c r="Z387" s="96">
        <f>IF(U387=1,INDEX('MTRs'!$AA$6:$AA$505,T387),0)</f>
        <v>0</v>
      </c>
      <c r="AA387" s="96">
        <f>IF(R387=0,0,COUNTIFS('RECEBIMENTOS'!$R$6:$R$1005,A387,'RECEBIMENTOS'!$Q$6:$Q$1005,1))</f>
        <v>0</v>
      </c>
      <c r="AB387" s="96">
        <f>IF(R387=0,0,COUNTIFS('RECEBIMENTOS'!$R$6:$R$1005,A387,'RECEBIMENTOS'!$Z$6:$Z$1005,1))</f>
        <v>0</v>
      </c>
      <c r="AC387" s="96">
        <f>IF(R387=0,0,COUNTIFS('RECEBIMENTOS'!$R$6:$R$1005,A387,'RECEBIMENTOS'!$Y$6:$Y$1005,1))</f>
        <v>0</v>
      </c>
      <c r="AD387" s="96">
        <f>IF(R387=0,0,COUNTIFS('VÍNCULOS_CDF'!$R$6:$R$1005,A387,'VÍNCULOS_CDF'!$N$6:$N$1005,1))</f>
        <v>0</v>
      </c>
      <c r="AE387" s="96">
        <f>IF(R387=0,0,COUNTIFS('VÍNCULOS_CDF'!$R$6:$R$1005,A387,'VÍNCULOS_CDF'!$AA$6:$AA$1005,1))</f>
        <v>0</v>
      </c>
      <c r="AF387" s="96">
        <f>IF(R387=0,0,COUNTIFS('VÍNCULOS_CDF'!$R$6:$R$1005,A387,'VÍNCULOS_CDF'!$Y$6:$Y$1005,1))</f>
        <v>0</v>
      </c>
      <c r="AG387" s="96" t="str">
        <f>IF(AND(R387=1,S387&lt;&gt;"",C387&lt;&gt;""),S387&amp;"|"&amp;C387&amp;"|"&amp;G387&amp;"|"&amp;H387,"")</f>
        <v/>
      </c>
      <c r="AH387" s="96">
        <f>IF(AG387="",0,IF(SUMPRODUCT(--($AG$6:$AG$1005=AG387))&gt;1,1,0))</f>
        <v>0</v>
      </c>
      <c r="AI387" s="96">
        <f>IF(R387=0,0,IF(OR(U387=0,V387=0,Y387=0,AND(AH387=1,K387&lt;&gt;"Sim")),1,0))</f>
        <v>0</v>
      </c>
      <c r="AJ387" s="96">
        <f>IF(AND(R387=1,AA387&gt;0,AB387=AA387),1,0)</f>
        <v>0</v>
      </c>
      <c r="AK387" s="96">
        <f>IF(R387=0,0,IF(AA387&gt;0,N(L387),IF(ISNUMBER(I387),I387,0)))</f>
        <v>0</v>
      </c>
      <c r="AL387" s="96">
        <f>IF(R387=0,0,IF(AND(K387&lt;&gt;"Sim",N(M387)&gt;AK387+cfg_tol),1,0))</f>
        <v>0</v>
      </c>
      <c r="AM387" s="96">
        <f>IF(R387=0,0,IF(K387="Sim",0,IF(OR(AND(AA387&gt;0,ISNUMBER(I387),ABS(I387-N(L387))&gt;cfg_tol),AL387=1),1,0)))</f>
        <v>0</v>
      </c>
      <c r="AN387" s="96">
        <f>IF(AND(R387=1,N(M387)&gt;0,OR(N(M387)&gt;=AK387-cfg_tol,K387="Sim")),1,0)</f>
        <v>0</v>
      </c>
      <c r="AO387" s="96">
        <f>IF(AND(AN387=1,AD387&gt;0,AE387=AD387,AL387=0),1,0)</f>
        <v>0</v>
      </c>
      <c r="AP387" s="96">
        <f>IF(U387=0,0,IF(AND(INDEX('MTRs'!$AX$6:$AX$505,T387)=1,Z387=0,OR(f_res="",f_res="(Todos)",C387=f_res)),1,0))</f>
        <v>0</v>
      </c>
      <c r="AQ387" s="97" t="str">
        <f>IF(U387=0,"",INDEX('MTRs'!$AZ$6:$AZ$505,T387))</f>
        <v/>
      </c>
      <c r="AR387" s="96">
        <f>IF(U387=0,0,IF(AND(INDEX('MTRs'!$BA$6:$BA$505,T387)=1,Z387=0),1,0))</f>
        <v>0</v>
      </c>
      <c r="AS387" s="96" t="str">
        <f>IF(R387=1,A387&amp;" | MTR "&amp;IF(U387=1,INDEX('MTRs'!$B$6:$B$505,T387)&amp;"","?")&amp;" | "&amp;IF(C387="","(sem resíduo)",C387),"")</f>
        <v/>
      </c>
      <c r="AT387" s="96" t="str">
        <f>IF(R387=1,COUNTIF($R$6:R387,1),"")</f>
        <v/>
      </c>
      <c r="AU387" s="96" t="str">
        <f>IF(U387=1,INDEX('MTRs'!$I$6:$I$505,T387)&amp;"","")</f>
        <v/>
      </c>
    </row>
    <row r="388">
      <c r="A388" s="89" t="inlineStr">
        <is>
          <t>IT-000383</t>
        </is>
      </c>
      <c r="B388" s="91" t="n"/>
      <c r="C388" s="91" t="n"/>
      <c r="D388" s="94" t="str">
        <f>IF(OR(R388=0,V388=0),"",INDEX('CAD_RESÍDUOS'!$E$6:$E$205,MATCH(C388,'CAD_RESÍDUOS'!$B$6:$B$205,0))&amp;"")</f>
        <v/>
      </c>
      <c r="E388" s="94" t="str">
        <f>IF(OR(R388=0,V388=0),"",INDEX('CAD_RESÍDUOS'!$C$6:$C$205,MATCH(C388,'CAD_RESÍDUOS'!$B$6:$B$205,0))&amp;"")</f>
        <v/>
      </c>
      <c r="F388" s="94" t="str">
        <f>IF(OR(R388=0,V388=0),"",INDEX('CAD_RESÍDUOS'!$G$6:$G$205,MATCH(C388,'CAD_RESÍDUOS'!$B$6:$B$205,0))&amp;"")</f>
        <v/>
      </c>
      <c r="G388" s="98" t="n"/>
      <c r="H388" s="91" t="n"/>
      <c r="I388" s="93" t="str">
        <f>IF(R388=0,"",IF(NOT(ISNUMBER(G388)),"",IF(ISNUMBER(X388),G388*X388,"UNIDADE A CONFERIR")))</f>
        <v/>
      </c>
      <c r="J388" s="91" t="n"/>
      <c r="K388" s="91" t="n"/>
      <c r="L388" s="93" t="str">
        <f>IF(R388=0,"",SUMIFS('RECEBIMENTOS'!$H$6:$H$1005,'RECEBIMENTOS'!$R$6:$R$1005,A388,'RECEBIMENTOS'!$X$6:$X$1005,1))</f>
        <v/>
      </c>
      <c r="M388" s="93" t="str">
        <f>IF(R388=0,"",SUMIFS('VÍNCULOS_CDF'!$H$6:$H$1005,'VÍNCULOS_CDF'!$R$6:$R$1005,A388,'VÍNCULOS_CDF'!$V$6:$V$1005,1))</f>
        <v/>
      </c>
      <c r="N388" s="99" t="str">
        <f>IF(OR(R388=0,AA388=0,NOT(ISNUMBER(I388))),"",I388-N(L388))</f>
        <v/>
      </c>
      <c r="O388" s="100" t="str">
        <f>IF(OR(R388=0,AK388&lt;=0),"",N(M388)/AK388)</f>
        <v/>
      </c>
      <c r="P388" s="94" t="str">
        <f>IF(R388=0,"",IF(S388="","Sem MTR associado",IF(U388=0,"MTR inexistente",IF(C388="","Resíduo não identificado",IF(V388=0,"Resíduo fora do cadastro",IF(W388=0,"Quantidade inválida",IF(H388="","Unidade não informada",IF(NOT(ISNUMBER(I388)),"Unidade a conferir",IF(AND(AH388=1,K388&lt;&gt;"Sim"),"Possível duplicidade",IF(Z388=1,"MTR cancelado",IF(AC388&gt;0,"Recebimento com alerta",IF(AA388=0,"Aguardando recebimento",IF(AB388&lt;AA388,"Recebimento a conferir",IF(AM388=1,"Quantidade a revisar",IF(AF388&gt;0,"Vínculo a revisar",IF(AD388=0,"Aguardando CDF",IF(AN388=0,"Vínculo de CDF parcial",IF(AE388&lt;AD388,"CDF a conferir","Documentação conferida"))))))))))))))))))</f>
        <v/>
      </c>
      <c r="Q388" s="93" t="str">
        <f>IF(OR(R388=0,AA388=0),"",MAX(0,N(L388)-N(M388)))</f>
        <v/>
      </c>
      <c r="R388" s="96">
        <f>IF(COUNTA(B388:C388,G388:H388,J388:K388)&gt;0,1,0)</f>
        <v>0</v>
      </c>
      <c r="S388" s="96" t="str">
        <f>IF(B388="","",TRIM(LEFT(B388,FIND(" |",B388&amp;" |")-1)))</f>
        <v/>
      </c>
      <c r="T388" s="96" t="str">
        <f>IF(S388="","",IFERROR(MATCH(S388,'MTRs'!$A$6:$A$505,0),""))</f>
        <v/>
      </c>
      <c r="U388" s="96">
        <f>IF(T388="",0,IF(INDEX('MTRs'!$Z$6:$Z$505,T388)=1,1,0))</f>
        <v>0</v>
      </c>
      <c r="V388" s="96">
        <f>IF(C388="",0,IF(ISNUMBER(MATCH(C388,'CAD_RESÍDUOS'!$B$6:$B$205,0)),1,0))</f>
        <v>0</v>
      </c>
      <c r="W388" s="96">
        <f>IF(AND(ISNUMBER(G388),G388&gt;0),1,0)</f>
        <v>0</v>
      </c>
      <c r="X388" s="96" t="str">
        <f>IF(H388="","",IFERROR(IF(ISNUMBER(INDEX(cfg_fac,MATCH(H388,cfg_units,0))),IF(INDEX(cfg_fac,MATCH(H388,cfg_units,0))&gt;0,INDEX(cfg_fac,MATCH(H388,cfg_units,0)),""),""),""))</f>
        <v/>
      </c>
      <c r="Y388" s="96">
        <f>IF(AND(W388=1,ISNUMBER(I388)),1,0)</f>
        <v>0</v>
      </c>
      <c r="Z388" s="96">
        <f>IF(U388=1,INDEX('MTRs'!$AA$6:$AA$505,T388),0)</f>
        <v>0</v>
      </c>
      <c r="AA388" s="96">
        <f>IF(R388=0,0,COUNTIFS('RECEBIMENTOS'!$R$6:$R$1005,A388,'RECEBIMENTOS'!$Q$6:$Q$1005,1))</f>
        <v>0</v>
      </c>
      <c r="AB388" s="96">
        <f>IF(R388=0,0,COUNTIFS('RECEBIMENTOS'!$R$6:$R$1005,A388,'RECEBIMENTOS'!$Z$6:$Z$1005,1))</f>
        <v>0</v>
      </c>
      <c r="AC388" s="96">
        <f>IF(R388=0,0,COUNTIFS('RECEBIMENTOS'!$R$6:$R$1005,A388,'RECEBIMENTOS'!$Y$6:$Y$1005,1))</f>
        <v>0</v>
      </c>
      <c r="AD388" s="96">
        <f>IF(R388=0,0,COUNTIFS('VÍNCULOS_CDF'!$R$6:$R$1005,A388,'VÍNCULOS_CDF'!$N$6:$N$1005,1))</f>
        <v>0</v>
      </c>
      <c r="AE388" s="96">
        <f>IF(R388=0,0,COUNTIFS('VÍNCULOS_CDF'!$R$6:$R$1005,A388,'VÍNCULOS_CDF'!$AA$6:$AA$1005,1))</f>
        <v>0</v>
      </c>
      <c r="AF388" s="96">
        <f>IF(R388=0,0,COUNTIFS('VÍNCULOS_CDF'!$R$6:$R$1005,A388,'VÍNCULOS_CDF'!$Y$6:$Y$1005,1))</f>
        <v>0</v>
      </c>
      <c r="AG388" s="96" t="str">
        <f>IF(AND(R388=1,S388&lt;&gt;"",C388&lt;&gt;""),S388&amp;"|"&amp;C388&amp;"|"&amp;G388&amp;"|"&amp;H388,"")</f>
        <v/>
      </c>
      <c r="AH388" s="96">
        <f>IF(AG388="",0,IF(SUMPRODUCT(--($AG$6:$AG$1005=AG388))&gt;1,1,0))</f>
        <v>0</v>
      </c>
      <c r="AI388" s="96">
        <f>IF(R388=0,0,IF(OR(U388=0,V388=0,Y388=0,AND(AH388=1,K388&lt;&gt;"Sim")),1,0))</f>
        <v>0</v>
      </c>
      <c r="AJ388" s="96">
        <f>IF(AND(R388=1,AA388&gt;0,AB388=AA388),1,0)</f>
        <v>0</v>
      </c>
      <c r="AK388" s="96">
        <f>IF(R388=0,0,IF(AA388&gt;0,N(L388),IF(ISNUMBER(I388),I388,0)))</f>
        <v>0</v>
      </c>
      <c r="AL388" s="96">
        <f>IF(R388=0,0,IF(AND(K388&lt;&gt;"Sim",N(M388)&gt;AK388+cfg_tol),1,0))</f>
        <v>0</v>
      </c>
      <c r="AM388" s="96">
        <f>IF(R388=0,0,IF(K388="Sim",0,IF(OR(AND(AA388&gt;0,ISNUMBER(I388),ABS(I388-N(L388))&gt;cfg_tol),AL388=1),1,0)))</f>
        <v>0</v>
      </c>
      <c r="AN388" s="96">
        <f>IF(AND(R388=1,N(M388)&gt;0,OR(N(M388)&gt;=AK388-cfg_tol,K388="Sim")),1,0)</f>
        <v>0</v>
      </c>
      <c r="AO388" s="96">
        <f>IF(AND(AN388=1,AD388&gt;0,AE388=AD388,AL388=0),1,0)</f>
        <v>0</v>
      </c>
      <c r="AP388" s="96">
        <f>IF(U388=0,0,IF(AND(INDEX('MTRs'!$AX$6:$AX$505,T388)=1,Z388=0,OR(f_res="",f_res="(Todos)",C388=f_res)),1,0))</f>
        <v>0</v>
      </c>
      <c r="AQ388" s="97" t="str">
        <f>IF(U388=0,"",INDEX('MTRs'!$AZ$6:$AZ$505,T388))</f>
        <v/>
      </c>
      <c r="AR388" s="96">
        <f>IF(U388=0,0,IF(AND(INDEX('MTRs'!$BA$6:$BA$505,T388)=1,Z388=0),1,0))</f>
        <v>0</v>
      </c>
      <c r="AS388" s="96" t="str">
        <f>IF(R388=1,A388&amp;" | MTR "&amp;IF(U388=1,INDEX('MTRs'!$B$6:$B$505,T388)&amp;"","?")&amp;" | "&amp;IF(C388="","(sem resíduo)",C388),"")</f>
        <v/>
      </c>
      <c r="AT388" s="96" t="str">
        <f>IF(R388=1,COUNTIF($R$6:R388,1),"")</f>
        <v/>
      </c>
      <c r="AU388" s="96" t="str">
        <f>IF(U388=1,INDEX('MTRs'!$I$6:$I$505,T388)&amp;"","")</f>
        <v/>
      </c>
    </row>
    <row r="389">
      <c r="A389" s="89" t="inlineStr">
        <is>
          <t>IT-000384</t>
        </is>
      </c>
      <c r="B389" s="91" t="n"/>
      <c r="C389" s="91" t="n"/>
      <c r="D389" s="94" t="str">
        <f>IF(OR(R389=0,V389=0),"",INDEX('CAD_RESÍDUOS'!$E$6:$E$205,MATCH(C389,'CAD_RESÍDUOS'!$B$6:$B$205,0))&amp;"")</f>
        <v/>
      </c>
      <c r="E389" s="94" t="str">
        <f>IF(OR(R389=0,V389=0),"",INDEX('CAD_RESÍDUOS'!$C$6:$C$205,MATCH(C389,'CAD_RESÍDUOS'!$B$6:$B$205,0))&amp;"")</f>
        <v/>
      </c>
      <c r="F389" s="94" t="str">
        <f>IF(OR(R389=0,V389=0),"",INDEX('CAD_RESÍDUOS'!$G$6:$G$205,MATCH(C389,'CAD_RESÍDUOS'!$B$6:$B$205,0))&amp;"")</f>
        <v/>
      </c>
      <c r="G389" s="98" t="n"/>
      <c r="H389" s="91" t="n"/>
      <c r="I389" s="93" t="str">
        <f>IF(R389=0,"",IF(NOT(ISNUMBER(G389)),"",IF(ISNUMBER(X389),G389*X389,"UNIDADE A CONFERIR")))</f>
        <v/>
      </c>
      <c r="J389" s="91" t="n"/>
      <c r="K389" s="91" t="n"/>
      <c r="L389" s="93" t="str">
        <f>IF(R389=0,"",SUMIFS('RECEBIMENTOS'!$H$6:$H$1005,'RECEBIMENTOS'!$R$6:$R$1005,A389,'RECEBIMENTOS'!$X$6:$X$1005,1))</f>
        <v/>
      </c>
      <c r="M389" s="93" t="str">
        <f>IF(R389=0,"",SUMIFS('VÍNCULOS_CDF'!$H$6:$H$1005,'VÍNCULOS_CDF'!$R$6:$R$1005,A389,'VÍNCULOS_CDF'!$V$6:$V$1005,1))</f>
        <v/>
      </c>
      <c r="N389" s="99" t="str">
        <f>IF(OR(R389=0,AA389=0,NOT(ISNUMBER(I389))),"",I389-N(L389))</f>
        <v/>
      </c>
      <c r="O389" s="100" t="str">
        <f>IF(OR(R389=0,AK389&lt;=0),"",N(M389)/AK389)</f>
        <v/>
      </c>
      <c r="P389" s="94" t="str">
        <f>IF(R389=0,"",IF(S389="","Sem MTR associado",IF(U389=0,"MTR inexistente",IF(C389="","Resíduo não identificado",IF(V389=0,"Resíduo fora do cadastro",IF(W389=0,"Quantidade inválida",IF(H389="","Unidade não informada",IF(NOT(ISNUMBER(I389)),"Unidade a conferir",IF(AND(AH389=1,K389&lt;&gt;"Sim"),"Possível duplicidade",IF(Z389=1,"MTR cancelado",IF(AC389&gt;0,"Recebimento com alerta",IF(AA389=0,"Aguardando recebimento",IF(AB389&lt;AA389,"Recebimento a conferir",IF(AM389=1,"Quantidade a revisar",IF(AF389&gt;0,"Vínculo a revisar",IF(AD389=0,"Aguardando CDF",IF(AN389=0,"Vínculo de CDF parcial",IF(AE389&lt;AD389,"CDF a conferir","Documentação conferida"))))))))))))))))))</f>
        <v/>
      </c>
      <c r="Q389" s="93" t="str">
        <f>IF(OR(R389=0,AA389=0),"",MAX(0,N(L389)-N(M389)))</f>
        <v/>
      </c>
      <c r="R389" s="96">
        <f>IF(COUNTA(B389:C389,G389:H389,J389:K389)&gt;0,1,0)</f>
        <v>0</v>
      </c>
      <c r="S389" s="96" t="str">
        <f>IF(B389="","",TRIM(LEFT(B389,FIND(" |",B389&amp;" |")-1)))</f>
        <v/>
      </c>
      <c r="T389" s="96" t="str">
        <f>IF(S389="","",IFERROR(MATCH(S389,'MTRs'!$A$6:$A$505,0),""))</f>
        <v/>
      </c>
      <c r="U389" s="96">
        <f>IF(T389="",0,IF(INDEX('MTRs'!$Z$6:$Z$505,T389)=1,1,0))</f>
        <v>0</v>
      </c>
      <c r="V389" s="96">
        <f>IF(C389="",0,IF(ISNUMBER(MATCH(C389,'CAD_RESÍDUOS'!$B$6:$B$205,0)),1,0))</f>
        <v>0</v>
      </c>
      <c r="W389" s="96">
        <f>IF(AND(ISNUMBER(G389),G389&gt;0),1,0)</f>
        <v>0</v>
      </c>
      <c r="X389" s="96" t="str">
        <f>IF(H389="","",IFERROR(IF(ISNUMBER(INDEX(cfg_fac,MATCH(H389,cfg_units,0))),IF(INDEX(cfg_fac,MATCH(H389,cfg_units,0))&gt;0,INDEX(cfg_fac,MATCH(H389,cfg_units,0)),""),""),""))</f>
        <v/>
      </c>
      <c r="Y389" s="96">
        <f>IF(AND(W389=1,ISNUMBER(I389)),1,0)</f>
        <v>0</v>
      </c>
      <c r="Z389" s="96">
        <f>IF(U389=1,INDEX('MTRs'!$AA$6:$AA$505,T389),0)</f>
        <v>0</v>
      </c>
      <c r="AA389" s="96">
        <f>IF(R389=0,0,COUNTIFS('RECEBIMENTOS'!$R$6:$R$1005,A389,'RECEBIMENTOS'!$Q$6:$Q$1005,1))</f>
        <v>0</v>
      </c>
      <c r="AB389" s="96">
        <f>IF(R389=0,0,COUNTIFS('RECEBIMENTOS'!$R$6:$R$1005,A389,'RECEBIMENTOS'!$Z$6:$Z$1005,1))</f>
        <v>0</v>
      </c>
      <c r="AC389" s="96">
        <f>IF(R389=0,0,COUNTIFS('RECEBIMENTOS'!$R$6:$R$1005,A389,'RECEBIMENTOS'!$Y$6:$Y$1005,1))</f>
        <v>0</v>
      </c>
      <c r="AD389" s="96">
        <f>IF(R389=0,0,COUNTIFS('VÍNCULOS_CDF'!$R$6:$R$1005,A389,'VÍNCULOS_CDF'!$N$6:$N$1005,1))</f>
        <v>0</v>
      </c>
      <c r="AE389" s="96">
        <f>IF(R389=0,0,COUNTIFS('VÍNCULOS_CDF'!$R$6:$R$1005,A389,'VÍNCULOS_CDF'!$AA$6:$AA$1005,1))</f>
        <v>0</v>
      </c>
      <c r="AF389" s="96">
        <f>IF(R389=0,0,COUNTIFS('VÍNCULOS_CDF'!$R$6:$R$1005,A389,'VÍNCULOS_CDF'!$Y$6:$Y$1005,1))</f>
        <v>0</v>
      </c>
      <c r="AG389" s="96" t="str">
        <f>IF(AND(R389=1,S389&lt;&gt;"",C389&lt;&gt;""),S389&amp;"|"&amp;C389&amp;"|"&amp;G389&amp;"|"&amp;H389,"")</f>
        <v/>
      </c>
      <c r="AH389" s="96">
        <f>IF(AG389="",0,IF(SUMPRODUCT(--($AG$6:$AG$1005=AG389))&gt;1,1,0))</f>
        <v>0</v>
      </c>
      <c r="AI389" s="96">
        <f>IF(R389=0,0,IF(OR(U389=0,V389=0,Y389=0,AND(AH389=1,K389&lt;&gt;"Sim")),1,0))</f>
        <v>0</v>
      </c>
      <c r="AJ389" s="96">
        <f>IF(AND(R389=1,AA389&gt;0,AB389=AA389),1,0)</f>
        <v>0</v>
      </c>
      <c r="AK389" s="96">
        <f>IF(R389=0,0,IF(AA389&gt;0,N(L389),IF(ISNUMBER(I389),I389,0)))</f>
        <v>0</v>
      </c>
      <c r="AL389" s="96">
        <f>IF(R389=0,0,IF(AND(K389&lt;&gt;"Sim",N(M389)&gt;AK389+cfg_tol),1,0))</f>
        <v>0</v>
      </c>
      <c r="AM389" s="96">
        <f>IF(R389=0,0,IF(K389="Sim",0,IF(OR(AND(AA389&gt;0,ISNUMBER(I389),ABS(I389-N(L389))&gt;cfg_tol),AL389=1),1,0)))</f>
        <v>0</v>
      </c>
      <c r="AN389" s="96">
        <f>IF(AND(R389=1,N(M389)&gt;0,OR(N(M389)&gt;=AK389-cfg_tol,K389="Sim")),1,0)</f>
        <v>0</v>
      </c>
      <c r="AO389" s="96">
        <f>IF(AND(AN389=1,AD389&gt;0,AE389=AD389,AL389=0),1,0)</f>
        <v>0</v>
      </c>
      <c r="AP389" s="96">
        <f>IF(U389=0,0,IF(AND(INDEX('MTRs'!$AX$6:$AX$505,T389)=1,Z389=0,OR(f_res="",f_res="(Todos)",C389=f_res)),1,0))</f>
        <v>0</v>
      </c>
      <c r="AQ389" s="97" t="str">
        <f>IF(U389=0,"",INDEX('MTRs'!$AZ$6:$AZ$505,T389))</f>
        <v/>
      </c>
      <c r="AR389" s="96">
        <f>IF(U389=0,0,IF(AND(INDEX('MTRs'!$BA$6:$BA$505,T389)=1,Z389=0),1,0))</f>
        <v>0</v>
      </c>
      <c r="AS389" s="96" t="str">
        <f>IF(R389=1,A389&amp;" | MTR "&amp;IF(U389=1,INDEX('MTRs'!$B$6:$B$505,T389)&amp;"","?")&amp;" | "&amp;IF(C389="","(sem resíduo)",C389),"")</f>
        <v/>
      </c>
      <c r="AT389" s="96" t="str">
        <f>IF(R389=1,COUNTIF($R$6:R389,1),"")</f>
        <v/>
      </c>
      <c r="AU389" s="96" t="str">
        <f>IF(U389=1,INDEX('MTRs'!$I$6:$I$505,T389)&amp;"","")</f>
        <v/>
      </c>
    </row>
    <row r="390">
      <c r="A390" s="89" t="inlineStr">
        <is>
          <t>IT-000385</t>
        </is>
      </c>
      <c r="B390" s="91" t="n"/>
      <c r="C390" s="91" t="n"/>
      <c r="D390" s="94" t="str">
        <f>IF(OR(R390=0,V390=0),"",INDEX('CAD_RESÍDUOS'!$E$6:$E$205,MATCH(C390,'CAD_RESÍDUOS'!$B$6:$B$205,0))&amp;"")</f>
        <v/>
      </c>
      <c r="E390" s="94" t="str">
        <f>IF(OR(R390=0,V390=0),"",INDEX('CAD_RESÍDUOS'!$C$6:$C$205,MATCH(C390,'CAD_RESÍDUOS'!$B$6:$B$205,0))&amp;"")</f>
        <v/>
      </c>
      <c r="F390" s="94" t="str">
        <f>IF(OR(R390=0,V390=0),"",INDEX('CAD_RESÍDUOS'!$G$6:$G$205,MATCH(C390,'CAD_RESÍDUOS'!$B$6:$B$205,0))&amp;"")</f>
        <v/>
      </c>
      <c r="G390" s="98" t="n"/>
      <c r="H390" s="91" t="n"/>
      <c r="I390" s="93" t="str">
        <f>IF(R390=0,"",IF(NOT(ISNUMBER(G390)),"",IF(ISNUMBER(X390),G390*X390,"UNIDADE A CONFERIR")))</f>
        <v/>
      </c>
      <c r="J390" s="91" t="n"/>
      <c r="K390" s="91" t="n"/>
      <c r="L390" s="93" t="str">
        <f>IF(R390=0,"",SUMIFS('RECEBIMENTOS'!$H$6:$H$1005,'RECEBIMENTOS'!$R$6:$R$1005,A390,'RECEBIMENTOS'!$X$6:$X$1005,1))</f>
        <v/>
      </c>
      <c r="M390" s="93" t="str">
        <f>IF(R390=0,"",SUMIFS('VÍNCULOS_CDF'!$H$6:$H$1005,'VÍNCULOS_CDF'!$R$6:$R$1005,A390,'VÍNCULOS_CDF'!$V$6:$V$1005,1))</f>
        <v/>
      </c>
      <c r="N390" s="99" t="str">
        <f>IF(OR(R390=0,AA390=0,NOT(ISNUMBER(I390))),"",I390-N(L390))</f>
        <v/>
      </c>
      <c r="O390" s="100" t="str">
        <f>IF(OR(R390=0,AK390&lt;=0),"",N(M390)/AK390)</f>
        <v/>
      </c>
      <c r="P390" s="94" t="str">
        <f>IF(R390=0,"",IF(S390="","Sem MTR associado",IF(U390=0,"MTR inexistente",IF(C390="","Resíduo não identificado",IF(V390=0,"Resíduo fora do cadastro",IF(W390=0,"Quantidade inválida",IF(H390="","Unidade não informada",IF(NOT(ISNUMBER(I390)),"Unidade a conferir",IF(AND(AH390=1,K390&lt;&gt;"Sim"),"Possível duplicidade",IF(Z390=1,"MTR cancelado",IF(AC390&gt;0,"Recebimento com alerta",IF(AA390=0,"Aguardando recebimento",IF(AB390&lt;AA390,"Recebimento a conferir",IF(AM390=1,"Quantidade a revisar",IF(AF390&gt;0,"Vínculo a revisar",IF(AD390=0,"Aguardando CDF",IF(AN390=0,"Vínculo de CDF parcial",IF(AE390&lt;AD390,"CDF a conferir","Documentação conferida"))))))))))))))))))</f>
        <v/>
      </c>
      <c r="Q390" s="93" t="str">
        <f>IF(OR(R390=0,AA390=0),"",MAX(0,N(L390)-N(M390)))</f>
        <v/>
      </c>
      <c r="R390" s="96">
        <f>IF(COUNTA(B390:C390,G390:H390,J390:K390)&gt;0,1,0)</f>
        <v>0</v>
      </c>
      <c r="S390" s="96" t="str">
        <f>IF(B390="","",TRIM(LEFT(B390,FIND(" |",B390&amp;" |")-1)))</f>
        <v/>
      </c>
      <c r="T390" s="96" t="str">
        <f>IF(S390="","",IFERROR(MATCH(S390,'MTRs'!$A$6:$A$505,0),""))</f>
        <v/>
      </c>
      <c r="U390" s="96">
        <f>IF(T390="",0,IF(INDEX('MTRs'!$Z$6:$Z$505,T390)=1,1,0))</f>
        <v>0</v>
      </c>
      <c r="V390" s="96">
        <f>IF(C390="",0,IF(ISNUMBER(MATCH(C390,'CAD_RESÍDUOS'!$B$6:$B$205,0)),1,0))</f>
        <v>0</v>
      </c>
      <c r="W390" s="96">
        <f>IF(AND(ISNUMBER(G390),G390&gt;0),1,0)</f>
        <v>0</v>
      </c>
      <c r="X390" s="96" t="str">
        <f>IF(H390="","",IFERROR(IF(ISNUMBER(INDEX(cfg_fac,MATCH(H390,cfg_units,0))),IF(INDEX(cfg_fac,MATCH(H390,cfg_units,0))&gt;0,INDEX(cfg_fac,MATCH(H390,cfg_units,0)),""),""),""))</f>
        <v/>
      </c>
      <c r="Y390" s="96">
        <f>IF(AND(W390=1,ISNUMBER(I390)),1,0)</f>
        <v>0</v>
      </c>
      <c r="Z390" s="96">
        <f>IF(U390=1,INDEX('MTRs'!$AA$6:$AA$505,T390),0)</f>
        <v>0</v>
      </c>
      <c r="AA390" s="96">
        <f>IF(R390=0,0,COUNTIFS('RECEBIMENTOS'!$R$6:$R$1005,A390,'RECEBIMENTOS'!$Q$6:$Q$1005,1))</f>
        <v>0</v>
      </c>
      <c r="AB390" s="96">
        <f>IF(R390=0,0,COUNTIFS('RECEBIMENTOS'!$R$6:$R$1005,A390,'RECEBIMENTOS'!$Z$6:$Z$1005,1))</f>
        <v>0</v>
      </c>
      <c r="AC390" s="96">
        <f>IF(R390=0,0,COUNTIFS('RECEBIMENTOS'!$R$6:$R$1005,A390,'RECEBIMENTOS'!$Y$6:$Y$1005,1))</f>
        <v>0</v>
      </c>
      <c r="AD390" s="96">
        <f>IF(R390=0,0,COUNTIFS('VÍNCULOS_CDF'!$R$6:$R$1005,A390,'VÍNCULOS_CDF'!$N$6:$N$1005,1))</f>
        <v>0</v>
      </c>
      <c r="AE390" s="96">
        <f>IF(R390=0,0,COUNTIFS('VÍNCULOS_CDF'!$R$6:$R$1005,A390,'VÍNCULOS_CDF'!$AA$6:$AA$1005,1))</f>
        <v>0</v>
      </c>
      <c r="AF390" s="96">
        <f>IF(R390=0,0,COUNTIFS('VÍNCULOS_CDF'!$R$6:$R$1005,A390,'VÍNCULOS_CDF'!$Y$6:$Y$1005,1))</f>
        <v>0</v>
      </c>
      <c r="AG390" s="96" t="str">
        <f>IF(AND(R390=1,S390&lt;&gt;"",C390&lt;&gt;""),S390&amp;"|"&amp;C390&amp;"|"&amp;G390&amp;"|"&amp;H390,"")</f>
        <v/>
      </c>
      <c r="AH390" s="96">
        <f>IF(AG390="",0,IF(SUMPRODUCT(--($AG$6:$AG$1005=AG390))&gt;1,1,0))</f>
        <v>0</v>
      </c>
      <c r="AI390" s="96">
        <f>IF(R390=0,0,IF(OR(U390=0,V390=0,Y390=0,AND(AH390=1,K390&lt;&gt;"Sim")),1,0))</f>
        <v>0</v>
      </c>
      <c r="AJ390" s="96">
        <f>IF(AND(R390=1,AA390&gt;0,AB390=AA390),1,0)</f>
        <v>0</v>
      </c>
      <c r="AK390" s="96">
        <f>IF(R390=0,0,IF(AA390&gt;0,N(L390),IF(ISNUMBER(I390),I390,0)))</f>
        <v>0</v>
      </c>
      <c r="AL390" s="96">
        <f>IF(R390=0,0,IF(AND(K390&lt;&gt;"Sim",N(M390)&gt;AK390+cfg_tol),1,0))</f>
        <v>0</v>
      </c>
      <c r="AM390" s="96">
        <f>IF(R390=0,0,IF(K390="Sim",0,IF(OR(AND(AA390&gt;0,ISNUMBER(I390),ABS(I390-N(L390))&gt;cfg_tol),AL390=1),1,0)))</f>
        <v>0</v>
      </c>
      <c r="AN390" s="96">
        <f>IF(AND(R390=1,N(M390)&gt;0,OR(N(M390)&gt;=AK390-cfg_tol,K390="Sim")),1,0)</f>
        <v>0</v>
      </c>
      <c r="AO390" s="96">
        <f>IF(AND(AN390=1,AD390&gt;0,AE390=AD390,AL390=0),1,0)</f>
        <v>0</v>
      </c>
      <c r="AP390" s="96">
        <f>IF(U390=0,0,IF(AND(INDEX('MTRs'!$AX$6:$AX$505,T390)=1,Z390=0,OR(f_res="",f_res="(Todos)",C390=f_res)),1,0))</f>
        <v>0</v>
      </c>
      <c r="AQ390" s="97" t="str">
        <f>IF(U390=0,"",INDEX('MTRs'!$AZ$6:$AZ$505,T390))</f>
        <v/>
      </c>
      <c r="AR390" s="96">
        <f>IF(U390=0,0,IF(AND(INDEX('MTRs'!$BA$6:$BA$505,T390)=1,Z390=0),1,0))</f>
        <v>0</v>
      </c>
      <c r="AS390" s="96" t="str">
        <f>IF(R390=1,A390&amp;" | MTR "&amp;IF(U390=1,INDEX('MTRs'!$B$6:$B$505,T390)&amp;"","?")&amp;" | "&amp;IF(C390="","(sem resíduo)",C390),"")</f>
        <v/>
      </c>
      <c r="AT390" s="96" t="str">
        <f>IF(R390=1,COUNTIF($R$6:R390,1),"")</f>
        <v/>
      </c>
      <c r="AU390" s="96" t="str">
        <f>IF(U390=1,INDEX('MTRs'!$I$6:$I$505,T390)&amp;"","")</f>
        <v/>
      </c>
    </row>
    <row r="391">
      <c r="A391" s="89" t="inlineStr">
        <is>
          <t>IT-000386</t>
        </is>
      </c>
      <c r="B391" s="91" t="n"/>
      <c r="C391" s="91" t="n"/>
      <c r="D391" s="94" t="str">
        <f>IF(OR(R391=0,V391=0),"",INDEX('CAD_RESÍDUOS'!$E$6:$E$205,MATCH(C391,'CAD_RESÍDUOS'!$B$6:$B$205,0))&amp;"")</f>
        <v/>
      </c>
      <c r="E391" s="94" t="str">
        <f>IF(OR(R391=0,V391=0),"",INDEX('CAD_RESÍDUOS'!$C$6:$C$205,MATCH(C391,'CAD_RESÍDUOS'!$B$6:$B$205,0))&amp;"")</f>
        <v/>
      </c>
      <c r="F391" s="94" t="str">
        <f>IF(OR(R391=0,V391=0),"",INDEX('CAD_RESÍDUOS'!$G$6:$G$205,MATCH(C391,'CAD_RESÍDUOS'!$B$6:$B$205,0))&amp;"")</f>
        <v/>
      </c>
      <c r="G391" s="98" t="n"/>
      <c r="H391" s="91" t="n"/>
      <c r="I391" s="93" t="str">
        <f>IF(R391=0,"",IF(NOT(ISNUMBER(G391)),"",IF(ISNUMBER(X391),G391*X391,"UNIDADE A CONFERIR")))</f>
        <v/>
      </c>
      <c r="J391" s="91" t="n"/>
      <c r="K391" s="91" t="n"/>
      <c r="L391" s="93" t="str">
        <f>IF(R391=0,"",SUMIFS('RECEBIMENTOS'!$H$6:$H$1005,'RECEBIMENTOS'!$R$6:$R$1005,A391,'RECEBIMENTOS'!$X$6:$X$1005,1))</f>
        <v/>
      </c>
      <c r="M391" s="93" t="str">
        <f>IF(R391=0,"",SUMIFS('VÍNCULOS_CDF'!$H$6:$H$1005,'VÍNCULOS_CDF'!$R$6:$R$1005,A391,'VÍNCULOS_CDF'!$V$6:$V$1005,1))</f>
        <v/>
      </c>
      <c r="N391" s="99" t="str">
        <f>IF(OR(R391=0,AA391=0,NOT(ISNUMBER(I391))),"",I391-N(L391))</f>
        <v/>
      </c>
      <c r="O391" s="100" t="str">
        <f>IF(OR(R391=0,AK391&lt;=0),"",N(M391)/AK391)</f>
        <v/>
      </c>
      <c r="P391" s="94" t="str">
        <f>IF(R391=0,"",IF(S391="","Sem MTR associado",IF(U391=0,"MTR inexistente",IF(C391="","Resíduo não identificado",IF(V391=0,"Resíduo fora do cadastro",IF(W391=0,"Quantidade inválida",IF(H391="","Unidade não informada",IF(NOT(ISNUMBER(I391)),"Unidade a conferir",IF(AND(AH391=1,K391&lt;&gt;"Sim"),"Possível duplicidade",IF(Z391=1,"MTR cancelado",IF(AC391&gt;0,"Recebimento com alerta",IF(AA391=0,"Aguardando recebimento",IF(AB391&lt;AA391,"Recebimento a conferir",IF(AM391=1,"Quantidade a revisar",IF(AF391&gt;0,"Vínculo a revisar",IF(AD391=0,"Aguardando CDF",IF(AN391=0,"Vínculo de CDF parcial",IF(AE391&lt;AD391,"CDF a conferir","Documentação conferida"))))))))))))))))))</f>
        <v/>
      </c>
      <c r="Q391" s="93" t="str">
        <f>IF(OR(R391=0,AA391=0),"",MAX(0,N(L391)-N(M391)))</f>
        <v/>
      </c>
      <c r="R391" s="96">
        <f>IF(COUNTA(B391:C391,G391:H391,J391:K391)&gt;0,1,0)</f>
        <v>0</v>
      </c>
      <c r="S391" s="96" t="str">
        <f>IF(B391="","",TRIM(LEFT(B391,FIND(" |",B391&amp;" |")-1)))</f>
        <v/>
      </c>
      <c r="T391" s="96" t="str">
        <f>IF(S391="","",IFERROR(MATCH(S391,'MTRs'!$A$6:$A$505,0),""))</f>
        <v/>
      </c>
      <c r="U391" s="96">
        <f>IF(T391="",0,IF(INDEX('MTRs'!$Z$6:$Z$505,T391)=1,1,0))</f>
        <v>0</v>
      </c>
      <c r="V391" s="96">
        <f>IF(C391="",0,IF(ISNUMBER(MATCH(C391,'CAD_RESÍDUOS'!$B$6:$B$205,0)),1,0))</f>
        <v>0</v>
      </c>
      <c r="W391" s="96">
        <f>IF(AND(ISNUMBER(G391),G391&gt;0),1,0)</f>
        <v>0</v>
      </c>
      <c r="X391" s="96" t="str">
        <f>IF(H391="","",IFERROR(IF(ISNUMBER(INDEX(cfg_fac,MATCH(H391,cfg_units,0))),IF(INDEX(cfg_fac,MATCH(H391,cfg_units,0))&gt;0,INDEX(cfg_fac,MATCH(H391,cfg_units,0)),""),""),""))</f>
        <v/>
      </c>
      <c r="Y391" s="96">
        <f>IF(AND(W391=1,ISNUMBER(I391)),1,0)</f>
        <v>0</v>
      </c>
      <c r="Z391" s="96">
        <f>IF(U391=1,INDEX('MTRs'!$AA$6:$AA$505,T391),0)</f>
        <v>0</v>
      </c>
      <c r="AA391" s="96">
        <f>IF(R391=0,0,COUNTIFS('RECEBIMENTOS'!$R$6:$R$1005,A391,'RECEBIMENTOS'!$Q$6:$Q$1005,1))</f>
        <v>0</v>
      </c>
      <c r="AB391" s="96">
        <f>IF(R391=0,0,COUNTIFS('RECEBIMENTOS'!$R$6:$R$1005,A391,'RECEBIMENTOS'!$Z$6:$Z$1005,1))</f>
        <v>0</v>
      </c>
      <c r="AC391" s="96">
        <f>IF(R391=0,0,COUNTIFS('RECEBIMENTOS'!$R$6:$R$1005,A391,'RECEBIMENTOS'!$Y$6:$Y$1005,1))</f>
        <v>0</v>
      </c>
      <c r="AD391" s="96">
        <f>IF(R391=0,0,COUNTIFS('VÍNCULOS_CDF'!$R$6:$R$1005,A391,'VÍNCULOS_CDF'!$N$6:$N$1005,1))</f>
        <v>0</v>
      </c>
      <c r="AE391" s="96">
        <f>IF(R391=0,0,COUNTIFS('VÍNCULOS_CDF'!$R$6:$R$1005,A391,'VÍNCULOS_CDF'!$AA$6:$AA$1005,1))</f>
        <v>0</v>
      </c>
      <c r="AF391" s="96">
        <f>IF(R391=0,0,COUNTIFS('VÍNCULOS_CDF'!$R$6:$R$1005,A391,'VÍNCULOS_CDF'!$Y$6:$Y$1005,1))</f>
        <v>0</v>
      </c>
      <c r="AG391" s="96" t="str">
        <f>IF(AND(R391=1,S391&lt;&gt;"",C391&lt;&gt;""),S391&amp;"|"&amp;C391&amp;"|"&amp;G391&amp;"|"&amp;H391,"")</f>
        <v/>
      </c>
      <c r="AH391" s="96">
        <f>IF(AG391="",0,IF(SUMPRODUCT(--($AG$6:$AG$1005=AG391))&gt;1,1,0))</f>
        <v>0</v>
      </c>
      <c r="AI391" s="96">
        <f>IF(R391=0,0,IF(OR(U391=0,V391=0,Y391=0,AND(AH391=1,K391&lt;&gt;"Sim")),1,0))</f>
        <v>0</v>
      </c>
      <c r="AJ391" s="96">
        <f>IF(AND(R391=1,AA391&gt;0,AB391=AA391),1,0)</f>
        <v>0</v>
      </c>
      <c r="AK391" s="96">
        <f>IF(R391=0,0,IF(AA391&gt;0,N(L391),IF(ISNUMBER(I391),I391,0)))</f>
        <v>0</v>
      </c>
      <c r="AL391" s="96">
        <f>IF(R391=0,0,IF(AND(K391&lt;&gt;"Sim",N(M391)&gt;AK391+cfg_tol),1,0))</f>
        <v>0</v>
      </c>
      <c r="AM391" s="96">
        <f>IF(R391=0,0,IF(K391="Sim",0,IF(OR(AND(AA391&gt;0,ISNUMBER(I391),ABS(I391-N(L391))&gt;cfg_tol),AL391=1),1,0)))</f>
        <v>0</v>
      </c>
      <c r="AN391" s="96">
        <f>IF(AND(R391=1,N(M391)&gt;0,OR(N(M391)&gt;=AK391-cfg_tol,K391="Sim")),1,0)</f>
        <v>0</v>
      </c>
      <c r="AO391" s="96">
        <f>IF(AND(AN391=1,AD391&gt;0,AE391=AD391,AL391=0),1,0)</f>
        <v>0</v>
      </c>
      <c r="AP391" s="96">
        <f>IF(U391=0,0,IF(AND(INDEX('MTRs'!$AX$6:$AX$505,T391)=1,Z391=0,OR(f_res="",f_res="(Todos)",C391=f_res)),1,0))</f>
        <v>0</v>
      </c>
      <c r="AQ391" s="97" t="str">
        <f>IF(U391=0,"",INDEX('MTRs'!$AZ$6:$AZ$505,T391))</f>
        <v/>
      </c>
      <c r="AR391" s="96">
        <f>IF(U391=0,0,IF(AND(INDEX('MTRs'!$BA$6:$BA$505,T391)=1,Z391=0),1,0))</f>
        <v>0</v>
      </c>
      <c r="AS391" s="96" t="str">
        <f>IF(R391=1,A391&amp;" | MTR "&amp;IF(U391=1,INDEX('MTRs'!$B$6:$B$505,T391)&amp;"","?")&amp;" | "&amp;IF(C391="","(sem resíduo)",C391),"")</f>
        <v/>
      </c>
      <c r="AT391" s="96" t="str">
        <f>IF(R391=1,COUNTIF($R$6:R391,1),"")</f>
        <v/>
      </c>
      <c r="AU391" s="96" t="str">
        <f>IF(U391=1,INDEX('MTRs'!$I$6:$I$505,T391)&amp;"","")</f>
        <v/>
      </c>
    </row>
    <row r="392">
      <c r="A392" s="89" t="inlineStr">
        <is>
          <t>IT-000387</t>
        </is>
      </c>
      <c r="B392" s="91" t="n"/>
      <c r="C392" s="91" t="n"/>
      <c r="D392" s="94" t="str">
        <f>IF(OR(R392=0,V392=0),"",INDEX('CAD_RESÍDUOS'!$E$6:$E$205,MATCH(C392,'CAD_RESÍDUOS'!$B$6:$B$205,0))&amp;"")</f>
        <v/>
      </c>
      <c r="E392" s="94" t="str">
        <f>IF(OR(R392=0,V392=0),"",INDEX('CAD_RESÍDUOS'!$C$6:$C$205,MATCH(C392,'CAD_RESÍDUOS'!$B$6:$B$205,0))&amp;"")</f>
        <v/>
      </c>
      <c r="F392" s="94" t="str">
        <f>IF(OR(R392=0,V392=0),"",INDEX('CAD_RESÍDUOS'!$G$6:$G$205,MATCH(C392,'CAD_RESÍDUOS'!$B$6:$B$205,0))&amp;"")</f>
        <v/>
      </c>
      <c r="G392" s="98" t="n"/>
      <c r="H392" s="91" t="n"/>
      <c r="I392" s="93" t="str">
        <f>IF(R392=0,"",IF(NOT(ISNUMBER(G392)),"",IF(ISNUMBER(X392),G392*X392,"UNIDADE A CONFERIR")))</f>
        <v/>
      </c>
      <c r="J392" s="91" t="n"/>
      <c r="K392" s="91" t="n"/>
      <c r="L392" s="93" t="str">
        <f>IF(R392=0,"",SUMIFS('RECEBIMENTOS'!$H$6:$H$1005,'RECEBIMENTOS'!$R$6:$R$1005,A392,'RECEBIMENTOS'!$X$6:$X$1005,1))</f>
        <v/>
      </c>
      <c r="M392" s="93" t="str">
        <f>IF(R392=0,"",SUMIFS('VÍNCULOS_CDF'!$H$6:$H$1005,'VÍNCULOS_CDF'!$R$6:$R$1005,A392,'VÍNCULOS_CDF'!$V$6:$V$1005,1))</f>
        <v/>
      </c>
      <c r="N392" s="99" t="str">
        <f>IF(OR(R392=0,AA392=0,NOT(ISNUMBER(I392))),"",I392-N(L392))</f>
        <v/>
      </c>
      <c r="O392" s="100" t="str">
        <f>IF(OR(R392=0,AK392&lt;=0),"",N(M392)/AK392)</f>
        <v/>
      </c>
      <c r="P392" s="94" t="str">
        <f>IF(R392=0,"",IF(S392="","Sem MTR associado",IF(U392=0,"MTR inexistente",IF(C392="","Resíduo não identificado",IF(V392=0,"Resíduo fora do cadastro",IF(W392=0,"Quantidade inválida",IF(H392="","Unidade não informada",IF(NOT(ISNUMBER(I392)),"Unidade a conferir",IF(AND(AH392=1,K392&lt;&gt;"Sim"),"Possível duplicidade",IF(Z392=1,"MTR cancelado",IF(AC392&gt;0,"Recebimento com alerta",IF(AA392=0,"Aguardando recebimento",IF(AB392&lt;AA392,"Recebimento a conferir",IF(AM392=1,"Quantidade a revisar",IF(AF392&gt;0,"Vínculo a revisar",IF(AD392=0,"Aguardando CDF",IF(AN392=0,"Vínculo de CDF parcial",IF(AE392&lt;AD392,"CDF a conferir","Documentação conferida"))))))))))))))))))</f>
        <v/>
      </c>
      <c r="Q392" s="93" t="str">
        <f>IF(OR(R392=0,AA392=0),"",MAX(0,N(L392)-N(M392)))</f>
        <v/>
      </c>
      <c r="R392" s="96">
        <f>IF(COUNTA(B392:C392,G392:H392,J392:K392)&gt;0,1,0)</f>
        <v>0</v>
      </c>
      <c r="S392" s="96" t="str">
        <f>IF(B392="","",TRIM(LEFT(B392,FIND(" |",B392&amp;" |")-1)))</f>
        <v/>
      </c>
      <c r="T392" s="96" t="str">
        <f>IF(S392="","",IFERROR(MATCH(S392,'MTRs'!$A$6:$A$505,0),""))</f>
        <v/>
      </c>
      <c r="U392" s="96">
        <f>IF(T392="",0,IF(INDEX('MTRs'!$Z$6:$Z$505,T392)=1,1,0))</f>
        <v>0</v>
      </c>
      <c r="V392" s="96">
        <f>IF(C392="",0,IF(ISNUMBER(MATCH(C392,'CAD_RESÍDUOS'!$B$6:$B$205,0)),1,0))</f>
        <v>0</v>
      </c>
      <c r="W392" s="96">
        <f>IF(AND(ISNUMBER(G392),G392&gt;0),1,0)</f>
        <v>0</v>
      </c>
      <c r="X392" s="96" t="str">
        <f>IF(H392="","",IFERROR(IF(ISNUMBER(INDEX(cfg_fac,MATCH(H392,cfg_units,0))),IF(INDEX(cfg_fac,MATCH(H392,cfg_units,0))&gt;0,INDEX(cfg_fac,MATCH(H392,cfg_units,0)),""),""),""))</f>
        <v/>
      </c>
      <c r="Y392" s="96">
        <f>IF(AND(W392=1,ISNUMBER(I392)),1,0)</f>
        <v>0</v>
      </c>
      <c r="Z392" s="96">
        <f>IF(U392=1,INDEX('MTRs'!$AA$6:$AA$505,T392),0)</f>
        <v>0</v>
      </c>
      <c r="AA392" s="96">
        <f>IF(R392=0,0,COUNTIFS('RECEBIMENTOS'!$R$6:$R$1005,A392,'RECEBIMENTOS'!$Q$6:$Q$1005,1))</f>
        <v>0</v>
      </c>
      <c r="AB392" s="96">
        <f>IF(R392=0,0,COUNTIFS('RECEBIMENTOS'!$R$6:$R$1005,A392,'RECEBIMENTOS'!$Z$6:$Z$1005,1))</f>
        <v>0</v>
      </c>
      <c r="AC392" s="96">
        <f>IF(R392=0,0,COUNTIFS('RECEBIMENTOS'!$R$6:$R$1005,A392,'RECEBIMENTOS'!$Y$6:$Y$1005,1))</f>
        <v>0</v>
      </c>
      <c r="AD392" s="96">
        <f>IF(R392=0,0,COUNTIFS('VÍNCULOS_CDF'!$R$6:$R$1005,A392,'VÍNCULOS_CDF'!$N$6:$N$1005,1))</f>
        <v>0</v>
      </c>
      <c r="AE392" s="96">
        <f>IF(R392=0,0,COUNTIFS('VÍNCULOS_CDF'!$R$6:$R$1005,A392,'VÍNCULOS_CDF'!$AA$6:$AA$1005,1))</f>
        <v>0</v>
      </c>
      <c r="AF392" s="96">
        <f>IF(R392=0,0,COUNTIFS('VÍNCULOS_CDF'!$R$6:$R$1005,A392,'VÍNCULOS_CDF'!$Y$6:$Y$1005,1))</f>
        <v>0</v>
      </c>
      <c r="AG392" s="96" t="str">
        <f>IF(AND(R392=1,S392&lt;&gt;"",C392&lt;&gt;""),S392&amp;"|"&amp;C392&amp;"|"&amp;G392&amp;"|"&amp;H392,"")</f>
        <v/>
      </c>
      <c r="AH392" s="96">
        <f>IF(AG392="",0,IF(SUMPRODUCT(--($AG$6:$AG$1005=AG392))&gt;1,1,0))</f>
        <v>0</v>
      </c>
      <c r="AI392" s="96">
        <f>IF(R392=0,0,IF(OR(U392=0,V392=0,Y392=0,AND(AH392=1,K392&lt;&gt;"Sim")),1,0))</f>
        <v>0</v>
      </c>
      <c r="AJ392" s="96">
        <f>IF(AND(R392=1,AA392&gt;0,AB392=AA392),1,0)</f>
        <v>0</v>
      </c>
      <c r="AK392" s="96">
        <f>IF(R392=0,0,IF(AA392&gt;0,N(L392),IF(ISNUMBER(I392),I392,0)))</f>
        <v>0</v>
      </c>
      <c r="AL392" s="96">
        <f>IF(R392=0,0,IF(AND(K392&lt;&gt;"Sim",N(M392)&gt;AK392+cfg_tol),1,0))</f>
        <v>0</v>
      </c>
      <c r="AM392" s="96">
        <f>IF(R392=0,0,IF(K392="Sim",0,IF(OR(AND(AA392&gt;0,ISNUMBER(I392),ABS(I392-N(L392))&gt;cfg_tol),AL392=1),1,0)))</f>
        <v>0</v>
      </c>
      <c r="AN392" s="96">
        <f>IF(AND(R392=1,N(M392)&gt;0,OR(N(M392)&gt;=AK392-cfg_tol,K392="Sim")),1,0)</f>
        <v>0</v>
      </c>
      <c r="AO392" s="96">
        <f>IF(AND(AN392=1,AD392&gt;0,AE392=AD392,AL392=0),1,0)</f>
        <v>0</v>
      </c>
      <c r="AP392" s="96">
        <f>IF(U392=0,0,IF(AND(INDEX('MTRs'!$AX$6:$AX$505,T392)=1,Z392=0,OR(f_res="",f_res="(Todos)",C392=f_res)),1,0))</f>
        <v>0</v>
      </c>
      <c r="AQ392" s="97" t="str">
        <f>IF(U392=0,"",INDEX('MTRs'!$AZ$6:$AZ$505,T392))</f>
        <v/>
      </c>
      <c r="AR392" s="96">
        <f>IF(U392=0,0,IF(AND(INDEX('MTRs'!$BA$6:$BA$505,T392)=1,Z392=0),1,0))</f>
        <v>0</v>
      </c>
      <c r="AS392" s="96" t="str">
        <f>IF(R392=1,A392&amp;" | MTR "&amp;IF(U392=1,INDEX('MTRs'!$B$6:$B$505,T392)&amp;"","?")&amp;" | "&amp;IF(C392="","(sem resíduo)",C392),"")</f>
        <v/>
      </c>
      <c r="AT392" s="96" t="str">
        <f>IF(R392=1,COUNTIF($R$6:R392,1),"")</f>
        <v/>
      </c>
      <c r="AU392" s="96" t="str">
        <f>IF(U392=1,INDEX('MTRs'!$I$6:$I$505,T392)&amp;"","")</f>
        <v/>
      </c>
    </row>
    <row r="393">
      <c r="A393" s="89" t="inlineStr">
        <is>
          <t>IT-000388</t>
        </is>
      </c>
      <c r="B393" s="91" t="n"/>
      <c r="C393" s="91" t="n"/>
      <c r="D393" s="94" t="str">
        <f>IF(OR(R393=0,V393=0),"",INDEX('CAD_RESÍDUOS'!$E$6:$E$205,MATCH(C393,'CAD_RESÍDUOS'!$B$6:$B$205,0))&amp;"")</f>
        <v/>
      </c>
      <c r="E393" s="94" t="str">
        <f>IF(OR(R393=0,V393=0),"",INDEX('CAD_RESÍDUOS'!$C$6:$C$205,MATCH(C393,'CAD_RESÍDUOS'!$B$6:$B$205,0))&amp;"")</f>
        <v/>
      </c>
      <c r="F393" s="94" t="str">
        <f>IF(OR(R393=0,V393=0),"",INDEX('CAD_RESÍDUOS'!$G$6:$G$205,MATCH(C393,'CAD_RESÍDUOS'!$B$6:$B$205,0))&amp;"")</f>
        <v/>
      </c>
      <c r="G393" s="98" t="n"/>
      <c r="H393" s="91" t="n"/>
      <c r="I393" s="93" t="str">
        <f>IF(R393=0,"",IF(NOT(ISNUMBER(G393)),"",IF(ISNUMBER(X393),G393*X393,"UNIDADE A CONFERIR")))</f>
        <v/>
      </c>
      <c r="J393" s="91" t="n"/>
      <c r="K393" s="91" t="n"/>
      <c r="L393" s="93" t="str">
        <f>IF(R393=0,"",SUMIFS('RECEBIMENTOS'!$H$6:$H$1005,'RECEBIMENTOS'!$R$6:$R$1005,A393,'RECEBIMENTOS'!$X$6:$X$1005,1))</f>
        <v/>
      </c>
      <c r="M393" s="93" t="str">
        <f>IF(R393=0,"",SUMIFS('VÍNCULOS_CDF'!$H$6:$H$1005,'VÍNCULOS_CDF'!$R$6:$R$1005,A393,'VÍNCULOS_CDF'!$V$6:$V$1005,1))</f>
        <v/>
      </c>
      <c r="N393" s="99" t="str">
        <f>IF(OR(R393=0,AA393=0,NOT(ISNUMBER(I393))),"",I393-N(L393))</f>
        <v/>
      </c>
      <c r="O393" s="100" t="str">
        <f>IF(OR(R393=0,AK393&lt;=0),"",N(M393)/AK393)</f>
        <v/>
      </c>
      <c r="P393" s="94" t="str">
        <f>IF(R393=0,"",IF(S393="","Sem MTR associado",IF(U393=0,"MTR inexistente",IF(C393="","Resíduo não identificado",IF(V393=0,"Resíduo fora do cadastro",IF(W393=0,"Quantidade inválida",IF(H393="","Unidade não informada",IF(NOT(ISNUMBER(I393)),"Unidade a conferir",IF(AND(AH393=1,K393&lt;&gt;"Sim"),"Possível duplicidade",IF(Z393=1,"MTR cancelado",IF(AC393&gt;0,"Recebimento com alerta",IF(AA393=0,"Aguardando recebimento",IF(AB393&lt;AA393,"Recebimento a conferir",IF(AM393=1,"Quantidade a revisar",IF(AF393&gt;0,"Vínculo a revisar",IF(AD393=0,"Aguardando CDF",IF(AN393=0,"Vínculo de CDF parcial",IF(AE393&lt;AD393,"CDF a conferir","Documentação conferida"))))))))))))))))))</f>
        <v/>
      </c>
      <c r="Q393" s="93" t="str">
        <f>IF(OR(R393=0,AA393=0),"",MAX(0,N(L393)-N(M393)))</f>
        <v/>
      </c>
      <c r="R393" s="96">
        <f>IF(COUNTA(B393:C393,G393:H393,J393:K393)&gt;0,1,0)</f>
        <v>0</v>
      </c>
      <c r="S393" s="96" t="str">
        <f>IF(B393="","",TRIM(LEFT(B393,FIND(" |",B393&amp;" |")-1)))</f>
        <v/>
      </c>
      <c r="T393" s="96" t="str">
        <f>IF(S393="","",IFERROR(MATCH(S393,'MTRs'!$A$6:$A$505,0),""))</f>
        <v/>
      </c>
      <c r="U393" s="96">
        <f>IF(T393="",0,IF(INDEX('MTRs'!$Z$6:$Z$505,T393)=1,1,0))</f>
        <v>0</v>
      </c>
      <c r="V393" s="96">
        <f>IF(C393="",0,IF(ISNUMBER(MATCH(C393,'CAD_RESÍDUOS'!$B$6:$B$205,0)),1,0))</f>
        <v>0</v>
      </c>
      <c r="W393" s="96">
        <f>IF(AND(ISNUMBER(G393),G393&gt;0),1,0)</f>
        <v>0</v>
      </c>
      <c r="X393" s="96" t="str">
        <f>IF(H393="","",IFERROR(IF(ISNUMBER(INDEX(cfg_fac,MATCH(H393,cfg_units,0))),IF(INDEX(cfg_fac,MATCH(H393,cfg_units,0))&gt;0,INDEX(cfg_fac,MATCH(H393,cfg_units,0)),""),""),""))</f>
        <v/>
      </c>
      <c r="Y393" s="96">
        <f>IF(AND(W393=1,ISNUMBER(I393)),1,0)</f>
        <v>0</v>
      </c>
      <c r="Z393" s="96">
        <f>IF(U393=1,INDEX('MTRs'!$AA$6:$AA$505,T393),0)</f>
        <v>0</v>
      </c>
      <c r="AA393" s="96">
        <f>IF(R393=0,0,COUNTIFS('RECEBIMENTOS'!$R$6:$R$1005,A393,'RECEBIMENTOS'!$Q$6:$Q$1005,1))</f>
        <v>0</v>
      </c>
      <c r="AB393" s="96">
        <f>IF(R393=0,0,COUNTIFS('RECEBIMENTOS'!$R$6:$R$1005,A393,'RECEBIMENTOS'!$Z$6:$Z$1005,1))</f>
        <v>0</v>
      </c>
      <c r="AC393" s="96">
        <f>IF(R393=0,0,COUNTIFS('RECEBIMENTOS'!$R$6:$R$1005,A393,'RECEBIMENTOS'!$Y$6:$Y$1005,1))</f>
        <v>0</v>
      </c>
      <c r="AD393" s="96">
        <f>IF(R393=0,0,COUNTIFS('VÍNCULOS_CDF'!$R$6:$R$1005,A393,'VÍNCULOS_CDF'!$N$6:$N$1005,1))</f>
        <v>0</v>
      </c>
      <c r="AE393" s="96">
        <f>IF(R393=0,0,COUNTIFS('VÍNCULOS_CDF'!$R$6:$R$1005,A393,'VÍNCULOS_CDF'!$AA$6:$AA$1005,1))</f>
        <v>0</v>
      </c>
      <c r="AF393" s="96">
        <f>IF(R393=0,0,COUNTIFS('VÍNCULOS_CDF'!$R$6:$R$1005,A393,'VÍNCULOS_CDF'!$Y$6:$Y$1005,1))</f>
        <v>0</v>
      </c>
      <c r="AG393" s="96" t="str">
        <f>IF(AND(R393=1,S393&lt;&gt;"",C393&lt;&gt;""),S393&amp;"|"&amp;C393&amp;"|"&amp;G393&amp;"|"&amp;H393,"")</f>
        <v/>
      </c>
      <c r="AH393" s="96">
        <f>IF(AG393="",0,IF(SUMPRODUCT(--($AG$6:$AG$1005=AG393))&gt;1,1,0))</f>
        <v>0</v>
      </c>
      <c r="AI393" s="96">
        <f>IF(R393=0,0,IF(OR(U393=0,V393=0,Y393=0,AND(AH393=1,K393&lt;&gt;"Sim")),1,0))</f>
        <v>0</v>
      </c>
      <c r="AJ393" s="96">
        <f>IF(AND(R393=1,AA393&gt;0,AB393=AA393),1,0)</f>
        <v>0</v>
      </c>
      <c r="AK393" s="96">
        <f>IF(R393=0,0,IF(AA393&gt;0,N(L393),IF(ISNUMBER(I393),I393,0)))</f>
        <v>0</v>
      </c>
      <c r="AL393" s="96">
        <f>IF(R393=0,0,IF(AND(K393&lt;&gt;"Sim",N(M393)&gt;AK393+cfg_tol),1,0))</f>
        <v>0</v>
      </c>
      <c r="AM393" s="96">
        <f>IF(R393=0,0,IF(K393="Sim",0,IF(OR(AND(AA393&gt;0,ISNUMBER(I393),ABS(I393-N(L393))&gt;cfg_tol),AL393=1),1,0)))</f>
        <v>0</v>
      </c>
      <c r="AN393" s="96">
        <f>IF(AND(R393=1,N(M393)&gt;0,OR(N(M393)&gt;=AK393-cfg_tol,K393="Sim")),1,0)</f>
        <v>0</v>
      </c>
      <c r="AO393" s="96">
        <f>IF(AND(AN393=1,AD393&gt;0,AE393=AD393,AL393=0),1,0)</f>
        <v>0</v>
      </c>
      <c r="AP393" s="96">
        <f>IF(U393=0,0,IF(AND(INDEX('MTRs'!$AX$6:$AX$505,T393)=1,Z393=0,OR(f_res="",f_res="(Todos)",C393=f_res)),1,0))</f>
        <v>0</v>
      </c>
      <c r="AQ393" s="97" t="str">
        <f>IF(U393=0,"",INDEX('MTRs'!$AZ$6:$AZ$505,T393))</f>
        <v/>
      </c>
      <c r="AR393" s="96">
        <f>IF(U393=0,0,IF(AND(INDEX('MTRs'!$BA$6:$BA$505,T393)=1,Z393=0),1,0))</f>
        <v>0</v>
      </c>
      <c r="AS393" s="96" t="str">
        <f>IF(R393=1,A393&amp;" | MTR "&amp;IF(U393=1,INDEX('MTRs'!$B$6:$B$505,T393)&amp;"","?")&amp;" | "&amp;IF(C393="","(sem resíduo)",C393),"")</f>
        <v/>
      </c>
      <c r="AT393" s="96" t="str">
        <f>IF(R393=1,COUNTIF($R$6:R393,1),"")</f>
        <v/>
      </c>
      <c r="AU393" s="96" t="str">
        <f>IF(U393=1,INDEX('MTRs'!$I$6:$I$505,T393)&amp;"","")</f>
        <v/>
      </c>
    </row>
    <row r="394">
      <c r="A394" s="89" t="inlineStr">
        <is>
          <t>IT-000389</t>
        </is>
      </c>
      <c r="B394" s="91" t="n"/>
      <c r="C394" s="91" t="n"/>
      <c r="D394" s="94" t="str">
        <f>IF(OR(R394=0,V394=0),"",INDEX('CAD_RESÍDUOS'!$E$6:$E$205,MATCH(C394,'CAD_RESÍDUOS'!$B$6:$B$205,0))&amp;"")</f>
        <v/>
      </c>
      <c r="E394" s="94" t="str">
        <f>IF(OR(R394=0,V394=0),"",INDEX('CAD_RESÍDUOS'!$C$6:$C$205,MATCH(C394,'CAD_RESÍDUOS'!$B$6:$B$205,0))&amp;"")</f>
        <v/>
      </c>
      <c r="F394" s="94" t="str">
        <f>IF(OR(R394=0,V394=0),"",INDEX('CAD_RESÍDUOS'!$G$6:$G$205,MATCH(C394,'CAD_RESÍDUOS'!$B$6:$B$205,0))&amp;"")</f>
        <v/>
      </c>
      <c r="G394" s="98" t="n"/>
      <c r="H394" s="91" t="n"/>
      <c r="I394" s="93" t="str">
        <f>IF(R394=0,"",IF(NOT(ISNUMBER(G394)),"",IF(ISNUMBER(X394),G394*X394,"UNIDADE A CONFERIR")))</f>
        <v/>
      </c>
      <c r="J394" s="91" t="n"/>
      <c r="K394" s="91" t="n"/>
      <c r="L394" s="93" t="str">
        <f>IF(R394=0,"",SUMIFS('RECEBIMENTOS'!$H$6:$H$1005,'RECEBIMENTOS'!$R$6:$R$1005,A394,'RECEBIMENTOS'!$X$6:$X$1005,1))</f>
        <v/>
      </c>
      <c r="M394" s="93" t="str">
        <f>IF(R394=0,"",SUMIFS('VÍNCULOS_CDF'!$H$6:$H$1005,'VÍNCULOS_CDF'!$R$6:$R$1005,A394,'VÍNCULOS_CDF'!$V$6:$V$1005,1))</f>
        <v/>
      </c>
      <c r="N394" s="99" t="str">
        <f>IF(OR(R394=0,AA394=0,NOT(ISNUMBER(I394))),"",I394-N(L394))</f>
        <v/>
      </c>
      <c r="O394" s="100" t="str">
        <f>IF(OR(R394=0,AK394&lt;=0),"",N(M394)/AK394)</f>
        <v/>
      </c>
      <c r="P394" s="94" t="str">
        <f>IF(R394=0,"",IF(S394="","Sem MTR associado",IF(U394=0,"MTR inexistente",IF(C394="","Resíduo não identificado",IF(V394=0,"Resíduo fora do cadastro",IF(W394=0,"Quantidade inválida",IF(H394="","Unidade não informada",IF(NOT(ISNUMBER(I394)),"Unidade a conferir",IF(AND(AH394=1,K394&lt;&gt;"Sim"),"Possível duplicidade",IF(Z394=1,"MTR cancelado",IF(AC394&gt;0,"Recebimento com alerta",IF(AA394=0,"Aguardando recebimento",IF(AB394&lt;AA394,"Recebimento a conferir",IF(AM394=1,"Quantidade a revisar",IF(AF394&gt;0,"Vínculo a revisar",IF(AD394=0,"Aguardando CDF",IF(AN394=0,"Vínculo de CDF parcial",IF(AE394&lt;AD394,"CDF a conferir","Documentação conferida"))))))))))))))))))</f>
        <v/>
      </c>
      <c r="Q394" s="93" t="str">
        <f>IF(OR(R394=0,AA394=0),"",MAX(0,N(L394)-N(M394)))</f>
        <v/>
      </c>
      <c r="R394" s="96">
        <f>IF(COUNTA(B394:C394,G394:H394,J394:K394)&gt;0,1,0)</f>
        <v>0</v>
      </c>
      <c r="S394" s="96" t="str">
        <f>IF(B394="","",TRIM(LEFT(B394,FIND(" |",B394&amp;" |")-1)))</f>
        <v/>
      </c>
      <c r="T394" s="96" t="str">
        <f>IF(S394="","",IFERROR(MATCH(S394,'MTRs'!$A$6:$A$505,0),""))</f>
        <v/>
      </c>
      <c r="U394" s="96">
        <f>IF(T394="",0,IF(INDEX('MTRs'!$Z$6:$Z$505,T394)=1,1,0))</f>
        <v>0</v>
      </c>
      <c r="V394" s="96">
        <f>IF(C394="",0,IF(ISNUMBER(MATCH(C394,'CAD_RESÍDUOS'!$B$6:$B$205,0)),1,0))</f>
        <v>0</v>
      </c>
      <c r="W394" s="96">
        <f>IF(AND(ISNUMBER(G394),G394&gt;0),1,0)</f>
        <v>0</v>
      </c>
      <c r="X394" s="96" t="str">
        <f>IF(H394="","",IFERROR(IF(ISNUMBER(INDEX(cfg_fac,MATCH(H394,cfg_units,0))),IF(INDEX(cfg_fac,MATCH(H394,cfg_units,0))&gt;0,INDEX(cfg_fac,MATCH(H394,cfg_units,0)),""),""),""))</f>
        <v/>
      </c>
      <c r="Y394" s="96">
        <f>IF(AND(W394=1,ISNUMBER(I394)),1,0)</f>
        <v>0</v>
      </c>
      <c r="Z394" s="96">
        <f>IF(U394=1,INDEX('MTRs'!$AA$6:$AA$505,T394),0)</f>
        <v>0</v>
      </c>
      <c r="AA394" s="96">
        <f>IF(R394=0,0,COUNTIFS('RECEBIMENTOS'!$R$6:$R$1005,A394,'RECEBIMENTOS'!$Q$6:$Q$1005,1))</f>
        <v>0</v>
      </c>
      <c r="AB394" s="96">
        <f>IF(R394=0,0,COUNTIFS('RECEBIMENTOS'!$R$6:$R$1005,A394,'RECEBIMENTOS'!$Z$6:$Z$1005,1))</f>
        <v>0</v>
      </c>
      <c r="AC394" s="96">
        <f>IF(R394=0,0,COUNTIFS('RECEBIMENTOS'!$R$6:$R$1005,A394,'RECEBIMENTOS'!$Y$6:$Y$1005,1))</f>
        <v>0</v>
      </c>
      <c r="AD394" s="96">
        <f>IF(R394=0,0,COUNTIFS('VÍNCULOS_CDF'!$R$6:$R$1005,A394,'VÍNCULOS_CDF'!$N$6:$N$1005,1))</f>
        <v>0</v>
      </c>
      <c r="AE394" s="96">
        <f>IF(R394=0,0,COUNTIFS('VÍNCULOS_CDF'!$R$6:$R$1005,A394,'VÍNCULOS_CDF'!$AA$6:$AA$1005,1))</f>
        <v>0</v>
      </c>
      <c r="AF394" s="96">
        <f>IF(R394=0,0,COUNTIFS('VÍNCULOS_CDF'!$R$6:$R$1005,A394,'VÍNCULOS_CDF'!$Y$6:$Y$1005,1))</f>
        <v>0</v>
      </c>
      <c r="AG394" s="96" t="str">
        <f>IF(AND(R394=1,S394&lt;&gt;"",C394&lt;&gt;""),S394&amp;"|"&amp;C394&amp;"|"&amp;G394&amp;"|"&amp;H394,"")</f>
        <v/>
      </c>
      <c r="AH394" s="96">
        <f>IF(AG394="",0,IF(SUMPRODUCT(--($AG$6:$AG$1005=AG394))&gt;1,1,0))</f>
        <v>0</v>
      </c>
      <c r="AI394" s="96">
        <f>IF(R394=0,0,IF(OR(U394=0,V394=0,Y394=0,AND(AH394=1,K394&lt;&gt;"Sim")),1,0))</f>
        <v>0</v>
      </c>
      <c r="AJ394" s="96">
        <f>IF(AND(R394=1,AA394&gt;0,AB394=AA394),1,0)</f>
        <v>0</v>
      </c>
      <c r="AK394" s="96">
        <f>IF(R394=0,0,IF(AA394&gt;0,N(L394),IF(ISNUMBER(I394),I394,0)))</f>
        <v>0</v>
      </c>
      <c r="AL394" s="96">
        <f>IF(R394=0,0,IF(AND(K394&lt;&gt;"Sim",N(M394)&gt;AK394+cfg_tol),1,0))</f>
        <v>0</v>
      </c>
      <c r="AM394" s="96">
        <f>IF(R394=0,0,IF(K394="Sim",0,IF(OR(AND(AA394&gt;0,ISNUMBER(I394),ABS(I394-N(L394))&gt;cfg_tol),AL394=1),1,0)))</f>
        <v>0</v>
      </c>
      <c r="AN394" s="96">
        <f>IF(AND(R394=1,N(M394)&gt;0,OR(N(M394)&gt;=AK394-cfg_tol,K394="Sim")),1,0)</f>
        <v>0</v>
      </c>
      <c r="AO394" s="96">
        <f>IF(AND(AN394=1,AD394&gt;0,AE394=AD394,AL394=0),1,0)</f>
        <v>0</v>
      </c>
      <c r="AP394" s="96">
        <f>IF(U394=0,0,IF(AND(INDEX('MTRs'!$AX$6:$AX$505,T394)=1,Z394=0,OR(f_res="",f_res="(Todos)",C394=f_res)),1,0))</f>
        <v>0</v>
      </c>
      <c r="AQ394" s="97" t="str">
        <f>IF(U394=0,"",INDEX('MTRs'!$AZ$6:$AZ$505,T394))</f>
        <v/>
      </c>
      <c r="AR394" s="96">
        <f>IF(U394=0,0,IF(AND(INDEX('MTRs'!$BA$6:$BA$505,T394)=1,Z394=0),1,0))</f>
        <v>0</v>
      </c>
      <c r="AS394" s="96" t="str">
        <f>IF(R394=1,A394&amp;" | MTR "&amp;IF(U394=1,INDEX('MTRs'!$B$6:$B$505,T394)&amp;"","?")&amp;" | "&amp;IF(C394="","(sem resíduo)",C394),"")</f>
        <v/>
      </c>
      <c r="AT394" s="96" t="str">
        <f>IF(R394=1,COUNTIF($R$6:R394,1),"")</f>
        <v/>
      </c>
      <c r="AU394" s="96" t="str">
        <f>IF(U394=1,INDEX('MTRs'!$I$6:$I$505,T394)&amp;"","")</f>
        <v/>
      </c>
    </row>
    <row r="395">
      <c r="A395" s="89" t="inlineStr">
        <is>
          <t>IT-000390</t>
        </is>
      </c>
      <c r="B395" s="91" t="n"/>
      <c r="C395" s="91" t="n"/>
      <c r="D395" s="94" t="str">
        <f>IF(OR(R395=0,V395=0),"",INDEX('CAD_RESÍDUOS'!$E$6:$E$205,MATCH(C395,'CAD_RESÍDUOS'!$B$6:$B$205,0))&amp;"")</f>
        <v/>
      </c>
      <c r="E395" s="94" t="str">
        <f>IF(OR(R395=0,V395=0),"",INDEX('CAD_RESÍDUOS'!$C$6:$C$205,MATCH(C395,'CAD_RESÍDUOS'!$B$6:$B$205,0))&amp;"")</f>
        <v/>
      </c>
      <c r="F395" s="94" t="str">
        <f>IF(OR(R395=0,V395=0),"",INDEX('CAD_RESÍDUOS'!$G$6:$G$205,MATCH(C395,'CAD_RESÍDUOS'!$B$6:$B$205,0))&amp;"")</f>
        <v/>
      </c>
      <c r="G395" s="98" t="n"/>
      <c r="H395" s="91" t="n"/>
      <c r="I395" s="93" t="str">
        <f>IF(R395=0,"",IF(NOT(ISNUMBER(G395)),"",IF(ISNUMBER(X395),G395*X395,"UNIDADE A CONFERIR")))</f>
        <v/>
      </c>
      <c r="J395" s="91" t="n"/>
      <c r="K395" s="91" t="n"/>
      <c r="L395" s="93" t="str">
        <f>IF(R395=0,"",SUMIFS('RECEBIMENTOS'!$H$6:$H$1005,'RECEBIMENTOS'!$R$6:$R$1005,A395,'RECEBIMENTOS'!$X$6:$X$1005,1))</f>
        <v/>
      </c>
      <c r="M395" s="93" t="str">
        <f>IF(R395=0,"",SUMIFS('VÍNCULOS_CDF'!$H$6:$H$1005,'VÍNCULOS_CDF'!$R$6:$R$1005,A395,'VÍNCULOS_CDF'!$V$6:$V$1005,1))</f>
        <v/>
      </c>
      <c r="N395" s="99" t="str">
        <f>IF(OR(R395=0,AA395=0,NOT(ISNUMBER(I395))),"",I395-N(L395))</f>
        <v/>
      </c>
      <c r="O395" s="100" t="str">
        <f>IF(OR(R395=0,AK395&lt;=0),"",N(M395)/AK395)</f>
        <v/>
      </c>
      <c r="P395" s="94" t="str">
        <f>IF(R395=0,"",IF(S395="","Sem MTR associado",IF(U395=0,"MTR inexistente",IF(C395="","Resíduo não identificado",IF(V395=0,"Resíduo fora do cadastro",IF(W395=0,"Quantidade inválida",IF(H395="","Unidade não informada",IF(NOT(ISNUMBER(I395)),"Unidade a conferir",IF(AND(AH395=1,K395&lt;&gt;"Sim"),"Possível duplicidade",IF(Z395=1,"MTR cancelado",IF(AC395&gt;0,"Recebimento com alerta",IF(AA395=0,"Aguardando recebimento",IF(AB395&lt;AA395,"Recebimento a conferir",IF(AM395=1,"Quantidade a revisar",IF(AF395&gt;0,"Vínculo a revisar",IF(AD395=0,"Aguardando CDF",IF(AN395=0,"Vínculo de CDF parcial",IF(AE395&lt;AD395,"CDF a conferir","Documentação conferida"))))))))))))))))))</f>
        <v/>
      </c>
      <c r="Q395" s="93" t="str">
        <f>IF(OR(R395=0,AA395=0),"",MAX(0,N(L395)-N(M395)))</f>
        <v/>
      </c>
      <c r="R395" s="96">
        <f>IF(COUNTA(B395:C395,G395:H395,J395:K395)&gt;0,1,0)</f>
        <v>0</v>
      </c>
      <c r="S395" s="96" t="str">
        <f>IF(B395="","",TRIM(LEFT(B395,FIND(" |",B395&amp;" |")-1)))</f>
        <v/>
      </c>
      <c r="T395" s="96" t="str">
        <f>IF(S395="","",IFERROR(MATCH(S395,'MTRs'!$A$6:$A$505,0),""))</f>
        <v/>
      </c>
      <c r="U395" s="96">
        <f>IF(T395="",0,IF(INDEX('MTRs'!$Z$6:$Z$505,T395)=1,1,0))</f>
        <v>0</v>
      </c>
      <c r="V395" s="96">
        <f>IF(C395="",0,IF(ISNUMBER(MATCH(C395,'CAD_RESÍDUOS'!$B$6:$B$205,0)),1,0))</f>
        <v>0</v>
      </c>
      <c r="W395" s="96">
        <f>IF(AND(ISNUMBER(G395),G395&gt;0),1,0)</f>
        <v>0</v>
      </c>
      <c r="X395" s="96" t="str">
        <f>IF(H395="","",IFERROR(IF(ISNUMBER(INDEX(cfg_fac,MATCH(H395,cfg_units,0))),IF(INDEX(cfg_fac,MATCH(H395,cfg_units,0))&gt;0,INDEX(cfg_fac,MATCH(H395,cfg_units,0)),""),""),""))</f>
        <v/>
      </c>
      <c r="Y395" s="96">
        <f>IF(AND(W395=1,ISNUMBER(I395)),1,0)</f>
        <v>0</v>
      </c>
      <c r="Z395" s="96">
        <f>IF(U395=1,INDEX('MTRs'!$AA$6:$AA$505,T395),0)</f>
        <v>0</v>
      </c>
      <c r="AA395" s="96">
        <f>IF(R395=0,0,COUNTIFS('RECEBIMENTOS'!$R$6:$R$1005,A395,'RECEBIMENTOS'!$Q$6:$Q$1005,1))</f>
        <v>0</v>
      </c>
      <c r="AB395" s="96">
        <f>IF(R395=0,0,COUNTIFS('RECEBIMENTOS'!$R$6:$R$1005,A395,'RECEBIMENTOS'!$Z$6:$Z$1005,1))</f>
        <v>0</v>
      </c>
      <c r="AC395" s="96">
        <f>IF(R395=0,0,COUNTIFS('RECEBIMENTOS'!$R$6:$R$1005,A395,'RECEBIMENTOS'!$Y$6:$Y$1005,1))</f>
        <v>0</v>
      </c>
      <c r="AD395" s="96">
        <f>IF(R395=0,0,COUNTIFS('VÍNCULOS_CDF'!$R$6:$R$1005,A395,'VÍNCULOS_CDF'!$N$6:$N$1005,1))</f>
        <v>0</v>
      </c>
      <c r="AE395" s="96">
        <f>IF(R395=0,0,COUNTIFS('VÍNCULOS_CDF'!$R$6:$R$1005,A395,'VÍNCULOS_CDF'!$AA$6:$AA$1005,1))</f>
        <v>0</v>
      </c>
      <c r="AF395" s="96">
        <f>IF(R395=0,0,COUNTIFS('VÍNCULOS_CDF'!$R$6:$R$1005,A395,'VÍNCULOS_CDF'!$Y$6:$Y$1005,1))</f>
        <v>0</v>
      </c>
      <c r="AG395" s="96" t="str">
        <f>IF(AND(R395=1,S395&lt;&gt;"",C395&lt;&gt;""),S395&amp;"|"&amp;C395&amp;"|"&amp;G395&amp;"|"&amp;H395,"")</f>
        <v/>
      </c>
      <c r="AH395" s="96">
        <f>IF(AG395="",0,IF(SUMPRODUCT(--($AG$6:$AG$1005=AG395))&gt;1,1,0))</f>
        <v>0</v>
      </c>
      <c r="AI395" s="96">
        <f>IF(R395=0,0,IF(OR(U395=0,V395=0,Y395=0,AND(AH395=1,K395&lt;&gt;"Sim")),1,0))</f>
        <v>0</v>
      </c>
      <c r="AJ395" s="96">
        <f>IF(AND(R395=1,AA395&gt;0,AB395=AA395),1,0)</f>
        <v>0</v>
      </c>
      <c r="AK395" s="96">
        <f>IF(R395=0,0,IF(AA395&gt;0,N(L395),IF(ISNUMBER(I395),I395,0)))</f>
        <v>0</v>
      </c>
      <c r="AL395" s="96">
        <f>IF(R395=0,0,IF(AND(K395&lt;&gt;"Sim",N(M395)&gt;AK395+cfg_tol),1,0))</f>
        <v>0</v>
      </c>
      <c r="AM395" s="96">
        <f>IF(R395=0,0,IF(K395="Sim",0,IF(OR(AND(AA395&gt;0,ISNUMBER(I395),ABS(I395-N(L395))&gt;cfg_tol),AL395=1),1,0)))</f>
        <v>0</v>
      </c>
      <c r="AN395" s="96">
        <f>IF(AND(R395=1,N(M395)&gt;0,OR(N(M395)&gt;=AK395-cfg_tol,K395="Sim")),1,0)</f>
        <v>0</v>
      </c>
      <c r="AO395" s="96">
        <f>IF(AND(AN395=1,AD395&gt;0,AE395=AD395,AL395=0),1,0)</f>
        <v>0</v>
      </c>
      <c r="AP395" s="96">
        <f>IF(U395=0,0,IF(AND(INDEX('MTRs'!$AX$6:$AX$505,T395)=1,Z395=0,OR(f_res="",f_res="(Todos)",C395=f_res)),1,0))</f>
        <v>0</v>
      </c>
      <c r="AQ395" s="97" t="str">
        <f>IF(U395=0,"",INDEX('MTRs'!$AZ$6:$AZ$505,T395))</f>
        <v/>
      </c>
      <c r="AR395" s="96">
        <f>IF(U395=0,0,IF(AND(INDEX('MTRs'!$BA$6:$BA$505,T395)=1,Z395=0),1,0))</f>
        <v>0</v>
      </c>
      <c r="AS395" s="96" t="str">
        <f>IF(R395=1,A395&amp;" | MTR "&amp;IF(U395=1,INDEX('MTRs'!$B$6:$B$505,T395)&amp;"","?")&amp;" | "&amp;IF(C395="","(sem resíduo)",C395),"")</f>
        <v/>
      </c>
      <c r="AT395" s="96" t="str">
        <f>IF(R395=1,COUNTIF($R$6:R395,1),"")</f>
        <v/>
      </c>
      <c r="AU395" s="96" t="str">
        <f>IF(U395=1,INDEX('MTRs'!$I$6:$I$505,T395)&amp;"","")</f>
        <v/>
      </c>
    </row>
    <row r="396">
      <c r="A396" s="89" t="inlineStr">
        <is>
          <t>IT-000391</t>
        </is>
      </c>
      <c r="B396" s="91" t="n"/>
      <c r="C396" s="91" t="n"/>
      <c r="D396" s="94" t="str">
        <f>IF(OR(R396=0,V396=0),"",INDEX('CAD_RESÍDUOS'!$E$6:$E$205,MATCH(C396,'CAD_RESÍDUOS'!$B$6:$B$205,0))&amp;"")</f>
        <v/>
      </c>
      <c r="E396" s="94" t="str">
        <f>IF(OR(R396=0,V396=0),"",INDEX('CAD_RESÍDUOS'!$C$6:$C$205,MATCH(C396,'CAD_RESÍDUOS'!$B$6:$B$205,0))&amp;"")</f>
        <v/>
      </c>
      <c r="F396" s="94" t="str">
        <f>IF(OR(R396=0,V396=0),"",INDEX('CAD_RESÍDUOS'!$G$6:$G$205,MATCH(C396,'CAD_RESÍDUOS'!$B$6:$B$205,0))&amp;"")</f>
        <v/>
      </c>
      <c r="G396" s="98" t="n"/>
      <c r="H396" s="91" t="n"/>
      <c r="I396" s="93" t="str">
        <f>IF(R396=0,"",IF(NOT(ISNUMBER(G396)),"",IF(ISNUMBER(X396),G396*X396,"UNIDADE A CONFERIR")))</f>
        <v/>
      </c>
      <c r="J396" s="91" t="n"/>
      <c r="K396" s="91" t="n"/>
      <c r="L396" s="93" t="str">
        <f>IF(R396=0,"",SUMIFS('RECEBIMENTOS'!$H$6:$H$1005,'RECEBIMENTOS'!$R$6:$R$1005,A396,'RECEBIMENTOS'!$X$6:$X$1005,1))</f>
        <v/>
      </c>
      <c r="M396" s="93" t="str">
        <f>IF(R396=0,"",SUMIFS('VÍNCULOS_CDF'!$H$6:$H$1005,'VÍNCULOS_CDF'!$R$6:$R$1005,A396,'VÍNCULOS_CDF'!$V$6:$V$1005,1))</f>
        <v/>
      </c>
      <c r="N396" s="99" t="str">
        <f>IF(OR(R396=0,AA396=0,NOT(ISNUMBER(I396))),"",I396-N(L396))</f>
        <v/>
      </c>
      <c r="O396" s="100" t="str">
        <f>IF(OR(R396=0,AK396&lt;=0),"",N(M396)/AK396)</f>
        <v/>
      </c>
      <c r="P396" s="94" t="str">
        <f>IF(R396=0,"",IF(S396="","Sem MTR associado",IF(U396=0,"MTR inexistente",IF(C396="","Resíduo não identificado",IF(V396=0,"Resíduo fora do cadastro",IF(W396=0,"Quantidade inválida",IF(H396="","Unidade não informada",IF(NOT(ISNUMBER(I396)),"Unidade a conferir",IF(AND(AH396=1,K396&lt;&gt;"Sim"),"Possível duplicidade",IF(Z396=1,"MTR cancelado",IF(AC396&gt;0,"Recebimento com alerta",IF(AA396=0,"Aguardando recebimento",IF(AB396&lt;AA396,"Recebimento a conferir",IF(AM396=1,"Quantidade a revisar",IF(AF396&gt;0,"Vínculo a revisar",IF(AD396=0,"Aguardando CDF",IF(AN396=0,"Vínculo de CDF parcial",IF(AE396&lt;AD396,"CDF a conferir","Documentação conferida"))))))))))))))))))</f>
        <v/>
      </c>
      <c r="Q396" s="93" t="str">
        <f>IF(OR(R396=0,AA396=0),"",MAX(0,N(L396)-N(M396)))</f>
        <v/>
      </c>
      <c r="R396" s="96">
        <f>IF(COUNTA(B396:C396,G396:H396,J396:K396)&gt;0,1,0)</f>
        <v>0</v>
      </c>
      <c r="S396" s="96" t="str">
        <f>IF(B396="","",TRIM(LEFT(B396,FIND(" |",B396&amp;" |")-1)))</f>
        <v/>
      </c>
      <c r="T396" s="96" t="str">
        <f>IF(S396="","",IFERROR(MATCH(S396,'MTRs'!$A$6:$A$505,0),""))</f>
        <v/>
      </c>
      <c r="U396" s="96">
        <f>IF(T396="",0,IF(INDEX('MTRs'!$Z$6:$Z$505,T396)=1,1,0))</f>
        <v>0</v>
      </c>
      <c r="V396" s="96">
        <f>IF(C396="",0,IF(ISNUMBER(MATCH(C396,'CAD_RESÍDUOS'!$B$6:$B$205,0)),1,0))</f>
        <v>0</v>
      </c>
      <c r="W396" s="96">
        <f>IF(AND(ISNUMBER(G396),G396&gt;0),1,0)</f>
        <v>0</v>
      </c>
      <c r="X396" s="96" t="str">
        <f>IF(H396="","",IFERROR(IF(ISNUMBER(INDEX(cfg_fac,MATCH(H396,cfg_units,0))),IF(INDEX(cfg_fac,MATCH(H396,cfg_units,0))&gt;0,INDEX(cfg_fac,MATCH(H396,cfg_units,0)),""),""),""))</f>
        <v/>
      </c>
      <c r="Y396" s="96">
        <f>IF(AND(W396=1,ISNUMBER(I396)),1,0)</f>
        <v>0</v>
      </c>
      <c r="Z396" s="96">
        <f>IF(U396=1,INDEX('MTRs'!$AA$6:$AA$505,T396),0)</f>
        <v>0</v>
      </c>
      <c r="AA396" s="96">
        <f>IF(R396=0,0,COUNTIFS('RECEBIMENTOS'!$R$6:$R$1005,A396,'RECEBIMENTOS'!$Q$6:$Q$1005,1))</f>
        <v>0</v>
      </c>
      <c r="AB396" s="96">
        <f>IF(R396=0,0,COUNTIFS('RECEBIMENTOS'!$R$6:$R$1005,A396,'RECEBIMENTOS'!$Z$6:$Z$1005,1))</f>
        <v>0</v>
      </c>
      <c r="AC396" s="96">
        <f>IF(R396=0,0,COUNTIFS('RECEBIMENTOS'!$R$6:$R$1005,A396,'RECEBIMENTOS'!$Y$6:$Y$1005,1))</f>
        <v>0</v>
      </c>
      <c r="AD396" s="96">
        <f>IF(R396=0,0,COUNTIFS('VÍNCULOS_CDF'!$R$6:$R$1005,A396,'VÍNCULOS_CDF'!$N$6:$N$1005,1))</f>
        <v>0</v>
      </c>
      <c r="AE396" s="96">
        <f>IF(R396=0,0,COUNTIFS('VÍNCULOS_CDF'!$R$6:$R$1005,A396,'VÍNCULOS_CDF'!$AA$6:$AA$1005,1))</f>
        <v>0</v>
      </c>
      <c r="AF396" s="96">
        <f>IF(R396=0,0,COUNTIFS('VÍNCULOS_CDF'!$R$6:$R$1005,A396,'VÍNCULOS_CDF'!$Y$6:$Y$1005,1))</f>
        <v>0</v>
      </c>
      <c r="AG396" s="96" t="str">
        <f>IF(AND(R396=1,S396&lt;&gt;"",C396&lt;&gt;""),S396&amp;"|"&amp;C396&amp;"|"&amp;G396&amp;"|"&amp;H396,"")</f>
        <v/>
      </c>
      <c r="AH396" s="96">
        <f>IF(AG396="",0,IF(SUMPRODUCT(--($AG$6:$AG$1005=AG396))&gt;1,1,0))</f>
        <v>0</v>
      </c>
      <c r="AI396" s="96">
        <f>IF(R396=0,0,IF(OR(U396=0,V396=0,Y396=0,AND(AH396=1,K396&lt;&gt;"Sim")),1,0))</f>
        <v>0</v>
      </c>
      <c r="AJ396" s="96">
        <f>IF(AND(R396=1,AA396&gt;0,AB396=AA396),1,0)</f>
        <v>0</v>
      </c>
      <c r="AK396" s="96">
        <f>IF(R396=0,0,IF(AA396&gt;0,N(L396),IF(ISNUMBER(I396),I396,0)))</f>
        <v>0</v>
      </c>
      <c r="AL396" s="96">
        <f>IF(R396=0,0,IF(AND(K396&lt;&gt;"Sim",N(M396)&gt;AK396+cfg_tol),1,0))</f>
        <v>0</v>
      </c>
      <c r="AM396" s="96">
        <f>IF(R396=0,0,IF(K396="Sim",0,IF(OR(AND(AA396&gt;0,ISNUMBER(I396),ABS(I396-N(L396))&gt;cfg_tol),AL396=1),1,0)))</f>
        <v>0</v>
      </c>
      <c r="AN396" s="96">
        <f>IF(AND(R396=1,N(M396)&gt;0,OR(N(M396)&gt;=AK396-cfg_tol,K396="Sim")),1,0)</f>
        <v>0</v>
      </c>
      <c r="AO396" s="96">
        <f>IF(AND(AN396=1,AD396&gt;0,AE396=AD396,AL396=0),1,0)</f>
        <v>0</v>
      </c>
      <c r="AP396" s="96">
        <f>IF(U396=0,0,IF(AND(INDEX('MTRs'!$AX$6:$AX$505,T396)=1,Z396=0,OR(f_res="",f_res="(Todos)",C396=f_res)),1,0))</f>
        <v>0</v>
      </c>
      <c r="AQ396" s="97" t="str">
        <f>IF(U396=0,"",INDEX('MTRs'!$AZ$6:$AZ$505,T396))</f>
        <v/>
      </c>
      <c r="AR396" s="96">
        <f>IF(U396=0,0,IF(AND(INDEX('MTRs'!$BA$6:$BA$505,T396)=1,Z396=0),1,0))</f>
        <v>0</v>
      </c>
      <c r="AS396" s="96" t="str">
        <f>IF(R396=1,A396&amp;" | MTR "&amp;IF(U396=1,INDEX('MTRs'!$B$6:$B$505,T396)&amp;"","?")&amp;" | "&amp;IF(C396="","(sem resíduo)",C396),"")</f>
        <v/>
      </c>
      <c r="AT396" s="96" t="str">
        <f>IF(R396=1,COUNTIF($R$6:R396,1),"")</f>
        <v/>
      </c>
      <c r="AU396" s="96" t="str">
        <f>IF(U396=1,INDEX('MTRs'!$I$6:$I$505,T396)&amp;"","")</f>
        <v/>
      </c>
    </row>
    <row r="397">
      <c r="A397" s="89" t="inlineStr">
        <is>
          <t>IT-000392</t>
        </is>
      </c>
      <c r="B397" s="91" t="n"/>
      <c r="C397" s="91" t="n"/>
      <c r="D397" s="94" t="str">
        <f>IF(OR(R397=0,V397=0),"",INDEX('CAD_RESÍDUOS'!$E$6:$E$205,MATCH(C397,'CAD_RESÍDUOS'!$B$6:$B$205,0))&amp;"")</f>
        <v/>
      </c>
      <c r="E397" s="94" t="str">
        <f>IF(OR(R397=0,V397=0),"",INDEX('CAD_RESÍDUOS'!$C$6:$C$205,MATCH(C397,'CAD_RESÍDUOS'!$B$6:$B$205,0))&amp;"")</f>
        <v/>
      </c>
      <c r="F397" s="94" t="str">
        <f>IF(OR(R397=0,V397=0),"",INDEX('CAD_RESÍDUOS'!$G$6:$G$205,MATCH(C397,'CAD_RESÍDUOS'!$B$6:$B$205,0))&amp;"")</f>
        <v/>
      </c>
      <c r="G397" s="98" t="n"/>
      <c r="H397" s="91" t="n"/>
      <c r="I397" s="93" t="str">
        <f>IF(R397=0,"",IF(NOT(ISNUMBER(G397)),"",IF(ISNUMBER(X397),G397*X397,"UNIDADE A CONFERIR")))</f>
        <v/>
      </c>
      <c r="J397" s="91" t="n"/>
      <c r="K397" s="91" t="n"/>
      <c r="L397" s="93" t="str">
        <f>IF(R397=0,"",SUMIFS('RECEBIMENTOS'!$H$6:$H$1005,'RECEBIMENTOS'!$R$6:$R$1005,A397,'RECEBIMENTOS'!$X$6:$X$1005,1))</f>
        <v/>
      </c>
      <c r="M397" s="93" t="str">
        <f>IF(R397=0,"",SUMIFS('VÍNCULOS_CDF'!$H$6:$H$1005,'VÍNCULOS_CDF'!$R$6:$R$1005,A397,'VÍNCULOS_CDF'!$V$6:$V$1005,1))</f>
        <v/>
      </c>
      <c r="N397" s="99" t="str">
        <f>IF(OR(R397=0,AA397=0,NOT(ISNUMBER(I397))),"",I397-N(L397))</f>
        <v/>
      </c>
      <c r="O397" s="100" t="str">
        <f>IF(OR(R397=0,AK397&lt;=0),"",N(M397)/AK397)</f>
        <v/>
      </c>
      <c r="P397" s="94" t="str">
        <f>IF(R397=0,"",IF(S397="","Sem MTR associado",IF(U397=0,"MTR inexistente",IF(C397="","Resíduo não identificado",IF(V397=0,"Resíduo fora do cadastro",IF(W397=0,"Quantidade inválida",IF(H397="","Unidade não informada",IF(NOT(ISNUMBER(I397)),"Unidade a conferir",IF(AND(AH397=1,K397&lt;&gt;"Sim"),"Possível duplicidade",IF(Z397=1,"MTR cancelado",IF(AC397&gt;0,"Recebimento com alerta",IF(AA397=0,"Aguardando recebimento",IF(AB397&lt;AA397,"Recebimento a conferir",IF(AM397=1,"Quantidade a revisar",IF(AF397&gt;0,"Vínculo a revisar",IF(AD397=0,"Aguardando CDF",IF(AN397=0,"Vínculo de CDF parcial",IF(AE397&lt;AD397,"CDF a conferir","Documentação conferida"))))))))))))))))))</f>
        <v/>
      </c>
      <c r="Q397" s="93" t="str">
        <f>IF(OR(R397=0,AA397=0),"",MAX(0,N(L397)-N(M397)))</f>
        <v/>
      </c>
      <c r="R397" s="96">
        <f>IF(COUNTA(B397:C397,G397:H397,J397:K397)&gt;0,1,0)</f>
        <v>0</v>
      </c>
      <c r="S397" s="96" t="str">
        <f>IF(B397="","",TRIM(LEFT(B397,FIND(" |",B397&amp;" |")-1)))</f>
        <v/>
      </c>
      <c r="T397" s="96" t="str">
        <f>IF(S397="","",IFERROR(MATCH(S397,'MTRs'!$A$6:$A$505,0),""))</f>
        <v/>
      </c>
      <c r="U397" s="96">
        <f>IF(T397="",0,IF(INDEX('MTRs'!$Z$6:$Z$505,T397)=1,1,0))</f>
        <v>0</v>
      </c>
      <c r="V397" s="96">
        <f>IF(C397="",0,IF(ISNUMBER(MATCH(C397,'CAD_RESÍDUOS'!$B$6:$B$205,0)),1,0))</f>
        <v>0</v>
      </c>
      <c r="W397" s="96">
        <f>IF(AND(ISNUMBER(G397),G397&gt;0),1,0)</f>
        <v>0</v>
      </c>
      <c r="X397" s="96" t="str">
        <f>IF(H397="","",IFERROR(IF(ISNUMBER(INDEX(cfg_fac,MATCH(H397,cfg_units,0))),IF(INDEX(cfg_fac,MATCH(H397,cfg_units,0))&gt;0,INDEX(cfg_fac,MATCH(H397,cfg_units,0)),""),""),""))</f>
        <v/>
      </c>
      <c r="Y397" s="96">
        <f>IF(AND(W397=1,ISNUMBER(I397)),1,0)</f>
        <v>0</v>
      </c>
      <c r="Z397" s="96">
        <f>IF(U397=1,INDEX('MTRs'!$AA$6:$AA$505,T397),0)</f>
        <v>0</v>
      </c>
      <c r="AA397" s="96">
        <f>IF(R397=0,0,COUNTIFS('RECEBIMENTOS'!$R$6:$R$1005,A397,'RECEBIMENTOS'!$Q$6:$Q$1005,1))</f>
        <v>0</v>
      </c>
      <c r="AB397" s="96">
        <f>IF(R397=0,0,COUNTIFS('RECEBIMENTOS'!$R$6:$R$1005,A397,'RECEBIMENTOS'!$Z$6:$Z$1005,1))</f>
        <v>0</v>
      </c>
      <c r="AC397" s="96">
        <f>IF(R397=0,0,COUNTIFS('RECEBIMENTOS'!$R$6:$R$1005,A397,'RECEBIMENTOS'!$Y$6:$Y$1005,1))</f>
        <v>0</v>
      </c>
      <c r="AD397" s="96">
        <f>IF(R397=0,0,COUNTIFS('VÍNCULOS_CDF'!$R$6:$R$1005,A397,'VÍNCULOS_CDF'!$N$6:$N$1005,1))</f>
        <v>0</v>
      </c>
      <c r="AE397" s="96">
        <f>IF(R397=0,0,COUNTIFS('VÍNCULOS_CDF'!$R$6:$R$1005,A397,'VÍNCULOS_CDF'!$AA$6:$AA$1005,1))</f>
        <v>0</v>
      </c>
      <c r="AF397" s="96">
        <f>IF(R397=0,0,COUNTIFS('VÍNCULOS_CDF'!$R$6:$R$1005,A397,'VÍNCULOS_CDF'!$Y$6:$Y$1005,1))</f>
        <v>0</v>
      </c>
      <c r="AG397" s="96" t="str">
        <f>IF(AND(R397=1,S397&lt;&gt;"",C397&lt;&gt;""),S397&amp;"|"&amp;C397&amp;"|"&amp;G397&amp;"|"&amp;H397,"")</f>
        <v/>
      </c>
      <c r="AH397" s="96">
        <f>IF(AG397="",0,IF(SUMPRODUCT(--($AG$6:$AG$1005=AG397))&gt;1,1,0))</f>
        <v>0</v>
      </c>
      <c r="AI397" s="96">
        <f>IF(R397=0,0,IF(OR(U397=0,V397=0,Y397=0,AND(AH397=1,K397&lt;&gt;"Sim")),1,0))</f>
        <v>0</v>
      </c>
      <c r="AJ397" s="96">
        <f>IF(AND(R397=1,AA397&gt;0,AB397=AA397),1,0)</f>
        <v>0</v>
      </c>
      <c r="AK397" s="96">
        <f>IF(R397=0,0,IF(AA397&gt;0,N(L397),IF(ISNUMBER(I397),I397,0)))</f>
        <v>0</v>
      </c>
      <c r="AL397" s="96">
        <f>IF(R397=0,0,IF(AND(K397&lt;&gt;"Sim",N(M397)&gt;AK397+cfg_tol),1,0))</f>
        <v>0</v>
      </c>
      <c r="AM397" s="96">
        <f>IF(R397=0,0,IF(K397="Sim",0,IF(OR(AND(AA397&gt;0,ISNUMBER(I397),ABS(I397-N(L397))&gt;cfg_tol),AL397=1),1,0)))</f>
        <v>0</v>
      </c>
      <c r="AN397" s="96">
        <f>IF(AND(R397=1,N(M397)&gt;0,OR(N(M397)&gt;=AK397-cfg_tol,K397="Sim")),1,0)</f>
        <v>0</v>
      </c>
      <c r="AO397" s="96">
        <f>IF(AND(AN397=1,AD397&gt;0,AE397=AD397,AL397=0),1,0)</f>
        <v>0</v>
      </c>
      <c r="AP397" s="96">
        <f>IF(U397=0,0,IF(AND(INDEX('MTRs'!$AX$6:$AX$505,T397)=1,Z397=0,OR(f_res="",f_res="(Todos)",C397=f_res)),1,0))</f>
        <v>0</v>
      </c>
      <c r="AQ397" s="97" t="str">
        <f>IF(U397=0,"",INDEX('MTRs'!$AZ$6:$AZ$505,T397))</f>
        <v/>
      </c>
      <c r="AR397" s="96">
        <f>IF(U397=0,0,IF(AND(INDEX('MTRs'!$BA$6:$BA$505,T397)=1,Z397=0),1,0))</f>
        <v>0</v>
      </c>
      <c r="AS397" s="96" t="str">
        <f>IF(R397=1,A397&amp;" | MTR "&amp;IF(U397=1,INDEX('MTRs'!$B$6:$B$505,T397)&amp;"","?")&amp;" | "&amp;IF(C397="","(sem resíduo)",C397),"")</f>
        <v/>
      </c>
      <c r="AT397" s="96" t="str">
        <f>IF(R397=1,COUNTIF($R$6:R397,1),"")</f>
        <v/>
      </c>
      <c r="AU397" s="96" t="str">
        <f>IF(U397=1,INDEX('MTRs'!$I$6:$I$505,T397)&amp;"","")</f>
        <v/>
      </c>
    </row>
    <row r="398">
      <c r="A398" s="89" t="inlineStr">
        <is>
          <t>IT-000393</t>
        </is>
      </c>
      <c r="B398" s="91" t="n"/>
      <c r="C398" s="91" t="n"/>
      <c r="D398" s="94" t="str">
        <f>IF(OR(R398=0,V398=0),"",INDEX('CAD_RESÍDUOS'!$E$6:$E$205,MATCH(C398,'CAD_RESÍDUOS'!$B$6:$B$205,0))&amp;"")</f>
        <v/>
      </c>
      <c r="E398" s="94" t="str">
        <f>IF(OR(R398=0,V398=0),"",INDEX('CAD_RESÍDUOS'!$C$6:$C$205,MATCH(C398,'CAD_RESÍDUOS'!$B$6:$B$205,0))&amp;"")</f>
        <v/>
      </c>
      <c r="F398" s="94" t="str">
        <f>IF(OR(R398=0,V398=0),"",INDEX('CAD_RESÍDUOS'!$G$6:$G$205,MATCH(C398,'CAD_RESÍDUOS'!$B$6:$B$205,0))&amp;"")</f>
        <v/>
      </c>
      <c r="G398" s="98" t="n"/>
      <c r="H398" s="91" t="n"/>
      <c r="I398" s="93" t="str">
        <f>IF(R398=0,"",IF(NOT(ISNUMBER(G398)),"",IF(ISNUMBER(X398),G398*X398,"UNIDADE A CONFERIR")))</f>
        <v/>
      </c>
      <c r="J398" s="91" t="n"/>
      <c r="K398" s="91" t="n"/>
      <c r="L398" s="93" t="str">
        <f>IF(R398=0,"",SUMIFS('RECEBIMENTOS'!$H$6:$H$1005,'RECEBIMENTOS'!$R$6:$R$1005,A398,'RECEBIMENTOS'!$X$6:$X$1005,1))</f>
        <v/>
      </c>
      <c r="M398" s="93" t="str">
        <f>IF(R398=0,"",SUMIFS('VÍNCULOS_CDF'!$H$6:$H$1005,'VÍNCULOS_CDF'!$R$6:$R$1005,A398,'VÍNCULOS_CDF'!$V$6:$V$1005,1))</f>
        <v/>
      </c>
      <c r="N398" s="99" t="str">
        <f>IF(OR(R398=0,AA398=0,NOT(ISNUMBER(I398))),"",I398-N(L398))</f>
        <v/>
      </c>
      <c r="O398" s="100" t="str">
        <f>IF(OR(R398=0,AK398&lt;=0),"",N(M398)/AK398)</f>
        <v/>
      </c>
      <c r="P398" s="94" t="str">
        <f>IF(R398=0,"",IF(S398="","Sem MTR associado",IF(U398=0,"MTR inexistente",IF(C398="","Resíduo não identificado",IF(V398=0,"Resíduo fora do cadastro",IF(W398=0,"Quantidade inválida",IF(H398="","Unidade não informada",IF(NOT(ISNUMBER(I398)),"Unidade a conferir",IF(AND(AH398=1,K398&lt;&gt;"Sim"),"Possível duplicidade",IF(Z398=1,"MTR cancelado",IF(AC398&gt;0,"Recebimento com alerta",IF(AA398=0,"Aguardando recebimento",IF(AB398&lt;AA398,"Recebimento a conferir",IF(AM398=1,"Quantidade a revisar",IF(AF398&gt;0,"Vínculo a revisar",IF(AD398=0,"Aguardando CDF",IF(AN398=0,"Vínculo de CDF parcial",IF(AE398&lt;AD398,"CDF a conferir","Documentação conferida"))))))))))))))))))</f>
        <v/>
      </c>
      <c r="Q398" s="93" t="str">
        <f>IF(OR(R398=0,AA398=0),"",MAX(0,N(L398)-N(M398)))</f>
        <v/>
      </c>
      <c r="R398" s="96">
        <f>IF(COUNTA(B398:C398,G398:H398,J398:K398)&gt;0,1,0)</f>
        <v>0</v>
      </c>
      <c r="S398" s="96" t="str">
        <f>IF(B398="","",TRIM(LEFT(B398,FIND(" |",B398&amp;" |")-1)))</f>
        <v/>
      </c>
      <c r="T398" s="96" t="str">
        <f>IF(S398="","",IFERROR(MATCH(S398,'MTRs'!$A$6:$A$505,0),""))</f>
        <v/>
      </c>
      <c r="U398" s="96">
        <f>IF(T398="",0,IF(INDEX('MTRs'!$Z$6:$Z$505,T398)=1,1,0))</f>
        <v>0</v>
      </c>
      <c r="V398" s="96">
        <f>IF(C398="",0,IF(ISNUMBER(MATCH(C398,'CAD_RESÍDUOS'!$B$6:$B$205,0)),1,0))</f>
        <v>0</v>
      </c>
      <c r="W398" s="96">
        <f>IF(AND(ISNUMBER(G398),G398&gt;0),1,0)</f>
        <v>0</v>
      </c>
      <c r="X398" s="96" t="str">
        <f>IF(H398="","",IFERROR(IF(ISNUMBER(INDEX(cfg_fac,MATCH(H398,cfg_units,0))),IF(INDEX(cfg_fac,MATCH(H398,cfg_units,0))&gt;0,INDEX(cfg_fac,MATCH(H398,cfg_units,0)),""),""),""))</f>
        <v/>
      </c>
      <c r="Y398" s="96">
        <f>IF(AND(W398=1,ISNUMBER(I398)),1,0)</f>
        <v>0</v>
      </c>
      <c r="Z398" s="96">
        <f>IF(U398=1,INDEX('MTRs'!$AA$6:$AA$505,T398),0)</f>
        <v>0</v>
      </c>
      <c r="AA398" s="96">
        <f>IF(R398=0,0,COUNTIFS('RECEBIMENTOS'!$R$6:$R$1005,A398,'RECEBIMENTOS'!$Q$6:$Q$1005,1))</f>
        <v>0</v>
      </c>
      <c r="AB398" s="96">
        <f>IF(R398=0,0,COUNTIFS('RECEBIMENTOS'!$R$6:$R$1005,A398,'RECEBIMENTOS'!$Z$6:$Z$1005,1))</f>
        <v>0</v>
      </c>
      <c r="AC398" s="96">
        <f>IF(R398=0,0,COUNTIFS('RECEBIMENTOS'!$R$6:$R$1005,A398,'RECEBIMENTOS'!$Y$6:$Y$1005,1))</f>
        <v>0</v>
      </c>
      <c r="AD398" s="96">
        <f>IF(R398=0,0,COUNTIFS('VÍNCULOS_CDF'!$R$6:$R$1005,A398,'VÍNCULOS_CDF'!$N$6:$N$1005,1))</f>
        <v>0</v>
      </c>
      <c r="AE398" s="96">
        <f>IF(R398=0,0,COUNTIFS('VÍNCULOS_CDF'!$R$6:$R$1005,A398,'VÍNCULOS_CDF'!$AA$6:$AA$1005,1))</f>
        <v>0</v>
      </c>
      <c r="AF398" s="96">
        <f>IF(R398=0,0,COUNTIFS('VÍNCULOS_CDF'!$R$6:$R$1005,A398,'VÍNCULOS_CDF'!$Y$6:$Y$1005,1))</f>
        <v>0</v>
      </c>
      <c r="AG398" s="96" t="str">
        <f>IF(AND(R398=1,S398&lt;&gt;"",C398&lt;&gt;""),S398&amp;"|"&amp;C398&amp;"|"&amp;G398&amp;"|"&amp;H398,"")</f>
        <v/>
      </c>
      <c r="AH398" s="96">
        <f>IF(AG398="",0,IF(SUMPRODUCT(--($AG$6:$AG$1005=AG398))&gt;1,1,0))</f>
        <v>0</v>
      </c>
      <c r="AI398" s="96">
        <f>IF(R398=0,0,IF(OR(U398=0,V398=0,Y398=0,AND(AH398=1,K398&lt;&gt;"Sim")),1,0))</f>
        <v>0</v>
      </c>
      <c r="AJ398" s="96">
        <f>IF(AND(R398=1,AA398&gt;0,AB398=AA398),1,0)</f>
        <v>0</v>
      </c>
      <c r="AK398" s="96">
        <f>IF(R398=0,0,IF(AA398&gt;0,N(L398),IF(ISNUMBER(I398),I398,0)))</f>
        <v>0</v>
      </c>
      <c r="AL398" s="96">
        <f>IF(R398=0,0,IF(AND(K398&lt;&gt;"Sim",N(M398)&gt;AK398+cfg_tol),1,0))</f>
        <v>0</v>
      </c>
      <c r="AM398" s="96">
        <f>IF(R398=0,0,IF(K398="Sim",0,IF(OR(AND(AA398&gt;0,ISNUMBER(I398),ABS(I398-N(L398))&gt;cfg_tol),AL398=1),1,0)))</f>
        <v>0</v>
      </c>
      <c r="AN398" s="96">
        <f>IF(AND(R398=1,N(M398)&gt;0,OR(N(M398)&gt;=AK398-cfg_tol,K398="Sim")),1,0)</f>
        <v>0</v>
      </c>
      <c r="AO398" s="96">
        <f>IF(AND(AN398=1,AD398&gt;0,AE398=AD398,AL398=0),1,0)</f>
        <v>0</v>
      </c>
      <c r="AP398" s="96">
        <f>IF(U398=0,0,IF(AND(INDEX('MTRs'!$AX$6:$AX$505,T398)=1,Z398=0,OR(f_res="",f_res="(Todos)",C398=f_res)),1,0))</f>
        <v>0</v>
      </c>
      <c r="AQ398" s="97" t="str">
        <f>IF(U398=0,"",INDEX('MTRs'!$AZ$6:$AZ$505,T398))</f>
        <v/>
      </c>
      <c r="AR398" s="96">
        <f>IF(U398=0,0,IF(AND(INDEX('MTRs'!$BA$6:$BA$505,T398)=1,Z398=0),1,0))</f>
        <v>0</v>
      </c>
      <c r="AS398" s="96" t="str">
        <f>IF(R398=1,A398&amp;" | MTR "&amp;IF(U398=1,INDEX('MTRs'!$B$6:$B$505,T398)&amp;"","?")&amp;" | "&amp;IF(C398="","(sem resíduo)",C398),"")</f>
        <v/>
      </c>
      <c r="AT398" s="96" t="str">
        <f>IF(R398=1,COUNTIF($R$6:R398,1),"")</f>
        <v/>
      </c>
      <c r="AU398" s="96" t="str">
        <f>IF(U398=1,INDEX('MTRs'!$I$6:$I$505,T398)&amp;"","")</f>
        <v/>
      </c>
    </row>
    <row r="399">
      <c r="A399" s="89" t="inlineStr">
        <is>
          <t>IT-000394</t>
        </is>
      </c>
      <c r="B399" s="91" t="n"/>
      <c r="C399" s="91" t="n"/>
      <c r="D399" s="94" t="str">
        <f>IF(OR(R399=0,V399=0),"",INDEX('CAD_RESÍDUOS'!$E$6:$E$205,MATCH(C399,'CAD_RESÍDUOS'!$B$6:$B$205,0))&amp;"")</f>
        <v/>
      </c>
      <c r="E399" s="94" t="str">
        <f>IF(OR(R399=0,V399=0),"",INDEX('CAD_RESÍDUOS'!$C$6:$C$205,MATCH(C399,'CAD_RESÍDUOS'!$B$6:$B$205,0))&amp;"")</f>
        <v/>
      </c>
      <c r="F399" s="94" t="str">
        <f>IF(OR(R399=0,V399=0),"",INDEX('CAD_RESÍDUOS'!$G$6:$G$205,MATCH(C399,'CAD_RESÍDUOS'!$B$6:$B$205,0))&amp;"")</f>
        <v/>
      </c>
      <c r="G399" s="98" t="n"/>
      <c r="H399" s="91" t="n"/>
      <c r="I399" s="93" t="str">
        <f>IF(R399=0,"",IF(NOT(ISNUMBER(G399)),"",IF(ISNUMBER(X399),G399*X399,"UNIDADE A CONFERIR")))</f>
        <v/>
      </c>
      <c r="J399" s="91" t="n"/>
      <c r="K399" s="91" t="n"/>
      <c r="L399" s="93" t="str">
        <f>IF(R399=0,"",SUMIFS('RECEBIMENTOS'!$H$6:$H$1005,'RECEBIMENTOS'!$R$6:$R$1005,A399,'RECEBIMENTOS'!$X$6:$X$1005,1))</f>
        <v/>
      </c>
      <c r="M399" s="93" t="str">
        <f>IF(R399=0,"",SUMIFS('VÍNCULOS_CDF'!$H$6:$H$1005,'VÍNCULOS_CDF'!$R$6:$R$1005,A399,'VÍNCULOS_CDF'!$V$6:$V$1005,1))</f>
        <v/>
      </c>
      <c r="N399" s="99" t="str">
        <f>IF(OR(R399=0,AA399=0,NOT(ISNUMBER(I399))),"",I399-N(L399))</f>
        <v/>
      </c>
      <c r="O399" s="100" t="str">
        <f>IF(OR(R399=0,AK399&lt;=0),"",N(M399)/AK399)</f>
        <v/>
      </c>
      <c r="P399" s="94" t="str">
        <f>IF(R399=0,"",IF(S399="","Sem MTR associado",IF(U399=0,"MTR inexistente",IF(C399="","Resíduo não identificado",IF(V399=0,"Resíduo fora do cadastro",IF(W399=0,"Quantidade inválida",IF(H399="","Unidade não informada",IF(NOT(ISNUMBER(I399)),"Unidade a conferir",IF(AND(AH399=1,K399&lt;&gt;"Sim"),"Possível duplicidade",IF(Z399=1,"MTR cancelado",IF(AC399&gt;0,"Recebimento com alerta",IF(AA399=0,"Aguardando recebimento",IF(AB399&lt;AA399,"Recebimento a conferir",IF(AM399=1,"Quantidade a revisar",IF(AF399&gt;0,"Vínculo a revisar",IF(AD399=0,"Aguardando CDF",IF(AN399=0,"Vínculo de CDF parcial",IF(AE399&lt;AD399,"CDF a conferir","Documentação conferida"))))))))))))))))))</f>
        <v/>
      </c>
      <c r="Q399" s="93" t="str">
        <f>IF(OR(R399=0,AA399=0),"",MAX(0,N(L399)-N(M399)))</f>
        <v/>
      </c>
      <c r="R399" s="96">
        <f>IF(COUNTA(B399:C399,G399:H399,J399:K399)&gt;0,1,0)</f>
        <v>0</v>
      </c>
      <c r="S399" s="96" t="str">
        <f>IF(B399="","",TRIM(LEFT(B399,FIND(" |",B399&amp;" |")-1)))</f>
        <v/>
      </c>
      <c r="T399" s="96" t="str">
        <f>IF(S399="","",IFERROR(MATCH(S399,'MTRs'!$A$6:$A$505,0),""))</f>
        <v/>
      </c>
      <c r="U399" s="96">
        <f>IF(T399="",0,IF(INDEX('MTRs'!$Z$6:$Z$505,T399)=1,1,0))</f>
        <v>0</v>
      </c>
      <c r="V399" s="96">
        <f>IF(C399="",0,IF(ISNUMBER(MATCH(C399,'CAD_RESÍDUOS'!$B$6:$B$205,0)),1,0))</f>
        <v>0</v>
      </c>
      <c r="W399" s="96">
        <f>IF(AND(ISNUMBER(G399),G399&gt;0),1,0)</f>
        <v>0</v>
      </c>
      <c r="X399" s="96" t="str">
        <f>IF(H399="","",IFERROR(IF(ISNUMBER(INDEX(cfg_fac,MATCH(H399,cfg_units,0))),IF(INDEX(cfg_fac,MATCH(H399,cfg_units,0))&gt;0,INDEX(cfg_fac,MATCH(H399,cfg_units,0)),""),""),""))</f>
        <v/>
      </c>
      <c r="Y399" s="96">
        <f>IF(AND(W399=1,ISNUMBER(I399)),1,0)</f>
        <v>0</v>
      </c>
      <c r="Z399" s="96">
        <f>IF(U399=1,INDEX('MTRs'!$AA$6:$AA$505,T399),0)</f>
        <v>0</v>
      </c>
      <c r="AA399" s="96">
        <f>IF(R399=0,0,COUNTIFS('RECEBIMENTOS'!$R$6:$R$1005,A399,'RECEBIMENTOS'!$Q$6:$Q$1005,1))</f>
        <v>0</v>
      </c>
      <c r="AB399" s="96">
        <f>IF(R399=0,0,COUNTIFS('RECEBIMENTOS'!$R$6:$R$1005,A399,'RECEBIMENTOS'!$Z$6:$Z$1005,1))</f>
        <v>0</v>
      </c>
      <c r="AC399" s="96">
        <f>IF(R399=0,0,COUNTIFS('RECEBIMENTOS'!$R$6:$R$1005,A399,'RECEBIMENTOS'!$Y$6:$Y$1005,1))</f>
        <v>0</v>
      </c>
      <c r="AD399" s="96">
        <f>IF(R399=0,0,COUNTIFS('VÍNCULOS_CDF'!$R$6:$R$1005,A399,'VÍNCULOS_CDF'!$N$6:$N$1005,1))</f>
        <v>0</v>
      </c>
      <c r="AE399" s="96">
        <f>IF(R399=0,0,COUNTIFS('VÍNCULOS_CDF'!$R$6:$R$1005,A399,'VÍNCULOS_CDF'!$AA$6:$AA$1005,1))</f>
        <v>0</v>
      </c>
      <c r="AF399" s="96">
        <f>IF(R399=0,0,COUNTIFS('VÍNCULOS_CDF'!$R$6:$R$1005,A399,'VÍNCULOS_CDF'!$Y$6:$Y$1005,1))</f>
        <v>0</v>
      </c>
      <c r="AG399" s="96" t="str">
        <f>IF(AND(R399=1,S399&lt;&gt;"",C399&lt;&gt;""),S399&amp;"|"&amp;C399&amp;"|"&amp;G399&amp;"|"&amp;H399,"")</f>
        <v/>
      </c>
      <c r="AH399" s="96">
        <f>IF(AG399="",0,IF(SUMPRODUCT(--($AG$6:$AG$1005=AG399))&gt;1,1,0))</f>
        <v>0</v>
      </c>
      <c r="AI399" s="96">
        <f>IF(R399=0,0,IF(OR(U399=0,V399=0,Y399=0,AND(AH399=1,K399&lt;&gt;"Sim")),1,0))</f>
        <v>0</v>
      </c>
      <c r="AJ399" s="96">
        <f>IF(AND(R399=1,AA399&gt;0,AB399=AA399),1,0)</f>
        <v>0</v>
      </c>
      <c r="AK399" s="96">
        <f>IF(R399=0,0,IF(AA399&gt;0,N(L399),IF(ISNUMBER(I399),I399,0)))</f>
        <v>0</v>
      </c>
      <c r="AL399" s="96">
        <f>IF(R399=0,0,IF(AND(K399&lt;&gt;"Sim",N(M399)&gt;AK399+cfg_tol),1,0))</f>
        <v>0</v>
      </c>
      <c r="AM399" s="96">
        <f>IF(R399=0,0,IF(K399="Sim",0,IF(OR(AND(AA399&gt;0,ISNUMBER(I399),ABS(I399-N(L399))&gt;cfg_tol),AL399=1),1,0)))</f>
        <v>0</v>
      </c>
      <c r="AN399" s="96">
        <f>IF(AND(R399=1,N(M399)&gt;0,OR(N(M399)&gt;=AK399-cfg_tol,K399="Sim")),1,0)</f>
        <v>0</v>
      </c>
      <c r="AO399" s="96">
        <f>IF(AND(AN399=1,AD399&gt;0,AE399=AD399,AL399=0),1,0)</f>
        <v>0</v>
      </c>
      <c r="AP399" s="96">
        <f>IF(U399=0,0,IF(AND(INDEX('MTRs'!$AX$6:$AX$505,T399)=1,Z399=0,OR(f_res="",f_res="(Todos)",C399=f_res)),1,0))</f>
        <v>0</v>
      </c>
      <c r="AQ399" s="97" t="str">
        <f>IF(U399=0,"",INDEX('MTRs'!$AZ$6:$AZ$505,T399))</f>
        <v/>
      </c>
      <c r="AR399" s="96">
        <f>IF(U399=0,0,IF(AND(INDEX('MTRs'!$BA$6:$BA$505,T399)=1,Z399=0),1,0))</f>
        <v>0</v>
      </c>
      <c r="AS399" s="96" t="str">
        <f>IF(R399=1,A399&amp;" | MTR "&amp;IF(U399=1,INDEX('MTRs'!$B$6:$B$505,T399)&amp;"","?")&amp;" | "&amp;IF(C399="","(sem resíduo)",C399),"")</f>
        <v/>
      </c>
      <c r="AT399" s="96" t="str">
        <f>IF(R399=1,COUNTIF($R$6:R399,1),"")</f>
        <v/>
      </c>
      <c r="AU399" s="96" t="str">
        <f>IF(U399=1,INDEX('MTRs'!$I$6:$I$505,T399)&amp;"","")</f>
        <v/>
      </c>
    </row>
    <row r="400">
      <c r="A400" s="89" t="inlineStr">
        <is>
          <t>IT-000395</t>
        </is>
      </c>
      <c r="B400" s="91" t="n"/>
      <c r="C400" s="91" t="n"/>
      <c r="D400" s="94" t="str">
        <f>IF(OR(R400=0,V400=0),"",INDEX('CAD_RESÍDUOS'!$E$6:$E$205,MATCH(C400,'CAD_RESÍDUOS'!$B$6:$B$205,0))&amp;"")</f>
        <v/>
      </c>
      <c r="E400" s="94" t="str">
        <f>IF(OR(R400=0,V400=0),"",INDEX('CAD_RESÍDUOS'!$C$6:$C$205,MATCH(C400,'CAD_RESÍDUOS'!$B$6:$B$205,0))&amp;"")</f>
        <v/>
      </c>
      <c r="F400" s="94" t="str">
        <f>IF(OR(R400=0,V400=0),"",INDEX('CAD_RESÍDUOS'!$G$6:$G$205,MATCH(C400,'CAD_RESÍDUOS'!$B$6:$B$205,0))&amp;"")</f>
        <v/>
      </c>
      <c r="G400" s="98" t="n"/>
      <c r="H400" s="91" t="n"/>
      <c r="I400" s="93" t="str">
        <f>IF(R400=0,"",IF(NOT(ISNUMBER(G400)),"",IF(ISNUMBER(X400),G400*X400,"UNIDADE A CONFERIR")))</f>
        <v/>
      </c>
      <c r="J400" s="91" t="n"/>
      <c r="K400" s="91" t="n"/>
      <c r="L400" s="93" t="str">
        <f>IF(R400=0,"",SUMIFS('RECEBIMENTOS'!$H$6:$H$1005,'RECEBIMENTOS'!$R$6:$R$1005,A400,'RECEBIMENTOS'!$X$6:$X$1005,1))</f>
        <v/>
      </c>
      <c r="M400" s="93" t="str">
        <f>IF(R400=0,"",SUMIFS('VÍNCULOS_CDF'!$H$6:$H$1005,'VÍNCULOS_CDF'!$R$6:$R$1005,A400,'VÍNCULOS_CDF'!$V$6:$V$1005,1))</f>
        <v/>
      </c>
      <c r="N400" s="99" t="str">
        <f>IF(OR(R400=0,AA400=0,NOT(ISNUMBER(I400))),"",I400-N(L400))</f>
        <v/>
      </c>
      <c r="O400" s="100" t="str">
        <f>IF(OR(R400=0,AK400&lt;=0),"",N(M400)/AK400)</f>
        <v/>
      </c>
      <c r="P400" s="94" t="str">
        <f>IF(R400=0,"",IF(S400="","Sem MTR associado",IF(U400=0,"MTR inexistente",IF(C400="","Resíduo não identificado",IF(V400=0,"Resíduo fora do cadastro",IF(W400=0,"Quantidade inválida",IF(H400="","Unidade não informada",IF(NOT(ISNUMBER(I400)),"Unidade a conferir",IF(AND(AH400=1,K400&lt;&gt;"Sim"),"Possível duplicidade",IF(Z400=1,"MTR cancelado",IF(AC400&gt;0,"Recebimento com alerta",IF(AA400=0,"Aguardando recebimento",IF(AB400&lt;AA400,"Recebimento a conferir",IF(AM400=1,"Quantidade a revisar",IF(AF400&gt;0,"Vínculo a revisar",IF(AD400=0,"Aguardando CDF",IF(AN400=0,"Vínculo de CDF parcial",IF(AE400&lt;AD400,"CDF a conferir","Documentação conferida"))))))))))))))))))</f>
        <v/>
      </c>
      <c r="Q400" s="93" t="str">
        <f>IF(OR(R400=0,AA400=0),"",MAX(0,N(L400)-N(M400)))</f>
        <v/>
      </c>
      <c r="R400" s="96">
        <f>IF(COUNTA(B400:C400,G400:H400,J400:K400)&gt;0,1,0)</f>
        <v>0</v>
      </c>
      <c r="S400" s="96" t="str">
        <f>IF(B400="","",TRIM(LEFT(B400,FIND(" |",B400&amp;" |")-1)))</f>
        <v/>
      </c>
      <c r="T400" s="96" t="str">
        <f>IF(S400="","",IFERROR(MATCH(S400,'MTRs'!$A$6:$A$505,0),""))</f>
        <v/>
      </c>
      <c r="U400" s="96">
        <f>IF(T400="",0,IF(INDEX('MTRs'!$Z$6:$Z$505,T400)=1,1,0))</f>
        <v>0</v>
      </c>
      <c r="V400" s="96">
        <f>IF(C400="",0,IF(ISNUMBER(MATCH(C400,'CAD_RESÍDUOS'!$B$6:$B$205,0)),1,0))</f>
        <v>0</v>
      </c>
      <c r="W400" s="96">
        <f>IF(AND(ISNUMBER(G400),G400&gt;0),1,0)</f>
        <v>0</v>
      </c>
      <c r="X400" s="96" t="str">
        <f>IF(H400="","",IFERROR(IF(ISNUMBER(INDEX(cfg_fac,MATCH(H400,cfg_units,0))),IF(INDEX(cfg_fac,MATCH(H400,cfg_units,0))&gt;0,INDEX(cfg_fac,MATCH(H400,cfg_units,0)),""),""),""))</f>
        <v/>
      </c>
      <c r="Y400" s="96">
        <f>IF(AND(W400=1,ISNUMBER(I400)),1,0)</f>
        <v>0</v>
      </c>
      <c r="Z400" s="96">
        <f>IF(U400=1,INDEX('MTRs'!$AA$6:$AA$505,T400),0)</f>
        <v>0</v>
      </c>
      <c r="AA400" s="96">
        <f>IF(R400=0,0,COUNTIFS('RECEBIMENTOS'!$R$6:$R$1005,A400,'RECEBIMENTOS'!$Q$6:$Q$1005,1))</f>
        <v>0</v>
      </c>
      <c r="AB400" s="96">
        <f>IF(R400=0,0,COUNTIFS('RECEBIMENTOS'!$R$6:$R$1005,A400,'RECEBIMENTOS'!$Z$6:$Z$1005,1))</f>
        <v>0</v>
      </c>
      <c r="AC400" s="96">
        <f>IF(R400=0,0,COUNTIFS('RECEBIMENTOS'!$R$6:$R$1005,A400,'RECEBIMENTOS'!$Y$6:$Y$1005,1))</f>
        <v>0</v>
      </c>
      <c r="AD400" s="96">
        <f>IF(R400=0,0,COUNTIFS('VÍNCULOS_CDF'!$R$6:$R$1005,A400,'VÍNCULOS_CDF'!$N$6:$N$1005,1))</f>
        <v>0</v>
      </c>
      <c r="AE400" s="96">
        <f>IF(R400=0,0,COUNTIFS('VÍNCULOS_CDF'!$R$6:$R$1005,A400,'VÍNCULOS_CDF'!$AA$6:$AA$1005,1))</f>
        <v>0</v>
      </c>
      <c r="AF400" s="96">
        <f>IF(R400=0,0,COUNTIFS('VÍNCULOS_CDF'!$R$6:$R$1005,A400,'VÍNCULOS_CDF'!$Y$6:$Y$1005,1))</f>
        <v>0</v>
      </c>
      <c r="AG400" s="96" t="str">
        <f>IF(AND(R400=1,S400&lt;&gt;"",C400&lt;&gt;""),S400&amp;"|"&amp;C400&amp;"|"&amp;G400&amp;"|"&amp;H400,"")</f>
        <v/>
      </c>
      <c r="AH400" s="96">
        <f>IF(AG400="",0,IF(SUMPRODUCT(--($AG$6:$AG$1005=AG400))&gt;1,1,0))</f>
        <v>0</v>
      </c>
      <c r="AI400" s="96">
        <f>IF(R400=0,0,IF(OR(U400=0,V400=0,Y400=0,AND(AH400=1,K400&lt;&gt;"Sim")),1,0))</f>
        <v>0</v>
      </c>
      <c r="AJ400" s="96">
        <f>IF(AND(R400=1,AA400&gt;0,AB400=AA400),1,0)</f>
        <v>0</v>
      </c>
      <c r="AK400" s="96">
        <f>IF(R400=0,0,IF(AA400&gt;0,N(L400),IF(ISNUMBER(I400),I400,0)))</f>
        <v>0</v>
      </c>
      <c r="AL400" s="96">
        <f>IF(R400=0,0,IF(AND(K400&lt;&gt;"Sim",N(M400)&gt;AK400+cfg_tol),1,0))</f>
        <v>0</v>
      </c>
      <c r="AM400" s="96">
        <f>IF(R400=0,0,IF(K400="Sim",0,IF(OR(AND(AA400&gt;0,ISNUMBER(I400),ABS(I400-N(L400))&gt;cfg_tol),AL400=1),1,0)))</f>
        <v>0</v>
      </c>
      <c r="AN400" s="96">
        <f>IF(AND(R400=1,N(M400)&gt;0,OR(N(M400)&gt;=AK400-cfg_tol,K400="Sim")),1,0)</f>
        <v>0</v>
      </c>
      <c r="AO400" s="96">
        <f>IF(AND(AN400=1,AD400&gt;0,AE400=AD400,AL400=0),1,0)</f>
        <v>0</v>
      </c>
      <c r="AP400" s="96">
        <f>IF(U400=0,0,IF(AND(INDEX('MTRs'!$AX$6:$AX$505,T400)=1,Z400=0,OR(f_res="",f_res="(Todos)",C400=f_res)),1,0))</f>
        <v>0</v>
      </c>
      <c r="AQ400" s="97" t="str">
        <f>IF(U400=0,"",INDEX('MTRs'!$AZ$6:$AZ$505,T400))</f>
        <v/>
      </c>
      <c r="AR400" s="96">
        <f>IF(U400=0,0,IF(AND(INDEX('MTRs'!$BA$6:$BA$505,T400)=1,Z400=0),1,0))</f>
        <v>0</v>
      </c>
      <c r="AS400" s="96" t="str">
        <f>IF(R400=1,A400&amp;" | MTR "&amp;IF(U400=1,INDEX('MTRs'!$B$6:$B$505,T400)&amp;"","?")&amp;" | "&amp;IF(C400="","(sem resíduo)",C400),"")</f>
        <v/>
      </c>
      <c r="AT400" s="96" t="str">
        <f>IF(R400=1,COUNTIF($R$6:R400,1),"")</f>
        <v/>
      </c>
      <c r="AU400" s="96" t="str">
        <f>IF(U400=1,INDEX('MTRs'!$I$6:$I$505,T400)&amp;"","")</f>
        <v/>
      </c>
    </row>
    <row r="401">
      <c r="A401" s="89" t="inlineStr">
        <is>
          <t>IT-000396</t>
        </is>
      </c>
      <c r="B401" s="91" t="n"/>
      <c r="C401" s="91" t="n"/>
      <c r="D401" s="94" t="str">
        <f>IF(OR(R401=0,V401=0),"",INDEX('CAD_RESÍDUOS'!$E$6:$E$205,MATCH(C401,'CAD_RESÍDUOS'!$B$6:$B$205,0))&amp;"")</f>
        <v/>
      </c>
      <c r="E401" s="94" t="str">
        <f>IF(OR(R401=0,V401=0),"",INDEX('CAD_RESÍDUOS'!$C$6:$C$205,MATCH(C401,'CAD_RESÍDUOS'!$B$6:$B$205,0))&amp;"")</f>
        <v/>
      </c>
      <c r="F401" s="94" t="str">
        <f>IF(OR(R401=0,V401=0),"",INDEX('CAD_RESÍDUOS'!$G$6:$G$205,MATCH(C401,'CAD_RESÍDUOS'!$B$6:$B$205,0))&amp;"")</f>
        <v/>
      </c>
      <c r="G401" s="98" t="n"/>
      <c r="H401" s="91" t="n"/>
      <c r="I401" s="93" t="str">
        <f>IF(R401=0,"",IF(NOT(ISNUMBER(G401)),"",IF(ISNUMBER(X401),G401*X401,"UNIDADE A CONFERIR")))</f>
        <v/>
      </c>
      <c r="J401" s="91" t="n"/>
      <c r="K401" s="91" t="n"/>
      <c r="L401" s="93" t="str">
        <f>IF(R401=0,"",SUMIFS('RECEBIMENTOS'!$H$6:$H$1005,'RECEBIMENTOS'!$R$6:$R$1005,A401,'RECEBIMENTOS'!$X$6:$X$1005,1))</f>
        <v/>
      </c>
      <c r="M401" s="93" t="str">
        <f>IF(R401=0,"",SUMIFS('VÍNCULOS_CDF'!$H$6:$H$1005,'VÍNCULOS_CDF'!$R$6:$R$1005,A401,'VÍNCULOS_CDF'!$V$6:$V$1005,1))</f>
        <v/>
      </c>
      <c r="N401" s="99" t="str">
        <f>IF(OR(R401=0,AA401=0,NOT(ISNUMBER(I401))),"",I401-N(L401))</f>
        <v/>
      </c>
      <c r="O401" s="100" t="str">
        <f>IF(OR(R401=0,AK401&lt;=0),"",N(M401)/AK401)</f>
        <v/>
      </c>
      <c r="P401" s="94" t="str">
        <f>IF(R401=0,"",IF(S401="","Sem MTR associado",IF(U401=0,"MTR inexistente",IF(C401="","Resíduo não identificado",IF(V401=0,"Resíduo fora do cadastro",IF(W401=0,"Quantidade inválida",IF(H401="","Unidade não informada",IF(NOT(ISNUMBER(I401)),"Unidade a conferir",IF(AND(AH401=1,K401&lt;&gt;"Sim"),"Possível duplicidade",IF(Z401=1,"MTR cancelado",IF(AC401&gt;0,"Recebimento com alerta",IF(AA401=0,"Aguardando recebimento",IF(AB401&lt;AA401,"Recebimento a conferir",IF(AM401=1,"Quantidade a revisar",IF(AF401&gt;0,"Vínculo a revisar",IF(AD401=0,"Aguardando CDF",IF(AN401=0,"Vínculo de CDF parcial",IF(AE401&lt;AD401,"CDF a conferir","Documentação conferida"))))))))))))))))))</f>
        <v/>
      </c>
      <c r="Q401" s="93" t="str">
        <f>IF(OR(R401=0,AA401=0),"",MAX(0,N(L401)-N(M401)))</f>
        <v/>
      </c>
      <c r="R401" s="96">
        <f>IF(COUNTA(B401:C401,G401:H401,J401:K401)&gt;0,1,0)</f>
        <v>0</v>
      </c>
      <c r="S401" s="96" t="str">
        <f>IF(B401="","",TRIM(LEFT(B401,FIND(" |",B401&amp;" |")-1)))</f>
        <v/>
      </c>
      <c r="T401" s="96" t="str">
        <f>IF(S401="","",IFERROR(MATCH(S401,'MTRs'!$A$6:$A$505,0),""))</f>
        <v/>
      </c>
      <c r="U401" s="96">
        <f>IF(T401="",0,IF(INDEX('MTRs'!$Z$6:$Z$505,T401)=1,1,0))</f>
        <v>0</v>
      </c>
      <c r="V401" s="96">
        <f>IF(C401="",0,IF(ISNUMBER(MATCH(C401,'CAD_RESÍDUOS'!$B$6:$B$205,0)),1,0))</f>
        <v>0</v>
      </c>
      <c r="W401" s="96">
        <f>IF(AND(ISNUMBER(G401),G401&gt;0),1,0)</f>
        <v>0</v>
      </c>
      <c r="X401" s="96" t="str">
        <f>IF(H401="","",IFERROR(IF(ISNUMBER(INDEX(cfg_fac,MATCH(H401,cfg_units,0))),IF(INDEX(cfg_fac,MATCH(H401,cfg_units,0))&gt;0,INDEX(cfg_fac,MATCH(H401,cfg_units,0)),""),""),""))</f>
        <v/>
      </c>
      <c r="Y401" s="96">
        <f>IF(AND(W401=1,ISNUMBER(I401)),1,0)</f>
        <v>0</v>
      </c>
      <c r="Z401" s="96">
        <f>IF(U401=1,INDEX('MTRs'!$AA$6:$AA$505,T401),0)</f>
        <v>0</v>
      </c>
      <c r="AA401" s="96">
        <f>IF(R401=0,0,COUNTIFS('RECEBIMENTOS'!$R$6:$R$1005,A401,'RECEBIMENTOS'!$Q$6:$Q$1005,1))</f>
        <v>0</v>
      </c>
      <c r="AB401" s="96">
        <f>IF(R401=0,0,COUNTIFS('RECEBIMENTOS'!$R$6:$R$1005,A401,'RECEBIMENTOS'!$Z$6:$Z$1005,1))</f>
        <v>0</v>
      </c>
      <c r="AC401" s="96">
        <f>IF(R401=0,0,COUNTIFS('RECEBIMENTOS'!$R$6:$R$1005,A401,'RECEBIMENTOS'!$Y$6:$Y$1005,1))</f>
        <v>0</v>
      </c>
      <c r="AD401" s="96">
        <f>IF(R401=0,0,COUNTIFS('VÍNCULOS_CDF'!$R$6:$R$1005,A401,'VÍNCULOS_CDF'!$N$6:$N$1005,1))</f>
        <v>0</v>
      </c>
      <c r="AE401" s="96">
        <f>IF(R401=0,0,COUNTIFS('VÍNCULOS_CDF'!$R$6:$R$1005,A401,'VÍNCULOS_CDF'!$AA$6:$AA$1005,1))</f>
        <v>0</v>
      </c>
      <c r="AF401" s="96">
        <f>IF(R401=0,0,COUNTIFS('VÍNCULOS_CDF'!$R$6:$R$1005,A401,'VÍNCULOS_CDF'!$Y$6:$Y$1005,1))</f>
        <v>0</v>
      </c>
      <c r="AG401" s="96" t="str">
        <f>IF(AND(R401=1,S401&lt;&gt;"",C401&lt;&gt;""),S401&amp;"|"&amp;C401&amp;"|"&amp;G401&amp;"|"&amp;H401,"")</f>
        <v/>
      </c>
      <c r="AH401" s="96">
        <f>IF(AG401="",0,IF(SUMPRODUCT(--($AG$6:$AG$1005=AG401))&gt;1,1,0))</f>
        <v>0</v>
      </c>
      <c r="AI401" s="96">
        <f>IF(R401=0,0,IF(OR(U401=0,V401=0,Y401=0,AND(AH401=1,K401&lt;&gt;"Sim")),1,0))</f>
        <v>0</v>
      </c>
      <c r="AJ401" s="96">
        <f>IF(AND(R401=1,AA401&gt;0,AB401=AA401),1,0)</f>
        <v>0</v>
      </c>
      <c r="AK401" s="96">
        <f>IF(R401=0,0,IF(AA401&gt;0,N(L401),IF(ISNUMBER(I401),I401,0)))</f>
        <v>0</v>
      </c>
      <c r="AL401" s="96">
        <f>IF(R401=0,0,IF(AND(K401&lt;&gt;"Sim",N(M401)&gt;AK401+cfg_tol),1,0))</f>
        <v>0</v>
      </c>
      <c r="AM401" s="96">
        <f>IF(R401=0,0,IF(K401="Sim",0,IF(OR(AND(AA401&gt;0,ISNUMBER(I401),ABS(I401-N(L401))&gt;cfg_tol),AL401=1),1,0)))</f>
        <v>0</v>
      </c>
      <c r="AN401" s="96">
        <f>IF(AND(R401=1,N(M401)&gt;0,OR(N(M401)&gt;=AK401-cfg_tol,K401="Sim")),1,0)</f>
        <v>0</v>
      </c>
      <c r="AO401" s="96">
        <f>IF(AND(AN401=1,AD401&gt;0,AE401=AD401,AL401=0),1,0)</f>
        <v>0</v>
      </c>
      <c r="AP401" s="96">
        <f>IF(U401=0,0,IF(AND(INDEX('MTRs'!$AX$6:$AX$505,T401)=1,Z401=0,OR(f_res="",f_res="(Todos)",C401=f_res)),1,0))</f>
        <v>0</v>
      </c>
      <c r="AQ401" s="97" t="str">
        <f>IF(U401=0,"",INDEX('MTRs'!$AZ$6:$AZ$505,T401))</f>
        <v/>
      </c>
      <c r="AR401" s="96">
        <f>IF(U401=0,0,IF(AND(INDEX('MTRs'!$BA$6:$BA$505,T401)=1,Z401=0),1,0))</f>
        <v>0</v>
      </c>
      <c r="AS401" s="96" t="str">
        <f>IF(R401=1,A401&amp;" | MTR "&amp;IF(U401=1,INDEX('MTRs'!$B$6:$B$505,T401)&amp;"","?")&amp;" | "&amp;IF(C401="","(sem resíduo)",C401),"")</f>
        <v/>
      </c>
      <c r="AT401" s="96" t="str">
        <f>IF(R401=1,COUNTIF($R$6:R401,1),"")</f>
        <v/>
      </c>
      <c r="AU401" s="96" t="str">
        <f>IF(U401=1,INDEX('MTRs'!$I$6:$I$505,T401)&amp;"","")</f>
        <v/>
      </c>
    </row>
    <row r="402">
      <c r="A402" s="89" t="inlineStr">
        <is>
          <t>IT-000397</t>
        </is>
      </c>
      <c r="B402" s="91" t="n"/>
      <c r="C402" s="91" t="n"/>
      <c r="D402" s="94" t="str">
        <f>IF(OR(R402=0,V402=0),"",INDEX('CAD_RESÍDUOS'!$E$6:$E$205,MATCH(C402,'CAD_RESÍDUOS'!$B$6:$B$205,0))&amp;"")</f>
        <v/>
      </c>
      <c r="E402" s="94" t="str">
        <f>IF(OR(R402=0,V402=0),"",INDEX('CAD_RESÍDUOS'!$C$6:$C$205,MATCH(C402,'CAD_RESÍDUOS'!$B$6:$B$205,0))&amp;"")</f>
        <v/>
      </c>
      <c r="F402" s="94" t="str">
        <f>IF(OR(R402=0,V402=0),"",INDEX('CAD_RESÍDUOS'!$G$6:$G$205,MATCH(C402,'CAD_RESÍDUOS'!$B$6:$B$205,0))&amp;"")</f>
        <v/>
      </c>
      <c r="G402" s="98" t="n"/>
      <c r="H402" s="91" t="n"/>
      <c r="I402" s="93" t="str">
        <f>IF(R402=0,"",IF(NOT(ISNUMBER(G402)),"",IF(ISNUMBER(X402),G402*X402,"UNIDADE A CONFERIR")))</f>
        <v/>
      </c>
      <c r="J402" s="91" t="n"/>
      <c r="K402" s="91" t="n"/>
      <c r="L402" s="93" t="str">
        <f>IF(R402=0,"",SUMIFS('RECEBIMENTOS'!$H$6:$H$1005,'RECEBIMENTOS'!$R$6:$R$1005,A402,'RECEBIMENTOS'!$X$6:$X$1005,1))</f>
        <v/>
      </c>
      <c r="M402" s="93" t="str">
        <f>IF(R402=0,"",SUMIFS('VÍNCULOS_CDF'!$H$6:$H$1005,'VÍNCULOS_CDF'!$R$6:$R$1005,A402,'VÍNCULOS_CDF'!$V$6:$V$1005,1))</f>
        <v/>
      </c>
      <c r="N402" s="99" t="str">
        <f>IF(OR(R402=0,AA402=0,NOT(ISNUMBER(I402))),"",I402-N(L402))</f>
        <v/>
      </c>
      <c r="O402" s="100" t="str">
        <f>IF(OR(R402=0,AK402&lt;=0),"",N(M402)/AK402)</f>
        <v/>
      </c>
      <c r="P402" s="94" t="str">
        <f>IF(R402=0,"",IF(S402="","Sem MTR associado",IF(U402=0,"MTR inexistente",IF(C402="","Resíduo não identificado",IF(V402=0,"Resíduo fora do cadastro",IF(W402=0,"Quantidade inválida",IF(H402="","Unidade não informada",IF(NOT(ISNUMBER(I402)),"Unidade a conferir",IF(AND(AH402=1,K402&lt;&gt;"Sim"),"Possível duplicidade",IF(Z402=1,"MTR cancelado",IF(AC402&gt;0,"Recebimento com alerta",IF(AA402=0,"Aguardando recebimento",IF(AB402&lt;AA402,"Recebimento a conferir",IF(AM402=1,"Quantidade a revisar",IF(AF402&gt;0,"Vínculo a revisar",IF(AD402=0,"Aguardando CDF",IF(AN402=0,"Vínculo de CDF parcial",IF(AE402&lt;AD402,"CDF a conferir","Documentação conferida"))))))))))))))))))</f>
        <v/>
      </c>
      <c r="Q402" s="93" t="str">
        <f>IF(OR(R402=0,AA402=0),"",MAX(0,N(L402)-N(M402)))</f>
        <v/>
      </c>
      <c r="R402" s="96">
        <f>IF(COUNTA(B402:C402,G402:H402,J402:K402)&gt;0,1,0)</f>
        <v>0</v>
      </c>
      <c r="S402" s="96" t="str">
        <f>IF(B402="","",TRIM(LEFT(B402,FIND(" |",B402&amp;" |")-1)))</f>
        <v/>
      </c>
      <c r="T402" s="96" t="str">
        <f>IF(S402="","",IFERROR(MATCH(S402,'MTRs'!$A$6:$A$505,0),""))</f>
        <v/>
      </c>
      <c r="U402" s="96">
        <f>IF(T402="",0,IF(INDEX('MTRs'!$Z$6:$Z$505,T402)=1,1,0))</f>
        <v>0</v>
      </c>
      <c r="V402" s="96">
        <f>IF(C402="",0,IF(ISNUMBER(MATCH(C402,'CAD_RESÍDUOS'!$B$6:$B$205,0)),1,0))</f>
        <v>0</v>
      </c>
      <c r="W402" s="96">
        <f>IF(AND(ISNUMBER(G402),G402&gt;0),1,0)</f>
        <v>0</v>
      </c>
      <c r="X402" s="96" t="str">
        <f>IF(H402="","",IFERROR(IF(ISNUMBER(INDEX(cfg_fac,MATCH(H402,cfg_units,0))),IF(INDEX(cfg_fac,MATCH(H402,cfg_units,0))&gt;0,INDEX(cfg_fac,MATCH(H402,cfg_units,0)),""),""),""))</f>
        <v/>
      </c>
      <c r="Y402" s="96">
        <f>IF(AND(W402=1,ISNUMBER(I402)),1,0)</f>
        <v>0</v>
      </c>
      <c r="Z402" s="96">
        <f>IF(U402=1,INDEX('MTRs'!$AA$6:$AA$505,T402),0)</f>
        <v>0</v>
      </c>
      <c r="AA402" s="96">
        <f>IF(R402=0,0,COUNTIFS('RECEBIMENTOS'!$R$6:$R$1005,A402,'RECEBIMENTOS'!$Q$6:$Q$1005,1))</f>
        <v>0</v>
      </c>
      <c r="AB402" s="96">
        <f>IF(R402=0,0,COUNTIFS('RECEBIMENTOS'!$R$6:$R$1005,A402,'RECEBIMENTOS'!$Z$6:$Z$1005,1))</f>
        <v>0</v>
      </c>
      <c r="AC402" s="96">
        <f>IF(R402=0,0,COUNTIFS('RECEBIMENTOS'!$R$6:$R$1005,A402,'RECEBIMENTOS'!$Y$6:$Y$1005,1))</f>
        <v>0</v>
      </c>
      <c r="AD402" s="96">
        <f>IF(R402=0,0,COUNTIFS('VÍNCULOS_CDF'!$R$6:$R$1005,A402,'VÍNCULOS_CDF'!$N$6:$N$1005,1))</f>
        <v>0</v>
      </c>
      <c r="AE402" s="96">
        <f>IF(R402=0,0,COUNTIFS('VÍNCULOS_CDF'!$R$6:$R$1005,A402,'VÍNCULOS_CDF'!$AA$6:$AA$1005,1))</f>
        <v>0</v>
      </c>
      <c r="AF402" s="96">
        <f>IF(R402=0,0,COUNTIFS('VÍNCULOS_CDF'!$R$6:$R$1005,A402,'VÍNCULOS_CDF'!$Y$6:$Y$1005,1))</f>
        <v>0</v>
      </c>
      <c r="AG402" s="96" t="str">
        <f>IF(AND(R402=1,S402&lt;&gt;"",C402&lt;&gt;""),S402&amp;"|"&amp;C402&amp;"|"&amp;G402&amp;"|"&amp;H402,"")</f>
        <v/>
      </c>
      <c r="AH402" s="96">
        <f>IF(AG402="",0,IF(SUMPRODUCT(--($AG$6:$AG$1005=AG402))&gt;1,1,0))</f>
        <v>0</v>
      </c>
      <c r="AI402" s="96">
        <f>IF(R402=0,0,IF(OR(U402=0,V402=0,Y402=0,AND(AH402=1,K402&lt;&gt;"Sim")),1,0))</f>
        <v>0</v>
      </c>
      <c r="AJ402" s="96">
        <f>IF(AND(R402=1,AA402&gt;0,AB402=AA402),1,0)</f>
        <v>0</v>
      </c>
      <c r="AK402" s="96">
        <f>IF(R402=0,0,IF(AA402&gt;0,N(L402),IF(ISNUMBER(I402),I402,0)))</f>
        <v>0</v>
      </c>
      <c r="AL402" s="96">
        <f>IF(R402=0,0,IF(AND(K402&lt;&gt;"Sim",N(M402)&gt;AK402+cfg_tol),1,0))</f>
        <v>0</v>
      </c>
      <c r="AM402" s="96">
        <f>IF(R402=0,0,IF(K402="Sim",0,IF(OR(AND(AA402&gt;0,ISNUMBER(I402),ABS(I402-N(L402))&gt;cfg_tol),AL402=1),1,0)))</f>
        <v>0</v>
      </c>
      <c r="AN402" s="96">
        <f>IF(AND(R402=1,N(M402)&gt;0,OR(N(M402)&gt;=AK402-cfg_tol,K402="Sim")),1,0)</f>
        <v>0</v>
      </c>
      <c r="AO402" s="96">
        <f>IF(AND(AN402=1,AD402&gt;0,AE402=AD402,AL402=0),1,0)</f>
        <v>0</v>
      </c>
      <c r="AP402" s="96">
        <f>IF(U402=0,0,IF(AND(INDEX('MTRs'!$AX$6:$AX$505,T402)=1,Z402=0,OR(f_res="",f_res="(Todos)",C402=f_res)),1,0))</f>
        <v>0</v>
      </c>
      <c r="AQ402" s="97" t="str">
        <f>IF(U402=0,"",INDEX('MTRs'!$AZ$6:$AZ$505,T402))</f>
        <v/>
      </c>
      <c r="AR402" s="96">
        <f>IF(U402=0,0,IF(AND(INDEX('MTRs'!$BA$6:$BA$505,T402)=1,Z402=0),1,0))</f>
        <v>0</v>
      </c>
      <c r="AS402" s="96" t="str">
        <f>IF(R402=1,A402&amp;" | MTR "&amp;IF(U402=1,INDEX('MTRs'!$B$6:$B$505,T402)&amp;"","?")&amp;" | "&amp;IF(C402="","(sem resíduo)",C402),"")</f>
        <v/>
      </c>
      <c r="AT402" s="96" t="str">
        <f>IF(R402=1,COUNTIF($R$6:R402,1),"")</f>
        <v/>
      </c>
      <c r="AU402" s="96" t="str">
        <f>IF(U402=1,INDEX('MTRs'!$I$6:$I$505,T402)&amp;"","")</f>
        <v/>
      </c>
    </row>
    <row r="403">
      <c r="A403" s="89" t="inlineStr">
        <is>
          <t>IT-000398</t>
        </is>
      </c>
      <c r="B403" s="91" t="n"/>
      <c r="C403" s="91" t="n"/>
      <c r="D403" s="94" t="str">
        <f>IF(OR(R403=0,V403=0),"",INDEX('CAD_RESÍDUOS'!$E$6:$E$205,MATCH(C403,'CAD_RESÍDUOS'!$B$6:$B$205,0))&amp;"")</f>
        <v/>
      </c>
      <c r="E403" s="94" t="str">
        <f>IF(OR(R403=0,V403=0),"",INDEX('CAD_RESÍDUOS'!$C$6:$C$205,MATCH(C403,'CAD_RESÍDUOS'!$B$6:$B$205,0))&amp;"")</f>
        <v/>
      </c>
      <c r="F403" s="94" t="str">
        <f>IF(OR(R403=0,V403=0),"",INDEX('CAD_RESÍDUOS'!$G$6:$G$205,MATCH(C403,'CAD_RESÍDUOS'!$B$6:$B$205,0))&amp;"")</f>
        <v/>
      </c>
      <c r="G403" s="98" t="n"/>
      <c r="H403" s="91" t="n"/>
      <c r="I403" s="93" t="str">
        <f>IF(R403=0,"",IF(NOT(ISNUMBER(G403)),"",IF(ISNUMBER(X403),G403*X403,"UNIDADE A CONFERIR")))</f>
        <v/>
      </c>
      <c r="J403" s="91" t="n"/>
      <c r="K403" s="91" t="n"/>
      <c r="L403" s="93" t="str">
        <f>IF(R403=0,"",SUMIFS('RECEBIMENTOS'!$H$6:$H$1005,'RECEBIMENTOS'!$R$6:$R$1005,A403,'RECEBIMENTOS'!$X$6:$X$1005,1))</f>
        <v/>
      </c>
      <c r="M403" s="93" t="str">
        <f>IF(R403=0,"",SUMIFS('VÍNCULOS_CDF'!$H$6:$H$1005,'VÍNCULOS_CDF'!$R$6:$R$1005,A403,'VÍNCULOS_CDF'!$V$6:$V$1005,1))</f>
        <v/>
      </c>
      <c r="N403" s="99" t="str">
        <f>IF(OR(R403=0,AA403=0,NOT(ISNUMBER(I403))),"",I403-N(L403))</f>
        <v/>
      </c>
      <c r="O403" s="100" t="str">
        <f>IF(OR(R403=0,AK403&lt;=0),"",N(M403)/AK403)</f>
        <v/>
      </c>
      <c r="P403" s="94" t="str">
        <f>IF(R403=0,"",IF(S403="","Sem MTR associado",IF(U403=0,"MTR inexistente",IF(C403="","Resíduo não identificado",IF(V403=0,"Resíduo fora do cadastro",IF(W403=0,"Quantidade inválida",IF(H403="","Unidade não informada",IF(NOT(ISNUMBER(I403)),"Unidade a conferir",IF(AND(AH403=1,K403&lt;&gt;"Sim"),"Possível duplicidade",IF(Z403=1,"MTR cancelado",IF(AC403&gt;0,"Recebimento com alerta",IF(AA403=0,"Aguardando recebimento",IF(AB403&lt;AA403,"Recebimento a conferir",IF(AM403=1,"Quantidade a revisar",IF(AF403&gt;0,"Vínculo a revisar",IF(AD403=0,"Aguardando CDF",IF(AN403=0,"Vínculo de CDF parcial",IF(AE403&lt;AD403,"CDF a conferir","Documentação conferida"))))))))))))))))))</f>
        <v/>
      </c>
      <c r="Q403" s="93" t="str">
        <f>IF(OR(R403=0,AA403=0),"",MAX(0,N(L403)-N(M403)))</f>
        <v/>
      </c>
      <c r="R403" s="96">
        <f>IF(COUNTA(B403:C403,G403:H403,J403:K403)&gt;0,1,0)</f>
        <v>0</v>
      </c>
      <c r="S403" s="96" t="str">
        <f>IF(B403="","",TRIM(LEFT(B403,FIND(" |",B403&amp;" |")-1)))</f>
        <v/>
      </c>
      <c r="T403" s="96" t="str">
        <f>IF(S403="","",IFERROR(MATCH(S403,'MTRs'!$A$6:$A$505,0),""))</f>
        <v/>
      </c>
      <c r="U403" s="96">
        <f>IF(T403="",0,IF(INDEX('MTRs'!$Z$6:$Z$505,T403)=1,1,0))</f>
        <v>0</v>
      </c>
      <c r="V403" s="96">
        <f>IF(C403="",0,IF(ISNUMBER(MATCH(C403,'CAD_RESÍDUOS'!$B$6:$B$205,0)),1,0))</f>
        <v>0</v>
      </c>
      <c r="W403" s="96">
        <f>IF(AND(ISNUMBER(G403),G403&gt;0),1,0)</f>
        <v>0</v>
      </c>
      <c r="X403" s="96" t="str">
        <f>IF(H403="","",IFERROR(IF(ISNUMBER(INDEX(cfg_fac,MATCH(H403,cfg_units,0))),IF(INDEX(cfg_fac,MATCH(H403,cfg_units,0))&gt;0,INDEX(cfg_fac,MATCH(H403,cfg_units,0)),""),""),""))</f>
        <v/>
      </c>
      <c r="Y403" s="96">
        <f>IF(AND(W403=1,ISNUMBER(I403)),1,0)</f>
        <v>0</v>
      </c>
      <c r="Z403" s="96">
        <f>IF(U403=1,INDEX('MTRs'!$AA$6:$AA$505,T403),0)</f>
        <v>0</v>
      </c>
      <c r="AA403" s="96">
        <f>IF(R403=0,0,COUNTIFS('RECEBIMENTOS'!$R$6:$R$1005,A403,'RECEBIMENTOS'!$Q$6:$Q$1005,1))</f>
        <v>0</v>
      </c>
      <c r="AB403" s="96">
        <f>IF(R403=0,0,COUNTIFS('RECEBIMENTOS'!$R$6:$R$1005,A403,'RECEBIMENTOS'!$Z$6:$Z$1005,1))</f>
        <v>0</v>
      </c>
      <c r="AC403" s="96">
        <f>IF(R403=0,0,COUNTIFS('RECEBIMENTOS'!$R$6:$R$1005,A403,'RECEBIMENTOS'!$Y$6:$Y$1005,1))</f>
        <v>0</v>
      </c>
      <c r="AD403" s="96">
        <f>IF(R403=0,0,COUNTIFS('VÍNCULOS_CDF'!$R$6:$R$1005,A403,'VÍNCULOS_CDF'!$N$6:$N$1005,1))</f>
        <v>0</v>
      </c>
      <c r="AE403" s="96">
        <f>IF(R403=0,0,COUNTIFS('VÍNCULOS_CDF'!$R$6:$R$1005,A403,'VÍNCULOS_CDF'!$AA$6:$AA$1005,1))</f>
        <v>0</v>
      </c>
      <c r="AF403" s="96">
        <f>IF(R403=0,0,COUNTIFS('VÍNCULOS_CDF'!$R$6:$R$1005,A403,'VÍNCULOS_CDF'!$Y$6:$Y$1005,1))</f>
        <v>0</v>
      </c>
      <c r="AG403" s="96" t="str">
        <f>IF(AND(R403=1,S403&lt;&gt;"",C403&lt;&gt;""),S403&amp;"|"&amp;C403&amp;"|"&amp;G403&amp;"|"&amp;H403,"")</f>
        <v/>
      </c>
      <c r="AH403" s="96">
        <f>IF(AG403="",0,IF(SUMPRODUCT(--($AG$6:$AG$1005=AG403))&gt;1,1,0))</f>
        <v>0</v>
      </c>
      <c r="AI403" s="96">
        <f>IF(R403=0,0,IF(OR(U403=0,V403=0,Y403=0,AND(AH403=1,K403&lt;&gt;"Sim")),1,0))</f>
        <v>0</v>
      </c>
      <c r="AJ403" s="96">
        <f>IF(AND(R403=1,AA403&gt;0,AB403=AA403),1,0)</f>
        <v>0</v>
      </c>
      <c r="AK403" s="96">
        <f>IF(R403=0,0,IF(AA403&gt;0,N(L403),IF(ISNUMBER(I403),I403,0)))</f>
        <v>0</v>
      </c>
      <c r="AL403" s="96">
        <f>IF(R403=0,0,IF(AND(K403&lt;&gt;"Sim",N(M403)&gt;AK403+cfg_tol),1,0))</f>
        <v>0</v>
      </c>
      <c r="AM403" s="96">
        <f>IF(R403=0,0,IF(K403="Sim",0,IF(OR(AND(AA403&gt;0,ISNUMBER(I403),ABS(I403-N(L403))&gt;cfg_tol),AL403=1),1,0)))</f>
        <v>0</v>
      </c>
      <c r="AN403" s="96">
        <f>IF(AND(R403=1,N(M403)&gt;0,OR(N(M403)&gt;=AK403-cfg_tol,K403="Sim")),1,0)</f>
        <v>0</v>
      </c>
      <c r="AO403" s="96">
        <f>IF(AND(AN403=1,AD403&gt;0,AE403=AD403,AL403=0),1,0)</f>
        <v>0</v>
      </c>
      <c r="AP403" s="96">
        <f>IF(U403=0,0,IF(AND(INDEX('MTRs'!$AX$6:$AX$505,T403)=1,Z403=0,OR(f_res="",f_res="(Todos)",C403=f_res)),1,0))</f>
        <v>0</v>
      </c>
      <c r="AQ403" s="97" t="str">
        <f>IF(U403=0,"",INDEX('MTRs'!$AZ$6:$AZ$505,T403))</f>
        <v/>
      </c>
      <c r="AR403" s="96">
        <f>IF(U403=0,0,IF(AND(INDEX('MTRs'!$BA$6:$BA$505,T403)=1,Z403=0),1,0))</f>
        <v>0</v>
      </c>
      <c r="AS403" s="96" t="str">
        <f>IF(R403=1,A403&amp;" | MTR "&amp;IF(U403=1,INDEX('MTRs'!$B$6:$B$505,T403)&amp;"","?")&amp;" | "&amp;IF(C403="","(sem resíduo)",C403),"")</f>
        <v/>
      </c>
      <c r="AT403" s="96" t="str">
        <f>IF(R403=1,COUNTIF($R$6:R403,1),"")</f>
        <v/>
      </c>
      <c r="AU403" s="96" t="str">
        <f>IF(U403=1,INDEX('MTRs'!$I$6:$I$505,T403)&amp;"","")</f>
        <v/>
      </c>
    </row>
    <row r="404">
      <c r="A404" s="89" t="inlineStr">
        <is>
          <t>IT-000399</t>
        </is>
      </c>
      <c r="B404" s="91" t="n"/>
      <c r="C404" s="91" t="n"/>
      <c r="D404" s="94" t="str">
        <f>IF(OR(R404=0,V404=0),"",INDEX('CAD_RESÍDUOS'!$E$6:$E$205,MATCH(C404,'CAD_RESÍDUOS'!$B$6:$B$205,0))&amp;"")</f>
        <v/>
      </c>
      <c r="E404" s="94" t="str">
        <f>IF(OR(R404=0,V404=0),"",INDEX('CAD_RESÍDUOS'!$C$6:$C$205,MATCH(C404,'CAD_RESÍDUOS'!$B$6:$B$205,0))&amp;"")</f>
        <v/>
      </c>
      <c r="F404" s="94" t="str">
        <f>IF(OR(R404=0,V404=0),"",INDEX('CAD_RESÍDUOS'!$G$6:$G$205,MATCH(C404,'CAD_RESÍDUOS'!$B$6:$B$205,0))&amp;"")</f>
        <v/>
      </c>
      <c r="G404" s="98" t="n"/>
      <c r="H404" s="91" t="n"/>
      <c r="I404" s="93" t="str">
        <f>IF(R404=0,"",IF(NOT(ISNUMBER(G404)),"",IF(ISNUMBER(X404),G404*X404,"UNIDADE A CONFERIR")))</f>
        <v/>
      </c>
      <c r="J404" s="91" t="n"/>
      <c r="K404" s="91" t="n"/>
      <c r="L404" s="93" t="str">
        <f>IF(R404=0,"",SUMIFS('RECEBIMENTOS'!$H$6:$H$1005,'RECEBIMENTOS'!$R$6:$R$1005,A404,'RECEBIMENTOS'!$X$6:$X$1005,1))</f>
        <v/>
      </c>
      <c r="M404" s="93" t="str">
        <f>IF(R404=0,"",SUMIFS('VÍNCULOS_CDF'!$H$6:$H$1005,'VÍNCULOS_CDF'!$R$6:$R$1005,A404,'VÍNCULOS_CDF'!$V$6:$V$1005,1))</f>
        <v/>
      </c>
      <c r="N404" s="99" t="str">
        <f>IF(OR(R404=0,AA404=0,NOT(ISNUMBER(I404))),"",I404-N(L404))</f>
        <v/>
      </c>
      <c r="O404" s="100" t="str">
        <f>IF(OR(R404=0,AK404&lt;=0),"",N(M404)/AK404)</f>
        <v/>
      </c>
      <c r="P404" s="94" t="str">
        <f>IF(R404=0,"",IF(S404="","Sem MTR associado",IF(U404=0,"MTR inexistente",IF(C404="","Resíduo não identificado",IF(V404=0,"Resíduo fora do cadastro",IF(W404=0,"Quantidade inválida",IF(H404="","Unidade não informada",IF(NOT(ISNUMBER(I404)),"Unidade a conferir",IF(AND(AH404=1,K404&lt;&gt;"Sim"),"Possível duplicidade",IF(Z404=1,"MTR cancelado",IF(AC404&gt;0,"Recebimento com alerta",IF(AA404=0,"Aguardando recebimento",IF(AB404&lt;AA404,"Recebimento a conferir",IF(AM404=1,"Quantidade a revisar",IF(AF404&gt;0,"Vínculo a revisar",IF(AD404=0,"Aguardando CDF",IF(AN404=0,"Vínculo de CDF parcial",IF(AE404&lt;AD404,"CDF a conferir","Documentação conferida"))))))))))))))))))</f>
        <v/>
      </c>
      <c r="Q404" s="93" t="str">
        <f>IF(OR(R404=0,AA404=0),"",MAX(0,N(L404)-N(M404)))</f>
        <v/>
      </c>
      <c r="R404" s="96">
        <f>IF(COUNTA(B404:C404,G404:H404,J404:K404)&gt;0,1,0)</f>
        <v>0</v>
      </c>
      <c r="S404" s="96" t="str">
        <f>IF(B404="","",TRIM(LEFT(B404,FIND(" |",B404&amp;" |")-1)))</f>
        <v/>
      </c>
      <c r="T404" s="96" t="str">
        <f>IF(S404="","",IFERROR(MATCH(S404,'MTRs'!$A$6:$A$505,0),""))</f>
        <v/>
      </c>
      <c r="U404" s="96">
        <f>IF(T404="",0,IF(INDEX('MTRs'!$Z$6:$Z$505,T404)=1,1,0))</f>
        <v>0</v>
      </c>
      <c r="V404" s="96">
        <f>IF(C404="",0,IF(ISNUMBER(MATCH(C404,'CAD_RESÍDUOS'!$B$6:$B$205,0)),1,0))</f>
        <v>0</v>
      </c>
      <c r="W404" s="96">
        <f>IF(AND(ISNUMBER(G404),G404&gt;0),1,0)</f>
        <v>0</v>
      </c>
      <c r="X404" s="96" t="str">
        <f>IF(H404="","",IFERROR(IF(ISNUMBER(INDEX(cfg_fac,MATCH(H404,cfg_units,0))),IF(INDEX(cfg_fac,MATCH(H404,cfg_units,0))&gt;0,INDEX(cfg_fac,MATCH(H404,cfg_units,0)),""),""),""))</f>
        <v/>
      </c>
      <c r="Y404" s="96">
        <f>IF(AND(W404=1,ISNUMBER(I404)),1,0)</f>
        <v>0</v>
      </c>
      <c r="Z404" s="96">
        <f>IF(U404=1,INDEX('MTRs'!$AA$6:$AA$505,T404),0)</f>
        <v>0</v>
      </c>
      <c r="AA404" s="96">
        <f>IF(R404=0,0,COUNTIFS('RECEBIMENTOS'!$R$6:$R$1005,A404,'RECEBIMENTOS'!$Q$6:$Q$1005,1))</f>
        <v>0</v>
      </c>
      <c r="AB404" s="96">
        <f>IF(R404=0,0,COUNTIFS('RECEBIMENTOS'!$R$6:$R$1005,A404,'RECEBIMENTOS'!$Z$6:$Z$1005,1))</f>
        <v>0</v>
      </c>
      <c r="AC404" s="96">
        <f>IF(R404=0,0,COUNTIFS('RECEBIMENTOS'!$R$6:$R$1005,A404,'RECEBIMENTOS'!$Y$6:$Y$1005,1))</f>
        <v>0</v>
      </c>
      <c r="AD404" s="96">
        <f>IF(R404=0,0,COUNTIFS('VÍNCULOS_CDF'!$R$6:$R$1005,A404,'VÍNCULOS_CDF'!$N$6:$N$1005,1))</f>
        <v>0</v>
      </c>
      <c r="AE404" s="96">
        <f>IF(R404=0,0,COUNTIFS('VÍNCULOS_CDF'!$R$6:$R$1005,A404,'VÍNCULOS_CDF'!$AA$6:$AA$1005,1))</f>
        <v>0</v>
      </c>
      <c r="AF404" s="96">
        <f>IF(R404=0,0,COUNTIFS('VÍNCULOS_CDF'!$R$6:$R$1005,A404,'VÍNCULOS_CDF'!$Y$6:$Y$1005,1))</f>
        <v>0</v>
      </c>
      <c r="AG404" s="96" t="str">
        <f>IF(AND(R404=1,S404&lt;&gt;"",C404&lt;&gt;""),S404&amp;"|"&amp;C404&amp;"|"&amp;G404&amp;"|"&amp;H404,"")</f>
        <v/>
      </c>
      <c r="AH404" s="96">
        <f>IF(AG404="",0,IF(SUMPRODUCT(--($AG$6:$AG$1005=AG404))&gt;1,1,0))</f>
        <v>0</v>
      </c>
      <c r="AI404" s="96">
        <f>IF(R404=0,0,IF(OR(U404=0,V404=0,Y404=0,AND(AH404=1,K404&lt;&gt;"Sim")),1,0))</f>
        <v>0</v>
      </c>
      <c r="AJ404" s="96">
        <f>IF(AND(R404=1,AA404&gt;0,AB404=AA404),1,0)</f>
        <v>0</v>
      </c>
      <c r="AK404" s="96">
        <f>IF(R404=0,0,IF(AA404&gt;0,N(L404),IF(ISNUMBER(I404),I404,0)))</f>
        <v>0</v>
      </c>
      <c r="AL404" s="96">
        <f>IF(R404=0,0,IF(AND(K404&lt;&gt;"Sim",N(M404)&gt;AK404+cfg_tol),1,0))</f>
        <v>0</v>
      </c>
      <c r="AM404" s="96">
        <f>IF(R404=0,0,IF(K404="Sim",0,IF(OR(AND(AA404&gt;0,ISNUMBER(I404),ABS(I404-N(L404))&gt;cfg_tol),AL404=1),1,0)))</f>
        <v>0</v>
      </c>
      <c r="AN404" s="96">
        <f>IF(AND(R404=1,N(M404)&gt;0,OR(N(M404)&gt;=AK404-cfg_tol,K404="Sim")),1,0)</f>
        <v>0</v>
      </c>
      <c r="AO404" s="96">
        <f>IF(AND(AN404=1,AD404&gt;0,AE404=AD404,AL404=0),1,0)</f>
        <v>0</v>
      </c>
      <c r="AP404" s="96">
        <f>IF(U404=0,0,IF(AND(INDEX('MTRs'!$AX$6:$AX$505,T404)=1,Z404=0,OR(f_res="",f_res="(Todos)",C404=f_res)),1,0))</f>
        <v>0</v>
      </c>
      <c r="AQ404" s="97" t="str">
        <f>IF(U404=0,"",INDEX('MTRs'!$AZ$6:$AZ$505,T404))</f>
        <v/>
      </c>
      <c r="AR404" s="96">
        <f>IF(U404=0,0,IF(AND(INDEX('MTRs'!$BA$6:$BA$505,T404)=1,Z404=0),1,0))</f>
        <v>0</v>
      </c>
      <c r="AS404" s="96" t="str">
        <f>IF(R404=1,A404&amp;" | MTR "&amp;IF(U404=1,INDEX('MTRs'!$B$6:$B$505,T404)&amp;"","?")&amp;" | "&amp;IF(C404="","(sem resíduo)",C404),"")</f>
        <v/>
      </c>
      <c r="AT404" s="96" t="str">
        <f>IF(R404=1,COUNTIF($R$6:R404,1),"")</f>
        <v/>
      </c>
      <c r="AU404" s="96" t="str">
        <f>IF(U404=1,INDEX('MTRs'!$I$6:$I$505,T404)&amp;"","")</f>
        <v/>
      </c>
    </row>
    <row r="405">
      <c r="A405" s="89" t="inlineStr">
        <is>
          <t>IT-000400</t>
        </is>
      </c>
      <c r="B405" s="91" t="n"/>
      <c r="C405" s="91" t="n"/>
      <c r="D405" s="94" t="str">
        <f>IF(OR(R405=0,V405=0),"",INDEX('CAD_RESÍDUOS'!$E$6:$E$205,MATCH(C405,'CAD_RESÍDUOS'!$B$6:$B$205,0))&amp;"")</f>
        <v/>
      </c>
      <c r="E405" s="94" t="str">
        <f>IF(OR(R405=0,V405=0),"",INDEX('CAD_RESÍDUOS'!$C$6:$C$205,MATCH(C405,'CAD_RESÍDUOS'!$B$6:$B$205,0))&amp;"")</f>
        <v/>
      </c>
      <c r="F405" s="94" t="str">
        <f>IF(OR(R405=0,V405=0),"",INDEX('CAD_RESÍDUOS'!$G$6:$G$205,MATCH(C405,'CAD_RESÍDUOS'!$B$6:$B$205,0))&amp;"")</f>
        <v/>
      </c>
      <c r="G405" s="98" t="n"/>
      <c r="H405" s="91" t="n"/>
      <c r="I405" s="93" t="str">
        <f>IF(R405=0,"",IF(NOT(ISNUMBER(G405)),"",IF(ISNUMBER(X405),G405*X405,"UNIDADE A CONFERIR")))</f>
        <v/>
      </c>
      <c r="J405" s="91" t="n"/>
      <c r="K405" s="91" t="n"/>
      <c r="L405" s="93" t="str">
        <f>IF(R405=0,"",SUMIFS('RECEBIMENTOS'!$H$6:$H$1005,'RECEBIMENTOS'!$R$6:$R$1005,A405,'RECEBIMENTOS'!$X$6:$X$1005,1))</f>
        <v/>
      </c>
      <c r="M405" s="93" t="str">
        <f>IF(R405=0,"",SUMIFS('VÍNCULOS_CDF'!$H$6:$H$1005,'VÍNCULOS_CDF'!$R$6:$R$1005,A405,'VÍNCULOS_CDF'!$V$6:$V$1005,1))</f>
        <v/>
      </c>
      <c r="N405" s="99" t="str">
        <f>IF(OR(R405=0,AA405=0,NOT(ISNUMBER(I405))),"",I405-N(L405))</f>
        <v/>
      </c>
      <c r="O405" s="100" t="str">
        <f>IF(OR(R405=0,AK405&lt;=0),"",N(M405)/AK405)</f>
        <v/>
      </c>
      <c r="P405" s="94" t="str">
        <f>IF(R405=0,"",IF(S405="","Sem MTR associado",IF(U405=0,"MTR inexistente",IF(C405="","Resíduo não identificado",IF(V405=0,"Resíduo fora do cadastro",IF(W405=0,"Quantidade inválida",IF(H405="","Unidade não informada",IF(NOT(ISNUMBER(I405)),"Unidade a conferir",IF(AND(AH405=1,K405&lt;&gt;"Sim"),"Possível duplicidade",IF(Z405=1,"MTR cancelado",IF(AC405&gt;0,"Recebimento com alerta",IF(AA405=0,"Aguardando recebimento",IF(AB405&lt;AA405,"Recebimento a conferir",IF(AM405=1,"Quantidade a revisar",IF(AF405&gt;0,"Vínculo a revisar",IF(AD405=0,"Aguardando CDF",IF(AN405=0,"Vínculo de CDF parcial",IF(AE405&lt;AD405,"CDF a conferir","Documentação conferida"))))))))))))))))))</f>
        <v/>
      </c>
      <c r="Q405" s="93" t="str">
        <f>IF(OR(R405=0,AA405=0),"",MAX(0,N(L405)-N(M405)))</f>
        <v/>
      </c>
      <c r="R405" s="96">
        <f>IF(COUNTA(B405:C405,G405:H405,J405:K405)&gt;0,1,0)</f>
        <v>0</v>
      </c>
      <c r="S405" s="96" t="str">
        <f>IF(B405="","",TRIM(LEFT(B405,FIND(" |",B405&amp;" |")-1)))</f>
        <v/>
      </c>
      <c r="T405" s="96" t="str">
        <f>IF(S405="","",IFERROR(MATCH(S405,'MTRs'!$A$6:$A$505,0),""))</f>
        <v/>
      </c>
      <c r="U405" s="96">
        <f>IF(T405="",0,IF(INDEX('MTRs'!$Z$6:$Z$505,T405)=1,1,0))</f>
        <v>0</v>
      </c>
      <c r="V405" s="96">
        <f>IF(C405="",0,IF(ISNUMBER(MATCH(C405,'CAD_RESÍDUOS'!$B$6:$B$205,0)),1,0))</f>
        <v>0</v>
      </c>
      <c r="W405" s="96">
        <f>IF(AND(ISNUMBER(G405),G405&gt;0),1,0)</f>
        <v>0</v>
      </c>
      <c r="X405" s="96" t="str">
        <f>IF(H405="","",IFERROR(IF(ISNUMBER(INDEX(cfg_fac,MATCH(H405,cfg_units,0))),IF(INDEX(cfg_fac,MATCH(H405,cfg_units,0))&gt;0,INDEX(cfg_fac,MATCH(H405,cfg_units,0)),""),""),""))</f>
        <v/>
      </c>
      <c r="Y405" s="96">
        <f>IF(AND(W405=1,ISNUMBER(I405)),1,0)</f>
        <v>0</v>
      </c>
      <c r="Z405" s="96">
        <f>IF(U405=1,INDEX('MTRs'!$AA$6:$AA$505,T405),0)</f>
        <v>0</v>
      </c>
      <c r="AA405" s="96">
        <f>IF(R405=0,0,COUNTIFS('RECEBIMENTOS'!$R$6:$R$1005,A405,'RECEBIMENTOS'!$Q$6:$Q$1005,1))</f>
        <v>0</v>
      </c>
      <c r="AB405" s="96">
        <f>IF(R405=0,0,COUNTIFS('RECEBIMENTOS'!$R$6:$R$1005,A405,'RECEBIMENTOS'!$Z$6:$Z$1005,1))</f>
        <v>0</v>
      </c>
      <c r="AC405" s="96">
        <f>IF(R405=0,0,COUNTIFS('RECEBIMENTOS'!$R$6:$R$1005,A405,'RECEBIMENTOS'!$Y$6:$Y$1005,1))</f>
        <v>0</v>
      </c>
      <c r="AD405" s="96">
        <f>IF(R405=0,0,COUNTIFS('VÍNCULOS_CDF'!$R$6:$R$1005,A405,'VÍNCULOS_CDF'!$N$6:$N$1005,1))</f>
        <v>0</v>
      </c>
      <c r="AE405" s="96">
        <f>IF(R405=0,0,COUNTIFS('VÍNCULOS_CDF'!$R$6:$R$1005,A405,'VÍNCULOS_CDF'!$AA$6:$AA$1005,1))</f>
        <v>0</v>
      </c>
      <c r="AF405" s="96">
        <f>IF(R405=0,0,COUNTIFS('VÍNCULOS_CDF'!$R$6:$R$1005,A405,'VÍNCULOS_CDF'!$Y$6:$Y$1005,1))</f>
        <v>0</v>
      </c>
      <c r="AG405" s="96" t="str">
        <f>IF(AND(R405=1,S405&lt;&gt;"",C405&lt;&gt;""),S405&amp;"|"&amp;C405&amp;"|"&amp;G405&amp;"|"&amp;H405,"")</f>
        <v/>
      </c>
      <c r="AH405" s="96">
        <f>IF(AG405="",0,IF(SUMPRODUCT(--($AG$6:$AG$1005=AG405))&gt;1,1,0))</f>
        <v>0</v>
      </c>
      <c r="AI405" s="96">
        <f>IF(R405=0,0,IF(OR(U405=0,V405=0,Y405=0,AND(AH405=1,K405&lt;&gt;"Sim")),1,0))</f>
        <v>0</v>
      </c>
      <c r="AJ405" s="96">
        <f>IF(AND(R405=1,AA405&gt;0,AB405=AA405),1,0)</f>
        <v>0</v>
      </c>
      <c r="AK405" s="96">
        <f>IF(R405=0,0,IF(AA405&gt;0,N(L405),IF(ISNUMBER(I405),I405,0)))</f>
        <v>0</v>
      </c>
      <c r="AL405" s="96">
        <f>IF(R405=0,0,IF(AND(K405&lt;&gt;"Sim",N(M405)&gt;AK405+cfg_tol),1,0))</f>
        <v>0</v>
      </c>
      <c r="AM405" s="96">
        <f>IF(R405=0,0,IF(K405="Sim",0,IF(OR(AND(AA405&gt;0,ISNUMBER(I405),ABS(I405-N(L405))&gt;cfg_tol),AL405=1),1,0)))</f>
        <v>0</v>
      </c>
      <c r="AN405" s="96">
        <f>IF(AND(R405=1,N(M405)&gt;0,OR(N(M405)&gt;=AK405-cfg_tol,K405="Sim")),1,0)</f>
        <v>0</v>
      </c>
      <c r="AO405" s="96">
        <f>IF(AND(AN405=1,AD405&gt;0,AE405=AD405,AL405=0),1,0)</f>
        <v>0</v>
      </c>
      <c r="AP405" s="96">
        <f>IF(U405=0,0,IF(AND(INDEX('MTRs'!$AX$6:$AX$505,T405)=1,Z405=0,OR(f_res="",f_res="(Todos)",C405=f_res)),1,0))</f>
        <v>0</v>
      </c>
      <c r="AQ405" s="97" t="str">
        <f>IF(U405=0,"",INDEX('MTRs'!$AZ$6:$AZ$505,T405))</f>
        <v/>
      </c>
      <c r="AR405" s="96">
        <f>IF(U405=0,0,IF(AND(INDEX('MTRs'!$BA$6:$BA$505,T405)=1,Z405=0),1,0))</f>
        <v>0</v>
      </c>
      <c r="AS405" s="96" t="str">
        <f>IF(R405=1,A405&amp;" | MTR "&amp;IF(U405=1,INDEX('MTRs'!$B$6:$B$505,T405)&amp;"","?")&amp;" | "&amp;IF(C405="","(sem resíduo)",C405),"")</f>
        <v/>
      </c>
      <c r="AT405" s="96" t="str">
        <f>IF(R405=1,COUNTIF($R$6:R405,1),"")</f>
        <v/>
      </c>
      <c r="AU405" s="96" t="str">
        <f>IF(U405=1,INDEX('MTRs'!$I$6:$I$505,T405)&amp;"","")</f>
        <v/>
      </c>
    </row>
    <row r="406">
      <c r="A406" s="89" t="inlineStr">
        <is>
          <t>IT-000401</t>
        </is>
      </c>
      <c r="B406" s="91" t="n"/>
      <c r="C406" s="91" t="n"/>
      <c r="D406" s="94" t="str">
        <f>IF(OR(R406=0,V406=0),"",INDEX('CAD_RESÍDUOS'!$E$6:$E$205,MATCH(C406,'CAD_RESÍDUOS'!$B$6:$B$205,0))&amp;"")</f>
        <v/>
      </c>
      <c r="E406" s="94" t="str">
        <f>IF(OR(R406=0,V406=0),"",INDEX('CAD_RESÍDUOS'!$C$6:$C$205,MATCH(C406,'CAD_RESÍDUOS'!$B$6:$B$205,0))&amp;"")</f>
        <v/>
      </c>
      <c r="F406" s="94" t="str">
        <f>IF(OR(R406=0,V406=0),"",INDEX('CAD_RESÍDUOS'!$G$6:$G$205,MATCH(C406,'CAD_RESÍDUOS'!$B$6:$B$205,0))&amp;"")</f>
        <v/>
      </c>
      <c r="G406" s="98" t="n"/>
      <c r="H406" s="91" t="n"/>
      <c r="I406" s="93" t="str">
        <f>IF(R406=0,"",IF(NOT(ISNUMBER(G406)),"",IF(ISNUMBER(X406),G406*X406,"UNIDADE A CONFERIR")))</f>
        <v/>
      </c>
      <c r="J406" s="91" t="n"/>
      <c r="K406" s="91" t="n"/>
      <c r="L406" s="93" t="str">
        <f>IF(R406=0,"",SUMIFS('RECEBIMENTOS'!$H$6:$H$1005,'RECEBIMENTOS'!$R$6:$R$1005,A406,'RECEBIMENTOS'!$X$6:$X$1005,1))</f>
        <v/>
      </c>
      <c r="M406" s="93" t="str">
        <f>IF(R406=0,"",SUMIFS('VÍNCULOS_CDF'!$H$6:$H$1005,'VÍNCULOS_CDF'!$R$6:$R$1005,A406,'VÍNCULOS_CDF'!$V$6:$V$1005,1))</f>
        <v/>
      </c>
      <c r="N406" s="99" t="str">
        <f>IF(OR(R406=0,AA406=0,NOT(ISNUMBER(I406))),"",I406-N(L406))</f>
        <v/>
      </c>
      <c r="O406" s="100" t="str">
        <f>IF(OR(R406=0,AK406&lt;=0),"",N(M406)/AK406)</f>
        <v/>
      </c>
      <c r="P406" s="94" t="str">
        <f>IF(R406=0,"",IF(S406="","Sem MTR associado",IF(U406=0,"MTR inexistente",IF(C406="","Resíduo não identificado",IF(V406=0,"Resíduo fora do cadastro",IF(W406=0,"Quantidade inválida",IF(H406="","Unidade não informada",IF(NOT(ISNUMBER(I406)),"Unidade a conferir",IF(AND(AH406=1,K406&lt;&gt;"Sim"),"Possível duplicidade",IF(Z406=1,"MTR cancelado",IF(AC406&gt;0,"Recebimento com alerta",IF(AA406=0,"Aguardando recebimento",IF(AB406&lt;AA406,"Recebimento a conferir",IF(AM406=1,"Quantidade a revisar",IF(AF406&gt;0,"Vínculo a revisar",IF(AD406=0,"Aguardando CDF",IF(AN406=0,"Vínculo de CDF parcial",IF(AE406&lt;AD406,"CDF a conferir","Documentação conferida"))))))))))))))))))</f>
        <v/>
      </c>
      <c r="Q406" s="93" t="str">
        <f>IF(OR(R406=0,AA406=0),"",MAX(0,N(L406)-N(M406)))</f>
        <v/>
      </c>
      <c r="R406" s="96">
        <f>IF(COUNTA(B406:C406,G406:H406,J406:K406)&gt;0,1,0)</f>
        <v>0</v>
      </c>
      <c r="S406" s="96" t="str">
        <f>IF(B406="","",TRIM(LEFT(B406,FIND(" |",B406&amp;" |")-1)))</f>
        <v/>
      </c>
      <c r="T406" s="96" t="str">
        <f>IF(S406="","",IFERROR(MATCH(S406,'MTRs'!$A$6:$A$505,0),""))</f>
        <v/>
      </c>
      <c r="U406" s="96">
        <f>IF(T406="",0,IF(INDEX('MTRs'!$Z$6:$Z$505,T406)=1,1,0))</f>
        <v>0</v>
      </c>
      <c r="V406" s="96">
        <f>IF(C406="",0,IF(ISNUMBER(MATCH(C406,'CAD_RESÍDUOS'!$B$6:$B$205,0)),1,0))</f>
        <v>0</v>
      </c>
      <c r="W406" s="96">
        <f>IF(AND(ISNUMBER(G406),G406&gt;0),1,0)</f>
        <v>0</v>
      </c>
      <c r="X406" s="96" t="str">
        <f>IF(H406="","",IFERROR(IF(ISNUMBER(INDEX(cfg_fac,MATCH(H406,cfg_units,0))),IF(INDEX(cfg_fac,MATCH(H406,cfg_units,0))&gt;0,INDEX(cfg_fac,MATCH(H406,cfg_units,0)),""),""),""))</f>
        <v/>
      </c>
      <c r="Y406" s="96">
        <f>IF(AND(W406=1,ISNUMBER(I406)),1,0)</f>
        <v>0</v>
      </c>
      <c r="Z406" s="96">
        <f>IF(U406=1,INDEX('MTRs'!$AA$6:$AA$505,T406),0)</f>
        <v>0</v>
      </c>
      <c r="AA406" s="96">
        <f>IF(R406=0,0,COUNTIFS('RECEBIMENTOS'!$R$6:$R$1005,A406,'RECEBIMENTOS'!$Q$6:$Q$1005,1))</f>
        <v>0</v>
      </c>
      <c r="AB406" s="96">
        <f>IF(R406=0,0,COUNTIFS('RECEBIMENTOS'!$R$6:$R$1005,A406,'RECEBIMENTOS'!$Z$6:$Z$1005,1))</f>
        <v>0</v>
      </c>
      <c r="AC406" s="96">
        <f>IF(R406=0,0,COUNTIFS('RECEBIMENTOS'!$R$6:$R$1005,A406,'RECEBIMENTOS'!$Y$6:$Y$1005,1))</f>
        <v>0</v>
      </c>
      <c r="AD406" s="96">
        <f>IF(R406=0,0,COUNTIFS('VÍNCULOS_CDF'!$R$6:$R$1005,A406,'VÍNCULOS_CDF'!$N$6:$N$1005,1))</f>
        <v>0</v>
      </c>
      <c r="AE406" s="96">
        <f>IF(R406=0,0,COUNTIFS('VÍNCULOS_CDF'!$R$6:$R$1005,A406,'VÍNCULOS_CDF'!$AA$6:$AA$1005,1))</f>
        <v>0</v>
      </c>
      <c r="AF406" s="96">
        <f>IF(R406=0,0,COUNTIFS('VÍNCULOS_CDF'!$R$6:$R$1005,A406,'VÍNCULOS_CDF'!$Y$6:$Y$1005,1))</f>
        <v>0</v>
      </c>
      <c r="AG406" s="96" t="str">
        <f>IF(AND(R406=1,S406&lt;&gt;"",C406&lt;&gt;""),S406&amp;"|"&amp;C406&amp;"|"&amp;G406&amp;"|"&amp;H406,"")</f>
        <v/>
      </c>
      <c r="AH406" s="96">
        <f>IF(AG406="",0,IF(SUMPRODUCT(--($AG$6:$AG$1005=AG406))&gt;1,1,0))</f>
        <v>0</v>
      </c>
      <c r="AI406" s="96">
        <f>IF(R406=0,0,IF(OR(U406=0,V406=0,Y406=0,AND(AH406=1,K406&lt;&gt;"Sim")),1,0))</f>
        <v>0</v>
      </c>
      <c r="AJ406" s="96">
        <f>IF(AND(R406=1,AA406&gt;0,AB406=AA406),1,0)</f>
        <v>0</v>
      </c>
      <c r="AK406" s="96">
        <f>IF(R406=0,0,IF(AA406&gt;0,N(L406),IF(ISNUMBER(I406),I406,0)))</f>
        <v>0</v>
      </c>
      <c r="AL406" s="96">
        <f>IF(R406=0,0,IF(AND(K406&lt;&gt;"Sim",N(M406)&gt;AK406+cfg_tol),1,0))</f>
        <v>0</v>
      </c>
      <c r="AM406" s="96">
        <f>IF(R406=0,0,IF(K406="Sim",0,IF(OR(AND(AA406&gt;0,ISNUMBER(I406),ABS(I406-N(L406))&gt;cfg_tol),AL406=1),1,0)))</f>
        <v>0</v>
      </c>
      <c r="AN406" s="96">
        <f>IF(AND(R406=1,N(M406)&gt;0,OR(N(M406)&gt;=AK406-cfg_tol,K406="Sim")),1,0)</f>
        <v>0</v>
      </c>
      <c r="AO406" s="96">
        <f>IF(AND(AN406=1,AD406&gt;0,AE406=AD406,AL406=0),1,0)</f>
        <v>0</v>
      </c>
      <c r="AP406" s="96">
        <f>IF(U406=0,0,IF(AND(INDEX('MTRs'!$AX$6:$AX$505,T406)=1,Z406=0,OR(f_res="",f_res="(Todos)",C406=f_res)),1,0))</f>
        <v>0</v>
      </c>
      <c r="AQ406" s="97" t="str">
        <f>IF(U406=0,"",INDEX('MTRs'!$AZ$6:$AZ$505,T406))</f>
        <v/>
      </c>
      <c r="AR406" s="96">
        <f>IF(U406=0,0,IF(AND(INDEX('MTRs'!$BA$6:$BA$505,T406)=1,Z406=0),1,0))</f>
        <v>0</v>
      </c>
      <c r="AS406" s="96" t="str">
        <f>IF(R406=1,A406&amp;" | MTR "&amp;IF(U406=1,INDEX('MTRs'!$B$6:$B$505,T406)&amp;"","?")&amp;" | "&amp;IF(C406="","(sem resíduo)",C406),"")</f>
        <v/>
      </c>
      <c r="AT406" s="96" t="str">
        <f>IF(R406=1,COUNTIF($R$6:R406,1),"")</f>
        <v/>
      </c>
      <c r="AU406" s="96" t="str">
        <f>IF(U406=1,INDEX('MTRs'!$I$6:$I$505,T406)&amp;"","")</f>
        <v/>
      </c>
    </row>
    <row r="407">
      <c r="A407" s="89" t="inlineStr">
        <is>
          <t>IT-000402</t>
        </is>
      </c>
      <c r="B407" s="91" t="n"/>
      <c r="C407" s="91" t="n"/>
      <c r="D407" s="94" t="str">
        <f>IF(OR(R407=0,V407=0),"",INDEX('CAD_RESÍDUOS'!$E$6:$E$205,MATCH(C407,'CAD_RESÍDUOS'!$B$6:$B$205,0))&amp;"")</f>
        <v/>
      </c>
      <c r="E407" s="94" t="str">
        <f>IF(OR(R407=0,V407=0),"",INDEX('CAD_RESÍDUOS'!$C$6:$C$205,MATCH(C407,'CAD_RESÍDUOS'!$B$6:$B$205,0))&amp;"")</f>
        <v/>
      </c>
      <c r="F407" s="94" t="str">
        <f>IF(OR(R407=0,V407=0),"",INDEX('CAD_RESÍDUOS'!$G$6:$G$205,MATCH(C407,'CAD_RESÍDUOS'!$B$6:$B$205,0))&amp;"")</f>
        <v/>
      </c>
      <c r="G407" s="98" t="n"/>
      <c r="H407" s="91" t="n"/>
      <c r="I407" s="93" t="str">
        <f>IF(R407=0,"",IF(NOT(ISNUMBER(G407)),"",IF(ISNUMBER(X407),G407*X407,"UNIDADE A CONFERIR")))</f>
        <v/>
      </c>
      <c r="J407" s="91" t="n"/>
      <c r="K407" s="91" t="n"/>
      <c r="L407" s="93" t="str">
        <f>IF(R407=0,"",SUMIFS('RECEBIMENTOS'!$H$6:$H$1005,'RECEBIMENTOS'!$R$6:$R$1005,A407,'RECEBIMENTOS'!$X$6:$X$1005,1))</f>
        <v/>
      </c>
      <c r="M407" s="93" t="str">
        <f>IF(R407=0,"",SUMIFS('VÍNCULOS_CDF'!$H$6:$H$1005,'VÍNCULOS_CDF'!$R$6:$R$1005,A407,'VÍNCULOS_CDF'!$V$6:$V$1005,1))</f>
        <v/>
      </c>
      <c r="N407" s="99" t="str">
        <f>IF(OR(R407=0,AA407=0,NOT(ISNUMBER(I407))),"",I407-N(L407))</f>
        <v/>
      </c>
      <c r="O407" s="100" t="str">
        <f>IF(OR(R407=0,AK407&lt;=0),"",N(M407)/AK407)</f>
        <v/>
      </c>
      <c r="P407" s="94" t="str">
        <f>IF(R407=0,"",IF(S407="","Sem MTR associado",IF(U407=0,"MTR inexistente",IF(C407="","Resíduo não identificado",IF(V407=0,"Resíduo fora do cadastro",IF(W407=0,"Quantidade inválida",IF(H407="","Unidade não informada",IF(NOT(ISNUMBER(I407)),"Unidade a conferir",IF(AND(AH407=1,K407&lt;&gt;"Sim"),"Possível duplicidade",IF(Z407=1,"MTR cancelado",IF(AC407&gt;0,"Recebimento com alerta",IF(AA407=0,"Aguardando recebimento",IF(AB407&lt;AA407,"Recebimento a conferir",IF(AM407=1,"Quantidade a revisar",IF(AF407&gt;0,"Vínculo a revisar",IF(AD407=0,"Aguardando CDF",IF(AN407=0,"Vínculo de CDF parcial",IF(AE407&lt;AD407,"CDF a conferir","Documentação conferida"))))))))))))))))))</f>
        <v/>
      </c>
      <c r="Q407" s="93" t="str">
        <f>IF(OR(R407=0,AA407=0),"",MAX(0,N(L407)-N(M407)))</f>
        <v/>
      </c>
      <c r="R407" s="96">
        <f>IF(COUNTA(B407:C407,G407:H407,J407:K407)&gt;0,1,0)</f>
        <v>0</v>
      </c>
      <c r="S407" s="96" t="str">
        <f>IF(B407="","",TRIM(LEFT(B407,FIND(" |",B407&amp;" |")-1)))</f>
        <v/>
      </c>
      <c r="T407" s="96" t="str">
        <f>IF(S407="","",IFERROR(MATCH(S407,'MTRs'!$A$6:$A$505,0),""))</f>
        <v/>
      </c>
      <c r="U407" s="96">
        <f>IF(T407="",0,IF(INDEX('MTRs'!$Z$6:$Z$505,T407)=1,1,0))</f>
        <v>0</v>
      </c>
      <c r="V407" s="96">
        <f>IF(C407="",0,IF(ISNUMBER(MATCH(C407,'CAD_RESÍDUOS'!$B$6:$B$205,0)),1,0))</f>
        <v>0</v>
      </c>
      <c r="W407" s="96">
        <f>IF(AND(ISNUMBER(G407),G407&gt;0),1,0)</f>
        <v>0</v>
      </c>
      <c r="X407" s="96" t="str">
        <f>IF(H407="","",IFERROR(IF(ISNUMBER(INDEX(cfg_fac,MATCH(H407,cfg_units,0))),IF(INDEX(cfg_fac,MATCH(H407,cfg_units,0))&gt;0,INDEX(cfg_fac,MATCH(H407,cfg_units,0)),""),""),""))</f>
        <v/>
      </c>
      <c r="Y407" s="96">
        <f>IF(AND(W407=1,ISNUMBER(I407)),1,0)</f>
        <v>0</v>
      </c>
      <c r="Z407" s="96">
        <f>IF(U407=1,INDEX('MTRs'!$AA$6:$AA$505,T407),0)</f>
        <v>0</v>
      </c>
      <c r="AA407" s="96">
        <f>IF(R407=0,0,COUNTIFS('RECEBIMENTOS'!$R$6:$R$1005,A407,'RECEBIMENTOS'!$Q$6:$Q$1005,1))</f>
        <v>0</v>
      </c>
      <c r="AB407" s="96">
        <f>IF(R407=0,0,COUNTIFS('RECEBIMENTOS'!$R$6:$R$1005,A407,'RECEBIMENTOS'!$Z$6:$Z$1005,1))</f>
        <v>0</v>
      </c>
      <c r="AC407" s="96">
        <f>IF(R407=0,0,COUNTIFS('RECEBIMENTOS'!$R$6:$R$1005,A407,'RECEBIMENTOS'!$Y$6:$Y$1005,1))</f>
        <v>0</v>
      </c>
      <c r="AD407" s="96">
        <f>IF(R407=0,0,COUNTIFS('VÍNCULOS_CDF'!$R$6:$R$1005,A407,'VÍNCULOS_CDF'!$N$6:$N$1005,1))</f>
        <v>0</v>
      </c>
      <c r="AE407" s="96">
        <f>IF(R407=0,0,COUNTIFS('VÍNCULOS_CDF'!$R$6:$R$1005,A407,'VÍNCULOS_CDF'!$AA$6:$AA$1005,1))</f>
        <v>0</v>
      </c>
      <c r="AF407" s="96">
        <f>IF(R407=0,0,COUNTIFS('VÍNCULOS_CDF'!$R$6:$R$1005,A407,'VÍNCULOS_CDF'!$Y$6:$Y$1005,1))</f>
        <v>0</v>
      </c>
      <c r="AG407" s="96" t="str">
        <f>IF(AND(R407=1,S407&lt;&gt;"",C407&lt;&gt;""),S407&amp;"|"&amp;C407&amp;"|"&amp;G407&amp;"|"&amp;H407,"")</f>
        <v/>
      </c>
      <c r="AH407" s="96">
        <f>IF(AG407="",0,IF(SUMPRODUCT(--($AG$6:$AG$1005=AG407))&gt;1,1,0))</f>
        <v>0</v>
      </c>
      <c r="AI407" s="96">
        <f>IF(R407=0,0,IF(OR(U407=0,V407=0,Y407=0,AND(AH407=1,K407&lt;&gt;"Sim")),1,0))</f>
        <v>0</v>
      </c>
      <c r="AJ407" s="96">
        <f>IF(AND(R407=1,AA407&gt;0,AB407=AA407),1,0)</f>
        <v>0</v>
      </c>
      <c r="AK407" s="96">
        <f>IF(R407=0,0,IF(AA407&gt;0,N(L407),IF(ISNUMBER(I407),I407,0)))</f>
        <v>0</v>
      </c>
      <c r="AL407" s="96">
        <f>IF(R407=0,0,IF(AND(K407&lt;&gt;"Sim",N(M407)&gt;AK407+cfg_tol),1,0))</f>
        <v>0</v>
      </c>
      <c r="AM407" s="96">
        <f>IF(R407=0,0,IF(K407="Sim",0,IF(OR(AND(AA407&gt;0,ISNUMBER(I407),ABS(I407-N(L407))&gt;cfg_tol),AL407=1),1,0)))</f>
        <v>0</v>
      </c>
      <c r="AN407" s="96">
        <f>IF(AND(R407=1,N(M407)&gt;0,OR(N(M407)&gt;=AK407-cfg_tol,K407="Sim")),1,0)</f>
        <v>0</v>
      </c>
      <c r="AO407" s="96">
        <f>IF(AND(AN407=1,AD407&gt;0,AE407=AD407,AL407=0),1,0)</f>
        <v>0</v>
      </c>
      <c r="AP407" s="96">
        <f>IF(U407=0,0,IF(AND(INDEX('MTRs'!$AX$6:$AX$505,T407)=1,Z407=0,OR(f_res="",f_res="(Todos)",C407=f_res)),1,0))</f>
        <v>0</v>
      </c>
      <c r="AQ407" s="97" t="str">
        <f>IF(U407=0,"",INDEX('MTRs'!$AZ$6:$AZ$505,T407))</f>
        <v/>
      </c>
      <c r="AR407" s="96">
        <f>IF(U407=0,0,IF(AND(INDEX('MTRs'!$BA$6:$BA$505,T407)=1,Z407=0),1,0))</f>
        <v>0</v>
      </c>
      <c r="AS407" s="96" t="str">
        <f>IF(R407=1,A407&amp;" | MTR "&amp;IF(U407=1,INDEX('MTRs'!$B$6:$B$505,T407)&amp;"","?")&amp;" | "&amp;IF(C407="","(sem resíduo)",C407),"")</f>
        <v/>
      </c>
      <c r="AT407" s="96" t="str">
        <f>IF(R407=1,COUNTIF($R$6:R407,1),"")</f>
        <v/>
      </c>
      <c r="AU407" s="96" t="str">
        <f>IF(U407=1,INDEX('MTRs'!$I$6:$I$505,T407)&amp;"","")</f>
        <v/>
      </c>
    </row>
    <row r="408">
      <c r="A408" s="89" t="inlineStr">
        <is>
          <t>IT-000403</t>
        </is>
      </c>
      <c r="B408" s="91" t="n"/>
      <c r="C408" s="91" t="n"/>
      <c r="D408" s="94" t="str">
        <f>IF(OR(R408=0,V408=0),"",INDEX('CAD_RESÍDUOS'!$E$6:$E$205,MATCH(C408,'CAD_RESÍDUOS'!$B$6:$B$205,0))&amp;"")</f>
        <v/>
      </c>
      <c r="E408" s="94" t="str">
        <f>IF(OR(R408=0,V408=0),"",INDEX('CAD_RESÍDUOS'!$C$6:$C$205,MATCH(C408,'CAD_RESÍDUOS'!$B$6:$B$205,0))&amp;"")</f>
        <v/>
      </c>
      <c r="F408" s="94" t="str">
        <f>IF(OR(R408=0,V408=0),"",INDEX('CAD_RESÍDUOS'!$G$6:$G$205,MATCH(C408,'CAD_RESÍDUOS'!$B$6:$B$205,0))&amp;"")</f>
        <v/>
      </c>
      <c r="G408" s="98" t="n"/>
      <c r="H408" s="91" t="n"/>
      <c r="I408" s="93" t="str">
        <f>IF(R408=0,"",IF(NOT(ISNUMBER(G408)),"",IF(ISNUMBER(X408),G408*X408,"UNIDADE A CONFERIR")))</f>
        <v/>
      </c>
      <c r="J408" s="91" t="n"/>
      <c r="K408" s="91" t="n"/>
      <c r="L408" s="93" t="str">
        <f>IF(R408=0,"",SUMIFS('RECEBIMENTOS'!$H$6:$H$1005,'RECEBIMENTOS'!$R$6:$R$1005,A408,'RECEBIMENTOS'!$X$6:$X$1005,1))</f>
        <v/>
      </c>
      <c r="M408" s="93" t="str">
        <f>IF(R408=0,"",SUMIFS('VÍNCULOS_CDF'!$H$6:$H$1005,'VÍNCULOS_CDF'!$R$6:$R$1005,A408,'VÍNCULOS_CDF'!$V$6:$V$1005,1))</f>
        <v/>
      </c>
      <c r="N408" s="99" t="str">
        <f>IF(OR(R408=0,AA408=0,NOT(ISNUMBER(I408))),"",I408-N(L408))</f>
        <v/>
      </c>
      <c r="O408" s="100" t="str">
        <f>IF(OR(R408=0,AK408&lt;=0),"",N(M408)/AK408)</f>
        <v/>
      </c>
      <c r="P408" s="94" t="str">
        <f>IF(R408=0,"",IF(S408="","Sem MTR associado",IF(U408=0,"MTR inexistente",IF(C408="","Resíduo não identificado",IF(V408=0,"Resíduo fora do cadastro",IF(W408=0,"Quantidade inválida",IF(H408="","Unidade não informada",IF(NOT(ISNUMBER(I408)),"Unidade a conferir",IF(AND(AH408=1,K408&lt;&gt;"Sim"),"Possível duplicidade",IF(Z408=1,"MTR cancelado",IF(AC408&gt;0,"Recebimento com alerta",IF(AA408=0,"Aguardando recebimento",IF(AB408&lt;AA408,"Recebimento a conferir",IF(AM408=1,"Quantidade a revisar",IF(AF408&gt;0,"Vínculo a revisar",IF(AD408=0,"Aguardando CDF",IF(AN408=0,"Vínculo de CDF parcial",IF(AE408&lt;AD408,"CDF a conferir","Documentação conferida"))))))))))))))))))</f>
        <v/>
      </c>
      <c r="Q408" s="93" t="str">
        <f>IF(OR(R408=0,AA408=0),"",MAX(0,N(L408)-N(M408)))</f>
        <v/>
      </c>
      <c r="R408" s="96">
        <f>IF(COUNTA(B408:C408,G408:H408,J408:K408)&gt;0,1,0)</f>
        <v>0</v>
      </c>
      <c r="S408" s="96" t="str">
        <f>IF(B408="","",TRIM(LEFT(B408,FIND(" |",B408&amp;" |")-1)))</f>
        <v/>
      </c>
      <c r="T408" s="96" t="str">
        <f>IF(S408="","",IFERROR(MATCH(S408,'MTRs'!$A$6:$A$505,0),""))</f>
        <v/>
      </c>
      <c r="U408" s="96">
        <f>IF(T408="",0,IF(INDEX('MTRs'!$Z$6:$Z$505,T408)=1,1,0))</f>
        <v>0</v>
      </c>
      <c r="V408" s="96">
        <f>IF(C408="",0,IF(ISNUMBER(MATCH(C408,'CAD_RESÍDUOS'!$B$6:$B$205,0)),1,0))</f>
        <v>0</v>
      </c>
      <c r="W408" s="96">
        <f>IF(AND(ISNUMBER(G408),G408&gt;0),1,0)</f>
        <v>0</v>
      </c>
      <c r="X408" s="96" t="str">
        <f>IF(H408="","",IFERROR(IF(ISNUMBER(INDEX(cfg_fac,MATCH(H408,cfg_units,0))),IF(INDEX(cfg_fac,MATCH(H408,cfg_units,0))&gt;0,INDEX(cfg_fac,MATCH(H408,cfg_units,0)),""),""),""))</f>
        <v/>
      </c>
      <c r="Y408" s="96">
        <f>IF(AND(W408=1,ISNUMBER(I408)),1,0)</f>
        <v>0</v>
      </c>
      <c r="Z408" s="96">
        <f>IF(U408=1,INDEX('MTRs'!$AA$6:$AA$505,T408),0)</f>
        <v>0</v>
      </c>
      <c r="AA408" s="96">
        <f>IF(R408=0,0,COUNTIFS('RECEBIMENTOS'!$R$6:$R$1005,A408,'RECEBIMENTOS'!$Q$6:$Q$1005,1))</f>
        <v>0</v>
      </c>
      <c r="AB408" s="96">
        <f>IF(R408=0,0,COUNTIFS('RECEBIMENTOS'!$R$6:$R$1005,A408,'RECEBIMENTOS'!$Z$6:$Z$1005,1))</f>
        <v>0</v>
      </c>
      <c r="AC408" s="96">
        <f>IF(R408=0,0,COUNTIFS('RECEBIMENTOS'!$R$6:$R$1005,A408,'RECEBIMENTOS'!$Y$6:$Y$1005,1))</f>
        <v>0</v>
      </c>
      <c r="AD408" s="96">
        <f>IF(R408=0,0,COUNTIFS('VÍNCULOS_CDF'!$R$6:$R$1005,A408,'VÍNCULOS_CDF'!$N$6:$N$1005,1))</f>
        <v>0</v>
      </c>
      <c r="AE408" s="96">
        <f>IF(R408=0,0,COUNTIFS('VÍNCULOS_CDF'!$R$6:$R$1005,A408,'VÍNCULOS_CDF'!$AA$6:$AA$1005,1))</f>
        <v>0</v>
      </c>
      <c r="AF408" s="96">
        <f>IF(R408=0,0,COUNTIFS('VÍNCULOS_CDF'!$R$6:$R$1005,A408,'VÍNCULOS_CDF'!$Y$6:$Y$1005,1))</f>
        <v>0</v>
      </c>
      <c r="AG408" s="96" t="str">
        <f>IF(AND(R408=1,S408&lt;&gt;"",C408&lt;&gt;""),S408&amp;"|"&amp;C408&amp;"|"&amp;G408&amp;"|"&amp;H408,"")</f>
        <v/>
      </c>
      <c r="AH408" s="96">
        <f>IF(AG408="",0,IF(SUMPRODUCT(--($AG$6:$AG$1005=AG408))&gt;1,1,0))</f>
        <v>0</v>
      </c>
      <c r="AI408" s="96">
        <f>IF(R408=0,0,IF(OR(U408=0,V408=0,Y408=0,AND(AH408=1,K408&lt;&gt;"Sim")),1,0))</f>
        <v>0</v>
      </c>
      <c r="AJ408" s="96">
        <f>IF(AND(R408=1,AA408&gt;0,AB408=AA408),1,0)</f>
        <v>0</v>
      </c>
      <c r="AK408" s="96">
        <f>IF(R408=0,0,IF(AA408&gt;0,N(L408),IF(ISNUMBER(I408),I408,0)))</f>
        <v>0</v>
      </c>
      <c r="AL408" s="96">
        <f>IF(R408=0,0,IF(AND(K408&lt;&gt;"Sim",N(M408)&gt;AK408+cfg_tol),1,0))</f>
        <v>0</v>
      </c>
      <c r="AM408" s="96">
        <f>IF(R408=0,0,IF(K408="Sim",0,IF(OR(AND(AA408&gt;0,ISNUMBER(I408),ABS(I408-N(L408))&gt;cfg_tol),AL408=1),1,0)))</f>
        <v>0</v>
      </c>
      <c r="AN408" s="96">
        <f>IF(AND(R408=1,N(M408)&gt;0,OR(N(M408)&gt;=AK408-cfg_tol,K408="Sim")),1,0)</f>
        <v>0</v>
      </c>
      <c r="AO408" s="96">
        <f>IF(AND(AN408=1,AD408&gt;0,AE408=AD408,AL408=0),1,0)</f>
        <v>0</v>
      </c>
      <c r="AP408" s="96">
        <f>IF(U408=0,0,IF(AND(INDEX('MTRs'!$AX$6:$AX$505,T408)=1,Z408=0,OR(f_res="",f_res="(Todos)",C408=f_res)),1,0))</f>
        <v>0</v>
      </c>
      <c r="AQ408" s="97" t="str">
        <f>IF(U408=0,"",INDEX('MTRs'!$AZ$6:$AZ$505,T408))</f>
        <v/>
      </c>
      <c r="AR408" s="96">
        <f>IF(U408=0,0,IF(AND(INDEX('MTRs'!$BA$6:$BA$505,T408)=1,Z408=0),1,0))</f>
        <v>0</v>
      </c>
      <c r="AS408" s="96" t="str">
        <f>IF(R408=1,A408&amp;" | MTR "&amp;IF(U408=1,INDEX('MTRs'!$B$6:$B$505,T408)&amp;"","?")&amp;" | "&amp;IF(C408="","(sem resíduo)",C408),"")</f>
        <v/>
      </c>
      <c r="AT408" s="96" t="str">
        <f>IF(R408=1,COUNTIF($R$6:R408,1),"")</f>
        <v/>
      </c>
      <c r="AU408" s="96" t="str">
        <f>IF(U408=1,INDEX('MTRs'!$I$6:$I$505,T408)&amp;"","")</f>
        <v/>
      </c>
    </row>
    <row r="409">
      <c r="A409" s="89" t="inlineStr">
        <is>
          <t>IT-000404</t>
        </is>
      </c>
      <c r="B409" s="91" t="n"/>
      <c r="C409" s="91" t="n"/>
      <c r="D409" s="94" t="str">
        <f>IF(OR(R409=0,V409=0),"",INDEX('CAD_RESÍDUOS'!$E$6:$E$205,MATCH(C409,'CAD_RESÍDUOS'!$B$6:$B$205,0))&amp;"")</f>
        <v/>
      </c>
      <c r="E409" s="94" t="str">
        <f>IF(OR(R409=0,V409=0),"",INDEX('CAD_RESÍDUOS'!$C$6:$C$205,MATCH(C409,'CAD_RESÍDUOS'!$B$6:$B$205,0))&amp;"")</f>
        <v/>
      </c>
      <c r="F409" s="94" t="str">
        <f>IF(OR(R409=0,V409=0),"",INDEX('CAD_RESÍDUOS'!$G$6:$G$205,MATCH(C409,'CAD_RESÍDUOS'!$B$6:$B$205,0))&amp;"")</f>
        <v/>
      </c>
      <c r="G409" s="98" t="n"/>
      <c r="H409" s="91" t="n"/>
      <c r="I409" s="93" t="str">
        <f>IF(R409=0,"",IF(NOT(ISNUMBER(G409)),"",IF(ISNUMBER(X409),G409*X409,"UNIDADE A CONFERIR")))</f>
        <v/>
      </c>
      <c r="J409" s="91" t="n"/>
      <c r="K409" s="91" t="n"/>
      <c r="L409" s="93" t="str">
        <f>IF(R409=0,"",SUMIFS('RECEBIMENTOS'!$H$6:$H$1005,'RECEBIMENTOS'!$R$6:$R$1005,A409,'RECEBIMENTOS'!$X$6:$X$1005,1))</f>
        <v/>
      </c>
      <c r="M409" s="93" t="str">
        <f>IF(R409=0,"",SUMIFS('VÍNCULOS_CDF'!$H$6:$H$1005,'VÍNCULOS_CDF'!$R$6:$R$1005,A409,'VÍNCULOS_CDF'!$V$6:$V$1005,1))</f>
        <v/>
      </c>
      <c r="N409" s="99" t="str">
        <f>IF(OR(R409=0,AA409=0,NOT(ISNUMBER(I409))),"",I409-N(L409))</f>
        <v/>
      </c>
      <c r="O409" s="100" t="str">
        <f>IF(OR(R409=0,AK409&lt;=0),"",N(M409)/AK409)</f>
        <v/>
      </c>
      <c r="P409" s="94" t="str">
        <f>IF(R409=0,"",IF(S409="","Sem MTR associado",IF(U409=0,"MTR inexistente",IF(C409="","Resíduo não identificado",IF(V409=0,"Resíduo fora do cadastro",IF(W409=0,"Quantidade inválida",IF(H409="","Unidade não informada",IF(NOT(ISNUMBER(I409)),"Unidade a conferir",IF(AND(AH409=1,K409&lt;&gt;"Sim"),"Possível duplicidade",IF(Z409=1,"MTR cancelado",IF(AC409&gt;0,"Recebimento com alerta",IF(AA409=0,"Aguardando recebimento",IF(AB409&lt;AA409,"Recebimento a conferir",IF(AM409=1,"Quantidade a revisar",IF(AF409&gt;0,"Vínculo a revisar",IF(AD409=0,"Aguardando CDF",IF(AN409=0,"Vínculo de CDF parcial",IF(AE409&lt;AD409,"CDF a conferir","Documentação conferida"))))))))))))))))))</f>
        <v/>
      </c>
      <c r="Q409" s="93" t="str">
        <f>IF(OR(R409=0,AA409=0),"",MAX(0,N(L409)-N(M409)))</f>
        <v/>
      </c>
      <c r="R409" s="96">
        <f>IF(COUNTA(B409:C409,G409:H409,J409:K409)&gt;0,1,0)</f>
        <v>0</v>
      </c>
      <c r="S409" s="96" t="str">
        <f>IF(B409="","",TRIM(LEFT(B409,FIND(" |",B409&amp;" |")-1)))</f>
        <v/>
      </c>
      <c r="T409" s="96" t="str">
        <f>IF(S409="","",IFERROR(MATCH(S409,'MTRs'!$A$6:$A$505,0),""))</f>
        <v/>
      </c>
      <c r="U409" s="96">
        <f>IF(T409="",0,IF(INDEX('MTRs'!$Z$6:$Z$505,T409)=1,1,0))</f>
        <v>0</v>
      </c>
      <c r="V409" s="96">
        <f>IF(C409="",0,IF(ISNUMBER(MATCH(C409,'CAD_RESÍDUOS'!$B$6:$B$205,0)),1,0))</f>
        <v>0</v>
      </c>
      <c r="W409" s="96">
        <f>IF(AND(ISNUMBER(G409),G409&gt;0),1,0)</f>
        <v>0</v>
      </c>
      <c r="X409" s="96" t="str">
        <f>IF(H409="","",IFERROR(IF(ISNUMBER(INDEX(cfg_fac,MATCH(H409,cfg_units,0))),IF(INDEX(cfg_fac,MATCH(H409,cfg_units,0))&gt;0,INDEX(cfg_fac,MATCH(H409,cfg_units,0)),""),""),""))</f>
        <v/>
      </c>
      <c r="Y409" s="96">
        <f>IF(AND(W409=1,ISNUMBER(I409)),1,0)</f>
        <v>0</v>
      </c>
      <c r="Z409" s="96">
        <f>IF(U409=1,INDEX('MTRs'!$AA$6:$AA$505,T409),0)</f>
        <v>0</v>
      </c>
      <c r="AA409" s="96">
        <f>IF(R409=0,0,COUNTIFS('RECEBIMENTOS'!$R$6:$R$1005,A409,'RECEBIMENTOS'!$Q$6:$Q$1005,1))</f>
        <v>0</v>
      </c>
      <c r="AB409" s="96">
        <f>IF(R409=0,0,COUNTIFS('RECEBIMENTOS'!$R$6:$R$1005,A409,'RECEBIMENTOS'!$Z$6:$Z$1005,1))</f>
        <v>0</v>
      </c>
      <c r="AC409" s="96">
        <f>IF(R409=0,0,COUNTIFS('RECEBIMENTOS'!$R$6:$R$1005,A409,'RECEBIMENTOS'!$Y$6:$Y$1005,1))</f>
        <v>0</v>
      </c>
      <c r="AD409" s="96">
        <f>IF(R409=0,0,COUNTIFS('VÍNCULOS_CDF'!$R$6:$R$1005,A409,'VÍNCULOS_CDF'!$N$6:$N$1005,1))</f>
        <v>0</v>
      </c>
      <c r="AE409" s="96">
        <f>IF(R409=0,0,COUNTIFS('VÍNCULOS_CDF'!$R$6:$R$1005,A409,'VÍNCULOS_CDF'!$AA$6:$AA$1005,1))</f>
        <v>0</v>
      </c>
      <c r="AF409" s="96">
        <f>IF(R409=0,0,COUNTIFS('VÍNCULOS_CDF'!$R$6:$R$1005,A409,'VÍNCULOS_CDF'!$Y$6:$Y$1005,1))</f>
        <v>0</v>
      </c>
      <c r="AG409" s="96" t="str">
        <f>IF(AND(R409=1,S409&lt;&gt;"",C409&lt;&gt;""),S409&amp;"|"&amp;C409&amp;"|"&amp;G409&amp;"|"&amp;H409,"")</f>
        <v/>
      </c>
      <c r="AH409" s="96">
        <f>IF(AG409="",0,IF(SUMPRODUCT(--($AG$6:$AG$1005=AG409))&gt;1,1,0))</f>
        <v>0</v>
      </c>
      <c r="AI409" s="96">
        <f>IF(R409=0,0,IF(OR(U409=0,V409=0,Y409=0,AND(AH409=1,K409&lt;&gt;"Sim")),1,0))</f>
        <v>0</v>
      </c>
      <c r="AJ409" s="96">
        <f>IF(AND(R409=1,AA409&gt;0,AB409=AA409),1,0)</f>
        <v>0</v>
      </c>
      <c r="AK409" s="96">
        <f>IF(R409=0,0,IF(AA409&gt;0,N(L409),IF(ISNUMBER(I409),I409,0)))</f>
        <v>0</v>
      </c>
      <c r="AL409" s="96">
        <f>IF(R409=0,0,IF(AND(K409&lt;&gt;"Sim",N(M409)&gt;AK409+cfg_tol),1,0))</f>
        <v>0</v>
      </c>
      <c r="AM409" s="96">
        <f>IF(R409=0,0,IF(K409="Sim",0,IF(OR(AND(AA409&gt;0,ISNUMBER(I409),ABS(I409-N(L409))&gt;cfg_tol),AL409=1),1,0)))</f>
        <v>0</v>
      </c>
      <c r="AN409" s="96">
        <f>IF(AND(R409=1,N(M409)&gt;0,OR(N(M409)&gt;=AK409-cfg_tol,K409="Sim")),1,0)</f>
        <v>0</v>
      </c>
      <c r="AO409" s="96">
        <f>IF(AND(AN409=1,AD409&gt;0,AE409=AD409,AL409=0),1,0)</f>
        <v>0</v>
      </c>
      <c r="AP409" s="96">
        <f>IF(U409=0,0,IF(AND(INDEX('MTRs'!$AX$6:$AX$505,T409)=1,Z409=0,OR(f_res="",f_res="(Todos)",C409=f_res)),1,0))</f>
        <v>0</v>
      </c>
      <c r="AQ409" s="97" t="str">
        <f>IF(U409=0,"",INDEX('MTRs'!$AZ$6:$AZ$505,T409))</f>
        <v/>
      </c>
      <c r="AR409" s="96">
        <f>IF(U409=0,0,IF(AND(INDEX('MTRs'!$BA$6:$BA$505,T409)=1,Z409=0),1,0))</f>
        <v>0</v>
      </c>
      <c r="AS409" s="96" t="str">
        <f>IF(R409=1,A409&amp;" | MTR "&amp;IF(U409=1,INDEX('MTRs'!$B$6:$B$505,T409)&amp;"","?")&amp;" | "&amp;IF(C409="","(sem resíduo)",C409),"")</f>
        <v/>
      </c>
      <c r="AT409" s="96" t="str">
        <f>IF(R409=1,COUNTIF($R$6:R409,1),"")</f>
        <v/>
      </c>
      <c r="AU409" s="96" t="str">
        <f>IF(U409=1,INDEX('MTRs'!$I$6:$I$505,T409)&amp;"","")</f>
        <v/>
      </c>
    </row>
    <row r="410">
      <c r="A410" s="89" t="inlineStr">
        <is>
          <t>IT-000405</t>
        </is>
      </c>
      <c r="B410" s="91" t="n"/>
      <c r="C410" s="91" t="n"/>
      <c r="D410" s="94" t="str">
        <f>IF(OR(R410=0,V410=0),"",INDEX('CAD_RESÍDUOS'!$E$6:$E$205,MATCH(C410,'CAD_RESÍDUOS'!$B$6:$B$205,0))&amp;"")</f>
        <v/>
      </c>
      <c r="E410" s="94" t="str">
        <f>IF(OR(R410=0,V410=0),"",INDEX('CAD_RESÍDUOS'!$C$6:$C$205,MATCH(C410,'CAD_RESÍDUOS'!$B$6:$B$205,0))&amp;"")</f>
        <v/>
      </c>
      <c r="F410" s="94" t="str">
        <f>IF(OR(R410=0,V410=0),"",INDEX('CAD_RESÍDUOS'!$G$6:$G$205,MATCH(C410,'CAD_RESÍDUOS'!$B$6:$B$205,0))&amp;"")</f>
        <v/>
      </c>
      <c r="G410" s="98" t="n"/>
      <c r="H410" s="91" t="n"/>
      <c r="I410" s="93" t="str">
        <f>IF(R410=0,"",IF(NOT(ISNUMBER(G410)),"",IF(ISNUMBER(X410),G410*X410,"UNIDADE A CONFERIR")))</f>
        <v/>
      </c>
      <c r="J410" s="91" t="n"/>
      <c r="K410" s="91" t="n"/>
      <c r="L410" s="93" t="str">
        <f>IF(R410=0,"",SUMIFS('RECEBIMENTOS'!$H$6:$H$1005,'RECEBIMENTOS'!$R$6:$R$1005,A410,'RECEBIMENTOS'!$X$6:$X$1005,1))</f>
        <v/>
      </c>
      <c r="M410" s="93" t="str">
        <f>IF(R410=0,"",SUMIFS('VÍNCULOS_CDF'!$H$6:$H$1005,'VÍNCULOS_CDF'!$R$6:$R$1005,A410,'VÍNCULOS_CDF'!$V$6:$V$1005,1))</f>
        <v/>
      </c>
      <c r="N410" s="99" t="str">
        <f>IF(OR(R410=0,AA410=0,NOT(ISNUMBER(I410))),"",I410-N(L410))</f>
        <v/>
      </c>
      <c r="O410" s="100" t="str">
        <f>IF(OR(R410=0,AK410&lt;=0),"",N(M410)/AK410)</f>
        <v/>
      </c>
      <c r="P410" s="94" t="str">
        <f>IF(R410=0,"",IF(S410="","Sem MTR associado",IF(U410=0,"MTR inexistente",IF(C410="","Resíduo não identificado",IF(V410=0,"Resíduo fora do cadastro",IF(W410=0,"Quantidade inválida",IF(H410="","Unidade não informada",IF(NOT(ISNUMBER(I410)),"Unidade a conferir",IF(AND(AH410=1,K410&lt;&gt;"Sim"),"Possível duplicidade",IF(Z410=1,"MTR cancelado",IF(AC410&gt;0,"Recebimento com alerta",IF(AA410=0,"Aguardando recebimento",IF(AB410&lt;AA410,"Recebimento a conferir",IF(AM410=1,"Quantidade a revisar",IF(AF410&gt;0,"Vínculo a revisar",IF(AD410=0,"Aguardando CDF",IF(AN410=0,"Vínculo de CDF parcial",IF(AE410&lt;AD410,"CDF a conferir","Documentação conferida"))))))))))))))))))</f>
        <v/>
      </c>
      <c r="Q410" s="93" t="str">
        <f>IF(OR(R410=0,AA410=0),"",MAX(0,N(L410)-N(M410)))</f>
        <v/>
      </c>
      <c r="R410" s="96">
        <f>IF(COUNTA(B410:C410,G410:H410,J410:K410)&gt;0,1,0)</f>
        <v>0</v>
      </c>
      <c r="S410" s="96" t="str">
        <f>IF(B410="","",TRIM(LEFT(B410,FIND(" |",B410&amp;" |")-1)))</f>
        <v/>
      </c>
      <c r="T410" s="96" t="str">
        <f>IF(S410="","",IFERROR(MATCH(S410,'MTRs'!$A$6:$A$505,0),""))</f>
        <v/>
      </c>
      <c r="U410" s="96">
        <f>IF(T410="",0,IF(INDEX('MTRs'!$Z$6:$Z$505,T410)=1,1,0))</f>
        <v>0</v>
      </c>
      <c r="V410" s="96">
        <f>IF(C410="",0,IF(ISNUMBER(MATCH(C410,'CAD_RESÍDUOS'!$B$6:$B$205,0)),1,0))</f>
        <v>0</v>
      </c>
      <c r="W410" s="96">
        <f>IF(AND(ISNUMBER(G410),G410&gt;0),1,0)</f>
        <v>0</v>
      </c>
      <c r="X410" s="96" t="str">
        <f>IF(H410="","",IFERROR(IF(ISNUMBER(INDEX(cfg_fac,MATCH(H410,cfg_units,0))),IF(INDEX(cfg_fac,MATCH(H410,cfg_units,0))&gt;0,INDEX(cfg_fac,MATCH(H410,cfg_units,0)),""),""),""))</f>
        <v/>
      </c>
      <c r="Y410" s="96">
        <f>IF(AND(W410=1,ISNUMBER(I410)),1,0)</f>
        <v>0</v>
      </c>
      <c r="Z410" s="96">
        <f>IF(U410=1,INDEX('MTRs'!$AA$6:$AA$505,T410),0)</f>
        <v>0</v>
      </c>
      <c r="AA410" s="96">
        <f>IF(R410=0,0,COUNTIFS('RECEBIMENTOS'!$R$6:$R$1005,A410,'RECEBIMENTOS'!$Q$6:$Q$1005,1))</f>
        <v>0</v>
      </c>
      <c r="AB410" s="96">
        <f>IF(R410=0,0,COUNTIFS('RECEBIMENTOS'!$R$6:$R$1005,A410,'RECEBIMENTOS'!$Z$6:$Z$1005,1))</f>
        <v>0</v>
      </c>
      <c r="AC410" s="96">
        <f>IF(R410=0,0,COUNTIFS('RECEBIMENTOS'!$R$6:$R$1005,A410,'RECEBIMENTOS'!$Y$6:$Y$1005,1))</f>
        <v>0</v>
      </c>
      <c r="AD410" s="96">
        <f>IF(R410=0,0,COUNTIFS('VÍNCULOS_CDF'!$R$6:$R$1005,A410,'VÍNCULOS_CDF'!$N$6:$N$1005,1))</f>
        <v>0</v>
      </c>
      <c r="AE410" s="96">
        <f>IF(R410=0,0,COUNTIFS('VÍNCULOS_CDF'!$R$6:$R$1005,A410,'VÍNCULOS_CDF'!$AA$6:$AA$1005,1))</f>
        <v>0</v>
      </c>
      <c r="AF410" s="96">
        <f>IF(R410=0,0,COUNTIFS('VÍNCULOS_CDF'!$R$6:$R$1005,A410,'VÍNCULOS_CDF'!$Y$6:$Y$1005,1))</f>
        <v>0</v>
      </c>
      <c r="AG410" s="96" t="str">
        <f>IF(AND(R410=1,S410&lt;&gt;"",C410&lt;&gt;""),S410&amp;"|"&amp;C410&amp;"|"&amp;G410&amp;"|"&amp;H410,"")</f>
        <v/>
      </c>
      <c r="AH410" s="96">
        <f>IF(AG410="",0,IF(SUMPRODUCT(--($AG$6:$AG$1005=AG410))&gt;1,1,0))</f>
        <v>0</v>
      </c>
      <c r="AI410" s="96">
        <f>IF(R410=0,0,IF(OR(U410=0,V410=0,Y410=0,AND(AH410=1,K410&lt;&gt;"Sim")),1,0))</f>
        <v>0</v>
      </c>
      <c r="AJ410" s="96">
        <f>IF(AND(R410=1,AA410&gt;0,AB410=AA410),1,0)</f>
        <v>0</v>
      </c>
      <c r="AK410" s="96">
        <f>IF(R410=0,0,IF(AA410&gt;0,N(L410),IF(ISNUMBER(I410),I410,0)))</f>
        <v>0</v>
      </c>
      <c r="AL410" s="96">
        <f>IF(R410=0,0,IF(AND(K410&lt;&gt;"Sim",N(M410)&gt;AK410+cfg_tol),1,0))</f>
        <v>0</v>
      </c>
      <c r="AM410" s="96">
        <f>IF(R410=0,0,IF(K410="Sim",0,IF(OR(AND(AA410&gt;0,ISNUMBER(I410),ABS(I410-N(L410))&gt;cfg_tol),AL410=1),1,0)))</f>
        <v>0</v>
      </c>
      <c r="AN410" s="96">
        <f>IF(AND(R410=1,N(M410)&gt;0,OR(N(M410)&gt;=AK410-cfg_tol,K410="Sim")),1,0)</f>
        <v>0</v>
      </c>
      <c r="AO410" s="96">
        <f>IF(AND(AN410=1,AD410&gt;0,AE410=AD410,AL410=0),1,0)</f>
        <v>0</v>
      </c>
      <c r="AP410" s="96">
        <f>IF(U410=0,0,IF(AND(INDEX('MTRs'!$AX$6:$AX$505,T410)=1,Z410=0,OR(f_res="",f_res="(Todos)",C410=f_res)),1,0))</f>
        <v>0</v>
      </c>
      <c r="AQ410" s="97" t="str">
        <f>IF(U410=0,"",INDEX('MTRs'!$AZ$6:$AZ$505,T410))</f>
        <v/>
      </c>
      <c r="AR410" s="96">
        <f>IF(U410=0,0,IF(AND(INDEX('MTRs'!$BA$6:$BA$505,T410)=1,Z410=0),1,0))</f>
        <v>0</v>
      </c>
      <c r="AS410" s="96" t="str">
        <f>IF(R410=1,A410&amp;" | MTR "&amp;IF(U410=1,INDEX('MTRs'!$B$6:$B$505,T410)&amp;"","?")&amp;" | "&amp;IF(C410="","(sem resíduo)",C410),"")</f>
        <v/>
      </c>
      <c r="AT410" s="96" t="str">
        <f>IF(R410=1,COUNTIF($R$6:R410,1),"")</f>
        <v/>
      </c>
      <c r="AU410" s="96" t="str">
        <f>IF(U410=1,INDEX('MTRs'!$I$6:$I$505,T410)&amp;"","")</f>
        <v/>
      </c>
    </row>
    <row r="411">
      <c r="A411" s="89" t="inlineStr">
        <is>
          <t>IT-000406</t>
        </is>
      </c>
      <c r="B411" s="91" t="n"/>
      <c r="C411" s="91" t="n"/>
      <c r="D411" s="94" t="str">
        <f>IF(OR(R411=0,V411=0),"",INDEX('CAD_RESÍDUOS'!$E$6:$E$205,MATCH(C411,'CAD_RESÍDUOS'!$B$6:$B$205,0))&amp;"")</f>
        <v/>
      </c>
      <c r="E411" s="94" t="str">
        <f>IF(OR(R411=0,V411=0),"",INDEX('CAD_RESÍDUOS'!$C$6:$C$205,MATCH(C411,'CAD_RESÍDUOS'!$B$6:$B$205,0))&amp;"")</f>
        <v/>
      </c>
      <c r="F411" s="94" t="str">
        <f>IF(OR(R411=0,V411=0),"",INDEX('CAD_RESÍDUOS'!$G$6:$G$205,MATCH(C411,'CAD_RESÍDUOS'!$B$6:$B$205,0))&amp;"")</f>
        <v/>
      </c>
      <c r="G411" s="98" t="n"/>
      <c r="H411" s="91" t="n"/>
      <c r="I411" s="93" t="str">
        <f>IF(R411=0,"",IF(NOT(ISNUMBER(G411)),"",IF(ISNUMBER(X411),G411*X411,"UNIDADE A CONFERIR")))</f>
        <v/>
      </c>
      <c r="J411" s="91" t="n"/>
      <c r="K411" s="91" t="n"/>
      <c r="L411" s="93" t="str">
        <f>IF(R411=0,"",SUMIFS('RECEBIMENTOS'!$H$6:$H$1005,'RECEBIMENTOS'!$R$6:$R$1005,A411,'RECEBIMENTOS'!$X$6:$X$1005,1))</f>
        <v/>
      </c>
      <c r="M411" s="93" t="str">
        <f>IF(R411=0,"",SUMIFS('VÍNCULOS_CDF'!$H$6:$H$1005,'VÍNCULOS_CDF'!$R$6:$R$1005,A411,'VÍNCULOS_CDF'!$V$6:$V$1005,1))</f>
        <v/>
      </c>
      <c r="N411" s="99" t="str">
        <f>IF(OR(R411=0,AA411=0,NOT(ISNUMBER(I411))),"",I411-N(L411))</f>
        <v/>
      </c>
      <c r="O411" s="100" t="str">
        <f>IF(OR(R411=0,AK411&lt;=0),"",N(M411)/AK411)</f>
        <v/>
      </c>
      <c r="P411" s="94" t="str">
        <f>IF(R411=0,"",IF(S411="","Sem MTR associado",IF(U411=0,"MTR inexistente",IF(C411="","Resíduo não identificado",IF(V411=0,"Resíduo fora do cadastro",IF(W411=0,"Quantidade inválida",IF(H411="","Unidade não informada",IF(NOT(ISNUMBER(I411)),"Unidade a conferir",IF(AND(AH411=1,K411&lt;&gt;"Sim"),"Possível duplicidade",IF(Z411=1,"MTR cancelado",IF(AC411&gt;0,"Recebimento com alerta",IF(AA411=0,"Aguardando recebimento",IF(AB411&lt;AA411,"Recebimento a conferir",IF(AM411=1,"Quantidade a revisar",IF(AF411&gt;0,"Vínculo a revisar",IF(AD411=0,"Aguardando CDF",IF(AN411=0,"Vínculo de CDF parcial",IF(AE411&lt;AD411,"CDF a conferir","Documentação conferida"))))))))))))))))))</f>
        <v/>
      </c>
      <c r="Q411" s="93" t="str">
        <f>IF(OR(R411=0,AA411=0),"",MAX(0,N(L411)-N(M411)))</f>
        <v/>
      </c>
      <c r="R411" s="96">
        <f>IF(COUNTA(B411:C411,G411:H411,J411:K411)&gt;0,1,0)</f>
        <v>0</v>
      </c>
      <c r="S411" s="96" t="str">
        <f>IF(B411="","",TRIM(LEFT(B411,FIND(" |",B411&amp;" |")-1)))</f>
        <v/>
      </c>
      <c r="T411" s="96" t="str">
        <f>IF(S411="","",IFERROR(MATCH(S411,'MTRs'!$A$6:$A$505,0),""))</f>
        <v/>
      </c>
      <c r="U411" s="96">
        <f>IF(T411="",0,IF(INDEX('MTRs'!$Z$6:$Z$505,T411)=1,1,0))</f>
        <v>0</v>
      </c>
      <c r="V411" s="96">
        <f>IF(C411="",0,IF(ISNUMBER(MATCH(C411,'CAD_RESÍDUOS'!$B$6:$B$205,0)),1,0))</f>
        <v>0</v>
      </c>
      <c r="W411" s="96">
        <f>IF(AND(ISNUMBER(G411),G411&gt;0),1,0)</f>
        <v>0</v>
      </c>
      <c r="X411" s="96" t="str">
        <f>IF(H411="","",IFERROR(IF(ISNUMBER(INDEX(cfg_fac,MATCH(H411,cfg_units,0))),IF(INDEX(cfg_fac,MATCH(H411,cfg_units,0))&gt;0,INDEX(cfg_fac,MATCH(H411,cfg_units,0)),""),""),""))</f>
        <v/>
      </c>
      <c r="Y411" s="96">
        <f>IF(AND(W411=1,ISNUMBER(I411)),1,0)</f>
        <v>0</v>
      </c>
      <c r="Z411" s="96">
        <f>IF(U411=1,INDEX('MTRs'!$AA$6:$AA$505,T411),0)</f>
        <v>0</v>
      </c>
      <c r="AA411" s="96">
        <f>IF(R411=0,0,COUNTIFS('RECEBIMENTOS'!$R$6:$R$1005,A411,'RECEBIMENTOS'!$Q$6:$Q$1005,1))</f>
        <v>0</v>
      </c>
      <c r="AB411" s="96">
        <f>IF(R411=0,0,COUNTIFS('RECEBIMENTOS'!$R$6:$R$1005,A411,'RECEBIMENTOS'!$Z$6:$Z$1005,1))</f>
        <v>0</v>
      </c>
      <c r="AC411" s="96">
        <f>IF(R411=0,0,COUNTIFS('RECEBIMENTOS'!$R$6:$R$1005,A411,'RECEBIMENTOS'!$Y$6:$Y$1005,1))</f>
        <v>0</v>
      </c>
      <c r="AD411" s="96">
        <f>IF(R411=0,0,COUNTIFS('VÍNCULOS_CDF'!$R$6:$R$1005,A411,'VÍNCULOS_CDF'!$N$6:$N$1005,1))</f>
        <v>0</v>
      </c>
      <c r="AE411" s="96">
        <f>IF(R411=0,0,COUNTIFS('VÍNCULOS_CDF'!$R$6:$R$1005,A411,'VÍNCULOS_CDF'!$AA$6:$AA$1005,1))</f>
        <v>0</v>
      </c>
      <c r="AF411" s="96">
        <f>IF(R411=0,0,COUNTIFS('VÍNCULOS_CDF'!$R$6:$R$1005,A411,'VÍNCULOS_CDF'!$Y$6:$Y$1005,1))</f>
        <v>0</v>
      </c>
      <c r="AG411" s="96" t="str">
        <f>IF(AND(R411=1,S411&lt;&gt;"",C411&lt;&gt;""),S411&amp;"|"&amp;C411&amp;"|"&amp;G411&amp;"|"&amp;H411,"")</f>
        <v/>
      </c>
      <c r="AH411" s="96">
        <f>IF(AG411="",0,IF(SUMPRODUCT(--($AG$6:$AG$1005=AG411))&gt;1,1,0))</f>
        <v>0</v>
      </c>
      <c r="AI411" s="96">
        <f>IF(R411=0,0,IF(OR(U411=0,V411=0,Y411=0,AND(AH411=1,K411&lt;&gt;"Sim")),1,0))</f>
        <v>0</v>
      </c>
      <c r="AJ411" s="96">
        <f>IF(AND(R411=1,AA411&gt;0,AB411=AA411),1,0)</f>
        <v>0</v>
      </c>
      <c r="AK411" s="96">
        <f>IF(R411=0,0,IF(AA411&gt;0,N(L411),IF(ISNUMBER(I411),I411,0)))</f>
        <v>0</v>
      </c>
      <c r="AL411" s="96">
        <f>IF(R411=0,0,IF(AND(K411&lt;&gt;"Sim",N(M411)&gt;AK411+cfg_tol),1,0))</f>
        <v>0</v>
      </c>
      <c r="AM411" s="96">
        <f>IF(R411=0,0,IF(K411="Sim",0,IF(OR(AND(AA411&gt;0,ISNUMBER(I411),ABS(I411-N(L411))&gt;cfg_tol),AL411=1),1,0)))</f>
        <v>0</v>
      </c>
      <c r="AN411" s="96">
        <f>IF(AND(R411=1,N(M411)&gt;0,OR(N(M411)&gt;=AK411-cfg_tol,K411="Sim")),1,0)</f>
        <v>0</v>
      </c>
      <c r="AO411" s="96">
        <f>IF(AND(AN411=1,AD411&gt;0,AE411=AD411,AL411=0),1,0)</f>
        <v>0</v>
      </c>
      <c r="AP411" s="96">
        <f>IF(U411=0,0,IF(AND(INDEX('MTRs'!$AX$6:$AX$505,T411)=1,Z411=0,OR(f_res="",f_res="(Todos)",C411=f_res)),1,0))</f>
        <v>0</v>
      </c>
      <c r="AQ411" s="97" t="str">
        <f>IF(U411=0,"",INDEX('MTRs'!$AZ$6:$AZ$505,T411))</f>
        <v/>
      </c>
      <c r="AR411" s="96">
        <f>IF(U411=0,0,IF(AND(INDEX('MTRs'!$BA$6:$BA$505,T411)=1,Z411=0),1,0))</f>
        <v>0</v>
      </c>
      <c r="AS411" s="96" t="str">
        <f>IF(R411=1,A411&amp;" | MTR "&amp;IF(U411=1,INDEX('MTRs'!$B$6:$B$505,T411)&amp;"","?")&amp;" | "&amp;IF(C411="","(sem resíduo)",C411),"")</f>
        <v/>
      </c>
      <c r="AT411" s="96" t="str">
        <f>IF(R411=1,COUNTIF($R$6:R411,1),"")</f>
        <v/>
      </c>
      <c r="AU411" s="96" t="str">
        <f>IF(U411=1,INDEX('MTRs'!$I$6:$I$505,T411)&amp;"","")</f>
        <v/>
      </c>
    </row>
    <row r="412">
      <c r="A412" s="89" t="inlineStr">
        <is>
          <t>IT-000407</t>
        </is>
      </c>
      <c r="B412" s="91" t="n"/>
      <c r="C412" s="91" t="n"/>
      <c r="D412" s="94" t="str">
        <f>IF(OR(R412=0,V412=0),"",INDEX('CAD_RESÍDUOS'!$E$6:$E$205,MATCH(C412,'CAD_RESÍDUOS'!$B$6:$B$205,0))&amp;"")</f>
        <v/>
      </c>
      <c r="E412" s="94" t="str">
        <f>IF(OR(R412=0,V412=0),"",INDEX('CAD_RESÍDUOS'!$C$6:$C$205,MATCH(C412,'CAD_RESÍDUOS'!$B$6:$B$205,0))&amp;"")</f>
        <v/>
      </c>
      <c r="F412" s="94" t="str">
        <f>IF(OR(R412=0,V412=0),"",INDEX('CAD_RESÍDUOS'!$G$6:$G$205,MATCH(C412,'CAD_RESÍDUOS'!$B$6:$B$205,0))&amp;"")</f>
        <v/>
      </c>
      <c r="G412" s="98" t="n"/>
      <c r="H412" s="91" t="n"/>
      <c r="I412" s="93" t="str">
        <f>IF(R412=0,"",IF(NOT(ISNUMBER(G412)),"",IF(ISNUMBER(X412),G412*X412,"UNIDADE A CONFERIR")))</f>
        <v/>
      </c>
      <c r="J412" s="91" t="n"/>
      <c r="K412" s="91" t="n"/>
      <c r="L412" s="93" t="str">
        <f>IF(R412=0,"",SUMIFS('RECEBIMENTOS'!$H$6:$H$1005,'RECEBIMENTOS'!$R$6:$R$1005,A412,'RECEBIMENTOS'!$X$6:$X$1005,1))</f>
        <v/>
      </c>
      <c r="M412" s="93" t="str">
        <f>IF(R412=0,"",SUMIFS('VÍNCULOS_CDF'!$H$6:$H$1005,'VÍNCULOS_CDF'!$R$6:$R$1005,A412,'VÍNCULOS_CDF'!$V$6:$V$1005,1))</f>
        <v/>
      </c>
      <c r="N412" s="99" t="str">
        <f>IF(OR(R412=0,AA412=0,NOT(ISNUMBER(I412))),"",I412-N(L412))</f>
        <v/>
      </c>
      <c r="O412" s="100" t="str">
        <f>IF(OR(R412=0,AK412&lt;=0),"",N(M412)/AK412)</f>
        <v/>
      </c>
      <c r="P412" s="94" t="str">
        <f>IF(R412=0,"",IF(S412="","Sem MTR associado",IF(U412=0,"MTR inexistente",IF(C412="","Resíduo não identificado",IF(V412=0,"Resíduo fora do cadastro",IF(W412=0,"Quantidade inválida",IF(H412="","Unidade não informada",IF(NOT(ISNUMBER(I412)),"Unidade a conferir",IF(AND(AH412=1,K412&lt;&gt;"Sim"),"Possível duplicidade",IF(Z412=1,"MTR cancelado",IF(AC412&gt;0,"Recebimento com alerta",IF(AA412=0,"Aguardando recebimento",IF(AB412&lt;AA412,"Recebimento a conferir",IF(AM412=1,"Quantidade a revisar",IF(AF412&gt;0,"Vínculo a revisar",IF(AD412=0,"Aguardando CDF",IF(AN412=0,"Vínculo de CDF parcial",IF(AE412&lt;AD412,"CDF a conferir","Documentação conferida"))))))))))))))))))</f>
        <v/>
      </c>
      <c r="Q412" s="93" t="str">
        <f>IF(OR(R412=0,AA412=0),"",MAX(0,N(L412)-N(M412)))</f>
        <v/>
      </c>
      <c r="R412" s="96">
        <f>IF(COUNTA(B412:C412,G412:H412,J412:K412)&gt;0,1,0)</f>
        <v>0</v>
      </c>
      <c r="S412" s="96" t="str">
        <f>IF(B412="","",TRIM(LEFT(B412,FIND(" |",B412&amp;" |")-1)))</f>
        <v/>
      </c>
      <c r="T412" s="96" t="str">
        <f>IF(S412="","",IFERROR(MATCH(S412,'MTRs'!$A$6:$A$505,0),""))</f>
        <v/>
      </c>
      <c r="U412" s="96">
        <f>IF(T412="",0,IF(INDEX('MTRs'!$Z$6:$Z$505,T412)=1,1,0))</f>
        <v>0</v>
      </c>
      <c r="V412" s="96">
        <f>IF(C412="",0,IF(ISNUMBER(MATCH(C412,'CAD_RESÍDUOS'!$B$6:$B$205,0)),1,0))</f>
        <v>0</v>
      </c>
      <c r="W412" s="96">
        <f>IF(AND(ISNUMBER(G412),G412&gt;0),1,0)</f>
        <v>0</v>
      </c>
      <c r="X412" s="96" t="str">
        <f>IF(H412="","",IFERROR(IF(ISNUMBER(INDEX(cfg_fac,MATCH(H412,cfg_units,0))),IF(INDEX(cfg_fac,MATCH(H412,cfg_units,0))&gt;0,INDEX(cfg_fac,MATCH(H412,cfg_units,0)),""),""),""))</f>
        <v/>
      </c>
      <c r="Y412" s="96">
        <f>IF(AND(W412=1,ISNUMBER(I412)),1,0)</f>
        <v>0</v>
      </c>
      <c r="Z412" s="96">
        <f>IF(U412=1,INDEX('MTRs'!$AA$6:$AA$505,T412),0)</f>
        <v>0</v>
      </c>
      <c r="AA412" s="96">
        <f>IF(R412=0,0,COUNTIFS('RECEBIMENTOS'!$R$6:$R$1005,A412,'RECEBIMENTOS'!$Q$6:$Q$1005,1))</f>
        <v>0</v>
      </c>
      <c r="AB412" s="96">
        <f>IF(R412=0,0,COUNTIFS('RECEBIMENTOS'!$R$6:$R$1005,A412,'RECEBIMENTOS'!$Z$6:$Z$1005,1))</f>
        <v>0</v>
      </c>
      <c r="AC412" s="96">
        <f>IF(R412=0,0,COUNTIFS('RECEBIMENTOS'!$R$6:$R$1005,A412,'RECEBIMENTOS'!$Y$6:$Y$1005,1))</f>
        <v>0</v>
      </c>
      <c r="AD412" s="96">
        <f>IF(R412=0,0,COUNTIFS('VÍNCULOS_CDF'!$R$6:$R$1005,A412,'VÍNCULOS_CDF'!$N$6:$N$1005,1))</f>
        <v>0</v>
      </c>
      <c r="AE412" s="96">
        <f>IF(R412=0,0,COUNTIFS('VÍNCULOS_CDF'!$R$6:$R$1005,A412,'VÍNCULOS_CDF'!$AA$6:$AA$1005,1))</f>
        <v>0</v>
      </c>
      <c r="AF412" s="96">
        <f>IF(R412=0,0,COUNTIFS('VÍNCULOS_CDF'!$R$6:$R$1005,A412,'VÍNCULOS_CDF'!$Y$6:$Y$1005,1))</f>
        <v>0</v>
      </c>
      <c r="AG412" s="96" t="str">
        <f>IF(AND(R412=1,S412&lt;&gt;"",C412&lt;&gt;""),S412&amp;"|"&amp;C412&amp;"|"&amp;G412&amp;"|"&amp;H412,"")</f>
        <v/>
      </c>
      <c r="AH412" s="96">
        <f>IF(AG412="",0,IF(SUMPRODUCT(--($AG$6:$AG$1005=AG412))&gt;1,1,0))</f>
        <v>0</v>
      </c>
      <c r="AI412" s="96">
        <f>IF(R412=0,0,IF(OR(U412=0,V412=0,Y412=0,AND(AH412=1,K412&lt;&gt;"Sim")),1,0))</f>
        <v>0</v>
      </c>
      <c r="AJ412" s="96">
        <f>IF(AND(R412=1,AA412&gt;0,AB412=AA412),1,0)</f>
        <v>0</v>
      </c>
      <c r="AK412" s="96">
        <f>IF(R412=0,0,IF(AA412&gt;0,N(L412),IF(ISNUMBER(I412),I412,0)))</f>
        <v>0</v>
      </c>
      <c r="AL412" s="96">
        <f>IF(R412=0,0,IF(AND(K412&lt;&gt;"Sim",N(M412)&gt;AK412+cfg_tol),1,0))</f>
        <v>0</v>
      </c>
      <c r="AM412" s="96">
        <f>IF(R412=0,0,IF(K412="Sim",0,IF(OR(AND(AA412&gt;0,ISNUMBER(I412),ABS(I412-N(L412))&gt;cfg_tol),AL412=1),1,0)))</f>
        <v>0</v>
      </c>
      <c r="AN412" s="96">
        <f>IF(AND(R412=1,N(M412)&gt;0,OR(N(M412)&gt;=AK412-cfg_tol,K412="Sim")),1,0)</f>
        <v>0</v>
      </c>
      <c r="AO412" s="96">
        <f>IF(AND(AN412=1,AD412&gt;0,AE412=AD412,AL412=0),1,0)</f>
        <v>0</v>
      </c>
      <c r="AP412" s="96">
        <f>IF(U412=0,0,IF(AND(INDEX('MTRs'!$AX$6:$AX$505,T412)=1,Z412=0,OR(f_res="",f_res="(Todos)",C412=f_res)),1,0))</f>
        <v>0</v>
      </c>
      <c r="AQ412" s="97" t="str">
        <f>IF(U412=0,"",INDEX('MTRs'!$AZ$6:$AZ$505,T412))</f>
        <v/>
      </c>
      <c r="AR412" s="96">
        <f>IF(U412=0,0,IF(AND(INDEX('MTRs'!$BA$6:$BA$505,T412)=1,Z412=0),1,0))</f>
        <v>0</v>
      </c>
      <c r="AS412" s="96" t="str">
        <f>IF(R412=1,A412&amp;" | MTR "&amp;IF(U412=1,INDEX('MTRs'!$B$6:$B$505,T412)&amp;"","?")&amp;" | "&amp;IF(C412="","(sem resíduo)",C412),"")</f>
        <v/>
      </c>
      <c r="AT412" s="96" t="str">
        <f>IF(R412=1,COUNTIF($R$6:R412,1),"")</f>
        <v/>
      </c>
      <c r="AU412" s="96" t="str">
        <f>IF(U412=1,INDEX('MTRs'!$I$6:$I$505,T412)&amp;"","")</f>
        <v/>
      </c>
    </row>
    <row r="413">
      <c r="A413" s="89" t="inlineStr">
        <is>
          <t>IT-000408</t>
        </is>
      </c>
      <c r="B413" s="91" t="n"/>
      <c r="C413" s="91" t="n"/>
      <c r="D413" s="94" t="str">
        <f>IF(OR(R413=0,V413=0),"",INDEX('CAD_RESÍDUOS'!$E$6:$E$205,MATCH(C413,'CAD_RESÍDUOS'!$B$6:$B$205,0))&amp;"")</f>
        <v/>
      </c>
      <c r="E413" s="94" t="str">
        <f>IF(OR(R413=0,V413=0),"",INDEX('CAD_RESÍDUOS'!$C$6:$C$205,MATCH(C413,'CAD_RESÍDUOS'!$B$6:$B$205,0))&amp;"")</f>
        <v/>
      </c>
      <c r="F413" s="94" t="str">
        <f>IF(OR(R413=0,V413=0),"",INDEX('CAD_RESÍDUOS'!$G$6:$G$205,MATCH(C413,'CAD_RESÍDUOS'!$B$6:$B$205,0))&amp;"")</f>
        <v/>
      </c>
      <c r="G413" s="98" t="n"/>
      <c r="H413" s="91" t="n"/>
      <c r="I413" s="93" t="str">
        <f>IF(R413=0,"",IF(NOT(ISNUMBER(G413)),"",IF(ISNUMBER(X413),G413*X413,"UNIDADE A CONFERIR")))</f>
        <v/>
      </c>
      <c r="J413" s="91" t="n"/>
      <c r="K413" s="91" t="n"/>
      <c r="L413" s="93" t="str">
        <f>IF(R413=0,"",SUMIFS('RECEBIMENTOS'!$H$6:$H$1005,'RECEBIMENTOS'!$R$6:$R$1005,A413,'RECEBIMENTOS'!$X$6:$X$1005,1))</f>
        <v/>
      </c>
      <c r="M413" s="93" t="str">
        <f>IF(R413=0,"",SUMIFS('VÍNCULOS_CDF'!$H$6:$H$1005,'VÍNCULOS_CDF'!$R$6:$R$1005,A413,'VÍNCULOS_CDF'!$V$6:$V$1005,1))</f>
        <v/>
      </c>
      <c r="N413" s="99" t="str">
        <f>IF(OR(R413=0,AA413=0,NOT(ISNUMBER(I413))),"",I413-N(L413))</f>
        <v/>
      </c>
      <c r="O413" s="100" t="str">
        <f>IF(OR(R413=0,AK413&lt;=0),"",N(M413)/AK413)</f>
        <v/>
      </c>
      <c r="P413" s="94" t="str">
        <f>IF(R413=0,"",IF(S413="","Sem MTR associado",IF(U413=0,"MTR inexistente",IF(C413="","Resíduo não identificado",IF(V413=0,"Resíduo fora do cadastro",IF(W413=0,"Quantidade inválida",IF(H413="","Unidade não informada",IF(NOT(ISNUMBER(I413)),"Unidade a conferir",IF(AND(AH413=1,K413&lt;&gt;"Sim"),"Possível duplicidade",IF(Z413=1,"MTR cancelado",IF(AC413&gt;0,"Recebimento com alerta",IF(AA413=0,"Aguardando recebimento",IF(AB413&lt;AA413,"Recebimento a conferir",IF(AM413=1,"Quantidade a revisar",IF(AF413&gt;0,"Vínculo a revisar",IF(AD413=0,"Aguardando CDF",IF(AN413=0,"Vínculo de CDF parcial",IF(AE413&lt;AD413,"CDF a conferir","Documentação conferida"))))))))))))))))))</f>
        <v/>
      </c>
      <c r="Q413" s="93" t="str">
        <f>IF(OR(R413=0,AA413=0),"",MAX(0,N(L413)-N(M413)))</f>
        <v/>
      </c>
      <c r="R413" s="96">
        <f>IF(COUNTA(B413:C413,G413:H413,J413:K413)&gt;0,1,0)</f>
        <v>0</v>
      </c>
      <c r="S413" s="96" t="str">
        <f>IF(B413="","",TRIM(LEFT(B413,FIND(" |",B413&amp;" |")-1)))</f>
        <v/>
      </c>
      <c r="T413" s="96" t="str">
        <f>IF(S413="","",IFERROR(MATCH(S413,'MTRs'!$A$6:$A$505,0),""))</f>
        <v/>
      </c>
      <c r="U413" s="96">
        <f>IF(T413="",0,IF(INDEX('MTRs'!$Z$6:$Z$505,T413)=1,1,0))</f>
        <v>0</v>
      </c>
      <c r="V413" s="96">
        <f>IF(C413="",0,IF(ISNUMBER(MATCH(C413,'CAD_RESÍDUOS'!$B$6:$B$205,0)),1,0))</f>
        <v>0</v>
      </c>
      <c r="W413" s="96">
        <f>IF(AND(ISNUMBER(G413),G413&gt;0),1,0)</f>
        <v>0</v>
      </c>
      <c r="X413" s="96" t="str">
        <f>IF(H413="","",IFERROR(IF(ISNUMBER(INDEX(cfg_fac,MATCH(H413,cfg_units,0))),IF(INDEX(cfg_fac,MATCH(H413,cfg_units,0))&gt;0,INDEX(cfg_fac,MATCH(H413,cfg_units,0)),""),""),""))</f>
        <v/>
      </c>
      <c r="Y413" s="96">
        <f>IF(AND(W413=1,ISNUMBER(I413)),1,0)</f>
        <v>0</v>
      </c>
      <c r="Z413" s="96">
        <f>IF(U413=1,INDEX('MTRs'!$AA$6:$AA$505,T413),0)</f>
        <v>0</v>
      </c>
      <c r="AA413" s="96">
        <f>IF(R413=0,0,COUNTIFS('RECEBIMENTOS'!$R$6:$R$1005,A413,'RECEBIMENTOS'!$Q$6:$Q$1005,1))</f>
        <v>0</v>
      </c>
      <c r="AB413" s="96">
        <f>IF(R413=0,0,COUNTIFS('RECEBIMENTOS'!$R$6:$R$1005,A413,'RECEBIMENTOS'!$Z$6:$Z$1005,1))</f>
        <v>0</v>
      </c>
      <c r="AC413" s="96">
        <f>IF(R413=0,0,COUNTIFS('RECEBIMENTOS'!$R$6:$R$1005,A413,'RECEBIMENTOS'!$Y$6:$Y$1005,1))</f>
        <v>0</v>
      </c>
      <c r="AD413" s="96">
        <f>IF(R413=0,0,COUNTIFS('VÍNCULOS_CDF'!$R$6:$R$1005,A413,'VÍNCULOS_CDF'!$N$6:$N$1005,1))</f>
        <v>0</v>
      </c>
      <c r="AE413" s="96">
        <f>IF(R413=0,0,COUNTIFS('VÍNCULOS_CDF'!$R$6:$R$1005,A413,'VÍNCULOS_CDF'!$AA$6:$AA$1005,1))</f>
        <v>0</v>
      </c>
      <c r="AF413" s="96">
        <f>IF(R413=0,0,COUNTIFS('VÍNCULOS_CDF'!$R$6:$R$1005,A413,'VÍNCULOS_CDF'!$Y$6:$Y$1005,1))</f>
        <v>0</v>
      </c>
      <c r="AG413" s="96" t="str">
        <f>IF(AND(R413=1,S413&lt;&gt;"",C413&lt;&gt;""),S413&amp;"|"&amp;C413&amp;"|"&amp;G413&amp;"|"&amp;H413,"")</f>
        <v/>
      </c>
      <c r="AH413" s="96">
        <f>IF(AG413="",0,IF(SUMPRODUCT(--($AG$6:$AG$1005=AG413))&gt;1,1,0))</f>
        <v>0</v>
      </c>
      <c r="AI413" s="96">
        <f>IF(R413=0,0,IF(OR(U413=0,V413=0,Y413=0,AND(AH413=1,K413&lt;&gt;"Sim")),1,0))</f>
        <v>0</v>
      </c>
      <c r="AJ413" s="96">
        <f>IF(AND(R413=1,AA413&gt;0,AB413=AA413),1,0)</f>
        <v>0</v>
      </c>
      <c r="AK413" s="96">
        <f>IF(R413=0,0,IF(AA413&gt;0,N(L413),IF(ISNUMBER(I413),I413,0)))</f>
        <v>0</v>
      </c>
      <c r="AL413" s="96">
        <f>IF(R413=0,0,IF(AND(K413&lt;&gt;"Sim",N(M413)&gt;AK413+cfg_tol),1,0))</f>
        <v>0</v>
      </c>
      <c r="AM413" s="96">
        <f>IF(R413=0,0,IF(K413="Sim",0,IF(OR(AND(AA413&gt;0,ISNUMBER(I413),ABS(I413-N(L413))&gt;cfg_tol),AL413=1),1,0)))</f>
        <v>0</v>
      </c>
      <c r="AN413" s="96">
        <f>IF(AND(R413=1,N(M413)&gt;0,OR(N(M413)&gt;=AK413-cfg_tol,K413="Sim")),1,0)</f>
        <v>0</v>
      </c>
      <c r="AO413" s="96">
        <f>IF(AND(AN413=1,AD413&gt;0,AE413=AD413,AL413=0),1,0)</f>
        <v>0</v>
      </c>
      <c r="AP413" s="96">
        <f>IF(U413=0,0,IF(AND(INDEX('MTRs'!$AX$6:$AX$505,T413)=1,Z413=0,OR(f_res="",f_res="(Todos)",C413=f_res)),1,0))</f>
        <v>0</v>
      </c>
      <c r="AQ413" s="97" t="str">
        <f>IF(U413=0,"",INDEX('MTRs'!$AZ$6:$AZ$505,T413))</f>
        <v/>
      </c>
      <c r="AR413" s="96">
        <f>IF(U413=0,0,IF(AND(INDEX('MTRs'!$BA$6:$BA$505,T413)=1,Z413=0),1,0))</f>
        <v>0</v>
      </c>
      <c r="AS413" s="96" t="str">
        <f>IF(R413=1,A413&amp;" | MTR "&amp;IF(U413=1,INDEX('MTRs'!$B$6:$B$505,T413)&amp;"","?")&amp;" | "&amp;IF(C413="","(sem resíduo)",C413),"")</f>
        <v/>
      </c>
      <c r="AT413" s="96" t="str">
        <f>IF(R413=1,COUNTIF($R$6:R413,1),"")</f>
        <v/>
      </c>
      <c r="AU413" s="96" t="str">
        <f>IF(U413=1,INDEX('MTRs'!$I$6:$I$505,T413)&amp;"","")</f>
        <v/>
      </c>
    </row>
    <row r="414">
      <c r="A414" s="89" t="inlineStr">
        <is>
          <t>IT-000409</t>
        </is>
      </c>
      <c r="B414" s="91" t="n"/>
      <c r="C414" s="91" t="n"/>
      <c r="D414" s="94" t="str">
        <f>IF(OR(R414=0,V414=0),"",INDEX('CAD_RESÍDUOS'!$E$6:$E$205,MATCH(C414,'CAD_RESÍDUOS'!$B$6:$B$205,0))&amp;"")</f>
        <v/>
      </c>
      <c r="E414" s="94" t="str">
        <f>IF(OR(R414=0,V414=0),"",INDEX('CAD_RESÍDUOS'!$C$6:$C$205,MATCH(C414,'CAD_RESÍDUOS'!$B$6:$B$205,0))&amp;"")</f>
        <v/>
      </c>
      <c r="F414" s="94" t="str">
        <f>IF(OR(R414=0,V414=0),"",INDEX('CAD_RESÍDUOS'!$G$6:$G$205,MATCH(C414,'CAD_RESÍDUOS'!$B$6:$B$205,0))&amp;"")</f>
        <v/>
      </c>
      <c r="G414" s="98" t="n"/>
      <c r="H414" s="91" t="n"/>
      <c r="I414" s="93" t="str">
        <f>IF(R414=0,"",IF(NOT(ISNUMBER(G414)),"",IF(ISNUMBER(X414),G414*X414,"UNIDADE A CONFERIR")))</f>
        <v/>
      </c>
      <c r="J414" s="91" t="n"/>
      <c r="K414" s="91" t="n"/>
      <c r="L414" s="93" t="str">
        <f>IF(R414=0,"",SUMIFS('RECEBIMENTOS'!$H$6:$H$1005,'RECEBIMENTOS'!$R$6:$R$1005,A414,'RECEBIMENTOS'!$X$6:$X$1005,1))</f>
        <v/>
      </c>
      <c r="M414" s="93" t="str">
        <f>IF(R414=0,"",SUMIFS('VÍNCULOS_CDF'!$H$6:$H$1005,'VÍNCULOS_CDF'!$R$6:$R$1005,A414,'VÍNCULOS_CDF'!$V$6:$V$1005,1))</f>
        <v/>
      </c>
      <c r="N414" s="99" t="str">
        <f>IF(OR(R414=0,AA414=0,NOT(ISNUMBER(I414))),"",I414-N(L414))</f>
        <v/>
      </c>
      <c r="O414" s="100" t="str">
        <f>IF(OR(R414=0,AK414&lt;=0),"",N(M414)/AK414)</f>
        <v/>
      </c>
      <c r="P414" s="94" t="str">
        <f>IF(R414=0,"",IF(S414="","Sem MTR associado",IF(U414=0,"MTR inexistente",IF(C414="","Resíduo não identificado",IF(V414=0,"Resíduo fora do cadastro",IF(W414=0,"Quantidade inválida",IF(H414="","Unidade não informada",IF(NOT(ISNUMBER(I414)),"Unidade a conferir",IF(AND(AH414=1,K414&lt;&gt;"Sim"),"Possível duplicidade",IF(Z414=1,"MTR cancelado",IF(AC414&gt;0,"Recebimento com alerta",IF(AA414=0,"Aguardando recebimento",IF(AB414&lt;AA414,"Recebimento a conferir",IF(AM414=1,"Quantidade a revisar",IF(AF414&gt;0,"Vínculo a revisar",IF(AD414=0,"Aguardando CDF",IF(AN414=0,"Vínculo de CDF parcial",IF(AE414&lt;AD414,"CDF a conferir","Documentação conferida"))))))))))))))))))</f>
        <v/>
      </c>
      <c r="Q414" s="93" t="str">
        <f>IF(OR(R414=0,AA414=0),"",MAX(0,N(L414)-N(M414)))</f>
        <v/>
      </c>
      <c r="R414" s="96">
        <f>IF(COUNTA(B414:C414,G414:H414,J414:K414)&gt;0,1,0)</f>
        <v>0</v>
      </c>
      <c r="S414" s="96" t="str">
        <f>IF(B414="","",TRIM(LEFT(B414,FIND(" |",B414&amp;" |")-1)))</f>
        <v/>
      </c>
      <c r="T414" s="96" t="str">
        <f>IF(S414="","",IFERROR(MATCH(S414,'MTRs'!$A$6:$A$505,0),""))</f>
        <v/>
      </c>
      <c r="U414" s="96">
        <f>IF(T414="",0,IF(INDEX('MTRs'!$Z$6:$Z$505,T414)=1,1,0))</f>
        <v>0</v>
      </c>
      <c r="V414" s="96">
        <f>IF(C414="",0,IF(ISNUMBER(MATCH(C414,'CAD_RESÍDUOS'!$B$6:$B$205,0)),1,0))</f>
        <v>0</v>
      </c>
      <c r="W414" s="96">
        <f>IF(AND(ISNUMBER(G414),G414&gt;0),1,0)</f>
        <v>0</v>
      </c>
      <c r="X414" s="96" t="str">
        <f>IF(H414="","",IFERROR(IF(ISNUMBER(INDEX(cfg_fac,MATCH(H414,cfg_units,0))),IF(INDEX(cfg_fac,MATCH(H414,cfg_units,0))&gt;0,INDEX(cfg_fac,MATCH(H414,cfg_units,0)),""),""),""))</f>
        <v/>
      </c>
      <c r="Y414" s="96">
        <f>IF(AND(W414=1,ISNUMBER(I414)),1,0)</f>
        <v>0</v>
      </c>
      <c r="Z414" s="96">
        <f>IF(U414=1,INDEX('MTRs'!$AA$6:$AA$505,T414),0)</f>
        <v>0</v>
      </c>
      <c r="AA414" s="96">
        <f>IF(R414=0,0,COUNTIFS('RECEBIMENTOS'!$R$6:$R$1005,A414,'RECEBIMENTOS'!$Q$6:$Q$1005,1))</f>
        <v>0</v>
      </c>
      <c r="AB414" s="96">
        <f>IF(R414=0,0,COUNTIFS('RECEBIMENTOS'!$R$6:$R$1005,A414,'RECEBIMENTOS'!$Z$6:$Z$1005,1))</f>
        <v>0</v>
      </c>
      <c r="AC414" s="96">
        <f>IF(R414=0,0,COUNTIFS('RECEBIMENTOS'!$R$6:$R$1005,A414,'RECEBIMENTOS'!$Y$6:$Y$1005,1))</f>
        <v>0</v>
      </c>
      <c r="AD414" s="96">
        <f>IF(R414=0,0,COUNTIFS('VÍNCULOS_CDF'!$R$6:$R$1005,A414,'VÍNCULOS_CDF'!$N$6:$N$1005,1))</f>
        <v>0</v>
      </c>
      <c r="AE414" s="96">
        <f>IF(R414=0,0,COUNTIFS('VÍNCULOS_CDF'!$R$6:$R$1005,A414,'VÍNCULOS_CDF'!$AA$6:$AA$1005,1))</f>
        <v>0</v>
      </c>
      <c r="AF414" s="96">
        <f>IF(R414=0,0,COUNTIFS('VÍNCULOS_CDF'!$R$6:$R$1005,A414,'VÍNCULOS_CDF'!$Y$6:$Y$1005,1))</f>
        <v>0</v>
      </c>
      <c r="AG414" s="96" t="str">
        <f>IF(AND(R414=1,S414&lt;&gt;"",C414&lt;&gt;""),S414&amp;"|"&amp;C414&amp;"|"&amp;G414&amp;"|"&amp;H414,"")</f>
        <v/>
      </c>
      <c r="AH414" s="96">
        <f>IF(AG414="",0,IF(SUMPRODUCT(--($AG$6:$AG$1005=AG414))&gt;1,1,0))</f>
        <v>0</v>
      </c>
      <c r="AI414" s="96">
        <f>IF(R414=0,0,IF(OR(U414=0,V414=0,Y414=0,AND(AH414=1,K414&lt;&gt;"Sim")),1,0))</f>
        <v>0</v>
      </c>
      <c r="AJ414" s="96">
        <f>IF(AND(R414=1,AA414&gt;0,AB414=AA414),1,0)</f>
        <v>0</v>
      </c>
      <c r="AK414" s="96">
        <f>IF(R414=0,0,IF(AA414&gt;0,N(L414),IF(ISNUMBER(I414),I414,0)))</f>
        <v>0</v>
      </c>
      <c r="AL414" s="96">
        <f>IF(R414=0,0,IF(AND(K414&lt;&gt;"Sim",N(M414)&gt;AK414+cfg_tol),1,0))</f>
        <v>0</v>
      </c>
      <c r="AM414" s="96">
        <f>IF(R414=0,0,IF(K414="Sim",0,IF(OR(AND(AA414&gt;0,ISNUMBER(I414),ABS(I414-N(L414))&gt;cfg_tol),AL414=1),1,0)))</f>
        <v>0</v>
      </c>
      <c r="AN414" s="96">
        <f>IF(AND(R414=1,N(M414)&gt;0,OR(N(M414)&gt;=AK414-cfg_tol,K414="Sim")),1,0)</f>
        <v>0</v>
      </c>
      <c r="AO414" s="96">
        <f>IF(AND(AN414=1,AD414&gt;0,AE414=AD414,AL414=0),1,0)</f>
        <v>0</v>
      </c>
      <c r="AP414" s="96">
        <f>IF(U414=0,0,IF(AND(INDEX('MTRs'!$AX$6:$AX$505,T414)=1,Z414=0,OR(f_res="",f_res="(Todos)",C414=f_res)),1,0))</f>
        <v>0</v>
      </c>
      <c r="AQ414" s="97" t="str">
        <f>IF(U414=0,"",INDEX('MTRs'!$AZ$6:$AZ$505,T414))</f>
        <v/>
      </c>
      <c r="AR414" s="96">
        <f>IF(U414=0,0,IF(AND(INDEX('MTRs'!$BA$6:$BA$505,T414)=1,Z414=0),1,0))</f>
        <v>0</v>
      </c>
      <c r="AS414" s="96" t="str">
        <f>IF(R414=1,A414&amp;" | MTR "&amp;IF(U414=1,INDEX('MTRs'!$B$6:$B$505,T414)&amp;"","?")&amp;" | "&amp;IF(C414="","(sem resíduo)",C414),"")</f>
        <v/>
      </c>
      <c r="AT414" s="96" t="str">
        <f>IF(R414=1,COUNTIF($R$6:R414,1),"")</f>
        <v/>
      </c>
      <c r="AU414" s="96" t="str">
        <f>IF(U414=1,INDEX('MTRs'!$I$6:$I$505,T414)&amp;"","")</f>
        <v/>
      </c>
    </row>
    <row r="415">
      <c r="A415" s="89" t="inlineStr">
        <is>
          <t>IT-000410</t>
        </is>
      </c>
      <c r="B415" s="91" t="n"/>
      <c r="C415" s="91" t="n"/>
      <c r="D415" s="94" t="str">
        <f>IF(OR(R415=0,V415=0),"",INDEX('CAD_RESÍDUOS'!$E$6:$E$205,MATCH(C415,'CAD_RESÍDUOS'!$B$6:$B$205,0))&amp;"")</f>
        <v/>
      </c>
      <c r="E415" s="94" t="str">
        <f>IF(OR(R415=0,V415=0),"",INDEX('CAD_RESÍDUOS'!$C$6:$C$205,MATCH(C415,'CAD_RESÍDUOS'!$B$6:$B$205,0))&amp;"")</f>
        <v/>
      </c>
      <c r="F415" s="94" t="str">
        <f>IF(OR(R415=0,V415=0),"",INDEX('CAD_RESÍDUOS'!$G$6:$G$205,MATCH(C415,'CAD_RESÍDUOS'!$B$6:$B$205,0))&amp;"")</f>
        <v/>
      </c>
      <c r="G415" s="98" t="n"/>
      <c r="H415" s="91" t="n"/>
      <c r="I415" s="93" t="str">
        <f>IF(R415=0,"",IF(NOT(ISNUMBER(G415)),"",IF(ISNUMBER(X415),G415*X415,"UNIDADE A CONFERIR")))</f>
        <v/>
      </c>
      <c r="J415" s="91" t="n"/>
      <c r="K415" s="91" t="n"/>
      <c r="L415" s="93" t="str">
        <f>IF(R415=0,"",SUMIFS('RECEBIMENTOS'!$H$6:$H$1005,'RECEBIMENTOS'!$R$6:$R$1005,A415,'RECEBIMENTOS'!$X$6:$X$1005,1))</f>
        <v/>
      </c>
      <c r="M415" s="93" t="str">
        <f>IF(R415=0,"",SUMIFS('VÍNCULOS_CDF'!$H$6:$H$1005,'VÍNCULOS_CDF'!$R$6:$R$1005,A415,'VÍNCULOS_CDF'!$V$6:$V$1005,1))</f>
        <v/>
      </c>
      <c r="N415" s="99" t="str">
        <f>IF(OR(R415=0,AA415=0,NOT(ISNUMBER(I415))),"",I415-N(L415))</f>
        <v/>
      </c>
      <c r="O415" s="100" t="str">
        <f>IF(OR(R415=0,AK415&lt;=0),"",N(M415)/AK415)</f>
        <v/>
      </c>
      <c r="P415" s="94" t="str">
        <f>IF(R415=0,"",IF(S415="","Sem MTR associado",IF(U415=0,"MTR inexistente",IF(C415="","Resíduo não identificado",IF(V415=0,"Resíduo fora do cadastro",IF(W415=0,"Quantidade inválida",IF(H415="","Unidade não informada",IF(NOT(ISNUMBER(I415)),"Unidade a conferir",IF(AND(AH415=1,K415&lt;&gt;"Sim"),"Possível duplicidade",IF(Z415=1,"MTR cancelado",IF(AC415&gt;0,"Recebimento com alerta",IF(AA415=0,"Aguardando recebimento",IF(AB415&lt;AA415,"Recebimento a conferir",IF(AM415=1,"Quantidade a revisar",IF(AF415&gt;0,"Vínculo a revisar",IF(AD415=0,"Aguardando CDF",IF(AN415=0,"Vínculo de CDF parcial",IF(AE415&lt;AD415,"CDF a conferir","Documentação conferida"))))))))))))))))))</f>
        <v/>
      </c>
      <c r="Q415" s="93" t="str">
        <f>IF(OR(R415=0,AA415=0),"",MAX(0,N(L415)-N(M415)))</f>
        <v/>
      </c>
      <c r="R415" s="96">
        <f>IF(COUNTA(B415:C415,G415:H415,J415:K415)&gt;0,1,0)</f>
        <v>0</v>
      </c>
      <c r="S415" s="96" t="str">
        <f>IF(B415="","",TRIM(LEFT(B415,FIND(" |",B415&amp;" |")-1)))</f>
        <v/>
      </c>
      <c r="T415" s="96" t="str">
        <f>IF(S415="","",IFERROR(MATCH(S415,'MTRs'!$A$6:$A$505,0),""))</f>
        <v/>
      </c>
      <c r="U415" s="96">
        <f>IF(T415="",0,IF(INDEX('MTRs'!$Z$6:$Z$505,T415)=1,1,0))</f>
        <v>0</v>
      </c>
      <c r="V415" s="96">
        <f>IF(C415="",0,IF(ISNUMBER(MATCH(C415,'CAD_RESÍDUOS'!$B$6:$B$205,0)),1,0))</f>
        <v>0</v>
      </c>
      <c r="W415" s="96">
        <f>IF(AND(ISNUMBER(G415),G415&gt;0),1,0)</f>
        <v>0</v>
      </c>
      <c r="X415" s="96" t="str">
        <f>IF(H415="","",IFERROR(IF(ISNUMBER(INDEX(cfg_fac,MATCH(H415,cfg_units,0))),IF(INDEX(cfg_fac,MATCH(H415,cfg_units,0))&gt;0,INDEX(cfg_fac,MATCH(H415,cfg_units,0)),""),""),""))</f>
        <v/>
      </c>
      <c r="Y415" s="96">
        <f>IF(AND(W415=1,ISNUMBER(I415)),1,0)</f>
        <v>0</v>
      </c>
      <c r="Z415" s="96">
        <f>IF(U415=1,INDEX('MTRs'!$AA$6:$AA$505,T415),0)</f>
        <v>0</v>
      </c>
      <c r="AA415" s="96">
        <f>IF(R415=0,0,COUNTIFS('RECEBIMENTOS'!$R$6:$R$1005,A415,'RECEBIMENTOS'!$Q$6:$Q$1005,1))</f>
        <v>0</v>
      </c>
      <c r="AB415" s="96">
        <f>IF(R415=0,0,COUNTIFS('RECEBIMENTOS'!$R$6:$R$1005,A415,'RECEBIMENTOS'!$Z$6:$Z$1005,1))</f>
        <v>0</v>
      </c>
      <c r="AC415" s="96">
        <f>IF(R415=0,0,COUNTIFS('RECEBIMENTOS'!$R$6:$R$1005,A415,'RECEBIMENTOS'!$Y$6:$Y$1005,1))</f>
        <v>0</v>
      </c>
      <c r="AD415" s="96">
        <f>IF(R415=0,0,COUNTIFS('VÍNCULOS_CDF'!$R$6:$R$1005,A415,'VÍNCULOS_CDF'!$N$6:$N$1005,1))</f>
        <v>0</v>
      </c>
      <c r="AE415" s="96">
        <f>IF(R415=0,0,COUNTIFS('VÍNCULOS_CDF'!$R$6:$R$1005,A415,'VÍNCULOS_CDF'!$AA$6:$AA$1005,1))</f>
        <v>0</v>
      </c>
      <c r="AF415" s="96">
        <f>IF(R415=0,0,COUNTIFS('VÍNCULOS_CDF'!$R$6:$R$1005,A415,'VÍNCULOS_CDF'!$Y$6:$Y$1005,1))</f>
        <v>0</v>
      </c>
      <c r="AG415" s="96" t="str">
        <f>IF(AND(R415=1,S415&lt;&gt;"",C415&lt;&gt;""),S415&amp;"|"&amp;C415&amp;"|"&amp;G415&amp;"|"&amp;H415,"")</f>
        <v/>
      </c>
      <c r="AH415" s="96">
        <f>IF(AG415="",0,IF(SUMPRODUCT(--($AG$6:$AG$1005=AG415))&gt;1,1,0))</f>
        <v>0</v>
      </c>
      <c r="AI415" s="96">
        <f>IF(R415=0,0,IF(OR(U415=0,V415=0,Y415=0,AND(AH415=1,K415&lt;&gt;"Sim")),1,0))</f>
        <v>0</v>
      </c>
      <c r="AJ415" s="96">
        <f>IF(AND(R415=1,AA415&gt;0,AB415=AA415),1,0)</f>
        <v>0</v>
      </c>
      <c r="AK415" s="96">
        <f>IF(R415=0,0,IF(AA415&gt;0,N(L415),IF(ISNUMBER(I415),I415,0)))</f>
        <v>0</v>
      </c>
      <c r="AL415" s="96">
        <f>IF(R415=0,0,IF(AND(K415&lt;&gt;"Sim",N(M415)&gt;AK415+cfg_tol),1,0))</f>
        <v>0</v>
      </c>
      <c r="AM415" s="96">
        <f>IF(R415=0,0,IF(K415="Sim",0,IF(OR(AND(AA415&gt;0,ISNUMBER(I415),ABS(I415-N(L415))&gt;cfg_tol),AL415=1),1,0)))</f>
        <v>0</v>
      </c>
      <c r="AN415" s="96">
        <f>IF(AND(R415=1,N(M415)&gt;0,OR(N(M415)&gt;=AK415-cfg_tol,K415="Sim")),1,0)</f>
        <v>0</v>
      </c>
      <c r="AO415" s="96">
        <f>IF(AND(AN415=1,AD415&gt;0,AE415=AD415,AL415=0),1,0)</f>
        <v>0</v>
      </c>
      <c r="AP415" s="96">
        <f>IF(U415=0,0,IF(AND(INDEX('MTRs'!$AX$6:$AX$505,T415)=1,Z415=0,OR(f_res="",f_res="(Todos)",C415=f_res)),1,0))</f>
        <v>0</v>
      </c>
      <c r="AQ415" s="97" t="str">
        <f>IF(U415=0,"",INDEX('MTRs'!$AZ$6:$AZ$505,T415))</f>
        <v/>
      </c>
      <c r="AR415" s="96">
        <f>IF(U415=0,0,IF(AND(INDEX('MTRs'!$BA$6:$BA$505,T415)=1,Z415=0),1,0))</f>
        <v>0</v>
      </c>
      <c r="AS415" s="96" t="str">
        <f>IF(R415=1,A415&amp;" | MTR "&amp;IF(U415=1,INDEX('MTRs'!$B$6:$B$505,T415)&amp;"","?")&amp;" | "&amp;IF(C415="","(sem resíduo)",C415),"")</f>
        <v/>
      </c>
      <c r="AT415" s="96" t="str">
        <f>IF(R415=1,COUNTIF($R$6:R415,1),"")</f>
        <v/>
      </c>
      <c r="AU415" s="96" t="str">
        <f>IF(U415=1,INDEX('MTRs'!$I$6:$I$505,T415)&amp;"","")</f>
        <v/>
      </c>
    </row>
    <row r="416">
      <c r="A416" s="89" t="inlineStr">
        <is>
          <t>IT-000411</t>
        </is>
      </c>
      <c r="B416" s="91" t="n"/>
      <c r="C416" s="91" t="n"/>
      <c r="D416" s="94" t="str">
        <f>IF(OR(R416=0,V416=0),"",INDEX('CAD_RESÍDUOS'!$E$6:$E$205,MATCH(C416,'CAD_RESÍDUOS'!$B$6:$B$205,0))&amp;"")</f>
        <v/>
      </c>
      <c r="E416" s="94" t="str">
        <f>IF(OR(R416=0,V416=0),"",INDEX('CAD_RESÍDUOS'!$C$6:$C$205,MATCH(C416,'CAD_RESÍDUOS'!$B$6:$B$205,0))&amp;"")</f>
        <v/>
      </c>
      <c r="F416" s="94" t="str">
        <f>IF(OR(R416=0,V416=0),"",INDEX('CAD_RESÍDUOS'!$G$6:$G$205,MATCH(C416,'CAD_RESÍDUOS'!$B$6:$B$205,0))&amp;"")</f>
        <v/>
      </c>
      <c r="G416" s="98" t="n"/>
      <c r="H416" s="91" t="n"/>
      <c r="I416" s="93" t="str">
        <f>IF(R416=0,"",IF(NOT(ISNUMBER(G416)),"",IF(ISNUMBER(X416),G416*X416,"UNIDADE A CONFERIR")))</f>
        <v/>
      </c>
      <c r="J416" s="91" t="n"/>
      <c r="K416" s="91" t="n"/>
      <c r="L416" s="93" t="str">
        <f>IF(R416=0,"",SUMIFS('RECEBIMENTOS'!$H$6:$H$1005,'RECEBIMENTOS'!$R$6:$R$1005,A416,'RECEBIMENTOS'!$X$6:$X$1005,1))</f>
        <v/>
      </c>
      <c r="M416" s="93" t="str">
        <f>IF(R416=0,"",SUMIFS('VÍNCULOS_CDF'!$H$6:$H$1005,'VÍNCULOS_CDF'!$R$6:$R$1005,A416,'VÍNCULOS_CDF'!$V$6:$V$1005,1))</f>
        <v/>
      </c>
      <c r="N416" s="99" t="str">
        <f>IF(OR(R416=0,AA416=0,NOT(ISNUMBER(I416))),"",I416-N(L416))</f>
        <v/>
      </c>
      <c r="O416" s="100" t="str">
        <f>IF(OR(R416=0,AK416&lt;=0),"",N(M416)/AK416)</f>
        <v/>
      </c>
      <c r="P416" s="94" t="str">
        <f>IF(R416=0,"",IF(S416="","Sem MTR associado",IF(U416=0,"MTR inexistente",IF(C416="","Resíduo não identificado",IF(V416=0,"Resíduo fora do cadastro",IF(W416=0,"Quantidade inválida",IF(H416="","Unidade não informada",IF(NOT(ISNUMBER(I416)),"Unidade a conferir",IF(AND(AH416=1,K416&lt;&gt;"Sim"),"Possível duplicidade",IF(Z416=1,"MTR cancelado",IF(AC416&gt;0,"Recebimento com alerta",IF(AA416=0,"Aguardando recebimento",IF(AB416&lt;AA416,"Recebimento a conferir",IF(AM416=1,"Quantidade a revisar",IF(AF416&gt;0,"Vínculo a revisar",IF(AD416=0,"Aguardando CDF",IF(AN416=0,"Vínculo de CDF parcial",IF(AE416&lt;AD416,"CDF a conferir","Documentação conferida"))))))))))))))))))</f>
        <v/>
      </c>
      <c r="Q416" s="93" t="str">
        <f>IF(OR(R416=0,AA416=0),"",MAX(0,N(L416)-N(M416)))</f>
        <v/>
      </c>
      <c r="R416" s="96">
        <f>IF(COUNTA(B416:C416,G416:H416,J416:K416)&gt;0,1,0)</f>
        <v>0</v>
      </c>
      <c r="S416" s="96" t="str">
        <f>IF(B416="","",TRIM(LEFT(B416,FIND(" |",B416&amp;" |")-1)))</f>
        <v/>
      </c>
      <c r="T416" s="96" t="str">
        <f>IF(S416="","",IFERROR(MATCH(S416,'MTRs'!$A$6:$A$505,0),""))</f>
        <v/>
      </c>
      <c r="U416" s="96">
        <f>IF(T416="",0,IF(INDEX('MTRs'!$Z$6:$Z$505,T416)=1,1,0))</f>
        <v>0</v>
      </c>
      <c r="V416" s="96">
        <f>IF(C416="",0,IF(ISNUMBER(MATCH(C416,'CAD_RESÍDUOS'!$B$6:$B$205,0)),1,0))</f>
        <v>0</v>
      </c>
      <c r="W416" s="96">
        <f>IF(AND(ISNUMBER(G416),G416&gt;0),1,0)</f>
        <v>0</v>
      </c>
      <c r="X416" s="96" t="str">
        <f>IF(H416="","",IFERROR(IF(ISNUMBER(INDEX(cfg_fac,MATCH(H416,cfg_units,0))),IF(INDEX(cfg_fac,MATCH(H416,cfg_units,0))&gt;0,INDEX(cfg_fac,MATCH(H416,cfg_units,0)),""),""),""))</f>
        <v/>
      </c>
      <c r="Y416" s="96">
        <f>IF(AND(W416=1,ISNUMBER(I416)),1,0)</f>
        <v>0</v>
      </c>
      <c r="Z416" s="96">
        <f>IF(U416=1,INDEX('MTRs'!$AA$6:$AA$505,T416),0)</f>
        <v>0</v>
      </c>
      <c r="AA416" s="96">
        <f>IF(R416=0,0,COUNTIFS('RECEBIMENTOS'!$R$6:$R$1005,A416,'RECEBIMENTOS'!$Q$6:$Q$1005,1))</f>
        <v>0</v>
      </c>
      <c r="AB416" s="96">
        <f>IF(R416=0,0,COUNTIFS('RECEBIMENTOS'!$R$6:$R$1005,A416,'RECEBIMENTOS'!$Z$6:$Z$1005,1))</f>
        <v>0</v>
      </c>
      <c r="AC416" s="96">
        <f>IF(R416=0,0,COUNTIFS('RECEBIMENTOS'!$R$6:$R$1005,A416,'RECEBIMENTOS'!$Y$6:$Y$1005,1))</f>
        <v>0</v>
      </c>
      <c r="AD416" s="96">
        <f>IF(R416=0,0,COUNTIFS('VÍNCULOS_CDF'!$R$6:$R$1005,A416,'VÍNCULOS_CDF'!$N$6:$N$1005,1))</f>
        <v>0</v>
      </c>
      <c r="AE416" s="96">
        <f>IF(R416=0,0,COUNTIFS('VÍNCULOS_CDF'!$R$6:$R$1005,A416,'VÍNCULOS_CDF'!$AA$6:$AA$1005,1))</f>
        <v>0</v>
      </c>
      <c r="AF416" s="96">
        <f>IF(R416=0,0,COUNTIFS('VÍNCULOS_CDF'!$R$6:$R$1005,A416,'VÍNCULOS_CDF'!$Y$6:$Y$1005,1))</f>
        <v>0</v>
      </c>
      <c r="AG416" s="96" t="str">
        <f>IF(AND(R416=1,S416&lt;&gt;"",C416&lt;&gt;""),S416&amp;"|"&amp;C416&amp;"|"&amp;G416&amp;"|"&amp;H416,"")</f>
        <v/>
      </c>
      <c r="AH416" s="96">
        <f>IF(AG416="",0,IF(SUMPRODUCT(--($AG$6:$AG$1005=AG416))&gt;1,1,0))</f>
        <v>0</v>
      </c>
      <c r="AI416" s="96">
        <f>IF(R416=0,0,IF(OR(U416=0,V416=0,Y416=0,AND(AH416=1,K416&lt;&gt;"Sim")),1,0))</f>
        <v>0</v>
      </c>
      <c r="AJ416" s="96">
        <f>IF(AND(R416=1,AA416&gt;0,AB416=AA416),1,0)</f>
        <v>0</v>
      </c>
      <c r="AK416" s="96">
        <f>IF(R416=0,0,IF(AA416&gt;0,N(L416),IF(ISNUMBER(I416),I416,0)))</f>
        <v>0</v>
      </c>
      <c r="AL416" s="96">
        <f>IF(R416=0,0,IF(AND(K416&lt;&gt;"Sim",N(M416)&gt;AK416+cfg_tol),1,0))</f>
        <v>0</v>
      </c>
      <c r="AM416" s="96">
        <f>IF(R416=0,0,IF(K416="Sim",0,IF(OR(AND(AA416&gt;0,ISNUMBER(I416),ABS(I416-N(L416))&gt;cfg_tol),AL416=1),1,0)))</f>
        <v>0</v>
      </c>
      <c r="AN416" s="96">
        <f>IF(AND(R416=1,N(M416)&gt;0,OR(N(M416)&gt;=AK416-cfg_tol,K416="Sim")),1,0)</f>
        <v>0</v>
      </c>
      <c r="AO416" s="96">
        <f>IF(AND(AN416=1,AD416&gt;0,AE416=AD416,AL416=0),1,0)</f>
        <v>0</v>
      </c>
      <c r="AP416" s="96">
        <f>IF(U416=0,0,IF(AND(INDEX('MTRs'!$AX$6:$AX$505,T416)=1,Z416=0,OR(f_res="",f_res="(Todos)",C416=f_res)),1,0))</f>
        <v>0</v>
      </c>
      <c r="AQ416" s="97" t="str">
        <f>IF(U416=0,"",INDEX('MTRs'!$AZ$6:$AZ$505,T416))</f>
        <v/>
      </c>
      <c r="AR416" s="96">
        <f>IF(U416=0,0,IF(AND(INDEX('MTRs'!$BA$6:$BA$505,T416)=1,Z416=0),1,0))</f>
        <v>0</v>
      </c>
      <c r="AS416" s="96" t="str">
        <f>IF(R416=1,A416&amp;" | MTR "&amp;IF(U416=1,INDEX('MTRs'!$B$6:$B$505,T416)&amp;"","?")&amp;" | "&amp;IF(C416="","(sem resíduo)",C416),"")</f>
        <v/>
      </c>
      <c r="AT416" s="96" t="str">
        <f>IF(R416=1,COUNTIF($R$6:R416,1),"")</f>
        <v/>
      </c>
      <c r="AU416" s="96" t="str">
        <f>IF(U416=1,INDEX('MTRs'!$I$6:$I$505,T416)&amp;"","")</f>
        <v/>
      </c>
    </row>
    <row r="417">
      <c r="A417" s="89" t="inlineStr">
        <is>
          <t>IT-000412</t>
        </is>
      </c>
      <c r="B417" s="91" t="n"/>
      <c r="C417" s="91" t="n"/>
      <c r="D417" s="94" t="str">
        <f>IF(OR(R417=0,V417=0),"",INDEX('CAD_RESÍDUOS'!$E$6:$E$205,MATCH(C417,'CAD_RESÍDUOS'!$B$6:$B$205,0))&amp;"")</f>
        <v/>
      </c>
      <c r="E417" s="94" t="str">
        <f>IF(OR(R417=0,V417=0),"",INDEX('CAD_RESÍDUOS'!$C$6:$C$205,MATCH(C417,'CAD_RESÍDUOS'!$B$6:$B$205,0))&amp;"")</f>
        <v/>
      </c>
      <c r="F417" s="94" t="str">
        <f>IF(OR(R417=0,V417=0),"",INDEX('CAD_RESÍDUOS'!$G$6:$G$205,MATCH(C417,'CAD_RESÍDUOS'!$B$6:$B$205,0))&amp;"")</f>
        <v/>
      </c>
      <c r="G417" s="98" t="n"/>
      <c r="H417" s="91" t="n"/>
      <c r="I417" s="93" t="str">
        <f>IF(R417=0,"",IF(NOT(ISNUMBER(G417)),"",IF(ISNUMBER(X417),G417*X417,"UNIDADE A CONFERIR")))</f>
        <v/>
      </c>
      <c r="J417" s="91" t="n"/>
      <c r="K417" s="91" t="n"/>
      <c r="L417" s="93" t="str">
        <f>IF(R417=0,"",SUMIFS('RECEBIMENTOS'!$H$6:$H$1005,'RECEBIMENTOS'!$R$6:$R$1005,A417,'RECEBIMENTOS'!$X$6:$X$1005,1))</f>
        <v/>
      </c>
      <c r="M417" s="93" t="str">
        <f>IF(R417=0,"",SUMIFS('VÍNCULOS_CDF'!$H$6:$H$1005,'VÍNCULOS_CDF'!$R$6:$R$1005,A417,'VÍNCULOS_CDF'!$V$6:$V$1005,1))</f>
        <v/>
      </c>
      <c r="N417" s="99" t="str">
        <f>IF(OR(R417=0,AA417=0,NOT(ISNUMBER(I417))),"",I417-N(L417))</f>
        <v/>
      </c>
      <c r="O417" s="100" t="str">
        <f>IF(OR(R417=0,AK417&lt;=0),"",N(M417)/AK417)</f>
        <v/>
      </c>
      <c r="P417" s="94" t="str">
        <f>IF(R417=0,"",IF(S417="","Sem MTR associado",IF(U417=0,"MTR inexistente",IF(C417="","Resíduo não identificado",IF(V417=0,"Resíduo fora do cadastro",IF(W417=0,"Quantidade inválida",IF(H417="","Unidade não informada",IF(NOT(ISNUMBER(I417)),"Unidade a conferir",IF(AND(AH417=1,K417&lt;&gt;"Sim"),"Possível duplicidade",IF(Z417=1,"MTR cancelado",IF(AC417&gt;0,"Recebimento com alerta",IF(AA417=0,"Aguardando recebimento",IF(AB417&lt;AA417,"Recebimento a conferir",IF(AM417=1,"Quantidade a revisar",IF(AF417&gt;0,"Vínculo a revisar",IF(AD417=0,"Aguardando CDF",IF(AN417=0,"Vínculo de CDF parcial",IF(AE417&lt;AD417,"CDF a conferir","Documentação conferida"))))))))))))))))))</f>
        <v/>
      </c>
      <c r="Q417" s="93" t="str">
        <f>IF(OR(R417=0,AA417=0),"",MAX(0,N(L417)-N(M417)))</f>
        <v/>
      </c>
      <c r="R417" s="96">
        <f>IF(COUNTA(B417:C417,G417:H417,J417:K417)&gt;0,1,0)</f>
        <v>0</v>
      </c>
      <c r="S417" s="96" t="str">
        <f>IF(B417="","",TRIM(LEFT(B417,FIND(" |",B417&amp;" |")-1)))</f>
        <v/>
      </c>
      <c r="T417" s="96" t="str">
        <f>IF(S417="","",IFERROR(MATCH(S417,'MTRs'!$A$6:$A$505,0),""))</f>
        <v/>
      </c>
      <c r="U417" s="96">
        <f>IF(T417="",0,IF(INDEX('MTRs'!$Z$6:$Z$505,T417)=1,1,0))</f>
        <v>0</v>
      </c>
      <c r="V417" s="96">
        <f>IF(C417="",0,IF(ISNUMBER(MATCH(C417,'CAD_RESÍDUOS'!$B$6:$B$205,0)),1,0))</f>
        <v>0</v>
      </c>
      <c r="W417" s="96">
        <f>IF(AND(ISNUMBER(G417),G417&gt;0),1,0)</f>
        <v>0</v>
      </c>
      <c r="X417" s="96" t="str">
        <f>IF(H417="","",IFERROR(IF(ISNUMBER(INDEX(cfg_fac,MATCH(H417,cfg_units,0))),IF(INDEX(cfg_fac,MATCH(H417,cfg_units,0))&gt;0,INDEX(cfg_fac,MATCH(H417,cfg_units,0)),""),""),""))</f>
        <v/>
      </c>
      <c r="Y417" s="96">
        <f>IF(AND(W417=1,ISNUMBER(I417)),1,0)</f>
        <v>0</v>
      </c>
      <c r="Z417" s="96">
        <f>IF(U417=1,INDEX('MTRs'!$AA$6:$AA$505,T417),0)</f>
        <v>0</v>
      </c>
      <c r="AA417" s="96">
        <f>IF(R417=0,0,COUNTIFS('RECEBIMENTOS'!$R$6:$R$1005,A417,'RECEBIMENTOS'!$Q$6:$Q$1005,1))</f>
        <v>0</v>
      </c>
      <c r="AB417" s="96">
        <f>IF(R417=0,0,COUNTIFS('RECEBIMENTOS'!$R$6:$R$1005,A417,'RECEBIMENTOS'!$Z$6:$Z$1005,1))</f>
        <v>0</v>
      </c>
      <c r="AC417" s="96">
        <f>IF(R417=0,0,COUNTIFS('RECEBIMENTOS'!$R$6:$R$1005,A417,'RECEBIMENTOS'!$Y$6:$Y$1005,1))</f>
        <v>0</v>
      </c>
      <c r="AD417" s="96">
        <f>IF(R417=0,0,COUNTIFS('VÍNCULOS_CDF'!$R$6:$R$1005,A417,'VÍNCULOS_CDF'!$N$6:$N$1005,1))</f>
        <v>0</v>
      </c>
      <c r="AE417" s="96">
        <f>IF(R417=0,0,COUNTIFS('VÍNCULOS_CDF'!$R$6:$R$1005,A417,'VÍNCULOS_CDF'!$AA$6:$AA$1005,1))</f>
        <v>0</v>
      </c>
      <c r="AF417" s="96">
        <f>IF(R417=0,0,COUNTIFS('VÍNCULOS_CDF'!$R$6:$R$1005,A417,'VÍNCULOS_CDF'!$Y$6:$Y$1005,1))</f>
        <v>0</v>
      </c>
      <c r="AG417" s="96" t="str">
        <f>IF(AND(R417=1,S417&lt;&gt;"",C417&lt;&gt;""),S417&amp;"|"&amp;C417&amp;"|"&amp;G417&amp;"|"&amp;H417,"")</f>
        <v/>
      </c>
      <c r="AH417" s="96">
        <f>IF(AG417="",0,IF(SUMPRODUCT(--($AG$6:$AG$1005=AG417))&gt;1,1,0))</f>
        <v>0</v>
      </c>
      <c r="AI417" s="96">
        <f>IF(R417=0,0,IF(OR(U417=0,V417=0,Y417=0,AND(AH417=1,K417&lt;&gt;"Sim")),1,0))</f>
        <v>0</v>
      </c>
      <c r="AJ417" s="96">
        <f>IF(AND(R417=1,AA417&gt;0,AB417=AA417),1,0)</f>
        <v>0</v>
      </c>
      <c r="AK417" s="96">
        <f>IF(R417=0,0,IF(AA417&gt;0,N(L417),IF(ISNUMBER(I417),I417,0)))</f>
        <v>0</v>
      </c>
      <c r="AL417" s="96">
        <f>IF(R417=0,0,IF(AND(K417&lt;&gt;"Sim",N(M417)&gt;AK417+cfg_tol),1,0))</f>
        <v>0</v>
      </c>
      <c r="AM417" s="96">
        <f>IF(R417=0,0,IF(K417="Sim",0,IF(OR(AND(AA417&gt;0,ISNUMBER(I417),ABS(I417-N(L417))&gt;cfg_tol),AL417=1),1,0)))</f>
        <v>0</v>
      </c>
      <c r="AN417" s="96">
        <f>IF(AND(R417=1,N(M417)&gt;0,OR(N(M417)&gt;=AK417-cfg_tol,K417="Sim")),1,0)</f>
        <v>0</v>
      </c>
      <c r="AO417" s="96">
        <f>IF(AND(AN417=1,AD417&gt;0,AE417=AD417,AL417=0),1,0)</f>
        <v>0</v>
      </c>
      <c r="AP417" s="96">
        <f>IF(U417=0,0,IF(AND(INDEX('MTRs'!$AX$6:$AX$505,T417)=1,Z417=0,OR(f_res="",f_res="(Todos)",C417=f_res)),1,0))</f>
        <v>0</v>
      </c>
      <c r="AQ417" s="97" t="str">
        <f>IF(U417=0,"",INDEX('MTRs'!$AZ$6:$AZ$505,T417))</f>
        <v/>
      </c>
      <c r="AR417" s="96">
        <f>IF(U417=0,0,IF(AND(INDEX('MTRs'!$BA$6:$BA$505,T417)=1,Z417=0),1,0))</f>
        <v>0</v>
      </c>
      <c r="AS417" s="96" t="str">
        <f>IF(R417=1,A417&amp;" | MTR "&amp;IF(U417=1,INDEX('MTRs'!$B$6:$B$505,T417)&amp;"","?")&amp;" | "&amp;IF(C417="","(sem resíduo)",C417),"")</f>
        <v/>
      </c>
      <c r="AT417" s="96" t="str">
        <f>IF(R417=1,COUNTIF($R$6:R417,1),"")</f>
        <v/>
      </c>
      <c r="AU417" s="96" t="str">
        <f>IF(U417=1,INDEX('MTRs'!$I$6:$I$505,T417)&amp;"","")</f>
        <v/>
      </c>
    </row>
    <row r="418">
      <c r="A418" s="89" t="inlineStr">
        <is>
          <t>IT-000413</t>
        </is>
      </c>
      <c r="B418" s="91" t="n"/>
      <c r="C418" s="91" t="n"/>
      <c r="D418" s="94" t="str">
        <f>IF(OR(R418=0,V418=0),"",INDEX('CAD_RESÍDUOS'!$E$6:$E$205,MATCH(C418,'CAD_RESÍDUOS'!$B$6:$B$205,0))&amp;"")</f>
        <v/>
      </c>
      <c r="E418" s="94" t="str">
        <f>IF(OR(R418=0,V418=0),"",INDEX('CAD_RESÍDUOS'!$C$6:$C$205,MATCH(C418,'CAD_RESÍDUOS'!$B$6:$B$205,0))&amp;"")</f>
        <v/>
      </c>
      <c r="F418" s="94" t="str">
        <f>IF(OR(R418=0,V418=0),"",INDEX('CAD_RESÍDUOS'!$G$6:$G$205,MATCH(C418,'CAD_RESÍDUOS'!$B$6:$B$205,0))&amp;"")</f>
        <v/>
      </c>
      <c r="G418" s="98" t="n"/>
      <c r="H418" s="91" t="n"/>
      <c r="I418" s="93" t="str">
        <f>IF(R418=0,"",IF(NOT(ISNUMBER(G418)),"",IF(ISNUMBER(X418),G418*X418,"UNIDADE A CONFERIR")))</f>
        <v/>
      </c>
      <c r="J418" s="91" t="n"/>
      <c r="K418" s="91" t="n"/>
      <c r="L418" s="93" t="str">
        <f>IF(R418=0,"",SUMIFS('RECEBIMENTOS'!$H$6:$H$1005,'RECEBIMENTOS'!$R$6:$R$1005,A418,'RECEBIMENTOS'!$X$6:$X$1005,1))</f>
        <v/>
      </c>
      <c r="M418" s="93" t="str">
        <f>IF(R418=0,"",SUMIFS('VÍNCULOS_CDF'!$H$6:$H$1005,'VÍNCULOS_CDF'!$R$6:$R$1005,A418,'VÍNCULOS_CDF'!$V$6:$V$1005,1))</f>
        <v/>
      </c>
      <c r="N418" s="99" t="str">
        <f>IF(OR(R418=0,AA418=0,NOT(ISNUMBER(I418))),"",I418-N(L418))</f>
        <v/>
      </c>
      <c r="O418" s="100" t="str">
        <f>IF(OR(R418=0,AK418&lt;=0),"",N(M418)/AK418)</f>
        <v/>
      </c>
      <c r="P418" s="94" t="str">
        <f>IF(R418=0,"",IF(S418="","Sem MTR associado",IF(U418=0,"MTR inexistente",IF(C418="","Resíduo não identificado",IF(V418=0,"Resíduo fora do cadastro",IF(W418=0,"Quantidade inválida",IF(H418="","Unidade não informada",IF(NOT(ISNUMBER(I418)),"Unidade a conferir",IF(AND(AH418=1,K418&lt;&gt;"Sim"),"Possível duplicidade",IF(Z418=1,"MTR cancelado",IF(AC418&gt;0,"Recebimento com alerta",IF(AA418=0,"Aguardando recebimento",IF(AB418&lt;AA418,"Recebimento a conferir",IF(AM418=1,"Quantidade a revisar",IF(AF418&gt;0,"Vínculo a revisar",IF(AD418=0,"Aguardando CDF",IF(AN418=0,"Vínculo de CDF parcial",IF(AE418&lt;AD418,"CDF a conferir","Documentação conferida"))))))))))))))))))</f>
        <v/>
      </c>
      <c r="Q418" s="93" t="str">
        <f>IF(OR(R418=0,AA418=0),"",MAX(0,N(L418)-N(M418)))</f>
        <v/>
      </c>
      <c r="R418" s="96">
        <f>IF(COUNTA(B418:C418,G418:H418,J418:K418)&gt;0,1,0)</f>
        <v>0</v>
      </c>
      <c r="S418" s="96" t="str">
        <f>IF(B418="","",TRIM(LEFT(B418,FIND(" |",B418&amp;" |")-1)))</f>
        <v/>
      </c>
      <c r="T418" s="96" t="str">
        <f>IF(S418="","",IFERROR(MATCH(S418,'MTRs'!$A$6:$A$505,0),""))</f>
        <v/>
      </c>
      <c r="U418" s="96">
        <f>IF(T418="",0,IF(INDEX('MTRs'!$Z$6:$Z$505,T418)=1,1,0))</f>
        <v>0</v>
      </c>
      <c r="V418" s="96">
        <f>IF(C418="",0,IF(ISNUMBER(MATCH(C418,'CAD_RESÍDUOS'!$B$6:$B$205,0)),1,0))</f>
        <v>0</v>
      </c>
      <c r="W418" s="96">
        <f>IF(AND(ISNUMBER(G418),G418&gt;0),1,0)</f>
        <v>0</v>
      </c>
      <c r="X418" s="96" t="str">
        <f>IF(H418="","",IFERROR(IF(ISNUMBER(INDEX(cfg_fac,MATCH(H418,cfg_units,0))),IF(INDEX(cfg_fac,MATCH(H418,cfg_units,0))&gt;0,INDEX(cfg_fac,MATCH(H418,cfg_units,0)),""),""),""))</f>
        <v/>
      </c>
      <c r="Y418" s="96">
        <f>IF(AND(W418=1,ISNUMBER(I418)),1,0)</f>
        <v>0</v>
      </c>
      <c r="Z418" s="96">
        <f>IF(U418=1,INDEX('MTRs'!$AA$6:$AA$505,T418),0)</f>
        <v>0</v>
      </c>
      <c r="AA418" s="96">
        <f>IF(R418=0,0,COUNTIFS('RECEBIMENTOS'!$R$6:$R$1005,A418,'RECEBIMENTOS'!$Q$6:$Q$1005,1))</f>
        <v>0</v>
      </c>
      <c r="AB418" s="96">
        <f>IF(R418=0,0,COUNTIFS('RECEBIMENTOS'!$R$6:$R$1005,A418,'RECEBIMENTOS'!$Z$6:$Z$1005,1))</f>
        <v>0</v>
      </c>
      <c r="AC418" s="96">
        <f>IF(R418=0,0,COUNTIFS('RECEBIMENTOS'!$R$6:$R$1005,A418,'RECEBIMENTOS'!$Y$6:$Y$1005,1))</f>
        <v>0</v>
      </c>
      <c r="AD418" s="96">
        <f>IF(R418=0,0,COUNTIFS('VÍNCULOS_CDF'!$R$6:$R$1005,A418,'VÍNCULOS_CDF'!$N$6:$N$1005,1))</f>
        <v>0</v>
      </c>
      <c r="AE418" s="96">
        <f>IF(R418=0,0,COUNTIFS('VÍNCULOS_CDF'!$R$6:$R$1005,A418,'VÍNCULOS_CDF'!$AA$6:$AA$1005,1))</f>
        <v>0</v>
      </c>
      <c r="AF418" s="96">
        <f>IF(R418=0,0,COUNTIFS('VÍNCULOS_CDF'!$R$6:$R$1005,A418,'VÍNCULOS_CDF'!$Y$6:$Y$1005,1))</f>
        <v>0</v>
      </c>
      <c r="AG418" s="96" t="str">
        <f>IF(AND(R418=1,S418&lt;&gt;"",C418&lt;&gt;""),S418&amp;"|"&amp;C418&amp;"|"&amp;G418&amp;"|"&amp;H418,"")</f>
        <v/>
      </c>
      <c r="AH418" s="96">
        <f>IF(AG418="",0,IF(SUMPRODUCT(--($AG$6:$AG$1005=AG418))&gt;1,1,0))</f>
        <v>0</v>
      </c>
      <c r="AI418" s="96">
        <f>IF(R418=0,0,IF(OR(U418=0,V418=0,Y418=0,AND(AH418=1,K418&lt;&gt;"Sim")),1,0))</f>
        <v>0</v>
      </c>
      <c r="AJ418" s="96">
        <f>IF(AND(R418=1,AA418&gt;0,AB418=AA418),1,0)</f>
        <v>0</v>
      </c>
      <c r="AK418" s="96">
        <f>IF(R418=0,0,IF(AA418&gt;0,N(L418),IF(ISNUMBER(I418),I418,0)))</f>
        <v>0</v>
      </c>
      <c r="AL418" s="96">
        <f>IF(R418=0,0,IF(AND(K418&lt;&gt;"Sim",N(M418)&gt;AK418+cfg_tol),1,0))</f>
        <v>0</v>
      </c>
      <c r="AM418" s="96">
        <f>IF(R418=0,0,IF(K418="Sim",0,IF(OR(AND(AA418&gt;0,ISNUMBER(I418),ABS(I418-N(L418))&gt;cfg_tol),AL418=1),1,0)))</f>
        <v>0</v>
      </c>
      <c r="AN418" s="96">
        <f>IF(AND(R418=1,N(M418)&gt;0,OR(N(M418)&gt;=AK418-cfg_tol,K418="Sim")),1,0)</f>
        <v>0</v>
      </c>
      <c r="AO418" s="96">
        <f>IF(AND(AN418=1,AD418&gt;0,AE418=AD418,AL418=0),1,0)</f>
        <v>0</v>
      </c>
      <c r="AP418" s="96">
        <f>IF(U418=0,0,IF(AND(INDEX('MTRs'!$AX$6:$AX$505,T418)=1,Z418=0,OR(f_res="",f_res="(Todos)",C418=f_res)),1,0))</f>
        <v>0</v>
      </c>
      <c r="AQ418" s="97" t="str">
        <f>IF(U418=0,"",INDEX('MTRs'!$AZ$6:$AZ$505,T418))</f>
        <v/>
      </c>
      <c r="AR418" s="96">
        <f>IF(U418=0,0,IF(AND(INDEX('MTRs'!$BA$6:$BA$505,T418)=1,Z418=0),1,0))</f>
        <v>0</v>
      </c>
      <c r="AS418" s="96" t="str">
        <f>IF(R418=1,A418&amp;" | MTR "&amp;IF(U418=1,INDEX('MTRs'!$B$6:$B$505,T418)&amp;"","?")&amp;" | "&amp;IF(C418="","(sem resíduo)",C418),"")</f>
        <v/>
      </c>
      <c r="AT418" s="96" t="str">
        <f>IF(R418=1,COUNTIF($R$6:R418,1),"")</f>
        <v/>
      </c>
      <c r="AU418" s="96" t="str">
        <f>IF(U418=1,INDEX('MTRs'!$I$6:$I$505,T418)&amp;"","")</f>
        <v/>
      </c>
    </row>
    <row r="419">
      <c r="A419" s="89" t="inlineStr">
        <is>
          <t>IT-000414</t>
        </is>
      </c>
      <c r="B419" s="91" t="n"/>
      <c r="C419" s="91" t="n"/>
      <c r="D419" s="94" t="str">
        <f>IF(OR(R419=0,V419=0),"",INDEX('CAD_RESÍDUOS'!$E$6:$E$205,MATCH(C419,'CAD_RESÍDUOS'!$B$6:$B$205,0))&amp;"")</f>
        <v/>
      </c>
      <c r="E419" s="94" t="str">
        <f>IF(OR(R419=0,V419=0),"",INDEX('CAD_RESÍDUOS'!$C$6:$C$205,MATCH(C419,'CAD_RESÍDUOS'!$B$6:$B$205,0))&amp;"")</f>
        <v/>
      </c>
      <c r="F419" s="94" t="str">
        <f>IF(OR(R419=0,V419=0),"",INDEX('CAD_RESÍDUOS'!$G$6:$G$205,MATCH(C419,'CAD_RESÍDUOS'!$B$6:$B$205,0))&amp;"")</f>
        <v/>
      </c>
      <c r="G419" s="98" t="n"/>
      <c r="H419" s="91" t="n"/>
      <c r="I419" s="93" t="str">
        <f>IF(R419=0,"",IF(NOT(ISNUMBER(G419)),"",IF(ISNUMBER(X419),G419*X419,"UNIDADE A CONFERIR")))</f>
        <v/>
      </c>
      <c r="J419" s="91" t="n"/>
      <c r="K419" s="91" t="n"/>
      <c r="L419" s="93" t="str">
        <f>IF(R419=0,"",SUMIFS('RECEBIMENTOS'!$H$6:$H$1005,'RECEBIMENTOS'!$R$6:$R$1005,A419,'RECEBIMENTOS'!$X$6:$X$1005,1))</f>
        <v/>
      </c>
      <c r="M419" s="93" t="str">
        <f>IF(R419=0,"",SUMIFS('VÍNCULOS_CDF'!$H$6:$H$1005,'VÍNCULOS_CDF'!$R$6:$R$1005,A419,'VÍNCULOS_CDF'!$V$6:$V$1005,1))</f>
        <v/>
      </c>
      <c r="N419" s="99" t="str">
        <f>IF(OR(R419=0,AA419=0,NOT(ISNUMBER(I419))),"",I419-N(L419))</f>
        <v/>
      </c>
      <c r="O419" s="100" t="str">
        <f>IF(OR(R419=0,AK419&lt;=0),"",N(M419)/AK419)</f>
        <v/>
      </c>
      <c r="P419" s="94" t="str">
        <f>IF(R419=0,"",IF(S419="","Sem MTR associado",IF(U419=0,"MTR inexistente",IF(C419="","Resíduo não identificado",IF(V419=0,"Resíduo fora do cadastro",IF(W419=0,"Quantidade inválida",IF(H419="","Unidade não informada",IF(NOT(ISNUMBER(I419)),"Unidade a conferir",IF(AND(AH419=1,K419&lt;&gt;"Sim"),"Possível duplicidade",IF(Z419=1,"MTR cancelado",IF(AC419&gt;0,"Recebimento com alerta",IF(AA419=0,"Aguardando recebimento",IF(AB419&lt;AA419,"Recebimento a conferir",IF(AM419=1,"Quantidade a revisar",IF(AF419&gt;0,"Vínculo a revisar",IF(AD419=0,"Aguardando CDF",IF(AN419=0,"Vínculo de CDF parcial",IF(AE419&lt;AD419,"CDF a conferir","Documentação conferida"))))))))))))))))))</f>
        <v/>
      </c>
      <c r="Q419" s="93" t="str">
        <f>IF(OR(R419=0,AA419=0),"",MAX(0,N(L419)-N(M419)))</f>
        <v/>
      </c>
      <c r="R419" s="96">
        <f>IF(COUNTA(B419:C419,G419:H419,J419:K419)&gt;0,1,0)</f>
        <v>0</v>
      </c>
      <c r="S419" s="96" t="str">
        <f>IF(B419="","",TRIM(LEFT(B419,FIND(" |",B419&amp;" |")-1)))</f>
        <v/>
      </c>
      <c r="T419" s="96" t="str">
        <f>IF(S419="","",IFERROR(MATCH(S419,'MTRs'!$A$6:$A$505,0),""))</f>
        <v/>
      </c>
      <c r="U419" s="96">
        <f>IF(T419="",0,IF(INDEX('MTRs'!$Z$6:$Z$505,T419)=1,1,0))</f>
        <v>0</v>
      </c>
      <c r="V419" s="96">
        <f>IF(C419="",0,IF(ISNUMBER(MATCH(C419,'CAD_RESÍDUOS'!$B$6:$B$205,0)),1,0))</f>
        <v>0</v>
      </c>
      <c r="W419" s="96">
        <f>IF(AND(ISNUMBER(G419),G419&gt;0),1,0)</f>
        <v>0</v>
      </c>
      <c r="X419" s="96" t="str">
        <f>IF(H419="","",IFERROR(IF(ISNUMBER(INDEX(cfg_fac,MATCH(H419,cfg_units,0))),IF(INDEX(cfg_fac,MATCH(H419,cfg_units,0))&gt;0,INDEX(cfg_fac,MATCH(H419,cfg_units,0)),""),""),""))</f>
        <v/>
      </c>
      <c r="Y419" s="96">
        <f>IF(AND(W419=1,ISNUMBER(I419)),1,0)</f>
        <v>0</v>
      </c>
      <c r="Z419" s="96">
        <f>IF(U419=1,INDEX('MTRs'!$AA$6:$AA$505,T419),0)</f>
        <v>0</v>
      </c>
      <c r="AA419" s="96">
        <f>IF(R419=0,0,COUNTIFS('RECEBIMENTOS'!$R$6:$R$1005,A419,'RECEBIMENTOS'!$Q$6:$Q$1005,1))</f>
        <v>0</v>
      </c>
      <c r="AB419" s="96">
        <f>IF(R419=0,0,COUNTIFS('RECEBIMENTOS'!$R$6:$R$1005,A419,'RECEBIMENTOS'!$Z$6:$Z$1005,1))</f>
        <v>0</v>
      </c>
      <c r="AC419" s="96">
        <f>IF(R419=0,0,COUNTIFS('RECEBIMENTOS'!$R$6:$R$1005,A419,'RECEBIMENTOS'!$Y$6:$Y$1005,1))</f>
        <v>0</v>
      </c>
      <c r="AD419" s="96">
        <f>IF(R419=0,0,COUNTIFS('VÍNCULOS_CDF'!$R$6:$R$1005,A419,'VÍNCULOS_CDF'!$N$6:$N$1005,1))</f>
        <v>0</v>
      </c>
      <c r="AE419" s="96">
        <f>IF(R419=0,0,COUNTIFS('VÍNCULOS_CDF'!$R$6:$R$1005,A419,'VÍNCULOS_CDF'!$AA$6:$AA$1005,1))</f>
        <v>0</v>
      </c>
      <c r="AF419" s="96">
        <f>IF(R419=0,0,COUNTIFS('VÍNCULOS_CDF'!$R$6:$R$1005,A419,'VÍNCULOS_CDF'!$Y$6:$Y$1005,1))</f>
        <v>0</v>
      </c>
      <c r="AG419" s="96" t="str">
        <f>IF(AND(R419=1,S419&lt;&gt;"",C419&lt;&gt;""),S419&amp;"|"&amp;C419&amp;"|"&amp;G419&amp;"|"&amp;H419,"")</f>
        <v/>
      </c>
      <c r="AH419" s="96">
        <f>IF(AG419="",0,IF(SUMPRODUCT(--($AG$6:$AG$1005=AG419))&gt;1,1,0))</f>
        <v>0</v>
      </c>
      <c r="AI419" s="96">
        <f>IF(R419=0,0,IF(OR(U419=0,V419=0,Y419=0,AND(AH419=1,K419&lt;&gt;"Sim")),1,0))</f>
        <v>0</v>
      </c>
      <c r="AJ419" s="96">
        <f>IF(AND(R419=1,AA419&gt;0,AB419=AA419),1,0)</f>
        <v>0</v>
      </c>
      <c r="AK419" s="96">
        <f>IF(R419=0,0,IF(AA419&gt;0,N(L419),IF(ISNUMBER(I419),I419,0)))</f>
        <v>0</v>
      </c>
      <c r="AL419" s="96">
        <f>IF(R419=0,0,IF(AND(K419&lt;&gt;"Sim",N(M419)&gt;AK419+cfg_tol),1,0))</f>
        <v>0</v>
      </c>
      <c r="AM419" s="96">
        <f>IF(R419=0,0,IF(K419="Sim",0,IF(OR(AND(AA419&gt;0,ISNUMBER(I419),ABS(I419-N(L419))&gt;cfg_tol),AL419=1),1,0)))</f>
        <v>0</v>
      </c>
      <c r="AN419" s="96">
        <f>IF(AND(R419=1,N(M419)&gt;0,OR(N(M419)&gt;=AK419-cfg_tol,K419="Sim")),1,0)</f>
        <v>0</v>
      </c>
      <c r="AO419" s="96">
        <f>IF(AND(AN419=1,AD419&gt;0,AE419=AD419,AL419=0),1,0)</f>
        <v>0</v>
      </c>
      <c r="AP419" s="96">
        <f>IF(U419=0,0,IF(AND(INDEX('MTRs'!$AX$6:$AX$505,T419)=1,Z419=0,OR(f_res="",f_res="(Todos)",C419=f_res)),1,0))</f>
        <v>0</v>
      </c>
      <c r="AQ419" s="97" t="str">
        <f>IF(U419=0,"",INDEX('MTRs'!$AZ$6:$AZ$505,T419))</f>
        <v/>
      </c>
      <c r="AR419" s="96">
        <f>IF(U419=0,0,IF(AND(INDEX('MTRs'!$BA$6:$BA$505,T419)=1,Z419=0),1,0))</f>
        <v>0</v>
      </c>
      <c r="AS419" s="96" t="str">
        <f>IF(R419=1,A419&amp;" | MTR "&amp;IF(U419=1,INDEX('MTRs'!$B$6:$B$505,T419)&amp;"","?")&amp;" | "&amp;IF(C419="","(sem resíduo)",C419),"")</f>
        <v/>
      </c>
      <c r="AT419" s="96" t="str">
        <f>IF(R419=1,COUNTIF($R$6:R419,1),"")</f>
        <v/>
      </c>
      <c r="AU419" s="96" t="str">
        <f>IF(U419=1,INDEX('MTRs'!$I$6:$I$505,T419)&amp;"","")</f>
        <v/>
      </c>
    </row>
    <row r="420">
      <c r="A420" s="89" t="inlineStr">
        <is>
          <t>IT-000415</t>
        </is>
      </c>
      <c r="B420" s="91" t="n"/>
      <c r="C420" s="91" t="n"/>
      <c r="D420" s="94" t="str">
        <f>IF(OR(R420=0,V420=0),"",INDEX('CAD_RESÍDUOS'!$E$6:$E$205,MATCH(C420,'CAD_RESÍDUOS'!$B$6:$B$205,0))&amp;"")</f>
        <v/>
      </c>
      <c r="E420" s="94" t="str">
        <f>IF(OR(R420=0,V420=0),"",INDEX('CAD_RESÍDUOS'!$C$6:$C$205,MATCH(C420,'CAD_RESÍDUOS'!$B$6:$B$205,0))&amp;"")</f>
        <v/>
      </c>
      <c r="F420" s="94" t="str">
        <f>IF(OR(R420=0,V420=0),"",INDEX('CAD_RESÍDUOS'!$G$6:$G$205,MATCH(C420,'CAD_RESÍDUOS'!$B$6:$B$205,0))&amp;"")</f>
        <v/>
      </c>
      <c r="G420" s="98" t="n"/>
      <c r="H420" s="91" t="n"/>
      <c r="I420" s="93" t="str">
        <f>IF(R420=0,"",IF(NOT(ISNUMBER(G420)),"",IF(ISNUMBER(X420),G420*X420,"UNIDADE A CONFERIR")))</f>
        <v/>
      </c>
      <c r="J420" s="91" t="n"/>
      <c r="K420" s="91" t="n"/>
      <c r="L420" s="93" t="str">
        <f>IF(R420=0,"",SUMIFS('RECEBIMENTOS'!$H$6:$H$1005,'RECEBIMENTOS'!$R$6:$R$1005,A420,'RECEBIMENTOS'!$X$6:$X$1005,1))</f>
        <v/>
      </c>
      <c r="M420" s="93" t="str">
        <f>IF(R420=0,"",SUMIFS('VÍNCULOS_CDF'!$H$6:$H$1005,'VÍNCULOS_CDF'!$R$6:$R$1005,A420,'VÍNCULOS_CDF'!$V$6:$V$1005,1))</f>
        <v/>
      </c>
      <c r="N420" s="99" t="str">
        <f>IF(OR(R420=0,AA420=0,NOT(ISNUMBER(I420))),"",I420-N(L420))</f>
        <v/>
      </c>
      <c r="O420" s="100" t="str">
        <f>IF(OR(R420=0,AK420&lt;=0),"",N(M420)/AK420)</f>
        <v/>
      </c>
      <c r="P420" s="94" t="str">
        <f>IF(R420=0,"",IF(S420="","Sem MTR associado",IF(U420=0,"MTR inexistente",IF(C420="","Resíduo não identificado",IF(V420=0,"Resíduo fora do cadastro",IF(W420=0,"Quantidade inválida",IF(H420="","Unidade não informada",IF(NOT(ISNUMBER(I420)),"Unidade a conferir",IF(AND(AH420=1,K420&lt;&gt;"Sim"),"Possível duplicidade",IF(Z420=1,"MTR cancelado",IF(AC420&gt;0,"Recebimento com alerta",IF(AA420=0,"Aguardando recebimento",IF(AB420&lt;AA420,"Recebimento a conferir",IF(AM420=1,"Quantidade a revisar",IF(AF420&gt;0,"Vínculo a revisar",IF(AD420=0,"Aguardando CDF",IF(AN420=0,"Vínculo de CDF parcial",IF(AE420&lt;AD420,"CDF a conferir","Documentação conferida"))))))))))))))))))</f>
        <v/>
      </c>
      <c r="Q420" s="93" t="str">
        <f>IF(OR(R420=0,AA420=0),"",MAX(0,N(L420)-N(M420)))</f>
        <v/>
      </c>
      <c r="R420" s="96">
        <f>IF(COUNTA(B420:C420,G420:H420,J420:K420)&gt;0,1,0)</f>
        <v>0</v>
      </c>
      <c r="S420" s="96" t="str">
        <f>IF(B420="","",TRIM(LEFT(B420,FIND(" |",B420&amp;" |")-1)))</f>
        <v/>
      </c>
      <c r="T420" s="96" t="str">
        <f>IF(S420="","",IFERROR(MATCH(S420,'MTRs'!$A$6:$A$505,0),""))</f>
        <v/>
      </c>
      <c r="U420" s="96">
        <f>IF(T420="",0,IF(INDEX('MTRs'!$Z$6:$Z$505,T420)=1,1,0))</f>
        <v>0</v>
      </c>
      <c r="V420" s="96">
        <f>IF(C420="",0,IF(ISNUMBER(MATCH(C420,'CAD_RESÍDUOS'!$B$6:$B$205,0)),1,0))</f>
        <v>0</v>
      </c>
      <c r="W420" s="96">
        <f>IF(AND(ISNUMBER(G420),G420&gt;0),1,0)</f>
        <v>0</v>
      </c>
      <c r="X420" s="96" t="str">
        <f>IF(H420="","",IFERROR(IF(ISNUMBER(INDEX(cfg_fac,MATCH(H420,cfg_units,0))),IF(INDEX(cfg_fac,MATCH(H420,cfg_units,0))&gt;0,INDEX(cfg_fac,MATCH(H420,cfg_units,0)),""),""),""))</f>
        <v/>
      </c>
      <c r="Y420" s="96">
        <f>IF(AND(W420=1,ISNUMBER(I420)),1,0)</f>
        <v>0</v>
      </c>
      <c r="Z420" s="96">
        <f>IF(U420=1,INDEX('MTRs'!$AA$6:$AA$505,T420),0)</f>
        <v>0</v>
      </c>
      <c r="AA420" s="96">
        <f>IF(R420=0,0,COUNTIFS('RECEBIMENTOS'!$R$6:$R$1005,A420,'RECEBIMENTOS'!$Q$6:$Q$1005,1))</f>
        <v>0</v>
      </c>
      <c r="AB420" s="96">
        <f>IF(R420=0,0,COUNTIFS('RECEBIMENTOS'!$R$6:$R$1005,A420,'RECEBIMENTOS'!$Z$6:$Z$1005,1))</f>
        <v>0</v>
      </c>
      <c r="AC420" s="96">
        <f>IF(R420=0,0,COUNTIFS('RECEBIMENTOS'!$R$6:$R$1005,A420,'RECEBIMENTOS'!$Y$6:$Y$1005,1))</f>
        <v>0</v>
      </c>
      <c r="AD420" s="96">
        <f>IF(R420=0,0,COUNTIFS('VÍNCULOS_CDF'!$R$6:$R$1005,A420,'VÍNCULOS_CDF'!$N$6:$N$1005,1))</f>
        <v>0</v>
      </c>
      <c r="AE420" s="96">
        <f>IF(R420=0,0,COUNTIFS('VÍNCULOS_CDF'!$R$6:$R$1005,A420,'VÍNCULOS_CDF'!$AA$6:$AA$1005,1))</f>
        <v>0</v>
      </c>
      <c r="AF420" s="96">
        <f>IF(R420=0,0,COUNTIFS('VÍNCULOS_CDF'!$R$6:$R$1005,A420,'VÍNCULOS_CDF'!$Y$6:$Y$1005,1))</f>
        <v>0</v>
      </c>
      <c r="AG420" s="96" t="str">
        <f>IF(AND(R420=1,S420&lt;&gt;"",C420&lt;&gt;""),S420&amp;"|"&amp;C420&amp;"|"&amp;G420&amp;"|"&amp;H420,"")</f>
        <v/>
      </c>
      <c r="AH420" s="96">
        <f>IF(AG420="",0,IF(SUMPRODUCT(--($AG$6:$AG$1005=AG420))&gt;1,1,0))</f>
        <v>0</v>
      </c>
      <c r="AI420" s="96">
        <f>IF(R420=0,0,IF(OR(U420=0,V420=0,Y420=0,AND(AH420=1,K420&lt;&gt;"Sim")),1,0))</f>
        <v>0</v>
      </c>
      <c r="AJ420" s="96">
        <f>IF(AND(R420=1,AA420&gt;0,AB420=AA420),1,0)</f>
        <v>0</v>
      </c>
      <c r="AK420" s="96">
        <f>IF(R420=0,0,IF(AA420&gt;0,N(L420),IF(ISNUMBER(I420),I420,0)))</f>
        <v>0</v>
      </c>
      <c r="AL420" s="96">
        <f>IF(R420=0,0,IF(AND(K420&lt;&gt;"Sim",N(M420)&gt;AK420+cfg_tol),1,0))</f>
        <v>0</v>
      </c>
      <c r="AM420" s="96">
        <f>IF(R420=0,0,IF(K420="Sim",0,IF(OR(AND(AA420&gt;0,ISNUMBER(I420),ABS(I420-N(L420))&gt;cfg_tol),AL420=1),1,0)))</f>
        <v>0</v>
      </c>
      <c r="AN420" s="96">
        <f>IF(AND(R420=1,N(M420)&gt;0,OR(N(M420)&gt;=AK420-cfg_tol,K420="Sim")),1,0)</f>
        <v>0</v>
      </c>
      <c r="AO420" s="96">
        <f>IF(AND(AN420=1,AD420&gt;0,AE420=AD420,AL420=0),1,0)</f>
        <v>0</v>
      </c>
      <c r="AP420" s="96">
        <f>IF(U420=0,0,IF(AND(INDEX('MTRs'!$AX$6:$AX$505,T420)=1,Z420=0,OR(f_res="",f_res="(Todos)",C420=f_res)),1,0))</f>
        <v>0</v>
      </c>
      <c r="AQ420" s="97" t="str">
        <f>IF(U420=0,"",INDEX('MTRs'!$AZ$6:$AZ$505,T420))</f>
        <v/>
      </c>
      <c r="AR420" s="96">
        <f>IF(U420=0,0,IF(AND(INDEX('MTRs'!$BA$6:$BA$505,T420)=1,Z420=0),1,0))</f>
        <v>0</v>
      </c>
      <c r="AS420" s="96" t="str">
        <f>IF(R420=1,A420&amp;" | MTR "&amp;IF(U420=1,INDEX('MTRs'!$B$6:$B$505,T420)&amp;"","?")&amp;" | "&amp;IF(C420="","(sem resíduo)",C420),"")</f>
        <v/>
      </c>
      <c r="AT420" s="96" t="str">
        <f>IF(R420=1,COUNTIF($R$6:R420,1),"")</f>
        <v/>
      </c>
      <c r="AU420" s="96" t="str">
        <f>IF(U420=1,INDEX('MTRs'!$I$6:$I$505,T420)&amp;"","")</f>
        <v/>
      </c>
    </row>
    <row r="421">
      <c r="A421" s="89" t="inlineStr">
        <is>
          <t>IT-000416</t>
        </is>
      </c>
      <c r="B421" s="91" t="n"/>
      <c r="C421" s="91" t="n"/>
      <c r="D421" s="94" t="str">
        <f>IF(OR(R421=0,V421=0),"",INDEX('CAD_RESÍDUOS'!$E$6:$E$205,MATCH(C421,'CAD_RESÍDUOS'!$B$6:$B$205,0))&amp;"")</f>
        <v/>
      </c>
      <c r="E421" s="94" t="str">
        <f>IF(OR(R421=0,V421=0),"",INDEX('CAD_RESÍDUOS'!$C$6:$C$205,MATCH(C421,'CAD_RESÍDUOS'!$B$6:$B$205,0))&amp;"")</f>
        <v/>
      </c>
      <c r="F421" s="94" t="str">
        <f>IF(OR(R421=0,V421=0),"",INDEX('CAD_RESÍDUOS'!$G$6:$G$205,MATCH(C421,'CAD_RESÍDUOS'!$B$6:$B$205,0))&amp;"")</f>
        <v/>
      </c>
      <c r="G421" s="98" t="n"/>
      <c r="H421" s="91" t="n"/>
      <c r="I421" s="93" t="str">
        <f>IF(R421=0,"",IF(NOT(ISNUMBER(G421)),"",IF(ISNUMBER(X421),G421*X421,"UNIDADE A CONFERIR")))</f>
        <v/>
      </c>
      <c r="J421" s="91" t="n"/>
      <c r="K421" s="91" t="n"/>
      <c r="L421" s="93" t="str">
        <f>IF(R421=0,"",SUMIFS('RECEBIMENTOS'!$H$6:$H$1005,'RECEBIMENTOS'!$R$6:$R$1005,A421,'RECEBIMENTOS'!$X$6:$X$1005,1))</f>
        <v/>
      </c>
      <c r="M421" s="93" t="str">
        <f>IF(R421=0,"",SUMIFS('VÍNCULOS_CDF'!$H$6:$H$1005,'VÍNCULOS_CDF'!$R$6:$R$1005,A421,'VÍNCULOS_CDF'!$V$6:$V$1005,1))</f>
        <v/>
      </c>
      <c r="N421" s="99" t="str">
        <f>IF(OR(R421=0,AA421=0,NOT(ISNUMBER(I421))),"",I421-N(L421))</f>
        <v/>
      </c>
      <c r="O421" s="100" t="str">
        <f>IF(OR(R421=0,AK421&lt;=0),"",N(M421)/AK421)</f>
        <v/>
      </c>
      <c r="P421" s="94" t="str">
        <f>IF(R421=0,"",IF(S421="","Sem MTR associado",IF(U421=0,"MTR inexistente",IF(C421="","Resíduo não identificado",IF(V421=0,"Resíduo fora do cadastro",IF(W421=0,"Quantidade inválida",IF(H421="","Unidade não informada",IF(NOT(ISNUMBER(I421)),"Unidade a conferir",IF(AND(AH421=1,K421&lt;&gt;"Sim"),"Possível duplicidade",IF(Z421=1,"MTR cancelado",IF(AC421&gt;0,"Recebimento com alerta",IF(AA421=0,"Aguardando recebimento",IF(AB421&lt;AA421,"Recebimento a conferir",IF(AM421=1,"Quantidade a revisar",IF(AF421&gt;0,"Vínculo a revisar",IF(AD421=0,"Aguardando CDF",IF(AN421=0,"Vínculo de CDF parcial",IF(AE421&lt;AD421,"CDF a conferir","Documentação conferida"))))))))))))))))))</f>
        <v/>
      </c>
      <c r="Q421" s="93" t="str">
        <f>IF(OR(R421=0,AA421=0),"",MAX(0,N(L421)-N(M421)))</f>
        <v/>
      </c>
      <c r="R421" s="96">
        <f>IF(COUNTA(B421:C421,G421:H421,J421:K421)&gt;0,1,0)</f>
        <v>0</v>
      </c>
      <c r="S421" s="96" t="str">
        <f>IF(B421="","",TRIM(LEFT(B421,FIND(" |",B421&amp;" |")-1)))</f>
        <v/>
      </c>
      <c r="T421" s="96" t="str">
        <f>IF(S421="","",IFERROR(MATCH(S421,'MTRs'!$A$6:$A$505,0),""))</f>
        <v/>
      </c>
      <c r="U421" s="96">
        <f>IF(T421="",0,IF(INDEX('MTRs'!$Z$6:$Z$505,T421)=1,1,0))</f>
        <v>0</v>
      </c>
      <c r="V421" s="96">
        <f>IF(C421="",0,IF(ISNUMBER(MATCH(C421,'CAD_RESÍDUOS'!$B$6:$B$205,0)),1,0))</f>
        <v>0</v>
      </c>
      <c r="W421" s="96">
        <f>IF(AND(ISNUMBER(G421),G421&gt;0),1,0)</f>
        <v>0</v>
      </c>
      <c r="X421" s="96" t="str">
        <f>IF(H421="","",IFERROR(IF(ISNUMBER(INDEX(cfg_fac,MATCH(H421,cfg_units,0))),IF(INDEX(cfg_fac,MATCH(H421,cfg_units,0))&gt;0,INDEX(cfg_fac,MATCH(H421,cfg_units,0)),""),""),""))</f>
        <v/>
      </c>
      <c r="Y421" s="96">
        <f>IF(AND(W421=1,ISNUMBER(I421)),1,0)</f>
        <v>0</v>
      </c>
      <c r="Z421" s="96">
        <f>IF(U421=1,INDEX('MTRs'!$AA$6:$AA$505,T421),0)</f>
        <v>0</v>
      </c>
      <c r="AA421" s="96">
        <f>IF(R421=0,0,COUNTIFS('RECEBIMENTOS'!$R$6:$R$1005,A421,'RECEBIMENTOS'!$Q$6:$Q$1005,1))</f>
        <v>0</v>
      </c>
      <c r="AB421" s="96">
        <f>IF(R421=0,0,COUNTIFS('RECEBIMENTOS'!$R$6:$R$1005,A421,'RECEBIMENTOS'!$Z$6:$Z$1005,1))</f>
        <v>0</v>
      </c>
      <c r="AC421" s="96">
        <f>IF(R421=0,0,COUNTIFS('RECEBIMENTOS'!$R$6:$R$1005,A421,'RECEBIMENTOS'!$Y$6:$Y$1005,1))</f>
        <v>0</v>
      </c>
      <c r="AD421" s="96">
        <f>IF(R421=0,0,COUNTIFS('VÍNCULOS_CDF'!$R$6:$R$1005,A421,'VÍNCULOS_CDF'!$N$6:$N$1005,1))</f>
        <v>0</v>
      </c>
      <c r="AE421" s="96">
        <f>IF(R421=0,0,COUNTIFS('VÍNCULOS_CDF'!$R$6:$R$1005,A421,'VÍNCULOS_CDF'!$AA$6:$AA$1005,1))</f>
        <v>0</v>
      </c>
      <c r="AF421" s="96">
        <f>IF(R421=0,0,COUNTIFS('VÍNCULOS_CDF'!$R$6:$R$1005,A421,'VÍNCULOS_CDF'!$Y$6:$Y$1005,1))</f>
        <v>0</v>
      </c>
      <c r="AG421" s="96" t="str">
        <f>IF(AND(R421=1,S421&lt;&gt;"",C421&lt;&gt;""),S421&amp;"|"&amp;C421&amp;"|"&amp;G421&amp;"|"&amp;H421,"")</f>
        <v/>
      </c>
      <c r="AH421" s="96">
        <f>IF(AG421="",0,IF(SUMPRODUCT(--($AG$6:$AG$1005=AG421))&gt;1,1,0))</f>
        <v>0</v>
      </c>
      <c r="AI421" s="96">
        <f>IF(R421=0,0,IF(OR(U421=0,V421=0,Y421=0,AND(AH421=1,K421&lt;&gt;"Sim")),1,0))</f>
        <v>0</v>
      </c>
      <c r="AJ421" s="96">
        <f>IF(AND(R421=1,AA421&gt;0,AB421=AA421),1,0)</f>
        <v>0</v>
      </c>
      <c r="AK421" s="96">
        <f>IF(R421=0,0,IF(AA421&gt;0,N(L421),IF(ISNUMBER(I421),I421,0)))</f>
        <v>0</v>
      </c>
      <c r="AL421" s="96">
        <f>IF(R421=0,0,IF(AND(K421&lt;&gt;"Sim",N(M421)&gt;AK421+cfg_tol),1,0))</f>
        <v>0</v>
      </c>
      <c r="AM421" s="96">
        <f>IF(R421=0,0,IF(K421="Sim",0,IF(OR(AND(AA421&gt;0,ISNUMBER(I421),ABS(I421-N(L421))&gt;cfg_tol),AL421=1),1,0)))</f>
        <v>0</v>
      </c>
      <c r="AN421" s="96">
        <f>IF(AND(R421=1,N(M421)&gt;0,OR(N(M421)&gt;=AK421-cfg_tol,K421="Sim")),1,0)</f>
        <v>0</v>
      </c>
      <c r="AO421" s="96">
        <f>IF(AND(AN421=1,AD421&gt;0,AE421=AD421,AL421=0),1,0)</f>
        <v>0</v>
      </c>
      <c r="AP421" s="96">
        <f>IF(U421=0,0,IF(AND(INDEX('MTRs'!$AX$6:$AX$505,T421)=1,Z421=0,OR(f_res="",f_res="(Todos)",C421=f_res)),1,0))</f>
        <v>0</v>
      </c>
      <c r="AQ421" s="97" t="str">
        <f>IF(U421=0,"",INDEX('MTRs'!$AZ$6:$AZ$505,T421))</f>
        <v/>
      </c>
      <c r="AR421" s="96">
        <f>IF(U421=0,0,IF(AND(INDEX('MTRs'!$BA$6:$BA$505,T421)=1,Z421=0),1,0))</f>
        <v>0</v>
      </c>
      <c r="AS421" s="96" t="str">
        <f>IF(R421=1,A421&amp;" | MTR "&amp;IF(U421=1,INDEX('MTRs'!$B$6:$B$505,T421)&amp;"","?")&amp;" | "&amp;IF(C421="","(sem resíduo)",C421),"")</f>
        <v/>
      </c>
      <c r="AT421" s="96" t="str">
        <f>IF(R421=1,COUNTIF($R$6:R421,1),"")</f>
        <v/>
      </c>
      <c r="AU421" s="96" t="str">
        <f>IF(U421=1,INDEX('MTRs'!$I$6:$I$505,T421)&amp;"","")</f>
        <v/>
      </c>
    </row>
    <row r="422">
      <c r="A422" s="89" t="inlineStr">
        <is>
          <t>IT-000417</t>
        </is>
      </c>
      <c r="B422" s="91" t="n"/>
      <c r="C422" s="91" t="n"/>
      <c r="D422" s="94" t="str">
        <f>IF(OR(R422=0,V422=0),"",INDEX('CAD_RESÍDUOS'!$E$6:$E$205,MATCH(C422,'CAD_RESÍDUOS'!$B$6:$B$205,0))&amp;"")</f>
        <v/>
      </c>
      <c r="E422" s="94" t="str">
        <f>IF(OR(R422=0,V422=0),"",INDEX('CAD_RESÍDUOS'!$C$6:$C$205,MATCH(C422,'CAD_RESÍDUOS'!$B$6:$B$205,0))&amp;"")</f>
        <v/>
      </c>
      <c r="F422" s="94" t="str">
        <f>IF(OR(R422=0,V422=0),"",INDEX('CAD_RESÍDUOS'!$G$6:$G$205,MATCH(C422,'CAD_RESÍDUOS'!$B$6:$B$205,0))&amp;"")</f>
        <v/>
      </c>
      <c r="G422" s="98" t="n"/>
      <c r="H422" s="91" t="n"/>
      <c r="I422" s="93" t="str">
        <f>IF(R422=0,"",IF(NOT(ISNUMBER(G422)),"",IF(ISNUMBER(X422),G422*X422,"UNIDADE A CONFERIR")))</f>
        <v/>
      </c>
      <c r="J422" s="91" t="n"/>
      <c r="K422" s="91" t="n"/>
      <c r="L422" s="93" t="str">
        <f>IF(R422=0,"",SUMIFS('RECEBIMENTOS'!$H$6:$H$1005,'RECEBIMENTOS'!$R$6:$R$1005,A422,'RECEBIMENTOS'!$X$6:$X$1005,1))</f>
        <v/>
      </c>
      <c r="M422" s="93" t="str">
        <f>IF(R422=0,"",SUMIFS('VÍNCULOS_CDF'!$H$6:$H$1005,'VÍNCULOS_CDF'!$R$6:$R$1005,A422,'VÍNCULOS_CDF'!$V$6:$V$1005,1))</f>
        <v/>
      </c>
      <c r="N422" s="99" t="str">
        <f>IF(OR(R422=0,AA422=0,NOT(ISNUMBER(I422))),"",I422-N(L422))</f>
        <v/>
      </c>
      <c r="O422" s="100" t="str">
        <f>IF(OR(R422=0,AK422&lt;=0),"",N(M422)/AK422)</f>
        <v/>
      </c>
      <c r="P422" s="94" t="str">
        <f>IF(R422=0,"",IF(S422="","Sem MTR associado",IF(U422=0,"MTR inexistente",IF(C422="","Resíduo não identificado",IF(V422=0,"Resíduo fora do cadastro",IF(W422=0,"Quantidade inválida",IF(H422="","Unidade não informada",IF(NOT(ISNUMBER(I422)),"Unidade a conferir",IF(AND(AH422=1,K422&lt;&gt;"Sim"),"Possível duplicidade",IF(Z422=1,"MTR cancelado",IF(AC422&gt;0,"Recebimento com alerta",IF(AA422=0,"Aguardando recebimento",IF(AB422&lt;AA422,"Recebimento a conferir",IF(AM422=1,"Quantidade a revisar",IF(AF422&gt;0,"Vínculo a revisar",IF(AD422=0,"Aguardando CDF",IF(AN422=0,"Vínculo de CDF parcial",IF(AE422&lt;AD422,"CDF a conferir","Documentação conferida"))))))))))))))))))</f>
        <v/>
      </c>
      <c r="Q422" s="93" t="str">
        <f>IF(OR(R422=0,AA422=0),"",MAX(0,N(L422)-N(M422)))</f>
        <v/>
      </c>
      <c r="R422" s="96">
        <f>IF(COUNTA(B422:C422,G422:H422,J422:K422)&gt;0,1,0)</f>
        <v>0</v>
      </c>
      <c r="S422" s="96" t="str">
        <f>IF(B422="","",TRIM(LEFT(B422,FIND(" |",B422&amp;" |")-1)))</f>
        <v/>
      </c>
      <c r="T422" s="96" t="str">
        <f>IF(S422="","",IFERROR(MATCH(S422,'MTRs'!$A$6:$A$505,0),""))</f>
        <v/>
      </c>
      <c r="U422" s="96">
        <f>IF(T422="",0,IF(INDEX('MTRs'!$Z$6:$Z$505,T422)=1,1,0))</f>
        <v>0</v>
      </c>
      <c r="V422" s="96">
        <f>IF(C422="",0,IF(ISNUMBER(MATCH(C422,'CAD_RESÍDUOS'!$B$6:$B$205,0)),1,0))</f>
        <v>0</v>
      </c>
      <c r="W422" s="96">
        <f>IF(AND(ISNUMBER(G422),G422&gt;0),1,0)</f>
        <v>0</v>
      </c>
      <c r="X422" s="96" t="str">
        <f>IF(H422="","",IFERROR(IF(ISNUMBER(INDEX(cfg_fac,MATCH(H422,cfg_units,0))),IF(INDEX(cfg_fac,MATCH(H422,cfg_units,0))&gt;0,INDEX(cfg_fac,MATCH(H422,cfg_units,0)),""),""),""))</f>
        <v/>
      </c>
      <c r="Y422" s="96">
        <f>IF(AND(W422=1,ISNUMBER(I422)),1,0)</f>
        <v>0</v>
      </c>
      <c r="Z422" s="96">
        <f>IF(U422=1,INDEX('MTRs'!$AA$6:$AA$505,T422),0)</f>
        <v>0</v>
      </c>
      <c r="AA422" s="96">
        <f>IF(R422=0,0,COUNTIFS('RECEBIMENTOS'!$R$6:$R$1005,A422,'RECEBIMENTOS'!$Q$6:$Q$1005,1))</f>
        <v>0</v>
      </c>
      <c r="AB422" s="96">
        <f>IF(R422=0,0,COUNTIFS('RECEBIMENTOS'!$R$6:$R$1005,A422,'RECEBIMENTOS'!$Z$6:$Z$1005,1))</f>
        <v>0</v>
      </c>
      <c r="AC422" s="96">
        <f>IF(R422=0,0,COUNTIFS('RECEBIMENTOS'!$R$6:$R$1005,A422,'RECEBIMENTOS'!$Y$6:$Y$1005,1))</f>
        <v>0</v>
      </c>
      <c r="AD422" s="96">
        <f>IF(R422=0,0,COUNTIFS('VÍNCULOS_CDF'!$R$6:$R$1005,A422,'VÍNCULOS_CDF'!$N$6:$N$1005,1))</f>
        <v>0</v>
      </c>
      <c r="AE422" s="96">
        <f>IF(R422=0,0,COUNTIFS('VÍNCULOS_CDF'!$R$6:$R$1005,A422,'VÍNCULOS_CDF'!$AA$6:$AA$1005,1))</f>
        <v>0</v>
      </c>
      <c r="AF422" s="96">
        <f>IF(R422=0,0,COUNTIFS('VÍNCULOS_CDF'!$R$6:$R$1005,A422,'VÍNCULOS_CDF'!$Y$6:$Y$1005,1))</f>
        <v>0</v>
      </c>
      <c r="AG422" s="96" t="str">
        <f>IF(AND(R422=1,S422&lt;&gt;"",C422&lt;&gt;""),S422&amp;"|"&amp;C422&amp;"|"&amp;G422&amp;"|"&amp;H422,"")</f>
        <v/>
      </c>
      <c r="AH422" s="96">
        <f>IF(AG422="",0,IF(SUMPRODUCT(--($AG$6:$AG$1005=AG422))&gt;1,1,0))</f>
        <v>0</v>
      </c>
      <c r="AI422" s="96">
        <f>IF(R422=0,0,IF(OR(U422=0,V422=0,Y422=0,AND(AH422=1,K422&lt;&gt;"Sim")),1,0))</f>
        <v>0</v>
      </c>
      <c r="AJ422" s="96">
        <f>IF(AND(R422=1,AA422&gt;0,AB422=AA422),1,0)</f>
        <v>0</v>
      </c>
      <c r="AK422" s="96">
        <f>IF(R422=0,0,IF(AA422&gt;0,N(L422),IF(ISNUMBER(I422),I422,0)))</f>
        <v>0</v>
      </c>
      <c r="AL422" s="96">
        <f>IF(R422=0,0,IF(AND(K422&lt;&gt;"Sim",N(M422)&gt;AK422+cfg_tol),1,0))</f>
        <v>0</v>
      </c>
      <c r="AM422" s="96">
        <f>IF(R422=0,0,IF(K422="Sim",0,IF(OR(AND(AA422&gt;0,ISNUMBER(I422),ABS(I422-N(L422))&gt;cfg_tol),AL422=1),1,0)))</f>
        <v>0</v>
      </c>
      <c r="AN422" s="96">
        <f>IF(AND(R422=1,N(M422)&gt;0,OR(N(M422)&gt;=AK422-cfg_tol,K422="Sim")),1,0)</f>
        <v>0</v>
      </c>
      <c r="AO422" s="96">
        <f>IF(AND(AN422=1,AD422&gt;0,AE422=AD422,AL422=0),1,0)</f>
        <v>0</v>
      </c>
      <c r="AP422" s="96">
        <f>IF(U422=0,0,IF(AND(INDEX('MTRs'!$AX$6:$AX$505,T422)=1,Z422=0,OR(f_res="",f_res="(Todos)",C422=f_res)),1,0))</f>
        <v>0</v>
      </c>
      <c r="AQ422" s="97" t="str">
        <f>IF(U422=0,"",INDEX('MTRs'!$AZ$6:$AZ$505,T422))</f>
        <v/>
      </c>
      <c r="AR422" s="96">
        <f>IF(U422=0,0,IF(AND(INDEX('MTRs'!$BA$6:$BA$505,T422)=1,Z422=0),1,0))</f>
        <v>0</v>
      </c>
      <c r="AS422" s="96" t="str">
        <f>IF(R422=1,A422&amp;" | MTR "&amp;IF(U422=1,INDEX('MTRs'!$B$6:$B$505,T422)&amp;"","?")&amp;" | "&amp;IF(C422="","(sem resíduo)",C422),"")</f>
        <v/>
      </c>
      <c r="AT422" s="96" t="str">
        <f>IF(R422=1,COUNTIF($R$6:R422,1),"")</f>
        <v/>
      </c>
      <c r="AU422" s="96" t="str">
        <f>IF(U422=1,INDEX('MTRs'!$I$6:$I$505,T422)&amp;"","")</f>
        <v/>
      </c>
    </row>
    <row r="423">
      <c r="A423" s="89" t="inlineStr">
        <is>
          <t>IT-000418</t>
        </is>
      </c>
      <c r="B423" s="91" t="n"/>
      <c r="C423" s="91" t="n"/>
      <c r="D423" s="94" t="str">
        <f>IF(OR(R423=0,V423=0),"",INDEX('CAD_RESÍDUOS'!$E$6:$E$205,MATCH(C423,'CAD_RESÍDUOS'!$B$6:$B$205,0))&amp;"")</f>
        <v/>
      </c>
      <c r="E423" s="94" t="str">
        <f>IF(OR(R423=0,V423=0),"",INDEX('CAD_RESÍDUOS'!$C$6:$C$205,MATCH(C423,'CAD_RESÍDUOS'!$B$6:$B$205,0))&amp;"")</f>
        <v/>
      </c>
      <c r="F423" s="94" t="str">
        <f>IF(OR(R423=0,V423=0),"",INDEX('CAD_RESÍDUOS'!$G$6:$G$205,MATCH(C423,'CAD_RESÍDUOS'!$B$6:$B$205,0))&amp;"")</f>
        <v/>
      </c>
      <c r="G423" s="98" t="n"/>
      <c r="H423" s="91" t="n"/>
      <c r="I423" s="93" t="str">
        <f>IF(R423=0,"",IF(NOT(ISNUMBER(G423)),"",IF(ISNUMBER(X423),G423*X423,"UNIDADE A CONFERIR")))</f>
        <v/>
      </c>
      <c r="J423" s="91" t="n"/>
      <c r="K423" s="91" t="n"/>
      <c r="L423" s="93" t="str">
        <f>IF(R423=0,"",SUMIFS('RECEBIMENTOS'!$H$6:$H$1005,'RECEBIMENTOS'!$R$6:$R$1005,A423,'RECEBIMENTOS'!$X$6:$X$1005,1))</f>
        <v/>
      </c>
      <c r="M423" s="93" t="str">
        <f>IF(R423=0,"",SUMIFS('VÍNCULOS_CDF'!$H$6:$H$1005,'VÍNCULOS_CDF'!$R$6:$R$1005,A423,'VÍNCULOS_CDF'!$V$6:$V$1005,1))</f>
        <v/>
      </c>
      <c r="N423" s="99" t="str">
        <f>IF(OR(R423=0,AA423=0,NOT(ISNUMBER(I423))),"",I423-N(L423))</f>
        <v/>
      </c>
      <c r="O423" s="100" t="str">
        <f>IF(OR(R423=0,AK423&lt;=0),"",N(M423)/AK423)</f>
        <v/>
      </c>
      <c r="P423" s="94" t="str">
        <f>IF(R423=0,"",IF(S423="","Sem MTR associado",IF(U423=0,"MTR inexistente",IF(C423="","Resíduo não identificado",IF(V423=0,"Resíduo fora do cadastro",IF(W423=0,"Quantidade inválida",IF(H423="","Unidade não informada",IF(NOT(ISNUMBER(I423)),"Unidade a conferir",IF(AND(AH423=1,K423&lt;&gt;"Sim"),"Possível duplicidade",IF(Z423=1,"MTR cancelado",IF(AC423&gt;0,"Recebimento com alerta",IF(AA423=0,"Aguardando recebimento",IF(AB423&lt;AA423,"Recebimento a conferir",IF(AM423=1,"Quantidade a revisar",IF(AF423&gt;0,"Vínculo a revisar",IF(AD423=0,"Aguardando CDF",IF(AN423=0,"Vínculo de CDF parcial",IF(AE423&lt;AD423,"CDF a conferir","Documentação conferida"))))))))))))))))))</f>
        <v/>
      </c>
      <c r="Q423" s="93" t="str">
        <f>IF(OR(R423=0,AA423=0),"",MAX(0,N(L423)-N(M423)))</f>
        <v/>
      </c>
      <c r="R423" s="96">
        <f>IF(COUNTA(B423:C423,G423:H423,J423:K423)&gt;0,1,0)</f>
        <v>0</v>
      </c>
      <c r="S423" s="96" t="str">
        <f>IF(B423="","",TRIM(LEFT(B423,FIND(" |",B423&amp;" |")-1)))</f>
        <v/>
      </c>
      <c r="T423" s="96" t="str">
        <f>IF(S423="","",IFERROR(MATCH(S423,'MTRs'!$A$6:$A$505,0),""))</f>
        <v/>
      </c>
      <c r="U423" s="96">
        <f>IF(T423="",0,IF(INDEX('MTRs'!$Z$6:$Z$505,T423)=1,1,0))</f>
        <v>0</v>
      </c>
      <c r="V423" s="96">
        <f>IF(C423="",0,IF(ISNUMBER(MATCH(C423,'CAD_RESÍDUOS'!$B$6:$B$205,0)),1,0))</f>
        <v>0</v>
      </c>
      <c r="W423" s="96">
        <f>IF(AND(ISNUMBER(G423),G423&gt;0),1,0)</f>
        <v>0</v>
      </c>
      <c r="X423" s="96" t="str">
        <f>IF(H423="","",IFERROR(IF(ISNUMBER(INDEX(cfg_fac,MATCH(H423,cfg_units,0))),IF(INDEX(cfg_fac,MATCH(H423,cfg_units,0))&gt;0,INDEX(cfg_fac,MATCH(H423,cfg_units,0)),""),""),""))</f>
        <v/>
      </c>
      <c r="Y423" s="96">
        <f>IF(AND(W423=1,ISNUMBER(I423)),1,0)</f>
        <v>0</v>
      </c>
      <c r="Z423" s="96">
        <f>IF(U423=1,INDEX('MTRs'!$AA$6:$AA$505,T423),0)</f>
        <v>0</v>
      </c>
      <c r="AA423" s="96">
        <f>IF(R423=0,0,COUNTIFS('RECEBIMENTOS'!$R$6:$R$1005,A423,'RECEBIMENTOS'!$Q$6:$Q$1005,1))</f>
        <v>0</v>
      </c>
      <c r="AB423" s="96">
        <f>IF(R423=0,0,COUNTIFS('RECEBIMENTOS'!$R$6:$R$1005,A423,'RECEBIMENTOS'!$Z$6:$Z$1005,1))</f>
        <v>0</v>
      </c>
      <c r="AC423" s="96">
        <f>IF(R423=0,0,COUNTIFS('RECEBIMENTOS'!$R$6:$R$1005,A423,'RECEBIMENTOS'!$Y$6:$Y$1005,1))</f>
        <v>0</v>
      </c>
      <c r="AD423" s="96">
        <f>IF(R423=0,0,COUNTIFS('VÍNCULOS_CDF'!$R$6:$R$1005,A423,'VÍNCULOS_CDF'!$N$6:$N$1005,1))</f>
        <v>0</v>
      </c>
      <c r="AE423" s="96">
        <f>IF(R423=0,0,COUNTIFS('VÍNCULOS_CDF'!$R$6:$R$1005,A423,'VÍNCULOS_CDF'!$AA$6:$AA$1005,1))</f>
        <v>0</v>
      </c>
      <c r="AF423" s="96">
        <f>IF(R423=0,0,COUNTIFS('VÍNCULOS_CDF'!$R$6:$R$1005,A423,'VÍNCULOS_CDF'!$Y$6:$Y$1005,1))</f>
        <v>0</v>
      </c>
      <c r="AG423" s="96" t="str">
        <f>IF(AND(R423=1,S423&lt;&gt;"",C423&lt;&gt;""),S423&amp;"|"&amp;C423&amp;"|"&amp;G423&amp;"|"&amp;H423,"")</f>
        <v/>
      </c>
      <c r="AH423" s="96">
        <f>IF(AG423="",0,IF(SUMPRODUCT(--($AG$6:$AG$1005=AG423))&gt;1,1,0))</f>
        <v>0</v>
      </c>
      <c r="AI423" s="96">
        <f>IF(R423=0,0,IF(OR(U423=0,V423=0,Y423=0,AND(AH423=1,K423&lt;&gt;"Sim")),1,0))</f>
        <v>0</v>
      </c>
      <c r="AJ423" s="96">
        <f>IF(AND(R423=1,AA423&gt;0,AB423=AA423),1,0)</f>
        <v>0</v>
      </c>
      <c r="AK423" s="96">
        <f>IF(R423=0,0,IF(AA423&gt;0,N(L423),IF(ISNUMBER(I423),I423,0)))</f>
        <v>0</v>
      </c>
      <c r="AL423" s="96">
        <f>IF(R423=0,0,IF(AND(K423&lt;&gt;"Sim",N(M423)&gt;AK423+cfg_tol),1,0))</f>
        <v>0</v>
      </c>
      <c r="AM423" s="96">
        <f>IF(R423=0,0,IF(K423="Sim",0,IF(OR(AND(AA423&gt;0,ISNUMBER(I423),ABS(I423-N(L423))&gt;cfg_tol),AL423=1),1,0)))</f>
        <v>0</v>
      </c>
      <c r="AN423" s="96">
        <f>IF(AND(R423=1,N(M423)&gt;0,OR(N(M423)&gt;=AK423-cfg_tol,K423="Sim")),1,0)</f>
        <v>0</v>
      </c>
      <c r="AO423" s="96">
        <f>IF(AND(AN423=1,AD423&gt;0,AE423=AD423,AL423=0),1,0)</f>
        <v>0</v>
      </c>
      <c r="AP423" s="96">
        <f>IF(U423=0,0,IF(AND(INDEX('MTRs'!$AX$6:$AX$505,T423)=1,Z423=0,OR(f_res="",f_res="(Todos)",C423=f_res)),1,0))</f>
        <v>0</v>
      </c>
      <c r="AQ423" s="97" t="str">
        <f>IF(U423=0,"",INDEX('MTRs'!$AZ$6:$AZ$505,T423))</f>
        <v/>
      </c>
      <c r="AR423" s="96">
        <f>IF(U423=0,0,IF(AND(INDEX('MTRs'!$BA$6:$BA$505,T423)=1,Z423=0),1,0))</f>
        <v>0</v>
      </c>
      <c r="AS423" s="96" t="str">
        <f>IF(R423=1,A423&amp;" | MTR "&amp;IF(U423=1,INDEX('MTRs'!$B$6:$B$505,T423)&amp;"","?")&amp;" | "&amp;IF(C423="","(sem resíduo)",C423),"")</f>
        <v/>
      </c>
      <c r="AT423" s="96" t="str">
        <f>IF(R423=1,COUNTIF($R$6:R423,1),"")</f>
        <v/>
      </c>
      <c r="AU423" s="96" t="str">
        <f>IF(U423=1,INDEX('MTRs'!$I$6:$I$505,T423)&amp;"","")</f>
        <v/>
      </c>
    </row>
    <row r="424">
      <c r="A424" s="89" t="inlineStr">
        <is>
          <t>IT-000419</t>
        </is>
      </c>
      <c r="B424" s="91" t="n"/>
      <c r="C424" s="91" t="n"/>
      <c r="D424" s="94" t="str">
        <f>IF(OR(R424=0,V424=0),"",INDEX('CAD_RESÍDUOS'!$E$6:$E$205,MATCH(C424,'CAD_RESÍDUOS'!$B$6:$B$205,0))&amp;"")</f>
        <v/>
      </c>
      <c r="E424" s="94" t="str">
        <f>IF(OR(R424=0,V424=0),"",INDEX('CAD_RESÍDUOS'!$C$6:$C$205,MATCH(C424,'CAD_RESÍDUOS'!$B$6:$B$205,0))&amp;"")</f>
        <v/>
      </c>
      <c r="F424" s="94" t="str">
        <f>IF(OR(R424=0,V424=0),"",INDEX('CAD_RESÍDUOS'!$G$6:$G$205,MATCH(C424,'CAD_RESÍDUOS'!$B$6:$B$205,0))&amp;"")</f>
        <v/>
      </c>
      <c r="G424" s="98" t="n"/>
      <c r="H424" s="91" t="n"/>
      <c r="I424" s="93" t="str">
        <f>IF(R424=0,"",IF(NOT(ISNUMBER(G424)),"",IF(ISNUMBER(X424),G424*X424,"UNIDADE A CONFERIR")))</f>
        <v/>
      </c>
      <c r="J424" s="91" t="n"/>
      <c r="K424" s="91" t="n"/>
      <c r="L424" s="93" t="str">
        <f>IF(R424=0,"",SUMIFS('RECEBIMENTOS'!$H$6:$H$1005,'RECEBIMENTOS'!$R$6:$R$1005,A424,'RECEBIMENTOS'!$X$6:$X$1005,1))</f>
        <v/>
      </c>
      <c r="M424" s="93" t="str">
        <f>IF(R424=0,"",SUMIFS('VÍNCULOS_CDF'!$H$6:$H$1005,'VÍNCULOS_CDF'!$R$6:$R$1005,A424,'VÍNCULOS_CDF'!$V$6:$V$1005,1))</f>
        <v/>
      </c>
      <c r="N424" s="99" t="str">
        <f>IF(OR(R424=0,AA424=0,NOT(ISNUMBER(I424))),"",I424-N(L424))</f>
        <v/>
      </c>
      <c r="O424" s="100" t="str">
        <f>IF(OR(R424=0,AK424&lt;=0),"",N(M424)/AK424)</f>
        <v/>
      </c>
      <c r="P424" s="94" t="str">
        <f>IF(R424=0,"",IF(S424="","Sem MTR associado",IF(U424=0,"MTR inexistente",IF(C424="","Resíduo não identificado",IF(V424=0,"Resíduo fora do cadastro",IF(W424=0,"Quantidade inválida",IF(H424="","Unidade não informada",IF(NOT(ISNUMBER(I424)),"Unidade a conferir",IF(AND(AH424=1,K424&lt;&gt;"Sim"),"Possível duplicidade",IF(Z424=1,"MTR cancelado",IF(AC424&gt;0,"Recebimento com alerta",IF(AA424=0,"Aguardando recebimento",IF(AB424&lt;AA424,"Recebimento a conferir",IF(AM424=1,"Quantidade a revisar",IF(AF424&gt;0,"Vínculo a revisar",IF(AD424=0,"Aguardando CDF",IF(AN424=0,"Vínculo de CDF parcial",IF(AE424&lt;AD424,"CDF a conferir","Documentação conferida"))))))))))))))))))</f>
        <v/>
      </c>
      <c r="Q424" s="93" t="str">
        <f>IF(OR(R424=0,AA424=0),"",MAX(0,N(L424)-N(M424)))</f>
        <v/>
      </c>
      <c r="R424" s="96">
        <f>IF(COUNTA(B424:C424,G424:H424,J424:K424)&gt;0,1,0)</f>
        <v>0</v>
      </c>
      <c r="S424" s="96" t="str">
        <f>IF(B424="","",TRIM(LEFT(B424,FIND(" |",B424&amp;" |")-1)))</f>
        <v/>
      </c>
      <c r="T424" s="96" t="str">
        <f>IF(S424="","",IFERROR(MATCH(S424,'MTRs'!$A$6:$A$505,0),""))</f>
        <v/>
      </c>
      <c r="U424" s="96">
        <f>IF(T424="",0,IF(INDEX('MTRs'!$Z$6:$Z$505,T424)=1,1,0))</f>
        <v>0</v>
      </c>
      <c r="V424" s="96">
        <f>IF(C424="",0,IF(ISNUMBER(MATCH(C424,'CAD_RESÍDUOS'!$B$6:$B$205,0)),1,0))</f>
        <v>0</v>
      </c>
      <c r="W424" s="96">
        <f>IF(AND(ISNUMBER(G424),G424&gt;0),1,0)</f>
        <v>0</v>
      </c>
      <c r="X424" s="96" t="str">
        <f>IF(H424="","",IFERROR(IF(ISNUMBER(INDEX(cfg_fac,MATCH(H424,cfg_units,0))),IF(INDEX(cfg_fac,MATCH(H424,cfg_units,0))&gt;0,INDEX(cfg_fac,MATCH(H424,cfg_units,0)),""),""),""))</f>
        <v/>
      </c>
      <c r="Y424" s="96">
        <f>IF(AND(W424=1,ISNUMBER(I424)),1,0)</f>
        <v>0</v>
      </c>
      <c r="Z424" s="96">
        <f>IF(U424=1,INDEX('MTRs'!$AA$6:$AA$505,T424),0)</f>
        <v>0</v>
      </c>
      <c r="AA424" s="96">
        <f>IF(R424=0,0,COUNTIFS('RECEBIMENTOS'!$R$6:$R$1005,A424,'RECEBIMENTOS'!$Q$6:$Q$1005,1))</f>
        <v>0</v>
      </c>
      <c r="AB424" s="96">
        <f>IF(R424=0,0,COUNTIFS('RECEBIMENTOS'!$R$6:$R$1005,A424,'RECEBIMENTOS'!$Z$6:$Z$1005,1))</f>
        <v>0</v>
      </c>
      <c r="AC424" s="96">
        <f>IF(R424=0,0,COUNTIFS('RECEBIMENTOS'!$R$6:$R$1005,A424,'RECEBIMENTOS'!$Y$6:$Y$1005,1))</f>
        <v>0</v>
      </c>
      <c r="AD424" s="96">
        <f>IF(R424=0,0,COUNTIFS('VÍNCULOS_CDF'!$R$6:$R$1005,A424,'VÍNCULOS_CDF'!$N$6:$N$1005,1))</f>
        <v>0</v>
      </c>
      <c r="AE424" s="96">
        <f>IF(R424=0,0,COUNTIFS('VÍNCULOS_CDF'!$R$6:$R$1005,A424,'VÍNCULOS_CDF'!$AA$6:$AA$1005,1))</f>
        <v>0</v>
      </c>
      <c r="AF424" s="96">
        <f>IF(R424=0,0,COUNTIFS('VÍNCULOS_CDF'!$R$6:$R$1005,A424,'VÍNCULOS_CDF'!$Y$6:$Y$1005,1))</f>
        <v>0</v>
      </c>
      <c r="AG424" s="96" t="str">
        <f>IF(AND(R424=1,S424&lt;&gt;"",C424&lt;&gt;""),S424&amp;"|"&amp;C424&amp;"|"&amp;G424&amp;"|"&amp;H424,"")</f>
        <v/>
      </c>
      <c r="AH424" s="96">
        <f>IF(AG424="",0,IF(SUMPRODUCT(--($AG$6:$AG$1005=AG424))&gt;1,1,0))</f>
        <v>0</v>
      </c>
      <c r="AI424" s="96">
        <f>IF(R424=0,0,IF(OR(U424=0,V424=0,Y424=0,AND(AH424=1,K424&lt;&gt;"Sim")),1,0))</f>
        <v>0</v>
      </c>
      <c r="AJ424" s="96">
        <f>IF(AND(R424=1,AA424&gt;0,AB424=AA424),1,0)</f>
        <v>0</v>
      </c>
      <c r="AK424" s="96">
        <f>IF(R424=0,0,IF(AA424&gt;0,N(L424),IF(ISNUMBER(I424),I424,0)))</f>
        <v>0</v>
      </c>
      <c r="AL424" s="96">
        <f>IF(R424=0,0,IF(AND(K424&lt;&gt;"Sim",N(M424)&gt;AK424+cfg_tol),1,0))</f>
        <v>0</v>
      </c>
      <c r="AM424" s="96">
        <f>IF(R424=0,0,IF(K424="Sim",0,IF(OR(AND(AA424&gt;0,ISNUMBER(I424),ABS(I424-N(L424))&gt;cfg_tol),AL424=1),1,0)))</f>
        <v>0</v>
      </c>
      <c r="AN424" s="96">
        <f>IF(AND(R424=1,N(M424)&gt;0,OR(N(M424)&gt;=AK424-cfg_tol,K424="Sim")),1,0)</f>
        <v>0</v>
      </c>
      <c r="AO424" s="96">
        <f>IF(AND(AN424=1,AD424&gt;0,AE424=AD424,AL424=0),1,0)</f>
        <v>0</v>
      </c>
      <c r="AP424" s="96">
        <f>IF(U424=0,0,IF(AND(INDEX('MTRs'!$AX$6:$AX$505,T424)=1,Z424=0,OR(f_res="",f_res="(Todos)",C424=f_res)),1,0))</f>
        <v>0</v>
      </c>
      <c r="AQ424" s="97" t="str">
        <f>IF(U424=0,"",INDEX('MTRs'!$AZ$6:$AZ$505,T424))</f>
        <v/>
      </c>
      <c r="AR424" s="96">
        <f>IF(U424=0,0,IF(AND(INDEX('MTRs'!$BA$6:$BA$505,T424)=1,Z424=0),1,0))</f>
        <v>0</v>
      </c>
      <c r="AS424" s="96" t="str">
        <f>IF(R424=1,A424&amp;" | MTR "&amp;IF(U424=1,INDEX('MTRs'!$B$6:$B$505,T424)&amp;"","?")&amp;" | "&amp;IF(C424="","(sem resíduo)",C424),"")</f>
        <v/>
      </c>
      <c r="AT424" s="96" t="str">
        <f>IF(R424=1,COUNTIF($R$6:R424,1),"")</f>
        <v/>
      </c>
      <c r="AU424" s="96" t="str">
        <f>IF(U424=1,INDEX('MTRs'!$I$6:$I$505,T424)&amp;"","")</f>
        <v/>
      </c>
    </row>
    <row r="425">
      <c r="A425" s="89" t="inlineStr">
        <is>
          <t>IT-000420</t>
        </is>
      </c>
      <c r="B425" s="91" t="n"/>
      <c r="C425" s="91" t="n"/>
      <c r="D425" s="94" t="str">
        <f>IF(OR(R425=0,V425=0),"",INDEX('CAD_RESÍDUOS'!$E$6:$E$205,MATCH(C425,'CAD_RESÍDUOS'!$B$6:$B$205,0))&amp;"")</f>
        <v/>
      </c>
      <c r="E425" s="94" t="str">
        <f>IF(OR(R425=0,V425=0),"",INDEX('CAD_RESÍDUOS'!$C$6:$C$205,MATCH(C425,'CAD_RESÍDUOS'!$B$6:$B$205,0))&amp;"")</f>
        <v/>
      </c>
      <c r="F425" s="94" t="str">
        <f>IF(OR(R425=0,V425=0),"",INDEX('CAD_RESÍDUOS'!$G$6:$G$205,MATCH(C425,'CAD_RESÍDUOS'!$B$6:$B$205,0))&amp;"")</f>
        <v/>
      </c>
      <c r="G425" s="98" t="n"/>
      <c r="H425" s="91" t="n"/>
      <c r="I425" s="93" t="str">
        <f>IF(R425=0,"",IF(NOT(ISNUMBER(G425)),"",IF(ISNUMBER(X425),G425*X425,"UNIDADE A CONFERIR")))</f>
        <v/>
      </c>
      <c r="J425" s="91" t="n"/>
      <c r="K425" s="91" t="n"/>
      <c r="L425" s="93" t="str">
        <f>IF(R425=0,"",SUMIFS('RECEBIMENTOS'!$H$6:$H$1005,'RECEBIMENTOS'!$R$6:$R$1005,A425,'RECEBIMENTOS'!$X$6:$X$1005,1))</f>
        <v/>
      </c>
      <c r="M425" s="93" t="str">
        <f>IF(R425=0,"",SUMIFS('VÍNCULOS_CDF'!$H$6:$H$1005,'VÍNCULOS_CDF'!$R$6:$R$1005,A425,'VÍNCULOS_CDF'!$V$6:$V$1005,1))</f>
        <v/>
      </c>
      <c r="N425" s="99" t="str">
        <f>IF(OR(R425=0,AA425=0,NOT(ISNUMBER(I425))),"",I425-N(L425))</f>
        <v/>
      </c>
      <c r="O425" s="100" t="str">
        <f>IF(OR(R425=0,AK425&lt;=0),"",N(M425)/AK425)</f>
        <v/>
      </c>
      <c r="P425" s="94" t="str">
        <f>IF(R425=0,"",IF(S425="","Sem MTR associado",IF(U425=0,"MTR inexistente",IF(C425="","Resíduo não identificado",IF(V425=0,"Resíduo fora do cadastro",IF(W425=0,"Quantidade inválida",IF(H425="","Unidade não informada",IF(NOT(ISNUMBER(I425)),"Unidade a conferir",IF(AND(AH425=1,K425&lt;&gt;"Sim"),"Possível duplicidade",IF(Z425=1,"MTR cancelado",IF(AC425&gt;0,"Recebimento com alerta",IF(AA425=0,"Aguardando recebimento",IF(AB425&lt;AA425,"Recebimento a conferir",IF(AM425=1,"Quantidade a revisar",IF(AF425&gt;0,"Vínculo a revisar",IF(AD425=0,"Aguardando CDF",IF(AN425=0,"Vínculo de CDF parcial",IF(AE425&lt;AD425,"CDF a conferir","Documentação conferida"))))))))))))))))))</f>
        <v/>
      </c>
      <c r="Q425" s="93" t="str">
        <f>IF(OR(R425=0,AA425=0),"",MAX(0,N(L425)-N(M425)))</f>
        <v/>
      </c>
      <c r="R425" s="96">
        <f>IF(COUNTA(B425:C425,G425:H425,J425:K425)&gt;0,1,0)</f>
        <v>0</v>
      </c>
      <c r="S425" s="96" t="str">
        <f>IF(B425="","",TRIM(LEFT(B425,FIND(" |",B425&amp;" |")-1)))</f>
        <v/>
      </c>
      <c r="T425" s="96" t="str">
        <f>IF(S425="","",IFERROR(MATCH(S425,'MTRs'!$A$6:$A$505,0),""))</f>
        <v/>
      </c>
      <c r="U425" s="96">
        <f>IF(T425="",0,IF(INDEX('MTRs'!$Z$6:$Z$505,T425)=1,1,0))</f>
        <v>0</v>
      </c>
      <c r="V425" s="96">
        <f>IF(C425="",0,IF(ISNUMBER(MATCH(C425,'CAD_RESÍDUOS'!$B$6:$B$205,0)),1,0))</f>
        <v>0</v>
      </c>
      <c r="W425" s="96">
        <f>IF(AND(ISNUMBER(G425),G425&gt;0),1,0)</f>
        <v>0</v>
      </c>
      <c r="X425" s="96" t="str">
        <f>IF(H425="","",IFERROR(IF(ISNUMBER(INDEX(cfg_fac,MATCH(H425,cfg_units,0))),IF(INDEX(cfg_fac,MATCH(H425,cfg_units,0))&gt;0,INDEX(cfg_fac,MATCH(H425,cfg_units,0)),""),""),""))</f>
        <v/>
      </c>
      <c r="Y425" s="96">
        <f>IF(AND(W425=1,ISNUMBER(I425)),1,0)</f>
        <v>0</v>
      </c>
      <c r="Z425" s="96">
        <f>IF(U425=1,INDEX('MTRs'!$AA$6:$AA$505,T425),0)</f>
        <v>0</v>
      </c>
      <c r="AA425" s="96">
        <f>IF(R425=0,0,COUNTIFS('RECEBIMENTOS'!$R$6:$R$1005,A425,'RECEBIMENTOS'!$Q$6:$Q$1005,1))</f>
        <v>0</v>
      </c>
      <c r="AB425" s="96">
        <f>IF(R425=0,0,COUNTIFS('RECEBIMENTOS'!$R$6:$R$1005,A425,'RECEBIMENTOS'!$Z$6:$Z$1005,1))</f>
        <v>0</v>
      </c>
      <c r="AC425" s="96">
        <f>IF(R425=0,0,COUNTIFS('RECEBIMENTOS'!$R$6:$R$1005,A425,'RECEBIMENTOS'!$Y$6:$Y$1005,1))</f>
        <v>0</v>
      </c>
      <c r="AD425" s="96">
        <f>IF(R425=0,0,COUNTIFS('VÍNCULOS_CDF'!$R$6:$R$1005,A425,'VÍNCULOS_CDF'!$N$6:$N$1005,1))</f>
        <v>0</v>
      </c>
      <c r="AE425" s="96">
        <f>IF(R425=0,0,COUNTIFS('VÍNCULOS_CDF'!$R$6:$R$1005,A425,'VÍNCULOS_CDF'!$AA$6:$AA$1005,1))</f>
        <v>0</v>
      </c>
      <c r="AF425" s="96">
        <f>IF(R425=0,0,COUNTIFS('VÍNCULOS_CDF'!$R$6:$R$1005,A425,'VÍNCULOS_CDF'!$Y$6:$Y$1005,1))</f>
        <v>0</v>
      </c>
      <c r="AG425" s="96" t="str">
        <f>IF(AND(R425=1,S425&lt;&gt;"",C425&lt;&gt;""),S425&amp;"|"&amp;C425&amp;"|"&amp;G425&amp;"|"&amp;H425,"")</f>
        <v/>
      </c>
      <c r="AH425" s="96">
        <f>IF(AG425="",0,IF(SUMPRODUCT(--($AG$6:$AG$1005=AG425))&gt;1,1,0))</f>
        <v>0</v>
      </c>
      <c r="AI425" s="96">
        <f>IF(R425=0,0,IF(OR(U425=0,V425=0,Y425=0,AND(AH425=1,K425&lt;&gt;"Sim")),1,0))</f>
        <v>0</v>
      </c>
      <c r="AJ425" s="96">
        <f>IF(AND(R425=1,AA425&gt;0,AB425=AA425),1,0)</f>
        <v>0</v>
      </c>
      <c r="AK425" s="96">
        <f>IF(R425=0,0,IF(AA425&gt;0,N(L425),IF(ISNUMBER(I425),I425,0)))</f>
        <v>0</v>
      </c>
      <c r="AL425" s="96">
        <f>IF(R425=0,0,IF(AND(K425&lt;&gt;"Sim",N(M425)&gt;AK425+cfg_tol),1,0))</f>
        <v>0</v>
      </c>
      <c r="AM425" s="96">
        <f>IF(R425=0,0,IF(K425="Sim",0,IF(OR(AND(AA425&gt;0,ISNUMBER(I425),ABS(I425-N(L425))&gt;cfg_tol),AL425=1),1,0)))</f>
        <v>0</v>
      </c>
      <c r="AN425" s="96">
        <f>IF(AND(R425=1,N(M425)&gt;0,OR(N(M425)&gt;=AK425-cfg_tol,K425="Sim")),1,0)</f>
        <v>0</v>
      </c>
      <c r="AO425" s="96">
        <f>IF(AND(AN425=1,AD425&gt;0,AE425=AD425,AL425=0),1,0)</f>
        <v>0</v>
      </c>
      <c r="AP425" s="96">
        <f>IF(U425=0,0,IF(AND(INDEX('MTRs'!$AX$6:$AX$505,T425)=1,Z425=0,OR(f_res="",f_res="(Todos)",C425=f_res)),1,0))</f>
        <v>0</v>
      </c>
      <c r="AQ425" s="97" t="str">
        <f>IF(U425=0,"",INDEX('MTRs'!$AZ$6:$AZ$505,T425))</f>
        <v/>
      </c>
      <c r="AR425" s="96">
        <f>IF(U425=0,0,IF(AND(INDEX('MTRs'!$BA$6:$BA$505,T425)=1,Z425=0),1,0))</f>
        <v>0</v>
      </c>
      <c r="AS425" s="96" t="str">
        <f>IF(R425=1,A425&amp;" | MTR "&amp;IF(U425=1,INDEX('MTRs'!$B$6:$B$505,T425)&amp;"","?")&amp;" | "&amp;IF(C425="","(sem resíduo)",C425),"")</f>
        <v/>
      </c>
      <c r="AT425" s="96" t="str">
        <f>IF(R425=1,COUNTIF($R$6:R425,1),"")</f>
        <v/>
      </c>
      <c r="AU425" s="96" t="str">
        <f>IF(U425=1,INDEX('MTRs'!$I$6:$I$505,T425)&amp;"","")</f>
        <v/>
      </c>
    </row>
    <row r="426">
      <c r="A426" s="89" t="inlineStr">
        <is>
          <t>IT-000421</t>
        </is>
      </c>
      <c r="B426" s="91" t="n"/>
      <c r="C426" s="91" t="n"/>
      <c r="D426" s="94" t="str">
        <f>IF(OR(R426=0,V426=0),"",INDEX('CAD_RESÍDUOS'!$E$6:$E$205,MATCH(C426,'CAD_RESÍDUOS'!$B$6:$B$205,0))&amp;"")</f>
        <v/>
      </c>
      <c r="E426" s="94" t="str">
        <f>IF(OR(R426=0,V426=0),"",INDEX('CAD_RESÍDUOS'!$C$6:$C$205,MATCH(C426,'CAD_RESÍDUOS'!$B$6:$B$205,0))&amp;"")</f>
        <v/>
      </c>
      <c r="F426" s="94" t="str">
        <f>IF(OR(R426=0,V426=0),"",INDEX('CAD_RESÍDUOS'!$G$6:$G$205,MATCH(C426,'CAD_RESÍDUOS'!$B$6:$B$205,0))&amp;"")</f>
        <v/>
      </c>
      <c r="G426" s="98" t="n"/>
      <c r="H426" s="91" t="n"/>
      <c r="I426" s="93" t="str">
        <f>IF(R426=0,"",IF(NOT(ISNUMBER(G426)),"",IF(ISNUMBER(X426),G426*X426,"UNIDADE A CONFERIR")))</f>
        <v/>
      </c>
      <c r="J426" s="91" t="n"/>
      <c r="K426" s="91" t="n"/>
      <c r="L426" s="93" t="str">
        <f>IF(R426=0,"",SUMIFS('RECEBIMENTOS'!$H$6:$H$1005,'RECEBIMENTOS'!$R$6:$R$1005,A426,'RECEBIMENTOS'!$X$6:$X$1005,1))</f>
        <v/>
      </c>
      <c r="M426" s="93" t="str">
        <f>IF(R426=0,"",SUMIFS('VÍNCULOS_CDF'!$H$6:$H$1005,'VÍNCULOS_CDF'!$R$6:$R$1005,A426,'VÍNCULOS_CDF'!$V$6:$V$1005,1))</f>
        <v/>
      </c>
      <c r="N426" s="99" t="str">
        <f>IF(OR(R426=0,AA426=0,NOT(ISNUMBER(I426))),"",I426-N(L426))</f>
        <v/>
      </c>
      <c r="O426" s="100" t="str">
        <f>IF(OR(R426=0,AK426&lt;=0),"",N(M426)/AK426)</f>
        <v/>
      </c>
      <c r="P426" s="94" t="str">
        <f>IF(R426=0,"",IF(S426="","Sem MTR associado",IF(U426=0,"MTR inexistente",IF(C426="","Resíduo não identificado",IF(V426=0,"Resíduo fora do cadastro",IF(W426=0,"Quantidade inválida",IF(H426="","Unidade não informada",IF(NOT(ISNUMBER(I426)),"Unidade a conferir",IF(AND(AH426=1,K426&lt;&gt;"Sim"),"Possível duplicidade",IF(Z426=1,"MTR cancelado",IF(AC426&gt;0,"Recebimento com alerta",IF(AA426=0,"Aguardando recebimento",IF(AB426&lt;AA426,"Recebimento a conferir",IF(AM426=1,"Quantidade a revisar",IF(AF426&gt;0,"Vínculo a revisar",IF(AD426=0,"Aguardando CDF",IF(AN426=0,"Vínculo de CDF parcial",IF(AE426&lt;AD426,"CDF a conferir","Documentação conferida"))))))))))))))))))</f>
        <v/>
      </c>
      <c r="Q426" s="93" t="str">
        <f>IF(OR(R426=0,AA426=0),"",MAX(0,N(L426)-N(M426)))</f>
        <v/>
      </c>
      <c r="R426" s="96">
        <f>IF(COUNTA(B426:C426,G426:H426,J426:K426)&gt;0,1,0)</f>
        <v>0</v>
      </c>
      <c r="S426" s="96" t="str">
        <f>IF(B426="","",TRIM(LEFT(B426,FIND(" |",B426&amp;" |")-1)))</f>
        <v/>
      </c>
      <c r="T426" s="96" t="str">
        <f>IF(S426="","",IFERROR(MATCH(S426,'MTRs'!$A$6:$A$505,0),""))</f>
        <v/>
      </c>
      <c r="U426" s="96">
        <f>IF(T426="",0,IF(INDEX('MTRs'!$Z$6:$Z$505,T426)=1,1,0))</f>
        <v>0</v>
      </c>
      <c r="V426" s="96">
        <f>IF(C426="",0,IF(ISNUMBER(MATCH(C426,'CAD_RESÍDUOS'!$B$6:$B$205,0)),1,0))</f>
        <v>0</v>
      </c>
      <c r="W426" s="96">
        <f>IF(AND(ISNUMBER(G426),G426&gt;0),1,0)</f>
        <v>0</v>
      </c>
      <c r="X426" s="96" t="str">
        <f>IF(H426="","",IFERROR(IF(ISNUMBER(INDEX(cfg_fac,MATCH(H426,cfg_units,0))),IF(INDEX(cfg_fac,MATCH(H426,cfg_units,0))&gt;0,INDEX(cfg_fac,MATCH(H426,cfg_units,0)),""),""),""))</f>
        <v/>
      </c>
      <c r="Y426" s="96">
        <f>IF(AND(W426=1,ISNUMBER(I426)),1,0)</f>
        <v>0</v>
      </c>
      <c r="Z426" s="96">
        <f>IF(U426=1,INDEX('MTRs'!$AA$6:$AA$505,T426),0)</f>
        <v>0</v>
      </c>
      <c r="AA426" s="96">
        <f>IF(R426=0,0,COUNTIFS('RECEBIMENTOS'!$R$6:$R$1005,A426,'RECEBIMENTOS'!$Q$6:$Q$1005,1))</f>
        <v>0</v>
      </c>
      <c r="AB426" s="96">
        <f>IF(R426=0,0,COUNTIFS('RECEBIMENTOS'!$R$6:$R$1005,A426,'RECEBIMENTOS'!$Z$6:$Z$1005,1))</f>
        <v>0</v>
      </c>
      <c r="AC426" s="96">
        <f>IF(R426=0,0,COUNTIFS('RECEBIMENTOS'!$R$6:$R$1005,A426,'RECEBIMENTOS'!$Y$6:$Y$1005,1))</f>
        <v>0</v>
      </c>
      <c r="AD426" s="96">
        <f>IF(R426=0,0,COUNTIFS('VÍNCULOS_CDF'!$R$6:$R$1005,A426,'VÍNCULOS_CDF'!$N$6:$N$1005,1))</f>
        <v>0</v>
      </c>
      <c r="AE426" s="96">
        <f>IF(R426=0,0,COUNTIFS('VÍNCULOS_CDF'!$R$6:$R$1005,A426,'VÍNCULOS_CDF'!$AA$6:$AA$1005,1))</f>
        <v>0</v>
      </c>
      <c r="AF426" s="96">
        <f>IF(R426=0,0,COUNTIFS('VÍNCULOS_CDF'!$R$6:$R$1005,A426,'VÍNCULOS_CDF'!$Y$6:$Y$1005,1))</f>
        <v>0</v>
      </c>
      <c r="AG426" s="96" t="str">
        <f>IF(AND(R426=1,S426&lt;&gt;"",C426&lt;&gt;""),S426&amp;"|"&amp;C426&amp;"|"&amp;G426&amp;"|"&amp;H426,"")</f>
        <v/>
      </c>
      <c r="AH426" s="96">
        <f>IF(AG426="",0,IF(SUMPRODUCT(--($AG$6:$AG$1005=AG426))&gt;1,1,0))</f>
        <v>0</v>
      </c>
      <c r="AI426" s="96">
        <f>IF(R426=0,0,IF(OR(U426=0,V426=0,Y426=0,AND(AH426=1,K426&lt;&gt;"Sim")),1,0))</f>
        <v>0</v>
      </c>
      <c r="AJ426" s="96">
        <f>IF(AND(R426=1,AA426&gt;0,AB426=AA426),1,0)</f>
        <v>0</v>
      </c>
      <c r="AK426" s="96">
        <f>IF(R426=0,0,IF(AA426&gt;0,N(L426),IF(ISNUMBER(I426),I426,0)))</f>
        <v>0</v>
      </c>
      <c r="AL426" s="96">
        <f>IF(R426=0,0,IF(AND(K426&lt;&gt;"Sim",N(M426)&gt;AK426+cfg_tol),1,0))</f>
        <v>0</v>
      </c>
      <c r="AM426" s="96">
        <f>IF(R426=0,0,IF(K426="Sim",0,IF(OR(AND(AA426&gt;0,ISNUMBER(I426),ABS(I426-N(L426))&gt;cfg_tol),AL426=1),1,0)))</f>
        <v>0</v>
      </c>
      <c r="AN426" s="96">
        <f>IF(AND(R426=1,N(M426)&gt;0,OR(N(M426)&gt;=AK426-cfg_tol,K426="Sim")),1,0)</f>
        <v>0</v>
      </c>
      <c r="AO426" s="96">
        <f>IF(AND(AN426=1,AD426&gt;0,AE426=AD426,AL426=0),1,0)</f>
        <v>0</v>
      </c>
      <c r="AP426" s="96">
        <f>IF(U426=0,0,IF(AND(INDEX('MTRs'!$AX$6:$AX$505,T426)=1,Z426=0,OR(f_res="",f_res="(Todos)",C426=f_res)),1,0))</f>
        <v>0</v>
      </c>
      <c r="AQ426" s="97" t="str">
        <f>IF(U426=0,"",INDEX('MTRs'!$AZ$6:$AZ$505,T426))</f>
        <v/>
      </c>
      <c r="AR426" s="96">
        <f>IF(U426=0,0,IF(AND(INDEX('MTRs'!$BA$6:$BA$505,T426)=1,Z426=0),1,0))</f>
        <v>0</v>
      </c>
      <c r="AS426" s="96" t="str">
        <f>IF(R426=1,A426&amp;" | MTR "&amp;IF(U426=1,INDEX('MTRs'!$B$6:$B$505,T426)&amp;"","?")&amp;" | "&amp;IF(C426="","(sem resíduo)",C426),"")</f>
        <v/>
      </c>
      <c r="AT426" s="96" t="str">
        <f>IF(R426=1,COUNTIF($R$6:R426,1),"")</f>
        <v/>
      </c>
      <c r="AU426" s="96" t="str">
        <f>IF(U426=1,INDEX('MTRs'!$I$6:$I$505,T426)&amp;"","")</f>
        <v/>
      </c>
    </row>
    <row r="427">
      <c r="A427" s="89" t="inlineStr">
        <is>
          <t>IT-000422</t>
        </is>
      </c>
      <c r="B427" s="91" t="n"/>
      <c r="C427" s="91" t="n"/>
      <c r="D427" s="94" t="str">
        <f>IF(OR(R427=0,V427=0),"",INDEX('CAD_RESÍDUOS'!$E$6:$E$205,MATCH(C427,'CAD_RESÍDUOS'!$B$6:$B$205,0))&amp;"")</f>
        <v/>
      </c>
      <c r="E427" s="94" t="str">
        <f>IF(OR(R427=0,V427=0),"",INDEX('CAD_RESÍDUOS'!$C$6:$C$205,MATCH(C427,'CAD_RESÍDUOS'!$B$6:$B$205,0))&amp;"")</f>
        <v/>
      </c>
      <c r="F427" s="94" t="str">
        <f>IF(OR(R427=0,V427=0),"",INDEX('CAD_RESÍDUOS'!$G$6:$G$205,MATCH(C427,'CAD_RESÍDUOS'!$B$6:$B$205,0))&amp;"")</f>
        <v/>
      </c>
      <c r="G427" s="98" t="n"/>
      <c r="H427" s="91" t="n"/>
      <c r="I427" s="93" t="str">
        <f>IF(R427=0,"",IF(NOT(ISNUMBER(G427)),"",IF(ISNUMBER(X427),G427*X427,"UNIDADE A CONFERIR")))</f>
        <v/>
      </c>
      <c r="J427" s="91" t="n"/>
      <c r="K427" s="91" t="n"/>
      <c r="L427" s="93" t="str">
        <f>IF(R427=0,"",SUMIFS('RECEBIMENTOS'!$H$6:$H$1005,'RECEBIMENTOS'!$R$6:$R$1005,A427,'RECEBIMENTOS'!$X$6:$X$1005,1))</f>
        <v/>
      </c>
      <c r="M427" s="93" t="str">
        <f>IF(R427=0,"",SUMIFS('VÍNCULOS_CDF'!$H$6:$H$1005,'VÍNCULOS_CDF'!$R$6:$R$1005,A427,'VÍNCULOS_CDF'!$V$6:$V$1005,1))</f>
        <v/>
      </c>
      <c r="N427" s="99" t="str">
        <f>IF(OR(R427=0,AA427=0,NOT(ISNUMBER(I427))),"",I427-N(L427))</f>
        <v/>
      </c>
      <c r="O427" s="100" t="str">
        <f>IF(OR(R427=0,AK427&lt;=0),"",N(M427)/AK427)</f>
        <v/>
      </c>
      <c r="P427" s="94" t="str">
        <f>IF(R427=0,"",IF(S427="","Sem MTR associado",IF(U427=0,"MTR inexistente",IF(C427="","Resíduo não identificado",IF(V427=0,"Resíduo fora do cadastro",IF(W427=0,"Quantidade inválida",IF(H427="","Unidade não informada",IF(NOT(ISNUMBER(I427)),"Unidade a conferir",IF(AND(AH427=1,K427&lt;&gt;"Sim"),"Possível duplicidade",IF(Z427=1,"MTR cancelado",IF(AC427&gt;0,"Recebimento com alerta",IF(AA427=0,"Aguardando recebimento",IF(AB427&lt;AA427,"Recebimento a conferir",IF(AM427=1,"Quantidade a revisar",IF(AF427&gt;0,"Vínculo a revisar",IF(AD427=0,"Aguardando CDF",IF(AN427=0,"Vínculo de CDF parcial",IF(AE427&lt;AD427,"CDF a conferir","Documentação conferida"))))))))))))))))))</f>
        <v/>
      </c>
      <c r="Q427" s="93" t="str">
        <f>IF(OR(R427=0,AA427=0),"",MAX(0,N(L427)-N(M427)))</f>
        <v/>
      </c>
      <c r="R427" s="96">
        <f>IF(COUNTA(B427:C427,G427:H427,J427:K427)&gt;0,1,0)</f>
        <v>0</v>
      </c>
      <c r="S427" s="96" t="str">
        <f>IF(B427="","",TRIM(LEFT(B427,FIND(" |",B427&amp;" |")-1)))</f>
        <v/>
      </c>
      <c r="T427" s="96" t="str">
        <f>IF(S427="","",IFERROR(MATCH(S427,'MTRs'!$A$6:$A$505,0),""))</f>
        <v/>
      </c>
      <c r="U427" s="96">
        <f>IF(T427="",0,IF(INDEX('MTRs'!$Z$6:$Z$505,T427)=1,1,0))</f>
        <v>0</v>
      </c>
      <c r="V427" s="96">
        <f>IF(C427="",0,IF(ISNUMBER(MATCH(C427,'CAD_RESÍDUOS'!$B$6:$B$205,0)),1,0))</f>
        <v>0</v>
      </c>
      <c r="W427" s="96">
        <f>IF(AND(ISNUMBER(G427),G427&gt;0),1,0)</f>
        <v>0</v>
      </c>
      <c r="X427" s="96" t="str">
        <f>IF(H427="","",IFERROR(IF(ISNUMBER(INDEX(cfg_fac,MATCH(H427,cfg_units,0))),IF(INDEX(cfg_fac,MATCH(H427,cfg_units,0))&gt;0,INDEX(cfg_fac,MATCH(H427,cfg_units,0)),""),""),""))</f>
        <v/>
      </c>
      <c r="Y427" s="96">
        <f>IF(AND(W427=1,ISNUMBER(I427)),1,0)</f>
        <v>0</v>
      </c>
      <c r="Z427" s="96">
        <f>IF(U427=1,INDEX('MTRs'!$AA$6:$AA$505,T427),0)</f>
        <v>0</v>
      </c>
      <c r="AA427" s="96">
        <f>IF(R427=0,0,COUNTIFS('RECEBIMENTOS'!$R$6:$R$1005,A427,'RECEBIMENTOS'!$Q$6:$Q$1005,1))</f>
        <v>0</v>
      </c>
      <c r="AB427" s="96">
        <f>IF(R427=0,0,COUNTIFS('RECEBIMENTOS'!$R$6:$R$1005,A427,'RECEBIMENTOS'!$Z$6:$Z$1005,1))</f>
        <v>0</v>
      </c>
      <c r="AC427" s="96">
        <f>IF(R427=0,0,COUNTIFS('RECEBIMENTOS'!$R$6:$R$1005,A427,'RECEBIMENTOS'!$Y$6:$Y$1005,1))</f>
        <v>0</v>
      </c>
      <c r="AD427" s="96">
        <f>IF(R427=0,0,COUNTIFS('VÍNCULOS_CDF'!$R$6:$R$1005,A427,'VÍNCULOS_CDF'!$N$6:$N$1005,1))</f>
        <v>0</v>
      </c>
      <c r="AE427" s="96">
        <f>IF(R427=0,0,COUNTIFS('VÍNCULOS_CDF'!$R$6:$R$1005,A427,'VÍNCULOS_CDF'!$AA$6:$AA$1005,1))</f>
        <v>0</v>
      </c>
      <c r="AF427" s="96">
        <f>IF(R427=0,0,COUNTIFS('VÍNCULOS_CDF'!$R$6:$R$1005,A427,'VÍNCULOS_CDF'!$Y$6:$Y$1005,1))</f>
        <v>0</v>
      </c>
      <c r="AG427" s="96" t="str">
        <f>IF(AND(R427=1,S427&lt;&gt;"",C427&lt;&gt;""),S427&amp;"|"&amp;C427&amp;"|"&amp;G427&amp;"|"&amp;H427,"")</f>
        <v/>
      </c>
      <c r="AH427" s="96">
        <f>IF(AG427="",0,IF(SUMPRODUCT(--($AG$6:$AG$1005=AG427))&gt;1,1,0))</f>
        <v>0</v>
      </c>
      <c r="AI427" s="96">
        <f>IF(R427=0,0,IF(OR(U427=0,V427=0,Y427=0,AND(AH427=1,K427&lt;&gt;"Sim")),1,0))</f>
        <v>0</v>
      </c>
      <c r="AJ427" s="96">
        <f>IF(AND(R427=1,AA427&gt;0,AB427=AA427),1,0)</f>
        <v>0</v>
      </c>
      <c r="AK427" s="96">
        <f>IF(R427=0,0,IF(AA427&gt;0,N(L427),IF(ISNUMBER(I427),I427,0)))</f>
        <v>0</v>
      </c>
      <c r="AL427" s="96">
        <f>IF(R427=0,0,IF(AND(K427&lt;&gt;"Sim",N(M427)&gt;AK427+cfg_tol),1,0))</f>
        <v>0</v>
      </c>
      <c r="AM427" s="96">
        <f>IF(R427=0,0,IF(K427="Sim",0,IF(OR(AND(AA427&gt;0,ISNUMBER(I427),ABS(I427-N(L427))&gt;cfg_tol),AL427=1),1,0)))</f>
        <v>0</v>
      </c>
      <c r="AN427" s="96">
        <f>IF(AND(R427=1,N(M427)&gt;0,OR(N(M427)&gt;=AK427-cfg_tol,K427="Sim")),1,0)</f>
        <v>0</v>
      </c>
      <c r="AO427" s="96">
        <f>IF(AND(AN427=1,AD427&gt;0,AE427=AD427,AL427=0),1,0)</f>
        <v>0</v>
      </c>
      <c r="AP427" s="96">
        <f>IF(U427=0,0,IF(AND(INDEX('MTRs'!$AX$6:$AX$505,T427)=1,Z427=0,OR(f_res="",f_res="(Todos)",C427=f_res)),1,0))</f>
        <v>0</v>
      </c>
      <c r="AQ427" s="97" t="str">
        <f>IF(U427=0,"",INDEX('MTRs'!$AZ$6:$AZ$505,T427))</f>
        <v/>
      </c>
      <c r="AR427" s="96">
        <f>IF(U427=0,0,IF(AND(INDEX('MTRs'!$BA$6:$BA$505,T427)=1,Z427=0),1,0))</f>
        <v>0</v>
      </c>
      <c r="AS427" s="96" t="str">
        <f>IF(R427=1,A427&amp;" | MTR "&amp;IF(U427=1,INDEX('MTRs'!$B$6:$B$505,T427)&amp;"","?")&amp;" | "&amp;IF(C427="","(sem resíduo)",C427),"")</f>
        <v/>
      </c>
      <c r="AT427" s="96" t="str">
        <f>IF(R427=1,COUNTIF($R$6:R427,1),"")</f>
        <v/>
      </c>
      <c r="AU427" s="96" t="str">
        <f>IF(U427=1,INDEX('MTRs'!$I$6:$I$505,T427)&amp;"","")</f>
        <v/>
      </c>
    </row>
    <row r="428">
      <c r="A428" s="89" t="inlineStr">
        <is>
          <t>IT-000423</t>
        </is>
      </c>
      <c r="B428" s="91" t="n"/>
      <c r="C428" s="91" t="n"/>
      <c r="D428" s="94" t="str">
        <f>IF(OR(R428=0,V428=0),"",INDEX('CAD_RESÍDUOS'!$E$6:$E$205,MATCH(C428,'CAD_RESÍDUOS'!$B$6:$B$205,0))&amp;"")</f>
        <v/>
      </c>
      <c r="E428" s="94" t="str">
        <f>IF(OR(R428=0,V428=0),"",INDEX('CAD_RESÍDUOS'!$C$6:$C$205,MATCH(C428,'CAD_RESÍDUOS'!$B$6:$B$205,0))&amp;"")</f>
        <v/>
      </c>
      <c r="F428" s="94" t="str">
        <f>IF(OR(R428=0,V428=0),"",INDEX('CAD_RESÍDUOS'!$G$6:$G$205,MATCH(C428,'CAD_RESÍDUOS'!$B$6:$B$205,0))&amp;"")</f>
        <v/>
      </c>
      <c r="G428" s="98" t="n"/>
      <c r="H428" s="91" t="n"/>
      <c r="I428" s="93" t="str">
        <f>IF(R428=0,"",IF(NOT(ISNUMBER(G428)),"",IF(ISNUMBER(X428),G428*X428,"UNIDADE A CONFERIR")))</f>
        <v/>
      </c>
      <c r="J428" s="91" t="n"/>
      <c r="K428" s="91" t="n"/>
      <c r="L428" s="93" t="str">
        <f>IF(R428=0,"",SUMIFS('RECEBIMENTOS'!$H$6:$H$1005,'RECEBIMENTOS'!$R$6:$R$1005,A428,'RECEBIMENTOS'!$X$6:$X$1005,1))</f>
        <v/>
      </c>
      <c r="M428" s="93" t="str">
        <f>IF(R428=0,"",SUMIFS('VÍNCULOS_CDF'!$H$6:$H$1005,'VÍNCULOS_CDF'!$R$6:$R$1005,A428,'VÍNCULOS_CDF'!$V$6:$V$1005,1))</f>
        <v/>
      </c>
      <c r="N428" s="99" t="str">
        <f>IF(OR(R428=0,AA428=0,NOT(ISNUMBER(I428))),"",I428-N(L428))</f>
        <v/>
      </c>
      <c r="O428" s="100" t="str">
        <f>IF(OR(R428=0,AK428&lt;=0),"",N(M428)/AK428)</f>
        <v/>
      </c>
      <c r="P428" s="94" t="str">
        <f>IF(R428=0,"",IF(S428="","Sem MTR associado",IF(U428=0,"MTR inexistente",IF(C428="","Resíduo não identificado",IF(V428=0,"Resíduo fora do cadastro",IF(W428=0,"Quantidade inválida",IF(H428="","Unidade não informada",IF(NOT(ISNUMBER(I428)),"Unidade a conferir",IF(AND(AH428=1,K428&lt;&gt;"Sim"),"Possível duplicidade",IF(Z428=1,"MTR cancelado",IF(AC428&gt;0,"Recebimento com alerta",IF(AA428=0,"Aguardando recebimento",IF(AB428&lt;AA428,"Recebimento a conferir",IF(AM428=1,"Quantidade a revisar",IF(AF428&gt;0,"Vínculo a revisar",IF(AD428=0,"Aguardando CDF",IF(AN428=0,"Vínculo de CDF parcial",IF(AE428&lt;AD428,"CDF a conferir","Documentação conferida"))))))))))))))))))</f>
        <v/>
      </c>
      <c r="Q428" s="93" t="str">
        <f>IF(OR(R428=0,AA428=0),"",MAX(0,N(L428)-N(M428)))</f>
        <v/>
      </c>
      <c r="R428" s="96">
        <f>IF(COUNTA(B428:C428,G428:H428,J428:K428)&gt;0,1,0)</f>
        <v>0</v>
      </c>
      <c r="S428" s="96" t="str">
        <f>IF(B428="","",TRIM(LEFT(B428,FIND(" |",B428&amp;" |")-1)))</f>
        <v/>
      </c>
      <c r="T428" s="96" t="str">
        <f>IF(S428="","",IFERROR(MATCH(S428,'MTRs'!$A$6:$A$505,0),""))</f>
        <v/>
      </c>
      <c r="U428" s="96">
        <f>IF(T428="",0,IF(INDEX('MTRs'!$Z$6:$Z$505,T428)=1,1,0))</f>
        <v>0</v>
      </c>
      <c r="V428" s="96">
        <f>IF(C428="",0,IF(ISNUMBER(MATCH(C428,'CAD_RESÍDUOS'!$B$6:$B$205,0)),1,0))</f>
        <v>0</v>
      </c>
      <c r="W428" s="96">
        <f>IF(AND(ISNUMBER(G428),G428&gt;0),1,0)</f>
        <v>0</v>
      </c>
      <c r="X428" s="96" t="str">
        <f>IF(H428="","",IFERROR(IF(ISNUMBER(INDEX(cfg_fac,MATCH(H428,cfg_units,0))),IF(INDEX(cfg_fac,MATCH(H428,cfg_units,0))&gt;0,INDEX(cfg_fac,MATCH(H428,cfg_units,0)),""),""),""))</f>
        <v/>
      </c>
      <c r="Y428" s="96">
        <f>IF(AND(W428=1,ISNUMBER(I428)),1,0)</f>
        <v>0</v>
      </c>
      <c r="Z428" s="96">
        <f>IF(U428=1,INDEX('MTRs'!$AA$6:$AA$505,T428),0)</f>
        <v>0</v>
      </c>
      <c r="AA428" s="96">
        <f>IF(R428=0,0,COUNTIFS('RECEBIMENTOS'!$R$6:$R$1005,A428,'RECEBIMENTOS'!$Q$6:$Q$1005,1))</f>
        <v>0</v>
      </c>
      <c r="AB428" s="96">
        <f>IF(R428=0,0,COUNTIFS('RECEBIMENTOS'!$R$6:$R$1005,A428,'RECEBIMENTOS'!$Z$6:$Z$1005,1))</f>
        <v>0</v>
      </c>
      <c r="AC428" s="96">
        <f>IF(R428=0,0,COUNTIFS('RECEBIMENTOS'!$R$6:$R$1005,A428,'RECEBIMENTOS'!$Y$6:$Y$1005,1))</f>
        <v>0</v>
      </c>
      <c r="AD428" s="96">
        <f>IF(R428=0,0,COUNTIFS('VÍNCULOS_CDF'!$R$6:$R$1005,A428,'VÍNCULOS_CDF'!$N$6:$N$1005,1))</f>
        <v>0</v>
      </c>
      <c r="AE428" s="96">
        <f>IF(R428=0,0,COUNTIFS('VÍNCULOS_CDF'!$R$6:$R$1005,A428,'VÍNCULOS_CDF'!$AA$6:$AA$1005,1))</f>
        <v>0</v>
      </c>
      <c r="AF428" s="96">
        <f>IF(R428=0,0,COUNTIFS('VÍNCULOS_CDF'!$R$6:$R$1005,A428,'VÍNCULOS_CDF'!$Y$6:$Y$1005,1))</f>
        <v>0</v>
      </c>
      <c r="AG428" s="96" t="str">
        <f>IF(AND(R428=1,S428&lt;&gt;"",C428&lt;&gt;""),S428&amp;"|"&amp;C428&amp;"|"&amp;G428&amp;"|"&amp;H428,"")</f>
        <v/>
      </c>
      <c r="AH428" s="96">
        <f>IF(AG428="",0,IF(SUMPRODUCT(--($AG$6:$AG$1005=AG428))&gt;1,1,0))</f>
        <v>0</v>
      </c>
      <c r="AI428" s="96">
        <f>IF(R428=0,0,IF(OR(U428=0,V428=0,Y428=0,AND(AH428=1,K428&lt;&gt;"Sim")),1,0))</f>
        <v>0</v>
      </c>
      <c r="AJ428" s="96">
        <f>IF(AND(R428=1,AA428&gt;0,AB428=AA428),1,0)</f>
        <v>0</v>
      </c>
      <c r="AK428" s="96">
        <f>IF(R428=0,0,IF(AA428&gt;0,N(L428),IF(ISNUMBER(I428),I428,0)))</f>
        <v>0</v>
      </c>
      <c r="AL428" s="96">
        <f>IF(R428=0,0,IF(AND(K428&lt;&gt;"Sim",N(M428)&gt;AK428+cfg_tol),1,0))</f>
        <v>0</v>
      </c>
      <c r="AM428" s="96">
        <f>IF(R428=0,0,IF(K428="Sim",0,IF(OR(AND(AA428&gt;0,ISNUMBER(I428),ABS(I428-N(L428))&gt;cfg_tol),AL428=1),1,0)))</f>
        <v>0</v>
      </c>
      <c r="AN428" s="96">
        <f>IF(AND(R428=1,N(M428)&gt;0,OR(N(M428)&gt;=AK428-cfg_tol,K428="Sim")),1,0)</f>
        <v>0</v>
      </c>
      <c r="AO428" s="96">
        <f>IF(AND(AN428=1,AD428&gt;0,AE428=AD428,AL428=0),1,0)</f>
        <v>0</v>
      </c>
      <c r="AP428" s="96">
        <f>IF(U428=0,0,IF(AND(INDEX('MTRs'!$AX$6:$AX$505,T428)=1,Z428=0,OR(f_res="",f_res="(Todos)",C428=f_res)),1,0))</f>
        <v>0</v>
      </c>
      <c r="AQ428" s="97" t="str">
        <f>IF(U428=0,"",INDEX('MTRs'!$AZ$6:$AZ$505,T428))</f>
        <v/>
      </c>
      <c r="AR428" s="96">
        <f>IF(U428=0,0,IF(AND(INDEX('MTRs'!$BA$6:$BA$505,T428)=1,Z428=0),1,0))</f>
        <v>0</v>
      </c>
      <c r="AS428" s="96" t="str">
        <f>IF(R428=1,A428&amp;" | MTR "&amp;IF(U428=1,INDEX('MTRs'!$B$6:$B$505,T428)&amp;"","?")&amp;" | "&amp;IF(C428="","(sem resíduo)",C428),"")</f>
        <v/>
      </c>
      <c r="AT428" s="96" t="str">
        <f>IF(R428=1,COUNTIF($R$6:R428,1),"")</f>
        <v/>
      </c>
      <c r="AU428" s="96" t="str">
        <f>IF(U428=1,INDEX('MTRs'!$I$6:$I$505,T428)&amp;"","")</f>
        <v/>
      </c>
    </row>
    <row r="429">
      <c r="A429" s="89" t="inlineStr">
        <is>
          <t>IT-000424</t>
        </is>
      </c>
      <c r="B429" s="91" t="n"/>
      <c r="C429" s="91" t="n"/>
      <c r="D429" s="94" t="str">
        <f>IF(OR(R429=0,V429=0),"",INDEX('CAD_RESÍDUOS'!$E$6:$E$205,MATCH(C429,'CAD_RESÍDUOS'!$B$6:$B$205,0))&amp;"")</f>
        <v/>
      </c>
      <c r="E429" s="94" t="str">
        <f>IF(OR(R429=0,V429=0),"",INDEX('CAD_RESÍDUOS'!$C$6:$C$205,MATCH(C429,'CAD_RESÍDUOS'!$B$6:$B$205,0))&amp;"")</f>
        <v/>
      </c>
      <c r="F429" s="94" t="str">
        <f>IF(OR(R429=0,V429=0),"",INDEX('CAD_RESÍDUOS'!$G$6:$G$205,MATCH(C429,'CAD_RESÍDUOS'!$B$6:$B$205,0))&amp;"")</f>
        <v/>
      </c>
      <c r="G429" s="98" t="n"/>
      <c r="H429" s="91" t="n"/>
      <c r="I429" s="93" t="str">
        <f>IF(R429=0,"",IF(NOT(ISNUMBER(G429)),"",IF(ISNUMBER(X429),G429*X429,"UNIDADE A CONFERIR")))</f>
        <v/>
      </c>
      <c r="J429" s="91" t="n"/>
      <c r="K429" s="91" t="n"/>
      <c r="L429" s="93" t="str">
        <f>IF(R429=0,"",SUMIFS('RECEBIMENTOS'!$H$6:$H$1005,'RECEBIMENTOS'!$R$6:$R$1005,A429,'RECEBIMENTOS'!$X$6:$X$1005,1))</f>
        <v/>
      </c>
      <c r="M429" s="93" t="str">
        <f>IF(R429=0,"",SUMIFS('VÍNCULOS_CDF'!$H$6:$H$1005,'VÍNCULOS_CDF'!$R$6:$R$1005,A429,'VÍNCULOS_CDF'!$V$6:$V$1005,1))</f>
        <v/>
      </c>
      <c r="N429" s="99" t="str">
        <f>IF(OR(R429=0,AA429=0,NOT(ISNUMBER(I429))),"",I429-N(L429))</f>
        <v/>
      </c>
      <c r="O429" s="100" t="str">
        <f>IF(OR(R429=0,AK429&lt;=0),"",N(M429)/AK429)</f>
        <v/>
      </c>
      <c r="P429" s="94" t="str">
        <f>IF(R429=0,"",IF(S429="","Sem MTR associado",IF(U429=0,"MTR inexistente",IF(C429="","Resíduo não identificado",IF(V429=0,"Resíduo fora do cadastro",IF(W429=0,"Quantidade inválida",IF(H429="","Unidade não informada",IF(NOT(ISNUMBER(I429)),"Unidade a conferir",IF(AND(AH429=1,K429&lt;&gt;"Sim"),"Possível duplicidade",IF(Z429=1,"MTR cancelado",IF(AC429&gt;0,"Recebimento com alerta",IF(AA429=0,"Aguardando recebimento",IF(AB429&lt;AA429,"Recebimento a conferir",IF(AM429=1,"Quantidade a revisar",IF(AF429&gt;0,"Vínculo a revisar",IF(AD429=0,"Aguardando CDF",IF(AN429=0,"Vínculo de CDF parcial",IF(AE429&lt;AD429,"CDF a conferir","Documentação conferida"))))))))))))))))))</f>
        <v/>
      </c>
      <c r="Q429" s="93" t="str">
        <f>IF(OR(R429=0,AA429=0),"",MAX(0,N(L429)-N(M429)))</f>
        <v/>
      </c>
      <c r="R429" s="96">
        <f>IF(COUNTA(B429:C429,G429:H429,J429:K429)&gt;0,1,0)</f>
        <v>0</v>
      </c>
      <c r="S429" s="96" t="str">
        <f>IF(B429="","",TRIM(LEFT(B429,FIND(" |",B429&amp;" |")-1)))</f>
        <v/>
      </c>
      <c r="T429" s="96" t="str">
        <f>IF(S429="","",IFERROR(MATCH(S429,'MTRs'!$A$6:$A$505,0),""))</f>
        <v/>
      </c>
      <c r="U429" s="96">
        <f>IF(T429="",0,IF(INDEX('MTRs'!$Z$6:$Z$505,T429)=1,1,0))</f>
        <v>0</v>
      </c>
      <c r="V429" s="96">
        <f>IF(C429="",0,IF(ISNUMBER(MATCH(C429,'CAD_RESÍDUOS'!$B$6:$B$205,0)),1,0))</f>
        <v>0</v>
      </c>
      <c r="W429" s="96">
        <f>IF(AND(ISNUMBER(G429),G429&gt;0),1,0)</f>
        <v>0</v>
      </c>
      <c r="X429" s="96" t="str">
        <f>IF(H429="","",IFERROR(IF(ISNUMBER(INDEX(cfg_fac,MATCH(H429,cfg_units,0))),IF(INDEX(cfg_fac,MATCH(H429,cfg_units,0))&gt;0,INDEX(cfg_fac,MATCH(H429,cfg_units,0)),""),""),""))</f>
        <v/>
      </c>
      <c r="Y429" s="96">
        <f>IF(AND(W429=1,ISNUMBER(I429)),1,0)</f>
        <v>0</v>
      </c>
      <c r="Z429" s="96">
        <f>IF(U429=1,INDEX('MTRs'!$AA$6:$AA$505,T429),0)</f>
        <v>0</v>
      </c>
      <c r="AA429" s="96">
        <f>IF(R429=0,0,COUNTIFS('RECEBIMENTOS'!$R$6:$R$1005,A429,'RECEBIMENTOS'!$Q$6:$Q$1005,1))</f>
        <v>0</v>
      </c>
      <c r="AB429" s="96">
        <f>IF(R429=0,0,COUNTIFS('RECEBIMENTOS'!$R$6:$R$1005,A429,'RECEBIMENTOS'!$Z$6:$Z$1005,1))</f>
        <v>0</v>
      </c>
      <c r="AC429" s="96">
        <f>IF(R429=0,0,COUNTIFS('RECEBIMENTOS'!$R$6:$R$1005,A429,'RECEBIMENTOS'!$Y$6:$Y$1005,1))</f>
        <v>0</v>
      </c>
      <c r="AD429" s="96">
        <f>IF(R429=0,0,COUNTIFS('VÍNCULOS_CDF'!$R$6:$R$1005,A429,'VÍNCULOS_CDF'!$N$6:$N$1005,1))</f>
        <v>0</v>
      </c>
      <c r="AE429" s="96">
        <f>IF(R429=0,0,COUNTIFS('VÍNCULOS_CDF'!$R$6:$R$1005,A429,'VÍNCULOS_CDF'!$AA$6:$AA$1005,1))</f>
        <v>0</v>
      </c>
      <c r="AF429" s="96">
        <f>IF(R429=0,0,COUNTIFS('VÍNCULOS_CDF'!$R$6:$R$1005,A429,'VÍNCULOS_CDF'!$Y$6:$Y$1005,1))</f>
        <v>0</v>
      </c>
      <c r="AG429" s="96" t="str">
        <f>IF(AND(R429=1,S429&lt;&gt;"",C429&lt;&gt;""),S429&amp;"|"&amp;C429&amp;"|"&amp;G429&amp;"|"&amp;H429,"")</f>
        <v/>
      </c>
      <c r="AH429" s="96">
        <f>IF(AG429="",0,IF(SUMPRODUCT(--($AG$6:$AG$1005=AG429))&gt;1,1,0))</f>
        <v>0</v>
      </c>
      <c r="AI429" s="96">
        <f>IF(R429=0,0,IF(OR(U429=0,V429=0,Y429=0,AND(AH429=1,K429&lt;&gt;"Sim")),1,0))</f>
        <v>0</v>
      </c>
      <c r="AJ429" s="96">
        <f>IF(AND(R429=1,AA429&gt;0,AB429=AA429),1,0)</f>
        <v>0</v>
      </c>
      <c r="AK429" s="96">
        <f>IF(R429=0,0,IF(AA429&gt;0,N(L429),IF(ISNUMBER(I429),I429,0)))</f>
        <v>0</v>
      </c>
      <c r="AL429" s="96">
        <f>IF(R429=0,0,IF(AND(K429&lt;&gt;"Sim",N(M429)&gt;AK429+cfg_tol),1,0))</f>
        <v>0</v>
      </c>
      <c r="AM429" s="96">
        <f>IF(R429=0,0,IF(K429="Sim",0,IF(OR(AND(AA429&gt;0,ISNUMBER(I429),ABS(I429-N(L429))&gt;cfg_tol),AL429=1),1,0)))</f>
        <v>0</v>
      </c>
      <c r="AN429" s="96">
        <f>IF(AND(R429=1,N(M429)&gt;0,OR(N(M429)&gt;=AK429-cfg_tol,K429="Sim")),1,0)</f>
        <v>0</v>
      </c>
      <c r="AO429" s="96">
        <f>IF(AND(AN429=1,AD429&gt;0,AE429=AD429,AL429=0),1,0)</f>
        <v>0</v>
      </c>
      <c r="AP429" s="96">
        <f>IF(U429=0,0,IF(AND(INDEX('MTRs'!$AX$6:$AX$505,T429)=1,Z429=0,OR(f_res="",f_res="(Todos)",C429=f_res)),1,0))</f>
        <v>0</v>
      </c>
      <c r="AQ429" s="97" t="str">
        <f>IF(U429=0,"",INDEX('MTRs'!$AZ$6:$AZ$505,T429))</f>
        <v/>
      </c>
      <c r="AR429" s="96">
        <f>IF(U429=0,0,IF(AND(INDEX('MTRs'!$BA$6:$BA$505,T429)=1,Z429=0),1,0))</f>
        <v>0</v>
      </c>
      <c r="AS429" s="96" t="str">
        <f>IF(R429=1,A429&amp;" | MTR "&amp;IF(U429=1,INDEX('MTRs'!$B$6:$B$505,T429)&amp;"","?")&amp;" | "&amp;IF(C429="","(sem resíduo)",C429),"")</f>
        <v/>
      </c>
      <c r="AT429" s="96" t="str">
        <f>IF(R429=1,COUNTIF($R$6:R429,1),"")</f>
        <v/>
      </c>
      <c r="AU429" s="96" t="str">
        <f>IF(U429=1,INDEX('MTRs'!$I$6:$I$505,T429)&amp;"","")</f>
        <v/>
      </c>
    </row>
    <row r="430">
      <c r="A430" s="89" t="inlineStr">
        <is>
          <t>IT-000425</t>
        </is>
      </c>
      <c r="B430" s="91" t="n"/>
      <c r="C430" s="91" t="n"/>
      <c r="D430" s="94" t="str">
        <f>IF(OR(R430=0,V430=0),"",INDEX('CAD_RESÍDUOS'!$E$6:$E$205,MATCH(C430,'CAD_RESÍDUOS'!$B$6:$B$205,0))&amp;"")</f>
        <v/>
      </c>
      <c r="E430" s="94" t="str">
        <f>IF(OR(R430=0,V430=0),"",INDEX('CAD_RESÍDUOS'!$C$6:$C$205,MATCH(C430,'CAD_RESÍDUOS'!$B$6:$B$205,0))&amp;"")</f>
        <v/>
      </c>
      <c r="F430" s="94" t="str">
        <f>IF(OR(R430=0,V430=0),"",INDEX('CAD_RESÍDUOS'!$G$6:$G$205,MATCH(C430,'CAD_RESÍDUOS'!$B$6:$B$205,0))&amp;"")</f>
        <v/>
      </c>
      <c r="G430" s="98" t="n"/>
      <c r="H430" s="91" t="n"/>
      <c r="I430" s="93" t="str">
        <f>IF(R430=0,"",IF(NOT(ISNUMBER(G430)),"",IF(ISNUMBER(X430),G430*X430,"UNIDADE A CONFERIR")))</f>
        <v/>
      </c>
      <c r="J430" s="91" t="n"/>
      <c r="K430" s="91" t="n"/>
      <c r="L430" s="93" t="str">
        <f>IF(R430=0,"",SUMIFS('RECEBIMENTOS'!$H$6:$H$1005,'RECEBIMENTOS'!$R$6:$R$1005,A430,'RECEBIMENTOS'!$X$6:$X$1005,1))</f>
        <v/>
      </c>
      <c r="M430" s="93" t="str">
        <f>IF(R430=0,"",SUMIFS('VÍNCULOS_CDF'!$H$6:$H$1005,'VÍNCULOS_CDF'!$R$6:$R$1005,A430,'VÍNCULOS_CDF'!$V$6:$V$1005,1))</f>
        <v/>
      </c>
      <c r="N430" s="99" t="str">
        <f>IF(OR(R430=0,AA430=0,NOT(ISNUMBER(I430))),"",I430-N(L430))</f>
        <v/>
      </c>
      <c r="O430" s="100" t="str">
        <f>IF(OR(R430=0,AK430&lt;=0),"",N(M430)/AK430)</f>
        <v/>
      </c>
      <c r="P430" s="94" t="str">
        <f>IF(R430=0,"",IF(S430="","Sem MTR associado",IF(U430=0,"MTR inexistente",IF(C430="","Resíduo não identificado",IF(V430=0,"Resíduo fora do cadastro",IF(W430=0,"Quantidade inválida",IF(H430="","Unidade não informada",IF(NOT(ISNUMBER(I430)),"Unidade a conferir",IF(AND(AH430=1,K430&lt;&gt;"Sim"),"Possível duplicidade",IF(Z430=1,"MTR cancelado",IF(AC430&gt;0,"Recebimento com alerta",IF(AA430=0,"Aguardando recebimento",IF(AB430&lt;AA430,"Recebimento a conferir",IF(AM430=1,"Quantidade a revisar",IF(AF430&gt;0,"Vínculo a revisar",IF(AD430=0,"Aguardando CDF",IF(AN430=0,"Vínculo de CDF parcial",IF(AE430&lt;AD430,"CDF a conferir","Documentação conferida"))))))))))))))))))</f>
        <v/>
      </c>
      <c r="Q430" s="93" t="str">
        <f>IF(OR(R430=0,AA430=0),"",MAX(0,N(L430)-N(M430)))</f>
        <v/>
      </c>
      <c r="R430" s="96">
        <f>IF(COUNTA(B430:C430,G430:H430,J430:K430)&gt;0,1,0)</f>
        <v>0</v>
      </c>
      <c r="S430" s="96" t="str">
        <f>IF(B430="","",TRIM(LEFT(B430,FIND(" |",B430&amp;" |")-1)))</f>
        <v/>
      </c>
      <c r="T430" s="96" t="str">
        <f>IF(S430="","",IFERROR(MATCH(S430,'MTRs'!$A$6:$A$505,0),""))</f>
        <v/>
      </c>
      <c r="U430" s="96">
        <f>IF(T430="",0,IF(INDEX('MTRs'!$Z$6:$Z$505,T430)=1,1,0))</f>
        <v>0</v>
      </c>
      <c r="V430" s="96">
        <f>IF(C430="",0,IF(ISNUMBER(MATCH(C430,'CAD_RESÍDUOS'!$B$6:$B$205,0)),1,0))</f>
        <v>0</v>
      </c>
      <c r="W430" s="96">
        <f>IF(AND(ISNUMBER(G430),G430&gt;0),1,0)</f>
        <v>0</v>
      </c>
      <c r="X430" s="96" t="str">
        <f>IF(H430="","",IFERROR(IF(ISNUMBER(INDEX(cfg_fac,MATCH(H430,cfg_units,0))),IF(INDEX(cfg_fac,MATCH(H430,cfg_units,0))&gt;0,INDEX(cfg_fac,MATCH(H430,cfg_units,0)),""),""),""))</f>
        <v/>
      </c>
      <c r="Y430" s="96">
        <f>IF(AND(W430=1,ISNUMBER(I430)),1,0)</f>
        <v>0</v>
      </c>
      <c r="Z430" s="96">
        <f>IF(U430=1,INDEX('MTRs'!$AA$6:$AA$505,T430),0)</f>
        <v>0</v>
      </c>
      <c r="AA430" s="96">
        <f>IF(R430=0,0,COUNTIFS('RECEBIMENTOS'!$R$6:$R$1005,A430,'RECEBIMENTOS'!$Q$6:$Q$1005,1))</f>
        <v>0</v>
      </c>
      <c r="AB430" s="96">
        <f>IF(R430=0,0,COUNTIFS('RECEBIMENTOS'!$R$6:$R$1005,A430,'RECEBIMENTOS'!$Z$6:$Z$1005,1))</f>
        <v>0</v>
      </c>
      <c r="AC430" s="96">
        <f>IF(R430=0,0,COUNTIFS('RECEBIMENTOS'!$R$6:$R$1005,A430,'RECEBIMENTOS'!$Y$6:$Y$1005,1))</f>
        <v>0</v>
      </c>
      <c r="AD430" s="96">
        <f>IF(R430=0,0,COUNTIFS('VÍNCULOS_CDF'!$R$6:$R$1005,A430,'VÍNCULOS_CDF'!$N$6:$N$1005,1))</f>
        <v>0</v>
      </c>
      <c r="AE430" s="96">
        <f>IF(R430=0,0,COUNTIFS('VÍNCULOS_CDF'!$R$6:$R$1005,A430,'VÍNCULOS_CDF'!$AA$6:$AA$1005,1))</f>
        <v>0</v>
      </c>
      <c r="AF430" s="96">
        <f>IF(R430=0,0,COUNTIFS('VÍNCULOS_CDF'!$R$6:$R$1005,A430,'VÍNCULOS_CDF'!$Y$6:$Y$1005,1))</f>
        <v>0</v>
      </c>
      <c r="AG430" s="96" t="str">
        <f>IF(AND(R430=1,S430&lt;&gt;"",C430&lt;&gt;""),S430&amp;"|"&amp;C430&amp;"|"&amp;G430&amp;"|"&amp;H430,"")</f>
        <v/>
      </c>
      <c r="AH430" s="96">
        <f>IF(AG430="",0,IF(SUMPRODUCT(--($AG$6:$AG$1005=AG430))&gt;1,1,0))</f>
        <v>0</v>
      </c>
      <c r="AI430" s="96">
        <f>IF(R430=0,0,IF(OR(U430=0,V430=0,Y430=0,AND(AH430=1,K430&lt;&gt;"Sim")),1,0))</f>
        <v>0</v>
      </c>
      <c r="AJ430" s="96">
        <f>IF(AND(R430=1,AA430&gt;0,AB430=AA430),1,0)</f>
        <v>0</v>
      </c>
      <c r="AK430" s="96">
        <f>IF(R430=0,0,IF(AA430&gt;0,N(L430),IF(ISNUMBER(I430),I430,0)))</f>
        <v>0</v>
      </c>
      <c r="AL430" s="96">
        <f>IF(R430=0,0,IF(AND(K430&lt;&gt;"Sim",N(M430)&gt;AK430+cfg_tol),1,0))</f>
        <v>0</v>
      </c>
      <c r="AM430" s="96">
        <f>IF(R430=0,0,IF(K430="Sim",0,IF(OR(AND(AA430&gt;0,ISNUMBER(I430),ABS(I430-N(L430))&gt;cfg_tol),AL430=1),1,0)))</f>
        <v>0</v>
      </c>
      <c r="AN430" s="96">
        <f>IF(AND(R430=1,N(M430)&gt;0,OR(N(M430)&gt;=AK430-cfg_tol,K430="Sim")),1,0)</f>
        <v>0</v>
      </c>
      <c r="AO430" s="96">
        <f>IF(AND(AN430=1,AD430&gt;0,AE430=AD430,AL430=0),1,0)</f>
        <v>0</v>
      </c>
      <c r="AP430" s="96">
        <f>IF(U430=0,0,IF(AND(INDEX('MTRs'!$AX$6:$AX$505,T430)=1,Z430=0,OR(f_res="",f_res="(Todos)",C430=f_res)),1,0))</f>
        <v>0</v>
      </c>
      <c r="AQ430" s="97" t="str">
        <f>IF(U430=0,"",INDEX('MTRs'!$AZ$6:$AZ$505,T430))</f>
        <v/>
      </c>
      <c r="AR430" s="96">
        <f>IF(U430=0,0,IF(AND(INDEX('MTRs'!$BA$6:$BA$505,T430)=1,Z430=0),1,0))</f>
        <v>0</v>
      </c>
      <c r="AS430" s="96" t="str">
        <f>IF(R430=1,A430&amp;" | MTR "&amp;IF(U430=1,INDEX('MTRs'!$B$6:$B$505,T430)&amp;"","?")&amp;" | "&amp;IF(C430="","(sem resíduo)",C430),"")</f>
        <v/>
      </c>
      <c r="AT430" s="96" t="str">
        <f>IF(R430=1,COUNTIF($R$6:R430,1),"")</f>
        <v/>
      </c>
      <c r="AU430" s="96" t="str">
        <f>IF(U430=1,INDEX('MTRs'!$I$6:$I$505,T430)&amp;"","")</f>
        <v/>
      </c>
    </row>
    <row r="431">
      <c r="A431" s="89" t="inlineStr">
        <is>
          <t>IT-000426</t>
        </is>
      </c>
      <c r="B431" s="91" t="n"/>
      <c r="C431" s="91" t="n"/>
      <c r="D431" s="94" t="str">
        <f>IF(OR(R431=0,V431=0),"",INDEX('CAD_RESÍDUOS'!$E$6:$E$205,MATCH(C431,'CAD_RESÍDUOS'!$B$6:$B$205,0))&amp;"")</f>
        <v/>
      </c>
      <c r="E431" s="94" t="str">
        <f>IF(OR(R431=0,V431=0),"",INDEX('CAD_RESÍDUOS'!$C$6:$C$205,MATCH(C431,'CAD_RESÍDUOS'!$B$6:$B$205,0))&amp;"")</f>
        <v/>
      </c>
      <c r="F431" s="94" t="str">
        <f>IF(OR(R431=0,V431=0),"",INDEX('CAD_RESÍDUOS'!$G$6:$G$205,MATCH(C431,'CAD_RESÍDUOS'!$B$6:$B$205,0))&amp;"")</f>
        <v/>
      </c>
      <c r="G431" s="98" t="n"/>
      <c r="H431" s="91" t="n"/>
      <c r="I431" s="93" t="str">
        <f>IF(R431=0,"",IF(NOT(ISNUMBER(G431)),"",IF(ISNUMBER(X431),G431*X431,"UNIDADE A CONFERIR")))</f>
        <v/>
      </c>
      <c r="J431" s="91" t="n"/>
      <c r="K431" s="91" t="n"/>
      <c r="L431" s="93" t="str">
        <f>IF(R431=0,"",SUMIFS('RECEBIMENTOS'!$H$6:$H$1005,'RECEBIMENTOS'!$R$6:$R$1005,A431,'RECEBIMENTOS'!$X$6:$X$1005,1))</f>
        <v/>
      </c>
      <c r="M431" s="93" t="str">
        <f>IF(R431=0,"",SUMIFS('VÍNCULOS_CDF'!$H$6:$H$1005,'VÍNCULOS_CDF'!$R$6:$R$1005,A431,'VÍNCULOS_CDF'!$V$6:$V$1005,1))</f>
        <v/>
      </c>
      <c r="N431" s="99" t="str">
        <f>IF(OR(R431=0,AA431=0,NOT(ISNUMBER(I431))),"",I431-N(L431))</f>
        <v/>
      </c>
      <c r="O431" s="100" t="str">
        <f>IF(OR(R431=0,AK431&lt;=0),"",N(M431)/AK431)</f>
        <v/>
      </c>
      <c r="P431" s="94" t="str">
        <f>IF(R431=0,"",IF(S431="","Sem MTR associado",IF(U431=0,"MTR inexistente",IF(C431="","Resíduo não identificado",IF(V431=0,"Resíduo fora do cadastro",IF(W431=0,"Quantidade inválida",IF(H431="","Unidade não informada",IF(NOT(ISNUMBER(I431)),"Unidade a conferir",IF(AND(AH431=1,K431&lt;&gt;"Sim"),"Possível duplicidade",IF(Z431=1,"MTR cancelado",IF(AC431&gt;0,"Recebimento com alerta",IF(AA431=0,"Aguardando recebimento",IF(AB431&lt;AA431,"Recebimento a conferir",IF(AM431=1,"Quantidade a revisar",IF(AF431&gt;0,"Vínculo a revisar",IF(AD431=0,"Aguardando CDF",IF(AN431=0,"Vínculo de CDF parcial",IF(AE431&lt;AD431,"CDF a conferir","Documentação conferida"))))))))))))))))))</f>
        <v/>
      </c>
      <c r="Q431" s="93" t="str">
        <f>IF(OR(R431=0,AA431=0),"",MAX(0,N(L431)-N(M431)))</f>
        <v/>
      </c>
      <c r="R431" s="96">
        <f>IF(COUNTA(B431:C431,G431:H431,J431:K431)&gt;0,1,0)</f>
        <v>0</v>
      </c>
      <c r="S431" s="96" t="str">
        <f>IF(B431="","",TRIM(LEFT(B431,FIND(" |",B431&amp;" |")-1)))</f>
        <v/>
      </c>
      <c r="T431" s="96" t="str">
        <f>IF(S431="","",IFERROR(MATCH(S431,'MTRs'!$A$6:$A$505,0),""))</f>
        <v/>
      </c>
      <c r="U431" s="96">
        <f>IF(T431="",0,IF(INDEX('MTRs'!$Z$6:$Z$505,T431)=1,1,0))</f>
        <v>0</v>
      </c>
      <c r="V431" s="96">
        <f>IF(C431="",0,IF(ISNUMBER(MATCH(C431,'CAD_RESÍDUOS'!$B$6:$B$205,0)),1,0))</f>
        <v>0</v>
      </c>
      <c r="W431" s="96">
        <f>IF(AND(ISNUMBER(G431),G431&gt;0),1,0)</f>
        <v>0</v>
      </c>
      <c r="X431" s="96" t="str">
        <f>IF(H431="","",IFERROR(IF(ISNUMBER(INDEX(cfg_fac,MATCH(H431,cfg_units,0))),IF(INDEX(cfg_fac,MATCH(H431,cfg_units,0))&gt;0,INDEX(cfg_fac,MATCH(H431,cfg_units,0)),""),""),""))</f>
        <v/>
      </c>
      <c r="Y431" s="96">
        <f>IF(AND(W431=1,ISNUMBER(I431)),1,0)</f>
        <v>0</v>
      </c>
      <c r="Z431" s="96">
        <f>IF(U431=1,INDEX('MTRs'!$AA$6:$AA$505,T431),0)</f>
        <v>0</v>
      </c>
      <c r="AA431" s="96">
        <f>IF(R431=0,0,COUNTIFS('RECEBIMENTOS'!$R$6:$R$1005,A431,'RECEBIMENTOS'!$Q$6:$Q$1005,1))</f>
        <v>0</v>
      </c>
      <c r="AB431" s="96">
        <f>IF(R431=0,0,COUNTIFS('RECEBIMENTOS'!$R$6:$R$1005,A431,'RECEBIMENTOS'!$Z$6:$Z$1005,1))</f>
        <v>0</v>
      </c>
      <c r="AC431" s="96">
        <f>IF(R431=0,0,COUNTIFS('RECEBIMENTOS'!$R$6:$R$1005,A431,'RECEBIMENTOS'!$Y$6:$Y$1005,1))</f>
        <v>0</v>
      </c>
      <c r="AD431" s="96">
        <f>IF(R431=0,0,COUNTIFS('VÍNCULOS_CDF'!$R$6:$R$1005,A431,'VÍNCULOS_CDF'!$N$6:$N$1005,1))</f>
        <v>0</v>
      </c>
      <c r="AE431" s="96">
        <f>IF(R431=0,0,COUNTIFS('VÍNCULOS_CDF'!$R$6:$R$1005,A431,'VÍNCULOS_CDF'!$AA$6:$AA$1005,1))</f>
        <v>0</v>
      </c>
      <c r="AF431" s="96">
        <f>IF(R431=0,0,COUNTIFS('VÍNCULOS_CDF'!$R$6:$R$1005,A431,'VÍNCULOS_CDF'!$Y$6:$Y$1005,1))</f>
        <v>0</v>
      </c>
      <c r="AG431" s="96" t="str">
        <f>IF(AND(R431=1,S431&lt;&gt;"",C431&lt;&gt;""),S431&amp;"|"&amp;C431&amp;"|"&amp;G431&amp;"|"&amp;H431,"")</f>
        <v/>
      </c>
      <c r="AH431" s="96">
        <f>IF(AG431="",0,IF(SUMPRODUCT(--($AG$6:$AG$1005=AG431))&gt;1,1,0))</f>
        <v>0</v>
      </c>
      <c r="AI431" s="96">
        <f>IF(R431=0,0,IF(OR(U431=0,V431=0,Y431=0,AND(AH431=1,K431&lt;&gt;"Sim")),1,0))</f>
        <v>0</v>
      </c>
      <c r="AJ431" s="96">
        <f>IF(AND(R431=1,AA431&gt;0,AB431=AA431),1,0)</f>
        <v>0</v>
      </c>
      <c r="AK431" s="96">
        <f>IF(R431=0,0,IF(AA431&gt;0,N(L431),IF(ISNUMBER(I431),I431,0)))</f>
        <v>0</v>
      </c>
      <c r="AL431" s="96">
        <f>IF(R431=0,0,IF(AND(K431&lt;&gt;"Sim",N(M431)&gt;AK431+cfg_tol),1,0))</f>
        <v>0</v>
      </c>
      <c r="AM431" s="96">
        <f>IF(R431=0,0,IF(K431="Sim",0,IF(OR(AND(AA431&gt;0,ISNUMBER(I431),ABS(I431-N(L431))&gt;cfg_tol),AL431=1),1,0)))</f>
        <v>0</v>
      </c>
      <c r="AN431" s="96">
        <f>IF(AND(R431=1,N(M431)&gt;0,OR(N(M431)&gt;=AK431-cfg_tol,K431="Sim")),1,0)</f>
        <v>0</v>
      </c>
      <c r="AO431" s="96">
        <f>IF(AND(AN431=1,AD431&gt;0,AE431=AD431,AL431=0),1,0)</f>
        <v>0</v>
      </c>
      <c r="AP431" s="96">
        <f>IF(U431=0,0,IF(AND(INDEX('MTRs'!$AX$6:$AX$505,T431)=1,Z431=0,OR(f_res="",f_res="(Todos)",C431=f_res)),1,0))</f>
        <v>0</v>
      </c>
      <c r="AQ431" s="97" t="str">
        <f>IF(U431=0,"",INDEX('MTRs'!$AZ$6:$AZ$505,T431))</f>
        <v/>
      </c>
      <c r="AR431" s="96">
        <f>IF(U431=0,0,IF(AND(INDEX('MTRs'!$BA$6:$BA$505,T431)=1,Z431=0),1,0))</f>
        <v>0</v>
      </c>
      <c r="AS431" s="96" t="str">
        <f>IF(R431=1,A431&amp;" | MTR "&amp;IF(U431=1,INDEX('MTRs'!$B$6:$B$505,T431)&amp;"","?")&amp;" | "&amp;IF(C431="","(sem resíduo)",C431),"")</f>
        <v/>
      </c>
      <c r="AT431" s="96" t="str">
        <f>IF(R431=1,COUNTIF($R$6:R431,1),"")</f>
        <v/>
      </c>
      <c r="AU431" s="96" t="str">
        <f>IF(U431=1,INDEX('MTRs'!$I$6:$I$505,T431)&amp;"","")</f>
        <v/>
      </c>
    </row>
    <row r="432">
      <c r="A432" s="89" t="inlineStr">
        <is>
          <t>IT-000427</t>
        </is>
      </c>
      <c r="B432" s="91" t="n"/>
      <c r="C432" s="91" t="n"/>
      <c r="D432" s="94" t="str">
        <f>IF(OR(R432=0,V432=0),"",INDEX('CAD_RESÍDUOS'!$E$6:$E$205,MATCH(C432,'CAD_RESÍDUOS'!$B$6:$B$205,0))&amp;"")</f>
        <v/>
      </c>
      <c r="E432" s="94" t="str">
        <f>IF(OR(R432=0,V432=0),"",INDEX('CAD_RESÍDUOS'!$C$6:$C$205,MATCH(C432,'CAD_RESÍDUOS'!$B$6:$B$205,0))&amp;"")</f>
        <v/>
      </c>
      <c r="F432" s="94" t="str">
        <f>IF(OR(R432=0,V432=0),"",INDEX('CAD_RESÍDUOS'!$G$6:$G$205,MATCH(C432,'CAD_RESÍDUOS'!$B$6:$B$205,0))&amp;"")</f>
        <v/>
      </c>
      <c r="G432" s="98" t="n"/>
      <c r="H432" s="91" t="n"/>
      <c r="I432" s="93" t="str">
        <f>IF(R432=0,"",IF(NOT(ISNUMBER(G432)),"",IF(ISNUMBER(X432),G432*X432,"UNIDADE A CONFERIR")))</f>
        <v/>
      </c>
      <c r="J432" s="91" t="n"/>
      <c r="K432" s="91" t="n"/>
      <c r="L432" s="93" t="str">
        <f>IF(R432=0,"",SUMIFS('RECEBIMENTOS'!$H$6:$H$1005,'RECEBIMENTOS'!$R$6:$R$1005,A432,'RECEBIMENTOS'!$X$6:$X$1005,1))</f>
        <v/>
      </c>
      <c r="M432" s="93" t="str">
        <f>IF(R432=0,"",SUMIFS('VÍNCULOS_CDF'!$H$6:$H$1005,'VÍNCULOS_CDF'!$R$6:$R$1005,A432,'VÍNCULOS_CDF'!$V$6:$V$1005,1))</f>
        <v/>
      </c>
      <c r="N432" s="99" t="str">
        <f>IF(OR(R432=0,AA432=0,NOT(ISNUMBER(I432))),"",I432-N(L432))</f>
        <v/>
      </c>
      <c r="O432" s="100" t="str">
        <f>IF(OR(R432=0,AK432&lt;=0),"",N(M432)/AK432)</f>
        <v/>
      </c>
      <c r="P432" s="94" t="str">
        <f>IF(R432=0,"",IF(S432="","Sem MTR associado",IF(U432=0,"MTR inexistente",IF(C432="","Resíduo não identificado",IF(V432=0,"Resíduo fora do cadastro",IF(W432=0,"Quantidade inválida",IF(H432="","Unidade não informada",IF(NOT(ISNUMBER(I432)),"Unidade a conferir",IF(AND(AH432=1,K432&lt;&gt;"Sim"),"Possível duplicidade",IF(Z432=1,"MTR cancelado",IF(AC432&gt;0,"Recebimento com alerta",IF(AA432=0,"Aguardando recebimento",IF(AB432&lt;AA432,"Recebimento a conferir",IF(AM432=1,"Quantidade a revisar",IF(AF432&gt;0,"Vínculo a revisar",IF(AD432=0,"Aguardando CDF",IF(AN432=0,"Vínculo de CDF parcial",IF(AE432&lt;AD432,"CDF a conferir","Documentação conferida"))))))))))))))))))</f>
        <v/>
      </c>
      <c r="Q432" s="93" t="str">
        <f>IF(OR(R432=0,AA432=0),"",MAX(0,N(L432)-N(M432)))</f>
        <v/>
      </c>
      <c r="R432" s="96">
        <f>IF(COUNTA(B432:C432,G432:H432,J432:K432)&gt;0,1,0)</f>
        <v>0</v>
      </c>
      <c r="S432" s="96" t="str">
        <f>IF(B432="","",TRIM(LEFT(B432,FIND(" |",B432&amp;" |")-1)))</f>
        <v/>
      </c>
      <c r="T432" s="96" t="str">
        <f>IF(S432="","",IFERROR(MATCH(S432,'MTRs'!$A$6:$A$505,0),""))</f>
        <v/>
      </c>
      <c r="U432" s="96">
        <f>IF(T432="",0,IF(INDEX('MTRs'!$Z$6:$Z$505,T432)=1,1,0))</f>
        <v>0</v>
      </c>
      <c r="V432" s="96">
        <f>IF(C432="",0,IF(ISNUMBER(MATCH(C432,'CAD_RESÍDUOS'!$B$6:$B$205,0)),1,0))</f>
        <v>0</v>
      </c>
      <c r="W432" s="96">
        <f>IF(AND(ISNUMBER(G432),G432&gt;0),1,0)</f>
        <v>0</v>
      </c>
      <c r="X432" s="96" t="str">
        <f>IF(H432="","",IFERROR(IF(ISNUMBER(INDEX(cfg_fac,MATCH(H432,cfg_units,0))),IF(INDEX(cfg_fac,MATCH(H432,cfg_units,0))&gt;0,INDEX(cfg_fac,MATCH(H432,cfg_units,0)),""),""),""))</f>
        <v/>
      </c>
      <c r="Y432" s="96">
        <f>IF(AND(W432=1,ISNUMBER(I432)),1,0)</f>
        <v>0</v>
      </c>
      <c r="Z432" s="96">
        <f>IF(U432=1,INDEX('MTRs'!$AA$6:$AA$505,T432),0)</f>
        <v>0</v>
      </c>
      <c r="AA432" s="96">
        <f>IF(R432=0,0,COUNTIFS('RECEBIMENTOS'!$R$6:$R$1005,A432,'RECEBIMENTOS'!$Q$6:$Q$1005,1))</f>
        <v>0</v>
      </c>
      <c r="AB432" s="96">
        <f>IF(R432=0,0,COUNTIFS('RECEBIMENTOS'!$R$6:$R$1005,A432,'RECEBIMENTOS'!$Z$6:$Z$1005,1))</f>
        <v>0</v>
      </c>
      <c r="AC432" s="96">
        <f>IF(R432=0,0,COUNTIFS('RECEBIMENTOS'!$R$6:$R$1005,A432,'RECEBIMENTOS'!$Y$6:$Y$1005,1))</f>
        <v>0</v>
      </c>
      <c r="AD432" s="96">
        <f>IF(R432=0,0,COUNTIFS('VÍNCULOS_CDF'!$R$6:$R$1005,A432,'VÍNCULOS_CDF'!$N$6:$N$1005,1))</f>
        <v>0</v>
      </c>
      <c r="AE432" s="96">
        <f>IF(R432=0,0,COUNTIFS('VÍNCULOS_CDF'!$R$6:$R$1005,A432,'VÍNCULOS_CDF'!$AA$6:$AA$1005,1))</f>
        <v>0</v>
      </c>
      <c r="AF432" s="96">
        <f>IF(R432=0,0,COUNTIFS('VÍNCULOS_CDF'!$R$6:$R$1005,A432,'VÍNCULOS_CDF'!$Y$6:$Y$1005,1))</f>
        <v>0</v>
      </c>
      <c r="AG432" s="96" t="str">
        <f>IF(AND(R432=1,S432&lt;&gt;"",C432&lt;&gt;""),S432&amp;"|"&amp;C432&amp;"|"&amp;G432&amp;"|"&amp;H432,"")</f>
        <v/>
      </c>
      <c r="AH432" s="96">
        <f>IF(AG432="",0,IF(SUMPRODUCT(--($AG$6:$AG$1005=AG432))&gt;1,1,0))</f>
        <v>0</v>
      </c>
      <c r="AI432" s="96">
        <f>IF(R432=0,0,IF(OR(U432=0,V432=0,Y432=0,AND(AH432=1,K432&lt;&gt;"Sim")),1,0))</f>
        <v>0</v>
      </c>
      <c r="AJ432" s="96">
        <f>IF(AND(R432=1,AA432&gt;0,AB432=AA432),1,0)</f>
        <v>0</v>
      </c>
      <c r="AK432" s="96">
        <f>IF(R432=0,0,IF(AA432&gt;0,N(L432),IF(ISNUMBER(I432),I432,0)))</f>
        <v>0</v>
      </c>
      <c r="AL432" s="96">
        <f>IF(R432=0,0,IF(AND(K432&lt;&gt;"Sim",N(M432)&gt;AK432+cfg_tol),1,0))</f>
        <v>0</v>
      </c>
      <c r="AM432" s="96">
        <f>IF(R432=0,0,IF(K432="Sim",0,IF(OR(AND(AA432&gt;0,ISNUMBER(I432),ABS(I432-N(L432))&gt;cfg_tol),AL432=1),1,0)))</f>
        <v>0</v>
      </c>
      <c r="AN432" s="96">
        <f>IF(AND(R432=1,N(M432)&gt;0,OR(N(M432)&gt;=AK432-cfg_tol,K432="Sim")),1,0)</f>
        <v>0</v>
      </c>
      <c r="AO432" s="96">
        <f>IF(AND(AN432=1,AD432&gt;0,AE432=AD432,AL432=0),1,0)</f>
        <v>0</v>
      </c>
      <c r="AP432" s="96">
        <f>IF(U432=0,0,IF(AND(INDEX('MTRs'!$AX$6:$AX$505,T432)=1,Z432=0,OR(f_res="",f_res="(Todos)",C432=f_res)),1,0))</f>
        <v>0</v>
      </c>
      <c r="AQ432" s="97" t="str">
        <f>IF(U432=0,"",INDEX('MTRs'!$AZ$6:$AZ$505,T432))</f>
        <v/>
      </c>
      <c r="AR432" s="96">
        <f>IF(U432=0,0,IF(AND(INDEX('MTRs'!$BA$6:$BA$505,T432)=1,Z432=0),1,0))</f>
        <v>0</v>
      </c>
      <c r="AS432" s="96" t="str">
        <f>IF(R432=1,A432&amp;" | MTR "&amp;IF(U432=1,INDEX('MTRs'!$B$6:$B$505,T432)&amp;"","?")&amp;" | "&amp;IF(C432="","(sem resíduo)",C432),"")</f>
        <v/>
      </c>
      <c r="AT432" s="96" t="str">
        <f>IF(R432=1,COUNTIF($R$6:R432,1),"")</f>
        <v/>
      </c>
      <c r="AU432" s="96" t="str">
        <f>IF(U432=1,INDEX('MTRs'!$I$6:$I$505,T432)&amp;"","")</f>
        <v/>
      </c>
    </row>
    <row r="433">
      <c r="A433" s="89" t="inlineStr">
        <is>
          <t>IT-000428</t>
        </is>
      </c>
      <c r="B433" s="91" t="n"/>
      <c r="C433" s="91" t="n"/>
      <c r="D433" s="94" t="str">
        <f>IF(OR(R433=0,V433=0),"",INDEX('CAD_RESÍDUOS'!$E$6:$E$205,MATCH(C433,'CAD_RESÍDUOS'!$B$6:$B$205,0))&amp;"")</f>
        <v/>
      </c>
      <c r="E433" s="94" t="str">
        <f>IF(OR(R433=0,V433=0),"",INDEX('CAD_RESÍDUOS'!$C$6:$C$205,MATCH(C433,'CAD_RESÍDUOS'!$B$6:$B$205,0))&amp;"")</f>
        <v/>
      </c>
      <c r="F433" s="94" t="str">
        <f>IF(OR(R433=0,V433=0),"",INDEX('CAD_RESÍDUOS'!$G$6:$G$205,MATCH(C433,'CAD_RESÍDUOS'!$B$6:$B$205,0))&amp;"")</f>
        <v/>
      </c>
      <c r="G433" s="98" t="n"/>
      <c r="H433" s="91" t="n"/>
      <c r="I433" s="93" t="str">
        <f>IF(R433=0,"",IF(NOT(ISNUMBER(G433)),"",IF(ISNUMBER(X433),G433*X433,"UNIDADE A CONFERIR")))</f>
        <v/>
      </c>
      <c r="J433" s="91" t="n"/>
      <c r="K433" s="91" t="n"/>
      <c r="L433" s="93" t="str">
        <f>IF(R433=0,"",SUMIFS('RECEBIMENTOS'!$H$6:$H$1005,'RECEBIMENTOS'!$R$6:$R$1005,A433,'RECEBIMENTOS'!$X$6:$X$1005,1))</f>
        <v/>
      </c>
      <c r="M433" s="93" t="str">
        <f>IF(R433=0,"",SUMIFS('VÍNCULOS_CDF'!$H$6:$H$1005,'VÍNCULOS_CDF'!$R$6:$R$1005,A433,'VÍNCULOS_CDF'!$V$6:$V$1005,1))</f>
        <v/>
      </c>
      <c r="N433" s="99" t="str">
        <f>IF(OR(R433=0,AA433=0,NOT(ISNUMBER(I433))),"",I433-N(L433))</f>
        <v/>
      </c>
      <c r="O433" s="100" t="str">
        <f>IF(OR(R433=0,AK433&lt;=0),"",N(M433)/AK433)</f>
        <v/>
      </c>
      <c r="P433" s="94" t="str">
        <f>IF(R433=0,"",IF(S433="","Sem MTR associado",IF(U433=0,"MTR inexistente",IF(C433="","Resíduo não identificado",IF(V433=0,"Resíduo fora do cadastro",IF(W433=0,"Quantidade inválida",IF(H433="","Unidade não informada",IF(NOT(ISNUMBER(I433)),"Unidade a conferir",IF(AND(AH433=1,K433&lt;&gt;"Sim"),"Possível duplicidade",IF(Z433=1,"MTR cancelado",IF(AC433&gt;0,"Recebimento com alerta",IF(AA433=0,"Aguardando recebimento",IF(AB433&lt;AA433,"Recebimento a conferir",IF(AM433=1,"Quantidade a revisar",IF(AF433&gt;0,"Vínculo a revisar",IF(AD433=0,"Aguardando CDF",IF(AN433=0,"Vínculo de CDF parcial",IF(AE433&lt;AD433,"CDF a conferir","Documentação conferida"))))))))))))))))))</f>
        <v/>
      </c>
      <c r="Q433" s="93" t="str">
        <f>IF(OR(R433=0,AA433=0),"",MAX(0,N(L433)-N(M433)))</f>
        <v/>
      </c>
      <c r="R433" s="96">
        <f>IF(COUNTA(B433:C433,G433:H433,J433:K433)&gt;0,1,0)</f>
        <v>0</v>
      </c>
      <c r="S433" s="96" t="str">
        <f>IF(B433="","",TRIM(LEFT(B433,FIND(" |",B433&amp;" |")-1)))</f>
        <v/>
      </c>
      <c r="T433" s="96" t="str">
        <f>IF(S433="","",IFERROR(MATCH(S433,'MTRs'!$A$6:$A$505,0),""))</f>
        <v/>
      </c>
      <c r="U433" s="96">
        <f>IF(T433="",0,IF(INDEX('MTRs'!$Z$6:$Z$505,T433)=1,1,0))</f>
        <v>0</v>
      </c>
      <c r="V433" s="96">
        <f>IF(C433="",0,IF(ISNUMBER(MATCH(C433,'CAD_RESÍDUOS'!$B$6:$B$205,0)),1,0))</f>
        <v>0</v>
      </c>
      <c r="W433" s="96">
        <f>IF(AND(ISNUMBER(G433),G433&gt;0),1,0)</f>
        <v>0</v>
      </c>
      <c r="X433" s="96" t="str">
        <f>IF(H433="","",IFERROR(IF(ISNUMBER(INDEX(cfg_fac,MATCH(H433,cfg_units,0))),IF(INDEX(cfg_fac,MATCH(H433,cfg_units,0))&gt;0,INDEX(cfg_fac,MATCH(H433,cfg_units,0)),""),""),""))</f>
        <v/>
      </c>
      <c r="Y433" s="96">
        <f>IF(AND(W433=1,ISNUMBER(I433)),1,0)</f>
        <v>0</v>
      </c>
      <c r="Z433" s="96">
        <f>IF(U433=1,INDEX('MTRs'!$AA$6:$AA$505,T433),0)</f>
        <v>0</v>
      </c>
      <c r="AA433" s="96">
        <f>IF(R433=0,0,COUNTIFS('RECEBIMENTOS'!$R$6:$R$1005,A433,'RECEBIMENTOS'!$Q$6:$Q$1005,1))</f>
        <v>0</v>
      </c>
      <c r="AB433" s="96">
        <f>IF(R433=0,0,COUNTIFS('RECEBIMENTOS'!$R$6:$R$1005,A433,'RECEBIMENTOS'!$Z$6:$Z$1005,1))</f>
        <v>0</v>
      </c>
      <c r="AC433" s="96">
        <f>IF(R433=0,0,COUNTIFS('RECEBIMENTOS'!$R$6:$R$1005,A433,'RECEBIMENTOS'!$Y$6:$Y$1005,1))</f>
        <v>0</v>
      </c>
      <c r="AD433" s="96">
        <f>IF(R433=0,0,COUNTIFS('VÍNCULOS_CDF'!$R$6:$R$1005,A433,'VÍNCULOS_CDF'!$N$6:$N$1005,1))</f>
        <v>0</v>
      </c>
      <c r="AE433" s="96">
        <f>IF(R433=0,0,COUNTIFS('VÍNCULOS_CDF'!$R$6:$R$1005,A433,'VÍNCULOS_CDF'!$AA$6:$AA$1005,1))</f>
        <v>0</v>
      </c>
      <c r="AF433" s="96">
        <f>IF(R433=0,0,COUNTIFS('VÍNCULOS_CDF'!$R$6:$R$1005,A433,'VÍNCULOS_CDF'!$Y$6:$Y$1005,1))</f>
        <v>0</v>
      </c>
      <c r="AG433" s="96" t="str">
        <f>IF(AND(R433=1,S433&lt;&gt;"",C433&lt;&gt;""),S433&amp;"|"&amp;C433&amp;"|"&amp;G433&amp;"|"&amp;H433,"")</f>
        <v/>
      </c>
      <c r="AH433" s="96">
        <f>IF(AG433="",0,IF(SUMPRODUCT(--($AG$6:$AG$1005=AG433))&gt;1,1,0))</f>
        <v>0</v>
      </c>
      <c r="AI433" s="96">
        <f>IF(R433=0,0,IF(OR(U433=0,V433=0,Y433=0,AND(AH433=1,K433&lt;&gt;"Sim")),1,0))</f>
        <v>0</v>
      </c>
      <c r="AJ433" s="96">
        <f>IF(AND(R433=1,AA433&gt;0,AB433=AA433),1,0)</f>
        <v>0</v>
      </c>
      <c r="AK433" s="96">
        <f>IF(R433=0,0,IF(AA433&gt;0,N(L433),IF(ISNUMBER(I433),I433,0)))</f>
        <v>0</v>
      </c>
      <c r="AL433" s="96">
        <f>IF(R433=0,0,IF(AND(K433&lt;&gt;"Sim",N(M433)&gt;AK433+cfg_tol),1,0))</f>
        <v>0</v>
      </c>
      <c r="AM433" s="96">
        <f>IF(R433=0,0,IF(K433="Sim",0,IF(OR(AND(AA433&gt;0,ISNUMBER(I433),ABS(I433-N(L433))&gt;cfg_tol),AL433=1),1,0)))</f>
        <v>0</v>
      </c>
      <c r="AN433" s="96">
        <f>IF(AND(R433=1,N(M433)&gt;0,OR(N(M433)&gt;=AK433-cfg_tol,K433="Sim")),1,0)</f>
        <v>0</v>
      </c>
      <c r="AO433" s="96">
        <f>IF(AND(AN433=1,AD433&gt;0,AE433=AD433,AL433=0),1,0)</f>
        <v>0</v>
      </c>
      <c r="AP433" s="96">
        <f>IF(U433=0,0,IF(AND(INDEX('MTRs'!$AX$6:$AX$505,T433)=1,Z433=0,OR(f_res="",f_res="(Todos)",C433=f_res)),1,0))</f>
        <v>0</v>
      </c>
      <c r="AQ433" s="97" t="str">
        <f>IF(U433=0,"",INDEX('MTRs'!$AZ$6:$AZ$505,T433))</f>
        <v/>
      </c>
      <c r="AR433" s="96">
        <f>IF(U433=0,0,IF(AND(INDEX('MTRs'!$BA$6:$BA$505,T433)=1,Z433=0),1,0))</f>
        <v>0</v>
      </c>
      <c r="AS433" s="96" t="str">
        <f>IF(R433=1,A433&amp;" | MTR "&amp;IF(U433=1,INDEX('MTRs'!$B$6:$B$505,T433)&amp;"","?")&amp;" | "&amp;IF(C433="","(sem resíduo)",C433),"")</f>
        <v/>
      </c>
      <c r="AT433" s="96" t="str">
        <f>IF(R433=1,COUNTIF($R$6:R433,1),"")</f>
        <v/>
      </c>
      <c r="AU433" s="96" t="str">
        <f>IF(U433=1,INDEX('MTRs'!$I$6:$I$505,T433)&amp;"","")</f>
        <v/>
      </c>
    </row>
    <row r="434">
      <c r="A434" s="89" t="inlineStr">
        <is>
          <t>IT-000429</t>
        </is>
      </c>
      <c r="B434" s="91" t="n"/>
      <c r="C434" s="91" t="n"/>
      <c r="D434" s="94" t="str">
        <f>IF(OR(R434=0,V434=0),"",INDEX('CAD_RESÍDUOS'!$E$6:$E$205,MATCH(C434,'CAD_RESÍDUOS'!$B$6:$B$205,0))&amp;"")</f>
        <v/>
      </c>
      <c r="E434" s="94" t="str">
        <f>IF(OR(R434=0,V434=0),"",INDEX('CAD_RESÍDUOS'!$C$6:$C$205,MATCH(C434,'CAD_RESÍDUOS'!$B$6:$B$205,0))&amp;"")</f>
        <v/>
      </c>
      <c r="F434" s="94" t="str">
        <f>IF(OR(R434=0,V434=0),"",INDEX('CAD_RESÍDUOS'!$G$6:$G$205,MATCH(C434,'CAD_RESÍDUOS'!$B$6:$B$205,0))&amp;"")</f>
        <v/>
      </c>
      <c r="G434" s="98" t="n"/>
      <c r="H434" s="91" t="n"/>
      <c r="I434" s="93" t="str">
        <f>IF(R434=0,"",IF(NOT(ISNUMBER(G434)),"",IF(ISNUMBER(X434),G434*X434,"UNIDADE A CONFERIR")))</f>
        <v/>
      </c>
      <c r="J434" s="91" t="n"/>
      <c r="K434" s="91" t="n"/>
      <c r="L434" s="93" t="str">
        <f>IF(R434=0,"",SUMIFS('RECEBIMENTOS'!$H$6:$H$1005,'RECEBIMENTOS'!$R$6:$R$1005,A434,'RECEBIMENTOS'!$X$6:$X$1005,1))</f>
        <v/>
      </c>
      <c r="M434" s="93" t="str">
        <f>IF(R434=0,"",SUMIFS('VÍNCULOS_CDF'!$H$6:$H$1005,'VÍNCULOS_CDF'!$R$6:$R$1005,A434,'VÍNCULOS_CDF'!$V$6:$V$1005,1))</f>
        <v/>
      </c>
      <c r="N434" s="99" t="str">
        <f>IF(OR(R434=0,AA434=0,NOT(ISNUMBER(I434))),"",I434-N(L434))</f>
        <v/>
      </c>
      <c r="O434" s="100" t="str">
        <f>IF(OR(R434=0,AK434&lt;=0),"",N(M434)/AK434)</f>
        <v/>
      </c>
      <c r="P434" s="94" t="str">
        <f>IF(R434=0,"",IF(S434="","Sem MTR associado",IF(U434=0,"MTR inexistente",IF(C434="","Resíduo não identificado",IF(V434=0,"Resíduo fora do cadastro",IF(W434=0,"Quantidade inválida",IF(H434="","Unidade não informada",IF(NOT(ISNUMBER(I434)),"Unidade a conferir",IF(AND(AH434=1,K434&lt;&gt;"Sim"),"Possível duplicidade",IF(Z434=1,"MTR cancelado",IF(AC434&gt;0,"Recebimento com alerta",IF(AA434=0,"Aguardando recebimento",IF(AB434&lt;AA434,"Recebimento a conferir",IF(AM434=1,"Quantidade a revisar",IF(AF434&gt;0,"Vínculo a revisar",IF(AD434=0,"Aguardando CDF",IF(AN434=0,"Vínculo de CDF parcial",IF(AE434&lt;AD434,"CDF a conferir","Documentação conferida"))))))))))))))))))</f>
        <v/>
      </c>
      <c r="Q434" s="93" t="str">
        <f>IF(OR(R434=0,AA434=0),"",MAX(0,N(L434)-N(M434)))</f>
        <v/>
      </c>
      <c r="R434" s="96">
        <f>IF(COUNTA(B434:C434,G434:H434,J434:K434)&gt;0,1,0)</f>
        <v>0</v>
      </c>
      <c r="S434" s="96" t="str">
        <f>IF(B434="","",TRIM(LEFT(B434,FIND(" |",B434&amp;" |")-1)))</f>
        <v/>
      </c>
      <c r="T434" s="96" t="str">
        <f>IF(S434="","",IFERROR(MATCH(S434,'MTRs'!$A$6:$A$505,0),""))</f>
        <v/>
      </c>
      <c r="U434" s="96">
        <f>IF(T434="",0,IF(INDEX('MTRs'!$Z$6:$Z$505,T434)=1,1,0))</f>
        <v>0</v>
      </c>
      <c r="V434" s="96">
        <f>IF(C434="",0,IF(ISNUMBER(MATCH(C434,'CAD_RESÍDUOS'!$B$6:$B$205,0)),1,0))</f>
        <v>0</v>
      </c>
      <c r="W434" s="96">
        <f>IF(AND(ISNUMBER(G434),G434&gt;0),1,0)</f>
        <v>0</v>
      </c>
      <c r="X434" s="96" t="str">
        <f>IF(H434="","",IFERROR(IF(ISNUMBER(INDEX(cfg_fac,MATCH(H434,cfg_units,0))),IF(INDEX(cfg_fac,MATCH(H434,cfg_units,0))&gt;0,INDEX(cfg_fac,MATCH(H434,cfg_units,0)),""),""),""))</f>
        <v/>
      </c>
      <c r="Y434" s="96">
        <f>IF(AND(W434=1,ISNUMBER(I434)),1,0)</f>
        <v>0</v>
      </c>
      <c r="Z434" s="96">
        <f>IF(U434=1,INDEX('MTRs'!$AA$6:$AA$505,T434),0)</f>
        <v>0</v>
      </c>
      <c r="AA434" s="96">
        <f>IF(R434=0,0,COUNTIFS('RECEBIMENTOS'!$R$6:$R$1005,A434,'RECEBIMENTOS'!$Q$6:$Q$1005,1))</f>
        <v>0</v>
      </c>
      <c r="AB434" s="96">
        <f>IF(R434=0,0,COUNTIFS('RECEBIMENTOS'!$R$6:$R$1005,A434,'RECEBIMENTOS'!$Z$6:$Z$1005,1))</f>
        <v>0</v>
      </c>
      <c r="AC434" s="96">
        <f>IF(R434=0,0,COUNTIFS('RECEBIMENTOS'!$R$6:$R$1005,A434,'RECEBIMENTOS'!$Y$6:$Y$1005,1))</f>
        <v>0</v>
      </c>
      <c r="AD434" s="96">
        <f>IF(R434=0,0,COUNTIFS('VÍNCULOS_CDF'!$R$6:$R$1005,A434,'VÍNCULOS_CDF'!$N$6:$N$1005,1))</f>
        <v>0</v>
      </c>
      <c r="AE434" s="96">
        <f>IF(R434=0,0,COUNTIFS('VÍNCULOS_CDF'!$R$6:$R$1005,A434,'VÍNCULOS_CDF'!$AA$6:$AA$1005,1))</f>
        <v>0</v>
      </c>
      <c r="AF434" s="96">
        <f>IF(R434=0,0,COUNTIFS('VÍNCULOS_CDF'!$R$6:$R$1005,A434,'VÍNCULOS_CDF'!$Y$6:$Y$1005,1))</f>
        <v>0</v>
      </c>
      <c r="AG434" s="96" t="str">
        <f>IF(AND(R434=1,S434&lt;&gt;"",C434&lt;&gt;""),S434&amp;"|"&amp;C434&amp;"|"&amp;G434&amp;"|"&amp;H434,"")</f>
        <v/>
      </c>
      <c r="AH434" s="96">
        <f>IF(AG434="",0,IF(SUMPRODUCT(--($AG$6:$AG$1005=AG434))&gt;1,1,0))</f>
        <v>0</v>
      </c>
      <c r="AI434" s="96">
        <f>IF(R434=0,0,IF(OR(U434=0,V434=0,Y434=0,AND(AH434=1,K434&lt;&gt;"Sim")),1,0))</f>
        <v>0</v>
      </c>
      <c r="AJ434" s="96">
        <f>IF(AND(R434=1,AA434&gt;0,AB434=AA434),1,0)</f>
        <v>0</v>
      </c>
      <c r="AK434" s="96">
        <f>IF(R434=0,0,IF(AA434&gt;0,N(L434),IF(ISNUMBER(I434),I434,0)))</f>
        <v>0</v>
      </c>
      <c r="AL434" s="96">
        <f>IF(R434=0,0,IF(AND(K434&lt;&gt;"Sim",N(M434)&gt;AK434+cfg_tol),1,0))</f>
        <v>0</v>
      </c>
      <c r="AM434" s="96">
        <f>IF(R434=0,0,IF(K434="Sim",0,IF(OR(AND(AA434&gt;0,ISNUMBER(I434),ABS(I434-N(L434))&gt;cfg_tol),AL434=1),1,0)))</f>
        <v>0</v>
      </c>
      <c r="AN434" s="96">
        <f>IF(AND(R434=1,N(M434)&gt;0,OR(N(M434)&gt;=AK434-cfg_tol,K434="Sim")),1,0)</f>
        <v>0</v>
      </c>
      <c r="AO434" s="96">
        <f>IF(AND(AN434=1,AD434&gt;0,AE434=AD434,AL434=0),1,0)</f>
        <v>0</v>
      </c>
      <c r="AP434" s="96">
        <f>IF(U434=0,0,IF(AND(INDEX('MTRs'!$AX$6:$AX$505,T434)=1,Z434=0,OR(f_res="",f_res="(Todos)",C434=f_res)),1,0))</f>
        <v>0</v>
      </c>
      <c r="AQ434" s="97" t="str">
        <f>IF(U434=0,"",INDEX('MTRs'!$AZ$6:$AZ$505,T434))</f>
        <v/>
      </c>
      <c r="AR434" s="96">
        <f>IF(U434=0,0,IF(AND(INDEX('MTRs'!$BA$6:$BA$505,T434)=1,Z434=0),1,0))</f>
        <v>0</v>
      </c>
      <c r="AS434" s="96" t="str">
        <f>IF(R434=1,A434&amp;" | MTR "&amp;IF(U434=1,INDEX('MTRs'!$B$6:$B$505,T434)&amp;"","?")&amp;" | "&amp;IF(C434="","(sem resíduo)",C434),"")</f>
        <v/>
      </c>
      <c r="AT434" s="96" t="str">
        <f>IF(R434=1,COUNTIF($R$6:R434,1),"")</f>
        <v/>
      </c>
      <c r="AU434" s="96" t="str">
        <f>IF(U434=1,INDEX('MTRs'!$I$6:$I$505,T434)&amp;"","")</f>
        <v/>
      </c>
    </row>
    <row r="435">
      <c r="A435" s="89" t="inlineStr">
        <is>
          <t>IT-000430</t>
        </is>
      </c>
      <c r="B435" s="91" t="n"/>
      <c r="C435" s="91" t="n"/>
      <c r="D435" s="94" t="str">
        <f>IF(OR(R435=0,V435=0),"",INDEX('CAD_RESÍDUOS'!$E$6:$E$205,MATCH(C435,'CAD_RESÍDUOS'!$B$6:$B$205,0))&amp;"")</f>
        <v/>
      </c>
      <c r="E435" s="94" t="str">
        <f>IF(OR(R435=0,V435=0),"",INDEX('CAD_RESÍDUOS'!$C$6:$C$205,MATCH(C435,'CAD_RESÍDUOS'!$B$6:$B$205,0))&amp;"")</f>
        <v/>
      </c>
      <c r="F435" s="94" t="str">
        <f>IF(OR(R435=0,V435=0),"",INDEX('CAD_RESÍDUOS'!$G$6:$G$205,MATCH(C435,'CAD_RESÍDUOS'!$B$6:$B$205,0))&amp;"")</f>
        <v/>
      </c>
      <c r="G435" s="98" t="n"/>
      <c r="H435" s="91" t="n"/>
      <c r="I435" s="93" t="str">
        <f>IF(R435=0,"",IF(NOT(ISNUMBER(G435)),"",IF(ISNUMBER(X435),G435*X435,"UNIDADE A CONFERIR")))</f>
        <v/>
      </c>
      <c r="J435" s="91" t="n"/>
      <c r="K435" s="91" t="n"/>
      <c r="L435" s="93" t="str">
        <f>IF(R435=0,"",SUMIFS('RECEBIMENTOS'!$H$6:$H$1005,'RECEBIMENTOS'!$R$6:$R$1005,A435,'RECEBIMENTOS'!$X$6:$X$1005,1))</f>
        <v/>
      </c>
      <c r="M435" s="93" t="str">
        <f>IF(R435=0,"",SUMIFS('VÍNCULOS_CDF'!$H$6:$H$1005,'VÍNCULOS_CDF'!$R$6:$R$1005,A435,'VÍNCULOS_CDF'!$V$6:$V$1005,1))</f>
        <v/>
      </c>
      <c r="N435" s="99" t="str">
        <f>IF(OR(R435=0,AA435=0,NOT(ISNUMBER(I435))),"",I435-N(L435))</f>
        <v/>
      </c>
      <c r="O435" s="100" t="str">
        <f>IF(OR(R435=0,AK435&lt;=0),"",N(M435)/AK435)</f>
        <v/>
      </c>
      <c r="P435" s="94" t="str">
        <f>IF(R435=0,"",IF(S435="","Sem MTR associado",IF(U435=0,"MTR inexistente",IF(C435="","Resíduo não identificado",IF(V435=0,"Resíduo fora do cadastro",IF(W435=0,"Quantidade inválida",IF(H435="","Unidade não informada",IF(NOT(ISNUMBER(I435)),"Unidade a conferir",IF(AND(AH435=1,K435&lt;&gt;"Sim"),"Possível duplicidade",IF(Z435=1,"MTR cancelado",IF(AC435&gt;0,"Recebimento com alerta",IF(AA435=0,"Aguardando recebimento",IF(AB435&lt;AA435,"Recebimento a conferir",IF(AM435=1,"Quantidade a revisar",IF(AF435&gt;0,"Vínculo a revisar",IF(AD435=0,"Aguardando CDF",IF(AN435=0,"Vínculo de CDF parcial",IF(AE435&lt;AD435,"CDF a conferir","Documentação conferida"))))))))))))))))))</f>
        <v/>
      </c>
      <c r="Q435" s="93" t="str">
        <f>IF(OR(R435=0,AA435=0),"",MAX(0,N(L435)-N(M435)))</f>
        <v/>
      </c>
      <c r="R435" s="96">
        <f>IF(COUNTA(B435:C435,G435:H435,J435:K435)&gt;0,1,0)</f>
        <v>0</v>
      </c>
      <c r="S435" s="96" t="str">
        <f>IF(B435="","",TRIM(LEFT(B435,FIND(" |",B435&amp;" |")-1)))</f>
        <v/>
      </c>
      <c r="T435" s="96" t="str">
        <f>IF(S435="","",IFERROR(MATCH(S435,'MTRs'!$A$6:$A$505,0),""))</f>
        <v/>
      </c>
      <c r="U435" s="96">
        <f>IF(T435="",0,IF(INDEX('MTRs'!$Z$6:$Z$505,T435)=1,1,0))</f>
        <v>0</v>
      </c>
      <c r="V435" s="96">
        <f>IF(C435="",0,IF(ISNUMBER(MATCH(C435,'CAD_RESÍDUOS'!$B$6:$B$205,0)),1,0))</f>
        <v>0</v>
      </c>
      <c r="W435" s="96">
        <f>IF(AND(ISNUMBER(G435),G435&gt;0),1,0)</f>
        <v>0</v>
      </c>
      <c r="X435" s="96" t="str">
        <f>IF(H435="","",IFERROR(IF(ISNUMBER(INDEX(cfg_fac,MATCH(H435,cfg_units,0))),IF(INDEX(cfg_fac,MATCH(H435,cfg_units,0))&gt;0,INDEX(cfg_fac,MATCH(H435,cfg_units,0)),""),""),""))</f>
        <v/>
      </c>
      <c r="Y435" s="96">
        <f>IF(AND(W435=1,ISNUMBER(I435)),1,0)</f>
        <v>0</v>
      </c>
      <c r="Z435" s="96">
        <f>IF(U435=1,INDEX('MTRs'!$AA$6:$AA$505,T435),0)</f>
        <v>0</v>
      </c>
      <c r="AA435" s="96">
        <f>IF(R435=0,0,COUNTIFS('RECEBIMENTOS'!$R$6:$R$1005,A435,'RECEBIMENTOS'!$Q$6:$Q$1005,1))</f>
        <v>0</v>
      </c>
      <c r="AB435" s="96">
        <f>IF(R435=0,0,COUNTIFS('RECEBIMENTOS'!$R$6:$R$1005,A435,'RECEBIMENTOS'!$Z$6:$Z$1005,1))</f>
        <v>0</v>
      </c>
      <c r="AC435" s="96">
        <f>IF(R435=0,0,COUNTIFS('RECEBIMENTOS'!$R$6:$R$1005,A435,'RECEBIMENTOS'!$Y$6:$Y$1005,1))</f>
        <v>0</v>
      </c>
      <c r="AD435" s="96">
        <f>IF(R435=0,0,COUNTIFS('VÍNCULOS_CDF'!$R$6:$R$1005,A435,'VÍNCULOS_CDF'!$N$6:$N$1005,1))</f>
        <v>0</v>
      </c>
      <c r="AE435" s="96">
        <f>IF(R435=0,0,COUNTIFS('VÍNCULOS_CDF'!$R$6:$R$1005,A435,'VÍNCULOS_CDF'!$AA$6:$AA$1005,1))</f>
        <v>0</v>
      </c>
      <c r="AF435" s="96">
        <f>IF(R435=0,0,COUNTIFS('VÍNCULOS_CDF'!$R$6:$R$1005,A435,'VÍNCULOS_CDF'!$Y$6:$Y$1005,1))</f>
        <v>0</v>
      </c>
      <c r="AG435" s="96" t="str">
        <f>IF(AND(R435=1,S435&lt;&gt;"",C435&lt;&gt;""),S435&amp;"|"&amp;C435&amp;"|"&amp;G435&amp;"|"&amp;H435,"")</f>
        <v/>
      </c>
      <c r="AH435" s="96">
        <f>IF(AG435="",0,IF(SUMPRODUCT(--($AG$6:$AG$1005=AG435))&gt;1,1,0))</f>
        <v>0</v>
      </c>
      <c r="AI435" s="96">
        <f>IF(R435=0,0,IF(OR(U435=0,V435=0,Y435=0,AND(AH435=1,K435&lt;&gt;"Sim")),1,0))</f>
        <v>0</v>
      </c>
      <c r="AJ435" s="96">
        <f>IF(AND(R435=1,AA435&gt;0,AB435=AA435),1,0)</f>
        <v>0</v>
      </c>
      <c r="AK435" s="96">
        <f>IF(R435=0,0,IF(AA435&gt;0,N(L435),IF(ISNUMBER(I435),I435,0)))</f>
        <v>0</v>
      </c>
      <c r="AL435" s="96">
        <f>IF(R435=0,0,IF(AND(K435&lt;&gt;"Sim",N(M435)&gt;AK435+cfg_tol),1,0))</f>
        <v>0</v>
      </c>
      <c r="AM435" s="96">
        <f>IF(R435=0,0,IF(K435="Sim",0,IF(OR(AND(AA435&gt;0,ISNUMBER(I435),ABS(I435-N(L435))&gt;cfg_tol),AL435=1),1,0)))</f>
        <v>0</v>
      </c>
      <c r="AN435" s="96">
        <f>IF(AND(R435=1,N(M435)&gt;0,OR(N(M435)&gt;=AK435-cfg_tol,K435="Sim")),1,0)</f>
        <v>0</v>
      </c>
      <c r="AO435" s="96">
        <f>IF(AND(AN435=1,AD435&gt;0,AE435=AD435,AL435=0),1,0)</f>
        <v>0</v>
      </c>
      <c r="AP435" s="96">
        <f>IF(U435=0,0,IF(AND(INDEX('MTRs'!$AX$6:$AX$505,T435)=1,Z435=0,OR(f_res="",f_res="(Todos)",C435=f_res)),1,0))</f>
        <v>0</v>
      </c>
      <c r="AQ435" s="97" t="str">
        <f>IF(U435=0,"",INDEX('MTRs'!$AZ$6:$AZ$505,T435))</f>
        <v/>
      </c>
      <c r="AR435" s="96">
        <f>IF(U435=0,0,IF(AND(INDEX('MTRs'!$BA$6:$BA$505,T435)=1,Z435=0),1,0))</f>
        <v>0</v>
      </c>
      <c r="AS435" s="96" t="str">
        <f>IF(R435=1,A435&amp;" | MTR "&amp;IF(U435=1,INDEX('MTRs'!$B$6:$B$505,T435)&amp;"","?")&amp;" | "&amp;IF(C435="","(sem resíduo)",C435),"")</f>
        <v/>
      </c>
      <c r="AT435" s="96" t="str">
        <f>IF(R435=1,COUNTIF($R$6:R435,1),"")</f>
        <v/>
      </c>
      <c r="AU435" s="96" t="str">
        <f>IF(U435=1,INDEX('MTRs'!$I$6:$I$505,T435)&amp;"","")</f>
        <v/>
      </c>
    </row>
    <row r="436">
      <c r="A436" s="89" t="inlineStr">
        <is>
          <t>IT-000431</t>
        </is>
      </c>
      <c r="B436" s="91" t="n"/>
      <c r="C436" s="91" t="n"/>
      <c r="D436" s="94" t="str">
        <f>IF(OR(R436=0,V436=0),"",INDEX('CAD_RESÍDUOS'!$E$6:$E$205,MATCH(C436,'CAD_RESÍDUOS'!$B$6:$B$205,0))&amp;"")</f>
        <v/>
      </c>
      <c r="E436" s="94" t="str">
        <f>IF(OR(R436=0,V436=0),"",INDEX('CAD_RESÍDUOS'!$C$6:$C$205,MATCH(C436,'CAD_RESÍDUOS'!$B$6:$B$205,0))&amp;"")</f>
        <v/>
      </c>
      <c r="F436" s="94" t="str">
        <f>IF(OR(R436=0,V436=0),"",INDEX('CAD_RESÍDUOS'!$G$6:$G$205,MATCH(C436,'CAD_RESÍDUOS'!$B$6:$B$205,0))&amp;"")</f>
        <v/>
      </c>
      <c r="G436" s="98" t="n"/>
      <c r="H436" s="91" t="n"/>
      <c r="I436" s="93" t="str">
        <f>IF(R436=0,"",IF(NOT(ISNUMBER(G436)),"",IF(ISNUMBER(X436),G436*X436,"UNIDADE A CONFERIR")))</f>
        <v/>
      </c>
      <c r="J436" s="91" t="n"/>
      <c r="K436" s="91" t="n"/>
      <c r="L436" s="93" t="str">
        <f>IF(R436=0,"",SUMIFS('RECEBIMENTOS'!$H$6:$H$1005,'RECEBIMENTOS'!$R$6:$R$1005,A436,'RECEBIMENTOS'!$X$6:$X$1005,1))</f>
        <v/>
      </c>
      <c r="M436" s="93" t="str">
        <f>IF(R436=0,"",SUMIFS('VÍNCULOS_CDF'!$H$6:$H$1005,'VÍNCULOS_CDF'!$R$6:$R$1005,A436,'VÍNCULOS_CDF'!$V$6:$V$1005,1))</f>
        <v/>
      </c>
      <c r="N436" s="99" t="str">
        <f>IF(OR(R436=0,AA436=0,NOT(ISNUMBER(I436))),"",I436-N(L436))</f>
        <v/>
      </c>
      <c r="O436" s="100" t="str">
        <f>IF(OR(R436=0,AK436&lt;=0),"",N(M436)/AK436)</f>
        <v/>
      </c>
      <c r="P436" s="94" t="str">
        <f>IF(R436=0,"",IF(S436="","Sem MTR associado",IF(U436=0,"MTR inexistente",IF(C436="","Resíduo não identificado",IF(V436=0,"Resíduo fora do cadastro",IF(W436=0,"Quantidade inválida",IF(H436="","Unidade não informada",IF(NOT(ISNUMBER(I436)),"Unidade a conferir",IF(AND(AH436=1,K436&lt;&gt;"Sim"),"Possível duplicidade",IF(Z436=1,"MTR cancelado",IF(AC436&gt;0,"Recebimento com alerta",IF(AA436=0,"Aguardando recebimento",IF(AB436&lt;AA436,"Recebimento a conferir",IF(AM436=1,"Quantidade a revisar",IF(AF436&gt;0,"Vínculo a revisar",IF(AD436=0,"Aguardando CDF",IF(AN436=0,"Vínculo de CDF parcial",IF(AE436&lt;AD436,"CDF a conferir","Documentação conferida"))))))))))))))))))</f>
        <v/>
      </c>
      <c r="Q436" s="93" t="str">
        <f>IF(OR(R436=0,AA436=0),"",MAX(0,N(L436)-N(M436)))</f>
        <v/>
      </c>
      <c r="R436" s="96">
        <f>IF(COUNTA(B436:C436,G436:H436,J436:K436)&gt;0,1,0)</f>
        <v>0</v>
      </c>
      <c r="S436" s="96" t="str">
        <f>IF(B436="","",TRIM(LEFT(B436,FIND(" |",B436&amp;" |")-1)))</f>
        <v/>
      </c>
      <c r="T436" s="96" t="str">
        <f>IF(S436="","",IFERROR(MATCH(S436,'MTRs'!$A$6:$A$505,0),""))</f>
        <v/>
      </c>
      <c r="U436" s="96">
        <f>IF(T436="",0,IF(INDEX('MTRs'!$Z$6:$Z$505,T436)=1,1,0))</f>
        <v>0</v>
      </c>
      <c r="V436" s="96">
        <f>IF(C436="",0,IF(ISNUMBER(MATCH(C436,'CAD_RESÍDUOS'!$B$6:$B$205,0)),1,0))</f>
        <v>0</v>
      </c>
      <c r="W436" s="96">
        <f>IF(AND(ISNUMBER(G436),G436&gt;0),1,0)</f>
        <v>0</v>
      </c>
      <c r="X436" s="96" t="str">
        <f>IF(H436="","",IFERROR(IF(ISNUMBER(INDEX(cfg_fac,MATCH(H436,cfg_units,0))),IF(INDEX(cfg_fac,MATCH(H436,cfg_units,0))&gt;0,INDEX(cfg_fac,MATCH(H436,cfg_units,0)),""),""),""))</f>
        <v/>
      </c>
      <c r="Y436" s="96">
        <f>IF(AND(W436=1,ISNUMBER(I436)),1,0)</f>
        <v>0</v>
      </c>
      <c r="Z436" s="96">
        <f>IF(U436=1,INDEX('MTRs'!$AA$6:$AA$505,T436),0)</f>
        <v>0</v>
      </c>
      <c r="AA436" s="96">
        <f>IF(R436=0,0,COUNTIFS('RECEBIMENTOS'!$R$6:$R$1005,A436,'RECEBIMENTOS'!$Q$6:$Q$1005,1))</f>
        <v>0</v>
      </c>
      <c r="AB436" s="96">
        <f>IF(R436=0,0,COUNTIFS('RECEBIMENTOS'!$R$6:$R$1005,A436,'RECEBIMENTOS'!$Z$6:$Z$1005,1))</f>
        <v>0</v>
      </c>
      <c r="AC436" s="96">
        <f>IF(R436=0,0,COUNTIFS('RECEBIMENTOS'!$R$6:$R$1005,A436,'RECEBIMENTOS'!$Y$6:$Y$1005,1))</f>
        <v>0</v>
      </c>
      <c r="AD436" s="96">
        <f>IF(R436=0,0,COUNTIFS('VÍNCULOS_CDF'!$R$6:$R$1005,A436,'VÍNCULOS_CDF'!$N$6:$N$1005,1))</f>
        <v>0</v>
      </c>
      <c r="AE436" s="96">
        <f>IF(R436=0,0,COUNTIFS('VÍNCULOS_CDF'!$R$6:$R$1005,A436,'VÍNCULOS_CDF'!$AA$6:$AA$1005,1))</f>
        <v>0</v>
      </c>
      <c r="AF436" s="96">
        <f>IF(R436=0,0,COUNTIFS('VÍNCULOS_CDF'!$R$6:$R$1005,A436,'VÍNCULOS_CDF'!$Y$6:$Y$1005,1))</f>
        <v>0</v>
      </c>
      <c r="AG436" s="96" t="str">
        <f>IF(AND(R436=1,S436&lt;&gt;"",C436&lt;&gt;""),S436&amp;"|"&amp;C436&amp;"|"&amp;G436&amp;"|"&amp;H436,"")</f>
        <v/>
      </c>
      <c r="AH436" s="96">
        <f>IF(AG436="",0,IF(SUMPRODUCT(--($AG$6:$AG$1005=AG436))&gt;1,1,0))</f>
        <v>0</v>
      </c>
      <c r="AI436" s="96">
        <f>IF(R436=0,0,IF(OR(U436=0,V436=0,Y436=0,AND(AH436=1,K436&lt;&gt;"Sim")),1,0))</f>
        <v>0</v>
      </c>
      <c r="AJ436" s="96">
        <f>IF(AND(R436=1,AA436&gt;0,AB436=AA436),1,0)</f>
        <v>0</v>
      </c>
      <c r="AK436" s="96">
        <f>IF(R436=0,0,IF(AA436&gt;0,N(L436),IF(ISNUMBER(I436),I436,0)))</f>
        <v>0</v>
      </c>
      <c r="AL436" s="96">
        <f>IF(R436=0,0,IF(AND(K436&lt;&gt;"Sim",N(M436)&gt;AK436+cfg_tol),1,0))</f>
        <v>0</v>
      </c>
      <c r="AM436" s="96">
        <f>IF(R436=0,0,IF(K436="Sim",0,IF(OR(AND(AA436&gt;0,ISNUMBER(I436),ABS(I436-N(L436))&gt;cfg_tol),AL436=1),1,0)))</f>
        <v>0</v>
      </c>
      <c r="AN436" s="96">
        <f>IF(AND(R436=1,N(M436)&gt;0,OR(N(M436)&gt;=AK436-cfg_tol,K436="Sim")),1,0)</f>
        <v>0</v>
      </c>
      <c r="AO436" s="96">
        <f>IF(AND(AN436=1,AD436&gt;0,AE436=AD436,AL436=0),1,0)</f>
        <v>0</v>
      </c>
      <c r="AP436" s="96">
        <f>IF(U436=0,0,IF(AND(INDEX('MTRs'!$AX$6:$AX$505,T436)=1,Z436=0,OR(f_res="",f_res="(Todos)",C436=f_res)),1,0))</f>
        <v>0</v>
      </c>
      <c r="AQ436" s="97" t="str">
        <f>IF(U436=0,"",INDEX('MTRs'!$AZ$6:$AZ$505,T436))</f>
        <v/>
      </c>
      <c r="AR436" s="96">
        <f>IF(U436=0,0,IF(AND(INDEX('MTRs'!$BA$6:$BA$505,T436)=1,Z436=0),1,0))</f>
        <v>0</v>
      </c>
      <c r="AS436" s="96" t="str">
        <f>IF(R436=1,A436&amp;" | MTR "&amp;IF(U436=1,INDEX('MTRs'!$B$6:$B$505,T436)&amp;"","?")&amp;" | "&amp;IF(C436="","(sem resíduo)",C436),"")</f>
        <v/>
      </c>
      <c r="AT436" s="96" t="str">
        <f>IF(R436=1,COUNTIF($R$6:R436,1),"")</f>
        <v/>
      </c>
      <c r="AU436" s="96" t="str">
        <f>IF(U436=1,INDEX('MTRs'!$I$6:$I$505,T436)&amp;"","")</f>
        <v/>
      </c>
    </row>
    <row r="437">
      <c r="A437" s="89" t="inlineStr">
        <is>
          <t>IT-000432</t>
        </is>
      </c>
      <c r="B437" s="91" t="n"/>
      <c r="C437" s="91" t="n"/>
      <c r="D437" s="94" t="str">
        <f>IF(OR(R437=0,V437=0),"",INDEX('CAD_RESÍDUOS'!$E$6:$E$205,MATCH(C437,'CAD_RESÍDUOS'!$B$6:$B$205,0))&amp;"")</f>
        <v/>
      </c>
      <c r="E437" s="94" t="str">
        <f>IF(OR(R437=0,V437=0),"",INDEX('CAD_RESÍDUOS'!$C$6:$C$205,MATCH(C437,'CAD_RESÍDUOS'!$B$6:$B$205,0))&amp;"")</f>
        <v/>
      </c>
      <c r="F437" s="94" t="str">
        <f>IF(OR(R437=0,V437=0),"",INDEX('CAD_RESÍDUOS'!$G$6:$G$205,MATCH(C437,'CAD_RESÍDUOS'!$B$6:$B$205,0))&amp;"")</f>
        <v/>
      </c>
      <c r="G437" s="98" t="n"/>
      <c r="H437" s="91" t="n"/>
      <c r="I437" s="93" t="str">
        <f>IF(R437=0,"",IF(NOT(ISNUMBER(G437)),"",IF(ISNUMBER(X437),G437*X437,"UNIDADE A CONFERIR")))</f>
        <v/>
      </c>
      <c r="J437" s="91" t="n"/>
      <c r="K437" s="91" t="n"/>
      <c r="L437" s="93" t="str">
        <f>IF(R437=0,"",SUMIFS('RECEBIMENTOS'!$H$6:$H$1005,'RECEBIMENTOS'!$R$6:$R$1005,A437,'RECEBIMENTOS'!$X$6:$X$1005,1))</f>
        <v/>
      </c>
      <c r="M437" s="93" t="str">
        <f>IF(R437=0,"",SUMIFS('VÍNCULOS_CDF'!$H$6:$H$1005,'VÍNCULOS_CDF'!$R$6:$R$1005,A437,'VÍNCULOS_CDF'!$V$6:$V$1005,1))</f>
        <v/>
      </c>
      <c r="N437" s="99" t="str">
        <f>IF(OR(R437=0,AA437=0,NOT(ISNUMBER(I437))),"",I437-N(L437))</f>
        <v/>
      </c>
      <c r="O437" s="100" t="str">
        <f>IF(OR(R437=0,AK437&lt;=0),"",N(M437)/AK437)</f>
        <v/>
      </c>
      <c r="P437" s="94" t="str">
        <f>IF(R437=0,"",IF(S437="","Sem MTR associado",IF(U437=0,"MTR inexistente",IF(C437="","Resíduo não identificado",IF(V437=0,"Resíduo fora do cadastro",IF(W437=0,"Quantidade inválida",IF(H437="","Unidade não informada",IF(NOT(ISNUMBER(I437)),"Unidade a conferir",IF(AND(AH437=1,K437&lt;&gt;"Sim"),"Possível duplicidade",IF(Z437=1,"MTR cancelado",IF(AC437&gt;0,"Recebimento com alerta",IF(AA437=0,"Aguardando recebimento",IF(AB437&lt;AA437,"Recebimento a conferir",IF(AM437=1,"Quantidade a revisar",IF(AF437&gt;0,"Vínculo a revisar",IF(AD437=0,"Aguardando CDF",IF(AN437=0,"Vínculo de CDF parcial",IF(AE437&lt;AD437,"CDF a conferir","Documentação conferida"))))))))))))))))))</f>
        <v/>
      </c>
      <c r="Q437" s="93" t="str">
        <f>IF(OR(R437=0,AA437=0),"",MAX(0,N(L437)-N(M437)))</f>
        <v/>
      </c>
      <c r="R437" s="96">
        <f>IF(COUNTA(B437:C437,G437:H437,J437:K437)&gt;0,1,0)</f>
        <v>0</v>
      </c>
      <c r="S437" s="96" t="str">
        <f>IF(B437="","",TRIM(LEFT(B437,FIND(" |",B437&amp;" |")-1)))</f>
        <v/>
      </c>
      <c r="T437" s="96" t="str">
        <f>IF(S437="","",IFERROR(MATCH(S437,'MTRs'!$A$6:$A$505,0),""))</f>
        <v/>
      </c>
      <c r="U437" s="96">
        <f>IF(T437="",0,IF(INDEX('MTRs'!$Z$6:$Z$505,T437)=1,1,0))</f>
        <v>0</v>
      </c>
      <c r="V437" s="96">
        <f>IF(C437="",0,IF(ISNUMBER(MATCH(C437,'CAD_RESÍDUOS'!$B$6:$B$205,0)),1,0))</f>
        <v>0</v>
      </c>
      <c r="W437" s="96">
        <f>IF(AND(ISNUMBER(G437),G437&gt;0),1,0)</f>
        <v>0</v>
      </c>
      <c r="X437" s="96" t="str">
        <f>IF(H437="","",IFERROR(IF(ISNUMBER(INDEX(cfg_fac,MATCH(H437,cfg_units,0))),IF(INDEX(cfg_fac,MATCH(H437,cfg_units,0))&gt;0,INDEX(cfg_fac,MATCH(H437,cfg_units,0)),""),""),""))</f>
        <v/>
      </c>
      <c r="Y437" s="96">
        <f>IF(AND(W437=1,ISNUMBER(I437)),1,0)</f>
        <v>0</v>
      </c>
      <c r="Z437" s="96">
        <f>IF(U437=1,INDEX('MTRs'!$AA$6:$AA$505,T437),0)</f>
        <v>0</v>
      </c>
      <c r="AA437" s="96">
        <f>IF(R437=0,0,COUNTIFS('RECEBIMENTOS'!$R$6:$R$1005,A437,'RECEBIMENTOS'!$Q$6:$Q$1005,1))</f>
        <v>0</v>
      </c>
      <c r="AB437" s="96">
        <f>IF(R437=0,0,COUNTIFS('RECEBIMENTOS'!$R$6:$R$1005,A437,'RECEBIMENTOS'!$Z$6:$Z$1005,1))</f>
        <v>0</v>
      </c>
      <c r="AC437" s="96">
        <f>IF(R437=0,0,COUNTIFS('RECEBIMENTOS'!$R$6:$R$1005,A437,'RECEBIMENTOS'!$Y$6:$Y$1005,1))</f>
        <v>0</v>
      </c>
      <c r="AD437" s="96">
        <f>IF(R437=0,0,COUNTIFS('VÍNCULOS_CDF'!$R$6:$R$1005,A437,'VÍNCULOS_CDF'!$N$6:$N$1005,1))</f>
        <v>0</v>
      </c>
      <c r="AE437" s="96">
        <f>IF(R437=0,0,COUNTIFS('VÍNCULOS_CDF'!$R$6:$R$1005,A437,'VÍNCULOS_CDF'!$AA$6:$AA$1005,1))</f>
        <v>0</v>
      </c>
      <c r="AF437" s="96">
        <f>IF(R437=0,0,COUNTIFS('VÍNCULOS_CDF'!$R$6:$R$1005,A437,'VÍNCULOS_CDF'!$Y$6:$Y$1005,1))</f>
        <v>0</v>
      </c>
      <c r="AG437" s="96" t="str">
        <f>IF(AND(R437=1,S437&lt;&gt;"",C437&lt;&gt;""),S437&amp;"|"&amp;C437&amp;"|"&amp;G437&amp;"|"&amp;H437,"")</f>
        <v/>
      </c>
      <c r="AH437" s="96">
        <f>IF(AG437="",0,IF(SUMPRODUCT(--($AG$6:$AG$1005=AG437))&gt;1,1,0))</f>
        <v>0</v>
      </c>
      <c r="AI437" s="96">
        <f>IF(R437=0,0,IF(OR(U437=0,V437=0,Y437=0,AND(AH437=1,K437&lt;&gt;"Sim")),1,0))</f>
        <v>0</v>
      </c>
      <c r="AJ437" s="96">
        <f>IF(AND(R437=1,AA437&gt;0,AB437=AA437),1,0)</f>
        <v>0</v>
      </c>
      <c r="AK437" s="96">
        <f>IF(R437=0,0,IF(AA437&gt;0,N(L437),IF(ISNUMBER(I437),I437,0)))</f>
        <v>0</v>
      </c>
      <c r="AL437" s="96">
        <f>IF(R437=0,0,IF(AND(K437&lt;&gt;"Sim",N(M437)&gt;AK437+cfg_tol),1,0))</f>
        <v>0</v>
      </c>
      <c r="AM437" s="96">
        <f>IF(R437=0,0,IF(K437="Sim",0,IF(OR(AND(AA437&gt;0,ISNUMBER(I437),ABS(I437-N(L437))&gt;cfg_tol),AL437=1),1,0)))</f>
        <v>0</v>
      </c>
      <c r="AN437" s="96">
        <f>IF(AND(R437=1,N(M437)&gt;0,OR(N(M437)&gt;=AK437-cfg_tol,K437="Sim")),1,0)</f>
        <v>0</v>
      </c>
      <c r="AO437" s="96">
        <f>IF(AND(AN437=1,AD437&gt;0,AE437=AD437,AL437=0),1,0)</f>
        <v>0</v>
      </c>
      <c r="AP437" s="96">
        <f>IF(U437=0,0,IF(AND(INDEX('MTRs'!$AX$6:$AX$505,T437)=1,Z437=0,OR(f_res="",f_res="(Todos)",C437=f_res)),1,0))</f>
        <v>0</v>
      </c>
      <c r="AQ437" s="97" t="str">
        <f>IF(U437=0,"",INDEX('MTRs'!$AZ$6:$AZ$505,T437))</f>
        <v/>
      </c>
      <c r="AR437" s="96">
        <f>IF(U437=0,0,IF(AND(INDEX('MTRs'!$BA$6:$BA$505,T437)=1,Z437=0),1,0))</f>
        <v>0</v>
      </c>
      <c r="AS437" s="96" t="str">
        <f>IF(R437=1,A437&amp;" | MTR "&amp;IF(U437=1,INDEX('MTRs'!$B$6:$B$505,T437)&amp;"","?")&amp;" | "&amp;IF(C437="","(sem resíduo)",C437),"")</f>
        <v/>
      </c>
      <c r="AT437" s="96" t="str">
        <f>IF(R437=1,COUNTIF($R$6:R437,1),"")</f>
        <v/>
      </c>
      <c r="AU437" s="96" t="str">
        <f>IF(U437=1,INDEX('MTRs'!$I$6:$I$505,T437)&amp;"","")</f>
        <v/>
      </c>
    </row>
    <row r="438">
      <c r="A438" s="89" t="inlineStr">
        <is>
          <t>IT-000433</t>
        </is>
      </c>
      <c r="B438" s="91" t="n"/>
      <c r="C438" s="91" t="n"/>
      <c r="D438" s="94" t="str">
        <f>IF(OR(R438=0,V438=0),"",INDEX('CAD_RESÍDUOS'!$E$6:$E$205,MATCH(C438,'CAD_RESÍDUOS'!$B$6:$B$205,0))&amp;"")</f>
        <v/>
      </c>
      <c r="E438" s="94" t="str">
        <f>IF(OR(R438=0,V438=0),"",INDEX('CAD_RESÍDUOS'!$C$6:$C$205,MATCH(C438,'CAD_RESÍDUOS'!$B$6:$B$205,0))&amp;"")</f>
        <v/>
      </c>
      <c r="F438" s="94" t="str">
        <f>IF(OR(R438=0,V438=0),"",INDEX('CAD_RESÍDUOS'!$G$6:$G$205,MATCH(C438,'CAD_RESÍDUOS'!$B$6:$B$205,0))&amp;"")</f>
        <v/>
      </c>
      <c r="G438" s="98" t="n"/>
      <c r="H438" s="91" t="n"/>
      <c r="I438" s="93" t="str">
        <f>IF(R438=0,"",IF(NOT(ISNUMBER(G438)),"",IF(ISNUMBER(X438),G438*X438,"UNIDADE A CONFERIR")))</f>
        <v/>
      </c>
      <c r="J438" s="91" t="n"/>
      <c r="K438" s="91" t="n"/>
      <c r="L438" s="93" t="str">
        <f>IF(R438=0,"",SUMIFS('RECEBIMENTOS'!$H$6:$H$1005,'RECEBIMENTOS'!$R$6:$R$1005,A438,'RECEBIMENTOS'!$X$6:$X$1005,1))</f>
        <v/>
      </c>
      <c r="M438" s="93" t="str">
        <f>IF(R438=0,"",SUMIFS('VÍNCULOS_CDF'!$H$6:$H$1005,'VÍNCULOS_CDF'!$R$6:$R$1005,A438,'VÍNCULOS_CDF'!$V$6:$V$1005,1))</f>
        <v/>
      </c>
      <c r="N438" s="99" t="str">
        <f>IF(OR(R438=0,AA438=0,NOT(ISNUMBER(I438))),"",I438-N(L438))</f>
        <v/>
      </c>
      <c r="O438" s="100" t="str">
        <f>IF(OR(R438=0,AK438&lt;=0),"",N(M438)/AK438)</f>
        <v/>
      </c>
      <c r="P438" s="94" t="str">
        <f>IF(R438=0,"",IF(S438="","Sem MTR associado",IF(U438=0,"MTR inexistente",IF(C438="","Resíduo não identificado",IF(V438=0,"Resíduo fora do cadastro",IF(W438=0,"Quantidade inválida",IF(H438="","Unidade não informada",IF(NOT(ISNUMBER(I438)),"Unidade a conferir",IF(AND(AH438=1,K438&lt;&gt;"Sim"),"Possível duplicidade",IF(Z438=1,"MTR cancelado",IF(AC438&gt;0,"Recebimento com alerta",IF(AA438=0,"Aguardando recebimento",IF(AB438&lt;AA438,"Recebimento a conferir",IF(AM438=1,"Quantidade a revisar",IF(AF438&gt;0,"Vínculo a revisar",IF(AD438=0,"Aguardando CDF",IF(AN438=0,"Vínculo de CDF parcial",IF(AE438&lt;AD438,"CDF a conferir","Documentação conferida"))))))))))))))))))</f>
        <v/>
      </c>
      <c r="Q438" s="93" t="str">
        <f>IF(OR(R438=0,AA438=0),"",MAX(0,N(L438)-N(M438)))</f>
        <v/>
      </c>
      <c r="R438" s="96">
        <f>IF(COUNTA(B438:C438,G438:H438,J438:K438)&gt;0,1,0)</f>
        <v>0</v>
      </c>
      <c r="S438" s="96" t="str">
        <f>IF(B438="","",TRIM(LEFT(B438,FIND(" |",B438&amp;" |")-1)))</f>
        <v/>
      </c>
      <c r="T438" s="96" t="str">
        <f>IF(S438="","",IFERROR(MATCH(S438,'MTRs'!$A$6:$A$505,0),""))</f>
        <v/>
      </c>
      <c r="U438" s="96">
        <f>IF(T438="",0,IF(INDEX('MTRs'!$Z$6:$Z$505,T438)=1,1,0))</f>
        <v>0</v>
      </c>
      <c r="V438" s="96">
        <f>IF(C438="",0,IF(ISNUMBER(MATCH(C438,'CAD_RESÍDUOS'!$B$6:$B$205,0)),1,0))</f>
        <v>0</v>
      </c>
      <c r="W438" s="96">
        <f>IF(AND(ISNUMBER(G438),G438&gt;0),1,0)</f>
        <v>0</v>
      </c>
      <c r="X438" s="96" t="str">
        <f>IF(H438="","",IFERROR(IF(ISNUMBER(INDEX(cfg_fac,MATCH(H438,cfg_units,0))),IF(INDEX(cfg_fac,MATCH(H438,cfg_units,0))&gt;0,INDEX(cfg_fac,MATCH(H438,cfg_units,0)),""),""),""))</f>
        <v/>
      </c>
      <c r="Y438" s="96">
        <f>IF(AND(W438=1,ISNUMBER(I438)),1,0)</f>
        <v>0</v>
      </c>
      <c r="Z438" s="96">
        <f>IF(U438=1,INDEX('MTRs'!$AA$6:$AA$505,T438),0)</f>
        <v>0</v>
      </c>
      <c r="AA438" s="96">
        <f>IF(R438=0,0,COUNTIFS('RECEBIMENTOS'!$R$6:$R$1005,A438,'RECEBIMENTOS'!$Q$6:$Q$1005,1))</f>
        <v>0</v>
      </c>
      <c r="AB438" s="96">
        <f>IF(R438=0,0,COUNTIFS('RECEBIMENTOS'!$R$6:$R$1005,A438,'RECEBIMENTOS'!$Z$6:$Z$1005,1))</f>
        <v>0</v>
      </c>
      <c r="AC438" s="96">
        <f>IF(R438=0,0,COUNTIFS('RECEBIMENTOS'!$R$6:$R$1005,A438,'RECEBIMENTOS'!$Y$6:$Y$1005,1))</f>
        <v>0</v>
      </c>
      <c r="AD438" s="96">
        <f>IF(R438=0,0,COUNTIFS('VÍNCULOS_CDF'!$R$6:$R$1005,A438,'VÍNCULOS_CDF'!$N$6:$N$1005,1))</f>
        <v>0</v>
      </c>
      <c r="AE438" s="96">
        <f>IF(R438=0,0,COUNTIFS('VÍNCULOS_CDF'!$R$6:$R$1005,A438,'VÍNCULOS_CDF'!$AA$6:$AA$1005,1))</f>
        <v>0</v>
      </c>
      <c r="AF438" s="96">
        <f>IF(R438=0,0,COUNTIFS('VÍNCULOS_CDF'!$R$6:$R$1005,A438,'VÍNCULOS_CDF'!$Y$6:$Y$1005,1))</f>
        <v>0</v>
      </c>
      <c r="AG438" s="96" t="str">
        <f>IF(AND(R438=1,S438&lt;&gt;"",C438&lt;&gt;""),S438&amp;"|"&amp;C438&amp;"|"&amp;G438&amp;"|"&amp;H438,"")</f>
        <v/>
      </c>
      <c r="AH438" s="96">
        <f>IF(AG438="",0,IF(SUMPRODUCT(--($AG$6:$AG$1005=AG438))&gt;1,1,0))</f>
        <v>0</v>
      </c>
      <c r="AI438" s="96">
        <f>IF(R438=0,0,IF(OR(U438=0,V438=0,Y438=0,AND(AH438=1,K438&lt;&gt;"Sim")),1,0))</f>
        <v>0</v>
      </c>
      <c r="AJ438" s="96">
        <f>IF(AND(R438=1,AA438&gt;0,AB438=AA438),1,0)</f>
        <v>0</v>
      </c>
      <c r="AK438" s="96">
        <f>IF(R438=0,0,IF(AA438&gt;0,N(L438),IF(ISNUMBER(I438),I438,0)))</f>
        <v>0</v>
      </c>
      <c r="AL438" s="96">
        <f>IF(R438=0,0,IF(AND(K438&lt;&gt;"Sim",N(M438)&gt;AK438+cfg_tol),1,0))</f>
        <v>0</v>
      </c>
      <c r="AM438" s="96">
        <f>IF(R438=0,0,IF(K438="Sim",0,IF(OR(AND(AA438&gt;0,ISNUMBER(I438),ABS(I438-N(L438))&gt;cfg_tol),AL438=1),1,0)))</f>
        <v>0</v>
      </c>
      <c r="AN438" s="96">
        <f>IF(AND(R438=1,N(M438)&gt;0,OR(N(M438)&gt;=AK438-cfg_tol,K438="Sim")),1,0)</f>
        <v>0</v>
      </c>
      <c r="AO438" s="96">
        <f>IF(AND(AN438=1,AD438&gt;0,AE438=AD438,AL438=0),1,0)</f>
        <v>0</v>
      </c>
      <c r="AP438" s="96">
        <f>IF(U438=0,0,IF(AND(INDEX('MTRs'!$AX$6:$AX$505,T438)=1,Z438=0,OR(f_res="",f_res="(Todos)",C438=f_res)),1,0))</f>
        <v>0</v>
      </c>
      <c r="AQ438" s="97" t="str">
        <f>IF(U438=0,"",INDEX('MTRs'!$AZ$6:$AZ$505,T438))</f>
        <v/>
      </c>
      <c r="AR438" s="96">
        <f>IF(U438=0,0,IF(AND(INDEX('MTRs'!$BA$6:$BA$505,T438)=1,Z438=0),1,0))</f>
        <v>0</v>
      </c>
      <c r="AS438" s="96" t="str">
        <f>IF(R438=1,A438&amp;" | MTR "&amp;IF(U438=1,INDEX('MTRs'!$B$6:$B$505,T438)&amp;"","?")&amp;" | "&amp;IF(C438="","(sem resíduo)",C438),"")</f>
        <v/>
      </c>
      <c r="AT438" s="96" t="str">
        <f>IF(R438=1,COUNTIF($R$6:R438,1),"")</f>
        <v/>
      </c>
      <c r="AU438" s="96" t="str">
        <f>IF(U438=1,INDEX('MTRs'!$I$6:$I$505,T438)&amp;"","")</f>
        <v/>
      </c>
    </row>
    <row r="439">
      <c r="A439" s="89" t="inlineStr">
        <is>
          <t>IT-000434</t>
        </is>
      </c>
      <c r="B439" s="91" t="n"/>
      <c r="C439" s="91" t="n"/>
      <c r="D439" s="94" t="str">
        <f>IF(OR(R439=0,V439=0),"",INDEX('CAD_RESÍDUOS'!$E$6:$E$205,MATCH(C439,'CAD_RESÍDUOS'!$B$6:$B$205,0))&amp;"")</f>
        <v/>
      </c>
      <c r="E439" s="94" t="str">
        <f>IF(OR(R439=0,V439=0),"",INDEX('CAD_RESÍDUOS'!$C$6:$C$205,MATCH(C439,'CAD_RESÍDUOS'!$B$6:$B$205,0))&amp;"")</f>
        <v/>
      </c>
      <c r="F439" s="94" t="str">
        <f>IF(OR(R439=0,V439=0),"",INDEX('CAD_RESÍDUOS'!$G$6:$G$205,MATCH(C439,'CAD_RESÍDUOS'!$B$6:$B$205,0))&amp;"")</f>
        <v/>
      </c>
      <c r="G439" s="98" t="n"/>
      <c r="H439" s="91" t="n"/>
      <c r="I439" s="93" t="str">
        <f>IF(R439=0,"",IF(NOT(ISNUMBER(G439)),"",IF(ISNUMBER(X439),G439*X439,"UNIDADE A CONFERIR")))</f>
        <v/>
      </c>
      <c r="J439" s="91" t="n"/>
      <c r="K439" s="91" t="n"/>
      <c r="L439" s="93" t="str">
        <f>IF(R439=0,"",SUMIFS('RECEBIMENTOS'!$H$6:$H$1005,'RECEBIMENTOS'!$R$6:$R$1005,A439,'RECEBIMENTOS'!$X$6:$X$1005,1))</f>
        <v/>
      </c>
      <c r="M439" s="93" t="str">
        <f>IF(R439=0,"",SUMIFS('VÍNCULOS_CDF'!$H$6:$H$1005,'VÍNCULOS_CDF'!$R$6:$R$1005,A439,'VÍNCULOS_CDF'!$V$6:$V$1005,1))</f>
        <v/>
      </c>
      <c r="N439" s="99" t="str">
        <f>IF(OR(R439=0,AA439=0,NOT(ISNUMBER(I439))),"",I439-N(L439))</f>
        <v/>
      </c>
      <c r="O439" s="100" t="str">
        <f>IF(OR(R439=0,AK439&lt;=0),"",N(M439)/AK439)</f>
        <v/>
      </c>
      <c r="P439" s="94" t="str">
        <f>IF(R439=0,"",IF(S439="","Sem MTR associado",IF(U439=0,"MTR inexistente",IF(C439="","Resíduo não identificado",IF(V439=0,"Resíduo fora do cadastro",IF(W439=0,"Quantidade inválida",IF(H439="","Unidade não informada",IF(NOT(ISNUMBER(I439)),"Unidade a conferir",IF(AND(AH439=1,K439&lt;&gt;"Sim"),"Possível duplicidade",IF(Z439=1,"MTR cancelado",IF(AC439&gt;0,"Recebimento com alerta",IF(AA439=0,"Aguardando recebimento",IF(AB439&lt;AA439,"Recebimento a conferir",IF(AM439=1,"Quantidade a revisar",IF(AF439&gt;0,"Vínculo a revisar",IF(AD439=0,"Aguardando CDF",IF(AN439=0,"Vínculo de CDF parcial",IF(AE439&lt;AD439,"CDF a conferir","Documentação conferida"))))))))))))))))))</f>
        <v/>
      </c>
      <c r="Q439" s="93" t="str">
        <f>IF(OR(R439=0,AA439=0),"",MAX(0,N(L439)-N(M439)))</f>
        <v/>
      </c>
      <c r="R439" s="96">
        <f>IF(COUNTA(B439:C439,G439:H439,J439:K439)&gt;0,1,0)</f>
        <v>0</v>
      </c>
      <c r="S439" s="96" t="str">
        <f>IF(B439="","",TRIM(LEFT(B439,FIND(" |",B439&amp;" |")-1)))</f>
        <v/>
      </c>
      <c r="T439" s="96" t="str">
        <f>IF(S439="","",IFERROR(MATCH(S439,'MTRs'!$A$6:$A$505,0),""))</f>
        <v/>
      </c>
      <c r="U439" s="96">
        <f>IF(T439="",0,IF(INDEX('MTRs'!$Z$6:$Z$505,T439)=1,1,0))</f>
        <v>0</v>
      </c>
      <c r="V439" s="96">
        <f>IF(C439="",0,IF(ISNUMBER(MATCH(C439,'CAD_RESÍDUOS'!$B$6:$B$205,0)),1,0))</f>
        <v>0</v>
      </c>
      <c r="W439" s="96">
        <f>IF(AND(ISNUMBER(G439),G439&gt;0),1,0)</f>
        <v>0</v>
      </c>
      <c r="X439" s="96" t="str">
        <f>IF(H439="","",IFERROR(IF(ISNUMBER(INDEX(cfg_fac,MATCH(H439,cfg_units,0))),IF(INDEX(cfg_fac,MATCH(H439,cfg_units,0))&gt;0,INDEX(cfg_fac,MATCH(H439,cfg_units,0)),""),""),""))</f>
        <v/>
      </c>
      <c r="Y439" s="96">
        <f>IF(AND(W439=1,ISNUMBER(I439)),1,0)</f>
        <v>0</v>
      </c>
      <c r="Z439" s="96">
        <f>IF(U439=1,INDEX('MTRs'!$AA$6:$AA$505,T439),0)</f>
        <v>0</v>
      </c>
      <c r="AA439" s="96">
        <f>IF(R439=0,0,COUNTIFS('RECEBIMENTOS'!$R$6:$R$1005,A439,'RECEBIMENTOS'!$Q$6:$Q$1005,1))</f>
        <v>0</v>
      </c>
      <c r="AB439" s="96">
        <f>IF(R439=0,0,COUNTIFS('RECEBIMENTOS'!$R$6:$R$1005,A439,'RECEBIMENTOS'!$Z$6:$Z$1005,1))</f>
        <v>0</v>
      </c>
      <c r="AC439" s="96">
        <f>IF(R439=0,0,COUNTIFS('RECEBIMENTOS'!$R$6:$R$1005,A439,'RECEBIMENTOS'!$Y$6:$Y$1005,1))</f>
        <v>0</v>
      </c>
      <c r="AD439" s="96">
        <f>IF(R439=0,0,COUNTIFS('VÍNCULOS_CDF'!$R$6:$R$1005,A439,'VÍNCULOS_CDF'!$N$6:$N$1005,1))</f>
        <v>0</v>
      </c>
      <c r="AE439" s="96">
        <f>IF(R439=0,0,COUNTIFS('VÍNCULOS_CDF'!$R$6:$R$1005,A439,'VÍNCULOS_CDF'!$AA$6:$AA$1005,1))</f>
        <v>0</v>
      </c>
      <c r="AF439" s="96">
        <f>IF(R439=0,0,COUNTIFS('VÍNCULOS_CDF'!$R$6:$R$1005,A439,'VÍNCULOS_CDF'!$Y$6:$Y$1005,1))</f>
        <v>0</v>
      </c>
      <c r="AG439" s="96" t="str">
        <f>IF(AND(R439=1,S439&lt;&gt;"",C439&lt;&gt;""),S439&amp;"|"&amp;C439&amp;"|"&amp;G439&amp;"|"&amp;H439,"")</f>
        <v/>
      </c>
      <c r="AH439" s="96">
        <f>IF(AG439="",0,IF(SUMPRODUCT(--($AG$6:$AG$1005=AG439))&gt;1,1,0))</f>
        <v>0</v>
      </c>
      <c r="AI439" s="96">
        <f>IF(R439=0,0,IF(OR(U439=0,V439=0,Y439=0,AND(AH439=1,K439&lt;&gt;"Sim")),1,0))</f>
        <v>0</v>
      </c>
      <c r="AJ439" s="96">
        <f>IF(AND(R439=1,AA439&gt;0,AB439=AA439),1,0)</f>
        <v>0</v>
      </c>
      <c r="AK439" s="96">
        <f>IF(R439=0,0,IF(AA439&gt;0,N(L439),IF(ISNUMBER(I439),I439,0)))</f>
        <v>0</v>
      </c>
      <c r="AL439" s="96">
        <f>IF(R439=0,0,IF(AND(K439&lt;&gt;"Sim",N(M439)&gt;AK439+cfg_tol),1,0))</f>
        <v>0</v>
      </c>
      <c r="AM439" s="96">
        <f>IF(R439=0,0,IF(K439="Sim",0,IF(OR(AND(AA439&gt;0,ISNUMBER(I439),ABS(I439-N(L439))&gt;cfg_tol),AL439=1),1,0)))</f>
        <v>0</v>
      </c>
      <c r="AN439" s="96">
        <f>IF(AND(R439=1,N(M439)&gt;0,OR(N(M439)&gt;=AK439-cfg_tol,K439="Sim")),1,0)</f>
        <v>0</v>
      </c>
      <c r="AO439" s="96">
        <f>IF(AND(AN439=1,AD439&gt;0,AE439=AD439,AL439=0),1,0)</f>
        <v>0</v>
      </c>
      <c r="AP439" s="96">
        <f>IF(U439=0,0,IF(AND(INDEX('MTRs'!$AX$6:$AX$505,T439)=1,Z439=0,OR(f_res="",f_res="(Todos)",C439=f_res)),1,0))</f>
        <v>0</v>
      </c>
      <c r="AQ439" s="97" t="str">
        <f>IF(U439=0,"",INDEX('MTRs'!$AZ$6:$AZ$505,T439))</f>
        <v/>
      </c>
      <c r="AR439" s="96">
        <f>IF(U439=0,0,IF(AND(INDEX('MTRs'!$BA$6:$BA$505,T439)=1,Z439=0),1,0))</f>
        <v>0</v>
      </c>
      <c r="AS439" s="96" t="str">
        <f>IF(R439=1,A439&amp;" | MTR "&amp;IF(U439=1,INDEX('MTRs'!$B$6:$B$505,T439)&amp;"","?")&amp;" | "&amp;IF(C439="","(sem resíduo)",C439),"")</f>
        <v/>
      </c>
      <c r="AT439" s="96" t="str">
        <f>IF(R439=1,COUNTIF($R$6:R439,1),"")</f>
        <v/>
      </c>
      <c r="AU439" s="96" t="str">
        <f>IF(U439=1,INDEX('MTRs'!$I$6:$I$505,T439)&amp;"","")</f>
        <v/>
      </c>
    </row>
    <row r="440">
      <c r="A440" s="89" t="inlineStr">
        <is>
          <t>IT-000435</t>
        </is>
      </c>
      <c r="B440" s="91" t="n"/>
      <c r="C440" s="91" t="n"/>
      <c r="D440" s="94" t="str">
        <f>IF(OR(R440=0,V440=0),"",INDEX('CAD_RESÍDUOS'!$E$6:$E$205,MATCH(C440,'CAD_RESÍDUOS'!$B$6:$B$205,0))&amp;"")</f>
        <v/>
      </c>
      <c r="E440" s="94" t="str">
        <f>IF(OR(R440=0,V440=0),"",INDEX('CAD_RESÍDUOS'!$C$6:$C$205,MATCH(C440,'CAD_RESÍDUOS'!$B$6:$B$205,0))&amp;"")</f>
        <v/>
      </c>
      <c r="F440" s="94" t="str">
        <f>IF(OR(R440=0,V440=0),"",INDEX('CAD_RESÍDUOS'!$G$6:$G$205,MATCH(C440,'CAD_RESÍDUOS'!$B$6:$B$205,0))&amp;"")</f>
        <v/>
      </c>
      <c r="G440" s="98" t="n"/>
      <c r="H440" s="91" t="n"/>
      <c r="I440" s="93" t="str">
        <f>IF(R440=0,"",IF(NOT(ISNUMBER(G440)),"",IF(ISNUMBER(X440),G440*X440,"UNIDADE A CONFERIR")))</f>
        <v/>
      </c>
      <c r="J440" s="91" t="n"/>
      <c r="K440" s="91" t="n"/>
      <c r="L440" s="93" t="str">
        <f>IF(R440=0,"",SUMIFS('RECEBIMENTOS'!$H$6:$H$1005,'RECEBIMENTOS'!$R$6:$R$1005,A440,'RECEBIMENTOS'!$X$6:$X$1005,1))</f>
        <v/>
      </c>
      <c r="M440" s="93" t="str">
        <f>IF(R440=0,"",SUMIFS('VÍNCULOS_CDF'!$H$6:$H$1005,'VÍNCULOS_CDF'!$R$6:$R$1005,A440,'VÍNCULOS_CDF'!$V$6:$V$1005,1))</f>
        <v/>
      </c>
      <c r="N440" s="99" t="str">
        <f>IF(OR(R440=0,AA440=0,NOT(ISNUMBER(I440))),"",I440-N(L440))</f>
        <v/>
      </c>
      <c r="O440" s="100" t="str">
        <f>IF(OR(R440=0,AK440&lt;=0),"",N(M440)/AK440)</f>
        <v/>
      </c>
      <c r="P440" s="94" t="str">
        <f>IF(R440=0,"",IF(S440="","Sem MTR associado",IF(U440=0,"MTR inexistente",IF(C440="","Resíduo não identificado",IF(V440=0,"Resíduo fora do cadastro",IF(W440=0,"Quantidade inválida",IF(H440="","Unidade não informada",IF(NOT(ISNUMBER(I440)),"Unidade a conferir",IF(AND(AH440=1,K440&lt;&gt;"Sim"),"Possível duplicidade",IF(Z440=1,"MTR cancelado",IF(AC440&gt;0,"Recebimento com alerta",IF(AA440=0,"Aguardando recebimento",IF(AB440&lt;AA440,"Recebimento a conferir",IF(AM440=1,"Quantidade a revisar",IF(AF440&gt;0,"Vínculo a revisar",IF(AD440=0,"Aguardando CDF",IF(AN440=0,"Vínculo de CDF parcial",IF(AE440&lt;AD440,"CDF a conferir","Documentação conferida"))))))))))))))))))</f>
        <v/>
      </c>
      <c r="Q440" s="93" t="str">
        <f>IF(OR(R440=0,AA440=0),"",MAX(0,N(L440)-N(M440)))</f>
        <v/>
      </c>
      <c r="R440" s="96">
        <f>IF(COUNTA(B440:C440,G440:H440,J440:K440)&gt;0,1,0)</f>
        <v>0</v>
      </c>
      <c r="S440" s="96" t="str">
        <f>IF(B440="","",TRIM(LEFT(B440,FIND(" |",B440&amp;" |")-1)))</f>
        <v/>
      </c>
      <c r="T440" s="96" t="str">
        <f>IF(S440="","",IFERROR(MATCH(S440,'MTRs'!$A$6:$A$505,0),""))</f>
        <v/>
      </c>
      <c r="U440" s="96">
        <f>IF(T440="",0,IF(INDEX('MTRs'!$Z$6:$Z$505,T440)=1,1,0))</f>
        <v>0</v>
      </c>
      <c r="V440" s="96">
        <f>IF(C440="",0,IF(ISNUMBER(MATCH(C440,'CAD_RESÍDUOS'!$B$6:$B$205,0)),1,0))</f>
        <v>0</v>
      </c>
      <c r="W440" s="96">
        <f>IF(AND(ISNUMBER(G440),G440&gt;0),1,0)</f>
        <v>0</v>
      </c>
      <c r="X440" s="96" t="str">
        <f>IF(H440="","",IFERROR(IF(ISNUMBER(INDEX(cfg_fac,MATCH(H440,cfg_units,0))),IF(INDEX(cfg_fac,MATCH(H440,cfg_units,0))&gt;0,INDEX(cfg_fac,MATCH(H440,cfg_units,0)),""),""),""))</f>
        <v/>
      </c>
      <c r="Y440" s="96">
        <f>IF(AND(W440=1,ISNUMBER(I440)),1,0)</f>
        <v>0</v>
      </c>
      <c r="Z440" s="96">
        <f>IF(U440=1,INDEX('MTRs'!$AA$6:$AA$505,T440),0)</f>
        <v>0</v>
      </c>
      <c r="AA440" s="96">
        <f>IF(R440=0,0,COUNTIFS('RECEBIMENTOS'!$R$6:$R$1005,A440,'RECEBIMENTOS'!$Q$6:$Q$1005,1))</f>
        <v>0</v>
      </c>
      <c r="AB440" s="96">
        <f>IF(R440=0,0,COUNTIFS('RECEBIMENTOS'!$R$6:$R$1005,A440,'RECEBIMENTOS'!$Z$6:$Z$1005,1))</f>
        <v>0</v>
      </c>
      <c r="AC440" s="96">
        <f>IF(R440=0,0,COUNTIFS('RECEBIMENTOS'!$R$6:$R$1005,A440,'RECEBIMENTOS'!$Y$6:$Y$1005,1))</f>
        <v>0</v>
      </c>
      <c r="AD440" s="96">
        <f>IF(R440=0,0,COUNTIFS('VÍNCULOS_CDF'!$R$6:$R$1005,A440,'VÍNCULOS_CDF'!$N$6:$N$1005,1))</f>
        <v>0</v>
      </c>
      <c r="AE440" s="96">
        <f>IF(R440=0,0,COUNTIFS('VÍNCULOS_CDF'!$R$6:$R$1005,A440,'VÍNCULOS_CDF'!$AA$6:$AA$1005,1))</f>
        <v>0</v>
      </c>
      <c r="AF440" s="96">
        <f>IF(R440=0,0,COUNTIFS('VÍNCULOS_CDF'!$R$6:$R$1005,A440,'VÍNCULOS_CDF'!$Y$6:$Y$1005,1))</f>
        <v>0</v>
      </c>
      <c r="AG440" s="96" t="str">
        <f>IF(AND(R440=1,S440&lt;&gt;"",C440&lt;&gt;""),S440&amp;"|"&amp;C440&amp;"|"&amp;G440&amp;"|"&amp;H440,"")</f>
        <v/>
      </c>
      <c r="AH440" s="96">
        <f>IF(AG440="",0,IF(SUMPRODUCT(--($AG$6:$AG$1005=AG440))&gt;1,1,0))</f>
        <v>0</v>
      </c>
      <c r="AI440" s="96">
        <f>IF(R440=0,0,IF(OR(U440=0,V440=0,Y440=0,AND(AH440=1,K440&lt;&gt;"Sim")),1,0))</f>
        <v>0</v>
      </c>
      <c r="AJ440" s="96">
        <f>IF(AND(R440=1,AA440&gt;0,AB440=AA440),1,0)</f>
        <v>0</v>
      </c>
      <c r="AK440" s="96">
        <f>IF(R440=0,0,IF(AA440&gt;0,N(L440),IF(ISNUMBER(I440),I440,0)))</f>
        <v>0</v>
      </c>
      <c r="AL440" s="96">
        <f>IF(R440=0,0,IF(AND(K440&lt;&gt;"Sim",N(M440)&gt;AK440+cfg_tol),1,0))</f>
        <v>0</v>
      </c>
      <c r="AM440" s="96">
        <f>IF(R440=0,0,IF(K440="Sim",0,IF(OR(AND(AA440&gt;0,ISNUMBER(I440),ABS(I440-N(L440))&gt;cfg_tol),AL440=1),1,0)))</f>
        <v>0</v>
      </c>
      <c r="AN440" s="96">
        <f>IF(AND(R440=1,N(M440)&gt;0,OR(N(M440)&gt;=AK440-cfg_tol,K440="Sim")),1,0)</f>
        <v>0</v>
      </c>
      <c r="AO440" s="96">
        <f>IF(AND(AN440=1,AD440&gt;0,AE440=AD440,AL440=0),1,0)</f>
        <v>0</v>
      </c>
      <c r="AP440" s="96">
        <f>IF(U440=0,0,IF(AND(INDEX('MTRs'!$AX$6:$AX$505,T440)=1,Z440=0,OR(f_res="",f_res="(Todos)",C440=f_res)),1,0))</f>
        <v>0</v>
      </c>
      <c r="AQ440" s="97" t="str">
        <f>IF(U440=0,"",INDEX('MTRs'!$AZ$6:$AZ$505,T440))</f>
        <v/>
      </c>
      <c r="AR440" s="96">
        <f>IF(U440=0,0,IF(AND(INDEX('MTRs'!$BA$6:$BA$505,T440)=1,Z440=0),1,0))</f>
        <v>0</v>
      </c>
      <c r="AS440" s="96" t="str">
        <f>IF(R440=1,A440&amp;" | MTR "&amp;IF(U440=1,INDEX('MTRs'!$B$6:$B$505,T440)&amp;"","?")&amp;" | "&amp;IF(C440="","(sem resíduo)",C440),"")</f>
        <v/>
      </c>
      <c r="AT440" s="96" t="str">
        <f>IF(R440=1,COUNTIF($R$6:R440,1),"")</f>
        <v/>
      </c>
      <c r="AU440" s="96" t="str">
        <f>IF(U440=1,INDEX('MTRs'!$I$6:$I$505,T440)&amp;"","")</f>
        <v/>
      </c>
    </row>
    <row r="441">
      <c r="A441" s="89" t="inlineStr">
        <is>
          <t>IT-000436</t>
        </is>
      </c>
      <c r="B441" s="91" t="n"/>
      <c r="C441" s="91" t="n"/>
      <c r="D441" s="94" t="str">
        <f>IF(OR(R441=0,V441=0),"",INDEX('CAD_RESÍDUOS'!$E$6:$E$205,MATCH(C441,'CAD_RESÍDUOS'!$B$6:$B$205,0))&amp;"")</f>
        <v/>
      </c>
      <c r="E441" s="94" t="str">
        <f>IF(OR(R441=0,V441=0),"",INDEX('CAD_RESÍDUOS'!$C$6:$C$205,MATCH(C441,'CAD_RESÍDUOS'!$B$6:$B$205,0))&amp;"")</f>
        <v/>
      </c>
      <c r="F441" s="94" t="str">
        <f>IF(OR(R441=0,V441=0),"",INDEX('CAD_RESÍDUOS'!$G$6:$G$205,MATCH(C441,'CAD_RESÍDUOS'!$B$6:$B$205,0))&amp;"")</f>
        <v/>
      </c>
      <c r="G441" s="98" t="n"/>
      <c r="H441" s="91" t="n"/>
      <c r="I441" s="93" t="str">
        <f>IF(R441=0,"",IF(NOT(ISNUMBER(G441)),"",IF(ISNUMBER(X441),G441*X441,"UNIDADE A CONFERIR")))</f>
        <v/>
      </c>
      <c r="J441" s="91" t="n"/>
      <c r="K441" s="91" t="n"/>
      <c r="L441" s="93" t="str">
        <f>IF(R441=0,"",SUMIFS('RECEBIMENTOS'!$H$6:$H$1005,'RECEBIMENTOS'!$R$6:$R$1005,A441,'RECEBIMENTOS'!$X$6:$X$1005,1))</f>
        <v/>
      </c>
      <c r="M441" s="93" t="str">
        <f>IF(R441=0,"",SUMIFS('VÍNCULOS_CDF'!$H$6:$H$1005,'VÍNCULOS_CDF'!$R$6:$R$1005,A441,'VÍNCULOS_CDF'!$V$6:$V$1005,1))</f>
        <v/>
      </c>
      <c r="N441" s="99" t="str">
        <f>IF(OR(R441=0,AA441=0,NOT(ISNUMBER(I441))),"",I441-N(L441))</f>
        <v/>
      </c>
      <c r="O441" s="100" t="str">
        <f>IF(OR(R441=0,AK441&lt;=0),"",N(M441)/AK441)</f>
        <v/>
      </c>
      <c r="P441" s="94" t="str">
        <f>IF(R441=0,"",IF(S441="","Sem MTR associado",IF(U441=0,"MTR inexistente",IF(C441="","Resíduo não identificado",IF(V441=0,"Resíduo fora do cadastro",IF(W441=0,"Quantidade inválida",IF(H441="","Unidade não informada",IF(NOT(ISNUMBER(I441)),"Unidade a conferir",IF(AND(AH441=1,K441&lt;&gt;"Sim"),"Possível duplicidade",IF(Z441=1,"MTR cancelado",IF(AC441&gt;0,"Recebimento com alerta",IF(AA441=0,"Aguardando recebimento",IF(AB441&lt;AA441,"Recebimento a conferir",IF(AM441=1,"Quantidade a revisar",IF(AF441&gt;0,"Vínculo a revisar",IF(AD441=0,"Aguardando CDF",IF(AN441=0,"Vínculo de CDF parcial",IF(AE441&lt;AD441,"CDF a conferir","Documentação conferida"))))))))))))))))))</f>
        <v/>
      </c>
      <c r="Q441" s="93" t="str">
        <f>IF(OR(R441=0,AA441=0),"",MAX(0,N(L441)-N(M441)))</f>
        <v/>
      </c>
      <c r="R441" s="96">
        <f>IF(COUNTA(B441:C441,G441:H441,J441:K441)&gt;0,1,0)</f>
        <v>0</v>
      </c>
      <c r="S441" s="96" t="str">
        <f>IF(B441="","",TRIM(LEFT(B441,FIND(" |",B441&amp;" |")-1)))</f>
        <v/>
      </c>
      <c r="T441" s="96" t="str">
        <f>IF(S441="","",IFERROR(MATCH(S441,'MTRs'!$A$6:$A$505,0),""))</f>
        <v/>
      </c>
      <c r="U441" s="96">
        <f>IF(T441="",0,IF(INDEX('MTRs'!$Z$6:$Z$505,T441)=1,1,0))</f>
        <v>0</v>
      </c>
      <c r="V441" s="96">
        <f>IF(C441="",0,IF(ISNUMBER(MATCH(C441,'CAD_RESÍDUOS'!$B$6:$B$205,0)),1,0))</f>
        <v>0</v>
      </c>
      <c r="W441" s="96">
        <f>IF(AND(ISNUMBER(G441),G441&gt;0),1,0)</f>
        <v>0</v>
      </c>
      <c r="X441" s="96" t="str">
        <f>IF(H441="","",IFERROR(IF(ISNUMBER(INDEX(cfg_fac,MATCH(H441,cfg_units,0))),IF(INDEX(cfg_fac,MATCH(H441,cfg_units,0))&gt;0,INDEX(cfg_fac,MATCH(H441,cfg_units,0)),""),""),""))</f>
        <v/>
      </c>
      <c r="Y441" s="96">
        <f>IF(AND(W441=1,ISNUMBER(I441)),1,0)</f>
        <v>0</v>
      </c>
      <c r="Z441" s="96">
        <f>IF(U441=1,INDEX('MTRs'!$AA$6:$AA$505,T441),0)</f>
        <v>0</v>
      </c>
      <c r="AA441" s="96">
        <f>IF(R441=0,0,COUNTIFS('RECEBIMENTOS'!$R$6:$R$1005,A441,'RECEBIMENTOS'!$Q$6:$Q$1005,1))</f>
        <v>0</v>
      </c>
      <c r="AB441" s="96">
        <f>IF(R441=0,0,COUNTIFS('RECEBIMENTOS'!$R$6:$R$1005,A441,'RECEBIMENTOS'!$Z$6:$Z$1005,1))</f>
        <v>0</v>
      </c>
      <c r="AC441" s="96">
        <f>IF(R441=0,0,COUNTIFS('RECEBIMENTOS'!$R$6:$R$1005,A441,'RECEBIMENTOS'!$Y$6:$Y$1005,1))</f>
        <v>0</v>
      </c>
      <c r="AD441" s="96">
        <f>IF(R441=0,0,COUNTIFS('VÍNCULOS_CDF'!$R$6:$R$1005,A441,'VÍNCULOS_CDF'!$N$6:$N$1005,1))</f>
        <v>0</v>
      </c>
      <c r="AE441" s="96">
        <f>IF(R441=0,0,COUNTIFS('VÍNCULOS_CDF'!$R$6:$R$1005,A441,'VÍNCULOS_CDF'!$AA$6:$AA$1005,1))</f>
        <v>0</v>
      </c>
      <c r="AF441" s="96">
        <f>IF(R441=0,0,COUNTIFS('VÍNCULOS_CDF'!$R$6:$R$1005,A441,'VÍNCULOS_CDF'!$Y$6:$Y$1005,1))</f>
        <v>0</v>
      </c>
      <c r="AG441" s="96" t="str">
        <f>IF(AND(R441=1,S441&lt;&gt;"",C441&lt;&gt;""),S441&amp;"|"&amp;C441&amp;"|"&amp;G441&amp;"|"&amp;H441,"")</f>
        <v/>
      </c>
      <c r="AH441" s="96">
        <f>IF(AG441="",0,IF(SUMPRODUCT(--($AG$6:$AG$1005=AG441))&gt;1,1,0))</f>
        <v>0</v>
      </c>
      <c r="AI441" s="96">
        <f>IF(R441=0,0,IF(OR(U441=0,V441=0,Y441=0,AND(AH441=1,K441&lt;&gt;"Sim")),1,0))</f>
        <v>0</v>
      </c>
      <c r="AJ441" s="96">
        <f>IF(AND(R441=1,AA441&gt;0,AB441=AA441),1,0)</f>
        <v>0</v>
      </c>
      <c r="AK441" s="96">
        <f>IF(R441=0,0,IF(AA441&gt;0,N(L441),IF(ISNUMBER(I441),I441,0)))</f>
        <v>0</v>
      </c>
      <c r="AL441" s="96">
        <f>IF(R441=0,0,IF(AND(K441&lt;&gt;"Sim",N(M441)&gt;AK441+cfg_tol),1,0))</f>
        <v>0</v>
      </c>
      <c r="AM441" s="96">
        <f>IF(R441=0,0,IF(K441="Sim",0,IF(OR(AND(AA441&gt;0,ISNUMBER(I441),ABS(I441-N(L441))&gt;cfg_tol),AL441=1),1,0)))</f>
        <v>0</v>
      </c>
      <c r="AN441" s="96">
        <f>IF(AND(R441=1,N(M441)&gt;0,OR(N(M441)&gt;=AK441-cfg_tol,K441="Sim")),1,0)</f>
        <v>0</v>
      </c>
      <c r="AO441" s="96">
        <f>IF(AND(AN441=1,AD441&gt;0,AE441=AD441,AL441=0),1,0)</f>
        <v>0</v>
      </c>
      <c r="AP441" s="96">
        <f>IF(U441=0,0,IF(AND(INDEX('MTRs'!$AX$6:$AX$505,T441)=1,Z441=0,OR(f_res="",f_res="(Todos)",C441=f_res)),1,0))</f>
        <v>0</v>
      </c>
      <c r="AQ441" s="97" t="str">
        <f>IF(U441=0,"",INDEX('MTRs'!$AZ$6:$AZ$505,T441))</f>
        <v/>
      </c>
      <c r="AR441" s="96">
        <f>IF(U441=0,0,IF(AND(INDEX('MTRs'!$BA$6:$BA$505,T441)=1,Z441=0),1,0))</f>
        <v>0</v>
      </c>
      <c r="AS441" s="96" t="str">
        <f>IF(R441=1,A441&amp;" | MTR "&amp;IF(U441=1,INDEX('MTRs'!$B$6:$B$505,T441)&amp;"","?")&amp;" | "&amp;IF(C441="","(sem resíduo)",C441),"")</f>
        <v/>
      </c>
      <c r="AT441" s="96" t="str">
        <f>IF(R441=1,COUNTIF($R$6:R441,1),"")</f>
        <v/>
      </c>
      <c r="AU441" s="96" t="str">
        <f>IF(U441=1,INDEX('MTRs'!$I$6:$I$505,T441)&amp;"","")</f>
        <v/>
      </c>
    </row>
    <row r="442">
      <c r="A442" s="89" t="inlineStr">
        <is>
          <t>IT-000437</t>
        </is>
      </c>
      <c r="B442" s="91" t="n"/>
      <c r="C442" s="91" t="n"/>
      <c r="D442" s="94" t="str">
        <f>IF(OR(R442=0,V442=0),"",INDEX('CAD_RESÍDUOS'!$E$6:$E$205,MATCH(C442,'CAD_RESÍDUOS'!$B$6:$B$205,0))&amp;"")</f>
        <v/>
      </c>
      <c r="E442" s="94" t="str">
        <f>IF(OR(R442=0,V442=0),"",INDEX('CAD_RESÍDUOS'!$C$6:$C$205,MATCH(C442,'CAD_RESÍDUOS'!$B$6:$B$205,0))&amp;"")</f>
        <v/>
      </c>
      <c r="F442" s="94" t="str">
        <f>IF(OR(R442=0,V442=0),"",INDEX('CAD_RESÍDUOS'!$G$6:$G$205,MATCH(C442,'CAD_RESÍDUOS'!$B$6:$B$205,0))&amp;"")</f>
        <v/>
      </c>
      <c r="G442" s="98" t="n"/>
      <c r="H442" s="91" t="n"/>
      <c r="I442" s="93" t="str">
        <f>IF(R442=0,"",IF(NOT(ISNUMBER(G442)),"",IF(ISNUMBER(X442),G442*X442,"UNIDADE A CONFERIR")))</f>
        <v/>
      </c>
      <c r="J442" s="91" t="n"/>
      <c r="K442" s="91" t="n"/>
      <c r="L442" s="93" t="str">
        <f>IF(R442=0,"",SUMIFS('RECEBIMENTOS'!$H$6:$H$1005,'RECEBIMENTOS'!$R$6:$R$1005,A442,'RECEBIMENTOS'!$X$6:$X$1005,1))</f>
        <v/>
      </c>
      <c r="M442" s="93" t="str">
        <f>IF(R442=0,"",SUMIFS('VÍNCULOS_CDF'!$H$6:$H$1005,'VÍNCULOS_CDF'!$R$6:$R$1005,A442,'VÍNCULOS_CDF'!$V$6:$V$1005,1))</f>
        <v/>
      </c>
      <c r="N442" s="99" t="str">
        <f>IF(OR(R442=0,AA442=0,NOT(ISNUMBER(I442))),"",I442-N(L442))</f>
        <v/>
      </c>
      <c r="O442" s="100" t="str">
        <f>IF(OR(R442=0,AK442&lt;=0),"",N(M442)/AK442)</f>
        <v/>
      </c>
      <c r="P442" s="94" t="str">
        <f>IF(R442=0,"",IF(S442="","Sem MTR associado",IF(U442=0,"MTR inexistente",IF(C442="","Resíduo não identificado",IF(V442=0,"Resíduo fora do cadastro",IF(W442=0,"Quantidade inválida",IF(H442="","Unidade não informada",IF(NOT(ISNUMBER(I442)),"Unidade a conferir",IF(AND(AH442=1,K442&lt;&gt;"Sim"),"Possível duplicidade",IF(Z442=1,"MTR cancelado",IF(AC442&gt;0,"Recebimento com alerta",IF(AA442=0,"Aguardando recebimento",IF(AB442&lt;AA442,"Recebimento a conferir",IF(AM442=1,"Quantidade a revisar",IF(AF442&gt;0,"Vínculo a revisar",IF(AD442=0,"Aguardando CDF",IF(AN442=0,"Vínculo de CDF parcial",IF(AE442&lt;AD442,"CDF a conferir","Documentação conferida"))))))))))))))))))</f>
        <v/>
      </c>
      <c r="Q442" s="93" t="str">
        <f>IF(OR(R442=0,AA442=0),"",MAX(0,N(L442)-N(M442)))</f>
        <v/>
      </c>
      <c r="R442" s="96">
        <f>IF(COUNTA(B442:C442,G442:H442,J442:K442)&gt;0,1,0)</f>
        <v>0</v>
      </c>
      <c r="S442" s="96" t="str">
        <f>IF(B442="","",TRIM(LEFT(B442,FIND(" |",B442&amp;" |")-1)))</f>
        <v/>
      </c>
      <c r="T442" s="96" t="str">
        <f>IF(S442="","",IFERROR(MATCH(S442,'MTRs'!$A$6:$A$505,0),""))</f>
        <v/>
      </c>
      <c r="U442" s="96">
        <f>IF(T442="",0,IF(INDEX('MTRs'!$Z$6:$Z$505,T442)=1,1,0))</f>
        <v>0</v>
      </c>
      <c r="V442" s="96">
        <f>IF(C442="",0,IF(ISNUMBER(MATCH(C442,'CAD_RESÍDUOS'!$B$6:$B$205,0)),1,0))</f>
        <v>0</v>
      </c>
      <c r="W442" s="96">
        <f>IF(AND(ISNUMBER(G442),G442&gt;0),1,0)</f>
        <v>0</v>
      </c>
      <c r="X442" s="96" t="str">
        <f>IF(H442="","",IFERROR(IF(ISNUMBER(INDEX(cfg_fac,MATCH(H442,cfg_units,0))),IF(INDEX(cfg_fac,MATCH(H442,cfg_units,0))&gt;0,INDEX(cfg_fac,MATCH(H442,cfg_units,0)),""),""),""))</f>
        <v/>
      </c>
      <c r="Y442" s="96">
        <f>IF(AND(W442=1,ISNUMBER(I442)),1,0)</f>
        <v>0</v>
      </c>
      <c r="Z442" s="96">
        <f>IF(U442=1,INDEX('MTRs'!$AA$6:$AA$505,T442),0)</f>
        <v>0</v>
      </c>
      <c r="AA442" s="96">
        <f>IF(R442=0,0,COUNTIFS('RECEBIMENTOS'!$R$6:$R$1005,A442,'RECEBIMENTOS'!$Q$6:$Q$1005,1))</f>
        <v>0</v>
      </c>
      <c r="AB442" s="96">
        <f>IF(R442=0,0,COUNTIFS('RECEBIMENTOS'!$R$6:$R$1005,A442,'RECEBIMENTOS'!$Z$6:$Z$1005,1))</f>
        <v>0</v>
      </c>
      <c r="AC442" s="96">
        <f>IF(R442=0,0,COUNTIFS('RECEBIMENTOS'!$R$6:$R$1005,A442,'RECEBIMENTOS'!$Y$6:$Y$1005,1))</f>
        <v>0</v>
      </c>
      <c r="AD442" s="96">
        <f>IF(R442=0,0,COUNTIFS('VÍNCULOS_CDF'!$R$6:$R$1005,A442,'VÍNCULOS_CDF'!$N$6:$N$1005,1))</f>
        <v>0</v>
      </c>
      <c r="AE442" s="96">
        <f>IF(R442=0,0,COUNTIFS('VÍNCULOS_CDF'!$R$6:$R$1005,A442,'VÍNCULOS_CDF'!$AA$6:$AA$1005,1))</f>
        <v>0</v>
      </c>
      <c r="AF442" s="96">
        <f>IF(R442=0,0,COUNTIFS('VÍNCULOS_CDF'!$R$6:$R$1005,A442,'VÍNCULOS_CDF'!$Y$6:$Y$1005,1))</f>
        <v>0</v>
      </c>
      <c r="AG442" s="96" t="str">
        <f>IF(AND(R442=1,S442&lt;&gt;"",C442&lt;&gt;""),S442&amp;"|"&amp;C442&amp;"|"&amp;G442&amp;"|"&amp;H442,"")</f>
        <v/>
      </c>
      <c r="AH442" s="96">
        <f>IF(AG442="",0,IF(SUMPRODUCT(--($AG$6:$AG$1005=AG442))&gt;1,1,0))</f>
        <v>0</v>
      </c>
      <c r="AI442" s="96">
        <f>IF(R442=0,0,IF(OR(U442=0,V442=0,Y442=0,AND(AH442=1,K442&lt;&gt;"Sim")),1,0))</f>
        <v>0</v>
      </c>
      <c r="AJ442" s="96">
        <f>IF(AND(R442=1,AA442&gt;0,AB442=AA442),1,0)</f>
        <v>0</v>
      </c>
      <c r="AK442" s="96">
        <f>IF(R442=0,0,IF(AA442&gt;0,N(L442),IF(ISNUMBER(I442),I442,0)))</f>
        <v>0</v>
      </c>
      <c r="AL442" s="96">
        <f>IF(R442=0,0,IF(AND(K442&lt;&gt;"Sim",N(M442)&gt;AK442+cfg_tol),1,0))</f>
        <v>0</v>
      </c>
      <c r="AM442" s="96">
        <f>IF(R442=0,0,IF(K442="Sim",0,IF(OR(AND(AA442&gt;0,ISNUMBER(I442),ABS(I442-N(L442))&gt;cfg_tol),AL442=1),1,0)))</f>
        <v>0</v>
      </c>
      <c r="AN442" s="96">
        <f>IF(AND(R442=1,N(M442)&gt;0,OR(N(M442)&gt;=AK442-cfg_tol,K442="Sim")),1,0)</f>
        <v>0</v>
      </c>
      <c r="AO442" s="96">
        <f>IF(AND(AN442=1,AD442&gt;0,AE442=AD442,AL442=0),1,0)</f>
        <v>0</v>
      </c>
      <c r="AP442" s="96">
        <f>IF(U442=0,0,IF(AND(INDEX('MTRs'!$AX$6:$AX$505,T442)=1,Z442=0,OR(f_res="",f_res="(Todos)",C442=f_res)),1,0))</f>
        <v>0</v>
      </c>
      <c r="AQ442" s="97" t="str">
        <f>IF(U442=0,"",INDEX('MTRs'!$AZ$6:$AZ$505,T442))</f>
        <v/>
      </c>
      <c r="AR442" s="96">
        <f>IF(U442=0,0,IF(AND(INDEX('MTRs'!$BA$6:$BA$505,T442)=1,Z442=0),1,0))</f>
        <v>0</v>
      </c>
      <c r="AS442" s="96" t="str">
        <f>IF(R442=1,A442&amp;" | MTR "&amp;IF(U442=1,INDEX('MTRs'!$B$6:$B$505,T442)&amp;"","?")&amp;" | "&amp;IF(C442="","(sem resíduo)",C442),"")</f>
        <v/>
      </c>
      <c r="AT442" s="96" t="str">
        <f>IF(R442=1,COUNTIF($R$6:R442,1),"")</f>
        <v/>
      </c>
      <c r="AU442" s="96" t="str">
        <f>IF(U442=1,INDEX('MTRs'!$I$6:$I$505,T442)&amp;"","")</f>
        <v/>
      </c>
    </row>
    <row r="443">
      <c r="A443" s="89" t="inlineStr">
        <is>
          <t>IT-000438</t>
        </is>
      </c>
      <c r="B443" s="91" t="n"/>
      <c r="C443" s="91" t="n"/>
      <c r="D443" s="94" t="str">
        <f>IF(OR(R443=0,V443=0),"",INDEX('CAD_RESÍDUOS'!$E$6:$E$205,MATCH(C443,'CAD_RESÍDUOS'!$B$6:$B$205,0))&amp;"")</f>
        <v/>
      </c>
      <c r="E443" s="94" t="str">
        <f>IF(OR(R443=0,V443=0),"",INDEX('CAD_RESÍDUOS'!$C$6:$C$205,MATCH(C443,'CAD_RESÍDUOS'!$B$6:$B$205,0))&amp;"")</f>
        <v/>
      </c>
      <c r="F443" s="94" t="str">
        <f>IF(OR(R443=0,V443=0),"",INDEX('CAD_RESÍDUOS'!$G$6:$G$205,MATCH(C443,'CAD_RESÍDUOS'!$B$6:$B$205,0))&amp;"")</f>
        <v/>
      </c>
      <c r="G443" s="98" t="n"/>
      <c r="H443" s="91" t="n"/>
      <c r="I443" s="93" t="str">
        <f>IF(R443=0,"",IF(NOT(ISNUMBER(G443)),"",IF(ISNUMBER(X443),G443*X443,"UNIDADE A CONFERIR")))</f>
        <v/>
      </c>
      <c r="J443" s="91" t="n"/>
      <c r="K443" s="91" t="n"/>
      <c r="L443" s="93" t="str">
        <f>IF(R443=0,"",SUMIFS('RECEBIMENTOS'!$H$6:$H$1005,'RECEBIMENTOS'!$R$6:$R$1005,A443,'RECEBIMENTOS'!$X$6:$X$1005,1))</f>
        <v/>
      </c>
      <c r="M443" s="93" t="str">
        <f>IF(R443=0,"",SUMIFS('VÍNCULOS_CDF'!$H$6:$H$1005,'VÍNCULOS_CDF'!$R$6:$R$1005,A443,'VÍNCULOS_CDF'!$V$6:$V$1005,1))</f>
        <v/>
      </c>
      <c r="N443" s="99" t="str">
        <f>IF(OR(R443=0,AA443=0,NOT(ISNUMBER(I443))),"",I443-N(L443))</f>
        <v/>
      </c>
      <c r="O443" s="100" t="str">
        <f>IF(OR(R443=0,AK443&lt;=0),"",N(M443)/AK443)</f>
        <v/>
      </c>
      <c r="P443" s="94" t="str">
        <f>IF(R443=0,"",IF(S443="","Sem MTR associado",IF(U443=0,"MTR inexistente",IF(C443="","Resíduo não identificado",IF(V443=0,"Resíduo fora do cadastro",IF(W443=0,"Quantidade inválida",IF(H443="","Unidade não informada",IF(NOT(ISNUMBER(I443)),"Unidade a conferir",IF(AND(AH443=1,K443&lt;&gt;"Sim"),"Possível duplicidade",IF(Z443=1,"MTR cancelado",IF(AC443&gt;0,"Recebimento com alerta",IF(AA443=0,"Aguardando recebimento",IF(AB443&lt;AA443,"Recebimento a conferir",IF(AM443=1,"Quantidade a revisar",IF(AF443&gt;0,"Vínculo a revisar",IF(AD443=0,"Aguardando CDF",IF(AN443=0,"Vínculo de CDF parcial",IF(AE443&lt;AD443,"CDF a conferir","Documentação conferida"))))))))))))))))))</f>
        <v/>
      </c>
      <c r="Q443" s="93" t="str">
        <f>IF(OR(R443=0,AA443=0),"",MAX(0,N(L443)-N(M443)))</f>
        <v/>
      </c>
      <c r="R443" s="96">
        <f>IF(COUNTA(B443:C443,G443:H443,J443:K443)&gt;0,1,0)</f>
        <v>0</v>
      </c>
      <c r="S443" s="96" t="str">
        <f>IF(B443="","",TRIM(LEFT(B443,FIND(" |",B443&amp;" |")-1)))</f>
        <v/>
      </c>
      <c r="T443" s="96" t="str">
        <f>IF(S443="","",IFERROR(MATCH(S443,'MTRs'!$A$6:$A$505,0),""))</f>
        <v/>
      </c>
      <c r="U443" s="96">
        <f>IF(T443="",0,IF(INDEX('MTRs'!$Z$6:$Z$505,T443)=1,1,0))</f>
        <v>0</v>
      </c>
      <c r="V443" s="96">
        <f>IF(C443="",0,IF(ISNUMBER(MATCH(C443,'CAD_RESÍDUOS'!$B$6:$B$205,0)),1,0))</f>
        <v>0</v>
      </c>
      <c r="W443" s="96">
        <f>IF(AND(ISNUMBER(G443),G443&gt;0),1,0)</f>
        <v>0</v>
      </c>
      <c r="X443" s="96" t="str">
        <f>IF(H443="","",IFERROR(IF(ISNUMBER(INDEX(cfg_fac,MATCH(H443,cfg_units,0))),IF(INDEX(cfg_fac,MATCH(H443,cfg_units,0))&gt;0,INDEX(cfg_fac,MATCH(H443,cfg_units,0)),""),""),""))</f>
        <v/>
      </c>
      <c r="Y443" s="96">
        <f>IF(AND(W443=1,ISNUMBER(I443)),1,0)</f>
        <v>0</v>
      </c>
      <c r="Z443" s="96">
        <f>IF(U443=1,INDEX('MTRs'!$AA$6:$AA$505,T443),0)</f>
        <v>0</v>
      </c>
      <c r="AA443" s="96">
        <f>IF(R443=0,0,COUNTIFS('RECEBIMENTOS'!$R$6:$R$1005,A443,'RECEBIMENTOS'!$Q$6:$Q$1005,1))</f>
        <v>0</v>
      </c>
      <c r="AB443" s="96">
        <f>IF(R443=0,0,COUNTIFS('RECEBIMENTOS'!$R$6:$R$1005,A443,'RECEBIMENTOS'!$Z$6:$Z$1005,1))</f>
        <v>0</v>
      </c>
      <c r="AC443" s="96">
        <f>IF(R443=0,0,COUNTIFS('RECEBIMENTOS'!$R$6:$R$1005,A443,'RECEBIMENTOS'!$Y$6:$Y$1005,1))</f>
        <v>0</v>
      </c>
      <c r="AD443" s="96">
        <f>IF(R443=0,0,COUNTIFS('VÍNCULOS_CDF'!$R$6:$R$1005,A443,'VÍNCULOS_CDF'!$N$6:$N$1005,1))</f>
        <v>0</v>
      </c>
      <c r="AE443" s="96">
        <f>IF(R443=0,0,COUNTIFS('VÍNCULOS_CDF'!$R$6:$R$1005,A443,'VÍNCULOS_CDF'!$AA$6:$AA$1005,1))</f>
        <v>0</v>
      </c>
      <c r="AF443" s="96">
        <f>IF(R443=0,0,COUNTIFS('VÍNCULOS_CDF'!$R$6:$R$1005,A443,'VÍNCULOS_CDF'!$Y$6:$Y$1005,1))</f>
        <v>0</v>
      </c>
      <c r="AG443" s="96" t="str">
        <f>IF(AND(R443=1,S443&lt;&gt;"",C443&lt;&gt;""),S443&amp;"|"&amp;C443&amp;"|"&amp;G443&amp;"|"&amp;H443,"")</f>
        <v/>
      </c>
      <c r="AH443" s="96">
        <f>IF(AG443="",0,IF(SUMPRODUCT(--($AG$6:$AG$1005=AG443))&gt;1,1,0))</f>
        <v>0</v>
      </c>
      <c r="AI443" s="96">
        <f>IF(R443=0,0,IF(OR(U443=0,V443=0,Y443=0,AND(AH443=1,K443&lt;&gt;"Sim")),1,0))</f>
        <v>0</v>
      </c>
      <c r="AJ443" s="96">
        <f>IF(AND(R443=1,AA443&gt;0,AB443=AA443),1,0)</f>
        <v>0</v>
      </c>
      <c r="AK443" s="96">
        <f>IF(R443=0,0,IF(AA443&gt;0,N(L443),IF(ISNUMBER(I443),I443,0)))</f>
        <v>0</v>
      </c>
      <c r="AL443" s="96">
        <f>IF(R443=0,0,IF(AND(K443&lt;&gt;"Sim",N(M443)&gt;AK443+cfg_tol),1,0))</f>
        <v>0</v>
      </c>
      <c r="AM443" s="96">
        <f>IF(R443=0,0,IF(K443="Sim",0,IF(OR(AND(AA443&gt;0,ISNUMBER(I443),ABS(I443-N(L443))&gt;cfg_tol),AL443=1),1,0)))</f>
        <v>0</v>
      </c>
      <c r="AN443" s="96">
        <f>IF(AND(R443=1,N(M443)&gt;0,OR(N(M443)&gt;=AK443-cfg_tol,K443="Sim")),1,0)</f>
        <v>0</v>
      </c>
      <c r="AO443" s="96">
        <f>IF(AND(AN443=1,AD443&gt;0,AE443=AD443,AL443=0),1,0)</f>
        <v>0</v>
      </c>
      <c r="AP443" s="96">
        <f>IF(U443=0,0,IF(AND(INDEX('MTRs'!$AX$6:$AX$505,T443)=1,Z443=0,OR(f_res="",f_res="(Todos)",C443=f_res)),1,0))</f>
        <v>0</v>
      </c>
      <c r="AQ443" s="97" t="str">
        <f>IF(U443=0,"",INDEX('MTRs'!$AZ$6:$AZ$505,T443))</f>
        <v/>
      </c>
      <c r="AR443" s="96">
        <f>IF(U443=0,0,IF(AND(INDEX('MTRs'!$BA$6:$BA$505,T443)=1,Z443=0),1,0))</f>
        <v>0</v>
      </c>
      <c r="AS443" s="96" t="str">
        <f>IF(R443=1,A443&amp;" | MTR "&amp;IF(U443=1,INDEX('MTRs'!$B$6:$B$505,T443)&amp;"","?")&amp;" | "&amp;IF(C443="","(sem resíduo)",C443),"")</f>
        <v/>
      </c>
      <c r="AT443" s="96" t="str">
        <f>IF(R443=1,COUNTIF($R$6:R443,1),"")</f>
        <v/>
      </c>
      <c r="AU443" s="96" t="str">
        <f>IF(U443=1,INDEX('MTRs'!$I$6:$I$505,T443)&amp;"","")</f>
        <v/>
      </c>
    </row>
    <row r="444">
      <c r="A444" s="89" t="inlineStr">
        <is>
          <t>IT-000439</t>
        </is>
      </c>
      <c r="B444" s="91" t="n"/>
      <c r="C444" s="91" t="n"/>
      <c r="D444" s="94" t="str">
        <f>IF(OR(R444=0,V444=0),"",INDEX('CAD_RESÍDUOS'!$E$6:$E$205,MATCH(C444,'CAD_RESÍDUOS'!$B$6:$B$205,0))&amp;"")</f>
        <v/>
      </c>
      <c r="E444" s="94" t="str">
        <f>IF(OR(R444=0,V444=0),"",INDEX('CAD_RESÍDUOS'!$C$6:$C$205,MATCH(C444,'CAD_RESÍDUOS'!$B$6:$B$205,0))&amp;"")</f>
        <v/>
      </c>
      <c r="F444" s="94" t="str">
        <f>IF(OR(R444=0,V444=0),"",INDEX('CAD_RESÍDUOS'!$G$6:$G$205,MATCH(C444,'CAD_RESÍDUOS'!$B$6:$B$205,0))&amp;"")</f>
        <v/>
      </c>
      <c r="G444" s="98" t="n"/>
      <c r="H444" s="91" t="n"/>
      <c r="I444" s="93" t="str">
        <f>IF(R444=0,"",IF(NOT(ISNUMBER(G444)),"",IF(ISNUMBER(X444),G444*X444,"UNIDADE A CONFERIR")))</f>
        <v/>
      </c>
      <c r="J444" s="91" t="n"/>
      <c r="K444" s="91" t="n"/>
      <c r="L444" s="93" t="str">
        <f>IF(R444=0,"",SUMIFS('RECEBIMENTOS'!$H$6:$H$1005,'RECEBIMENTOS'!$R$6:$R$1005,A444,'RECEBIMENTOS'!$X$6:$X$1005,1))</f>
        <v/>
      </c>
      <c r="M444" s="93" t="str">
        <f>IF(R444=0,"",SUMIFS('VÍNCULOS_CDF'!$H$6:$H$1005,'VÍNCULOS_CDF'!$R$6:$R$1005,A444,'VÍNCULOS_CDF'!$V$6:$V$1005,1))</f>
        <v/>
      </c>
      <c r="N444" s="99" t="str">
        <f>IF(OR(R444=0,AA444=0,NOT(ISNUMBER(I444))),"",I444-N(L444))</f>
        <v/>
      </c>
      <c r="O444" s="100" t="str">
        <f>IF(OR(R444=0,AK444&lt;=0),"",N(M444)/AK444)</f>
        <v/>
      </c>
      <c r="P444" s="94" t="str">
        <f>IF(R444=0,"",IF(S444="","Sem MTR associado",IF(U444=0,"MTR inexistente",IF(C444="","Resíduo não identificado",IF(V444=0,"Resíduo fora do cadastro",IF(W444=0,"Quantidade inválida",IF(H444="","Unidade não informada",IF(NOT(ISNUMBER(I444)),"Unidade a conferir",IF(AND(AH444=1,K444&lt;&gt;"Sim"),"Possível duplicidade",IF(Z444=1,"MTR cancelado",IF(AC444&gt;0,"Recebimento com alerta",IF(AA444=0,"Aguardando recebimento",IF(AB444&lt;AA444,"Recebimento a conferir",IF(AM444=1,"Quantidade a revisar",IF(AF444&gt;0,"Vínculo a revisar",IF(AD444=0,"Aguardando CDF",IF(AN444=0,"Vínculo de CDF parcial",IF(AE444&lt;AD444,"CDF a conferir","Documentação conferida"))))))))))))))))))</f>
        <v/>
      </c>
      <c r="Q444" s="93" t="str">
        <f>IF(OR(R444=0,AA444=0),"",MAX(0,N(L444)-N(M444)))</f>
        <v/>
      </c>
      <c r="R444" s="96">
        <f>IF(COUNTA(B444:C444,G444:H444,J444:K444)&gt;0,1,0)</f>
        <v>0</v>
      </c>
      <c r="S444" s="96" t="str">
        <f>IF(B444="","",TRIM(LEFT(B444,FIND(" |",B444&amp;" |")-1)))</f>
        <v/>
      </c>
      <c r="T444" s="96" t="str">
        <f>IF(S444="","",IFERROR(MATCH(S444,'MTRs'!$A$6:$A$505,0),""))</f>
        <v/>
      </c>
      <c r="U444" s="96">
        <f>IF(T444="",0,IF(INDEX('MTRs'!$Z$6:$Z$505,T444)=1,1,0))</f>
        <v>0</v>
      </c>
      <c r="V444" s="96">
        <f>IF(C444="",0,IF(ISNUMBER(MATCH(C444,'CAD_RESÍDUOS'!$B$6:$B$205,0)),1,0))</f>
        <v>0</v>
      </c>
      <c r="W444" s="96">
        <f>IF(AND(ISNUMBER(G444),G444&gt;0),1,0)</f>
        <v>0</v>
      </c>
      <c r="X444" s="96" t="str">
        <f>IF(H444="","",IFERROR(IF(ISNUMBER(INDEX(cfg_fac,MATCH(H444,cfg_units,0))),IF(INDEX(cfg_fac,MATCH(H444,cfg_units,0))&gt;0,INDEX(cfg_fac,MATCH(H444,cfg_units,0)),""),""),""))</f>
        <v/>
      </c>
      <c r="Y444" s="96">
        <f>IF(AND(W444=1,ISNUMBER(I444)),1,0)</f>
        <v>0</v>
      </c>
      <c r="Z444" s="96">
        <f>IF(U444=1,INDEX('MTRs'!$AA$6:$AA$505,T444),0)</f>
        <v>0</v>
      </c>
      <c r="AA444" s="96">
        <f>IF(R444=0,0,COUNTIFS('RECEBIMENTOS'!$R$6:$R$1005,A444,'RECEBIMENTOS'!$Q$6:$Q$1005,1))</f>
        <v>0</v>
      </c>
      <c r="AB444" s="96">
        <f>IF(R444=0,0,COUNTIFS('RECEBIMENTOS'!$R$6:$R$1005,A444,'RECEBIMENTOS'!$Z$6:$Z$1005,1))</f>
        <v>0</v>
      </c>
      <c r="AC444" s="96">
        <f>IF(R444=0,0,COUNTIFS('RECEBIMENTOS'!$R$6:$R$1005,A444,'RECEBIMENTOS'!$Y$6:$Y$1005,1))</f>
        <v>0</v>
      </c>
      <c r="AD444" s="96">
        <f>IF(R444=0,0,COUNTIFS('VÍNCULOS_CDF'!$R$6:$R$1005,A444,'VÍNCULOS_CDF'!$N$6:$N$1005,1))</f>
        <v>0</v>
      </c>
      <c r="AE444" s="96">
        <f>IF(R444=0,0,COUNTIFS('VÍNCULOS_CDF'!$R$6:$R$1005,A444,'VÍNCULOS_CDF'!$AA$6:$AA$1005,1))</f>
        <v>0</v>
      </c>
      <c r="AF444" s="96">
        <f>IF(R444=0,0,COUNTIFS('VÍNCULOS_CDF'!$R$6:$R$1005,A444,'VÍNCULOS_CDF'!$Y$6:$Y$1005,1))</f>
        <v>0</v>
      </c>
      <c r="AG444" s="96" t="str">
        <f>IF(AND(R444=1,S444&lt;&gt;"",C444&lt;&gt;""),S444&amp;"|"&amp;C444&amp;"|"&amp;G444&amp;"|"&amp;H444,"")</f>
        <v/>
      </c>
      <c r="AH444" s="96">
        <f>IF(AG444="",0,IF(SUMPRODUCT(--($AG$6:$AG$1005=AG444))&gt;1,1,0))</f>
        <v>0</v>
      </c>
      <c r="AI444" s="96">
        <f>IF(R444=0,0,IF(OR(U444=0,V444=0,Y444=0,AND(AH444=1,K444&lt;&gt;"Sim")),1,0))</f>
        <v>0</v>
      </c>
      <c r="AJ444" s="96">
        <f>IF(AND(R444=1,AA444&gt;0,AB444=AA444),1,0)</f>
        <v>0</v>
      </c>
      <c r="AK444" s="96">
        <f>IF(R444=0,0,IF(AA444&gt;0,N(L444),IF(ISNUMBER(I444),I444,0)))</f>
        <v>0</v>
      </c>
      <c r="AL444" s="96">
        <f>IF(R444=0,0,IF(AND(K444&lt;&gt;"Sim",N(M444)&gt;AK444+cfg_tol),1,0))</f>
        <v>0</v>
      </c>
      <c r="AM444" s="96">
        <f>IF(R444=0,0,IF(K444="Sim",0,IF(OR(AND(AA444&gt;0,ISNUMBER(I444),ABS(I444-N(L444))&gt;cfg_tol),AL444=1),1,0)))</f>
        <v>0</v>
      </c>
      <c r="AN444" s="96">
        <f>IF(AND(R444=1,N(M444)&gt;0,OR(N(M444)&gt;=AK444-cfg_tol,K444="Sim")),1,0)</f>
        <v>0</v>
      </c>
      <c r="AO444" s="96">
        <f>IF(AND(AN444=1,AD444&gt;0,AE444=AD444,AL444=0),1,0)</f>
        <v>0</v>
      </c>
      <c r="AP444" s="96">
        <f>IF(U444=0,0,IF(AND(INDEX('MTRs'!$AX$6:$AX$505,T444)=1,Z444=0,OR(f_res="",f_res="(Todos)",C444=f_res)),1,0))</f>
        <v>0</v>
      </c>
      <c r="AQ444" s="97" t="str">
        <f>IF(U444=0,"",INDEX('MTRs'!$AZ$6:$AZ$505,T444))</f>
        <v/>
      </c>
      <c r="AR444" s="96">
        <f>IF(U444=0,0,IF(AND(INDEX('MTRs'!$BA$6:$BA$505,T444)=1,Z444=0),1,0))</f>
        <v>0</v>
      </c>
      <c r="AS444" s="96" t="str">
        <f>IF(R444=1,A444&amp;" | MTR "&amp;IF(U444=1,INDEX('MTRs'!$B$6:$B$505,T444)&amp;"","?")&amp;" | "&amp;IF(C444="","(sem resíduo)",C444),"")</f>
        <v/>
      </c>
      <c r="AT444" s="96" t="str">
        <f>IF(R444=1,COUNTIF($R$6:R444,1),"")</f>
        <v/>
      </c>
      <c r="AU444" s="96" t="str">
        <f>IF(U444=1,INDEX('MTRs'!$I$6:$I$505,T444)&amp;"","")</f>
        <v/>
      </c>
    </row>
    <row r="445">
      <c r="A445" s="89" t="inlineStr">
        <is>
          <t>IT-000440</t>
        </is>
      </c>
      <c r="B445" s="91" t="n"/>
      <c r="C445" s="91" t="n"/>
      <c r="D445" s="94" t="str">
        <f>IF(OR(R445=0,V445=0),"",INDEX('CAD_RESÍDUOS'!$E$6:$E$205,MATCH(C445,'CAD_RESÍDUOS'!$B$6:$B$205,0))&amp;"")</f>
        <v/>
      </c>
      <c r="E445" s="94" t="str">
        <f>IF(OR(R445=0,V445=0),"",INDEX('CAD_RESÍDUOS'!$C$6:$C$205,MATCH(C445,'CAD_RESÍDUOS'!$B$6:$B$205,0))&amp;"")</f>
        <v/>
      </c>
      <c r="F445" s="94" t="str">
        <f>IF(OR(R445=0,V445=0),"",INDEX('CAD_RESÍDUOS'!$G$6:$G$205,MATCH(C445,'CAD_RESÍDUOS'!$B$6:$B$205,0))&amp;"")</f>
        <v/>
      </c>
      <c r="G445" s="98" t="n"/>
      <c r="H445" s="91" t="n"/>
      <c r="I445" s="93" t="str">
        <f>IF(R445=0,"",IF(NOT(ISNUMBER(G445)),"",IF(ISNUMBER(X445),G445*X445,"UNIDADE A CONFERIR")))</f>
        <v/>
      </c>
      <c r="J445" s="91" t="n"/>
      <c r="K445" s="91" t="n"/>
      <c r="L445" s="93" t="str">
        <f>IF(R445=0,"",SUMIFS('RECEBIMENTOS'!$H$6:$H$1005,'RECEBIMENTOS'!$R$6:$R$1005,A445,'RECEBIMENTOS'!$X$6:$X$1005,1))</f>
        <v/>
      </c>
      <c r="M445" s="93" t="str">
        <f>IF(R445=0,"",SUMIFS('VÍNCULOS_CDF'!$H$6:$H$1005,'VÍNCULOS_CDF'!$R$6:$R$1005,A445,'VÍNCULOS_CDF'!$V$6:$V$1005,1))</f>
        <v/>
      </c>
      <c r="N445" s="99" t="str">
        <f>IF(OR(R445=0,AA445=0,NOT(ISNUMBER(I445))),"",I445-N(L445))</f>
        <v/>
      </c>
      <c r="O445" s="100" t="str">
        <f>IF(OR(R445=0,AK445&lt;=0),"",N(M445)/AK445)</f>
        <v/>
      </c>
      <c r="P445" s="94" t="str">
        <f>IF(R445=0,"",IF(S445="","Sem MTR associado",IF(U445=0,"MTR inexistente",IF(C445="","Resíduo não identificado",IF(V445=0,"Resíduo fora do cadastro",IF(W445=0,"Quantidade inválida",IF(H445="","Unidade não informada",IF(NOT(ISNUMBER(I445)),"Unidade a conferir",IF(AND(AH445=1,K445&lt;&gt;"Sim"),"Possível duplicidade",IF(Z445=1,"MTR cancelado",IF(AC445&gt;0,"Recebimento com alerta",IF(AA445=0,"Aguardando recebimento",IF(AB445&lt;AA445,"Recebimento a conferir",IF(AM445=1,"Quantidade a revisar",IF(AF445&gt;0,"Vínculo a revisar",IF(AD445=0,"Aguardando CDF",IF(AN445=0,"Vínculo de CDF parcial",IF(AE445&lt;AD445,"CDF a conferir","Documentação conferida"))))))))))))))))))</f>
        <v/>
      </c>
      <c r="Q445" s="93" t="str">
        <f>IF(OR(R445=0,AA445=0),"",MAX(0,N(L445)-N(M445)))</f>
        <v/>
      </c>
      <c r="R445" s="96">
        <f>IF(COUNTA(B445:C445,G445:H445,J445:K445)&gt;0,1,0)</f>
        <v>0</v>
      </c>
      <c r="S445" s="96" t="str">
        <f>IF(B445="","",TRIM(LEFT(B445,FIND(" |",B445&amp;" |")-1)))</f>
        <v/>
      </c>
      <c r="T445" s="96" t="str">
        <f>IF(S445="","",IFERROR(MATCH(S445,'MTRs'!$A$6:$A$505,0),""))</f>
        <v/>
      </c>
      <c r="U445" s="96">
        <f>IF(T445="",0,IF(INDEX('MTRs'!$Z$6:$Z$505,T445)=1,1,0))</f>
        <v>0</v>
      </c>
      <c r="V445" s="96">
        <f>IF(C445="",0,IF(ISNUMBER(MATCH(C445,'CAD_RESÍDUOS'!$B$6:$B$205,0)),1,0))</f>
        <v>0</v>
      </c>
      <c r="W445" s="96">
        <f>IF(AND(ISNUMBER(G445),G445&gt;0),1,0)</f>
        <v>0</v>
      </c>
      <c r="X445" s="96" t="str">
        <f>IF(H445="","",IFERROR(IF(ISNUMBER(INDEX(cfg_fac,MATCH(H445,cfg_units,0))),IF(INDEX(cfg_fac,MATCH(H445,cfg_units,0))&gt;0,INDEX(cfg_fac,MATCH(H445,cfg_units,0)),""),""),""))</f>
        <v/>
      </c>
      <c r="Y445" s="96">
        <f>IF(AND(W445=1,ISNUMBER(I445)),1,0)</f>
        <v>0</v>
      </c>
      <c r="Z445" s="96">
        <f>IF(U445=1,INDEX('MTRs'!$AA$6:$AA$505,T445),0)</f>
        <v>0</v>
      </c>
      <c r="AA445" s="96">
        <f>IF(R445=0,0,COUNTIFS('RECEBIMENTOS'!$R$6:$R$1005,A445,'RECEBIMENTOS'!$Q$6:$Q$1005,1))</f>
        <v>0</v>
      </c>
      <c r="AB445" s="96">
        <f>IF(R445=0,0,COUNTIFS('RECEBIMENTOS'!$R$6:$R$1005,A445,'RECEBIMENTOS'!$Z$6:$Z$1005,1))</f>
        <v>0</v>
      </c>
      <c r="AC445" s="96">
        <f>IF(R445=0,0,COUNTIFS('RECEBIMENTOS'!$R$6:$R$1005,A445,'RECEBIMENTOS'!$Y$6:$Y$1005,1))</f>
        <v>0</v>
      </c>
      <c r="AD445" s="96">
        <f>IF(R445=0,0,COUNTIFS('VÍNCULOS_CDF'!$R$6:$R$1005,A445,'VÍNCULOS_CDF'!$N$6:$N$1005,1))</f>
        <v>0</v>
      </c>
      <c r="AE445" s="96">
        <f>IF(R445=0,0,COUNTIFS('VÍNCULOS_CDF'!$R$6:$R$1005,A445,'VÍNCULOS_CDF'!$AA$6:$AA$1005,1))</f>
        <v>0</v>
      </c>
      <c r="AF445" s="96">
        <f>IF(R445=0,0,COUNTIFS('VÍNCULOS_CDF'!$R$6:$R$1005,A445,'VÍNCULOS_CDF'!$Y$6:$Y$1005,1))</f>
        <v>0</v>
      </c>
      <c r="AG445" s="96" t="str">
        <f>IF(AND(R445=1,S445&lt;&gt;"",C445&lt;&gt;""),S445&amp;"|"&amp;C445&amp;"|"&amp;G445&amp;"|"&amp;H445,"")</f>
        <v/>
      </c>
      <c r="AH445" s="96">
        <f>IF(AG445="",0,IF(SUMPRODUCT(--($AG$6:$AG$1005=AG445))&gt;1,1,0))</f>
        <v>0</v>
      </c>
      <c r="AI445" s="96">
        <f>IF(R445=0,0,IF(OR(U445=0,V445=0,Y445=0,AND(AH445=1,K445&lt;&gt;"Sim")),1,0))</f>
        <v>0</v>
      </c>
      <c r="AJ445" s="96">
        <f>IF(AND(R445=1,AA445&gt;0,AB445=AA445),1,0)</f>
        <v>0</v>
      </c>
      <c r="AK445" s="96">
        <f>IF(R445=0,0,IF(AA445&gt;0,N(L445),IF(ISNUMBER(I445),I445,0)))</f>
        <v>0</v>
      </c>
      <c r="AL445" s="96">
        <f>IF(R445=0,0,IF(AND(K445&lt;&gt;"Sim",N(M445)&gt;AK445+cfg_tol),1,0))</f>
        <v>0</v>
      </c>
      <c r="AM445" s="96">
        <f>IF(R445=0,0,IF(K445="Sim",0,IF(OR(AND(AA445&gt;0,ISNUMBER(I445),ABS(I445-N(L445))&gt;cfg_tol),AL445=1),1,0)))</f>
        <v>0</v>
      </c>
      <c r="AN445" s="96">
        <f>IF(AND(R445=1,N(M445)&gt;0,OR(N(M445)&gt;=AK445-cfg_tol,K445="Sim")),1,0)</f>
        <v>0</v>
      </c>
      <c r="AO445" s="96">
        <f>IF(AND(AN445=1,AD445&gt;0,AE445=AD445,AL445=0),1,0)</f>
        <v>0</v>
      </c>
      <c r="AP445" s="96">
        <f>IF(U445=0,0,IF(AND(INDEX('MTRs'!$AX$6:$AX$505,T445)=1,Z445=0,OR(f_res="",f_res="(Todos)",C445=f_res)),1,0))</f>
        <v>0</v>
      </c>
      <c r="AQ445" s="97" t="str">
        <f>IF(U445=0,"",INDEX('MTRs'!$AZ$6:$AZ$505,T445))</f>
        <v/>
      </c>
      <c r="AR445" s="96">
        <f>IF(U445=0,0,IF(AND(INDEX('MTRs'!$BA$6:$BA$505,T445)=1,Z445=0),1,0))</f>
        <v>0</v>
      </c>
      <c r="AS445" s="96" t="str">
        <f>IF(R445=1,A445&amp;" | MTR "&amp;IF(U445=1,INDEX('MTRs'!$B$6:$B$505,T445)&amp;"","?")&amp;" | "&amp;IF(C445="","(sem resíduo)",C445),"")</f>
        <v/>
      </c>
      <c r="AT445" s="96" t="str">
        <f>IF(R445=1,COUNTIF($R$6:R445,1),"")</f>
        <v/>
      </c>
      <c r="AU445" s="96" t="str">
        <f>IF(U445=1,INDEX('MTRs'!$I$6:$I$505,T445)&amp;"","")</f>
        <v/>
      </c>
    </row>
    <row r="446">
      <c r="A446" s="89" t="inlineStr">
        <is>
          <t>IT-000441</t>
        </is>
      </c>
      <c r="B446" s="91" t="n"/>
      <c r="C446" s="91" t="n"/>
      <c r="D446" s="94" t="str">
        <f>IF(OR(R446=0,V446=0),"",INDEX('CAD_RESÍDUOS'!$E$6:$E$205,MATCH(C446,'CAD_RESÍDUOS'!$B$6:$B$205,0))&amp;"")</f>
        <v/>
      </c>
      <c r="E446" s="94" t="str">
        <f>IF(OR(R446=0,V446=0),"",INDEX('CAD_RESÍDUOS'!$C$6:$C$205,MATCH(C446,'CAD_RESÍDUOS'!$B$6:$B$205,0))&amp;"")</f>
        <v/>
      </c>
      <c r="F446" s="94" t="str">
        <f>IF(OR(R446=0,V446=0),"",INDEX('CAD_RESÍDUOS'!$G$6:$G$205,MATCH(C446,'CAD_RESÍDUOS'!$B$6:$B$205,0))&amp;"")</f>
        <v/>
      </c>
      <c r="G446" s="98" t="n"/>
      <c r="H446" s="91" t="n"/>
      <c r="I446" s="93" t="str">
        <f>IF(R446=0,"",IF(NOT(ISNUMBER(G446)),"",IF(ISNUMBER(X446),G446*X446,"UNIDADE A CONFERIR")))</f>
        <v/>
      </c>
      <c r="J446" s="91" t="n"/>
      <c r="K446" s="91" t="n"/>
      <c r="L446" s="93" t="str">
        <f>IF(R446=0,"",SUMIFS('RECEBIMENTOS'!$H$6:$H$1005,'RECEBIMENTOS'!$R$6:$R$1005,A446,'RECEBIMENTOS'!$X$6:$X$1005,1))</f>
        <v/>
      </c>
      <c r="M446" s="93" t="str">
        <f>IF(R446=0,"",SUMIFS('VÍNCULOS_CDF'!$H$6:$H$1005,'VÍNCULOS_CDF'!$R$6:$R$1005,A446,'VÍNCULOS_CDF'!$V$6:$V$1005,1))</f>
        <v/>
      </c>
      <c r="N446" s="99" t="str">
        <f>IF(OR(R446=0,AA446=0,NOT(ISNUMBER(I446))),"",I446-N(L446))</f>
        <v/>
      </c>
      <c r="O446" s="100" t="str">
        <f>IF(OR(R446=0,AK446&lt;=0),"",N(M446)/AK446)</f>
        <v/>
      </c>
      <c r="P446" s="94" t="str">
        <f>IF(R446=0,"",IF(S446="","Sem MTR associado",IF(U446=0,"MTR inexistente",IF(C446="","Resíduo não identificado",IF(V446=0,"Resíduo fora do cadastro",IF(W446=0,"Quantidade inválida",IF(H446="","Unidade não informada",IF(NOT(ISNUMBER(I446)),"Unidade a conferir",IF(AND(AH446=1,K446&lt;&gt;"Sim"),"Possível duplicidade",IF(Z446=1,"MTR cancelado",IF(AC446&gt;0,"Recebimento com alerta",IF(AA446=0,"Aguardando recebimento",IF(AB446&lt;AA446,"Recebimento a conferir",IF(AM446=1,"Quantidade a revisar",IF(AF446&gt;0,"Vínculo a revisar",IF(AD446=0,"Aguardando CDF",IF(AN446=0,"Vínculo de CDF parcial",IF(AE446&lt;AD446,"CDF a conferir","Documentação conferida"))))))))))))))))))</f>
        <v/>
      </c>
      <c r="Q446" s="93" t="str">
        <f>IF(OR(R446=0,AA446=0),"",MAX(0,N(L446)-N(M446)))</f>
        <v/>
      </c>
      <c r="R446" s="96">
        <f>IF(COUNTA(B446:C446,G446:H446,J446:K446)&gt;0,1,0)</f>
        <v>0</v>
      </c>
      <c r="S446" s="96" t="str">
        <f>IF(B446="","",TRIM(LEFT(B446,FIND(" |",B446&amp;" |")-1)))</f>
        <v/>
      </c>
      <c r="T446" s="96" t="str">
        <f>IF(S446="","",IFERROR(MATCH(S446,'MTRs'!$A$6:$A$505,0),""))</f>
        <v/>
      </c>
      <c r="U446" s="96">
        <f>IF(T446="",0,IF(INDEX('MTRs'!$Z$6:$Z$505,T446)=1,1,0))</f>
        <v>0</v>
      </c>
      <c r="V446" s="96">
        <f>IF(C446="",0,IF(ISNUMBER(MATCH(C446,'CAD_RESÍDUOS'!$B$6:$B$205,0)),1,0))</f>
        <v>0</v>
      </c>
      <c r="W446" s="96">
        <f>IF(AND(ISNUMBER(G446),G446&gt;0),1,0)</f>
        <v>0</v>
      </c>
      <c r="X446" s="96" t="str">
        <f>IF(H446="","",IFERROR(IF(ISNUMBER(INDEX(cfg_fac,MATCH(H446,cfg_units,0))),IF(INDEX(cfg_fac,MATCH(H446,cfg_units,0))&gt;0,INDEX(cfg_fac,MATCH(H446,cfg_units,0)),""),""),""))</f>
        <v/>
      </c>
      <c r="Y446" s="96">
        <f>IF(AND(W446=1,ISNUMBER(I446)),1,0)</f>
        <v>0</v>
      </c>
      <c r="Z446" s="96">
        <f>IF(U446=1,INDEX('MTRs'!$AA$6:$AA$505,T446),0)</f>
        <v>0</v>
      </c>
      <c r="AA446" s="96">
        <f>IF(R446=0,0,COUNTIFS('RECEBIMENTOS'!$R$6:$R$1005,A446,'RECEBIMENTOS'!$Q$6:$Q$1005,1))</f>
        <v>0</v>
      </c>
      <c r="AB446" s="96">
        <f>IF(R446=0,0,COUNTIFS('RECEBIMENTOS'!$R$6:$R$1005,A446,'RECEBIMENTOS'!$Z$6:$Z$1005,1))</f>
        <v>0</v>
      </c>
      <c r="AC446" s="96">
        <f>IF(R446=0,0,COUNTIFS('RECEBIMENTOS'!$R$6:$R$1005,A446,'RECEBIMENTOS'!$Y$6:$Y$1005,1))</f>
        <v>0</v>
      </c>
      <c r="AD446" s="96">
        <f>IF(R446=0,0,COUNTIFS('VÍNCULOS_CDF'!$R$6:$R$1005,A446,'VÍNCULOS_CDF'!$N$6:$N$1005,1))</f>
        <v>0</v>
      </c>
      <c r="AE446" s="96">
        <f>IF(R446=0,0,COUNTIFS('VÍNCULOS_CDF'!$R$6:$R$1005,A446,'VÍNCULOS_CDF'!$AA$6:$AA$1005,1))</f>
        <v>0</v>
      </c>
      <c r="AF446" s="96">
        <f>IF(R446=0,0,COUNTIFS('VÍNCULOS_CDF'!$R$6:$R$1005,A446,'VÍNCULOS_CDF'!$Y$6:$Y$1005,1))</f>
        <v>0</v>
      </c>
      <c r="AG446" s="96" t="str">
        <f>IF(AND(R446=1,S446&lt;&gt;"",C446&lt;&gt;""),S446&amp;"|"&amp;C446&amp;"|"&amp;G446&amp;"|"&amp;H446,"")</f>
        <v/>
      </c>
      <c r="AH446" s="96">
        <f>IF(AG446="",0,IF(SUMPRODUCT(--($AG$6:$AG$1005=AG446))&gt;1,1,0))</f>
        <v>0</v>
      </c>
      <c r="AI446" s="96">
        <f>IF(R446=0,0,IF(OR(U446=0,V446=0,Y446=0,AND(AH446=1,K446&lt;&gt;"Sim")),1,0))</f>
        <v>0</v>
      </c>
      <c r="AJ446" s="96">
        <f>IF(AND(R446=1,AA446&gt;0,AB446=AA446),1,0)</f>
        <v>0</v>
      </c>
      <c r="AK446" s="96">
        <f>IF(R446=0,0,IF(AA446&gt;0,N(L446),IF(ISNUMBER(I446),I446,0)))</f>
        <v>0</v>
      </c>
      <c r="AL446" s="96">
        <f>IF(R446=0,0,IF(AND(K446&lt;&gt;"Sim",N(M446)&gt;AK446+cfg_tol),1,0))</f>
        <v>0</v>
      </c>
      <c r="AM446" s="96">
        <f>IF(R446=0,0,IF(K446="Sim",0,IF(OR(AND(AA446&gt;0,ISNUMBER(I446),ABS(I446-N(L446))&gt;cfg_tol),AL446=1),1,0)))</f>
        <v>0</v>
      </c>
      <c r="AN446" s="96">
        <f>IF(AND(R446=1,N(M446)&gt;0,OR(N(M446)&gt;=AK446-cfg_tol,K446="Sim")),1,0)</f>
        <v>0</v>
      </c>
      <c r="AO446" s="96">
        <f>IF(AND(AN446=1,AD446&gt;0,AE446=AD446,AL446=0),1,0)</f>
        <v>0</v>
      </c>
      <c r="AP446" s="96">
        <f>IF(U446=0,0,IF(AND(INDEX('MTRs'!$AX$6:$AX$505,T446)=1,Z446=0,OR(f_res="",f_res="(Todos)",C446=f_res)),1,0))</f>
        <v>0</v>
      </c>
      <c r="AQ446" s="97" t="str">
        <f>IF(U446=0,"",INDEX('MTRs'!$AZ$6:$AZ$505,T446))</f>
        <v/>
      </c>
      <c r="AR446" s="96">
        <f>IF(U446=0,0,IF(AND(INDEX('MTRs'!$BA$6:$BA$505,T446)=1,Z446=0),1,0))</f>
        <v>0</v>
      </c>
      <c r="AS446" s="96" t="str">
        <f>IF(R446=1,A446&amp;" | MTR "&amp;IF(U446=1,INDEX('MTRs'!$B$6:$B$505,T446)&amp;"","?")&amp;" | "&amp;IF(C446="","(sem resíduo)",C446),"")</f>
        <v/>
      </c>
      <c r="AT446" s="96" t="str">
        <f>IF(R446=1,COUNTIF($R$6:R446,1),"")</f>
        <v/>
      </c>
      <c r="AU446" s="96" t="str">
        <f>IF(U446=1,INDEX('MTRs'!$I$6:$I$505,T446)&amp;"","")</f>
        <v/>
      </c>
    </row>
    <row r="447">
      <c r="A447" s="89" t="inlineStr">
        <is>
          <t>IT-000442</t>
        </is>
      </c>
      <c r="B447" s="91" t="n"/>
      <c r="C447" s="91" t="n"/>
      <c r="D447" s="94" t="str">
        <f>IF(OR(R447=0,V447=0),"",INDEX('CAD_RESÍDUOS'!$E$6:$E$205,MATCH(C447,'CAD_RESÍDUOS'!$B$6:$B$205,0))&amp;"")</f>
        <v/>
      </c>
      <c r="E447" s="94" t="str">
        <f>IF(OR(R447=0,V447=0),"",INDEX('CAD_RESÍDUOS'!$C$6:$C$205,MATCH(C447,'CAD_RESÍDUOS'!$B$6:$B$205,0))&amp;"")</f>
        <v/>
      </c>
      <c r="F447" s="94" t="str">
        <f>IF(OR(R447=0,V447=0),"",INDEX('CAD_RESÍDUOS'!$G$6:$G$205,MATCH(C447,'CAD_RESÍDUOS'!$B$6:$B$205,0))&amp;"")</f>
        <v/>
      </c>
      <c r="G447" s="98" t="n"/>
      <c r="H447" s="91" t="n"/>
      <c r="I447" s="93" t="str">
        <f>IF(R447=0,"",IF(NOT(ISNUMBER(G447)),"",IF(ISNUMBER(X447),G447*X447,"UNIDADE A CONFERIR")))</f>
        <v/>
      </c>
      <c r="J447" s="91" t="n"/>
      <c r="K447" s="91" t="n"/>
      <c r="L447" s="93" t="str">
        <f>IF(R447=0,"",SUMIFS('RECEBIMENTOS'!$H$6:$H$1005,'RECEBIMENTOS'!$R$6:$R$1005,A447,'RECEBIMENTOS'!$X$6:$X$1005,1))</f>
        <v/>
      </c>
      <c r="M447" s="93" t="str">
        <f>IF(R447=0,"",SUMIFS('VÍNCULOS_CDF'!$H$6:$H$1005,'VÍNCULOS_CDF'!$R$6:$R$1005,A447,'VÍNCULOS_CDF'!$V$6:$V$1005,1))</f>
        <v/>
      </c>
      <c r="N447" s="99" t="str">
        <f>IF(OR(R447=0,AA447=0,NOT(ISNUMBER(I447))),"",I447-N(L447))</f>
        <v/>
      </c>
      <c r="O447" s="100" t="str">
        <f>IF(OR(R447=0,AK447&lt;=0),"",N(M447)/AK447)</f>
        <v/>
      </c>
      <c r="P447" s="94" t="str">
        <f>IF(R447=0,"",IF(S447="","Sem MTR associado",IF(U447=0,"MTR inexistente",IF(C447="","Resíduo não identificado",IF(V447=0,"Resíduo fora do cadastro",IF(W447=0,"Quantidade inválida",IF(H447="","Unidade não informada",IF(NOT(ISNUMBER(I447)),"Unidade a conferir",IF(AND(AH447=1,K447&lt;&gt;"Sim"),"Possível duplicidade",IF(Z447=1,"MTR cancelado",IF(AC447&gt;0,"Recebimento com alerta",IF(AA447=0,"Aguardando recebimento",IF(AB447&lt;AA447,"Recebimento a conferir",IF(AM447=1,"Quantidade a revisar",IF(AF447&gt;0,"Vínculo a revisar",IF(AD447=0,"Aguardando CDF",IF(AN447=0,"Vínculo de CDF parcial",IF(AE447&lt;AD447,"CDF a conferir","Documentação conferida"))))))))))))))))))</f>
        <v/>
      </c>
      <c r="Q447" s="93" t="str">
        <f>IF(OR(R447=0,AA447=0),"",MAX(0,N(L447)-N(M447)))</f>
        <v/>
      </c>
      <c r="R447" s="96">
        <f>IF(COUNTA(B447:C447,G447:H447,J447:K447)&gt;0,1,0)</f>
        <v>0</v>
      </c>
      <c r="S447" s="96" t="str">
        <f>IF(B447="","",TRIM(LEFT(B447,FIND(" |",B447&amp;" |")-1)))</f>
        <v/>
      </c>
      <c r="T447" s="96" t="str">
        <f>IF(S447="","",IFERROR(MATCH(S447,'MTRs'!$A$6:$A$505,0),""))</f>
        <v/>
      </c>
      <c r="U447" s="96">
        <f>IF(T447="",0,IF(INDEX('MTRs'!$Z$6:$Z$505,T447)=1,1,0))</f>
        <v>0</v>
      </c>
      <c r="V447" s="96">
        <f>IF(C447="",0,IF(ISNUMBER(MATCH(C447,'CAD_RESÍDUOS'!$B$6:$B$205,0)),1,0))</f>
        <v>0</v>
      </c>
      <c r="W447" s="96">
        <f>IF(AND(ISNUMBER(G447),G447&gt;0),1,0)</f>
        <v>0</v>
      </c>
      <c r="X447" s="96" t="str">
        <f>IF(H447="","",IFERROR(IF(ISNUMBER(INDEX(cfg_fac,MATCH(H447,cfg_units,0))),IF(INDEX(cfg_fac,MATCH(H447,cfg_units,0))&gt;0,INDEX(cfg_fac,MATCH(H447,cfg_units,0)),""),""),""))</f>
        <v/>
      </c>
      <c r="Y447" s="96">
        <f>IF(AND(W447=1,ISNUMBER(I447)),1,0)</f>
        <v>0</v>
      </c>
      <c r="Z447" s="96">
        <f>IF(U447=1,INDEX('MTRs'!$AA$6:$AA$505,T447),0)</f>
        <v>0</v>
      </c>
      <c r="AA447" s="96">
        <f>IF(R447=0,0,COUNTIFS('RECEBIMENTOS'!$R$6:$R$1005,A447,'RECEBIMENTOS'!$Q$6:$Q$1005,1))</f>
        <v>0</v>
      </c>
      <c r="AB447" s="96">
        <f>IF(R447=0,0,COUNTIFS('RECEBIMENTOS'!$R$6:$R$1005,A447,'RECEBIMENTOS'!$Z$6:$Z$1005,1))</f>
        <v>0</v>
      </c>
      <c r="AC447" s="96">
        <f>IF(R447=0,0,COUNTIFS('RECEBIMENTOS'!$R$6:$R$1005,A447,'RECEBIMENTOS'!$Y$6:$Y$1005,1))</f>
        <v>0</v>
      </c>
      <c r="AD447" s="96">
        <f>IF(R447=0,0,COUNTIFS('VÍNCULOS_CDF'!$R$6:$R$1005,A447,'VÍNCULOS_CDF'!$N$6:$N$1005,1))</f>
        <v>0</v>
      </c>
      <c r="AE447" s="96">
        <f>IF(R447=0,0,COUNTIFS('VÍNCULOS_CDF'!$R$6:$R$1005,A447,'VÍNCULOS_CDF'!$AA$6:$AA$1005,1))</f>
        <v>0</v>
      </c>
      <c r="AF447" s="96">
        <f>IF(R447=0,0,COUNTIFS('VÍNCULOS_CDF'!$R$6:$R$1005,A447,'VÍNCULOS_CDF'!$Y$6:$Y$1005,1))</f>
        <v>0</v>
      </c>
      <c r="AG447" s="96" t="str">
        <f>IF(AND(R447=1,S447&lt;&gt;"",C447&lt;&gt;""),S447&amp;"|"&amp;C447&amp;"|"&amp;G447&amp;"|"&amp;H447,"")</f>
        <v/>
      </c>
      <c r="AH447" s="96">
        <f>IF(AG447="",0,IF(SUMPRODUCT(--($AG$6:$AG$1005=AG447))&gt;1,1,0))</f>
        <v>0</v>
      </c>
      <c r="AI447" s="96">
        <f>IF(R447=0,0,IF(OR(U447=0,V447=0,Y447=0,AND(AH447=1,K447&lt;&gt;"Sim")),1,0))</f>
        <v>0</v>
      </c>
      <c r="AJ447" s="96">
        <f>IF(AND(R447=1,AA447&gt;0,AB447=AA447),1,0)</f>
        <v>0</v>
      </c>
      <c r="AK447" s="96">
        <f>IF(R447=0,0,IF(AA447&gt;0,N(L447),IF(ISNUMBER(I447),I447,0)))</f>
        <v>0</v>
      </c>
      <c r="AL447" s="96">
        <f>IF(R447=0,0,IF(AND(K447&lt;&gt;"Sim",N(M447)&gt;AK447+cfg_tol),1,0))</f>
        <v>0</v>
      </c>
      <c r="AM447" s="96">
        <f>IF(R447=0,0,IF(K447="Sim",0,IF(OR(AND(AA447&gt;0,ISNUMBER(I447),ABS(I447-N(L447))&gt;cfg_tol),AL447=1),1,0)))</f>
        <v>0</v>
      </c>
      <c r="AN447" s="96">
        <f>IF(AND(R447=1,N(M447)&gt;0,OR(N(M447)&gt;=AK447-cfg_tol,K447="Sim")),1,0)</f>
        <v>0</v>
      </c>
      <c r="AO447" s="96">
        <f>IF(AND(AN447=1,AD447&gt;0,AE447=AD447,AL447=0),1,0)</f>
        <v>0</v>
      </c>
      <c r="AP447" s="96">
        <f>IF(U447=0,0,IF(AND(INDEX('MTRs'!$AX$6:$AX$505,T447)=1,Z447=0,OR(f_res="",f_res="(Todos)",C447=f_res)),1,0))</f>
        <v>0</v>
      </c>
      <c r="AQ447" s="97" t="str">
        <f>IF(U447=0,"",INDEX('MTRs'!$AZ$6:$AZ$505,T447))</f>
        <v/>
      </c>
      <c r="AR447" s="96">
        <f>IF(U447=0,0,IF(AND(INDEX('MTRs'!$BA$6:$BA$505,T447)=1,Z447=0),1,0))</f>
        <v>0</v>
      </c>
      <c r="AS447" s="96" t="str">
        <f>IF(R447=1,A447&amp;" | MTR "&amp;IF(U447=1,INDEX('MTRs'!$B$6:$B$505,T447)&amp;"","?")&amp;" | "&amp;IF(C447="","(sem resíduo)",C447),"")</f>
        <v/>
      </c>
      <c r="AT447" s="96" t="str">
        <f>IF(R447=1,COUNTIF($R$6:R447,1),"")</f>
        <v/>
      </c>
      <c r="AU447" s="96" t="str">
        <f>IF(U447=1,INDEX('MTRs'!$I$6:$I$505,T447)&amp;"","")</f>
        <v/>
      </c>
    </row>
    <row r="448">
      <c r="A448" s="89" t="inlineStr">
        <is>
          <t>IT-000443</t>
        </is>
      </c>
      <c r="B448" s="91" t="n"/>
      <c r="C448" s="91" t="n"/>
      <c r="D448" s="94" t="str">
        <f>IF(OR(R448=0,V448=0),"",INDEX('CAD_RESÍDUOS'!$E$6:$E$205,MATCH(C448,'CAD_RESÍDUOS'!$B$6:$B$205,0))&amp;"")</f>
        <v/>
      </c>
      <c r="E448" s="94" t="str">
        <f>IF(OR(R448=0,V448=0),"",INDEX('CAD_RESÍDUOS'!$C$6:$C$205,MATCH(C448,'CAD_RESÍDUOS'!$B$6:$B$205,0))&amp;"")</f>
        <v/>
      </c>
      <c r="F448" s="94" t="str">
        <f>IF(OR(R448=0,V448=0),"",INDEX('CAD_RESÍDUOS'!$G$6:$G$205,MATCH(C448,'CAD_RESÍDUOS'!$B$6:$B$205,0))&amp;"")</f>
        <v/>
      </c>
      <c r="G448" s="98" t="n"/>
      <c r="H448" s="91" t="n"/>
      <c r="I448" s="93" t="str">
        <f>IF(R448=0,"",IF(NOT(ISNUMBER(G448)),"",IF(ISNUMBER(X448),G448*X448,"UNIDADE A CONFERIR")))</f>
        <v/>
      </c>
      <c r="J448" s="91" t="n"/>
      <c r="K448" s="91" t="n"/>
      <c r="L448" s="93" t="str">
        <f>IF(R448=0,"",SUMIFS('RECEBIMENTOS'!$H$6:$H$1005,'RECEBIMENTOS'!$R$6:$R$1005,A448,'RECEBIMENTOS'!$X$6:$X$1005,1))</f>
        <v/>
      </c>
      <c r="M448" s="93" t="str">
        <f>IF(R448=0,"",SUMIFS('VÍNCULOS_CDF'!$H$6:$H$1005,'VÍNCULOS_CDF'!$R$6:$R$1005,A448,'VÍNCULOS_CDF'!$V$6:$V$1005,1))</f>
        <v/>
      </c>
      <c r="N448" s="99" t="str">
        <f>IF(OR(R448=0,AA448=0,NOT(ISNUMBER(I448))),"",I448-N(L448))</f>
        <v/>
      </c>
      <c r="O448" s="100" t="str">
        <f>IF(OR(R448=0,AK448&lt;=0),"",N(M448)/AK448)</f>
        <v/>
      </c>
      <c r="P448" s="94" t="str">
        <f>IF(R448=0,"",IF(S448="","Sem MTR associado",IF(U448=0,"MTR inexistente",IF(C448="","Resíduo não identificado",IF(V448=0,"Resíduo fora do cadastro",IF(W448=0,"Quantidade inválida",IF(H448="","Unidade não informada",IF(NOT(ISNUMBER(I448)),"Unidade a conferir",IF(AND(AH448=1,K448&lt;&gt;"Sim"),"Possível duplicidade",IF(Z448=1,"MTR cancelado",IF(AC448&gt;0,"Recebimento com alerta",IF(AA448=0,"Aguardando recebimento",IF(AB448&lt;AA448,"Recebimento a conferir",IF(AM448=1,"Quantidade a revisar",IF(AF448&gt;0,"Vínculo a revisar",IF(AD448=0,"Aguardando CDF",IF(AN448=0,"Vínculo de CDF parcial",IF(AE448&lt;AD448,"CDF a conferir","Documentação conferida"))))))))))))))))))</f>
        <v/>
      </c>
      <c r="Q448" s="93" t="str">
        <f>IF(OR(R448=0,AA448=0),"",MAX(0,N(L448)-N(M448)))</f>
        <v/>
      </c>
      <c r="R448" s="96">
        <f>IF(COUNTA(B448:C448,G448:H448,J448:K448)&gt;0,1,0)</f>
        <v>0</v>
      </c>
      <c r="S448" s="96" t="str">
        <f>IF(B448="","",TRIM(LEFT(B448,FIND(" |",B448&amp;" |")-1)))</f>
        <v/>
      </c>
      <c r="T448" s="96" t="str">
        <f>IF(S448="","",IFERROR(MATCH(S448,'MTRs'!$A$6:$A$505,0),""))</f>
        <v/>
      </c>
      <c r="U448" s="96">
        <f>IF(T448="",0,IF(INDEX('MTRs'!$Z$6:$Z$505,T448)=1,1,0))</f>
        <v>0</v>
      </c>
      <c r="V448" s="96">
        <f>IF(C448="",0,IF(ISNUMBER(MATCH(C448,'CAD_RESÍDUOS'!$B$6:$B$205,0)),1,0))</f>
        <v>0</v>
      </c>
      <c r="W448" s="96">
        <f>IF(AND(ISNUMBER(G448),G448&gt;0),1,0)</f>
        <v>0</v>
      </c>
      <c r="X448" s="96" t="str">
        <f>IF(H448="","",IFERROR(IF(ISNUMBER(INDEX(cfg_fac,MATCH(H448,cfg_units,0))),IF(INDEX(cfg_fac,MATCH(H448,cfg_units,0))&gt;0,INDEX(cfg_fac,MATCH(H448,cfg_units,0)),""),""),""))</f>
        <v/>
      </c>
      <c r="Y448" s="96">
        <f>IF(AND(W448=1,ISNUMBER(I448)),1,0)</f>
        <v>0</v>
      </c>
      <c r="Z448" s="96">
        <f>IF(U448=1,INDEX('MTRs'!$AA$6:$AA$505,T448),0)</f>
        <v>0</v>
      </c>
      <c r="AA448" s="96">
        <f>IF(R448=0,0,COUNTIFS('RECEBIMENTOS'!$R$6:$R$1005,A448,'RECEBIMENTOS'!$Q$6:$Q$1005,1))</f>
        <v>0</v>
      </c>
      <c r="AB448" s="96">
        <f>IF(R448=0,0,COUNTIFS('RECEBIMENTOS'!$R$6:$R$1005,A448,'RECEBIMENTOS'!$Z$6:$Z$1005,1))</f>
        <v>0</v>
      </c>
      <c r="AC448" s="96">
        <f>IF(R448=0,0,COUNTIFS('RECEBIMENTOS'!$R$6:$R$1005,A448,'RECEBIMENTOS'!$Y$6:$Y$1005,1))</f>
        <v>0</v>
      </c>
      <c r="AD448" s="96">
        <f>IF(R448=0,0,COUNTIFS('VÍNCULOS_CDF'!$R$6:$R$1005,A448,'VÍNCULOS_CDF'!$N$6:$N$1005,1))</f>
        <v>0</v>
      </c>
      <c r="AE448" s="96">
        <f>IF(R448=0,0,COUNTIFS('VÍNCULOS_CDF'!$R$6:$R$1005,A448,'VÍNCULOS_CDF'!$AA$6:$AA$1005,1))</f>
        <v>0</v>
      </c>
      <c r="AF448" s="96">
        <f>IF(R448=0,0,COUNTIFS('VÍNCULOS_CDF'!$R$6:$R$1005,A448,'VÍNCULOS_CDF'!$Y$6:$Y$1005,1))</f>
        <v>0</v>
      </c>
      <c r="AG448" s="96" t="str">
        <f>IF(AND(R448=1,S448&lt;&gt;"",C448&lt;&gt;""),S448&amp;"|"&amp;C448&amp;"|"&amp;G448&amp;"|"&amp;H448,"")</f>
        <v/>
      </c>
      <c r="AH448" s="96">
        <f>IF(AG448="",0,IF(SUMPRODUCT(--($AG$6:$AG$1005=AG448))&gt;1,1,0))</f>
        <v>0</v>
      </c>
      <c r="AI448" s="96">
        <f>IF(R448=0,0,IF(OR(U448=0,V448=0,Y448=0,AND(AH448=1,K448&lt;&gt;"Sim")),1,0))</f>
        <v>0</v>
      </c>
      <c r="AJ448" s="96">
        <f>IF(AND(R448=1,AA448&gt;0,AB448=AA448),1,0)</f>
        <v>0</v>
      </c>
      <c r="AK448" s="96">
        <f>IF(R448=0,0,IF(AA448&gt;0,N(L448),IF(ISNUMBER(I448),I448,0)))</f>
        <v>0</v>
      </c>
      <c r="AL448" s="96">
        <f>IF(R448=0,0,IF(AND(K448&lt;&gt;"Sim",N(M448)&gt;AK448+cfg_tol),1,0))</f>
        <v>0</v>
      </c>
      <c r="AM448" s="96">
        <f>IF(R448=0,0,IF(K448="Sim",0,IF(OR(AND(AA448&gt;0,ISNUMBER(I448),ABS(I448-N(L448))&gt;cfg_tol),AL448=1),1,0)))</f>
        <v>0</v>
      </c>
      <c r="AN448" s="96">
        <f>IF(AND(R448=1,N(M448)&gt;0,OR(N(M448)&gt;=AK448-cfg_tol,K448="Sim")),1,0)</f>
        <v>0</v>
      </c>
      <c r="AO448" s="96">
        <f>IF(AND(AN448=1,AD448&gt;0,AE448=AD448,AL448=0),1,0)</f>
        <v>0</v>
      </c>
      <c r="AP448" s="96">
        <f>IF(U448=0,0,IF(AND(INDEX('MTRs'!$AX$6:$AX$505,T448)=1,Z448=0,OR(f_res="",f_res="(Todos)",C448=f_res)),1,0))</f>
        <v>0</v>
      </c>
      <c r="AQ448" s="97" t="str">
        <f>IF(U448=0,"",INDEX('MTRs'!$AZ$6:$AZ$505,T448))</f>
        <v/>
      </c>
      <c r="AR448" s="96">
        <f>IF(U448=0,0,IF(AND(INDEX('MTRs'!$BA$6:$BA$505,T448)=1,Z448=0),1,0))</f>
        <v>0</v>
      </c>
      <c r="AS448" s="96" t="str">
        <f>IF(R448=1,A448&amp;" | MTR "&amp;IF(U448=1,INDEX('MTRs'!$B$6:$B$505,T448)&amp;"","?")&amp;" | "&amp;IF(C448="","(sem resíduo)",C448),"")</f>
        <v/>
      </c>
      <c r="AT448" s="96" t="str">
        <f>IF(R448=1,COUNTIF($R$6:R448,1),"")</f>
        <v/>
      </c>
      <c r="AU448" s="96" t="str">
        <f>IF(U448=1,INDEX('MTRs'!$I$6:$I$505,T448)&amp;"","")</f>
        <v/>
      </c>
    </row>
    <row r="449">
      <c r="A449" s="89" t="inlineStr">
        <is>
          <t>IT-000444</t>
        </is>
      </c>
      <c r="B449" s="91" t="n"/>
      <c r="C449" s="91" t="n"/>
      <c r="D449" s="94" t="str">
        <f>IF(OR(R449=0,V449=0),"",INDEX('CAD_RESÍDUOS'!$E$6:$E$205,MATCH(C449,'CAD_RESÍDUOS'!$B$6:$B$205,0))&amp;"")</f>
        <v/>
      </c>
      <c r="E449" s="94" t="str">
        <f>IF(OR(R449=0,V449=0),"",INDEX('CAD_RESÍDUOS'!$C$6:$C$205,MATCH(C449,'CAD_RESÍDUOS'!$B$6:$B$205,0))&amp;"")</f>
        <v/>
      </c>
      <c r="F449" s="94" t="str">
        <f>IF(OR(R449=0,V449=0),"",INDEX('CAD_RESÍDUOS'!$G$6:$G$205,MATCH(C449,'CAD_RESÍDUOS'!$B$6:$B$205,0))&amp;"")</f>
        <v/>
      </c>
      <c r="G449" s="98" t="n"/>
      <c r="H449" s="91" t="n"/>
      <c r="I449" s="93" t="str">
        <f>IF(R449=0,"",IF(NOT(ISNUMBER(G449)),"",IF(ISNUMBER(X449),G449*X449,"UNIDADE A CONFERIR")))</f>
        <v/>
      </c>
      <c r="J449" s="91" t="n"/>
      <c r="K449" s="91" t="n"/>
      <c r="L449" s="93" t="str">
        <f>IF(R449=0,"",SUMIFS('RECEBIMENTOS'!$H$6:$H$1005,'RECEBIMENTOS'!$R$6:$R$1005,A449,'RECEBIMENTOS'!$X$6:$X$1005,1))</f>
        <v/>
      </c>
      <c r="M449" s="93" t="str">
        <f>IF(R449=0,"",SUMIFS('VÍNCULOS_CDF'!$H$6:$H$1005,'VÍNCULOS_CDF'!$R$6:$R$1005,A449,'VÍNCULOS_CDF'!$V$6:$V$1005,1))</f>
        <v/>
      </c>
      <c r="N449" s="99" t="str">
        <f>IF(OR(R449=0,AA449=0,NOT(ISNUMBER(I449))),"",I449-N(L449))</f>
        <v/>
      </c>
      <c r="O449" s="100" t="str">
        <f>IF(OR(R449=0,AK449&lt;=0),"",N(M449)/AK449)</f>
        <v/>
      </c>
      <c r="P449" s="94" t="str">
        <f>IF(R449=0,"",IF(S449="","Sem MTR associado",IF(U449=0,"MTR inexistente",IF(C449="","Resíduo não identificado",IF(V449=0,"Resíduo fora do cadastro",IF(W449=0,"Quantidade inválida",IF(H449="","Unidade não informada",IF(NOT(ISNUMBER(I449)),"Unidade a conferir",IF(AND(AH449=1,K449&lt;&gt;"Sim"),"Possível duplicidade",IF(Z449=1,"MTR cancelado",IF(AC449&gt;0,"Recebimento com alerta",IF(AA449=0,"Aguardando recebimento",IF(AB449&lt;AA449,"Recebimento a conferir",IF(AM449=1,"Quantidade a revisar",IF(AF449&gt;0,"Vínculo a revisar",IF(AD449=0,"Aguardando CDF",IF(AN449=0,"Vínculo de CDF parcial",IF(AE449&lt;AD449,"CDF a conferir","Documentação conferida"))))))))))))))))))</f>
        <v/>
      </c>
      <c r="Q449" s="93" t="str">
        <f>IF(OR(R449=0,AA449=0),"",MAX(0,N(L449)-N(M449)))</f>
        <v/>
      </c>
      <c r="R449" s="96">
        <f>IF(COUNTA(B449:C449,G449:H449,J449:K449)&gt;0,1,0)</f>
        <v>0</v>
      </c>
      <c r="S449" s="96" t="str">
        <f>IF(B449="","",TRIM(LEFT(B449,FIND(" |",B449&amp;" |")-1)))</f>
        <v/>
      </c>
      <c r="T449" s="96" t="str">
        <f>IF(S449="","",IFERROR(MATCH(S449,'MTRs'!$A$6:$A$505,0),""))</f>
        <v/>
      </c>
      <c r="U449" s="96">
        <f>IF(T449="",0,IF(INDEX('MTRs'!$Z$6:$Z$505,T449)=1,1,0))</f>
        <v>0</v>
      </c>
      <c r="V449" s="96">
        <f>IF(C449="",0,IF(ISNUMBER(MATCH(C449,'CAD_RESÍDUOS'!$B$6:$B$205,0)),1,0))</f>
        <v>0</v>
      </c>
      <c r="W449" s="96">
        <f>IF(AND(ISNUMBER(G449),G449&gt;0),1,0)</f>
        <v>0</v>
      </c>
      <c r="X449" s="96" t="str">
        <f>IF(H449="","",IFERROR(IF(ISNUMBER(INDEX(cfg_fac,MATCH(H449,cfg_units,0))),IF(INDEX(cfg_fac,MATCH(H449,cfg_units,0))&gt;0,INDEX(cfg_fac,MATCH(H449,cfg_units,0)),""),""),""))</f>
        <v/>
      </c>
      <c r="Y449" s="96">
        <f>IF(AND(W449=1,ISNUMBER(I449)),1,0)</f>
        <v>0</v>
      </c>
      <c r="Z449" s="96">
        <f>IF(U449=1,INDEX('MTRs'!$AA$6:$AA$505,T449),0)</f>
        <v>0</v>
      </c>
      <c r="AA449" s="96">
        <f>IF(R449=0,0,COUNTIFS('RECEBIMENTOS'!$R$6:$R$1005,A449,'RECEBIMENTOS'!$Q$6:$Q$1005,1))</f>
        <v>0</v>
      </c>
      <c r="AB449" s="96">
        <f>IF(R449=0,0,COUNTIFS('RECEBIMENTOS'!$R$6:$R$1005,A449,'RECEBIMENTOS'!$Z$6:$Z$1005,1))</f>
        <v>0</v>
      </c>
      <c r="AC449" s="96">
        <f>IF(R449=0,0,COUNTIFS('RECEBIMENTOS'!$R$6:$R$1005,A449,'RECEBIMENTOS'!$Y$6:$Y$1005,1))</f>
        <v>0</v>
      </c>
      <c r="AD449" s="96">
        <f>IF(R449=0,0,COUNTIFS('VÍNCULOS_CDF'!$R$6:$R$1005,A449,'VÍNCULOS_CDF'!$N$6:$N$1005,1))</f>
        <v>0</v>
      </c>
      <c r="AE449" s="96">
        <f>IF(R449=0,0,COUNTIFS('VÍNCULOS_CDF'!$R$6:$R$1005,A449,'VÍNCULOS_CDF'!$AA$6:$AA$1005,1))</f>
        <v>0</v>
      </c>
      <c r="AF449" s="96">
        <f>IF(R449=0,0,COUNTIFS('VÍNCULOS_CDF'!$R$6:$R$1005,A449,'VÍNCULOS_CDF'!$Y$6:$Y$1005,1))</f>
        <v>0</v>
      </c>
      <c r="AG449" s="96" t="str">
        <f>IF(AND(R449=1,S449&lt;&gt;"",C449&lt;&gt;""),S449&amp;"|"&amp;C449&amp;"|"&amp;G449&amp;"|"&amp;H449,"")</f>
        <v/>
      </c>
      <c r="AH449" s="96">
        <f>IF(AG449="",0,IF(SUMPRODUCT(--($AG$6:$AG$1005=AG449))&gt;1,1,0))</f>
        <v>0</v>
      </c>
      <c r="AI449" s="96">
        <f>IF(R449=0,0,IF(OR(U449=0,V449=0,Y449=0,AND(AH449=1,K449&lt;&gt;"Sim")),1,0))</f>
        <v>0</v>
      </c>
      <c r="AJ449" s="96">
        <f>IF(AND(R449=1,AA449&gt;0,AB449=AA449),1,0)</f>
        <v>0</v>
      </c>
      <c r="AK449" s="96">
        <f>IF(R449=0,0,IF(AA449&gt;0,N(L449),IF(ISNUMBER(I449),I449,0)))</f>
        <v>0</v>
      </c>
      <c r="AL449" s="96">
        <f>IF(R449=0,0,IF(AND(K449&lt;&gt;"Sim",N(M449)&gt;AK449+cfg_tol),1,0))</f>
        <v>0</v>
      </c>
      <c r="AM449" s="96">
        <f>IF(R449=0,0,IF(K449="Sim",0,IF(OR(AND(AA449&gt;0,ISNUMBER(I449),ABS(I449-N(L449))&gt;cfg_tol),AL449=1),1,0)))</f>
        <v>0</v>
      </c>
      <c r="AN449" s="96">
        <f>IF(AND(R449=1,N(M449)&gt;0,OR(N(M449)&gt;=AK449-cfg_tol,K449="Sim")),1,0)</f>
        <v>0</v>
      </c>
      <c r="AO449" s="96">
        <f>IF(AND(AN449=1,AD449&gt;0,AE449=AD449,AL449=0),1,0)</f>
        <v>0</v>
      </c>
      <c r="AP449" s="96">
        <f>IF(U449=0,0,IF(AND(INDEX('MTRs'!$AX$6:$AX$505,T449)=1,Z449=0,OR(f_res="",f_res="(Todos)",C449=f_res)),1,0))</f>
        <v>0</v>
      </c>
      <c r="AQ449" s="97" t="str">
        <f>IF(U449=0,"",INDEX('MTRs'!$AZ$6:$AZ$505,T449))</f>
        <v/>
      </c>
      <c r="AR449" s="96">
        <f>IF(U449=0,0,IF(AND(INDEX('MTRs'!$BA$6:$BA$505,T449)=1,Z449=0),1,0))</f>
        <v>0</v>
      </c>
      <c r="AS449" s="96" t="str">
        <f>IF(R449=1,A449&amp;" | MTR "&amp;IF(U449=1,INDEX('MTRs'!$B$6:$B$505,T449)&amp;"","?")&amp;" | "&amp;IF(C449="","(sem resíduo)",C449),"")</f>
        <v/>
      </c>
      <c r="AT449" s="96" t="str">
        <f>IF(R449=1,COUNTIF($R$6:R449,1),"")</f>
        <v/>
      </c>
      <c r="AU449" s="96" t="str">
        <f>IF(U449=1,INDEX('MTRs'!$I$6:$I$505,T449)&amp;"","")</f>
        <v/>
      </c>
    </row>
    <row r="450">
      <c r="A450" s="89" t="inlineStr">
        <is>
          <t>IT-000445</t>
        </is>
      </c>
      <c r="B450" s="91" t="n"/>
      <c r="C450" s="91" t="n"/>
      <c r="D450" s="94" t="str">
        <f>IF(OR(R450=0,V450=0),"",INDEX('CAD_RESÍDUOS'!$E$6:$E$205,MATCH(C450,'CAD_RESÍDUOS'!$B$6:$B$205,0))&amp;"")</f>
        <v/>
      </c>
      <c r="E450" s="94" t="str">
        <f>IF(OR(R450=0,V450=0),"",INDEX('CAD_RESÍDUOS'!$C$6:$C$205,MATCH(C450,'CAD_RESÍDUOS'!$B$6:$B$205,0))&amp;"")</f>
        <v/>
      </c>
      <c r="F450" s="94" t="str">
        <f>IF(OR(R450=0,V450=0),"",INDEX('CAD_RESÍDUOS'!$G$6:$G$205,MATCH(C450,'CAD_RESÍDUOS'!$B$6:$B$205,0))&amp;"")</f>
        <v/>
      </c>
      <c r="G450" s="98" t="n"/>
      <c r="H450" s="91" t="n"/>
      <c r="I450" s="93" t="str">
        <f>IF(R450=0,"",IF(NOT(ISNUMBER(G450)),"",IF(ISNUMBER(X450),G450*X450,"UNIDADE A CONFERIR")))</f>
        <v/>
      </c>
      <c r="J450" s="91" t="n"/>
      <c r="K450" s="91" t="n"/>
      <c r="L450" s="93" t="str">
        <f>IF(R450=0,"",SUMIFS('RECEBIMENTOS'!$H$6:$H$1005,'RECEBIMENTOS'!$R$6:$R$1005,A450,'RECEBIMENTOS'!$X$6:$X$1005,1))</f>
        <v/>
      </c>
      <c r="M450" s="93" t="str">
        <f>IF(R450=0,"",SUMIFS('VÍNCULOS_CDF'!$H$6:$H$1005,'VÍNCULOS_CDF'!$R$6:$R$1005,A450,'VÍNCULOS_CDF'!$V$6:$V$1005,1))</f>
        <v/>
      </c>
      <c r="N450" s="99" t="str">
        <f>IF(OR(R450=0,AA450=0,NOT(ISNUMBER(I450))),"",I450-N(L450))</f>
        <v/>
      </c>
      <c r="O450" s="100" t="str">
        <f>IF(OR(R450=0,AK450&lt;=0),"",N(M450)/AK450)</f>
        <v/>
      </c>
      <c r="P450" s="94" t="str">
        <f>IF(R450=0,"",IF(S450="","Sem MTR associado",IF(U450=0,"MTR inexistente",IF(C450="","Resíduo não identificado",IF(V450=0,"Resíduo fora do cadastro",IF(W450=0,"Quantidade inválida",IF(H450="","Unidade não informada",IF(NOT(ISNUMBER(I450)),"Unidade a conferir",IF(AND(AH450=1,K450&lt;&gt;"Sim"),"Possível duplicidade",IF(Z450=1,"MTR cancelado",IF(AC450&gt;0,"Recebimento com alerta",IF(AA450=0,"Aguardando recebimento",IF(AB450&lt;AA450,"Recebimento a conferir",IF(AM450=1,"Quantidade a revisar",IF(AF450&gt;0,"Vínculo a revisar",IF(AD450=0,"Aguardando CDF",IF(AN450=0,"Vínculo de CDF parcial",IF(AE450&lt;AD450,"CDF a conferir","Documentação conferida"))))))))))))))))))</f>
        <v/>
      </c>
      <c r="Q450" s="93" t="str">
        <f>IF(OR(R450=0,AA450=0),"",MAX(0,N(L450)-N(M450)))</f>
        <v/>
      </c>
      <c r="R450" s="96">
        <f>IF(COUNTA(B450:C450,G450:H450,J450:K450)&gt;0,1,0)</f>
        <v>0</v>
      </c>
      <c r="S450" s="96" t="str">
        <f>IF(B450="","",TRIM(LEFT(B450,FIND(" |",B450&amp;" |")-1)))</f>
        <v/>
      </c>
      <c r="T450" s="96" t="str">
        <f>IF(S450="","",IFERROR(MATCH(S450,'MTRs'!$A$6:$A$505,0),""))</f>
        <v/>
      </c>
      <c r="U450" s="96">
        <f>IF(T450="",0,IF(INDEX('MTRs'!$Z$6:$Z$505,T450)=1,1,0))</f>
        <v>0</v>
      </c>
      <c r="V450" s="96">
        <f>IF(C450="",0,IF(ISNUMBER(MATCH(C450,'CAD_RESÍDUOS'!$B$6:$B$205,0)),1,0))</f>
        <v>0</v>
      </c>
      <c r="W450" s="96">
        <f>IF(AND(ISNUMBER(G450),G450&gt;0),1,0)</f>
        <v>0</v>
      </c>
      <c r="X450" s="96" t="str">
        <f>IF(H450="","",IFERROR(IF(ISNUMBER(INDEX(cfg_fac,MATCH(H450,cfg_units,0))),IF(INDEX(cfg_fac,MATCH(H450,cfg_units,0))&gt;0,INDEX(cfg_fac,MATCH(H450,cfg_units,0)),""),""),""))</f>
        <v/>
      </c>
      <c r="Y450" s="96">
        <f>IF(AND(W450=1,ISNUMBER(I450)),1,0)</f>
        <v>0</v>
      </c>
      <c r="Z450" s="96">
        <f>IF(U450=1,INDEX('MTRs'!$AA$6:$AA$505,T450),0)</f>
        <v>0</v>
      </c>
      <c r="AA450" s="96">
        <f>IF(R450=0,0,COUNTIFS('RECEBIMENTOS'!$R$6:$R$1005,A450,'RECEBIMENTOS'!$Q$6:$Q$1005,1))</f>
        <v>0</v>
      </c>
      <c r="AB450" s="96">
        <f>IF(R450=0,0,COUNTIFS('RECEBIMENTOS'!$R$6:$R$1005,A450,'RECEBIMENTOS'!$Z$6:$Z$1005,1))</f>
        <v>0</v>
      </c>
      <c r="AC450" s="96">
        <f>IF(R450=0,0,COUNTIFS('RECEBIMENTOS'!$R$6:$R$1005,A450,'RECEBIMENTOS'!$Y$6:$Y$1005,1))</f>
        <v>0</v>
      </c>
      <c r="AD450" s="96">
        <f>IF(R450=0,0,COUNTIFS('VÍNCULOS_CDF'!$R$6:$R$1005,A450,'VÍNCULOS_CDF'!$N$6:$N$1005,1))</f>
        <v>0</v>
      </c>
      <c r="AE450" s="96">
        <f>IF(R450=0,0,COUNTIFS('VÍNCULOS_CDF'!$R$6:$R$1005,A450,'VÍNCULOS_CDF'!$AA$6:$AA$1005,1))</f>
        <v>0</v>
      </c>
      <c r="AF450" s="96">
        <f>IF(R450=0,0,COUNTIFS('VÍNCULOS_CDF'!$R$6:$R$1005,A450,'VÍNCULOS_CDF'!$Y$6:$Y$1005,1))</f>
        <v>0</v>
      </c>
      <c r="AG450" s="96" t="str">
        <f>IF(AND(R450=1,S450&lt;&gt;"",C450&lt;&gt;""),S450&amp;"|"&amp;C450&amp;"|"&amp;G450&amp;"|"&amp;H450,"")</f>
        <v/>
      </c>
      <c r="AH450" s="96">
        <f>IF(AG450="",0,IF(SUMPRODUCT(--($AG$6:$AG$1005=AG450))&gt;1,1,0))</f>
        <v>0</v>
      </c>
      <c r="AI450" s="96">
        <f>IF(R450=0,0,IF(OR(U450=0,V450=0,Y450=0,AND(AH450=1,K450&lt;&gt;"Sim")),1,0))</f>
        <v>0</v>
      </c>
      <c r="AJ450" s="96">
        <f>IF(AND(R450=1,AA450&gt;0,AB450=AA450),1,0)</f>
        <v>0</v>
      </c>
      <c r="AK450" s="96">
        <f>IF(R450=0,0,IF(AA450&gt;0,N(L450),IF(ISNUMBER(I450),I450,0)))</f>
        <v>0</v>
      </c>
      <c r="AL450" s="96">
        <f>IF(R450=0,0,IF(AND(K450&lt;&gt;"Sim",N(M450)&gt;AK450+cfg_tol),1,0))</f>
        <v>0</v>
      </c>
      <c r="AM450" s="96">
        <f>IF(R450=0,0,IF(K450="Sim",0,IF(OR(AND(AA450&gt;0,ISNUMBER(I450),ABS(I450-N(L450))&gt;cfg_tol),AL450=1),1,0)))</f>
        <v>0</v>
      </c>
      <c r="AN450" s="96">
        <f>IF(AND(R450=1,N(M450)&gt;0,OR(N(M450)&gt;=AK450-cfg_tol,K450="Sim")),1,0)</f>
        <v>0</v>
      </c>
      <c r="AO450" s="96">
        <f>IF(AND(AN450=1,AD450&gt;0,AE450=AD450,AL450=0),1,0)</f>
        <v>0</v>
      </c>
      <c r="AP450" s="96">
        <f>IF(U450=0,0,IF(AND(INDEX('MTRs'!$AX$6:$AX$505,T450)=1,Z450=0,OR(f_res="",f_res="(Todos)",C450=f_res)),1,0))</f>
        <v>0</v>
      </c>
      <c r="AQ450" s="97" t="str">
        <f>IF(U450=0,"",INDEX('MTRs'!$AZ$6:$AZ$505,T450))</f>
        <v/>
      </c>
      <c r="AR450" s="96">
        <f>IF(U450=0,0,IF(AND(INDEX('MTRs'!$BA$6:$BA$505,T450)=1,Z450=0),1,0))</f>
        <v>0</v>
      </c>
      <c r="AS450" s="96" t="str">
        <f>IF(R450=1,A450&amp;" | MTR "&amp;IF(U450=1,INDEX('MTRs'!$B$6:$B$505,T450)&amp;"","?")&amp;" | "&amp;IF(C450="","(sem resíduo)",C450),"")</f>
        <v/>
      </c>
      <c r="AT450" s="96" t="str">
        <f>IF(R450=1,COUNTIF($R$6:R450,1),"")</f>
        <v/>
      </c>
      <c r="AU450" s="96" t="str">
        <f>IF(U450=1,INDEX('MTRs'!$I$6:$I$505,T450)&amp;"","")</f>
        <v/>
      </c>
    </row>
    <row r="451">
      <c r="A451" s="89" t="inlineStr">
        <is>
          <t>IT-000446</t>
        </is>
      </c>
      <c r="B451" s="91" t="n"/>
      <c r="C451" s="91" t="n"/>
      <c r="D451" s="94" t="str">
        <f>IF(OR(R451=0,V451=0),"",INDEX('CAD_RESÍDUOS'!$E$6:$E$205,MATCH(C451,'CAD_RESÍDUOS'!$B$6:$B$205,0))&amp;"")</f>
        <v/>
      </c>
      <c r="E451" s="94" t="str">
        <f>IF(OR(R451=0,V451=0),"",INDEX('CAD_RESÍDUOS'!$C$6:$C$205,MATCH(C451,'CAD_RESÍDUOS'!$B$6:$B$205,0))&amp;"")</f>
        <v/>
      </c>
      <c r="F451" s="94" t="str">
        <f>IF(OR(R451=0,V451=0),"",INDEX('CAD_RESÍDUOS'!$G$6:$G$205,MATCH(C451,'CAD_RESÍDUOS'!$B$6:$B$205,0))&amp;"")</f>
        <v/>
      </c>
      <c r="G451" s="98" t="n"/>
      <c r="H451" s="91" t="n"/>
      <c r="I451" s="93" t="str">
        <f>IF(R451=0,"",IF(NOT(ISNUMBER(G451)),"",IF(ISNUMBER(X451),G451*X451,"UNIDADE A CONFERIR")))</f>
        <v/>
      </c>
      <c r="J451" s="91" t="n"/>
      <c r="K451" s="91" t="n"/>
      <c r="L451" s="93" t="str">
        <f>IF(R451=0,"",SUMIFS('RECEBIMENTOS'!$H$6:$H$1005,'RECEBIMENTOS'!$R$6:$R$1005,A451,'RECEBIMENTOS'!$X$6:$X$1005,1))</f>
        <v/>
      </c>
      <c r="M451" s="93" t="str">
        <f>IF(R451=0,"",SUMIFS('VÍNCULOS_CDF'!$H$6:$H$1005,'VÍNCULOS_CDF'!$R$6:$R$1005,A451,'VÍNCULOS_CDF'!$V$6:$V$1005,1))</f>
        <v/>
      </c>
      <c r="N451" s="99" t="str">
        <f>IF(OR(R451=0,AA451=0,NOT(ISNUMBER(I451))),"",I451-N(L451))</f>
        <v/>
      </c>
      <c r="O451" s="100" t="str">
        <f>IF(OR(R451=0,AK451&lt;=0),"",N(M451)/AK451)</f>
        <v/>
      </c>
      <c r="P451" s="94" t="str">
        <f>IF(R451=0,"",IF(S451="","Sem MTR associado",IF(U451=0,"MTR inexistente",IF(C451="","Resíduo não identificado",IF(V451=0,"Resíduo fora do cadastro",IF(W451=0,"Quantidade inválida",IF(H451="","Unidade não informada",IF(NOT(ISNUMBER(I451)),"Unidade a conferir",IF(AND(AH451=1,K451&lt;&gt;"Sim"),"Possível duplicidade",IF(Z451=1,"MTR cancelado",IF(AC451&gt;0,"Recebimento com alerta",IF(AA451=0,"Aguardando recebimento",IF(AB451&lt;AA451,"Recebimento a conferir",IF(AM451=1,"Quantidade a revisar",IF(AF451&gt;0,"Vínculo a revisar",IF(AD451=0,"Aguardando CDF",IF(AN451=0,"Vínculo de CDF parcial",IF(AE451&lt;AD451,"CDF a conferir","Documentação conferida"))))))))))))))))))</f>
        <v/>
      </c>
      <c r="Q451" s="93" t="str">
        <f>IF(OR(R451=0,AA451=0),"",MAX(0,N(L451)-N(M451)))</f>
        <v/>
      </c>
      <c r="R451" s="96">
        <f>IF(COUNTA(B451:C451,G451:H451,J451:K451)&gt;0,1,0)</f>
        <v>0</v>
      </c>
      <c r="S451" s="96" t="str">
        <f>IF(B451="","",TRIM(LEFT(B451,FIND(" |",B451&amp;" |")-1)))</f>
        <v/>
      </c>
      <c r="T451" s="96" t="str">
        <f>IF(S451="","",IFERROR(MATCH(S451,'MTRs'!$A$6:$A$505,0),""))</f>
        <v/>
      </c>
      <c r="U451" s="96">
        <f>IF(T451="",0,IF(INDEX('MTRs'!$Z$6:$Z$505,T451)=1,1,0))</f>
        <v>0</v>
      </c>
      <c r="V451" s="96">
        <f>IF(C451="",0,IF(ISNUMBER(MATCH(C451,'CAD_RESÍDUOS'!$B$6:$B$205,0)),1,0))</f>
        <v>0</v>
      </c>
      <c r="W451" s="96">
        <f>IF(AND(ISNUMBER(G451),G451&gt;0),1,0)</f>
        <v>0</v>
      </c>
      <c r="X451" s="96" t="str">
        <f>IF(H451="","",IFERROR(IF(ISNUMBER(INDEX(cfg_fac,MATCH(H451,cfg_units,0))),IF(INDEX(cfg_fac,MATCH(H451,cfg_units,0))&gt;0,INDEX(cfg_fac,MATCH(H451,cfg_units,0)),""),""),""))</f>
        <v/>
      </c>
      <c r="Y451" s="96">
        <f>IF(AND(W451=1,ISNUMBER(I451)),1,0)</f>
        <v>0</v>
      </c>
      <c r="Z451" s="96">
        <f>IF(U451=1,INDEX('MTRs'!$AA$6:$AA$505,T451),0)</f>
        <v>0</v>
      </c>
      <c r="AA451" s="96">
        <f>IF(R451=0,0,COUNTIFS('RECEBIMENTOS'!$R$6:$R$1005,A451,'RECEBIMENTOS'!$Q$6:$Q$1005,1))</f>
        <v>0</v>
      </c>
      <c r="AB451" s="96">
        <f>IF(R451=0,0,COUNTIFS('RECEBIMENTOS'!$R$6:$R$1005,A451,'RECEBIMENTOS'!$Z$6:$Z$1005,1))</f>
        <v>0</v>
      </c>
      <c r="AC451" s="96">
        <f>IF(R451=0,0,COUNTIFS('RECEBIMENTOS'!$R$6:$R$1005,A451,'RECEBIMENTOS'!$Y$6:$Y$1005,1))</f>
        <v>0</v>
      </c>
      <c r="AD451" s="96">
        <f>IF(R451=0,0,COUNTIFS('VÍNCULOS_CDF'!$R$6:$R$1005,A451,'VÍNCULOS_CDF'!$N$6:$N$1005,1))</f>
        <v>0</v>
      </c>
      <c r="AE451" s="96">
        <f>IF(R451=0,0,COUNTIFS('VÍNCULOS_CDF'!$R$6:$R$1005,A451,'VÍNCULOS_CDF'!$AA$6:$AA$1005,1))</f>
        <v>0</v>
      </c>
      <c r="AF451" s="96">
        <f>IF(R451=0,0,COUNTIFS('VÍNCULOS_CDF'!$R$6:$R$1005,A451,'VÍNCULOS_CDF'!$Y$6:$Y$1005,1))</f>
        <v>0</v>
      </c>
      <c r="AG451" s="96" t="str">
        <f>IF(AND(R451=1,S451&lt;&gt;"",C451&lt;&gt;""),S451&amp;"|"&amp;C451&amp;"|"&amp;G451&amp;"|"&amp;H451,"")</f>
        <v/>
      </c>
      <c r="AH451" s="96">
        <f>IF(AG451="",0,IF(SUMPRODUCT(--($AG$6:$AG$1005=AG451))&gt;1,1,0))</f>
        <v>0</v>
      </c>
      <c r="AI451" s="96">
        <f>IF(R451=0,0,IF(OR(U451=0,V451=0,Y451=0,AND(AH451=1,K451&lt;&gt;"Sim")),1,0))</f>
        <v>0</v>
      </c>
      <c r="AJ451" s="96">
        <f>IF(AND(R451=1,AA451&gt;0,AB451=AA451),1,0)</f>
        <v>0</v>
      </c>
      <c r="AK451" s="96">
        <f>IF(R451=0,0,IF(AA451&gt;0,N(L451),IF(ISNUMBER(I451),I451,0)))</f>
        <v>0</v>
      </c>
      <c r="AL451" s="96">
        <f>IF(R451=0,0,IF(AND(K451&lt;&gt;"Sim",N(M451)&gt;AK451+cfg_tol),1,0))</f>
        <v>0</v>
      </c>
      <c r="AM451" s="96">
        <f>IF(R451=0,0,IF(K451="Sim",0,IF(OR(AND(AA451&gt;0,ISNUMBER(I451),ABS(I451-N(L451))&gt;cfg_tol),AL451=1),1,0)))</f>
        <v>0</v>
      </c>
      <c r="AN451" s="96">
        <f>IF(AND(R451=1,N(M451)&gt;0,OR(N(M451)&gt;=AK451-cfg_tol,K451="Sim")),1,0)</f>
        <v>0</v>
      </c>
      <c r="AO451" s="96">
        <f>IF(AND(AN451=1,AD451&gt;0,AE451=AD451,AL451=0),1,0)</f>
        <v>0</v>
      </c>
      <c r="AP451" s="96">
        <f>IF(U451=0,0,IF(AND(INDEX('MTRs'!$AX$6:$AX$505,T451)=1,Z451=0,OR(f_res="",f_res="(Todos)",C451=f_res)),1,0))</f>
        <v>0</v>
      </c>
      <c r="AQ451" s="97" t="str">
        <f>IF(U451=0,"",INDEX('MTRs'!$AZ$6:$AZ$505,T451))</f>
        <v/>
      </c>
      <c r="AR451" s="96">
        <f>IF(U451=0,0,IF(AND(INDEX('MTRs'!$BA$6:$BA$505,T451)=1,Z451=0),1,0))</f>
        <v>0</v>
      </c>
      <c r="AS451" s="96" t="str">
        <f>IF(R451=1,A451&amp;" | MTR "&amp;IF(U451=1,INDEX('MTRs'!$B$6:$B$505,T451)&amp;"","?")&amp;" | "&amp;IF(C451="","(sem resíduo)",C451),"")</f>
        <v/>
      </c>
      <c r="AT451" s="96" t="str">
        <f>IF(R451=1,COUNTIF($R$6:R451,1),"")</f>
        <v/>
      </c>
      <c r="AU451" s="96" t="str">
        <f>IF(U451=1,INDEX('MTRs'!$I$6:$I$505,T451)&amp;"","")</f>
        <v/>
      </c>
    </row>
    <row r="452">
      <c r="A452" s="89" t="inlineStr">
        <is>
          <t>IT-000447</t>
        </is>
      </c>
      <c r="B452" s="91" t="n"/>
      <c r="C452" s="91" t="n"/>
      <c r="D452" s="94" t="str">
        <f>IF(OR(R452=0,V452=0),"",INDEX('CAD_RESÍDUOS'!$E$6:$E$205,MATCH(C452,'CAD_RESÍDUOS'!$B$6:$B$205,0))&amp;"")</f>
        <v/>
      </c>
      <c r="E452" s="94" t="str">
        <f>IF(OR(R452=0,V452=0),"",INDEX('CAD_RESÍDUOS'!$C$6:$C$205,MATCH(C452,'CAD_RESÍDUOS'!$B$6:$B$205,0))&amp;"")</f>
        <v/>
      </c>
      <c r="F452" s="94" t="str">
        <f>IF(OR(R452=0,V452=0),"",INDEX('CAD_RESÍDUOS'!$G$6:$G$205,MATCH(C452,'CAD_RESÍDUOS'!$B$6:$B$205,0))&amp;"")</f>
        <v/>
      </c>
      <c r="G452" s="98" t="n"/>
      <c r="H452" s="91" t="n"/>
      <c r="I452" s="93" t="str">
        <f>IF(R452=0,"",IF(NOT(ISNUMBER(G452)),"",IF(ISNUMBER(X452),G452*X452,"UNIDADE A CONFERIR")))</f>
        <v/>
      </c>
      <c r="J452" s="91" t="n"/>
      <c r="K452" s="91" t="n"/>
      <c r="L452" s="93" t="str">
        <f>IF(R452=0,"",SUMIFS('RECEBIMENTOS'!$H$6:$H$1005,'RECEBIMENTOS'!$R$6:$R$1005,A452,'RECEBIMENTOS'!$X$6:$X$1005,1))</f>
        <v/>
      </c>
      <c r="M452" s="93" t="str">
        <f>IF(R452=0,"",SUMIFS('VÍNCULOS_CDF'!$H$6:$H$1005,'VÍNCULOS_CDF'!$R$6:$R$1005,A452,'VÍNCULOS_CDF'!$V$6:$V$1005,1))</f>
        <v/>
      </c>
      <c r="N452" s="99" t="str">
        <f>IF(OR(R452=0,AA452=0,NOT(ISNUMBER(I452))),"",I452-N(L452))</f>
        <v/>
      </c>
      <c r="O452" s="100" t="str">
        <f>IF(OR(R452=0,AK452&lt;=0),"",N(M452)/AK452)</f>
        <v/>
      </c>
      <c r="P452" s="94" t="str">
        <f>IF(R452=0,"",IF(S452="","Sem MTR associado",IF(U452=0,"MTR inexistente",IF(C452="","Resíduo não identificado",IF(V452=0,"Resíduo fora do cadastro",IF(W452=0,"Quantidade inválida",IF(H452="","Unidade não informada",IF(NOT(ISNUMBER(I452)),"Unidade a conferir",IF(AND(AH452=1,K452&lt;&gt;"Sim"),"Possível duplicidade",IF(Z452=1,"MTR cancelado",IF(AC452&gt;0,"Recebimento com alerta",IF(AA452=0,"Aguardando recebimento",IF(AB452&lt;AA452,"Recebimento a conferir",IF(AM452=1,"Quantidade a revisar",IF(AF452&gt;0,"Vínculo a revisar",IF(AD452=0,"Aguardando CDF",IF(AN452=0,"Vínculo de CDF parcial",IF(AE452&lt;AD452,"CDF a conferir","Documentação conferida"))))))))))))))))))</f>
        <v/>
      </c>
      <c r="Q452" s="93" t="str">
        <f>IF(OR(R452=0,AA452=0),"",MAX(0,N(L452)-N(M452)))</f>
        <v/>
      </c>
      <c r="R452" s="96">
        <f>IF(COUNTA(B452:C452,G452:H452,J452:K452)&gt;0,1,0)</f>
        <v>0</v>
      </c>
      <c r="S452" s="96" t="str">
        <f>IF(B452="","",TRIM(LEFT(B452,FIND(" |",B452&amp;" |")-1)))</f>
        <v/>
      </c>
      <c r="T452" s="96" t="str">
        <f>IF(S452="","",IFERROR(MATCH(S452,'MTRs'!$A$6:$A$505,0),""))</f>
        <v/>
      </c>
      <c r="U452" s="96">
        <f>IF(T452="",0,IF(INDEX('MTRs'!$Z$6:$Z$505,T452)=1,1,0))</f>
        <v>0</v>
      </c>
      <c r="V452" s="96">
        <f>IF(C452="",0,IF(ISNUMBER(MATCH(C452,'CAD_RESÍDUOS'!$B$6:$B$205,0)),1,0))</f>
        <v>0</v>
      </c>
      <c r="W452" s="96">
        <f>IF(AND(ISNUMBER(G452),G452&gt;0),1,0)</f>
        <v>0</v>
      </c>
      <c r="X452" s="96" t="str">
        <f>IF(H452="","",IFERROR(IF(ISNUMBER(INDEX(cfg_fac,MATCH(H452,cfg_units,0))),IF(INDEX(cfg_fac,MATCH(H452,cfg_units,0))&gt;0,INDEX(cfg_fac,MATCH(H452,cfg_units,0)),""),""),""))</f>
        <v/>
      </c>
      <c r="Y452" s="96">
        <f>IF(AND(W452=1,ISNUMBER(I452)),1,0)</f>
        <v>0</v>
      </c>
      <c r="Z452" s="96">
        <f>IF(U452=1,INDEX('MTRs'!$AA$6:$AA$505,T452),0)</f>
        <v>0</v>
      </c>
      <c r="AA452" s="96">
        <f>IF(R452=0,0,COUNTIFS('RECEBIMENTOS'!$R$6:$R$1005,A452,'RECEBIMENTOS'!$Q$6:$Q$1005,1))</f>
        <v>0</v>
      </c>
      <c r="AB452" s="96">
        <f>IF(R452=0,0,COUNTIFS('RECEBIMENTOS'!$R$6:$R$1005,A452,'RECEBIMENTOS'!$Z$6:$Z$1005,1))</f>
        <v>0</v>
      </c>
      <c r="AC452" s="96">
        <f>IF(R452=0,0,COUNTIFS('RECEBIMENTOS'!$R$6:$R$1005,A452,'RECEBIMENTOS'!$Y$6:$Y$1005,1))</f>
        <v>0</v>
      </c>
      <c r="AD452" s="96">
        <f>IF(R452=0,0,COUNTIFS('VÍNCULOS_CDF'!$R$6:$R$1005,A452,'VÍNCULOS_CDF'!$N$6:$N$1005,1))</f>
        <v>0</v>
      </c>
      <c r="AE452" s="96">
        <f>IF(R452=0,0,COUNTIFS('VÍNCULOS_CDF'!$R$6:$R$1005,A452,'VÍNCULOS_CDF'!$AA$6:$AA$1005,1))</f>
        <v>0</v>
      </c>
      <c r="AF452" s="96">
        <f>IF(R452=0,0,COUNTIFS('VÍNCULOS_CDF'!$R$6:$R$1005,A452,'VÍNCULOS_CDF'!$Y$6:$Y$1005,1))</f>
        <v>0</v>
      </c>
      <c r="AG452" s="96" t="str">
        <f>IF(AND(R452=1,S452&lt;&gt;"",C452&lt;&gt;""),S452&amp;"|"&amp;C452&amp;"|"&amp;G452&amp;"|"&amp;H452,"")</f>
        <v/>
      </c>
      <c r="AH452" s="96">
        <f>IF(AG452="",0,IF(SUMPRODUCT(--($AG$6:$AG$1005=AG452))&gt;1,1,0))</f>
        <v>0</v>
      </c>
      <c r="AI452" s="96">
        <f>IF(R452=0,0,IF(OR(U452=0,V452=0,Y452=0,AND(AH452=1,K452&lt;&gt;"Sim")),1,0))</f>
        <v>0</v>
      </c>
      <c r="AJ452" s="96">
        <f>IF(AND(R452=1,AA452&gt;0,AB452=AA452),1,0)</f>
        <v>0</v>
      </c>
      <c r="AK452" s="96">
        <f>IF(R452=0,0,IF(AA452&gt;0,N(L452),IF(ISNUMBER(I452),I452,0)))</f>
        <v>0</v>
      </c>
      <c r="AL452" s="96">
        <f>IF(R452=0,0,IF(AND(K452&lt;&gt;"Sim",N(M452)&gt;AK452+cfg_tol),1,0))</f>
        <v>0</v>
      </c>
      <c r="AM452" s="96">
        <f>IF(R452=0,0,IF(K452="Sim",0,IF(OR(AND(AA452&gt;0,ISNUMBER(I452),ABS(I452-N(L452))&gt;cfg_tol),AL452=1),1,0)))</f>
        <v>0</v>
      </c>
      <c r="AN452" s="96">
        <f>IF(AND(R452=1,N(M452)&gt;0,OR(N(M452)&gt;=AK452-cfg_tol,K452="Sim")),1,0)</f>
        <v>0</v>
      </c>
      <c r="AO452" s="96">
        <f>IF(AND(AN452=1,AD452&gt;0,AE452=AD452,AL452=0),1,0)</f>
        <v>0</v>
      </c>
      <c r="AP452" s="96">
        <f>IF(U452=0,0,IF(AND(INDEX('MTRs'!$AX$6:$AX$505,T452)=1,Z452=0,OR(f_res="",f_res="(Todos)",C452=f_res)),1,0))</f>
        <v>0</v>
      </c>
      <c r="AQ452" s="97" t="str">
        <f>IF(U452=0,"",INDEX('MTRs'!$AZ$6:$AZ$505,T452))</f>
        <v/>
      </c>
      <c r="AR452" s="96">
        <f>IF(U452=0,0,IF(AND(INDEX('MTRs'!$BA$6:$BA$505,T452)=1,Z452=0),1,0))</f>
        <v>0</v>
      </c>
      <c r="AS452" s="96" t="str">
        <f>IF(R452=1,A452&amp;" | MTR "&amp;IF(U452=1,INDEX('MTRs'!$B$6:$B$505,T452)&amp;"","?")&amp;" | "&amp;IF(C452="","(sem resíduo)",C452),"")</f>
        <v/>
      </c>
      <c r="AT452" s="96" t="str">
        <f>IF(R452=1,COUNTIF($R$6:R452,1),"")</f>
        <v/>
      </c>
      <c r="AU452" s="96" t="str">
        <f>IF(U452=1,INDEX('MTRs'!$I$6:$I$505,T452)&amp;"","")</f>
        <v/>
      </c>
    </row>
    <row r="453">
      <c r="A453" s="89" t="inlineStr">
        <is>
          <t>IT-000448</t>
        </is>
      </c>
      <c r="B453" s="91" t="n"/>
      <c r="C453" s="91" t="n"/>
      <c r="D453" s="94" t="str">
        <f>IF(OR(R453=0,V453=0),"",INDEX('CAD_RESÍDUOS'!$E$6:$E$205,MATCH(C453,'CAD_RESÍDUOS'!$B$6:$B$205,0))&amp;"")</f>
        <v/>
      </c>
      <c r="E453" s="94" t="str">
        <f>IF(OR(R453=0,V453=0),"",INDEX('CAD_RESÍDUOS'!$C$6:$C$205,MATCH(C453,'CAD_RESÍDUOS'!$B$6:$B$205,0))&amp;"")</f>
        <v/>
      </c>
      <c r="F453" s="94" t="str">
        <f>IF(OR(R453=0,V453=0),"",INDEX('CAD_RESÍDUOS'!$G$6:$G$205,MATCH(C453,'CAD_RESÍDUOS'!$B$6:$B$205,0))&amp;"")</f>
        <v/>
      </c>
      <c r="G453" s="98" t="n"/>
      <c r="H453" s="91" t="n"/>
      <c r="I453" s="93" t="str">
        <f>IF(R453=0,"",IF(NOT(ISNUMBER(G453)),"",IF(ISNUMBER(X453),G453*X453,"UNIDADE A CONFERIR")))</f>
        <v/>
      </c>
      <c r="J453" s="91" t="n"/>
      <c r="K453" s="91" t="n"/>
      <c r="L453" s="93" t="str">
        <f>IF(R453=0,"",SUMIFS('RECEBIMENTOS'!$H$6:$H$1005,'RECEBIMENTOS'!$R$6:$R$1005,A453,'RECEBIMENTOS'!$X$6:$X$1005,1))</f>
        <v/>
      </c>
      <c r="M453" s="93" t="str">
        <f>IF(R453=0,"",SUMIFS('VÍNCULOS_CDF'!$H$6:$H$1005,'VÍNCULOS_CDF'!$R$6:$R$1005,A453,'VÍNCULOS_CDF'!$V$6:$V$1005,1))</f>
        <v/>
      </c>
      <c r="N453" s="99" t="str">
        <f>IF(OR(R453=0,AA453=0,NOT(ISNUMBER(I453))),"",I453-N(L453))</f>
        <v/>
      </c>
      <c r="O453" s="100" t="str">
        <f>IF(OR(R453=0,AK453&lt;=0),"",N(M453)/AK453)</f>
        <v/>
      </c>
      <c r="P453" s="94" t="str">
        <f>IF(R453=0,"",IF(S453="","Sem MTR associado",IF(U453=0,"MTR inexistente",IF(C453="","Resíduo não identificado",IF(V453=0,"Resíduo fora do cadastro",IF(W453=0,"Quantidade inválida",IF(H453="","Unidade não informada",IF(NOT(ISNUMBER(I453)),"Unidade a conferir",IF(AND(AH453=1,K453&lt;&gt;"Sim"),"Possível duplicidade",IF(Z453=1,"MTR cancelado",IF(AC453&gt;0,"Recebimento com alerta",IF(AA453=0,"Aguardando recebimento",IF(AB453&lt;AA453,"Recebimento a conferir",IF(AM453=1,"Quantidade a revisar",IF(AF453&gt;0,"Vínculo a revisar",IF(AD453=0,"Aguardando CDF",IF(AN453=0,"Vínculo de CDF parcial",IF(AE453&lt;AD453,"CDF a conferir","Documentação conferida"))))))))))))))))))</f>
        <v/>
      </c>
      <c r="Q453" s="93" t="str">
        <f>IF(OR(R453=0,AA453=0),"",MAX(0,N(L453)-N(M453)))</f>
        <v/>
      </c>
      <c r="R453" s="96">
        <f>IF(COUNTA(B453:C453,G453:H453,J453:K453)&gt;0,1,0)</f>
        <v>0</v>
      </c>
      <c r="S453" s="96" t="str">
        <f>IF(B453="","",TRIM(LEFT(B453,FIND(" |",B453&amp;" |")-1)))</f>
        <v/>
      </c>
      <c r="T453" s="96" t="str">
        <f>IF(S453="","",IFERROR(MATCH(S453,'MTRs'!$A$6:$A$505,0),""))</f>
        <v/>
      </c>
      <c r="U453" s="96">
        <f>IF(T453="",0,IF(INDEX('MTRs'!$Z$6:$Z$505,T453)=1,1,0))</f>
        <v>0</v>
      </c>
      <c r="V453" s="96">
        <f>IF(C453="",0,IF(ISNUMBER(MATCH(C453,'CAD_RESÍDUOS'!$B$6:$B$205,0)),1,0))</f>
        <v>0</v>
      </c>
      <c r="W453" s="96">
        <f>IF(AND(ISNUMBER(G453),G453&gt;0),1,0)</f>
        <v>0</v>
      </c>
      <c r="X453" s="96" t="str">
        <f>IF(H453="","",IFERROR(IF(ISNUMBER(INDEX(cfg_fac,MATCH(H453,cfg_units,0))),IF(INDEX(cfg_fac,MATCH(H453,cfg_units,0))&gt;0,INDEX(cfg_fac,MATCH(H453,cfg_units,0)),""),""),""))</f>
        <v/>
      </c>
      <c r="Y453" s="96">
        <f>IF(AND(W453=1,ISNUMBER(I453)),1,0)</f>
        <v>0</v>
      </c>
      <c r="Z453" s="96">
        <f>IF(U453=1,INDEX('MTRs'!$AA$6:$AA$505,T453),0)</f>
        <v>0</v>
      </c>
      <c r="AA453" s="96">
        <f>IF(R453=0,0,COUNTIFS('RECEBIMENTOS'!$R$6:$R$1005,A453,'RECEBIMENTOS'!$Q$6:$Q$1005,1))</f>
        <v>0</v>
      </c>
      <c r="AB453" s="96">
        <f>IF(R453=0,0,COUNTIFS('RECEBIMENTOS'!$R$6:$R$1005,A453,'RECEBIMENTOS'!$Z$6:$Z$1005,1))</f>
        <v>0</v>
      </c>
      <c r="AC453" s="96">
        <f>IF(R453=0,0,COUNTIFS('RECEBIMENTOS'!$R$6:$R$1005,A453,'RECEBIMENTOS'!$Y$6:$Y$1005,1))</f>
        <v>0</v>
      </c>
      <c r="AD453" s="96">
        <f>IF(R453=0,0,COUNTIFS('VÍNCULOS_CDF'!$R$6:$R$1005,A453,'VÍNCULOS_CDF'!$N$6:$N$1005,1))</f>
        <v>0</v>
      </c>
      <c r="AE453" s="96">
        <f>IF(R453=0,0,COUNTIFS('VÍNCULOS_CDF'!$R$6:$R$1005,A453,'VÍNCULOS_CDF'!$AA$6:$AA$1005,1))</f>
        <v>0</v>
      </c>
      <c r="AF453" s="96">
        <f>IF(R453=0,0,COUNTIFS('VÍNCULOS_CDF'!$R$6:$R$1005,A453,'VÍNCULOS_CDF'!$Y$6:$Y$1005,1))</f>
        <v>0</v>
      </c>
      <c r="AG453" s="96" t="str">
        <f>IF(AND(R453=1,S453&lt;&gt;"",C453&lt;&gt;""),S453&amp;"|"&amp;C453&amp;"|"&amp;G453&amp;"|"&amp;H453,"")</f>
        <v/>
      </c>
      <c r="AH453" s="96">
        <f>IF(AG453="",0,IF(SUMPRODUCT(--($AG$6:$AG$1005=AG453))&gt;1,1,0))</f>
        <v>0</v>
      </c>
      <c r="AI453" s="96">
        <f>IF(R453=0,0,IF(OR(U453=0,V453=0,Y453=0,AND(AH453=1,K453&lt;&gt;"Sim")),1,0))</f>
        <v>0</v>
      </c>
      <c r="AJ453" s="96">
        <f>IF(AND(R453=1,AA453&gt;0,AB453=AA453),1,0)</f>
        <v>0</v>
      </c>
      <c r="AK453" s="96">
        <f>IF(R453=0,0,IF(AA453&gt;0,N(L453),IF(ISNUMBER(I453),I453,0)))</f>
        <v>0</v>
      </c>
      <c r="AL453" s="96">
        <f>IF(R453=0,0,IF(AND(K453&lt;&gt;"Sim",N(M453)&gt;AK453+cfg_tol),1,0))</f>
        <v>0</v>
      </c>
      <c r="AM453" s="96">
        <f>IF(R453=0,0,IF(K453="Sim",0,IF(OR(AND(AA453&gt;0,ISNUMBER(I453),ABS(I453-N(L453))&gt;cfg_tol),AL453=1),1,0)))</f>
        <v>0</v>
      </c>
      <c r="AN453" s="96">
        <f>IF(AND(R453=1,N(M453)&gt;0,OR(N(M453)&gt;=AK453-cfg_tol,K453="Sim")),1,0)</f>
        <v>0</v>
      </c>
      <c r="AO453" s="96">
        <f>IF(AND(AN453=1,AD453&gt;0,AE453=AD453,AL453=0),1,0)</f>
        <v>0</v>
      </c>
      <c r="AP453" s="96">
        <f>IF(U453=0,0,IF(AND(INDEX('MTRs'!$AX$6:$AX$505,T453)=1,Z453=0,OR(f_res="",f_res="(Todos)",C453=f_res)),1,0))</f>
        <v>0</v>
      </c>
      <c r="AQ453" s="97" t="str">
        <f>IF(U453=0,"",INDEX('MTRs'!$AZ$6:$AZ$505,T453))</f>
        <v/>
      </c>
      <c r="AR453" s="96">
        <f>IF(U453=0,0,IF(AND(INDEX('MTRs'!$BA$6:$BA$505,T453)=1,Z453=0),1,0))</f>
        <v>0</v>
      </c>
      <c r="AS453" s="96" t="str">
        <f>IF(R453=1,A453&amp;" | MTR "&amp;IF(U453=1,INDEX('MTRs'!$B$6:$B$505,T453)&amp;"","?")&amp;" | "&amp;IF(C453="","(sem resíduo)",C453),"")</f>
        <v/>
      </c>
      <c r="AT453" s="96" t="str">
        <f>IF(R453=1,COUNTIF($R$6:R453,1),"")</f>
        <v/>
      </c>
      <c r="AU453" s="96" t="str">
        <f>IF(U453=1,INDEX('MTRs'!$I$6:$I$505,T453)&amp;"","")</f>
        <v/>
      </c>
    </row>
    <row r="454">
      <c r="A454" s="89" t="inlineStr">
        <is>
          <t>IT-000449</t>
        </is>
      </c>
      <c r="B454" s="91" t="n"/>
      <c r="C454" s="91" t="n"/>
      <c r="D454" s="94" t="str">
        <f>IF(OR(R454=0,V454=0),"",INDEX('CAD_RESÍDUOS'!$E$6:$E$205,MATCH(C454,'CAD_RESÍDUOS'!$B$6:$B$205,0))&amp;"")</f>
        <v/>
      </c>
      <c r="E454" s="94" t="str">
        <f>IF(OR(R454=0,V454=0),"",INDEX('CAD_RESÍDUOS'!$C$6:$C$205,MATCH(C454,'CAD_RESÍDUOS'!$B$6:$B$205,0))&amp;"")</f>
        <v/>
      </c>
      <c r="F454" s="94" t="str">
        <f>IF(OR(R454=0,V454=0),"",INDEX('CAD_RESÍDUOS'!$G$6:$G$205,MATCH(C454,'CAD_RESÍDUOS'!$B$6:$B$205,0))&amp;"")</f>
        <v/>
      </c>
      <c r="G454" s="98" t="n"/>
      <c r="H454" s="91" t="n"/>
      <c r="I454" s="93" t="str">
        <f>IF(R454=0,"",IF(NOT(ISNUMBER(G454)),"",IF(ISNUMBER(X454),G454*X454,"UNIDADE A CONFERIR")))</f>
        <v/>
      </c>
      <c r="J454" s="91" t="n"/>
      <c r="K454" s="91" t="n"/>
      <c r="L454" s="93" t="str">
        <f>IF(R454=0,"",SUMIFS('RECEBIMENTOS'!$H$6:$H$1005,'RECEBIMENTOS'!$R$6:$R$1005,A454,'RECEBIMENTOS'!$X$6:$X$1005,1))</f>
        <v/>
      </c>
      <c r="M454" s="93" t="str">
        <f>IF(R454=0,"",SUMIFS('VÍNCULOS_CDF'!$H$6:$H$1005,'VÍNCULOS_CDF'!$R$6:$R$1005,A454,'VÍNCULOS_CDF'!$V$6:$V$1005,1))</f>
        <v/>
      </c>
      <c r="N454" s="99" t="str">
        <f>IF(OR(R454=0,AA454=0,NOT(ISNUMBER(I454))),"",I454-N(L454))</f>
        <v/>
      </c>
      <c r="O454" s="100" t="str">
        <f>IF(OR(R454=0,AK454&lt;=0),"",N(M454)/AK454)</f>
        <v/>
      </c>
      <c r="P454" s="94" t="str">
        <f>IF(R454=0,"",IF(S454="","Sem MTR associado",IF(U454=0,"MTR inexistente",IF(C454="","Resíduo não identificado",IF(V454=0,"Resíduo fora do cadastro",IF(W454=0,"Quantidade inválida",IF(H454="","Unidade não informada",IF(NOT(ISNUMBER(I454)),"Unidade a conferir",IF(AND(AH454=1,K454&lt;&gt;"Sim"),"Possível duplicidade",IF(Z454=1,"MTR cancelado",IF(AC454&gt;0,"Recebimento com alerta",IF(AA454=0,"Aguardando recebimento",IF(AB454&lt;AA454,"Recebimento a conferir",IF(AM454=1,"Quantidade a revisar",IF(AF454&gt;0,"Vínculo a revisar",IF(AD454=0,"Aguardando CDF",IF(AN454=0,"Vínculo de CDF parcial",IF(AE454&lt;AD454,"CDF a conferir","Documentação conferida"))))))))))))))))))</f>
        <v/>
      </c>
      <c r="Q454" s="93" t="str">
        <f>IF(OR(R454=0,AA454=0),"",MAX(0,N(L454)-N(M454)))</f>
        <v/>
      </c>
      <c r="R454" s="96">
        <f>IF(COUNTA(B454:C454,G454:H454,J454:K454)&gt;0,1,0)</f>
        <v>0</v>
      </c>
      <c r="S454" s="96" t="str">
        <f>IF(B454="","",TRIM(LEFT(B454,FIND(" |",B454&amp;" |")-1)))</f>
        <v/>
      </c>
      <c r="T454" s="96" t="str">
        <f>IF(S454="","",IFERROR(MATCH(S454,'MTRs'!$A$6:$A$505,0),""))</f>
        <v/>
      </c>
      <c r="U454" s="96">
        <f>IF(T454="",0,IF(INDEX('MTRs'!$Z$6:$Z$505,T454)=1,1,0))</f>
        <v>0</v>
      </c>
      <c r="V454" s="96">
        <f>IF(C454="",0,IF(ISNUMBER(MATCH(C454,'CAD_RESÍDUOS'!$B$6:$B$205,0)),1,0))</f>
        <v>0</v>
      </c>
      <c r="W454" s="96">
        <f>IF(AND(ISNUMBER(G454),G454&gt;0),1,0)</f>
        <v>0</v>
      </c>
      <c r="X454" s="96" t="str">
        <f>IF(H454="","",IFERROR(IF(ISNUMBER(INDEX(cfg_fac,MATCH(H454,cfg_units,0))),IF(INDEX(cfg_fac,MATCH(H454,cfg_units,0))&gt;0,INDEX(cfg_fac,MATCH(H454,cfg_units,0)),""),""),""))</f>
        <v/>
      </c>
      <c r="Y454" s="96">
        <f>IF(AND(W454=1,ISNUMBER(I454)),1,0)</f>
        <v>0</v>
      </c>
      <c r="Z454" s="96">
        <f>IF(U454=1,INDEX('MTRs'!$AA$6:$AA$505,T454),0)</f>
        <v>0</v>
      </c>
      <c r="AA454" s="96">
        <f>IF(R454=0,0,COUNTIFS('RECEBIMENTOS'!$R$6:$R$1005,A454,'RECEBIMENTOS'!$Q$6:$Q$1005,1))</f>
        <v>0</v>
      </c>
      <c r="AB454" s="96">
        <f>IF(R454=0,0,COUNTIFS('RECEBIMENTOS'!$R$6:$R$1005,A454,'RECEBIMENTOS'!$Z$6:$Z$1005,1))</f>
        <v>0</v>
      </c>
      <c r="AC454" s="96">
        <f>IF(R454=0,0,COUNTIFS('RECEBIMENTOS'!$R$6:$R$1005,A454,'RECEBIMENTOS'!$Y$6:$Y$1005,1))</f>
        <v>0</v>
      </c>
      <c r="AD454" s="96">
        <f>IF(R454=0,0,COUNTIFS('VÍNCULOS_CDF'!$R$6:$R$1005,A454,'VÍNCULOS_CDF'!$N$6:$N$1005,1))</f>
        <v>0</v>
      </c>
      <c r="AE454" s="96">
        <f>IF(R454=0,0,COUNTIFS('VÍNCULOS_CDF'!$R$6:$R$1005,A454,'VÍNCULOS_CDF'!$AA$6:$AA$1005,1))</f>
        <v>0</v>
      </c>
      <c r="AF454" s="96">
        <f>IF(R454=0,0,COUNTIFS('VÍNCULOS_CDF'!$R$6:$R$1005,A454,'VÍNCULOS_CDF'!$Y$6:$Y$1005,1))</f>
        <v>0</v>
      </c>
      <c r="AG454" s="96" t="str">
        <f>IF(AND(R454=1,S454&lt;&gt;"",C454&lt;&gt;""),S454&amp;"|"&amp;C454&amp;"|"&amp;G454&amp;"|"&amp;H454,"")</f>
        <v/>
      </c>
      <c r="AH454" s="96">
        <f>IF(AG454="",0,IF(SUMPRODUCT(--($AG$6:$AG$1005=AG454))&gt;1,1,0))</f>
        <v>0</v>
      </c>
      <c r="AI454" s="96">
        <f>IF(R454=0,0,IF(OR(U454=0,V454=0,Y454=0,AND(AH454=1,K454&lt;&gt;"Sim")),1,0))</f>
        <v>0</v>
      </c>
      <c r="AJ454" s="96">
        <f>IF(AND(R454=1,AA454&gt;0,AB454=AA454),1,0)</f>
        <v>0</v>
      </c>
      <c r="AK454" s="96">
        <f>IF(R454=0,0,IF(AA454&gt;0,N(L454),IF(ISNUMBER(I454),I454,0)))</f>
        <v>0</v>
      </c>
      <c r="AL454" s="96">
        <f>IF(R454=0,0,IF(AND(K454&lt;&gt;"Sim",N(M454)&gt;AK454+cfg_tol),1,0))</f>
        <v>0</v>
      </c>
      <c r="AM454" s="96">
        <f>IF(R454=0,0,IF(K454="Sim",0,IF(OR(AND(AA454&gt;0,ISNUMBER(I454),ABS(I454-N(L454))&gt;cfg_tol),AL454=1),1,0)))</f>
        <v>0</v>
      </c>
      <c r="AN454" s="96">
        <f>IF(AND(R454=1,N(M454)&gt;0,OR(N(M454)&gt;=AK454-cfg_tol,K454="Sim")),1,0)</f>
        <v>0</v>
      </c>
      <c r="AO454" s="96">
        <f>IF(AND(AN454=1,AD454&gt;0,AE454=AD454,AL454=0),1,0)</f>
        <v>0</v>
      </c>
      <c r="AP454" s="96">
        <f>IF(U454=0,0,IF(AND(INDEX('MTRs'!$AX$6:$AX$505,T454)=1,Z454=0,OR(f_res="",f_res="(Todos)",C454=f_res)),1,0))</f>
        <v>0</v>
      </c>
      <c r="AQ454" s="97" t="str">
        <f>IF(U454=0,"",INDEX('MTRs'!$AZ$6:$AZ$505,T454))</f>
        <v/>
      </c>
      <c r="AR454" s="96">
        <f>IF(U454=0,0,IF(AND(INDEX('MTRs'!$BA$6:$BA$505,T454)=1,Z454=0),1,0))</f>
        <v>0</v>
      </c>
      <c r="AS454" s="96" t="str">
        <f>IF(R454=1,A454&amp;" | MTR "&amp;IF(U454=1,INDEX('MTRs'!$B$6:$B$505,T454)&amp;"","?")&amp;" | "&amp;IF(C454="","(sem resíduo)",C454),"")</f>
        <v/>
      </c>
      <c r="AT454" s="96" t="str">
        <f>IF(R454=1,COUNTIF($R$6:R454,1),"")</f>
        <v/>
      </c>
      <c r="AU454" s="96" t="str">
        <f>IF(U454=1,INDEX('MTRs'!$I$6:$I$505,T454)&amp;"","")</f>
        <v/>
      </c>
    </row>
    <row r="455">
      <c r="A455" s="89" t="inlineStr">
        <is>
          <t>IT-000450</t>
        </is>
      </c>
      <c r="B455" s="91" t="n"/>
      <c r="C455" s="91" t="n"/>
      <c r="D455" s="94" t="str">
        <f>IF(OR(R455=0,V455=0),"",INDEX('CAD_RESÍDUOS'!$E$6:$E$205,MATCH(C455,'CAD_RESÍDUOS'!$B$6:$B$205,0))&amp;"")</f>
        <v/>
      </c>
      <c r="E455" s="94" t="str">
        <f>IF(OR(R455=0,V455=0),"",INDEX('CAD_RESÍDUOS'!$C$6:$C$205,MATCH(C455,'CAD_RESÍDUOS'!$B$6:$B$205,0))&amp;"")</f>
        <v/>
      </c>
      <c r="F455" s="94" t="str">
        <f>IF(OR(R455=0,V455=0),"",INDEX('CAD_RESÍDUOS'!$G$6:$G$205,MATCH(C455,'CAD_RESÍDUOS'!$B$6:$B$205,0))&amp;"")</f>
        <v/>
      </c>
      <c r="G455" s="98" t="n"/>
      <c r="H455" s="91" t="n"/>
      <c r="I455" s="93" t="str">
        <f>IF(R455=0,"",IF(NOT(ISNUMBER(G455)),"",IF(ISNUMBER(X455),G455*X455,"UNIDADE A CONFERIR")))</f>
        <v/>
      </c>
      <c r="J455" s="91" t="n"/>
      <c r="K455" s="91" t="n"/>
      <c r="L455" s="93" t="str">
        <f>IF(R455=0,"",SUMIFS('RECEBIMENTOS'!$H$6:$H$1005,'RECEBIMENTOS'!$R$6:$R$1005,A455,'RECEBIMENTOS'!$X$6:$X$1005,1))</f>
        <v/>
      </c>
      <c r="M455" s="93" t="str">
        <f>IF(R455=0,"",SUMIFS('VÍNCULOS_CDF'!$H$6:$H$1005,'VÍNCULOS_CDF'!$R$6:$R$1005,A455,'VÍNCULOS_CDF'!$V$6:$V$1005,1))</f>
        <v/>
      </c>
      <c r="N455" s="99" t="str">
        <f>IF(OR(R455=0,AA455=0,NOT(ISNUMBER(I455))),"",I455-N(L455))</f>
        <v/>
      </c>
      <c r="O455" s="100" t="str">
        <f>IF(OR(R455=0,AK455&lt;=0),"",N(M455)/AK455)</f>
        <v/>
      </c>
      <c r="P455" s="94" t="str">
        <f>IF(R455=0,"",IF(S455="","Sem MTR associado",IF(U455=0,"MTR inexistente",IF(C455="","Resíduo não identificado",IF(V455=0,"Resíduo fora do cadastro",IF(W455=0,"Quantidade inválida",IF(H455="","Unidade não informada",IF(NOT(ISNUMBER(I455)),"Unidade a conferir",IF(AND(AH455=1,K455&lt;&gt;"Sim"),"Possível duplicidade",IF(Z455=1,"MTR cancelado",IF(AC455&gt;0,"Recebimento com alerta",IF(AA455=0,"Aguardando recebimento",IF(AB455&lt;AA455,"Recebimento a conferir",IF(AM455=1,"Quantidade a revisar",IF(AF455&gt;0,"Vínculo a revisar",IF(AD455=0,"Aguardando CDF",IF(AN455=0,"Vínculo de CDF parcial",IF(AE455&lt;AD455,"CDF a conferir","Documentação conferida"))))))))))))))))))</f>
        <v/>
      </c>
      <c r="Q455" s="93" t="str">
        <f>IF(OR(R455=0,AA455=0),"",MAX(0,N(L455)-N(M455)))</f>
        <v/>
      </c>
      <c r="R455" s="96">
        <f>IF(COUNTA(B455:C455,G455:H455,J455:K455)&gt;0,1,0)</f>
        <v>0</v>
      </c>
      <c r="S455" s="96" t="str">
        <f>IF(B455="","",TRIM(LEFT(B455,FIND(" |",B455&amp;" |")-1)))</f>
        <v/>
      </c>
      <c r="T455" s="96" t="str">
        <f>IF(S455="","",IFERROR(MATCH(S455,'MTRs'!$A$6:$A$505,0),""))</f>
        <v/>
      </c>
      <c r="U455" s="96">
        <f>IF(T455="",0,IF(INDEX('MTRs'!$Z$6:$Z$505,T455)=1,1,0))</f>
        <v>0</v>
      </c>
      <c r="V455" s="96">
        <f>IF(C455="",0,IF(ISNUMBER(MATCH(C455,'CAD_RESÍDUOS'!$B$6:$B$205,0)),1,0))</f>
        <v>0</v>
      </c>
      <c r="W455" s="96">
        <f>IF(AND(ISNUMBER(G455),G455&gt;0),1,0)</f>
        <v>0</v>
      </c>
      <c r="X455" s="96" t="str">
        <f>IF(H455="","",IFERROR(IF(ISNUMBER(INDEX(cfg_fac,MATCH(H455,cfg_units,0))),IF(INDEX(cfg_fac,MATCH(H455,cfg_units,0))&gt;0,INDEX(cfg_fac,MATCH(H455,cfg_units,0)),""),""),""))</f>
        <v/>
      </c>
      <c r="Y455" s="96">
        <f>IF(AND(W455=1,ISNUMBER(I455)),1,0)</f>
        <v>0</v>
      </c>
      <c r="Z455" s="96">
        <f>IF(U455=1,INDEX('MTRs'!$AA$6:$AA$505,T455),0)</f>
        <v>0</v>
      </c>
      <c r="AA455" s="96">
        <f>IF(R455=0,0,COUNTIFS('RECEBIMENTOS'!$R$6:$R$1005,A455,'RECEBIMENTOS'!$Q$6:$Q$1005,1))</f>
        <v>0</v>
      </c>
      <c r="AB455" s="96">
        <f>IF(R455=0,0,COUNTIFS('RECEBIMENTOS'!$R$6:$R$1005,A455,'RECEBIMENTOS'!$Z$6:$Z$1005,1))</f>
        <v>0</v>
      </c>
      <c r="AC455" s="96">
        <f>IF(R455=0,0,COUNTIFS('RECEBIMENTOS'!$R$6:$R$1005,A455,'RECEBIMENTOS'!$Y$6:$Y$1005,1))</f>
        <v>0</v>
      </c>
      <c r="AD455" s="96">
        <f>IF(R455=0,0,COUNTIFS('VÍNCULOS_CDF'!$R$6:$R$1005,A455,'VÍNCULOS_CDF'!$N$6:$N$1005,1))</f>
        <v>0</v>
      </c>
      <c r="AE455" s="96">
        <f>IF(R455=0,0,COUNTIFS('VÍNCULOS_CDF'!$R$6:$R$1005,A455,'VÍNCULOS_CDF'!$AA$6:$AA$1005,1))</f>
        <v>0</v>
      </c>
      <c r="AF455" s="96">
        <f>IF(R455=0,0,COUNTIFS('VÍNCULOS_CDF'!$R$6:$R$1005,A455,'VÍNCULOS_CDF'!$Y$6:$Y$1005,1))</f>
        <v>0</v>
      </c>
      <c r="AG455" s="96" t="str">
        <f>IF(AND(R455=1,S455&lt;&gt;"",C455&lt;&gt;""),S455&amp;"|"&amp;C455&amp;"|"&amp;G455&amp;"|"&amp;H455,"")</f>
        <v/>
      </c>
      <c r="AH455" s="96">
        <f>IF(AG455="",0,IF(SUMPRODUCT(--($AG$6:$AG$1005=AG455))&gt;1,1,0))</f>
        <v>0</v>
      </c>
      <c r="AI455" s="96">
        <f>IF(R455=0,0,IF(OR(U455=0,V455=0,Y455=0,AND(AH455=1,K455&lt;&gt;"Sim")),1,0))</f>
        <v>0</v>
      </c>
      <c r="AJ455" s="96">
        <f>IF(AND(R455=1,AA455&gt;0,AB455=AA455),1,0)</f>
        <v>0</v>
      </c>
      <c r="AK455" s="96">
        <f>IF(R455=0,0,IF(AA455&gt;0,N(L455),IF(ISNUMBER(I455),I455,0)))</f>
        <v>0</v>
      </c>
      <c r="AL455" s="96">
        <f>IF(R455=0,0,IF(AND(K455&lt;&gt;"Sim",N(M455)&gt;AK455+cfg_tol),1,0))</f>
        <v>0</v>
      </c>
      <c r="AM455" s="96">
        <f>IF(R455=0,0,IF(K455="Sim",0,IF(OR(AND(AA455&gt;0,ISNUMBER(I455),ABS(I455-N(L455))&gt;cfg_tol),AL455=1),1,0)))</f>
        <v>0</v>
      </c>
      <c r="AN455" s="96">
        <f>IF(AND(R455=1,N(M455)&gt;0,OR(N(M455)&gt;=AK455-cfg_tol,K455="Sim")),1,0)</f>
        <v>0</v>
      </c>
      <c r="AO455" s="96">
        <f>IF(AND(AN455=1,AD455&gt;0,AE455=AD455,AL455=0),1,0)</f>
        <v>0</v>
      </c>
      <c r="AP455" s="96">
        <f>IF(U455=0,0,IF(AND(INDEX('MTRs'!$AX$6:$AX$505,T455)=1,Z455=0,OR(f_res="",f_res="(Todos)",C455=f_res)),1,0))</f>
        <v>0</v>
      </c>
      <c r="AQ455" s="97" t="str">
        <f>IF(U455=0,"",INDEX('MTRs'!$AZ$6:$AZ$505,T455))</f>
        <v/>
      </c>
      <c r="AR455" s="96">
        <f>IF(U455=0,0,IF(AND(INDEX('MTRs'!$BA$6:$BA$505,T455)=1,Z455=0),1,0))</f>
        <v>0</v>
      </c>
      <c r="AS455" s="96" t="str">
        <f>IF(R455=1,A455&amp;" | MTR "&amp;IF(U455=1,INDEX('MTRs'!$B$6:$B$505,T455)&amp;"","?")&amp;" | "&amp;IF(C455="","(sem resíduo)",C455),"")</f>
        <v/>
      </c>
      <c r="AT455" s="96" t="str">
        <f>IF(R455=1,COUNTIF($R$6:R455,1),"")</f>
        <v/>
      </c>
      <c r="AU455" s="96" t="str">
        <f>IF(U455=1,INDEX('MTRs'!$I$6:$I$505,T455)&amp;"","")</f>
        <v/>
      </c>
    </row>
    <row r="456">
      <c r="A456" s="89" t="inlineStr">
        <is>
          <t>IT-000451</t>
        </is>
      </c>
      <c r="B456" s="91" t="n"/>
      <c r="C456" s="91" t="n"/>
      <c r="D456" s="94" t="str">
        <f>IF(OR(R456=0,V456=0),"",INDEX('CAD_RESÍDUOS'!$E$6:$E$205,MATCH(C456,'CAD_RESÍDUOS'!$B$6:$B$205,0))&amp;"")</f>
        <v/>
      </c>
      <c r="E456" s="94" t="str">
        <f>IF(OR(R456=0,V456=0),"",INDEX('CAD_RESÍDUOS'!$C$6:$C$205,MATCH(C456,'CAD_RESÍDUOS'!$B$6:$B$205,0))&amp;"")</f>
        <v/>
      </c>
      <c r="F456" s="94" t="str">
        <f>IF(OR(R456=0,V456=0),"",INDEX('CAD_RESÍDUOS'!$G$6:$G$205,MATCH(C456,'CAD_RESÍDUOS'!$B$6:$B$205,0))&amp;"")</f>
        <v/>
      </c>
      <c r="G456" s="98" t="n"/>
      <c r="H456" s="91" t="n"/>
      <c r="I456" s="93" t="str">
        <f>IF(R456=0,"",IF(NOT(ISNUMBER(G456)),"",IF(ISNUMBER(X456),G456*X456,"UNIDADE A CONFERIR")))</f>
        <v/>
      </c>
      <c r="J456" s="91" t="n"/>
      <c r="K456" s="91" t="n"/>
      <c r="L456" s="93" t="str">
        <f>IF(R456=0,"",SUMIFS('RECEBIMENTOS'!$H$6:$H$1005,'RECEBIMENTOS'!$R$6:$R$1005,A456,'RECEBIMENTOS'!$X$6:$X$1005,1))</f>
        <v/>
      </c>
      <c r="M456" s="93" t="str">
        <f>IF(R456=0,"",SUMIFS('VÍNCULOS_CDF'!$H$6:$H$1005,'VÍNCULOS_CDF'!$R$6:$R$1005,A456,'VÍNCULOS_CDF'!$V$6:$V$1005,1))</f>
        <v/>
      </c>
      <c r="N456" s="99" t="str">
        <f>IF(OR(R456=0,AA456=0,NOT(ISNUMBER(I456))),"",I456-N(L456))</f>
        <v/>
      </c>
      <c r="O456" s="100" t="str">
        <f>IF(OR(R456=0,AK456&lt;=0),"",N(M456)/AK456)</f>
        <v/>
      </c>
      <c r="P456" s="94" t="str">
        <f>IF(R456=0,"",IF(S456="","Sem MTR associado",IF(U456=0,"MTR inexistente",IF(C456="","Resíduo não identificado",IF(V456=0,"Resíduo fora do cadastro",IF(W456=0,"Quantidade inválida",IF(H456="","Unidade não informada",IF(NOT(ISNUMBER(I456)),"Unidade a conferir",IF(AND(AH456=1,K456&lt;&gt;"Sim"),"Possível duplicidade",IF(Z456=1,"MTR cancelado",IF(AC456&gt;0,"Recebimento com alerta",IF(AA456=0,"Aguardando recebimento",IF(AB456&lt;AA456,"Recebimento a conferir",IF(AM456=1,"Quantidade a revisar",IF(AF456&gt;0,"Vínculo a revisar",IF(AD456=0,"Aguardando CDF",IF(AN456=0,"Vínculo de CDF parcial",IF(AE456&lt;AD456,"CDF a conferir","Documentação conferida"))))))))))))))))))</f>
        <v/>
      </c>
      <c r="Q456" s="93" t="str">
        <f>IF(OR(R456=0,AA456=0),"",MAX(0,N(L456)-N(M456)))</f>
        <v/>
      </c>
      <c r="R456" s="96">
        <f>IF(COUNTA(B456:C456,G456:H456,J456:K456)&gt;0,1,0)</f>
        <v>0</v>
      </c>
      <c r="S456" s="96" t="str">
        <f>IF(B456="","",TRIM(LEFT(B456,FIND(" |",B456&amp;" |")-1)))</f>
        <v/>
      </c>
      <c r="T456" s="96" t="str">
        <f>IF(S456="","",IFERROR(MATCH(S456,'MTRs'!$A$6:$A$505,0),""))</f>
        <v/>
      </c>
      <c r="U456" s="96">
        <f>IF(T456="",0,IF(INDEX('MTRs'!$Z$6:$Z$505,T456)=1,1,0))</f>
        <v>0</v>
      </c>
      <c r="V456" s="96">
        <f>IF(C456="",0,IF(ISNUMBER(MATCH(C456,'CAD_RESÍDUOS'!$B$6:$B$205,0)),1,0))</f>
        <v>0</v>
      </c>
      <c r="W456" s="96">
        <f>IF(AND(ISNUMBER(G456),G456&gt;0),1,0)</f>
        <v>0</v>
      </c>
      <c r="X456" s="96" t="str">
        <f>IF(H456="","",IFERROR(IF(ISNUMBER(INDEX(cfg_fac,MATCH(H456,cfg_units,0))),IF(INDEX(cfg_fac,MATCH(H456,cfg_units,0))&gt;0,INDEX(cfg_fac,MATCH(H456,cfg_units,0)),""),""),""))</f>
        <v/>
      </c>
      <c r="Y456" s="96">
        <f>IF(AND(W456=1,ISNUMBER(I456)),1,0)</f>
        <v>0</v>
      </c>
      <c r="Z456" s="96">
        <f>IF(U456=1,INDEX('MTRs'!$AA$6:$AA$505,T456),0)</f>
        <v>0</v>
      </c>
      <c r="AA456" s="96">
        <f>IF(R456=0,0,COUNTIFS('RECEBIMENTOS'!$R$6:$R$1005,A456,'RECEBIMENTOS'!$Q$6:$Q$1005,1))</f>
        <v>0</v>
      </c>
      <c r="AB456" s="96">
        <f>IF(R456=0,0,COUNTIFS('RECEBIMENTOS'!$R$6:$R$1005,A456,'RECEBIMENTOS'!$Z$6:$Z$1005,1))</f>
        <v>0</v>
      </c>
      <c r="AC456" s="96">
        <f>IF(R456=0,0,COUNTIFS('RECEBIMENTOS'!$R$6:$R$1005,A456,'RECEBIMENTOS'!$Y$6:$Y$1005,1))</f>
        <v>0</v>
      </c>
      <c r="AD456" s="96">
        <f>IF(R456=0,0,COUNTIFS('VÍNCULOS_CDF'!$R$6:$R$1005,A456,'VÍNCULOS_CDF'!$N$6:$N$1005,1))</f>
        <v>0</v>
      </c>
      <c r="AE456" s="96">
        <f>IF(R456=0,0,COUNTIFS('VÍNCULOS_CDF'!$R$6:$R$1005,A456,'VÍNCULOS_CDF'!$AA$6:$AA$1005,1))</f>
        <v>0</v>
      </c>
      <c r="AF456" s="96">
        <f>IF(R456=0,0,COUNTIFS('VÍNCULOS_CDF'!$R$6:$R$1005,A456,'VÍNCULOS_CDF'!$Y$6:$Y$1005,1))</f>
        <v>0</v>
      </c>
      <c r="AG456" s="96" t="str">
        <f>IF(AND(R456=1,S456&lt;&gt;"",C456&lt;&gt;""),S456&amp;"|"&amp;C456&amp;"|"&amp;G456&amp;"|"&amp;H456,"")</f>
        <v/>
      </c>
      <c r="AH456" s="96">
        <f>IF(AG456="",0,IF(SUMPRODUCT(--($AG$6:$AG$1005=AG456))&gt;1,1,0))</f>
        <v>0</v>
      </c>
      <c r="AI456" s="96">
        <f>IF(R456=0,0,IF(OR(U456=0,V456=0,Y456=0,AND(AH456=1,K456&lt;&gt;"Sim")),1,0))</f>
        <v>0</v>
      </c>
      <c r="AJ456" s="96">
        <f>IF(AND(R456=1,AA456&gt;0,AB456=AA456),1,0)</f>
        <v>0</v>
      </c>
      <c r="AK456" s="96">
        <f>IF(R456=0,0,IF(AA456&gt;0,N(L456),IF(ISNUMBER(I456),I456,0)))</f>
        <v>0</v>
      </c>
      <c r="AL456" s="96">
        <f>IF(R456=0,0,IF(AND(K456&lt;&gt;"Sim",N(M456)&gt;AK456+cfg_tol),1,0))</f>
        <v>0</v>
      </c>
      <c r="AM456" s="96">
        <f>IF(R456=0,0,IF(K456="Sim",0,IF(OR(AND(AA456&gt;0,ISNUMBER(I456),ABS(I456-N(L456))&gt;cfg_tol),AL456=1),1,0)))</f>
        <v>0</v>
      </c>
      <c r="AN456" s="96">
        <f>IF(AND(R456=1,N(M456)&gt;0,OR(N(M456)&gt;=AK456-cfg_tol,K456="Sim")),1,0)</f>
        <v>0</v>
      </c>
      <c r="AO456" s="96">
        <f>IF(AND(AN456=1,AD456&gt;0,AE456=AD456,AL456=0),1,0)</f>
        <v>0</v>
      </c>
      <c r="AP456" s="96">
        <f>IF(U456=0,0,IF(AND(INDEX('MTRs'!$AX$6:$AX$505,T456)=1,Z456=0,OR(f_res="",f_res="(Todos)",C456=f_res)),1,0))</f>
        <v>0</v>
      </c>
      <c r="AQ456" s="97" t="str">
        <f>IF(U456=0,"",INDEX('MTRs'!$AZ$6:$AZ$505,T456))</f>
        <v/>
      </c>
      <c r="AR456" s="96">
        <f>IF(U456=0,0,IF(AND(INDEX('MTRs'!$BA$6:$BA$505,T456)=1,Z456=0),1,0))</f>
        <v>0</v>
      </c>
      <c r="AS456" s="96" t="str">
        <f>IF(R456=1,A456&amp;" | MTR "&amp;IF(U456=1,INDEX('MTRs'!$B$6:$B$505,T456)&amp;"","?")&amp;" | "&amp;IF(C456="","(sem resíduo)",C456),"")</f>
        <v/>
      </c>
      <c r="AT456" s="96" t="str">
        <f>IF(R456=1,COUNTIF($R$6:R456,1),"")</f>
        <v/>
      </c>
      <c r="AU456" s="96" t="str">
        <f>IF(U456=1,INDEX('MTRs'!$I$6:$I$505,T456)&amp;"","")</f>
        <v/>
      </c>
    </row>
    <row r="457">
      <c r="A457" s="89" t="inlineStr">
        <is>
          <t>IT-000452</t>
        </is>
      </c>
      <c r="B457" s="91" t="n"/>
      <c r="C457" s="91" t="n"/>
      <c r="D457" s="94" t="str">
        <f>IF(OR(R457=0,V457=0),"",INDEX('CAD_RESÍDUOS'!$E$6:$E$205,MATCH(C457,'CAD_RESÍDUOS'!$B$6:$B$205,0))&amp;"")</f>
        <v/>
      </c>
      <c r="E457" s="94" t="str">
        <f>IF(OR(R457=0,V457=0),"",INDEX('CAD_RESÍDUOS'!$C$6:$C$205,MATCH(C457,'CAD_RESÍDUOS'!$B$6:$B$205,0))&amp;"")</f>
        <v/>
      </c>
      <c r="F457" s="94" t="str">
        <f>IF(OR(R457=0,V457=0),"",INDEX('CAD_RESÍDUOS'!$G$6:$G$205,MATCH(C457,'CAD_RESÍDUOS'!$B$6:$B$205,0))&amp;"")</f>
        <v/>
      </c>
      <c r="G457" s="98" t="n"/>
      <c r="H457" s="91" t="n"/>
      <c r="I457" s="93" t="str">
        <f>IF(R457=0,"",IF(NOT(ISNUMBER(G457)),"",IF(ISNUMBER(X457),G457*X457,"UNIDADE A CONFERIR")))</f>
        <v/>
      </c>
      <c r="J457" s="91" t="n"/>
      <c r="K457" s="91" t="n"/>
      <c r="L457" s="93" t="str">
        <f>IF(R457=0,"",SUMIFS('RECEBIMENTOS'!$H$6:$H$1005,'RECEBIMENTOS'!$R$6:$R$1005,A457,'RECEBIMENTOS'!$X$6:$X$1005,1))</f>
        <v/>
      </c>
      <c r="M457" s="93" t="str">
        <f>IF(R457=0,"",SUMIFS('VÍNCULOS_CDF'!$H$6:$H$1005,'VÍNCULOS_CDF'!$R$6:$R$1005,A457,'VÍNCULOS_CDF'!$V$6:$V$1005,1))</f>
        <v/>
      </c>
      <c r="N457" s="99" t="str">
        <f>IF(OR(R457=0,AA457=0,NOT(ISNUMBER(I457))),"",I457-N(L457))</f>
        <v/>
      </c>
      <c r="O457" s="100" t="str">
        <f>IF(OR(R457=0,AK457&lt;=0),"",N(M457)/AK457)</f>
        <v/>
      </c>
      <c r="P457" s="94" t="str">
        <f>IF(R457=0,"",IF(S457="","Sem MTR associado",IF(U457=0,"MTR inexistente",IF(C457="","Resíduo não identificado",IF(V457=0,"Resíduo fora do cadastro",IF(W457=0,"Quantidade inválida",IF(H457="","Unidade não informada",IF(NOT(ISNUMBER(I457)),"Unidade a conferir",IF(AND(AH457=1,K457&lt;&gt;"Sim"),"Possível duplicidade",IF(Z457=1,"MTR cancelado",IF(AC457&gt;0,"Recebimento com alerta",IF(AA457=0,"Aguardando recebimento",IF(AB457&lt;AA457,"Recebimento a conferir",IF(AM457=1,"Quantidade a revisar",IF(AF457&gt;0,"Vínculo a revisar",IF(AD457=0,"Aguardando CDF",IF(AN457=0,"Vínculo de CDF parcial",IF(AE457&lt;AD457,"CDF a conferir","Documentação conferida"))))))))))))))))))</f>
        <v/>
      </c>
      <c r="Q457" s="93" t="str">
        <f>IF(OR(R457=0,AA457=0),"",MAX(0,N(L457)-N(M457)))</f>
        <v/>
      </c>
      <c r="R457" s="96">
        <f>IF(COUNTA(B457:C457,G457:H457,J457:K457)&gt;0,1,0)</f>
        <v>0</v>
      </c>
      <c r="S457" s="96" t="str">
        <f>IF(B457="","",TRIM(LEFT(B457,FIND(" |",B457&amp;" |")-1)))</f>
        <v/>
      </c>
      <c r="T457" s="96" t="str">
        <f>IF(S457="","",IFERROR(MATCH(S457,'MTRs'!$A$6:$A$505,0),""))</f>
        <v/>
      </c>
      <c r="U457" s="96">
        <f>IF(T457="",0,IF(INDEX('MTRs'!$Z$6:$Z$505,T457)=1,1,0))</f>
        <v>0</v>
      </c>
      <c r="V457" s="96">
        <f>IF(C457="",0,IF(ISNUMBER(MATCH(C457,'CAD_RESÍDUOS'!$B$6:$B$205,0)),1,0))</f>
        <v>0</v>
      </c>
      <c r="W457" s="96">
        <f>IF(AND(ISNUMBER(G457),G457&gt;0),1,0)</f>
        <v>0</v>
      </c>
      <c r="X457" s="96" t="str">
        <f>IF(H457="","",IFERROR(IF(ISNUMBER(INDEX(cfg_fac,MATCH(H457,cfg_units,0))),IF(INDEX(cfg_fac,MATCH(H457,cfg_units,0))&gt;0,INDEX(cfg_fac,MATCH(H457,cfg_units,0)),""),""),""))</f>
        <v/>
      </c>
      <c r="Y457" s="96">
        <f>IF(AND(W457=1,ISNUMBER(I457)),1,0)</f>
        <v>0</v>
      </c>
      <c r="Z457" s="96">
        <f>IF(U457=1,INDEX('MTRs'!$AA$6:$AA$505,T457),0)</f>
        <v>0</v>
      </c>
      <c r="AA457" s="96">
        <f>IF(R457=0,0,COUNTIFS('RECEBIMENTOS'!$R$6:$R$1005,A457,'RECEBIMENTOS'!$Q$6:$Q$1005,1))</f>
        <v>0</v>
      </c>
      <c r="AB457" s="96">
        <f>IF(R457=0,0,COUNTIFS('RECEBIMENTOS'!$R$6:$R$1005,A457,'RECEBIMENTOS'!$Z$6:$Z$1005,1))</f>
        <v>0</v>
      </c>
      <c r="AC457" s="96">
        <f>IF(R457=0,0,COUNTIFS('RECEBIMENTOS'!$R$6:$R$1005,A457,'RECEBIMENTOS'!$Y$6:$Y$1005,1))</f>
        <v>0</v>
      </c>
      <c r="AD457" s="96">
        <f>IF(R457=0,0,COUNTIFS('VÍNCULOS_CDF'!$R$6:$R$1005,A457,'VÍNCULOS_CDF'!$N$6:$N$1005,1))</f>
        <v>0</v>
      </c>
      <c r="AE457" s="96">
        <f>IF(R457=0,0,COUNTIFS('VÍNCULOS_CDF'!$R$6:$R$1005,A457,'VÍNCULOS_CDF'!$AA$6:$AA$1005,1))</f>
        <v>0</v>
      </c>
      <c r="AF457" s="96">
        <f>IF(R457=0,0,COUNTIFS('VÍNCULOS_CDF'!$R$6:$R$1005,A457,'VÍNCULOS_CDF'!$Y$6:$Y$1005,1))</f>
        <v>0</v>
      </c>
      <c r="AG457" s="96" t="str">
        <f>IF(AND(R457=1,S457&lt;&gt;"",C457&lt;&gt;""),S457&amp;"|"&amp;C457&amp;"|"&amp;G457&amp;"|"&amp;H457,"")</f>
        <v/>
      </c>
      <c r="AH457" s="96">
        <f>IF(AG457="",0,IF(SUMPRODUCT(--($AG$6:$AG$1005=AG457))&gt;1,1,0))</f>
        <v>0</v>
      </c>
      <c r="AI457" s="96">
        <f>IF(R457=0,0,IF(OR(U457=0,V457=0,Y457=0,AND(AH457=1,K457&lt;&gt;"Sim")),1,0))</f>
        <v>0</v>
      </c>
      <c r="AJ457" s="96">
        <f>IF(AND(R457=1,AA457&gt;0,AB457=AA457),1,0)</f>
        <v>0</v>
      </c>
      <c r="AK457" s="96">
        <f>IF(R457=0,0,IF(AA457&gt;0,N(L457),IF(ISNUMBER(I457),I457,0)))</f>
        <v>0</v>
      </c>
      <c r="AL457" s="96">
        <f>IF(R457=0,0,IF(AND(K457&lt;&gt;"Sim",N(M457)&gt;AK457+cfg_tol),1,0))</f>
        <v>0</v>
      </c>
      <c r="AM457" s="96">
        <f>IF(R457=0,0,IF(K457="Sim",0,IF(OR(AND(AA457&gt;0,ISNUMBER(I457),ABS(I457-N(L457))&gt;cfg_tol),AL457=1),1,0)))</f>
        <v>0</v>
      </c>
      <c r="AN457" s="96">
        <f>IF(AND(R457=1,N(M457)&gt;0,OR(N(M457)&gt;=AK457-cfg_tol,K457="Sim")),1,0)</f>
        <v>0</v>
      </c>
      <c r="AO457" s="96">
        <f>IF(AND(AN457=1,AD457&gt;0,AE457=AD457,AL457=0),1,0)</f>
        <v>0</v>
      </c>
      <c r="AP457" s="96">
        <f>IF(U457=0,0,IF(AND(INDEX('MTRs'!$AX$6:$AX$505,T457)=1,Z457=0,OR(f_res="",f_res="(Todos)",C457=f_res)),1,0))</f>
        <v>0</v>
      </c>
      <c r="AQ457" s="97" t="str">
        <f>IF(U457=0,"",INDEX('MTRs'!$AZ$6:$AZ$505,T457))</f>
        <v/>
      </c>
      <c r="AR457" s="96">
        <f>IF(U457=0,0,IF(AND(INDEX('MTRs'!$BA$6:$BA$505,T457)=1,Z457=0),1,0))</f>
        <v>0</v>
      </c>
      <c r="AS457" s="96" t="str">
        <f>IF(R457=1,A457&amp;" | MTR "&amp;IF(U457=1,INDEX('MTRs'!$B$6:$B$505,T457)&amp;"","?")&amp;" | "&amp;IF(C457="","(sem resíduo)",C457),"")</f>
        <v/>
      </c>
      <c r="AT457" s="96" t="str">
        <f>IF(R457=1,COUNTIF($R$6:R457,1),"")</f>
        <v/>
      </c>
      <c r="AU457" s="96" t="str">
        <f>IF(U457=1,INDEX('MTRs'!$I$6:$I$505,T457)&amp;"","")</f>
        <v/>
      </c>
    </row>
    <row r="458">
      <c r="A458" s="89" t="inlineStr">
        <is>
          <t>IT-000453</t>
        </is>
      </c>
      <c r="B458" s="91" t="n"/>
      <c r="C458" s="91" t="n"/>
      <c r="D458" s="94" t="str">
        <f>IF(OR(R458=0,V458=0),"",INDEX('CAD_RESÍDUOS'!$E$6:$E$205,MATCH(C458,'CAD_RESÍDUOS'!$B$6:$B$205,0))&amp;"")</f>
        <v/>
      </c>
      <c r="E458" s="94" t="str">
        <f>IF(OR(R458=0,V458=0),"",INDEX('CAD_RESÍDUOS'!$C$6:$C$205,MATCH(C458,'CAD_RESÍDUOS'!$B$6:$B$205,0))&amp;"")</f>
        <v/>
      </c>
      <c r="F458" s="94" t="str">
        <f>IF(OR(R458=0,V458=0),"",INDEX('CAD_RESÍDUOS'!$G$6:$G$205,MATCH(C458,'CAD_RESÍDUOS'!$B$6:$B$205,0))&amp;"")</f>
        <v/>
      </c>
      <c r="G458" s="98" t="n"/>
      <c r="H458" s="91" t="n"/>
      <c r="I458" s="93" t="str">
        <f>IF(R458=0,"",IF(NOT(ISNUMBER(G458)),"",IF(ISNUMBER(X458),G458*X458,"UNIDADE A CONFERIR")))</f>
        <v/>
      </c>
      <c r="J458" s="91" t="n"/>
      <c r="K458" s="91" t="n"/>
      <c r="L458" s="93" t="str">
        <f>IF(R458=0,"",SUMIFS('RECEBIMENTOS'!$H$6:$H$1005,'RECEBIMENTOS'!$R$6:$R$1005,A458,'RECEBIMENTOS'!$X$6:$X$1005,1))</f>
        <v/>
      </c>
      <c r="M458" s="93" t="str">
        <f>IF(R458=0,"",SUMIFS('VÍNCULOS_CDF'!$H$6:$H$1005,'VÍNCULOS_CDF'!$R$6:$R$1005,A458,'VÍNCULOS_CDF'!$V$6:$V$1005,1))</f>
        <v/>
      </c>
      <c r="N458" s="99" t="str">
        <f>IF(OR(R458=0,AA458=0,NOT(ISNUMBER(I458))),"",I458-N(L458))</f>
        <v/>
      </c>
      <c r="O458" s="100" t="str">
        <f>IF(OR(R458=0,AK458&lt;=0),"",N(M458)/AK458)</f>
        <v/>
      </c>
      <c r="P458" s="94" t="str">
        <f>IF(R458=0,"",IF(S458="","Sem MTR associado",IF(U458=0,"MTR inexistente",IF(C458="","Resíduo não identificado",IF(V458=0,"Resíduo fora do cadastro",IF(W458=0,"Quantidade inválida",IF(H458="","Unidade não informada",IF(NOT(ISNUMBER(I458)),"Unidade a conferir",IF(AND(AH458=1,K458&lt;&gt;"Sim"),"Possível duplicidade",IF(Z458=1,"MTR cancelado",IF(AC458&gt;0,"Recebimento com alerta",IF(AA458=0,"Aguardando recebimento",IF(AB458&lt;AA458,"Recebimento a conferir",IF(AM458=1,"Quantidade a revisar",IF(AF458&gt;0,"Vínculo a revisar",IF(AD458=0,"Aguardando CDF",IF(AN458=0,"Vínculo de CDF parcial",IF(AE458&lt;AD458,"CDF a conferir","Documentação conferida"))))))))))))))))))</f>
        <v/>
      </c>
      <c r="Q458" s="93" t="str">
        <f>IF(OR(R458=0,AA458=0),"",MAX(0,N(L458)-N(M458)))</f>
        <v/>
      </c>
      <c r="R458" s="96">
        <f>IF(COUNTA(B458:C458,G458:H458,J458:K458)&gt;0,1,0)</f>
        <v>0</v>
      </c>
      <c r="S458" s="96" t="str">
        <f>IF(B458="","",TRIM(LEFT(B458,FIND(" |",B458&amp;" |")-1)))</f>
        <v/>
      </c>
      <c r="T458" s="96" t="str">
        <f>IF(S458="","",IFERROR(MATCH(S458,'MTRs'!$A$6:$A$505,0),""))</f>
        <v/>
      </c>
      <c r="U458" s="96">
        <f>IF(T458="",0,IF(INDEX('MTRs'!$Z$6:$Z$505,T458)=1,1,0))</f>
        <v>0</v>
      </c>
      <c r="V458" s="96">
        <f>IF(C458="",0,IF(ISNUMBER(MATCH(C458,'CAD_RESÍDUOS'!$B$6:$B$205,0)),1,0))</f>
        <v>0</v>
      </c>
      <c r="W458" s="96">
        <f>IF(AND(ISNUMBER(G458),G458&gt;0),1,0)</f>
        <v>0</v>
      </c>
      <c r="X458" s="96" t="str">
        <f>IF(H458="","",IFERROR(IF(ISNUMBER(INDEX(cfg_fac,MATCH(H458,cfg_units,0))),IF(INDEX(cfg_fac,MATCH(H458,cfg_units,0))&gt;0,INDEX(cfg_fac,MATCH(H458,cfg_units,0)),""),""),""))</f>
        <v/>
      </c>
      <c r="Y458" s="96">
        <f>IF(AND(W458=1,ISNUMBER(I458)),1,0)</f>
        <v>0</v>
      </c>
      <c r="Z458" s="96">
        <f>IF(U458=1,INDEX('MTRs'!$AA$6:$AA$505,T458),0)</f>
        <v>0</v>
      </c>
      <c r="AA458" s="96">
        <f>IF(R458=0,0,COUNTIFS('RECEBIMENTOS'!$R$6:$R$1005,A458,'RECEBIMENTOS'!$Q$6:$Q$1005,1))</f>
        <v>0</v>
      </c>
      <c r="AB458" s="96">
        <f>IF(R458=0,0,COUNTIFS('RECEBIMENTOS'!$R$6:$R$1005,A458,'RECEBIMENTOS'!$Z$6:$Z$1005,1))</f>
        <v>0</v>
      </c>
      <c r="AC458" s="96">
        <f>IF(R458=0,0,COUNTIFS('RECEBIMENTOS'!$R$6:$R$1005,A458,'RECEBIMENTOS'!$Y$6:$Y$1005,1))</f>
        <v>0</v>
      </c>
      <c r="AD458" s="96">
        <f>IF(R458=0,0,COUNTIFS('VÍNCULOS_CDF'!$R$6:$R$1005,A458,'VÍNCULOS_CDF'!$N$6:$N$1005,1))</f>
        <v>0</v>
      </c>
      <c r="AE458" s="96">
        <f>IF(R458=0,0,COUNTIFS('VÍNCULOS_CDF'!$R$6:$R$1005,A458,'VÍNCULOS_CDF'!$AA$6:$AA$1005,1))</f>
        <v>0</v>
      </c>
      <c r="AF458" s="96">
        <f>IF(R458=0,0,COUNTIFS('VÍNCULOS_CDF'!$R$6:$R$1005,A458,'VÍNCULOS_CDF'!$Y$6:$Y$1005,1))</f>
        <v>0</v>
      </c>
      <c r="AG458" s="96" t="str">
        <f>IF(AND(R458=1,S458&lt;&gt;"",C458&lt;&gt;""),S458&amp;"|"&amp;C458&amp;"|"&amp;G458&amp;"|"&amp;H458,"")</f>
        <v/>
      </c>
      <c r="AH458" s="96">
        <f>IF(AG458="",0,IF(SUMPRODUCT(--($AG$6:$AG$1005=AG458))&gt;1,1,0))</f>
        <v>0</v>
      </c>
      <c r="AI458" s="96">
        <f>IF(R458=0,0,IF(OR(U458=0,V458=0,Y458=0,AND(AH458=1,K458&lt;&gt;"Sim")),1,0))</f>
        <v>0</v>
      </c>
      <c r="AJ458" s="96">
        <f>IF(AND(R458=1,AA458&gt;0,AB458=AA458),1,0)</f>
        <v>0</v>
      </c>
      <c r="AK458" s="96">
        <f>IF(R458=0,0,IF(AA458&gt;0,N(L458),IF(ISNUMBER(I458),I458,0)))</f>
        <v>0</v>
      </c>
      <c r="AL458" s="96">
        <f>IF(R458=0,0,IF(AND(K458&lt;&gt;"Sim",N(M458)&gt;AK458+cfg_tol),1,0))</f>
        <v>0</v>
      </c>
      <c r="AM458" s="96">
        <f>IF(R458=0,0,IF(K458="Sim",0,IF(OR(AND(AA458&gt;0,ISNUMBER(I458),ABS(I458-N(L458))&gt;cfg_tol),AL458=1),1,0)))</f>
        <v>0</v>
      </c>
      <c r="AN458" s="96">
        <f>IF(AND(R458=1,N(M458)&gt;0,OR(N(M458)&gt;=AK458-cfg_tol,K458="Sim")),1,0)</f>
        <v>0</v>
      </c>
      <c r="AO458" s="96">
        <f>IF(AND(AN458=1,AD458&gt;0,AE458=AD458,AL458=0),1,0)</f>
        <v>0</v>
      </c>
      <c r="AP458" s="96">
        <f>IF(U458=0,0,IF(AND(INDEX('MTRs'!$AX$6:$AX$505,T458)=1,Z458=0,OR(f_res="",f_res="(Todos)",C458=f_res)),1,0))</f>
        <v>0</v>
      </c>
      <c r="AQ458" s="97" t="str">
        <f>IF(U458=0,"",INDEX('MTRs'!$AZ$6:$AZ$505,T458))</f>
        <v/>
      </c>
      <c r="AR458" s="96">
        <f>IF(U458=0,0,IF(AND(INDEX('MTRs'!$BA$6:$BA$505,T458)=1,Z458=0),1,0))</f>
        <v>0</v>
      </c>
      <c r="AS458" s="96" t="str">
        <f>IF(R458=1,A458&amp;" | MTR "&amp;IF(U458=1,INDEX('MTRs'!$B$6:$B$505,T458)&amp;"","?")&amp;" | "&amp;IF(C458="","(sem resíduo)",C458),"")</f>
        <v/>
      </c>
      <c r="AT458" s="96" t="str">
        <f>IF(R458=1,COUNTIF($R$6:R458,1),"")</f>
        <v/>
      </c>
      <c r="AU458" s="96" t="str">
        <f>IF(U458=1,INDEX('MTRs'!$I$6:$I$505,T458)&amp;"","")</f>
        <v/>
      </c>
    </row>
    <row r="459">
      <c r="A459" s="89" t="inlineStr">
        <is>
          <t>IT-000454</t>
        </is>
      </c>
      <c r="B459" s="91" t="n"/>
      <c r="C459" s="91" t="n"/>
      <c r="D459" s="94" t="str">
        <f>IF(OR(R459=0,V459=0),"",INDEX('CAD_RESÍDUOS'!$E$6:$E$205,MATCH(C459,'CAD_RESÍDUOS'!$B$6:$B$205,0))&amp;"")</f>
        <v/>
      </c>
      <c r="E459" s="94" t="str">
        <f>IF(OR(R459=0,V459=0),"",INDEX('CAD_RESÍDUOS'!$C$6:$C$205,MATCH(C459,'CAD_RESÍDUOS'!$B$6:$B$205,0))&amp;"")</f>
        <v/>
      </c>
      <c r="F459" s="94" t="str">
        <f>IF(OR(R459=0,V459=0),"",INDEX('CAD_RESÍDUOS'!$G$6:$G$205,MATCH(C459,'CAD_RESÍDUOS'!$B$6:$B$205,0))&amp;"")</f>
        <v/>
      </c>
      <c r="G459" s="98" t="n"/>
      <c r="H459" s="91" t="n"/>
      <c r="I459" s="93" t="str">
        <f>IF(R459=0,"",IF(NOT(ISNUMBER(G459)),"",IF(ISNUMBER(X459),G459*X459,"UNIDADE A CONFERIR")))</f>
        <v/>
      </c>
      <c r="J459" s="91" t="n"/>
      <c r="K459" s="91" t="n"/>
      <c r="L459" s="93" t="str">
        <f>IF(R459=0,"",SUMIFS('RECEBIMENTOS'!$H$6:$H$1005,'RECEBIMENTOS'!$R$6:$R$1005,A459,'RECEBIMENTOS'!$X$6:$X$1005,1))</f>
        <v/>
      </c>
      <c r="M459" s="93" t="str">
        <f>IF(R459=0,"",SUMIFS('VÍNCULOS_CDF'!$H$6:$H$1005,'VÍNCULOS_CDF'!$R$6:$R$1005,A459,'VÍNCULOS_CDF'!$V$6:$V$1005,1))</f>
        <v/>
      </c>
      <c r="N459" s="99" t="str">
        <f>IF(OR(R459=0,AA459=0,NOT(ISNUMBER(I459))),"",I459-N(L459))</f>
        <v/>
      </c>
      <c r="O459" s="100" t="str">
        <f>IF(OR(R459=0,AK459&lt;=0),"",N(M459)/AK459)</f>
        <v/>
      </c>
      <c r="P459" s="94" t="str">
        <f>IF(R459=0,"",IF(S459="","Sem MTR associado",IF(U459=0,"MTR inexistente",IF(C459="","Resíduo não identificado",IF(V459=0,"Resíduo fora do cadastro",IF(W459=0,"Quantidade inválida",IF(H459="","Unidade não informada",IF(NOT(ISNUMBER(I459)),"Unidade a conferir",IF(AND(AH459=1,K459&lt;&gt;"Sim"),"Possível duplicidade",IF(Z459=1,"MTR cancelado",IF(AC459&gt;0,"Recebimento com alerta",IF(AA459=0,"Aguardando recebimento",IF(AB459&lt;AA459,"Recebimento a conferir",IF(AM459=1,"Quantidade a revisar",IF(AF459&gt;0,"Vínculo a revisar",IF(AD459=0,"Aguardando CDF",IF(AN459=0,"Vínculo de CDF parcial",IF(AE459&lt;AD459,"CDF a conferir","Documentação conferida"))))))))))))))))))</f>
        <v/>
      </c>
      <c r="Q459" s="93" t="str">
        <f>IF(OR(R459=0,AA459=0),"",MAX(0,N(L459)-N(M459)))</f>
        <v/>
      </c>
      <c r="R459" s="96">
        <f>IF(COUNTA(B459:C459,G459:H459,J459:K459)&gt;0,1,0)</f>
        <v>0</v>
      </c>
      <c r="S459" s="96" t="str">
        <f>IF(B459="","",TRIM(LEFT(B459,FIND(" |",B459&amp;" |")-1)))</f>
        <v/>
      </c>
      <c r="T459" s="96" t="str">
        <f>IF(S459="","",IFERROR(MATCH(S459,'MTRs'!$A$6:$A$505,0),""))</f>
        <v/>
      </c>
      <c r="U459" s="96">
        <f>IF(T459="",0,IF(INDEX('MTRs'!$Z$6:$Z$505,T459)=1,1,0))</f>
        <v>0</v>
      </c>
      <c r="V459" s="96">
        <f>IF(C459="",0,IF(ISNUMBER(MATCH(C459,'CAD_RESÍDUOS'!$B$6:$B$205,0)),1,0))</f>
        <v>0</v>
      </c>
      <c r="W459" s="96">
        <f>IF(AND(ISNUMBER(G459),G459&gt;0),1,0)</f>
        <v>0</v>
      </c>
      <c r="X459" s="96" t="str">
        <f>IF(H459="","",IFERROR(IF(ISNUMBER(INDEX(cfg_fac,MATCH(H459,cfg_units,0))),IF(INDEX(cfg_fac,MATCH(H459,cfg_units,0))&gt;0,INDEX(cfg_fac,MATCH(H459,cfg_units,0)),""),""),""))</f>
        <v/>
      </c>
      <c r="Y459" s="96">
        <f>IF(AND(W459=1,ISNUMBER(I459)),1,0)</f>
        <v>0</v>
      </c>
      <c r="Z459" s="96">
        <f>IF(U459=1,INDEX('MTRs'!$AA$6:$AA$505,T459),0)</f>
        <v>0</v>
      </c>
      <c r="AA459" s="96">
        <f>IF(R459=0,0,COUNTIFS('RECEBIMENTOS'!$R$6:$R$1005,A459,'RECEBIMENTOS'!$Q$6:$Q$1005,1))</f>
        <v>0</v>
      </c>
      <c r="AB459" s="96">
        <f>IF(R459=0,0,COUNTIFS('RECEBIMENTOS'!$R$6:$R$1005,A459,'RECEBIMENTOS'!$Z$6:$Z$1005,1))</f>
        <v>0</v>
      </c>
      <c r="AC459" s="96">
        <f>IF(R459=0,0,COUNTIFS('RECEBIMENTOS'!$R$6:$R$1005,A459,'RECEBIMENTOS'!$Y$6:$Y$1005,1))</f>
        <v>0</v>
      </c>
      <c r="AD459" s="96">
        <f>IF(R459=0,0,COUNTIFS('VÍNCULOS_CDF'!$R$6:$R$1005,A459,'VÍNCULOS_CDF'!$N$6:$N$1005,1))</f>
        <v>0</v>
      </c>
      <c r="AE459" s="96">
        <f>IF(R459=0,0,COUNTIFS('VÍNCULOS_CDF'!$R$6:$R$1005,A459,'VÍNCULOS_CDF'!$AA$6:$AA$1005,1))</f>
        <v>0</v>
      </c>
      <c r="AF459" s="96">
        <f>IF(R459=0,0,COUNTIFS('VÍNCULOS_CDF'!$R$6:$R$1005,A459,'VÍNCULOS_CDF'!$Y$6:$Y$1005,1))</f>
        <v>0</v>
      </c>
      <c r="AG459" s="96" t="str">
        <f>IF(AND(R459=1,S459&lt;&gt;"",C459&lt;&gt;""),S459&amp;"|"&amp;C459&amp;"|"&amp;G459&amp;"|"&amp;H459,"")</f>
        <v/>
      </c>
      <c r="AH459" s="96">
        <f>IF(AG459="",0,IF(SUMPRODUCT(--($AG$6:$AG$1005=AG459))&gt;1,1,0))</f>
        <v>0</v>
      </c>
      <c r="AI459" s="96">
        <f>IF(R459=0,0,IF(OR(U459=0,V459=0,Y459=0,AND(AH459=1,K459&lt;&gt;"Sim")),1,0))</f>
        <v>0</v>
      </c>
      <c r="AJ459" s="96">
        <f>IF(AND(R459=1,AA459&gt;0,AB459=AA459),1,0)</f>
        <v>0</v>
      </c>
      <c r="AK459" s="96">
        <f>IF(R459=0,0,IF(AA459&gt;0,N(L459),IF(ISNUMBER(I459),I459,0)))</f>
        <v>0</v>
      </c>
      <c r="AL459" s="96">
        <f>IF(R459=0,0,IF(AND(K459&lt;&gt;"Sim",N(M459)&gt;AK459+cfg_tol),1,0))</f>
        <v>0</v>
      </c>
      <c r="AM459" s="96">
        <f>IF(R459=0,0,IF(K459="Sim",0,IF(OR(AND(AA459&gt;0,ISNUMBER(I459),ABS(I459-N(L459))&gt;cfg_tol),AL459=1),1,0)))</f>
        <v>0</v>
      </c>
      <c r="AN459" s="96">
        <f>IF(AND(R459=1,N(M459)&gt;0,OR(N(M459)&gt;=AK459-cfg_tol,K459="Sim")),1,0)</f>
        <v>0</v>
      </c>
      <c r="AO459" s="96">
        <f>IF(AND(AN459=1,AD459&gt;0,AE459=AD459,AL459=0),1,0)</f>
        <v>0</v>
      </c>
      <c r="AP459" s="96">
        <f>IF(U459=0,0,IF(AND(INDEX('MTRs'!$AX$6:$AX$505,T459)=1,Z459=0,OR(f_res="",f_res="(Todos)",C459=f_res)),1,0))</f>
        <v>0</v>
      </c>
      <c r="AQ459" s="97" t="str">
        <f>IF(U459=0,"",INDEX('MTRs'!$AZ$6:$AZ$505,T459))</f>
        <v/>
      </c>
      <c r="AR459" s="96">
        <f>IF(U459=0,0,IF(AND(INDEX('MTRs'!$BA$6:$BA$505,T459)=1,Z459=0),1,0))</f>
        <v>0</v>
      </c>
      <c r="AS459" s="96" t="str">
        <f>IF(R459=1,A459&amp;" | MTR "&amp;IF(U459=1,INDEX('MTRs'!$B$6:$B$505,T459)&amp;"","?")&amp;" | "&amp;IF(C459="","(sem resíduo)",C459),"")</f>
        <v/>
      </c>
      <c r="AT459" s="96" t="str">
        <f>IF(R459=1,COUNTIF($R$6:R459,1),"")</f>
        <v/>
      </c>
      <c r="AU459" s="96" t="str">
        <f>IF(U459=1,INDEX('MTRs'!$I$6:$I$505,T459)&amp;"","")</f>
        <v/>
      </c>
    </row>
    <row r="460">
      <c r="A460" s="89" t="inlineStr">
        <is>
          <t>IT-000455</t>
        </is>
      </c>
      <c r="B460" s="91" t="n"/>
      <c r="C460" s="91" t="n"/>
      <c r="D460" s="94" t="str">
        <f>IF(OR(R460=0,V460=0),"",INDEX('CAD_RESÍDUOS'!$E$6:$E$205,MATCH(C460,'CAD_RESÍDUOS'!$B$6:$B$205,0))&amp;"")</f>
        <v/>
      </c>
      <c r="E460" s="94" t="str">
        <f>IF(OR(R460=0,V460=0),"",INDEX('CAD_RESÍDUOS'!$C$6:$C$205,MATCH(C460,'CAD_RESÍDUOS'!$B$6:$B$205,0))&amp;"")</f>
        <v/>
      </c>
      <c r="F460" s="94" t="str">
        <f>IF(OR(R460=0,V460=0),"",INDEX('CAD_RESÍDUOS'!$G$6:$G$205,MATCH(C460,'CAD_RESÍDUOS'!$B$6:$B$205,0))&amp;"")</f>
        <v/>
      </c>
      <c r="G460" s="98" t="n"/>
      <c r="H460" s="91" t="n"/>
      <c r="I460" s="93" t="str">
        <f>IF(R460=0,"",IF(NOT(ISNUMBER(G460)),"",IF(ISNUMBER(X460),G460*X460,"UNIDADE A CONFERIR")))</f>
        <v/>
      </c>
      <c r="J460" s="91" t="n"/>
      <c r="K460" s="91" t="n"/>
      <c r="L460" s="93" t="str">
        <f>IF(R460=0,"",SUMIFS('RECEBIMENTOS'!$H$6:$H$1005,'RECEBIMENTOS'!$R$6:$R$1005,A460,'RECEBIMENTOS'!$X$6:$X$1005,1))</f>
        <v/>
      </c>
      <c r="M460" s="93" t="str">
        <f>IF(R460=0,"",SUMIFS('VÍNCULOS_CDF'!$H$6:$H$1005,'VÍNCULOS_CDF'!$R$6:$R$1005,A460,'VÍNCULOS_CDF'!$V$6:$V$1005,1))</f>
        <v/>
      </c>
      <c r="N460" s="99" t="str">
        <f>IF(OR(R460=0,AA460=0,NOT(ISNUMBER(I460))),"",I460-N(L460))</f>
        <v/>
      </c>
      <c r="O460" s="100" t="str">
        <f>IF(OR(R460=0,AK460&lt;=0),"",N(M460)/AK460)</f>
        <v/>
      </c>
      <c r="P460" s="94" t="str">
        <f>IF(R460=0,"",IF(S460="","Sem MTR associado",IF(U460=0,"MTR inexistente",IF(C460="","Resíduo não identificado",IF(V460=0,"Resíduo fora do cadastro",IF(W460=0,"Quantidade inválida",IF(H460="","Unidade não informada",IF(NOT(ISNUMBER(I460)),"Unidade a conferir",IF(AND(AH460=1,K460&lt;&gt;"Sim"),"Possível duplicidade",IF(Z460=1,"MTR cancelado",IF(AC460&gt;0,"Recebimento com alerta",IF(AA460=0,"Aguardando recebimento",IF(AB460&lt;AA460,"Recebimento a conferir",IF(AM460=1,"Quantidade a revisar",IF(AF460&gt;0,"Vínculo a revisar",IF(AD460=0,"Aguardando CDF",IF(AN460=0,"Vínculo de CDF parcial",IF(AE460&lt;AD460,"CDF a conferir","Documentação conferida"))))))))))))))))))</f>
        <v/>
      </c>
      <c r="Q460" s="93" t="str">
        <f>IF(OR(R460=0,AA460=0),"",MAX(0,N(L460)-N(M460)))</f>
        <v/>
      </c>
      <c r="R460" s="96">
        <f>IF(COUNTA(B460:C460,G460:H460,J460:K460)&gt;0,1,0)</f>
        <v>0</v>
      </c>
      <c r="S460" s="96" t="str">
        <f>IF(B460="","",TRIM(LEFT(B460,FIND(" |",B460&amp;" |")-1)))</f>
        <v/>
      </c>
      <c r="T460" s="96" t="str">
        <f>IF(S460="","",IFERROR(MATCH(S460,'MTRs'!$A$6:$A$505,0),""))</f>
        <v/>
      </c>
      <c r="U460" s="96">
        <f>IF(T460="",0,IF(INDEX('MTRs'!$Z$6:$Z$505,T460)=1,1,0))</f>
        <v>0</v>
      </c>
      <c r="V460" s="96">
        <f>IF(C460="",0,IF(ISNUMBER(MATCH(C460,'CAD_RESÍDUOS'!$B$6:$B$205,0)),1,0))</f>
        <v>0</v>
      </c>
      <c r="W460" s="96">
        <f>IF(AND(ISNUMBER(G460),G460&gt;0),1,0)</f>
        <v>0</v>
      </c>
      <c r="X460" s="96" t="str">
        <f>IF(H460="","",IFERROR(IF(ISNUMBER(INDEX(cfg_fac,MATCH(H460,cfg_units,0))),IF(INDEX(cfg_fac,MATCH(H460,cfg_units,0))&gt;0,INDEX(cfg_fac,MATCH(H460,cfg_units,0)),""),""),""))</f>
        <v/>
      </c>
      <c r="Y460" s="96">
        <f>IF(AND(W460=1,ISNUMBER(I460)),1,0)</f>
        <v>0</v>
      </c>
      <c r="Z460" s="96">
        <f>IF(U460=1,INDEX('MTRs'!$AA$6:$AA$505,T460),0)</f>
        <v>0</v>
      </c>
      <c r="AA460" s="96">
        <f>IF(R460=0,0,COUNTIFS('RECEBIMENTOS'!$R$6:$R$1005,A460,'RECEBIMENTOS'!$Q$6:$Q$1005,1))</f>
        <v>0</v>
      </c>
      <c r="AB460" s="96">
        <f>IF(R460=0,0,COUNTIFS('RECEBIMENTOS'!$R$6:$R$1005,A460,'RECEBIMENTOS'!$Z$6:$Z$1005,1))</f>
        <v>0</v>
      </c>
      <c r="AC460" s="96">
        <f>IF(R460=0,0,COUNTIFS('RECEBIMENTOS'!$R$6:$R$1005,A460,'RECEBIMENTOS'!$Y$6:$Y$1005,1))</f>
        <v>0</v>
      </c>
      <c r="AD460" s="96">
        <f>IF(R460=0,0,COUNTIFS('VÍNCULOS_CDF'!$R$6:$R$1005,A460,'VÍNCULOS_CDF'!$N$6:$N$1005,1))</f>
        <v>0</v>
      </c>
      <c r="AE460" s="96">
        <f>IF(R460=0,0,COUNTIFS('VÍNCULOS_CDF'!$R$6:$R$1005,A460,'VÍNCULOS_CDF'!$AA$6:$AA$1005,1))</f>
        <v>0</v>
      </c>
      <c r="AF460" s="96">
        <f>IF(R460=0,0,COUNTIFS('VÍNCULOS_CDF'!$R$6:$R$1005,A460,'VÍNCULOS_CDF'!$Y$6:$Y$1005,1))</f>
        <v>0</v>
      </c>
      <c r="AG460" s="96" t="str">
        <f>IF(AND(R460=1,S460&lt;&gt;"",C460&lt;&gt;""),S460&amp;"|"&amp;C460&amp;"|"&amp;G460&amp;"|"&amp;H460,"")</f>
        <v/>
      </c>
      <c r="AH460" s="96">
        <f>IF(AG460="",0,IF(SUMPRODUCT(--($AG$6:$AG$1005=AG460))&gt;1,1,0))</f>
        <v>0</v>
      </c>
      <c r="AI460" s="96">
        <f>IF(R460=0,0,IF(OR(U460=0,V460=0,Y460=0,AND(AH460=1,K460&lt;&gt;"Sim")),1,0))</f>
        <v>0</v>
      </c>
      <c r="AJ460" s="96">
        <f>IF(AND(R460=1,AA460&gt;0,AB460=AA460),1,0)</f>
        <v>0</v>
      </c>
      <c r="AK460" s="96">
        <f>IF(R460=0,0,IF(AA460&gt;0,N(L460),IF(ISNUMBER(I460),I460,0)))</f>
        <v>0</v>
      </c>
      <c r="AL460" s="96">
        <f>IF(R460=0,0,IF(AND(K460&lt;&gt;"Sim",N(M460)&gt;AK460+cfg_tol),1,0))</f>
        <v>0</v>
      </c>
      <c r="AM460" s="96">
        <f>IF(R460=0,0,IF(K460="Sim",0,IF(OR(AND(AA460&gt;0,ISNUMBER(I460),ABS(I460-N(L460))&gt;cfg_tol),AL460=1),1,0)))</f>
        <v>0</v>
      </c>
      <c r="AN460" s="96">
        <f>IF(AND(R460=1,N(M460)&gt;0,OR(N(M460)&gt;=AK460-cfg_tol,K460="Sim")),1,0)</f>
        <v>0</v>
      </c>
      <c r="AO460" s="96">
        <f>IF(AND(AN460=1,AD460&gt;0,AE460=AD460,AL460=0),1,0)</f>
        <v>0</v>
      </c>
      <c r="AP460" s="96">
        <f>IF(U460=0,0,IF(AND(INDEX('MTRs'!$AX$6:$AX$505,T460)=1,Z460=0,OR(f_res="",f_res="(Todos)",C460=f_res)),1,0))</f>
        <v>0</v>
      </c>
      <c r="AQ460" s="97" t="str">
        <f>IF(U460=0,"",INDEX('MTRs'!$AZ$6:$AZ$505,T460))</f>
        <v/>
      </c>
      <c r="AR460" s="96">
        <f>IF(U460=0,0,IF(AND(INDEX('MTRs'!$BA$6:$BA$505,T460)=1,Z460=0),1,0))</f>
        <v>0</v>
      </c>
      <c r="AS460" s="96" t="str">
        <f>IF(R460=1,A460&amp;" | MTR "&amp;IF(U460=1,INDEX('MTRs'!$B$6:$B$505,T460)&amp;"","?")&amp;" | "&amp;IF(C460="","(sem resíduo)",C460),"")</f>
        <v/>
      </c>
      <c r="AT460" s="96" t="str">
        <f>IF(R460=1,COUNTIF($R$6:R460,1),"")</f>
        <v/>
      </c>
      <c r="AU460" s="96" t="str">
        <f>IF(U460=1,INDEX('MTRs'!$I$6:$I$505,T460)&amp;"","")</f>
        <v/>
      </c>
    </row>
    <row r="461">
      <c r="A461" s="89" t="inlineStr">
        <is>
          <t>IT-000456</t>
        </is>
      </c>
      <c r="B461" s="91" t="n"/>
      <c r="C461" s="91" t="n"/>
      <c r="D461" s="94" t="str">
        <f>IF(OR(R461=0,V461=0),"",INDEX('CAD_RESÍDUOS'!$E$6:$E$205,MATCH(C461,'CAD_RESÍDUOS'!$B$6:$B$205,0))&amp;"")</f>
        <v/>
      </c>
      <c r="E461" s="94" t="str">
        <f>IF(OR(R461=0,V461=0),"",INDEX('CAD_RESÍDUOS'!$C$6:$C$205,MATCH(C461,'CAD_RESÍDUOS'!$B$6:$B$205,0))&amp;"")</f>
        <v/>
      </c>
      <c r="F461" s="94" t="str">
        <f>IF(OR(R461=0,V461=0),"",INDEX('CAD_RESÍDUOS'!$G$6:$G$205,MATCH(C461,'CAD_RESÍDUOS'!$B$6:$B$205,0))&amp;"")</f>
        <v/>
      </c>
      <c r="G461" s="98" t="n"/>
      <c r="H461" s="91" t="n"/>
      <c r="I461" s="93" t="str">
        <f>IF(R461=0,"",IF(NOT(ISNUMBER(G461)),"",IF(ISNUMBER(X461),G461*X461,"UNIDADE A CONFERIR")))</f>
        <v/>
      </c>
      <c r="J461" s="91" t="n"/>
      <c r="K461" s="91" t="n"/>
      <c r="L461" s="93" t="str">
        <f>IF(R461=0,"",SUMIFS('RECEBIMENTOS'!$H$6:$H$1005,'RECEBIMENTOS'!$R$6:$R$1005,A461,'RECEBIMENTOS'!$X$6:$X$1005,1))</f>
        <v/>
      </c>
      <c r="M461" s="93" t="str">
        <f>IF(R461=0,"",SUMIFS('VÍNCULOS_CDF'!$H$6:$H$1005,'VÍNCULOS_CDF'!$R$6:$R$1005,A461,'VÍNCULOS_CDF'!$V$6:$V$1005,1))</f>
        <v/>
      </c>
      <c r="N461" s="99" t="str">
        <f>IF(OR(R461=0,AA461=0,NOT(ISNUMBER(I461))),"",I461-N(L461))</f>
        <v/>
      </c>
      <c r="O461" s="100" t="str">
        <f>IF(OR(R461=0,AK461&lt;=0),"",N(M461)/AK461)</f>
        <v/>
      </c>
      <c r="P461" s="94" t="str">
        <f>IF(R461=0,"",IF(S461="","Sem MTR associado",IF(U461=0,"MTR inexistente",IF(C461="","Resíduo não identificado",IF(V461=0,"Resíduo fora do cadastro",IF(W461=0,"Quantidade inválida",IF(H461="","Unidade não informada",IF(NOT(ISNUMBER(I461)),"Unidade a conferir",IF(AND(AH461=1,K461&lt;&gt;"Sim"),"Possível duplicidade",IF(Z461=1,"MTR cancelado",IF(AC461&gt;0,"Recebimento com alerta",IF(AA461=0,"Aguardando recebimento",IF(AB461&lt;AA461,"Recebimento a conferir",IF(AM461=1,"Quantidade a revisar",IF(AF461&gt;0,"Vínculo a revisar",IF(AD461=0,"Aguardando CDF",IF(AN461=0,"Vínculo de CDF parcial",IF(AE461&lt;AD461,"CDF a conferir","Documentação conferida"))))))))))))))))))</f>
        <v/>
      </c>
      <c r="Q461" s="93" t="str">
        <f>IF(OR(R461=0,AA461=0),"",MAX(0,N(L461)-N(M461)))</f>
        <v/>
      </c>
      <c r="R461" s="96">
        <f>IF(COUNTA(B461:C461,G461:H461,J461:K461)&gt;0,1,0)</f>
        <v>0</v>
      </c>
      <c r="S461" s="96" t="str">
        <f>IF(B461="","",TRIM(LEFT(B461,FIND(" |",B461&amp;" |")-1)))</f>
        <v/>
      </c>
      <c r="T461" s="96" t="str">
        <f>IF(S461="","",IFERROR(MATCH(S461,'MTRs'!$A$6:$A$505,0),""))</f>
        <v/>
      </c>
      <c r="U461" s="96">
        <f>IF(T461="",0,IF(INDEX('MTRs'!$Z$6:$Z$505,T461)=1,1,0))</f>
        <v>0</v>
      </c>
      <c r="V461" s="96">
        <f>IF(C461="",0,IF(ISNUMBER(MATCH(C461,'CAD_RESÍDUOS'!$B$6:$B$205,0)),1,0))</f>
        <v>0</v>
      </c>
      <c r="W461" s="96">
        <f>IF(AND(ISNUMBER(G461),G461&gt;0),1,0)</f>
        <v>0</v>
      </c>
      <c r="X461" s="96" t="str">
        <f>IF(H461="","",IFERROR(IF(ISNUMBER(INDEX(cfg_fac,MATCH(H461,cfg_units,0))),IF(INDEX(cfg_fac,MATCH(H461,cfg_units,0))&gt;0,INDEX(cfg_fac,MATCH(H461,cfg_units,0)),""),""),""))</f>
        <v/>
      </c>
      <c r="Y461" s="96">
        <f>IF(AND(W461=1,ISNUMBER(I461)),1,0)</f>
        <v>0</v>
      </c>
      <c r="Z461" s="96">
        <f>IF(U461=1,INDEX('MTRs'!$AA$6:$AA$505,T461),0)</f>
        <v>0</v>
      </c>
      <c r="AA461" s="96">
        <f>IF(R461=0,0,COUNTIFS('RECEBIMENTOS'!$R$6:$R$1005,A461,'RECEBIMENTOS'!$Q$6:$Q$1005,1))</f>
        <v>0</v>
      </c>
      <c r="AB461" s="96">
        <f>IF(R461=0,0,COUNTIFS('RECEBIMENTOS'!$R$6:$R$1005,A461,'RECEBIMENTOS'!$Z$6:$Z$1005,1))</f>
        <v>0</v>
      </c>
      <c r="AC461" s="96">
        <f>IF(R461=0,0,COUNTIFS('RECEBIMENTOS'!$R$6:$R$1005,A461,'RECEBIMENTOS'!$Y$6:$Y$1005,1))</f>
        <v>0</v>
      </c>
      <c r="AD461" s="96">
        <f>IF(R461=0,0,COUNTIFS('VÍNCULOS_CDF'!$R$6:$R$1005,A461,'VÍNCULOS_CDF'!$N$6:$N$1005,1))</f>
        <v>0</v>
      </c>
      <c r="AE461" s="96">
        <f>IF(R461=0,0,COUNTIFS('VÍNCULOS_CDF'!$R$6:$R$1005,A461,'VÍNCULOS_CDF'!$AA$6:$AA$1005,1))</f>
        <v>0</v>
      </c>
      <c r="AF461" s="96">
        <f>IF(R461=0,0,COUNTIFS('VÍNCULOS_CDF'!$R$6:$R$1005,A461,'VÍNCULOS_CDF'!$Y$6:$Y$1005,1))</f>
        <v>0</v>
      </c>
      <c r="AG461" s="96" t="str">
        <f>IF(AND(R461=1,S461&lt;&gt;"",C461&lt;&gt;""),S461&amp;"|"&amp;C461&amp;"|"&amp;G461&amp;"|"&amp;H461,"")</f>
        <v/>
      </c>
      <c r="AH461" s="96">
        <f>IF(AG461="",0,IF(SUMPRODUCT(--($AG$6:$AG$1005=AG461))&gt;1,1,0))</f>
        <v>0</v>
      </c>
      <c r="AI461" s="96">
        <f>IF(R461=0,0,IF(OR(U461=0,V461=0,Y461=0,AND(AH461=1,K461&lt;&gt;"Sim")),1,0))</f>
        <v>0</v>
      </c>
      <c r="AJ461" s="96">
        <f>IF(AND(R461=1,AA461&gt;0,AB461=AA461),1,0)</f>
        <v>0</v>
      </c>
      <c r="AK461" s="96">
        <f>IF(R461=0,0,IF(AA461&gt;0,N(L461),IF(ISNUMBER(I461),I461,0)))</f>
        <v>0</v>
      </c>
      <c r="AL461" s="96">
        <f>IF(R461=0,0,IF(AND(K461&lt;&gt;"Sim",N(M461)&gt;AK461+cfg_tol),1,0))</f>
        <v>0</v>
      </c>
      <c r="AM461" s="96">
        <f>IF(R461=0,0,IF(K461="Sim",0,IF(OR(AND(AA461&gt;0,ISNUMBER(I461),ABS(I461-N(L461))&gt;cfg_tol),AL461=1),1,0)))</f>
        <v>0</v>
      </c>
      <c r="AN461" s="96">
        <f>IF(AND(R461=1,N(M461)&gt;0,OR(N(M461)&gt;=AK461-cfg_tol,K461="Sim")),1,0)</f>
        <v>0</v>
      </c>
      <c r="AO461" s="96">
        <f>IF(AND(AN461=1,AD461&gt;0,AE461=AD461,AL461=0),1,0)</f>
        <v>0</v>
      </c>
      <c r="AP461" s="96">
        <f>IF(U461=0,0,IF(AND(INDEX('MTRs'!$AX$6:$AX$505,T461)=1,Z461=0,OR(f_res="",f_res="(Todos)",C461=f_res)),1,0))</f>
        <v>0</v>
      </c>
      <c r="AQ461" s="97" t="str">
        <f>IF(U461=0,"",INDEX('MTRs'!$AZ$6:$AZ$505,T461))</f>
        <v/>
      </c>
      <c r="AR461" s="96">
        <f>IF(U461=0,0,IF(AND(INDEX('MTRs'!$BA$6:$BA$505,T461)=1,Z461=0),1,0))</f>
        <v>0</v>
      </c>
      <c r="AS461" s="96" t="str">
        <f>IF(R461=1,A461&amp;" | MTR "&amp;IF(U461=1,INDEX('MTRs'!$B$6:$B$505,T461)&amp;"","?")&amp;" | "&amp;IF(C461="","(sem resíduo)",C461),"")</f>
        <v/>
      </c>
      <c r="AT461" s="96" t="str">
        <f>IF(R461=1,COUNTIF($R$6:R461,1),"")</f>
        <v/>
      </c>
      <c r="AU461" s="96" t="str">
        <f>IF(U461=1,INDEX('MTRs'!$I$6:$I$505,T461)&amp;"","")</f>
        <v/>
      </c>
    </row>
    <row r="462">
      <c r="A462" s="89" t="inlineStr">
        <is>
          <t>IT-000457</t>
        </is>
      </c>
      <c r="B462" s="91" t="n"/>
      <c r="C462" s="91" t="n"/>
      <c r="D462" s="94" t="str">
        <f>IF(OR(R462=0,V462=0),"",INDEX('CAD_RESÍDUOS'!$E$6:$E$205,MATCH(C462,'CAD_RESÍDUOS'!$B$6:$B$205,0))&amp;"")</f>
        <v/>
      </c>
      <c r="E462" s="94" t="str">
        <f>IF(OR(R462=0,V462=0),"",INDEX('CAD_RESÍDUOS'!$C$6:$C$205,MATCH(C462,'CAD_RESÍDUOS'!$B$6:$B$205,0))&amp;"")</f>
        <v/>
      </c>
      <c r="F462" s="94" t="str">
        <f>IF(OR(R462=0,V462=0),"",INDEX('CAD_RESÍDUOS'!$G$6:$G$205,MATCH(C462,'CAD_RESÍDUOS'!$B$6:$B$205,0))&amp;"")</f>
        <v/>
      </c>
      <c r="G462" s="98" t="n"/>
      <c r="H462" s="91" t="n"/>
      <c r="I462" s="93" t="str">
        <f>IF(R462=0,"",IF(NOT(ISNUMBER(G462)),"",IF(ISNUMBER(X462),G462*X462,"UNIDADE A CONFERIR")))</f>
        <v/>
      </c>
      <c r="J462" s="91" t="n"/>
      <c r="K462" s="91" t="n"/>
      <c r="L462" s="93" t="str">
        <f>IF(R462=0,"",SUMIFS('RECEBIMENTOS'!$H$6:$H$1005,'RECEBIMENTOS'!$R$6:$R$1005,A462,'RECEBIMENTOS'!$X$6:$X$1005,1))</f>
        <v/>
      </c>
      <c r="M462" s="93" t="str">
        <f>IF(R462=0,"",SUMIFS('VÍNCULOS_CDF'!$H$6:$H$1005,'VÍNCULOS_CDF'!$R$6:$R$1005,A462,'VÍNCULOS_CDF'!$V$6:$V$1005,1))</f>
        <v/>
      </c>
      <c r="N462" s="99" t="str">
        <f>IF(OR(R462=0,AA462=0,NOT(ISNUMBER(I462))),"",I462-N(L462))</f>
        <v/>
      </c>
      <c r="O462" s="100" t="str">
        <f>IF(OR(R462=0,AK462&lt;=0),"",N(M462)/AK462)</f>
        <v/>
      </c>
      <c r="P462" s="94" t="str">
        <f>IF(R462=0,"",IF(S462="","Sem MTR associado",IF(U462=0,"MTR inexistente",IF(C462="","Resíduo não identificado",IF(V462=0,"Resíduo fora do cadastro",IF(W462=0,"Quantidade inválida",IF(H462="","Unidade não informada",IF(NOT(ISNUMBER(I462)),"Unidade a conferir",IF(AND(AH462=1,K462&lt;&gt;"Sim"),"Possível duplicidade",IF(Z462=1,"MTR cancelado",IF(AC462&gt;0,"Recebimento com alerta",IF(AA462=0,"Aguardando recebimento",IF(AB462&lt;AA462,"Recebimento a conferir",IF(AM462=1,"Quantidade a revisar",IF(AF462&gt;0,"Vínculo a revisar",IF(AD462=0,"Aguardando CDF",IF(AN462=0,"Vínculo de CDF parcial",IF(AE462&lt;AD462,"CDF a conferir","Documentação conferida"))))))))))))))))))</f>
        <v/>
      </c>
      <c r="Q462" s="93" t="str">
        <f>IF(OR(R462=0,AA462=0),"",MAX(0,N(L462)-N(M462)))</f>
        <v/>
      </c>
      <c r="R462" s="96">
        <f>IF(COUNTA(B462:C462,G462:H462,J462:K462)&gt;0,1,0)</f>
        <v>0</v>
      </c>
      <c r="S462" s="96" t="str">
        <f>IF(B462="","",TRIM(LEFT(B462,FIND(" |",B462&amp;" |")-1)))</f>
        <v/>
      </c>
      <c r="T462" s="96" t="str">
        <f>IF(S462="","",IFERROR(MATCH(S462,'MTRs'!$A$6:$A$505,0),""))</f>
        <v/>
      </c>
      <c r="U462" s="96">
        <f>IF(T462="",0,IF(INDEX('MTRs'!$Z$6:$Z$505,T462)=1,1,0))</f>
        <v>0</v>
      </c>
      <c r="V462" s="96">
        <f>IF(C462="",0,IF(ISNUMBER(MATCH(C462,'CAD_RESÍDUOS'!$B$6:$B$205,0)),1,0))</f>
        <v>0</v>
      </c>
      <c r="W462" s="96">
        <f>IF(AND(ISNUMBER(G462),G462&gt;0),1,0)</f>
        <v>0</v>
      </c>
      <c r="X462" s="96" t="str">
        <f>IF(H462="","",IFERROR(IF(ISNUMBER(INDEX(cfg_fac,MATCH(H462,cfg_units,0))),IF(INDEX(cfg_fac,MATCH(H462,cfg_units,0))&gt;0,INDEX(cfg_fac,MATCH(H462,cfg_units,0)),""),""),""))</f>
        <v/>
      </c>
      <c r="Y462" s="96">
        <f>IF(AND(W462=1,ISNUMBER(I462)),1,0)</f>
        <v>0</v>
      </c>
      <c r="Z462" s="96">
        <f>IF(U462=1,INDEX('MTRs'!$AA$6:$AA$505,T462),0)</f>
        <v>0</v>
      </c>
      <c r="AA462" s="96">
        <f>IF(R462=0,0,COUNTIFS('RECEBIMENTOS'!$R$6:$R$1005,A462,'RECEBIMENTOS'!$Q$6:$Q$1005,1))</f>
        <v>0</v>
      </c>
      <c r="AB462" s="96">
        <f>IF(R462=0,0,COUNTIFS('RECEBIMENTOS'!$R$6:$R$1005,A462,'RECEBIMENTOS'!$Z$6:$Z$1005,1))</f>
        <v>0</v>
      </c>
      <c r="AC462" s="96">
        <f>IF(R462=0,0,COUNTIFS('RECEBIMENTOS'!$R$6:$R$1005,A462,'RECEBIMENTOS'!$Y$6:$Y$1005,1))</f>
        <v>0</v>
      </c>
      <c r="AD462" s="96">
        <f>IF(R462=0,0,COUNTIFS('VÍNCULOS_CDF'!$R$6:$R$1005,A462,'VÍNCULOS_CDF'!$N$6:$N$1005,1))</f>
        <v>0</v>
      </c>
      <c r="AE462" s="96">
        <f>IF(R462=0,0,COUNTIFS('VÍNCULOS_CDF'!$R$6:$R$1005,A462,'VÍNCULOS_CDF'!$AA$6:$AA$1005,1))</f>
        <v>0</v>
      </c>
      <c r="AF462" s="96">
        <f>IF(R462=0,0,COUNTIFS('VÍNCULOS_CDF'!$R$6:$R$1005,A462,'VÍNCULOS_CDF'!$Y$6:$Y$1005,1))</f>
        <v>0</v>
      </c>
      <c r="AG462" s="96" t="str">
        <f>IF(AND(R462=1,S462&lt;&gt;"",C462&lt;&gt;""),S462&amp;"|"&amp;C462&amp;"|"&amp;G462&amp;"|"&amp;H462,"")</f>
        <v/>
      </c>
      <c r="AH462" s="96">
        <f>IF(AG462="",0,IF(SUMPRODUCT(--($AG$6:$AG$1005=AG462))&gt;1,1,0))</f>
        <v>0</v>
      </c>
      <c r="AI462" s="96">
        <f>IF(R462=0,0,IF(OR(U462=0,V462=0,Y462=0,AND(AH462=1,K462&lt;&gt;"Sim")),1,0))</f>
        <v>0</v>
      </c>
      <c r="AJ462" s="96">
        <f>IF(AND(R462=1,AA462&gt;0,AB462=AA462),1,0)</f>
        <v>0</v>
      </c>
      <c r="AK462" s="96">
        <f>IF(R462=0,0,IF(AA462&gt;0,N(L462),IF(ISNUMBER(I462),I462,0)))</f>
        <v>0</v>
      </c>
      <c r="AL462" s="96">
        <f>IF(R462=0,0,IF(AND(K462&lt;&gt;"Sim",N(M462)&gt;AK462+cfg_tol),1,0))</f>
        <v>0</v>
      </c>
      <c r="AM462" s="96">
        <f>IF(R462=0,0,IF(K462="Sim",0,IF(OR(AND(AA462&gt;0,ISNUMBER(I462),ABS(I462-N(L462))&gt;cfg_tol),AL462=1),1,0)))</f>
        <v>0</v>
      </c>
      <c r="AN462" s="96">
        <f>IF(AND(R462=1,N(M462)&gt;0,OR(N(M462)&gt;=AK462-cfg_tol,K462="Sim")),1,0)</f>
        <v>0</v>
      </c>
      <c r="AO462" s="96">
        <f>IF(AND(AN462=1,AD462&gt;0,AE462=AD462,AL462=0),1,0)</f>
        <v>0</v>
      </c>
      <c r="AP462" s="96">
        <f>IF(U462=0,0,IF(AND(INDEX('MTRs'!$AX$6:$AX$505,T462)=1,Z462=0,OR(f_res="",f_res="(Todos)",C462=f_res)),1,0))</f>
        <v>0</v>
      </c>
      <c r="AQ462" s="97" t="str">
        <f>IF(U462=0,"",INDEX('MTRs'!$AZ$6:$AZ$505,T462))</f>
        <v/>
      </c>
      <c r="AR462" s="96">
        <f>IF(U462=0,0,IF(AND(INDEX('MTRs'!$BA$6:$BA$505,T462)=1,Z462=0),1,0))</f>
        <v>0</v>
      </c>
      <c r="AS462" s="96" t="str">
        <f>IF(R462=1,A462&amp;" | MTR "&amp;IF(U462=1,INDEX('MTRs'!$B$6:$B$505,T462)&amp;"","?")&amp;" | "&amp;IF(C462="","(sem resíduo)",C462),"")</f>
        <v/>
      </c>
      <c r="AT462" s="96" t="str">
        <f>IF(R462=1,COUNTIF($R$6:R462,1),"")</f>
        <v/>
      </c>
      <c r="AU462" s="96" t="str">
        <f>IF(U462=1,INDEX('MTRs'!$I$6:$I$505,T462)&amp;"","")</f>
        <v/>
      </c>
    </row>
    <row r="463">
      <c r="A463" s="89" t="inlineStr">
        <is>
          <t>IT-000458</t>
        </is>
      </c>
      <c r="B463" s="91" t="n"/>
      <c r="C463" s="91" t="n"/>
      <c r="D463" s="94" t="str">
        <f>IF(OR(R463=0,V463=0),"",INDEX('CAD_RESÍDUOS'!$E$6:$E$205,MATCH(C463,'CAD_RESÍDUOS'!$B$6:$B$205,0))&amp;"")</f>
        <v/>
      </c>
      <c r="E463" s="94" t="str">
        <f>IF(OR(R463=0,V463=0),"",INDEX('CAD_RESÍDUOS'!$C$6:$C$205,MATCH(C463,'CAD_RESÍDUOS'!$B$6:$B$205,0))&amp;"")</f>
        <v/>
      </c>
      <c r="F463" s="94" t="str">
        <f>IF(OR(R463=0,V463=0),"",INDEX('CAD_RESÍDUOS'!$G$6:$G$205,MATCH(C463,'CAD_RESÍDUOS'!$B$6:$B$205,0))&amp;"")</f>
        <v/>
      </c>
      <c r="G463" s="98" t="n"/>
      <c r="H463" s="91" t="n"/>
      <c r="I463" s="93" t="str">
        <f>IF(R463=0,"",IF(NOT(ISNUMBER(G463)),"",IF(ISNUMBER(X463),G463*X463,"UNIDADE A CONFERIR")))</f>
        <v/>
      </c>
      <c r="J463" s="91" t="n"/>
      <c r="K463" s="91" t="n"/>
      <c r="L463" s="93" t="str">
        <f>IF(R463=0,"",SUMIFS('RECEBIMENTOS'!$H$6:$H$1005,'RECEBIMENTOS'!$R$6:$R$1005,A463,'RECEBIMENTOS'!$X$6:$X$1005,1))</f>
        <v/>
      </c>
      <c r="M463" s="93" t="str">
        <f>IF(R463=0,"",SUMIFS('VÍNCULOS_CDF'!$H$6:$H$1005,'VÍNCULOS_CDF'!$R$6:$R$1005,A463,'VÍNCULOS_CDF'!$V$6:$V$1005,1))</f>
        <v/>
      </c>
      <c r="N463" s="99" t="str">
        <f>IF(OR(R463=0,AA463=0,NOT(ISNUMBER(I463))),"",I463-N(L463))</f>
        <v/>
      </c>
      <c r="O463" s="100" t="str">
        <f>IF(OR(R463=0,AK463&lt;=0),"",N(M463)/AK463)</f>
        <v/>
      </c>
      <c r="P463" s="94" t="str">
        <f>IF(R463=0,"",IF(S463="","Sem MTR associado",IF(U463=0,"MTR inexistente",IF(C463="","Resíduo não identificado",IF(V463=0,"Resíduo fora do cadastro",IF(W463=0,"Quantidade inválida",IF(H463="","Unidade não informada",IF(NOT(ISNUMBER(I463)),"Unidade a conferir",IF(AND(AH463=1,K463&lt;&gt;"Sim"),"Possível duplicidade",IF(Z463=1,"MTR cancelado",IF(AC463&gt;0,"Recebimento com alerta",IF(AA463=0,"Aguardando recebimento",IF(AB463&lt;AA463,"Recebimento a conferir",IF(AM463=1,"Quantidade a revisar",IF(AF463&gt;0,"Vínculo a revisar",IF(AD463=0,"Aguardando CDF",IF(AN463=0,"Vínculo de CDF parcial",IF(AE463&lt;AD463,"CDF a conferir","Documentação conferida"))))))))))))))))))</f>
        <v/>
      </c>
      <c r="Q463" s="93" t="str">
        <f>IF(OR(R463=0,AA463=0),"",MAX(0,N(L463)-N(M463)))</f>
        <v/>
      </c>
      <c r="R463" s="96">
        <f>IF(COUNTA(B463:C463,G463:H463,J463:K463)&gt;0,1,0)</f>
        <v>0</v>
      </c>
      <c r="S463" s="96" t="str">
        <f>IF(B463="","",TRIM(LEFT(B463,FIND(" |",B463&amp;" |")-1)))</f>
        <v/>
      </c>
      <c r="T463" s="96" t="str">
        <f>IF(S463="","",IFERROR(MATCH(S463,'MTRs'!$A$6:$A$505,0),""))</f>
        <v/>
      </c>
      <c r="U463" s="96">
        <f>IF(T463="",0,IF(INDEX('MTRs'!$Z$6:$Z$505,T463)=1,1,0))</f>
        <v>0</v>
      </c>
      <c r="V463" s="96">
        <f>IF(C463="",0,IF(ISNUMBER(MATCH(C463,'CAD_RESÍDUOS'!$B$6:$B$205,0)),1,0))</f>
        <v>0</v>
      </c>
      <c r="W463" s="96">
        <f>IF(AND(ISNUMBER(G463),G463&gt;0),1,0)</f>
        <v>0</v>
      </c>
      <c r="X463" s="96" t="str">
        <f>IF(H463="","",IFERROR(IF(ISNUMBER(INDEX(cfg_fac,MATCH(H463,cfg_units,0))),IF(INDEX(cfg_fac,MATCH(H463,cfg_units,0))&gt;0,INDEX(cfg_fac,MATCH(H463,cfg_units,0)),""),""),""))</f>
        <v/>
      </c>
      <c r="Y463" s="96">
        <f>IF(AND(W463=1,ISNUMBER(I463)),1,0)</f>
        <v>0</v>
      </c>
      <c r="Z463" s="96">
        <f>IF(U463=1,INDEX('MTRs'!$AA$6:$AA$505,T463),0)</f>
        <v>0</v>
      </c>
      <c r="AA463" s="96">
        <f>IF(R463=0,0,COUNTIFS('RECEBIMENTOS'!$R$6:$R$1005,A463,'RECEBIMENTOS'!$Q$6:$Q$1005,1))</f>
        <v>0</v>
      </c>
      <c r="AB463" s="96">
        <f>IF(R463=0,0,COUNTIFS('RECEBIMENTOS'!$R$6:$R$1005,A463,'RECEBIMENTOS'!$Z$6:$Z$1005,1))</f>
        <v>0</v>
      </c>
      <c r="AC463" s="96">
        <f>IF(R463=0,0,COUNTIFS('RECEBIMENTOS'!$R$6:$R$1005,A463,'RECEBIMENTOS'!$Y$6:$Y$1005,1))</f>
        <v>0</v>
      </c>
      <c r="AD463" s="96">
        <f>IF(R463=0,0,COUNTIFS('VÍNCULOS_CDF'!$R$6:$R$1005,A463,'VÍNCULOS_CDF'!$N$6:$N$1005,1))</f>
        <v>0</v>
      </c>
      <c r="AE463" s="96">
        <f>IF(R463=0,0,COUNTIFS('VÍNCULOS_CDF'!$R$6:$R$1005,A463,'VÍNCULOS_CDF'!$AA$6:$AA$1005,1))</f>
        <v>0</v>
      </c>
      <c r="AF463" s="96">
        <f>IF(R463=0,0,COUNTIFS('VÍNCULOS_CDF'!$R$6:$R$1005,A463,'VÍNCULOS_CDF'!$Y$6:$Y$1005,1))</f>
        <v>0</v>
      </c>
      <c r="AG463" s="96" t="str">
        <f>IF(AND(R463=1,S463&lt;&gt;"",C463&lt;&gt;""),S463&amp;"|"&amp;C463&amp;"|"&amp;G463&amp;"|"&amp;H463,"")</f>
        <v/>
      </c>
      <c r="AH463" s="96">
        <f>IF(AG463="",0,IF(SUMPRODUCT(--($AG$6:$AG$1005=AG463))&gt;1,1,0))</f>
        <v>0</v>
      </c>
      <c r="AI463" s="96">
        <f>IF(R463=0,0,IF(OR(U463=0,V463=0,Y463=0,AND(AH463=1,K463&lt;&gt;"Sim")),1,0))</f>
        <v>0</v>
      </c>
      <c r="AJ463" s="96">
        <f>IF(AND(R463=1,AA463&gt;0,AB463=AA463),1,0)</f>
        <v>0</v>
      </c>
      <c r="AK463" s="96">
        <f>IF(R463=0,0,IF(AA463&gt;0,N(L463),IF(ISNUMBER(I463),I463,0)))</f>
        <v>0</v>
      </c>
      <c r="AL463" s="96">
        <f>IF(R463=0,0,IF(AND(K463&lt;&gt;"Sim",N(M463)&gt;AK463+cfg_tol),1,0))</f>
        <v>0</v>
      </c>
      <c r="AM463" s="96">
        <f>IF(R463=0,0,IF(K463="Sim",0,IF(OR(AND(AA463&gt;0,ISNUMBER(I463),ABS(I463-N(L463))&gt;cfg_tol),AL463=1),1,0)))</f>
        <v>0</v>
      </c>
      <c r="AN463" s="96">
        <f>IF(AND(R463=1,N(M463)&gt;0,OR(N(M463)&gt;=AK463-cfg_tol,K463="Sim")),1,0)</f>
        <v>0</v>
      </c>
      <c r="AO463" s="96">
        <f>IF(AND(AN463=1,AD463&gt;0,AE463=AD463,AL463=0),1,0)</f>
        <v>0</v>
      </c>
      <c r="AP463" s="96">
        <f>IF(U463=0,0,IF(AND(INDEX('MTRs'!$AX$6:$AX$505,T463)=1,Z463=0,OR(f_res="",f_res="(Todos)",C463=f_res)),1,0))</f>
        <v>0</v>
      </c>
      <c r="AQ463" s="97" t="str">
        <f>IF(U463=0,"",INDEX('MTRs'!$AZ$6:$AZ$505,T463))</f>
        <v/>
      </c>
      <c r="AR463" s="96">
        <f>IF(U463=0,0,IF(AND(INDEX('MTRs'!$BA$6:$BA$505,T463)=1,Z463=0),1,0))</f>
        <v>0</v>
      </c>
      <c r="AS463" s="96" t="str">
        <f>IF(R463=1,A463&amp;" | MTR "&amp;IF(U463=1,INDEX('MTRs'!$B$6:$B$505,T463)&amp;"","?")&amp;" | "&amp;IF(C463="","(sem resíduo)",C463),"")</f>
        <v/>
      </c>
      <c r="AT463" s="96" t="str">
        <f>IF(R463=1,COUNTIF($R$6:R463,1),"")</f>
        <v/>
      </c>
      <c r="AU463" s="96" t="str">
        <f>IF(U463=1,INDEX('MTRs'!$I$6:$I$505,T463)&amp;"","")</f>
        <v/>
      </c>
    </row>
    <row r="464">
      <c r="A464" s="89" t="inlineStr">
        <is>
          <t>IT-000459</t>
        </is>
      </c>
      <c r="B464" s="91" t="n"/>
      <c r="C464" s="91" t="n"/>
      <c r="D464" s="94" t="str">
        <f>IF(OR(R464=0,V464=0),"",INDEX('CAD_RESÍDUOS'!$E$6:$E$205,MATCH(C464,'CAD_RESÍDUOS'!$B$6:$B$205,0))&amp;"")</f>
        <v/>
      </c>
      <c r="E464" s="94" t="str">
        <f>IF(OR(R464=0,V464=0),"",INDEX('CAD_RESÍDUOS'!$C$6:$C$205,MATCH(C464,'CAD_RESÍDUOS'!$B$6:$B$205,0))&amp;"")</f>
        <v/>
      </c>
      <c r="F464" s="94" t="str">
        <f>IF(OR(R464=0,V464=0),"",INDEX('CAD_RESÍDUOS'!$G$6:$G$205,MATCH(C464,'CAD_RESÍDUOS'!$B$6:$B$205,0))&amp;"")</f>
        <v/>
      </c>
      <c r="G464" s="98" t="n"/>
      <c r="H464" s="91" t="n"/>
      <c r="I464" s="93" t="str">
        <f>IF(R464=0,"",IF(NOT(ISNUMBER(G464)),"",IF(ISNUMBER(X464),G464*X464,"UNIDADE A CONFERIR")))</f>
        <v/>
      </c>
      <c r="J464" s="91" t="n"/>
      <c r="K464" s="91" t="n"/>
      <c r="L464" s="93" t="str">
        <f>IF(R464=0,"",SUMIFS('RECEBIMENTOS'!$H$6:$H$1005,'RECEBIMENTOS'!$R$6:$R$1005,A464,'RECEBIMENTOS'!$X$6:$X$1005,1))</f>
        <v/>
      </c>
      <c r="M464" s="93" t="str">
        <f>IF(R464=0,"",SUMIFS('VÍNCULOS_CDF'!$H$6:$H$1005,'VÍNCULOS_CDF'!$R$6:$R$1005,A464,'VÍNCULOS_CDF'!$V$6:$V$1005,1))</f>
        <v/>
      </c>
      <c r="N464" s="99" t="str">
        <f>IF(OR(R464=0,AA464=0,NOT(ISNUMBER(I464))),"",I464-N(L464))</f>
        <v/>
      </c>
      <c r="O464" s="100" t="str">
        <f>IF(OR(R464=0,AK464&lt;=0),"",N(M464)/AK464)</f>
        <v/>
      </c>
      <c r="P464" s="94" t="str">
        <f>IF(R464=0,"",IF(S464="","Sem MTR associado",IF(U464=0,"MTR inexistente",IF(C464="","Resíduo não identificado",IF(V464=0,"Resíduo fora do cadastro",IF(W464=0,"Quantidade inválida",IF(H464="","Unidade não informada",IF(NOT(ISNUMBER(I464)),"Unidade a conferir",IF(AND(AH464=1,K464&lt;&gt;"Sim"),"Possível duplicidade",IF(Z464=1,"MTR cancelado",IF(AC464&gt;0,"Recebimento com alerta",IF(AA464=0,"Aguardando recebimento",IF(AB464&lt;AA464,"Recebimento a conferir",IF(AM464=1,"Quantidade a revisar",IF(AF464&gt;0,"Vínculo a revisar",IF(AD464=0,"Aguardando CDF",IF(AN464=0,"Vínculo de CDF parcial",IF(AE464&lt;AD464,"CDF a conferir","Documentação conferida"))))))))))))))))))</f>
        <v/>
      </c>
      <c r="Q464" s="93" t="str">
        <f>IF(OR(R464=0,AA464=0),"",MAX(0,N(L464)-N(M464)))</f>
        <v/>
      </c>
      <c r="R464" s="96">
        <f>IF(COUNTA(B464:C464,G464:H464,J464:K464)&gt;0,1,0)</f>
        <v>0</v>
      </c>
      <c r="S464" s="96" t="str">
        <f>IF(B464="","",TRIM(LEFT(B464,FIND(" |",B464&amp;" |")-1)))</f>
        <v/>
      </c>
      <c r="T464" s="96" t="str">
        <f>IF(S464="","",IFERROR(MATCH(S464,'MTRs'!$A$6:$A$505,0),""))</f>
        <v/>
      </c>
      <c r="U464" s="96">
        <f>IF(T464="",0,IF(INDEX('MTRs'!$Z$6:$Z$505,T464)=1,1,0))</f>
        <v>0</v>
      </c>
      <c r="V464" s="96">
        <f>IF(C464="",0,IF(ISNUMBER(MATCH(C464,'CAD_RESÍDUOS'!$B$6:$B$205,0)),1,0))</f>
        <v>0</v>
      </c>
      <c r="W464" s="96">
        <f>IF(AND(ISNUMBER(G464),G464&gt;0),1,0)</f>
        <v>0</v>
      </c>
      <c r="X464" s="96" t="str">
        <f>IF(H464="","",IFERROR(IF(ISNUMBER(INDEX(cfg_fac,MATCH(H464,cfg_units,0))),IF(INDEX(cfg_fac,MATCH(H464,cfg_units,0))&gt;0,INDEX(cfg_fac,MATCH(H464,cfg_units,0)),""),""),""))</f>
        <v/>
      </c>
      <c r="Y464" s="96">
        <f>IF(AND(W464=1,ISNUMBER(I464)),1,0)</f>
        <v>0</v>
      </c>
      <c r="Z464" s="96">
        <f>IF(U464=1,INDEX('MTRs'!$AA$6:$AA$505,T464),0)</f>
        <v>0</v>
      </c>
      <c r="AA464" s="96">
        <f>IF(R464=0,0,COUNTIFS('RECEBIMENTOS'!$R$6:$R$1005,A464,'RECEBIMENTOS'!$Q$6:$Q$1005,1))</f>
        <v>0</v>
      </c>
      <c r="AB464" s="96">
        <f>IF(R464=0,0,COUNTIFS('RECEBIMENTOS'!$R$6:$R$1005,A464,'RECEBIMENTOS'!$Z$6:$Z$1005,1))</f>
        <v>0</v>
      </c>
      <c r="AC464" s="96">
        <f>IF(R464=0,0,COUNTIFS('RECEBIMENTOS'!$R$6:$R$1005,A464,'RECEBIMENTOS'!$Y$6:$Y$1005,1))</f>
        <v>0</v>
      </c>
      <c r="AD464" s="96">
        <f>IF(R464=0,0,COUNTIFS('VÍNCULOS_CDF'!$R$6:$R$1005,A464,'VÍNCULOS_CDF'!$N$6:$N$1005,1))</f>
        <v>0</v>
      </c>
      <c r="AE464" s="96">
        <f>IF(R464=0,0,COUNTIFS('VÍNCULOS_CDF'!$R$6:$R$1005,A464,'VÍNCULOS_CDF'!$AA$6:$AA$1005,1))</f>
        <v>0</v>
      </c>
      <c r="AF464" s="96">
        <f>IF(R464=0,0,COUNTIFS('VÍNCULOS_CDF'!$R$6:$R$1005,A464,'VÍNCULOS_CDF'!$Y$6:$Y$1005,1))</f>
        <v>0</v>
      </c>
      <c r="AG464" s="96" t="str">
        <f>IF(AND(R464=1,S464&lt;&gt;"",C464&lt;&gt;""),S464&amp;"|"&amp;C464&amp;"|"&amp;G464&amp;"|"&amp;H464,"")</f>
        <v/>
      </c>
      <c r="AH464" s="96">
        <f>IF(AG464="",0,IF(SUMPRODUCT(--($AG$6:$AG$1005=AG464))&gt;1,1,0))</f>
        <v>0</v>
      </c>
      <c r="AI464" s="96">
        <f>IF(R464=0,0,IF(OR(U464=0,V464=0,Y464=0,AND(AH464=1,K464&lt;&gt;"Sim")),1,0))</f>
        <v>0</v>
      </c>
      <c r="AJ464" s="96">
        <f>IF(AND(R464=1,AA464&gt;0,AB464=AA464),1,0)</f>
        <v>0</v>
      </c>
      <c r="AK464" s="96">
        <f>IF(R464=0,0,IF(AA464&gt;0,N(L464),IF(ISNUMBER(I464),I464,0)))</f>
        <v>0</v>
      </c>
      <c r="AL464" s="96">
        <f>IF(R464=0,0,IF(AND(K464&lt;&gt;"Sim",N(M464)&gt;AK464+cfg_tol),1,0))</f>
        <v>0</v>
      </c>
      <c r="AM464" s="96">
        <f>IF(R464=0,0,IF(K464="Sim",0,IF(OR(AND(AA464&gt;0,ISNUMBER(I464),ABS(I464-N(L464))&gt;cfg_tol),AL464=1),1,0)))</f>
        <v>0</v>
      </c>
      <c r="AN464" s="96">
        <f>IF(AND(R464=1,N(M464)&gt;0,OR(N(M464)&gt;=AK464-cfg_tol,K464="Sim")),1,0)</f>
        <v>0</v>
      </c>
      <c r="AO464" s="96">
        <f>IF(AND(AN464=1,AD464&gt;0,AE464=AD464,AL464=0),1,0)</f>
        <v>0</v>
      </c>
      <c r="AP464" s="96">
        <f>IF(U464=0,0,IF(AND(INDEX('MTRs'!$AX$6:$AX$505,T464)=1,Z464=0,OR(f_res="",f_res="(Todos)",C464=f_res)),1,0))</f>
        <v>0</v>
      </c>
      <c r="AQ464" s="97" t="str">
        <f>IF(U464=0,"",INDEX('MTRs'!$AZ$6:$AZ$505,T464))</f>
        <v/>
      </c>
      <c r="AR464" s="96">
        <f>IF(U464=0,0,IF(AND(INDEX('MTRs'!$BA$6:$BA$505,T464)=1,Z464=0),1,0))</f>
        <v>0</v>
      </c>
      <c r="AS464" s="96" t="str">
        <f>IF(R464=1,A464&amp;" | MTR "&amp;IF(U464=1,INDEX('MTRs'!$B$6:$B$505,T464)&amp;"","?")&amp;" | "&amp;IF(C464="","(sem resíduo)",C464),"")</f>
        <v/>
      </c>
      <c r="AT464" s="96" t="str">
        <f>IF(R464=1,COUNTIF($R$6:R464,1),"")</f>
        <v/>
      </c>
      <c r="AU464" s="96" t="str">
        <f>IF(U464=1,INDEX('MTRs'!$I$6:$I$505,T464)&amp;"","")</f>
        <v/>
      </c>
    </row>
    <row r="465">
      <c r="A465" s="89" t="inlineStr">
        <is>
          <t>IT-000460</t>
        </is>
      </c>
      <c r="B465" s="91" t="n"/>
      <c r="C465" s="91" t="n"/>
      <c r="D465" s="94" t="str">
        <f>IF(OR(R465=0,V465=0),"",INDEX('CAD_RESÍDUOS'!$E$6:$E$205,MATCH(C465,'CAD_RESÍDUOS'!$B$6:$B$205,0))&amp;"")</f>
        <v/>
      </c>
      <c r="E465" s="94" t="str">
        <f>IF(OR(R465=0,V465=0),"",INDEX('CAD_RESÍDUOS'!$C$6:$C$205,MATCH(C465,'CAD_RESÍDUOS'!$B$6:$B$205,0))&amp;"")</f>
        <v/>
      </c>
      <c r="F465" s="94" t="str">
        <f>IF(OR(R465=0,V465=0),"",INDEX('CAD_RESÍDUOS'!$G$6:$G$205,MATCH(C465,'CAD_RESÍDUOS'!$B$6:$B$205,0))&amp;"")</f>
        <v/>
      </c>
      <c r="G465" s="98" t="n"/>
      <c r="H465" s="91" t="n"/>
      <c r="I465" s="93" t="str">
        <f>IF(R465=0,"",IF(NOT(ISNUMBER(G465)),"",IF(ISNUMBER(X465),G465*X465,"UNIDADE A CONFERIR")))</f>
        <v/>
      </c>
      <c r="J465" s="91" t="n"/>
      <c r="K465" s="91" t="n"/>
      <c r="L465" s="93" t="str">
        <f>IF(R465=0,"",SUMIFS('RECEBIMENTOS'!$H$6:$H$1005,'RECEBIMENTOS'!$R$6:$R$1005,A465,'RECEBIMENTOS'!$X$6:$X$1005,1))</f>
        <v/>
      </c>
      <c r="M465" s="93" t="str">
        <f>IF(R465=0,"",SUMIFS('VÍNCULOS_CDF'!$H$6:$H$1005,'VÍNCULOS_CDF'!$R$6:$R$1005,A465,'VÍNCULOS_CDF'!$V$6:$V$1005,1))</f>
        <v/>
      </c>
      <c r="N465" s="99" t="str">
        <f>IF(OR(R465=0,AA465=0,NOT(ISNUMBER(I465))),"",I465-N(L465))</f>
        <v/>
      </c>
      <c r="O465" s="100" t="str">
        <f>IF(OR(R465=0,AK465&lt;=0),"",N(M465)/AK465)</f>
        <v/>
      </c>
      <c r="P465" s="94" t="str">
        <f>IF(R465=0,"",IF(S465="","Sem MTR associado",IF(U465=0,"MTR inexistente",IF(C465="","Resíduo não identificado",IF(V465=0,"Resíduo fora do cadastro",IF(W465=0,"Quantidade inválida",IF(H465="","Unidade não informada",IF(NOT(ISNUMBER(I465)),"Unidade a conferir",IF(AND(AH465=1,K465&lt;&gt;"Sim"),"Possível duplicidade",IF(Z465=1,"MTR cancelado",IF(AC465&gt;0,"Recebimento com alerta",IF(AA465=0,"Aguardando recebimento",IF(AB465&lt;AA465,"Recebimento a conferir",IF(AM465=1,"Quantidade a revisar",IF(AF465&gt;0,"Vínculo a revisar",IF(AD465=0,"Aguardando CDF",IF(AN465=0,"Vínculo de CDF parcial",IF(AE465&lt;AD465,"CDF a conferir","Documentação conferida"))))))))))))))))))</f>
        <v/>
      </c>
      <c r="Q465" s="93" t="str">
        <f>IF(OR(R465=0,AA465=0),"",MAX(0,N(L465)-N(M465)))</f>
        <v/>
      </c>
      <c r="R465" s="96">
        <f>IF(COUNTA(B465:C465,G465:H465,J465:K465)&gt;0,1,0)</f>
        <v>0</v>
      </c>
      <c r="S465" s="96" t="str">
        <f>IF(B465="","",TRIM(LEFT(B465,FIND(" |",B465&amp;" |")-1)))</f>
        <v/>
      </c>
      <c r="T465" s="96" t="str">
        <f>IF(S465="","",IFERROR(MATCH(S465,'MTRs'!$A$6:$A$505,0),""))</f>
        <v/>
      </c>
      <c r="U465" s="96">
        <f>IF(T465="",0,IF(INDEX('MTRs'!$Z$6:$Z$505,T465)=1,1,0))</f>
        <v>0</v>
      </c>
      <c r="V465" s="96">
        <f>IF(C465="",0,IF(ISNUMBER(MATCH(C465,'CAD_RESÍDUOS'!$B$6:$B$205,0)),1,0))</f>
        <v>0</v>
      </c>
      <c r="W465" s="96">
        <f>IF(AND(ISNUMBER(G465),G465&gt;0),1,0)</f>
        <v>0</v>
      </c>
      <c r="X465" s="96" t="str">
        <f>IF(H465="","",IFERROR(IF(ISNUMBER(INDEX(cfg_fac,MATCH(H465,cfg_units,0))),IF(INDEX(cfg_fac,MATCH(H465,cfg_units,0))&gt;0,INDEX(cfg_fac,MATCH(H465,cfg_units,0)),""),""),""))</f>
        <v/>
      </c>
      <c r="Y465" s="96">
        <f>IF(AND(W465=1,ISNUMBER(I465)),1,0)</f>
        <v>0</v>
      </c>
      <c r="Z465" s="96">
        <f>IF(U465=1,INDEX('MTRs'!$AA$6:$AA$505,T465),0)</f>
        <v>0</v>
      </c>
      <c r="AA465" s="96">
        <f>IF(R465=0,0,COUNTIFS('RECEBIMENTOS'!$R$6:$R$1005,A465,'RECEBIMENTOS'!$Q$6:$Q$1005,1))</f>
        <v>0</v>
      </c>
      <c r="AB465" s="96">
        <f>IF(R465=0,0,COUNTIFS('RECEBIMENTOS'!$R$6:$R$1005,A465,'RECEBIMENTOS'!$Z$6:$Z$1005,1))</f>
        <v>0</v>
      </c>
      <c r="AC465" s="96">
        <f>IF(R465=0,0,COUNTIFS('RECEBIMENTOS'!$R$6:$R$1005,A465,'RECEBIMENTOS'!$Y$6:$Y$1005,1))</f>
        <v>0</v>
      </c>
      <c r="AD465" s="96">
        <f>IF(R465=0,0,COUNTIFS('VÍNCULOS_CDF'!$R$6:$R$1005,A465,'VÍNCULOS_CDF'!$N$6:$N$1005,1))</f>
        <v>0</v>
      </c>
      <c r="AE465" s="96">
        <f>IF(R465=0,0,COUNTIFS('VÍNCULOS_CDF'!$R$6:$R$1005,A465,'VÍNCULOS_CDF'!$AA$6:$AA$1005,1))</f>
        <v>0</v>
      </c>
      <c r="AF465" s="96">
        <f>IF(R465=0,0,COUNTIFS('VÍNCULOS_CDF'!$R$6:$R$1005,A465,'VÍNCULOS_CDF'!$Y$6:$Y$1005,1))</f>
        <v>0</v>
      </c>
      <c r="AG465" s="96" t="str">
        <f>IF(AND(R465=1,S465&lt;&gt;"",C465&lt;&gt;""),S465&amp;"|"&amp;C465&amp;"|"&amp;G465&amp;"|"&amp;H465,"")</f>
        <v/>
      </c>
      <c r="AH465" s="96">
        <f>IF(AG465="",0,IF(SUMPRODUCT(--($AG$6:$AG$1005=AG465))&gt;1,1,0))</f>
        <v>0</v>
      </c>
      <c r="AI465" s="96">
        <f>IF(R465=0,0,IF(OR(U465=0,V465=0,Y465=0,AND(AH465=1,K465&lt;&gt;"Sim")),1,0))</f>
        <v>0</v>
      </c>
      <c r="AJ465" s="96">
        <f>IF(AND(R465=1,AA465&gt;0,AB465=AA465),1,0)</f>
        <v>0</v>
      </c>
      <c r="AK465" s="96">
        <f>IF(R465=0,0,IF(AA465&gt;0,N(L465),IF(ISNUMBER(I465),I465,0)))</f>
        <v>0</v>
      </c>
      <c r="AL465" s="96">
        <f>IF(R465=0,0,IF(AND(K465&lt;&gt;"Sim",N(M465)&gt;AK465+cfg_tol),1,0))</f>
        <v>0</v>
      </c>
      <c r="AM465" s="96">
        <f>IF(R465=0,0,IF(K465="Sim",0,IF(OR(AND(AA465&gt;0,ISNUMBER(I465),ABS(I465-N(L465))&gt;cfg_tol),AL465=1),1,0)))</f>
        <v>0</v>
      </c>
      <c r="AN465" s="96">
        <f>IF(AND(R465=1,N(M465)&gt;0,OR(N(M465)&gt;=AK465-cfg_tol,K465="Sim")),1,0)</f>
        <v>0</v>
      </c>
      <c r="AO465" s="96">
        <f>IF(AND(AN465=1,AD465&gt;0,AE465=AD465,AL465=0),1,0)</f>
        <v>0</v>
      </c>
      <c r="AP465" s="96">
        <f>IF(U465=0,0,IF(AND(INDEX('MTRs'!$AX$6:$AX$505,T465)=1,Z465=0,OR(f_res="",f_res="(Todos)",C465=f_res)),1,0))</f>
        <v>0</v>
      </c>
      <c r="AQ465" s="97" t="str">
        <f>IF(U465=0,"",INDEX('MTRs'!$AZ$6:$AZ$505,T465))</f>
        <v/>
      </c>
      <c r="AR465" s="96">
        <f>IF(U465=0,0,IF(AND(INDEX('MTRs'!$BA$6:$BA$505,T465)=1,Z465=0),1,0))</f>
        <v>0</v>
      </c>
      <c r="AS465" s="96" t="str">
        <f>IF(R465=1,A465&amp;" | MTR "&amp;IF(U465=1,INDEX('MTRs'!$B$6:$B$505,T465)&amp;"","?")&amp;" | "&amp;IF(C465="","(sem resíduo)",C465),"")</f>
        <v/>
      </c>
      <c r="AT465" s="96" t="str">
        <f>IF(R465=1,COUNTIF($R$6:R465,1),"")</f>
        <v/>
      </c>
      <c r="AU465" s="96" t="str">
        <f>IF(U465=1,INDEX('MTRs'!$I$6:$I$505,T465)&amp;"","")</f>
        <v/>
      </c>
    </row>
    <row r="466">
      <c r="A466" s="89" t="inlineStr">
        <is>
          <t>IT-000461</t>
        </is>
      </c>
      <c r="B466" s="91" t="n"/>
      <c r="C466" s="91" t="n"/>
      <c r="D466" s="94" t="str">
        <f>IF(OR(R466=0,V466=0),"",INDEX('CAD_RESÍDUOS'!$E$6:$E$205,MATCH(C466,'CAD_RESÍDUOS'!$B$6:$B$205,0))&amp;"")</f>
        <v/>
      </c>
      <c r="E466" s="94" t="str">
        <f>IF(OR(R466=0,V466=0),"",INDEX('CAD_RESÍDUOS'!$C$6:$C$205,MATCH(C466,'CAD_RESÍDUOS'!$B$6:$B$205,0))&amp;"")</f>
        <v/>
      </c>
      <c r="F466" s="94" t="str">
        <f>IF(OR(R466=0,V466=0),"",INDEX('CAD_RESÍDUOS'!$G$6:$G$205,MATCH(C466,'CAD_RESÍDUOS'!$B$6:$B$205,0))&amp;"")</f>
        <v/>
      </c>
      <c r="G466" s="98" t="n"/>
      <c r="H466" s="91" t="n"/>
      <c r="I466" s="93" t="str">
        <f>IF(R466=0,"",IF(NOT(ISNUMBER(G466)),"",IF(ISNUMBER(X466),G466*X466,"UNIDADE A CONFERIR")))</f>
        <v/>
      </c>
      <c r="J466" s="91" t="n"/>
      <c r="K466" s="91" t="n"/>
      <c r="L466" s="93" t="str">
        <f>IF(R466=0,"",SUMIFS('RECEBIMENTOS'!$H$6:$H$1005,'RECEBIMENTOS'!$R$6:$R$1005,A466,'RECEBIMENTOS'!$X$6:$X$1005,1))</f>
        <v/>
      </c>
      <c r="M466" s="93" t="str">
        <f>IF(R466=0,"",SUMIFS('VÍNCULOS_CDF'!$H$6:$H$1005,'VÍNCULOS_CDF'!$R$6:$R$1005,A466,'VÍNCULOS_CDF'!$V$6:$V$1005,1))</f>
        <v/>
      </c>
      <c r="N466" s="99" t="str">
        <f>IF(OR(R466=0,AA466=0,NOT(ISNUMBER(I466))),"",I466-N(L466))</f>
        <v/>
      </c>
      <c r="O466" s="100" t="str">
        <f>IF(OR(R466=0,AK466&lt;=0),"",N(M466)/AK466)</f>
        <v/>
      </c>
      <c r="P466" s="94" t="str">
        <f>IF(R466=0,"",IF(S466="","Sem MTR associado",IF(U466=0,"MTR inexistente",IF(C466="","Resíduo não identificado",IF(V466=0,"Resíduo fora do cadastro",IF(W466=0,"Quantidade inválida",IF(H466="","Unidade não informada",IF(NOT(ISNUMBER(I466)),"Unidade a conferir",IF(AND(AH466=1,K466&lt;&gt;"Sim"),"Possível duplicidade",IF(Z466=1,"MTR cancelado",IF(AC466&gt;0,"Recebimento com alerta",IF(AA466=0,"Aguardando recebimento",IF(AB466&lt;AA466,"Recebimento a conferir",IF(AM466=1,"Quantidade a revisar",IF(AF466&gt;0,"Vínculo a revisar",IF(AD466=0,"Aguardando CDF",IF(AN466=0,"Vínculo de CDF parcial",IF(AE466&lt;AD466,"CDF a conferir","Documentação conferida"))))))))))))))))))</f>
        <v/>
      </c>
      <c r="Q466" s="93" t="str">
        <f>IF(OR(R466=0,AA466=0),"",MAX(0,N(L466)-N(M466)))</f>
        <v/>
      </c>
      <c r="R466" s="96">
        <f>IF(COUNTA(B466:C466,G466:H466,J466:K466)&gt;0,1,0)</f>
        <v>0</v>
      </c>
      <c r="S466" s="96" t="str">
        <f>IF(B466="","",TRIM(LEFT(B466,FIND(" |",B466&amp;" |")-1)))</f>
        <v/>
      </c>
      <c r="T466" s="96" t="str">
        <f>IF(S466="","",IFERROR(MATCH(S466,'MTRs'!$A$6:$A$505,0),""))</f>
        <v/>
      </c>
      <c r="U466" s="96">
        <f>IF(T466="",0,IF(INDEX('MTRs'!$Z$6:$Z$505,T466)=1,1,0))</f>
        <v>0</v>
      </c>
      <c r="V466" s="96">
        <f>IF(C466="",0,IF(ISNUMBER(MATCH(C466,'CAD_RESÍDUOS'!$B$6:$B$205,0)),1,0))</f>
        <v>0</v>
      </c>
      <c r="W466" s="96">
        <f>IF(AND(ISNUMBER(G466),G466&gt;0),1,0)</f>
        <v>0</v>
      </c>
      <c r="X466" s="96" t="str">
        <f>IF(H466="","",IFERROR(IF(ISNUMBER(INDEX(cfg_fac,MATCH(H466,cfg_units,0))),IF(INDEX(cfg_fac,MATCH(H466,cfg_units,0))&gt;0,INDEX(cfg_fac,MATCH(H466,cfg_units,0)),""),""),""))</f>
        <v/>
      </c>
      <c r="Y466" s="96">
        <f>IF(AND(W466=1,ISNUMBER(I466)),1,0)</f>
        <v>0</v>
      </c>
      <c r="Z466" s="96">
        <f>IF(U466=1,INDEX('MTRs'!$AA$6:$AA$505,T466),0)</f>
        <v>0</v>
      </c>
      <c r="AA466" s="96">
        <f>IF(R466=0,0,COUNTIFS('RECEBIMENTOS'!$R$6:$R$1005,A466,'RECEBIMENTOS'!$Q$6:$Q$1005,1))</f>
        <v>0</v>
      </c>
      <c r="AB466" s="96">
        <f>IF(R466=0,0,COUNTIFS('RECEBIMENTOS'!$R$6:$R$1005,A466,'RECEBIMENTOS'!$Z$6:$Z$1005,1))</f>
        <v>0</v>
      </c>
      <c r="AC466" s="96">
        <f>IF(R466=0,0,COUNTIFS('RECEBIMENTOS'!$R$6:$R$1005,A466,'RECEBIMENTOS'!$Y$6:$Y$1005,1))</f>
        <v>0</v>
      </c>
      <c r="AD466" s="96">
        <f>IF(R466=0,0,COUNTIFS('VÍNCULOS_CDF'!$R$6:$R$1005,A466,'VÍNCULOS_CDF'!$N$6:$N$1005,1))</f>
        <v>0</v>
      </c>
      <c r="AE466" s="96">
        <f>IF(R466=0,0,COUNTIFS('VÍNCULOS_CDF'!$R$6:$R$1005,A466,'VÍNCULOS_CDF'!$AA$6:$AA$1005,1))</f>
        <v>0</v>
      </c>
      <c r="AF466" s="96">
        <f>IF(R466=0,0,COUNTIFS('VÍNCULOS_CDF'!$R$6:$R$1005,A466,'VÍNCULOS_CDF'!$Y$6:$Y$1005,1))</f>
        <v>0</v>
      </c>
      <c r="AG466" s="96" t="str">
        <f>IF(AND(R466=1,S466&lt;&gt;"",C466&lt;&gt;""),S466&amp;"|"&amp;C466&amp;"|"&amp;G466&amp;"|"&amp;H466,"")</f>
        <v/>
      </c>
      <c r="AH466" s="96">
        <f>IF(AG466="",0,IF(SUMPRODUCT(--($AG$6:$AG$1005=AG466))&gt;1,1,0))</f>
        <v>0</v>
      </c>
      <c r="AI466" s="96">
        <f>IF(R466=0,0,IF(OR(U466=0,V466=0,Y466=0,AND(AH466=1,K466&lt;&gt;"Sim")),1,0))</f>
        <v>0</v>
      </c>
      <c r="AJ466" s="96">
        <f>IF(AND(R466=1,AA466&gt;0,AB466=AA466),1,0)</f>
        <v>0</v>
      </c>
      <c r="AK466" s="96">
        <f>IF(R466=0,0,IF(AA466&gt;0,N(L466),IF(ISNUMBER(I466),I466,0)))</f>
        <v>0</v>
      </c>
      <c r="AL466" s="96">
        <f>IF(R466=0,0,IF(AND(K466&lt;&gt;"Sim",N(M466)&gt;AK466+cfg_tol),1,0))</f>
        <v>0</v>
      </c>
      <c r="AM466" s="96">
        <f>IF(R466=0,0,IF(K466="Sim",0,IF(OR(AND(AA466&gt;0,ISNUMBER(I466),ABS(I466-N(L466))&gt;cfg_tol),AL466=1),1,0)))</f>
        <v>0</v>
      </c>
      <c r="AN466" s="96">
        <f>IF(AND(R466=1,N(M466)&gt;0,OR(N(M466)&gt;=AK466-cfg_tol,K466="Sim")),1,0)</f>
        <v>0</v>
      </c>
      <c r="AO466" s="96">
        <f>IF(AND(AN466=1,AD466&gt;0,AE466=AD466,AL466=0),1,0)</f>
        <v>0</v>
      </c>
      <c r="AP466" s="96">
        <f>IF(U466=0,0,IF(AND(INDEX('MTRs'!$AX$6:$AX$505,T466)=1,Z466=0,OR(f_res="",f_res="(Todos)",C466=f_res)),1,0))</f>
        <v>0</v>
      </c>
      <c r="AQ466" s="97" t="str">
        <f>IF(U466=0,"",INDEX('MTRs'!$AZ$6:$AZ$505,T466))</f>
        <v/>
      </c>
      <c r="AR466" s="96">
        <f>IF(U466=0,0,IF(AND(INDEX('MTRs'!$BA$6:$BA$505,T466)=1,Z466=0),1,0))</f>
        <v>0</v>
      </c>
      <c r="AS466" s="96" t="str">
        <f>IF(R466=1,A466&amp;" | MTR "&amp;IF(U466=1,INDEX('MTRs'!$B$6:$B$505,T466)&amp;"","?")&amp;" | "&amp;IF(C466="","(sem resíduo)",C466),"")</f>
        <v/>
      </c>
      <c r="AT466" s="96" t="str">
        <f>IF(R466=1,COUNTIF($R$6:R466,1),"")</f>
        <v/>
      </c>
      <c r="AU466" s="96" t="str">
        <f>IF(U466=1,INDEX('MTRs'!$I$6:$I$505,T466)&amp;"","")</f>
        <v/>
      </c>
    </row>
    <row r="467">
      <c r="A467" s="89" t="inlineStr">
        <is>
          <t>IT-000462</t>
        </is>
      </c>
      <c r="B467" s="91" t="n"/>
      <c r="C467" s="91" t="n"/>
      <c r="D467" s="94" t="str">
        <f>IF(OR(R467=0,V467=0),"",INDEX('CAD_RESÍDUOS'!$E$6:$E$205,MATCH(C467,'CAD_RESÍDUOS'!$B$6:$B$205,0))&amp;"")</f>
        <v/>
      </c>
      <c r="E467" s="94" t="str">
        <f>IF(OR(R467=0,V467=0),"",INDEX('CAD_RESÍDUOS'!$C$6:$C$205,MATCH(C467,'CAD_RESÍDUOS'!$B$6:$B$205,0))&amp;"")</f>
        <v/>
      </c>
      <c r="F467" s="94" t="str">
        <f>IF(OR(R467=0,V467=0),"",INDEX('CAD_RESÍDUOS'!$G$6:$G$205,MATCH(C467,'CAD_RESÍDUOS'!$B$6:$B$205,0))&amp;"")</f>
        <v/>
      </c>
      <c r="G467" s="98" t="n"/>
      <c r="H467" s="91" t="n"/>
      <c r="I467" s="93" t="str">
        <f>IF(R467=0,"",IF(NOT(ISNUMBER(G467)),"",IF(ISNUMBER(X467),G467*X467,"UNIDADE A CONFERIR")))</f>
        <v/>
      </c>
      <c r="J467" s="91" t="n"/>
      <c r="K467" s="91" t="n"/>
      <c r="L467" s="93" t="str">
        <f>IF(R467=0,"",SUMIFS('RECEBIMENTOS'!$H$6:$H$1005,'RECEBIMENTOS'!$R$6:$R$1005,A467,'RECEBIMENTOS'!$X$6:$X$1005,1))</f>
        <v/>
      </c>
      <c r="M467" s="93" t="str">
        <f>IF(R467=0,"",SUMIFS('VÍNCULOS_CDF'!$H$6:$H$1005,'VÍNCULOS_CDF'!$R$6:$R$1005,A467,'VÍNCULOS_CDF'!$V$6:$V$1005,1))</f>
        <v/>
      </c>
      <c r="N467" s="99" t="str">
        <f>IF(OR(R467=0,AA467=0,NOT(ISNUMBER(I467))),"",I467-N(L467))</f>
        <v/>
      </c>
      <c r="O467" s="100" t="str">
        <f>IF(OR(R467=0,AK467&lt;=0),"",N(M467)/AK467)</f>
        <v/>
      </c>
      <c r="P467" s="94" t="str">
        <f>IF(R467=0,"",IF(S467="","Sem MTR associado",IF(U467=0,"MTR inexistente",IF(C467="","Resíduo não identificado",IF(V467=0,"Resíduo fora do cadastro",IF(W467=0,"Quantidade inválida",IF(H467="","Unidade não informada",IF(NOT(ISNUMBER(I467)),"Unidade a conferir",IF(AND(AH467=1,K467&lt;&gt;"Sim"),"Possível duplicidade",IF(Z467=1,"MTR cancelado",IF(AC467&gt;0,"Recebimento com alerta",IF(AA467=0,"Aguardando recebimento",IF(AB467&lt;AA467,"Recebimento a conferir",IF(AM467=1,"Quantidade a revisar",IF(AF467&gt;0,"Vínculo a revisar",IF(AD467=0,"Aguardando CDF",IF(AN467=0,"Vínculo de CDF parcial",IF(AE467&lt;AD467,"CDF a conferir","Documentação conferida"))))))))))))))))))</f>
        <v/>
      </c>
      <c r="Q467" s="93" t="str">
        <f>IF(OR(R467=0,AA467=0),"",MAX(0,N(L467)-N(M467)))</f>
        <v/>
      </c>
      <c r="R467" s="96">
        <f>IF(COUNTA(B467:C467,G467:H467,J467:K467)&gt;0,1,0)</f>
        <v>0</v>
      </c>
      <c r="S467" s="96" t="str">
        <f>IF(B467="","",TRIM(LEFT(B467,FIND(" |",B467&amp;" |")-1)))</f>
        <v/>
      </c>
      <c r="T467" s="96" t="str">
        <f>IF(S467="","",IFERROR(MATCH(S467,'MTRs'!$A$6:$A$505,0),""))</f>
        <v/>
      </c>
      <c r="U467" s="96">
        <f>IF(T467="",0,IF(INDEX('MTRs'!$Z$6:$Z$505,T467)=1,1,0))</f>
        <v>0</v>
      </c>
      <c r="V467" s="96">
        <f>IF(C467="",0,IF(ISNUMBER(MATCH(C467,'CAD_RESÍDUOS'!$B$6:$B$205,0)),1,0))</f>
        <v>0</v>
      </c>
      <c r="W467" s="96">
        <f>IF(AND(ISNUMBER(G467),G467&gt;0),1,0)</f>
        <v>0</v>
      </c>
      <c r="X467" s="96" t="str">
        <f>IF(H467="","",IFERROR(IF(ISNUMBER(INDEX(cfg_fac,MATCH(H467,cfg_units,0))),IF(INDEX(cfg_fac,MATCH(H467,cfg_units,0))&gt;0,INDEX(cfg_fac,MATCH(H467,cfg_units,0)),""),""),""))</f>
        <v/>
      </c>
      <c r="Y467" s="96">
        <f>IF(AND(W467=1,ISNUMBER(I467)),1,0)</f>
        <v>0</v>
      </c>
      <c r="Z467" s="96">
        <f>IF(U467=1,INDEX('MTRs'!$AA$6:$AA$505,T467),0)</f>
        <v>0</v>
      </c>
      <c r="AA467" s="96">
        <f>IF(R467=0,0,COUNTIFS('RECEBIMENTOS'!$R$6:$R$1005,A467,'RECEBIMENTOS'!$Q$6:$Q$1005,1))</f>
        <v>0</v>
      </c>
      <c r="AB467" s="96">
        <f>IF(R467=0,0,COUNTIFS('RECEBIMENTOS'!$R$6:$R$1005,A467,'RECEBIMENTOS'!$Z$6:$Z$1005,1))</f>
        <v>0</v>
      </c>
      <c r="AC467" s="96">
        <f>IF(R467=0,0,COUNTIFS('RECEBIMENTOS'!$R$6:$R$1005,A467,'RECEBIMENTOS'!$Y$6:$Y$1005,1))</f>
        <v>0</v>
      </c>
      <c r="AD467" s="96">
        <f>IF(R467=0,0,COUNTIFS('VÍNCULOS_CDF'!$R$6:$R$1005,A467,'VÍNCULOS_CDF'!$N$6:$N$1005,1))</f>
        <v>0</v>
      </c>
      <c r="AE467" s="96">
        <f>IF(R467=0,0,COUNTIFS('VÍNCULOS_CDF'!$R$6:$R$1005,A467,'VÍNCULOS_CDF'!$AA$6:$AA$1005,1))</f>
        <v>0</v>
      </c>
      <c r="AF467" s="96">
        <f>IF(R467=0,0,COUNTIFS('VÍNCULOS_CDF'!$R$6:$R$1005,A467,'VÍNCULOS_CDF'!$Y$6:$Y$1005,1))</f>
        <v>0</v>
      </c>
      <c r="AG467" s="96" t="str">
        <f>IF(AND(R467=1,S467&lt;&gt;"",C467&lt;&gt;""),S467&amp;"|"&amp;C467&amp;"|"&amp;G467&amp;"|"&amp;H467,"")</f>
        <v/>
      </c>
      <c r="AH467" s="96">
        <f>IF(AG467="",0,IF(SUMPRODUCT(--($AG$6:$AG$1005=AG467))&gt;1,1,0))</f>
        <v>0</v>
      </c>
      <c r="AI467" s="96">
        <f>IF(R467=0,0,IF(OR(U467=0,V467=0,Y467=0,AND(AH467=1,K467&lt;&gt;"Sim")),1,0))</f>
        <v>0</v>
      </c>
      <c r="AJ467" s="96">
        <f>IF(AND(R467=1,AA467&gt;0,AB467=AA467),1,0)</f>
        <v>0</v>
      </c>
      <c r="AK467" s="96">
        <f>IF(R467=0,0,IF(AA467&gt;0,N(L467),IF(ISNUMBER(I467),I467,0)))</f>
        <v>0</v>
      </c>
      <c r="AL467" s="96">
        <f>IF(R467=0,0,IF(AND(K467&lt;&gt;"Sim",N(M467)&gt;AK467+cfg_tol),1,0))</f>
        <v>0</v>
      </c>
      <c r="AM467" s="96">
        <f>IF(R467=0,0,IF(K467="Sim",0,IF(OR(AND(AA467&gt;0,ISNUMBER(I467),ABS(I467-N(L467))&gt;cfg_tol),AL467=1),1,0)))</f>
        <v>0</v>
      </c>
      <c r="AN467" s="96">
        <f>IF(AND(R467=1,N(M467)&gt;0,OR(N(M467)&gt;=AK467-cfg_tol,K467="Sim")),1,0)</f>
        <v>0</v>
      </c>
      <c r="AO467" s="96">
        <f>IF(AND(AN467=1,AD467&gt;0,AE467=AD467,AL467=0),1,0)</f>
        <v>0</v>
      </c>
      <c r="AP467" s="96">
        <f>IF(U467=0,0,IF(AND(INDEX('MTRs'!$AX$6:$AX$505,T467)=1,Z467=0,OR(f_res="",f_res="(Todos)",C467=f_res)),1,0))</f>
        <v>0</v>
      </c>
      <c r="AQ467" s="97" t="str">
        <f>IF(U467=0,"",INDEX('MTRs'!$AZ$6:$AZ$505,T467))</f>
        <v/>
      </c>
      <c r="AR467" s="96">
        <f>IF(U467=0,0,IF(AND(INDEX('MTRs'!$BA$6:$BA$505,T467)=1,Z467=0),1,0))</f>
        <v>0</v>
      </c>
      <c r="AS467" s="96" t="str">
        <f>IF(R467=1,A467&amp;" | MTR "&amp;IF(U467=1,INDEX('MTRs'!$B$6:$B$505,T467)&amp;"","?")&amp;" | "&amp;IF(C467="","(sem resíduo)",C467),"")</f>
        <v/>
      </c>
      <c r="AT467" s="96" t="str">
        <f>IF(R467=1,COUNTIF($R$6:R467,1),"")</f>
        <v/>
      </c>
      <c r="AU467" s="96" t="str">
        <f>IF(U467=1,INDEX('MTRs'!$I$6:$I$505,T467)&amp;"","")</f>
        <v/>
      </c>
    </row>
    <row r="468">
      <c r="A468" s="89" t="inlineStr">
        <is>
          <t>IT-000463</t>
        </is>
      </c>
      <c r="B468" s="91" t="n"/>
      <c r="C468" s="91" t="n"/>
      <c r="D468" s="94" t="str">
        <f>IF(OR(R468=0,V468=0),"",INDEX('CAD_RESÍDUOS'!$E$6:$E$205,MATCH(C468,'CAD_RESÍDUOS'!$B$6:$B$205,0))&amp;"")</f>
        <v/>
      </c>
      <c r="E468" s="94" t="str">
        <f>IF(OR(R468=0,V468=0),"",INDEX('CAD_RESÍDUOS'!$C$6:$C$205,MATCH(C468,'CAD_RESÍDUOS'!$B$6:$B$205,0))&amp;"")</f>
        <v/>
      </c>
      <c r="F468" s="94" t="str">
        <f>IF(OR(R468=0,V468=0),"",INDEX('CAD_RESÍDUOS'!$G$6:$G$205,MATCH(C468,'CAD_RESÍDUOS'!$B$6:$B$205,0))&amp;"")</f>
        <v/>
      </c>
      <c r="G468" s="98" t="n"/>
      <c r="H468" s="91" t="n"/>
      <c r="I468" s="93" t="str">
        <f>IF(R468=0,"",IF(NOT(ISNUMBER(G468)),"",IF(ISNUMBER(X468),G468*X468,"UNIDADE A CONFERIR")))</f>
        <v/>
      </c>
      <c r="J468" s="91" t="n"/>
      <c r="K468" s="91" t="n"/>
      <c r="L468" s="93" t="str">
        <f>IF(R468=0,"",SUMIFS('RECEBIMENTOS'!$H$6:$H$1005,'RECEBIMENTOS'!$R$6:$R$1005,A468,'RECEBIMENTOS'!$X$6:$X$1005,1))</f>
        <v/>
      </c>
      <c r="M468" s="93" t="str">
        <f>IF(R468=0,"",SUMIFS('VÍNCULOS_CDF'!$H$6:$H$1005,'VÍNCULOS_CDF'!$R$6:$R$1005,A468,'VÍNCULOS_CDF'!$V$6:$V$1005,1))</f>
        <v/>
      </c>
      <c r="N468" s="99" t="str">
        <f>IF(OR(R468=0,AA468=0,NOT(ISNUMBER(I468))),"",I468-N(L468))</f>
        <v/>
      </c>
      <c r="O468" s="100" t="str">
        <f>IF(OR(R468=0,AK468&lt;=0),"",N(M468)/AK468)</f>
        <v/>
      </c>
      <c r="P468" s="94" t="str">
        <f>IF(R468=0,"",IF(S468="","Sem MTR associado",IF(U468=0,"MTR inexistente",IF(C468="","Resíduo não identificado",IF(V468=0,"Resíduo fora do cadastro",IF(W468=0,"Quantidade inválida",IF(H468="","Unidade não informada",IF(NOT(ISNUMBER(I468)),"Unidade a conferir",IF(AND(AH468=1,K468&lt;&gt;"Sim"),"Possível duplicidade",IF(Z468=1,"MTR cancelado",IF(AC468&gt;0,"Recebimento com alerta",IF(AA468=0,"Aguardando recebimento",IF(AB468&lt;AA468,"Recebimento a conferir",IF(AM468=1,"Quantidade a revisar",IF(AF468&gt;0,"Vínculo a revisar",IF(AD468=0,"Aguardando CDF",IF(AN468=0,"Vínculo de CDF parcial",IF(AE468&lt;AD468,"CDF a conferir","Documentação conferida"))))))))))))))))))</f>
        <v/>
      </c>
      <c r="Q468" s="93" t="str">
        <f>IF(OR(R468=0,AA468=0),"",MAX(0,N(L468)-N(M468)))</f>
        <v/>
      </c>
      <c r="R468" s="96">
        <f>IF(COUNTA(B468:C468,G468:H468,J468:K468)&gt;0,1,0)</f>
        <v>0</v>
      </c>
      <c r="S468" s="96" t="str">
        <f>IF(B468="","",TRIM(LEFT(B468,FIND(" |",B468&amp;" |")-1)))</f>
        <v/>
      </c>
      <c r="T468" s="96" t="str">
        <f>IF(S468="","",IFERROR(MATCH(S468,'MTRs'!$A$6:$A$505,0),""))</f>
        <v/>
      </c>
      <c r="U468" s="96">
        <f>IF(T468="",0,IF(INDEX('MTRs'!$Z$6:$Z$505,T468)=1,1,0))</f>
        <v>0</v>
      </c>
      <c r="V468" s="96">
        <f>IF(C468="",0,IF(ISNUMBER(MATCH(C468,'CAD_RESÍDUOS'!$B$6:$B$205,0)),1,0))</f>
        <v>0</v>
      </c>
      <c r="W468" s="96">
        <f>IF(AND(ISNUMBER(G468),G468&gt;0),1,0)</f>
        <v>0</v>
      </c>
      <c r="X468" s="96" t="str">
        <f>IF(H468="","",IFERROR(IF(ISNUMBER(INDEX(cfg_fac,MATCH(H468,cfg_units,0))),IF(INDEX(cfg_fac,MATCH(H468,cfg_units,0))&gt;0,INDEX(cfg_fac,MATCH(H468,cfg_units,0)),""),""),""))</f>
        <v/>
      </c>
      <c r="Y468" s="96">
        <f>IF(AND(W468=1,ISNUMBER(I468)),1,0)</f>
        <v>0</v>
      </c>
      <c r="Z468" s="96">
        <f>IF(U468=1,INDEX('MTRs'!$AA$6:$AA$505,T468),0)</f>
        <v>0</v>
      </c>
      <c r="AA468" s="96">
        <f>IF(R468=0,0,COUNTIFS('RECEBIMENTOS'!$R$6:$R$1005,A468,'RECEBIMENTOS'!$Q$6:$Q$1005,1))</f>
        <v>0</v>
      </c>
      <c r="AB468" s="96">
        <f>IF(R468=0,0,COUNTIFS('RECEBIMENTOS'!$R$6:$R$1005,A468,'RECEBIMENTOS'!$Z$6:$Z$1005,1))</f>
        <v>0</v>
      </c>
      <c r="AC468" s="96">
        <f>IF(R468=0,0,COUNTIFS('RECEBIMENTOS'!$R$6:$R$1005,A468,'RECEBIMENTOS'!$Y$6:$Y$1005,1))</f>
        <v>0</v>
      </c>
      <c r="AD468" s="96">
        <f>IF(R468=0,0,COUNTIFS('VÍNCULOS_CDF'!$R$6:$R$1005,A468,'VÍNCULOS_CDF'!$N$6:$N$1005,1))</f>
        <v>0</v>
      </c>
      <c r="AE468" s="96">
        <f>IF(R468=0,0,COUNTIFS('VÍNCULOS_CDF'!$R$6:$R$1005,A468,'VÍNCULOS_CDF'!$AA$6:$AA$1005,1))</f>
        <v>0</v>
      </c>
      <c r="AF468" s="96">
        <f>IF(R468=0,0,COUNTIFS('VÍNCULOS_CDF'!$R$6:$R$1005,A468,'VÍNCULOS_CDF'!$Y$6:$Y$1005,1))</f>
        <v>0</v>
      </c>
      <c r="AG468" s="96" t="str">
        <f>IF(AND(R468=1,S468&lt;&gt;"",C468&lt;&gt;""),S468&amp;"|"&amp;C468&amp;"|"&amp;G468&amp;"|"&amp;H468,"")</f>
        <v/>
      </c>
      <c r="AH468" s="96">
        <f>IF(AG468="",0,IF(SUMPRODUCT(--($AG$6:$AG$1005=AG468))&gt;1,1,0))</f>
        <v>0</v>
      </c>
      <c r="AI468" s="96">
        <f>IF(R468=0,0,IF(OR(U468=0,V468=0,Y468=0,AND(AH468=1,K468&lt;&gt;"Sim")),1,0))</f>
        <v>0</v>
      </c>
      <c r="AJ468" s="96">
        <f>IF(AND(R468=1,AA468&gt;0,AB468=AA468),1,0)</f>
        <v>0</v>
      </c>
      <c r="AK468" s="96">
        <f>IF(R468=0,0,IF(AA468&gt;0,N(L468),IF(ISNUMBER(I468),I468,0)))</f>
        <v>0</v>
      </c>
      <c r="AL468" s="96">
        <f>IF(R468=0,0,IF(AND(K468&lt;&gt;"Sim",N(M468)&gt;AK468+cfg_tol),1,0))</f>
        <v>0</v>
      </c>
      <c r="AM468" s="96">
        <f>IF(R468=0,0,IF(K468="Sim",0,IF(OR(AND(AA468&gt;0,ISNUMBER(I468),ABS(I468-N(L468))&gt;cfg_tol),AL468=1),1,0)))</f>
        <v>0</v>
      </c>
      <c r="AN468" s="96">
        <f>IF(AND(R468=1,N(M468)&gt;0,OR(N(M468)&gt;=AK468-cfg_tol,K468="Sim")),1,0)</f>
        <v>0</v>
      </c>
      <c r="AO468" s="96">
        <f>IF(AND(AN468=1,AD468&gt;0,AE468=AD468,AL468=0),1,0)</f>
        <v>0</v>
      </c>
      <c r="AP468" s="96">
        <f>IF(U468=0,0,IF(AND(INDEX('MTRs'!$AX$6:$AX$505,T468)=1,Z468=0,OR(f_res="",f_res="(Todos)",C468=f_res)),1,0))</f>
        <v>0</v>
      </c>
      <c r="AQ468" s="97" t="str">
        <f>IF(U468=0,"",INDEX('MTRs'!$AZ$6:$AZ$505,T468))</f>
        <v/>
      </c>
      <c r="AR468" s="96">
        <f>IF(U468=0,0,IF(AND(INDEX('MTRs'!$BA$6:$BA$505,T468)=1,Z468=0),1,0))</f>
        <v>0</v>
      </c>
      <c r="AS468" s="96" t="str">
        <f>IF(R468=1,A468&amp;" | MTR "&amp;IF(U468=1,INDEX('MTRs'!$B$6:$B$505,T468)&amp;"","?")&amp;" | "&amp;IF(C468="","(sem resíduo)",C468),"")</f>
        <v/>
      </c>
      <c r="AT468" s="96" t="str">
        <f>IF(R468=1,COUNTIF($R$6:R468,1),"")</f>
        <v/>
      </c>
      <c r="AU468" s="96" t="str">
        <f>IF(U468=1,INDEX('MTRs'!$I$6:$I$505,T468)&amp;"","")</f>
        <v/>
      </c>
    </row>
    <row r="469">
      <c r="A469" s="89" t="inlineStr">
        <is>
          <t>IT-000464</t>
        </is>
      </c>
      <c r="B469" s="91" t="n"/>
      <c r="C469" s="91" t="n"/>
      <c r="D469" s="94" t="str">
        <f>IF(OR(R469=0,V469=0),"",INDEX('CAD_RESÍDUOS'!$E$6:$E$205,MATCH(C469,'CAD_RESÍDUOS'!$B$6:$B$205,0))&amp;"")</f>
        <v/>
      </c>
      <c r="E469" s="94" t="str">
        <f>IF(OR(R469=0,V469=0),"",INDEX('CAD_RESÍDUOS'!$C$6:$C$205,MATCH(C469,'CAD_RESÍDUOS'!$B$6:$B$205,0))&amp;"")</f>
        <v/>
      </c>
      <c r="F469" s="94" t="str">
        <f>IF(OR(R469=0,V469=0),"",INDEX('CAD_RESÍDUOS'!$G$6:$G$205,MATCH(C469,'CAD_RESÍDUOS'!$B$6:$B$205,0))&amp;"")</f>
        <v/>
      </c>
      <c r="G469" s="98" t="n"/>
      <c r="H469" s="91" t="n"/>
      <c r="I469" s="93" t="str">
        <f>IF(R469=0,"",IF(NOT(ISNUMBER(G469)),"",IF(ISNUMBER(X469),G469*X469,"UNIDADE A CONFERIR")))</f>
        <v/>
      </c>
      <c r="J469" s="91" t="n"/>
      <c r="K469" s="91" t="n"/>
      <c r="L469" s="93" t="str">
        <f>IF(R469=0,"",SUMIFS('RECEBIMENTOS'!$H$6:$H$1005,'RECEBIMENTOS'!$R$6:$R$1005,A469,'RECEBIMENTOS'!$X$6:$X$1005,1))</f>
        <v/>
      </c>
      <c r="M469" s="93" t="str">
        <f>IF(R469=0,"",SUMIFS('VÍNCULOS_CDF'!$H$6:$H$1005,'VÍNCULOS_CDF'!$R$6:$R$1005,A469,'VÍNCULOS_CDF'!$V$6:$V$1005,1))</f>
        <v/>
      </c>
      <c r="N469" s="99" t="str">
        <f>IF(OR(R469=0,AA469=0,NOT(ISNUMBER(I469))),"",I469-N(L469))</f>
        <v/>
      </c>
      <c r="O469" s="100" t="str">
        <f>IF(OR(R469=0,AK469&lt;=0),"",N(M469)/AK469)</f>
        <v/>
      </c>
      <c r="P469" s="94" t="str">
        <f>IF(R469=0,"",IF(S469="","Sem MTR associado",IF(U469=0,"MTR inexistente",IF(C469="","Resíduo não identificado",IF(V469=0,"Resíduo fora do cadastro",IF(W469=0,"Quantidade inválida",IF(H469="","Unidade não informada",IF(NOT(ISNUMBER(I469)),"Unidade a conferir",IF(AND(AH469=1,K469&lt;&gt;"Sim"),"Possível duplicidade",IF(Z469=1,"MTR cancelado",IF(AC469&gt;0,"Recebimento com alerta",IF(AA469=0,"Aguardando recebimento",IF(AB469&lt;AA469,"Recebimento a conferir",IF(AM469=1,"Quantidade a revisar",IF(AF469&gt;0,"Vínculo a revisar",IF(AD469=0,"Aguardando CDF",IF(AN469=0,"Vínculo de CDF parcial",IF(AE469&lt;AD469,"CDF a conferir","Documentação conferida"))))))))))))))))))</f>
        <v/>
      </c>
      <c r="Q469" s="93" t="str">
        <f>IF(OR(R469=0,AA469=0),"",MAX(0,N(L469)-N(M469)))</f>
        <v/>
      </c>
      <c r="R469" s="96">
        <f>IF(COUNTA(B469:C469,G469:H469,J469:K469)&gt;0,1,0)</f>
        <v>0</v>
      </c>
      <c r="S469" s="96" t="str">
        <f>IF(B469="","",TRIM(LEFT(B469,FIND(" |",B469&amp;" |")-1)))</f>
        <v/>
      </c>
      <c r="T469" s="96" t="str">
        <f>IF(S469="","",IFERROR(MATCH(S469,'MTRs'!$A$6:$A$505,0),""))</f>
        <v/>
      </c>
      <c r="U469" s="96">
        <f>IF(T469="",0,IF(INDEX('MTRs'!$Z$6:$Z$505,T469)=1,1,0))</f>
        <v>0</v>
      </c>
      <c r="V469" s="96">
        <f>IF(C469="",0,IF(ISNUMBER(MATCH(C469,'CAD_RESÍDUOS'!$B$6:$B$205,0)),1,0))</f>
        <v>0</v>
      </c>
      <c r="W469" s="96">
        <f>IF(AND(ISNUMBER(G469),G469&gt;0),1,0)</f>
        <v>0</v>
      </c>
      <c r="X469" s="96" t="str">
        <f>IF(H469="","",IFERROR(IF(ISNUMBER(INDEX(cfg_fac,MATCH(H469,cfg_units,0))),IF(INDEX(cfg_fac,MATCH(H469,cfg_units,0))&gt;0,INDEX(cfg_fac,MATCH(H469,cfg_units,0)),""),""),""))</f>
        <v/>
      </c>
      <c r="Y469" s="96">
        <f>IF(AND(W469=1,ISNUMBER(I469)),1,0)</f>
        <v>0</v>
      </c>
      <c r="Z469" s="96">
        <f>IF(U469=1,INDEX('MTRs'!$AA$6:$AA$505,T469),0)</f>
        <v>0</v>
      </c>
      <c r="AA469" s="96">
        <f>IF(R469=0,0,COUNTIFS('RECEBIMENTOS'!$R$6:$R$1005,A469,'RECEBIMENTOS'!$Q$6:$Q$1005,1))</f>
        <v>0</v>
      </c>
      <c r="AB469" s="96">
        <f>IF(R469=0,0,COUNTIFS('RECEBIMENTOS'!$R$6:$R$1005,A469,'RECEBIMENTOS'!$Z$6:$Z$1005,1))</f>
        <v>0</v>
      </c>
      <c r="AC469" s="96">
        <f>IF(R469=0,0,COUNTIFS('RECEBIMENTOS'!$R$6:$R$1005,A469,'RECEBIMENTOS'!$Y$6:$Y$1005,1))</f>
        <v>0</v>
      </c>
      <c r="AD469" s="96">
        <f>IF(R469=0,0,COUNTIFS('VÍNCULOS_CDF'!$R$6:$R$1005,A469,'VÍNCULOS_CDF'!$N$6:$N$1005,1))</f>
        <v>0</v>
      </c>
      <c r="AE469" s="96">
        <f>IF(R469=0,0,COUNTIFS('VÍNCULOS_CDF'!$R$6:$R$1005,A469,'VÍNCULOS_CDF'!$AA$6:$AA$1005,1))</f>
        <v>0</v>
      </c>
      <c r="AF469" s="96">
        <f>IF(R469=0,0,COUNTIFS('VÍNCULOS_CDF'!$R$6:$R$1005,A469,'VÍNCULOS_CDF'!$Y$6:$Y$1005,1))</f>
        <v>0</v>
      </c>
      <c r="AG469" s="96" t="str">
        <f>IF(AND(R469=1,S469&lt;&gt;"",C469&lt;&gt;""),S469&amp;"|"&amp;C469&amp;"|"&amp;G469&amp;"|"&amp;H469,"")</f>
        <v/>
      </c>
      <c r="AH469" s="96">
        <f>IF(AG469="",0,IF(SUMPRODUCT(--($AG$6:$AG$1005=AG469))&gt;1,1,0))</f>
        <v>0</v>
      </c>
      <c r="AI469" s="96">
        <f>IF(R469=0,0,IF(OR(U469=0,V469=0,Y469=0,AND(AH469=1,K469&lt;&gt;"Sim")),1,0))</f>
        <v>0</v>
      </c>
      <c r="AJ469" s="96">
        <f>IF(AND(R469=1,AA469&gt;0,AB469=AA469),1,0)</f>
        <v>0</v>
      </c>
      <c r="AK469" s="96">
        <f>IF(R469=0,0,IF(AA469&gt;0,N(L469),IF(ISNUMBER(I469),I469,0)))</f>
        <v>0</v>
      </c>
      <c r="AL469" s="96">
        <f>IF(R469=0,0,IF(AND(K469&lt;&gt;"Sim",N(M469)&gt;AK469+cfg_tol),1,0))</f>
        <v>0</v>
      </c>
      <c r="AM469" s="96">
        <f>IF(R469=0,0,IF(K469="Sim",0,IF(OR(AND(AA469&gt;0,ISNUMBER(I469),ABS(I469-N(L469))&gt;cfg_tol),AL469=1),1,0)))</f>
        <v>0</v>
      </c>
      <c r="AN469" s="96">
        <f>IF(AND(R469=1,N(M469)&gt;0,OR(N(M469)&gt;=AK469-cfg_tol,K469="Sim")),1,0)</f>
        <v>0</v>
      </c>
      <c r="AO469" s="96">
        <f>IF(AND(AN469=1,AD469&gt;0,AE469=AD469,AL469=0),1,0)</f>
        <v>0</v>
      </c>
      <c r="AP469" s="96">
        <f>IF(U469=0,0,IF(AND(INDEX('MTRs'!$AX$6:$AX$505,T469)=1,Z469=0,OR(f_res="",f_res="(Todos)",C469=f_res)),1,0))</f>
        <v>0</v>
      </c>
      <c r="AQ469" s="97" t="str">
        <f>IF(U469=0,"",INDEX('MTRs'!$AZ$6:$AZ$505,T469))</f>
        <v/>
      </c>
      <c r="AR469" s="96">
        <f>IF(U469=0,0,IF(AND(INDEX('MTRs'!$BA$6:$BA$505,T469)=1,Z469=0),1,0))</f>
        <v>0</v>
      </c>
      <c r="AS469" s="96" t="str">
        <f>IF(R469=1,A469&amp;" | MTR "&amp;IF(U469=1,INDEX('MTRs'!$B$6:$B$505,T469)&amp;"","?")&amp;" | "&amp;IF(C469="","(sem resíduo)",C469),"")</f>
        <v/>
      </c>
      <c r="AT469" s="96" t="str">
        <f>IF(R469=1,COUNTIF($R$6:R469,1),"")</f>
        <v/>
      </c>
      <c r="AU469" s="96" t="str">
        <f>IF(U469=1,INDEX('MTRs'!$I$6:$I$505,T469)&amp;"","")</f>
        <v/>
      </c>
    </row>
    <row r="470">
      <c r="A470" s="89" t="inlineStr">
        <is>
          <t>IT-000465</t>
        </is>
      </c>
      <c r="B470" s="91" t="n"/>
      <c r="C470" s="91" t="n"/>
      <c r="D470" s="94" t="str">
        <f>IF(OR(R470=0,V470=0),"",INDEX('CAD_RESÍDUOS'!$E$6:$E$205,MATCH(C470,'CAD_RESÍDUOS'!$B$6:$B$205,0))&amp;"")</f>
        <v/>
      </c>
      <c r="E470" s="94" t="str">
        <f>IF(OR(R470=0,V470=0),"",INDEX('CAD_RESÍDUOS'!$C$6:$C$205,MATCH(C470,'CAD_RESÍDUOS'!$B$6:$B$205,0))&amp;"")</f>
        <v/>
      </c>
      <c r="F470" s="94" t="str">
        <f>IF(OR(R470=0,V470=0),"",INDEX('CAD_RESÍDUOS'!$G$6:$G$205,MATCH(C470,'CAD_RESÍDUOS'!$B$6:$B$205,0))&amp;"")</f>
        <v/>
      </c>
      <c r="G470" s="98" t="n"/>
      <c r="H470" s="91" t="n"/>
      <c r="I470" s="93" t="str">
        <f>IF(R470=0,"",IF(NOT(ISNUMBER(G470)),"",IF(ISNUMBER(X470),G470*X470,"UNIDADE A CONFERIR")))</f>
        <v/>
      </c>
      <c r="J470" s="91" t="n"/>
      <c r="K470" s="91" t="n"/>
      <c r="L470" s="93" t="str">
        <f>IF(R470=0,"",SUMIFS('RECEBIMENTOS'!$H$6:$H$1005,'RECEBIMENTOS'!$R$6:$R$1005,A470,'RECEBIMENTOS'!$X$6:$X$1005,1))</f>
        <v/>
      </c>
      <c r="M470" s="93" t="str">
        <f>IF(R470=0,"",SUMIFS('VÍNCULOS_CDF'!$H$6:$H$1005,'VÍNCULOS_CDF'!$R$6:$R$1005,A470,'VÍNCULOS_CDF'!$V$6:$V$1005,1))</f>
        <v/>
      </c>
      <c r="N470" s="99" t="str">
        <f>IF(OR(R470=0,AA470=0,NOT(ISNUMBER(I470))),"",I470-N(L470))</f>
        <v/>
      </c>
      <c r="O470" s="100" t="str">
        <f>IF(OR(R470=0,AK470&lt;=0),"",N(M470)/AK470)</f>
        <v/>
      </c>
      <c r="P470" s="94" t="str">
        <f>IF(R470=0,"",IF(S470="","Sem MTR associado",IF(U470=0,"MTR inexistente",IF(C470="","Resíduo não identificado",IF(V470=0,"Resíduo fora do cadastro",IF(W470=0,"Quantidade inválida",IF(H470="","Unidade não informada",IF(NOT(ISNUMBER(I470)),"Unidade a conferir",IF(AND(AH470=1,K470&lt;&gt;"Sim"),"Possível duplicidade",IF(Z470=1,"MTR cancelado",IF(AC470&gt;0,"Recebimento com alerta",IF(AA470=0,"Aguardando recebimento",IF(AB470&lt;AA470,"Recebimento a conferir",IF(AM470=1,"Quantidade a revisar",IF(AF470&gt;0,"Vínculo a revisar",IF(AD470=0,"Aguardando CDF",IF(AN470=0,"Vínculo de CDF parcial",IF(AE470&lt;AD470,"CDF a conferir","Documentação conferida"))))))))))))))))))</f>
        <v/>
      </c>
      <c r="Q470" s="93" t="str">
        <f>IF(OR(R470=0,AA470=0),"",MAX(0,N(L470)-N(M470)))</f>
        <v/>
      </c>
      <c r="R470" s="96">
        <f>IF(COUNTA(B470:C470,G470:H470,J470:K470)&gt;0,1,0)</f>
        <v>0</v>
      </c>
      <c r="S470" s="96" t="str">
        <f>IF(B470="","",TRIM(LEFT(B470,FIND(" |",B470&amp;" |")-1)))</f>
        <v/>
      </c>
      <c r="T470" s="96" t="str">
        <f>IF(S470="","",IFERROR(MATCH(S470,'MTRs'!$A$6:$A$505,0),""))</f>
        <v/>
      </c>
      <c r="U470" s="96">
        <f>IF(T470="",0,IF(INDEX('MTRs'!$Z$6:$Z$505,T470)=1,1,0))</f>
        <v>0</v>
      </c>
      <c r="V470" s="96">
        <f>IF(C470="",0,IF(ISNUMBER(MATCH(C470,'CAD_RESÍDUOS'!$B$6:$B$205,0)),1,0))</f>
        <v>0</v>
      </c>
      <c r="W470" s="96">
        <f>IF(AND(ISNUMBER(G470),G470&gt;0),1,0)</f>
        <v>0</v>
      </c>
      <c r="X470" s="96" t="str">
        <f>IF(H470="","",IFERROR(IF(ISNUMBER(INDEX(cfg_fac,MATCH(H470,cfg_units,0))),IF(INDEX(cfg_fac,MATCH(H470,cfg_units,0))&gt;0,INDEX(cfg_fac,MATCH(H470,cfg_units,0)),""),""),""))</f>
        <v/>
      </c>
      <c r="Y470" s="96">
        <f>IF(AND(W470=1,ISNUMBER(I470)),1,0)</f>
        <v>0</v>
      </c>
      <c r="Z470" s="96">
        <f>IF(U470=1,INDEX('MTRs'!$AA$6:$AA$505,T470),0)</f>
        <v>0</v>
      </c>
      <c r="AA470" s="96">
        <f>IF(R470=0,0,COUNTIFS('RECEBIMENTOS'!$R$6:$R$1005,A470,'RECEBIMENTOS'!$Q$6:$Q$1005,1))</f>
        <v>0</v>
      </c>
      <c r="AB470" s="96">
        <f>IF(R470=0,0,COUNTIFS('RECEBIMENTOS'!$R$6:$R$1005,A470,'RECEBIMENTOS'!$Z$6:$Z$1005,1))</f>
        <v>0</v>
      </c>
      <c r="AC470" s="96">
        <f>IF(R470=0,0,COUNTIFS('RECEBIMENTOS'!$R$6:$R$1005,A470,'RECEBIMENTOS'!$Y$6:$Y$1005,1))</f>
        <v>0</v>
      </c>
      <c r="AD470" s="96">
        <f>IF(R470=0,0,COUNTIFS('VÍNCULOS_CDF'!$R$6:$R$1005,A470,'VÍNCULOS_CDF'!$N$6:$N$1005,1))</f>
        <v>0</v>
      </c>
      <c r="AE470" s="96">
        <f>IF(R470=0,0,COUNTIFS('VÍNCULOS_CDF'!$R$6:$R$1005,A470,'VÍNCULOS_CDF'!$AA$6:$AA$1005,1))</f>
        <v>0</v>
      </c>
      <c r="AF470" s="96">
        <f>IF(R470=0,0,COUNTIFS('VÍNCULOS_CDF'!$R$6:$R$1005,A470,'VÍNCULOS_CDF'!$Y$6:$Y$1005,1))</f>
        <v>0</v>
      </c>
      <c r="AG470" s="96" t="str">
        <f>IF(AND(R470=1,S470&lt;&gt;"",C470&lt;&gt;""),S470&amp;"|"&amp;C470&amp;"|"&amp;G470&amp;"|"&amp;H470,"")</f>
        <v/>
      </c>
      <c r="AH470" s="96">
        <f>IF(AG470="",0,IF(SUMPRODUCT(--($AG$6:$AG$1005=AG470))&gt;1,1,0))</f>
        <v>0</v>
      </c>
      <c r="AI470" s="96">
        <f>IF(R470=0,0,IF(OR(U470=0,V470=0,Y470=0,AND(AH470=1,K470&lt;&gt;"Sim")),1,0))</f>
        <v>0</v>
      </c>
      <c r="AJ470" s="96">
        <f>IF(AND(R470=1,AA470&gt;0,AB470=AA470),1,0)</f>
        <v>0</v>
      </c>
      <c r="AK470" s="96">
        <f>IF(R470=0,0,IF(AA470&gt;0,N(L470),IF(ISNUMBER(I470),I470,0)))</f>
        <v>0</v>
      </c>
      <c r="AL470" s="96">
        <f>IF(R470=0,0,IF(AND(K470&lt;&gt;"Sim",N(M470)&gt;AK470+cfg_tol),1,0))</f>
        <v>0</v>
      </c>
      <c r="AM470" s="96">
        <f>IF(R470=0,0,IF(K470="Sim",0,IF(OR(AND(AA470&gt;0,ISNUMBER(I470),ABS(I470-N(L470))&gt;cfg_tol),AL470=1),1,0)))</f>
        <v>0</v>
      </c>
      <c r="AN470" s="96">
        <f>IF(AND(R470=1,N(M470)&gt;0,OR(N(M470)&gt;=AK470-cfg_tol,K470="Sim")),1,0)</f>
        <v>0</v>
      </c>
      <c r="AO470" s="96">
        <f>IF(AND(AN470=1,AD470&gt;0,AE470=AD470,AL470=0),1,0)</f>
        <v>0</v>
      </c>
      <c r="AP470" s="96">
        <f>IF(U470=0,0,IF(AND(INDEX('MTRs'!$AX$6:$AX$505,T470)=1,Z470=0,OR(f_res="",f_res="(Todos)",C470=f_res)),1,0))</f>
        <v>0</v>
      </c>
      <c r="AQ470" s="97" t="str">
        <f>IF(U470=0,"",INDEX('MTRs'!$AZ$6:$AZ$505,T470))</f>
        <v/>
      </c>
      <c r="AR470" s="96">
        <f>IF(U470=0,0,IF(AND(INDEX('MTRs'!$BA$6:$BA$505,T470)=1,Z470=0),1,0))</f>
        <v>0</v>
      </c>
      <c r="AS470" s="96" t="str">
        <f>IF(R470=1,A470&amp;" | MTR "&amp;IF(U470=1,INDEX('MTRs'!$B$6:$B$505,T470)&amp;"","?")&amp;" | "&amp;IF(C470="","(sem resíduo)",C470),"")</f>
        <v/>
      </c>
      <c r="AT470" s="96" t="str">
        <f>IF(R470=1,COUNTIF($R$6:R470,1),"")</f>
        <v/>
      </c>
      <c r="AU470" s="96" t="str">
        <f>IF(U470=1,INDEX('MTRs'!$I$6:$I$505,T470)&amp;"","")</f>
        <v/>
      </c>
    </row>
    <row r="471">
      <c r="A471" s="89" t="inlineStr">
        <is>
          <t>IT-000466</t>
        </is>
      </c>
      <c r="B471" s="91" t="n"/>
      <c r="C471" s="91" t="n"/>
      <c r="D471" s="94" t="str">
        <f>IF(OR(R471=0,V471=0),"",INDEX('CAD_RESÍDUOS'!$E$6:$E$205,MATCH(C471,'CAD_RESÍDUOS'!$B$6:$B$205,0))&amp;"")</f>
        <v/>
      </c>
      <c r="E471" s="94" t="str">
        <f>IF(OR(R471=0,V471=0),"",INDEX('CAD_RESÍDUOS'!$C$6:$C$205,MATCH(C471,'CAD_RESÍDUOS'!$B$6:$B$205,0))&amp;"")</f>
        <v/>
      </c>
      <c r="F471" s="94" t="str">
        <f>IF(OR(R471=0,V471=0),"",INDEX('CAD_RESÍDUOS'!$G$6:$G$205,MATCH(C471,'CAD_RESÍDUOS'!$B$6:$B$205,0))&amp;"")</f>
        <v/>
      </c>
      <c r="G471" s="98" t="n"/>
      <c r="H471" s="91" t="n"/>
      <c r="I471" s="93" t="str">
        <f>IF(R471=0,"",IF(NOT(ISNUMBER(G471)),"",IF(ISNUMBER(X471),G471*X471,"UNIDADE A CONFERIR")))</f>
        <v/>
      </c>
      <c r="J471" s="91" t="n"/>
      <c r="K471" s="91" t="n"/>
      <c r="L471" s="93" t="str">
        <f>IF(R471=0,"",SUMIFS('RECEBIMENTOS'!$H$6:$H$1005,'RECEBIMENTOS'!$R$6:$R$1005,A471,'RECEBIMENTOS'!$X$6:$X$1005,1))</f>
        <v/>
      </c>
      <c r="M471" s="93" t="str">
        <f>IF(R471=0,"",SUMIFS('VÍNCULOS_CDF'!$H$6:$H$1005,'VÍNCULOS_CDF'!$R$6:$R$1005,A471,'VÍNCULOS_CDF'!$V$6:$V$1005,1))</f>
        <v/>
      </c>
      <c r="N471" s="99" t="str">
        <f>IF(OR(R471=0,AA471=0,NOT(ISNUMBER(I471))),"",I471-N(L471))</f>
        <v/>
      </c>
      <c r="O471" s="100" t="str">
        <f>IF(OR(R471=0,AK471&lt;=0),"",N(M471)/AK471)</f>
        <v/>
      </c>
      <c r="P471" s="94" t="str">
        <f>IF(R471=0,"",IF(S471="","Sem MTR associado",IF(U471=0,"MTR inexistente",IF(C471="","Resíduo não identificado",IF(V471=0,"Resíduo fora do cadastro",IF(W471=0,"Quantidade inválida",IF(H471="","Unidade não informada",IF(NOT(ISNUMBER(I471)),"Unidade a conferir",IF(AND(AH471=1,K471&lt;&gt;"Sim"),"Possível duplicidade",IF(Z471=1,"MTR cancelado",IF(AC471&gt;0,"Recebimento com alerta",IF(AA471=0,"Aguardando recebimento",IF(AB471&lt;AA471,"Recebimento a conferir",IF(AM471=1,"Quantidade a revisar",IF(AF471&gt;0,"Vínculo a revisar",IF(AD471=0,"Aguardando CDF",IF(AN471=0,"Vínculo de CDF parcial",IF(AE471&lt;AD471,"CDF a conferir","Documentação conferida"))))))))))))))))))</f>
        <v/>
      </c>
      <c r="Q471" s="93" t="str">
        <f>IF(OR(R471=0,AA471=0),"",MAX(0,N(L471)-N(M471)))</f>
        <v/>
      </c>
      <c r="R471" s="96">
        <f>IF(COUNTA(B471:C471,G471:H471,J471:K471)&gt;0,1,0)</f>
        <v>0</v>
      </c>
      <c r="S471" s="96" t="str">
        <f>IF(B471="","",TRIM(LEFT(B471,FIND(" |",B471&amp;" |")-1)))</f>
        <v/>
      </c>
      <c r="T471" s="96" t="str">
        <f>IF(S471="","",IFERROR(MATCH(S471,'MTRs'!$A$6:$A$505,0),""))</f>
        <v/>
      </c>
      <c r="U471" s="96">
        <f>IF(T471="",0,IF(INDEX('MTRs'!$Z$6:$Z$505,T471)=1,1,0))</f>
        <v>0</v>
      </c>
      <c r="V471" s="96">
        <f>IF(C471="",0,IF(ISNUMBER(MATCH(C471,'CAD_RESÍDUOS'!$B$6:$B$205,0)),1,0))</f>
        <v>0</v>
      </c>
      <c r="W471" s="96">
        <f>IF(AND(ISNUMBER(G471),G471&gt;0),1,0)</f>
        <v>0</v>
      </c>
      <c r="X471" s="96" t="str">
        <f>IF(H471="","",IFERROR(IF(ISNUMBER(INDEX(cfg_fac,MATCH(H471,cfg_units,0))),IF(INDEX(cfg_fac,MATCH(H471,cfg_units,0))&gt;0,INDEX(cfg_fac,MATCH(H471,cfg_units,0)),""),""),""))</f>
        <v/>
      </c>
      <c r="Y471" s="96">
        <f>IF(AND(W471=1,ISNUMBER(I471)),1,0)</f>
        <v>0</v>
      </c>
      <c r="Z471" s="96">
        <f>IF(U471=1,INDEX('MTRs'!$AA$6:$AA$505,T471),0)</f>
        <v>0</v>
      </c>
      <c r="AA471" s="96">
        <f>IF(R471=0,0,COUNTIFS('RECEBIMENTOS'!$R$6:$R$1005,A471,'RECEBIMENTOS'!$Q$6:$Q$1005,1))</f>
        <v>0</v>
      </c>
      <c r="AB471" s="96">
        <f>IF(R471=0,0,COUNTIFS('RECEBIMENTOS'!$R$6:$R$1005,A471,'RECEBIMENTOS'!$Z$6:$Z$1005,1))</f>
        <v>0</v>
      </c>
      <c r="AC471" s="96">
        <f>IF(R471=0,0,COUNTIFS('RECEBIMENTOS'!$R$6:$R$1005,A471,'RECEBIMENTOS'!$Y$6:$Y$1005,1))</f>
        <v>0</v>
      </c>
      <c r="AD471" s="96">
        <f>IF(R471=0,0,COUNTIFS('VÍNCULOS_CDF'!$R$6:$R$1005,A471,'VÍNCULOS_CDF'!$N$6:$N$1005,1))</f>
        <v>0</v>
      </c>
      <c r="AE471" s="96">
        <f>IF(R471=0,0,COUNTIFS('VÍNCULOS_CDF'!$R$6:$R$1005,A471,'VÍNCULOS_CDF'!$AA$6:$AA$1005,1))</f>
        <v>0</v>
      </c>
      <c r="AF471" s="96">
        <f>IF(R471=0,0,COUNTIFS('VÍNCULOS_CDF'!$R$6:$R$1005,A471,'VÍNCULOS_CDF'!$Y$6:$Y$1005,1))</f>
        <v>0</v>
      </c>
      <c r="AG471" s="96" t="str">
        <f>IF(AND(R471=1,S471&lt;&gt;"",C471&lt;&gt;""),S471&amp;"|"&amp;C471&amp;"|"&amp;G471&amp;"|"&amp;H471,"")</f>
        <v/>
      </c>
      <c r="AH471" s="96">
        <f>IF(AG471="",0,IF(SUMPRODUCT(--($AG$6:$AG$1005=AG471))&gt;1,1,0))</f>
        <v>0</v>
      </c>
      <c r="AI471" s="96">
        <f>IF(R471=0,0,IF(OR(U471=0,V471=0,Y471=0,AND(AH471=1,K471&lt;&gt;"Sim")),1,0))</f>
        <v>0</v>
      </c>
      <c r="AJ471" s="96">
        <f>IF(AND(R471=1,AA471&gt;0,AB471=AA471),1,0)</f>
        <v>0</v>
      </c>
      <c r="AK471" s="96">
        <f>IF(R471=0,0,IF(AA471&gt;0,N(L471),IF(ISNUMBER(I471),I471,0)))</f>
        <v>0</v>
      </c>
      <c r="AL471" s="96">
        <f>IF(R471=0,0,IF(AND(K471&lt;&gt;"Sim",N(M471)&gt;AK471+cfg_tol),1,0))</f>
        <v>0</v>
      </c>
      <c r="AM471" s="96">
        <f>IF(R471=0,0,IF(K471="Sim",0,IF(OR(AND(AA471&gt;0,ISNUMBER(I471),ABS(I471-N(L471))&gt;cfg_tol),AL471=1),1,0)))</f>
        <v>0</v>
      </c>
      <c r="AN471" s="96">
        <f>IF(AND(R471=1,N(M471)&gt;0,OR(N(M471)&gt;=AK471-cfg_tol,K471="Sim")),1,0)</f>
        <v>0</v>
      </c>
      <c r="AO471" s="96">
        <f>IF(AND(AN471=1,AD471&gt;0,AE471=AD471,AL471=0),1,0)</f>
        <v>0</v>
      </c>
      <c r="AP471" s="96">
        <f>IF(U471=0,0,IF(AND(INDEX('MTRs'!$AX$6:$AX$505,T471)=1,Z471=0,OR(f_res="",f_res="(Todos)",C471=f_res)),1,0))</f>
        <v>0</v>
      </c>
      <c r="AQ471" s="97" t="str">
        <f>IF(U471=0,"",INDEX('MTRs'!$AZ$6:$AZ$505,T471))</f>
        <v/>
      </c>
      <c r="AR471" s="96">
        <f>IF(U471=0,0,IF(AND(INDEX('MTRs'!$BA$6:$BA$505,T471)=1,Z471=0),1,0))</f>
        <v>0</v>
      </c>
      <c r="AS471" s="96" t="str">
        <f>IF(R471=1,A471&amp;" | MTR "&amp;IF(U471=1,INDEX('MTRs'!$B$6:$B$505,T471)&amp;"","?")&amp;" | "&amp;IF(C471="","(sem resíduo)",C471),"")</f>
        <v/>
      </c>
      <c r="AT471" s="96" t="str">
        <f>IF(R471=1,COUNTIF($R$6:R471,1),"")</f>
        <v/>
      </c>
      <c r="AU471" s="96" t="str">
        <f>IF(U471=1,INDEX('MTRs'!$I$6:$I$505,T471)&amp;"","")</f>
        <v/>
      </c>
    </row>
    <row r="472">
      <c r="A472" s="89" t="inlineStr">
        <is>
          <t>IT-000467</t>
        </is>
      </c>
      <c r="B472" s="91" t="n"/>
      <c r="C472" s="91" t="n"/>
      <c r="D472" s="94" t="str">
        <f>IF(OR(R472=0,V472=0),"",INDEX('CAD_RESÍDUOS'!$E$6:$E$205,MATCH(C472,'CAD_RESÍDUOS'!$B$6:$B$205,0))&amp;"")</f>
        <v/>
      </c>
      <c r="E472" s="94" t="str">
        <f>IF(OR(R472=0,V472=0),"",INDEX('CAD_RESÍDUOS'!$C$6:$C$205,MATCH(C472,'CAD_RESÍDUOS'!$B$6:$B$205,0))&amp;"")</f>
        <v/>
      </c>
      <c r="F472" s="94" t="str">
        <f>IF(OR(R472=0,V472=0),"",INDEX('CAD_RESÍDUOS'!$G$6:$G$205,MATCH(C472,'CAD_RESÍDUOS'!$B$6:$B$205,0))&amp;"")</f>
        <v/>
      </c>
      <c r="G472" s="98" t="n"/>
      <c r="H472" s="91" t="n"/>
      <c r="I472" s="93" t="str">
        <f>IF(R472=0,"",IF(NOT(ISNUMBER(G472)),"",IF(ISNUMBER(X472),G472*X472,"UNIDADE A CONFERIR")))</f>
        <v/>
      </c>
      <c r="J472" s="91" t="n"/>
      <c r="K472" s="91" t="n"/>
      <c r="L472" s="93" t="str">
        <f>IF(R472=0,"",SUMIFS('RECEBIMENTOS'!$H$6:$H$1005,'RECEBIMENTOS'!$R$6:$R$1005,A472,'RECEBIMENTOS'!$X$6:$X$1005,1))</f>
        <v/>
      </c>
      <c r="M472" s="93" t="str">
        <f>IF(R472=0,"",SUMIFS('VÍNCULOS_CDF'!$H$6:$H$1005,'VÍNCULOS_CDF'!$R$6:$R$1005,A472,'VÍNCULOS_CDF'!$V$6:$V$1005,1))</f>
        <v/>
      </c>
      <c r="N472" s="99" t="str">
        <f>IF(OR(R472=0,AA472=0,NOT(ISNUMBER(I472))),"",I472-N(L472))</f>
        <v/>
      </c>
      <c r="O472" s="100" t="str">
        <f>IF(OR(R472=0,AK472&lt;=0),"",N(M472)/AK472)</f>
        <v/>
      </c>
      <c r="P472" s="94" t="str">
        <f>IF(R472=0,"",IF(S472="","Sem MTR associado",IF(U472=0,"MTR inexistente",IF(C472="","Resíduo não identificado",IF(V472=0,"Resíduo fora do cadastro",IF(W472=0,"Quantidade inválida",IF(H472="","Unidade não informada",IF(NOT(ISNUMBER(I472)),"Unidade a conferir",IF(AND(AH472=1,K472&lt;&gt;"Sim"),"Possível duplicidade",IF(Z472=1,"MTR cancelado",IF(AC472&gt;0,"Recebimento com alerta",IF(AA472=0,"Aguardando recebimento",IF(AB472&lt;AA472,"Recebimento a conferir",IF(AM472=1,"Quantidade a revisar",IF(AF472&gt;0,"Vínculo a revisar",IF(AD472=0,"Aguardando CDF",IF(AN472=0,"Vínculo de CDF parcial",IF(AE472&lt;AD472,"CDF a conferir","Documentação conferida"))))))))))))))))))</f>
        <v/>
      </c>
      <c r="Q472" s="93" t="str">
        <f>IF(OR(R472=0,AA472=0),"",MAX(0,N(L472)-N(M472)))</f>
        <v/>
      </c>
      <c r="R472" s="96">
        <f>IF(COUNTA(B472:C472,G472:H472,J472:K472)&gt;0,1,0)</f>
        <v>0</v>
      </c>
      <c r="S472" s="96" t="str">
        <f>IF(B472="","",TRIM(LEFT(B472,FIND(" |",B472&amp;" |")-1)))</f>
        <v/>
      </c>
      <c r="T472" s="96" t="str">
        <f>IF(S472="","",IFERROR(MATCH(S472,'MTRs'!$A$6:$A$505,0),""))</f>
        <v/>
      </c>
      <c r="U472" s="96">
        <f>IF(T472="",0,IF(INDEX('MTRs'!$Z$6:$Z$505,T472)=1,1,0))</f>
        <v>0</v>
      </c>
      <c r="V472" s="96">
        <f>IF(C472="",0,IF(ISNUMBER(MATCH(C472,'CAD_RESÍDUOS'!$B$6:$B$205,0)),1,0))</f>
        <v>0</v>
      </c>
      <c r="W472" s="96">
        <f>IF(AND(ISNUMBER(G472),G472&gt;0),1,0)</f>
        <v>0</v>
      </c>
      <c r="X472" s="96" t="str">
        <f>IF(H472="","",IFERROR(IF(ISNUMBER(INDEX(cfg_fac,MATCH(H472,cfg_units,0))),IF(INDEX(cfg_fac,MATCH(H472,cfg_units,0))&gt;0,INDEX(cfg_fac,MATCH(H472,cfg_units,0)),""),""),""))</f>
        <v/>
      </c>
      <c r="Y472" s="96">
        <f>IF(AND(W472=1,ISNUMBER(I472)),1,0)</f>
        <v>0</v>
      </c>
      <c r="Z472" s="96">
        <f>IF(U472=1,INDEX('MTRs'!$AA$6:$AA$505,T472),0)</f>
        <v>0</v>
      </c>
      <c r="AA472" s="96">
        <f>IF(R472=0,0,COUNTIFS('RECEBIMENTOS'!$R$6:$R$1005,A472,'RECEBIMENTOS'!$Q$6:$Q$1005,1))</f>
        <v>0</v>
      </c>
      <c r="AB472" s="96">
        <f>IF(R472=0,0,COUNTIFS('RECEBIMENTOS'!$R$6:$R$1005,A472,'RECEBIMENTOS'!$Z$6:$Z$1005,1))</f>
        <v>0</v>
      </c>
      <c r="AC472" s="96">
        <f>IF(R472=0,0,COUNTIFS('RECEBIMENTOS'!$R$6:$R$1005,A472,'RECEBIMENTOS'!$Y$6:$Y$1005,1))</f>
        <v>0</v>
      </c>
      <c r="AD472" s="96">
        <f>IF(R472=0,0,COUNTIFS('VÍNCULOS_CDF'!$R$6:$R$1005,A472,'VÍNCULOS_CDF'!$N$6:$N$1005,1))</f>
        <v>0</v>
      </c>
      <c r="AE472" s="96">
        <f>IF(R472=0,0,COUNTIFS('VÍNCULOS_CDF'!$R$6:$R$1005,A472,'VÍNCULOS_CDF'!$AA$6:$AA$1005,1))</f>
        <v>0</v>
      </c>
      <c r="AF472" s="96">
        <f>IF(R472=0,0,COUNTIFS('VÍNCULOS_CDF'!$R$6:$R$1005,A472,'VÍNCULOS_CDF'!$Y$6:$Y$1005,1))</f>
        <v>0</v>
      </c>
      <c r="AG472" s="96" t="str">
        <f>IF(AND(R472=1,S472&lt;&gt;"",C472&lt;&gt;""),S472&amp;"|"&amp;C472&amp;"|"&amp;G472&amp;"|"&amp;H472,"")</f>
        <v/>
      </c>
      <c r="AH472" s="96">
        <f>IF(AG472="",0,IF(SUMPRODUCT(--($AG$6:$AG$1005=AG472))&gt;1,1,0))</f>
        <v>0</v>
      </c>
      <c r="AI472" s="96">
        <f>IF(R472=0,0,IF(OR(U472=0,V472=0,Y472=0,AND(AH472=1,K472&lt;&gt;"Sim")),1,0))</f>
        <v>0</v>
      </c>
      <c r="AJ472" s="96">
        <f>IF(AND(R472=1,AA472&gt;0,AB472=AA472),1,0)</f>
        <v>0</v>
      </c>
      <c r="AK472" s="96">
        <f>IF(R472=0,0,IF(AA472&gt;0,N(L472),IF(ISNUMBER(I472),I472,0)))</f>
        <v>0</v>
      </c>
      <c r="AL472" s="96">
        <f>IF(R472=0,0,IF(AND(K472&lt;&gt;"Sim",N(M472)&gt;AK472+cfg_tol),1,0))</f>
        <v>0</v>
      </c>
      <c r="AM472" s="96">
        <f>IF(R472=0,0,IF(K472="Sim",0,IF(OR(AND(AA472&gt;0,ISNUMBER(I472),ABS(I472-N(L472))&gt;cfg_tol),AL472=1),1,0)))</f>
        <v>0</v>
      </c>
      <c r="AN472" s="96">
        <f>IF(AND(R472=1,N(M472)&gt;0,OR(N(M472)&gt;=AK472-cfg_tol,K472="Sim")),1,0)</f>
        <v>0</v>
      </c>
      <c r="AO472" s="96">
        <f>IF(AND(AN472=1,AD472&gt;0,AE472=AD472,AL472=0),1,0)</f>
        <v>0</v>
      </c>
      <c r="AP472" s="96">
        <f>IF(U472=0,0,IF(AND(INDEX('MTRs'!$AX$6:$AX$505,T472)=1,Z472=0,OR(f_res="",f_res="(Todos)",C472=f_res)),1,0))</f>
        <v>0</v>
      </c>
      <c r="AQ472" s="97" t="str">
        <f>IF(U472=0,"",INDEX('MTRs'!$AZ$6:$AZ$505,T472))</f>
        <v/>
      </c>
      <c r="AR472" s="96">
        <f>IF(U472=0,0,IF(AND(INDEX('MTRs'!$BA$6:$BA$505,T472)=1,Z472=0),1,0))</f>
        <v>0</v>
      </c>
      <c r="AS472" s="96" t="str">
        <f>IF(R472=1,A472&amp;" | MTR "&amp;IF(U472=1,INDEX('MTRs'!$B$6:$B$505,T472)&amp;"","?")&amp;" | "&amp;IF(C472="","(sem resíduo)",C472),"")</f>
        <v/>
      </c>
      <c r="AT472" s="96" t="str">
        <f>IF(R472=1,COUNTIF($R$6:R472,1),"")</f>
        <v/>
      </c>
      <c r="AU472" s="96" t="str">
        <f>IF(U472=1,INDEX('MTRs'!$I$6:$I$505,T472)&amp;"","")</f>
        <v/>
      </c>
    </row>
    <row r="473">
      <c r="A473" s="89" t="inlineStr">
        <is>
          <t>IT-000468</t>
        </is>
      </c>
      <c r="B473" s="91" t="n"/>
      <c r="C473" s="91" t="n"/>
      <c r="D473" s="94" t="str">
        <f>IF(OR(R473=0,V473=0),"",INDEX('CAD_RESÍDUOS'!$E$6:$E$205,MATCH(C473,'CAD_RESÍDUOS'!$B$6:$B$205,0))&amp;"")</f>
        <v/>
      </c>
      <c r="E473" s="94" t="str">
        <f>IF(OR(R473=0,V473=0),"",INDEX('CAD_RESÍDUOS'!$C$6:$C$205,MATCH(C473,'CAD_RESÍDUOS'!$B$6:$B$205,0))&amp;"")</f>
        <v/>
      </c>
      <c r="F473" s="94" t="str">
        <f>IF(OR(R473=0,V473=0),"",INDEX('CAD_RESÍDUOS'!$G$6:$G$205,MATCH(C473,'CAD_RESÍDUOS'!$B$6:$B$205,0))&amp;"")</f>
        <v/>
      </c>
      <c r="G473" s="98" t="n"/>
      <c r="H473" s="91" t="n"/>
      <c r="I473" s="93" t="str">
        <f>IF(R473=0,"",IF(NOT(ISNUMBER(G473)),"",IF(ISNUMBER(X473),G473*X473,"UNIDADE A CONFERIR")))</f>
        <v/>
      </c>
      <c r="J473" s="91" t="n"/>
      <c r="K473" s="91" t="n"/>
      <c r="L473" s="93" t="str">
        <f>IF(R473=0,"",SUMIFS('RECEBIMENTOS'!$H$6:$H$1005,'RECEBIMENTOS'!$R$6:$R$1005,A473,'RECEBIMENTOS'!$X$6:$X$1005,1))</f>
        <v/>
      </c>
      <c r="M473" s="93" t="str">
        <f>IF(R473=0,"",SUMIFS('VÍNCULOS_CDF'!$H$6:$H$1005,'VÍNCULOS_CDF'!$R$6:$R$1005,A473,'VÍNCULOS_CDF'!$V$6:$V$1005,1))</f>
        <v/>
      </c>
      <c r="N473" s="99" t="str">
        <f>IF(OR(R473=0,AA473=0,NOT(ISNUMBER(I473))),"",I473-N(L473))</f>
        <v/>
      </c>
      <c r="O473" s="100" t="str">
        <f>IF(OR(R473=0,AK473&lt;=0),"",N(M473)/AK473)</f>
        <v/>
      </c>
      <c r="P473" s="94" t="str">
        <f>IF(R473=0,"",IF(S473="","Sem MTR associado",IF(U473=0,"MTR inexistente",IF(C473="","Resíduo não identificado",IF(V473=0,"Resíduo fora do cadastro",IF(W473=0,"Quantidade inválida",IF(H473="","Unidade não informada",IF(NOT(ISNUMBER(I473)),"Unidade a conferir",IF(AND(AH473=1,K473&lt;&gt;"Sim"),"Possível duplicidade",IF(Z473=1,"MTR cancelado",IF(AC473&gt;0,"Recebimento com alerta",IF(AA473=0,"Aguardando recebimento",IF(AB473&lt;AA473,"Recebimento a conferir",IF(AM473=1,"Quantidade a revisar",IF(AF473&gt;0,"Vínculo a revisar",IF(AD473=0,"Aguardando CDF",IF(AN473=0,"Vínculo de CDF parcial",IF(AE473&lt;AD473,"CDF a conferir","Documentação conferida"))))))))))))))))))</f>
        <v/>
      </c>
      <c r="Q473" s="93" t="str">
        <f>IF(OR(R473=0,AA473=0),"",MAX(0,N(L473)-N(M473)))</f>
        <v/>
      </c>
      <c r="R473" s="96">
        <f>IF(COUNTA(B473:C473,G473:H473,J473:K473)&gt;0,1,0)</f>
        <v>0</v>
      </c>
      <c r="S473" s="96" t="str">
        <f>IF(B473="","",TRIM(LEFT(B473,FIND(" |",B473&amp;" |")-1)))</f>
        <v/>
      </c>
      <c r="T473" s="96" t="str">
        <f>IF(S473="","",IFERROR(MATCH(S473,'MTRs'!$A$6:$A$505,0),""))</f>
        <v/>
      </c>
      <c r="U473" s="96">
        <f>IF(T473="",0,IF(INDEX('MTRs'!$Z$6:$Z$505,T473)=1,1,0))</f>
        <v>0</v>
      </c>
      <c r="V473" s="96">
        <f>IF(C473="",0,IF(ISNUMBER(MATCH(C473,'CAD_RESÍDUOS'!$B$6:$B$205,0)),1,0))</f>
        <v>0</v>
      </c>
      <c r="W473" s="96">
        <f>IF(AND(ISNUMBER(G473),G473&gt;0),1,0)</f>
        <v>0</v>
      </c>
      <c r="X473" s="96" t="str">
        <f>IF(H473="","",IFERROR(IF(ISNUMBER(INDEX(cfg_fac,MATCH(H473,cfg_units,0))),IF(INDEX(cfg_fac,MATCH(H473,cfg_units,0))&gt;0,INDEX(cfg_fac,MATCH(H473,cfg_units,0)),""),""),""))</f>
        <v/>
      </c>
      <c r="Y473" s="96">
        <f>IF(AND(W473=1,ISNUMBER(I473)),1,0)</f>
        <v>0</v>
      </c>
      <c r="Z473" s="96">
        <f>IF(U473=1,INDEX('MTRs'!$AA$6:$AA$505,T473),0)</f>
        <v>0</v>
      </c>
      <c r="AA473" s="96">
        <f>IF(R473=0,0,COUNTIFS('RECEBIMENTOS'!$R$6:$R$1005,A473,'RECEBIMENTOS'!$Q$6:$Q$1005,1))</f>
        <v>0</v>
      </c>
      <c r="AB473" s="96">
        <f>IF(R473=0,0,COUNTIFS('RECEBIMENTOS'!$R$6:$R$1005,A473,'RECEBIMENTOS'!$Z$6:$Z$1005,1))</f>
        <v>0</v>
      </c>
      <c r="AC473" s="96">
        <f>IF(R473=0,0,COUNTIFS('RECEBIMENTOS'!$R$6:$R$1005,A473,'RECEBIMENTOS'!$Y$6:$Y$1005,1))</f>
        <v>0</v>
      </c>
      <c r="AD473" s="96">
        <f>IF(R473=0,0,COUNTIFS('VÍNCULOS_CDF'!$R$6:$R$1005,A473,'VÍNCULOS_CDF'!$N$6:$N$1005,1))</f>
        <v>0</v>
      </c>
      <c r="AE473" s="96">
        <f>IF(R473=0,0,COUNTIFS('VÍNCULOS_CDF'!$R$6:$R$1005,A473,'VÍNCULOS_CDF'!$AA$6:$AA$1005,1))</f>
        <v>0</v>
      </c>
      <c r="AF473" s="96">
        <f>IF(R473=0,0,COUNTIFS('VÍNCULOS_CDF'!$R$6:$R$1005,A473,'VÍNCULOS_CDF'!$Y$6:$Y$1005,1))</f>
        <v>0</v>
      </c>
      <c r="AG473" s="96" t="str">
        <f>IF(AND(R473=1,S473&lt;&gt;"",C473&lt;&gt;""),S473&amp;"|"&amp;C473&amp;"|"&amp;G473&amp;"|"&amp;H473,"")</f>
        <v/>
      </c>
      <c r="AH473" s="96">
        <f>IF(AG473="",0,IF(SUMPRODUCT(--($AG$6:$AG$1005=AG473))&gt;1,1,0))</f>
        <v>0</v>
      </c>
      <c r="AI473" s="96">
        <f>IF(R473=0,0,IF(OR(U473=0,V473=0,Y473=0,AND(AH473=1,K473&lt;&gt;"Sim")),1,0))</f>
        <v>0</v>
      </c>
      <c r="AJ473" s="96">
        <f>IF(AND(R473=1,AA473&gt;0,AB473=AA473),1,0)</f>
        <v>0</v>
      </c>
      <c r="AK473" s="96">
        <f>IF(R473=0,0,IF(AA473&gt;0,N(L473),IF(ISNUMBER(I473),I473,0)))</f>
        <v>0</v>
      </c>
      <c r="AL473" s="96">
        <f>IF(R473=0,0,IF(AND(K473&lt;&gt;"Sim",N(M473)&gt;AK473+cfg_tol),1,0))</f>
        <v>0</v>
      </c>
      <c r="AM473" s="96">
        <f>IF(R473=0,0,IF(K473="Sim",0,IF(OR(AND(AA473&gt;0,ISNUMBER(I473),ABS(I473-N(L473))&gt;cfg_tol),AL473=1),1,0)))</f>
        <v>0</v>
      </c>
      <c r="AN473" s="96">
        <f>IF(AND(R473=1,N(M473)&gt;0,OR(N(M473)&gt;=AK473-cfg_tol,K473="Sim")),1,0)</f>
        <v>0</v>
      </c>
      <c r="AO473" s="96">
        <f>IF(AND(AN473=1,AD473&gt;0,AE473=AD473,AL473=0),1,0)</f>
        <v>0</v>
      </c>
      <c r="AP473" s="96">
        <f>IF(U473=0,0,IF(AND(INDEX('MTRs'!$AX$6:$AX$505,T473)=1,Z473=0,OR(f_res="",f_res="(Todos)",C473=f_res)),1,0))</f>
        <v>0</v>
      </c>
      <c r="AQ473" s="97" t="str">
        <f>IF(U473=0,"",INDEX('MTRs'!$AZ$6:$AZ$505,T473))</f>
        <v/>
      </c>
      <c r="AR473" s="96">
        <f>IF(U473=0,0,IF(AND(INDEX('MTRs'!$BA$6:$BA$505,T473)=1,Z473=0),1,0))</f>
        <v>0</v>
      </c>
      <c r="AS473" s="96" t="str">
        <f>IF(R473=1,A473&amp;" | MTR "&amp;IF(U473=1,INDEX('MTRs'!$B$6:$B$505,T473)&amp;"","?")&amp;" | "&amp;IF(C473="","(sem resíduo)",C473),"")</f>
        <v/>
      </c>
      <c r="AT473" s="96" t="str">
        <f>IF(R473=1,COUNTIF($R$6:R473,1),"")</f>
        <v/>
      </c>
      <c r="AU473" s="96" t="str">
        <f>IF(U473=1,INDEX('MTRs'!$I$6:$I$505,T473)&amp;"","")</f>
        <v/>
      </c>
    </row>
    <row r="474">
      <c r="A474" s="89" t="inlineStr">
        <is>
          <t>IT-000469</t>
        </is>
      </c>
      <c r="B474" s="91" t="n"/>
      <c r="C474" s="91" t="n"/>
      <c r="D474" s="94" t="str">
        <f>IF(OR(R474=0,V474=0),"",INDEX('CAD_RESÍDUOS'!$E$6:$E$205,MATCH(C474,'CAD_RESÍDUOS'!$B$6:$B$205,0))&amp;"")</f>
        <v/>
      </c>
      <c r="E474" s="94" t="str">
        <f>IF(OR(R474=0,V474=0),"",INDEX('CAD_RESÍDUOS'!$C$6:$C$205,MATCH(C474,'CAD_RESÍDUOS'!$B$6:$B$205,0))&amp;"")</f>
        <v/>
      </c>
      <c r="F474" s="94" t="str">
        <f>IF(OR(R474=0,V474=0),"",INDEX('CAD_RESÍDUOS'!$G$6:$G$205,MATCH(C474,'CAD_RESÍDUOS'!$B$6:$B$205,0))&amp;"")</f>
        <v/>
      </c>
      <c r="G474" s="98" t="n"/>
      <c r="H474" s="91" t="n"/>
      <c r="I474" s="93" t="str">
        <f>IF(R474=0,"",IF(NOT(ISNUMBER(G474)),"",IF(ISNUMBER(X474),G474*X474,"UNIDADE A CONFERIR")))</f>
        <v/>
      </c>
      <c r="J474" s="91" t="n"/>
      <c r="K474" s="91" t="n"/>
      <c r="L474" s="93" t="str">
        <f>IF(R474=0,"",SUMIFS('RECEBIMENTOS'!$H$6:$H$1005,'RECEBIMENTOS'!$R$6:$R$1005,A474,'RECEBIMENTOS'!$X$6:$X$1005,1))</f>
        <v/>
      </c>
      <c r="M474" s="93" t="str">
        <f>IF(R474=0,"",SUMIFS('VÍNCULOS_CDF'!$H$6:$H$1005,'VÍNCULOS_CDF'!$R$6:$R$1005,A474,'VÍNCULOS_CDF'!$V$6:$V$1005,1))</f>
        <v/>
      </c>
      <c r="N474" s="99" t="str">
        <f>IF(OR(R474=0,AA474=0,NOT(ISNUMBER(I474))),"",I474-N(L474))</f>
        <v/>
      </c>
      <c r="O474" s="100" t="str">
        <f>IF(OR(R474=0,AK474&lt;=0),"",N(M474)/AK474)</f>
        <v/>
      </c>
      <c r="P474" s="94" t="str">
        <f>IF(R474=0,"",IF(S474="","Sem MTR associado",IF(U474=0,"MTR inexistente",IF(C474="","Resíduo não identificado",IF(V474=0,"Resíduo fora do cadastro",IF(W474=0,"Quantidade inválida",IF(H474="","Unidade não informada",IF(NOT(ISNUMBER(I474)),"Unidade a conferir",IF(AND(AH474=1,K474&lt;&gt;"Sim"),"Possível duplicidade",IF(Z474=1,"MTR cancelado",IF(AC474&gt;0,"Recebimento com alerta",IF(AA474=0,"Aguardando recebimento",IF(AB474&lt;AA474,"Recebimento a conferir",IF(AM474=1,"Quantidade a revisar",IF(AF474&gt;0,"Vínculo a revisar",IF(AD474=0,"Aguardando CDF",IF(AN474=0,"Vínculo de CDF parcial",IF(AE474&lt;AD474,"CDF a conferir","Documentação conferida"))))))))))))))))))</f>
        <v/>
      </c>
      <c r="Q474" s="93" t="str">
        <f>IF(OR(R474=0,AA474=0),"",MAX(0,N(L474)-N(M474)))</f>
        <v/>
      </c>
      <c r="R474" s="96">
        <f>IF(COUNTA(B474:C474,G474:H474,J474:K474)&gt;0,1,0)</f>
        <v>0</v>
      </c>
      <c r="S474" s="96" t="str">
        <f>IF(B474="","",TRIM(LEFT(B474,FIND(" |",B474&amp;" |")-1)))</f>
        <v/>
      </c>
      <c r="T474" s="96" t="str">
        <f>IF(S474="","",IFERROR(MATCH(S474,'MTRs'!$A$6:$A$505,0),""))</f>
        <v/>
      </c>
      <c r="U474" s="96">
        <f>IF(T474="",0,IF(INDEX('MTRs'!$Z$6:$Z$505,T474)=1,1,0))</f>
        <v>0</v>
      </c>
      <c r="V474" s="96">
        <f>IF(C474="",0,IF(ISNUMBER(MATCH(C474,'CAD_RESÍDUOS'!$B$6:$B$205,0)),1,0))</f>
        <v>0</v>
      </c>
      <c r="W474" s="96">
        <f>IF(AND(ISNUMBER(G474),G474&gt;0),1,0)</f>
        <v>0</v>
      </c>
      <c r="X474" s="96" t="str">
        <f>IF(H474="","",IFERROR(IF(ISNUMBER(INDEX(cfg_fac,MATCH(H474,cfg_units,0))),IF(INDEX(cfg_fac,MATCH(H474,cfg_units,0))&gt;0,INDEX(cfg_fac,MATCH(H474,cfg_units,0)),""),""),""))</f>
        <v/>
      </c>
      <c r="Y474" s="96">
        <f>IF(AND(W474=1,ISNUMBER(I474)),1,0)</f>
        <v>0</v>
      </c>
      <c r="Z474" s="96">
        <f>IF(U474=1,INDEX('MTRs'!$AA$6:$AA$505,T474),0)</f>
        <v>0</v>
      </c>
      <c r="AA474" s="96">
        <f>IF(R474=0,0,COUNTIFS('RECEBIMENTOS'!$R$6:$R$1005,A474,'RECEBIMENTOS'!$Q$6:$Q$1005,1))</f>
        <v>0</v>
      </c>
      <c r="AB474" s="96">
        <f>IF(R474=0,0,COUNTIFS('RECEBIMENTOS'!$R$6:$R$1005,A474,'RECEBIMENTOS'!$Z$6:$Z$1005,1))</f>
        <v>0</v>
      </c>
      <c r="AC474" s="96">
        <f>IF(R474=0,0,COUNTIFS('RECEBIMENTOS'!$R$6:$R$1005,A474,'RECEBIMENTOS'!$Y$6:$Y$1005,1))</f>
        <v>0</v>
      </c>
      <c r="AD474" s="96">
        <f>IF(R474=0,0,COUNTIFS('VÍNCULOS_CDF'!$R$6:$R$1005,A474,'VÍNCULOS_CDF'!$N$6:$N$1005,1))</f>
        <v>0</v>
      </c>
      <c r="AE474" s="96">
        <f>IF(R474=0,0,COUNTIFS('VÍNCULOS_CDF'!$R$6:$R$1005,A474,'VÍNCULOS_CDF'!$AA$6:$AA$1005,1))</f>
        <v>0</v>
      </c>
      <c r="AF474" s="96">
        <f>IF(R474=0,0,COUNTIFS('VÍNCULOS_CDF'!$R$6:$R$1005,A474,'VÍNCULOS_CDF'!$Y$6:$Y$1005,1))</f>
        <v>0</v>
      </c>
      <c r="AG474" s="96" t="str">
        <f>IF(AND(R474=1,S474&lt;&gt;"",C474&lt;&gt;""),S474&amp;"|"&amp;C474&amp;"|"&amp;G474&amp;"|"&amp;H474,"")</f>
        <v/>
      </c>
      <c r="AH474" s="96">
        <f>IF(AG474="",0,IF(SUMPRODUCT(--($AG$6:$AG$1005=AG474))&gt;1,1,0))</f>
        <v>0</v>
      </c>
      <c r="AI474" s="96">
        <f>IF(R474=0,0,IF(OR(U474=0,V474=0,Y474=0,AND(AH474=1,K474&lt;&gt;"Sim")),1,0))</f>
        <v>0</v>
      </c>
      <c r="AJ474" s="96">
        <f>IF(AND(R474=1,AA474&gt;0,AB474=AA474),1,0)</f>
        <v>0</v>
      </c>
      <c r="AK474" s="96">
        <f>IF(R474=0,0,IF(AA474&gt;0,N(L474),IF(ISNUMBER(I474),I474,0)))</f>
        <v>0</v>
      </c>
      <c r="AL474" s="96">
        <f>IF(R474=0,0,IF(AND(K474&lt;&gt;"Sim",N(M474)&gt;AK474+cfg_tol),1,0))</f>
        <v>0</v>
      </c>
      <c r="AM474" s="96">
        <f>IF(R474=0,0,IF(K474="Sim",0,IF(OR(AND(AA474&gt;0,ISNUMBER(I474),ABS(I474-N(L474))&gt;cfg_tol),AL474=1),1,0)))</f>
        <v>0</v>
      </c>
      <c r="AN474" s="96">
        <f>IF(AND(R474=1,N(M474)&gt;0,OR(N(M474)&gt;=AK474-cfg_tol,K474="Sim")),1,0)</f>
        <v>0</v>
      </c>
      <c r="AO474" s="96">
        <f>IF(AND(AN474=1,AD474&gt;0,AE474=AD474,AL474=0),1,0)</f>
        <v>0</v>
      </c>
      <c r="AP474" s="96">
        <f>IF(U474=0,0,IF(AND(INDEX('MTRs'!$AX$6:$AX$505,T474)=1,Z474=0,OR(f_res="",f_res="(Todos)",C474=f_res)),1,0))</f>
        <v>0</v>
      </c>
      <c r="AQ474" s="97" t="str">
        <f>IF(U474=0,"",INDEX('MTRs'!$AZ$6:$AZ$505,T474))</f>
        <v/>
      </c>
      <c r="AR474" s="96">
        <f>IF(U474=0,0,IF(AND(INDEX('MTRs'!$BA$6:$BA$505,T474)=1,Z474=0),1,0))</f>
        <v>0</v>
      </c>
      <c r="AS474" s="96" t="str">
        <f>IF(R474=1,A474&amp;" | MTR "&amp;IF(U474=1,INDEX('MTRs'!$B$6:$B$505,T474)&amp;"","?")&amp;" | "&amp;IF(C474="","(sem resíduo)",C474),"")</f>
        <v/>
      </c>
      <c r="AT474" s="96" t="str">
        <f>IF(R474=1,COUNTIF($R$6:R474,1),"")</f>
        <v/>
      </c>
      <c r="AU474" s="96" t="str">
        <f>IF(U474=1,INDEX('MTRs'!$I$6:$I$505,T474)&amp;"","")</f>
        <v/>
      </c>
    </row>
    <row r="475">
      <c r="A475" s="89" t="inlineStr">
        <is>
          <t>IT-000470</t>
        </is>
      </c>
      <c r="B475" s="91" t="n"/>
      <c r="C475" s="91" t="n"/>
      <c r="D475" s="94" t="str">
        <f>IF(OR(R475=0,V475=0),"",INDEX('CAD_RESÍDUOS'!$E$6:$E$205,MATCH(C475,'CAD_RESÍDUOS'!$B$6:$B$205,0))&amp;"")</f>
        <v/>
      </c>
      <c r="E475" s="94" t="str">
        <f>IF(OR(R475=0,V475=0),"",INDEX('CAD_RESÍDUOS'!$C$6:$C$205,MATCH(C475,'CAD_RESÍDUOS'!$B$6:$B$205,0))&amp;"")</f>
        <v/>
      </c>
      <c r="F475" s="94" t="str">
        <f>IF(OR(R475=0,V475=0),"",INDEX('CAD_RESÍDUOS'!$G$6:$G$205,MATCH(C475,'CAD_RESÍDUOS'!$B$6:$B$205,0))&amp;"")</f>
        <v/>
      </c>
      <c r="G475" s="98" t="n"/>
      <c r="H475" s="91" t="n"/>
      <c r="I475" s="93" t="str">
        <f>IF(R475=0,"",IF(NOT(ISNUMBER(G475)),"",IF(ISNUMBER(X475),G475*X475,"UNIDADE A CONFERIR")))</f>
        <v/>
      </c>
      <c r="J475" s="91" t="n"/>
      <c r="K475" s="91" t="n"/>
      <c r="L475" s="93" t="str">
        <f>IF(R475=0,"",SUMIFS('RECEBIMENTOS'!$H$6:$H$1005,'RECEBIMENTOS'!$R$6:$R$1005,A475,'RECEBIMENTOS'!$X$6:$X$1005,1))</f>
        <v/>
      </c>
      <c r="M475" s="93" t="str">
        <f>IF(R475=0,"",SUMIFS('VÍNCULOS_CDF'!$H$6:$H$1005,'VÍNCULOS_CDF'!$R$6:$R$1005,A475,'VÍNCULOS_CDF'!$V$6:$V$1005,1))</f>
        <v/>
      </c>
      <c r="N475" s="99" t="str">
        <f>IF(OR(R475=0,AA475=0,NOT(ISNUMBER(I475))),"",I475-N(L475))</f>
        <v/>
      </c>
      <c r="O475" s="100" t="str">
        <f>IF(OR(R475=0,AK475&lt;=0),"",N(M475)/AK475)</f>
        <v/>
      </c>
      <c r="P475" s="94" t="str">
        <f>IF(R475=0,"",IF(S475="","Sem MTR associado",IF(U475=0,"MTR inexistente",IF(C475="","Resíduo não identificado",IF(V475=0,"Resíduo fora do cadastro",IF(W475=0,"Quantidade inválida",IF(H475="","Unidade não informada",IF(NOT(ISNUMBER(I475)),"Unidade a conferir",IF(AND(AH475=1,K475&lt;&gt;"Sim"),"Possível duplicidade",IF(Z475=1,"MTR cancelado",IF(AC475&gt;0,"Recebimento com alerta",IF(AA475=0,"Aguardando recebimento",IF(AB475&lt;AA475,"Recebimento a conferir",IF(AM475=1,"Quantidade a revisar",IF(AF475&gt;0,"Vínculo a revisar",IF(AD475=0,"Aguardando CDF",IF(AN475=0,"Vínculo de CDF parcial",IF(AE475&lt;AD475,"CDF a conferir","Documentação conferida"))))))))))))))))))</f>
        <v/>
      </c>
      <c r="Q475" s="93" t="str">
        <f>IF(OR(R475=0,AA475=0),"",MAX(0,N(L475)-N(M475)))</f>
        <v/>
      </c>
      <c r="R475" s="96">
        <f>IF(COUNTA(B475:C475,G475:H475,J475:K475)&gt;0,1,0)</f>
        <v>0</v>
      </c>
      <c r="S475" s="96" t="str">
        <f>IF(B475="","",TRIM(LEFT(B475,FIND(" |",B475&amp;" |")-1)))</f>
        <v/>
      </c>
      <c r="T475" s="96" t="str">
        <f>IF(S475="","",IFERROR(MATCH(S475,'MTRs'!$A$6:$A$505,0),""))</f>
        <v/>
      </c>
      <c r="U475" s="96">
        <f>IF(T475="",0,IF(INDEX('MTRs'!$Z$6:$Z$505,T475)=1,1,0))</f>
        <v>0</v>
      </c>
      <c r="V475" s="96">
        <f>IF(C475="",0,IF(ISNUMBER(MATCH(C475,'CAD_RESÍDUOS'!$B$6:$B$205,0)),1,0))</f>
        <v>0</v>
      </c>
      <c r="W475" s="96">
        <f>IF(AND(ISNUMBER(G475),G475&gt;0),1,0)</f>
        <v>0</v>
      </c>
      <c r="X475" s="96" t="str">
        <f>IF(H475="","",IFERROR(IF(ISNUMBER(INDEX(cfg_fac,MATCH(H475,cfg_units,0))),IF(INDEX(cfg_fac,MATCH(H475,cfg_units,0))&gt;0,INDEX(cfg_fac,MATCH(H475,cfg_units,0)),""),""),""))</f>
        <v/>
      </c>
      <c r="Y475" s="96">
        <f>IF(AND(W475=1,ISNUMBER(I475)),1,0)</f>
        <v>0</v>
      </c>
      <c r="Z475" s="96">
        <f>IF(U475=1,INDEX('MTRs'!$AA$6:$AA$505,T475),0)</f>
        <v>0</v>
      </c>
      <c r="AA475" s="96">
        <f>IF(R475=0,0,COUNTIFS('RECEBIMENTOS'!$R$6:$R$1005,A475,'RECEBIMENTOS'!$Q$6:$Q$1005,1))</f>
        <v>0</v>
      </c>
      <c r="AB475" s="96">
        <f>IF(R475=0,0,COUNTIFS('RECEBIMENTOS'!$R$6:$R$1005,A475,'RECEBIMENTOS'!$Z$6:$Z$1005,1))</f>
        <v>0</v>
      </c>
      <c r="AC475" s="96">
        <f>IF(R475=0,0,COUNTIFS('RECEBIMENTOS'!$R$6:$R$1005,A475,'RECEBIMENTOS'!$Y$6:$Y$1005,1))</f>
        <v>0</v>
      </c>
      <c r="AD475" s="96">
        <f>IF(R475=0,0,COUNTIFS('VÍNCULOS_CDF'!$R$6:$R$1005,A475,'VÍNCULOS_CDF'!$N$6:$N$1005,1))</f>
        <v>0</v>
      </c>
      <c r="AE475" s="96">
        <f>IF(R475=0,0,COUNTIFS('VÍNCULOS_CDF'!$R$6:$R$1005,A475,'VÍNCULOS_CDF'!$AA$6:$AA$1005,1))</f>
        <v>0</v>
      </c>
      <c r="AF475" s="96">
        <f>IF(R475=0,0,COUNTIFS('VÍNCULOS_CDF'!$R$6:$R$1005,A475,'VÍNCULOS_CDF'!$Y$6:$Y$1005,1))</f>
        <v>0</v>
      </c>
      <c r="AG475" s="96" t="str">
        <f>IF(AND(R475=1,S475&lt;&gt;"",C475&lt;&gt;""),S475&amp;"|"&amp;C475&amp;"|"&amp;G475&amp;"|"&amp;H475,"")</f>
        <v/>
      </c>
      <c r="AH475" s="96">
        <f>IF(AG475="",0,IF(SUMPRODUCT(--($AG$6:$AG$1005=AG475))&gt;1,1,0))</f>
        <v>0</v>
      </c>
      <c r="AI475" s="96">
        <f>IF(R475=0,0,IF(OR(U475=0,V475=0,Y475=0,AND(AH475=1,K475&lt;&gt;"Sim")),1,0))</f>
        <v>0</v>
      </c>
      <c r="AJ475" s="96">
        <f>IF(AND(R475=1,AA475&gt;0,AB475=AA475),1,0)</f>
        <v>0</v>
      </c>
      <c r="AK475" s="96">
        <f>IF(R475=0,0,IF(AA475&gt;0,N(L475),IF(ISNUMBER(I475),I475,0)))</f>
        <v>0</v>
      </c>
      <c r="AL475" s="96">
        <f>IF(R475=0,0,IF(AND(K475&lt;&gt;"Sim",N(M475)&gt;AK475+cfg_tol),1,0))</f>
        <v>0</v>
      </c>
      <c r="AM475" s="96">
        <f>IF(R475=0,0,IF(K475="Sim",0,IF(OR(AND(AA475&gt;0,ISNUMBER(I475),ABS(I475-N(L475))&gt;cfg_tol),AL475=1),1,0)))</f>
        <v>0</v>
      </c>
      <c r="AN475" s="96">
        <f>IF(AND(R475=1,N(M475)&gt;0,OR(N(M475)&gt;=AK475-cfg_tol,K475="Sim")),1,0)</f>
        <v>0</v>
      </c>
      <c r="AO475" s="96">
        <f>IF(AND(AN475=1,AD475&gt;0,AE475=AD475,AL475=0),1,0)</f>
        <v>0</v>
      </c>
      <c r="AP475" s="96">
        <f>IF(U475=0,0,IF(AND(INDEX('MTRs'!$AX$6:$AX$505,T475)=1,Z475=0,OR(f_res="",f_res="(Todos)",C475=f_res)),1,0))</f>
        <v>0</v>
      </c>
      <c r="AQ475" s="97" t="str">
        <f>IF(U475=0,"",INDEX('MTRs'!$AZ$6:$AZ$505,T475))</f>
        <v/>
      </c>
      <c r="AR475" s="96">
        <f>IF(U475=0,0,IF(AND(INDEX('MTRs'!$BA$6:$BA$505,T475)=1,Z475=0),1,0))</f>
        <v>0</v>
      </c>
      <c r="AS475" s="96" t="str">
        <f>IF(R475=1,A475&amp;" | MTR "&amp;IF(U475=1,INDEX('MTRs'!$B$6:$B$505,T475)&amp;"","?")&amp;" | "&amp;IF(C475="","(sem resíduo)",C475),"")</f>
        <v/>
      </c>
      <c r="AT475" s="96" t="str">
        <f>IF(R475=1,COUNTIF($R$6:R475,1),"")</f>
        <v/>
      </c>
      <c r="AU475" s="96" t="str">
        <f>IF(U475=1,INDEX('MTRs'!$I$6:$I$505,T475)&amp;"","")</f>
        <v/>
      </c>
    </row>
    <row r="476">
      <c r="A476" s="89" t="inlineStr">
        <is>
          <t>IT-000471</t>
        </is>
      </c>
      <c r="B476" s="91" t="n"/>
      <c r="C476" s="91" t="n"/>
      <c r="D476" s="94" t="str">
        <f>IF(OR(R476=0,V476=0),"",INDEX('CAD_RESÍDUOS'!$E$6:$E$205,MATCH(C476,'CAD_RESÍDUOS'!$B$6:$B$205,0))&amp;"")</f>
        <v/>
      </c>
      <c r="E476" s="94" t="str">
        <f>IF(OR(R476=0,V476=0),"",INDEX('CAD_RESÍDUOS'!$C$6:$C$205,MATCH(C476,'CAD_RESÍDUOS'!$B$6:$B$205,0))&amp;"")</f>
        <v/>
      </c>
      <c r="F476" s="94" t="str">
        <f>IF(OR(R476=0,V476=0),"",INDEX('CAD_RESÍDUOS'!$G$6:$G$205,MATCH(C476,'CAD_RESÍDUOS'!$B$6:$B$205,0))&amp;"")</f>
        <v/>
      </c>
      <c r="G476" s="98" t="n"/>
      <c r="H476" s="91" t="n"/>
      <c r="I476" s="93" t="str">
        <f>IF(R476=0,"",IF(NOT(ISNUMBER(G476)),"",IF(ISNUMBER(X476),G476*X476,"UNIDADE A CONFERIR")))</f>
        <v/>
      </c>
      <c r="J476" s="91" t="n"/>
      <c r="K476" s="91" t="n"/>
      <c r="L476" s="93" t="str">
        <f>IF(R476=0,"",SUMIFS('RECEBIMENTOS'!$H$6:$H$1005,'RECEBIMENTOS'!$R$6:$R$1005,A476,'RECEBIMENTOS'!$X$6:$X$1005,1))</f>
        <v/>
      </c>
      <c r="M476" s="93" t="str">
        <f>IF(R476=0,"",SUMIFS('VÍNCULOS_CDF'!$H$6:$H$1005,'VÍNCULOS_CDF'!$R$6:$R$1005,A476,'VÍNCULOS_CDF'!$V$6:$V$1005,1))</f>
        <v/>
      </c>
      <c r="N476" s="99" t="str">
        <f>IF(OR(R476=0,AA476=0,NOT(ISNUMBER(I476))),"",I476-N(L476))</f>
        <v/>
      </c>
      <c r="O476" s="100" t="str">
        <f>IF(OR(R476=0,AK476&lt;=0),"",N(M476)/AK476)</f>
        <v/>
      </c>
      <c r="P476" s="94" t="str">
        <f>IF(R476=0,"",IF(S476="","Sem MTR associado",IF(U476=0,"MTR inexistente",IF(C476="","Resíduo não identificado",IF(V476=0,"Resíduo fora do cadastro",IF(W476=0,"Quantidade inválida",IF(H476="","Unidade não informada",IF(NOT(ISNUMBER(I476)),"Unidade a conferir",IF(AND(AH476=1,K476&lt;&gt;"Sim"),"Possível duplicidade",IF(Z476=1,"MTR cancelado",IF(AC476&gt;0,"Recebimento com alerta",IF(AA476=0,"Aguardando recebimento",IF(AB476&lt;AA476,"Recebimento a conferir",IF(AM476=1,"Quantidade a revisar",IF(AF476&gt;0,"Vínculo a revisar",IF(AD476=0,"Aguardando CDF",IF(AN476=0,"Vínculo de CDF parcial",IF(AE476&lt;AD476,"CDF a conferir","Documentação conferida"))))))))))))))))))</f>
        <v/>
      </c>
      <c r="Q476" s="93" t="str">
        <f>IF(OR(R476=0,AA476=0),"",MAX(0,N(L476)-N(M476)))</f>
        <v/>
      </c>
      <c r="R476" s="96">
        <f>IF(COUNTA(B476:C476,G476:H476,J476:K476)&gt;0,1,0)</f>
        <v>0</v>
      </c>
      <c r="S476" s="96" t="str">
        <f>IF(B476="","",TRIM(LEFT(B476,FIND(" |",B476&amp;" |")-1)))</f>
        <v/>
      </c>
      <c r="T476" s="96" t="str">
        <f>IF(S476="","",IFERROR(MATCH(S476,'MTRs'!$A$6:$A$505,0),""))</f>
        <v/>
      </c>
      <c r="U476" s="96">
        <f>IF(T476="",0,IF(INDEX('MTRs'!$Z$6:$Z$505,T476)=1,1,0))</f>
        <v>0</v>
      </c>
      <c r="V476" s="96">
        <f>IF(C476="",0,IF(ISNUMBER(MATCH(C476,'CAD_RESÍDUOS'!$B$6:$B$205,0)),1,0))</f>
        <v>0</v>
      </c>
      <c r="W476" s="96">
        <f>IF(AND(ISNUMBER(G476),G476&gt;0),1,0)</f>
        <v>0</v>
      </c>
      <c r="X476" s="96" t="str">
        <f>IF(H476="","",IFERROR(IF(ISNUMBER(INDEX(cfg_fac,MATCH(H476,cfg_units,0))),IF(INDEX(cfg_fac,MATCH(H476,cfg_units,0))&gt;0,INDEX(cfg_fac,MATCH(H476,cfg_units,0)),""),""),""))</f>
        <v/>
      </c>
      <c r="Y476" s="96">
        <f>IF(AND(W476=1,ISNUMBER(I476)),1,0)</f>
        <v>0</v>
      </c>
      <c r="Z476" s="96">
        <f>IF(U476=1,INDEX('MTRs'!$AA$6:$AA$505,T476),0)</f>
        <v>0</v>
      </c>
      <c r="AA476" s="96">
        <f>IF(R476=0,0,COUNTIFS('RECEBIMENTOS'!$R$6:$R$1005,A476,'RECEBIMENTOS'!$Q$6:$Q$1005,1))</f>
        <v>0</v>
      </c>
      <c r="AB476" s="96">
        <f>IF(R476=0,0,COUNTIFS('RECEBIMENTOS'!$R$6:$R$1005,A476,'RECEBIMENTOS'!$Z$6:$Z$1005,1))</f>
        <v>0</v>
      </c>
      <c r="AC476" s="96">
        <f>IF(R476=0,0,COUNTIFS('RECEBIMENTOS'!$R$6:$R$1005,A476,'RECEBIMENTOS'!$Y$6:$Y$1005,1))</f>
        <v>0</v>
      </c>
      <c r="AD476" s="96">
        <f>IF(R476=0,0,COUNTIFS('VÍNCULOS_CDF'!$R$6:$R$1005,A476,'VÍNCULOS_CDF'!$N$6:$N$1005,1))</f>
        <v>0</v>
      </c>
      <c r="AE476" s="96">
        <f>IF(R476=0,0,COUNTIFS('VÍNCULOS_CDF'!$R$6:$R$1005,A476,'VÍNCULOS_CDF'!$AA$6:$AA$1005,1))</f>
        <v>0</v>
      </c>
      <c r="AF476" s="96">
        <f>IF(R476=0,0,COUNTIFS('VÍNCULOS_CDF'!$R$6:$R$1005,A476,'VÍNCULOS_CDF'!$Y$6:$Y$1005,1))</f>
        <v>0</v>
      </c>
      <c r="AG476" s="96" t="str">
        <f>IF(AND(R476=1,S476&lt;&gt;"",C476&lt;&gt;""),S476&amp;"|"&amp;C476&amp;"|"&amp;G476&amp;"|"&amp;H476,"")</f>
        <v/>
      </c>
      <c r="AH476" s="96">
        <f>IF(AG476="",0,IF(SUMPRODUCT(--($AG$6:$AG$1005=AG476))&gt;1,1,0))</f>
        <v>0</v>
      </c>
      <c r="AI476" s="96">
        <f>IF(R476=0,0,IF(OR(U476=0,V476=0,Y476=0,AND(AH476=1,K476&lt;&gt;"Sim")),1,0))</f>
        <v>0</v>
      </c>
      <c r="AJ476" s="96">
        <f>IF(AND(R476=1,AA476&gt;0,AB476=AA476),1,0)</f>
        <v>0</v>
      </c>
      <c r="AK476" s="96">
        <f>IF(R476=0,0,IF(AA476&gt;0,N(L476),IF(ISNUMBER(I476),I476,0)))</f>
        <v>0</v>
      </c>
      <c r="AL476" s="96">
        <f>IF(R476=0,0,IF(AND(K476&lt;&gt;"Sim",N(M476)&gt;AK476+cfg_tol),1,0))</f>
        <v>0</v>
      </c>
      <c r="AM476" s="96">
        <f>IF(R476=0,0,IF(K476="Sim",0,IF(OR(AND(AA476&gt;0,ISNUMBER(I476),ABS(I476-N(L476))&gt;cfg_tol),AL476=1),1,0)))</f>
        <v>0</v>
      </c>
      <c r="AN476" s="96">
        <f>IF(AND(R476=1,N(M476)&gt;0,OR(N(M476)&gt;=AK476-cfg_tol,K476="Sim")),1,0)</f>
        <v>0</v>
      </c>
      <c r="AO476" s="96">
        <f>IF(AND(AN476=1,AD476&gt;0,AE476=AD476,AL476=0),1,0)</f>
        <v>0</v>
      </c>
      <c r="AP476" s="96">
        <f>IF(U476=0,0,IF(AND(INDEX('MTRs'!$AX$6:$AX$505,T476)=1,Z476=0,OR(f_res="",f_res="(Todos)",C476=f_res)),1,0))</f>
        <v>0</v>
      </c>
      <c r="AQ476" s="97" t="str">
        <f>IF(U476=0,"",INDEX('MTRs'!$AZ$6:$AZ$505,T476))</f>
        <v/>
      </c>
      <c r="AR476" s="96">
        <f>IF(U476=0,0,IF(AND(INDEX('MTRs'!$BA$6:$BA$505,T476)=1,Z476=0),1,0))</f>
        <v>0</v>
      </c>
      <c r="AS476" s="96" t="str">
        <f>IF(R476=1,A476&amp;" | MTR "&amp;IF(U476=1,INDEX('MTRs'!$B$6:$B$505,T476)&amp;"","?")&amp;" | "&amp;IF(C476="","(sem resíduo)",C476),"")</f>
        <v/>
      </c>
      <c r="AT476" s="96" t="str">
        <f>IF(R476=1,COUNTIF($R$6:R476,1),"")</f>
        <v/>
      </c>
      <c r="AU476" s="96" t="str">
        <f>IF(U476=1,INDEX('MTRs'!$I$6:$I$505,T476)&amp;"","")</f>
        <v/>
      </c>
    </row>
    <row r="477">
      <c r="A477" s="89" t="inlineStr">
        <is>
          <t>IT-000472</t>
        </is>
      </c>
      <c r="B477" s="91" t="n"/>
      <c r="C477" s="91" t="n"/>
      <c r="D477" s="94" t="str">
        <f>IF(OR(R477=0,V477=0),"",INDEX('CAD_RESÍDUOS'!$E$6:$E$205,MATCH(C477,'CAD_RESÍDUOS'!$B$6:$B$205,0))&amp;"")</f>
        <v/>
      </c>
      <c r="E477" s="94" t="str">
        <f>IF(OR(R477=0,V477=0),"",INDEX('CAD_RESÍDUOS'!$C$6:$C$205,MATCH(C477,'CAD_RESÍDUOS'!$B$6:$B$205,0))&amp;"")</f>
        <v/>
      </c>
      <c r="F477" s="94" t="str">
        <f>IF(OR(R477=0,V477=0),"",INDEX('CAD_RESÍDUOS'!$G$6:$G$205,MATCH(C477,'CAD_RESÍDUOS'!$B$6:$B$205,0))&amp;"")</f>
        <v/>
      </c>
      <c r="G477" s="98" t="n"/>
      <c r="H477" s="91" t="n"/>
      <c r="I477" s="93" t="str">
        <f>IF(R477=0,"",IF(NOT(ISNUMBER(G477)),"",IF(ISNUMBER(X477),G477*X477,"UNIDADE A CONFERIR")))</f>
        <v/>
      </c>
      <c r="J477" s="91" t="n"/>
      <c r="K477" s="91" t="n"/>
      <c r="L477" s="93" t="str">
        <f>IF(R477=0,"",SUMIFS('RECEBIMENTOS'!$H$6:$H$1005,'RECEBIMENTOS'!$R$6:$R$1005,A477,'RECEBIMENTOS'!$X$6:$X$1005,1))</f>
        <v/>
      </c>
      <c r="M477" s="93" t="str">
        <f>IF(R477=0,"",SUMIFS('VÍNCULOS_CDF'!$H$6:$H$1005,'VÍNCULOS_CDF'!$R$6:$R$1005,A477,'VÍNCULOS_CDF'!$V$6:$V$1005,1))</f>
        <v/>
      </c>
      <c r="N477" s="99" t="str">
        <f>IF(OR(R477=0,AA477=0,NOT(ISNUMBER(I477))),"",I477-N(L477))</f>
        <v/>
      </c>
      <c r="O477" s="100" t="str">
        <f>IF(OR(R477=0,AK477&lt;=0),"",N(M477)/AK477)</f>
        <v/>
      </c>
      <c r="P477" s="94" t="str">
        <f>IF(R477=0,"",IF(S477="","Sem MTR associado",IF(U477=0,"MTR inexistente",IF(C477="","Resíduo não identificado",IF(V477=0,"Resíduo fora do cadastro",IF(W477=0,"Quantidade inválida",IF(H477="","Unidade não informada",IF(NOT(ISNUMBER(I477)),"Unidade a conferir",IF(AND(AH477=1,K477&lt;&gt;"Sim"),"Possível duplicidade",IF(Z477=1,"MTR cancelado",IF(AC477&gt;0,"Recebimento com alerta",IF(AA477=0,"Aguardando recebimento",IF(AB477&lt;AA477,"Recebimento a conferir",IF(AM477=1,"Quantidade a revisar",IF(AF477&gt;0,"Vínculo a revisar",IF(AD477=0,"Aguardando CDF",IF(AN477=0,"Vínculo de CDF parcial",IF(AE477&lt;AD477,"CDF a conferir","Documentação conferida"))))))))))))))))))</f>
        <v/>
      </c>
      <c r="Q477" s="93" t="str">
        <f>IF(OR(R477=0,AA477=0),"",MAX(0,N(L477)-N(M477)))</f>
        <v/>
      </c>
      <c r="R477" s="96">
        <f>IF(COUNTA(B477:C477,G477:H477,J477:K477)&gt;0,1,0)</f>
        <v>0</v>
      </c>
      <c r="S477" s="96" t="str">
        <f>IF(B477="","",TRIM(LEFT(B477,FIND(" |",B477&amp;" |")-1)))</f>
        <v/>
      </c>
      <c r="T477" s="96" t="str">
        <f>IF(S477="","",IFERROR(MATCH(S477,'MTRs'!$A$6:$A$505,0),""))</f>
        <v/>
      </c>
      <c r="U477" s="96">
        <f>IF(T477="",0,IF(INDEX('MTRs'!$Z$6:$Z$505,T477)=1,1,0))</f>
        <v>0</v>
      </c>
      <c r="V477" s="96">
        <f>IF(C477="",0,IF(ISNUMBER(MATCH(C477,'CAD_RESÍDUOS'!$B$6:$B$205,0)),1,0))</f>
        <v>0</v>
      </c>
      <c r="W477" s="96">
        <f>IF(AND(ISNUMBER(G477),G477&gt;0),1,0)</f>
        <v>0</v>
      </c>
      <c r="X477" s="96" t="str">
        <f>IF(H477="","",IFERROR(IF(ISNUMBER(INDEX(cfg_fac,MATCH(H477,cfg_units,0))),IF(INDEX(cfg_fac,MATCH(H477,cfg_units,0))&gt;0,INDEX(cfg_fac,MATCH(H477,cfg_units,0)),""),""),""))</f>
        <v/>
      </c>
      <c r="Y477" s="96">
        <f>IF(AND(W477=1,ISNUMBER(I477)),1,0)</f>
        <v>0</v>
      </c>
      <c r="Z477" s="96">
        <f>IF(U477=1,INDEX('MTRs'!$AA$6:$AA$505,T477),0)</f>
        <v>0</v>
      </c>
      <c r="AA477" s="96">
        <f>IF(R477=0,0,COUNTIFS('RECEBIMENTOS'!$R$6:$R$1005,A477,'RECEBIMENTOS'!$Q$6:$Q$1005,1))</f>
        <v>0</v>
      </c>
      <c r="AB477" s="96">
        <f>IF(R477=0,0,COUNTIFS('RECEBIMENTOS'!$R$6:$R$1005,A477,'RECEBIMENTOS'!$Z$6:$Z$1005,1))</f>
        <v>0</v>
      </c>
      <c r="AC477" s="96">
        <f>IF(R477=0,0,COUNTIFS('RECEBIMENTOS'!$R$6:$R$1005,A477,'RECEBIMENTOS'!$Y$6:$Y$1005,1))</f>
        <v>0</v>
      </c>
      <c r="AD477" s="96">
        <f>IF(R477=0,0,COUNTIFS('VÍNCULOS_CDF'!$R$6:$R$1005,A477,'VÍNCULOS_CDF'!$N$6:$N$1005,1))</f>
        <v>0</v>
      </c>
      <c r="AE477" s="96">
        <f>IF(R477=0,0,COUNTIFS('VÍNCULOS_CDF'!$R$6:$R$1005,A477,'VÍNCULOS_CDF'!$AA$6:$AA$1005,1))</f>
        <v>0</v>
      </c>
      <c r="AF477" s="96">
        <f>IF(R477=0,0,COUNTIFS('VÍNCULOS_CDF'!$R$6:$R$1005,A477,'VÍNCULOS_CDF'!$Y$6:$Y$1005,1))</f>
        <v>0</v>
      </c>
      <c r="AG477" s="96" t="str">
        <f>IF(AND(R477=1,S477&lt;&gt;"",C477&lt;&gt;""),S477&amp;"|"&amp;C477&amp;"|"&amp;G477&amp;"|"&amp;H477,"")</f>
        <v/>
      </c>
      <c r="AH477" s="96">
        <f>IF(AG477="",0,IF(SUMPRODUCT(--($AG$6:$AG$1005=AG477))&gt;1,1,0))</f>
        <v>0</v>
      </c>
      <c r="AI477" s="96">
        <f>IF(R477=0,0,IF(OR(U477=0,V477=0,Y477=0,AND(AH477=1,K477&lt;&gt;"Sim")),1,0))</f>
        <v>0</v>
      </c>
      <c r="AJ477" s="96">
        <f>IF(AND(R477=1,AA477&gt;0,AB477=AA477),1,0)</f>
        <v>0</v>
      </c>
      <c r="AK477" s="96">
        <f>IF(R477=0,0,IF(AA477&gt;0,N(L477),IF(ISNUMBER(I477),I477,0)))</f>
        <v>0</v>
      </c>
      <c r="AL477" s="96">
        <f>IF(R477=0,0,IF(AND(K477&lt;&gt;"Sim",N(M477)&gt;AK477+cfg_tol),1,0))</f>
        <v>0</v>
      </c>
      <c r="AM477" s="96">
        <f>IF(R477=0,0,IF(K477="Sim",0,IF(OR(AND(AA477&gt;0,ISNUMBER(I477),ABS(I477-N(L477))&gt;cfg_tol),AL477=1),1,0)))</f>
        <v>0</v>
      </c>
      <c r="AN477" s="96">
        <f>IF(AND(R477=1,N(M477)&gt;0,OR(N(M477)&gt;=AK477-cfg_tol,K477="Sim")),1,0)</f>
        <v>0</v>
      </c>
      <c r="AO477" s="96">
        <f>IF(AND(AN477=1,AD477&gt;0,AE477=AD477,AL477=0),1,0)</f>
        <v>0</v>
      </c>
      <c r="AP477" s="96">
        <f>IF(U477=0,0,IF(AND(INDEX('MTRs'!$AX$6:$AX$505,T477)=1,Z477=0,OR(f_res="",f_res="(Todos)",C477=f_res)),1,0))</f>
        <v>0</v>
      </c>
      <c r="AQ477" s="97" t="str">
        <f>IF(U477=0,"",INDEX('MTRs'!$AZ$6:$AZ$505,T477))</f>
        <v/>
      </c>
      <c r="AR477" s="96">
        <f>IF(U477=0,0,IF(AND(INDEX('MTRs'!$BA$6:$BA$505,T477)=1,Z477=0),1,0))</f>
        <v>0</v>
      </c>
      <c r="AS477" s="96" t="str">
        <f>IF(R477=1,A477&amp;" | MTR "&amp;IF(U477=1,INDEX('MTRs'!$B$6:$B$505,T477)&amp;"","?")&amp;" | "&amp;IF(C477="","(sem resíduo)",C477),"")</f>
        <v/>
      </c>
      <c r="AT477" s="96" t="str">
        <f>IF(R477=1,COUNTIF($R$6:R477,1),"")</f>
        <v/>
      </c>
      <c r="AU477" s="96" t="str">
        <f>IF(U477=1,INDEX('MTRs'!$I$6:$I$505,T477)&amp;"","")</f>
        <v/>
      </c>
    </row>
    <row r="478">
      <c r="A478" s="89" t="inlineStr">
        <is>
          <t>IT-000473</t>
        </is>
      </c>
      <c r="B478" s="91" t="n"/>
      <c r="C478" s="91" t="n"/>
      <c r="D478" s="94" t="str">
        <f>IF(OR(R478=0,V478=0),"",INDEX('CAD_RESÍDUOS'!$E$6:$E$205,MATCH(C478,'CAD_RESÍDUOS'!$B$6:$B$205,0))&amp;"")</f>
        <v/>
      </c>
      <c r="E478" s="94" t="str">
        <f>IF(OR(R478=0,V478=0),"",INDEX('CAD_RESÍDUOS'!$C$6:$C$205,MATCH(C478,'CAD_RESÍDUOS'!$B$6:$B$205,0))&amp;"")</f>
        <v/>
      </c>
      <c r="F478" s="94" t="str">
        <f>IF(OR(R478=0,V478=0),"",INDEX('CAD_RESÍDUOS'!$G$6:$G$205,MATCH(C478,'CAD_RESÍDUOS'!$B$6:$B$205,0))&amp;"")</f>
        <v/>
      </c>
      <c r="G478" s="98" t="n"/>
      <c r="H478" s="91" t="n"/>
      <c r="I478" s="93" t="str">
        <f>IF(R478=0,"",IF(NOT(ISNUMBER(G478)),"",IF(ISNUMBER(X478),G478*X478,"UNIDADE A CONFERIR")))</f>
        <v/>
      </c>
      <c r="J478" s="91" t="n"/>
      <c r="K478" s="91" t="n"/>
      <c r="L478" s="93" t="str">
        <f>IF(R478=0,"",SUMIFS('RECEBIMENTOS'!$H$6:$H$1005,'RECEBIMENTOS'!$R$6:$R$1005,A478,'RECEBIMENTOS'!$X$6:$X$1005,1))</f>
        <v/>
      </c>
      <c r="M478" s="93" t="str">
        <f>IF(R478=0,"",SUMIFS('VÍNCULOS_CDF'!$H$6:$H$1005,'VÍNCULOS_CDF'!$R$6:$R$1005,A478,'VÍNCULOS_CDF'!$V$6:$V$1005,1))</f>
        <v/>
      </c>
      <c r="N478" s="99" t="str">
        <f>IF(OR(R478=0,AA478=0,NOT(ISNUMBER(I478))),"",I478-N(L478))</f>
        <v/>
      </c>
      <c r="O478" s="100" t="str">
        <f>IF(OR(R478=0,AK478&lt;=0),"",N(M478)/AK478)</f>
        <v/>
      </c>
      <c r="P478" s="94" t="str">
        <f>IF(R478=0,"",IF(S478="","Sem MTR associado",IF(U478=0,"MTR inexistente",IF(C478="","Resíduo não identificado",IF(V478=0,"Resíduo fora do cadastro",IF(W478=0,"Quantidade inválida",IF(H478="","Unidade não informada",IF(NOT(ISNUMBER(I478)),"Unidade a conferir",IF(AND(AH478=1,K478&lt;&gt;"Sim"),"Possível duplicidade",IF(Z478=1,"MTR cancelado",IF(AC478&gt;0,"Recebimento com alerta",IF(AA478=0,"Aguardando recebimento",IF(AB478&lt;AA478,"Recebimento a conferir",IF(AM478=1,"Quantidade a revisar",IF(AF478&gt;0,"Vínculo a revisar",IF(AD478=0,"Aguardando CDF",IF(AN478=0,"Vínculo de CDF parcial",IF(AE478&lt;AD478,"CDF a conferir","Documentação conferida"))))))))))))))))))</f>
        <v/>
      </c>
      <c r="Q478" s="93" t="str">
        <f>IF(OR(R478=0,AA478=0),"",MAX(0,N(L478)-N(M478)))</f>
        <v/>
      </c>
      <c r="R478" s="96">
        <f>IF(COUNTA(B478:C478,G478:H478,J478:K478)&gt;0,1,0)</f>
        <v>0</v>
      </c>
      <c r="S478" s="96" t="str">
        <f>IF(B478="","",TRIM(LEFT(B478,FIND(" |",B478&amp;" |")-1)))</f>
        <v/>
      </c>
      <c r="T478" s="96" t="str">
        <f>IF(S478="","",IFERROR(MATCH(S478,'MTRs'!$A$6:$A$505,0),""))</f>
        <v/>
      </c>
      <c r="U478" s="96">
        <f>IF(T478="",0,IF(INDEX('MTRs'!$Z$6:$Z$505,T478)=1,1,0))</f>
        <v>0</v>
      </c>
      <c r="V478" s="96">
        <f>IF(C478="",0,IF(ISNUMBER(MATCH(C478,'CAD_RESÍDUOS'!$B$6:$B$205,0)),1,0))</f>
        <v>0</v>
      </c>
      <c r="W478" s="96">
        <f>IF(AND(ISNUMBER(G478),G478&gt;0),1,0)</f>
        <v>0</v>
      </c>
      <c r="X478" s="96" t="str">
        <f>IF(H478="","",IFERROR(IF(ISNUMBER(INDEX(cfg_fac,MATCH(H478,cfg_units,0))),IF(INDEX(cfg_fac,MATCH(H478,cfg_units,0))&gt;0,INDEX(cfg_fac,MATCH(H478,cfg_units,0)),""),""),""))</f>
        <v/>
      </c>
      <c r="Y478" s="96">
        <f>IF(AND(W478=1,ISNUMBER(I478)),1,0)</f>
        <v>0</v>
      </c>
      <c r="Z478" s="96">
        <f>IF(U478=1,INDEX('MTRs'!$AA$6:$AA$505,T478),0)</f>
        <v>0</v>
      </c>
      <c r="AA478" s="96">
        <f>IF(R478=0,0,COUNTIFS('RECEBIMENTOS'!$R$6:$R$1005,A478,'RECEBIMENTOS'!$Q$6:$Q$1005,1))</f>
        <v>0</v>
      </c>
      <c r="AB478" s="96">
        <f>IF(R478=0,0,COUNTIFS('RECEBIMENTOS'!$R$6:$R$1005,A478,'RECEBIMENTOS'!$Z$6:$Z$1005,1))</f>
        <v>0</v>
      </c>
      <c r="AC478" s="96">
        <f>IF(R478=0,0,COUNTIFS('RECEBIMENTOS'!$R$6:$R$1005,A478,'RECEBIMENTOS'!$Y$6:$Y$1005,1))</f>
        <v>0</v>
      </c>
      <c r="AD478" s="96">
        <f>IF(R478=0,0,COUNTIFS('VÍNCULOS_CDF'!$R$6:$R$1005,A478,'VÍNCULOS_CDF'!$N$6:$N$1005,1))</f>
        <v>0</v>
      </c>
      <c r="AE478" s="96">
        <f>IF(R478=0,0,COUNTIFS('VÍNCULOS_CDF'!$R$6:$R$1005,A478,'VÍNCULOS_CDF'!$AA$6:$AA$1005,1))</f>
        <v>0</v>
      </c>
      <c r="AF478" s="96">
        <f>IF(R478=0,0,COUNTIFS('VÍNCULOS_CDF'!$R$6:$R$1005,A478,'VÍNCULOS_CDF'!$Y$6:$Y$1005,1))</f>
        <v>0</v>
      </c>
      <c r="AG478" s="96" t="str">
        <f>IF(AND(R478=1,S478&lt;&gt;"",C478&lt;&gt;""),S478&amp;"|"&amp;C478&amp;"|"&amp;G478&amp;"|"&amp;H478,"")</f>
        <v/>
      </c>
      <c r="AH478" s="96">
        <f>IF(AG478="",0,IF(SUMPRODUCT(--($AG$6:$AG$1005=AG478))&gt;1,1,0))</f>
        <v>0</v>
      </c>
      <c r="AI478" s="96">
        <f>IF(R478=0,0,IF(OR(U478=0,V478=0,Y478=0,AND(AH478=1,K478&lt;&gt;"Sim")),1,0))</f>
        <v>0</v>
      </c>
      <c r="AJ478" s="96">
        <f>IF(AND(R478=1,AA478&gt;0,AB478=AA478),1,0)</f>
        <v>0</v>
      </c>
      <c r="AK478" s="96">
        <f>IF(R478=0,0,IF(AA478&gt;0,N(L478),IF(ISNUMBER(I478),I478,0)))</f>
        <v>0</v>
      </c>
      <c r="AL478" s="96">
        <f>IF(R478=0,0,IF(AND(K478&lt;&gt;"Sim",N(M478)&gt;AK478+cfg_tol),1,0))</f>
        <v>0</v>
      </c>
      <c r="AM478" s="96">
        <f>IF(R478=0,0,IF(K478="Sim",0,IF(OR(AND(AA478&gt;0,ISNUMBER(I478),ABS(I478-N(L478))&gt;cfg_tol),AL478=1),1,0)))</f>
        <v>0</v>
      </c>
      <c r="AN478" s="96">
        <f>IF(AND(R478=1,N(M478)&gt;0,OR(N(M478)&gt;=AK478-cfg_tol,K478="Sim")),1,0)</f>
        <v>0</v>
      </c>
      <c r="AO478" s="96">
        <f>IF(AND(AN478=1,AD478&gt;0,AE478=AD478,AL478=0),1,0)</f>
        <v>0</v>
      </c>
      <c r="AP478" s="96">
        <f>IF(U478=0,0,IF(AND(INDEX('MTRs'!$AX$6:$AX$505,T478)=1,Z478=0,OR(f_res="",f_res="(Todos)",C478=f_res)),1,0))</f>
        <v>0</v>
      </c>
      <c r="AQ478" s="97" t="str">
        <f>IF(U478=0,"",INDEX('MTRs'!$AZ$6:$AZ$505,T478))</f>
        <v/>
      </c>
      <c r="AR478" s="96">
        <f>IF(U478=0,0,IF(AND(INDEX('MTRs'!$BA$6:$BA$505,T478)=1,Z478=0),1,0))</f>
        <v>0</v>
      </c>
      <c r="AS478" s="96" t="str">
        <f>IF(R478=1,A478&amp;" | MTR "&amp;IF(U478=1,INDEX('MTRs'!$B$6:$B$505,T478)&amp;"","?")&amp;" | "&amp;IF(C478="","(sem resíduo)",C478),"")</f>
        <v/>
      </c>
      <c r="AT478" s="96" t="str">
        <f>IF(R478=1,COUNTIF($R$6:R478,1),"")</f>
        <v/>
      </c>
      <c r="AU478" s="96" t="str">
        <f>IF(U478=1,INDEX('MTRs'!$I$6:$I$505,T478)&amp;"","")</f>
        <v/>
      </c>
    </row>
    <row r="479">
      <c r="A479" s="89" t="inlineStr">
        <is>
          <t>IT-000474</t>
        </is>
      </c>
      <c r="B479" s="91" t="n"/>
      <c r="C479" s="91" t="n"/>
      <c r="D479" s="94" t="str">
        <f>IF(OR(R479=0,V479=0),"",INDEX('CAD_RESÍDUOS'!$E$6:$E$205,MATCH(C479,'CAD_RESÍDUOS'!$B$6:$B$205,0))&amp;"")</f>
        <v/>
      </c>
      <c r="E479" s="94" t="str">
        <f>IF(OR(R479=0,V479=0),"",INDEX('CAD_RESÍDUOS'!$C$6:$C$205,MATCH(C479,'CAD_RESÍDUOS'!$B$6:$B$205,0))&amp;"")</f>
        <v/>
      </c>
      <c r="F479" s="94" t="str">
        <f>IF(OR(R479=0,V479=0),"",INDEX('CAD_RESÍDUOS'!$G$6:$G$205,MATCH(C479,'CAD_RESÍDUOS'!$B$6:$B$205,0))&amp;"")</f>
        <v/>
      </c>
      <c r="G479" s="98" t="n"/>
      <c r="H479" s="91" t="n"/>
      <c r="I479" s="93" t="str">
        <f>IF(R479=0,"",IF(NOT(ISNUMBER(G479)),"",IF(ISNUMBER(X479),G479*X479,"UNIDADE A CONFERIR")))</f>
        <v/>
      </c>
      <c r="J479" s="91" t="n"/>
      <c r="K479" s="91" t="n"/>
      <c r="L479" s="93" t="str">
        <f>IF(R479=0,"",SUMIFS('RECEBIMENTOS'!$H$6:$H$1005,'RECEBIMENTOS'!$R$6:$R$1005,A479,'RECEBIMENTOS'!$X$6:$X$1005,1))</f>
        <v/>
      </c>
      <c r="M479" s="93" t="str">
        <f>IF(R479=0,"",SUMIFS('VÍNCULOS_CDF'!$H$6:$H$1005,'VÍNCULOS_CDF'!$R$6:$R$1005,A479,'VÍNCULOS_CDF'!$V$6:$V$1005,1))</f>
        <v/>
      </c>
      <c r="N479" s="99" t="str">
        <f>IF(OR(R479=0,AA479=0,NOT(ISNUMBER(I479))),"",I479-N(L479))</f>
        <v/>
      </c>
      <c r="O479" s="100" t="str">
        <f>IF(OR(R479=0,AK479&lt;=0),"",N(M479)/AK479)</f>
        <v/>
      </c>
      <c r="P479" s="94" t="str">
        <f>IF(R479=0,"",IF(S479="","Sem MTR associado",IF(U479=0,"MTR inexistente",IF(C479="","Resíduo não identificado",IF(V479=0,"Resíduo fora do cadastro",IF(W479=0,"Quantidade inválida",IF(H479="","Unidade não informada",IF(NOT(ISNUMBER(I479)),"Unidade a conferir",IF(AND(AH479=1,K479&lt;&gt;"Sim"),"Possível duplicidade",IF(Z479=1,"MTR cancelado",IF(AC479&gt;0,"Recebimento com alerta",IF(AA479=0,"Aguardando recebimento",IF(AB479&lt;AA479,"Recebimento a conferir",IF(AM479=1,"Quantidade a revisar",IF(AF479&gt;0,"Vínculo a revisar",IF(AD479=0,"Aguardando CDF",IF(AN479=0,"Vínculo de CDF parcial",IF(AE479&lt;AD479,"CDF a conferir","Documentação conferida"))))))))))))))))))</f>
        <v/>
      </c>
      <c r="Q479" s="93" t="str">
        <f>IF(OR(R479=0,AA479=0),"",MAX(0,N(L479)-N(M479)))</f>
        <v/>
      </c>
      <c r="R479" s="96">
        <f>IF(COUNTA(B479:C479,G479:H479,J479:K479)&gt;0,1,0)</f>
        <v>0</v>
      </c>
      <c r="S479" s="96" t="str">
        <f>IF(B479="","",TRIM(LEFT(B479,FIND(" |",B479&amp;" |")-1)))</f>
        <v/>
      </c>
      <c r="T479" s="96" t="str">
        <f>IF(S479="","",IFERROR(MATCH(S479,'MTRs'!$A$6:$A$505,0),""))</f>
        <v/>
      </c>
      <c r="U479" s="96">
        <f>IF(T479="",0,IF(INDEX('MTRs'!$Z$6:$Z$505,T479)=1,1,0))</f>
        <v>0</v>
      </c>
      <c r="V479" s="96">
        <f>IF(C479="",0,IF(ISNUMBER(MATCH(C479,'CAD_RESÍDUOS'!$B$6:$B$205,0)),1,0))</f>
        <v>0</v>
      </c>
      <c r="W479" s="96">
        <f>IF(AND(ISNUMBER(G479),G479&gt;0),1,0)</f>
        <v>0</v>
      </c>
      <c r="X479" s="96" t="str">
        <f>IF(H479="","",IFERROR(IF(ISNUMBER(INDEX(cfg_fac,MATCH(H479,cfg_units,0))),IF(INDEX(cfg_fac,MATCH(H479,cfg_units,0))&gt;0,INDEX(cfg_fac,MATCH(H479,cfg_units,0)),""),""),""))</f>
        <v/>
      </c>
      <c r="Y479" s="96">
        <f>IF(AND(W479=1,ISNUMBER(I479)),1,0)</f>
        <v>0</v>
      </c>
      <c r="Z479" s="96">
        <f>IF(U479=1,INDEX('MTRs'!$AA$6:$AA$505,T479),0)</f>
        <v>0</v>
      </c>
      <c r="AA479" s="96">
        <f>IF(R479=0,0,COUNTIFS('RECEBIMENTOS'!$R$6:$R$1005,A479,'RECEBIMENTOS'!$Q$6:$Q$1005,1))</f>
        <v>0</v>
      </c>
      <c r="AB479" s="96">
        <f>IF(R479=0,0,COUNTIFS('RECEBIMENTOS'!$R$6:$R$1005,A479,'RECEBIMENTOS'!$Z$6:$Z$1005,1))</f>
        <v>0</v>
      </c>
      <c r="AC479" s="96">
        <f>IF(R479=0,0,COUNTIFS('RECEBIMENTOS'!$R$6:$R$1005,A479,'RECEBIMENTOS'!$Y$6:$Y$1005,1))</f>
        <v>0</v>
      </c>
      <c r="AD479" s="96">
        <f>IF(R479=0,0,COUNTIFS('VÍNCULOS_CDF'!$R$6:$R$1005,A479,'VÍNCULOS_CDF'!$N$6:$N$1005,1))</f>
        <v>0</v>
      </c>
      <c r="AE479" s="96">
        <f>IF(R479=0,0,COUNTIFS('VÍNCULOS_CDF'!$R$6:$R$1005,A479,'VÍNCULOS_CDF'!$AA$6:$AA$1005,1))</f>
        <v>0</v>
      </c>
      <c r="AF479" s="96">
        <f>IF(R479=0,0,COUNTIFS('VÍNCULOS_CDF'!$R$6:$R$1005,A479,'VÍNCULOS_CDF'!$Y$6:$Y$1005,1))</f>
        <v>0</v>
      </c>
      <c r="AG479" s="96" t="str">
        <f>IF(AND(R479=1,S479&lt;&gt;"",C479&lt;&gt;""),S479&amp;"|"&amp;C479&amp;"|"&amp;G479&amp;"|"&amp;H479,"")</f>
        <v/>
      </c>
      <c r="AH479" s="96">
        <f>IF(AG479="",0,IF(SUMPRODUCT(--($AG$6:$AG$1005=AG479))&gt;1,1,0))</f>
        <v>0</v>
      </c>
      <c r="AI479" s="96">
        <f>IF(R479=0,0,IF(OR(U479=0,V479=0,Y479=0,AND(AH479=1,K479&lt;&gt;"Sim")),1,0))</f>
        <v>0</v>
      </c>
      <c r="AJ479" s="96">
        <f>IF(AND(R479=1,AA479&gt;0,AB479=AA479),1,0)</f>
        <v>0</v>
      </c>
      <c r="AK479" s="96">
        <f>IF(R479=0,0,IF(AA479&gt;0,N(L479),IF(ISNUMBER(I479),I479,0)))</f>
        <v>0</v>
      </c>
      <c r="AL479" s="96">
        <f>IF(R479=0,0,IF(AND(K479&lt;&gt;"Sim",N(M479)&gt;AK479+cfg_tol),1,0))</f>
        <v>0</v>
      </c>
      <c r="AM479" s="96">
        <f>IF(R479=0,0,IF(K479="Sim",0,IF(OR(AND(AA479&gt;0,ISNUMBER(I479),ABS(I479-N(L479))&gt;cfg_tol),AL479=1),1,0)))</f>
        <v>0</v>
      </c>
      <c r="AN479" s="96">
        <f>IF(AND(R479=1,N(M479)&gt;0,OR(N(M479)&gt;=AK479-cfg_tol,K479="Sim")),1,0)</f>
        <v>0</v>
      </c>
      <c r="AO479" s="96">
        <f>IF(AND(AN479=1,AD479&gt;0,AE479=AD479,AL479=0),1,0)</f>
        <v>0</v>
      </c>
      <c r="AP479" s="96">
        <f>IF(U479=0,0,IF(AND(INDEX('MTRs'!$AX$6:$AX$505,T479)=1,Z479=0,OR(f_res="",f_res="(Todos)",C479=f_res)),1,0))</f>
        <v>0</v>
      </c>
      <c r="AQ479" s="97" t="str">
        <f>IF(U479=0,"",INDEX('MTRs'!$AZ$6:$AZ$505,T479))</f>
        <v/>
      </c>
      <c r="AR479" s="96">
        <f>IF(U479=0,0,IF(AND(INDEX('MTRs'!$BA$6:$BA$505,T479)=1,Z479=0),1,0))</f>
        <v>0</v>
      </c>
      <c r="AS479" s="96" t="str">
        <f>IF(R479=1,A479&amp;" | MTR "&amp;IF(U479=1,INDEX('MTRs'!$B$6:$B$505,T479)&amp;"","?")&amp;" | "&amp;IF(C479="","(sem resíduo)",C479),"")</f>
        <v/>
      </c>
      <c r="AT479" s="96" t="str">
        <f>IF(R479=1,COUNTIF($R$6:R479,1),"")</f>
        <v/>
      </c>
      <c r="AU479" s="96" t="str">
        <f>IF(U479=1,INDEX('MTRs'!$I$6:$I$505,T479)&amp;"","")</f>
        <v/>
      </c>
    </row>
    <row r="480">
      <c r="A480" s="89" t="inlineStr">
        <is>
          <t>IT-000475</t>
        </is>
      </c>
      <c r="B480" s="91" t="n"/>
      <c r="C480" s="91" t="n"/>
      <c r="D480" s="94" t="str">
        <f>IF(OR(R480=0,V480=0),"",INDEX('CAD_RESÍDUOS'!$E$6:$E$205,MATCH(C480,'CAD_RESÍDUOS'!$B$6:$B$205,0))&amp;"")</f>
        <v/>
      </c>
      <c r="E480" s="94" t="str">
        <f>IF(OR(R480=0,V480=0),"",INDEX('CAD_RESÍDUOS'!$C$6:$C$205,MATCH(C480,'CAD_RESÍDUOS'!$B$6:$B$205,0))&amp;"")</f>
        <v/>
      </c>
      <c r="F480" s="94" t="str">
        <f>IF(OR(R480=0,V480=0),"",INDEX('CAD_RESÍDUOS'!$G$6:$G$205,MATCH(C480,'CAD_RESÍDUOS'!$B$6:$B$205,0))&amp;"")</f>
        <v/>
      </c>
      <c r="G480" s="98" t="n"/>
      <c r="H480" s="91" t="n"/>
      <c r="I480" s="93" t="str">
        <f>IF(R480=0,"",IF(NOT(ISNUMBER(G480)),"",IF(ISNUMBER(X480),G480*X480,"UNIDADE A CONFERIR")))</f>
        <v/>
      </c>
      <c r="J480" s="91" t="n"/>
      <c r="K480" s="91" t="n"/>
      <c r="L480" s="93" t="str">
        <f>IF(R480=0,"",SUMIFS('RECEBIMENTOS'!$H$6:$H$1005,'RECEBIMENTOS'!$R$6:$R$1005,A480,'RECEBIMENTOS'!$X$6:$X$1005,1))</f>
        <v/>
      </c>
      <c r="M480" s="93" t="str">
        <f>IF(R480=0,"",SUMIFS('VÍNCULOS_CDF'!$H$6:$H$1005,'VÍNCULOS_CDF'!$R$6:$R$1005,A480,'VÍNCULOS_CDF'!$V$6:$V$1005,1))</f>
        <v/>
      </c>
      <c r="N480" s="99" t="str">
        <f>IF(OR(R480=0,AA480=0,NOT(ISNUMBER(I480))),"",I480-N(L480))</f>
        <v/>
      </c>
      <c r="O480" s="100" t="str">
        <f>IF(OR(R480=0,AK480&lt;=0),"",N(M480)/AK480)</f>
        <v/>
      </c>
      <c r="P480" s="94" t="str">
        <f>IF(R480=0,"",IF(S480="","Sem MTR associado",IF(U480=0,"MTR inexistente",IF(C480="","Resíduo não identificado",IF(V480=0,"Resíduo fora do cadastro",IF(W480=0,"Quantidade inválida",IF(H480="","Unidade não informada",IF(NOT(ISNUMBER(I480)),"Unidade a conferir",IF(AND(AH480=1,K480&lt;&gt;"Sim"),"Possível duplicidade",IF(Z480=1,"MTR cancelado",IF(AC480&gt;0,"Recebimento com alerta",IF(AA480=0,"Aguardando recebimento",IF(AB480&lt;AA480,"Recebimento a conferir",IF(AM480=1,"Quantidade a revisar",IF(AF480&gt;0,"Vínculo a revisar",IF(AD480=0,"Aguardando CDF",IF(AN480=0,"Vínculo de CDF parcial",IF(AE480&lt;AD480,"CDF a conferir","Documentação conferida"))))))))))))))))))</f>
        <v/>
      </c>
      <c r="Q480" s="93" t="str">
        <f>IF(OR(R480=0,AA480=0),"",MAX(0,N(L480)-N(M480)))</f>
        <v/>
      </c>
      <c r="R480" s="96">
        <f>IF(COUNTA(B480:C480,G480:H480,J480:K480)&gt;0,1,0)</f>
        <v>0</v>
      </c>
      <c r="S480" s="96" t="str">
        <f>IF(B480="","",TRIM(LEFT(B480,FIND(" |",B480&amp;" |")-1)))</f>
        <v/>
      </c>
      <c r="T480" s="96" t="str">
        <f>IF(S480="","",IFERROR(MATCH(S480,'MTRs'!$A$6:$A$505,0),""))</f>
        <v/>
      </c>
      <c r="U480" s="96">
        <f>IF(T480="",0,IF(INDEX('MTRs'!$Z$6:$Z$505,T480)=1,1,0))</f>
        <v>0</v>
      </c>
      <c r="V480" s="96">
        <f>IF(C480="",0,IF(ISNUMBER(MATCH(C480,'CAD_RESÍDUOS'!$B$6:$B$205,0)),1,0))</f>
        <v>0</v>
      </c>
      <c r="W480" s="96">
        <f>IF(AND(ISNUMBER(G480),G480&gt;0),1,0)</f>
        <v>0</v>
      </c>
      <c r="X480" s="96" t="str">
        <f>IF(H480="","",IFERROR(IF(ISNUMBER(INDEX(cfg_fac,MATCH(H480,cfg_units,0))),IF(INDEX(cfg_fac,MATCH(H480,cfg_units,0))&gt;0,INDEX(cfg_fac,MATCH(H480,cfg_units,0)),""),""),""))</f>
        <v/>
      </c>
      <c r="Y480" s="96">
        <f>IF(AND(W480=1,ISNUMBER(I480)),1,0)</f>
        <v>0</v>
      </c>
      <c r="Z480" s="96">
        <f>IF(U480=1,INDEX('MTRs'!$AA$6:$AA$505,T480),0)</f>
        <v>0</v>
      </c>
      <c r="AA480" s="96">
        <f>IF(R480=0,0,COUNTIFS('RECEBIMENTOS'!$R$6:$R$1005,A480,'RECEBIMENTOS'!$Q$6:$Q$1005,1))</f>
        <v>0</v>
      </c>
      <c r="AB480" s="96">
        <f>IF(R480=0,0,COUNTIFS('RECEBIMENTOS'!$R$6:$R$1005,A480,'RECEBIMENTOS'!$Z$6:$Z$1005,1))</f>
        <v>0</v>
      </c>
      <c r="AC480" s="96">
        <f>IF(R480=0,0,COUNTIFS('RECEBIMENTOS'!$R$6:$R$1005,A480,'RECEBIMENTOS'!$Y$6:$Y$1005,1))</f>
        <v>0</v>
      </c>
      <c r="AD480" s="96">
        <f>IF(R480=0,0,COUNTIFS('VÍNCULOS_CDF'!$R$6:$R$1005,A480,'VÍNCULOS_CDF'!$N$6:$N$1005,1))</f>
        <v>0</v>
      </c>
      <c r="AE480" s="96">
        <f>IF(R480=0,0,COUNTIFS('VÍNCULOS_CDF'!$R$6:$R$1005,A480,'VÍNCULOS_CDF'!$AA$6:$AA$1005,1))</f>
        <v>0</v>
      </c>
      <c r="AF480" s="96">
        <f>IF(R480=0,0,COUNTIFS('VÍNCULOS_CDF'!$R$6:$R$1005,A480,'VÍNCULOS_CDF'!$Y$6:$Y$1005,1))</f>
        <v>0</v>
      </c>
      <c r="AG480" s="96" t="str">
        <f>IF(AND(R480=1,S480&lt;&gt;"",C480&lt;&gt;""),S480&amp;"|"&amp;C480&amp;"|"&amp;G480&amp;"|"&amp;H480,"")</f>
        <v/>
      </c>
      <c r="AH480" s="96">
        <f>IF(AG480="",0,IF(SUMPRODUCT(--($AG$6:$AG$1005=AG480))&gt;1,1,0))</f>
        <v>0</v>
      </c>
      <c r="AI480" s="96">
        <f>IF(R480=0,0,IF(OR(U480=0,V480=0,Y480=0,AND(AH480=1,K480&lt;&gt;"Sim")),1,0))</f>
        <v>0</v>
      </c>
      <c r="AJ480" s="96">
        <f>IF(AND(R480=1,AA480&gt;0,AB480=AA480),1,0)</f>
        <v>0</v>
      </c>
      <c r="AK480" s="96">
        <f>IF(R480=0,0,IF(AA480&gt;0,N(L480),IF(ISNUMBER(I480),I480,0)))</f>
        <v>0</v>
      </c>
      <c r="AL480" s="96">
        <f>IF(R480=0,0,IF(AND(K480&lt;&gt;"Sim",N(M480)&gt;AK480+cfg_tol),1,0))</f>
        <v>0</v>
      </c>
      <c r="AM480" s="96">
        <f>IF(R480=0,0,IF(K480="Sim",0,IF(OR(AND(AA480&gt;0,ISNUMBER(I480),ABS(I480-N(L480))&gt;cfg_tol),AL480=1),1,0)))</f>
        <v>0</v>
      </c>
      <c r="AN480" s="96">
        <f>IF(AND(R480=1,N(M480)&gt;0,OR(N(M480)&gt;=AK480-cfg_tol,K480="Sim")),1,0)</f>
        <v>0</v>
      </c>
      <c r="AO480" s="96">
        <f>IF(AND(AN480=1,AD480&gt;0,AE480=AD480,AL480=0),1,0)</f>
        <v>0</v>
      </c>
      <c r="AP480" s="96">
        <f>IF(U480=0,0,IF(AND(INDEX('MTRs'!$AX$6:$AX$505,T480)=1,Z480=0,OR(f_res="",f_res="(Todos)",C480=f_res)),1,0))</f>
        <v>0</v>
      </c>
      <c r="AQ480" s="97" t="str">
        <f>IF(U480=0,"",INDEX('MTRs'!$AZ$6:$AZ$505,T480))</f>
        <v/>
      </c>
      <c r="AR480" s="96">
        <f>IF(U480=0,0,IF(AND(INDEX('MTRs'!$BA$6:$BA$505,T480)=1,Z480=0),1,0))</f>
        <v>0</v>
      </c>
      <c r="AS480" s="96" t="str">
        <f>IF(R480=1,A480&amp;" | MTR "&amp;IF(U480=1,INDEX('MTRs'!$B$6:$B$505,T480)&amp;"","?")&amp;" | "&amp;IF(C480="","(sem resíduo)",C480),"")</f>
        <v/>
      </c>
      <c r="AT480" s="96" t="str">
        <f>IF(R480=1,COUNTIF($R$6:R480,1),"")</f>
        <v/>
      </c>
      <c r="AU480" s="96" t="str">
        <f>IF(U480=1,INDEX('MTRs'!$I$6:$I$505,T480)&amp;"","")</f>
        <v/>
      </c>
    </row>
    <row r="481">
      <c r="A481" s="89" t="inlineStr">
        <is>
          <t>IT-000476</t>
        </is>
      </c>
      <c r="B481" s="91" t="n"/>
      <c r="C481" s="91" t="n"/>
      <c r="D481" s="94" t="str">
        <f>IF(OR(R481=0,V481=0),"",INDEX('CAD_RESÍDUOS'!$E$6:$E$205,MATCH(C481,'CAD_RESÍDUOS'!$B$6:$B$205,0))&amp;"")</f>
        <v/>
      </c>
      <c r="E481" s="94" t="str">
        <f>IF(OR(R481=0,V481=0),"",INDEX('CAD_RESÍDUOS'!$C$6:$C$205,MATCH(C481,'CAD_RESÍDUOS'!$B$6:$B$205,0))&amp;"")</f>
        <v/>
      </c>
      <c r="F481" s="94" t="str">
        <f>IF(OR(R481=0,V481=0),"",INDEX('CAD_RESÍDUOS'!$G$6:$G$205,MATCH(C481,'CAD_RESÍDUOS'!$B$6:$B$205,0))&amp;"")</f>
        <v/>
      </c>
      <c r="G481" s="98" t="n"/>
      <c r="H481" s="91" t="n"/>
      <c r="I481" s="93" t="str">
        <f>IF(R481=0,"",IF(NOT(ISNUMBER(G481)),"",IF(ISNUMBER(X481),G481*X481,"UNIDADE A CONFERIR")))</f>
        <v/>
      </c>
      <c r="J481" s="91" t="n"/>
      <c r="K481" s="91" t="n"/>
      <c r="L481" s="93" t="str">
        <f>IF(R481=0,"",SUMIFS('RECEBIMENTOS'!$H$6:$H$1005,'RECEBIMENTOS'!$R$6:$R$1005,A481,'RECEBIMENTOS'!$X$6:$X$1005,1))</f>
        <v/>
      </c>
      <c r="M481" s="93" t="str">
        <f>IF(R481=0,"",SUMIFS('VÍNCULOS_CDF'!$H$6:$H$1005,'VÍNCULOS_CDF'!$R$6:$R$1005,A481,'VÍNCULOS_CDF'!$V$6:$V$1005,1))</f>
        <v/>
      </c>
      <c r="N481" s="99" t="str">
        <f>IF(OR(R481=0,AA481=0,NOT(ISNUMBER(I481))),"",I481-N(L481))</f>
        <v/>
      </c>
      <c r="O481" s="100" t="str">
        <f>IF(OR(R481=0,AK481&lt;=0),"",N(M481)/AK481)</f>
        <v/>
      </c>
      <c r="P481" s="94" t="str">
        <f>IF(R481=0,"",IF(S481="","Sem MTR associado",IF(U481=0,"MTR inexistente",IF(C481="","Resíduo não identificado",IF(V481=0,"Resíduo fora do cadastro",IF(W481=0,"Quantidade inválida",IF(H481="","Unidade não informada",IF(NOT(ISNUMBER(I481)),"Unidade a conferir",IF(AND(AH481=1,K481&lt;&gt;"Sim"),"Possível duplicidade",IF(Z481=1,"MTR cancelado",IF(AC481&gt;0,"Recebimento com alerta",IF(AA481=0,"Aguardando recebimento",IF(AB481&lt;AA481,"Recebimento a conferir",IF(AM481=1,"Quantidade a revisar",IF(AF481&gt;0,"Vínculo a revisar",IF(AD481=0,"Aguardando CDF",IF(AN481=0,"Vínculo de CDF parcial",IF(AE481&lt;AD481,"CDF a conferir","Documentação conferida"))))))))))))))))))</f>
        <v/>
      </c>
      <c r="Q481" s="93" t="str">
        <f>IF(OR(R481=0,AA481=0),"",MAX(0,N(L481)-N(M481)))</f>
        <v/>
      </c>
      <c r="R481" s="96">
        <f>IF(COUNTA(B481:C481,G481:H481,J481:K481)&gt;0,1,0)</f>
        <v>0</v>
      </c>
      <c r="S481" s="96" t="str">
        <f>IF(B481="","",TRIM(LEFT(B481,FIND(" |",B481&amp;" |")-1)))</f>
        <v/>
      </c>
      <c r="T481" s="96" t="str">
        <f>IF(S481="","",IFERROR(MATCH(S481,'MTRs'!$A$6:$A$505,0),""))</f>
        <v/>
      </c>
      <c r="U481" s="96">
        <f>IF(T481="",0,IF(INDEX('MTRs'!$Z$6:$Z$505,T481)=1,1,0))</f>
        <v>0</v>
      </c>
      <c r="V481" s="96">
        <f>IF(C481="",0,IF(ISNUMBER(MATCH(C481,'CAD_RESÍDUOS'!$B$6:$B$205,0)),1,0))</f>
        <v>0</v>
      </c>
      <c r="W481" s="96">
        <f>IF(AND(ISNUMBER(G481),G481&gt;0),1,0)</f>
        <v>0</v>
      </c>
      <c r="X481" s="96" t="str">
        <f>IF(H481="","",IFERROR(IF(ISNUMBER(INDEX(cfg_fac,MATCH(H481,cfg_units,0))),IF(INDEX(cfg_fac,MATCH(H481,cfg_units,0))&gt;0,INDEX(cfg_fac,MATCH(H481,cfg_units,0)),""),""),""))</f>
        <v/>
      </c>
      <c r="Y481" s="96">
        <f>IF(AND(W481=1,ISNUMBER(I481)),1,0)</f>
        <v>0</v>
      </c>
      <c r="Z481" s="96">
        <f>IF(U481=1,INDEX('MTRs'!$AA$6:$AA$505,T481),0)</f>
        <v>0</v>
      </c>
      <c r="AA481" s="96">
        <f>IF(R481=0,0,COUNTIFS('RECEBIMENTOS'!$R$6:$R$1005,A481,'RECEBIMENTOS'!$Q$6:$Q$1005,1))</f>
        <v>0</v>
      </c>
      <c r="AB481" s="96">
        <f>IF(R481=0,0,COUNTIFS('RECEBIMENTOS'!$R$6:$R$1005,A481,'RECEBIMENTOS'!$Z$6:$Z$1005,1))</f>
        <v>0</v>
      </c>
      <c r="AC481" s="96">
        <f>IF(R481=0,0,COUNTIFS('RECEBIMENTOS'!$R$6:$R$1005,A481,'RECEBIMENTOS'!$Y$6:$Y$1005,1))</f>
        <v>0</v>
      </c>
      <c r="AD481" s="96">
        <f>IF(R481=0,0,COUNTIFS('VÍNCULOS_CDF'!$R$6:$R$1005,A481,'VÍNCULOS_CDF'!$N$6:$N$1005,1))</f>
        <v>0</v>
      </c>
      <c r="AE481" s="96">
        <f>IF(R481=0,0,COUNTIFS('VÍNCULOS_CDF'!$R$6:$R$1005,A481,'VÍNCULOS_CDF'!$AA$6:$AA$1005,1))</f>
        <v>0</v>
      </c>
      <c r="AF481" s="96">
        <f>IF(R481=0,0,COUNTIFS('VÍNCULOS_CDF'!$R$6:$R$1005,A481,'VÍNCULOS_CDF'!$Y$6:$Y$1005,1))</f>
        <v>0</v>
      </c>
      <c r="AG481" s="96" t="str">
        <f>IF(AND(R481=1,S481&lt;&gt;"",C481&lt;&gt;""),S481&amp;"|"&amp;C481&amp;"|"&amp;G481&amp;"|"&amp;H481,"")</f>
        <v/>
      </c>
      <c r="AH481" s="96">
        <f>IF(AG481="",0,IF(SUMPRODUCT(--($AG$6:$AG$1005=AG481))&gt;1,1,0))</f>
        <v>0</v>
      </c>
      <c r="AI481" s="96">
        <f>IF(R481=0,0,IF(OR(U481=0,V481=0,Y481=0,AND(AH481=1,K481&lt;&gt;"Sim")),1,0))</f>
        <v>0</v>
      </c>
      <c r="AJ481" s="96">
        <f>IF(AND(R481=1,AA481&gt;0,AB481=AA481),1,0)</f>
        <v>0</v>
      </c>
      <c r="AK481" s="96">
        <f>IF(R481=0,0,IF(AA481&gt;0,N(L481),IF(ISNUMBER(I481),I481,0)))</f>
        <v>0</v>
      </c>
      <c r="AL481" s="96">
        <f>IF(R481=0,0,IF(AND(K481&lt;&gt;"Sim",N(M481)&gt;AK481+cfg_tol),1,0))</f>
        <v>0</v>
      </c>
      <c r="AM481" s="96">
        <f>IF(R481=0,0,IF(K481="Sim",0,IF(OR(AND(AA481&gt;0,ISNUMBER(I481),ABS(I481-N(L481))&gt;cfg_tol),AL481=1),1,0)))</f>
        <v>0</v>
      </c>
      <c r="AN481" s="96">
        <f>IF(AND(R481=1,N(M481)&gt;0,OR(N(M481)&gt;=AK481-cfg_tol,K481="Sim")),1,0)</f>
        <v>0</v>
      </c>
      <c r="AO481" s="96">
        <f>IF(AND(AN481=1,AD481&gt;0,AE481=AD481,AL481=0),1,0)</f>
        <v>0</v>
      </c>
      <c r="AP481" s="96">
        <f>IF(U481=0,0,IF(AND(INDEX('MTRs'!$AX$6:$AX$505,T481)=1,Z481=0,OR(f_res="",f_res="(Todos)",C481=f_res)),1,0))</f>
        <v>0</v>
      </c>
      <c r="AQ481" s="97" t="str">
        <f>IF(U481=0,"",INDEX('MTRs'!$AZ$6:$AZ$505,T481))</f>
        <v/>
      </c>
      <c r="AR481" s="96">
        <f>IF(U481=0,0,IF(AND(INDEX('MTRs'!$BA$6:$BA$505,T481)=1,Z481=0),1,0))</f>
        <v>0</v>
      </c>
      <c r="AS481" s="96" t="str">
        <f>IF(R481=1,A481&amp;" | MTR "&amp;IF(U481=1,INDEX('MTRs'!$B$6:$B$505,T481)&amp;"","?")&amp;" | "&amp;IF(C481="","(sem resíduo)",C481),"")</f>
        <v/>
      </c>
      <c r="AT481" s="96" t="str">
        <f>IF(R481=1,COUNTIF($R$6:R481,1),"")</f>
        <v/>
      </c>
      <c r="AU481" s="96" t="str">
        <f>IF(U481=1,INDEX('MTRs'!$I$6:$I$505,T481)&amp;"","")</f>
        <v/>
      </c>
    </row>
    <row r="482">
      <c r="A482" s="89" t="inlineStr">
        <is>
          <t>IT-000477</t>
        </is>
      </c>
      <c r="B482" s="91" t="n"/>
      <c r="C482" s="91" t="n"/>
      <c r="D482" s="94" t="str">
        <f>IF(OR(R482=0,V482=0),"",INDEX('CAD_RESÍDUOS'!$E$6:$E$205,MATCH(C482,'CAD_RESÍDUOS'!$B$6:$B$205,0))&amp;"")</f>
        <v/>
      </c>
      <c r="E482" s="94" t="str">
        <f>IF(OR(R482=0,V482=0),"",INDEX('CAD_RESÍDUOS'!$C$6:$C$205,MATCH(C482,'CAD_RESÍDUOS'!$B$6:$B$205,0))&amp;"")</f>
        <v/>
      </c>
      <c r="F482" s="94" t="str">
        <f>IF(OR(R482=0,V482=0),"",INDEX('CAD_RESÍDUOS'!$G$6:$G$205,MATCH(C482,'CAD_RESÍDUOS'!$B$6:$B$205,0))&amp;"")</f>
        <v/>
      </c>
      <c r="G482" s="98" t="n"/>
      <c r="H482" s="91" t="n"/>
      <c r="I482" s="93" t="str">
        <f>IF(R482=0,"",IF(NOT(ISNUMBER(G482)),"",IF(ISNUMBER(X482),G482*X482,"UNIDADE A CONFERIR")))</f>
        <v/>
      </c>
      <c r="J482" s="91" t="n"/>
      <c r="K482" s="91" t="n"/>
      <c r="L482" s="93" t="str">
        <f>IF(R482=0,"",SUMIFS('RECEBIMENTOS'!$H$6:$H$1005,'RECEBIMENTOS'!$R$6:$R$1005,A482,'RECEBIMENTOS'!$X$6:$X$1005,1))</f>
        <v/>
      </c>
      <c r="M482" s="93" t="str">
        <f>IF(R482=0,"",SUMIFS('VÍNCULOS_CDF'!$H$6:$H$1005,'VÍNCULOS_CDF'!$R$6:$R$1005,A482,'VÍNCULOS_CDF'!$V$6:$V$1005,1))</f>
        <v/>
      </c>
      <c r="N482" s="99" t="str">
        <f>IF(OR(R482=0,AA482=0,NOT(ISNUMBER(I482))),"",I482-N(L482))</f>
        <v/>
      </c>
      <c r="O482" s="100" t="str">
        <f>IF(OR(R482=0,AK482&lt;=0),"",N(M482)/AK482)</f>
        <v/>
      </c>
      <c r="P482" s="94" t="str">
        <f>IF(R482=0,"",IF(S482="","Sem MTR associado",IF(U482=0,"MTR inexistente",IF(C482="","Resíduo não identificado",IF(V482=0,"Resíduo fora do cadastro",IF(W482=0,"Quantidade inválida",IF(H482="","Unidade não informada",IF(NOT(ISNUMBER(I482)),"Unidade a conferir",IF(AND(AH482=1,K482&lt;&gt;"Sim"),"Possível duplicidade",IF(Z482=1,"MTR cancelado",IF(AC482&gt;0,"Recebimento com alerta",IF(AA482=0,"Aguardando recebimento",IF(AB482&lt;AA482,"Recebimento a conferir",IF(AM482=1,"Quantidade a revisar",IF(AF482&gt;0,"Vínculo a revisar",IF(AD482=0,"Aguardando CDF",IF(AN482=0,"Vínculo de CDF parcial",IF(AE482&lt;AD482,"CDF a conferir","Documentação conferida"))))))))))))))))))</f>
        <v/>
      </c>
      <c r="Q482" s="93" t="str">
        <f>IF(OR(R482=0,AA482=0),"",MAX(0,N(L482)-N(M482)))</f>
        <v/>
      </c>
      <c r="R482" s="96">
        <f>IF(COUNTA(B482:C482,G482:H482,J482:K482)&gt;0,1,0)</f>
        <v>0</v>
      </c>
      <c r="S482" s="96" t="str">
        <f>IF(B482="","",TRIM(LEFT(B482,FIND(" |",B482&amp;" |")-1)))</f>
        <v/>
      </c>
      <c r="T482" s="96" t="str">
        <f>IF(S482="","",IFERROR(MATCH(S482,'MTRs'!$A$6:$A$505,0),""))</f>
        <v/>
      </c>
      <c r="U482" s="96">
        <f>IF(T482="",0,IF(INDEX('MTRs'!$Z$6:$Z$505,T482)=1,1,0))</f>
        <v>0</v>
      </c>
      <c r="V482" s="96">
        <f>IF(C482="",0,IF(ISNUMBER(MATCH(C482,'CAD_RESÍDUOS'!$B$6:$B$205,0)),1,0))</f>
        <v>0</v>
      </c>
      <c r="W482" s="96">
        <f>IF(AND(ISNUMBER(G482),G482&gt;0),1,0)</f>
        <v>0</v>
      </c>
      <c r="X482" s="96" t="str">
        <f>IF(H482="","",IFERROR(IF(ISNUMBER(INDEX(cfg_fac,MATCH(H482,cfg_units,0))),IF(INDEX(cfg_fac,MATCH(H482,cfg_units,0))&gt;0,INDEX(cfg_fac,MATCH(H482,cfg_units,0)),""),""),""))</f>
        <v/>
      </c>
      <c r="Y482" s="96">
        <f>IF(AND(W482=1,ISNUMBER(I482)),1,0)</f>
        <v>0</v>
      </c>
      <c r="Z482" s="96">
        <f>IF(U482=1,INDEX('MTRs'!$AA$6:$AA$505,T482),0)</f>
        <v>0</v>
      </c>
      <c r="AA482" s="96">
        <f>IF(R482=0,0,COUNTIFS('RECEBIMENTOS'!$R$6:$R$1005,A482,'RECEBIMENTOS'!$Q$6:$Q$1005,1))</f>
        <v>0</v>
      </c>
      <c r="AB482" s="96">
        <f>IF(R482=0,0,COUNTIFS('RECEBIMENTOS'!$R$6:$R$1005,A482,'RECEBIMENTOS'!$Z$6:$Z$1005,1))</f>
        <v>0</v>
      </c>
      <c r="AC482" s="96">
        <f>IF(R482=0,0,COUNTIFS('RECEBIMENTOS'!$R$6:$R$1005,A482,'RECEBIMENTOS'!$Y$6:$Y$1005,1))</f>
        <v>0</v>
      </c>
      <c r="AD482" s="96">
        <f>IF(R482=0,0,COUNTIFS('VÍNCULOS_CDF'!$R$6:$R$1005,A482,'VÍNCULOS_CDF'!$N$6:$N$1005,1))</f>
        <v>0</v>
      </c>
      <c r="AE482" s="96">
        <f>IF(R482=0,0,COUNTIFS('VÍNCULOS_CDF'!$R$6:$R$1005,A482,'VÍNCULOS_CDF'!$AA$6:$AA$1005,1))</f>
        <v>0</v>
      </c>
      <c r="AF482" s="96">
        <f>IF(R482=0,0,COUNTIFS('VÍNCULOS_CDF'!$R$6:$R$1005,A482,'VÍNCULOS_CDF'!$Y$6:$Y$1005,1))</f>
        <v>0</v>
      </c>
      <c r="AG482" s="96" t="str">
        <f>IF(AND(R482=1,S482&lt;&gt;"",C482&lt;&gt;""),S482&amp;"|"&amp;C482&amp;"|"&amp;G482&amp;"|"&amp;H482,"")</f>
        <v/>
      </c>
      <c r="AH482" s="96">
        <f>IF(AG482="",0,IF(SUMPRODUCT(--($AG$6:$AG$1005=AG482))&gt;1,1,0))</f>
        <v>0</v>
      </c>
      <c r="AI482" s="96">
        <f>IF(R482=0,0,IF(OR(U482=0,V482=0,Y482=0,AND(AH482=1,K482&lt;&gt;"Sim")),1,0))</f>
        <v>0</v>
      </c>
      <c r="AJ482" s="96">
        <f>IF(AND(R482=1,AA482&gt;0,AB482=AA482),1,0)</f>
        <v>0</v>
      </c>
      <c r="AK482" s="96">
        <f>IF(R482=0,0,IF(AA482&gt;0,N(L482),IF(ISNUMBER(I482),I482,0)))</f>
        <v>0</v>
      </c>
      <c r="AL482" s="96">
        <f>IF(R482=0,0,IF(AND(K482&lt;&gt;"Sim",N(M482)&gt;AK482+cfg_tol),1,0))</f>
        <v>0</v>
      </c>
      <c r="AM482" s="96">
        <f>IF(R482=0,0,IF(K482="Sim",0,IF(OR(AND(AA482&gt;0,ISNUMBER(I482),ABS(I482-N(L482))&gt;cfg_tol),AL482=1),1,0)))</f>
        <v>0</v>
      </c>
      <c r="AN482" s="96">
        <f>IF(AND(R482=1,N(M482)&gt;0,OR(N(M482)&gt;=AK482-cfg_tol,K482="Sim")),1,0)</f>
        <v>0</v>
      </c>
      <c r="AO482" s="96">
        <f>IF(AND(AN482=1,AD482&gt;0,AE482=AD482,AL482=0),1,0)</f>
        <v>0</v>
      </c>
      <c r="AP482" s="96">
        <f>IF(U482=0,0,IF(AND(INDEX('MTRs'!$AX$6:$AX$505,T482)=1,Z482=0,OR(f_res="",f_res="(Todos)",C482=f_res)),1,0))</f>
        <v>0</v>
      </c>
      <c r="AQ482" s="97" t="str">
        <f>IF(U482=0,"",INDEX('MTRs'!$AZ$6:$AZ$505,T482))</f>
        <v/>
      </c>
      <c r="AR482" s="96">
        <f>IF(U482=0,0,IF(AND(INDEX('MTRs'!$BA$6:$BA$505,T482)=1,Z482=0),1,0))</f>
        <v>0</v>
      </c>
      <c r="AS482" s="96" t="str">
        <f>IF(R482=1,A482&amp;" | MTR "&amp;IF(U482=1,INDEX('MTRs'!$B$6:$B$505,T482)&amp;"","?")&amp;" | "&amp;IF(C482="","(sem resíduo)",C482),"")</f>
        <v/>
      </c>
      <c r="AT482" s="96" t="str">
        <f>IF(R482=1,COUNTIF($R$6:R482,1),"")</f>
        <v/>
      </c>
      <c r="AU482" s="96" t="str">
        <f>IF(U482=1,INDEX('MTRs'!$I$6:$I$505,T482)&amp;"","")</f>
        <v/>
      </c>
    </row>
    <row r="483">
      <c r="A483" s="89" t="inlineStr">
        <is>
          <t>IT-000478</t>
        </is>
      </c>
      <c r="B483" s="91" t="n"/>
      <c r="C483" s="91" t="n"/>
      <c r="D483" s="94" t="str">
        <f>IF(OR(R483=0,V483=0),"",INDEX('CAD_RESÍDUOS'!$E$6:$E$205,MATCH(C483,'CAD_RESÍDUOS'!$B$6:$B$205,0))&amp;"")</f>
        <v/>
      </c>
      <c r="E483" s="94" t="str">
        <f>IF(OR(R483=0,V483=0),"",INDEX('CAD_RESÍDUOS'!$C$6:$C$205,MATCH(C483,'CAD_RESÍDUOS'!$B$6:$B$205,0))&amp;"")</f>
        <v/>
      </c>
      <c r="F483" s="94" t="str">
        <f>IF(OR(R483=0,V483=0),"",INDEX('CAD_RESÍDUOS'!$G$6:$G$205,MATCH(C483,'CAD_RESÍDUOS'!$B$6:$B$205,0))&amp;"")</f>
        <v/>
      </c>
      <c r="G483" s="98" t="n"/>
      <c r="H483" s="91" t="n"/>
      <c r="I483" s="93" t="str">
        <f>IF(R483=0,"",IF(NOT(ISNUMBER(G483)),"",IF(ISNUMBER(X483),G483*X483,"UNIDADE A CONFERIR")))</f>
        <v/>
      </c>
      <c r="J483" s="91" t="n"/>
      <c r="K483" s="91" t="n"/>
      <c r="L483" s="93" t="str">
        <f>IF(R483=0,"",SUMIFS('RECEBIMENTOS'!$H$6:$H$1005,'RECEBIMENTOS'!$R$6:$R$1005,A483,'RECEBIMENTOS'!$X$6:$X$1005,1))</f>
        <v/>
      </c>
      <c r="M483" s="93" t="str">
        <f>IF(R483=0,"",SUMIFS('VÍNCULOS_CDF'!$H$6:$H$1005,'VÍNCULOS_CDF'!$R$6:$R$1005,A483,'VÍNCULOS_CDF'!$V$6:$V$1005,1))</f>
        <v/>
      </c>
      <c r="N483" s="99" t="str">
        <f>IF(OR(R483=0,AA483=0,NOT(ISNUMBER(I483))),"",I483-N(L483))</f>
        <v/>
      </c>
      <c r="O483" s="100" t="str">
        <f>IF(OR(R483=0,AK483&lt;=0),"",N(M483)/AK483)</f>
        <v/>
      </c>
      <c r="P483" s="94" t="str">
        <f>IF(R483=0,"",IF(S483="","Sem MTR associado",IF(U483=0,"MTR inexistente",IF(C483="","Resíduo não identificado",IF(V483=0,"Resíduo fora do cadastro",IF(W483=0,"Quantidade inválida",IF(H483="","Unidade não informada",IF(NOT(ISNUMBER(I483)),"Unidade a conferir",IF(AND(AH483=1,K483&lt;&gt;"Sim"),"Possível duplicidade",IF(Z483=1,"MTR cancelado",IF(AC483&gt;0,"Recebimento com alerta",IF(AA483=0,"Aguardando recebimento",IF(AB483&lt;AA483,"Recebimento a conferir",IF(AM483=1,"Quantidade a revisar",IF(AF483&gt;0,"Vínculo a revisar",IF(AD483=0,"Aguardando CDF",IF(AN483=0,"Vínculo de CDF parcial",IF(AE483&lt;AD483,"CDF a conferir","Documentação conferida"))))))))))))))))))</f>
        <v/>
      </c>
      <c r="Q483" s="93" t="str">
        <f>IF(OR(R483=0,AA483=0),"",MAX(0,N(L483)-N(M483)))</f>
        <v/>
      </c>
      <c r="R483" s="96">
        <f>IF(COUNTA(B483:C483,G483:H483,J483:K483)&gt;0,1,0)</f>
        <v>0</v>
      </c>
      <c r="S483" s="96" t="str">
        <f>IF(B483="","",TRIM(LEFT(B483,FIND(" |",B483&amp;" |")-1)))</f>
        <v/>
      </c>
      <c r="T483" s="96" t="str">
        <f>IF(S483="","",IFERROR(MATCH(S483,'MTRs'!$A$6:$A$505,0),""))</f>
        <v/>
      </c>
      <c r="U483" s="96">
        <f>IF(T483="",0,IF(INDEX('MTRs'!$Z$6:$Z$505,T483)=1,1,0))</f>
        <v>0</v>
      </c>
      <c r="V483" s="96">
        <f>IF(C483="",0,IF(ISNUMBER(MATCH(C483,'CAD_RESÍDUOS'!$B$6:$B$205,0)),1,0))</f>
        <v>0</v>
      </c>
      <c r="W483" s="96">
        <f>IF(AND(ISNUMBER(G483),G483&gt;0),1,0)</f>
        <v>0</v>
      </c>
      <c r="X483" s="96" t="str">
        <f>IF(H483="","",IFERROR(IF(ISNUMBER(INDEX(cfg_fac,MATCH(H483,cfg_units,0))),IF(INDEX(cfg_fac,MATCH(H483,cfg_units,0))&gt;0,INDEX(cfg_fac,MATCH(H483,cfg_units,0)),""),""),""))</f>
        <v/>
      </c>
      <c r="Y483" s="96">
        <f>IF(AND(W483=1,ISNUMBER(I483)),1,0)</f>
        <v>0</v>
      </c>
      <c r="Z483" s="96">
        <f>IF(U483=1,INDEX('MTRs'!$AA$6:$AA$505,T483),0)</f>
        <v>0</v>
      </c>
      <c r="AA483" s="96">
        <f>IF(R483=0,0,COUNTIFS('RECEBIMENTOS'!$R$6:$R$1005,A483,'RECEBIMENTOS'!$Q$6:$Q$1005,1))</f>
        <v>0</v>
      </c>
      <c r="AB483" s="96">
        <f>IF(R483=0,0,COUNTIFS('RECEBIMENTOS'!$R$6:$R$1005,A483,'RECEBIMENTOS'!$Z$6:$Z$1005,1))</f>
        <v>0</v>
      </c>
      <c r="AC483" s="96">
        <f>IF(R483=0,0,COUNTIFS('RECEBIMENTOS'!$R$6:$R$1005,A483,'RECEBIMENTOS'!$Y$6:$Y$1005,1))</f>
        <v>0</v>
      </c>
      <c r="AD483" s="96">
        <f>IF(R483=0,0,COUNTIFS('VÍNCULOS_CDF'!$R$6:$R$1005,A483,'VÍNCULOS_CDF'!$N$6:$N$1005,1))</f>
        <v>0</v>
      </c>
      <c r="AE483" s="96">
        <f>IF(R483=0,0,COUNTIFS('VÍNCULOS_CDF'!$R$6:$R$1005,A483,'VÍNCULOS_CDF'!$AA$6:$AA$1005,1))</f>
        <v>0</v>
      </c>
      <c r="AF483" s="96">
        <f>IF(R483=0,0,COUNTIFS('VÍNCULOS_CDF'!$R$6:$R$1005,A483,'VÍNCULOS_CDF'!$Y$6:$Y$1005,1))</f>
        <v>0</v>
      </c>
      <c r="AG483" s="96" t="str">
        <f>IF(AND(R483=1,S483&lt;&gt;"",C483&lt;&gt;""),S483&amp;"|"&amp;C483&amp;"|"&amp;G483&amp;"|"&amp;H483,"")</f>
        <v/>
      </c>
      <c r="AH483" s="96">
        <f>IF(AG483="",0,IF(SUMPRODUCT(--($AG$6:$AG$1005=AG483))&gt;1,1,0))</f>
        <v>0</v>
      </c>
      <c r="AI483" s="96">
        <f>IF(R483=0,0,IF(OR(U483=0,V483=0,Y483=0,AND(AH483=1,K483&lt;&gt;"Sim")),1,0))</f>
        <v>0</v>
      </c>
      <c r="AJ483" s="96">
        <f>IF(AND(R483=1,AA483&gt;0,AB483=AA483),1,0)</f>
        <v>0</v>
      </c>
      <c r="AK483" s="96">
        <f>IF(R483=0,0,IF(AA483&gt;0,N(L483),IF(ISNUMBER(I483),I483,0)))</f>
        <v>0</v>
      </c>
      <c r="AL483" s="96">
        <f>IF(R483=0,0,IF(AND(K483&lt;&gt;"Sim",N(M483)&gt;AK483+cfg_tol),1,0))</f>
        <v>0</v>
      </c>
      <c r="AM483" s="96">
        <f>IF(R483=0,0,IF(K483="Sim",0,IF(OR(AND(AA483&gt;0,ISNUMBER(I483),ABS(I483-N(L483))&gt;cfg_tol),AL483=1),1,0)))</f>
        <v>0</v>
      </c>
      <c r="AN483" s="96">
        <f>IF(AND(R483=1,N(M483)&gt;0,OR(N(M483)&gt;=AK483-cfg_tol,K483="Sim")),1,0)</f>
        <v>0</v>
      </c>
      <c r="AO483" s="96">
        <f>IF(AND(AN483=1,AD483&gt;0,AE483=AD483,AL483=0),1,0)</f>
        <v>0</v>
      </c>
      <c r="AP483" s="96">
        <f>IF(U483=0,0,IF(AND(INDEX('MTRs'!$AX$6:$AX$505,T483)=1,Z483=0,OR(f_res="",f_res="(Todos)",C483=f_res)),1,0))</f>
        <v>0</v>
      </c>
      <c r="AQ483" s="97" t="str">
        <f>IF(U483=0,"",INDEX('MTRs'!$AZ$6:$AZ$505,T483))</f>
        <v/>
      </c>
      <c r="AR483" s="96">
        <f>IF(U483=0,0,IF(AND(INDEX('MTRs'!$BA$6:$BA$505,T483)=1,Z483=0),1,0))</f>
        <v>0</v>
      </c>
      <c r="AS483" s="96" t="str">
        <f>IF(R483=1,A483&amp;" | MTR "&amp;IF(U483=1,INDEX('MTRs'!$B$6:$B$505,T483)&amp;"","?")&amp;" | "&amp;IF(C483="","(sem resíduo)",C483),"")</f>
        <v/>
      </c>
      <c r="AT483" s="96" t="str">
        <f>IF(R483=1,COUNTIF($R$6:R483,1),"")</f>
        <v/>
      </c>
      <c r="AU483" s="96" t="str">
        <f>IF(U483=1,INDEX('MTRs'!$I$6:$I$505,T483)&amp;"","")</f>
        <v/>
      </c>
    </row>
    <row r="484">
      <c r="A484" s="89" t="inlineStr">
        <is>
          <t>IT-000479</t>
        </is>
      </c>
      <c r="B484" s="91" t="n"/>
      <c r="C484" s="91" t="n"/>
      <c r="D484" s="94" t="str">
        <f>IF(OR(R484=0,V484=0),"",INDEX('CAD_RESÍDUOS'!$E$6:$E$205,MATCH(C484,'CAD_RESÍDUOS'!$B$6:$B$205,0))&amp;"")</f>
        <v/>
      </c>
      <c r="E484" s="94" t="str">
        <f>IF(OR(R484=0,V484=0),"",INDEX('CAD_RESÍDUOS'!$C$6:$C$205,MATCH(C484,'CAD_RESÍDUOS'!$B$6:$B$205,0))&amp;"")</f>
        <v/>
      </c>
      <c r="F484" s="94" t="str">
        <f>IF(OR(R484=0,V484=0),"",INDEX('CAD_RESÍDUOS'!$G$6:$G$205,MATCH(C484,'CAD_RESÍDUOS'!$B$6:$B$205,0))&amp;"")</f>
        <v/>
      </c>
      <c r="G484" s="98" t="n"/>
      <c r="H484" s="91" t="n"/>
      <c r="I484" s="93" t="str">
        <f>IF(R484=0,"",IF(NOT(ISNUMBER(G484)),"",IF(ISNUMBER(X484),G484*X484,"UNIDADE A CONFERIR")))</f>
        <v/>
      </c>
      <c r="J484" s="91" t="n"/>
      <c r="K484" s="91" t="n"/>
      <c r="L484" s="93" t="str">
        <f>IF(R484=0,"",SUMIFS('RECEBIMENTOS'!$H$6:$H$1005,'RECEBIMENTOS'!$R$6:$R$1005,A484,'RECEBIMENTOS'!$X$6:$X$1005,1))</f>
        <v/>
      </c>
      <c r="M484" s="93" t="str">
        <f>IF(R484=0,"",SUMIFS('VÍNCULOS_CDF'!$H$6:$H$1005,'VÍNCULOS_CDF'!$R$6:$R$1005,A484,'VÍNCULOS_CDF'!$V$6:$V$1005,1))</f>
        <v/>
      </c>
      <c r="N484" s="99" t="str">
        <f>IF(OR(R484=0,AA484=0,NOT(ISNUMBER(I484))),"",I484-N(L484))</f>
        <v/>
      </c>
      <c r="O484" s="100" t="str">
        <f>IF(OR(R484=0,AK484&lt;=0),"",N(M484)/AK484)</f>
        <v/>
      </c>
      <c r="P484" s="94" t="str">
        <f>IF(R484=0,"",IF(S484="","Sem MTR associado",IF(U484=0,"MTR inexistente",IF(C484="","Resíduo não identificado",IF(V484=0,"Resíduo fora do cadastro",IF(W484=0,"Quantidade inválida",IF(H484="","Unidade não informada",IF(NOT(ISNUMBER(I484)),"Unidade a conferir",IF(AND(AH484=1,K484&lt;&gt;"Sim"),"Possível duplicidade",IF(Z484=1,"MTR cancelado",IF(AC484&gt;0,"Recebimento com alerta",IF(AA484=0,"Aguardando recebimento",IF(AB484&lt;AA484,"Recebimento a conferir",IF(AM484=1,"Quantidade a revisar",IF(AF484&gt;0,"Vínculo a revisar",IF(AD484=0,"Aguardando CDF",IF(AN484=0,"Vínculo de CDF parcial",IF(AE484&lt;AD484,"CDF a conferir","Documentação conferida"))))))))))))))))))</f>
        <v/>
      </c>
      <c r="Q484" s="93" t="str">
        <f>IF(OR(R484=0,AA484=0),"",MAX(0,N(L484)-N(M484)))</f>
        <v/>
      </c>
      <c r="R484" s="96">
        <f>IF(COUNTA(B484:C484,G484:H484,J484:K484)&gt;0,1,0)</f>
        <v>0</v>
      </c>
      <c r="S484" s="96" t="str">
        <f>IF(B484="","",TRIM(LEFT(B484,FIND(" |",B484&amp;" |")-1)))</f>
        <v/>
      </c>
      <c r="T484" s="96" t="str">
        <f>IF(S484="","",IFERROR(MATCH(S484,'MTRs'!$A$6:$A$505,0),""))</f>
        <v/>
      </c>
      <c r="U484" s="96">
        <f>IF(T484="",0,IF(INDEX('MTRs'!$Z$6:$Z$505,T484)=1,1,0))</f>
        <v>0</v>
      </c>
      <c r="V484" s="96">
        <f>IF(C484="",0,IF(ISNUMBER(MATCH(C484,'CAD_RESÍDUOS'!$B$6:$B$205,0)),1,0))</f>
        <v>0</v>
      </c>
      <c r="W484" s="96">
        <f>IF(AND(ISNUMBER(G484),G484&gt;0),1,0)</f>
        <v>0</v>
      </c>
      <c r="X484" s="96" t="str">
        <f>IF(H484="","",IFERROR(IF(ISNUMBER(INDEX(cfg_fac,MATCH(H484,cfg_units,0))),IF(INDEX(cfg_fac,MATCH(H484,cfg_units,0))&gt;0,INDEX(cfg_fac,MATCH(H484,cfg_units,0)),""),""),""))</f>
        <v/>
      </c>
      <c r="Y484" s="96">
        <f>IF(AND(W484=1,ISNUMBER(I484)),1,0)</f>
        <v>0</v>
      </c>
      <c r="Z484" s="96">
        <f>IF(U484=1,INDEX('MTRs'!$AA$6:$AA$505,T484),0)</f>
        <v>0</v>
      </c>
      <c r="AA484" s="96">
        <f>IF(R484=0,0,COUNTIFS('RECEBIMENTOS'!$R$6:$R$1005,A484,'RECEBIMENTOS'!$Q$6:$Q$1005,1))</f>
        <v>0</v>
      </c>
      <c r="AB484" s="96">
        <f>IF(R484=0,0,COUNTIFS('RECEBIMENTOS'!$R$6:$R$1005,A484,'RECEBIMENTOS'!$Z$6:$Z$1005,1))</f>
        <v>0</v>
      </c>
      <c r="AC484" s="96">
        <f>IF(R484=0,0,COUNTIFS('RECEBIMENTOS'!$R$6:$R$1005,A484,'RECEBIMENTOS'!$Y$6:$Y$1005,1))</f>
        <v>0</v>
      </c>
      <c r="AD484" s="96">
        <f>IF(R484=0,0,COUNTIFS('VÍNCULOS_CDF'!$R$6:$R$1005,A484,'VÍNCULOS_CDF'!$N$6:$N$1005,1))</f>
        <v>0</v>
      </c>
      <c r="AE484" s="96">
        <f>IF(R484=0,0,COUNTIFS('VÍNCULOS_CDF'!$R$6:$R$1005,A484,'VÍNCULOS_CDF'!$AA$6:$AA$1005,1))</f>
        <v>0</v>
      </c>
      <c r="AF484" s="96">
        <f>IF(R484=0,0,COUNTIFS('VÍNCULOS_CDF'!$R$6:$R$1005,A484,'VÍNCULOS_CDF'!$Y$6:$Y$1005,1))</f>
        <v>0</v>
      </c>
      <c r="AG484" s="96" t="str">
        <f>IF(AND(R484=1,S484&lt;&gt;"",C484&lt;&gt;""),S484&amp;"|"&amp;C484&amp;"|"&amp;G484&amp;"|"&amp;H484,"")</f>
        <v/>
      </c>
      <c r="AH484" s="96">
        <f>IF(AG484="",0,IF(SUMPRODUCT(--($AG$6:$AG$1005=AG484))&gt;1,1,0))</f>
        <v>0</v>
      </c>
      <c r="AI484" s="96">
        <f>IF(R484=0,0,IF(OR(U484=0,V484=0,Y484=0,AND(AH484=1,K484&lt;&gt;"Sim")),1,0))</f>
        <v>0</v>
      </c>
      <c r="AJ484" s="96">
        <f>IF(AND(R484=1,AA484&gt;0,AB484=AA484),1,0)</f>
        <v>0</v>
      </c>
      <c r="AK484" s="96">
        <f>IF(R484=0,0,IF(AA484&gt;0,N(L484),IF(ISNUMBER(I484),I484,0)))</f>
        <v>0</v>
      </c>
      <c r="AL484" s="96">
        <f>IF(R484=0,0,IF(AND(K484&lt;&gt;"Sim",N(M484)&gt;AK484+cfg_tol),1,0))</f>
        <v>0</v>
      </c>
      <c r="AM484" s="96">
        <f>IF(R484=0,0,IF(K484="Sim",0,IF(OR(AND(AA484&gt;0,ISNUMBER(I484),ABS(I484-N(L484))&gt;cfg_tol),AL484=1),1,0)))</f>
        <v>0</v>
      </c>
      <c r="AN484" s="96">
        <f>IF(AND(R484=1,N(M484)&gt;0,OR(N(M484)&gt;=AK484-cfg_tol,K484="Sim")),1,0)</f>
        <v>0</v>
      </c>
      <c r="AO484" s="96">
        <f>IF(AND(AN484=1,AD484&gt;0,AE484=AD484,AL484=0),1,0)</f>
        <v>0</v>
      </c>
      <c r="AP484" s="96">
        <f>IF(U484=0,0,IF(AND(INDEX('MTRs'!$AX$6:$AX$505,T484)=1,Z484=0,OR(f_res="",f_res="(Todos)",C484=f_res)),1,0))</f>
        <v>0</v>
      </c>
      <c r="AQ484" s="97" t="str">
        <f>IF(U484=0,"",INDEX('MTRs'!$AZ$6:$AZ$505,T484))</f>
        <v/>
      </c>
      <c r="AR484" s="96">
        <f>IF(U484=0,0,IF(AND(INDEX('MTRs'!$BA$6:$BA$505,T484)=1,Z484=0),1,0))</f>
        <v>0</v>
      </c>
      <c r="AS484" s="96" t="str">
        <f>IF(R484=1,A484&amp;" | MTR "&amp;IF(U484=1,INDEX('MTRs'!$B$6:$B$505,T484)&amp;"","?")&amp;" | "&amp;IF(C484="","(sem resíduo)",C484),"")</f>
        <v/>
      </c>
      <c r="AT484" s="96" t="str">
        <f>IF(R484=1,COUNTIF($R$6:R484,1),"")</f>
        <v/>
      </c>
      <c r="AU484" s="96" t="str">
        <f>IF(U484=1,INDEX('MTRs'!$I$6:$I$505,T484)&amp;"","")</f>
        <v/>
      </c>
    </row>
    <row r="485">
      <c r="A485" s="89" t="inlineStr">
        <is>
          <t>IT-000480</t>
        </is>
      </c>
      <c r="B485" s="91" t="n"/>
      <c r="C485" s="91" t="n"/>
      <c r="D485" s="94" t="str">
        <f>IF(OR(R485=0,V485=0),"",INDEX('CAD_RESÍDUOS'!$E$6:$E$205,MATCH(C485,'CAD_RESÍDUOS'!$B$6:$B$205,0))&amp;"")</f>
        <v/>
      </c>
      <c r="E485" s="94" t="str">
        <f>IF(OR(R485=0,V485=0),"",INDEX('CAD_RESÍDUOS'!$C$6:$C$205,MATCH(C485,'CAD_RESÍDUOS'!$B$6:$B$205,0))&amp;"")</f>
        <v/>
      </c>
      <c r="F485" s="94" t="str">
        <f>IF(OR(R485=0,V485=0),"",INDEX('CAD_RESÍDUOS'!$G$6:$G$205,MATCH(C485,'CAD_RESÍDUOS'!$B$6:$B$205,0))&amp;"")</f>
        <v/>
      </c>
      <c r="G485" s="98" t="n"/>
      <c r="H485" s="91" t="n"/>
      <c r="I485" s="93" t="str">
        <f>IF(R485=0,"",IF(NOT(ISNUMBER(G485)),"",IF(ISNUMBER(X485),G485*X485,"UNIDADE A CONFERIR")))</f>
        <v/>
      </c>
      <c r="J485" s="91" t="n"/>
      <c r="K485" s="91" t="n"/>
      <c r="L485" s="93" t="str">
        <f>IF(R485=0,"",SUMIFS('RECEBIMENTOS'!$H$6:$H$1005,'RECEBIMENTOS'!$R$6:$R$1005,A485,'RECEBIMENTOS'!$X$6:$X$1005,1))</f>
        <v/>
      </c>
      <c r="M485" s="93" t="str">
        <f>IF(R485=0,"",SUMIFS('VÍNCULOS_CDF'!$H$6:$H$1005,'VÍNCULOS_CDF'!$R$6:$R$1005,A485,'VÍNCULOS_CDF'!$V$6:$V$1005,1))</f>
        <v/>
      </c>
      <c r="N485" s="99" t="str">
        <f>IF(OR(R485=0,AA485=0,NOT(ISNUMBER(I485))),"",I485-N(L485))</f>
        <v/>
      </c>
      <c r="O485" s="100" t="str">
        <f>IF(OR(R485=0,AK485&lt;=0),"",N(M485)/AK485)</f>
        <v/>
      </c>
      <c r="P485" s="94" t="str">
        <f>IF(R485=0,"",IF(S485="","Sem MTR associado",IF(U485=0,"MTR inexistente",IF(C485="","Resíduo não identificado",IF(V485=0,"Resíduo fora do cadastro",IF(W485=0,"Quantidade inválida",IF(H485="","Unidade não informada",IF(NOT(ISNUMBER(I485)),"Unidade a conferir",IF(AND(AH485=1,K485&lt;&gt;"Sim"),"Possível duplicidade",IF(Z485=1,"MTR cancelado",IF(AC485&gt;0,"Recebimento com alerta",IF(AA485=0,"Aguardando recebimento",IF(AB485&lt;AA485,"Recebimento a conferir",IF(AM485=1,"Quantidade a revisar",IF(AF485&gt;0,"Vínculo a revisar",IF(AD485=0,"Aguardando CDF",IF(AN485=0,"Vínculo de CDF parcial",IF(AE485&lt;AD485,"CDF a conferir","Documentação conferida"))))))))))))))))))</f>
        <v/>
      </c>
      <c r="Q485" s="93" t="str">
        <f>IF(OR(R485=0,AA485=0),"",MAX(0,N(L485)-N(M485)))</f>
        <v/>
      </c>
      <c r="R485" s="96">
        <f>IF(COUNTA(B485:C485,G485:H485,J485:K485)&gt;0,1,0)</f>
        <v>0</v>
      </c>
      <c r="S485" s="96" t="str">
        <f>IF(B485="","",TRIM(LEFT(B485,FIND(" |",B485&amp;" |")-1)))</f>
        <v/>
      </c>
      <c r="T485" s="96" t="str">
        <f>IF(S485="","",IFERROR(MATCH(S485,'MTRs'!$A$6:$A$505,0),""))</f>
        <v/>
      </c>
      <c r="U485" s="96">
        <f>IF(T485="",0,IF(INDEX('MTRs'!$Z$6:$Z$505,T485)=1,1,0))</f>
        <v>0</v>
      </c>
      <c r="V485" s="96">
        <f>IF(C485="",0,IF(ISNUMBER(MATCH(C485,'CAD_RESÍDUOS'!$B$6:$B$205,0)),1,0))</f>
        <v>0</v>
      </c>
      <c r="W485" s="96">
        <f>IF(AND(ISNUMBER(G485),G485&gt;0),1,0)</f>
        <v>0</v>
      </c>
      <c r="X485" s="96" t="str">
        <f>IF(H485="","",IFERROR(IF(ISNUMBER(INDEX(cfg_fac,MATCH(H485,cfg_units,0))),IF(INDEX(cfg_fac,MATCH(H485,cfg_units,0))&gt;0,INDEX(cfg_fac,MATCH(H485,cfg_units,0)),""),""),""))</f>
        <v/>
      </c>
      <c r="Y485" s="96">
        <f>IF(AND(W485=1,ISNUMBER(I485)),1,0)</f>
        <v>0</v>
      </c>
      <c r="Z485" s="96">
        <f>IF(U485=1,INDEX('MTRs'!$AA$6:$AA$505,T485),0)</f>
        <v>0</v>
      </c>
      <c r="AA485" s="96">
        <f>IF(R485=0,0,COUNTIFS('RECEBIMENTOS'!$R$6:$R$1005,A485,'RECEBIMENTOS'!$Q$6:$Q$1005,1))</f>
        <v>0</v>
      </c>
      <c r="AB485" s="96">
        <f>IF(R485=0,0,COUNTIFS('RECEBIMENTOS'!$R$6:$R$1005,A485,'RECEBIMENTOS'!$Z$6:$Z$1005,1))</f>
        <v>0</v>
      </c>
      <c r="AC485" s="96">
        <f>IF(R485=0,0,COUNTIFS('RECEBIMENTOS'!$R$6:$R$1005,A485,'RECEBIMENTOS'!$Y$6:$Y$1005,1))</f>
        <v>0</v>
      </c>
      <c r="AD485" s="96">
        <f>IF(R485=0,0,COUNTIFS('VÍNCULOS_CDF'!$R$6:$R$1005,A485,'VÍNCULOS_CDF'!$N$6:$N$1005,1))</f>
        <v>0</v>
      </c>
      <c r="AE485" s="96">
        <f>IF(R485=0,0,COUNTIFS('VÍNCULOS_CDF'!$R$6:$R$1005,A485,'VÍNCULOS_CDF'!$AA$6:$AA$1005,1))</f>
        <v>0</v>
      </c>
      <c r="AF485" s="96">
        <f>IF(R485=0,0,COUNTIFS('VÍNCULOS_CDF'!$R$6:$R$1005,A485,'VÍNCULOS_CDF'!$Y$6:$Y$1005,1))</f>
        <v>0</v>
      </c>
      <c r="AG485" s="96" t="str">
        <f>IF(AND(R485=1,S485&lt;&gt;"",C485&lt;&gt;""),S485&amp;"|"&amp;C485&amp;"|"&amp;G485&amp;"|"&amp;H485,"")</f>
        <v/>
      </c>
      <c r="AH485" s="96">
        <f>IF(AG485="",0,IF(SUMPRODUCT(--($AG$6:$AG$1005=AG485))&gt;1,1,0))</f>
        <v>0</v>
      </c>
      <c r="AI485" s="96">
        <f>IF(R485=0,0,IF(OR(U485=0,V485=0,Y485=0,AND(AH485=1,K485&lt;&gt;"Sim")),1,0))</f>
        <v>0</v>
      </c>
      <c r="AJ485" s="96">
        <f>IF(AND(R485=1,AA485&gt;0,AB485=AA485),1,0)</f>
        <v>0</v>
      </c>
      <c r="AK485" s="96">
        <f>IF(R485=0,0,IF(AA485&gt;0,N(L485),IF(ISNUMBER(I485),I485,0)))</f>
        <v>0</v>
      </c>
      <c r="AL485" s="96">
        <f>IF(R485=0,0,IF(AND(K485&lt;&gt;"Sim",N(M485)&gt;AK485+cfg_tol),1,0))</f>
        <v>0</v>
      </c>
      <c r="AM485" s="96">
        <f>IF(R485=0,0,IF(K485="Sim",0,IF(OR(AND(AA485&gt;0,ISNUMBER(I485),ABS(I485-N(L485))&gt;cfg_tol),AL485=1),1,0)))</f>
        <v>0</v>
      </c>
      <c r="AN485" s="96">
        <f>IF(AND(R485=1,N(M485)&gt;0,OR(N(M485)&gt;=AK485-cfg_tol,K485="Sim")),1,0)</f>
        <v>0</v>
      </c>
      <c r="AO485" s="96">
        <f>IF(AND(AN485=1,AD485&gt;0,AE485=AD485,AL485=0),1,0)</f>
        <v>0</v>
      </c>
      <c r="AP485" s="96">
        <f>IF(U485=0,0,IF(AND(INDEX('MTRs'!$AX$6:$AX$505,T485)=1,Z485=0,OR(f_res="",f_res="(Todos)",C485=f_res)),1,0))</f>
        <v>0</v>
      </c>
      <c r="AQ485" s="97" t="str">
        <f>IF(U485=0,"",INDEX('MTRs'!$AZ$6:$AZ$505,T485))</f>
        <v/>
      </c>
      <c r="AR485" s="96">
        <f>IF(U485=0,0,IF(AND(INDEX('MTRs'!$BA$6:$BA$505,T485)=1,Z485=0),1,0))</f>
        <v>0</v>
      </c>
      <c r="AS485" s="96" t="str">
        <f>IF(R485=1,A485&amp;" | MTR "&amp;IF(U485=1,INDEX('MTRs'!$B$6:$B$505,T485)&amp;"","?")&amp;" | "&amp;IF(C485="","(sem resíduo)",C485),"")</f>
        <v/>
      </c>
      <c r="AT485" s="96" t="str">
        <f>IF(R485=1,COUNTIF($R$6:R485,1),"")</f>
        <v/>
      </c>
      <c r="AU485" s="96" t="str">
        <f>IF(U485=1,INDEX('MTRs'!$I$6:$I$505,T485)&amp;"","")</f>
        <v/>
      </c>
    </row>
    <row r="486">
      <c r="A486" s="89" t="inlineStr">
        <is>
          <t>IT-000481</t>
        </is>
      </c>
      <c r="B486" s="91" t="n"/>
      <c r="C486" s="91" t="n"/>
      <c r="D486" s="94" t="str">
        <f>IF(OR(R486=0,V486=0),"",INDEX('CAD_RESÍDUOS'!$E$6:$E$205,MATCH(C486,'CAD_RESÍDUOS'!$B$6:$B$205,0))&amp;"")</f>
        <v/>
      </c>
      <c r="E486" s="94" t="str">
        <f>IF(OR(R486=0,V486=0),"",INDEX('CAD_RESÍDUOS'!$C$6:$C$205,MATCH(C486,'CAD_RESÍDUOS'!$B$6:$B$205,0))&amp;"")</f>
        <v/>
      </c>
      <c r="F486" s="94" t="str">
        <f>IF(OR(R486=0,V486=0),"",INDEX('CAD_RESÍDUOS'!$G$6:$G$205,MATCH(C486,'CAD_RESÍDUOS'!$B$6:$B$205,0))&amp;"")</f>
        <v/>
      </c>
      <c r="G486" s="98" t="n"/>
      <c r="H486" s="91" t="n"/>
      <c r="I486" s="93" t="str">
        <f>IF(R486=0,"",IF(NOT(ISNUMBER(G486)),"",IF(ISNUMBER(X486),G486*X486,"UNIDADE A CONFERIR")))</f>
        <v/>
      </c>
      <c r="J486" s="91" t="n"/>
      <c r="K486" s="91" t="n"/>
      <c r="L486" s="93" t="str">
        <f>IF(R486=0,"",SUMIFS('RECEBIMENTOS'!$H$6:$H$1005,'RECEBIMENTOS'!$R$6:$R$1005,A486,'RECEBIMENTOS'!$X$6:$X$1005,1))</f>
        <v/>
      </c>
      <c r="M486" s="93" t="str">
        <f>IF(R486=0,"",SUMIFS('VÍNCULOS_CDF'!$H$6:$H$1005,'VÍNCULOS_CDF'!$R$6:$R$1005,A486,'VÍNCULOS_CDF'!$V$6:$V$1005,1))</f>
        <v/>
      </c>
      <c r="N486" s="99" t="str">
        <f>IF(OR(R486=0,AA486=0,NOT(ISNUMBER(I486))),"",I486-N(L486))</f>
        <v/>
      </c>
      <c r="O486" s="100" t="str">
        <f>IF(OR(R486=0,AK486&lt;=0),"",N(M486)/AK486)</f>
        <v/>
      </c>
      <c r="P486" s="94" t="str">
        <f>IF(R486=0,"",IF(S486="","Sem MTR associado",IF(U486=0,"MTR inexistente",IF(C486="","Resíduo não identificado",IF(V486=0,"Resíduo fora do cadastro",IF(W486=0,"Quantidade inválida",IF(H486="","Unidade não informada",IF(NOT(ISNUMBER(I486)),"Unidade a conferir",IF(AND(AH486=1,K486&lt;&gt;"Sim"),"Possível duplicidade",IF(Z486=1,"MTR cancelado",IF(AC486&gt;0,"Recebimento com alerta",IF(AA486=0,"Aguardando recebimento",IF(AB486&lt;AA486,"Recebimento a conferir",IF(AM486=1,"Quantidade a revisar",IF(AF486&gt;0,"Vínculo a revisar",IF(AD486=0,"Aguardando CDF",IF(AN486=0,"Vínculo de CDF parcial",IF(AE486&lt;AD486,"CDF a conferir","Documentação conferida"))))))))))))))))))</f>
        <v/>
      </c>
      <c r="Q486" s="93" t="str">
        <f>IF(OR(R486=0,AA486=0),"",MAX(0,N(L486)-N(M486)))</f>
        <v/>
      </c>
      <c r="R486" s="96">
        <f>IF(COUNTA(B486:C486,G486:H486,J486:K486)&gt;0,1,0)</f>
        <v>0</v>
      </c>
      <c r="S486" s="96" t="str">
        <f>IF(B486="","",TRIM(LEFT(B486,FIND(" |",B486&amp;" |")-1)))</f>
        <v/>
      </c>
      <c r="T486" s="96" t="str">
        <f>IF(S486="","",IFERROR(MATCH(S486,'MTRs'!$A$6:$A$505,0),""))</f>
        <v/>
      </c>
      <c r="U486" s="96">
        <f>IF(T486="",0,IF(INDEX('MTRs'!$Z$6:$Z$505,T486)=1,1,0))</f>
        <v>0</v>
      </c>
      <c r="V486" s="96">
        <f>IF(C486="",0,IF(ISNUMBER(MATCH(C486,'CAD_RESÍDUOS'!$B$6:$B$205,0)),1,0))</f>
        <v>0</v>
      </c>
      <c r="W486" s="96">
        <f>IF(AND(ISNUMBER(G486),G486&gt;0),1,0)</f>
        <v>0</v>
      </c>
      <c r="X486" s="96" t="str">
        <f>IF(H486="","",IFERROR(IF(ISNUMBER(INDEX(cfg_fac,MATCH(H486,cfg_units,0))),IF(INDEX(cfg_fac,MATCH(H486,cfg_units,0))&gt;0,INDEX(cfg_fac,MATCH(H486,cfg_units,0)),""),""),""))</f>
        <v/>
      </c>
      <c r="Y486" s="96">
        <f>IF(AND(W486=1,ISNUMBER(I486)),1,0)</f>
        <v>0</v>
      </c>
      <c r="Z486" s="96">
        <f>IF(U486=1,INDEX('MTRs'!$AA$6:$AA$505,T486),0)</f>
        <v>0</v>
      </c>
      <c r="AA486" s="96">
        <f>IF(R486=0,0,COUNTIFS('RECEBIMENTOS'!$R$6:$R$1005,A486,'RECEBIMENTOS'!$Q$6:$Q$1005,1))</f>
        <v>0</v>
      </c>
      <c r="AB486" s="96">
        <f>IF(R486=0,0,COUNTIFS('RECEBIMENTOS'!$R$6:$R$1005,A486,'RECEBIMENTOS'!$Z$6:$Z$1005,1))</f>
        <v>0</v>
      </c>
      <c r="AC486" s="96">
        <f>IF(R486=0,0,COUNTIFS('RECEBIMENTOS'!$R$6:$R$1005,A486,'RECEBIMENTOS'!$Y$6:$Y$1005,1))</f>
        <v>0</v>
      </c>
      <c r="AD486" s="96">
        <f>IF(R486=0,0,COUNTIFS('VÍNCULOS_CDF'!$R$6:$R$1005,A486,'VÍNCULOS_CDF'!$N$6:$N$1005,1))</f>
        <v>0</v>
      </c>
      <c r="AE486" s="96">
        <f>IF(R486=0,0,COUNTIFS('VÍNCULOS_CDF'!$R$6:$R$1005,A486,'VÍNCULOS_CDF'!$AA$6:$AA$1005,1))</f>
        <v>0</v>
      </c>
      <c r="AF486" s="96">
        <f>IF(R486=0,0,COUNTIFS('VÍNCULOS_CDF'!$R$6:$R$1005,A486,'VÍNCULOS_CDF'!$Y$6:$Y$1005,1))</f>
        <v>0</v>
      </c>
      <c r="AG486" s="96" t="str">
        <f>IF(AND(R486=1,S486&lt;&gt;"",C486&lt;&gt;""),S486&amp;"|"&amp;C486&amp;"|"&amp;G486&amp;"|"&amp;H486,"")</f>
        <v/>
      </c>
      <c r="AH486" s="96">
        <f>IF(AG486="",0,IF(SUMPRODUCT(--($AG$6:$AG$1005=AG486))&gt;1,1,0))</f>
        <v>0</v>
      </c>
      <c r="AI486" s="96">
        <f>IF(R486=0,0,IF(OR(U486=0,V486=0,Y486=0,AND(AH486=1,K486&lt;&gt;"Sim")),1,0))</f>
        <v>0</v>
      </c>
      <c r="AJ486" s="96">
        <f>IF(AND(R486=1,AA486&gt;0,AB486=AA486),1,0)</f>
        <v>0</v>
      </c>
      <c r="AK486" s="96">
        <f>IF(R486=0,0,IF(AA486&gt;0,N(L486),IF(ISNUMBER(I486),I486,0)))</f>
        <v>0</v>
      </c>
      <c r="AL486" s="96">
        <f>IF(R486=0,0,IF(AND(K486&lt;&gt;"Sim",N(M486)&gt;AK486+cfg_tol),1,0))</f>
        <v>0</v>
      </c>
      <c r="AM486" s="96">
        <f>IF(R486=0,0,IF(K486="Sim",0,IF(OR(AND(AA486&gt;0,ISNUMBER(I486),ABS(I486-N(L486))&gt;cfg_tol),AL486=1),1,0)))</f>
        <v>0</v>
      </c>
      <c r="AN486" s="96">
        <f>IF(AND(R486=1,N(M486)&gt;0,OR(N(M486)&gt;=AK486-cfg_tol,K486="Sim")),1,0)</f>
        <v>0</v>
      </c>
      <c r="AO486" s="96">
        <f>IF(AND(AN486=1,AD486&gt;0,AE486=AD486,AL486=0),1,0)</f>
        <v>0</v>
      </c>
      <c r="AP486" s="96">
        <f>IF(U486=0,0,IF(AND(INDEX('MTRs'!$AX$6:$AX$505,T486)=1,Z486=0,OR(f_res="",f_res="(Todos)",C486=f_res)),1,0))</f>
        <v>0</v>
      </c>
      <c r="AQ486" s="97" t="str">
        <f>IF(U486=0,"",INDEX('MTRs'!$AZ$6:$AZ$505,T486))</f>
        <v/>
      </c>
      <c r="AR486" s="96">
        <f>IF(U486=0,0,IF(AND(INDEX('MTRs'!$BA$6:$BA$505,T486)=1,Z486=0),1,0))</f>
        <v>0</v>
      </c>
      <c r="AS486" s="96" t="str">
        <f>IF(R486=1,A486&amp;" | MTR "&amp;IF(U486=1,INDEX('MTRs'!$B$6:$B$505,T486)&amp;"","?")&amp;" | "&amp;IF(C486="","(sem resíduo)",C486),"")</f>
        <v/>
      </c>
      <c r="AT486" s="96" t="str">
        <f>IF(R486=1,COUNTIF($R$6:R486,1),"")</f>
        <v/>
      </c>
      <c r="AU486" s="96" t="str">
        <f>IF(U486=1,INDEX('MTRs'!$I$6:$I$505,T486)&amp;"","")</f>
        <v/>
      </c>
    </row>
    <row r="487">
      <c r="A487" s="89" t="inlineStr">
        <is>
          <t>IT-000482</t>
        </is>
      </c>
      <c r="B487" s="91" t="n"/>
      <c r="C487" s="91" t="n"/>
      <c r="D487" s="94" t="str">
        <f>IF(OR(R487=0,V487=0),"",INDEX('CAD_RESÍDUOS'!$E$6:$E$205,MATCH(C487,'CAD_RESÍDUOS'!$B$6:$B$205,0))&amp;"")</f>
        <v/>
      </c>
      <c r="E487" s="94" t="str">
        <f>IF(OR(R487=0,V487=0),"",INDEX('CAD_RESÍDUOS'!$C$6:$C$205,MATCH(C487,'CAD_RESÍDUOS'!$B$6:$B$205,0))&amp;"")</f>
        <v/>
      </c>
      <c r="F487" s="94" t="str">
        <f>IF(OR(R487=0,V487=0),"",INDEX('CAD_RESÍDUOS'!$G$6:$G$205,MATCH(C487,'CAD_RESÍDUOS'!$B$6:$B$205,0))&amp;"")</f>
        <v/>
      </c>
      <c r="G487" s="98" t="n"/>
      <c r="H487" s="91" t="n"/>
      <c r="I487" s="93" t="str">
        <f>IF(R487=0,"",IF(NOT(ISNUMBER(G487)),"",IF(ISNUMBER(X487),G487*X487,"UNIDADE A CONFERIR")))</f>
        <v/>
      </c>
      <c r="J487" s="91" t="n"/>
      <c r="K487" s="91" t="n"/>
      <c r="L487" s="93" t="str">
        <f>IF(R487=0,"",SUMIFS('RECEBIMENTOS'!$H$6:$H$1005,'RECEBIMENTOS'!$R$6:$R$1005,A487,'RECEBIMENTOS'!$X$6:$X$1005,1))</f>
        <v/>
      </c>
      <c r="M487" s="93" t="str">
        <f>IF(R487=0,"",SUMIFS('VÍNCULOS_CDF'!$H$6:$H$1005,'VÍNCULOS_CDF'!$R$6:$R$1005,A487,'VÍNCULOS_CDF'!$V$6:$V$1005,1))</f>
        <v/>
      </c>
      <c r="N487" s="99" t="str">
        <f>IF(OR(R487=0,AA487=0,NOT(ISNUMBER(I487))),"",I487-N(L487))</f>
        <v/>
      </c>
      <c r="O487" s="100" t="str">
        <f>IF(OR(R487=0,AK487&lt;=0),"",N(M487)/AK487)</f>
        <v/>
      </c>
      <c r="P487" s="94" t="str">
        <f>IF(R487=0,"",IF(S487="","Sem MTR associado",IF(U487=0,"MTR inexistente",IF(C487="","Resíduo não identificado",IF(V487=0,"Resíduo fora do cadastro",IF(W487=0,"Quantidade inválida",IF(H487="","Unidade não informada",IF(NOT(ISNUMBER(I487)),"Unidade a conferir",IF(AND(AH487=1,K487&lt;&gt;"Sim"),"Possível duplicidade",IF(Z487=1,"MTR cancelado",IF(AC487&gt;0,"Recebimento com alerta",IF(AA487=0,"Aguardando recebimento",IF(AB487&lt;AA487,"Recebimento a conferir",IF(AM487=1,"Quantidade a revisar",IF(AF487&gt;0,"Vínculo a revisar",IF(AD487=0,"Aguardando CDF",IF(AN487=0,"Vínculo de CDF parcial",IF(AE487&lt;AD487,"CDF a conferir","Documentação conferida"))))))))))))))))))</f>
        <v/>
      </c>
      <c r="Q487" s="93" t="str">
        <f>IF(OR(R487=0,AA487=0),"",MAX(0,N(L487)-N(M487)))</f>
        <v/>
      </c>
      <c r="R487" s="96">
        <f>IF(COUNTA(B487:C487,G487:H487,J487:K487)&gt;0,1,0)</f>
        <v>0</v>
      </c>
      <c r="S487" s="96" t="str">
        <f>IF(B487="","",TRIM(LEFT(B487,FIND(" |",B487&amp;" |")-1)))</f>
        <v/>
      </c>
      <c r="T487" s="96" t="str">
        <f>IF(S487="","",IFERROR(MATCH(S487,'MTRs'!$A$6:$A$505,0),""))</f>
        <v/>
      </c>
      <c r="U487" s="96">
        <f>IF(T487="",0,IF(INDEX('MTRs'!$Z$6:$Z$505,T487)=1,1,0))</f>
        <v>0</v>
      </c>
      <c r="V487" s="96">
        <f>IF(C487="",0,IF(ISNUMBER(MATCH(C487,'CAD_RESÍDUOS'!$B$6:$B$205,0)),1,0))</f>
        <v>0</v>
      </c>
      <c r="W487" s="96">
        <f>IF(AND(ISNUMBER(G487),G487&gt;0),1,0)</f>
        <v>0</v>
      </c>
      <c r="X487" s="96" t="str">
        <f>IF(H487="","",IFERROR(IF(ISNUMBER(INDEX(cfg_fac,MATCH(H487,cfg_units,0))),IF(INDEX(cfg_fac,MATCH(H487,cfg_units,0))&gt;0,INDEX(cfg_fac,MATCH(H487,cfg_units,0)),""),""),""))</f>
        <v/>
      </c>
      <c r="Y487" s="96">
        <f>IF(AND(W487=1,ISNUMBER(I487)),1,0)</f>
        <v>0</v>
      </c>
      <c r="Z487" s="96">
        <f>IF(U487=1,INDEX('MTRs'!$AA$6:$AA$505,T487),0)</f>
        <v>0</v>
      </c>
      <c r="AA487" s="96">
        <f>IF(R487=0,0,COUNTIFS('RECEBIMENTOS'!$R$6:$R$1005,A487,'RECEBIMENTOS'!$Q$6:$Q$1005,1))</f>
        <v>0</v>
      </c>
      <c r="AB487" s="96">
        <f>IF(R487=0,0,COUNTIFS('RECEBIMENTOS'!$R$6:$R$1005,A487,'RECEBIMENTOS'!$Z$6:$Z$1005,1))</f>
        <v>0</v>
      </c>
      <c r="AC487" s="96">
        <f>IF(R487=0,0,COUNTIFS('RECEBIMENTOS'!$R$6:$R$1005,A487,'RECEBIMENTOS'!$Y$6:$Y$1005,1))</f>
        <v>0</v>
      </c>
      <c r="AD487" s="96">
        <f>IF(R487=0,0,COUNTIFS('VÍNCULOS_CDF'!$R$6:$R$1005,A487,'VÍNCULOS_CDF'!$N$6:$N$1005,1))</f>
        <v>0</v>
      </c>
      <c r="AE487" s="96">
        <f>IF(R487=0,0,COUNTIFS('VÍNCULOS_CDF'!$R$6:$R$1005,A487,'VÍNCULOS_CDF'!$AA$6:$AA$1005,1))</f>
        <v>0</v>
      </c>
      <c r="AF487" s="96">
        <f>IF(R487=0,0,COUNTIFS('VÍNCULOS_CDF'!$R$6:$R$1005,A487,'VÍNCULOS_CDF'!$Y$6:$Y$1005,1))</f>
        <v>0</v>
      </c>
      <c r="AG487" s="96" t="str">
        <f>IF(AND(R487=1,S487&lt;&gt;"",C487&lt;&gt;""),S487&amp;"|"&amp;C487&amp;"|"&amp;G487&amp;"|"&amp;H487,"")</f>
        <v/>
      </c>
      <c r="AH487" s="96">
        <f>IF(AG487="",0,IF(SUMPRODUCT(--($AG$6:$AG$1005=AG487))&gt;1,1,0))</f>
        <v>0</v>
      </c>
      <c r="AI487" s="96">
        <f>IF(R487=0,0,IF(OR(U487=0,V487=0,Y487=0,AND(AH487=1,K487&lt;&gt;"Sim")),1,0))</f>
        <v>0</v>
      </c>
      <c r="AJ487" s="96">
        <f>IF(AND(R487=1,AA487&gt;0,AB487=AA487),1,0)</f>
        <v>0</v>
      </c>
      <c r="AK487" s="96">
        <f>IF(R487=0,0,IF(AA487&gt;0,N(L487),IF(ISNUMBER(I487),I487,0)))</f>
        <v>0</v>
      </c>
      <c r="AL487" s="96">
        <f>IF(R487=0,0,IF(AND(K487&lt;&gt;"Sim",N(M487)&gt;AK487+cfg_tol),1,0))</f>
        <v>0</v>
      </c>
      <c r="AM487" s="96">
        <f>IF(R487=0,0,IF(K487="Sim",0,IF(OR(AND(AA487&gt;0,ISNUMBER(I487),ABS(I487-N(L487))&gt;cfg_tol),AL487=1),1,0)))</f>
        <v>0</v>
      </c>
      <c r="AN487" s="96">
        <f>IF(AND(R487=1,N(M487)&gt;0,OR(N(M487)&gt;=AK487-cfg_tol,K487="Sim")),1,0)</f>
        <v>0</v>
      </c>
      <c r="AO487" s="96">
        <f>IF(AND(AN487=1,AD487&gt;0,AE487=AD487,AL487=0),1,0)</f>
        <v>0</v>
      </c>
      <c r="AP487" s="96">
        <f>IF(U487=0,0,IF(AND(INDEX('MTRs'!$AX$6:$AX$505,T487)=1,Z487=0,OR(f_res="",f_res="(Todos)",C487=f_res)),1,0))</f>
        <v>0</v>
      </c>
      <c r="AQ487" s="97" t="str">
        <f>IF(U487=0,"",INDEX('MTRs'!$AZ$6:$AZ$505,T487))</f>
        <v/>
      </c>
      <c r="AR487" s="96">
        <f>IF(U487=0,0,IF(AND(INDEX('MTRs'!$BA$6:$BA$505,T487)=1,Z487=0),1,0))</f>
        <v>0</v>
      </c>
      <c r="AS487" s="96" t="str">
        <f>IF(R487=1,A487&amp;" | MTR "&amp;IF(U487=1,INDEX('MTRs'!$B$6:$B$505,T487)&amp;"","?")&amp;" | "&amp;IF(C487="","(sem resíduo)",C487),"")</f>
        <v/>
      </c>
      <c r="AT487" s="96" t="str">
        <f>IF(R487=1,COUNTIF($R$6:R487,1),"")</f>
        <v/>
      </c>
      <c r="AU487" s="96" t="str">
        <f>IF(U487=1,INDEX('MTRs'!$I$6:$I$505,T487)&amp;"","")</f>
        <v/>
      </c>
    </row>
    <row r="488">
      <c r="A488" s="89" t="inlineStr">
        <is>
          <t>IT-000483</t>
        </is>
      </c>
      <c r="B488" s="91" t="n"/>
      <c r="C488" s="91" t="n"/>
      <c r="D488" s="94" t="str">
        <f>IF(OR(R488=0,V488=0),"",INDEX('CAD_RESÍDUOS'!$E$6:$E$205,MATCH(C488,'CAD_RESÍDUOS'!$B$6:$B$205,0))&amp;"")</f>
        <v/>
      </c>
      <c r="E488" s="94" t="str">
        <f>IF(OR(R488=0,V488=0),"",INDEX('CAD_RESÍDUOS'!$C$6:$C$205,MATCH(C488,'CAD_RESÍDUOS'!$B$6:$B$205,0))&amp;"")</f>
        <v/>
      </c>
      <c r="F488" s="94" t="str">
        <f>IF(OR(R488=0,V488=0),"",INDEX('CAD_RESÍDUOS'!$G$6:$G$205,MATCH(C488,'CAD_RESÍDUOS'!$B$6:$B$205,0))&amp;"")</f>
        <v/>
      </c>
      <c r="G488" s="98" t="n"/>
      <c r="H488" s="91" t="n"/>
      <c r="I488" s="93" t="str">
        <f>IF(R488=0,"",IF(NOT(ISNUMBER(G488)),"",IF(ISNUMBER(X488),G488*X488,"UNIDADE A CONFERIR")))</f>
        <v/>
      </c>
      <c r="J488" s="91" t="n"/>
      <c r="K488" s="91" t="n"/>
      <c r="L488" s="93" t="str">
        <f>IF(R488=0,"",SUMIFS('RECEBIMENTOS'!$H$6:$H$1005,'RECEBIMENTOS'!$R$6:$R$1005,A488,'RECEBIMENTOS'!$X$6:$X$1005,1))</f>
        <v/>
      </c>
      <c r="M488" s="93" t="str">
        <f>IF(R488=0,"",SUMIFS('VÍNCULOS_CDF'!$H$6:$H$1005,'VÍNCULOS_CDF'!$R$6:$R$1005,A488,'VÍNCULOS_CDF'!$V$6:$V$1005,1))</f>
        <v/>
      </c>
      <c r="N488" s="99" t="str">
        <f>IF(OR(R488=0,AA488=0,NOT(ISNUMBER(I488))),"",I488-N(L488))</f>
        <v/>
      </c>
      <c r="O488" s="100" t="str">
        <f>IF(OR(R488=0,AK488&lt;=0),"",N(M488)/AK488)</f>
        <v/>
      </c>
      <c r="P488" s="94" t="str">
        <f>IF(R488=0,"",IF(S488="","Sem MTR associado",IF(U488=0,"MTR inexistente",IF(C488="","Resíduo não identificado",IF(V488=0,"Resíduo fora do cadastro",IF(W488=0,"Quantidade inválida",IF(H488="","Unidade não informada",IF(NOT(ISNUMBER(I488)),"Unidade a conferir",IF(AND(AH488=1,K488&lt;&gt;"Sim"),"Possível duplicidade",IF(Z488=1,"MTR cancelado",IF(AC488&gt;0,"Recebimento com alerta",IF(AA488=0,"Aguardando recebimento",IF(AB488&lt;AA488,"Recebimento a conferir",IF(AM488=1,"Quantidade a revisar",IF(AF488&gt;0,"Vínculo a revisar",IF(AD488=0,"Aguardando CDF",IF(AN488=0,"Vínculo de CDF parcial",IF(AE488&lt;AD488,"CDF a conferir","Documentação conferida"))))))))))))))))))</f>
        <v/>
      </c>
      <c r="Q488" s="93" t="str">
        <f>IF(OR(R488=0,AA488=0),"",MAX(0,N(L488)-N(M488)))</f>
        <v/>
      </c>
      <c r="R488" s="96">
        <f>IF(COUNTA(B488:C488,G488:H488,J488:K488)&gt;0,1,0)</f>
        <v>0</v>
      </c>
      <c r="S488" s="96" t="str">
        <f>IF(B488="","",TRIM(LEFT(B488,FIND(" |",B488&amp;" |")-1)))</f>
        <v/>
      </c>
      <c r="T488" s="96" t="str">
        <f>IF(S488="","",IFERROR(MATCH(S488,'MTRs'!$A$6:$A$505,0),""))</f>
        <v/>
      </c>
      <c r="U488" s="96">
        <f>IF(T488="",0,IF(INDEX('MTRs'!$Z$6:$Z$505,T488)=1,1,0))</f>
        <v>0</v>
      </c>
      <c r="V488" s="96">
        <f>IF(C488="",0,IF(ISNUMBER(MATCH(C488,'CAD_RESÍDUOS'!$B$6:$B$205,0)),1,0))</f>
        <v>0</v>
      </c>
      <c r="W488" s="96">
        <f>IF(AND(ISNUMBER(G488),G488&gt;0),1,0)</f>
        <v>0</v>
      </c>
      <c r="X488" s="96" t="str">
        <f>IF(H488="","",IFERROR(IF(ISNUMBER(INDEX(cfg_fac,MATCH(H488,cfg_units,0))),IF(INDEX(cfg_fac,MATCH(H488,cfg_units,0))&gt;0,INDEX(cfg_fac,MATCH(H488,cfg_units,0)),""),""),""))</f>
        <v/>
      </c>
      <c r="Y488" s="96">
        <f>IF(AND(W488=1,ISNUMBER(I488)),1,0)</f>
        <v>0</v>
      </c>
      <c r="Z488" s="96">
        <f>IF(U488=1,INDEX('MTRs'!$AA$6:$AA$505,T488),0)</f>
        <v>0</v>
      </c>
      <c r="AA488" s="96">
        <f>IF(R488=0,0,COUNTIFS('RECEBIMENTOS'!$R$6:$R$1005,A488,'RECEBIMENTOS'!$Q$6:$Q$1005,1))</f>
        <v>0</v>
      </c>
      <c r="AB488" s="96">
        <f>IF(R488=0,0,COUNTIFS('RECEBIMENTOS'!$R$6:$R$1005,A488,'RECEBIMENTOS'!$Z$6:$Z$1005,1))</f>
        <v>0</v>
      </c>
      <c r="AC488" s="96">
        <f>IF(R488=0,0,COUNTIFS('RECEBIMENTOS'!$R$6:$R$1005,A488,'RECEBIMENTOS'!$Y$6:$Y$1005,1))</f>
        <v>0</v>
      </c>
      <c r="AD488" s="96">
        <f>IF(R488=0,0,COUNTIFS('VÍNCULOS_CDF'!$R$6:$R$1005,A488,'VÍNCULOS_CDF'!$N$6:$N$1005,1))</f>
        <v>0</v>
      </c>
      <c r="AE488" s="96">
        <f>IF(R488=0,0,COUNTIFS('VÍNCULOS_CDF'!$R$6:$R$1005,A488,'VÍNCULOS_CDF'!$AA$6:$AA$1005,1))</f>
        <v>0</v>
      </c>
      <c r="AF488" s="96">
        <f>IF(R488=0,0,COUNTIFS('VÍNCULOS_CDF'!$R$6:$R$1005,A488,'VÍNCULOS_CDF'!$Y$6:$Y$1005,1))</f>
        <v>0</v>
      </c>
      <c r="AG488" s="96" t="str">
        <f>IF(AND(R488=1,S488&lt;&gt;"",C488&lt;&gt;""),S488&amp;"|"&amp;C488&amp;"|"&amp;G488&amp;"|"&amp;H488,"")</f>
        <v/>
      </c>
      <c r="AH488" s="96">
        <f>IF(AG488="",0,IF(SUMPRODUCT(--($AG$6:$AG$1005=AG488))&gt;1,1,0))</f>
        <v>0</v>
      </c>
      <c r="AI488" s="96">
        <f>IF(R488=0,0,IF(OR(U488=0,V488=0,Y488=0,AND(AH488=1,K488&lt;&gt;"Sim")),1,0))</f>
        <v>0</v>
      </c>
      <c r="AJ488" s="96">
        <f>IF(AND(R488=1,AA488&gt;0,AB488=AA488),1,0)</f>
        <v>0</v>
      </c>
      <c r="AK488" s="96">
        <f>IF(R488=0,0,IF(AA488&gt;0,N(L488),IF(ISNUMBER(I488),I488,0)))</f>
        <v>0</v>
      </c>
      <c r="AL488" s="96">
        <f>IF(R488=0,0,IF(AND(K488&lt;&gt;"Sim",N(M488)&gt;AK488+cfg_tol),1,0))</f>
        <v>0</v>
      </c>
      <c r="AM488" s="96">
        <f>IF(R488=0,0,IF(K488="Sim",0,IF(OR(AND(AA488&gt;0,ISNUMBER(I488),ABS(I488-N(L488))&gt;cfg_tol),AL488=1),1,0)))</f>
        <v>0</v>
      </c>
      <c r="AN488" s="96">
        <f>IF(AND(R488=1,N(M488)&gt;0,OR(N(M488)&gt;=AK488-cfg_tol,K488="Sim")),1,0)</f>
        <v>0</v>
      </c>
      <c r="AO488" s="96">
        <f>IF(AND(AN488=1,AD488&gt;0,AE488=AD488,AL488=0),1,0)</f>
        <v>0</v>
      </c>
      <c r="AP488" s="96">
        <f>IF(U488=0,0,IF(AND(INDEX('MTRs'!$AX$6:$AX$505,T488)=1,Z488=0,OR(f_res="",f_res="(Todos)",C488=f_res)),1,0))</f>
        <v>0</v>
      </c>
      <c r="AQ488" s="97" t="str">
        <f>IF(U488=0,"",INDEX('MTRs'!$AZ$6:$AZ$505,T488))</f>
        <v/>
      </c>
      <c r="AR488" s="96">
        <f>IF(U488=0,0,IF(AND(INDEX('MTRs'!$BA$6:$BA$505,T488)=1,Z488=0),1,0))</f>
        <v>0</v>
      </c>
      <c r="AS488" s="96" t="str">
        <f>IF(R488=1,A488&amp;" | MTR "&amp;IF(U488=1,INDEX('MTRs'!$B$6:$B$505,T488)&amp;"","?")&amp;" | "&amp;IF(C488="","(sem resíduo)",C488),"")</f>
        <v/>
      </c>
      <c r="AT488" s="96" t="str">
        <f>IF(R488=1,COUNTIF($R$6:R488,1),"")</f>
        <v/>
      </c>
      <c r="AU488" s="96" t="str">
        <f>IF(U488=1,INDEX('MTRs'!$I$6:$I$505,T488)&amp;"","")</f>
        <v/>
      </c>
    </row>
    <row r="489">
      <c r="A489" s="89" t="inlineStr">
        <is>
          <t>IT-000484</t>
        </is>
      </c>
      <c r="B489" s="91" t="n"/>
      <c r="C489" s="91" t="n"/>
      <c r="D489" s="94" t="str">
        <f>IF(OR(R489=0,V489=0),"",INDEX('CAD_RESÍDUOS'!$E$6:$E$205,MATCH(C489,'CAD_RESÍDUOS'!$B$6:$B$205,0))&amp;"")</f>
        <v/>
      </c>
      <c r="E489" s="94" t="str">
        <f>IF(OR(R489=0,V489=0),"",INDEX('CAD_RESÍDUOS'!$C$6:$C$205,MATCH(C489,'CAD_RESÍDUOS'!$B$6:$B$205,0))&amp;"")</f>
        <v/>
      </c>
      <c r="F489" s="94" t="str">
        <f>IF(OR(R489=0,V489=0),"",INDEX('CAD_RESÍDUOS'!$G$6:$G$205,MATCH(C489,'CAD_RESÍDUOS'!$B$6:$B$205,0))&amp;"")</f>
        <v/>
      </c>
      <c r="G489" s="98" t="n"/>
      <c r="H489" s="91" t="n"/>
      <c r="I489" s="93" t="str">
        <f>IF(R489=0,"",IF(NOT(ISNUMBER(G489)),"",IF(ISNUMBER(X489),G489*X489,"UNIDADE A CONFERIR")))</f>
        <v/>
      </c>
      <c r="J489" s="91" t="n"/>
      <c r="K489" s="91" t="n"/>
      <c r="L489" s="93" t="str">
        <f>IF(R489=0,"",SUMIFS('RECEBIMENTOS'!$H$6:$H$1005,'RECEBIMENTOS'!$R$6:$R$1005,A489,'RECEBIMENTOS'!$X$6:$X$1005,1))</f>
        <v/>
      </c>
      <c r="M489" s="93" t="str">
        <f>IF(R489=0,"",SUMIFS('VÍNCULOS_CDF'!$H$6:$H$1005,'VÍNCULOS_CDF'!$R$6:$R$1005,A489,'VÍNCULOS_CDF'!$V$6:$V$1005,1))</f>
        <v/>
      </c>
      <c r="N489" s="99" t="str">
        <f>IF(OR(R489=0,AA489=0,NOT(ISNUMBER(I489))),"",I489-N(L489))</f>
        <v/>
      </c>
      <c r="O489" s="100" t="str">
        <f>IF(OR(R489=0,AK489&lt;=0),"",N(M489)/AK489)</f>
        <v/>
      </c>
      <c r="P489" s="94" t="str">
        <f>IF(R489=0,"",IF(S489="","Sem MTR associado",IF(U489=0,"MTR inexistente",IF(C489="","Resíduo não identificado",IF(V489=0,"Resíduo fora do cadastro",IF(W489=0,"Quantidade inválida",IF(H489="","Unidade não informada",IF(NOT(ISNUMBER(I489)),"Unidade a conferir",IF(AND(AH489=1,K489&lt;&gt;"Sim"),"Possível duplicidade",IF(Z489=1,"MTR cancelado",IF(AC489&gt;0,"Recebimento com alerta",IF(AA489=0,"Aguardando recebimento",IF(AB489&lt;AA489,"Recebimento a conferir",IF(AM489=1,"Quantidade a revisar",IF(AF489&gt;0,"Vínculo a revisar",IF(AD489=0,"Aguardando CDF",IF(AN489=0,"Vínculo de CDF parcial",IF(AE489&lt;AD489,"CDF a conferir","Documentação conferida"))))))))))))))))))</f>
        <v/>
      </c>
      <c r="Q489" s="93" t="str">
        <f>IF(OR(R489=0,AA489=0),"",MAX(0,N(L489)-N(M489)))</f>
        <v/>
      </c>
      <c r="R489" s="96">
        <f>IF(COUNTA(B489:C489,G489:H489,J489:K489)&gt;0,1,0)</f>
        <v>0</v>
      </c>
      <c r="S489" s="96" t="str">
        <f>IF(B489="","",TRIM(LEFT(B489,FIND(" |",B489&amp;" |")-1)))</f>
        <v/>
      </c>
      <c r="T489" s="96" t="str">
        <f>IF(S489="","",IFERROR(MATCH(S489,'MTRs'!$A$6:$A$505,0),""))</f>
        <v/>
      </c>
      <c r="U489" s="96">
        <f>IF(T489="",0,IF(INDEX('MTRs'!$Z$6:$Z$505,T489)=1,1,0))</f>
        <v>0</v>
      </c>
      <c r="V489" s="96">
        <f>IF(C489="",0,IF(ISNUMBER(MATCH(C489,'CAD_RESÍDUOS'!$B$6:$B$205,0)),1,0))</f>
        <v>0</v>
      </c>
      <c r="W489" s="96">
        <f>IF(AND(ISNUMBER(G489),G489&gt;0),1,0)</f>
        <v>0</v>
      </c>
      <c r="X489" s="96" t="str">
        <f>IF(H489="","",IFERROR(IF(ISNUMBER(INDEX(cfg_fac,MATCH(H489,cfg_units,0))),IF(INDEX(cfg_fac,MATCH(H489,cfg_units,0))&gt;0,INDEX(cfg_fac,MATCH(H489,cfg_units,0)),""),""),""))</f>
        <v/>
      </c>
      <c r="Y489" s="96">
        <f>IF(AND(W489=1,ISNUMBER(I489)),1,0)</f>
        <v>0</v>
      </c>
      <c r="Z489" s="96">
        <f>IF(U489=1,INDEX('MTRs'!$AA$6:$AA$505,T489),0)</f>
        <v>0</v>
      </c>
      <c r="AA489" s="96">
        <f>IF(R489=0,0,COUNTIFS('RECEBIMENTOS'!$R$6:$R$1005,A489,'RECEBIMENTOS'!$Q$6:$Q$1005,1))</f>
        <v>0</v>
      </c>
      <c r="AB489" s="96">
        <f>IF(R489=0,0,COUNTIFS('RECEBIMENTOS'!$R$6:$R$1005,A489,'RECEBIMENTOS'!$Z$6:$Z$1005,1))</f>
        <v>0</v>
      </c>
      <c r="AC489" s="96">
        <f>IF(R489=0,0,COUNTIFS('RECEBIMENTOS'!$R$6:$R$1005,A489,'RECEBIMENTOS'!$Y$6:$Y$1005,1))</f>
        <v>0</v>
      </c>
      <c r="AD489" s="96">
        <f>IF(R489=0,0,COUNTIFS('VÍNCULOS_CDF'!$R$6:$R$1005,A489,'VÍNCULOS_CDF'!$N$6:$N$1005,1))</f>
        <v>0</v>
      </c>
      <c r="AE489" s="96">
        <f>IF(R489=0,0,COUNTIFS('VÍNCULOS_CDF'!$R$6:$R$1005,A489,'VÍNCULOS_CDF'!$AA$6:$AA$1005,1))</f>
        <v>0</v>
      </c>
      <c r="AF489" s="96">
        <f>IF(R489=0,0,COUNTIFS('VÍNCULOS_CDF'!$R$6:$R$1005,A489,'VÍNCULOS_CDF'!$Y$6:$Y$1005,1))</f>
        <v>0</v>
      </c>
      <c r="AG489" s="96" t="str">
        <f>IF(AND(R489=1,S489&lt;&gt;"",C489&lt;&gt;""),S489&amp;"|"&amp;C489&amp;"|"&amp;G489&amp;"|"&amp;H489,"")</f>
        <v/>
      </c>
      <c r="AH489" s="96">
        <f>IF(AG489="",0,IF(SUMPRODUCT(--($AG$6:$AG$1005=AG489))&gt;1,1,0))</f>
        <v>0</v>
      </c>
      <c r="AI489" s="96">
        <f>IF(R489=0,0,IF(OR(U489=0,V489=0,Y489=0,AND(AH489=1,K489&lt;&gt;"Sim")),1,0))</f>
        <v>0</v>
      </c>
      <c r="AJ489" s="96">
        <f>IF(AND(R489=1,AA489&gt;0,AB489=AA489),1,0)</f>
        <v>0</v>
      </c>
      <c r="AK489" s="96">
        <f>IF(R489=0,0,IF(AA489&gt;0,N(L489),IF(ISNUMBER(I489),I489,0)))</f>
        <v>0</v>
      </c>
      <c r="AL489" s="96">
        <f>IF(R489=0,0,IF(AND(K489&lt;&gt;"Sim",N(M489)&gt;AK489+cfg_tol),1,0))</f>
        <v>0</v>
      </c>
      <c r="AM489" s="96">
        <f>IF(R489=0,0,IF(K489="Sim",0,IF(OR(AND(AA489&gt;0,ISNUMBER(I489),ABS(I489-N(L489))&gt;cfg_tol),AL489=1),1,0)))</f>
        <v>0</v>
      </c>
      <c r="AN489" s="96">
        <f>IF(AND(R489=1,N(M489)&gt;0,OR(N(M489)&gt;=AK489-cfg_tol,K489="Sim")),1,0)</f>
        <v>0</v>
      </c>
      <c r="AO489" s="96">
        <f>IF(AND(AN489=1,AD489&gt;0,AE489=AD489,AL489=0),1,0)</f>
        <v>0</v>
      </c>
      <c r="AP489" s="96">
        <f>IF(U489=0,0,IF(AND(INDEX('MTRs'!$AX$6:$AX$505,T489)=1,Z489=0,OR(f_res="",f_res="(Todos)",C489=f_res)),1,0))</f>
        <v>0</v>
      </c>
      <c r="AQ489" s="97" t="str">
        <f>IF(U489=0,"",INDEX('MTRs'!$AZ$6:$AZ$505,T489))</f>
        <v/>
      </c>
      <c r="AR489" s="96">
        <f>IF(U489=0,0,IF(AND(INDEX('MTRs'!$BA$6:$BA$505,T489)=1,Z489=0),1,0))</f>
        <v>0</v>
      </c>
      <c r="AS489" s="96" t="str">
        <f>IF(R489=1,A489&amp;" | MTR "&amp;IF(U489=1,INDEX('MTRs'!$B$6:$B$505,T489)&amp;"","?")&amp;" | "&amp;IF(C489="","(sem resíduo)",C489),"")</f>
        <v/>
      </c>
      <c r="AT489" s="96" t="str">
        <f>IF(R489=1,COUNTIF($R$6:R489,1),"")</f>
        <v/>
      </c>
      <c r="AU489" s="96" t="str">
        <f>IF(U489=1,INDEX('MTRs'!$I$6:$I$505,T489)&amp;"","")</f>
        <v/>
      </c>
    </row>
    <row r="490">
      <c r="A490" s="89" t="inlineStr">
        <is>
          <t>IT-000485</t>
        </is>
      </c>
      <c r="B490" s="91" t="n"/>
      <c r="C490" s="91" t="n"/>
      <c r="D490" s="94" t="str">
        <f>IF(OR(R490=0,V490=0),"",INDEX('CAD_RESÍDUOS'!$E$6:$E$205,MATCH(C490,'CAD_RESÍDUOS'!$B$6:$B$205,0))&amp;"")</f>
        <v/>
      </c>
      <c r="E490" s="94" t="str">
        <f>IF(OR(R490=0,V490=0),"",INDEX('CAD_RESÍDUOS'!$C$6:$C$205,MATCH(C490,'CAD_RESÍDUOS'!$B$6:$B$205,0))&amp;"")</f>
        <v/>
      </c>
      <c r="F490" s="94" t="str">
        <f>IF(OR(R490=0,V490=0),"",INDEX('CAD_RESÍDUOS'!$G$6:$G$205,MATCH(C490,'CAD_RESÍDUOS'!$B$6:$B$205,0))&amp;"")</f>
        <v/>
      </c>
      <c r="G490" s="98" t="n"/>
      <c r="H490" s="91" t="n"/>
      <c r="I490" s="93" t="str">
        <f>IF(R490=0,"",IF(NOT(ISNUMBER(G490)),"",IF(ISNUMBER(X490),G490*X490,"UNIDADE A CONFERIR")))</f>
        <v/>
      </c>
      <c r="J490" s="91" t="n"/>
      <c r="K490" s="91" t="n"/>
      <c r="L490" s="93" t="str">
        <f>IF(R490=0,"",SUMIFS('RECEBIMENTOS'!$H$6:$H$1005,'RECEBIMENTOS'!$R$6:$R$1005,A490,'RECEBIMENTOS'!$X$6:$X$1005,1))</f>
        <v/>
      </c>
      <c r="M490" s="93" t="str">
        <f>IF(R490=0,"",SUMIFS('VÍNCULOS_CDF'!$H$6:$H$1005,'VÍNCULOS_CDF'!$R$6:$R$1005,A490,'VÍNCULOS_CDF'!$V$6:$V$1005,1))</f>
        <v/>
      </c>
      <c r="N490" s="99" t="str">
        <f>IF(OR(R490=0,AA490=0,NOT(ISNUMBER(I490))),"",I490-N(L490))</f>
        <v/>
      </c>
      <c r="O490" s="100" t="str">
        <f>IF(OR(R490=0,AK490&lt;=0),"",N(M490)/AK490)</f>
        <v/>
      </c>
      <c r="P490" s="94" t="str">
        <f>IF(R490=0,"",IF(S490="","Sem MTR associado",IF(U490=0,"MTR inexistente",IF(C490="","Resíduo não identificado",IF(V490=0,"Resíduo fora do cadastro",IF(W490=0,"Quantidade inválida",IF(H490="","Unidade não informada",IF(NOT(ISNUMBER(I490)),"Unidade a conferir",IF(AND(AH490=1,K490&lt;&gt;"Sim"),"Possível duplicidade",IF(Z490=1,"MTR cancelado",IF(AC490&gt;0,"Recebimento com alerta",IF(AA490=0,"Aguardando recebimento",IF(AB490&lt;AA490,"Recebimento a conferir",IF(AM490=1,"Quantidade a revisar",IF(AF490&gt;0,"Vínculo a revisar",IF(AD490=0,"Aguardando CDF",IF(AN490=0,"Vínculo de CDF parcial",IF(AE490&lt;AD490,"CDF a conferir","Documentação conferida"))))))))))))))))))</f>
        <v/>
      </c>
      <c r="Q490" s="93" t="str">
        <f>IF(OR(R490=0,AA490=0),"",MAX(0,N(L490)-N(M490)))</f>
        <v/>
      </c>
      <c r="R490" s="96">
        <f>IF(COUNTA(B490:C490,G490:H490,J490:K490)&gt;0,1,0)</f>
        <v>0</v>
      </c>
      <c r="S490" s="96" t="str">
        <f>IF(B490="","",TRIM(LEFT(B490,FIND(" |",B490&amp;" |")-1)))</f>
        <v/>
      </c>
      <c r="T490" s="96" t="str">
        <f>IF(S490="","",IFERROR(MATCH(S490,'MTRs'!$A$6:$A$505,0),""))</f>
        <v/>
      </c>
      <c r="U490" s="96">
        <f>IF(T490="",0,IF(INDEX('MTRs'!$Z$6:$Z$505,T490)=1,1,0))</f>
        <v>0</v>
      </c>
      <c r="V490" s="96">
        <f>IF(C490="",0,IF(ISNUMBER(MATCH(C490,'CAD_RESÍDUOS'!$B$6:$B$205,0)),1,0))</f>
        <v>0</v>
      </c>
      <c r="W490" s="96">
        <f>IF(AND(ISNUMBER(G490),G490&gt;0),1,0)</f>
        <v>0</v>
      </c>
      <c r="X490" s="96" t="str">
        <f>IF(H490="","",IFERROR(IF(ISNUMBER(INDEX(cfg_fac,MATCH(H490,cfg_units,0))),IF(INDEX(cfg_fac,MATCH(H490,cfg_units,0))&gt;0,INDEX(cfg_fac,MATCH(H490,cfg_units,0)),""),""),""))</f>
        <v/>
      </c>
      <c r="Y490" s="96">
        <f>IF(AND(W490=1,ISNUMBER(I490)),1,0)</f>
        <v>0</v>
      </c>
      <c r="Z490" s="96">
        <f>IF(U490=1,INDEX('MTRs'!$AA$6:$AA$505,T490),0)</f>
        <v>0</v>
      </c>
      <c r="AA490" s="96">
        <f>IF(R490=0,0,COUNTIFS('RECEBIMENTOS'!$R$6:$R$1005,A490,'RECEBIMENTOS'!$Q$6:$Q$1005,1))</f>
        <v>0</v>
      </c>
      <c r="AB490" s="96">
        <f>IF(R490=0,0,COUNTIFS('RECEBIMENTOS'!$R$6:$R$1005,A490,'RECEBIMENTOS'!$Z$6:$Z$1005,1))</f>
        <v>0</v>
      </c>
      <c r="AC490" s="96">
        <f>IF(R490=0,0,COUNTIFS('RECEBIMENTOS'!$R$6:$R$1005,A490,'RECEBIMENTOS'!$Y$6:$Y$1005,1))</f>
        <v>0</v>
      </c>
      <c r="AD490" s="96">
        <f>IF(R490=0,0,COUNTIFS('VÍNCULOS_CDF'!$R$6:$R$1005,A490,'VÍNCULOS_CDF'!$N$6:$N$1005,1))</f>
        <v>0</v>
      </c>
      <c r="AE490" s="96">
        <f>IF(R490=0,0,COUNTIFS('VÍNCULOS_CDF'!$R$6:$R$1005,A490,'VÍNCULOS_CDF'!$AA$6:$AA$1005,1))</f>
        <v>0</v>
      </c>
      <c r="AF490" s="96">
        <f>IF(R490=0,0,COUNTIFS('VÍNCULOS_CDF'!$R$6:$R$1005,A490,'VÍNCULOS_CDF'!$Y$6:$Y$1005,1))</f>
        <v>0</v>
      </c>
      <c r="AG490" s="96" t="str">
        <f>IF(AND(R490=1,S490&lt;&gt;"",C490&lt;&gt;""),S490&amp;"|"&amp;C490&amp;"|"&amp;G490&amp;"|"&amp;H490,"")</f>
        <v/>
      </c>
      <c r="AH490" s="96">
        <f>IF(AG490="",0,IF(SUMPRODUCT(--($AG$6:$AG$1005=AG490))&gt;1,1,0))</f>
        <v>0</v>
      </c>
      <c r="AI490" s="96">
        <f>IF(R490=0,0,IF(OR(U490=0,V490=0,Y490=0,AND(AH490=1,K490&lt;&gt;"Sim")),1,0))</f>
        <v>0</v>
      </c>
      <c r="AJ490" s="96">
        <f>IF(AND(R490=1,AA490&gt;0,AB490=AA490),1,0)</f>
        <v>0</v>
      </c>
      <c r="AK490" s="96">
        <f>IF(R490=0,0,IF(AA490&gt;0,N(L490),IF(ISNUMBER(I490),I490,0)))</f>
        <v>0</v>
      </c>
      <c r="AL490" s="96">
        <f>IF(R490=0,0,IF(AND(K490&lt;&gt;"Sim",N(M490)&gt;AK490+cfg_tol),1,0))</f>
        <v>0</v>
      </c>
      <c r="AM490" s="96">
        <f>IF(R490=0,0,IF(K490="Sim",0,IF(OR(AND(AA490&gt;0,ISNUMBER(I490),ABS(I490-N(L490))&gt;cfg_tol),AL490=1),1,0)))</f>
        <v>0</v>
      </c>
      <c r="AN490" s="96">
        <f>IF(AND(R490=1,N(M490)&gt;0,OR(N(M490)&gt;=AK490-cfg_tol,K490="Sim")),1,0)</f>
        <v>0</v>
      </c>
      <c r="AO490" s="96">
        <f>IF(AND(AN490=1,AD490&gt;0,AE490=AD490,AL490=0),1,0)</f>
        <v>0</v>
      </c>
      <c r="AP490" s="96">
        <f>IF(U490=0,0,IF(AND(INDEX('MTRs'!$AX$6:$AX$505,T490)=1,Z490=0,OR(f_res="",f_res="(Todos)",C490=f_res)),1,0))</f>
        <v>0</v>
      </c>
      <c r="AQ490" s="97" t="str">
        <f>IF(U490=0,"",INDEX('MTRs'!$AZ$6:$AZ$505,T490))</f>
        <v/>
      </c>
      <c r="AR490" s="96">
        <f>IF(U490=0,0,IF(AND(INDEX('MTRs'!$BA$6:$BA$505,T490)=1,Z490=0),1,0))</f>
        <v>0</v>
      </c>
      <c r="AS490" s="96" t="str">
        <f>IF(R490=1,A490&amp;" | MTR "&amp;IF(U490=1,INDEX('MTRs'!$B$6:$B$505,T490)&amp;"","?")&amp;" | "&amp;IF(C490="","(sem resíduo)",C490),"")</f>
        <v/>
      </c>
      <c r="AT490" s="96" t="str">
        <f>IF(R490=1,COUNTIF($R$6:R490,1),"")</f>
        <v/>
      </c>
      <c r="AU490" s="96" t="str">
        <f>IF(U490=1,INDEX('MTRs'!$I$6:$I$505,T490)&amp;"","")</f>
        <v/>
      </c>
    </row>
    <row r="491">
      <c r="A491" s="89" t="inlineStr">
        <is>
          <t>IT-000486</t>
        </is>
      </c>
      <c r="B491" s="91" t="n"/>
      <c r="C491" s="91" t="n"/>
      <c r="D491" s="94" t="str">
        <f>IF(OR(R491=0,V491=0),"",INDEX('CAD_RESÍDUOS'!$E$6:$E$205,MATCH(C491,'CAD_RESÍDUOS'!$B$6:$B$205,0))&amp;"")</f>
        <v/>
      </c>
      <c r="E491" s="94" t="str">
        <f>IF(OR(R491=0,V491=0),"",INDEX('CAD_RESÍDUOS'!$C$6:$C$205,MATCH(C491,'CAD_RESÍDUOS'!$B$6:$B$205,0))&amp;"")</f>
        <v/>
      </c>
      <c r="F491" s="94" t="str">
        <f>IF(OR(R491=0,V491=0),"",INDEX('CAD_RESÍDUOS'!$G$6:$G$205,MATCH(C491,'CAD_RESÍDUOS'!$B$6:$B$205,0))&amp;"")</f>
        <v/>
      </c>
      <c r="G491" s="98" t="n"/>
      <c r="H491" s="91" t="n"/>
      <c r="I491" s="93" t="str">
        <f>IF(R491=0,"",IF(NOT(ISNUMBER(G491)),"",IF(ISNUMBER(X491),G491*X491,"UNIDADE A CONFERIR")))</f>
        <v/>
      </c>
      <c r="J491" s="91" t="n"/>
      <c r="K491" s="91" t="n"/>
      <c r="L491" s="93" t="str">
        <f>IF(R491=0,"",SUMIFS('RECEBIMENTOS'!$H$6:$H$1005,'RECEBIMENTOS'!$R$6:$R$1005,A491,'RECEBIMENTOS'!$X$6:$X$1005,1))</f>
        <v/>
      </c>
      <c r="M491" s="93" t="str">
        <f>IF(R491=0,"",SUMIFS('VÍNCULOS_CDF'!$H$6:$H$1005,'VÍNCULOS_CDF'!$R$6:$R$1005,A491,'VÍNCULOS_CDF'!$V$6:$V$1005,1))</f>
        <v/>
      </c>
      <c r="N491" s="99" t="str">
        <f>IF(OR(R491=0,AA491=0,NOT(ISNUMBER(I491))),"",I491-N(L491))</f>
        <v/>
      </c>
      <c r="O491" s="100" t="str">
        <f>IF(OR(R491=0,AK491&lt;=0),"",N(M491)/AK491)</f>
        <v/>
      </c>
      <c r="P491" s="94" t="str">
        <f>IF(R491=0,"",IF(S491="","Sem MTR associado",IF(U491=0,"MTR inexistente",IF(C491="","Resíduo não identificado",IF(V491=0,"Resíduo fora do cadastro",IF(W491=0,"Quantidade inválida",IF(H491="","Unidade não informada",IF(NOT(ISNUMBER(I491)),"Unidade a conferir",IF(AND(AH491=1,K491&lt;&gt;"Sim"),"Possível duplicidade",IF(Z491=1,"MTR cancelado",IF(AC491&gt;0,"Recebimento com alerta",IF(AA491=0,"Aguardando recebimento",IF(AB491&lt;AA491,"Recebimento a conferir",IF(AM491=1,"Quantidade a revisar",IF(AF491&gt;0,"Vínculo a revisar",IF(AD491=0,"Aguardando CDF",IF(AN491=0,"Vínculo de CDF parcial",IF(AE491&lt;AD491,"CDF a conferir","Documentação conferida"))))))))))))))))))</f>
        <v/>
      </c>
      <c r="Q491" s="93" t="str">
        <f>IF(OR(R491=0,AA491=0),"",MAX(0,N(L491)-N(M491)))</f>
        <v/>
      </c>
      <c r="R491" s="96">
        <f>IF(COUNTA(B491:C491,G491:H491,J491:K491)&gt;0,1,0)</f>
        <v>0</v>
      </c>
      <c r="S491" s="96" t="str">
        <f>IF(B491="","",TRIM(LEFT(B491,FIND(" |",B491&amp;" |")-1)))</f>
        <v/>
      </c>
      <c r="T491" s="96" t="str">
        <f>IF(S491="","",IFERROR(MATCH(S491,'MTRs'!$A$6:$A$505,0),""))</f>
        <v/>
      </c>
      <c r="U491" s="96">
        <f>IF(T491="",0,IF(INDEX('MTRs'!$Z$6:$Z$505,T491)=1,1,0))</f>
        <v>0</v>
      </c>
      <c r="V491" s="96">
        <f>IF(C491="",0,IF(ISNUMBER(MATCH(C491,'CAD_RESÍDUOS'!$B$6:$B$205,0)),1,0))</f>
        <v>0</v>
      </c>
      <c r="W491" s="96">
        <f>IF(AND(ISNUMBER(G491),G491&gt;0),1,0)</f>
        <v>0</v>
      </c>
      <c r="X491" s="96" t="str">
        <f>IF(H491="","",IFERROR(IF(ISNUMBER(INDEX(cfg_fac,MATCH(H491,cfg_units,0))),IF(INDEX(cfg_fac,MATCH(H491,cfg_units,0))&gt;0,INDEX(cfg_fac,MATCH(H491,cfg_units,0)),""),""),""))</f>
        <v/>
      </c>
      <c r="Y491" s="96">
        <f>IF(AND(W491=1,ISNUMBER(I491)),1,0)</f>
        <v>0</v>
      </c>
      <c r="Z491" s="96">
        <f>IF(U491=1,INDEX('MTRs'!$AA$6:$AA$505,T491),0)</f>
        <v>0</v>
      </c>
      <c r="AA491" s="96">
        <f>IF(R491=0,0,COUNTIFS('RECEBIMENTOS'!$R$6:$R$1005,A491,'RECEBIMENTOS'!$Q$6:$Q$1005,1))</f>
        <v>0</v>
      </c>
      <c r="AB491" s="96">
        <f>IF(R491=0,0,COUNTIFS('RECEBIMENTOS'!$R$6:$R$1005,A491,'RECEBIMENTOS'!$Z$6:$Z$1005,1))</f>
        <v>0</v>
      </c>
      <c r="AC491" s="96">
        <f>IF(R491=0,0,COUNTIFS('RECEBIMENTOS'!$R$6:$R$1005,A491,'RECEBIMENTOS'!$Y$6:$Y$1005,1))</f>
        <v>0</v>
      </c>
      <c r="AD491" s="96">
        <f>IF(R491=0,0,COUNTIFS('VÍNCULOS_CDF'!$R$6:$R$1005,A491,'VÍNCULOS_CDF'!$N$6:$N$1005,1))</f>
        <v>0</v>
      </c>
      <c r="AE491" s="96">
        <f>IF(R491=0,0,COUNTIFS('VÍNCULOS_CDF'!$R$6:$R$1005,A491,'VÍNCULOS_CDF'!$AA$6:$AA$1005,1))</f>
        <v>0</v>
      </c>
      <c r="AF491" s="96">
        <f>IF(R491=0,0,COUNTIFS('VÍNCULOS_CDF'!$R$6:$R$1005,A491,'VÍNCULOS_CDF'!$Y$6:$Y$1005,1))</f>
        <v>0</v>
      </c>
      <c r="AG491" s="96" t="str">
        <f>IF(AND(R491=1,S491&lt;&gt;"",C491&lt;&gt;""),S491&amp;"|"&amp;C491&amp;"|"&amp;G491&amp;"|"&amp;H491,"")</f>
        <v/>
      </c>
      <c r="AH491" s="96">
        <f>IF(AG491="",0,IF(SUMPRODUCT(--($AG$6:$AG$1005=AG491))&gt;1,1,0))</f>
        <v>0</v>
      </c>
      <c r="AI491" s="96">
        <f>IF(R491=0,0,IF(OR(U491=0,V491=0,Y491=0,AND(AH491=1,K491&lt;&gt;"Sim")),1,0))</f>
        <v>0</v>
      </c>
      <c r="AJ491" s="96">
        <f>IF(AND(R491=1,AA491&gt;0,AB491=AA491),1,0)</f>
        <v>0</v>
      </c>
      <c r="AK491" s="96">
        <f>IF(R491=0,0,IF(AA491&gt;0,N(L491),IF(ISNUMBER(I491),I491,0)))</f>
        <v>0</v>
      </c>
      <c r="AL491" s="96">
        <f>IF(R491=0,0,IF(AND(K491&lt;&gt;"Sim",N(M491)&gt;AK491+cfg_tol),1,0))</f>
        <v>0</v>
      </c>
      <c r="AM491" s="96">
        <f>IF(R491=0,0,IF(K491="Sim",0,IF(OR(AND(AA491&gt;0,ISNUMBER(I491),ABS(I491-N(L491))&gt;cfg_tol),AL491=1),1,0)))</f>
        <v>0</v>
      </c>
      <c r="AN491" s="96">
        <f>IF(AND(R491=1,N(M491)&gt;0,OR(N(M491)&gt;=AK491-cfg_tol,K491="Sim")),1,0)</f>
        <v>0</v>
      </c>
      <c r="AO491" s="96">
        <f>IF(AND(AN491=1,AD491&gt;0,AE491=AD491,AL491=0),1,0)</f>
        <v>0</v>
      </c>
      <c r="AP491" s="96">
        <f>IF(U491=0,0,IF(AND(INDEX('MTRs'!$AX$6:$AX$505,T491)=1,Z491=0,OR(f_res="",f_res="(Todos)",C491=f_res)),1,0))</f>
        <v>0</v>
      </c>
      <c r="AQ491" s="97" t="str">
        <f>IF(U491=0,"",INDEX('MTRs'!$AZ$6:$AZ$505,T491))</f>
        <v/>
      </c>
      <c r="AR491" s="96">
        <f>IF(U491=0,0,IF(AND(INDEX('MTRs'!$BA$6:$BA$505,T491)=1,Z491=0),1,0))</f>
        <v>0</v>
      </c>
      <c r="AS491" s="96" t="str">
        <f>IF(R491=1,A491&amp;" | MTR "&amp;IF(U491=1,INDEX('MTRs'!$B$6:$B$505,T491)&amp;"","?")&amp;" | "&amp;IF(C491="","(sem resíduo)",C491),"")</f>
        <v/>
      </c>
      <c r="AT491" s="96" t="str">
        <f>IF(R491=1,COUNTIF($R$6:R491,1),"")</f>
        <v/>
      </c>
      <c r="AU491" s="96" t="str">
        <f>IF(U491=1,INDEX('MTRs'!$I$6:$I$505,T491)&amp;"","")</f>
        <v/>
      </c>
    </row>
    <row r="492">
      <c r="A492" s="89" t="inlineStr">
        <is>
          <t>IT-000487</t>
        </is>
      </c>
      <c r="B492" s="91" t="n"/>
      <c r="C492" s="91" t="n"/>
      <c r="D492" s="94" t="str">
        <f>IF(OR(R492=0,V492=0),"",INDEX('CAD_RESÍDUOS'!$E$6:$E$205,MATCH(C492,'CAD_RESÍDUOS'!$B$6:$B$205,0))&amp;"")</f>
        <v/>
      </c>
      <c r="E492" s="94" t="str">
        <f>IF(OR(R492=0,V492=0),"",INDEX('CAD_RESÍDUOS'!$C$6:$C$205,MATCH(C492,'CAD_RESÍDUOS'!$B$6:$B$205,0))&amp;"")</f>
        <v/>
      </c>
      <c r="F492" s="94" t="str">
        <f>IF(OR(R492=0,V492=0),"",INDEX('CAD_RESÍDUOS'!$G$6:$G$205,MATCH(C492,'CAD_RESÍDUOS'!$B$6:$B$205,0))&amp;"")</f>
        <v/>
      </c>
      <c r="G492" s="98" t="n"/>
      <c r="H492" s="91" t="n"/>
      <c r="I492" s="93" t="str">
        <f>IF(R492=0,"",IF(NOT(ISNUMBER(G492)),"",IF(ISNUMBER(X492),G492*X492,"UNIDADE A CONFERIR")))</f>
        <v/>
      </c>
      <c r="J492" s="91" t="n"/>
      <c r="K492" s="91" t="n"/>
      <c r="L492" s="93" t="str">
        <f>IF(R492=0,"",SUMIFS('RECEBIMENTOS'!$H$6:$H$1005,'RECEBIMENTOS'!$R$6:$R$1005,A492,'RECEBIMENTOS'!$X$6:$X$1005,1))</f>
        <v/>
      </c>
      <c r="M492" s="93" t="str">
        <f>IF(R492=0,"",SUMIFS('VÍNCULOS_CDF'!$H$6:$H$1005,'VÍNCULOS_CDF'!$R$6:$R$1005,A492,'VÍNCULOS_CDF'!$V$6:$V$1005,1))</f>
        <v/>
      </c>
      <c r="N492" s="99" t="str">
        <f>IF(OR(R492=0,AA492=0,NOT(ISNUMBER(I492))),"",I492-N(L492))</f>
        <v/>
      </c>
      <c r="O492" s="100" t="str">
        <f>IF(OR(R492=0,AK492&lt;=0),"",N(M492)/AK492)</f>
        <v/>
      </c>
      <c r="P492" s="94" t="str">
        <f>IF(R492=0,"",IF(S492="","Sem MTR associado",IF(U492=0,"MTR inexistente",IF(C492="","Resíduo não identificado",IF(V492=0,"Resíduo fora do cadastro",IF(W492=0,"Quantidade inválida",IF(H492="","Unidade não informada",IF(NOT(ISNUMBER(I492)),"Unidade a conferir",IF(AND(AH492=1,K492&lt;&gt;"Sim"),"Possível duplicidade",IF(Z492=1,"MTR cancelado",IF(AC492&gt;0,"Recebimento com alerta",IF(AA492=0,"Aguardando recebimento",IF(AB492&lt;AA492,"Recebimento a conferir",IF(AM492=1,"Quantidade a revisar",IF(AF492&gt;0,"Vínculo a revisar",IF(AD492=0,"Aguardando CDF",IF(AN492=0,"Vínculo de CDF parcial",IF(AE492&lt;AD492,"CDF a conferir","Documentação conferida"))))))))))))))))))</f>
        <v/>
      </c>
      <c r="Q492" s="93" t="str">
        <f>IF(OR(R492=0,AA492=0),"",MAX(0,N(L492)-N(M492)))</f>
        <v/>
      </c>
      <c r="R492" s="96">
        <f>IF(COUNTA(B492:C492,G492:H492,J492:K492)&gt;0,1,0)</f>
        <v>0</v>
      </c>
      <c r="S492" s="96" t="str">
        <f>IF(B492="","",TRIM(LEFT(B492,FIND(" |",B492&amp;" |")-1)))</f>
        <v/>
      </c>
      <c r="T492" s="96" t="str">
        <f>IF(S492="","",IFERROR(MATCH(S492,'MTRs'!$A$6:$A$505,0),""))</f>
        <v/>
      </c>
      <c r="U492" s="96">
        <f>IF(T492="",0,IF(INDEX('MTRs'!$Z$6:$Z$505,T492)=1,1,0))</f>
        <v>0</v>
      </c>
      <c r="V492" s="96">
        <f>IF(C492="",0,IF(ISNUMBER(MATCH(C492,'CAD_RESÍDUOS'!$B$6:$B$205,0)),1,0))</f>
        <v>0</v>
      </c>
      <c r="W492" s="96">
        <f>IF(AND(ISNUMBER(G492),G492&gt;0),1,0)</f>
        <v>0</v>
      </c>
      <c r="X492" s="96" t="str">
        <f>IF(H492="","",IFERROR(IF(ISNUMBER(INDEX(cfg_fac,MATCH(H492,cfg_units,0))),IF(INDEX(cfg_fac,MATCH(H492,cfg_units,0))&gt;0,INDEX(cfg_fac,MATCH(H492,cfg_units,0)),""),""),""))</f>
        <v/>
      </c>
      <c r="Y492" s="96">
        <f>IF(AND(W492=1,ISNUMBER(I492)),1,0)</f>
        <v>0</v>
      </c>
      <c r="Z492" s="96">
        <f>IF(U492=1,INDEX('MTRs'!$AA$6:$AA$505,T492),0)</f>
        <v>0</v>
      </c>
      <c r="AA492" s="96">
        <f>IF(R492=0,0,COUNTIFS('RECEBIMENTOS'!$R$6:$R$1005,A492,'RECEBIMENTOS'!$Q$6:$Q$1005,1))</f>
        <v>0</v>
      </c>
      <c r="AB492" s="96">
        <f>IF(R492=0,0,COUNTIFS('RECEBIMENTOS'!$R$6:$R$1005,A492,'RECEBIMENTOS'!$Z$6:$Z$1005,1))</f>
        <v>0</v>
      </c>
      <c r="AC492" s="96">
        <f>IF(R492=0,0,COUNTIFS('RECEBIMENTOS'!$R$6:$R$1005,A492,'RECEBIMENTOS'!$Y$6:$Y$1005,1))</f>
        <v>0</v>
      </c>
      <c r="AD492" s="96">
        <f>IF(R492=0,0,COUNTIFS('VÍNCULOS_CDF'!$R$6:$R$1005,A492,'VÍNCULOS_CDF'!$N$6:$N$1005,1))</f>
        <v>0</v>
      </c>
      <c r="AE492" s="96">
        <f>IF(R492=0,0,COUNTIFS('VÍNCULOS_CDF'!$R$6:$R$1005,A492,'VÍNCULOS_CDF'!$AA$6:$AA$1005,1))</f>
        <v>0</v>
      </c>
      <c r="AF492" s="96">
        <f>IF(R492=0,0,COUNTIFS('VÍNCULOS_CDF'!$R$6:$R$1005,A492,'VÍNCULOS_CDF'!$Y$6:$Y$1005,1))</f>
        <v>0</v>
      </c>
      <c r="AG492" s="96" t="str">
        <f>IF(AND(R492=1,S492&lt;&gt;"",C492&lt;&gt;""),S492&amp;"|"&amp;C492&amp;"|"&amp;G492&amp;"|"&amp;H492,"")</f>
        <v/>
      </c>
      <c r="AH492" s="96">
        <f>IF(AG492="",0,IF(SUMPRODUCT(--($AG$6:$AG$1005=AG492))&gt;1,1,0))</f>
        <v>0</v>
      </c>
      <c r="AI492" s="96">
        <f>IF(R492=0,0,IF(OR(U492=0,V492=0,Y492=0,AND(AH492=1,K492&lt;&gt;"Sim")),1,0))</f>
        <v>0</v>
      </c>
      <c r="AJ492" s="96">
        <f>IF(AND(R492=1,AA492&gt;0,AB492=AA492),1,0)</f>
        <v>0</v>
      </c>
      <c r="AK492" s="96">
        <f>IF(R492=0,0,IF(AA492&gt;0,N(L492),IF(ISNUMBER(I492),I492,0)))</f>
        <v>0</v>
      </c>
      <c r="AL492" s="96">
        <f>IF(R492=0,0,IF(AND(K492&lt;&gt;"Sim",N(M492)&gt;AK492+cfg_tol),1,0))</f>
        <v>0</v>
      </c>
      <c r="AM492" s="96">
        <f>IF(R492=0,0,IF(K492="Sim",0,IF(OR(AND(AA492&gt;0,ISNUMBER(I492),ABS(I492-N(L492))&gt;cfg_tol),AL492=1),1,0)))</f>
        <v>0</v>
      </c>
      <c r="AN492" s="96">
        <f>IF(AND(R492=1,N(M492)&gt;0,OR(N(M492)&gt;=AK492-cfg_tol,K492="Sim")),1,0)</f>
        <v>0</v>
      </c>
      <c r="AO492" s="96">
        <f>IF(AND(AN492=1,AD492&gt;0,AE492=AD492,AL492=0),1,0)</f>
        <v>0</v>
      </c>
      <c r="AP492" s="96">
        <f>IF(U492=0,0,IF(AND(INDEX('MTRs'!$AX$6:$AX$505,T492)=1,Z492=0,OR(f_res="",f_res="(Todos)",C492=f_res)),1,0))</f>
        <v>0</v>
      </c>
      <c r="AQ492" s="97" t="str">
        <f>IF(U492=0,"",INDEX('MTRs'!$AZ$6:$AZ$505,T492))</f>
        <v/>
      </c>
      <c r="AR492" s="96">
        <f>IF(U492=0,0,IF(AND(INDEX('MTRs'!$BA$6:$BA$505,T492)=1,Z492=0),1,0))</f>
        <v>0</v>
      </c>
      <c r="AS492" s="96" t="str">
        <f>IF(R492=1,A492&amp;" | MTR "&amp;IF(U492=1,INDEX('MTRs'!$B$6:$B$505,T492)&amp;"","?")&amp;" | "&amp;IF(C492="","(sem resíduo)",C492),"")</f>
        <v/>
      </c>
      <c r="AT492" s="96" t="str">
        <f>IF(R492=1,COUNTIF($R$6:R492,1),"")</f>
        <v/>
      </c>
      <c r="AU492" s="96" t="str">
        <f>IF(U492=1,INDEX('MTRs'!$I$6:$I$505,T492)&amp;"","")</f>
        <v/>
      </c>
    </row>
    <row r="493">
      <c r="A493" s="89" t="inlineStr">
        <is>
          <t>IT-000488</t>
        </is>
      </c>
      <c r="B493" s="91" t="n"/>
      <c r="C493" s="91" t="n"/>
      <c r="D493" s="94" t="str">
        <f>IF(OR(R493=0,V493=0),"",INDEX('CAD_RESÍDUOS'!$E$6:$E$205,MATCH(C493,'CAD_RESÍDUOS'!$B$6:$B$205,0))&amp;"")</f>
        <v/>
      </c>
      <c r="E493" s="94" t="str">
        <f>IF(OR(R493=0,V493=0),"",INDEX('CAD_RESÍDUOS'!$C$6:$C$205,MATCH(C493,'CAD_RESÍDUOS'!$B$6:$B$205,0))&amp;"")</f>
        <v/>
      </c>
      <c r="F493" s="94" t="str">
        <f>IF(OR(R493=0,V493=0),"",INDEX('CAD_RESÍDUOS'!$G$6:$G$205,MATCH(C493,'CAD_RESÍDUOS'!$B$6:$B$205,0))&amp;"")</f>
        <v/>
      </c>
      <c r="G493" s="98" t="n"/>
      <c r="H493" s="91" t="n"/>
      <c r="I493" s="93" t="str">
        <f>IF(R493=0,"",IF(NOT(ISNUMBER(G493)),"",IF(ISNUMBER(X493),G493*X493,"UNIDADE A CONFERIR")))</f>
        <v/>
      </c>
      <c r="J493" s="91" t="n"/>
      <c r="K493" s="91" t="n"/>
      <c r="L493" s="93" t="str">
        <f>IF(R493=0,"",SUMIFS('RECEBIMENTOS'!$H$6:$H$1005,'RECEBIMENTOS'!$R$6:$R$1005,A493,'RECEBIMENTOS'!$X$6:$X$1005,1))</f>
        <v/>
      </c>
      <c r="M493" s="93" t="str">
        <f>IF(R493=0,"",SUMIFS('VÍNCULOS_CDF'!$H$6:$H$1005,'VÍNCULOS_CDF'!$R$6:$R$1005,A493,'VÍNCULOS_CDF'!$V$6:$V$1005,1))</f>
        <v/>
      </c>
      <c r="N493" s="99" t="str">
        <f>IF(OR(R493=0,AA493=0,NOT(ISNUMBER(I493))),"",I493-N(L493))</f>
        <v/>
      </c>
      <c r="O493" s="100" t="str">
        <f>IF(OR(R493=0,AK493&lt;=0),"",N(M493)/AK493)</f>
        <v/>
      </c>
      <c r="P493" s="94" t="str">
        <f>IF(R493=0,"",IF(S493="","Sem MTR associado",IF(U493=0,"MTR inexistente",IF(C493="","Resíduo não identificado",IF(V493=0,"Resíduo fora do cadastro",IF(W493=0,"Quantidade inválida",IF(H493="","Unidade não informada",IF(NOT(ISNUMBER(I493)),"Unidade a conferir",IF(AND(AH493=1,K493&lt;&gt;"Sim"),"Possível duplicidade",IF(Z493=1,"MTR cancelado",IF(AC493&gt;0,"Recebimento com alerta",IF(AA493=0,"Aguardando recebimento",IF(AB493&lt;AA493,"Recebimento a conferir",IF(AM493=1,"Quantidade a revisar",IF(AF493&gt;0,"Vínculo a revisar",IF(AD493=0,"Aguardando CDF",IF(AN493=0,"Vínculo de CDF parcial",IF(AE493&lt;AD493,"CDF a conferir","Documentação conferida"))))))))))))))))))</f>
        <v/>
      </c>
      <c r="Q493" s="93" t="str">
        <f>IF(OR(R493=0,AA493=0),"",MAX(0,N(L493)-N(M493)))</f>
        <v/>
      </c>
      <c r="R493" s="96">
        <f>IF(COUNTA(B493:C493,G493:H493,J493:K493)&gt;0,1,0)</f>
        <v>0</v>
      </c>
      <c r="S493" s="96" t="str">
        <f>IF(B493="","",TRIM(LEFT(B493,FIND(" |",B493&amp;" |")-1)))</f>
        <v/>
      </c>
      <c r="T493" s="96" t="str">
        <f>IF(S493="","",IFERROR(MATCH(S493,'MTRs'!$A$6:$A$505,0),""))</f>
        <v/>
      </c>
      <c r="U493" s="96">
        <f>IF(T493="",0,IF(INDEX('MTRs'!$Z$6:$Z$505,T493)=1,1,0))</f>
        <v>0</v>
      </c>
      <c r="V493" s="96">
        <f>IF(C493="",0,IF(ISNUMBER(MATCH(C493,'CAD_RESÍDUOS'!$B$6:$B$205,0)),1,0))</f>
        <v>0</v>
      </c>
      <c r="W493" s="96">
        <f>IF(AND(ISNUMBER(G493),G493&gt;0),1,0)</f>
        <v>0</v>
      </c>
      <c r="X493" s="96" t="str">
        <f>IF(H493="","",IFERROR(IF(ISNUMBER(INDEX(cfg_fac,MATCH(H493,cfg_units,0))),IF(INDEX(cfg_fac,MATCH(H493,cfg_units,0))&gt;0,INDEX(cfg_fac,MATCH(H493,cfg_units,0)),""),""),""))</f>
        <v/>
      </c>
      <c r="Y493" s="96">
        <f>IF(AND(W493=1,ISNUMBER(I493)),1,0)</f>
        <v>0</v>
      </c>
      <c r="Z493" s="96">
        <f>IF(U493=1,INDEX('MTRs'!$AA$6:$AA$505,T493),0)</f>
        <v>0</v>
      </c>
      <c r="AA493" s="96">
        <f>IF(R493=0,0,COUNTIFS('RECEBIMENTOS'!$R$6:$R$1005,A493,'RECEBIMENTOS'!$Q$6:$Q$1005,1))</f>
        <v>0</v>
      </c>
      <c r="AB493" s="96">
        <f>IF(R493=0,0,COUNTIFS('RECEBIMENTOS'!$R$6:$R$1005,A493,'RECEBIMENTOS'!$Z$6:$Z$1005,1))</f>
        <v>0</v>
      </c>
      <c r="AC493" s="96">
        <f>IF(R493=0,0,COUNTIFS('RECEBIMENTOS'!$R$6:$R$1005,A493,'RECEBIMENTOS'!$Y$6:$Y$1005,1))</f>
        <v>0</v>
      </c>
      <c r="AD493" s="96">
        <f>IF(R493=0,0,COUNTIFS('VÍNCULOS_CDF'!$R$6:$R$1005,A493,'VÍNCULOS_CDF'!$N$6:$N$1005,1))</f>
        <v>0</v>
      </c>
      <c r="AE493" s="96">
        <f>IF(R493=0,0,COUNTIFS('VÍNCULOS_CDF'!$R$6:$R$1005,A493,'VÍNCULOS_CDF'!$AA$6:$AA$1005,1))</f>
        <v>0</v>
      </c>
      <c r="AF493" s="96">
        <f>IF(R493=0,0,COUNTIFS('VÍNCULOS_CDF'!$R$6:$R$1005,A493,'VÍNCULOS_CDF'!$Y$6:$Y$1005,1))</f>
        <v>0</v>
      </c>
      <c r="AG493" s="96" t="str">
        <f>IF(AND(R493=1,S493&lt;&gt;"",C493&lt;&gt;""),S493&amp;"|"&amp;C493&amp;"|"&amp;G493&amp;"|"&amp;H493,"")</f>
        <v/>
      </c>
      <c r="AH493" s="96">
        <f>IF(AG493="",0,IF(SUMPRODUCT(--($AG$6:$AG$1005=AG493))&gt;1,1,0))</f>
        <v>0</v>
      </c>
      <c r="AI493" s="96">
        <f>IF(R493=0,0,IF(OR(U493=0,V493=0,Y493=0,AND(AH493=1,K493&lt;&gt;"Sim")),1,0))</f>
        <v>0</v>
      </c>
      <c r="AJ493" s="96">
        <f>IF(AND(R493=1,AA493&gt;0,AB493=AA493),1,0)</f>
        <v>0</v>
      </c>
      <c r="AK493" s="96">
        <f>IF(R493=0,0,IF(AA493&gt;0,N(L493),IF(ISNUMBER(I493),I493,0)))</f>
        <v>0</v>
      </c>
      <c r="AL493" s="96">
        <f>IF(R493=0,0,IF(AND(K493&lt;&gt;"Sim",N(M493)&gt;AK493+cfg_tol),1,0))</f>
        <v>0</v>
      </c>
      <c r="AM493" s="96">
        <f>IF(R493=0,0,IF(K493="Sim",0,IF(OR(AND(AA493&gt;0,ISNUMBER(I493),ABS(I493-N(L493))&gt;cfg_tol),AL493=1),1,0)))</f>
        <v>0</v>
      </c>
      <c r="AN493" s="96">
        <f>IF(AND(R493=1,N(M493)&gt;0,OR(N(M493)&gt;=AK493-cfg_tol,K493="Sim")),1,0)</f>
        <v>0</v>
      </c>
      <c r="AO493" s="96">
        <f>IF(AND(AN493=1,AD493&gt;0,AE493=AD493,AL493=0),1,0)</f>
        <v>0</v>
      </c>
      <c r="AP493" s="96">
        <f>IF(U493=0,0,IF(AND(INDEX('MTRs'!$AX$6:$AX$505,T493)=1,Z493=0,OR(f_res="",f_res="(Todos)",C493=f_res)),1,0))</f>
        <v>0</v>
      </c>
      <c r="AQ493" s="97" t="str">
        <f>IF(U493=0,"",INDEX('MTRs'!$AZ$6:$AZ$505,T493))</f>
        <v/>
      </c>
      <c r="AR493" s="96">
        <f>IF(U493=0,0,IF(AND(INDEX('MTRs'!$BA$6:$BA$505,T493)=1,Z493=0),1,0))</f>
        <v>0</v>
      </c>
      <c r="AS493" s="96" t="str">
        <f>IF(R493=1,A493&amp;" | MTR "&amp;IF(U493=1,INDEX('MTRs'!$B$6:$B$505,T493)&amp;"","?")&amp;" | "&amp;IF(C493="","(sem resíduo)",C493),"")</f>
        <v/>
      </c>
      <c r="AT493" s="96" t="str">
        <f>IF(R493=1,COUNTIF($R$6:R493,1),"")</f>
        <v/>
      </c>
      <c r="AU493" s="96" t="str">
        <f>IF(U493=1,INDEX('MTRs'!$I$6:$I$505,T493)&amp;"","")</f>
        <v/>
      </c>
    </row>
    <row r="494">
      <c r="A494" s="89" t="inlineStr">
        <is>
          <t>IT-000489</t>
        </is>
      </c>
      <c r="B494" s="91" t="n"/>
      <c r="C494" s="91" t="n"/>
      <c r="D494" s="94" t="str">
        <f>IF(OR(R494=0,V494=0),"",INDEX('CAD_RESÍDUOS'!$E$6:$E$205,MATCH(C494,'CAD_RESÍDUOS'!$B$6:$B$205,0))&amp;"")</f>
        <v/>
      </c>
      <c r="E494" s="94" t="str">
        <f>IF(OR(R494=0,V494=0),"",INDEX('CAD_RESÍDUOS'!$C$6:$C$205,MATCH(C494,'CAD_RESÍDUOS'!$B$6:$B$205,0))&amp;"")</f>
        <v/>
      </c>
      <c r="F494" s="94" t="str">
        <f>IF(OR(R494=0,V494=0),"",INDEX('CAD_RESÍDUOS'!$G$6:$G$205,MATCH(C494,'CAD_RESÍDUOS'!$B$6:$B$205,0))&amp;"")</f>
        <v/>
      </c>
      <c r="G494" s="98" t="n"/>
      <c r="H494" s="91" t="n"/>
      <c r="I494" s="93" t="str">
        <f>IF(R494=0,"",IF(NOT(ISNUMBER(G494)),"",IF(ISNUMBER(X494),G494*X494,"UNIDADE A CONFERIR")))</f>
        <v/>
      </c>
      <c r="J494" s="91" t="n"/>
      <c r="K494" s="91" t="n"/>
      <c r="L494" s="93" t="str">
        <f>IF(R494=0,"",SUMIFS('RECEBIMENTOS'!$H$6:$H$1005,'RECEBIMENTOS'!$R$6:$R$1005,A494,'RECEBIMENTOS'!$X$6:$X$1005,1))</f>
        <v/>
      </c>
      <c r="M494" s="93" t="str">
        <f>IF(R494=0,"",SUMIFS('VÍNCULOS_CDF'!$H$6:$H$1005,'VÍNCULOS_CDF'!$R$6:$R$1005,A494,'VÍNCULOS_CDF'!$V$6:$V$1005,1))</f>
        <v/>
      </c>
      <c r="N494" s="99" t="str">
        <f>IF(OR(R494=0,AA494=0,NOT(ISNUMBER(I494))),"",I494-N(L494))</f>
        <v/>
      </c>
      <c r="O494" s="100" t="str">
        <f>IF(OR(R494=0,AK494&lt;=0),"",N(M494)/AK494)</f>
        <v/>
      </c>
      <c r="P494" s="94" t="str">
        <f>IF(R494=0,"",IF(S494="","Sem MTR associado",IF(U494=0,"MTR inexistente",IF(C494="","Resíduo não identificado",IF(V494=0,"Resíduo fora do cadastro",IF(W494=0,"Quantidade inválida",IF(H494="","Unidade não informada",IF(NOT(ISNUMBER(I494)),"Unidade a conferir",IF(AND(AH494=1,K494&lt;&gt;"Sim"),"Possível duplicidade",IF(Z494=1,"MTR cancelado",IF(AC494&gt;0,"Recebimento com alerta",IF(AA494=0,"Aguardando recebimento",IF(AB494&lt;AA494,"Recebimento a conferir",IF(AM494=1,"Quantidade a revisar",IF(AF494&gt;0,"Vínculo a revisar",IF(AD494=0,"Aguardando CDF",IF(AN494=0,"Vínculo de CDF parcial",IF(AE494&lt;AD494,"CDF a conferir","Documentação conferida"))))))))))))))))))</f>
        <v/>
      </c>
      <c r="Q494" s="93" t="str">
        <f>IF(OR(R494=0,AA494=0),"",MAX(0,N(L494)-N(M494)))</f>
        <v/>
      </c>
      <c r="R494" s="96">
        <f>IF(COUNTA(B494:C494,G494:H494,J494:K494)&gt;0,1,0)</f>
        <v>0</v>
      </c>
      <c r="S494" s="96" t="str">
        <f>IF(B494="","",TRIM(LEFT(B494,FIND(" |",B494&amp;" |")-1)))</f>
        <v/>
      </c>
      <c r="T494" s="96" t="str">
        <f>IF(S494="","",IFERROR(MATCH(S494,'MTRs'!$A$6:$A$505,0),""))</f>
        <v/>
      </c>
      <c r="U494" s="96">
        <f>IF(T494="",0,IF(INDEX('MTRs'!$Z$6:$Z$505,T494)=1,1,0))</f>
        <v>0</v>
      </c>
      <c r="V494" s="96">
        <f>IF(C494="",0,IF(ISNUMBER(MATCH(C494,'CAD_RESÍDUOS'!$B$6:$B$205,0)),1,0))</f>
        <v>0</v>
      </c>
      <c r="W494" s="96">
        <f>IF(AND(ISNUMBER(G494),G494&gt;0),1,0)</f>
        <v>0</v>
      </c>
      <c r="X494" s="96" t="str">
        <f>IF(H494="","",IFERROR(IF(ISNUMBER(INDEX(cfg_fac,MATCH(H494,cfg_units,0))),IF(INDEX(cfg_fac,MATCH(H494,cfg_units,0))&gt;0,INDEX(cfg_fac,MATCH(H494,cfg_units,0)),""),""),""))</f>
        <v/>
      </c>
      <c r="Y494" s="96">
        <f>IF(AND(W494=1,ISNUMBER(I494)),1,0)</f>
        <v>0</v>
      </c>
      <c r="Z494" s="96">
        <f>IF(U494=1,INDEX('MTRs'!$AA$6:$AA$505,T494),0)</f>
        <v>0</v>
      </c>
      <c r="AA494" s="96">
        <f>IF(R494=0,0,COUNTIFS('RECEBIMENTOS'!$R$6:$R$1005,A494,'RECEBIMENTOS'!$Q$6:$Q$1005,1))</f>
        <v>0</v>
      </c>
      <c r="AB494" s="96">
        <f>IF(R494=0,0,COUNTIFS('RECEBIMENTOS'!$R$6:$R$1005,A494,'RECEBIMENTOS'!$Z$6:$Z$1005,1))</f>
        <v>0</v>
      </c>
      <c r="AC494" s="96">
        <f>IF(R494=0,0,COUNTIFS('RECEBIMENTOS'!$R$6:$R$1005,A494,'RECEBIMENTOS'!$Y$6:$Y$1005,1))</f>
        <v>0</v>
      </c>
      <c r="AD494" s="96">
        <f>IF(R494=0,0,COUNTIFS('VÍNCULOS_CDF'!$R$6:$R$1005,A494,'VÍNCULOS_CDF'!$N$6:$N$1005,1))</f>
        <v>0</v>
      </c>
      <c r="AE494" s="96">
        <f>IF(R494=0,0,COUNTIFS('VÍNCULOS_CDF'!$R$6:$R$1005,A494,'VÍNCULOS_CDF'!$AA$6:$AA$1005,1))</f>
        <v>0</v>
      </c>
      <c r="AF494" s="96">
        <f>IF(R494=0,0,COUNTIFS('VÍNCULOS_CDF'!$R$6:$R$1005,A494,'VÍNCULOS_CDF'!$Y$6:$Y$1005,1))</f>
        <v>0</v>
      </c>
      <c r="AG494" s="96" t="str">
        <f>IF(AND(R494=1,S494&lt;&gt;"",C494&lt;&gt;""),S494&amp;"|"&amp;C494&amp;"|"&amp;G494&amp;"|"&amp;H494,"")</f>
        <v/>
      </c>
      <c r="AH494" s="96">
        <f>IF(AG494="",0,IF(SUMPRODUCT(--($AG$6:$AG$1005=AG494))&gt;1,1,0))</f>
        <v>0</v>
      </c>
      <c r="AI494" s="96">
        <f>IF(R494=0,0,IF(OR(U494=0,V494=0,Y494=0,AND(AH494=1,K494&lt;&gt;"Sim")),1,0))</f>
        <v>0</v>
      </c>
      <c r="AJ494" s="96">
        <f>IF(AND(R494=1,AA494&gt;0,AB494=AA494),1,0)</f>
        <v>0</v>
      </c>
      <c r="AK494" s="96">
        <f>IF(R494=0,0,IF(AA494&gt;0,N(L494),IF(ISNUMBER(I494),I494,0)))</f>
        <v>0</v>
      </c>
      <c r="AL494" s="96">
        <f>IF(R494=0,0,IF(AND(K494&lt;&gt;"Sim",N(M494)&gt;AK494+cfg_tol),1,0))</f>
        <v>0</v>
      </c>
      <c r="AM494" s="96">
        <f>IF(R494=0,0,IF(K494="Sim",0,IF(OR(AND(AA494&gt;0,ISNUMBER(I494),ABS(I494-N(L494))&gt;cfg_tol),AL494=1),1,0)))</f>
        <v>0</v>
      </c>
      <c r="AN494" s="96">
        <f>IF(AND(R494=1,N(M494)&gt;0,OR(N(M494)&gt;=AK494-cfg_tol,K494="Sim")),1,0)</f>
        <v>0</v>
      </c>
      <c r="AO494" s="96">
        <f>IF(AND(AN494=1,AD494&gt;0,AE494=AD494,AL494=0),1,0)</f>
        <v>0</v>
      </c>
      <c r="AP494" s="96">
        <f>IF(U494=0,0,IF(AND(INDEX('MTRs'!$AX$6:$AX$505,T494)=1,Z494=0,OR(f_res="",f_res="(Todos)",C494=f_res)),1,0))</f>
        <v>0</v>
      </c>
      <c r="AQ494" s="97" t="str">
        <f>IF(U494=0,"",INDEX('MTRs'!$AZ$6:$AZ$505,T494))</f>
        <v/>
      </c>
      <c r="AR494" s="96">
        <f>IF(U494=0,0,IF(AND(INDEX('MTRs'!$BA$6:$BA$505,T494)=1,Z494=0),1,0))</f>
        <v>0</v>
      </c>
      <c r="AS494" s="96" t="str">
        <f>IF(R494=1,A494&amp;" | MTR "&amp;IF(U494=1,INDEX('MTRs'!$B$6:$B$505,T494)&amp;"","?")&amp;" | "&amp;IF(C494="","(sem resíduo)",C494),"")</f>
        <v/>
      </c>
      <c r="AT494" s="96" t="str">
        <f>IF(R494=1,COUNTIF($R$6:R494,1),"")</f>
        <v/>
      </c>
      <c r="AU494" s="96" t="str">
        <f>IF(U494=1,INDEX('MTRs'!$I$6:$I$505,T494)&amp;"","")</f>
        <v/>
      </c>
    </row>
    <row r="495">
      <c r="A495" s="89" t="inlineStr">
        <is>
          <t>IT-000490</t>
        </is>
      </c>
      <c r="B495" s="91" t="n"/>
      <c r="C495" s="91" t="n"/>
      <c r="D495" s="94" t="str">
        <f>IF(OR(R495=0,V495=0),"",INDEX('CAD_RESÍDUOS'!$E$6:$E$205,MATCH(C495,'CAD_RESÍDUOS'!$B$6:$B$205,0))&amp;"")</f>
        <v/>
      </c>
      <c r="E495" s="94" t="str">
        <f>IF(OR(R495=0,V495=0),"",INDEX('CAD_RESÍDUOS'!$C$6:$C$205,MATCH(C495,'CAD_RESÍDUOS'!$B$6:$B$205,0))&amp;"")</f>
        <v/>
      </c>
      <c r="F495" s="94" t="str">
        <f>IF(OR(R495=0,V495=0),"",INDEX('CAD_RESÍDUOS'!$G$6:$G$205,MATCH(C495,'CAD_RESÍDUOS'!$B$6:$B$205,0))&amp;"")</f>
        <v/>
      </c>
      <c r="G495" s="98" t="n"/>
      <c r="H495" s="91" t="n"/>
      <c r="I495" s="93" t="str">
        <f>IF(R495=0,"",IF(NOT(ISNUMBER(G495)),"",IF(ISNUMBER(X495),G495*X495,"UNIDADE A CONFERIR")))</f>
        <v/>
      </c>
      <c r="J495" s="91" t="n"/>
      <c r="K495" s="91" t="n"/>
      <c r="L495" s="93" t="str">
        <f>IF(R495=0,"",SUMIFS('RECEBIMENTOS'!$H$6:$H$1005,'RECEBIMENTOS'!$R$6:$R$1005,A495,'RECEBIMENTOS'!$X$6:$X$1005,1))</f>
        <v/>
      </c>
      <c r="M495" s="93" t="str">
        <f>IF(R495=0,"",SUMIFS('VÍNCULOS_CDF'!$H$6:$H$1005,'VÍNCULOS_CDF'!$R$6:$R$1005,A495,'VÍNCULOS_CDF'!$V$6:$V$1005,1))</f>
        <v/>
      </c>
      <c r="N495" s="99" t="str">
        <f>IF(OR(R495=0,AA495=0,NOT(ISNUMBER(I495))),"",I495-N(L495))</f>
        <v/>
      </c>
      <c r="O495" s="100" t="str">
        <f>IF(OR(R495=0,AK495&lt;=0),"",N(M495)/AK495)</f>
        <v/>
      </c>
      <c r="P495" s="94" t="str">
        <f>IF(R495=0,"",IF(S495="","Sem MTR associado",IF(U495=0,"MTR inexistente",IF(C495="","Resíduo não identificado",IF(V495=0,"Resíduo fora do cadastro",IF(W495=0,"Quantidade inválida",IF(H495="","Unidade não informada",IF(NOT(ISNUMBER(I495)),"Unidade a conferir",IF(AND(AH495=1,K495&lt;&gt;"Sim"),"Possível duplicidade",IF(Z495=1,"MTR cancelado",IF(AC495&gt;0,"Recebimento com alerta",IF(AA495=0,"Aguardando recebimento",IF(AB495&lt;AA495,"Recebimento a conferir",IF(AM495=1,"Quantidade a revisar",IF(AF495&gt;0,"Vínculo a revisar",IF(AD495=0,"Aguardando CDF",IF(AN495=0,"Vínculo de CDF parcial",IF(AE495&lt;AD495,"CDF a conferir","Documentação conferida"))))))))))))))))))</f>
        <v/>
      </c>
      <c r="Q495" s="93" t="str">
        <f>IF(OR(R495=0,AA495=0),"",MAX(0,N(L495)-N(M495)))</f>
        <v/>
      </c>
      <c r="R495" s="96">
        <f>IF(COUNTA(B495:C495,G495:H495,J495:K495)&gt;0,1,0)</f>
        <v>0</v>
      </c>
      <c r="S495" s="96" t="str">
        <f>IF(B495="","",TRIM(LEFT(B495,FIND(" |",B495&amp;" |")-1)))</f>
        <v/>
      </c>
      <c r="T495" s="96" t="str">
        <f>IF(S495="","",IFERROR(MATCH(S495,'MTRs'!$A$6:$A$505,0),""))</f>
        <v/>
      </c>
      <c r="U495" s="96">
        <f>IF(T495="",0,IF(INDEX('MTRs'!$Z$6:$Z$505,T495)=1,1,0))</f>
        <v>0</v>
      </c>
      <c r="V495" s="96">
        <f>IF(C495="",0,IF(ISNUMBER(MATCH(C495,'CAD_RESÍDUOS'!$B$6:$B$205,0)),1,0))</f>
        <v>0</v>
      </c>
      <c r="W495" s="96">
        <f>IF(AND(ISNUMBER(G495),G495&gt;0),1,0)</f>
        <v>0</v>
      </c>
      <c r="X495" s="96" t="str">
        <f>IF(H495="","",IFERROR(IF(ISNUMBER(INDEX(cfg_fac,MATCH(H495,cfg_units,0))),IF(INDEX(cfg_fac,MATCH(H495,cfg_units,0))&gt;0,INDEX(cfg_fac,MATCH(H495,cfg_units,0)),""),""),""))</f>
        <v/>
      </c>
      <c r="Y495" s="96">
        <f>IF(AND(W495=1,ISNUMBER(I495)),1,0)</f>
        <v>0</v>
      </c>
      <c r="Z495" s="96">
        <f>IF(U495=1,INDEX('MTRs'!$AA$6:$AA$505,T495),0)</f>
        <v>0</v>
      </c>
      <c r="AA495" s="96">
        <f>IF(R495=0,0,COUNTIFS('RECEBIMENTOS'!$R$6:$R$1005,A495,'RECEBIMENTOS'!$Q$6:$Q$1005,1))</f>
        <v>0</v>
      </c>
      <c r="AB495" s="96">
        <f>IF(R495=0,0,COUNTIFS('RECEBIMENTOS'!$R$6:$R$1005,A495,'RECEBIMENTOS'!$Z$6:$Z$1005,1))</f>
        <v>0</v>
      </c>
      <c r="AC495" s="96">
        <f>IF(R495=0,0,COUNTIFS('RECEBIMENTOS'!$R$6:$R$1005,A495,'RECEBIMENTOS'!$Y$6:$Y$1005,1))</f>
        <v>0</v>
      </c>
      <c r="AD495" s="96">
        <f>IF(R495=0,0,COUNTIFS('VÍNCULOS_CDF'!$R$6:$R$1005,A495,'VÍNCULOS_CDF'!$N$6:$N$1005,1))</f>
        <v>0</v>
      </c>
      <c r="AE495" s="96">
        <f>IF(R495=0,0,COUNTIFS('VÍNCULOS_CDF'!$R$6:$R$1005,A495,'VÍNCULOS_CDF'!$AA$6:$AA$1005,1))</f>
        <v>0</v>
      </c>
      <c r="AF495" s="96">
        <f>IF(R495=0,0,COUNTIFS('VÍNCULOS_CDF'!$R$6:$R$1005,A495,'VÍNCULOS_CDF'!$Y$6:$Y$1005,1))</f>
        <v>0</v>
      </c>
      <c r="AG495" s="96" t="str">
        <f>IF(AND(R495=1,S495&lt;&gt;"",C495&lt;&gt;""),S495&amp;"|"&amp;C495&amp;"|"&amp;G495&amp;"|"&amp;H495,"")</f>
        <v/>
      </c>
      <c r="AH495" s="96">
        <f>IF(AG495="",0,IF(SUMPRODUCT(--($AG$6:$AG$1005=AG495))&gt;1,1,0))</f>
        <v>0</v>
      </c>
      <c r="AI495" s="96">
        <f>IF(R495=0,0,IF(OR(U495=0,V495=0,Y495=0,AND(AH495=1,K495&lt;&gt;"Sim")),1,0))</f>
        <v>0</v>
      </c>
      <c r="AJ495" s="96">
        <f>IF(AND(R495=1,AA495&gt;0,AB495=AA495),1,0)</f>
        <v>0</v>
      </c>
      <c r="AK495" s="96">
        <f>IF(R495=0,0,IF(AA495&gt;0,N(L495),IF(ISNUMBER(I495),I495,0)))</f>
        <v>0</v>
      </c>
      <c r="AL495" s="96">
        <f>IF(R495=0,0,IF(AND(K495&lt;&gt;"Sim",N(M495)&gt;AK495+cfg_tol),1,0))</f>
        <v>0</v>
      </c>
      <c r="AM495" s="96">
        <f>IF(R495=0,0,IF(K495="Sim",0,IF(OR(AND(AA495&gt;0,ISNUMBER(I495),ABS(I495-N(L495))&gt;cfg_tol),AL495=1),1,0)))</f>
        <v>0</v>
      </c>
      <c r="AN495" s="96">
        <f>IF(AND(R495=1,N(M495)&gt;0,OR(N(M495)&gt;=AK495-cfg_tol,K495="Sim")),1,0)</f>
        <v>0</v>
      </c>
      <c r="AO495" s="96">
        <f>IF(AND(AN495=1,AD495&gt;0,AE495=AD495,AL495=0),1,0)</f>
        <v>0</v>
      </c>
      <c r="AP495" s="96">
        <f>IF(U495=0,0,IF(AND(INDEX('MTRs'!$AX$6:$AX$505,T495)=1,Z495=0,OR(f_res="",f_res="(Todos)",C495=f_res)),1,0))</f>
        <v>0</v>
      </c>
      <c r="AQ495" s="97" t="str">
        <f>IF(U495=0,"",INDEX('MTRs'!$AZ$6:$AZ$505,T495))</f>
        <v/>
      </c>
      <c r="AR495" s="96">
        <f>IF(U495=0,0,IF(AND(INDEX('MTRs'!$BA$6:$BA$505,T495)=1,Z495=0),1,0))</f>
        <v>0</v>
      </c>
      <c r="AS495" s="96" t="str">
        <f>IF(R495=1,A495&amp;" | MTR "&amp;IF(U495=1,INDEX('MTRs'!$B$6:$B$505,T495)&amp;"","?")&amp;" | "&amp;IF(C495="","(sem resíduo)",C495),"")</f>
        <v/>
      </c>
      <c r="AT495" s="96" t="str">
        <f>IF(R495=1,COUNTIF($R$6:R495,1),"")</f>
        <v/>
      </c>
      <c r="AU495" s="96" t="str">
        <f>IF(U495=1,INDEX('MTRs'!$I$6:$I$505,T495)&amp;"","")</f>
        <v/>
      </c>
    </row>
    <row r="496">
      <c r="A496" s="89" t="inlineStr">
        <is>
          <t>IT-000491</t>
        </is>
      </c>
      <c r="B496" s="91" t="n"/>
      <c r="C496" s="91" t="n"/>
      <c r="D496" s="94" t="str">
        <f>IF(OR(R496=0,V496=0),"",INDEX('CAD_RESÍDUOS'!$E$6:$E$205,MATCH(C496,'CAD_RESÍDUOS'!$B$6:$B$205,0))&amp;"")</f>
        <v/>
      </c>
      <c r="E496" s="94" t="str">
        <f>IF(OR(R496=0,V496=0),"",INDEX('CAD_RESÍDUOS'!$C$6:$C$205,MATCH(C496,'CAD_RESÍDUOS'!$B$6:$B$205,0))&amp;"")</f>
        <v/>
      </c>
      <c r="F496" s="94" t="str">
        <f>IF(OR(R496=0,V496=0),"",INDEX('CAD_RESÍDUOS'!$G$6:$G$205,MATCH(C496,'CAD_RESÍDUOS'!$B$6:$B$205,0))&amp;"")</f>
        <v/>
      </c>
      <c r="G496" s="98" t="n"/>
      <c r="H496" s="91" t="n"/>
      <c r="I496" s="93" t="str">
        <f>IF(R496=0,"",IF(NOT(ISNUMBER(G496)),"",IF(ISNUMBER(X496),G496*X496,"UNIDADE A CONFERIR")))</f>
        <v/>
      </c>
      <c r="J496" s="91" t="n"/>
      <c r="K496" s="91" t="n"/>
      <c r="L496" s="93" t="str">
        <f>IF(R496=0,"",SUMIFS('RECEBIMENTOS'!$H$6:$H$1005,'RECEBIMENTOS'!$R$6:$R$1005,A496,'RECEBIMENTOS'!$X$6:$X$1005,1))</f>
        <v/>
      </c>
      <c r="M496" s="93" t="str">
        <f>IF(R496=0,"",SUMIFS('VÍNCULOS_CDF'!$H$6:$H$1005,'VÍNCULOS_CDF'!$R$6:$R$1005,A496,'VÍNCULOS_CDF'!$V$6:$V$1005,1))</f>
        <v/>
      </c>
      <c r="N496" s="99" t="str">
        <f>IF(OR(R496=0,AA496=0,NOT(ISNUMBER(I496))),"",I496-N(L496))</f>
        <v/>
      </c>
      <c r="O496" s="100" t="str">
        <f>IF(OR(R496=0,AK496&lt;=0),"",N(M496)/AK496)</f>
        <v/>
      </c>
      <c r="P496" s="94" t="str">
        <f>IF(R496=0,"",IF(S496="","Sem MTR associado",IF(U496=0,"MTR inexistente",IF(C496="","Resíduo não identificado",IF(V496=0,"Resíduo fora do cadastro",IF(W496=0,"Quantidade inválida",IF(H496="","Unidade não informada",IF(NOT(ISNUMBER(I496)),"Unidade a conferir",IF(AND(AH496=1,K496&lt;&gt;"Sim"),"Possível duplicidade",IF(Z496=1,"MTR cancelado",IF(AC496&gt;0,"Recebimento com alerta",IF(AA496=0,"Aguardando recebimento",IF(AB496&lt;AA496,"Recebimento a conferir",IF(AM496=1,"Quantidade a revisar",IF(AF496&gt;0,"Vínculo a revisar",IF(AD496=0,"Aguardando CDF",IF(AN496=0,"Vínculo de CDF parcial",IF(AE496&lt;AD496,"CDF a conferir","Documentação conferida"))))))))))))))))))</f>
        <v/>
      </c>
      <c r="Q496" s="93" t="str">
        <f>IF(OR(R496=0,AA496=0),"",MAX(0,N(L496)-N(M496)))</f>
        <v/>
      </c>
      <c r="R496" s="96">
        <f>IF(COUNTA(B496:C496,G496:H496,J496:K496)&gt;0,1,0)</f>
        <v>0</v>
      </c>
      <c r="S496" s="96" t="str">
        <f>IF(B496="","",TRIM(LEFT(B496,FIND(" |",B496&amp;" |")-1)))</f>
        <v/>
      </c>
      <c r="T496" s="96" t="str">
        <f>IF(S496="","",IFERROR(MATCH(S496,'MTRs'!$A$6:$A$505,0),""))</f>
        <v/>
      </c>
      <c r="U496" s="96">
        <f>IF(T496="",0,IF(INDEX('MTRs'!$Z$6:$Z$505,T496)=1,1,0))</f>
        <v>0</v>
      </c>
      <c r="V496" s="96">
        <f>IF(C496="",0,IF(ISNUMBER(MATCH(C496,'CAD_RESÍDUOS'!$B$6:$B$205,0)),1,0))</f>
        <v>0</v>
      </c>
      <c r="W496" s="96">
        <f>IF(AND(ISNUMBER(G496),G496&gt;0),1,0)</f>
        <v>0</v>
      </c>
      <c r="X496" s="96" t="str">
        <f>IF(H496="","",IFERROR(IF(ISNUMBER(INDEX(cfg_fac,MATCH(H496,cfg_units,0))),IF(INDEX(cfg_fac,MATCH(H496,cfg_units,0))&gt;0,INDEX(cfg_fac,MATCH(H496,cfg_units,0)),""),""),""))</f>
        <v/>
      </c>
      <c r="Y496" s="96">
        <f>IF(AND(W496=1,ISNUMBER(I496)),1,0)</f>
        <v>0</v>
      </c>
      <c r="Z496" s="96">
        <f>IF(U496=1,INDEX('MTRs'!$AA$6:$AA$505,T496),0)</f>
        <v>0</v>
      </c>
      <c r="AA496" s="96">
        <f>IF(R496=0,0,COUNTIFS('RECEBIMENTOS'!$R$6:$R$1005,A496,'RECEBIMENTOS'!$Q$6:$Q$1005,1))</f>
        <v>0</v>
      </c>
      <c r="AB496" s="96">
        <f>IF(R496=0,0,COUNTIFS('RECEBIMENTOS'!$R$6:$R$1005,A496,'RECEBIMENTOS'!$Z$6:$Z$1005,1))</f>
        <v>0</v>
      </c>
      <c r="AC496" s="96">
        <f>IF(R496=0,0,COUNTIFS('RECEBIMENTOS'!$R$6:$R$1005,A496,'RECEBIMENTOS'!$Y$6:$Y$1005,1))</f>
        <v>0</v>
      </c>
      <c r="AD496" s="96">
        <f>IF(R496=0,0,COUNTIFS('VÍNCULOS_CDF'!$R$6:$R$1005,A496,'VÍNCULOS_CDF'!$N$6:$N$1005,1))</f>
        <v>0</v>
      </c>
      <c r="AE496" s="96">
        <f>IF(R496=0,0,COUNTIFS('VÍNCULOS_CDF'!$R$6:$R$1005,A496,'VÍNCULOS_CDF'!$AA$6:$AA$1005,1))</f>
        <v>0</v>
      </c>
      <c r="AF496" s="96">
        <f>IF(R496=0,0,COUNTIFS('VÍNCULOS_CDF'!$R$6:$R$1005,A496,'VÍNCULOS_CDF'!$Y$6:$Y$1005,1))</f>
        <v>0</v>
      </c>
      <c r="AG496" s="96" t="str">
        <f>IF(AND(R496=1,S496&lt;&gt;"",C496&lt;&gt;""),S496&amp;"|"&amp;C496&amp;"|"&amp;G496&amp;"|"&amp;H496,"")</f>
        <v/>
      </c>
      <c r="AH496" s="96">
        <f>IF(AG496="",0,IF(SUMPRODUCT(--($AG$6:$AG$1005=AG496))&gt;1,1,0))</f>
        <v>0</v>
      </c>
      <c r="AI496" s="96">
        <f>IF(R496=0,0,IF(OR(U496=0,V496=0,Y496=0,AND(AH496=1,K496&lt;&gt;"Sim")),1,0))</f>
        <v>0</v>
      </c>
      <c r="AJ496" s="96">
        <f>IF(AND(R496=1,AA496&gt;0,AB496=AA496),1,0)</f>
        <v>0</v>
      </c>
      <c r="AK496" s="96">
        <f>IF(R496=0,0,IF(AA496&gt;0,N(L496),IF(ISNUMBER(I496),I496,0)))</f>
        <v>0</v>
      </c>
      <c r="AL496" s="96">
        <f>IF(R496=0,0,IF(AND(K496&lt;&gt;"Sim",N(M496)&gt;AK496+cfg_tol),1,0))</f>
        <v>0</v>
      </c>
      <c r="AM496" s="96">
        <f>IF(R496=0,0,IF(K496="Sim",0,IF(OR(AND(AA496&gt;0,ISNUMBER(I496),ABS(I496-N(L496))&gt;cfg_tol),AL496=1),1,0)))</f>
        <v>0</v>
      </c>
      <c r="AN496" s="96">
        <f>IF(AND(R496=1,N(M496)&gt;0,OR(N(M496)&gt;=AK496-cfg_tol,K496="Sim")),1,0)</f>
        <v>0</v>
      </c>
      <c r="AO496" s="96">
        <f>IF(AND(AN496=1,AD496&gt;0,AE496=AD496,AL496=0),1,0)</f>
        <v>0</v>
      </c>
      <c r="AP496" s="96">
        <f>IF(U496=0,0,IF(AND(INDEX('MTRs'!$AX$6:$AX$505,T496)=1,Z496=0,OR(f_res="",f_res="(Todos)",C496=f_res)),1,0))</f>
        <v>0</v>
      </c>
      <c r="AQ496" s="97" t="str">
        <f>IF(U496=0,"",INDEX('MTRs'!$AZ$6:$AZ$505,T496))</f>
        <v/>
      </c>
      <c r="AR496" s="96">
        <f>IF(U496=0,0,IF(AND(INDEX('MTRs'!$BA$6:$BA$505,T496)=1,Z496=0),1,0))</f>
        <v>0</v>
      </c>
      <c r="AS496" s="96" t="str">
        <f>IF(R496=1,A496&amp;" | MTR "&amp;IF(U496=1,INDEX('MTRs'!$B$6:$B$505,T496)&amp;"","?")&amp;" | "&amp;IF(C496="","(sem resíduo)",C496),"")</f>
        <v/>
      </c>
      <c r="AT496" s="96" t="str">
        <f>IF(R496=1,COUNTIF($R$6:R496,1),"")</f>
        <v/>
      </c>
      <c r="AU496" s="96" t="str">
        <f>IF(U496=1,INDEX('MTRs'!$I$6:$I$505,T496)&amp;"","")</f>
        <v/>
      </c>
    </row>
    <row r="497">
      <c r="A497" s="89" t="inlineStr">
        <is>
          <t>IT-000492</t>
        </is>
      </c>
      <c r="B497" s="91" t="n"/>
      <c r="C497" s="91" t="n"/>
      <c r="D497" s="94" t="str">
        <f>IF(OR(R497=0,V497=0),"",INDEX('CAD_RESÍDUOS'!$E$6:$E$205,MATCH(C497,'CAD_RESÍDUOS'!$B$6:$B$205,0))&amp;"")</f>
        <v/>
      </c>
      <c r="E497" s="94" t="str">
        <f>IF(OR(R497=0,V497=0),"",INDEX('CAD_RESÍDUOS'!$C$6:$C$205,MATCH(C497,'CAD_RESÍDUOS'!$B$6:$B$205,0))&amp;"")</f>
        <v/>
      </c>
      <c r="F497" s="94" t="str">
        <f>IF(OR(R497=0,V497=0),"",INDEX('CAD_RESÍDUOS'!$G$6:$G$205,MATCH(C497,'CAD_RESÍDUOS'!$B$6:$B$205,0))&amp;"")</f>
        <v/>
      </c>
      <c r="G497" s="98" t="n"/>
      <c r="H497" s="91" t="n"/>
      <c r="I497" s="93" t="str">
        <f>IF(R497=0,"",IF(NOT(ISNUMBER(G497)),"",IF(ISNUMBER(X497),G497*X497,"UNIDADE A CONFERIR")))</f>
        <v/>
      </c>
      <c r="J497" s="91" t="n"/>
      <c r="K497" s="91" t="n"/>
      <c r="L497" s="93" t="str">
        <f>IF(R497=0,"",SUMIFS('RECEBIMENTOS'!$H$6:$H$1005,'RECEBIMENTOS'!$R$6:$R$1005,A497,'RECEBIMENTOS'!$X$6:$X$1005,1))</f>
        <v/>
      </c>
      <c r="M497" s="93" t="str">
        <f>IF(R497=0,"",SUMIFS('VÍNCULOS_CDF'!$H$6:$H$1005,'VÍNCULOS_CDF'!$R$6:$R$1005,A497,'VÍNCULOS_CDF'!$V$6:$V$1005,1))</f>
        <v/>
      </c>
      <c r="N497" s="99" t="str">
        <f>IF(OR(R497=0,AA497=0,NOT(ISNUMBER(I497))),"",I497-N(L497))</f>
        <v/>
      </c>
      <c r="O497" s="100" t="str">
        <f>IF(OR(R497=0,AK497&lt;=0),"",N(M497)/AK497)</f>
        <v/>
      </c>
      <c r="P497" s="94" t="str">
        <f>IF(R497=0,"",IF(S497="","Sem MTR associado",IF(U497=0,"MTR inexistente",IF(C497="","Resíduo não identificado",IF(V497=0,"Resíduo fora do cadastro",IF(W497=0,"Quantidade inválida",IF(H497="","Unidade não informada",IF(NOT(ISNUMBER(I497)),"Unidade a conferir",IF(AND(AH497=1,K497&lt;&gt;"Sim"),"Possível duplicidade",IF(Z497=1,"MTR cancelado",IF(AC497&gt;0,"Recebimento com alerta",IF(AA497=0,"Aguardando recebimento",IF(AB497&lt;AA497,"Recebimento a conferir",IF(AM497=1,"Quantidade a revisar",IF(AF497&gt;0,"Vínculo a revisar",IF(AD497=0,"Aguardando CDF",IF(AN497=0,"Vínculo de CDF parcial",IF(AE497&lt;AD497,"CDF a conferir","Documentação conferida"))))))))))))))))))</f>
        <v/>
      </c>
      <c r="Q497" s="93" t="str">
        <f>IF(OR(R497=0,AA497=0),"",MAX(0,N(L497)-N(M497)))</f>
        <v/>
      </c>
      <c r="R497" s="96">
        <f>IF(COUNTA(B497:C497,G497:H497,J497:K497)&gt;0,1,0)</f>
        <v>0</v>
      </c>
      <c r="S497" s="96" t="str">
        <f>IF(B497="","",TRIM(LEFT(B497,FIND(" |",B497&amp;" |")-1)))</f>
        <v/>
      </c>
      <c r="T497" s="96" t="str">
        <f>IF(S497="","",IFERROR(MATCH(S497,'MTRs'!$A$6:$A$505,0),""))</f>
        <v/>
      </c>
      <c r="U497" s="96">
        <f>IF(T497="",0,IF(INDEX('MTRs'!$Z$6:$Z$505,T497)=1,1,0))</f>
        <v>0</v>
      </c>
      <c r="V497" s="96">
        <f>IF(C497="",0,IF(ISNUMBER(MATCH(C497,'CAD_RESÍDUOS'!$B$6:$B$205,0)),1,0))</f>
        <v>0</v>
      </c>
      <c r="W497" s="96">
        <f>IF(AND(ISNUMBER(G497),G497&gt;0),1,0)</f>
        <v>0</v>
      </c>
      <c r="X497" s="96" t="str">
        <f>IF(H497="","",IFERROR(IF(ISNUMBER(INDEX(cfg_fac,MATCH(H497,cfg_units,0))),IF(INDEX(cfg_fac,MATCH(H497,cfg_units,0))&gt;0,INDEX(cfg_fac,MATCH(H497,cfg_units,0)),""),""),""))</f>
        <v/>
      </c>
      <c r="Y497" s="96">
        <f>IF(AND(W497=1,ISNUMBER(I497)),1,0)</f>
        <v>0</v>
      </c>
      <c r="Z497" s="96">
        <f>IF(U497=1,INDEX('MTRs'!$AA$6:$AA$505,T497),0)</f>
        <v>0</v>
      </c>
      <c r="AA497" s="96">
        <f>IF(R497=0,0,COUNTIFS('RECEBIMENTOS'!$R$6:$R$1005,A497,'RECEBIMENTOS'!$Q$6:$Q$1005,1))</f>
        <v>0</v>
      </c>
      <c r="AB497" s="96">
        <f>IF(R497=0,0,COUNTIFS('RECEBIMENTOS'!$R$6:$R$1005,A497,'RECEBIMENTOS'!$Z$6:$Z$1005,1))</f>
        <v>0</v>
      </c>
      <c r="AC497" s="96">
        <f>IF(R497=0,0,COUNTIFS('RECEBIMENTOS'!$R$6:$R$1005,A497,'RECEBIMENTOS'!$Y$6:$Y$1005,1))</f>
        <v>0</v>
      </c>
      <c r="AD497" s="96">
        <f>IF(R497=0,0,COUNTIFS('VÍNCULOS_CDF'!$R$6:$R$1005,A497,'VÍNCULOS_CDF'!$N$6:$N$1005,1))</f>
        <v>0</v>
      </c>
      <c r="AE497" s="96">
        <f>IF(R497=0,0,COUNTIFS('VÍNCULOS_CDF'!$R$6:$R$1005,A497,'VÍNCULOS_CDF'!$AA$6:$AA$1005,1))</f>
        <v>0</v>
      </c>
      <c r="AF497" s="96">
        <f>IF(R497=0,0,COUNTIFS('VÍNCULOS_CDF'!$R$6:$R$1005,A497,'VÍNCULOS_CDF'!$Y$6:$Y$1005,1))</f>
        <v>0</v>
      </c>
      <c r="AG497" s="96" t="str">
        <f>IF(AND(R497=1,S497&lt;&gt;"",C497&lt;&gt;""),S497&amp;"|"&amp;C497&amp;"|"&amp;G497&amp;"|"&amp;H497,"")</f>
        <v/>
      </c>
      <c r="AH497" s="96">
        <f>IF(AG497="",0,IF(SUMPRODUCT(--($AG$6:$AG$1005=AG497))&gt;1,1,0))</f>
        <v>0</v>
      </c>
      <c r="AI497" s="96">
        <f>IF(R497=0,0,IF(OR(U497=0,V497=0,Y497=0,AND(AH497=1,K497&lt;&gt;"Sim")),1,0))</f>
        <v>0</v>
      </c>
      <c r="AJ497" s="96">
        <f>IF(AND(R497=1,AA497&gt;0,AB497=AA497),1,0)</f>
        <v>0</v>
      </c>
      <c r="AK497" s="96">
        <f>IF(R497=0,0,IF(AA497&gt;0,N(L497),IF(ISNUMBER(I497),I497,0)))</f>
        <v>0</v>
      </c>
      <c r="AL497" s="96">
        <f>IF(R497=0,0,IF(AND(K497&lt;&gt;"Sim",N(M497)&gt;AK497+cfg_tol),1,0))</f>
        <v>0</v>
      </c>
      <c r="AM497" s="96">
        <f>IF(R497=0,0,IF(K497="Sim",0,IF(OR(AND(AA497&gt;0,ISNUMBER(I497),ABS(I497-N(L497))&gt;cfg_tol),AL497=1),1,0)))</f>
        <v>0</v>
      </c>
      <c r="AN497" s="96">
        <f>IF(AND(R497=1,N(M497)&gt;0,OR(N(M497)&gt;=AK497-cfg_tol,K497="Sim")),1,0)</f>
        <v>0</v>
      </c>
      <c r="AO497" s="96">
        <f>IF(AND(AN497=1,AD497&gt;0,AE497=AD497,AL497=0),1,0)</f>
        <v>0</v>
      </c>
      <c r="AP497" s="96">
        <f>IF(U497=0,0,IF(AND(INDEX('MTRs'!$AX$6:$AX$505,T497)=1,Z497=0,OR(f_res="",f_res="(Todos)",C497=f_res)),1,0))</f>
        <v>0</v>
      </c>
      <c r="AQ497" s="97" t="str">
        <f>IF(U497=0,"",INDEX('MTRs'!$AZ$6:$AZ$505,T497))</f>
        <v/>
      </c>
      <c r="AR497" s="96">
        <f>IF(U497=0,0,IF(AND(INDEX('MTRs'!$BA$6:$BA$505,T497)=1,Z497=0),1,0))</f>
        <v>0</v>
      </c>
      <c r="AS497" s="96" t="str">
        <f>IF(R497=1,A497&amp;" | MTR "&amp;IF(U497=1,INDEX('MTRs'!$B$6:$B$505,T497)&amp;"","?")&amp;" | "&amp;IF(C497="","(sem resíduo)",C497),"")</f>
        <v/>
      </c>
      <c r="AT497" s="96" t="str">
        <f>IF(R497=1,COUNTIF($R$6:R497,1),"")</f>
        <v/>
      </c>
      <c r="AU497" s="96" t="str">
        <f>IF(U497=1,INDEX('MTRs'!$I$6:$I$505,T497)&amp;"","")</f>
        <v/>
      </c>
    </row>
    <row r="498">
      <c r="A498" s="89" t="inlineStr">
        <is>
          <t>IT-000493</t>
        </is>
      </c>
      <c r="B498" s="91" t="n"/>
      <c r="C498" s="91" t="n"/>
      <c r="D498" s="94" t="str">
        <f>IF(OR(R498=0,V498=0),"",INDEX('CAD_RESÍDUOS'!$E$6:$E$205,MATCH(C498,'CAD_RESÍDUOS'!$B$6:$B$205,0))&amp;"")</f>
        <v/>
      </c>
      <c r="E498" s="94" t="str">
        <f>IF(OR(R498=0,V498=0),"",INDEX('CAD_RESÍDUOS'!$C$6:$C$205,MATCH(C498,'CAD_RESÍDUOS'!$B$6:$B$205,0))&amp;"")</f>
        <v/>
      </c>
      <c r="F498" s="94" t="str">
        <f>IF(OR(R498=0,V498=0),"",INDEX('CAD_RESÍDUOS'!$G$6:$G$205,MATCH(C498,'CAD_RESÍDUOS'!$B$6:$B$205,0))&amp;"")</f>
        <v/>
      </c>
      <c r="G498" s="98" t="n"/>
      <c r="H498" s="91" t="n"/>
      <c r="I498" s="93" t="str">
        <f>IF(R498=0,"",IF(NOT(ISNUMBER(G498)),"",IF(ISNUMBER(X498),G498*X498,"UNIDADE A CONFERIR")))</f>
        <v/>
      </c>
      <c r="J498" s="91" t="n"/>
      <c r="K498" s="91" t="n"/>
      <c r="L498" s="93" t="str">
        <f>IF(R498=0,"",SUMIFS('RECEBIMENTOS'!$H$6:$H$1005,'RECEBIMENTOS'!$R$6:$R$1005,A498,'RECEBIMENTOS'!$X$6:$X$1005,1))</f>
        <v/>
      </c>
      <c r="M498" s="93" t="str">
        <f>IF(R498=0,"",SUMIFS('VÍNCULOS_CDF'!$H$6:$H$1005,'VÍNCULOS_CDF'!$R$6:$R$1005,A498,'VÍNCULOS_CDF'!$V$6:$V$1005,1))</f>
        <v/>
      </c>
      <c r="N498" s="99" t="str">
        <f>IF(OR(R498=0,AA498=0,NOT(ISNUMBER(I498))),"",I498-N(L498))</f>
        <v/>
      </c>
      <c r="O498" s="100" t="str">
        <f>IF(OR(R498=0,AK498&lt;=0),"",N(M498)/AK498)</f>
        <v/>
      </c>
      <c r="P498" s="94" t="str">
        <f>IF(R498=0,"",IF(S498="","Sem MTR associado",IF(U498=0,"MTR inexistente",IF(C498="","Resíduo não identificado",IF(V498=0,"Resíduo fora do cadastro",IF(W498=0,"Quantidade inválida",IF(H498="","Unidade não informada",IF(NOT(ISNUMBER(I498)),"Unidade a conferir",IF(AND(AH498=1,K498&lt;&gt;"Sim"),"Possível duplicidade",IF(Z498=1,"MTR cancelado",IF(AC498&gt;0,"Recebimento com alerta",IF(AA498=0,"Aguardando recebimento",IF(AB498&lt;AA498,"Recebimento a conferir",IF(AM498=1,"Quantidade a revisar",IF(AF498&gt;0,"Vínculo a revisar",IF(AD498=0,"Aguardando CDF",IF(AN498=0,"Vínculo de CDF parcial",IF(AE498&lt;AD498,"CDF a conferir","Documentação conferida"))))))))))))))))))</f>
        <v/>
      </c>
      <c r="Q498" s="93" t="str">
        <f>IF(OR(R498=0,AA498=0),"",MAX(0,N(L498)-N(M498)))</f>
        <v/>
      </c>
      <c r="R498" s="96">
        <f>IF(COUNTA(B498:C498,G498:H498,J498:K498)&gt;0,1,0)</f>
        <v>0</v>
      </c>
      <c r="S498" s="96" t="str">
        <f>IF(B498="","",TRIM(LEFT(B498,FIND(" |",B498&amp;" |")-1)))</f>
        <v/>
      </c>
      <c r="T498" s="96" t="str">
        <f>IF(S498="","",IFERROR(MATCH(S498,'MTRs'!$A$6:$A$505,0),""))</f>
        <v/>
      </c>
      <c r="U498" s="96">
        <f>IF(T498="",0,IF(INDEX('MTRs'!$Z$6:$Z$505,T498)=1,1,0))</f>
        <v>0</v>
      </c>
      <c r="V498" s="96">
        <f>IF(C498="",0,IF(ISNUMBER(MATCH(C498,'CAD_RESÍDUOS'!$B$6:$B$205,0)),1,0))</f>
        <v>0</v>
      </c>
      <c r="W498" s="96">
        <f>IF(AND(ISNUMBER(G498),G498&gt;0),1,0)</f>
        <v>0</v>
      </c>
      <c r="X498" s="96" t="str">
        <f>IF(H498="","",IFERROR(IF(ISNUMBER(INDEX(cfg_fac,MATCH(H498,cfg_units,0))),IF(INDEX(cfg_fac,MATCH(H498,cfg_units,0))&gt;0,INDEX(cfg_fac,MATCH(H498,cfg_units,0)),""),""),""))</f>
        <v/>
      </c>
      <c r="Y498" s="96">
        <f>IF(AND(W498=1,ISNUMBER(I498)),1,0)</f>
        <v>0</v>
      </c>
      <c r="Z498" s="96">
        <f>IF(U498=1,INDEX('MTRs'!$AA$6:$AA$505,T498),0)</f>
        <v>0</v>
      </c>
      <c r="AA498" s="96">
        <f>IF(R498=0,0,COUNTIFS('RECEBIMENTOS'!$R$6:$R$1005,A498,'RECEBIMENTOS'!$Q$6:$Q$1005,1))</f>
        <v>0</v>
      </c>
      <c r="AB498" s="96">
        <f>IF(R498=0,0,COUNTIFS('RECEBIMENTOS'!$R$6:$R$1005,A498,'RECEBIMENTOS'!$Z$6:$Z$1005,1))</f>
        <v>0</v>
      </c>
      <c r="AC498" s="96">
        <f>IF(R498=0,0,COUNTIFS('RECEBIMENTOS'!$R$6:$R$1005,A498,'RECEBIMENTOS'!$Y$6:$Y$1005,1))</f>
        <v>0</v>
      </c>
      <c r="AD498" s="96">
        <f>IF(R498=0,0,COUNTIFS('VÍNCULOS_CDF'!$R$6:$R$1005,A498,'VÍNCULOS_CDF'!$N$6:$N$1005,1))</f>
        <v>0</v>
      </c>
      <c r="AE498" s="96">
        <f>IF(R498=0,0,COUNTIFS('VÍNCULOS_CDF'!$R$6:$R$1005,A498,'VÍNCULOS_CDF'!$AA$6:$AA$1005,1))</f>
        <v>0</v>
      </c>
      <c r="AF498" s="96">
        <f>IF(R498=0,0,COUNTIFS('VÍNCULOS_CDF'!$R$6:$R$1005,A498,'VÍNCULOS_CDF'!$Y$6:$Y$1005,1))</f>
        <v>0</v>
      </c>
      <c r="AG498" s="96" t="str">
        <f>IF(AND(R498=1,S498&lt;&gt;"",C498&lt;&gt;""),S498&amp;"|"&amp;C498&amp;"|"&amp;G498&amp;"|"&amp;H498,"")</f>
        <v/>
      </c>
      <c r="AH498" s="96">
        <f>IF(AG498="",0,IF(SUMPRODUCT(--($AG$6:$AG$1005=AG498))&gt;1,1,0))</f>
        <v>0</v>
      </c>
      <c r="AI498" s="96">
        <f>IF(R498=0,0,IF(OR(U498=0,V498=0,Y498=0,AND(AH498=1,K498&lt;&gt;"Sim")),1,0))</f>
        <v>0</v>
      </c>
      <c r="AJ498" s="96">
        <f>IF(AND(R498=1,AA498&gt;0,AB498=AA498),1,0)</f>
        <v>0</v>
      </c>
      <c r="AK498" s="96">
        <f>IF(R498=0,0,IF(AA498&gt;0,N(L498),IF(ISNUMBER(I498),I498,0)))</f>
        <v>0</v>
      </c>
      <c r="AL498" s="96">
        <f>IF(R498=0,0,IF(AND(K498&lt;&gt;"Sim",N(M498)&gt;AK498+cfg_tol),1,0))</f>
        <v>0</v>
      </c>
      <c r="AM498" s="96">
        <f>IF(R498=0,0,IF(K498="Sim",0,IF(OR(AND(AA498&gt;0,ISNUMBER(I498),ABS(I498-N(L498))&gt;cfg_tol),AL498=1),1,0)))</f>
        <v>0</v>
      </c>
      <c r="AN498" s="96">
        <f>IF(AND(R498=1,N(M498)&gt;0,OR(N(M498)&gt;=AK498-cfg_tol,K498="Sim")),1,0)</f>
        <v>0</v>
      </c>
      <c r="AO498" s="96">
        <f>IF(AND(AN498=1,AD498&gt;0,AE498=AD498,AL498=0),1,0)</f>
        <v>0</v>
      </c>
      <c r="AP498" s="96">
        <f>IF(U498=0,0,IF(AND(INDEX('MTRs'!$AX$6:$AX$505,T498)=1,Z498=0,OR(f_res="",f_res="(Todos)",C498=f_res)),1,0))</f>
        <v>0</v>
      </c>
      <c r="AQ498" s="97" t="str">
        <f>IF(U498=0,"",INDEX('MTRs'!$AZ$6:$AZ$505,T498))</f>
        <v/>
      </c>
      <c r="AR498" s="96">
        <f>IF(U498=0,0,IF(AND(INDEX('MTRs'!$BA$6:$BA$505,T498)=1,Z498=0),1,0))</f>
        <v>0</v>
      </c>
      <c r="AS498" s="96" t="str">
        <f>IF(R498=1,A498&amp;" | MTR "&amp;IF(U498=1,INDEX('MTRs'!$B$6:$B$505,T498)&amp;"","?")&amp;" | "&amp;IF(C498="","(sem resíduo)",C498),"")</f>
        <v/>
      </c>
      <c r="AT498" s="96" t="str">
        <f>IF(R498=1,COUNTIF($R$6:R498,1),"")</f>
        <v/>
      </c>
      <c r="AU498" s="96" t="str">
        <f>IF(U498=1,INDEX('MTRs'!$I$6:$I$505,T498)&amp;"","")</f>
        <v/>
      </c>
    </row>
    <row r="499">
      <c r="A499" s="89" t="inlineStr">
        <is>
          <t>IT-000494</t>
        </is>
      </c>
      <c r="B499" s="91" t="n"/>
      <c r="C499" s="91" t="n"/>
      <c r="D499" s="94" t="str">
        <f>IF(OR(R499=0,V499=0),"",INDEX('CAD_RESÍDUOS'!$E$6:$E$205,MATCH(C499,'CAD_RESÍDUOS'!$B$6:$B$205,0))&amp;"")</f>
        <v/>
      </c>
      <c r="E499" s="94" t="str">
        <f>IF(OR(R499=0,V499=0),"",INDEX('CAD_RESÍDUOS'!$C$6:$C$205,MATCH(C499,'CAD_RESÍDUOS'!$B$6:$B$205,0))&amp;"")</f>
        <v/>
      </c>
      <c r="F499" s="94" t="str">
        <f>IF(OR(R499=0,V499=0),"",INDEX('CAD_RESÍDUOS'!$G$6:$G$205,MATCH(C499,'CAD_RESÍDUOS'!$B$6:$B$205,0))&amp;"")</f>
        <v/>
      </c>
      <c r="G499" s="98" t="n"/>
      <c r="H499" s="91" t="n"/>
      <c r="I499" s="93" t="str">
        <f>IF(R499=0,"",IF(NOT(ISNUMBER(G499)),"",IF(ISNUMBER(X499),G499*X499,"UNIDADE A CONFERIR")))</f>
        <v/>
      </c>
      <c r="J499" s="91" t="n"/>
      <c r="K499" s="91" t="n"/>
      <c r="L499" s="93" t="str">
        <f>IF(R499=0,"",SUMIFS('RECEBIMENTOS'!$H$6:$H$1005,'RECEBIMENTOS'!$R$6:$R$1005,A499,'RECEBIMENTOS'!$X$6:$X$1005,1))</f>
        <v/>
      </c>
      <c r="M499" s="93" t="str">
        <f>IF(R499=0,"",SUMIFS('VÍNCULOS_CDF'!$H$6:$H$1005,'VÍNCULOS_CDF'!$R$6:$R$1005,A499,'VÍNCULOS_CDF'!$V$6:$V$1005,1))</f>
        <v/>
      </c>
      <c r="N499" s="99" t="str">
        <f>IF(OR(R499=0,AA499=0,NOT(ISNUMBER(I499))),"",I499-N(L499))</f>
        <v/>
      </c>
      <c r="O499" s="100" t="str">
        <f>IF(OR(R499=0,AK499&lt;=0),"",N(M499)/AK499)</f>
        <v/>
      </c>
      <c r="P499" s="94" t="str">
        <f>IF(R499=0,"",IF(S499="","Sem MTR associado",IF(U499=0,"MTR inexistente",IF(C499="","Resíduo não identificado",IF(V499=0,"Resíduo fora do cadastro",IF(W499=0,"Quantidade inválida",IF(H499="","Unidade não informada",IF(NOT(ISNUMBER(I499)),"Unidade a conferir",IF(AND(AH499=1,K499&lt;&gt;"Sim"),"Possível duplicidade",IF(Z499=1,"MTR cancelado",IF(AC499&gt;0,"Recebimento com alerta",IF(AA499=0,"Aguardando recebimento",IF(AB499&lt;AA499,"Recebimento a conferir",IF(AM499=1,"Quantidade a revisar",IF(AF499&gt;0,"Vínculo a revisar",IF(AD499=0,"Aguardando CDF",IF(AN499=0,"Vínculo de CDF parcial",IF(AE499&lt;AD499,"CDF a conferir","Documentação conferida"))))))))))))))))))</f>
        <v/>
      </c>
      <c r="Q499" s="93" t="str">
        <f>IF(OR(R499=0,AA499=0),"",MAX(0,N(L499)-N(M499)))</f>
        <v/>
      </c>
      <c r="R499" s="96">
        <f>IF(COUNTA(B499:C499,G499:H499,J499:K499)&gt;0,1,0)</f>
        <v>0</v>
      </c>
      <c r="S499" s="96" t="str">
        <f>IF(B499="","",TRIM(LEFT(B499,FIND(" |",B499&amp;" |")-1)))</f>
        <v/>
      </c>
      <c r="T499" s="96" t="str">
        <f>IF(S499="","",IFERROR(MATCH(S499,'MTRs'!$A$6:$A$505,0),""))</f>
        <v/>
      </c>
      <c r="U499" s="96">
        <f>IF(T499="",0,IF(INDEX('MTRs'!$Z$6:$Z$505,T499)=1,1,0))</f>
        <v>0</v>
      </c>
      <c r="V499" s="96">
        <f>IF(C499="",0,IF(ISNUMBER(MATCH(C499,'CAD_RESÍDUOS'!$B$6:$B$205,0)),1,0))</f>
        <v>0</v>
      </c>
      <c r="W499" s="96">
        <f>IF(AND(ISNUMBER(G499),G499&gt;0),1,0)</f>
        <v>0</v>
      </c>
      <c r="X499" s="96" t="str">
        <f>IF(H499="","",IFERROR(IF(ISNUMBER(INDEX(cfg_fac,MATCH(H499,cfg_units,0))),IF(INDEX(cfg_fac,MATCH(H499,cfg_units,0))&gt;0,INDEX(cfg_fac,MATCH(H499,cfg_units,0)),""),""),""))</f>
        <v/>
      </c>
      <c r="Y499" s="96">
        <f>IF(AND(W499=1,ISNUMBER(I499)),1,0)</f>
        <v>0</v>
      </c>
      <c r="Z499" s="96">
        <f>IF(U499=1,INDEX('MTRs'!$AA$6:$AA$505,T499),0)</f>
        <v>0</v>
      </c>
      <c r="AA499" s="96">
        <f>IF(R499=0,0,COUNTIFS('RECEBIMENTOS'!$R$6:$R$1005,A499,'RECEBIMENTOS'!$Q$6:$Q$1005,1))</f>
        <v>0</v>
      </c>
      <c r="AB499" s="96">
        <f>IF(R499=0,0,COUNTIFS('RECEBIMENTOS'!$R$6:$R$1005,A499,'RECEBIMENTOS'!$Z$6:$Z$1005,1))</f>
        <v>0</v>
      </c>
      <c r="AC499" s="96">
        <f>IF(R499=0,0,COUNTIFS('RECEBIMENTOS'!$R$6:$R$1005,A499,'RECEBIMENTOS'!$Y$6:$Y$1005,1))</f>
        <v>0</v>
      </c>
      <c r="AD499" s="96">
        <f>IF(R499=0,0,COUNTIFS('VÍNCULOS_CDF'!$R$6:$R$1005,A499,'VÍNCULOS_CDF'!$N$6:$N$1005,1))</f>
        <v>0</v>
      </c>
      <c r="AE499" s="96">
        <f>IF(R499=0,0,COUNTIFS('VÍNCULOS_CDF'!$R$6:$R$1005,A499,'VÍNCULOS_CDF'!$AA$6:$AA$1005,1))</f>
        <v>0</v>
      </c>
      <c r="AF499" s="96">
        <f>IF(R499=0,0,COUNTIFS('VÍNCULOS_CDF'!$R$6:$R$1005,A499,'VÍNCULOS_CDF'!$Y$6:$Y$1005,1))</f>
        <v>0</v>
      </c>
      <c r="AG499" s="96" t="str">
        <f>IF(AND(R499=1,S499&lt;&gt;"",C499&lt;&gt;""),S499&amp;"|"&amp;C499&amp;"|"&amp;G499&amp;"|"&amp;H499,"")</f>
        <v/>
      </c>
      <c r="AH499" s="96">
        <f>IF(AG499="",0,IF(SUMPRODUCT(--($AG$6:$AG$1005=AG499))&gt;1,1,0))</f>
        <v>0</v>
      </c>
      <c r="AI499" s="96">
        <f>IF(R499=0,0,IF(OR(U499=0,V499=0,Y499=0,AND(AH499=1,K499&lt;&gt;"Sim")),1,0))</f>
        <v>0</v>
      </c>
      <c r="AJ499" s="96">
        <f>IF(AND(R499=1,AA499&gt;0,AB499=AA499),1,0)</f>
        <v>0</v>
      </c>
      <c r="AK499" s="96">
        <f>IF(R499=0,0,IF(AA499&gt;0,N(L499),IF(ISNUMBER(I499),I499,0)))</f>
        <v>0</v>
      </c>
      <c r="AL499" s="96">
        <f>IF(R499=0,0,IF(AND(K499&lt;&gt;"Sim",N(M499)&gt;AK499+cfg_tol),1,0))</f>
        <v>0</v>
      </c>
      <c r="AM499" s="96">
        <f>IF(R499=0,0,IF(K499="Sim",0,IF(OR(AND(AA499&gt;0,ISNUMBER(I499),ABS(I499-N(L499))&gt;cfg_tol),AL499=1),1,0)))</f>
        <v>0</v>
      </c>
      <c r="AN499" s="96">
        <f>IF(AND(R499=1,N(M499)&gt;0,OR(N(M499)&gt;=AK499-cfg_tol,K499="Sim")),1,0)</f>
        <v>0</v>
      </c>
      <c r="AO499" s="96">
        <f>IF(AND(AN499=1,AD499&gt;0,AE499=AD499,AL499=0),1,0)</f>
        <v>0</v>
      </c>
      <c r="AP499" s="96">
        <f>IF(U499=0,0,IF(AND(INDEX('MTRs'!$AX$6:$AX$505,T499)=1,Z499=0,OR(f_res="",f_res="(Todos)",C499=f_res)),1,0))</f>
        <v>0</v>
      </c>
      <c r="AQ499" s="97" t="str">
        <f>IF(U499=0,"",INDEX('MTRs'!$AZ$6:$AZ$505,T499))</f>
        <v/>
      </c>
      <c r="AR499" s="96">
        <f>IF(U499=0,0,IF(AND(INDEX('MTRs'!$BA$6:$BA$505,T499)=1,Z499=0),1,0))</f>
        <v>0</v>
      </c>
      <c r="AS499" s="96" t="str">
        <f>IF(R499=1,A499&amp;" | MTR "&amp;IF(U499=1,INDEX('MTRs'!$B$6:$B$505,T499)&amp;"","?")&amp;" | "&amp;IF(C499="","(sem resíduo)",C499),"")</f>
        <v/>
      </c>
      <c r="AT499" s="96" t="str">
        <f>IF(R499=1,COUNTIF($R$6:R499,1),"")</f>
        <v/>
      </c>
      <c r="AU499" s="96" t="str">
        <f>IF(U499=1,INDEX('MTRs'!$I$6:$I$505,T499)&amp;"","")</f>
        <v/>
      </c>
    </row>
    <row r="500">
      <c r="A500" s="89" t="inlineStr">
        <is>
          <t>IT-000495</t>
        </is>
      </c>
      <c r="B500" s="91" t="n"/>
      <c r="C500" s="91" t="n"/>
      <c r="D500" s="94" t="str">
        <f>IF(OR(R500=0,V500=0),"",INDEX('CAD_RESÍDUOS'!$E$6:$E$205,MATCH(C500,'CAD_RESÍDUOS'!$B$6:$B$205,0))&amp;"")</f>
        <v/>
      </c>
      <c r="E500" s="94" t="str">
        <f>IF(OR(R500=0,V500=0),"",INDEX('CAD_RESÍDUOS'!$C$6:$C$205,MATCH(C500,'CAD_RESÍDUOS'!$B$6:$B$205,0))&amp;"")</f>
        <v/>
      </c>
      <c r="F500" s="94" t="str">
        <f>IF(OR(R500=0,V500=0),"",INDEX('CAD_RESÍDUOS'!$G$6:$G$205,MATCH(C500,'CAD_RESÍDUOS'!$B$6:$B$205,0))&amp;"")</f>
        <v/>
      </c>
      <c r="G500" s="98" t="n"/>
      <c r="H500" s="91" t="n"/>
      <c r="I500" s="93" t="str">
        <f>IF(R500=0,"",IF(NOT(ISNUMBER(G500)),"",IF(ISNUMBER(X500),G500*X500,"UNIDADE A CONFERIR")))</f>
        <v/>
      </c>
      <c r="J500" s="91" t="n"/>
      <c r="K500" s="91" t="n"/>
      <c r="L500" s="93" t="str">
        <f>IF(R500=0,"",SUMIFS('RECEBIMENTOS'!$H$6:$H$1005,'RECEBIMENTOS'!$R$6:$R$1005,A500,'RECEBIMENTOS'!$X$6:$X$1005,1))</f>
        <v/>
      </c>
      <c r="M500" s="93" t="str">
        <f>IF(R500=0,"",SUMIFS('VÍNCULOS_CDF'!$H$6:$H$1005,'VÍNCULOS_CDF'!$R$6:$R$1005,A500,'VÍNCULOS_CDF'!$V$6:$V$1005,1))</f>
        <v/>
      </c>
      <c r="N500" s="99" t="str">
        <f>IF(OR(R500=0,AA500=0,NOT(ISNUMBER(I500))),"",I500-N(L500))</f>
        <v/>
      </c>
      <c r="O500" s="100" t="str">
        <f>IF(OR(R500=0,AK500&lt;=0),"",N(M500)/AK500)</f>
        <v/>
      </c>
      <c r="P500" s="94" t="str">
        <f>IF(R500=0,"",IF(S500="","Sem MTR associado",IF(U500=0,"MTR inexistente",IF(C500="","Resíduo não identificado",IF(V500=0,"Resíduo fora do cadastro",IF(W500=0,"Quantidade inválida",IF(H500="","Unidade não informada",IF(NOT(ISNUMBER(I500)),"Unidade a conferir",IF(AND(AH500=1,K500&lt;&gt;"Sim"),"Possível duplicidade",IF(Z500=1,"MTR cancelado",IF(AC500&gt;0,"Recebimento com alerta",IF(AA500=0,"Aguardando recebimento",IF(AB500&lt;AA500,"Recebimento a conferir",IF(AM500=1,"Quantidade a revisar",IF(AF500&gt;0,"Vínculo a revisar",IF(AD500=0,"Aguardando CDF",IF(AN500=0,"Vínculo de CDF parcial",IF(AE500&lt;AD500,"CDF a conferir","Documentação conferida"))))))))))))))))))</f>
        <v/>
      </c>
      <c r="Q500" s="93" t="str">
        <f>IF(OR(R500=0,AA500=0),"",MAX(0,N(L500)-N(M500)))</f>
        <v/>
      </c>
      <c r="R500" s="96">
        <f>IF(COUNTA(B500:C500,G500:H500,J500:K500)&gt;0,1,0)</f>
        <v>0</v>
      </c>
      <c r="S500" s="96" t="str">
        <f>IF(B500="","",TRIM(LEFT(B500,FIND(" |",B500&amp;" |")-1)))</f>
        <v/>
      </c>
      <c r="T500" s="96" t="str">
        <f>IF(S500="","",IFERROR(MATCH(S500,'MTRs'!$A$6:$A$505,0),""))</f>
        <v/>
      </c>
      <c r="U500" s="96">
        <f>IF(T500="",0,IF(INDEX('MTRs'!$Z$6:$Z$505,T500)=1,1,0))</f>
        <v>0</v>
      </c>
      <c r="V500" s="96">
        <f>IF(C500="",0,IF(ISNUMBER(MATCH(C500,'CAD_RESÍDUOS'!$B$6:$B$205,0)),1,0))</f>
        <v>0</v>
      </c>
      <c r="W500" s="96">
        <f>IF(AND(ISNUMBER(G500),G500&gt;0),1,0)</f>
        <v>0</v>
      </c>
      <c r="X500" s="96" t="str">
        <f>IF(H500="","",IFERROR(IF(ISNUMBER(INDEX(cfg_fac,MATCH(H500,cfg_units,0))),IF(INDEX(cfg_fac,MATCH(H500,cfg_units,0))&gt;0,INDEX(cfg_fac,MATCH(H500,cfg_units,0)),""),""),""))</f>
        <v/>
      </c>
      <c r="Y500" s="96">
        <f>IF(AND(W500=1,ISNUMBER(I500)),1,0)</f>
        <v>0</v>
      </c>
      <c r="Z500" s="96">
        <f>IF(U500=1,INDEX('MTRs'!$AA$6:$AA$505,T500),0)</f>
        <v>0</v>
      </c>
      <c r="AA500" s="96">
        <f>IF(R500=0,0,COUNTIFS('RECEBIMENTOS'!$R$6:$R$1005,A500,'RECEBIMENTOS'!$Q$6:$Q$1005,1))</f>
        <v>0</v>
      </c>
      <c r="AB500" s="96">
        <f>IF(R500=0,0,COUNTIFS('RECEBIMENTOS'!$R$6:$R$1005,A500,'RECEBIMENTOS'!$Z$6:$Z$1005,1))</f>
        <v>0</v>
      </c>
      <c r="AC500" s="96">
        <f>IF(R500=0,0,COUNTIFS('RECEBIMENTOS'!$R$6:$R$1005,A500,'RECEBIMENTOS'!$Y$6:$Y$1005,1))</f>
        <v>0</v>
      </c>
      <c r="AD500" s="96">
        <f>IF(R500=0,0,COUNTIFS('VÍNCULOS_CDF'!$R$6:$R$1005,A500,'VÍNCULOS_CDF'!$N$6:$N$1005,1))</f>
        <v>0</v>
      </c>
      <c r="AE500" s="96">
        <f>IF(R500=0,0,COUNTIFS('VÍNCULOS_CDF'!$R$6:$R$1005,A500,'VÍNCULOS_CDF'!$AA$6:$AA$1005,1))</f>
        <v>0</v>
      </c>
      <c r="AF500" s="96">
        <f>IF(R500=0,0,COUNTIFS('VÍNCULOS_CDF'!$R$6:$R$1005,A500,'VÍNCULOS_CDF'!$Y$6:$Y$1005,1))</f>
        <v>0</v>
      </c>
      <c r="AG500" s="96" t="str">
        <f>IF(AND(R500=1,S500&lt;&gt;"",C500&lt;&gt;""),S500&amp;"|"&amp;C500&amp;"|"&amp;G500&amp;"|"&amp;H500,"")</f>
        <v/>
      </c>
      <c r="AH500" s="96">
        <f>IF(AG500="",0,IF(SUMPRODUCT(--($AG$6:$AG$1005=AG500))&gt;1,1,0))</f>
        <v>0</v>
      </c>
      <c r="AI500" s="96">
        <f>IF(R500=0,0,IF(OR(U500=0,V500=0,Y500=0,AND(AH500=1,K500&lt;&gt;"Sim")),1,0))</f>
        <v>0</v>
      </c>
      <c r="AJ500" s="96">
        <f>IF(AND(R500=1,AA500&gt;0,AB500=AA500),1,0)</f>
        <v>0</v>
      </c>
      <c r="AK500" s="96">
        <f>IF(R500=0,0,IF(AA500&gt;0,N(L500),IF(ISNUMBER(I500),I500,0)))</f>
        <v>0</v>
      </c>
      <c r="AL500" s="96">
        <f>IF(R500=0,0,IF(AND(K500&lt;&gt;"Sim",N(M500)&gt;AK500+cfg_tol),1,0))</f>
        <v>0</v>
      </c>
      <c r="AM500" s="96">
        <f>IF(R500=0,0,IF(K500="Sim",0,IF(OR(AND(AA500&gt;0,ISNUMBER(I500),ABS(I500-N(L500))&gt;cfg_tol),AL500=1),1,0)))</f>
        <v>0</v>
      </c>
      <c r="AN500" s="96">
        <f>IF(AND(R500=1,N(M500)&gt;0,OR(N(M500)&gt;=AK500-cfg_tol,K500="Sim")),1,0)</f>
        <v>0</v>
      </c>
      <c r="AO500" s="96">
        <f>IF(AND(AN500=1,AD500&gt;0,AE500=AD500,AL500=0),1,0)</f>
        <v>0</v>
      </c>
      <c r="AP500" s="96">
        <f>IF(U500=0,0,IF(AND(INDEX('MTRs'!$AX$6:$AX$505,T500)=1,Z500=0,OR(f_res="",f_res="(Todos)",C500=f_res)),1,0))</f>
        <v>0</v>
      </c>
      <c r="AQ500" s="97" t="str">
        <f>IF(U500=0,"",INDEX('MTRs'!$AZ$6:$AZ$505,T500))</f>
        <v/>
      </c>
      <c r="AR500" s="96">
        <f>IF(U500=0,0,IF(AND(INDEX('MTRs'!$BA$6:$BA$505,T500)=1,Z500=0),1,0))</f>
        <v>0</v>
      </c>
      <c r="AS500" s="96" t="str">
        <f>IF(R500=1,A500&amp;" | MTR "&amp;IF(U500=1,INDEX('MTRs'!$B$6:$B$505,T500)&amp;"","?")&amp;" | "&amp;IF(C500="","(sem resíduo)",C500),"")</f>
        <v/>
      </c>
      <c r="AT500" s="96" t="str">
        <f>IF(R500=1,COUNTIF($R$6:R500,1),"")</f>
        <v/>
      </c>
      <c r="AU500" s="96" t="str">
        <f>IF(U500=1,INDEX('MTRs'!$I$6:$I$505,T500)&amp;"","")</f>
        <v/>
      </c>
    </row>
    <row r="501">
      <c r="A501" s="89" t="inlineStr">
        <is>
          <t>IT-000496</t>
        </is>
      </c>
      <c r="B501" s="91" t="n"/>
      <c r="C501" s="91" t="n"/>
      <c r="D501" s="94" t="str">
        <f>IF(OR(R501=0,V501=0),"",INDEX('CAD_RESÍDUOS'!$E$6:$E$205,MATCH(C501,'CAD_RESÍDUOS'!$B$6:$B$205,0))&amp;"")</f>
        <v/>
      </c>
      <c r="E501" s="94" t="str">
        <f>IF(OR(R501=0,V501=0),"",INDEX('CAD_RESÍDUOS'!$C$6:$C$205,MATCH(C501,'CAD_RESÍDUOS'!$B$6:$B$205,0))&amp;"")</f>
        <v/>
      </c>
      <c r="F501" s="94" t="str">
        <f>IF(OR(R501=0,V501=0),"",INDEX('CAD_RESÍDUOS'!$G$6:$G$205,MATCH(C501,'CAD_RESÍDUOS'!$B$6:$B$205,0))&amp;"")</f>
        <v/>
      </c>
      <c r="G501" s="98" t="n"/>
      <c r="H501" s="91" t="n"/>
      <c r="I501" s="93" t="str">
        <f>IF(R501=0,"",IF(NOT(ISNUMBER(G501)),"",IF(ISNUMBER(X501),G501*X501,"UNIDADE A CONFERIR")))</f>
        <v/>
      </c>
      <c r="J501" s="91" t="n"/>
      <c r="K501" s="91" t="n"/>
      <c r="L501" s="93" t="str">
        <f>IF(R501=0,"",SUMIFS('RECEBIMENTOS'!$H$6:$H$1005,'RECEBIMENTOS'!$R$6:$R$1005,A501,'RECEBIMENTOS'!$X$6:$X$1005,1))</f>
        <v/>
      </c>
      <c r="M501" s="93" t="str">
        <f>IF(R501=0,"",SUMIFS('VÍNCULOS_CDF'!$H$6:$H$1005,'VÍNCULOS_CDF'!$R$6:$R$1005,A501,'VÍNCULOS_CDF'!$V$6:$V$1005,1))</f>
        <v/>
      </c>
      <c r="N501" s="99" t="str">
        <f>IF(OR(R501=0,AA501=0,NOT(ISNUMBER(I501))),"",I501-N(L501))</f>
        <v/>
      </c>
      <c r="O501" s="100" t="str">
        <f>IF(OR(R501=0,AK501&lt;=0),"",N(M501)/AK501)</f>
        <v/>
      </c>
      <c r="P501" s="94" t="str">
        <f>IF(R501=0,"",IF(S501="","Sem MTR associado",IF(U501=0,"MTR inexistente",IF(C501="","Resíduo não identificado",IF(V501=0,"Resíduo fora do cadastro",IF(W501=0,"Quantidade inválida",IF(H501="","Unidade não informada",IF(NOT(ISNUMBER(I501)),"Unidade a conferir",IF(AND(AH501=1,K501&lt;&gt;"Sim"),"Possível duplicidade",IF(Z501=1,"MTR cancelado",IF(AC501&gt;0,"Recebimento com alerta",IF(AA501=0,"Aguardando recebimento",IF(AB501&lt;AA501,"Recebimento a conferir",IF(AM501=1,"Quantidade a revisar",IF(AF501&gt;0,"Vínculo a revisar",IF(AD501=0,"Aguardando CDF",IF(AN501=0,"Vínculo de CDF parcial",IF(AE501&lt;AD501,"CDF a conferir","Documentação conferida"))))))))))))))))))</f>
        <v/>
      </c>
      <c r="Q501" s="93" t="str">
        <f>IF(OR(R501=0,AA501=0),"",MAX(0,N(L501)-N(M501)))</f>
        <v/>
      </c>
      <c r="R501" s="96">
        <f>IF(COUNTA(B501:C501,G501:H501,J501:K501)&gt;0,1,0)</f>
        <v>0</v>
      </c>
      <c r="S501" s="96" t="str">
        <f>IF(B501="","",TRIM(LEFT(B501,FIND(" |",B501&amp;" |")-1)))</f>
        <v/>
      </c>
      <c r="T501" s="96" t="str">
        <f>IF(S501="","",IFERROR(MATCH(S501,'MTRs'!$A$6:$A$505,0),""))</f>
        <v/>
      </c>
      <c r="U501" s="96">
        <f>IF(T501="",0,IF(INDEX('MTRs'!$Z$6:$Z$505,T501)=1,1,0))</f>
        <v>0</v>
      </c>
      <c r="V501" s="96">
        <f>IF(C501="",0,IF(ISNUMBER(MATCH(C501,'CAD_RESÍDUOS'!$B$6:$B$205,0)),1,0))</f>
        <v>0</v>
      </c>
      <c r="W501" s="96">
        <f>IF(AND(ISNUMBER(G501),G501&gt;0),1,0)</f>
        <v>0</v>
      </c>
      <c r="X501" s="96" t="str">
        <f>IF(H501="","",IFERROR(IF(ISNUMBER(INDEX(cfg_fac,MATCH(H501,cfg_units,0))),IF(INDEX(cfg_fac,MATCH(H501,cfg_units,0))&gt;0,INDEX(cfg_fac,MATCH(H501,cfg_units,0)),""),""),""))</f>
        <v/>
      </c>
      <c r="Y501" s="96">
        <f>IF(AND(W501=1,ISNUMBER(I501)),1,0)</f>
        <v>0</v>
      </c>
      <c r="Z501" s="96">
        <f>IF(U501=1,INDEX('MTRs'!$AA$6:$AA$505,T501),0)</f>
        <v>0</v>
      </c>
      <c r="AA501" s="96">
        <f>IF(R501=0,0,COUNTIFS('RECEBIMENTOS'!$R$6:$R$1005,A501,'RECEBIMENTOS'!$Q$6:$Q$1005,1))</f>
        <v>0</v>
      </c>
      <c r="AB501" s="96">
        <f>IF(R501=0,0,COUNTIFS('RECEBIMENTOS'!$R$6:$R$1005,A501,'RECEBIMENTOS'!$Z$6:$Z$1005,1))</f>
        <v>0</v>
      </c>
      <c r="AC501" s="96">
        <f>IF(R501=0,0,COUNTIFS('RECEBIMENTOS'!$R$6:$R$1005,A501,'RECEBIMENTOS'!$Y$6:$Y$1005,1))</f>
        <v>0</v>
      </c>
      <c r="AD501" s="96">
        <f>IF(R501=0,0,COUNTIFS('VÍNCULOS_CDF'!$R$6:$R$1005,A501,'VÍNCULOS_CDF'!$N$6:$N$1005,1))</f>
        <v>0</v>
      </c>
      <c r="AE501" s="96">
        <f>IF(R501=0,0,COUNTIFS('VÍNCULOS_CDF'!$R$6:$R$1005,A501,'VÍNCULOS_CDF'!$AA$6:$AA$1005,1))</f>
        <v>0</v>
      </c>
      <c r="AF501" s="96">
        <f>IF(R501=0,0,COUNTIFS('VÍNCULOS_CDF'!$R$6:$R$1005,A501,'VÍNCULOS_CDF'!$Y$6:$Y$1005,1))</f>
        <v>0</v>
      </c>
      <c r="AG501" s="96" t="str">
        <f>IF(AND(R501=1,S501&lt;&gt;"",C501&lt;&gt;""),S501&amp;"|"&amp;C501&amp;"|"&amp;G501&amp;"|"&amp;H501,"")</f>
        <v/>
      </c>
      <c r="AH501" s="96">
        <f>IF(AG501="",0,IF(SUMPRODUCT(--($AG$6:$AG$1005=AG501))&gt;1,1,0))</f>
        <v>0</v>
      </c>
      <c r="AI501" s="96">
        <f>IF(R501=0,0,IF(OR(U501=0,V501=0,Y501=0,AND(AH501=1,K501&lt;&gt;"Sim")),1,0))</f>
        <v>0</v>
      </c>
      <c r="AJ501" s="96">
        <f>IF(AND(R501=1,AA501&gt;0,AB501=AA501),1,0)</f>
        <v>0</v>
      </c>
      <c r="AK501" s="96">
        <f>IF(R501=0,0,IF(AA501&gt;0,N(L501),IF(ISNUMBER(I501),I501,0)))</f>
        <v>0</v>
      </c>
      <c r="AL501" s="96">
        <f>IF(R501=0,0,IF(AND(K501&lt;&gt;"Sim",N(M501)&gt;AK501+cfg_tol),1,0))</f>
        <v>0</v>
      </c>
      <c r="AM501" s="96">
        <f>IF(R501=0,0,IF(K501="Sim",0,IF(OR(AND(AA501&gt;0,ISNUMBER(I501),ABS(I501-N(L501))&gt;cfg_tol),AL501=1),1,0)))</f>
        <v>0</v>
      </c>
      <c r="AN501" s="96">
        <f>IF(AND(R501=1,N(M501)&gt;0,OR(N(M501)&gt;=AK501-cfg_tol,K501="Sim")),1,0)</f>
        <v>0</v>
      </c>
      <c r="AO501" s="96">
        <f>IF(AND(AN501=1,AD501&gt;0,AE501=AD501,AL501=0),1,0)</f>
        <v>0</v>
      </c>
      <c r="AP501" s="96">
        <f>IF(U501=0,0,IF(AND(INDEX('MTRs'!$AX$6:$AX$505,T501)=1,Z501=0,OR(f_res="",f_res="(Todos)",C501=f_res)),1,0))</f>
        <v>0</v>
      </c>
      <c r="AQ501" s="97" t="str">
        <f>IF(U501=0,"",INDEX('MTRs'!$AZ$6:$AZ$505,T501))</f>
        <v/>
      </c>
      <c r="AR501" s="96">
        <f>IF(U501=0,0,IF(AND(INDEX('MTRs'!$BA$6:$BA$505,T501)=1,Z501=0),1,0))</f>
        <v>0</v>
      </c>
      <c r="AS501" s="96" t="str">
        <f>IF(R501=1,A501&amp;" | MTR "&amp;IF(U501=1,INDEX('MTRs'!$B$6:$B$505,T501)&amp;"","?")&amp;" | "&amp;IF(C501="","(sem resíduo)",C501),"")</f>
        <v/>
      </c>
      <c r="AT501" s="96" t="str">
        <f>IF(R501=1,COUNTIF($R$6:R501,1),"")</f>
        <v/>
      </c>
      <c r="AU501" s="96" t="str">
        <f>IF(U501=1,INDEX('MTRs'!$I$6:$I$505,T501)&amp;"","")</f>
        <v/>
      </c>
    </row>
    <row r="502">
      <c r="A502" s="89" t="inlineStr">
        <is>
          <t>IT-000497</t>
        </is>
      </c>
      <c r="B502" s="91" t="n"/>
      <c r="C502" s="91" t="n"/>
      <c r="D502" s="94" t="str">
        <f>IF(OR(R502=0,V502=0),"",INDEX('CAD_RESÍDUOS'!$E$6:$E$205,MATCH(C502,'CAD_RESÍDUOS'!$B$6:$B$205,0))&amp;"")</f>
        <v/>
      </c>
      <c r="E502" s="94" t="str">
        <f>IF(OR(R502=0,V502=0),"",INDEX('CAD_RESÍDUOS'!$C$6:$C$205,MATCH(C502,'CAD_RESÍDUOS'!$B$6:$B$205,0))&amp;"")</f>
        <v/>
      </c>
      <c r="F502" s="94" t="str">
        <f>IF(OR(R502=0,V502=0),"",INDEX('CAD_RESÍDUOS'!$G$6:$G$205,MATCH(C502,'CAD_RESÍDUOS'!$B$6:$B$205,0))&amp;"")</f>
        <v/>
      </c>
      <c r="G502" s="98" t="n"/>
      <c r="H502" s="91" t="n"/>
      <c r="I502" s="93" t="str">
        <f>IF(R502=0,"",IF(NOT(ISNUMBER(G502)),"",IF(ISNUMBER(X502),G502*X502,"UNIDADE A CONFERIR")))</f>
        <v/>
      </c>
      <c r="J502" s="91" t="n"/>
      <c r="K502" s="91" t="n"/>
      <c r="L502" s="93" t="str">
        <f>IF(R502=0,"",SUMIFS('RECEBIMENTOS'!$H$6:$H$1005,'RECEBIMENTOS'!$R$6:$R$1005,A502,'RECEBIMENTOS'!$X$6:$X$1005,1))</f>
        <v/>
      </c>
      <c r="M502" s="93" t="str">
        <f>IF(R502=0,"",SUMIFS('VÍNCULOS_CDF'!$H$6:$H$1005,'VÍNCULOS_CDF'!$R$6:$R$1005,A502,'VÍNCULOS_CDF'!$V$6:$V$1005,1))</f>
        <v/>
      </c>
      <c r="N502" s="99" t="str">
        <f>IF(OR(R502=0,AA502=0,NOT(ISNUMBER(I502))),"",I502-N(L502))</f>
        <v/>
      </c>
      <c r="O502" s="100" t="str">
        <f>IF(OR(R502=0,AK502&lt;=0),"",N(M502)/AK502)</f>
        <v/>
      </c>
      <c r="P502" s="94" t="str">
        <f>IF(R502=0,"",IF(S502="","Sem MTR associado",IF(U502=0,"MTR inexistente",IF(C502="","Resíduo não identificado",IF(V502=0,"Resíduo fora do cadastro",IF(W502=0,"Quantidade inválida",IF(H502="","Unidade não informada",IF(NOT(ISNUMBER(I502)),"Unidade a conferir",IF(AND(AH502=1,K502&lt;&gt;"Sim"),"Possível duplicidade",IF(Z502=1,"MTR cancelado",IF(AC502&gt;0,"Recebimento com alerta",IF(AA502=0,"Aguardando recebimento",IF(AB502&lt;AA502,"Recebimento a conferir",IF(AM502=1,"Quantidade a revisar",IF(AF502&gt;0,"Vínculo a revisar",IF(AD502=0,"Aguardando CDF",IF(AN502=0,"Vínculo de CDF parcial",IF(AE502&lt;AD502,"CDF a conferir","Documentação conferida"))))))))))))))))))</f>
        <v/>
      </c>
      <c r="Q502" s="93" t="str">
        <f>IF(OR(R502=0,AA502=0),"",MAX(0,N(L502)-N(M502)))</f>
        <v/>
      </c>
      <c r="R502" s="96">
        <f>IF(COUNTA(B502:C502,G502:H502,J502:K502)&gt;0,1,0)</f>
        <v>0</v>
      </c>
      <c r="S502" s="96" t="str">
        <f>IF(B502="","",TRIM(LEFT(B502,FIND(" |",B502&amp;" |")-1)))</f>
        <v/>
      </c>
      <c r="T502" s="96" t="str">
        <f>IF(S502="","",IFERROR(MATCH(S502,'MTRs'!$A$6:$A$505,0),""))</f>
        <v/>
      </c>
      <c r="U502" s="96">
        <f>IF(T502="",0,IF(INDEX('MTRs'!$Z$6:$Z$505,T502)=1,1,0))</f>
        <v>0</v>
      </c>
      <c r="V502" s="96">
        <f>IF(C502="",0,IF(ISNUMBER(MATCH(C502,'CAD_RESÍDUOS'!$B$6:$B$205,0)),1,0))</f>
        <v>0</v>
      </c>
      <c r="W502" s="96">
        <f>IF(AND(ISNUMBER(G502),G502&gt;0),1,0)</f>
        <v>0</v>
      </c>
      <c r="X502" s="96" t="str">
        <f>IF(H502="","",IFERROR(IF(ISNUMBER(INDEX(cfg_fac,MATCH(H502,cfg_units,0))),IF(INDEX(cfg_fac,MATCH(H502,cfg_units,0))&gt;0,INDEX(cfg_fac,MATCH(H502,cfg_units,0)),""),""),""))</f>
        <v/>
      </c>
      <c r="Y502" s="96">
        <f>IF(AND(W502=1,ISNUMBER(I502)),1,0)</f>
        <v>0</v>
      </c>
      <c r="Z502" s="96">
        <f>IF(U502=1,INDEX('MTRs'!$AA$6:$AA$505,T502),0)</f>
        <v>0</v>
      </c>
      <c r="AA502" s="96">
        <f>IF(R502=0,0,COUNTIFS('RECEBIMENTOS'!$R$6:$R$1005,A502,'RECEBIMENTOS'!$Q$6:$Q$1005,1))</f>
        <v>0</v>
      </c>
      <c r="AB502" s="96">
        <f>IF(R502=0,0,COUNTIFS('RECEBIMENTOS'!$R$6:$R$1005,A502,'RECEBIMENTOS'!$Z$6:$Z$1005,1))</f>
        <v>0</v>
      </c>
      <c r="AC502" s="96">
        <f>IF(R502=0,0,COUNTIFS('RECEBIMENTOS'!$R$6:$R$1005,A502,'RECEBIMENTOS'!$Y$6:$Y$1005,1))</f>
        <v>0</v>
      </c>
      <c r="AD502" s="96">
        <f>IF(R502=0,0,COUNTIFS('VÍNCULOS_CDF'!$R$6:$R$1005,A502,'VÍNCULOS_CDF'!$N$6:$N$1005,1))</f>
        <v>0</v>
      </c>
      <c r="AE502" s="96">
        <f>IF(R502=0,0,COUNTIFS('VÍNCULOS_CDF'!$R$6:$R$1005,A502,'VÍNCULOS_CDF'!$AA$6:$AA$1005,1))</f>
        <v>0</v>
      </c>
      <c r="AF502" s="96">
        <f>IF(R502=0,0,COUNTIFS('VÍNCULOS_CDF'!$R$6:$R$1005,A502,'VÍNCULOS_CDF'!$Y$6:$Y$1005,1))</f>
        <v>0</v>
      </c>
      <c r="AG502" s="96" t="str">
        <f>IF(AND(R502=1,S502&lt;&gt;"",C502&lt;&gt;""),S502&amp;"|"&amp;C502&amp;"|"&amp;G502&amp;"|"&amp;H502,"")</f>
        <v/>
      </c>
      <c r="AH502" s="96">
        <f>IF(AG502="",0,IF(SUMPRODUCT(--($AG$6:$AG$1005=AG502))&gt;1,1,0))</f>
        <v>0</v>
      </c>
      <c r="AI502" s="96">
        <f>IF(R502=0,0,IF(OR(U502=0,V502=0,Y502=0,AND(AH502=1,K502&lt;&gt;"Sim")),1,0))</f>
        <v>0</v>
      </c>
      <c r="AJ502" s="96">
        <f>IF(AND(R502=1,AA502&gt;0,AB502=AA502),1,0)</f>
        <v>0</v>
      </c>
      <c r="AK502" s="96">
        <f>IF(R502=0,0,IF(AA502&gt;0,N(L502),IF(ISNUMBER(I502),I502,0)))</f>
        <v>0</v>
      </c>
      <c r="AL502" s="96">
        <f>IF(R502=0,0,IF(AND(K502&lt;&gt;"Sim",N(M502)&gt;AK502+cfg_tol),1,0))</f>
        <v>0</v>
      </c>
      <c r="AM502" s="96">
        <f>IF(R502=0,0,IF(K502="Sim",0,IF(OR(AND(AA502&gt;0,ISNUMBER(I502),ABS(I502-N(L502))&gt;cfg_tol),AL502=1),1,0)))</f>
        <v>0</v>
      </c>
      <c r="AN502" s="96">
        <f>IF(AND(R502=1,N(M502)&gt;0,OR(N(M502)&gt;=AK502-cfg_tol,K502="Sim")),1,0)</f>
        <v>0</v>
      </c>
      <c r="AO502" s="96">
        <f>IF(AND(AN502=1,AD502&gt;0,AE502=AD502,AL502=0),1,0)</f>
        <v>0</v>
      </c>
      <c r="AP502" s="96">
        <f>IF(U502=0,0,IF(AND(INDEX('MTRs'!$AX$6:$AX$505,T502)=1,Z502=0,OR(f_res="",f_res="(Todos)",C502=f_res)),1,0))</f>
        <v>0</v>
      </c>
      <c r="AQ502" s="97" t="str">
        <f>IF(U502=0,"",INDEX('MTRs'!$AZ$6:$AZ$505,T502))</f>
        <v/>
      </c>
      <c r="AR502" s="96">
        <f>IF(U502=0,0,IF(AND(INDEX('MTRs'!$BA$6:$BA$505,T502)=1,Z502=0),1,0))</f>
        <v>0</v>
      </c>
      <c r="AS502" s="96" t="str">
        <f>IF(R502=1,A502&amp;" | MTR "&amp;IF(U502=1,INDEX('MTRs'!$B$6:$B$505,T502)&amp;"","?")&amp;" | "&amp;IF(C502="","(sem resíduo)",C502),"")</f>
        <v/>
      </c>
      <c r="AT502" s="96" t="str">
        <f>IF(R502=1,COUNTIF($R$6:R502,1),"")</f>
        <v/>
      </c>
      <c r="AU502" s="96" t="str">
        <f>IF(U502=1,INDEX('MTRs'!$I$6:$I$505,T502)&amp;"","")</f>
        <v/>
      </c>
    </row>
    <row r="503">
      <c r="A503" s="89" t="inlineStr">
        <is>
          <t>IT-000498</t>
        </is>
      </c>
      <c r="B503" s="91" t="n"/>
      <c r="C503" s="91" t="n"/>
      <c r="D503" s="94" t="str">
        <f>IF(OR(R503=0,V503=0),"",INDEX('CAD_RESÍDUOS'!$E$6:$E$205,MATCH(C503,'CAD_RESÍDUOS'!$B$6:$B$205,0))&amp;"")</f>
        <v/>
      </c>
      <c r="E503" s="94" t="str">
        <f>IF(OR(R503=0,V503=0),"",INDEX('CAD_RESÍDUOS'!$C$6:$C$205,MATCH(C503,'CAD_RESÍDUOS'!$B$6:$B$205,0))&amp;"")</f>
        <v/>
      </c>
      <c r="F503" s="94" t="str">
        <f>IF(OR(R503=0,V503=0),"",INDEX('CAD_RESÍDUOS'!$G$6:$G$205,MATCH(C503,'CAD_RESÍDUOS'!$B$6:$B$205,0))&amp;"")</f>
        <v/>
      </c>
      <c r="G503" s="98" t="n"/>
      <c r="H503" s="91" t="n"/>
      <c r="I503" s="93" t="str">
        <f>IF(R503=0,"",IF(NOT(ISNUMBER(G503)),"",IF(ISNUMBER(X503),G503*X503,"UNIDADE A CONFERIR")))</f>
        <v/>
      </c>
      <c r="J503" s="91" t="n"/>
      <c r="K503" s="91" t="n"/>
      <c r="L503" s="93" t="str">
        <f>IF(R503=0,"",SUMIFS('RECEBIMENTOS'!$H$6:$H$1005,'RECEBIMENTOS'!$R$6:$R$1005,A503,'RECEBIMENTOS'!$X$6:$X$1005,1))</f>
        <v/>
      </c>
      <c r="M503" s="93" t="str">
        <f>IF(R503=0,"",SUMIFS('VÍNCULOS_CDF'!$H$6:$H$1005,'VÍNCULOS_CDF'!$R$6:$R$1005,A503,'VÍNCULOS_CDF'!$V$6:$V$1005,1))</f>
        <v/>
      </c>
      <c r="N503" s="99" t="str">
        <f>IF(OR(R503=0,AA503=0,NOT(ISNUMBER(I503))),"",I503-N(L503))</f>
        <v/>
      </c>
      <c r="O503" s="100" t="str">
        <f>IF(OR(R503=0,AK503&lt;=0),"",N(M503)/AK503)</f>
        <v/>
      </c>
      <c r="P503" s="94" t="str">
        <f>IF(R503=0,"",IF(S503="","Sem MTR associado",IF(U503=0,"MTR inexistente",IF(C503="","Resíduo não identificado",IF(V503=0,"Resíduo fora do cadastro",IF(W503=0,"Quantidade inválida",IF(H503="","Unidade não informada",IF(NOT(ISNUMBER(I503)),"Unidade a conferir",IF(AND(AH503=1,K503&lt;&gt;"Sim"),"Possível duplicidade",IF(Z503=1,"MTR cancelado",IF(AC503&gt;0,"Recebimento com alerta",IF(AA503=0,"Aguardando recebimento",IF(AB503&lt;AA503,"Recebimento a conferir",IF(AM503=1,"Quantidade a revisar",IF(AF503&gt;0,"Vínculo a revisar",IF(AD503=0,"Aguardando CDF",IF(AN503=0,"Vínculo de CDF parcial",IF(AE503&lt;AD503,"CDF a conferir","Documentação conferida"))))))))))))))))))</f>
        <v/>
      </c>
      <c r="Q503" s="93" t="str">
        <f>IF(OR(R503=0,AA503=0),"",MAX(0,N(L503)-N(M503)))</f>
        <v/>
      </c>
      <c r="R503" s="96">
        <f>IF(COUNTA(B503:C503,G503:H503,J503:K503)&gt;0,1,0)</f>
        <v>0</v>
      </c>
      <c r="S503" s="96" t="str">
        <f>IF(B503="","",TRIM(LEFT(B503,FIND(" |",B503&amp;" |")-1)))</f>
        <v/>
      </c>
      <c r="T503" s="96" t="str">
        <f>IF(S503="","",IFERROR(MATCH(S503,'MTRs'!$A$6:$A$505,0),""))</f>
        <v/>
      </c>
      <c r="U503" s="96">
        <f>IF(T503="",0,IF(INDEX('MTRs'!$Z$6:$Z$505,T503)=1,1,0))</f>
        <v>0</v>
      </c>
      <c r="V503" s="96">
        <f>IF(C503="",0,IF(ISNUMBER(MATCH(C503,'CAD_RESÍDUOS'!$B$6:$B$205,0)),1,0))</f>
        <v>0</v>
      </c>
      <c r="W503" s="96">
        <f>IF(AND(ISNUMBER(G503),G503&gt;0),1,0)</f>
        <v>0</v>
      </c>
      <c r="X503" s="96" t="str">
        <f>IF(H503="","",IFERROR(IF(ISNUMBER(INDEX(cfg_fac,MATCH(H503,cfg_units,0))),IF(INDEX(cfg_fac,MATCH(H503,cfg_units,0))&gt;0,INDEX(cfg_fac,MATCH(H503,cfg_units,0)),""),""),""))</f>
        <v/>
      </c>
      <c r="Y503" s="96">
        <f>IF(AND(W503=1,ISNUMBER(I503)),1,0)</f>
        <v>0</v>
      </c>
      <c r="Z503" s="96">
        <f>IF(U503=1,INDEX('MTRs'!$AA$6:$AA$505,T503),0)</f>
        <v>0</v>
      </c>
      <c r="AA503" s="96">
        <f>IF(R503=0,0,COUNTIFS('RECEBIMENTOS'!$R$6:$R$1005,A503,'RECEBIMENTOS'!$Q$6:$Q$1005,1))</f>
        <v>0</v>
      </c>
      <c r="AB503" s="96">
        <f>IF(R503=0,0,COUNTIFS('RECEBIMENTOS'!$R$6:$R$1005,A503,'RECEBIMENTOS'!$Z$6:$Z$1005,1))</f>
        <v>0</v>
      </c>
      <c r="AC503" s="96">
        <f>IF(R503=0,0,COUNTIFS('RECEBIMENTOS'!$R$6:$R$1005,A503,'RECEBIMENTOS'!$Y$6:$Y$1005,1))</f>
        <v>0</v>
      </c>
      <c r="AD503" s="96">
        <f>IF(R503=0,0,COUNTIFS('VÍNCULOS_CDF'!$R$6:$R$1005,A503,'VÍNCULOS_CDF'!$N$6:$N$1005,1))</f>
        <v>0</v>
      </c>
      <c r="AE503" s="96">
        <f>IF(R503=0,0,COUNTIFS('VÍNCULOS_CDF'!$R$6:$R$1005,A503,'VÍNCULOS_CDF'!$AA$6:$AA$1005,1))</f>
        <v>0</v>
      </c>
      <c r="AF503" s="96">
        <f>IF(R503=0,0,COUNTIFS('VÍNCULOS_CDF'!$R$6:$R$1005,A503,'VÍNCULOS_CDF'!$Y$6:$Y$1005,1))</f>
        <v>0</v>
      </c>
      <c r="AG503" s="96" t="str">
        <f>IF(AND(R503=1,S503&lt;&gt;"",C503&lt;&gt;""),S503&amp;"|"&amp;C503&amp;"|"&amp;G503&amp;"|"&amp;H503,"")</f>
        <v/>
      </c>
      <c r="AH503" s="96">
        <f>IF(AG503="",0,IF(SUMPRODUCT(--($AG$6:$AG$1005=AG503))&gt;1,1,0))</f>
        <v>0</v>
      </c>
      <c r="AI503" s="96">
        <f>IF(R503=0,0,IF(OR(U503=0,V503=0,Y503=0,AND(AH503=1,K503&lt;&gt;"Sim")),1,0))</f>
        <v>0</v>
      </c>
      <c r="AJ503" s="96">
        <f>IF(AND(R503=1,AA503&gt;0,AB503=AA503),1,0)</f>
        <v>0</v>
      </c>
      <c r="AK503" s="96">
        <f>IF(R503=0,0,IF(AA503&gt;0,N(L503),IF(ISNUMBER(I503),I503,0)))</f>
        <v>0</v>
      </c>
      <c r="AL503" s="96">
        <f>IF(R503=0,0,IF(AND(K503&lt;&gt;"Sim",N(M503)&gt;AK503+cfg_tol),1,0))</f>
        <v>0</v>
      </c>
      <c r="AM503" s="96">
        <f>IF(R503=0,0,IF(K503="Sim",0,IF(OR(AND(AA503&gt;0,ISNUMBER(I503),ABS(I503-N(L503))&gt;cfg_tol),AL503=1),1,0)))</f>
        <v>0</v>
      </c>
      <c r="AN503" s="96">
        <f>IF(AND(R503=1,N(M503)&gt;0,OR(N(M503)&gt;=AK503-cfg_tol,K503="Sim")),1,0)</f>
        <v>0</v>
      </c>
      <c r="AO503" s="96">
        <f>IF(AND(AN503=1,AD503&gt;0,AE503=AD503,AL503=0),1,0)</f>
        <v>0</v>
      </c>
      <c r="AP503" s="96">
        <f>IF(U503=0,0,IF(AND(INDEX('MTRs'!$AX$6:$AX$505,T503)=1,Z503=0,OR(f_res="",f_res="(Todos)",C503=f_res)),1,0))</f>
        <v>0</v>
      </c>
      <c r="AQ503" s="97" t="str">
        <f>IF(U503=0,"",INDEX('MTRs'!$AZ$6:$AZ$505,T503))</f>
        <v/>
      </c>
      <c r="AR503" s="96">
        <f>IF(U503=0,0,IF(AND(INDEX('MTRs'!$BA$6:$BA$505,T503)=1,Z503=0),1,0))</f>
        <v>0</v>
      </c>
      <c r="AS503" s="96" t="str">
        <f>IF(R503=1,A503&amp;" | MTR "&amp;IF(U503=1,INDEX('MTRs'!$B$6:$B$505,T503)&amp;"","?")&amp;" | "&amp;IF(C503="","(sem resíduo)",C503),"")</f>
        <v/>
      </c>
      <c r="AT503" s="96" t="str">
        <f>IF(R503=1,COUNTIF($R$6:R503,1),"")</f>
        <v/>
      </c>
      <c r="AU503" s="96" t="str">
        <f>IF(U503=1,INDEX('MTRs'!$I$6:$I$505,T503)&amp;"","")</f>
        <v/>
      </c>
    </row>
    <row r="504">
      <c r="A504" s="89" t="inlineStr">
        <is>
          <t>IT-000499</t>
        </is>
      </c>
      <c r="B504" s="91" t="n"/>
      <c r="C504" s="91" t="n"/>
      <c r="D504" s="94" t="str">
        <f>IF(OR(R504=0,V504=0),"",INDEX('CAD_RESÍDUOS'!$E$6:$E$205,MATCH(C504,'CAD_RESÍDUOS'!$B$6:$B$205,0))&amp;"")</f>
        <v/>
      </c>
      <c r="E504" s="94" t="str">
        <f>IF(OR(R504=0,V504=0),"",INDEX('CAD_RESÍDUOS'!$C$6:$C$205,MATCH(C504,'CAD_RESÍDUOS'!$B$6:$B$205,0))&amp;"")</f>
        <v/>
      </c>
      <c r="F504" s="94" t="str">
        <f>IF(OR(R504=0,V504=0),"",INDEX('CAD_RESÍDUOS'!$G$6:$G$205,MATCH(C504,'CAD_RESÍDUOS'!$B$6:$B$205,0))&amp;"")</f>
        <v/>
      </c>
      <c r="G504" s="98" t="n"/>
      <c r="H504" s="91" t="n"/>
      <c r="I504" s="93" t="str">
        <f>IF(R504=0,"",IF(NOT(ISNUMBER(G504)),"",IF(ISNUMBER(X504),G504*X504,"UNIDADE A CONFERIR")))</f>
        <v/>
      </c>
      <c r="J504" s="91" t="n"/>
      <c r="K504" s="91" t="n"/>
      <c r="L504" s="93" t="str">
        <f>IF(R504=0,"",SUMIFS('RECEBIMENTOS'!$H$6:$H$1005,'RECEBIMENTOS'!$R$6:$R$1005,A504,'RECEBIMENTOS'!$X$6:$X$1005,1))</f>
        <v/>
      </c>
      <c r="M504" s="93" t="str">
        <f>IF(R504=0,"",SUMIFS('VÍNCULOS_CDF'!$H$6:$H$1005,'VÍNCULOS_CDF'!$R$6:$R$1005,A504,'VÍNCULOS_CDF'!$V$6:$V$1005,1))</f>
        <v/>
      </c>
      <c r="N504" s="99" t="str">
        <f>IF(OR(R504=0,AA504=0,NOT(ISNUMBER(I504))),"",I504-N(L504))</f>
        <v/>
      </c>
      <c r="O504" s="100" t="str">
        <f>IF(OR(R504=0,AK504&lt;=0),"",N(M504)/AK504)</f>
        <v/>
      </c>
      <c r="P504" s="94" t="str">
        <f>IF(R504=0,"",IF(S504="","Sem MTR associado",IF(U504=0,"MTR inexistente",IF(C504="","Resíduo não identificado",IF(V504=0,"Resíduo fora do cadastro",IF(W504=0,"Quantidade inválida",IF(H504="","Unidade não informada",IF(NOT(ISNUMBER(I504)),"Unidade a conferir",IF(AND(AH504=1,K504&lt;&gt;"Sim"),"Possível duplicidade",IF(Z504=1,"MTR cancelado",IF(AC504&gt;0,"Recebimento com alerta",IF(AA504=0,"Aguardando recebimento",IF(AB504&lt;AA504,"Recebimento a conferir",IF(AM504=1,"Quantidade a revisar",IF(AF504&gt;0,"Vínculo a revisar",IF(AD504=0,"Aguardando CDF",IF(AN504=0,"Vínculo de CDF parcial",IF(AE504&lt;AD504,"CDF a conferir","Documentação conferida"))))))))))))))))))</f>
        <v/>
      </c>
      <c r="Q504" s="93" t="str">
        <f>IF(OR(R504=0,AA504=0),"",MAX(0,N(L504)-N(M504)))</f>
        <v/>
      </c>
      <c r="R504" s="96">
        <f>IF(COUNTA(B504:C504,G504:H504,J504:K504)&gt;0,1,0)</f>
        <v>0</v>
      </c>
      <c r="S504" s="96" t="str">
        <f>IF(B504="","",TRIM(LEFT(B504,FIND(" |",B504&amp;" |")-1)))</f>
        <v/>
      </c>
      <c r="T504" s="96" t="str">
        <f>IF(S504="","",IFERROR(MATCH(S504,'MTRs'!$A$6:$A$505,0),""))</f>
        <v/>
      </c>
      <c r="U504" s="96">
        <f>IF(T504="",0,IF(INDEX('MTRs'!$Z$6:$Z$505,T504)=1,1,0))</f>
        <v>0</v>
      </c>
      <c r="V504" s="96">
        <f>IF(C504="",0,IF(ISNUMBER(MATCH(C504,'CAD_RESÍDUOS'!$B$6:$B$205,0)),1,0))</f>
        <v>0</v>
      </c>
      <c r="W504" s="96">
        <f>IF(AND(ISNUMBER(G504),G504&gt;0),1,0)</f>
        <v>0</v>
      </c>
      <c r="X504" s="96" t="str">
        <f>IF(H504="","",IFERROR(IF(ISNUMBER(INDEX(cfg_fac,MATCH(H504,cfg_units,0))),IF(INDEX(cfg_fac,MATCH(H504,cfg_units,0))&gt;0,INDEX(cfg_fac,MATCH(H504,cfg_units,0)),""),""),""))</f>
        <v/>
      </c>
      <c r="Y504" s="96">
        <f>IF(AND(W504=1,ISNUMBER(I504)),1,0)</f>
        <v>0</v>
      </c>
      <c r="Z504" s="96">
        <f>IF(U504=1,INDEX('MTRs'!$AA$6:$AA$505,T504),0)</f>
        <v>0</v>
      </c>
      <c r="AA504" s="96">
        <f>IF(R504=0,0,COUNTIFS('RECEBIMENTOS'!$R$6:$R$1005,A504,'RECEBIMENTOS'!$Q$6:$Q$1005,1))</f>
        <v>0</v>
      </c>
      <c r="AB504" s="96">
        <f>IF(R504=0,0,COUNTIFS('RECEBIMENTOS'!$R$6:$R$1005,A504,'RECEBIMENTOS'!$Z$6:$Z$1005,1))</f>
        <v>0</v>
      </c>
      <c r="AC504" s="96">
        <f>IF(R504=0,0,COUNTIFS('RECEBIMENTOS'!$R$6:$R$1005,A504,'RECEBIMENTOS'!$Y$6:$Y$1005,1))</f>
        <v>0</v>
      </c>
      <c r="AD504" s="96">
        <f>IF(R504=0,0,COUNTIFS('VÍNCULOS_CDF'!$R$6:$R$1005,A504,'VÍNCULOS_CDF'!$N$6:$N$1005,1))</f>
        <v>0</v>
      </c>
      <c r="AE504" s="96">
        <f>IF(R504=0,0,COUNTIFS('VÍNCULOS_CDF'!$R$6:$R$1005,A504,'VÍNCULOS_CDF'!$AA$6:$AA$1005,1))</f>
        <v>0</v>
      </c>
      <c r="AF504" s="96">
        <f>IF(R504=0,0,COUNTIFS('VÍNCULOS_CDF'!$R$6:$R$1005,A504,'VÍNCULOS_CDF'!$Y$6:$Y$1005,1))</f>
        <v>0</v>
      </c>
      <c r="AG504" s="96" t="str">
        <f>IF(AND(R504=1,S504&lt;&gt;"",C504&lt;&gt;""),S504&amp;"|"&amp;C504&amp;"|"&amp;G504&amp;"|"&amp;H504,"")</f>
        <v/>
      </c>
      <c r="AH504" s="96">
        <f>IF(AG504="",0,IF(SUMPRODUCT(--($AG$6:$AG$1005=AG504))&gt;1,1,0))</f>
        <v>0</v>
      </c>
      <c r="AI504" s="96">
        <f>IF(R504=0,0,IF(OR(U504=0,V504=0,Y504=0,AND(AH504=1,K504&lt;&gt;"Sim")),1,0))</f>
        <v>0</v>
      </c>
      <c r="AJ504" s="96">
        <f>IF(AND(R504=1,AA504&gt;0,AB504=AA504),1,0)</f>
        <v>0</v>
      </c>
      <c r="AK504" s="96">
        <f>IF(R504=0,0,IF(AA504&gt;0,N(L504),IF(ISNUMBER(I504),I504,0)))</f>
        <v>0</v>
      </c>
      <c r="AL504" s="96">
        <f>IF(R504=0,0,IF(AND(K504&lt;&gt;"Sim",N(M504)&gt;AK504+cfg_tol),1,0))</f>
        <v>0</v>
      </c>
      <c r="AM504" s="96">
        <f>IF(R504=0,0,IF(K504="Sim",0,IF(OR(AND(AA504&gt;0,ISNUMBER(I504),ABS(I504-N(L504))&gt;cfg_tol),AL504=1),1,0)))</f>
        <v>0</v>
      </c>
      <c r="AN504" s="96">
        <f>IF(AND(R504=1,N(M504)&gt;0,OR(N(M504)&gt;=AK504-cfg_tol,K504="Sim")),1,0)</f>
        <v>0</v>
      </c>
      <c r="AO504" s="96">
        <f>IF(AND(AN504=1,AD504&gt;0,AE504=AD504,AL504=0),1,0)</f>
        <v>0</v>
      </c>
      <c r="AP504" s="96">
        <f>IF(U504=0,0,IF(AND(INDEX('MTRs'!$AX$6:$AX$505,T504)=1,Z504=0,OR(f_res="",f_res="(Todos)",C504=f_res)),1,0))</f>
        <v>0</v>
      </c>
      <c r="AQ504" s="97" t="str">
        <f>IF(U504=0,"",INDEX('MTRs'!$AZ$6:$AZ$505,T504))</f>
        <v/>
      </c>
      <c r="AR504" s="96">
        <f>IF(U504=0,0,IF(AND(INDEX('MTRs'!$BA$6:$BA$505,T504)=1,Z504=0),1,0))</f>
        <v>0</v>
      </c>
      <c r="AS504" s="96" t="str">
        <f>IF(R504=1,A504&amp;" | MTR "&amp;IF(U504=1,INDEX('MTRs'!$B$6:$B$505,T504)&amp;"","?")&amp;" | "&amp;IF(C504="","(sem resíduo)",C504),"")</f>
        <v/>
      </c>
      <c r="AT504" s="96" t="str">
        <f>IF(R504=1,COUNTIF($R$6:R504,1),"")</f>
        <v/>
      </c>
      <c r="AU504" s="96" t="str">
        <f>IF(U504=1,INDEX('MTRs'!$I$6:$I$505,T504)&amp;"","")</f>
        <v/>
      </c>
    </row>
    <row r="505">
      <c r="A505" s="89" t="inlineStr">
        <is>
          <t>IT-000500</t>
        </is>
      </c>
      <c r="B505" s="91" t="n"/>
      <c r="C505" s="91" t="n"/>
      <c r="D505" s="94" t="str">
        <f>IF(OR(R505=0,V505=0),"",INDEX('CAD_RESÍDUOS'!$E$6:$E$205,MATCH(C505,'CAD_RESÍDUOS'!$B$6:$B$205,0))&amp;"")</f>
        <v/>
      </c>
      <c r="E505" s="94" t="str">
        <f>IF(OR(R505=0,V505=0),"",INDEX('CAD_RESÍDUOS'!$C$6:$C$205,MATCH(C505,'CAD_RESÍDUOS'!$B$6:$B$205,0))&amp;"")</f>
        <v/>
      </c>
      <c r="F505" s="94" t="str">
        <f>IF(OR(R505=0,V505=0),"",INDEX('CAD_RESÍDUOS'!$G$6:$G$205,MATCH(C505,'CAD_RESÍDUOS'!$B$6:$B$205,0))&amp;"")</f>
        <v/>
      </c>
      <c r="G505" s="98" t="n"/>
      <c r="H505" s="91" t="n"/>
      <c r="I505" s="93" t="str">
        <f>IF(R505=0,"",IF(NOT(ISNUMBER(G505)),"",IF(ISNUMBER(X505),G505*X505,"UNIDADE A CONFERIR")))</f>
        <v/>
      </c>
      <c r="J505" s="91" t="n"/>
      <c r="K505" s="91" t="n"/>
      <c r="L505" s="93" t="str">
        <f>IF(R505=0,"",SUMIFS('RECEBIMENTOS'!$H$6:$H$1005,'RECEBIMENTOS'!$R$6:$R$1005,A505,'RECEBIMENTOS'!$X$6:$X$1005,1))</f>
        <v/>
      </c>
      <c r="M505" s="93" t="str">
        <f>IF(R505=0,"",SUMIFS('VÍNCULOS_CDF'!$H$6:$H$1005,'VÍNCULOS_CDF'!$R$6:$R$1005,A505,'VÍNCULOS_CDF'!$V$6:$V$1005,1))</f>
        <v/>
      </c>
      <c r="N505" s="99" t="str">
        <f>IF(OR(R505=0,AA505=0,NOT(ISNUMBER(I505))),"",I505-N(L505))</f>
        <v/>
      </c>
      <c r="O505" s="100" t="str">
        <f>IF(OR(R505=0,AK505&lt;=0),"",N(M505)/AK505)</f>
        <v/>
      </c>
      <c r="P505" s="94" t="str">
        <f>IF(R505=0,"",IF(S505="","Sem MTR associado",IF(U505=0,"MTR inexistente",IF(C505="","Resíduo não identificado",IF(V505=0,"Resíduo fora do cadastro",IF(W505=0,"Quantidade inválida",IF(H505="","Unidade não informada",IF(NOT(ISNUMBER(I505)),"Unidade a conferir",IF(AND(AH505=1,K505&lt;&gt;"Sim"),"Possível duplicidade",IF(Z505=1,"MTR cancelado",IF(AC505&gt;0,"Recebimento com alerta",IF(AA505=0,"Aguardando recebimento",IF(AB505&lt;AA505,"Recebimento a conferir",IF(AM505=1,"Quantidade a revisar",IF(AF505&gt;0,"Vínculo a revisar",IF(AD505=0,"Aguardando CDF",IF(AN505=0,"Vínculo de CDF parcial",IF(AE505&lt;AD505,"CDF a conferir","Documentação conferida"))))))))))))))))))</f>
        <v/>
      </c>
      <c r="Q505" s="93" t="str">
        <f>IF(OR(R505=0,AA505=0),"",MAX(0,N(L505)-N(M505)))</f>
        <v/>
      </c>
      <c r="R505" s="96">
        <f>IF(COUNTA(B505:C505,G505:H505,J505:K505)&gt;0,1,0)</f>
        <v>0</v>
      </c>
      <c r="S505" s="96" t="str">
        <f>IF(B505="","",TRIM(LEFT(B505,FIND(" |",B505&amp;" |")-1)))</f>
        <v/>
      </c>
      <c r="T505" s="96" t="str">
        <f>IF(S505="","",IFERROR(MATCH(S505,'MTRs'!$A$6:$A$505,0),""))</f>
        <v/>
      </c>
      <c r="U505" s="96">
        <f>IF(T505="",0,IF(INDEX('MTRs'!$Z$6:$Z$505,T505)=1,1,0))</f>
        <v>0</v>
      </c>
      <c r="V505" s="96">
        <f>IF(C505="",0,IF(ISNUMBER(MATCH(C505,'CAD_RESÍDUOS'!$B$6:$B$205,0)),1,0))</f>
        <v>0</v>
      </c>
      <c r="W505" s="96">
        <f>IF(AND(ISNUMBER(G505),G505&gt;0),1,0)</f>
        <v>0</v>
      </c>
      <c r="X505" s="96" t="str">
        <f>IF(H505="","",IFERROR(IF(ISNUMBER(INDEX(cfg_fac,MATCH(H505,cfg_units,0))),IF(INDEX(cfg_fac,MATCH(H505,cfg_units,0))&gt;0,INDEX(cfg_fac,MATCH(H505,cfg_units,0)),""),""),""))</f>
        <v/>
      </c>
      <c r="Y505" s="96">
        <f>IF(AND(W505=1,ISNUMBER(I505)),1,0)</f>
        <v>0</v>
      </c>
      <c r="Z505" s="96">
        <f>IF(U505=1,INDEX('MTRs'!$AA$6:$AA$505,T505),0)</f>
        <v>0</v>
      </c>
      <c r="AA505" s="96">
        <f>IF(R505=0,0,COUNTIFS('RECEBIMENTOS'!$R$6:$R$1005,A505,'RECEBIMENTOS'!$Q$6:$Q$1005,1))</f>
        <v>0</v>
      </c>
      <c r="AB505" s="96">
        <f>IF(R505=0,0,COUNTIFS('RECEBIMENTOS'!$R$6:$R$1005,A505,'RECEBIMENTOS'!$Z$6:$Z$1005,1))</f>
        <v>0</v>
      </c>
      <c r="AC505" s="96">
        <f>IF(R505=0,0,COUNTIFS('RECEBIMENTOS'!$R$6:$R$1005,A505,'RECEBIMENTOS'!$Y$6:$Y$1005,1))</f>
        <v>0</v>
      </c>
      <c r="AD505" s="96">
        <f>IF(R505=0,0,COUNTIFS('VÍNCULOS_CDF'!$R$6:$R$1005,A505,'VÍNCULOS_CDF'!$N$6:$N$1005,1))</f>
        <v>0</v>
      </c>
      <c r="AE505" s="96">
        <f>IF(R505=0,0,COUNTIFS('VÍNCULOS_CDF'!$R$6:$R$1005,A505,'VÍNCULOS_CDF'!$AA$6:$AA$1005,1))</f>
        <v>0</v>
      </c>
      <c r="AF505" s="96">
        <f>IF(R505=0,0,COUNTIFS('VÍNCULOS_CDF'!$R$6:$R$1005,A505,'VÍNCULOS_CDF'!$Y$6:$Y$1005,1))</f>
        <v>0</v>
      </c>
      <c r="AG505" s="96" t="str">
        <f>IF(AND(R505=1,S505&lt;&gt;"",C505&lt;&gt;""),S505&amp;"|"&amp;C505&amp;"|"&amp;G505&amp;"|"&amp;H505,"")</f>
        <v/>
      </c>
      <c r="AH505" s="96">
        <f>IF(AG505="",0,IF(SUMPRODUCT(--($AG$6:$AG$1005=AG505))&gt;1,1,0))</f>
        <v>0</v>
      </c>
      <c r="AI505" s="96">
        <f>IF(R505=0,0,IF(OR(U505=0,V505=0,Y505=0,AND(AH505=1,K505&lt;&gt;"Sim")),1,0))</f>
        <v>0</v>
      </c>
      <c r="AJ505" s="96">
        <f>IF(AND(R505=1,AA505&gt;0,AB505=AA505),1,0)</f>
        <v>0</v>
      </c>
      <c r="AK505" s="96">
        <f>IF(R505=0,0,IF(AA505&gt;0,N(L505),IF(ISNUMBER(I505),I505,0)))</f>
        <v>0</v>
      </c>
      <c r="AL505" s="96">
        <f>IF(R505=0,0,IF(AND(K505&lt;&gt;"Sim",N(M505)&gt;AK505+cfg_tol),1,0))</f>
        <v>0</v>
      </c>
      <c r="AM505" s="96">
        <f>IF(R505=0,0,IF(K505="Sim",0,IF(OR(AND(AA505&gt;0,ISNUMBER(I505),ABS(I505-N(L505))&gt;cfg_tol),AL505=1),1,0)))</f>
        <v>0</v>
      </c>
      <c r="AN505" s="96">
        <f>IF(AND(R505=1,N(M505)&gt;0,OR(N(M505)&gt;=AK505-cfg_tol,K505="Sim")),1,0)</f>
        <v>0</v>
      </c>
      <c r="AO505" s="96">
        <f>IF(AND(AN505=1,AD505&gt;0,AE505=AD505,AL505=0),1,0)</f>
        <v>0</v>
      </c>
      <c r="AP505" s="96">
        <f>IF(U505=0,0,IF(AND(INDEX('MTRs'!$AX$6:$AX$505,T505)=1,Z505=0,OR(f_res="",f_res="(Todos)",C505=f_res)),1,0))</f>
        <v>0</v>
      </c>
      <c r="AQ505" s="97" t="str">
        <f>IF(U505=0,"",INDEX('MTRs'!$AZ$6:$AZ$505,T505))</f>
        <v/>
      </c>
      <c r="AR505" s="96">
        <f>IF(U505=0,0,IF(AND(INDEX('MTRs'!$BA$6:$BA$505,T505)=1,Z505=0),1,0))</f>
        <v>0</v>
      </c>
      <c r="AS505" s="96" t="str">
        <f>IF(R505=1,A505&amp;" | MTR "&amp;IF(U505=1,INDEX('MTRs'!$B$6:$B$505,T505)&amp;"","?")&amp;" | "&amp;IF(C505="","(sem resíduo)",C505),"")</f>
        <v/>
      </c>
      <c r="AT505" s="96" t="str">
        <f>IF(R505=1,COUNTIF($R$6:R505,1),"")</f>
        <v/>
      </c>
      <c r="AU505" s="96" t="str">
        <f>IF(U505=1,INDEX('MTRs'!$I$6:$I$505,T505)&amp;"","")</f>
        <v/>
      </c>
    </row>
    <row r="506">
      <c r="A506" s="89" t="inlineStr">
        <is>
          <t>IT-000501</t>
        </is>
      </c>
      <c r="B506" s="91" t="n"/>
      <c r="C506" s="91" t="n"/>
      <c r="D506" s="94" t="str">
        <f>IF(OR(R506=0,V506=0),"",INDEX('CAD_RESÍDUOS'!$E$6:$E$205,MATCH(C506,'CAD_RESÍDUOS'!$B$6:$B$205,0))&amp;"")</f>
        <v/>
      </c>
      <c r="E506" s="94" t="str">
        <f>IF(OR(R506=0,V506=0),"",INDEX('CAD_RESÍDUOS'!$C$6:$C$205,MATCH(C506,'CAD_RESÍDUOS'!$B$6:$B$205,0))&amp;"")</f>
        <v/>
      </c>
      <c r="F506" s="94" t="str">
        <f>IF(OR(R506=0,V506=0),"",INDEX('CAD_RESÍDUOS'!$G$6:$G$205,MATCH(C506,'CAD_RESÍDUOS'!$B$6:$B$205,0))&amp;"")</f>
        <v/>
      </c>
      <c r="G506" s="98" t="n"/>
      <c r="H506" s="91" t="n"/>
      <c r="I506" s="93" t="str">
        <f>IF(R506=0,"",IF(NOT(ISNUMBER(G506)),"",IF(ISNUMBER(X506),G506*X506,"UNIDADE A CONFERIR")))</f>
        <v/>
      </c>
      <c r="J506" s="91" t="n"/>
      <c r="K506" s="91" t="n"/>
      <c r="L506" s="93" t="str">
        <f>IF(R506=0,"",SUMIFS('RECEBIMENTOS'!$H$6:$H$1005,'RECEBIMENTOS'!$R$6:$R$1005,A506,'RECEBIMENTOS'!$X$6:$X$1005,1))</f>
        <v/>
      </c>
      <c r="M506" s="93" t="str">
        <f>IF(R506=0,"",SUMIFS('VÍNCULOS_CDF'!$H$6:$H$1005,'VÍNCULOS_CDF'!$R$6:$R$1005,A506,'VÍNCULOS_CDF'!$V$6:$V$1005,1))</f>
        <v/>
      </c>
      <c r="N506" s="99" t="str">
        <f>IF(OR(R506=0,AA506=0,NOT(ISNUMBER(I506))),"",I506-N(L506))</f>
        <v/>
      </c>
      <c r="O506" s="100" t="str">
        <f>IF(OR(R506=0,AK506&lt;=0),"",N(M506)/AK506)</f>
        <v/>
      </c>
      <c r="P506" s="94" t="str">
        <f>IF(R506=0,"",IF(S506="","Sem MTR associado",IF(U506=0,"MTR inexistente",IF(C506="","Resíduo não identificado",IF(V506=0,"Resíduo fora do cadastro",IF(W506=0,"Quantidade inválida",IF(H506="","Unidade não informada",IF(NOT(ISNUMBER(I506)),"Unidade a conferir",IF(AND(AH506=1,K506&lt;&gt;"Sim"),"Possível duplicidade",IF(Z506=1,"MTR cancelado",IF(AC506&gt;0,"Recebimento com alerta",IF(AA506=0,"Aguardando recebimento",IF(AB506&lt;AA506,"Recebimento a conferir",IF(AM506=1,"Quantidade a revisar",IF(AF506&gt;0,"Vínculo a revisar",IF(AD506=0,"Aguardando CDF",IF(AN506=0,"Vínculo de CDF parcial",IF(AE506&lt;AD506,"CDF a conferir","Documentação conferida"))))))))))))))))))</f>
        <v/>
      </c>
      <c r="Q506" s="93" t="str">
        <f>IF(OR(R506=0,AA506=0),"",MAX(0,N(L506)-N(M506)))</f>
        <v/>
      </c>
      <c r="R506" s="96">
        <f>IF(COUNTA(B506:C506,G506:H506,J506:K506)&gt;0,1,0)</f>
        <v>0</v>
      </c>
      <c r="S506" s="96" t="str">
        <f>IF(B506="","",TRIM(LEFT(B506,FIND(" |",B506&amp;" |")-1)))</f>
        <v/>
      </c>
      <c r="T506" s="96" t="str">
        <f>IF(S506="","",IFERROR(MATCH(S506,'MTRs'!$A$6:$A$505,0),""))</f>
        <v/>
      </c>
      <c r="U506" s="96">
        <f>IF(T506="",0,IF(INDEX('MTRs'!$Z$6:$Z$505,T506)=1,1,0))</f>
        <v>0</v>
      </c>
      <c r="V506" s="96">
        <f>IF(C506="",0,IF(ISNUMBER(MATCH(C506,'CAD_RESÍDUOS'!$B$6:$B$205,0)),1,0))</f>
        <v>0</v>
      </c>
      <c r="W506" s="96">
        <f>IF(AND(ISNUMBER(G506),G506&gt;0),1,0)</f>
        <v>0</v>
      </c>
      <c r="X506" s="96" t="str">
        <f>IF(H506="","",IFERROR(IF(ISNUMBER(INDEX(cfg_fac,MATCH(H506,cfg_units,0))),IF(INDEX(cfg_fac,MATCH(H506,cfg_units,0))&gt;0,INDEX(cfg_fac,MATCH(H506,cfg_units,0)),""),""),""))</f>
        <v/>
      </c>
      <c r="Y506" s="96">
        <f>IF(AND(W506=1,ISNUMBER(I506)),1,0)</f>
        <v>0</v>
      </c>
      <c r="Z506" s="96">
        <f>IF(U506=1,INDEX('MTRs'!$AA$6:$AA$505,T506),0)</f>
        <v>0</v>
      </c>
      <c r="AA506" s="96">
        <f>IF(R506=0,0,COUNTIFS('RECEBIMENTOS'!$R$6:$R$1005,A506,'RECEBIMENTOS'!$Q$6:$Q$1005,1))</f>
        <v>0</v>
      </c>
      <c r="AB506" s="96">
        <f>IF(R506=0,0,COUNTIFS('RECEBIMENTOS'!$R$6:$R$1005,A506,'RECEBIMENTOS'!$Z$6:$Z$1005,1))</f>
        <v>0</v>
      </c>
      <c r="AC506" s="96">
        <f>IF(R506=0,0,COUNTIFS('RECEBIMENTOS'!$R$6:$R$1005,A506,'RECEBIMENTOS'!$Y$6:$Y$1005,1))</f>
        <v>0</v>
      </c>
      <c r="AD506" s="96">
        <f>IF(R506=0,0,COUNTIFS('VÍNCULOS_CDF'!$R$6:$R$1005,A506,'VÍNCULOS_CDF'!$N$6:$N$1005,1))</f>
        <v>0</v>
      </c>
      <c r="AE506" s="96">
        <f>IF(R506=0,0,COUNTIFS('VÍNCULOS_CDF'!$R$6:$R$1005,A506,'VÍNCULOS_CDF'!$AA$6:$AA$1005,1))</f>
        <v>0</v>
      </c>
      <c r="AF506" s="96">
        <f>IF(R506=0,0,COUNTIFS('VÍNCULOS_CDF'!$R$6:$R$1005,A506,'VÍNCULOS_CDF'!$Y$6:$Y$1005,1))</f>
        <v>0</v>
      </c>
      <c r="AG506" s="96" t="str">
        <f>IF(AND(R506=1,S506&lt;&gt;"",C506&lt;&gt;""),S506&amp;"|"&amp;C506&amp;"|"&amp;G506&amp;"|"&amp;H506,"")</f>
        <v/>
      </c>
      <c r="AH506" s="96">
        <f>IF(AG506="",0,IF(SUMPRODUCT(--($AG$6:$AG$1005=AG506))&gt;1,1,0))</f>
        <v>0</v>
      </c>
      <c r="AI506" s="96">
        <f>IF(R506=0,0,IF(OR(U506=0,V506=0,Y506=0,AND(AH506=1,K506&lt;&gt;"Sim")),1,0))</f>
        <v>0</v>
      </c>
      <c r="AJ506" s="96">
        <f>IF(AND(R506=1,AA506&gt;0,AB506=AA506),1,0)</f>
        <v>0</v>
      </c>
      <c r="AK506" s="96">
        <f>IF(R506=0,0,IF(AA506&gt;0,N(L506),IF(ISNUMBER(I506),I506,0)))</f>
        <v>0</v>
      </c>
      <c r="AL506" s="96">
        <f>IF(R506=0,0,IF(AND(K506&lt;&gt;"Sim",N(M506)&gt;AK506+cfg_tol),1,0))</f>
        <v>0</v>
      </c>
      <c r="AM506" s="96">
        <f>IF(R506=0,0,IF(K506="Sim",0,IF(OR(AND(AA506&gt;0,ISNUMBER(I506),ABS(I506-N(L506))&gt;cfg_tol),AL506=1),1,0)))</f>
        <v>0</v>
      </c>
      <c r="AN506" s="96">
        <f>IF(AND(R506=1,N(M506)&gt;0,OR(N(M506)&gt;=AK506-cfg_tol,K506="Sim")),1,0)</f>
        <v>0</v>
      </c>
      <c r="AO506" s="96">
        <f>IF(AND(AN506=1,AD506&gt;0,AE506=AD506,AL506=0),1,0)</f>
        <v>0</v>
      </c>
      <c r="AP506" s="96">
        <f>IF(U506=0,0,IF(AND(INDEX('MTRs'!$AX$6:$AX$505,T506)=1,Z506=0,OR(f_res="",f_res="(Todos)",C506=f_res)),1,0))</f>
        <v>0</v>
      </c>
      <c r="AQ506" s="97" t="str">
        <f>IF(U506=0,"",INDEX('MTRs'!$AZ$6:$AZ$505,T506))</f>
        <v/>
      </c>
      <c r="AR506" s="96">
        <f>IF(U506=0,0,IF(AND(INDEX('MTRs'!$BA$6:$BA$505,T506)=1,Z506=0),1,0))</f>
        <v>0</v>
      </c>
      <c r="AS506" s="96" t="str">
        <f>IF(R506=1,A506&amp;" | MTR "&amp;IF(U506=1,INDEX('MTRs'!$B$6:$B$505,T506)&amp;"","?")&amp;" | "&amp;IF(C506="","(sem resíduo)",C506),"")</f>
        <v/>
      </c>
      <c r="AT506" s="96" t="str">
        <f>IF(R506=1,COUNTIF($R$6:R506,1),"")</f>
        <v/>
      </c>
      <c r="AU506" s="96" t="str">
        <f>IF(U506=1,INDEX('MTRs'!$I$6:$I$505,T506)&amp;"","")</f>
        <v/>
      </c>
    </row>
    <row r="507">
      <c r="A507" s="89" t="inlineStr">
        <is>
          <t>IT-000502</t>
        </is>
      </c>
      <c r="B507" s="91" t="n"/>
      <c r="C507" s="91" t="n"/>
      <c r="D507" s="94" t="str">
        <f>IF(OR(R507=0,V507=0),"",INDEX('CAD_RESÍDUOS'!$E$6:$E$205,MATCH(C507,'CAD_RESÍDUOS'!$B$6:$B$205,0))&amp;"")</f>
        <v/>
      </c>
      <c r="E507" s="94" t="str">
        <f>IF(OR(R507=0,V507=0),"",INDEX('CAD_RESÍDUOS'!$C$6:$C$205,MATCH(C507,'CAD_RESÍDUOS'!$B$6:$B$205,0))&amp;"")</f>
        <v/>
      </c>
      <c r="F507" s="94" t="str">
        <f>IF(OR(R507=0,V507=0),"",INDEX('CAD_RESÍDUOS'!$G$6:$G$205,MATCH(C507,'CAD_RESÍDUOS'!$B$6:$B$205,0))&amp;"")</f>
        <v/>
      </c>
      <c r="G507" s="98" t="n"/>
      <c r="H507" s="91" t="n"/>
      <c r="I507" s="93" t="str">
        <f>IF(R507=0,"",IF(NOT(ISNUMBER(G507)),"",IF(ISNUMBER(X507),G507*X507,"UNIDADE A CONFERIR")))</f>
        <v/>
      </c>
      <c r="J507" s="91" t="n"/>
      <c r="K507" s="91" t="n"/>
      <c r="L507" s="93" t="str">
        <f>IF(R507=0,"",SUMIFS('RECEBIMENTOS'!$H$6:$H$1005,'RECEBIMENTOS'!$R$6:$R$1005,A507,'RECEBIMENTOS'!$X$6:$X$1005,1))</f>
        <v/>
      </c>
      <c r="M507" s="93" t="str">
        <f>IF(R507=0,"",SUMIFS('VÍNCULOS_CDF'!$H$6:$H$1005,'VÍNCULOS_CDF'!$R$6:$R$1005,A507,'VÍNCULOS_CDF'!$V$6:$V$1005,1))</f>
        <v/>
      </c>
      <c r="N507" s="99" t="str">
        <f>IF(OR(R507=0,AA507=0,NOT(ISNUMBER(I507))),"",I507-N(L507))</f>
        <v/>
      </c>
      <c r="O507" s="100" t="str">
        <f>IF(OR(R507=0,AK507&lt;=0),"",N(M507)/AK507)</f>
        <v/>
      </c>
      <c r="P507" s="94" t="str">
        <f>IF(R507=0,"",IF(S507="","Sem MTR associado",IF(U507=0,"MTR inexistente",IF(C507="","Resíduo não identificado",IF(V507=0,"Resíduo fora do cadastro",IF(W507=0,"Quantidade inválida",IF(H507="","Unidade não informada",IF(NOT(ISNUMBER(I507)),"Unidade a conferir",IF(AND(AH507=1,K507&lt;&gt;"Sim"),"Possível duplicidade",IF(Z507=1,"MTR cancelado",IF(AC507&gt;0,"Recebimento com alerta",IF(AA507=0,"Aguardando recebimento",IF(AB507&lt;AA507,"Recebimento a conferir",IF(AM507=1,"Quantidade a revisar",IF(AF507&gt;0,"Vínculo a revisar",IF(AD507=0,"Aguardando CDF",IF(AN507=0,"Vínculo de CDF parcial",IF(AE507&lt;AD507,"CDF a conferir","Documentação conferida"))))))))))))))))))</f>
        <v/>
      </c>
      <c r="Q507" s="93" t="str">
        <f>IF(OR(R507=0,AA507=0),"",MAX(0,N(L507)-N(M507)))</f>
        <v/>
      </c>
      <c r="R507" s="96">
        <f>IF(COUNTA(B507:C507,G507:H507,J507:K507)&gt;0,1,0)</f>
        <v>0</v>
      </c>
      <c r="S507" s="96" t="str">
        <f>IF(B507="","",TRIM(LEFT(B507,FIND(" |",B507&amp;" |")-1)))</f>
        <v/>
      </c>
      <c r="T507" s="96" t="str">
        <f>IF(S507="","",IFERROR(MATCH(S507,'MTRs'!$A$6:$A$505,0),""))</f>
        <v/>
      </c>
      <c r="U507" s="96">
        <f>IF(T507="",0,IF(INDEX('MTRs'!$Z$6:$Z$505,T507)=1,1,0))</f>
        <v>0</v>
      </c>
      <c r="V507" s="96">
        <f>IF(C507="",0,IF(ISNUMBER(MATCH(C507,'CAD_RESÍDUOS'!$B$6:$B$205,0)),1,0))</f>
        <v>0</v>
      </c>
      <c r="W507" s="96">
        <f>IF(AND(ISNUMBER(G507),G507&gt;0),1,0)</f>
        <v>0</v>
      </c>
      <c r="X507" s="96" t="str">
        <f>IF(H507="","",IFERROR(IF(ISNUMBER(INDEX(cfg_fac,MATCH(H507,cfg_units,0))),IF(INDEX(cfg_fac,MATCH(H507,cfg_units,0))&gt;0,INDEX(cfg_fac,MATCH(H507,cfg_units,0)),""),""),""))</f>
        <v/>
      </c>
      <c r="Y507" s="96">
        <f>IF(AND(W507=1,ISNUMBER(I507)),1,0)</f>
        <v>0</v>
      </c>
      <c r="Z507" s="96">
        <f>IF(U507=1,INDEX('MTRs'!$AA$6:$AA$505,T507),0)</f>
        <v>0</v>
      </c>
      <c r="AA507" s="96">
        <f>IF(R507=0,0,COUNTIFS('RECEBIMENTOS'!$R$6:$R$1005,A507,'RECEBIMENTOS'!$Q$6:$Q$1005,1))</f>
        <v>0</v>
      </c>
      <c r="AB507" s="96">
        <f>IF(R507=0,0,COUNTIFS('RECEBIMENTOS'!$R$6:$R$1005,A507,'RECEBIMENTOS'!$Z$6:$Z$1005,1))</f>
        <v>0</v>
      </c>
      <c r="AC507" s="96">
        <f>IF(R507=0,0,COUNTIFS('RECEBIMENTOS'!$R$6:$R$1005,A507,'RECEBIMENTOS'!$Y$6:$Y$1005,1))</f>
        <v>0</v>
      </c>
      <c r="AD507" s="96">
        <f>IF(R507=0,0,COUNTIFS('VÍNCULOS_CDF'!$R$6:$R$1005,A507,'VÍNCULOS_CDF'!$N$6:$N$1005,1))</f>
        <v>0</v>
      </c>
      <c r="AE507" s="96">
        <f>IF(R507=0,0,COUNTIFS('VÍNCULOS_CDF'!$R$6:$R$1005,A507,'VÍNCULOS_CDF'!$AA$6:$AA$1005,1))</f>
        <v>0</v>
      </c>
      <c r="AF507" s="96">
        <f>IF(R507=0,0,COUNTIFS('VÍNCULOS_CDF'!$R$6:$R$1005,A507,'VÍNCULOS_CDF'!$Y$6:$Y$1005,1))</f>
        <v>0</v>
      </c>
      <c r="AG507" s="96" t="str">
        <f>IF(AND(R507=1,S507&lt;&gt;"",C507&lt;&gt;""),S507&amp;"|"&amp;C507&amp;"|"&amp;G507&amp;"|"&amp;H507,"")</f>
        <v/>
      </c>
      <c r="AH507" s="96">
        <f>IF(AG507="",0,IF(SUMPRODUCT(--($AG$6:$AG$1005=AG507))&gt;1,1,0))</f>
        <v>0</v>
      </c>
      <c r="AI507" s="96">
        <f>IF(R507=0,0,IF(OR(U507=0,V507=0,Y507=0,AND(AH507=1,K507&lt;&gt;"Sim")),1,0))</f>
        <v>0</v>
      </c>
      <c r="AJ507" s="96">
        <f>IF(AND(R507=1,AA507&gt;0,AB507=AA507),1,0)</f>
        <v>0</v>
      </c>
      <c r="AK507" s="96">
        <f>IF(R507=0,0,IF(AA507&gt;0,N(L507),IF(ISNUMBER(I507),I507,0)))</f>
        <v>0</v>
      </c>
      <c r="AL507" s="96">
        <f>IF(R507=0,0,IF(AND(K507&lt;&gt;"Sim",N(M507)&gt;AK507+cfg_tol),1,0))</f>
        <v>0</v>
      </c>
      <c r="AM507" s="96">
        <f>IF(R507=0,0,IF(K507="Sim",0,IF(OR(AND(AA507&gt;0,ISNUMBER(I507),ABS(I507-N(L507))&gt;cfg_tol),AL507=1),1,0)))</f>
        <v>0</v>
      </c>
      <c r="AN507" s="96">
        <f>IF(AND(R507=1,N(M507)&gt;0,OR(N(M507)&gt;=AK507-cfg_tol,K507="Sim")),1,0)</f>
        <v>0</v>
      </c>
      <c r="AO507" s="96">
        <f>IF(AND(AN507=1,AD507&gt;0,AE507=AD507,AL507=0),1,0)</f>
        <v>0</v>
      </c>
      <c r="AP507" s="96">
        <f>IF(U507=0,0,IF(AND(INDEX('MTRs'!$AX$6:$AX$505,T507)=1,Z507=0,OR(f_res="",f_res="(Todos)",C507=f_res)),1,0))</f>
        <v>0</v>
      </c>
      <c r="AQ507" s="97" t="str">
        <f>IF(U507=0,"",INDEX('MTRs'!$AZ$6:$AZ$505,T507))</f>
        <v/>
      </c>
      <c r="AR507" s="96">
        <f>IF(U507=0,0,IF(AND(INDEX('MTRs'!$BA$6:$BA$505,T507)=1,Z507=0),1,0))</f>
        <v>0</v>
      </c>
      <c r="AS507" s="96" t="str">
        <f>IF(R507=1,A507&amp;" | MTR "&amp;IF(U507=1,INDEX('MTRs'!$B$6:$B$505,T507)&amp;"","?")&amp;" | "&amp;IF(C507="","(sem resíduo)",C507),"")</f>
        <v/>
      </c>
      <c r="AT507" s="96" t="str">
        <f>IF(R507=1,COUNTIF($R$6:R507,1),"")</f>
        <v/>
      </c>
      <c r="AU507" s="96" t="str">
        <f>IF(U507=1,INDEX('MTRs'!$I$6:$I$505,T507)&amp;"","")</f>
        <v/>
      </c>
    </row>
    <row r="508">
      <c r="A508" s="89" t="inlineStr">
        <is>
          <t>IT-000503</t>
        </is>
      </c>
      <c r="B508" s="91" t="n"/>
      <c r="C508" s="91" t="n"/>
      <c r="D508" s="94" t="str">
        <f>IF(OR(R508=0,V508=0),"",INDEX('CAD_RESÍDUOS'!$E$6:$E$205,MATCH(C508,'CAD_RESÍDUOS'!$B$6:$B$205,0))&amp;"")</f>
        <v/>
      </c>
      <c r="E508" s="94" t="str">
        <f>IF(OR(R508=0,V508=0),"",INDEX('CAD_RESÍDUOS'!$C$6:$C$205,MATCH(C508,'CAD_RESÍDUOS'!$B$6:$B$205,0))&amp;"")</f>
        <v/>
      </c>
      <c r="F508" s="94" t="str">
        <f>IF(OR(R508=0,V508=0),"",INDEX('CAD_RESÍDUOS'!$G$6:$G$205,MATCH(C508,'CAD_RESÍDUOS'!$B$6:$B$205,0))&amp;"")</f>
        <v/>
      </c>
      <c r="G508" s="98" t="n"/>
      <c r="H508" s="91" t="n"/>
      <c r="I508" s="93" t="str">
        <f>IF(R508=0,"",IF(NOT(ISNUMBER(G508)),"",IF(ISNUMBER(X508),G508*X508,"UNIDADE A CONFERIR")))</f>
        <v/>
      </c>
      <c r="J508" s="91" t="n"/>
      <c r="K508" s="91" t="n"/>
      <c r="L508" s="93" t="str">
        <f>IF(R508=0,"",SUMIFS('RECEBIMENTOS'!$H$6:$H$1005,'RECEBIMENTOS'!$R$6:$R$1005,A508,'RECEBIMENTOS'!$X$6:$X$1005,1))</f>
        <v/>
      </c>
      <c r="M508" s="93" t="str">
        <f>IF(R508=0,"",SUMIFS('VÍNCULOS_CDF'!$H$6:$H$1005,'VÍNCULOS_CDF'!$R$6:$R$1005,A508,'VÍNCULOS_CDF'!$V$6:$V$1005,1))</f>
        <v/>
      </c>
      <c r="N508" s="99" t="str">
        <f>IF(OR(R508=0,AA508=0,NOT(ISNUMBER(I508))),"",I508-N(L508))</f>
        <v/>
      </c>
      <c r="O508" s="100" t="str">
        <f>IF(OR(R508=0,AK508&lt;=0),"",N(M508)/AK508)</f>
        <v/>
      </c>
      <c r="P508" s="94" t="str">
        <f>IF(R508=0,"",IF(S508="","Sem MTR associado",IF(U508=0,"MTR inexistente",IF(C508="","Resíduo não identificado",IF(V508=0,"Resíduo fora do cadastro",IF(W508=0,"Quantidade inválida",IF(H508="","Unidade não informada",IF(NOT(ISNUMBER(I508)),"Unidade a conferir",IF(AND(AH508=1,K508&lt;&gt;"Sim"),"Possível duplicidade",IF(Z508=1,"MTR cancelado",IF(AC508&gt;0,"Recebimento com alerta",IF(AA508=0,"Aguardando recebimento",IF(AB508&lt;AA508,"Recebimento a conferir",IF(AM508=1,"Quantidade a revisar",IF(AF508&gt;0,"Vínculo a revisar",IF(AD508=0,"Aguardando CDF",IF(AN508=0,"Vínculo de CDF parcial",IF(AE508&lt;AD508,"CDF a conferir","Documentação conferida"))))))))))))))))))</f>
        <v/>
      </c>
      <c r="Q508" s="93" t="str">
        <f>IF(OR(R508=0,AA508=0),"",MAX(0,N(L508)-N(M508)))</f>
        <v/>
      </c>
      <c r="R508" s="96">
        <f>IF(COUNTA(B508:C508,G508:H508,J508:K508)&gt;0,1,0)</f>
        <v>0</v>
      </c>
      <c r="S508" s="96" t="str">
        <f>IF(B508="","",TRIM(LEFT(B508,FIND(" |",B508&amp;" |")-1)))</f>
        <v/>
      </c>
      <c r="T508" s="96" t="str">
        <f>IF(S508="","",IFERROR(MATCH(S508,'MTRs'!$A$6:$A$505,0),""))</f>
        <v/>
      </c>
      <c r="U508" s="96">
        <f>IF(T508="",0,IF(INDEX('MTRs'!$Z$6:$Z$505,T508)=1,1,0))</f>
        <v>0</v>
      </c>
      <c r="V508" s="96">
        <f>IF(C508="",0,IF(ISNUMBER(MATCH(C508,'CAD_RESÍDUOS'!$B$6:$B$205,0)),1,0))</f>
        <v>0</v>
      </c>
      <c r="W508" s="96">
        <f>IF(AND(ISNUMBER(G508),G508&gt;0),1,0)</f>
        <v>0</v>
      </c>
      <c r="X508" s="96" t="str">
        <f>IF(H508="","",IFERROR(IF(ISNUMBER(INDEX(cfg_fac,MATCH(H508,cfg_units,0))),IF(INDEX(cfg_fac,MATCH(H508,cfg_units,0))&gt;0,INDEX(cfg_fac,MATCH(H508,cfg_units,0)),""),""),""))</f>
        <v/>
      </c>
      <c r="Y508" s="96">
        <f>IF(AND(W508=1,ISNUMBER(I508)),1,0)</f>
        <v>0</v>
      </c>
      <c r="Z508" s="96">
        <f>IF(U508=1,INDEX('MTRs'!$AA$6:$AA$505,T508),0)</f>
        <v>0</v>
      </c>
      <c r="AA508" s="96">
        <f>IF(R508=0,0,COUNTIFS('RECEBIMENTOS'!$R$6:$R$1005,A508,'RECEBIMENTOS'!$Q$6:$Q$1005,1))</f>
        <v>0</v>
      </c>
      <c r="AB508" s="96">
        <f>IF(R508=0,0,COUNTIFS('RECEBIMENTOS'!$R$6:$R$1005,A508,'RECEBIMENTOS'!$Z$6:$Z$1005,1))</f>
        <v>0</v>
      </c>
      <c r="AC508" s="96">
        <f>IF(R508=0,0,COUNTIFS('RECEBIMENTOS'!$R$6:$R$1005,A508,'RECEBIMENTOS'!$Y$6:$Y$1005,1))</f>
        <v>0</v>
      </c>
      <c r="AD508" s="96">
        <f>IF(R508=0,0,COUNTIFS('VÍNCULOS_CDF'!$R$6:$R$1005,A508,'VÍNCULOS_CDF'!$N$6:$N$1005,1))</f>
        <v>0</v>
      </c>
      <c r="AE508" s="96">
        <f>IF(R508=0,0,COUNTIFS('VÍNCULOS_CDF'!$R$6:$R$1005,A508,'VÍNCULOS_CDF'!$AA$6:$AA$1005,1))</f>
        <v>0</v>
      </c>
      <c r="AF508" s="96">
        <f>IF(R508=0,0,COUNTIFS('VÍNCULOS_CDF'!$R$6:$R$1005,A508,'VÍNCULOS_CDF'!$Y$6:$Y$1005,1))</f>
        <v>0</v>
      </c>
      <c r="AG508" s="96" t="str">
        <f>IF(AND(R508=1,S508&lt;&gt;"",C508&lt;&gt;""),S508&amp;"|"&amp;C508&amp;"|"&amp;G508&amp;"|"&amp;H508,"")</f>
        <v/>
      </c>
      <c r="AH508" s="96">
        <f>IF(AG508="",0,IF(SUMPRODUCT(--($AG$6:$AG$1005=AG508))&gt;1,1,0))</f>
        <v>0</v>
      </c>
      <c r="AI508" s="96">
        <f>IF(R508=0,0,IF(OR(U508=0,V508=0,Y508=0,AND(AH508=1,K508&lt;&gt;"Sim")),1,0))</f>
        <v>0</v>
      </c>
      <c r="AJ508" s="96">
        <f>IF(AND(R508=1,AA508&gt;0,AB508=AA508),1,0)</f>
        <v>0</v>
      </c>
      <c r="AK508" s="96">
        <f>IF(R508=0,0,IF(AA508&gt;0,N(L508),IF(ISNUMBER(I508),I508,0)))</f>
        <v>0</v>
      </c>
      <c r="AL508" s="96">
        <f>IF(R508=0,0,IF(AND(K508&lt;&gt;"Sim",N(M508)&gt;AK508+cfg_tol),1,0))</f>
        <v>0</v>
      </c>
      <c r="AM508" s="96">
        <f>IF(R508=0,0,IF(K508="Sim",0,IF(OR(AND(AA508&gt;0,ISNUMBER(I508),ABS(I508-N(L508))&gt;cfg_tol),AL508=1),1,0)))</f>
        <v>0</v>
      </c>
      <c r="AN508" s="96">
        <f>IF(AND(R508=1,N(M508)&gt;0,OR(N(M508)&gt;=AK508-cfg_tol,K508="Sim")),1,0)</f>
        <v>0</v>
      </c>
      <c r="AO508" s="96">
        <f>IF(AND(AN508=1,AD508&gt;0,AE508=AD508,AL508=0),1,0)</f>
        <v>0</v>
      </c>
      <c r="AP508" s="96">
        <f>IF(U508=0,0,IF(AND(INDEX('MTRs'!$AX$6:$AX$505,T508)=1,Z508=0,OR(f_res="",f_res="(Todos)",C508=f_res)),1,0))</f>
        <v>0</v>
      </c>
      <c r="AQ508" s="97" t="str">
        <f>IF(U508=0,"",INDEX('MTRs'!$AZ$6:$AZ$505,T508))</f>
        <v/>
      </c>
      <c r="AR508" s="96">
        <f>IF(U508=0,0,IF(AND(INDEX('MTRs'!$BA$6:$BA$505,T508)=1,Z508=0),1,0))</f>
        <v>0</v>
      </c>
      <c r="AS508" s="96" t="str">
        <f>IF(R508=1,A508&amp;" | MTR "&amp;IF(U508=1,INDEX('MTRs'!$B$6:$B$505,T508)&amp;"","?")&amp;" | "&amp;IF(C508="","(sem resíduo)",C508),"")</f>
        <v/>
      </c>
      <c r="AT508" s="96" t="str">
        <f>IF(R508=1,COUNTIF($R$6:R508,1),"")</f>
        <v/>
      </c>
      <c r="AU508" s="96" t="str">
        <f>IF(U508=1,INDEX('MTRs'!$I$6:$I$505,T508)&amp;"","")</f>
        <v/>
      </c>
    </row>
    <row r="509">
      <c r="A509" s="89" t="inlineStr">
        <is>
          <t>IT-000504</t>
        </is>
      </c>
      <c r="B509" s="91" t="n"/>
      <c r="C509" s="91" t="n"/>
      <c r="D509" s="94" t="str">
        <f>IF(OR(R509=0,V509=0),"",INDEX('CAD_RESÍDUOS'!$E$6:$E$205,MATCH(C509,'CAD_RESÍDUOS'!$B$6:$B$205,0))&amp;"")</f>
        <v/>
      </c>
      <c r="E509" s="94" t="str">
        <f>IF(OR(R509=0,V509=0),"",INDEX('CAD_RESÍDUOS'!$C$6:$C$205,MATCH(C509,'CAD_RESÍDUOS'!$B$6:$B$205,0))&amp;"")</f>
        <v/>
      </c>
      <c r="F509" s="94" t="str">
        <f>IF(OR(R509=0,V509=0),"",INDEX('CAD_RESÍDUOS'!$G$6:$G$205,MATCH(C509,'CAD_RESÍDUOS'!$B$6:$B$205,0))&amp;"")</f>
        <v/>
      </c>
      <c r="G509" s="98" t="n"/>
      <c r="H509" s="91" t="n"/>
      <c r="I509" s="93" t="str">
        <f>IF(R509=0,"",IF(NOT(ISNUMBER(G509)),"",IF(ISNUMBER(X509),G509*X509,"UNIDADE A CONFERIR")))</f>
        <v/>
      </c>
      <c r="J509" s="91" t="n"/>
      <c r="K509" s="91" t="n"/>
      <c r="L509" s="93" t="str">
        <f>IF(R509=0,"",SUMIFS('RECEBIMENTOS'!$H$6:$H$1005,'RECEBIMENTOS'!$R$6:$R$1005,A509,'RECEBIMENTOS'!$X$6:$X$1005,1))</f>
        <v/>
      </c>
      <c r="M509" s="93" t="str">
        <f>IF(R509=0,"",SUMIFS('VÍNCULOS_CDF'!$H$6:$H$1005,'VÍNCULOS_CDF'!$R$6:$R$1005,A509,'VÍNCULOS_CDF'!$V$6:$V$1005,1))</f>
        <v/>
      </c>
      <c r="N509" s="99" t="str">
        <f>IF(OR(R509=0,AA509=0,NOT(ISNUMBER(I509))),"",I509-N(L509))</f>
        <v/>
      </c>
      <c r="O509" s="100" t="str">
        <f>IF(OR(R509=0,AK509&lt;=0),"",N(M509)/AK509)</f>
        <v/>
      </c>
      <c r="P509" s="94" t="str">
        <f>IF(R509=0,"",IF(S509="","Sem MTR associado",IF(U509=0,"MTR inexistente",IF(C509="","Resíduo não identificado",IF(V509=0,"Resíduo fora do cadastro",IF(W509=0,"Quantidade inválida",IF(H509="","Unidade não informada",IF(NOT(ISNUMBER(I509)),"Unidade a conferir",IF(AND(AH509=1,K509&lt;&gt;"Sim"),"Possível duplicidade",IF(Z509=1,"MTR cancelado",IF(AC509&gt;0,"Recebimento com alerta",IF(AA509=0,"Aguardando recebimento",IF(AB509&lt;AA509,"Recebimento a conferir",IF(AM509=1,"Quantidade a revisar",IF(AF509&gt;0,"Vínculo a revisar",IF(AD509=0,"Aguardando CDF",IF(AN509=0,"Vínculo de CDF parcial",IF(AE509&lt;AD509,"CDF a conferir","Documentação conferida"))))))))))))))))))</f>
        <v/>
      </c>
      <c r="Q509" s="93" t="str">
        <f>IF(OR(R509=0,AA509=0),"",MAX(0,N(L509)-N(M509)))</f>
        <v/>
      </c>
      <c r="R509" s="96">
        <f>IF(COUNTA(B509:C509,G509:H509,J509:K509)&gt;0,1,0)</f>
        <v>0</v>
      </c>
      <c r="S509" s="96" t="str">
        <f>IF(B509="","",TRIM(LEFT(B509,FIND(" |",B509&amp;" |")-1)))</f>
        <v/>
      </c>
      <c r="T509" s="96" t="str">
        <f>IF(S509="","",IFERROR(MATCH(S509,'MTRs'!$A$6:$A$505,0),""))</f>
        <v/>
      </c>
      <c r="U509" s="96">
        <f>IF(T509="",0,IF(INDEX('MTRs'!$Z$6:$Z$505,T509)=1,1,0))</f>
        <v>0</v>
      </c>
      <c r="V509" s="96">
        <f>IF(C509="",0,IF(ISNUMBER(MATCH(C509,'CAD_RESÍDUOS'!$B$6:$B$205,0)),1,0))</f>
        <v>0</v>
      </c>
      <c r="W509" s="96">
        <f>IF(AND(ISNUMBER(G509),G509&gt;0),1,0)</f>
        <v>0</v>
      </c>
      <c r="X509" s="96" t="str">
        <f>IF(H509="","",IFERROR(IF(ISNUMBER(INDEX(cfg_fac,MATCH(H509,cfg_units,0))),IF(INDEX(cfg_fac,MATCH(H509,cfg_units,0))&gt;0,INDEX(cfg_fac,MATCH(H509,cfg_units,0)),""),""),""))</f>
        <v/>
      </c>
      <c r="Y509" s="96">
        <f>IF(AND(W509=1,ISNUMBER(I509)),1,0)</f>
        <v>0</v>
      </c>
      <c r="Z509" s="96">
        <f>IF(U509=1,INDEX('MTRs'!$AA$6:$AA$505,T509),0)</f>
        <v>0</v>
      </c>
      <c r="AA509" s="96">
        <f>IF(R509=0,0,COUNTIFS('RECEBIMENTOS'!$R$6:$R$1005,A509,'RECEBIMENTOS'!$Q$6:$Q$1005,1))</f>
        <v>0</v>
      </c>
      <c r="AB509" s="96">
        <f>IF(R509=0,0,COUNTIFS('RECEBIMENTOS'!$R$6:$R$1005,A509,'RECEBIMENTOS'!$Z$6:$Z$1005,1))</f>
        <v>0</v>
      </c>
      <c r="AC509" s="96">
        <f>IF(R509=0,0,COUNTIFS('RECEBIMENTOS'!$R$6:$R$1005,A509,'RECEBIMENTOS'!$Y$6:$Y$1005,1))</f>
        <v>0</v>
      </c>
      <c r="AD509" s="96">
        <f>IF(R509=0,0,COUNTIFS('VÍNCULOS_CDF'!$R$6:$R$1005,A509,'VÍNCULOS_CDF'!$N$6:$N$1005,1))</f>
        <v>0</v>
      </c>
      <c r="AE509" s="96">
        <f>IF(R509=0,0,COUNTIFS('VÍNCULOS_CDF'!$R$6:$R$1005,A509,'VÍNCULOS_CDF'!$AA$6:$AA$1005,1))</f>
        <v>0</v>
      </c>
      <c r="AF509" s="96">
        <f>IF(R509=0,0,COUNTIFS('VÍNCULOS_CDF'!$R$6:$R$1005,A509,'VÍNCULOS_CDF'!$Y$6:$Y$1005,1))</f>
        <v>0</v>
      </c>
      <c r="AG509" s="96" t="str">
        <f>IF(AND(R509=1,S509&lt;&gt;"",C509&lt;&gt;""),S509&amp;"|"&amp;C509&amp;"|"&amp;G509&amp;"|"&amp;H509,"")</f>
        <v/>
      </c>
      <c r="AH509" s="96">
        <f>IF(AG509="",0,IF(SUMPRODUCT(--($AG$6:$AG$1005=AG509))&gt;1,1,0))</f>
        <v>0</v>
      </c>
      <c r="AI509" s="96">
        <f>IF(R509=0,0,IF(OR(U509=0,V509=0,Y509=0,AND(AH509=1,K509&lt;&gt;"Sim")),1,0))</f>
        <v>0</v>
      </c>
      <c r="AJ509" s="96">
        <f>IF(AND(R509=1,AA509&gt;0,AB509=AA509),1,0)</f>
        <v>0</v>
      </c>
      <c r="AK509" s="96">
        <f>IF(R509=0,0,IF(AA509&gt;0,N(L509),IF(ISNUMBER(I509),I509,0)))</f>
        <v>0</v>
      </c>
      <c r="AL509" s="96">
        <f>IF(R509=0,0,IF(AND(K509&lt;&gt;"Sim",N(M509)&gt;AK509+cfg_tol),1,0))</f>
        <v>0</v>
      </c>
      <c r="AM509" s="96">
        <f>IF(R509=0,0,IF(K509="Sim",0,IF(OR(AND(AA509&gt;0,ISNUMBER(I509),ABS(I509-N(L509))&gt;cfg_tol),AL509=1),1,0)))</f>
        <v>0</v>
      </c>
      <c r="AN509" s="96">
        <f>IF(AND(R509=1,N(M509)&gt;0,OR(N(M509)&gt;=AK509-cfg_tol,K509="Sim")),1,0)</f>
        <v>0</v>
      </c>
      <c r="AO509" s="96">
        <f>IF(AND(AN509=1,AD509&gt;0,AE509=AD509,AL509=0),1,0)</f>
        <v>0</v>
      </c>
      <c r="AP509" s="96">
        <f>IF(U509=0,0,IF(AND(INDEX('MTRs'!$AX$6:$AX$505,T509)=1,Z509=0,OR(f_res="",f_res="(Todos)",C509=f_res)),1,0))</f>
        <v>0</v>
      </c>
      <c r="AQ509" s="97" t="str">
        <f>IF(U509=0,"",INDEX('MTRs'!$AZ$6:$AZ$505,T509))</f>
        <v/>
      </c>
      <c r="AR509" s="96">
        <f>IF(U509=0,0,IF(AND(INDEX('MTRs'!$BA$6:$BA$505,T509)=1,Z509=0),1,0))</f>
        <v>0</v>
      </c>
      <c r="AS509" s="96" t="str">
        <f>IF(R509=1,A509&amp;" | MTR "&amp;IF(U509=1,INDEX('MTRs'!$B$6:$B$505,T509)&amp;"","?")&amp;" | "&amp;IF(C509="","(sem resíduo)",C509),"")</f>
        <v/>
      </c>
      <c r="AT509" s="96" t="str">
        <f>IF(R509=1,COUNTIF($R$6:R509,1),"")</f>
        <v/>
      </c>
      <c r="AU509" s="96" t="str">
        <f>IF(U509=1,INDEX('MTRs'!$I$6:$I$505,T509)&amp;"","")</f>
        <v/>
      </c>
    </row>
    <row r="510">
      <c r="A510" s="89" t="inlineStr">
        <is>
          <t>IT-000505</t>
        </is>
      </c>
      <c r="B510" s="91" t="n"/>
      <c r="C510" s="91" t="n"/>
      <c r="D510" s="94" t="str">
        <f>IF(OR(R510=0,V510=0),"",INDEX('CAD_RESÍDUOS'!$E$6:$E$205,MATCH(C510,'CAD_RESÍDUOS'!$B$6:$B$205,0))&amp;"")</f>
        <v/>
      </c>
      <c r="E510" s="94" t="str">
        <f>IF(OR(R510=0,V510=0),"",INDEX('CAD_RESÍDUOS'!$C$6:$C$205,MATCH(C510,'CAD_RESÍDUOS'!$B$6:$B$205,0))&amp;"")</f>
        <v/>
      </c>
      <c r="F510" s="94" t="str">
        <f>IF(OR(R510=0,V510=0),"",INDEX('CAD_RESÍDUOS'!$G$6:$G$205,MATCH(C510,'CAD_RESÍDUOS'!$B$6:$B$205,0))&amp;"")</f>
        <v/>
      </c>
      <c r="G510" s="98" t="n"/>
      <c r="H510" s="91" t="n"/>
      <c r="I510" s="93" t="str">
        <f>IF(R510=0,"",IF(NOT(ISNUMBER(G510)),"",IF(ISNUMBER(X510),G510*X510,"UNIDADE A CONFERIR")))</f>
        <v/>
      </c>
      <c r="J510" s="91" t="n"/>
      <c r="K510" s="91" t="n"/>
      <c r="L510" s="93" t="str">
        <f>IF(R510=0,"",SUMIFS('RECEBIMENTOS'!$H$6:$H$1005,'RECEBIMENTOS'!$R$6:$R$1005,A510,'RECEBIMENTOS'!$X$6:$X$1005,1))</f>
        <v/>
      </c>
      <c r="M510" s="93" t="str">
        <f>IF(R510=0,"",SUMIFS('VÍNCULOS_CDF'!$H$6:$H$1005,'VÍNCULOS_CDF'!$R$6:$R$1005,A510,'VÍNCULOS_CDF'!$V$6:$V$1005,1))</f>
        <v/>
      </c>
      <c r="N510" s="99" t="str">
        <f>IF(OR(R510=0,AA510=0,NOT(ISNUMBER(I510))),"",I510-N(L510))</f>
        <v/>
      </c>
      <c r="O510" s="100" t="str">
        <f>IF(OR(R510=0,AK510&lt;=0),"",N(M510)/AK510)</f>
        <v/>
      </c>
      <c r="P510" s="94" t="str">
        <f>IF(R510=0,"",IF(S510="","Sem MTR associado",IF(U510=0,"MTR inexistente",IF(C510="","Resíduo não identificado",IF(V510=0,"Resíduo fora do cadastro",IF(W510=0,"Quantidade inválida",IF(H510="","Unidade não informada",IF(NOT(ISNUMBER(I510)),"Unidade a conferir",IF(AND(AH510=1,K510&lt;&gt;"Sim"),"Possível duplicidade",IF(Z510=1,"MTR cancelado",IF(AC510&gt;0,"Recebimento com alerta",IF(AA510=0,"Aguardando recebimento",IF(AB510&lt;AA510,"Recebimento a conferir",IF(AM510=1,"Quantidade a revisar",IF(AF510&gt;0,"Vínculo a revisar",IF(AD510=0,"Aguardando CDF",IF(AN510=0,"Vínculo de CDF parcial",IF(AE510&lt;AD510,"CDF a conferir","Documentação conferida"))))))))))))))))))</f>
        <v/>
      </c>
      <c r="Q510" s="93" t="str">
        <f>IF(OR(R510=0,AA510=0),"",MAX(0,N(L510)-N(M510)))</f>
        <v/>
      </c>
      <c r="R510" s="96">
        <f>IF(COUNTA(B510:C510,G510:H510,J510:K510)&gt;0,1,0)</f>
        <v>0</v>
      </c>
      <c r="S510" s="96" t="str">
        <f>IF(B510="","",TRIM(LEFT(B510,FIND(" |",B510&amp;" |")-1)))</f>
        <v/>
      </c>
      <c r="T510" s="96" t="str">
        <f>IF(S510="","",IFERROR(MATCH(S510,'MTRs'!$A$6:$A$505,0),""))</f>
        <v/>
      </c>
      <c r="U510" s="96">
        <f>IF(T510="",0,IF(INDEX('MTRs'!$Z$6:$Z$505,T510)=1,1,0))</f>
        <v>0</v>
      </c>
      <c r="V510" s="96">
        <f>IF(C510="",0,IF(ISNUMBER(MATCH(C510,'CAD_RESÍDUOS'!$B$6:$B$205,0)),1,0))</f>
        <v>0</v>
      </c>
      <c r="W510" s="96">
        <f>IF(AND(ISNUMBER(G510),G510&gt;0),1,0)</f>
        <v>0</v>
      </c>
      <c r="X510" s="96" t="str">
        <f>IF(H510="","",IFERROR(IF(ISNUMBER(INDEX(cfg_fac,MATCH(H510,cfg_units,0))),IF(INDEX(cfg_fac,MATCH(H510,cfg_units,0))&gt;0,INDEX(cfg_fac,MATCH(H510,cfg_units,0)),""),""),""))</f>
        <v/>
      </c>
      <c r="Y510" s="96">
        <f>IF(AND(W510=1,ISNUMBER(I510)),1,0)</f>
        <v>0</v>
      </c>
      <c r="Z510" s="96">
        <f>IF(U510=1,INDEX('MTRs'!$AA$6:$AA$505,T510),0)</f>
        <v>0</v>
      </c>
      <c r="AA510" s="96">
        <f>IF(R510=0,0,COUNTIFS('RECEBIMENTOS'!$R$6:$R$1005,A510,'RECEBIMENTOS'!$Q$6:$Q$1005,1))</f>
        <v>0</v>
      </c>
      <c r="AB510" s="96">
        <f>IF(R510=0,0,COUNTIFS('RECEBIMENTOS'!$R$6:$R$1005,A510,'RECEBIMENTOS'!$Z$6:$Z$1005,1))</f>
        <v>0</v>
      </c>
      <c r="AC510" s="96">
        <f>IF(R510=0,0,COUNTIFS('RECEBIMENTOS'!$R$6:$R$1005,A510,'RECEBIMENTOS'!$Y$6:$Y$1005,1))</f>
        <v>0</v>
      </c>
      <c r="AD510" s="96">
        <f>IF(R510=0,0,COUNTIFS('VÍNCULOS_CDF'!$R$6:$R$1005,A510,'VÍNCULOS_CDF'!$N$6:$N$1005,1))</f>
        <v>0</v>
      </c>
      <c r="AE510" s="96">
        <f>IF(R510=0,0,COUNTIFS('VÍNCULOS_CDF'!$R$6:$R$1005,A510,'VÍNCULOS_CDF'!$AA$6:$AA$1005,1))</f>
        <v>0</v>
      </c>
      <c r="AF510" s="96">
        <f>IF(R510=0,0,COUNTIFS('VÍNCULOS_CDF'!$R$6:$R$1005,A510,'VÍNCULOS_CDF'!$Y$6:$Y$1005,1))</f>
        <v>0</v>
      </c>
      <c r="AG510" s="96" t="str">
        <f>IF(AND(R510=1,S510&lt;&gt;"",C510&lt;&gt;""),S510&amp;"|"&amp;C510&amp;"|"&amp;G510&amp;"|"&amp;H510,"")</f>
        <v/>
      </c>
      <c r="AH510" s="96">
        <f>IF(AG510="",0,IF(SUMPRODUCT(--($AG$6:$AG$1005=AG510))&gt;1,1,0))</f>
        <v>0</v>
      </c>
      <c r="AI510" s="96">
        <f>IF(R510=0,0,IF(OR(U510=0,V510=0,Y510=0,AND(AH510=1,K510&lt;&gt;"Sim")),1,0))</f>
        <v>0</v>
      </c>
      <c r="AJ510" s="96">
        <f>IF(AND(R510=1,AA510&gt;0,AB510=AA510),1,0)</f>
        <v>0</v>
      </c>
      <c r="AK510" s="96">
        <f>IF(R510=0,0,IF(AA510&gt;0,N(L510),IF(ISNUMBER(I510),I510,0)))</f>
        <v>0</v>
      </c>
      <c r="AL510" s="96">
        <f>IF(R510=0,0,IF(AND(K510&lt;&gt;"Sim",N(M510)&gt;AK510+cfg_tol),1,0))</f>
        <v>0</v>
      </c>
      <c r="AM510" s="96">
        <f>IF(R510=0,0,IF(K510="Sim",0,IF(OR(AND(AA510&gt;0,ISNUMBER(I510),ABS(I510-N(L510))&gt;cfg_tol),AL510=1),1,0)))</f>
        <v>0</v>
      </c>
      <c r="AN510" s="96">
        <f>IF(AND(R510=1,N(M510)&gt;0,OR(N(M510)&gt;=AK510-cfg_tol,K510="Sim")),1,0)</f>
        <v>0</v>
      </c>
      <c r="AO510" s="96">
        <f>IF(AND(AN510=1,AD510&gt;0,AE510=AD510,AL510=0),1,0)</f>
        <v>0</v>
      </c>
      <c r="AP510" s="96">
        <f>IF(U510=0,0,IF(AND(INDEX('MTRs'!$AX$6:$AX$505,T510)=1,Z510=0,OR(f_res="",f_res="(Todos)",C510=f_res)),1,0))</f>
        <v>0</v>
      </c>
      <c r="AQ510" s="97" t="str">
        <f>IF(U510=0,"",INDEX('MTRs'!$AZ$6:$AZ$505,T510))</f>
        <v/>
      </c>
      <c r="AR510" s="96">
        <f>IF(U510=0,0,IF(AND(INDEX('MTRs'!$BA$6:$BA$505,T510)=1,Z510=0),1,0))</f>
        <v>0</v>
      </c>
      <c r="AS510" s="96" t="str">
        <f>IF(R510=1,A510&amp;" | MTR "&amp;IF(U510=1,INDEX('MTRs'!$B$6:$B$505,T510)&amp;"","?")&amp;" | "&amp;IF(C510="","(sem resíduo)",C510),"")</f>
        <v/>
      </c>
      <c r="AT510" s="96" t="str">
        <f>IF(R510=1,COUNTIF($R$6:R510,1),"")</f>
        <v/>
      </c>
      <c r="AU510" s="96" t="str">
        <f>IF(U510=1,INDEX('MTRs'!$I$6:$I$505,T510)&amp;"","")</f>
        <v/>
      </c>
    </row>
    <row r="511">
      <c r="A511" s="89" t="inlineStr">
        <is>
          <t>IT-000506</t>
        </is>
      </c>
      <c r="B511" s="91" t="n"/>
      <c r="C511" s="91" t="n"/>
      <c r="D511" s="94" t="str">
        <f>IF(OR(R511=0,V511=0),"",INDEX('CAD_RESÍDUOS'!$E$6:$E$205,MATCH(C511,'CAD_RESÍDUOS'!$B$6:$B$205,0))&amp;"")</f>
        <v/>
      </c>
      <c r="E511" s="94" t="str">
        <f>IF(OR(R511=0,V511=0),"",INDEX('CAD_RESÍDUOS'!$C$6:$C$205,MATCH(C511,'CAD_RESÍDUOS'!$B$6:$B$205,0))&amp;"")</f>
        <v/>
      </c>
      <c r="F511" s="94" t="str">
        <f>IF(OR(R511=0,V511=0),"",INDEX('CAD_RESÍDUOS'!$G$6:$G$205,MATCH(C511,'CAD_RESÍDUOS'!$B$6:$B$205,0))&amp;"")</f>
        <v/>
      </c>
      <c r="G511" s="98" t="n"/>
      <c r="H511" s="91" t="n"/>
      <c r="I511" s="93" t="str">
        <f>IF(R511=0,"",IF(NOT(ISNUMBER(G511)),"",IF(ISNUMBER(X511),G511*X511,"UNIDADE A CONFERIR")))</f>
        <v/>
      </c>
      <c r="J511" s="91" t="n"/>
      <c r="K511" s="91" t="n"/>
      <c r="L511" s="93" t="str">
        <f>IF(R511=0,"",SUMIFS('RECEBIMENTOS'!$H$6:$H$1005,'RECEBIMENTOS'!$R$6:$R$1005,A511,'RECEBIMENTOS'!$X$6:$X$1005,1))</f>
        <v/>
      </c>
      <c r="M511" s="93" t="str">
        <f>IF(R511=0,"",SUMIFS('VÍNCULOS_CDF'!$H$6:$H$1005,'VÍNCULOS_CDF'!$R$6:$R$1005,A511,'VÍNCULOS_CDF'!$V$6:$V$1005,1))</f>
        <v/>
      </c>
      <c r="N511" s="99" t="str">
        <f>IF(OR(R511=0,AA511=0,NOT(ISNUMBER(I511))),"",I511-N(L511))</f>
        <v/>
      </c>
      <c r="O511" s="100" t="str">
        <f>IF(OR(R511=0,AK511&lt;=0),"",N(M511)/AK511)</f>
        <v/>
      </c>
      <c r="P511" s="94" t="str">
        <f>IF(R511=0,"",IF(S511="","Sem MTR associado",IF(U511=0,"MTR inexistente",IF(C511="","Resíduo não identificado",IF(V511=0,"Resíduo fora do cadastro",IF(W511=0,"Quantidade inválida",IF(H511="","Unidade não informada",IF(NOT(ISNUMBER(I511)),"Unidade a conferir",IF(AND(AH511=1,K511&lt;&gt;"Sim"),"Possível duplicidade",IF(Z511=1,"MTR cancelado",IF(AC511&gt;0,"Recebimento com alerta",IF(AA511=0,"Aguardando recebimento",IF(AB511&lt;AA511,"Recebimento a conferir",IF(AM511=1,"Quantidade a revisar",IF(AF511&gt;0,"Vínculo a revisar",IF(AD511=0,"Aguardando CDF",IF(AN511=0,"Vínculo de CDF parcial",IF(AE511&lt;AD511,"CDF a conferir","Documentação conferida"))))))))))))))))))</f>
        <v/>
      </c>
      <c r="Q511" s="93" t="str">
        <f>IF(OR(R511=0,AA511=0),"",MAX(0,N(L511)-N(M511)))</f>
        <v/>
      </c>
      <c r="R511" s="96">
        <f>IF(COUNTA(B511:C511,G511:H511,J511:K511)&gt;0,1,0)</f>
        <v>0</v>
      </c>
      <c r="S511" s="96" t="str">
        <f>IF(B511="","",TRIM(LEFT(B511,FIND(" |",B511&amp;" |")-1)))</f>
        <v/>
      </c>
      <c r="T511" s="96" t="str">
        <f>IF(S511="","",IFERROR(MATCH(S511,'MTRs'!$A$6:$A$505,0),""))</f>
        <v/>
      </c>
      <c r="U511" s="96">
        <f>IF(T511="",0,IF(INDEX('MTRs'!$Z$6:$Z$505,T511)=1,1,0))</f>
        <v>0</v>
      </c>
      <c r="V511" s="96">
        <f>IF(C511="",0,IF(ISNUMBER(MATCH(C511,'CAD_RESÍDUOS'!$B$6:$B$205,0)),1,0))</f>
        <v>0</v>
      </c>
      <c r="W511" s="96">
        <f>IF(AND(ISNUMBER(G511),G511&gt;0),1,0)</f>
        <v>0</v>
      </c>
      <c r="X511" s="96" t="str">
        <f>IF(H511="","",IFERROR(IF(ISNUMBER(INDEX(cfg_fac,MATCH(H511,cfg_units,0))),IF(INDEX(cfg_fac,MATCH(H511,cfg_units,0))&gt;0,INDEX(cfg_fac,MATCH(H511,cfg_units,0)),""),""),""))</f>
        <v/>
      </c>
      <c r="Y511" s="96">
        <f>IF(AND(W511=1,ISNUMBER(I511)),1,0)</f>
        <v>0</v>
      </c>
      <c r="Z511" s="96">
        <f>IF(U511=1,INDEX('MTRs'!$AA$6:$AA$505,T511),0)</f>
        <v>0</v>
      </c>
      <c r="AA511" s="96">
        <f>IF(R511=0,0,COUNTIFS('RECEBIMENTOS'!$R$6:$R$1005,A511,'RECEBIMENTOS'!$Q$6:$Q$1005,1))</f>
        <v>0</v>
      </c>
      <c r="AB511" s="96">
        <f>IF(R511=0,0,COUNTIFS('RECEBIMENTOS'!$R$6:$R$1005,A511,'RECEBIMENTOS'!$Z$6:$Z$1005,1))</f>
        <v>0</v>
      </c>
      <c r="AC511" s="96">
        <f>IF(R511=0,0,COUNTIFS('RECEBIMENTOS'!$R$6:$R$1005,A511,'RECEBIMENTOS'!$Y$6:$Y$1005,1))</f>
        <v>0</v>
      </c>
      <c r="AD511" s="96">
        <f>IF(R511=0,0,COUNTIFS('VÍNCULOS_CDF'!$R$6:$R$1005,A511,'VÍNCULOS_CDF'!$N$6:$N$1005,1))</f>
        <v>0</v>
      </c>
      <c r="AE511" s="96">
        <f>IF(R511=0,0,COUNTIFS('VÍNCULOS_CDF'!$R$6:$R$1005,A511,'VÍNCULOS_CDF'!$AA$6:$AA$1005,1))</f>
        <v>0</v>
      </c>
      <c r="AF511" s="96">
        <f>IF(R511=0,0,COUNTIFS('VÍNCULOS_CDF'!$R$6:$R$1005,A511,'VÍNCULOS_CDF'!$Y$6:$Y$1005,1))</f>
        <v>0</v>
      </c>
      <c r="AG511" s="96" t="str">
        <f>IF(AND(R511=1,S511&lt;&gt;"",C511&lt;&gt;""),S511&amp;"|"&amp;C511&amp;"|"&amp;G511&amp;"|"&amp;H511,"")</f>
        <v/>
      </c>
      <c r="AH511" s="96">
        <f>IF(AG511="",0,IF(SUMPRODUCT(--($AG$6:$AG$1005=AG511))&gt;1,1,0))</f>
        <v>0</v>
      </c>
      <c r="AI511" s="96">
        <f>IF(R511=0,0,IF(OR(U511=0,V511=0,Y511=0,AND(AH511=1,K511&lt;&gt;"Sim")),1,0))</f>
        <v>0</v>
      </c>
      <c r="AJ511" s="96">
        <f>IF(AND(R511=1,AA511&gt;0,AB511=AA511),1,0)</f>
        <v>0</v>
      </c>
      <c r="AK511" s="96">
        <f>IF(R511=0,0,IF(AA511&gt;0,N(L511),IF(ISNUMBER(I511),I511,0)))</f>
        <v>0</v>
      </c>
      <c r="AL511" s="96">
        <f>IF(R511=0,0,IF(AND(K511&lt;&gt;"Sim",N(M511)&gt;AK511+cfg_tol),1,0))</f>
        <v>0</v>
      </c>
      <c r="AM511" s="96">
        <f>IF(R511=0,0,IF(K511="Sim",0,IF(OR(AND(AA511&gt;0,ISNUMBER(I511),ABS(I511-N(L511))&gt;cfg_tol),AL511=1),1,0)))</f>
        <v>0</v>
      </c>
      <c r="AN511" s="96">
        <f>IF(AND(R511=1,N(M511)&gt;0,OR(N(M511)&gt;=AK511-cfg_tol,K511="Sim")),1,0)</f>
        <v>0</v>
      </c>
      <c r="AO511" s="96">
        <f>IF(AND(AN511=1,AD511&gt;0,AE511=AD511,AL511=0),1,0)</f>
        <v>0</v>
      </c>
      <c r="AP511" s="96">
        <f>IF(U511=0,0,IF(AND(INDEX('MTRs'!$AX$6:$AX$505,T511)=1,Z511=0,OR(f_res="",f_res="(Todos)",C511=f_res)),1,0))</f>
        <v>0</v>
      </c>
      <c r="AQ511" s="97" t="str">
        <f>IF(U511=0,"",INDEX('MTRs'!$AZ$6:$AZ$505,T511))</f>
        <v/>
      </c>
      <c r="AR511" s="96">
        <f>IF(U511=0,0,IF(AND(INDEX('MTRs'!$BA$6:$BA$505,T511)=1,Z511=0),1,0))</f>
        <v>0</v>
      </c>
      <c r="AS511" s="96" t="str">
        <f>IF(R511=1,A511&amp;" | MTR "&amp;IF(U511=1,INDEX('MTRs'!$B$6:$B$505,T511)&amp;"","?")&amp;" | "&amp;IF(C511="","(sem resíduo)",C511),"")</f>
        <v/>
      </c>
      <c r="AT511" s="96" t="str">
        <f>IF(R511=1,COUNTIF($R$6:R511,1),"")</f>
        <v/>
      </c>
      <c r="AU511" s="96" t="str">
        <f>IF(U511=1,INDEX('MTRs'!$I$6:$I$505,T511)&amp;"","")</f>
        <v/>
      </c>
    </row>
    <row r="512">
      <c r="A512" s="89" t="inlineStr">
        <is>
          <t>IT-000507</t>
        </is>
      </c>
      <c r="B512" s="91" t="n"/>
      <c r="C512" s="91" t="n"/>
      <c r="D512" s="94" t="str">
        <f>IF(OR(R512=0,V512=0),"",INDEX('CAD_RESÍDUOS'!$E$6:$E$205,MATCH(C512,'CAD_RESÍDUOS'!$B$6:$B$205,0))&amp;"")</f>
        <v/>
      </c>
      <c r="E512" s="94" t="str">
        <f>IF(OR(R512=0,V512=0),"",INDEX('CAD_RESÍDUOS'!$C$6:$C$205,MATCH(C512,'CAD_RESÍDUOS'!$B$6:$B$205,0))&amp;"")</f>
        <v/>
      </c>
      <c r="F512" s="94" t="str">
        <f>IF(OR(R512=0,V512=0),"",INDEX('CAD_RESÍDUOS'!$G$6:$G$205,MATCH(C512,'CAD_RESÍDUOS'!$B$6:$B$205,0))&amp;"")</f>
        <v/>
      </c>
      <c r="G512" s="98" t="n"/>
      <c r="H512" s="91" t="n"/>
      <c r="I512" s="93" t="str">
        <f>IF(R512=0,"",IF(NOT(ISNUMBER(G512)),"",IF(ISNUMBER(X512),G512*X512,"UNIDADE A CONFERIR")))</f>
        <v/>
      </c>
      <c r="J512" s="91" t="n"/>
      <c r="K512" s="91" t="n"/>
      <c r="L512" s="93" t="str">
        <f>IF(R512=0,"",SUMIFS('RECEBIMENTOS'!$H$6:$H$1005,'RECEBIMENTOS'!$R$6:$R$1005,A512,'RECEBIMENTOS'!$X$6:$X$1005,1))</f>
        <v/>
      </c>
      <c r="M512" s="93" t="str">
        <f>IF(R512=0,"",SUMIFS('VÍNCULOS_CDF'!$H$6:$H$1005,'VÍNCULOS_CDF'!$R$6:$R$1005,A512,'VÍNCULOS_CDF'!$V$6:$V$1005,1))</f>
        <v/>
      </c>
      <c r="N512" s="99" t="str">
        <f>IF(OR(R512=0,AA512=0,NOT(ISNUMBER(I512))),"",I512-N(L512))</f>
        <v/>
      </c>
      <c r="O512" s="100" t="str">
        <f>IF(OR(R512=0,AK512&lt;=0),"",N(M512)/AK512)</f>
        <v/>
      </c>
      <c r="P512" s="94" t="str">
        <f>IF(R512=0,"",IF(S512="","Sem MTR associado",IF(U512=0,"MTR inexistente",IF(C512="","Resíduo não identificado",IF(V512=0,"Resíduo fora do cadastro",IF(W512=0,"Quantidade inválida",IF(H512="","Unidade não informada",IF(NOT(ISNUMBER(I512)),"Unidade a conferir",IF(AND(AH512=1,K512&lt;&gt;"Sim"),"Possível duplicidade",IF(Z512=1,"MTR cancelado",IF(AC512&gt;0,"Recebimento com alerta",IF(AA512=0,"Aguardando recebimento",IF(AB512&lt;AA512,"Recebimento a conferir",IF(AM512=1,"Quantidade a revisar",IF(AF512&gt;0,"Vínculo a revisar",IF(AD512=0,"Aguardando CDF",IF(AN512=0,"Vínculo de CDF parcial",IF(AE512&lt;AD512,"CDF a conferir","Documentação conferida"))))))))))))))))))</f>
        <v/>
      </c>
      <c r="Q512" s="93" t="str">
        <f>IF(OR(R512=0,AA512=0),"",MAX(0,N(L512)-N(M512)))</f>
        <v/>
      </c>
      <c r="R512" s="96">
        <f>IF(COUNTA(B512:C512,G512:H512,J512:K512)&gt;0,1,0)</f>
        <v>0</v>
      </c>
      <c r="S512" s="96" t="str">
        <f>IF(B512="","",TRIM(LEFT(B512,FIND(" |",B512&amp;" |")-1)))</f>
        <v/>
      </c>
      <c r="T512" s="96" t="str">
        <f>IF(S512="","",IFERROR(MATCH(S512,'MTRs'!$A$6:$A$505,0),""))</f>
        <v/>
      </c>
      <c r="U512" s="96">
        <f>IF(T512="",0,IF(INDEX('MTRs'!$Z$6:$Z$505,T512)=1,1,0))</f>
        <v>0</v>
      </c>
      <c r="V512" s="96">
        <f>IF(C512="",0,IF(ISNUMBER(MATCH(C512,'CAD_RESÍDUOS'!$B$6:$B$205,0)),1,0))</f>
        <v>0</v>
      </c>
      <c r="W512" s="96">
        <f>IF(AND(ISNUMBER(G512),G512&gt;0),1,0)</f>
        <v>0</v>
      </c>
      <c r="X512" s="96" t="str">
        <f>IF(H512="","",IFERROR(IF(ISNUMBER(INDEX(cfg_fac,MATCH(H512,cfg_units,0))),IF(INDEX(cfg_fac,MATCH(H512,cfg_units,0))&gt;0,INDEX(cfg_fac,MATCH(H512,cfg_units,0)),""),""),""))</f>
        <v/>
      </c>
      <c r="Y512" s="96">
        <f>IF(AND(W512=1,ISNUMBER(I512)),1,0)</f>
        <v>0</v>
      </c>
      <c r="Z512" s="96">
        <f>IF(U512=1,INDEX('MTRs'!$AA$6:$AA$505,T512),0)</f>
        <v>0</v>
      </c>
      <c r="AA512" s="96">
        <f>IF(R512=0,0,COUNTIFS('RECEBIMENTOS'!$R$6:$R$1005,A512,'RECEBIMENTOS'!$Q$6:$Q$1005,1))</f>
        <v>0</v>
      </c>
      <c r="AB512" s="96">
        <f>IF(R512=0,0,COUNTIFS('RECEBIMENTOS'!$R$6:$R$1005,A512,'RECEBIMENTOS'!$Z$6:$Z$1005,1))</f>
        <v>0</v>
      </c>
      <c r="AC512" s="96">
        <f>IF(R512=0,0,COUNTIFS('RECEBIMENTOS'!$R$6:$R$1005,A512,'RECEBIMENTOS'!$Y$6:$Y$1005,1))</f>
        <v>0</v>
      </c>
      <c r="AD512" s="96">
        <f>IF(R512=0,0,COUNTIFS('VÍNCULOS_CDF'!$R$6:$R$1005,A512,'VÍNCULOS_CDF'!$N$6:$N$1005,1))</f>
        <v>0</v>
      </c>
      <c r="AE512" s="96">
        <f>IF(R512=0,0,COUNTIFS('VÍNCULOS_CDF'!$R$6:$R$1005,A512,'VÍNCULOS_CDF'!$AA$6:$AA$1005,1))</f>
        <v>0</v>
      </c>
      <c r="AF512" s="96">
        <f>IF(R512=0,0,COUNTIFS('VÍNCULOS_CDF'!$R$6:$R$1005,A512,'VÍNCULOS_CDF'!$Y$6:$Y$1005,1))</f>
        <v>0</v>
      </c>
      <c r="AG512" s="96" t="str">
        <f>IF(AND(R512=1,S512&lt;&gt;"",C512&lt;&gt;""),S512&amp;"|"&amp;C512&amp;"|"&amp;G512&amp;"|"&amp;H512,"")</f>
        <v/>
      </c>
      <c r="AH512" s="96">
        <f>IF(AG512="",0,IF(SUMPRODUCT(--($AG$6:$AG$1005=AG512))&gt;1,1,0))</f>
        <v>0</v>
      </c>
      <c r="AI512" s="96">
        <f>IF(R512=0,0,IF(OR(U512=0,V512=0,Y512=0,AND(AH512=1,K512&lt;&gt;"Sim")),1,0))</f>
        <v>0</v>
      </c>
      <c r="AJ512" s="96">
        <f>IF(AND(R512=1,AA512&gt;0,AB512=AA512),1,0)</f>
        <v>0</v>
      </c>
      <c r="AK512" s="96">
        <f>IF(R512=0,0,IF(AA512&gt;0,N(L512),IF(ISNUMBER(I512),I512,0)))</f>
        <v>0</v>
      </c>
      <c r="AL512" s="96">
        <f>IF(R512=0,0,IF(AND(K512&lt;&gt;"Sim",N(M512)&gt;AK512+cfg_tol),1,0))</f>
        <v>0</v>
      </c>
      <c r="AM512" s="96">
        <f>IF(R512=0,0,IF(K512="Sim",0,IF(OR(AND(AA512&gt;0,ISNUMBER(I512),ABS(I512-N(L512))&gt;cfg_tol),AL512=1),1,0)))</f>
        <v>0</v>
      </c>
      <c r="AN512" s="96">
        <f>IF(AND(R512=1,N(M512)&gt;0,OR(N(M512)&gt;=AK512-cfg_tol,K512="Sim")),1,0)</f>
        <v>0</v>
      </c>
      <c r="AO512" s="96">
        <f>IF(AND(AN512=1,AD512&gt;0,AE512=AD512,AL512=0),1,0)</f>
        <v>0</v>
      </c>
      <c r="AP512" s="96">
        <f>IF(U512=0,0,IF(AND(INDEX('MTRs'!$AX$6:$AX$505,T512)=1,Z512=0,OR(f_res="",f_res="(Todos)",C512=f_res)),1,0))</f>
        <v>0</v>
      </c>
      <c r="AQ512" s="97" t="str">
        <f>IF(U512=0,"",INDEX('MTRs'!$AZ$6:$AZ$505,T512))</f>
        <v/>
      </c>
      <c r="AR512" s="96">
        <f>IF(U512=0,0,IF(AND(INDEX('MTRs'!$BA$6:$BA$505,T512)=1,Z512=0),1,0))</f>
        <v>0</v>
      </c>
      <c r="AS512" s="96" t="str">
        <f>IF(R512=1,A512&amp;" | MTR "&amp;IF(U512=1,INDEX('MTRs'!$B$6:$B$505,T512)&amp;"","?")&amp;" | "&amp;IF(C512="","(sem resíduo)",C512),"")</f>
        <v/>
      </c>
      <c r="AT512" s="96" t="str">
        <f>IF(R512=1,COUNTIF($R$6:R512,1),"")</f>
        <v/>
      </c>
      <c r="AU512" s="96" t="str">
        <f>IF(U512=1,INDEX('MTRs'!$I$6:$I$505,T512)&amp;"","")</f>
        <v/>
      </c>
    </row>
    <row r="513">
      <c r="A513" s="89" t="inlineStr">
        <is>
          <t>IT-000508</t>
        </is>
      </c>
      <c r="B513" s="91" t="n"/>
      <c r="C513" s="91" t="n"/>
      <c r="D513" s="94" t="str">
        <f>IF(OR(R513=0,V513=0),"",INDEX('CAD_RESÍDUOS'!$E$6:$E$205,MATCH(C513,'CAD_RESÍDUOS'!$B$6:$B$205,0))&amp;"")</f>
        <v/>
      </c>
      <c r="E513" s="94" t="str">
        <f>IF(OR(R513=0,V513=0),"",INDEX('CAD_RESÍDUOS'!$C$6:$C$205,MATCH(C513,'CAD_RESÍDUOS'!$B$6:$B$205,0))&amp;"")</f>
        <v/>
      </c>
      <c r="F513" s="94" t="str">
        <f>IF(OR(R513=0,V513=0),"",INDEX('CAD_RESÍDUOS'!$G$6:$G$205,MATCH(C513,'CAD_RESÍDUOS'!$B$6:$B$205,0))&amp;"")</f>
        <v/>
      </c>
      <c r="G513" s="98" t="n"/>
      <c r="H513" s="91" t="n"/>
      <c r="I513" s="93" t="str">
        <f>IF(R513=0,"",IF(NOT(ISNUMBER(G513)),"",IF(ISNUMBER(X513),G513*X513,"UNIDADE A CONFERIR")))</f>
        <v/>
      </c>
      <c r="J513" s="91" t="n"/>
      <c r="K513" s="91" t="n"/>
      <c r="L513" s="93" t="str">
        <f>IF(R513=0,"",SUMIFS('RECEBIMENTOS'!$H$6:$H$1005,'RECEBIMENTOS'!$R$6:$R$1005,A513,'RECEBIMENTOS'!$X$6:$X$1005,1))</f>
        <v/>
      </c>
      <c r="M513" s="93" t="str">
        <f>IF(R513=0,"",SUMIFS('VÍNCULOS_CDF'!$H$6:$H$1005,'VÍNCULOS_CDF'!$R$6:$R$1005,A513,'VÍNCULOS_CDF'!$V$6:$V$1005,1))</f>
        <v/>
      </c>
      <c r="N513" s="99" t="str">
        <f>IF(OR(R513=0,AA513=0,NOT(ISNUMBER(I513))),"",I513-N(L513))</f>
        <v/>
      </c>
      <c r="O513" s="100" t="str">
        <f>IF(OR(R513=0,AK513&lt;=0),"",N(M513)/AK513)</f>
        <v/>
      </c>
      <c r="P513" s="94" t="str">
        <f>IF(R513=0,"",IF(S513="","Sem MTR associado",IF(U513=0,"MTR inexistente",IF(C513="","Resíduo não identificado",IF(V513=0,"Resíduo fora do cadastro",IF(W513=0,"Quantidade inválida",IF(H513="","Unidade não informada",IF(NOT(ISNUMBER(I513)),"Unidade a conferir",IF(AND(AH513=1,K513&lt;&gt;"Sim"),"Possível duplicidade",IF(Z513=1,"MTR cancelado",IF(AC513&gt;0,"Recebimento com alerta",IF(AA513=0,"Aguardando recebimento",IF(AB513&lt;AA513,"Recebimento a conferir",IF(AM513=1,"Quantidade a revisar",IF(AF513&gt;0,"Vínculo a revisar",IF(AD513=0,"Aguardando CDF",IF(AN513=0,"Vínculo de CDF parcial",IF(AE513&lt;AD513,"CDF a conferir","Documentação conferida"))))))))))))))))))</f>
        <v/>
      </c>
      <c r="Q513" s="93" t="str">
        <f>IF(OR(R513=0,AA513=0),"",MAX(0,N(L513)-N(M513)))</f>
        <v/>
      </c>
      <c r="R513" s="96">
        <f>IF(COUNTA(B513:C513,G513:H513,J513:K513)&gt;0,1,0)</f>
        <v>0</v>
      </c>
      <c r="S513" s="96" t="str">
        <f>IF(B513="","",TRIM(LEFT(B513,FIND(" |",B513&amp;" |")-1)))</f>
        <v/>
      </c>
      <c r="T513" s="96" t="str">
        <f>IF(S513="","",IFERROR(MATCH(S513,'MTRs'!$A$6:$A$505,0),""))</f>
        <v/>
      </c>
      <c r="U513" s="96">
        <f>IF(T513="",0,IF(INDEX('MTRs'!$Z$6:$Z$505,T513)=1,1,0))</f>
        <v>0</v>
      </c>
      <c r="V513" s="96">
        <f>IF(C513="",0,IF(ISNUMBER(MATCH(C513,'CAD_RESÍDUOS'!$B$6:$B$205,0)),1,0))</f>
        <v>0</v>
      </c>
      <c r="W513" s="96">
        <f>IF(AND(ISNUMBER(G513),G513&gt;0),1,0)</f>
        <v>0</v>
      </c>
      <c r="X513" s="96" t="str">
        <f>IF(H513="","",IFERROR(IF(ISNUMBER(INDEX(cfg_fac,MATCH(H513,cfg_units,0))),IF(INDEX(cfg_fac,MATCH(H513,cfg_units,0))&gt;0,INDEX(cfg_fac,MATCH(H513,cfg_units,0)),""),""),""))</f>
        <v/>
      </c>
      <c r="Y513" s="96">
        <f>IF(AND(W513=1,ISNUMBER(I513)),1,0)</f>
        <v>0</v>
      </c>
      <c r="Z513" s="96">
        <f>IF(U513=1,INDEX('MTRs'!$AA$6:$AA$505,T513),0)</f>
        <v>0</v>
      </c>
      <c r="AA513" s="96">
        <f>IF(R513=0,0,COUNTIFS('RECEBIMENTOS'!$R$6:$R$1005,A513,'RECEBIMENTOS'!$Q$6:$Q$1005,1))</f>
        <v>0</v>
      </c>
      <c r="AB513" s="96">
        <f>IF(R513=0,0,COUNTIFS('RECEBIMENTOS'!$R$6:$R$1005,A513,'RECEBIMENTOS'!$Z$6:$Z$1005,1))</f>
        <v>0</v>
      </c>
      <c r="AC513" s="96">
        <f>IF(R513=0,0,COUNTIFS('RECEBIMENTOS'!$R$6:$R$1005,A513,'RECEBIMENTOS'!$Y$6:$Y$1005,1))</f>
        <v>0</v>
      </c>
      <c r="AD513" s="96">
        <f>IF(R513=0,0,COUNTIFS('VÍNCULOS_CDF'!$R$6:$R$1005,A513,'VÍNCULOS_CDF'!$N$6:$N$1005,1))</f>
        <v>0</v>
      </c>
      <c r="AE513" s="96">
        <f>IF(R513=0,0,COUNTIFS('VÍNCULOS_CDF'!$R$6:$R$1005,A513,'VÍNCULOS_CDF'!$AA$6:$AA$1005,1))</f>
        <v>0</v>
      </c>
      <c r="AF513" s="96">
        <f>IF(R513=0,0,COUNTIFS('VÍNCULOS_CDF'!$R$6:$R$1005,A513,'VÍNCULOS_CDF'!$Y$6:$Y$1005,1))</f>
        <v>0</v>
      </c>
      <c r="AG513" s="96" t="str">
        <f>IF(AND(R513=1,S513&lt;&gt;"",C513&lt;&gt;""),S513&amp;"|"&amp;C513&amp;"|"&amp;G513&amp;"|"&amp;H513,"")</f>
        <v/>
      </c>
      <c r="AH513" s="96">
        <f>IF(AG513="",0,IF(SUMPRODUCT(--($AG$6:$AG$1005=AG513))&gt;1,1,0))</f>
        <v>0</v>
      </c>
      <c r="AI513" s="96">
        <f>IF(R513=0,0,IF(OR(U513=0,V513=0,Y513=0,AND(AH513=1,K513&lt;&gt;"Sim")),1,0))</f>
        <v>0</v>
      </c>
      <c r="AJ513" s="96">
        <f>IF(AND(R513=1,AA513&gt;0,AB513=AA513),1,0)</f>
        <v>0</v>
      </c>
      <c r="AK513" s="96">
        <f>IF(R513=0,0,IF(AA513&gt;0,N(L513),IF(ISNUMBER(I513),I513,0)))</f>
        <v>0</v>
      </c>
      <c r="AL513" s="96">
        <f>IF(R513=0,0,IF(AND(K513&lt;&gt;"Sim",N(M513)&gt;AK513+cfg_tol),1,0))</f>
        <v>0</v>
      </c>
      <c r="AM513" s="96">
        <f>IF(R513=0,0,IF(K513="Sim",0,IF(OR(AND(AA513&gt;0,ISNUMBER(I513),ABS(I513-N(L513))&gt;cfg_tol),AL513=1),1,0)))</f>
        <v>0</v>
      </c>
      <c r="AN513" s="96">
        <f>IF(AND(R513=1,N(M513)&gt;0,OR(N(M513)&gt;=AK513-cfg_tol,K513="Sim")),1,0)</f>
        <v>0</v>
      </c>
      <c r="AO513" s="96">
        <f>IF(AND(AN513=1,AD513&gt;0,AE513=AD513,AL513=0),1,0)</f>
        <v>0</v>
      </c>
      <c r="AP513" s="96">
        <f>IF(U513=0,0,IF(AND(INDEX('MTRs'!$AX$6:$AX$505,T513)=1,Z513=0,OR(f_res="",f_res="(Todos)",C513=f_res)),1,0))</f>
        <v>0</v>
      </c>
      <c r="AQ513" s="97" t="str">
        <f>IF(U513=0,"",INDEX('MTRs'!$AZ$6:$AZ$505,T513))</f>
        <v/>
      </c>
      <c r="AR513" s="96">
        <f>IF(U513=0,0,IF(AND(INDEX('MTRs'!$BA$6:$BA$505,T513)=1,Z513=0),1,0))</f>
        <v>0</v>
      </c>
      <c r="AS513" s="96" t="str">
        <f>IF(R513=1,A513&amp;" | MTR "&amp;IF(U513=1,INDEX('MTRs'!$B$6:$B$505,T513)&amp;"","?")&amp;" | "&amp;IF(C513="","(sem resíduo)",C513),"")</f>
        <v/>
      </c>
      <c r="AT513" s="96" t="str">
        <f>IF(R513=1,COUNTIF($R$6:R513,1),"")</f>
        <v/>
      </c>
      <c r="AU513" s="96" t="str">
        <f>IF(U513=1,INDEX('MTRs'!$I$6:$I$505,T513)&amp;"","")</f>
        <v/>
      </c>
    </row>
    <row r="514">
      <c r="A514" s="89" t="inlineStr">
        <is>
          <t>IT-000509</t>
        </is>
      </c>
      <c r="B514" s="91" t="n"/>
      <c r="C514" s="91" t="n"/>
      <c r="D514" s="94" t="str">
        <f>IF(OR(R514=0,V514=0),"",INDEX('CAD_RESÍDUOS'!$E$6:$E$205,MATCH(C514,'CAD_RESÍDUOS'!$B$6:$B$205,0))&amp;"")</f>
        <v/>
      </c>
      <c r="E514" s="94" t="str">
        <f>IF(OR(R514=0,V514=0),"",INDEX('CAD_RESÍDUOS'!$C$6:$C$205,MATCH(C514,'CAD_RESÍDUOS'!$B$6:$B$205,0))&amp;"")</f>
        <v/>
      </c>
      <c r="F514" s="94" t="str">
        <f>IF(OR(R514=0,V514=0),"",INDEX('CAD_RESÍDUOS'!$G$6:$G$205,MATCH(C514,'CAD_RESÍDUOS'!$B$6:$B$205,0))&amp;"")</f>
        <v/>
      </c>
      <c r="G514" s="98" t="n"/>
      <c r="H514" s="91" t="n"/>
      <c r="I514" s="93" t="str">
        <f>IF(R514=0,"",IF(NOT(ISNUMBER(G514)),"",IF(ISNUMBER(X514),G514*X514,"UNIDADE A CONFERIR")))</f>
        <v/>
      </c>
      <c r="J514" s="91" t="n"/>
      <c r="K514" s="91" t="n"/>
      <c r="L514" s="93" t="str">
        <f>IF(R514=0,"",SUMIFS('RECEBIMENTOS'!$H$6:$H$1005,'RECEBIMENTOS'!$R$6:$R$1005,A514,'RECEBIMENTOS'!$X$6:$X$1005,1))</f>
        <v/>
      </c>
      <c r="M514" s="93" t="str">
        <f>IF(R514=0,"",SUMIFS('VÍNCULOS_CDF'!$H$6:$H$1005,'VÍNCULOS_CDF'!$R$6:$R$1005,A514,'VÍNCULOS_CDF'!$V$6:$V$1005,1))</f>
        <v/>
      </c>
      <c r="N514" s="99" t="str">
        <f>IF(OR(R514=0,AA514=0,NOT(ISNUMBER(I514))),"",I514-N(L514))</f>
        <v/>
      </c>
      <c r="O514" s="100" t="str">
        <f>IF(OR(R514=0,AK514&lt;=0),"",N(M514)/AK514)</f>
        <v/>
      </c>
      <c r="P514" s="94" t="str">
        <f>IF(R514=0,"",IF(S514="","Sem MTR associado",IF(U514=0,"MTR inexistente",IF(C514="","Resíduo não identificado",IF(V514=0,"Resíduo fora do cadastro",IF(W514=0,"Quantidade inválida",IF(H514="","Unidade não informada",IF(NOT(ISNUMBER(I514)),"Unidade a conferir",IF(AND(AH514=1,K514&lt;&gt;"Sim"),"Possível duplicidade",IF(Z514=1,"MTR cancelado",IF(AC514&gt;0,"Recebimento com alerta",IF(AA514=0,"Aguardando recebimento",IF(AB514&lt;AA514,"Recebimento a conferir",IF(AM514=1,"Quantidade a revisar",IF(AF514&gt;0,"Vínculo a revisar",IF(AD514=0,"Aguardando CDF",IF(AN514=0,"Vínculo de CDF parcial",IF(AE514&lt;AD514,"CDF a conferir","Documentação conferida"))))))))))))))))))</f>
        <v/>
      </c>
      <c r="Q514" s="93" t="str">
        <f>IF(OR(R514=0,AA514=0),"",MAX(0,N(L514)-N(M514)))</f>
        <v/>
      </c>
      <c r="R514" s="96">
        <f>IF(COUNTA(B514:C514,G514:H514,J514:K514)&gt;0,1,0)</f>
        <v>0</v>
      </c>
      <c r="S514" s="96" t="str">
        <f>IF(B514="","",TRIM(LEFT(B514,FIND(" |",B514&amp;" |")-1)))</f>
        <v/>
      </c>
      <c r="T514" s="96" t="str">
        <f>IF(S514="","",IFERROR(MATCH(S514,'MTRs'!$A$6:$A$505,0),""))</f>
        <v/>
      </c>
      <c r="U514" s="96">
        <f>IF(T514="",0,IF(INDEX('MTRs'!$Z$6:$Z$505,T514)=1,1,0))</f>
        <v>0</v>
      </c>
      <c r="V514" s="96">
        <f>IF(C514="",0,IF(ISNUMBER(MATCH(C514,'CAD_RESÍDUOS'!$B$6:$B$205,0)),1,0))</f>
        <v>0</v>
      </c>
      <c r="W514" s="96">
        <f>IF(AND(ISNUMBER(G514),G514&gt;0),1,0)</f>
        <v>0</v>
      </c>
      <c r="X514" s="96" t="str">
        <f>IF(H514="","",IFERROR(IF(ISNUMBER(INDEX(cfg_fac,MATCH(H514,cfg_units,0))),IF(INDEX(cfg_fac,MATCH(H514,cfg_units,0))&gt;0,INDEX(cfg_fac,MATCH(H514,cfg_units,0)),""),""),""))</f>
        <v/>
      </c>
      <c r="Y514" s="96">
        <f>IF(AND(W514=1,ISNUMBER(I514)),1,0)</f>
        <v>0</v>
      </c>
      <c r="Z514" s="96">
        <f>IF(U514=1,INDEX('MTRs'!$AA$6:$AA$505,T514),0)</f>
        <v>0</v>
      </c>
      <c r="AA514" s="96">
        <f>IF(R514=0,0,COUNTIFS('RECEBIMENTOS'!$R$6:$R$1005,A514,'RECEBIMENTOS'!$Q$6:$Q$1005,1))</f>
        <v>0</v>
      </c>
      <c r="AB514" s="96">
        <f>IF(R514=0,0,COUNTIFS('RECEBIMENTOS'!$R$6:$R$1005,A514,'RECEBIMENTOS'!$Z$6:$Z$1005,1))</f>
        <v>0</v>
      </c>
      <c r="AC514" s="96">
        <f>IF(R514=0,0,COUNTIFS('RECEBIMENTOS'!$R$6:$R$1005,A514,'RECEBIMENTOS'!$Y$6:$Y$1005,1))</f>
        <v>0</v>
      </c>
      <c r="AD514" s="96">
        <f>IF(R514=0,0,COUNTIFS('VÍNCULOS_CDF'!$R$6:$R$1005,A514,'VÍNCULOS_CDF'!$N$6:$N$1005,1))</f>
        <v>0</v>
      </c>
      <c r="AE514" s="96">
        <f>IF(R514=0,0,COUNTIFS('VÍNCULOS_CDF'!$R$6:$R$1005,A514,'VÍNCULOS_CDF'!$AA$6:$AA$1005,1))</f>
        <v>0</v>
      </c>
      <c r="AF514" s="96">
        <f>IF(R514=0,0,COUNTIFS('VÍNCULOS_CDF'!$R$6:$R$1005,A514,'VÍNCULOS_CDF'!$Y$6:$Y$1005,1))</f>
        <v>0</v>
      </c>
      <c r="AG514" s="96" t="str">
        <f>IF(AND(R514=1,S514&lt;&gt;"",C514&lt;&gt;""),S514&amp;"|"&amp;C514&amp;"|"&amp;G514&amp;"|"&amp;H514,"")</f>
        <v/>
      </c>
      <c r="AH514" s="96">
        <f>IF(AG514="",0,IF(SUMPRODUCT(--($AG$6:$AG$1005=AG514))&gt;1,1,0))</f>
        <v>0</v>
      </c>
      <c r="AI514" s="96">
        <f>IF(R514=0,0,IF(OR(U514=0,V514=0,Y514=0,AND(AH514=1,K514&lt;&gt;"Sim")),1,0))</f>
        <v>0</v>
      </c>
      <c r="AJ514" s="96">
        <f>IF(AND(R514=1,AA514&gt;0,AB514=AA514),1,0)</f>
        <v>0</v>
      </c>
      <c r="AK514" s="96">
        <f>IF(R514=0,0,IF(AA514&gt;0,N(L514),IF(ISNUMBER(I514),I514,0)))</f>
        <v>0</v>
      </c>
      <c r="AL514" s="96">
        <f>IF(R514=0,0,IF(AND(K514&lt;&gt;"Sim",N(M514)&gt;AK514+cfg_tol),1,0))</f>
        <v>0</v>
      </c>
      <c r="AM514" s="96">
        <f>IF(R514=0,0,IF(K514="Sim",0,IF(OR(AND(AA514&gt;0,ISNUMBER(I514),ABS(I514-N(L514))&gt;cfg_tol),AL514=1),1,0)))</f>
        <v>0</v>
      </c>
      <c r="AN514" s="96">
        <f>IF(AND(R514=1,N(M514)&gt;0,OR(N(M514)&gt;=AK514-cfg_tol,K514="Sim")),1,0)</f>
        <v>0</v>
      </c>
      <c r="AO514" s="96">
        <f>IF(AND(AN514=1,AD514&gt;0,AE514=AD514,AL514=0),1,0)</f>
        <v>0</v>
      </c>
      <c r="AP514" s="96">
        <f>IF(U514=0,0,IF(AND(INDEX('MTRs'!$AX$6:$AX$505,T514)=1,Z514=0,OR(f_res="",f_res="(Todos)",C514=f_res)),1,0))</f>
        <v>0</v>
      </c>
      <c r="AQ514" s="97" t="str">
        <f>IF(U514=0,"",INDEX('MTRs'!$AZ$6:$AZ$505,T514))</f>
        <v/>
      </c>
      <c r="AR514" s="96">
        <f>IF(U514=0,0,IF(AND(INDEX('MTRs'!$BA$6:$BA$505,T514)=1,Z514=0),1,0))</f>
        <v>0</v>
      </c>
      <c r="AS514" s="96" t="str">
        <f>IF(R514=1,A514&amp;" | MTR "&amp;IF(U514=1,INDEX('MTRs'!$B$6:$B$505,T514)&amp;"","?")&amp;" | "&amp;IF(C514="","(sem resíduo)",C514),"")</f>
        <v/>
      </c>
      <c r="AT514" s="96" t="str">
        <f>IF(R514=1,COUNTIF($R$6:R514,1),"")</f>
        <v/>
      </c>
      <c r="AU514" s="96" t="str">
        <f>IF(U514=1,INDEX('MTRs'!$I$6:$I$505,T514)&amp;"","")</f>
        <v/>
      </c>
    </row>
    <row r="515">
      <c r="A515" s="89" t="inlineStr">
        <is>
          <t>IT-000510</t>
        </is>
      </c>
      <c r="B515" s="91" t="n"/>
      <c r="C515" s="91" t="n"/>
      <c r="D515" s="94" t="str">
        <f>IF(OR(R515=0,V515=0),"",INDEX('CAD_RESÍDUOS'!$E$6:$E$205,MATCH(C515,'CAD_RESÍDUOS'!$B$6:$B$205,0))&amp;"")</f>
        <v/>
      </c>
      <c r="E515" s="94" t="str">
        <f>IF(OR(R515=0,V515=0),"",INDEX('CAD_RESÍDUOS'!$C$6:$C$205,MATCH(C515,'CAD_RESÍDUOS'!$B$6:$B$205,0))&amp;"")</f>
        <v/>
      </c>
      <c r="F515" s="94" t="str">
        <f>IF(OR(R515=0,V515=0),"",INDEX('CAD_RESÍDUOS'!$G$6:$G$205,MATCH(C515,'CAD_RESÍDUOS'!$B$6:$B$205,0))&amp;"")</f>
        <v/>
      </c>
      <c r="G515" s="98" t="n"/>
      <c r="H515" s="91" t="n"/>
      <c r="I515" s="93" t="str">
        <f>IF(R515=0,"",IF(NOT(ISNUMBER(G515)),"",IF(ISNUMBER(X515),G515*X515,"UNIDADE A CONFERIR")))</f>
        <v/>
      </c>
      <c r="J515" s="91" t="n"/>
      <c r="K515" s="91" t="n"/>
      <c r="L515" s="93" t="str">
        <f>IF(R515=0,"",SUMIFS('RECEBIMENTOS'!$H$6:$H$1005,'RECEBIMENTOS'!$R$6:$R$1005,A515,'RECEBIMENTOS'!$X$6:$X$1005,1))</f>
        <v/>
      </c>
      <c r="M515" s="93" t="str">
        <f>IF(R515=0,"",SUMIFS('VÍNCULOS_CDF'!$H$6:$H$1005,'VÍNCULOS_CDF'!$R$6:$R$1005,A515,'VÍNCULOS_CDF'!$V$6:$V$1005,1))</f>
        <v/>
      </c>
      <c r="N515" s="99" t="str">
        <f>IF(OR(R515=0,AA515=0,NOT(ISNUMBER(I515))),"",I515-N(L515))</f>
        <v/>
      </c>
      <c r="O515" s="100" t="str">
        <f>IF(OR(R515=0,AK515&lt;=0),"",N(M515)/AK515)</f>
        <v/>
      </c>
      <c r="P515" s="94" t="str">
        <f>IF(R515=0,"",IF(S515="","Sem MTR associado",IF(U515=0,"MTR inexistente",IF(C515="","Resíduo não identificado",IF(V515=0,"Resíduo fora do cadastro",IF(W515=0,"Quantidade inválida",IF(H515="","Unidade não informada",IF(NOT(ISNUMBER(I515)),"Unidade a conferir",IF(AND(AH515=1,K515&lt;&gt;"Sim"),"Possível duplicidade",IF(Z515=1,"MTR cancelado",IF(AC515&gt;0,"Recebimento com alerta",IF(AA515=0,"Aguardando recebimento",IF(AB515&lt;AA515,"Recebimento a conferir",IF(AM515=1,"Quantidade a revisar",IF(AF515&gt;0,"Vínculo a revisar",IF(AD515=0,"Aguardando CDF",IF(AN515=0,"Vínculo de CDF parcial",IF(AE515&lt;AD515,"CDF a conferir","Documentação conferida"))))))))))))))))))</f>
        <v/>
      </c>
      <c r="Q515" s="93" t="str">
        <f>IF(OR(R515=0,AA515=0),"",MAX(0,N(L515)-N(M515)))</f>
        <v/>
      </c>
      <c r="R515" s="96">
        <f>IF(COUNTA(B515:C515,G515:H515,J515:K515)&gt;0,1,0)</f>
        <v>0</v>
      </c>
      <c r="S515" s="96" t="str">
        <f>IF(B515="","",TRIM(LEFT(B515,FIND(" |",B515&amp;" |")-1)))</f>
        <v/>
      </c>
      <c r="T515" s="96" t="str">
        <f>IF(S515="","",IFERROR(MATCH(S515,'MTRs'!$A$6:$A$505,0),""))</f>
        <v/>
      </c>
      <c r="U515" s="96">
        <f>IF(T515="",0,IF(INDEX('MTRs'!$Z$6:$Z$505,T515)=1,1,0))</f>
        <v>0</v>
      </c>
      <c r="V515" s="96">
        <f>IF(C515="",0,IF(ISNUMBER(MATCH(C515,'CAD_RESÍDUOS'!$B$6:$B$205,0)),1,0))</f>
        <v>0</v>
      </c>
      <c r="W515" s="96">
        <f>IF(AND(ISNUMBER(G515),G515&gt;0),1,0)</f>
        <v>0</v>
      </c>
      <c r="X515" s="96" t="str">
        <f>IF(H515="","",IFERROR(IF(ISNUMBER(INDEX(cfg_fac,MATCH(H515,cfg_units,0))),IF(INDEX(cfg_fac,MATCH(H515,cfg_units,0))&gt;0,INDEX(cfg_fac,MATCH(H515,cfg_units,0)),""),""),""))</f>
        <v/>
      </c>
      <c r="Y515" s="96">
        <f>IF(AND(W515=1,ISNUMBER(I515)),1,0)</f>
        <v>0</v>
      </c>
      <c r="Z515" s="96">
        <f>IF(U515=1,INDEX('MTRs'!$AA$6:$AA$505,T515),0)</f>
        <v>0</v>
      </c>
      <c r="AA515" s="96">
        <f>IF(R515=0,0,COUNTIFS('RECEBIMENTOS'!$R$6:$R$1005,A515,'RECEBIMENTOS'!$Q$6:$Q$1005,1))</f>
        <v>0</v>
      </c>
      <c r="AB515" s="96">
        <f>IF(R515=0,0,COUNTIFS('RECEBIMENTOS'!$R$6:$R$1005,A515,'RECEBIMENTOS'!$Z$6:$Z$1005,1))</f>
        <v>0</v>
      </c>
      <c r="AC515" s="96">
        <f>IF(R515=0,0,COUNTIFS('RECEBIMENTOS'!$R$6:$R$1005,A515,'RECEBIMENTOS'!$Y$6:$Y$1005,1))</f>
        <v>0</v>
      </c>
      <c r="AD515" s="96">
        <f>IF(R515=0,0,COUNTIFS('VÍNCULOS_CDF'!$R$6:$R$1005,A515,'VÍNCULOS_CDF'!$N$6:$N$1005,1))</f>
        <v>0</v>
      </c>
      <c r="AE515" s="96">
        <f>IF(R515=0,0,COUNTIFS('VÍNCULOS_CDF'!$R$6:$R$1005,A515,'VÍNCULOS_CDF'!$AA$6:$AA$1005,1))</f>
        <v>0</v>
      </c>
      <c r="AF515" s="96">
        <f>IF(R515=0,0,COUNTIFS('VÍNCULOS_CDF'!$R$6:$R$1005,A515,'VÍNCULOS_CDF'!$Y$6:$Y$1005,1))</f>
        <v>0</v>
      </c>
      <c r="AG515" s="96" t="str">
        <f>IF(AND(R515=1,S515&lt;&gt;"",C515&lt;&gt;""),S515&amp;"|"&amp;C515&amp;"|"&amp;G515&amp;"|"&amp;H515,"")</f>
        <v/>
      </c>
      <c r="AH515" s="96">
        <f>IF(AG515="",0,IF(SUMPRODUCT(--($AG$6:$AG$1005=AG515))&gt;1,1,0))</f>
        <v>0</v>
      </c>
      <c r="AI515" s="96">
        <f>IF(R515=0,0,IF(OR(U515=0,V515=0,Y515=0,AND(AH515=1,K515&lt;&gt;"Sim")),1,0))</f>
        <v>0</v>
      </c>
      <c r="AJ515" s="96">
        <f>IF(AND(R515=1,AA515&gt;0,AB515=AA515),1,0)</f>
        <v>0</v>
      </c>
      <c r="AK515" s="96">
        <f>IF(R515=0,0,IF(AA515&gt;0,N(L515),IF(ISNUMBER(I515),I515,0)))</f>
        <v>0</v>
      </c>
      <c r="AL515" s="96">
        <f>IF(R515=0,0,IF(AND(K515&lt;&gt;"Sim",N(M515)&gt;AK515+cfg_tol),1,0))</f>
        <v>0</v>
      </c>
      <c r="AM515" s="96">
        <f>IF(R515=0,0,IF(K515="Sim",0,IF(OR(AND(AA515&gt;0,ISNUMBER(I515),ABS(I515-N(L515))&gt;cfg_tol),AL515=1),1,0)))</f>
        <v>0</v>
      </c>
      <c r="AN515" s="96">
        <f>IF(AND(R515=1,N(M515)&gt;0,OR(N(M515)&gt;=AK515-cfg_tol,K515="Sim")),1,0)</f>
        <v>0</v>
      </c>
      <c r="AO515" s="96">
        <f>IF(AND(AN515=1,AD515&gt;0,AE515=AD515,AL515=0),1,0)</f>
        <v>0</v>
      </c>
      <c r="AP515" s="96">
        <f>IF(U515=0,0,IF(AND(INDEX('MTRs'!$AX$6:$AX$505,T515)=1,Z515=0,OR(f_res="",f_res="(Todos)",C515=f_res)),1,0))</f>
        <v>0</v>
      </c>
      <c r="AQ515" s="97" t="str">
        <f>IF(U515=0,"",INDEX('MTRs'!$AZ$6:$AZ$505,T515))</f>
        <v/>
      </c>
      <c r="AR515" s="96">
        <f>IF(U515=0,0,IF(AND(INDEX('MTRs'!$BA$6:$BA$505,T515)=1,Z515=0),1,0))</f>
        <v>0</v>
      </c>
      <c r="AS515" s="96" t="str">
        <f>IF(R515=1,A515&amp;" | MTR "&amp;IF(U515=1,INDEX('MTRs'!$B$6:$B$505,T515)&amp;"","?")&amp;" | "&amp;IF(C515="","(sem resíduo)",C515),"")</f>
        <v/>
      </c>
      <c r="AT515" s="96" t="str">
        <f>IF(R515=1,COUNTIF($R$6:R515,1),"")</f>
        <v/>
      </c>
      <c r="AU515" s="96" t="str">
        <f>IF(U515=1,INDEX('MTRs'!$I$6:$I$505,T515)&amp;"","")</f>
        <v/>
      </c>
    </row>
    <row r="516">
      <c r="A516" s="89" t="inlineStr">
        <is>
          <t>IT-000511</t>
        </is>
      </c>
      <c r="B516" s="91" t="n"/>
      <c r="C516" s="91" t="n"/>
      <c r="D516" s="94" t="str">
        <f>IF(OR(R516=0,V516=0),"",INDEX('CAD_RESÍDUOS'!$E$6:$E$205,MATCH(C516,'CAD_RESÍDUOS'!$B$6:$B$205,0))&amp;"")</f>
        <v/>
      </c>
      <c r="E516" s="94" t="str">
        <f>IF(OR(R516=0,V516=0),"",INDEX('CAD_RESÍDUOS'!$C$6:$C$205,MATCH(C516,'CAD_RESÍDUOS'!$B$6:$B$205,0))&amp;"")</f>
        <v/>
      </c>
      <c r="F516" s="94" t="str">
        <f>IF(OR(R516=0,V516=0),"",INDEX('CAD_RESÍDUOS'!$G$6:$G$205,MATCH(C516,'CAD_RESÍDUOS'!$B$6:$B$205,0))&amp;"")</f>
        <v/>
      </c>
      <c r="G516" s="98" t="n"/>
      <c r="H516" s="91" t="n"/>
      <c r="I516" s="93" t="str">
        <f>IF(R516=0,"",IF(NOT(ISNUMBER(G516)),"",IF(ISNUMBER(X516),G516*X516,"UNIDADE A CONFERIR")))</f>
        <v/>
      </c>
      <c r="J516" s="91" t="n"/>
      <c r="K516" s="91" t="n"/>
      <c r="L516" s="93" t="str">
        <f>IF(R516=0,"",SUMIFS('RECEBIMENTOS'!$H$6:$H$1005,'RECEBIMENTOS'!$R$6:$R$1005,A516,'RECEBIMENTOS'!$X$6:$X$1005,1))</f>
        <v/>
      </c>
      <c r="M516" s="93" t="str">
        <f>IF(R516=0,"",SUMIFS('VÍNCULOS_CDF'!$H$6:$H$1005,'VÍNCULOS_CDF'!$R$6:$R$1005,A516,'VÍNCULOS_CDF'!$V$6:$V$1005,1))</f>
        <v/>
      </c>
      <c r="N516" s="99" t="str">
        <f>IF(OR(R516=0,AA516=0,NOT(ISNUMBER(I516))),"",I516-N(L516))</f>
        <v/>
      </c>
      <c r="O516" s="100" t="str">
        <f>IF(OR(R516=0,AK516&lt;=0),"",N(M516)/AK516)</f>
        <v/>
      </c>
      <c r="P516" s="94" t="str">
        <f>IF(R516=0,"",IF(S516="","Sem MTR associado",IF(U516=0,"MTR inexistente",IF(C516="","Resíduo não identificado",IF(V516=0,"Resíduo fora do cadastro",IF(W516=0,"Quantidade inválida",IF(H516="","Unidade não informada",IF(NOT(ISNUMBER(I516)),"Unidade a conferir",IF(AND(AH516=1,K516&lt;&gt;"Sim"),"Possível duplicidade",IF(Z516=1,"MTR cancelado",IF(AC516&gt;0,"Recebimento com alerta",IF(AA516=0,"Aguardando recebimento",IF(AB516&lt;AA516,"Recebimento a conferir",IF(AM516=1,"Quantidade a revisar",IF(AF516&gt;0,"Vínculo a revisar",IF(AD516=0,"Aguardando CDF",IF(AN516=0,"Vínculo de CDF parcial",IF(AE516&lt;AD516,"CDF a conferir","Documentação conferida"))))))))))))))))))</f>
        <v/>
      </c>
      <c r="Q516" s="93" t="str">
        <f>IF(OR(R516=0,AA516=0),"",MAX(0,N(L516)-N(M516)))</f>
        <v/>
      </c>
      <c r="R516" s="96">
        <f>IF(COUNTA(B516:C516,G516:H516,J516:K516)&gt;0,1,0)</f>
        <v>0</v>
      </c>
      <c r="S516" s="96" t="str">
        <f>IF(B516="","",TRIM(LEFT(B516,FIND(" |",B516&amp;" |")-1)))</f>
        <v/>
      </c>
      <c r="T516" s="96" t="str">
        <f>IF(S516="","",IFERROR(MATCH(S516,'MTRs'!$A$6:$A$505,0),""))</f>
        <v/>
      </c>
      <c r="U516" s="96">
        <f>IF(T516="",0,IF(INDEX('MTRs'!$Z$6:$Z$505,T516)=1,1,0))</f>
        <v>0</v>
      </c>
      <c r="V516" s="96">
        <f>IF(C516="",0,IF(ISNUMBER(MATCH(C516,'CAD_RESÍDUOS'!$B$6:$B$205,0)),1,0))</f>
        <v>0</v>
      </c>
      <c r="W516" s="96">
        <f>IF(AND(ISNUMBER(G516),G516&gt;0),1,0)</f>
        <v>0</v>
      </c>
      <c r="X516" s="96" t="str">
        <f>IF(H516="","",IFERROR(IF(ISNUMBER(INDEX(cfg_fac,MATCH(H516,cfg_units,0))),IF(INDEX(cfg_fac,MATCH(H516,cfg_units,0))&gt;0,INDEX(cfg_fac,MATCH(H516,cfg_units,0)),""),""),""))</f>
        <v/>
      </c>
      <c r="Y516" s="96">
        <f>IF(AND(W516=1,ISNUMBER(I516)),1,0)</f>
        <v>0</v>
      </c>
      <c r="Z516" s="96">
        <f>IF(U516=1,INDEX('MTRs'!$AA$6:$AA$505,T516),0)</f>
        <v>0</v>
      </c>
      <c r="AA516" s="96">
        <f>IF(R516=0,0,COUNTIFS('RECEBIMENTOS'!$R$6:$R$1005,A516,'RECEBIMENTOS'!$Q$6:$Q$1005,1))</f>
        <v>0</v>
      </c>
      <c r="AB516" s="96">
        <f>IF(R516=0,0,COUNTIFS('RECEBIMENTOS'!$R$6:$R$1005,A516,'RECEBIMENTOS'!$Z$6:$Z$1005,1))</f>
        <v>0</v>
      </c>
      <c r="AC516" s="96">
        <f>IF(R516=0,0,COUNTIFS('RECEBIMENTOS'!$R$6:$R$1005,A516,'RECEBIMENTOS'!$Y$6:$Y$1005,1))</f>
        <v>0</v>
      </c>
      <c r="AD516" s="96">
        <f>IF(R516=0,0,COUNTIFS('VÍNCULOS_CDF'!$R$6:$R$1005,A516,'VÍNCULOS_CDF'!$N$6:$N$1005,1))</f>
        <v>0</v>
      </c>
      <c r="AE516" s="96">
        <f>IF(R516=0,0,COUNTIFS('VÍNCULOS_CDF'!$R$6:$R$1005,A516,'VÍNCULOS_CDF'!$AA$6:$AA$1005,1))</f>
        <v>0</v>
      </c>
      <c r="AF516" s="96">
        <f>IF(R516=0,0,COUNTIFS('VÍNCULOS_CDF'!$R$6:$R$1005,A516,'VÍNCULOS_CDF'!$Y$6:$Y$1005,1))</f>
        <v>0</v>
      </c>
      <c r="AG516" s="96" t="str">
        <f>IF(AND(R516=1,S516&lt;&gt;"",C516&lt;&gt;""),S516&amp;"|"&amp;C516&amp;"|"&amp;G516&amp;"|"&amp;H516,"")</f>
        <v/>
      </c>
      <c r="AH516" s="96">
        <f>IF(AG516="",0,IF(SUMPRODUCT(--($AG$6:$AG$1005=AG516))&gt;1,1,0))</f>
        <v>0</v>
      </c>
      <c r="AI516" s="96">
        <f>IF(R516=0,0,IF(OR(U516=0,V516=0,Y516=0,AND(AH516=1,K516&lt;&gt;"Sim")),1,0))</f>
        <v>0</v>
      </c>
      <c r="AJ516" s="96">
        <f>IF(AND(R516=1,AA516&gt;0,AB516=AA516),1,0)</f>
        <v>0</v>
      </c>
      <c r="AK516" s="96">
        <f>IF(R516=0,0,IF(AA516&gt;0,N(L516),IF(ISNUMBER(I516),I516,0)))</f>
        <v>0</v>
      </c>
      <c r="AL516" s="96">
        <f>IF(R516=0,0,IF(AND(K516&lt;&gt;"Sim",N(M516)&gt;AK516+cfg_tol),1,0))</f>
        <v>0</v>
      </c>
      <c r="AM516" s="96">
        <f>IF(R516=0,0,IF(K516="Sim",0,IF(OR(AND(AA516&gt;0,ISNUMBER(I516),ABS(I516-N(L516))&gt;cfg_tol),AL516=1),1,0)))</f>
        <v>0</v>
      </c>
      <c r="AN516" s="96">
        <f>IF(AND(R516=1,N(M516)&gt;0,OR(N(M516)&gt;=AK516-cfg_tol,K516="Sim")),1,0)</f>
        <v>0</v>
      </c>
      <c r="AO516" s="96">
        <f>IF(AND(AN516=1,AD516&gt;0,AE516=AD516,AL516=0),1,0)</f>
        <v>0</v>
      </c>
      <c r="AP516" s="96">
        <f>IF(U516=0,0,IF(AND(INDEX('MTRs'!$AX$6:$AX$505,T516)=1,Z516=0,OR(f_res="",f_res="(Todos)",C516=f_res)),1,0))</f>
        <v>0</v>
      </c>
      <c r="AQ516" s="97" t="str">
        <f>IF(U516=0,"",INDEX('MTRs'!$AZ$6:$AZ$505,T516))</f>
        <v/>
      </c>
      <c r="AR516" s="96">
        <f>IF(U516=0,0,IF(AND(INDEX('MTRs'!$BA$6:$BA$505,T516)=1,Z516=0),1,0))</f>
        <v>0</v>
      </c>
      <c r="AS516" s="96" t="str">
        <f>IF(R516=1,A516&amp;" | MTR "&amp;IF(U516=1,INDEX('MTRs'!$B$6:$B$505,T516)&amp;"","?")&amp;" | "&amp;IF(C516="","(sem resíduo)",C516),"")</f>
        <v/>
      </c>
      <c r="AT516" s="96" t="str">
        <f>IF(R516=1,COUNTIF($R$6:R516,1),"")</f>
        <v/>
      </c>
      <c r="AU516" s="96" t="str">
        <f>IF(U516=1,INDEX('MTRs'!$I$6:$I$505,T516)&amp;"","")</f>
        <v/>
      </c>
    </row>
    <row r="517">
      <c r="A517" s="89" t="inlineStr">
        <is>
          <t>IT-000512</t>
        </is>
      </c>
      <c r="B517" s="91" t="n"/>
      <c r="C517" s="91" t="n"/>
      <c r="D517" s="94" t="str">
        <f>IF(OR(R517=0,V517=0),"",INDEX('CAD_RESÍDUOS'!$E$6:$E$205,MATCH(C517,'CAD_RESÍDUOS'!$B$6:$B$205,0))&amp;"")</f>
        <v/>
      </c>
      <c r="E517" s="94" t="str">
        <f>IF(OR(R517=0,V517=0),"",INDEX('CAD_RESÍDUOS'!$C$6:$C$205,MATCH(C517,'CAD_RESÍDUOS'!$B$6:$B$205,0))&amp;"")</f>
        <v/>
      </c>
      <c r="F517" s="94" t="str">
        <f>IF(OR(R517=0,V517=0),"",INDEX('CAD_RESÍDUOS'!$G$6:$G$205,MATCH(C517,'CAD_RESÍDUOS'!$B$6:$B$205,0))&amp;"")</f>
        <v/>
      </c>
      <c r="G517" s="98" t="n"/>
      <c r="H517" s="91" t="n"/>
      <c r="I517" s="93" t="str">
        <f>IF(R517=0,"",IF(NOT(ISNUMBER(G517)),"",IF(ISNUMBER(X517),G517*X517,"UNIDADE A CONFERIR")))</f>
        <v/>
      </c>
      <c r="J517" s="91" t="n"/>
      <c r="K517" s="91" t="n"/>
      <c r="L517" s="93" t="str">
        <f>IF(R517=0,"",SUMIFS('RECEBIMENTOS'!$H$6:$H$1005,'RECEBIMENTOS'!$R$6:$R$1005,A517,'RECEBIMENTOS'!$X$6:$X$1005,1))</f>
        <v/>
      </c>
      <c r="M517" s="93" t="str">
        <f>IF(R517=0,"",SUMIFS('VÍNCULOS_CDF'!$H$6:$H$1005,'VÍNCULOS_CDF'!$R$6:$R$1005,A517,'VÍNCULOS_CDF'!$V$6:$V$1005,1))</f>
        <v/>
      </c>
      <c r="N517" s="99" t="str">
        <f>IF(OR(R517=0,AA517=0,NOT(ISNUMBER(I517))),"",I517-N(L517))</f>
        <v/>
      </c>
      <c r="O517" s="100" t="str">
        <f>IF(OR(R517=0,AK517&lt;=0),"",N(M517)/AK517)</f>
        <v/>
      </c>
      <c r="P517" s="94" t="str">
        <f>IF(R517=0,"",IF(S517="","Sem MTR associado",IF(U517=0,"MTR inexistente",IF(C517="","Resíduo não identificado",IF(V517=0,"Resíduo fora do cadastro",IF(W517=0,"Quantidade inválida",IF(H517="","Unidade não informada",IF(NOT(ISNUMBER(I517)),"Unidade a conferir",IF(AND(AH517=1,K517&lt;&gt;"Sim"),"Possível duplicidade",IF(Z517=1,"MTR cancelado",IF(AC517&gt;0,"Recebimento com alerta",IF(AA517=0,"Aguardando recebimento",IF(AB517&lt;AA517,"Recebimento a conferir",IF(AM517=1,"Quantidade a revisar",IF(AF517&gt;0,"Vínculo a revisar",IF(AD517=0,"Aguardando CDF",IF(AN517=0,"Vínculo de CDF parcial",IF(AE517&lt;AD517,"CDF a conferir","Documentação conferida"))))))))))))))))))</f>
        <v/>
      </c>
      <c r="Q517" s="93" t="str">
        <f>IF(OR(R517=0,AA517=0),"",MAX(0,N(L517)-N(M517)))</f>
        <v/>
      </c>
      <c r="R517" s="96">
        <f>IF(COUNTA(B517:C517,G517:H517,J517:K517)&gt;0,1,0)</f>
        <v>0</v>
      </c>
      <c r="S517" s="96" t="str">
        <f>IF(B517="","",TRIM(LEFT(B517,FIND(" |",B517&amp;" |")-1)))</f>
        <v/>
      </c>
      <c r="T517" s="96" t="str">
        <f>IF(S517="","",IFERROR(MATCH(S517,'MTRs'!$A$6:$A$505,0),""))</f>
        <v/>
      </c>
      <c r="U517" s="96">
        <f>IF(T517="",0,IF(INDEX('MTRs'!$Z$6:$Z$505,T517)=1,1,0))</f>
        <v>0</v>
      </c>
      <c r="V517" s="96">
        <f>IF(C517="",0,IF(ISNUMBER(MATCH(C517,'CAD_RESÍDUOS'!$B$6:$B$205,0)),1,0))</f>
        <v>0</v>
      </c>
      <c r="W517" s="96">
        <f>IF(AND(ISNUMBER(G517),G517&gt;0),1,0)</f>
        <v>0</v>
      </c>
      <c r="X517" s="96" t="str">
        <f>IF(H517="","",IFERROR(IF(ISNUMBER(INDEX(cfg_fac,MATCH(H517,cfg_units,0))),IF(INDEX(cfg_fac,MATCH(H517,cfg_units,0))&gt;0,INDEX(cfg_fac,MATCH(H517,cfg_units,0)),""),""),""))</f>
        <v/>
      </c>
      <c r="Y517" s="96">
        <f>IF(AND(W517=1,ISNUMBER(I517)),1,0)</f>
        <v>0</v>
      </c>
      <c r="Z517" s="96">
        <f>IF(U517=1,INDEX('MTRs'!$AA$6:$AA$505,T517),0)</f>
        <v>0</v>
      </c>
      <c r="AA517" s="96">
        <f>IF(R517=0,0,COUNTIFS('RECEBIMENTOS'!$R$6:$R$1005,A517,'RECEBIMENTOS'!$Q$6:$Q$1005,1))</f>
        <v>0</v>
      </c>
      <c r="AB517" s="96">
        <f>IF(R517=0,0,COUNTIFS('RECEBIMENTOS'!$R$6:$R$1005,A517,'RECEBIMENTOS'!$Z$6:$Z$1005,1))</f>
        <v>0</v>
      </c>
      <c r="AC517" s="96">
        <f>IF(R517=0,0,COUNTIFS('RECEBIMENTOS'!$R$6:$R$1005,A517,'RECEBIMENTOS'!$Y$6:$Y$1005,1))</f>
        <v>0</v>
      </c>
      <c r="AD517" s="96">
        <f>IF(R517=0,0,COUNTIFS('VÍNCULOS_CDF'!$R$6:$R$1005,A517,'VÍNCULOS_CDF'!$N$6:$N$1005,1))</f>
        <v>0</v>
      </c>
      <c r="AE517" s="96">
        <f>IF(R517=0,0,COUNTIFS('VÍNCULOS_CDF'!$R$6:$R$1005,A517,'VÍNCULOS_CDF'!$AA$6:$AA$1005,1))</f>
        <v>0</v>
      </c>
      <c r="AF517" s="96">
        <f>IF(R517=0,0,COUNTIFS('VÍNCULOS_CDF'!$R$6:$R$1005,A517,'VÍNCULOS_CDF'!$Y$6:$Y$1005,1))</f>
        <v>0</v>
      </c>
      <c r="AG517" s="96" t="str">
        <f>IF(AND(R517=1,S517&lt;&gt;"",C517&lt;&gt;""),S517&amp;"|"&amp;C517&amp;"|"&amp;G517&amp;"|"&amp;H517,"")</f>
        <v/>
      </c>
      <c r="AH517" s="96">
        <f>IF(AG517="",0,IF(SUMPRODUCT(--($AG$6:$AG$1005=AG517))&gt;1,1,0))</f>
        <v>0</v>
      </c>
      <c r="AI517" s="96">
        <f>IF(R517=0,0,IF(OR(U517=0,V517=0,Y517=0,AND(AH517=1,K517&lt;&gt;"Sim")),1,0))</f>
        <v>0</v>
      </c>
      <c r="AJ517" s="96">
        <f>IF(AND(R517=1,AA517&gt;0,AB517=AA517),1,0)</f>
        <v>0</v>
      </c>
      <c r="AK517" s="96">
        <f>IF(R517=0,0,IF(AA517&gt;0,N(L517),IF(ISNUMBER(I517),I517,0)))</f>
        <v>0</v>
      </c>
      <c r="AL517" s="96">
        <f>IF(R517=0,0,IF(AND(K517&lt;&gt;"Sim",N(M517)&gt;AK517+cfg_tol),1,0))</f>
        <v>0</v>
      </c>
      <c r="AM517" s="96">
        <f>IF(R517=0,0,IF(K517="Sim",0,IF(OR(AND(AA517&gt;0,ISNUMBER(I517),ABS(I517-N(L517))&gt;cfg_tol),AL517=1),1,0)))</f>
        <v>0</v>
      </c>
      <c r="AN517" s="96">
        <f>IF(AND(R517=1,N(M517)&gt;0,OR(N(M517)&gt;=AK517-cfg_tol,K517="Sim")),1,0)</f>
        <v>0</v>
      </c>
      <c r="AO517" s="96">
        <f>IF(AND(AN517=1,AD517&gt;0,AE517=AD517,AL517=0),1,0)</f>
        <v>0</v>
      </c>
      <c r="AP517" s="96">
        <f>IF(U517=0,0,IF(AND(INDEX('MTRs'!$AX$6:$AX$505,T517)=1,Z517=0,OR(f_res="",f_res="(Todos)",C517=f_res)),1,0))</f>
        <v>0</v>
      </c>
      <c r="AQ517" s="97" t="str">
        <f>IF(U517=0,"",INDEX('MTRs'!$AZ$6:$AZ$505,T517))</f>
        <v/>
      </c>
      <c r="AR517" s="96">
        <f>IF(U517=0,0,IF(AND(INDEX('MTRs'!$BA$6:$BA$505,T517)=1,Z517=0),1,0))</f>
        <v>0</v>
      </c>
      <c r="AS517" s="96" t="str">
        <f>IF(R517=1,A517&amp;" | MTR "&amp;IF(U517=1,INDEX('MTRs'!$B$6:$B$505,T517)&amp;"","?")&amp;" | "&amp;IF(C517="","(sem resíduo)",C517),"")</f>
        <v/>
      </c>
      <c r="AT517" s="96" t="str">
        <f>IF(R517=1,COUNTIF($R$6:R517,1),"")</f>
        <v/>
      </c>
      <c r="AU517" s="96" t="str">
        <f>IF(U517=1,INDEX('MTRs'!$I$6:$I$505,T517)&amp;"","")</f>
        <v/>
      </c>
    </row>
    <row r="518">
      <c r="A518" s="89" t="inlineStr">
        <is>
          <t>IT-000513</t>
        </is>
      </c>
      <c r="B518" s="91" t="n"/>
      <c r="C518" s="91" t="n"/>
      <c r="D518" s="94" t="str">
        <f>IF(OR(R518=0,V518=0),"",INDEX('CAD_RESÍDUOS'!$E$6:$E$205,MATCH(C518,'CAD_RESÍDUOS'!$B$6:$B$205,0))&amp;"")</f>
        <v/>
      </c>
      <c r="E518" s="94" t="str">
        <f>IF(OR(R518=0,V518=0),"",INDEX('CAD_RESÍDUOS'!$C$6:$C$205,MATCH(C518,'CAD_RESÍDUOS'!$B$6:$B$205,0))&amp;"")</f>
        <v/>
      </c>
      <c r="F518" s="94" t="str">
        <f>IF(OR(R518=0,V518=0),"",INDEX('CAD_RESÍDUOS'!$G$6:$G$205,MATCH(C518,'CAD_RESÍDUOS'!$B$6:$B$205,0))&amp;"")</f>
        <v/>
      </c>
      <c r="G518" s="98" t="n"/>
      <c r="H518" s="91" t="n"/>
      <c r="I518" s="93" t="str">
        <f>IF(R518=0,"",IF(NOT(ISNUMBER(G518)),"",IF(ISNUMBER(X518),G518*X518,"UNIDADE A CONFERIR")))</f>
        <v/>
      </c>
      <c r="J518" s="91" t="n"/>
      <c r="K518" s="91" t="n"/>
      <c r="L518" s="93" t="str">
        <f>IF(R518=0,"",SUMIFS('RECEBIMENTOS'!$H$6:$H$1005,'RECEBIMENTOS'!$R$6:$R$1005,A518,'RECEBIMENTOS'!$X$6:$X$1005,1))</f>
        <v/>
      </c>
      <c r="M518" s="93" t="str">
        <f>IF(R518=0,"",SUMIFS('VÍNCULOS_CDF'!$H$6:$H$1005,'VÍNCULOS_CDF'!$R$6:$R$1005,A518,'VÍNCULOS_CDF'!$V$6:$V$1005,1))</f>
        <v/>
      </c>
      <c r="N518" s="99" t="str">
        <f>IF(OR(R518=0,AA518=0,NOT(ISNUMBER(I518))),"",I518-N(L518))</f>
        <v/>
      </c>
      <c r="O518" s="100" t="str">
        <f>IF(OR(R518=0,AK518&lt;=0),"",N(M518)/AK518)</f>
        <v/>
      </c>
      <c r="P518" s="94" t="str">
        <f>IF(R518=0,"",IF(S518="","Sem MTR associado",IF(U518=0,"MTR inexistente",IF(C518="","Resíduo não identificado",IF(V518=0,"Resíduo fora do cadastro",IF(W518=0,"Quantidade inválida",IF(H518="","Unidade não informada",IF(NOT(ISNUMBER(I518)),"Unidade a conferir",IF(AND(AH518=1,K518&lt;&gt;"Sim"),"Possível duplicidade",IF(Z518=1,"MTR cancelado",IF(AC518&gt;0,"Recebimento com alerta",IF(AA518=0,"Aguardando recebimento",IF(AB518&lt;AA518,"Recebimento a conferir",IF(AM518=1,"Quantidade a revisar",IF(AF518&gt;0,"Vínculo a revisar",IF(AD518=0,"Aguardando CDF",IF(AN518=0,"Vínculo de CDF parcial",IF(AE518&lt;AD518,"CDF a conferir","Documentação conferida"))))))))))))))))))</f>
        <v/>
      </c>
      <c r="Q518" s="93" t="str">
        <f>IF(OR(R518=0,AA518=0),"",MAX(0,N(L518)-N(M518)))</f>
        <v/>
      </c>
      <c r="R518" s="96">
        <f>IF(COUNTA(B518:C518,G518:H518,J518:K518)&gt;0,1,0)</f>
        <v>0</v>
      </c>
      <c r="S518" s="96" t="str">
        <f>IF(B518="","",TRIM(LEFT(B518,FIND(" |",B518&amp;" |")-1)))</f>
        <v/>
      </c>
      <c r="T518" s="96" t="str">
        <f>IF(S518="","",IFERROR(MATCH(S518,'MTRs'!$A$6:$A$505,0),""))</f>
        <v/>
      </c>
      <c r="U518" s="96">
        <f>IF(T518="",0,IF(INDEX('MTRs'!$Z$6:$Z$505,T518)=1,1,0))</f>
        <v>0</v>
      </c>
      <c r="V518" s="96">
        <f>IF(C518="",0,IF(ISNUMBER(MATCH(C518,'CAD_RESÍDUOS'!$B$6:$B$205,0)),1,0))</f>
        <v>0</v>
      </c>
      <c r="W518" s="96">
        <f>IF(AND(ISNUMBER(G518),G518&gt;0),1,0)</f>
        <v>0</v>
      </c>
      <c r="X518" s="96" t="str">
        <f>IF(H518="","",IFERROR(IF(ISNUMBER(INDEX(cfg_fac,MATCH(H518,cfg_units,0))),IF(INDEX(cfg_fac,MATCH(H518,cfg_units,0))&gt;0,INDEX(cfg_fac,MATCH(H518,cfg_units,0)),""),""),""))</f>
        <v/>
      </c>
      <c r="Y518" s="96">
        <f>IF(AND(W518=1,ISNUMBER(I518)),1,0)</f>
        <v>0</v>
      </c>
      <c r="Z518" s="96">
        <f>IF(U518=1,INDEX('MTRs'!$AA$6:$AA$505,T518),0)</f>
        <v>0</v>
      </c>
      <c r="AA518" s="96">
        <f>IF(R518=0,0,COUNTIFS('RECEBIMENTOS'!$R$6:$R$1005,A518,'RECEBIMENTOS'!$Q$6:$Q$1005,1))</f>
        <v>0</v>
      </c>
      <c r="AB518" s="96">
        <f>IF(R518=0,0,COUNTIFS('RECEBIMENTOS'!$R$6:$R$1005,A518,'RECEBIMENTOS'!$Z$6:$Z$1005,1))</f>
        <v>0</v>
      </c>
      <c r="AC518" s="96">
        <f>IF(R518=0,0,COUNTIFS('RECEBIMENTOS'!$R$6:$R$1005,A518,'RECEBIMENTOS'!$Y$6:$Y$1005,1))</f>
        <v>0</v>
      </c>
      <c r="AD518" s="96">
        <f>IF(R518=0,0,COUNTIFS('VÍNCULOS_CDF'!$R$6:$R$1005,A518,'VÍNCULOS_CDF'!$N$6:$N$1005,1))</f>
        <v>0</v>
      </c>
      <c r="AE518" s="96">
        <f>IF(R518=0,0,COUNTIFS('VÍNCULOS_CDF'!$R$6:$R$1005,A518,'VÍNCULOS_CDF'!$AA$6:$AA$1005,1))</f>
        <v>0</v>
      </c>
      <c r="AF518" s="96">
        <f>IF(R518=0,0,COUNTIFS('VÍNCULOS_CDF'!$R$6:$R$1005,A518,'VÍNCULOS_CDF'!$Y$6:$Y$1005,1))</f>
        <v>0</v>
      </c>
      <c r="AG518" s="96" t="str">
        <f>IF(AND(R518=1,S518&lt;&gt;"",C518&lt;&gt;""),S518&amp;"|"&amp;C518&amp;"|"&amp;G518&amp;"|"&amp;H518,"")</f>
        <v/>
      </c>
      <c r="AH518" s="96">
        <f>IF(AG518="",0,IF(SUMPRODUCT(--($AG$6:$AG$1005=AG518))&gt;1,1,0))</f>
        <v>0</v>
      </c>
      <c r="AI518" s="96">
        <f>IF(R518=0,0,IF(OR(U518=0,V518=0,Y518=0,AND(AH518=1,K518&lt;&gt;"Sim")),1,0))</f>
        <v>0</v>
      </c>
      <c r="AJ518" s="96">
        <f>IF(AND(R518=1,AA518&gt;0,AB518=AA518),1,0)</f>
        <v>0</v>
      </c>
      <c r="AK518" s="96">
        <f>IF(R518=0,0,IF(AA518&gt;0,N(L518),IF(ISNUMBER(I518),I518,0)))</f>
        <v>0</v>
      </c>
      <c r="AL518" s="96">
        <f>IF(R518=0,0,IF(AND(K518&lt;&gt;"Sim",N(M518)&gt;AK518+cfg_tol),1,0))</f>
        <v>0</v>
      </c>
      <c r="AM518" s="96">
        <f>IF(R518=0,0,IF(K518="Sim",0,IF(OR(AND(AA518&gt;0,ISNUMBER(I518),ABS(I518-N(L518))&gt;cfg_tol),AL518=1),1,0)))</f>
        <v>0</v>
      </c>
      <c r="AN518" s="96">
        <f>IF(AND(R518=1,N(M518)&gt;0,OR(N(M518)&gt;=AK518-cfg_tol,K518="Sim")),1,0)</f>
        <v>0</v>
      </c>
      <c r="AO518" s="96">
        <f>IF(AND(AN518=1,AD518&gt;0,AE518=AD518,AL518=0),1,0)</f>
        <v>0</v>
      </c>
      <c r="AP518" s="96">
        <f>IF(U518=0,0,IF(AND(INDEX('MTRs'!$AX$6:$AX$505,T518)=1,Z518=0,OR(f_res="",f_res="(Todos)",C518=f_res)),1,0))</f>
        <v>0</v>
      </c>
      <c r="AQ518" s="97" t="str">
        <f>IF(U518=0,"",INDEX('MTRs'!$AZ$6:$AZ$505,T518))</f>
        <v/>
      </c>
      <c r="AR518" s="96">
        <f>IF(U518=0,0,IF(AND(INDEX('MTRs'!$BA$6:$BA$505,T518)=1,Z518=0),1,0))</f>
        <v>0</v>
      </c>
      <c r="AS518" s="96" t="str">
        <f>IF(R518=1,A518&amp;" | MTR "&amp;IF(U518=1,INDEX('MTRs'!$B$6:$B$505,T518)&amp;"","?")&amp;" | "&amp;IF(C518="","(sem resíduo)",C518),"")</f>
        <v/>
      </c>
      <c r="AT518" s="96" t="str">
        <f>IF(R518=1,COUNTIF($R$6:R518,1),"")</f>
        <v/>
      </c>
      <c r="AU518" s="96" t="str">
        <f>IF(U518=1,INDEX('MTRs'!$I$6:$I$505,T518)&amp;"","")</f>
        <v/>
      </c>
    </row>
    <row r="519">
      <c r="A519" s="89" t="inlineStr">
        <is>
          <t>IT-000514</t>
        </is>
      </c>
      <c r="B519" s="91" t="n"/>
      <c r="C519" s="91" t="n"/>
      <c r="D519" s="94" t="str">
        <f>IF(OR(R519=0,V519=0),"",INDEX('CAD_RESÍDUOS'!$E$6:$E$205,MATCH(C519,'CAD_RESÍDUOS'!$B$6:$B$205,0))&amp;"")</f>
        <v/>
      </c>
      <c r="E519" s="94" t="str">
        <f>IF(OR(R519=0,V519=0),"",INDEX('CAD_RESÍDUOS'!$C$6:$C$205,MATCH(C519,'CAD_RESÍDUOS'!$B$6:$B$205,0))&amp;"")</f>
        <v/>
      </c>
      <c r="F519" s="94" t="str">
        <f>IF(OR(R519=0,V519=0),"",INDEX('CAD_RESÍDUOS'!$G$6:$G$205,MATCH(C519,'CAD_RESÍDUOS'!$B$6:$B$205,0))&amp;"")</f>
        <v/>
      </c>
      <c r="G519" s="98" t="n"/>
      <c r="H519" s="91" t="n"/>
      <c r="I519" s="93" t="str">
        <f>IF(R519=0,"",IF(NOT(ISNUMBER(G519)),"",IF(ISNUMBER(X519),G519*X519,"UNIDADE A CONFERIR")))</f>
        <v/>
      </c>
      <c r="J519" s="91" t="n"/>
      <c r="K519" s="91" t="n"/>
      <c r="L519" s="93" t="str">
        <f>IF(R519=0,"",SUMIFS('RECEBIMENTOS'!$H$6:$H$1005,'RECEBIMENTOS'!$R$6:$R$1005,A519,'RECEBIMENTOS'!$X$6:$X$1005,1))</f>
        <v/>
      </c>
      <c r="M519" s="93" t="str">
        <f>IF(R519=0,"",SUMIFS('VÍNCULOS_CDF'!$H$6:$H$1005,'VÍNCULOS_CDF'!$R$6:$R$1005,A519,'VÍNCULOS_CDF'!$V$6:$V$1005,1))</f>
        <v/>
      </c>
      <c r="N519" s="99" t="str">
        <f>IF(OR(R519=0,AA519=0,NOT(ISNUMBER(I519))),"",I519-N(L519))</f>
        <v/>
      </c>
      <c r="O519" s="100" t="str">
        <f>IF(OR(R519=0,AK519&lt;=0),"",N(M519)/AK519)</f>
        <v/>
      </c>
      <c r="P519" s="94" t="str">
        <f>IF(R519=0,"",IF(S519="","Sem MTR associado",IF(U519=0,"MTR inexistente",IF(C519="","Resíduo não identificado",IF(V519=0,"Resíduo fora do cadastro",IF(W519=0,"Quantidade inválida",IF(H519="","Unidade não informada",IF(NOT(ISNUMBER(I519)),"Unidade a conferir",IF(AND(AH519=1,K519&lt;&gt;"Sim"),"Possível duplicidade",IF(Z519=1,"MTR cancelado",IF(AC519&gt;0,"Recebimento com alerta",IF(AA519=0,"Aguardando recebimento",IF(AB519&lt;AA519,"Recebimento a conferir",IF(AM519=1,"Quantidade a revisar",IF(AF519&gt;0,"Vínculo a revisar",IF(AD519=0,"Aguardando CDF",IF(AN519=0,"Vínculo de CDF parcial",IF(AE519&lt;AD519,"CDF a conferir","Documentação conferida"))))))))))))))))))</f>
        <v/>
      </c>
      <c r="Q519" s="93" t="str">
        <f>IF(OR(R519=0,AA519=0),"",MAX(0,N(L519)-N(M519)))</f>
        <v/>
      </c>
      <c r="R519" s="96">
        <f>IF(COUNTA(B519:C519,G519:H519,J519:K519)&gt;0,1,0)</f>
        <v>0</v>
      </c>
      <c r="S519" s="96" t="str">
        <f>IF(B519="","",TRIM(LEFT(B519,FIND(" |",B519&amp;" |")-1)))</f>
        <v/>
      </c>
      <c r="T519" s="96" t="str">
        <f>IF(S519="","",IFERROR(MATCH(S519,'MTRs'!$A$6:$A$505,0),""))</f>
        <v/>
      </c>
      <c r="U519" s="96">
        <f>IF(T519="",0,IF(INDEX('MTRs'!$Z$6:$Z$505,T519)=1,1,0))</f>
        <v>0</v>
      </c>
      <c r="V519" s="96">
        <f>IF(C519="",0,IF(ISNUMBER(MATCH(C519,'CAD_RESÍDUOS'!$B$6:$B$205,0)),1,0))</f>
        <v>0</v>
      </c>
      <c r="W519" s="96">
        <f>IF(AND(ISNUMBER(G519),G519&gt;0),1,0)</f>
        <v>0</v>
      </c>
      <c r="X519" s="96" t="str">
        <f>IF(H519="","",IFERROR(IF(ISNUMBER(INDEX(cfg_fac,MATCH(H519,cfg_units,0))),IF(INDEX(cfg_fac,MATCH(H519,cfg_units,0))&gt;0,INDEX(cfg_fac,MATCH(H519,cfg_units,0)),""),""),""))</f>
        <v/>
      </c>
      <c r="Y519" s="96">
        <f>IF(AND(W519=1,ISNUMBER(I519)),1,0)</f>
        <v>0</v>
      </c>
      <c r="Z519" s="96">
        <f>IF(U519=1,INDEX('MTRs'!$AA$6:$AA$505,T519),0)</f>
        <v>0</v>
      </c>
      <c r="AA519" s="96">
        <f>IF(R519=0,0,COUNTIFS('RECEBIMENTOS'!$R$6:$R$1005,A519,'RECEBIMENTOS'!$Q$6:$Q$1005,1))</f>
        <v>0</v>
      </c>
      <c r="AB519" s="96">
        <f>IF(R519=0,0,COUNTIFS('RECEBIMENTOS'!$R$6:$R$1005,A519,'RECEBIMENTOS'!$Z$6:$Z$1005,1))</f>
        <v>0</v>
      </c>
      <c r="AC519" s="96">
        <f>IF(R519=0,0,COUNTIFS('RECEBIMENTOS'!$R$6:$R$1005,A519,'RECEBIMENTOS'!$Y$6:$Y$1005,1))</f>
        <v>0</v>
      </c>
      <c r="AD519" s="96">
        <f>IF(R519=0,0,COUNTIFS('VÍNCULOS_CDF'!$R$6:$R$1005,A519,'VÍNCULOS_CDF'!$N$6:$N$1005,1))</f>
        <v>0</v>
      </c>
      <c r="AE519" s="96">
        <f>IF(R519=0,0,COUNTIFS('VÍNCULOS_CDF'!$R$6:$R$1005,A519,'VÍNCULOS_CDF'!$AA$6:$AA$1005,1))</f>
        <v>0</v>
      </c>
      <c r="AF519" s="96">
        <f>IF(R519=0,0,COUNTIFS('VÍNCULOS_CDF'!$R$6:$R$1005,A519,'VÍNCULOS_CDF'!$Y$6:$Y$1005,1))</f>
        <v>0</v>
      </c>
      <c r="AG519" s="96" t="str">
        <f>IF(AND(R519=1,S519&lt;&gt;"",C519&lt;&gt;""),S519&amp;"|"&amp;C519&amp;"|"&amp;G519&amp;"|"&amp;H519,"")</f>
        <v/>
      </c>
      <c r="AH519" s="96">
        <f>IF(AG519="",0,IF(SUMPRODUCT(--($AG$6:$AG$1005=AG519))&gt;1,1,0))</f>
        <v>0</v>
      </c>
      <c r="AI519" s="96">
        <f>IF(R519=0,0,IF(OR(U519=0,V519=0,Y519=0,AND(AH519=1,K519&lt;&gt;"Sim")),1,0))</f>
        <v>0</v>
      </c>
      <c r="AJ519" s="96">
        <f>IF(AND(R519=1,AA519&gt;0,AB519=AA519),1,0)</f>
        <v>0</v>
      </c>
      <c r="AK519" s="96">
        <f>IF(R519=0,0,IF(AA519&gt;0,N(L519),IF(ISNUMBER(I519),I519,0)))</f>
        <v>0</v>
      </c>
      <c r="AL519" s="96">
        <f>IF(R519=0,0,IF(AND(K519&lt;&gt;"Sim",N(M519)&gt;AK519+cfg_tol),1,0))</f>
        <v>0</v>
      </c>
      <c r="AM519" s="96">
        <f>IF(R519=0,0,IF(K519="Sim",0,IF(OR(AND(AA519&gt;0,ISNUMBER(I519),ABS(I519-N(L519))&gt;cfg_tol),AL519=1),1,0)))</f>
        <v>0</v>
      </c>
      <c r="AN519" s="96">
        <f>IF(AND(R519=1,N(M519)&gt;0,OR(N(M519)&gt;=AK519-cfg_tol,K519="Sim")),1,0)</f>
        <v>0</v>
      </c>
      <c r="AO519" s="96">
        <f>IF(AND(AN519=1,AD519&gt;0,AE519=AD519,AL519=0),1,0)</f>
        <v>0</v>
      </c>
      <c r="AP519" s="96">
        <f>IF(U519=0,0,IF(AND(INDEX('MTRs'!$AX$6:$AX$505,T519)=1,Z519=0,OR(f_res="",f_res="(Todos)",C519=f_res)),1,0))</f>
        <v>0</v>
      </c>
      <c r="AQ519" s="97" t="str">
        <f>IF(U519=0,"",INDEX('MTRs'!$AZ$6:$AZ$505,T519))</f>
        <v/>
      </c>
      <c r="AR519" s="96">
        <f>IF(U519=0,0,IF(AND(INDEX('MTRs'!$BA$6:$BA$505,T519)=1,Z519=0),1,0))</f>
        <v>0</v>
      </c>
      <c r="AS519" s="96" t="str">
        <f>IF(R519=1,A519&amp;" | MTR "&amp;IF(U519=1,INDEX('MTRs'!$B$6:$B$505,T519)&amp;"","?")&amp;" | "&amp;IF(C519="","(sem resíduo)",C519),"")</f>
        <v/>
      </c>
      <c r="AT519" s="96" t="str">
        <f>IF(R519=1,COUNTIF($R$6:R519,1),"")</f>
        <v/>
      </c>
      <c r="AU519" s="96" t="str">
        <f>IF(U519=1,INDEX('MTRs'!$I$6:$I$505,T519)&amp;"","")</f>
        <v/>
      </c>
    </row>
    <row r="520">
      <c r="A520" s="89" t="inlineStr">
        <is>
          <t>IT-000515</t>
        </is>
      </c>
      <c r="B520" s="91" t="n"/>
      <c r="C520" s="91" t="n"/>
      <c r="D520" s="94" t="str">
        <f>IF(OR(R520=0,V520=0),"",INDEX('CAD_RESÍDUOS'!$E$6:$E$205,MATCH(C520,'CAD_RESÍDUOS'!$B$6:$B$205,0))&amp;"")</f>
        <v/>
      </c>
      <c r="E520" s="94" t="str">
        <f>IF(OR(R520=0,V520=0),"",INDEX('CAD_RESÍDUOS'!$C$6:$C$205,MATCH(C520,'CAD_RESÍDUOS'!$B$6:$B$205,0))&amp;"")</f>
        <v/>
      </c>
      <c r="F520" s="94" t="str">
        <f>IF(OR(R520=0,V520=0),"",INDEX('CAD_RESÍDUOS'!$G$6:$G$205,MATCH(C520,'CAD_RESÍDUOS'!$B$6:$B$205,0))&amp;"")</f>
        <v/>
      </c>
      <c r="G520" s="98" t="n"/>
      <c r="H520" s="91" t="n"/>
      <c r="I520" s="93" t="str">
        <f>IF(R520=0,"",IF(NOT(ISNUMBER(G520)),"",IF(ISNUMBER(X520),G520*X520,"UNIDADE A CONFERIR")))</f>
        <v/>
      </c>
      <c r="J520" s="91" t="n"/>
      <c r="K520" s="91" t="n"/>
      <c r="L520" s="93" t="str">
        <f>IF(R520=0,"",SUMIFS('RECEBIMENTOS'!$H$6:$H$1005,'RECEBIMENTOS'!$R$6:$R$1005,A520,'RECEBIMENTOS'!$X$6:$X$1005,1))</f>
        <v/>
      </c>
      <c r="M520" s="93" t="str">
        <f>IF(R520=0,"",SUMIFS('VÍNCULOS_CDF'!$H$6:$H$1005,'VÍNCULOS_CDF'!$R$6:$R$1005,A520,'VÍNCULOS_CDF'!$V$6:$V$1005,1))</f>
        <v/>
      </c>
      <c r="N520" s="99" t="str">
        <f>IF(OR(R520=0,AA520=0,NOT(ISNUMBER(I520))),"",I520-N(L520))</f>
        <v/>
      </c>
      <c r="O520" s="100" t="str">
        <f>IF(OR(R520=0,AK520&lt;=0),"",N(M520)/AK520)</f>
        <v/>
      </c>
      <c r="P520" s="94" t="str">
        <f>IF(R520=0,"",IF(S520="","Sem MTR associado",IF(U520=0,"MTR inexistente",IF(C520="","Resíduo não identificado",IF(V520=0,"Resíduo fora do cadastro",IF(W520=0,"Quantidade inválida",IF(H520="","Unidade não informada",IF(NOT(ISNUMBER(I520)),"Unidade a conferir",IF(AND(AH520=1,K520&lt;&gt;"Sim"),"Possível duplicidade",IF(Z520=1,"MTR cancelado",IF(AC520&gt;0,"Recebimento com alerta",IF(AA520=0,"Aguardando recebimento",IF(AB520&lt;AA520,"Recebimento a conferir",IF(AM520=1,"Quantidade a revisar",IF(AF520&gt;0,"Vínculo a revisar",IF(AD520=0,"Aguardando CDF",IF(AN520=0,"Vínculo de CDF parcial",IF(AE520&lt;AD520,"CDF a conferir","Documentação conferida"))))))))))))))))))</f>
        <v/>
      </c>
      <c r="Q520" s="93" t="str">
        <f>IF(OR(R520=0,AA520=0),"",MAX(0,N(L520)-N(M520)))</f>
        <v/>
      </c>
      <c r="R520" s="96">
        <f>IF(COUNTA(B520:C520,G520:H520,J520:K520)&gt;0,1,0)</f>
        <v>0</v>
      </c>
      <c r="S520" s="96" t="str">
        <f>IF(B520="","",TRIM(LEFT(B520,FIND(" |",B520&amp;" |")-1)))</f>
        <v/>
      </c>
      <c r="T520" s="96" t="str">
        <f>IF(S520="","",IFERROR(MATCH(S520,'MTRs'!$A$6:$A$505,0),""))</f>
        <v/>
      </c>
      <c r="U520" s="96">
        <f>IF(T520="",0,IF(INDEX('MTRs'!$Z$6:$Z$505,T520)=1,1,0))</f>
        <v>0</v>
      </c>
      <c r="V520" s="96">
        <f>IF(C520="",0,IF(ISNUMBER(MATCH(C520,'CAD_RESÍDUOS'!$B$6:$B$205,0)),1,0))</f>
        <v>0</v>
      </c>
      <c r="W520" s="96">
        <f>IF(AND(ISNUMBER(G520),G520&gt;0),1,0)</f>
        <v>0</v>
      </c>
      <c r="X520" s="96" t="str">
        <f>IF(H520="","",IFERROR(IF(ISNUMBER(INDEX(cfg_fac,MATCH(H520,cfg_units,0))),IF(INDEX(cfg_fac,MATCH(H520,cfg_units,0))&gt;0,INDEX(cfg_fac,MATCH(H520,cfg_units,0)),""),""),""))</f>
        <v/>
      </c>
      <c r="Y520" s="96">
        <f>IF(AND(W520=1,ISNUMBER(I520)),1,0)</f>
        <v>0</v>
      </c>
      <c r="Z520" s="96">
        <f>IF(U520=1,INDEX('MTRs'!$AA$6:$AA$505,T520),0)</f>
        <v>0</v>
      </c>
      <c r="AA520" s="96">
        <f>IF(R520=0,0,COUNTIFS('RECEBIMENTOS'!$R$6:$R$1005,A520,'RECEBIMENTOS'!$Q$6:$Q$1005,1))</f>
        <v>0</v>
      </c>
      <c r="AB520" s="96">
        <f>IF(R520=0,0,COUNTIFS('RECEBIMENTOS'!$R$6:$R$1005,A520,'RECEBIMENTOS'!$Z$6:$Z$1005,1))</f>
        <v>0</v>
      </c>
      <c r="AC520" s="96">
        <f>IF(R520=0,0,COUNTIFS('RECEBIMENTOS'!$R$6:$R$1005,A520,'RECEBIMENTOS'!$Y$6:$Y$1005,1))</f>
        <v>0</v>
      </c>
      <c r="AD520" s="96">
        <f>IF(R520=0,0,COUNTIFS('VÍNCULOS_CDF'!$R$6:$R$1005,A520,'VÍNCULOS_CDF'!$N$6:$N$1005,1))</f>
        <v>0</v>
      </c>
      <c r="AE520" s="96">
        <f>IF(R520=0,0,COUNTIFS('VÍNCULOS_CDF'!$R$6:$R$1005,A520,'VÍNCULOS_CDF'!$AA$6:$AA$1005,1))</f>
        <v>0</v>
      </c>
      <c r="AF520" s="96">
        <f>IF(R520=0,0,COUNTIFS('VÍNCULOS_CDF'!$R$6:$R$1005,A520,'VÍNCULOS_CDF'!$Y$6:$Y$1005,1))</f>
        <v>0</v>
      </c>
      <c r="AG520" s="96" t="str">
        <f>IF(AND(R520=1,S520&lt;&gt;"",C520&lt;&gt;""),S520&amp;"|"&amp;C520&amp;"|"&amp;G520&amp;"|"&amp;H520,"")</f>
        <v/>
      </c>
      <c r="AH520" s="96">
        <f>IF(AG520="",0,IF(SUMPRODUCT(--($AG$6:$AG$1005=AG520))&gt;1,1,0))</f>
        <v>0</v>
      </c>
      <c r="AI520" s="96">
        <f>IF(R520=0,0,IF(OR(U520=0,V520=0,Y520=0,AND(AH520=1,K520&lt;&gt;"Sim")),1,0))</f>
        <v>0</v>
      </c>
      <c r="AJ520" s="96">
        <f>IF(AND(R520=1,AA520&gt;0,AB520=AA520),1,0)</f>
        <v>0</v>
      </c>
      <c r="AK520" s="96">
        <f>IF(R520=0,0,IF(AA520&gt;0,N(L520),IF(ISNUMBER(I520),I520,0)))</f>
        <v>0</v>
      </c>
      <c r="AL520" s="96">
        <f>IF(R520=0,0,IF(AND(K520&lt;&gt;"Sim",N(M520)&gt;AK520+cfg_tol),1,0))</f>
        <v>0</v>
      </c>
      <c r="AM520" s="96">
        <f>IF(R520=0,0,IF(K520="Sim",0,IF(OR(AND(AA520&gt;0,ISNUMBER(I520),ABS(I520-N(L520))&gt;cfg_tol),AL520=1),1,0)))</f>
        <v>0</v>
      </c>
      <c r="AN520" s="96">
        <f>IF(AND(R520=1,N(M520)&gt;0,OR(N(M520)&gt;=AK520-cfg_tol,K520="Sim")),1,0)</f>
        <v>0</v>
      </c>
      <c r="AO520" s="96">
        <f>IF(AND(AN520=1,AD520&gt;0,AE520=AD520,AL520=0),1,0)</f>
        <v>0</v>
      </c>
      <c r="AP520" s="96">
        <f>IF(U520=0,0,IF(AND(INDEX('MTRs'!$AX$6:$AX$505,T520)=1,Z520=0,OR(f_res="",f_res="(Todos)",C520=f_res)),1,0))</f>
        <v>0</v>
      </c>
      <c r="AQ520" s="97" t="str">
        <f>IF(U520=0,"",INDEX('MTRs'!$AZ$6:$AZ$505,T520))</f>
        <v/>
      </c>
      <c r="AR520" s="96">
        <f>IF(U520=0,0,IF(AND(INDEX('MTRs'!$BA$6:$BA$505,T520)=1,Z520=0),1,0))</f>
        <v>0</v>
      </c>
      <c r="AS520" s="96" t="str">
        <f>IF(R520=1,A520&amp;" | MTR "&amp;IF(U520=1,INDEX('MTRs'!$B$6:$B$505,T520)&amp;"","?")&amp;" | "&amp;IF(C520="","(sem resíduo)",C520),"")</f>
        <v/>
      </c>
      <c r="AT520" s="96" t="str">
        <f>IF(R520=1,COUNTIF($R$6:R520,1),"")</f>
        <v/>
      </c>
      <c r="AU520" s="96" t="str">
        <f>IF(U520=1,INDEX('MTRs'!$I$6:$I$505,T520)&amp;"","")</f>
        <v/>
      </c>
    </row>
    <row r="521">
      <c r="A521" s="89" t="inlineStr">
        <is>
          <t>IT-000516</t>
        </is>
      </c>
      <c r="B521" s="91" t="n"/>
      <c r="C521" s="91" t="n"/>
      <c r="D521" s="94" t="str">
        <f>IF(OR(R521=0,V521=0),"",INDEX('CAD_RESÍDUOS'!$E$6:$E$205,MATCH(C521,'CAD_RESÍDUOS'!$B$6:$B$205,0))&amp;"")</f>
        <v/>
      </c>
      <c r="E521" s="94" t="str">
        <f>IF(OR(R521=0,V521=0),"",INDEX('CAD_RESÍDUOS'!$C$6:$C$205,MATCH(C521,'CAD_RESÍDUOS'!$B$6:$B$205,0))&amp;"")</f>
        <v/>
      </c>
      <c r="F521" s="94" t="str">
        <f>IF(OR(R521=0,V521=0),"",INDEX('CAD_RESÍDUOS'!$G$6:$G$205,MATCH(C521,'CAD_RESÍDUOS'!$B$6:$B$205,0))&amp;"")</f>
        <v/>
      </c>
      <c r="G521" s="98" t="n"/>
      <c r="H521" s="91" t="n"/>
      <c r="I521" s="93" t="str">
        <f>IF(R521=0,"",IF(NOT(ISNUMBER(G521)),"",IF(ISNUMBER(X521),G521*X521,"UNIDADE A CONFERIR")))</f>
        <v/>
      </c>
      <c r="J521" s="91" t="n"/>
      <c r="K521" s="91" t="n"/>
      <c r="L521" s="93" t="str">
        <f>IF(R521=0,"",SUMIFS('RECEBIMENTOS'!$H$6:$H$1005,'RECEBIMENTOS'!$R$6:$R$1005,A521,'RECEBIMENTOS'!$X$6:$X$1005,1))</f>
        <v/>
      </c>
      <c r="M521" s="93" t="str">
        <f>IF(R521=0,"",SUMIFS('VÍNCULOS_CDF'!$H$6:$H$1005,'VÍNCULOS_CDF'!$R$6:$R$1005,A521,'VÍNCULOS_CDF'!$V$6:$V$1005,1))</f>
        <v/>
      </c>
      <c r="N521" s="99" t="str">
        <f>IF(OR(R521=0,AA521=0,NOT(ISNUMBER(I521))),"",I521-N(L521))</f>
        <v/>
      </c>
      <c r="O521" s="100" t="str">
        <f>IF(OR(R521=0,AK521&lt;=0),"",N(M521)/AK521)</f>
        <v/>
      </c>
      <c r="P521" s="94" t="str">
        <f>IF(R521=0,"",IF(S521="","Sem MTR associado",IF(U521=0,"MTR inexistente",IF(C521="","Resíduo não identificado",IF(V521=0,"Resíduo fora do cadastro",IF(W521=0,"Quantidade inválida",IF(H521="","Unidade não informada",IF(NOT(ISNUMBER(I521)),"Unidade a conferir",IF(AND(AH521=1,K521&lt;&gt;"Sim"),"Possível duplicidade",IF(Z521=1,"MTR cancelado",IF(AC521&gt;0,"Recebimento com alerta",IF(AA521=0,"Aguardando recebimento",IF(AB521&lt;AA521,"Recebimento a conferir",IF(AM521=1,"Quantidade a revisar",IF(AF521&gt;0,"Vínculo a revisar",IF(AD521=0,"Aguardando CDF",IF(AN521=0,"Vínculo de CDF parcial",IF(AE521&lt;AD521,"CDF a conferir","Documentação conferida"))))))))))))))))))</f>
        <v/>
      </c>
      <c r="Q521" s="93" t="str">
        <f>IF(OR(R521=0,AA521=0),"",MAX(0,N(L521)-N(M521)))</f>
        <v/>
      </c>
      <c r="R521" s="96">
        <f>IF(COUNTA(B521:C521,G521:H521,J521:K521)&gt;0,1,0)</f>
        <v>0</v>
      </c>
      <c r="S521" s="96" t="str">
        <f>IF(B521="","",TRIM(LEFT(B521,FIND(" |",B521&amp;" |")-1)))</f>
        <v/>
      </c>
      <c r="T521" s="96" t="str">
        <f>IF(S521="","",IFERROR(MATCH(S521,'MTRs'!$A$6:$A$505,0),""))</f>
        <v/>
      </c>
      <c r="U521" s="96">
        <f>IF(T521="",0,IF(INDEX('MTRs'!$Z$6:$Z$505,T521)=1,1,0))</f>
        <v>0</v>
      </c>
      <c r="V521" s="96">
        <f>IF(C521="",0,IF(ISNUMBER(MATCH(C521,'CAD_RESÍDUOS'!$B$6:$B$205,0)),1,0))</f>
        <v>0</v>
      </c>
      <c r="W521" s="96">
        <f>IF(AND(ISNUMBER(G521),G521&gt;0),1,0)</f>
        <v>0</v>
      </c>
      <c r="X521" s="96" t="str">
        <f>IF(H521="","",IFERROR(IF(ISNUMBER(INDEX(cfg_fac,MATCH(H521,cfg_units,0))),IF(INDEX(cfg_fac,MATCH(H521,cfg_units,0))&gt;0,INDEX(cfg_fac,MATCH(H521,cfg_units,0)),""),""),""))</f>
        <v/>
      </c>
      <c r="Y521" s="96">
        <f>IF(AND(W521=1,ISNUMBER(I521)),1,0)</f>
        <v>0</v>
      </c>
      <c r="Z521" s="96">
        <f>IF(U521=1,INDEX('MTRs'!$AA$6:$AA$505,T521),0)</f>
        <v>0</v>
      </c>
      <c r="AA521" s="96">
        <f>IF(R521=0,0,COUNTIFS('RECEBIMENTOS'!$R$6:$R$1005,A521,'RECEBIMENTOS'!$Q$6:$Q$1005,1))</f>
        <v>0</v>
      </c>
      <c r="AB521" s="96">
        <f>IF(R521=0,0,COUNTIFS('RECEBIMENTOS'!$R$6:$R$1005,A521,'RECEBIMENTOS'!$Z$6:$Z$1005,1))</f>
        <v>0</v>
      </c>
      <c r="AC521" s="96">
        <f>IF(R521=0,0,COUNTIFS('RECEBIMENTOS'!$R$6:$R$1005,A521,'RECEBIMENTOS'!$Y$6:$Y$1005,1))</f>
        <v>0</v>
      </c>
      <c r="AD521" s="96">
        <f>IF(R521=0,0,COUNTIFS('VÍNCULOS_CDF'!$R$6:$R$1005,A521,'VÍNCULOS_CDF'!$N$6:$N$1005,1))</f>
        <v>0</v>
      </c>
      <c r="AE521" s="96">
        <f>IF(R521=0,0,COUNTIFS('VÍNCULOS_CDF'!$R$6:$R$1005,A521,'VÍNCULOS_CDF'!$AA$6:$AA$1005,1))</f>
        <v>0</v>
      </c>
      <c r="AF521" s="96">
        <f>IF(R521=0,0,COUNTIFS('VÍNCULOS_CDF'!$R$6:$R$1005,A521,'VÍNCULOS_CDF'!$Y$6:$Y$1005,1))</f>
        <v>0</v>
      </c>
      <c r="AG521" s="96" t="str">
        <f>IF(AND(R521=1,S521&lt;&gt;"",C521&lt;&gt;""),S521&amp;"|"&amp;C521&amp;"|"&amp;G521&amp;"|"&amp;H521,"")</f>
        <v/>
      </c>
      <c r="AH521" s="96">
        <f>IF(AG521="",0,IF(SUMPRODUCT(--($AG$6:$AG$1005=AG521))&gt;1,1,0))</f>
        <v>0</v>
      </c>
      <c r="AI521" s="96">
        <f>IF(R521=0,0,IF(OR(U521=0,V521=0,Y521=0,AND(AH521=1,K521&lt;&gt;"Sim")),1,0))</f>
        <v>0</v>
      </c>
      <c r="AJ521" s="96">
        <f>IF(AND(R521=1,AA521&gt;0,AB521=AA521),1,0)</f>
        <v>0</v>
      </c>
      <c r="AK521" s="96">
        <f>IF(R521=0,0,IF(AA521&gt;0,N(L521),IF(ISNUMBER(I521),I521,0)))</f>
        <v>0</v>
      </c>
      <c r="AL521" s="96">
        <f>IF(R521=0,0,IF(AND(K521&lt;&gt;"Sim",N(M521)&gt;AK521+cfg_tol),1,0))</f>
        <v>0</v>
      </c>
      <c r="AM521" s="96">
        <f>IF(R521=0,0,IF(K521="Sim",0,IF(OR(AND(AA521&gt;0,ISNUMBER(I521),ABS(I521-N(L521))&gt;cfg_tol),AL521=1),1,0)))</f>
        <v>0</v>
      </c>
      <c r="AN521" s="96">
        <f>IF(AND(R521=1,N(M521)&gt;0,OR(N(M521)&gt;=AK521-cfg_tol,K521="Sim")),1,0)</f>
        <v>0</v>
      </c>
      <c r="AO521" s="96">
        <f>IF(AND(AN521=1,AD521&gt;0,AE521=AD521,AL521=0),1,0)</f>
        <v>0</v>
      </c>
      <c r="AP521" s="96">
        <f>IF(U521=0,0,IF(AND(INDEX('MTRs'!$AX$6:$AX$505,T521)=1,Z521=0,OR(f_res="",f_res="(Todos)",C521=f_res)),1,0))</f>
        <v>0</v>
      </c>
      <c r="AQ521" s="97" t="str">
        <f>IF(U521=0,"",INDEX('MTRs'!$AZ$6:$AZ$505,T521))</f>
        <v/>
      </c>
      <c r="AR521" s="96">
        <f>IF(U521=0,0,IF(AND(INDEX('MTRs'!$BA$6:$BA$505,T521)=1,Z521=0),1,0))</f>
        <v>0</v>
      </c>
      <c r="AS521" s="96" t="str">
        <f>IF(R521=1,A521&amp;" | MTR "&amp;IF(U521=1,INDEX('MTRs'!$B$6:$B$505,T521)&amp;"","?")&amp;" | "&amp;IF(C521="","(sem resíduo)",C521),"")</f>
        <v/>
      </c>
      <c r="AT521" s="96" t="str">
        <f>IF(R521=1,COUNTIF($R$6:R521,1),"")</f>
        <v/>
      </c>
      <c r="AU521" s="96" t="str">
        <f>IF(U521=1,INDEX('MTRs'!$I$6:$I$505,T521)&amp;"","")</f>
        <v/>
      </c>
    </row>
    <row r="522">
      <c r="A522" s="89" t="inlineStr">
        <is>
          <t>IT-000517</t>
        </is>
      </c>
      <c r="B522" s="91" t="n"/>
      <c r="C522" s="91" t="n"/>
      <c r="D522" s="94" t="str">
        <f>IF(OR(R522=0,V522=0),"",INDEX('CAD_RESÍDUOS'!$E$6:$E$205,MATCH(C522,'CAD_RESÍDUOS'!$B$6:$B$205,0))&amp;"")</f>
        <v/>
      </c>
      <c r="E522" s="94" t="str">
        <f>IF(OR(R522=0,V522=0),"",INDEX('CAD_RESÍDUOS'!$C$6:$C$205,MATCH(C522,'CAD_RESÍDUOS'!$B$6:$B$205,0))&amp;"")</f>
        <v/>
      </c>
      <c r="F522" s="94" t="str">
        <f>IF(OR(R522=0,V522=0),"",INDEX('CAD_RESÍDUOS'!$G$6:$G$205,MATCH(C522,'CAD_RESÍDUOS'!$B$6:$B$205,0))&amp;"")</f>
        <v/>
      </c>
      <c r="G522" s="98" t="n"/>
      <c r="H522" s="91" t="n"/>
      <c r="I522" s="93" t="str">
        <f>IF(R522=0,"",IF(NOT(ISNUMBER(G522)),"",IF(ISNUMBER(X522),G522*X522,"UNIDADE A CONFERIR")))</f>
        <v/>
      </c>
      <c r="J522" s="91" t="n"/>
      <c r="K522" s="91" t="n"/>
      <c r="L522" s="93" t="str">
        <f>IF(R522=0,"",SUMIFS('RECEBIMENTOS'!$H$6:$H$1005,'RECEBIMENTOS'!$R$6:$R$1005,A522,'RECEBIMENTOS'!$X$6:$X$1005,1))</f>
        <v/>
      </c>
      <c r="M522" s="93" t="str">
        <f>IF(R522=0,"",SUMIFS('VÍNCULOS_CDF'!$H$6:$H$1005,'VÍNCULOS_CDF'!$R$6:$R$1005,A522,'VÍNCULOS_CDF'!$V$6:$V$1005,1))</f>
        <v/>
      </c>
      <c r="N522" s="99" t="str">
        <f>IF(OR(R522=0,AA522=0,NOT(ISNUMBER(I522))),"",I522-N(L522))</f>
        <v/>
      </c>
      <c r="O522" s="100" t="str">
        <f>IF(OR(R522=0,AK522&lt;=0),"",N(M522)/AK522)</f>
        <v/>
      </c>
      <c r="P522" s="94" t="str">
        <f>IF(R522=0,"",IF(S522="","Sem MTR associado",IF(U522=0,"MTR inexistente",IF(C522="","Resíduo não identificado",IF(V522=0,"Resíduo fora do cadastro",IF(W522=0,"Quantidade inválida",IF(H522="","Unidade não informada",IF(NOT(ISNUMBER(I522)),"Unidade a conferir",IF(AND(AH522=1,K522&lt;&gt;"Sim"),"Possível duplicidade",IF(Z522=1,"MTR cancelado",IF(AC522&gt;0,"Recebimento com alerta",IF(AA522=0,"Aguardando recebimento",IF(AB522&lt;AA522,"Recebimento a conferir",IF(AM522=1,"Quantidade a revisar",IF(AF522&gt;0,"Vínculo a revisar",IF(AD522=0,"Aguardando CDF",IF(AN522=0,"Vínculo de CDF parcial",IF(AE522&lt;AD522,"CDF a conferir","Documentação conferida"))))))))))))))))))</f>
        <v/>
      </c>
      <c r="Q522" s="93" t="str">
        <f>IF(OR(R522=0,AA522=0),"",MAX(0,N(L522)-N(M522)))</f>
        <v/>
      </c>
      <c r="R522" s="96">
        <f>IF(COUNTA(B522:C522,G522:H522,J522:K522)&gt;0,1,0)</f>
        <v>0</v>
      </c>
      <c r="S522" s="96" t="str">
        <f>IF(B522="","",TRIM(LEFT(B522,FIND(" |",B522&amp;" |")-1)))</f>
        <v/>
      </c>
      <c r="T522" s="96" t="str">
        <f>IF(S522="","",IFERROR(MATCH(S522,'MTRs'!$A$6:$A$505,0),""))</f>
        <v/>
      </c>
      <c r="U522" s="96">
        <f>IF(T522="",0,IF(INDEX('MTRs'!$Z$6:$Z$505,T522)=1,1,0))</f>
        <v>0</v>
      </c>
      <c r="V522" s="96">
        <f>IF(C522="",0,IF(ISNUMBER(MATCH(C522,'CAD_RESÍDUOS'!$B$6:$B$205,0)),1,0))</f>
        <v>0</v>
      </c>
      <c r="W522" s="96">
        <f>IF(AND(ISNUMBER(G522),G522&gt;0),1,0)</f>
        <v>0</v>
      </c>
      <c r="X522" s="96" t="str">
        <f>IF(H522="","",IFERROR(IF(ISNUMBER(INDEX(cfg_fac,MATCH(H522,cfg_units,0))),IF(INDEX(cfg_fac,MATCH(H522,cfg_units,0))&gt;0,INDEX(cfg_fac,MATCH(H522,cfg_units,0)),""),""),""))</f>
        <v/>
      </c>
      <c r="Y522" s="96">
        <f>IF(AND(W522=1,ISNUMBER(I522)),1,0)</f>
        <v>0</v>
      </c>
      <c r="Z522" s="96">
        <f>IF(U522=1,INDEX('MTRs'!$AA$6:$AA$505,T522),0)</f>
        <v>0</v>
      </c>
      <c r="AA522" s="96">
        <f>IF(R522=0,0,COUNTIFS('RECEBIMENTOS'!$R$6:$R$1005,A522,'RECEBIMENTOS'!$Q$6:$Q$1005,1))</f>
        <v>0</v>
      </c>
      <c r="AB522" s="96">
        <f>IF(R522=0,0,COUNTIFS('RECEBIMENTOS'!$R$6:$R$1005,A522,'RECEBIMENTOS'!$Z$6:$Z$1005,1))</f>
        <v>0</v>
      </c>
      <c r="AC522" s="96">
        <f>IF(R522=0,0,COUNTIFS('RECEBIMENTOS'!$R$6:$R$1005,A522,'RECEBIMENTOS'!$Y$6:$Y$1005,1))</f>
        <v>0</v>
      </c>
      <c r="AD522" s="96">
        <f>IF(R522=0,0,COUNTIFS('VÍNCULOS_CDF'!$R$6:$R$1005,A522,'VÍNCULOS_CDF'!$N$6:$N$1005,1))</f>
        <v>0</v>
      </c>
      <c r="AE522" s="96">
        <f>IF(R522=0,0,COUNTIFS('VÍNCULOS_CDF'!$R$6:$R$1005,A522,'VÍNCULOS_CDF'!$AA$6:$AA$1005,1))</f>
        <v>0</v>
      </c>
      <c r="AF522" s="96">
        <f>IF(R522=0,0,COUNTIFS('VÍNCULOS_CDF'!$R$6:$R$1005,A522,'VÍNCULOS_CDF'!$Y$6:$Y$1005,1))</f>
        <v>0</v>
      </c>
      <c r="AG522" s="96" t="str">
        <f>IF(AND(R522=1,S522&lt;&gt;"",C522&lt;&gt;""),S522&amp;"|"&amp;C522&amp;"|"&amp;G522&amp;"|"&amp;H522,"")</f>
        <v/>
      </c>
      <c r="AH522" s="96">
        <f>IF(AG522="",0,IF(SUMPRODUCT(--($AG$6:$AG$1005=AG522))&gt;1,1,0))</f>
        <v>0</v>
      </c>
      <c r="AI522" s="96">
        <f>IF(R522=0,0,IF(OR(U522=0,V522=0,Y522=0,AND(AH522=1,K522&lt;&gt;"Sim")),1,0))</f>
        <v>0</v>
      </c>
      <c r="AJ522" s="96">
        <f>IF(AND(R522=1,AA522&gt;0,AB522=AA522),1,0)</f>
        <v>0</v>
      </c>
      <c r="AK522" s="96">
        <f>IF(R522=0,0,IF(AA522&gt;0,N(L522),IF(ISNUMBER(I522),I522,0)))</f>
        <v>0</v>
      </c>
      <c r="AL522" s="96">
        <f>IF(R522=0,0,IF(AND(K522&lt;&gt;"Sim",N(M522)&gt;AK522+cfg_tol),1,0))</f>
        <v>0</v>
      </c>
      <c r="AM522" s="96">
        <f>IF(R522=0,0,IF(K522="Sim",0,IF(OR(AND(AA522&gt;0,ISNUMBER(I522),ABS(I522-N(L522))&gt;cfg_tol),AL522=1),1,0)))</f>
        <v>0</v>
      </c>
      <c r="AN522" s="96">
        <f>IF(AND(R522=1,N(M522)&gt;0,OR(N(M522)&gt;=AK522-cfg_tol,K522="Sim")),1,0)</f>
        <v>0</v>
      </c>
      <c r="AO522" s="96">
        <f>IF(AND(AN522=1,AD522&gt;0,AE522=AD522,AL522=0),1,0)</f>
        <v>0</v>
      </c>
      <c r="AP522" s="96">
        <f>IF(U522=0,0,IF(AND(INDEX('MTRs'!$AX$6:$AX$505,T522)=1,Z522=0,OR(f_res="",f_res="(Todos)",C522=f_res)),1,0))</f>
        <v>0</v>
      </c>
      <c r="AQ522" s="97" t="str">
        <f>IF(U522=0,"",INDEX('MTRs'!$AZ$6:$AZ$505,T522))</f>
        <v/>
      </c>
      <c r="AR522" s="96">
        <f>IF(U522=0,0,IF(AND(INDEX('MTRs'!$BA$6:$BA$505,T522)=1,Z522=0),1,0))</f>
        <v>0</v>
      </c>
      <c r="AS522" s="96" t="str">
        <f>IF(R522=1,A522&amp;" | MTR "&amp;IF(U522=1,INDEX('MTRs'!$B$6:$B$505,T522)&amp;"","?")&amp;" | "&amp;IF(C522="","(sem resíduo)",C522),"")</f>
        <v/>
      </c>
      <c r="AT522" s="96" t="str">
        <f>IF(R522=1,COUNTIF($R$6:R522,1),"")</f>
        <v/>
      </c>
      <c r="AU522" s="96" t="str">
        <f>IF(U522=1,INDEX('MTRs'!$I$6:$I$505,T522)&amp;"","")</f>
        <v/>
      </c>
    </row>
    <row r="523">
      <c r="A523" s="89" t="inlineStr">
        <is>
          <t>IT-000518</t>
        </is>
      </c>
      <c r="B523" s="91" t="n"/>
      <c r="C523" s="91" t="n"/>
      <c r="D523" s="94" t="str">
        <f>IF(OR(R523=0,V523=0),"",INDEX('CAD_RESÍDUOS'!$E$6:$E$205,MATCH(C523,'CAD_RESÍDUOS'!$B$6:$B$205,0))&amp;"")</f>
        <v/>
      </c>
      <c r="E523" s="94" t="str">
        <f>IF(OR(R523=0,V523=0),"",INDEX('CAD_RESÍDUOS'!$C$6:$C$205,MATCH(C523,'CAD_RESÍDUOS'!$B$6:$B$205,0))&amp;"")</f>
        <v/>
      </c>
      <c r="F523" s="94" t="str">
        <f>IF(OR(R523=0,V523=0),"",INDEX('CAD_RESÍDUOS'!$G$6:$G$205,MATCH(C523,'CAD_RESÍDUOS'!$B$6:$B$205,0))&amp;"")</f>
        <v/>
      </c>
      <c r="G523" s="98" t="n"/>
      <c r="H523" s="91" t="n"/>
      <c r="I523" s="93" t="str">
        <f>IF(R523=0,"",IF(NOT(ISNUMBER(G523)),"",IF(ISNUMBER(X523),G523*X523,"UNIDADE A CONFERIR")))</f>
        <v/>
      </c>
      <c r="J523" s="91" t="n"/>
      <c r="K523" s="91" t="n"/>
      <c r="L523" s="93" t="str">
        <f>IF(R523=0,"",SUMIFS('RECEBIMENTOS'!$H$6:$H$1005,'RECEBIMENTOS'!$R$6:$R$1005,A523,'RECEBIMENTOS'!$X$6:$X$1005,1))</f>
        <v/>
      </c>
      <c r="M523" s="93" t="str">
        <f>IF(R523=0,"",SUMIFS('VÍNCULOS_CDF'!$H$6:$H$1005,'VÍNCULOS_CDF'!$R$6:$R$1005,A523,'VÍNCULOS_CDF'!$V$6:$V$1005,1))</f>
        <v/>
      </c>
      <c r="N523" s="99" t="str">
        <f>IF(OR(R523=0,AA523=0,NOT(ISNUMBER(I523))),"",I523-N(L523))</f>
        <v/>
      </c>
      <c r="O523" s="100" t="str">
        <f>IF(OR(R523=0,AK523&lt;=0),"",N(M523)/AK523)</f>
        <v/>
      </c>
      <c r="P523" s="94" t="str">
        <f>IF(R523=0,"",IF(S523="","Sem MTR associado",IF(U523=0,"MTR inexistente",IF(C523="","Resíduo não identificado",IF(V523=0,"Resíduo fora do cadastro",IF(W523=0,"Quantidade inválida",IF(H523="","Unidade não informada",IF(NOT(ISNUMBER(I523)),"Unidade a conferir",IF(AND(AH523=1,K523&lt;&gt;"Sim"),"Possível duplicidade",IF(Z523=1,"MTR cancelado",IF(AC523&gt;0,"Recebimento com alerta",IF(AA523=0,"Aguardando recebimento",IF(AB523&lt;AA523,"Recebimento a conferir",IF(AM523=1,"Quantidade a revisar",IF(AF523&gt;0,"Vínculo a revisar",IF(AD523=0,"Aguardando CDF",IF(AN523=0,"Vínculo de CDF parcial",IF(AE523&lt;AD523,"CDF a conferir","Documentação conferida"))))))))))))))))))</f>
        <v/>
      </c>
      <c r="Q523" s="93" t="str">
        <f>IF(OR(R523=0,AA523=0),"",MAX(0,N(L523)-N(M523)))</f>
        <v/>
      </c>
      <c r="R523" s="96">
        <f>IF(COUNTA(B523:C523,G523:H523,J523:K523)&gt;0,1,0)</f>
        <v>0</v>
      </c>
      <c r="S523" s="96" t="str">
        <f>IF(B523="","",TRIM(LEFT(B523,FIND(" |",B523&amp;" |")-1)))</f>
        <v/>
      </c>
      <c r="T523" s="96" t="str">
        <f>IF(S523="","",IFERROR(MATCH(S523,'MTRs'!$A$6:$A$505,0),""))</f>
        <v/>
      </c>
      <c r="U523" s="96">
        <f>IF(T523="",0,IF(INDEX('MTRs'!$Z$6:$Z$505,T523)=1,1,0))</f>
        <v>0</v>
      </c>
      <c r="V523" s="96">
        <f>IF(C523="",0,IF(ISNUMBER(MATCH(C523,'CAD_RESÍDUOS'!$B$6:$B$205,0)),1,0))</f>
        <v>0</v>
      </c>
      <c r="W523" s="96">
        <f>IF(AND(ISNUMBER(G523),G523&gt;0),1,0)</f>
        <v>0</v>
      </c>
      <c r="X523" s="96" t="str">
        <f>IF(H523="","",IFERROR(IF(ISNUMBER(INDEX(cfg_fac,MATCH(H523,cfg_units,0))),IF(INDEX(cfg_fac,MATCH(H523,cfg_units,0))&gt;0,INDEX(cfg_fac,MATCH(H523,cfg_units,0)),""),""),""))</f>
        <v/>
      </c>
      <c r="Y523" s="96">
        <f>IF(AND(W523=1,ISNUMBER(I523)),1,0)</f>
        <v>0</v>
      </c>
      <c r="Z523" s="96">
        <f>IF(U523=1,INDEX('MTRs'!$AA$6:$AA$505,T523),0)</f>
        <v>0</v>
      </c>
      <c r="AA523" s="96">
        <f>IF(R523=0,0,COUNTIFS('RECEBIMENTOS'!$R$6:$R$1005,A523,'RECEBIMENTOS'!$Q$6:$Q$1005,1))</f>
        <v>0</v>
      </c>
      <c r="AB523" s="96">
        <f>IF(R523=0,0,COUNTIFS('RECEBIMENTOS'!$R$6:$R$1005,A523,'RECEBIMENTOS'!$Z$6:$Z$1005,1))</f>
        <v>0</v>
      </c>
      <c r="AC523" s="96">
        <f>IF(R523=0,0,COUNTIFS('RECEBIMENTOS'!$R$6:$R$1005,A523,'RECEBIMENTOS'!$Y$6:$Y$1005,1))</f>
        <v>0</v>
      </c>
      <c r="AD523" s="96">
        <f>IF(R523=0,0,COUNTIFS('VÍNCULOS_CDF'!$R$6:$R$1005,A523,'VÍNCULOS_CDF'!$N$6:$N$1005,1))</f>
        <v>0</v>
      </c>
      <c r="AE523" s="96">
        <f>IF(R523=0,0,COUNTIFS('VÍNCULOS_CDF'!$R$6:$R$1005,A523,'VÍNCULOS_CDF'!$AA$6:$AA$1005,1))</f>
        <v>0</v>
      </c>
      <c r="AF523" s="96">
        <f>IF(R523=0,0,COUNTIFS('VÍNCULOS_CDF'!$R$6:$R$1005,A523,'VÍNCULOS_CDF'!$Y$6:$Y$1005,1))</f>
        <v>0</v>
      </c>
      <c r="AG523" s="96" t="str">
        <f>IF(AND(R523=1,S523&lt;&gt;"",C523&lt;&gt;""),S523&amp;"|"&amp;C523&amp;"|"&amp;G523&amp;"|"&amp;H523,"")</f>
        <v/>
      </c>
      <c r="AH523" s="96">
        <f>IF(AG523="",0,IF(SUMPRODUCT(--($AG$6:$AG$1005=AG523))&gt;1,1,0))</f>
        <v>0</v>
      </c>
      <c r="AI523" s="96">
        <f>IF(R523=0,0,IF(OR(U523=0,V523=0,Y523=0,AND(AH523=1,K523&lt;&gt;"Sim")),1,0))</f>
        <v>0</v>
      </c>
      <c r="AJ523" s="96">
        <f>IF(AND(R523=1,AA523&gt;0,AB523=AA523),1,0)</f>
        <v>0</v>
      </c>
      <c r="AK523" s="96">
        <f>IF(R523=0,0,IF(AA523&gt;0,N(L523),IF(ISNUMBER(I523),I523,0)))</f>
        <v>0</v>
      </c>
      <c r="AL523" s="96">
        <f>IF(R523=0,0,IF(AND(K523&lt;&gt;"Sim",N(M523)&gt;AK523+cfg_tol),1,0))</f>
        <v>0</v>
      </c>
      <c r="AM523" s="96">
        <f>IF(R523=0,0,IF(K523="Sim",0,IF(OR(AND(AA523&gt;0,ISNUMBER(I523),ABS(I523-N(L523))&gt;cfg_tol),AL523=1),1,0)))</f>
        <v>0</v>
      </c>
      <c r="AN523" s="96">
        <f>IF(AND(R523=1,N(M523)&gt;0,OR(N(M523)&gt;=AK523-cfg_tol,K523="Sim")),1,0)</f>
        <v>0</v>
      </c>
      <c r="AO523" s="96">
        <f>IF(AND(AN523=1,AD523&gt;0,AE523=AD523,AL523=0),1,0)</f>
        <v>0</v>
      </c>
      <c r="AP523" s="96">
        <f>IF(U523=0,0,IF(AND(INDEX('MTRs'!$AX$6:$AX$505,T523)=1,Z523=0,OR(f_res="",f_res="(Todos)",C523=f_res)),1,0))</f>
        <v>0</v>
      </c>
      <c r="AQ523" s="97" t="str">
        <f>IF(U523=0,"",INDEX('MTRs'!$AZ$6:$AZ$505,T523))</f>
        <v/>
      </c>
      <c r="AR523" s="96">
        <f>IF(U523=0,0,IF(AND(INDEX('MTRs'!$BA$6:$BA$505,T523)=1,Z523=0),1,0))</f>
        <v>0</v>
      </c>
      <c r="AS523" s="96" t="str">
        <f>IF(R523=1,A523&amp;" | MTR "&amp;IF(U523=1,INDEX('MTRs'!$B$6:$B$505,T523)&amp;"","?")&amp;" | "&amp;IF(C523="","(sem resíduo)",C523),"")</f>
        <v/>
      </c>
      <c r="AT523" s="96" t="str">
        <f>IF(R523=1,COUNTIF($R$6:R523,1),"")</f>
        <v/>
      </c>
      <c r="AU523" s="96" t="str">
        <f>IF(U523=1,INDEX('MTRs'!$I$6:$I$505,T523)&amp;"","")</f>
        <v/>
      </c>
    </row>
    <row r="524">
      <c r="A524" s="89" t="inlineStr">
        <is>
          <t>IT-000519</t>
        </is>
      </c>
      <c r="B524" s="91" t="n"/>
      <c r="C524" s="91" t="n"/>
      <c r="D524" s="94" t="str">
        <f>IF(OR(R524=0,V524=0),"",INDEX('CAD_RESÍDUOS'!$E$6:$E$205,MATCH(C524,'CAD_RESÍDUOS'!$B$6:$B$205,0))&amp;"")</f>
        <v/>
      </c>
      <c r="E524" s="94" t="str">
        <f>IF(OR(R524=0,V524=0),"",INDEX('CAD_RESÍDUOS'!$C$6:$C$205,MATCH(C524,'CAD_RESÍDUOS'!$B$6:$B$205,0))&amp;"")</f>
        <v/>
      </c>
      <c r="F524" s="94" t="str">
        <f>IF(OR(R524=0,V524=0),"",INDEX('CAD_RESÍDUOS'!$G$6:$G$205,MATCH(C524,'CAD_RESÍDUOS'!$B$6:$B$205,0))&amp;"")</f>
        <v/>
      </c>
      <c r="G524" s="98" t="n"/>
      <c r="H524" s="91" t="n"/>
      <c r="I524" s="93" t="str">
        <f>IF(R524=0,"",IF(NOT(ISNUMBER(G524)),"",IF(ISNUMBER(X524),G524*X524,"UNIDADE A CONFERIR")))</f>
        <v/>
      </c>
      <c r="J524" s="91" t="n"/>
      <c r="K524" s="91" t="n"/>
      <c r="L524" s="93" t="str">
        <f>IF(R524=0,"",SUMIFS('RECEBIMENTOS'!$H$6:$H$1005,'RECEBIMENTOS'!$R$6:$R$1005,A524,'RECEBIMENTOS'!$X$6:$X$1005,1))</f>
        <v/>
      </c>
      <c r="M524" s="93" t="str">
        <f>IF(R524=0,"",SUMIFS('VÍNCULOS_CDF'!$H$6:$H$1005,'VÍNCULOS_CDF'!$R$6:$R$1005,A524,'VÍNCULOS_CDF'!$V$6:$V$1005,1))</f>
        <v/>
      </c>
      <c r="N524" s="99" t="str">
        <f>IF(OR(R524=0,AA524=0,NOT(ISNUMBER(I524))),"",I524-N(L524))</f>
        <v/>
      </c>
      <c r="O524" s="100" t="str">
        <f>IF(OR(R524=0,AK524&lt;=0),"",N(M524)/AK524)</f>
        <v/>
      </c>
      <c r="P524" s="94" t="str">
        <f>IF(R524=0,"",IF(S524="","Sem MTR associado",IF(U524=0,"MTR inexistente",IF(C524="","Resíduo não identificado",IF(V524=0,"Resíduo fora do cadastro",IF(W524=0,"Quantidade inválida",IF(H524="","Unidade não informada",IF(NOT(ISNUMBER(I524)),"Unidade a conferir",IF(AND(AH524=1,K524&lt;&gt;"Sim"),"Possível duplicidade",IF(Z524=1,"MTR cancelado",IF(AC524&gt;0,"Recebimento com alerta",IF(AA524=0,"Aguardando recebimento",IF(AB524&lt;AA524,"Recebimento a conferir",IF(AM524=1,"Quantidade a revisar",IF(AF524&gt;0,"Vínculo a revisar",IF(AD524=0,"Aguardando CDF",IF(AN524=0,"Vínculo de CDF parcial",IF(AE524&lt;AD524,"CDF a conferir","Documentação conferida"))))))))))))))))))</f>
        <v/>
      </c>
      <c r="Q524" s="93" t="str">
        <f>IF(OR(R524=0,AA524=0),"",MAX(0,N(L524)-N(M524)))</f>
        <v/>
      </c>
      <c r="R524" s="96">
        <f>IF(COUNTA(B524:C524,G524:H524,J524:K524)&gt;0,1,0)</f>
        <v>0</v>
      </c>
      <c r="S524" s="96" t="str">
        <f>IF(B524="","",TRIM(LEFT(B524,FIND(" |",B524&amp;" |")-1)))</f>
        <v/>
      </c>
      <c r="T524" s="96" t="str">
        <f>IF(S524="","",IFERROR(MATCH(S524,'MTRs'!$A$6:$A$505,0),""))</f>
        <v/>
      </c>
      <c r="U524" s="96">
        <f>IF(T524="",0,IF(INDEX('MTRs'!$Z$6:$Z$505,T524)=1,1,0))</f>
        <v>0</v>
      </c>
      <c r="V524" s="96">
        <f>IF(C524="",0,IF(ISNUMBER(MATCH(C524,'CAD_RESÍDUOS'!$B$6:$B$205,0)),1,0))</f>
        <v>0</v>
      </c>
      <c r="W524" s="96">
        <f>IF(AND(ISNUMBER(G524),G524&gt;0),1,0)</f>
        <v>0</v>
      </c>
      <c r="X524" s="96" t="str">
        <f>IF(H524="","",IFERROR(IF(ISNUMBER(INDEX(cfg_fac,MATCH(H524,cfg_units,0))),IF(INDEX(cfg_fac,MATCH(H524,cfg_units,0))&gt;0,INDEX(cfg_fac,MATCH(H524,cfg_units,0)),""),""),""))</f>
        <v/>
      </c>
      <c r="Y524" s="96">
        <f>IF(AND(W524=1,ISNUMBER(I524)),1,0)</f>
        <v>0</v>
      </c>
      <c r="Z524" s="96">
        <f>IF(U524=1,INDEX('MTRs'!$AA$6:$AA$505,T524),0)</f>
        <v>0</v>
      </c>
      <c r="AA524" s="96">
        <f>IF(R524=0,0,COUNTIFS('RECEBIMENTOS'!$R$6:$R$1005,A524,'RECEBIMENTOS'!$Q$6:$Q$1005,1))</f>
        <v>0</v>
      </c>
      <c r="AB524" s="96">
        <f>IF(R524=0,0,COUNTIFS('RECEBIMENTOS'!$R$6:$R$1005,A524,'RECEBIMENTOS'!$Z$6:$Z$1005,1))</f>
        <v>0</v>
      </c>
      <c r="AC524" s="96">
        <f>IF(R524=0,0,COUNTIFS('RECEBIMENTOS'!$R$6:$R$1005,A524,'RECEBIMENTOS'!$Y$6:$Y$1005,1))</f>
        <v>0</v>
      </c>
      <c r="AD524" s="96">
        <f>IF(R524=0,0,COUNTIFS('VÍNCULOS_CDF'!$R$6:$R$1005,A524,'VÍNCULOS_CDF'!$N$6:$N$1005,1))</f>
        <v>0</v>
      </c>
      <c r="AE524" s="96">
        <f>IF(R524=0,0,COUNTIFS('VÍNCULOS_CDF'!$R$6:$R$1005,A524,'VÍNCULOS_CDF'!$AA$6:$AA$1005,1))</f>
        <v>0</v>
      </c>
      <c r="AF524" s="96">
        <f>IF(R524=0,0,COUNTIFS('VÍNCULOS_CDF'!$R$6:$R$1005,A524,'VÍNCULOS_CDF'!$Y$6:$Y$1005,1))</f>
        <v>0</v>
      </c>
      <c r="AG524" s="96" t="str">
        <f>IF(AND(R524=1,S524&lt;&gt;"",C524&lt;&gt;""),S524&amp;"|"&amp;C524&amp;"|"&amp;G524&amp;"|"&amp;H524,"")</f>
        <v/>
      </c>
      <c r="AH524" s="96">
        <f>IF(AG524="",0,IF(SUMPRODUCT(--($AG$6:$AG$1005=AG524))&gt;1,1,0))</f>
        <v>0</v>
      </c>
      <c r="AI524" s="96">
        <f>IF(R524=0,0,IF(OR(U524=0,V524=0,Y524=0,AND(AH524=1,K524&lt;&gt;"Sim")),1,0))</f>
        <v>0</v>
      </c>
      <c r="AJ524" s="96">
        <f>IF(AND(R524=1,AA524&gt;0,AB524=AA524),1,0)</f>
        <v>0</v>
      </c>
      <c r="AK524" s="96">
        <f>IF(R524=0,0,IF(AA524&gt;0,N(L524),IF(ISNUMBER(I524),I524,0)))</f>
        <v>0</v>
      </c>
      <c r="AL524" s="96">
        <f>IF(R524=0,0,IF(AND(K524&lt;&gt;"Sim",N(M524)&gt;AK524+cfg_tol),1,0))</f>
        <v>0</v>
      </c>
      <c r="AM524" s="96">
        <f>IF(R524=0,0,IF(K524="Sim",0,IF(OR(AND(AA524&gt;0,ISNUMBER(I524),ABS(I524-N(L524))&gt;cfg_tol),AL524=1),1,0)))</f>
        <v>0</v>
      </c>
      <c r="AN524" s="96">
        <f>IF(AND(R524=1,N(M524)&gt;0,OR(N(M524)&gt;=AK524-cfg_tol,K524="Sim")),1,0)</f>
        <v>0</v>
      </c>
      <c r="AO524" s="96">
        <f>IF(AND(AN524=1,AD524&gt;0,AE524=AD524,AL524=0),1,0)</f>
        <v>0</v>
      </c>
      <c r="AP524" s="96">
        <f>IF(U524=0,0,IF(AND(INDEX('MTRs'!$AX$6:$AX$505,T524)=1,Z524=0,OR(f_res="",f_res="(Todos)",C524=f_res)),1,0))</f>
        <v>0</v>
      </c>
      <c r="AQ524" s="97" t="str">
        <f>IF(U524=0,"",INDEX('MTRs'!$AZ$6:$AZ$505,T524))</f>
        <v/>
      </c>
      <c r="AR524" s="96">
        <f>IF(U524=0,0,IF(AND(INDEX('MTRs'!$BA$6:$BA$505,T524)=1,Z524=0),1,0))</f>
        <v>0</v>
      </c>
      <c r="AS524" s="96" t="str">
        <f>IF(R524=1,A524&amp;" | MTR "&amp;IF(U524=1,INDEX('MTRs'!$B$6:$B$505,T524)&amp;"","?")&amp;" | "&amp;IF(C524="","(sem resíduo)",C524),"")</f>
        <v/>
      </c>
      <c r="AT524" s="96" t="str">
        <f>IF(R524=1,COUNTIF($R$6:R524,1),"")</f>
        <v/>
      </c>
      <c r="AU524" s="96" t="str">
        <f>IF(U524=1,INDEX('MTRs'!$I$6:$I$505,T524)&amp;"","")</f>
        <v/>
      </c>
    </row>
    <row r="525">
      <c r="A525" s="89" t="inlineStr">
        <is>
          <t>IT-000520</t>
        </is>
      </c>
      <c r="B525" s="91" t="n"/>
      <c r="C525" s="91" t="n"/>
      <c r="D525" s="94" t="str">
        <f>IF(OR(R525=0,V525=0),"",INDEX('CAD_RESÍDUOS'!$E$6:$E$205,MATCH(C525,'CAD_RESÍDUOS'!$B$6:$B$205,0))&amp;"")</f>
        <v/>
      </c>
      <c r="E525" s="94" t="str">
        <f>IF(OR(R525=0,V525=0),"",INDEX('CAD_RESÍDUOS'!$C$6:$C$205,MATCH(C525,'CAD_RESÍDUOS'!$B$6:$B$205,0))&amp;"")</f>
        <v/>
      </c>
      <c r="F525" s="94" t="str">
        <f>IF(OR(R525=0,V525=0),"",INDEX('CAD_RESÍDUOS'!$G$6:$G$205,MATCH(C525,'CAD_RESÍDUOS'!$B$6:$B$205,0))&amp;"")</f>
        <v/>
      </c>
      <c r="G525" s="98" t="n"/>
      <c r="H525" s="91" t="n"/>
      <c r="I525" s="93" t="str">
        <f>IF(R525=0,"",IF(NOT(ISNUMBER(G525)),"",IF(ISNUMBER(X525),G525*X525,"UNIDADE A CONFERIR")))</f>
        <v/>
      </c>
      <c r="J525" s="91" t="n"/>
      <c r="K525" s="91" t="n"/>
      <c r="L525" s="93" t="str">
        <f>IF(R525=0,"",SUMIFS('RECEBIMENTOS'!$H$6:$H$1005,'RECEBIMENTOS'!$R$6:$R$1005,A525,'RECEBIMENTOS'!$X$6:$X$1005,1))</f>
        <v/>
      </c>
      <c r="M525" s="93" t="str">
        <f>IF(R525=0,"",SUMIFS('VÍNCULOS_CDF'!$H$6:$H$1005,'VÍNCULOS_CDF'!$R$6:$R$1005,A525,'VÍNCULOS_CDF'!$V$6:$V$1005,1))</f>
        <v/>
      </c>
      <c r="N525" s="99" t="str">
        <f>IF(OR(R525=0,AA525=0,NOT(ISNUMBER(I525))),"",I525-N(L525))</f>
        <v/>
      </c>
      <c r="O525" s="100" t="str">
        <f>IF(OR(R525=0,AK525&lt;=0),"",N(M525)/AK525)</f>
        <v/>
      </c>
      <c r="P525" s="94" t="str">
        <f>IF(R525=0,"",IF(S525="","Sem MTR associado",IF(U525=0,"MTR inexistente",IF(C525="","Resíduo não identificado",IF(V525=0,"Resíduo fora do cadastro",IF(W525=0,"Quantidade inválida",IF(H525="","Unidade não informada",IF(NOT(ISNUMBER(I525)),"Unidade a conferir",IF(AND(AH525=1,K525&lt;&gt;"Sim"),"Possível duplicidade",IF(Z525=1,"MTR cancelado",IF(AC525&gt;0,"Recebimento com alerta",IF(AA525=0,"Aguardando recebimento",IF(AB525&lt;AA525,"Recebimento a conferir",IF(AM525=1,"Quantidade a revisar",IF(AF525&gt;0,"Vínculo a revisar",IF(AD525=0,"Aguardando CDF",IF(AN525=0,"Vínculo de CDF parcial",IF(AE525&lt;AD525,"CDF a conferir","Documentação conferida"))))))))))))))))))</f>
        <v/>
      </c>
      <c r="Q525" s="93" t="str">
        <f>IF(OR(R525=0,AA525=0),"",MAX(0,N(L525)-N(M525)))</f>
        <v/>
      </c>
      <c r="R525" s="96">
        <f>IF(COUNTA(B525:C525,G525:H525,J525:K525)&gt;0,1,0)</f>
        <v>0</v>
      </c>
      <c r="S525" s="96" t="str">
        <f>IF(B525="","",TRIM(LEFT(B525,FIND(" |",B525&amp;" |")-1)))</f>
        <v/>
      </c>
      <c r="T525" s="96" t="str">
        <f>IF(S525="","",IFERROR(MATCH(S525,'MTRs'!$A$6:$A$505,0),""))</f>
        <v/>
      </c>
      <c r="U525" s="96">
        <f>IF(T525="",0,IF(INDEX('MTRs'!$Z$6:$Z$505,T525)=1,1,0))</f>
        <v>0</v>
      </c>
      <c r="V525" s="96">
        <f>IF(C525="",0,IF(ISNUMBER(MATCH(C525,'CAD_RESÍDUOS'!$B$6:$B$205,0)),1,0))</f>
        <v>0</v>
      </c>
      <c r="W525" s="96">
        <f>IF(AND(ISNUMBER(G525),G525&gt;0),1,0)</f>
        <v>0</v>
      </c>
      <c r="X525" s="96" t="str">
        <f>IF(H525="","",IFERROR(IF(ISNUMBER(INDEX(cfg_fac,MATCH(H525,cfg_units,0))),IF(INDEX(cfg_fac,MATCH(H525,cfg_units,0))&gt;0,INDEX(cfg_fac,MATCH(H525,cfg_units,0)),""),""),""))</f>
        <v/>
      </c>
      <c r="Y525" s="96">
        <f>IF(AND(W525=1,ISNUMBER(I525)),1,0)</f>
        <v>0</v>
      </c>
      <c r="Z525" s="96">
        <f>IF(U525=1,INDEX('MTRs'!$AA$6:$AA$505,T525),0)</f>
        <v>0</v>
      </c>
      <c r="AA525" s="96">
        <f>IF(R525=0,0,COUNTIFS('RECEBIMENTOS'!$R$6:$R$1005,A525,'RECEBIMENTOS'!$Q$6:$Q$1005,1))</f>
        <v>0</v>
      </c>
      <c r="AB525" s="96">
        <f>IF(R525=0,0,COUNTIFS('RECEBIMENTOS'!$R$6:$R$1005,A525,'RECEBIMENTOS'!$Z$6:$Z$1005,1))</f>
        <v>0</v>
      </c>
      <c r="AC525" s="96">
        <f>IF(R525=0,0,COUNTIFS('RECEBIMENTOS'!$R$6:$R$1005,A525,'RECEBIMENTOS'!$Y$6:$Y$1005,1))</f>
        <v>0</v>
      </c>
      <c r="AD525" s="96">
        <f>IF(R525=0,0,COUNTIFS('VÍNCULOS_CDF'!$R$6:$R$1005,A525,'VÍNCULOS_CDF'!$N$6:$N$1005,1))</f>
        <v>0</v>
      </c>
      <c r="AE525" s="96">
        <f>IF(R525=0,0,COUNTIFS('VÍNCULOS_CDF'!$R$6:$R$1005,A525,'VÍNCULOS_CDF'!$AA$6:$AA$1005,1))</f>
        <v>0</v>
      </c>
      <c r="AF525" s="96">
        <f>IF(R525=0,0,COUNTIFS('VÍNCULOS_CDF'!$R$6:$R$1005,A525,'VÍNCULOS_CDF'!$Y$6:$Y$1005,1))</f>
        <v>0</v>
      </c>
      <c r="AG525" s="96" t="str">
        <f>IF(AND(R525=1,S525&lt;&gt;"",C525&lt;&gt;""),S525&amp;"|"&amp;C525&amp;"|"&amp;G525&amp;"|"&amp;H525,"")</f>
        <v/>
      </c>
      <c r="AH525" s="96">
        <f>IF(AG525="",0,IF(SUMPRODUCT(--($AG$6:$AG$1005=AG525))&gt;1,1,0))</f>
        <v>0</v>
      </c>
      <c r="AI525" s="96">
        <f>IF(R525=0,0,IF(OR(U525=0,V525=0,Y525=0,AND(AH525=1,K525&lt;&gt;"Sim")),1,0))</f>
        <v>0</v>
      </c>
      <c r="AJ525" s="96">
        <f>IF(AND(R525=1,AA525&gt;0,AB525=AA525),1,0)</f>
        <v>0</v>
      </c>
      <c r="AK525" s="96">
        <f>IF(R525=0,0,IF(AA525&gt;0,N(L525),IF(ISNUMBER(I525),I525,0)))</f>
        <v>0</v>
      </c>
      <c r="AL525" s="96">
        <f>IF(R525=0,0,IF(AND(K525&lt;&gt;"Sim",N(M525)&gt;AK525+cfg_tol),1,0))</f>
        <v>0</v>
      </c>
      <c r="AM525" s="96">
        <f>IF(R525=0,0,IF(K525="Sim",0,IF(OR(AND(AA525&gt;0,ISNUMBER(I525),ABS(I525-N(L525))&gt;cfg_tol),AL525=1),1,0)))</f>
        <v>0</v>
      </c>
      <c r="AN525" s="96">
        <f>IF(AND(R525=1,N(M525)&gt;0,OR(N(M525)&gt;=AK525-cfg_tol,K525="Sim")),1,0)</f>
        <v>0</v>
      </c>
      <c r="AO525" s="96">
        <f>IF(AND(AN525=1,AD525&gt;0,AE525=AD525,AL525=0),1,0)</f>
        <v>0</v>
      </c>
      <c r="AP525" s="96">
        <f>IF(U525=0,0,IF(AND(INDEX('MTRs'!$AX$6:$AX$505,T525)=1,Z525=0,OR(f_res="",f_res="(Todos)",C525=f_res)),1,0))</f>
        <v>0</v>
      </c>
      <c r="AQ525" s="97" t="str">
        <f>IF(U525=0,"",INDEX('MTRs'!$AZ$6:$AZ$505,T525))</f>
        <v/>
      </c>
      <c r="AR525" s="96">
        <f>IF(U525=0,0,IF(AND(INDEX('MTRs'!$BA$6:$BA$505,T525)=1,Z525=0),1,0))</f>
        <v>0</v>
      </c>
      <c r="AS525" s="96" t="str">
        <f>IF(R525=1,A525&amp;" | MTR "&amp;IF(U525=1,INDEX('MTRs'!$B$6:$B$505,T525)&amp;"","?")&amp;" | "&amp;IF(C525="","(sem resíduo)",C525),"")</f>
        <v/>
      </c>
      <c r="AT525" s="96" t="str">
        <f>IF(R525=1,COUNTIF($R$6:R525,1),"")</f>
        <v/>
      </c>
      <c r="AU525" s="96" t="str">
        <f>IF(U525=1,INDEX('MTRs'!$I$6:$I$505,T525)&amp;"","")</f>
        <v/>
      </c>
    </row>
    <row r="526">
      <c r="A526" s="89" t="inlineStr">
        <is>
          <t>IT-000521</t>
        </is>
      </c>
      <c r="B526" s="91" t="n"/>
      <c r="C526" s="91" t="n"/>
      <c r="D526" s="94" t="str">
        <f>IF(OR(R526=0,V526=0),"",INDEX('CAD_RESÍDUOS'!$E$6:$E$205,MATCH(C526,'CAD_RESÍDUOS'!$B$6:$B$205,0))&amp;"")</f>
        <v/>
      </c>
      <c r="E526" s="94" t="str">
        <f>IF(OR(R526=0,V526=0),"",INDEX('CAD_RESÍDUOS'!$C$6:$C$205,MATCH(C526,'CAD_RESÍDUOS'!$B$6:$B$205,0))&amp;"")</f>
        <v/>
      </c>
      <c r="F526" s="94" t="str">
        <f>IF(OR(R526=0,V526=0),"",INDEX('CAD_RESÍDUOS'!$G$6:$G$205,MATCH(C526,'CAD_RESÍDUOS'!$B$6:$B$205,0))&amp;"")</f>
        <v/>
      </c>
      <c r="G526" s="98" t="n"/>
      <c r="H526" s="91" t="n"/>
      <c r="I526" s="93" t="str">
        <f>IF(R526=0,"",IF(NOT(ISNUMBER(G526)),"",IF(ISNUMBER(X526),G526*X526,"UNIDADE A CONFERIR")))</f>
        <v/>
      </c>
      <c r="J526" s="91" t="n"/>
      <c r="K526" s="91" t="n"/>
      <c r="L526" s="93" t="str">
        <f>IF(R526=0,"",SUMIFS('RECEBIMENTOS'!$H$6:$H$1005,'RECEBIMENTOS'!$R$6:$R$1005,A526,'RECEBIMENTOS'!$X$6:$X$1005,1))</f>
        <v/>
      </c>
      <c r="M526" s="93" t="str">
        <f>IF(R526=0,"",SUMIFS('VÍNCULOS_CDF'!$H$6:$H$1005,'VÍNCULOS_CDF'!$R$6:$R$1005,A526,'VÍNCULOS_CDF'!$V$6:$V$1005,1))</f>
        <v/>
      </c>
      <c r="N526" s="99" t="str">
        <f>IF(OR(R526=0,AA526=0,NOT(ISNUMBER(I526))),"",I526-N(L526))</f>
        <v/>
      </c>
      <c r="O526" s="100" t="str">
        <f>IF(OR(R526=0,AK526&lt;=0),"",N(M526)/AK526)</f>
        <v/>
      </c>
      <c r="P526" s="94" t="str">
        <f>IF(R526=0,"",IF(S526="","Sem MTR associado",IF(U526=0,"MTR inexistente",IF(C526="","Resíduo não identificado",IF(V526=0,"Resíduo fora do cadastro",IF(W526=0,"Quantidade inválida",IF(H526="","Unidade não informada",IF(NOT(ISNUMBER(I526)),"Unidade a conferir",IF(AND(AH526=1,K526&lt;&gt;"Sim"),"Possível duplicidade",IF(Z526=1,"MTR cancelado",IF(AC526&gt;0,"Recebimento com alerta",IF(AA526=0,"Aguardando recebimento",IF(AB526&lt;AA526,"Recebimento a conferir",IF(AM526=1,"Quantidade a revisar",IF(AF526&gt;0,"Vínculo a revisar",IF(AD526=0,"Aguardando CDF",IF(AN526=0,"Vínculo de CDF parcial",IF(AE526&lt;AD526,"CDF a conferir","Documentação conferida"))))))))))))))))))</f>
        <v/>
      </c>
      <c r="Q526" s="93" t="str">
        <f>IF(OR(R526=0,AA526=0),"",MAX(0,N(L526)-N(M526)))</f>
        <v/>
      </c>
      <c r="R526" s="96">
        <f>IF(COUNTA(B526:C526,G526:H526,J526:K526)&gt;0,1,0)</f>
        <v>0</v>
      </c>
      <c r="S526" s="96" t="str">
        <f>IF(B526="","",TRIM(LEFT(B526,FIND(" |",B526&amp;" |")-1)))</f>
        <v/>
      </c>
      <c r="T526" s="96" t="str">
        <f>IF(S526="","",IFERROR(MATCH(S526,'MTRs'!$A$6:$A$505,0),""))</f>
        <v/>
      </c>
      <c r="U526" s="96">
        <f>IF(T526="",0,IF(INDEX('MTRs'!$Z$6:$Z$505,T526)=1,1,0))</f>
        <v>0</v>
      </c>
      <c r="V526" s="96">
        <f>IF(C526="",0,IF(ISNUMBER(MATCH(C526,'CAD_RESÍDUOS'!$B$6:$B$205,0)),1,0))</f>
        <v>0</v>
      </c>
      <c r="W526" s="96">
        <f>IF(AND(ISNUMBER(G526),G526&gt;0),1,0)</f>
        <v>0</v>
      </c>
      <c r="X526" s="96" t="str">
        <f>IF(H526="","",IFERROR(IF(ISNUMBER(INDEX(cfg_fac,MATCH(H526,cfg_units,0))),IF(INDEX(cfg_fac,MATCH(H526,cfg_units,0))&gt;0,INDEX(cfg_fac,MATCH(H526,cfg_units,0)),""),""),""))</f>
        <v/>
      </c>
      <c r="Y526" s="96">
        <f>IF(AND(W526=1,ISNUMBER(I526)),1,0)</f>
        <v>0</v>
      </c>
      <c r="Z526" s="96">
        <f>IF(U526=1,INDEX('MTRs'!$AA$6:$AA$505,T526),0)</f>
        <v>0</v>
      </c>
      <c r="AA526" s="96">
        <f>IF(R526=0,0,COUNTIFS('RECEBIMENTOS'!$R$6:$R$1005,A526,'RECEBIMENTOS'!$Q$6:$Q$1005,1))</f>
        <v>0</v>
      </c>
      <c r="AB526" s="96">
        <f>IF(R526=0,0,COUNTIFS('RECEBIMENTOS'!$R$6:$R$1005,A526,'RECEBIMENTOS'!$Z$6:$Z$1005,1))</f>
        <v>0</v>
      </c>
      <c r="AC526" s="96">
        <f>IF(R526=0,0,COUNTIFS('RECEBIMENTOS'!$R$6:$R$1005,A526,'RECEBIMENTOS'!$Y$6:$Y$1005,1))</f>
        <v>0</v>
      </c>
      <c r="AD526" s="96">
        <f>IF(R526=0,0,COUNTIFS('VÍNCULOS_CDF'!$R$6:$R$1005,A526,'VÍNCULOS_CDF'!$N$6:$N$1005,1))</f>
        <v>0</v>
      </c>
      <c r="AE526" s="96">
        <f>IF(R526=0,0,COUNTIFS('VÍNCULOS_CDF'!$R$6:$R$1005,A526,'VÍNCULOS_CDF'!$AA$6:$AA$1005,1))</f>
        <v>0</v>
      </c>
      <c r="AF526" s="96">
        <f>IF(R526=0,0,COUNTIFS('VÍNCULOS_CDF'!$R$6:$R$1005,A526,'VÍNCULOS_CDF'!$Y$6:$Y$1005,1))</f>
        <v>0</v>
      </c>
      <c r="AG526" s="96" t="str">
        <f>IF(AND(R526=1,S526&lt;&gt;"",C526&lt;&gt;""),S526&amp;"|"&amp;C526&amp;"|"&amp;G526&amp;"|"&amp;H526,"")</f>
        <v/>
      </c>
      <c r="AH526" s="96">
        <f>IF(AG526="",0,IF(SUMPRODUCT(--($AG$6:$AG$1005=AG526))&gt;1,1,0))</f>
        <v>0</v>
      </c>
      <c r="AI526" s="96">
        <f>IF(R526=0,0,IF(OR(U526=0,V526=0,Y526=0,AND(AH526=1,K526&lt;&gt;"Sim")),1,0))</f>
        <v>0</v>
      </c>
      <c r="AJ526" s="96">
        <f>IF(AND(R526=1,AA526&gt;0,AB526=AA526),1,0)</f>
        <v>0</v>
      </c>
      <c r="AK526" s="96">
        <f>IF(R526=0,0,IF(AA526&gt;0,N(L526),IF(ISNUMBER(I526),I526,0)))</f>
        <v>0</v>
      </c>
      <c r="AL526" s="96">
        <f>IF(R526=0,0,IF(AND(K526&lt;&gt;"Sim",N(M526)&gt;AK526+cfg_tol),1,0))</f>
        <v>0</v>
      </c>
      <c r="AM526" s="96">
        <f>IF(R526=0,0,IF(K526="Sim",0,IF(OR(AND(AA526&gt;0,ISNUMBER(I526),ABS(I526-N(L526))&gt;cfg_tol),AL526=1),1,0)))</f>
        <v>0</v>
      </c>
      <c r="AN526" s="96">
        <f>IF(AND(R526=1,N(M526)&gt;0,OR(N(M526)&gt;=AK526-cfg_tol,K526="Sim")),1,0)</f>
        <v>0</v>
      </c>
      <c r="AO526" s="96">
        <f>IF(AND(AN526=1,AD526&gt;0,AE526=AD526,AL526=0),1,0)</f>
        <v>0</v>
      </c>
      <c r="AP526" s="96">
        <f>IF(U526=0,0,IF(AND(INDEX('MTRs'!$AX$6:$AX$505,T526)=1,Z526=0,OR(f_res="",f_res="(Todos)",C526=f_res)),1,0))</f>
        <v>0</v>
      </c>
      <c r="AQ526" s="97" t="str">
        <f>IF(U526=0,"",INDEX('MTRs'!$AZ$6:$AZ$505,T526))</f>
        <v/>
      </c>
      <c r="AR526" s="96">
        <f>IF(U526=0,0,IF(AND(INDEX('MTRs'!$BA$6:$BA$505,T526)=1,Z526=0),1,0))</f>
        <v>0</v>
      </c>
      <c r="AS526" s="96" t="str">
        <f>IF(R526=1,A526&amp;" | MTR "&amp;IF(U526=1,INDEX('MTRs'!$B$6:$B$505,T526)&amp;"","?")&amp;" | "&amp;IF(C526="","(sem resíduo)",C526),"")</f>
        <v/>
      </c>
      <c r="AT526" s="96" t="str">
        <f>IF(R526=1,COUNTIF($R$6:R526,1),"")</f>
        <v/>
      </c>
      <c r="AU526" s="96" t="str">
        <f>IF(U526=1,INDEX('MTRs'!$I$6:$I$505,T526)&amp;"","")</f>
        <v/>
      </c>
    </row>
    <row r="527">
      <c r="A527" s="89" t="inlineStr">
        <is>
          <t>IT-000522</t>
        </is>
      </c>
      <c r="B527" s="91" t="n"/>
      <c r="C527" s="91" t="n"/>
      <c r="D527" s="94" t="str">
        <f>IF(OR(R527=0,V527=0),"",INDEX('CAD_RESÍDUOS'!$E$6:$E$205,MATCH(C527,'CAD_RESÍDUOS'!$B$6:$B$205,0))&amp;"")</f>
        <v/>
      </c>
      <c r="E527" s="94" t="str">
        <f>IF(OR(R527=0,V527=0),"",INDEX('CAD_RESÍDUOS'!$C$6:$C$205,MATCH(C527,'CAD_RESÍDUOS'!$B$6:$B$205,0))&amp;"")</f>
        <v/>
      </c>
      <c r="F527" s="94" t="str">
        <f>IF(OR(R527=0,V527=0),"",INDEX('CAD_RESÍDUOS'!$G$6:$G$205,MATCH(C527,'CAD_RESÍDUOS'!$B$6:$B$205,0))&amp;"")</f>
        <v/>
      </c>
      <c r="G527" s="98" t="n"/>
      <c r="H527" s="91" t="n"/>
      <c r="I527" s="93" t="str">
        <f>IF(R527=0,"",IF(NOT(ISNUMBER(G527)),"",IF(ISNUMBER(X527),G527*X527,"UNIDADE A CONFERIR")))</f>
        <v/>
      </c>
      <c r="J527" s="91" t="n"/>
      <c r="K527" s="91" t="n"/>
      <c r="L527" s="93" t="str">
        <f>IF(R527=0,"",SUMIFS('RECEBIMENTOS'!$H$6:$H$1005,'RECEBIMENTOS'!$R$6:$R$1005,A527,'RECEBIMENTOS'!$X$6:$X$1005,1))</f>
        <v/>
      </c>
      <c r="M527" s="93" t="str">
        <f>IF(R527=0,"",SUMIFS('VÍNCULOS_CDF'!$H$6:$H$1005,'VÍNCULOS_CDF'!$R$6:$R$1005,A527,'VÍNCULOS_CDF'!$V$6:$V$1005,1))</f>
        <v/>
      </c>
      <c r="N527" s="99" t="str">
        <f>IF(OR(R527=0,AA527=0,NOT(ISNUMBER(I527))),"",I527-N(L527))</f>
        <v/>
      </c>
      <c r="O527" s="100" t="str">
        <f>IF(OR(R527=0,AK527&lt;=0),"",N(M527)/AK527)</f>
        <v/>
      </c>
      <c r="P527" s="94" t="str">
        <f>IF(R527=0,"",IF(S527="","Sem MTR associado",IF(U527=0,"MTR inexistente",IF(C527="","Resíduo não identificado",IF(V527=0,"Resíduo fora do cadastro",IF(W527=0,"Quantidade inválida",IF(H527="","Unidade não informada",IF(NOT(ISNUMBER(I527)),"Unidade a conferir",IF(AND(AH527=1,K527&lt;&gt;"Sim"),"Possível duplicidade",IF(Z527=1,"MTR cancelado",IF(AC527&gt;0,"Recebimento com alerta",IF(AA527=0,"Aguardando recebimento",IF(AB527&lt;AA527,"Recebimento a conferir",IF(AM527=1,"Quantidade a revisar",IF(AF527&gt;0,"Vínculo a revisar",IF(AD527=0,"Aguardando CDF",IF(AN527=0,"Vínculo de CDF parcial",IF(AE527&lt;AD527,"CDF a conferir","Documentação conferida"))))))))))))))))))</f>
        <v/>
      </c>
      <c r="Q527" s="93" t="str">
        <f>IF(OR(R527=0,AA527=0),"",MAX(0,N(L527)-N(M527)))</f>
        <v/>
      </c>
      <c r="R527" s="96">
        <f>IF(COUNTA(B527:C527,G527:H527,J527:K527)&gt;0,1,0)</f>
        <v>0</v>
      </c>
      <c r="S527" s="96" t="str">
        <f>IF(B527="","",TRIM(LEFT(B527,FIND(" |",B527&amp;" |")-1)))</f>
        <v/>
      </c>
      <c r="T527" s="96" t="str">
        <f>IF(S527="","",IFERROR(MATCH(S527,'MTRs'!$A$6:$A$505,0),""))</f>
        <v/>
      </c>
      <c r="U527" s="96">
        <f>IF(T527="",0,IF(INDEX('MTRs'!$Z$6:$Z$505,T527)=1,1,0))</f>
        <v>0</v>
      </c>
      <c r="V527" s="96">
        <f>IF(C527="",0,IF(ISNUMBER(MATCH(C527,'CAD_RESÍDUOS'!$B$6:$B$205,0)),1,0))</f>
        <v>0</v>
      </c>
      <c r="W527" s="96">
        <f>IF(AND(ISNUMBER(G527),G527&gt;0),1,0)</f>
        <v>0</v>
      </c>
      <c r="X527" s="96" t="str">
        <f>IF(H527="","",IFERROR(IF(ISNUMBER(INDEX(cfg_fac,MATCH(H527,cfg_units,0))),IF(INDEX(cfg_fac,MATCH(H527,cfg_units,0))&gt;0,INDEX(cfg_fac,MATCH(H527,cfg_units,0)),""),""),""))</f>
        <v/>
      </c>
      <c r="Y527" s="96">
        <f>IF(AND(W527=1,ISNUMBER(I527)),1,0)</f>
        <v>0</v>
      </c>
      <c r="Z527" s="96">
        <f>IF(U527=1,INDEX('MTRs'!$AA$6:$AA$505,T527),0)</f>
        <v>0</v>
      </c>
      <c r="AA527" s="96">
        <f>IF(R527=0,0,COUNTIFS('RECEBIMENTOS'!$R$6:$R$1005,A527,'RECEBIMENTOS'!$Q$6:$Q$1005,1))</f>
        <v>0</v>
      </c>
      <c r="AB527" s="96">
        <f>IF(R527=0,0,COUNTIFS('RECEBIMENTOS'!$R$6:$R$1005,A527,'RECEBIMENTOS'!$Z$6:$Z$1005,1))</f>
        <v>0</v>
      </c>
      <c r="AC527" s="96">
        <f>IF(R527=0,0,COUNTIFS('RECEBIMENTOS'!$R$6:$R$1005,A527,'RECEBIMENTOS'!$Y$6:$Y$1005,1))</f>
        <v>0</v>
      </c>
      <c r="AD527" s="96">
        <f>IF(R527=0,0,COUNTIFS('VÍNCULOS_CDF'!$R$6:$R$1005,A527,'VÍNCULOS_CDF'!$N$6:$N$1005,1))</f>
        <v>0</v>
      </c>
      <c r="AE527" s="96">
        <f>IF(R527=0,0,COUNTIFS('VÍNCULOS_CDF'!$R$6:$R$1005,A527,'VÍNCULOS_CDF'!$AA$6:$AA$1005,1))</f>
        <v>0</v>
      </c>
      <c r="AF527" s="96">
        <f>IF(R527=0,0,COUNTIFS('VÍNCULOS_CDF'!$R$6:$R$1005,A527,'VÍNCULOS_CDF'!$Y$6:$Y$1005,1))</f>
        <v>0</v>
      </c>
      <c r="AG527" s="96" t="str">
        <f>IF(AND(R527=1,S527&lt;&gt;"",C527&lt;&gt;""),S527&amp;"|"&amp;C527&amp;"|"&amp;G527&amp;"|"&amp;H527,"")</f>
        <v/>
      </c>
      <c r="AH527" s="96">
        <f>IF(AG527="",0,IF(SUMPRODUCT(--($AG$6:$AG$1005=AG527))&gt;1,1,0))</f>
        <v>0</v>
      </c>
      <c r="AI527" s="96">
        <f>IF(R527=0,0,IF(OR(U527=0,V527=0,Y527=0,AND(AH527=1,K527&lt;&gt;"Sim")),1,0))</f>
        <v>0</v>
      </c>
      <c r="AJ527" s="96">
        <f>IF(AND(R527=1,AA527&gt;0,AB527=AA527),1,0)</f>
        <v>0</v>
      </c>
      <c r="AK527" s="96">
        <f>IF(R527=0,0,IF(AA527&gt;0,N(L527),IF(ISNUMBER(I527),I527,0)))</f>
        <v>0</v>
      </c>
      <c r="AL527" s="96">
        <f>IF(R527=0,0,IF(AND(K527&lt;&gt;"Sim",N(M527)&gt;AK527+cfg_tol),1,0))</f>
        <v>0</v>
      </c>
      <c r="AM527" s="96">
        <f>IF(R527=0,0,IF(K527="Sim",0,IF(OR(AND(AA527&gt;0,ISNUMBER(I527),ABS(I527-N(L527))&gt;cfg_tol),AL527=1),1,0)))</f>
        <v>0</v>
      </c>
      <c r="AN527" s="96">
        <f>IF(AND(R527=1,N(M527)&gt;0,OR(N(M527)&gt;=AK527-cfg_tol,K527="Sim")),1,0)</f>
        <v>0</v>
      </c>
      <c r="AO527" s="96">
        <f>IF(AND(AN527=1,AD527&gt;0,AE527=AD527,AL527=0),1,0)</f>
        <v>0</v>
      </c>
      <c r="AP527" s="96">
        <f>IF(U527=0,0,IF(AND(INDEX('MTRs'!$AX$6:$AX$505,T527)=1,Z527=0,OR(f_res="",f_res="(Todos)",C527=f_res)),1,0))</f>
        <v>0</v>
      </c>
      <c r="AQ527" s="97" t="str">
        <f>IF(U527=0,"",INDEX('MTRs'!$AZ$6:$AZ$505,T527))</f>
        <v/>
      </c>
      <c r="AR527" s="96">
        <f>IF(U527=0,0,IF(AND(INDEX('MTRs'!$BA$6:$BA$505,T527)=1,Z527=0),1,0))</f>
        <v>0</v>
      </c>
      <c r="AS527" s="96" t="str">
        <f>IF(R527=1,A527&amp;" | MTR "&amp;IF(U527=1,INDEX('MTRs'!$B$6:$B$505,T527)&amp;"","?")&amp;" | "&amp;IF(C527="","(sem resíduo)",C527),"")</f>
        <v/>
      </c>
      <c r="AT527" s="96" t="str">
        <f>IF(R527=1,COUNTIF($R$6:R527,1),"")</f>
        <v/>
      </c>
      <c r="AU527" s="96" t="str">
        <f>IF(U527=1,INDEX('MTRs'!$I$6:$I$505,T527)&amp;"","")</f>
        <v/>
      </c>
    </row>
    <row r="528">
      <c r="A528" s="89" t="inlineStr">
        <is>
          <t>IT-000523</t>
        </is>
      </c>
      <c r="B528" s="91" t="n"/>
      <c r="C528" s="91" t="n"/>
      <c r="D528" s="94" t="str">
        <f>IF(OR(R528=0,V528=0),"",INDEX('CAD_RESÍDUOS'!$E$6:$E$205,MATCH(C528,'CAD_RESÍDUOS'!$B$6:$B$205,0))&amp;"")</f>
        <v/>
      </c>
      <c r="E528" s="94" t="str">
        <f>IF(OR(R528=0,V528=0),"",INDEX('CAD_RESÍDUOS'!$C$6:$C$205,MATCH(C528,'CAD_RESÍDUOS'!$B$6:$B$205,0))&amp;"")</f>
        <v/>
      </c>
      <c r="F528" s="94" t="str">
        <f>IF(OR(R528=0,V528=0),"",INDEX('CAD_RESÍDUOS'!$G$6:$G$205,MATCH(C528,'CAD_RESÍDUOS'!$B$6:$B$205,0))&amp;"")</f>
        <v/>
      </c>
      <c r="G528" s="98" t="n"/>
      <c r="H528" s="91" t="n"/>
      <c r="I528" s="93" t="str">
        <f>IF(R528=0,"",IF(NOT(ISNUMBER(G528)),"",IF(ISNUMBER(X528),G528*X528,"UNIDADE A CONFERIR")))</f>
        <v/>
      </c>
      <c r="J528" s="91" t="n"/>
      <c r="K528" s="91" t="n"/>
      <c r="L528" s="93" t="str">
        <f>IF(R528=0,"",SUMIFS('RECEBIMENTOS'!$H$6:$H$1005,'RECEBIMENTOS'!$R$6:$R$1005,A528,'RECEBIMENTOS'!$X$6:$X$1005,1))</f>
        <v/>
      </c>
      <c r="M528" s="93" t="str">
        <f>IF(R528=0,"",SUMIFS('VÍNCULOS_CDF'!$H$6:$H$1005,'VÍNCULOS_CDF'!$R$6:$R$1005,A528,'VÍNCULOS_CDF'!$V$6:$V$1005,1))</f>
        <v/>
      </c>
      <c r="N528" s="99" t="str">
        <f>IF(OR(R528=0,AA528=0,NOT(ISNUMBER(I528))),"",I528-N(L528))</f>
        <v/>
      </c>
      <c r="O528" s="100" t="str">
        <f>IF(OR(R528=0,AK528&lt;=0),"",N(M528)/AK528)</f>
        <v/>
      </c>
      <c r="P528" s="94" t="str">
        <f>IF(R528=0,"",IF(S528="","Sem MTR associado",IF(U528=0,"MTR inexistente",IF(C528="","Resíduo não identificado",IF(V528=0,"Resíduo fora do cadastro",IF(W528=0,"Quantidade inválida",IF(H528="","Unidade não informada",IF(NOT(ISNUMBER(I528)),"Unidade a conferir",IF(AND(AH528=1,K528&lt;&gt;"Sim"),"Possível duplicidade",IF(Z528=1,"MTR cancelado",IF(AC528&gt;0,"Recebimento com alerta",IF(AA528=0,"Aguardando recebimento",IF(AB528&lt;AA528,"Recebimento a conferir",IF(AM528=1,"Quantidade a revisar",IF(AF528&gt;0,"Vínculo a revisar",IF(AD528=0,"Aguardando CDF",IF(AN528=0,"Vínculo de CDF parcial",IF(AE528&lt;AD528,"CDF a conferir","Documentação conferida"))))))))))))))))))</f>
        <v/>
      </c>
      <c r="Q528" s="93" t="str">
        <f>IF(OR(R528=0,AA528=0),"",MAX(0,N(L528)-N(M528)))</f>
        <v/>
      </c>
      <c r="R528" s="96">
        <f>IF(COUNTA(B528:C528,G528:H528,J528:K528)&gt;0,1,0)</f>
        <v>0</v>
      </c>
      <c r="S528" s="96" t="str">
        <f>IF(B528="","",TRIM(LEFT(B528,FIND(" |",B528&amp;" |")-1)))</f>
        <v/>
      </c>
      <c r="T528" s="96" t="str">
        <f>IF(S528="","",IFERROR(MATCH(S528,'MTRs'!$A$6:$A$505,0),""))</f>
        <v/>
      </c>
      <c r="U528" s="96">
        <f>IF(T528="",0,IF(INDEX('MTRs'!$Z$6:$Z$505,T528)=1,1,0))</f>
        <v>0</v>
      </c>
      <c r="V528" s="96">
        <f>IF(C528="",0,IF(ISNUMBER(MATCH(C528,'CAD_RESÍDUOS'!$B$6:$B$205,0)),1,0))</f>
        <v>0</v>
      </c>
      <c r="W528" s="96">
        <f>IF(AND(ISNUMBER(G528),G528&gt;0),1,0)</f>
        <v>0</v>
      </c>
      <c r="X528" s="96" t="str">
        <f>IF(H528="","",IFERROR(IF(ISNUMBER(INDEX(cfg_fac,MATCH(H528,cfg_units,0))),IF(INDEX(cfg_fac,MATCH(H528,cfg_units,0))&gt;0,INDEX(cfg_fac,MATCH(H528,cfg_units,0)),""),""),""))</f>
        <v/>
      </c>
      <c r="Y528" s="96">
        <f>IF(AND(W528=1,ISNUMBER(I528)),1,0)</f>
        <v>0</v>
      </c>
      <c r="Z528" s="96">
        <f>IF(U528=1,INDEX('MTRs'!$AA$6:$AA$505,T528),0)</f>
        <v>0</v>
      </c>
      <c r="AA528" s="96">
        <f>IF(R528=0,0,COUNTIFS('RECEBIMENTOS'!$R$6:$R$1005,A528,'RECEBIMENTOS'!$Q$6:$Q$1005,1))</f>
        <v>0</v>
      </c>
      <c r="AB528" s="96">
        <f>IF(R528=0,0,COUNTIFS('RECEBIMENTOS'!$R$6:$R$1005,A528,'RECEBIMENTOS'!$Z$6:$Z$1005,1))</f>
        <v>0</v>
      </c>
      <c r="AC528" s="96">
        <f>IF(R528=0,0,COUNTIFS('RECEBIMENTOS'!$R$6:$R$1005,A528,'RECEBIMENTOS'!$Y$6:$Y$1005,1))</f>
        <v>0</v>
      </c>
      <c r="AD528" s="96">
        <f>IF(R528=0,0,COUNTIFS('VÍNCULOS_CDF'!$R$6:$R$1005,A528,'VÍNCULOS_CDF'!$N$6:$N$1005,1))</f>
        <v>0</v>
      </c>
      <c r="AE528" s="96">
        <f>IF(R528=0,0,COUNTIFS('VÍNCULOS_CDF'!$R$6:$R$1005,A528,'VÍNCULOS_CDF'!$AA$6:$AA$1005,1))</f>
        <v>0</v>
      </c>
      <c r="AF528" s="96">
        <f>IF(R528=0,0,COUNTIFS('VÍNCULOS_CDF'!$R$6:$R$1005,A528,'VÍNCULOS_CDF'!$Y$6:$Y$1005,1))</f>
        <v>0</v>
      </c>
      <c r="AG528" s="96" t="str">
        <f>IF(AND(R528=1,S528&lt;&gt;"",C528&lt;&gt;""),S528&amp;"|"&amp;C528&amp;"|"&amp;G528&amp;"|"&amp;H528,"")</f>
        <v/>
      </c>
      <c r="AH528" s="96">
        <f>IF(AG528="",0,IF(SUMPRODUCT(--($AG$6:$AG$1005=AG528))&gt;1,1,0))</f>
        <v>0</v>
      </c>
      <c r="AI528" s="96">
        <f>IF(R528=0,0,IF(OR(U528=0,V528=0,Y528=0,AND(AH528=1,K528&lt;&gt;"Sim")),1,0))</f>
        <v>0</v>
      </c>
      <c r="AJ528" s="96">
        <f>IF(AND(R528=1,AA528&gt;0,AB528=AA528),1,0)</f>
        <v>0</v>
      </c>
      <c r="AK528" s="96">
        <f>IF(R528=0,0,IF(AA528&gt;0,N(L528),IF(ISNUMBER(I528),I528,0)))</f>
        <v>0</v>
      </c>
      <c r="AL528" s="96">
        <f>IF(R528=0,0,IF(AND(K528&lt;&gt;"Sim",N(M528)&gt;AK528+cfg_tol),1,0))</f>
        <v>0</v>
      </c>
      <c r="AM528" s="96">
        <f>IF(R528=0,0,IF(K528="Sim",0,IF(OR(AND(AA528&gt;0,ISNUMBER(I528),ABS(I528-N(L528))&gt;cfg_tol),AL528=1),1,0)))</f>
        <v>0</v>
      </c>
      <c r="AN528" s="96">
        <f>IF(AND(R528=1,N(M528)&gt;0,OR(N(M528)&gt;=AK528-cfg_tol,K528="Sim")),1,0)</f>
        <v>0</v>
      </c>
      <c r="AO528" s="96">
        <f>IF(AND(AN528=1,AD528&gt;0,AE528=AD528,AL528=0),1,0)</f>
        <v>0</v>
      </c>
      <c r="AP528" s="96">
        <f>IF(U528=0,0,IF(AND(INDEX('MTRs'!$AX$6:$AX$505,T528)=1,Z528=0,OR(f_res="",f_res="(Todos)",C528=f_res)),1,0))</f>
        <v>0</v>
      </c>
      <c r="AQ528" s="97" t="str">
        <f>IF(U528=0,"",INDEX('MTRs'!$AZ$6:$AZ$505,T528))</f>
        <v/>
      </c>
      <c r="AR528" s="96">
        <f>IF(U528=0,0,IF(AND(INDEX('MTRs'!$BA$6:$BA$505,T528)=1,Z528=0),1,0))</f>
        <v>0</v>
      </c>
      <c r="AS528" s="96" t="str">
        <f>IF(R528=1,A528&amp;" | MTR "&amp;IF(U528=1,INDEX('MTRs'!$B$6:$B$505,T528)&amp;"","?")&amp;" | "&amp;IF(C528="","(sem resíduo)",C528),"")</f>
        <v/>
      </c>
      <c r="AT528" s="96" t="str">
        <f>IF(R528=1,COUNTIF($R$6:R528,1),"")</f>
        <v/>
      </c>
      <c r="AU528" s="96" t="str">
        <f>IF(U528=1,INDEX('MTRs'!$I$6:$I$505,T528)&amp;"","")</f>
        <v/>
      </c>
    </row>
    <row r="529">
      <c r="A529" s="89" t="inlineStr">
        <is>
          <t>IT-000524</t>
        </is>
      </c>
      <c r="B529" s="91" t="n"/>
      <c r="C529" s="91" t="n"/>
      <c r="D529" s="94" t="str">
        <f>IF(OR(R529=0,V529=0),"",INDEX('CAD_RESÍDUOS'!$E$6:$E$205,MATCH(C529,'CAD_RESÍDUOS'!$B$6:$B$205,0))&amp;"")</f>
        <v/>
      </c>
      <c r="E529" s="94" t="str">
        <f>IF(OR(R529=0,V529=0),"",INDEX('CAD_RESÍDUOS'!$C$6:$C$205,MATCH(C529,'CAD_RESÍDUOS'!$B$6:$B$205,0))&amp;"")</f>
        <v/>
      </c>
      <c r="F529" s="94" t="str">
        <f>IF(OR(R529=0,V529=0),"",INDEX('CAD_RESÍDUOS'!$G$6:$G$205,MATCH(C529,'CAD_RESÍDUOS'!$B$6:$B$205,0))&amp;"")</f>
        <v/>
      </c>
      <c r="G529" s="98" t="n"/>
      <c r="H529" s="91" t="n"/>
      <c r="I529" s="93" t="str">
        <f>IF(R529=0,"",IF(NOT(ISNUMBER(G529)),"",IF(ISNUMBER(X529),G529*X529,"UNIDADE A CONFERIR")))</f>
        <v/>
      </c>
      <c r="J529" s="91" t="n"/>
      <c r="K529" s="91" t="n"/>
      <c r="L529" s="93" t="str">
        <f>IF(R529=0,"",SUMIFS('RECEBIMENTOS'!$H$6:$H$1005,'RECEBIMENTOS'!$R$6:$R$1005,A529,'RECEBIMENTOS'!$X$6:$X$1005,1))</f>
        <v/>
      </c>
      <c r="M529" s="93" t="str">
        <f>IF(R529=0,"",SUMIFS('VÍNCULOS_CDF'!$H$6:$H$1005,'VÍNCULOS_CDF'!$R$6:$R$1005,A529,'VÍNCULOS_CDF'!$V$6:$V$1005,1))</f>
        <v/>
      </c>
      <c r="N529" s="99" t="str">
        <f>IF(OR(R529=0,AA529=0,NOT(ISNUMBER(I529))),"",I529-N(L529))</f>
        <v/>
      </c>
      <c r="O529" s="100" t="str">
        <f>IF(OR(R529=0,AK529&lt;=0),"",N(M529)/AK529)</f>
        <v/>
      </c>
      <c r="P529" s="94" t="str">
        <f>IF(R529=0,"",IF(S529="","Sem MTR associado",IF(U529=0,"MTR inexistente",IF(C529="","Resíduo não identificado",IF(V529=0,"Resíduo fora do cadastro",IF(W529=0,"Quantidade inválida",IF(H529="","Unidade não informada",IF(NOT(ISNUMBER(I529)),"Unidade a conferir",IF(AND(AH529=1,K529&lt;&gt;"Sim"),"Possível duplicidade",IF(Z529=1,"MTR cancelado",IF(AC529&gt;0,"Recebimento com alerta",IF(AA529=0,"Aguardando recebimento",IF(AB529&lt;AA529,"Recebimento a conferir",IF(AM529=1,"Quantidade a revisar",IF(AF529&gt;0,"Vínculo a revisar",IF(AD529=0,"Aguardando CDF",IF(AN529=0,"Vínculo de CDF parcial",IF(AE529&lt;AD529,"CDF a conferir","Documentação conferida"))))))))))))))))))</f>
        <v/>
      </c>
      <c r="Q529" s="93" t="str">
        <f>IF(OR(R529=0,AA529=0),"",MAX(0,N(L529)-N(M529)))</f>
        <v/>
      </c>
      <c r="R529" s="96">
        <f>IF(COUNTA(B529:C529,G529:H529,J529:K529)&gt;0,1,0)</f>
        <v>0</v>
      </c>
      <c r="S529" s="96" t="str">
        <f>IF(B529="","",TRIM(LEFT(B529,FIND(" |",B529&amp;" |")-1)))</f>
        <v/>
      </c>
      <c r="T529" s="96" t="str">
        <f>IF(S529="","",IFERROR(MATCH(S529,'MTRs'!$A$6:$A$505,0),""))</f>
        <v/>
      </c>
      <c r="U529" s="96">
        <f>IF(T529="",0,IF(INDEX('MTRs'!$Z$6:$Z$505,T529)=1,1,0))</f>
        <v>0</v>
      </c>
      <c r="V529" s="96">
        <f>IF(C529="",0,IF(ISNUMBER(MATCH(C529,'CAD_RESÍDUOS'!$B$6:$B$205,0)),1,0))</f>
        <v>0</v>
      </c>
      <c r="W529" s="96">
        <f>IF(AND(ISNUMBER(G529),G529&gt;0),1,0)</f>
        <v>0</v>
      </c>
      <c r="X529" s="96" t="str">
        <f>IF(H529="","",IFERROR(IF(ISNUMBER(INDEX(cfg_fac,MATCH(H529,cfg_units,0))),IF(INDEX(cfg_fac,MATCH(H529,cfg_units,0))&gt;0,INDEX(cfg_fac,MATCH(H529,cfg_units,0)),""),""),""))</f>
        <v/>
      </c>
      <c r="Y529" s="96">
        <f>IF(AND(W529=1,ISNUMBER(I529)),1,0)</f>
        <v>0</v>
      </c>
      <c r="Z529" s="96">
        <f>IF(U529=1,INDEX('MTRs'!$AA$6:$AA$505,T529),0)</f>
        <v>0</v>
      </c>
      <c r="AA529" s="96">
        <f>IF(R529=0,0,COUNTIFS('RECEBIMENTOS'!$R$6:$R$1005,A529,'RECEBIMENTOS'!$Q$6:$Q$1005,1))</f>
        <v>0</v>
      </c>
      <c r="AB529" s="96">
        <f>IF(R529=0,0,COUNTIFS('RECEBIMENTOS'!$R$6:$R$1005,A529,'RECEBIMENTOS'!$Z$6:$Z$1005,1))</f>
        <v>0</v>
      </c>
      <c r="AC529" s="96">
        <f>IF(R529=0,0,COUNTIFS('RECEBIMENTOS'!$R$6:$R$1005,A529,'RECEBIMENTOS'!$Y$6:$Y$1005,1))</f>
        <v>0</v>
      </c>
      <c r="AD529" s="96">
        <f>IF(R529=0,0,COUNTIFS('VÍNCULOS_CDF'!$R$6:$R$1005,A529,'VÍNCULOS_CDF'!$N$6:$N$1005,1))</f>
        <v>0</v>
      </c>
      <c r="AE529" s="96">
        <f>IF(R529=0,0,COUNTIFS('VÍNCULOS_CDF'!$R$6:$R$1005,A529,'VÍNCULOS_CDF'!$AA$6:$AA$1005,1))</f>
        <v>0</v>
      </c>
      <c r="AF529" s="96">
        <f>IF(R529=0,0,COUNTIFS('VÍNCULOS_CDF'!$R$6:$R$1005,A529,'VÍNCULOS_CDF'!$Y$6:$Y$1005,1))</f>
        <v>0</v>
      </c>
      <c r="AG529" s="96" t="str">
        <f>IF(AND(R529=1,S529&lt;&gt;"",C529&lt;&gt;""),S529&amp;"|"&amp;C529&amp;"|"&amp;G529&amp;"|"&amp;H529,"")</f>
        <v/>
      </c>
      <c r="AH529" s="96">
        <f>IF(AG529="",0,IF(SUMPRODUCT(--($AG$6:$AG$1005=AG529))&gt;1,1,0))</f>
        <v>0</v>
      </c>
      <c r="AI529" s="96">
        <f>IF(R529=0,0,IF(OR(U529=0,V529=0,Y529=0,AND(AH529=1,K529&lt;&gt;"Sim")),1,0))</f>
        <v>0</v>
      </c>
      <c r="AJ529" s="96">
        <f>IF(AND(R529=1,AA529&gt;0,AB529=AA529),1,0)</f>
        <v>0</v>
      </c>
      <c r="AK529" s="96">
        <f>IF(R529=0,0,IF(AA529&gt;0,N(L529),IF(ISNUMBER(I529),I529,0)))</f>
        <v>0</v>
      </c>
      <c r="AL529" s="96">
        <f>IF(R529=0,0,IF(AND(K529&lt;&gt;"Sim",N(M529)&gt;AK529+cfg_tol),1,0))</f>
        <v>0</v>
      </c>
      <c r="AM529" s="96">
        <f>IF(R529=0,0,IF(K529="Sim",0,IF(OR(AND(AA529&gt;0,ISNUMBER(I529),ABS(I529-N(L529))&gt;cfg_tol),AL529=1),1,0)))</f>
        <v>0</v>
      </c>
      <c r="AN529" s="96">
        <f>IF(AND(R529=1,N(M529)&gt;0,OR(N(M529)&gt;=AK529-cfg_tol,K529="Sim")),1,0)</f>
        <v>0</v>
      </c>
      <c r="AO529" s="96">
        <f>IF(AND(AN529=1,AD529&gt;0,AE529=AD529,AL529=0),1,0)</f>
        <v>0</v>
      </c>
      <c r="AP529" s="96">
        <f>IF(U529=0,0,IF(AND(INDEX('MTRs'!$AX$6:$AX$505,T529)=1,Z529=0,OR(f_res="",f_res="(Todos)",C529=f_res)),1,0))</f>
        <v>0</v>
      </c>
      <c r="AQ529" s="97" t="str">
        <f>IF(U529=0,"",INDEX('MTRs'!$AZ$6:$AZ$505,T529))</f>
        <v/>
      </c>
      <c r="AR529" s="96">
        <f>IF(U529=0,0,IF(AND(INDEX('MTRs'!$BA$6:$BA$505,T529)=1,Z529=0),1,0))</f>
        <v>0</v>
      </c>
      <c r="AS529" s="96" t="str">
        <f>IF(R529=1,A529&amp;" | MTR "&amp;IF(U529=1,INDEX('MTRs'!$B$6:$B$505,T529)&amp;"","?")&amp;" | "&amp;IF(C529="","(sem resíduo)",C529),"")</f>
        <v/>
      </c>
      <c r="AT529" s="96" t="str">
        <f>IF(R529=1,COUNTIF($R$6:R529,1),"")</f>
        <v/>
      </c>
      <c r="AU529" s="96" t="str">
        <f>IF(U529=1,INDEX('MTRs'!$I$6:$I$505,T529)&amp;"","")</f>
        <v/>
      </c>
    </row>
    <row r="530">
      <c r="A530" s="89" t="inlineStr">
        <is>
          <t>IT-000525</t>
        </is>
      </c>
      <c r="B530" s="91" t="n"/>
      <c r="C530" s="91" t="n"/>
      <c r="D530" s="94" t="str">
        <f>IF(OR(R530=0,V530=0),"",INDEX('CAD_RESÍDUOS'!$E$6:$E$205,MATCH(C530,'CAD_RESÍDUOS'!$B$6:$B$205,0))&amp;"")</f>
        <v/>
      </c>
      <c r="E530" s="94" t="str">
        <f>IF(OR(R530=0,V530=0),"",INDEX('CAD_RESÍDUOS'!$C$6:$C$205,MATCH(C530,'CAD_RESÍDUOS'!$B$6:$B$205,0))&amp;"")</f>
        <v/>
      </c>
      <c r="F530" s="94" t="str">
        <f>IF(OR(R530=0,V530=0),"",INDEX('CAD_RESÍDUOS'!$G$6:$G$205,MATCH(C530,'CAD_RESÍDUOS'!$B$6:$B$205,0))&amp;"")</f>
        <v/>
      </c>
      <c r="G530" s="98" t="n"/>
      <c r="H530" s="91" t="n"/>
      <c r="I530" s="93" t="str">
        <f>IF(R530=0,"",IF(NOT(ISNUMBER(G530)),"",IF(ISNUMBER(X530),G530*X530,"UNIDADE A CONFERIR")))</f>
        <v/>
      </c>
      <c r="J530" s="91" t="n"/>
      <c r="K530" s="91" t="n"/>
      <c r="L530" s="93" t="str">
        <f>IF(R530=0,"",SUMIFS('RECEBIMENTOS'!$H$6:$H$1005,'RECEBIMENTOS'!$R$6:$R$1005,A530,'RECEBIMENTOS'!$X$6:$X$1005,1))</f>
        <v/>
      </c>
      <c r="M530" s="93" t="str">
        <f>IF(R530=0,"",SUMIFS('VÍNCULOS_CDF'!$H$6:$H$1005,'VÍNCULOS_CDF'!$R$6:$R$1005,A530,'VÍNCULOS_CDF'!$V$6:$V$1005,1))</f>
        <v/>
      </c>
      <c r="N530" s="99" t="str">
        <f>IF(OR(R530=0,AA530=0,NOT(ISNUMBER(I530))),"",I530-N(L530))</f>
        <v/>
      </c>
      <c r="O530" s="100" t="str">
        <f>IF(OR(R530=0,AK530&lt;=0),"",N(M530)/AK530)</f>
        <v/>
      </c>
      <c r="P530" s="94" t="str">
        <f>IF(R530=0,"",IF(S530="","Sem MTR associado",IF(U530=0,"MTR inexistente",IF(C530="","Resíduo não identificado",IF(V530=0,"Resíduo fora do cadastro",IF(W530=0,"Quantidade inválida",IF(H530="","Unidade não informada",IF(NOT(ISNUMBER(I530)),"Unidade a conferir",IF(AND(AH530=1,K530&lt;&gt;"Sim"),"Possível duplicidade",IF(Z530=1,"MTR cancelado",IF(AC530&gt;0,"Recebimento com alerta",IF(AA530=0,"Aguardando recebimento",IF(AB530&lt;AA530,"Recebimento a conferir",IF(AM530=1,"Quantidade a revisar",IF(AF530&gt;0,"Vínculo a revisar",IF(AD530=0,"Aguardando CDF",IF(AN530=0,"Vínculo de CDF parcial",IF(AE530&lt;AD530,"CDF a conferir","Documentação conferida"))))))))))))))))))</f>
        <v/>
      </c>
      <c r="Q530" s="93" t="str">
        <f>IF(OR(R530=0,AA530=0),"",MAX(0,N(L530)-N(M530)))</f>
        <v/>
      </c>
      <c r="R530" s="96">
        <f>IF(COUNTA(B530:C530,G530:H530,J530:K530)&gt;0,1,0)</f>
        <v>0</v>
      </c>
      <c r="S530" s="96" t="str">
        <f>IF(B530="","",TRIM(LEFT(B530,FIND(" |",B530&amp;" |")-1)))</f>
        <v/>
      </c>
      <c r="T530" s="96" t="str">
        <f>IF(S530="","",IFERROR(MATCH(S530,'MTRs'!$A$6:$A$505,0),""))</f>
        <v/>
      </c>
      <c r="U530" s="96">
        <f>IF(T530="",0,IF(INDEX('MTRs'!$Z$6:$Z$505,T530)=1,1,0))</f>
        <v>0</v>
      </c>
      <c r="V530" s="96">
        <f>IF(C530="",0,IF(ISNUMBER(MATCH(C530,'CAD_RESÍDUOS'!$B$6:$B$205,0)),1,0))</f>
        <v>0</v>
      </c>
      <c r="W530" s="96">
        <f>IF(AND(ISNUMBER(G530),G530&gt;0),1,0)</f>
        <v>0</v>
      </c>
      <c r="X530" s="96" t="str">
        <f>IF(H530="","",IFERROR(IF(ISNUMBER(INDEX(cfg_fac,MATCH(H530,cfg_units,0))),IF(INDEX(cfg_fac,MATCH(H530,cfg_units,0))&gt;0,INDEX(cfg_fac,MATCH(H530,cfg_units,0)),""),""),""))</f>
        <v/>
      </c>
      <c r="Y530" s="96">
        <f>IF(AND(W530=1,ISNUMBER(I530)),1,0)</f>
        <v>0</v>
      </c>
      <c r="Z530" s="96">
        <f>IF(U530=1,INDEX('MTRs'!$AA$6:$AA$505,T530),0)</f>
        <v>0</v>
      </c>
      <c r="AA530" s="96">
        <f>IF(R530=0,0,COUNTIFS('RECEBIMENTOS'!$R$6:$R$1005,A530,'RECEBIMENTOS'!$Q$6:$Q$1005,1))</f>
        <v>0</v>
      </c>
      <c r="AB530" s="96">
        <f>IF(R530=0,0,COUNTIFS('RECEBIMENTOS'!$R$6:$R$1005,A530,'RECEBIMENTOS'!$Z$6:$Z$1005,1))</f>
        <v>0</v>
      </c>
      <c r="AC530" s="96">
        <f>IF(R530=0,0,COUNTIFS('RECEBIMENTOS'!$R$6:$R$1005,A530,'RECEBIMENTOS'!$Y$6:$Y$1005,1))</f>
        <v>0</v>
      </c>
      <c r="AD530" s="96">
        <f>IF(R530=0,0,COUNTIFS('VÍNCULOS_CDF'!$R$6:$R$1005,A530,'VÍNCULOS_CDF'!$N$6:$N$1005,1))</f>
        <v>0</v>
      </c>
      <c r="AE530" s="96">
        <f>IF(R530=0,0,COUNTIFS('VÍNCULOS_CDF'!$R$6:$R$1005,A530,'VÍNCULOS_CDF'!$AA$6:$AA$1005,1))</f>
        <v>0</v>
      </c>
      <c r="AF530" s="96">
        <f>IF(R530=0,0,COUNTIFS('VÍNCULOS_CDF'!$R$6:$R$1005,A530,'VÍNCULOS_CDF'!$Y$6:$Y$1005,1))</f>
        <v>0</v>
      </c>
      <c r="AG530" s="96" t="str">
        <f>IF(AND(R530=1,S530&lt;&gt;"",C530&lt;&gt;""),S530&amp;"|"&amp;C530&amp;"|"&amp;G530&amp;"|"&amp;H530,"")</f>
        <v/>
      </c>
      <c r="AH530" s="96">
        <f>IF(AG530="",0,IF(SUMPRODUCT(--($AG$6:$AG$1005=AG530))&gt;1,1,0))</f>
        <v>0</v>
      </c>
      <c r="AI530" s="96">
        <f>IF(R530=0,0,IF(OR(U530=0,V530=0,Y530=0,AND(AH530=1,K530&lt;&gt;"Sim")),1,0))</f>
        <v>0</v>
      </c>
      <c r="AJ530" s="96">
        <f>IF(AND(R530=1,AA530&gt;0,AB530=AA530),1,0)</f>
        <v>0</v>
      </c>
      <c r="AK530" s="96">
        <f>IF(R530=0,0,IF(AA530&gt;0,N(L530),IF(ISNUMBER(I530),I530,0)))</f>
        <v>0</v>
      </c>
      <c r="AL530" s="96">
        <f>IF(R530=0,0,IF(AND(K530&lt;&gt;"Sim",N(M530)&gt;AK530+cfg_tol),1,0))</f>
        <v>0</v>
      </c>
      <c r="AM530" s="96">
        <f>IF(R530=0,0,IF(K530="Sim",0,IF(OR(AND(AA530&gt;0,ISNUMBER(I530),ABS(I530-N(L530))&gt;cfg_tol),AL530=1),1,0)))</f>
        <v>0</v>
      </c>
      <c r="AN530" s="96">
        <f>IF(AND(R530=1,N(M530)&gt;0,OR(N(M530)&gt;=AK530-cfg_tol,K530="Sim")),1,0)</f>
        <v>0</v>
      </c>
      <c r="AO530" s="96">
        <f>IF(AND(AN530=1,AD530&gt;0,AE530=AD530,AL530=0),1,0)</f>
        <v>0</v>
      </c>
      <c r="AP530" s="96">
        <f>IF(U530=0,0,IF(AND(INDEX('MTRs'!$AX$6:$AX$505,T530)=1,Z530=0,OR(f_res="",f_res="(Todos)",C530=f_res)),1,0))</f>
        <v>0</v>
      </c>
      <c r="AQ530" s="97" t="str">
        <f>IF(U530=0,"",INDEX('MTRs'!$AZ$6:$AZ$505,T530))</f>
        <v/>
      </c>
      <c r="AR530" s="96">
        <f>IF(U530=0,0,IF(AND(INDEX('MTRs'!$BA$6:$BA$505,T530)=1,Z530=0),1,0))</f>
        <v>0</v>
      </c>
      <c r="AS530" s="96" t="str">
        <f>IF(R530=1,A530&amp;" | MTR "&amp;IF(U530=1,INDEX('MTRs'!$B$6:$B$505,T530)&amp;"","?")&amp;" | "&amp;IF(C530="","(sem resíduo)",C530),"")</f>
        <v/>
      </c>
      <c r="AT530" s="96" t="str">
        <f>IF(R530=1,COUNTIF($R$6:R530,1),"")</f>
        <v/>
      </c>
      <c r="AU530" s="96" t="str">
        <f>IF(U530=1,INDEX('MTRs'!$I$6:$I$505,T530)&amp;"","")</f>
        <v/>
      </c>
    </row>
    <row r="531">
      <c r="A531" s="89" t="inlineStr">
        <is>
          <t>IT-000526</t>
        </is>
      </c>
      <c r="B531" s="91" t="n"/>
      <c r="C531" s="91" t="n"/>
      <c r="D531" s="94" t="str">
        <f>IF(OR(R531=0,V531=0),"",INDEX('CAD_RESÍDUOS'!$E$6:$E$205,MATCH(C531,'CAD_RESÍDUOS'!$B$6:$B$205,0))&amp;"")</f>
        <v/>
      </c>
      <c r="E531" s="94" t="str">
        <f>IF(OR(R531=0,V531=0),"",INDEX('CAD_RESÍDUOS'!$C$6:$C$205,MATCH(C531,'CAD_RESÍDUOS'!$B$6:$B$205,0))&amp;"")</f>
        <v/>
      </c>
      <c r="F531" s="94" t="str">
        <f>IF(OR(R531=0,V531=0),"",INDEX('CAD_RESÍDUOS'!$G$6:$G$205,MATCH(C531,'CAD_RESÍDUOS'!$B$6:$B$205,0))&amp;"")</f>
        <v/>
      </c>
      <c r="G531" s="98" t="n"/>
      <c r="H531" s="91" t="n"/>
      <c r="I531" s="93" t="str">
        <f>IF(R531=0,"",IF(NOT(ISNUMBER(G531)),"",IF(ISNUMBER(X531),G531*X531,"UNIDADE A CONFERIR")))</f>
        <v/>
      </c>
      <c r="J531" s="91" t="n"/>
      <c r="K531" s="91" t="n"/>
      <c r="L531" s="93" t="str">
        <f>IF(R531=0,"",SUMIFS('RECEBIMENTOS'!$H$6:$H$1005,'RECEBIMENTOS'!$R$6:$R$1005,A531,'RECEBIMENTOS'!$X$6:$X$1005,1))</f>
        <v/>
      </c>
      <c r="M531" s="93" t="str">
        <f>IF(R531=0,"",SUMIFS('VÍNCULOS_CDF'!$H$6:$H$1005,'VÍNCULOS_CDF'!$R$6:$R$1005,A531,'VÍNCULOS_CDF'!$V$6:$V$1005,1))</f>
        <v/>
      </c>
      <c r="N531" s="99" t="str">
        <f>IF(OR(R531=0,AA531=0,NOT(ISNUMBER(I531))),"",I531-N(L531))</f>
        <v/>
      </c>
      <c r="O531" s="100" t="str">
        <f>IF(OR(R531=0,AK531&lt;=0),"",N(M531)/AK531)</f>
        <v/>
      </c>
      <c r="P531" s="94" t="str">
        <f>IF(R531=0,"",IF(S531="","Sem MTR associado",IF(U531=0,"MTR inexistente",IF(C531="","Resíduo não identificado",IF(V531=0,"Resíduo fora do cadastro",IF(W531=0,"Quantidade inválida",IF(H531="","Unidade não informada",IF(NOT(ISNUMBER(I531)),"Unidade a conferir",IF(AND(AH531=1,K531&lt;&gt;"Sim"),"Possível duplicidade",IF(Z531=1,"MTR cancelado",IF(AC531&gt;0,"Recebimento com alerta",IF(AA531=0,"Aguardando recebimento",IF(AB531&lt;AA531,"Recebimento a conferir",IF(AM531=1,"Quantidade a revisar",IF(AF531&gt;0,"Vínculo a revisar",IF(AD531=0,"Aguardando CDF",IF(AN531=0,"Vínculo de CDF parcial",IF(AE531&lt;AD531,"CDF a conferir","Documentação conferida"))))))))))))))))))</f>
        <v/>
      </c>
      <c r="Q531" s="93" t="str">
        <f>IF(OR(R531=0,AA531=0),"",MAX(0,N(L531)-N(M531)))</f>
        <v/>
      </c>
      <c r="R531" s="96">
        <f>IF(COUNTA(B531:C531,G531:H531,J531:K531)&gt;0,1,0)</f>
        <v>0</v>
      </c>
      <c r="S531" s="96" t="str">
        <f>IF(B531="","",TRIM(LEFT(B531,FIND(" |",B531&amp;" |")-1)))</f>
        <v/>
      </c>
      <c r="T531" s="96" t="str">
        <f>IF(S531="","",IFERROR(MATCH(S531,'MTRs'!$A$6:$A$505,0),""))</f>
        <v/>
      </c>
      <c r="U531" s="96">
        <f>IF(T531="",0,IF(INDEX('MTRs'!$Z$6:$Z$505,T531)=1,1,0))</f>
        <v>0</v>
      </c>
      <c r="V531" s="96">
        <f>IF(C531="",0,IF(ISNUMBER(MATCH(C531,'CAD_RESÍDUOS'!$B$6:$B$205,0)),1,0))</f>
        <v>0</v>
      </c>
      <c r="W531" s="96">
        <f>IF(AND(ISNUMBER(G531),G531&gt;0),1,0)</f>
        <v>0</v>
      </c>
      <c r="X531" s="96" t="str">
        <f>IF(H531="","",IFERROR(IF(ISNUMBER(INDEX(cfg_fac,MATCH(H531,cfg_units,0))),IF(INDEX(cfg_fac,MATCH(H531,cfg_units,0))&gt;0,INDEX(cfg_fac,MATCH(H531,cfg_units,0)),""),""),""))</f>
        <v/>
      </c>
      <c r="Y531" s="96">
        <f>IF(AND(W531=1,ISNUMBER(I531)),1,0)</f>
        <v>0</v>
      </c>
      <c r="Z531" s="96">
        <f>IF(U531=1,INDEX('MTRs'!$AA$6:$AA$505,T531),0)</f>
        <v>0</v>
      </c>
      <c r="AA531" s="96">
        <f>IF(R531=0,0,COUNTIFS('RECEBIMENTOS'!$R$6:$R$1005,A531,'RECEBIMENTOS'!$Q$6:$Q$1005,1))</f>
        <v>0</v>
      </c>
      <c r="AB531" s="96">
        <f>IF(R531=0,0,COUNTIFS('RECEBIMENTOS'!$R$6:$R$1005,A531,'RECEBIMENTOS'!$Z$6:$Z$1005,1))</f>
        <v>0</v>
      </c>
      <c r="AC531" s="96">
        <f>IF(R531=0,0,COUNTIFS('RECEBIMENTOS'!$R$6:$R$1005,A531,'RECEBIMENTOS'!$Y$6:$Y$1005,1))</f>
        <v>0</v>
      </c>
      <c r="AD531" s="96">
        <f>IF(R531=0,0,COUNTIFS('VÍNCULOS_CDF'!$R$6:$R$1005,A531,'VÍNCULOS_CDF'!$N$6:$N$1005,1))</f>
        <v>0</v>
      </c>
      <c r="AE531" s="96">
        <f>IF(R531=0,0,COUNTIFS('VÍNCULOS_CDF'!$R$6:$R$1005,A531,'VÍNCULOS_CDF'!$AA$6:$AA$1005,1))</f>
        <v>0</v>
      </c>
      <c r="AF531" s="96">
        <f>IF(R531=0,0,COUNTIFS('VÍNCULOS_CDF'!$R$6:$R$1005,A531,'VÍNCULOS_CDF'!$Y$6:$Y$1005,1))</f>
        <v>0</v>
      </c>
      <c r="AG531" s="96" t="str">
        <f>IF(AND(R531=1,S531&lt;&gt;"",C531&lt;&gt;""),S531&amp;"|"&amp;C531&amp;"|"&amp;G531&amp;"|"&amp;H531,"")</f>
        <v/>
      </c>
      <c r="AH531" s="96">
        <f>IF(AG531="",0,IF(SUMPRODUCT(--($AG$6:$AG$1005=AG531))&gt;1,1,0))</f>
        <v>0</v>
      </c>
      <c r="AI531" s="96">
        <f>IF(R531=0,0,IF(OR(U531=0,V531=0,Y531=0,AND(AH531=1,K531&lt;&gt;"Sim")),1,0))</f>
        <v>0</v>
      </c>
      <c r="AJ531" s="96">
        <f>IF(AND(R531=1,AA531&gt;0,AB531=AA531),1,0)</f>
        <v>0</v>
      </c>
      <c r="AK531" s="96">
        <f>IF(R531=0,0,IF(AA531&gt;0,N(L531),IF(ISNUMBER(I531),I531,0)))</f>
        <v>0</v>
      </c>
      <c r="AL531" s="96">
        <f>IF(R531=0,0,IF(AND(K531&lt;&gt;"Sim",N(M531)&gt;AK531+cfg_tol),1,0))</f>
        <v>0</v>
      </c>
      <c r="AM531" s="96">
        <f>IF(R531=0,0,IF(K531="Sim",0,IF(OR(AND(AA531&gt;0,ISNUMBER(I531),ABS(I531-N(L531))&gt;cfg_tol),AL531=1),1,0)))</f>
        <v>0</v>
      </c>
      <c r="AN531" s="96">
        <f>IF(AND(R531=1,N(M531)&gt;0,OR(N(M531)&gt;=AK531-cfg_tol,K531="Sim")),1,0)</f>
        <v>0</v>
      </c>
      <c r="AO531" s="96">
        <f>IF(AND(AN531=1,AD531&gt;0,AE531=AD531,AL531=0),1,0)</f>
        <v>0</v>
      </c>
      <c r="AP531" s="96">
        <f>IF(U531=0,0,IF(AND(INDEX('MTRs'!$AX$6:$AX$505,T531)=1,Z531=0,OR(f_res="",f_res="(Todos)",C531=f_res)),1,0))</f>
        <v>0</v>
      </c>
      <c r="AQ531" s="97" t="str">
        <f>IF(U531=0,"",INDEX('MTRs'!$AZ$6:$AZ$505,T531))</f>
        <v/>
      </c>
      <c r="AR531" s="96">
        <f>IF(U531=0,0,IF(AND(INDEX('MTRs'!$BA$6:$BA$505,T531)=1,Z531=0),1,0))</f>
        <v>0</v>
      </c>
      <c r="AS531" s="96" t="str">
        <f>IF(R531=1,A531&amp;" | MTR "&amp;IF(U531=1,INDEX('MTRs'!$B$6:$B$505,T531)&amp;"","?")&amp;" | "&amp;IF(C531="","(sem resíduo)",C531),"")</f>
        <v/>
      </c>
      <c r="AT531" s="96" t="str">
        <f>IF(R531=1,COUNTIF($R$6:R531,1),"")</f>
        <v/>
      </c>
      <c r="AU531" s="96" t="str">
        <f>IF(U531=1,INDEX('MTRs'!$I$6:$I$505,T531)&amp;"","")</f>
        <v/>
      </c>
    </row>
    <row r="532">
      <c r="A532" s="89" t="inlineStr">
        <is>
          <t>IT-000527</t>
        </is>
      </c>
      <c r="B532" s="91" t="n"/>
      <c r="C532" s="91" t="n"/>
      <c r="D532" s="94" t="str">
        <f>IF(OR(R532=0,V532=0),"",INDEX('CAD_RESÍDUOS'!$E$6:$E$205,MATCH(C532,'CAD_RESÍDUOS'!$B$6:$B$205,0))&amp;"")</f>
        <v/>
      </c>
      <c r="E532" s="94" t="str">
        <f>IF(OR(R532=0,V532=0),"",INDEX('CAD_RESÍDUOS'!$C$6:$C$205,MATCH(C532,'CAD_RESÍDUOS'!$B$6:$B$205,0))&amp;"")</f>
        <v/>
      </c>
      <c r="F532" s="94" t="str">
        <f>IF(OR(R532=0,V532=0),"",INDEX('CAD_RESÍDUOS'!$G$6:$G$205,MATCH(C532,'CAD_RESÍDUOS'!$B$6:$B$205,0))&amp;"")</f>
        <v/>
      </c>
      <c r="G532" s="98" t="n"/>
      <c r="H532" s="91" t="n"/>
      <c r="I532" s="93" t="str">
        <f>IF(R532=0,"",IF(NOT(ISNUMBER(G532)),"",IF(ISNUMBER(X532),G532*X532,"UNIDADE A CONFERIR")))</f>
        <v/>
      </c>
      <c r="J532" s="91" t="n"/>
      <c r="K532" s="91" t="n"/>
      <c r="L532" s="93" t="str">
        <f>IF(R532=0,"",SUMIFS('RECEBIMENTOS'!$H$6:$H$1005,'RECEBIMENTOS'!$R$6:$R$1005,A532,'RECEBIMENTOS'!$X$6:$X$1005,1))</f>
        <v/>
      </c>
      <c r="M532" s="93" t="str">
        <f>IF(R532=0,"",SUMIFS('VÍNCULOS_CDF'!$H$6:$H$1005,'VÍNCULOS_CDF'!$R$6:$R$1005,A532,'VÍNCULOS_CDF'!$V$6:$V$1005,1))</f>
        <v/>
      </c>
      <c r="N532" s="99" t="str">
        <f>IF(OR(R532=0,AA532=0,NOT(ISNUMBER(I532))),"",I532-N(L532))</f>
        <v/>
      </c>
      <c r="O532" s="100" t="str">
        <f>IF(OR(R532=0,AK532&lt;=0),"",N(M532)/AK532)</f>
        <v/>
      </c>
      <c r="P532" s="94" t="str">
        <f>IF(R532=0,"",IF(S532="","Sem MTR associado",IF(U532=0,"MTR inexistente",IF(C532="","Resíduo não identificado",IF(V532=0,"Resíduo fora do cadastro",IF(W532=0,"Quantidade inválida",IF(H532="","Unidade não informada",IF(NOT(ISNUMBER(I532)),"Unidade a conferir",IF(AND(AH532=1,K532&lt;&gt;"Sim"),"Possível duplicidade",IF(Z532=1,"MTR cancelado",IF(AC532&gt;0,"Recebimento com alerta",IF(AA532=0,"Aguardando recebimento",IF(AB532&lt;AA532,"Recebimento a conferir",IF(AM532=1,"Quantidade a revisar",IF(AF532&gt;0,"Vínculo a revisar",IF(AD532=0,"Aguardando CDF",IF(AN532=0,"Vínculo de CDF parcial",IF(AE532&lt;AD532,"CDF a conferir","Documentação conferida"))))))))))))))))))</f>
        <v/>
      </c>
      <c r="Q532" s="93" t="str">
        <f>IF(OR(R532=0,AA532=0),"",MAX(0,N(L532)-N(M532)))</f>
        <v/>
      </c>
      <c r="R532" s="96">
        <f>IF(COUNTA(B532:C532,G532:H532,J532:K532)&gt;0,1,0)</f>
        <v>0</v>
      </c>
      <c r="S532" s="96" t="str">
        <f>IF(B532="","",TRIM(LEFT(B532,FIND(" |",B532&amp;" |")-1)))</f>
        <v/>
      </c>
      <c r="T532" s="96" t="str">
        <f>IF(S532="","",IFERROR(MATCH(S532,'MTRs'!$A$6:$A$505,0),""))</f>
        <v/>
      </c>
      <c r="U532" s="96">
        <f>IF(T532="",0,IF(INDEX('MTRs'!$Z$6:$Z$505,T532)=1,1,0))</f>
        <v>0</v>
      </c>
      <c r="V532" s="96">
        <f>IF(C532="",0,IF(ISNUMBER(MATCH(C532,'CAD_RESÍDUOS'!$B$6:$B$205,0)),1,0))</f>
        <v>0</v>
      </c>
      <c r="W532" s="96">
        <f>IF(AND(ISNUMBER(G532),G532&gt;0),1,0)</f>
        <v>0</v>
      </c>
      <c r="X532" s="96" t="str">
        <f>IF(H532="","",IFERROR(IF(ISNUMBER(INDEX(cfg_fac,MATCH(H532,cfg_units,0))),IF(INDEX(cfg_fac,MATCH(H532,cfg_units,0))&gt;0,INDEX(cfg_fac,MATCH(H532,cfg_units,0)),""),""),""))</f>
        <v/>
      </c>
      <c r="Y532" s="96">
        <f>IF(AND(W532=1,ISNUMBER(I532)),1,0)</f>
        <v>0</v>
      </c>
      <c r="Z532" s="96">
        <f>IF(U532=1,INDEX('MTRs'!$AA$6:$AA$505,T532),0)</f>
        <v>0</v>
      </c>
      <c r="AA532" s="96">
        <f>IF(R532=0,0,COUNTIFS('RECEBIMENTOS'!$R$6:$R$1005,A532,'RECEBIMENTOS'!$Q$6:$Q$1005,1))</f>
        <v>0</v>
      </c>
      <c r="AB532" s="96">
        <f>IF(R532=0,0,COUNTIFS('RECEBIMENTOS'!$R$6:$R$1005,A532,'RECEBIMENTOS'!$Z$6:$Z$1005,1))</f>
        <v>0</v>
      </c>
      <c r="AC532" s="96">
        <f>IF(R532=0,0,COUNTIFS('RECEBIMENTOS'!$R$6:$R$1005,A532,'RECEBIMENTOS'!$Y$6:$Y$1005,1))</f>
        <v>0</v>
      </c>
      <c r="AD532" s="96">
        <f>IF(R532=0,0,COUNTIFS('VÍNCULOS_CDF'!$R$6:$R$1005,A532,'VÍNCULOS_CDF'!$N$6:$N$1005,1))</f>
        <v>0</v>
      </c>
      <c r="AE532" s="96">
        <f>IF(R532=0,0,COUNTIFS('VÍNCULOS_CDF'!$R$6:$R$1005,A532,'VÍNCULOS_CDF'!$AA$6:$AA$1005,1))</f>
        <v>0</v>
      </c>
      <c r="AF532" s="96">
        <f>IF(R532=0,0,COUNTIFS('VÍNCULOS_CDF'!$R$6:$R$1005,A532,'VÍNCULOS_CDF'!$Y$6:$Y$1005,1))</f>
        <v>0</v>
      </c>
      <c r="AG532" s="96" t="str">
        <f>IF(AND(R532=1,S532&lt;&gt;"",C532&lt;&gt;""),S532&amp;"|"&amp;C532&amp;"|"&amp;G532&amp;"|"&amp;H532,"")</f>
        <v/>
      </c>
      <c r="AH532" s="96">
        <f>IF(AG532="",0,IF(SUMPRODUCT(--($AG$6:$AG$1005=AG532))&gt;1,1,0))</f>
        <v>0</v>
      </c>
      <c r="AI532" s="96">
        <f>IF(R532=0,0,IF(OR(U532=0,V532=0,Y532=0,AND(AH532=1,K532&lt;&gt;"Sim")),1,0))</f>
        <v>0</v>
      </c>
      <c r="AJ532" s="96">
        <f>IF(AND(R532=1,AA532&gt;0,AB532=AA532),1,0)</f>
        <v>0</v>
      </c>
      <c r="AK532" s="96">
        <f>IF(R532=0,0,IF(AA532&gt;0,N(L532),IF(ISNUMBER(I532),I532,0)))</f>
        <v>0</v>
      </c>
      <c r="AL532" s="96">
        <f>IF(R532=0,0,IF(AND(K532&lt;&gt;"Sim",N(M532)&gt;AK532+cfg_tol),1,0))</f>
        <v>0</v>
      </c>
      <c r="AM532" s="96">
        <f>IF(R532=0,0,IF(K532="Sim",0,IF(OR(AND(AA532&gt;0,ISNUMBER(I532),ABS(I532-N(L532))&gt;cfg_tol),AL532=1),1,0)))</f>
        <v>0</v>
      </c>
      <c r="AN532" s="96">
        <f>IF(AND(R532=1,N(M532)&gt;0,OR(N(M532)&gt;=AK532-cfg_tol,K532="Sim")),1,0)</f>
        <v>0</v>
      </c>
      <c r="AO532" s="96">
        <f>IF(AND(AN532=1,AD532&gt;0,AE532=AD532,AL532=0),1,0)</f>
        <v>0</v>
      </c>
      <c r="AP532" s="96">
        <f>IF(U532=0,0,IF(AND(INDEX('MTRs'!$AX$6:$AX$505,T532)=1,Z532=0,OR(f_res="",f_res="(Todos)",C532=f_res)),1,0))</f>
        <v>0</v>
      </c>
      <c r="AQ532" s="97" t="str">
        <f>IF(U532=0,"",INDEX('MTRs'!$AZ$6:$AZ$505,T532))</f>
        <v/>
      </c>
      <c r="AR532" s="96">
        <f>IF(U532=0,0,IF(AND(INDEX('MTRs'!$BA$6:$BA$505,T532)=1,Z532=0),1,0))</f>
        <v>0</v>
      </c>
      <c r="AS532" s="96" t="str">
        <f>IF(R532=1,A532&amp;" | MTR "&amp;IF(U532=1,INDEX('MTRs'!$B$6:$B$505,T532)&amp;"","?")&amp;" | "&amp;IF(C532="","(sem resíduo)",C532),"")</f>
        <v/>
      </c>
      <c r="AT532" s="96" t="str">
        <f>IF(R532=1,COUNTIF($R$6:R532,1),"")</f>
        <v/>
      </c>
      <c r="AU532" s="96" t="str">
        <f>IF(U532=1,INDEX('MTRs'!$I$6:$I$505,T532)&amp;"","")</f>
        <v/>
      </c>
    </row>
    <row r="533">
      <c r="A533" s="89" t="inlineStr">
        <is>
          <t>IT-000528</t>
        </is>
      </c>
      <c r="B533" s="91" t="n"/>
      <c r="C533" s="91" t="n"/>
      <c r="D533" s="94" t="str">
        <f>IF(OR(R533=0,V533=0),"",INDEX('CAD_RESÍDUOS'!$E$6:$E$205,MATCH(C533,'CAD_RESÍDUOS'!$B$6:$B$205,0))&amp;"")</f>
        <v/>
      </c>
      <c r="E533" s="94" t="str">
        <f>IF(OR(R533=0,V533=0),"",INDEX('CAD_RESÍDUOS'!$C$6:$C$205,MATCH(C533,'CAD_RESÍDUOS'!$B$6:$B$205,0))&amp;"")</f>
        <v/>
      </c>
      <c r="F533" s="94" t="str">
        <f>IF(OR(R533=0,V533=0),"",INDEX('CAD_RESÍDUOS'!$G$6:$G$205,MATCH(C533,'CAD_RESÍDUOS'!$B$6:$B$205,0))&amp;"")</f>
        <v/>
      </c>
      <c r="G533" s="98" t="n"/>
      <c r="H533" s="91" t="n"/>
      <c r="I533" s="93" t="str">
        <f>IF(R533=0,"",IF(NOT(ISNUMBER(G533)),"",IF(ISNUMBER(X533),G533*X533,"UNIDADE A CONFERIR")))</f>
        <v/>
      </c>
      <c r="J533" s="91" t="n"/>
      <c r="K533" s="91" t="n"/>
      <c r="L533" s="93" t="str">
        <f>IF(R533=0,"",SUMIFS('RECEBIMENTOS'!$H$6:$H$1005,'RECEBIMENTOS'!$R$6:$R$1005,A533,'RECEBIMENTOS'!$X$6:$X$1005,1))</f>
        <v/>
      </c>
      <c r="M533" s="93" t="str">
        <f>IF(R533=0,"",SUMIFS('VÍNCULOS_CDF'!$H$6:$H$1005,'VÍNCULOS_CDF'!$R$6:$R$1005,A533,'VÍNCULOS_CDF'!$V$6:$V$1005,1))</f>
        <v/>
      </c>
      <c r="N533" s="99" t="str">
        <f>IF(OR(R533=0,AA533=0,NOT(ISNUMBER(I533))),"",I533-N(L533))</f>
        <v/>
      </c>
      <c r="O533" s="100" t="str">
        <f>IF(OR(R533=0,AK533&lt;=0),"",N(M533)/AK533)</f>
        <v/>
      </c>
      <c r="P533" s="94" t="str">
        <f>IF(R533=0,"",IF(S533="","Sem MTR associado",IF(U533=0,"MTR inexistente",IF(C533="","Resíduo não identificado",IF(V533=0,"Resíduo fora do cadastro",IF(W533=0,"Quantidade inválida",IF(H533="","Unidade não informada",IF(NOT(ISNUMBER(I533)),"Unidade a conferir",IF(AND(AH533=1,K533&lt;&gt;"Sim"),"Possível duplicidade",IF(Z533=1,"MTR cancelado",IF(AC533&gt;0,"Recebimento com alerta",IF(AA533=0,"Aguardando recebimento",IF(AB533&lt;AA533,"Recebimento a conferir",IF(AM533=1,"Quantidade a revisar",IF(AF533&gt;0,"Vínculo a revisar",IF(AD533=0,"Aguardando CDF",IF(AN533=0,"Vínculo de CDF parcial",IF(AE533&lt;AD533,"CDF a conferir","Documentação conferida"))))))))))))))))))</f>
        <v/>
      </c>
      <c r="Q533" s="93" t="str">
        <f>IF(OR(R533=0,AA533=0),"",MAX(0,N(L533)-N(M533)))</f>
        <v/>
      </c>
      <c r="R533" s="96">
        <f>IF(COUNTA(B533:C533,G533:H533,J533:K533)&gt;0,1,0)</f>
        <v>0</v>
      </c>
      <c r="S533" s="96" t="str">
        <f>IF(B533="","",TRIM(LEFT(B533,FIND(" |",B533&amp;" |")-1)))</f>
        <v/>
      </c>
      <c r="T533" s="96" t="str">
        <f>IF(S533="","",IFERROR(MATCH(S533,'MTRs'!$A$6:$A$505,0),""))</f>
        <v/>
      </c>
      <c r="U533" s="96">
        <f>IF(T533="",0,IF(INDEX('MTRs'!$Z$6:$Z$505,T533)=1,1,0))</f>
        <v>0</v>
      </c>
      <c r="V533" s="96">
        <f>IF(C533="",0,IF(ISNUMBER(MATCH(C533,'CAD_RESÍDUOS'!$B$6:$B$205,0)),1,0))</f>
        <v>0</v>
      </c>
      <c r="W533" s="96">
        <f>IF(AND(ISNUMBER(G533),G533&gt;0),1,0)</f>
        <v>0</v>
      </c>
      <c r="X533" s="96" t="str">
        <f>IF(H533="","",IFERROR(IF(ISNUMBER(INDEX(cfg_fac,MATCH(H533,cfg_units,0))),IF(INDEX(cfg_fac,MATCH(H533,cfg_units,0))&gt;0,INDEX(cfg_fac,MATCH(H533,cfg_units,0)),""),""),""))</f>
        <v/>
      </c>
      <c r="Y533" s="96">
        <f>IF(AND(W533=1,ISNUMBER(I533)),1,0)</f>
        <v>0</v>
      </c>
      <c r="Z533" s="96">
        <f>IF(U533=1,INDEX('MTRs'!$AA$6:$AA$505,T533),0)</f>
        <v>0</v>
      </c>
      <c r="AA533" s="96">
        <f>IF(R533=0,0,COUNTIFS('RECEBIMENTOS'!$R$6:$R$1005,A533,'RECEBIMENTOS'!$Q$6:$Q$1005,1))</f>
        <v>0</v>
      </c>
      <c r="AB533" s="96">
        <f>IF(R533=0,0,COUNTIFS('RECEBIMENTOS'!$R$6:$R$1005,A533,'RECEBIMENTOS'!$Z$6:$Z$1005,1))</f>
        <v>0</v>
      </c>
      <c r="AC533" s="96">
        <f>IF(R533=0,0,COUNTIFS('RECEBIMENTOS'!$R$6:$R$1005,A533,'RECEBIMENTOS'!$Y$6:$Y$1005,1))</f>
        <v>0</v>
      </c>
      <c r="AD533" s="96">
        <f>IF(R533=0,0,COUNTIFS('VÍNCULOS_CDF'!$R$6:$R$1005,A533,'VÍNCULOS_CDF'!$N$6:$N$1005,1))</f>
        <v>0</v>
      </c>
      <c r="AE533" s="96">
        <f>IF(R533=0,0,COUNTIFS('VÍNCULOS_CDF'!$R$6:$R$1005,A533,'VÍNCULOS_CDF'!$AA$6:$AA$1005,1))</f>
        <v>0</v>
      </c>
      <c r="AF533" s="96">
        <f>IF(R533=0,0,COUNTIFS('VÍNCULOS_CDF'!$R$6:$R$1005,A533,'VÍNCULOS_CDF'!$Y$6:$Y$1005,1))</f>
        <v>0</v>
      </c>
      <c r="AG533" s="96" t="str">
        <f>IF(AND(R533=1,S533&lt;&gt;"",C533&lt;&gt;""),S533&amp;"|"&amp;C533&amp;"|"&amp;G533&amp;"|"&amp;H533,"")</f>
        <v/>
      </c>
      <c r="AH533" s="96">
        <f>IF(AG533="",0,IF(SUMPRODUCT(--($AG$6:$AG$1005=AG533))&gt;1,1,0))</f>
        <v>0</v>
      </c>
      <c r="AI533" s="96">
        <f>IF(R533=0,0,IF(OR(U533=0,V533=0,Y533=0,AND(AH533=1,K533&lt;&gt;"Sim")),1,0))</f>
        <v>0</v>
      </c>
      <c r="AJ533" s="96">
        <f>IF(AND(R533=1,AA533&gt;0,AB533=AA533),1,0)</f>
        <v>0</v>
      </c>
      <c r="AK533" s="96">
        <f>IF(R533=0,0,IF(AA533&gt;0,N(L533),IF(ISNUMBER(I533),I533,0)))</f>
        <v>0</v>
      </c>
      <c r="AL533" s="96">
        <f>IF(R533=0,0,IF(AND(K533&lt;&gt;"Sim",N(M533)&gt;AK533+cfg_tol),1,0))</f>
        <v>0</v>
      </c>
      <c r="AM533" s="96">
        <f>IF(R533=0,0,IF(K533="Sim",0,IF(OR(AND(AA533&gt;0,ISNUMBER(I533),ABS(I533-N(L533))&gt;cfg_tol),AL533=1),1,0)))</f>
        <v>0</v>
      </c>
      <c r="AN533" s="96">
        <f>IF(AND(R533=1,N(M533)&gt;0,OR(N(M533)&gt;=AK533-cfg_tol,K533="Sim")),1,0)</f>
        <v>0</v>
      </c>
      <c r="AO533" s="96">
        <f>IF(AND(AN533=1,AD533&gt;0,AE533=AD533,AL533=0),1,0)</f>
        <v>0</v>
      </c>
      <c r="AP533" s="96">
        <f>IF(U533=0,0,IF(AND(INDEX('MTRs'!$AX$6:$AX$505,T533)=1,Z533=0,OR(f_res="",f_res="(Todos)",C533=f_res)),1,0))</f>
        <v>0</v>
      </c>
      <c r="AQ533" s="97" t="str">
        <f>IF(U533=0,"",INDEX('MTRs'!$AZ$6:$AZ$505,T533))</f>
        <v/>
      </c>
      <c r="AR533" s="96">
        <f>IF(U533=0,0,IF(AND(INDEX('MTRs'!$BA$6:$BA$505,T533)=1,Z533=0),1,0))</f>
        <v>0</v>
      </c>
      <c r="AS533" s="96" t="str">
        <f>IF(R533=1,A533&amp;" | MTR "&amp;IF(U533=1,INDEX('MTRs'!$B$6:$B$505,T533)&amp;"","?")&amp;" | "&amp;IF(C533="","(sem resíduo)",C533),"")</f>
        <v/>
      </c>
      <c r="AT533" s="96" t="str">
        <f>IF(R533=1,COUNTIF($R$6:R533,1),"")</f>
        <v/>
      </c>
      <c r="AU533" s="96" t="str">
        <f>IF(U533=1,INDEX('MTRs'!$I$6:$I$505,T533)&amp;"","")</f>
        <v/>
      </c>
    </row>
    <row r="534">
      <c r="A534" s="89" t="inlineStr">
        <is>
          <t>IT-000529</t>
        </is>
      </c>
      <c r="B534" s="91" t="n"/>
      <c r="C534" s="91" t="n"/>
      <c r="D534" s="94" t="str">
        <f>IF(OR(R534=0,V534=0),"",INDEX('CAD_RESÍDUOS'!$E$6:$E$205,MATCH(C534,'CAD_RESÍDUOS'!$B$6:$B$205,0))&amp;"")</f>
        <v/>
      </c>
      <c r="E534" s="94" t="str">
        <f>IF(OR(R534=0,V534=0),"",INDEX('CAD_RESÍDUOS'!$C$6:$C$205,MATCH(C534,'CAD_RESÍDUOS'!$B$6:$B$205,0))&amp;"")</f>
        <v/>
      </c>
      <c r="F534" s="94" t="str">
        <f>IF(OR(R534=0,V534=0),"",INDEX('CAD_RESÍDUOS'!$G$6:$G$205,MATCH(C534,'CAD_RESÍDUOS'!$B$6:$B$205,0))&amp;"")</f>
        <v/>
      </c>
      <c r="G534" s="98" t="n"/>
      <c r="H534" s="91" t="n"/>
      <c r="I534" s="93" t="str">
        <f>IF(R534=0,"",IF(NOT(ISNUMBER(G534)),"",IF(ISNUMBER(X534),G534*X534,"UNIDADE A CONFERIR")))</f>
        <v/>
      </c>
      <c r="J534" s="91" t="n"/>
      <c r="K534" s="91" t="n"/>
      <c r="L534" s="93" t="str">
        <f>IF(R534=0,"",SUMIFS('RECEBIMENTOS'!$H$6:$H$1005,'RECEBIMENTOS'!$R$6:$R$1005,A534,'RECEBIMENTOS'!$X$6:$X$1005,1))</f>
        <v/>
      </c>
      <c r="M534" s="93" t="str">
        <f>IF(R534=0,"",SUMIFS('VÍNCULOS_CDF'!$H$6:$H$1005,'VÍNCULOS_CDF'!$R$6:$R$1005,A534,'VÍNCULOS_CDF'!$V$6:$V$1005,1))</f>
        <v/>
      </c>
      <c r="N534" s="99" t="str">
        <f>IF(OR(R534=0,AA534=0,NOT(ISNUMBER(I534))),"",I534-N(L534))</f>
        <v/>
      </c>
      <c r="O534" s="100" t="str">
        <f>IF(OR(R534=0,AK534&lt;=0),"",N(M534)/AK534)</f>
        <v/>
      </c>
      <c r="P534" s="94" t="str">
        <f>IF(R534=0,"",IF(S534="","Sem MTR associado",IF(U534=0,"MTR inexistente",IF(C534="","Resíduo não identificado",IF(V534=0,"Resíduo fora do cadastro",IF(W534=0,"Quantidade inválida",IF(H534="","Unidade não informada",IF(NOT(ISNUMBER(I534)),"Unidade a conferir",IF(AND(AH534=1,K534&lt;&gt;"Sim"),"Possível duplicidade",IF(Z534=1,"MTR cancelado",IF(AC534&gt;0,"Recebimento com alerta",IF(AA534=0,"Aguardando recebimento",IF(AB534&lt;AA534,"Recebimento a conferir",IF(AM534=1,"Quantidade a revisar",IF(AF534&gt;0,"Vínculo a revisar",IF(AD534=0,"Aguardando CDF",IF(AN534=0,"Vínculo de CDF parcial",IF(AE534&lt;AD534,"CDF a conferir","Documentação conferida"))))))))))))))))))</f>
        <v/>
      </c>
      <c r="Q534" s="93" t="str">
        <f>IF(OR(R534=0,AA534=0),"",MAX(0,N(L534)-N(M534)))</f>
        <v/>
      </c>
      <c r="R534" s="96">
        <f>IF(COUNTA(B534:C534,G534:H534,J534:K534)&gt;0,1,0)</f>
        <v>0</v>
      </c>
      <c r="S534" s="96" t="str">
        <f>IF(B534="","",TRIM(LEFT(B534,FIND(" |",B534&amp;" |")-1)))</f>
        <v/>
      </c>
      <c r="T534" s="96" t="str">
        <f>IF(S534="","",IFERROR(MATCH(S534,'MTRs'!$A$6:$A$505,0),""))</f>
        <v/>
      </c>
      <c r="U534" s="96">
        <f>IF(T534="",0,IF(INDEX('MTRs'!$Z$6:$Z$505,T534)=1,1,0))</f>
        <v>0</v>
      </c>
      <c r="V534" s="96">
        <f>IF(C534="",0,IF(ISNUMBER(MATCH(C534,'CAD_RESÍDUOS'!$B$6:$B$205,0)),1,0))</f>
        <v>0</v>
      </c>
      <c r="W534" s="96">
        <f>IF(AND(ISNUMBER(G534),G534&gt;0),1,0)</f>
        <v>0</v>
      </c>
      <c r="X534" s="96" t="str">
        <f>IF(H534="","",IFERROR(IF(ISNUMBER(INDEX(cfg_fac,MATCH(H534,cfg_units,0))),IF(INDEX(cfg_fac,MATCH(H534,cfg_units,0))&gt;0,INDEX(cfg_fac,MATCH(H534,cfg_units,0)),""),""),""))</f>
        <v/>
      </c>
      <c r="Y534" s="96">
        <f>IF(AND(W534=1,ISNUMBER(I534)),1,0)</f>
        <v>0</v>
      </c>
      <c r="Z534" s="96">
        <f>IF(U534=1,INDEX('MTRs'!$AA$6:$AA$505,T534),0)</f>
        <v>0</v>
      </c>
      <c r="AA534" s="96">
        <f>IF(R534=0,0,COUNTIFS('RECEBIMENTOS'!$R$6:$R$1005,A534,'RECEBIMENTOS'!$Q$6:$Q$1005,1))</f>
        <v>0</v>
      </c>
      <c r="AB534" s="96">
        <f>IF(R534=0,0,COUNTIFS('RECEBIMENTOS'!$R$6:$R$1005,A534,'RECEBIMENTOS'!$Z$6:$Z$1005,1))</f>
        <v>0</v>
      </c>
      <c r="AC534" s="96">
        <f>IF(R534=0,0,COUNTIFS('RECEBIMENTOS'!$R$6:$R$1005,A534,'RECEBIMENTOS'!$Y$6:$Y$1005,1))</f>
        <v>0</v>
      </c>
      <c r="AD534" s="96">
        <f>IF(R534=0,0,COUNTIFS('VÍNCULOS_CDF'!$R$6:$R$1005,A534,'VÍNCULOS_CDF'!$N$6:$N$1005,1))</f>
        <v>0</v>
      </c>
      <c r="AE534" s="96">
        <f>IF(R534=0,0,COUNTIFS('VÍNCULOS_CDF'!$R$6:$R$1005,A534,'VÍNCULOS_CDF'!$AA$6:$AA$1005,1))</f>
        <v>0</v>
      </c>
      <c r="AF534" s="96">
        <f>IF(R534=0,0,COUNTIFS('VÍNCULOS_CDF'!$R$6:$R$1005,A534,'VÍNCULOS_CDF'!$Y$6:$Y$1005,1))</f>
        <v>0</v>
      </c>
      <c r="AG534" s="96" t="str">
        <f>IF(AND(R534=1,S534&lt;&gt;"",C534&lt;&gt;""),S534&amp;"|"&amp;C534&amp;"|"&amp;G534&amp;"|"&amp;H534,"")</f>
        <v/>
      </c>
      <c r="AH534" s="96">
        <f>IF(AG534="",0,IF(SUMPRODUCT(--($AG$6:$AG$1005=AG534))&gt;1,1,0))</f>
        <v>0</v>
      </c>
      <c r="AI534" s="96">
        <f>IF(R534=0,0,IF(OR(U534=0,V534=0,Y534=0,AND(AH534=1,K534&lt;&gt;"Sim")),1,0))</f>
        <v>0</v>
      </c>
      <c r="AJ534" s="96">
        <f>IF(AND(R534=1,AA534&gt;0,AB534=AA534),1,0)</f>
        <v>0</v>
      </c>
      <c r="AK534" s="96">
        <f>IF(R534=0,0,IF(AA534&gt;0,N(L534),IF(ISNUMBER(I534),I534,0)))</f>
        <v>0</v>
      </c>
      <c r="AL534" s="96">
        <f>IF(R534=0,0,IF(AND(K534&lt;&gt;"Sim",N(M534)&gt;AK534+cfg_tol),1,0))</f>
        <v>0</v>
      </c>
      <c r="AM534" s="96">
        <f>IF(R534=0,0,IF(K534="Sim",0,IF(OR(AND(AA534&gt;0,ISNUMBER(I534),ABS(I534-N(L534))&gt;cfg_tol),AL534=1),1,0)))</f>
        <v>0</v>
      </c>
      <c r="AN534" s="96">
        <f>IF(AND(R534=1,N(M534)&gt;0,OR(N(M534)&gt;=AK534-cfg_tol,K534="Sim")),1,0)</f>
        <v>0</v>
      </c>
      <c r="AO534" s="96">
        <f>IF(AND(AN534=1,AD534&gt;0,AE534=AD534,AL534=0),1,0)</f>
        <v>0</v>
      </c>
      <c r="AP534" s="96">
        <f>IF(U534=0,0,IF(AND(INDEX('MTRs'!$AX$6:$AX$505,T534)=1,Z534=0,OR(f_res="",f_res="(Todos)",C534=f_res)),1,0))</f>
        <v>0</v>
      </c>
      <c r="AQ534" s="97" t="str">
        <f>IF(U534=0,"",INDEX('MTRs'!$AZ$6:$AZ$505,T534))</f>
        <v/>
      </c>
      <c r="AR534" s="96">
        <f>IF(U534=0,0,IF(AND(INDEX('MTRs'!$BA$6:$BA$505,T534)=1,Z534=0),1,0))</f>
        <v>0</v>
      </c>
      <c r="AS534" s="96" t="str">
        <f>IF(R534=1,A534&amp;" | MTR "&amp;IF(U534=1,INDEX('MTRs'!$B$6:$B$505,T534)&amp;"","?")&amp;" | "&amp;IF(C534="","(sem resíduo)",C534),"")</f>
        <v/>
      </c>
      <c r="AT534" s="96" t="str">
        <f>IF(R534=1,COUNTIF($R$6:R534,1),"")</f>
        <v/>
      </c>
      <c r="AU534" s="96" t="str">
        <f>IF(U534=1,INDEX('MTRs'!$I$6:$I$505,T534)&amp;"","")</f>
        <v/>
      </c>
    </row>
    <row r="535">
      <c r="A535" s="89" t="inlineStr">
        <is>
          <t>IT-000530</t>
        </is>
      </c>
      <c r="B535" s="91" t="n"/>
      <c r="C535" s="91" t="n"/>
      <c r="D535" s="94" t="str">
        <f>IF(OR(R535=0,V535=0),"",INDEX('CAD_RESÍDUOS'!$E$6:$E$205,MATCH(C535,'CAD_RESÍDUOS'!$B$6:$B$205,0))&amp;"")</f>
        <v/>
      </c>
      <c r="E535" s="94" t="str">
        <f>IF(OR(R535=0,V535=0),"",INDEX('CAD_RESÍDUOS'!$C$6:$C$205,MATCH(C535,'CAD_RESÍDUOS'!$B$6:$B$205,0))&amp;"")</f>
        <v/>
      </c>
      <c r="F535" s="94" t="str">
        <f>IF(OR(R535=0,V535=0),"",INDEX('CAD_RESÍDUOS'!$G$6:$G$205,MATCH(C535,'CAD_RESÍDUOS'!$B$6:$B$205,0))&amp;"")</f>
        <v/>
      </c>
      <c r="G535" s="98" t="n"/>
      <c r="H535" s="91" t="n"/>
      <c r="I535" s="93" t="str">
        <f>IF(R535=0,"",IF(NOT(ISNUMBER(G535)),"",IF(ISNUMBER(X535),G535*X535,"UNIDADE A CONFERIR")))</f>
        <v/>
      </c>
      <c r="J535" s="91" t="n"/>
      <c r="K535" s="91" t="n"/>
      <c r="L535" s="93" t="str">
        <f>IF(R535=0,"",SUMIFS('RECEBIMENTOS'!$H$6:$H$1005,'RECEBIMENTOS'!$R$6:$R$1005,A535,'RECEBIMENTOS'!$X$6:$X$1005,1))</f>
        <v/>
      </c>
      <c r="M535" s="93" t="str">
        <f>IF(R535=0,"",SUMIFS('VÍNCULOS_CDF'!$H$6:$H$1005,'VÍNCULOS_CDF'!$R$6:$R$1005,A535,'VÍNCULOS_CDF'!$V$6:$V$1005,1))</f>
        <v/>
      </c>
      <c r="N535" s="99" t="str">
        <f>IF(OR(R535=0,AA535=0,NOT(ISNUMBER(I535))),"",I535-N(L535))</f>
        <v/>
      </c>
      <c r="O535" s="100" t="str">
        <f>IF(OR(R535=0,AK535&lt;=0),"",N(M535)/AK535)</f>
        <v/>
      </c>
      <c r="P535" s="94" t="str">
        <f>IF(R535=0,"",IF(S535="","Sem MTR associado",IF(U535=0,"MTR inexistente",IF(C535="","Resíduo não identificado",IF(V535=0,"Resíduo fora do cadastro",IF(W535=0,"Quantidade inválida",IF(H535="","Unidade não informada",IF(NOT(ISNUMBER(I535)),"Unidade a conferir",IF(AND(AH535=1,K535&lt;&gt;"Sim"),"Possível duplicidade",IF(Z535=1,"MTR cancelado",IF(AC535&gt;0,"Recebimento com alerta",IF(AA535=0,"Aguardando recebimento",IF(AB535&lt;AA535,"Recebimento a conferir",IF(AM535=1,"Quantidade a revisar",IF(AF535&gt;0,"Vínculo a revisar",IF(AD535=0,"Aguardando CDF",IF(AN535=0,"Vínculo de CDF parcial",IF(AE535&lt;AD535,"CDF a conferir","Documentação conferida"))))))))))))))))))</f>
        <v/>
      </c>
      <c r="Q535" s="93" t="str">
        <f>IF(OR(R535=0,AA535=0),"",MAX(0,N(L535)-N(M535)))</f>
        <v/>
      </c>
      <c r="R535" s="96">
        <f>IF(COUNTA(B535:C535,G535:H535,J535:K535)&gt;0,1,0)</f>
        <v>0</v>
      </c>
      <c r="S535" s="96" t="str">
        <f>IF(B535="","",TRIM(LEFT(B535,FIND(" |",B535&amp;" |")-1)))</f>
        <v/>
      </c>
      <c r="T535" s="96" t="str">
        <f>IF(S535="","",IFERROR(MATCH(S535,'MTRs'!$A$6:$A$505,0),""))</f>
        <v/>
      </c>
      <c r="U535" s="96">
        <f>IF(T535="",0,IF(INDEX('MTRs'!$Z$6:$Z$505,T535)=1,1,0))</f>
        <v>0</v>
      </c>
      <c r="V535" s="96">
        <f>IF(C535="",0,IF(ISNUMBER(MATCH(C535,'CAD_RESÍDUOS'!$B$6:$B$205,0)),1,0))</f>
        <v>0</v>
      </c>
      <c r="W535" s="96">
        <f>IF(AND(ISNUMBER(G535),G535&gt;0),1,0)</f>
        <v>0</v>
      </c>
      <c r="X535" s="96" t="str">
        <f>IF(H535="","",IFERROR(IF(ISNUMBER(INDEX(cfg_fac,MATCH(H535,cfg_units,0))),IF(INDEX(cfg_fac,MATCH(H535,cfg_units,0))&gt;0,INDEX(cfg_fac,MATCH(H535,cfg_units,0)),""),""),""))</f>
        <v/>
      </c>
      <c r="Y535" s="96">
        <f>IF(AND(W535=1,ISNUMBER(I535)),1,0)</f>
        <v>0</v>
      </c>
      <c r="Z535" s="96">
        <f>IF(U535=1,INDEX('MTRs'!$AA$6:$AA$505,T535),0)</f>
        <v>0</v>
      </c>
      <c r="AA535" s="96">
        <f>IF(R535=0,0,COUNTIFS('RECEBIMENTOS'!$R$6:$R$1005,A535,'RECEBIMENTOS'!$Q$6:$Q$1005,1))</f>
        <v>0</v>
      </c>
      <c r="AB535" s="96">
        <f>IF(R535=0,0,COUNTIFS('RECEBIMENTOS'!$R$6:$R$1005,A535,'RECEBIMENTOS'!$Z$6:$Z$1005,1))</f>
        <v>0</v>
      </c>
      <c r="AC535" s="96">
        <f>IF(R535=0,0,COUNTIFS('RECEBIMENTOS'!$R$6:$R$1005,A535,'RECEBIMENTOS'!$Y$6:$Y$1005,1))</f>
        <v>0</v>
      </c>
      <c r="AD535" s="96">
        <f>IF(R535=0,0,COUNTIFS('VÍNCULOS_CDF'!$R$6:$R$1005,A535,'VÍNCULOS_CDF'!$N$6:$N$1005,1))</f>
        <v>0</v>
      </c>
      <c r="AE535" s="96">
        <f>IF(R535=0,0,COUNTIFS('VÍNCULOS_CDF'!$R$6:$R$1005,A535,'VÍNCULOS_CDF'!$AA$6:$AA$1005,1))</f>
        <v>0</v>
      </c>
      <c r="AF535" s="96">
        <f>IF(R535=0,0,COUNTIFS('VÍNCULOS_CDF'!$R$6:$R$1005,A535,'VÍNCULOS_CDF'!$Y$6:$Y$1005,1))</f>
        <v>0</v>
      </c>
      <c r="AG535" s="96" t="str">
        <f>IF(AND(R535=1,S535&lt;&gt;"",C535&lt;&gt;""),S535&amp;"|"&amp;C535&amp;"|"&amp;G535&amp;"|"&amp;H535,"")</f>
        <v/>
      </c>
      <c r="AH535" s="96">
        <f>IF(AG535="",0,IF(SUMPRODUCT(--($AG$6:$AG$1005=AG535))&gt;1,1,0))</f>
        <v>0</v>
      </c>
      <c r="AI535" s="96">
        <f>IF(R535=0,0,IF(OR(U535=0,V535=0,Y535=0,AND(AH535=1,K535&lt;&gt;"Sim")),1,0))</f>
        <v>0</v>
      </c>
      <c r="AJ535" s="96">
        <f>IF(AND(R535=1,AA535&gt;0,AB535=AA535),1,0)</f>
        <v>0</v>
      </c>
      <c r="AK535" s="96">
        <f>IF(R535=0,0,IF(AA535&gt;0,N(L535),IF(ISNUMBER(I535),I535,0)))</f>
        <v>0</v>
      </c>
      <c r="AL535" s="96">
        <f>IF(R535=0,0,IF(AND(K535&lt;&gt;"Sim",N(M535)&gt;AK535+cfg_tol),1,0))</f>
        <v>0</v>
      </c>
      <c r="AM535" s="96">
        <f>IF(R535=0,0,IF(K535="Sim",0,IF(OR(AND(AA535&gt;0,ISNUMBER(I535),ABS(I535-N(L535))&gt;cfg_tol),AL535=1),1,0)))</f>
        <v>0</v>
      </c>
      <c r="AN535" s="96">
        <f>IF(AND(R535=1,N(M535)&gt;0,OR(N(M535)&gt;=AK535-cfg_tol,K535="Sim")),1,0)</f>
        <v>0</v>
      </c>
      <c r="AO535" s="96">
        <f>IF(AND(AN535=1,AD535&gt;0,AE535=AD535,AL535=0),1,0)</f>
        <v>0</v>
      </c>
      <c r="AP535" s="96">
        <f>IF(U535=0,0,IF(AND(INDEX('MTRs'!$AX$6:$AX$505,T535)=1,Z535=0,OR(f_res="",f_res="(Todos)",C535=f_res)),1,0))</f>
        <v>0</v>
      </c>
      <c r="AQ535" s="97" t="str">
        <f>IF(U535=0,"",INDEX('MTRs'!$AZ$6:$AZ$505,T535))</f>
        <v/>
      </c>
      <c r="AR535" s="96">
        <f>IF(U535=0,0,IF(AND(INDEX('MTRs'!$BA$6:$BA$505,T535)=1,Z535=0),1,0))</f>
        <v>0</v>
      </c>
      <c r="AS535" s="96" t="str">
        <f>IF(R535=1,A535&amp;" | MTR "&amp;IF(U535=1,INDEX('MTRs'!$B$6:$B$505,T535)&amp;"","?")&amp;" | "&amp;IF(C535="","(sem resíduo)",C535),"")</f>
        <v/>
      </c>
      <c r="AT535" s="96" t="str">
        <f>IF(R535=1,COUNTIF($R$6:R535,1),"")</f>
        <v/>
      </c>
      <c r="AU535" s="96" t="str">
        <f>IF(U535=1,INDEX('MTRs'!$I$6:$I$505,T535)&amp;"","")</f>
        <v/>
      </c>
    </row>
    <row r="536">
      <c r="A536" s="89" t="inlineStr">
        <is>
          <t>IT-000531</t>
        </is>
      </c>
      <c r="B536" s="91" t="n"/>
      <c r="C536" s="91" t="n"/>
      <c r="D536" s="94" t="str">
        <f>IF(OR(R536=0,V536=0),"",INDEX('CAD_RESÍDUOS'!$E$6:$E$205,MATCH(C536,'CAD_RESÍDUOS'!$B$6:$B$205,0))&amp;"")</f>
        <v/>
      </c>
      <c r="E536" s="94" t="str">
        <f>IF(OR(R536=0,V536=0),"",INDEX('CAD_RESÍDUOS'!$C$6:$C$205,MATCH(C536,'CAD_RESÍDUOS'!$B$6:$B$205,0))&amp;"")</f>
        <v/>
      </c>
      <c r="F536" s="94" t="str">
        <f>IF(OR(R536=0,V536=0),"",INDEX('CAD_RESÍDUOS'!$G$6:$G$205,MATCH(C536,'CAD_RESÍDUOS'!$B$6:$B$205,0))&amp;"")</f>
        <v/>
      </c>
      <c r="G536" s="98" t="n"/>
      <c r="H536" s="91" t="n"/>
      <c r="I536" s="93" t="str">
        <f>IF(R536=0,"",IF(NOT(ISNUMBER(G536)),"",IF(ISNUMBER(X536),G536*X536,"UNIDADE A CONFERIR")))</f>
        <v/>
      </c>
      <c r="J536" s="91" t="n"/>
      <c r="K536" s="91" t="n"/>
      <c r="L536" s="93" t="str">
        <f>IF(R536=0,"",SUMIFS('RECEBIMENTOS'!$H$6:$H$1005,'RECEBIMENTOS'!$R$6:$R$1005,A536,'RECEBIMENTOS'!$X$6:$X$1005,1))</f>
        <v/>
      </c>
      <c r="M536" s="93" t="str">
        <f>IF(R536=0,"",SUMIFS('VÍNCULOS_CDF'!$H$6:$H$1005,'VÍNCULOS_CDF'!$R$6:$R$1005,A536,'VÍNCULOS_CDF'!$V$6:$V$1005,1))</f>
        <v/>
      </c>
      <c r="N536" s="99" t="str">
        <f>IF(OR(R536=0,AA536=0,NOT(ISNUMBER(I536))),"",I536-N(L536))</f>
        <v/>
      </c>
      <c r="O536" s="100" t="str">
        <f>IF(OR(R536=0,AK536&lt;=0),"",N(M536)/AK536)</f>
        <v/>
      </c>
      <c r="P536" s="94" t="str">
        <f>IF(R536=0,"",IF(S536="","Sem MTR associado",IF(U536=0,"MTR inexistente",IF(C536="","Resíduo não identificado",IF(V536=0,"Resíduo fora do cadastro",IF(W536=0,"Quantidade inválida",IF(H536="","Unidade não informada",IF(NOT(ISNUMBER(I536)),"Unidade a conferir",IF(AND(AH536=1,K536&lt;&gt;"Sim"),"Possível duplicidade",IF(Z536=1,"MTR cancelado",IF(AC536&gt;0,"Recebimento com alerta",IF(AA536=0,"Aguardando recebimento",IF(AB536&lt;AA536,"Recebimento a conferir",IF(AM536=1,"Quantidade a revisar",IF(AF536&gt;0,"Vínculo a revisar",IF(AD536=0,"Aguardando CDF",IF(AN536=0,"Vínculo de CDF parcial",IF(AE536&lt;AD536,"CDF a conferir","Documentação conferida"))))))))))))))))))</f>
        <v/>
      </c>
      <c r="Q536" s="93" t="str">
        <f>IF(OR(R536=0,AA536=0),"",MAX(0,N(L536)-N(M536)))</f>
        <v/>
      </c>
      <c r="R536" s="96">
        <f>IF(COUNTA(B536:C536,G536:H536,J536:K536)&gt;0,1,0)</f>
        <v>0</v>
      </c>
      <c r="S536" s="96" t="str">
        <f>IF(B536="","",TRIM(LEFT(B536,FIND(" |",B536&amp;" |")-1)))</f>
        <v/>
      </c>
      <c r="T536" s="96" t="str">
        <f>IF(S536="","",IFERROR(MATCH(S536,'MTRs'!$A$6:$A$505,0),""))</f>
        <v/>
      </c>
      <c r="U536" s="96">
        <f>IF(T536="",0,IF(INDEX('MTRs'!$Z$6:$Z$505,T536)=1,1,0))</f>
        <v>0</v>
      </c>
      <c r="V536" s="96">
        <f>IF(C536="",0,IF(ISNUMBER(MATCH(C536,'CAD_RESÍDUOS'!$B$6:$B$205,0)),1,0))</f>
        <v>0</v>
      </c>
      <c r="W536" s="96">
        <f>IF(AND(ISNUMBER(G536),G536&gt;0),1,0)</f>
        <v>0</v>
      </c>
      <c r="X536" s="96" t="str">
        <f>IF(H536="","",IFERROR(IF(ISNUMBER(INDEX(cfg_fac,MATCH(H536,cfg_units,0))),IF(INDEX(cfg_fac,MATCH(H536,cfg_units,0))&gt;0,INDEX(cfg_fac,MATCH(H536,cfg_units,0)),""),""),""))</f>
        <v/>
      </c>
      <c r="Y536" s="96">
        <f>IF(AND(W536=1,ISNUMBER(I536)),1,0)</f>
        <v>0</v>
      </c>
      <c r="Z536" s="96">
        <f>IF(U536=1,INDEX('MTRs'!$AA$6:$AA$505,T536),0)</f>
        <v>0</v>
      </c>
      <c r="AA536" s="96">
        <f>IF(R536=0,0,COUNTIFS('RECEBIMENTOS'!$R$6:$R$1005,A536,'RECEBIMENTOS'!$Q$6:$Q$1005,1))</f>
        <v>0</v>
      </c>
      <c r="AB536" s="96">
        <f>IF(R536=0,0,COUNTIFS('RECEBIMENTOS'!$R$6:$R$1005,A536,'RECEBIMENTOS'!$Z$6:$Z$1005,1))</f>
        <v>0</v>
      </c>
      <c r="AC536" s="96">
        <f>IF(R536=0,0,COUNTIFS('RECEBIMENTOS'!$R$6:$R$1005,A536,'RECEBIMENTOS'!$Y$6:$Y$1005,1))</f>
        <v>0</v>
      </c>
      <c r="AD536" s="96">
        <f>IF(R536=0,0,COUNTIFS('VÍNCULOS_CDF'!$R$6:$R$1005,A536,'VÍNCULOS_CDF'!$N$6:$N$1005,1))</f>
        <v>0</v>
      </c>
      <c r="AE536" s="96">
        <f>IF(R536=0,0,COUNTIFS('VÍNCULOS_CDF'!$R$6:$R$1005,A536,'VÍNCULOS_CDF'!$AA$6:$AA$1005,1))</f>
        <v>0</v>
      </c>
      <c r="AF536" s="96">
        <f>IF(R536=0,0,COUNTIFS('VÍNCULOS_CDF'!$R$6:$R$1005,A536,'VÍNCULOS_CDF'!$Y$6:$Y$1005,1))</f>
        <v>0</v>
      </c>
      <c r="AG536" s="96" t="str">
        <f>IF(AND(R536=1,S536&lt;&gt;"",C536&lt;&gt;""),S536&amp;"|"&amp;C536&amp;"|"&amp;G536&amp;"|"&amp;H536,"")</f>
        <v/>
      </c>
      <c r="AH536" s="96">
        <f>IF(AG536="",0,IF(SUMPRODUCT(--($AG$6:$AG$1005=AG536))&gt;1,1,0))</f>
        <v>0</v>
      </c>
      <c r="AI536" s="96">
        <f>IF(R536=0,0,IF(OR(U536=0,V536=0,Y536=0,AND(AH536=1,K536&lt;&gt;"Sim")),1,0))</f>
        <v>0</v>
      </c>
      <c r="AJ536" s="96">
        <f>IF(AND(R536=1,AA536&gt;0,AB536=AA536),1,0)</f>
        <v>0</v>
      </c>
      <c r="AK536" s="96">
        <f>IF(R536=0,0,IF(AA536&gt;0,N(L536),IF(ISNUMBER(I536),I536,0)))</f>
        <v>0</v>
      </c>
      <c r="AL536" s="96">
        <f>IF(R536=0,0,IF(AND(K536&lt;&gt;"Sim",N(M536)&gt;AK536+cfg_tol),1,0))</f>
        <v>0</v>
      </c>
      <c r="AM536" s="96">
        <f>IF(R536=0,0,IF(K536="Sim",0,IF(OR(AND(AA536&gt;0,ISNUMBER(I536),ABS(I536-N(L536))&gt;cfg_tol),AL536=1),1,0)))</f>
        <v>0</v>
      </c>
      <c r="AN536" s="96">
        <f>IF(AND(R536=1,N(M536)&gt;0,OR(N(M536)&gt;=AK536-cfg_tol,K536="Sim")),1,0)</f>
        <v>0</v>
      </c>
      <c r="AO536" s="96">
        <f>IF(AND(AN536=1,AD536&gt;0,AE536=AD536,AL536=0),1,0)</f>
        <v>0</v>
      </c>
      <c r="AP536" s="96">
        <f>IF(U536=0,0,IF(AND(INDEX('MTRs'!$AX$6:$AX$505,T536)=1,Z536=0,OR(f_res="",f_res="(Todos)",C536=f_res)),1,0))</f>
        <v>0</v>
      </c>
      <c r="AQ536" s="97" t="str">
        <f>IF(U536=0,"",INDEX('MTRs'!$AZ$6:$AZ$505,T536))</f>
        <v/>
      </c>
      <c r="AR536" s="96">
        <f>IF(U536=0,0,IF(AND(INDEX('MTRs'!$BA$6:$BA$505,T536)=1,Z536=0),1,0))</f>
        <v>0</v>
      </c>
      <c r="AS536" s="96" t="str">
        <f>IF(R536=1,A536&amp;" | MTR "&amp;IF(U536=1,INDEX('MTRs'!$B$6:$B$505,T536)&amp;"","?")&amp;" | "&amp;IF(C536="","(sem resíduo)",C536),"")</f>
        <v/>
      </c>
      <c r="AT536" s="96" t="str">
        <f>IF(R536=1,COUNTIF($R$6:R536,1),"")</f>
        <v/>
      </c>
      <c r="AU536" s="96" t="str">
        <f>IF(U536=1,INDEX('MTRs'!$I$6:$I$505,T536)&amp;"","")</f>
        <v/>
      </c>
    </row>
    <row r="537">
      <c r="A537" s="89" t="inlineStr">
        <is>
          <t>IT-000532</t>
        </is>
      </c>
      <c r="B537" s="91" t="n"/>
      <c r="C537" s="91" t="n"/>
      <c r="D537" s="94" t="str">
        <f>IF(OR(R537=0,V537=0),"",INDEX('CAD_RESÍDUOS'!$E$6:$E$205,MATCH(C537,'CAD_RESÍDUOS'!$B$6:$B$205,0))&amp;"")</f>
        <v/>
      </c>
      <c r="E537" s="94" t="str">
        <f>IF(OR(R537=0,V537=0),"",INDEX('CAD_RESÍDUOS'!$C$6:$C$205,MATCH(C537,'CAD_RESÍDUOS'!$B$6:$B$205,0))&amp;"")</f>
        <v/>
      </c>
      <c r="F537" s="94" t="str">
        <f>IF(OR(R537=0,V537=0),"",INDEX('CAD_RESÍDUOS'!$G$6:$G$205,MATCH(C537,'CAD_RESÍDUOS'!$B$6:$B$205,0))&amp;"")</f>
        <v/>
      </c>
      <c r="G537" s="98" t="n"/>
      <c r="H537" s="91" t="n"/>
      <c r="I537" s="93" t="str">
        <f>IF(R537=0,"",IF(NOT(ISNUMBER(G537)),"",IF(ISNUMBER(X537),G537*X537,"UNIDADE A CONFERIR")))</f>
        <v/>
      </c>
      <c r="J537" s="91" t="n"/>
      <c r="K537" s="91" t="n"/>
      <c r="L537" s="93" t="str">
        <f>IF(R537=0,"",SUMIFS('RECEBIMENTOS'!$H$6:$H$1005,'RECEBIMENTOS'!$R$6:$R$1005,A537,'RECEBIMENTOS'!$X$6:$X$1005,1))</f>
        <v/>
      </c>
      <c r="M537" s="93" t="str">
        <f>IF(R537=0,"",SUMIFS('VÍNCULOS_CDF'!$H$6:$H$1005,'VÍNCULOS_CDF'!$R$6:$R$1005,A537,'VÍNCULOS_CDF'!$V$6:$V$1005,1))</f>
        <v/>
      </c>
      <c r="N537" s="99" t="str">
        <f>IF(OR(R537=0,AA537=0,NOT(ISNUMBER(I537))),"",I537-N(L537))</f>
        <v/>
      </c>
      <c r="O537" s="100" t="str">
        <f>IF(OR(R537=0,AK537&lt;=0),"",N(M537)/AK537)</f>
        <v/>
      </c>
      <c r="P537" s="94" t="str">
        <f>IF(R537=0,"",IF(S537="","Sem MTR associado",IF(U537=0,"MTR inexistente",IF(C537="","Resíduo não identificado",IF(V537=0,"Resíduo fora do cadastro",IF(W537=0,"Quantidade inválida",IF(H537="","Unidade não informada",IF(NOT(ISNUMBER(I537)),"Unidade a conferir",IF(AND(AH537=1,K537&lt;&gt;"Sim"),"Possível duplicidade",IF(Z537=1,"MTR cancelado",IF(AC537&gt;0,"Recebimento com alerta",IF(AA537=0,"Aguardando recebimento",IF(AB537&lt;AA537,"Recebimento a conferir",IF(AM537=1,"Quantidade a revisar",IF(AF537&gt;0,"Vínculo a revisar",IF(AD537=0,"Aguardando CDF",IF(AN537=0,"Vínculo de CDF parcial",IF(AE537&lt;AD537,"CDF a conferir","Documentação conferida"))))))))))))))))))</f>
        <v/>
      </c>
      <c r="Q537" s="93" t="str">
        <f>IF(OR(R537=0,AA537=0),"",MAX(0,N(L537)-N(M537)))</f>
        <v/>
      </c>
      <c r="R537" s="96">
        <f>IF(COUNTA(B537:C537,G537:H537,J537:K537)&gt;0,1,0)</f>
        <v>0</v>
      </c>
      <c r="S537" s="96" t="str">
        <f>IF(B537="","",TRIM(LEFT(B537,FIND(" |",B537&amp;" |")-1)))</f>
        <v/>
      </c>
      <c r="T537" s="96" t="str">
        <f>IF(S537="","",IFERROR(MATCH(S537,'MTRs'!$A$6:$A$505,0),""))</f>
        <v/>
      </c>
      <c r="U537" s="96">
        <f>IF(T537="",0,IF(INDEX('MTRs'!$Z$6:$Z$505,T537)=1,1,0))</f>
        <v>0</v>
      </c>
      <c r="V537" s="96">
        <f>IF(C537="",0,IF(ISNUMBER(MATCH(C537,'CAD_RESÍDUOS'!$B$6:$B$205,0)),1,0))</f>
        <v>0</v>
      </c>
      <c r="W537" s="96">
        <f>IF(AND(ISNUMBER(G537),G537&gt;0),1,0)</f>
        <v>0</v>
      </c>
      <c r="X537" s="96" t="str">
        <f>IF(H537="","",IFERROR(IF(ISNUMBER(INDEX(cfg_fac,MATCH(H537,cfg_units,0))),IF(INDEX(cfg_fac,MATCH(H537,cfg_units,0))&gt;0,INDEX(cfg_fac,MATCH(H537,cfg_units,0)),""),""),""))</f>
        <v/>
      </c>
      <c r="Y537" s="96">
        <f>IF(AND(W537=1,ISNUMBER(I537)),1,0)</f>
        <v>0</v>
      </c>
      <c r="Z537" s="96">
        <f>IF(U537=1,INDEX('MTRs'!$AA$6:$AA$505,T537),0)</f>
        <v>0</v>
      </c>
      <c r="AA537" s="96">
        <f>IF(R537=0,0,COUNTIFS('RECEBIMENTOS'!$R$6:$R$1005,A537,'RECEBIMENTOS'!$Q$6:$Q$1005,1))</f>
        <v>0</v>
      </c>
      <c r="AB537" s="96">
        <f>IF(R537=0,0,COUNTIFS('RECEBIMENTOS'!$R$6:$R$1005,A537,'RECEBIMENTOS'!$Z$6:$Z$1005,1))</f>
        <v>0</v>
      </c>
      <c r="AC537" s="96">
        <f>IF(R537=0,0,COUNTIFS('RECEBIMENTOS'!$R$6:$R$1005,A537,'RECEBIMENTOS'!$Y$6:$Y$1005,1))</f>
        <v>0</v>
      </c>
      <c r="AD537" s="96">
        <f>IF(R537=0,0,COUNTIFS('VÍNCULOS_CDF'!$R$6:$R$1005,A537,'VÍNCULOS_CDF'!$N$6:$N$1005,1))</f>
        <v>0</v>
      </c>
      <c r="AE537" s="96">
        <f>IF(R537=0,0,COUNTIFS('VÍNCULOS_CDF'!$R$6:$R$1005,A537,'VÍNCULOS_CDF'!$AA$6:$AA$1005,1))</f>
        <v>0</v>
      </c>
      <c r="AF537" s="96">
        <f>IF(R537=0,0,COUNTIFS('VÍNCULOS_CDF'!$R$6:$R$1005,A537,'VÍNCULOS_CDF'!$Y$6:$Y$1005,1))</f>
        <v>0</v>
      </c>
      <c r="AG537" s="96" t="str">
        <f>IF(AND(R537=1,S537&lt;&gt;"",C537&lt;&gt;""),S537&amp;"|"&amp;C537&amp;"|"&amp;G537&amp;"|"&amp;H537,"")</f>
        <v/>
      </c>
      <c r="AH537" s="96">
        <f>IF(AG537="",0,IF(SUMPRODUCT(--($AG$6:$AG$1005=AG537))&gt;1,1,0))</f>
        <v>0</v>
      </c>
      <c r="AI537" s="96">
        <f>IF(R537=0,0,IF(OR(U537=0,V537=0,Y537=0,AND(AH537=1,K537&lt;&gt;"Sim")),1,0))</f>
        <v>0</v>
      </c>
      <c r="AJ537" s="96">
        <f>IF(AND(R537=1,AA537&gt;0,AB537=AA537),1,0)</f>
        <v>0</v>
      </c>
      <c r="AK537" s="96">
        <f>IF(R537=0,0,IF(AA537&gt;0,N(L537),IF(ISNUMBER(I537),I537,0)))</f>
        <v>0</v>
      </c>
      <c r="AL537" s="96">
        <f>IF(R537=0,0,IF(AND(K537&lt;&gt;"Sim",N(M537)&gt;AK537+cfg_tol),1,0))</f>
        <v>0</v>
      </c>
      <c r="AM537" s="96">
        <f>IF(R537=0,0,IF(K537="Sim",0,IF(OR(AND(AA537&gt;0,ISNUMBER(I537),ABS(I537-N(L537))&gt;cfg_tol),AL537=1),1,0)))</f>
        <v>0</v>
      </c>
      <c r="AN537" s="96">
        <f>IF(AND(R537=1,N(M537)&gt;0,OR(N(M537)&gt;=AK537-cfg_tol,K537="Sim")),1,0)</f>
        <v>0</v>
      </c>
      <c r="AO537" s="96">
        <f>IF(AND(AN537=1,AD537&gt;0,AE537=AD537,AL537=0),1,0)</f>
        <v>0</v>
      </c>
      <c r="AP537" s="96">
        <f>IF(U537=0,0,IF(AND(INDEX('MTRs'!$AX$6:$AX$505,T537)=1,Z537=0,OR(f_res="",f_res="(Todos)",C537=f_res)),1,0))</f>
        <v>0</v>
      </c>
      <c r="AQ537" s="97" t="str">
        <f>IF(U537=0,"",INDEX('MTRs'!$AZ$6:$AZ$505,T537))</f>
        <v/>
      </c>
      <c r="AR537" s="96">
        <f>IF(U537=0,0,IF(AND(INDEX('MTRs'!$BA$6:$BA$505,T537)=1,Z537=0),1,0))</f>
        <v>0</v>
      </c>
      <c r="AS537" s="96" t="str">
        <f>IF(R537=1,A537&amp;" | MTR "&amp;IF(U537=1,INDEX('MTRs'!$B$6:$B$505,T537)&amp;"","?")&amp;" | "&amp;IF(C537="","(sem resíduo)",C537),"")</f>
        <v/>
      </c>
      <c r="AT537" s="96" t="str">
        <f>IF(R537=1,COUNTIF($R$6:R537,1),"")</f>
        <v/>
      </c>
      <c r="AU537" s="96" t="str">
        <f>IF(U537=1,INDEX('MTRs'!$I$6:$I$505,T537)&amp;"","")</f>
        <v/>
      </c>
    </row>
    <row r="538">
      <c r="A538" s="89" t="inlineStr">
        <is>
          <t>IT-000533</t>
        </is>
      </c>
      <c r="B538" s="91" t="n"/>
      <c r="C538" s="91" t="n"/>
      <c r="D538" s="94" t="str">
        <f>IF(OR(R538=0,V538=0),"",INDEX('CAD_RESÍDUOS'!$E$6:$E$205,MATCH(C538,'CAD_RESÍDUOS'!$B$6:$B$205,0))&amp;"")</f>
        <v/>
      </c>
      <c r="E538" s="94" t="str">
        <f>IF(OR(R538=0,V538=0),"",INDEX('CAD_RESÍDUOS'!$C$6:$C$205,MATCH(C538,'CAD_RESÍDUOS'!$B$6:$B$205,0))&amp;"")</f>
        <v/>
      </c>
      <c r="F538" s="94" t="str">
        <f>IF(OR(R538=0,V538=0),"",INDEX('CAD_RESÍDUOS'!$G$6:$G$205,MATCH(C538,'CAD_RESÍDUOS'!$B$6:$B$205,0))&amp;"")</f>
        <v/>
      </c>
      <c r="G538" s="98" t="n"/>
      <c r="H538" s="91" t="n"/>
      <c r="I538" s="93" t="str">
        <f>IF(R538=0,"",IF(NOT(ISNUMBER(G538)),"",IF(ISNUMBER(X538),G538*X538,"UNIDADE A CONFERIR")))</f>
        <v/>
      </c>
      <c r="J538" s="91" t="n"/>
      <c r="K538" s="91" t="n"/>
      <c r="L538" s="93" t="str">
        <f>IF(R538=0,"",SUMIFS('RECEBIMENTOS'!$H$6:$H$1005,'RECEBIMENTOS'!$R$6:$R$1005,A538,'RECEBIMENTOS'!$X$6:$X$1005,1))</f>
        <v/>
      </c>
      <c r="M538" s="93" t="str">
        <f>IF(R538=0,"",SUMIFS('VÍNCULOS_CDF'!$H$6:$H$1005,'VÍNCULOS_CDF'!$R$6:$R$1005,A538,'VÍNCULOS_CDF'!$V$6:$V$1005,1))</f>
        <v/>
      </c>
      <c r="N538" s="99" t="str">
        <f>IF(OR(R538=0,AA538=0,NOT(ISNUMBER(I538))),"",I538-N(L538))</f>
        <v/>
      </c>
      <c r="O538" s="100" t="str">
        <f>IF(OR(R538=0,AK538&lt;=0),"",N(M538)/AK538)</f>
        <v/>
      </c>
      <c r="P538" s="94" t="str">
        <f>IF(R538=0,"",IF(S538="","Sem MTR associado",IF(U538=0,"MTR inexistente",IF(C538="","Resíduo não identificado",IF(V538=0,"Resíduo fora do cadastro",IF(W538=0,"Quantidade inválida",IF(H538="","Unidade não informada",IF(NOT(ISNUMBER(I538)),"Unidade a conferir",IF(AND(AH538=1,K538&lt;&gt;"Sim"),"Possível duplicidade",IF(Z538=1,"MTR cancelado",IF(AC538&gt;0,"Recebimento com alerta",IF(AA538=0,"Aguardando recebimento",IF(AB538&lt;AA538,"Recebimento a conferir",IF(AM538=1,"Quantidade a revisar",IF(AF538&gt;0,"Vínculo a revisar",IF(AD538=0,"Aguardando CDF",IF(AN538=0,"Vínculo de CDF parcial",IF(AE538&lt;AD538,"CDF a conferir","Documentação conferida"))))))))))))))))))</f>
        <v/>
      </c>
      <c r="Q538" s="93" t="str">
        <f>IF(OR(R538=0,AA538=0),"",MAX(0,N(L538)-N(M538)))</f>
        <v/>
      </c>
      <c r="R538" s="96">
        <f>IF(COUNTA(B538:C538,G538:H538,J538:K538)&gt;0,1,0)</f>
        <v>0</v>
      </c>
      <c r="S538" s="96" t="str">
        <f>IF(B538="","",TRIM(LEFT(B538,FIND(" |",B538&amp;" |")-1)))</f>
        <v/>
      </c>
      <c r="T538" s="96" t="str">
        <f>IF(S538="","",IFERROR(MATCH(S538,'MTRs'!$A$6:$A$505,0),""))</f>
        <v/>
      </c>
      <c r="U538" s="96">
        <f>IF(T538="",0,IF(INDEX('MTRs'!$Z$6:$Z$505,T538)=1,1,0))</f>
        <v>0</v>
      </c>
      <c r="V538" s="96">
        <f>IF(C538="",0,IF(ISNUMBER(MATCH(C538,'CAD_RESÍDUOS'!$B$6:$B$205,0)),1,0))</f>
        <v>0</v>
      </c>
      <c r="W538" s="96">
        <f>IF(AND(ISNUMBER(G538),G538&gt;0),1,0)</f>
        <v>0</v>
      </c>
      <c r="X538" s="96" t="str">
        <f>IF(H538="","",IFERROR(IF(ISNUMBER(INDEX(cfg_fac,MATCH(H538,cfg_units,0))),IF(INDEX(cfg_fac,MATCH(H538,cfg_units,0))&gt;0,INDEX(cfg_fac,MATCH(H538,cfg_units,0)),""),""),""))</f>
        <v/>
      </c>
      <c r="Y538" s="96">
        <f>IF(AND(W538=1,ISNUMBER(I538)),1,0)</f>
        <v>0</v>
      </c>
      <c r="Z538" s="96">
        <f>IF(U538=1,INDEX('MTRs'!$AA$6:$AA$505,T538),0)</f>
        <v>0</v>
      </c>
      <c r="AA538" s="96">
        <f>IF(R538=0,0,COUNTIFS('RECEBIMENTOS'!$R$6:$R$1005,A538,'RECEBIMENTOS'!$Q$6:$Q$1005,1))</f>
        <v>0</v>
      </c>
      <c r="AB538" s="96">
        <f>IF(R538=0,0,COUNTIFS('RECEBIMENTOS'!$R$6:$R$1005,A538,'RECEBIMENTOS'!$Z$6:$Z$1005,1))</f>
        <v>0</v>
      </c>
      <c r="AC538" s="96">
        <f>IF(R538=0,0,COUNTIFS('RECEBIMENTOS'!$R$6:$R$1005,A538,'RECEBIMENTOS'!$Y$6:$Y$1005,1))</f>
        <v>0</v>
      </c>
      <c r="AD538" s="96">
        <f>IF(R538=0,0,COUNTIFS('VÍNCULOS_CDF'!$R$6:$R$1005,A538,'VÍNCULOS_CDF'!$N$6:$N$1005,1))</f>
        <v>0</v>
      </c>
      <c r="AE538" s="96">
        <f>IF(R538=0,0,COUNTIFS('VÍNCULOS_CDF'!$R$6:$R$1005,A538,'VÍNCULOS_CDF'!$AA$6:$AA$1005,1))</f>
        <v>0</v>
      </c>
      <c r="AF538" s="96">
        <f>IF(R538=0,0,COUNTIFS('VÍNCULOS_CDF'!$R$6:$R$1005,A538,'VÍNCULOS_CDF'!$Y$6:$Y$1005,1))</f>
        <v>0</v>
      </c>
      <c r="AG538" s="96" t="str">
        <f>IF(AND(R538=1,S538&lt;&gt;"",C538&lt;&gt;""),S538&amp;"|"&amp;C538&amp;"|"&amp;G538&amp;"|"&amp;H538,"")</f>
        <v/>
      </c>
      <c r="AH538" s="96">
        <f>IF(AG538="",0,IF(SUMPRODUCT(--($AG$6:$AG$1005=AG538))&gt;1,1,0))</f>
        <v>0</v>
      </c>
      <c r="AI538" s="96">
        <f>IF(R538=0,0,IF(OR(U538=0,V538=0,Y538=0,AND(AH538=1,K538&lt;&gt;"Sim")),1,0))</f>
        <v>0</v>
      </c>
      <c r="AJ538" s="96">
        <f>IF(AND(R538=1,AA538&gt;0,AB538=AA538),1,0)</f>
        <v>0</v>
      </c>
      <c r="AK538" s="96">
        <f>IF(R538=0,0,IF(AA538&gt;0,N(L538),IF(ISNUMBER(I538),I538,0)))</f>
        <v>0</v>
      </c>
      <c r="AL538" s="96">
        <f>IF(R538=0,0,IF(AND(K538&lt;&gt;"Sim",N(M538)&gt;AK538+cfg_tol),1,0))</f>
        <v>0</v>
      </c>
      <c r="AM538" s="96">
        <f>IF(R538=0,0,IF(K538="Sim",0,IF(OR(AND(AA538&gt;0,ISNUMBER(I538),ABS(I538-N(L538))&gt;cfg_tol),AL538=1),1,0)))</f>
        <v>0</v>
      </c>
      <c r="AN538" s="96">
        <f>IF(AND(R538=1,N(M538)&gt;0,OR(N(M538)&gt;=AK538-cfg_tol,K538="Sim")),1,0)</f>
        <v>0</v>
      </c>
      <c r="AO538" s="96">
        <f>IF(AND(AN538=1,AD538&gt;0,AE538=AD538,AL538=0),1,0)</f>
        <v>0</v>
      </c>
      <c r="AP538" s="96">
        <f>IF(U538=0,0,IF(AND(INDEX('MTRs'!$AX$6:$AX$505,T538)=1,Z538=0,OR(f_res="",f_res="(Todos)",C538=f_res)),1,0))</f>
        <v>0</v>
      </c>
      <c r="AQ538" s="97" t="str">
        <f>IF(U538=0,"",INDEX('MTRs'!$AZ$6:$AZ$505,T538))</f>
        <v/>
      </c>
      <c r="AR538" s="96">
        <f>IF(U538=0,0,IF(AND(INDEX('MTRs'!$BA$6:$BA$505,T538)=1,Z538=0),1,0))</f>
        <v>0</v>
      </c>
      <c r="AS538" s="96" t="str">
        <f>IF(R538=1,A538&amp;" | MTR "&amp;IF(U538=1,INDEX('MTRs'!$B$6:$B$505,T538)&amp;"","?")&amp;" | "&amp;IF(C538="","(sem resíduo)",C538),"")</f>
        <v/>
      </c>
      <c r="AT538" s="96" t="str">
        <f>IF(R538=1,COUNTIF($R$6:R538,1),"")</f>
        <v/>
      </c>
      <c r="AU538" s="96" t="str">
        <f>IF(U538=1,INDEX('MTRs'!$I$6:$I$505,T538)&amp;"","")</f>
        <v/>
      </c>
    </row>
    <row r="539">
      <c r="A539" s="89" t="inlineStr">
        <is>
          <t>IT-000534</t>
        </is>
      </c>
      <c r="B539" s="91" t="n"/>
      <c r="C539" s="91" t="n"/>
      <c r="D539" s="94" t="str">
        <f>IF(OR(R539=0,V539=0),"",INDEX('CAD_RESÍDUOS'!$E$6:$E$205,MATCH(C539,'CAD_RESÍDUOS'!$B$6:$B$205,0))&amp;"")</f>
        <v/>
      </c>
      <c r="E539" s="94" t="str">
        <f>IF(OR(R539=0,V539=0),"",INDEX('CAD_RESÍDUOS'!$C$6:$C$205,MATCH(C539,'CAD_RESÍDUOS'!$B$6:$B$205,0))&amp;"")</f>
        <v/>
      </c>
      <c r="F539" s="94" t="str">
        <f>IF(OR(R539=0,V539=0),"",INDEX('CAD_RESÍDUOS'!$G$6:$G$205,MATCH(C539,'CAD_RESÍDUOS'!$B$6:$B$205,0))&amp;"")</f>
        <v/>
      </c>
      <c r="G539" s="98" t="n"/>
      <c r="H539" s="91" t="n"/>
      <c r="I539" s="93" t="str">
        <f>IF(R539=0,"",IF(NOT(ISNUMBER(G539)),"",IF(ISNUMBER(X539),G539*X539,"UNIDADE A CONFERIR")))</f>
        <v/>
      </c>
      <c r="J539" s="91" t="n"/>
      <c r="K539" s="91" t="n"/>
      <c r="L539" s="93" t="str">
        <f>IF(R539=0,"",SUMIFS('RECEBIMENTOS'!$H$6:$H$1005,'RECEBIMENTOS'!$R$6:$R$1005,A539,'RECEBIMENTOS'!$X$6:$X$1005,1))</f>
        <v/>
      </c>
      <c r="M539" s="93" t="str">
        <f>IF(R539=0,"",SUMIFS('VÍNCULOS_CDF'!$H$6:$H$1005,'VÍNCULOS_CDF'!$R$6:$R$1005,A539,'VÍNCULOS_CDF'!$V$6:$V$1005,1))</f>
        <v/>
      </c>
      <c r="N539" s="99" t="str">
        <f>IF(OR(R539=0,AA539=0,NOT(ISNUMBER(I539))),"",I539-N(L539))</f>
        <v/>
      </c>
      <c r="O539" s="100" t="str">
        <f>IF(OR(R539=0,AK539&lt;=0),"",N(M539)/AK539)</f>
        <v/>
      </c>
      <c r="P539" s="94" t="str">
        <f>IF(R539=0,"",IF(S539="","Sem MTR associado",IF(U539=0,"MTR inexistente",IF(C539="","Resíduo não identificado",IF(V539=0,"Resíduo fora do cadastro",IF(W539=0,"Quantidade inválida",IF(H539="","Unidade não informada",IF(NOT(ISNUMBER(I539)),"Unidade a conferir",IF(AND(AH539=1,K539&lt;&gt;"Sim"),"Possível duplicidade",IF(Z539=1,"MTR cancelado",IF(AC539&gt;0,"Recebimento com alerta",IF(AA539=0,"Aguardando recebimento",IF(AB539&lt;AA539,"Recebimento a conferir",IF(AM539=1,"Quantidade a revisar",IF(AF539&gt;0,"Vínculo a revisar",IF(AD539=0,"Aguardando CDF",IF(AN539=0,"Vínculo de CDF parcial",IF(AE539&lt;AD539,"CDF a conferir","Documentação conferida"))))))))))))))))))</f>
        <v/>
      </c>
      <c r="Q539" s="93" t="str">
        <f>IF(OR(R539=0,AA539=0),"",MAX(0,N(L539)-N(M539)))</f>
        <v/>
      </c>
      <c r="R539" s="96">
        <f>IF(COUNTA(B539:C539,G539:H539,J539:K539)&gt;0,1,0)</f>
        <v>0</v>
      </c>
      <c r="S539" s="96" t="str">
        <f>IF(B539="","",TRIM(LEFT(B539,FIND(" |",B539&amp;" |")-1)))</f>
        <v/>
      </c>
      <c r="T539" s="96" t="str">
        <f>IF(S539="","",IFERROR(MATCH(S539,'MTRs'!$A$6:$A$505,0),""))</f>
        <v/>
      </c>
      <c r="U539" s="96">
        <f>IF(T539="",0,IF(INDEX('MTRs'!$Z$6:$Z$505,T539)=1,1,0))</f>
        <v>0</v>
      </c>
      <c r="V539" s="96">
        <f>IF(C539="",0,IF(ISNUMBER(MATCH(C539,'CAD_RESÍDUOS'!$B$6:$B$205,0)),1,0))</f>
        <v>0</v>
      </c>
      <c r="W539" s="96">
        <f>IF(AND(ISNUMBER(G539),G539&gt;0),1,0)</f>
        <v>0</v>
      </c>
      <c r="X539" s="96" t="str">
        <f>IF(H539="","",IFERROR(IF(ISNUMBER(INDEX(cfg_fac,MATCH(H539,cfg_units,0))),IF(INDEX(cfg_fac,MATCH(H539,cfg_units,0))&gt;0,INDEX(cfg_fac,MATCH(H539,cfg_units,0)),""),""),""))</f>
        <v/>
      </c>
      <c r="Y539" s="96">
        <f>IF(AND(W539=1,ISNUMBER(I539)),1,0)</f>
        <v>0</v>
      </c>
      <c r="Z539" s="96">
        <f>IF(U539=1,INDEX('MTRs'!$AA$6:$AA$505,T539),0)</f>
        <v>0</v>
      </c>
      <c r="AA539" s="96">
        <f>IF(R539=0,0,COUNTIFS('RECEBIMENTOS'!$R$6:$R$1005,A539,'RECEBIMENTOS'!$Q$6:$Q$1005,1))</f>
        <v>0</v>
      </c>
      <c r="AB539" s="96">
        <f>IF(R539=0,0,COUNTIFS('RECEBIMENTOS'!$R$6:$R$1005,A539,'RECEBIMENTOS'!$Z$6:$Z$1005,1))</f>
        <v>0</v>
      </c>
      <c r="AC539" s="96">
        <f>IF(R539=0,0,COUNTIFS('RECEBIMENTOS'!$R$6:$R$1005,A539,'RECEBIMENTOS'!$Y$6:$Y$1005,1))</f>
        <v>0</v>
      </c>
      <c r="AD539" s="96">
        <f>IF(R539=0,0,COUNTIFS('VÍNCULOS_CDF'!$R$6:$R$1005,A539,'VÍNCULOS_CDF'!$N$6:$N$1005,1))</f>
        <v>0</v>
      </c>
      <c r="AE539" s="96">
        <f>IF(R539=0,0,COUNTIFS('VÍNCULOS_CDF'!$R$6:$R$1005,A539,'VÍNCULOS_CDF'!$AA$6:$AA$1005,1))</f>
        <v>0</v>
      </c>
      <c r="AF539" s="96">
        <f>IF(R539=0,0,COUNTIFS('VÍNCULOS_CDF'!$R$6:$R$1005,A539,'VÍNCULOS_CDF'!$Y$6:$Y$1005,1))</f>
        <v>0</v>
      </c>
      <c r="AG539" s="96" t="str">
        <f>IF(AND(R539=1,S539&lt;&gt;"",C539&lt;&gt;""),S539&amp;"|"&amp;C539&amp;"|"&amp;G539&amp;"|"&amp;H539,"")</f>
        <v/>
      </c>
      <c r="AH539" s="96">
        <f>IF(AG539="",0,IF(SUMPRODUCT(--($AG$6:$AG$1005=AG539))&gt;1,1,0))</f>
        <v>0</v>
      </c>
      <c r="AI539" s="96">
        <f>IF(R539=0,0,IF(OR(U539=0,V539=0,Y539=0,AND(AH539=1,K539&lt;&gt;"Sim")),1,0))</f>
        <v>0</v>
      </c>
      <c r="AJ539" s="96">
        <f>IF(AND(R539=1,AA539&gt;0,AB539=AA539),1,0)</f>
        <v>0</v>
      </c>
      <c r="AK539" s="96">
        <f>IF(R539=0,0,IF(AA539&gt;0,N(L539),IF(ISNUMBER(I539),I539,0)))</f>
        <v>0</v>
      </c>
      <c r="AL539" s="96">
        <f>IF(R539=0,0,IF(AND(K539&lt;&gt;"Sim",N(M539)&gt;AK539+cfg_tol),1,0))</f>
        <v>0</v>
      </c>
      <c r="AM539" s="96">
        <f>IF(R539=0,0,IF(K539="Sim",0,IF(OR(AND(AA539&gt;0,ISNUMBER(I539),ABS(I539-N(L539))&gt;cfg_tol),AL539=1),1,0)))</f>
        <v>0</v>
      </c>
      <c r="AN539" s="96">
        <f>IF(AND(R539=1,N(M539)&gt;0,OR(N(M539)&gt;=AK539-cfg_tol,K539="Sim")),1,0)</f>
        <v>0</v>
      </c>
      <c r="AO539" s="96">
        <f>IF(AND(AN539=1,AD539&gt;0,AE539=AD539,AL539=0),1,0)</f>
        <v>0</v>
      </c>
      <c r="AP539" s="96">
        <f>IF(U539=0,0,IF(AND(INDEX('MTRs'!$AX$6:$AX$505,T539)=1,Z539=0,OR(f_res="",f_res="(Todos)",C539=f_res)),1,0))</f>
        <v>0</v>
      </c>
      <c r="AQ539" s="97" t="str">
        <f>IF(U539=0,"",INDEX('MTRs'!$AZ$6:$AZ$505,T539))</f>
        <v/>
      </c>
      <c r="AR539" s="96">
        <f>IF(U539=0,0,IF(AND(INDEX('MTRs'!$BA$6:$BA$505,T539)=1,Z539=0),1,0))</f>
        <v>0</v>
      </c>
      <c r="AS539" s="96" t="str">
        <f>IF(R539=1,A539&amp;" | MTR "&amp;IF(U539=1,INDEX('MTRs'!$B$6:$B$505,T539)&amp;"","?")&amp;" | "&amp;IF(C539="","(sem resíduo)",C539),"")</f>
        <v/>
      </c>
      <c r="AT539" s="96" t="str">
        <f>IF(R539=1,COUNTIF($R$6:R539,1),"")</f>
        <v/>
      </c>
      <c r="AU539" s="96" t="str">
        <f>IF(U539=1,INDEX('MTRs'!$I$6:$I$505,T539)&amp;"","")</f>
        <v/>
      </c>
    </row>
    <row r="540">
      <c r="A540" s="89" t="inlineStr">
        <is>
          <t>IT-000535</t>
        </is>
      </c>
      <c r="B540" s="91" t="n"/>
      <c r="C540" s="91" t="n"/>
      <c r="D540" s="94" t="str">
        <f>IF(OR(R540=0,V540=0),"",INDEX('CAD_RESÍDUOS'!$E$6:$E$205,MATCH(C540,'CAD_RESÍDUOS'!$B$6:$B$205,0))&amp;"")</f>
        <v/>
      </c>
      <c r="E540" s="94" t="str">
        <f>IF(OR(R540=0,V540=0),"",INDEX('CAD_RESÍDUOS'!$C$6:$C$205,MATCH(C540,'CAD_RESÍDUOS'!$B$6:$B$205,0))&amp;"")</f>
        <v/>
      </c>
      <c r="F540" s="94" t="str">
        <f>IF(OR(R540=0,V540=0),"",INDEX('CAD_RESÍDUOS'!$G$6:$G$205,MATCH(C540,'CAD_RESÍDUOS'!$B$6:$B$205,0))&amp;"")</f>
        <v/>
      </c>
      <c r="G540" s="98" t="n"/>
      <c r="H540" s="91" t="n"/>
      <c r="I540" s="93" t="str">
        <f>IF(R540=0,"",IF(NOT(ISNUMBER(G540)),"",IF(ISNUMBER(X540),G540*X540,"UNIDADE A CONFERIR")))</f>
        <v/>
      </c>
      <c r="J540" s="91" t="n"/>
      <c r="K540" s="91" t="n"/>
      <c r="L540" s="93" t="str">
        <f>IF(R540=0,"",SUMIFS('RECEBIMENTOS'!$H$6:$H$1005,'RECEBIMENTOS'!$R$6:$R$1005,A540,'RECEBIMENTOS'!$X$6:$X$1005,1))</f>
        <v/>
      </c>
      <c r="M540" s="93" t="str">
        <f>IF(R540=0,"",SUMIFS('VÍNCULOS_CDF'!$H$6:$H$1005,'VÍNCULOS_CDF'!$R$6:$R$1005,A540,'VÍNCULOS_CDF'!$V$6:$V$1005,1))</f>
        <v/>
      </c>
      <c r="N540" s="99" t="str">
        <f>IF(OR(R540=0,AA540=0,NOT(ISNUMBER(I540))),"",I540-N(L540))</f>
        <v/>
      </c>
      <c r="O540" s="100" t="str">
        <f>IF(OR(R540=0,AK540&lt;=0),"",N(M540)/AK540)</f>
        <v/>
      </c>
      <c r="P540" s="94" t="str">
        <f>IF(R540=0,"",IF(S540="","Sem MTR associado",IF(U540=0,"MTR inexistente",IF(C540="","Resíduo não identificado",IF(V540=0,"Resíduo fora do cadastro",IF(W540=0,"Quantidade inválida",IF(H540="","Unidade não informada",IF(NOT(ISNUMBER(I540)),"Unidade a conferir",IF(AND(AH540=1,K540&lt;&gt;"Sim"),"Possível duplicidade",IF(Z540=1,"MTR cancelado",IF(AC540&gt;0,"Recebimento com alerta",IF(AA540=0,"Aguardando recebimento",IF(AB540&lt;AA540,"Recebimento a conferir",IF(AM540=1,"Quantidade a revisar",IF(AF540&gt;0,"Vínculo a revisar",IF(AD540=0,"Aguardando CDF",IF(AN540=0,"Vínculo de CDF parcial",IF(AE540&lt;AD540,"CDF a conferir","Documentação conferida"))))))))))))))))))</f>
        <v/>
      </c>
      <c r="Q540" s="93" t="str">
        <f>IF(OR(R540=0,AA540=0),"",MAX(0,N(L540)-N(M540)))</f>
        <v/>
      </c>
      <c r="R540" s="96">
        <f>IF(COUNTA(B540:C540,G540:H540,J540:K540)&gt;0,1,0)</f>
        <v>0</v>
      </c>
      <c r="S540" s="96" t="str">
        <f>IF(B540="","",TRIM(LEFT(B540,FIND(" |",B540&amp;" |")-1)))</f>
        <v/>
      </c>
      <c r="T540" s="96" t="str">
        <f>IF(S540="","",IFERROR(MATCH(S540,'MTRs'!$A$6:$A$505,0),""))</f>
        <v/>
      </c>
      <c r="U540" s="96">
        <f>IF(T540="",0,IF(INDEX('MTRs'!$Z$6:$Z$505,T540)=1,1,0))</f>
        <v>0</v>
      </c>
      <c r="V540" s="96">
        <f>IF(C540="",0,IF(ISNUMBER(MATCH(C540,'CAD_RESÍDUOS'!$B$6:$B$205,0)),1,0))</f>
        <v>0</v>
      </c>
      <c r="W540" s="96">
        <f>IF(AND(ISNUMBER(G540),G540&gt;0),1,0)</f>
        <v>0</v>
      </c>
      <c r="X540" s="96" t="str">
        <f>IF(H540="","",IFERROR(IF(ISNUMBER(INDEX(cfg_fac,MATCH(H540,cfg_units,0))),IF(INDEX(cfg_fac,MATCH(H540,cfg_units,0))&gt;0,INDEX(cfg_fac,MATCH(H540,cfg_units,0)),""),""),""))</f>
        <v/>
      </c>
      <c r="Y540" s="96">
        <f>IF(AND(W540=1,ISNUMBER(I540)),1,0)</f>
        <v>0</v>
      </c>
      <c r="Z540" s="96">
        <f>IF(U540=1,INDEX('MTRs'!$AA$6:$AA$505,T540),0)</f>
        <v>0</v>
      </c>
      <c r="AA540" s="96">
        <f>IF(R540=0,0,COUNTIFS('RECEBIMENTOS'!$R$6:$R$1005,A540,'RECEBIMENTOS'!$Q$6:$Q$1005,1))</f>
        <v>0</v>
      </c>
      <c r="AB540" s="96">
        <f>IF(R540=0,0,COUNTIFS('RECEBIMENTOS'!$R$6:$R$1005,A540,'RECEBIMENTOS'!$Z$6:$Z$1005,1))</f>
        <v>0</v>
      </c>
      <c r="AC540" s="96">
        <f>IF(R540=0,0,COUNTIFS('RECEBIMENTOS'!$R$6:$R$1005,A540,'RECEBIMENTOS'!$Y$6:$Y$1005,1))</f>
        <v>0</v>
      </c>
      <c r="AD540" s="96">
        <f>IF(R540=0,0,COUNTIFS('VÍNCULOS_CDF'!$R$6:$R$1005,A540,'VÍNCULOS_CDF'!$N$6:$N$1005,1))</f>
        <v>0</v>
      </c>
      <c r="AE540" s="96">
        <f>IF(R540=0,0,COUNTIFS('VÍNCULOS_CDF'!$R$6:$R$1005,A540,'VÍNCULOS_CDF'!$AA$6:$AA$1005,1))</f>
        <v>0</v>
      </c>
      <c r="AF540" s="96">
        <f>IF(R540=0,0,COUNTIFS('VÍNCULOS_CDF'!$R$6:$R$1005,A540,'VÍNCULOS_CDF'!$Y$6:$Y$1005,1))</f>
        <v>0</v>
      </c>
      <c r="AG540" s="96" t="str">
        <f>IF(AND(R540=1,S540&lt;&gt;"",C540&lt;&gt;""),S540&amp;"|"&amp;C540&amp;"|"&amp;G540&amp;"|"&amp;H540,"")</f>
        <v/>
      </c>
      <c r="AH540" s="96">
        <f>IF(AG540="",0,IF(SUMPRODUCT(--($AG$6:$AG$1005=AG540))&gt;1,1,0))</f>
        <v>0</v>
      </c>
      <c r="AI540" s="96">
        <f>IF(R540=0,0,IF(OR(U540=0,V540=0,Y540=0,AND(AH540=1,K540&lt;&gt;"Sim")),1,0))</f>
        <v>0</v>
      </c>
      <c r="AJ540" s="96">
        <f>IF(AND(R540=1,AA540&gt;0,AB540=AA540),1,0)</f>
        <v>0</v>
      </c>
      <c r="AK540" s="96">
        <f>IF(R540=0,0,IF(AA540&gt;0,N(L540),IF(ISNUMBER(I540),I540,0)))</f>
        <v>0</v>
      </c>
      <c r="AL540" s="96">
        <f>IF(R540=0,0,IF(AND(K540&lt;&gt;"Sim",N(M540)&gt;AK540+cfg_tol),1,0))</f>
        <v>0</v>
      </c>
      <c r="AM540" s="96">
        <f>IF(R540=0,0,IF(K540="Sim",0,IF(OR(AND(AA540&gt;0,ISNUMBER(I540),ABS(I540-N(L540))&gt;cfg_tol),AL540=1),1,0)))</f>
        <v>0</v>
      </c>
      <c r="AN540" s="96">
        <f>IF(AND(R540=1,N(M540)&gt;0,OR(N(M540)&gt;=AK540-cfg_tol,K540="Sim")),1,0)</f>
        <v>0</v>
      </c>
      <c r="AO540" s="96">
        <f>IF(AND(AN540=1,AD540&gt;0,AE540=AD540,AL540=0),1,0)</f>
        <v>0</v>
      </c>
      <c r="AP540" s="96">
        <f>IF(U540=0,0,IF(AND(INDEX('MTRs'!$AX$6:$AX$505,T540)=1,Z540=0,OR(f_res="",f_res="(Todos)",C540=f_res)),1,0))</f>
        <v>0</v>
      </c>
      <c r="AQ540" s="97" t="str">
        <f>IF(U540=0,"",INDEX('MTRs'!$AZ$6:$AZ$505,T540))</f>
        <v/>
      </c>
      <c r="AR540" s="96">
        <f>IF(U540=0,0,IF(AND(INDEX('MTRs'!$BA$6:$BA$505,T540)=1,Z540=0),1,0))</f>
        <v>0</v>
      </c>
      <c r="AS540" s="96" t="str">
        <f>IF(R540=1,A540&amp;" | MTR "&amp;IF(U540=1,INDEX('MTRs'!$B$6:$B$505,T540)&amp;"","?")&amp;" | "&amp;IF(C540="","(sem resíduo)",C540),"")</f>
        <v/>
      </c>
      <c r="AT540" s="96" t="str">
        <f>IF(R540=1,COUNTIF($R$6:R540,1),"")</f>
        <v/>
      </c>
      <c r="AU540" s="96" t="str">
        <f>IF(U540=1,INDEX('MTRs'!$I$6:$I$505,T540)&amp;"","")</f>
        <v/>
      </c>
    </row>
    <row r="541">
      <c r="A541" s="89" t="inlineStr">
        <is>
          <t>IT-000536</t>
        </is>
      </c>
      <c r="B541" s="91" t="n"/>
      <c r="C541" s="91" t="n"/>
      <c r="D541" s="94" t="str">
        <f>IF(OR(R541=0,V541=0),"",INDEX('CAD_RESÍDUOS'!$E$6:$E$205,MATCH(C541,'CAD_RESÍDUOS'!$B$6:$B$205,0))&amp;"")</f>
        <v/>
      </c>
      <c r="E541" s="94" t="str">
        <f>IF(OR(R541=0,V541=0),"",INDEX('CAD_RESÍDUOS'!$C$6:$C$205,MATCH(C541,'CAD_RESÍDUOS'!$B$6:$B$205,0))&amp;"")</f>
        <v/>
      </c>
      <c r="F541" s="94" t="str">
        <f>IF(OR(R541=0,V541=0),"",INDEX('CAD_RESÍDUOS'!$G$6:$G$205,MATCH(C541,'CAD_RESÍDUOS'!$B$6:$B$205,0))&amp;"")</f>
        <v/>
      </c>
      <c r="G541" s="98" t="n"/>
      <c r="H541" s="91" t="n"/>
      <c r="I541" s="93" t="str">
        <f>IF(R541=0,"",IF(NOT(ISNUMBER(G541)),"",IF(ISNUMBER(X541),G541*X541,"UNIDADE A CONFERIR")))</f>
        <v/>
      </c>
      <c r="J541" s="91" t="n"/>
      <c r="K541" s="91" t="n"/>
      <c r="L541" s="93" t="str">
        <f>IF(R541=0,"",SUMIFS('RECEBIMENTOS'!$H$6:$H$1005,'RECEBIMENTOS'!$R$6:$R$1005,A541,'RECEBIMENTOS'!$X$6:$X$1005,1))</f>
        <v/>
      </c>
      <c r="M541" s="93" t="str">
        <f>IF(R541=0,"",SUMIFS('VÍNCULOS_CDF'!$H$6:$H$1005,'VÍNCULOS_CDF'!$R$6:$R$1005,A541,'VÍNCULOS_CDF'!$V$6:$V$1005,1))</f>
        <v/>
      </c>
      <c r="N541" s="99" t="str">
        <f>IF(OR(R541=0,AA541=0,NOT(ISNUMBER(I541))),"",I541-N(L541))</f>
        <v/>
      </c>
      <c r="O541" s="100" t="str">
        <f>IF(OR(R541=0,AK541&lt;=0),"",N(M541)/AK541)</f>
        <v/>
      </c>
      <c r="P541" s="94" t="str">
        <f>IF(R541=0,"",IF(S541="","Sem MTR associado",IF(U541=0,"MTR inexistente",IF(C541="","Resíduo não identificado",IF(V541=0,"Resíduo fora do cadastro",IF(W541=0,"Quantidade inválida",IF(H541="","Unidade não informada",IF(NOT(ISNUMBER(I541)),"Unidade a conferir",IF(AND(AH541=1,K541&lt;&gt;"Sim"),"Possível duplicidade",IF(Z541=1,"MTR cancelado",IF(AC541&gt;0,"Recebimento com alerta",IF(AA541=0,"Aguardando recebimento",IF(AB541&lt;AA541,"Recebimento a conferir",IF(AM541=1,"Quantidade a revisar",IF(AF541&gt;0,"Vínculo a revisar",IF(AD541=0,"Aguardando CDF",IF(AN541=0,"Vínculo de CDF parcial",IF(AE541&lt;AD541,"CDF a conferir","Documentação conferida"))))))))))))))))))</f>
        <v/>
      </c>
      <c r="Q541" s="93" t="str">
        <f>IF(OR(R541=0,AA541=0),"",MAX(0,N(L541)-N(M541)))</f>
        <v/>
      </c>
      <c r="R541" s="96">
        <f>IF(COUNTA(B541:C541,G541:H541,J541:K541)&gt;0,1,0)</f>
        <v>0</v>
      </c>
      <c r="S541" s="96" t="str">
        <f>IF(B541="","",TRIM(LEFT(B541,FIND(" |",B541&amp;" |")-1)))</f>
        <v/>
      </c>
      <c r="T541" s="96" t="str">
        <f>IF(S541="","",IFERROR(MATCH(S541,'MTRs'!$A$6:$A$505,0),""))</f>
        <v/>
      </c>
      <c r="U541" s="96">
        <f>IF(T541="",0,IF(INDEX('MTRs'!$Z$6:$Z$505,T541)=1,1,0))</f>
        <v>0</v>
      </c>
      <c r="V541" s="96">
        <f>IF(C541="",0,IF(ISNUMBER(MATCH(C541,'CAD_RESÍDUOS'!$B$6:$B$205,0)),1,0))</f>
        <v>0</v>
      </c>
      <c r="W541" s="96">
        <f>IF(AND(ISNUMBER(G541),G541&gt;0),1,0)</f>
        <v>0</v>
      </c>
      <c r="X541" s="96" t="str">
        <f>IF(H541="","",IFERROR(IF(ISNUMBER(INDEX(cfg_fac,MATCH(H541,cfg_units,0))),IF(INDEX(cfg_fac,MATCH(H541,cfg_units,0))&gt;0,INDEX(cfg_fac,MATCH(H541,cfg_units,0)),""),""),""))</f>
        <v/>
      </c>
      <c r="Y541" s="96">
        <f>IF(AND(W541=1,ISNUMBER(I541)),1,0)</f>
        <v>0</v>
      </c>
      <c r="Z541" s="96">
        <f>IF(U541=1,INDEX('MTRs'!$AA$6:$AA$505,T541),0)</f>
        <v>0</v>
      </c>
      <c r="AA541" s="96">
        <f>IF(R541=0,0,COUNTIFS('RECEBIMENTOS'!$R$6:$R$1005,A541,'RECEBIMENTOS'!$Q$6:$Q$1005,1))</f>
        <v>0</v>
      </c>
      <c r="AB541" s="96">
        <f>IF(R541=0,0,COUNTIFS('RECEBIMENTOS'!$R$6:$R$1005,A541,'RECEBIMENTOS'!$Z$6:$Z$1005,1))</f>
        <v>0</v>
      </c>
      <c r="AC541" s="96">
        <f>IF(R541=0,0,COUNTIFS('RECEBIMENTOS'!$R$6:$R$1005,A541,'RECEBIMENTOS'!$Y$6:$Y$1005,1))</f>
        <v>0</v>
      </c>
      <c r="AD541" s="96">
        <f>IF(R541=0,0,COUNTIFS('VÍNCULOS_CDF'!$R$6:$R$1005,A541,'VÍNCULOS_CDF'!$N$6:$N$1005,1))</f>
        <v>0</v>
      </c>
      <c r="AE541" s="96">
        <f>IF(R541=0,0,COUNTIFS('VÍNCULOS_CDF'!$R$6:$R$1005,A541,'VÍNCULOS_CDF'!$AA$6:$AA$1005,1))</f>
        <v>0</v>
      </c>
      <c r="AF541" s="96">
        <f>IF(R541=0,0,COUNTIFS('VÍNCULOS_CDF'!$R$6:$R$1005,A541,'VÍNCULOS_CDF'!$Y$6:$Y$1005,1))</f>
        <v>0</v>
      </c>
      <c r="AG541" s="96" t="str">
        <f>IF(AND(R541=1,S541&lt;&gt;"",C541&lt;&gt;""),S541&amp;"|"&amp;C541&amp;"|"&amp;G541&amp;"|"&amp;H541,"")</f>
        <v/>
      </c>
      <c r="AH541" s="96">
        <f>IF(AG541="",0,IF(SUMPRODUCT(--($AG$6:$AG$1005=AG541))&gt;1,1,0))</f>
        <v>0</v>
      </c>
      <c r="AI541" s="96">
        <f>IF(R541=0,0,IF(OR(U541=0,V541=0,Y541=0,AND(AH541=1,K541&lt;&gt;"Sim")),1,0))</f>
        <v>0</v>
      </c>
      <c r="AJ541" s="96">
        <f>IF(AND(R541=1,AA541&gt;0,AB541=AA541),1,0)</f>
        <v>0</v>
      </c>
      <c r="AK541" s="96">
        <f>IF(R541=0,0,IF(AA541&gt;0,N(L541),IF(ISNUMBER(I541),I541,0)))</f>
        <v>0</v>
      </c>
      <c r="AL541" s="96">
        <f>IF(R541=0,0,IF(AND(K541&lt;&gt;"Sim",N(M541)&gt;AK541+cfg_tol),1,0))</f>
        <v>0</v>
      </c>
      <c r="AM541" s="96">
        <f>IF(R541=0,0,IF(K541="Sim",0,IF(OR(AND(AA541&gt;0,ISNUMBER(I541),ABS(I541-N(L541))&gt;cfg_tol),AL541=1),1,0)))</f>
        <v>0</v>
      </c>
      <c r="AN541" s="96">
        <f>IF(AND(R541=1,N(M541)&gt;0,OR(N(M541)&gt;=AK541-cfg_tol,K541="Sim")),1,0)</f>
        <v>0</v>
      </c>
      <c r="AO541" s="96">
        <f>IF(AND(AN541=1,AD541&gt;0,AE541=AD541,AL541=0),1,0)</f>
        <v>0</v>
      </c>
      <c r="AP541" s="96">
        <f>IF(U541=0,0,IF(AND(INDEX('MTRs'!$AX$6:$AX$505,T541)=1,Z541=0,OR(f_res="",f_res="(Todos)",C541=f_res)),1,0))</f>
        <v>0</v>
      </c>
      <c r="AQ541" s="97" t="str">
        <f>IF(U541=0,"",INDEX('MTRs'!$AZ$6:$AZ$505,T541))</f>
        <v/>
      </c>
      <c r="AR541" s="96">
        <f>IF(U541=0,0,IF(AND(INDEX('MTRs'!$BA$6:$BA$505,T541)=1,Z541=0),1,0))</f>
        <v>0</v>
      </c>
      <c r="AS541" s="96" t="str">
        <f>IF(R541=1,A541&amp;" | MTR "&amp;IF(U541=1,INDEX('MTRs'!$B$6:$B$505,T541)&amp;"","?")&amp;" | "&amp;IF(C541="","(sem resíduo)",C541),"")</f>
        <v/>
      </c>
      <c r="AT541" s="96" t="str">
        <f>IF(R541=1,COUNTIF($R$6:R541,1),"")</f>
        <v/>
      </c>
      <c r="AU541" s="96" t="str">
        <f>IF(U541=1,INDEX('MTRs'!$I$6:$I$505,T541)&amp;"","")</f>
        <v/>
      </c>
    </row>
    <row r="542">
      <c r="A542" s="89" t="inlineStr">
        <is>
          <t>IT-000537</t>
        </is>
      </c>
      <c r="B542" s="91" t="n"/>
      <c r="C542" s="91" t="n"/>
      <c r="D542" s="94" t="str">
        <f>IF(OR(R542=0,V542=0),"",INDEX('CAD_RESÍDUOS'!$E$6:$E$205,MATCH(C542,'CAD_RESÍDUOS'!$B$6:$B$205,0))&amp;"")</f>
        <v/>
      </c>
      <c r="E542" s="94" t="str">
        <f>IF(OR(R542=0,V542=0),"",INDEX('CAD_RESÍDUOS'!$C$6:$C$205,MATCH(C542,'CAD_RESÍDUOS'!$B$6:$B$205,0))&amp;"")</f>
        <v/>
      </c>
      <c r="F542" s="94" t="str">
        <f>IF(OR(R542=0,V542=0),"",INDEX('CAD_RESÍDUOS'!$G$6:$G$205,MATCH(C542,'CAD_RESÍDUOS'!$B$6:$B$205,0))&amp;"")</f>
        <v/>
      </c>
      <c r="G542" s="98" t="n"/>
      <c r="H542" s="91" t="n"/>
      <c r="I542" s="93" t="str">
        <f>IF(R542=0,"",IF(NOT(ISNUMBER(G542)),"",IF(ISNUMBER(X542),G542*X542,"UNIDADE A CONFERIR")))</f>
        <v/>
      </c>
      <c r="J542" s="91" t="n"/>
      <c r="K542" s="91" t="n"/>
      <c r="L542" s="93" t="str">
        <f>IF(R542=0,"",SUMIFS('RECEBIMENTOS'!$H$6:$H$1005,'RECEBIMENTOS'!$R$6:$R$1005,A542,'RECEBIMENTOS'!$X$6:$X$1005,1))</f>
        <v/>
      </c>
      <c r="M542" s="93" t="str">
        <f>IF(R542=0,"",SUMIFS('VÍNCULOS_CDF'!$H$6:$H$1005,'VÍNCULOS_CDF'!$R$6:$R$1005,A542,'VÍNCULOS_CDF'!$V$6:$V$1005,1))</f>
        <v/>
      </c>
      <c r="N542" s="99" t="str">
        <f>IF(OR(R542=0,AA542=0,NOT(ISNUMBER(I542))),"",I542-N(L542))</f>
        <v/>
      </c>
      <c r="O542" s="100" t="str">
        <f>IF(OR(R542=0,AK542&lt;=0),"",N(M542)/AK542)</f>
        <v/>
      </c>
      <c r="P542" s="94" t="str">
        <f>IF(R542=0,"",IF(S542="","Sem MTR associado",IF(U542=0,"MTR inexistente",IF(C542="","Resíduo não identificado",IF(V542=0,"Resíduo fora do cadastro",IF(W542=0,"Quantidade inválida",IF(H542="","Unidade não informada",IF(NOT(ISNUMBER(I542)),"Unidade a conferir",IF(AND(AH542=1,K542&lt;&gt;"Sim"),"Possível duplicidade",IF(Z542=1,"MTR cancelado",IF(AC542&gt;0,"Recebimento com alerta",IF(AA542=0,"Aguardando recebimento",IF(AB542&lt;AA542,"Recebimento a conferir",IF(AM542=1,"Quantidade a revisar",IF(AF542&gt;0,"Vínculo a revisar",IF(AD542=0,"Aguardando CDF",IF(AN542=0,"Vínculo de CDF parcial",IF(AE542&lt;AD542,"CDF a conferir","Documentação conferida"))))))))))))))))))</f>
        <v/>
      </c>
      <c r="Q542" s="93" t="str">
        <f>IF(OR(R542=0,AA542=0),"",MAX(0,N(L542)-N(M542)))</f>
        <v/>
      </c>
      <c r="R542" s="96">
        <f>IF(COUNTA(B542:C542,G542:H542,J542:K542)&gt;0,1,0)</f>
        <v>0</v>
      </c>
      <c r="S542" s="96" t="str">
        <f>IF(B542="","",TRIM(LEFT(B542,FIND(" |",B542&amp;" |")-1)))</f>
        <v/>
      </c>
      <c r="T542" s="96" t="str">
        <f>IF(S542="","",IFERROR(MATCH(S542,'MTRs'!$A$6:$A$505,0),""))</f>
        <v/>
      </c>
      <c r="U542" s="96">
        <f>IF(T542="",0,IF(INDEX('MTRs'!$Z$6:$Z$505,T542)=1,1,0))</f>
        <v>0</v>
      </c>
      <c r="V542" s="96">
        <f>IF(C542="",0,IF(ISNUMBER(MATCH(C542,'CAD_RESÍDUOS'!$B$6:$B$205,0)),1,0))</f>
        <v>0</v>
      </c>
      <c r="W542" s="96">
        <f>IF(AND(ISNUMBER(G542),G542&gt;0),1,0)</f>
        <v>0</v>
      </c>
      <c r="X542" s="96" t="str">
        <f>IF(H542="","",IFERROR(IF(ISNUMBER(INDEX(cfg_fac,MATCH(H542,cfg_units,0))),IF(INDEX(cfg_fac,MATCH(H542,cfg_units,0))&gt;0,INDEX(cfg_fac,MATCH(H542,cfg_units,0)),""),""),""))</f>
        <v/>
      </c>
      <c r="Y542" s="96">
        <f>IF(AND(W542=1,ISNUMBER(I542)),1,0)</f>
        <v>0</v>
      </c>
      <c r="Z542" s="96">
        <f>IF(U542=1,INDEX('MTRs'!$AA$6:$AA$505,T542),0)</f>
        <v>0</v>
      </c>
      <c r="AA542" s="96">
        <f>IF(R542=0,0,COUNTIFS('RECEBIMENTOS'!$R$6:$R$1005,A542,'RECEBIMENTOS'!$Q$6:$Q$1005,1))</f>
        <v>0</v>
      </c>
      <c r="AB542" s="96">
        <f>IF(R542=0,0,COUNTIFS('RECEBIMENTOS'!$R$6:$R$1005,A542,'RECEBIMENTOS'!$Z$6:$Z$1005,1))</f>
        <v>0</v>
      </c>
      <c r="AC542" s="96">
        <f>IF(R542=0,0,COUNTIFS('RECEBIMENTOS'!$R$6:$R$1005,A542,'RECEBIMENTOS'!$Y$6:$Y$1005,1))</f>
        <v>0</v>
      </c>
      <c r="AD542" s="96">
        <f>IF(R542=0,0,COUNTIFS('VÍNCULOS_CDF'!$R$6:$R$1005,A542,'VÍNCULOS_CDF'!$N$6:$N$1005,1))</f>
        <v>0</v>
      </c>
      <c r="AE542" s="96">
        <f>IF(R542=0,0,COUNTIFS('VÍNCULOS_CDF'!$R$6:$R$1005,A542,'VÍNCULOS_CDF'!$AA$6:$AA$1005,1))</f>
        <v>0</v>
      </c>
      <c r="AF542" s="96">
        <f>IF(R542=0,0,COUNTIFS('VÍNCULOS_CDF'!$R$6:$R$1005,A542,'VÍNCULOS_CDF'!$Y$6:$Y$1005,1))</f>
        <v>0</v>
      </c>
      <c r="AG542" s="96" t="str">
        <f>IF(AND(R542=1,S542&lt;&gt;"",C542&lt;&gt;""),S542&amp;"|"&amp;C542&amp;"|"&amp;G542&amp;"|"&amp;H542,"")</f>
        <v/>
      </c>
      <c r="AH542" s="96">
        <f>IF(AG542="",0,IF(SUMPRODUCT(--($AG$6:$AG$1005=AG542))&gt;1,1,0))</f>
        <v>0</v>
      </c>
      <c r="AI542" s="96">
        <f>IF(R542=0,0,IF(OR(U542=0,V542=0,Y542=0,AND(AH542=1,K542&lt;&gt;"Sim")),1,0))</f>
        <v>0</v>
      </c>
      <c r="AJ542" s="96">
        <f>IF(AND(R542=1,AA542&gt;0,AB542=AA542),1,0)</f>
        <v>0</v>
      </c>
      <c r="AK542" s="96">
        <f>IF(R542=0,0,IF(AA542&gt;0,N(L542),IF(ISNUMBER(I542),I542,0)))</f>
        <v>0</v>
      </c>
      <c r="AL542" s="96">
        <f>IF(R542=0,0,IF(AND(K542&lt;&gt;"Sim",N(M542)&gt;AK542+cfg_tol),1,0))</f>
        <v>0</v>
      </c>
      <c r="AM542" s="96">
        <f>IF(R542=0,0,IF(K542="Sim",0,IF(OR(AND(AA542&gt;0,ISNUMBER(I542),ABS(I542-N(L542))&gt;cfg_tol),AL542=1),1,0)))</f>
        <v>0</v>
      </c>
      <c r="AN542" s="96">
        <f>IF(AND(R542=1,N(M542)&gt;0,OR(N(M542)&gt;=AK542-cfg_tol,K542="Sim")),1,0)</f>
        <v>0</v>
      </c>
      <c r="AO542" s="96">
        <f>IF(AND(AN542=1,AD542&gt;0,AE542=AD542,AL542=0),1,0)</f>
        <v>0</v>
      </c>
      <c r="AP542" s="96">
        <f>IF(U542=0,0,IF(AND(INDEX('MTRs'!$AX$6:$AX$505,T542)=1,Z542=0,OR(f_res="",f_res="(Todos)",C542=f_res)),1,0))</f>
        <v>0</v>
      </c>
      <c r="AQ542" s="97" t="str">
        <f>IF(U542=0,"",INDEX('MTRs'!$AZ$6:$AZ$505,T542))</f>
        <v/>
      </c>
      <c r="AR542" s="96">
        <f>IF(U542=0,0,IF(AND(INDEX('MTRs'!$BA$6:$BA$505,T542)=1,Z542=0),1,0))</f>
        <v>0</v>
      </c>
      <c r="AS542" s="96" t="str">
        <f>IF(R542=1,A542&amp;" | MTR "&amp;IF(U542=1,INDEX('MTRs'!$B$6:$B$505,T542)&amp;"","?")&amp;" | "&amp;IF(C542="","(sem resíduo)",C542),"")</f>
        <v/>
      </c>
      <c r="AT542" s="96" t="str">
        <f>IF(R542=1,COUNTIF($R$6:R542,1),"")</f>
        <v/>
      </c>
      <c r="AU542" s="96" t="str">
        <f>IF(U542=1,INDEX('MTRs'!$I$6:$I$505,T542)&amp;"","")</f>
        <v/>
      </c>
    </row>
    <row r="543">
      <c r="A543" s="89" t="inlineStr">
        <is>
          <t>IT-000538</t>
        </is>
      </c>
      <c r="B543" s="91" t="n"/>
      <c r="C543" s="91" t="n"/>
      <c r="D543" s="94" t="str">
        <f>IF(OR(R543=0,V543=0),"",INDEX('CAD_RESÍDUOS'!$E$6:$E$205,MATCH(C543,'CAD_RESÍDUOS'!$B$6:$B$205,0))&amp;"")</f>
        <v/>
      </c>
      <c r="E543" s="94" t="str">
        <f>IF(OR(R543=0,V543=0),"",INDEX('CAD_RESÍDUOS'!$C$6:$C$205,MATCH(C543,'CAD_RESÍDUOS'!$B$6:$B$205,0))&amp;"")</f>
        <v/>
      </c>
      <c r="F543" s="94" t="str">
        <f>IF(OR(R543=0,V543=0),"",INDEX('CAD_RESÍDUOS'!$G$6:$G$205,MATCH(C543,'CAD_RESÍDUOS'!$B$6:$B$205,0))&amp;"")</f>
        <v/>
      </c>
      <c r="G543" s="98" t="n"/>
      <c r="H543" s="91" t="n"/>
      <c r="I543" s="93" t="str">
        <f>IF(R543=0,"",IF(NOT(ISNUMBER(G543)),"",IF(ISNUMBER(X543),G543*X543,"UNIDADE A CONFERIR")))</f>
        <v/>
      </c>
      <c r="J543" s="91" t="n"/>
      <c r="K543" s="91" t="n"/>
      <c r="L543" s="93" t="str">
        <f>IF(R543=0,"",SUMIFS('RECEBIMENTOS'!$H$6:$H$1005,'RECEBIMENTOS'!$R$6:$R$1005,A543,'RECEBIMENTOS'!$X$6:$X$1005,1))</f>
        <v/>
      </c>
      <c r="M543" s="93" t="str">
        <f>IF(R543=0,"",SUMIFS('VÍNCULOS_CDF'!$H$6:$H$1005,'VÍNCULOS_CDF'!$R$6:$R$1005,A543,'VÍNCULOS_CDF'!$V$6:$V$1005,1))</f>
        <v/>
      </c>
      <c r="N543" s="99" t="str">
        <f>IF(OR(R543=0,AA543=0,NOT(ISNUMBER(I543))),"",I543-N(L543))</f>
        <v/>
      </c>
      <c r="O543" s="100" t="str">
        <f>IF(OR(R543=0,AK543&lt;=0),"",N(M543)/AK543)</f>
        <v/>
      </c>
      <c r="P543" s="94" t="str">
        <f>IF(R543=0,"",IF(S543="","Sem MTR associado",IF(U543=0,"MTR inexistente",IF(C543="","Resíduo não identificado",IF(V543=0,"Resíduo fora do cadastro",IF(W543=0,"Quantidade inválida",IF(H543="","Unidade não informada",IF(NOT(ISNUMBER(I543)),"Unidade a conferir",IF(AND(AH543=1,K543&lt;&gt;"Sim"),"Possível duplicidade",IF(Z543=1,"MTR cancelado",IF(AC543&gt;0,"Recebimento com alerta",IF(AA543=0,"Aguardando recebimento",IF(AB543&lt;AA543,"Recebimento a conferir",IF(AM543=1,"Quantidade a revisar",IF(AF543&gt;0,"Vínculo a revisar",IF(AD543=0,"Aguardando CDF",IF(AN543=0,"Vínculo de CDF parcial",IF(AE543&lt;AD543,"CDF a conferir","Documentação conferida"))))))))))))))))))</f>
        <v/>
      </c>
      <c r="Q543" s="93" t="str">
        <f>IF(OR(R543=0,AA543=0),"",MAX(0,N(L543)-N(M543)))</f>
        <v/>
      </c>
      <c r="R543" s="96">
        <f>IF(COUNTA(B543:C543,G543:H543,J543:K543)&gt;0,1,0)</f>
        <v>0</v>
      </c>
      <c r="S543" s="96" t="str">
        <f>IF(B543="","",TRIM(LEFT(B543,FIND(" |",B543&amp;" |")-1)))</f>
        <v/>
      </c>
      <c r="T543" s="96" t="str">
        <f>IF(S543="","",IFERROR(MATCH(S543,'MTRs'!$A$6:$A$505,0),""))</f>
        <v/>
      </c>
      <c r="U543" s="96">
        <f>IF(T543="",0,IF(INDEX('MTRs'!$Z$6:$Z$505,T543)=1,1,0))</f>
        <v>0</v>
      </c>
      <c r="V543" s="96">
        <f>IF(C543="",0,IF(ISNUMBER(MATCH(C543,'CAD_RESÍDUOS'!$B$6:$B$205,0)),1,0))</f>
        <v>0</v>
      </c>
      <c r="W543" s="96">
        <f>IF(AND(ISNUMBER(G543),G543&gt;0),1,0)</f>
        <v>0</v>
      </c>
      <c r="X543" s="96" t="str">
        <f>IF(H543="","",IFERROR(IF(ISNUMBER(INDEX(cfg_fac,MATCH(H543,cfg_units,0))),IF(INDEX(cfg_fac,MATCH(H543,cfg_units,0))&gt;0,INDEX(cfg_fac,MATCH(H543,cfg_units,0)),""),""),""))</f>
        <v/>
      </c>
      <c r="Y543" s="96">
        <f>IF(AND(W543=1,ISNUMBER(I543)),1,0)</f>
        <v>0</v>
      </c>
      <c r="Z543" s="96">
        <f>IF(U543=1,INDEX('MTRs'!$AA$6:$AA$505,T543),0)</f>
        <v>0</v>
      </c>
      <c r="AA543" s="96">
        <f>IF(R543=0,0,COUNTIFS('RECEBIMENTOS'!$R$6:$R$1005,A543,'RECEBIMENTOS'!$Q$6:$Q$1005,1))</f>
        <v>0</v>
      </c>
      <c r="AB543" s="96">
        <f>IF(R543=0,0,COUNTIFS('RECEBIMENTOS'!$R$6:$R$1005,A543,'RECEBIMENTOS'!$Z$6:$Z$1005,1))</f>
        <v>0</v>
      </c>
      <c r="AC543" s="96">
        <f>IF(R543=0,0,COUNTIFS('RECEBIMENTOS'!$R$6:$R$1005,A543,'RECEBIMENTOS'!$Y$6:$Y$1005,1))</f>
        <v>0</v>
      </c>
      <c r="AD543" s="96">
        <f>IF(R543=0,0,COUNTIFS('VÍNCULOS_CDF'!$R$6:$R$1005,A543,'VÍNCULOS_CDF'!$N$6:$N$1005,1))</f>
        <v>0</v>
      </c>
      <c r="AE543" s="96">
        <f>IF(R543=0,0,COUNTIFS('VÍNCULOS_CDF'!$R$6:$R$1005,A543,'VÍNCULOS_CDF'!$AA$6:$AA$1005,1))</f>
        <v>0</v>
      </c>
      <c r="AF543" s="96">
        <f>IF(R543=0,0,COUNTIFS('VÍNCULOS_CDF'!$R$6:$R$1005,A543,'VÍNCULOS_CDF'!$Y$6:$Y$1005,1))</f>
        <v>0</v>
      </c>
      <c r="AG543" s="96" t="str">
        <f>IF(AND(R543=1,S543&lt;&gt;"",C543&lt;&gt;""),S543&amp;"|"&amp;C543&amp;"|"&amp;G543&amp;"|"&amp;H543,"")</f>
        <v/>
      </c>
      <c r="AH543" s="96">
        <f>IF(AG543="",0,IF(SUMPRODUCT(--($AG$6:$AG$1005=AG543))&gt;1,1,0))</f>
        <v>0</v>
      </c>
      <c r="AI543" s="96">
        <f>IF(R543=0,0,IF(OR(U543=0,V543=0,Y543=0,AND(AH543=1,K543&lt;&gt;"Sim")),1,0))</f>
        <v>0</v>
      </c>
      <c r="AJ543" s="96">
        <f>IF(AND(R543=1,AA543&gt;0,AB543=AA543),1,0)</f>
        <v>0</v>
      </c>
      <c r="AK543" s="96">
        <f>IF(R543=0,0,IF(AA543&gt;0,N(L543),IF(ISNUMBER(I543),I543,0)))</f>
        <v>0</v>
      </c>
      <c r="AL543" s="96">
        <f>IF(R543=0,0,IF(AND(K543&lt;&gt;"Sim",N(M543)&gt;AK543+cfg_tol),1,0))</f>
        <v>0</v>
      </c>
      <c r="AM543" s="96">
        <f>IF(R543=0,0,IF(K543="Sim",0,IF(OR(AND(AA543&gt;0,ISNUMBER(I543),ABS(I543-N(L543))&gt;cfg_tol),AL543=1),1,0)))</f>
        <v>0</v>
      </c>
      <c r="AN543" s="96">
        <f>IF(AND(R543=1,N(M543)&gt;0,OR(N(M543)&gt;=AK543-cfg_tol,K543="Sim")),1,0)</f>
        <v>0</v>
      </c>
      <c r="AO543" s="96">
        <f>IF(AND(AN543=1,AD543&gt;0,AE543=AD543,AL543=0),1,0)</f>
        <v>0</v>
      </c>
      <c r="AP543" s="96">
        <f>IF(U543=0,0,IF(AND(INDEX('MTRs'!$AX$6:$AX$505,T543)=1,Z543=0,OR(f_res="",f_res="(Todos)",C543=f_res)),1,0))</f>
        <v>0</v>
      </c>
      <c r="AQ543" s="97" t="str">
        <f>IF(U543=0,"",INDEX('MTRs'!$AZ$6:$AZ$505,T543))</f>
        <v/>
      </c>
      <c r="AR543" s="96">
        <f>IF(U543=0,0,IF(AND(INDEX('MTRs'!$BA$6:$BA$505,T543)=1,Z543=0),1,0))</f>
        <v>0</v>
      </c>
      <c r="AS543" s="96" t="str">
        <f>IF(R543=1,A543&amp;" | MTR "&amp;IF(U543=1,INDEX('MTRs'!$B$6:$B$505,T543)&amp;"","?")&amp;" | "&amp;IF(C543="","(sem resíduo)",C543),"")</f>
        <v/>
      </c>
      <c r="AT543" s="96" t="str">
        <f>IF(R543=1,COUNTIF($R$6:R543,1),"")</f>
        <v/>
      </c>
      <c r="AU543" s="96" t="str">
        <f>IF(U543=1,INDEX('MTRs'!$I$6:$I$505,T543)&amp;"","")</f>
        <v/>
      </c>
    </row>
    <row r="544">
      <c r="A544" s="89" t="inlineStr">
        <is>
          <t>IT-000539</t>
        </is>
      </c>
      <c r="B544" s="91" t="n"/>
      <c r="C544" s="91" t="n"/>
      <c r="D544" s="94" t="str">
        <f>IF(OR(R544=0,V544=0),"",INDEX('CAD_RESÍDUOS'!$E$6:$E$205,MATCH(C544,'CAD_RESÍDUOS'!$B$6:$B$205,0))&amp;"")</f>
        <v/>
      </c>
      <c r="E544" s="94" t="str">
        <f>IF(OR(R544=0,V544=0),"",INDEX('CAD_RESÍDUOS'!$C$6:$C$205,MATCH(C544,'CAD_RESÍDUOS'!$B$6:$B$205,0))&amp;"")</f>
        <v/>
      </c>
      <c r="F544" s="94" t="str">
        <f>IF(OR(R544=0,V544=0),"",INDEX('CAD_RESÍDUOS'!$G$6:$G$205,MATCH(C544,'CAD_RESÍDUOS'!$B$6:$B$205,0))&amp;"")</f>
        <v/>
      </c>
      <c r="G544" s="98" t="n"/>
      <c r="H544" s="91" t="n"/>
      <c r="I544" s="93" t="str">
        <f>IF(R544=0,"",IF(NOT(ISNUMBER(G544)),"",IF(ISNUMBER(X544),G544*X544,"UNIDADE A CONFERIR")))</f>
        <v/>
      </c>
      <c r="J544" s="91" t="n"/>
      <c r="K544" s="91" t="n"/>
      <c r="L544" s="93" t="str">
        <f>IF(R544=0,"",SUMIFS('RECEBIMENTOS'!$H$6:$H$1005,'RECEBIMENTOS'!$R$6:$R$1005,A544,'RECEBIMENTOS'!$X$6:$X$1005,1))</f>
        <v/>
      </c>
      <c r="M544" s="93" t="str">
        <f>IF(R544=0,"",SUMIFS('VÍNCULOS_CDF'!$H$6:$H$1005,'VÍNCULOS_CDF'!$R$6:$R$1005,A544,'VÍNCULOS_CDF'!$V$6:$V$1005,1))</f>
        <v/>
      </c>
      <c r="N544" s="99" t="str">
        <f>IF(OR(R544=0,AA544=0,NOT(ISNUMBER(I544))),"",I544-N(L544))</f>
        <v/>
      </c>
      <c r="O544" s="100" t="str">
        <f>IF(OR(R544=0,AK544&lt;=0),"",N(M544)/AK544)</f>
        <v/>
      </c>
      <c r="P544" s="94" t="str">
        <f>IF(R544=0,"",IF(S544="","Sem MTR associado",IF(U544=0,"MTR inexistente",IF(C544="","Resíduo não identificado",IF(V544=0,"Resíduo fora do cadastro",IF(W544=0,"Quantidade inválida",IF(H544="","Unidade não informada",IF(NOT(ISNUMBER(I544)),"Unidade a conferir",IF(AND(AH544=1,K544&lt;&gt;"Sim"),"Possível duplicidade",IF(Z544=1,"MTR cancelado",IF(AC544&gt;0,"Recebimento com alerta",IF(AA544=0,"Aguardando recebimento",IF(AB544&lt;AA544,"Recebimento a conferir",IF(AM544=1,"Quantidade a revisar",IF(AF544&gt;0,"Vínculo a revisar",IF(AD544=0,"Aguardando CDF",IF(AN544=0,"Vínculo de CDF parcial",IF(AE544&lt;AD544,"CDF a conferir","Documentação conferida"))))))))))))))))))</f>
        <v/>
      </c>
      <c r="Q544" s="93" t="str">
        <f>IF(OR(R544=0,AA544=0),"",MAX(0,N(L544)-N(M544)))</f>
        <v/>
      </c>
      <c r="R544" s="96">
        <f>IF(COUNTA(B544:C544,G544:H544,J544:K544)&gt;0,1,0)</f>
        <v>0</v>
      </c>
      <c r="S544" s="96" t="str">
        <f>IF(B544="","",TRIM(LEFT(B544,FIND(" |",B544&amp;" |")-1)))</f>
        <v/>
      </c>
      <c r="T544" s="96" t="str">
        <f>IF(S544="","",IFERROR(MATCH(S544,'MTRs'!$A$6:$A$505,0),""))</f>
        <v/>
      </c>
      <c r="U544" s="96">
        <f>IF(T544="",0,IF(INDEX('MTRs'!$Z$6:$Z$505,T544)=1,1,0))</f>
        <v>0</v>
      </c>
      <c r="V544" s="96">
        <f>IF(C544="",0,IF(ISNUMBER(MATCH(C544,'CAD_RESÍDUOS'!$B$6:$B$205,0)),1,0))</f>
        <v>0</v>
      </c>
      <c r="W544" s="96">
        <f>IF(AND(ISNUMBER(G544),G544&gt;0),1,0)</f>
        <v>0</v>
      </c>
      <c r="X544" s="96" t="str">
        <f>IF(H544="","",IFERROR(IF(ISNUMBER(INDEX(cfg_fac,MATCH(H544,cfg_units,0))),IF(INDEX(cfg_fac,MATCH(H544,cfg_units,0))&gt;0,INDEX(cfg_fac,MATCH(H544,cfg_units,0)),""),""),""))</f>
        <v/>
      </c>
      <c r="Y544" s="96">
        <f>IF(AND(W544=1,ISNUMBER(I544)),1,0)</f>
        <v>0</v>
      </c>
      <c r="Z544" s="96">
        <f>IF(U544=1,INDEX('MTRs'!$AA$6:$AA$505,T544),0)</f>
        <v>0</v>
      </c>
      <c r="AA544" s="96">
        <f>IF(R544=0,0,COUNTIFS('RECEBIMENTOS'!$R$6:$R$1005,A544,'RECEBIMENTOS'!$Q$6:$Q$1005,1))</f>
        <v>0</v>
      </c>
      <c r="AB544" s="96">
        <f>IF(R544=0,0,COUNTIFS('RECEBIMENTOS'!$R$6:$R$1005,A544,'RECEBIMENTOS'!$Z$6:$Z$1005,1))</f>
        <v>0</v>
      </c>
      <c r="AC544" s="96">
        <f>IF(R544=0,0,COUNTIFS('RECEBIMENTOS'!$R$6:$R$1005,A544,'RECEBIMENTOS'!$Y$6:$Y$1005,1))</f>
        <v>0</v>
      </c>
      <c r="AD544" s="96">
        <f>IF(R544=0,0,COUNTIFS('VÍNCULOS_CDF'!$R$6:$R$1005,A544,'VÍNCULOS_CDF'!$N$6:$N$1005,1))</f>
        <v>0</v>
      </c>
      <c r="AE544" s="96">
        <f>IF(R544=0,0,COUNTIFS('VÍNCULOS_CDF'!$R$6:$R$1005,A544,'VÍNCULOS_CDF'!$AA$6:$AA$1005,1))</f>
        <v>0</v>
      </c>
      <c r="AF544" s="96">
        <f>IF(R544=0,0,COUNTIFS('VÍNCULOS_CDF'!$R$6:$R$1005,A544,'VÍNCULOS_CDF'!$Y$6:$Y$1005,1))</f>
        <v>0</v>
      </c>
      <c r="AG544" s="96" t="str">
        <f>IF(AND(R544=1,S544&lt;&gt;"",C544&lt;&gt;""),S544&amp;"|"&amp;C544&amp;"|"&amp;G544&amp;"|"&amp;H544,"")</f>
        <v/>
      </c>
      <c r="AH544" s="96">
        <f>IF(AG544="",0,IF(SUMPRODUCT(--($AG$6:$AG$1005=AG544))&gt;1,1,0))</f>
        <v>0</v>
      </c>
      <c r="AI544" s="96">
        <f>IF(R544=0,0,IF(OR(U544=0,V544=0,Y544=0,AND(AH544=1,K544&lt;&gt;"Sim")),1,0))</f>
        <v>0</v>
      </c>
      <c r="AJ544" s="96">
        <f>IF(AND(R544=1,AA544&gt;0,AB544=AA544),1,0)</f>
        <v>0</v>
      </c>
      <c r="AK544" s="96">
        <f>IF(R544=0,0,IF(AA544&gt;0,N(L544),IF(ISNUMBER(I544),I544,0)))</f>
        <v>0</v>
      </c>
      <c r="AL544" s="96">
        <f>IF(R544=0,0,IF(AND(K544&lt;&gt;"Sim",N(M544)&gt;AK544+cfg_tol),1,0))</f>
        <v>0</v>
      </c>
      <c r="AM544" s="96">
        <f>IF(R544=0,0,IF(K544="Sim",0,IF(OR(AND(AA544&gt;0,ISNUMBER(I544),ABS(I544-N(L544))&gt;cfg_tol),AL544=1),1,0)))</f>
        <v>0</v>
      </c>
      <c r="AN544" s="96">
        <f>IF(AND(R544=1,N(M544)&gt;0,OR(N(M544)&gt;=AK544-cfg_tol,K544="Sim")),1,0)</f>
        <v>0</v>
      </c>
      <c r="AO544" s="96">
        <f>IF(AND(AN544=1,AD544&gt;0,AE544=AD544,AL544=0),1,0)</f>
        <v>0</v>
      </c>
      <c r="AP544" s="96">
        <f>IF(U544=0,0,IF(AND(INDEX('MTRs'!$AX$6:$AX$505,T544)=1,Z544=0,OR(f_res="",f_res="(Todos)",C544=f_res)),1,0))</f>
        <v>0</v>
      </c>
      <c r="AQ544" s="97" t="str">
        <f>IF(U544=0,"",INDEX('MTRs'!$AZ$6:$AZ$505,T544))</f>
        <v/>
      </c>
      <c r="AR544" s="96">
        <f>IF(U544=0,0,IF(AND(INDEX('MTRs'!$BA$6:$BA$505,T544)=1,Z544=0),1,0))</f>
        <v>0</v>
      </c>
      <c r="AS544" s="96" t="str">
        <f>IF(R544=1,A544&amp;" | MTR "&amp;IF(U544=1,INDEX('MTRs'!$B$6:$B$505,T544)&amp;"","?")&amp;" | "&amp;IF(C544="","(sem resíduo)",C544),"")</f>
        <v/>
      </c>
      <c r="AT544" s="96" t="str">
        <f>IF(R544=1,COUNTIF($R$6:R544,1),"")</f>
        <v/>
      </c>
      <c r="AU544" s="96" t="str">
        <f>IF(U544=1,INDEX('MTRs'!$I$6:$I$505,T544)&amp;"","")</f>
        <v/>
      </c>
    </row>
    <row r="545">
      <c r="A545" s="89" t="inlineStr">
        <is>
          <t>IT-000540</t>
        </is>
      </c>
      <c r="B545" s="91" t="n"/>
      <c r="C545" s="91" t="n"/>
      <c r="D545" s="94" t="str">
        <f>IF(OR(R545=0,V545=0),"",INDEX('CAD_RESÍDUOS'!$E$6:$E$205,MATCH(C545,'CAD_RESÍDUOS'!$B$6:$B$205,0))&amp;"")</f>
        <v/>
      </c>
      <c r="E545" s="94" t="str">
        <f>IF(OR(R545=0,V545=0),"",INDEX('CAD_RESÍDUOS'!$C$6:$C$205,MATCH(C545,'CAD_RESÍDUOS'!$B$6:$B$205,0))&amp;"")</f>
        <v/>
      </c>
      <c r="F545" s="94" t="str">
        <f>IF(OR(R545=0,V545=0),"",INDEX('CAD_RESÍDUOS'!$G$6:$G$205,MATCH(C545,'CAD_RESÍDUOS'!$B$6:$B$205,0))&amp;"")</f>
        <v/>
      </c>
      <c r="G545" s="98" t="n"/>
      <c r="H545" s="91" t="n"/>
      <c r="I545" s="93" t="str">
        <f>IF(R545=0,"",IF(NOT(ISNUMBER(G545)),"",IF(ISNUMBER(X545),G545*X545,"UNIDADE A CONFERIR")))</f>
        <v/>
      </c>
      <c r="J545" s="91" t="n"/>
      <c r="K545" s="91" t="n"/>
      <c r="L545" s="93" t="str">
        <f>IF(R545=0,"",SUMIFS('RECEBIMENTOS'!$H$6:$H$1005,'RECEBIMENTOS'!$R$6:$R$1005,A545,'RECEBIMENTOS'!$X$6:$X$1005,1))</f>
        <v/>
      </c>
      <c r="M545" s="93" t="str">
        <f>IF(R545=0,"",SUMIFS('VÍNCULOS_CDF'!$H$6:$H$1005,'VÍNCULOS_CDF'!$R$6:$R$1005,A545,'VÍNCULOS_CDF'!$V$6:$V$1005,1))</f>
        <v/>
      </c>
      <c r="N545" s="99" t="str">
        <f>IF(OR(R545=0,AA545=0,NOT(ISNUMBER(I545))),"",I545-N(L545))</f>
        <v/>
      </c>
      <c r="O545" s="100" t="str">
        <f>IF(OR(R545=0,AK545&lt;=0),"",N(M545)/AK545)</f>
        <v/>
      </c>
      <c r="P545" s="94" t="str">
        <f>IF(R545=0,"",IF(S545="","Sem MTR associado",IF(U545=0,"MTR inexistente",IF(C545="","Resíduo não identificado",IF(V545=0,"Resíduo fora do cadastro",IF(W545=0,"Quantidade inválida",IF(H545="","Unidade não informada",IF(NOT(ISNUMBER(I545)),"Unidade a conferir",IF(AND(AH545=1,K545&lt;&gt;"Sim"),"Possível duplicidade",IF(Z545=1,"MTR cancelado",IF(AC545&gt;0,"Recebimento com alerta",IF(AA545=0,"Aguardando recebimento",IF(AB545&lt;AA545,"Recebimento a conferir",IF(AM545=1,"Quantidade a revisar",IF(AF545&gt;0,"Vínculo a revisar",IF(AD545=0,"Aguardando CDF",IF(AN545=0,"Vínculo de CDF parcial",IF(AE545&lt;AD545,"CDF a conferir","Documentação conferida"))))))))))))))))))</f>
        <v/>
      </c>
      <c r="Q545" s="93" t="str">
        <f>IF(OR(R545=0,AA545=0),"",MAX(0,N(L545)-N(M545)))</f>
        <v/>
      </c>
      <c r="R545" s="96">
        <f>IF(COUNTA(B545:C545,G545:H545,J545:K545)&gt;0,1,0)</f>
        <v>0</v>
      </c>
      <c r="S545" s="96" t="str">
        <f>IF(B545="","",TRIM(LEFT(B545,FIND(" |",B545&amp;" |")-1)))</f>
        <v/>
      </c>
      <c r="T545" s="96" t="str">
        <f>IF(S545="","",IFERROR(MATCH(S545,'MTRs'!$A$6:$A$505,0),""))</f>
        <v/>
      </c>
      <c r="U545" s="96">
        <f>IF(T545="",0,IF(INDEX('MTRs'!$Z$6:$Z$505,T545)=1,1,0))</f>
        <v>0</v>
      </c>
      <c r="V545" s="96">
        <f>IF(C545="",0,IF(ISNUMBER(MATCH(C545,'CAD_RESÍDUOS'!$B$6:$B$205,0)),1,0))</f>
        <v>0</v>
      </c>
      <c r="W545" s="96">
        <f>IF(AND(ISNUMBER(G545),G545&gt;0),1,0)</f>
        <v>0</v>
      </c>
      <c r="X545" s="96" t="str">
        <f>IF(H545="","",IFERROR(IF(ISNUMBER(INDEX(cfg_fac,MATCH(H545,cfg_units,0))),IF(INDEX(cfg_fac,MATCH(H545,cfg_units,0))&gt;0,INDEX(cfg_fac,MATCH(H545,cfg_units,0)),""),""),""))</f>
        <v/>
      </c>
      <c r="Y545" s="96">
        <f>IF(AND(W545=1,ISNUMBER(I545)),1,0)</f>
        <v>0</v>
      </c>
      <c r="Z545" s="96">
        <f>IF(U545=1,INDEX('MTRs'!$AA$6:$AA$505,T545),0)</f>
        <v>0</v>
      </c>
      <c r="AA545" s="96">
        <f>IF(R545=0,0,COUNTIFS('RECEBIMENTOS'!$R$6:$R$1005,A545,'RECEBIMENTOS'!$Q$6:$Q$1005,1))</f>
        <v>0</v>
      </c>
      <c r="AB545" s="96">
        <f>IF(R545=0,0,COUNTIFS('RECEBIMENTOS'!$R$6:$R$1005,A545,'RECEBIMENTOS'!$Z$6:$Z$1005,1))</f>
        <v>0</v>
      </c>
      <c r="AC545" s="96">
        <f>IF(R545=0,0,COUNTIFS('RECEBIMENTOS'!$R$6:$R$1005,A545,'RECEBIMENTOS'!$Y$6:$Y$1005,1))</f>
        <v>0</v>
      </c>
      <c r="AD545" s="96">
        <f>IF(R545=0,0,COUNTIFS('VÍNCULOS_CDF'!$R$6:$R$1005,A545,'VÍNCULOS_CDF'!$N$6:$N$1005,1))</f>
        <v>0</v>
      </c>
      <c r="AE545" s="96">
        <f>IF(R545=0,0,COUNTIFS('VÍNCULOS_CDF'!$R$6:$R$1005,A545,'VÍNCULOS_CDF'!$AA$6:$AA$1005,1))</f>
        <v>0</v>
      </c>
      <c r="AF545" s="96">
        <f>IF(R545=0,0,COUNTIFS('VÍNCULOS_CDF'!$R$6:$R$1005,A545,'VÍNCULOS_CDF'!$Y$6:$Y$1005,1))</f>
        <v>0</v>
      </c>
      <c r="AG545" s="96" t="str">
        <f>IF(AND(R545=1,S545&lt;&gt;"",C545&lt;&gt;""),S545&amp;"|"&amp;C545&amp;"|"&amp;G545&amp;"|"&amp;H545,"")</f>
        <v/>
      </c>
      <c r="AH545" s="96">
        <f>IF(AG545="",0,IF(SUMPRODUCT(--($AG$6:$AG$1005=AG545))&gt;1,1,0))</f>
        <v>0</v>
      </c>
      <c r="AI545" s="96">
        <f>IF(R545=0,0,IF(OR(U545=0,V545=0,Y545=0,AND(AH545=1,K545&lt;&gt;"Sim")),1,0))</f>
        <v>0</v>
      </c>
      <c r="AJ545" s="96">
        <f>IF(AND(R545=1,AA545&gt;0,AB545=AA545),1,0)</f>
        <v>0</v>
      </c>
      <c r="AK545" s="96">
        <f>IF(R545=0,0,IF(AA545&gt;0,N(L545),IF(ISNUMBER(I545),I545,0)))</f>
        <v>0</v>
      </c>
      <c r="AL545" s="96">
        <f>IF(R545=0,0,IF(AND(K545&lt;&gt;"Sim",N(M545)&gt;AK545+cfg_tol),1,0))</f>
        <v>0</v>
      </c>
      <c r="AM545" s="96">
        <f>IF(R545=0,0,IF(K545="Sim",0,IF(OR(AND(AA545&gt;0,ISNUMBER(I545),ABS(I545-N(L545))&gt;cfg_tol),AL545=1),1,0)))</f>
        <v>0</v>
      </c>
      <c r="AN545" s="96">
        <f>IF(AND(R545=1,N(M545)&gt;0,OR(N(M545)&gt;=AK545-cfg_tol,K545="Sim")),1,0)</f>
        <v>0</v>
      </c>
      <c r="AO545" s="96">
        <f>IF(AND(AN545=1,AD545&gt;0,AE545=AD545,AL545=0),1,0)</f>
        <v>0</v>
      </c>
      <c r="AP545" s="96">
        <f>IF(U545=0,0,IF(AND(INDEX('MTRs'!$AX$6:$AX$505,T545)=1,Z545=0,OR(f_res="",f_res="(Todos)",C545=f_res)),1,0))</f>
        <v>0</v>
      </c>
      <c r="AQ545" s="97" t="str">
        <f>IF(U545=0,"",INDEX('MTRs'!$AZ$6:$AZ$505,T545))</f>
        <v/>
      </c>
      <c r="AR545" s="96">
        <f>IF(U545=0,0,IF(AND(INDEX('MTRs'!$BA$6:$BA$505,T545)=1,Z545=0),1,0))</f>
        <v>0</v>
      </c>
      <c r="AS545" s="96" t="str">
        <f>IF(R545=1,A545&amp;" | MTR "&amp;IF(U545=1,INDEX('MTRs'!$B$6:$B$505,T545)&amp;"","?")&amp;" | "&amp;IF(C545="","(sem resíduo)",C545),"")</f>
        <v/>
      </c>
      <c r="AT545" s="96" t="str">
        <f>IF(R545=1,COUNTIF($R$6:R545,1),"")</f>
        <v/>
      </c>
      <c r="AU545" s="96" t="str">
        <f>IF(U545=1,INDEX('MTRs'!$I$6:$I$505,T545)&amp;"","")</f>
        <v/>
      </c>
    </row>
    <row r="546">
      <c r="A546" s="89" t="inlineStr">
        <is>
          <t>IT-000541</t>
        </is>
      </c>
      <c r="B546" s="91" t="n"/>
      <c r="C546" s="91" t="n"/>
      <c r="D546" s="94" t="str">
        <f>IF(OR(R546=0,V546=0),"",INDEX('CAD_RESÍDUOS'!$E$6:$E$205,MATCH(C546,'CAD_RESÍDUOS'!$B$6:$B$205,0))&amp;"")</f>
        <v/>
      </c>
      <c r="E546" s="94" t="str">
        <f>IF(OR(R546=0,V546=0),"",INDEX('CAD_RESÍDUOS'!$C$6:$C$205,MATCH(C546,'CAD_RESÍDUOS'!$B$6:$B$205,0))&amp;"")</f>
        <v/>
      </c>
      <c r="F546" s="94" t="str">
        <f>IF(OR(R546=0,V546=0),"",INDEX('CAD_RESÍDUOS'!$G$6:$G$205,MATCH(C546,'CAD_RESÍDUOS'!$B$6:$B$205,0))&amp;"")</f>
        <v/>
      </c>
      <c r="G546" s="98" t="n"/>
      <c r="H546" s="91" t="n"/>
      <c r="I546" s="93" t="str">
        <f>IF(R546=0,"",IF(NOT(ISNUMBER(G546)),"",IF(ISNUMBER(X546),G546*X546,"UNIDADE A CONFERIR")))</f>
        <v/>
      </c>
      <c r="J546" s="91" t="n"/>
      <c r="K546" s="91" t="n"/>
      <c r="L546" s="93" t="str">
        <f>IF(R546=0,"",SUMIFS('RECEBIMENTOS'!$H$6:$H$1005,'RECEBIMENTOS'!$R$6:$R$1005,A546,'RECEBIMENTOS'!$X$6:$X$1005,1))</f>
        <v/>
      </c>
      <c r="M546" s="93" t="str">
        <f>IF(R546=0,"",SUMIFS('VÍNCULOS_CDF'!$H$6:$H$1005,'VÍNCULOS_CDF'!$R$6:$R$1005,A546,'VÍNCULOS_CDF'!$V$6:$V$1005,1))</f>
        <v/>
      </c>
      <c r="N546" s="99" t="str">
        <f>IF(OR(R546=0,AA546=0,NOT(ISNUMBER(I546))),"",I546-N(L546))</f>
        <v/>
      </c>
      <c r="O546" s="100" t="str">
        <f>IF(OR(R546=0,AK546&lt;=0),"",N(M546)/AK546)</f>
        <v/>
      </c>
      <c r="P546" s="94" t="str">
        <f>IF(R546=0,"",IF(S546="","Sem MTR associado",IF(U546=0,"MTR inexistente",IF(C546="","Resíduo não identificado",IF(V546=0,"Resíduo fora do cadastro",IF(W546=0,"Quantidade inválida",IF(H546="","Unidade não informada",IF(NOT(ISNUMBER(I546)),"Unidade a conferir",IF(AND(AH546=1,K546&lt;&gt;"Sim"),"Possível duplicidade",IF(Z546=1,"MTR cancelado",IF(AC546&gt;0,"Recebimento com alerta",IF(AA546=0,"Aguardando recebimento",IF(AB546&lt;AA546,"Recebimento a conferir",IF(AM546=1,"Quantidade a revisar",IF(AF546&gt;0,"Vínculo a revisar",IF(AD546=0,"Aguardando CDF",IF(AN546=0,"Vínculo de CDF parcial",IF(AE546&lt;AD546,"CDF a conferir","Documentação conferida"))))))))))))))))))</f>
        <v/>
      </c>
      <c r="Q546" s="93" t="str">
        <f>IF(OR(R546=0,AA546=0),"",MAX(0,N(L546)-N(M546)))</f>
        <v/>
      </c>
      <c r="R546" s="96">
        <f>IF(COUNTA(B546:C546,G546:H546,J546:K546)&gt;0,1,0)</f>
        <v>0</v>
      </c>
      <c r="S546" s="96" t="str">
        <f>IF(B546="","",TRIM(LEFT(B546,FIND(" |",B546&amp;" |")-1)))</f>
        <v/>
      </c>
      <c r="T546" s="96" t="str">
        <f>IF(S546="","",IFERROR(MATCH(S546,'MTRs'!$A$6:$A$505,0),""))</f>
        <v/>
      </c>
      <c r="U546" s="96">
        <f>IF(T546="",0,IF(INDEX('MTRs'!$Z$6:$Z$505,T546)=1,1,0))</f>
        <v>0</v>
      </c>
      <c r="V546" s="96">
        <f>IF(C546="",0,IF(ISNUMBER(MATCH(C546,'CAD_RESÍDUOS'!$B$6:$B$205,0)),1,0))</f>
        <v>0</v>
      </c>
      <c r="W546" s="96">
        <f>IF(AND(ISNUMBER(G546),G546&gt;0),1,0)</f>
        <v>0</v>
      </c>
      <c r="X546" s="96" t="str">
        <f>IF(H546="","",IFERROR(IF(ISNUMBER(INDEX(cfg_fac,MATCH(H546,cfg_units,0))),IF(INDEX(cfg_fac,MATCH(H546,cfg_units,0))&gt;0,INDEX(cfg_fac,MATCH(H546,cfg_units,0)),""),""),""))</f>
        <v/>
      </c>
      <c r="Y546" s="96">
        <f>IF(AND(W546=1,ISNUMBER(I546)),1,0)</f>
        <v>0</v>
      </c>
      <c r="Z546" s="96">
        <f>IF(U546=1,INDEX('MTRs'!$AA$6:$AA$505,T546),0)</f>
        <v>0</v>
      </c>
      <c r="AA546" s="96">
        <f>IF(R546=0,0,COUNTIFS('RECEBIMENTOS'!$R$6:$R$1005,A546,'RECEBIMENTOS'!$Q$6:$Q$1005,1))</f>
        <v>0</v>
      </c>
      <c r="AB546" s="96">
        <f>IF(R546=0,0,COUNTIFS('RECEBIMENTOS'!$R$6:$R$1005,A546,'RECEBIMENTOS'!$Z$6:$Z$1005,1))</f>
        <v>0</v>
      </c>
      <c r="AC546" s="96">
        <f>IF(R546=0,0,COUNTIFS('RECEBIMENTOS'!$R$6:$R$1005,A546,'RECEBIMENTOS'!$Y$6:$Y$1005,1))</f>
        <v>0</v>
      </c>
      <c r="AD546" s="96">
        <f>IF(R546=0,0,COUNTIFS('VÍNCULOS_CDF'!$R$6:$R$1005,A546,'VÍNCULOS_CDF'!$N$6:$N$1005,1))</f>
        <v>0</v>
      </c>
      <c r="AE546" s="96">
        <f>IF(R546=0,0,COUNTIFS('VÍNCULOS_CDF'!$R$6:$R$1005,A546,'VÍNCULOS_CDF'!$AA$6:$AA$1005,1))</f>
        <v>0</v>
      </c>
      <c r="AF546" s="96">
        <f>IF(R546=0,0,COUNTIFS('VÍNCULOS_CDF'!$R$6:$R$1005,A546,'VÍNCULOS_CDF'!$Y$6:$Y$1005,1))</f>
        <v>0</v>
      </c>
      <c r="AG546" s="96" t="str">
        <f>IF(AND(R546=1,S546&lt;&gt;"",C546&lt;&gt;""),S546&amp;"|"&amp;C546&amp;"|"&amp;G546&amp;"|"&amp;H546,"")</f>
        <v/>
      </c>
      <c r="AH546" s="96">
        <f>IF(AG546="",0,IF(SUMPRODUCT(--($AG$6:$AG$1005=AG546))&gt;1,1,0))</f>
        <v>0</v>
      </c>
      <c r="AI546" s="96">
        <f>IF(R546=0,0,IF(OR(U546=0,V546=0,Y546=0,AND(AH546=1,K546&lt;&gt;"Sim")),1,0))</f>
        <v>0</v>
      </c>
      <c r="AJ546" s="96">
        <f>IF(AND(R546=1,AA546&gt;0,AB546=AA546),1,0)</f>
        <v>0</v>
      </c>
      <c r="AK546" s="96">
        <f>IF(R546=0,0,IF(AA546&gt;0,N(L546),IF(ISNUMBER(I546),I546,0)))</f>
        <v>0</v>
      </c>
      <c r="AL546" s="96">
        <f>IF(R546=0,0,IF(AND(K546&lt;&gt;"Sim",N(M546)&gt;AK546+cfg_tol),1,0))</f>
        <v>0</v>
      </c>
      <c r="AM546" s="96">
        <f>IF(R546=0,0,IF(K546="Sim",0,IF(OR(AND(AA546&gt;0,ISNUMBER(I546),ABS(I546-N(L546))&gt;cfg_tol),AL546=1),1,0)))</f>
        <v>0</v>
      </c>
      <c r="AN546" s="96">
        <f>IF(AND(R546=1,N(M546)&gt;0,OR(N(M546)&gt;=AK546-cfg_tol,K546="Sim")),1,0)</f>
        <v>0</v>
      </c>
      <c r="AO546" s="96">
        <f>IF(AND(AN546=1,AD546&gt;0,AE546=AD546,AL546=0),1,0)</f>
        <v>0</v>
      </c>
      <c r="AP546" s="96">
        <f>IF(U546=0,0,IF(AND(INDEX('MTRs'!$AX$6:$AX$505,T546)=1,Z546=0,OR(f_res="",f_res="(Todos)",C546=f_res)),1,0))</f>
        <v>0</v>
      </c>
      <c r="AQ546" s="97" t="str">
        <f>IF(U546=0,"",INDEX('MTRs'!$AZ$6:$AZ$505,T546))</f>
        <v/>
      </c>
      <c r="AR546" s="96">
        <f>IF(U546=0,0,IF(AND(INDEX('MTRs'!$BA$6:$BA$505,T546)=1,Z546=0),1,0))</f>
        <v>0</v>
      </c>
      <c r="AS546" s="96" t="str">
        <f>IF(R546=1,A546&amp;" | MTR "&amp;IF(U546=1,INDEX('MTRs'!$B$6:$B$505,T546)&amp;"","?")&amp;" | "&amp;IF(C546="","(sem resíduo)",C546),"")</f>
        <v/>
      </c>
      <c r="AT546" s="96" t="str">
        <f>IF(R546=1,COUNTIF($R$6:R546,1),"")</f>
        <v/>
      </c>
      <c r="AU546" s="96" t="str">
        <f>IF(U546=1,INDEX('MTRs'!$I$6:$I$505,T546)&amp;"","")</f>
        <v/>
      </c>
    </row>
    <row r="547">
      <c r="A547" s="89" t="inlineStr">
        <is>
          <t>IT-000542</t>
        </is>
      </c>
      <c r="B547" s="91" t="n"/>
      <c r="C547" s="91" t="n"/>
      <c r="D547" s="94" t="str">
        <f>IF(OR(R547=0,V547=0),"",INDEX('CAD_RESÍDUOS'!$E$6:$E$205,MATCH(C547,'CAD_RESÍDUOS'!$B$6:$B$205,0))&amp;"")</f>
        <v/>
      </c>
      <c r="E547" s="94" t="str">
        <f>IF(OR(R547=0,V547=0),"",INDEX('CAD_RESÍDUOS'!$C$6:$C$205,MATCH(C547,'CAD_RESÍDUOS'!$B$6:$B$205,0))&amp;"")</f>
        <v/>
      </c>
      <c r="F547" s="94" t="str">
        <f>IF(OR(R547=0,V547=0),"",INDEX('CAD_RESÍDUOS'!$G$6:$G$205,MATCH(C547,'CAD_RESÍDUOS'!$B$6:$B$205,0))&amp;"")</f>
        <v/>
      </c>
      <c r="G547" s="98" t="n"/>
      <c r="H547" s="91" t="n"/>
      <c r="I547" s="93" t="str">
        <f>IF(R547=0,"",IF(NOT(ISNUMBER(G547)),"",IF(ISNUMBER(X547),G547*X547,"UNIDADE A CONFERIR")))</f>
        <v/>
      </c>
      <c r="J547" s="91" t="n"/>
      <c r="K547" s="91" t="n"/>
      <c r="L547" s="93" t="str">
        <f>IF(R547=0,"",SUMIFS('RECEBIMENTOS'!$H$6:$H$1005,'RECEBIMENTOS'!$R$6:$R$1005,A547,'RECEBIMENTOS'!$X$6:$X$1005,1))</f>
        <v/>
      </c>
      <c r="M547" s="93" t="str">
        <f>IF(R547=0,"",SUMIFS('VÍNCULOS_CDF'!$H$6:$H$1005,'VÍNCULOS_CDF'!$R$6:$R$1005,A547,'VÍNCULOS_CDF'!$V$6:$V$1005,1))</f>
        <v/>
      </c>
      <c r="N547" s="99" t="str">
        <f>IF(OR(R547=0,AA547=0,NOT(ISNUMBER(I547))),"",I547-N(L547))</f>
        <v/>
      </c>
      <c r="O547" s="100" t="str">
        <f>IF(OR(R547=0,AK547&lt;=0),"",N(M547)/AK547)</f>
        <v/>
      </c>
      <c r="P547" s="94" t="str">
        <f>IF(R547=0,"",IF(S547="","Sem MTR associado",IF(U547=0,"MTR inexistente",IF(C547="","Resíduo não identificado",IF(V547=0,"Resíduo fora do cadastro",IF(W547=0,"Quantidade inválida",IF(H547="","Unidade não informada",IF(NOT(ISNUMBER(I547)),"Unidade a conferir",IF(AND(AH547=1,K547&lt;&gt;"Sim"),"Possível duplicidade",IF(Z547=1,"MTR cancelado",IF(AC547&gt;0,"Recebimento com alerta",IF(AA547=0,"Aguardando recebimento",IF(AB547&lt;AA547,"Recebimento a conferir",IF(AM547=1,"Quantidade a revisar",IF(AF547&gt;0,"Vínculo a revisar",IF(AD547=0,"Aguardando CDF",IF(AN547=0,"Vínculo de CDF parcial",IF(AE547&lt;AD547,"CDF a conferir","Documentação conferida"))))))))))))))))))</f>
        <v/>
      </c>
      <c r="Q547" s="93" t="str">
        <f>IF(OR(R547=0,AA547=0),"",MAX(0,N(L547)-N(M547)))</f>
        <v/>
      </c>
      <c r="R547" s="96">
        <f>IF(COUNTA(B547:C547,G547:H547,J547:K547)&gt;0,1,0)</f>
        <v>0</v>
      </c>
      <c r="S547" s="96" t="str">
        <f>IF(B547="","",TRIM(LEFT(B547,FIND(" |",B547&amp;" |")-1)))</f>
        <v/>
      </c>
      <c r="T547" s="96" t="str">
        <f>IF(S547="","",IFERROR(MATCH(S547,'MTRs'!$A$6:$A$505,0),""))</f>
        <v/>
      </c>
      <c r="U547" s="96">
        <f>IF(T547="",0,IF(INDEX('MTRs'!$Z$6:$Z$505,T547)=1,1,0))</f>
        <v>0</v>
      </c>
      <c r="V547" s="96">
        <f>IF(C547="",0,IF(ISNUMBER(MATCH(C547,'CAD_RESÍDUOS'!$B$6:$B$205,0)),1,0))</f>
        <v>0</v>
      </c>
      <c r="W547" s="96">
        <f>IF(AND(ISNUMBER(G547),G547&gt;0),1,0)</f>
        <v>0</v>
      </c>
      <c r="X547" s="96" t="str">
        <f>IF(H547="","",IFERROR(IF(ISNUMBER(INDEX(cfg_fac,MATCH(H547,cfg_units,0))),IF(INDEX(cfg_fac,MATCH(H547,cfg_units,0))&gt;0,INDEX(cfg_fac,MATCH(H547,cfg_units,0)),""),""),""))</f>
        <v/>
      </c>
      <c r="Y547" s="96">
        <f>IF(AND(W547=1,ISNUMBER(I547)),1,0)</f>
        <v>0</v>
      </c>
      <c r="Z547" s="96">
        <f>IF(U547=1,INDEX('MTRs'!$AA$6:$AA$505,T547),0)</f>
        <v>0</v>
      </c>
      <c r="AA547" s="96">
        <f>IF(R547=0,0,COUNTIFS('RECEBIMENTOS'!$R$6:$R$1005,A547,'RECEBIMENTOS'!$Q$6:$Q$1005,1))</f>
        <v>0</v>
      </c>
      <c r="AB547" s="96">
        <f>IF(R547=0,0,COUNTIFS('RECEBIMENTOS'!$R$6:$R$1005,A547,'RECEBIMENTOS'!$Z$6:$Z$1005,1))</f>
        <v>0</v>
      </c>
      <c r="AC547" s="96">
        <f>IF(R547=0,0,COUNTIFS('RECEBIMENTOS'!$R$6:$R$1005,A547,'RECEBIMENTOS'!$Y$6:$Y$1005,1))</f>
        <v>0</v>
      </c>
      <c r="AD547" s="96">
        <f>IF(R547=0,0,COUNTIFS('VÍNCULOS_CDF'!$R$6:$R$1005,A547,'VÍNCULOS_CDF'!$N$6:$N$1005,1))</f>
        <v>0</v>
      </c>
      <c r="AE547" s="96">
        <f>IF(R547=0,0,COUNTIFS('VÍNCULOS_CDF'!$R$6:$R$1005,A547,'VÍNCULOS_CDF'!$AA$6:$AA$1005,1))</f>
        <v>0</v>
      </c>
      <c r="AF547" s="96">
        <f>IF(R547=0,0,COUNTIFS('VÍNCULOS_CDF'!$R$6:$R$1005,A547,'VÍNCULOS_CDF'!$Y$6:$Y$1005,1))</f>
        <v>0</v>
      </c>
      <c r="AG547" s="96" t="str">
        <f>IF(AND(R547=1,S547&lt;&gt;"",C547&lt;&gt;""),S547&amp;"|"&amp;C547&amp;"|"&amp;G547&amp;"|"&amp;H547,"")</f>
        <v/>
      </c>
      <c r="AH547" s="96">
        <f>IF(AG547="",0,IF(SUMPRODUCT(--($AG$6:$AG$1005=AG547))&gt;1,1,0))</f>
        <v>0</v>
      </c>
      <c r="AI547" s="96">
        <f>IF(R547=0,0,IF(OR(U547=0,V547=0,Y547=0,AND(AH547=1,K547&lt;&gt;"Sim")),1,0))</f>
        <v>0</v>
      </c>
      <c r="AJ547" s="96">
        <f>IF(AND(R547=1,AA547&gt;0,AB547=AA547),1,0)</f>
        <v>0</v>
      </c>
      <c r="AK547" s="96">
        <f>IF(R547=0,0,IF(AA547&gt;0,N(L547),IF(ISNUMBER(I547),I547,0)))</f>
        <v>0</v>
      </c>
      <c r="AL547" s="96">
        <f>IF(R547=0,0,IF(AND(K547&lt;&gt;"Sim",N(M547)&gt;AK547+cfg_tol),1,0))</f>
        <v>0</v>
      </c>
      <c r="AM547" s="96">
        <f>IF(R547=0,0,IF(K547="Sim",0,IF(OR(AND(AA547&gt;0,ISNUMBER(I547),ABS(I547-N(L547))&gt;cfg_tol),AL547=1),1,0)))</f>
        <v>0</v>
      </c>
      <c r="AN547" s="96">
        <f>IF(AND(R547=1,N(M547)&gt;0,OR(N(M547)&gt;=AK547-cfg_tol,K547="Sim")),1,0)</f>
        <v>0</v>
      </c>
      <c r="AO547" s="96">
        <f>IF(AND(AN547=1,AD547&gt;0,AE547=AD547,AL547=0),1,0)</f>
        <v>0</v>
      </c>
      <c r="AP547" s="96">
        <f>IF(U547=0,0,IF(AND(INDEX('MTRs'!$AX$6:$AX$505,T547)=1,Z547=0,OR(f_res="",f_res="(Todos)",C547=f_res)),1,0))</f>
        <v>0</v>
      </c>
      <c r="AQ547" s="97" t="str">
        <f>IF(U547=0,"",INDEX('MTRs'!$AZ$6:$AZ$505,T547))</f>
        <v/>
      </c>
      <c r="AR547" s="96">
        <f>IF(U547=0,0,IF(AND(INDEX('MTRs'!$BA$6:$BA$505,T547)=1,Z547=0),1,0))</f>
        <v>0</v>
      </c>
      <c r="AS547" s="96" t="str">
        <f>IF(R547=1,A547&amp;" | MTR "&amp;IF(U547=1,INDEX('MTRs'!$B$6:$B$505,T547)&amp;"","?")&amp;" | "&amp;IF(C547="","(sem resíduo)",C547),"")</f>
        <v/>
      </c>
      <c r="AT547" s="96" t="str">
        <f>IF(R547=1,COUNTIF($R$6:R547,1),"")</f>
        <v/>
      </c>
      <c r="AU547" s="96" t="str">
        <f>IF(U547=1,INDEX('MTRs'!$I$6:$I$505,T547)&amp;"","")</f>
        <v/>
      </c>
    </row>
    <row r="548">
      <c r="A548" s="89" t="inlineStr">
        <is>
          <t>IT-000543</t>
        </is>
      </c>
      <c r="B548" s="91" t="n"/>
      <c r="C548" s="91" t="n"/>
      <c r="D548" s="94" t="str">
        <f>IF(OR(R548=0,V548=0),"",INDEX('CAD_RESÍDUOS'!$E$6:$E$205,MATCH(C548,'CAD_RESÍDUOS'!$B$6:$B$205,0))&amp;"")</f>
        <v/>
      </c>
      <c r="E548" s="94" t="str">
        <f>IF(OR(R548=0,V548=0),"",INDEX('CAD_RESÍDUOS'!$C$6:$C$205,MATCH(C548,'CAD_RESÍDUOS'!$B$6:$B$205,0))&amp;"")</f>
        <v/>
      </c>
      <c r="F548" s="94" t="str">
        <f>IF(OR(R548=0,V548=0),"",INDEX('CAD_RESÍDUOS'!$G$6:$G$205,MATCH(C548,'CAD_RESÍDUOS'!$B$6:$B$205,0))&amp;"")</f>
        <v/>
      </c>
      <c r="G548" s="98" t="n"/>
      <c r="H548" s="91" t="n"/>
      <c r="I548" s="93" t="str">
        <f>IF(R548=0,"",IF(NOT(ISNUMBER(G548)),"",IF(ISNUMBER(X548),G548*X548,"UNIDADE A CONFERIR")))</f>
        <v/>
      </c>
      <c r="J548" s="91" t="n"/>
      <c r="K548" s="91" t="n"/>
      <c r="L548" s="93" t="str">
        <f>IF(R548=0,"",SUMIFS('RECEBIMENTOS'!$H$6:$H$1005,'RECEBIMENTOS'!$R$6:$R$1005,A548,'RECEBIMENTOS'!$X$6:$X$1005,1))</f>
        <v/>
      </c>
      <c r="M548" s="93" t="str">
        <f>IF(R548=0,"",SUMIFS('VÍNCULOS_CDF'!$H$6:$H$1005,'VÍNCULOS_CDF'!$R$6:$R$1005,A548,'VÍNCULOS_CDF'!$V$6:$V$1005,1))</f>
        <v/>
      </c>
      <c r="N548" s="99" t="str">
        <f>IF(OR(R548=0,AA548=0,NOT(ISNUMBER(I548))),"",I548-N(L548))</f>
        <v/>
      </c>
      <c r="O548" s="100" t="str">
        <f>IF(OR(R548=0,AK548&lt;=0),"",N(M548)/AK548)</f>
        <v/>
      </c>
      <c r="P548" s="94" t="str">
        <f>IF(R548=0,"",IF(S548="","Sem MTR associado",IF(U548=0,"MTR inexistente",IF(C548="","Resíduo não identificado",IF(V548=0,"Resíduo fora do cadastro",IF(W548=0,"Quantidade inválida",IF(H548="","Unidade não informada",IF(NOT(ISNUMBER(I548)),"Unidade a conferir",IF(AND(AH548=1,K548&lt;&gt;"Sim"),"Possível duplicidade",IF(Z548=1,"MTR cancelado",IF(AC548&gt;0,"Recebimento com alerta",IF(AA548=0,"Aguardando recebimento",IF(AB548&lt;AA548,"Recebimento a conferir",IF(AM548=1,"Quantidade a revisar",IF(AF548&gt;0,"Vínculo a revisar",IF(AD548=0,"Aguardando CDF",IF(AN548=0,"Vínculo de CDF parcial",IF(AE548&lt;AD548,"CDF a conferir","Documentação conferida"))))))))))))))))))</f>
        <v/>
      </c>
      <c r="Q548" s="93" t="str">
        <f>IF(OR(R548=0,AA548=0),"",MAX(0,N(L548)-N(M548)))</f>
        <v/>
      </c>
      <c r="R548" s="96">
        <f>IF(COUNTA(B548:C548,G548:H548,J548:K548)&gt;0,1,0)</f>
        <v>0</v>
      </c>
      <c r="S548" s="96" t="str">
        <f>IF(B548="","",TRIM(LEFT(B548,FIND(" |",B548&amp;" |")-1)))</f>
        <v/>
      </c>
      <c r="T548" s="96" t="str">
        <f>IF(S548="","",IFERROR(MATCH(S548,'MTRs'!$A$6:$A$505,0),""))</f>
        <v/>
      </c>
      <c r="U548" s="96">
        <f>IF(T548="",0,IF(INDEX('MTRs'!$Z$6:$Z$505,T548)=1,1,0))</f>
        <v>0</v>
      </c>
      <c r="V548" s="96">
        <f>IF(C548="",0,IF(ISNUMBER(MATCH(C548,'CAD_RESÍDUOS'!$B$6:$B$205,0)),1,0))</f>
        <v>0</v>
      </c>
      <c r="W548" s="96">
        <f>IF(AND(ISNUMBER(G548),G548&gt;0),1,0)</f>
        <v>0</v>
      </c>
      <c r="X548" s="96" t="str">
        <f>IF(H548="","",IFERROR(IF(ISNUMBER(INDEX(cfg_fac,MATCH(H548,cfg_units,0))),IF(INDEX(cfg_fac,MATCH(H548,cfg_units,0))&gt;0,INDEX(cfg_fac,MATCH(H548,cfg_units,0)),""),""),""))</f>
        <v/>
      </c>
      <c r="Y548" s="96">
        <f>IF(AND(W548=1,ISNUMBER(I548)),1,0)</f>
        <v>0</v>
      </c>
      <c r="Z548" s="96">
        <f>IF(U548=1,INDEX('MTRs'!$AA$6:$AA$505,T548),0)</f>
        <v>0</v>
      </c>
      <c r="AA548" s="96">
        <f>IF(R548=0,0,COUNTIFS('RECEBIMENTOS'!$R$6:$R$1005,A548,'RECEBIMENTOS'!$Q$6:$Q$1005,1))</f>
        <v>0</v>
      </c>
      <c r="AB548" s="96">
        <f>IF(R548=0,0,COUNTIFS('RECEBIMENTOS'!$R$6:$R$1005,A548,'RECEBIMENTOS'!$Z$6:$Z$1005,1))</f>
        <v>0</v>
      </c>
      <c r="AC548" s="96">
        <f>IF(R548=0,0,COUNTIFS('RECEBIMENTOS'!$R$6:$R$1005,A548,'RECEBIMENTOS'!$Y$6:$Y$1005,1))</f>
        <v>0</v>
      </c>
      <c r="AD548" s="96">
        <f>IF(R548=0,0,COUNTIFS('VÍNCULOS_CDF'!$R$6:$R$1005,A548,'VÍNCULOS_CDF'!$N$6:$N$1005,1))</f>
        <v>0</v>
      </c>
      <c r="AE548" s="96">
        <f>IF(R548=0,0,COUNTIFS('VÍNCULOS_CDF'!$R$6:$R$1005,A548,'VÍNCULOS_CDF'!$AA$6:$AA$1005,1))</f>
        <v>0</v>
      </c>
      <c r="AF548" s="96">
        <f>IF(R548=0,0,COUNTIFS('VÍNCULOS_CDF'!$R$6:$R$1005,A548,'VÍNCULOS_CDF'!$Y$6:$Y$1005,1))</f>
        <v>0</v>
      </c>
      <c r="AG548" s="96" t="str">
        <f>IF(AND(R548=1,S548&lt;&gt;"",C548&lt;&gt;""),S548&amp;"|"&amp;C548&amp;"|"&amp;G548&amp;"|"&amp;H548,"")</f>
        <v/>
      </c>
      <c r="AH548" s="96">
        <f>IF(AG548="",0,IF(SUMPRODUCT(--($AG$6:$AG$1005=AG548))&gt;1,1,0))</f>
        <v>0</v>
      </c>
      <c r="AI548" s="96">
        <f>IF(R548=0,0,IF(OR(U548=0,V548=0,Y548=0,AND(AH548=1,K548&lt;&gt;"Sim")),1,0))</f>
        <v>0</v>
      </c>
      <c r="AJ548" s="96">
        <f>IF(AND(R548=1,AA548&gt;0,AB548=AA548),1,0)</f>
        <v>0</v>
      </c>
      <c r="AK548" s="96">
        <f>IF(R548=0,0,IF(AA548&gt;0,N(L548),IF(ISNUMBER(I548),I548,0)))</f>
        <v>0</v>
      </c>
      <c r="AL548" s="96">
        <f>IF(R548=0,0,IF(AND(K548&lt;&gt;"Sim",N(M548)&gt;AK548+cfg_tol),1,0))</f>
        <v>0</v>
      </c>
      <c r="AM548" s="96">
        <f>IF(R548=0,0,IF(K548="Sim",0,IF(OR(AND(AA548&gt;0,ISNUMBER(I548),ABS(I548-N(L548))&gt;cfg_tol),AL548=1),1,0)))</f>
        <v>0</v>
      </c>
      <c r="AN548" s="96">
        <f>IF(AND(R548=1,N(M548)&gt;0,OR(N(M548)&gt;=AK548-cfg_tol,K548="Sim")),1,0)</f>
        <v>0</v>
      </c>
      <c r="AO548" s="96">
        <f>IF(AND(AN548=1,AD548&gt;0,AE548=AD548,AL548=0),1,0)</f>
        <v>0</v>
      </c>
      <c r="AP548" s="96">
        <f>IF(U548=0,0,IF(AND(INDEX('MTRs'!$AX$6:$AX$505,T548)=1,Z548=0,OR(f_res="",f_res="(Todos)",C548=f_res)),1,0))</f>
        <v>0</v>
      </c>
      <c r="AQ548" s="97" t="str">
        <f>IF(U548=0,"",INDEX('MTRs'!$AZ$6:$AZ$505,T548))</f>
        <v/>
      </c>
      <c r="AR548" s="96">
        <f>IF(U548=0,0,IF(AND(INDEX('MTRs'!$BA$6:$BA$505,T548)=1,Z548=0),1,0))</f>
        <v>0</v>
      </c>
      <c r="AS548" s="96" t="str">
        <f>IF(R548=1,A548&amp;" | MTR "&amp;IF(U548=1,INDEX('MTRs'!$B$6:$B$505,T548)&amp;"","?")&amp;" | "&amp;IF(C548="","(sem resíduo)",C548),"")</f>
        <v/>
      </c>
      <c r="AT548" s="96" t="str">
        <f>IF(R548=1,COUNTIF($R$6:R548,1),"")</f>
        <v/>
      </c>
      <c r="AU548" s="96" t="str">
        <f>IF(U548=1,INDEX('MTRs'!$I$6:$I$505,T548)&amp;"","")</f>
        <v/>
      </c>
    </row>
    <row r="549">
      <c r="A549" s="89" t="inlineStr">
        <is>
          <t>IT-000544</t>
        </is>
      </c>
      <c r="B549" s="91" t="n"/>
      <c r="C549" s="91" t="n"/>
      <c r="D549" s="94" t="str">
        <f>IF(OR(R549=0,V549=0),"",INDEX('CAD_RESÍDUOS'!$E$6:$E$205,MATCH(C549,'CAD_RESÍDUOS'!$B$6:$B$205,0))&amp;"")</f>
        <v/>
      </c>
      <c r="E549" s="94" t="str">
        <f>IF(OR(R549=0,V549=0),"",INDEX('CAD_RESÍDUOS'!$C$6:$C$205,MATCH(C549,'CAD_RESÍDUOS'!$B$6:$B$205,0))&amp;"")</f>
        <v/>
      </c>
      <c r="F549" s="94" t="str">
        <f>IF(OR(R549=0,V549=0),"",INDEX('CAD_RESÍDUOS'!$G$6:$G$205,MATCH(C549,'CAD_RESÍDUOS'!$B$6:$B$205,0))&amp;"")</f>
        <v/>
      </c>
      <c r="G549" s="98" t="n"/>
      <c r="H549" s="91" t="n"/>
      <c r="I549" s="93" t="str">
        <f>IF(R549=0,"",IF(NOT(ISNUMBER(G549)),"",IF(ISNUMBER(X549),G549*X549,"UNIDADE A CONFERIR")))</f>
        <v/>
      </c>
      <c r="J549" s="91" t="n"/>
      <c r="K549" s="91" t="n"/>
      <c r="L549" s="93" t="str">
        <f>IF(R549=0,"",SUMIFS('RECEBIMENTOS'!$H$6:$H$1005,'RECEBIMENTOS'!$R$6:$R$1005,A549,'RECEBIMENTOS'!$X$6:$X$1005,1))</f>
        <v/>
      </c>
      <c r="M549" s="93" t="str">
        <f>IF(R549=0,"",SUMIFS('VÍNCULOS_CDF'!$H$6:$H$1005,'VÍNCULOS_CDF'!$R$6:$R$1005,A549,'VÍNCULOS_CDF'!$V$6:$V$1005,1))</f>
        <v/>
      </c>
      <c r="N549" s="99" t="str">
        <f>IF(OR(R549=0,AA549=0,NOT(ISNUMBER(I549))),"",I549-N(L549))</f>
        <v/>
      </c>
      <c r="O549" s="100" t="str">
        <f>IF(OR(R549=0,AK549&lt;=0),"",N(M549)/AK549)</f>
        <v/>
      </c>
      <c r="P549" s="94" t="str">
        <f>IF(R549=0,"",IF(S549="","Sem MTR associado",IF(U549=0,"MTR inexistente",IF(C549="","Resíduo não identificado",IF(V549=0,"Resíduo fora do cadastro",IF(W549=0,"Quantidade inválida",IF(H549="","Unidade não informada",IF(NOT(ISNUMBER(I549)),"Unidade a conferir",IF(AND(AH549=1,K549&lt;&gt;"Sim"),"Possível duplicidade",IF(Z549=1,"MTR cancelado",IF(AC549&gt;0,"Recebimento com alerta",IF(AA549=0,"Aguardando recebimento",IF(AB549&lt;AA549,"Recebimento a conferir",IF(AM549=1,"Quantidade a revisar",IF(AF549&gt;0,"Vínculo a revisar",IF(AD549=0,"Aguardando CDF",IF(AN549=0,"Vínculo de CDF parcial",IF(AE549&lt;AD549,"CDF a conferir","Documentação conferida"))))))))))))))))))</f>
        <v/>
      </c>
      <c r="Q549" s="93" t="str">
        <f>IF(OR(R549=0,AA549=0),"",MAX(0,N(L549)-N(M549)))</f>
        <v/>
      </c>
      <c r="R549" s="96">
        <f>IF(COUNTA(B549:C549,G549:H549,J549:K549)&gt;0,1,0)</f>
        <v>0</v>
      </c>
      <c r="S549" s="96" t="str">
        <f>IF(B549="","",TRIM(LEFT(B549,FIND(" |",B549&amp;" |")-1)))</f>
        <v/>
      </c>
      <c r="T549" s="96" t="str">
        <f>IF(S549="","",IFERROR(MATCH(S549,'MTRs'!$A$6:$A$505,0),""))</f>
        <v/>
      </c>
      <c r="U549" s="96">
        <f>IF(T549="",0,IF(INDEX('MTRs'!$Z$6:$Z$505,T549)=1,1,0))</f>
        <v>0</v>
      </c>
      <c r="V549" s="96">
        <f>IF(C549="",0,IF(ISNUMBER(MATCH(C549,'CAD_RESÍDUOS'!$B$6:$B$205,0)),1,0))</f>
        <v>0</v>
      </c>
      <c r="W549" s="96">
        <f>IF(AND(ISNUMBER(G549),G549&gt;0),1,0)</f>
        <v>0</v>
      </c>
      <c r="X549" s="96" t="str">
        <f>IF(H549="","",IFERROR(IF(ISNUMBER(INDEX(cfg_fac,MATCH(H549,cfg_units,0))),IF(INDEX(cfg_fac,MATCH(H549,cfg_units,0))&gt;0,INDEX(cfg_fac,MATCH(H549,cfg_units,0)),""),""),""))</f>
        <v/>
      </c>
      <c r="Y549" s="96">
        <f>IF(AND(W549=1,ISNUMBER(I549)),1,0)</f>
        <v>0</v>
      </c>
      <c r="Z549" s="96">
        <f>IF(U549=1,INDEX('MTRs'!$AA$6:$AA$505,T549),0)</f>
        <v>0</v>
      </c>
      <c r="AA549" s="96">
        <f>IF(R549=0,0,COUNTIFS('RECEBIMENTOS'!$R$6:$R$1005,A549,'RECEBIMENTOS'!$Q$6:$Q$1005,1))</f>
        <v>0</v>
      </c>
      <c r="AB549" s="96">
        <f>IF(R549=0,0,COUNTIFS('RECEBIMENTOS'!$R$6:$R$1005,A549,'RECEBIMENTOS'!$Z$6:$Z$1005,1))</f>
        <v>0</v>
      </c>
      <c r="AC549" s="96">
        <f>IF(R549=0,0,COUNTIFS('RECEBIMENTOS'!$R$6:$R$1005,A549,'RECEBIMENTOS'!$Y$6:$Y$1005,1))</f>
        <v>0</v>
      </c>
      <c r="AD549" s="96">
        <f>IF(R549=0,0,COUNTIFS('VÍNCULOS_CDF'!$R$6:$R$1005,A549,'VÍNCULOS_CDF'!$N$6:$N$1005,1))</f>
        <v>0</v>
      </c>
      <c r="AE549" s="96">
        <f>IF(R549=0,0,COUNTIFS('VÍNCULOS_CDF'!$R$6:$R$1005,A549,'VÍNCULOS_CDF'!$AA$6:$AA$1005,1))</f>
        <v>0</v>
      </c>
      <c r="AF549" s="96">
        <f>IF(R549=0,0,COUNTIFS('VÍNCULOS_CDF'!$R$6:$R$1005,A549,'VÍNCULOS_CDF'!$Y$6:$Y$1005,1))</f>
        <v>0</v>
      </c>
      <c r="AG549" s="96" t="str">
        <f>IF(AND(R549=1,S549&lt;&gt;"",C549&lt;&gt;""),S549&amp;"|"&amp;C549&amp;"|"&amp;G549&amp;"|"&amp;H549,"")</f>
        <v/>
      </c>
      <c r="AH549" s="96">
        <f>IF(AG549="",0,IF(SUMPRODUCT(--($AG$6:$AG$1005=AG549))&gt;1,1,0))</f>
        <v>0</v>
      </c>
      <c r="AI549" s="96">
        <f>IF(R549=0,0,IF(OR(U549=0,V549=0,Y549=0,AND(AH549=1,K549&lt;&gt;"Sim")),1,0))</f>
        <v>0</v>
      </c>
      <c r="AJ549" s="96">
        <f>IF(AND(R549=1,AA549&gt;0,AB549=AA549),1,0)</f>
        <v>0</v>
      </c>
      <c r="AK549" s="96">
        <f>IF(R549=0,0,IF(AA549&gt;0,N(L549),IF(ISNUMBER(I549),I549,0)))</f>
        <v>0</v>
      </c>
      <c r="AL549" s="96">
        <f>IF(R549=0,0,IF(AND(K549&lt;&gt;"Sim",N(M549)&gt;AK549+cfg_tol),1,0))</f>
        <v>0</v>
      </c>
      <c r="AM549" s="96">
        <f>IF(R549=0,0,IF(K549="Sim",0,IF(OR(AND(AA549&gt;0,ISNUMBER(I549),ABS(I549-N(L549))&gt;cfg_tol),AL549=1),1,0)))</f>
        <v>0</v>
      </c>
      <c r="AN549" s="96">
        <f>IF(AND(R549=1,N(M549)&gt;0,OR(N(M549)&gt;=AK549-cfg_tol,K549="Sim")),1,0)</f>
        <v>0</v>
      </c>
      <c r="AO549" s="96">
        <f>IF(AND(AN549=1,AD549&gt;0,AE549=AD549,AL549=0),1,0)</f>
        <v>0</v>
      </c>
      <c r="AP549" s="96">
        <f>IF(U549=0,0,IF(AND(INDEX('MTRs'!$AX$6:$AX$505,T549)=1,Z549=0,OR(f_res="",f_res="(Todos)",C549=f_res)),1,0))</f>
        <v>0</v>
      </c>
      <c r="AQ549" s="97" t="str">
        <f>IF(U549=0,"",INDEX('MTRs'!$AZ$6:$AZ$505,T549))</f>
        <v/>
      </c>
      <c r="AR549" s="96">
        <f>IF(U549=0,0,IF(AND(INDEX('MTRs'!$BA$6:$BA$505,T549)=1,Z549=0),1,0))</f>
        <v>0</v>
      </c>
      <c r="AS549" s="96" t="str">
        <f>IF(R549=1,A549&amp;" | MTR "&amp;IF(U549=1,INDEX('MTRs'!$B$6:$B$505,T549)&amp;"","?")&amp;" | "&amp;IF(C549="","(sem resíduo)",C549),"")</f>
        <v/>
      </c>
      <c r="AT549" s="96" t="str">
        <f>IF(R549=1,COUNTIF($R$6:R549,1),"")</f>
        <v/>
      </c>
      <c r="AU549" s="96" t="str">
        <f>IF(U549=1,INDEX('MTRs'!$I$6:$I$505,T549)&amp;"","")</f>
        <v/>
      </c>
    </row>
    <row r="550">
      <c r="A550" s="89" t="inlineStr">
        <is>
          <t>IT-000545</t>
        </is>
      </c>
      <c r="B550" s="91" t="n"/>
      <c r="C550" s="91" t="n"/>
      <c r="D550" s="94" t="str">
        <f>IF(OR(R550=0,V550=0),"",INDEX('CAD_RESÍDUOS'!$E$6:$E$205,MATCH(C550,'CAD_RESÍDUOS'!$B$6:$B$205,0))&amp;"")</f>
        <v/>
      </c>
      <c r="E550" s="94" t="str">
        <f>IF(OR(R550=0,V550=0),"",INDEX('CAD_RESÍDUOS'!$C$6:$C$205,MATCH(C550,'CAD_RESÍDUOS'!$B$6:$B$205,0))&amp;"")</f>
        <v/>
      </c>
      <c r="F550" s="94" t="str">
        <f>IF(OR(R550=0,V550=0),"",INDEX('CAD_RESÍDUOS'!$G$6:$G$205,MATCH(C550,'CAD_RESÍDUOS'!$B$6:$B$205,0))&amp;"")</f>
        <v/>
      </c>
      <c r="G550" s="98" t="n"/>
      <c r="H550" s="91" t="n"/>
      <c r="I550" s="93" t="str">
        <f>IF(R550=0,"",IF(NOT(ISNUMBER(G550)),"",IF(ISNUMBER(X550),G550*X550,"UNIDADE A CONFERIR")))</f>
        <v/>
      </c>
      <c r="J550" s="91" t="n"/>
      <c r="K550" s="91" t="n"/>
      <c r="L550" s="93" t="str">
        <f>IF(R550=0,"",SUMIFS('RECEBIMENTOS'!$H$6:$H$1005,'RECEBIMENTOS'!$R$6:$R$1005,A550,'RECEBIMENTOS'!$X$6:$X$1005,1))</f>
        <v/>
      </c>
      <c r="M550" s="93" t="str">
        <f>IF(R550=0,"",SUMIFS('VÍNCULOS_CDF'!$H$6:$H$1005,'VÍNCULOS_CDF'!$R$6:$R$1005,A550,'VÍNCULOS_CDF'!$V$6:$V$1005,1))</f>
        <v/>
      </c>
      <c r="N550" s="99" t="str">
        <f>IF(OR(R550=0,AA550=0,NOT(ISNUMBER(I550))),"",I550-N(L550))</f>
        <v/>
      </c>
      <c r="O550" s="100" t="str">
        <f>IF(OR(R550=0,AK550&lt;=0),"",N(M550)/AK550)</f>
        <v/>
      </c>
      <c r="P550" s="94" t="str">
        <f>IF(R550=0,"",IF(S550="","Sem MTR associado",IF(U550=0,"MTR inexistente",IF(C550="","Resíduo não identificado",IF(V550=0,"Resíduo fora do cadastro",IF(W550=0,"Quantidade inválida",IF(H550="","Unidade não informada",IF(NOT(ISNUMBER(I550)),"Unidade a conferir",IF(AND(AH550=1,K550&lt;&gt;"Sim"),"Possível duplicidade",IF(Z550=1,"MTR cancelado",IF(AC550&gt;0,"Recebimento com alerta",IF(AA550=0,"Aguardando recebimento",IF(AB550&lt;AA550,"Recebimento a conferir",IF(AM550=1,"Quantidade a revisar",IF(AF550&gt;0,"Vínculo a revisar",IF(AD550=0,"Aguardando CDF",IF(AN550=0,"Vínculo de CDF parcial",IF(AE550&lt;AD550,"CDF a conferir","Documentação conferida"))))))))))))))))))</f>
        <v/>
      </c>
      <c r="Q550" s="93" t="str">
        <f>IF(OR(R550=0,AA550=0),"",MAX(0,N(L550)-N(M550)))</f>
        <v/>
      </c>
      <c r="R550" s="96">
        <f>IF(COUNTA(B550:C550,G550:H550,J550:K550)&gt;0,1,0)</f>
        <v>0</v>
      </c>
      <c r="S550" s="96" t="str">
        <f>IF(B550="","",TRIM(LEFT(B550,FIND(" |",B550&amp;" |")-1)))</f>
        <v/>
      </c>
      <c r="T550" s="96" t="str">
        <f>IF(S550="","",IFERROR(MATCH(S550,'MTRs'!$A$6:$A$505,0),""))</f>
        <v/>
      </c>
      <c r="U550" s="96">
        <f>IF(T550="",0,IF(INDEX('MTRs'!$Z$6:$Z$505,T550)=1,1,0))</f>
        <v>0</v>
      </c>
      <c r="V550" s="96">
        <f>IF(C550="",0,IF(ISNUMBER(MATCH(C550,'CAD_RESÍDUOS'!$B$6:$B$205,0)),1,0))</f>
        <v>0</v>
      </c>
      <c r="W550" s="96">
        <f>IF(AND(ISNUMBER(G550),G550&gt;0),1,0)</f>
        <v>0</v>
      </c>
      <c r="X550" s="96" t="str">
        <f>IF(H550="","",IFERROR(IF(ISNUMBER(INDEX(cfg_fac,MATCH(H550,cfg_units,0))),IF(INDEX(cfg_fac,MATCH(H550,cfg_units,0))&gt;0,INDEX(cfg_fac,MATCH(H550,cfg_units,0)),""),""),""))</f>
        <v/>
      </c>
      <c r="Y550" s="96">
        <f>IF(AND(W550=1,ISNUMBER(I550)),1,0)</f>
        <v>0</v>
      </c>
      <c r="Z550" s="96">
        <f>IF(U550=1,INDEX('MTRs'!$AA$6:$AA$505,T550),0)</f>
        <v>0</v>
      </c>
      <c r="AA550" s="96">
        <f>IF(R550=0,0,COUNTIFS('RECEBIMENTOS'!$R$6:$R$1005,A550,'RECEBIMENTOS'!$Q$6:$Q$1005,1))</f>
        <v>0</v>
      </c>
      <c r="AB550" s="96">
        <f>IF(R550=0,0,COUNTIFS('RECEBIMENTOS'!$R$6:$R$1005,A550,'RECEBIMENTOS'!$Z$6:$Z$1005,1))</f>
        <v>0</v>
      </c>
      <c r="AC550" s="96">
        <f>IF(R550=0,0,COUNTIFS('RECEBIMENTOS'!$R$6:$R$1005,A550,'RECEBIMENTOS'!$Y$6:$Y$1005,1))</f>
        <v>0</v>
      </c>
      <c r="AD550" s="96">
        <f>IF(R550=0,0,COUNTIFS('VÍNCULOS_CDF'!$R$6:$R$1005,A550,'VÍNCULOS_CDF'!$N$6:$N$1005,1))</f>
        <v>0</v>
      </c>
      <c r="AE550" s="96">
        <f>IF(R550=0,0,COUNTIFS('VÍNCULOS_CDF'!$R$6:$R$1005,A550,'VÍNCULOS_CDF'!$AA$6:$AA$1005,1))</f>
        <v>0</v>
      </c>
      <c r="AF550" s="96">
        <f>IF(R550=0,0,COUNTIFS('VÍNCULOS_CDF'!$R$6:$R$1005,A550,'VÍNCULOS_CDF'!$Y$6:$Y$1005,1))</f>
        <v>0</v>
      </c>
      <c r="AG550" s="96" t="str">
        <f>IF(AND(R550=1,S550&lt;&gt;"",C550&lt;&gt;""),S550&amp;"|"&amp;C550&amp;"|"&amp;G550&amp;"|"&amp;H550,"")</f>
        <v/>
      </c>
      <c r="AH550" s="96">
        <f>IF(AG550="",0,IF(SUMPRODUCT(--($AG$6:$AG$1005=AG550))&gt;1,1,0))</f>
        <v>0</v>
      </c>
      <c r="AI550" s="96">
        <f>IF(R550=0,0,IF(OR(U550=0,V550=0,Y550=0,AND(AH550=1,K550&lt;&gt;"Sim")),1,0))</f>
        <v>0</v>
      </c>
      <c r="AJ550" s="96">
        <f>IF(AND(R550=1,AA550&gt;0,AB550=AA550),1,0)</f>
        <v>0</v>
      </c>
      <c r="AK550" s="96">
        <f>IF(R550=0,0,IF(AA550&gt;0,N(L550),IF(ISNUMBER(I550),I550,0)))</f>
        <v>0</v>
      </c>
      <c r="AL550" s="96">
        <f>IF(R550=0,0,IF(AND(K550&lt;&gt;"Sim",N(M550)&gt;AK550+cfg_tol),1,0))</f>
        <v>0</v>
      </c>
      <c r="AM550" s="96">
        <f>IF(R550=0,0,IF(K550="Sim",0,IF(OR(AND(AA550&gt;0,ISNUMBER(I550),ABS(I550-N(L550))&gt;cfg_tol),AL550=1),1,0)))</f>
        <v>0</v>
      </c>
      <c r="AN550" s="96">
        <f>IF(AND(R550=1,N(M550)&gt;0,OR(N(M550)&gt;=AK550-cfg_tol,K550="Sim")),1,0)</f>
        <v>0</v>
      </c>
      <c r="AO550" s="96">
        <f>IF(AND(AN550=1,AD550&gt;0,AE550=AD550,AL550=0),1,0)</f>
        <v>0</v>
      </c>
      <c r="AP550" s="96">
        <f>IF(U550=0,0,IF(AND(INDEX('MTRs'!$AX$6:$AX$505,T550)=1,Z550=0,OR(f_res="",f_res="(Todos)",C550=f_res)),1,0))</f>
        <v>0</v>
      </c>
      <c r="AQ550" s="97" t="str">
        <f>IF(U550=0,"",INDEX('MTRs'!$AZ$6:$AZ$505,T550))</f>
        <v/>
      </c>
      <c r="AR550" s="96">
        <f>IF(U550=0,0,IF(AND(INDEX('MTRs'!$BA$6:$BA$505,T550)=1,Z550=0),1,0))</f>
        <v>0</v>
      </c>
      <c r="AS550" s="96" t="str">
        <f>IF(R550=1,A550&amp;" | MTR "&amp;IF(U550=1,INDEX('MTRs'!$B$6:$B$505,T550)&amp;"","?")&amp;" | "&amp;IF(C550="","(sem resíduo)",C550),"")</f>
        <v/>
      </c>
      <c r="AT550" s="96" t="str">
        <f>IF(R550=1,COUNTIF($R$6:R550,1),"")</f>
        <v/>
      </c>
      <c r="AU550" s="96" t="str">
        <f>IF(U550=1,INDEX('MTRs'!$I$6:$I$505,T550)&amp;"","")</f>
        <v/>
      </c>
    </row>
    <row r="551">
      <c r="A551" s="89" t="inlineStr">
        <is>
          <t>IT-000546</t>
        </is>
      </c>
      <c r="B551" s="91" t="n"/>
      <c r="C551" s="91" t="n"/>
      <c r="D551" s="94" t="str">
        <f>IF(OR(R551=0,V551=0),"",INDEX('CAD_RESÍDUOS'!$E$6:$E$205,MATCH(C551,'CAD_RESÍDUOS'!$B$6:$B$205,0))&amp;"")</f>
        <v/>
      </c>
      <c r="E551" s="94" t="str">
        <f>IF(OR(R551=0,V551=0),"",INDEX('CAD_RESÍDUOS'!$C$6:$C$205,MATCH(C551,'CAD_RESÍDUOS'!$B$6:$B$205,0))&amp;"")</f>
        <v/>
      </c>
      <c r="F551" s="94" t="str">
        <f>IF(OR(R551=0,V551=0),"",INDEX('CAD_RESÍDUOS'!$G$6:$G$205,MATCH(C551,'CAD_RESÍDUOS'!$B$6:$B$205,0))&amp;"")</f>
        <v/>
      </c>
      <c r="G551" s="98" t="n"/>
      <c r="H551" s="91" t="n"/>
      <c r="I551" s="93" t="str">
        <f>IF(R551=0,"",IF(NOT(ISNUMBER(G551)),"",IF(ISNUMBER(X551),G551*X551,"UNIDADE A CONFERIR")))</f>
        <v/>
      </c>
      <c r="J551" s="91" t="n"/>
      <c r="K551" s="91" t="n"/>
      <c r="L551" s="93" t="str">
        <f>IF(R551=0,"",SUMIFS('RECEBIMENTOS'!$H$6:$H$1005,'RECEBIMENTOS'!$R$6:$R$1005,A551,'RECEBIMENTOS'!$X$6:$X$1005,1))</f>
        <v/>
      </c>
      <c r="M551" s="93" t="str">
        <f>IF(R551=0,"",SUMIFS('VÍNCULOS_CDF'!$H$6:$H$1005,'VÍNCULOS_CDF'!$R$6:$R$1005,A551,'VÍNCULOS_CDF'!$V$6:$V$1005,1))</f>
        <v/>
      </c>
      <c r="N551" s="99" t="str">
        <f>IF(OR(R551=0,AA551=0,NOT(ISNUMBER(I551))),"",I551-N(L551))</f>
        <v/>
      </c>
      <c r="O551" s="100" t="str">
        <f>IF(OR(R551=0,AK551&lt;=0),"",N(M551)/AK551)</f>
        <v/>
      </c>
      <c r="P551" s="94" t="str">
        <f>IF(R551=0,"",IF(S551="","Sem MTR associado",IF(U551=0,"MTR inexistente",IF(C551="","Resíduo não identificado",IF(V551=0,"Resíduo fora do cadastro",IF(W551=0,"Quantidade inválida",IF(H551="","Unidade não informada",IF(NOT(ISNUMBER(I551)),"Unidade a conferir",IF(AND(AH551=1,K551&lt;&gt;"Sim"),"Possível duplicidade",IF(Z551=1,"MTR cancelado",IF(AC551&gt;0,"Recebimento com alerta",IF(AA551=0,"Aguardando recebimento",IF(AB551&lt;AA551,"Recebimento a conferir",IF(AM551=1,"Quantidade a revisar",IF(AF551&gt;0,"Vínculo a revisar",IF(AD551=0,"Aguardando CDF",IF(AN551=0,"Vínculo de CDF parcial",IF(AE551&lt;AD551,"CDF a conferir","Documentação conferida"))))))))))))))))))</f>
        <v/>
      </c>
      <c r="Q551" s="93" t="str">
        <f>IF(OR(R551=0,AA551=0),"",MAX(0,N(L551)-N(M551)))</f>
        <v/>
      </c>
      <c r="R551" s="96">
        <f>IF(COUNTA(B551:C551,G551:H551,J551:K551)&gt;0,1,0)</f>
        <v>0</v>
      </c>
      <c r="S551" s="96" t="str">
        <f>IF(B551="","",TRIM(LEFT(B551,FIND(" |",B551&amp;" |")-1)))</f>
        <v/>
      </c>
      <c r="T551" s="96" t="str">
        <f>IF(S551="","",IFERROR(MATCH(S551,'MTRs'!$A$6:$A$505,0),""))</f>
        <v/>
      </c>
      <c r="U551" s="96">
        <f>IF(T551="",0,IF(INDEX('MTRs'!$Z$6:$Z$505,T551)=1,1,0))</f>
        <v>0</v>
      </c>
      <c r="V551" s="96">
        <f>IF(C551="",0,IF(ISNUMBER(MATCH(C551,'CAD_RESÍDUOS'!$B$6:$B$205,0)),1,0))</f>
        <v>0</v>
      </c>
      <c r="W551" s="96">
        <f>IF(AND(ISNUMBER(G551),G551&gt;0),1,0)</f>
        <v>0</v>
      </c>
      <c r="X551" s="96" t="str">
        <f>IF(H551="","",IFERROR(IF(ISNUMBER(INDEX(cfg_fac,MATCH(H551,cfg_units,0))),IF(INDEX(cfg_fac,MATCH(H551,cfg_units,0))&gt;0,INDEX(cfg_fac,MATCH(H551,cfg_units,0)),""),""),""))</f>
        <v/>
      </c>
      <c r="Y551" s="96">
        <f>IF(AND(W551=1,ISNUMBER(I551)),1,0)</f>
        <v>0</v>
      </c>
      <c r="Z551" s="96">
        <f>IF(U551=1,INDEX('MTRs'!$AA$6:$AA$505,T551),0)</f>
        <v>0</v>
      </c>
      <c r="AA551" s="96">
        <f>IF(R551=0,0,COUNTIFS('RECEBIMENTOS'!$R$6:$R$1005,A551,'RECEBIMENTOS'!$Q$6:$Q$1005,1))</f>
        <v>0</v>
      </c>
      <c r="AB551" s="96">
        <f>IF(R551=0,0,COUNTIFS('RECEBIMENTOS'!$R$6:$R$1005,A551,'RECEBIMENTOS'!$Z$6:$Z$1005,1))</f>
        <v>0</v>
      </c>
      <c r="AC551" s="96">
        <f>IF(R551=0,0,COUNTIFS('RECEBIMENTOS'!$R$6:$R$1005,A551,'RECEBIMENTOS'!$Y$6:$Y$1005,1))</f>
        <v>0</v>
      </c>
      <c r="AD551" s="96">
        <f>IF(R551=0,0,COUNTIFS('VÍNCULOS_CDF'!$R$6:$R$1005,A551,'VÍNCULOS_CDF'!$N$6:$N$1005,1))</f>
        <v>0</v>
      </c>
      <c r="AE551" s="96">
        <f>IF(R551=0,0,COUNTIFS('VÍNCULOS_CDF'!$R$6:$R$1005,A551,'VÍNCULOS_CDF'!$AA$6:$AA$1005,1))</f>
        <v>0</v>
      </c>
      <c r="AF551" s="96">
        <f>IF(R551=0,0,COUNTIFS('VÍNCULOS_CDF'!$R$6:$R$1005,A551,'VÍNCULOS_CDF'!$Y$6:$Y$1005,1))</f>
        <v>0</v>
      </c>
      <c r="AG551" s="96" t="str">
        <f>IF(AND(R551=1,S551&lt;&gt;"",C551&lt;&gt;""),S551&amp;"|"&amp;C551&amp;"|"&amp;G551&amp;"|"&amp;H551,"")</f>
        <v/>
      </c>
      <c r="AH551" s="96">
        <f>IF(AG551="",0,IF(SUMPRODUCT(--($AG$6:$AG$1005=AG551))&gt;1,1,0))</f>
        <v>0</v>
      </c>
      <c r="AI551" s="96">
        <f>IF(R551=0,0,IF(OR(U551=0,V551=0,Y551=0,AND(AH551=1,K551&lt;&gt;"Sim")),1,0))</f>
        <v>0</v>
      </c>
      <c r="AJ551" s="96">
        <f>IF(AND(R551=1,AA551&gt;0,AB551=AA551),1,0)</f>
        <v>0</v>
      </c>
      <c r="AK551" s="96">
        <f>IF(R551=0,0,IF(AA551&gt;0,N(L551),IF(ISNUMBER(I551),I551,0)))</f>
        <v>0</v>
      </c>
      <c r="AL551" s="96">
        <f>IF(R551=0,0,IF(AND(K551&lt;&gt;"Sim",N(M551)&gt;AK551+cfg_tol),1,0))</f>
        <v>0</v>
      </c>
      <c r="AM551" s="96">
        <f>IF(R551=0,0,IF(K551="Sim",0,IF(OR(AND(AA551&gt;0,ISNUMBER(I551),ABS(I551-N(L551))&gt;cfg_tol),AL551=1),1,0)))</f>
        <v>0</v>
      </c>
      <c r="AN551" s="96">
        <f>IF(AND(R551=1,N(M551)&gt;0,OR(N(M551)&gt;=AK551-cfg_tol,K551="Sim")),1,0)</f>
        <v>0</v>
      </c>
      <c r="AO551" s="96">
        <f>IF(AND(AN551=1,AD551&gt;0,AE551=AD551,AL551=0),1,0)</f>
        <v>0</v>
      </c>
      <c r="AP551" s="96">
        <f>IF(U551=0,0,IF(AND(INDEX('MTRs'!$AX$6:$AX$505,T551)=1,Z551=0,OR(f_res="",f_res="(Todos)",C551=f_res)),1,0))</f>
        <v>0</v>
      </c>
      <c r="AQ551" s="97" t="str">
        <f>IF(U551=0,"",INDEX('MTRs'!$AZ$6:$AZ$505,T551))</f>
        <v/>
      </c>
      <c r="AR551" s="96">
        <f>IF(U551=0,0,IF(AND(INDEX('MTRs'!$BA$6:$BA$505,T551)=1,Z551=0),1,0))</f>
        <v>0</v>
      </c>
      <c r="AS551" s="96" t="str">
        <f>IF(R551=1,A551&amp;" | MTR "&amp;IF(U551=1,INDEX('MTRs'!$B$6:$B$505,T551)&amp;"","?")&amp;" | "&amp;IF(C551="","(sem resíduo)",C551),"")</f>
        <v/>
      </c>
      <c r="AT551" s="96" t="str">
        <f>IF(R551=1,COUNTIF($R$6:R551,1),"")</f>
        <v/>
      </c>
      <c r="AU551" s="96" t="str">
        <f>IF(U551=1,INDEX('MTRs'!$I$6:$I$505,T551)&amp;"","")</f>
        <v/>
      </c>
    </row>
    <row r="552">
      <c r="A552" s="89" t="inlineStr">
        <is>
          <t>IT-000547</t>
        </is>
      </c>
      <c r="B552" s="91" t="n"/>
      <c r="C552" s="91" t="n"/>
      <c r="D552" s="94" t="str">
        <f>IF(OR(R552=0,V552=0),"",INDEX('CAD_RESÍDUOS'!$E$6:$E$205,MATCH(C552,'CAD_RESÍDUOS'!$B$6:$B$205,0))&amp;"")</f>
        <v/>
      </c>
      <c r="E552" s="94" t="str">
        <f>IF(OR(R552=0,V552=0),"",INDEX('CAD_RESÍDUOS'!$C$6:$C$205,MATCH(C552,'CAD_RESÍDUOS'!$B$6:$B$205,0))&amp;"")</f>
        <v/>
      </c>
      <c r="F552" s="94" t="str">
        <f>IF(OR(R552=0,V552=0),"",INDEX('CAD_RESÍDUOS'!$G$6:$G$205,MATCH(C552,'CAD_RESÍDUOS'!$B$6:$B$205,0))&amp;"")</f>
        <v/>
      </c>
      <c r="G552" s="98" t="n"/>
      <c r="H552" s="91" t="n"/>
      <c r="I552" s="93" t="str">
        <f>IF(R552=0,"",IF(NOT(ISNUMBER(G552)),"",IF(ISNUMBER(X552),G552*X552,"UNIDADE A CONFERIR")))</f>
        <v/>
      </c>
      <c r="J552" s="91" t="n"/>
      <c r="K552" s="91" t="n"/>
      <c r="L552" s="93" t="str">
        <f>IF(R552=0,"",SUMIFS('RECEBIMENTOS'!$H$6:$H$1005,'RECEBIMENTOS'!$R$6:$R$1005,A552,'RECEBIMENTOS'!$X$6:$X$1005,1))</f>
        <v/>
      </c>
      <c r="M552" s="93" t="str">
        <f>IF(R552=0,"",SUMIFS('VÍNCULOS_CDF'!$H$6:$H$1005,'VÍNCULOS_CDF'!$R$6:$R$1005,A552,'VÍNCULOS_CDF'!$V$6:$V$1005,1))</f>
        <v/>
      </c>
      <c r="N552" s="99" t="str">
        <f>IF(OR(R552=0,AA552=0,NOT(ISNUMBER(I552))),"",I552-N(L552))</f>
        <v/>
      </c>
      <c r="O552" s="100" t="str">
        <f>IF(OR(R552=0,AK552&lt;=0),"",N(M552)/AK552)</f>
        <v/>
      </c>
      <c r="P552" s="94" t="str">
        <f>IF(R552=0,"",IF(S552="","Sem MTR associado",IF(U552=0,"MTR inexistente",IF(C552="","Resíduo não identificado",IF(V552=0,"Resíduo fora do cadastro",IF(W552=0,"Quantidade inválida",IF(H552="","Unidade não informada",IF(NOT(ISNUMBER(I552)),"Unidade a conferir",IF(AND(AH552=1,K552&lt;&gt;"Sim"),"Possível duplicidade",IF(Z552=1,"MTR cancelado",IF(AC552&gt;0,"Recebimento com alerta",IF(AA552=0,"Aguardando recebimento",IF(AB552&lt;AA552,"Recebimento a conferir",IF(AM552=1,"Quantidade a revisar",IF(AF552&gt;0,"Vínculo a revisar",IF(AD552=0,"Aguardando CDF",IF(AN552=0,"Vínculo de CDF parcial",IF(AE552&lt;AD552,"CDF a conferir","Documentação conferida"))))))))))))))))))</f>
        <v/>
      </c>
      <c r="Q552" s="93" t="str">
        <f>IF(OR(R552=0,AA552=0),"",MAX(0,N(L552)-N(M552)))</f>
        <v/>
      </c>
      <c r="R552" s="96">
        <f>IF(COUNTA(B552:C552,G552:H552,J552:K552)&gt;0,1,0)</f>
        <v>0</v>
      </c>
      <c r="S552" s="96" t="str">
        <f>IF(B552="","",TRIM(LEFT(B552,FIND(" |",B552&amp;" |")-1)))</f>
        <v/>
      </c>
      <c r="T552" s="96" t="str">
        <f>IF(S552="","",IFERROR(MATCH(S552,'MTRs'!$A$6:$A$505,0),""))</f>
        <v/>
      </c>
      <c r="U552" s="96">
        <f>IF(T552="",0,IF(INDEX('MTRs'!$Z$6:$Z$505,T552)=1,1,0))</f>
        <v>0</v>
      </c>
      <c r="V552" s="96">
        <f>IF(C552="",0,IF(ISNUMBER(MATCH(C552,'CAD_RESÍDUOS'!$B$6:$B$205,0)),1,0))</f>
        <v>0</v>
      </c>
      <c r="W552" s="96">
        <f>IF(AND(ISNUMBER(G552),G552&gt;0),1,0)</f>
        <v>0</v>
      </c>
      <c r="X552" s="96" t="str">
        <f>IF(H552="","",IFERROR(IF(ISNUMBER(INDEX(cfg_fac,MATCH(H552,cfg_units,0))),IF(INDEX(cfg_fac,MATCH(H552,cfg_units,0))&gt;0,INDEX(cfg_fac,MATCH(H552,cfg_units,0)),""),""),""))</f>
        <v/>
      </c>
      <c r="Y552" s="96">
        <f>IF(AND(W552=1,ISNUMBER(I552)),1,0)</f>
        <v>0</v>
      </c>
      <c r="Z552" s="96">
        <f>IF(U552=1,INDEX('MTRs'!$AA$6:$AA$505,T552),0)</f>
        <v>0</v>
      </c>
      <c r="AA552" s="96">
        <f>IF(R552=0,0,COUNTIFS('RECEBIMENTOS'!$R$6:$R$1005,A552,'RECEBIMENTOS'!$Q$6:$Q$1005,1))</f>
        <v>0</v>
      </c>
      <c r="AB552" s="96">
        <f>IF(R552=0,0,COUNTIFS('RECEBIMENTOS'!$R$6:$R$1005,A552,'RECEBIMENTOS'!$Z$6:$Z$1005,1))</f>
        <v>0</v>
      </c>
      <c r="AC552" s="96">
        <f>IF(R552=0,0,COUNTIFS('RECEBIMENTOS'!$R$6:$R$1005,A552,'RECEBIMENTOS'!$Y$6:$Y$1005,1))</f>
        <v>0</v>
      </c>
      <c r="AD552" s="96">
        <f>IF(R552=0,0,COUNTIFS('VÍNCULOS_CDF'!$R$6:$R$1005,A552,'VÍNCULOS_CDF'!$N$6:$N$1005,1))</f>
        <v>0</v>
      </c>
      <c r="AE552" s="96">
        <f>IF(R552=0,0,COUNTIFS('VÍNCULOS_CDF'!$R$6:$R$1005,A552,'VÍNCULOS_CDF'!$AA$6:$AA$1005,1))</f>
        <v>0</v>
      </c>
      <c r="AF552" s="96">
        <f>IF(R552=0,0,COUNTIFS('VÍNCULOS_CDF'!$R$6:$R$1005,A552,'VÍNCULOS_CDF'!$Y$6:$Y$1005,1))</f>
        <v>0</v>
      </c>
      <c r="AG552" s="96" t="str">
        <f>IF(AND(R552=1,S552&lt;&gt;"",C552&lt;&gt;""),S552&amp;"|"&amp;C552&amp;"|"&amp;G552&amp;"|"&amp;H552,"")</f>
        <v/>
      </c>
      <c r="AH552" s="96">
        <f>IF(AG552="",0,IF(SUMPRODUCT(--($AG$6:$AG$1005=AG552))&gt;1,1,0))</f>
        <v>0</v>
      </c>
      <c r="AI552" s="96">
        <f>IF(R552=0,0,IF(OR(U552=0,V552=0,Y552=0,AND(AH552=1,K552&lt;&gt;"Sim")),1,0))</f>
        <v>0</v>
      </c>
      <c r="AJ552" s="96">
        <f>IF(AND(R552=1,AA552&gt;0,AB552=AA552),1,0)</f>
        <v>0</v>
      </c>
      <c r="AK552" s="96">
        <f>IF(R552=0,0,IF(AA552&gt;0,N(L552),IF(ISNUMBER(I552),I552,0)))</f>
        <v>0</v>
      </c>
      <c r="AL552" s="96">
        <f>IF(R552=0,0,IF(AND(K552&lt;&gt;"Sim",N(M552)&gt;AK552+cfg_tol),1,0))</f>
        <v>0</v>
      </c>
      <c r="AM552" s="96">
        <f>IF(R552=0,0,IF(K552="Sim",0,IF(OR(AND(AA552&gt;0,ISNUMBER(I552),ABS(I552-N(L552))&gt;cfg_tol),AL552=1),1,0)))</f>
        <v>0</v>
      </c>
      <c r="AN552" s="96">
        <f>IF(AND(R552=1,N(M552)&gt;0,OR(N(M552)&gt;=AK552-cfg_tol,K552="Sim")),1,0)</f>
        <v>0</v>
      </c>
      <c r="AO552" s="96">
        <f>IF(AND(AN552=1,AD552&gt;0,AE552=AD552,AL552=0),1,0)</f>
        <v>0</v>
      </c>
      <c r="AP552" s="96">
        <f>IF(U552=0,0,IF(AND(INDEX('MTRs'!$AX$6:$AX$505,T552)=1,Z552=0,OR(f_res="",f_res="(Todos)",C552=f_res)),1,0))</f>
        <v>0</v>
      </c>
      <c r="AQ552" s="97" t="str">
        <f>IF(U552=0,"",INDEX('MTRs'!$AZ$6:$AZ$505,T552))</f>
        <v/>
      </c>
      <c r="AR552" s="96">
        <f>IF(U552=0,0,IF(AND(INDEX('MTRs'!$BA$6:$BA$505,T552)=1,Z552=0),1,0))</f>
        <v>0</v>
      </c>
      <c r="AS552" s="96" t="str">
        <f>IF(R552=1,A552&amp;" | MTR "&amp;IF(U552=1,INDEX('MTRs'!$B$6:$B$505,T552)&amp;"","?")&amp;" | "&amp;IF(C552="","(sem resíduo)",C552),"")</f>
        <v/>
      </c>
      <c r="AT552" s="96" t="str">
        <f>IF(R552=1,COUNTIF($R$6:R552,1),"")</f>
        <v/>
      </c>
      <c r="AU552" s="96" t="str">
        <f>IF(U552=1,INDEX('MTRs'!$I$6:$I$505,T552)&amp;"","")</f>
        <v/>
      </c>
    </row>
    <row r="553">
      <c r="A553" s="89" t="inlineStr">
        <is>
          <t>IT-000548</t>
        </is>
      </c>
      <c r="B553" s="91" t="n"/>
      <c r="C553" s="91" t="n"/>
      <c r="D553" s="94" t="str">
        <f>IF(OR(R553=0,V553=0),"",INDEX('CAD_RESÍDUOS'!$E$6:$E$205,MATCH(C553,'CAD_RESÍDUOS'!$B$6:$B$205,0))&amp;"")</f>
        <v/>
      </c>
      <c r="E553" s="94" t="str">
        <f>IF(OR(R553=0,V553=0),"",INDEX('CAD_RESÍDUOS'!$C$6:$C$205,MATCH(C553,'CAD_RESÍDUOS'!$B$6:$B$205,0))&amp;"")</f>
        <v/>
      </c>
      <c r="F553" s="94" t="str">
        <f>IF(OR(R553=0,V553=0),"",INDEX('CAD_RESÍDUOS'!$G$6:$G$205,MATCH(C553,'CAD_RESÍDUOS'!$B$6:$B$205,0))&amp;"")</f>
        <v/>
      </c>
      <c r="G553" s="98" t="n"/>
      <c r="H553" s="91" t="n"/>
      <c r="I553" s="93" t="str">
        <f>IF(R553=0,"",IF(NOT(ISNUMBER(G553)),"",IF(ISNUMBER(X553),G553*X553,"UNIDADE A CONFERIR")))</f>
        <v/>
      </c>
      <c r="J553" s="91" t="n"/>
      <c r="K553" s="91" t="n"/>
      <c r="L553" s="93" t="str">
        <f>IF(R553=0,"",SUMIFS('RECEBIMENTOS'!$H$6:$H$1005,'RECEBIMENTOS'!$R$6:$R$1005,A553,'RECEBIMENTOS'!$X$6:$X$1005,1))</f>
        <v/>
      </c>
      <c r="M553" s="93" t="str">
        <f>IF(R553=0,"",SUMIFS('VÍNCULOS_CDF'!$H$6:$H$1005,'VÍNCULOS_CDF'!$R$6:$R$1005,A553,'VÍNCULOS_CDF'!$V$6:$V$1005,1))</f>
        <v/>
      </c>
      <c r="N553" s="99" t="str">
        <f>IF(OR(R553=0,AA553=0,NOT(ISNUMBER(I553))),"",I553-N(L553))</f>
        <v/>
      </c>
      <c r="O553" s="100" t="str">
        <f>IF(OR(R553=0,AK553&lt;=0),"",N(M553)/AK553)</f>
        <v/>
      </c>
      <c r="P553" s="94" t="str">
        <f>IF(R553=0,"",IF(S553="","Sem MTR associado",IF(U553=0,"MTR inexistente",IF(C553="","Resíduo não identificado",IF(V553=0,"Resíduo fora do cadastro",IF(W553=0,"Quantidade inválida",IF(H553="","Unidade não informada",IF(NOT(ISNUMBER(I553)),"Unidade a conferir",IF(AND(AH553=1,K553&lt;&gt;"Sim"),"Possível duplicidade",IF(Z553=1,"MTR cancelado",IF(AC553&gt;0,"Recebimento com alerta",IF(AA553=0,"Aguardando recebimento",IF(AB553&lt;AA553,"Recebimento a conferir",IF(AM553=1,"Quantidade a revisar",IF(AF553&gt;0,"Vínculo a revisar",IF(AD553=0,"Aguardando CDF",IF(AN553=0,"Vínculo de CDF parcial",IF(AE553&lt;AD553,"CDF a conferir","Documentação conferida"))))))))))))))))))</f>
        <v/>
      </c>
      <c r="Q553" s="93" t="str">
        <f>IF(OR(R553=0,AA553=0),"",MAX(0,N(L553)-N(M553)))</f>
        <v/>
      </c>
      <c r="R553" s="96">
        <f>IF(COUNTA(B553:C553,G553:H553,J553:K553)&gt;0,1,0)</f>
        <v>0</v>
      </c>
      <c r="S553" s="96" t="str">
        <f>IF(B553="","",TRIM(LEFT(B553,FIND(" |",B553&amp;" |")-1)))</f>
        <v/>
      </c>
      <c r="T553" s="96" t="str">
        <f>IF(S553="","",IFERROR(MATCH(S553,'MTRs'!$A$6:$A$505,0),""))</f>
        <v/>
      </c>
      <c r="U553" s="96">
        <f>IF(T553="",0,IF(INDEX('MTRs'!$Z$6:$Z$505,T553)=1,1,0))</f>
        <v>0</v>
      </c>
      <c r="V553" s="96">
        <f>IF(C553="",0,IF(ISNUMBER(MATCH(C553,'CAD_RESÍDUOS'!$B$6:$B$205,0)),1,0))</f>
        <v>0</v>
      </c>
      <c r="W553" s="96">
        <f>IF(AND(ISNUMBER(G553),G553&gt;0),1,0)</f>
        <v>0</v>
      </c>
      <c r="X553" s="96" t="str">
        <f>IF(H553="","",IFERROR(IF(ISNUMBER(INDEX(cfg_fac,MATCH(H553,cfg_units,0))),IF(INDEX(cfg_fac,MATCH(H553,cfg_units,0))&gt;0,INDEX(cfg_fac,MATCH(H553,cfg_units,0)),""),""),""))</f>
        <v/>
      </c>
      <c r="Y553" s="96">
        <f>IF(AND(W553=1,ISNUMBER(I553)),1,0)</f>
        <v>0</v>
      </c>
      <c r="Z553" s="96">
        <f>IF(U553=1,INDEX('MTRs'!$AA$6:$AA$505,T553),0)</f>
        <v>0</v>
      </c>
      <c r="AA553" s="96">
        <f>IF(R553=0,0,COUNTIFS('RECEBIMENTOS'!$R$6:$R$1005,A553,'RECEBIMENTOS'!$Q$6:$Q$1005,1))</f>
        <v>0</v>
      </c>
      <c r="AB553" s="96">
        <f>IF(R553=0,0,COUNTIFS('RECEBIMENTOS'!$R$6:$R$1005,A553,'RECEBIMENTOS'!$Z$6:$Z$1005,1))</f>
        <v>0</v>
      </c>
      <c r="AC553" s="96">
        <f>IF(R553=0,0,COUNTIFS('RECEBIMENTOS'!$R$6:$R$1005,A553,'RECEBIMENTOS'!$Y$6:$Y$1005,1))</f>
        <v>0</v>
      </c>
      <c r="AD553" s="96">
        <f>IF(R553=0,0,COUNTIFS('VÍNCULOS_CDF'!$R$6:$R$1005,A553,'VÍNCULOS_CDF'!$N$6:$N$1005,1))</f>
        <v>0</v>
      </c>
      <c r="AE553" s="96">
        <f>IF(R553=0,0,COUNTIFS('VÍNCULOS_CDF'!$R$6:$R$1005,A553,'VÍNCULOS_CDF'!$AA$6:$AA$1005,1))</f>
        <v>0</v>
      </c>
      <c r="AF553" s="96">
        <f>IF(R553=0,0,COUNTIFS('VÍNCULOS_CDF'!$R$6:$R$1005,A553,'VÍNCULOS_CDF'!$Y$6:$Y$1005,1))</f>
        <v>0</v>
      </c>
      <c r="AG553" s="96" t="str">
        <f>IF(AND(R553=1,S553&lt;&gt;"",C553&lt;&gt;""),S553&amp;"|"&amp;C553&amp;"|"&amp;G553&amp;"|"&amp;H553,"")</f>
        <v/>
      </c>
      <c r="AH553" s="96">
        <f>IF(AG553="",0,IF(SUMPRODUCT(--($AG$6:$AG$1005=AG553))&gt;1,1,0))</f>
        <v>0</v>
      </c>
      <c r="AI553" s="96">
        <f>IF(R553=0,0,IF(OR(U553=0,V553=0,Y553=0,AND(AH553=1,K553&lt;&gt;"Sim")),1,0))</f>
        <v>0</v>
      </c>
      <c r="AJ553" s="96">
        <f>IF(AND(R553=1,AA553&gt;0,AB553=AA553),1,0)</f>
        <v>0</v>
      </c>
      <c r="AK553" s="96">
        <f>IF(R553=0,0,IF(AA553&gt;0,N(L553),IF(ISNUMBER(I553),I553,0)))</f>
        <v>0</v>
      </c>
      <c r="AL553" s="96">
        <f>IF(R553=0,0,IF(AND(K553&lt;&gt;"Sim",N(M553)&gt;AK553+cfg_tol),1,0))</f>
        <v>0</v>
      </c>
      <c r="AM553" s="96">
        <f>IF(R553=0,0,IF(K553="Sim",0,IF(OR(AND(AA553&gt;0,ISNUMBER(I553),ABS(I553-N(L553))&gt;cfg_tol),AL553=1),1,0)))</f>
        <v>0</v>
      </c>
      <c r="AN553" s="96">
        <f>IF(AND(R553=1,N(M553)&gt;0,OR(N(M553)&gt;=AK553-cfg_tol,K553="Sim")),1,0)</f>
        <v>0</v>
      </c>
      <c r="AO553" s="96">
        <f>IF(AND(AN553=1,AD553&gt;0,AE553=AD553,AL553=0),1,0)</f>
        <v>0</v>
      </c>
      <c r="AP553" s="96">
        <f>IF(U553=0,0,IF(AND(INDEX('MTRs'!$AX$6:$AX$505,T553)=1,Z553=0,OR(f_res="",f_res="(Todos)",C553=f_res)),1,0))</f>
        <v>0</v>
      </c>
      <c r="AQ553" s="97" t="str">
        <f>IF(U553=0,"",INDEX('MTRs'!$AZ$6:$AZ$505,T553))</f>
        <v/>
      </c>
      <c r="AR553" s="96">
        <f>IF(U553=0,0,IF(AND(INDEX('MTRs'!$BA$6:$BA$505,T553)=1,Z553=0),1,0))</f>
        <v>0</v>
      </c>
      <c r="AS553" s="96" t="str">
        <f>IF(R553=1,A553&amp;" | MTR "&amp;IF(U553=1,INDEX('MTRs'!$B$6:$B$505,T553)&amp;"","?")&amp;" | "&amp;IF(C553="","(sem resíduo)",C553),"")</f>
        <v/>
      </c>
      <c r="AT553" s="96" t="str">
        <f>IF(R553=1,COUNTIF($R$6:R553,1),"")</f>
        <v/>
      </c>
      <c r="AU553" s="96" t="str">
        <f>IF(U553=1,INDEX('MTRs'!$I$6:$I$505,T553)&amp;"","")</f>
        <v/>
      </c>
    </row>
    <row r="554">
      <c r="A554" s="89" t="inlineStr">
        <is>
          <t>IT-000549</t>
        </is>
      </c>
      <c r="B554" s="91" t="n"/>
      <c r="C554" s="91" t="n"/>
      <c r="D554" s="94" t="str">
        <f>IF(OR(R554=0,V554=0),"",INDEX('CAD_RESÍDUOS'!$E$6:$E$205,MATCH(C554,'CAD_RESÍDUOS'!$B$6:$B$205,0))&amp;"")</f>
        <v/>
      </c>
      <c r="E554" s="94" t="str">
        <f>IF(OR(R554=0,V554=0),"",INDEX('CAD_RESÍDUOS'!$C$6:$C$205,MATCH(C554,'CAD_RESÍDUOS'!$B$6:$B$205,0))&amp;"")</f>
        <v/>
      </c>
      <c r="F554" s="94" t="str">
        <f>IF(OR(R554=0,V554=0),"",INDEX('CAD_RESÍDUOS'!$G$6:$G$205,MATCH(C554,'CAD_RESÍDUOS'!$B$6:$B$205,0))&amp;"")</f>
        <v/>
      </c>
      <c r="G554" s="98" t="n"/>
      <c r="H554" s="91" t="n"/>
      <c r="I554" s="93" t="str">
        <f>IF(R554=0,"",IF(NOT(ISNUMBER(G554)),"",IF(ISNUMBER(X554),G554*X554,"UNIDADE A CONFERIR")))</f>
        <v/>
      </c>
      <c r="J554" s="91" t="n"/>
      <c r="K554" s="91" t="n"/>
      <c r="L554" s="93" t="str">
        <f>IF(R554=0,"",SUMIFS('RECEBIMENTOS'!$H$6:$H$1005,'RECEBIMENTOS'!$R$6:$R$1005,A554,'RECEBIMENTOS'!$X$6:$X$1005,1))</f>
        <v/>
      </c>
      <c r="M554" s="93" t="str">
        <f>IF(R554=0,"",SUMIFS('VÍNCULOS_CDF'!$H$6:$H$1005,'VÍNCULOS_CDF'!$R$6:$R$1005,A554,'VÍNCULOS_CDF'!$V$6:$V$1005,1))</f>
        <v/>
      </c>
      <c r="N554" s="99" t="str">
        <f>IF(OR(R554=0,AA554=0,NOT(ISNUMBER(I554))),"",I554-N(L554))</f>
        <v/>
      </c>
      <c r="O554" s="100" t="str">
        <f>IF(OR(R554=0,AK554&lt;=0),"",N(M554)/AK554)</f>
        <v/>
      </c>
      <c r="P554" s="94" t="str">
        <f>IF(R554=0,"",IF(S554="","Sem MTR associado",IF(U554=0,"MTR inexistente",IF(C554="","Resíduo não identificado",IF(V554=0,"Resíduo fora do cadastro",IF(W554=0,"Quantidade inválida",IF(H554="","Unidade não informada",IF(NOT(ISNUMBER(I554)),"Unidade a conferir",IF(AND(AH554=1,K554&lt;&gt;"Sim"),"Possível duplicidade",IF(Z554=1,"MTR cancelado",IF(AC554&gt;0,"Recebimento com alerta",IF(AA554=0,"Aguardando recebimento",IF(AB554&lt;AA554,"Recebimento a conferir",IF(AM554=1,"Quantidade a revisar",IF(AF554&gt;0,"Vínculo a revisar",IF(AD554=0,"Aguardando CDF",IF(AN554=0,"Vínculo de CDF parcial",IF(AE554&lt;AD554,"CDF a conferir","Documentação conferida"))))))))))))))))))</f>
        <v/>
      </c>
      <c r="Q554" s="93" t="str">
        <f>IF(OR(R554=0,AA554=0),"",MAX(0,N(L554)-N(M554)))</f>
        <v/>
      </c>
      <c r="R554" s="96">
        <f>IF(COUNTA(B554:C554,G554:H554,J554:K554)&gt;0,1,0)</f>
        <v>0</v>
      </c>
      <c r="S554" s="96" t="str">
        <f>IF(B554="","",TRIM(LEFT(B554,FIND(" |",B554&amp;" |")-1)))</f>
        <v/>
      </c>
      <c r="T554" s="96" t="str">
        <f>IF(S554="","",IFERROR(MATCH(S554,'MTRs'!$A$6:$A$505,0),""))</f>
        <v/>
      </c>
      <c r="U554" s="96">
        <f>IF(T554="",0,IF(INDEX('MTRs'!$Z$6:$Z$505,T554)=1,1,0))</f>
        <v>0</v>
      </c>
      <c r="V554" s="96">
        <f>IF(C554="",0,IF(ISNUMBER(MATCH(C554,'CAD_RESÍDUOS'!$B$6:$B$205,0)),1,0))</f>
        <v>0</v>
      </c>
      <c r="W554" s="96">
        <f>IF(AND(ISNUMBER(G554),G554&gt;0),1,0)</f>
        <v>0</v>
      </c>
      <c r="X554" s="96" t="str">
        <f>IF(H554="","",IFERROR(IF(ISNUMBER(INDEX(cfg_fac,MATCH(H554,cfg_units,0))),IF(INDEX(cfg_fac,MATCH(H554,cfg_units,0))&gt;0,INDEX(cfg_fac,MATCH(H554,cfg_units,0)),""),""),""))</f>
        <v/>
      </c>
      <c r="Y554" s="96">
        <f>IF(AND(W554=1,ISNUMBER(I554)),1,0)</f>
        <v>0</v>
      </c>
      <c r="Z554" s="96">
        <f>IF(U554=1,INDEX('MTRs'!$AA$6:$AA$505,T554),0)</f>
        <v>0</v>
      </c>
      <c r="AA554" s="96">
        <f>IF(R554=0,0,COUNTIFS('RECEBIMENTOS'!$R$6:$R$1005,A554,'RECEBIMENTOS'!$Q$6:$Q$1005,1))</f>
        <v>0</v>
      </c>
      <c r="AB554" s="96">
        <f>IF(R554=0,0,COUNTIFS('RECEBIMENTOS'!$R$6:$R$1005,A554,'RECEBIMENTOS'!$Z$6:$Z$1005,1))</f>
        <v>0</v>
      </c>
      <c r="AC554" s="96">
        <f>IF(R554=0,0,COUNTIFS('RECEBIMENTOS'!$R$6:$R$1005,A554,'RECEBIMENTOS'!$Y$6:$Y$1005,1))</f>
        <v>0</v>
      </c>
      <c r="AD554" s="96">
        <f>IF(R554=0,0,COUNTIFS('VÍNCULOS_CDF'!$R$6:$R$1005,A554,'VÍNCULOS_CDF'!$N$6:$N$1005,1))</f>
        <v>0</v>
      </c>
      <c r="AE554" s="96">
        <f>IF(R554=0,0,COUNTIFS('VÍNCULOS_CDF'!$R$6:$R$1005,A554,'VÍNCULOS_CDF'!$AA$6:$AA$1005,1))</f>
        <v>0</v>
      </c>
      <c r="AF554" s="96">
        <f>IF(R554=0,0,COUNTIFS('VÍNCULOS_CDF'!$R$6:$R$1005,A554,'VÍNCULOS_CDF'!$Y$6:$Y$1005,1))</f>
        <v>0</v>
      </c>
      <c r="AG554" s="96" t="str">
        <f>IF(AND(R554=1,S554&lt;&gt;"",C554&lt;&gt;""),S554&amp;"|"&amp;C554&amp;"|"&amp;G554&amp;"|"&amp;H554,"")</f>
        <v/>
      </c>
      <c r="AH554" s="96">
        <f>IF(AG554="",0,IF(SUMPRODUCT(--($AG$6:$AG$1005=AG554))&gt;1,1,0))</f>
        <v>0</v>
      </c>
      <c r="AI554" s="96">
        <f>IF(R554=0,0,IF(OR(U554=0,V554=0,Y554=0,AND(AH554=1,K554&lt;&gt;"Sim")),1,0))</f>
        <v>0</v>
      </c>
      <c r="AJ554" s="96">
        <f>IF(AND(R554=1,AA554&gt;0,AB554=AA554),1,0)</f>
        <v>0</v>
      </c>
      <c r="AK554" s="96">
        <f>IF(R554=0,0,IF(AA554&gt;0,N(L554),IF(ISNUMBER(I554),I554,0)))</f>
        <v>0</v>
      </c>
      <c r="AL554" s="96">
        <f>IF(R554=0,0,IF(AND(K554&lt;&gt;"Sim",N(M554)&gt;AK554+cfg_tol),1,0))</f>
        <v>0</v>
      </c>
      <c r="AM554" s="96">
        <f>IF(R554=0,0,IF(K554="Sim",0,IF(OR(AND(AA554&gt;0,ISNUMBER(I554),ABS(I554-N(L554))&gt;cfg_tol),AL554=1),1,0)))</f>
        <v>0</v>
      </c>
      <c r="AN554" s="96">
        <f>IF(AND(R554=1,N(M554)&gt;0,OR(N(M554)&gt;=AK554-cfg_tol,K554="Sim")),1,0)</f>
        <v>0</v>
      </c>
      <c r="AO554" s="96">
        <f>IF(AND(AN554=1,AD554&gt;0,AE554=AD554,AL554=0),1,0)</f>
        <v>0</v>
      </c>
      <c r="AP554" s="96">
        <f>IF(U554=0,0,IF(AND(INDEX('MTRs'!$AX$6:$AX$505,T554)=1,Z554=0,OR(f_res="",f_res="(Todos)",C554=f_res)),1,0))</f>
        <v>0</v>
      </c>
      <c r="AQ554" s="97" t="str">
        <f>IF(U554=0,"",INDEX('MTRs'!$AZ$6:$AZ$505,T554))</f>
        <v/>
      </c>
      <c r="AR554" s="96">
        <f>IF(U554=0,0,IF(AND(INDEX('MTRs'!$BA$6:$BA$505,T554)=1,Z554=0),1,0))</f>
        <v>0</v>
      </c>
      <c r="AS554" s="96" t="str">
        <f>IF(R554=1,A554&amp;" | MTR "&amp;IF(U554=1,INDEX('MTRs'!$B$6:$B$505,T554)&amp;"","?")&amp;" | "&amp;IF(C554="","(sem resíduo)",C554),"")</f>
        <v/>
      </c>
      <c r="AT554" s="96" t="str">
        <f>IF(R554=1,COUNTIF($R$6:R554,1),"")</f>
        <v/>
      </c>
      <c r="AU554" s="96" t="str">
        <f>IF(U554=1,INDEX('MTRs'!$I$6:$I$505,T554)&amp;"","")</f>
        <v/>
      </c>
    </row>
    <row r="555">
      <c r="A555" s="89" t="inlineStr">
        <is>
          <t>IT-000550</t>
        </is>
      </c>
      <c r="B555" s="91" t="n"/>
      <c r="C555" s="91" t="n"/>
      <c r="D555" s="94" t="str">
        <f>IF(OR(R555=0,V555=0),"",INDEX('CAD_RESÍDUOS'!$E$6:$E$205,MATCH(C555,'CAD_RESÍDUOS'!$B$6:$B$205,0))&amp;"")</f>
        <v/>
      </c>
      <c r="E555" s="94" t="str">
        <f>IF(OR(R555=0,V555=0),"",INDEX('CAD_RESÍDUOS'!$C$6:$C$205,MATCH(C555,'CAD_RESÍDUOS'!$B$6:$B$205,0))&amp;"")</f>
        <v/>
      </c>
      <c r="F555" s="94" t="str">
        <f>IF(OR(R555=0,V555=0),"",INDEX('CAD_RESÍDUOS'!$G$6:$G$205,MATCH(C555,'CAD_RESÍDUOS'!$B$6:$B$205,0))&amp;"")</f>
        <v/>
      </c>
      <c r="G555" s="98" t="n"/>
      <c r="H555" s="91" t="n"/>
      <c r="I555" s="93" t="str">
        <f>IF(R555=0,"",IF(NOT(ISNUMBER(G555)),"",IF(ISNUMBER(X555),G555*X555,"UNIDADE A CONFERIR")))</f>
        <v/>
      </c>
      <c r="J555" s="91" t="n"/>
      <c r="K555" s="91" t="n"/>
      <c r="L555" s="93" t="str">
        <f>IF(R555=0,"",SUMIFS('RECEBIMENTOS'!$H$6:$H$1005,'RECEBIMENTOS'!$R$6:$R$1005,A555,'RECEBIMENTOS'!$X$6:$X$1005,1))</f>
        <v/>
      </c>
      <c r="M555" s="93" t="str">
        <f>IF(R555=0,"",SUMIFS('VÍNCULOS_CDF'!$H$6:$H$1005,'VÍNCULOS_CDF'!$R$6:$R$1005,A555,'VÍNCULOS_CDF'!$V$6:$V$1005,1))</f>
        <v/>
      </c>
      <c r="N555" s="99" t="str">
        <f>IF(OR(R555=0,AA555=0,NOT(ISNUMBER(I555))),"",I555-N(L555))</f>
        <v/>
      </c>
      <c r="O555" s="100" t="str">
        <f>IF(OR(R555=0,AK555&lt;=0),"",N(M555)/AK555)</f>
        <v/>
      </c>
      <c r="P555" s="94" t="str">
        <f>IF(R555=0,"",IF(S555="","Sem MTR associado",IF(U555=0,"MTR inexistente",IF(C555="","Resíduo não identificado",IF(V555=0,"Resíduo fora do cadastro",IF(W555=0,"Quantidade inválida",IF(H555="","Unidade não informada",IF(NOT(ISNUMBER(I555)),"Unidade a conferir",IF(AND(AH555=1,K555&lt;&gt;"Sim"),"Possível duplicidade",IF(Z555=1,"MTR cancelado",IF(AC555&gt;0,"Recebimento com alerta",IF(AA555=0,"Aguardando recebimento",IF(AB555&lt;AA555,"Recebimento a conferir",IF(AM555=1,"Quantidade a revisar",IF(AF555&gt;0,"Vínculo a revisar",IF(AD555=0,"Aguardando CDF",IF(AN555=0,"Vínculo de CDF parcial",IF(AE555&lt;AD555,"CDF a conferir","Documentação conferida"))))))))))))))))))</f>
        <v/>
      </c>
      <c r="Q555" s="93" t="str">
        <f>IF(OR(R555=0,AA555=0),"",MAX(0,N(L555)-N(M555)))</f>
        <v/>
      </c>
      <c r="R555" s="96">
        <f>IF(COUNTA(B555:C555,G555:H555,J555:K555)&gt;0,1,0)</f>
        <v>0</v>
      </c>
      <c r="S555" s="96" t="str">
        <f>IF(B555="","",TRIM(LEFT(B555,FIND(" |",B555&amp;" |")-1)))</f>
        <v/>
      </c>
      <c r="T555" s="96" t="str">
        <f>IF(S555="","",IFERROR(MATCH(S555,'MTRs'!$A$6:$A$505,0),""))</f>
        <v/>
      </c>
      <c r="U555" s="96">
        <f>IF(T555="",0,IF(INDEX('MTRs'!$Z$6:$Z$505,T555)=1,1,0))</f>
        <v>0</v>
      </c>
      <c r="V555" s="96">
        <f>IF(C555="",0,IF(ISNUMBER(MATCH(C555,'CAD_RESÍDUOS'!$B$6:$B$205,0)),1,0))</f>
        <v>0</v>
      </c>
      <c r="W555" s="96">
        <f>IF(AND(ISNUMBER(G555),G555&gt;0),1,0)</f>
        <v>0</v>
      </c>
      <c r="X555" s="96" t="str">
        <f>IF(H555="","",IFERROR(IF(ISNUMBER(INDEX(cfg_fac,MATCH(H555,cfg_units,0))),IF(INDEX(cfg_fac,MATCH(H555,cfg_units,0))&gt;0,INDEX(cfg_fac,MATCH(H555,cfg_units,0)),""),""),""))</f>
        <v/>
      </c>
      <c r="Y555" s="96">
        <f>IF(AND(W555=1,ISNUMBER(I555)),1,0)</f>
        <v>0</v>
      </c>
      <c r="Z555" s="96">
        <f>IF(U555=1,INDEX('MTRs'!$AA$6:$AA$505,T555),0)</f>
        <v>0</v>
      </c>
      <c r="AA555" s="96">
        <f>IF(R555=0,0,COUNTIFS('RECEBIMENTOS'!$R$6:$R$1005,A555,'RECEBIMENTOS'!$Q$6:$Q$1005,1))</f>
        <v>0</v>
      </c>
      <c r="AB555" s="96">
        <f>IF(R555=0,0,COUNTIFS('RECEBIMENTOS'!$R$6:$R$1005,A555,'RECEBIMENTOS'!$Z$6:$Z$1005,1))</f>
        <v>0</v>
      </c>
      <c r="AC555" s="96">
        <f>IF(R555=0,0,COUNTIFS('RECEBIMENTOS'!$R$6:$R$1005,A555,'RECEBIMENTOS'!$Y$6:$Y$1005,1))</f>
        <v>0</v>
      </c>
      <c r="AD555" s="96">
        <f>IF(R555=0,0,COUNTIFS('VÍNCULOS_CDF'!$R$6:$R$1005,A555,'VÍNCULOS_CDF'!$N$6:$N$1005,1))</f>
        <v>0</v>
      </c>
      <c r="AE555" s="96">
        <f>IF(R555=0,0,COUNTIFS('VÍNCULOS_CDF'!$R$6:$R$1005,A555,'VÍNCULOS_CDF'!$AA$6:$AA$1005,1))</f>
        <v>0</v>
      </c>
      <c r="AF555" s="96">
        <f>IF(R555=0,0,COUNTIFS('VÍNCULOS_CDF'!$R$6:$R$1005,A555,'VÍNCULOS_CDF'!$Y$6:$Y$1005,1))</f>
        <v>0</v>
      </c>
      <c r="AG555" s="96" t="str">
        <f>IF(AND(R555=1,S555&lt;&gt;"",C555&lt;&gt;""),S555&amp;"|"&amp;C555&amp;"|"&amp;G555&amp;"|"&amp;H555,"")</f>
        <v/>
      </c>
      <c r="AH555" s="96">
        <f>IF(AG555="",0,IF(SUMPRODUCT(--($AG$6:$AG$1005=AG555))&gt;1,1,0))</f>
        <v>0</v>
      </c>
      <c r="AI555" s="96">
        <f>IF(R555=0,0,IF(OR(U555=0,V555=0,Y555=0,AND(AH555=1,K555&lt;&gt;"Sim")),1,0))</f>
        <v>0</v>
      </c>
      <c r="AJ555" s="96">
        <f>IF(AND(R555=1,AA555&gt;0,AB555=AA555),1,0)</f>
        <v>0</v>
      </c>
      <c r="AK555" s="96">
        <f>IF(R555=0,0,IF(AA555&gt;0,N(L555),IF(ISNUMBER(I555),I555,0)))</f>
        <v>0</v>
      </c>
      <c r="AL555" s="96">
        <f>IF(R555=0,0,IF(AND(K555&lt;&gt;"Sim",N(M555)&gt;AK555+cfg_tol),1,0))</f>
        <v>0</v>
      </c>
      <c r="AM555" s="96">
        <f>IF(R555=0,0,IF(K555="Sim",0,IF(OR(AND(AA555&gt;0,ISNUMBER(I555),ABS(I555-N(L555))&gt;cfg_tol),AL555=1),1,0)))</f>
        <v>0</v>
      </c>
      <c r="AN555" s="96">
        <f>IF(AND(R555=1,N(M555)&gt;0,OR(N(M555)&gt;=AK555-cfg_tol,K555="Sim")),1,0)</f>
        <v>0</v>
      </c>
      <c r="AO555" s="96">
        <f>IF(AND(AN555=1,AD555&gt;0,AE555=AD555,AL555=0),1,0)</f>
        <v>0</v>
      </c>
      <c r="AP555" s="96">
        <f>IF(U555=0,0,IF(AND(INDEX('MTRs'!$AX$6:$AX$505,T555)=1,Z555=0,OR(f_res="",f_res="(Todos)",C555=f_res)),1,0))</f>
        <v>0</v>
      </c>
      <c r="AQ555" s="97" t="str">
        <f>IF(U555=0,"",INDEX('MTRs'!$AZ$6:$AZ$505,T555))</f>
        <v/>
      </c>
      <c r="AR555" s="96">
        <f>IF(U555=0,0,IF(AND(INDEX('MTRs'!$BA$6:$BA$505,T555)=1,Z555=0),1,0))</f>
        <v>0</v>
      </c>
      <c r="AS555" s="96" t="str">
        <f>IF(R555=1,A555&amp;" | MTR "&amp;IF(U555=1,INDEX('MTRs'!$B$6:$B$505,T555)&amp;"","?")&amp;" | "&amp;IF(C555="","(sem resíduo)",C555),"")</f>
        <v/>
      </c>
      <c r="AT555" s="96" t="str">
        <f>IF(R555=1,COUNTIF($R$6:R555,1),"")</f>
        <v/>
      </c>
      <c r="AU555" s="96" t="str">
        <f>IF(U555=1,INDEX('MTRs'!$I$6:$I$505,T555)&amp;"","")</f>
        <v/>
      </c>
    </row>
    <row r="556">
      <c r="A556" s="89" t="inlineStr">
        <is>
          <t>IT-000551</t>
        </is>
      </c>
      <c r="B556" s="91" t="n"/>
      <c r="C556" s="91" t="n"/>
      <c r="D556" s="94" t="str">
        <f>IF(OR(R556=0,V556=0),"",INDEX('CAD_RESÍDUOS'!$E$6:$E$205,MATCH(C556,'CAD_RESÍDUOS'!$B$6:$B$205,0))&amp;"")</f>
        <v/>
      </c>
      <c r="E556" s="94" t="str">
        <f>IF(OR(R556=0,V556=0),"",INDEX('CAD_RESÍDUOS'!$C$6:$C$205,MATCH(C556,'CAD_RESÍDUOS'!$B$6:$B$205,0))&amp;"")</f>
        <v/>
      </c>
      <c r="F556" s="94" t="str">
        <f>IF(OR(R556=0,V556=0),"",INDEX('CAD_RESÍDUOS'!$G$6:$G$205,MATCH(C556,'CAD_RESÍDUOS'!$B$6:$B$205,0))&amp;"")</f>
        <v/>
      </c>
      <c r="G556" s="98" t="n"/>
      <c r="H556" s="91" t="n"/>
      <c r="I556" s="93" t="str">
        <f>IF(R556=0,"",IF(NOT(ISNUMBER(G556)),"",IF(ISNUMBER(X556),G556*X556,"UNIDADE A CONFERIR")))</f>
        <v/>
      </c>
      <c r="J556" s="91" t="n"/>
      <c r="K556" s="91" t="n"/>
      <c r="L556" s="93" t="str">
        <f>IF(R556=0,"",SUMIFS('RECEBIMENTOS'!$H$6:$H$1005,'RECEBIMENTOS'!$R$6:$R$1005,A556,'RECEBIMENTOS'!$X$6:$X$1005,1))</f>
        <v/>
      </c>
      <c r="M556" s="93" t="str">
        <f>IF(R556=0,"",SUMIFS('VÍNCULOS_CDF'!$H$6:$H$1005,'VÍNCULOS_CDF'!$R$6:$R$1005,A556,'VÍNCULOS_CDF'!$V$6:$V$1005,1))</f>
        <v/>
      </c>
      <c r="N556" s="99" t="str">
        <f>IF(OR(R556=0,AA556=0,NOT(ISNUMBER(I556))),"",I556-N(L556))</f>
        <v/>
      </c>
      <c r="O556" s="100" t="str">
        <f>IF(OR(R556=0,AK556&lt;=0),"",N(M556)/AK556)</f>
        <v/>
      </c>
      <c r="P556" s="94" t="str">
        <f>IF(R556=0,"",IF(S556="","Sem MTR associado",IF(U556=0,"MTR inexistente",IF(C556="","Resíduo não identificado",IF(V556=0,"Resíduo fora do cadastro",IF(W556=0,"Quantidade inválida",IF(H556="","Unidade não informada",IF(NOT(ISNUMBER(I556)),"Unidade a conferir",IF(AND(AH556=1,K556&lt;&gt;"Sim"),"Possível duplicidade",IF(Z556=1,"MTR cancelado",IF(AC556&gt;0,"Recebimento com alerta",IF(AA556=0,"Aguardando recebimento",IF(AB556&lt;AA556,"Recebimento a conferir",IF(AM556=1,"Quantidade a revisar",IF(AF556&gt;0,"Vínculo a revisar",IF(AD556=0,"Aguardando CDF",IF(AN556=0,"Vínculo de CDF parcial",IF(AE556&lt;AD556,"CDF a conferir","Documentação conferida"))))))))))))))))))</f>
        <v/>
      </c>
      <c r="Q556" s="93" t="str">
        <f>IF(OR(R556=0,AA556=0),"",MAX(0,N(L556)-N(M556)))</f>
        <v/>
      </c>
      <c r="R556" s="96">
        <f>IF(COUNTA(B556:C556,G556:H556,J556:K556)&gt;0,1,0)</f>
        <v>0</v>
      </c>
      <c r="S556" s="96" t="str">
        <f>IF(B556="","",TRIM(LEFT(B556,FIND(" |",B556&amp;" |")-1)))</f>
        <v/>
      </c>
      <c r="T556" s="96" t="str">
        <f>IF(S556="","",IFERROR(MATCH(S556,'MTRs'!$A$6:$A$505,0),""))</f>
        <v/>
      </c>
      <c r="U556" s="96">
        <f>IF(T556="",0,IF(INDEX('MTRs'!$Z$6:$Z$505,T556)=1,1,0))</f>
        <v>0</v>
      </c>
      <c r="V556" s="96">
        <f>IF(C556="",0,IF(ISNUMBER(MATCH(C556,'CAD_RESÍDUOS'!$B$6:$B$205,0)),1,0))</f>
        <v>0</v>
      </c>
      <c r="W556" s="96">
        <f>IF(AND(ISNUMBER(G556),G556&gt;0),1,0)</f>
        <v>0</v>
      </c>
      <c r="X556" s="96" t="str">
        <f>IF(H556="","",IFERROR(IF(ISNUMBER(INDEX(cfg_fac,MATCH(H556,cfg_units,0))),IF(INDEX(cfg_fac,MATCH(H556,cfg_units,0))&gt;0,INDEX(cfg_fac,MATCH(H556,cfg_units,0)),""),""),""))</f>
        <v/>
      </c>
      <c r="Y556" s="96">
        <f>IF(AND(W556=1,ISNUMBER(I556)),1,0)</f>
        <v>0</v>
      </c>
      <c r="Z556" s="96">
        <f>IF(U556=1,INDEX('MTRs'!$AA$6:$AA$505,T556),0)</f>
        <v>0</v>
      </c>
      <c r="AA556" s="96">
        <f>IF(R556=0,0,COUNTIFS('RECEBIMENTOS'!$R$6:$R$1005,A556,'RECEBIMENTOS'!$Q$6:$Q$1005,1))</f>
        <v>0</v>
      </c>
      <c r="AB556" s="96">
        <f>IF(R556=0,0,COUNTIFS('RECEBIMENTOS'!$R$6:$R$1005,A556,'RECEBIMENTOS'!$Z$6:$Z$1005,1))</f>
        <v>0</v>
      </c>
      <c r="AC556" s="96">
        <f>IF(R556=0,0,COUNTIFS('RECEBIMENTOS'!$R$6:$R$1005,A556,'RECEBIMENTOS'!$Y$6:$Y$1005,1))</f>
        <v>0</v>
      </c>
      <c r="AD556" s="96">
        <f>IF(R556=0,0,COUNTIFS('VÍNCULOS_CDF'!$R$6:$R$1005,A556,'VÍNCULOS_CDF'!$N$6:$N$1005,1))</f>
        <v>0</v>
      </c>
      <c r="AE556" s="96">
        <f>IF(R556=0,0,COUNTIFS('VÍNCULOS_CDF'!$R$6:$R$1005,A556,'VÍNCULOS_CDF'!$AA$6:$AA$1005,1))</f>
        <v>0</v>
      </c>
      <c r="AF556" s="96">
        <f>IF(R556=0,0,COUNTIFS('VÍNCULOS_CDF'!$R$6:$R$1005,A556,'VÍNCULOS_CDF'!$Y$6:$Y$1005,1))</f>
        <v>0</v>
      </c>
      <c r="AG556" s="96" t="str">
        <f>IF(AND(R556=1,S556&lt;&gt;"",C556&lt;&gt;""),S556&amp;"|"&amp;C556&amp;"|"&amp;G556&amp;"|"&amp;H556,"")</f>
        <v/>
      </c>
      <c r="AH556" s="96">
        <f>IF(AG556="",0,IF(SUMPRODUCT(--($AG$6:$AG$1005=AG556))&gt;1,1,0))</f>
        <v>0</v>
      </c>
      <c r="AI556" s="96">
        <f>IF(R556=0,0,IF(OR(U556=0,V556=0,Y556=0,AND(AH556=1,K556&lt;&gt;"Sim")),1,0))</f>
        <v>0</v>
      </c>
      <c r="AJ556" s="96">
        <f>IF(AND(R556=1,AA556&gt;0,AB556=AA556),1,0)</f>
        <v>0</v>
      </c>
      <c r="AK556" s="96">
        <f>IF(R556=0,0,IF(AA556&gt;0,N(L556),IF(ISNUMBER(I556),I556,0)))</f>
        <v>0</v>
      </c>
      <c r="AL556" s="96">
        <f>IF(R556=0,0,IF(AND(K556&lt;&gt;"Sim",N(M556)&gt;AK556+cfg_tol),1,0))</f>
        <v>0</v>
      </c>
      <c r="AM556" s="96">
        <f>IF(R556=0,0,IF(K556="Sim",0,IF(OR(AND(AA556&gt;0,ISNUMBER(I556),ABS(I556-N(L556))&gt;cfg_tol),AL556=1),1,0)))</f>
        <v>0</v>
      </c>
      <c r="AN556" s="96">
        <f>IF(AND(R556=1,N(M556)&gt;0,OR(N(M556)&gt;=AK556-cfg_tol,K556="Sim")),1,0)</f>
        <v>0</v>
      </c>
      <c r="AO556" s="96">
        <f>IF(AND(AN556=1,AD556&gt;0,AE556=AD556,AL556=0),1,0)</f>
        <v>0</v>
      </c>
      <c r="AP556" s="96">
        <f>IF(U556=0,0,IF(AND(INDEX('MTRs'!$AX$6:$AX$505,T556)=1,Z556=0,OR(f_res="",f_res="(Todos)",C556=f_res)),1,0))</f>
        <v>0</v>
      </c>
      <c r="AQ556" s="97" t="str">
        <f>IF(U556=0,"",INDEX('MTRs'!$AZ$6:$AZ$505,T556))</f>
        <v/>
      </c>
      <c r="AR556" s="96">
        <f>IF(U556=0,0,IF(AND(INDEX('MTRs'!$BA$6:$BA$505,T556)=1,Z556=0),1,0))</f>
        <v>0</v>
      </c>
      <c r="AS556" s="96" t="str">
        <f>IF(R556=1,A556&amp;" | MTR "&amp;IF(U556=1,INDEX('MTRs'!$B$6:$B$505,T556)&amp;"","?")&amp;" | "&amp;IF(C556="","(sem resíduo)",C556),"")</f>
        <v/>
      </c>
      <c r="AT556" s="96" t="str">
        <f>IF(R556=1,COUNTIF($R$6:R556,1),"")</f>
        <v/>
      </c>
      <c r="AU556" s="96" t="str">
        <f>IF(U556=1,INDEX('MTRs'!$I$6:$I$505,T556)&amp;"","")</f>
        <v/>
      </c>
    </row>
    <row r="557">
      <c r="A557" s="89" t="inlineStr">
        <is>
          <t>IT-000552</t>
        </is>
      </c>
      <c r="B557" s="91" t="n"/>
      <c r="C557" s="91" t="n"/>
      <c r="D557" s="94" t="str">
        <f>IF(OR(R557=0,V557=0),"",INDEX('CAD_RESÍDUOS'!$E$6:$E$205,MATCH(C557,'CAD_RESÍDUOS'!$B$6:$B$205,0))&amp;"")</f>
        <v/>
      </c>
      <c r="E557" s="94" t="str">
        <f>IF(OR(R557=0,V557=0),"",INDEX('CAD_RESÍDUOS'!$C$6:$C$205,MATCH(C557,'CAD_RESÍDUOS'!$B$6:$B$205,0))&amp;"")</f>
        <v/>
      </c>
      <c r="F557" s="94" t="str">
        <f>IF(OR(R557=0,V557=0),"",INDEX('CAD_RESÍDUOS'!$G$6:$G$205,MATCH(C557,'CAD_RESÍDUOS'!$B$6:$B$205,0))&amp;"")</f>
        <v/>
      </c>
      <c r="G557" s="98" t="n"/>
      <c r="H557" s="91" t="n"/>
      <c r="I557" s="93" t="str">
        <f>IF(R557=0,"",IF(NOT(ISNUMBER(G557)),"",IF(ISNUMBER(X557),G557*X557,"UNIDADE A CONFERIR")))</f>
        <v/>
      </c>
      <c r="J557" s="91" t="n"/>
      <c r="K557" s="91" t="n"/>
      <c r="L557" s="93" t="str">
        <f>IF(R557=0,"",SUMIFS('RECEBIMENTOS'!$H$6:$H$1005,'RECEBIMENTOS'!$R$6:$R$1005,A557,'RECEBIMENTOS'!$X$6:$X$1005,1))</f>
        <v/>
      </c>
      <c r="M557" s="93" t="str">
        <f>IF(R557=0,"",SUMIFS('VÍNCULOS_CDF'!$H$6:$H$1005,'VÍNCULOS_CDF'!$R$6:$R$1005,A557,'VÍNCULOS_CDF'!$V$6:$V$1005,1))</f>
        <v/>
      </c>
      <c r="N557" s="99" t="str">
        <f>IF(OR(R557=0,AA557=0,NOT(ISNUMBER(I557))),"",I557-N(L557))</f>
        <v/>
      </c>
      <c r="O557" s="100" t="str">
        <f>IF(OR(R557=0,AK557&lt;=0),"",N(M557)/AK557)</f>
        <v/>
      </c>
      <c r="P557" s="94" t="str">
        <f>IF(R557=0,"",IF(S557="","Sem MTR associado",IF(U557=0,"MTR inexistente",IF(C557="","Resíduo não identificado",IF(V557=0,"Resíduo fora do cadastro",IF(W557=0,"Quantidade inválida",IF(H557="","Unidade não informada",IF(NOT(ISNUMBER(I557)),"Unidade a conferir",IF(AND(AH557=1,K557&lt;&gt;"Sim"),"Possível duplicidade",IF(Z557=1,"MTR cancelado",IF(AC557&gt;0,"Recebimento com alerta",IF(AA557=0,"Aguardando recebimento",IF(AB557&lt;AA557,"Recebimento a conferir",IF(AM557=1,"Quantidade a revisar",IF(AF557&gt;0,"Vínculo a revisar",IF(AD557=0,"Aguardando CDF",IF(AN557=0,"Vínculo de CDF parcial",IF(AE557&lt;AD557,"CDF a conferir","Documentação conferida"))))))))))))))))))</f>
        <v/>
      </c>
      <c r="Q557" s="93" t="str">
        <f>IF(OR(R557=0,AA557=0),"",MAX(0,N(L557)-N(M557)))</f>
        <v/>
      </c>
      <c r="R557" s="96">
        <f>IF(COUNTA(B557:C557,G557:H557,J557:K557)&gt;0,1,0)</f>
        <v>0</v>
      </c>
      <c r="S557" s="96" t="str">
        <f>IF(B557="","",TRIM(LEFT(B557,FIND(" |",B557&amp;" |")-1)))</f>
        <v/>
      </c>
      <c r="T557" s="96" t="str">
        <f>IF(S557="","",IFERROR(MATCH(S557,'MTRs'!$A$6:$A$505,0),""))</f>
        <v/>
      </c>
      <c r="U557" s="96">
        <f>IF(T557="",0,IF(INDEX('MTRs'!$Z$6:$Z$505,T557)=1,1,0))</f>
        <v>0</v>
      </c>
      <c r="V557" s="96">
        <f>IF(C557="",0,IF(ISNUMBER(MATCH(C557,'CAD_RESÍDUOS'!$B$6:$B$205,0)),1,0))</f>
        <v>0</v>
      </c>
      <c r="W557" s="96">
        <f>IF(AND(ISNUMBER(G557),G557&gt;0),1,0)</f>
        <v>0</v>
      </c>
      <c r="X557" s="96" t="str">
        <f>IF(H557="","",IFERROR(IF(ISNUMBER(INDEX(cfg_fac,MATCH(H557,cfg_units,0))),IF(INDEX(cfg_fac,MATCH(H557,cfg_units,0))&gt;0,INDEX(cfg_fac,MATCH(H557,cfg_units,0)),""),""),""))</f>
        <v/>
      </c>
      <c r="Y557" s="96">
        <f>IF(AND(W557=1,ISNUMBER(I557)),1,0)</f>
        <v>0</v>
      </c>
      <c r="Z557" s="96">
        <f>IF(U557=1,INDEX('MTRs'!$AA$6:$AA$505,T557),0)</f>
        <v>0</v>
      </c>
      <c r="AA557" s="96">
        <f>IF(R557=0,0,COUNTIFS('RECEBIMENTOS'!$R$6:$R$1005,A557,'RECEBIMENTOS'!$Q$6:$Q$1005,1))</f>
        <v>0</v>
      </c>
      <c r="AB557" s="96">
        <f>IF(R557=0,0,COUNTIFS('RECEBIMENTOS'!$R$6:$R$1005,A557,'RECEBIMENTOS'!$Z$6:$Z$1005,1))</f>
        <v>0</v>
      </c>
      <c r="AC557" s="96">
        <f>IF(R557=0,0,COUNTIFS('RECEBIMENTOS'!$R$6:$R$1005,A557,'RECEBIMENTOS'!$Y$6:$Y$1005,1))</f>
        <v>0</v>
      </c>
      <c r="AD557" s="96">
        <f>IF(R557=0,0,COUNTIFS('VÍNCULOS_CDF'!$R$6:$R$1005,A557,'VÍNCULOS_CDF'!$N$6:$N$1005,1))</f>
        <v>0</v>
      </c>
      <c r="AE557" s="96">
        <f>IF(R557=0,0,COUNTIFS('VÍNCULOS_CDF'!$R$6:$R$1005,A557,'VÍNCULOS_CDF'!$AA$6:$AA$1005,1))</f>
        <v>0</v>
      </c>
      <c r="AF557" s="96">
        <f>IF(R557=0,0,COUNTIFS('VÍNCULOS_CDF'!$R$6:$R$1005,A557,'VÍNCULOS_CDF'!$Y$6:$Y$1005,1))</f>
        <v>0</v>
      </c>
      <c r="AG557" s="96" t="str">
        <f>IF(AND(R557=1,S557&lt;&gt;"",C557&lt;&gt;""),S557&amp;"|"&amp;C557&amp;"|"&amp;G557&amp;"|"&amp;H557,"")</f>
        <v/>
      </c>
      <c r="AH557" s="96">
        <f>IF(AG557="",0,IF(SUMPRODUCT(--($AG$6:$AG$1005=AG557))&gt;1,1,0))</f>
        <v>0</v>
      </c>
      <c r="AI557" s="96">
        <f>IF(R557=0,0,IF(OR(U557=0,V557=0,Y557=0,AND(AH557=1,K557&lt;&gt;"Sim")),1,0))</f>
        <v>0</v>
      </c>
      <c r="AJ557" s="96">
        <f>IF(AND(R557=1,AA557&gt;0,AB557=AA557),1,0)</f>
        <v>0</v>
      </c>
      <c r="AK557" s="96">
        <f>IF(R557=0,0,IF(AA557&gt;0,N(L557),IF(ISNUMBER(I557),I557,0)))</f>
        <v>0</v>
      </c>
      <c r="AL557" s="96">
        <f>IF(R557=0,0,IF(AND(K557&lt;&gt;"Sim",N(M557)&gt;AK557+cfg_tol),1,0))</f>
        <v>0</v>
      </c>
      <c r="AM557" s="96">
        <f>IF(R557=0,0,IF(K557="Sim",0,IF(OR(AND(AA557&gt;0,ISNUMBER(I557),ABS(I557-N(L557))&gt;cfg_tol),AL557=1),1,0)))</f>
        <v>0</v>
      </c>
      <c r="AN557" s="96">
        <f>IF(AND(R557=1,N(M557)&gt;0,OR(N(M557)&gt;=AK557-cfg_tol,K557="Sim")),1,0)</f>
        <v>0</v>
      </c>
      <c r="AO557" s="96">
        <f>IF(AND(AN557=1,AD557&gt;0,AE557=AD557,AL557=0),1,0)</f>
        <v>0</v>
      </c>
      <c r="AP557" s="96">
        <f>IF(U557=0,0,IF(AND(INDEX('MTRs'!$AX$6:$AX$505,T557)=1,Z557=0,OR(f_res="",f_res="(Todos)",C557=f_res)),1,0))</f>
        <v>0</v>
      </c>
      <c r="AQ557" s="97" t="str">
        <f>IF(U557=0,"",INDEX('MTRs'!$AZ$6:$AZ$505,T557))</f>
        <v/>
      </c>
      <c r="AR557" s="96">
        <f>IF(U557=0,0,IF(AND(INDEX('MTRs'!$BA$6:$BA$505,T557)=1,Z557=0),1,0))</f>
        <v>0</v>
      </c>
      <c r="AS557" s="96" t="str">
        <f>IF(R557=1,A557&amp;" | MTR "&amp;IF(U557=1,INDEX('MTRs'!$B$6:$B$505,T557)&amp;"","?")&amp;" | "&amp;IF(C557="","(sem resíduo)",C557),"")</f>
        <v/>
      </c>
      <c r="AT557" s="96" t="str">
        <f>IF(R557=1,COUNTIF($R$6:R557,1),"")</f>
        <v/>
      </c>
      <c r="AU557" s="96" t="str">
        <f>IF(U557=1,INDEX('MTRs'!$I$6:$I$505,T557)&amp;"","")</f>
        <v/>
      </c>
    </row>
    <row r="558">
      <c r="A558" s="89" t="inlineStr">
        <is>
          <t>IT-000553</t>
        </is>
      </c>
      <c r="B558" s="91" t="n"/>
      <c r="C558" s="91" t="n"/>
      <c r="D558" s="94" t="str">
        <f>IF(OR(R558=0,V558=0),"",INDEX('CAD_RESÍDUOS'!$E$6:$E$205,MATCH(C558,'CAD_RESÍDUOS'!$B$6:$B$205,0))&amp;"")</f>
        <v/>
      </c>
      <c r="E558" s="94" t="str">
        <f>IF(OR(R558=0,V558=0),"",INDEX('CAD_RESÍDUOS'!$C$6:$C$205,MATCH(C558,'CAD_RESÍDUOS'!$B$6:$B$205,0))&amp;"")</f>
        <v/>
      </c>
      <c r="F558" s="94" t="str">
        <f>IF(OR(R558=0,V558=0),"",INDEX('CAD_RESÍDUOS'!$G$6:$G$205,MATCH(C558,'CAD_RESÍDUOS'!$B$6:$B$205,0))&amp;"")</f>
        <v/>
      </c>
      <c r="G558" s="98" t="n"/>
      <c r="H558" s="91" t="n"/>
      <c r="I558" s="93" t="str">
        <f>IF(R558=0,"",IF(NOT(ISNUMBER(G558)),"",IF(ISNUMBER(X558),G558*X558,"UNIDADE A CONFERIR")))</f>
        <v/>
      </c>
      <c r="J558" s="91" t="n"/>
      <c r="K558" s="91" t="n"/>
      <c r="L558" s="93" t="str">
        <f>IF(R558=0,"",SUMIFS('RECEBIMENTOS'!$H$6:$H$1005,'RECEBIMENTOS'!$R$6:$R$1005,A558,'RECEBIMENTOS'!$X$6:$X$1005,1))</f>
        <v/>
      </c>
      <c r="M558" s="93" t="str">
        <f>IF(R558=0,"",SUMIFS('VÍNCULOS_CDF'!$H$6:$H$1005,'VÍNCULOS_CDF'!$R$6:$R$1005,A558,'VÍNCULOS_CDF'!$V$6:$V$1005,1))</f>
        <v/>
      </c>
      <c r="N558" s="99" t="str">
        <f>IF(OR(R558=0,AA558=0,NOT(ISNUMBER(I558))),"",I558-N(L558))</f>
        <v/>
      </c>
      <c r="O558" s="100" t="str">
        <f>IF(OR(R558=0,AK558&lt;=0),"",N(M558)/AK558)</f>
        <v/>
      </c>
      <c r="P558" s="94" t="str">
        <f>IF(R558=0,"",IF(S558="","Sem MTR associado",IF(U558=0,"MTR inexistente",IF(C558="","Resíduo não identificado",IF(V558=0,"Resíduo fora do cadastro",IF(W558=0,"Quantidade inválida",IF(H558="","Unidade não informada",IF(NOT(ISNUMBER(I558)),"Unidade a conferir",IF(AND(AH558=1,K558&lt;&gt;"Sim"),"Possível duplicidade",IF(Z558=1,"MTR cancelado",IF(AC558&gt;0,"Recebimento com alerta",IF(AA558=0,"Aguardando recebimento",IF(AB558&lt;AA558,"Recebimento a conferir",IF(AM558=1,"Quantidade a revisar",IF(AF558&gt;0,"Vínculo a revisar",IF(AD558=0,"Aguardando CDF",IF(AN558=0,"Vínculo de CDF parcial",IF(AE558&lt;AD558,"CDF a conferir","Documentação conferida"))))))))))))))))))</f>
        <v/>
      </c>
      <c r="Q558" s="93" t="str">
        <f>IF(OR(R558=0,AA558=0),"",MAX(0,N(L558)-N(M558)))</f>
        <v/>
      </c>
      <c r="R558" s="96">
        <f>IF(COUNTA(B558:C558,G558:H558,J558:K558)&gt;0,1,0)</f>
        <v>0</v>
      </c>
      <c r="S558" s="96" t="str">
        <f>IF(B558="","",TRIM(LEFT(B558,FIND(" |",B558&amp;" |")-1)))</f>
        <v/>
      </c>
      <c r="T558" s="96" t="str">
        <f>IF(S558="","",IFERROR(MATCH(S558,'MTRs'!$A$6:$A$505,0),""))</f>
        <v/>
      </c>
      <c r="U558" s="96">
        <f>IF(T558="",0,IF(INDEX('MTRs'!$Z$6:$Z$505,T558)=1,1,0))</f>
        <v>0</v>
      </c>
      <c r="V558" s="96">
        <f>IF(C558="",0,IF(ISNUMBER(MATCH(C558,'CAD_RESÍDUOS'!$B$6:$B$205,0)),1,0))</f>
        <v>0</v>
      </c>
      <c r="W558" s="96">
        <f>IF(AND(ISNUMBER(G558),G558&gt;0),1,0)</f>
        <v>0</v>
      </c>
      <c r="X558" s="96" t="str">
        <f>IF(H558="","",IFERROR(IF(ISNUMBER(INDEX(cfg_fac,MATCH(H558,cfg_units,0))),IF(INDEX(cfg_fac,MATCH(H558,cfg_units,0))&gt;0,INDEX(cfg_fac,MATCH(H558,cfg_units,0)),""),""),""))</f>
        <v/>
      </c>
      <c r="Y558" s="96">
        <f>IF(AND(W558=1,ISNUMBER(I558)),1,0)</f>
        <v>0</v>
      </c>
      <c r="Z558" s="96">
        <f>IF(U558=1,INDEX('MTRs'!$AA$6:$AA$505,T558),0)</f>
        <v>0</v>
      </c>
      <c r="AA558" s="96">
        <f>IF(R558=0,0,COUNTIFS('RECEBIMENTOS'!$R$6:$R$1005,A558,'RECEBIMENTOS'!$Q$6:$Q$1005,1))</f>
        <v>0</v>
      </c>
      <c r="AB558" s="96">
        <f>IF(R558=0,0,COUNTIFS('RECEBIMENTOS'!$R$6:$R$1005,A558,'RECEBIMENTOS'!$Z$6:$Z$1005,1))</f>
        <v>0</v>
      </c>
      <c r="AC558" s="96">
        <f>IF(R558=0,0,COUNTIFS('RECEBIMENTOS'!$R$6:$R$1005,A558,'RECEBIMENTOS'!$Y$6:$Y$1005,1))</f>
        <v>0</v>
      </c>
      <c r="AD558" s="96">
        <f>IF(R558=0,0,COUNTIFS('VÍNCULOS_CDF'!$R$6:$R$1005,A558,'VÍNCULOS_CDF'!$N$6:$N$1005,1))</f>
        <v>0</v>
      </c>
      <c r="AE558" s="96">
        <f>IF(R558=0,0,COUNTIFS('VÍNCULOS_CDF'!$R$6:$R$1005,A558,'VÍNCULOS_CDF'!$AA$6:$AA$1005,1))</f>
        <v>0</v>
      </c>
      <c r="AF558" s="96">
        <f>IF(R558=0,0,COUNTIFS('VÍNCULOS_CDF'!$R$6:$R$1005,A558,'VÍNCULOS_CDF'!$Y$6:$Y$1005,1))</f>
        <v>0</v>
      </c>
      <c r="AG558" s="96" t="str">
        <f>IF(AND(R558=1,S558&lt;&gt;"",C558&lt;&gt;""),S558&amp;"|"&amp;C558&amp;"|"&amp;G558&amp;"|"&amp;H558,"")</f>
        <v/>
      </c>
      <c r="AH558" s="96">
        <f>IF(AG558="",0,IF(SUMPRODUCT(--($AG$6:$AG$1005=AG558))&gt;1,1,0))</f>
        <v>0</v>
      </c>
      <c r="AI558" s="96">
        <f>IF(R558=0,0,IF(OR(U558=0,V558=0,Y558=0,AND(AH558=1,K558&lt;&gt;"Sim")),1,0))</f>
        <v>0</v>
      </c>
      <c r="AJ558" s="96">
        <f>IF(AND(R558=1,AA558&gt;0,AB558=AA558),1,0)</f>
        <v>0</v>
      </c>
      <c r="AK558" s="96">
        <f>IF(R558=0,0,IF(AA558&gt;0,N(L558),IF(ISNUMBER(I558),I558,0)))</f>
        <v>0</v>
      </c>
      <c r="AL558" s="96">
        <f>IF(R558=0,0,IF(AND(K558&lt;&gt;"Sim",N(M558)&gt;AK558+cfg_tol),1,0))</f>
        <v>0</v>
      </c>
      <c r="AM558" s="96">
        <f>IF(R558=0,0,IF(K558="Sim",0,IF(OR(AND(AA558&gt;0,ISNUMBER(I558),ABS(I558-N(L558))&gt;cfg_tol),AL558=1),1,0)))</f>
        <v>0</v>
      </c>
      <c r="AN558" s="96">
        <f>IF(AND(R558=1,N(M558)&gt;0,OR(N(M558)&gt;=AK558-cfg_tol,K558="Sim")),1,0)</f>
        <v>0</v>
      </c>
      <c r="AO558" s="96">
        <f>IF(AND(AN558=1,AD558&gt;0,AE558=AD558,AL558=0),1,0)</f>
        <v>0</v>
      </c>
      <c r="AP558" s="96">
        <f>IF(U558=0,0,IF(AND(INDEX('MTRs'!$AX$6:$AX$505,T558)=1,Z558=0,OR(f_res="",f_res="(Todos)",C558=f_res)),1,0))</f>
        <v>0</v>
      </c>
      <c r="AQ558" s="97" t="str">
        <f>IF(U558=0,"",INDEX('MTRs'!$AZ$6:$AZ$505,T558))</f>
        <v/>
      </c>
      <c r="AR558" s="96">
        <f>IF(U558=0,0,IF(AND(INDEX('MTRs'!$BA$6:$BA$505,T558)=1,Z558=0),1,0))</f>
        <v>0</v>
      </c>
      <c r="AS558" s="96" t="str">
        <f>IF(R558=1,A558&amp;" | MTR "&amp;IF(U558=1,INDEX('MTRs'!$B$6:$B$505,T558)&amp;"","?")&amp;" | "&amp;IF(C558="","(sem resíduo)",C558),"")</f>
        <v/>
      </c>
      <c r="AT558" s="96" t="str">
        <f>IF(R558=1,COUNTIF($R$6:R558,1),"")</f>
        <v/>
      </c>
      <c r="AU558" s="96" t="str">
        <f>IF(U558=1,INDEX('MTRs'!$I$6:$I$505,T558)&amp;"","")</f>
        <v/>
      </c>
    </row>
    <row r="559">
      <c r="A559" s="89" t="inlineStr">
        <is>
          <t>IT-000554</t>
        </is>
      </c>
      <c r="B559" s="91" t="n"/>
      <c r="C559" s="91" t="n"/>
      <c r="D559" s="94" t="str">
        <f>IF(OR(R559=0,V559=0),"",INDEX('CAD_RESÍDUOS'!$E$6:$E$205,MATCH(C559,'CAD_RESÍDUOS'!$B$6:$B$205,0))&amp;"")</f>
        <v/>
      </c>
      <c r="E559" s="94" t="str">
        <f>IF(OR(R559=0,V559=0),"",INDEX('CAD_RESÍDUOS'!$C$6:$C$205,MATCH(C559,'CAD_RESÍDUOS'!$B$6:$B$205,0))&amp;"")</f>
        <v/>
      </c>
      <c r="F559" s="94" t="str">
        <f>IF(OR(R559=0,V559=0),"",INDEX('CAD_RESÍDUOS'!$G$6:$G$205,MATCH(C559,'CAD_RESÍDUOS'!$B$6:$B$205,0))&amp;"")</f>
        <v/>
      </c>
      <c r="G559" s="98" t="n"/>
      <c r="H559" s="91" t="n"/>
      <c r="I559" s="93" t="str">
        <f>IF(R559=0,"",IF(NOT(ISNUMBER(G559)),"",IF(ISNUMBER(X559),G559*X559,"UNIDADE A CONFERIR")))</f>
        <v/>
      </c>
      <c r="J559" s="91" t="n"/>
      <c r="K559" s="91" t="n"/>
      <c r="L559" s="93" t="str">
        <f>IF(R559=0,"",SUMIFS('RECEBIMENTOS'!$H$6:$H$1005,'RECEBIMENTOS'!$R$6:$R$1005,A559,'RECEBIMENTOS'!$X$6:$X$1005,1))</f>
        <v/>
      </c>
      <c r="M559" s="93" t="str">
        <f>IF(R559=0,"",SUMIFS('VÍNCULOS_CDF'!$H$6:$H$1005,'VÍNCULOS_CDF'!$R$6:$R$1005,A559,'VÍNCULOS_CDF'!$V$6:$V$1005,1))</f>
        <v/>
      </c>
      <c r="N559" s="99" t="str">
        <f>IF(OR(R559=0,AA559=0,NOT(ISNUMBER(I559))),"",I559-N(L559))</f>
        <v/>
      </c>
      <c r="O559" s="100" t="str">
        <f>IF(OR(R559=0,AK559&lt;=0),"",N(M559)/AK559)</f>
        <v/>
      </c>
      <c r="P559" s="94" t="str">
        <f>IF(R559=0,"",IF(S559="","Sem MTR associado",IF(U559=0,"MTR inexistente",IF(C559="","Resíduo não identificado",IF(V559=0,"Resíduo fora do cadastro",IF(W559=0,"Quantidade inválida",IF(H559="","Unidade não informada",IF(NOT(ISNUMBER(I559)),"Unidade a conferir",IF(AND(AH559=1,K559&lt;&gt;"Sim"),"Possível duplicidade",IF(Z559=1,"MTR cancelado",IF(AC559&gt;0,"Recebimento com alerta",IF(AA559=0,"Aguardando recebimento",IF(AB559&lt;AA559,"Recebimento a conferir",IF(AM559=1,"Quantidade a revisar",IF(AF559&gt;0,"Vínculo a revisar",IF(AD559=0,"Aguardando CDF",IF(AN559=0,"Vínculo de CDF parcial",IF(AE559&lt;AD559,"CDF a conferir","Documentação conferida"))))))))))))))))))</f>
        <v/>
      </c>
      <c r="Q559" s="93" t="str">
        <f>IF(OR(R559=0,AA559=0),"",MAX(0,N(L559)-N(M559)))</f>
        <v/>
      </c>
      <c r="R559" s="96">
        <f>IF(COUNTA(B559:C559,G559:H559,J559:K559)&gt;0,1,0)</f>
        <v>0</v>
      </c>
      <c r="S559" s="96" t="str">
        <f>IF(B559="","",TRIM(LEFT(B559,FIND(" |",B559&amp;" |")-1)))</f>
        <v/>
      </c>
      <c r="T559" s="96" t="str">
        <f>IF(S559="","",IFERROR(MATCH(S559,'MTRs'!$A$6:$A$505,0),""))</f>
        <v/>
      </c>
      <c r="U559" s="96">
        <f>IF(T559="",0,IF(INDEX('MTRs'!$Z$6:$Z$505,T559)=1,1,0))</f>
        <v>0</v>
      </c>
      <c r="V559" s="96">
        <f>IF(C559="",0,IF(ISNUMBER(MATCH(C559,'CAD_RESÍDUOS'!$B$6:$B$205,0)),1,0))</f>
        <v>0</v>
      </c>
      <c r="W559" s="96">
        <f>IF(AND(ISNUMBER(G559),G559&gt;0),1,0)</f>
        <v>0</v>
      </c>
      <c r="X559" s="96" t="str">
        <f>IF(H559="","",IFERROR(IF(ISNUMBER(INDEX(cfg_fac,MATCH(H559,cfg_units,0))),IF(INDEX(cfg_fac,MATCH(H559,cfg_units,0))&gt;0,INDEX(cfg_fac,MATCH(H559,cfg_units,0)),""),""),""))</f>
        <v/>
      </c>
      <c r="Y559" s="96">
        <f>IF(AND(W559=1,ISNUMBER(I559)),1,0)</f>
        <v>0</v>
      </c>
      <c r="Z559" s="96">
        <f>IF(U559=1,INDEX('MTRs'!$AA$6:$AA$505,T559),0)</f>
        <v>0</v>
      </c>
      <c r="AA559" s="96">
        <f>IF(R559=0,0,COUNTIFS('RECEBIMENTOS'!$R$6:$R$1005,A559,'RECEBIMENTOS'!$Q$6:$Q$1005,1))</f>
        <v>0</v>
      </c>
      <c r="AB559" s="96">
        <f>IF(R559=0,0,COUNTIFS('RECEBIMENTOS'!$R$6:$R$1005,A559,'RECEBIMENTOS'!$Z$6:$Z$1005,1))</f>
        <v>0</v>
      </c>
      <c r="AC559" s="96">
        <f>IF(R559=0,0,COUNTIFS('RECEBIMENTOS'!$R$6:$R$1005,A559,'RECEBIMENTOS'!$Y$6:$Y$1005,1))</f>
        <v>0</v>
      </c>
      <c r="AD559" s="96">
        <f>IF(R559=0,0,COUNTIFS('VÍNCULOS_CDF'!$R$6:$R$1005,A559,'VÍNCULOS_CDF'!$N$6:$N$1005,1))</f>
        <v>0</v>
      </c>
      <c r="AE559" s="96">
        <f>IF(R559=0,0,COUNTIFS('VÍNCULOS_CDF'!$R$6:$R$1005,A559,'VÍNCULOS_CDF'!$AA$6:$AA$1005,1))</f>
        <v>0</v>
      </c>
      <c r="AF559" s="96">
        <f>IF(R559=0,0,COUNTIFS('VÍNCULOS_CDF'!$R$6:$R$1005,A559,'VÍNCULOS_CDF'!$Y$6:$Y$1005,1))</f>
        <v>0</v>
      </c>
      <c r="AG559" s="96" t="str">
        <f>IF(AND(R559=1,S559&lt;&gt;"",C559&lt;&gt;""),S559&amp;"|"&amp;C559&amp;"|"&amp;G559&amp;"|"&amp;H559,"")</f>
        <v/>
      </c>
      <c r="AH559" s="96">
        <f>IF(AG559="",0,IF(SUMPRODUCT(--($AG$6:$AG$1005=AG559))&gt;1,1,0))</f>
        <v>0</v>
      </c>
      <c r="AI559" s="96">
        <f>IF(R559=0,0,IF(OR(U559=0,V559=0,Y559=0,AND(AH559=1,K559&lt;&gt;"Sim")),1,0))</f>
        <v>0</v>
      </c>
      <c r="AJ559" s="96">
        <f>IF(AND(R559=1,AA559&gt;0,AB559=AA559),1,0)</f>
        <v>0</v>
      </c>
      <c r="AK559" s="96">
        <f>IF(R559=0,0,IF(AA559&gt;0,N(L559),IF(ISNUMBER(I559),I559,0)))</f>
        <v>0</v>
      </c>
      <c r="AL559" s="96">
        <f>IF(R559=0,0,IF(AND(K559&lt;&gt;"Sim",N(M559)&gt;AK559+cfg_tol),1,0))</f>
        <v>0</v>
      </c>
      <c r="AM559" s="96">
        <f>IF(R559=0,0,IF(K559="Sim",0,IF(OR(AND(AA559&gt;0,ISNUMBER(I559),ABS(I559-N(L559))&gt;cfg_tol),AL559=1),1,0)))</f>
        <v>0</v>
      </c>
      <c r="AN559" s="96">
        <f>IF(AND(R559=1,N(M559)&gt;0,OR(N(M559)&gt;=AK559-cfg_tol,K559="Sim")),1,0)</f>
        <v>0</v>
      </c>
      <c r="AO559" s="96">
        <f>IF(AND(AN559=1,AD559&gt;0,AE559=AD559,AL559=0),1,0)</f>
        <v>0</v>
      </c>
      <c r="AP559" s="96">
        <f>IF(U559=0,0,IF(AND(INDEX('MTRs'!$AX$6:$AX$505,T559)=1,Z559=0,OR(f_res="",f_res="(Todos)",C559=f_res)),1,0))</f>
        <v>0</v>
      </c>
      <c r="AQ559" s="97" t="str">
        <f>IF(U559=0,"",INDEX('MTRs'!$AZ$6:$AZ$505,T559))</f>
        <v/>
      </c>
      <c r="AR559" s="96">
        <f>IF(U559=0,0,IF(AND(INDEX('MTRs'!$BA$6:$BA$505,T559)=1,Z559=0),1,0))</f>
        <v>0</v>
      </c>
      <c r="AS559" s="96" t="str">
        <f>IF(R559=1,A559&amp;" | MTR "&amp;IF(U559=1,INDEX('MTRs'!$B$6:$B$505,T559)&amp;"","?")&amp;" | "&amp;IF(C559="","(sem resíduo)",C559),"")</f>
        <v/>
      </c>
      <c r="AT559" s="96" t="str">
        <f>IF(R559=1,COUNTIF($R$6:R559,1),"")</f>
        <v/>
      </c>
      <c r="AU559" s="96" t="str">
        <f>IF(U559=1,INDEX('MTRs'!$I$6:$I$505,T559)&amp;"","")</f>
        <v/>
      </c>
    </row>
    <row r="560">
      <c r="A560" s="89" t="inlineStr">
        <is>
          <t>IT-000555</t>
        </is>
      </c>
      <c r="B560" s="91" t="n"/>
      <c r="C560" s="91" t="n"/>
      <c r="D560" s="94" t="str">
        <f>IF(OR(R560=0,V560=0),"",INDEX('CAD_RESÍDUOS'!$E$6:$E$205,MATCH(C560,'CAD_RESÍDUOS'!$B$6:$B$205,0))&amp;"")</f>
        <v/>
      </c>
      <c r="E560" s="94" t="str">
        <f>IF(OR(R560=0,V560=0),"",INDEX('CAD_RESÍDUOS'!$C$6:$C$205,MATCH(C560,'CAD_RESÍDUOS'!$B$6:$B$205,0))&amp;"")</f>
        <v/>
      </c>
      <c r="F560" s="94" t="str">
        <f>IF(OR(R560=0,V560=0),"",INDEX('CAD_RESÍDUOS'!$G$6:$G$205,MATCH(C560,'CAD_RESÍDUOS'!$B$6:$B$205,0))&amp;"")</f>
        <v/>
      </c>
      <c r="G560" s="98" t="n"/>
      <c r="H560" s="91" t="n"/>
      <c r="I560" s="93" t="str">
        <f>IF(R560=0,"",IF(NOT(ISNUMBER(G560)),"",IF(ISNUMBER(X560),G560*X560,"UNIDADE A CONFERIR")))</f>
        <v/>
      </c>
      <c r="J560" s="91" t="n"/>
      <c r="K560" s="91" t="n"/>
      <c r="L560" s="93" t="str">
        <f>IF(R560=0,"",SUMIFS('RECEBIMENTOS'!$H$6:$H$1005,'RECEBIMENTOS'!$R$6:$R$1005,A560,'RECEBIMENTOS'!$X$6:$X$1005,1))</f>
        <v/>
      </c>
      <c r="M560" s="93" t="str">
        <f>IF(R560=0,"",SUMIFS('VÍNCULOS_CDF'!$H$6:$H$1005,'VÍNCULOS_CDF'!$R$6:$R$1005,A560,'VÍNCULOS_CDF'!$V$6:$V$1005,1))</f>
        <v/>
      </c>
      <c r="N560" s="99" t="str">
        <f>IF(OR(R560=0,AA560=0,NOT(ISNUMBER(I560))),"",I560-N(L560))</f>
        <v/>
      </c>
      <c r="O560" s="100" t="str">
        <f>IF(OR(R560=0,AK560&lt;=0),"",N(M560)/AK560)</f>
        <v/>
      </c>
      <c r="P560" s="94" t="str">
        <f>IF(R560=0,"",IF(S560="","Sem MTR associado",IF(U560=0,"MTR inexistente",IF(C560="","Resíduo não identificado",IF(V560=0,"Resíduo fora do cadastro",IF(W560=0,"Quantidade inválida",IF(H560="","Unidade não informada",IF(NOT(ISNUMBER(I560)),"Unidade a conferir",IF(AND(AH560=1,K560&lt;&gt;"Sim"),"Possível duplicidade",IF(Z560=1,"MTR cancelado",IF(AC560&gt;0,"Recebimento com alerta",IF(AA560=0,"Aguardando recebimento",IF(AB560&lt;AA560,"Recebimento a conferir",IF(AM560=1,"Quantidade a revisar",IF(AF560&gt;0,"Vínculo a revisar",IF(AD560=0,"Aguardando CDF",IF(AN560=0,"Vínculo de CDF parcial",IF(AE560&lt;AD560,"CDF a conferir","Documentação conferida"))))))))))))))))))</f>
        <v/>
      </c>
      <c r="Q560" s="93" t="str">
        <f>IF(OR(R560=0,AA560=0),"",MAX(0,N(L560)-N(M560)))</f>
        <v/>
      </c>
      <c r="R560" s="96">
        <f>IF(COUNTA(B560:C560,G560:H560,J560:K560)&gt;0,1,0)</f>
        <v>0</v>
      </c>
      <c r="S560" s="96" t="str">
        <f>IF(B560="","",TRIM(LEFT(B560,FIND(" |",B560&amp;" |")-1)))</f>
        <v/>
      </c>
      <c r="T560" s="96" t="str">
        <f>IF(S560="","",IFERROR(MATCH(S560,'MTRs'!$A$6:$A$505,0),""))</f>
        <v/>
      </c>
      <c r="U560" s="96">
        <f>IF(T560="",0,IF(INDEX('MTRs'!$Z$6:$Z$505,T560)=1,1,0))</f>
        <v>0</v>
      </c>
      <c r="V560" s="96">
        <f>IF(C560="",0,IF(ISNUMBER(MATCH(C560,'CAD_RESÍDUOS'!$B$6:$B$205,0)),1,0))</f>
        <v>0</v>
      </c>
      <c r="W560" s="96">
        <f>IF(AND(ISNUMBER(G560),G560&gt;0),1,0)</f>
        <v>0</v>
      </c>
      <c r="X560" s="96" t="str">
        <f>IF(H560="","",IFERROR(IF(ISNUMBER(INDEX(cfg_fac,MATCH(H560,cfg_units,0))),IF(INDEX(cfg_fac,MATCH(H560,cfg_units,0))&gt;0,INDEX(cfg_fac,MATCH(H560,cfg_units,0)),""),""),""))</f>
        <v/>
      </c>
      <c r="Y560" s="96">
        <f>IF(AND(W560=1,ISNUMBER(I560)),1,0)</f>
        <v>0</v>
      </c>
      <c r="Z560" s="96">
        <f>IF(U560=1,INDEX('MTRs'!$AA$6:$AA$505,T560),0)</f>
        <v>0</v>
      </c>
      <c r="AA560" s="96">
        <f>IF(R560=0,0,COUNTIFS('RECEBIMENTOS'!$R$6:$R$1005,A560,'RECEBIMENTOS'!$Q$6:$Q$1005,1))</f>
        <v>0</v>
      </c>
      <c r="AB560" s="96">
        <f>IF(R560=0,0,COUNTIFS('RECEBIMENTOS'!$R$6:$R$1005,A560,'RECEBIMENTOS'!$Z$6:$Z$1005,1))</f>
        <v>0</v>
      </c>
      <c r="AC560" s="96">
        <f>IF(R560=0,0,COUNTIFS('RECEBIMENTOS'!$R$6:$R$1005,A560,'RECEBIMENTOS'!$Y$6:$Y$1005,1))</f>
        <v>0</v>
      </c>
      <c r="AD560" s="96">
        <f>IF(R560=0,0,COUNTIFS('VÍNCULOS_CDF'!$R$6:$R$1005,A560,'VÍNCULOS_CDF'!$N$6:$N$1005,1))</f>
        <v>0</v>
      </c>
      <c r="AE560" s="96">
        <f>IF(R560=0,0,COUNTIFS('VÍNCULOS_CDF'!$R$6:$R$1005,A560,'VÍNCULOS_CDF'!$AA$6:$AA$1005,1))</f>
        <v>0</v>
      </c>
      <c r="AF560" s="96">
        <f>IF(R560=0,0,COUNTIFS('VÍNCULOS_CDF'!$R$6:$R$1005,A560,'VÍNCULOS_CDF'!$Y$6:$Y$1005,1))</f>
        <v>0</v>
      </c>
      <c r="AG560" s="96" t="str">
        <f>IF(AND(R560=1,S560&lt;&gt;"",C560&lt;&gt;""),S560&amp;"|"&amp;C560&amp;"|"&amp;G560&amp;"|"&amp;H560,"")</f>
        <v/>
      </c>
      <c r="AH560" s="96">
        <f>IF(AG560="",0,IF(SUMPRODUCT(--($AG$6:$AG$1005=AG560))&gt;1,1,0))</f>
        <v>0</v>
      </c>
      <c r="AI560" s="96">
        <f>IF(R560=0,0,IF(OR(U560=0,V560=0,Y560=0,AND(AH560=1,K560&lt;&gt;"Sim")),1,0))</f>
        <v>0</v>
      </c>
      <c r="AJ560" s="96">
        <f>IF(AND(R560=1,AA560&gt;0,AB560=AA560),1,0)</f>
        <v>0</v>
      </c>
      <c r="AK560" s="96">
        <f>IF(R560=0,0,IF(AA560&gt;0,N(L560),IF(ISNUMBER(I560),I560,0)))</f>
        <v>0</v>
      </c>
      <c r="AL560" s="96">
        <f>IF(R560=0,0,IF(AND(K560&lt;&gt;"Sim",N(M560)&gt;AK560+cfg_tol),1,0))</f>
        <v>0</v>
      </c>
      <c r="AM560" s="96">
        <f>IF(R560=0,0,IF(K560="Sim",0,IF(OR(AND(AA560&gt;0,ISNUMBER(I560),ABS(I560-N(L560))&gt;cfg_tol),AL560=1),1,0)))</f>
        <v>0</v>
      </c>
      <c r="AN560" s="96">
        <f>IF(AND(R560=1,N(M560)&gt;0,OR(N(M560)&gt;=AK560-cfg_tol,K560="Sim")),1,0)</f>
        <v>0</v>
      </c>
      <c r="AO560" s="96">
        <f>IF(AND(AN560=1,AD560&gt;0,AE560=AD560,AL560=0),1,0)</f>
        <v>0</v>
      </c>
      <c r="AP560" s="96">
        <f>IF(U560=0,0,IF(AND(INDEX('MTRs'!$AX$6:$AX$505,T560)=1,Z560=0,OR(f_res="",f_res="(Todos)",C560=f_res)),1,0))</f>
        <v>0</v>
      </c>
      <c r="AQ560" s="97" t="str">
        <f>IF(U560=0,"",INDEX('MTRs'!$AZ$6:$AZ$505,T560))</f>
        <v/>
      </c>
      <c r="AR560" s="96">
        <f>IF(U560=0,0,IF(AND(INDEX('MTRs'!$BA$6:$BA$505,T560)=1,Z560=0),1,0))</f>
        <v>0</v>
      </c>
      <c r="AS560" s="96" t="str">
        <f>IF(R560=1,A560&amp;" | MTR "&amp;IF(U560=1,INDEX('MTRs'!$B$6:$B$505,T560)&amp;"","?")&amp;" | "&amp;IF(C560="","(sem resíduo)",C560),"")</f>
        <v/>
      </c>
      <c r="AT560" s="96" t="str">
        <f>IF(R560=1,COUNTIF($R$6:R560,1),"")</f>
        <v/>
      </c>
      <c r="AU560" s="96" t="str">
        <f>IF(U560=1,INDEX('MTRs'!$I$6:$I$505,T560)&amp;"","")</f>
        <v/>
      </c>
    </row>
    <row r="561">
      <c r="A561" s="89" t="inlineStr">
        <is>
          <t>IT-000556</t>
        </is>
      </c>
      <c r="B561" s="91" t="n"/>
      <c r="C561" s="91" t="n"/>
      <c r="D561" s="94" t="str">
        <f>IF(OR(R561=0,V561=0),"",INDEX('CAD_RESÍDUOS'!$E$6:$E$205,MATCH(C561,'CAD_RESÍDUOS'!$B$6:$B$205,0))&amp;"")</f>
        <v/>
      </c>
      <c r="E561" s="94" t="str">
        <f>IF(OR(R561=0,V561=0),"",INDEX('CAD_RESÍDUOS'!$C$6:$C$205,MATCH(C561,'CAD_RESÍDUOS'!$B$6:$B$205,0))&amp;"")</f>
        <v/>
      </c>
      <c r="F561" s="94" t="str">
        <f>IF(OR(R561=0,V561=0),"",INDEX('CAD_RESÍDUOS'!$G$6:$G$205,MATCH(C561,'CAD_RESÍDUOS'!$B$6:$B$205,0))&amp;"")</f>
        <v/>
      </c>
      <c r="G561" s="98" t="n"/>
      <c r="H561" s="91" t="n"/>
      <c r="I561" s="93" t="str">
        <f>IF(R561=0,"",IF(NOT(ISNUMBER(G561)),"",IF(ISNUMBER(X561),G561*X561,"UNIDADE A CONFERIR")))</f>
        <v/>
      </c>
      <c r="J561" s="91" t="n"/>
      <c r="K561" s="91" t="n"/>
      <c r="L561" s="93" t="str">
        <f>IF(R561=0,"",SUMIFS('RECEBIMENTOS'!$H$6:$H$1005,'RECEBIMENTOS'!$R$6:$R$1005,A561,'RECEBIMENTOS'!$X$6:$X$1005,1))</f>
        <v/>
      </c>
      <c r="M561" s="93" t="str">
        <f>IF(R561=0,"",SUMIFS('VÍNCULOS_CDF'!$H$6:$H$1005,'VÍNCULOS_CDF'!$R$6:$R$1005,A561,'VÍNCULOS_CDF'!$V$6:$V$1005,1))</f>
        <v/>
      </c>
      <c r="N561" s="99" t="str">
        <f>IF(OR(R561=0,AA561=0,NOT(ISNUMBER(I561))),"",I561-N(L561))</f>
        <v/>
      </c>
      <c r="O561" s="100" t="str">
        <f>IF(OR(R561=0,AK561&lt;=0),"",N(M561)/AK561)</f>
        <v/>
      </c>
      <c r="P561" s="94" t="str">
        <f>IF(R561=0,"",IF(S561="","Sem MTR associado",IF(U561=0,"MTR inexistente",IF(C561="","Resíduo não identificado",IF(V561=0,"Resíduo fora do cadastro",IF(W561=0,"Quantidade inválida",IF(H561="","Unidade não informada",IF(NOT(ISNUMBER(I561)),"Unidade a conferir",IF(AND(AH561=1,K561&lt;&gt;"Sim"),"Possível duplicidade",IF(Z561=1,"MTR cancelado",IF(AC561&gt;0,"Recebimento com alerta",IF(AA561=0,"Aguardando recebimento",IF(AB561&lt;AA561,"Recebimento a conferir",IF(AM561=1,"Quantidade a revisar",IF(AF561&gt;0,"Vínculo a revisar",IF(AD561=0,"Aguardando CDF",IF(AN561=0,"Vínculo de CDF parcial",IF(AE561&lt;AD561,"CDF a conferir","Documentação conferida"))))))))))))))))))</f>
        <v/>
      </c>
      <c r="Q561" s="93" t="str">
        <f>IF(OR(R561=0,AA561=0),"",MAX(0,N(L561)-N(M561)))</f>
        <v/>
      </c>
      <c r="R561" s="96">
        <f>IF(COUNTA(B561:C561,G561:H561,J561:K561)&gt;0,1,0)</f>
        <v>0</v>
      </c>
      <c r="S561" s="96" t="str">
        <f>IF(B561="","",TRIM(LEFT(B561,FIND(" |",B561&amp;" |")-1)))</f>
        <v/>
      </c>
      <c r="T561" s="96" t="str">
        <f>IF(S561="","",IFERROR(MATCH(S561,'MTRs'!$A$6:$A$505,0),""))</f>
        <v/>
      </c>
      <c r="U561" s="96">
        <f>IF(T561="",0,IF(INDEX('MTRs'!$Z$6:$Z$505,T561)=1,1,0))</f>
        <v>0</v>
      </c>
      <c r="V561" s="96">
        <f>IF(C561="",0,IF(ISNUMBER(MATCH(C561,'CAD_RESÍDUOS'!$B$6:$B$205,0)),1,0))</f>
        <v>0</v>
      </c>
      <c r="W561" s="96">
        <f>IF(AND(ISNUMBER(G561),G561&gt;0),1,0)</f>
        <v>0</v>
      </c>
      <c r="X561" s="96" t="str">
        <f>IF(H561="","",IFERROR(IF(ISNUMBER(INDEX(cfg_fac,MATCH(H561,cfg_units,0))),IF(INDEX(cfg_fac,MATCH(H561,cfg_units,0))&gt;0,INDEX(cfg_fac,MATCH(H561,cfg_units,0)),""),""),""))</f>
        <v/>
      </c>
      <c r="Y561" s="96">
        <f>IF(AND(W561=1,ISNUMBER(I561)),1,0)</f>
        <v>0</v>
      </c>
      <c r="Z561" s="96">
        <f>IF(U561=1,INDEX('MTRs'!$AA$6:$AA$505,T561),0)</f>
        <v>0</v>
      </c>
      <c r="AA561" s="96">
        <f>IF(R561=0,0,COUNTIFS('RECEBIMENTOS'!$R$6:$R$1005,A561,'RECEBIMENTOS'!$Q$6:$Q$1005,1))</f>
        <v>0</v>
      </c>
      <c r="AB561" s="96">
        <f>IF(R561=0,0,COUNTIFS('RECEBIMENTOS'!$R$6:$R$1005,A561,'RECEBIMENTOS'!$Z$6:$Z$1005,1))</f>
        <v>0</v>
      </c>
      <c r="AC561" s="96">
        <f>IF(R561=0,0,COUNTIFS('RECEBIMENTOS'!$R$6:$R$1005,A561,'RECEBIMENTOS'!$Y$6:$Y$1005,1))</f>
        <v>0</v>
      </c>
      <c r="AD561" s="96">
        <f>IF(R561=0,0,COUNTIFS('VÍNCULOS_CDF'!$R$6:$R$1005,A561,'VÍNCULOS_CDF'!$N$6:$N$1005,1))</f>
        <v>0</v>
      </c>
      <c r="AE561" s="96">
        <f>IF(R561=0,0,COUNTIFS('VÍNCULOS_CDF'!$R$6:$R$1005,A561,'VÍNCULOS_CDF'!$AA$6:$AA$1005,1))</f>
        <v>0</v>
      </c>
      <c r="AF561" s="96">
        <f>IF(R561=0,0,COUNTIFS('VÍNCULOS_CDF'!$R$6:$R$1005,A561,'VÍNCULOS_CDF'!$Y$6:$Y$1005,1))</f>
        <v>0</v>
      </c>
      <c r="AG561" s="96" t="str">
        <f>IF(AND(R561=1,S561&lt;&gt;"",C561&lt;&gt;""),S561&amp;"|"&amp;C561&amp;"|"&amp;G561&amp;"|"&amp;H561,"")</f>
        <v/>
      </c>
      <c r="AH561" s="96">
        <f>IF(AG561="",0,IF(SUMPRODUCT(--($AG$6:$AG$1005=AG561))&gt;1,1,0))</f>
        <v>0</v>
      </c>
      <c r="AI561" s="96">
        <f>IF(R561=0,0,IF(OR(U561=0,V561=0,Y561=0,AND(AH561=1,K561&lt;&gt;"Sim")),1,0))</f>
        <v>0</v>
      </c>
      <c r="AJ561" s="96">
        <f>IF(AND(R561=1,AA561&gt;0,AB561=AA561),1,0)</f>
        <v>0</v>
      </c>
      <c r="AK561" s="96">
        <f>IF(R561=0,0,IF(AA561&gt;0,N(L561),IF(ISNUMBER(I561),I561,0)))</f>
        <v>0</v>
      </c>
      <c r="AL561" s="96">
        <f>IF(R561=0,0,IF(AND(K561&lt;&gt;"Sim",N(M561)&gt;AK561+cfg_tol),1,0))</f>
        <v>0</v>
      </c>
      <c r="AM561" s="96">
        <f>IF(R561=0,0,IF(K561="Sim",0,IF(OR(AND(AA561&gt;0,ISNUMBER(I561),ABS(I561-N(L561))&gt;cfg_tol),AL561=1),1,0)))</f>
        <v>0</v>
      </c>
      <c r="AN561" s="96">
        <f>IF(AND(R561=1,N(M561)&gt;0,OR(N(M561)&gt;=AK561-cfg_tol,K561="Sim")),1,0)</f>
        <v>0</v>
      </c>
      <c r="AO561" s="96">
        <f>IF(AND(AN561=1,AD561&gt;0,AE561=AD561,AL561=0),1,0)</f>
        <v>0</v>
      </c>
      <c r="AP561" s="96">
        <f>IF(U561=0,0,IF(AND(INDEX('MTRs'!$AX$6:$AX$505,T561)=1,Z561=0,OR(f_res="",f_res="(Todos)",C561=f_res)),1,0))</f>
        <v>0</v>
      </c>
      <c r="AQ561" s="97" t="str">
        <f>IF(U561=0,"",INDEX('MTRs'!$AZ$6:$AZ$505,T561))</f>
        <v/>
      </c>
      <c r="AR561" s="96">
        <f>IF(U561=0,0,IF(AND(INDEX('MTRs'!$BA$6:$BA$505,T561)=1,Z561=0),1,0))</f>
        <v>0</v>
      </c>
      <c r="AS561" s="96" t="str">
        <f>IF(R561=1,A561&amp;" | MTR "&amp;IF(U561=1,INDEX('MTRs'!$B$6:$B$505,T561)&amp;"","?")&amp;" | "&amp;IF(C561="","(sem resíduo)",C561),"")</f>
        <v/>
      </c>
      <c r="AT561" s="96" t="str">
        <f>IF(R561=1,COUNTIF($R$6:R561,1),"")</f>
        <v/>
      </c>
      <c r="AU561" s="96" t="str">
        <f>IF(U561=1,INDEX('MTRs'!$I$6:$I$505,T561)&amp;"","")</f>
        <v/>
      </c>
    </row>
    <row r="562">
      <c r="A562" s="89" t="inlineStr">
        <is>
          <t>IT-000557</t>
        </is>
      </c>
      <c r="B562" s="91" t="n"/>
      <c r="C562" s="91" t="n"/>
      <c r="D562" s="94" t="str">
        <f>IF(OR(R562=0,V562=0),"",INDEX('CAD_RESÍDUOS'!$E$6:$E$205,MATCH(C562,'CAD_RESÍDUOS'!$B$6:$B$205,0))&amp;"")</f>
        <v/>
      </c>
      <c r="E562" s="94" t="str">
        <f>IF(OR(R562=0,V562=0),"",INDEX('CAD_RESÍDUOS'!$C$6:$C$205,MATCH(C562,'CAD_RESÍDUOS'!$B$6:$B$205,0))&amp;"")</f>
        <v/>
      </c>
      <c r="F562" s="94" t="str">
        <f>IF(OR(R562=0,V562=0),"",INDEX('CAD_RESÍDUOS'!$G$6:$G$205,MATCH(C562,'CAD_RESÍDUOS'!$B$6:$B$205,0))&amp;"")</f>
        <v/>
      </c>
      <c r="G562" s="98" t="n"/>
      <c r="H562" s="91" t="n"/>
      <c r="I562" s="93" t="str">
        <f>IF(R562=0,"",IF(NOT(ISNUMBER(G562)),"",IF(ISNUMBER(X562),G562*X562,"UNIDADE A CONFERIR")))</f>
        <v/>
      </c>
      <c r="J562" s="91" t="n"/>
      <c r="K562" s="91" t="n"/>
      <c r="L562" s="93" t="str">
        <f>IF(R562=0,"",SUMIFS('RECEBIMENTOS'!$H$6:$H$1005,'RECEBIMENTOS'!$R$6:$R$1005,A562,'RECEBIMENTOS'!$X$6:$X$1005,1))</f>
        <v/>
      </c>
      <c r="M562" s="93" t="str">
        <f>IF(R562=0,"",SUMIFS('VÍNCULOS_CDF'!$H$6:$H$1005,'VÍNCULOS_CDF'!$R$6:$R$1005,A562,'VÍNCULOS_CDF'!$V$6:$V$1005,1))</f>
        <v/>
      </c>
      <c r="N562" s="99" t="str">
        <f>IF(OR(R562=0,AA562=0,NOT(ISNUMBER(I562))),"",I562-N(L562))</f>
        <v/>
      </c>
      <c r="O562" s="100" t="str">
        <f>IF(OR(R562=0,AK562&lt;=0),"",N(M562)/AK562)</f>
        <v/>
      </c>
      <c r="P562" s="94" t="str">
        <f>IF(R562=0,"",IF(S562="","Sem MTR associado",IF(U562=0,"MTR inexistente",IF(C562="","Resíduo não identificado",IF(V562=0,"Resíduo fora do cadastro",IF(W562=0,"Quantidade inválida",IF(H562="","Unidade não informada",IF(NOT(ISNUMBER(I562)),"Unidade a conferir",IF(AND(AH562=1,K562&lt;&gt;"Sim"),"Possível duplicidade",IF(Z562=1,"MTR cancelado",IF(AC562&gt;0,"Recebimento com alerta",IF(AA562=0,"Aguardando recebimento",IF(AB562&lt;AA562,"Recebimento a conferir",IF(AM562=1,"Quantidade a revisar",IF(AF562&gt;0,"Vínculo a revisar",IF(AD562=0,"Aguardando CDF",IF(AN562=0,"Vínculo de CDF parcial",IF(AE562&lt;AD562,"CDF a conferir","Documentação conferida"))))))))))))))))))</f>
        <v/>
      </c>
      <c r="Q562" s="93" t="str">
        <f>IF(OR(R562=0,AA562=0),"",MAX(0,N(L562)-N(M562)))</f>
        <v/>
      </c>
      <c r="R562" s="96">
        <f>IF(COUNTA(B562:C562,G562:H562,J562:K562)&gt;0,1,0)</f>
        <v>0</v>
      </c>
      <c r="S562" s="96" t="str">
        <f>IF(B562="","",TRIM(LEFT(B562,FIND(" |",B562&amp;" |")-1)))</f>
        <v/>
      </c>
      <c r="T562" s="96" t="str">
        <f>IF(S562="","",IFERROR(MATCH(S562,'MTRs'!$A$6:$A$505,0),""))</f>
        <v/>
      </c>
      <c r="U562" s="96">
        <f>IF(T562="",0,IF(INDEX('MTRs'!$Z$6:$Z$505,T562)=1,1,0))</f>
        <v>0</v>
      </c>
      <c r="V562" s="96">
        <f>IF(C562="",0,IF(ISNUMBER(MATCH(C562,'CAD_RESÍDUOS'!$B$6:$B$205,0)),1,0))</f>
        <v>0</v>
      </c>
      <c r="W562" s="96">
        <f>IF(AND(ISNUMBER(G562),G562&gt;0),1,0)</f>
        <v>0</v>
      </c>
      <c r="X562" s="96" t="str">
        <f>IF(H562="","",IFERROR(IF(ISNUMBER(INDEX(cfg_fac,MATCH(H562,cfg_units,0))),IF(INDEX(cfg_fac,MATCH(H562,cfg_units,0))&gt;0,INDEX(cfg_fac,MATCH(H562,cfg_units,0)),""),""),""))</f>
        <v/>
      </c>
      <c r="Y562" s="96">
        <f>IF(AND(W562=1,ISNUMBER(I562)),1,0)</f>
        <v>0</v>
      </c>
      <c r="Z562" s="96">
        <f>IF(U562=1,INDEX('MTRs'!$AA$6:$AA$505,T562),0)</f>
        <v>0</v>
      </c>
      <c r="AA562" s="96">
        <f>IF(R562=0,0,COUNTIFS('RECEBIMENTOS'!$R$6:$R$1005,A562,'RECEBIMENTOS'!$Q$6:$Q$1005,1))</f>
        <v>0</v>
      </c>
      <c r="AB562" s="96">
        <f>IF(R562=0,0,COUNTIFS('RECEBIMENTOS'!$R$6:$R$1005,A562,'RECEBIMENTOS'!$Z$6:$Z$1005,1))</f>
        <v>0</v>
      </c>
      <c r="AC562" s="96">
        <f>IF(R562=0,0,COUNTIFS('RECEBIMENTOS'!$R$6:$R$1005,A562,'RECEBIMENTOS'!$Y$6:$Y$1005,1))</f>
        <v>0</v>
      </c>
      <c r="AD562" s="96">
        <f>IF(R562=0,0,COUNTIFS('VÍNCULOS_CDF'!$R$6:$R$1005,A562,'VÍNCULOS_CDF'!$N$6:$N$1005,1))</f>
        <v>0</v>
      </c>
      <c r="AE562" s="96">
        <f>IF(R562=0,0,COUNTIFS('VÍNCULOS_CDF'!$R$6:$R$1005,A562,'VÍNCULOS_CDF'!$AA$6:$AA$1005,1))</f>
        <v>0</v>
      </c>
      <c r="AF562" s="96">
        <f>IF(R562=0,0,COUNTIFS('VÍNCULOS_CDF'!$R$6:$R$1005,A562,'VÍNCULOS_CDF'!$Y$6:$Y$1005,1))</f>
        <v>0</v>
      </c>
      <c r="AG562" s="96" t="str">
        <f>IF(AND(R562=1,S562&lt;&gt;"",C562&lt;&gt;""),S562&amp;"|"&amp;C562&amp;"|"&amp;G562&amp;"|"&amp;H562,"")</f>
        <v/>
      </c>
      <c r="AH562" s="96">
        <f>IF(AG562="",0,IF(SUMPRODUCT(--($AG$6:$AG$1005=AG562))&gt;1,1,0))</f>
        <v>0</v>
      </c>
      <c r="AI562" s="96">
        <f>IF(R562=0,0,IF(OR(U562=0,V562=0,Y562=0,AND(AH562=1,K562&lt;&gt;"Sim")),1,0))</f>
        <v>0</v>
      </c>
      <c r="AJ562" s="96">
        <f>IF(AND(R562=1,AA562&gt;0,AB562=AA562),1,0)</f>
        <v>0</v>
      </c>
      <c r="AK562" s="96">
        <f>IF(R562=0,0,IF(AA562&gt;0,N(L562),IF(ISNUMBER(I562),I562,0)))</f>
        <v>0</v>
      </c>
      <c r="AL562" s="96">
        <f>IF(R562=0,0,IF(AND(K562&lt;&gt;"Sim",N(M562)&gt;AK562+cfg_tol),1,0))</f>
        <v>0</v>
      </c>
      <c r="AM562" s="96">
        <f>IF(R562=0,0,IF(K562="Sim",0,IF(OR(AND(AA562&gt;0,ISNUMBER(I562),ABS(I562-N(L562))&gt;cfg_tol),AL562=1),1,0)))</f>
        <v>0</v>
      </c>
      <c r="AN562" s="96">
        <f>IF(AND(R562=1,N(M562)&gt;0,OR(N(M562)&gt;=AK562-cfg_tol,K562="Sim")),1,0)</f>
        <v>0</v>
      </c>
      <c r="AO562" s="96">
        <f>IF(AND(AN562=1,AD562&gt;0,AE562=AD562,AL562=0),1,0)</f>
        <v>0</v>
      </c>
      <c r="AP562" s="96">
        <f>IF(U562=0,0,IF(AND(INDEX('MTRs'!$AX$6:$AX$505,T562)=1,Z562=0,OR(f_res="",f_res="(Todos)",C562=f_res)),1,0))</f>
        <v>0</v>
      </c>
      <c r="AQ562" s="97" t="str">
        <f>IF(U562=0,"",INDEX('MTRs'!$AZ$6:$AZ$505,T562))</f>
        <v/>
      </c>
      <c r="AR562" s="96">
        <f>IF(U562=0,0,IF(AND(INDEX('MTRs'!$BA$6:$BA$505,T562)=1,Z562=0),1,0))</f>
        <v>0</v>
      </c>
      <c r="AS562" s="96" t="str">
        <f>IF(R562=1,A562&amp;" | MTR "&amp;IF(U562=1,INDEX('MTRs'!$B$6:$B$505,T562)&amp;"","?")&amp;" | "&amp;IF(C562="","(sem resíduo)",C562),"")</f>
        <v/>
      </c>
      <c r="AT562" s="96" t="str">
        <f>IF(R562=1,COUNTIF($R$6:R562,1),"")</f>
        <v/>
      </c>
      <c r="AU562" s="96" t="str">
        <f>IF(U562=1,INDEX('MTRs'!$I$6:$I$505,T562)&amp;"","")</f>
        <v/>
      </c>
    </row>
    <row r="563">
      <c r="A563" s="89" t="inlineStr">
        <is>
          <t>IT-000558</t>
        </is>
      </c>
      <c r="B563" s="91" t="n"/>
      <c r="C563" s="91" t="n"/>
      <c r="D563" s="94" t="str">
        <f>IF(OR(R563=0,V563=0),"",INDEX('CAD_RESÍDUOS'!$E$6:$E$205,MATCH(C563,'CAD_RESÍDUOS'!$B$6:$B$205,0))&amp;"")</f>
        <v/>
      </c>
      <c r="E563" s="94" t="str">
        <f>IF(OR(R563=0,V563=0),"",INDEX('CAD_RESÍDUOS'!$C$6:$C$205,MATCH(C563,'CAD_RESÍDUOS'!$B$6:$B$205,0))&amp;"")</f>
        <v/>
      </c>
      <c r="F563" s="94" t="str">
        <f>IF(OR(R563=0,V563=0),"",INDEX('CAD_RESÍDUOS'!$G$6:$G$205,MATCH(C563,'CAD_RESÍDUOS'!$B$6:$B$205,0))&amp;"")</f>
        <v/>
      </c>
      <c r="G563" s="98" t="n"/>
      <c r="H563" s="91" t="n"/>
      <c r="I563" s="93" t="str">
        <f>IF(R563=0,"",IF(NOT(ISNUMBER(G563)),"",IF(ISNUMBER(X563),G563*X563,"UNIDADE A CONFERIR")))</f>
        <v/>
      </c>
      <c r="J563" s="91" t="n"/>
      <c r="K563" s="91" t="n"/>
      <c r="L563" s="93" t="str">
        <f>IF(R563=0,"",SUMIFS('RECEBIMENTOS'!$H$6:$H$1005,'RECEBIMENTOS'!$R$6:$R$1005,A563,'RECEBIMENTOS'!$X$6:$X$1005,1))</f>
        <v/>
      </c>
      <c r="M563" s="93" t="str">
        <f>IF(R563=0,"",SUMIFS('VÍNCULOS_CDF'!$H$6:$H$1005,'VÍNCULOS_CDF'!$R$6:$R$1005,A563,'VÍNCULOS_CDF'!$V$6:$V$1005,1))</f>
        <v/>
      </c>
      <c r="N563" s="99" t="str">
        <f>IF(OR(R563=0,AA563=0,NOT(ISNUMBER(I563))),"",I563-N(L563))</f>
        <v/>
      </c>
      <c r="O563" s="100" t="str">
        <f>IF(OR(R563=0,AK563&lt;=0),"",N(M563)/AK563)</f>
        <v/>
      </c>
      <c r="P563" s="94" t="str">
        <f>IF(R563=0,"",IF(S563="","Sem MTR associado",IF(U563=0,"MTR inexistente",IF(C563="","Resíduo não identificado",IF(V563=0,"Resíduo fora do cadastro",IF(W563=0,"Quantidade inválida",IF(H563="","Unidade não informada",IF(NOT(ISNUMBER(I563)),"Unidade a conferir",IF(AND(AH563=1,K563&lt;&gt;"Sim"),"Possível duplicidade",IF(Z563=1,"MTR cancelado",IF(AC563&gt;0,"Recebimento com alerta",IF(AA563=0,"Aguardando recebimento",IF(AB563&lt;AA563,"Recebimento a conferir",IF(AM563=1,"Quantidade a revisar",IF(AF563&gt;0,"Vínculo a revisar",IF(AD563=0,"Aguardando CDF",IF(AN563=0,"Vínculo de CDF parcial",IF(AE563&lt;AD563,"CDF a conferir","Documentação conferida"))))))))))))))))))</f>
        <v/>
      </c>
      <c r="Q563" s="93" t="str">
        <f>IF(OR(R563=0,AA563=0),"",MAX(0,N(L563)-N(M563)))</f>
        <v/>
      </c>
      <c r="R563" s="96">
        <f>IF(COUNTA(B563:C563,G563:H563,J563:K563)&gt;0,1,0)</f>
        <v>0</v>
      </c>
      <c r="S563" s="96" t="str">
        <f>IF(B563="","",TRIM(LEFT(B563,FIND(" |",B563&amp;" |")-1)))</f>
        <v/>
      </c>
      <c r="T563" s="96" t="str">
        <f>IF(S563="","",IFERROR(MATCH(S563,'MTRs'!$A$6:$A$505,0),""))</f>
        <v/>
      </c>
      <c r="U563" s="96">
        <f>IF(T563="",0,IF(INDEX('MTRs'!$Z$6:$Z$505,T563)=1,1,0))</f>
        <v>0</v>
      </c>
      <c r="V563" s="96">
        <f>IF(C563="",0,IF(ISNUMBER(MATCH(C563,'CAD_RESÍDUOS'!$B$6:$B$205,0)),1,0))</f>
        <v>0</v>
      </c>
      <c r="W563" s="96">
        <f>IF(AND(ISNUMBER(G563),G563&gt;0),1,0)</f>
        <v>0</v>
      </c>
      <c r="X563" s="96" t="str">
        <f>IF(H563="","",IFERROR(IF(ISNUMBER(INDEX(cfg_fac,MATCH(H563,cfg_units,0))),IF(INDEX(cfg_fac,MATCH(H563,cfg_units,0))&gt;0,INDEX(cfg_fac,MATCH(H563,cfg_units,0)),""),""),""))</f>
        <v/>
      </c>
      <c r="Y563" s="96">
        <f>IF(AND(W563=1,ISNUMBER(I563)),1,0)</f>
        <v>0</v>
      </c>
      <c r="Z563" s="96">
        <f>IF(U563=1,INDEX('MTRs'!$AA$6:$AA$505,T563),0)</f>
        <v>0</v>
      </c>
      <c r="AA563" s="96">
        <f>IF(R563=0,0,COUNTIFS('RECEBIMENTOS'!$R$6:$R$1005,A563,'RECEBIMENTOS'!$Q$6:$Q$1005,1))</f>
        <v>0</v>
      </c>
      <c r="AB563" s="96">
        <f>IF(R563=0,0,COUNTIFS('RECEBIMENTOS'!$R$6:$R$1005,A563,'RECEBIMENTOS'!$Z$6:$Z$1005,1))</f>
        <v>0</v>
      </c>
      <c r="AC563" s="96">
        <f>IF(R563=0,0,COUNTIFS('RECEBIMENTOS'!$R$6:$R$1005,A563,'RECEBIMENTOS'!$Y$6:$Y$1005,1))</f>
        <v>0</v>
      </c>
      <c r="AD563" s="96">
        <f>IF(R563=0,0,COUNTIFS('VÍNCULOS_CDF'!$R$6:$R$1005,A563,'VÍNCULOS_CDF'!$N$6:$N$1005,1))</f>
        <v>0</v>
      </c>
      <c r="AE563" s="96">
        <f>IF(R563=0,0,COUNTIFS('VÍNCULOS_CDF'!$R$6:$R$1005,A563,'VÍNCULOS_CDF'!$AA$6:$AA$1005,1))</f>
        <v>0</v>
      </c>
      <c r="AF563" s="96">
        <f>IF(R563=0,0,COUNTIFS('VÍNCULOS_CDF'!$R$6:$R$1005,A563,'VÍNCULOS_CDF'!$Y$6:$Y$1005,1))</f>
        <v>0</v>
      </c>
      <c r="AG563" s="96" t="str">
        <f>IF(AND(R563=1,S563&lt;&gt;"",C563&lt;&gt;""),S563&amp;"|"&amp;C563&amp;"|"&amp;G563&amp;"|"&amp;H563,"")</f>
        <v/>
      </c>
      <c r="AH563" s="96">
        <f>IF(AG563="",0,IF(SUMPRODUCT(--($AG$6:$AG$1005=AG563))&gt;1,1,0))</f>
        <v>0</v>
      </c>
      <c r="AI563" s="96">
        <f>IF(R563=0,0,IF(OR(U563=0,V563=0,Y563=0,AND(AH563=1,K563&lt;&gt;"Sim")),1,0))</f>
        <v>0</v>
      </c>
      <c r="AJ563" s="96">
        <f>IF(AND(R563=1,AA563&gt;0,AB563=AA563),1,0)</f>
        <v>0</v>
      </c>
      <c r="AK563" s="96">
        <f>IF(R563=0,0,IF(AA563&gt;0,N(L563),IF(ISNUMBER(I563),I563,0)))</f>
        <v>0</v>
      </c>
      <c r="AL563" s="96">
        <f>IF(R563=0,0,IF(AND(K563&lt;&gt;"Sim",N(M563)&gt;AK563+cfg_tol),1,0))</f>
        <v>0</v>
      </c>
      <c r="AM563" s="96">
        <f>IF(R563=0,0,IF(K563="Sim",0,IF(OR(AND(AA563&gt;0,ISNUMBER(I563),ABS(I563-N(L563))&gt;cfg_tol),AL563=1),1,0)))</f>
        <v>0</v>
      </c>
      <c r="AN563" s="96">
        <f>IF(AND(R563=1,N(M563)&gt;0,OR(N(M563)&gt;=AK563-cfg_tol,K563="Sim")),1,0)</f>
        <v>0</v>
      </c>
      <c r="AO563" s="96">
        <f>IF(AND(AN563=1,AD563&gt;0,AE563=AD563,AL563=0),1,0)</f>
        <v>0</v>
      </c>
      <c r="AP563" s="96">
        <f>IF(U563=0,0,IF(AND(INDEX('MTRs'!$AX$6:$AX$505,T563)=1,Z563=0,OR(f_res="",f_res="(Todos)",C563=f_res)),1,0))</f>
        <v>0</v>
      </c>
      <c r="AQ563" s="97" t="str">
        <f>IF(U563=0,"",INDEX('MTRs'!$AZ$6:$AZ$505,T563))</f>
        <v/>
      </c>
      <c r="AR563" s="96">
        <f>IF(U563=0,0,IF(AND(INDEX('MTRs'!$BA$6:$BA$505,T563)=1,Z563=0),1,0))</f>
        <v>0</v>
      </c>
      <c r="AS563" s="96" t="str">
        <f>IF(R563=1,A563&amp;" | MTR "&amp;IF(U563=1,INDEX('MTRs'!$B$6:$B$505,T563)&amp;"","?")&amp;" | "&amp;IF(C563="","(sem resíduo)",C563),"")</f>
        <v/>
      </c>
      <c r="AT563" s="96" t="str">
        <f>IF(R563=1,COUNTIF($R$6:R563,1),"")</f>
        <v/>
      </c>
      <c r="AU563" s="96" t="str">
        <f>IF(U563=1,INDEX('MTRs'!$I$6:$I$505,T563)&amp;"","")</f>
        <v/>
      </c>
    </row>
    <row r="564">
      <c r="A564" s="89" t="inlineStr">
        <is>
          <t>IT-000559</t>
        </is>
      </c>
      <c r="B564" s="91" t="n"/>
      <c r="C564" s="91" t="n"/>
      <c r="D564" s="94" t="str">
        <f>IF(OR(R564=0,V564=0),"",INDEX('CAD_RESÍDUOS'!$E$6:$E$205,MATCH(C564,'CAD_RESÍDUOS'!$B$6:$B$205,0))&amp;"")</f>
        <v/>
      </c>
      <c r="E564" s="94" t="str">
        <f>IF(OR(R564=0,V564=0),"",INDEX('CAD_RESÍDUOS'!$C$6:$C$205,MATCH(C564,'CAD_RESÍDUOS'!$B$6:$B$205,0))&amp;"")</f>
        <v/>
      </c>
      <c r="F564" s="94" t="str">
        <f>IF(OR(R564=0,V564=0),"",INDEX('CAD_RESÍDUOS'!$G$6:$G$205,MATCH(C564,'CAD_RESÍDUOS'!$B$6:$B$205,0))&amp;"")</f>
        <v/>
      </c>
      <c r="G564" s="98" t="n"/>
      <c r="H564" s="91" t="n"/>
      <c r="I564" s="93" t="str">
        <f>IF(R564=0,"",IF(NOT(ISNUMBER(G564)),"",IF(ISNUMBER(X564),G564*X564,"UNIDADE A CONFERIR")))</f>
        <v/>
      </c>
      <c r="J564" s="91" t="n"/>
      <c r="K564" s="91" t="n"/>
      <c r="L564" s="93" t="str">
        <f>IF(R564=0,"",SUMIFS('RECEBIMENTOS'!$H$6:$H$1005,'RECEBIMENTOS'!$R$6:$R$1005,A564,'RECEBIMENTOS'!$X$6:$X$1005,1))</f>
        <v/>
      </c>
      <c r="M564" s="93" t="str">
        <f>IF(R564=0,"",SUMIFS('VÍNCULOS_CDF'!$H$6:$H$1005,'VÍNCULOS_CDF'!$R$6:$R$1005,A564,'VÍNCULOS_CDF'!$V$6:$V$1005,1))</f>
        <v/>
      </c>
      <c r="N564" s="99" t="str">
        <f>IF(OR(R564=0,AA564=0,NOT(ISNUMBER(I564))),"",I564-N(L564))</f>
        <v/>
      </c>
      <c r="O564" s="100" t="str">
        <f>IF(OR(R564=0,AK564&lt;=0),"",N(M564)/AK564)</f>
        <v/>
      </c>
      <c r="P564" s="94" t="str">
        <f>IF(R564=0,"",IF(S564="","Sem MTR associado",IF(U564=0,"MTR inexistente",IF(C564="","Resíduo não identificado",IF(V564=0,"Resíduo fora do cadastro",IF(W564=0,"Quantidade inválida",IF(H564="","Unidade não informada",IF(NOT(ISNUMBER(I564)),"Unidade a conferir",IF(AND(AH564=1,K564&lt;&gt;"Sim"),"Possível duplicidade",IF(Z564=1,"MTR cancelado",IF(AC564&gt;0,"Recebimento com alerta",IF(AA564=0,"Aguardando recebimento",IF(AB564&lt;AA564,"Recebimento a conferir",IF(AM564=1,"Quantidade a revisar",IF(AF564&gt;0,"Vínculo a revisar",IF(AD564=0,"Aguardando CDF",IF(AN564=0,"Vínculo de CDF parcial",IF(AE564&lt;AD564,"CDF a conferir","Documentação conferida"))))))))))))))))))</f>
        <v/>
      </c>
      <c r="Q564" s="93" t="str">
        <f>IF(OR(R564=0,AA564=0),"",MAX(0,N(L564)-N(M564)))</f>
        <v/>
      </c>
      <c r="R564" s="96">
        <f>IF(COUNTA(B564:C564,G564:H564,J564:K564)&gt;0,1,0)</f>
        <v>0</v>
      </c>
      <c r="S564" s="96" t="str">
        <f>IF(B564="","",TRIM(LEFT(B564,FIND(" |",B564&amp;" |")-1)))</f>
        <v/>
      </c>
      <c r="T564" s="96" t="str">
        <f>IF(S564="","",IFERROR(MATCH(S564,'MTRs'!$A$6:$A$505,0),""))</f>
        <v/>
      </c>
      <c r="U564" s="96">
        <f>IF(T564="",0,IF(INDEX('MTRs'!$Z$6:$Z$505,T564)=1,1,0))</f>
        <v>0</v>
      </c>
      <c r="V564" s="96">
        <f>IF(C564="",0,IF(ISNUMBER(MATCH(C564,'CAD_RESÍDUOS'!$B$6:$B$205,0)),1,0))</f>
        <v>0</v>
      </c>
      <c r="W564" s="96">
        <f>IF(AND(ISNUMBER(G564),G564&gt;0),1,0)</f>
        <v>0</v>
      </c>
      <c r="X564" s="96" t="str">
        <f>IF(H564="","",IFERROR(IF(ISNUMBER(INDEX(cfg_fac,MATCH(H564,cfg_units,0))),IF(INDEX(cfg_fac,MATCH(H564,cfg_units,0))&gt;0,INDEX(cfg_fac,MATCH(H564,cfg_units,0)),""),""),""))</f>
        <v/>
      </c>
      <c r="Y564" s="96">
        <f>IF(AND(W564=1,ISNUMBER(I564)),1,0)</f>
        <v>0</v>
      </c>
      <c r="Z564" s="96">
        <f>IF(U564=1,INDEX('MTRs'!$AA$6:$AA$505,T564),0)</f>
        <v>0</v>
      </c>
      <c r="AA564" s="96">
        <f>IF(R564=0,0,COUNTIFS('RECEBIMENTOS'!$R$6:$R$1005,A564,'RECEBIMENTOS'!$Q$6:$Q$1005,1))</f>
        <v>0</v>
      </c>
      <c r="AB564" s="96">
        <f>IF(R564=0,0,COUNTIFS('RECEBIMENTOS'!$R$6:$R$1005,A564,'RECEBIMENTOS'!$Z$6:$Z$1005,1))</f>
        <v>0</v>
      </c>
      <c r="AC564" s="96">
        <f>IF(R564=0,0,COUNTIFS('RECEBIMENTOS'!$R$6:$R$1005,A564,'RECEBIMENTOS'!$Y$6:$Y$1005,1))</f>
        <v>0</v>
      </c>
      <c r="AD564" s="96">
        <f>IF(R564=0,0,COUNTIFS('VÍNCULOS_CDF'!$R$6:$R$1005,A564,'VÍNCULOS_CDF'!$N$6:$N$1005,1))</f>
        <v>0</v>
      </c>
      <c r="AE564" s="96">
        <f>IF(R564=0,0,COUNTIFS('VÍNCULOS_CDF'!$R$6:$R$1005,A564,'VÍNCULOS_CDF'!$AA$6:$AA$1005,1))</f>
        <v>0</v>
      </c>
      <c r="AF564" s="96">
        <f>IF(R564=0,0,COUNTIFS('VÍNCULOS_CDF'!$R$6:$R$1005,A564,'VÍNCULOS_CDF'!$Y$6:$Y$1005,1))</f>
        <v>0</v>
      </c>
      <c r="AG564" s="96" t="str">
        <f>IF(AND(R564=1,S564&lt;&gt;"",C564&lt;&gt;""),S564&amp;"|"&amp;C564&amp;"|"&amp;G564&amp;"|"&amp;H564,"")</f>
        <v/>
      </c>
      <c r="AH564" s="96">
        <f>IF(AG564="",0,IF(SUMPRODUCT(--($AG$6:$AG$1005=AG564))&gt;1,1,0))</f>
        <v>0</v>
      </c>
      <c r="AI564" s="96">
        <f>IF(R564=0,0,IF(OR(U564=0,V564=0,Y564=0,AND(AH564=1,K564&lt;&gt;"Sim")),1,0))</f>
        <v>0</v>
      </c>
      <c r="AJ564" s="96">
        <f>IF(AND(R564=1,AA564&gt;0,AB564=AA564),1,0)</f>
        <v>0</v>
      </c>
      <c r="AK564" s="96">
        <f>IF(R564=0,0,IF(AA564&gt;0,N(L564),IF(ISNUMBER(I564),I564,0)))</f>
        <v>0</v>
      </c>
      <c r="AL564" s="96">
        <f>IF(R564=0,0,IF(AND(K564&lt;&gt;"Sim",N(M564)&gt;AK564+cfg_tol),1,0))</f>
        <v>0</v>
      </c>
      <c r="AM564" s="96">
        <f>IF(R564=0,0,IF(K564="Sim",0,IF(OR(AND(AA564&gt;0,ISNUMBER(I564),ABS(I564-N(L564))&gt;cfg_tol),AL564=1),1,0)))</f>
        <v>0</v>
      </c>
      <c r="AN564" s="96">
        <f>IF(AND(R564=1,N(M564)&gt;0,OR(N(M564)&gt;=AK564-cfg_tol,K564="Sim")),1,0)</f>
        <v>0</v>
      </c>
      <c r="AO564" s="96">
        <f>IF(AND(AN564=1,AD564&gt;0,AE564=AD564,AL564=0),1,0)</f>
        <v>0</v>
      </c>
      <c r="AP564" s="96">
        <f>IF(U564=0,0,IF(AND(INDEX('MTRs'!$AX$6:$AX$505,T564)=1,Z564=0,OR(f_res="",f_res="(Todos)",C564=f_res)),1,0))</f>
        <v>0</v>
      </c>
      <c r="AQ564" s="97" t="str">
        <f>IF(U564=0,"",INDEX('MTRs'!$AZ$6:$AZ$505,T564))</f>
        <v/>
      </c>
      <c r="AR564" s="96">
        <f>IF(U564=0,0,IF(AND(INDEX('MTRs'!$BA$6:$BA$505,T564)=1,Z564=0),1,0))</f>
        <v>0</v>
      </c>
      <c r="AS564" s="96" t="str">
        <f>IF(R564=1,A564&amp;" | MTR "&amp;IF(U564=1,INDEX('MTRs'!$B$6:$B$505,T564)&amp;"","?")&amp;" | "&amp;IF(C564="","(sem resíduo)",C564),"")</f>
        <v/>
      </c>
      <c r="AT564" s="96" t="str">
        <f>IF(R564=1,COUNTIF($R$6:R564,1),"")</f>
        <v/>
      </c>
      <c r="AU564" s="96" t="str">
        <f>IF(U564=1,INDEX('MTRs'!$I$6:$I$505,T564)&amp;"","")</f>
        <v/>
      </c>
    </row>
    <row r="565">
      <c r="A565" s="89" t="inlineStr">
        <is>
          <t>IT-000560</t>
        </is>
      </c>
      <c r="B565" s="91" t="n"/>
      <c r="C565" s="91" t="n"/>
      <c r="D565" s="94" t="str">
        <f>IF(OR(R565=0,V565=0),"",INDEX('CAD_RESÍDUOS'!$E$6:$E$205,MATCH(C565,'CAD_RESÍDUOS'!$B$6:$B$205,0))&amp;"")</f>
        <v/>
      </c>
      <c r="E565" s="94" t="str">
        <f>IF(OR(R565=0,V565=0),"",INDEX('CAD_RESÍDUOS'!$C$6:$C$205,MATCH(C565,'CAD_RESÍDUOS'!$B$6:$B$205,0))&amp;"")</f>
        <v/>
      </c>
      <c r="F565" s="94" t="str">
        <f>IF(OR(R565=0,V565=0),"",INDEX('CAD_RESÍDUOS'!$G$6:$G$205,MATCH(C565,'CAD_RESÍDUOS'!$B$6:$B$205,0))&amp;"")</f>
        <v/>
      </c>
      <c r="G565" s="98" t="n"/>
      <c r="H565" s="91" t="n"/>
      <c r="I565" s="93" t="str">
        <f>IF(R565=0,"",IF(NOT(ISNUMBER(G565)),"",IF(ISNUMBER(X565),G565*X565,"UNIDADE A CONFERIR")))</f>
        <v/>
      </c>
      <c r="J565" s="91" t="n"/>
      <c r="K565" s="91" t="n"/>
      <c r="L565" s="93" t="str">
        <f>IF(R565=0,"",SUMIFS('RECEBIMENTOS'!$H$6:$H$1005,'RECEBIMENTOS'!$R$6:$R$1005,A565,'RECEBIMENTOS'!$X$6:$X$1005,1))</f>
        <v/>
      </c>
      <c r="M565" s="93" t="str">
        <f>IF(R565=0,"",SUMIFS('VÍNCULOS_CDF'!$H$6:$H$1005,'VÍNCULOS_CDF'!$R$6:$R$1005,A565,'VÍNCULOS_CDF'!$V$6:$V$1005,1))</f>
        <v/>
      </c>
      <c r="N565" s="99" t="str">
        <f>IF(OR(R565=0,AA565=0,NOT(ISNUMBER(I565))),"",I565-N(L565))</f>
        <v/>
      </c>
      <c r="O565" s="100" t="str">
        <f>IF(OR(R565=0,AK565&lt;=0),"",N(M565)/AK565)</f>
        <v/>
      </c>
      <c r="P565" s="94" t="str">
        <f>IF(R565=0,"",IF(S565="","Sem MTR associado",IF(U565=0,"MTR inexistente",IF(C565="","Resíduo não identificado",IF(V565=0,"Resíduo fora do cadastro",IF(W565=0,"Quantidade inválida",IF(H565="","Unidade não informada",IF(NOT(ISNUMBER(I565)),"Unidade a conferir",IF(AND(AH565=1,K565&lt;&gt;"Sim"),"Possível duplicidade",IF(Z565=1,"MTR cancelado",IF(AC565&gt;0,"Recebimento com alerta",IF(AA565=0,"Aguardando recebimento",IF(AB565&lt;AA565,"Recebimento a conferir",IF(AM565=1,"Quantidade a revisar",IF(AF565&gt;0,"Vínculo a revisar",IF(AD565=0,"Aguardando CDF",IF(AN565=0,"Vínculo de CDF parcial",IF(AE565&lt;AD565,"CDF a conferir","Documentação conferida"))))))))))))))))))</f>
        <v/>
      </c>
      <c r="Q565" s="93" t="str">
        <f>IF(OR(R565=0,AA565=0),"",MAX(0,N(L565)-N(M565)))</f>
        <v/>
      </c>
      <c r="R565" s="96">
        <f>IF(COUNTA(B565:C565,G565:H565,J565:K565)&gt;0,1,0)</f>
        <v>0</v>
      </c>
      <c r="S565" s="96" t="str">
        <f>IF(B565="","",TRIM(LEFT(B565,FIND(" |",B565&amp;" |")-1)))</f>
        <v/>
      </c>
      <c r="T565" s="96" t="str">
        <f>IF(S565="","",IFERROR(MATCH(S565,'MTRs'!$A$6:$A$505,0),""))</f>
        <v/>
      </c>
      <c r="U565" s="96">
        <f>IF(T565="",0,IF(INDEX('MTRs'!$Z$6:$Z$505,T565)=1,1,0))</f>
        <v>0</v>
      </c>
      <c r="V565" s="96">
        <f>IF(C565="",0,IF(ISNUMBER(MATCH(C565,'CAD_RESÍDUOS'!$B$6:$B$205,0)),1,0))</f>
        <v>0</v>
      </c>
      <c r="W565" s="96">
        <f>IF(AND(ISNUMBER(G565),G565&gt;0),1,0)</f>
        <v>0</v>
      </c>
      <c r="X565" s="96" t="str">
        <f>IF(H565="","",IFERROR(IF(ISNUMBER(INDEX(cfg_fac,MATCH(H565,cfg_units,0))),IF(INDEX(cfg_fac,MATCH(H565,cfg_units,0))&gt;0,INDEX(cfg_fac,MATCH(H565,cfg_units,0)),""),""),""))</f>
        <v/>
      </c>
      <c r="Y565" s="96">
        <f>IF(AND(W565=1,ISNUMBER(I565)),1,0)</f>
        <v>0</v>
      </c>
      <c r="Z565" s="96">
        <f>IF(U565=1,INDEX('MTRs'!$AA$6:$AA$505,T565),0)</f>
        <v>0</v>
      </c>
      <c r="AA565" s="96">
        <f>IF(R565=0,0,COUNTIFS('RECEBIMENTOS'!$R$6:$R$1005,A565,'RECEBIMENTOS'!$Q$6:$Q$1005,1))</f>
        <v>0</v>
      </c>
      <c r="AB565" s="96">
        <f>IF(R565=0,0,COUNTIFS('RECEBIMENTOS'!$R$6:$R$1005,A565,'RECEBIMENTOS'!$Z$6:$Z$1005,1))</f>
        <v>0</v>
      </c>
      <c r="AC565" s="96">
        <f>IF(R565=0,0,COUNTIFS('RECEBIMENTOS'!$R$6:$R$1005,A565,'RECEBIMENTOS'!$Y$6:$Y$1005,1))</f>
        <v>0</v>
      </c>
      <c r="AD565" s="96">
        <f>IF(R565=0,0,COUNTIFS('VÍNCULOS_CDF'!$R$6:$R$1005,A565,'VÍNCULOS_CDF'!$N$6:$N$1005,1))</f>
        <v>0</v>
      </c>
      <c r="AE565" s="96">
        <f>IF(R565=0,0,COUNTIFS('VÍNCULOS_CDF'!$R$6:$R$1005,A565,'VÍNCULOS_CDF'!$AA$6:$AA$1005,1))</f>
        <v>0</v>
      </c>
      <c r="AF565" s="96">
        <f>IF(R565=0,0,COUNTIFS('VÍNCULOS_CDF'!$R$6:$R$1005,A565,'VÍNCULOS_CDF'!$Y$6:$Y$1005,1))</f>
        <v>0</v>
      </c>
      <c r="AG565" s="96" t="str">
        <f>IF(AND(R565=1,S565&lt;&gt;"",C565&lt;&gt;""),S565&amp;"|"&amp;C565&amp;"|"&amp;G565&amp;"|"&amp;H565,"")</f>
        <v/>
      </c>
      <c r="AH565" s="96">
        <f>IF(AG565="",0,IF(SUMPRODUCT(--($AG$6:$AG$1005=AG565))&gt;1,1,0))</f>
        <v>0</v>
      </c>
      <c r="AI565" s="96">
        <f>IF(R565=0,0,IF(OR(U565=0,V565=0,Y565=0,AND(AH565=1,K565&lt;&gt;"Sim")),1,0))</f>
        <v>0</v>
      </c>
      <c r="AJ565" s="96">
        <f>IF(AND(R565=1,AA565&gt;0,AB565=AA565),1,0)</f>
        <v>0</v>
      </c>
      <c r="AK565" s="96">
        <f>IF(R565=0,0,IF(AA565&gt;0,N(L565),IF(ISNUMBER(I565),I565,0)))</f>
        <v>0</v>
      </c>
      <c r="AL565" s="96">
        <f>IF(R565=0,0,IF(AND(K565&lt;&gt;"Sim",N(M565)&gt;AK565+cfg_tol),1,0))</f>
        <v>0</v>
      </c>
      <c r="AM565" s="96">
        <f>IF(R565=0,0,IF(K565="Sim",0,IF(OR(AND(AA565&gt;0,ISNUMBER(I565),ABS(I565-N(L565))&gt;cfg_tol),AL565=1),1,0)))</f>
        <v>0</v>
      </c>
      <c r="AN565" s="96">
        <f>IF(AND(R565=1,N(M565)&gt;0,OR(N(M565)&gt;=AK565-cfg_tol,K565="Sim")),1,0)</f>
        <v>0</v>
      </c>
      <c r="AO565" s="96">
        <f>IF(AND(AN565=1,AD565&gt;0,AE565=AD565,AL565=0),1,0)</f>
        <v>0</v>
      </c>
      <c r="AP565" s="96">
        <f>IF(U565=0,0,IF(AND(INDEX('MTRs'!$AX$6:$AX$505,T565)=1,Z565=0,OR(f_res="",f_res="(Todos)",C565=f_res)),1,0))</f>
        <v>0</v>
      </c>
      <c r="AQ565" s="97" t="str">
        <f>IF(U565=0,"",INDEX('MTRs'!$AZ$6:$AZ$505,T565))</f>
        <v/>
      </c>
      <c r="AR565" s="96">
        <f>IF(U565=0,0,IF(AND(INDEX('MTRs'!$BA$6:$BA$505,T565)=1,Z565=0),1,0))</f>
        <v>0</v>
      </c>
      <c r="AS565" s="96" t="str">
        <f>IF(R565=1,A565&amp;" | MTR "&amp;IF(U565=1,INDEX('MTRs'!$B$6:$B$505,T565)&amp;"","?")&amp;" | "&amp;IF(C565="","(sem resíduo)",C565),"")</f>
        <v/>
      </c>
      <c r="AT565" s="96" t="str">
        <f>IF(R565=1,COUNTIF($R$6:R565,1),"")</f>
        <v/>
      </c>
      <c r="AU565" s="96" t="str">
        <f>IF(U565=1,INDEX('MTRs'!$I$6:$I$505,T565)&amp;"","")</f>
        <v/>
      </c>
    </row>
    <row r="566">
      <c r="A566" s="89" t="inlineStr">
        <is>
          <t>IT-000561</t>
        </is>
      </c>
      <c r="B566" s="91" t="n"/>
      <c r="C566" s="91" t="n"/>
      <c r="D566" s="94" t="str">
        <f>IF(OR(R566=0,V566=0),"",INDEX('CAD_RESÍDUOS'!$E$6:$E$205,MATCH(C566,'CAD_RESÍDUOS'!$B$6:$B$205,0))&amp;"")</f>
        <v/>
      </c>
      <c r="E566" s="94" t="str">
        <f>IF(OR(R566=0,V566=0),"",INDEX('CAD_RESÍDUOS'!$C$6:$C$205,MATCH(C566,'CAD_RESÍDUOS'!$B$6:$B$205,0))&amp;"")</f>
        <v/>
      </c>
      <c r="F566" s="94" t="str">
        <f>IF(OR(R566=0,V566=0),"",INDEX('CAD_RESÍDUOS'!$G$6:$G$205,MATCH(C566,'CAD_RESÍDUOS'!$B$6:$B$205,0))&amp;"")</f>
        <v/>
      </c>
      <c r="G566" s="98" t="n"/>
      <c r="H566" s="91" t="n"/>
      <c r="I566" s="93" t="str">
        <f>IF(R566=0,"",IF(NOT(ISNUMBER(G566)),"",IF(ISNUMBER(X566),G566*X566,"UNIDADE A CONFERIR")))</f>
        <v/>
      </c>
      <c r="J566" s="91" t="n"/>
      <c r="K566" s="91" t="n"/>
      <c r="L566" s="93" t="str">
        <f>IF(R566=0,"",SUMIFS('RECEBIMENTOS'!$H$6:$H$1005,'RECEBIMENTOS'!$R$6:$R$1005,A566,'RECEBIMENTOS'!$X$6:$X$1005,1))</f>
        <v/>
      </c>
      <c r="M566" s="93" t="str">
        <f>IF(R566=0,"",SUMIFS('VÍNCULOS_CDF'!$H$6:$H$1005,'VÍNCULOS_CDF'!$R$6:$R$1005,A566,'VÍNCULOS_CDF'!$V$6:$V$1005,1))</f>
        <v/>
      </c>
      <c r="N566" s="99" t="str">
        <f>IF(OR(R566=0,AA566=0,NOT(ISNUMBER(I566))),"",I566-N(L566))</f>
        <v/>
      </c>
      <c r="O566" s="100" t="str">
        <f>IF(OR(R566=0,AK566&lt;=0),"",N(M566)/AK566)</f>
        <v/>
      </c>
      <c r="P566" s="94" t="str">
        <f>IF(R566=0,"",IF(S566="","Sem MTR associado",IF(U566=0,"MTR inexistente",IF(C566="","Resíduo não identificado",IF(V566=0,"Resíduo fora do cadastro",IF(W566=0,"Quantidade inválida",IF(H566="","Unidade não informada",IF(NOT(ISNUMBER(I566)),"Unidade a conferir",IF(AND(AH566=1,K566&lt;&gt;"Sim"),"Possível duplicidade",IF(Z566=1,"MTR cancelado",IF(AC566&gt;0,"Recebimento com alerta",IF(AA566=0,"Aguardando recebimento",IF(AB566&lt;AA566,"Recebimento a conferir",IF(AM566=1,"Quantidade a revisar",IF(AF566&gt;0,"Vínculo a revisar",IF(AD566=0,"Aguardando CDF",IF(AN566=0,"Vínculo de CDF parcial",IF(AE566&lt;AD566,"CDF a conferir","Documentação conferida"))))))))))))))))))</f>
        <v/>
      </c>
      <c r="Q566" s="93" t="str">
        <f>IF(OR(R566=0,AA566=0),"",MAX(0,N(L566)-N(M566)))</f>
        <v/>
      </c>
      <c r="R566" s="96">
        <f>IF(COUNTA(B566:C566,G566:H566,J566:K566)&gt;0,1,0)</f>
        <v>0</v>
      </c>
      <c r="S566" s="96" t="str">
        <f>IF(B566="","",TRIM(LEFT(B566,FIND(" |",B566&amp;" |")-1)))</f>
        <v/>
      </c>
      <c r="T566" s="96" t="str">
        <f>IF(S566="","",IFERROR(MATCH(S566,'MTRs'!$A$6:$A$505,0),""))</f>
        <v/>
      </c>
      <c r="U566" s="96">
        <f>IF(T566="",0,IF(INDEX('MTRs'!$Z$6:$Z$505,T566)=1,1,0))</f>
        <v>0</v>
      </c>
      <c r="V566" s="96">
        <f>IF(C566="",0,IF(ISNUMBER(MATCH(C566,'CAD_RESÍDUOS'!$B$6:$B$205,0)),1,0))</f>
        <v>0</v>
      </c>
      <c r="W566" s="96">
        <f>IF(AND(ISNUMBER(G566),G566&gt;0),1,0)</f>
        <v>0</v>
      </c>
      <c r="X566" s="96" t="str">
        <f>IF(H566="","",IFERROR(IF(ISNUMBER(INDEX(cfg_fac,MATCH(H566,cfg_units,0))),IF(INDEX(cfg_fac,MATCH(H566,cfg_units,0))&gt;0,INDEX(cfg_fac,MATCH(H566,cfg_units,0)),""),""),""))</f>
        <v/>
      </c>
      <c r="Y566" s="96">
        <f>IF(AND(W566=1,ISNUMBER(I566)),1,0)</f>
        <v>0</v>
      </c>
      <c r="Z566" s="96">
        <f>IF(U566=1,INDEX('MTRs'!$AA$6:$AA$505,T566),0)</f>
        <v>0</v>
      </c>
      <c r="AA566" s="96">
        <f>IF(R566=0,0,COUNTIFS('RECEBIMENTOS'!$R$6:$R$1005,A566,'RECEBIMENTOS'!$Q$6:$Q$1005,1))</f>
        <v>0</v>
      </c>
      <c r="AB566" s="96">
        <f>IF(R566=0,0,COUNTIFS('RECEBIMENTOS'!$R$6:$R$1005,A566,'RECEBIMENTOS'!$Z$6:$Z$1005,1))</f>
        <v>0</v>
      </c>
      <c r="AC566" s="96">
        <f>IF(R566=0,0,COUNTIFS('RECEBIMENTOS'!$R$6:$R$1005,A566,'RECEBIMENTOS'!$Y$6:$Y$1005,1))</f>
        <v>0</v>
      </c>
      <c r="AD566" s="96">
        <f>IF(R566=0,0,COUNTIFS('VÍNCULOS_CDF'!$R$6:$R$1005,A566,'VÍNCULOS_CDF'!$N$6:$N$1005,1))</f>
        <v>0</v>
      </c>
      <c r="AE566" s="96">
        <f>IF(R566=0,0,COUNTIFS('VÍNCULOS_CDF'!$R$6:$R$1005,A566,'VÍNCULOS_CDF'!$AA$6:$AA$1005,1))</f>
        <v>0</v>
      </c>
      <c r="AF566" s="96">
        <f>IF(R566=0,0,COUNTIFS('VÍNCULOS_CDF'!$R$6:$R$1005,A566,'VÍNCULOS_CDF'!$Y$6:$Y$1005,1))</f>
        <v>0</v>
      </c>
      <c r="AG566" s="96" t="str">
        <f>IF(AND(R566=1,S566&lt;&gt;"",C566&lt;&gt;""),S566&amp;"|"&amp;C566&amp;"|"&amp;G566&amp;"|"&amp;H566,"")</f>
        <v/>
      </c>
      <c r="AH566" s="96">
        <f>IF(AG566="",0,IF(SUMPRODUCT(--($AG$6:$AG$1005=AG566))&gt;1,1,0))</f>
        <v>0</v>
      </c>
      <c r="AI566" s="96">
        <f>IF(R566=0,0,IF(OR(U566=0,V566=0,Y566=0,AND(AH566=1,K566&lt;&gt;"Sim")),1,0))</f>
        <v>0</v>
      </c>
      <c r="AJ566" s="96">
        <f>IF(AND(R566=1,AA566&gt;0,AB566=AA566),1,0)</f>
        <v>0</v>
      </c>
      <c r="AK566" s="96">
        <f>IF(R566=0,0,IF(AA566&gt;0,N(L566),IF(ISNUMBER(I566),I566,0)))</f>
        <v>0</v>
      </c>
      <c r="AL566" s="96">
        <f>IF(R566=0,0,IF(AND(K566&lt;&gt;"Sim",N(M566)&gt;AK566+cfg_tol),1,0))</f>
        <v>0</v>
      </c>
      <c r="AM566" s="96">
        <f>IF(R566=0,0,IF(K566="Sim",0,IF(OR(AND(AA566&gt;0,ISNUMBER(I566),ABS(I566-N(L566))&gt;cfg_tol),AL566=1),1,0)))</f>
        <v>0</v>
      </c>
      <c r="AN566" s="96">
        <f>IF(AND(R566=1,N(M566)&gt;0,OR(N(M566)&gt;=AK566-cfg_tol,K566="Sim")),1,0)</f>
        <v>0</v>
      </c>
      <c r="AO566" s="96">
        <f>IF(AND(AN566=1,AD566&gt;0,AE566=AD566,AL566=0),1,0)</f>
        <v>0</v>
      </c>
      <c r="AP566" s="96">
        <f>IF(U566=0,0,IF(AND(INDEX('MTRs'!$AX$6:$AX$505,T566)=1,Z566=0,OR(f_res="",f_res="(Todos)",C566=f_res)),1,0))</f>
        <v>0</v>
      </c>
      <c r="AQ566" s="97" t="str">
        <f>IF(U566=0,"",INDEX('MTRs'!$AZ$6:$AZ$505,T566))</f>
        <v/>
      </c>
      <c r="AR566" s="96">
        <f>IF(U566=0,0,IF(AND(INDEX('MTRs'!$BA$6:$BA$505,T566)=1,Z566=0),1,0))</f>
        <v>0</v>
      </c>
      <c r="AS566" s="96" t="str">
        <f>IF(R566=1,A566&amp;" | MTR "&amp;IF(U566=1,INDEX('MTRs'!$B$6:$B$505,T566)&amp;"","?")&amp;" | "&amp;IF(C566="","(sem resíduo)",C566),"")</f>
        <v/>
      </c>
      <c r="AT566" s="96" t="str">
        <f>IF(R566=1,COUNTIF($R$6:R566,1),"")</f>
        <v/>
      </c>
      <c r="AU566" s="96" t="str">
        <f>IF(U566=1,INDEX('MTRs'!$I$6:$I$505,T566)&amp;"","")</f>
        <v/>
      </c>
    </row>
    <row r="567">
      <c r="A567" s="89" t="inlineStr">
        <is>
          <t>IT-000562</t>
        </is>
      </c>
      <c r="B567" s="91" t="n"/>
      <c r="C567" s="91" t="n"/>
      <c r="D567" s="94" t="str">
        <f>IF(OR(R567=0,V567=0),"",INDEX('CAD_RESÍDUOS'!$E$6:$E$205,MATCH(C567,'CAD_RESÍDUOS'!$B$6:$B$205,0))&amp;"")</f>
        <v/>
      </c>
      <c r="E567" s="94" t="str">
        <f>IF(OR(R567=0,V567=0),"",INDEX('CAD_RESÍDUOS'!$C$6:$C$205,MATCH(C567,'CAD_RESÍDUOS'!$B$6:$B$205,0))&amp;"")</f>
        <v/>
      </c>
      <c r="F567" s="94" t="str">
        <f>IF(OR(R567=0,V567=0),"",INDEX('CAD_RESÍDUOS'!$G$6:$G$205,MATCH(C567,'CAD_RESÍDUOS'!$B$6:$B$205,0))&amp;"")</f>
        <v/>
      </c>
      <c r="G567" s="98" t="n"/>
      <c r="H567" s="91" t="n"/>
      <c r="I567" s="93" t="str">
        <f>IF(R567=0,"",IF(NOT(ISNUMBER(G567)),"",IF(ISNUMBER(X567),G567*X567,"UNIDADE A CONFERIR")))</f>
        <v/>
      </c>
      <c r="J567" s="91" t="n"/>
      <c r="K567" s="91" t="n"/>
      <c r="L567" s="93" t="str">
        <f>IF(R567=0,"",SUMIFS('RECEBIMENTOS'!$H$6:$H$1005,'RECEBIMENTOS'!$R$6:$R$1005,A567,'RECEBIMENTOS'!$X$6:$X$1005,1))</f>
        <v/>
      </c>
      <c r="M567" s="93" t="str">
        <f>IF(R567=0,"",SUMIFS('VÍNCULOS_CDF'!$H$6:$H$1005,'VÍNCULOS_CDF'!$R$6:$R$1005,A567,'VÍNCULOS_CDF'!$V$6:$V$1005,1))</f>
        <v/>
      </c>
      <c r="N567" s="99" t="str">
        <f>IF(OR(R567=0,AA567=0,NOT(ISNUMBER(I567))),"",I567-N(L567))</f>
        <v/>
      </c>
      <c r="O567" s="100" t="str">
        <f>IF(OR(R567=0,AK567&lt;=0),"",N(M567)/AK567)</f>
        <v/>
      </c>
      <c r="P567" s="94" t="str">
        <f>IF(R567=0,"",IF(S567="","Sem MTR associado",IF(U567=0,"MTR inexistente",IF(C567="","Resíduo não identificado",IF(V567=0,"Resíduo fora do cadastro",IF(W567=0,"Quantidade inválida",IF(H567="","Unidade não informada",IF(NOT(ISNUMBER(I567)),"Unidade a conferir",IF(AND(AH567=1,K567&lt;&gt;"Sim"),"Possível duplicidade",IF(Z567=1,"MTR cancelado",IF(AC567&gt;0,"Recebimento com alerta",IF(AA567=0,"Aguardando recebimento",IF(AB567&lt;AA567,"Recebimento a conferir",IF(AM567=1,"Quantidade a revisar",IF(AF567&gt;0,"Vínculo a revisar",IF(AD567=0,"Aguardando CDF",IF(AN567=0,"Vínculo de CDF parcial",IF(AE567&lt;AD567,"CDF a conferir","Documentação conferida"))))))))))))))))))</f>
        <v/>
      </c>
      <c r="Q567" s="93" t="str">
        <f>IF(OR(R567=0,AA567=0),"",MAX(0,N(L567)-N(M567)))</f>
        <v/>
      </c>
      <c r="R567" s="96">
        <f>IF(COUNTA(B567:C567,G567:H567,J567:K567)&gt;0,1,0)</f>
        <v>0</v>
      </c>
      <c r="S567" s="96" t="str">
        <f>IF(B567="","",TRIM(LEFT(B567,FIND(" |",B567&amp;" |")-1)))</f>
        <v/>
      </c>
      <c r="T567" s="96" t="str">
        <f>IF(S567="","",IFERROR(MATCH(S567,'MTRs'!$A$6:$A$505,0),""))</f>
        <v/>
      </c>
      <c r="U567" s="96">
        <f>IF(T567="",0,IF(INDEX('MTRs'!$Z$6:$Z$505,T567)=1,1,0))</f>
        <v>0</v>
      </c>
      <c r="V567" s="96">
        <f>IF(C567="",0,IF(ISNUMBER(MATCH(C567,'CAD_RESÍDUOS'!$B$6:$B$205,0)),1,0))</f>
        <v>0</v>
      </c>
      <c r="W567" s="96">
        <f>IF(AND(ISNUMBER(G567),G567&gt;0),1,0)</f>
        <v>0</v>
      </c>
      <c r="X567" s="96" t="str">
        <f>IF(H567="","",IFERROR(IF(ISNUMBER(INDEX(cfg_fac,MATCH(H567,cfg_units,0))),IF(INDEX(cfg_fac,MATCH(H567,cfg_units,0))&gt;0,INDEX(cfg_fac,MATCH(H567,cfg_units,0)),""),""),""))</f>
        <v/>
      </c>
      <c r="Y567" s="96">
        <f>IF(AND(W567=1,ISNUMBER(I567)),1,0)</f>
        <v>0</v>
      </c>
      <c r="Z567" s="96">
        <f>IF(U567=1,INDEX('MTRs'!$AA$6:$AA$505,T567),0)</f>
        <v>0</v>
      </c>
      <c r="AA567" s="96">
        <f>IF(R567=0,0,COUNTIFS('RECEBIMENTOS'!$R$6:$R$1005,A567,'RECEBIMENTOS'!$Q$6:$Q$1005,1))</f>
        <v>0</v>
      </c>
      <c r="AB567" s="96">
        <f>IF(R567=0,0,COUNTIFS('RECEBIMENTOS'!$R$6:$R$1005,A567,'RECEBIMENTOS'!$Z$6:$Z$1005,1))</f>
        <v>0</v>
      </c>
      <c r="AC567" s="96">
        <f>IF(R567=0,0,COUNTIFS('RECEBIMENTOS'!$R$6:$R$1005,A567,'RECEBIMENTOS'!$Y$6:$Y$1005,1))</f>
        <v>0</v>
      </c>
      <c r="AD567" s="96">
        <f>IF(R567=0,0,COUNTIFS('VÍNCULOS_CDF'!$R$6:$R$1005,A567,'VÍNCULOS_CDF'!$N$6:$N$1005,1))</f>
        <v>0</v>
      </c>
      <c r="AE567" s="96">
        <f>IF(R567=0,0,COUNTIFS('VÍNCULOS_CDF'!$R$6:$R$1005,A567,'VÍNCULOS_CDF'!$AA$6:$AA$1005,1))</f>
        <v>0</v>
      </c>
      <c r="AF567" s="96">
        <f>IF(R567=0,0,COUNTIFS('VÍNCULOS_CDF'!$R$6:$R$1005,A567,'VÍNCULOS_CDF'!$Y$6:$Y$1005,1))</f>
        <v>0</v>
      </c>
      <c r="AG567" s="96" t="str">
        <f>IF(AND(R567=1,S567&lt;&gt;"",C567&lt;&gt;""),S567&amp;"|"&amp;C567&amp;"|"&amp;G567&amp;"|"&amp;H567,"")</f>
        <v/>
      </c>
      <c r="AH567" s="96">
        <f>IF(AG567="",0,IF(SUMPRODUCT(--($AG$6:$AG$1005=AG567))&gt;1,1,0))</f>
        <v>0</v>
      </c>
      <c r="AI567" s="96">
        <f>IF(R567=0,0,IF(OR(U567=0,V567=0,Y567=0,AND(AH567=1,K567&lt;&gt;"Sim")),1,0))</f>
        <v>0</v>
      </c>
      <c r="AJ567" s="96">
        <f>IF(AND(R567=1,AA567&gt;0,AB567=AA567),1,0)</f>
        <v>0</v>
      </c>
      <c r="AK567" s="96">
        <f>IF(R567=0,0,IF(AA567&gt;0,N(L567),IF(ISNUMBER(I567),I567,0)))</f>
        <v>0</v>
      </c>
      <c r="AL567" s="96">
        <f>IF(R567=0,0,IF(AND(K567&lt;&gt;"Sim",N(M567)&gt;AK567+cfg_tol),1,0))</f>
        <v>0</v>
      </c>
      <c r="AM567" s="96">
        <f>IF(R567=0,0,IF(K567="Sim",0,IF(OR(AND(AA567&gt;0,ISNUMBER(I567),ABS(I567-N(L567))&gt;cfg_tol),AL567=1),1,0)))</f>
        <v>0</v>
      </c>
      <c r="AN567" s="96">
        <f>IF(AND(R567=1,N(M567)&gt;0,OR(N(M567)&gt;=AK567-cfg_tol,K567="Sim")),1,0)</f>
        <v>0</v>
      </c>
      <c r="AO567" s="96">
        <f>IF(AND(AN567=1,AD567&gt;0,AE567=AD567,AL567=0),1,0)</f>
        <v>0</v>
      </c>
      <c r="AP567" s="96">
        <f>IF(U567=0,0,IF(AND(INDEX('MTRs'!$AX$6:$AX$505,T567)=1,Z567=0,OR(f_res="",f_res="(Todos)",C567=f_res)),1,0))</f>
        <v>0</v>
      </c>
      <c r="AQ567" s="97" t="str">
        <f>IF(U567=0,"",INDEX('MTRs'!$AZ$6:$AZ$505,T567))</f>
        <v/>
      </c>
      <c r="AR567" s="96">
        <f>IF(U567=0,0,IF(AND(INDEX('MTRs'!$BA$6:$BA$505,T567)=1,Z567=0),1,0))</f>
        <v>0</v>
      </c>
      <c r="AS567" s="96" t="str">
        <f>IF(R567=1,A567&amp;" | MTR "&amp;IF(U567=1,INDEX('MTRs'!$B$6:$B$505,T567)&amp;"","?")&amp;" | "&amp;IF(C567="","(sem resíduo)",C567),"")</f>
        <v/>
      </c>
      <c r="AT567" s="96" t="str">
        <f>IF(R567=1,COUNTIF($R$6:R567,1),"")</f>
        <v/>
      </c>
      <c r="AU567" s="96" t="str">
        <f>IF(U567=1,INDEX('MTRs'!$I$6:$I$505,T567)&amp;"","")</f>
        <v/>
      </c>
    </row>
    <row r="568">
      <c r="A568" s="89" t="inlineStr">
        <is>
          <t>IT-000563</t>
        </is>
      </c>
      <c r="B568" s="91" t="n"/>
      <c r="C568" s="91" t="n"/>
      <c r="D568" s="94" t="str">
        <f>IF(OR(R568=0,V568=0),"",INDEX('CAD_RESÍDUOS'!$E$6:$E$205,MATCH(C568,'CAD_RESÍDUOS'!$B$6:$B$205,0))&amp;"")</f>
        <v/>
      </c>
      <c r="E568" s="94" t="str">
        <f>IF(OR(R568=0,V568=0),"",INDEX('CAD_RESÍDUOS'!$C$6:$C$205,MATCH(C568,'CAD_RESÍDUOS'!$B$6:$B$205,0))&amp;"")</f>
        <v/>
      </c>
      <c r="F568" s="94" t="str">
        <f>IF(OR(R568=0,V568=0),"",INDEX('CAD_RESÍDUOS'!$G$6:$G$205,MATCH(C568,'CAD_RESÍDUOS'!$B$6:$B$205,0))&amp;"")</f>
        <v/>
      </c>
      <c r="G568" s="98" t="n"/>
      <c r="H568" s="91" t="n"/>
      <c r="I568" s="93" t="str">
        <f>IF(R568=0,"",IF(NOT(ISNUMBER(G568)),"",IF(ISNUMBER(X568),G568*X568,"UNIDADE A CONFERIR")))</f>
        <v/>
      </c>
      <c r="J568" s="91" t="n"/>
      <c r="K568" s="91" t="n"/>
      <c r="L568" s="93" t="str">
        <f>IF(R568=0,"",SUMIFS('RECEBIMENTOS'!$H$6:$H$1005,'RECEBIMENTOS'!$R$6:$R$1005,A568,'RECEBIMENTOS'!$X$6:$X$1005,1))</f>
        <v/>
      </c>
      <c r="M568" s="93" t="str">
        <f>IF(R568=0,"",SUMIFS('VÍNCULOS_CDF'!$H$6:$H$1005,'VÍNCULOS_CDF'!$R$6:$R$1005,A568,'VÍNCULOS_CDF'!$V$6:$V$1005,1))</f>
        <v/>
      </c>
      <c r="N568" s="99" t="str">
        <f>IF(OR(R568=0,AA568=0,NOT(ISNUMBER(I568))),"",I568-N(L568))</f>
        <v/>
      </c>
      <c r="O568" s="100" t="str">
        <f>IF(OR(R568=0,AK568&lt;=0),"",N(M568)/AK568)</f>
        <v/>
      </c>
      <c r="P568" s="94" t="str">
        <f>IF(R568=0,"",IF(S568="","Sem MTR associado",IF(U568=0,"MTR inexistente",IF(C568="","Resíduo não identificado",IF(V568=0,"Resíduo fora do cadastro",IF(W568=0,"Quantidade inválida",IF(H568="","Unidade não informada",IF(NOT(ISNUMBER(I568)),"Unidade a conferir",IF(AND(AH568=1,K568&lt;&gt;"Sim"),"Possível duplicidade",IF(Z568=1,"MTR cancelado",IF(AC568&gt;0,"Recebimento com alerta",IF(AA568=0,"Aguardando recebimento",IF(AB568&lt;AA568,"Recebimento a conferir",IF(AM568=1,"Quantidade a revisar",IF(AF568&gt;0,"Vínculo a revisar",IF(AD568=0,"Aguardando CDF",IF(AN568=0,"Vínculo de CDF parcial",IF(AE568&lt;AD568,"CDF a conferir","Documentação conferida"))))))))))))))))))</f>
        <v/>
      </c>
      <c r="Q568" s="93" t="str">
        <f>IF(OR(R568=0,AA568=0),"",MAX(0,N(L568)-N(M568)))</f>
        <v/>
      </c>
      <c r="R568" s="96">
        <f>IF(COUNTA(B568:C568,G568:H568,J568:K568)&gt;0,1,0)</f>
        <v>0</v>
      </c>
      <c r="S568" s="96" t="str">
        <f>IF(B568="","",TRIM(LEFT(B568,FIND(" |",B568&amp;" |")-1)))</f>
        <v/>
      </c>
      <c r="T568" s="96" t="str">
        <f>IF(S568="","",IFERROR(MATCH(S568,'MTRs'!$A$6:$A$505,0),""))</f>
        <v/>
      </c>
      <c r="U568" s="96">
        <f>IF(T568="",0,IF(INDEX('MTRs'!$Z$6:$Z$505,T568)=1,1,0))</f>
        <v>0</v>
      </c>
      <c r="V568" s="96">
        <f>IF(C568="",0,IF(ISNUMBER(MATCH(C568,'CAD_RESÍDUOS'!$B$6:$B$205,0)),1,0))</f>
        <v>0</v>
      </c>
      <c r="W568" s="96">
        <f>IF(AND(ISNUMBER(G568),G568&gt;0),1,0)</f>
        <v>0</v>
      </c>
      <c r="X568" s="96" t="str">
        <f>IF(H568="","",IFERROR(IF(ISNUMBER(INDEX(cfg_fac,MATCH(H568,cfg_units,0))),IF(INDEX(cfg_fac,MATCH(H568,cfg_units,0))&gt;0,INDEX(cfg_fac,MATCH(H568,cfg_units,0)),""),""),""))</f>
        <v/>
      </c>
      <c r="Y568" s="96">
        <f>IF(AND(W568=1,ISNUMBER(I568)),1,0)</f>
        <v>0</v>
      </c>
      <c r="Z568" s="96">
        <f>IF(U568=1,INDEX('MTRs'!$AA$6:$AA$505,T568),0)</f>
        <v>0</v>
      </c>
      <c r="AA568" s="96">
        <f>IF(R568=0,0,COUNTIFS('RECEBIMENTOS'!$R$6:$R$1005,A568,'RECEBIMENTOS'!$Q$6:$Q$1005,1))</f>
        <v>0</v>
      </c>
      <c r="AB568" s="96">
        <f>IF(R568=0,0,COUNTIFS('RECEBIMENTOS'!$R$6:$R$1005,A568,'RECEBIMENTOS'!$Z$6:$Z$1005,1))</f>
        <v>0</v>
      </c>
      <c r="AC568" s="96">
        <f>IF(R568=0,0,COUNTIFS('RECEBIMENTOS'!$R$6:$R$1005,A568,'RECEBIMENTOS'!$Y$6:$Y$1005,1))</f>
        <v>0</v>
      </c>
      <c r="AD568" s="96">
        <f>IF(R568=0,0,COUNTIFS('VÍNCULOS_CDF'!$R$6:$R$1005,A568,'VÍNCULOS_CDF'!$N$6:$N$1005,1))</f>
        <v>0</v>
      </c>
      <c r="AE568" s="96">
        <f>IF(R568=0,0,COUNTIFS('VÍNCULOS_CDF'!$R$6:$R$1005,A568,'VÍNCULOS_CDF'!$AA$6:$AA$1005,1))</f>
        <v>0</v>
      </c>
      <c r="AF568" s="96">
        <f>IF(R568=0,0,COUNTIFS('VÍNCULOS_CDF'!$R$6:$R$1005,A568,'VÍNCULOS_CDF'!$Y$6:$Y$1005,1))</f>
        <v>0</v>
      </c>
      <c r="AG568" s="96" t="str">
        <f>IF(AND(R568=1,S568&lt;&gt;"",C568&lt;&gt;""),S568&amp;"|"&amp;C568&amp;"|"&amp;G568&amp;"|"&amp;H568,"")</f>
        <v/>
      </c>
      <c r="AH568" s="96">
        <f>IF(AG568="",0,IF(SUMPRODUCT(--($AG$6:$AG$1005=AG568))&gt;1,1,0))</f>
        <v>0</v>
      </c>
      <c r="AI568" s="96">
        <f>IF(R568=0,0,IF(OR(U568=0,V568=0,Y568=0,AND(AH568=1,K568&lt;&gt;"Sim")),1,0))</f>
        <v>0</v>
      </c>
      <c r="AJ568" s="96">
        <f>IF(AND(R568=1,AA568&gt;0,AB568=AA568),1,0)</f>
        <v>0</v>
      </c>
      <c r="AK568" s="96">
        <f>IF(R568=0,0,IF(AA568&gt;0,N(L568),IF(ISNUMBER(I568),I568,0)))</f>
        <v>0</v>
      </c>
      <c r="AL568" s="96">
        <f>IF(R568=0,0,IF(AND(K568&lt;&gt;"Sim",N(M568)&gt;AK568+cfg_tol),1,0))</f>
        <v>0</v>
      </c>
      <c r="AM568" s="96">
        <f>IF(R568=0,0,IF(K568="Sim",0,IF(OR(AND(AA568&gt;0,ISNUMBER(I568),ABS(I568-N(L568))&gt;cfg_tol),AL568=1),1,0)))</f>
        <v>0</v>
      </c>
      <c r="AN568" s="96">
        <f>IF(AND(R568=1,N(M568)&gt;0,OR(N(M568)&gt;=AK568-cfg_tol,K568="Sim")),1,0)</f>
        <v>0</v>
      </c>
      <c r="AO568" s="96">
        <f>IF(AND(AN568=1,AD568&gt;0,AE568=AD568,AL568=0),1,0)</f>
        <v>0</v>
      </c>
      <c r="AP568" s="96">
        <f>IF(U568=0,0,IF(AND(INDEX('MTRs'!$AX$6:$AX$505,T568)=1,Z568=0,OR(f_res="",f_res="(Todos)",C568=f_res)),1,0))</f>
        <v>0</v>
      </c>
      <c r="AQ568" s="97" t="str">
        <f>IF(U568=0,"",INDEX('MTRs'!$AZ$6:$AZ$505,T568))</f>
        <v/>
      </c>
      <c r="AR568" s="96">
        <f>IF(U568=0,0,IF(AND(INDEX('MTRs'!$BA$6:$BA$505,T568)=1,Z568=0),1,0))</f>
        <v>0</v>
      </c>
      <c r="AS568" s="96" t="str">
        <f>IF(R568=1,A568&amp;" | MTR "&amp;IF(U568=1,INDEX('MTRs'!$B$6:$B$505,T568)&amp;"","?")&amp;" | "&amp;IF(C568="","(sem resíduo)",C568),"")</f>
        <v/>
      </c>
      <c r="AT568" s="96" t="str">
        <f>IF(R568=1,COUNTIF($R$6:R568,1),"")</f>
        <v/>
      </c>
      <c r="AU568" s="96" t="str">
        <f>IF(U568=1,INDEX('MTRs'!$I$6:$I$505,T568)&amp;"","")</f>
        <v/>
      </c>
    </row>
    <row r="569">
      <c r="A569" s="89" t="inlineStr">
        <is>
          <t>IT-000564</t>
        </is>
      </c>
      <c r="B569" s="91" t="n"/>
      <c r="C569" s="91" t="n"/>
      <c r="D569" s="94" t="str">
        <f>IF(OR(R569=0,V569=0),"",INDEX('CAD_RESÍDUOS'!$E$6:$E$205,MATCH(C569,'CAD_RESÍDUOS'!$B$6:$B$205,0))&amp;"")</f>
        <v/>
      </c>
      <c r="E569" s="94" t="str">
        <f>IF(OR(R569=0,V569=0),"",INDEX('CAD_RESÍDUOS'!$C$6:$C$205,MATCH(C569,'CAD_RESÍDUOS'!$B$6:$B$205,0))&amp;"")</f>
        <v/>
      </c>
      <c r="F569" s="94" t="str">
        <f>IF(OR(R569=0,V569=0),"",INDEX('CAD_RESÍDUOS'!$G$6:$G$205,MATCH(C569,'CAD_RESÍDUOS'!$B$6:$B$205,0))&amp;"")</f>
        <v/>
      </c>
      <c r="G569" s="98" t="n"/>
      <c r="H569" s="91" t="n"/>
      <c r="I569" s="93" t="str">
        <f>IF(R569=0,"",IF(NOT(ISNUMBER(G569)),"",IF(ISNUMBER(X569),G569*X569,"UNIDADE A CONFERIR")))</f>
        <v/>
      </c>
      <c r="J569" s="91" t="n"/>
      <c r="K569" s="91" t="n"/>
      <c r="L569" s="93" t="str">
        <f>IF(R569=0,"",SUMIFS('RECEBIMENTOS'!$H$6:$H$1005,'RECEBIMENTOS'!$R$6:$R$1005,A569,'RECEBIMENTOS'!$X$6:$X$1005,1))</f>
        <v/>
      </c>
      <c r="M569" s="93" t="str">
        <f>IF(R569=0,"",SUMIFS('VÍNCULOS_CDF'!$H$6:$H$1005,'VÍNCULOS_CDF'!$R$6:$R$1005,A569,'VÍNCULOS_CDF'!$V$6:$V$1005,1))</f>
        <v/>
      </c>
      <c r="N569" s="99" t="str">
        <f>IF(OR(R569=0,AA569=0,NOT(ISNUMBER(I569))),"",I569-N(L569))</f>
        <v/>
      </c>
      <c r="O569" s="100" t="str">
        <f>IF(OR(R569=0,AK569&lt;=0),"",N(M569)/AK569)</f>
        <v/>
      </c>
      <c r="P569" s="94" t="str">
        <f>IF(R569=0,"",IF(S569="","Sem MTR associado",IF(U569=0,"MTR inexistente",IF(C569="","Resíduo não identificado",IF(V569=0,"Resíduo fora do cadastro",IF(W569=0,"Quantidade inválida",IF(H569="","Unidade não informada",IF(NOT(ISNUMBER(I569)),"Unidade a conferir",IF(AND(AH569=1,K569&lt;&gt;"Sim"),"Possível duplicidade",IF(Z569=1,"MTR cancelado",IF(AC569&gt;0,"Recebimento com alerta",IF(AA569=0,"Aguardando recebimento",IF(AB569&lt;AA569,"Recebimento a conferir",IF(AM569=1,"Quantidade a revisar",IF(AF569&gt;0,"Vínculo a revisar",IF(AD569=0,"Aguardando CDF",IF(AN569=0,"Vínculo de CDF parcial",IF(AE569&lt;AD569,"CDF a conferir","Documentação conferida"))))))))))))))))))</f>
        <v/>
      </c>
      <c r="Q569" s="93" t="str">
        <f>IF(OR(R569=0,AA569=0),"",MAX(0,N(L569)-N(M569)))</f>
        <v/>
      </c>
      <c r="R569" s="96">
        <f>IF(COUNTA(B569:C569,G569:H569,J569:K569)&gt;0,1,0)</f>
        <v>0</v>
      </c>
      <c r="S569" s="96" t="str">
        <f>IF(B569="","",TRIM(LEFT(B569,FIND(" |",B569&amp;" |")-1)))</f>
        <v/>
      </c>
      <c r="T569" s="96" t="str">
        <f>IF(S569="","",IFERROR(MATCH(S569,'MTRs'!$A$6:$A$505,0),""))</f>
        <v/>
      </c>
      <c r="U569" s="96">
        <f>IF(T569="",0,IF(INDEX('MTRs'!$Z$6:$Z$505,T569)=1,1,0))</f>
        <v>0</v>
      </c>
      <c r="V569" s="96">
        <f>IF(C569="",0,IF(ISNUMBER(MATCH(C569,'CAD_RESÍDUOS'!$B$6:$B$205,0)),1,0))</f>
        <v>0</v>
      </c>
      <c r="W569" s="96">
        <f>IF(AND(ISNUMBER(G569),G569&gt;0),1,0)</f>
        <v>0</v>
      </c>
      <c r="X569" s="96" t="str">
        <f>IF(H569="","",IFERROR(IF(ISNUMBER(INDEX(cfg_fac,MATCH(H569,cfg_units,0))),IF(INDEX(cfg_fac,MATCH(H569,cfg_units,0))&gt;0,INDEX(cfg_fac,MATCH(H569,cfg_units,0)),""),""),""))</f>
        <v/>
      </c>
      <c r="Y569" s="96">
        <f>IF(AND(W569=1,ISNUMBER(I569)),1,0)</f>
        <v>0</v>
      </c>
      <c r="Z569" s="96">
        <f>IF(U569=1,INDEX('MTRs'!$AA$6:$AA$505,T569),0)</f>
        <v>0</v>
      </c>
      <c r="AA569" s="96">
        <f>IF(R569=0,0,COUNTIFS('RECEBIMENTOS'!$R$6:$R$1005,A569,'RECEBIMENTOS'!$Q$6:$Q$1005,1))</f>
        <v>0</v>
      </c>
      <c r="AB569" s="96">
        <f>IF(R569=0,0,COUNTIFS('RECEBIMENTOS'!$R$6:$R$1005,A569,'RECEBIMENTOS'!$Z$6:$Z$1005,1))</f>
        <v>0</v>
      </c>
      <c r="AC569" s="96">
        <f>IF(R569=0,0,COUNTIFS('RECEBIMENTOS'!$R$6:$R$1005,A569,'RECEBIMENTOS'!$Y$6:$Y$1005,1))</f>
        <v>0</v>
      </c>
      <c r="AD569" s="96">
        <f>IF(R569=0,0,COUNTIFS('VÍNCULOS_CDF'!$R$6:$R$1005,A569,'VÍNCULOS_CDF'!$N$6:$N$1005,1))</f>
        <v>0</v>
      </c>
      <c r="AE569" s="96">
        <f>IF(R569=0,0,COUNTIFS('VÍNCULOS_CDF'!$R$6:$R$1005,A569,'VÍNCULOS_CDF'!$AA$6:$AA$1005,1))</f>
        <v>0</v>
      </c>
      <c r="AF569" s="96">
        <f>IF(R569=0,0,COUNTIFS('VÍNCULOS_CDF'!$R$6:$R$1005,A569,'VÍNCULOS_CDF'!$Y$6:$Y$1005,1))</f>
        <v>0</v>
      </c>
      <c r="AG569" s="96" t="str">
        <f>IF(AND(R569=1,S569&lt;&gt;"",C569&lt;&gt;""),S569&amp;"|"&amp;C569&amp;"|"&amp;G569&amp;"|"&amp;H569,"")</f>
        <v/>
      </c>
      <c r="AH569" s="96">
        <f>IF(AG569="",0,IF(SUMPRODUCT(--($AG$6:$AG$1005=AG569))&gt;1,1,0))</f>
        <v>0</v>
      </c>
      <c r="AI569" s="96">
        <f>IF(R569=0,0,IF(OR(U569=0,V569=0,Y569=0,AND(AH569=1,K569&lt;&gt;"Sim")),1,0))</f>
        <v>0</v>
      </c>
      <c r="AJ569" s="96">
        <f>IF(AND(R569=1,AA569&gt;0,AB569=AA569),1,0)</f>
        <v>0</v>
      </c>
      <c r="AK569" s="96">
        <f>IF(R569=0,0,IF(AA569&gt;0,N(L569),IF(ISNUMBER(I569),I569,0)))</f>
        <v>0</v>
      </c>
      <c r="AL569" s="96">
        <f>IF(R569=0,0,IF(AND(K569&lt;&gt;"Sim",N(M569)&gt;AK569+cfg_tol),1,0))</f>
        <v>0</v>
      </c>
      <c r="AM569" s="96">
        <f>IF(R569=0,0,IF(K569="Sim",0,IF(OR(AND(AA569&gt;0,ISNUMBER(I569),ABS(I569-N(L569))&gt;cfg_tol),AL569=1),1,0)))</f>
        <v>0</v>
      </c>
      <c r="AN569" s="96">
        <f>IF(AND(R569=1,N(M569)&gt;0,OR(N(M569)&gt;=AK569-cfg_tol,K569="Sim")),1,0)</f>
        <v>0</v>
      </c>
      <c r="AO569" s="96">
        <f>IF(AND(AN569=1,AD569&gt;0,AE569=AD569,AL569=0),1,0)</f>
        <v>0</v>
      </c>
      <c r="AP569" s="96">
        <f>IF(U569=0,0,IF(AND(INDEX('MTRs'!$AX$6:$AX$505,T569)=1,Z569=0,OR(f_res="",f_res="(Todos)",C569=f_res)),1,0))</f>
        <v>0</v>
      </c>
      <c r="AQ569" s="97" t="str">
        <f>IF(U569=0,"",INDEX('MTRs'!$AZ$6:$AZ$505,T569))</f>
        <v/>
      </c>
      <c r="AR569" s="96">
        <f>IF(U569=0,0,IF(AND(INDEX('MTRs'!$BA$6:$BA$505,T569)=1,Z569=0),1,0))</f>
        <v>0</v>
      </c>
      <c r="AS569" s="96" t="str">
        <f>IF(R569=1,A569&amp;" | MTR "&amp;IF(U569=1,INDEX('MTRs'!$B$6:$B$505,T569)&amp;"","?")&amp;" | "&amp;IF(C569="","(sem resíduo)",C569),"")</f>
        <v/>
      </c>
      <c r="AT569" s="96" t="str">
        <f>IF(R569=1,COUNTIF($R$6:R569,1),"")</f>
        <v/>
      </c>
      <c r="AU569" s="96" t="str">
        <f>IF(U569=1,INDEX('MTRs'!$I$6:$I$505,T569)&amp;"","")</f>
        <v/>
      </c>
    </row>
    <row r="570">
      <c r="A570" s="89" t="inlineStr">
        <is>
          <t>IT-000565</t>
        </is>
      </c>
      <c r="B570" s="91" t="n"/>
      <c r="C570" s="91" t="n"/>
      <c r="D570" s="94" t="str">
        <f>IF(OR(R570=0,V570=0),"",INDEX('CAD_RESÍDUOS'!$E$6:$E$205,MATCH(C570,'CAD_RESÍDUOS'!$B$6:$B$205,0))&amp;"")</f>
        <v/>
      </c>
      <c r="E570" s="94" t="str">
        <f>IF(OR(R570=0,V570=0),"",INDEX('CAD_RESÍDUOS'!$C$6:$C$205,MATCH(C570,'CAD_RESÍDUOS'!$B$6:$B$205,0))&amp;"")</f>
        <v/>
      </c>
      <c r="F570" s="94" t="str">
        <f>IF(OR(R570=0,V570=0),"",INDEX('CAD_RESÍDUOS'!$G$6:$G$205,MATCH(C570,'CAD_RESÍDUOS'!$B$6:$B$205,0))&amp;"")</f>
        <v/>
      </c>
      <c r="G570" s="98" t="n"/>
      <c r="H570" s="91" t="n"/>
      <c r="I570" s="93" t="str">
        <f>IF(R570=0,"",IF(NOT(ISNUMBER(G570)),"",IF(ISNUMBER(X570),G570*X570,"UNIDADE A CONFERIR")))</f>
        <v/>
      </c>
      <c r="J570" s="91" t="n"/>
      <c r="K570" s="91" t="n"/>
      <c r="L570" s="93" t="str">
        <f>IF(R570=0,"",SUMIFS('RECEBIMENTOS'!$H$6:$H$1005,'RECEBIMENTOS'!$R$6:$R$1005,A570,'RECEBIMENTOS'!$X$6:$X$1005,1))</f>
        <v/>
      </c>
      <c r="M570" s="93" t="str">
        <f>IF(R570=0,"",SUMIFS('VÍNCULOS_CDF'!$H$6:$H$1005,'VÍNCULOS_CDF'!$R$6:$R$1005,A570,'VÍNCULOS_CDF'!$V$6:$V$1005,1))</f>
        <v/>
      </c>
      <c r="N570" s="99" t="str">
        <f>IF(OR(R570=0,AA570=0,NOT(ISNUMBER(I570))),"",I570-N(L570))</f>
        <v/>
      </c>
      <c r="O570" s="100" t="str">
        <f>IF(OR(R570=0,AK570&lt;=0),"",N(M570)/AK570)</f>
        <v/>
      </c>
      <c r="P570" s="94" t="str">
        <f>IF(R570=0,"",IF(S570="","Sem MTR associado",IF(U570=0,"MTR inexistente",IF(C570="","Resíduo não identificado",IF(V570=0,"Resíduo fora do cadastro",IF(W570=0,"Quantidade inválida",IF(H570="","Unidade não informada",IF(NOT(ISNUMBER(I570)),"Unidade a conferir",IF(AND(AH570=1,K570&lt;&gt;"Sim"),"Possível duplicidade",IF(Z570=1,"MTR cancelado",IF(AC570&gt;0,"Recebimento com alerta",IF(AA570=0,"Aguardando recebimento",IF(AB570&lt;AA570,"Recebimento a conferir",IF(AM570=1,"Quantidade a revisar",IF(AF570&gt;0,"Vínculo a revisar",IF(AD570=0,"Aguardando CDF",IF(AN570=0,"Vínculo de CDF parcial",IF(AE570&lt;AD570,"CDF a conferir","Documentação conferida"))))))))))))))))))</f>
        <v/>
      </c>
      <c r="Q570" s="93" t="str">
        <f>IF(OR(R570=0,AA570=0),"",MAX(0,N(L570)-N(M570)))</f>
        <v/>
      </c>
      <c r="R570" s="96">
        <f>IF(COUNTA(B570:C570,G570:H570,J570:K570)&gt;0,1,0)</f>
        <v>0</v>
      </c>
      <c r="S570" s="96" t="str">
        <f>IF(B570="","",TRIM(LEFT(B570,FIND(" |",B570&amp;" |")-1)))</f>
        <v/>
      </c>
      <c r="T570" s="96" t="str">
        <f>IF(S570="","",IFERROR(MATCH(S570,'MTRs'!$A$6:$A$505,0),""))</f>
        <v/>
      </c>
      <c r="U570" s="96">
        <f>IF(T570="",0,IF(INDEX('MTRs'!$Z$6:$Z$505,T570)=1,1,0))</f>
        <v>0</v>
      </c>
      <c r="V570" s="96">
        <f>IF(C570="",0,IF(ISNUMBER(MATCH(C570,'CAD_RESÍDUOS'!$B$6:$B$205,0)),1,0))</f>
        <v>0</v>
      </c>
      <c r="W570" s="96">
        <f>IF(AND(ISNUMBER(G570),G570&gt;0),1,0)</f>
        <v>0</v>
      </c>
      <c r="X570" s="96" t="str">
        <f>IF(H570="","",IFERROR(IF(ISNUMBER(INDEX(cfg_fac,MATCH(H570,cfg_units,0))),IF(INDEX(cfg_fac,MATCH(H570,cfg_units,0))&gt;0,INDEX(cfg_fac,MATCH(H570,cfg_units,0)),""),""),""))</f>
        <v/>
      </c>
      <c r="Y570" s="96">
        <f>IF(AND(W570=1,ISNUMBER(I570)),1,0)</f>
        <v>0</v>
      </c>
      <c r="Z570" s="96">
        <f>IF(U570=1,INDEX('MTRs'!$AA$6:$AA$505,T570),0)</f>
        <v>0</v>
      </c>
      <c r="AA570" s="96">
        <f>IF(R570=0,0,COUNTIFS('RECEBIMENTOS'!$R$6:$R$1005,A570,'RECEBIMENTOS'!$Q$6:$Q$1005,1))</f>
        <v>0</v>
      </c>
      <c r="AB570" s="96">
        <f>IF(R570=0,0,COUNTIFS('RECEBIMENTOS'!$R$6:$R$1005,A570,'RECEBIMENTOS'!$Z$6:$Z$1005,1))</f>
        <v>0</v>
      </c>
      <c r="AC570" s="96">
        <f>IF(R570=0,0,COUNTIFS('RECEBIMENTOS'!$R$6:$R$1005,A570,'RECEBIMENTOS'!$Y$6:$Y$1005,1))</f>
        <v>0</v>
      </c>
      <c r="AD570" s="96">
        <f>IF(R570=0,0,COUNTIFS('VÍNCULOS_CDF'!$R$6:$R$1005,A570,'VÍNCULOS_CDF'!$N$6:$N$1005,1))</f>
        <v>0</v>
      </c>
      <c r="AE570" s="96">
        <f>IF(R570=0,0,COUNTIFS('VÍNCULOS_CDF'!$R$6:$R$1005,A570,'VÍNCULOS_CDF'!$AA$6:$AA$1005,1))</f>
        <v>0</v>
      </c>
      <c r="AF570" s="96">
        <f>IF(R570=0,0,COUNTIFS('VÍNCULOS_CDF'!$R$6:$R$1005,A570,'VÍNCULOS_CDF'!$Y$6:$Y$1005,1))</f>
        <v>0</v>
      </c>
      <c r="AG570" s="96" t="str">
        <f>IF(AND(R570=1,S570&lt;&gt;"",C570&lt;&gt;""),S570&amp;"|"&amp;C570&amp;"|"&amp;G570&amp;"|"&amp;H570,"")</f>
        <v/>
      </c>
      <c r="AH570" s="96">
        <f>IF(AG570="",0,IF(SUMPRODUCT(--($AG$6:$AG$1005=AG570))&gt;1,1,0))</f>
        <v>0</v>
      </c>
      <c r="AI570" s="96">
        <f>IF(R570=0,0,IF(OR(U570=0,V570=0,Y570=0,AND(AH570=1,K570&lt;&gt;"Sim")),1,0))</f>
        <v>0</v>
      </c>
      <c r="AJ570" s="96">
        <f>IF(AND(R570=1,AA570&gt;0,AB570=AA570),1,0)</f>
        <v>0</v>
      </c>
      <c r="AK570" s="96">
        <f>IF(R570=0,0,IF(AA570&gt;0,N(L570),IF(ISNUMBER(I570),I570,0)))</f>
        <v>0</v>
      </c>
      <c r="AL570" s="96">
        <f>IF(R570=0,0,IF(AND(K570&lt;&gt;"Sim",N(M570)&gt;AK570+cfg_tol),1,0))</f>
        <v>0</v>
      </c>
      <c r="AM570" s="96">
        <f>IF(R570=0,0,IF(K570="Sim",0,IF(OR(AND(AA570&gt;0,ISNUMBER(I570),ABS(I570-N(L570))&gt;cfg_tol),AL570=1),1,0)))</f>
        <v>0</v>
      </c>
      <c r="AN570" s="96">
        <f>IF(AND(R570=1,N(M570)&gt;0,OR(N(M570)&gt;=AK570-cfg_tol,K570="Sim")),1,0)</f>
        <v>0</v>
      </c>
      <c r="AO570" s="96">
        <f>IF(AND(AN570=1,AD570&gt;0,AE570=AD570,AL570=0),1,0)</f>
        <v>0</v>
      </c>
      <c r="AP570" s="96">
        <f>IF(U570=0,0,IF(AND(INDEX('MTRs'!$AX$6:$AX$505,T570)=1,Z570=0,OR(f_res="",f_res="(Todos)",C570=f_res)),1,0))</f>
        <v>0</v>
      </c>
      <c r="AQ570" s="97" t="str">
        <f>IF(U570=0,"",INDEX('MTRs'!$AZ$6:$AZ$505,T570))</f>
        <v/>
      </c>
      <c r="AR570" s="96">
        <f>IF(U570=0,0,IF(AND(INDEX('MTRs'!$BA$6:$BA$505,T570)=1,Z570=0),1,0))</f>
        <v>0</v>
      </c>
      <c r="AS570" s="96" t="str">
        <f>IF(R570=1,A570&amp;" | MTR "&amp;IF(U570=1,INDEX('MTRs'!$B$6:$B$505,T570)&amp;"","?")&amp;" | "&amp;IF(C570="","(sem resíduo)",C570),"")</f>
        <v/>
      </c>
      <c r="AT570" s="96" t="str">
        <f>IF(R570=1,COUNTIF($R$6:R570,1),"")</f>
        <v/>
      </c>
      <c r="AU570" s="96" t="str">
        <f>IF(U570=1,INDEX('MTRs'!$I$6:$I$505,T570)&amp;"","")</f>
        <v/>
      </c>
    </row>
    <row r="571">
      <c r="A571" s="89" t="inlineStr">
        <is>
          <t>IT-000566</t>
        </is>
      </c>
      <c r="B571" s="91" t="n"/>
      <c r="C571" s="91" t="n"/>
      <c r="D571" s="94" t="str">
        <f>IF(OR(R571=0,V571=0),"",INDEX('CAD_RESÍDUOS'!$E$6:$E$205,MATCH(C571,'CAD_RESÍDUOS'!$B$6:$B$205,0))&amp;"")</f>
        <v/>
      </c>
      <c r="E571" s="94" t="str">
        <f>IF(OR(R571=0,V571=0),"",INDEX('CAD_RESÍDUOS'!$C$6:$C$205,MATCH(C571,'CAD_RESÍDUOS'!$B$6:$B$205,0))&amp;"")</f>
        <v/>
      </c>
      <c r="F571" s="94" t="str">
        <f>IF(OR(R571=0,V571=0),"",INDEX('CAD_RESÍDUOS'!$G$6:$G$205,MATCH(C571,'CAD_RESÍDUOS'!$B$6:$B$205,0))&amp;"")</f>
        <v/>
      </c>
      <c r="G571" s="98" t="n"/>
      <c r="H571" s="91" t="n"/>
      <c r="I571" s="93" t="str">
        <f>IF(R571=0,"",IF(NOT(ISNUMBER(G571)),"",IF(ISNUMBER(X571),G571*X571,"UNIDADE A CONFERIR")))</f>
        <v/>
      </c>
      <c r="J571" s="91" t="n"/>
      <c r="K571" s="91" t="n"/>
      <c r="L571" s="93" t="str">
        <f>IF(R571=0,"",SUMIFS('RECEBIMENTOS'!$H$6:$H$1005,'RECEBIMENTOS'!$R$6:$R$1005,A571,'RECEBIMENTOS'!$X$6:$X$1005,1))</f>
        <v/>
      </c>
      <c r="M571" s="93" t="str">
        <f>IF(R571=0,"",SUMIFS('VÍNCULOS_CDF'!$H$6:$H$1005,'VÍNCULOS_CDF'!$R$6:$R$1005,A571,'VÍNCULOS_CDF'!$V$6:$V$1005,1))</f>
        <v/>
      </c>
      <c r="N571" s="99" t="str">
        <f>IF(OR(R571=0,AA571=0,NOT(ISNUMBER(I571))),"",I571-N(L571))</f>
        <v/>
      </c>
      <c r="O571" s="100" t="str">
        <f>IF(OR(R571=0,AK571&lt;=0),"",N(M571)/AK571)</f>
        <v/>
      </c>
      <c r="P571" s="94" t="str">
        <f>IF(R571=0,"",IF(S571="","Sem MTR associado",IF(U571=0,"MTR inexistente",IF(C571="","Resíduo não identificado",IF(V571=0,"Resíduo fora do cadastro",IF(W571=0,"Quantidade inválida",IF(H571="","Unidade não informada",IF(NOT(ISNUMBER(I571)),"Unidade a conferir",IF(AND(AH571=1,K571&lt;&gt;"Sim"),"Possível duplicidade",IF(Z571=1,"MTR cancelado",IF(AC571&gt;0,"Recebimento com alerta",IF(AA571=0,"Aguardando recebimento",IF(AB571&lt;AA571,"Recebimento a conferir",IF(AM571=1,"Quantidade a revisar",IF(AF571&gt;0,"Vínculo a revisar",IF(AD571=0,"Aguardando CDF",IF(AN571=0,"Vínculo de CDF parcial",IF(AE571&lt;AD571,"CDF a conferir","Documentação conferida"))))))))))))))))))</f>
        <v/>
      </c>
      <c r="Q571" s="93" t="str">
        <f>IF(OR(R571=0,AA571=0),"",MAX(0,N(L571)-N(M571)))</f>
        <v/>
      </c>
      <c r="R571" s="96">
        <f>IF(COUNTA(B571:C571,G571:H571,J571:K571)&gt;0,1,0)</f>
        <v>0</v>
      </c>
      <c r="S571" s="96" t="str">
        <f>IF(B571="","",TRIM(LEFT(B571,FIND(" |",B571&amp;" |")-1)))</f>
        <v/>
      </c>
      <c r="T571" s="96" t="str">
        <f>IF(S571="","",IFERROR(MATCH(S571,'MTRs'!$A$6:$A$505,0),""))</f>
        <v/>
      </c>
      <c r="U571" s="96">
        <f>IF(T571="",0,IF(INDEX('MTRs'!$Z$6:$Z$505,T571)=1,1,0))</f>
        <v>0</v>
      </c>
      <c r="V571" s="96">
        <f>IF(C571="",0,IF(ISNUMBER(MATCH(C571,'CAD_RESÍDUOS'!$B$6:$B$205,0)),1,0))</f>
        <v>0</v>
      </c>
      <c r="W571" s="96">
        <f>IF(AND(ISNUMBER(G571),G571&gt;0),1,0)</f>
        <v>0</v>
      </c>
      <c r="X571" s="96" t="str">
        <f>IF(H571="","",IFERROR(IF(ISNUMBER(INDEX(cfg_fac,MATCH(H571,cfg_units,0))),IF(INDEX(cfg_fac,MATCH(H571,cfg_units,0))&gt;0,INDEX(cfg_fac,MATCH(H571,cfg_units,0)),""),""),""))</f>
        <v/>
      </c>
      <c r="Y571" s="96">
        <f>IF(AND(W571=1,ISNUMBER(I571)),1,0)</f>
        <v>0</v>
      </c>
      <c r="Z571" s="96">
        <f>IF(U571=1,INDEX('MTRs'!$AA$6:$AA$505,T571),0)</f>
        <v>0</v>
      </c>
      <c r="AA571" s="96">
        <f>IF(R571=0,0,COUNTIFS('RECEBIMENTOS'!$R$6:$R$1005,A571,'RECEBIMENTOS'!$Q$6:$Q$1005,1))</f>
        <v>0</v>
      </c>
      <c r="AB571" s="96">
        <f>IF(R571=0,0,COUNTIFS('RECEBIMENTOS'!$R$6:$R$1005,A571,'RECEBIMENTOS'!$Z$6:$Z$1005,1))</f>
        <v>0</v>
      </c>
      <c r="AC571" s="96">
        <f>IF(R571=0,0,COUNTIFS('RECEBIMENTOS'!$R$6:$R$1005,A571,'RECEBIMENTOS'!$Y$6:$Y$1005,1))</f>
        <v>0</v>
      </c>
      <c r="AD571" s="96">
        <f>IF(R571=0,0,COUNTIFS('VÍNCULOS_CDF'!$R$6:$R$1005,A571,'VÍNCULOS_CDF'!$N$6:$N$1005,1))</f>
        <v>0</v>
      </c>
      <c r="AE571" s="96">
        <f>IF(R571=0,0,COUNTIFS('VÍNCULOS_CDF'!$R$6:$R$1005,A571,'VÍNCULOS_CDF'!$AA$6:$AA$1005,1))</f>
        <v>0</v>
      </c>
      <c r="AF571" s="96">
        <f>IF(R571=0,0,COUNTIFS('VÍNCULOS_CDF'!$R$6:$R$1005,A571,'VÍNCULOS_CDF'!$Y$6:$Y$1005,1))</f>
        <v>0</v>
      </c>
      <c r="AG571" s="96" t="str">
        <f>IF(AND(R571=1,S571&lt;&gt;"",C571&lt;&gt;""),S571&amp;"|"&amp;C571&amp;"|"&amp;G571&amp;"|"&amp;H571,"")</f>
        <v/>
      </c>
      <c r="AH571" s="96">
        <f>IF(AG571="",0,IF(SUMPRODUCT(--($AG$6:$AG$1005=AG571))&gt;1,1,0))</f>
        <v>0</v>
      </c>
      <c r="AI571" s="96">
        <f>IF(R571=0,0,IF(OR(U571=0,V571=0,Y571=0,AND(AH571=1,K571&lt;&gt;"Sim")),1,0))</f>
        <v>0</v>
      </c>
      <c r="AJ571" s="96">
        <f>IF(AND(R571=1,AA571&gt;0,AB571=AA571),1,0)</f>
        <v>0</v>
      </c>
      <c r="AK571" s="96">
        <f>IF(R571=0,0,IF(AA571&gt;0,N(L571),IF(ISNUMBER(I571),I571,0)))</f>
        <v>0</v>
      </c>
      <c r="AL571" s="96">
        <f>IF(R571=0,0,IF(AND(K571&lt;&gt;"Sim",N(M571)&gt;AK571+cfg_tol),1,0))</f>
        <v>0</v>
      </c>
      <c r="AM571" s="96">
        <f>IF(R571=0,0,IF(K571="Sim",0,IF(OR(AND(AA571&gt;0,ISNUMBER(I571),ABS(I571-N(L571))&gt;cfg_tol),AL571=1),1,0)))</f>
        <v>0</v>
      </c>
      <c r="AN571" s="96">
        <f>IF(AND(R571=1,N(M571)&gt;0,OR(N(M571)&gt;=AK571-cfg_tol,K571="Sim")),1,0)</f>
        <v>0</v>
      </c>
      <c r="AO571" s="96">
        <f>IF(AND(AN571=1,AD571&gt;0,AE571=AD571,AL571=0),1,0)</f>
        <v>0</v>
      </c>
      <c r="AP571" s="96">
        <f>IF(U571=0,0,IF(AND(INDEX('MTRs'!$AX$6:$AX$505,T571)=1,Z571=0,OR(f_res="",f_res="(Todos)",C571=f_res)),1,0))</f>
        <v>0</v>
      </c>
      <c r="AQ571" s="97" t="str">
        <f>IF(U571=0,"",INDEX('MTRs'!$AZ$6:$AZ$505,T571))</f>
        <v/>
      </c>
      <c r="AR571" s="96">
        <f>IF(U571=0,0,IF(AND(INDEX('MTRs'!$BA$6:$BA$505,T571)=1,Z571=0),1,0))</f>
        <v>0</v>
      </c>
      <c r="AS571" s="96" t="str">
        <f>IF(R571=1,A571&amp;" | MTR "&amp;IF(U571=1,INDEX('MTRs'!$B$6:$B$505,T571)&amp;"","?")&amp;" | "&amp;IF(C571="","(sem resíduo)",C571),"")</f>
        <v/>
      </c>
      <c r="AT571" s="96" t="str">
        <f>IF(R571=1,COUNTIF($R$6:R571,1),"")</f>
        <v/>
      </c>
      <c r="AU571" s="96" t="str">
        <f>IF(U571=1,INDEX('MTRs'!$I$6:$I$505,T571)&amp;"","")</f>
        <v/>
      </c>
    </row>
    <row r="572">
      <c r="A572" s="89" t="inlineStr">
        <is>
          <t>IT-000567</t>
        </is>
      </c>
      <c r="B572" s="91" t="n"/>
      <c r="C572" s="91" t="n"/>
      <c r="D572" s="94" t="str">
        <f>IF(OR(R572=0,V572=0),"",INDEX('CAD_RESÍDUOS'!$E$6:$E$205,MATCH(C572,'CAD_RESÍDUOS'!$B$6:$B$205,0))&amp;"")</f>
        <v/>
      </c>
      <c r="E572" s="94" t="str">
        <f>IF(OR(R572=0,V572=0),"",INDEX('CAD_RESÍDUOS'!$C$6:$C$205,MATCH(C572,'CAD_RESÍDUOS'!$B$6:$B$205,0))&amp;"")</f>
        <v/>
      </c>
      <c r="F572" s="94" t="str">
        <f>IF(OR(R572=0,V572=0),"",INDEX('CAD_RESÍDUOS'!$G$6:$G$205,MATCH(C572,'CAD_RESÍDUOS'!$B$6:$B$205,0))&amp;"")</f>
        <v/>
      </c>
      <c r="G572" s="98" t="n"/>
      <c r="H572" s="91" t="n"/>
      <c r="I572" s="93" t="str">
        <f>IF(R572=0,"",IF(NOT(ISNUMBER(G572)),"",IF(ISNUMBER(X572),G572*X572,"UNIDADE A CONFERIR")))</f>
        <v/>
      </c>
      <c r="J572" s="91" t="n"/>
      <c r="K572" s="91" t="n"/>
      <c r="L572" s="93" t="str">
        <f>IF(R572=0,"",SUMIFS('RECEBIMENTOS'!$H$6:$H$1005,'RECEBIMENTOS'!$R$6:$R$1005,A572,'RECEBIMENTOS'!$X$6:$X$1005,1))</f>
        <v/>
      </c>
      <c r="M572" s="93" t="str">
        <f>IF(R572=0,"",SUMIFS('VÍNCULOS_CDF'!$H$6:$H$1005,'VÍNCULOS_CDF'!$R$6:$R$1005,A572,'VÍNCULOS_CDF'!$V$6:$V$1005,1))</f>
        <v/>
      </c>
      <c r="N572" s="99" t="str">
        <f>IF(OR(R572=0,AA572=0,NOT(ISNUMBER(I572))),"",I572-N(L572))</f>
        <v/>
      </c>
      <c r="O572" s="100" t="str">
        <f>IF(OR(R572=0,AK572&lt;=0),"",N(M572)/AK572)</f>
        <v/>
      </c>
      <c r="P572" s="94" t="str">
        <f>IF(R572=0,"",IF(S572="","Sem MTR associado",IF(U572=0,"MTR inexistente",IF(C572="","Resíduo não identificado",IF(V572=0,"Resíduo fora do cadastro",IF(W572=0,"Quantidade inválida",IF(H572="","Unidade não informada",IF(NOT(ISNUMBER(I572)),"Unidade a conferir",IF(AND(AH572=1,K572&lt;&gt;"Sim"),"Possível duplicidade",IF(Z572=1,"MTR cancelado",IF(AC572&gt;0,"Recebimento com alerta",IF(AA572=0,"Aguardando recebimento",IF(AB572&lt;AA572,"Recebimento a conferir",IF(AM572=1,"Quantidade a revisar",IF(AF572&gt;0,"Vínculo a revisar",IF(AD572=0,"Aguardando CDF",IF(AN572=0,"Vínculo de CDF parcial",IF(AE572&lt;AD572,"CDF a conferir","Documentação conferida"))))))))))))))))))</f>
        <v/>
      </c>
      <c r="Q572" s="93" t="str">
        <f>IF(OR(R572=0,AA572=0),"",MAX(0,N(L572)-N(M572)))</f>
        <v/>
      </c>
      <c r="R572" s="96">
        <f>IF(COUNTA(B572:C572,G572:H572,J572:K572)&gt;0,1,0)</f>
        <v>0</v>
      </c>
      <c r="S572" s="96" t="str">
        <f>IF(B572="","",TRIM(LEFT(B572,FIND(" |",B572&amp;" |")-1)))</f>
        <v/>
      </c>
      <c r="T572" s="96" t="str">
        <f>IF(S572="","",IFERROR(MATCH(S572,'MTRs'!$A$6:$A$505,0),""))</f>
        <v/>
      </c>
      <c r="U572" s="96">
        <f>IF(T572="",0,IF(INDEX('MTRs'!$Z$6:$Z$505,T572)=1,1,0))</f>
        <v>0</v>
      </c>
      <c r="V572" s="96">
        <f>IF(C572="",0,IF(ISNUMBER(MATCH(C572,'CAD_RESÍDUOS'!$B$6:$B$205,0)),1,0))</f>
        <v>0</v>
      </c>
      <c r="W572" s="96">
        <f>IF(AND(ISNUMBER(G572),G572&gt;0),1,0)</f>
        <v>0</v>
      </c>
      <c r="X572" s="96" t="str">
        <f>IF(H572="","",IFERROR(IF(ISNUMBER(INDEX(cfg_fac,MATCH(H572,cfg_units,0))),IF(INDEX(cfg_fac,MATCH(H572,cfg_units,0))&gt;0,INDEX(cfg_fac,MATCH(H572,cfg_units,0)),""),""),""))</f>
        <v/>
      </c>
      <c r="Y572" s="96">
        <f>IF(AND(W572=1,ISNUMBER(I572)),1,0)</f>
        <v>0</v>
      </c>
      <c r="Z572" s="96">
        <f>IF(U572=1,INDEX('MTRs'!$AA$6:$AA$505,T572),0)</f>
        <v>0</v>
      </c>
      <c r="AA572" s="96">
        <f>IF(R572=0,0,COUNTIFS('RECEBIMENTOS'!$R$6:$R$1005,A572,'RECEBIMENTOS'!$Q$6:$Q$1005,1))</f>
        <v>0</v>
      </c>
      <c r="AB572" s="96">
        <f>IF(R572=0,0,COUNTIFS('RECEBIMENTOS'!$R$6:$R$1005,A572,'RECEBIMENTOS'!$Z$6:$Z$1005,1))</f>
        <v>0</v>
      </c>
      <c r="AC572" s="96">
        <f>IF(R572=0,0,COUNTIFS('RECEBIMENTOS'!$R$6:$R$1005,A572,'RECEBIMENTOS'!$Y$6:$Y$1005,1))</f>
        <v>0</v>
      </c>
      <c r="AD572" s="96">
        <f>IF(R572=0,0,COUNTIFS('VÍNCULOS_CDF'!$R$6:$R$1005,A572,'VÍNCULOS_CDF'!$N$6:$N$1005,1))</f>
        <v>0</v>
      </c>
      <c r="AE572" s="96">
        <f>IF(R572=0,0,COUNTIFS('VÍNCULOS_CDF'!$R$6:$R$1005,A572,'VÍNCULOS_CDF'!$AA$6:$AA$1005,1))</f>
        <v>0</v>
      </c>
      <c r="AF572" s="96">
        <f>IF(R572=0,0,COUNTIFS('VÍNCULOS_CDF'!$R$6:$R$1005,A572,'VÍNCULOS_CDF'!$Y$6:$Y$1005,1))</f>
        <v>0</v>
      </c>
      <c r="AG572" s="96" t="str">
        <f>IF(AND(R572=1,S572&lt;&gt;"",C572&lt;&gt;""),S572&amp;"|"&amp;C572&amp;"|"&amp;G572&amp;"|"&amp;H572,"")</f>
        <v/>
      </c>
      <c r="AH572" s="96">
        <f>IF(AG572="",0,IF(SUMPRODUCT(--($AG$6:$AG$1005=AG572))&gt;1,1,0))</f>
        <v>0</v>
      </c>
      <c r="AI572" s="96">
        <f>IF(R572=0,0,IF(OR(U572=0,V572=0,Y572=0,AND(AH572=1,K572&lt;&gt;"Sim")),1,0))</f>
        <v>0</v>
      </c>
      <c r="AJ572" s="96">
        <f>IF(AND(R572=1,AA572&gt;0,AB572=AA572),1,0)</f>
        <v>0</v>
      </c>
      <c r="AK572" s="96">
        <f>IF(R572=0,0,IF(AA572&gt;0,N(L572),IF(ISNUMBER(I572),I572,0)))</f>
        <v>0</v>
      </c>
      <c r="AL572" s="96">
        <f>IF(R572=0,0,IF(AND(K572&lt;&gt;"Sim",N(M572)&gt;AK572+cfg_tol),1,0))</f>
        <v>0</v>
      </c>
      <c r="AM572" s="96">
        <f>IF(R572=0,0,IF(K572="Sim",0,IF(OR(AND(AA572&gt;0,ISNUMBER(I572),ABS(I572-N(L572))&gt;cfg_tol),AL572=1),1,0)))</f>
        <v>0</v>
      </c>
      <c r="AN572" s="96">
        <f>IF(AND(R572=1,N(M572)&gt;0,OR(N(M572)&gt;=AK572-cfg_tol,K572="Sim")),1,0)</f>
        <v>0</v>
      </c>
      <c r="AO572" s="96">
        <f>IF(AND(AN572=1,AD572&gt;0,AE572=AD572,AL572=0),1,0)</f>
        <v>0</v>
      </c>
      <c r="AP572" s="96">
        <f>IF(U572=0,0,IF(AND(INDEX('MTRs'!$AX$6:$AX$505,T572)=1,Z572=0,OR(f_res="",f_res="(Todos)",C572=f_res)),1,0))</f>
        <v>0</v>
      </c>
      <c r="AQ572" s="97" t="str">
        <f>IF(U572=0,"",INDEX('MTRs'!$AZ$6:$AZ$505,T572))</f>
        <v/>
      </c>
      <c r="AR572" s="96">
        <f>IF(U572=0,0,IF(AND(INDEX('MTRs'!$BA$6:$BA$505,T572)=1,Z572=0),1,0))</f>
        <v>0</v>
      </c>
      <c r="AS572" s="96" t="str">
        <f>IF(R572=1,A572&amp;" | MTR "&amp;IF(U572=1,INDEX('MTRs'!$B$6:$B$505,T572)&amp;"","?")&amp;" | "&amp;IF(C572="","(sem resíduo)",C572),"")</f>
        <v/>
      </c>
      <c r="AT572" s="96" t="str">
        <f>IF(R572=1,COUNTIF($R$6:R572,1),"")</f>
        <v/>
      </c>
      <c r="AU572" s="96" t="str">
        <f>IF(U572=1,INDEX('MTRs'!$I$6:$I$505,T572)&amp;"","")</f>
        <v/>
      </c>
    </row>
    <row r="573">
      <c r="A573" s="89" t="inlineStr">
        <is>
          <t>IT-000568</t>
        </is>
      </c>
      <c r="B573" s="91" t="n"/>
      <c r="C573" s="91" t="n"/>
      <c r="D573" s="94" t="str">
        <f>IF(OR(R573=0,V573=0),"",INDEX('CAD_RESÍDUOS'!$E$6:$E$205,MATCH(C573,'CAD_RESÍDUOS'!$B$6:$B$205,0))&amp;"")</f>
        <v/>
      </c>
      <c r="E573" s="94" t="str">
        <f>IF(OR(R573=0,V573=0),"",INDEX('CAD_RESÍDUOS'!$C$6:$C$205,MATCH(C573,'CAD_RESÍDUOS'!$B$6:$B$205,0))&amp;"")</f>
        <v/>
      </c>
      <c r="F573" s="94" t="str">
        <f>IF(OR(R573=0,V573=0),"",INDEX('CAD_RESÍDUOS'!$G$6:$G$205,MATCH(C573,'CAD_RESÍDUOS'!$B$6:$B$205,0))&amp;"")</f>
        <v/>
      </c>
      <c r="G573" s="98" t="n"/>
      <c r="H573" s="91" t="n"/>
      <c r="I573" s="93" t="str">
        <f>IF(R573=0,"",IF(NOT(ISNUMBER(G573)),"",IF(ISNUMBER(X573),G573*X573,"UNIDADE A CONFERIR")))</f>
        <v/>
      </c>
      <c r="J573" s="91" t="n"/>
      <c r="K573" s="91" t="n"/>
      <c r="L573" s="93" t="str">
        <f>IF(R573=0,"",SUMIFS('RECEBIMENTOS'!$H$6:$H$1005,'RECEBIMENTOS'!$R$6:$R$1005,A573,'RECEBIMENTOS'!$X$6:$X$1005,1))</f>
        <v/>
      </c>
      <c r="M573" s="93" t="str">
        <f>IF(R573=0,"",SUMIFS('VÍNCULOS_CDF'!$H$6:$H$1005,'VÍNCULOS_CDF'!$R$6:$R$1005,A573,'VÍNCULOS_CDF'!$V$6:$V$1005,1))</f>
        <v/>
      </c>
      <c r="N573" s="99" t="str">
        <f>IF(OR(R573=0,AA573=0,NOT(ISNUMBER(I573))),"",I573-N(L573))</f>
        <v/>
      </c>
      <c r="O573" s="100" t="str">
        <f>IF(OR(R573=0,AK573&lt;=0),"",N(M573)/AK573)</f>
        <v/>
      </c>
      <c r="P573" s="94" t="str">
        <f>IF(R573=0,"",IF(S573="","Sem MTR associado",IF(U573=0,"MTR inexistente",IF(C573="","Resíduo não identificado",IF(V573=0,"Resíduo fora do cadastro",IF(W573=0,"Quantidade inválida",IF(H573="","Unidade não informada",IF(NOT(ISNUMBER(I573)),"Unidade a conferir",IF(AND(AH573=1,K573&lt;&gt;"Sim"),"Possível duplicidade",IF(Z573=1,"MTR cancelado",IF(AC573&gt;0,"Recebimento com alerta",IF(AA573=0,"Aguardando recebimento",IF(AB573&lt;AA573,"Recebimento a conferir",IF(AM573=1,"Quantidade a revisar",IF(AF573&gt;0,"Vínculo a revisar",IF(AD573=0,"Aguardando CDF",IF(AN573=0,"Vínculo de CDF parcial",IF(AE573&lt;AD573,"CDF a conferir","Documentação conferida"))))))))))))))))))</f>
        <v/>
      </c>
      <c r="Q573" s="93" t="str">
        <f>IF(OR(R573=0,AA573=0),"",MAX(0,N(L573)-N(M573)))</f>
        <v/>
      </c>
      <c r="R573" s="96">
        <f>IF(COUNTA(B573:C573,G573:H573,J573:K573)&gt;0,1,0)</f>
        <v>0</v>
      </c>
      <c r="S573" s="96" t="str">
        <f>IF(B573="","",TRIM(LEFT(B573,FIND(" |",B573&amp;" |")-1)))</f>
        <v/>
      </c>
      <c r="T573" s="96" t="str">
        <f>IF(S573="","",IFERROR(MATCH(S573,'MTRs'!$A$6:$A$505,0),""))</f>
        <v/>
      </c>
      <c r="U573" s="96">
        <f>IF(T573="",0,IF(INDEX('MTRs'!$Z$6:$Z$505,T573)=1,1,0))</f>
        <v>0</v>
      </c>
      <c r="V573" s="96">
        <f>IF(C573="",0,IF(ISNUMBER(MATCH(C573,'CAD_RESÍDUOS'!$B$6:$B$205,0)),1,0))</f>
        <v>0</v>
      </c>
      <c r="W573" s="96">
        <f>IF(AND(ISNUMBER(G573),G573&gt;0),1,0)</f>
        <v>0</v>
      </c>
      <c r="X573" s="96" t="str">
        <f>IF(H573="","",IFERROR(IF(ISNUMBER(INDEX(cfg_fac,MATCH(H573,cfg_units,0))),IF(INDEX(cfg_fac,MATCH(H573,cfg_units,0))&gt;0,INDEX(cfg_fac,MATCH(H573,cfg_units,0)),""),""),""))</f>
        <v/>
      </c>
      <c r="Y573" s="96">
        <f>IF(AND(W573=1,ISNUMBER(I573)),1,0)</f>
        <v>0</v>
      </c>
      <c r="Z573" s="96">
        <f>IF(U573=1,INDEX('MTRs'!$AA$6:$AA$505,T573),0)</f>
        <v>0</v>
      </c>
      <c r="AA573" s="96">
        <f>IF(R573=0,0,COUNTIFS('RECEBIMENTOS'!$R$6:$R$1005,A573,'RECEBIMENTOS'!$Q$6:$Q$1005,1))</f>
        <v>0</v>
      </c>
      <c r="AB573" s="96">
        <f>IF(R573=0,0,COUNTIFS('RECEBIMENTOS'!$R$6:$R$1005,A573,'RECEBIMENTOS'!$Z$6:$Z$1005,1))</f>
        <v>0</v>
      </c>
      <c r="AC573" s="96">
        <f>IF(R573=0,0,COUNTIFS('RECEBIMENTOS'!$R$6:$R$1005,A573,'RECEBIMENTOS'!$Y$6:$Y$1005,1))</f>
        <v>0</v>
      </c>
      <c r="AD573" s="96">
        <f>IF(R573=0,0,COUNTIFS('VÍNCULOS_CDF'!$R$6:$R$1005,A573,'VÍNCULOS_CDF'!$N$6:$N$1005,1))</f>
        <v>0</v>
      </c>
      <c r="AE573" s="96">
        <f>IF(R573=0,0,COUNTIFS('VÍNCULOS_CDF'!$R$6:$R$1005,A573,'VÍNCULOS_CDF'!$AA$6:$AA$1005,1))</f>
        <v>0</v>
      </c>
      <c r="AF573" s="96">
        <f>IF(R573=0,0,COUNTIFS('VÍNCULOS_CDF'!$R$6:$R$1005,A573,'VÍNCULOS_CDF'!$Y$6:$Y$1005,1))</f>
        <v>0</v>
      </c>
      <c r="AG573" s="96" t="str">
        <f>IF(AND(R573=1,S573&lt;&gt;"",C573&lt;&gt;""),S573&amp;"|"&amp;C573&amp;"|"&amp;G573&amp;"|"&amp;H573,"")</f>
        <v/>
      </c>
      <c r="AH573" s="96">
        <f>IF(AG573="",0,IF(SUMPRODUCT(--($AG$6:$AG$1005=AG573))&gt;1,1,0))</f>
        <v>0</v>
      </c>
      <c r="AI573" s="96">
        <f>IF(R573=0,0,IF(OR(U573=0,V573=0,Y573=0,AND(AH573=1,K573&lt;&gt;"Sim")),1,0))</f>
        <v>0</v>
      </c>
      <c r="AJ573" s="96">
        <f>IF(AND(R573=1,AA573&gt;0,AB573=AA573),1,0)</f>
        <v>0</v>
      </c>
      <c r="AK573" s="96">
        <f>IF(R573=0,0,IF(AA573&gt;0,N(L573),IF(ISNUMBER(I573),I573,0)))</f>
        <v>0</v>
      </c>
      <c r="AL573" s="96">
        <f>IF(R573=0,0,IF(AND(K573&lt;&gt;"Sim",N(M573)&gt;AK573+cfg_tol),1,0))</f>
        <v>0</v>
      </c>
      <c r="AM573" s="96">
        <f>IF(R573=0,0,IF(K573="Sim",0,IF(OR(AND(AA573&gt;0,ISNUMBER(I573),ABS(I573-N(L573))&gt;cfg_tol),AL573=1),1,0)))</f>
        <v>0</v>
      </c>
      <c r="AN573" s="96">
        <f>IF(AND(R573=1,N(M573)&gt;0,OR(N(M573)&gt;=AK573-cfg_tol,K573="Sim")),1,0)</f>
        <v>0</v>
      </c>
      <c r="AO573" s="96">
        <f>IF(AND(AN573=1,AD573&gt;0,AE573=AD573,AL573=0),1,0)</f>
        <v>0</v>
      </c>
      <c r="AP573" s="96">
        <f>IF(U573=0,0,IF(AND(INDEX('MTRs'!$AX$6:$AX$505,T573)=1,Z573=0,OR(f_res="",f_res="(Todos)",C573=f_res)),1,0))</f>
        <v>0</v>
      </c>
      <c r="AQ573" s="97" t="str">
        <f>IF(U573=0,"",INDEX('MTRs'!$AZ$6:$AZ$505,T573))</f>
        <v/>
      </c>
      <c r="AR573" s="96">
        <f>IF(U573=0,0,IF(AND(INDEX('MTRs'!$BA$6:$BA$505,T573)=1,Z573=0),1,0))</f>
        <v>0</v>
      </c>
      <c r="AS573" s="96" t="str">
        <f>IF(R573=1,A573&amp;" | MTR "&amp;IF(U573=1,INDEX('MTRs'!$B$6:$B$505,T573)&amp;"","?")&amp;" | "&amp;IF(C573="","(sem resíduo)",C573),"")</f>
        <v/>
      </c>
      <c r="AT573" s="96" t="str">
        <f>IF(R573=1,COUNTIF($R$6:R573,1),"")</f>
        <v/>
      </c>
      <c r="AU573" s="96" t="str">
        <f>IF(U573=1,INDEX('MTRs'!$I$6:$I$505,T573)&amp;"","")</f>
        <v/>
      </c>
    </row>
    <row r="574">
      <c r="A574" s="89" t="inlineStr">
        <is>
          <t>IT-000569</t>
        </is>
      </c>
      <c r="B574" s="91" t="n"/>
      <c r="C574" s="91" t="n"/>
      <c r="D574" s="94" t="str">
        <f>IF(OR(R574=0,V574=0),"",INDEX('CAD_RESÍDUOS'!$E$6:$E$205,MATCH(C574,'CAD_RESÍDUOS'!$B$6:$B$205,0))&amp;"")</f>
        <v/>
      </c>
      <c r="E574" s="94" t="str">
        <f>IF(OR(R574=0,V574=0),"",INDEX('CAD_RESÍDUOS'!$C$6:$C$205,MATCH(C574,'CAD_RESÍDUOS'!$B$6:$B$205,0))&amp;"")</f>
        <v/>
      </c>
      <c r="F574" s="94" t="str">
        <f>IF(OR(R574=0,V574=0),"",INDEX('CAD_RESÍDUOS'!$G$6:$G$205,MATCH(C574,'CAD_RESÍDUOS'!$B$6:$B$205,0))&amp;"")</f>
        <v/>
      </c>
      <c r="G574" s="98" t="n"/>
      <c r="H574" s="91" t="n"/>
      <c r="I574" s="93" t="str">
        <f>IF(R574=0,"",IF(NOT(ISNUMBER(G574)),"",IF(ISNUMBER(X574),G574*X574,"UNIDADE A CONFERIR")))</f>
        <v/>
      </c>
      <c r="J574" s="91" t="n"/>
      <c r="K574" s="91" t="n"/>
      <c r="L574" s="93" t="str">
        <f>IF(R574=0,"",SUMIFS('RECEBIMENTOS'!$H$6:$H$1005,'RECEBIMENTOS'!$R$6:$R$1005,A574,'RECEBIMENTOS'!$X$6:$X$1005,1))</f>
        <v/>
      </c>
      <c r="M574" s="93" t="str">
        <f>IF(R574=0,"",SUMIFS('VÍNCULOS_CDF'!$H$6:$H$1005,'VÍNCULOS_CDF'!$R$6:$R$1005,A574,'VÍNCULOS_CDF'!$V$6:$V$1005,1))</f>
        <v/>
      </c>
      <c r="N574" s="99" t="str">
        <f>IF(OR(R574=0,AA574=0,NOT(ISNUMBER(I574))),"",I574-N(L574))</f>
        <v/>
      </c>
      <c r="O574" s="100" t="str">
        <f>IF(OR(R574=0,AK574&lt;=0),"",N(M574)/AK574)</f>
        <v/>
      </c>
      <c r="P574" s="94" t="str">
        <f>IF(R574=0,"",IF(S574="","Sem MTR associado",IF(U574=0,"MTR inexistente",IF(C574="","Resíduo não identificado",IF(V574=0,"Resíduo fora do cadastro",IF(W574=0,"Quantidade inválida",IF(H574="","Unidade não informada",IF(NOT(ISNUMBER(I574)),"Unidade a conferir",IF(AND(AH574=1,K574&lt;&gt;"Sim"),"Possível duplicidade",IF(Z574=1,"MTR cancelado",IF(AC574&gt;0,"Recebimento com alerta",IF(AA574=0,"Aguardando recebimento",IF(AB574&lt;AA574,"Recebimento a conferir",IF(AM574=1,"Quantidade a revisar",IF(AF574&gt;0,"Vínculo a revisar",IF(AD574=0,"Aguardando CDF",IF(AN574=0,"Vínculo de CDF parcial",IF(AE574&lt;AD574,"CDF a conferir","Documentação conferida"))))))))))))))))))</f>
        <v/>
      </c>
      <c r="Q574" s="93" t="str">
        <f>IF(OR(R574=0,AA574=0),"",MAX(0,N(L574)-N(M574)))</f>
        <v/>
      </c>
      <c r="R574" s="96">
        <f>IF(COUNTA(B574:C574,G574:H574,J574:K574)&gt;0,1,0)</f>
        <v>0</v>
      </c>
      <c r="S574" s="96" t="str">
        <f>IF(B574="","",TRIM(LEFT(B574,FIND(" |",B574&amp;" |")-1)))</f>
        <v/>
      </c>
      <c r="T574" s="96" t="str">
        <f>IF(S574="","",IFERROR(MATCH(S574,'MTRs'!$A$6:$A$505,0),""))</f>
        <v/>
      </c>
      <c r="U574" s="96">
        <f>IF(T574="",0,IF(INDEX('MTRs'!$Z$6:$Z$505,T574)=1,1,0))</f>
        <v>0</v>
      </c>
      <c r="V574" s="96">
        <f>IF(C574="",0,IF(ISNUMBER(MATCH(C574,'CAD_RESÍDUOS'!$B$6:$B$205,0)),1,0))</f>
        <v>0</v>
      </c>
      <c r="W574" s="96">
        <f>IF(AND(ISNUMBER(G574),G574&gt;0),1,0)</f>
        <v>0</v>
      </c>
      <c r="X574" s="96" t="str">
        <f>IF(H574="","",IFERROR(IF(ISNUMBER(INDEX(cfg_fac,MATCH(H574,cfg_units,0))),IF(INDEX(cfg_fac,MATCH(H574,cfg_units,0))&gt;0,INDEX(cfg_fac,MATCH(H574,cfg_units,0)),""),""),""))</f>
        <v/>
      </c>
      <c r="Y574" s="96">
        <f>IF(AND(W574=1,ISNUMBER(I574)),1,0)</f>
        <v>0</v>
      </c>
      <c r="Z574" s="96">
        <f>IF(U574=1,INDEX('MTRs'!$AA$6:$AA$505,T574),0)</f>
        <v>0</v>
      </c>
      <c r="AA574" s="96">
        <f>IF(R574=0,0,COUNTIFS('RECEBIMENTOS'!$R$6:$R$1005,A574,'RECEBIMENTOS'!$Q$6:$Q$1005,1))</f>
        <v>0</v>
      </c>
      <c r="AB574" s="96">
        <f>IF(R574=0,0,COUNTIFS('RECEBIMENTOS'!$R$6:$R$1005,A574,'RECEBIMENTOS'!$Z$6:$Z$1005,1))</f>
        <v>0</v>
      </c>
      <c r="AC574" s="96">
        <f>IF(R574=0,0,COUNTIFS('RECEBIMENTOS'!$R$6:$R$1005,A574,'RECEBIMENTOS'!$Y$6:$Y$1005,1))</f>
        <v>0</v>
      </c>
      <c r="AD574" s="96">
        <f>IF(R574=0,0,COUNTIFS('VÍNCULOS_CDF'!$R$6:$R$1005,A574,'VÍNCULOS_CDF'!$N$6:$N$1005,1))</f>
        <v>0</v>
      </c>
      <c r="AE574" s="96">
        <f>IF(R574=0,0,COUNTIFS('VÍNCULOS_CDF'!$R$6:$R$1005,A574,'VÍNCULOS_CDF'!$AA$6:$AA$1005,1))</f>
        <v>0</v>
      </c>
      <c r="AF574" s="96">
        <f>IF(R574=0,0,COUNTIFS('VÍNCULOS_CDF'!$R$6:$R$1005,A574,'VÍNCULOS_CDF'!$Y$6:$Y$1005,1))</f>
        <v>0</v>
      </c>
      <c r="AG574" s="96" t="str">
        <f>IF(AND(R574=1,S574&lt;&gt;"",C574&lt;&gt;""),S574&amp;"|"&amp;C574&amp;"|"&amp;G574&amp;"|"&amp;H574,"")</f>
        <v/>
      </c>
      <c r="AH574" s="96">
        <f>IF(AG574="",0,IF(SUMPRODUCT(--($AG$6:$AG$1005=AG574))&gt;1,1,0))</f>
        <v>0</v>
      </c>
      <c r="AI574" s="96">
        <f>IF(R574=0,0,IF(OR(U574=0,V574=0,Y574=0,AND(AH574=1,K574&lt;&gt;"Sim")),1,0))</f>
        <v>0</v>
      </c>
      <c r="AJ574" s="96">
        <f>IF(AND(R574=1,AA574&gt;0,AB574=AA574),1,0)</f>
        <v>0</v>
      </c>
      <c r="AK574" s="96">
        <f>IF(R574=0,0,IF(AA574&gt;0,N(L574),IF(ISNUMBER(I574),I574,0)))</f>
        <v>0</v>
      </c>
      <c r="AL574" s="96">
        <f>IF(R574=0,0,IF(AND(K574&lt;&gt;"Sim",N(M574)&gt;AK574+cfg_tol),1,0))</f>
        <v>0</v>
      </c>
      <c r="AM574" s="96">
        <f>IF(R574=0,0,IF(K574="Sim",0,IF(OR(AND(AA574&gt;0,ISNUMBER(I574),ABS(I574-N(L574))&gt;cfg_tol),AL574=1),1,0)))</f>
        <v>0</v>
      </c>
      <c r="AN574" s="96">
        <f>IF(AND(R574=1,N(M574)&gt;0,OR(N(M574)&gt;=AK574-cfg_tol,K574="Sim")),1,0)</f>
        <v>0</v>
      </c>
      <c r="AO574" s="96">
        <f>IF(AND(AN574=1,AD574&gt;0,AE574=AD574,AL574=0),1,0)</f>
        <v>0</v>
      </c>
      <c r="AP574" s="96">
        <f>IF(U574=0,0,IF(AND(INDEX('MTRs'!$AX$6:$AX$505,T574)=1,Z574=0,OR(f_res="",f_res="(Todos)",C574=f_res)),1,0))</f>
        <v>0</v>
      </c>
      <c r="AQ574" s="97" t="str">
        <f>IF(U574=0,"",INDEX('MTRs'!$AZ$6:$AZ$505,T574))</f>
        <v/>
      </c>
      <c r="AR574" s="96">
        <f>IF(U574=0,0,IF(AND(INDEX('MTRs'!$BA$6:$BA$505,T574)=1,Z574=0),1,0))</f>
        <v>0</v>
      </c>
      <c r="AS574" s="96" t="str">
        <f>IF(R574=1,A574&amp;" | MTR "&amp;IF(U574=1,INDEX('MTRs'!$B$6:$B$505,T574)&amp;"","?")&amp;" | "&amp;IF(C574="","(sem resíduo)",C574),"")</f>
        <v/>
      </c>
      <c r="AT574" s="96" t="str">
        <f>IF(R574=1,COUNTIF($R$6:R574,1),"")</f>
        <v/>
      </c>
      <c r="AU574" s="96" t="str">
        <f>IF(U574=1,INDEX('MTRs'!$I$6:$I$505,T574)&amp;"","")</f>
        <v/>
      </c>
    </row>
    <row r="575">
      <c r="A575" s="89" t="inlineStr">
        <is>
          <t>IT-000570</t>
        </is>
      </c>
      <c r="B575" s="91" t="n"/>
      <c r="C575" s="91" t="n"/>
      <c r="D575" s="94" t="str">
        <f>IF(OR(R575=0,V575=0),"",INDEX('CAD_RESÍDUOS'!$E$6:$E$205,MATCH(C575,'CAD_RESÍDUOS'!$B$6:$B$205,0))&amp;"")</f>
        <v/>
      </c>
      <c r="E575" s="94" t="str">
        <f>IF(OR(R575=0,V575=0),"",INDEX('CAD_RESÍDUOS'!$C$6:$C$205,MATCH(C575,'CAD_RESÍDUOS'!$B$6:$B$205,0))&amp;"")</f>
        <v/>
      </c>
      <c r="F575" s="94" t="str">
        <f>IF(OR(R575=0,V575=0),"",INDEX('CAD_RESÍDUOS'!$G$6:$G$205,MATCH(C575,'CAD_RESÍDUOS'!$B$6:$B$205,0))&amp;"")</f>
        <v/>
      </c>
      <c r="G575" s="98" t="n"/>
      <c r="H575" s="91" t="n"/>
      <c r="I575" s="93" t="str">
        <f>IF(R575=0,"",IF(NOT(ISNUMBER(G575)),"",IF(ISNUMBER(X575),G575*X575,"UNIDADE A CONFERIR")))</f>
        <v/>
      </c>
      <c r="J575" s="91" t="n"/>
      <c r="K575" s="91" t="n"/>
      <c r="L575" s="93" t="str">
        <f>IF(R575=0,"",SUMIFS('RECEBIMENTOS'!$H$6:$H$1005,'RECEBIMENTOS'!$R$6:$R$1005,A575,'RECEBIMENTOS'!$X$6:$X$1005,1))</f>
        <v/>
      </c>
      <c r="M575" s="93" t="str">
        <f>IF(R575=0,"",SUMIFS('VÍNCULOS_CDF'!$H$6:$H$1005,'VÍNCULOS_CDF'!$R$6:$R$1005,A575,'VÍNCULOS_CDF'!$V$6:$V$1005,1))</f>
        <v/>
      </c>
      <c r="N575" s="99" t="str">
        <f>IF(OR(R575=0,AA575=0,NOT(ISNUMBER(I575))),"",I575-N(L575))</f>
        <v/>
      </c>
      <c r="O575" s="100" t="str">
        <f>IF(OR(R575=0,AK575&lt;=0),"",N(M575)/AK575)</f>
        <v/>
      </c>
      <c r="P575" s="94" t="str">
        <f>IF(R575=0,"",IF(S575="","Sem MTR associado",IF(U575=0,"MTR inexistente",IF(C575="","Resíduo não identificado",IF(V575=0,"Resíduo fora do cadastro",IF(W575=0,"Quantidade inválida",IF(H575="","Unidade não informada",IF(NOT(ISNUMBER(I575)),"Unidade a conferir",IF(AND(AH575=1,K575&lt;&gt;"Sim"),"Possível duplicidade",IF(Z575=1,"MTR cancelado",IF(AC575&gt;0,"Recebimento com alerta",IF(AA575=0,"Aguardando recebimento",IF(AB575&lt;AA575,"Recebimento a conferir",IF(AM575=1,"Quantidade a revisar",IF(AF575&gt;0,"Vínculo a revisar",IF(AD575=0,"Aguardando CDF",IF(AN575=0,"Vínculo de CDF parcial",IF(AE575&lt;AD575,"CDF a conferir","Documentação conferida"))))))))))))))))))</f>
        <v/>
      </c>
      <c r="Q575" s="93" t="str">
        <f>IF(OR(R575=0,AA575=0),"",MAX(0,N(L575)-N(M575)))</f>
        <v/>
      </c>
      <c r="R575" s="96">
        <f>IF(COUNTA(B575:C575,G575:H575,J575:K575)&gt;0,1,0)</f>
        <v>0</v>
      </c>
      <c r="S575" s="96" t="str">
        <f>IF(B575="","",TRIM(LEFT(B575,FIND(" |",B575&amp;" |")-1)))</f>
        <v/>
      </c>
      <c r="T575" s="96" t="str">
        <f>IF(S575="","",IFERROR(MATCH(S575,'MTRs'!$A$6:$A$505,0),""))</f>
        <v/>
      </c>
      <c r="U575" s="96">
        <f>IF(T575="",0,IF(INDEX('MTRs'!$Z$6:$Z$505,T575)=1,1,0))</f>
        <v>0</v>
      </c>
      <c r="V575" s="96">
        <f>IF(C575="",0,IF(ISNUMBER(MATCH(C575,'CAD_RESÍDUOS'!$B$6:$B$205,0)),1,0))</f>
        <v>0</v>
      </c>
      <c r="W575" s="96">
        <f>IF(AND(ISNUMBER(G575),G575&gt;0),1,0)</f>
        <v>0</v>
      </c>
      <c r="X575" s="96" t="str">
        <f>IF(H575="","",IFERROR(IF(ISNUMBER(INDEX(cfg_fac,MATCH(H575,cfg_units,0))),IF(INDEX(cfg_fac,MATCH(H575,cfg_units,0))&gt;0,INDEX(cfg_fac,MATCH(H575,cfg_units,0)),""),""),""))</f>
        <v/>
      </c>
      <c r="Y575" s="96">
        <f>IF(AND(W575=1,ISNUMBER(I575)),1,0)</f>
        <v>0</v>
      </c>
      <c r="Z575" s="96">
        <f>IF(U575=1,INDEX('MTRs'!$AA$6:$AA$505,T575),0)</f>
        <v>0</v>
      </c>
      <c r="AA575" s="96">
        <f>IF(R575=0,0,COUNTIFS('RECEBIMENTOS'!$R$6:$R$1005,A575,'RECEBIMENTOS'!$Q$6:$Q$1005,1))</f>
        <v>0</v>
      </c>
      <c r="AB575" s="96">
        <f>IF(R575=0,0,COUNTIFS('RECEBIMENTOS'!$R$6:$R$1005,A575,'RECEBIMENTOS'!$Z$6:$Z$1005,1))</f>
        <v>0</v>
      </c>
      <c r="AC575" s="96">
        <f>IF(R575=0,0,COUNTIFS('RECEBIMENTOS'!$R$6:$R$1005,A575,'RECEBIMENTOS'!$Y$6:$Y$1005,1))</f>
        <v>0</v>
      </c>
      <c r="AD575" s="96">
        <f>IF(R575=0,0,COUNTIFS('VÍNCULOS_CDF'!$R$6:$R$1005,A575,'VÍNCULOS_CDF'!$N$6:$N$1005,1))</f>
        <v>0</v>
      </c>
      <c r="AE575" s="96">
        <f>IF(R575=0,0,COUNTIFS('VÍNCULOS_CDF'!$R$6:$R$1005,A575,'VÍNCULOS_CDF'!$AA$6:$AA$1005,1))</f>
        <v>0</v>
      </c>
      <c r="AF575" s="96">
        <f>IF(R575=0,0,COUNTIFS('VÍNCULOS_CDF'!$R$6:$R$1005,A575,'VÍNCULOS_CDF'!$Y$6:$Y$1005,1))</f>
        <v>0</v>
      </c>
      <c r="AG575" s="96" t="str">
        <f>IF(AND(R575=1,S575&lt;&gt;"",C575&lt;&gt;""),S575&amp;"|"&amp;C575&amp;"|"&amp;G575&amp;"|"&amp;H575,"")</f>
        <v/>
      </c>
      <c r="AH575" s="96">
        <f>IF(AG575="",0,IF(SUMPRODUCT(--($AG$6:$AG$1005=AG575))&gt;1,1,0))</f>
        <v>0</v>
      </c>
      <c r="AI575" s="96">
        <f>IF(R575=0,0,IF(OR(U575=0,V575=0,Y575=0,AND(AH575=1,K575&lt;&gt;"Sim")),1,0))</f>
        <v>0</v>
      </c>
      <c r="AJ575" s="96">
        <f>IF(AND(R575=1,AA575&gt;0,AB575=AA575),1,0)</f>
        <v>0</v>
      </c>
      <c r="AK575" s="96">
        <f>IF(R575=0,0,IF(AA575&gt;0,N(L575),IF(ISNUMBER(I575),I575,0)))</f>
        <v>0</v>
      </c>
      <c r="AL575" s="96">
        <f>IF(R575=0,0,IF(AND(K575&lt;&gt;"Sim",N(M575)&gt;AK575+cfg_tol),1,0))</f>
        <v>0</v>
      </c>
      <c r="AM575" s="96">
        <f>IF(R575=0,0,IF(K575="Sim",0,IF(OR(AND(AA575&gt;0,ISNUMBER(I575),ABS(I575-N(L575))&gt;cfg_tol),AL575=1),1,0)))</f>
        <v>0</v>
      </c>
      <c r="AN575" s="96">
        <f>IF(AND(R575=1,N(M575)&gt;0,OR(N(M575)&gt;=AK575-cfg_tol,K575="Sim")),1,0)</f>
        <v>0</v>
      </c>
      <c r="AO575" s="96">
        <f>IF(AND(AN575=1,AD575&gt;0,AE575=AD575,AL575=0),1,0)</f>
        <v>0</v>
      </c>
      <c r="AP575" s="96">
        <f>IF(U575=0,0,IF(AND(INDEX('MTRs'!$AX$6:$AX$505,T575)=1,Z575=0,OR(f_res="",f_res="(Todos)",C575=f_res)),1,0))</f>
        <v>0</v>
      </c>
      <c r="AQ575" s="97" t="str">
        <f>IF(U575=0,"",INDEX('MTRs'!$AZ$6:$AZ$505,T575))</f>
        <v/>
      </c>
      <c r="AR575" s="96">
        <f>IF(U575=0,0,IF(AND(INDEX('MTRs'!$BA$6:$BA$505,T575)=1,Z575=0),1,0))</f>
        <v>0</v>
      </c>
      <c r="AS575" s="96" t="str">
        <f>IF(R575=1,A575&amp;" | MTR "&amp;IF(U575=1,INDEX('MTRs'!$B$6:$B$505,T575)&amp;"","?")&amp;" | "&amp;IF(C575="","(sem resíduo)",C575),"")</f>
        <v/>
      </c>
      <c r="AT575" s="96" t="str">
        <f>IF(R575=1,COUNTIF($R$6:R575,1),"")</f>
        <v/>
      </c>
      <c r="AU575" s="96" t="str">
        <f>IF(U575=1,INDEX('MTRs'!$I$6:$I$505,T575)&amp;"","")</f>
        <v/>
      </c>
    </row>
    <row r="576">
      <c r="A576" s="89" t="inlineStr">
        <is>
          <t>IT-000571</t>
        </is>
      </c>
      <c r="B576" s="91" t="n"/>
      <c r="C576" s="91" t="n"/>
      <c r="D576" s="94" t="str">
        <f>IF(OR(R576=0,V576=0),"",INDEX('CAD_RESÍDUOS'!$E$6:$E$205,MATCH(C576,'CAD_RESÍDUOS'!$B$6:$B$205,0))&amp;"")</f>
        <v/>
      </c>
      <c r="E576" s="94" t="str">
        <f>IF(OR(R576=0,V576=0),"",INDEX('CAD_RESÍDUOS'!$C$6:$C$205,MATCH(C576,'CAD_RESÍDUOS'!$B$6:$B$205,0))&amp;"")</f>
        <v/>
      </c>
      <c r="F576" s="94" t="str">
        <f>IF(OR(R576=0,V576=0),"",INDEX('CAD_RESÍDUOS'!$G$6:$G$205,MATCH(C576,'CAD_RESÍDUOS'!$B$6:$B$205,0))&amp;"")</f>
        <v/>
      </c>
      <c r="G576" s="98" t="n"/>
      <c r="H576" s="91" t="n"/>
      <c r="I576" s="93" t="str">
        <f>IF(R576=0,"",IF(NOT(ISNUMBER(G576)),"",IF(ISNUMBER(X576),G576*X576,"UNIDADE A CONFERIR")))</f>
        <v/>
      </c>
      <c r="J576" s="91" t="n"/>
      <c r="K576" s="91" t="n"/>
      <c r="L576" s="93" t="str">
        <f>IF(R576=0,"",SUMIFS('RECEBIMENTOS'!$H$6:$H$1005,'RECEBIMENTOS'!$R$6:$R$1005,A576,'RECEBIMENTOS'!$X$6:$X$1005,1))</f>
        <v/>
      </c>
      <c r="M576" s="93" t="str">
        <f>IF(R576=0,"",SUMIFS('VÍNCULOS_CDF'!$H$6:$H$1005,'VÍNCULOS_CDF'!$R$6:$R$1005,A576,'VÍNCULOS_CDF'!$V$6:$V$1005,1))</f>
        <v/>
      </c>
      <c r="N576" s="99" t="str">
        <f>IF(OR(R576=0,AA576=0,NOT(ISNUMBER(I576))),"",I576-N(L576))</f>
        <v/>
      </c>
      <c r="O576" s="100" t="str">
        <f>IF(OR(R576=0,AK576&lt;=0),"",N(M576)/AK576)</f>
        <v/>
      </c>
      <c r="P576" s="94" t="str">
        <f>IF(R576=0,"",IF(S576="","Sem MTR associado",IF(U576=0,"MTR inexistente",IF(C576="","Resíduo não identificado",IF(V576=0,"Resíduo fora do cadastro",IF(W576=0,"Quantidade inválida",IF(H576="","Unidade não informada",IF(NOT(ISNUMBER(I576)),"Unidade a conferir",IF(AND(AH576=1,K576&lt;&gt;"Sim"),"Possível duplicidade",IF(Z576=1,"MTR cancelado",IF(AC576&gt;0,"Recebimento com alerta",IF(AA576=0,"Aguardando recebimento",IF(AB576&lt;AA576,"Recebimento a conferir",IF(AM576=1,"Quantidade a revisar",IF(AF576&gt;0,"Vínculo a revisar",IF(AD576=0,"Aguardando CDF",IF(AN576=0,"Vínculo de CDF parcial",IF(AE576&lt;AD576,"CDF a conferir","Documentação conferida"))))))))))))))))))</f>
        <v/>
      </c>
      <c r="Q576" s="93" t="str">
        <f>IF(OR(R576=0,AA576=0),"",MAX(0,N(L576)-N(M576)))</f>
        <v/>
      </c>
      <c r="R576" s="96">
        <f>IF(COUNTA(B576:C576,G576:H576,J576:K576)&gt;0,1,0)</f>
        <v>0</v>
      </c>
      <c r="S576" s="96" t="str">
        <f>IF(B576="","",TRIM(LEFT(B576,FIND(" |",B576&amp;" |")-1)))</f>
        <v/>
      </c>
      <c r="T576" s="96" t="str">
        <f>IF(S576="","",IFERROR(MATCH(S576,'MTRs'!$A$6:$A$505,0),""))</f>
        <v/>
      </c>
      <c r="U576" s="96">
        <f>IF(T576="",0,IF(INDEX('MTRs'!$Z$6:$Z$505,T576)=1,1,0))</f>
        <v>0</v>
      </c>
      <c r="V576" s="96">
        <f>IF(C576="",0,IF(ISNUMBER(MATCH(C576,'CAD_RESÍDUOS'!$B$6:$B$205,0)),1,0))</f>
        <v>0</v>
      </c>
      <c r="W576" s="96">
        <f>IF(AND(ISNUMBER(G576),G576&gt;0),1,0)</f>
        <v>0</v>
      </c>
      <c r="X576" s="96" t="str">
        <f>IF(H576="","",IFERROR(IF(ISNUMBER(INDEX(cfg_fac,MATCH(H576,cfg_units,0))),IF(INDEX(cfg_fac,MATCH(H576,cfg_units,0))&gt;0,INDEX(cfg_fac,MATCH(H576,cfg_units,0)),""),""),""))</f>
        <v/>
      </c>
      <c r="Y576" s="96">
        <f>IF(AND(W576=1,ISNUMBER(I576)),1,0)</f>
        <v>0</v>
      </c>
      <c r="Z576" s="96">
        <f>IF(U576=1,INDEX('MTRs'!$AA$6:$AA$505,T576),0)</f>
        <v>0</v>
      </c>
      <c r="AA576" s="96">
        <f>IF(R576=0,0,COUNTIFS('RECEBIMENTOS'!$R$6:$R$1005,A576,'RECEBIMENTOS'!$Q$6:$Q$1005,1))</f>
        <v>0</v>
      </c>
      <c r="AB576" s="96">
        <f>IF(R576=0,0,COUNTIFS('RECEBIMENTOS'!$R$6:$R$1005,A576,'RECEBIMENTOS'!$Z$6:$Z$1005,1))</f>
        <v>0</v>
      </c>
      <c r="AC576" s="96">
        <f>IF(R576=0,0,COUNTIFS('RECEBIMENTOS'!$R$6:$R$1005,A576,'RECEBIMENTOS'!$Y$6:$Y$1005,1))</f>
        <v>0</v>
      </c>
      <c r="AD576" s="96">
        <f>IF(R576=0,0,COUNTIFS('VÍNCULOS_CDF'!$R$6:$R$1005,A576,'VÍNCULOS_CDF'!$N$6:$N$1005,1))</f>
        <v>0</v>
      </c>
      <c r="AE576" s="96">
        <f>IF(R576=0,0,COUNTIFS('VÍNCULOS_CDF'!$R$6:$R$1005,A576,'VÍNCULOS_CDF'!$AA$6:$AA$1005,1))</f>
        <v>0</v>
      </c>
      <c r="AF576" s="96">
        <f>IF(R576=0,0,COUNTIFS('VÍNCULOS_CDF'!$R$6:$R$1005,A576,'VÍNCULOS_CDF'!$Y$6:$Y$1005,1))</f>
        <v>0</v>
      </c>
      <c r="AG576" s="96" t="str">
        <f>IF(AND(R576=1,S576&lt;&gt;"",C576&lt;&gt;""),S576&amp;"|"&amp;C576&amp;"|"&amp;G576&amp;"|"&amp;H576,"")</f>
        <v/>
      </c>
      <c r="AH576" s="96">
        <f>IF(AG576="",0,IF(SUMPRODUCT(--($AG$6:$AG$1005=AG576))&gt;1,1,0))</f>
        <v>0</v>
      </c>
      <c r="AI576" s="96">
        <f>IF(R576=0,0,IF(OR(U576=0,V576=0,Y576=0,AND(AH576=1,K576&lt;&gt;"Sim")),1,0))</f>
        <v>0</v>
      </c>
      <c r="AJ576" s="96">
        <f>IF(AND(R576=1,AA576&gt;0,AB576=AA576),1,0)</f>
        <v>0</v>
      </c>
      <c r="AK576" s="96">
        <f>IF(R576=0,0,IF(AA576&gt;0,N(L576),IF(ISNUMBER(I576),I576,0)))</f>
        <v>0</v>
      </c>
      <c r="AL576" s="96">
        <f>IF(R576=0,0,IF(AND(K576&lt;&gt;"Sim",N(M576)&gt;AK576+cfg_tol),1,0))</f>
        <v>0</v>
      </c>
      <c r="AM576" s="96">
        <f>IF(R576=0,0,IF(K576="Sim",0,IF(OR(AND(AA576&gt;0,ISNUMBER(I576),ABS(I576-N(L576))&gt;cfg_tol),AL576=1),1,0)))</f>
        <v>0</v>
      </c>
      <c r="AN576" s="96">
        <f>IF(AND(R576=1,N(M576)&gt;0,OR(N(M576)&gt;=AK576-cfg_tol,K576="Sim")),1,0)</f>
        <v>0</v>
      </c>
      <c r="AO576" s="96">
        <f>IF(AND(AN576=1,AD576&gt;0,AE576=AD576,AL576=0),1,0)</f>
        <v>0</v>
      </c>
      <c r="AP576" s="96">
        <f>IF(U576=0,0,IF(AND(INDEX('MTRs'!$AX$6:$AX$505,T576)=1,Z576=0,OR(f_res="",f_res="(Todos)",C576=f_res)),1,0))</f>
        <v>0</v>
      </c>
      <c r="AQ576" s="97" t="str">
        <f>IF(U576=0,"",INDEX('MTRs'!$AZ$6:$AZ$505,T576))</f>
        <v/>
      </c>
      <c r="AR576" s="96">
        <f>IF(U576=0,0,IF(AND(INDEX('MTRs'!$BA$6:$BA$505,T576)=1,Z576=0),1,0))</f>
        <v>0</v>
      </c>
      <c r="AS576" s="96" t="str">
        <f>IF(R576=1,A576&amp;" | MTR "&amp;IF(U576=1,INDEX('MTRs'!$B$6:$B$505,T576)&amp;"","?")&amp;" | "&amp;IF(C576="","(sem resíduo)",C576),"")</f>
        <v/>
      </c>
      <c r="AT576" s="96" t="str">
        <f>IF(R576=1,COUNTIF($R$6:R576,1),"")</f>
        <v/>
      </c>
      <c r="AU576" s="96" t="str">
        <f>IF(U576=1,INDEX('MTRs'!$I$6:$I$505,T576)&amp;"","")</f>
        <v/>
      </c>
    </row>
    <row r="577">
      <c r="A577" s="89" t="inlineStr">
        <is>
          <t>IT-000572</t>
        </is>
      </c>
      <c r="B577" s="91" t="n"/>
      <c r="C577" s="91" t="n"/>
      <c r="D577" s="94" t="str">
        <f>IF(OR(R577=0,V577=0),"",INDEX('CAD_RESÍDUOS'!$E$6:$E$205,MATCH(C577,'CAD_RESÍDUOS'!$B$6:$B$205,0))&amp;"")</f>
        <v/>
      </c>
      <c r="E577" s="94" t="str">
        <f>IF(OR(R577=0,V577=0),"",INDEX('CAD_RESÍDUOS'!$C$6:$C$205,MATCH(C577,'CAD_RESÍDUOS'!$B$6:$B$205,0))&amp;"")</f>
        <v/>
      </c>
      <c r="F577" s="94" t="str">
        <f>IF(OR(R577=0,V577=0),"",INDEX('CAD_RESÍDUOS'!$G$6:$G$205,MATCH(C577,'CAD_RESÍDUOS'!$B$6:$B$205,0))&amp;"")</f>
        <v/>
      </c>
      <c r="G577" s="98" t="n"/>
      <c r="H577" s="91" t="n"/>
      <c r="I577" s="93" t="str">
        <f>IF(R577=0,"",IF(NOT(ISNUMBER(G577)),"",IF(ISNUMBER(X577),G577*X577,"UNIDADE A CONFERIR")))</f>
        <v/>
      </c>
      <c r="J577" s="91" t="n"/>
      <c r="K577" s="91" t="n"/>
      <c r="L577" s="93" t="str">
        <f>IF(R577=0,"",SUMIFS('RECEBIMENTOS'!$H$6:$H$1005,'RECEBIMENTOS'!$R$6:$R$1005,A577,'RECEBIMENTOS'!$X$6:$X$1005,1))</f>
        <v/>
      </c>
      <c r="M577" s="93" t="str">
        <f>IF(R577=0,"",SUMIFS('VÍNCULOS_CDF'!$H$6:$H$1005,'VÍNCULOS_CDF'!$R$6:$R$1005,A577,'VÍNCULOS_CDF'!$V$6:$V$1005,1))</f>
        <v/>
      </c>
      <c r="N577" s="99" t="str">
        <f>IF(OR(R577=0,AA577=0,NOT(ISNUMBER(I577))),"",I577-N(L577))</f>
        <v/>
      </c>
      <c r="O577" s="100" t="str">
        <f>IF(OR(R577=0,AK577&lt;=0),"",N(M577)/AK577)</f>
        <v/>
      </c>
      <c r="P577" s="94" t="str">
        <f>IF(R577=0,"",IF(S577="","Sem MTR associado",IF(U577=0,"MTR inexistente",IF(C577="","Resíduo não identificado",IF(V577=0,"Resíduo fora do cadastro",IF(W577=0,"Quantidade inválida",IF(H577="","Unidade não informada",IF(NOT(ISNUMBER(I577)),"Unidade a conferir",IF(AND(AH577=1,K577&lt;&gt;"Sim"),"Possível duplicidade",IF(Z577=1,"MTR cancelado",IF(AC577&gt;0,"Recebimento com alerta",IF(AA577=0,"Aguardando recebimento",IF(AB577&lt;AA577,"Recebimento a conferir",IF(AM577=1,"Quantidade a revisar",IF(AF577&gt;0,"Vínculo a revisar",IF(AD577=0,"Aguardando CDF",IF(AN577=0,"Vínculo de CDF parcial",IF(AE577&lt;AD577,"CDF a conferir","Documentação conferida"))))))))))))))))))</f>
        <v/>
      </c>
      <c r="Q577" s="93" t="str">
        <f>IF(OR(R577=0,AA577=0),"",MAX(0,N(L577)-N(M577)))</f>
        <v/>
      </c>
      <c r="R577" s="96">
        <f>IF(COUNTA(B577:C577,G577:H577,J577:K577)&gt;0,1,0)</f>
        <v>0</v>
      </c>
      <c r="S577" s="96" t="str">
        <f>IF(B577="","",TRIM(LEFT(B577,FIND(" |",B577&amp;" |")-1)))</f>
        <v/>
      </c>
      <c r="T577" s="96" t="str">
        <f>IF(S577="","",IFERROR(MATCH(S577,'MTRs'!$A$6:$A$505,0),""))</f>
        <v/>
      </c>
      <c r="U577" s="96">
        <f>IF(T577="",0,IF(INDEX('MTRs'!$Z$6:$Z$505,T577)=1,1,0))</f>
        <v>0</v>
      </c>
      <c r="V577" s="96">
        <f>IF(C577="",0,IF(ISNUMBER(MATCH(C577,'CAD_RESÍDUOS'!$B$6:$B$205,0)),1,0))</f>
        <v>0</v>
      </c>
      <c r="W577" s="96">
        <f>IF(AND(ISNUMBER(G577),G577&gt;0),1,0)</f>
        <v>0</v>
      </c>
      <c r="X577" s="96" t="str">
        <f>IF(H577="","",IFERROR(IF(ISNUMBER(INDEX(cfg_fac,MATCH(H577,cfg_units,0))),IF(INDEX(cfg_fac,MATCH(H577,cfg_units,0))&gt;0,INDEX(cfg_fac,MATCH(H577,cfg_units,0)),""),""),""))</f>
        <v/>
      </c>
      <c r="Y577" s="96">
        <f>IF(AND(W577=1,ISNUMBER(I577)),1,0)</f>
        <v>0</v>
      </c>
      <c r="Z577" s="96">
        <f>IF(U577=1,INDEX('MTRs'!$AA$6:$AA$505,T577),0)</f>
        <v>0</v>
      </c>
      <c r="AA577" s="96">
        <f>IF(R577=0,0,COUNTIFS('RECEBIMENTOS'!$R$6:$R$1005,A577,'RECEBIMENTOS'!$Q$6:$Q$1005,1))</f>
        <v>0</v>
      </c>
      <c r="AB577" s="96">
        <f>IF(R577=0,0,COUNTIFS('RECEBIMENTOS'!$R$6:$R$1005,A577,'RECEBIMENTOS'!$Z$6:$Z$1005,1))</f>
        <v>0</v>
      </c>
      <c r="AC577" s="96">
        <f>IF(R577=0,0,COUNTIFS('RECEBIMENTOS'!$R$6:$R$1005,A577,'RECEBIMENTOS'!$Y$6:$Y$1005,1))</f>
        <v>0</v>
      </c>
      <c r="AD577" s="96">
        <f>IF(R577=0,0,COUNTIFS('VÍNCULOS_CDF'!$R$6:$R$1005,A577,'VÍNCULOS_CDF'!$N$6:$N$1005,1))</f>
        <v>0</v>
      </c>
      <c r="AE577" s="96">
        <f>IF(R577=0,0,COUNTIFS('VÍNCULOS_CDF'!$R$6:$R$1005,A577,'VÍNCULOS_CDF'!$AA$6:$AA$1005,1))</f>
        <v>0</v>
      </c>
      <c r="AF577" s="96">
        <f>IF(R577=0,0,COUNTIFS('VÍNCULOS_CDF'!$R$6:$R$1005,A577,'VÍNCULOS_CDF'!$Y$6:$Y$1005,1))</f>
        <v>0</v>
      </c>
      <c r="AG577" s="96" t="str">
        <f>IF(AND(R577=1,S577&lt;&gt;"",C577&lt;&gt;""),S577&amp;"|"&amp;C577&amp;"|"&amp;G577&amp;"|"&amp;H577,"")</f>
        <v/>
      </c>
      <c r="AH577" s="96">
        <f>IF(AG577="",0,IF(SUMPRODUCT(--($AG$6:$AG$1005=AG577))&gt;1,1,0))</f>
        <v>0</v>
      </c>
      <c r="AI577" s="96">
        <f>IF(R577=0,0,IF(OR(U577=0,V577=0,Y577=0,AND(AH577=1,K577&lt;&gt;"Sim")),1,0))</f>
        <v>0</v>
      </c>
      <c r="AJ577" s="96">
        <f>IF(AND(R577=1,AA577&gt;0,AB577=AA577),1,0)</f>
        <v>0</v>
      </c>
      <c r="AK577" s="96">
        <f>IF(R577=0,0,IF(AA577&gt;0,N(L577),IF(ISNUMBER(I577),I577,0)))</f>
        <v>0</v>
      </c>
      <c r="AL577" s="96">
        <f>IF(R577=0,0,IF(AND(K577&lt;&gt;"Sim",N(M577)&gt;AK577+cfg_tol),1,0))</f>
        <v>0</v>
      </c>
      <c r="AM577" s="96">
        <f>IF(R577=0,0,IF(K577="Sim",0,IF(OR(AND(AA577&gt;0,ISNUMBER(I577),ABS(I577-N(L577))&gt;cfg_tol),AL577=1),1,0)))</f>
        <v>0</v>
      </c>
      <c r="AN577" s="96">
        <f>IF(AND(R577=1,N(M577)&gt;0,OR(N(M577)&gt;=AK577-cfg_tol,K577="Sim")),1,0)</f>
        <v>0</v>
      </c>
      <c r="AO577" s="96">
        <f>IF(AND(AN577=1,AD577&gt;0,AE577=AD577,AL577=0),1,0)</f>
        <v>0</v>
      </c>
      <c r="AP577" s="96">
        <f>IF(U577=0,0,IF(AND(INDEX('MTRs'!$AX$6:$AX$505,T577)=1,Z577=0,OR(f_res="",f_res="(Todos)",C577=f_res)),1,0))</f>
        <v>0</v>
      </c>
      <c r="AQ577" s="97" t="str">
        <f>IF(U577=0,"",INDEX('MTRs'!$AZ$6:$AZ$505,T577))</f>
        <v/>
      </c>
      <c r="AR577" s="96">
        <f>IF(U577=0,0,IF(AND(INDEX('MTRs'!$BA$6:$BA$505,T577)=1,Z577=0),1,0))</f>
        <v>0</v>
      </c>
      <c r="AS577" s="96" t="str">
        <f>IF(R577=1,A577&amp;" | MTR "&amp;IF(U577=1,INDEX('MTRs'!$B$6:$B$505,T577)&amp;"","?")&amp;" | "&amp;IF(C577="","(sem resíduo)",C577),"")</f>
        <v/>
      </c>
      <c r="AT577" s="96" t="str">
        <f>IF(R577=1,COUNTIF($R$6:R577,1),"")</f>
        <v/>
      </c>
      <c r="AU577" s="96" t="str">
        <f>IF(U577=1,INDEX('MTRs'!$I$6:$I$505,T577)&amp;"","")</f>
        <v/>
      </c>
    </row>
    <row r="578">
      <c r="A578" s="89" t="inlineStr">
        <is>
          <t>IT-000573</t>
        </is>
      </c>
      <c r="B578" s="91" t="n"/>
      <c r="C578" s="91" t="n"/>
      <c r="D578" s="94" t="str">
        <f>IF(OR(R578=0,V578=0),"",INDEX('CAD_RESÍDUOS'!$E$6:$E$205,MATCH(C578,'CAD_RESÍDUOS'!$B$6:$B$205,0))&amp;"")</f>
        <v/>
      </c>
      <c r="E578" s="94" t="str">
        <f>IF(OR(R578=0,V578=0),"",INDEX('CAD_RESÍDUOS'!$C$6:$C$205,MATCH(C578,'CAD_RESÍDUOS'!$B$6:$B$205,0))&amp;"")</f>
        <v/>
      </c>
      <c r="F578" s="94" t="str">
        <f>IF(OR(R578=0,V578=0),"",INDEX('CAD_RESÍDUOS'!$G$6:$G$205,MATCH(C578,'CAD_RESÍDUOS'!$B$6:$B$205,0))&amp;"")</f>
        <v/>
      </c>
      <c r="G578" s="98" t="n"/>
      <c r="H578" s="91" t="n"/>
      <c r="I578" s="93" t="str">
        <f>IF(R578=0,"",IF(NOT(ISNUMBER(G578)),"",IF(ISNUMBER(X578),G578*X578,"UNIDADE A CONFERIR")))</f>
        <v/>
      </c>
      <c r="J578" s="91" t="n"/>
      <c r="K578" s="91" t="n"/>
      <c r="L578" s="93" t="str">
        <f>IF(R578=0,"",SUMIFS('RECEBIMENTOS'!$H$6:$H$1005,'RECEBIMENTOS'!$R$6:$R$1005,A578,'RECEBIMENTOS'!$X$6:$X$1005,1))</f>
        <v/>
      </c>
      <c r="M578" s="93" t="str">
        <f>IF(R578=0,"",SUMIFS('VÍNCULOS_CDF'!$H$6:$H$1005,'VÍNCULOS_CDF'!$R$6:$R$1005,A578,'VÍNCULOS_CDF'!$V$6:$V$1005,1))</f>
        <v/>
      </c>
      <c r="N578" s="99" t="str">
        <f>IF(OR(R578=0,AA578=0,NOT(ISNUMBER(I578))),"",I578-N(L578))</f>
        <v/>
      </c>
      <c r="O578" s="100" t="str">
        <f>IF(OR(R578=0,AK578&lt;=0),"",N(M578)/AK578)</f>
        <v/>
      </c>
      <c r="P578" s="94" t="str">
        <f>IF(R578=0,"",IF(S578="","Sem MTR associado",IF(U578=0,"MTR inexistente",IF(C578="","Resíduo não identificado",IF(V578=0,"Resíduo fora do cadastro",IF(W578=0,"Quantidade inválida",IF(H578="","Unidade não informada",IF(NOT(ISNUMBER(I578)),"Unidade a conferir",IF(AND(AH578=1,K578&lt;&gt;"Sim"),"Possível duplicidade",IF(Z578=1,"MTR cancelado",IF(AC578&gt;0,"Recebimento com alerta",IF(AA578=0,"Aguardando recebimento",IF(AB578&lt;AA578,"Recebimento a conferir",IF(AM578=1,"Quantidade a revisar",IF(AF578&gt;0,"Vínculo a revisar",IF(AD578=0,"Aguardando CDF",IF(AN578=0,"Vínculo de CDF parcial",IF(AE578&lt;AD578,"CDF a conferir","Documentação conferida"))))))))))))))))))</f>
        <v/>
      </c>
      <c r="Q578" s="93" t="str">
        <f>IF(OR(R578=0,AA578=0),"",MAX(0,N(L578)-N(M578)))</f>
        <v/>
      </c>
      <c r="R578" s="96">
        <f>IF(COUNTA(B578:C578,G578:H578,J578:K578)&gt;0,1,0)</f>
        <v>0</v>
      </c>
      <c r="S578" s="96" t="str">
        <f>IF(B578="","",TRIM(LEFT(B578,FIND(" |",B578&amp;" |")-1)))</f>
        <v/>
      </c>
      <c r="T578" s="96" t="str">
        <f>IF(S578="","",IFERROR(MATCH(S578,'MTRs'!$A$6:$A$505,0),""))</f>
        <v/>
      </c>
      <c r="U578" s="96">
        <f>IF(T578="",0,IF(INDEX('MTRs'!$Z$6:$Z$505,T578)=1,1,0))</f>
        <v>0</v>
      </c>
      <c r="V578" s="96">
        <f>IF(C578="",0,IF(ISNUMBER(MATCH(C578,'CAD_RESÍDUOS'!$B$6:$B$205,0)),1,0))</f>
        <v>0</v>
      </c>
      <c r="W578" s="96">
        <f>IF(AND(ISNUMBER(G578),G578&gt;0),1,0)</f>
        <v>0</v>
      </c>
      <c r="X578" s="96" t="str">
        <f>IF(H578="","",IFERROR(IF(ISNUMBER(INDEX(cfg_fac,MATCH(H578,cfg_units,0))),IF(INDEX(cfg_fac,MATCH(H578,cfg_units,0))&gt;0,INDEX(cfg_fac,MATCH(H578,cfg_units,0)),""),""),""))</f>
        <v/>
      </c>
      <c r="Y578" s="96">
        <f>IF(AND(W578=1,ISNUMBER(I578)),1,0)</f>
        <v>0</v>
      </c>
      <c r="Z578" s="96">
        <f>IF(U578=1,INDEX('MTRs'!$AA$6:$AA$505,T578),0)</f>
        <v>0</v>
      </c>
      <c r="AA578" s="96">
        <f>IF(R578=0,0,COUNTIFS('RECEBIMENTOS'!$R$6:$R$1005,A578,'RECEBIMENTOS'!$Q$6:$Q$1005,1))</f>
        <v>0</v>
      </c>
      <c r="AB578" s="96">
        <f>IF(R578=0,0,COUNTIFS('RECEBIMENTOS'!$R$6:$R$1005,A578,'RECEBIMENTOS'!$Z$6:$Z$1005,1))</f>
        <v>0</v>
      </c>
      <c r="AC578" s="96">
        <f>IF(R578=0,0,COUNTIFS('RECEBIMENTOS'!$R$6:$R$1005,A578,'RECEBIMENTOS'!$Y$6:$Y$1005,1))</f>
        <v>0</v>
      </c>
      <c r="AD578" s="96">
        <f>IF(R578=0,0,COUNTIFS('VÍNCULOS_CDF'!$R$6:$R$1005,A578,'VÍNCULOS_CDF'!$N$6:$N$1005,1))</f>
        <v>0</v>
      </c>
      <c r="AE578" s="96">
        <f>IF(R578=0,0,COUNTIFS('VÍNCULOS_CDF'!$R$6:$R$1005,A578,'VÍNCULOS_CDF'!$AA$6:$AA$1005,1))</f>
        <v>0</v>
      </c>
      <c r="AF578" s="96">
        <f>IF(R578=0,0,COUNTIFS('VÍNCULOS_CDF'!$R$6:$R$1005,A578,'VÍNCULOS_CDF'!$Y$6:$Y$1005,1))</f>
        <v>0</v>
      </c>
      <c r="AG578" s="96" t="str">
        <f>IF(AND(R578=1,S578&lt;&gt;"",C578&lt;&gt;""),S578&amp;"|"&amp;C578&amp;"|"&amp;G578&amp;"|"&amp;H578,"")</f>
        <v/>
      </c>
      <c r="AH578" s="96">
        <f>IF(AG578="",0,IF(SUMPRODUCT(--($AG$6:$AG$1005=AG578))&gt;1,1,0))</f>
        <v>0</v>
      </c>
      <c r="AI578" s="96">
        <f>IF(R578=0,0,IF(OR(U578=0,V578=0,Y578=0,AND(AH578=1,K578&lt;&gt;"Sim")),1,0))</f>
        <v>0</v>
      </c>
      <c r="AJ578" s="96">
        <f>IF(AND(R578=1,AA578&gt;0,AB578=AA578),1,0)</f>
        <v>0</v>
      </c>
      <c r="AK578" s="96">
        <f>IF(R578=0,0,IF(AA578&gt;0,N(L578),IF(ISNUMBER(I578),I578,0)))</f>
        <v>0</v>
      </c>
      <c r="AL578" s="96">
        <f>IF(R578=0,0,IF(AND(K578&lt;&gt;"Sim",N(M578)&gt;AK578+cfg_tol),1,0))</f>
        <v>0</v>
      </c>
      <c r="AM578" s="96">
        <f>IF(R578=0,0,IF(K578="Sim",0,IF(OR(AND(AA578&gt;0,ISNUMBER(I578),ABS(I578-N(L578))&gt;cfg_tol),AL578=1),1,0)))</f>
        <v>0</v>
      </c>
      <c r="AN578" s="96">
        <f>IF(AND(R578=1,N(M578)&gt;0,OR(N(M578)&gt;=AK578-cfg_tol,K578="Sim")),1,0)</f>
        <v>0</v>
      </c>
      <c r="AO578" s="96">
        <f>IF(AND(AN578=1,AD578&gt;0,AE578=AD578,AL578=0),1,0)</f>
        <v>0</v>
      </c>
      <c r="AP578" s="96">
        <f>IF(U578=0,0,IF(AND(INDEX('MTRs'!$AX$6:$AX$505,T578)=1,Z578=0,OR(f_res="",f_res="(Todos)",C578=f_res)),1,0))</f>
        <v>0</v>
      </c>
      <c r="AQ578" s="97" t="str">
        <f>IF(U578=0,"",INDEX('MTRs'!$AZ$6:$AZ$505,T578))</f>
        <v/>
      </c>
      <c r="AR578" s="96">
        <f>IF(U578=0,0,IF(AND(INDEX('MTRs'!$BA$6:$BA$505,T578)=1,Z578=0),1,0))</f>
        <v>0</v>
      </c>
      <c r="AS578" s="96" t="str">
        <f>IF(R578=1,A578&amp;" | MTR "&amp;IF(U578=1,INDEX('MTRs'!$B$6:$B$505,T578)&amp;"","?")&amp;" | "&amp;IF(C578="","(sem resíduo)",C578),"")</f>
        <v/>
      </c>
      <c r="AT578" s="96" t="str">
        <f>IF(R578=1,COUNTIF($R$6:R578,1),"")</f>
        <v/>
      </c>
      <c r="AU578" s="96" t="str">
        <f>IF(U578=1,INDEX('MTRs'!$I$6:$I$505,T578)&amp;"","")</f>
        <v/>
      </c>
    </row>
    <row r="579">
      <c r="A579" s="89" t="inlineStr">
        <is>
          <t>IT-000574</t>
        </is>
      </c>
      <c r="B579" s="91" t="n"/>
      <c r="C579" s="91" t="n"/>
      <c r="D579" s="94" t="str">
        <f>IF(OR(R579=0,V579=0),"",INDEX('CAD_RESÍDUOS'!$E$6:$E$205,MATCH(C579,'CAD_RESÍDUOS'!$B$6:$B$205,0))&amp;"")</f>
        <v/>
      </c>
      <c r="E579" s="94" t="str">
        <f>IF(OR(R579=0,V579=0),"",INDEX('CAD_RESÍDUOS'!$C$6:$C$205,MATCH(C579,'CAD_RESÍDUOS'!$B$6:$B$205,0))&amp;"")</f>
        <v/>
      </c>
      <c r="F579" s="94" t="str">
        <f>IF(OR(R579=0,V579=0),"",INDEX('CAD_RESÍDUOS'!$G$6:$G$205,MATCH(C579,'CAD_RESÍDUOS'!$B$6:$B$205,0))&amp;"")</f>
        <v/>
      </c>
      <c r="G579" s="98" t="n"/>
      <c r="H579" s="91" t="n"/>
      <c r="I579" s="93" t="str">
        <f>IF(R579=0,"",IF(NOT(ISNUMBER(G579)),"",IF(ISNUMBER(X579),G579*X579,"UNIDADE A CONFERIR")))</f>
        <v/>
      </c>
      <c r="J579" s="91" t="n"/>
      <c r="K579" s="91" t="n"/>
      <c r="L579" s="93" t="str">
        <f>IF(R579=0,"",SUMIFS('RECEBIMENTOS'!$H$6:$H$1005,'RECEBIMENTOS'!$R$6:$R$1005,A579,'RECEBIMENTOS'!$X$6:$X$1005,1))</f>
        <v/>
      </c>
      <c r="M579" s="93" t="str">
        <f>IF(R579=0,"",SUMIFS('VÍNCULOS_CDF'!$H$6:$H$1005,'VÍNCULOS_CDF'!$R$6:$R$1005,A579,'VÍNCULOS_CDF'!$V$6:$V$1005,1))</f>
        <v/>
      </c>
      <c r="N579" s="99" t="str">
        <f>IF(OR(R579=0,AA579=0,NOT(ISNUMBER(I579))),"",I579-N(L579))</f>
        <v/>
      </c>
      <c r="O579" s="100" t="str">
        <f>IF(OR(R579=0,AK579&lt;=0),"",N(M579)/AK579)</f>
        <v/>
      </c>
      <c r="P579" s="94" t="str">
        <f>IF(R579=0,"",IF(S579="","Sem MTR associado",IF(U579=0,"MTR inexistente",IF(C579="","Resíduo não identificado",IF(V579=0,"Resíduo fora do cadastro",IF(W579=0,"Quantidade inválida",IF(H579="","Unidade não informada",IF(NOT(ISNUMBER(I579)),"Unidade a conferir",IF(AND(AH579=1,K579&lt;&gt;"Sim"),"Possível duplicidade",IF(Z579=1,"MTR cancelado",IF(AC579&gt;0,"Recebimento com alerta",IF(AA579=0,"Aguardando recebimento",IF(AB579&lt;AA579,"Recebimento a conferir",IF(AM579=1,"Quantidade a revisar",IF(AF579&gt;0,"Vínculo a revisar",IF(AD579=0,"Aguardando CDF",IF(AN579=0,"Vínculo de CDF parcial",IF(AE579&lt;AD579,"CDF a conferir","Documentação conferida"))))))))))))))))))</f>
        <v/>
      </c>
      <c r="Q579" s="93" t="str">
        <f>IF(OR(R579=0,AA579=0),"",MAX(0,N(L579)-N(M579)))</f>
        <v/>
      </c>
      <c r="R579" s="96">
        <f>IF(COUNTA(B579:C579,G579:H579,J579:K579)&gt;0,1,0)</f>
        <v>0</v>
      </c>
      <c r="S579" s="96" t="str">
        <f>IF(B579="","",TRIM(LEFT(B579,FIND(" |",B579&amp;" |")-1)))</f>
        <v/>
      </c>
      <c r="T579" s="96" t="str">
        <f>IF(S579="","",IFERROR(MATCH(S579,'MTRs'!$A$6:$A$505,0),""))</f>
        <v/>
      </c>
      <c r="U579" s="96">
        <f>IF(T579="",0,IF(INDEX('MTRs'!$Z$6:$Z$505,T579)=1,1,0))</f>
        <v>0</v>
      </c>
      <c r="V579" s="96">
        <f>IF(C579="",0,IF(ISNUMBER(MATCH(C579,'CAD_RESÍDUOS'!$B$6:$B$205,0)),1,0))</f>
        <v>0</v>
      </c>
      <c r="W579" s="96">
        <f>IF(AND(ISNUMBER(G579),G579&gt;0),1,0)</f>
        <v>0</v>
      </c>
      <c r="X579" s="96" t="str">
        <f>IF(H579="","",IFERROR(IF(ISNUMBER(INDEX(cfg_fac,MATCH(H579,cfg_units,0))),IF(INDEX(cfg_fac,MATCH(H579,cfg_units,0))&gt;0,INDEX(cfg_fac,MATCH(H579,cfg_units,0)),""),""),""))</f>
        <v/>
      </c>
      <c r="Y579" s="96">
        <f>IF(AND(W579=1,ISNUMBER(I579)),1,0)</f>
        <v>0</v>
      </c>
      <c r="Z579" s="96">
        <f>IF(U579=1,INDEX('MTRs'!$AA$6:$AA$505,T579),0)</f>
        <v>0</v>
      </c>
      <c r="AA579" s="96">
        <f>IF(R579=0,0,COUNTIFS('RECEBIMENTOS'!$R$6:$R$1005,A579,'RECEBIMENTOS'!$Q$6:$Q$1005,1))</f>
        <v>0</v>
      </c>
      <c r="AB579" s="96">
        <f>IF(R579=0,0,COUNTIFS('RECEBIMENTOS'!$R$6:$R$1005,A579,'RECEBIMENTOS'!$Z$6:$Z$1005,1))</f>
        <v>0</v>
      </c>
      <c r="AC579" s="96">
        <f>IF(R579=0,0,COUNTIFS('RECEBIMENTOS'!$R$6:$R$1005,A579,'RECEBIMENTOS'!$Y$6:$Y$1005,1))</f>
        <v>0</v>
      </c>
      <c r="AD579" s="96">
        <f>IF(R579=0,0,COUNTIFS('VÍNCULOS_CDF'!$R$6:$R$1005,A579,'VÍNCULOS_CDF'!$N$6:$N$1005,1))</f>
        <v>0</v>
      </c>
      <c r="AE579" s="96">
        <f>IF(R579=0,0,COUNTIFS('VÍNCULOS_CDF'!$R$6:$R$1005,A579,'VÍNCULOS_CDF'!$AA$6:$AA$1005,1))</f>
        <v>0</v>
      </c>
      <c r="AF579" s="96">
        <f>IF(R579=0,0,COUNTIFS('VÍNCULOS_CDF'!$R$6:$R$1005,A579,'VÍNCULOS_CDF'!$Y$6:$Y$1005,1))</f>
        <v>0</v>
      </c>
      <c r="AG579" s="96" t="str">
        <f>IF(AND(R579=1,S579&lt;&gt;"",C579&lt;&gt;""),S579&amp;"|"&amp;C579&amp;"|"&amp;G579&amp;"|"&amp;H579,"")</f>
        <v/>
      </c>
      <c r="AH579" s="96">
        <f>IF(AG579="",0,IF(SUMPRODUCT(--($AG$6:$AG$1005=AG579))&gt;1,1,0))</f>
        <v>0</v>
      </c>
      <c r="AI579" s="96">
        <f>IF(R579=0,0,IF(OR(U579=0,V579=0,Y579=0,AND(AH579=1,K579&lt;&gt;"Sim")),1,0))</f>
        <v>0</v>
      </c>
      <c r="AJ579" s="96">
        <f>IF(AND(R579=1,AA579&gt;0,AB579=AA579),1,0)</f>
        <v>0</v>
      </c>
      <c r="AK579" s="96">
        <f>IF(R579=0,0,IF(AA579&gt;0,N(L579),IF(ISNUMBER(I579),I579,0)))</f>
        <v>0</v>
      </c>
      <c r="AL579" s="96">
        <f>IF(R579=0,0,IF(AND(K579&lt;&gt;"Sim",N(M579)&gt;AK579+cfg_tol),1,0))</f>
        <v>0</v>
      </c>
      <c r="AM579" s="96">
        <f>IF(R579=0,0,IF(K579="Sim",0,IF(OR(AND(AA579&gt;0,ISNUMBER(I579),ABS(I579-N(L579))&gt;cfg_tol),AL579=1),1,0)))</f>
        <v>0</v>
      </c>
      <c r="AN579" s="96">
        <f>IF(AND(R579=1,N(M579)&gt;0,OR(N(M579)&gt;=AK579-cfg_tol,K579="Sim")),1,0)</f>
        <v>0</v>
      </c>
      <c r="AO579" s="96">
        <f>IF(AND(AN579=1,AD579&gt;0,AE579=AD579,AL579=0),1,0)</f>
        <v>0</v>
      </c>
      <c r="AP579" s="96">
        <f>IF(U579=0,0,IF(AND(INDEX('MTRs'!$AX$6:$AX$505,T579)=1,Z579=0,OR(f_res="",f_res="(Todos)",C579=f_res)),1,0))</f>
        <v>0</v>
      </c>
      <c r="AQ579" s="97" t="str">
        <f>IF(U579=0,"",INDEX('MTRs'!$AZ$6:$AZ$505,T579))</f>
        <v/>
      </c>
      <c r="AR579" s="96">
        <f>IF(U579=0,0,IF(AND(INDEX('MTRs'!$BA$6:$BA$505,T579)=1,Z579=0),1,0))</f>
        <v>0</v>
      </c>
      <c r="AS579" s="96" t="str">
        <f>IF(R579=1,A579&amp;" | MTR "&amp;IF(U579=1,INDEX('MTRs'!$B$6:$B$505,T579)&amp;"","?")&amp;" | "&amp;IF(C579="","(sem resíduo)",C579),"")</f>
        <v/>
      </c>
      <c r="AT579" s="96" t="str">
        <f>IF(R579=1,COUNTIF($R$6:R579,1),"")</f>
        <v/>
      </c>
      <c r="AU579" s="96" t="str">
        <f>IF(U579=1,INDEX('MTRs'!$I$6:$I$505,T579)&amp;"","")</f>
        <v/>
      </c>
    </row>
    <row r="580">
      <c r="A580" s="89" t="inlineStr">
        <is>
          <t>IT-000575</t>
        </is>
      </c>
      <c r="B580" s="91" t="n"/>
      <c r="C580" s="91" t="n"/>
      <c r="D580" s="94" t="str">
        <f>IF(OR(R580=0,V580=0),"",INDEX('CAD_RESÍDUOS'!$E$6:$E$205,MATCH(C580,'CAD_RESÍDUOS'!$B$6:$B$205,0))&amp;"")</f>
        <v/>
      </c>
      <c r="E580" s="94" t="str">
        <f>IF(OR(R580=0,V580=0),"",INDEX('CAD_RESÍDUOS'!$C$6:$C$205,MATCH(C580,'CAD_RESÍDUOS'!$B$6:$B$205,0))&amp;"")</f>
        <v/>
      </c>
      <c r="F580" s="94" t="str">
        <f>IF(OR(R580=0,V580=0),"",INDEX('CAD_RESÍDUOS'!$G$6:$G$205,MATCH(C580,'CAD_RESÍDUOS'!$B$6:$B$205,0))&amp;"")</f>
        <v/>
      </c>
      <c r="G580" s="98" t="n"/>
      <c r="H580" s="91" t="n"/>
      <c r="I580" s="93" t="str">
        <f>IF(R580=0,"",IF(NOT(ISNUMBER(G580)),"",IF(ISNUMBER(X580),G580*X580,"UNIDADE A CONFERIR")))</f>
        <v/>
      </c>
      <c r="J580" s="91" t="n"/>
      <c r="K580" s="91" t="n"/>
      <c r="L580" s="93" t="str">
        <f>IF(R580=0,"",SUMIFS('RECEBIMENTOS'!$H$6:$H$1005,'RECEBIMENTOS'!$R$6:$R$1005,A580,'RECEBIMENTOS'!$X$6:$X$1005,1))</f>
        <v/>
      </c>
      <c r="M580" s="93" t="str">
        <f>IF(R580=0,"",SUMIFS('VÍNCULOS_CDF'!$H$6:$H$1005,'VÍNCULOS_CDF'!$R$6:$R$1005,A580,'VÍNCULOS_CDF'!$V$6:$V$1005,1))</f>
        <v/>
      </c>
      <c r="N580" s="99" t="str">
        <f>IF(OR(R580=0,AA580=0,NOT(ISNUMBER(I580))),"",I580-N(L580))</f>
        <v/>
      </c>
      <c r="O580" s="100" t="str">
        <f>IF(OR(R580=0,AK580&lt;=0),"",N(M580)/AK580)</f>
        <v/>
      </c>
      <c r="P580" s="94" t="str">
        <f>IF(R580=0,"",IF(S580="","Sem MTR associado",IF(U580=0,"MTR inexistente",IF(C580="","Resíduo não identificado",IF(V580=0,"Resíduo fora do cadastro",IF(W580=0,"Quantidade inválida",IF(H580="","Unidade não informada",IF(NOT(ISNUMBER(I580)),"Unidade a conferir",IF(AND(AH580=1,K580&lt;&gt;"Sim"),"Possível duplicidade",IF(Z580=1,"MTR cancelado",IF(AC580&gt;0,"Recebimento com alerta",IF(AA580=0,"Aguardando recebimento",IF(AB580&lt;AA580,"Recebimento a conferir",IF(AM580=1,"Quantidade a revisar",IF(AF580&gt;0,"Vínculo a revisar",IF(AD580=0,"Aguardando CDF",IF(AN580=0,"Vínculo de CDF parcial",IF(AE580&lt;AD580,"CDF a conferir","Documentação conferida"))))))))))))))))))</f>
        <v/>
      </c>
      <c r="Q580" s="93" t="str">
        <f>IF(OR(R580=0,AA580=0),"",MAX(0,N(L580)-N(M580)))</f>
        <v/>
      </c>
      <c r="R580" s="96">
        <f>IF(COUNTA(B580:C580,G580:H580,J580:K580)&gt;0,1,0)</f>
        <v>0</v>
      </c>
      <c r="S580" s="96" t="str">
        <f>IF(B580="","",TRIM(LEFT(B580,FIND(" |",B580&amp;" |")-1)))</f>
        <v/>
      </c>
      <c r="T580" s="96" t="str">
        <f>IF(S580="","",IFERROR(MATCH(S580,'MTRs'!$A$6:$A$505,0),""))</f>
        <v/>
      </c>
      <c r="U580" s="96">
        <f>IF(T580="",0,IF(INDEX('MTRs'!$Z$6:$Z$505,T580)=1,1,0))</f>
        <v>0</v>
      </c>
      <c r="V580" s="96">
        <f>IF(C580="",0,IF(ISNUMBER(MATCH(C580,'CAD_RESÍDUOS'!$B$6:$B$205,0)),1,0))</f>
        <v>0</v>
      </c>
      <c r="W580" s="96">
        <f>IF(AND(ISNUMBER(G580),G580&gt;0),1,0)</f>
        <v>0</v>
      </c>
      <c r="X580" s="96" t="str">
        <f>IF(H580="","",IFERROR(IF(ISNUMBER(INDEX(cfg_fac,MATCH(H580,cfg_units,0))),IF(INDEX(cfg_fac,MATCH(H580,cfg_units,0))&gt;0,INDEX(cfg_fac,MATCH(H580,cfg_units,0)),""),""),""))</f>
        <v/>
      </c>
      <c r="Y580" s="96">
        <f>IF(AND(W580=1,ISNUMBER(I580)),1,0)</f>
        <v>0</v>
      </c>
      <c r="Z580" s="96">
        <f>IF(U580=1,INDEX('MTRs'!$AA$6:$AA$505,T580),0)</f>
        <v>0</v>
      </c>
      <c r="AA580" s="96">
        <f>IF(R580=0,0,COUNTIFS('RECEBIMENTOS'!$R$6:$R$1005,A580,'RECEBIMENTOS'!$Q$6:$Q$1005,1))</f>
        <v>0</v>
      </c>
      <c r="AB580" s="96">
        <f>IF(R580=0,0,COUNTIFS('RECEBIMENTOS'!$R$6:$R$1005,A580,'RECEBIMENTOS'!$Z$6:$Z$1005,1))</f>
        <v>0</v>
      </c>
      <c r="AC580" s="96">
        <f>IF(R580=0,0,COUNTIFS('RECEBIMENTOS'!$R$6:$R$1005,A580,'RECEBIMENTOS'!$Y$6:$Y$1005,1))</f>
        <v>0</v>
      </c>
      <c r="AD580" s="96">
        <f>IF(R580=0,0,COUNTIFS('VÍNCULOS_CDF'!$R$6:$R$1005,A580,'VÍNCULOS_CDF'!$N$6:$N$1005,1))</f>
        <v>0</v>
      </c>
      <c r="AE580" s="96">
        <f>IF(R580=0,0,COUNTIFS('VÍNCULOS_CDF'!$R$6:$R$1005,A580,'VÍNCULOS_CDF'!$AA$6:$AA$1005,1))</f>
        <v>0</v>
      </c>
      <c r="AF580" s="96">
        <f>IF(R580=0,0,COUNTIFS('VÍNCULOS_CDF'!$R$6:$R$1005,A580,'VÍNCULOS_CDF'!$Y$6:$Y$1005,1))</f>
        <v>0</v>
      </c>
      <c r="AG580" s="96" t="str">
        <f>IF(AND(R580=1,S580&lt;&gt;"",C580&lt;&gt;""),S580&amp;"|"&amp;C580&amp;"|"&amp;G580&amp;"|"&amp;H580,"")</f>
        <v/>
      </c>
      <c r="AH580" s="96">
        <f>IF(AG580="",0,IF(SUMPRODUCT(--($AG$6:$AG$1005=AG580))&gt;1,1,0))</f>
        <v>0</v>
      </c>
      <c r="AI580" s="96">
        <f>IF(R580=0,0,IF(OR(U580=0,V580=0,Y580=0,AND(AH580=1,K580&lt;&gt;"Sim")),1,0))</f>
        <v>0</v>
      </c>
      <c r="AJ580" s="96">
        <f>IF(AND(R580=1,AA580&gt;0,AB580=AA580),1,0)</f>
        <v>0</v>
      </c>
      <c r="AK580" s="96">
        <f>IF(R580=0,0,IF(AA580&gt;0,N(L580),IF(ISNUMBER(I580),I580,0)))</f>
        <v>0</v>
      </c>
      <c r="AL580" s="96">
        <f>IF(R580=0,0,IF(AND(K580&lt;&gt;"Sim",N(M580)&gt;AK580+cfg_tol),1,0))</f>
        <v>0</v>
      </c>
      <c r="AM580" s="96">
        <f>IF(R580=0,0,IF(K580="Sim",0,IF(OR(AND(AA580&gt;0,ISNUMBER(I580),ABS(I580-N(L580))&gt;cfg_tol),AL580=1),1,0)))</f>
        <v>0</v>
      </c>
      <c r="AN580" s="96">
        <f>IF(AND(R580=1,N(M580)&gt;0,OR(N(M580)&gt;=AK580-cfg_tol,K580="Sim")),1,0)</f>
        <v>0</v>
      </c>
      <c r="AO580" s="96">
        <f>IF(AND(AN580=1,AD580&gt;0,AE580=AD580,AL580=0),1,0)</f>
        <v>0</v>
      </c>
      <c r="AP580" s="96">
        <f>IF(U580=0,0,IF(AND(INDEX('MTRs'!$AX$6:$AX$505,T580)=1,Z580=0,OR(f_res="",f_res="(Todos)",C580=f_res)),1,0))</f>
        <v>0</v>
      </c>
      <c r="AQ580" s="97" t="str">
        <f>IF(U580=0,"",INDEX('MTRs'!$AZ$6:$AZ$505,T580))</f>
        <v/>
      </c>
      <c r="AR580" s="96">
        <f>IF(U580=0,0,IF(AND(INDEX('MTRs'!$BA$6:$BA$505,T580)=1,Z580=0),1,0))</f>
        <v>0</v>
      </c>
      <c r="AS580" s="96" t="str">
        <f>IF(R580=1,A580&amp;" | MTR "&amp;IF(U580=1,INDEX('MTRs'!$B$6:$B$505,T580)&amp;"","?")&amp;" | "&amp;IF(C580="","(sem resíduo)",C580),"")</f>
        <v/>
      </c>
      <c r="AT580" s="96" t="str">
        <f>IF(R580=1,COUNTIF($R$6:R580,1),"")</f>
        <v/>
      </c>
      <c r="AU580" s="96" t="str">
        <f>IF(U580=1,INDEX('MTRs'!$I$6:$I$505,T580)&amp;"","")</f>
        <v/>
      </c>
    </row>
    <row r="581">
      <c r="A581" s="89" t="inlineStr">
        <is>
          <t>IT-000576</t>
        </is>
      </c>
      <c r="B581" s="91" t="n"/>
      <c r="C581" s="91" t="n"/>
      <c r="D581" s="94" t="str">
        <f>IF(OR(R581=0,V581=0),"",INDEX('CAD_RESÍDUOS'!$E$6:$E$205,MATCH(C581,'CAD_RESÍDUOS'!$B$6:$B$205,0))&amp;"")</f>
        <v/>
      </c>
      <c r="E581" s="94" t="str">
        <f>IF(OR(R581=0,V581=0),"",INDEX('CAD_RESÍDUOS'!$C$6:$C$205,MATCH(C581,'CAD_RESÍDUOS'!$B$6:$B$205,0))&amp;"")</f>
        <v/>
      </c>
      <c r="F581" s="94" t="str">
        <f>IF(OR(R581=0,V581=0),"",INDEX('CAD_RESÍDUOS'!$G$6:$G$205,MATCH(C581,'CAD_RESÍDUOS'!$B$6:$B$205,0))&amp;"")</f>
        <v/>
      </c>
      <c r="G581" s="98" t="n"/>
      <c r="H581" s="91" t="n"/>
      <c r="I581" s="93" t="str">
        <f>IF(R581=0,"",IF(NOT(ISNUMBER(G581)),"",IF(ISNUMBER(X581),G581*X581,"UNIDADE A CONFERIR")))</f>
        <v/>
      </c>
      <c r="J581" s="91" t="n"/>
      <c r="K581" s="91" t="n"/>
      <c r="L581" s="93" t="str">
        <f>IF(R581=0,"",SUMIFS('RECEBIMENTOS'!$H$6:$H$1005,'RECEBIMENTOS'!$R$6:$R$1005,A581,'RECEBIMENTOS'!$X$6:$X$1005,1))</f>
        <v/>
      </c>
      <c r="M581" s="93" t="str">
        <f>IF(R581=0,"",SUMIFS('VÍNCULOS_CDF'!$H$6:$H$1005,'VÍNCULOS_CDF'!$R$6:$R$1005,A581,'VÍNCULOS_CDF'!$V$6:$V$1005,1))</f>
        <v/>
      </c>
      <c r="N581" s="99" t="str">
        <f>IF(OR(R581=0,AA581=0,NOT(ISNUMBER(I581))),"",I581-N(L581))</f>
        <v/>
      </c>
      <c r="O581" s="100" t="str">
        <f>IF(OR(R581=0,AK581&lt;=0),"",N(M581)/AK581)</f>
        <v/>
      </c>
      <c r="P581" s="94" t="str">
        <f>IF(R581=0,"",IF(S581="","Sem MTR associado",IF(U581=0,"MTR inexistente",IF(C581="","Resíduo não identificado",IF(V581=0,"Resíduo fora do cadastro",IF(W581=0,"Quantidade inválida",IF(H581="","Unidade não informada",IF(NOT(ISNUMBER(I581)),"Unidade a conferir",IF(AND(AH581=1,K581&lt;&gt;"Sim"),"Possível duplicidade",IF(Z581=1,"MTR cancelado",IF(AC581&gt;0,"Recebimento com alerta",IF(AA581=0,"Aguardando recebimento",IF(AB581&lt;AA581,"Recebimento a conferir",IF(AM581=1,"Quantidade a revisar",IF(AF581&gt;0,"Vínculo a revisar",IF(AD581=0,"Aguardando CDF",IF(AN581=0,"Vínculo de CDF parcial",IF(AE581&lt;AD581,"CDF a conferir","Documentação conferida"))))))))))))))))))</f>
        <v/>
      </c>
      <c r="Q581" s="93" t="str">
        <f>IF(OR(R581=0,AA581=0),"",MAX(0,N(L581)-N(M581)))</f>
        <v/>
      </c>
      <c r="R581" s="96">
        <f>IF(COUNTA(B581:C581,G581:H581,J581:K581)&gt;0,1,0)</f>
        <v>0</v>
      </c>
      <c r="S581" s="96" t="str">
        <f>IF(B581="","",TRIM(LEFT(B581,FIND(" |",B581&amp;" |")-1)))</f>
        <v/>
      </c>
      <c r="T581" s="96" t="str">
        <f>IF(S581="","",IFERROR(MATCH(S581,'MTRs'!$A$6:$A$505,0),""))</f>
        <v/>
      </c>
      <c r="U581" s="96">
        <f>IF(T581="",0,IF(INDEX('MTRs'!$Z$6:$Z$505,T581)=1,1,0))</f>
        <v>0</v>
      </c>
      <c r="V581" s="96">
        <f>IF(C581="",0,IF(ISNUMBER(MATCH(C581,'CAD_RESÍDUOS'!$B$6:$B$205,0)),1,0))</f>
        <v>0</v>
      </c>
      <c r="W581" s="96">
        <f>IF(AND(ISNUMBER(G581),G581&gt;0),1,0)</f>
        <v>0</v>
      </c>
      <c r="X581" s="96" t="str">
        <f>IF(H581="","",IFERROR(IF(ISNUMBER(INDEX(cfg_fac,MATCH(H581,cfg_units,0))),IF(INDEX(cfg_fac,MATCH(H581,cfg_units,0))&gt;0,INDEX(cfg_fac,MATCH(H581,cfg_units,0)),""),""),""))</f>
        <v/>
      </c>
      <c r="Y581" s="96">
        <f>IF(AND(W581=1,ISNUMBER(I581)),1,0)</f>
        <v>0</v>
      </c>
      <c r="Z581" s="96">
        <f>IF(U581=1,INDEX('MTRs'!$AA$6:$AA$505,T581),0)</f>
        <v>0</v>
      </c>
      <c r="AA581" s="96">
        <f>IF(R581=0,0,COUNTIFS('RECEBIMENTOS'!$R$6:$R$1005,A581,'RECEBIMENTOS'!$Q$6:$Q$1005,1))</f>
        <v>0</v>
      </c>
      <c r="AB581" s="96">
        <f>IF(R581=0,0,COUNTIFS('RECEBIMENTOS'!$R$6:$R$1005,A581,'RECEBIMENTOS'!$Z$6:$Z$1005,1))</f>
        <v>0</v>
      </c>
      <c r="AC581" s="96">
        <f>IF(R581=0,0,COUNTIFS('RECEBIMENTOS'!$R$6:$R$1005,A581,'RECEBIMENTOS'!$Y$6:$Y$1005,1))</f>
        <v>0</v>
      </c>
      <c r="AD581" s="96">
        <f>IF(R581=0,0,COUNTIFS('VÍNCULOS_CDF'!$R$6:$R$1005,A581,'VÍNCULOS_CDF'!$N$6:$N$1005,1))</f>
        <v>0</v>
      </c>
      <c r="AE581" s="96">
        <f>IF(R581=0,0,COUNTIFS('VÍNCULOS_CDF'!$R$6:$R$1005,A581,'VÍNCULOS_CDF'!$AA$6:$AA$1005,1))</f>
        <v>0</v>
      </c>
      <c r="AF581" s="96">
        <f>IF(R581=0,0,COUNTIFS('VÍNCULOS_CDF'!$R$6:$R$1005,A581,'VÍNCULOS_CDF'!$Y$6:$Y$1005,1))</f>
        <v>0</v>
      </c>
      <c r="AG581" s="96" t="str">
        <f>IF(AND(R581=1,S581&lt;&gt;"",C581&lt;&gt;""),S581&amp;"|"&amp;C581&amp;"|"&amp;G581&amp;"|"&amp;H581,"")</f>
        <v/>
      </c>
      <c r="AH581" s="96">
        <f>IF(AG581="",0,IF(SUMPRODUCT(--($AG$6:$AG$1005=AG581))&gt;1,1,0))</f>
        <v>0</v>
      </c>
      <c r="AI581" s="96">
        <f>IF(R581=0,0,IF(OR(U581=0,V581=0,Y581=0,AND(AH581=1,K581&lt;&gt;"Sim")),1,0))</f>
        <v>0</v>
      </c>
      <c r="AJ581" s="96">
        <f>IF(AND(R581=1,AA581&gt;0,AB581=AA581),1,0)</f>
        <v>0</v>
      </c>
      <c r="AK581" s="96">
        <f>IF(R581=0,0,IF(AA581&gt;0,N(L581),IF(ISNUMBER(I581),I581,0)))</f>
        <v>0</v>
      </c>
      <c r="AL581" s="96">
        <f>IF(R581=0,0,IF(AND(K581&lt;&gt;"Sim",N(M581)&gt;AK581+cfg_tol),1,0))</f>
        <v>0</v>
      </c>
      <c r="AM581" s="96">
        <f>IF(R581=0,0,IF(K581="Sim",0,IF(OR(AND(AA581&gt;0,ISNUMBER(I581),ABS(I581-N(L581))&gt;cfg_tol),AL581=1),1,0)))</f>
        <v>0</v>
      </c>
      <c r="AN581" s="96">
        <f>IF(AND(R581=1,N(M581)&gt;0,OR(N(M581)&gt;=AK581-cfg_tol,K581="Sim")),1,0)</f>
        <v>0</v>
      </c>
      <c r="AO581" s="96">
        <f>IF(AND(AN581=1,AD581&gt;0,AE581=AD581,AL581=0),1,0)</f>
        <v>0</v>
      </c>
      <c r="AP581" s="96">
        <f>IF(U581=0,0,IF(AND(INDEX('MTRs'!$AX$6:$AX$505,T581)=1,Z581=0,OR(f_res="",f_res="(Todos)",C581=f_res)),1,0))</f>
        <v>0</v>
      </c>
      <c r="AQ581" s="97" t="str">
        <f>IF(U581=0,"",INDEX('MTRs'!$AZ$6:$AZ$505,T581))</f>
        <v/>
      </c>
      <c r="AR581" s="96">
        <f>IF(U581=0,0,IF(AND(INDEX('MTRs'!$BA$6:$BA$505,T581)=1,Z581=0),1,0))</f>
        <v>0</v>
      </c>
      <c r="AS581" s="96" t="str">
        <f>IF(R581=1,A581&amp;" | MTR "&amp;IF(U581=1,INDEX('MTRs'!$B$6:$B$505,T581)&amp;"","?")&amp;" | "&amp;IF(C581="","(sem resíduo)",C581),"")</f>
        <v/>
      </c>
      <c r="AT581" s="96" t="str">
        <f>IF(R581=1,COUNTIF($R$6:R581,1),"")</f>
        <v/>
      </c>
      <c r="AU581" s="96" t="str">
        <f>IF(U581=1,INDEX('MTRs'!$I$6:$I$505,T581)&amp;"","")</f>
        <v/>
      </c>
    </row>
    <row r="582">
      <c r="A582" s="89" t="inlineStr">
        <is>
          <t>IT-000577</t>
        </is>
      </c>
      <c r="B582" s="91" t="n"/>
      <c r="C582" s="91" t="n"/>
      <c r="D582" s="94" t="str">
        <f>IF(OR(R582=0,V582=0),"",INDEX('CAD_RESÍDUOS'!$E$6:$E$205,MATCH(C582,'CAD_RESÍDUOS'!$B$6:$B$205,0))&amp;"")</f>
        <v/>
      </c>
      <c r="E582" s="94" t="str">
        <f>IF(OR(R582=0,V582=0),"",INDEX('CAD_RESÍDUOS'!$C$6:$C$205,MATCH(C582,'CAD_RESÍDUOS'!$B$6:$B$205,0))&amp;"")</f>
        <v/>
      </c>
      <c r="F582" s="94" t="str">
        <f>IF(OR(R582=0,V582=0),"",INDEX('CAD_RESÍDUOS'!$G$6:$G$205,MATCH(C582,'CAD_RESÍDUOS'!$B$6:$B$205,0))&amp;"")</f>
        <v/>
      </c>
      <c r="G582" s="98" t="n"/>
      <c r="H582" s="91" t="n"/>
      <c r="I582" s="93" t="str">
        <f>IF(R582=0,"",IF(NOT(ISNUMBER(G582)),"",IF(ISNUMBER(X582),G582*X582,"UNIDADE A CONFERIR")))</f>
        <v/>
      </c>
      <c r="J582" s="91" t="n"/>
      <c r="K582" s="91" t="n"/>
      <c r="L582" s="93" t="str">
        <f>IF(R582=0,"",SUMIFS('RECEBIMENTOS'!$H$6:$H$1005,'RECEBIMENTOS'!$R$6:$R$1005,A582,'RECEBIMENTOS'!$X$6:$X$1005,1))</f>
        <v/>
      </c>
      <c r="M582" s="93" t="str">
        <f>IF(R582=0,"",SUMIFS('VÍNCULOS_CDF'!$H$6:$H$1005,'VÍNCULOS_CDF'!$R$6:$R$1005,A582,'VÍNCULOS_CDF'!$V$6:$V$1005,1))</f>
        <v/>
      </c>
      <c r="N582" s="99" t="str">
        <f>IF(OR(R582=0,AA582=0,NOT(ISNUMBER(I582))),"",I582-N(L582))</f>
        <v/>
      </c>
      <c r="O582" s="100" t="str">
        <f>IF(OR(R582=0,AK582&lt;=0),"",N(M582)/AK582)</f>
        <v/>
      </c>
      <c r="P582" s="94" t="str">
        <f>IF(R582=0,"",IF(S582="","Sem MTR associado",IF(U582=0,"MTR inexistente",IF(C582="","Resíduo não identificado",IF(V582=0,"Resíduo fora do cadastro",IF(W582=0,"Quantidade inválida",IF(H582="","Unidade não informada",IF(NOT(ISNUMBER(I582)),"Unidade a conferir",IF(AND(AH582=1,K582&lt;&gt;"Sim"),"Possível duplicidade",IF(Z582=1,"MTR cancelado",IF(AC582&gt;0,"Recebimento com alerta",IF(AA582=0,"Aguardando recebimento",IF(AB582&lt;AA582,"Recebimento a conferir",IF(AM582=1,"Quantidade a revisar",IF(AF582&gt;0,"Vínculo a revisar",IF(AD582=0,"Aguardando CDF",IF(AN582=0,"Vínculo de CDF parcial",IF(AE582&lt;AD582,"CDF a conferir","Documentação conferida"))))))))))))))))))</f>
        <v/>
      </c>
      <c r="Q582" s="93" t="str">
        <f>IF(OR(R582=0,AA582=0),"",MAX(0,N(L582)-N(M582)))</f>
        <v/>
      </c>
      <c r="R582" s="96">
        <f>IF(COUNTA(B582:C582,G582:H582,J582:K582)&gt;0,1,0)</f>
        <v>0</v>
      </c>
      <c r="S582" s="96" t="str">
        <f>IF(B582="","",TRIM(LEFT(B582,FIND(" |",B582&amp;" |")-1)))</f>
        <v/>
      </c>
      <c r="T582" s="96" t="str">
        <f>IF(S582="","",IFERROR(MATCH(S582,'MTRs'!$A$6:$A$505,0),""))</f>
        <v/>
      </c>
      <c r="U582" s="96">
        <f>IF(T582="",0,IF(INDEX('MTRs'!$Z$6:$Z$505,T582)=1,1,0))</f>
        <v>0</v>
      </c>
      <c r="V582" s="96">
        <f>IF(C582="",0,IF(ISNUMBER(MATCH(C582,'CAD_RESÍDUOS'!$B$6:$B$205,0)),1,0))</f>
        <v>0</v>
      </c>
      <c r="W582" s="96">
        <f>IF(AND(ISNUMBER(G582),G582&gt;0),1,0)</f>
        <v>0</v>
      </c>
      <c r="X582" s="96" t="str">
        <f>IF(H582="","",IFERROR(IF(ISNUMBER(INDEX(cfg_fac,MATCH(H582,cfg_units,0))),IF(INDEX(cfg_fac,MATCH(H582,cfg_units,0))&gt;0,INDEX(cfg_fac,MATCH(H582,cfg_units,0)),""),""),""))</f>
        <v/>
      </c>
      <c r="Y582" s="96">
        <f>IF(AND(W582=1,ISNUMBER(I582)),1,0)</f>
        <v>0</v>
      </c>
      <c r="Z582" s="96">
        <f>IF(U582=1,INDEX('MTRs'!$AA$6:$AA$505,T582),0)</f>
        <v>0</v>
      </c>
      <c r="AA582" s="96">
        <f>IF(R582=0,0,COUNTIFS('RECEBIMENTOS'!$R$6:$R$1005,A582,'RECEBIMENTOS'!$Q$6:$Q$1005,1))</f>
        <v>0</v>
      </c>
      <c r="AB582" s="96">
        <f>IF(R582=0,0,COUNTIFS('RECEBIMENTOS'!$R$6:$R$1005,A582,'RECEBIMENTOS'!$Z$6:$Z$1005,1))</f>
        <v>0</v>
      </c>
      <c r="AC582" s="96">
        <f>IF(R582=0,0,COUNTIFS('RECEBIMENTOS'!$R$6:$R$1005,A582,'RECEBIMENTOS'!$Y$6:$Y$1005,1))</f>
        <v>0</v>
      </c>
      <c r="AD582" s="96">
        <f>IF(R582=0,0,COUNTIFS('VÍNCULOS_CDF'!$R$6:$R$1005,A582,'VÍNCULOS_CDF'!$N$6:$N$1005,1))</f>
        <v>0</v>
      </c>
      <c r="AE582" s="96">
        <f>IF(R582=0,0,COUNTIFS('VÍNCULOS_CDF'!$R$6:$R$1005,A582,'VÍNCULOS_CDF'!$AA$6:$AA$1005,1))</f>
        <v>0</v>
      </c>
      <c r="AF582" s="96">
        <f>IF(R582=0,0,COUNTIFS('VÍNCULOS_CDF'!$R$6:$R$1005,A582,'VÍNCULOS_CDF'!$Y$6:$Y$1005,1))</f>
        <v>0</v>
      </c>
      <c r="AG582" s="96" t="str">
        <f>IF(AND(R582=1,S582&lt;&gt;"",C582&lt;&gt;""),S582&amp;"|"&amp;C582&amp;"|"&amp;G582&amp;"|"&amp;H582,"")</f>
        <v/>
      </c>
      <c r="AH582" s="96">
        <f>IF(AG582="",0,IF(SUMPRODUCT(--($AG$6:$AG$1005=AG582))&gt;1,1,0))</f>
        <v>0</v>
      </c>
      <c r="AI582" s="96">
        <f>IF(R582=0,0,IF(OR(U582=0,V582=0,Y582=0,AND(AH582=1,K582&lt;&gt;"Sim")),1,0))</f>
        <v>0</v>
      </c>
      <c r="AJ582" s="96">
        <f>IF(AND(R582=1,AA582&gt;0,AB582=AA582),1,0)</f>
        <v>0</v>
      </c>
      <c r="AK582" s="96">
        <f>IF(R582=0,0,IF(AA582&gt;0,N(L582),IF(ISNUMBER(I582),I582,0)))</f>
        <v>0</v>
      </c>
      <c r="AL582" s="96">
        <f>IF(R582=0,0,IF(AND(K582&lt;&gt;"Sim",N(M582)&gt;AK582+cfg_tol),1,0))</f>
        <v>0</v>
      </c>
      <c r="AM582" s="96">
        <f>IF(R582=0,0,IF(K582="Sim",0,IF(OR(AND(AA582&gt;0,ISNUMBER(I582),ABS(I582-N(L582))&gt;cfg_tol),AL582=1),1,0)))</f>
        <v>0</v>
      </c>
      <c r="AN582" s="96">
        <f>IF(AND(R582=1,N(M582)&gt;0,OR(N(M582)&gt;=AK582-cfg_tol,K582="Sim")),1,0)</f>
        <v>0</v>
      </c>
      <c r="AO582" s="96">
        <f>IF(AND(AN582=1,AD582&gt;0,AE582=AD582,AL582=0),1,0)</f>
        <v>0</v>
      </c>
      <c r="AP582" s="96">
        <f>IF(U582=0,0,IF(AND(INDEX('MTRs'!$AX$6:$AX$505,T582)=1,Z582=0,OR(f_res="",f_res="(Todos)",C582=f_res)),1,0))</f>
        <v>0</v>
      </c>
      <c r="AQ582" s="97" t="str">
        <f>IF(U582=0,"",INDEX('MTRs'!$AZ$6:$AZ$505,T582))</f>
        <v/>
      </c>
      <c r="AR582" s="96">
        <f>IF(U582=0,0,IF(AND(INDEX('MTRs'!$BA$6:$BA$505,T582)=1,Z582=0),1,0))</f>
        <v>0</v>
      </c>
      <c r="AS582" s="96" t="str">
        <f>IF(R582=1,A582&amp;" | MTR "&amp;IF(U582=1,INDEX('MTRs'!$B$6:$B$505,T582)&amp;"","?")&amp;" | "&amp;IF(C582="","(sem resíduo)",C582),"")</f>
        <v/>
      </c>
      <c r="AT582" s="96" t="str">
        <f>IF(R582=1,COUNTIF($R$6:R582,1),"")</f>
        <v/>
      </c>
      <c r="AU582" s="96" t="str">
        <f>IF(U582=1,INDEX('MTRs'!$I$6:$I$505,T582)&amp;"","")</f>
        <v/>
      </c>
    </row>
    <row r="583">
      <c r="A583" s="89" t="inlineStr">
        <is>
          <t>IT-000578</t>
        </is>
      </c>
      <c r="B583" s="91" t="n"/>
      <c r="C583" s="91" t="n"/>
      <c r="D583" s="94" t="str">
        <f>IF(OR(R583=0,V583=0),"",INDEX('CAD_RESÍDUOS'!$E$6:$E$205,MATCH(C583,'CAD_RESÍDUOS'!$B$6:$B$205,0))&amp;"")</f>
        <v/>
      </c>
      <c r="E583" s="94" t="str">
        <f>IF(OR(R583=0,V583=0),"",INDEX('CAD_RESÍDUOS'!$C$6:$C$205,MATCH(C583,'CAD_RESÍDUOS'!$B$6:$B$205,0))&amp;"")</f>
        <v/>
      </c>
      <c r="F583" s="94" t="str">
        <f>IF(OR(R583=0,V583=0),"",INDEX('CAD_RESÍDUOS'!$G$6:$G$205,MATCH(C583,'CAD_RESÍDUOS'!$B$6:$B$205,0))&amp;"")</f>
        <v/>
      </c>
      <c r="G583" s="98" t="n"/>
      <c r="H583" s="91" t="n"/>
      <c r="I583" s="93" t="str">
        <f>IF(R583=0,"",IF(NOT(ISNUMBER(G583)),"",IF(ISNUMBER(X583),G583*X583,"UNIDADE A CONFERIR")))</f>
        <v/>
      </c>
      <c r="J583" s="91" t="n"/>
      <c r="K583" s="91" t="n"/>
      <c r="L583" s="93" t="str">
        <f>IF(R583=0,"",SUMIFS('RECEBIMENTOS'!$H$6:$H$1005,'RECEBIMENTOS'!$R$6:$R$1005,A583,'RECEBIMENTOS'!$X$6:$X$1005,1))</f>
        <v/>
      </c>
      <c r="M583" s="93" t="str">
        <f>IF(R583=0,"",SUMIFS('VÍNCULOS_CDF'!$H$6:$H$1005,'VÍNCULOS_CDF'!$R$6:$R$1005,A583,'VÍNCULOS_CDF'!$V$6:$V$1005,1))</f>
        <v/>
      </c>
      <c r="N583" s="99" t="str">
        <f>IF(OR(R583=0,AA583=0,NOT(ISNUMBER(I583))),"",I583-N(L583))</f>
        <v/>
      </c>
      <c r="O583" s="100" t="str">
        <f>IF(OR(R583=0,AK583&lt;=0),"",N(M583)/AK583)</f>
        <v/>
      </c>
      <c r="P583" s="94" t="str">
        <f>IF(R583=0,"",IF(S583="","Sem MTR associado",IF(U583=0,"MTR inexistente",IF(C583="","Resíduo não identificado",IF(V583=0,"Resíduo fora do cadastro",IF(W583=0,"Quantidade inválida",IF(H583="","Unidade não informada",IF(NOT(ISNUMBER(I583)),"Unidade a conferir",IF(AND(AH583=1,K583&lt;&gt;"Sim"),"Possível duplicidade",IF(Z583=1,"MTR cancelado",IF(AC583&gt;0,"Recebimento com alerta",IF(AA583=0,"Aguardando recebimento",IF(AB583&lt;AA583,"Recebimento a conferir",IF(AM583=1,"Quantidade a revisar",IF(AF583&gt;0,"Vínculo a revisar",IF(AD583=0,"Aguardando CDF",IF(AN583=0,"Vínculo de CDF parcial",IF(AE583&lt;AD583,"CDF a conferir","Documentação conferida"))))))))))))))))))</f>
        <v/>
      </c>
      <c r="Q583" s="93" t="str">
        <f>IF(OR(R583=0,AA583=0),"",MAX(0,N(L583)-N(M583)))</f>
        <v/>
      </c>
      <c r="R583" s="96">
        <f>IF(COUNTA(B583:C583,G583:H583,J583:K583)&gt;0,1,0)</f>
        <v>0</v>
      </c>
      <c r="S583" s="96" t="str">
        <f>IF(B583="","",TRIM(LEFT(B583,FIND(" |",B583&amp;" |")-1)))</f>
        <v/>
      </c>
      <c r="T583" s="96" t="str">
        <f>IF(S583="","",IFERROR(MATCH(S583,'MTRs'!$A$6:$A$505,0),""))</f>
        <v/>
      </c>
      <c r="U583" s="96">
        <f>IF(T583="",0,IF(INDEX('MTRs'!$Z$6:$Z$505,T583)=1,1,0))</f>
        <v>0</v>
      </c>
      <c r="V583" s="96">
        <f>IF(C583="",0,IF(ISNUMBER(MATCH(C583,'CAD_RESÍDUOS'!$B$6:$B$205,0)),1,0))</f>
        <v>0</v>
      </c>
      <c r="W583" s="96">
        <f>IF(AND(ISNUMBER(G583),G583&gt;0),1,0)</f>
        <v>0</v>
      </c>
      <c r="X583" s="96" t="str">
        <f>IF(H583="","",IFERROR(IF(ISNUMBER(INDEX(cfg_fac,MATCH(H583,cfg_units,0))),IF(INDEX(cfg_fac,MATCH(H583,cfg_units,0))&gt;0,INDEX(cfg_fac,MATCH(H583,cfg_units,0)),""),""),""))</f>
        <v/>
      </c>
      <c r="Y583" s="96">
        <f>IF(AND(W583=1,ISNUMBER(I583)),1,0)</f>
        <v>0</v>
      </c>
      <c r="Z583" s="96">
        <f>IF(U583=1,INDEX('MTRs'!$AA$6:$AA$505,T583),0)</f>
        <v>0</v>
      </c>
      <c r="AA583" s="96">
        <f>IF(R583=0,0,COUNTIFS('RECEBIMENTOS'!$R$6:$R$1005,A583,'RECEBIMENTOS'!$Q$6:$Q$1005,1))</f>
        <v>0</v>
      </c>
      <c r="AB583" s="96">
        <f>IF(R583=0,0,COUNTIFS('RECEBIMENTOS'!$R$6:$R$1005,A583,'RECEBIMENTOS'!$Z$6:$Z$1005,1))</f>
        <v>0</v>
      </c>
      <c r="AC583" s="96">
        <f>IF(R583=0,0,COUNTIFS('RECEBIMENTOS'!$R$6:$R$1005,A583,'RECEBIMENTOS'!$Y$6:$Y$1005,1))</f>
        <v>0</v>
      </c>
      <c r="AD583" s="96">
        <f>IF(R583=0,0,COUNTIFS('VÍNCULOS_CDF'!$R$6:$R$1005,A583,'VÍNCULOS_CDF'!$N$6:$N$1005,1))</f>
        <v>0</v>
      </c>
      <c r="AE583" s="96">
        <f>IF(R583=0,0,COUNTIFS('VÍNCULOS_CDF'!$R$6:$R$1005,A583,'VÍNCULOS_CDF'!$AA$6:$AA$1005,1))</f>
        <v>0</v>
      </c>
      <c r="AF583" s="96">
        <f>IF(R583=0,0,COUNTIFS('VÍNCULOS_CDF'!$R$6:$R$1005,A583,'VÍNCULOS_CDF'!$Y$6:$Y$1005,1))</f>
        <v>0</v>
      </c>
      <c r="AG583" s="96" t="str">
        <f>IF(AND(R583=1,S583&lt;&gt;"",C583&lt;&gt;""),S583&amp;"|"&amp;C583&amp;"|"&amp;G583&amp;"|"&amp;H583,"")</f>
        <v/>
      </c>
      <c r="AH583" s="96">
        <f>IF(AG583="",0,IF(SUMPRODUCT(--($AG$6:$AG$1005=AG583))&gt;1,1,0))</f>
        <v>0</v>
      </c>
      <c r="AI583" s="96">
        <f>IF(R583=0,0,IF(OR(U583=0,V583=0,Y583=0,AND(AH583=1,K583&lt;&gt;"Sim")),1,0))</f>
        <v>0</v>
      </c>
      <c r="AJ583" s="96">
        <f>IF(AND(R583=1,AA583&gt;0,AB583=AA583),1,0)</f>
        <v>0</v>
      </c>
      <c r="AK583" s="96">
        <f>IF(R583=0,0,IF(AA583&gt;0,N(L583),IF(ISNUMBER(I583),I583,0)))</f>
        <v>0</v>
      </c>
      <c r="AL583" s="96">
        <f>IF(R583=0,0,IF(AND(K583&lt;&gt;"Sim",N(M583)&gt;AK583+cfg_tol),1,0))</f>
        <v>0</v>
      </c>
      <c r="AM583" s="96">
        <f>IF(R583=0,0,IF(K583="Sim",0,IF(OR(AND(AA583&gt;0,ISNUMBER(I583),ABS(I583-N(L583))&gt;cfg_tol),AL583=1),1,0)))</f>
        <v>0</v>
      </c>
      <c r="AN583" s="96">
        <f>IF(AND(R583=1,N(M583)&gt;0,OR(N(M583)&gt;=AK583-cfg_tol,K583="Sim")),1,0)</f>
        <v>0</v>
      </c>
      <c r="AO583" s="96">
        <f>IF(AND(AN583=1,AD583&gt;0,AE583=AD583,AL583=0),1,0)</f>
        <v>0</v>
      </c>
      <c r="AP583" s="96">
        <f>IF(U583=0,0,IF(AND(INDEX('MTRs'!$AX$6:$AX$505,T583)=1,Z583=0,OR(f_res="",f_res="(Todos)",C583=f_res)),1,0))</f>
        <v>0</v>
      </c>
      <c r="AQ583" s="97" t="str">
        <f>IF(U583=0,"",INDEX('MTRs'!$AZ$6:$AZ$505,T583))</f>
        <v/>
      </c>
      <c r="AR583" s="96">
        <f>IF(U583=0,0,IF(AND(INDEX('MTRs'!$BA$6:$BA$505,T583)=1,Z583=0),1,0))</f>
        <v>0</v>
      </c>
      <c r="AS583" s="96" t="str">
        <f>IF(R583=1,A583&amp;" | MTR "&amp;IF(U583=1,INDEX('MTRs'!$B$6:$B$505,T583)&amp;"","?")&amp;" | "&amp;IF(C583="","(sem resíduo)",C583),"")</f>
        <v/>
      </c>
      <c r="AT583" s="96" t="str">
        <f>IF(R583=1,COUNTIF($R$6:R583,1),"")</f>
        <v/>
      </c>
      <c r="AU583" s="96" t="str">
        <f>IF(U583=1,INDEX('MTRs'!$I$6:$I$505,T583)&amp;"","")</f>
        <v/>
      </c>
    </row>
    <row r="584">
      <c r="A584" s="89" t="inlineStr">
        <is>
          <t>IT-000579</t>
        </is>
      </c>
      <c r="B584" s="91" t="n"/>
      <c r="C584" s="91" t="n"/>
      <c r="D584" s="94" t="str">
        <f>IF(OR(R584=0,V584=0),"",INDEX('CAD_RESÍDUOS'!$E$6:$E$205,MATCH(C584,'CAD_RESÍDUOS'!$B$6:$B$205,0))&amp;"")</f>
        <v/>
      </c>
      <c r="E584" s="94" t="str">
        <f>IF(OR(R584=0,V584=0),"",INDEX('CAD_RESÍDUOS'!$C$6:$C$205,MATCH(C584,'CAD_RESÍDUOS'!$B$6:$B$205,0))&amp;"")</f>
        <v/>
      </c>
      <c r="F584" s="94" t="str">
        <f>IF(OR(R584=0,V584=0),"",INDEX('CAD_RESÍDUOS'!$G$6:$G$205,MATCH(C584,'CAD_RESÍDUOS'!$B$6:$B$205,0))&amp;"")</f>
        <v/>
      </c>
      <c r="G584" s="98" t="n"/>
      <c r="H584" s="91" t="n"/>
      <c r="I584" s="93" t="str">
        <f>IF(R584=0,"",IF(NOT(ISNUMBER(G584)),"",IF(ISNUMBER(X584),G584*X584,"UNIDADE A CONFERIR")))</f>
        <v/>
      </c>
      <c r="J584" s="91" t="n"/>
      <c r="K584" s="91" t="n"/>
      <c r="L584" s="93" t="str">
        <f>IF(R584=0,"",SUMIFS('RECEBIMENTOS'!$H$6:$H$1005,'RECEBIMENTOS'!$R$6:$R$1005,A584,'RECEBIMENTOS'!$X$6:$X$1005,1))</f>
        <v/>
      </c>
      <c r="M584" s="93" t="str">
        <f>IF(R584=0,"",SUMIFS('VÍNCULOS_CDF'!$H$6:$H$1005,'VÍNCULOS_CDF'!$R$6:$R$1005,A584,'VÍNCULOS_CDF'!$V$6:$V$1005,1))</f>
        <v/>
      </c>
      <c r="N584" s="99" t="str">
        <f>IF(OR(R584=0,AA584=0,NOT(ISNUMBER(I584))),"",I584-N(L584))</f>
        <v/>
      </c>
      <c r="O584" s="100" t="str">
        <f>IF(OR(R584=0,AK584&lt;=0),"",N(M584)/AK584)</f>
        <v/>
      </c>
      <c r="P584" s="94" t="str">
        <f>IF(R584=0,"",IF(S584="","Sem MTR associado",IF(U584=0,"MTR inexistente",IF(C584="","Resíduo não identificado",IF(V584=0,"Resíduo fora do cadastro",IF(W584=0,"Quantidade inválida",IF(H584="","Unidade não informada",IF(NOT(ISNUMBER(I584)),"Unidade a conferir",IF(AND(AH584=1,K584&lt;&gt;"Sim"),"Possível duplicidade",IF(Z584=1,"MTR cancelado",IF(AC584&gt;0,"Recebimento com alerta",IF(AA584=0,"Aguardando recebimento",IF(AB584&lt;AA584,"Recebimento a conferir",IF(AM584=1,"Quantidade a revisar",IF(AF584&gt;0,"Vínculo a revisar",IF(AD584=0,"Aguardando CDF",IF(AN584=0,"Vínculo de CDF parcial",IF(AE584&lt;AD584,"CDF a conferir","Documentação conferida"))))))))))))))))))</f>
        <v/>
      </c>
      <c r="Q584" s="93" t="str">
        <f>IF(OR(R584=0,AA584=0),"",MAX(0,N(L584)-N(M584)))</f>
        <v/>
      </c>
      <c r="R584" s="96">
        <f>IF(COUNTA(B584:C584,G584:H584,J584:K584)&gt;0,1,0)</f>
        <v>0</v>
      </c>
      <c r="S584" s="96" t="str">
        <f>IF(B584="","",TRIM(LEFT(B584,FIND(" |",B584&amp;" |")-1)))</f>
        <v/>
      </c>
      <c r="T584" s="96" t="str">
        <f>IF(S584="","",IFERROR(MATCH(S584,'MTRs'!$A$6:$A$505,0),""))</f>
        <v/>
      </c>
      <c r="U584" s="96">
        <f>IF(T584="",0,IF(INDEX('MTRs'!$Z$6:$Z$505,T584)=1,1,0))</f>
        <v>0</v>
      </c>
      <c r="V584" s="96">
        <f>IF(C584="",0,IF(ISNUMBER(MATCH(C584,'CAD_RESÍDUOS'!$B$6:$B$205,0)),1,0))</f>
        <v>0</v>
      </c>
      <c r="W584" s="96">
        <f>IF(AND(ISNUMBER(G584),G584&gt;0),1,0)</f>
        <v>0</v>
      </c>
      <c r="X584" s="96" t="str">
        <f>IF(H584="","",IFERROR(IF(ISNUMBER(INDEX(cfg_fac,MATCH(H584,cfg_units,0))),IF(INDEX(cfg_fac,MATCH(H584,cfg_units,0))&gt;0,INDEX(cfg_fac,MATCH(H584,cfg_units,0)),""),""),""))</f>
        <v/>
      </c>
      <c r="Y584" s="96">
        <f>IF(AND(W584=1,ISNUMBER(I584)),1,0)</f>
        <v>0</v>
      </c>
      <c r="Z584" s="96">
        <f>IF(U584=1,INDEX('MTRs'!$AA$6:$AA$505,T584),0)</f>
        <v>0</v>
      </c>
      <c r="AA584" s="96">
        <f>IF(R584=0,0,COUNTIFS('RECEBIMENTOS'!$R$6:$R$1005,A584,'RECEBIMENTOS'!$Q$6:$Q$1005,1))</f>
        <v>0</v>
      </c>
      <c r="AB584" s="96">
        <f>IF(R584=0,0,COUNTIFS('RECEBIMENTOS'!$R$6:$R$1005,A584,'RECEBIMENTOS'!$Z$6:$Z$1005,1))</f>
        <v>0</v>
      </c>
      <c r="AC584" s="96">
        <f>IF(R584=0,0,COUNTIFS('RECEBIMENTOS'!$R$6:$R$1005,A584,'RECEBIMENTOS'!$Y$6:$Y$1005,1))</f>
        <v>0</v>
      </c>
      <c r="AD584" s="96">
        <f>IF(R584=0,0,COUNTIFS('VÍNCULOS_CDF'!$R$6:$R$1005,A584,'VÍNCULOS_CDF'!$N$6:$N$1005,1))</f>
        <v>0</v>
      </c>
      <c r="AE584" s="96">
        <f>IF(R584=0,0,COUNTIFS('VÍNCULOS_CDF'!$R$6:$R$1005,A584,'VÍNCULOS_CDF'!$AA$6:$AA$1005,1))</f>
        <v>0</v>
      </c>
      <c r="AF584" s="96">
        <f>IF(R584=0,0,COUNTIFS('VÍNCULOS_CDF'!$R$6:$R$1005,A584,'VÍNCULOS_CDF'!$Y$6:$Y$1005,1))</f>
        <v>0</v>
      </c>
      <c r="AG584" s="96" t="str">
        <f>IF(AND(R584=1,S584&lt;&gt;"",C584&lt;&gt;""),S584&amp;"|"&amp;C584&amp;"|"&amp;G584&amp;"|"&amp;H584,"")</f>
        <v/>
      </c>
      <c r="AH584" s="96">
        <f>IF(AG584="",0,IF(SUMPRODUCT(--($AG$6:$AG$1005=AG584))&gt;1,1,0))</f>
        <v>0</v>
      </c>
      <c r="AI584" s="96">
        <f>IF(R584=0,0,IF(OR(U584=0,V584=0,Y584=0,AND(AH584=1,K584&lt;&gt;"Sim")),1,0))</f>
        <v>0</v>
      </c>
      <c r="AJ584" s="96">
        <f>IF(AND(R584=1,AA584&gt;0,AB584=AA584),1,0)</f>
        <v>0</v>
      </c>
      <c r="AK584" s="96">
        <f>IF(R584=0,0,IF(AA584&gt;0,N(L584),IF(ISNUMBER(I584),I584,0)))</f>
        <v>0</v>
      </c>
      <c r="AL584" s="96">
        <f>IF(R584=0,0,IF(AND(K584&lt;&gt;"Sim",N(M584)&gt;AK584+cfg_tol),1,0))</f>
        <v>0</v>
      </c>
      <c r="AM584" s="96">
        <f>IF(R584=0,0,IF(K584="Sim",0,IF(OR(AND(AA584&gt;0,ISNUMBER(I584),ABS(I584-N(L584))&gt;cfg_tol),AL584=1),1,0)))</f>
        <v>0</v>
      </c>
      <c r="AN584" s="96">
        <f>IF(AND(R584=1,N(M584)&gt;0,OR(N(M584)&gt;=AK584-cfg_tol,K584="Sim")),1,0)</f>
        <v>0</v>
      </c>
      <c r="AO584" s="96">
        <f>IF(AND(AN584=1,AD584&gt;0,AE584=AD584,AL584=0),1,0)</f>
        <v>0</v>
      </c>
      <c r="AP584" s="96">
        <f>IF(U584=0,0,IF(AND(INDEX('MTRs'!$AX$6:$AX$505,T584)=1,Z584=0,OR(f_res="",f_res="(Todos)",C584=f_res)),1,0))</f>
        <v>0</v>
      </c>
      <c r="AQ584" s="97" t="str">
        <f>IF(U584=0,"",INDEX('MTRs'!$AZ$6:$AZ$505,T584))</f>
        <v/>
      </c>
      <c r="AR584" s="96">
        <f>IF(U584=0,0,IF(AND(INDEX('MTRs'!$BA$6:$BA$505,T584)=1,Z584=0),1,0))</f>
        <v>0</v>
      </c>
      <c r="AS584" s="96" t="str">
        <f>IF(R584=1,A584&amp;" | MTR "&amp;IF(U584=1,INDEX('MTRs'!$B$6:$B$505,T584)&amp;"","?")&amp;" | "&amp;IF(C584="","(sem resíduo)",C584),"")</f>
        <v/>
      </c>
      <c r="AT584" s="96" t="str">
        <f>IF(R584=1,COUNTIF($R$6:R584,1),"")</f>
        <v/>
      </c>
      <c r="AU584" s="96" t="str">
        <f>IF(U584=1,INDEX('MTRs'!$I$6:$I$505,T584)&amp;"","")</f>
        <v/>
      </c>
    </row>
    <row r="585">
      <c r="A585" s="89" t="inlineStr">
        <is>
          <t>IT-000580</t>
        </is>
      </c>
      <c r="B585" s="91" t="n"/>
      <c r="C585" s="91" t="n"/>
      <c r="D585" s="94" t="str">
        <f>IF(OR(R585=0,V585=0),"",INDEX('CAD_RESÍDUOS'!$E$6:$E$205,MATCH(C585,'CAD_RESÍDUOS'!$B$6:$B$205,0))&amp;"")</f>
        <v/>
      </c>
      <c r="E585" s="94" t="str">
        <f>IF(OR(R585=0,V585=0),"",INDEX('CAD_RESÍDUOS'!$C$6:$C$205,MATCH(C585,'CAD_RESÍDUOS'!$B$6:$B$205,0))&amp;"")</f>
        <v/>
      </c>
      <c r="F585" s="94" t="str">
        <f>IF(OR(R585=0,V585=0),"",INDEX('CAD_RESÍDUOS'!$G$6:$G$205,MATCH(C585,'CAD_RESÍDUOS'!$B$6:$B$205,0))&amp;"")</f>
        <v/>
      </c>
      <c r="G585" s="98" t="n"/>
      <c r="H585" s="91" t="n"/>
      <c r="I585" s="93" t="str">
        <f>IF(R585=0,"",IF(NOT(ISNUMBER(G585)),"",IF(ISNUMBER(X585),G585*X585,"UNIDADE A CONFERIR")))</f>
        <v/>
      </c>
      <c r="J585" s="91" t="n"/>
      <c r="K585" s="91" t="n"/>
      <c r="L585" s="93" t="str">
        <f>IF(R585=0,"",SUMIFS('RECEBIMENTOS'!$H$6:$H$1005,'RECEBIMENTOS'!$R$6:$R$1005,A585,'RECEBIMENTOS'!$X$6:$X$1005,1))</f>
        <v/>
      </c>
      <c r="M585" s="93" t="str">
        <f>IF(R585=0,"",SUMIFS('VÍNCULOS_CDF'!$H$6:$H$1005,'VÍNCULOS_CDF'!$R$6:$R$1005,A585,'VÍNCULOS_CDF'!$V$6:$V$1005,1))</f>
        <v/>
      </c>
      <c r="N585" s="99" t="str">
        <f>IF(OR(R585=0,AA585=0,NOT(ISNUMBER(I585))),"",I585-N(L585))</f>
        <v/>
      </c>
      <c r="O585" s="100" t="str">
        <f>IF(OR(R585=0,AK585&lt;=0),"",N(M585)/AK585)</f>
        <v/>
      </c>
      <c r="P585" s="94" t="str">
        <f>IF(R585=0,"",IF(S585="","Sem MTR associado",IF(U585=0,"MTR inexistente",IF(C585="","Resíduo não identificado",IF(V585=0,"Resíduo fora do cadastro",IF(W585=0,"Quantidade inválida",IF(H585="","Unidade não informada",IF(NOT(ISNUMBER(I585)),"Unidade a conferir",IF(AND(AH585=1,K585&lt;&gt;"Sim"),"Possível duplicidade",IF(Z585=1,"MTR cancelado",IF(AC585&gt;0,"Recebimento com alerta",IF(AA585=0,"Aguardando recebimento",IF(AB585&lt;AA585,"Recebimento a conferir",IF(AM585=1,"Quantidade a revisar",IF(AF585&gt;0,"Vínculo a revisar",IF(AD585=0,"Aguardando CDF",IF(AN585=0,"Vínculo de CDF parcial",IF(AE585&lt;AD585,"CDF a conferir","Documentação conferida"))))))))))))))))))</f>
        <v/>
      </c>
      <c r="Q585" s="93" t="str">
        <f>IF(OR(R585=0,AA585=0),"",MAX(0,N(L585)-N(M585)))</f>
        <v/>
      </c>
      <c r="R585" s="96">
        <f>IF(COUNTA(B585:C585,G585:H585,J585:K585)&gt;0,1,0)</f>
        <v>0</v>
      </c>
      <c r="S585" s="96" t="str">
        <f>IF(B585="","",TRIM(LEFT(B585,FIND(" |",B585&amp;" |")-1)))</f>
        <v/>
      </c>
      <c r="T585" s="96" t="str">
        <f>IF(S585="","",IFERROR(MATCH(S585,'MTRs'!$A$6:$A$505,0),""))</f>
        <v/>
      </c>
      <c r="U585" s="96">
        <f>IF(T585="",0,IF(INDEX('MTRs'!$Z$6:$Z$505,T585)=1,1,0))</f>
        <v>0</v>
      </c>
      <c r="V585" s="96">
        <f>IF(C585="",0,IF(ISNUMBER(MATCH(C585,'CAD_RESÍDUOS'!$B$6:$B$205,0)),1,0))</f>
        <v>0</v>
      </c>
      <c r="W585" s="96">
        <f>IF(AND(ISNUMBER(G585),G585&gt;0),1,0)</f>
        <v>0</v>
      </c>
      <c r="X585" s="96" t="str">
        <f>IF(H585="","",IFERROR(IF(ISNUMBER(INDEX(cfg_fac,MATCH(H585,cfg_units,0))),IF(INDEX(cfg_fac,MATCH(H585,cfg_units,0))&gt;0,INDEX(cfg_fac,MATCH(H585,cfg_units,0)),""),""),""))</f>
        <v/>
      </c>
      <c r="Y585" s="96">
        <f>IF(AND(W585=1,ISNUMBER(I585)),1,0)</f>
        <v>0</v>
      </c>
      <c r="Z585" s="96">
        <f>IF(U585=1,INDEX('MTRs'!$AA$6:$AA$505,T585),0)</f>
        <v>0</v>
      </c>
      <c r="AA585" s="96">
        <f>IF(R585=0,0,COUNTIFS('RECEBIMENTOS'!$R$6:$R$1005,A585,'RECEBIMENTOS'!$Q$6:$Q$1005,1))</f>
        <v>0</v>
      </c>
      <c r="AB585" s="96">
        <f>IF(R585=0,0,COUNTIFS('RECEBIMENTOS'!$R$6:$R$1005,A585,'RECEBIMENTOS'!$Z$6:$Z$1005,1))</f>
        <v>0</v>
      </c>
      <c r="AC585" s="96">
        <f>IF(R585=0,0,COUNTIFS('RECEBIMENTOS'!$R$6:$R$1005,A585,'RECEBIMENTOS'!$Y$6:$Y$1005,1))</f>
        <v>0</v>
      </c>
      <c r="AD585" s="96">
        <f>IF(R585=0,0,COUNTIFS('VÍNCULOS_CDF'!$R$6:$R$1005,A585,'VÍNCULOS_CDF'!$N$6:$N$1005,1))</f>
        <v>0</v>
      </c>
      <c r="AE585" s="96">
        <f>IF(R585=0,0,COUNTIFS('VÍNCULOS_CDF'!$R$6:$R$1005,A585,'VÍNCULOS_CDF'!$AA$6:$AA$1005,1))</f>
        <v>0</v>
      </c>
      <c r="AF585" s="96">
        <f>IF(R585=0,0,COUNTIFS('VÍNCULOS_CDF'!$R$6:$R$1005,A585,'VÍNCULOS_CDF'!$Y$6:$Y$1005,1))</f>
        <v>0</v>
      </c>
      <c r="AG585" s="96" t="str">
        <f>IF(AND(R585=1,S585&lt;&gt;"",C585&lt;&gt;""),S585&amp;"|"&amp;C585&amp;"|"&amp;G585&amp;"|"&amp;H585,"")</f>
        <v/>
      </c>
      <c r="AH585" s="96">
        <f>IF(AG585="",0,IF(SUMPRODUCT(--($AG$6:$AG$1005=AG585))&gt;1,1,0))</f>
        <v>0</v>
      </c>
      <c r="AI585" s="96">
        <f>IF(R585=0,0,IF(OR(U585=0,V585=0,Y585=0,AND(AH585=1,K585&lt;&gt;"Sim")),1,0))</f>
        <v>0</v>
      </c>
      <c r="AJ585" s="96">
        <f>IF(AND(R585=1,AA585&gt;0,AB585=AA585),1,0)</f>
        <v>0</v>
      </c>
      <c r="AK585" s="96">
        <f>IF(R585=0,0,IF(AA585&gt;0,N(L585),IF(ISNUMBER(I585),I585,0)))</f>
        <v>0</v>
      </c>
      <c r="AL585" s="96">
        <f>IF(R585=0,0,IF(AND(K585&lt;&gt;"Sim",N(M585)&gt;AK585+cfg_tol),1,0))</f>
        <v>0</v>
      </c>
      <c r="AM585" s="96">
        <f>IF(R585=0,0,IF(K585="Sim",0,IF(OR(AND(AA585&gt;0,ISNUMBER(I585),ABS(I585-N(L585))&gt;cfg_tol),AL585=1),1,0)))</f>
        <v>0</v>
      </c>
      <c r="AN585" s="96">
        <f>IF(AND(R585=1,N(M585)&gt;0,OR(N(M585)&gt;=AK585-cfg_tol,K585="Sim")),1,0)</f>
        <v>0</v>
      </c>
      <c r="AO585" s="96">
        <f>IF(AND(AN585=1,AD585&gt;0,AE585=AD585,AL585=0),1,0)</f>
        <v>0</v>
      </c>
      <c r="AP585" s="96">
        <f>IF(U585=0,0,IF(AND(INDEX('MTRs'!$AX$6:$AX$505,T585)=1,Z585=0,OR(f_res="",f_res="(Todos)",C585=f_res)),1,0))</f>
        <v>0</v>
      </c>
      <c r="AQ585" s="97" t="str">
        <f>IF(U585=0,"",INDEX('MTRs'!$AZ$6:$AZ$505,T585))</f>
        <v/>
      </c>
      <c r="AR585" s="96">
        <f>IF(U585=0,0,IF(AND(INDEX('MTRs'!$BA$6:$BA$505,T585)=1,Z585=0),1,0))</f>
        <v>0</v>
      </c>
      <c r="AS585" s="96" t="str">
        <f>IF(R585=1,A585&amp;" | MTR "&amp;IF(U585=1,INDEX('MTRs'!$B$6:$B$505,T585)&amp;"","?")&amp;" | "&amp;IF(C585="","(sem resíduo)",C585),"")</f>
        <v/>
      </c>
      <c r="AT585" s="96" t="str">
        <f>IF(R585=1,COUNTIF($R$6:R585,1),"")</f>
        <v/>
      </c>
      <c r="AU585" s="96" t="str">
        <f>IF(U585=1,INDEX('MTRs'!$I$6:$I$505,T585)&amp;"","")</f>
        <v/>
      </c>
    </row>
    <row r="586">
      <c r="A586" s="89" t="inlineStr">
        <is>
          <t>IT-000581</t>
        </is>
      </c>
      <c r="B586" s="91" t="n"/>
      <c r="C586" s="91" t="n"/>
      <c r="D586" s="94" t="str">
        <f>IF(OR(R586=0,V586=0),"",INDEX('CAD_RESÍDUOS'!$E$6:$E$205,MATCH(C586,'CAD_RESÍDUOS'!$B$6:$B$205,0))&amp;"")</f>
        <v/>
      </c>
      <c r="E586" s="94" t="str">
        <f>IF(OR(R586=0,V586=0),"",INDEX('CAD_RESÍDUOS'!$C$6:$C$205,MATCH(C586,'CAD_RESÍDUOS'!$B$6:$B$205,0))&amp;"")</f>
        <v/>
      </c>
      <c r="F586" s="94" t="str">
        <f>IF(OR(R586=0,V586=0),"",INDEX('CAD_RESÍDUOS'!$G$6:$G$205,MATCH(C586,'CAD_RESÍDUOS'!$B$6:$B$205,0))&amp;"")</f>
        <v/>
      </c>
      <c r="G586" s="98" t="n"/>
      <c r="H586" s="91" t="n"/>
      <c r="I586" s="93" t="str">
        <f>IF(R586=0,"",IF(NOT(ISNUMBER(G586)),"",IF(ISNUMBER(X586),G586*X586,"UNIDADE A CONFERIR")))</f>
        <v/>
      </c>
      <c r="J586" s="91" t="n"/>
      <c r="K586" s="91" t="n"/>
      <c r="L586" s="93" t="str">
        <f>IF(R586=0,"",SUMIFS('RECEBIMENTOS'!$H$6:$H$1005,'RECEBIMENTOS'!$R$6:$R$1005,A586,'RECEBIMENTOS'!$X$6:$X$1005,1))</f>
        <v/>
      </c>
      <c r="M586" s="93" t="str">
        <f>IF(R586=0,"",SUMIFS('VÍNCULOS_CDF'!$H$6:$H$1005,'VÍNCULOS_CDF'!$R$6:$R$1005,A586,'VÍNCULOS_CDF'!$V$6:$V$1005,1))</f>
        <v/>
      </c>
      <c r="N586" s="99" t="str">
        <f>IF(OR(R586=0,AA586=0,NOT(ISNUMBER(I586))),"",I586-N(L586))</f>
        <v/>
      </c>
      <c r="O586" s="100" t="str">
        <f>IF(OR(R586=0,AK586&lt;=0),"",N(M586)/AK586)</f>
        <v/>
      </c>
      <c r="P586" s="94" t="str">
        <f>IF(R586=0,"",IF(S586="","Sem MTR associado",IF(U586=0,"MTR inexistente",IF(C586="","Resíduo não identificado",IF(V586=0,"Resíduo fora do cadastro",IF(W586=0,"Quantidade inválida",IF(H586="","Unidade não informada",IF(NOT(ISNUMBER(I586)),"Unidade a conferir",IF(AND(AH586=1,K586&lt;&gt;"Sim"),"Possível duplicidade",IF(Z586=1,"MTR cancelado",IF(AC586&gt;0,"Recebimento com alerta",IF(AA586=0,"Aguardando recebimento",IF(AB586&lt;AA586,"Recebimento a conferir",IF(AM586=1,"Quantidade a revisar",IF(AF586&gt;0,"Vínculo a revisar",IF(AD586=0,"Aguardando CDF",IF(AN586=0,"Vínculo de CDF parcial",IF(AE586&lt;AD586,"CDF a conferir","Documentação conferida"))))))))))))))))))</f>
        <v/>
      </c>
      <c r="Q586" s="93" t="str">
        <f>IF(OR(R586=0,AA586=0),"",MAX(0,N(L586)-N(M586)))</f>
        <v/>
      </c>
      <c r="R586" s="96">
        <f>IF(COUNTA(B586:C586,G586:H586,J586:K586)&gt;0,1,0)</f>
        <v>0</v>
      </c>
      <c r="S586" s="96" t="str">
        <f>IF(B586="","",TRIM(LEFT(B586,FIND(" |",B586&amp;" |")-1)))</f>
        <v/>
      </c>
      <c r="T586" s="96" t="str">
        <f>IF(S586="","",IFERROR(MATCH(S586,'MTRs'!$A$6:$A$505,0),""))</f>
        <v/>
      </c>
      <c r="U586" s="96">
        <f>IF(T586="",0,IF(INDEX('MTRs'!$Z$6:$Z$505,T586)=1,1,0))</f>
        <v>0</v>
      </c>
      <c r="V586" s="96">
        <f>IF(C586="",0,IF(ISNUMBER(MATCH(C586,'CAD_RESÍDUOS'!$B$6:$B$205,0)),1,0))</f>
        <v>0</v>
      </c>
      <c r="W586" s="96">
        <f>IF(AND(ISNUMBER(G586),G586&gt;0),1,0)</f>
        <v>0</v>
      </c>
      <c r="X586" s="96" t="str">
        <f>IF(H586="","",IFERROR(IF(ISNUMBER(INDEX(cfg_fac,MATCH(H586,cfg_units,0))),IF(INDEX(cfg_fac,MATCH(H586,cfg_units,0))&gt;0,INDEX(cfg_fac,MATCH(H586,cfg_units,0)),""),""),""))</f>
        <v/>
      </c>
      <c r="Y586" s="96">
        <f>IF(AND(W586=1,ISNUMBER(I586)),1,0)</f>
        <v>0</v>
      </c>
      <c r="Z586" s="96">
        <f>IF(U586=1,INDEX('MTRs'!$AA$6:$AA$505,T586),0)</f>
        <v>0</v>
      </c>
      <c r="AA586" s="96">
        <f>IF(R586=0,0,COUNTIFS('RECEBIMENTOS'!$R$6:$R$1005,A586,'RECEBIMENTOS'!$Q$6:$Q$1005,1))</f>
        <v>0</v>
      </c>
      <c r="AB586" s="96">
        <f>IF(R586=0,0,COUNTIFS('RECEBIMENTOS'!$R$6:$R$1005,A586,'RECEBIMENTOS'!$Z$6:$Z$1005,1))</f>
        <v>0</v>
      </c>
      <c r="AC586" s="96">
        <f>IF(R586=0,0,COUNTIFS('RECEBIMENTOS'!$R$6:$R$1005,A586,'RECEBIMENTOS'!$Y$6:$Y$1005,1))</f>
        <v>0</v>
      </c>
      <c r="AD586" s="96">
        <f>IF(R586=0,0,COUNTIFS('VÍNCULOS_CDF'!$R$6:$R$1005,A586,'VÍNCULOS_CDF'!$N$6:$N$1005,1))</f>
        <v>0</v>
      </c>
      <c r="AE586" s="96">
        <f>IF(R586=0,0,COUNTIFS('VÍNCULOS_CDF'!$R$6:$R$1005,A586,'VÍNCULOS_CDF'!$AA$6:$AA$1005,1))</f>
        <v>0</v>
      </c>
      <c r="AF586" s="96">
        <f>IF(R586=0,0,COUNTIFS('VÍNCULOS_CDF'!$R$6:$R$1005,A586,'VÍNCULOS_CDF'!$Y$6:$Y$1005,1))</f>
        <v>0</v>
      </c>
      <c r="AG586" s="96" t="str">
        <f>IF(AND(R586=1,S586&lt;&gt;"",C586&lt;&gt;""),S586&amp;"|"&amp;C586&amp;"|"&amp;G586&amp;"|"&amp;H586,"")</f>
        <v/>
      </c>
      <c r="AH586" s="96">
        <f>IF(AG586="",0,IF(SUMPRODUCT(--($AG$6:$AG$1005=AG586))&gt;1,1,0))</f>
        <v>0</v>
      </c>
      <c r="AI586" s="96">
        <f>IF(R586=0,0,IF(OR(U586=0,V586=0,Y586=0,AND(AH586=1,K586&lt;&gt;"Sim")),1,0))</f>
        <v>0</v>
      </c>
      <c r="AJ586" s="96">
        <f>IF(AND(R586=1,AA586&gt;0,AB586=AA586),1,0)</f>
        <v>0</v>
      </c>
      <c r="AK586" s="96">
        <f>IF(R586=0,0,IF(AA586&gt;0,N(L586),IF(ISNUMBER(I586),I586,0)))</f>
        <v>0</v>
      </c>
      <c r="AL586" s="96">
        <f>IF(R586=0,0,IF(AND(K586&lt;&gt;"Sim",N(M586)&gt;AK586+cfg_tol),1,0))</f>
        <v>0</v>
      </c>
      <c r="AM586" s="96">
        <f>IF(R586=0,0,IF(K586="Sim",0,IF(OR(AND(AA586&gt;0,ISNUMBER(I586),ABS(I586-N(L586))&gt;cfg_tol),AL586=1),1,0)))</f>
        <v>0</v>
      </c>
      <c r="AN586" s="96">
        <f>IF(AND(R586=1,N(M586)&gt;0,OR(N(M586)&gt;=AK586-cfg_tol,K586="Sim")),1,0)</f>
        <v>0</v>
      </c>
      <c r="AO586" s="96">
        <f>IF(AND(AN586=1,AD586&gt;0,AE586=AD586,AL586=0),1,0)</f>
        <v>0</v>
      </c>
      <c r="AP586" s="96">
        <f>IF(U586=0,0,IF(AND(INDEX('MTRs'!$AX$6:$AX$505,T586)=1,Z586=0,OR(f_res="",f_res="(Todos)",C586=f_res)),1,0))</f>
        <v>0</v>
      </c>
      <c r="AQ586" s="97" t="str">
        <f>IF(U586=0,"",INDEX('MTRs'!$AZ$6:$AZ$505,T586))</f>
        <v/>
      </c>
      <c r="AR586" s="96">
        <f>IF(U586=0,0,IF(AND(INDEX('MTRs'!$BA$6:$BA$505,T586)=1,Z586=0),1,0))</f>
        <v>0</v>
      </c>
      <c r="AS586" s="96" t="str">
        <f>IF(R586=1,A586&amp;" | MTR "&amp;IF(U586=1,INDEX('MTRs'!$B$6:$B$505,T586)&amp;"","?")&amp;" | "&amp;IF(C586="","(sem resíduo)",C586),"")</f>
        <v/>
      </c>
      <c r="AT586" s="96" t="str">
        <f>IF(R586=1,COUNTIF($R$6:R586,1),"")</f>
        <v/>
      </c>
      <c r="AU586" s="96" t="str">
        <f>IF(U586=1,INDEX('MTRs'!$I$6:$I$505,T586)&amp;"","")</f>
        <v/>
      </c>
    </row>
    <row r="587">
      <c r="A587" s="89" t="inlineStr">
        <is>
          <t>IT-000582</t>
        </is>
      </c>
      <c r="B587" s="91" t="n"/>
      <c r="C587" s="91" t="n"/>
      <c r="D587" s="94" t="str">
        <f>IF(OR(R587=0,V587=0),"",INDEX('CAD_RESÍDUOS'!$E$6:$E$205,MATCH(C587,'CAD_RESÍDUOS'!$B$6:$B$205,0))&amp;"")</f>
        <v/>
      </c>
      <c r="E587" s="94" t="str">
        <f>IF(OR(R587=0,V587=0),"",INDEX('CAD_RESÍDUOS'!$C$6:$C$205,MATCH(C587,'CAD_RESÍDUOS'!$B$6:$B$205,0))&amp;"")</f>
        <v/>
      </c>
      <c r="F587" s="94" t="str">
        <f>IF(OR(R587=0,V587=0),"",INDEX('CAD_RESÍDUOS'!$G$6:$G$205,MATCH(C587,'CAD_RESÍDUOS'!$B$6:$B$205,0))&amp;"")</f>
        <v/>
      </c>
      <c r="G587" s="98" t="n"/>
      <c r="H587" s="91" t="n"/>
      <c r="I587" s="93" t="str">
        <f>IF(R587=0,"",IF(NOT(ISNUMBER(G587)),"",IF(ISNUMBER(X587),G587*X587,"UNIDADE A CONFERIR")))</f>
        <v/>
      </c>
      <c r="J587" s="91" t="n"/>
      <c r="K587" s="91" t="n"/>
      <c r="L587" s="93" t="str">
        <f>IF(R587=0,"",SUMIFS('RECEBIMENTOS'!$H$6:$H$1005,'RECEBIMENTOS'!$R$6:$R$1005,A587,'RECEBIMENTOS'!$X$6:$X$1005,1))</f>
        <v/>
      </c>
      <c r="M587" s="93" t="str">
        <f>IF(R587=0,"",SUMIFS('VÍNCULOS_CDF'!$H$6:$H$1005,'VÍNCULOS_CDF'!$R$6:$R$1005,A587,'VÍNCULOS_CDF'!$V$6:$V$1005,1))</f>
        <v/>
      </c>
      <c r="N587" s="99" t="str">
        <f>IF(OR(R587=0,AA587=0,NOT(ISNUMBER(I587))),"",I587-N(L587))</f>
        <v/>
      </c>
      <c r="O587" s="100" t="str">
        <f>IF(OR(R587=0,AK587&lt;=0),"",N(M587)/AK587)</f>
        <v/>
      </c>
      <c r="P587" s="94" t="str">
        <f>IF(R587=0,"",IF(S587="","Sem MTR associado",IF(U587=0,"MTR inexistente",IF(C587="","Resíduo não identificado",IF(V587=0,"Resíduo fora do cadastro",IF(W587=0,"Quantidade inválida",IF(H587="","Unidade não informada",IF(NOT(ISNUMBER(I587)),"Unidade a conferir",IF(AND(AH587=1,K587&lt;&gt;"Sim"),"Possível duplicidade",IF(Z587=1,"MTR cancelado",IF(AC587&gt;0,"Recebimento com alerta",IF(AA587=0,"Aguardando recebimento",IF(AB587&lt;AA587,"Recebimento a conferir",IF(AM587=1,"Quantidade a revisar",IF(AF587&gt;0,"Vínculo a revisar",IF(AD587=0,"Aguardando CDF",IF(AN587=0,"Vínculo de CDF parcial",IF(AE587&lt;AD587,"CDF a conferir","Documentação conferida"))))))))))))))))))</f>
        <v/>
      </c>
      <c r="Q587" s="93" t="str">
        <f>IF(OR(R587=0,AA587=0),"",MAX(0,N(L587)-N(M587)))</f>
        <v/>
      </c>
      <c r="R587" s="96">
        <f>IF(COUNTA(B587:C587,G587:H587,J587:K587)&gt;0,1,0)</f>
        <v>0</v>
      </c>
      <c r="S587" s="96" t="str">
        <f>IF(B587="","",TRIM(LEFT(B587,FIND(" |",B587&amp;" |")-1)))</f>
        <v/>
      </c>
      <c r="T587" s="96" t="str">
        <f>IF(S587="","",IFERROR(MATCH(S587,'MTRs'!$A$6:$A$505,0),""))</f>
        <v/>
      </c>
      <c r="U587" s="96">
        <f>IF(T587="",0,IF(INDEX('MTRs'!$Z$6:$Z$505,T587)=1,1,0))</f>
        <v>0</v>
      </c>
      <c r="V587" s="96">
        <f>IF(C587="",0,IF(ISNUMBER(MATCH(C587,'CAD_RESÍDUOS'!$B$6:$B$205,0)),1,0))</f>
        <v>0</v>
      </c>
      <c r="W587" s="96">
        <f>IF(AND(ISNUMBER(G587),G587&gt;0),1,0)</f>
        <v>0</v>
      </c>
      <c r="X587" s="96" t="str">
        <f>IF(H587="","",IFERROR(IF(ISNUMBER(INDEX(cfg_fac,MATCH(H587,cfg_units,0))),IF(INDEX(cfg_fac,MATCH(H587,cfg_units,0))&gt;0,INDEX(cfg_fac,MATCH(H587,cfg_units,0)),""),""),""))</f>
        <v/>
      </c>
      <c r="Y587" s="96">
        <f>IF(AND(W587=1,ISNUMBER(I587)),1,0)</f>
        <v>0</v>
      </c>
      <c r="Z587" s="96">
        <f>IF(U587=1,INDEX('MTRs'!$AA$6:$AA$505,T587),0)</f>
        <v>0</v>
      </c>
      <c r="AA587" s="96">
        <f>IF(R587=0,0,COUNTIFS('RECEBIMENTOS'!$R$6:$R$1005,A587,'RECEBIMENTOS'!$Q$6:$Q$1005,1))</f>
        <v>0</v>
      </c>
      <c r="AB587" s="96">
        <f>IF(R587=0,0,COUNTIFS('RECEBIMENTOS'!$R$6:$R$1005,A587,'RECEBIMENTOS'!$Z$6:$Z$1005,1))</f>
        <v>0</v>
      </c>
      <c r="AC587" s="96">
        <f>IF(R587=0,0,COUNTIFS('RECEBIMENTOS'!$R$6:$R$1005,A587,'RECEBIMENTOS'!$Y$6:$Y$1005,1))</f>
        <v>0</v>
      </c>
      <c r="AD587" s="96">
        <f>IF(R587=0,0,COUNTIFS('VÍNCULOS_CDF'!$R$6:$R$1005,A587,'VÍNCULOS_CDF'!$N$6:$N$1005,1))</f>
        <v>0</v>
      </c>
      <c r="AE587" s="96">
        <f>IF(R587=0,0,COUNTIFS('VÍNCULOS_CDF'!$R$6:$R$1005,A587,'VÍNCULOS_CDF'!$AA$6:$AA$1005,1))</f>
        <v>0</v>
      </c>
      <c r="AF587" s="96">
        <f>IF(R587=0,0,COUNTIFS('VÍNCULOS_CDF'!$R$6:$R$1005,A587,'VÍNCULOS_CDF'!$Y$6:$Y$1005,1))</f>
        <v>0</v>
      </c>
      <c r="AG587" s="96" t="str">
        <f>IF(AND(R587=1,S587&lt;&gt;"",C587&lt;&gt;""),S587&amp;"|"&amp;C587&amp;"|"&amp;G587&amp;"|"&amp;H587,"")</f>
        <v/>
      </c>
      <c r="AH587" s="96">
        <f>IF(AG587="",0,IF(SUMPRODUCT(--($AG$6:$AG$1005=AG587))&gt;1,1,0))</f>
        <v>0</v>
      </c>
      <c r="AI587" s="96">
        <f>IF(R587=0,0,IF(OR(U587=0,V587=0,Y587=0,AND(AH587=1,K587&lt;&gt;"Sim")),1,0))</f>
        <v>0</v>
      </c>
      <c r="AJ587" s="96">
        <f>IF(AND(R587=1,AA587&gt;0,AB587=AA587),1,0)</f>
        <v>0</v>
      </c>
      <c r="AK587" s="96">
        <f>IF(R587=0,0,IF(AA587&gt;0,N(L587),IF(ISNUMBER(I587),I587,0)))</f>
        <v>0</v>
      </c>
      <c r="AL587" s="96">
        <f>IF(R587=0,0,IF(AND(K587&lt;&gt;"Sim",N(M587)&gt;AK587+cfg_tol),1,0))</f>
        <v>0</v>
      </c>
      <c r="AM587" s="96">
        <f>IF(R587=0,0,IF(K587="Sim",0,IF(OR(AND(AA587&gt;0,ISNUMBER(I587),ABS(I587-N(L587))&gt;cfg_tol),AL587=1),1,0)))</f>
        <v>0</v>
      </c>
      <c r="AN587" s="96">
        <f>IF(AND(R587=1,N(M587)&gt;0,OR(N(M587)&gt;=AK587-cfg_tol,K587="Sim")),1,0)</f>
        <v>0</v>
      </c>
      <c r="AO587" s="96">
        <f>IF(AND(AN587=1,AD587&gt;0,AE587=AD587,AL587=0),1,0)</f>
        <v>0</v>
      </c>
      <c r="AP587" s="96">
        <f>IF(U587=0,0,IF(AND(INDEX('MTRs'!$AX$6:$AX$505,T587)=1,Z587=0,OR(f_res="",f_res="(Todos)",C587=f_res)),1,0))</f>
        <v>0</v>
      </c>
      <c r="AQ587" s="97" t="str">
        <f>IF(U587=0,"",INDEX('MTRs'!$AZ$6:$AZ$505,T587))</f>
        <v/>
      </c>
      <c r="AR587" s="96">
        <f>IF(U587=0,0,IF(AND(INDEX('MTRs'!$BA$6:$BA$505,T587)=1,Z587=0),1,0))</f>
        <v>0</v>
      </c>
      <c r="AS587" s="96" t="str">
        <f>IF(R587=1,A587&amp;" | MTR "&amp;IF(U587=1,INDEX('MTRs'!$B$6:$B$505,T587)&amp;"","?")&amp;" | "&amp;IF(C587="","(sem resíduo)",C587),"")</f>
        <v/>
      </c>
      <c r="AT587" s="96" t="str">
        <f>IF(R587=1,COUNTIF($R$6:R587,1),"")</f>
        <v/>
      </c>
      <c r="AU587" s="96" t="str">
        <f>IF(U587=1,INDEX('MTRs'!$I$6:$I$505,T587)&amp;"","")</f>
        <v/>
      </c>
    </row>
    <row r="588">
      <c r="A588" s="89" t="inlineStr">
        <is>
          <t>IT-000583</t>
        </is>
      </c>
      <c r="B588" s="91" t="n"/>
      <c r="C588" s="91" t="n"/>
      <c r="D588" s="94" t="str">
        <f>IF(OR(R588=0,V588=0),"",INDEX('CAD_RESÍDUOS'!$E$6:$E$205,MATCH(C588,'CAD_RESÍDUOS'!$B$6:$B$205,0))&amp;"")</f>
        <v/>
      </c>
      <c r="E588" s="94" t="str">
        <f>IF(OR(R588=0,V588=0),"",INDEX('CAD_RESÍDUOS'!$C$6:$C$205,MATCH(C588,'CAD_RESÍDUOS'!$B$6:$B$205,0))&amp;"")</f>
        <v/>
      </c>
      <c r="F588" s="94" t="str">
        <f>IF(OR(R588=0,V588=0),"",INDEX('CAD_RESÍDUOS'!$G$6:$G$205,MATCH(C588,'CAD_RESÍDUOS'!$B$6:$B$205,0))&amp;"")</f>
        <v/>
      </c>
      <c r="G588" s="98" t="n"/>
      <c r="H588" s="91" t="n"/>
      <c r="I588" s="93" t="str">
        <f>IF(R588=0,"",IF(NOT(ISNUMBER(G588)),"",IF(ISNUMBER(X588),G588*X588,"UNIDADE A CONFERIR")))</f>
        <v/>
      </c>
      <c r="J588" s="91" t="n"/>
      <c r="K588" s="91" t="n"/>
      <c r="L588" s="93" t="str">
        <f>IF(R588=0,"",SUMIFS('RECEBIMENTOS'!$H$6:$H$1005,'RECEBIMENTOS'!$R$6:$R$1005,A588,'RECEBIMENTOS'!$X$6:$X$1005,1))</f>
        <v/>
      </c>
      <c r="M588" s="93" t="str">
        <f>IF(R588=0,"",SUMIFS('VÍNCULOS_CDF'!$H$6:$H$1005,'VÍNCULOS_CDF'!$R$6:$R$1005,A588,'VÍNCULOS_CDF'!$V$6:$V$1005,1))</f>
        <v/>
      </c>
      <c r="N588" s="99" t="str">
        <f>IF(OR(R588=0,AA588=0,NOT(ISNUMBER(I588))),"",I588-N(L588))</f>
        <v/>
      </c>
      <c r="O588" s="100" t="str">
        <f>IF(OR(R588=0,AK588&lt;=0),"",N(M588)/AK588)</f>
        <v/>
      </c>
      <c r="P588" s="94" t="str">
        <f>IF(R588=0,"",IF(S588="","Sem MTR associado",IF(U588=0,"MTR inexistente",IF(C588="","Resíduo não identificado",IF(V588=0,"Resíduo fora do cadastro",IF(W588=0,"Quantidade inválida",IF(H588="","Unidade não informada",IF(NOT(ISNUMBER(I588)),"Unidade a conferir",IF(AND(AH588=1,K588&lt;&gt;"Sim"),"Possível duplicidade",IF(Z588=1,"MTR cancelado",IF(AC588&gt;0,"Recebimento com alerta",IF(AA588=0,"Aguardando recebimento",IF(AB588&lt;AA588,"Recebimento a conferir",IF(AM588=1,"Quantidade a revisar",IF(AF588&gt;0,"Vínculo a revisar",IF(AD588=0,"Aguardando CDF",IF(AN588=0,"Vínculo de CDF parcial",IF(AE588&lt;AD588,"CDF a conferir","Documentação conferida"))))))))))))))))))</f>
        <v/>
      </c>
      <c r="Q588" s="93" t="str">
        <f>IF(OR(R588=0,AA588=0),"",MAX(0,N(L588)-N(M588)))</f>
        <v/>
      </c>
      <c r="R588" s="96">
        <f>IF(COUNTA(B588:C588,G588:H588,J588:K588)&gt;0,1,0)</f>
        <v>0</v>
      </c>
      <c r="S588" s="96" t="str">
        <f>IF(B588="","",TRIM(LEFT(B588,FIND(" |",B588&amp;" |")-1)))</f>
        <v/>
      </c>
      <c r="T588" s="96" t="str">
        <f>IF(S588="","",IFERROR(MATCH(S588,'MTRs'!$A$6:$A$505,0),""))</f>
        <v/>
      </c>
      <c r="U588" s="96">
        <f>IF(T588="",0,IF(INDEX('MTRs'!$Z$6:$Z$505,T588)=1,1,0))</f>
        <v>0</v>
      </c>
      <c r="V588" s="96">
        <f>IF(C588="",0,IF(ISNUMBER(MATCH(C588,'CAD_RESÍDUOS'!$B$6:$B$205,0)),1,0))</f>
        <v>0</v>
      </c>
      <c r="W588" s="96">
        <f>IF(AND(ISNUMBER(G588),G588&gt;0),1,0)</f>
        <v>0</v>
      </c>
      <c r="X588" s="96" t="str">
        <f>IF(H588="","",IFERROR(IF(ISNUMBER(INDEX(cfg_fac,MATCH(H588,cfg_units,0))),IF(INDEX(cfg_fac,MATCH(H588,cfg_units,0))&gt;0,INDEX(cfg_fac,MATCH(H588,cfg_units,0)),""),""),""))</f>
        <v/>
      </c>
      <c r="Y588" s="96">
        <f>IF(AND(W588=1,ISNUMBER(I588)),1,0)</f>
        <v>0</v>
      </c>
      <c r="Z588" s="96">
        <f>IF(U588=1,INDEX('MTRs'!$AA$6:$AA$505,T588),0)</f>
        <v>0</v>
      </c>
      <c r="AA588" s="96">
        <f>IF(R588=0,0,COUNTIFS('RECEBIMENTOS'!$R$6:$R$1005,A588,'RECEBIMENTOS'!$Q$6:$Q$1005,1))</f>
        <v>0</v>
      </c>
      <c r="AB588" s="96">
        <f>IF(R588=0,0,COUNTIFS('RECEBIMENTOS'!$R$6:$R$1005,A588,'RECEBIMENTOS'!$Z$6:$Z$1005,1))</f>
        <v>0</v>
      </c>
      <c r="AC588" s="96">
        <f>IF(R588=0,0,COUNTIFS('RECEBIMENTOS'!$R$6:$R$1005,A588,'RECEBIMENTOS'!$Y$6:$Y$1005,1))</f>
        <v>0</v>
      </c>
      <c r="AD588" s="96">
        <f>IF(R588=0,0,COUNTIFS('VÍNCULOS_CDF'!$R$6:$R$1005,A588,'VÍNCULOS_CDF'!$N$6:$N$1005,1))</f>
        <v>0</v>
      </c>
      <c r="AE588" s="96">
        <f>IF(R588=0,0,COUNTIFS('VÍNCULOS_CDF'!$R$6:$R$1005,A588,'VÍNCULOS_CDF'!$AA$6:$AA$1005,1))</f>
        <v>0</v>
      </c>
      <c r="AF588" s="96">
        <f>IF(R588=0,0,COUNTIFS('VÍNCULOS_CDF'!$R$6:$R$1005,A588,'VÍNCULOS_CDF'!$Y$6:$Y$1005,1))</f>
        <v>0</v>
      </c>
      <c r="AG588" s="96" t="str">
        <f>IF(AND(R588=1,S588&lt;&gt;"",C588&lt;&gt;""),S588&amp;"|"&amp;C588&amp;"|"&amp;G588&amp;"|"&amp;H588,"")</f>
        <v/>
      </c>
      <c r="AH588" s="96">
        <f>IF(AG588="",0,IF(SUMPRODUCT(--($AG$6:$AG$1005=AG588))&gt;1,1,0))</f>
        <v>0</v>
      </c>
      <c r="AI588" s="96">
        <f>IF(R588=0,0,IF(OR(U588=0,V588=0,Y588=0,AND(AH588=1,K588&lt;&gt;"Sim")),1,0))</f>
        <v>0</v>
      </c>
      <c r="AJ588" s="96">
        <f>IF(AND(R588=1,AA588&gt;0,AB588=AA588),1,0)</f>
        <v>0</v>
      </c>
      <c r="AK588" s="96">
        <f>IF(R588=0,0,IF(AA588&gt;0,N(L588),IF(ISNUMBER(I588),I588,0)))</f>
        <v>0</v>
      </c>
      <c r="AL588" s="96">
        <f>IF(R588=0,0,IF(AND(K588&lt;&gt;"Sim",N(M588)&gt;AK588+cfg_tol),1,0))</f>
        <v>0</v>
      </c>
      <c r="AM588" s="96">
        <f>IF(R588=0,0,IF(K588="Sim",0,IF(OR(AND(AA588&gt;0,ISNUMBER(I588),ABS(I588-N(L588))&gt;cfg_tol),AL588=1),1,0)))</f>
        <v>0</v>
      </c>
      <c r="AN588" s="96">
        <f>IF(AND(R588=1,N(M588)&gt;0,OR(N(M588)&gt;=AK588-cfg_tol,K588="Sim")),1,0)</f>
        <v>0</v>
      </c>
      <c r="AO588" s="96">
        <f>IF(AND(AN588=1,AD588&gt;0,AE588=AD588,AL588=0),1,0)</f>
        <v>0</v>
      </c>
      <c r="AP588" s="96">
        <f>IF(U588=0,0,IF(AND(INDEX('MTRs'!$AX$6:$AX$505,T588)=1,Z588=0,OR(f_res="",f_res="(Todos)",C588=f_res)),1,0))</f>
        <v>0</v>
      </c>
      <c r="AQ588" s="97" t="str">
        <f>IF(U588=0,"",INDEX('MTRs'!$AZ$6:$AZ$505,T588))</f>
        <v/>
      </c>
      <c r="AR588" s="96">
        <f>IF(U588=0,0,IF(AND(INDEX('MTRs'!$BA$6:$BA$505,T588)=1,Z588=0),1,0))</f>
        <v>0</v>
      </c>
      <c r="AS588" s="96" t="str">
        <f>IF(R588=1,A588&amp;" | MTR "&amp;IF(U588=1,INDEX('MTRs'!$B$6:$B$505,T588)&amp;"","?")&amp;" | "&amp;IF(C588="","(sem resíduo)",C588),"")</f>
        <v/>
      </c>
      <c r="AT588" s="96" t="str">
        <f>IF(R588=1,COUNTIF($R$6:R588,1),"")</f>
        <v/>
      </c>
      <c r="AU588" s="96" t="str">
        <f>IF(U588=1,INDEX('MTRs'!$I$6:$I$505,T588)&amp;"","")</f>
        <v/>
      </c>
    </row>
    <row r="589">
      <c r="A589" s="89" t="inlineStr">
        <is>
          <t>IT-000584</t>
        </is>
      </c>
      <c r="B589" s="91" t="n"/>
      <c r="C589" s="91" t="n"/>
      <c r="D589" s="94" t="str">
        <f>IF(OR(R589=0,V589=0),"",INDEX('CAD_RESÍDUOS'!$E$6:$E$205,MATCH(C589,'CAD_RESÍDUOS'!$B$6:$B$205,0))&amp;"")</f>
        <v/>
      </c>
      <c r="E589" s="94" t="str">
        <f>IF(OR(R589=0,V589=0),"",INDEX('CAD_RESÍDUOS'!$C$6:$C$205,MATCH(C589,'CAD_RESÍDUOS'!$B$6:$B$205,0))&amp;"")</f>
        <v/>
      </c>
      <c r="F589" s="94" t="str">
        <f>IF(OR(R589=0,V589=0),"",INDEX('CAD_RESÍDUOS'!$G$6:$G$205,MATCH(C589,'CAD_RESÍDUOS'!$B$6:$B$205,0))&amp;"")</f>
        <v/>
      </c>
      <c r="G589" s="98" t="n"/>
      <c r="H589" s="91" t="n"/>
      <c r="I589" s="93" t="str">
        <f>IF(R589=0,"",IF(NOT(ISNUMBER(G589)),"",IF(ISNUMBER(X589),G589*X589,"UNIDADE A CONFERIR")))</f>
        <v/>
      </c>
      <c r="J589" s="91" t="n"/>
      <c r="K589" s="91" t="n"/>
      <c r="L589" s="93" t="str">
        <f>IF(R589=0,"",SUMIFS('RECEBIMENTOS'!$H$6:$H$1005,'RECEBIMENTOS'!$R$6:$R$1005,A589,'RECEBIMENTOS'!$X$6:$X$1005,1))</f>
        <v/>
      </c>
      <c r="M589" s="93" t="str">
        <f>IF(R589=0,"",SUMIFS('VÍNCULOS_CDF'!$H$6:$H$1005,'VÍNCULOS_CDF'!$R$6:$R$1005,A589,'VÍNCULOS_CDF'!$V$6:$V$1005,1))</f>
        <v/>
      </c>
      <c r="N589" s="99" t="str">
        <f>IF(OR(R589=0,AA589=0,NOT(ISNUMBER(I589))),"",I589-N(L589))</f>
        <v/>
      </c>
      <c r="O589" s="100" t="str">
        <f>IF(OR(R589=0,AK589&lt;=0),"",N(M589)/AK589)</f>
        <v/>
      </c>
      <c r="P589" s="94" t="str">
        <f>IF(R589=0,"",IF(S589="","Sem MTR associado",IF(U589=0,"MTR inexistente",IF(C589="","Resíduo não identificado",IF(V589=0,"Resíduo fora do cadastro",IF(W589=0,"Quantidade inválida",IF(H589="","Unidade não informada",IF(NOT(ISNUMBER(I589)),"Unidade a conferir",IF(AND(AH589=1,K589&lt;&gt;"Sim"),"Possível duplicidade",IF(Z589=1,"MTR cancelado",IF(AC589&gt;0,"Recebimento com alerta",IF(AA589=0,"Aguardando recebimento",IF(AB589&lt;AA589,"Recebimento a conferir",IF(AM589=1,"Quantidade a revisar",IF(AF589&gt;0,"Vínculo a revisar",IF(AD589=0,"Aguardando CDF",IF(AN589=0,"Vínculo de CDF parcial",IF(AE589&lt;AD589,"CDF a conferir","Documentação conferida"))))))))))))))))))</f>
        <v/>
      </c>
      <c r="Q589" s="93" t="str">
        <f>IF(OR(R589=0,AA589=0),"",MAX(0,N(L589)-N(M589)))</f>
        <v/>
      </c>
      <c r="R589" s="96">
        <f>IF(COUNTA(B589:C589,G589:H589,J589:K589)&gt;0,1,0)</f>
        <v>0</v>
      </c>
      <c r="S589" s="96" t="str">
        <f>IF(B589="","",TRIM(LEFT(B589,FIND(" |",B589&amp;" |")-1)))</f>
        <v/>
      </c>
      <c r="T589" s="96" t="str">
        <f>IF(S589="","",IFERROR(MATCH(S589,'MTRs'!$A$6:$A$505,0),""))</f>
        <v/>
      </c>
      <c r="U589" s="96">
        <f>IF(T589="",0,IF(INDEX('MTRs'!$Z$6:$Z$505,T589)=1,1,0))</f>
        <v>0</v>
      </c>
      <c r="V589" s="96">
        <f>IF(C589="",0,IF(ISNUMBER(MATCH(C589,'CAD_RESÍDUOS'!$B$6:$B$205,0)),1,0))</f>
        <v>0</v>
      </c>
      <c r="W589" s="96">
        <f>IF(AND(ISNUMBER(G589),G589&gt;0),1,0)</f>
        <v>0</v>
      </c>
      <c r="X589" s="96" t="str">
        <f>IF(H589="","",IFERROR(IF(ISNUMBER(INDEX(cfg_fac,MATCH(H589,cfg_units,0))),IF(INDEX(cfg_fac,MATCH(H589,cfg_units,0))&gt;0,INDEX(cfg_fac,MATCH(H589,cfg_units,0)),""),""),""))</f>
        <v/>
      </c>
      <c r="Y589" s="96">
        <f>IF(AND(W589=1,ISNUMBER(I589)),1,0)</f>
        <v>0</v>
      </c>
      <c r="Z589" s="96">
        <f>IF(U589=1,INDEX('MTRs'!$AA$6:$AA$505,T589),0)</f>
        <v>0</v>
      </c>
      <c r="AA589" s="96">
        <f>IF(R589=0,0,COUNTIFS('RECEBIMENTOS'!$R$6:$R$1005,A589,'RECEBIMENTOS'!$Q$6:$Q$1005,1))</f>
        <v>0</v>
      </c>
      <c r="AB589" s="96">
        <f>IF(R589=0,0,COUNTIFS('RECEBIMENTOS'!$R$6:$R$1005,A589,'RECEBIMENTOS'!$Z$6:$Z$1005,1))</f>
        <v>0</v>
      </c>
      <c r="AC589" s="96">
        <f>IF(R589=0,0,COUNTIFS('RECEBIMENTOS'!$R$6:$R$1005,A589,'RECEBIMENTOS'!$Y$6:$Y$1005,1))</f>
        <v>0</v>
      </c>
      <c r="AD589" s="96">
        <f>IF(R589=0,0,COUNTIFS('VÍNCULOS_CDF'!$R$6:$R$1005,A589,'VÍNCULOS_CDF'!$N$6:$N$1005,1))</f>
        <v>0</v>
      </c>
      <c r="AE589" s="96">
        <f>IF(R589=0,0,COUNTIFS('VÍNCULOS_CDF'!$R$6:$R$1005,A589,'VÍNCULOS_CDF'!$AA$6:$AA$1005,1))</f>
        <v>0</v>
      </c>
      <c r="AF589" s="96">
        <f>IF(R589=0,0,COUNTIFS('VÍNCULOS_CDF'!$R$6:$R$1005,A589,'VÍNCULOS_CDF'!$Y$6:$Y$1005,1))</f>
        <v>0</v>
      </c>
      <c r="AG589" s="96" t="str">
        <f>IF(AND(R589=1,S589&lt;&gt;"",C589&lt;&gt;""),S589&amp;"|"&amp;C589&amp;"|"&amp;G589&amp;"|"&amp;H589,"")</f>
        <v/>
      </c>
      <c r="AH589" s="96">
        <f>IF(AG589="",0,IF(SUMPRODUCT(--($AG$6:$AG$1005=AG589))&gt;1,1,0))</f>
        <v>0</v>
      </c>
      <c r="AI589" s="96">
        <f>IF(R589=0,0,IF(OR(U589=0,V589=0,Y589=0,AND(AH589=1,K589&lt;&gt;"Sim")),1,0))</f>
        <v>0</v>
      </c>
      <c r="AJ589" s="96">
        <f>IF(AND(R589=1,AA589&gt;0,AB589=AA589),1,0)</f>
        <v>0</v>
      </c>
      <c r="AK589" s="96">
        <f>IF(R589=0,0,IF(AA589&gt;0,N(L589),IF(ISNUMBER(I589),I589,0)))</f>
        <v>0</v>
      </c>
      <c r="AL589" s="96">
        <f>IF(R589=0,0,IF(AND(K589&lt;&gt;"Sim",N(M589)&gt;AK589+cfg_tol),1,0))</f>
        <v>0</v>
      </c>
      <c r="AM589" s="96">
        <f>IF(R589=0,0,IF(K589="Sim",0,IF(OR(AND(AA589&gt;0,ISNUMBER(I589),ABS(I589-N(L589))&gt;cfg_tol),AL589=1),1,0)))</f>
        <v>0</v>
      </c>
      <c r="AN589" s="96">
        <f>IF(AND(R589=1,N(M589)&gt;0,OR(N(M589)&gt;=AK589-cfg_tol,K589="Sim")),1,0)</f>
        <v>0</v>
      </c>
      <c r="AO589" s="96">
        <f>IF(AND(AN589=1,AD589&gt;0,AE589=AD589,AL589=0),1,0)</f>
        <v>0</v>
      </c>
      <c r="AP589" s="96">
        <f>IF(U589=0,0,IF(AND(INDEX('MTRs'!$AX$6:$AX$505,T589)=1,Z589=0,OR(f_res="",f_res="(Todos)",C589=f_res)),1,0))</f>
        <v>0</v>
      </c>
      <c r="AQ589" s="97" t="str">
        <f>IF(U589=0,"",INDEX('MTRs'!$AZ$6:$AZ$505,T589))</f>
        <v/>
      </c>
      <c r="AR589" s="96">
        <f>IF(U589=0,0,IF(AND(INDEX('MTRs'!$BA$6:$BA$505,T589)=1,Z589=0),1,0))</f>
        <v>0</v>
      </c>
      <c r="AS589" s="96" t="str">
        <f>IF(R589=1,A589&amp;" | MTR "&amp;IF(U589=1,INDEX('MTRs'!$B$6:$B$505,T589)&amp;"","?")&amp;" | "&amp;IF(C589="","(sem resíduo)",C589),"")</f>
        <v/>
      </c>
      <c r="AT589" s="96" t="str">
        <f>IF(R589=1,COUNTIF($R$6:R589,1),"")</f>
        <v/>
      </c>
      <c r="AU589" s="96" t="str">
        <f>IF(U589=1,INDEX('MTRs'!$I$6:$I$505,T589)&amp;"","")</f>
        <v/>
      </c>
    </row>
    <row r="590">
      <c r="A590" s="89" t="inlineStr">
        <is>
          <t>IT-000585</t>
        </is>
      </c>
      <c r="B590" s="91" t="n"/>
      <c r="C590" s="91" t="n"/>
      <c r="D590" s="94" t="str">
        <f>IF(OR(R590=0,V590=0),"",INDEX('CAD_RESÍDUOS'!$E$6:$E$205,MATCH(C590,'CAD_RESÍDUOS'!$B$6:$B$205,0))&amp;"")</f>
        <v/>
      </c>
      <c r="E590" s="94" t="str">
        <f>IF(OR(R590=0,V590=0),"",INDEX('CAD_RESÍDUOS'!$C$6:$C$205,MATCH(C590,'CAD_RESÍDUOS'!$B$6:$B$205,0))&amp;"")</f>
        <v/>
      </c>
      <c r="F590" s="94" t="str">
        <f>IF(OR(R590=0,V590=0),"",INDEX('CAD_RESÍDUOS'!$G$6:$G$205,MATCH(C590,'CAD_RESÍDUOS'!$B$6:$B$205,0))&amp;"")</f>
        <v/>
      </c>
      <c r="G590" s="98" t="n"/>
      <c r="H590" s="91" t="n"/>
      <c r="I590" s="93" t="str">
        <f>IF(R590=0,"",IF(NOT(ISNUMBER(G590)),"",IF(ISNUMBER(X590),G590*X590,"UNIDADE A CONFERIR")))</f>
        <v/>
      </c>
      <c r="J590" s="91" t="n"/>
      <c r="K590" s="91" t="n"/>
      <c r="L590" s="93" t="str">
        <f>IF(R590=0,"",SUMIFS('RECEBIMENTOS'!$H$6:$H$1005,'RECEBIMENTOS'!$R$6:$R$1005,A590,'RECEBIMENTOS'!$X$6:$X$1005,1))</f>
        <v/>
      </c>
      <c r="M590" s="93" t="str">
        <f>IF(R590=0,"",SUMIFS('VÍNCULOS_CDF'!$H$6:$H$1005,'VÍNCULOS_CDF'!$R$6:$R$1005,A590,'VÍNCULOS_CDF'!$V$6:$V$1005,1))</f>
        <v/>
      </c>
      <c r="N590" s="99" t="str">
        <f>IF(OR(R590=0,AA590=0,NOT(ISNUMBER(I590))),"",I590-N(L590))</f>
        <v/>
      </c>
      <c r="O590" s="100" t="str">
        <f>IF(OR(R590=0,AK590&lt;=0),"",N(M590)/AK590)</f>
        <v/>
      </c>
      <c r="P590" s="94" t="str">
        <f>IF(R590=0,"",IF(S590="","Sem MTR associado",IF(U590=0,"MTR inexistente",IF(C590="","Resíduo não identificado",IF(V590=0,"Resíduo fora do cadastro",IF(W590=0,"Quantidade inválida",IF(H590="","Unidade não informada",IF(NOT(ISNUMBER(I590)),"Unidade a conferir",IF(AND(AH590=1,K590&lt;&gt;"Sim"),"Possível duplicidade",IF(Z590=1,"MTR cancelado",IF(AC590&gt;0,"Recebimento com alerta",IF(AA590=0,"Aguardando recebimento",IF(AB590&lt;AA590,"Recebimento a conferir",IF(AM590=1,"Quantidade a revisar",IF(AF590&gt;0,"Vínculo a revisar",IF(AD590=0,"Aguardando CDF",IF(AN590=0,"Vínculo de CDF parcial",IF(AE590&lt;AD590,"CDF a conferir","Documentação conferida"))))))))))))))))))</f>
        <v/>
      </c>
      <c r="Q590" s="93" t="str">
        <f>IF(OR(R590=0,AA590=0),"",MAX(0,N(L590)-N(M590)))</f>
        <v/>
      </c>
      <c r="R590" s="96">
        <f>IF(COUNTA(B590:C590,G590:H590,J590:K590)&gt;0,1,0)</f>
        <v>0</v>
      </c>
      <c r="S590" s="96" t="str">
        <f>IF(B590="","",TRIM(LEFT(B590,FIND(" |",B590&amp;" |")-1)))</f>
        <v/>
      </c>
      <c r="T590" s="96" t="str">
        <f>IF(S590="","",IFERROR(MATCH(S590,'MTRs'!$A$6:$A$505,0),""))</f>
        <v/>
      </c>
      <c r="U590" s="96">
        <f>IF(T590="",0,IF(INDEX('MTRs'!$Z$6:$Z$505,T590)=1,1,0))</f>
        <v>0</v>
      </c>
      <c r="V590" s="96">
        <f>IF(C590="",0,IF(ISNUMBER(MATCH(C590,'CAD_RESÍDUOS'!$B$6:$B$205,0)),1,0))</f>
        <v>0</v>
      </c>
      <c r="W590" s="96">
        <f>IF(AND(ISNUMBER(G590),G590&gt;0),1,0)</f>
        <v>0</v>
      </c>
      <c r="X590" s="96" t="str">
        <f>IF(H590="","",IFERROR(IF(ISNUMBER(INDEX(cfg_fac,MATCH(H590,cfg_units,0))),IF(INDEX(cfg_fac,MATCH(H590,cfg_units,0))&gt;0,INDEX(cfg_fac,MATCH(H590,cfg_units,0)),""),""),""))</f>
        <v/>
      </c>
      <c r="Y590" s="96">
        <f>IF(AND(W590=1,ISNUMBER(I590)),1,0)</f>
        <v>0</v>
      </c>
      <c r="Z590" s="96">
        <f>IF(U590=1,INDEX('MTRs'!$AA$6:$AA$505,T590),0)</f>
        <v>0</v>
      </c>
      <c r="AA590" s="96">
        <f>IF(R590=0,0,COUNTIFS('RECEBIMENTOS'!$R$6:$R$1005,A590,'RECEBIMENTOS'!$Q$6:$Q$1005,1))</f>
        <v>0</v>
      </c>
      <c r="AB590" s="96">
        <f>IF(R590=0,0,COUNTIFS('RECEBIMENTOS'!$R$6:$R$1005,A590,'RECEBIMENTOS'!$Z$6:$Z$1005,1))</f>
        <v>0</v>
      </c>
      <c r="AC590" s="96">
        <f>IF(R590=0,0,COUNTIFS('RECEBIMENTOS'!$R$6:$R$1005,A590,'RECEBIMENTOS'!$Y$6:$Y$1005,1))</f>
        <v>0</v>
      </c>
      <c r="AD590" s="96">
        <f>IF(R590=0,0,COUNTIFS('VÍNCULOS_CDF'!$R$6:$R$1005,A590,'VÍNCULOS_CDF'!$N$6:$N$1005,1))</f>
        <v>0</v>
      </c>
      <c r="AE590" s="96">
        <f>IF(R590=0,0,COUNTIFS('VÍNCULOS_CDF'!$R$6:$R$1005,A590,'VÍNCULOS_CDF'!$AA$6:$AA$1005,1))</f>
        <v>0</v>
      </c>
      <c r="AF590" s="96">
        <f>IF(R590=0,0,COUNTIFS('VÍNCULOS_CDF'!$R$6:$R$1005,A590,'VÍNCULOS_CDF'!$Y$6:$Y$1005,1))</f>
        <v>0</v>
      </c>
      <c r="AG590" s="96" t="str">
        <f>IF(AND(R590=1,S590&lt;&gt;"",C590&lt;&gt;""),S590&amp;"|"&amp;C590&amp;"|"&amp;G590&amp;"|"&amp;H590,"")</f>
        <v/>
      </c>
      <c r="AH590" s="96">
        <f>IF(AG590="",0,IF(SUMPRODUCT(--($AG$6:$AG$1005=AG590))&gt;1,1,0))</f>
        <v>0</v>
      </c>
      <c r="AI590" s="96">
        <f>IF(R590=0,0,IF(OR(U590=0,V590=0,Y590=0,AND(AH590=1,K590&lt;&gt;"Sim")),1,0))</f>
        <v>0</v>
      </c>
      <c r="AJ590" s="96">
        <f>IF(AND(R590=1,AA590&gt;0,AB590=AA590),1,0)</f>
        <v>0</v>
      </c>
      <c r="AK590" s="96">
        <f>IF(R590=0,0,IF(AA590&gt;0,N(L590),IF(ISNUMBER(I590),I590,0)))</f>
        <v>0</v>
      </c>
      <c r="AL590" s="96">
        <f>IF(R590=0,0,IF(AND(K590&lt;&gt;"Sim",N(M590)&gt;AK590+cfg_tol),1,0))</f>
        <v>0</v>
      </c>
      <c r="AM590" s="96">
        <f>IF(R590=0,0,IF(K590="Sim",0,IF(OR(AND(AA590&gt;0,ISNUMBER(I590),ABS(I590-N(L590))&gt;cfg_tol),AL590=1),1,0)))</f>
        <v>0</v>
      </c>
      <c r="AN590" s="96">
        <f>IF(AND(R590=1,N(M590)&gt;0,OR(N(M590)&gt;=AK590-cfg_tol,K590="Sim")),1,0)</f>
        <v>0</v>
      </c>
      <c r="AO590" s="96">
        <f>IF(AND(AN590=1,AD590&gt;0,AE590=AD590,AL590=0),1,0)</f>
        <v>0</v>
      </c>
      <c r="AP590" s="96">
        <f>IF(U590=0,0,IF(AND(INDEX('MTRs'!$AX$6:$AX$505,T590)=1,Z590=0,OR(f_res="",f_res="(Todos)",C590=f_res)),1,0))</f>
        <v>0</v>
      </c>
      <c r="AQ590" s="97" t="str">
        <f>IF(U590=0,"",INDEX('MTRs'!$AZ$6:$AZ$505,T590))</f>
        <v/>
      </c>
      <c r="AR590" s="96">
        <f>IF(U590=0,0,IF(AND(INDEX('MTRs'!$BA$6:$BA$505,T590)=1,Z590=0),1,0))</f>
        <v>0</v>
      </c>
      <c r="AS590" s="96" t="str">
        <f>IF(R590=1,A590&amp;" | MTR "&amp;IF(U590=1,INDEX('MTRs'!$B$6:$B$505,T590)&amp;"","?")&amp;" | "&amp;IF(C590="","(sem resíduo)",C590),"")</f>
        <v/>
      </c>
      <c r="AT590" s="96" t="str">
        <f>IF(R590=1,COUNTIF($R$6:R590,1),"")</f>
        <v/>
      </c>
      <c r="AU590" s="96" t="str">
        <f>IF(U590=1,INDEX('MTRs'!$I$6:$I$505,T590)&amp;"","")</f>
        <v/>
      </c>
    </row>
    <row r="591">
      <c r="A591" s="89" t="inlineStr">
        <is>
          <t>IT-000586</t>
        </is>
      </c>
      <c r="B591" s="91" t="n"/>
      <c r="C591" s="91" t="n"/>
      <c r="D591" s="94" t="str">
        <f>IF(OR(R591=0,V591=0),"",INDEX('CAD_RESÍDUOS'!$E$6:$E$205,MATCH(C591,'CAD_RESÍDUOS'!$B$6:$B$205,0))&amp;"")</f>
        <v/>
      </c>
      <c r="E591" s="94" t="str">
        <f>IF(OR(R591=0,V591=0),"",INDEX('CAD_RESÍDUOS'!$C$6:$C$205,MATCH(C591,'CAD_RESÍDUOS'!$B$6:$B$205,0))&amp;"")</f>
        <v/>
      </c>
      <c r="F591" s="94" t="str">
        <f>IF(OR(R591=0,V591=0),"",INDEX('CAD_RESÍDUOS'!$G$6:$G$205,MATCH(C591,'CAD_RESÍDUOS'!$B$6:$B$205,0))&amp;"")</f>
        <v/>
      </c>
      <c r="G591" s="98" t="n"/>
      <c r="H591" s="91" t="n"/>
      <c r="I591" s="93" t="str">
        <f>IF(R591=0,"",IF(NOT(ISNUMBER(G591)),"",IF(ISNUMBER(X591),G591*X591,"UNIDADE A CONFERIR")))</f>
        <v/>
      </c>
      <c r="J591" s="91" t="n"/>
      <c r="K591" s="91" t="n"/>
      <c r="L591" s="93" t="str">
        <f>IF(R591=0,"",SUMIFS('RECEBIMENTOS'!$H$6:$H$1005,'RECEBIMENTOS'!$R$6:$R$1005,A591,'RECEBIMENTOS'!$X$6:$X$1005,1))</f>
        <v/>
      </c>
      <c r="M591" s="93" t="str">
        <f>IF(R591=0,"",SUMIFS('VÍNCULOS_CDF'!$H$6:$H$1005,'VÍNCULOS_CDF'!$R$6:$R$1005,A591,'VÍNCULOS_CDF'!$V$6:$V$1005,1))</f>
        <v/>
      </c>
      <c r="N591" s="99" t="str">
        <f>IF(OR(R591=0,AA591=0,NOT(ISNUMBER(I591))),"",I591-N(L591))</f>
        <v/>
      </c>
      <c r="O591" s="100" t="str">
        <f>IF(OR(R591=0,AK591&lt;=0),"",N(M591)/AK591)</f>
        <v/>
      </c>
      <c r="P591" s="94" t="str">
        <f>IF(R591=0,"",IF(S591="","Sem MTR associado",IF(U591=0,"MTR inexistente",IF(C591="","Resíduo não identificado",IF(V591=0,"Resíduo fora do cadastro",IF(W591=0,"Quantidade inválida",IF(H591="","Unidade não informada",IF(NOT(ISNUMBER(I591)),"Unidade a conferir",IF(AND(AH591=1,K591&lt;&gt;"Sim"),"Possível duplicidade",IF(Z591=1,"MTR cancelado",IF(AC591&gt;0,"Recebimento com alerta",IF(AA591=0,"Aguardando recebimento",IF(AB591&lt;AA591,"Recebimento a conferir",IF(AM591=1,"Quantidade a revisar",IF(AF591&gt;0,"Vínculo a revisar",IF(AD591=0,"Aguardando CDF",IF(AN591=0,"Vínculo de CDF parcial",IF(AE591&lt;AD591,"CDF a conferir","Documentação conferida"))))))))))))))))))</f>
        <v/>
      </c>
      <c r="Q591" s="93" t="str">
        <f>IF(OR(R591=0,AA591=0),"",MAX(0,N(L591)-N(M591)))</f>
        <v/>
      </c>
      <c r="R591" s="96">
        <f>IF(COUNTA(B591:C591,G591:H591,J591:K591)&gt;0,1,0)</f>
        <v>0</v>
      </c>
      <c r="S591" s="96" t="str">
        <f>IF(B591="","",TRIM(LEFT(B591,FIND(" |",B591&amp;" |")-1)))</f>
        <v/>
      </c>
      <c r="T591" s="96" t="str">
        <f>IF(S591="","",IFERROR(MATCH(S591,'MTRs'!$A$6:$A$505,0),""))</f>
        <v/>
      </c>
      <c r="U591" s="96">
        <f>IF(T591="",0,IF(INDEX('MTRs'!$Z$6:$Z$505,T591)=1,1,0))</f>
        <v>0</v>
      </c>
      <c r="V591" s="96">
        <f>IF(C591="",0,IF(ISNUMBER(MATCH(C591,'CAD_RESÍDUOS'!$B$6:$B$205,0)),1,0))</f>
        <v>0</v>
      </c>
      <c r="W591" s="96">
        <f>IF(AND(ISNUMBER(G591),G591&gt;0),1,0)</f>
        <v>0</v>
      </c>
      <c r="X591" s="96" t="str">
        <f>IF(H591="","",IFERROR(IF(ISNUMBER(INDEX(cfg_fac,MATCH(H591,cfg_units,0))),IF(INDEX(cfg_fac,MATCH(H591,cfg_units,0))&gt;0,INDEX(cfg_fac,MATCH(H591,cfg_units,0)),""),""),""))</f>
        <v/>
      </c>
      <c r="Y591" s="96">
        <f>IF(AND(W591=1,ISNUMBER(I591)),1,0)</f>
        <v>0</v>
      </c>
      <c r="Z591" s="96">
        <f>IF(U591=1,INDEX('MTRs'!$AA$6:$AA$505,T591),0)</f>
        <v>0</v>
      </c>
      <c r="AA591" s="96">
        <f>IF(R591=0,0,COUNTIFS('RECEBIMENTOS'!$R$6:$R$1005,A591,'RECEBIMENTOS'!$Q$6:$Q$1005,1))</f>
        <v>0</v>
      </c>
      <c r="AB591" s="96">
        <f>IF(R591=0,0,COUNTIFS('RECEBIMENTOS'!$R$6:$R$1005,A591,'RECEBIMENTOS'!$Z$6:$Z$1005,1))</f>
        <v>0</v>
      </c>
      <c r="AC591" s="96">
        <f>IF(R591=0,0,COUNTIFS('RECEBIMENTOS'!$R$6:$R$1005,A591,'RECEBIMENTOS'!$Y$6:$Y$1005,1))</f>
        <v>0</v>
      </c>
      <c r="AD591" s="96">
        <f>IF(R591=0,0,COUNTIFS('VÍNCULOS_CDF'!$R$6:$R$1005,A591,'VÍNCULOS_CDF'!$N$6:$N$1005,1))</f>
        <v>0</v>
      </c>
      <c r="AE591" s="96">
        <f>IF(R591=0,0,COUNTIFS('VÍNCULOS_CDF'!$R$6:$R$1005,A591,'VÍNCULOS_CDF'!$AA$6:$AA$1005,1))</f>
        <v>0</v>
      </c>
      <c r="AF591" s="96">
        <f>IF(R591=0,0,COUNTIFS('VÍNCULOS_CDF'!$R$6:$R$1005,A591,'VÍNCULOS_CDF'!$Y$6:$Y$1005,1))</f>
        <v>0</v>
      </c>
      <c r="AG591" s="96" t="str">
        <f>IF(AND(R591=1,S591&lt;&gt;"",C591&lt;&gt;""),S591&amp;"|"&amp;C591&amp;"|"&amp;G591&amp;"|"&amp;H591,"")</f>
        <v/>
      </c>
      <c r="AH591" s="96">
        <f>IF(AG591="",0,IF(SUMPRODUCT(--($AG$6:$AG$1005=AG591))&gt;1,1,0))</f>
        <v>0</v>
      </c>
      <c r="AI591" s="96">
        <f>IF(R591=0,0,IF(OR(U591=0,V591=0,Y591=0,AND(AH591=1,K591&lt;&gt;"Sim")),1,0))</f>
        <v>0</v>
      </c>
      <c r="AJ591" s="96">
        <f>IF(AND(R591=1,AA591&gt;0,AB591=AA591),1,0)</f>
        <v>0</v>
      </c>
      <c r="AK591" s="96">
        <f>IF(R591=0,0,IF(AA591&gt;0,N(L591),IF(ISNUMBER(I591),I591,0)))</f>
        <v>0</v>
      </c>
      <c r="AL591" s="96">
        <f>IF(R591=0,0,IF(AND(K591&lt;&gt;"Sim",N(M591)&gt;AK591+cfg_tol),1,0))</f>
        <v>0</v>
      </c>
      <c r="AM591" s="96">
        <f>IF(R591=0,0,IF(K591="Sim",0,IF(OR(AND(AA591&gt;0,ISNUMBER(I591),ABS(I591-N(L591))&gt;cfg_tol),AL591=1),1,0)))</f>
        <v>0</v>
      </c>
      <c r="AN591" s="96">
        <f>IF(AND(R591=1,N(M591)&gt;0,OR(N(M591)&gt;=AK591-cfg_tol,K591="Sim")),1,0)</f>
        <v>0</v>
      </c>
      <c r="AO591" s="96">
        <f>IF(AND(AN591=1,AD591&gt;0,AE591=AD591,AL591=0),1,0)</f>
        <v>0</v>
      </c>
      <c r="AP591" s="96">
        <f>IF(U591=0,0,IF(AND(INDEX('MTRs'!$AX$6:$AX$505,T591)=1,Z591=0,OR(f_res="",f_res="(Todos)",C591=f_res)),1,0))</f>
        <v>0</v>
      </c>
      <c r="AQ591" s="97" t="str">
        <f>IF(U591=0,"",INDEX('MTRs'!$AZ$6:$AZ$505,T591))</f>
        <v/>
      </c>
      <c r="AR591" s="96">
        <f>IF(U591=0,0,IF(AND(INDEX('MTRs'!$BA$6:$BA$505,T591)=1,Z591=0),1,0))</f>
        <v>0</v>
      </c>
      <c r="AS591" s="96" t="str">
        <f>IF(R591=1,A591&amp;" | MTR "&amp;IF(U591=1,INDEX('MTRs'!$B$6:$B$505,T591)&amp;"","?")&amp;" | "&amp;IF(C591="","(sem resíduo)",C591),"")</f>
        <v/>
      </c>
      <c r="AT591" s="96" t="str">
        <f>IF(R591=1,COUNTIF($R$6:R591,1),"")</f>
        <v/>
      </c>
      <c r="AU591" s="96" t="str">
        <f>IF(U591=1,INDEX('MTRs'!$I$6:$I$505,T591)&amp;"","")</f>
        <v/>
      </c>
    </row>
    <row r="592">
      <c r="A592" s="89" t="inlineStr">
        <is>
          <t>IT-000587</t>
        </is>
      </c>
      <c r="B592" s="91" t="n"/>
      <c r="C592" s="91" t="n"/>
      <c r="D592" s="94" t="str">
        <f>IF(OR(R592=0,V592=0),"",INDEX('CAD_RESÍDUOS'!$E$6:$E$205,MATCH(C592,'CAD_RESÍDUOS'!$B$6:$B$205,0))&amp;"")</f>
        <v/>
      </c>
      <c r="E592" s="94" t="str">
        <f>IF(OR(R592=0,V592=0),"",INDEX('CAD_RESÍDUOS'!$C$6:$C$205,MATCH(C592,'CAD_RESÍDUOS'!$B$6:$B$205,0))&amp;"")</f>
        <v/>
      </c>
      <c r="F592" s="94" t="str">
        <f>IF(OR(R592=0,V592=0),"",INDEX('CAD_RESÍDUOS'!$G$6:$G$205,MATCH(C592,'CAD_RESÍDUOS'!$B$6:$B$205,0))&amp;"")</f>
        <v/>
      </c>
      <c r="G592" s="98" t="n"/>
      <c r="H592" s="91" t="n"/>
      <c r="I592" s="93" t="str">
        <f>IF(R592=0,"",IF(NOT(ISNUMBER(G592)),"",IF(ISNUMBER(X592),G592*X592,"UNIDADE A CONFERIR")))</f>
        <v/>
      </c>
      <c r="J592" s="91" t="n"/>
      <c r="K592" s="91" t="n"/>
      <c r="L592" s="93" t="str">
        <f>IF(R592=0,"",SUMIFS('RECEBIMENTOS'!$H$6:$H$1005,'RECEBIMENTOS'!$R$6:$R$1005,A592,'RECEBIMENTOS'!$X$6:$X$1005,1))</f>
        <v/>
      </c>
      <c r="M592" s="93" t="str">
        <f>IF(R592=0,"",SUMIFS('VÍNCULOS_CDF'!$H$6:$H$1005,'VÍNCULOS_CDF'!$R$6:$R$1005,A592,'VÍNCULOS_CDF'!$V$6:$V$1005,1))</f>
        <v/>
      </c>
      <c r="N592" s="99" t="str">
        <f>IF(OR(R592=0,AA592=0,NOT(ISNUMBER(I592))),"",I592-N(L592))</f>
        <v/>
      </c>
      <c r="O592" s="100" t="str">
        <f>IF(OR(R592=0,AK592&lt;=0),"",N(M592)/AK592)</f>
        <v/>
      </c>
      <c r="P592" s="94" t="str">
        <f>IF(R592=0,"",IF(S592="","Sem MTR associado",IF(U592=0,"MTR inexistente",IF(C592="","Resíduo não identificado",IF(V592=0,"Resíduo fora do cadastro",IF(W592=0,"Quantidade inválida",IF(H592="","Unidade não informada",IF(NOT(ISNUMBER(I592)),"Unidade a conferir",IF(AND(AH592=1,K592&lt;&gt;"Sim"),"Possível duplicidade",IF(Z592=1,"MTR cancelado",IF(AC592&gt;0,"Recebimento com alerta",IF(AA592=0,"Aguardando recebimento",IF(AB592&lt;AA592,"Recebimento a conferir",IF(AM592=1,"Quantidade a revisar",IF(AF592&gt;0,"Vínculo a revisar",IF(AD592=0,"Aguardando CDF",IF(AN592=0,"Vínculo de CDF parcial",IF(AE592&lt;AD592,"CDF a conferir","Documentação conferida"))))))))))))))))))</f>
        <v/>
      </c>
      <c r="Q592" s="93" t="str">
        <f>IF(OR(R592=0,AA592=0),"",MAX(0,N(L592)-N(M592)))</f>
        <v/>
      </c>
      <c r="R592" s="96">
        <f>IF(COUNTA(B592:C592,G592:H592,J592:K592)&gt;0,1,0)</f>
        <v>0</v>
      </c>
      <c r="S592" s="96" t="str">
        <f>IF(B592="","",TRIM(LEFT(B592,FIND(" |",B592&amp;" |")-1)))</f>
        <v/>
      </c>
      <c r="T592" s="96" t="str">
        <f>IF(S592="","",IFERROR(MATCH(S592,'MTRs'!$A$6:$A$505,0),""))</f>
        <v/>
      </c>
      <c r="U592" s="96">
        <f>IF(T592="",0,IF(INDEX('MTRs'!$Z$6:$Z$505,T592)=1,1,0))</f>
        <v>0</v>
      </c>
      <c r="V592" s="96">
        <f>IF(C592="",0,IF(ISNUMBER(MATCH(C592,'CAD_RESÍDUOS'!$B$6:$B$205,0)),1,0))</f>
        <v>0</v>
      </c>
      <c r="W592" s="96">
        <f>IF(AND(ISNUMBER(G592),G592&gt;0),1,0)</f>
        <v>0</v>
      </c>
      <c r="X592" s="96" t="str">
        <f>IF(H592="","",IFERROR(IF(ISNUMBER(INDEX(cfg_fac,MATCH(H592,cfg_units,0))),IF(INDEX(cfg_fac,MATCH(H592,cfg_units,0))&gt;0,INDEX(cfg_fac,MATCH(H592,cfg_units,0)),""),""),""))</f>
        <v/>
      </c>
      <c r="Y592" s="96">
        <f>IF(AND(W592=1,ISNUMBER(I592)),1,0)</f>
        <v>0</v>
      </c>
      <c r="Z592" s="96">
        <f>IF(U592=1,INDEX('MTRs'!$AA$6:$AA$505,T592),0)</f>
        <v>0</v>
      </c>
      <c r="AA592" s="96">
        <f>IF(R592=0,0,COUNTIFS('RECEBIMENTOS'!$R$6:$R$1005,A592,'RECEBIMENTOS'!$Q$6:$Q$1005,1))</f>
        <v>0</v>
      </c>
      <c r="AB592" s="96">
        <f>IF(R592=0,0,COUNTIFS('RECEBIMENTOS'!$R$6:$R$1005,A592,'RECEBIMENTOS'!$Z$6:$Z$1005,1))</f>
        <v>0</v>
      </c>
      <c r="AC592" s="96">
        <f>IF(R592=0,0,COUNTIFS('RECEBIMENTOS'!$R$6:$R$1005,A592,'RECEBIMENTOS'!$Y$6:$Y$1005,1))</f>
        <v>0</v>
      </c>
      <c r="AD592" s="96">
        <f>IF(R592=0,0,COUNTIFS('VÍNCULOS_CDF'!$R$6:$R$1005,A592,'VÍNCULOS_CDF'!$N$6:$N$1005,1))</f>
        <v>0</v>
      </c>
      <c r="AE592" s="96">
        <f>IF(R592=0,0,COUNTIFS('VÍNCULOS_CDF'!$R$6:$R$1005,A592,'VÍNCULOS_CDF'!$AA$6:$AA$1005,1))</f>
        <v>0</v>
      </c>
      <c r="AF592" s="96">
        <f>IF(R592=0,0,COUNTIFS('VÍNCULOS_CDF'!$R$6:$R$1005,A592,'VÍNCULOS_CDF'!$Y$6:$Y$1005,1))</f>
        <v>0</v>
      </c>
      <c r="AG592" s="96" t="str">
        <f>IF(AND(R592=1,S592&lt;&gt;"",C592&lt;&gt;""),S592&amp;"|"&amp;C592&amp;"|"&amp;G592&amp;"|"&amp;H592,"")</f>
        <v/>
      </c>
      <c r="AH592" s="96">
        <f>IF(AG592="",0,IF(SUMPRODUCT(--($AG$6:$AG$1005=AG592))&gt;1,1,0))</f>
        <v>0</v>
      </c>
      <c r="AI592" s="96">
        <f>IF(R592=0,0,IF(OR(U592=0,V592=0,Y592=0,AND(AH592=1,K592&lt;&gt;"Sim")),1,0))</f>
        <v>0</v>
      </c>
      <c r="AJ592" s="96">
        <f>IF(AND(R592=1,AA592&gt;0,AB592=AA592),1,0)</f>
        <v>0</v>
      </c>
      <c r="AK592" s="96">
        <f>IF(R592=0,0,IF(AA592&gt;0,N(L592),IF(ISNUMBER(I592),I592,0)))</f>
        <v>0</v>
      </c>
      <c r="AL592" s="96">
        <f>IF(R592=0,0,IF(AND(K592&lt;&gt;"Sim",N(M592)&gt;AK592+cfg_tol),1,0))</f>
        <v>0</v>
      </c>
      <c r="AM592" s="96">
        <f>IF(R592=0,0,IF(K592="Sim",0,IF(OR(AND(AA592&gt;0,ISNUMBER(I592),ABS(I592-N(L592))&gt;cfg_tol),AL592=1),1,0)))</f>
        <v>0</v>
      </c>
      <c r="AN592" s="96">
        <f>IF(AND(R592=1,N(M592)&gt;0,OR(N(M592)&gt;=AK592-cfg_tol,K592="Sim")),1,0)</f>
        <v>0</v>
      </c>
      <c r="AO592" s="96">
        <f>IF(AND(AN592=1,AD592&gt;0,AE592=AD592,AL592=0),1,0)</f>
        <v>0</v>
      </c>
      <c r="AP592" s="96">
        <f>IF(U592=0,0,IF(AND(INDEX('MTRs'!$AX$6:$AX$505,T592)=1,Z592=0,OR(f_res="",f_res="(Todos)",C592=f_res)),1,0))</f>
        <v>0</v>
      </c>
      <c r="AQ592" s="97" t="str">
        <f>IF(U592=0,"",INDEX('MTRs'!$AZ$6:$AZ$505,T592))</f>
        <v/>
      </c>
      <c r="AR592" s="96">
        <f>IF(U592=0,0,IF(AND(INDEX('MTRs'!$BA$6:$BA$505,T592)=1,Z592=0),1,0))</f>
        <v>0</v>
      </c>
      <c r="AS592" s="96" t="str">
        <f>IF(R592=1,A592&amp;" | MTR "&amp;IF(U592=1,INDEX('MTRs'!$B$6:$B$505,T592)&amp;"","?")&amp;" | "&amp;IF(C592="","(sem resíduo)",C592),"")</f>
        <v/>
      </c>
      <c r="AT592" s="96" t="str">
        <f>IF(R592=1,COUNTIF($R$6:R592,1),"")</f>
        <v/>
      </c>
      <c r="AU592" s="96" t="str">
        <f>IF(U592=1,INDEX('MTRs'!$I$6:$I$505,T592)&amp;"","")</f>
        <v/>
      </c>
    </row>
    <row r="593">
      <c r="A593" s="89" t="inlineStr">
        <is>
          <t>IT-000588</t>
        </is>
      </c>
      <c r="B593" s="91" t="n"/>
      <c r="C593" s="91" t="n"/>
      <c r="D593" s="94" t="str">
        <f>IF(OR(R593=0,V593=0),"",INDEX('CAD_RESÍDUOS'!$E$6:$E$205,MATCH(C593,'CAD_RESÍDUOS'!$B$6:$B$205,0))&amp;"")</f>
        <v/>
      </c>
      <c r="E593" s="94" t="str">
        <f>IF(OR(R593=0,V593=0),"",INDEX('CAD_RESÍDUOS'!$C$6:$C$205,MATCH(C593,'CAD_RESÍDUOS'!$B$6:$B$205,0))&amp;"")</f>
        <v/>
      </c>
      <c r="F593" s="94" t="str">
        <f>IF(OR(R593=0,V593=0),"",INDEX('CAD_RESÍDUOS'!$G$6:$G$205,MATCH(C593,'CAD_RESÍDUOS'!$B$6:$B$205,0))&amp;"")</f>
        <v/>
      </c>
      <c r="G593" s="98" t="n"/>
      <c r="H593" s="91" t="n"/>
      <c r="I593" s="93" t="str">
        <f>IF(R593=0,"",IF(NOT(ISNUMBER(G593)),"",IF(ISNUMBER(X593),G593*X593,"UNIDADE A CONFERIR")))</f>
        <v/>
      </c>
      <c r="J593" s="91" t="n"/>
      <c r="K593" s="91" t="n"/>
      <c r="L593" s="93" t="str">
        <f>IF(R593=0,"",SUMIFS('RECEBIMENTOS'!$H$6:$H$1005,'RECEBIMENTOS'!$R$6:$R$1005,A593,'RECEBIMENTOS'!$X$6:$X$1005,1))</f>
        <v/>
      </c>
      <c r="M593" s="93" t="str">
        <f>IF(R593=0,"",SUMIFS('VÍNCULOS_CDF'!$H$6:$H$1005,'VÍNCULOS_CDF'!$R$6:$R$1005,A593,'VÍNCULOS_CDF'!$V$6:$V$1005,1))</f>
        <v/>
      </c>
      <c r="N593" s="99" t="str">
        <f>IF(OR(R593=0,AA593=0,NOT(ISNUMBER(I593))),"",I593-N(L593))</f>
        <v/>
      </c>
      <c r="O593" s="100" t="str">
        <f>IF(OR(R593=0,AK593&lt;=0),"",N(M593)/AK593)</f>
        <v/>
      </c>
      <c r="P593" s="94" t="str">
        <f>IF(R593=0,"",IF(S593="","Sem MTR associado",IF(U593=0,"MTR inexistente",IF(C593="","Resíduo não identificado",IF(V593=0,"Resíduo fora do cadastro",IF(W593=0,"Quantidade inválida",IF(H593="","Unidade não informada",IF(NOT(ISNUMBER(I593)),"Unidade a conferir",IF(AND(AH593=1,K593&lt;&gt;"Sim"),"Possível duplicidade",IF(Z593=1,"MTR cancelado",IF(AC593&gt;0,"Recebimento com alerta",IF(AA593=0,"Aguardando recebimento",IF(AB593&lt;AA593,"Recebimento a conferir",IF(AM593=1,"Quantidade a revisar",IF(AF593&gt;0,"Vínculo a revisar",IF(AD593=0,"Aguardando CDF",IF(AN593=0,"Vínculo de CDF parcial",IF(AE593&lt;AD593,"CDF a conferir","Documentação conferida"))))))))))))))))))</f>
        <v/>
      </c>
      <c r="Q593" s="93" t="str">
        <f>IF(OR(R593=0,AA593=0),"",MAX(0,N(L593)-N(M593)))</f>
        <v/>
      </c>
      <c r="R593" s="96">
        <f>IF(COUNTA(B593:C593,G593:H593,J593:K593)&gt;0,1,0)</f>
        <v>0</v>
      </c>
      <c r="S593" s="96" t="str">
        <f>IF(B593="","",TRIM(LEFT(B593,FIND(" |",B593&amp;" |")-1)))</f>
        <v/>
      </c>
      <c r="T593" s="96" t="str">
        <f>IF(S593="","",IFERROR(MATCH(S593,'MTRs'!$A$6:$A$505,0),""))</f>
        <v/>
      </c>
      <c r="U593" s="96">
        <f>IF(T593="",0,IF(INDEX('MTRs'!$Z$6:$Z$505,T593)=1,1,0))</f>
        <v>0</v>
      </c>
      <c r="V593" s="96">
        <f>IF(C593="",0,IF(ISNUMBER(MATCH(C593,'CAD_RESÍDUOS'!$B$6:$B$205,0)),1,0))</f>
        <v>0</v>
      </c>
      <c r="W593" s="96">
        <f>IF(AND(ISNUMBER(G593),G593&gt;0),1,0)</f>
        <v>0</v>
      </c>
      <c r="X593" s="96" t="str">
        <f>IF(H593="","",IFERROR(IF(ISNUMBER(INDEX(cfg_fac,MATCH(H593,cfg_units,0))),IF(INDEX(cfg_fac,MATCH(H593,cfg_units,0))&gt;0,INDEX(cfg_fac,MATCH(H593,cfg_units,0)),""),""),""))</f>
        <v/>
      </c>
      <c r="Y593" s="96">
        <f>IF(AND(W593=1,ISNUMBER(I593)),1,0)</f>
        <v>0</v>
      </c>
      <c r="Z593" s="96">
        <f>IF(U593=1,INDEX('MTRs'!$AA$6:$AA$505,T593),0)</f>
        <v>0</v>
      </c>
      <c r="AA593" s="96">
        <f>IF(R593=0,0,COUNTIFS('RECEBIMENTOS'!$R$6:$R$1005,A593,'RECEBIMENTOS'!$Q$6:$Q$1005,1))</f>
        <v>0</v>
      </c>
      <c r="AB593" s="96">
        <f>IF(R593=0,0,COUNTIFS('RECEBIMENTOS'!$R$6:$R$1005,A593,'RECEBIMENTOS'!$Z$6:$Z$1005,1))</f>
        <v>0</v>
      </c>
      <c r="AC593" s="96">
        <f>IF(R593=0,0,COUNTIFS('RECEBIMENTOS'!$R$6:$R$1005,A593,'RECEBIMENTOS'!$Y$6:$Y$1005,1))</f>
        <v>0</v>
      </c>
      <c r="AD593" s="96">
        <f>IF(R593=0,0,COUNTIFS('VÍNCULOS_CDF'!$R$6:$R$1005,A593,'VÍNCULOS_CDF'!$N$6:$N$1005,1))</f>
        <v>0</v>
      </c>
      <c r="AE593" s="96">
        <f>IF(R593=0,0,COUNTIFS('VÍNCULOS_CDF'!$R$6:$R$1005,A593,'VÍNCULOS_CDF'!$AA$6:$AA$1005,1))</f>
        <v>0</v>
      </c>
      <c r="AF593" s="96">
        <f>IF(R593=0,0,COUNTIFS('VÍNCULOS_CDF'!$R$6:$R$1005,A593,'VÍNCULOS_CDF'!$Y$6:$Y$1005,1))</f>
        <v>0</v>
      </c>
      <c r="AG593" s="96" t="str">
        <f>IF(AND(R593=1,S593&lt;&gt;"",C593&lt;&gt;""),S593&amp;"|"&amp;C593&amp;"|"&amp;G593&amp;"|"&amp;H593,"")</f>
        <v/>
      </c>
      <c r="AH593" s="96">
        <f>IF(AG593="",0,IF(SUMPRODUCT(--($AG$6:$AG$1005=AG593))&gt;1,1,0))</f>
        <v>0</v>
      </c>
      <c r="AI593" s="96">
        <f>IF(R593=0,0,IF(OR(U593=0,V593=0,Y593=0,AND(AH593=1,K593&lt;&gt;"Sim")),1,0))</f>
        <v>0</v>
      </c>
      <c r="AJ593" s="96">
        <f>IF(AND(R593=1,AA593&gt;0,AB593=AA593),1,0)</f>
        <v>0</v>
      </c>
      <c r="AK593" s="96">
        <f>IF(R593=0,0,IF(AA593&gt;0,N(L593),IF(ISNUMBER(I593),I593,0)))</f>
        <v>0</v>
      </c>
      <c r="AL593" s="96">
        <f>IF(R593=0,0,IF(AND(K593&lt;&gt;"Sim",N(M593)&gt;AK593+cfg_tol),1,0))</f>
        <v>0</v>
      </c>
      <c r="AM593" s="96">
        <f>IF(R593=0,0,IF(K593="Sim",0,IF(OR(AND(AA593&gt;0,ISNUMBER(I593),ABS(I593-N(L593))&gt;cfg_tol),AL593=1),1,0)))</f>
        <v>0</v>
      </c>
      <c r="AN593" s="96">
        <f>IF(AND(R593=1,N(M593)&gt;0,OR(N(M593)&gt;=AK593-cfg_tol,K593="Sim")),1,0)</f>
        <v>0</v>
      </c>
      <c r="AO593" s="96">
        <f>IF(AND(AN593=1,AD593&gt;0,AE593=AD593,AL593=0),1,0)</f>
        <v>0</v>
      </c>
      <c r="AP593" s="96">
        <f>IF(U593=0,0,IF(AND(INDEX('MTRs'!$AX$6:$AX$505,T593)=1,Z593=0,OR(f_res="",f_res="(Todos)",C593=f_res)),1,0))</f>
        <v>0</v>
      </c>
      <c r="AQ593" s="97" t="str">
        <f>IF(U593=0,"",INDEX('MTRs'!$AZ$6:$AZ$505,T593))</f>
        <v/>
      </c>
      <c r="AR593" s="96">
        <f>IF(U593=0,0,IF(AND(INDEX('MTRs'!$BA$6:$BA$505,T593)=1,Z593=0),1,0))</f>
        <v>0</v>
      </c>
      <c r="AS593" s="96" t="str">
        <f>IF(R593=1,A593&amp;" | MTR "&amp;IF(U593=1,INDEX('MTRs'!$B$6:$B$505,T593)&amp;"","?")&amp;" | "&amp;IF(C593="","(sem resíduo)",C593),"")</f>
        <v/>
      </c>
      <c r="AT593" s="96" t="str">
        <f>IF(R593=1,COUNTIF($R$6:R593,1),"")</f>
        <v/>
      </c>
      <c r="AU593" s="96" t="str">
        <f>IF(U593=1,INDEX('MTRs'!$I$6:$I$505,T593)&amp;"","")</f>
        <v/>
      </c>
    </row>
    <row r="594">
      <c r="A594" s="89" t="inlineStr">
        <is>
          <t>IT-000589</t>
        </is>
      </c>
      <c r="B594" s="91" t="n"/>
      <c r="C594" s="91" t="n"/>
      <c r="D594" s="94" t="str">
        <f>IF(OR(R594=0,V594=0),"",INDEX('CAD_RESÍDUOS'!$E$6:$E$205,MATCH(C594,'CAD_RESÍDUOS'!$B$6:$B$205,0))&amp;"")</f>
        <v/>
      </c>
      <c r="E594" s="94" t="str">
        <f>IF(OR(R594=0,V594=0),"",INDEX('CAD_RESÍDUOS'!$C$6:$C$205,MATCH(C594,'CAD_RESÍDUOS'!$B$6:$B$205,0))&amp;"")</f>
        <v/>
      </c>
      <c r="F594" s="94" t="str">
        <f>IF(OR(R594=0,V594=0),"",INDEX('CAD_RESÍDUOS'!$G$6:$G$205,MATCH(C594,'CAD_RESÍDUOS'!$B$6:$B$205,0))&amp;"")</f>
        <v/>
      </c>
      <c r="G594" s="98" t="n"/>
      <c r="H594" s="91" t="n"/>
      <c r="I594" s="93" t="str">
        <f>IF(R594=0,"",IF(NOT(ISNUMBER(G594)),"",IF(ISNUMBER(X594),G594*X594,"UNIDADE A CONFERIR")))</f>
        <v/>
      </c>
      <c r="J594" s="91" t="n"/>
      <c r="K594" s="91" t="n"/>
      <c r="L594" s="93" t="str">
        <f>IF(R594=0,"",SUMIFS('RECEBIMENTOS'!$H$6:$H$1005,'RECEBIMENTOS'!$R$6:$R$1005,A594,'RECEBIMENTOS'!$X$6:$X$1005,1))</f>
        <v/>
      </c>
      <c r="M594" s="93" t="str">
        <f>IF(R594=0,"",SUMIFS('VÍNCULOS_CDF'!$H$6:$H$1005,'VÍNCULOS_CDF'!$R$6:$R$1005,A594,'VÍNCULOS_CDF'!$V$6:$V$1005,1))</f>
        <v/>
      </c>
      <c r="N594" s="99" t="str">
        <f>IF(OR(R594=0,AA594=0,NOT(ISNUMBER(I594))),"",I594-N(L594))</f>
        <v/>
      </c>
      <c r="O594" s="100" t="str">
        <f>IF(OR(R594=0,AK594&lt;=0),"",N(M594)/AK594)</f>
        <v/>
      </c>
      <c r="P594" s="94" t="str">
        <f>IF(R594=0,"",IF(S594="","Sem MTR associado",IF(U594=0,"MTR inexistente",IF(C594="","Resíduo não identificado",IF(V594=0,"Resíduo fora do cadastro",IF(W594=0,"Quantidade inválida",IF(H594="","Unidade não informada",IF(NOT(ISNUMBER(I594)),"Unidade a conferir",IF(AND(AH594=1,K594&lt;&gt;"Sim"),"Possível duplicidade",IF(Z594=1,"MTR cancelado",IF(AC594&gt;0,"Recebimento com alerta",IF(AA594=0,"Aguardando recebimento",IF(AB594&lt;AA594,"Recebimento a conferir",IF(AM594=1,"Quantidade a revisar",IF(AF594&gt;0,"Vínculo a revisar",IF(AD594=0,"Aguardando CDF",IF(AN594=0,"Vínculo de CDF parcial",IF(AE594&lt;AD594,"CDF a conferir","Documentação conferida"))))))))))))))))))</f>
        <v/>
      </c>
      <c r="Q594" s="93" t="str">
        <f>IF(OR(R594=0,AA594=0),"",MAX(0,N(L594)-N(M594)))</f>
        <v/>
      </c>
      <c r="R594" s="96">
        <f>IF(COUNTA(B594:C594,G594:H594,J594:K594)&gt;0,1,0)</f>
        <v>0</v>
      </c>
      <c r="S594" s="96" t="str">
        <f>IF(B594="","",TRIM(LEFT(B594,FIND(" |",B594&amp;" |")-1)))</f>
        <v/>
      </c>
      <c r="T594" s="96" t="str">
        <f>IF(S594="","",IFERROR(MATCH(S594,'MTRs'!$A$6:$A$505,0),""))</f>
        <v/>
      </c>
      <c r="U594" s="96">
        <f>IF(T594="",0,IF(INDEX('MTRs'!$Z$6:$Z$505,T594)=1,1,0))</f>
        <v>0</v>
      </c>
      <c r="V594" s="96">
        <f>IF(C594="",0,IF(ISNUMBER(MATCH(C594,'CAD_RESÍDUOS'!$B$6:$B$205,0)),1,0))</f>
        <v>0</v>
      </c>
      <c r="W594" s="96">
        <f>IF(AND(ISNUMBER(G594),G594&gt;0),1,0)</f>
        <v>0</v>
      </c>
      <c r="X594" s="96" t="str">
        <f>IF(H594="","",IFERROR(IF(ISNUMBER(INDEX(cfg_fac,MATCH(H594,cfg_units,0))),IF(INDEX(cfg_fac,MATCH(H594,cfg_units,0))&gt;0,INDEX(cfg_fac,MATCH(H594,cfg_units,0)),""),""),""))</f>
        <v/>
      </c>
      <c r="Y594" s="96">
        <f>IF(AND(W594=1,ISNUMBER(I594)),1,0)</f>
        <v>0</v>
      </c>
      <c r="Z594" s="96">
        <f>IF(U594=1,INDEX('MTRs'!$AA$6:$AA$505,T594),0)</f>
        <v>0</v>
      </c>
      <c r="AA594" s="96">
        <f>IF(R594=0,0,COUNTIFS('RECEBIMENTOS'!$R$6:$R$1005,A594,'RECEBIMENTOS'!$Q$6:$Q$1005,1))</f>
        <v>0</v>
      </c>
      <c r="AB594" s="96">
        <f>IF(R594=0,0,COUNTIFS('RECEBIMENTOS'!$R$6:$R$1005,A594,'RECEBIMENTOS'!$Z$6:$Z$1005,1))</f>
        <v>0</v>
      </c>
      <c r="AC594" s="96">
        <f>IF(R594=0,0,COUNTIFS('RECEBIMENTOS'!$R$6:$R$1005,A594,'RECEBIMENTOS'!$Y$6:$Y$1005,1))</f>
        <v>0</v>
      </c>
      <c r="AD594" s="96">
        <f>IF(R594=0,0,COUNTIFS('VÍNCULOS_CDF'!$R$6:$R$1005,A594,'VÍNCULOS_CDF'!$N$6:$N$1005,1))</f>
        <v>0</v>
      </c>
      <c r="AE594" s="96">
        <f>IF(R594=0,0,COUNTIFS('VÍNCULOS_CDF'!$R$6:$R$1005,A594,'VÍNCULOS_CDF'!$AA$6:$AA$1005,1))</f>
        <v>0</v>
      </c>
      <c r="AF594" s="96">
        <f>IF(R594=0,0,COUNTIFS('VÍNCULOS_CDF'!$R$6:$R$1005,A594,'VÍNCULOS_CDF'!$Y$6:$Y$1005,1))</f>
        <v>0</v>
      </c>
      <c r="AG594" s="96" t="str">
        <f>IF(AND(R594=1,S594&lt;&gt;"",C594&lt;&gt;""),S594&amp;"|"&amp;C594&amp;"|"&amp;G594&amp;"|"&amp;H594,"")</f>
        <v/>
      </c>
      <c r="AH594" s="96">
        <f>IF(AG594="",0,IF(SUMPRODUCT(--($AG$6:$AG$1005=AG594))&gt;1,1,0))</f>
        <v>0</v>
      </c>
      <c r="AI594" s="96">
        <f>IF(R594=0,0,IF(OR(U594=0,V594=0,Y594=0,AND(AH594=1,K594&lt;&gt;"Sim")),1,0))</f>
        <v>0</v>
      </c>
      <c r="AJ594" s="96">
        <f>IF(AND(R594=1,AA594&gt;0,AB594=AA594),1,0)</f>
        <v>0</v>
      </c>
      <c r="AK594" s="96">
        <f>IF(R594=0,0,IF(AA594&gt;0,N(L594),IF(ISNUMBER(I594),I594,0)))</f>
        <v>0</v>
      </c>
      <c r="AL594" s="96">
        <f>IF(R594=0,0,IF(AND(K594&lt;&gt;"Sim",N(M594)&gt;AK594+cfg_tol),1,0))</f>
        <v>0</v>
      </c>
      <c r="AM594" s="96">
        <f>IF(R594=0,0,IF(K594="Sim",0,IF(OR(AND(AA594&gt;0,ISNUMBER(I594),ABS(I594-N(L594))&gt;cfg_tol),AL594=1),1,0)))</f>
        <v>0</v>
      </c>
      <c r="AN594" s="96">
        <f>IF(AND(R594=1,N(M594)&gt;0,OR(N(M594)&gt;=AK594-cfg_tol,K594="Sim")),1,0)</f>
        <v>0</v>
      </c>
      <c r="AO594" s="96">
        <f>IF(AND(AN594=1,AD594&gt;0,AE594=AD594,AL594=0),1,0)</f>
        <v>0</v>
      </c>
      <c r="AP594" s="96">
        <f>IF(U594=0,0,IF(AND(INDEX('MTRs'!$AX$6:$AX$505,T594)=1,Z594=0,OR(f_res="",f_res="(Todos)",C594=f_res)),1,0))</f>
        <v>0</v>
      </c>
      <c r="AQ594" s="97" t="str">
        <f>IF(U594=0,"",INDEX('MTRs'!$AZ$6:$AZ$505,T594))</f>
        <v/>
      </c>
      <c r="AR594" s="96">
        <f>IF(U594=0,0,IF(AND(INDEX('MTRs'!$BA$6:$BA$505,T594)=1,Z594=0),1,0))</f>
        <v>0</v>
      </c>
      <c r="AS594" s="96" t="str">
        <f>IF(R594=1,A594&amp;" | MTR "&amp;IF(U594=1,INDEX('MTRs'!$B$6:$B$505,T594)&amp;"","?")&amp;" | "&amp;IF(C594="","(sem resíduo)",C594),"")</f>
        <v/>
      </c>
      <c r="AT594" s="96" t="str">
        <f>IF(R594=1,COUNTIF($R$6:R594,1),"")</f>
        <v/>
      </c>
      <c r="AU594" s="96" t="str">
        <f>IF(U594=1,INDEX('MTRs'!$I$6:$I$505,T594)&amp;"","")</f>
        <v/>
      </c>
    </row>
    <row r="595">
      <c r="A595" s="89" t="inlineStr">
        <is>
          <t>IT-000590</t>
        </is>
      </c>
      <c r="B595" s="91" t="n"/>
      <c r="C595" s="91" t="n"/>
      <c r="D595" s="94" t="str">
        <f>IF(OR(R595=0,V595=0),"",INDEX('CAD_RESÍDUOS'!$E$6:$E$205,MATCH(C595,'CAD_RESÍDUOS'!$B$6:$B$205,0))&amp;"")</f>
        <v/>
      </c>
      <c r="E595" s="94" t="str">
        <f>IF(OR(R595=0,V595=0),"",INDEX('CAD_RESÍDUOS'!$C$6:$C$205,MATCH(C595,'CAD_RESÍDUOS'!$B$6:$B$205,0))&amp;"")</f>
        <v/>
      </c>
      <c r="F595" s="94" t="str">
        <f>IF(OR(R595=0,V595=0),"",INDEX('CAD_RESÍDUOS'!$G$6:$G$205,MATCH(C595,'CAD_RESÍDUOS'!$B$6:$B$205,0))&amp;"")</f>
        <v/>
      </c>
      <c r="G595" s="98" t="n"/>
      <c r="H595" s="91" t="n"/>
      <c r="I595" s="93" t="str">
        <f>IF(R595=0,"",IF(NOT(ISNUMBER(G595)),"",IF(ISNUMBER(X595),G595*X595,"UNIDADE A CONFERIR")))</f>
        <v/>
      </c>
      <c r="J595" s="91" t="n"/>
      <c r="K595" s="91" t="n"/>
      <c r="L595" s="93" t="str">
        <f>IF(R595=0,"",SUMIFS('RECEBIMENTOS'!$H$6:$H$1005,'RECEBIMENTOS'!$R$6:$R$1005,A595,'RECEBIMENTOS'!$X$6:$X$1005,1))</f>
        <v/>
      </c>
      <c r="M595" s="93" t="str">
        <f>IF(R595=0,"",SUMIFS('VÍNCULOS_CDF'!$H$6:$H$1005,'VÍNCULOS_CDF'!$R$6:$R$1005,A595,'VÍNCULOS_CDF'!$V$6:$V$1005,1))</f>
        <v/>
      </c>
      <c r="N595" s="99" t="str">
        <f>IF(OR(R595=0,AA595=0,NOT(ISNUMBER(I595))),"",I595-N(L595))</f>
        <v/>
      </c>
      <c r="O595" s="100" t="str">
        <f>IF(OR(R595=0,AK595&lt;=0),"",N(M595)/AK595)</f>
        <v/>
      </c>
      <c r="P595" s="94" t="str">
        <f>IF(R595=0,"",IF(S595="","Sem MTR associado",IF(U595=0,"MTR inexistente",IF(C595="","Resíduo não identificado",IF(V595=0,"Resíduo fora do cadastro",IF(W595=0,"Quantidade inválida",IF(H595="","Unidade não informada",IF(NOT(ISNUMBER(I595)),"Unidade a conferir",IF(AND(AH595=1,K595&lt;&gt;"Sim"),"Possível duplicidade",IF(Z595=1,"MTR cancelado",IF(AC595&gt;0,"Recebimento com alerta",IF(AA595=0,"Aguardando recebimento",IF(AB595&lt;AA595,"Recebimento a conferir",IF(AM595=1,"Quantidade a revisar",IF(AF595&gt;0,"Vínculo a revisar",IF(AD595=0,"Aguardando CDF",IF(AN595=0,"Vínculo de CDF parcial",IF(AE595&lt;AD595,"CDF a conferir","Documentação conferida"))))))))))))))))))</f>
        <v/>
      </c>
      <c r="Q595" s="93" t="str">
        <f>IF(OR(R595=0,AA595=0),"",MAX(0,N(L595)-N(M595)))</f>
        <v/>
      </c>
      <c r="R595" s="96">
        <f>IF(COUNTA(B595:C595,G595:H595,J595:K595)&gt;0,1,0)</f>
        <v>0</v>
      </c>
      <c r="S595" s="96" t="str">
        <f>IF(B595="","",TRIM(LEFT(B595,FIND(" |",B595&amp;" |")-1)))</f>
        <v/>
      </c>
      <c r="T595" s="96" t="str">
        <f>IF(S595="","",IFERROR(MATCH(S595,'MTRs'!$A$6:$A$505,0),""))</f>
        <v/>
      </c>
      <c r="U595" s="96">
        <f>IF(T595="",0,IF(INDEX('MTRs'!$Z$6:$Z$505,T595)=1,1,0))</f>
        <v>0</v>
      </c>
      <c r="V595" s="96">
        <f>IF(C595="",0,IF(ISNUMBER(MATCH(C595,'CAD_RESÍDUOS'!$B$6:$B$205,0)),1,0))</f>
        <v>0</v>
      </c>
      <c r="W595" s="96">
        <f>IF(AND(ISNUMBER(G595),G595&gt;0),1,0)</f>
        <v>0</v>
      </c>
      <c r="X595" s="96" t="str">
        <f>IF(H595="","",IFERROR(IF(ISNUMBER(INDEX(cfg_fac,MATCH(H595,cfg_units,0))),IF(INDEX(cfg_fac,MATCH(H595,cfg_units,0))&gt;0,INDEX(cfg_fac,MATCH(H595,cfg_units,0)),""),""),""))</f>
        <v/>
      </c>
      <c r="Y595" s="96">
        <f>IF(AND(W595=1,ISNUMBER(I595)),1,0)</f>
        <v>0</v>
      </c>
      <c r="Z595" s="96">
        <f>IF(U595=1,INDEX('MTRs'!$AA$6:$AA$505,T595),0)</f>
        <v>0</v>
      </c>
      <c r="AA595" s="96">
        <f>IF(R595=0,0,COUNTIFS('RECEBIMENTOS'!$R$6:$R$1005,A595,'RECEBIMENTOS'!$Q$6:$Q$1005,1))</f>
        <v>0</v>
      </c>
      <c r="AB595" s="96">
        <f>IF(R595=0,0,COUNTIFS('RECEBIMENTOS'!$R$6:$R$1005,A595,'RECEBIMENTOS'!$Z$6:$Z$1005,1))</f>
        <v>0</v>
      </c>
      <c r="AC595" s="96">
        <f>IF(R595=0,0,COUNTIFS('RECEBIMENTOS'!$R$6:$R$1005,A595,'RECEBIMENTOS'!$Y$6:$Y$1005,1))</f>
        <v>0</v>
      </c>
      <c r="AD595" s="96">
        <f>IF(R595=0,0,COUNTIFS('VÍNCULOS_CDF'!$R$6:$R$1005,A595,'VÍNCULOS_CDF'!$N$6:$N$1005,1))</f>
        <v>0</v>
      </c>
      <c r="AE595" s="96">
        <f>IF(R595=0,0,COUNTIFS('VÍNCULOS_CDF'!$R$6:$R$1005,A595,'VÍNCULOS_CDF'!$AA$6:$AA$1005,1))</f>
        <v>0</v>
      </c>
      <c r="AF595" s="96">
        <f>IF(R595=0,0,COUNTIFS('VÍNCULOS_CDF'!$R$6:$R$1005,A595,'VÍNCULOS_CDF'!$Y$6:$Y$1005,1))</f>
        <v>0</v>
      </c>
      <c r="AG595" s="96" t="str">
        <f>IF(AND(R595=1,S595&lt;&gt;"",C595&lt;&gt;""),S595&amp;"|"&amp;C595&amp;"|"&amp;G595&amp;"|"&amp;H595,"")</f>
        <v/>
      </c>
      <c r="AH595" s="96">
        <f>IF(AG595="",0,IF(SUMPRODUCT(--($AG$6:$AG$1005=AG595))&gt;1,1,0))</f>
        <v>0</v>
      </c>
      <c r="AI595" s="96">
        <f>IF(R595=0,0,IF(OR(U595=0,V595=0,Y595=0,AND(AH595=1,K595&lt;&gt;"Sim")),1,0))</f>
        <v>0</v>
      </c>
      <c r="AJ595" s="96">
        <f>IF(AND(R595=1,AA595&gt;0,AB595=AA595),1,0)</f>
        <v>0</v>
      </c>
      <c r="AK595" s="96">
        <f>IF(R595=0,0,IF(AA595&gt;0,N(L595),IF(ISNUMBER(I595),I595,0)))</f>
        <v>0</v>
      </c>
      <c r="AL595" s="96">
        <f>IF(R595=0,0,IF(AND(K595&lt;&gt;"Sim",N(M595)&gt;AK595+cfg_tol),1,0))</f>
        <v>0</v>
      </c>
      <c r="AM595" s="96">
        <f>IF(R595=0,0,IF(K595="Sim",0,IF(OR(AND(AA595&gt;0,ISNUMBER(I595),ABS(I595-N(L595))&gt;cfg_tol),AL595=1),1,0)))</f>
        <v>0</v>
      </c>
      <c r="AN595" s="96">
        <f>IF(AND(R595=1,N(M595)&gt;0,OR(N(M595)&gt;=AK595-cfg_tol,K595="Sim")),1,0)</f>
        <v>0</v>
      </c>
      <c r="AO595" s="96">
        <f>IF(AND(AN595=1,AD595&gt;0,AE595=AD595,AL595=0),1,0)</f>
        <v>0</v>
      </c>
      <c r="AP595" s="96">
        <f>IF(U595=0,0,IF(AND(INDEX('MTRs'!$AX$6:$AX$505,T595)=1,Z595=0,OR(f_res="",f_res="(Todos)",C595=f_res)),1,0))</f>
        <v>0</v>
      </c>
      <c r="AQ595" s="97" t="str">
        <f>IF(U595=0,"",INDEX('MTRs'!$AZ$6:$AZ$505,T595))</f>
        <v/>
      </c>
      <c r="AR595" s="96">
        <f>IF(U595=0,0,IF(AND(INDEX('MTRs'!$BA$6:$BA$505,T595)=1,Z595=0),1,0))</f>
        <v>0</v>
      </c>
      <c r="AS595" s="96" t="str">
        <f>IF(R595=1,A595&amp;" | MTR "&amp;IF(U595=1,INDEX('MTRs'!$B$6:$B$505,T595)&amp;"","?")&amp;" | "&amp;IF(C595="","(sem resíduo)",C595),"")</f>
        <v/>
      </c>
      <c r="AT595" s="96" t="str">
        <f>IF(R595=1,COUNTIF($R$6:R595,1),"")</f>
        <v/>
      </c>
      <c r="AU595" s="96" t="str">
        <f>IF(U595=1,INDEX('MTRs'!$I$6:$I$505,T595)&amp;"","")</f>
        <v/>
      </c>
    </row>
    <row r="596">
      <c r="A596" s="89" t="inlineStr">
        <is>
          <t>IT-000591</t>
        </is>
      </c>
      <c r="B596" s="91" t="n"/>
      <c r="C596" s="91" t="n"/>
      <c r="D596" s="94" t="str">
        <f>IF(OR(R596=0,V596=0),"",INDEX('CAD_RESÍDUOS'!$E$6:$E$205,MATCH(C596,'CAD_RESÍDUOS'!$B$6:$B$205,0))&amp;"")</f>
        <v/>
      </c>
      <c r="E596" s="94" t="str">
        <f>IF(OR(R596=0,V596=0),"",INDEX('CAD_RESÍDUOS'!$C$6:$C$205,MATCH(C596,'CAD_RESÍDUOS'!$B$6:$B$205,0))&amp;"")</f>
        <v/>
      </c>
      <c r="F596" s="94" t="str">
        <f>IF(OR(R596=0,V596=0),"",INDEX('CAD_RESÍDUOS'!$G$6:$G$205,MATCH(C596,'CAD_RESÍDUOS'!$B$6:$B$205,0))&amp;"")</f>
        <v/>
      </c>
      <c r="G596" s="98" t="n"/>
      <c r="H596" s="91" t="n"/>
      <c r="I596" s="93" t="str">
        <f>IF(R596=0,"",IF(NOT(ISNUMBER(G596)),"",IF(ISNUMBER(X596),G596*X596,"UNIDADE A CONFERIR")))</f>
        <v/>
      </c>
      <c r="J596" s="91" t="n"/>
      <c r="K596" s="91" t="n"/>
      <c r="L596" s="93" t="str">
        <f>IF(R596=0,"",SUMIFS('RECEBIMENTOS'!$H$6:$H$1005,'RECEBIMENTOS'!$R$6:$R$1005,A596,'RECEBIMENTOS'!$X$6:$X$1005,1))</f>
        <v/>
      </c>
      <c r="M596" s="93" t="str">
        <f>IF(R596=0,"",SUMIFS('VÍNCULOS_CDF'!$H$6:$H$1005,'VÍNCULOS_CDF'!$R$6:$R$1005,A596,'VÍNCULOS_CDF'!$V$6:$V$1005,1))</f>
        <v/>
      </c>
      <c r="N596" s="99" t="str">
        <f>IF(OR(R596=0,AA596=0,NOT(ISNUMBER(I596))),"",I596-N(L596))</f>
        <v/>
      </c>
      <c r="O596" s="100" t="str">
        <f>IF(OR(R596=0,AK596&lt;=0),"",N(M596)/AK596)</f>
        <v/>
      </c>
      <c r="P596" s="94" t="str">
        <f>IF(R596=0,"",IF(S596="","Sem MTR associado",IF(U596=0,"MTR inexistente",IF(C596="","Resíduo não identificado",IF(V596=0,"Resíduo fora do cadastro",IF(W596=0,"Quantidade inválida",IF(H596="","Unidade não informada",IF(NOT(ISNUMBER(I596)),"Unidade a conferir",IF(AND(AH596=1,K596&lt;&gt;"Sim"),"Possível duplicidade",IF(Z596=1,"MTR cancelado",IF(AC596&gt;0,"Recebimento com alerta",IF(AA596=0,"Aguardando recebimento",IF(AB596&lt;AA596,"Recebimento a conferir",IF(AM596=1,"Quantidade a revisar",IF(AF596&gt;0,"Vínculo a revisar",IF(AD596=0,"Aguardando CDF",IF(AN596=0,"Vínculo de CDF parcial",IF(AE596&lt;AD596,"CDF a conferir","Documentação conferida"))))))))))))))))))</f>
        <v/>
      </c>
      <c r="Q596" s="93" t="str">
        <f>IF(OR(R596=0,AA596=0),"",MAX(0,N(L596)-N(M596)))</f>
        <v/>
      </c>
      <c r="R596" s="96">
        <f>IF(COUNTA(B596:C596,G596:H596,J596:K596)&gt;0,1,0)</f>
        <v>0</v>
      </c>
      <c r="S596" s="96" t="str">
        <f>IF(B596="","",TRIM(LEFT(B596,FIND(" |",B596&amp;" |")-1)))</f>
        <v/>
      </c>
      <c r="T596" s="96" t="str">
        <f>IF(S596="","",IFERROR(MATCH(S596,'MTRs'!$A$6:$A$505,0),""))</f>
        <v/>
      </c>
      <c r="U596" s="96">
        <f>IF(T596="",0,IF(INDEX('MTRs'!$Z$6:$Z$505,T596)=1,1,0))</f>
        <v>0</v>
      </c>
      <c r="V596" s="96">
        <f>IF(C596="",0,IF(ISNUMBER(MATCH(C596,'CAD_RESÍDUOS'!$B$6:$B$205,0)),1,0))</f>
        <v>0</v>
      </c>
      <c r="W596" s="96">
        <f>IF(AND(ISNUMBER(G596),G596&gt;0),1,0)</f>
        <v>0</v>
      </c>
      <c r="X596" s="96" t="str">
        <f>IF(H596="","",IFERROR(IF(ISNUMBER(INDEX(cfg_fac,MATCH(H596,cfg_units,0))),IF(INDEX(cfg_fac,MATCH(H596,cfg_units,0))&gt;0,INDEX(cfg_fac,MATCH(H596,cfg_units,0)),""),""),""))</f>
        <v/>
      </c>
      <c r="Y596" s="96">
        <f>IF(AND(W596=1,ISNUMBER(I596)),1,0)</f>
        <v>0</v>
      </c>
      <c r="Z596" s="96">
        <f>IF(U596=1,INDEX('MTRs'!$AA$6:$AA$505,T596),0)</f>
        <v>0</v>
      </c>
      <c r="AA596" s="96">
        <f>IF(R596=0,0,COUNTIFS('RECEBIMENTOS'!$R$6:$R$1005,A596,'RECEBIMENTOS'!$Q$6:$Q$1005,1))</f>
        <v>0</v>
      </c>
      <c r="AB596" s="96">
        <f>IF(R596=0,0,COUNTIFS('RECEBIMENTOS'!$R$6:$R$1005,A596,'RECEBIMENTOS'!$Z$6:$Z$1005,1))</f>
        <v>0</v>
      </c>
      <c r="AC596" s="96">
        <f>IF(R596=0,0,COUNTIFS('RECEBIMENTOS'!$R$6:$R$1005,A596,'RECEBIMENTOS'!$Y$6:$Y$1005,1))</f>
        <v>0</v>
      </c>
      <c r="AD596" s="96">
        <f>IF(R596=0,0,COUNTIFS('VÍNCULOS_CDF'!$R$6:$R$1005,A596,'VÍNCULOS_CDF'!$N$6:$N$1005,1))</f>
        <v>0</v>
      </c>
      <c r="AE596" s="96">
        <f>IF(R596=0,0,COUNTIFS('VÍNCULOS_CDF'!$R$6:$R$1005,A596,'VÍNCULOS_CDF'!$AA$6:$AA$1005,1))</f>
        <v>0</v>
      </c>
      <c r="AF596" s="96">
        <f>IF(R596=0,0,COUNTIFS('VÍNCULOS_CDF'!$R$6:$R$1005,A596,'VÍNCULOS_CDF'!$Y$6:$Y$1005,1))</f>
        <v>0</v>
      </c>
      <c r="AG596" s="96" t="str">
        <f>IF(AND(R596=1,S596&lt;&gt;"",C596&lt;&gt;""),S596&amp;"|"&amp;C596&amp;"|"&amp;G596&amp;"|"&amp;H596,"")</f>
        <v/>
      </c>
      <c r="AH596" s="96">
        <f>IF(AG596="",0,IF(SUMPRODUCT(--($AG$6:$AG$1005=AG596))&gt;1,1,0))</f>
        <v>0</v>
      </c>
      <c r="AI596" s="96">
        <f>IF(R596=0,0,IF(OR(U596=0,V596=0,Y596=0,AND(AH596=1,K596&lt;&gt;"Sim")),1,0))</f>
        <v>0</v>
      </c>
      <c r="AJ596" s="96">
        <f>IF(AND(R596=1,AA596&gt;0,AB596=AA596),1,0)</f>
        <v>0</v>
      </c>
      <c r="AK596" s="96">
        <f>IF(R596=0,0,IF(AA596&gt;0,N(L596),IF(ISNUMBER(I596),I596,0)))</f>
        <v>0</v>
      </c>
      <c r="AL596" s="96">
        <f>IF(R596=0,0,IF(AND(K596&lt;&gt;"Sim",N(M596)&gt;AK596+cfg_tol),1,0))</f>
        <v>0</v>
      </c>
      <c r="AM596" s="96">
        <f>IF(R596=0,0,IF(K596="Sim",0,IF(OR(AND(AA596&gt;0,ISNUMBER(I596),ABS(I596-N(L596))&gt;cfg_tol),AL596=1),1,0)))</f>
        <v>0</v>
      </c>
      <c r="AN596" s="96">
        <f>IF(AND(R596=1,N(M596)&gt;0,OR(N(M596)&gt;=AK596-cfg_tol,K596="Sim")),1,0)</f>
        <v>0</v>
      </c>
      <c r="AO596" s="96">
        <f>IF(AND(AN596=1,AD596&gt;0,AE596=AD596,AL596=0),1,0)</f>
        <v>0</v>
      </c>
      <c r="AP596" s="96">
        <f>IF(U596=0,0,IF(AND(INDEX('MTRs'!$AX$6:$AX$505,T596)=1,Z596=0,OR(f_res="",f_res="(Todos)",C596=f_res)),1,0))</f>
        <v>0</v>
      </c>
      <c r="AQ596" s="97" t="str">
        <f>IF(U596=0,"",INDEX('MTRs'!$AZ$6:$AZ$505,T596))</f>
        <v/>
      </c>
      <c r="AR596" s="96">
        <f>IF(U596=0,0,IF(AND(INDEX('MTRs'!$BA$6:$BA$505,T596)=1,Z596=0),1,0))</f>
        <v>0</v>
      </c>
      <c r="AS596" s="96" t="str">
        <f>IF(R596=1,A596&amp;" | MTR "&amp;IF(U596=1,INDEX('MTRs'!$B$6:$B$505,T596)&amp;"","?")&amp;" | "&amp;IF(C596="","(sem resíduo)",C596),"")</f>
        <v/>
      </c>
      <c r="AT596" s="96" t="str">
        <f>IF(R596=1,COUNTIF($R$6:R596,1),"")</f>
        <v/>
      </c>
      <c r="AU596" s="96" t="str">
        <f>IF(U596=1,INDEX('MTRs'!$I$6:$I$505,T596)&amp;"","")</f>
        <v/>
      </c>
    </row>
    <row r="597">
      <c r="A597" s="89" t="inlineStr">
        <is>
          <t>IT-000592</t>
        </is>
      </c>
      <c r="B597" s="91" t="n"/>
      <c r="C597" s="91" t="n"/>
      <c r="D597" s="94" t="str">
        <f>IF(OR(R597=0,V597=0),"",INDEX('CAD_RESÍDUOS'!$E$6:$E$205,MATCH(C597,'CAD_RESÍDUOS'!$B$6:$B$205,0))&amp;"")</f>
        <v/>
      </c>
      <c r="E597" s="94" t="str">
        <f>IF(OR(R597=0,V597=0),"",INDEX('CAD_RESÍDUOS'!$C$6:$C$205,MATCH(C597,'CAD_RESÍDUOS'!$B$6:$B$205,0))&amp;"")</f>
        <v/>
      </c>
      <c r="F597" s="94" t="str">
        <f>IF(OR(R597=0,V597=0),"",INDEX('CAD_RESÍDUOS'!$G$6:$G$205,MATCH(C597,'CAD_RESÍDUOS'!$B$6:$B$205,0))&amp;"")</f>
        <v/>
      </c>
      <c r="G597" s="98" t="n"/>
      <c r="H597" s="91" t="n"/>
      <c r="I597" s="93" t="str">
        <f>IF(R597=0,"",IF(NOT(ISNUMBER(G597)),"",IF(ISNUMBER(X597),G597*X597,"UNIDADE A CONFERIR")))</f>
        <v/>
      </c>
      <c r="J597" s="91" t="n"/>
      <c r="K597" s="91" t="n"/>
      <c r="L597" s="93" t="str">
        <f>IF(R597=0,"",SUMIFS('RECEBIMENTOS'!$H$6:$H$1005,'RECEBIMENTOS'!$R$6:$R$1005,A597,'RECEBIMENTOS'!$X$6:$X$1005,1))</f>
        <v/>
      </c>
      <c r="M597" s="93" t="str">
        <f>IF(R597=0,"",SUMIFS('VÍNCULOS_CDF'!$H$6:$H$1005,'VÍNCULOS_CDF'!$R$6:$R$1005,A597,'VÍNCULOS_CDF'!$V$6:$V$1005,1))</f>
        <v/>
      </c>
      <c r="N597" s="99" t="str">
        <f>IF(OR(R597=0,AA597=0,NOT(ISNUMBER(I597))),"",I597-N(L597))</f>
        <v/>
      </c>
      <c r="O597" s="100" t="str">
        <f>IF(OR(R597=0,AK597&lt;=0),"",N(M597)/AK597)</f>
        <v/>
      </c>
      <c r="P597" s="94" t="str">
        <f>IF(R597=0,"",IF(S597="","Sem MTR associado",IF(U597=0,"MTR inexistente",IF(C597="","Resíduo não identificado",IF(V597=0,"Resíduo fora do cadastro",IF(W597=0,"Quantidade inválida",IF(H597="","Unidade não informada",IF(NOT(ISNUMBER(I597)),"Unidade a conferir",IF(AND(AH597=1,K597&lt;&gt;"Sim"),"Possível duplicidade",IF(Z597=1,"MTR cancelado",IF(AC597&gt;0,"Recebimento com alerta",IF(AA597=0,"Aguardando recebimento",IF(AB597&lt;AA597,"Recebimento a conferir",IF(AM597=1,"Quantidade a revisar",IF(AF597&gt;0,"Vínculo a revisar",IF(AD597=0,"Aguardando CDF",IF(AN597=0,"Vínculo de CDF parcial",IF(AE597&lt;AD597,"CDF a conferir","Documentação conferida"))))))))))))))))))</f>
        <v/>
      </c>
      <c r="Q597" s="93" t="str">
        <f>IF(OR(R597=0,AA597=0),"",MAX(0,N(L597)-N(M597)))</f>
        <v/>
      </c>
      <c r="R597" s="96">
        <f>IF(COUNTA(B597:C597,G597:H597,J597:K597)&gt;0,1,0)</f>
        <v>0</v>
      </c>
      <c r="S597" s="96" t="str">
        <f>IF(B597="","",TRIM(LEFT(B597,FIND(" |",B597&amp;" |")-1)))</f>
        <v/>
      </c>
      <c r="T597" s="96" t="str">
        <f>IF(S597="","",IFERROR(MATCH(S597,'MTRs'!$A$6:$A$505,0),""))</f>
        <v/>
      </c>
      <c r="U597" s="96">
        <f>IF(T597="",0,IF(INDEX('MTRs'!$Z$6:$Z$505,T597)=1,1,0))</f>
        <v>0</v>
      </c>
      <c r="V597" s="96">
        <f>IF(C597="",0,IF(ISNUMBER(MATCH(C597,'CAD_RESÍDUOS'!$B$6:$B$205,0)),1,0))</f>
        <v>0</v>
      </c>
      <c r="W597" s="96">
        <f>IF(AND(ISNUMBER(G597),G597&gt;0),1,0)</f>
        <v>0</v>
      </c>
      <c r="X597" s="96" t="str">
        <f>IF(H597="","",IFERROR(IF(ISNUMBER(INDEX(cfg_fac,MATCH(H597,cfg_units,0))),IF(INDEX(cfg_fac,MATCH(H597,cfg_units,0))&gt;0,INDEX(cfg_fac,MATCH(H597,cfg_units,0)),""),""),""))</f>
        <v/>
      </c>
      <c r="Y597" s="96">
        <f>IF(AND(W597=1,ISNUMBER(I597)),1,0)</f>
        <v>0</v>
      </c>
      <c r="Z597" s="96">
        <f>IF(U597=1,INDEX('MTRs'!$AA$6:$AA$505,T597),0)</f>
        <v>0</v>
      </c>
      <c r="AA597" s="96">
        <f>IF(R597=0,0,COUNTIFS('RECEBIMENTOS'!$R$6:$R$1005,A597,'RECEBIMENTOS'!$Q$6:$Q$1005,1))</f>
        <v>0</v>
      </c>
      <c r="AB597" s="96">
        <f>IF(R597=0,0,COUNTIFS('RECEBIMENTOS'!$R$6:$R$1005,A597,'RECEBIMENTOS'!$Z$6:$Z$1005,1))</f>
        <v>0</v>
      </c>
      <c r="AC597" s="96">
        <f>IF(R597=0,0,COUNTIFS('RECEBIMENTOS'!$R$6:$R$1005,A597,'RECEBIMENTOS'!$Y$6:$Y$1005,1))</f>
        <v>0</v>
      </c>
      <c r="AD597" s="96">
        <f>IF(R597=0,0,COUNTIFS('VÍNCULOS_CDF'!$R$6:$R$1005,A597,'VÍNCULOS_CDF'!$N$6:$N$1005,1))</f>
        <v>0</v>
      </c>
      <c r="AE597" s="96">
        <f>IF(R597=0,0,COUNTIFS('VÍNCULOS_CDF'!$R$6:$R$1005,A597,'VÍNCULOS_CDF'!$AA$6:$AA$1005,1))</f>
        <v>0</v>
      </c>
      <c r="AF597" s="96">
        <f>IF(R597=0,0,COUNTIFS('VÍNCULOS_CDF'!$R$6:$R$1005,A597,'VÍNCULOS_CDF'!$Y$6:$Y$1005,1))</f>
        <v>0</v>
      </c>
      <c r="AG597" s="96" t="str">
        <f>IF(AND(R597=1,S597&lt;&gt;"",C597&lt;&gt;""),S597&amp;"|"&amp;C597&amp;"|"&amp;G597&amp;"|"&amp;H597,"")</f>
        <v/>
      </c>
      <c r="AH597" s="96">
        <f>IF(AG597="",0,IF(SUMPRODUCT(--($AG$6:$AG$1005=AG597))&gt;1,1,0))</f>
        <v>0</v>
      </c>
      <c r="AI597" s="96">
        <f>IF(R597=0,0,IF(OR(U597=0,V597=0,Y597=0,AND(AH597=1,K597&lt;&gt;"Sim")),1,0))</f>
        <v>0</v>
      </c>
      <c r="AJ597" s="96">
        <f>IF(AND(R597=1,AA597&gt;0,AB597=AA597),1,0)</f>
        <v>0</v>
      </c>
      <c r="AK597" s="96">
        <f>IF(R597=0,0,IF(AA597&gt;0,N(L597),IF(ISNUMBER(I597),I597,0)))</f>
        <v>0</v>
      </c>
      <c r="AL597" s="96">
        <f>IF(R597=0,0,IF(AND(K597&lt;&gt;"Sim",N(M597)&gt;AK597+cfg_tol),1,0))</f>
        <v>0</v>
      </c>
      <c r="AM597" s="96">
        <f>IF(R597=0,0,IF(K597="Sim",0,IF(OR(AND(AA597&gt;0,ISNUMBER(I597),ABS(I597-N(L597))&gt;cfg_tol),AL597=1),1,0)))</f>
        <v>0</v>
      </c>
      <c r="AN597" s="96">
        <f>IF(AND(R597=1,N(M597)&gt;0,OR(N(M597)&gt;=AK597-cfg_tol,K597="Sim")),1,0)</f>
        <v>0</v>
      </c>
      <c r="AO597" s="96">
        <f>IF(AND(AN597=1,AD597&gt;0,AE597=AD597,AL597=0),1,0)</f>
        <v>0</v>
      </c>
      <c r="AP597" s="96">
        <f>IF(U597=0,0,IF(AND(INDEX('MTRs'!$AX$6:$AX$505,T597)=1,Z597=0,OR(f_res="",f_res="(Todos)",C597=f_res)),1,0))</f>
        <v>0</v>
      </c>
      <c r="AQ597" s="97" t="str">
        <f>IF(U597=0,"",INDEX('MTRs'!$AZ$6:$AZ$505,T597))</f>
        <v/>
      </c>
      <c r="AR597" s="96">
        <f>IF(U597=0,0,IF(AND(INDEX('MTRs'!$BA$6:$BA$505,T597)=1,Z597=0),1,0))</f>
        <v>0</v>
      </c>
      <c r="AS597" s="96" t="str">
        <f>IF(R597=1,A597&amp;" | MTR "&amp;IF(U597=1,INDEX('MTRs'!$B$6:$B$505,T597)&amp;"","?")&amp;" | "&amp;IF(C597="","(sem resíduo)",C597),"")</f>
        <v/>
      </c>
      <c r="AT597" s="96" t="str">
        <f>IF(R597=1,COUNTIF($R$6:R597,1),"")</f>
        <v/>
      </c>
      <c r="AU597" s="96" t="str">
        <f>IF(U597=1,INDEX('MTRs'!$I$6:$I$505,T597)&amp;"","")</f>
        <v/>
      </c>
    </row>
    <row r="598">
      <c r="A598" s="89" t="inlineStr">
        <is>
          <t>IT-000593</t>
        </is>
      </c>
      <c r="B598" s="91" t="n"/>
      <c r="C598" s="91" t="n"/>
      <c r="D598" s="94" t="str">
        <f>IF(OR(R598=0,V598=0),"",INDEX('CAD_RESÍDUOS'!$E$6:$E$205,MATCH(C598,'CAD_RESÍDUOS'!$B$6:$B$205,0))&amp;"")</f>
        <v/>
      </c>
      <c r="E598" s="94" t="str">
        <f>IF(OR(R598=0,V598=0),"",INDEX('CAD_RESÍDUOS'!$C$6:$C$205,MATCH(C598,'CAD_RESÍDUOS'!$B$6:$B$205,0))&amp;"")</f>
        <v/>
      </c>
      <c r="F598" s="94" t="str">
        <f>IF(OR(R598=0,V598=0),"",INDEX('CAD_RESÍDUOS'!$G$6:$G$205,MATCH(C598,'CAD_RESÍDUOS'!$B$6:$B$205,0))&amp;"")</f>
        <v/>
      </c>
      <c r="G598" s="98" t="n"/>
      <c r="H598" s="91" t="n"/>
      <c r="I598" s="93" t="str">
        <f>IF(R598=0,"",IF(NOT(ISNUMBER(G598)),"",IF(ISNUMBER(X598),G598*X598,"UNIDADE A CONFERIR")))</f>
        <v/>
      </c>
      <c r="J598" s="91" t="n"/>
      <c r="K598" s="91" t="n"/>
      <c r="L598" s="93" t="str">
        <f>IF(R598=0,"",SUMIFS('RECEBIMENTOS'!$H$6:$H$1005,'RECEBIMENTOS'!$R$6:$R$1005,A598,'RECEBIMENTOS'!$X$6:$X$1005,1))</f>
        <v/>
      </c>
      <c r="M598" s="93" t="str">
        <f>IF(R598=0,"",SUMIFS('VÍNCULOS_CDF'!$H$6:$H$1005,'VÍNCULOS_CDF'!$R$6:$R$1005,A598,'VÍNCULOS_CDF'!$V$6:$V$1005,1))</f>
        <v/>
      </c>
      <c r="N598" s="99" t="str">
        <f>IF(OR(R598=0,AA598=0,NOT(ISNUMBER(I598))),"",I598-N(L598))</f>
        <v/>
      </c>
      <c r="O598" s="100" t="str">
        <f>IF(OR(R598=0,AK598&lt;=0),"",N(M598)/AK598)</f>
        <v/>
      </c>
      <c r="P598" s="94" t="str">
        <f>IF(R598=0,"",IF(S598="","Sem MTR associado",IF(U598=0,"MTR inexistente",IF(C598="","Resíduo não identificado",IF(V598=0,"Resíduo fora do cadastro",IF(W598=0,"Quantidade inválida",IF(H598="","Unidade não informada",IF(NOT(ISNUMBER(I598)),"Unidade a conferir",IF(AND(AH598=1,K598&lt;&gt;"Sim"),"Possível duplicidade",IF(Z598=1,"MTR cancelado",IF(AC598&gt;0,"Recebimento com alerta",IF(AA598=0,"Aguardando recebimento",IF(AB598&lt;AA598,"Recebimento a conferir",IF(AM598=1,"Quantidade a revisar",IF(AF598&gt;0,"Vínculo a revisar",IF(AD598=0,"Aguardando CDF",IF(AN598=0,"Vínculo de CDF parcial",IF(AE598&lt;AD598,"CDF a conferir","Documentação conferida"))))))))))))))))))</f>
        <v/>
      </c>
      <c r="Q598" s="93" t="str">
        <f>IF(OR(R598=0,AA598=0),"",MAX(0,N(L598)-N(M598)))</f>
        <v/>
      </c>
      <c r="R598" s="96">
        <f>IF(COUNTA(B598:C598,G598:H598,J598:K598)&gt;0,1,0)</f>
        <v>0</v>
      </c>
      <c r="S598" s="96" t="str">
        <f>IF(B598="","",TRIM(LEFT(B598,FIND(" |",B598&amp;" |")-1)))</f>
        <v/>
      </c>
      <c r="T598" s="96" t="str">
        <f>IF(S598="","",IFERROR(MATCH(S598,'MTRs'!$A$6:$A$505,0),""))</f>
        <v/>
      </c>
      <c r="U598" s="96">
        <f>IF(T598="",0,IF(INDEX('MTRs'!$Z$6:$Z$505,T598)=1,1,0))</f>
        <v>0</v>
      </c>
      <c r="V598" s="96">
        <f>IF(C598="",0,IF(ISNUMBER(MATCH(C598,'CAD_RESÍDUOS'!$B$6:$B$205,0)),1,0))</f>
        <v>0</v>
      </c>
      <c r="W598" s="96">
        <f>IF(AND(ISNUMBER(G598),G598&gt;0),1,0)</f>
        <v>0</v>
      </c>
      <c r="X598" s="96" t="str">
        <f>IF(H598="","",IFERROR(IF(ISNUMBER(INDEX(cfg_fac,MATCH(H598,cfg_units,0))),IF(INDEX(cfg_fac,MATCH(H598,cfg_units,0))&gt;0,INDEX(cfg_fac,MATCH(H598,cfg_units,0)),""),""),""))</f>
        <v/>
      </c>
      <c r="Y598" s="96">
        <f>IF(AND(W598=1,ISNUMBER(I598)),1,0)</f>
        <v>0</v>
      </c>
      <c r="Z598" s="96">
        <f>IF(U598=1,INDEX('MTRs'!$AA$6:$AA$505,T598),0)</f>
        <v>0</v>
      </c>
      <c r="AA598" s="96">
        <f>IF(R598=0,0,COUNTIFS('RECEBIMENTOS'!$R$6:$R$1005,A598,'RECEBIMENTOS'!$Q$6:$Q$1005,1))</f>
        <v>0</v>
      </c>
      <c r="AB598" s="96">
        <f>IF(R598=0,0,COUNTIFS('RECEBIMENTOS'!$R$6:$R$1005,A598,'RECEBIMENTOS'!$Z$6:$Z$1005,1))</f>
        <v>0</v>
      </c>
      <c r="AC598" s="96">
        <f>IF(R598=0,0,COUNTIFS('RECEBIMENTOS'!$R$6:$R$1005,A598,'RECEBIMENTOS'!$Y$6:$Y$1005,1))</f>
        <v>0</v>
      </c>
      <c r="AD598" s="96">
        <f>IF(R598=0,0,COUNTIFS('VÍNCULOS_CDF'!$R$6:$R$1005,A598,'VÍNCULOS_CDF'!$N$6:$N$1005,1))</f>
        <v>0</v>
      </c>
      <c r="AE598" s="96">
        <f>IF(R598=0,0,COUNTIFS('VÍNCULOS_CDF'!$R$6:$R$1005,A598,'VÍNCULOS_CDF'!$AA$6:$AA$1005,1))</f>
        <v>0</v>
      </c>
      <c r="AF598" s="96">
        <f>IF(R598=0,0,COUNTIFS('VÍNCULOS_CDF'!$R$6:$R$1005,A598,'VÍNCULOS_CDF'!$Y$6:$Y$1005,1))</f>
        <v>0</v>
      </c>
      <c r="AG598" s="96" t="str">
        <f>IF(AND(R598=1,S598&lt;&gt;"",C598&lt;&gt;""),S598&amp;"|"&amp;C598&amp;"|"&amp;G598&amp;"|"&amp;H598,"")</f>
        <v/>
      </c>
      <c r="AH598" s="96">
        <f>IF(AG598="",0,IF(SUMPRODUCT(--($AG$6:$AG$1005=AG598))&gt;1,1,0))</f>
        <v>0</v>
      </c>
      <c r="AI598" s="96">
        <f>IF(R598=0,0,IF(OR(U598=0,V598=0,Y598=0,AND(AH598=1,K598&lt;&gt;"Sim")),1,0))</f>
        <v>0</v>
      </c>
      <c r="AJ598" s="96">
        <f>IF(AND(R598=1,AA598&gt;0,AB598=AA598),1,0)</f>
        <v>0</v>
      </c>
      <c r="AK598" s="96">
        <f>IF(R598=0,0,IF(AA598&gt;0,N(L598),IF(ISNUMBER(I598),I598,0)))</f>
        <v>0</v>
      </c>
      <c r="AL598" s="96">
        <f>IF(R598=0,0,IF(AND(K598&lt;&gt;"Sim",N(M598)&gt;AK598+cfg_tol),1,0))</f>
        <v>0</v>
      </c>
      <c r="AM598" s="96">
        <f>IF(R598=0,0,IF(K598="Sim",0,IF(OR(AND(AA598&gt;0,ISNUMBER(I598),ABS(I598-N(L598))&gt;cfg_tol),AL598=1),1,0)))</f>
        <v>0</v>
      </c>
      <c r="AN598" s="96">
        <f>IF(AND(R598=1,N(M598)&gt;0,OR(N(M598)&gt;=AK598-cfg_tol,K598="Sim")),1,0)</f>
        <v>0</v>
      </c>
      <c r="AO598" s="96">
        <f>IF(AND(AN598=1,AD598&gt;0,AE598=AD598,AL598=0),1,0)</f>
        <v>0</v>
      </c>
      <c r="AP598" s="96">
        <f>IF(U598=0,0,IF(AND(INDEX('MTRs'!$AX$6:$AX$505,T598)=1,Z598=0,OR(f_res="",f_res="(Todos)",C598=f_res)),1,0))</f>
        <v>0</v>
      </c>
      <c r="AQ598" s="97" t="str">
        <f>IF(U598=0,"",INDEX('MTRs'!$AZ$6:$AZ$505,T598))</f>
        <v/>
      </c>
      <c r="AR598" s="96">
        <f>IF(U598=0,0,IF(AND(INDEX('MTRs'!$BA$6:$BA$505,T598)=1,Z598=0),1,0))</f>
        <v>0</v>
      </c>
      <c r="AS598" s="96" t="str">
        <f>IF(R598=1,A598&amp;" | MTR "&amp;IF(U598=1,INDEX('MTRs'!$B$6:$B$505,T598)&amp;"","?")&amp;" | "&amp;IF(C598="","(sem resíduo)",C598),"")</f>
        <v/>
      </c>
      <c r="AT598" s="96" t="str">
        <f>IF(R598=1,COUNTIF($R$6:R598,1),"")</f>
        <v/>
      </c>
      <c r="AU598" s="96" t="str">
        <f>IF(U598=1,INDEX('MTRs'!$I$6:$I$505,T598)&amp;"","")</f>
        <v/>
      </c>
    </row>
    <row r="599">
      <c r="A599" s="89" t="inlineStr">
        <is>
          <t>IT-000594</t>
        </is>
      </c>
      <c r="B599" s="91" t="n"/>
      <c r="C599" s="91" t="n"/>
      <c r="D599" s="94" t="str">
        <f>IF(OR(R599=0,V599=0),"",INDEX('CAD_RESÍDUOS'!$E$6:$E$205,MATCH(C599,'CAD_RESÍDUOS'!$B$6:$B$205,0))&amp;"")</f>
        <v/>
      </c>
      <c r="E599" s="94" t="str">
        <f>IF(OR(R599=0,V599=0),"",INDEX('CAD_RESÍDUOS'!$C$6:$C$205,MATCH(C599,'CAD_RESÍDUOS'!$B$6:$B$205,0))&amp;"")</f>
        <v/>
      </c>
      <c r="F599" s="94" t="str">
        <f>IF(OR(R599=0,V599=0),"",INDEX('CAD_RESÍDUOS'!$G$6:$G$205,MATCH(C599,'CAD_RESÍDUOS'!$B$6:$B$205,0))&amp;"")</f>
        <v/>
      </c>
      <c r="G599" s="98" t="n"/>
      <c r="H599" s="91" t="n"/>
      <c r="I599" s="93" t="str">
        <f>IF(R599=0,"",IF(NOT(ISNUMBER(G599)),"",IF(ISNUMBER(X599),G599*X599,"UNIDADE A CONFERIR")))</f>
        <v/>
      </c>
      <c r="J599" s="91" t="n"/>
      <c r="K599" s="91" t="n"/>
      <c r="L599" s="93" t="str">
        <f>IF(R599=0,"",SUMIFS('RECEBIMENTOS'!$H$6:$H$1005,'RECEBIMENTOS'!$R$6:$R$1005,A599,'RECEBIMENTOS'!$X$6:$X$1005,1))</f>
        <v/>
      </c>
      <c r="M599" s="93" t="str">
        <f>IF(R599=0,"",SUMIFS('VÍNCULOS_CDF'!$H$6:$H$1005,'VÍNCULOS_CDF'!$R$6:$R$1005,A599,'VÍNCULOS_CDF'!$V$6:$V$1005,1))</f>
        <v/>
      </c>
      <c r="N599" s="99" t="str">
        <f>IF(OR(R599=0,AA599=0,NOT(ISNUMBER(I599))),"",I599-N(L599))</f>
        <v/>
      </c>
      <c r="O599" s="100" t="str">
        <f>IF(OR(R599=0,AK599&lt;=0),"",N(M599)/AK599)</f>
        <v/>
      </c>
      <c r="P599" s="94" t="str">
        <f>IF(R599=0,"",IF(S599="","Sem MTR associado",IF(U599=0,"MTR inexistente",IF(C599="","Resíduo não identificado",IF(V599=0,"Resíduo fora do cadastro",IF(W599=0,"Quantidade inválida",IF(H599="","Unidade não informada",IF(NOT(ISNUMBER(I599)),"Unidade a conferir",IF(AND(AH599=1,K599&lt;&gt;"Sim"),"Possível duplicidade",IF(Z599=1,"MTR cancelado",IF(AC599&gt;0,"Recebimento com alerta",IF(AA599=0,"Aguardando recebimento",IF(AB599&lt;AA599,"Recebimento a conferir",IF(AM599=1,"Quantidade a revisar",IF(AF599&gt;0,"Vínculo a revisar",IF(AD599=0,"Aguardando CDF",IF(AN599=0,"Vínculo de CDF parcial",IF(AE599&lt;AD599,"CDF a conferir","Documentação conferida"))))))))))))))))))</f>
        <v/>
      </c>
      <c r="Q599" s="93" t="str">
        <f>IF(OR(R599=0,AA599=0),"",MAX(0,N(L599)-N(M599)))</f>
        <v/>
      </c>
      <c r="R599" s="96">
        <f>IF(COUNTA(B599:C599,G599:H599,J599:K599)&gt;0,1,0)</f>
        <v>0</v>
      </c>
      <c r="S599" s="96" t="str">
        <f>IF(B599="","",TRIM(LEFT(B599,FIND(" |",B599&amp;" |")-1)))</f>
        <v/>
      </c>
      <c r="T599" s="96" t="str">
        <f>IF(S599="","",IFERROR(MATCH(S599,'MTRs'!$A$6:$A$505,0),""))</f>
        <v/>
      </c>
      <c r="U599" s="96">
        <f>IF(T599="",0,IF(INDEX('MTRs'!$Z$6:$Z$505,T599)=1,1,0))</f>
        <v>0</v>
      </c>
      <c r="V599" s="96">
        <f>IF(C599="",0,IF(ISNUMBER(MATCH(C599,'CAD_RESÍDUOS'!$B$6:$B$205,0)),1,0))</f>
        <v>0</v>
      </c>
      <c r="W599" s="96">
        <f>IF(AND(ISNUMBER(G599),G599&gt;0),1,0)</f>
        <v>0</v>
      </c>
      <c r="X599" s="96" t="str">
        <f>IF(H599="","",IFERROR(IF(ISNUMBER(INDEX(cfg_fac,MATCH(H599,cfg_units,0))),IF(INDEX(cfg_fac,MATCH(H599,cfg_units,0))&gt;0,INDEX(cfg_fac,MATCH(H599,cfg_units,0)),""),""),""))</f>
        <v/>
      </c>
      <c r="Y599" s="96">
        <f>IF(AND(W599=1,ISNUMBER(I599)),1,0)</f>
        <v>0</v>
      </c>
      <c r="Z599" s="96">
        <f>IF(U599=1,INDEX('MTRs'!$AA$6:$AA$505,T599),0)</f>
        <v>0</v>
      </c>
      <c r="AA599" s="96">
        <f>IF(R599=0,0,COUNTIFS('RECEBIMENTOS'!$R$6:$R$1005,A599,'RECEBIMENTOS'!$Q$6:$Q$1005,1))</f>
        <v>0</v>
      </c>
      <c r="AB599" s="96">
        <f>IF(R599=0,0,COUNTIFS('RECEBIMENTOS'!$R$6:$R$1005,A599,'RECEBIMENTOS'!$Z$6:$Z$1005,1))</f>
        <v>0</v>
      </c>
      <c r="AC599" s="96">
        <f>IF(R599=0,0,COUNTIFS('RECEBIMENTOS'!$R$6:$R$1005,A599,'RECEBIMENTOS'!$Y$6:$Y$1005,1))</f>
        <v>0</v>
      </c>
      <c r="AD599" s="96">
        <f>IF(R599=0,0,COUNTIFS('VÍNCULOS_CDF'!$R$6:$R$1005,A599,'VÍNCULOS_CDF'!$N$6:$N$1005,1))</f>
        <v>0</v>
      </c>
      <c r="AE599" s="96">
        <f>IF(R599=0,0,COUNTIFS('VÍNCULOS_CDF'!$R$6:$R$1005,A599,'VÍNCULOS_CDF'!$AA$6:$AA$1005,1))</f>
        <v>0</v>
      </c>
      <c r="AF599" s="96">
        <f>IF(R599=0,0,COUNTIFS('VÍNCULOS_CDF'!$R$6:$R$1005,A599,'VÍNCULOS_CDF'!$Y$6:$Y$1005,1))</f>
        <v>0</v>
      </c>
      <c r="AG599" s="96" t="str">
        <f>IF(AND(R599=1,S599&lt;&gt;"",C599&lt;&gt;""),S599&amp;"|"&amp;C599&amp;"|"&amp;G599&amp;"|"&amp;H599,"")</f>
        <v/>
      </c>
      <c r="AH599" s="96">
        <f>IF(AG599="",0,IF(SUMPRODUCT(--($AG$6:$AG$1005=AG599))&gt;1,1,0))</f>
        <v>0</v>
      </c>
      <c r="AI599" s="96">
        <f>IF(R599=0,0,IF(OR(U599=0,V599=0,Y599=0,AND(AH599=1,K599&lt;&gt;"Sim")),1,0))</f>
        <v>0</v>
      </c>
      <c r="AJ599" s="96">
        <f>IF(AND(R599=1,AA599&gt;0,AB599=AA599),1,0)</f>
        <v>0</v>
      </c>
      <c r="AK599" s="96">
        <f>IF(R599=0,0,IF(AA599&gt;0,N(L599),IF(ISNUMBER(I599),I599,0)))</f>
        <v>0</v>
      </c>
      <c r="AL599" s="96">
        <f>IF(R599=0,0,IF(AND(K599&lt;&gt;"Sim",N(M599)&gt;AK599+cfg_tol),1,0))</f>
        <v>0</v>
      </c>
      <c r="AM599" s="96">
        <f>IF(R599=0,0,IF(K599="Sim",0,IF(OR(AND(AA599&gt;0,ISNUMBER(I599),ABS(I599-N(L599))&gt;cfg_tol),AL599=1),1,0)))</f>
        <v>0</v>
      </c>
      <c r="AN599" s="96">
        <f>IF(AND(R599=1,N(M599)&gt;0,OR(N(M599)&gt;=AK599-cfg_tol,K599="Sim")),1,0)</f>
        <v>0</v>
      </c>
      <c r="AO599" s="96">
        <f>IF(AND(AN599=1,AD599&gt;0,AE599=AD599,AL599=0),1,0)</f>
        <v>0</v>
      </c>
      <c r="AP599" s="96">
        <f>IF(U599=0,0,IF(AND(INDEX('MTRs'!$AX$6:$AX$505,T599)=1,Z599=0,OR(f_res="",f_res="(Todos)",C599=f_res)),1,0))</f>
        <v>0</v>
      </c>
      <c r="AQ599" s="97" t="str">
        <f>IF(U599=0,"",INDEX('MTRs'!$AZ$6:$AZ$505,T599))</f>
        <v/>
      </c>
      <c r="AR599" s="96">
        <f>IF(U599=0,0,IF(AND(INDEX('MTRs'!$BA$6:$BA$505,T599)=1,Z599=0),1,0))</f>
        <v>0</v>
      </c>
      <c r="AS599" s="96" t="str">
        <f>IF(R599=1,A599&amp;" | MTR "&amp;IF(U599=1,INDEX('MTRs'!$B$6:$B$505,T599)&amp;"","?")&amp;" | "&amp;IF(C599="","(sem resíduo)",C599),"")</f>
        <v/>
      </c>
      <c r="AT599" s="96" t="str">
        <f>IF(R599=1,COUNTIF($R$6:R599,1),"")</f>
        <v/>
      </c>
      <c r="AU599" s="96" t="str">
        <f>IF(U599=1,INDEX('MTRs'!$I$6:$I$505,T599)&amp;"","")</f>
        <v/>
      </c>
    </row>
    <row r="600">
      <c r="A600" s="89" t="inlineStr">
        <is>
          <t>IT-000595</t>
        </is>
      </c>
      <c r="B600" s="91" t="n"/>
      <c r="C600" s="91" t="n"/>
      <c r="D600" s="94" t="str">
        <f>IF(OR(R600=0,V600=0),"",INDEX('CAD_RESÍDUOS'!$E$6:$E$205,MATCH(C600,'CAD_RESÍDUOS'!$B$6:$B$205,0))&amp;"")</f>
        <v/>
      </c>
      <c r="E600" s="94" t="str">
        <f>IF(OR(R600=0,V600=0),"",INDEX('CAD_RESÍDUOS'!$C$6:$C$205,MATCH(C600,'CAD_RESÍDUOS'!$B$6:$B$205,0))&amp;"")</f>
        <v/>
      </c>
      <c r="F600" s="94" t="str">
        <f>IF(OR(R600=0,V600=0),"",INDEX('CAD_RESÍDUOS'!$G$6:$G$205,MATCH(C600,'CAD_RESÍDUOS'!$B$6:$B$205,0))&amp;"")</f>
        <v/>
      </c>
      <c r="G600" s="98" t="n"/>
      <c r="H600" s="91" t="n"/>
      <c r="I600" s="93" t="str">
        <f>IF(R600=0,"",IF(NOT(ISNUMBER(G600)),"",IF(ISNUMBER(X600),G600*X600,"UNIDADE A CONFERIR")))</f>
        <v/>
      </c>
      <c r="J600" s="91" t="n"/>
      <c r="K600" s="91" t="n"/>
      <c r="L600" s="93" t="str">
        <f>IF(R600=0,"",SUMIFS('RECEBIMENTOS'!$H$6:$H$1005,'RECEBIMENTOS'!$R$6:$R$1005,A600,'RECEBIMENTOS'!$X$6:$X$1005,1))</f>
        <v/>
      </c>
      <c r="M600" s="93" t="str">
        <f>IF(R600=0,"",SUMIFS('VÍNCULOS_CDF'!$H$6:$H$1005,'VÍNCULOS_CDF'!$R$6:$R$1005,A600,'VÍNCULOS_CDF'!$V$6:$V$1005,1))</f>
        <v/>
      </c>
      <c r="N600" s="99" t="str">
        <f>IF(OR(R600=0,AA600=0,NOT(ISNUMBER(I600))),"",I600-N(L600))</f>
        <v/>
      </c>
      <c r="O600" s="100" t="str">
        <f>IF(OR(R600=0,AK600&lt;=0),"",N(M600)/AK600)</f>
        <v/>
      </c>
      <c r="P600" s="94" t="str">
        <f>IF(R600=0,"",IF(S600="","Sem MTR associado",IF(U600=0,"MTR inexistente",IF(C600="","Resíduo não identificado",IF(V600=0,"Resíduo fora do cadastro",IF(W600=0,"Quantidade inválida",IF(H600="","Unidade não informada",IF(NOT(ISNUMBER(I600)),"Unidade a conferir",IF(AND(AH600=1,K600&lt;&gt;"Sim"),"Possível duplicidade",IF(Z600=1,"MTR cancelado",IF(AC600&gt;0,"Recebimento com alerta",IF(AA600=0,"Aguardando recebimento",IF(AB600&lt;AA600,"Recebimento a conferir",IF(AM600=1,"Quantidade a revisar",IF(AF600&gt;0,"Vínculo a revisar",IF(AD600=0,"Aguardando CDF",IF(AN600=0,"Vínculo de CDF parcial",IF(AE600&lt;AD600,"CDF a conferir","Documentação conferida"))))))))))))))))))</f>
        <v/>
      </c>
      <c r="Q600" s="93" t="str">
        <f>IF(OR(R600=0,AA600=0),"",MAX(0,N(L600)-N(M600)))</f>
        <v/>
      </c>
      <c r="R600" s="96">
        <f>IF(COUNTA(B600:C600,G600:H600,J600:K600)&gt;0,1,0)</f>
        <v>0</v>
      </c>
      <c r="S600" s="96" t="str">
        <f>IF(B600="","",TRIM(LEFT(B600,FIND(" |",B600&amp;" |")-1)))</f>
        <v/>
      </c>
      <c r="T600" s="96" t="str">
        <f>IF(S600="","",IFERROR(MATCH(S600,'MTRs'!$A$6:$A$505,0),""))</f>
        <v/>
      </c>
      <c r="U600" s="96">
        <f>IF(T600="",0,IF(INDEX('MTRs'!$Z$6:$Z$505,T600)=1,1,0))</f>
        <v>0</v>
      </c>
      <c r="V600" s="96">
        <f>IF(C600="",0,IF(ISNUMBER(MATCH(C600,'CAD_RESÍDUOS'!$B$6:$B$205,0)),1,0))</f>
        <v>0</v>
      </c>
      <c r="W600" s="96">
        <f>IF(AND(ISNUMBER(G600),G600&gt;0),1,0)</f>
        <v>0</v>
      </c>
      <c r="X600" s="96" t="str">
        <f>IF(H600="","",IFERROR(IF(ISNUMBER(INDEX(cfg_fac,MATCH(H600,cfg_units,0))),IF(INDEX(cfg_fac,MATCH(H600,cfg_units,0))&gt;0,INDEX(cfg_fac,MATCH(H600,cfg_units,0)),""),""),""))</f>
        <v/>
      </c>
      <c r="Y600" s="96">
        <f>IF(AND(W600=1,ISNUMBER(I600)),1,0)</f>
        <v>0</v>
      </c>
      <c r="Z600" s="96">
        <f>IF(U600=1,INDEX('MTRs'!$AA$6:$AA$505,T600),0)</f>
        <v>0</v>
      </c>
      <c r="AA600" s="96">
        <f>IF(R600=0,0,COUNTIFS('RECEBIMENTOS'!$R$6:$R$1005,A600,'RECEBIMENTOS'!$Q$6:$Q$1005,1))</f>
        <v>0</v>
      </c>
      <c r="AB600" s="96">
        <f>IF(R600=0,0,COUNTIFS('RECEBIMENTOS'!$R$6:$R$1005,A600,'RECEBIMENTOS'!$Z$6:$Z$1005,1))</f>
        <v>0</v>
      </c>
      <c r="AC600" s="96">
        <f>IF(R600=0,0,COUNTIFS('RECEBIMENTOS'!$R$6:$R$1005,A600,'RECEBIMENTOS'!$Y$6:$Y$1005,1))</f>
        <v>0</v>
      </c>
      <c r="AD600" s="96">
        <f>IF(R600=0,0,COUNTIFS('VÍNCULOS_CDF'!$R$6:$R$1005,A600,'VÍNCULOS_CDF'!$N$6:$N$1005,1))</f>
        <v>0</v>
      </c>
      <c r="AE600" s="96">
        <f>IF(R600=0,0,COUNTIFS('VÍNCULOS_CDF'!$R$6:$R$1005,A600,'VÍNCULOS_CDF'!$AA$6:$AA$1005,1))</f>
        <v>0</v>
      </c>
      <c r="AF600" s="96">
        <f>IF(R600=0,0,COUNTIFS('VÍNCULOS_CDF'!$R$6:$R$1005,A600,'VÍNCULOS_CDF'!$Y$6:$Y$1005,1))</f>
        <v>0</v>
      </c>
      <c r="AG600" s="96" t="str">
        <f>IF(AND(R600=1,S600&lt;&gt;"",C600&lt;&gt;""),S600&amp;"|"&amp;C600&amp;"|"&amp;G600&amp;"|"&amp;H600,"")</f>
        <v/>
      </c>
      <c r="AH600" s="96">
        <f>IF(AG600="",0,IF(SUMPRODUCT(--($AG$6:$AG$1005=AG600))&gt;1,1,0))</f>
        <v>0</v>
      </c>
      <c r="AI600" s="96">
        <f>IF(R600=0,0,IF(OR(U600=0,V600=0,Y600=0,AND(AH600=1,K600&lt;&gt;"Sim")),1,0))</f>
        <v>0</v>
      </c>
      <c r="AJ600" s="96">
        <f>IF(AND(R600=1,AA600&gt;0,AB600=AA600),1,0)</f>
        <v>0</v>
      </c>
      <c r="AK600" s="96">
        <f>IF(R600=0,0,IF(AA600&gt;0,N(L600),IF(ISNUMBER(I600),I600,0)))</f>
        <v>0</v>
      </c>
      <c r="AL600" s="96">
        <f>IF(R600=0,0,IF(AND(K600&lt;&gt;"Sim",N(M600)&gt;AK600+cfg_tol),1,0))</f>
        <v>0</v>
      </c>
      <c r="AM600" s="96">
        <f>IF(R600=0,0,IF(K600="Sim",0,IF(OR(AND(AA600&gt;0,ISNUMBER(I600),ABS(I600-N(L600))&gt;cfg_tol),AL600=1),1,0)))</f>
        <v>0</v>
      </c>
      <c r="AN600" s="96">
        <f>IF(AND(R600=1,N(M600)&gt;0,OR(N(M600)&gt;=AK600-cfg_tol,K600="Sim")),1,0)</f>
        <v>0</v>
      </c>
      <c r="AO600" s="96">
        <f>IF(AND(AN600=1,AD600&gt;0,AE600=AD600,AL600=0),1,0)</f>
        <v>0</v>
      </c>
      <c r="AP600" s="96">
        <f>IF(U600=0,0,IF(AND(INDEX('MTRs'!$AX$6:$AX$505,T600)=1,Z600=0,OR(f_res="",f_res="(Todos)",C600=f_res)),1,0))</f>
        <v>0</v>
      </c>
      <c r="AQ600" s="97" t="str">
        <f>IF(U600=0,"",INDEX('MTRs'!$AZ$6:$AZ$505,T600))</f>
        <v/>
      </c>
      <c r="AR600" s="96">
        <f>IF(U600=0,0,IF(AND(INDEX('MTRs'!$BA$6:$BA$505,T600)=1,Z600=0),1,0))</f>
        <v>0</v>
      </c>
      <c r="AS600" s="96" t="str">
        <f>IF(R600=1,A600&amp;" | MTR "&amp;IF(U600=1,INDEX('MTRs'!$B$6:$B$505,T600)&amp;"","?")&amp;" | "&amp;IF(C600="","(sem resíduo)",C600),"")</f>
        <v/>
      </c>
      <c r="AT600" s="96" t="str">
        <f>IF(R600=1,COUNTIF($R$6:R600,1),"")</f>
        <v/>
      </c>
      <c r="AU600" s="96" t="str">
        <f>IF(U600=1,INDEX('MTRs'!$I$6:$I$505,T600)&amp;"","")</f>
        <v/>
      </c>
    </row>
    <row r="601">
      <c r="A601" s="89" t="inlineStr">
        <is>
          <t>IT-000596</t>
        </is>
      </c>
      <c r="B601" s="91" t="n"/>
      <c r="C601" s="91" t="n"/>
      <c r="D601" s="94" t="str">
        <f>IF(OR(R601=0,V601=0),"",INDEX('CAD_RESÍDUOS'!$E$6:$E$205,MATCH(C601,'CAD_RESÍDUOS'!$B$6:$B$205,0))&amp;"")</f>
        <v/>
      </c>
      <c r="E601" s="94" t="str">
        <f>IF(OR(R601=0,V601=0),"",INDEX('CAD_RESÍDUOS'!$C$6:$C$205,MATCH(C601,'CAD_RESÍDUOS'!$B$6:$B$205,0))&amp;"")</f>
        <v/>
      </c>
      <c r="F601" s="94" t="str">
        <f>IF(OR(R601=0,V601=0),"",INDEX('CAD_RESÍDUOS'!$G$6:$G$205,MATCH(C601,'CAD_RESÍDUOS'!$B$6:$B$205,0))&amp;"")</f>
        <v/>
      </c>
      <c r="G601" s="98" t="n"/>
      <c r="H601" s="91" t="n"/>
      <c r="I601" s="93" t="str">
        <f>IF(R601=0,"",IF(NOT(ISNUMBER(G601)),"",IF(ISNUMBER(X601),G601*X601,"UNIDADE A CONFERIR")))</f>
        <v/>
      </c>
      <c r="J601" s="91" t="n"/>
      <c r="K601" s="91" t="n"/>
      <c r="L601" s="93" t="str">
        <f>IF(R601=0,"",SUMIFS('RECEBIMENTOS'!$H$6:$H$1005,'RECEBIMENTOS'!$R$6:$R$1005,A601,'RECEBIMENTOS'!$X$6:$X$1005,1))</f>
        <v/>
      </c>
      <c r="M601" s="93" t="str">
        <f>IF(R601=0,"",SUMIFS('VÍNCULOS_CDF'!$H$6:$H$1005,'VÍNCULOS_CDF'!$R$6:$R$1005,A601,'VÍNCULOS_CDF'!$V$6:$V$1005,1))</f>
        <v/>
      </c>
      <c r="N601" s="99" t="str">
        <f>IF(OR(R601=0,AA601=0,NOT(ISNUMBER(I601))),"",I601-N(L601))</f>
        <v/>
      </c>
      <c r="O601" s="100" t="str">
        <f>IF(OR(R601=0,AK601&lt;=0),"",N(M601)/AK601)</f>
        <v/>
      </c>
      <c r="P601" s="94" t="str">
        <f>IF(R601=0,"",IF(S601="","Sem MTR associado",IF(U601=0,"MTR inexistente",IF(C601="","Resíduo não identificado",IF(V601=0,"Resíduo fora do cadastro",IF(W601=0,"Quantidade inválida",IF(H601="","Unidade não informada",IF(NOT(ISNUMBER(I601)),"Unidade a conferir",IF(AND(AH601=1,K601&lt;&gt;"Sim"),"Possível duplicidade",IF(Z601=1,"MTR cancelado",IF(AC601&gt;0,"Recebimento com alerta",IF(AA601=0,"Aguardando recebimento",IF(AB601&lt;AA601,"Recebimento a conferir",IF(AM601=1,"Quantidade a revisar",IF(AF601&gt;0,"Vínculo a revisar",IF(AD601=0,"Aguardando CDF",IF(AN601=0,"Vínculo de CDF parcial",IF(AE601&lt;AD601,"CDF a conferir","Documentação conferida"))))))))))))))))))</f>
        <v/>
      </c>
      <c r="Q601" s="93" t="str">
        <f>IF(OR(R601=0,AA601=0),"",MAX(0,N(L601)-N(M601)))</f>
        <v/>
      </c>
      <c r="R601" s="96">
        <f>IF(COUNTA(B601:C601,G601:H601,J601:K601)&gt;0,1,0)</f>
        <v>0</v>
      </c>
      <c r="S601" s="96" t="str">
        <f>IF(B601="","",TRIM(LEFT(B601,FIND(" |",B601&amp;" |")-1)))</f>
        <v/>
      </c>
      <c r="T601" s="96" t="str">
        <f>IF(S601="","",IFERROR(MATCH(S601,'MTRs'!$A$6:$A$505,0),""))</f>
        <v/>
      </c>
      <c r="U601" s="96">
        <f>IF(T601="",0,IF(INDEX('MTRs'!$Z$6:$Z$505,T601)=1,1,0))</f>
        <v>0</v>
      </c>
      <c r="V601" s="96">
        <f>IF(C601="",0,IF(ISNUMBER(MATCH(C601,'CAD_RESÍDUOS'!$B$6:$B$205,0)),1,0))</f>
        <v>0</v>
      </c>
      <c r="W601" s="96">
        <f>IF(AND(ISNUMBER(G601),G601&gt;0),1,0)</f>
        <v>0</v>
      </c>
      <c r="X601" s="96" t="str">
        <f>IF(H601="","",IFERROR(IF(ISNUMBER(INDEX(cfg_fac,MATCH(H601,cfg_units,0))),IF(INDEX(cfg_fac,MATCH(H601,cfg_units,0))&gt;0,INDEX(cfg_fac,MATCH(H601,cfg_units,0)),""),""),""))</f>
        <v/>
      </c>
      <c r="Y601" s="96">
        <f>IF(AND(W601=1,ISNUMBER(I601)),1,0)</f>
        <v>0</v>
      </c>
      <c r="Z601" s="96">
        <f>IF(U601=1,INDEX('MTRs'!$AA$6:$AA$505,T601),0)</f>
        <v>0</v>
      </c>
      <c r="AA601" s="96">
        <f>IF(R601=0,0,COUNTIFS('RECEBIMENTOS'!$R$6:$R$1005,A601,'RECEBIMENTOS'!$Q$6:$Q$1005,1))</f>
        <v>0</v>
      </c>
      <c r="AB601" s="96">
        <f>IF(R601=0,0,COUNTIFS('RECEBIMENTOS'!$R$6:$R$1005,A601,'RECEBIMENTOS'!$Z$6:$Z$1005,1))</f>
        <v>0</v>
      </c>
      <c r="AC601" s="96">
        <f>IF(R601=0,0,COUNTIFS('RECEBIMENTOS'!$R$6:$R$1005,A601,'RECEBIMENTOS'!$Y$6:$Y$1005,1))</f>
        <v>0</v>
      </c>
      <c r="AD601" s="96">
        <f>IF(R601=0,0,COUNTIFS('VÍNCULOS_CDF'!$R$6:$R$1005,A601,'VÍNCULOS_CDF'!$N$6:$N$1005,1))</f>
        <v>0</v>
      </c>
      <c r="AE601" s="96">
        <f>IF(R601=0,0,COUNTIFS('VÍNCULOS_CDF'!$R$6:$R$1005,A601,'VÍNCULOS_CDF'!$AA$6:$AA$1005,1))</f>
        <v>0</v>
      </c>
      <c r="AF601" s="96">
        <f>IF(R601=0,0,COUNTIFS('VÍNCULOS_CDF'!$R$6:$R$1005,A601,'VÍNCULOS_CDF'!$Y$6:$Y$1005,1))</f>
        <v>0</v>
      </c>
      <c r="AG601" s="96" t="str">
        <f>IF(AND(R601=1,S601&lt;&gt;"",C601&lt;&gt;""),S601&amp;"|"&amp;C601&amp;"|"&amp;G601&amp;"|"&amp;H601,"")</f>
        <v/>
      </c>
      <c r="AH601" s="96">
        <f>IF(AG601="",0,IF(SUMPRODUCT(--($AG$6:$AG$1005=AG601))&gt;1,1,0))</f>
        <v>0</v>
      </c>
      <c r="AI601" s="96">
        <f>IF(R601=0,0,IF(OR(U601=0,V601=0,Y601=0,AND(AH601=1,K601&lt;&gt;"Sim")),1,0))</f>
        <v>0</v>
      </c>
      <c r="AJ601" s="96">
        <f>IF(AND(R601=1,AA601&gt;0,AB601=AA601),1,0)</f>
        <v>0</v>
      </c>
      <c r="AK601" s="96">
        <f>IF(R601=0,0,IF(AA601&gt;0,N(L601),IF(ISNUMBER(I601),I601,0)))</f>
        <v>0</v>
      </c>
      <c r="AL601" s="96">
        <f>IF(R601=0,0,IF(AND(K601&lt;&gt;"Sim",N(M601)&gt;AK601+cfg_tol),1,0))</f>
        <v>0</v>
      </c>
      <c r="AM601" s="96">
        <f>IF(R601=0,0,IF(K601="Sim",0,IF(OR(AND(AA601&gt;0,ISNUMBER(I601),ABS(I601-N(L601))&gt;cfg_tol),AL601=1),1,0)))</f>
        <v>0</v>
      </c>
      <c r="AN601" s="96">
        <f>IF(AND(R601=1,N(M601)&gt;0,OR(N(M601)&gt;=AK601-cfg_tol,K601="Sim")),1,0)</f>
        <v>0</v>
      </c>
      <c r="AO601" s="96">
        <f>IF(AND(AN601=1,AD601&gt;0,AE601=AD601,AL601=0),1,0)</f>
        <v>0</v>
      </c>
      <c r="AP601" s="96">
        <f>IF(U601=0,0,IF(AND(INDEX('MTRs'!$AX$6:$AX$505,T601)=1,Z601=0,OR(f_res="",f_res="(Todos)",C601=f_res)),1,0))</f>
        <v>0</v>
      </c>
      <c r="AQ601" s="97" t="str">
        <f>IF(U601=0,"",INDEX('MTRs'!$AZ$6:$AZ$505,T601))</f>
        <v/>
      </c>
      <c r="AR601" s="96">
        <f>IF(U601=0,0,IF(AND(INDEX('MTRs'!$BA$6:$BA$505,T601)=1,Z601=0),1,0))</f>
        <v>0</v>
      </c>
      <c r="AS601" s="96" t="str">
        <f>IF(R601=1,A601&amp;" | MTR "&amp;IF(U601=1,INDEX('MTRs'!$B$6:$B$505,T601)&amp;"","?")&amp;" | "&amp;IF(C601="","(sem resíduo)",C601),"")</f>
        <v/>
      </c>
      <c r="AT601" s="96" t="str">
        <f>IF(R601=1,COUNTIF($R$6:R601,1),"")</f>
        <v/>
      </c>
      <c r="AU601" s="96" t="str">
        <f>IF(U601=1,INDEX('MTRs'!$I$6:$I$505,T601)&amp;"","")</f>
        <v/>
      </c>
    </row>
    <row r="602">
      <c r="A602" s="89" t="inlineStr">
        <is>
          <t>IT-000597</t>
        </is>
      </c>
      <c r="B602" s="91" t="n"/>
      <c r="C602" s="91" t="n"/>
      <c r="D602" s="94" t="str">
        <f>IF(OR(R602=0,V602=0),"",INDEX('CAD_RESÍDUOS'!$E$6:$E$205,MATCH(C602,'CAD_RESÍDUOS'!$B$6:$B$205,0))&amp;"")</f>
        <v/>
      </c>
      <c r="E602" s="94" t="str">
        <f>IF(OR(R602=0,V602=0),"",INDEX('CAD_RESÍDUOS'!$C$6:$C$205,MATCH(C602,'CAD_RESÍDUOS'!$B$6:$B$205,0))&amp;"")</f>
        <v/>
      </c>
      <c r="F602" s="94" t="str">
        <f>IF(OR(R602=0,V602=0),"",INDEX('CAD_RESÍDUOS'!$G$6:$G$205,MATCH(C602,'CAD_RESÍDUOS'!$B$6:$B$205,0))&amp;"")</f>
        <v/>
      </c>
      <c r="G602" s="98" t="n"/>
      <c r="H602" s="91" t="n"/>
      <c r="I602" s="93" t="str">
        <f>IF(R602=0,"",IF(NOT(ISNUMBER(G602)),"",IF(ISNUMBER(X602),G602*X602,"UNIDADE A CONFERIR")))</f>
        <v/>
      </c>
      <c r="J602" s="91" t="n"/>
      <c r="K602" s="91" t="n"/>
      <c r="L602" s="93" t="str">
        <f>IF(R602=0,"",SUMIFS('RECEBIMENTOS'!$H$6:$H$1005,'RECEBIMENTOS'!$R$6:$R$1005,A602,'RECEBIMENTOS'!$X$6:$X$1005,1))</f>
        <v/>
      </c>
      <c r="M602" s="93" t="str">
        <f>IF(R602=0,"",SUMIFS('VÍNCULOS_CDF'!$H$6:$H$1005,'VÍNCULOS_CDF'!$R$6:$R$1005,A602,'VÍNCULOS_CDF'!$V$6:$V$1005,1))</f>
        <v/>
      </c>
      <c r="N602" s="99" t="str">
        <f>IF(OR(R602=0,AA602=0,NOT(ISNUMBER(I602))),"",I602-N(L602))</f>
        <v/>
      </c>
      <c r="O602" s="100" t="str">
        <f>IF(OR(R602=0,AK602&lt;=0),"",N(M602)/AK602)</f>
        <v/>
      </c>
      <c r="P602" s="94" t="str">
        <f>IF(R602=0,"",IF(S602="","Sem MTR associado",IF(U602=0,"MTR inexistente",IF(C602="","Resíduo não identificado",IF(V602=0,"Resíduo fora do cadastro",IF(W602=0,"Quantidade inválida",IF(H602="","Unidade não informada",IF(NOT(ISNUMBER(I602)),"Unidade a conferir",IF(AND(AH602=1,K602&lt;&gt;"Sim"),"Possível duplicidade",IF(Z602=1,"MTR cancelado",IF(AC602&gt;0,"Recebimento com alerta",IF(AA602=0,"Aguardando recebimento",IF(AB602&lt;AA602,"Recebimento a conferir",IF(AM602=1,"Quantidade a revisar",IF(AF602&gt;0,"Vínculo a revisar",IF(AD602=0,"Aguardando CDF",IF(AN602=0,"Vínculo de CDF parcial",IF(AE602&lt;AD602,"CDF a conferir","Documentação conferida"))))))))))))))))))</f>
        <v/>
      </c>
      <c r="Q602" s="93" t="str">
        <f>IF(OR(R602=0,AA602=0),"",MAX(0,N(L602)-N(M602)))</f>
        <v/>
      </c>
      <c r="R602" s="96">
        <f>IF(COUNTA(B602:C602,G602:H602,J602:K602)&gt;0,1,0)</f>
        <v>0</v>
      </c>
      <c r="S602" s="96" t="str">
        <f>IF(B602="","",TRIM(LEFT(B602,FIND(" |",B602&amp;" |")-1)))</f>
        <v/>
      </c>
      <c r="T602" s="96" t="str">
        <f>IF(S602="","",IFERROR(MATCH(S602,'MTRs'!$A$6:$A$505,0),""))</f>
        <v/>
      </c>
      <c r="U602" s="96">
        <f>IF(T602="",0,IF(INDEX('MTRs'!$Z$6:$Z$505,T602)=1,1,0))</f>
        <v>0</v>
      </c>
      <c r="V602" s="96">
        <f>IF(C602="",0,IF(ISNUMBER(MATCH(C602,'CAD_RESÍDUOS'!$B$6:$B$205,0)),1,0))</f>
        <v>0</v>
      </c>
      <c r="W602" s="96">
        <f>IF(AND(ISNUMBER(G602),G602&gt;0),1,0)</f>
        <v>0</v>
      </c>
      <c r="X602" s="96" t="str">
        <f>IF(H602="","",IFERROR(IF(ISNUMBER(INDEX(cfg_fac,MATCH(H602,cfg_units,0))),IF(INDEX(cfg_fac,MATCH(H602,cfg_units,0))&gt;0,INDEX(cfg_fac,MATCH(H602,cfg_units,0)),""),""),""))</f>
        <v/>
      </c>
      <c r="Y602" s="96">
        <f>IF(AND(W602=1,ISNUMBER(I602)),1,0)</f>
        <v>0</v>
      </c>
      <c r="Z602" s="96">
        <f>IF(U602=1,INDEX('MTRs'!$AA$6:$AA$505,T602),0)</f>
        <v>0</v>
      </c>
      <c r="AA602" s="96">
        <f>IF(R602=0,0,COUNTIFS('RECEBIMENTOS'!$R$6:$R$1005,A602,'RECEBIMENTOS'!$Q$6:$Q$1005,1))</f>
        <v>0</v>
      </c>
      <c r="AB602" s="96">
        <f>IF(R602=0,0,COUNTIFS('RECEBIMENTOS'!$R$6:$R$1005,A602,'RECEBIMENTOS'!$Z$6:$Z$1005,1))</f>
        <v>0</v>
      </c>
      <c r="AC602" s="96">
        <f>IF(R602=0,0,COUNTIFS('RECEBIMENTOS'!$R$6:$R$1005,A602,'RECEBIMENTOS'!$Y$6:$Y$1005,1))</f>
        <v>0</v>
      </c>
      <c r="AD602" s="96">
        <f>IF(R602=0,0,COUNTIFS('VÍNCULOS_CDF'!$R$6:$R$1005,A602,'VÍNCULOS_CDF'!$N$6:$N$1005,1))</f>
        <v>0</v>
      </c>
      <c r="AE602" s="96">
        <f>IF(R602=0,0,COUNTIFS('VÍNCULOS_CDF'!$R$6:$R$1005,A602,'VÍNCULOS_CDF'!$AA$6:$AA$1005,1))</f>
        <v>0</v>
      </c>
      <c r="AF602" s="96">
        <f>IF(R602=0,0,COUNTIFS('VÍNCULOS_CDF'!$R$6:$R$1005,A602,'VÍNCULOS_CDF'!$Y$6:$Y$1005,1))</f>
        <v>0</v>
      </c>
      <c r="AG602" s="96" t="str">
        <f>IF(AND(R602=1,S602&lt;&gt;"",C602&lt;&gt;""),S602&amp;"|"&amp;C602&amp;"|"&amp;G602&amp;"|"&amp;H602,"")</f>
        <v/>
      </c>
      <c r="AH602" s="96">
        <f>IF(AG602="",0,IF(SUMPRODUCT(--($AG$6:$AG$1005=AG602))&gt;1,1,0))</f>
        <v>0</v>
      </c>
      <c r="AI602" s="96">
        <f>IF(R602=0,0,IF(OR(U602=0,V602=0,Y602=0,AND(AH602=1,K602&lt;&gt;"Sim")),1,0))</f>
        <v>0</v>
      </c>
      <c r="AJ602" s="96">
        <f>IF(AND(R602=1,AA602&gt;0,AB602=AA602),1,0)</f>
        <v>0</v>
      </c>
      <c r="AK602" s="96">
        <f>IF(R602=0,0,IF(AA602&gt;0,N(L602),IF(ISNUMBER(I602),I602,0)))</f>
        <v>0</v>
      </c>
      <c r="AL602" s="96">
        <f>IF(R602=0,0,IF(AND(K602&lt;&gt;"Sim",N(M602)&gt;AK602+cfg_tol),1,0))</f>
        <v>0</v>
      </c>
      <c r="AM602" s="96">
        <f>IF(R602=0,0,IF(K602="Sim",0,IF(OR(AND(AA602&gt;0,ISNUMBER(I602),ABS(I602-N(L602))&gt;cfg_tol),AL602=1),1,0)))</f>
        <v>0</v>
      </c>
      <c r="AN602" s="96">
        <f>IF(AND(R602=1,N(M602)&gt;0,OR(N(M602)&gt;=AK602-cfg_tol,K602="Sim")),1,0)</f>
        <v>0</v>
      </c>
      <c r="AO602" s="96">
        <f>IF(AND(AN602=1,AD602&gt;0,AE602=AD602,AL602=0),1,0)</f>
        <v>0</v>
      </c>
      <c r="AP602" s="96">
        <f>IF(U602=0,0,IF(AND(INDEX('MTRs'!$AX$6:$AX$505,T602)=1,Z602=0,OR(f_res="",f_res="(Todos)",C602=f_res)),1,0))</f>
        <v>0</v>
      </c>
      <c r="AQ602" s="97" t="str">
        <f>IF(U602=0,"",INDEX('MTRs'!$AZ$6:$AZ$505,T602))</f>
        <v/>
      </c>
      <c r="AR602" s="96">
        <f>IF(U602=0,0,IF(AND(INDEX('MTRs'!$BA$6:$BA$505,T602)=1,Z602=0),1,0))</f>
        <v>0</v>
      </c>
      <c r="AS602" s="96" t="str">
        <f>IF(R602=1,A602&amp;" | MTR "&amp;IF(U602=1,INDEX('MTRs'!$B$6:$B$505,T602)&amp;"","?")&amp;" | "&amp;IF(C602="","(sem resíduo)",C602),"")</f>
        <v/>
      </c>
      <c r="AT602" s="96" t="str">
        <f>IF(R602=1,COUNTIF($R$6:R602,1),"")</f>
        <v/>
      </c>
      <c r="AU602" s="96" t="str">
        <f>IF(U602=1,INDEX('MTRs'!$I$6:$I$505,T602)&amp;"","")</f>
        <v/>
      </c>
    </row>
    <row r="603">
      <c r="A603" s="89" t="inlineStr">
        <is>
          <t>IT-000598</t>
        </is>
      </c>
      <c r="B603" s="91" t="n"/>
      <c r="C603" s="91" t="n"/>
      <c r="D603" s="94" t="str">
        <f>IF(OR(R603=0,V603=0),"",INDEX('CAD_RESÍDUOS'!$E$6:$E$205,MATCH(C603,'CAD_RESÍDUOS'!$B$6:$B$205,0))&amp;"")</f>
        <v/>
      </c>
      <c r="E603" s="94" t="str">
        <f>IF(OR(R603=0,V603=0),"",INDEX('CAD_RESÍDUOS'!$C$6:$C$205,MATCH(C603,'CAD_RESÍDUOS'!$B$6:$B$205,0))&amp;"")</f>
        <v/>
      </c>
      <c r="F603" s="94" t="str">
        <f>IF(OR(R603=0,V603=0),"",INDEX('CAD_RESÍDUOS'!$G$6:$G$205,MATCH(C603,'CAD_RESÍDUOS'!$B$6:$B$205,0))&amp;"")</f>
        <v/>
      </c>
      <c r="G603" s="98" t="n"/>
      <c r="H603" s="91" t="n"/>
      <c r="I603" s="93" t="str">
        <f>IF(R603=0,"",IF(NOT(ISNUMBER(G603)),"",IF(ISNUMBER(X603),G603*X603,"UNIDADE A CONFERIR")))</f>
        <v/>
      </c>
      <c r="J603" s="91" t="n"/>
      <c r="K603" s="91" t="n"/>
      <c r="L603" s="93" t="str">
        <f>IF(R603=0,"",SUMIFS('RECEBIMENTOS'!$H$6:$H$1005,'RECEBIMENTOS'!$R$6:$R$1005,A603,'RECEBIMENTOS'!$X$6:$X$1005,1))</f>
        <v/>
      </c>
      <c r="M603" s="93" t="str">
        <f>IF(R603=0,"",SUMIFS('VÍNCULOS_CDF'!$H$6:$H$1005,'VÍNCULOS_CDF'!$R$6:$R$1005,A603,'VÍNCULOS_CDF'!$V$6:$V$1005,1))</f>
        <v/>
      </c>
      <c r="N603" s="99" t="str">
        <f>IF(OR(R603=0,AA603=0,NOT(ISNUMBER(I603))),"",I603-N(L603))</f>
        <v/>
      </c>
      <c r="O603" s="100" t="str">
        <f>IF(OR(R603=0,AK603&lt;=0),"",N(M603)/AK603)</f>
        <v/>
      </c>
      <c r="P603" s="94" t="str">
        <f>IF(R603=0,"",IF(S603="","Sem MTR associado",IF(U603=0,"MTR inexistente",IF(C603="","Resíduo não identificado",IF(V603=0,"Resíduo fora do cadastro",IF(W603=0,"Quantidade inválida",IF(H603="","Unidade não informada",IF(NOT(ISNUMBER(I603)),"Unidade a conferir",IF(AND(AH603=1,K603&lt;&gt;"Sim"),"Possível duplicidade",IF(Z603=1,"MTR cancelado",IF(AC603&gt;0,"Recebimento com alerta",IF(AA603=0,"Aguardando recebimento",IF(AB603&lt;AA603,"Recebimento a conferir",IF(AM603=1,"Quantidade a revisar",IF(AF603&gt;0,"Vínculo a revisar",IF(AD603=0,"Aguardando CDF",IF(AN603=0,"Vínculo de CDF parcial",IF(AE603&lt;AD603,"CDF a conferir","Documentação conferida"))))))))))))))))))</f>
        <v/>
      </c>
      <c r="Q603" s="93" t="str">
        <f>IF(OR(R603=0,AA603=0),"",MAX(0,N(L603)-N(M603)))</f>
        <v/>
      </c>
      <c r="R603" s="96">
        <f>IF(COUNTA(B603:C603,G603:H603,J603:K603)&gt;0,1,0)</f>
        <v>0</v>
      </c>
      <c r="S603" s="96" t="str">
        <f>IF(B603="","",TRIM(LEFT(B603,FIND(" |",B603&amp;" |")-1)))</f>
        <v/>
      </c>
      <c r="T603" s="96" t="str">
        <f>IF(S603="","",IFERROR(MATCH(S603,'MTRs'!$A$6:$A$505,0),""))</f>
        <v/>
      </c>
      <c r="U603" s="96">
        <f>IF(T603="",0,IF(INDEX('MTRs'!$Z$6:$Z$505,T603)=1,1,0))</f>
        <v>0</v>
      </c>
      <c r="V603" s="96">
        <f>IF(C603="",0,IF(ISNUMBER(MATCH(C603,'CAD_RESÍDUOS'!$B$6:$B$205,0)),1,0))</f>
        <v>0</v>
      </c>
      <c r="W603" s="96">
        <f>IF(AND(ISNUMBER(G603),G603&gt;0),1,0)</f>
        <v>0</v>
      </c>
      <c r="X603" s="96" t="str">
        <f>IF(H603="","",IFERROR(IF(ISNUMBER(INDEX(cfg_fac,MATCH(H603,cfg_units,0))),IF(INDEX(cfg_fac,MATCH(H603,cfg_units,0))&gt;0,INDEX(cfg_fac,MATCH(H603,cfg_units,0)),""),""),""))</f>
        <v/>
      </c>
      <c r="Y603" s="96">
        <f>IF(AND(W603=1,ISNUMBER(I603)),1,0)</f>
        <v>0</v>
      </c>
      <c r="Z603" s="96">
        <f>IF(U603=1,INDEX('MTRs'!$AA$6:$AA$505,T603),0)</f>
        <v>0</v>
      </c>
      <c r="AA603" s="96">
        <f>IF(R603=0,0,COUNTIFS('RECEBIMENTOS'!$R$6:$R$1005,A603,'RECEBIMENTOS'!$Q$6:$Q$1005,1))</f>
        <v>0</v>
      </c>
      <c r="AB603" s="96">
        <f>IF(R603=0,0,COUNTIFS('RECEBIMENTOS'!$R$6:$R$1005,A603,'RECEBIMENTOS'!$Z$6:$Z$1005,1))</f>
        <v>0</v>
      </c>
      <c r="AC603" s="96">
        <f>IF(R603=0,0,COUNTIFS('RECEBIMENTOS'!$R$6:$R$1005,A603,'RECEBIMENTOS'!$Y$6:$Y$1005,1))</f>
        <v>0</v>
      </c>
      <c r="AD603" s="96">
        <f>IF(R603=0,0,COUNTIFS('VÍNCULOS_CDF'!$R$6:$R$1005,A603,'VÍNCULOS_CDF'!$N$6:$N$1005,1))</f>
        <v>0</v>
      </c>
      <c r="AE603" s="96">
        <f>IF(R603=0,0,COUNTIFS('VÍNCULOS_CDF'!$R$6:$R$1005,A603,'VÍNCULOS_CDF'!$AA$6:$AA$1005,1))</f>
        <v>0</v>
      </c>
      <c r="AF603" s="96">
        <f>IF(R603=0,0,COUNTIFS('VÍNCULOS_CDF'!$R$6:$R$1005,A603,'VÍNCULOS_CDF'!$Y$6:$Y$1005,1))</f>
        <v>0</v>
      </c>
      <c r="AG603" s="96" t="str">
        <f>IF(AND(R603=1,S603&lt;&gt;"",C603&lt;&gt;""),S603&amp;"|"&amp;C603&amp;"|"&amp;G603&amp;"|"&amp;H603,"")</f>
        <v/>
      </c>
      <c r="AH603" s="96">
        <f>IF(AG603="",0,IF(SUMPRODUCT(--($AG$6:$AG$1005=AG603))&gt;1,1,0))</f>
        <v>0</v>
      </c>
      <c r="AI603" s="96">
        <f>IF(R603=0,0,IF(OR(U603=0,V603=0,Y603=0,AND(AH603=1,K603&lt;&gt;"Sim")),1,0))</f>
        <v>0</v>
      </c>
      <c r="AJ603" s="96">
        <f>IF(AND(R603=1,AA603&gt;0,AB603=AA603),1,0)</f>
        <v>0</v>
      </c>
      <c r="AK603" s="96">
        <f>IF(R603=0,0,IF(AA603&gt;0,N(L603),IF(ISNUMBER(I603),I603,0)))</f>
        <v>0</v>
      </c>
      <c r="AL603" s="96">
        <f>IF(R603=0,0,IF(AND(K603&lt;&gt;"Sim",N(M603)&gt;AK603+cfg_tol),1,0))</f>
        <v>0</v>
      </c>
      <c r="AM603" s="96">
        <f>IF(R603=0,0,IF(K603="Sim",0,IF(OR(AND(AA603&gt;0,ISNUMBER(I603),ABS(I603-N(L603))&gt;cfg_tol),AL603=1),1,0)))</f>
        <v>0</v>
      </c>
      <c r="AN603" s="96">
        <f>IF(AND(R603=1,N(M603)&gt;0,OR(N(M603)&gt;=AK603-cfg_tol,K603="Sim")),1,0)</f>
        <v>0</v>
      </c>
      <c r="AO603" s="96">
        <f>IF(AND(AN603=1,AD603&gt;0,AE603=AD603,AL603=0),1,0)</f>
        <v>0</v>
      </c>
      <c r="AP603" s="96">
        <f>IF(U603=0,0,IF(AND(INDEX('MTRs'!$AX$6:$AX$505,T603)=1,Z603=0,OR(f_res="",f_res="(Todos)",C603=f_res)),1,0))</f>
        <v>0</v>
      </c>
      <c r="AQ603" s="97" t="str">
        <f>IF(U603=0,"",INDEX('MTRs'!$AZ$6:$AZ$505,T603))</f>
        <v/>
      </c>
      <c r="AR603" s="96">
        <f>IF(U603=0,0,IF(AND(INDEX('MTRs'!$BA$6:$BA$505,T603)=1,Z603=0),1,0))</f>
        <v>0</v>
      </c>
      <c r="AS603" s="96" t="str">
        <f>IF(R603=1,A603&amp;" | MTR "&amp;IF(U603=1,INDEX('MTRs'!$B$6:$B$505,T603)&amp;"","?")&amp;" | "&amp;IF(C603="","(sem resíduo)",C603),"")</f>
        <v/>
      </c>
      <c r="AT603" s="96" t="str">
        <f>IF(R603=1,COUNTIF($R$6:R603,1),"")</f>
        <v/>
      </c>
      <c r="AU603" s="96" t="str">
        <f>IF(U603=1,INDEX('MTRs'!$I$6:$I$505,T603)&amp;"","")</f>
        <v/>
      </c>
    </row>
    <row r="604">
      <c r="A604" s="89" t="inlineStr">
        <is>
          <t>IT-000599</t>
        </is>
      </c>
      <c r="B604" s="91" t="n"/>
      <c r="C604" s="91" t="n"/>
      <c r="D604" s="94" t="str">
        <f>IF(OR(R604=0,V604=0),"",INDEX('CAD_RESÍDUOS'!$E$6:$E$205,MATCH(C604,'CAD_RESÍDUOS'!$B$6:$B$205,0))&amp;"")</f>
        <v/>
      </c>
      <c r="E604" s="94" t="str">
        <f>IF(OR(R604=0,V604=0),"",INDEX('CAD_RESÍDUOS'!$C$6:$C$205,MATCH(C604,'CAD_RESÍDUOS'!$B$6:$B$205,0))&amp;"")</f>
        <v/>
      </c>
      <c r="F604" s="94" t="str">
        <f>IF(OR(R604=0,V604=0),"",INDEX('CAD_RESÍDUOS'!$G$6:$G$205,MATCH(C604,'CAD_RESÍDUOS'!$B$6:$B$205,0))&amp;"")</f>
        <v/>
      </c>
      <c r="G604" s="98" t="n"/>
      <c r="H604" s="91" t="n"/>
      <c r="I604" s="93" t="str">
        <f>IF(R604=0,"",IF(NOT(ISNUMBER(G604)),"",IF(ISNUMBER(X604),G604*X604,"UNIDADE A CONFERIR")))</f>
        <v/>
      </c>
      <c r="J604" s="91" t="n"/>
      <c r="K604" s="91" t="n"/>
      <c r="L604" s="93" t="str">
        <f>IF(R604=0,"",SUMIFS('RECEBIMENTOS'!$H$6:$H$1005,'RECEBIMENTOS'!$R$6:$R$1005,A604,'RECEBIMENTOS'!$X$6:$X$1005,1))</f>
        <v/>
      </c>
      <c r="M604" s="93" t="str">
        <f>IF(R604=0,"",SUMIFS('VÍNCULOS_CDF'!$H$6:$H$1005,'VÍNCULOS_CDF'!$R$6:$R$1005,A604,'VÍNCULOS_CDF'!$V$6:$V$1005,1))</f>
        <v/>
      </c>
      <c r="N604" s="99" t="str">
        <f>IF(OR(R604=0,AA604=0,NOT(ISNUMBER(I604))),"",I604-N(L604))</f>
        <v/>
      </c>
      <c r="O604" s="100" t="str">
        <f>IF(OR(R604=0,AK604&lt;=0),"",N(M604)/AK604)</f>
        <v/>
      </c>
      <c r="P604" s="94" t="str">
        <f>IF(R604=0,"",IF(S604="","Sem MTR associado",IF(U604=0,"MTR inexistente",IF(C604="","Resíduo não identificado",IF(V604=0,"Resíduo fora do cadastro",IF(W604=0,"Quantidade inválida",IF(H604="","Unidade não informada",IF(NOT(ISNUMBER(I604)),"Unidade a conferir",IF(AND(AH604=1,K604&lt;&gt;"Sim"),"Possível duplicidade",IF(Z604=1,"MTR cancelado",IF(AC604&gt;0,"Recebimento com alerta",IF(AA604=0,"Aguardando recebimento",IF(AB604&lt;AA604,"Recebimento a conferir",IF(AM604=1,"Quantidade a revisar",IF(AF604&gt;0,"Vínculo a revisar",IF(AD604=0,"Aguardando CDF",IF(AN604=0,"Vínculo de CDF parcial",IF(AE604&lt;AD604,"CDF a conferir","Documentação conferida"))))))))))))))))))</f>
        <v/>
      </c>
      <c r="Q604" s="93" t="str">
        <f>IF(OR(R604=0,AA604=0),"",MAX(0,N(L604)-N(M604)))</f>
        <v/>
      </c>
      <c r="R604" s="96">
        <f>IF(COUNTA(B604:C604,G604:H604,J604:K604)&gt;0,1,0)</f>
        <v>0</v>
      </c>
      <c r="S604" s="96" t="str">
        <f>IF(B604="","",TRIM(LEFT(B604,FIND(" |",B604&amp;" |")-1)))</f>
        <v/>
      </c>
      <c r="T604" s="96" t="str">
        <f>IF(S604="","",IFERROR(MATCH(S604,'MTRs'!$A$6:$A$505,0),""))</f>
        <v/>
      </c>
      <c r="U604" s="96">
        <f>IF(T604="",0,IF(INDEX('MTRs'!$Z$6:$Z$505,T604)=1,1,0))</f>
        <v>0</v>
      </c>
      <c r="V604" s="96">
        <f>IF(C604="",0,IF(ISNUMBER(MATCH(C604,'CAD_RESÍDUOS'!$B$6:$B$205,0)),1,0))</f>
        <v>0</v>
      </c>
      <c r="W604" s="96">
        <f>IF(AND(ISNUMBER(G604),G604&gt;0),1,0)</f>
        <v>0</v>
      </c>
      <c r="X604" s="96" t="str">
        <f>IF(H604="","",IFERROR(IF(ISNUMBER(INDEX(cfg_fac,MATCH(H604,cfg_units,0))),IF(INDEX(cfg_fac,MATCH(H604,cfg_units,0))&gt;0,INDEX(cfg_fac,MATCH(H604,cfg_units,0)),""),""),""))</f>
        <v/>
      </c>
      <c r="Y604" s="96">
        <f>IF(AND(W604=1,ISNUMBER(I604)),1,0)</f>
        <v>0</v>
      </c>
      <c r="Z604" s="96">
        <f>IF(U604=1,INDEX('MTRs'!$AA$6:$AA$505,T604),0)</f>
        <v>0</v>
      </c>
      <c r="AA604" s="96">
        <f>IF(R604=0,0,COUNTIFS('RECEBIMENTOS'!$R$6:$R$1005,A604,'RECEBIMENTOS'!$Q$6:$Q$1005,1))</f>
        <v>0</v>
      </c>
      <c r="AB604" s="96">
        <f>IF(R604=0,0,COUNTIFS('RECEBIMENTOS'!$R$6:$R$1005,A604,'RECEBIMENTOS'!$Z$6:$Z$1005,1))</f>
        <v>0</v>
      </c>
      <c r="AC604" s="96">
        <f>IF(R604=0,0,COUNTIFS('RECEBIMENTOS'!$R$6:$R$1005,A604,'RECEBIMENTOS'!$Y$6:$Y$1005,1))</f>
        <v>0</v>
      </c>
      <c r="AD604" s="96">
        <f>IF(R604=0,0,COUNTIFS('VÍNCULOS_CDF'!$R$6:$R$1005,A604,'VÍNCULOS_CDF'!$N$6:$N$1005,1))</f>
        <v>0</v>
      </c>
      <c r="AE604" s="96">
        <f>IF(R604=0,0,COUNTIFS('VÍNCULOS_CDF'!$R$6:$R$1005,A604,'VÍNCULOS_CDF'!$AA$6:$AA$1005,1))</f>
        <v>0</v>
      </c>
      <c r="AF604" s="96">
        <f>IF(R604=0,0,COUNTIFS('VÍNCULOS_CDF'!$R$6:$R$1005,A604,'VÍNCULOS_CDF'!$Y$6:$Y$1005,1))</f>
        <v>0</v>
      </c>
      <c r="AG604" s="96" t="str">
        <f>IF(AND(R604=1,S604&lt;&gt;"",C604&lt;&gt;""),S604&amp;"|"&amp;C604&amp;"|"&amp;G604&amp;"|"&amp;H604,"")</f>
        <v/>
      </c>
      <c r="AH604" s="96">
        <f>IF(AG604="",0,IF(SUMPRODUCT(--($AG$6:$AG$1005=AG604))&gt;1,1,0))</f>
        <v>0</v>
      </c>
      <c r="AI604" s="96">
        <f>IF(R604=0,0,IF(OR(U604=0,V604=0,Y604=0,AND(AH604=1,K604&lt;&gt;"Sim")),1,0))</f>
        <v>0</v>
      </c>
      <c r="AJ604" s="96">
        <f>IF(AND(R604=1,AA604&gt;0,AB604=AA604),1,0)</f>
        <v>0</v>
      </c>
      <c r="AK604" s="96">
        <f>IF(R604=0,0,IF(AA604&gt;0,N(L604),IF(ISNUMBER(I604),I604,0)))</f>
        <v>0</v>
      </c>
      <c r="AL604" s="96">
        <f>IF(R604=0,0,IF(AND(K604&lt;&gt;"Sim",N(M604)&gt;AK604+cfg_tol),1,0))</f>
        <v>0</v>
      </c>
      <c r="AM604" s="96">
        <f>IF(R604=0,0,IF(K604="Sim",0,IF(OR(AND(AA604&gt;0,ISNUMBER(I604),ABS(I604-N(L604))&gt;cfg_tol),AL604=1),1,0)))</f>
        <v>0</v>
      </c>
      <c r="AN604" s="96">
        <f>IF(AND(R604=1,N(M604)&gt;0,OR(N(M604)&gt;=AK604-cfg_tol,K604="Sim")),1,0)</f>
        <v>0</v>
      </c>
      <c r="AO604" s="96">
        <f>IF(AND(AN604=1,AD604&gt;0,AE604=AD604,AL604=0),1,0)</f>
        <v>0</v>
      </c>
      <c r="AP604" s="96">
        <f>IF(U604=0,0,IF(AND(INDEX('MTRs'!$AX$6:$AX$505,T604)=1,Z604=0,OR(f_res="",f_res="(Todos)",C604=f_res)),1,0))</f>
        <v>0</v>
      </c>
      <c r="AQ604" s="97" t="str">
        <f>IF(U604=0,"",INDEX('MTRs'!$AZ$6:$AZ$505,T604))</f>
        <v/>
      </c>
      <c r="AR604" s="96">
        <f>IF(U604=0,0,IF(AND(INDEX('MTRs'!$BA$6:$BA$505,T604)=1,Z604=0),1,0))</f>
        <v>0</v>
      </c>
      <c r="AS604" s="96" t="str">
        <f>IF(R604=1,A604&amp;" | MTR "&amp;IF(U604=1,INDEX('MTRs'!$B$6:$B$505,T604)&amp;"","?")&amp;" | "&amp;IF(C604="","(sem resíduo)",C604),"")</f>
        <v/>
      </c>
      <c r="AT604" s="96" t="str">
        <f>IF(R604=1,COUNTIF($R$6:R604,1),"")</f>
        <v/>
      </c>
      <c r="AU604" s="96" t="str">
        <f>IF(U604=1,INDEX('MTRs'!$I$6:$I$505,T604)&amp;"","")</f>
        <v/>
      </c>
    </row>
    <row r="605">
      <c r="A605" s="89" t="inlineStr">
        <is>
          <t>IT-000600</t>
        </is>
      </c>
      <c r="B605" s="91" t="n"/>
      <c r="C605" s="91" t="n"/>
      <c r="D605" s="94" t="str">
        <f>IF(OR(R605=0,V605=0),"",INDEX('CAD_RESÍDUOS'!$E$6:$E$205,MATCH(C605,'CAD_RESÍDUOS'!$B$6:$B$205,0))&amp;"")</f>
        <v/>
      </c>
      <c r="E605" s="94" t="str">
        <f>IF(OR(R605=0,V605=0),"",INDEX('CAD_RESÍDUOS'!$C$6:$C$205,MATCH(C605,'CAD_RESÍDUOS'!$B$6:$B$205,0))&amp;"")</f>
        <v/>
      </c>
      <c r="F605" s="94" t="str">
        <f>IF(OR(R605=0,V605=0),"",INDEX('CAD_RESÍDUOS'!$G$6:$G$205,MATCH(C605,'CAD_RESÍDUOS'!$B$6:$B$205,0))&amp;"")</f>
        <v/>
      </c>
      <c r="G605" s="98" t="n"/>
      <c r="H605" s="91" t="n"/>
      <c r="I605" s="93" t="str">
        <f>IF(R605=0,"",IF(NOT(ISNUMBER(G605)),"",IF(ISNUMBER(X605),G605*X605,"UNIDADE A CONFERIR")))</f>
        <v/>
      </c>
      <c r="J605" s="91" t="n"/>
      <c r="K605" s="91" t="n"/>
      <c r="L605" s="93" t="str">
        <f>IF(R605=0,"",SUMIFS('RECEBIMENTOS'!$H$6:$H$1005,'RECEBIMENTOS'!$R$6:$R$1005,A605,'RECEBIMENTOS'!$X$6:$X$1005,1))</f>
        <v/>
      </c>
      <c r="M605" s="93" t="str">
        <f>IF(R605=0,"",SUMIFS('VÍNCULOS_CDF'!$H$6:$H$1005,'VÍNCULOS_CDF'!$R$6:$R$1005,A605,'VÍNCULOS_CDF'!$V$6:$V$1005,1))</f>
        <v/>
      </c>
      <c r="N605" s="99" t="str">
        <f>IF(OR(R605=0,AA605=0,NOT(ISNUMBER(I605))),"",I605-N(L605))</f>
        <v/>
      </c>
      <c r="O605" s="100" t="str">
        <f>IF(OR(R605=0,AK605&lt;=0),"",N(M605)/AK605)</f>
        <v/>
      </c>
      <c r="P605" s="94" t="str">
        <f>IF(R605=0,"",IF(S605="","Sem MTR associado",IF(U605=0,"MTR inexistente",IF(C605="","Resíduo não identificado",IF(V605=0,"Resíduo fora do cadastro",IF(W605=0,"Quantidade inválida",IF(H605="","Unidade não informada",IF(NOT(ISNUMBER(I605)),"Unidade a conferir",IF(AND(AH605=1,K605&lt;&gt;"Sim"),"Possível duplicidade",IF(Z605=1,"MTR cancelado",IF(AC605&gt;0,"Recebimento com alerta",IF(AA605=0,"Aguardando recebimento",IF(AB605&lt;AA605,"Recebimento a conferir",IF(AM605=1,"Quantidade a revisar",IF(AF605&gt;0,"Vínculo a revisar",IF(AD605=0,"Aguardando CDF",IF(AN605=0,"Vínculo de CDF parcial",IF(AE605&lt;AD605,"CDF a conferir","Documentação conferida"))))))))))))))))))</f>
        <v/>
      </c>
      <c r="Q605" s="93" t="str">
        <f>IF(OR(R605=0,AA605=0),"",MAX(0,N(L605)-N(M605)))</f>
        <v/>
      </c>
      <c r="R605" s="96">
        <f>IF(COUNTA(B605:C605,G605:H605,J605:K605)&gt;0,1,0)</f>
        <v>0</v>
      </c>
      <c r="S605" s="96" t="str">
        <f>IF(B605="","",TRIM(LEFT(B605,FIND(" |",B605&amp;" |")-1)))</f>
        <v/>
      </c>
      <c r="T605" s="96" t="str">
        <f>IF(S605="","",IFERROR(MATCH(S605,'MTRs'!$A$6:$A$505,0),""))</f>
        <v/>
      </c>
      <c r="U605" s="96">
        <f>IF(T605="",0,IF(INDEX('MTRs'!$Z$6:$Z$505,T605)=1,1,0))</f>
        <v>0</v>
      </c>
      <c r="V605" s="96">
        <f>IF(C605="",0,IF(ISNUMBER(MATCH(C605,'CAD_RESÍDUOS'!$B$6:$B$205,0)),1,0))</f>
        <v>0</v>
      </c>
      <c r="W605" s="96">
        <f>IF(AND(ISNUMBER(G605),G605&gt;0),1,0)</f>
        <v>0</v>
      </c>
      <c r="X605" s="96" t="str">
        <f>IF(H605="","",IFERROR(IF(ISNUMBER(INDEX(cfg_fac,MATCH(H605,cfg_units,0))),IF(INDEX(cfg_fac,MATCH(H605,cfg_units,0))&gt;0,INDEX(cfg_fac,MATCH(H605,cfg_units,0)),""),""),""))</f>
        <v/>
      </c>
      <c r="Y605" s="96">
        <f>IF(AND(W605=1,ISNUMBER(I605)),1,0)</f>
        <v>0</v>
      </c>
      <c r="Z605" s="96">
        <f>IF(U605=1,INDEX('MTRs'!$AA$6:$AA$505,T605),0)</f>
        <v>0</v>
      </c>
      <c r="AA605" s="96">
        <f>IF(R605=0,0,COUNTIFS('RECEBIMENTOS'!$R$6:$R$1005,A605,'RECEBIMENTOS'!$Q$6:$Q$1005,1))</f>
        <v>0</v>
      </c>
      <c r="AB605" s="96">
        <f>IF(R605=0,0,COUNTIFS('RECEBIMENTOS'!$R$6:$R$1005,A605,'RECEBIMENTOS'!$Z$6:$Z$1005,1))</f>
        <v>0</v>
      </c>
      <c r="AC605" s="96">
        <f>IF(R605=0,0,COUNTIFS('RECEBIMENTOS'!$R$6:$R$1005,A605,'RECEBIMENTOS'!$Y$6:$Y$1005,1))</f>
        <v>0</v>
      </c>
      <c r="AD605" s="96">
        <f>IF(R605=0,0,COUNTIFS('VÍNCULOS_CDF'!$R$6:$R$1005,A605,'VÍNCULOS_CDF'!$N$6:$N$1005,1))</f>
        <v>0</v>
      </c>
      <c r="AE605" s="96">
        <f>IF(R605=0,0,COUNTIFS('VÍNCULOS_CDF'!$R$6:$R$1005,A605,'VÍNCULOS_CDF'!$AA$6:$AA$1005,1))</f>
        <v>0</v>
      </c>
      <c r="AF605" s="96">
        <f>IF(R605=0,0,COUNTIFS('VÍNCULOS_CDF'!$R$6:$R$1005,A605,'VÍNCULOS_CDF'!$Y$6:$Y$1005,1))</f>
        <v>0</v>
      </c>
      <c r="AG605" s="96" t="str">
        <f>IF(AND(R605=1,S605&lt;&gt;"",C605&lt;&gt;""),S605&amp;"|"&amp;C605&amp;"|"&amp;G605&amp;"|"&amp;H605,"")</f>
        <v/>
      </c>
      <c r="AH605" s="96">
        <f>IF(AG605="",0,IF(SUMPRODUCT(--($AG$6:$AG$1005=AG605))&gt;1,1,0))</f>
        <v>0</v>
      </c>
      <c r="AI605" s="96">
        <f>IF(R605=0,0,IF(OR(U605=0,V605=0,Y605=0,AND(AH605=1,K605&lt;&gt;"Sim")),1,0))</f>
        <v>0</v>
      </c>
      <c r="AJ605" s="96">
        <f>IF(AND(R605=1,AA605&gt;0,AB605=AA605),1,0)</f>
        <v>0</v>
      </c>
      <c r="AK605" s="96">
        <f>IF(R605=0,0,IF(AA605&gt;0,N(L605),IF(ISNUMBER(I605),I605,0)))</f>
        <v>0</v>
      </c>
      <c r="AL605" s="96">
        <f>IF(R605=0,0,IF(AND(K605&lt;&gt;"Sim",N(M605)&gt;AK605+cfg_tol),1,0))</f>
        <v>0</v>
      </c>
      <c r="AM605" s="96">
        <f>IF(R605=0,0,IF(K605="Sim",0,IF(OR(AND(AA605&gt;0,ISNUMBER(I605),ABS(I605-N(L605))&gt;cfg_tol),AL605=1),1,0)))</f>
        <v>0</v>
      </c>
      <c r="AN605" s="96">
        <f>IF(AND(R605=1,N(M605)&gt;0,OR(N(M605)&gt;=AK605-cfg_tol,K605="Sim")),1,0)</f>
        <v>0</v>
      </c>
      <c r="AO605" s="96">
        <f>IF(AND(AN605=1,AD605&gt;0,AE605=AD605,AL605=0),1,0)</f>
        <v>0</v>
      </c>
      <c r="AP605" s="96">
        <f>IF(U605=0,0,IF(AND(INDEX('MTRs'!$AX$6:$AX$505,T605)=1,Z605=0,OR(f_res="",f_res="(Todos)",C605=f_res)),1,0))</f>
        <v>0</v>
      </c>
      <c r="AQ605" s="97" t="str">
        <f>IF(U605=0,"",INDEX('MTRs'!$AZ$6:$AZ$505,T605))</f>
        <v/>
      </c>
      <c r="AR605" s="96">
        <f>IF(U605=0,0,IF(AND(INDEX('MTRs'!$BA$6:$BA$505,T605)=1,Z605=0),1,0))</f>
        <v>0</v>
      </c>
      <c r="AS605" s="96" t="str">
        <f>IF(R605=1,A605&amp;" | MTR "&amp;IF(U605=1,INDEX('MTRs'!$B$6:$B$505,T605)&amp;"","?")&amp;" | "&amp;IF(C605="","(sem resíduo)",C605),"")</f>
        <v/>
      </c>
      <c r="AT605" s="96" t="str">
        <f>IF(R605=1,COUNTIF($R$6:R605,1),"")</f>
        <v/>
      </c>
      <c r="AU605" s="96" t="str">
        <f>IF(U605=1,INDEX('MTRs'!$I$6:$I$505,T605)&amp;"","")</f>
        <v/>
      </c>
    </row>
    <row r="606">
      <c r="A606" s="89" t="inlineStr">
        <is>
          <t>IT-000601</t>
        </is>
      </c>
      <c r="B606" s="91" t="n"/>
      <c r="C606" s="91" t="n"/>
      <c r="D606" s="94" t="str">
        <f>IF(OR(R606=0,V606=0),"",INDEX('CAD_RESÍDUOS'!$E$6:$E$205,MATCH(C606,'CAD_RESÍDUOS'!$B$6:$B$205,0))&amp;"")</f>
        <v/>
      </c>
      <c r="E606" s="94" t="str">
        <f>IF(OR(R606=0,V606=0),"",INDEX('CAD_RESÍDUOS'!$C$6:$C$205,MATCH(C606,'CAD_RESÍDUOS'!$B$6:$B$205,0))&amp;"")</f>
        <v/>
      </c>
      <c r="F606" s="94" t="str">
        <f>IF(OR(R606=0,V606=0),"",INDEX('CAD_RESÍDUOS'!$G$6:$G$205,MATCH(C606,'CAD_RESÍDUOS'!$B$6:$B$205,0))&amp;"")</f>
        <v/>
      </c>
      <c r="G606" s="98" t="n"/>
      <c r="H606" s="91" t="n"/>
      <c r="I606" s="93" t="str">
        <f>IF(R606=0,"",IF(NOT(ISNUMBER(G606)),"",IF(ISNUMBER(X606),G606*X606,"UNIDADE A CONFERIR")))</f>
        <v/>
      </c>
      <c r="J606" s="91" t="n"/>
      <c r="K606" s="91" t="n"/>
      <c r="L606" s="93" t="str">
        <f>IF(R606=0,"",SUMIFS('RECEBIMENTOS'!$H$6:$H$1005,'RECEBIMENTOS'!$R$6:$R$1005,A606,'RECEBIMENTOS'!$X$6:$X$1005,1))</f>
        <v/>
      </c>
      <c r="M606" s="93" t="str">
        <f>IF(R606=0,"",SUMIFS('VÍNCULOS_CDF'!$H$6:$H$1005,'VÍNCULOS_CDF'!$R$6:$R$1005,A606,'VÍNCULOS_CDF'!$V$6:$V$1005,1))</f>
        <v/>
      </c>
      <c r="N606" s="99" t="str">
        <f>IF(OR(R606=0,AA606=0,NOT(ISNUMBER(I606))),"",I606-N(L606))</f>
        <v/>
      </c>
      <c r="O606" s="100" t="str">
        <f>IF(OR(R606=0,AK606&lt;=0),"",N(M606)/AK606)</f>
        <v/>
      </c>
      <c r="P606" s="94" t="str">
        <f>IF(R606=0,"",IF(S606="","Sem MTR associado",IF(U606=0,"MTR inexistente",IF(C606="","Resíduo não identificado",IF(V606=0,"Resíduo fora do cadastro",IF(W606=0,"Quantidade inválida",IF(H606="","Unidade não informada",IF(NOT(ISNUMBER(I606)),"Unidade a conferir",IF(AND(AH606=1,K606&lt;&gt;"Sim"),"Possível duplicidade",IF(Z606=1,"MTR cancelado",IF(AC606&gt;0,"Recebimento com alerta",IF(AA606=0,"Aguardando recebimento",IF(AB606&lt;AA606,"Recebimento a conferir",IF(AM606=1,"Quantidade a revisar",IF(AF606&gt;0,"Vínculo a revisar",IF(AD606=0,"Aguardando CDF",IF(AN606=0,"Vínculo de CDF parcial",IF(AE606&lt;AD606,"CDF a conferir","Documentação conferida"))))))))))))))))))</f>
        <v/>
      </c>
      <c r="Q606" s="93" t="str">
        <f>IF(OR(R606=0,AA606=0),"",MAX(0,N(L606)-N(M606)))</f>
        <v/>
      </c>
      <c r="R606" s="96">
        <f>IF(COUNTA(B606:C606,G606:H606,J606:K606)&gt;0,1,0)</f>
        <v>0</v>
      </c>
      <c r="S606" s="96" t="str">
        <f>IF(B606="","",TRIM(LEFT(B606,FIND(" |",B606&amp;" |")-1)))</f>
        <v/>
      </c>
      <c r="T606" s="96" t="str">
        <f>IF(S606="","",IFERROR(MATCH(S606,'MTRs'!$A$6:$A$505,0),""))</f>
        <v/>
      </c>
      <c r="U606" s="96">
        <f>IF(T606="",0,IF(INDEX('MTRs'!$Z$6:$Z$505,T606)=1,1,0))</f>
        <v>0</v>
      </c>
      <c r="V606" s="96">
        <f>IF(C606="",0,IF(ISNUMBER(MATCH(C606,'CAD_RESÍDUOS'!$B$6:$B$205,0)),1,0))</f>
        <v>0</v>
      </c>
      <c r="W606" s="96">
        <f>IF(AND(ISNUMBER(G606),G606&gt;0),1,0)</f>
        <v>0</v>
      </c>
      <c r="X606" s="96" t="str">
        <f>IF(H606="","",IFERROR(IF(ISNUMBER(INDEX(cfg_fac,MATCH(H606,cfg_units,0))),IF(INDEX(cfg_fac,MATCH(H606,cfg_units,0))&gt;0,INDEX(cfg_fac,MATCH(H606,cfg_units,0)),""),""),""))</f>
        <v/>
      </c>
      <c r="Y606" s="96">
        <f>IF(AND(W606=1,ISNUMBER(I606)),1,0)</f>
        <v>0</v>
      </c>
      <c r="Z606" s="96">
        <f>IF(U606=1,INDEX('MTRs'!$AA$6:$AA$505,T606),0)</f>
        <v>0</v>
      </c>
      <c r="AA606" s="96">
        <f>IF(R606=0,0,COUNTIFS('RECEBIMENTOS'!$R$6:$R$1005,A606,'RECEBIMENTOS'!$Q$6:$Q$1005,1))</f>
        <v>0</v>
      </c>
      <c r="AB606" s="96">
        <f>IF(R606=0,0,COUNTIFS('RECEBIMENTOS'!$R$6:$R$1005,A606,'RECEBIMENTOS'!$Z$6:$Z$1005,1))</f>
        <v>0</v>
      </c>
      <c r="AC606" s="96">
        <f>IF(R606=0,0,COUNTIFS('RECEBIMENTOS'!$R$6:$R$1005,A606,'RECEBIMENTOS'!$Y$6:$Y$1005,1))</f>
        <v>0</v>
      </c>
      <c r="AD606" s="96">
        <f>IF(R606=0,0,COUNTIFS('VÍNCULOS_CDF'!$R$6:$R$1005,A606,'VÍNCULOS_CDF'!$N$6:$N$1005,1))</f>
        <v>0</v>
      </c>
      <c r="AE606" s="96">
        <f>IF(R606=0,0,COUNTIFS('VÍNCULOS_CDF'!$R$6:$R$1005,A606,'VÍNCULOS_CDF'!$AA$6:$AA$1005,1))</f>
        <v>0</v>
      </c>
      <c r="AF606" s="96">
        <f>IF(R606=0,0,COUNTIFS('VÍNCULOS_CDF'!$R$6:$R$1005,A606,'VÍNCULOS_CDF'!$Y$6:$Y$1005,1))</f>
        <v>0</v>
      </c>
      <c r="AG606" s="96" t="str">
        <f>IF(AND(R606=1,S606&lt;&gt;"",C606&lt;&gt;""),S606&amp;"|"&amp;C606&amp;"|"&amp;G606&amp;"|"&amp;H606,"")</f>
        <v/>
      </c>
      <c r="AH606" s="96">
        <f>IF(AG606="",0,IF(SUMPRODUCT(--($AG$6:$AG$1005=AG606))&gt;1,1,0))</f>
        <v>0</v>
      </c>
      <c r="AI606" s="96">
        <f>IF(R606=0,0,IF(OR(U606=0,V606=0,Y606=0,AND(AH606=1,K606&lt;&gt;"Sim")),1,0))</f>
        <v>0</v>
      </c>
      <c r="AJ606" s="96">
        <f>IF(AND(R606=1,AA606&gt;0,AB606=AA606),1,0)</f>
        <v>0</v>
      </c>
      <c r="AK606" s="96">
        <f>IF(R606=0,0,IF(AA606&gt;0,N(L606),IF(ISNUMBER(I606),I606,0)))</f>
        <v>0</v>
      </c>
      <c r="AL606" s="96">
        <f>IF(R606=0,0,IF(AND(K606&lt;&gt;"Sim",N(M606)&gt;AK606+cfg_tol),1,0))</f>
        <v>0</v>
      </c>
      <c r="AM606" s="96">
        <f>IF(R606=0,0,IF(K606="Sim",0,IF(OR(AND(AA606&gt;0,ISNUMBER(I606),ABS(I606-N(L606))&gt;cfg_tol),AL606=1),1,0)))</f>
        <v>0</v>
      </c>
      <c r="AN606" s="96">
        <f>IF(AND(R606=1,N(M606)&gt;0,OR(N(M606)&gt;=AK606-cfg_tol,K606="Sim")),1,0)</f>
        <v>0</v>
      </c>
      <c r="AO606" s="96">
        <f>IF(AND(AN606=1,AD606&gt;0,AE606=AD606,AL606=0),1,0)</f>
        <v>0</v>
      </c>
      <c r="AP606" s="96">
        <f>IF(U606=0,0,IF(AND(INDEX('MTRs'!$AX$6:$AX$505,T606)=1,Z606=0,OR(f_res="",f_res="(Todos)",C606=f_res)),1,0))</f>
        <v>0</v>
      </c>
      <c r="AQ606" s="97" t="str">
        <f>IF(U606=0,"",INDEX('MTRs'!$AZ$6:$AZ$505,T606))</f>
        <v/>
      </c>
      <c r="AR606" s="96">
        <f>IF(U606=0,0,IF(AND(INDEX('MTRs'!$BA$6:$BA$505,T606)=1,Z606=0),1,0))</f>
        <v>0</v>
      </c>
      <c r="AS606" s="96" t="str">
        <f>IF(R606=1,A606&amp;" | MTR "&amp;IF(U606=1,INDEX('MTRs'!$B$6:$B$505,T606)&amp;"","?")&amp;" | "&amp;IF(C606="","(sem resíduo)",C606),"")</f>
        <v/>
      </c>
      <c r="AT606" s="96" t="str">
        <f>IF(R606=1,COUNTIF($R$6:R606,1),"")</f>
        <v/>
      </c>
      <c r="AU606" s="96" t="str">
        <f>IF(U606=1,INDEX('MTRs'!$I$6:$I$505,T606)&amp;"","")</f>
        <v/>
      </c>
    </row>
    <row r="607">
      <c r="A607" s="89" t="inlineStr">
        <is>
          <t>IT-000602</t>
        </is>
      </c>
      <c r="B607" s="91" t="n"/>
      <c r="C607" s="91" t="n"/>
      <c r="D607" s="94" t="str">
        <f>IF(OR(R607=0,V607=0),"",INDEX('CAD_RESÍDUOS'!$E$6:$E$205,MATCH(C607,'CAD_RESÍDUOS'!$B$6:$B$205,0))&amp;"")</f>
        <v/>
      </c>
      <c r="E607" s="94" t="str">
        <f>IF(OR(R607=0,V607=0),"",INDEX('CAD_RESÍDUOS'!$C$6:$C$205,MATCH(C607,'CAD_RESÍDUOS'!$B$6:$B$205,0))&amp;"")</f>
        <v/>
      </c>
      <c r="F607" s="94" t="str">
        <f>IF(OR(R607=0,V607=0),"",INDEX('CAD_RESÍDUOS'!$G$6:$G$205,MATCH(C607,'CAD_RESÍDUOS'!$B$6:$B$205,0))&amp;"")</f>
        <v/>
      </c>
      <c r="G607" s="98" t="n"/>
      <c r="H607" s="91" t="n"/>
      <c r="I607" s="93" t="str">
        <f>IF(R607=0,"",IF(NOT(ISNUMBER(G607)),"",IF(ISNUMBER(X607),G607*X607,"UNIDADE A CONFERIR")))</f>
        <v/>
      </c>
      <c r="J607" s="91" t="n"/>
      <c r="K607" s="91" t="n"/>
      <c r="L607" s="93" t="str">
        <f>IF(R607=0,"",SUMIFS('RECEBIMENTOS'!$H$6:$H$1005,'RECEBIMENTOS'!$R$6:$R$1005,A607,'RECEBIMENTOS'!$X$6:$X$1005,1))</f>
        <v/>
      </c>
      <c r="M607" s="93" t="str">
        <f>IF(R607=0,"",SUMIFS('VÍNCULOS_CDF'!$H$6:$H$1005,'VÍNCULOS_CDF'!$R$6:$R$1005,A607,'VÍNCULOS_CDF'!$V$6:$V$1005,1))</f>
        <v/>
      </c>
      <c r="N607" s="99" t="str">
        <f>IF(OR(R607=0,AA607=0,NOT(ISNUMBER(I607))),"",I607-N(L607))</f>
        <v/>
      </c>
      <c r="O607" s="100" t="str">
        <f>IF(OR(R607=0,AK607&lt;=0),"",N(M607)/AK607)</f>
        <v/>
      </c>
      <c r="P607" s="94" t="str">
        <f>IF(R607=0,"",IF(S607="","Sem MTR associado",IF(U607=0,"MTR inexistente",IF(C607="","Resíduo não identificado",IF(V607=0,"Resíduo fora do cadastro",IF(W607=0,"Quantidade inválida",IF(H607="","Unidade não informada",IF(NOT(ISNUMBER(I607)),"Unidade a conferir",IF(AND(AH607=1,K607&lt;&gt;"Sim"),"Possível duplicidade",IF(Z607=1,"MTR cancelado",IF(AC607&gt;0,"Recebimento com alerta",IF(AA607=0,"Aguardando recebimento",IF(AB607&lt;AA607,"Recebimento a conferir",IF(AM607=1,"Quantidade a revisar",IF(AF607&gt;0,"Vínculo a revisar",IF(AD607=0,"Aguardando CDF",IF(AN607=0,"Vínculo de CDF parcial",IF(AE607&lt;AD607,"CDF a conferir","Documentação conferida"))))))))))))))))))</f>
        <v/>
      </c>
      <c r="Q607" s="93" t="str">
        <f>IF(OR(R607=0,AA607=0),"",MAX(0,N(L607)-N(M607)))</f>
        <v/>
      </c>
      <c r="R607" s="96">
        <f>IF(COUNTA(B607:C607,G607:H607,J607:K607)&gt;0,1,0)</f>
        <v>0</v>
      </c>
      <c r="S607" s="96" t="str">
        <f>IF(B607="","",TRIM(LEFT(B607,FIND(" |",B607&amp;" |")-1)))</f>
        <v/>
      </c>
      <c r="T607" s="96" t="str">
        <f>IF(S607="","",IFERROR(MATCH(S607,'MTRs'!$A$6:$A$505,0),""))</f>
        <v/>
      </c>
      <c r="U607" s="96">
        <f>IF(T607="",0,IF(INDEX('MTRs'!$Z$6:$Z$505,T607)=1,1,0))</f>
        <v>0</v>
      </c>
      <c r="V607" s="96">
        <f>IF(C607="",0,IF(ISNUMBER(MATCH(C607,'CAD_RESÍDUOS'!$B$6:$B$205,0)),1,0))</f>
        <v>0</v>
      </c>
      <c r="W607" s="96">
        <f>IF(AND(ISNUMBER(G607),G607&gt;0),1,0)</f>
        <v>0</v>
      </c>
      <c r="X607" s="96" t="str">
        <f>IF(H607="","",IFERROR(IF(ISNUMBER(INDEX(cfg_fac,MATCH(H607,cfg_units,0))),IF(INDEX(cfg_fac,MATCH(H607,cfg_units,0))&gt;0,INDEX(cfg_fac,MATCH(H607,cfg_units,0)),""),""),""))</f>
        <v/>
      </c>
      <c r="Y607" s="96">
        <f>IF(AND(W607=1,ISNUMBER(I607)),1,0)</f>
        <v>0</v>
      </c>
      <c r="Z607" s="96">
        <f>IF(U607=1,INDEX('MTRs'!$AA$6:$AA$505,T607),0)</f>
        <v>0</v>
      </c>
      <c r="AA607" s="96">
        <f>IF(R607=0,0,COUNTIFS('RECEBIMENTOS'!$R$6:$R$1005,A607,'RECEBIMENTOS'!$Q$6:$Q$1005,1))</f>
        <v>0</v>
      </c>
      <c r="AB607" s="96">
        <f>IF(R607=0,0,COUNTIFS('RECEBIMENTOS'!$R$6:$R$1005,A607,'RECEBIMENTOS'!$Z$6:$Z$1005,1))</f>
        <v>0</v>
      </c>
      <c r="AC607" s="96">
        <f>IF(R607=0,0,COUNTIFS('RECEBIMENTOS'!$R$6:$R$1005,A607,'RECEBIMENTOS'!$Y$6:$Y$1005,1))</f>
        <v>0</v>
      </c>
      <c r="AD607" s="96">
        <f>IF(R607=0,0,COUNTIFS('VÍNCULOS_CDF'!$R$6:$R$1005,A607,'VÍNCULOS_CDF'!$N$6:$N$1005,1))</f>
        <v>0</v>
      </c>
      <c r="AE607" s="96">
        <f>IF(R607=0,0,COUNTIFS('VÍNCULOS_CDF'!$R$6:$R$1005,A607,'VÍNCULOS_CDF'!$AA$6:$AA$1005,1))</f>
        <v>0</v>
      </c>
      <c r="AF607" s="96">
        <f>IF(R607=0,0,COUNTIFS('VÍNCULOS_CDF'!$R$6:$R$1005,A607,'VÍNCULOS_CDF'!$Y$6:$Y$1005,1))</f>
        <v>0</v>
      </c>
      <c r="AG607" s="96" t="str">
        <f>IF(AND(R607=1,S607&lt;&gt;"",C607&lt;&gt;""),S607&amp;"|"&amp;C607&amp;"|"&amp;G607&amp;"|"&amp;H607,"")</f>
        <v/>
      </c>
      <c r="AH607" s="96">
        <f>IF(AG607="",0,IF(SUMPRODUCT(--($AG$6:$AG$1005=AG607))&gt;1,1,0))</f>
        <v>0</v>
      </c>
      <c r="AI607" s="96">
        <f>IF(R607=0,0,IF(OR(U607=0,V607=0,Y607=0,AND(AH607=1,K607&lt;&gt;"Sim")),1,0))</f>
        <v>0</v>
      </c>
      <c r="AJ607" s="96">
        <f>IF(AND(R607=1,AA607&gt;0,AB607=AA607),1,0)</f>
        <v>0</v>
      </c>
      <c r="AK607" s="96">
        <f>IF(R607=0,0,IF(AA607&gt;0,N(L607),IF(ISNUMBER(I607),I607,0)))</f>
        <v>0</v>
      </c>
      <c r="AL607" s="96">
        <f>IF(R607=0,0,IF(AND(K607&lt;&gt;"Sim",N(M607)&gt;AK607+cfg_tol),1,0))</f>
        <v>0</v>
      </c>
      <c r="AM607" s="96">
        <f>IF(R607=0,0,IF(K607="Sim",0,IF(OR(AND(AA607&gt;0,ISNUMBER(I607),ABS(I607-N(L607))&gt;cfg_tol),AL607=1),1,0)))</f>
        <v>0</v>
      </c>
      <c r="AN607" s="96">
        <f>IF(AND(R607=1,N(M607)&gt;0,OR(N(M607)&gt;=AK607-cfg_tol,K607="Sim")),1,0)</f>
        <v>0</v>
      </c>
      <c r="AO607" s="96">
        <f>IF(AND(AN607=1,AD607&gt;0,AE607=AD607,AL607=0),1,0)</f>
        <v>0</v>
      </c>
      <c r="AP607" s="96">
        <f>IF(U607=0,0,IF(AND(INDEX('MTRs'!$AX$6:$AX$505,T607)=1,Z607=0,OR(f_res="",f_res="(Todos)",C607=f_res)),1,0))</f>
        <v>0</v>
      </c>
      <c r="AQ607" s="97" t="str">
        <f>IF(U607=0,"",INDEX('MTRs'!$AZ$6:$AZ$505,T607))</f>
        <v/>
      </c>
      <c r="AR607" s="96">
        <f>IF(U607=0,0,IF(AND(INDEX('MTRs'!$BA$6:$BA$505,T607)=1,Z607=0),1,0))</f>
        <v>0</v>
      </c>
      <c r="AS607" s="96" t="str">
        <f>IF(R607=1,A607&amp;" | MTR "&amp;IF(U607=1,INDEX('MTRs'!$B$6:$B$505,T607)&amp;"","?")&amp;" | "&amp;IF(C607="","(sem resíduo)",C607),"")</f>
        <v/>
      </c>
      <c r="AT607" s="96" t="str">
        <f>IF(R607=1,COUNTIF($R$6:R607,1),"")</f>
        <v/>
      </c>
      <c r="AU607" s="96" t="str">
        <f>IF(U607=1,INDEX('MTRs'!$I$6:$I$505,T607)&amp;"","")</f>
        <v/>
      </c>
    </row>
    <row r="608">
      <c r="A608" s="89" t="inlineStr">
        <is>
          <t>IT-000603</t>
        </is>
      </c>
      <c r="B608" s="91" t="n"/>
      <c r="C608" s="91" t="n"/>
      <c r="D608" s="94" t="str">
        <f>IF(OR(R608=0,V608=0),"",INDEX('CAD_RESÍDUOS'!$E$6:$E$205,MATCH(C608,'CAD_RESÍDUOS'!$B$6:$B$205,0))&amp;"")</f>
        <v/>
      </c>
      <c r="E608" s="94" t="str">
        <f>IF(OR(R608=0,V608=0),"",INDEX('CAD_RESÍDUOS'!$C$6:$C$205,MATCH(C608,'CAD_RESÍDUOS'!$B$6:$B$205,0))&amp;"")</f>
        <v/>
      </c>
      <c r="F608" s="94" t="str">
        <f>IF(OR(R608=0,V608=0),"",INDEX('CAD_RESÍDUOS'!$G$6:$G$205,MATCH(C608,'CAD_RESÍDUOS'!$B$6:$B$205,0))&amp;"")</f>
        <v/>
      </c>
      <c r="G608" s="98" t="n"/>
      <c r="H608" s="91" t="n"/>
      <c r="I608" s="93" t="str">
        <f>IF(R608=0,"",IF(NOT(ISNUMBER(G608)),"",IF(ISNUMBER(X608),G608*X608,"UNIDADE A CONFERIR")))</f>
        <v/>
      </c>
      <c r="J608" s="91" t="n"/>
      <c r="K608" s="91" t="n"/>
      <c r="L608" s="93" t="str">
        <f>IF(R608=0,"",SUMIFS('RECEBIMENTOS'!$H$6:$H$1005,'RECEBIMENTOS'!$R$6:$R$1005,A608,'RECEBIMENTOS'!$X$6:$X$1005,1))</f>
        <v/>
      </c>
      <c r="M608" s="93" t="str">
        <f>IF(R608=0,"",SUMIFS('VÍNCULOS_CDF'!$H$6:$H$1005,'VÍNCULOS_CDF'!$R$6:$R$1005,A608,'VÍNCULOS_CDF'!$V$6:$V$1005,1))</f>
        <v/>
      </c>
      <c r="N608" s="99" t="str">
        <f>IF(OR(R608=0,AA608=0,NOT(ISNUMBER(I608))),"",I608-N(L608))</f>
        <v/>
      </c>
      <c r="O608" s="100" t="str">
        <f>IF(OR(R608=0,AK608&lt;=0),"",N(M608)/AK608)</f>
        <v/>
      </c>
      <c r="P608" s="94" t="str">
        <f>IF(R608=0,"",IF(S608="","Sem MTR associado",IF(U608=0,"MTR inexistente",IF(C608="","Resíduo não identificado",IF(V608=0,"Resíduo fora do cadastro",IF(W608=0,"Quantidade inválida",IF(H608="","Unidade não informada",IF(NOT(ISNUMBER(I608)),"Unidade a conferir",IF(AND(AH608=1,K608&lt;&gt;"Sim"),"Possível duplicidade",IF(Z608=1,"MTR cancelado",IF(AC608&gt;0,"Recebimento com alerta",IF(AA608=0,"Aguardando recebimento",IF(AB608&lt;AA608,"Recebimento a conferir",IF(AM608=1,"Quantidade a revisar",IF(AF608&gt;0,"Vínculo a revisar",IF(AD608=0,"Aguardando CDF",IF(AN608=0,"Vínculo de CDF parcial",IF(AE608&lt;AD608,"CDF a conferir","Documentação conferida"))))))))))))))))))</f>
        <v/>
      </c>
      <c r="Q608" s="93" t="str">
        <f>IF(OR(R608=0,AA608=0),"",MAX(0,N(L608)-N(M608)))</f>
        <v/>
      </c>
      <c r="R608" s="96">
        <f>IF(COUNTA(B608:C608,G608:H608,J608:K608)&gt;0,1,0)</f>
        <v>0</v>
      </c>
      <c r="S608" s="96" t="str">
        <f>IF(B608="","",TRIM(LEFT(B608,FIND(" |",B608&amp;" |")-1)))</f>
        <v/>
      </c>
      <c r="T608" s="96" t="str">
        <f>IF(S608="","",IFERROR(MATCH(S608,'MTRs'!$A$6:$A$505,0),""))</f>
        <v/>
      </c>
      <c r="U608" s="96">
        <f>IF(T608="",0,IF(INDEX('MTRs'!$Z$6:$Z$505,T608)=1,1,0))</f>
        <v>0</v>
      </c>
      <c r="V608" s="96">
        <f>IF(C608="",0,IF(ISNUMBER(MATCH(C608,'CAD_RESÍDUOS'!$B$6:$B$205,0)),1,0))</f>
        <v>0</v>
      </c>
      <c r="W608" s="96">
        <f>IF(AND(ISNUMBER(G608),G608&gt;0),1,0)</f>
        <v>0</v>
      </c>
      <c r="X608" s="96" t="str">
        <f>IF(H608="","",IFERROR(IF(ISNUMBER(INDEX(cfg_fac,MATCH(H608,cfg_units,0))),IF(INDEX(cfg_fac,MATCH(H608,cfg_units,0))&gt;0,INDEX(cfg_fac,MATCH(H608,cfg_units,0)),""),""),""))</f>
        <v/>
      </c>
      <c r="Y608" s="96">
        <f>IF(AND(W608=1,ISNUMBER(I608)),1,0)</f>
        <v>0</v>
      </c>
      <c r="Z608" s="96">
        <f>IF(U608=1,INDEX('MTRs'!$AA$6:$AA$505,T608),0)</f>
        <v>0</v>
      </c>
      <c r="AA608" s="96">
        <f>IF(R608=0,0,COUNTIFS('RECEBIMENTOS'!$R$6:$R$1005,A608,'RECEBIMENTOS'!$Q$6:$Q$1005,1))</f>
        <v>0</v>
      </c>
      <c r="AB608" s="96">
        <f>IF(R608=0,0,COUNTIFS('RECEBIMENTOS'!$R$6:$R$1005,A608,'RECEBIMENTOS'!$Z$6:$Z$1005,1))</f>
        <v>0</v>
      </c>
      <c r="AC608" s="96">
        <f>IF(R608=0,0,COUNTIFS('RECEBIMENTOS'!$R$6:$R$1005,A608,'RECEBIMENTOS'!$Y$6:$Y$1005,1))</f>
        <v>0</v>
      </c>
      <c r="AD608" s="96">
        <f>IF(R608=0,0,COUNTIFS('VÍNCULOS_CDF'!$R$6:$R$1005,A608,'VÍNCULOS_CDF'!$N$6:$N$1005,1))</f>
        <v>0</v>
      </c>
      <c r="AE608" s="96">
        <f>IF(R608=0,0,COUNTIFS('VÍNCULOS_CDF'!$R$6:$R$1005,A608,'VÍNCULOS_CDF'!$AA$6:$AA$1005,1))</f>
        <v>0</v>
      </c>
      <c r="AF608" s="96">
        <f>IF(R608=0,0,COUNTIFS('VÍNCULOS_CDF'!$R$6:$R$1005,A608,'VÍNCULOS_CDF'!$Y$6:$Y$1005,1))</f>
        <v>0</v>
      </c>
      <c r="AG608" s="96" t="str">
        <f>IF(AND(R608=1,S608&lt;&gt;"",C608&lt;&gt;""),S608&amp;"|"&amp;C608&amp;"|"&amp;G608&amp;"|"&amp;H608,"")</f>
        <v/>
      </c>
      <c r="AH608" s="96">
        <f>IF(AG608="",0,IF(SUMPRODUCT(--($AG$6:$AG$1005=AG608))&gt;1,1,0))</f>
        <v>0</v>
      </c>
      <c r="AI608" s="96">
        <f>IF(R608=0,0,IF(OR(U608=0,V608=0,Y608=0,AND(AH608=1,K608&lt;&gt;"Sim")),1,0))</f>
        <v>0</v>
      </c>
      <c r="AJ608" s="96">
        <f>IF(AND(R608=1,AA608&gt;0,AB608=AA608),1,0)</f>
        <v>0</v>
      </c>
      <c r="AK608" s="96">
        <f>IF(R608=0,0,IF(AA608&gt;0,N(L608),IF(ISNUMBER(I608),I608,0)))</f>
        <v>0</v>
      </c>
      <c r="AL608" s="96">
        <f>IF(R608=0,0,IF(AND(K608&lt;&gt;"Sim",N(M608)&gt;AK608+cfg_tol),1,0))</f>
        <v>0</v>
      </c>
      <c r="AM608" s="96">
        <f>IF(R608=0,0,IF(K608="Sim",0,IF(OR(AND(AA608&gt;0,ISNUMBER(I608),ABS(I608-N(L608))&gt;cfg_tol),AL608=1),1,0)))</f>
        <v>0</v>
      </c>
      <c r="AN608" s="96">
        <f>IF(AND(R608=1,N(M608)&gt;0,OR(N(M608)&gt;=AK608-cfg_tol,K608="Sim")),1,0)</f>
        <v>0</v>
      </c>
      <c r="AO608" s="96">
        <f>IF(AND(AN608=1,AD608&gt;0,AE608=AD608,AL608=0),1,0)</f>
        <v>0</v>
      </c>
      <c r="AP608" s="96">
        <f>IF(U608=0,0,IF(AND(INDEX('MTRs'!$AX$6:$AX$505,T608)=1,Z608=0,OR(f_res="",f_res="(Todos)",C608=f_res)),1,0))</f>
        <v>0</v>
      </c>
      <c r="AQ608" s="97" t="str">
        <f>IF(U608=0,"",INDEX('MTRs'!$AZ$6:$AZ$505,T608))</f>
        <v/>
      </c>
      <c r="AR608" s="96">
        <f>IF(U608=0,0,IF(AND(INDEX('MTRs'!$BA$6:$BA$505,T608)=1,Z608=0),1,0))</f>
        <v>0</v>
      </c>
      <c r="AS608" s="96" t="str">
        <f>IF(R608=1,A608&amp;" | MTR "&amp;IF(U608=1,INDEX('MTRs'!$B$6:$B$505,T608)&amp;"","?")&amp;" | "&amp;IF(C608="","(sem resíduo)",C608),"")</f>
        <v/>
      </c>
      <c r="AT608" s="96" t="str">
        <f>IF(R608=1,COUNTIF($R$6:R608,1),"")</f>
        <v/>
      </c>
      <c r="AU608" s="96" t="str">
        <f>IF(U608=1,INDEX('MTRs'!$I$6:$I$505,T608)&amp;"","")</f>
        <v/>
      </c>
    </row>
    <row r="609">
      <c r="A609" s="89" t="inlineStr">
        <is>
          <t>IT-000604</t>
        </is>
      </c>
      <c r="B609" s="91" t="n"/>
      <c r="C609" s="91" t="n"/>
      <c r="D609" s="94" t="str">
        <f>IF(OR(R609=0,V609=0),"",INDEX('CAD_RESÍDUOS'!$E$6:$E$205,MATCH(C609,'CAD_RESÍDUOS'!$B$6:$B$205,0))&amp;"")</f>
        <v/>
      </c>
      <c r="E609" s="94" t="str">
        <f>IF(OR(R609=0,V609=0),"",INDEX('CAD_RESÍDUOS'!$C$6:$C$205,MATCH(C609,'CAD_RESÍDUOS'!$B$6:$B$205,0))&amp;"")</f>
        <v/>
      </c>
      <c r="F609" s="94" t="str">
        <f>IF(OR(R609=0,V609=0),"",INDEX('CAD_RESÍDUOS'!$G$6:$G$205,MATCH(C609,'CAD_RESÍDUOS'!$B$6:$B$205,0))&amp;"")</f>
        <v/>
      </c>
      <c r="G609" s="98" t="n"/>
      <c r="H609" s="91" t="n"/>
      <c r="I609" s="93" t="str">
        <f>IF(R609=0,"",IF(NOT(ISNUMBER(G609)),"",IF(ISNUMBER(X609),G609*X609,"UNIDADE A CONFERIR")))</f>
        <v/>
      </c>
      <c r="J609" s="91" t="n"/>
      <c r="K609" s="91" t="n"/>
      <c r="L609" s="93" t="str">
        <f>IF(R609=0,"",SUMIFS('RECEBIMENTOS'!$H$6:$H$1005,'RECEBIMENTOS'!$R$6:$R$1005,A609,'RECEBIMENTOS'!$X$6:$X$1005,1))</f>
        <v/>
      </c>
      <c r="M609" s="93" t="str">
        <f>IF(R609=0,"",SUMIFS('VÍNCULOS_CDF'!$H$6:$H$1005,'VÍNCULOS_CDF'!$R$6:$R$1005,A609,'VÍNCULOS_CDF'!$V$6:$V$1005,1))</f>
        <v/>
      </c>
      <c r="N609" s="99" t="str">
        <f>IF(OR(R609=0,AA609=0,NOT(ISNUMBER(I609))),"",I609-N(L609))</f>
        <v/>
      </c>
      <c r="O609" s="100" t="str">
        <f>IF(OR(R609=0,AK609&lt;=0),"",N(M609)/AK609)</f>
        <v/>
      </c>
      <c r="P609" s="94" t="str">
        <f>IF(R609=0,"",IF(S609="","Sem MTR associado",IF(U609=0,"MTR inexistente",IF(C609="","Resíduo não identificado",IF(V609=0,"Resíduo fora do cadastro",IF(W609=0,"Quantidade inválida",IF(H609="","Unidade não informada",IF(NOT(ISNUMBER(I609)),"Unidade a conferir",IF(AND(AH609=1,K609&lt;&gt;"Sim"),"Possível duplicidade",IF(Z609=1,"MTR cancelado",IF(AC609&gt;0,"Recebimento com alerta",IF(AA609=0,"Aguardando recebimento",IF(AB609&lt;AA609,"Recebimento a conferir",IF(AM609=1,"Quantidade a revisar",IF(AF609&gt;0,"Vínculo a revisar",IF(AD609=0,"Aguardando CDF",IF(AN609=0,"Vínculo de CDF parcial",IF(AE609&lt;AD609,"CDF a conferir","Documentação conferida"))))))))))))))))))</f>
        <v/>
      </c>
      <c r="Q609" s="93" t="str">
        <f>IF(OR(R609=0,AA609=0),"",MAX(0,N(L609)-N(M609)))</f>
        <v/>
      </c>
      <c r="R609" s="96">
        <f>IF(COUNTA(B609:C609,G609:H609,J609:K609)&gt;0,1,0)</f>
        <v>0</v>
      </c>
      <c r="S609" s="96" t="str">
        <f>IF(B609="","",TRIM(LEFT(B609,FIND(" |",B609&amp;" |")-1)))</f>
        <v/>
      </c>
      <c r="T609" s="96" t="str">
        <f>IF(S609="","",IFERROR(MATCH(S609,'MTRs'!$A$6:$A$505,0),""))</f>
        <v/>
      </c>
      <c r="U609" s="96">
        <f>IF(T609="",0,IF(INDEX('MTRs'!$Z$6:$Z$505,T609)=1,1,0))</f>
        <v>0</v>
      </c>
      <c r="V609" s="96">
        <f>IF(C609="",0,IF(ISNUMBER(MATCH(C609,'CAD_RESÍDUOS'!$B$6:$B$205,0)),1,0))</f>
        <v>0</v>
      </c>
      <c r="W609" s="96">
        <f>IF(AND(ISNUMBER(G609),G609&gt;0),1,0)</f>
        <v>0</v>
      </c>
      <c r="X609" s="96" t="str">
        <f>IF(H609="","",IFERROR(IF(ISNUMBER(INDEX(cfg_fac,MATCH(H609,cfg_units,0))),IF(INDEX(cfg_fac,MATCH(H609,cfg_units,0))&gt;0,INDEX(cfg_fac,MATCH(H609,cfg_units,0)),""),""),""))</f>
        <v/>
      </c>
      <c r="Y609" s="96">
        <f>IF(AND(W609=1,ISNUMBER(I609)),1,0)</f>
        <v>0</v>
      </c>
      <c r="Z609" s="96">
        <f>IF(U609=1,INDEX('MTRs'!$AA$6:$AA$505,T609),0)</f>
        <v>0</v>
      </c>
      <c r="AA609" s="96">
        <f>IF(R609=0,0,COUNTIFS('RECEBIMENTOS'!$R$6:$R$1005,A609,'RECEBIMENTOS'!$Q$6:$Q$1005,1))</f>
        <v>0</v>
      </c>
      <c r="AB609" s="96">
        <f>IF(R609=0,0,COUNTIFS('RECEBIMENTOS'!$R$6:$R$1005,A609,'RECEBIMENTOS'!$Z$6:$Z$1005,1))</f>
        <v>0</v>
      </c>
      <c r="AC609" s="96">
        <f>IF(R609=0,0,COUNTIFS('RECEBIMENTOS'!$R$6:$R$1005,A609,'RECEBIMENTOS'!$Y$6:$Y$1005,1))</f>
        <v>0</v>
      </c>
      <c r="AD609" s="96">
        <f>IF(R609=0,0,COUNTIFS('VÍNCULOS_CDF'!$R$6:$R$1005,A609,'VÍNCULOS_CDF'!$N$6:$N$1005,1))</f>
        <v>0</v>
      </c>
      <c r="AE609" s="96">
        <f>IF(R609=0,0,COUNTIFS('VÍNCULOS_CDF'!$R$6:$R$1005,A609,'VÍNCULOS_CDF'!$AA$6:$AA$1005,1))</f>
        <v>0</v>
      </c>
      <c r="AF609" s="96">
        <f>IF(R609=0,0,COUNTIFS('VÍNCULOS_CDF'!$R$6:$R$1005,A609,'VÍNCULOS_CDF'!$Y$6:$Y$1005,1))</f>
        <v>0</v>
      </c>
      <c r="AG609" s="96" t="str">
        <f>IF(AND(R609=1,S609&lt;&gt;"",C609&lt;&gt;""),S609&amp;"|"&amp;C609&amp;"|"&amp;G609&amp;"|"&amp;H609,"")</f>
        <v/>
      </c>
      <c r="AH609" s="96">
        <f>IF(AG609="",0,IF(SUMPRODUCT(--($AG$6:$AG$1005=AG609))&gt;1,1,0))</f>
        <v>0</v>
      </c>
      <c r="AI609" s="96">
        <f>IF(R609=0,0,IF(OR(U609=0,V609=0,Y609=0,AND(AH609=1,K609&lt;&gt;"Sim")),1,0))</f>
        <v>0</v>
      </c>
      <c r="AJ609" s="96">
        <f>IF(AND(R609=1,AA609&gt;0,AB609=AA609),1,0)</f>
        <v>0</v>
      </c>
      <c r="AK609" s="96">
        <f>IF(R609=0,0,IF(AA609&gt;0,N(L609),IF(ISNUMBER(I609),I609,0)))</f>
        <v>0</v>
      </c>
      <c r="AL609" s="96">
        <f>IF(R609=0,0,IF(AND(K609&lt;&gt;"Sim",N(M609)&gt;AK609+cfg_tol),1,0))</f>
        <v>0</v>
      </c>
      <c r="AM609" s="96">
        <f>IF(R609=0,0,IF(K609="Sim",0,IF(OR(AND(AA609&gt;0,ISNUMBER(I609),ABS(I609-N(L609))&gt;cfg_tol),AL609=1),1,0)))</f>
        <v>0</v>
      </c>
      <c r="AN609" s="96">
        <f>IF(AND(R609=1,N(M609)&gt;0,OR(N(M609)&gt;=AK609-cfg_tol,K609="Sim")),1,0)</f>
        <v>0</v>
      </c>
      <c r="AO609" s="96">
        <f>IF(AND(AN609=1,AD609&gt;0,AE609=AD609,AL609=0),1,0)</f>
        <v>0</v>
      </c>
      <c r="AP609" s="96">
        <f>IF(U609=0,0,IF(AND(INDEX('MTRs'!$AX$6:$AX$505,T609)=1,Z609=0,OR(f_res="",f_res="(Todos)",C609=f_res)),1,0))</f>
        <v>0</v>
      </c>
      <c r="AQ609" s="97" t="str">
        <f>IF(U609=0,"",INDEX('MTRs'!$AZ$6:$AZ$505,T609))</f>
        <v/>
      </c>
      <c r="AR609" s="96">
        <f>IF(U609=0,0,IF(AND(INDEX('MTRs'!$BA$6:$BA$505,T609)=1,Z609=0),1,0))</f>
        <v>0</v>
      </c>
      <c r="AS609" s="96" t="str">
        <f>IF(R609=1,A609&amp;" | MTR "&amp;IF(U609=1,INDEX('MTRs'!$B$6:$B$505,T609)&amp;"","?")&amp;" | "&amp;IF(C609="","(sem resíduo)",C609),"")</f>
        <v/>
      </c>
      <c r="AT609" s="96" t="str">
        <f>IF(R609=1,COUNTIF($R$6:R609,1),"")</f>
        <v/>
      </c>
      <c r="AU609" s="96" t="str">
        <f>IF(U609=1,INDEX('MTRs'!$I$6:$I$505,T609)&amp;"","")</f>
        <v/>
      </c>
    </row>
    <row r="610">
      <c r="A610" s="89" t="inlineStr">
        <is>
          <t>IT-000605</t>
        </is>
      </c>
      <c r="B610" s="91" t="n"/>
      <c r="C610" s="91" t="n"/>
      <c r="D610" s="94" t="str">
        <f>IF(OR(R610=0,V610=0),"",INDEX('CAD_RESÍDUOS'!$E$6:$E$205,MATCH(C610,'CAD_RESÍDUOS'!$B$6:$B$205,0))&amp;"")</f>
        <v/>
      </c>
      <c r="E610" s="94" t="str">
        <f>IF(OR(R610=0,V610=0),"",INDEX('CAD_RESÍDUOS'!$C$6:$C$205,MATCH(C610,'CAD_RESÍDUOS'!$B$6:$B$205,0))&amp;"")</f>
        <v/>
      </c>
      <c r="F610" s="94" t="str">
        <f>IF(OR(R610=0,V610=0),"",INDEX('CAD_RESÍDUOS'!$G$6:$G$205,MATCH(C610,'CAD_RESÍDUOS'!$B$6:$B$205,0))&amp;"")</f>
        <v/>
      </c>
      <c r="G610" s="98" t="n"/>
      <c r="H610" s="91" t="n"/>
      <c r="I610" s="93" t="str">
        <f>IF(R610=0,"",IF(NOT(ISNUMBER(G610)),"",IF(ISNUMBER(X610),G610*X610,"UNIDADE A CONFERIR")))</f>
        <v/>
      </c>
      <c r="J610" s="91" t="n"/>
      <c r="K610" s="91" t="n"/>
      <c r="L610" s="93" t="str">
        <f>IF(R610=0,"",SUMIFS('RECEBIMENTOS'!$H$6:$H$1005,'RECEBIMENTOS'!$R$6:$R$1005,A610,'RECEBIMENTOS'!$X$6:$X$1005,1))</f>
        <v/>
      </c>
      <c r="M610" s="93" t="str">
        <f>IF(R610=0,"",SUMIFS('VÍNCULOS_CDF'!$H$6:$H$1005,'VÍNCULOS_CDF'!$R$6:$R$1005,A610,'VÍNCULOS_CDF'!$V$6:$V$1005,1))</f>
        <v/>
      </c>
      <c r="N610" s="99" t="str">
        <f>IF(OR(R610=0,AA610=0,NOT(ISNUMBER(I610))),"",I610-N(L610))</f>
        <v/>
      </c>
      <c r="O610" s="100" t="str">
        <f>IF(OR(R610=0,AK610&lt;=0),"",N(M610)/AK610)</f>
        <v/>
      </c>
      <c r="P610" s="94" t="str">
        <f>IF(R610=0,"",IF(S610="","Sem MTR associado",IF(U610=0,"MTR inexistente",IF(C610="","Resíduo não identificado",IF(V610=0,"Resíduo fora do cadastro",IF(W610=0,"Quantidade inválida",IF(H610="","Unidade não informada",IF(NOT(ISNUMBER(I610)),"Unidade a conferir",IF(AND(AH610=1,K610&lt;&gt;"Sim"),"Possível duplicidade",IF(Z610=1,"MTR cancelado",IF(AC610&gt;0,"Recebimento com alerta",IF(AA610=0,"Aguardando recebimento",IF(AB610&lt;AA610,"Recebimento a conferir",IF(AM610=1,"Quantidade a revisar",IF(AF610&gt;0,"Vínculo a revisar",IF(AD610=0,"Aguardando CDF",IF(AN610=0,"Vínculo de CDF parcial",IF(AE610&lt;AD610,"CDF a conferir","Documentação conferida"))))))))))))))))))</f>
        <v/>
      </c>
      <c r="Q610" s="93" t="str">
        <f>IF(OR(R610=0,AA610=0),"",MAX(0,N(L610)-N(M610)))</f>
        <v/>
      </c>
      <c r="R610" s="96">
        <f>IF(COUNTA(B610:C610,G610:H610,J610:K610)&gt;0,1,0)</f>
        <v>0</v>
      </c>
      <c r="S610" s="96" t="str">
        <f>IF(B610="","",TRIM(LEFT(B610,FIND(" |",B610&amp;" |")-1)))</f>
        <v/>
      </c>
      <c r="T610" s="96" t="str">
        <f>IF(S610="","",IFERROR(MATCH(S610,'MTRs'!$A$6:$A$505,0),""))</f>
        <v/>
      </c>
      <c r="U610" s="96">
        <f>IF(T610="",0,IF(INDEX('MTRs'!$Z$6:$Z$505,T610)=1,1,0))</f>
        <v>0</v>
      </c>
      <c r="V610" s="96">
        <f>IF(C610="",0,IF(ISNUMBER(MATCH(C610,'CAD_RESÍDUOS'!$B$6:$B$205,0)),1,0))</f>
        <v>0</v>
      </c>
      <c r="W610" s="96">
        <f>IF(AND(ISNUMBER(G610),G610&gt;0),1,0)</f>
        <v>0</v>
      </c>
      <c r="X610" s="96" t="str">
        <f>IF(H610="","",IFERROR(IF(ISNUMBER(INDEX(cfg_fac,MATCH(H610,cfg_units,0))),IF(INDEX(cfg_fac,MATCH(H610,cfg_units,0))&gt;0,INDEX(cfg_fac,MATCH(H610,cfg_units,0)),""),""),""))</f>
        <v/>
      </c>
      <c r="Y610" s="96">
        <f>IF(AND(W610=1,ISNUMBER(I610)),1,0)</f>
        <v>0</v>
      </c>
      <c r="Z610" s="96">
        <f>IF(U610=1,INDEX('MTRs'!$AA$6:$AA$505,T610),0)</f>
        <v>0</v>
      </c>
      <c r="AA610" s="96">
        <f>IF(R610=0,0,COUNTIFS('RECEBIMENTOS'!$R$6:$R$1005,A610,'RECEBIMENTOS'!$Q$6:$Q$1005,1))</f>
        <v>0</v>
      </c>
      <c r="AB610" s="96">
        <f>IF(R610=0,0,COUNTIFS('RECEBIMENTOS'!$R$6:$R$1005,A610,'RECEBIMENTOS'!$Z$6:$Z$1005,1))</f>
        <v>0</v>
      </c>
      <c r="AC610" s="96">
        <f>IF(R610=0,0,COUNTIFS('RECEBIMENTOS'!$R$6:$R$1005,A610,'RECEBIMENTOS'!$Y$6:$Y$1005,1))</f>
        <v>0</v>
      </c>
      <c r="AD610" s="96">
        <f>IF(R610=0,0,COUNTIFS('VÍNCULOS_CDF'!$R$6:$R$1005,A610,'VÍNCULOS_CDF'!$N$6:$N$1005,1))</f>
        <v>0</v>
      </c>
      <c r="AE610" s="96">
        <f>IF(R610=0,0,COUNTIFS('VÍNCULOS_CDF'!$R$6:$R$1005,A610,'VÍNCULOS_CDF'!$AA$6:$AA$1005,1))</f>
        <v>0</v>
      </c>
      <c r="AF610" s="96">
        <f>IF(R610=0,0,COUNTIFS('VÍNCULOS_CDF'!$R$6:$R$1005,A610,'VÍNCULOS_CDF'!$Y$6:$Y$1005,1))</f>
        <v>0</v>
      </c>
      <c r="AG610" s="96" t="str">
        <f>IF(AND(R610=1,S610&lt;&gt;"",C610&lt;&gt;""),S610&amp;"|"&amp;C610&amp;"|"&amp;G610&amp;"|"&amp;H610,"")</f>
        <v/>
      </c>
      <c r="AH610" s="96">
        <f>IF(AG610="",0,IF(SUMPRODUCT(--($AG$6:$AG$1005=AG610))&gt;1,1,0))</f>
        <v>0</v>
      </c>
      <c r="AI610" s="96">
        <f>IF(R610=0,0,IF(OR(U610=0,V610=0,Y610=0,AND(AH610=1,K610&lt;&gt;"Sim")),1,0))</f>
        <v>0</v>
      </c>
      <c r="AJ610" s="96">
        <f>IF(AND(R610=1,AA610&gt;0,AB610=AA610),1,0)</f>
        <v>0</v>
      </c>
      <c r="AK610" s="96">
        <f>IF(R610=0,0,IF(AA610&gt;0,N(L610),IF(ISNUMBER(I610),I610,0)))</f>
        <v>0</v>
      </c>
      <c r="AL610" s="96">
        <f>IF(R610=0,0,IF(AND(K610&lt;&gt;"Sim",N(M610)&gt;AK610+cfg_tol),1,0))</f>
        <v>0</v>
      </c>
      <c r="AM610" s="96">
        <f>IF(R610=0,0,IF(K610="Sim",0,IF(OR(AND(AA610&gt;0,ISNUMBER(I610),ABS(I610-N(L610))&gt;cfg_tol),AL610=1),1,0)))</f>
        <v>0</v>
      </c>
      <c r="AN610" s="96">
        <f>IF(AND(R610=1,N(M610)&gt;0,OR(N(M610)&gt;=AK610-cfg_tol,K610="Sim")),1,0)</f>
        <v>0</v>
      </c>
      <c r="AO610" s="96">
        <f>IF(AND(AN610=1,AD610&gt;0,AE610=AD610,AL610=0),1,0)</f>
        <v>0</v>
      </c>
      <c r="AP610" s="96">
        <f>IF(U610=0,0,IF(AND(INDEX('MTRs'!$AX$6:$AX$505,T610)=1,Z610=0,OR(f_res="",f_res="(Todos)",C610=f_res)),1,0))</f>
        <v>0</v>
      </c>
      <c r="AQ610" s="97" t="str">
        <f>IF(U610=0,"",INDEX('MTRs'!$AZ$6:$AZ$505,T610))</f>
        <v/>
      </c>
      <c r="AR610" s="96">
        <f>IF(U610=0,0,IF(AND(INDEX('MTRs'!$BA$6:$BA$505,T610)=1,Z610=0),1,0))</f>
        <v>0</v>
      </c>
      <c r="AS610" s="96" t="str">
        <f>IF(R610=1,A610&amp;" | MTR "&amp;IF(U610=1,INDEX('MTRs'!$B$6:$B$505,T610)&amp;"","?")&amp;" | "&amp;IF(C610="","(sem resíduo)",C610),"")</f>
        <v/>
      </c>
      <c r="AT610" s="96" t="str">
        <f>IF(R610=1,COUNTIF($R$6:R610,1),"")</f>
        <v/>
      </c>
      <c r="AU610" s="96" t="str">
        <f>IF(U610=1,INDEX('MTRs'!$I$6:$I$505,T610)&amp;"","")</f>
        <v/>
      </c>
    </row>
    <row r="611">
      <c r="A611" s="89" t="inlineStr">
        <is>
          <t>IT-000606</t>
        </is>
      </c>
      <c r="B611" s="91" t="n"/>
      <c r="C611" s="91" t="n"/>
      <c r="D611" s="94" t="str">
        <f>IF(OR(R611=0,V611=0),"",INDEX('CAD_RESÍDUOS'!$E$6:$E$205,MATCH(C611,'CAD_RESÍDUOS'!$B$6:$B$205,0))&amp;"")</f>
        <v/>
      </c>
      <c r="E611" s="94" t="str">
        <f>IF(OR(R611=0,V611=0),"",INDEX('CAD_RESÍDUOS'!$C$6:$C$205,MATCH(C611,'CAD_RESÍDUOS'!$B$6:$B$205,0))&amp;"")</f>
        <v/>
      </c>
      <c r="F611" s="94" t="str">
        <f>IF(OR(R611=0,V611=0),"",INDEX('CAD_RESÍDUOS'!$G$6:$G$205,MATCH(C611,'CAD_RESÍDUOS'!$B$6:$B$205,0))&amp;"")</f>
        <v/>
      </c>
      <c r="G611" s="98" t="n"/>
      <c r="H611" s="91" t="n"/>
      <c r="I611" s="93" t="str">
        <f>IF(R611=0,"",IF(NOT(ISNUMBER(G611)),"",IF(ISNUMBER(X611),G611*X611,"UNIDADE A CONFERIR")))</f>
        <v/>
      </c>
      <c r="J611" s="91" t="n"/>
      <c r="K611" s="91" t="n"/>
      <c r="L611" s="93" t="str">
        <f>IF(R611=0,"",SUMIFS('RECEBIMENTOS'!$H$6:$H$1005,'RECEBIMENTOS'!$R$6:$R$1005,A611,'RECEBIMENTOS'!$X$6:$X$1005,1))</f>
        <v/>
      </c>
      <c r="M611" s="93" t="str">
        <f>IF(R611=0,"",SUMIFS('VÍNCULOS_CDF'!$H$6:$H$1005,'VÍNCULOS_CDF'!$R$6:$R$1005,A611,'VÍNCULOS_CDF'!$V$6:$V$1005,1))</f>
        <v/>
      </c>
      <c r="N611" s="99" t="str">
        <f>IF(OR(R611=0,AA611=0,NOT(ISNUMBER(I611))),"",I611-N(L611))</f>
        <v/>
      </c>
      <c r="O611" s="100" t="str">
        <f>IF(OR(R611=0,AK611&lt;=0),"",N(M611)/AK611)</f>
        <v/>
      </c>
      <c r="P611" s="94" t="str">
        <f>IF(R611=0,"",IF(S611="","Sem MTR associado",IF(U611=0,"MTR inexistente",IF(C611="","Resíduo não identificado",IF(V611=0,"Resíduo fora do cadastro",IF(W611=0,"Quantidade inválida",IF(H611="","Unidade não informada",IF(NOT(ISNUMBER(I611)),"Unidade a conferir",IF(AND(AH611=1,K611&lt;&gt;"Sim"),"Possível duplicidade",IF(Z611=1,"MTR cancelado",IF(AC611&gt;0,"Recebimento com alerta",IF(AA611=0,"Aguardando recebimento",IF(AB611&lt;AA611,"Recebimento a conferir",IF(AM611=1,"Quantidade a revisar",IF(AF611&gt;0,"Vínculo a revisar",IF(AD611=0,"Aguardando CDF",IF(AN611=0,"Vínculo de CDF parcial",IF(AE611&lt;AD611,"CDF a conferir","Documentação conferida"))))))))))))))))))</f>
        <v/>
      </c>
      <c r="Q611" s="93" t="str">
        <f>IF(OR(R611=0,AA611=0),"",MAX(0,N(L611)-N(M611)))</f>
        <v/>
      </c>
      <c r="R611" s="96">
        <f>IF(COUNTA(B611:C611,G611:H611,J611:K611)&gt;0,1,0)</f>
        <v>0</v>
      </c>
      <c r="S611" s="96" t="str">
        <f>IF(B611="","",TRIM(LEFT(B611,FIND(" |",B611&amp;" |")-1)))</f>
        <v/>
      </c>
      <c r="T611" s="96" t="str">
        <f>IF(S611="","",IFERROR(MATCH(S611,'MTRs'!$A$6:$A$505,0),""))</f>
        <v/>
      </c>
      <c r="U611" s="96">
        <f>IF(T611="",0,IF(INDEX('MTRs'!$Z$6:$Z$505,T611)=1,1,0))</f>
        <v>0</v>
      </c>
      <c r="V611" s="96">
        <f>IF(C611="",0,IF(ISNUMBER(MATCH(C611,'CAD_RESÍDUOS'!$B$6:$B$205,0)),1,0))</f>
        <v>0</v>
      </c>
      <c r="W611" s="96">
        <f>IF(AND(ISNUMBER(G611),G611&gt;0),1,0)</f>
        <v>0</v>
      </c>
      <c r="X611" s="96" t="str">
        <f>IF(H611="","",IFERROR(IF(ISNUMBER(INDEX(cfg_fac,MATCH(H611,cfg_units,0))),IF(INDEX(cfg_fac,MATCH(H611,cfg_units,0))&gt;0,INDEX(cfg_fac,MATCH(H611,cfg_units,0)),""),""),""))</f>
        <v/>
      </c>
      <c r="Y611" s="96">
        <f>IF(AND(W611=1,ISNUMBER(I611)),1,0)</f>
        <v>0</v>
      </c>
      <c r="Z611" s="96">
        <f>IF(U611=1,INDEX('MTRs'!$AA$6:$AA$505,T611),0)</f>
        <v>0</v>
      </c>
      <c r="AA611" s="96">
        <f>IF(R611=0,0,COUNTIFS('RECEBIMENTOS'!$R$6:$R$1005,A611,'RECEBIMENTOS'!$Q$6:$Q$1005,1))</f>
        <v>0</v>
      </c>
      <c r="AB611" s="96">
        <f>IF(R611=0,0,COUNTIFS('RECEBIMENTOS'!$R$6:$R$1005,A611,'RECEBIMENTOS'!$Z$6:$Z$1005,1))</f>
        <v>0</v>
      </c>
      <c r="AC611" s="96">
        <f>IF(R611=0,0,COUNTIFS('RECEBIMENTOS'!$R$6:$R$1005,A611,'RECEBIMENTOS'!$Y$6:$Y$1005,1))</f>
        <v>0</v>
      </c>
      <c r="AD611" s="96">
        <f>IF(R611=0,0,COUNTIFS('VÍNCULOS_CDF'!$R$6:$R$1005,A611,'VÍNCULOS_CDF'!$N$6:$N$1005,1))</f>
        <v>0</v>
      </c>
      <c r="AE611" s="96">
        <f>IF(R611=0,0,COUNTIFS('VÍNCULOS_CDF'!$R$6:$R$1005,A611,'VÍNCULOS_CDF'!$AA$6:$AA$1005,1))</f>
        <v>0</v>
      </c>
      <c r="AF611" s="96">
        <f>IF(R611=0,0,COUNTIFS('VÍNCULOS_CDF'!$R$6:$R$1005,A611,'VÍNCULOS_CDF'!$Y$6:$Y$1005,1))</f>
        <v>0</v>
      </c>
      <c r="AG611" s="96" t="str">
        <f>IF(AND(R611=1,S611&lt;&gt;"",C611&lt;&gt;""),S611&amp;"|"&amp;C611&amp;"|"&amp;G611&amp;"|"&amp;H611,"")</f>
        <v/>
      </c>
      <c r="AH611" s="96">
        <f>IF(AG611="",0,IF(SUMPRODUCT(--($AG$6:$AG$1005=AG611))&gt;1,1,0))</f>
        <v>0</v>
      </c>
      <c r="AI611" s="96">
        <f>IF(R611=0,0,IF(OR(U611=0,V611=0,Y611=0,AND(AH611=1,K611&lt;&gt;"Sim")),1,0))</f>
        <v>0</v>
      </c>
      <c r="AJ611" s="96">
        <f>IF(AND(R611=1,AA611&gt;0,AB611=AA611),1,0)</f>
        <v>0</v>
      </c>
      <c r="AK611" s="96">
        <f>IF(R611=0,0,IF(AA611&gt;0,N(L611),IF(ISNUMBER(I611),I611,0)))</f>
        <v>0</v>
      </c>
      <c r="AL611" s="96">
        <f>IF(R611=0,0,IF(AND(K611&lt;&gt;"Sim",N(M611)&gt;AK611+cfg_tol),1,0))</f>
        <v>0</v>
      </c>
      <c r="AM611" s="96">
        <f>IF(R611=0,0,IF(K611="Sim",0,IF(OR(AND(AA611&gt;0,ISNUMBER(I611),ABS(I611-N(L611))&gt;cfg_tol),AL611=1),1,0)))</f>
        <v>0</v>
      </c>
      <c r="AN611" s="96">
        <f>IF(AND(R611=1,N(M611)&gt;0,OR(N(M611)&gt;=AK611-cfg_tol,K611="Sim")),1,0)</f>
        <v>0</v>
      </c>
      <c r="AO611" s="96">
        <f>IF(AND(AN611=1,AD611&gt;0,AE611=AD611,AL611=0),1,0)</f>
        <v>0</v>
      </c>
      <c r="AP611" s="96">
        <f>IF(U611=0,0,IF(AND(INDEX('MTRs'!$AX$6:$AX$505,T611)=1,Z611=0,OR(f_res="",f_res="(Todos)",C611=f_res)),1,0))</f>
        <v>0</v>
      </c>
      <c r="AQ611" s="97" t="str">
        <f>IF(U611=0,"",INDEX('MTRs'!$AZ$6:$AZ$505,T611))</f>
        <v/>
      </c>
      <c r="AR611" s="96">
        <f>IF(U611=0,0,IF(AND(INDEX('MTRs'!$BA$6:$BA$505,T611)=1,Z611=0),1,0))</f>
        <v>0</v>
      </c>
      <c r="AS611" s="96" t="str">
        <f>IF(R611=1,A611&amp;" | MTR "&amp;IF(U611=1,INDEX('MTRs'!$B$6:$B$505,T611)&amp;"","?")&amp;" | "&amp;IF(C611="","(sem resíduo)",C611),"")</f>
        <v/>
      </c>
      <c r="AT611" s="96" t="str">
        <f>IF(R611=1,COUNTIF($R$6:R611,1),"")</f>
        <v/>
      </c>
      <c r="AU611" s="96" t="str">
        <f>IF(U611=1,INDEX('MTRs'!$I$6:$I$505,T611)&amp;"","")</f>
        <v/>
      </c>
    </row>
    <row r="612">
      <c r="A612" s="89" t="inlineStr">
        <is>
          <t>IT-000607</t>
        </is>
      </c>
      <c r="B612" s="91" t="n"/>
      <c r="C612" s="91" t="n"/>
      <c r="D612" s="94" t="str">
        <f>IF(OR(R612=0,V612=0),"",INDEX('CAD_RESÍDUOS'!$E$6:$E$205,MATCH(C612,'CAD_RESÍDUOS'!$B$6:$B$205,0))&amp;"")</f>
        <v/>
      </c>
      <c r="E612" s="94" t="str">
        <f>IF(OR(R612=0,V612=0),"",INDEX('CAD_RESÍDUOS'!$C$6:$C$205,MATCH(C612,'CAD_RESÍDUOS'!$B$6:$B$205,0))&amp;"")</f>
        <v/>
      </c>
      <c r="F612" s="94" t="str">
        <f>IF(OR(R612=0,V612=0),"",INDEX('CAD_RESÍDUOS'!$G$6:$G$205,MATCH(C612,'CAD_RESÍDUOS'!$B$6:$B$205,0))&amp;"")</f>
        <v/>
      </c>
      <c r="G612" s="98" t="n"/>
      <c r="H612" s="91" t="n"/>
      <c r="I612" s="93" t="str">
        <f>IF(R612=0,"",IF(NOT(ISNUMBER(G612)),"",IF(ISNUMBER(X612),G612*X612,"UNIDADE A CONFERIR")))</f>
        <v/>
      </c>
      <c r="J612" s="91" t="n"/>
      <c r="K612" s="91" t="n"/>
      <c r="L612" s="93" t="str">
        <f>IF(R612=0,"",SUMIFS('RECEBIMENTOS'!$H$6:$H$1005,'RECEBIMENTOS'!$R$6:$R$1005,A612,'RECEBIMENTOS'!$X$6:$X$1005,1))</f>
        <v/>
      </c>
      <c r="M612" s="93" t="str">
        <f>IF(R612=0,"",SUMIFS('VÍNCULOS_CDF'!$H$6:$H$1005,'VÍNCULOS_CDF'!$R$6:$R$1005,A612,'VÍNCULOS_CDF'!$V$6:$V$1005,1))</f>
        <v/>
      </c>
      <c r="N612" s="99" t="str">
        <f>IF(OR(R612=0,AA612=0,NOT(ISNUMBER(I612))),"",I612-N(L612))</f>
        <v/>
      </c>
      <c r="O612" s="100" t="str">
        <f>IF(OR(R612=0,AK612&lt;=0),"",N(M612)/AK612)</f>
        <v/>
      </c>
      <c r="P612" s="94" t="str">
        <f>IF(R612=0,"",IF(S612="","Sem MTR associado",IF(U612=0,"MTR inexistente",IF(C612="","Resíduo não identificado",IF(V612=0,"Resíduo fora do cadastro",IF(W612=0,"Quantidade inválida",IF(H612="","Unidade não informada",IF(NOT(ISNUMBER(I612)),"Unidade a conferir",IF(AND(AH612=1,K612&lt;&gt;"Sim"),"Possível duplicidade",IF(Z612=1,"MTR cancelado",IF(AC612&gt;0,"Recebimento com alerta",IF(AA612=0,"Aguardando recebimento",IF(AB612&lt;AA612,"Recebimento a conferir",IF(AM612=1,"Quantidade a revisar",IF(AF612&gt;0,"Vínculo a revisar",IF(AD612=0,"Aguardando CDF",IF(AN612=0,"Vínculo de CDF parcial",IF(AE612&lt;AD612,"CDF a conferir","Documentação conferida"))))))))))))))))))</f>
        <v/>
      </c>
      <c r="Q612" s="93" t="str">
        <f>IF(OR(R612=0,AA612=0),"",MAX(0,N(L612)-N(M612)))</f>
        <v/>
      </c>
      <c r="R612" s="96">
        <f>IF(COUNTA(B612:C612,G612:H612,J612:K612)&gt;0,1,0)</f>
        <v>0</v>
      </c>
      <c r="S612" s="96" t="str">
        <f>IF(B612="","",TRIM(LEFT(B612,FIND(" |",B612&amp;" |")-1)))</f>
        <v/>
      </c>
      <c r="T612" s="96" t="str">
        <f>IF(S612="","",IFERROR(MATCH(S612,'MTRs'!$A$6:$A$505,0),""))</f>
        <v/>
      </c>
      <c r="U612" s="96">
        <f>IF(T612="",0,IF(INDEX('MTRs'!$Z$6:$Z$505,T612)=1,1,0))</f>
        <v>0</v>
      </c>
      <c r="V612" s="96">
        <f>IF(C612="",0,IF(ISNUMBER(MATCH(C612,'CAD_RESÍDUOS'!$B$6:$B$205,0)),1,0))</f>
        <v>0</v>
      </c>
      <c r="W612" s="96">
        <f>IF(AND(ISNUMBER(G612),G612&gt;0),1,0)</f>
        <v>0</v>
      </c>
      <c r="X612" s="96" t="str">
        <f>IF(H612="","",IFERROR(IF(ISNUMBER(INDEX(cfg_fac,MATCH(H612,cfg_units,0))),IF(INDEX(cfg_fac,MATCH(H612,cfg_units,0))&gt;0,INDEX(cfg_fac,MATCH(H612,cfg_units,0)),""),""),""))</f>
        <v/>
      </c>
      <c r="Y612" s="96">
        <f>IF(AND(W612=1,ISNUMBER(I612)),1,0)</f>
        <v>0</v>
      </c>
      <c r="Z612" s="96">
        <f>IF(U612=1,INDEX('MTRs'!$AA$6:$AA$505,T612),0)</f>
        <v>0</v>
      </c>
      <c r="AA612" s="96">
        <f>IF(R612=0,0,COUNTIFS('RECEBIMENTOS'!$R$6:$R$1005,A612,'RECEBIMENTOS'!$Q$6:$Q$1005,1))</f>
        <v>0</v>
      </c>
      <c r="AB612" s="96">
        <f>IF(R612=0,0,COUNTIFS('RECEBIMENTOS'!$R$6:$R$1005,A612,'RECEBIMENTOS'!$Z$6:$Z$1005,1))</f>
        <v>0</v>
      </c>
      <c r="AC612" s="96">
        <f>IF(R612=0,0,COUNTIFS('RECEBIMENTOS'!$R$6:$R$1005,A612,'RECEBIMENTOS'!$Y$6:$Y$1005,1))</f>
        <v>0</v>
      </c>
      <c r="AD612" s="96">
        <f>IF(R612=0,0,COUNTIFS('VÍNCULOS_CDF'!$R$6:$R$1005,A612,'VÍNCULOS_CDF'!$N$6:$N$1005,1))</f>
        <v>0</v>
      </c>
      <c r="AE612" s="96">
        <f>IF(R612=0,0,COUNTIFS('VÍNCULOS_CDF'!$R$6:$R$1005,A612,'VÍNCULOS_CDF'!$AA$6:$AA$1005,1))</f>
        <v>0</v>
      </c>
      <c r="AF612" s="96">
        <f>IF(R612=0,0,COUNTIFS('VÍNCULOS_CDF'!$R$6:$R$1005,A612,'VÍNCULOS_CDF'!$Y$6:$Y$1005,1))</f>
        <v>0</v>
      </c>
      <c r="AG612" s="96" t="str">
        <f>IF(AND(R612=1,S612&lt;&gt;"",C612&lt;&gt;""),S612&amp;"|"&amp;C612&amp;"|"&amp;G612&amp;"|"&amp;H612,"")</f>
        <v/>
      </c>
      <c r="AH612" s="96">
        <f>IF(AG612="",0,IF(SUMPRODUCT(--($AG$6:$AG$1005=AG612))&gt;1,1,0))</f>
        <v>0</v>
      </c>
      <c r="AI612" s="96">
        <f>IF(R612=0,0,IF(OR(U612=0,V612=0,Y612=0,AND(AH612=1,K612&lt;&gt;"Sim")),1,0))</f>
        <v>0</v>
      </c>
      <c r="AJ612" s="96">
        <f>IF(AND(R612=1,AA612&gt;0,AB612=AA612),1,0)</f>
        <v>0</v>
      </c>
      <c r="AK612" s="96">
        <f>IF(R612=0,0,IF(AA612&gt;0,N(L612),IF(ISNUMBER(I612),I612,0)))</f>
        <v>0</v>
      </c>
      <c r="AL612" s="96">
        <f>IF(R612=0,0,IF(AND(K612&lt;&gt;"Sim",N(M612)&gt;AK612+cfg_tol),1,0))</f>
        <v>0</v>
      </c>
      <c r="AM612" s="96">
        <f>IF(R612=0,0,IF(K612="Sim",0,IF(OR(AND(AA612&gt;0,ISNUMBER(I612),ABS(I612-N(L612))&gt;cfg_tol),AL612=1),1,0)))</f>
        <v>0</v>
      </c>
      <c r="AN612" s="96">
        <f>IF(AND(R612=1,N(M612)&gt;0,OR(N(M612)&gt;=AK612-cfg_tol,K612="Sim")),1,0)</f>
        <v>0</v>
      </c>
      <c r="AO612" s="96">
        <f>IF(AND(AN612=1,AD612&gt;0,AE612=AD612,AL612=0),1,0)</f>
        <v>0</v>
      </c>
      <c r="AP612" s="96">
        <f>IF(U612=0,0,IF(AND(INDEX('MTRs'!$AX$6:$AX$505,T612)=1,Z612=0,OR(f_res="",f_res="(Todos)",C612=f_res)),1,0))</f>
        <v>0</v>
      </c>
      <c r="AQ612" s="97" t="str">
        <f>IF(U612=0,"",INDEX('MTRs'!$AZ$6:$AZ$505,T612))</f>
        <v/>
      </c>
      <c r="AR612" s="96">
        <f>IF(U612=0,0,IF(AND(INDEX('MTRs'!$BA$6:$BA$505,T612)=1,Z612=0),1,0))</f>
        <v>0</v>
      </c>
      <c r="AS612" s="96" t="str">
        <f>IF(R612=1,A612&amp;" | MTR "&amp;IF(U612=1,INDEX('MTRs'!$B$6:$B$505,T612)&amp;"","?")&amp;" | "&amp;IF(C612="","(sem resíduo)",C612),"")</f>
        <v/>
      </c>
      <c r="AT612" s="96" t="str">
        <f>IF(R612=1,COUNTIF($R$6:R612,1),"")</f>
        <v/>
      </c>
      <c r="AU612" s="96" t="str">
        <f>IF(U612=1,INDEX('MTRs'!$I$6:$I$505,T612)&amp;"","")</f>
        <v/>
      </c>
    </row>
    <row r="613">
      <c r="A613" s="89" t="inlineStr">
        <is>
          <t>IT-000608</t>
        </is>
      </c>
      <c r="B613" s="91" t="n"/>
      <c r="C613" s="91" t="n"/>
      <c r="D613" s="94" t="str">
        <f>IF(OR(R613=0,V613=0),"",INDEX('CAD_RESÍDUOS'!$E$6:$E$205,MATCH(C613,'CAD_RESÍDUOS'!$B$6:$B$205,0))&amp;"")</f>
        <v/>
      </c>
      <c r="E613" s="94" t="str">
        <f>IF(OR(R613=0,V613=0),"",INDEX('CAD_RESÍDUOS'!$C$6:$C$205,MATCH(C613,'CAD_RESÍDUOS'!$B$6:$B$205,0))&amp;"")</f>
        <v/>
      </c>
      <c r="F613" s="94" t="str">
        <f>IF(OR(R613=0,V613=0),"",INDEX('CAD_RESÍDUOS'!$G$6:$G$205,MATCH(C613,'CAD_RESÍDUOS'!$B$6:$B$205,0))&amp;"")</f>
        <v/>
      </c>
      <c r="G613" s="98" t="n"/>
      <c r="H613" s="91" t="n"/>
      <c r="I613" s="93" t="str">
        <f>IF(R613=0,"",IF(NOT(ISNUMBER(G613)),"",IF(ISNUMBER(X613),G613*X613,"UNIDADE A CONFERIR")))</f>
        <v/>
      </c>
      <c r="J613" s="91" t="n"/>
      <c r="K613" s="91" t="n"/>
      <c r="L613" s="93" t="str">
        <f>IF(R613=0,"",SUMIFS('RECEBIMENTOS'!$H$6:$H$1005,'RECEBIMENTOS'!$R$6:$R$1005,A613,'RECEBIMENTOS'!$X$6:$X$1005,1))</f>
        <v/>
      </c>
      <c r="M613" s="93" t="str">
        <f>IF(R613=0,"",SUMIFS('VÍNCULOS_CDF'!$H$6:$H$1005,'VÍNCULOS_CDF'!$R$6:$R$1005,A613,'VÍNCULOS_CDF'!$V$6:$V$1005,1))</f>
        <v/>
      </c>
      <c r="N613" s="99" t="str">
        <f>IF(OR(R613=0,AA613=0,NOT(ISNUMBER(I613))),"",I613-N(L613))</f>
        <v/>
      </c>
      <c r="O613" s="100" t="str">
        <f>IF(OR(R613=0,AK613&lt;=0),"",N(M613)/AK613)</f>
        <v/>
      </c>
      <c r="P613" s="94" t="str">
        <f>IF(R613=0,"",IF(S613="","Sem MTR associado",IF(U613=0,"MTR inexistente",IF(C613="","Resíduo não identificado",IF(V613=0,"Resíduo fora do cadastro",IF(W613=0,"Quantidade inválida",IF(H613="","Unidade não informada",IF(NOT(ISNUMBER(I613)),"Unidade a conferir",IF(AND(AH613=1,K613&lt;&gt;"Sim"),"Possível duplicidade",IF(Z613=1,"MTR cancelado",IF(AC613&gt;0,"Recebimento com alerta",IF(AA613=0,"Aguardando recebimento",IF(AB613&lt;AA613,"Recebimento a conferir",IF(AM613=1,"Quantidade a revisar",IF(AF613&gt;0,"Vínculo a revisar",IF(AD613=0,"Aguardando CDF",IF(AN613=0,"Vínculo de CDF parcial",IF(AE613&lt;AD613,"CDF a conferir","Documentação conferida"))))))))))))))))))</f>
        <v/>
      </c>
      <c r="Q613" s="93" t="str">
        <f>IF(OR(R613=0,AA613=0),"",MAX(0,N(L613)-N(M613)))</f>
        <v/>
      </c>
      <c r="R613" s="96">
        <f>IF(COUNTA(B613:C613,G613:H613,J613:K613)&gt;0,1,0)</f>
        <v>0</v>
      </c>
      <c r="S613" s="96" t="str">
        <f>IF(B613="","",TRIM(LEFT(B613,FIND(" |",B613&amp;" |")-1)))</f>
        <v/>
      </c>
      <c r="T613" s="96" t="str">
        <f>IF(S613="","",IFERROR(MATCH(S613,'MTRs'!$A$6:$A$505,0),""))</f>
        <v/>
      </c>
      <c r="U613" s="96">
        <f>IF(T613="",0,IF(INDEX('MTRs'!$Z$6:$Z$505,T613)=1,1,0))</f>
        <v>0</v>
      </c>
      <c r="V613" s="96">
        <f>IF(C613="",0,IF(ISNUMBER(MATCH(C613,'CAD_RESÍDUOS'!$B$6:$B$205,0)),1,0))</f>
        <v>0</v>
      </c>
      <c r="W613" s="96">
        <f>IF(AND(ISNUMBER(G613),G613&gt;0),1,0)</f>
        <v>0</v>
      </c>
      <c r="X613" s="96" t="str">
        <f>IF(H613="","",IFERROR(IF(ISNUMBER(INDEX(cfg_fac,MATCH(H613,cfg_units,0))),IF(INDEX(cfg_fac,MATCH(H613,cfg_units,0))&gt;0,INDEX(cfg_fac,MATCH(H613,cfg_units,0)),""),""),""))</f>
        <v/>
      </c>
      <c r="Y613" s="96">
        <f>IF(AND(W613=1,ISNUMBER(I613)),1,0)</f>
        <v>0</v>
      </c>
      <c r="Z613" s="96">
        <f>IF(U613=1,INDEX('MTRs'!$AA$6:$AA$505,T613),0)</f>
        <v>0</v>
      </c>
      <c r="AA613" s="96">
        <f>IF(R613=0,0,COUNTIFS('RECEBIMENTOS'!$R$6:$R$1005,A613,'RECEBIMENTOS'!$Q$6:$Q$1005,1))</f>
        <v>0</v>
      </c>
      <c r="AB613" s="96">
        <f>IF(R613=0,0,COUNTIFS('RECEBIMENTOS'!$R$6:$R$1005,A613,'RECEBIMENTOS'!$Z$6:$Z$1005,1))</f>
        <v>0</v>
      </c>
      <c r="AC613" s="96">
        <f>IF(R613=0,0,COUNTIFS('RECEBIMENTOS'!$R$6:$R$1005,A613,'RECEBIMENTOS'!$Y$6:$Y$1005,1))</f>
        <v>0</v>
      </c>
      <c r="AD613" s="96">
        <f>IF(R613=0,0,COUNTIFS('VÍNCULOS_CDF'!$R$6:$R$1005,A613,'VÍNCULOS_CDF'!$N$6:$N$1005,1))</f>
        <v>0</v>
      </c>
      <c r="AE613" s="96">
        <f>IF(R613=0,0,COUNTIFS('VÍNCULOS_CDF'!$R$6:$R$1005,A613,'VÍNCULOS_CDF'!$AA$6:$AA$1005,1))</f>
        <v>0</v>
      </c>
      <c r="AF613" s="96">
        <f>IF(R613=0,0,COUNTIFS('VÍNCULOS_CDF'!$R$6:$R$1005,A613,'VÍNCULOS_CDF'!$Y$6:$Y$1005,1))</f>
        <v>0</v>
      </c>
      <c r="AG613" s="96" t="str">
        <f>IF(AND(R613=1,S613&lt;&gt;"",C613&lt;&gt;""),S613&amp;"|"&amp;C613&amp;"|"&amp;G613&amp;"|"&amp;H613,"")</f>
        <v/>
      </c>
      <c r="AH613" s="96">
        <f>IF(AG613="",0,IF(SUMPRODUCT(--($AG$6:$AG$1005=AG613))&gt;1,1,0))</f>
        <v>0</v>
      </c>
      <c r="AI613" s="96">
        <f>IF(R613=0,0,IF(OR(U613=0,V613=0,Y613=0,AND(AH613=1,K613&lt;&gt;"Sim")),1,0))</f>
        <v>0</v>
      </c>
      <c r="AJ613" s="96">
        <f>IF(AND(R613=1,AA613&gt;0,AB613=AA613),1,0)</f>
        <v>0</v>
      </c>
      <c r="AK613" s="96">
        <f>IF(R613=0,0,IF(AA613&gt;0,N(L613),IF(ISNUMBER(I613),I613,0)))</f>
        <v>0</v>
      </c>
      <c r="AL613" s="96">
        <f>IF(R613=0,0,IF(AND(K613&lt;&gt;"Sim",N(M613)&gt;AK613+cfg_tol),1,0))</f>
        <v>0</v>
      </c>
      <c r="AM613" s="96">
        <f>IF(R613=0,0,IF(K613="Sim",0,IF(OR(AND(AA613&gt;0,ISNUMBER(I613),ABS(I613-N(L613))&gt;cfg_tol),AL613=1),1,0)))</f>
        <v>0</v>
      </c>
      <c r="AN613" s="96">
        <f>IF(AND(R613=1,N(M613)&gt;0,OR(N(M613)&gt;=AK613-cfg_tol,K613="Sim")),1,0)</f>
        <v>0</v>
      </c>
      <c r="AO613" s="96">
        <f>IF(AND(AN613=1,AD613&gt;0,AE613=AD613,AL613=0),1,0)</f>
        <v>0</v>
      </c>
      <c r="AP613" s="96">
        <f>IF(U613=0,0,IF(AND(INDEX('MTRs'!$AX$6:$AX$505,T613)=1,Z613=0,OR(f_res="",f_res="(Todos)",C613=f_res)),1,0))</f>
        <v>0</v>
      </c>
      <c r="AQ613" s="97" t="str">
        <f>IF(U613=0,"",INDEX('MTRs'!$AZ$6:$AZ$505,T613))</f>
        <v/>
      </c>
      <c r="AR613" s="96">
        <f>IF(U613=0,0,IF(AND(INDEX('MTRs'!$BA$6:$BA$505,T613)=1,Z613=0),1,0))</f>
        <v>0</v>
      </c>
      <c r="AS613" s="96" t="str">
        <f>IF(R613=1,A613&amp;" | MTR "&amp;IF(U613=1,INDEX('MTRs'!$B$6:$B$505,T613)&amp;"","?")&amp;" | "&amp;IF(C613="","(sem resíduo)",C613),"")</f>
        <v/>
      </c>
      <c r="AT613" s="96" t="str">
        <f>IF(R613=1,COUNTIF($R$6:R613,1),"")</f>
        <v/>
      </c>
      <c r="AU613" s="96" t="str">
        <f>IF(U613=1,INDEX('MTRs'!$I$6:$I$505,T613)&amp;"","")</f>
        <v/>
      </c>
    </row>
    <row r="614">
      <c r="A614" s="89" t="inlineStr">
        <is>
          <t>IT-000609</t>
        </is>
      </c>
      <c r="B614" s="91" t="n"/>
      <c r="C614" s="91" t="n"/>
      <c r="D614" s="94" t="str">
        <f>IF(OR(R614=0,V614=0),"",INDEX('CAD_RESÍDUOS'!$E$6:$E$205,MATCH(C614,'CAD_RESÍDUOS'!$B$6:$B$205,0))&amp;"")</f>
        <v/>
      </c>
      <c r="E614" s="94" t="str">
        <f>IF(OR(R614=0,V614=0),"",INDEX('CAD_RESÍDUOS'!$C$6:$C$205,MATCH(C614,'CAD_RESÍDUOS'!$B$6:$B$205,0))&amp;"")</f>
        <v/>
      </c>
      <c r="F614" s="94" t="str">
        <f>IF(OR(R614=0,V614=0),"",INDEX('CAD_RESÍDUOS'!$G$6:$G$205,MATCH(C614,'CAD_RESÍDUOS'!$B$6:$B$205,0))&amp;"")</f>
        <v/>
      </c>
      <c r="G614" s="98" t="n"/>
      <c r="H614" s="91" t="n"/>
      <c r="I614" s="93" t="str">
        <f>IF(R614=0,"",IF(NOT(ISNUMBER(G614)),"",IF(ISNUMBER(X614),G614*X614,"UNIDADE A CONFERIR")))</f>
        <v/>
      </c>
      <c r="J614" s="91" t="n"/>
      <c r="K614" s="91" t="n"/>
      <c r="L614" s="93" t="str">
        <f>IF(R614=0,"",SUMIFS('RECEBIMENTOS'!$H$6:$H$1005,'RECEBIMENTOS'!$R$6:$R$1005,A614,'RECEBIMENTOS'!$X$6:$X$1005,1))</f>
        <v/>
      </c>
      <c r="M614" s="93" t="str">
        <f>IF(R614=0,"",SUMIFS('VÍNCULOS_CDF'!$H$6:$H$1005,'VÍNCULOS_CDF'!$R$6:$R$1005,A614,'VÍNCULOS_CDF'!$V$6:$V$1005,1))</f>
        <v/>
      </c>
      <c r="N614" s="99" t="str">
        <f>IF(OR(R614=0,AA614=0,NOT(ISNUMBER(I614))),"",I614-N(L614))</f>
        <v/>
      </c>
      <c r="O614" s="100" t="str">
        <f>IF(OR(R614=0,AK614&lt;=0),"",N(M614)/AK614)</f>
        <v/>
      </c>
      <c r="P614" s="94" t="str">
        <f>IF(R614=0,"",IF(S614="","Sem MTR associado",IF(U614=0,"MTR inexistente",IF(C614="","Resíduo não identificado",IF(V614=0,"Resíduo fora do cadastro",IF(W614=0,"Quantidade inválida",IF(H614="","Unidade não informada",IF(NOT(ISNUMBER(I614)),"Unidade a conferir",IF(AND(AH614=1,K614&lt;&gt;"Sim"),"Possível duplicidade",IF(Z614=1,"MTR cancelado",IF(AC614&gt;0,"Recebimento com alerta",IF(AA614=0,"Aguardando recebimento",IF(AB614&lt;AA614,"Recebimento a conferir",IF(AM614=1,"Quantidade a revisar",IF(AF614&gt;0,"Vínculo a revisar",IF(AD614=0,"Aguardando CDF",IF(AN614=0,"Vínculo de CDF parcial",IF(AE614&lt;AD614,"CDF a conferir","Documentação conferida"))))))))))))))))))</f>
        <v/>
      </c>
      <c r="Q614" s="93" t="str">
        <f>IF(OR(R614=0,AA614=0),"",MAX(0,N(L614)-N(M614)))</f>
        <v/>
      </c>
      <c r="R614" s="96">
        <f>IF(COUNTA(B614:C614,G614:H614,J614:K614)&gt;0,1,0)</f>
        <v>0</v>
      </c>
      <c r="S614" s="96" t="str">
        <f>IF(B614="","",TRIM(LEFT(B614,FIND(" |",B614&amp;" |")-1)))</f>
        <v/>
      </c>
      <c r="T614" s="96" t="str">
        <f>IF(S614="","",IFERROR(MATCH(S614,'MTRs'!$A$6:$A$505,0),""))</f>
        <v/>
      </c>
      <c r="U614" s="96">
        <f>IF(T614="",0,IF(INDEX('MTRs'!$Z$6:$Z$505,T614)=1,1,0))</f>
        <v>0</v>
      </c>
      <c r="V614" s="96">
        <f>IF(C614="",0,IF(ISNUMBER(MATCH(C614,'CAD_RESÍDUOS'!$B$6:$B$205,0)),1,0))</f>
        <v>0</v>
      </c>
      <c r="W614" s="96">
        <f>IF(AND(ISNUMBER(G614),G614&gt;0),1,0)</f>
        <v>0</v>
      </c>
      <c r="X614" s="96" t="str">
        <f>IF(H614="","",IFERROR(IF(ISNUMBER(INDEX(cfg_fac,MATCH(H614,cfg_units,0))),IF(INDEX(cfg_fac,MATCH(H614,cfg_units,0))&gt;0,INDEX(cfg_fac,MATCH(H614,cfg_units,0)),""),""),""))</f>
        <v/>
      </c>
      <c r="Y614" s="96">
        <f>IF(AND(W614=1,ISNUMBER(I614)),1,0)</f>
        <v>0</v>
      </c>
      <c r="Z614" s="96">
        <f>IF(U614=1,INDEX('MTRs'!$AA$6:$AA$505,T614),0)</f>
        <v>0</v>
      </c>
      <c r="AA614" s="96">
        <f>IF(R614=0,0,COUNTIFS('RECEBIMENTOS'!$R$6:$R$1005,A614,'RECEBIMENTOS'!$Q$6:$Q$1005,1))</f>
        <v>0</v>
      </c>
      <c r="AB614" s="96">
        <f>IF(R614=0,0,COUNTIFS('RECEBIMENTOS'!$R$6:$R$1005,A614,'RECEBIMENTOS'!$Z$6:$Z$1005,1))</f>
        <v>0</v>
      </c>
      <c r="AC614" s="96">
        <f>IF(R614=0,0,COUNTIFS('RECEBIMENTOS'!$R$6:$R$1005,A614,'RECEBIMENTOS'!$Y$6:$Y$1005,1))</f>
        <v>0</v>
      </c>
      <c r="AD614" s="96">
        <f>IF(R614=0,0,COUNTIFS('VÍNCULOS_CDF'!$R$6:$R$1005,A614,'VÍNCULOS_CDF'!$N$6:$N$1005,1))</f>
        <v>0</v>
      </c>
      <c r="AE614" s="96">
        <f>IF(R614=0,0,COUNTIFS('VÍNCULOS_CDF'!$R$6:$R$1005,A614,'VÍNCULOS_CDF'!$AA$6:$AA$1005,1))</f>
        <v>0</v>
      </c>
      <c r="AF614" s="96">
        <f>IF(R614=0,0,COUNTIFS('VÍNCULOS_CDF'!$R$6:$R$1005,A614,'VÍNCULOS_CDF'!$Y$6:$Y$1005,1))</f>
        <v>0</v>
      </c>
      <c r="AG614" s="96" t="str">
        <f>IF(AND(R614=1,S614&lt;&gt;"",C614&lt;&gt;""),S614&amp;"|"&amp;C614&amp;"|"&amp;G614&amp;"|"&amp;H614,"")</f>
        <v/>
      </c>
      <c r="AH614" s="96">
        <f>IF(AG614="",0,IF(SUMPRODUCT(--($AG$6:$AG$1005=AG614))&gt;1,1,0))</f>
        <v>0</v>
      </c>
      <c r="AI614" s="96">
        <f>IF(R614=0,0,IF(OR(U614=0,V614=0,Y614=0,AND(AH614=1,K614&lt;&gt;"Sim")),1,0))</f>
        <v>0</v>
      </c>
      <c r="AJ614" s="96">
        <f>IF(AND(R614=1,AA614&gt;0,AB614=AA614),1,0)</f>
        <v>0</v>
      </c>
      <c r="AK614" s="96">
        <f>IF(R614=0,0,IF(AA614&gt;0,N(L614),IF(ISNUMBER(I614),I614,0)))</f>
        <v>0</v>
      </c>
      <c r="AL614" s="96">
        <f>IF(R614=0,0,IF(AND(K614&lt;&gt;"Sim",N(M614)&gt;AK614+cfg_tol),1,0))</f>
        <v>0</v>
      </c>
      <c r="AM614" s="96">
        <f>IF(R614=0,0,IF(K614="Sim",0,IF(OR(AND(AA614&gt;0,ISNUMBER(I614),ABS(I614-N(L614))&gt;cfg_tol),AL614=1),1,0)))</f>
        <v>0</v>
      </c>
      <c r="AN614" s="96">
        <f>IF(AND(R614=1,N(M614)&gt;0,OR(N(M614)&gt;=AK614-cfg_tol,K614="Sim")),1,0)</f>
        <v>0</v>
      </c>
      <c r="AO614" s="96">
        <f>IF(AND(AN614=1,AD614&gt;0,AE614=AD614,AL614=0),1,0)</f>
        <v>0</v>
      </c>
      <c r="AP614" s="96">
        <f>IF(U614=0,0,IF(AND(INDEX('MTRs'!$AX$6:$AX$505,T614)=1,Z614=0,OR(f_res="",f_res="(Todos)",C614=f_res)),1,0))</f>
        <v>0</v>
      </c>
      <c r="AQ614" s="97" t="str">
        <f>IF(U614=0,"",INDEX('MTRs'!$AZ$6:$AZ$505,T614))</f>
        <v/>
      </c>
      <c r="AR614" s="96">
        <f>IF(U614=0,0,IF(AND(INDEX('MTRs'!$BA$6:$BA$505,T614)=1,Z614=0),1,0))</f>
        <v>0</v>
      </c>
      <c r="AS614" s="96" t="str">
        <f>IF(R614=1,A614&amp;" | MTR "&amp;IF(U614=1,INDEX('MTRs'!$B$6:$B$505,T614)&amp;"","?")&amp;" | "&amp;IF(C614="","(sem resíduo)",C614),"")</f>
        <v/>
      </c>
      <c r="AT614" s="96" t="str">
        <f>IF(R614=1,COUNTIF($R$6:R614,1),"")</f>
        <v/>
      </c>
      <c r="AU614" s="96" t="str">
        <f>IF(U614=1,INDEX('MTRs'!$I$6:$I$505,T614)&amp;"","")</f>
        <v/>
      </c>
    </row>
    <row r="615">
      <c r="A615" s="89" t="inlineStr">
        <is>
          <t>IT-000610</t>
        </is>
      </c>
      <c r="B615" s="91" t="n"/>
      <c r="C615" s="91" t="n"/>
      <c r="D615" s="94" t="str">
        <f>IF(OR(R615=0,V615=0),"",INDEX('CAD_RESÍDUOS'!$E$6:$E$205,MATCH(C615,'CAD_RESÍDUOS'!$B$6:$B$205,0))&amp;"")</f>
        <v/>
      </c>
      <c r="E615" s="94" t="str">
        <f>IF(OR(R615=0,V615=0),"",INDEX('CAD_RESÍDUOS'!$C$6:$C$205,MATCH(C615,'CAD_RESÍDUOS'!$B$6:$B$205,0))&amp;"")</f>
        <v/>
      </c>
      <c r="F615" s="94" t="str">
        <f>IF(OR(R615=0,V615=0),"",INDEX('CAD_RESÍDUOS'!$G$6:$G$205,MATCH(C615,'CAD_RESÍDUOS'!$B$6:$B$205,0))&amp;"")</f>
        <v/>
      </c>
      <c r="G615" s="98" t="n"/>
      <c r="H615" s="91" t="n"/>
      <c r="I615" s="93" t="str">
        <f>IF(R615=0,"",IF(NOT(ISNUMBER(G615)),"",IF(ISNUMBER(X615),G615*X615,"UNIDADE A CONFERIR")))</f>
        <v/>
      </c>
      <c r="J615" s="91" t="n"/>
      <c r="K615" s="91" t="n"/>
      <c r="L615" s="93" t="str">
        <f>IF(R615=0,"",SUMIFS('RECEBIMENTOS'!$H$6:$H$1005,'RECEBIMENTOS'!$R$6:$R$1005,A615,'RECEBIMENTOS'!$X$6:$X$1005,1))</f>
        <v/>
      </c>
      <c r="M615" s="93" t="str">
        <f>IF(R615=0,"",SUMIFS('VÍNCULOS_CDF'!$H$6:$H$1005,'VÍNCULOS_CDF'!$R$6:$R$1005,A615,'VÍNCULOS_CDF'!$V$6:$V$1005,1))</f>
        <v/>
      </c>
      <c r="N615" s="99" t="str">
        <f>IF(OR(R615=0,AA615=0,NOT(ISNUMBER(I615))),"",I615-N(L615))</f>
        <v/>
      </c>
      <c r="O615" s="100" t="str">
        <f>IF(OR(R615=0,AK615&lt;=0),"",N(M615)/AK615)</f>
        <v/>
      </c>
      <c r="P615" s="94" t="str">
        <f>IF(R615=0,"",IF(S615="","Sem MTR associado",IF(U615=0,"MTR inexistente",IF(C615="","Resíduo não identificado",IF(V615=0,"Resíduo fora do cadastro",IF(W615=0,"Quantidade inválida",IF(H615="","Unidade não informada",IF(NOT(ISNUMBER(I615)),"Unidade a conferir",IF(AND(AH615=1,K615&lt;&gt;"Sim"),"Possível duplicidade",IF(Z615=1,"MTR cancelado",IF(AC615&gt;0,"Recebimento com alerta",IF(AA615=0,"Aguardando recebimento",IF(AB615&lt;AA615,"Recebimento a conferir",IF(AM615=1,"Quantidade a revisar",IF(AF615&gt;0,"Vínculo a revisar",IF(AD615=0,"Aguardando CDF",IF(AN615=0,"Vínculo de CDF parcial",IF(AE615&lt;AD615,"CDF a conferir","Documentação conferida"))))))))))))))))))</f>
        <v/>
      </c>
      <c r="Q615" s="93" t="str">
        <f>IF(OR(R615=0,AA615=0),"",MAX(0,N(L615)-N(M615)))</f>
        <v/>
      </c>
      <c r="R615" s="96">
        <f>IF(COUNTA(B615:C615,G615:H615,J615:K615)&gt;0,1,0)</f>
        <v>0</v>
      </c>
      <c r="S615" s="96" t="str">
        <f>IF(B615="","",TRIM(LEFT(B615,FIND(" |",B615&amp;" |")-1)))</f>
        <v/>
      </c>
      <c r="T615" s="96" t="str">
        <f>IF(S615="","",IFERROR(MATCH(S615,'MTRs'!$A$6:$A$505,0),""))</f>
        <v/>
      </c>
      <c r="U615" s="96">
        <f>IF(T615="",0,IF(INDEX('MTRs'!$Z$6:$Z$505,T615)=1,1,0))</f>
        <v>0</v>
      </c>
      <c r="V615" s="96">
        <f>IF(C615="",0,IF(ISNUMBER(MATCH(C615,'CAD_RESÍDUOS'!$B$6:$B$205,0)),1,0))</f>
        <v>0</v>
      </c>
      <c r="W615" s="96">
        <f>IF(AND(ISNUMBER(G615),G615&gt;0),1,0)</f>
        <v>0</v>
      </c>
      <c r="X615" s="96" t="str">
        <f>IF(H615="","",IFERROR(IF(ISNUMBER(INDEX(cfg_fac,MATCH(H615,cfg_units,0))),IF(INDEX(cfg_fac,MATCH(H615,cfg_units,0))&gt;0,INDEX(cfg_fac,MATCH(H615,cfg_units,0)),""),""),""))</f>
        <v/>
      </c>
      <c r="Y615" s="96">
        <f>IF(AND(W615=1,ISNUMBER(I615)),1,0)</f>
        <v>0</v>
      </c>
      <c r="Z615" s="96">
        <f>IF(U615=1,INDEX('MTRs'!$AA$6:$AA$505,T615),0)</f>
        <v>0</v>
      </c>
      <c r="AA615" s="96">
        <f>IF(R615=0,0,COUNTIFS('RECEBIMENTOS'!$R$6:$R$1005,A615,'RECEBIMENTOS'!$Q$6:$Q$1005,1))</f>
        <v>0</v>
      </c>
      <c r="AB615" s="96">
        <f>IF(R615=0,0,COUNTIFS('RECEBIMENTOS'!$R$6:$R$1005,A615,'RECEBIMENTOS'!$Z$6:$Z$1005,1))</f>
        <v>0</v>
      </c>
      <c r="AC615" s="96">
        <f>IF(R615=0,0,COUNTIFS('RECEBIMENTOS'!$R$6:$R$1005,A615,'RECEBIMENTOS'!$Y$6:$Y$1005,1))</f>
        <v>0</v>
      </c>
      <c r="AD615" s="96">
        <f>IF(R615=0,0,COUNTIFS('VÍNCULOS_CDF'!$R$6:$R$1005,A615,'VÍNCULOS_CDF'!$N$6:$N$1005,1))</f>
        <v>0</v>
      </c>
      <c r="AE615" s="96">
        <f>IF(R615=0,0,COUNTIFS('VÍNCULOS_CDF'!$R$6:$R$1005,A615,'VÍNCULOS_CDF'!$AA$6:$AA$1005,1))</f>
        <v>0</v>
      </c>
      <c r="AF615" s="96">
        <f>IF(R615=0,0,COUNTIFS('VÍNCULOS_CDF'!$R$6:$R$1005,A615,'VÍNCULOS_CDF'!$Y$6:$Y$1005,1))</f>
        <v>0</v>
      </c>
      <c r="AG615" s="96" t="str">
        <f>IF(AND(R615=1,S615&lt;&gt;"",C615&lt;&gt;""),S615&amp;"|"&amp;C615&amp;"|"&amp;G615&amp;"|"&amp;H615,"")</f>
        <v/>
      </c>
      <c r="AH615" s="96">
        <f>IF(AG615="",0,IF(SUMPRODUCT(--($AG$6:$AG$1005=AG615))&gt;1,1,0))</f>
        <v>0</v>
      </c>
      <c r="AI615" s="96">
        <f>IF(R615=0,0,IF(OR(U615=0,V615=0,Y615=0,AND(AH615=1,K615&lt;&gt;"Sim")),1,0))</f>
        <v>0</v>
      </c>
      <c r="AJ615" s="96">
        <f>IF(AND(R615=1,AA615&gt;0,AB615=AA615),1,0)</f>
        <v>0</v>
      </c>
      <c r="AK615" s="96">
        <f>IF(R615=0,0,IF(AA615&gt;0,N(L615),IF(ISNUMBER(I615),I615,0)))</f>
        <v>0</v>
      </c>
      <c r="AL615" s="96">
        <f>IF(R615=0,0,IF(AND(K615&lt;&gt;"Sim",N(M615)&gt;AK615+cfg_tol),1,0))</f>
        <v>0</v>
      </c>
      <c r="AM615" s="96">
        <f>IF(R615=0,0,IF(K615="Sim",0,IF(OR(AND(AA615&gt;0,ISNUMBER(I615),ABS(I615-N(L615))&gt;cfg_tol),AL615=1),1,0)))</f>
        <v>0</v>
      </c>
      <c r="AN615" s="96">
        <f>IF(AND(R615=1,N(M615)&gt;0,OR(N(M615)&gt;=AK615-cfg_tol,K615="Sim")),1,0)</f>
        <v>0</v>
      </c>
      <c r="AO615" s="96">
        <f>IF(AND(AN615=1,AD615&gt;0,AE615=AD615,AL615=0),1,0)</f>
        <v>0</v>
      </c>
      <c r="AP615" s="96">
        <f>IF(U615=0,0,IF(AND(INDEX('MTRs'!$AX$6:$AX$505,T615)=1,Z615=0,OR(f_res="",f_res="(Todos)",C615=f_res)),1,0))</f>
        <v>0</v>
      </c>
      <c r="AQ615" s="97" t="str">
        <f>IF(U615=0,"",INDEX('MTRs'!$AZ$6:$AZ$505,T615))</f>
        <v/>
      </c>
      <c r="AR615" s="96">
        <f>IF(U615=0,0,IF(AND(INDEX('MTRs'!$BA$6:$BA$505,T615)=1,Z615=0),1,0))</f>
        <v>0</v>
      </c>
      <c r="AS615" s="96" t="str">
        <f>IF(R615=1,A615&amp;" | MTR "&amp;IF(U615=1,INDEX('MTRs'!$B$6:$B$505,T615)&amp;"","?")&amp;" | "&amp;IF(C615="","(sem resíduo)",C615),"")</f>
        <v/>
      </c>
      <c r="AT615" s="96" t="str">
        <f>IF(R615=1,COUNTIF($R$6:R615,1),"")</f>
        <v/>
      </c>
      <c r="AU615" s="96" t="str">
        <f>IF(U615=1,INDEX('MTRs'!$I$6:$I$505,T615)&amp;"","")</f>
        <v/>
      </c>
    </row>
    <row r="616">
      <c r="A616" s="89" t="inlineStr">
        <is>
          <t>IT-000611</t>
        </is>
      </c>
      <c r="B616" s="91" t="n"/>
      <c r="C616" s="91" t="n"/>
      <c r="D616" s="94" t="str">
        <f>IF(OR(R616=0,V616=0),"",INDEX('CAD_RESÍDUOS'!$E$6:$E$205,MATCH(C616,'CAD_RESÍDUOS'!$B$6:$B$205,0))&amp;"")</f>
        <v/>
      </c>
      <c r="E616" s="94" t="str">
        <f>IF(OR(R616=0,V616=0),"",INDEX('CAD_RESÍDUOS'!$C$6:$C$205,MATCH(C616,'CAD_RESÍDUOS'!$B$6:$B$205,0))&amp;"")</f>
        <v/>
      </c>
      <c r="F616" s="94" t="str">
        <f>IF(OR(R616=0,V616=0),"",INDEX('CAD_RESÍDUOS'!$G$6:$G$205,MATCH(C616,'CAD_RESÍDUOS'!$B$6:$B$205,0))&amp;"")</f>
        <v/>
      </c>
      <c r="G616" s="98" t="n"/>
      <c r="H616" s="91" t="n"/>
      <c r="I616" s="93" t="str">
        <f>IF(R616=0,"",IF(NOT(ISNUMBER(G616)),"",IF(ISNUMBER(X616),G616*X616,"UNIDADE A CONFERIR")))</f>
        <v/>
      </c>
      <c r="J616" s="91" t="n"/>
      <c r="K616" s="91" t="n"/>
      <c r="L616" s="93" t="str">
        <f>IF(R616=0,"",SUMIFS('RECEBIMENTOS'!$H$6:$H$1005,'RECEBIMENTOS'!$R$6:$R$1005,A616,'RECEBIMENTOS'!$X$6:$X$1005,1))</f>
        <v/>
      </c>
      <c r="M616" s="93" t="str">
        <f>IF(R616=0,"",SUMIFS('VÍNCULOS_CDF'!$H$6:$H$1005,'VÍNCULOS_CDF'!$R$6:$R$1005,A616,'VÍNCULOS_CDF'!$V$6:$V$1005,1))</f>
        <v/>
      </c>
      <c r="N616" s="99" t="str">
        <f>IF(OR(R616=0,AA616=0,NOT(ISNUMBER(I616))),"",I616-N(L616))</f>
        <v/>
      </c>
      <c r="O616" s="100" t="str">
        <f>IF(OR(R616=0,AK616&lt;=0),"",N(M616)/AK616)</f>
        <v/>
      </c>
      <c r="P616" s="94" t="str">
        <f>IF(R616=0,"",IF(S616="","Sem MTR associado",IF(U616=0,"MTR inexistente",IF(C616="","Resíduo não identificado",IF(V616=0,"Resíduo fora do cadastro",IF(W616=0,"Quantidade inválida",IF(H616="","Unidade não informada",IF(NOT(ISNUMBER(I616)),"Unidade a conferir",IF(AND(AH616=1,K616&lt;&gt;"Sim"),"Possível duplicidade",IF(Z616=1,"MTR cancelado",IF(AC616&gt;0,"Recebimento com alerta",IF(AA616=0,"Aguardando recebimento",IF(AB616&lt;AA616,"Recebimento a conferir",IF(AM616=1,"Quantidade a revisar",IF(AF616&gt;0,"Vínculo a revisar",IF(AD616=0,"Aguardando CDF",IF(AN616=0,"Vínculo de CDF parcial",IF(AE616&lt;AD616,"CDF a conferir","Documentação conferida"))))))))))))))))))</f>
        <v/>
      </c>
      <c r="Q616" s="93" t="str">
        <f>IF(OR(R616=0,AA616=0),"",MAX(0,N(L616)-N(M616)))</f>
        <v/>
      </c>
      <c r="R616" s="96">
        <f>IF(COUNTA(B616:C616,G616:H616,J616:K616)&gt;0,1,0)</f>
        <v>0</v>
      </c>
      <c r="S616" s="96" t="str">
        <f>IF(B616="","",TRIM(LEFT(B616,FIND(" |",B616&amp;" |")-1)))</f>
        <v/>
      </c>
      <c r="T616" s="96" t="str">
        <f>IF(S616="","",IFERROR(MATCH(S616,'MTRs'!$A$6:$A$505,0),""))</f>
        <v/>
      </c>
      <c r="U616" s="96">
        <f>IF(T616="",0,IF(INDEX('MTRs'!$Z$6:$Z$505,T616)=1,1,0))</f>
        <v>0</v>
      </c>
      <c r="V616" s="96">
        <f>IF(C616="",0,IF(ISNUMBER(MATCH(C616,'CAD_RESÍDUOS'!$B$6:$B$205,0)),1,0))</f>
        <v>0</v>
      </c>
      <c r="W616" s="96">
        <f>IF(AND(ISNUMBER(G616),G616&gt;0),1,0)</f>
        <v>0</v>
      </c>
      <c r="X616" s="96" t="str">
        <f>IF(H616="","",IFERROR(IF(ISNUMBER(INDEX(cfg_fac,MATCH(H616,cfg_units,0))),IF(INDEX(cfg_fac,MATCH(H616,cfg_units,0))&gt;0,INDEX(cfg_fac,MATCH(H616,cfg_units,0)),""),""),""))</f>
        <v/>
      </c>
      <c r="Y616" s="96">
        <f>IF(AND(W616=1,ISNUMBER(I616)),1,0)</f>
        <v>0</v>
      </c>
      <c r="Z616" s="96">
        <f>IF(U616=1,INDEX('MTRs'!$AA$6:$AA$505,T616),0)</f>
        <v>0</v>
      </c>
      <c r="AA616" s="96">
        <f>IF(R616=0,0,COUNTIFS('RECEBIMENTOS'!$R$6:$R$1005,A616,'RECEBIMENTOS'!$Q$6:$Q$1005,1))</f>
        <v>0</v>
      </c>
      <c r="AB616" s="96">
        <f>IF(R616=0,0,COUNTIFS('RECEBIMENTOS'!$R$6:$R$1005,A616,'RECEBIMENTOS'!$Z$6:$Z$1005,1))</f>
        <v>0</v>
      </c>
      <c r="AC616" s="96">
        <f>IF(R616=0,0,COUNTIFS('RECEBIMENTOS'!$R$6:$R$1005,A616,'RECEBIMENTOS'!$Y$6:$Y$1005,1))</f>
        <v>0</v>
      </c>
      <c r="AD616" s="96">
        <f>IF(R616=0,0,COUNTIFS('VÍNCULOS_CDF'!$R$6:$R$1005,A616,'VÍNCULOS_CDF'!$N$6:$N$1005,1))</f>
        <v>0</v>
      </c>
      <c r="AE616" s="96">
        <f>IF(R616=0,0,COUNTIFS('VÍNCULOS_CDF'!$R$6:$R$1005,A616,'VÍNCULOS_CDF'!$AA$6:$AA$1005,1))</f>
        <v>0</v>
      </c>
      <c r="AF616" s="96">
        <f>IF(R616=0,0,COUNTIFS('VÍNCULOS_CDF'!$R$6:$R$1005,A616,'VÍNCULOS_CDF'!$Y$6:$Y$1005,1))</f>
        <v>0</v>
      </c>
      <c r="AG616" s="96" t="str">
        <f>IF(AND(R616=1,S616&lt;&gt;"",C616&lt;&gt;""),S616&amp;"|"&amp;C616&amp;"|"&amp;G616&amp;"|"&amp;H616,"")</f>
        <v/>
      </c>
      <c r="AH616" s="96">
        <f>IF(AG616="",0,IF(SUMPRODUCT(--($AG$6:$AG$1005=AG616))&gt;1,1,0))</f>
        <v>0</v>
      </c>
      <c r="AI616" s="96">
        <f>IF(R616=0,0,IF(OR(U616=0,V616=0,Y616=0,AND(AH616=1,K616&lt;&gt;"Sim")),1,0))</f>
        <v>0</v>
      </c>
      <c r="AJ616" s="96">
        <f>IF(AND(R616=1,AA616&gt;0,AB616=AA616),1,0)</f>
        <v>0</v>
      </c>
      <c r="AK616" s="96">
        <f>IF(R616=0,0,IF(AA616&gt;0,N(L616),IF(ISNUMBER(I616),I616,0)))</f>
        <v>0</v>
      </c>
      <c r="AL616" s="96">
        <f>IF(R616=0,0,IF(AND(K616&lt;&gt;"Sim",N(M616)&gt;AK616+cfg_tol),1,0))</f>
        <v>0</v>
      </c>
      <c r="AM616" s="96">
        <f>IF(R616=0,0,IF(K616="Sim",0,IF(OR(AND(AA616&gt;0,ISNUMBER(I616),ABS(I616-N(L616))&gt;cfg_tol),AL616=1),1,0)))</f>
        <v>0</v>
      </c>
      <c r="AN616" s="96">
        <f>IF(AND(R616=1,N(M616)&gt;0,OR(N(M616)&gt;=AK616-cfg_tol,K616="Sim")),1,0)</f>
        <v>0</v>
      </c>
      <c r="AO616" s="96">
        <f>IF(AND(AN616=1,AD616&gt;0,AE616=AD616,AL616=0),1,0)</f>
        <v>0</v>
      </c>
      <c r="AP616" s="96">
        <f>IF(U616=0,0,IF(AND(INDEX('MTRs'!$AX$6:$AX$505,T616)=1,Z616=0,OR(f_res="",f_res="(Todos)",C616=f_res)),1,0))</f>
        <v>0</v>
      </c>
      <c r="AQ616" s="97" t="str">
        <f>IF(U616=0,"",INDEX('MTRs'!$AZ$6:$AZ$505,T616))</f>
        <v/>
      </c>
      <c r="AR616" s="96">
        <f>IF(U616=0,0,IF(AND(INDEX('MTRs'!$BA$6:$BA$505,T616)=1,Z616=0),1,0))</f>
        <v>0</v>
      </c>
      <c r="AS616" s="96" t="str">
        <f>IF(R616=1,A616&amp;" | MTR "&amp;IF(U616=1,INDEX('MTRs'!$B$6:$B$505,T616)&amp;"","?")&amp;" | "&amp;IF(C616="","(sem resíduo)",C616),"")</f>
        <v/>
      </c>
      <c r="AT616" s="96" t="str">
        <f>IF(R616=1,COUNTIF($R$6:R616,1),"")</f>
        <v/>
      </c>
      <c r="AU616" s="96" t="str">
        <f>IF(U616=1,INDEX('MTRs'!$I$6:$I$505,T616)&amp;"","")</f>
        <v/>
      </c>
    </row>
    <row r="617">
      <c r="A617" s="89" t="inlineStr">
        <is>
          <t>IT-000612</t>
        </is>
      </c>
      <c r="B617" s="91" t="n"/>
      <c r="C617" s="91" t="n"/>
      <c r="D617" s="94" t="str">
        <f>IF(OR(R617=0,V617=0),"",INDEX('CAD_RESÍDUOS'!$E$6:$E$205,MATCH(C617,'CAD_RESÍDUOS'!$B$6:$B$205,0))&amp;"")</f>
        <v/>
      </c>
      <c r="E617" s="94" t="str">
        <f>IF(OR(R617=0,V617=0),"",INDEX('CAD_RESÍDUOS'!$C$6:$C$205,MATCH(C617,'CAD_RESÍDUOS'!$B$6:$B$205,0))&amp;"")</f>
        <v/>
      </c>
      <c r="F617" s="94" t="str">
        <f>IF(OR(R617=0,V617=0),"",INDEX('CAD_RESÍDUOS'!$G$6:$G$205,MATCH(C617,'CAD_RESÍDUOS'!$B$6:$B$205,0))&amp;"")</f>
        <v/>
      </c>
      <c r="G617" s="98" t="n"/>
      <c r="H617" s="91" t="n"/>
      <c r="I617" s="93" t="str">
        <f>IF(R617=0,"",IF(NOT(ISNUMBER(G617)),"",IF(ISNUMBER(X617),G617*X617,"UNIDADE A CONFERIR")))</f>
        <v/>
      </c>
      <c r="J617" s="91" t="n"/>
      <c r="K617" s="91" t="n"/>
      <c r="L617" s="93" t="str">
        <f>IF(R617=0,"",SUMIFS('RECEBIMENTOS'!$H$6:$H$1005,'RECEBIMENTOS'!$R$6:$R$1005,A617,'RECEBIMENTOS'!$X$6:$X$1005,1))</f>
        <v/>
      </c>
      <c r="M617" s="93" t="str">
        <f>IF(R617=0,"",SUMIFS('VÍNCULOS_CDF'!$H$6:$H$1005,'VÍNCULOS_CDF'!$R$6:$R$1005,A617,'VÍNCULOS_CDF'!$V$6:$V$1005,1))</f>
        <v/>
      </c>
      <c r="N617" s="99" t="str">
        <f>IF(OR(R617=0,AA617=0,NOT(ISNUMBER(I617))),"",I617-N(L617))</f>
        <v/>
      </c>
      <c r="O617" s="100" t="str">
        <f>IF(OR(R617=0,AK617&lt;=0),"",N(M617)/AK617)</f>
        <v/>
      </c>
      <c r="P617" s="94" t="str">
        <f>IF(R617=0,"",IF(S617="","Sem MTR associado",IF(U617=0,"MTR inexistente",IF(C617="","Resíduo não identificado",IF(V617=0,"Resíduo fora do cadastro",IF(W617=0,"Quantidade inválida",IF(H617="","Unidade não informada",IF(NOT(ISNUMBER(I617)),"Unidade a conferir",IF(AND(AH617=1,K617&lt;&gt;"Sim"),"Possível duplicidade",IF(Z617=1,"MTR cancelado",IF(AC617&gt;0,"Recebimento com alerta",IF(AA617=0,"Aguardando recebimento",IF(AB617&lt;AA617,"Recebimento a conferir",IF(AM617=1,"Quantidade a revisar",IF(AF617&gt;0,"Vínculo a revisar",IF(AD617=0,"Aguardando CDF",IF(AN617=0,"Vínculo de CDF parcial",IF(AE617&lt;AD617,"CDF a conferir","Documentação conferida"))))))))))))))))))</f>
        <v/>
      </c>
      <c r="Q617" s="93" t="str">
        <f>IF(OR(R617=0,AA617=0),"",MAX(0,N(L617)-N(M617)))</f>
        <v/>
      </c>
      <c r="R617" s="96">
        <f>IF(COUNTA(B617:C617,G617:H617,J617:K617)&gt;0,1,0)</f>
        <v>0</v>
      </c>
      <c r="S617" s="96" t="str">
        <f>IF(B617="","",TRIM(LEFT(B617,FIND(" |",B617&amp;" |")-1)))</f>
        <v/>
      </c>
      <c r="T617" s="96" t="str">
        <f>IF(S617="","",IFERROR(MATCH(S617,'MTRs'!$A$6:$A$505,0),""))</f>
        <v/>
      </c>
      <c r="U617" s="96">
        <f>IF(T617="",0,IF(INDEX('MTRs'!$Z$6:$Z$505,T617)=1,1,0))</f>
        <v>0</v>
      </c>
      <c r="V617" s="96">
        <f>IF(C617="",0,IF(ISNUMBER(MATCH(C617,'CAD_RESÍDUOS'!$B$6:$B$205,0)),1,0))</f>
        <v>0</v>
      </c>
      <c r="W617" s="96">
        <f>IF(AND(ISNUMBER(G617),G617&gt;0),1,0)</f>
        <v>0</v>
      </c>
      <c r="X617" s="96" t="str">
        <f>IF(H617="","",IFERROR(IF(ISNUMBER(INDEX(cfg_fac,MATCH(H617,cfg_units,0))),IF(INDEX(cfg_fac,MATCH(H617,cfg_units,0))&gt;0,INDEX(cfg_fac,MATCH(H617,cfg_units,0)),""),""),""))</f>
        <v/>
      </c>
      <c r="Y617" s="96">
        <f>IF(AND(W617=1,ISNUMBER(I617)),1,0)</f>
        <v>0</v>
      </c>
      <c r="Z617" s="96">
        <f>IF(U617=1,INDEX('MTRs'!$AA$6:$AA$505,T617),0)</f>
        <v>0</v>
      </c>
      <c r="AA617" s="96">
        <f>IF(R617=0,0,COUNTIFS('RECEBIMENTOS'!$R$6:$R$1005,A617,'RECEBIMENTOS'!$Q$6:$Q$1005,1))</f>
        <v>0</v>
      </c>
      <c r="AB617" s="96">
        <f>IF(R617=0,0,COUNTIFS('RECEBIMENTOS'!$R$6:$R$1005,A617,'RECEBIMENTOS'!$Z$6:$Z$1005,1))</f>
        <v>0</v>
      </c>
      <c r="AC617" s="96">
        <f>IF(R617=0,0,COUNTIFS('RECEBIMENTOS'!$R$6:$R$1005,A617,'RECEBIMENTOS'!$Y$6:$Y$1005,1))</f>
        <v>0</v>
      </c>
      <c r="AD617" s="96">
        <f>IF(R617=0,0,COUNTIFS('VÍNCULOS_CDF'!$R$6:$R$1005,A617,'VÍNCULOS_CDF'!$N$6:$N$1005,1))</f>
        <v>0</v>
      </c>
      <c r="AE617" s="96">
        <f>IF(R617=0,0,COUNTIFS('VÍNCULOS_CDF'!$R$6:$R$1005,A617,'VÍNCULOS_CDF'!$AA$6:$AA$1005,1))</f>
        <v>0</v>
      </c>
      <c r="AF617" s="96">
        <f>IF(R617=0,0,COUNTIFS('VÍNCULOS_CDF'!$R$6:$R$1005,A617,'VÍNCULOS_CDF'!$Y$6:$Y$1005,1))</f>
        <v>0</v>
      </c>
      <c r="AG617" s="96" t="str">
        <f>IF(AND(R617=1,S617&lt;&gt;"",C617&lt;&gt;""),S617&amp;"|"&amp;C617&amp;"|"&amp;G617&amp;"|"&amp;H617,"")</f>
        <v/>
      </c>
      <c r="AH617" s="96">
        <f>IF(AG617="",0,IF(SUMPRODUCT(--($AG$6:$AG$1005=AG617))&gt;1,1,0))</f>
        <v>0</v>
      </c>
      <c r="AI617" s="96">
        <f>IF(R617=0,0,IF(OR(U617=0,V617=0,Y617=0,AND(AH617=1,K617&lt;&gt;"Sim")),1,0))</f>
        <v>0</v>
      </c>
      <c r="AJ617" s="96">
        <f>IF(AND(R617=1,AA617&gt;0,AB617=AA617),1,0)</f>
        <v>0</v>
      </c>
      <c r="AK617" s="96">
        <f>IF(R617=0,0,IF(AA617&gt;0,N(L617),IF(ISNUMBER(I617),I617,0)))</f>
        <v>0</v>
      </c>
      <c r="AL617" s="96">
        <f>IF(R617=0,0,IF(AND(K617&lt;&gt;"Sim",N(M617)&gt;AK617+cfg_tol),1,0))</f>
        <v>0</v>
      </c>
      <c r="AM617" s="96">
        <f>IF(R617=0,0,IF(K617="Sim",0,IF(OR(AND(AA617&gt;0,ISNUMBER(I617),ABS(I617-N(L617))&gt;cfg_tol),AL617=1),1,0)))</f>
        <v>0</v>
      </c>
      <c r="AN617" s="96">
        <f>IF(AND(R617=1,N(M617)&gt;0,OR(N(M617)&gt;=AK617-cfg_tol,K617="Sim")),1,0)</f>
        <v>0</v>
      </c>
      <c r="AO617" s="96">
        <f>IF(AND(AN617=1,AD617&gt;0,AE617=AD617,AL617=0),1,0)</f>
        <v>0</v>
      </c>
      <c r="AP617" s="96">
        <f>IF(U617=0,0,IF(AND(INDEX('MTRs'!$AX$6:$AX$505,T617)=1,Z617=0,OR(f_res="",f_res="(Todos)",C617=f_res)),1,0))</f>
        <v>0</v>
      </c>
      <c r="AQ617" s="97" t="str">
        <f>IF(U617=0,"",INDEX('MTRs'!$AZ$6:$AZ$505,T617))</f>
        <v/>
      </c>
      <c r="AR617" s="96">
        <f>IF(U617=0,0,IF(AND(INDEX('MTRs'!$BA$6:$BA$505,T617)=1,Z617=0),1,0))</f>
        <v>0</v>
      </c>
      <c r="AS617" s="96" t="str">
        <f>IF(R617=1,A617&amp;" | MTR "&amp;IF(U617=1,INDEX('MTRs'!$B$6:$B$505,T617)&amp;"","?")&amp;" | "&amp;IF(C617="","(sem resíduo)",C617),"")</f>
        <v/>
      </c>
      <c r="AT617" s="96" t="str">
        <f>IF(R617=1,COUNTIF($R$6:R617,1),"")</f>
        <v/>
      </c>
      <c r="AU617" s="96" t="str">
        <f>IF(U617=1,INDEX('MTRs'!$I$6:$I$505,T617)&amp;"","")</f>
        <v/>
      </c>
    </row>
    <row r="618">
      <c r="A618" s="89" t="inlineStr">
        <is>
          <t>IT-000613</t>
        </is>
      </c>
      <c r="B618" s="91" t="n"/>
      <c r="C618" s="91" t="n"/>
      <c r="D618" s="94" t="str">
        <f>IF(OR(R618=0,V618=0),"",INDEX('CAD_RESÍDUOS'!$E$6:$E$205,MATCH(C618,'CAD_RESÍDUOS'!$B$6:$B$205,0))&amp;"")</f>
        <v/>
      </c>
      <c r="E618" s="94" t="str">
        <f>IF(OR(R618=0,V618=0),"",INDEX('CAD_RESÍDUOS'!$C$6:$C$205,MATCH(C618,'CAD_RESÍDUOS'!$B$6:$B$205,0))&amp;"")</f>
        <v/>
      </c>
      <c r="F618" s="94" t="str">
        <f>IF(OR(R618=0,V618=0),"",INDEX('CAD_RESÍDUOS'!$G$6:$G$205,MATCH(C618,'CAD_RESÍDUOS'!$B$6:$B$205,0))&amp;"")</f>
        <v/>
      </c>
      <c r="G618" s="98" t="n"/>
      <c r="H618" s="91" t="n"/>
      <c r="I618" s="93" t="str">
        <f>IF(R618=0,"",IF(NOT(ISNUMBER(G618)),"",IF(ISNUMBER(X618),G618*X618,"UNIDADE A CONFERIR")))</f>
        <v/>
      </c>
      <c r="J618" s="91" t="n"/>
      <c r="K618" s="91" t="n"/>
      <c r="L618" s="93" t="str">
        <f>IF(R618=0,"",SUMIFS('RECEBIMENTOS'!$H$6:$H$1005,'RECEBIMENTOS'!$R$6:$R$1005,A618,'RECEBIMENTOS'!$X$6:$X$1005,1))</f>
        <v/>
      </c>
      <c r="M618" s="93" t="str">
        <f>IF(R618=0,"",SUMIFS('VÍNCULOS_CDF'!$H$6:$H$1005,'VÍNCULOS_CDF'!$R$6:$R$1005,A618,'VÍNCULOS_CDF'!$V$6:$V$1005,1))</f>
        <v/>
      </c>
      <c r="N618" s="99" t="str">
        <f>IF(OR(R618=0,AA618=0,NOT(ISNUMBER(I618))),"",I618-N(L618))</f>
        <v/>
      </c>
      <c r="O618" s="100" t="str">
        <f>IF(OR(R618=0,AK618&lt;=0),"",N(M618)/AK618)</f>
        <v/>
      </c>
      <c r="P618" s="94" t="str">
        <f>IF(R618=0,"",IF(S618="","Sem MTR associado",IF(U618=0,"MTR inexistente",IF(C618="","Resíduo não identificado",IF(V618=0,"Resíduo fora do cadastro",IF(W618=0,"Quantidade inválida",IF(H618="","Unidade não informada",IF(NOT(ISNUMBER(I618)),"Unidade a conferir",IF(AND(AH618=1,K618&lt;&gt;"Sim"),"Possível duplicidade",IF(Z618=1,"MTR cancelado",IF(AC618&gt;0,"Recebimento com alerta",IF(AA618=0,"Aguardando recebimento",IF(AB618&lt;AA618,"Recebimento a conferir",IF(AM618=1,"Quantidade a revisar",IF(AF618&gt;0,"Vínculo a revisar",IF(AD618=0,"Aguardando CDF",IF(AN618=0,"Vínculo de CDF parcial",IF(AE618&lt;AD618,"CDF a conferir","Documentação conferida"))))))))))))))))))</f>
        <v/>
      </c>
      <c r="Q618" s="93" t="str">
        <f>IF(OR(R618=0,AA618=0),"",MAX(0,N(L618)-N(M618)))</f>
        <v/>
      </c>
      <c r="R618" s="96">
        <f>IF(COUNTA(B618:C618,G618:H618,J618:K618)&gt;0,1,0)</f>
        <v>0</v>
      </c>
      <c r="S618" s="96" t="str">
        <f>IF(B618="","",TRIM(LEFT(B618,FIND(" |",B618&amp;" |")-1)))</f>
        <v/>
      </c>
      <c r="T618" s="96" t="str">
        <f>IF(S618="","",IFERROR(MATCH(S618,'MTRs'!$A$6:$A$505,0),""))</f>
        <v/>
      </c>
      <c r="U618" s="96">
        <f>IF(T618="",0,IF(INDEX('MTRs'!$Z$6:$Z$505,T618)=1,1,0))</f>
        <v>0</v>
      </c>
      <c r="V618" s="96">
        <f>IF(C618="",0,IF(ISNUMBER(MATCH(C618,'CAD_RESÍDUOS'!$B$6:$B$205,0)),1,0))</f>
        <v>0</v>
      </c>
      <c r="W618" s="96">
        <f>IF(AND(ISNUMBER(G618),G618&gt;0),1,0)</f>
        <v>0</v>
      </c>
      <c r="X618" s="96" t="str">
        <f>IF(H618="","",IFERROR(IF(ISNUMBER(INDEX(cfg_fac,MATCH(H618,cfg_units,0))),IF(INDEX(cfg_fac,MATCH(H618,cfg_units,0))&gt;0,INDEX(cfg_fac,MATCH(H618,cfg_units,0)),""),""),""))</f>
        <v/>
      </c>
      <c r="Y618" s="96">
        <f>IF(AND(W618=1,ISNUMBER(I618)),1,0)</f>
        <v>0</v>
      </c>
      <c r="Z618" s="96">
        <f>IF(U618=1,INDEX('MTRs'!$AA$6:$AA$505,T618),0)</f>
        <v>0</v>
      </c>
      <c r="AA618" s="96">
        <f>IF(R618=0,0,COUNTIFS('RECEBIMENTOS'!$R$6:$R$1005,A618,'RECEBIMENTOS'!$Q$6:$Q$1005,1))</f>
        <v>0</v>
      </c>
      <c r="AB618" s="96">
        <f>IF(R618=0,0,COUNTIFS('RECEBIMENTOS'!$R$6:$R$1005,A618,'RECEBIMENTOS'!$Z$6:$Z$1005,1))</f>
        <v>0</v>
      </c>
      <c r="AC618" s="96">
        <f>IF(R618=0,0,COUNTIFS('RECEBIMENTOS'!$R$6:$R$1005,A618,'RECEBIMENTOS'!$Y$6:$Y$1005,1))</f>
        <v>0</v>
      </c>
      <c r="AD618" s="96">
        <f>IF(R618=0,0,COUNTIFS('VÍNCULOS_CDF'!$R$6:$R$1005,A618,'VÍNCULOS_CDF'!$N$6:$N$1005,1))</f>
        <v>0</v>
      </c>
      <c r="AE618" s="96">
        <f>IF(R618=0,0,COUNTIFS('VÍNCULOS_CDF'!$R$6:$R$1005,A618,'VÍNCULOS_CDF'!$AA$6:$AA$1005,1))</f>
        <v>0</v>
      </c>
      <c r="AF618" s="96">
        <f>IF(R618=0,0,COUNTIFS('VÍNCULOS_CDF'!$R$6:$R$1005,A618,'VÍNCULOS_CDF'!$Y$6:$Y$1005,1))</f>
        <v>0</v>
      </c>
      <c r="AG618" s="96" t="str">
        <f>IF(AND(R618=1,S618&lt;&gt;"",C618&lt;&gt;""),S618&amp;"|"&amp;C618&amp;"|"&amp;G618&amp;"|"&amp;H618,"")</f>
        <v/>
      </c>
      <c r="AH618" s="96">
        <f>IF(AG618="",0,IF(SUMPRODUCT(--($AG$6:$AG$1005=AG618))&gt;1,1,0))</f>
        <v>0</v>
      </c>
      <c r="AI618" s="96">
        <f>IF(R618=0,0,IF(OR(U618=0,V618=0,Y618=0,AND(AH618=1,K618&lt;&gt;"Sim")),1,0))</f>
        <v>0</v>
      </c>
      <c r="AJ618" s="96">
        <f>IF(AND(R618=1,AA618&gt;0,AB618=AA618),1,0)</f>
        <v>0</v>
      </c>
      <c r="AK618" s="96">
        <f>IF(R618=0,0,IF(AA618&gt;0,N(L618),IF(ISNUMBER(I618),I618,0)))</f>
        <v>0</v>
      </c>
      <c r="AL618" s="96">
        <f>IF(R618=0,0,IF(AND(K618&lt;&gt;"Sim",N(M618)&gt;AK618+cfg_tol),1,0))</f>
        <v>0</v>
      </c>
      <c r="AM618" s="96">
        <f>IF(R618=0,0,IF(K618="Sim",0,IF(OR(AND(AA618&gt;0,ISNUMBER(I618),ABS(I618-N(L618))&gt;cfg_tol),AL618=1),1,0)))</f>
        <v>0</v>
      </c>
      <c r="AN618" s="96">
        <f>IF(AND(R618=1,N(M618)&gt;0,OR(N(M618)&gt;=AK618-cfg_tol,K618="Sim")),1,0)</f>
        <v>0</v>
      </c>
      <c r="AO618" s="96">
        <f>IF(AND(AN618=1,AD618&gt;0,AE618=AD618,AL618=0),1,0)</f>
        <v>0</v>
      </c>
      <c r="AP618" s="96">
        <f>IF(U618=0,0,IF(AND(INDEX('MTRs'!$AX$6:$AX$505,T618)=1,Z618=0,OR(f_res="",f_res="(Todos)",C618=f_res)),1,0))</f>
        <v>0</v>
      </c>
      <c r="AQ618" s="97" t="str">
        <f>IF(U618=0,"",INDEX('MTRs'!$AZ$6:$AZ$505,T618))</f>
        <v/>
      </c>
      <c r="AR618" s="96">
        <f>IF(U618=0,0,IF(AND(INDEX('MTRs'!$BA$6:$BA$505,T618)=1,Z618=0),1,0))</f>
        <v>0</v>
      </c>
      <c r="AS618" s="96" t="str">
        <f>IF(R618=1,A618&amp;" | MTR "&amp;IF(U618=1,INDEX('MTRs'!$B$6:$B$505,T618)&amp;"","?")&amp;" | "&amp;IF(C618="","(sem resíduo)",C618),"")</f>
        <v/>
      </c>
      <c r="AT618" s="96" t="str">
        <f>IF(R618=1,COUNTIF($R$6:R618,1),"")</f>
        <v/>
      </c>
      <c r="AU618" s="96" t="str">
        <f>IF(U618=1,INDEX('MTRs'!$I$6:$I$505,T618)&amp;"","")</f>
        <v/>
      </c>
    </row>
    <row r="619">
      <c r="A619" s="89" t="inlineStr">
        <is>
          <t>IT-000614</t>
        </is>
      </c>
      <c r="B619" s="91" t="n"/>
      <c r="C619" s="91" t="n"/>
      <c r="D619" s="94" t="str">
        <f>IF(OR(R619=0,V619=0),"",INDEX('CAD_RESÍDUOS'!$E$6:$E$205,MATCH(C619,'CAD_RESÍDUOS'!$B$6:$B$205,0))&amp;"")</f>
        <v/>
      </c>
      <c r="E619" s="94" t="str">
        <f>IF(OR(R619=0,V619=0),"",INDEX('CAD_RESÍDUOS'!$C$6:$C$205,MATCH(C619,'CAD_RESÍDUOS'!$B$6:$B$205,0))&amp;"")</f>
        <v/>
      </c>
      <c r="F619" s="94" t="str">
        <f>IF(OR(R619=0,V619=0),"",INDEX('CAD_RESÍDUOS'!$G$6:$G$205,MATCH(C619,'CAD_RESÍDUOS'!$B$6:$B$205,0))&amp;"")</f>
        <v/>
      </c>
      <c r="G619" s="98" t="n"/>
      <c r="H619" s="91" t="n"/>
      <c r="I619" s="93" t="str">
        <f>IF(R619=0,"",IF(NOT(ISNUMBER(G619)),"",IF(ISNUMBER(X619),G619*X619,"UNIDADE A CONFERIR")))</f>
        <v/>
      </c>
      <c r="J619" s="91" t="n"/>
      <c r="K619" s="91" t="n"/>
      <c r="L619" s="93" t="str">
        <f>IF(R619=0,"",SUMIFS('RECEBIMENTOS'!$H$6:$H$1005,'RECEBIMENTOS'!$R$6:$R$1005,A619,'RECEBIMENTOS'!$X$6:$X$1005,1))</f>
        <v/>
      </c>
      <c r="M619" s="93" t="str">
        <f>IF(R619=0,"",SUMIFS('VÍNCULOS_CDF'!$H$6:$H$1005,'VÍNCULOS_CDF'!$R$6:$R$1005,A619,'VÍNCULOS_CDF'!$V$6:$V$1005,1))</f>
        <v/>
      </c>
      <c r="N619" s="99" t="str">
        <f>IF(OR(R619=0,AA619=0,NOT(ISNUMBER(I619))),"",I619-N(L619))</f>
        <v/>
      </c>
      <c r="O619" s="100" t="str">
        <f>IF(OR(R619=0,AK619&lt;=0),"",N(M619)/AK619)</f>
        <v/>
      </c>
      <c r="P619" s="94" t="str">
        <f>IF(R619=0,"",IF(S619="","Sem MTR associado",IF(U619=0,"MTR inexistente",IF(C619="","Resíduo não identificado",IF(V619=0,"Resíduo fora do cadastro",IF(W619=0,"Quantidade inválida",IF(H619="","Unidade não informada",IF(NOT(ISNUMBER(I619)),"Unidade a conferir",IF(AND(AH619=1,K619&lt;&gt;"Sim"),"Possível duplicidade",IF(Z619=1,"MTR cancelado",IF(AC619&gt;0,"Recebimento com alerta",IF(AA619=0,"Aguardando recebimento",IF(AB619&lt;AA619,"Recebimento a conferir",IF(AM619=1,"Quantidade a revisar",IF(AF619&gt;0,"Vínculo a revisar",IF(AD619=0,"Aguardando CDF",IF(AN619=0,"Vínculo de CDF parcial",IF(AE619&lt;AD619,"CDF a conferir","Documentação conferida"))))))))))))))))))</f>
        <v/>
      </c>
      <c r="Q619" s="93" t="str">
        <f>IF(OR(R619=0,AA619=0),"",MAX(0,N(L619)-N(M619)))</f>
        <v/>
      </c>
      <c r="R619" s="96">
        <f>IF(COUNTA(B619:C619,G619:H619,J619:K619)&gt;0,1,0)</f>
        <v>0</v>
      </c>
      <c r="S619" s="96" t="str">
        <f>IF(B619="","",TRIM(LEFT(B619,FIND(" |",B619&amp;" |")-1)))</f>
        <v/>
      </c>
      <c r="T619" s="96" t="str">
        <f>IF(S619="","",IFERROR(MATCH(S619,'MTRs'!$A$6:$A$505,0),""))</f>
        <v/>
      </c>
      <c r="U619" s="96">
        <f>IF(T619="",0,IF(INDEX('MTRs'!$Z$6:$Z$505,T619)=1,1,0))</f>
        <v>0</v>
      </c>
      <c r="V619" s="96">
        <f>IF(C619="",0,IF(ISNUMBER(MATCH(C619,'CAD_RESÍDUOS'!$B$6:$B$205,0)),1,0))</f>
        <v>0</v>
      </c>
      <c r="W619" s="96">
        <f>IF(AND(ISNUMBER(G619),G619&gt;0),1,0)</f>
        <v>0</v>
      </c>
      <c r="X619" s="96" t="str">
        <f>IF(H619="","",IFERROR(IF(ISNUMBER(INDEX(cfg_fac,MATCH(H619,cfg_units,0))),IF(INDEX(cfg_fac,MATCH(H619,cfg_units,0))&gt;0,INDEX(cfg_fac,MATCH(H619,cfg_units,0)),""),""),""))</f>
        <v/>
      </c>
      <c r="Y619" s="96">
        <f>IF(AND(W619=1,ISNUMBER(I619)),1,0)</f>
        <v>0</v>
      </c>
      <c r="Z619" s="96">
        <f>IF(U619=1,INDEX('MTRs'!$AA$6:$AA$505,T619),0)</f>
        <v>0</v>
      </c>
      <c r="AA619" s="96">
        <f>IF(R619=0,0,COUNTIFS('RECEBIMENTOS'!$R$6:$R$1005,A619,'RECEBIMENTOS'!$Q$6:$Q$1005,1))</f>
        <v>0</v>
      </c>
      <c r="AB619" s="96">
        <f>IF(R619=0,0,COUNTIFS('RECEBIMENTOS'!$R$6:$R$1005,A619,'RECEBIMENTOS'!$Z$6:$Z$1005,1))</f>
        <v>0</v>
      </c>
      <c r="AC619" s="96">
        <f>IF(R619=0,0,COUNTIFS('RECEBIMENTOS'!$R$6:$R$1005,A619,'RECEBIMENTOS'!$Y$6:$Y$1005,1))</f>
        <v>0</v>
      </c>
      <c r="AD619" s="96">
        <f>IF(R619=0,0,COUNTIFS('VÍNCULOS_CDF'!$R$6:$R$1005,A619,'VÍNCULOS_CDF'!$N$6:$N$1005,1))</f>
        <v>0</v>
      </c>
      <c r="AE619" s="96">
        <f>IF(R619=0,0,COUNTIFS('VÍNCULOS_CDF'!$R$6:$R$1005,A619,'VÍNCULOS_CDF'!$AA$6:$AA$1005,1))</f>
        <v>0</v>
      </c>
      <c r="AF619" s="96">
        <f>IF(R619=0,0,COUNTIFS('VÍNCULOS_CDF'!$R$6:$R$1005,A619,'VÍNCULOS_CDF'!$Y$6:$Y$1005,1))</f>
        <v>0</v>
      </c>
      <c r="AG619" s="96" t="str">
        <f>IF(AND(R619=1,S619&lt;&gt;"",C619&lt;&gt;""),S619&amp;"|"&amp;C619&amp;"|"&amp;G619&amp;"|"&amp;H619,"")</f>
        <v/>
      </c>
      <c r="AH619" s="96">
        <f>IF(AG619="",0,IF(SUMPRODUCT(--($AG$6:$AG$1005=AG619))&gt;1,1,0))</f>
        <v>0</v>
      </c>
      <c r="AI619" s="96">
        <f>IF(R619=0,0,IF(OR(U619=0,V619=0,Y619=0,AND(AH619=1,K619&lt;&gt;"Sim")),1,0))</f>
        <v>0</v>
      </c>
      <c r="AJ619" s="96">
        <f>IF(AND(R619=1,AA619&gt;0,AB619=AA619),1,0)</f>
        <v>0</v>
      </c>
      <c r="AK619" s="96">
        <f>IF(R619=0,0,IF(AA619&gt;0,N(L619),IF(ISNUMBER(I619),I619,0)))</f>
        <v>0</v>
      </c>
      <c r="AL619" s="96">
        <f>IF(R619=0,0,IF(AND(K619&lt;&gt;"Sim",N(M619)&gt;AK619+cfg_tol),1,0))</f>
        <v>0</v>
      </c>
      <c r="AM619" s="96">
        <f>IF(R619=0,0,IF(K619="Sim",0,IF(OR(AND(AA619&gt;0,ISNUMBER(I619),ABS(I619-N(L619))&gt;cfg_tol),AL619=1),1,0)))</f>
        <v>0</v>
      </c>
      <c r="AN619" s="96">
        <f>IF(AND(R619=1,N(M619)&gt;0,OR(N(M619)&gt;=AK619-cfg_tol,K619="Sim")),1,0)</f>
        <v>0</v>
      </c>
      <c r="AO619" s="96">
        <f>IF(AND(AN619=1,AD619&gt;0,AE619=AD619,AL619=0),1,0)</f>
        <v>0</v>
      </c>
      <c r="AP619" s="96">
        <f>IF(U619=0,0,IF(AND(INDEX('MTRs'!$AX$6:$AX$505,T619)=1,Z619=0,OR(f_res="",f_res="(Todos)",C619=f_res)),1,0))</f>
        <v>0</v>
      </c>
      <c r="AQ619" s="97" t="str">
        <f>IF(U619=0,"",INDEX('MTRs'!$AZ$6:$AZ$505,T619))</f>
        <v/>
      </c>
      <c r="AR619" s="96">
        <f>IF(U619=0,0,IF(AND(INDEX('MTRs'!$BA$6:$BA$505,T619)=1,Z619=0),1,0))</f>
        <v>0</v>
      </c>
      <c r="AS619" s="96" t="str">
        <f>IF(R619=1,A619&amp;" | MTR "&amp;IF(U619=1,INDEX('MTRs'!$B$6:$B$505,T619)&amp;"","?")&amp;" | "&amp;IF(C619="","(sem resíduo)",C619),"")</f>
        <v/>
      </c>
      <c r="AT619" s="96" t="str">
        <f>IF(R619=1,COUNTIF($R$6:R619,1),"")</f>
        <v/>
      </c>
      <c r="AU619" s="96" t="str">
        <f>IF(U619=1,INDEX('MTRs'!$I$6:$I$505,T619)&amp;"","")</f>
        <v/>
      </c>
    </row>
    <row r="620">
      <c r="A620" s="89" t="inlineStr">
        <is>
          <t>IT-000615</t>
        </is>
      </c>
      <c r="B620" s="91" t="n"/>
      <c r="C620" s="91" t="n"/>
      <c r="D620" s="94" t="str">
        <f>IF(OR(R620=0,V620=0),"",INDEX('CAD_RESÍDUOS'!$E$6:$E$205,MATCH(C620,'CAD_RESÍDUOS'!$B$6:$B$205,0))&amp;"")</f>
        <v/>
      </c>
      <c r="E620" s="94" t="str">
        <f>IF(OR(R620=0,V620=0),"",INDEX('CAD_RESÍDUOS'!$C$6:$C$205,MATCH(C620,'CAD_RESÍDUOS'!$B$6:$B$205,0))&amp;"")</f>
        <v/>
      </c>
      <c r="F620" s="94" t="str">
        <f>IF(OR(R620=0,V620=0),"",INDEX('CAD_RESÍDUOS'!$G$6:$G$205,MATCH(C620,'CAD_RESÍDUOS'!$B$6:$B$205,0))&amp;"")</f>
        <v/>
      </c>
      <c r="G620" s="98" t="n"/>
      <c r="H620" s="91" t="n"/>
      <c r="I620" s="93" t="str">
        <f>IF(R620=0,"",IF(NOT(ISNUMBER(G620)),"",IF(ISNUMBER(X620),G620*X620,"UNIDADE A CONFERIR")))</f>
        <v/>
      </c>
      <c r="J620" s="91" t="n"/>
      <c r="K620" s="91" t="n"/>
      <c r="L620" s="93" t="str">
        <f>IF(R620=0,"",SUMIFS('RECEBIMENTOS'!$H$6:$H$1005,'RECEBIMENTOS'!$R$6:$R$1005,A620,'RECEBIMENTOS'!$X$6:$X$1005,1))</f>
        <v/>
      </c>
      <c r="M620" s="93" t="str">
        <f>IF(R620=0,"",SUMIFS('VÍNCULOS_CDF'!$H$6:$H$1005,'VÍNCULOS_CDF'!$R$6:$R$1005,A620,'VÍNCULOS_CDF'!$V$6:$V$1005,1))</f>
        <v/>
      </c>
      <c r="N620" s="99" t="str">
        <f>IF(OR(R620=0,AA620=0,NOT(ISNUMBER(I620))),"",I620-N(L620))</f>
        <v/>
      </c>
      <c r="O620" s="100" t="str">
        <f>IF(OR(R620=0,AK620&lt;=0),"",N(M620)/AK620)</f>
        <v/>
      </c>
      <c r="P620" s="94" t="str">
        <f>IF(R620=0,"",IF(S620="","Sem MTR associado",IF(U620=0,"MTR inexistente",IF(C620="","Resíduo não identificado",IF(V620=0,"Resíduo fora do cadastro",IF(W620=0,"Quantidade inválida",IF(H620="","Unidade não informada",IF(NOT(ISNUMBER(I620)),"Unidade a conferir",IF(AND(AH620=1,K620&lt;&gt;"Sim"),"Possível duplicidade",IF(Z620=1,"MTR cancelado",IF(AC620&gt;0,"Recebimento com alerta",IF(AA620=0,"Aguardando recebimento",IF(AB620&lt;AA620,"Recebimento a conferir",IF(AM620=1,"Quantidade a revisar",IF(AF620&gt;0,"Vínculo a revisar",IF(AD620=0,"Aguardando CDF",IF(AN620=0,"Vínculo de CDF parcial",IF(AE620&lt;AD620,"CDF a conferir","Documentação conferida"))))))))))))))))))</f>
        <v/>
      </c>
      <c r="Q620" s="93" t="str">
        <f>IF(OR(R620=0,AA620=0),"",MAX(0,N(L620)-N(M620)))</f>
        <v/>
      </c>
      <c r="R620" s="96">
        <f>IF(COUNTA(B620:C620,G620:H620,J620:K620)&gt;0,1,0)</f>
        <v>0</v>
      </c>
      <c r="S620" s="96" t="str">
        <f>IF(B620="","",TRIM(LEFT(B620,FIND(" |",B620&amp;" |")-1)))</f>
        <v/>
      </c>
      <c r="T620" s="96" t="str">
        <f>IF(S620="","",IFERROR(MATCH(S620,'MTRs'!$A$6:$A$505,0),""))</f>
        <v/>
      </c>
      <c r="U620" s="96">
        <f>IF(T620="",0,IF(INDEX('MTRs'!$Z$6:$Z$505,T620)=1,1,0))</f>
        <v>0</v>
      </c>
      <c r="V620" s="96">
        <f>IF(C620="",0,IF(ISNUMBER(MATCH(C620,'CAD_RESÍDUOS'!$B$6:$B$205,0)),1,0))</f>
        <v>0</v>
      </c>
      <c r="W620" s="96">
        <f>IF(AND(ISNUMBER(G620),G620&gt;0),1,0)</f>
        <v>0</v>
      </c>
      <c r="X620" s="96" t="str">
        <f>IF(H620="","",IFERROR(IF(ISNUMBER(INDEX(cfg_fac,MATCH(H620,cfg_units,0))),IF(INDEX(cfg_fac,MATCH(H620,cfg_units,0))&gt;0,INDEX(cfg_fac,MATCH(H620,cfg_units,0)),""),""),""))</f>
        <v/>
      </c>
      <c r="Y620" s="96">
        <f>IF(AND(W620=1,ISNUMBER(I620)),1,0)</f>
        <v>0</v>
      </c>
      <c r="Z620" s="96">
        <f>IF(U620=1,INDEX('MTRs'!$AA$6:$AA$505,T620),0)</f>
        <v>0</v>
      </c>
      <c r="AA620" s="96">
        <f>IF(R620=0,0,COUNTIFS('RECEBIMENTOS'!$R$6:$R$1005,A620,'RECEBIMENTOS'!$Q$6:$Q$1005,1))</f>
        <v>0</v>
      </c>
      <c r="AB620" s="96">
        <f>IF(R620=0,0,COUNTIFS('RECEBIMENTOS'!$R$6:$R$1005,A620,'RECEBIMENTOS'!$Z$6:$Z$1005,1))</f>
        <v>0</v>
      </c>
      <c r="AC620" s="96">
        <f>IF(R620=0,0,COUNTIFS('RECEBIMENTOS'!$R$6:$R$1005,A620,'RECEBIMENTOS'!$Y$6:$Y$1005,1))</f>
        <v>0</v>
      </c>
      <c r="AD620" s="96">
        <f>IF(R620=0,0,COUNTIFS('VÍNCULOS_CDF'!$R$6:$R$1005,A620,'VÍNCULOS_CDF'!$N$6:$N$1005,1))</f>
        <v>0</v>
      </c>
      <c r="AE620" s="96">
        <f>IF(R620=0,0,COUNTIFS('VÍNCULOS_CDF'!$R$6:$R$1005,A620,'VÍNCULOS_CDF'!$AA$6:$AA$1005,1))</f>
        <v>0</v>
      </c>
      <c r="AF620" s="96">
        <f>IF(R620=0,0,COUNTIFS('VÍNCULOS_CDF'!$R$6:$R$1005,A620,'VÍNCULOS_CDF'!$Y$6:$Y$1005,1))</f>
        <v>0</v>
      </c>
      <c r="AG620" s="96" t="str">
        <f>IF(AND(R620=1,S620&lt;&gt;"",C620&lt;&gt;""),S620&amp;"|"&amp;C620&amp;"|"&amp;G620&amp;"|"&amp;H620,"")</f>
        <v/>
      </c>
      <c r="AH620" s="96">
        <f>IF(AG620="",0,IF(SUMPRODUCT(--($AG$6:$AG$1005=AG620))&gt;1,1,0))</f>
        <v>0</v>
      </c>
      <c r="AI620" s="96">
        <f>IF(R620=0,0,IF(OR(U620=0,V620=0,Y620=0,AND(AH620=1,K620&lt;&gt;"Sim")),1,0))</f>
        <v>0</v>
      </c>
      <c r="AJ620" s="96">
        <f>IF(AND(R620=1,AA620&gt;0,AB620=AA620),1,0)</f>
        <v>0</v>
      </c>
      <c r="AK620" s="96">
        <f>IF(R620=0,0,IF(AA620&gt;0,N(L620),IF(ISNUMBER(I620),I620,0)))</f>
        <v>0</v>
      </c>
      <c r="AL620" s="96">
        <f>IF(R620=0,0,IF(AND(K620&lt;&gt;"Sim",N(M620)&gt;AK620+cfg_tol),1,0))</f>
        <v>0</v>
      </c>
      <c r="AM620" s="96">
        <f>IF(R620=0,0,IF(K620="Sim",0,IF(OR(AND(AA620&gt;0,ISNUMBER(I620),ABS(I620-N(L620))&gt;cfg_tol),AL620=1),1,0)))</f>
        <v>0</v>
      </c>
      <c r="AN620" s="96">
        <f>IF(AND(R620=1,N(M620)&gt;0,OR(N(M620)&gt;=AK620-cfg_tol,K620="Sim")),1,0)</f>
        <v>0</v>
      </c>
      <c r="AO620" s="96">
        <f>IF(AND(AN620=1,AD620&gt;0,AE620=AD620,AL620=0),1,0)</f>
        <v>0</v>
      </c>
      <c r="AP620" s="96">
        <f>IF(U620=0,0,IF(AND(INDEX('MTRs'!$AX$6:$AX$505,T620)=1,Z620=0,OR(f_res="",f_res="(Todos)",C620=f_res)),1,0))</f>
        <v>0</v>
      </c>
      <c r="AQ620" s="97" t="str">
        <f>IF(U620=0,"",INDEX('MTRs'!$AZ$6:$AZ$505,T620))</f>
        <v/>
      </c>
      <c r="AR620" s="96">
        <f>IF(U620=0,0,IF(AND(INDEX('MTRs'!$BA$6:$BA$505,T620)=1,Z620=0),1,0))</f>
        <v>0</v>
      </c>
      <c r="AS620" s="96" t="str">
        <f>IF(R620=1,A620&amp;" | MTR "&amp;IF(U620=1,INDEX('MTRs'!$B$6:$B$505,T620)&amp;"","?")&amp;" | "&amp;IF(C620="","(sem resíduo)",C620),"")</f>
        <v/>
      </c>
      <c r="AT620" s="96" t="str">
        <f>IF(R620=1,COUNTIF($R$6:R620,1),"")</f>
        <v/>
      </c>
      <c r="AU620" s="96" t="str">
        <f>IF(U620=1,INDEX('MTRs'!$I$6:$I$505,T620)&amp;"","")</f>
        <v/>
      </c>
    </row>
    <row r="621">
      <c r="A621" s="89" t="inlineStr">
        <is>
          <t>IT-000616</t>
        </is>
      </c>
      <c r="B621" s="91" t="n"/>
      <c r="C621" s="91" t="n"/>
      <c r="D621" s="94" t="str">
        <f>IF(OR(R621=0,V621=0),"",INDEX('CAD_RESÍDUOS'!$E$6:$E$205,MATCH(C621,'CAD_RESÍDUOS'!$B$6:$B$205,0))&amp;"")</f>
        <v/>
      </c>
      <c r="E621" s="94" t="str">
        <f>IF(OR(R621=0,V621=0),"",INDEX('CAD_RESÍDUOS'!$C$6:$C$205,MATCH(C621,'CAD_RESÍDUOS'!$B$6:$B$205,0))&amp;"")</f>
        <v/>
      </c>
      <c r="F621" s="94" t="str">
        <f>IF(OR(R621=0,V621=0),"",INDEX('CAD_RESÍDUOS'!$G$6:$G$205,MATCH(C621,'CAD_RESÍDUOS'!$B$6:$B$205,0))&amp;"")</f>
        <v/>
      </c>
      <c r="G621" s="98" t="n"/>
      <c r="H621" s="91" t="n"/>
      <c r="I621" s="93" t="str">
        <f>IF(R621=0,"",IF(NOT(ISNUMBER(G621)),"",IF(ISNUMBER(X621),G621*X621,"UNIDADE A CONFERIR")))</f>
        <v/>
      </c>
      <c r="J621" s="91" t="n"/>
      <c r="K621" s="91" t="n"/>
      <c r="L621" s="93" t="str">
        <f>IF(R621=0,"",SUMIFS('RECEBIMENTOS'!$H$6:$H$1005,'RECEBIMENTOS'!$R$6:$R$1005,A621,'RECEBIMENTOS'!$X$6:$X$1005,1))</f>
        <v/>
      </c>
      <c r="M621" s="93" t="str">
        <f>IF(R621=0,"",SUMIFS('VÍNCULOS_CDF'!$H$6:$H$1005,'VÍNCULOS_CDF'!$R$6:$R$1005,A621,'VÍNCULOS_CDF'!$V$6:$V$1005,1))</f>
        <v/>
      </c>
      <c r="N621" s="99" t="str">
        <f>IF(OR(R621=0,AA621=0,NOT(ISNUMBER(I621))),"",I621-N(L621))</f>
        <v/>
      </c>
      <c r="O621" s="100" t="str">
        <f>IF(OR(R621=0,AK621&lt;=0),"",N(M621)/AK621)</f>
        <v/>
      </c>
      <c r="P621" s="94" t="str">
        <f>IF(R621=0,"",IF(S621="","Sem MTR associado",IF(U621=0,"MTR inexistente",IF(C621="","Resíduo não identificado",IF(V621=0,"Resíduo fora do cadastro",IF(W621=0,"Quantidade inválida",IF(H621="","Unidade não informada",IF(NOT(ISNUMBER(I621)),"Unidade a conferir",IF(AND(AH621=1,K621&lt;&gt;"Sim"),"Possível duplicidade",IF(Z621=1,"MTR cancelado",IF(AC621&gt;0,"Recebimento com alerta",IF(AA621=0,"Aguardando recebimento",IF(AB621&lt;AA621,"Recebimento a conferir",IF(AM621=1,"Quantidade a revisar",IF(AF621&gt;0,"Vínculo a revisar",IF(AD621=0,"Aguardando CDF",IF(AN621=0,"Vínculo de CDF parcial",IF(AE621&lt;AD621,"CDF a conferir","Documentação conferida"))))))))))))))))))</f>
        <v/>
      </c>
      <c r="Q621" s="93" t="str">
        <f>IF(OR(R621=0,AA621=0),"",MAX(0,N(L621)-N(M621)))</f>
        <v/>
      </c>
      <c r="R621" s="96">
        <f>IF(COUNTA(B621:C621,G621:H621,J621:K621)&gt;0,1,0)</f>
        <v>0</v>
      </c>
      <c r="S621" s="96" t="str">
        <f>IF(B621="","",TRIM(LEFT(B621,FIND(" |",B621&amp;" |")-1)))</f>
        <v/>
      </c>
      <c r="T621" s="96" t="str">
        <f>IF(S621="","",IFERROR(MATCH(S621,'MTRs'!$A$6:$A$505,0),""))</f>
        <v/>
      </c>
      <c r="U621" s="96">
        <f>IF(T621="",0,IF(INDEX('MTRs'!$Z$6:$Z$505,T621)=1,1,0))</f>
        <v>0</v>
      </c>
      <c r="V621" s="96">
        <f>IF(C621="",0,IF(ISNUMBER(MATCH(C621,'CAD_RESÍDUOS'!$B$6:$B$205,0)),1,0))</f>
        <v>0</v>
      </c>
      <c r="W621" s="96">
        <f>IF(AND(ISNUMBER(G621),G621&gt;0),1,0)</f>
        <v>0</v>
      </c>
      <c r="X621" s="96" t="str">
        <f>IF(H621="","",IFERROR(IF(ISNUMBER(INDEX(cfg_fac,MATCH(H621,cfg_units,0))),IF(INDEX(cfg_fac,MATCH(H621,cfg_units,0))&gt;0,INDEX(cfg_fac,MATCH(H621,cfg_units,0)),""),""),""))</f>
        <v/>
      </c>
      <c r="Y621" s="96">
        <f>IF(AND(W621=1,ISNUMBER(I621)),1,0)</f>
        <v>0</v>
      </c>
      <c r="Z621" s="96">
        <f>IF(U621=1,INDEX('MTRs'!$AA$6:$AA$505,T621),0)</f>
        <v>0</v>
      </c>
      <c r="AA621" s="96">
        <f>IF(R621=0,0,COUNTIFS('RECEBIMENTOS'!$R$6:$R$1005,A621,'RECEBIMENTOS'!$Q$6:$Q$1005,1))</f>
        <v>0</v>
      </c>
      <c r="AB621" s="96">
        <f>IF(R621=0,0,COUNTIFS('RECEBIMENTOS'!$R$6:$R$1005,A621,'RECEBIMENTOS'!$Z$6:$Z$1005,1))</f>
        <v>0</v>
      </c>
      <c r="AC621" s="96">
        <f>IF(R621=0,0,COUNTIFS('RECEBIMENTOS'!$R$6:$R$1005,A621,'RECEBIMENTOS'!$Y$6:$Y$1005,1))</f>
        <v>0</v>
      </c>
      <c r="AD621" s="96">
        <f>IF(R621=0,0,COUNTIFS('VÍNCULOS_CDF'!$R$6:$R$1005,A621,'VÍNCULOS_CDF'!$N$6:$N$1005,1))</f>
        <v>0</v>
      </c>
      <c r="AE621" s="96">
        <f>IF(R621=0,0,COUNTIFS('VÍNCULOS_CDF'!$R$6:$R$1005,A621,'VÍNCULOS_CDF'!$AA$6:$AA$1005,1))</f>
        <v>0</v>
      </c>
      <c r="AF621" s="96">
        <f>IF(R621=0,0,COUNTIFS('VÍNCULOS_CDF'!$R$6:$R$1005,A621,'VÍNCULOS_CDF'!$Y$6:$Y$1005,1))</f>
        <v>0</v>
      </c>
      <c r="AG621" s="96" t="str">
        <f>IF(AND(R621=1,S621&lt;&gt;"",C621&lt;&gt;""),S621&amp;"|"&amp;C621&amp;"|"&amp;G621&amp;"|"&amp;H621,"")</f>
        <v/>
      </c>
      <c r="AH621" s="96">
        <f>IF(AG621="",0,IF(SUMPRODUCT(--($AG$6:$AG$1005=AG621))&gt;1,1,0))</f>
        <v>0</v>
      </c>
      <c r="AI621" s="96">
        <f>IF(R621=0,0,IF(OR(U621=0,V621=0,Y621=0,AND(AH621=1,K621&lt;&gt;"Sim")),1,0))</f>
        <v>0</v>
      </c>
      <c r="AJ621" s="96">
        <f>IF(AND(R621=1,AA621&gt;0,AB621=AA621),1,0)</f>
        <v>0</v>
      </c>
      <c r="AK621" s="96">
        <f>IF(R621=0,0,IF(AA621&gt;0,N(L621),IF(ISNUMBER(I621),I621,0)))</f>
        <v>0</v>
      </c>
      <c r="AL621" s="96">
        <f>IF(R621=0,0,IF(AND(K621&lt;&gt;"Sim",N(M621)&gt;AK621+cfg_tol),1,0))</f>
        <v>0</v>
      </c>
      <c r="AM621" s="96">
        <f>IF(R621=0,0,IF(K621="Sim",0,IF(OR(AND(AA621&gt;0,ISNUMBER(I621),ABS(I621-N(L621))&gt;cfg_tol),AL621=1),1,0)))</f>
        <v>0</v>
      </c>
      <c r="AN621" s="96">
        <f>IF(AND(R621=1,N(M621)&gt;0,OR(N(M621)&gt;=AK621-cfg_tol,K621="Sim")),1,0)</f>
        <v>0</v>
      </c>
      <c r="AO621" s="96">
        <f>IF(AND(AN621=1,AD621&gt;0,AE621=AD621,AL621=0),1,0)</f>
        <v>0</v>
      </c>
      <c r="AP621" s="96">
        <f>IF(U621=0,0,IF(AND(INDEX('MTRs'!$AX$6:$AX$505,T621)=1,Z621=0,OR(f_res="",f_res="(Todos)",C621=f_res)),1,0))</f>
        <v>0</v>
      </c>
      <c r="AQ621" s="97" t="str">
        <f>IF(U621=0,"",INDEX('MTRs'!$AZ$6:$AZ$505,T621))</f>
        <v/>
      </c>
      <c r="AR621" s="96">
        <f>IF(U621=0,0,IF(AND(INDEX('MTRs'!$BA$6:$BA$505,T621)=1,Z621=0),1,0))</f>
        <v>0</v>
      </c>
      <c r="AS621" s="96" t="str">
        <f>IF(R621=1,A621&amp;" | MTR "&amp;IF(U621=1,INDEX('MTRs'!$B$6:$B$505,T621)&amp;"","?")&amp;" | "&amp;IF(C621="","(sem resíduo)",C621),"")</f>
        <v/>
      </c>
      <c r="AT621" s="96" t="str">
        <f>IF(R621=1,COUNTIF($R$6:R621,1),"")</f>
        <v/>
      </c>
      <c r="AU621" s="96" t="str">
        <f>IF(U621=1,INDEX('MTRs'!$I$6:$I$505,T621)&amp;"","")</f>
        <v/>
      </c>
    </row>
    <row r="622">
      <c r="A622" s="89" t="inlineStr">
        <is>
          <t>IT-000617</t>
        </is>
      </c>
      <c r="B622" s="91" t="n"/>
      <c r="C622" s="91" t="n"/>
      <c r="D622" s="94" t="str">
        <f>IF(OR(R622=0,V622=0),"",INDEX('CAD_RESÍDUOS'!$E$6:$E$205,MATCH(C622,'CAD_RESÍDUOS'!$B$6:$B$205,0))&amp;"")</f>
        <v/>
      </c>
      <c r="E622" s="94" t="str">
        <f>IF(OR(R622=0,V622=0),"",INDEX('CAD_RESÍDUOS'!$C$6:$C$205,MATCH(C622,'CAD_RESÍDUOS'!$B$6:$B$205,0))&amp;"")</f>
        <v/>
      </c>
      <c r="F622" s="94" t="str">
        <f>IF(OR(R622=0,V622=0),"",INDEX('CAD_RESÍDUOS'!$G$6:$G$205,MATCH(C622,'CAD_RESÍDUOS'!$B$6:$B$205,0))&amp;"")</f>
        <v/>
      </c>
      <c r="G622" s="98" t="n"/>
      <c r="H622" s="91" t="n"/>
      <c r="I622" s="93" t="str">
        <f>IF(R622=0,"",IF(NOT(ISNUMBER(G622)),"",IF(ISNUMBER(X622),G622*X622,"UNIDADE A CONFERIR")))</f>
        <v/>
      </c>
      <c r="J622" s="91" t="n"/>
      <c r="K622" s="91" t="n"/>
      <c r="L622" s="93" t="str">
        <f>IF(R622=0,"",SUMIFS('RECEBIMENTOS'!$H$6:$H$1005,'RECEBIMENTOS'!$R$6:$R$1005,A622,'RECEBIMENTOS'!$X$6:$X$1005,1))</f>
        <v/>
      </c>
      <c r="M622" s="93" t="str">
        <f>IF(R622=0,"",SUMIFS('VÍNCULOS_CDF'!$H$6:$H$1005,'VÍNCULOS_CDF'!$R$6:$R$1005,A622,'VÍNCULOS_CDF'!$V$6:$V$1005,1))</f>
        <v/>
      </c>
      <c r="N622" s="99" t="str">
        <f>IF(OR(R622=0,AA622=0,NOT(ISNUMBER(I622))),"",I622-N(L622))</f>
        <v/>
      </c>
      <c r="O622" s="100" t="str">
        <f>IF(OR(R622=0,AK622&lt;=0),"",N(M622)/AK622)</f>
        <v/>
      </c>
      <c r="P622" s="94" t="str">
        <f>IF(R622=0,"",IF(S622="","Sem MTR associado",IF(U622=0,"MTR inexistente",IF(C622="","Resíduo não identificado",IF(V622=0,"Resíduo fora do cadastro",IF(W622=0,"Quantidade inválida",IF(H622="","Unidade não informada",IF(NOT(ISNUMBER(I622)),"Unidade a conferir",IF(AND(AH622=1,K622&lt;&gt;"Sim"),"Possível duplicidade",IF(Z622=1,"MTR cancelado",IF(AC622&gt;0,"Recebimento com alerta",IF(AA622=0,"Aguardando recebimento",IF(AB622&lt;AA622,"Recebimento a conferir",IF(AM622=1,"Quantidade a revisar",IF(AF622&gt;0,"Vínculo a revisar",IF(AD622=0,"Aguardando CDF",IF(AN622=0,"Vínculo de CDF parcial",IF(AE622&lt;AD622,"CDF a conferir","Documentação conferida"))))))))))))))))))</f>
        <v/>
      </c>
      <c r="Q622" s="93" t="str">
        <f>IF(OR(R622=0,AA622=0),"",MAX(0,N(L622)-N(M622)))</f>
        <v/>
      </c>
      <c r="R622" s="96">
        <f>IF(COUNTA(B622:C622,G622:H622,J622:K622)&gt;0,1,0)</f>
        <v>0</v>
      </c>
      <c r="S622" s="96" t="str">
        <f>IF(B622="","",TRIM(LEFT(B622,FIND(" |",B622&amp;" |")-1)))</f>
        <v/>
      </c>
      <c r="T622" s="96" t="str">
        <f>IF(S622="","",IFERROR(MATCH(S622,'MTRs'!$A$6:$A$505,0),""))</f>
        <v/>
      </c>
      <c r="U622" s="96">
        <f>IF(T622="",0,IF(INDEX('MTRs'!$Z$6:$Z$505,T622)=1,1,0))</f>
        <v>0</v>
      </c>
      <c r="V622" s="96">
        <f>IF(C622="",0,IF(ISNUMBER(MATCH(C622,'CAD_RESÍDUOS'!$B$6:$B$205,0)),1,0))</f>
        <v>0</v>
      </c>
      <c r="W622" s="96">
        <f>IF(AND(ISNUMBER(G622),G622&gt;0),1,0)</f>
        <v>0</v>
      </c>
      <c r="X622" s="96" t="str">
        <f>IF(H622="","",IFERROR(IF(ISNUMBER(INDEX(cfg_fac,MATCH(H622,cfg_units,0))),IF(INDEX(cfg_fac,MATCH(H622,cfg_units,0))&gt;0,INDEX(cfg_fac,MATCH(H622,cfg_units,0)),""),""),""))</f>
        <v/>
      </c>
      <c r="Y622" s="96">
        <f>IF(AND(W622=1,ISNUMBER(I622)),1,0)</f>
        <v>0</v>
      </c>
      <c r="Z622" s="96">
        <f>IF(U622=1,INDEX('MTRs'!$AA$6:$AA$505,T622),0)</f>
        <v>0</v>
      </c>
      <c r="AA622" s="96">
        <f>IF(R622=0,0,COUNTIFS('RECEBIMENTOS'!$R$6:$R$1005,A622,'RECEBIMENTOS'!$Q$6:$Q$1005,1))</f>
        <v>0</v>
      </c>
      <c r="AB622" s="96">
        <f>IF(R622=0,0,COUNTIFS('RECEBIMENTOS'!$R$6:$R$1005,A622,'RECEBIMENTOS'!$Z$6:$Z$1005,1))</f>
        <v>0</v>
      </c>
      <c r="AC622" s="96">
        <f>IF(R622=0,0,COUNTIFS('RECEBIMENTOS'!$R$6:$R$1005,A622,'RECEBIMENTOS'!$Y$6:$Y$1005,1))</f>
        <v>0</v>
      </c>
      <c r="AD622" s="96">
        <f>IF(R622=0,0,COUNTIFS('VÍNCULOS_CDF'!$R$6:$R$1005,A622,'VÍNCULOS_CDF'!$N$6:$N$1005,1))</f>
        <v>0</v>
      </c>
      <c r="AE622" s="96">
        <f>IF(R622=0,0,COUNTIFS('VÍNCULOS_CDF'!$R$6:$R$1005,A622,'VÍNCULOS_CDF'!$AA$6:$AA$1005,1))</f>
        <v>0</v>
      </c>
      <c r="AF622" s="96">
        <f>IF(R622=0,0,COUNTIFS('VÍNCULOS_CDF'!$R$6:$R$1005,A622,'VÍNCULOS_CDF'!$Y$6:$Y$1005,1))</f>
        <v>0</v>
      </c>
      <c r="AG622" s="96" t="str">
        <f>IF(AND(R622=1,S622&lt;&gt;"",C622&lt;&gt;""),S622&amp;"|"&amp;C622&amp;"|"&amp;G622&amp;"|"&amp;H622,"")</f>
        <v/>
      </c>
      <c r="AH622" s="96">
        <f>IF(AG622="",0,IF(SUMPRODUCT(--($AG$6:$AG$1005=AG622))&gt;1,1,0))</f>
        <v>0</v>
      </c>
      <c r="AI622" s="96">
        <f>IF(R622=0,0,IF(OR(U622=0,V622=0,Y622=0,AND(AH622=1,K622&lt;&gt;"Sim")),1,0))</f>
        <v>0</v>
      </c>
      <c r="AJ622" s="96">
        <f>IF(AND(R622=1,AA622&gt;0,AB622=AA622),1,0)</f>
        <v>0</v>
      </c>
      <c r="AK622" s="96">
        <f>IF(R622=0,0,IF(AA622&gt;0,N(L622),IF(ISNUMBER(I622),I622,0)))</f>
        <v>0</v>
      </c>
      <c r="AL622" s="96">
        <f>IF(R622=0,0,IF(AND(K622&lt;&gt;"Sim",N(M622)&gt;AK622+cfg_tol),1,0))</f>
        <v>0</v>
      </c>
      <c r="AM622" s="96">
        <f>IF(R622=0,0,IF(K622="Sim",0,IF(OR(AND(AA622&gt;0,ISNUMBER(I622),ABS(I622-N(L622))&gt;cfg_tol),AL622=1),1,0)))</f>
        <v>0</v>
      </c>
      <c r="AN622" s="96">
        <f>IF(AND(R622=1,N(M622)&gt;0,OR(N(M622)&gt;=AK622-cfg_tol,K622="Sim")),1,0)</f>
        <v>0</v>
      </c>
      <c r="AO622" s="96">
        <f>IF(AND(AN622=1,AD622&gt;0,AE622=AD622,AL622=0),1,0)</f>
        <v>0</v>
      </c>
      <c r="AP622" s="96">
        <f>IF(U622=0,0,IF(AND(INDEX('MTRs'!$AX$6:$AX$505,T622)=1,Z622=0,OR(f_res="",f_res="(Todos)",C622=f_res)),1,0))</f>
        <v>0</v>
      </c>
      <c r="AQ622" s="97" t="str">
        <f>IF(U622=0,"",INDEX('MTRs'!$AZ$6:$AZ$505,T622))</f>
        <v/>
      </c>
      <c r="AR622" s="96">
        <f>IF(U622=0,0,IF(AND(INDEX('MTRs'!$BA$6:$BA$505,T622)=1,Z622=0),1,0))</f>
        <v>0</v>
      </c>
      <c r="AS622" s="96" t="str">
        <f>IF(R622=1,A622&amp;" | MTR "&amp;IF(U622=1,INDEX('MTRs'!$B$6:$B$505,T622)&amp;"","?")&amp;" | "&amp;IF(C622="","(sem resíduo)",C622),"")</f>
        <v/>
      </c>
      <c r="AT622" s="96" t="str">
        <f>IF(R622=1,COUNTIF($R$6:R622,1),"")</f>
        <v/>
      </c>
      <c r="AU622" s="96" t="str">
        <f>IF(U622=1,INDEX('MTRs'!$I$6:$I$505,T622)&amp;"","")</f>
        <v/>
      </c>
    </row>
    <row r="623">
      <c r="A623" s="89" t="inlineStr">
        <is>
          <t>IT-000618</t>
        </is>
      </c>
      <c r="B623" s="91" t="n"/>
      <c r="C623" s="91" t="n"/>
      <c r="D623" s="94" t="str">
        <f>IF(OR(R623=0,V623=0),"",INDEX('CAD_RESÍDUOS'!$E$6:$E$205,MATCH(C623,'CAD_RESÍDUOS'!$B$6:$B$205,0))&amp;"")</f>
        <v/>
      </c>
      <c r="E623" s="94" t="str">
        <f>IF(OR(R623=0,V623=0),"",INDEX('CAD_RESÍDUOS'!$C$6:$C$205,MATCH(C623,'CAD_RESÍDUOS'!$B$6:$B$205,0))&amp;"")</f>
        <v/>
      </c>
      <c r="F623" s="94" t="str">
        <f>IF(OR(R623=0,V623=0),"",INDEX('CAD_RESÍDUOS'!$G$6:$G$205,MATCH(C623,'CAD_RESÍDUOS'!$B$6:$B$205,0))&amp;"")</f>
        <v/>
      </c>
      <c r="G623" s="98" t="n"/>
      <c r="H623" s="91" t="n"/>
      <c r="I623" s="93" t="str">
        <f>IF(R623=0,"",IF(NOT(ISNUMBER(G623)),"",IF(ISNUMBER(X623),G623*X623,"UNIDADE A CONFERIR")))</f>
        <v/>
      </c>
      <c r="J623" s="91" t="n"/>
      <c r="K623" s="91" t="n"/>
      <c r="L623" s="93" t="str">
        <f>IF(R623=0,"",SUMIFS('RECEBIMENTOS'!$H$6:$H$1005,'RECEBIMENTOS'!$R$6:$R$1005,A623,'RECEBIMENTOS'!$X$6:$X$1005,1))</f>
        <v/>
      </c>
      <c r="M623" s="93" t="str">
        <f>IF(R623=0,"",SUMIFS('VÍNCULOS_CDF'!$H$6:$H$1005,'VÍNCULOS_CDF'!$R$6:$R$1005,A623,'VÍNCULOS_CDF'!$V$6:$V$1005,1))</f>
        <v/>
      </c>
      <c r="N623" s="99" t="str">
        <f>IF(OR(R623=0,AA623=0,NOT(ISNUMBER(I623))),"",I623-N(L623))</f>
        <v/>
      </c>
      <c r="O623" s="100" t="str">
        <f>IF(OR(R623=0,AK623&lt;=0),"",N(M623)/AK623)</f>
        <v/>
      </c>
      <c r="P623" s="94" t="str">
        <f>IF(R623=0,"",IF(S623="","Sem MTR associado",IF(U623=0,"MTR inexistente",IF(C623="","Resíduo não identificado",IF(V623=0,"Resíduo fora do cadastro",IF(W623=0,"Quantidade inválida",IF(H623="","Unidade não informada",IF(NOT(ISNUMBER(I623)),"Unidade a conferir",IF(AND(AH623=1,K623&lt;&gt;"Sim"),"Possível duplicidade",IF(Z623=1,"MTR cancelado",IF(AC623&gt;0,"Recebimento com alerta",IF(AA623=0,"Aguardando recebimento",IF(AB623&lt;AA623,"Recebimento a conferir",IF(AM623=1,"Quantidade a revisar",IF(AF623&gt;0,"Vínculo a revisar",IF(AD623=0,"Aguardando CDF",IF(AN623=0,"Vínculo de CDF parcial",IF(AE623&lt;AD623,"CDF a conferir","Documentação conferida"))))))))))))))))))</f>
        <v/>
      </c>
      <c r="Q623" s="93" t="str">
        <f>IF(OR(R623=0,AA623=0),"",MAX(0,N(L623)-N(M623)))</f>
        <v/>
      </c>
      <c r="R623" s="96">
        <f>IF(COUNTA(B623:C623,G623:H623,J623:K623)&gt;0,1,0)</f>
        <v>0</v>
      </c>
      <c r="S623" s="96" t="str">
        <f>IF(B623="","",TRIM(LEFT(B623,FIND(" |",B623&amp;" |")-1)))</f>
        <v/>
      </c>
      <c r="T623" s="96" t="str">
        <f>IF(S623="","",IFERROR(MATCH(S623,'MTRs'!$A$6:$A$505,0),""))</f>
        <v/>
      </c>
      <c r="U623" s="96">
        <f>IF(T623="",0,IF(INDEX('MTRs'!$Z$6:$Z$505,T623)=1,1,0))</f>
        <v>0</v>
      </c>
      <c r="V623" s="96">
        <f>IF(C623="",0,IF(ISNUMBER(MATCH(C623,'CAD_RESÍDUOS'!$B$6:$B$205,0)),1,0))</f>
        <v>0</v>
      </c>
      <c r="W623" s="96">
        <f>IF(AND(ISNUMBER(G623),G623&gt;0),1,0)</f>
        <v>0</v>
      </c>
      <c r="X623" s="96" t="str">
        <f>IF(H623="","",IFERROR(IF(ISNUMBER(INDEX(cfg_fac,MATCH(H623,cfg_units,0))),IF(INDEX(cfg_fac,MATCH(H623,cfg_units,0))&gt;0,INDEX(cfg_fac,MATCH(H623,cfg_units,0)),""),""),""))</f>
        <v/>
      </c>
      <c r="Y623" s="96">
        <f>IF(AND(W623=1,ISNUMBER(I623)),1,0)</f>
        <v>0</v>
      </c>
      <c r="Z623" s="96">
        <f>IF(U623=1,INDEX('MTRs'!$AA$6:$AA$505,T623),0)</f>
        <v>0</v>
      </c>
      <c r="AA623" s="96">
        <f>IF(R623=0,0,COUNTIFS('RECEBIMENTOS'!$R$6:$R$1005,A623,'RECEBIMENTOS'!$Q$6:$Q$1005,1))</f>
        <v>0</v>
      </c>
      <c r="AB623" s="96">
        <f>IF(R623=0,0,COUNTIFS('RECEBIMENTOS'!$R$6:$R$1005,A623,'RECEBIMENTOS'!$Z$6:$Z$1005,1))</f>
        <v>0</v>
      </c>
      <c r="AC623" s="96">
        <f>IF(R623=0,0,COUNTIFS('RECEBIMENTOS'!$R$6:$R$1005,A623,'RECEBIMENTOS'!$Y$6:$Y$1005,1))</f>
        <v>0</v>
      </c>
      <c r="AD623" s="96">
        <f>IF(R623=0,0,COUNTIFS('VÍNCULOS_CDF'!$R$6:$R$1005,A623,'VÍNCULOS_CDF'!$N$6:$N$1005,1))</f>
        <v>0</v>
      </c>
      <c r="AE623" s="96">
        <f>IF(R623=0,0,COUNTIFS('VÍNCULOS_CDF'!$R$6:$R$1005,A623,'VÍNCULOS_CDF'!$AA$6:$AA$1005,1))</f>
        <v>0</v>
      </c>
      <c r="AF623" s="96">
        <f>IF(R623=0,0,COUNTIFS('VÍNCULOS_CDF'!$R$6:$R$1005,A623,'VÍNCULOS_CDF'!$Y$6:$Y$1005,1))</f>
        <v>0</v>
      </c>
      <c r="AG623" s="96" t="str">
        <f>IF(AND(R623=1,S623&lt;&gt;"",C623&lt;&gt;""),S623&amp;"|"&amp;C623&amp;"|"&amp;G623&amp;"|"&amp;H623,"")</f>
        <v/>
      </c>
      <c r="AH623" s="96">
        <f>IF(AG623="",0,IF(SUMPRODUCT(--($AG$6:$AG$1005=AG623))&gt;1,1,0))</f>
        <v>0</v>
      </c>
      <c r="AI623" s="96">
        <f>IF(R623=0,0,IF(OR(U623=0,V623=0,Y623=0,AND(AH623=1,K623&lt;&gt;"Sim")),1,0))</f>
        <v>0</v>
      </c>
      <c r="AJ623" s="96">
        <f>IF(AND(R623=1,AA623&gt;0,AB623=AA623),1,0)</f>
        <v>0</v>
      </c>
      <c r="AK623" s="96">
        <f>IF(R623=0,0,IF(AA623&gt;0,N(L623),IF(ISNUMBER(I623),I623,0)))</f>
        <v>0</v>
      </c>
      <c r="AL623" s="96">
        <f>IF(R623=0,0,IF(AND(K623&lt;&gt;"Sim",N(M623)&gt;AK623+cfg_tol),1,0))</f>
        <v>0</v>
      </c>
      <c r="AM623" s="96">
        <f>IF(R623=0,0,IF(K623="Sim",0,IF(OR(AND(AA623&gt;0,ISNUMBER(I623),ABS(I623-N(L623))&gt;cfg_tol),AL623=1),1,0)))</f>
        <v>0</v>
      </c>
      <c r="AN623" s="96">
        <f>IF(AND(R623=1,N(M623)&gt;0,OR(N(M623)&gt;=AK623-cfg_tol,K623="Sim")),1,0)</f>
        <v>0</v>
      </c>
      <c r="AO623" s="96">
        <f>IF(AND(AN623=1,AD623&gt;0,AE623=AD623,AL623=0),1,0)</f>
        <v>0</v>
      </c>
      <c r="AP623" s="96">
        <f>IF(U623=0,0,IF(AND(INDEX('MTRs'!$AX$6:$AX$505,T623)=1,Z623=0,OR(f_res="",f_res="(Todos)",C623=f_res)),1,0))</f>
        <v>0</v>
      </c>
      <c r="AQ623" s="97" t="str">
        <f>IF(U623=0,"",INDEX('MTRs'!$AZ$6:$AZ$505,T623))</f>
        <v/>
      </c>
      <c r="AR623" s="96">
        <f>IF(U623=0,0,IF(AND(INDEX('MTRs'!$BA$6:$BA$505,T623)=1,Z623=0),1,0))</f>
        <v>0</v>
      </c>
      <c r="AS623" s="96" t="str">
        <f>IF(R623=1,A623&amp;" | MTR "&amp;IF(U623=1,INDEX('MTRs'!$B$6:$B$505,T623)&amp;"","?")&amp;" | "&amp;IF(C623="","(sem resíduo)",C623),"")</f>
        <v/>
      </c>
      <c r="AT623" s="96" t="str">
        <f>IF(R623=1,COUNTIF($R$6:R623,1),"")</f>
        <v/>
      </c>
      <c r="AU623" s="96" t="str">
        <f>IF(U623=1,INDEX('MTRs'!$I$6:$I$505,T623)&amp;"","")</f>
        <v/>
      </c>
    </row>
    <row r="624">
      <c r="A624" s="89" t="inlineStr">
        <is>
          <t>IT-000619</t>
        </is>
      </c>
      <c r="B624" s="91" t="n"/>
      <c r="C624" s="91" t="n"/>
      <c r="D624" s="94" t="str">
        <f>IF(OR(R624=0,V624=0),"",INDEX('CAD_RESÍDUOS'!$E$6:$E$205,MATCH(C624,'CAD_RESÍDUOS'!$B$6:$B$205,0))&amp;"")</f>
        <v/>
      </c>
      <c r="E624" s="94" t="str">
        <f>IF(OR(R624=0,V624=0),"",INDEX('CAD_RESÍDUOS'!$C$6:$C$205,MATCH(C624,'CAD_RESÍDUOS'!$B$6:$B$205,0))&amp;"")</f>
        <v/>
      </c>
      <c r="F624" s="94" t="str">
        <f>IF(OR(R624=0,V624=0),"",INDEX('CAD_RESÍDUOS'!$G$6:$G$205,MATCH(C624,'CAD_RESÍDUOS'!$B$6:$B$205,0))&amp;"")</f>
        <v/>
      </c>
      <c r="G624" s="98" t="n"/>
      <c r="H624" s="91" t="n"/>
      <c r="I624" s="93" t="str">
        <f>IF(R624=0,"",IF(NOT(ISNUMBER(G624)),"",IF(ISNUMBER(X624),G624*X624,"UNIDADE A CONFERIR")))</f>
        <v/>
      </c>
      <c r="J624" s="91" t="n"/>
      <c r="K624" s="91" t="n"/>
      <c r="L624" s="93" t="str">
        <f>IF(R624=0,"",SUMIFS('RECEBIMENTOS'!$H$6:$H$1005,'RECEBIMENTOS'!$R$6:$R$1005,A624,'RECEBIMENTOS'!$X$6:$X$1005,1))</f>
        <v/>
      </c>
      <c r="M624" s="93" t="str">
        <f>IF(R624=0,"",SUMIFS('VÍNCULOS_CDF'!$H$6:$H$1005,'VÍNCULOS_CDF'!$R$6:$R$1005,A624,'VÍNCULOS_CDF'!$V$6:$V$1005,1))</f>
        <v/>
      </c>
      <c r="N624" s="99" t="str">
        <f>IF(OR(R624=0,AA624=0,NOT(ISNUMBER(I624))),"",I624-N(L624))</f>
        <v/>
      </c>
      <c r="O624" s="100" t="str">
        <f>IF(OR(R624=0,AK624&lt;=0),"",N(M624)/AK624)</f>
        <v/>
      </c>
      <c r="P624" s="94" t="str">
        <f>IF(R624=0,"",IF(S624="","Sem MTR associado",IF(U624=0,"MTR inexistente",IF(C624="","Resíduo não identificado",IF(V624=0,"Resíduo fora do cadastro",IF(W624=0,"Quantidade inválida",IF(H624="","Unidade não informada",IF(NOT(ISNUMBER(I624)),"Unidade a conferir",IF(AND(AH624=1,K624&lt;&gt;"Sim"),"Possível duplicidade",IF(Z624=1,"MTR cancelado",IF(AC624&gt;0,"Recebimento com alerta",IF(AA624=0,"Aguardando recebimento",IF(AB624&lt;AA624,"Recebimento a conferir",IF(AM624=1,"Quantidade a revisar",IF(AF624&gt;0,"Vínculo a revisar",IF(AD624=0,"Aguardando CDF",IF(AN624=0,"Vínculo de CDF parcial",IF(AE624&lt;AD624,"CDF a conferir","Documentação conferida"))))))))))))))))))</f>
        <v/>
      </c>
      <c r="Q624" s="93" t="str">
        <f>IF(OR(R624=0,AA624=0),"",MAX(0,N(L624)-N(M624)))</f>
        <v/>
      </c>
      <c r="R624" s="96">
        <f>IF(COUNTA(B624:C624,G624:H624,J624:K624)&gt;0,1,0)</f>
        <v>0</v>
      </c>
      <c r="S624" s="96" t="str">
        <f>IF(B624="","",TRIM(LEFT(B624,FIND(" |",B624&amp;" |")-1)))</f>
        <v/>
      </c>
      <c r="T624" s="96" t="str">
        <f>IF(S624="","",IFERROR(MATCH(S624,'MTRs'!$A$6:$A$505,0),""))</f>
        <v/>
      </c>
      <c r="U624" s="96">
        <f>IF(T624="",0,IF(INDEX('MTRs'!$Z$6:$Z$505,T624)=1,1,0))</f>
        <v>0</v>
      </c>
      <c r="V624" s="96">
        <f>IF(C624="",0,IF(ISNUMBER(MATCH(C624,'CAD_RESÍDUOS'!$B$6:$B$205,0)),1,0))</f>
        <v>0</v>
      </c>
      <c r="W624" s="96">
        <f>IF(AND(ISNUMBER(G624),G624&gt;0),1,0)</f>
        <v>0</v>
      </c>
      <c r="X624" s="96" t="str">
        <f>IF(H624="","",IFERROR(IF(ISNUMBER(INDEX(cfg_fac,MATCH(H624,cfg_units,0))),IF(INDEX(cfg_fac,MATCH(H624,cfg_units,0))&gt;0,INDEX(cfg_fac,MATCH(H624,cfg_units,0)),""),""),""))</f>
        <v/>
      </c>
      <c r="Y624" s="96">
        <f>IF(AND(W624=1,ISNUMBER(I624)),1,0)</f>
        <v>0</v>
      </c>
      <c r="Z624" s="96">
        <f>IF(U624=1,INDEX('MTRs'!$AA$6:$AA$505,T624),0)</f>
        <v>0</v>
      </c>
      <c r="AA624" s="96">
        <f>IF(R624=0,0,COUNTIFS('RECEBIMENTOS'!$R$6:$R$1005,A624,'RECEBIMENTOS'!$Q$6:$Q$1005,1))</f>
        <v>0</v>
      </c>
      <c r="AB624" s="96">
        <f>IF(R624=0,0,COUNTIFS('RECEBIMENTOS'!$R$6:$R$1005,A624,'RECEBIMENTOS'!$Z$6:$Z$1005,1))</f>
        <v>0</v>
      </c>
      <c r="AC624" s="96">
        <f>IF(R624=0,0,COUNTIFS('RECEBIMENTOS'!$R$6:$R$1005,A624,'RECEBIMENTOS'!$Y$6:$Y$1005,1))</f>
        <v>0</v>
      </c>
      <c r="AD624" s="96">
        <f>IF(R624=0,0,COUNTIFS('VÍNCULOS_CDF'!$R$6:$R$1005,A624,'VÍNCULOS_CDF'!$N$6:$N$1005,1))</f>
        <v>0</v>
      </c>
      <c r="AE624" s="96">
        <f>IF(R624=0,0,COUNTIFS('VÍNCULOS_CDF'!$R$6:$R$1005,A624,'VÍNCULOS_CDF'!$AA$6:$AA$1005,1))</f>
        <v>0</v>
      </c>
      <c r="AF624" s="96">
        <f>IF(R624=0,0,COUNTIFS('VÍNCULOS_CDF'!$R$6:$R$1005,A624,'VÍNCULOS_CDF'!$Y$6:$Y$1005,1))</f>
        <v>0</v>
      </c>
      <c r="AG624" s="96" t="str">
        <f>IF(AND(R624=1,S624&lt;&gt;"",C624&lt;&gt;""),S624&amp;"|"&amp;C624&amp;"|"&amp;G624&amp;"|"&amp;H624,"")</f>
        <v/>
      </c>
      <c r="AH624" s="96">
        <f>IF(AG624="",0,IF(SUMPRODUCT(--($AG$6:$AG$1005=AG624))&gt;1,1,0))</f>
        <v>0</v>
      </c>
      <c r="AI624" s="96">
        <f>IF(R624=0,0,IF(OR(U624=0,V624=0,Y624=0,AND(AH624=1,K624&lt;&gt;"Sim")),1,0))</f>
        <v>0</v>
      </c>
      <c r="AJ624" s="96">
        <f>IF(AND(R624=1,AA624&gt;0,AB624=AA624),1,0)</f>
        <v>0</v>
      </c>
      <c r="AK624" s="96">
        <f>IF(R624=0,0,IF(AA624&gt;0,N(L624),IF(ISNUMBER(I624),I624,0)))</f>
        <v>0</v>
      </c>
      <c r="AL624" s="96">
        <f>IF(R624=0,0,IF(AND(K624&lt;&gt;"Sim",N(M624)&gt;AK624+cfg_tol),1,0))</f>
        <v>0</v>
      </c>
      <c r="AM624" s="96">
        <f>IF(R624=0,0,IF(K624="Sim",0,IF(OR(AND(AA624&gt;0,ISNUMBER(I624),ABS(I624-N(L624))&gt;cfg_tol),AL624=1),1,0)))</f>
        <v>0</v>
      </c>
      <c r="AN624" s="96">
        <f>IF(AND(R624=1,N(M624)&gt;0,OR(N(M624)&gt;=AK624-cfg_tol,K624="Sim")),1,0)</f>
        <v>0</v>
      </c>
      <c r="AO624" s="96">
        <f>IF(AND(AN624=1,AD624&gt;0,AE624=AD624,AL624=0),1,0)</f>
        <v>0</v>
      </c>
      <c r="AP624" s="96">
        <f>IF(U624=0,0,IF(AND(INDEX('MTRs'!$AX$6:$AX$505,T624)=1,Z624=0,OR(f_res="",f_res="(Todos)",C624=f_res)),1,0))</f>
        <v>0</v>
      </c>
      <c r="AQ624" s="97" t="str">
        <f>IF(U624=0,"",INDEX('MTRs'!$AZ$6:$AZ$505,T624))</f>
        <v/>
      </c>
      <c r="AR624" s="96">
        <f>IF(U624=0,0,IF(AND(INDEX('MTRs'!$BA$6:$BA$505,T624)=1,Z624=0),1,0))</f>
        <v>0</v>
      </c>
      <c r="AS624" s="96" t="str">
        <f>IF(R624=1,A624&amp;" | MTR "&amp;IF(U624=1,INDEX('MTRs'!$B$6:$B$505,T624)&amp;"","?")&amp;" | "&amp;IF(C624="","(sem resíduo)",C624),"")</f>
        <v/>
      </c>
      <c r="AT624" s="96" t="str">
        <f>IF(R624=1,COUNTIF($R$6:R624,1),"")</f>
        <v/>
      </c>
      <c r="AU624" s="96" t="str">
        <f>IF(U624=1,INDEX('MTRs'!$I$6:$I$505,T624)&amp;"","")</f>
        <v/>
      </c>
    </row>
    <row r="625">
      <c r="A625" s="89" t="inlineStr">
        <is>
          <t>IT-000620</t>
        </is>
      </c>
      <c r="B625" s="91" t="n"/>
      <c r="C625" s="91" t="n"/>
      <c r="D625" s="94" t="str">
        <f>IF(OR(R625=0,V625=0),"",INDEX('CAD_RESÍDUOS'!$E$6:$E$205,MATCH(C625,'CAD_RESÍDUOS'!$B$6:$B$205,0))&amp;"")</f>
        <v/>
      </c>
      <c r="E625" s="94" t="str">
        <f>IF(OR(R625=0,V625=0),"",INDEX('CAD_RESÍDUOS'!$C$6:$C$205,MATCH(C625,'CAD_RESÍDUOS'!$B$6:$B$205,0))&amp;"")</f>
        <v/>
      </c>
      <c r="F625" s="94" t="str">
        <f>IF(OR(R625=0,V625=0),"",INDEX('CAD_RESÍDUOS'!$G$6:$G$205,MATCH(C625,'CAD_RESÍDUOS'!$B$6:$B$205,0))&amp;"")</f>
        <v/>
      </c>
      <c r="G625" s="98" t="n"/>
      <c r="H625" s="91" t="n"/>
      <c r="I625" s="93" t="str">
        <f>IF(R625=0,"",IF(NOT(ISNUMBER(G625)),"",IF(ISNUMBER(X625),G625*X625,"UNIDADE A CONFERIR")))</f>
        <v/>
      </c>
      <c r="J625" s="91" t="n"/>
      <c r="K625" s="91" t="n"/>
      <c r="L625" s="93" t="str">
        <f>IF(R625=0,"",SUMIFS('RECEBIMENTOS'!$H$6:$H$1005,'RECEBIMENTOS'!$R$6:$R$1005,A625,'RECEBIMENTOS'!$X$6:$X$1005,1))</f>
        <v/>
      </c>
      <c r="M625" s="93" t="str">
        <f>IF(R625=0,"",SUMIFS('VÍNCULOS_CDF'!$H$6:$H$1005,'VÍNCULOS_CDF'!$R$6:$R$1005,A625,'VÍNCULOS_CDF'!$V$6:$V$1005,1))</f>
        <v/>
      </c>
      <c r="N625" s="99" t="str">
        <f>IF(OR(R625=0,AA625=0,NOT(ISNUMBER(I625))),"",I625-N(L625))</f>
        <v/>
      </c>
      <c r="O625" s="100" t="str">
        <f>IF(OR(R625=0,AK625&lt;=0),"",N(M625)/AK625)</f>
        <v/>
      </c>
      <c r="P625" s="94" t="str">
        <f>IF(R625=0,"",IF(S625="","Sem MTR associado",IF(U625=0,"MTR inexistente",IF(C625="","Resíduo não identificado",IF(V625=0,"Resíduo fora do cadastro",IF(W625=0,"Quantidade inválida",IF(H625="","Unidade não informada",IF(NOT(ISNUMBER(I625)),"Unidade a conferir",IF(AND(AH625=1,K625&lt;&gt;"Sim"),"Possível duplicidade",IF(Z625=1,"MTR cancelado",IF(AC625&gt;0,"Recebimento com alerta",IF(AA625=0,"Aguardando recebimento",IF(AB625&lt;AA625,"Recebimento a conferir",IF(AM625=1,"Quantidade a revisar",IF(AF625&gt;0,"Vínculo a revisar",IF(AD625=0,"Aguardando CDF",IF(AN625=0,"Vínculo de CDF parcial",IF(AE625&lt;AD625,"CDF a conferir","Documentação conferida"))))))))))))))))))</f>
        <v/>
      </c>
      <c r="Q625" s="93" t="str">
        <f>IF(OR(R625=0,AA625=0),"",MAX(0,N(L625)-N(M625)))</f>
        <v/>
      </c>
      <c r="R625" s="96">
        <f>IF(COUNTA(B625:C625,G625:H625,J625:K625)&gt;0,1,0)</f>
        <v>0</v>
      </c>
      <c r="S625" s="96" t="str">
        <f>IF(B625="","",TRIM(LEFT(B625,FIND(" |",B625&amp;" |")-1)))</f>
        <v/>
      </c>
      <c r="T625" s="96" t="str">
        <f>IF(S625="","",IFERROR(MATCH(S625,'MTRs'!$A$6:$A$505,0),""))</f>
        <v/>
      </c>
      <c r="U625" s="96">
        <f>IF(T625="",0,IF(INDEX('MTRs'!$Z$6:$Z$505,T625)=1,1,0))</f>
        <v>0</v>
      </c>
      <c r="V625" s="96">
        <f>IF(C625="",0,IF(ISNUMBER(MATCH(C625,'CAD_RESÍDUOS'!$B$6:$B$205,0)),1,0))</f>
        <v>0</v>
      </c>
      <c r="W625" s="96">
        <f>IF(AND(ISNUMBER(G625),G625&gt;0),1,0)</f>
        <v>0</v>
      </c>
      <c r="X625" s="96" t="str">
        <f>IF(H625="","",IFERROR(IF(ISNUMBER(INDEX(cfg_fac,MATCH(H625,cfg_units,0))),IF(INDEX(cfg_fac,MATCH(H625,cfg_units,0))&gt;0,INDEX(cfg_fac,MATCH(H625,cfg_units,0)),""),""),""))</f>
        <v/>
      </c>
      <c r="Y625" s="96">
        <f>IF(AND(W625=1,ISNUMBER(I625)),1,0)</f>
        <v>0</v>
      </c>
      <c r="Z625" s="96">
        <f>IF(U625=1,INDEX('MTRs'!$AA$6:$AA$505,T625),0)</f>
        <v>0</v>
      </c>
      <c r="AA625" s="96">
        <f>IF(R625=0,0,COUNTIFS('RECEBIMENTOS'!$R$6:$R$1005,A625,'RECEBIMENTOS'!$Q$6:$Q$1005,1))</f>
        <v>0</v>
      </c>
      <c r="AB625" s="96">
        <f>IF(R625=0,0,COUNTIFS('RECEBIMENTOS'!$R$6:$R$1005,A625,'RECEBIMENTOS'!$Z$6:$Z$1005,1))</f>
        <v>0</v>
      </c>
      <c r="AC625" s="96">
        <f>IF(R625=0,0,COUNTIFS('RECEBIMENTOS'!$R$6:$R$1005,A625,'RECEBIMENTOS'!$Y$6:$Y$1005,1))</f>
        <v>0</v>
      </c>
      <c r="AD625" s="96">
        <f>IF(R625=0,0,COUNTIFS('VÍNCULOS_CDF'!$R$6:$R$1005,A625,'VÍNCULOS_CDF'!$N$6:$N$1005,1))</f>
        <v>0</v>
      </c>
      <c r="AE625" s="96">
        <f>IF(R625=0,0,COUNTIFS('VÍNCULOS_CDF'!$R$6:$R$1005,A625,'VÍNCULOS_CDF'!$AA$6:$AA$1005,1))</f>
        <v>0</v>
      </c>
      <c r="AF625" s="96">
        <f>IF(R625=0,0,COUNTIFS('VÍNCULOS_CDF'!$R$6:$R$1005,A625,'VÍNCULOS_CDF'!$Y$6:$Y$1005,1))</f>
        <v>0</v>
      </c>
      <c r="AG625" s="96" t="str">
        <f>IF(AND(R625=1,S625&lt;&gt;"",C625&lt;&gt;""),S625&amp;"|"&amp;C625&amp;"|"&amp;G625&amp;"|"&amp;H625,"")</f>
        <v/>
      </c>
      <c r="AH625" s="96">
        <f>IF(AG625="",0,IF(SUMPRODUCT(--($AG$6:$AG$1005=AG625))&gt;1,1,0))</f>
        <v>0</v>
      </c>
      <c r="AI625" s="96">
        <f>IF(R625=0,0,IF(OR(U625=0,V625=0,Y625=0,AND(AH625=1,K625&lt;&gt;"Sim")),1,0))</f>
        <v>0</v>
      </c>
      <c r="AJ625" s="96">
        <f>IF(AND(R625=1,AA625&gt;0,AB625=AA625),1,0)</f>
        <v>0</v>
      </c>
      <c r="AK625" s="96">
        <f>IF(R625=0,0,IF(AA625&gt;0,N(L625),IF(ISNUMBER(I625),I625,0)))</f>
        <v>0</v>
      </c>
      <c r="AL625" s="96">
        <f>IF(R625=0,0,IF(AND(K625&lt;&gt;"Sim",N(M625)&gt;AK625+cfg_tol),1,0))</f>
        <v>0</v>
      </c>
      <c r="AM625" s="96">
        <f>IF(R625=0,0,IF(K625="Sim",0,IF(OR(AND(AA625&gt;0,ISNUMBER(I625),ABS(I625-N(L625))&gt;cfg_tol),AL625=1),1,0)))</f>
        <v>0</v>
      </c>
      <c r="AN625" s="96">
        <f>IF(AND(R625=1,N(M625)&gt;0,OR(N(M625)&gt;=AK625-cfg_tol,K625="Sim")),1,0)</f>
        <v>0</v>
      </c>
      <c r="AO625" s="96">
        <f>IF(AND(AN625=1,AD625&gt;0,AE625=AD625,AL625=0),1,0)</f>
        <v>0</v>
      </c>
      <c r="AP625" s="96">
        <f>IF(U625=0,0,IF(AND(INDEX('MTRs'!$AX$6:$AX$505,T625)=1,Z625=0,OR(f_res="",f_res="(Todos)",C625=f_res)),1,0))</f>
        <v>0</v>
      </c>
      <c r="AQ625" s="97" t="str">
        <f>IF(U625=0,"",INDEX('MTRs'!$AZ$6:$AZ$505,T625))</f>
        <v/>
      </c>
      <c r="AR625" s="96">
        <f>IF(U625=0,0,IF(AND(INDEX('MTRs'!$BA$6:$BA$505,T625)=1,Z625=0),1,0))</f>
        <v>0</v>
      </c>
      <c r="AS625" s="96" t="str">
        <f>IF(R625=1,A625&amp;" | MTR "&amp;IF(U625=1,INDEX('MTRs'!$B$6:$B$505,T625)&amp;"","?")&amp;" | "&amp;IF(C625="","(sem resíduo)",C625),"")</f>
        <v/>
      </c>
      <c r="AT625" s="96" t="str">
        <f>IF(R625=1,COUNTIF($R$6:R625,1),"")</f>
        <v/>
      </c>
      <c r="AU625" s="96" t="str">
        <f>IF(U625=1,INDEX('MTRs'!$I$6:$I$505,T625)&amp;"","")</f>
        <v/>
      </c>
    </row>
    <row r="626">
      <c r="A626" s="89" t="inlineStr">
        <is>
          <t>IT-000621</t>
        </is>
      </c>
      <c r="B626" s="91" t="n"/>
      <c r="C626" s="91" t="n"/>
      <c r="D626" s="94" t="str">
        <f>IF(OR(R626=0,V626=0),"",INDEX('CAD_RESÍDUOS'!$E$6:$E$205,MATCH(C626,'CAD_RESÍDUOS'!$B$6:$B$205,0))&amp;"")</f>
        <v/>
      </c>
      <c r="E626" s="94" t="str">
        <f>IF(OR(R626=0,V626=0),"",INDEX('CAD_RESÍDUOS'!$C$6:$C$205,MATCH(C626,'CAD_RESÍDUOS'!$B$6:$B$205,0))&amp;"")</f>
        <v/>
      </c>
      <c r="F626" s="94" t="str">
        <f>IF(OR(R626=0,V626=0),"",INDEX('CAD_RESÍDUOS'!$G$6:$G$205,MATCH(C626,'CAD_RESÍDUOS'!$B$6:$B$205,0))&amp;"")</f>
        <v/>
      </c>
      <c r="G626" s="98" t="n"/>
      <c r="H626" s="91" t="n"/>
      <c r="I626" s="93" t="str">
        <f>IF(R626=0,"",IF(NOT(ISNUMBER(G626)),"",IF(ISNUMBER(X626),G626*X626,"UNIDADE A CONFERIR")))</f>
        <v/>
      </c>
      <c r="J626" s="91" t="n"/>
      <c r="K626" s="91" t="n"/>
      <c r="L626" s="93" t="str">
        <f>IF(R626=0,"",SUMIFS('RECEBIMENTOS'!$H$6:$H$1005,'RECEBIMENTOS'!$R$6:$R$1005,A626,'RECEBIMENTOS'!$X$6:$X$1005,1))</f>
        <v/>
      </c>
      <c r="M626" s="93" t="str">
        <f>IF(R626=0,"",SUMIFS('VÍNCULOS_CDF'!$H$6:$H$1005,'VÍNCULOS_CDF'!$R$6:$R$1005,A626,'VÍNCULOS_CDF'!$V$6:$V$1005,1))</f>
        <v/>
      </c>
      <c r="N626" s="99" t="str">
        <f>IF(OR(R626=0,AA626=0,NOT(ISNUMBER(I626))),"",I626-N(L626))</f>
        <v/>
      </c>
      <c r="O626" s="100" t="str">
        <f>IF(OR(R626=0,AK626&lt;=0),"",N(M626)/AK626)</f>
        <v/>
      </c>
      <c r="P626" s="94" t="str">
        <f>IF(R626=0,"",IF(S626="","Sem MTR associado",IF(U626=0,"MTR inexistente",IF(C626="","Resíduo não identificado",IF(V626=0,"Resíduo fora do cadastro",IF(W626=0,"Quantidade inválida",IF(H626="","Unidade não informada",IF(NOT(ISNUMBER(I626)),"Unidade a conferir",IF(AND(AH626=1,K626&lt;&gt;"Sim"),"Possível duplicidade",IF(Z626=1,"MTR cancelado",IF(AC626&gt;0,"Recebimento com alerta",IF(AA626=0,"Aguardando recebimento",IF(AB626&lt;AA626,"Recebimento a conferir",IF(AM626=1,"Quantidade a revisar",IF(AF626&gt;0,"Vínculo a revisar",IF(AD626=0,"Aguardando CDF",IF(AN626=0,"Vínculo de CDF parcial",IF(AE626&lt;AD626,"CDF a conferir","Documentação conferida"))))))))))))))))))</f>
        <v/>
      </c>
      <c r="Q626" s="93" t="str">
        <f>IF(OR(R626=0,AA626=0),"",MAX(0,N(L626)-N(M626)))</f>
        <v/>
      </c>
      <c r="R626" s="96">
        <f>IF(COUNTA(B626:C626,G626:H626,J626:K626)&gt;0,1,0)</f>
        <v>0</v>
      </c>
      <c r="S626" s="96" t="str">
        <f>IF(B626="","",TRIM(LEFT(B626,FIND(" |",B626&amp;" |")-1)))</f>
        <v/>
      </c>
      <c r="T626" s="96" t="str">
        <f>IF(S626="","",IFERROR(MATCH(S626,'MTRs'!$A$6:$A$505,0),""))</f>
        <v/>
      </c>
      <c r="U626" s="96">
        <f>IF(T626="",0,IF(INDEX('MTRs'!$Z$6:$Z$505,T626)=1,1,0))</f>
        <v>0</v>
      </c>
      <c r="V626" s="96">
        <f>IF(C626="",0,IF(ISNUMBER(MATCH(C626,'CAD_RESÍDUOS'!$B$6:$B$205,0)),1,0))</f>
        <v>0</v>
      </c>
      <c r="W626" s="96">
        <f>IF(AND(ISNUMBER(G626),G626&gt;0),1,0)</f>
        <v>0</v>
      </c>
      <c r="X626" s="96" t="str">
        <f>IF(H626="","",IFERROR(IF(ISNUMBER(INDEX(cfg_fac,MATCH(H626,cfg_units,0))),IF(INDEX(cfg_fac,MATCH(H626,cfg_units,0))&gt;0,INDEX(cfg_fac,MATCH(H626,cfg_units,0)),""),""),""))</f>
        <v/>
      </c>
      <c r="Y626" s="96">
        <f>IF(AND(W626=1,ISNUMBER(I626)),1,0)</f>
        <v>0</v>
      </c>
      <c r="Z626" s="96">
        <f>IF(U626=1,INDEX('MTRs'!$AA$6:$AA$505,T626),0)</f>
        <v>0</v>
      </c>
      <c r="AA626" s="96">
        <f>IF(R626=0,0,COUNTIFS('RECEBIMENTOS'!$R$6:$R$1005,A626,'RECEBIMENTOS'!$Q$6:$Q$1005,1))</f>
        <v>0</v>
      </c>
      <c r="AB626" s="96">
        <f>IF(R626=0,0,COUNTIFS('RECEBIMENTOS'!$R$6:$R$1005,A626,'RECEBIMENTOS'!$Z$6:$Z$1005,1))</f>
        <v>0</v>
      </c>
      <c r="AC626" s="96">
        <f>IF(R626=0,0,COUNTIFS('RECEBIMENTOS'!$R$6:$R$1005,A626,'RECEBIMENTOS'!$Y$6:$Y$1005,1))</f>
        <v>0</v>
      </c>
      <c r="AD626" s="96">
        <f>IF(R626=0,0,COUNTIFS('VÍNCULOS_CDF'!$R$6:$R$1005,A626,'VÍNCULOS_CDF'!$N$6:$N$1005,1))</f>
        <v>0</v>
      </c>
      <c r="AE626" s="96">
        <f>IF(R626=0,0,COUNTIFS('VÍNCULOS_CDF'!$R$6:$R$1005,A626,'VÍNCULOS_CDF'!$AA$6:$AA$1005,1))</f>
        <v>0</v>
      </c>
      <c r="AF626" s="96">
        <f>IF(R626=0,0,COUNTIFS('VÍNCULOS_CDF'!$R$6:$R$1005,A626,'VÍNCULOS_CDF'!$Y$6:$Y$1005,1))</f>
        <v>0</v>
      </c>
      <c r="AG626" s="96" t="str">
        <f>IF(AND(R626=1,S626&lt;&gt;"",C626&lt;&gt;""),S626&amp;"|"&amp;C626&amp;"|"&amp;G626&amp;"|"&amp;H626,"")</f>
        <v/>
      </c>
      <c r="AH626" s="96">
        <f>IF(AG626="",0,IF(SUMPRODUCT(--($AG$6:$AG$1005=AG626))&gt;1,1,0))</f>
        <v>0</v>
      </c>
      <c r="AI626" s="96">
        <f>IF(R626=0,0,IF(OR(U626=0,V626=0,Y626=0,AND(AH626=1,K626&lt;&gt;"Sim")),1,0))</f>
        <v>0</v>
      </c>
      <c r="AJ626" s="96">
        <f>IF(AND(R626=1,AA626&gt;0,AB626=AA626),1,0)</f>
        <v>0</v>
      </c>
      <c r="AK626" s="96">
        <f>IF(R626=0,0,IF(AA626&gt;0,N(L626),IF(ISNUMBER(I626),I626,0)))</f>
        <v>0</v>
      </c>
      <c r="AL626" s="96">
        <f>IF(R626=0,0,IF(AND(K626&lt;&gt;"Sim",N(M626)&gt;AK626+cfg_tol),1,0))</f>
        <v>0</v>
      </c>
      <c r="AM626" s="96">
        <f>IF(R626=0,0,IF(K626="Sim",0,IF(OR(AND(AA626&gt;0,ISNUMBER(I626),ABS(I626-N(L626))&gt;cfg_tol),AL626=1),1,0)))</f>
        <v>0</v>
      </c>
      <c r="AN626" s="96">
        <f>IF(AND(R626=1,N(M626)&gt;0,OR(N(M626)&gt;=AK626-cfg_tol,K626="Sim")),1,0)</f>
        <v>0</v>
      </c>
      <c r="AO626" s="96">
        <f>IF(AND(AN626=1,AD626&gt;0,AE626=AD626,AL626=0),1,0)</f>
        <v>0</v>
      </c>
      <c r="AP626" s="96">
        <f>IF(U626=0,0,IF(AND(INDEX('MTRs'!$AX$6:$AX$505,T626)=1,Z626=0,OR(f_res="",f_res="(Todos)",C626=f_res)),1,0))</f>
        <v>0</v>
      </c>
      <c r="AQ626" s="97" t="str">
        <f>IF(U626=0,"",INDEX('MTRs'!$AZ$6:$AZ$505,T626))</f>
        <v/>
      </c>
      <c r="AR626" s="96">
        <f>IF(U626=0,0,IF(AND(INDEX('MTRs'!$BA$6:$BA$505,T626)=1,Z626=0),1,0))</f>
        <v>0</v>
      </c>
      <c r="AS626" s="96" t="str">
        <f>IF(R626=1,A626&amp;" | MTR "&amp;IF(U626=1,INDEX('MTRs'!$B$6:$B$505,T626)&amp;"","?")&amp;" | "&amp;IF(C626="","(sem resíduo)",C626),"")</f>
        <v/>
      </c>
      <c r="AT626" s="96" t="str">
        <f>IF(R626=1,COUNTIF($R$6:R626,1),"")</f>
        <v/>
      </c>
      <c r="AU626" s="96" t="str">
        <f>IF(U626=1,INDEX('MTRs'!$I$6:$I$505,T626)&amp;"","")</f>
        <v/>
      </c>
    </row>
    <row r="627">
      <c r="A627" s="89" t="inlineStr">
        <is>
          <t>IT-000622</t>
        </is>
      </c>
      <c r="B627" s="91" t="n"/>
      <c r="C627" s="91" t="n"/>
      <c r="D627" s="94" t="str">
        <f>IF(OR(R627=0,V627=0),"",INDEX('CAD_RESÍDUOS'!$E$6:$E$205,MATCH(C627,'CAD_RESÍDUOS'!$B$6:$B$205,0))&amp;"")</f>
        <v/>
      </c>
      <c r="E627" s="94" t="str">
        <f>IF(OR(R627=0,V627=0),"",INDEX('CAD_RESÍDUOS'!$C$6:$C$205,MATCH(C627,'CAD_RESÍDUOS'!$B$6:$B$205,0))&amp;"")</f>
        <v/>
      </c>
      <c r="F627" s="94" t="str">
        <f>IF(OR(R627=0,V627=0),"",INDEX('CAD_RESÍDUOS'!$G$6:$G$205,MATCH(C627,'CAD_RESÍDUOS'!$B$6:$B$205,0))&amp;"")</f>
        <v/>
      </c>
      <c r="G627" s="98" t="n"/>
      <c r="H627" s="91" t="n"/>
      <c r="I627" s="93" t="str">
        <f>IF(R627=0,"",IF(NOT(ISNUMBER(G627)),"",IF(ISNUMBER(X627),G627*X627,"UNIDADE A CONFERIR")))</f>
        <v/>
      </c>
      <c r="J627" s="91" t="n"/>
      <c r="K627" s="91" t="n"/>
      <c r="L627" s="93" t="str">
        <f>IF(R627=0,"",SUMIFS('RECEBIMENTOS'!$H$6:$H$1005,'RECEBIMENTOS'!$R$6:$R$1005,A627,'RECEBIMENTOS'!$X$6:$X$1005,1))</f>
        <v/>
      </c>
      <c r="M627" s="93" t="str">
        <f>IF(R627=0,"",SUMIFS('VÍNCULOS_CDF'!$H$6:$H$1005,'VÍNCULOS_CDF'!$R$6:$R$1005,A627,'VÍNCULOS_CDF'!$V$6:$V$1005,1))</f>
        <v/>
      </c>
      <c r="N627" s="99" t="str">
        <f>IF(OR(R627=0,AA627=0,NOT(ISNUMBER(I627))),"",I627-N(L627))</f>
        <v/>
      </c>
      <c r="O627" s="100" t="str">
        <f>IF(OR(R627=0,AK627&lt;=0),"",N(M627)/AK627)</f>
        <v/>
      </c>
      <c r="P627" s="94" t="str">
        <f>IF(R627=0,"",IF(S627="","Sem MTR associado",IF(U627=0,"MTR inexistente",IF(C627="","Resíduo não identificado",IF(V627=0,"Resíduo fora do cadastro",IF(W627=0,"Quantidade inválida",IF(H627="","Unidade não informada",IF(NOT(ISNUMBER(I627)),"Unidade a conferir",IF(AND(AH627=1,K627&lt;&gt;"Sim"),"Possível duplicidade",IF(Z627=1,"MTR cancelado",IF(AC627&gt;0,"Recebimento com alerta",IF(AA627=0,"Aguardando recebimento",IF(AB627&lt;AA627,"Recebimento a conferir",IF(AM627=1,"Quantidade a revisar",IF(AF627&gt;0,"Vínculo a revisar",IF(AD627=0,"Aguardando CDF",IF(AN627=0,"Vínculo de CDF parcial",IF(AE627&lt;AD627,"CDF a conferir","Documentação conferida"))))))))))))))))))</f>
        <v/>
      </c>
      <c r="Q627" s="93" t="str">
        <f>IF(OR(R627=0,AA627=0),"",MAX(0,N(L627)-N(M627)))</f>
        <v/>
      </c>
      <c r="R627" s="96">
        <f>IF(COUNTA(B627:C627,G627:H627,J627:K627)&gt;0,1,0)</f>
        <v>0</v>
      </c>
      <c r="S627" s="96" t="str">
        <f>IF(B627="","",TRIM(LEFT(B627,FIND(" |",B627&amp;" |")-1)))</f>
        <v/>
      </c>
      <c r="T627" s="96" t="str">
        <f>IF(S627="","",IFERROR(MATCH(S627,'MTRs'!$A$6:$A$505,0),""))</f>
        <v/>
      </c>
      <c r="U627" s="96">
        <f>IF(T627="",0,IF(INDEX('MTRs'!$Z$6:$Z$505,T627)=1,1,0))</f>
        <v>0</v>
      </c>
      <c r="V627" s="96">
        <f>IF(C627="",0,IF(ISNUMBER(MATCH(C627,'CAD_RESÍDUOS'!$B$6:$B$205,0)),1,0))</f>
        <v>0</v>
      </c>
      <c r="W627" s="96">
        <f>IF(AND(ISNUMBER(G627),G627&gt;0),1,0)</f>
        <v>0</v>
      </c>
      <c r="X627" s="96" t="str">
        <f>IF(H627="","",IFERROR(IF(ISNUMBER(INDEX(cfg_fac,MATCH(H627,cfg_units,0))),IF(INDEX(cfg_fac,MATCH(H627,cfg_units,0))&gt;0,INDEX(cfg_fac,MATCH(H627,cfg_units,0)),""),""),""))</f>
        <v/>
      </c>
      <c r="Y627" s="96">
        <f>IF(AND(W627=1,ISNUMBER(I627)),1,0)</f>
        <v>0</v>
      </c>
      <c r="Z627" s="96">
        <f>IF(U627=1,INDEX('MTRs'!$AA$6:$AA$505,T627),0)</f>
        <v>0</v>
      </c>
      <c r="AA627" s="96">
        <f>IF(R627=0,0,COUNTIFS('RECEBIMENTOS'!$R$6:$R$1005,A627,'RECEBIMENTOS'!$Q$6:$Q$1005,1))</f>
        <v>0</v>
      </c>
      <c r="AB627" s="96">
        <f>IF(R627=0,0,COUNTIFS('RECEBIMENTOS'!$R$6:$R$1005,A627,'RECEBIMENTOS'!$Z$6:$Z$1005,1))</f>
        <v>0</v>
      </c>
      <c r="AC627" s="96">
        <f>IF(R627=0,0,COUNTIFS('RECEBIMENTOS'!$R$6:$R$1005,A627,'RECEBIMENTOS'!$Y$6:$Y$1005,1))</f>
        <v>0</v>
      </c>
      <c r="AD627" s="96">
        <f>IF(R627=0,0,COUNTIFS('VÍNCULOS_CDF'!$R$6:$R$1005,A627,'VÍNCULOS_CDF'!$N$6:$N$1005,1))</f>
        <v>0</v>
      </c>
      <c r="AE627" s="96">
        <f>IF(R627=0,0,COUNTIFS('VÍNCULOS_CDF'!$R$6:$R$1005,A627,'VÍNCULOS_CDF'!$AA$6:$AA$1005,1))</f>
        <v>0</v>
      </c>
      <c r="AF627" s="96">
        <f>IF(R627=0,0,COUNTIFS('VÍNCULOS_CDF'!$R$6:$R$1005,A627,'VÍNCULOS_CDF'!$Y$6:$Y$1005,1))</f>
        <v>0</v>
      </c>
      <c r="AG627" s="96" t="str">
        <f>IF(AND(R627=1,S627&lt;&gt;"",C627&lt;&gt;""),S627&amp;"|"&amp;C627&amp;"|"&amp;G627&amp;"|"&amp;H627,"")</f>
        <v/>
      </c>
      <c r="AH627" s="96">
        <f>IF(AG627="",0,IF(SUMPRODUCT(--($AG$6:$AG$1005=AG627))&gt;1,1,0))</f>
        <v>0</v>
      </c>
      <c r="AI627" s="96">
        <f>IF(R627=0,0,IF(OR(U627=0,V627=0,Y627=0,AND(AH627=1,K627&lt;&gt;"Sim")),1,0))</f>
        <v>0</v>
      </c>
      <c r="AJ627" s="96">
        <f>IF(AND(R627=1,AA627&gt;0,AB627=AA627),1,0)</f>
        <v>0</v>
      </c>
      <c r="AK627" s="96">
        <f>IF(R627=0,0,IF(AA627&gt;0,N(L627),IF(ISNUMBER(I627),I627,0)))</f>
        <v>0</v>
      </c>
      <c r="AL627" s="96">
        <f>IF(R627=0,0,IF(AND(K627&lt;&gt;"Sim",N(M627)&gt;AK627+cfg_tol),1,0))</f>
        <v>0</v>
      </c>
      <c r="AM627" s="96">
        <f>IF(R627=0,0,IF(K627="Sim",0,IF(OR(AND(AA627&gt;0,ISNUMBER(I627),ABS(I627-N(L627))&gt;cfg_tol),AL627=1),1,0)))</f>
        <v>0</v>
      </c>
      <c r="AN627" s="96">
        <f>IF(AND(R627=1,N(M627)&gt;0,OR(N(M627)&gt;=AK627-cfg_tol,K627="Sim")),1,0)</f>
        <v>0</v>
      </c>
      <c r="AO627" s="96">
        <f>IF(AND(AN627=1,AD627&gt;0,AE627=AD627,AL627=0),1,0)</f>
        <v>0</v>
      </c>
      <c r="AP627" s="96">
        <f>IF(U627=0,0,IF(AND(INDEX('MTRs'!$AX$6:$AX$505,T627)=1,Z627=0,OR(f_res="",f_res="(Todos)",C627=f_res)),1,0))</f>
        <v>0</v>
      </c>
      <c r="AQ627" s="97" t="str">
        <f>IF(U627=0,"",INDEX('MTRs'!$AZ$6:$AZ$505,T627))</f>
        <v/>
      </c>
      <c r="AR627" s="96">
        <f>IF(U627=0,0,IF(AND(INDEX('MTRs'!$BA$6:$BA$505,T627)=1,Z627=0),1,0))</f>
        <v>0</v>
      </c>
      <c r="AS627" s="96" t="str">
        <f>IF(R627=1,A627&amp;" | MTR "&amp;IF(U627=1,INDEX('MTRs'!$B$6:$B$505,T627)&amp;"","?")&amp;" | "&amp;IF(C627="","(sem resíduo)",C627),"")</f>
        <v/>
      </c>
      <c r="AT627" s="96" t="str">
        <f>IF(R627=1,COUNTIF($R$6:R627,1),"")</f>
        <v/>
      </c>
      <c r="AU627" s="96" t="str">
        <f>IF(U627=1,INDEX('MTRs'!$I$6:$I$505,T627)&amp;"","")</f>
        <v/>
      </c>
    </row>
    <row r="628">
      <c r="A628" s="89" t="inlineStr">
        <is>
          <t>IT-000623</t>
        </is>
      </c>
      <c r="B628" s="91" t="n"/>
      <c r="C628" s="91" t="n"/>
      <c r="D628" s="94" t="str">
        <f>IF(OR(R628=0,V628=0),"",INDEX('CAD_RESÍDUOS'!$E$6:$E$205,MATCH(C628,'CAD_RESÍDUOS'!$B$6:$B$205,0))&amp;"")</f>
        <v/>
      </c>
      <c r="E628" s="94" t="str">
        <f>IF(OR(R628=0,V628=0),"",INDEX('CAD_RESÍDUOS'!$C$6:$C$205,MATCH(C628,'CAD_RESÍDUOS'!$B$6:$B$205,0))&amp;"")</f>
        <v/>
      </c>
      <c r="F628" s="94" t="str">
        <f>IF(OR(R628=0,V628=0),"",INDEX('CAD_RESÍDUOS'!$G$6:$G$205,MATCH(C628,'CAD_RESÍDUOS'!$B$6:$B$205,0))&amp;"")</f>
        <v/>
      </c>
      <c r="G628" s="98" t="n"/>
      <c r="H628" s="91" t="n"/>
      <c r="I628" s="93" t="str">
        <f>IF(R628=0,"",IF(NOT(ISNUMBER(G628)),"",IF(ISNUMBER(X628),G628*X628,"UNIDADE A CONFERIR")))</f>
        <v/>
      </c>
      <c r="J628" s="91" t="n"/>
      <c r="K628" s="91" t="n"/>
      <c r="L628" s="93" t="str">
        <f>IF(R628=0,"",SUMIFS('RECEBIMENTOS'!$H$6:$H$1005,'RECEBIMENTOS'!$R$6:$R$1005,A628,'RECEBIMENTOS'!$X$6:$X$1005,1))</f>
        <v/>
      </c>
      <c r="M628" s="93" t="str">
        <f>IF(R628=0,"",SUMIFS('VÍNCULOS_CDF'!$H$6:$H$1005,'VÍNCULOS_CDF'!$R$6:$R$1005,A628,'VÍNCULOS_CDF'!$V$6:$V$1005,1))</f>
        <v/>
      </c>
      <c r="N628" s="99" t="str">
        <f>IF(OR(R628=0,AA628=0,NOT(ISNUMBER(I628))),"",I628-N(L628))</f>
        <v/>
      </c>
      <c r="O628" s="100" t="str">
        <f>IF(OR(R628=0,AK628&lt;=0),"",N(M628)/AK628)</f>
        <v/>
      </c>
      <c r="P628" s="94" t="str">
        <f>IF(R628=0,"",IF(S628="","Sem MTR associado",IF(U628=0,"MTR inexistente",IF(C628="","Resíduo não identificado",IF(V628=0,"Resíduo fora do cadastro",IF(W628=0,"Quantidade inválida",IF(H628="","Unidade não informada",IF(NOT(ISNUMBER(I628)),"Unidade a conferir",IF(AND(AH628=1,K628&lt;&gt;"Sim"),"Possível duplicidade",IF(Z628=1,"MTR cancelado",IF(AC628&gt;0,"Recebimento com alerta",IF(AA628=0,"Aguardando recebimento",IF(AB628&lt;AA628,"Recebimento a conferir",IF(AM628=1,"Quantidade a revisar",IF(AF628&gt;0,"Vínculo a revisar",IF(AD628=0,"Aguardando CDF",IF(AN628=0,"Vínculo de CDF parcial",IF(AE628&lt;AD628,"CDF a conferir","Documentação conferida"))))))))))))))))))</f>
        <v/>
      </c>
      <c r="Q628" s="93" t="str">
        <f>IF(OR(R628=0,AA628=0),"",MAX(0,N(L628)-N(M628)))</f>
        <v/>
      </c>
      <c r="R628" s="96">
        <f>IF(COUNTA(B628:C628,G628:H628,J628:K628)&gt;0,1,0)</f>
        <v>0</v>
      </c>
      <c r="S628" s="96" t="str">
        <f>IF(B628="","",TRIM(LEFT(B628,FIND(" |",B628&amp;" |")-1)))</f>
        <v/>
      </c>
      <c r="T628" s="96" t="str">
        <f>IF(S628="","",IFERROR(MATCH(S628,'MTRs'!$A$6:$A$505,0),""))</f>
        <v/>
      </c>
      <c r="U628" s="96">
        <f>IF(T628="",0,IF(INDEX('MTRs'!$Z$6:$Z$505,T628)=1,1,0))</f>
        <v>0</v>
      </c>
      <c r="V628" s="96">
        <f>IF(C628="",0,IF(ISNUMBER(MATCH(C628,'CAD_RESÍDUOS'!$B$6:$B$205,0)),1,0))</f>
        <v>0</v>
      </c>
      <c r="W628" s="96">
        <f>IF(AND(ISNUMBER(G628),G628&gt;0),1,0)</f>
        <v>0</v>
      </c>
      <c r="X628" s="96" t="str">
        <f>IF(H628="","",IFERROR(IF(ISNUMBER(INDEX(cfg_fac,MATCH(H628,cfg_units,0))),IF(INDEX(cfg_fac,MATCH(H628,cfg_units,0))&gt;0,INDEX(cfg_fac,MATCH(H628,cfg_units,0)),""),""),""))</f>
        <v/>
      </c>
      <c r="Y628" s="96">
        <f>IF(AND(W628=1,ISNUMBER(I628)),1,0)</f>
        <v>0</v>
      </c>
      <c r="Z628" s="96">
        <f>IF(U628=1,INDEX('MTRs'!$AA$6:$AA$505,T628),0)</f>
        <v>0</v>
      </c>
      <c r="AA628" s="96">
        <f>IF(R628=0,0,COUNTIFS('RECEBIMENTOS'!$R$6:$R$1005,A628,'RECEBIMENTOS'!$Q$6:$Q$1005,1))</f>
        <v>0</v>
      </c>
      <c r="AB628" s="96">
        <f>IF(R628=0,0,COUNTIFS('RECEBIMENTOS'!$R$6:$R$1005,A628,'RECEBIMENTOS'!$Z$6:$Z$1005,1))</f>
        <v>0</v>
      </c>
      <c r="AC628" s="96">
        <f>IF(R628=0,0,COUNTIFS('RECEBIMENTOS'!$R$6:$R$1005,A628,'RECEBIMENTOS'!$Y$6:$Y$1005,1))</f>
        <v>0</v>
      </c>
      <c r="AD628" s="96">
        <f>IF(R628=0,0,COUNTIFS('VÍNCULOS_CDF'!$R$6:$R$1005,A628,'VÍNCULOS_CDF'!$N$6:$N$1005,1))</f>
        <v>0</v>
      </c>
      <c r="AE628" s="96">
        <f>IF(R628=0,0,COUNTIFS('VÍNCULOS_CDF'!$R$6:$R$1005,A628,'VÍNCULOS_CDF'!$AA$6:$AA$1005,1))</f>
        <v>0</v>
      </c>
      <c r="AF628" s="96">
        <f>IF(R628=0,0,COUNTIFS('VÍNCULOS_CDF'!$R$6:$R$1005,A628,'VÍNCULOS_CDF'!$Y$6:$Y$1005,1))</f>
        <v>0</v>
      </c>
      <c r="AG628" s="96" t="str">
        <f>IF(AND(R628=1,S628&lt;&gt;"",C628&lt;&gt;""),S628&amp;"|"&amp;C628&amp;"|"&amp;G628&amp;"|"&amp;H628,"")</f>
        <v/>
      </c>
      <c r="AH628" s="96">
        <f>IF(AG628="",0,IF(SUMPRODUCT(--($AG$6:$AG$1005=AG628))&gt;1,1,0))</f>
        <v>0</v>
      </c>
      <c r="AI628" s="96">
        <f>IF(R628=0,0,IF(OR(U628=0,V628=0,Y628=0,AND(AH628=1,K628&lt;&gt;"Sim")),1,0))</f>
        <v>0</v>
      </c>
      <c r="AJ628" s="96">
        <f>IF(AND(R628=1,AA628&gt;0,AB628=AA628),1,0)</f>
        <v>0</v>
      </c>
      <c r="AK628" s="96">
        <f>IF(R628=0,0,IF(AA628&gt;0,N(L628),IF(ISNUMBER(I628),I628,0)))</f>
        <v>0</v>
      </c>
      <c r="AL628" s="96">
        <f>IF(R628=0,0,IF(AND(K628&lt;&gt;"Sim",N(M628)&gt;AK628+cfg_tol),1,0))</f>
        <v>0</v>
      </c>
      <c r="AM628" s="96">
        <f>IF(R628=0,0,IF(K628="Sim",0,IF(OR(AND(AA628&gt;0,ISNUMBER(I628),ABS(I628-N(L628))&gt;cfg_tol),AL628=1),1,0)))</f>
        <v>0</v>
      </c>
      <c r="AN628" s="96">
        <f>IF(AND(R628=1,N(M628)&gt;0,OR(N(M628)&gt;=AK628-cfg_tol,K628="Sim")),1,0)</f>
        <v>0</v>
      </c>
      <c r="AO628" s="96">
        <f>IF(AND(AN628=1,AD628&gt;0,AE628=AD628,AL628=0),1,0)</f>
        <v>0</v>
      </c>
      <c r="AP628" s="96">
        <f>IF(U628=0,0,IF(AND(INDEX('MTRs'!$AX$6:$AX$505,T628)=1,Z628=0,OR(f_res="",f_res="(Todos)",C628=f_res)),1,0))</f>
        <v>0</v>
      </c>
      <c r="AQ628" s="97" t="str">
        <f>IF(U628=0,"",INDEX('MTRs'!$AZ$6:$AZ$505,T628))</f>
        <v/>
      </c>
      <c r="AR628" s="96">
        <f>IF(U628=0,0,IF(AND(INDEX('MTRs'!$BA$6:$BA$505,T628)=1,Z628=0),1,0))</f>
        <v>0</v>
      </c>
      <c r="AS628" s="96" t="str">
        <f>IF(R628=1,A628&amp;" | MTR "&amp;IF(U628=1,INDEX('MTRs'!$B$6:$B$505,T628)&amp;"","?")&amp;" | "&amp;IF(C628="","(sem resíduo)",C628),"")</f>
        <v/>
      </c>
      <c r="AT628" s="96" t="str">
        <f>IF(R628=1,COUNTIF($R$6:R628,1),"")</f>
        <v/>
      </c>
      <c r="AU628" s="96" t="str">
        <f>IF(U628=1,INDEX('MTRs'!$I$6:$I$505,T628)&amp;"","")</f>
        <v/>
      </c>
    </row>
    <row r="629">
      <c r="A629" s="89" t="inlineStr">
        <is>
          <t>IT-000624</t>
        </is>
      </c>
      <c r="B629" s="91" t="n"/>
      <c r="C629" s="91" t="n"/>
      <c r="D629" s="94" t="str">
        <f>IF(OR(R629=0,V629=0),"",INDEX('CAD_RESÍDUOS'!$E$6:$E$205,MATCH(C629,'CAD_RESÍDUOS'!$B$6:$B$205,0))&amp;"")</f>
        <v/>
      </c>
      <c r="E629" s="94" t="str">
        <f>IF(OR(R629=0,V629=0),"",INDEX('CAD_RESÍDUOS'!$C$6:$C$205,MATCH(C629,'CAD_RESÍDUOS'!$B$6:$B$205,0))&amp;"")</f>
        <v/>
      </c>
      <c r="F629" s="94" t="str">
        <f>IF(OR(R629=0,V629=0),"",INDEX('CAD_RESÍDUOS'!$G$6:$G$205,MATCH(C629,'CAD_RESÍDUOS'!$B$6:$B$205,0))&amp;"")</f>
        <v/>
      </c>
      <c r="G629" s="98" t="n"/>
      <c r="H629" s="91" t="n"/>
      <c r="I629" s="93" t="str">
        <f>IF(R629=0,"",IF(NOT(ISNUMBER(G629)),"",IF(ISNUMBER(X629),G629*X629,"UNIDADE A CONFERIR")))</f>
        <v/>
      </c>
      <c r="J629" s="91" t="n"/>
      <c r="K629" s="91" t="n"/>
      <c r="L629" s="93" t="str">
        <f>IF(R629=0,"",SUMIFS('RECEBIMENTOS'!$H$6:$H$1005,'RECEBIMENTOS'!$R$6:$R$1005,A629,'RECEBIMENTOS'!$X$6:$X$1005,1))</f>
        <v/>
      </c>
      <c r="M629" s="93" t="str">
        <f>IF(R629=0,"",SUMIFS('VÍNCULOS_CDF'!$H$6:$H$1005,'VÍNCULOS_CDF'!$R$6:$R$1005,A629,'VÍNCULOS_CDF'!$V$6:$V$1005,1))</f>
        <v/>
      </c>
      <c r="N629" s="99" t="str">
        <f>IF(OR(R629=0,AA629=0,NOT(ISNUMBER(I629))),"",I629-N(L629))</f>
        <v/>
      </c>
      <c r="O629" s="100" t="str">
        <f>IF(OR(R629=0,AK629&lt;=0),"",N(M629)/AK629)</f>
        <v/>
      </c>
      <c r="P629" s="94" t="str">
        <f>IF(R629=0,"",IF(S629="","Sem MTR associado",IF(U629=0,"MTR inexistente",IF(C629="","Resíduo não identificado",IF(V629=0,"Resíduo fora do cadastro",IF(W629=0,"Quantidade inválida",IF(H629="","Unidade não informada",IF(NOT(ISNUMBER(I629)),"Unidade a conferir",IF(AND(AH629=1,K629&lt;&gt;"Sim"),"Possível duplicidade",IF(Z629=1,"MTR cancelado",IF(AC629&gt;0,"Recebimento com alerta",IF(AA629=0,"Aguardando recebimento",IF(AB629&lt;AA629,"Recebimento a conferir",IF(AM629=1,"Quantidade a revisar",IF(AF629&gt;0,"Vínculo a revisar",IF(AD629=0,"Aguardando CDF",IF(AN629=0,"Vínculo de CDF parcial",IF(AE629&lt;AD629,"CDF a conferir","Documentação conferida"))))))))))))))))))</f>
        <v/>
      </c>
      <c r="Q629" s="93" t="str">
        <f>IF(OR(R629=0,AA629=0),"",MAX(0,N(L629)-N(M629)))</f>
        <v/>
      </c>
      <c r="R629" s="96">
        <f>IF(COUNTA(B629:C629,G629:H629,J629:K629)&gt;0,1,0)</f>
        <v>0</v>
      </c>
      <c r="S629" s="96" t="str">
        <f>IF(B629="","",TRIM(LEFT(B629,FIND(" |",B629&amp;" |")-1)))</f>
        <v/>
      </c>
      <c r="T629" s="96" t="str">
        <f>IF(S629="","",IFERROR(MATCH(S629,'MTRs'!$A$6:$A$505,0),""))</f>
        <v/>
      </c>
      <c r="U629" s="96">
        <f>IF(T629="",0,IF(INDEX('MTRs'!$Z$6:$Z$505,T629)=1,1,0))</f>
        <v>0</v>
      </c>
      <c r="V629" s="96">
        <f>IF(C629="",0,IF(ISNUMBER(MATCH(C629,'CAD_RESÍDUOS'!$B$6:$B$205,0)),1,0))</f>
        <v>0</v>
      </c>
      <c r="W629" s="96">
        <f>IF(AND(ISNUMBER(G629),G629&gt;0),1,0)</f>
        <v>0</v>
      </c>
      <c r="X629" s="96" t="str">
        <f>IF(H629="","",IFERROR(IF(ISNUMBER(INDEX(cfg_fac,MATCH(H629,cfg_units,0))),IF(INDEX(cfg_fac,MATCH(H629,cfg_units,0))&gt;0,INDEX(cfg_fac,MATCH(H629,cfg_units,0)),""),""),""))</f>
        <v/>
      </c>
      <c r="Y629" s="96">
        <f>IF(AND(W629=1,ISNUMBER(I629)),1,0)</f>
        <v>0</v>
      </c>
      <c r="Z629" s="96">
        <f>IF(U629=1,INDEX('MTRs'!$AA$6:$AA$505,T629),0)</f>
        <v>0</v>
      </c>
      <c r="AA629" s="96">
        <f>IF(R629=0,0,COUNTIFS('RECEBIMENTOS'!$R$6:$R$1005,A629,'RECEBIMENTOS'!$Q$6:$Q$1005,1))</f>
        <v>0</v>
      </c>
      <c r="AB629" s="96">
        <f>IF(R629=0,0,COUNTIFS('RECEBIMENTOS'!$R$6:$R$1005,A629,'RECEBIMENTOS'!$Z$6:$Z$1005,1))</f>
        <v>0</v>
      </c>
      <c r="AC629" s="96">
        <f>IF(R629=0,0,COUNTIFS('RECEBIMENTOS'!$R$6:$R$1005,A629,'RECEBIMENTOS'!$Y$6:$Y$1005,1))</f>
        <v>0</v>
      </c>
      <c r="AD629" s="96">
        <f>IF(R629=0,0,COUNTIFS('VÍNCULOS_CDF'!$R$6:$R$1005,A629,'VÍNCULOS_CDF'!$N$6:$N$1005,1))</f>
        <v>0</v>
      </c>
      <c r="AE629" s="96">
        <f>IF(R629=0,0,COUNTIFS('VÍNCULOS_CDF'!$R$6:$R$1005,A629,'VÍNCULOS_CDF'!$AA$6:$AA$1005,1))</f>
        <v>0</v>
      </c>
      <c r="AF629" s="96">
        <f>IF(R629=0,0,COUNTIFS('VÍNCULOS_CDF'!$R$6:$R$1005,A629,'VÍNCULOS_CDF'!$Y$6:$Y$1005,1))</f>
        <v>0</v>
      </c>
      <c r="AG629" s="96" t="str">
        <f>IF(AND(R629=1,S629&lt;&gt;"",C629&lt;&gt;""),S629&amp;"|"&amp;C629&amp;"|"&amp;G629&amp;"|"&amp;H629,"")</f>
        <v/>
      </c>
      <c r="AH629" s="96">
        <f>IF(AG629="",0,IF(SUMPRODUCT(--($AG$6:$AG$1005=AG629))&gt;1,1,0))</f>
        <v>0</v>
      </c>
      <c r="AI629" s="96">
        <f>IF(R629=0,0,IF(OR(U629=0,V629=0,Y629=0,AND(AH629=1,K629&lt;&gt;"Sim")),1,0))</f>
        <v>0</v>
      </c>
      <c r="AJ629" s="96">
        <f>IF(AND(R629=1,AA629&gt;0,AB629=AA629),1,0)</f>
        <v>0</v>
      </c>
      <c r="AK629" s="96">
        <f>IF(R629=0,0,IF(AA629&gt;0,N(L629),IF(ISNUMBER(I629),I629,0)))</f>
        <v>0</v>
      </c>
      <c r="AL629" s="96">
        <f>IF(R629=0,0,IF(AND(K629&lt;&gt;"Sim",N(M629)&gt;AK629+cfg_tol),1,0))</f>
        <v>0</v>
      </c>
      <c r="AM629" s="96">
        <f>IF(R629=0,0,IF(K629="Sim",0,IF(OR(AND(AA629&gt;0,ISNUMBER(I629),ABS(I629-N(L629))&gt;cfg_tol),AL629=1),1,0)))</f>
        <v>0</v>
      </c>
      <c r="AN629" s="96">
        <f>IF(AND(R629=1,N(M629)&gt;0,OR(N(M629)&gt;=AK629-cfg_tol,K629="Sim")),1,0)</f>
        <v>0</v>
      </c>
      <c r="AO629" s="96">
        <f>IF(AND(AN629=1,AD629&gt;0,AE629=AD629,AL629=0),1,0)</f>
        <v>0</v>
      </c>
      <c r="AP629" s="96">
        <f>IF(U629=0,0,IF(AND(INDEX('MTRs'!$AX$6:$AX$505,T629)=1,Z629=0,OR(f_res="",f_res="(Todos)",C629=f_res)),1,0))</f>
        <v>0</v>
      </c>
      <c r="AQ629" s="97" t="str">
        <f>IF(U629=0,"",INDEX('MTRs'!$AZ$6:$AZ$505,T629))</f>
        <v/>
      </c>
      <c r="AR629" s="96">
        <f>IF(U629=0,0,IF(AND(INDEX('MTRs'!$BA$6:$BA$505,T629)=1,Z629=0),1,0))</f>
        <v>0</v>
      </c>
      <c r="AS629" s="96" t="str">
        <f>IF(R629=1,A629&amp;" | MTR "&amp;IF(U629=1,INDEX('MTRs'!$B$6:$B$505,T629)&amp;"","?")&amp;" | "&amp;IF(C629="","(sem resíduo)",C629),"")</f>
        <v/>
      </c>
      <c r="AT629" s="96" t="str">
        <f>IF(R629=1,COUNTIF($R$6:R629,1),"")</f>
        <v/>
      </c>
      <c r="AU629" s="96" t="str">
        <f>IF(U629=1,INDEX('MTRs'!$I$6:$I$505,T629)&amp;"","")</f>
        <v/>
      </c>
    </row>
    <row r="630">
      <c r="A630" s="89" t="inlineStr">
        <is>
          <t>IT-000625</t>
        </is>
      </c>
      <c r="B630" s="91" t="n"/>
      <c r="C630" s="91" t="n"/>
      <c r="D630" s="94" t="str">
        <f>IF(OR(R630=0,V630=0),"",INDEX('CAD_RESÍDUOS'!$E$6:$E$205,MATCH(C630,'CAD_RESÍDUOS'!$B$6:$B$205,0))&amp;"")</f>
        <v/>
      </c>
      <c r="E630" s="94" t="str">
        <f>IF(OR(R630=0,V630=0),"",INDEX('CAD_RESÍDUOS'!$C$6:$C$205,MATCH(C630,'CAD_RESÍDUOS'!$B$6:$B$205,0))&amp;"")</f>
        <v/>
      </c>
      <c r="F630" s="94" t="str">
        <f>IF(OR(R630=0,V630=0),"",INDEX('CAD_RESÍDUOS'!$G$6:$G$205,MATCH(C630,'CAD_RESÍDUOS'!$B$6:$B$205,0))&amp;"")</f>
        <v/>
      </c>
      <c r="G630" s="98" t="n"/>
      <c r="H630" s="91" t="n"/>
      <c r="I630" s="93" t="str">
        <f>IF(R630=0,"",IF(NOT(ISNUMBER(G630)),"",IF(ISNUMBER(X630),G630*X630,"UNIDADE A CONFERIR")))</f>
        <v/>
      </c>
      <c r="J630" s="91" t="n"/>
      <c r="K630" s="91" t="n"/>
      <c r="L630" s="93" t="str">
        <f>IF(R630=0,"",SUMIFS('RECEBIMENTOS'!$H$6:$H$1005,'RECEBIMENTOS'!$R$6:$R$1005,A630,'RECEBIMENTOS'!$X$6:$X$1005,1))</f>
        <v/>
      </c>
      <c r="M630" s="93" t="str">
        <f>IF(R630=0,"",SUMIFS('VÍNCULOS_CDF'!$H$6:$H$1005,'VÍNCULOS_CDF'!$R$6:$R$1005,A630,'VÍNCULOS_CDF'!$V$6:$V$1005,1))</f>
        <v/>
      </c>
      <c r="N630" s="99" t="str">
        <f>IF(OR(R630=0,AA630=0,NOT(ISNUMBER(I630))),"",I630-N(L630))</f>
        <v/>
      </c>
      <c r="O630" s="100" t="str">
        <f>IF(OR(R630=0,AK630&lt;=0),"",N(M630)/AK630)</f>
        <v/>
      </c>
      <c r="P630" s="94" t="str">
        <f>IF(R630=0,"",IF(S630="","Sem MTR associado",IF(U630=0,"MTR inexistente",IF(C630="","Resíduo não identificado",IF(V630=0,"Resíduo fora do cadastro",IF(W630=0,"Quantidade inválida",IF(H630="","Unidade não informada",IF(NOT(ISNUMBER(I630)),"Unidade a conferir",IF(AND(AH630=1,K630&lt;&gt;"Sim"),"Possível duplicidade",IF(Z630=1,"MTR cancelado",IF(AC630&gt;0,"Recebimento com alerta",IF(AA630=0,"Aguardando recebimento",IF(AB630&lt;AA630,"Recebimento a conferir",IF(AM630=1,"Quantidade a revisar",IF(AF630&gt;0,"Vínculo a revisar",IF(AD630=0,"Aguardando CDF",IF(AN630=0,"Vínculo de CDF parcial",IF(AE630&lt;AD630,"CDF a conferir","Documentação conferida"))))))))))))))))))</f>
        <v/>
      </c>
      <c r="Q630" s="93" t="str">
        <f>IF(OR(R630=0,AA630=0),"",MAX(0,N(L630)-N(M630)))</f>
        <v/>
      </c>
      <c r="R630" s="96">
        <f>IF(COUNTA(B630:C630,G630:H630,J630:K630)&gt;0,1,0)</f>
        <v>0</v>
      </c>
      <c r="S630" s="96" t="str">
        <f>IF(B630="","",TRIM(LEFT(B630,FIND(" |",B630&amp;" |")-1)))</f>
        <v/>
      </c>
      <c r="T630" s="96" t="str">
        <f>IF(S630="","",IFERROR(MATCH(S630,'MTRs'!$A$6:$A$505,0),""))</f>
        <v/>
      </c>
      <c r="U630" s="96">
        <f>IF(T630="",0,IF(INDEX('MTRs'!$Z$6:$Z$505,T630)=1,1,0))</f>
        <v>0</v>
      </c>
      <c r="V630" s="96">
        <f>IF(C630="",0,IF(ISNUMBER(MATCH(C630,'CAD_RESÍDUOS'!$B$6:$B$205,0)),1,0))</f>
        <v>0</v>
      </c>
      <c r="W630" s="96">
        <f>IF(AND(ISNUMBER(G630),G630&gt;0),1,0)</f>
        <v>0</v>
      </c>
      <c r="X630" s="96" t="str">
        <f>IF(H630="","",IFERROR(IF(ISNUMBER(INDEX(cfg_fac,MATCH(H630,cfg_units,0))),IF(INDEX(cfg_fac,MATCH(H630,cfg_units,0))&gt;0,INDEX(cfg_fac,MATCH(H630,cfg_units,0)),""),""),""))</f>
        <v/>
      </c>
      <c r="Y630" s="96">
        <f>IF(AND(W630=1,ISNUMBER(I630)),1,0)</f>
        <v>0</v>
      </c>
      <c r="Z630" s="96">
        <f>IF(U630=1,INDEX('MTRs'!$AA$6:$AA$505,T630),0)</f>
        <v>0</v>
      </c>
      <c r="AA630" s="96">
        <f>IF(R630=0,0,COUNTIFS('RECEBIMENTOS'!$R$6:$R$1005,A630,'RECEBIMENTOS'!$Q$6:$Q$1005,1))</f>
        <v>0</v>
      </c>
      <c r="AB630" s="96">
        <f>IF(R630=0,0,COUNTIFS('RECEBIMENTOS'!$R$6:$R$1005,A630,'RECEBIMENTOS'!$Z$6:$Z$1005,1))</f>
        <v>0</v>
      </c>
      <c r="AC630" s="96">
        <f>IF(R630=0,0,COUNTIFS('RECEBIMENTOS'!$R$6:$R$1005,A630,'RECEBIMENTOS'!$Y$6:$Y$1005,1))</f>
        <v>0</v>
      </c>
      <c r="AD630" s="96">
        <f>IF(R630=0,0,COUNTIFS('VÍNCULOS_CDF'!$R$6:$R$1005,A630,'VÍNCULOS_CDF'!$N$6:$N$1005,1))</f>
        <v>0</v>
      </c>
      <c r="AE630" s="96">
        <f>IF(R630=0,0,COUNTIFS('VÍNCULOS_CDF'!$R$6:$R$1005,A630,'VÍNCULOS_CDF'!$AA$6:$AA$1005,1))</f>
        <v>0</v>
      </c>
      <c r="AF630" s="96">
        <f>IF(R630=0,0,COUNTIFS('VÍNCULOS_CDF'!$R$6:$R$1005,A630,'VÍNCULOS_CDF'!$Y$6:$Y$1005,1))</f>
        <v>0</v>
      </c>
      <c r="AG630" s="96" t="str">
        <f>IF(AND(R630=1,S630&lt;&gt;"",C630&lt;&gt;""),S630&amp;"|"&amp;C630&amp;"|"&amp;G630&amp;"|"&amp;H630,"")</f>
        <v/>
      </c>
      <c r="AH630" s="96">
        <f>IF(AG630="",0,IF(SUMPRODUCT(--($AG$6:$AG$1005=AG630))&gt;1,1,0))</f>
        <v>0</v>
      </c>
      <c r="AI630" s="96">
        <f>IF(R630=0,0,IF(OR(U630=0,V630=0,Y630=0,AND(AH630=1,K630&lt;&gt;"Sim")),1,0))</f>
        <v>0</v>
      </c>
      <c r="AJ630" s="96">
        <f>IF(AND(R630=1,AA630&gt;0,AB630=AA630),1,0)</f>
        <v>0</v>
      </c>
      <c r="AK630" s="96">
        <f>IF(R630=0,0,IF(AA630&gt;0,N(L630),IF(ISNUMBER(I630),I630,0)))</f>
        <v>0</v>
      </c>
      <c r="AL630" s="96">
        <f>IF(R630=0,0,IF(AND(K630&lt;&gt;"Sim",N(M630)&gt;AK630+cfg_tol),1,0))</f>
        <v>0</v>
      </c>
      <c r="AM630" s="96">
        <f>IF(R630=0,0,IF(K630="Sim",0,IF(OR(AND(AA630&gt;0,ISNUMBER(I630),ABS(I630-N(L630))&gt;cfg_tol),AL630=1),1,0)))</f>
        <v>0</v>
      </c>
      <c r="AN630" s="96">
        <f>IF(AND(R630=1,N(M630)&gt;0,OR(N(M630)&gt;=AK630-cfg_tol,K630="Sim")),1,0)</f>
        <v>0</v>
      </c>
      <c r="AO630" s="96">
        <f>IF(AND(AN630=1,AD630&gt;0,AE630=AD630,AL630=0),1,0)</f>
        <v>0</v>
      </c>
      <c r="AP630" s="96">
        <f>IF(U630=0,0,IF(AND(INDEX('MTRs'!$AX$6:$AX$505,T630)=1,Z630=0,OR(f_res="",f_res="(Todos)",C630=f_res)),1,0))</f>
        <v>0</v>
      </c>
      <c r="AQ630" s="97" t="str">
        <f>IF(U630=0,"",INDEX('MTRs'!$AZ$6:$AZ$505,T630))</f>
        <v/>
      </c>
      <c r="AR630" s="96">
        <f>IF(U630=0,0,IF(AND(INDEX('MTRs'!$BA$6:$BA$505,T630)=1,Z630=0),1,0))</f>
        <v>0</v>
      </c>
      <c r="AS630" s="96" t="str">
        <f>IF(R630=1,A630&amp;" | MTR "&amp;IF(U630=1,INDEX('MTRs'!$B$6:$B$505,T630)&amp;"","?")&amp;" | "&amp;IF(C630="","(sem resíduo)",C630),"")</f>
        <v/>
      </c>
      <c r="AT630" s="96" t="str">
        <f>IF(R630=1,COUNTIF($R$6:R630,1),"")</f>
        <v/>
      </c>
      <c r="AU630" s="96" t="str">
        <f>IF(U630=1,INDEX('MTRs'!$I$6:$I$505,T630)&amp;"","")</f>
        <v/>
      </c>
    </row>
    <row r="631">
      <c r="A631" s="89" t="inlineStr">
        <is>
          <t>IT-000626</t>
        </is>
      </c>
      <c r="B631" s="91" t="n"/>
      <c r="C631" s="91" t="n"/>
      <c r="D631" s="94" t="str">
        <f>IF(OR(R631=0,V631=0),"",INDEX('CAD_RESÍDUOS'!$E$6:$E$205,MATCH(C631,'CAD_RESÍDUOS'!$B$6:$B$205,0))&amp;"")</f>
        <v/>
      </c>
      <c r="E631" s="94" t="str">
        <f>IF(OR(R631=0,V631=0),"",INDEX('CAD_RESÍDUOS'!$C$6:$C$205,MATCH(C631,'CAD_RESÍDUOS'!$B$6:$B$205,0))&amp;"")</f>
        <v/>
      </c>
      <c r="F631" s="94" t="str">
        <f>IF(OR(R631=0,V631=0),"",INDEX('CAD_RESÍDUOS'!$G$6:$G$205,MATCH(C631,'CAD_RESÍDUOS'!$B$6:$B$205,0))&amp;"")</f>
        <v/>
      </c>
      <c r="G631" s="98" t="n"/>
      <c r="H631" s="91" t="n"/>
      <c r="I631" s="93" t="str">
        <f>IF(R631=0,"",IF(NOT(ISNUMBER(G631)),"",IF(ISNUMBER(X631),G631*X631,"UNIDADE A CONFERIR")))</f>
        <v/>
      </c>
      <c r="J631" s="91" t="n"/>
      <c r="K631" s="91" t="n"/>
      <c r="L631" s="93" t="str">
        <f>IF(R631=0,"",SUMIFS('RECEBIMENTOS'!$H$6:$H$1005,'RECEBIMENTOS'!$R$6:$R$1005,A631,'RECEBIMENTOS'!$X$6:$X$1005,1))</f>
        <v/>
      </c>
      <c r="M631" s="93" t="str">
        <f>IF(R631=0,"",SUMIFS('VÍNCULOS_CDF'!$H$6:$H$1005,'VÍNCULOS_CDF'!$R$6:$R$1005,A631,'VÍNCULOS_CDF'!$V$6:$V$1005,1))</f>
        <v/>
      </c>
      <c r="N631" s="99" t="str">
        <f>IF(OR(R631=0,AA631=0,NOT(ISNUMBER(I631))),"",I631-N(L631))</f>
        <v/>
      </c>
      <c r="O631" s="100" t="str">
        <f>IF(OR(R631=0,AK631&lt;=0),"",N(M631)/AK631)</f>
        <v/>
      </c>
      <c r="P631" s="94" t="str">
        <f>IF(R631=0,"",IF(S631="","Sem MTR associado",IF(U631=0,"MTR inexistente",IF(C631="","Resíduo não identificado",IF(V631=0,"Resíduo fora do cadastro",IF(W631=0,"Quantidade inválida",IF(H631="","Unidade não informada",IF(NOT(ISNUMBER(I631)),"Unidade a conferir",IF(AND(AH631=1,K631&lt;&gt;"Sim"),"Possível duplicidade",IF(Z631=1,"MTR cancelado",IF(AC631&gt;0,"Recebimento com alerta",IF(AA631=0,"Aguardando recebimento",IF(AB631&lt;AA631,"Recebimento a conferir",IF(AM631=1,"Quantidade a revisar",IF(AF631&gt;0,"Vínculo a revisar",IF(AD631=0,"Aguardando CDF",IF(AN631=0,"Vínculo de CDF parcial",IF(AE631&lt;AD631,"CDF a conferir","Documentação conferida"))))))))))))))))))</f>
        <v/>
      </c>
      <c r="Q631" s="93" t="str">
        <f>IF(OR(R631=0,AA631=0),"",MAX(0,N(L631)-N(M631)))</f>
        <v/>
      </c>
      <c r="R631" s="96">
        <f>IF(COUNTA(B631:C631,G631:H631,J631:K631)&gt;0,1,0)</f>
        <v>0</v>
      </c>
      <c r="S631" s="96" t="str">
        <f>IF(B631="","",TRIM(LEFT(B631,FIND(" |",B631&amp;" |")-1)))</f>
        <v/>
      </c>
      <c r="T631" s="96" t="str">
        <f>IF(S631="","",IFERROR(MATCH(S631,'MTRs'!$A$6:$A$505,0),""))</f>
        <v/>
      </c>
      <c r="U631" s="96">
        <f>IF(T631="",0,IF(INDEX('MTRs'!$Z$6:$Z$505,T631)=1,1,0))</f>
        <v>0</v>
      </c>
      <c r="V631" s="96">
        <f>IF(C631="",0,IF(ISNUMBER(MATCH(C631,'CAD_RESÍDUOS'!$B$6:$B$205,0)),1,0))</f>
        <v>0</v>
      </c>
      <c r="W631" s="96">
        <f>IF(AND(ISNUMBER(G631),G631&gt;0),1,0)</f>
        <v>0</v>
      </c>
      <c r="X631" s="96" t="str">
        <f>IF(H631="","",IFERROR(IF(ISNUMBER(INDEX(cfg_fac,MATCH(H631,cfg_units,0))),IF(INDEX(cfg_fac,MATCH(H631,cfg_units,0))&gt;0,INDEX(cfg_fac,MATCH(H631,cfg_units,0)),""),""),""))</f>
        <v/>
      </c>
      <c r="Y631" s="96">
        <f>IF(AND(W631=1,ISNUMBER(I631)),1,0)</f>
        <v>0</v>
      </c>
      <c r="Z631" s="96">
        <f>IF(U631=1,INDEX('MTRs'!$AA$6:$AA$505,T631),0)</f>
        <v>0</v>
      </c>
      <c r="AA631" s="96">
        <f>IF(R631=0,0,COUNTIFS('RECEBIMENTOS'!$R$6:$R$1005,A631,'RECEBIMENTOS'!$Q$6:$Q$1005,1))</f>
        <v>0</v>
      </c>
      <c r="AB631" s="96">
        <f>IF(R631=0,0,COUNTIFS('RECEBIMENTOS'!$R$6:$R$1005,A631,'RECEBIMENTOS'!$Z$6:$Z$1005,1))</f>
        <v>0</v>
      </c>
      <c r="AC631" s="96">
        <f>IF(R631=0,0,COUNTIFS('RECEBIMENTOS'!$R$6:$R$1005,A631,'RECEBIMENTOS'!$Y$6:$Y$1005,1))</f>
        <v>0</v>
      </c>
      <c r="AD631" s="96">
        <f>IF(R631=0,0,COUNTIFS('VÍNCULOS_CDF'!$R$6:$R$1005,A631,'VÍNCULOS_CDF'!$N$6:$N$1005,1))</f>
        <v>0</v>
      </c>
      <c r="AE631" s="96">
        <f>IF(R631=0,0,COUNTIFS('VÍNCULOS_CDF'!$R$6:$R$1005,A631,'VÍNCULOS_CDF'!$AA$6:$AA$1005,1))</f>
        <v>0</v>
      </c>
      <c r="AF631" s="96">
        <f>IF(R631=0,0,COUNTIFS('VÍNCULOS_CDF'!$R$6:$R$1005,A631,'VÍNCULOS_CDF'!$Y$6:$Y$1005,1))</f>
        <v>0</v>
      </c>
      <c r="AG631" s="96" t="str">
        <f>IF(AND(R631=1,S631&lt;&gt;"",C631&lt;&gt;""),S631&amp;"|"&amp;C631&amp;"|"&amp;G631&amp;"|"&amp;H631,"")</f>
        <v/>
      </c>
      <c r="AH631" s="96">
        <f>IF(AG631="",0,IF(SUMPRODUCT(--($AG$6:$AG$1005=AG631))&gt;1,1,0))</f>
        <v>0</v>
      </c>
      <c r="AI631" s="96">
        <f>IF(R631=0,0,IF(OR(U631=0,V631=0,Y631=0,AND(AH631=1,K631&lt;&gt;"Sim")),1,0))</f>
        <v>0</v>
      </c>
      <c r="AJ631" s="96">
        <f>IF(AND(R631=1,AA631&gt;0,AB631=AA631),1,0)</f>
        <v>0</v>
      </c>
      <c r="AK631" s="96">
        <f>IF(R631=0,0,IF(AA631&gt;0,N(L631),IF(ISNUMBER(I631),I631,0)))</f>
        <v>0</v>
      </c>
      <c r="AL631" s="96">
        <f>IF(R631=0,0,IF(AND(K631&lt;&gt;"Sim",N(M631)&gt;AK631+cfg_tol),1,0))</f>
        <v>0</v>
      </c>
      <c r="AM631" s="96">
        <f>IF(R631=0,0,IF(K631="Sim",0,IF(OR(AND(AA631&gt;0,ISNUMBER(I631),ABS(I631-N(L631))&gt;cfg_tol),AL631=1),1,0)))</f>
        <v>0</v>
      </c>
      <c r="AN631" s="96">
        <f>IF(AND(R631=1,N(M631)&gt;0,OR(N(M631)&gt;=AK631-cfg_tol,K631="Sim")),1,0)</f>
        <v>0</v>
      </c>
      <c r="AO631" s="96">
        <f>IF(AND(AN631=1,AD631&gt;0,AE631=AD631,AL631=0),1,0)</f>
        <v>0</v>
      </c>
      <c r="AP631" s="96">
        <f>IF(U631=0,0,IF(AND(INDEX('MTRs'!$AX$6:$AX$505,T631)=1,Z631=0,OR(f_res="",f_res="(Todos)",C631=f_res)),1,0))</f>
        <v>0</v>
      </c>
      <c r="AQ631" s="97" t="str">
        <f>IF(U631=0,"",INDEX('MTRs'!$AZ$6:$AZ$505,T631))</f>
        <v/>
      </c>
      <c r="AR631" s="96">
        <f>IF(U631=0,0,IF(AND(INDEX('MTRs'!$BA$6:$BA$505,T631)=1,Z631=0),1,0))</f>
        <v>0</v>
      </c>
      <c r="AS631" s="96" t="str">
        <f>IF(R631=1,A631&amp;" | MTR "&amp;IF(U631=1,INDEX('MTRs'!$B$6:$B$505,T631)&amp;"","?")&amp;" | "&amp;IF(C631="","(sem resíduo)",C631),"")</f>
        <v/>
      </c>
      <c r="AT631" s="96" t="str">
        <f>IF(R631=1,COUNTIF($R$6:R631,1),"")</f>
        <v/>
      </c>
      <c r="AU631" s="96" t="str">
        <f>IF(U631=1,INDEX('MTRs'!$I$6:$I$505,T631)&amp;"","")</f>
        <v/>
      </c>
    </row>
    <row r="632">
      <c r="A632" s="89" t="inlineStr">
        <is>
          <t>IT-000627</t>
        </is>
      </c>
      <c r="B632" s="91" t="n"/>
      <c r="C632" s="91" t="n"/>
      <c r="D632" s="94" t="str">
        <f>IF(OR(R632=0,V632=0),"",INDEX('CAD_RESÍDUOS'!$E$6:$E$205,MATCH(C632,'CAD_RESÍDUOS'!$B$6:$B$205,0))&amp;"")</f>
        <v/>
      </c>
      <c r="E632" s="94" t="str">
        <f>IF(OR(R632=0,V632=0),"",INDEX('CAD_RESÍDUOS'!$C$6:$C$205,MATCH(C632,'CAD_RESÍDUOS'!$B$6:$B$205,0))&amp;"")</f>
        <v/>
      </c>
      <c r="F632" s="94" t="str">
        <f>IF(OR(R632=0,V632=0),"",INDEX('CAD_RESÍDUOS'!$G$6:$G$205,MATCH(C632,'CAD_RESÍDUOS'!$B$6:$B$205,0))&amp;"")</f>
        <v/>
      </c>
      <c r="G632" s="98" t="n"/>
      <c r="H632" s="91" t="n"/>
      <c r="I632" s="93" t="str">
        <f>IF(R632=0,"",IF(NOT(ISNUMBER(G632)),"",IF(ISNUMBER(X632),G632*X632,"UNIDADE A CONFERIR")))</f>
        <v/>
      </c>
      <c r="J632" s="91" t="n"/>
      <c r="K632" s="91" t="n"/>
      <c r="L632" s="93" t="str">
        <f>IF(R632=0,"",SUMIFS('RECEBIMENTOS'!$H$6:$H$1005,'RECEBIMENTOS'!$R$6:$R$1005,A632,'RECEBIMENTOS'!$X$6:$X$1005,1))</f>
        <v/>
      </c>
      <c r="M632" s="93" t="str">
        <f>IF(R632=0,"",SUMIFS('VÍNCULOS_CDF'!$H$6:$H$1005,'VÍNCULOS_CDF'!$R$6:$R$1005,A632,'VÍNCULOS_CDF'!$V$6:$V$1005,1))</f>
        <v/>
      </c>
      <c r="N632" s="99" t="str">
        <f>IF(OR(R632=0,AA632=0,NOT(ISNUMBER(I632))),"",I632-N(L632))</f>
        <v/>
      </c>
      <c r="O632" s="100" t="str">
        <f>IF(OR(R632=0,AK632&lt;=0),"",N(M632)/AK632)</f>
        <v/>
      </c>
      <c r="P632" s="94" t="str">
        <f>IF(R632=0,"",IF(S632="","Sem MTR associado",IF(U632=0,"MTR inexistente",IF(C632="","Resíduo não identificado",IF(V632=0,"Resíduo fora do cadastro",IF(W632=0,"Quantidade inválida",IF(H632="","Unidade não informada",IF(NOT(ISNUMBER(I632)),"Unidade a conferir",IF(AND(AH632=1,K632&lt;&gt;"Sim"),"Possível duplicidade",IF(Z632=1,"MTR cancelado",IF(AC632&gt;0,"Recebimento com alerta",IF(AA632=0,"Aguardando recebimento",IF(AB632&lt;AA632,"Recebimento a conferir",IF(AM632=1,"Quantidade a revisar",IF(AF632&gt;0,"Vínculo a revisar",IF(AD632=0,"Aguardando CDF",IF(AN632=0,"Vínculo de CDF parcial",IF(AE632&lt;AD632,"CDF a conferir","Documentação conferida"))))))))))))))))))</f>
        <v/>
      </c>
      <c r="Q632" s="93" t="str">
        <f>IF(OR(R632=0,AA632=0),"",MAX(0,N(L632)-N(M632)))</f>
        <v/>
      </c>
      <c r="R632" s="96">
        <f>IF(COUNTA(B632:C632,G632:H632,J632:K632)&gt;0,1,0)</f>
        <v>0</v>
      </c>
      <c r="S632" s="96" t="str">
        <f>IF(B632="","",TRIM(LEFT(B632,FIND(" |",B632&amp;" |")-1)))</f>
        <v/>
      </c>
      <c r="T632" s="96" t="str">
        <f>IF(S632="","",IFERROR(MATCH(S632,'MTRs'!$A$6:$A$505,0),""))</f>
        <v/>
      </c>
      <c r="U632" s="96">
        <f>IF(T632="",0,IF(INDEX('MTRs'!$Z$6:$Z$505,T632)=1,1,0))</f>
        <v>0</v>
      </c>
      <c r="V632" s="96">
        <f>IF(C632="",0,IF(ISNUMBER(MATCH(C632,'CAD_RESÍDUOS'!$B$6:$B$205,0)),1,0))</f>
        <v>0</v>
      </c>
      <c r="W632" s="96">
        <f>IF(AND(ISNUMBER(G632),G632&gt;0),1,0)</f>
        <v>0</v>
      </c>
      <c r="X632" s="96" t="str">
        <f>IF(H632="","",IFERROR(IF(ISNUMBER(INDEX(cfg_fac,MATCH(H632,cfg_units,0))),IF(INDEX(cfg_fac,MATCH(H632,cfg_units,0))&gt;0,INDEX(cfg_fac,MATCH(H632,cfg_units,0)),""),""),""))</f>
        <v/>
      </c>
      <c r="Y632" s="96">
        <f>IF(AND(W632=1,ISNUMBER(I632)),1,0)</f>
        <v>0</v>
      </c>
      <c r="Z632" s="96">
        <f>IF(U632=1,INDEX('MTRs'!$AA$6:$AA$505,T632),0)</f>
        <v>0</v>
      </c>
      <c r="AA632" s="96">
        <f>IF(R632=0,0,COUNTIFS('RECEBIMENTOS'!$R$6:$R$1005,A632,'RECEBIMENTOS'!$Q$6:$Q$1005,1))</f>
        <v>0</v>
      </c>
      <c r="AB632" s="96">
        <f>IF(R632=0,0,COUNTIFS('RECEBIMENTOS'!$R$6:$R$1005,A632,'RECEBIMENTOS'!$Z$6:$Z$1005,1))</f>
        <v>0</v>
      </c>
      <c r="AC632" s="96">
        <f>IF(R632=0,0,COUNTIFS('RECEBIMENTOS'!$R$6:$R$1005,A632,'RECEBIMENTOS'!$Y$6:$Y$1005,1))</f>
        <v>0</v>
      </c>
      <c r="AD632" s="96">
        <f>IF(R632=0,0,COUNTIFS('VÍNCULOS_CDF'!$R$6:$R$1005,A632,'VÍNCULOS_CDF'!$N$6:$N$1005,1))</f>
        <v>0</v>
      </c>
      <c r="AE632" s="96">
        <f>IF(R632=0,0,COUNTIFS('VÍNCULOS_CDF'!$R$6:$R$1005,A632,'VÍNCULOS_CDF'!$AA$6:$AA$1005,1))</f>
        <v>0</v>
      </c>
      <c r="AF632" s="96">
        <f>IF(R632=0,0,COUNTIFS('VÍNCULOS_CDF'!$R$6:$R$1005,A632,'VÍNCULOS_CDF'!$Y$6:$Y$1005,1))</f>
        <v>0</v>
      </c>
      <c r="AG632" s="96" t="str">
        <f>IF(AND(R632=1,S632&lt;&gt;"",C632&lt;&gt;""),S632&amp;"|"&amp;C632&amp;"|"&amp;G632&amp;"|"&amp;H632,"")</f>
        <v/>
      </c>
      <c r="AH632" s="96">
        <f>IF(AG632="",0,IF(SUMPRODUCT(--($AG$6:$AG$1005=AG632))&gt;1,1,0))</f>
        <v>0</v>
      </c>
      <c r="AI632" s="96">
        <f>IF(R632=0,0,IF(OR(U632=0,V632=0,Y632=0,AND(AH632=1,K632&lt;&gt;"Sim")),1,0))</f>
        <v>0</v>
      </c>
      <c r="AJ632" s="96">
        <f>IF(AND(R632=1,AA632&gt;0,AB632=AA632),1,0)</f>
        <v>0</v>
      </c>
      <c r="AK632" s="96">
        <f>IF(R632=0,0,IF(AA632&gt;0,N(L632),IF(ISNUMBER(I632),I632,0)))</f>
        <v>0</v>
      </c>
      <c r="AL632" s="96">
        <f>IF(R632=0,0,IF(AND(K632&lt;&gt;"Sim",N(M632)&gt;AK632+cfg_tol),1,0))</f>
        <v>0</v>
      </c>
      <c r="AM632" s="96">
        <f>IF(R632=0,0,IF(K632="Sim",0,IF(OR(AND(AA632&gt;0,ISNUMBER(I632),ABS(I632-N(L632))&gt;cfg_tol),AL632=1),1,0)))</f>
        <v>0</v>
      </c>
      <c r="AN632" s="96">
        <f>IF(AND(R632=1,N(M632)&gt;0,OR(N(M632)&gt;=AK632-cfg_tol,K632="Sim")),1,0)</f>
        <v>0</v>
      </c>
      <c r="AO632" s="96">
        <f>IF(AND(AN632=1,AD632&gt;0,AE632=AD632,AL632=0),1,0)</f>
        <v>0</v>
      </c>
      <c r="AP632" s="96">
        <f>IF(U632=0,0,IF(AND(INDEX('MTRs'!$AX$6:$AX$505,T632)=1,Z632=0,OR(f_res="",f_res="(Todos)",C632=f_res)),1,0))</f>
        <v>0</v>
      </c>
      <c r="AQ632" s="97" t="str">
        <f>IF(U632=0,"",INDEX('MTRs'!$AZ$6:$AZ$505,T632))</f>
        <v/>
      </c>
      <c r="AR632" s="96">
        <f>IF(U632=0,0,IF(AND(INDEX('MTRs'!$BA$6:$BA$505,T632)=1,Z632=0),1,0))</f>
        <v>0</v>
      </c>
      <c r="AS632" s="96" t="str">
        <f>IF(R632=1,A632&amp;" | MTR "&amp;IF(U632=1,INDEX('MTRs'!$B$6:$B$505,T632)&amp;"","?")&amp;" | "&amp;IF(C632="","(sem resíduo)",C632),"")</f>
        <v/>
      </c>
      <c r="AT632" s="96" t="str">
        <f>IF(R632=1,COUNTIF($R$6:R632,1),"")</f>
        <v/>
      </c>
      <c r="AU632" s="96" t="str">
        <f>IF(U632=1,INDEX('MTRs'!$I$6:$I$505,T632)&amp;"","")</f>
        <v/>
      </c>
    </row>
    <row r="633">
      <c r="A633" s="89" t="inlineStr">
        <is>
          <t>IT-000628</t>
        </is>
      </c>
      <c r="B633" s="91" t="n"/>
      <c r="C633" s="91" t="n"/>
      <c r="D633" s="94" t="str">
        <f>IF(OR(R633=0,V633=0),"",INDEX('CAD_RESÍDUOS'!$E$6:$E$205,MATCH(C633,'CAD_RESÍDUOS'!$B$6:$B$205,0))&amp;"")</f>
        <v/>
      </c>
      <c r="E633" s="94" t="str">
        <f>IF(OR(R633=0,V633=0),"",INDEX('CAD_RESÍDUOS'!$C$6:$C$205,MATCH(C633,'CAD_RESÍDUOS'!$B$6:$B$205,0))&amp;"")</f>
        <v/>
      </c>
      <c r="F633" s="94" t="str">
        <f>IF(OR(R633=0,V633=0),"",INDEX('CAD_RESÍDUOS'!$G$6:$G$205,MATCH(C633,'CAD_RESÍDUOS'!$B$6:$B$205,0))&amp;"")</f>
        <v/>
      </c>
      <c r="G633" s="98" t="n"/>
      <c r="H633" s="91" t="n"/>
      <c r="I633" s="93" t="str">
        <f>IF(R633=0,"",IF(NOT(ISNUMBER(G633)),"",IF(ISNUMBER(X633),G633*X633,"UNIDADE A CONFERIR")))</f>
        <v/>
      </c>
      <c r="J633" s="91" t="n"/>
      <c r="K633" s="91" t="n"/>
      <c r="L633" s="93" t="str">
        <f>IF(R633=0,"",SUMIFS('RECEBIMENTOS'!$H$6:$H$1005,'RECEBIMENTOS'!$R$6:$R$1005,A633,'RECEBIMENTOS'!$X$6:$X$1005,1))</f>
        <v/>
      </c>
      <c r="M633" s="93" t="str">
        <f>IF(R633=0,"",SUMIFS('VÍNCULOS_CDF'!$H$6:$H$1005,'VÍNCULOS_CDF'!$R$6:$R$1005,A633,'VÍNCULOS_CDF'!$V$6:$V$1005,1))</f>
        <v/>
      </c>
      <c r="N633" s="99" t="str">
        <f>IF(OR(R633=0,AA633=0,NOT(ISNUMBER(I633))),"",I633-N(L633))</f>
        <v/>
      </c>
      <c r="O633" s="100" t="str">
        <f>IF(OR(R633=0,AK633&lt;=0),"",N(M633)/AK633)</f>
        <v/>
      </c>
      <c r="P633" s="94" t="str">
        <f>IF(R633=0,"",IF(S633="","Sem MTR associado",IF(U633=0,"MTR inexistente",IF(C633="","Resíduo não identificado",IF(V633=0,"Resíduo fora do cadastro",IF(W633=0,"Quantidade inválida",IF(H633="","Unidade não informada",IF(NOT(ISNUMBER(I633)),"Unidade a conferir",IF(AND(AH633=1,K633&lt;&gt;"Sim"),"Possível duplicidade",IF(Z633=1,"MTR cancelado",IF(AC633&gt;0,"Recebimento com alerta",IF(AA633=0,"Aguardando recebimento",IF(AB633&lt;AA633,"Recebimento a conferir",IF(AM633=1,"Quantidade a revisar",IF(AF633&gt;0,"Vínculo a revisar",IF(AD633=0,"Aguardando CDF",IF(AN633=0,"Vínculo de CDF parcial",IF(AE633&lt;AD633,"CDF a conferir","Documentação conferida"))))))))))))))))))</f>
        <v/>
      </c>
      <c r="Q633" s="93" t="str">
        <f>IF(OR(R633=0,AA633=0),"",MAX(0,N(L633)-N(M633)))</f>
        <v/>
      </c>
      <c r="R633" s="96">
        <f>IF(COUNTA(B633:C633,G633:H633,J633:K633)&gt;0,1,0)</f>
        <v>0</v>
      </c>
      <c r="S633" s="96" t="str">
        <f>IF(B633="","",TRIM(LEFT(B633,FIND(" |",B633&amp;" |")-1)))</f>
        <v/>
      </c>
      <c r="T633" s="96" t="str">
        <f>IF(S633="","",IFERROR(MATCH(S633,'MTRs'!$A$6:$A$505,0),""))</f>
        <v/>
      </c>
      <c r="U633" s="96">
        <f>IF(T633="",0,IF(INDEX('MTRs'!$Z$6:$Z$505,T633)=1,1,0))</f>
        <v>0</v>
      </c>
      <c r="V633" s="96">
        <f>IF(C633="",0,IF(ISNUMBER(MATCH(C633,'CAD_RESÍDUOS'!$B$6:$B$205,0)),1,0))</f>
        <v>0</v>
      </c>
      <c r="W633" s="96">
        <f>IF(AND(ISNUMBER(G633),G633&gt;0),1,0)</f>
        <v>0</v>
      </c>
      <c r="X633" s="96" t="str">
        <f>IF(H633="","",IFERROR(IF(ISNUMBER(INDEX(cfg_fac,MATCH(H633,cfg_units,0))),IF(INDEX(cfg_fac,MATCH(H633,cfg_units,0))&gt;0,INDEX(cfg_fac,MATCH(H633,cfg_units,0)),""),""),""))</f>
        <v/>
      </c>
      <c r="Y633" s="96">
        <f>IF(AND(W633=1,ISNUMBER(I633)),1,0)</f>
        <v>0</v>
      </c>
      <c r="Z633" s="96">
        <f>IF(U633=1,INDEX('MTRs'!$AA$6:$AA$505,T633),0)</f>
        <v>0</v>
      </c>
      <c r="AA633" s="96">
        <f>IF(R633=0,0,COUNTIFS('RECEBIMENTOS'!$R$6:$R$1005,A633,'RECEBIMENTOS'!$Q$6:$Q$1005,1))</f>
        <v>0</v>
      </c>
      <c r="AB633" s="96">
        <f>IF(R633=0,0,COUNTIFS('RECEBIMENTOS'!$R$6:$R$1005,A633,'RECEBIMENTOS'!$Z$6:$Z$1005,1))</f>
        <v>0</v>
      </c>
      <c r="AC633" s="96">
        <f>IF(R633=0,0,COUNTIFS('RECEBIMENTOS'!$R$6:$R$1005,A633,'RECEBIMENTOS'!$Y$6:$Y$1005,1))</f>
        <v>0</v>
      </c>
      <c r="AD633" s="96">
        <f>IF(R633=0,0,COUNTIFS('VÍNCULOS_CDF'!$R$6:$R$1005,A633,'VÍNCULOS_CDF'!$N$6:$N$1005,1))</f>
        <v>0</v>
      </c>
      <c r="AE633" s="96">
        <f>IF(R633=0,0,COUNTIFS('VÍNCULOS_CDF'!$R$6:$R$1005,A633,'VÍNCULOS_CDF'!$AA$6:$AA$1005,1))</f>
        <v>0</v>
      </c>
      <c r="AF633" s="96">
        <f>IF(R633=0,0,COUNTIFS('VÍNCULOS_CDF'!$R$6:$R$1005,A633,'VÍNCULOS_CDF'!$Y$6:$Y$1005,1))</f>
        <v>0</v>
      </c>
      <c r="AG633" s="96" t="str">
        <f>IF(AND(R633=1,S633&lt;&gt;"",C633&lt;&gt;""),S633&amp;"|"&amp;C633&amp;"|"&amp;G633&amp;"|"&amp;H633,"")</f>
        <v/>
      </c>
      <c r="AH633" s="96">
        <f>IF(AG633="",0,IF(SUMPRODUCT(--($AG$6:$AG$1005=AG633))&gt;1,1,0))</f>
        <v>0</v>
      </c>
      <c r="AI633" s="96">
        <f>IF(R633=0,0,IF(OR(U633=0,V633=0,Y633=0,AND(AH633=1,K633&lt;&gt;"Sim")),1,0))</f>
        <v>0</v>
      </c>
      <c r="AJ633" s="96">
        <f>IF(AND(R633=1,AA633&gt;0,AB633=AA633),1,0)</f>
        <v>0</v>
      </c>
      <c r="AK633" s="96">
        <f>IF(R633=0,0,IF(AA633&gt;0,N(L633),IF(ISNUMBER(I633),I633,0)))</f>
        <v>0</v>
      </c>
      <c r="AL633" s="96">
        <f>IF(R633=0,0,IF(AND(K633&lt;&gt;"Sim",N(M633)&gt;AK633+cfg_tol),1,0))</f>
        <v>0</v>
      </c>
      <c r="AM633" s="96">
        <f>IF(R633=0,0,IF(K633="Sim",0,IF(OR(AND(AA633&gt;0,ISNUMBER(I633),ABS(I633-N(L633))&gt;cfg_tol),AL633=1),1,0)))</f>
        <v>0</v>
      </c>
      <c r="AN633" s="96">
        <f>IF(AND(R633=1,N(M633)&gt;0,OR(N(M633)&gt;=AK633-cfg_tol,K633="Sim")),1,0)</f>
        <v>0</v>
      </c>
      <c r="AO633" s="96">
        <f>IF(AND(AN633=1,AD633&gt;0,AE633=AD633,AL633=0),1,0)</f>
        <v>0</v>
      </c>
      <c r="AP633" s="96">
        <f>IF(U633=0,0,IF(AND(INDEX('MTRs'!$AX$6:$AX$505,T633)=1,Z633=0,OR(f_res="",f_res="(Todos)",C633=f_res)),1,0))</f>
        <v>0</v>
      </c>
      <c r="AQ633" s="97" t="str">
        <f>IF(U633=0,"",INDEX('MTRs'!$AZ$6:$AZ$505,T633))</f>
        <v/>
      </c>
      <c r="AR633" s="96">
        <f>IF(U633=0,0,IF(AND(INDEX('MTRs'!$BA$6:$BA$505,T633)=1,Z633=0),1,0))</f>
        <v>0</v>
      </c>
      <c r="AS633" s="96" t="str">
        <f>IF(R633=1,A633&amp;" | MTR "&amp;IF(U633=1,INDEX('MTRs'!$B$6:$B$505,T633)&amp;"","?")&amp;" | "&amp;IF(C633="","(sem resíduo)",C633),"")</f>
        <v/>
      </c>
      <c r="AT633" s="96" t="str">
        <f>IF(R633=1,COUNTIF($R$6:R633,1),"")</f>
        <v/>
      </c>
      <c r="AU633" s="96" t="str">
        <f>IF(U633=1,INDEX('MTRs'!$I$6:$I$505,T633)&amp;"","")</f>
        <v/>
      </c>
    </row>
    <row r="634">
      <c r="A634" s="89" t="inlineStr">
        <is>
          <t>IT-000629</t>
        </is>
      </c>
      <c r="B634" s="91" t="n"/>
      <c r="C634" s="91" t="n"/>
      <c r="D634" s="94" t="str">
        <f>IF(OR(R634=0,V634=0),"",INDEX('CAD_RESÍDUOS'!$E$6:$E$205,MATCH(C634,'CAD_RESÍDUOS'!$B$6:$B$205,0))&amp;"")</f>
        <v/>
      </c>
      <c r="E634" s="94" t="str">
        <f>IF(OR(R634=0,V634=0),"",INDEX('CAD_RESÍDUOS'!$C$6:$C$205,MATCH(C634,'CAD_RESÍDUOS'!$B$6:$B$205,0))&amp;"")</f>
        <v/>
      </c>
      <c r="F634" s="94" t="str">
        <f>IF(OR(R634=0,V634=0),"",INDEX('CAD_RESÍDUOS'!$G$6:$G$205,MATCH(C634,'CAD_RESÍDUOS'!$B$6:$B$205,0))&amp;"")</f>
        <v/>
      </c>
      <c r="G634" s="98" t="n"/>
      <c r="H634" s="91" t="n"/>
      <c r="I634" s="93" t="str">
        <f>IF(R634=0,"",IF(NOT(ISNUMBER(G634)),"",IF(ISNUMBER(X634),G634*X634,"UNIDADE A CONFERIR")))</f>
        <v/>
      </c>
      <c r="J634" s="91" t="n"/>
      <c r="K634" s="91" t="n"/>
      <c r="L634" s="93" t="str">
        <f>IF(R634=0,"",SUMIFS('RECEBIMENTOS'!$H$6:$H$1005,'RECEBIMENTOS'!$R$6:$R$1005,A634,'RECEBIMENTOS'!$X$6:$X$1005,1))</f>
        <v/>
      </c>
      <c r="M634" s="93" t="str">
        <f>IF(R634=0,"",SUMIFS('VÍNCULOS_CDF'!$H$6:$H$1005,'VÍNCULOS_CDF'!$R$6:$R$1005,A634,'VÍNCULOS_CDF'!$V$6:$V$1005,1))</f>
        <v/>
      </c>
      <c r="N634" s="99" t="str">
        <f>IF(OR(R634=0,AA634=0,NOT(ISNUMBER(I634))),"",I634-N(L634))</f>
        <v/>
      </c>
      <c r="O634" s="100" t="str">
        <f>IF(OR(R634=0,AK634&lt;=0),"",N(M634)/AK634)</f>
        <v/>
      </c>
      <c r="P634" s="94" t="str">
        <f>IF(R634=0,"",IF(S634="","Sem MTR associado",IF(U634=0,"MTR inexistente",IF(C634="","Resíduo não identificado",IF(V634=0,"Resíduo fora do cadastro",IF(W634=0,"Quantidade inválida",IF(H634="","Unidade não informada",IF(NOT(ISNUMBER(I634)),"Unidade a conferir",IF(AND(AH634=1,K634&lt;&gt;"Sim"),"Possível duplicidade",IF(Z634=1,"MTR cancelado",IF(AC634&gt;0,"Recebimento com alerta",IF(AA634=0,"Aguardando recebimento",IF(AB634&lt;AA634,"Recebimento a conferir",IF(AM634=1,"Quantidade a revisar",IF(AF634&gt;0,"Vínculo a revisar",IF(AD634=0,"Aguardando CDF",IF(AN634=0,"Vínculo de CDF parcial",IF(AE634&lt;AD634,"CDF a conferir","Documentação conferida"))))))))))))))))))</f>
        <v/>
      </c>
      <c r="Q634" s="93" t="str">
        <f>IF(OR(R634=0,AA634=0),"",MAX(0,N(L634)-N(M634)))</f>
        <v/>
      </c>
      <c r="R634" s="96">
        <f>IF(COUNTA(B634:C634,G634:H634,J634:K634)&gt;0,1,0)</f>
        <v>0</v>
      </c>
      <c r="S634" s="96" t="str">
        <f>IF(B634="","",TRIM(LEFT(B634,FIND(" |",B634&amp;" |")-1)))</f>
        <v/>
      </c>
      <c r="T634" s="96" t="str">
        <f>IF(S634="","",IFERROR(MATCH(S634,'MTRs'!$A$6:$A$505,0),""))</f>
        <v/>
      </c>
      <c r="U634" s="96">
        <f>IF(T634="",0,IF(INDEX('MTRs'!$Z$6:$Z$505,T634)=1,1,0))</f>
        <v>0</v>
      </c>
      <c r="V634" s="96">
        <f>IF(C634="",0,IF(ISNUMBER(MATCH(C634,'CAD_RESÍDUOS'!$B$6:$B$205,0)),1,0))</f>
        <v>0</v>
      </c>
      <c r="W634" s="96">
        <f>IF(AND(ISNUMBER(G634),G634&gt;0),1,0)</f>
        <v>0</v>
      </c>
      <c r="X634" s="96" t="str">
        <f>IF(H634="","",IFERROR(IF(ISNUMBER(INDEX(cfg_fac,MATCH(H634,cfg_units,0))),IF(INDEX(cfg_fac,MATCH(H634,cfg_units,0))&gt;0,INDEX(cfg_fac,MATCH(H634,cfg_units,0)),""),""),""))</f>
        <v/>
      </c>
      <c r="Y634" s="96">
        <f>IF(AND(W634=1,ISNUMBER(I634)),1,0)</f>
        <v>0</v>
      </c>
      <c r="Z634" s="96">
        <f>IF(U634=1,INDEX('MTRs'!$AA$6:$AA$505,T634),0)</f>
        <v>0</v>
      </c>
      <c r="AA634" s="96">
        <f>IF(R634=0,0,COUNTIFS('RECEBIMENTOS'!$R$6:$R$1005,A634,'RECEBIMENTOS'!$Q$6:$Q$1005,1))</f>
        <v>0</v>
      </c>
      <c r="AB634" s="96">
        <f>IF(R634=0,0,COUNTIFS('RECEBIMENTOS'!$R$6:$R$1005,A634,'RECEBIMENTOS'!$Z$6:$Z$1005,1))</f>
        <v>0</v>
      </c>
      <c r="AC634" s="96">
        <f>IF(R634=0,0,COUNTIFS('RECEBIMENTOS'!$R$6:$R$1005,A634,'RECEBIMENTOS'!$Y$6:$Y$1005,1))</f>
        <v>0</v>
      </c>
      <c r="AD634" s="96">
        <f>IF(R634=0,0,COUNTIFS('VÍNCULOS_CDF'!$R$6:$R$1005,A634,'VÍNCULOS_CDF'!$N$6:$N$1005,1))</f>
        <v>0</v>
      </c>
      <c r="AE634" s="96">
        <f>IF(R634=0,0,COUNTIFS('VÍNCULOS_CDF'!$R$6:$R$1005,A634,'VÍNCULOS_CDF'!$AA$6:$AA$1005,1))</f>
        <v>0</v>
      </c>
      <c r="AF634" s="96">
        <f>IF(R634=0,0,COUNTIFS('VÍNCULOS_CDF'!$R$6:$R$1005,A634,'VÍNCULOS_CDF'!$Y$6:$Y$1005,1))</f>
        <v>0</v>
      </c>
      <c r="AG634" s="96" t="str">
        <f>IF(AND(R634=1,S634&lt;&gt;"",C634&lt;&gt;""),S634&amp;"|"&amp;C634&amp;"|"&amp;G634&amp;"|"&amp;H634,"")</f>
        <v/>
      </c>
      <c r="AH634" s="96">
        <f>IF(AG634="",0,IF(SUMPRODUCT(--($AG$6:$AG$1005=AG634))&gt;1,1,0))</f>
        <v>0</v>
      </c>
      <c r="AI634" s="96">
        <f>IF(R634=0,0,IF(OR(U634=0,V634=0,Y634=0,AND(AH634=1,K634&lt;&gt;"Sim")),1,0))</f>
        <v>0</v>
      </c>
      <c r="AJ634" s="96">
        <f>IF(AND(R634=1,AA634&gt;0,AB634=AA634),1,0)</f>
        <v>0</v>
      </c>
      <c r="AK634" s="96">
        <f>IF(R634=0,0,IF(AA634&gt;0,N(L634),IF(ISNUMBER(I634),I634,0)))</f>
        <v>0</v>
      </c>
      <c r="AL634" s="96">
        <f>IF(R634=0,0,IF(AND(K634&lt;&gt;"Sim",N(M634)&gt;AK634+cfg_tol),1,0))</f>
        <v>0</v>
      </c>
      <c r="AM634" s="96">
        <f>IF(R634=0,0,IF(K634="Sim",0,IF(OR(AND(AA634&gt;0,ISNUMBER(I634),ABS(I634-N(L634))&gt;cfg_tol),AL634=1),1,0)))</f>
        <v>0</v>
      </c>
      <c r="AN634" s="96">
        <f>IF(AND(R634=1,N(M634)&gt;0,OR(N(M634)&gt;=AK634-cfg_tol,K634="Sim")),1,0)</f>
        <v>0</v>
      </c>
      <c r="AO634" s="96">
        <f>IF(AND(AN634=1,AD634&gt;0,AE634=AD634,AL634=0),1,0)</f>
        <v>0</v>
      </c>
      <c r="AP634" s="96">
        <f>IF(U634=0,0,IF(AND(INDEX('MTRs'!$AX$6:$AX$505,T634)=1,Z634=0,OR(f_res="",f_res="(Todos)",C634=f_res)),1,0))</f>
        <v>0</v>
      </c>
      <c r="AQ634" s="97" t="str">
        <f>IF(U634=0,"",INDEX('MTRs'!$AZ$6:$AZ$505,T634))</f>
        <v/>
      </c>
      <c r="AR634" s="96">
        <f>IF(U634=0,0,IF(AND(INDEX('MTRs'!$BA$6:$BA$505,T634)=1,Z634=0),1,0))</f>
        <v>0</v>
      </c>
      <c r="AS634" s="96" t="str">
        <f>IF(R634=1,A634&amp;" | MTR "&amp;IF(U634=1,INDEX('MTRs'!$B$6:$B$505,T634)&amp;"","?")&amp;" | "&amp;IF(C634="","(sem resíduo)",C634),"")</f>
        <v/>
      </c>
      <c r="AT634" s="96" t="str">
        <f>IF(R634=1,COUNTIF($R$6:R634,1),"")</f>
        <v/>
      </c>
      <c r="AU634" s="96" t="str">
        <f>IF(U634=1,INDEX('MTRs'!$I$6:$I$505,T634)&amp;"","")</f>
        <v/>
      </c>
    </row>
    <row r="635">
      <c r="A635" s="89" t="inlineStr">
        <is>
          <t>IT-000630</t>
        </is>
      </c>
      <c r="B635" s="91" t="n"/>
      <c r="C635" s="91" t="n"/>
      <c r="D635" s="94" t="str">
        <f>IF(OR(R635=0,V635=0),"",INDEX('CAD_RESÍDUOS'!$E$6:$E$205,MATCH(C635,'CAD_RESÍDUOS'!$B$6:$B$205,0))&amp;"")</f>
        <v/>
      </c>
      <c r="E635" s="94" t="str">
        <f>IF(OR(R635=0,V635=0),"",INDEX('CAD_RESÍDUOS'!$C$6:$C$205,MATCH(C635,'CAD_RESÍDUOS'!$B$6:$B$205,0))&amp;"")</f>
        <v/>
      </c>
      <c r="F635" s="94" t="str">
        <f>IF(OR(R635=0,V635=0),"",INDEX('CAD_RESÍDUOS'!$G$6:$G$205,MATCH(C635,'CAD_RESÍDUOS'!$B$6:$B$205,0))&amp;"")</f>
        <v/>
      </c>
      <c r="G635" s="98" t="n"/>
      <c r="H635" s="91" t="n"/>
      <c r="I635" s="93" t="str">
        <f>IF(R635=0,"",IF(NOT(ISNUMBER(G635)),"",IF(ISNUMBER(X635),G635*X635,"UNIDADE A CONFERIR")))</f>
        <v/>
      </c>
      <c r="J635" s="91" t="n"/>
      <c r="K635" s="91" t="n"/>
      <c r="L635" s="93" t="str">
        <f>IF(R635=0,"",SUMIFS('RECEBIMENTOS'!$H$6:$H$1005,'RECEBIMENTOS'!$R$6:$R$1005,A635,'RECEBIMENTOS'!$X$6:$X$1005,1))</f>
        <v/>
      </c>
      <c r="M635" s="93" t="str">
        <f>IF(R635=0,"",SUMIFS('VÍNCULOS_CDF'!$H$6:$H$1005,'VÍNCULOS_CDF'!$R$6:$R$1005,A635,'VÍNCULOS_CDF'!$V$6:$V$1005,1))</f>
        <v/>
      </c>
      <c r="N635" s="99" t="str">
        <f>IF(OR(R635=0,AA635=0,NOT(ISNUMBER(I635))),"",I635-N(L635))</f>
        <v/>
      </c>
      <c r="O635" s="100" t="str">
        <f>IF(OR(R635=0,AK635&lt;=0),"",N(M635)/AK635)</f>
        <v/>
      </c>
      <c r="P635" s="94" t="str">
        <f>IF(R635=0,"",IF(S635="","Sem MTR associado",IF(U635=0,"MTR inexistente",IF(C635="","Resíduo não identificado",IF(V635=0,"Resíduo fora do cadastro",IF(W635=0,"Quantidade inválida",IF(H635="","Unidade não informada",IF(NOT(ISNUMBER(I635)),"Unidade a conferir",IF(AND(AH635=1,K635&lt;&gt;"Sim"),"Possível duplicidade",IF(Z635=1,"MTR cancelado",IF(AC635&gt;0,"Recebimento com alerta",IF(AA635=0,"Aguardando recebimento",IF(AB635&lt;AA635,"Recebimento a conferir",IF(AM635=1,"Quantidade a revisar",IF(AF635&gt;0,"Vínculo a revisar",IF(AD635=0,"Aguardando CDF",IF(AN635=0,"Vínculo de CDF parcial",IF(AE635&lt;AD635,"CDF a conferir","Documentação conferida"))))))))))))))))))</f>
        <v/>
      </c>
      <c r="Q635" s="93" t="str">
        <f>IF(OR(R635=0,AA635=0),"",MAX(0,N(L635)-N(M635)))</f>
        <v/>
      </c>
      <c r="R635" s="96">
        <f>IF(COUNTA(B635:C635,G635:H635,J635:K635)&gt;0,1,0)</f>
        <v>0</v>
      </c>
      <c r="S635" s="96" t="str">
        <f>IF(B635="","",TRIM(LEFT(B635,FIND(" |",B635&amp;" |")-1)))</f>
        <v/>
      </c>
      <c r="T635" s="96" t="str">
        <f>IF(S635="","",IFERROR(MATCH(S635,'MTRs'!$A$6:$A$505,0),""))</f>
        <v/>
      </c>
      <c r="U635" s="96">
        <f>IF(T635="",0,IF(INDEX('MTRs'!$Z$6:$Z$505,T635)=1,1,0))</f>
        <v>0</v>
      </c>
      <c r="V635" s="96">
        <f>IF(C635="",0,IF(ISNUMBER(MATCH(C635,'CAD_RESÍDUOS'!$B$6:$B$205,0)),1,0))</f>
        <v>0</v>
      </c>
      <c r="W635" s="96">
        <f>IF(AND(ISNUMBER(G635),G635&gt;0),1,0)</f>
        <v>0</v>
      </c>
      <c r="X635" s="96" t="str">
        <f>IF(H635="","",IFERROR(IF(ISNUMBER(INDEX(cfg_fac,MATCH(H635,cfg_units,0))),IF(INDEX(cfg_fac,MATCH(H635,cfg_units,0))&gt;0,INDEX(cfg_fac,MATCH(H635,cfg_units,0)),""),""),""))</f>
        <v/>
      </c>
      <c r="Y635" s="96">
        <f>IF(AND(W635=1,ISNUMBER(I635)),1,0)</f>
        <v>0</v>
      </c>
      <c r="Z635" s="96">
        <f>IF(U635=1,INDEX('MTRs'!$AA$6:$AA$505,T635),0)</f>
        <v>0</v>
      </c>
      <c r="AA635" s="96">
        <f>IF(R635=0,0,COUNTIFS('RECEBIMENTOS'!$R$6:$R$1005,A635,'RECEBIMENTOS'!$Q$6:$Q$1005,1))</f>
        <v>0</v>
      </c>
      <c r="AB635" s="96">
        <f>IF(R635=0,0,COUNTIFS('RECEBIMENTOS'!$R$6:$R$1005,A635,'RECEBIMENTOS'!$Z$6:$Z$1005,1))</f>
        <v>0</v>
      </c>
      <c r="AC635" s="96">
        <f>IF(R635=0,0,COUNTIFS('RECEBIMENTOS'!$R$6:$R$1005,A635,'RECEBIMENTOS'!$Y$6:$Y$1005,1))</f>
        <v>0</v>
      </c>
      <c r="AD635" s="96">
        <f>IF(R635=0,0,COUNTIFS('VÍNCULOS_CDF'!$R$6:$R$1005,A635,'VÍNCULOS_CDF'!$N$6:$N$1005,1))</f>
        <v>0</v>
      </c>
      <c r="AE635" s="96">
        <f>IF(R635=0,0,COUNTIFS('VÍNCULOS_CDF'!$R$6:$R$1005,A635,'VÍNCULOS_CDF'!$AA$6:$AA$1005,1))</f>
        <v>0</v>
      </c>
      <c r="AF635" s="96">
        <f>IF(R635=0,0,COUNTIFS('VÍNCULOS_CDF'!$R$6:$R$1005,A635,'VÍNCULOS_CDF'!$Y$6:$Y$1005,1))</f>
        <v>0</v>
      </c>
      <c r="AG635" s="96" t="str">
        <f>IF(AND(R635=1,S635&lt;&gt;"",C635&lt;&gt;""),S635&amp;"|"&amp;C635&amp;"|"&amp;G635&amp;"|"&amp;H635,"")</f>
        <v/>
      </c>
      <c r="AH635" s="96">
        <f>IF(AG635="",0,IF(SUMPRODUCT(--($AG$6:$AG$1005=AG635))&gt;1,1,0))</f>
        <v>0</v>
      </c>
      <c r="AI635" s="96">
        <f>IF(R635=0,0,IF(OR(U635=0,V635=0,Y635=0,AND(AH635=1,K635&lt;&gt;"Sim")),1,0))</f>
        <v>0</v>
      </c>
      <c r="AJ635" s="96">
        <f>IF(AND(R635=1,AA635&gt;0,AB635=AA635),1,0)</f>
        <v>0</v>
      </c>
      <c r="AK635" s="96">
        <f>IF(R635=0,0,IF(AA635&gt;0,N(L635),IF(ISNUMBER(I635),I635,0)))</f>
        <v>0</v>
      </c>
      <c r="AL635" s="96">
        <f>IF(R635=0,0,IF(AND(K635&lt;&gt;"Sim",N(M635)&gt;AK635+cfg_tol),1,0))</f>
        <v>0</v>
      </c>
      <c r="AM635" s="96">
        <f>IF(R635=0,0,IF(K635="Sim",0,IF(OR(AND(AA635&gt;0,ISNUMBER(I635),ABS(I635-N(L635))&gt;cfg_tol),AL635=1),1,0)))</f>
        <v>0</v>
      </c>
      <c r="AN635" s="96">
        <f>IF(AND(R635=1,N(M635)&gt;0,OR(N(M635)&gt;=AK635-cfg_tol,K635="Sim")),1,0)</f>
        <v>0</v>
      </c>
      <c r="AO635" s="96">
        <f>IF(AND(AN635=1,AD635&gt;0,AE635=AD635,AL635=0),1,0)</f>
        <v>0</v>
      </c>
      <c r="AP635" s="96">
        <f>IF(U635=0,0,IF(AND(INDEX('MTRs'!$AX$6:$AX$505,T635)=1,Z635=0,OR(f_res="",f_res="(Todos)",C635=f_res)),1,0))</f>
        <v>0</v>
      </c>
      <c r="AQ635" s="97" t="str">
        <f>IF(U635=0,"",INDEX('MTRs'!$AZ$6:$AZ$505,T635))</f>
        <v/>
      </c>
      <c r="AR635" s="96">
        <f>IF(U635=0,0,IF(AND(INDEX('MTRs'!$BA$6:$BA$505,T635)=1,Z635=0),1,0))</f>
        <v>0</v>
      </c>
      <c r="AS635" s="96" t="str">
        <f>IF(R635=1,A635&amp;" | MTR "&amp;IF(U635=1,INDEX('MTRs'!$B$6:$B$505,T635)&amp;"","?")&amp;" | "&amp;IF(C635="","(sem resíduo)",C635),"")</f>
        <v/>
      </c>
      <c r="AT635" s="96" t="str">
        <f>IF(R635=1,COUNTIF($R$6:R635,1),"")</f>
        <v/>
      </c>
      <c r="AU635" s="96" t="str">
        <f>IF(U635=1,INDEX('MTRs'!$I$6:$I$505,T635)&amp;"","")</f>
        <v/>
      </c>
    </row>
    <row r="636">
      <c r="A636" s="89" t="inlineStr">
        <is>
          <t>IT-000631</t>
        </is>
      </c>
      <c r="B636" s="91" t="n"/>
      <c r="C636" s="91" t="n"/>
      <c r="D636" s="94" t="str">
        <f>IF(OR(R636=0,V636=0),"",INDEX('CAD_RESÍDUOS'!$E$6:$E$205,MATCH(C636,'CAD_RESÍDUOS'!$B$6:$B$205,0))&amp;"")</f>
        <v/>
      </c>
      <c r="E636" s="94" t="str">
        <f>IF(OR(R636=0,V636=0),"",INDEX('CAD_RESÍDUOS'!$C$6:$C$205,MATCH(C636,'CAD_RESÍDUOS'!$B$6:$B$205,0))&amp;"")</f>
        <v/>
      </c>
      <c r="F636" s="94" t="str">
        <f>IF(OR(R636=0,V636=0),"",INDEX('CAD_RESÍDUOS'!$G$6:$G$205,MATCH(C636,'CAD_RESÍDUOS'!$B$6:$B$205,0))&amp;"")</f>
        <v/>
      </c>
      <c r="G636" s="98" t="n"/>
      <c r="H636" s="91" t="n"/>
      <c r="I636" s="93" t="str">
        <f>IF(R636=0,"",IF(NOT(ISNUMBER(G636)),"",IF(ISNUMBER(X636),G636*X636,"UNIDADE A CONFERIR")))</f>
        <v/>
      </c>
      <c r="J636" s="91" t="n"/>
      <c r="K636" s="91" t="n"/>
      <c r="L636" s="93" t="str">
        <f>IF(R636=0,"",SUMIFS('RECEBIMENTOS'!$H$6:$H$1005,'RECEBIMENTOS'!$R$6:$R$1005,A636,'RECEBIMENTOS'!$X$6:$X$1005,1))</f>
        <v/>
      </c>
      <c r="M636" s="93" t="str">
        <f>IF(R636=0,"",SUMIFS('VÍNCULOS_CDF'!$H$6:$H$1005,'VÍNCULOS_CDF'!$R$6:$R$1005,A636,'VÍNCULOS_CDF'!$V$6:$V$1005,1))</f>
        <v/>
      </c>
      <c r="N636" s="99" t="str">
        <f>IF(OR(R636=0,AA636=0,NOT(ISNUMBER(I636))),"",I636-N(L636))</f>
        <v/>
      </c>
      <c r="O636" s="100" t="str">
        <f>IF(OR(R636=0,AK636&lt;=0),"",N(M636)/AK636)</f>
        <v/>
      </c>
      <c r="P636" s="94" t="str">
        <f>IF(R636=0,"",IF(S636="","Sem MTR associado",IF(U636=0,"MTR inexistente",IF(C636="","Resíduo não identificado",IF(V636=0,"Resíduo fora do cadastro",IF(W636=0,"Quantidade inválida",IF(H636="","Unidade não informada",IF(NOT(ISNUMBER(I636)),"Unidade a conferir",IF(AND(AH636=1,K636&lt;&gt;"Sim"),"Possível duplicidade",IF(Z636=1,"MTR cancelado",IF(AC636&gt;0,"Recebimento com alerta",IF(AA636=0,"Aguardando recebimento",IF(AB636&lt;AA636,"Recebimento a conferir",IF(AM636=1,"Quantidade a revisar",IF(AF636&gt;0,"Vínculo a revisar",IF(AD636=0,"Aguardando CDF",IF(AN636=0,"Vínculo de CDF parcial",IF(AE636&lt;AD636,"CDF a conferir","Documentação conferida"))))))))))))))))))</f>
        <v/>
      </c>
      <c r="Q636" s="93" t="str">
        <f>IF(OR(R636=0,AA636=0),"",MAX(0,N(L636)-N(M636)))</f>
        <v/>
      </c>
      <c r="R636" s="96">
        <f>IF(COUNTA(B636:C636,G636:H636,J636:K636)&gt;0,1,0)</f>
        <v>0</v>
      </c>
      <c r="S636" s="96" t="str">
        <f>IF(B636="","",TRIM(LEFT(B636,FIND(" |",B636&amp;" |")-1)))</f>
        <v/>
      </c>
      <c r="T636" s="96" t="str">
        <f>IF(S636="","",IFERROR(MATCH(S636,'MTRs'!$A$6:$A$505,0),""))</f>
        <v/>
      </c>
      <c r="U636" s="96">
        <f>IF(T636="",0,IF(INDEX('MTRs'!$Z$6:$Z$505,T636)=1,1,0))</f>
        <v>0</v>
      </c>
      <c r="V636" s="96">
        <f>IF(C636="",0,IF(ISNUMBER(MATCH(C636,'CAD_RESÍDUOS'!$B$6:$B$205,0)),1,0))</f>
        <v>0</v>
      </c>
      <c r="W636" s="96">
        <f>IF(AND(ISNUMBER(G636),G636&gt;0),1,0)</f>
        <v>0</v>
      </c>
      <c r="X636" s="96" t="str">
        <f>IF(H636="","",IFERROR(IF(ISNUMBER(INDEX(cfg_fac,MATCH(H636,cfg_units,0))),IF(INDEX(cfg_fac,MATCH(H636,cfg_units,0))&gt;0,INDEX(cfg_fac,MATCH(H636,cfg_units,0)),""),""),""))</f>
        <v/>
      </c>
      <c r="Y636" s="96">
        <f>IF(AND(W636=1,ISNUMBER(I636)),1,0)</f>
        <v>0</v>
      </c>
      <c r="Z636" s="96">
        <f>IF(U636=1,INDEX('MTRs'!$AA$6:$AA$505,T636),0)</f>
        <v>0</v>
      </c>
      <c r="AA636" s="96">
        <f>IF(R636=0,0,COUNTIFS('RECEBIMENTOS'!$R$6:$R$1005,A636,'RECEBIMENTOS'!$Q$6:$Q$1005,1))</f>
        <v>0</v>
      </c>
      <c r="AB636" s="96">
        <f>IF(R636=0,0,COUNTIFS('RECEBIMENTOS'!$R$6:$R$1005,A636,'RECEBIMENTOS'!$Z$6:$Z$1005,1))</f>
        <v>0</v>
      </c>
      <c r="AC636" s="96">
        <f>IF(R636=0,0,COUNTIFS('RECEBIMENTOS'!$R$6:$R$1005,A636,'RECEBIMENTOS'!$Y$6:$Y$1005,1))</f>
        <v>0</v>
      </c>
      <c r="AD636" s="96">
        <f>IF(R636=0,0,COUNTIFS('VÍNCULOS_CDF'!$R$6:$R$1005,A636,'VÍNCULOS_CDF'!$N$6:$N$1005,1))</f>
        <v>0</v>
      </c>
      <c r="AE636" s="96">
        <f>IF(R636=0,0,COUNTIFS('VÍNCULOS_CDF'!$R$6:$R$1005,A636,'VÍNCULOS_CDF'!$AA$6:$AA$1005,1))</f>
        <v>0</v>
      </c>
      <c r="AF636" s="96">
        <f>IF(R636=0,0,COUNTIFS('VÍNCULOS_CDF'!$R$6:$R$1005,A636,'VÍNCULOS_CDF'!$Y$6:$Y$1005,1))</f>
        <v>0</v>
      </c>
      <c r="AG636" s="96" t="str">
        <f>IF(AND(R636=1,S636&lt;&gt;"",C636&lt;&gt;""),S636&amp;"|"&amp;C636&amp;"|"&amp;G636&amp;"|"&amp;H636,"")</f>
        <v/>
      </c>
      <c r="AH636" s="96">
        <f>IF(AG636="",0,IF(SUMPRODUCT(--($AG$6:$AG$1005=AG636))&gt;1,1,0))</f>
        <v>0</v>
      </c>
      <c r="AI636" s="96">
        <f>IF(R636=0,0,IF(OR(U636=0,V636=0,Y636=0,AND(AH636=1,K636&lt;&gt;"Sim")),1,0))</f>
        <v>0</v>
      </c>
      <c r="AJ636" s="96">
        <f>IF(AND(R636=1,AA636&gt;0,AB636=AA636),1,0)</f>
        <v>0</v>
      </c>
      <c r="AK636" s="96">
        <f>IF(R636=0,0,IF(AA636&gt;0,N(L636),IF(ISNUMBER(I636),I636,0)))</f>
        <v>0</v>
      </c>
      <c r="AL636" s="96">
        <f>IF(R636=0,0,IF(AND(K636&lt;&gt;"Sim",N(M636)&gt;AK636+cfg_tol),1,0))</f>
        <v>0</v>
      </c>
      <c r="AM636" s="96">
        <f>IF(R636=0,0,IF(K636="Sim",0,IF(OR(AND(AA636&gt;0,ISNUMBER(I636),ABS(I636-N(L636))&gt;cfg_tol),AL636=1),1,0)))</f>
        <v>0</v>
      </c>
      <c r="AN636" s="96">
        <f>IF(AND(R636=1,N(M636)&gt;0,OR(N(M636)&gt;=AK636-cfg_tol,K636="Sim")),1,0)</f>
        <v>0</v>
      </c>
      <c r="AO636" s="96">
        <f>IF(AND(AN636=1,AD636&gt;0,AE636=AD636,AL636=0),1,0)</f>
        <v>0</v>
      </c>
      <c r="AP636" s="96">
        <f>IF(U636=0,0,IF(AND(INDEX('MTRs'!$AX$6:$AX$505,T636)=1,Z636=0,OR(f_res="",f_res="(Todos)",C636=f_res)),1,0))</f>
        <v>0</v>
      </c>
      <c r="AQ636" s="97" t="str">
        <f>IF(U636=0,"",INDEX('MTRs'!$AZ$6:$AZ$505,T636))</f>
        <v/>
      </c>
      <c r="AR636" s="96">
        <f>IF(U636=0,0,IF(AND(INDEX('MTRs'!$BA$6:$BA$505,T636)=1,Z636=0),1,0))</f>
        <v>0</v>
      </c>
      <c r="AS636" s="96" t="str">
        <f>IF(R636=1,A636&amp;" | MTR "&amp;IF(U636=1,INDEX('MTRs'!$B$6:$B$505,T636)&amp;"","?")&amp;" | "&amp;IF(C636="","(sem resíduo)",C636),"")</f>
        <v/>
      </c>
      <c r="AT636" s="96" t="str">
        <f>IF(R636=1,COUNTIF($R$6:R636,1),"")</f>
        <v/>
      </c>
      <c r="AU636" s="96" t="str">
        <f>IF(U636=1,INDEX('MTRs'!$I$6:$I$505,T636)&amp;"","")</f>
        <v/>
      </c>
    </row>
    <row r="637">
      <c r="A637" s="89" t="inlineStr">
        <is>
          <t>IT-000632</t>
        </is>
      </c>
      <c r="B637" s="91" t="n"/>
      <c r="C637" s="91" t="n"/>
      <c r="D637" s="94" t="str">
        <f>IF(OR(R637=0,V637=0),"",INDEX('CAD_RESÍDUOS'!$E$6:$E$205,MATCH(C637,'CAD_RESÍDUOS'!$B$6:$B$205,0))&amp;"")</f>
        <v/>
      </c>
      <c r="E637" s="94" t="str">
        <f>IF(OR(R637=0,V637=0),"",INDEX('CAD_RESÍDUOS'!$C$6:$C$205,MATCH(C637,'CAD_RESÍDUOS'!$B$6:$B$205,0))&amp;"")</f>
        <v/>
      </c>
      <c r="F637" s="94" t="str">
        <f>IF(OR(R637=0,V637=0),"",INDEX('CAD_RESÍDUOS'!$G$6:$G$205,MATCH(C637,'CAD_RESÍDUOS'!$B$6:$B$205,0))&amp;"")</f>
        <v/>
      </c>
      <c r="G637" s="98" t="n"/>
      <c r="H637" s="91" t="n"/>
      <c r="I637" s="93" t="str">
        <f>IF(R637=0,"",IF(NOT(ISNUMBER(G637)),"",IF(ISNUMBER(X637),G637*X637,"UNIDADE A CONFERIR")))</f>
        <v/>
      </c>
      <c r="J637" s="91" t="n"/>
      <c r="K637" s="91" t="n"/>
      <c r="L637" s="93" t="str">
        <f>IF(R637=0,"",SUMIFS('RECEBIMENTOS'!$H$6:$H$1005,'RECEBIMENTOS'!$R$6:$R$1005,A637,'RECEBIMENTOS'!$X$6:$X$1005,1))</f>
        <v/>
      </c>
      <c r="M637" s="93" t="str">
        <f>IF(R637=0,"",SUMIFS('VÍNCULOS_CDF'!$H$6:$H$1005,'VÍNCULOS_CDF'!$R$6:$R$1005,A637,'VÍNCULOS_CDF'!$V$6:$V$1005,1))</f>
        <v/>
      </c>
      <c r="N637" s="99" t="str">
        <f>IF(OR(R637=0,AA637=0,NOT(ISNUMBER(I637))),"",I637-N(L637))</f>
        <v/>
      </c>
      <c r="O637" s="100" t="str">
        <f>IF(OR(R637=0,AK637&lt;=0),"",N(M637)/AK637)</f>
        <v/>
      </c>
      <c r="P637" s="94" t="str">
        <f>IF(R637=0,"",IF(S637="","Sem MTR associado",IF(U637=0,"MTR inexistente",IF(C637="","Resíduo não identificado",IF(V637=0,"Resíduo fora do cadastro",IF(W637=0,"Quantidade inválida",IF(H637="","Unidade não informada",IF(NOT(ISNUMBER(I637)),"Unidade a conferir",IF(AND(AH637=1,K637&lt;&gt;"Sim"),"Possível duplicidade",IF(Z637=1,"MTR cancelado",IF(AC637&gt;0,"Recebimento com alerta",IF(AA637=0,"Aguardando recebimento",IF(AB637&lt;AA637,"Recebimento a conferir",IF(AM637=1,"Quantidade a revisar",IF(AF637&gt;0,"Vínculo a revisar",IF(AD637=0,"Aguardando CDF",IF(AN637=0,"Vínculo de CDF parcial",IF(AE637&lt;AD637,"CDF a conferir","Documentação conferida"))))))))))))))))))</f>
        <v/>
      </c>
      <c r="Q637" s="93" t="str">
        <f>IF(OR(R637=0,AA637=0),"",MAX(0,N(L637)-N(M637)))</f>
        <v/>
      </c>
      <c r="R637" s="96">
        <f>IF(COUNTA(B637:C637,G637:H637,J637:K637)&gt;0,1,0)</f>
        <v>0</v>
      </c>
      <c r="S637" s="96" t="str">
        <f>IF(B637="","",TRIM(LEFT(B637,FIND(" |",B637&amp;" |")-1)))</f>
        <v/>
      </c>
      <c r="T637" s="96" t="str">
        <f>IF(S637="","",IFERROR(MATCH(S637,'MTRs'!$A$6:$A$505,0),""))</f>
        <v/>
      </c>
      <c r="U637" s="96">
        <f>IF(T637="",0,IF(INDEX('MTRs'!$Z$6:$Z$505,T637)=1,1,0))</f>
        <v>0</v>
      </c>
      <c r="V637" s="96">
        <f>IF(C637="",0,IF(ISNUMBER(MATCH(C637,'CAD_RESÍDUOS'!$B$6:$B$205,0)),1,0))</f>
        <v>0</v>
      </c>
      <c r="W637" s="96">
        <f>IF(AND(ISNUMBER(G637),G637&gt;0),1,0)</f>
        <v>0</v>
      </c>
      <c r="X637" s="96" t="str">
        <f>IF(H637="","",IFERROR(IF(ISNUMBER(INDEX(cfg_fac,MATCH(H637,cfg_units,0))),IF(INDEX(cfg_fac,MATCH(H637,cfg_units,0))&gt;0,INDEX(cfg_fac,MATCH(H637,cfg_units,0)),""),""),""))</f>
        <v/>
      </c>
      <c r="Y637" s="96">
        <f>IF(AND(W637=1,ISNUMBER(I637)),1,0)</f>
        <v>0</v>
      </c>
      <c r="Z637" s="96">
        <f>IF(U637=1,INDEX('MTRs'!$AA$6:$AA$505,T637),0)</f>
        <v>0</v>
      </c>
      <c r="AA637" s="96">
        <f>IF(R637=0,0,COUNTIFS('RECEBIMENTOS'!$R$6:$R$1005,A637,'RECEBIMENTOS'!$Q$6:$Q$1005,1))</f>
        <v>0</v>
      </c>
      <c r="AB637" s="96">
        <f>IF(R637=0,0,COUNTIFS('RECEBIMENTOS'!$R$6:$R$1005,A637,'RECEBIMENTOS'!$Z$6:$Z$1005,1))</f>
        <v>0</v>
      </c>
      <c r="AC637" s="96">
        <f>IF(R637=0,0,COUNTIFS('RECEBIMENTOS'!$R$6:$R$1005,A637,'RECEBIMENTOS'!$Y$6:$Y$1005,1))</f>
        <v>0</v>
      </c>
      <c r="AD637" s="96">
        <f>IF(R637=0,0,COUNTIFS('VÍNCULOS_CDF'!$R$6:$R$1005,A637,'VÍNCULOS_CDF'!$N$6:$N$1005,1))</f>
        <v>0</v>
      </c>
      <c r="AE637" s="96">
        <f>IF(R637=0,0,COUNTIFS('VÍNCULOS_CDF'!$R$6:$R$1005,A637,'VÍNCULOS_CDF'!$AA$6:$AA$1005,1))</f>
        <v>0</v>
      </c>
      <c r="AF637" s="96">
        <f>IF(R637=0,0,COUNTIFS('VÍNCULOS_CDF'!$R$6:$R$1005,A637,'VÍNCULOS_CDF'!$Y$6:$Y$1005,1))</f>
        <v>0</v>
      </c>
      <c r="AG637" s="96" t="str">
        <f>IF(AND(R637=1,S637&lt;&gt;"",C637&lt;&gt;""),S637&amp;"|"&amp;C637&amp;"|"&amp;G637&amp;"|"&amp;H637,"")</f>
        <v/>
      </c>
      <c r="AH637" s="96">
        <f>IF(AG637="",0,IF(SUMPRODUCT(--($AG$6:$AG$1005=AG637))&gt;1,1,0))</f>
        <v>0</v>
      </c>
      <c r="AI637" s="96">
        <f>IF(R637=0,0,IF(OR(U637=0,V637=0,Y637=0,AND(AH637=1,K637&lt;&gt;"Sim")),1,0))</f>
        <v>0</v>
      </c>
      <c r="AJ637" s="96">
        <f>IF(AND(R637=1,AA637&gt;0,AB637=AA637),1,0)</f>
        <v>0</v>
      </c>
      <c r="AK637" s="96">
        <f>IF(R637=0,0,IF(AA637&gt;0,N(L637),IF(ISNUMBER(I637),I637,0)))</f>
        <v>0</v>
      </c>
      <c r="AL637" s="96">
        <f>IF(R637=0,0,IF(AND(K637&lt;&gt;"Sim",N(M637)&gt;AK637+cfg_tol),1,0))</f>
        <v>0</v>
      </c>
      <c r="AM637" s="96">
        <f>IF(R637=0,0,IF(K637="Sim",0,IF(OR(AND(AA637&gt;0,ISNUMBER(I637),ABS(I637-N(L637))&gt;cfg_tol),AL637=1),1,0)))</f>
        <v>0</v>
      </c>
      <c r="AN637" s="96">
        <f>IF(AND(R637=1,N(M637)&gt;0,OR(N(M637)&gt;=AK637-cfg_tol,K637="Sim")),1,0)</f>
        <v>0</v>
      </c>
      <c r="AO637" s="96">
        <f>IF(AND(AN637=1,AD637&gt;0,AE637=AD637,AL637=0),1,0)</f>
        <v>0</v>
      </c>
      <c r="AP637" s="96">
        <f>IF(U637=0,0,IF(AND(INDEX('MTRs'!$AX$6:$AX$505,T637)=1,Z637=0,OR(f_res="",f_res="(Todos)",C637=f_res)),1,0))</f>
        <v>0</v>
      </c>
      <c r="AQ637" s="97" t="str">
        <f>IF(U637=0,"",INDEX('MTRs'!$AZ$6:$AZ$505,T637))</f>
        <v/>
      </c>
      <c r="AR637" s="96">
        <f>IF(U637=0,0,IF(AND(INDEX('MTRs'!$BA$6:$BA$505,T637)=1,Z637=0),1,0))</f>
        <v>0</v>
      </c>
      <c r="AS637" s="96" t="str">
        <f>IF(R637=1,A637&amp;" | MTR "&amp;IF(U637=1,INDEX('MTRs'!$B$6:$B$505,T637)&amp;"","?")&amp;" | "&amp;IF(C637="","(sem resíduo)",C637),"")</f>
        <v/>
      </c>
      <c r="AT637" s="96" t="str">
        <f>IF(R637=1,COUNTIF($R$6:R637,1),"")</f>
        <v/>
      </c>
      <c r="AU637" s="96" t="str">
        <f>IF(U637=1,INDEX('MTRs'!$I$6:$I$505,T637)&amp;"","")</f>
        <v/>
      </c>
    </row>
    <row r="638">
      <c r="A638" s="89" t="inlineStr">
        <is>
          <t>IT-000633</t>
        </is>
      </c>
      <c r="B638" s="91" t="n"/>
      <c r="C638" s="91" t="n"/>
      <c r="D638" s="94" t="str">
        <f>IF(OR(R638=0,V638=0),"",INDEX('CAD_RESÍDUOS'!$E$6:$E$205,MATCH(C638,'CAD_RESÍDUOS'!$B$6:$B$205,0))&amp;"")</f>
        <v/>
      </c>
      <c r="E638" s="94" t="str">
        <f>IF(OR(R638=0,V638=0),"",INDEX('CAD_RESÍDUOS'!$C$6:$C$205,MATCH(C638,'CAD_RESÍDUOS'!$B$6:$B$205,0))&amp;"")</f>
        <v/>
      </c>
      <c r="F638" s="94" t="str">
        <f>IF(OR(R638=0,V638=0),"",INDEX('CAD_RESÍDUOS'!$G$6:$G$205,MATCH(C638,'CAD_RESÍDUOS'!$B$6:$B$205,0))&amp;"")</f>
        <v/>
      </c>
      <c r="G638" s="98" t="n"/>
      <c r="H638" s="91" t="n"/>
      <c r="I638" s="93" t="str">
        <f>IF(R638=0,"",IF(NOT(ISNUMBER(G638)),"",IF(ISNUMBER(X638),G638*X638,"UNIDADE A CONFERIR")))</f>
        <v/>
      </c>
      <c r="J638" s="91" t="n"/>
      <c r="K638" s="91" t="n"/>
      <c r="L638" s="93" t="str">
        <f>IF(R638=0,"",SUMIFS('RECEBIMENTOS'!$H$6:$H$1005,'RECEBIMENTOS'!$R$6:$R$1005,A638,'RECEBIMENTOS'!$X$6:$X$1005,1))</f>
        <v/>
      </c>
      <c r="M638" s="93" t="str">
        <f>IF(R638=0,"",SUMIFS('VÍNCULOS_CDF'!$H$6:$H$1005,'VÍNCULOS_CDF'!$R$6:$R$1005,A638,'VÍNCULOS_CDF'!$V$6:$V$1005,1))</f>
        <v/>
      </c>
      <c r="N638" s="99" t="str">
        <f>IF(OR(R638=0,AA638=0,NOT(ISNUMBER(I638))),"",I638-N(L638))</f>
        <v/>
      </c>
      <c r="O638" s="100" t="str">
        <f>IF(OR(R638=0,AK638&lt;=0),"",N(M638)/AK638)</f>
        <v/>
      </c>
      <c r="P638" s="94" t="str">
        <f>IF(R638=0,"",IF(S638="","Sem MTR associado",IF(U638=0,"MTR inexistente",IF(C638="","Resíduo não identificado",IF(V638=0,"Resíduo fora do cadastro",IF(W638=0,"Quantidade inválida",IF(H638="","Unidade não informada",IF(NOT(ISNUMBER(I638)),"Unidade a conferir",IF(AND(AH638=1,K638&lt;&gt;"Sim"),"Possível duplicidade",IF(Z638=1,"MTR cancelado",IF(AC638&gt;0,"Recebimento com alerta",IF(AA638=0,"Aguardando recebimento",IF(AB638&lt;AA638,"Recebimento a conferir",IF(AM638=1,"Quantidade a revisar",IF(AF638&gt;0,"Vínculo a revisar",IF(AD638=0,"Aguardando CDF",IF(AN638=0,"Vínculo de CDF parcial",IF(AE638&lt;AD638,"CDF a conferir","Documentação conferida"))))))))))))))))))</f>
        <v/>
      </c>
      <c r="Q638" s="93" t="str">
        <f>IF(OR(R638=0,AA638=0),"",MAX(0,N(L638)-N(M638)))</f>
        <v/>
      </c>
      <c r="R638" s="96">
        <f>IF(COUNTA(B638:C638,G638:H638,J638:K638)&gt;0,1,0)</f>
        <v>0</v>
      </c>
      <c r="S638" s="96" t="str">
        <f>IF(B638="","",TRIM(LEFT(B638,FIND(" |",B638&amp;" |")-1)))</f>
        <v/>
      </c>
      <c r="T638" s="96" t="str">
        <f>IF(S638="","",IFERROR(MATCH(S638,'MTRs'!$A$6:$A$505,0),""))</f>
        <v/>
      </c>
      <c r="U638" s="96">
        <f>IF(T638="",0,IF(INDEX('MTRs'!$Z$6:$Z$505,T638)=1,1,0))</f>
        <v>0</v>
      </c>
      <c r="V638" s="96">
        <f>IF(C638="",0,IF(ISNUMBER(MATCH(C638,'CAD_RESÍDUOS'!$B$6:$B$205,0)),1,0))</f>
        <v>0</v>
      </c>
      <c r="W638" s="96">
        <f>IF(AND(ISNUMBER(G638),G638&gt;0),1,0)</f>
        <v>0</v>
      </c>
      <c r="X638" s="96" t="str">
        <f>IF(H638="","",IFERROR(IF(ISNUMBER(INDEX(cfg_fac,MATCH(H638,cfg_units,0))),IF(INDEX(cfg_fac,MATCH(H638,cfg_units,0))&gt;0,INDEX(cfg_fac,MATCH(H638,cfg_units,0)),""),""),""))</f>
        <v/>
      </c>
      <c r="Y638" s="96">
        <f>IF(AND(W638=1,ISNUMBER(I638)),1,0)</f>
        <v>0</v>
      </c>
      <c r="Z638" s="96">
        <f>IF(U638=1,INDEX('MTRs'!$AA$6:$AA$505,T638),0)</f>
        <v>0</v>
      </c>
      <c r="AA638" s="96">
        <f>IF(R638=0,0,COUNTIFS('RECEBIMENTOS'!$R$6:$R$1005,A638,'RECEBIMENTOS'!$Q$6:$Q$1005,1))</f>
        <v>0</v>
      </c>
      <c r="AB638" s="96">
        <f>IF(R638=0,0,COUNTIFS('RECEBIMENTOS'!$R$6:$R$1005,A638,'RECEBIMENTOS'!$Z$6:$Z$1005,1))</f>
        <v>0</v>
      </c>
      <c r="AC638" s="96">
        <f>IF(R638=0,0,COUNTIFS('RECEBIMENTOS'!$R$6:$R$1005,A638,'RECEBIMENTOS'!$Y$6:$Y$1005,1))</f>
        <v>0</v>
      </c>
      <c r="AD638" s="96">
        <f>IF(R638=0,0,COUNTIFS('VÍNCULOS_CDF'!$R$6:$R$1005,A638,'VÍNCULOS_CDF'!$N$6:$N$1005,1))</f>
        <v>0</v>
      </c>
      <c r="AE638" s="96">
        <f>IF(R638=0,0,COUNTIFS('VÍNCULOS_CDF'!$R$6:$R$1005,A638,'VÍNCULOS_CDF'!$AA$6:$AA$1005,1))</f>
        <v>0</v>
      </c>
      <c r="AF638" s="96">
        <f>IF(R638=0,0,COUNTIFS('VÍNCULOS_CDF'!$R$6:$R$1005,A638,'VÍNCULOS_CDF'!$Y$6:$Y$1005,1))</f>
        <v>0</v>
      </c>
      <c r="AG638" s="96" t="str">
        <f>IF(AND(R638=1,S638&lt;&gt;"",C638&lt;&gt;""),S638&amp;"|"&amp;C638&amp;"|"&amp;G638&amp;"|"&amp;H638,"")</f>
        <v/>
      </c>
      <c r="AH638" s="96">
        <f>IF(AG638="",0,IF(SUMPRODUCT(--($AG$6:$AG$1005=AG638))&gt;1,1,0))</f>
        <v>0</v>
      </c>
      <c r="AI638" s="96">
        <f>IF(R638=0,0,IF(OR(U638=0,V638=0,Y638=0,AND(AH638=1,K638&lt;&gt;"Sim")),1,0))</f>
        <v>0</v>
      </c>
      <c r="AJ638" s="96">
        <f>IF(AND(R638=1,AA638&gt;0,AB638=AA638),1,0)</f>
        <v>0</v>
      </c>
      <c r="AK638" s="96">
        <f>IF(R638=0,0,IF(AA638&gt;0,N(L638),IF(ISNUMBER(I638),I638,0)))</f>
        <v>0</v>
      </c>
      <c r="AL638" s="96">
        <f>IF(R638=0,0,IF(AND(K638&lt;&gt;"Sim",N(M638)&gt;AK638+cfg_tol),1,0))</f>
        <v>0</v>
      </c>
      <c r="AM638" s="96">
        <f>IF(R638=0,0,IF(K638="Sim",0,IF(OR(AND(AA638&gt;0,ISNUMBER(I638),ABS(I638-N(L638))&gt;cfg_tol),AL638=1),1,0)))</f>
        <v>0</v>
      </c>
      <c r="AN638" s="96">
        <f>IF(AND(R638=1,N(M638)&gt;0,OR(N(M638)&gt;=AK638-cfg_tol,K638="Sim")),1,0)</f>
        <v>0</v>
      </c>
      <c r="AO638" s="96">
        <f>IF(AND(AN638=1,AD638&gt;0,AE638=AD638,AL638=0),1,0)</f>
        <v>0</v>
      </c>
      <c r="AP638" s="96">
        <f>IF(U638=0,0,IF(AND(INDEX('MTRs'!$AX$6:$AX$505,T638)=1,Z638=0,OR(f_res="",f_res="(Todos)",C638=f_res)),1,0))</f>
        <v>0</v>
      </c>
      <c r="AQ638" s="97" t="str">
        <f>IF(U638=0,"",INDEX('MTRs'!$AZ$6:$AZ$505,T638))</f>
        <v/>
      </c>
      <c r="AR638" s="96">
        <f>IF(U638=0,0,IF(AND(INDEX('MTRs'!$BA$6:$BA$505,T638)=1,Z638=0),1,0))</f>
        <v>0</v>
      </c>
      <c r="AS638" s="96" t="str">
        <f>IF(R638=1,A638&amp;" | MTR "&amp;IF(U638=1,INDEX('MTRs'!$B$6:$B$505,T638)&amp;"","?")&amp;" | "&amp;IF(C638="","(sem resíduo)",C638),"")</f>
        <v/>
      </c>
      <c r="AT638" s="96" t="str">
        <f>IF(R638=1,COUNTIF($R$6:R638,1),"")</f>
        <v/>
      </c>
      <c r="AU638" s="96" t="str">
        <f>IF(U638=1,INDEX('MTRs'!$I$6:$I$505,T638)&amp;"","")</f>
        <v/>
      </c>
    </row>
    <row r="639">
      <c r="A639" s="89" t="inlineStr">
        <is>
          <t>IT-000634</t>
        </is>
      </c>
      <c r="B639" s="91" t="n"/>
      <c r="C639" s="91" t="n"/>
      <c r="D639" s="94" t="str">
        <f>IF(OR(R639=0,V639=0),"",INDEX('CAD_RESÍDUOS'!$E$6:$E$205,MATCH(C639,'CAD_RESÍDUOS'!$B$6:$B$205,0))&amp;"")</f>
        <v/>
      </c>
      <c r="E639" s="94" t="str">
        <f>IF(OR(R639=0,V639=0),"",INDEX('CAD_RESÍDUOS'!$C$6:$C$205,MATCH(C639,'CAD_RESÍDUOS'!$B$6:$B$205,0))&amp;"")</f>
        <v/>
      </c>
      <c r="F639" s="94" t="str">
        <f>IF(OR(R639=0,V639=0),"",INDEX('CAD_RESÍDUOS'!$G$6:$G$205,MATCH(C639,'CAD_RESÍDUOS'!$B$6:$B$205,0))&amp;"")</f>
        <v/>
      </c>
      <c r="G639" s="98" t="n"/>
      <c r="H639" s="91" t="n"/>
      <c r="I639" s="93" t="str">
        <f>IF(R639=0,"",IF(NOT(ISNUMBER(G639)),"",IF(ISNUMBER(X639),G639*X639,"UNIDADE A CONFERIR")))</f>
        <v/>
      </c>
      <c r="J639" s="91" t="n"/>
      <c r="K639" s="91" t="n"/>
      <c r="L639" s="93" t="str">
        <f>IF(R639=0,"",SUMIFS('RECEBIMENTOS'!$H$6:$H$1005,'RECEBIMENTOS'!$R$6:$R$1005,A639,'RECEBIMENTOS'!$X$6:$X$1005,1))</f>
        <v/>
      </c>
      <c r="M639" s="93" t="str">
        <f>IF(R639=0,"",SUMIFS('VÍNCULOS_CDF'!$H$6:$H$1005,'VÍNCULOS_CDF'!$R$6:$R$1005,A639,'VÍNCULOS_CDF'!$V$6:$V$1005,1))</f>
        <v/>
      </c>
      <c r="N639" s="99" t="str">
        <f>IF(OR(R639=0,AA639=0,NOT(ISNUMBER(I639))),"",I639-N(L639))</f>
        <v/>
      </c>
      <c r="O639" s="100" t="str">
        <f>IF(OR(R639=0,AK639&lt;=0),"",N(M639)/AK639)</f>
        <v/>
      </c>
      <c r="P639" s="94" t="str">
        <f>IF(R639=0,"",IF(S639="","Sem MTR associado",IF(U639=0,"MTR inexistente",IF(C639="","Resíduo não identificado",IF(V639=0,"Resíduo fora do cadastro",IF(W639=0,"Quantidade inválida",IF(H639="","Unidade não informada",IF(NOT(ISNUMBER(I639)),"Unidade a conferir",IF(AND(AH639=1,K639&lt;&gt;"Sim"),"Possível duplicidade",IF(Z639=1,"MTR cancelado",IF(AC639&gt;0,"Recebimento com alerta",IF(AA639=0,"Aguardando recebimento",IF(AB639&lt;AA639,"Recebimento a conferir",IF(AM639=1,"Quantidade a revisar",IF(AF639&gt;0,"Vínculo a revisar",IF(AD639=0,"Aguardando CDF",IF(AN639=0,"Vínculo de CDF parcial",IF(AE639&lt;AD639,"CDF a conferir","Documentação conferida"))))))))))))))))))</f>
        <v/>
      </c>
      <c r="Q639" s="93" t="str">
        <f>IF(OR(R639=0,AA639=0),"",MAX(0,N(L639)-N(M639)))</f>
        <v/>
      </c>
      <c r="R639" s="96">
        <f>IF(COUNTA(B639:C639,G639:H639,J639:K639)&gt;0,1,0)</f>
        <v>0</v>
      </c>
      <c r="S639" s="96" t="str">
        <f>IF(B639="","",TRIM(LEFT(B639,FIND(" |",B639&amp;" |")-1)))</f>
        <v/>
      </c>
      <c r="T639" s="96" t="str">
        <f>IF(S639="","",IFERROR(MATCH(S639,'MTRs'!$A$6:$A$505,0),""))</f>
        <v/>
      </c>
      <c r="U639" s="96">
        <f>IF(T639="",0,IF(INDEX('MTRs'!$Z$6:$Z$505,T639)=1,1,0))</f>
        <v>0</v>
      </c>
      <c r="V639" s="96">
        <f>IF(C639="",0,IF(ISNUMBER(MATCH(C639,'CAD_RESÍDUOS'!$B$6:$B$205,0)),1,0))</f>
        <v>0</v>
      </c>
      <c r="W639" s="96">
        <f>IF(AND(ISNUMBER(G639),G639&gt;0),1,0)</f>
        <v>0</v>
      </c>
      <c r="X639" s="96" t="str">
        <f>IF(H639="","",IFERROR(IF(ISNUMBER(INDEX(cfg_fac,MATCH(H639,cfg_units,0))),IF(INDEX(cfg_fac,MATCH(H639,cfg_units,0))&gt;0,INDEX(cfg_fac,MATCH(H639,cfg_units,0)),""),""),""))</f>
        <v/>
      </c>
      <c r="Y639" s="96">
        <f>IF(AND(W639=1,ISNUMBER(I639)),1,0)</f>
        <v>0</v>
      </c>
      <c r="Z639" s="96">
        <f>IF(U639=1,INDEX('MTRs'!$AA$6:$AA$505,T639),0)</f>
        <v>0</v>
      </c>
      <c r="AA639" s="96">
        <f>IF(R639=0,0,COUNTIFS('RECEBIMENTOS'!$R$6:$R$1005,A639,'RECEBIMENTOS'!$Q$6:$Q$1005,1))</f>
        <v>0</v>
      </c>
      <c r="AB639" s="96">
        <f>IF(R639=0,0,COUNTIFS('RECEBIMENTOS'!$R$6:$R$1005,A639,'RECEBIMENTOS'!$Z$6:$Z$1005,1))</f>
        <v>0</v>
      </c>
      <c r="AC639" s="96">
        <f>IF(R639=0,0,COUNTIFS('RECEBIMENTOS'!$R$6:$R$1005,A639,'RECEBIMENTOS'!$Y$6:$Y$1005,1))</f>
        <v>0</v>
      </c>
      <c r="AD639" s="96">
        <f>IF(R639=0,0,COUNTIFS('VÍNCULOS_CDF'!$R$6:$R$1005,A639,'VÍNCULOS_CDF'!$N$6:$N$1005,1))</f>
        <v>0</v>
      </c>
      <c r="AE639" s="96">
        <f>IF(R639=0,0,COUNTIFS('VÍNCULOS_CDF'!$R$6:$R$1005,A639,'VÍNCULOS_CDF'!$AA$6:$AA$1005,1))</f>
        <v>0</v>
      </c>
      <c r="AF639" s="96">
        <f>IF(R639=0,0,COUNTIFS('VÍNCULOS_CDF'!$R$6:$R$1005,A639,'VÍNCULOS_CDF'!$Y$6:$Y$1005,1))</f>
        <v>0</v>
      </c>
      <c r="AG639" s="96" t="str">
        <f>IF(AND(R639=1,S639&lt;&gt;"",C639&lt;&gt;""),S639&amp;"|"&amp;C639&amp;"|"&amp;G639&amp;"|"&amp;H639,"")</f>
        <v/>
      </c>
      <c r="AH639" s="96">
        <f>IF(AG639="",0,IF(SUMPRODUCT(--($AG$6:$AG$1005=AG639))&gt;1,1,0))</f>
        <v>0</v>
      </c>
      <c r="AI639" s="96">
        <f>IF(R639=0,0,IF(OR(U639=0,V639=0,Y639=0,AND(AH639=1,K639&lt;&gt;"Sim")),1,0))</f>
        <v>0</v>
      </c>
      <c r="AJ639" s="96">
        <f>IF(AND(R639=1,AA639&gt;0,AB639=AA639),1,0)</f>
        <v>0</v>
      </c>
      <c r="AK639" s="96">
        <f>IF(R639=0,0,IF(AA639&gt;0,N(L639),IF(ISNUMBER(I639),I639,0)))</f>
        <v>0</v>
      </c>
      <c r="AL639" s="96">
        <f>IF(R639=0,0,IF(AND(K639&lt;&gt;"Sim",N(M639)&gt;AK639+cfg_tol),1,0))</f>
        <v>0</v>
      </c>
      <c r="AM639" s="96">
        <f>IF(R639=0,0,IF(K639="Sim",0,IF(OR(AND(AA639&gt;0,ISNUMBER(I639),ABS(I639-N(L639))&gt;cfg_tol),AL639=1),1,0)))</f>
        <v>0</v>
      </c>
      <c r="AN639" s="96">
        <f>IF(AND(R639=1,N(M639)&gt;0,OR(N(M639)&gt;=AK639-cfg_tol,K639="Sim")),1,0)</f>
        <v>0</v>
      </c>
      <c r="AO639" s="96">
        <f>IF(AND(AN639=1,AD639&gt;0,AE639=AD639,AL639=0),1,0)</f>
        <v>0</v>
      </c>
      <c r="AP639" s="96">
        <f>IF(U639=0,0,IF(AND(INDEX('MTRs'!$AX$6:$AX$505,T639)=1,Z639=0,OR(f_res="",f_res="(Todos)",C639=f_res)),1,0))</f>
        <v>0</v>
      </c>
      <c r="AQ639" s="97" t="str">
        <f>IF(U639=0,"",INDEX('MTRs'!$AZ$6:$AZ$505,T639))</f>
        <v/>
      </c>
      <c r="AR639" s="96">
        <f>IF(U639=0,0,IF(AND(INDEX('MTRs'!$BA$6:$BA$505,T639)=1,Z639=0),1,0))</f>
        <v>0</v>
      </c>
      <c r="AS639" s="96" t="str">
        <f>IF(R639=1,A639&amp;" | MTR "&amp;IF(U639=1,INDEX('MTRs'!$B$6:$B$505,T639)&amp;"","?")&amp;" | "&amp;IF(C639="","(sem resíduo)",C639),"")</f>
        <v/>
      </c>
      <c r="AT639" s="96" t="str">
        <f>IF(R639=1,COUNTIF($R$6:R639,1),"")</f>
        <v/>
      </c>
      <c r="AU639" s="96" t="str">
        <f>IF(U639=1,INDEX('MTRs'!$I$6:$I$505,T639)&amp;"","")</f>
        <v/>
      </c>
    </row>
    <row r="640">
      <c r="A640" s="89" t="inlineStr">
        <is>
          <t>IT-000635</t>
        </is>
      </c>
      <c r="B640" s="91" t="n"/>
      <c r="C640" s="91" t="n"/>
      <c r="D640" s="94" t="str">
        <f>IF(OR(R640=0,V640=0),"",INDEX('CAD_RESÍDUOS'!$E$6:$E$205,MATCH(C640,'CAD_RESÍDUOS'!$B$6:$B$205,0))&amp;"")</f>
        <v/>
      </c>
      <c r="E640" s="94" t="str">
        <f>IF(OR(R640=0,V640=0),"",INDEX('CAD_RESÍDUOS'!$C$6:$C$205,MATCH(C640,'CAD_RESÍDUOS'!$B$6:$B$205,0))&amp;"")</f>
        <v/>
      </c>
      <c r="F640" s="94" t="str">
        <f>IF(OR(R640=0,V640=0),"",INDEX('CAD_RESÍDUOS'!$G$6:$G$205,MATCH(C640,'CAD_RESÍDUOS'!$B$6:$B$205,0))&amp;"")</f>
        <v/>
      </c>
      <c r="G640" s="98" t="n"/>
      <c r="H640" s="91" t="n"/>
      <c r="I640" s="93" t="str">
        <f>IF(R640=0,"",IF(NOT(ISNUMBER(G640)),"",IF(ISNUMBER(X640),G640*X640,"UNIDADE A CONFERIR")))</f>
        <v/>
      </c>
      <c r="J640" s="91" t="n"/>
      <c r="K640" s="91" t="n"/>
      <c r="L640" s="93" t="str">
        <f>IF(R640=0,"",SUMIFS('RECEBIMENTOS'!$H$6:$H$1005,'RECEBIMENTOS'!$R$6:$R$1005,A640,'RECEBIMENTOS'!$X$6:$X$1005,1))</f>
        <v/>
      </c>
      <c r="M640" s="93" t="str">
        <f>IF(R640=0,"",SUMIFS('VÍNCULOS_CDF'!$H$6:$H$1005,'VÍNCULOS_CDF'!$R$6:$R$1005,A640,'VÍNCULOS_CDF'!$V$6:$V$1005,1))</f>
        <v/>
      </c>
      <c r="N640" s="99" t="str">
        <f>IF(OR(R640=0,AA640=0,NOT(ISNUMBER(I640))),"",I640-N(L640))</f>
        <v/>
      </c>
      <c r="O640" s="100" t="str">
        <f>IF(OR(R640=0,AK640&lt;=0),"",N(M640)/AK640)</f>
        <v/>
      </c>
      <c r="P640" s="94" t="str">
        <f>IF(R640=0,"",IF(S640="","Sem MTR associado",IF(U640=0,"MTR inexistente",IF(C640="","Resíduo não identificado",IF(V640=0,"Resíduo fora do cadastro",IF(W640=0,"Quantidade inválida",IF(H640="","Unidade não informada",IF(NOT(ISNUMBER(I640)),"Unidade a conferir",IF(AND(AH640=1,K640&lt;&gt;"Sim"),"Possível duplicidade",IF(Z640=1,"MTR cancelado",IF(AC640&gt;0,"Recebimento com alerta",IF(AA640=0,"Aguardando recebimento",IF(AB640&lt;AA640,"Recebimento a conferir",IF(AM640=1,"Quantidade a revisar",IF(AF640&gt;0,"Vínculo a revisar",IF(AD640=0,"Aguardando CDF",IF(AN640=0,"Vínculo de CDF parcial",IF(AE640&lt;AD640,"CDF a conferir","Documentação conferida"))))))))))))))))))</f>
        <v/>
      </c>
      <c r="Q640" s="93" t="str">
        <f>IF(OR(R640=0,AA640=0),"",MAX(0,N(L640)-N(M640)))</f>
        <v/>
      </c>
      <c r="R640" s="96">
        <f>IF(COUNTA(B640:C640,G640:H640,J640:K640)&gt;0,1,0)</f>
        <v>0</v>
      </c>
      <c r="S640" s="96" t="str">
        <f>IF(B640="","",TRIM(LEFT(B640,FIND(" |",B640&amp;" |")-1)))</f>
        <v/>
      </c>
      <c r="T640" s="96" t="str">
        <f>IF(S640="","",IFERROR(MATCH(S640,'MTRs'!$A$6:$A$505,0),""))</f>
        <v/>
      </c>
      <c r="U640" s="96">
        <f>IF(T640="",0,IF(INDEX('MTRs'!$Z$6:$Z$505,T640)=1,1,0))</f>
        <v>0</v>
      </c>
      <c r="V640" s="96">
        <f>IF(C640="",0,IF(ISNUMBER(MATCH(C640,'CAD_RESÍDUOS'!$B$6:$B$205,0)),1,0))</f>
        <v>0</v>
      </c>
      <c r="W640" s="96">
        <f>IF(AND(ISNUMBER(G640),G640&gt;0),1,0)</f>
        <v>0</v>
      </c>
      <c r="X640" s="96" t="str">
        <f>IF(H640="","",IFERROR(IF(ISNUMBER(INDEX(cfg_fac,MATCH(H640,cfg_units,0))),IF(INDEX(cfg_fac,MATCH(H640,cfg_units,0))&gt;0,INDEX(cfg_fac,MATCH(H640,cfg_units,0)),""),""),""))</f>
        <v/>
      </c>
      <c r="Y640" s="96">
        <f>IF(AND(W640=1,ISNUMBER(I640)),1,0)</f>
        <v>0</v>
      </c>
      <c r="Z640" s="96">
        <f>IF(U640=1,INDEX('MTRs'!$AA$6:$AA$505,T640),0)</f>
        <v>0</v>
      </c>
      <c r="AA640" s="96">
        <f>IF(R640=0,0,COUNTIFS('RECEBIMENTOS'!$R$6:$R$1005,A640,'RECEBIMENTOS'!$Q$6:$Q$1005,1))</f>
        <v>0</v>
      </c>
      <c r="AB640" s="96">
        <f>IF(R640=0,0,COUNTIFS('RECEBIMENTOS'!$R$6:$R$1005,A640,'RECEBIMENTOS'!$Z$6:$Z$1005,1))</f>
        <v>0</v>
      </c>
      <c r="AC640" s="96">
        <f>IF(R640=0,0,COUNTIFS('RECEBIMENTOS'!$R$6:$R$1005,A640,'RECEBIMENTOS'!$Y$6:$Y$1005,1))</f>
        <v>0</v>
      </c>
      <c r="AD640" s="96">
        <f>IF(R640=0,0,COUNTIFS('VÍNCULOS_CDF'!$R$6:$R$1005,A640,'VÍNCULOS_CDF'!$N$6:$N$1005,1))</f>
        <v>0</v>
      </c>
      <c r="AE640" s="96">
        <f>IF(R640=0,0,COUNTIFS('VÍNCULOS_CDF'!$R$6:$R$1005,A640,'VÍNCULOS_CDF'!$AA$6:$AA$1005,1))</f>
        <v>0</v>
      </c>
      <c r="AF640" s="96">
        <f>IF(R640=0,0,COUNTIFS('VÍNCULOS_CDF'!$R$6:$R$1005,A640,'VÍNCULOS_CDF'!$Y$6:$Y$1005,1))</f>
        <v>0</v>
      </c>
      <c r="AG640" s="96" t="str">
        <f>IF(AND(R640=1,S640&lt;&gt;"",C640&lt;&gt;""),S640&amp;"|"&amp;C640&amp;"|"&amp;G640&amp;"|"&amp;H640,"")</f>
        <v/>
      </c>
      <c r="AH640" s="96">
        <f>IF(AG640="",0,IF(SUMPRODUCT(--($AG$6:$AG$1005=AG640))&gt;1,1,0))</f>
        <v>0</v>
      </c>
      <c r="AI640" s="96">
        <f>IF(R640=0,0,IF(OR(U640=0,V640=0,Y640=0,AND(AH640=1,K640&lt;&gt;"Sim")),1,0))</f>
        <v>0</v>
      </c>
      <c r="AJ640" s="96">
        <f>IF(AND(R640=1,AA640&gt;0,AB640=AA640),1,0)</f>
        <v>0</v>
      </c>
      <c r="AK640" s="96">
        <f>IF(R640=0,0,IF(AA640&gt;0,N(L640),IF(ISNUMBER(I640),I640,0)))</f>
        <v>0</v>
      </c>
      <c r="AL640" s="96">
        <f>IF(R640=0,0,IF(AND(K640&lt;&gt;"Sim",N(M640)&gt;AK640+cfg_tol),1,0))</f>
        <v>0</v>
      </c>
      <c r="AM640" s="96">
        <f>IF(R640=0,0,IF(K640="Sim",0,IF(OR(AND(AA640&gt;0,ISNUMBER(I640),ABS(I640-N(L640))&gt;cfg_tol),AL640=1),1,0)))</f>
        <v>0</v>
      </c>
      <c r="AN640" s="96">
        <f>IF(AND(R640=1,N(M640)&gt;0,OR(N(M640)&gt;=AK640-cfg_tol,K640="Sim")),1,0)</f>
        <v>0</v>
      </c>
      <c r="AO640" s="96">
        <f>IF(AND(AN640=1,AD640&gt;0,AE640=AD640,AL640=0),1,0)</f>
        <v>0</v>
      </c>
      <c r="AP640" s="96">
        <f>IF(U640=0,0,IF(AND(INDEX('MTRs'!$AX$6:$AX$505,T640)=1,Z640=0,OR(f_res="",f_res="(Todos)",C640=f_res)),1,0))</f>
        <v>0</v>
      </c>
      <c r="AQ640" s="97" t="str">
        <f>IF(U640=0,"",INDEX('MTRs'!$AZ$6:$AZ$505,T640))</f>
        <v/>
      </c>
      <c r="AR640" s="96">
        <f>IF(U640=0,0,IF(AND(INDEX('MTRs'!$BA$6:$BA$505,T640)=1,Z640=0),1,0))</f>
        <v>0</v>
      </c>
      <c r="AS640" s="96" t="str">
        <f>IF(R640=1,A640&amp;" | MTR "&amp;IF(U640=1,INDEX('MTRs'!$B$6:$B$505,T640)&amp;"","?")&amp;" | "&amp;IF(C640="","(sem resíduo)",C640),"")</f>
        <v/>
      </c>
      <c r="AT640" s="96" t="str">
        <f>IF(R640=1,COUNTIF($R$6:R640,1),"")</f>
        <v/>
      </c>
      <c r="AU640" s="96" t="str">
        <f>IF(U640=1,INDEX('MTRs'!$I$6:$I$505,T640)&amp;"","")</f>
        <v/>
      </c>
    </row>
    <row r="641">
      <c r="A641" s="89" t="inlineStr">
        <is>
          <t>IT-000636</t>
        </is>
      </c>
      <c r="B641" s="91" t="n"/>
      <c r="C641" s="91" t="n"/>
      <c r="D641" s="94" t="str">
        <f>IF(OR(R641=0,V641=0),"",INDEX('CAD_RESÍDUOS'!$E$6:$E$205,MATCH(C641,'CAD_RESÍDUOS'!$B$6:$B$205,0))&amp;"")</f>
        <v/>
      </c>
      <c r="E641" s="94" t="str">
        <f>IF(OR(R641=0,V641=0),"",INDEX('CAD_RESÍDUOS'!$C$6:$C$205,MATCH(C641,'CAD_RESÍDUOS'!$B$6:$B$205,0))&amp;"")</f>
        <v/>
      </c>
      <c r="F641" s="94" t="str">
        <f>IF(OR(R641=0,V641=0),"",INDEX('CAD_RESÍDUOS'!$G$6:$G$205,MATCH(C641,'CAD_RESÍDUOS'!$B$6:$B$205,0))&amp;"")</f>
        <v/>
      </c>
      <c r="G641" s="98" t="n"/>
      <c r="H641" s="91" t="n"/>
      <c r="I641" s="93" t="str">
        <f>IF(R641=0,"",IF(NOT(ISNUMBER(G641)),"",IF(ISNUMBER(X641),G641*X641,"UNIDADE A CONFERIR")))</f>
        <v/>
      </c>
      <c r="J641" s="91" t="n"/>
      <c r="K641" s="91" t="n"/>
      <c r="L641" s="93" t="str">
        <f>IF(R641=0,"",SUMIFS('RECEBIMENTOS'!$H$6:$H$1005,'RECEBIMENTOS'!$R$6:$R$1005,A641,'RECEBIMENTOS'!$X$6:$X$1005,1))</f>
        <v/>
      </c>
      <c r="M641" s="93" t="str">
        <f>IF(R641=0,"",SUMIFS('VÍNCULOS_CDF'!$H$6:$H$1005,'VÍNCULOS_CDF'!$R$6:$R$1005,A641,'VÍNCULOS_CDF'!$V$6:$V$1005,1))</f>
        <v/>
      </c>
      <c r="N641" s="99" t="str">
        <f>IF(OR(R641=0,AA641=0,NOT(ISNUMBER(I641))),"",I641-N(L641))</f>
        <v/>
      </c>
      <c r="O641" s="100" t="str">
        <f>IF(OR(R641=0,AK641&lt;=0),"",N(M641)/AK641)</f>
        <v/>
      </c>
      <c r="P641" s="94" t="str">
        <f>IF(R641=0,"",IF(S641="","Sem MTR associado",IF(U641=0,"MTR inexistente",IF(C641="","Resíduo não identificado",IF(V641=0,"Resíduo fora do cadastro",IF(W641=0,"Quantidade inválida",IF(H641="","Unidade não informada",IF(NOT(ISNUMBER(I641)),"Unidade a conferir",IF(AND(AH641=1,K641&lt;&gt;"Sim"),"Possível duplicidade",IF(Z641=1,"MTR cancelado",IF(AC641&gt;0,"Recebimento com alerta",IF(AA641=0,"Aguardando recebimento",IF(AB641&lt;AA641,"Recebimento a conferir",IF(AM641=1,"Quantidade a revisar",IF(AF641&gt;0,"Vínculo a revisar",IF(AD641=0,"Aguardando CDF",IF(AN641=0,"Vínculo de CDF parcial",IF(AE641&lt;AD641,"CDF a conferir","Documentação conferida"))))))))))))))))))</f>
        <v/>
      </c>
      <c r="Q641" s="93" t="str">
        <f>IF(OR(R641=0,AA641=0),"",MAX(0,N(L641)-N(M641)))</f>
        <v/>
      </c>
      <c r="R641" s="96">
        <f>IF(COUNTA(B641:C641,G641:H641,J641:K641)&gt;0,1,0)</f>
        <v>0</v>
      </c>
      <c r="S641" s="96" t="str">
        <f>IF(B641="","",TRIM(LEFT(B641,FIND(" |",B641&amp;" |")-1)))</f>
        <v/>
      </c>
      <c r="T641" s="96" t="str">
        <f>IF(S641="","",IFERROR(MATCH(S641,'MTRs'!$A$6:$A$505,0),""))</f>
        <v/>
      </c>
      <c r="U641" s="96">
        <f>IF(T641="",0,IF(INDEX('MTRs'!$Z$6:$Z$505,T641)=1,1,0))</f>
        <v>0</v>
      </c>
      <c r="V641" s="96">
        <f>IF(C641="",0,IF(ISNUMBER(MATCH(C641,'CAD_RESÍDUOS'!$B$6:$B$205,0)),1,0))</f>
        <v>0</v>
      </c>
      <c r="W641" s="96">
        <f>IF(AND(ISNUMBER(G641),G641&gt;0),1,0)</f>
        <v>0</v>
      </c>
      <c r="X641" s="96" t="str">
        <f>IF(H641="","",IFERROR(IF(ISNUMBER(INDEX(cfg_fac,MATCH(H641,cfg_units,0))),IF(INDEX(cfg_fac,MATCH(H641,cfg_units,0))&gt;0,INDEX(cfg_fac,MATCH(H641,cfg_units,0)),""),""),""))</f>
        <v/>
      </c>
      <c r="Y641" s="96">
        <f>IF(AND(W641=1,ISNUMBER(I641)),1,0)</f>
        <v>0</v>
      </c>
      <c r="Z641" s="96">
        <f>IF(U641=1,INDEX('MTRs'!$AA$6:$AA$505,T641),0)</f>
        <v>0</v>
      </c>
      <c r="AA641" s="96">
        <f>IF(R641=0,0,COUNTIFS('RECEBIMENTOS'!$R$6:$R$1005,A641,'RECEBIMENTOS'!$Q$6:$Q$1005,1))</f>
        <v>0</v>
      </c>
      <c r="AB641" s="96">
        <f>IF(R641=0,0,COUNTIFS('RECEBIMENTOS'!$R$6:$R$1005,A641,'RECEBIMENTOS'!$Z$6:$Z$1005,1))</f>
        <v>0</v>
      </c>
      <c r="AC641" s="96">
        <f>IF(R641=0,0,COUNTIFS('RECEBIMENTOS'!$R$6:$R$1005,A641,'RECEBIMENTOS'!$Y$6:$Y$1005,1))</f>
        <v>0</v>
      </c>
      <c r="AD641" s="96">
        <f>IF(R641=0,0,COUNTIFS('VÍNCULOS_CDF'!$R$6:$R$1005,A641,'VÍNCULOS_CDF'!$N$6:$N$1005,1))</f>
        <v>0</v>
      </c>
      <c r="AE641" s="96">
        <f>IF(R641=0,0,COUNTIFS('VÍNCULOS_CDF'!$R$6:$R$1005,A641,'VÍNCULOS_CDF'!$AA$6:$AA$1005,1))</f>
        <v>0</v>
      </c>
      <c r="AF641" s="96">
        <f>IF(R641=0,0,COUNTIFS('VÍNCULOS_CDF'!$R$6:$R$1005,A641,'VÍNCULOS_CDF'!$Y$6:$Y$1005,1))</f>
        <v>0</v>
      </c>
      <c r="AG641" s="96" t="str">
        <f>IF(AND(R641=1,S641&lt;&gt;"",C641&lt;&gt;""),S641&amp;"|"&amp;C641&amp;"|"&amp;G641&amp;"|"&amp;H641,"")</f>
        <v/>
      </c>
      <c r="AH641" s="96">
        <f>IF(AG641="",0,IF(SUMPRODUCT(--($AG$6:$AG$1005=AG641))&gt;1,1,0))</f>
        <v>0</v>
      </c>
      <c r="AI641" s="96">
        <f>IF(R641=0,0,IF(OR(U641=0,V641=0,Y641=0,AND(AH641=1,K641&lt;&gt;"Sim")),1,0))</f>
        <v>0</v>
      </c>
      <c r="AJ641" s="96">
        <f>IF(AND(R641=1,AA641&gt;0,AB641=AA641),1,0)</f>
        <v>0</v>
      </c>
      <c r="AK641" s="96">
        <f>IF(R641=0,0,IF(AA641&gt;0,N(L641),IF(ISNUMBER(I641),I641,0)))</f>
        <v>0</v>
      </c>
      <c r="AL641" s="96">
        <f>IF(R641=0,0,IF(AND(K641&lt;&gt;"Sim",N(M641)&gt;AK641+cfg_tol),1,0))</f>
        <v>0</v>
      </c>
      <c r="AM641" s="96">
        <f>IF(R641=0,0,IF(K641="Sim",0,IF(OR(AND(AA641&gt;0,ISNUMBER(I641),ABS(I641-N(L641))&gt;cfg_tol),AL641=1),1,0)))</f>
        <v>0</v>
      </c>
      <c r="AN641" s="96">
        <f>IF(AND(R641=1,N(M641)&gt;0,OR(N(M641)&gt;=AK641-cfg_tol,K641="Sim")),1,0)</f>
        <v>0</v>
      </c>
      <c r="AO641" s="96">
        <f>IF(AND(AN641=1,AD641&gt;0,AE641=AD641,AL641=0),1,0)</f>
        <v>0</v>
      </c>
      <c r="AP641" s="96">
        <f>IF(U641=0,0,IF(AND(INDEX('MTRs'!$AX$6:$AX$505,T641)=1,Z641=0,OR(f_res="",f_res="(Todos)",C641=f_res)),1,0))</f>
        <v>0</v>
      </c>
      <c r="AQ641" s="97" t="str">
        <f>IF(U641=0,"",INDEX('MTRs'!$AZ$6:$AZ$505,T641))</f>
        <v/>
      </c>
      <c r="AR641" s="96">
        <f>IF(U641=0,0,IF(AND(INDEX('MTRs'!$BA$6:$BA$505,T641)=1,Z641=0),1,0))</f>
        <v>0</v>
      </c>
      <c r="AS641" s="96" t="str">
        <f>IF(R641=1,A641&amp;" | MTR "&amp;IF(U641=1,INDEX('MTRs'!$B$6:$B$505,T641)&amp;"","?")&amp;" | "&amp;IF(C641="","(sem resíduo)",C641),"")</f>
        <v/>
      </c>
      <c r="AT641" s="96" t="str">
        <f>IF(R641=1,COUNTIF($R$6:R641,1),"")</f>
        <v/>
      </c>
      <c r="AU641" s="96" t="str">
        <f>IF(U641=1,INDEX('MTRs'!$I$6:$I$505,T641)&amp;"","")</f>
        <v/>
      </c>
    </row>
    <row r="642">
      <c r="A642" s="89" t="inlineStr">
        <is>
          <t>IT-000637</t>
        </is>
      </c>
      <c r="B642" s="91" t="n"/>
      <c r="C642" s="91" t="n"/>
      <c r="D642" s="94" t="str">
        <f>IF(OR(R642=0,V642=0),"",INDEX('CAD_RESÍDUOS'!$E$6:$E$205,MATCH(C642,'CAD_RESÍDUOS'!$B$6:$B$205,0))&amp;"")</f>
        <v/>
      </c>
      <c r="E642" s="94" t="str">
        <f>IF(OR(R642=0,V642=0),"",INDEX('CAD_RESÍDUOS'!$C$6:$C$205,MATCH(C642,'CAD_RESÍDUOS'!$B$6:$B$205,0))&amp;"")</f>
        <v/>
      </c>
      <c r="F642" s="94" t="str">
        <f>IF(OR(R642=0,V642=0),"",INDEX('CAD_RESÍDUOS'!$G$6:$G$205,MATCH(C642,'CAD_RESÍDUOS'!$B$6:$B$205,0))&amp;"")</f>
        <v/>
      </c>
      <c r="G642" s="98" t="n"/>
      <c r="H642" s="91" t="n"/>
      <c r="I642" s="93" t="str">
        <f>IF(R642=0,"",IF(NOT(ISNUMBER(G642)),"",IF(ISNUMBER(X642),G642*X642,"UNIDADE A CONFERIR")))</f>
        <v/>
      </c>
      <c r="J642" s="91" t="n"/>
      <c r="K642" s="91" t="n"/>
      <c r="L642" s="93" t="str">
        <f>IF(R642=0,"",SUMIFS('RECEBIMENTOS'!$H$6:$H$1005,'RECEBIMENTOS'!$R$6:$R$1005,A642,'RECEBIMENTOS'!$X$6:$X$1005,1))</f>
        <v/>
      </c>
      <c r="M642" s="93" t="str">
        <f>IF(R642=0,"",SUMIFS('VÍNCULOS_CDF'!$H$6:$H$1005,'VÍNCULOS_CDF'!$R$6:$R$1005,A642,'VÍNCULOS_CDF'!$V$6:$V$1005,1))</f>
        <v/>
      </c>
      <c r="N642" s="99" t="str">
        <f>IF(OR(R642=0,AA642=0,NOT(ISNUMBER(I642))),"",I642-N(L642))</f>
        <v/>
      </c>
      <c r="O642" s="100" t="str">
        <f>IF(OR(R642=0,AK642&lt;=0),"",N(M642)/AK642)</f>
        <v/>
      </c>
      <c r="P642" s="94" t="str">
        <f>IF(R642=0,"",IF(S642="","Sem MTR associado",IF(U642=0,"MTR inexistente",IF(C642="","Resíduo não identificado",IF(V642=0,"Resíduo fora do cadastro",IF(W642=0,"Quantidade inválida",IF(H642="","Unidade não informada",IF(NOT(ISNUMBER(I642)),"Unidade a conferir",IF(AND(AH642=1,K642&lt;&gt;"Sim"),"Possível duplicidade",IF(Z642=1,"MTR cancelado",IF(AC642&gt;0,"Recebimento com alerta",IF(AA642=0,"Aguardando recebimento",IF(AB642&lt;AA642,"Recebimento a conferir",IF(AM642=1,"Quantidade a revisar",IF(AF642&gt;0,"Vínculo a revisar",IF(AD642=0,"Aguardando CDF",IF(AN642=0,"Vínculo de CDF parcial",IF(AE642&lt;AD642,"CDF a conferir","Documentação conferida"))))))))))))))))))</f>
        <v/>
      </c>
      <c r="Q642" s="93" t="str">
        <f>IF(OR(R642=0,AA642=0),"",MAX(0,N(L642)-N(M642)))</f>
        <v/>
      </c>
      <c r="R642" s="96">
        <f>IF(COUNTA(B642:C642,G642:H642,J642:K642)&gt;0,1,0)</f>
        <v>0</v>
      </c>
      <c r="S642" s="96" t="str">
        <f>IF(B642="","",TRIM(LEFT(B642,FIND(" |",B642&amp;" |")-1)))</f>
        <v/>
      </c>
      <c r="T642" s="96" t="str">
        <f>IF(S642="","",IFERROR(MATCH(S642,'MTRs'!$A$6:$A$505,0),""))</f>
        <v/>
      </c>
      <c r="U642" s="96">
        <f>IF(T642="",0,IF(INDEX('MTRs'!$Z$6:$Z$505,T642)=1,1,0))</f>
        <v>0</v>
      </c>
      <c r="V642" s="96">
        <f>IF(C642="",0,IF(ISNUMBER(MATCH(C642,'CAD_RESÍDUOS'!$B$6:$B$205,0)),1,0))</f>
        <v>0</v>
      </c>
      <c r="W642" s="96">
        <f>IF(AND(ISNUMBER(G642),G642&gt;0),1,0)</f>
        <v>0</v>
      </c>
      <c r="X642" s="96" t="str">
        <f>IF(H642="","",IFERROR(IF(ISNUMBER(INDEX(cfg_fac,MATCH(H642,cfg_units,0))),IF(INDEX(cfg_fac,MATCH(H642,cfg_units,0))&gt;0,INDEX(cfg_fac,MATCH(H642,cfg_units,0)),""),""),""))</f>
        <v/>
      </c>
      <c r="Y642" s="96">
        <f>IF(AND(W642=1,ISNUMBER(I642)),1,0)</f>
        <v>0</v>
      </c>
      <c r="Z642" s="96">
        <f>IF(U642=1,INDEX('MTRs'!$AA$6:$AA$505,T642),0)</f>
        <v>0</v>
      </c>
      <c r="AA642" s="96">
        <f>IF(R642=0,0,COUNTIFS('RECEBIMENTOS'!$R$6:$R$1005,A642,'RECEBIMENTOS'!$Q$6:$Q$1005,1))</f>
        <v>0</v>
      </c>
      <c r="AB642" s="96">
        <f>IF(R642=0,0,COUNTIFS('RECEBIMENTOS'!$R$6:$R$1005,A642,'RECEBIMENTOS'!$Z$6:$Z$1005,1))</f>
        <v>0</v>
      </c>
      <c r="AC642" s="96">
        <f>IF(R642=0,0,COUNTIFS('RECEBIMENTOS'!$R$6:$R$1005,A642,'RECEBIMENTOS'!$Y$6:$Y$1005,1))</f>
        <v>0</v>
      </c>
      <c r="AD642" s="96">
        <f>IF(R642=0,0,COUNTIFS('VÍNCULOS_CDF'!$R$6:$R$1005,A642,'VÍNCULOS_CDF'!$N$6:$N$1005,1))</f>
        <v>0</v>
      </c>
      <c r="AE642" s="96">
        <f>IF(R642=0,0,COUNTIFS('VÍNCULOS_CDF'!$R$6:$R$1005,A642,'VÍNCULOS_CDF'!$AA$6:$AA$1005,1))</f>
        <v>0</v>
      </c>
      <c r="AF642" s="96">
        <f>IF(R642=0,0,COUNTIFS('VÍNCULOS_CDF'!$R$6:$R$1005,A642,'VÍNCULOS_CDF'!$Y$6:$Y$1005,1))</f>
        <v>0</v>
      </c>
      <c r="AG642" s="96" t="str">
        <f>IF(AND(R642=1,S642&lt;&gt;"",C642&lt;&gt;""),S642&amp;"|"&amp;C642&amp;"|"&amp;G642&amp;"|"&amp;H642,"")</f>
        <v/>
      </c>
      <c r="AH642" s="96">
        <f>IF(AG642="",0,IF(SUMPRODUCT(--($AG$6:$AG$1005=AG642))&gt;1,1,0))</f>
        <v>0</v>
      </c>
      <c r="AI642" s="96">
        <f>IF(R642=0,0,IF(OR(U642=0,V642=0,Y642=0,AND(AH642=1,K642&lt;&gt;"Sim")),1,0))</f>
        <v>0</v>
      </c>
      <c r="AJ642" s="96">
        <f>IF(AND(R642=1,AA642&gt;0,AB642=AA642),1,0)</f>
        <v>0</v>
      </c>
      <c r="AK642" s="96">
        <f>IF(R642=0,0,IF(AA642&gt;0,N(L642),IF(ISNUMBER(I642),I642,0)))</f>
        <v>0</v>
      </c>
      <c r="AL642" s="96">
        <f>IF(R642=0,0,IF(AND(K642&lt;&gt;"Sim",N(M642)&gt;AK642+cfg_tol),1,0))</f>
        <v>0</v>
      </c>
      <c r="AM642" s="96">
        <f>IF(R642=0,0,IF(K642="Sim",0,IF(OR(AND(AA642&gt;0,ISNUMBER(I642),ABS(I642-N(L642))&gt;cfg_tol),AL642=1),1,0)))</f>
        <v>0</v>
      </c>
      <c r="AN642" s="96">
        <f>IF(AND(R642=1,N(M642)&gt;0,OR(N(M642)&gt;=AK642-cfg_tol,K642="Sim")),1,0)</f>
        <v>0</v>
      </c>
      <c r="AO642" s="96">
        <f>IF(AND(AN642=1,AD642&gt;0,AE642=AD642,AL642=0),1,0)</f>
        <v>0</v>
      </c>
      <c r="AP642" s="96">
        <f>IF(U642=0,0,IF(AND(INDEX('MTRs'!$AX$6:$AX$505,T642)=1,Z642=0,OR(f_res="",f_res="(Todos)",C642=f_res)),1,0))</f>
        <v>0</v>
      </c>
      <c r="AQ642" s="97" t="str">
        <f>IF(U642=0,"",INDEX('MTRs'!$AZ$6:$AZ$505,T642))</f>
        <v/>
      </c>
      <c r="AR642" s="96">
        <f>IF(U642=0,0,IF(AND(INDEX('MTRs'!$BA$6:$BA$505,T642)=1,Z642=0),1,0))</f>
        <v>0</v>
      </c>
      <c r="AS642" s="96" t="str">
        <f>IF(R642=1,A642&amp;" | MTR "&amp;IF(U642=1,INDEX('MTRs'!$B$6:$B$505,T642)&amp;"","?")&amp;" | "&amp;IF(C642="","(sem resíduo)",C642),"")</f>
        <v/>
      </c>
      <c r="AT642" s="96" t="str">
        <f>IF(R642=1,COUNTIF($R$6:R642,1),"")</f>
        <v/>
      </c>
      <c r="AU642" s="96" t="str">
        <f>IF(U642=1,INDEX('MTRs'!$I$6:$I$505,T642)&amp;"","")</f>
        <v/>
      </c>
    </row>
    <row r="643">
      <c r="A643" s="89" t="inlineStr">
        <is>
          <t>IT-000638</t>
        </is>
      </c>
      <c r="B643" s="91" t="n"/>
      <c r="C643" s="91" t="n"/>
      <c r="D643" s="94" t="str">
        <f>IF(OR(R643=0,V643=0),"",INDEX('CAD_RESÍDUOS'!$E$6:$E$205,MATCH(C643,'CAD_RESÍDUOS'!$B$6:$B$205,0))&amp;"")</f>
        <v/>
      </c>
      <c r="E643" s="94" t="str">
        <f>IF(OR(R643=0,V643=0),"",INDEX('CAD_RESÍDUOS'!$C$6:$C$205,MATCH(C643,'CAD_RESÍDUOS'!$B$6:$B$205,0))&amp;"")</f>
        <v/>
      </c>
      <c r="F643" s="94" t="str">
        <f>IF(OR(R643=0,V643=0),"",INDEX('CAD_RESÍDUOS'!$G$6:$G$205,MATCH(C643,'CAD_RESÍDUOS'!$B$6:$B$205,0))&amp;"")</f>
        <v/>
      </c>
      <c r="G643" s="98" t="n"/>
      <c r="H643" s="91" t="n"/>
      <c r="I643" s="93" t="str">
        <f>IF(R643=0,"",IF(NOT(ISNUMBER(G643)),"",IF(ISNUMBER(X643),G643*X643,"UNIDADE A CONFERIR")))</f>
        <v/>
      </c>
      <c r="J643" s="91" t="n"/>
      <c r="K643" s="91" t="n"/>
      <c r="L643" s="93" t="str">
        <f>IF(R643=0,"",SUMIFS('RECEBIMENTOS'!$H$6:$H$1005,'RECEBIMENTOS'!$R$6:$R$1005,A643,'RECEBIMENTOS'!$X$6:$X$1005,1))</f>
        <v/>
      </c>
      <c r="M643" s="93" t="str">
        <f>IF(R643=0,"",SUMIFS('VÍNCULOS_CDF'!$H$6:$H$1005,'VÍNCULOS_CDF'!$R$6:$R$1005,A643,'VÍNCULOS_CDF'!$V$6:$V$1005,1))</f>
        <v/>
      </c>
      <c r="N643" s="99" t="str">
        <f>IF(OR(R643=0,AA643=0,NOT(ISNUMBER(I643))),"",I643-N(L643))</f>
        <v/>
      </c>
      <c r="O643" s="100" t="str">
        <f>IF(OR(R643=0,AK643&lt;=0),"",N(M643)/AK643)</f>
        <v/>
      </c>
      <c r="P643" s="94" t="str">
        <f>IF(R643=0,"",IF(S643="","Sem MTR associado",IF(U643=0,"MTR inexistente",IF(C643="","Resíduo não identificado",IF(V643=0,"Resíduo fora do cadastro",IF(W643=0,"Quantidade inválida",IF(H643="","Unidade não informada",IF(NOT(ISNUMBER(I643)),"Unidade a conferir",IF(AND(AH643=1,K643&lt;&gt;"Sim"),"Possível duplicidade",IF(Z643=1,"MTR cancelado",IF(AC643&gt;0,"Recebimento com alerta",IF(AA643=0,"Aguardando recebimento",IF(AB643&lt;AA643,"Recebimento a conferir",IF(AM643=1,"Quantidade a revisar",IF(AF643&gt;0,"Vínculo a revisar",IF(AD643=0,"Aguardando CDF",IF(AN643=0,"Vínculo de CDF parcial",IF(AE643&lt;AD643,"CDF a conferir","Documentação conferida"))))))))))))))))))</f>
        <v/>
      </c>
      <c r="Q643" s="93" t="str">
        <f>IF(OR(R643=0,AA643=0),"",MAX(0,N(L643)-N(M643)))</f>
        <v/>
      </c>
      <c r="R643" s="96">
        <f>IF(COUNTA(B643:C643,G643:H643,J643:K643)&gt;0,1,0)</f>
        <v>0</v>
      </c>
      <c r="S643" s="96" t="str">
        <f>IF(B643="","",TRIM(LEFT(B643,FIND(" |",B643&amp;" |")-1)))</f>
        <v/>
      </c>
      <c r="T643" s="96" t="str">
        <f>IF(S643="","",IFERROR(MATCH(S643,'MTRs'!$A$6:$A$505,0),""))</f>
        <v/>
      </c>
      <c r="U643" s="96">
        <f>IF(T643="",0,IF(INDEX('MTRs'!$Z$6:$Z$505,T643)=1,1,0))</f>
        <v>0</v>
      </c>
      <c r="V643" s="96">
        <f>IF(C643="",0,IF(ISNUMBER(MATCH(C643,'CAD_RESÍDUOS'!$B$6:$B$205,0)),1,0))</f>
        <v>0</v>
      </c>
      <c r="W643" s="96">
        <f>IF(AND(ISNUMBER(G643),G643&gt;0),1,0)</f>
        <v>0</v>
      </c>
      <c r="X643" s="96" t="str">
        <f>IF(H643="","",IFERROR(IF(ISNUMBER(INDEX(cfg_fac,MATCH(H643,cfg_units,0))),IF(INDEX(cfg_fac,MATCH(H643,cfg_units,0))&gt;0,INDEX(cfg_fac,MATCH(H643,cfg_units,0)),""),""),""))</f>
        <v/>
      </c>
      <c r="Y643" s="96">
        <f>IF(AND(W643=1,ISNUMBER(I643)),1,0)</f>
        <v>0</v>
      </c>
      <c r="Z643" s="96">
        <f>IF(U643=1,INDEX('MTRs'!$AA$6:$AA$505,T643),0)</f>
        <v>0</v>
      </c>
      <c r="AA643" s="96">
        <f>IF(R643=0,0,COUNTIFS('RECEBIMENTOS'!$R$6:$R$1005,A643,'RECEBIMENTOS'!$Q$6:$Q$1005,1))</f>
        <v>0</v>
      </c>
      <c r="AB643" s="96">
        <f>IF(R643=0,0,COUNTIFS('RECEBIMENTOS'!$R$6:$R$1005,A643,'RECEBIMENTOS'!$Z$6:$Z$1005,1))</f>
        <v>0</v>
      </c>
      <c r="AC643" s="96">
        <f>IF(R643=0,0,COUNTIFS('RECEBIMENTOS'!$R$6:$R$1005,A643,'RECEBIMENTOS'!$Y$6:$Y$1005,1))</f>
        <v>0</v>
      </c>
      <c r="AD643" s="96">
        <f>IF(R643=0,0,COUNTIFS('VÍNCULOS_CDF'!$R$6:$R$1005,A643,'VÍNCULOS_CDF'!$N$6:$N$1005,1))</f>
        <v>0</v>
      </c>
      <c r="AE643" s="96">
        <f>IF(R643=0,0,COUNTIFS('VÍNCULOS_CDF'!$R$6:$R$1005,A643,'VÍNCULOS_CDF'!$AA$6:$AA$1005,1))</f>
        <v>0</v>
      </c>
      <c r="AF643" s="96">
        <f>IF(R643=0,0,COUNTIFS('VÍNCULOS_CDF'!$R$6:$R$1005,A643,'VÍNCULOS_CDF'!$Y$6:$Y$1005,1))</f>
        <v>0</v>
      </c>
      <c r="AG643" s="96" t="str">
        <f>IF(AND(R643=1,S643&lt;&gt;"",C643&lt;&gt;""),S643&amp;"|"&amp;C643&amp;"|"&amp;G643&amp;"|"&amp;H643,"")</f>
        <v/>
      </c>
      <c r="AH643" s="96">
        <f>IF(AG643="",0,IF(SUMPRODUCT(--($AG$6:$AG$1005=AG643))&gt;1,1,0))</f>
        <v>0</v>
      </c>
      <c r="AI643" s="96">
        <f>IF(R643=0,0,IF(OR(U643=0,V643=0,Y643=0,AND(AH643=1,K643&lt;&gt;"Sim")),1,0))</f>
        <v>0</v>
      </c>
      <c r="AJ643" s="96">
        <f>IF(AND(R643=1,AA643&gt;0,AB643=AA643),1,0)</f>
        <v>0</v>
      </c>
      <c r="AK643" s="96">
        <f>IF(R643=0,0,IF(AA643&gt;0,N(L643),IF(ISNUMBER(I643),I643,0)))</f>
        <v>0</v>
      </c>
      <c r="AL643" s="96">
        <f>IF(R643=0,0,IF(AND(K643&lt;&gt;"Sim",N(M643)&gt;AK643+cfg_tol),1,0))</f>
        <v>0</v>
      </c>
      <c r="AM643" s="96">
        <f>IF(R643=0,0,IF(K643="Sim",0,IF(OR(AND(AA643&gt;0,ISNUMBER(I643),ABS(I643-N(L643))&gt;cfg_tol),AL643=1),1,0)))</f>
        <v>0</v>
      </c>
      <c r="AN643" s="96">
        <f>IF(AND(R643=1,N(M643)&gt;0,OR(N(M643)&gt;=AK643-cfg_tol,K643="Sim")),1,0)</f>
        <v>0</v>
      </c>
      <c r="AO643" s="96">
        <f>IF(AND(AN643=1,AD643&gt;0,AE643=AD643,AL643=0),1,0)</f>
        <v>0</v>
      </c>
      <c r="AP643" s="96">
        <f>IF(U643=0,0,IF(AND(INDEX('MTRs'!$AX$6:$AX$505,T643)=1,Z643=0,OR(f_res="",f_res="(Todos)",C643=f_res)),1,0))</f>
        <v>0</v>
      </c>
      <c r="AQ643" s="97" t="str">
        <f>IF(U643=0,"",INDEX('MTRs'!$AZ$6:$AZ$505,T643))</f>
        <v/>
      </c>
      <c r="AR643" s="96">
        <f>IF(U643=0,0,IF(AND(INDEX('MTRs'!$BA$6:$BA$505,T643)=1,Z643=0),1,0))</f>
        <v>0</v>
      </c>
      <c r="AS643" s="96" t="str">
        <f>IF(R643=1,A643&amp;" | MTR "&amp;IF(U643=1,INDEX('MTRs'!$B$6:$B$505,T643)&amp;"","?")&amp;" | "&amp;IF(C643="","(sem resíduo)",C643),"")</f>
        <v/>
      </c>
      <c r="AT643" s="96" t="str">
        <f>IF(R643=1,COUNTIF($R$6:R643,1),"")</f>
        <v/>
      </c>
      <c r="AU643" s="96" t="str">
        <f>IF(U643=1,INDEX('MTRs'!$I$6:$I$505,T643)&amp;"","")</f>
        <v/>
      </c>
    </row>
    <row r="644">
      <c r="A644" s="89" t="inlineStr">
        <is>
          <t>IT-000639</t>
        </is>
      </c>
      <c r="B644" s="91" t="n"/>
      <c r="C644" s="91" t="n"/>
      <c r="D644" s="94" t="str">
        <f>IF(OR(R644=0,V644=0),"",INDEX('CAD_RESÍDUOS'!$E$6:$E$205,MATCH(C644,'CAD_RESÍDUOS'!$B$6:$B$205,0))&amp;"")</f>
        <v/>
      </c>
      <c r="E644" s="94" t="str">
        <f>IF(OR(R644=0,V644=0),"",INDEX('CAD_RESÍDUOS'!$C$6:$C$205,MATCH(C644,'CAD_RESÍDUOS'!$B$6:$B$205,0))&amp;"")</f>
        <v/>
      </c>
      <c r="F644" s="94" t="str">
        <f>IF(OR(R644=0,V644=0),"",INDEX('CAD_RESÍDUOS'!$G$6:$G$205,MATCH(C644,'CAD_RESÍDUOS'!$B$6:$B$205,0))&amp;"")</f>
        <v/>
      </c>
      <c r="G644" s="98" t="n"/>
      <c r="H644" s="91" t="n"/>
      <c r="I644" s="93" t="str">
        <f>IF(R644=0,"",IF(NOT(ISNUMBER(G644)),"",IF(ISNUMBER(X644),G644*X644,"UNIDADE A CONFERIR")))</f>
        <v/>
      </c>
      <c r="J644" s="91" t="n"/>
      <c r="K644" s="91" t="n"/>
      <c r="L644" s="93" t="str">
        <f>IF(R644=0,"",SUMIFS('RECEBIMENTOS'!$H$6:$H$1005,'RECEBIMENTOS'!$R$6:$R$1005,A644,'RECEBIMENTOS'!$X$6:$X$1005,1))</f>
        <v/>
      </c>
      <c r="M644" s="93" t="str">
        <f>IF(R644=0,"",SUMIFS('VÍNCULOS_CDF'!$H$6:$H$1005,'VÍNCULOS_CDF'!$R$6:$R$1005,A644,'VÍNCULOS_CDF'!$V$6:$V$1005,1))</f>
        <v/>
      </c>
      <c r="N644" s="99" t="str">
        <f>IF(OR(R644=0,AA644=0,NOT(ISNUMBER(I644))),"",I644-N(L644))</f>
        <v/>
      </c>
      <c r="O644" s="100" t="str">
        <f>IF(OR(R644=0,AK644&lt;=0),"",N(M644)/AK644)</f>
        <v/>
      </c>
      <c r="P644" s="94" t="str">
        <f>IF(R644=0,"",IF(S644="","Sem MTR associado",IF(U644=0,"MTR inexistente",IF(C644="","Resíduo não identificado",IF(V644=0,"Resíduo fora do cadastro",IF(W644=0,"Quantidade inválida",IF(H644="","Unidade não informada",IF(NOT(ISNUMBER(I644)),"Unidade a conferir",IF(AND(AH644=1,K644&lt;&gt;"Sim"),"Possível duplicidade",IF(Z644=1,"MTR cancelado",IF(AC644&gt;0,"Recebimento com alerta",IF(AA644=0,"Aguardando recebimento",IF(AB644&lt;AA644,"Recebimento a conferir",IF(AM644=1,"Quantidade a revisar",IF(AF644&gt;0,"Vínculo a revisar",IF(AD644=0,"Aguardando CDF",IF(AN644=0,"Vínculo de CDF parcial",IF(AE644&lt;AD644,"CDF a conferir","Documentação conferida"))))))))))))))))))</f>
        <v/>
      </c>
      <c r="Q644" s="93" t="str">
        <f>IF(OR(R644=0,AA644=0),"",MAX(0,N(L644)-N(M644)))</f>
        <v/>
      </c>
      <c r="R644" s="96">
        <f>IF(COUNTA(B644:C644,G644:H644,J644:K644)&gt;0,1,0)</f>
        <v>0</v>
      </c>
      <c r="S644" s="96" t="str">
        <f>IF(B644="","",TRIM(LEFT(B644,FIND(" |",B644&amp;" |")-1)))</f>
        <v/>
      </c>
      <c r="T644" s="96" t="str">
        <f>IF(S644="","",IFERROR(MATCH(S644,'MTRs'!$A$6:$A$505,0),""))</f>
        <v/>
      </c>
      <c r="U644" s="96">
        <f>IF(T644="",0,IF(INDEX('MTRs'!$Z$6:$Z$505,T644)=1,1,0))</f>
        <v>0</v>
      </c>
      <c r="V644" s="96">
        <f>IF(C644="",0,IF(ISNUMBER(MATCH(C644,'CAD_RESÍDUOS'!$B$6:$B$205,0)),1,0))</f>
        <v>0</v>
      </c>
      <c r="W644" s="96">
        <f>IF(AND(ISNUMBER(G644),G644&gt;0),1,0)</f>
        <v>0</v>
      </c>
      <c r="X644" s="96" t="str">
        <f>IF(H644="","",IFERROR(IF(ISNUMBER(INDEX(cfg_fac,MATCH(H644,cfg_units,0))),IF(INDEX(cfg_fac,MATCH(H644,cfg_units,0))&gt;0,INDEX(cfg_fac,MATCH(H644,cfg_units,0)),""),""),""))</f>
        <v/>
      </c>
      <c r="Y644" s="96">
        <f>IF(AND(W644=1,ISNUMBER(I644)),1,0)</f>
        <v>0</v>
      </c>
      <c r="Z644" s="96">
        <f>IF(U644=1,INDEX('MTRs'!$AA$6:$AA$505,T644),0)</f>
        <v>0</v>
      </c>
      <c r="AA644" s="96">
        <f>IF(R644=0,0,COUNTIFS('RECEBIMENTOS'!$R$6:$R$1005,A644,'RECEBIMENTOS'!$Q$6:$Q$1005,1))</f>
        <v>0</v>
      </c>
      <c r="AB644" s="96">
        <f>IF(R644=0,0,COUNTIFS('RECEBIMENTOS'!$R$6:$R$1005,A644,'RECEBIMENTOS'!$Z$6:$Z$1005,1))</f>
        <v>0</v>
      </c>
      <c r="AC644" s="96">
        <f>IF(R644=0,0,COUNTIFS('RECEBIMENTOS'!$R$6:$R$1005,A644,'RECEBIMENTOS'!$Y$6:$Y$1005,1))</f>
        <v>0</v>
      </c>
      <c r="AD644" s="96">
        <f>IF(R644=0,0,COUNTIFS('VÍNCULOS_CDF'!$R$6:$R$1005,A644,'VÍNCULOS_CDF'!$N$6:$N$1005,1))</f>
        <v>0</v>
      </c>
      <c r="AE644" s="96">
        <f>IF(R644=0,0,COUNTIFS('VÍNCULOS_CDF'!$R$6:$R$1005,A644,'VÍNCULOS_CDF'!$AA$6:$AA$1005,1))</f>
        <v>0</v>
      </c>
      <c r="AF644" s="96">
        <f>IF(R644=0,0,COUNTIFS('VÍNCULOS_CDF'!$R$6:$R$1005,A644,'VÍNCULOS_CDF'!$Y$6:$Y$1005,1))</f>
        <v>0</v>
      </c>
      <c r="AG644" s="96" t="str">
        <f>IF(AND(R644=1,S644&lt;&gt;"",C644&lt;&gt;""),S644&amp;"|"&amp;C644&amp;"|"&amp;G644&amp;"|"&amp;H644,"")</f>
        <v/>
      </c>
      <c r="AH644" s="96">
        <f>IF(AG644="",0,IF(SUMPRODUCT(--($AG$6:$AG$1005=AG644))&gt;1,1,0))</f>
        <v>0</v>
      </c>
      <c r="AI644" s="96">
        <f>IF(R644=0,0,IF(OR(U644=0,V644=0,Y644=0,AND(AH644=1,K644&lt;&gt;"Sim")),1,0))</f>
        <v>0</v>
      </c>
      <c r="AJ644" s="96">
        <f>IF(AND(R644=1,AA644&gt;0,AB644=AA644),1,0)</f>
        <v>0</v>
      </c>
      <c r="AK644" s="96">
        <f>IF(R644=0,0,IF(AA644&gt;0,N(L644),IF(ISNUMBER(I644),I644,0)))</f>
        <v>0</v>
      </c>
      <c r="AL644" s="96">
        <f>IF(R644=0,0,IF(AND(K644&lt;&gt;"Sim",N(M644)&gt;AK644+cfg_tol),1,0))</f>
        <v>0</v>
      </c>
      <c r="AM644" s="96">
        <f>IF(R644=0,0,IF(K644="Sim",0,IF(OR(AND(AA644&gt;0,ISNUMBER(I644),ABS(I644-N(L644))&gt;cfg_tol),AL644=1),1,0)))</f>
        <v>0</v>
      </c>
      <c r="AN644" s="96">
        <f>IF(AND(R644=1,N(M644)&gt;0,OR(N(M644)&gt;=AK644-cfg_tol,K644="Sim")),1,0)</f>
        <v>0</v>
      </c>
      <c r="AO644" s="96">
        <f>IF(AND(AN644=1,AD644&gt;0,AE644=AD644,AL644=0),1,0)</f>
        <v>0</v>
      </c>
      <c r="AP644" s="96">
        <f>IF(U644=0,0,IF(AND(INDEX('MTRs'!$AX$6:$AX$505,T644)=1,Z644=0,OR(f_res="",f_res="(Todos)",C644=f_res)),1,0))</f>
        <v>0</v>
      </c>
      <c r="AQ644" s="97" t="str">
        <f>IF(U644=0,"",INDEX('MTRs'!$AZ$6:$AZ$505,T644))</f>
        <v/>
      </c>
      <c r="AR644" s="96">
        <f>IF(U644=0,0,IF(AND(INDEX('MTRs'!$BA$6:$BA$505,T644)=1,Z644=0),1,0))</f>
        <v>0</v>
      </c>
      <c r="AS644" s="96" t="str">
        <f>IF(R644=1,A644&amp;" | MTR "&amp;IF(U644=1,INDEX('MTRs'!$B$6:$B$505,T644)&amp;"","?")&amp;" | "&amp;IF(C644="","(sem resíduo)",C644),"")</f>
        <v/>
      </c>
      <c r="AT644" s="96" t="str">
        <f>IF(R644=1,COUNTIF($R$6:R644,1),"")</f>
        <v/>
      </c>
      <c r="AU644" s="96" t="str">
        <f>IF(U644=1,INDEX('MTRs'!$I$6:$I$505,T644)&amp;"","")</f>
        <v/>
      </c>
    </row>
    <row r="645">
      <c r="A645" s="89" t="inlineStr">
        <is>
          <t>IT-000640</t>
        </is>
      </c>
      <c r="B645" s="91" t="n"/>
      <c r="C645" s="91" t="n"/>
      <c r="D645" s="94" t="str">
        <f>IF(OR(R645=0,V645=0),"",INDEX('CAD_RESÍDUOS'!$E$6:$E$205,MATCH(C645,'CAD_RESÍDUOS'!$B$6:$B$205,0))&amp;"")</f>
        <v/>
      </c>
      <c r="E645" s="94" t="str">
        <f>IF(OR(R645=0,V645=0),"",INDEX('CAD_RESÍDUOS'!$C$6:$C$205,MATCH(C645,'CAD_RESÍDUOS'!$B$6:$B$205,0))&amp;"")</f>
        <v/>
      </c>
      <c r="F645" s="94" t="str">
        <f>IF(OR(R645=0,V645=0),"",INDEX('CAD_RESÍDUOS'!$G$6:$G$205,MATCH(C645,'CAD_RESÍDUOS'!$B$6:$B$205,0))&amp;"")</f>
        <v/>
      </c>
      <c r="G645" s="98" t="n"/>
      <c r="H645" s="91" t="n"/>
      <c r="I645" s="93" t="str">
        <f>IF(R645=0,"",IF(NOT(ISNUMBER(G645)),"",IF(ISNUMBER(X645),G645*X645,"UNIDADE A CONFERIR")))</f>
        <v/>
      </c>
      <c r="J645" s="91" t="n"/>
      <c r="K645" s="91" t="n"/>
      <c r="L645" s="93" t="str">
        <f>IF(R645=0,"",SUMIFS('RECEBIMENTOS'!$H$6:$H$1005,'RECEBIMENTOS'!$R$6:$R$1005,A645,'RECEBIMENTOS'!$X$6:$X$1005,1))</f>
        <v/>
      </c>
      <c r="M645" s="93" t="str">
        <f>IF(R645=0,"",SUMIFS('VÍNCULOS_CDF'!$H$6:$H$1005,'VÍNCULOS_CDF'!$R$6:$R$1005,A645,'VÍNCULOS_CDF'!$V$6:$V$1005,1))</f>
        <v/>
      </c>
      <c r="N645" s="99" t="str">
        <f>IF(OR(R645=0,AA645=0,NOT(ISNUMBER(I645))),"",I645-N(L645))</f>
        <v/>
      </c>
      <c r="O645" s="100" t="str">
        <f>IF(OR(R645=0,AK645&lt;=0),"",N(M645)/AK645)</f>
        <v/>
      </c>
      <c r="P645" s="94" t="str">
        <f>IF(R645=0,"",IF(S645="","Sem MTR associado",IF(U645=0,"MTR inexistente",IF(C645="","Resíduo não identificado",IF(V645=0,"Resíduo fora do cadastro",IF(W645=0,"Quantidade inválida",IF(H645="","Unidade não informada",IF(NOT(ISNUMBER(I645)),"Unidade a conferir",IF(AND(AH645=1,K645&lt;&gt;"Sim"),"Possível duplicidade",IF(Z645=1,"MTR cancelado",IF(AC645&gt;0,"Recebimento com alerta",IF(AA645=0,"Aguardando recebimento",IF(AB645&lt;AA645,"Recebimento a conferir",IF(AM645=1,"Quantidade a revisar",IF(AF645&gt;0,"Vínculo a revisar",IF(AD645=0,"Aguardando CDF",IF(AN645=0,"Vínculo de CDF parcial",IF(AE645&lt;AD645,"CDF a conferir","Documentação conferida"))))))))))))))))))</f>
        <v/>
      </c>
      <c r="Q645" s="93" t="str">
        <f>IF(OR(R645=0,AA645=0),"",MAX(0,N(L645)-N(M645)))</f>
        <v/>
      </c>
      <c r="R645" s="96">
        <f>IF(COUNTA(B645:C645,G645:H645,J645:K645)&gt;0,1,0)</f>
        <v>0</v>
      </c>
      <c r="S645" s="96" t="str">
        <f>IF(B645="","",TRIM(LEFT(B645,FIND(" |",B645&amp;" |")-1)))</f>
        <v/>
      </c>
      <c r="T645" s="96" t="str">
        <f>IF(S645="","",IFERROR(MATCH(S645,'MTRs'!$A$6:$A$505,0),""))</f>
        <v/>
      </c>
      <c r="U645" s="96">
        <f>IF(T645="",0,IF(INDEX('MTRs'!$Z$6:$Z$505,T645)=1,1,0))</f>
        <v>0</v>
      </c>
      <c r="V645" s="96">
        <f>IF(C645="",0,IF(ISNUMBER(MATCH(C645,'CAD_RESÍDUOS'!$B$6:$B$205,0)),1,0))</f>
        <v>0</v>
      </c>
      <c r="W645" s="96">
        <f>IF(AND(ISNUMBER(G645),G645&gt;0),1,0)</f>
        <v>0</v>
      </c>
      <c r="X645" s="96" t="str">
        <f>IF(H645="","",IFERROR(IF(ISNUMBER(INDEX(cfg_fac,MATCH(H645,cfg_units,0))),IF(INDEX(cfg_fac,MATCH(H645,cfg_units,0))&gt;0,INDEX(cfg_fac,MATCH(H645,cfg_units,0)),""),""),""))</f>
        <v/>
      </c>
      <c r="Y645" s="96">
        <f>IF(AND(W645=1,ISNUMBER(I645)),1,0)</f>
        <v>0</v>
      </c>
      <c r="Z645" s="96">
        <f>IF(U645=1,INDEX('MTRs'!$AA$6:$AA$505,T645),0)</f>
        <v>0</v>
      </c>
      <c r="AA645" s="96">
        <f>IF(R645=0,0,COUNTIFS('RECEBIMENTOS'!$R$6:$R$1005,A645,'RECEBIMENTOS'!$Q$6:$Q$1005,1))</f>
        <v>0</v>
      </c>
      <c r="AB645" s="96">
        <f>IF(R645=0,0,COUNTIFS('RECEBIMENTOS'!$R$6:$R$1005,A645,'RECEBIMENTOS'!$Z$6:$Z$1005,1))</f>
        <v>0</v>
      </c>
      <c r="AC645" s="96">
        <f>IF(R645=0,0,COUNTIFS('RECEBIMENTOS'!$R$6:$R$1005,A645,'RECEBIMENTOS'!$Y$6:$Y$1005,1))</f>
        <v>0</v>
      </c>
      <c r="AD645" s="96">
        <f>IF(R645=0,0,COUNTIFS('VÍNCULOS_CDF'!$R$6:$R$1005,A645,'VÍNCULOS_CDF'!$N$6:$N$1005,1))</f>
        <v>0</v>
      </c>
      <c r="AE645" s="96">
        <f>IF(R645=0,0,COUNTIFS('VÍNCULOS_CDF'!$R$6:$R$1005,A645,'VÍNCULOS_CDF'!$AA$6:$AA$1005,1))</f>
        <v>0</v>
      </c>
      <c r="AF645" s="96">
        <f>IF(R645=0,0,COUNTIFS('VÍNCULOS_CDF'!$R$6:$R$1005,A645,'VÍNCULOS_CDF'!$Y$6:$Y$1005,1))</f>
        <v>0</v>
      </c>
      <c r="AG645" s="96" t="str">
        <f>IF(AND(R645=1,S645&lt;&gt;"",C645&lt;&gt;""),S645&amp;"|"&amp;C645&amp;"|"&amp;G645&amp;"|"&amp;H645,"")</f>
        <v/>
      </c>
      <c r="AH645" s="96">
        <f>IF(AG645="",0,IF(SUMPRODUCT(--($AG$6:$AG$1005=AG645))&gt;1,1,0))</f>
        <v>0</v>
      </c>
      <c r="AI645" s="96">
        <f>IF(R645=0,0,IF(OR(U645=0,V645=0,Y645=0,AND(AH645=1,K645&lt;&gt;"Sim")),1,0))</f>
        <v>0</v>
      </c>
      <c r="AJ645" s="96">
        <f>IF(AND(R645=1,AA645&gt;0,AB645=AA645),1,0)</f>
        <v>0</v>
      </c>
      <c r="AK645" s="96">
        <f>IF(R645=0,0,IF(AA645&gt;0,N(L645),IF(ISNUMBER(I645),I645,0)))</f>
        <v>0</v>
      </c>
      <c r="AL645" s="96">
        <f>IF(R645=0,0,IF(AND(K645&lt;&gt;"Sim",N(M645)&gt;AK645+cfg_tol),1,0))</f>
        <v>0</v>
      </c>
      <c r="AM645" s="96">
        <f>IF(R645=0,0,IF(K645="Sim",0,IF(OR(AND(AA645&gt;0,ISNUMBER(I645),ABS(I645-N(L645))&gt;cfg_tol),AL645=1),1,0)))</f>
        <v>0</v>
      </c>
      <c r="AN645" s="96">
        <f>IF(AND(R645=1,N(M645)&gt;0,OR(N(M645)&gt;=AK645-cfg_tol,K645="Sim")),1,0)</f>
        <v>0</v>
      </c>
      <c r="AO645" s="96">
        <f>IF(AND(AN645=1,AD645&gt;0,AE645=AD645,AL645=0),1,0)</f>
        <v>0</v>
      </c>
      <c r="AP645" s="96">
        <f>IF(U645=0,0,IF(AND(INDEX('MTRs'!$AX$6:$AX$505,T645)=1,Z645=0,OR(f_res="",f_res="(Todos)",C645=f_res)),1,0))</f>
        <v>0</v>
      </c>
      <c r="AQ645" s="97" t="str">
        <f>IF(U645=0,"",INDEX('MTRs'!$AZ$6:$AZ$505,T645))</f>
        <v/>
      </c>
      <c r="AR645" s="96">
        <f>IF(U645=0,0,IF(AND(INDEX('MTRs'!$BA$6:$BA$505,T645)=1,Z645=0),1,0))</f>
        <v>0</v>
      </c>
      <c r="AS645" s="96" t="str">
        <f>IF(R645=1,A645&amp;" | MTR "&amp;IF(U645=1,INDEX('MTRs'!$B$6:$B$505,T645)&amp;"","?")&amp;" | "&amp;IF(C645="","(sem resíduo)",C645),"")</f>
        <v/>
      </c>
      <c r="AT645" s="96" t="str">
        <f>IF(R645=1,COUNTIF($R$6:R645,1),"")</f>
        <v/>
      </c>
      <c r="AU645" s="96" t="str">
        <f>IF(U645=1,INDEX('MTRs'!$I$6:$I$505,T645)&amp;"","")</f>
        <v/>
      </c>
    </row>
    <row r="646">
      <c r="A646" s="89" t="inlineStr">
        <is>
          <t>IT-000641</t>
        </is>
      </c>
      <c r="B646" s="91" t="n"/>
      <c r="C646" s="91" t="n"/>
      <c r="D646" s="94" t="str">
        <f>IF(OR(R646=0,V646=0),"",INDEX('CAD_RESÍDUOS'!$E$6:$E$205,MATCH(C646,'CAD_RESÍDUOS'!$B$6:$B$205,0))&amp;"")</f>
        <v/>
      </c>
      <c r="E646" s="94" t="str">
        <f>IF(OR(R646=0,V646=0),"",INDEX('CAD_RESÍDUOS'!$C$6:$C$205,MATCH(C646,'CAD_RESÍDUOS'!$B$6:$B$205,0))&amp;"")</f>
        <v/>
      </c>
      <c r="F646" s="94" t="str">
        <f>IF(OR(R646=0,V646=0),"",INDEX('CAD_RESÍDUOS'!$G$6:$G$205,MATCH(C646,'CAD_RESÍDUOS'!$B$6:$B$205,0))&amp;"")</f>
        <v/>
      </c>
      <c r="G646" s="98" t="n"/>
      <c r="H646" s="91" t="n"/>
      <c r="I646" s="93" t="str">
        <f>IF(R646=0,"",IF(NOT(ISNUMBER(G646)),"",IF(ISNUMBER(X646),G646*X646,"UNIDADE A CONFERIR")))</f>
        <v/>
      </c>
      <c r="J646" s="91" t="n"/>
      <c r="K646" s="91" t="n"/>
      <c r="L646" s="93" t="str">
        <f>IF(R646=0,"",SUMIFS('RECEBIMENTOS'!$H$6:$H$1005,'RECEBIMENTOS'!$R$6:$R$1005,A646,'RECEBIMENTOS'!$X$6:$X$1005,1))</f>
        <v/>
      </c>
      <c r="M646" s="93" t="str">
        <f>IF(R646=0,"",SUMIFS('VÍNCULOS_CDF'!$H$6:$H$1005,'VÍNCULOS_CDF'!$R$6:$R$1005,A646,'VÍNCULOS_CDF'!$V$6:$V$1005,1))</f>
        <v/>
      </c>
      <c r="N646" s="99" t="str">
        <f>IF(OR(R646=0,AA646=0,NOT(ISNUMBER(I646))),"",I646-N(L646))</f>
        <v/>
      </c>
      <c r="O646" s="100" t="str">
        <f>IF(OR(R646=0,AK646&lt;=0),"",N(M646)/AK646)</f>
        <v/>
      </c>
      <c r="P646" s="94" t="str">
        <f>IF(R646=0,"",IF(S646="","Sem MTR associado",IF(U646=0,"MTR inexistente",IF(C646="","Resíduo não identificado",IF(V646=0,"Resíduo fora do cadastro",IF(W646=0,"Quantidade inválida",IF(H646="","Unidade não informada",IF(NOT(ISNUMBER(I646)),"Unidade a conferir",IF(AND(AH646=1,K646&lt;&gt;"Sim"),"Possível duplicidade",IF(Z646=1,"MTR cancelado",IF(AC646&gt;0,"Recebimento com alerta",IF(AA646=0,"Aguardando recebimento",IF(AB646&lt;AA646,"Recebimento a conferir",IF(AM646=1,"Quantidade a revisar",IF(AF646&gt;0,"Vínculo a revisar",IF(AD646=0,"Aguardando CDF",IF(AN646=0,"Vínculo de CDF parcial",IF(AE646&lt;AD646,"CDF a conferir","Documentação conferida"))))))))))))))))))</f>
        <v/>
      </c>
      <c r="Q646" s="93" t="str">
        <f>IF(OR(R646=0,AA646=0),"",MAX(0,N(L646)-N(M646)))</f>
        <v/>
      </c>
      <c r="R646" s="96">
        <f>IF(COUNTA(B646:C646,G646:H646,J646:K646)&gt;0,1,0)</f>
        <v>0</v>
      </c>
      <c r="S646" s="96" t="str">
        <f>IF(B646="","",TRIM(LEFT(B646,FIND(" |",B646&amp;" |")-1)))</f>
        <v/>
      </c>
      <c r="T646" s="96" t="str">
        <f>IF(S646="","",IFERROR(MATCH(S646,'MTRs'!$A$6:$A$505,0),""))</f>
        <v/>
      </c>
      <c r="U646" s="96">
        <f>IF(T646="",0,IF(INDEX('MTRs'!$Z$6:$Z$505,T646)=1,1,0))</f>
        <v>0</v>
      </c>
      <c r="V646" s="96">
        <f>IF(C646="",0,IF(ISNUMBER(MATCH(C646,'CAD_RESÍDUOS'!$B$6:$B$205,0)),1,0))</f>
        <v>0</v>
      </c>
      <c r="W646" s="96">
        <f>IF(AND(ISNUMBER(G646),G646&gt;0),1,0)</f>
        <v>0</v>
      </c>
      <c r="X646" s="96" t="str">
        <f>IF(H646="","",IFERROR(IF(ISNUMBER(INDEX(cfg_fac,MATCH(H646,cfg_units,0))),IF(INDEX(cfg_fac,MATCH(H646,cfg_units,0))&gt;0,INDEX(cfg_fac,MATCH(H646,cfg_units,0)),""),""),""))</f>
        <v/>
      </c>
      <c r="Y646" s="96">
        <f>IF(AND(W646=1,ISNUMBER(I646)),1,0)</f>
        <v>0</v>
      </c>
      <c r="Z646" s="96">
        <f>IF(U646=1,INDEX('MTRs'!$AA$6:$AA$505,T646),0)</f>
        <v>0</v>
      </c>
      <c r="AA646" s="96">
        <f>IF(R646=0,0,COUNTIFS('RECEBIMENTOS'!$R$6:$R$1005,A646,'RECEBIMENTOS'!$Q$6:$Q$1005,1))</f>
        <v>0</v>
      </c>
      <c r="AB646" s="96">
        <f>IF(R646=0,0,COUNTIFS('RECEBIMENTOS'!$R$6:$R$1005,A646,'RECEBIMENTOS'!$Z$6:$Z$1005,1))</f>
        <v>0</v>
      </c>
      <c r="AC646" s="96">
        <f>IF(R646=0,0,COUNTIFS('RECEBIMENTOS'!$R$6:$R$1005,A646,'RECEBIMENTOS'!$Y$6:$Y$1005,1))</f>
        <v>0</v>
      </c>
      <c r="AD646" s="96">
        <f>IF(R646=0,0,COUNTIFS('VÍNCULOS_CDF'!$R$6:$R$1005,A646,'VÍNCULOS_CDF'!$N$6:$N$1005,1))</f>
        <v>0</v>
      </c>
      <c r="AE646" s="96">
        <f>IF(R646=0,0,COUNTIFS('VÍNCULOS_CDF'!$R$6:$R$1005,A646,'VÍNCULOS_CDF'!$AA$6:$AA$1005,1))</f>
        <v>0</v>
      </c>
      <c r="AF646" s="96">
        <f>IF(R646=0,0,COUNTIFS('VÍNCULOS_CDF'!$R$6:$R$1005,A646,'VÍNCULOS_CDF'!$Y$6:$Y$1005,1))</f>
        <v>0</v>
      </c>
      <c r="AG646" s="96" t="str">
        <f>IF(AND(R646=1,S646&lt;&gt;"",C646&lt;&gt;""),S646&amp;"|"&amp;C646&amp;"|"&amp;G646&amp;"|"&amp;H646,"")</f>
        <v/>
      </c>
      <c r="AH646" s="96">
        <f>IF(AG646="",0,IF(SUMPRODUCT(--($AG$6:$AG$1005=AG646))&gt;1,1,0))</f>
        <v>0</v>
      </c>
      <c r="AI646" s="96">
        <f>IF(R646=0,0,IF(OR(U646=0,V646=0,Y646=0,AND(AH646=1,K646&lt;&gt;"Sim")),1,0))</f>
        <v>0</v>
      </c>
      <c r="AJ646" s="96">
        <f>IF(AND(R646=1,AA646&gt;0,AB646=AA646),1,0)</f>
        <v>0</v>
      </c>
      <c r="AK646" s="96">
        <f>IF(R646=0,0,IF(AA646&gt;0,N(L646),IF(ISNUMBER(I646),I646,0)))</f>
        <v>0</v>
      </c>
      <c r="AL646" s="96">
        <f>IF(R646=0,0,IF(AND(K646&lt;&gt;"Sim",N(M646)&gt;AK646+cfg_tol),1,0))</f>
        <v>0</v>
      </c>
      <c r="AM646" s="96">
        <f>IF(R646=0,0,IF(K646="Sim",0,IF(OR(AND(AA646&gt;0,ISNUMBER(I646),ABS(I646-N(L646))&gt;cfg_tol),AL646=1),1,0)))</f>
        <v>0</v>
      </c>
      <c r="AN646" s="96">
        <f>IF(AND(R646=1,N(M646)&gt;0,OR(N(M646)&gt;=AK646-cfg_tol,K646="Sim")),1,0)</f>
        <v>0</v>
      </c>
      <c r="AO646" s="96">
        <f>IF(AND(AN646=1,AD646&gt;0,AE646=AD646,AL646=0),1,0)</f>
        <v>0</v>
      </c>
      <c r="AP646" s="96">
        <f>IF(U646=0,0,IF(AND(INDEX('MTRs'!$AX$6:$AX$505,T646)=1,Z646=0,OR(f_res="",f_res="(Todos)",C646=f_res)),1,0))</f>
        <v>0</v>
      </c>
      <c r="AQ646" s="97" t="str">
        <f>IF(U646=0,"",INDEX('MTRs'!$AZ$6:$AZ$505,T646))</f>
        <v/>
      </c>
      <c r="AR646" s="96">
        <f>IF(U646=0,0,IF(AND(INDEX('MTRs'!$BA$6:$BA$505,T646)=1,Z646=0),1,0))</f>
        <v>0</v>
      </c>
      <c r="AS646" s="96" t="str">
        <f>IF(R646=1,A646&amp;" | MTR "&amp;IF(U646=1,INDEX('MTRs'!$B$6:$B$505,T646)&amp;"","?")&amp;" | "&amp;IF(C646="","(sem resíduo)",C646),"")</f>
        <v/>
      </c>
      <c r="AT646" s="96" t="str">
        <f>IF(R646=1,COUNTIF($R$6:R646,1),"")</f>
        <v/>
      </c>
      <c r="AU646" s="96" t="str">
        <f>IF(U646=1,INDEX('MTRs'!$I$6:$I$505,T646)&amp;"","")</f>
        <v/>
      </c>
    </row>
    <row r="647">
      <c r="A647" s="89" t="inlineStr">
        <is>
          <t>IT-000642</t>
        </is>
      </c>
      <c r="B647" s="91" t="n"/>
      <c r="C647" s="91" t="n"/>
      <c r="D647" s="94" t="str">
        <f>IF(OR(R647=0,V647=0),"",INDEX('CAD_RESÍDUOS'!$E$6:$E$205,MATCH(C647,'CAD_RESÍDUOS'!$B$6:$B$205,0))&amp;"")</f>
        <v/>
      </c>
      <c r="E647" s="94" t="str">
        <f>IF(OR(R647=0,V647=0),"",INDEX('CAD_RESÍDUOS'!$C$6:$C$205,MATCH(C647,'CAD_RESÍDUOS'!$B$6:$B$205,0))&amp;"")</f>
        <v/>
      </c>
      <c r="F647" s="94" t="str">
        <f>IF(OR(R647=0,V647=0),"",INDEX('CAD_RESÍDUOS'!$G$6:$G$205,MATCH(C647,'CAD_RESÍDUOS'!$B$6:$B$205,0))&amp;"")</f>
        <v/>
      </c>
      <c r="G647" s="98" t="n"/>
      <c r="H647" s="91" t="n"/>
      <c r="I647" s="93" t="str">
        <f>IF(R647=0,"",IF(NOT(ISNUMBER(G647)),"",IF(ISNUMBER(X647),G647*X647,"UNIDADE A CONFERIR")))</f>
        <v/>
      </c>
      <c r="J647" s="91" t="n"/>
      <c r="K647" s="91" t="n"/>
      <c r="L647" s="93" t="str">
        <f>IF(R647=0,"",SUMIFS('RECEBIMENTOS'!$H$6:$H$1005,'RECEBIMENTOS'!$R$6:$R$1005,A647,'RECEBIMENTOS'!$X$6:$X$1005,1))</f>
        <v/>
      </c>
      <c r="M647" s="93" t="str">
        <f>IF(R647=0,"",SUMIFS('VÍNCULOS_CDF'!$H$6:$H$1005,'VÍNCULOS_CDF'!$R$6:$R$1005,A647,'VÍNCULOS_CDF'!$V$6:$V$1005,1))</f>
        <v/>
      </c>
      <c r="N647" s="99" t="str">
        <f>IF(OR(R647=0,AA647=0,NOT(ISNUMBER(I647))),"",I647-N(L647))</f>
        <v/>
      </c>
      <c r="O647" s="100" t="str">
        <f>IF(OR(R647=0,AK647&lt;=0),"",N(M647)/AK647)</f>
        <v/>
      </c>
      <c r="P647" s="94" t="str">
        <f>IF(R647=0,"",IF(S647="","Sem MTR associado",IF(U647=0,"MTR inexistente",IF(C647="","Resíduo não identificado",IF(V647=0,"Resíduo fora do cadastro",IF(W647=0,"Quantidade inválida",IF(H647="","Unidade não informada",IF(NOT(ISNUMBER(I647)),"Unidade a conferir",IF(AND(AH647=1,K647&lt;&gt;"Sim"),"Possível duplicidade",IF(Z647=1,"MTR cancelado",IF(AC647&gt;0,"Recebimento com alerta",IF(AA647=0,"Aguardando recebimento",IF(AB647&lt;AA647,"Recebimento a conferir",IF(AM647=1,"Quantidade a revisar",IF(AF647&gt;0,"Vínculo a revisar",IF(AD647=0,"Aguardando CDF",IF(AN647=0,"Vínculo de CDF parcial",IF(AE647&lt;AD647,"CDF a conferir","Documentação conferida"))))))))))))))))))</f>
        <v/>
      </c>
      <c r="Q647" s="93" t="str">
        <f>IF(OR(R647=0,AA647=0),"",MAX(0,N(L647)-N(M647)))</f>
        <v/>
      </c>
      <c r="R647" s="96">
        <f>IF(COUNTA(B647:C647,G647:H647,J647:K647)&gt;0,1,0)</f>
        <v>0</v>
      </c>
      <c r="S647" s="96" t="str">
        <f>IF(B647="","",TRIM(LEFT(B647,FIND(" |",B647&amp;" |")-1)))</f>
        <v/>
      </c>
      <c r="T647" s="96" t="str">
        <f>IF(S647="","",IFERROR(MATCH(S647,'MTRs'!$A$6:$A$505,0),""))</f>
        <v/>
      </c>
      <c r="U647" s="96">
        <f>IF(T647="",0,IF(INDEX('MTRs'!$Z$6:$Z$505,T647)=1,1,0))</f>
        <v>0</v>
      </c>
      <c r="V647" s="96">
        <f>IF(C647="",0,IF(ISNUMBER(MATCH(C647,'CAD_RESÍDUOS'!$B$6:$B$205,0)),1,0))</f>
        <v>0</v>
      </c>
      <c r="W647" s="96">
        <f>IF(AND(ISNUMBER(G647),G647&gt;0),1,0)</f>
        <v>0</v>
      </c>
      <c r="X647" s="96" t="str">
        <f>IF(H647="","",IFERROR(IF(ISNUMBER(INDEX(cfg_fac,MATCH(H647,cfg_units,0))),IF(INDEX(cfg_fac,MATCH(H647,cfg_units,0))&gt;0,INDEX(cfg_fac,MATCH(H647,cfg_units,0)),""),""),""))</f>
        <v/>
      </c>
      <c r="Y647" s="96">
        <f>IF(AND(W647=1,ISNUMBER(I647)),1,0)</f>
        <v>0</v>
      </c>
      <c r="Z647" s="96">
        <f>IF(U647=1,INDEX('MTRs'!$AA$6:$AA$505,T647),0)</f>
        <v>0</v>
      </c>
      <c r="AA647" s="96">
        <f>IF(R647=0,0,COUNTIFS('RECEBIMENTOS'!$R$6:$R$1005,A647,'RECEBIMENTOS'!$Q$6:$Q$1005,1))</f>
        <v>0</v>
      </c>
      <c r="AB647" s="96">
        <f>IF(R647=0,0,COUNTIFS('RECEBIMENTOS'!$R$6:$R$1005,A647,'RECEBIMENTOS'!$Z$6:$Z$1005,1))</f>
        <v>0</v>
      </c>
      <c r="AC647" s="96">
        <f>IF(R647=0,0,COUNTIFS('RECEBIMENTOS'!$R$6:$R$1005,A647,'RECEBIMENTOS'!$Y$6:$Y$1005,1))</f>
        <v>0</v>
      </c>
      <c r="AD647" s="96">
        <f>IF(R647=0,0,COUNTIFS('VÍNCULOS_CDF'!$R$6:$R$1005,A647,'VÍNCULOS_CDF'!$N$6:$N$1005,1))</f>
        <v>0</v>
      </c>
      <c r="AE647" s="96">
        <f>IF(R647=0,0,COUNTIFS('VÍNCULOS_CDF'!$R$6:$R$1005,A647,'VÍNCULOS_CDF'!$AA$6:$AA$1005,1))</f>
        <v>0</v>
      </c>
      <c r="AF647" s="96">
        <f>IF(R647=0,0,COUNTIFS('VÍNCULOS_CDF'!$R$6:$R$1005,A647,'VÍNCULOS_CDF'!$Y$6:$Y$1005,1))</f>
        <v>0</v>
      </c>
      <c r="AG647" s="96" t="str">
        <f>IF(AND(R647=1,S647&lt;&gt;"",C647&lt;&gt;""),S647&amp;"|"&amp;C647&amp;"|"&amp;G647&amp;"|"&amp;H647,"")</f>
        <v/>
      </c>
      <c r="AH647" s="96">
        <f>IF(AG647="",0,IF(SUMPRODUCT(--($AG$6:$AG$1005=AG647))&gt;1,1,0))</f>
        <v>0</v>
      </c>
      <c r="AI647" s="96">
        <f>IF(R647=0,0,IF(OR(U647=0,V647=0,Y647=0,AND(AH647=1,K647&lt;&gt;"Sim")),1,0))</f>
        <v>0</v>
      </c>
      <c r="AJ647" s="96">
        <f>IF(AND(R647=1,AA647&gt;0,AB647=AA647),1,0)</f>
        <v>0</v>
      </c>
      <c r="AK647" s="96">
        <f>IF(R647=0,0,IF(AA647&gt;0,N(L647),IF(ISNUMBER(I647),I647,0)))</f>
        <v>0</v>
      </c>
      <c r="AL647" s="96">
        <f>IF(R647=0,0,IF(AND(K647&lt;&gt;"Sim",N(M647)&gt;AK647+cfg_tol),1,0))</f>
        <v>0</v>
      </c>
      <c r="AM647" s="96">
        <f>IF(R647=0,0,IF(K647="Sim",0,IF(OR(AND(AA647&gt;0,ISNUMBER(I647),ABS(I647-N(L647))&gt;cfg_tol),AL647=1),1,0)))</f>
        <v>0</v>
      </c>
      <c r="AN647" s="96">
        <f>IF(AND(R647=1,N(M647)&gt;0,OR(N(M647)&gt;=AK647-cfg_tol,K647="Sim")),1,0)</f>
        <v>0</v>
      </c>
      <c r="AO647" s="96">
        <f>IF(AND(AN647=1,AD647&gt;0,AE647=AD647,AL647=0),1,0)</f>
        <v>0</v>
      </c>
      <c r="AP647" s="96">
        <f>IF(U647=0,0,IF(AND(INDEX('MTRs'!$AX$6:$AX$505,T647)=1,Z647=0,OR(f_res="",f_res="(Todos)",C647=f_res)),1,0))</f>
        <v>0</v>
      </c>
      <c r="AQ647" s="97" t="str">
        <f>IF(U647=0,"",INDEX('MTRs'!$AZ$6:$AZ$505,T647))</f>
        <v/>
      </c>
      <c r="AR647" s="96">
        <f>IF(U647=0,0,IF(AND(INDEX('MTRs'!$BA$6:$BA$505,T647)=1,Z647=0),1,0))</f>
        <v>0</v>
      </c>
      <c r="AS647" s="96" t="str">
        <f>IF(R647=1,A647&amp;" | MTR "&amp;IF(U647=1,INDEX('MTRs'!$B$6:$B$505,T647)&amp;"","?")&amp;" | "&amp;IF(C647="","(sem resíduo)",C647),"")</f>
        <v/>
      </c>
      <c r="AT647" s="96" t="str">
        <f>IF(R647=1,COUNTIF($R$6:R647,1),"")</f>
        <v/>
      </c>
      <c r="AU647" s="96" t="str">
        <f>IF(U647=1,INDEX('MTRs'!$I$6:$I$505,T647)&amp;"","")</f>
        <v/>
      </c>
    </row>
    <row r="648">
      <c r="A648" s="89" t="inlineStr">
        <is>
          <t>IT-000643</t>
        </is>
      </c>
      <c r="B648" s="91" t="n"/>
      <c r="C648" s="91" t="n"/>
      <c r="D648" s="94" t="str">
        <f>IF(OR(R648=0,V648=0),"",INDEX('CAD_RESÍDUOS'!$E$6:$E$205,MATCH(C648,'CAD_RESÍDUOS'!$B$6:$B$205,0))&amp;"")</f>
        <v/>
      </c>
      <c r="E648" s="94" t="str">
        <f>IF(OR(R648=0,V648=0),"",INDEX('CAD_RESÍDUOS'!$C$6:$C$205,MATCH(C648,'CAD_RESÍDUOS'!$B$6:$B$205,0))&amp;"")</f>
        <v/>
      </c>
      <c r="F648" s="94" t="str">
        <f>IF(OR(R648=0,V648=0),"",INDEX('CAD_RESÍDUOS'!$G$6:$G$205,MATCH(C648,'CAD_RESÍDUOS'!$B$6:$B$205,0))&amp;"")</f>
        <v/>
      </c>
      <c r="G648" s="98" t="n"/>
      <c r="H648" s="91" t="n"/>
      <c r="I648" s="93" t="str">
        <f>IF(R648=0,"",IF(NOT(ISNUMBER(G648)),"",IF(ISNUMBER(X648),G648*X648,"UNIDADE A CONFERIR")))</f>
        <v/>
      </c>
      <c r="J648" s="91" t="n"/>
      <c r="K648" s="91" t="n"/>
      <c r="L648" s="93" t="str">
        <f>IF(R648=0,"",SUMIFS('RECEBIMENTOS'!$H$6:$H$1005,'RECEBIMENTOS'!$R$6:$R$1005,A648,'RECEBIMENTOS'!$X$6:$X$1005,1))</f>
        <v/>
      </c>
      <c r="M648" s="93" t="str">
        <f>IF(R648=0,"",SUMIFS('VÍNCULOS_CDF'!$H$6:$H$1005,'VÍNCULOS_CDF'!$R$6:$R$1005,A648,'VÍNCULOS_CDF'!$V$6:$V$1005,1))</f>
        <v/>
      </c>
      <c r="N648" s="99" t="str">
        <f>IF(OR(R648=0,AA648=0,NOT(ISNUMBER(I648))),"",I648-N(L648))</f>
        <v/>
      </c>
      <c r="O648" s="100" t="str">
        <f>IF(OR(R648=0,AK648&lt;=0),"",N(M648)/AK648)</f>
        <v/>
      </c>
      <c r="P648" s="94" t="str">
        <f>IF(R648=0,"",IF(S648="","Sem MTR associado",IF(U648=0,"MTR inexistente",IF(C648="","Resíduo não identificado",IF(V648=0,"Resíduo fora do cadastro",IF(W648=0,"Quantidade inválida",IF(H648="","Unidade não informada",IF(NOT(ISNUMBER(I648)),"Unidade a conferir",IF(AND(AH648=1,K648&lt;&gt;"Sim"),"Possível duplicidade",IF(Z648=1,"MTR cancelado",IF(AC648&gt;0,"Recebimento com alerta",IF(AA648=0,"Aguardando recebimento",IF(AB648&lt;AA648,"Recebimento a conferir",IF(AM648=1,"Quantidade a revisar",IF(AF648&gt;0,"Vínculo a revisar",IF(AD648=0,"Aguardando CDF",IF(AN648=0,"Vínculo de CDF parcial",IF(AE648&lt;AD648,"CDF a conferir","Documentação conferida"))))))))))))))))))</f>
        <v/>
      </c>
      <c r="Q648" s="93" t="str">
        <f>IF(OR(R648=0,AA648=0),"",MAX(0,N(L648)-N(M648)))</f>
        <v/>
      </c>
      <c r="R648" s="96">
        <f>IF(COUNTA(B648:C648,G648:H648,J648:K648)&gt;0,1,0)</f>
        <v>0</v>
      </c>
      <c r="S648" s="96" t="str">
        <f>IF(B648="","",TRIM(LEFT(B648,FIND(" |",B648&amp;" |")-1)))</f>
        <v/>
      </c>
      <c r="T648" s="96" t="str">
        <f>IF(S648="","",IFERROR(MATCH(S648,'MTRs'!$A$6:$A$505,0),""))</f>
        <v/>
      </c>
      <c r="U648" s="96">
        <f>IF(T648="",0,IF(INDEX('MTRs'!$Z$6:$Z$505,T648)=1,1,0))</f>
        <v>0</v>
      </c>
      <c r="V648" s="96">
        <f>IF(C648="",0,IF(ISNUMBER(MATCH(C648,'CAD_RESÍDUOS'!$B$6:$B$205,0)),1,0))</f>
        <v>0</v>
      </c>
      <c r="W648" s="96">
        <f>IF(AND(ISNUMBER(G648),G648&gt;0),1,0)</f>
        <v>0</v>
      </c>
      <c r="X648" s="96" t="str">
        <f>IF(H648="","",IFERROR(IF(ISNUMBER(INDEX(cfg_fac,MATCH(H648,cfg_units,0))),IF(INDEX(cfg_fac,MATCH(H648,cfg_units,0))&gt;0,INDEX(cfg_fac,MATCH(H648,cfg_units,0)),""),""),""))</f>
        <v/>
      </c>
      <c r="Y648" s="96">
        <f>IF(AND(W648=1,ISNUMBER(I648)),1,0)</f>
        <v>0</v>
      </c>
      <c r="Z648" s="96">
        <f>IF(U648=1,INDEX('MTRs'!$AA$6:$AA$505,T648),0)</f>
        <v>0</v>
      </c>
      <c r="AA648" s="96">
        <f>IF(R648=0,0,COUNTIFS('RECEBIMENTOS'!$R$6:$R$1005,A648,'RECEBIMENTOS'!$Q$6:$Q$1005,1))</f>
        <v>0</v>
      </c>
      <c r="AB648" s="96">
        <f>IF(R648=0,0,COUNTIFS('RECEBIMENTOS'!$R$6:$R$1005,A648,'RECEBIMENTOS'!$Z$6:$Z$1005,1))</f>
        <v>0</v>
      </c>
      <c r="AC648" s="96">
        <f>IF(R648=0,0,COUNTIFS('RECEBIMENTOS'!$R$6:$R$1005,A648,'RECEBIMENTOS'!$Y$6:$Y$1005,1))</f>
        <v>0</v>
      </c>
      <c r="AD648" s="96">
        <f>IF(R648=0,0,COUNTIFS('VÍNCULOS_CDF'!$R$6:$R$1005,A648,'VÍNCULOS_CDF'!$N$6:$N$1005,1))</f>
        <v>0</v>
      </c>
      <c r="AE648" s="96">
        <f>IF(R648=0,0,COUNTIFS('VÍNCULOS_CDF'!$R$6:$R$1005,A648,'VÍNCULOS_CDF'!$AA$6:$AA$1005,1))</f>
        <v>0</v>
      </c>
      <c r="AF648" s="96">
        <f>IF(R648=0,0,COUNTIFS('VÍNCULOS_CDF'!$R$6:$R$1005,A648,'VÍNCULOS_CDF'!$Y$6:$Y$1005,1))</f>
        <v>0</v>
      </c>
      <c r="AG648" s="96" t="str">
        <f>IF(AND(R648=1,S648&lt;&gt;"",C648&lt;&gt;""),S648&amp;"|"&amp;C648&amp;"|"&amp;G648&amp;"|"&amp;H648,"")</f>
        <v/>
      </c>
      <c r="AH648" s="96">
        <f>IF(AG648="",0,IF(SUMPRODUCT(--($AG$6:$AG$1005=AG648))&gt;1,1,0))</f>
        <v>0</v>
      </c>
      <c r="AI648" s="96">
        <f>IF(R648=0,0,IF(OR(U648=0,V648=0,Y648=0,AND(AH648=1,K648&lt;&gt;"Sim")),1,0))</f>
        <v>0</v>
      </c>
      <c r="AJ648" s="96">
        <f>IF(AND(R648=1,AA648&gt;0,AB648=AA648),1,0)</f>
        <v>0</v>
      </c>
      <c r="AK648" s="96">
        <f>IF(R648=0,0,IF(AA648&gt;0,N(L648),IF(ISNUMBER(I648),I648,0)))</f>
        <v>0</v>
      </c>
      <c r="AL648" s="96">
        <f>IF(R648=0,0,IF(AND(K648&lt;&gt;"Sim",N(M648)&gt;AK648+cfg_tol),1,0))</f>
        <v>0</v>
      </c>
      <c r="AM648" s="96">
        <f>IF(R648=0,0,IF(K648="Sim",0,IF(OR(AND(AA648&gt;0,ISNUMBER(I648),ABS(I648-N(L648))&gt;cfg_tol),AL648=1),1,0)))</f>
        <v>0</v>
      </c>
      <c r="AN648" s="96">
        <f>IF(AND(R648=1,N(M648)&gt;0,OR(N(M648)&gt;=AK648-cfg_tol,K648="Sim")),1,0)</f>
        <v>0</v>
      </c>
      <c r="AO648" s="96">
        <f>IF(AND(AN648=1,AD648&gt;0,AE648=AD648,AL648=0),1,0)</f>
        <v>0</v>
      </c>
      <c r="AP648" s="96">
        <f>IF(U648=0,0,IF(AND(INDEX('MTRs'!$AX$6:$AX$505,T648)=1,Z648=0,OR(f_res="",f_res="(Todos)",C648=f_res)),1,0))</f>
        <v>0</v>
      </c>
      <c r="AQ648" s="97" t="str">
        <f>IF(U648=0,"",INDEX('MTRs'!$AZ$6:$AZ$505,T648))</f>
        <v/>
      </c>
      <c r="AR648" s="96">
        <f>IF(U648=0,0,IF(AND(INDEX('MTRs'!$BA$6:$BA$505,T648)=1,Z648=0),1,0))</f>
        <v>0</v>
      </c>
      <c r="AS648" s="96" t="str">
        <f>IF(R648=1,A648&amp;" | MTR "&amp;IF(U648=1,INDEX('MTRs'!$B$6:$B$505,T648)&amp;"","?")&amp;" | "&amp;IF(C648="","(sem resíduo)",C648),"")</f>
        <v/>
      </c>
      <c r="AT648" s="96" t="str">
        <f>IF(R648=1,COUNTIF($R$6:R648,1),"")</f>
        <v/>
      </c>
      <c r="AU648" s="96" t="str">
        <f>IF(U648=1,INDEX('MTRs'!$I$6:$I$505,T648)&amp;"","")</f>
        <v/>
      </c>
    </row>
    <row r="649">
      <c r="A649" s="89" t="inlineStr">
        <is>
          <t>IT-000644</t>
        </is>
      </c>
      <c r="B649" s="91" t="n"/>
      <c r="C649" s="91" t="n"/>
      <c r="D649" s="94" t="str">
        <f>IF(OR(R649=0,V649=0),"",INDEX('CAD_RESÍDUOS'!$E$6:$E$205,MATCH(C649,'CAD_RESÍDUOS'!$B$6:$B$205,0))&amp;"")</f>
        <v/>
      </c>
      <c r="E649" s="94" t="str">
        <f>IF(OR(R649=0,V649=0),"",INDEX('CAD_RESÍDUOS'!$C$6:$C$205,MATCH(C649,'CAD_RESÍDUOS'!$B$6:$B$205,0))&amp;"")</f>
        <v/>
      </c>
      <c r="F649" s="94" t="str">
        <f>IF(OR(R649=0,V649=0),"",INDEX('CAD_RESÍDUOS'!$G$6:$G$205,MATCH(C649,'CAD_RESÍDUOS'!$B$6:$B$205,0))&amp;"")</f>
        <v/>
      </c>
      <c r="G649" s="98" t="n"/>
      <c r="H649" s="91" t="n"/>
      <c r="I649" s="93" t="str">
        <f>IF(R649=0,"",IF(NOT(ISNUMBER(G649)),"",IF(ISNUMBER(X649),G649*X649,"UNIDADE A CONFERIR")))</f>
        <v/>
      </c>
      <c r="J649" s="91" t="n"/>
      <c r="K649" s="91" t="n"/>
      <c r="L649" s="93" t="str">
        <f>IF(R649=0,"",SUMIFS('RECEBIMENTOS'!$H$6:$H$1005,'RECEBIMENTOS'!$R$6:$R$1005,A649,'RECEBIMENTOS'!$X$6:$X$1005,1))</f>
        <v/>
      </c>
      <c r="M649" s="93" t="str">
        <f>IF(R649=0,"",SUMIFS('VÍNCULOS_CDF'!$H$6:$H$1005,'VÍNCULOS_CDF'!$R$6:$R$1005,A649,'VÍNCULOS_CDF'!$V$6:$V$1005,1))</f>
        <v/>
      </c>
      <c r="N649" s="99" t="str">
        <f>IF(OR(R649=0,AA649=0,NOT(ISNUMBER(I649))),"",I649-N(L649))</f>
        <v/>
      </c>
      <c r="O649" s="100" t="str">
        <f>IF(OR(R649=0,AK649&lt;=0),"",N(M649)/AK649)</f>
        <v/>
      </c>
      <c r="P649" s="94" t="str">
        <f>IF(R649=0,"",IF(S649="","Sem MTR associado",IF(U649=0,"MTR inexistente",IF(C649="","Resíduo não identificado",IF(V649=0,"Resíduo fora do cadastro",IF(W649=0,"Quantidade inválida",IF(H649="","Unidade não informada",IF(NOT(ISNUMBER(I649)),"Unidade a conferir",IF(AND(AH649=1,K649&lt;&gt;"Sim"),"Possível duplicidade",IF(Z649=1,"MTR cancelado",IF(AC649&gt;0,"Recebimento com alerta",IF(AA649=0,"Aguardando recebimento",IF(AB649&lt;AA649,"Recebimento a conferir",IF(AM649=1,"Quantidade a revisar",IF(AF649&gt;0,"Vínculo a revisar",IF(AD649=0,"Aguardando CDF",IF(AN649=0,"Vínculo de CDF parcial",IF(AE649&lt;AD649,"CDF a conferir","Documentação conferida"))))))))))))))))))</f>
        <v/>
      </c>
      <c r="Q649" s="93" t="str">
        <f>IF(OR(R649=0,AA649=0),"",MAX(0,N(L649)-N(M649)))</f>
        <v/>
      </c>
      <c r="R649" s="96">
        <f>IF(COUNTA(B649:C649,G649:H649,J649:K649)&gt;0,1,0)</f>
        <v>0</v>
      </c>
      <c r="S649" s="96" t="str">
        <f>IF(B649="","",TRIM(LEFT(B649,FIND(" |",B649&amp;" |")-1)))</f>
        <v/>
      </c>
      <c r="T649" s="96" t="str">
        <f>IF(S649="","",IFERROR(MATCH(S649,'MTRs'!$A$6:$A$505,0),""))</f>
        <v/>
      </c>
      <c r="U649" s="96">
        <f>IF(T649="",0,IF(INDEX('MTRs'!$Z$6:$Z$505,T649)=1,1,0))</f>
        <v>0</v>
      </c>
      <c r="V649" s="96">
        <f>IF(C649="",0,IF(ISNUMBER(MATCH(C649,'CAD_RESÍDUOS'!$B$6:$B$205,0)),1,0))</f>
        <v>0</v>
      </c>
      <c r="W649" s="96">
        <f>IF(AND(ISNUMBER(G649),G649&gt;0),1,0)</f>
        <v>0</v>
      </c>
      <c r="X649" s="96" t="str">
        <f>IF(H649="","",IFERROR(IF(ISNUMBER(INDEX(cfg_fac,MATCH(H649,cfg_units,0))),IF(INDEX(cfg_fac,MATCH(H649,cfg_units,0))&gt;0,INDEX(cfg_fac,MATCH(H649,cfg_units,0)),""),""),""))</f>
        <v/>
      </c>
      <c r="Y649" s="96">
        <f>IF(AND(W649=1,ISNUMBER(I649)),1,0)</f>
        <v>0</v>
      </c>
      <c r="Z649" s="96">
        <f>IF(U649=1,INDEX('MTRs'!$AA$6:$AA$505,T649),0)</f>
        <v>0</v>
      </c>
      <c r="AA649" s="96">
        <f>IF(R649=0,0,COUNTIFS('RECEBIMENTOS'!$R$6:$R$1005,A649,'RECEBIMENTOS'!$Q$6:$Q$1005,1))</f>
        <v>0</v>
      </c>
      <c r="AB649" s="96">
        <f>IF(R649=0,0,COUNTIFS('RECEBIMENTOS'!$R$6:$R$1005,A649,'RECEBIMENTOS'!$Z$6:$Z$1005,1))</f>
        <v>0</v>
      </c>
      <c r="AC649" s="96">
        <f>IF(R649=0,0,COUNTIFS('RECEBIMENTOS'!$R$6:$R$1005,A649,'RECEBIMENTOS'!$Y$6:$Y$1005,1))</f>
        <v>0</v>
      </c>
      <c r="AD649" s="96">
        <f>IF(R649=0,0,COUNTIFS('VÍNCULOS_CDF'!$R$6:$R$1005,A649,'VÍNCULOS_CDF'!$N$6:$N$1005,1))</f>
        <v>0</v>
      </c>
      <c r="AE649" s="96">
        <f>IF(R649=0,0,COUNTIFS('VÍNCULOS_CDF'!$R$6:$R$1005,A649,'VÍNCULOS_CDF'!$AA$6:$AA$1005,1))</f>
        <v>0</v>
      </c>
      <c r="AF649" s="96">
        <f>IF(R649=0,0,COUNTIFS('VÍNCULOS_CDF'!$R$6:$R$1005,A649,'VÍNCULOS_CDF'!$Y$6:$Y$1005,1))</f>
        <v>0</v>
      </c>
      <c r="AG649" s="96" t="str">
        <f>IF(AND(R649=1,S649&lt;&gt;"",C649&lt;&gt;""),S649&amp;"|"&amp;C649&amp;"|"&amp;G649&amp;"|"&amp;H649,"")</f>
        <v/>
      </c>
      <c r="AH649" s="96">
        <f>IF(AG649="",0,IF(SUMPRODUCT(--($AG$6:$AG$1005=AG649))&gt;1,1,0))</f>
        <v>0</v>
      </c>
      <c r="AI649" s="96">
        <f>IF(R649=0,0,IF(OR(U649=0,V649=0,Y649=0,AND(AH649=1,K649&lt;&gt;"Sim")),1,0))</f>
        <v>0</v>
      </c>
      <c r="AJ649" s="96">
        <f>IF(AND(R649=1,AA649&gt;0,AB649=AA649),1,0)</f>
        <v>0</v>
      </c>
      <c r="AK649" s="96">
        <f>IF(R649=0,0,IF(AA649&gt;0,N(L649),IF(ISNUMBER(I649),I649,0)))</f>
        <v>0</v>
      </c>
      <c r="AL649" s="96">
        <f>IF(R649=0,0,IF(AND(K649&lt;&gt;"Sim",N(M649)&gt;AK649+cfg_tol),1,0))</f>
        <v>0</v>
      </c>
      <c r="AM649" s="96">
        <f>IF(R649=0,0,IF(K649="Sim",0,IF(OR(AND(AA649&gt;0,ISNUMBER(I649),ABS(I649-N(L649))&gt;cfg_tol),AL649=1),1,0)))</f>
        <v>0</v>
      </c>
      <c r="AN649" s="96">
        <f>IF(AND(R649=1,N(M649)&gt;0,OR(N(M649)&gt;=AK649-cfg_tol,K649="Sim")),1,0)</f>
        <v>0</v>
      </c>
      <c r="AO649" s="96">
        <f>IF(AND(AN649=1,AD649&gt;0,AE649=AD649,AL649=0),1,0)</f>
        <v>0</v>
      </c>
      <c r="AP649" s="96">
        <f>IF(U649=0,0,IF(AND(INDEX('MTRs'!$AX$6:$AX$505,T649)=1,Z649=0,OR(f_res="",f_res="(Todos)",C649=f_res)),1,0))</f>
        <v>0</v>
      </c>
      <c r="AQ649" s="97" t="str">
        <f>IF(U649=0,"",INDEX('MTRs'!$AZ$6:$AZ$505,T649))</f>
        <v/>
      </c>
      <c r="AR649" s="96">
        <f>IF(U649=0,0,IF(AND(INDEX('MTRs'!$BA$6:$BA$505,T649)=1,Z649=0),1,0))</f>
        <v>0</v>
      </c>
      <c r="AS649" s="96" t="str">
        <f>IF(R649=1,A649&amp;" | MTR "&amp;IF(U649=1,INDEX('MTRs'!$B$6:$B$505,T649)&amp;"","?")&amp;" | "&amp;IF(C649="","(sem resíduo)",C649),"")</f>
        <v/>
      </c>
      <c r="AT649" s="96" t="str">
        <f>IF(R649=1,COUNTIF($R$6:R649,1),"")</f>
        <v/>
      </c>
      <c r="AU649" s="96" t="str">
        <f>IF(U649=1,INDEX('MTRs'!$I$6:$I$505,T649)&amp;"","")</f>
        <v/>
      </c>
    </row>
    <row r="650">
      <c r="A650" s="89" t="inlineStr">
        <is>
          <t>IT-000645</t>
        </is>
      </c>
      <c r="B650" s="91" t="n"/>
      <c r="C650" s="91" t="n"/>
      <c r="D650" s="94" t="str">
        <f>IF(OR(R650=0,V650=0),"",INDEX('CAD_RESÍDUOS'!$E$6:$E$205,MATCH(C650,'CAD_RESÍDUOS'!$B$6:$B$205,0))&amp;"")</f>
        <v/>
      </c>
      <c r="E650" s="94" t="str">
        <f>IF(OR(R650=0,V650=0),"",INDEX('CAD_RESÍDUOS'!$C$6:$C$205,MATCH(C650,'CAD_RESÍDUOS'!$B$6:$B$205,0))&amp;"")</f>
        <v/>
      </c>
      <c r="F650" s="94" t="str">
        <f>IF(OR(R650=0,V650=0),"",INDEX('CAD_RESÍDUOS'!$G$6:$G$205,MATCH(C650,'CAD_RESÍDUOS'!$B$6:$B$205,0))&amp;"")</f>
        <v/>
      </c>
      <c r="G650" s="98" t="n"/>
      <c r="H650" s="91" t="n"/>
      <c r="I650" s="93" t="str">
        <f>IF(R650=0,"",IF(NOT(ISNUMBER(G650)),"",IF(ISNUMBER(X650),G650*X650,"UNIDADE A CONFERIR")))</f>
        <v/>
      </c>
      <c r="J650" s="91" t="n"/>
      <c r="K650" s="91" t="n"/>
      <c r="L650" s="93" t="str">
        <f>IF(R650=0,"",SUMIFS('RECEBIMENTOS'!$H$6:$H$1005,'RECEBIMENTOS'!$R$6:$R$1005,A650,'RECEBIMENTOS'!$X$6:$X$1005,1))</f>
        <v/>
      </c>
      <c r="M650" s="93" t="str">
        <f>IF(R650=0,"",SUMIFS('VÍNCULOS_CDF'!$H$6:$H$1005,'VÍNCULOS_CDF'!$R$6:$R$1005,A650,'VÍNCULOS_CDF'!$V$6:$V$1005,1))</f>
        <v/>
      </c>
      <c r="N650" s="99" t="str">
        <f>IF(OR(R650=0,AA650=0,NOT(ISNUMBER(I650))),"",I650-N(L650))</f>
        <v/>
      </c>
      <c r="O650" s="100" t="str">
        <f>IF(OR(R650=0,AK650&lt;=0),"",N(M650)/AK650)</f>
        <v/>
      </c>
      <c r="P650" s="94" t="str">
        <f>IF(R650=0,"",IF(S650="","Sem MTR associado",IF(U650=0,"MTR inexistente",IF(C650="","Resíduo não identificado",IF(V650=0,"Resíduo fora do cadastro",IF(W650=0,"Quantidade inválida",IF(H650="","Unidade não informada",IF(NOT(ISNUMBER(I650)),"Unidade a conferir",IF(AND(AH650=1,K650&lt;&gt;"Sim"),"Possível duplicidade",IF(Z650=1,"MTR cancelado",IF(AC650&gt;0,"Recebimento com alerta",IF(AA650=0,"Aguardando recebimento",IF(AB650&lt;AA650,"Recebimento a conferir",IF(AM650=1,"Quantidade a revisar",IF(AF650&gt;0,"Vínculo a revisar",IF(AD650=0,"Aguardando CDF",IF(AN650=0,"Vínculo de CDF parcial",IF(AE650&lt;AD650,"CDF a conferir","Documentação conferida"))))))))))))))))))</f>
        <v/>
      </c>
      <c r="Q650" s="93" t="str">
        <f>IF(OR(R650=0,AA650=0),"",MAX(0,N(L650)-N(M650)))</f>
        <v/>
      </c>
      <c r="R650" s="96">
        <f>IF(COUNTA(B650:C650,G650:H650,J650:K650)&gt;0,1,0)</f>
        <v>0</v>
      </c>
      <c r="S650" s="96" t="str">
        <f>IF(B650="","",TRIM(LEFT(B650,FIND(" |",B650&amp;" |")-1)))</f>
        <v/>
      </c>
      <c r="T650" s="96" t="str">
        <f>IF(S650="","",IFERROR(MATCH(S650,'MTRs'!$A$6:$A$505,0),""))</f>
        <v/>
      </c>
      <c r="U650" s="96">
        <f>IF(T650="",0,IF(INDEX('MTRs'!$Z$6:$Z$505,T650)=1,1,0))</f>
        <v>0</v>
      </c>
      <c r="V650" s="96">
        <f>IF(C650="",0,IF(ISNUMBER(MATCH(C650,'CAD_RESÍDUOS'!$B$6:$B$205,0)),1,0))</f>
        <v>0</v>
      </c>
      <c r="W650" s="96">
        <f>IF(AND(ISNUMBER(G650),G650&gt;0),1,0)</f>
        <v>0</v>
      </c>
      <c r="X650" s="96" t="str">
        <f>IF(H650="","",IFERROR(IF(ISNUMBER(INDEX(cfg_fac,MATCH(H650,cfg_units,0))),IF(INDEX(cfg_fac,MATCH(H650,cfg_units,0))&gt;0,INDEX(cfg_fac,MATCH(H650,cfg_units,0)),""),""),""))</f>
        <v/>
      </c>
      <c r="Y650" s="96">
        <f>IF(AND(W650=1,ISNUMBER(I650)),1,0)</f>
        <v>0</v>
      </c>
      <c r="Z650" s="96">
        <f>IF(U650=1,INDEX('MTRs'!$AA$6:$AA$505,T650),0)</f>
        <v>0</v>
      </c>
      <c r="AA650" s="96">
        <f>IF(R650=0,0,COUNTIFS('RECEBIMENTOS'!$R$6:$R$1005,A650,'RECEBIMENTOS'!$Q$6:$Q$1005,1))</f>
        <v>0</v>
      </c>
      <c r="AB650" s="96">
        <f>IF(R650=0,0,COUNTIFS('RECEBIMENTOS'!$R$6:$R$1005,A650,'RECEBIMENTOS'!$Z$6:$Z$1005,1))</f>
        <v>0</v>
      </c>
      <c r="AC650" s="96">
        <f>IF(R650=0,0,COUNTIFS('RECEBIMENTOS'!$R$6:$R$1005,A650,'RECEBIMENTOS'!$Y$6:$Y$1005,1))</f>
        <v>0</v>
      </c>
      <c r="AD650" s="96">
        <f>IF(R650=0,0,COUNTIFS('VÍNCULOS_CDF'!$R$6:$R$1005,A650,'VÍNCULOS_CDF'!$N$6:$N$1005,1))</f>
        <v>0</v>
      </c>
      <c r="AE650" s="96">
        <f>IF(R650=0,0,COUNTIFS('VÍNCULOS_CDF'!$R$6:$R$1005,A650,'VÍNCULOS_CDF'!$AA$6:$AA$1005,1))</f>
        <v>0</v>
      </c>
      <c r="AF650" s="96">
        <f>IF(R650=0,0,COUNTIFS('VÍNCULOS_CDF'!$R$6:$R$1005,A650,'VÍNCULOS_CDF'!$Y$6:$Y$1005,1))</f>
        <v>0</v>
      </c>
      <c r="AG650" s="96" t="str">
        <f>IF(AND(R650=1,S650&lt;&gt;"",C650&lt;&gt;""),S650&amp;"|"&amp;C650&amp;"|"&amp;G650&amp;"|"&amp;H650,"")</f>
        <v/>
      </c>
      <c r="AH650" s="96">
        <f>IF(AG650="",0,IF(SUMPRODUCT(--($AG$6:$AG$1005=AG650))&gt;1,1,0))</f>
        <v>0</v>
      </c>
      <c r="AI650" s="96">
        <f>IF(R650=0,0,IF(OR(U650=0,V650=0,Y650=0,AND(AH650=1,K650&lt;&gt;"Sim")),1,0))</f>
        <v>0</v>
      </c>
      <c r="AJ650" s="96">
        <f>IF(AND(R650=1,AA650&gt;0,AB650=AA650),1,0)</f>
        <v>0</v>
      </c>
      <c r="AK650" s="96">
        <f>IF(R650=0,0,IF(AA650&gt;0,N(L650),IF(ISNUMBER(I650),I650,0)))</f>
        <v>0</v>
      </c>
      <c r="AL650" s="96">
        <f>IF(R650=0,0,IF(AND(K650&lt;&gt;"Sim",N(M650)&gt;AK650+cfg_tol),1,0))</f>
        <v>0</v>
      </c>
      <c r="AM650" s="96">
        <f>IF(R650=0,0,IF(K650="Sim",0,IF(OR(AND(AA650&gt;0,ISNUMBER(I650),ABS(I650-N(L650))&gt;cfg_tol),AL650=1),1,0)))</f>
        <v>0</v>
      </c>
      <c r="AN650" s="96">
        <f>IF(AND(R650=1,N(M650)&gt;0,OR(N(M650)&gt;=AK650-cfg_tol,K650="Sim")),1,0)</f>
        <v>0</v>
      </c>
      <c r="AO650" s="96">
        <f>IF(AND(AN650=1,AD650&gt;0,AE650=AD650,AL650=0),1,0)</f>
        <v>0</v>
      </c>
      <c r="AP650" s="96">
        <f>IF(U650=0,0,IF(AND(INDEX('MTRs'!$AX$6:$AX$505,T650)=1,Z650=0,OR(f_res="",f_res="(Todos)",C650=f_res)),1,0))</f>
        <v>0</v>
      </c>
      <c r="AQ650" s="97" t="str">
        <f>IF(U650=0,"",INDEX('MTRs'!$AZ$6:$AZ$505,T650))</f>
        <v/>
      </c>
      <c r="AR650" s="96">
        <f>IF(U650=0,0,IF(AND(INDEX('MTRs'!$BA$6:$BA$505,T650)=1,Z650=0),1,0))</f>
        <v>0</v>
      </c>
      <c r="AS650" s="96" t="str">
        <f>IF(R650=1,A650&amp;" | MTR "&amp;IF(U650=1,INDEX('MTRs'!$B$6:$B$505,T650)&amp;"","?")&amp;" | "&amp;IF(C650="","(sem resíduo)",C650),"")</f>
        <v/>
      </c>
      <c r="AT650" s="96" t="str">
        <f>IF(R650=1,COUNTIF($R$6:R650,1),"")</f>
        <v/>
      </c>
      <c r="AU650" s="96" t="str">
        <f>IF(U650=1,INDEX('MTRs'!$I$6:$I$505,T650)&amp;"","")</f>
        <v/>
      </c>
    </row>
    <row r="651">
      <c r="A651" s="89" t="inlineStr">
        <is>
          <t>IT-000646</t>
        </is>
      </c>
      <c r="B651" s="91" t="n"/>
      <c r="C651" s="91" t="n"/>
      <c r="D651" s="94" t="str">
        <f>IF(OR(R651=0,V651=0),"",INDEX('CAD_RESÍDUOS'!$E$6:$E$205,MATCH(C651,'CAD_RESÍDUOS'!$B$6:$B$205,0))&amp;"")</f>
        <v/>
      </c>
      <c r="E651" s="94" t="str">
        <f>IF(OR(R651=0,V651=0),"",INDEX('CAD_RESÍDUOS'!$C$6:$C$205,MATCH(C651,'CAD_RESÍDUOS'!$B$6:$B$205,0))&amp;"")</f>
        <v/>
      </c>
      <c r="F651" s="94" t="str">
        <f>IF(OR(R651=0,V651=0),"",INDEX('CAD_RESÍDUOS'!$G$6:$G$205,MATCH(C651,'CAD_RESÍDUOS'!$B$6:$B$205,0))&amp;"")</f>
        <v/>
      </c>
      <c r="G651" s="98" t="n"/>
      <c r="H651" s="91" t="n"/>
      <c r="I651" s="93" t="str">
        <f>IF(R651=0,"",IF(NOT(ISNUMBER(G651)),"",IF(ISNUMBER(X651),G651*X651,"UNIDADE A CONFERIR")))</f>
        <v/>
      </c>
      <c r="J651" s="91" t="n"/>
      <c r="K651" s="91" t="n"/>
      <c r="L651" s="93" t="str">
        <f>IF(R651=0,"",SUMIFS('RECEBIMENTOS'!$H$6:$H$1005,'RECEBIMENTOS'!$R$6:$R$1005,A651,'RECEBIMENTOS'!$X$6:$X$1005,1))</f>
        <v/>
      </c>
      <c r="M651" s="93" t="str">
        <f>IF(R651=0,"",SUMIFS('VÍNCULOS_CDF'!$H$6:$H$1005,'VÍNCULOS_CDF'!$R$6:$R$1005,A651,'VÍNCULOS_CDF'!$V$6:$V$1005,1))</f>
        <v/>
      </c>
      <c r="N651" s="99" t="str">
        <f>IF(OR(R651=0,AA651=0,NOT(ISNUMBER(I651))),"",I651-N(L651))</f>
        <v/>
      </c>
      <c r="O651" s="100" t="str">
        <f>IF(OR(R651=0,AK651&lt;=0),"",N(M651)/AK651)</f>
        <v/>
      </c>
      <c r="P651" s="94" t="str">
        <f>IF(R651=0,"",IF(S651="","Sem MTR associado",IF(U651=0,"MTR inexistente",IF(C651="","Resíduo não identificado",IF(V651=0,"Resíduo fora do cadastro",IF(W651=0,"Quantidade inválida",IF(H651="","Unidade não informada",IF(NOT(ISNUMBER(I651)),"Unidade a conferir",IF(AND(AH651=1,K651&lt;&gt;"Sim"),"Possível duplicidade",IF(Z651=1,"MTR cancelado",IF(AC651&gt;0,"Recebimento com alerta",IF(AA651=0,"Aguardando recebimento",IF(AB651&lt;AA651,"Recebimento a conferir",IF(AM651=1,"Quantidade a revisar",IF(AF651&gt;0,"Vínculo a revisar",IF(AD651=0,"Aguardando CDF",IF(AN651=0,"Vínculo de CDF parcial",IF(AE651&lt;AD651,"CDF a conferir","Documentação conferida"))))))))))))))))))</f>
        <v/>
      </c>
      <c r="Q651" s="93" t="str">
        <f>IF(OR(R651=0,AA651=0),"",MAX(0,N(L651)-N(M651)))</f>
        <v/>
      </c>
      <c r="R651" s="96">
        <f>IF(COUNTA(B651:C651,G651:H651,J651:K651)&gt;0,1,0)</f>
        <v>0</v>
      </c>
      <c r="S651" s="96" t="str">
        <f>IF(B651="","",TRIM(LEFT(B651,FIND(" |",B651&amp;" |")-1)))</f>
        <v/>
      </c>
      <c r="T651" s="96" t="str">
        <f>IF(S651="","",IFERROR(MATCH(S651,'MTRs'!$A$6:$A$505,0),""))</f>
        <v/>
      </c>
      <c r="U651" s="96">
        <f>IF(T651="",0,IF(INDEX('MTRs'!$Z$6:$Z$505,T651)=1,1,0))</f>
        <v>0</v>
      </c>
      <c r="V651" s="96">
        <f>IF(C651="",0,IF(ISNUMBER(MATCH(C651,'CAD_RESÍDUOS'!$B$6:$B$205,0)),1,0))</f>
        <v>0</v>
      </c>
      <c r="W651" s="96">
        <f>IF(AND(ISNUMBER(G651),G651&gt;0),1,0)</f>
        <v>0</v>
      </c>
      <c r="X651" s="96" t="str">
        <f>IF(H651="","",IFERROR(IF(ISNUMBER(INDEX(cfg_fac,MATCH(H651,cfg_units,0))),IF(INDEX(cfg_fac,MATCH(H651,cfg_units,0))&gt;0,INDEX(cfg_fac,MATCH(H651,cfg_units,0)),""),""),""))</f>
        <v/>
      </c>
      <c r="Y651" s="96">
        <f>IF(AND(W651=1,ISNUMBER(I651)),1,0)</f>
        <v>0</v>
      </c>
      <c r="Z651" s="96">
        <f>IF(U651=1,INDEX('MTRs'!$AA$6:$AA$505,T651),0)</f>
        <v>0</v>
      </c>
      <c r="AA651" s="96">
        <f>IF(R651=0,0,COUNTIFS('RECEBIMENTOS'!$R$6:$R$1005,A651,'RECEBIMENTOS'!$Q$6:$Q$1005,1))</f>
        <v>0</v>
      </c>
      <c r="AB651" s="96">
        <f>IF(R651=0,0,COUNTIFS('RECEBIMENTOS'!$R$6:$R$1005,A651,'RECEBIMENTOS'!$Z$6:$Z$1005,1))</f>
        <v>0</v>
      </c>
      <c r="AC651" s="96">
        <f>IF(R651=0,0,COUNTIFS('RECEBIMENTOS'!$R$6:$R$1005,A651,'RECEBIMENTOS'!$Y$6:$Y$1005,1))</f>
        <v>0</v>
      </c>
      <c r="AD651" s="96">
        <f>IF(R651=0,0,COUNTIFS('VÍNCULOS_CDF'!$R$6:$R$1005,A651,'VÍNCULOS_CDF'!$N$6:$N$1005,1))</f>
        <v>0</v>
      </c>
      <c r="AE651" s="96">
        <f>IF(R651=0,0,COUNTIFS('VÍNCULOS_CDF'!$R$6:$R$1005,A651,'VÍNCULOS_CDF'!$AA$6:$AA$1005,1))</f>
        <v>0</v>
      </c>
      <c r="AF651" s="96">
        <f>IF(R651=0,0,COUNTIFS('VÍNCULOS_CDF'!$R$6:$R$1005,A651,'VÍNCULOS_CDF'!$Y$6:$Y$1005,1))</f>
        <v>0</v>
      </c>
      <c r="AG651" s="96" t="str">
        <f>IF(AND(R651=1,S651&lt;&gt;"",C651&lt;&gt;""),S651&amp;"|"&amp;C651&amp;"|"&amp;G651&amp;"|"&amp;H651,"")</f>
        <v/>
      </c>
      <c r="AH651" s="96">
        <f>IF(AG651="",0,IF(SUMPRODUCT(--($AG$6:$AG$1005=AG651))&gt;1,1,0))</f>
        <v>0</v>
      </c>
      <c r="AI651" s="96">
        <f>IF(R651=0,0,IF(OR(U651=0,V651=0,Y651=0,AND(AH651=1,K651&lt;&gt;"Sim")),1,0))</f>
        <v>0</v>
      </c>
      <c r="AJ651" s="96">
        <f>IF(AND(R651=1,AA651&gt;0,AB651=AA651),1,0)</f>
        <v>0</v>
      </c>
      <c r="AK651" s="96">
        <f>IF(R651=0,0,IF(AA651&gt;0,N(L651),IF(ISNUMBER(I651),I651,0)))</f>
        <v>0</v>
      </c>
      <c r="AL651" s="96">
        <f>IF(R651=0,0,IF(AND(K651&lt;&gt;"Sim",N(M651)&gt;AK651+cfg_tol),1,0))</f>
        <v>0</v>
      </c>
      <c r="AM651" s="96">
        <f>IF(R651=0,0,IF(K651="Sim",0,IF(OR(AND(AA651&gt;0,ISNUMBER(I651),ABS(I651-N(L651))&gt;cfg_tol),AL651=1),1,0)))</f>
        <v>0</v>
      </c>
      <c r="AN651" s="96">
        <f>IF(AND(R651=1,N(M651)&gt;0,OR(N(M651)&gt;=AK651-cfg_tol,K651="Sim")),1,0)</f>
        <v>0</v>
      </c>
      <c r="AO651" s="96">
        <f>IF(AND(AN651=1,AD651&gt;0,AE651=AD651,AL651=0),1,0)</f>
        <v>0</v>
      </c>
      <c r="AP651" s="96">
        <f>IF(U651=0,0,IF(AND(INDEX('MTRs'!$AX$6:$AX$505,T651)=1,Z651=0,OR(f_res="",f_res="(Todos)",C651=f_res)),1,0))</f>
        <v>0</v>
      </c>
      <c r="AQ651" s="97" t="str">
        <f>IF(U651=0,"",INDEX('MTRs'!$AZ$6:$AZ$505,T651))</f>
        <v/>
      </c>
      <c r="AR651" s="96">
        <f>IF(U651=0,0,IF(AND(INDEX('MTRs'!$BA$6:$BA$505,T651)=1,Z651=0),1,0))</f>
        <v>0</v>
      </c>
      <c r="AS651" s="96" t="str">
        <f>IF(R651=1,A651&amp;" | MTR "&amp;IF(U651=1,INDEX('MTRs'!$B$6:$B$505,T651)&amp;"","?")&amp;" | "&amp;IF(C651="","(sem resíduo)",C651),"")</f>
        <v/>
      </c>
      <c r="AT651" s="96" t="str">
        <f>IF(R651=1,COUNTIF($R$6:R651,1),"")</f>
        <v/>
      </c>
      <c r="AU651" s="96" t="str">
        <f>IF(U651=1,INDEX('MTRs'!$I$6:$I$505,T651)&amp;"","")</f>
        <v/>
      </c>
    </row>
    <row r="652">
      <c r="A652" s="89" t="inlineStr">
        <is>
          <t>IT-000647</t>
        </is>
      </c>
      <c r="B652" s="91" t="n"/>
      <c r="C652" s="91" t="n"/>
      <c r="D652" s="94" t="str">
        <f>IF(OR(R652=0,V652=0),"",INDEX('CAD_RESÍDUOS'!$E$6:$E$205,MATCH(C652,'CAD_RESÍDUOS'!$B$6:$B$205,0))&amp;"")</f>
        <v/>
      </c>
      <c r="E652" s="94" t="str">
        <f>IF(OR(R652=0,V652=0),"",INDEX('CAD_RESÍDUOS'!$C$6:$C$205,MATCH(C652,'CAD_RESÍDUOS'!$B$6:$B$205,0))&amp;"")</f>
        <v/>
      </c>
      <c r="F652" s="94" t="str">
        <f>IF(OR(R652=0,V652=0),"",INDEX('CAD_RESÍDUOS'!$G$6:$G$205,MATCH(C652,'CAD_RESÍDUOS'!$B$6:$B$205,0))&amp;"")</f>
        <v/>
      </c>
      <c r="G652" s="98" t="n"/>
      <c r="H652" s="91" t="n"/>
      <c r="I652" s="93" t="str">
        <f>IF(R652=0,"",IF(NOT(ISNUMBER(G652)),"",IF(ISNUMBER(X652),G652*X652,"UNIDADE A CONFERIR")))</f>
        <v/>
      </c>
      <c r="J652" s="91" t="n"/>
      <c r="K652" s="91" t="n"/>
      <c r="L652" s="93" t="str">
        <f>IF(R652=0,"",SUMIFS('RECEBIMENTOS'!$H$6:$H$1005,'RECEBIMENTOS'!$R$6:$R$1005,A652,'RECEBIMENTOS'!$X$6:$X$1005,1))</f>
        <v/>
      </c>
      <c r="M652" s="93" t="str">
        <f>IF(R652=0,"",SUMIFS('VÍNCULOS_CDF'!$H$6:$H$1005,'VÍNCULOS_CDF'!$R$6:$R$1005,A652,'VÍNCULOS_CDF'!$V$6:$V$1005,1))</f>
        <v/>
      </c>
      <c r="N652" s="99" t="str">
        <f>IF(OR(R652=0,AA652=0,NOT(ISNUMBER(I652))),"",I652-N(L652))</f>
        <v/>
      </c>
      <c r="O652" s="100" t="str">
        <f>IF(OR(R652=0,AK652&lt;=0),"",N(M652)/AK652)</f>
        <v/>
      </c>
      <c r="P652" s="94" t="str">
        <f>IF(R652=0,"",IF(S652="","Sem MTR associado",IF(U652=0,"MTR inexistente",IF(C652="","Resíduo não identificado",IF(V652=0,"Resíduo fora do cadastro",IF(W652=0,"Quantidade inválida",IF(H652="","Unidade não informada",IF(NOT(ISNUMBER(I652)),"Unidade a conferir",IF(AND(AH652=1,K652&lt;&gt;"Sim"),"Possível duplicidade",IF(Z652=1,"MTR cancelado",IF(AC652&gt;0,"Recebimento com alerta",IF(AA652=0,"Aguardando recebimento",IF(AB652&lt;AA652,"Recebimento a conferir",IF(AM652=1,"Quantidade a revisar",IF(AF652&gt;0,"Vínculo a revisar",IF(AD652=0,"Aguardando CDF",IF(AN652=0,"Vínculo de CDF parcial",IF(AE652&lt;AD652,"CDF a conferir","Documentação conferida"))))))))))))))))))</f>
        <v/>
      </c>
      <c r="Q652" s="93" t="str">
        <f>IF(OR(R652=0,AA652=0),"",MAX(0,N(L652)-N(M652)))</f>
        <v/>
      </c>
      <c r="R652" s="96">
        <f>IF(COUNTA(B652:C652,G652:H652,J652:K652)&gt;0,1,0)</f>
        <v>0</v>
      </c>
      <c r="S652" s="96" t="str">
        <f>IF(B652="","",TRIM(LEFT(B652,FIND(" |",B652&amp;" |")-1)))</f>
        <v/>
      </c>
      <c r="T652" s="96" t="str">
        <f>IF(S652="","",IFERROR(MATCH(S652,'MTRs'!$A$6:$A$505,0),""))</f>
        <v/>
      </c>
      <c r="U652" s="96">
        <f>IF(T652="",0,IF(INDEX('MTRs'!$Z$6:$Z$505,T652)=1,1,0))</f>
        <v>0</v>
      </c>
      <c r="V652" s="96">
        <f>IF(C652="",0,IF(ISNUMBER(MATCH(C652,'CAD_RESÍDUOS'!$B$6:$B$205,0)),1,0))</f>
        <v>0</v>
      </c>
      <c r="W652" s="96">
        <f>IF(AND(ISNUMBER(G652),G652&gt;0),1,0)</f>
        <v>0</v>
      </c>
      <c r="X652" s="96" t="str">
        <f>IF(H652="","",IFERROR(IF(ISNUMBER(INDEX(cfg_fac,MATCH(H652,cfg_units,0))),IF(INDEX(cfg_fac,MATCH(H652,cfg_units,0))&gt;0,INDEX(cfg_fac,MATCH(H652,cfg_units,0)),""),""),""))</f>
        <v/>
      </c>
      <c r="Y652" s="96">
        <f>IF(AND(W652=1,ISNUMBER(I652)),1,0)</f>
        <v>0</v>
      </c>
      <c r="Z652" s="96">
        <f>IF(U652=1,INDEX('MTRs'!$AA$6:$AA$505,T652),0)</f>
        <v>0</v>
      </c>
      <c r="AA652" s="96">
        <f>IF(R652=0,0,COUNTIFS('RECEBIMENTOS'!$R$6:$R$1005,A652,'RECEBIMENTOS'!$Q$6:$Q$1005,1))</f>
        <v>0</v>
      </c>
      <c r="AB652" s="96">
        <f>IF(R652=0,0,COUNTIFS('RECEBIMENTOS'!$R$6:$R$1005,A652,'RECEBIMENTOS'!$Z$6:$Z$1005,1))</f>
        <v>0</v>
      </c>
      <c r="AC652" s="96">
        <f>IF(R652=0,0,COUNTIFS('RECEBIMENTOS'!$R$6:$R$1005,A652,'RECEBIMENTOS'!$Y$6:$Y$1005,1))</f>
        <v>0</v>
      </c>
      <c r="AD652" s="96">
        <f>IF(R652=0,0,COUNTIFS('VÍNCULOS_CDF'!$R$6:$R$1005,A652,'VÍNCULOS_CDF'!$N$6:$N$1005,1))</f>
        <v>0</v>
      </c>
      <c r="AE652" s="96">
        <f>IF(R652=0,0,COUNTIFS('VÍNCULOS_CDF'!$R$6:$R$1005,A652,'VÍNCULOS_CDF'!$AA$6:$AA$1005,1))</f>
        <v>0</v>
      </c>
      <c r="AF652" s="96">
        <f>IF(R652=0,0,COUNTIFS('VÍNCULOS_CDF'!$R$6:$R$1005,A652,'VÍNCULOS_CDF'!$Y$6:$Y$1005,1))</f>
        <v>0</v>
      </c>
      <c r="AG652" s="96" t="str">
        <f>IF(AND(R652=1,S652&lt;&gt;"",C652&lt;&gt;""),S652&amp;"|"&amp;C652&amp;"|"&amp;G652&amp;"|"&amp;H652,"")</f>
        <v/>
      </c>
      <c r="AH652" s="96">
        <f>IF(AG652="",0,IF(SUMPRODUCT(--($AG$6:$AG$1005=AG652))&gt;1,1,0))</f>
        <v>0</v>
      </c>
      <c r="AI652" s="96">
        <f>IF(R652=0,0,IF(OR(U652=0,V652=0,Y652=0,AND(AH652=1,K652&lt;&gt;"Sim")),1,0))</f>
        <v>0</v>
      </c>
      <c r="AJ652" s="96">
        <f>IF(AND(R652=1,AA652&gt;0,AB652=AA652),1,0)</f>
        <v>0</v>
      </c>
      <c r="AK652" s="96">
        <f>IF(R652=0,0,IF(AA652&gt;0,N(L652),IF(ISNUMBER(I652),I652,0)))</f>
        <v>0</v>
      </c>
      <c r="AL652" s="96">
        <f>IF(R652=0,0,IF(AND(K652&lt;&gt;"Sim",N(M652)&gt;AK652+cfg_tol),1,0))</f>
        <v>0</v>
      </c>
      <c r="AM652" s="96">
        <f>IF(R652=0,0,IF(K652="Sim",0,IF(OR(AND(AA652&gt;0,ISNUMBER(I652),ABS(I652-N(L652))&gt;cfg_tol),AL652=1),1,0)))</f>
        <v>0</v>
      </c>
      <c r="AN652" s="96">
        <f>IF(AND(R652=1,N(M652)&gt;0,OR(N(M652)&gt;=AK652-cfg_tol,K652="Sim")),1,0)</f>
        <v>0</v>
      </c>
      <c r="AO652" s="96">
        <f>IF(AND(AN652=1,AD652&gt;0,AE652=AD652,AL652=0),1,0)</f>
        <v>0</v>
      </c>
      <c r="AP652" s="96">
        <f>IF(U652=0,0,IF(AND(INDEX('MTRs'!$AX$6:$AX$505,T652)=1,Z652=0,OR(f_res="",f_res="(Todos)",C652=f_res)),1,0))</f>
        <v>0</v>
      </c>
      <c r="AQ652" s="97" t="str">
        <f>IF(U652=0,"",INDEX('MTRs'!$AZ$6:$AZ$505,T652))</f>
        <v/>
      </c>
      <c r="AR652" s="96">
        <f>IF(U652=0,0,IF(AND(INDEX('MTRs'!$BA$6:$BA$505,T652)=1,Z652=0),1,0))</f>
        <v>0</v>
      </c>
      <c r="AS652" s="96" t="str">
        <f>IF(R652=1,A652&amp;" | MTR "&amp;IF(U652=1,INDEX('MTRs'!$B$6:$B$505,T652)&amp;"","?")&amp;" | "&amp;IF(C652="","(sem resíduo)",C652),"")</f>
        <v/>
      </c>
      <c r="AT652" s="96" t="str">
        <f>IF(R652=1,COUNTIF($R$6:R652,1),"")</f>
        <v/>
      </c>
      <c r="AU652" s="96" t="str">
        <f>IF(U652=1,INDEX('MTRs'!$I$6:$I$505,T652)&amp;"","")</f>
        <v/>
      </c>
    </row>
    <row r="653">
      <c r="A653" s="89" t="inlineStr">
        <is>
          <t>IT-000648</t>
        </is>
      </c>
      <c r="B653" s="91" t="n"/>
      <c r="C653" s="91" t="n"/>
      <c r="D653" s="94" t="str">
        <f>IF(OR(R653=0,V653=0),"",INDEX('CAD_RESÍDUOS'!$E$6:$E$205,MATCH(C653,'CAD_RESÍDUOS'!$B$6:$B$205,0))&amp;"")</f>
        <v/>
      </c>
      <c r="E653" s="94" t="str">
        <f>IF(OR(R653=0,V653=0),"",INDEX('CAD_RESÍDUOS'!$C$6:$C$205,MATCH(C653,'CAD_RESÍDUOS'!$B$6:$B$205,0))&amp;"")</f>
        <v/>
      </c>
      <c r="F653" s="94" t="str">
        <f>IF(OR(R653=0,V653=0),"",INDEX('CAD_RESÍDUOS'!$G$6:$G$205,MATCH(C653,'CAD_RESÍDUOS'!$B$6:$B$205,0))&amp;"")</f>
        <v/>
      </c>
      <c r="G653" s="98" t="n"/>
      <c r="H653" s="91" t="n"/>
      <c r="I653" s="93" t="str">
        <f>IF(R653=0,"",IF(NOT(ISNUMBER(G653)),"",IF(ISNUMBER(X653),G653*X653,"UNIDADE A CONFERIR")))</f>
        <v/>
      </c>
      <c r="J653" s="91" t="n"/>
      <c r="K653" s="91" t="n"/>
      <c r="L653" s="93" t="str">
        <f>IF(R653=0,"",SUMIFS('RECEBIMENTOS'!$H$6:$H$1005,'RECEBIMENTOS'!$R$6:$R$1005,A653,'RECEBIMENTOS'!$X$6:$X$1005,1))</f>
        <v/>
      </c>
      <c r="M653" s="93" t="str">
        <f>IF(R653=0,"",SUMIFS('VÍNCULOS_CDF'!$H$6:$H$1005,'VÍNCULOS_CDF'!$R$6:$R$1005,A653,'VÍNCULOS_CDF'!$V$6:$V$1005,1))</f>
        <v/>
      </c>
      <c r="N653" s="99" t="str">
        <f>IF(OR(R653=0,AA653=0,NOT(ISNUMBER(I653))),"",I653-N(L653))</f>
        <v/>
      </c>
      <c r="O653" s="100" t="str">
        <f>IF(OR(R653=0,AK653&lt;=0),"",N(M653)/AK653)</f>
        <v/>
      </c>
      <c r="P653" s="94" t="str">
        <f>IF(R653=0,"",IF(S653="","Sem MTR associado",IF(U653=0,"MTR inexistente",IF(C653="","Resíduo não identificado",IF(V653=0,"Resíduo fora do cadastro",IF(W653=0,"Quantidade inválida",IF(H653="","Unidade não informada",IF(NOT(ISNUMBER(I653)),"Unidade a conferir",IF(AND(AH653=1,K653&lt;&gt;"Sim"),"Possível duplicidade",IF(Z653=1,"MTR cancelado",IF(AC653&gt;0,"Recebimento com alerta",IF(AA653=0,"Aguardando recebimento",IF(AB653&lt;AA653,"Recebimento a conferir",IF(AM653=1,"Quantidade a revisar",IF(AF653&gt;0,"Vínculo a revisar",IF(AD653=0,"Aguardando CDF",IF(AN653=0,"Vínculo de CDF parcial",IF(AE653&lt;AD653,"CDF a conferir","Documentação conferida"))))))))))))))))))</f>
        <v/>
      </c>
      <c r="Q653" s="93" t="str">
        <f>IF(OR(R653=0,AA653=0),"",MAX(0,N(L653)-N(M653)))</f>
        <v/>
      </c>
      <c r="R653" s="96">
        <f>IF(COUNTA(B653:C653,G653:H653,J653:K653)&gt;0,1,0)</f>
        <v>0</v>
      </c>
      <c r="S653" s="96" t="str">
        <f>IF(B653="","",TRIM(LEFT(B653,FIND(" |",B653&amp;" |")-1)))</f>
        <v/>
      </c>
      <c r="T653" s="96" t="str">
        <f>IF(S653="","",IFERROR(MATCH(S653,'MTRs'!$A$6:$A$505,0),""))</f>
        <v/>
      </c>
      <c r="U653" s="96">
        <f>IF(T653="",0,IF(INDEX('MTRs'!$Z$6:$Z$505,T653)=1,1,0))</f>
        <v>0</v>
      </c>
      <c r="V653" s="96">
        <f>IF(C653="",0,IF(ISNUMBER(MATCH(C653,'CAD_RESÍDUOS'!$B$6:$B$205,0)),1,0))</f>
        <v>0</v>
      </c>
      <c r="W653" s="96">
        <f>IF(AND(ISNUMBER(G653),G653&gt;0),1,0)</f>
        <v>0</v>
      </c>
      <c r="X653" s="96" t="str">
        <f>IF(H653="","",IFERROR(IF(ISNUMBER(INDEX(cfg_fac,MATCH(H653,cfg_units,0))),IF(INDEX(cfg_fac,MATCH(H653,cfg_units,0))&gt;0,INDEX(cfg_fac,MATCH(H653,cfg_units,0)),""),""),""))</f>
        <v/>
      </c>
      <c r="Y653" s="96">
        <f>IF(AND(W653=1,ISNUMBER(I653)),1,0)</f>
        <v>0</v>
      </c>
      <c r="Z653" s="96">
        <f>IF(U653=1,INDEX('MTRs'!$AA$6:$AA$505,T653),0)</f>
        <v>0</v>
      </c>
      <c r="AA653" s="96">
        <f>IF(R653=0,0,COUNTIFS('RECEBIMENTOS'!$R$6:$R$1005,A653,'RECEBIMENTOS'!$Q$6:$Q$1005,1))</f>
        <v>0</v>
      </c>
      <c r="AB653" s="96">
        <f>IF(R653=0,0,COUNTIFS('RECEBIMENTOS'!$R$6:$R$1005,A653,'RECEBIMENTOS'!$Z$6:$Z$1005,1))</f>
        <v>0</v>
      </c>
      <c r="AC653" s="96">
        <f>IF(R653=0,0,COUNTIFS('RECEBIMENTOS'!$R$6:$R$1005,A653,'RECEBIMENTOS'!$Y$6:$Y$1005,1))</f>
        <v>0</v>
      </c>
      <c r="AD653" s="96">
        <f>IF(R653=0,0,COUNTIFS('VÍNCULOS_CDF'!$R$6:$R$1005,A653,'VÍNCULOS_CDF'!$N$6:$N$1005,1))</f>
        <v>0</v>
      </c>
      <c r="AE653" s="96">
        <f>IF(R653=0,0,COUNTIFS('VÍNCULOS_CDF'!$R$6:$R$1005,A653,'VÍNCULOS_CDF'!$AA$6:$AA$1005,1))</f>
        <v>0</v>
      </c>
      <c r="AF653" s="96">
        <f>IF(R653=0,0,COUNTIFS('VÍNCULOS_CDF'!$R$6:$R$1005,A653,'VÍNCULOS_CDF'!$Y$6:$Y$1005,1))</f>
        <v>0</v>
      </c>
      <c r="AG653" s="96" t="str">
        <f>IF(AND(R653=1,S653&lt;&gt;"",C653&lt;&gt;""),S653&amp;"|"&amp;C653&amp;"|"&amp;G653&amp;"|"&amp;H653,"")</f>
        <v/>
      </c>
      <c r="AH653" s="96">
        <f>IF(AG653="",0,IF(SUMPRODUCT(--($AG$6:$AG$1005=AG653))&gt;1,1,0))</f>
        <v>0</v>
      </c>
      <c r="AI653" s="96">
        <f>IF(R653=0,0,IF(OR(U653=0,V653=0,Y653=0,AND(AH653=1,K653&lt;&gt;"Sim")),1,0))</f>
        <v>0</v>
      </c>
      <c r="AJ653" s="96">
        <f>IF(AND(R653=1,AA653&gt;0,AB653=AA653),1,0)</f>
        <v>0</v>
      </c>
      <c r="AK653" s="96">
        <f>IF(R653=0,0,IF(AA653&gt;0,N(L653),IF(ISNUMBER(I653),I653,0)))</f>
        <v>0</v>
      </c>
      <c r="AL653" s="96">
        <f>IF(R653=0,0,IF(AND(K653&lt;&gt;"Sim",N(M653)&gt;AK653+cfg_tol),1,0))</f>
        <v>0</v>
      </c>
      <c r="AM653" s="96">
        <f>IF(R653=0,0,IF(K653="Sim",0,IF(OR(AND(AA653&gt;0,ISNUMBER(I653),ABS(I653-N(L653))&gt;cfg_tol),AL653=1),1,0)))</f>
        <v>0</v>
      </c>
      <c r="AN653" s="96">
        <f>IF(AND(R653=1,N(M653)&gt;0,OR(N(M653)&gt;=AK653-cfg_tol,K653="Sim")),1,0)</f>
        <v>0</v>
      </c>
      <c r="AO653" s="96">
        <f>IF(AND(AN653=1,AD653&gt;0,AE653=AD653,AL653=0),1,0)</f>
        <v>0</v>
      </c>
      <c r="AP653" s="96">
        <f>IF(U653=0,0,IF(AND(INDEX('MTRs'!$AX$6:$AX$505,T653)=1,Z653=0,OR(f_res="",f_res="(Todos)",C653=f_res)),1,0))</f>
        <v>0</v>
      </c>
      <c r="AQ653" s="97" t="str">
        <f>IF(U653=0,"",INDEX('MTRs'!$AZ$6:$AZ$505,T653))</f>
        <v/>
      </c>
      <c r="AR653" s="96">
        <f>IF(U653=0,0,IF(AND(INDEX('MTRs'!$BA$6:$BA$505,T653)=1,Z653=0),1,0))</f>
        <v>0</v>
      </c>
      <c r="AS653" s="96" t="str">
        <f>IF(R653=1,A653&amp;" | MTR "&amp;IF(U653=1,INDEX('MTRs'!$B$6:$B$505,T653)&amp;"","?")&amp;" | "&amp;IF(C653="","(sem resíduo)",C653),"")</f>
        <v/>
      </c>
      <c r="AT653" s="96" t="str">
        <f>IF(R653=1,COUNTIF($R$6:R653,1),"")</f>
        <v/>
      </c>
      <c r="AU653" s="96" t="str">
        <f>IF(U653=1,INDEX('MTRs'!$I$6:$I$505,T653)&amp;"","")</f>
        <v/>
      </c>
    </row>
    <row r="654">
      <c r="A654" s="89" t="inlineStr">
        <is>
          <t>IT-000649</t>
        </is>
      </c>
      <c r="B654" s="91" t="n"/>
      <c r="C654" s="91" t="n"/>
      <c r="D654" s="94" t="str">
        <f>IF(OR(R654=0,V654=0),"",INDEX('CAD_RESÍDUOS'!$E$6:$E$205,MATCH(C654,'CAD_RESÍDUOS'!$B$6:$B$205,0))&amp;"")</f>
        <v/>
      </c>
      <c r="E654" s="94" t="str">
        <f>IF(OR(R654=0,V654=0),"",INDEX('CAD_RESÍDUOS'!$C$6:$C$205,MATCH(C654,'CAD_RESÍDUOS'!$B$6:$B$205,0))&amp;"")</f>
        <v/>
      </c>
      <c r="F654" s="94" t="str">
        <f>IF(OR(R654=0,V654=0),"",INDEX('CAD_RESÍDUOS'!$G$6:$G$205,MATCH(C654,'CAD_RESÍDUOS'!$B$6:$B$205,0))&amp;"")</f>
        <v/>
      </c>
      <c r="G654" s="98" t="n"/>
      <c r="H654" s="91" t="n"/>
      <c r="I654" s="93" t="str">
        <f>IF(R654=0,"",IF(NOT(ISNUMBER(G654)),"",IF(ISNUMBER(X654),G654*X654,"UNIDADE A CONFERIR")))</f>
        <v/>
      </c>
      <c r="J654" s="91" t="n"/>
      <c r="K654" s="91" t="n"/>
      <c r="L654" s="93" t="str">
        <f>IF(R654=0,"",SUMIFS('RECEBIMENTOS'!$H$6:$H$1005,'RECEBIMENTOS'!$R$6:$R$1005,A654,'RECEBIMENTOS'!$X$6:$X$1005,1))</f>
        <v/>
      </c>
      <c r="M654" s="93" t="str">
        <f>IF(R654=0,"",SUMIFS('VÍNCULOS_CDF'!$H$6:$H$1005,'VÍNCULOS_CDF'!$R$6:$R$1005,A654,'VÍNCULOS_CDF'!$V$6:$V$1005,1))</f>
        <v/>
      </c>
      <c r="N654" s="99" t="str">
        <f>IF(OR(R654=0,AA654=0,NOT(ISNUMBER(I654))),"",I654-N(L654))</f>
        <v/>
      </c>
      <c r="O654" s="100" t="str">
        <f>IF(OR(R654=0,AK654&lt;=0),"",N(M654)/AK654)</f>
        <v/>
      </c>
      <c r="P654" s="94" t="str">
        <f>IF(R654=0,"",IF(S654="","Sem MTR associado",IF(U654=0,"MTR inexistente",IF(C654="","Resíduo não identificado",IF(V654=0,"Resíduo fora do cadastro",IF(W654=0,"Quantidade inválida",IF(H654="","Unidade não informada",IF(NOT(ISNUMBER(I654)),"Unidade a conferir",IF(AND(AH654=1,K654&lt;&gt;"Sim"),"Possível duplicidade",IF(Z654=1,"MTR cancelado",IF(AC654&gt;0,"Recebimento com alerta",IF(AA654=0,"Aguardando recebimento",IF(AB654&lt;AA654,"Recebimento a conferir",IF(AM654=1,"Quantidade a revisar",IF(AF654&gt;0,"Vínculo a revisar",IF(AD654=0,"Aguardando CDF",IF(AN654=0,"Vínculo de CDF parcial",IF(AE654&lt;AD654,"CDF a conferir","Documentação conferida"))))))))))))))))))</f>
        <v/>
      </c>
      <c r="Q654" s="93" t="str">
        <f>IF(OR(R654=0,AA654=0),"",MAX(0,N(L654)-N(M654)))</f>
        <v/>
      </c>
      <c r="R654" s="96">
        <f>IF(COUNTA(B654:C654,G654:H654,J654:K654)&gt;0,1,0)</f>
        <v>0</v>
      </c>
      <c r="S654" s="96" t="str">
        <f>IF(B654="","",TRIM(LEFT(B654,FIND(" |",B654&amp;" |")-1)))</f>
        <v/>
      </c>
      <c r="T654" s="96" t="str">
        <f>IF(S654="","",IFERROR(MATCH(S654,'MTRs'!$A$6:$A$505,0),""))</f>
        <v/>
      </c>
      <c r="U654" s="96">
        <f>IF(T654="",0,IF(INDEX('MTRs'!$Z$6:$Z$505,T654)=1,1,0))</f>
        <v>0</v>
      </c>
      <c r="V654" s="96">
        <f>IF(C654="",0,IF(ISNUMBER(MATCH(C654,'CAD_RESÍDUOS'!$B$6:$B$205,0)),1,0))</f>
        <v>0</v>
      </c>
      <c r="W654" s="96">
        <f>IF(AND(ISNUMBER(G654),G654&gt;0),1,0)</f>
        <v>0</v>
      </c>
      <c r="X654" s="96" t="str">
        <f>IF(H654="","",IFERROR(IF(ISNUMBER(INDEX(cfg_fac,MATCH(H654,cfg_units,0))),IF(INDEX(cfg_fac,MATCH(H654,cfg_units,0))&gt;0,INDEX(cfg_fac,MATCH(H654,cfg_units,0)),""),""),""))</f>
        <v/>
      </c>
      <c r="Y654" s="96">
        <f>IF(AND(W654=1,ISNUMBER(I654)),1,0)</f>
        <v>0</v>
      </c>
      <c r="Z654" s="96">
        <f>IF(U654=1,INDEX('MTRs'!$AA$6:$AA$505,T654),0)</f>
        <v>0</v>
      </c>
      <c r="AA654" s="96">
        <f>IF(R654=0,0,COUNTIFS('RECEBIMENTOS'!$R$6:$R$1005,A654,'RECEBIMENTOS'!$Q$6:$Q$1005,1))</f>
        <v>0</v>
      </c>
      <c r="AB654" s="96">
        <f>IF(R654=0,0,COUNTIFS('RECEBIMENTOS'!$R$6:$R$1005,A654,'RECEBIMENTOS'!$Z$6:$Z$1005,1))</f>
        <v>0</v>
      </c>
      <c r="AC654" s="96">
        <f>IF(R654=0,0,COUNTIFS('RECEBIMENTOS'!$R$6:$R$1005,A654,'RECEBIMENTOS'!$Y$6:$Y$1005,1))</f>
        <v>0</v>
      </c>
      <c r="AD654" s="96">
        <f>IF(R654=0,0,COUNTIFS('VÍNCULOS_CDF'!$R$6:$R$1005,A654,'VÍNCULOS_CDF'!$N$6:$N$1005,1))</f>
        <v>0</v>
      </c>
      <c r="AE654" s="96">
        <f>IF(R654=0,0,COUNTIFS('VÍNCULOS_CDF'!$R$6:$R$1005,A654,'VÍNCULOS_CDF'!$AA$6:$AA$1005,1))</f>
        <v>0</v>
      </c>
      <c r="AF654" s="96">
        <f>IF(R654=0,0,COUNTIFS('VÍNCULOS_CDF'!$R$6:$R$1005,A654,'VÍNCULOS_CDF'!$Y$6:$Y$1005,1))</f>
        <v>0</v>
      </c>
      <c r="AG654" s="96" t="str">
        <f>IF(AND(R654=1,S654&lt;&gt;"",C654&lt;&gt;""),S654&amp;"|"&amp;C654&amp;"|"&amp;G654&amp;"|"&amp;H654,"")</f>
        <v/>
      </c>
      <c r="AH654" s="96">
        <f>IF(AG654="",0,IF(SUMPRODUCT(--($AG$6:$AG$1005=AG654))&gt;1,1,0))</f>
        <v>0</v>
      </c>
      <c r="AI654" s="96">
        <f>IF(R654=0,0,IF(OR(U654=0,V654=0,Y654=0,AND(AH654=1,K654&lt;&gt;"Sim")),1,0))</f>
        <v>0</v>
      </c>
      <c r="AJ654" s="96">
        <f>IF(AND(R654=1,AA654&gt;0,AB654=AA654),1,0)</f>
        <v>0</v>
      </c>
      <c r="AK654" s="96">
        <f>IF(R654=0,0,IF(AA654&gt;0,N(L654),IF(ISNUMBER(I654),I654,0)))</f>
        <v>0</v>
      </c>
      <c r="AL654" s="96">
        <f>IF(R654=0,0,IF(AND(K654&lt;&gt;"Sim",N(M654)&gt;AK654+cfg_tol),1,0))</f>
        <v>0</v>
      </c>
      <c r="AM654" s="96">
        <f>IF(R654=0,0,IF(K654="Sim",0,IF(OR(AND(AA654&gt;0,ISNUMBER(I654),ABS(I654-N(L654))&gt;cfg_tol),AL654=1),1,0)))</f>
        <v>0</v>
      </c>
      <c r="AN654" s="96">
        <f>IF(AND(R654=1,N(M654)&gt;0,OR(N(M654)&gt;=AK654-cfg_tol,K654="Sim")),1,0)</f>
        <v>0</v>
      </c>
      <c r="AO654" s="96">
        <f>IF(AND(AN654=1,AD654&gt;0,AE654=AD654,AL654=0),1,0)</f>
        <v>0</v>
      </c>
      <c r="AP654" s="96">
        <f>IF(U654=0,0,IF(AND(INDEX('MTRs'!$AX$6:$AX$505,T654)=1,Z654=0,OR(f_res="",f_res="(Todos)",C654=f_res)),1,0))</f>
        <v>0</v>
      </c>
      <c r="AQ654" s="97" t="str">
        <f>IF(U654=0,"",INDEX('MTRs'!$AZ$6:$AZ$505,T654))</f>
        <v/>
      </c>
      <c r="AR654" s="96">
        <f>IF(U654=0,0,IF(AND(INDEX('MTRs'!$BA$6:$BA$505,T654)=1,Z654=0),1,0))</f>
        <v>0</v>
      </c>
      <c r="AS654" s="96" t="str">
        <f>IF(R654=1,A654&amp;" | MTR "&amp;IF(U654=1,INDEX('MTRs'!$B$6:$B$505,T654)&amp;"","?")&amp;" | "&amp;IF(C654="","(sem resíduo)",C654),"")</f>
        <v/>
      </c>
      <c r="AT654" s="96" t="str">
        <f>IF(R654=1,COUNTIF($R$6:R654,1),"")</f>
        <v/>
      </c>
      <c r="AU654" s="96" t="str">
        <f>IF(U654=1,INDEX('MTRs'!$I$6:$I$505,T654)&amp;"","")</f>
        <v/>
      </c>
    </row>
    <row r="655">
      <c r="A655" s="89" t="inlineStr">
        <is>
          <t>IT-000650</t>
        </is>
      </c>
      <c r="B655" s="91" t="n"/>
      <c r="C655" s="91" t="n"/>
      <c r="D655" s="94" t="str">
        <f>IF(OR(R655=0,V655=0),"",INDEX('CAD_RESÍDUOS'!$E$6:$E$205,MATCH(C655,'CAD_RESÍDUOS'!$B$6:$B$205,0))&amp;"")</f>
        <v/>
      </c>
      <c r="E655" s="94" t="str">
        <f>IF(OR(R655=0,V655=0),"",INDEX('CAD_RESÍDUOS'!$C$6:$C$205,MATCH(C655,'CAD_RESÍDUOS'!$B$6:$B$205,0))&amp;"")</f>
        <v/>
      </c>
      <c r="F655" s="94" t="str">
        <f>IF(OR(R655=0,V655=0),"",INDEX('CAD_RESÍDUOS'!$G$6:$G$205,MATCH(C655,'CAD_RESÍDUOS'!$B$6:$B$205,0))&amp;"")</f>
        <v/>
      </c>
      <c r="G655" s="98" t="n"/>
      <c r="H655" s="91" t="n"/>
      <c r="I655" s="93" t="str">
        <f>IF(R655=0,"",IF(NOT(ISNUMBER(G655)),"",IF(ISNUMBER(X655),G655*X655,"UNIDADE A CONFERIR")))</f>
        <v/>
      </c>
      <c r="J655" s="91" t="n"/>
      <c r="K655" s="91" t="n"/>
      <c r="L655" s="93" t="str">
        <f>IF(R655=0,"",SUMIFS('RECEBIMENTOS'!$H$6:$H$1005,'RECEBIMENTOS'!$R$6:$R$1005,A655,'RECEBIMENTOS'!$X$6:$X$1005,1))</f>
        <v/>
      </c>
      <c r="M655" s="93" t="str">
        <f>IF(R655=0,"",SUMIFS('VÍNCULOS_CDF'!$H$6:$H$1005,'VÍNCULOS_CDF'!$R$6:$R$1005,A655,'VÍNCULOS_CDF'!$V$6:$V$1005,1))</f>
        <v/>
      </c>
      <c r="N655" s="99" t="str">
        <f>IF(OR(R655=0,AA655=0,NOT(ISNUMBER(I655))),"",I655-N(L655))</f>
        <v/>
      </c>
      <c r="O655" s="100" t="str">
        <f>IF(OR(R655=0,AK655&lt;=0),"",N(M655)/AK655)</f>
        <v/>
      </c>
      <c r="P655" s="94" t="str">
        <f>IF(R655=0,"",IF(S655="","Sem MTR associado",IF(U655=0,"MTR inexistente",IF(C655="","Resíduo não identificado",IF(V655=0,"Resíduo fora do cadastro",IF(W655=0,"Quantidade inválida",IF(H655="","Unidade não informada",IF(NOT(ISNUMBER(I655)),"Unidade a conferir",IF(AND(AH655=1,K655&lt;&gt;"Sim"),"Possível duplicidade",IF(Z655=1,"MTR cancelado",IF(AC655&gt;0,"Recebimento com alerta",IF(AA655=0,"Aguardando recebimento",IF(AB655&lt;AA655,"Recebimento a conferir",IF(AM655=1,"Quantidade a revisar",IF(AF655&gt;0,"Vínculo a revisar",IF(AD655=0,"Aguardando CDF",IF(AN655=0,"Vínculo de CDF parcial",IF(AE655&lt;AD655,"CDF a conferir","Documentação conferida"))))))))))))))))))</f>
        <v/>
      </c>
      <c r="Q655" s="93" t="str">
        <f>IF(OR(R655=0,AA655=0),"",MAX(0,N(L655)-N(M655)))</f>
        <v/>
      </c>
      <c r="R655" s="96">
        <f>IF(COUNTA(B655:C655,G655:H655,J655:K655)&gt;0,1,0)</f>
        <v>0</v>
      </c>
      <c r="S655" s="96" t="str">
        <f>IF(B655="","",TRIM(LEFT(B655,FIND(" |",B655&amp;" |")-1)))</f>
        <v/>
      </c>
      <c r="T655" s="96" t="str">
        <f>IF(S655="","",IFERROR(MATCH(S655,'MTRs'!$A$6:$A$505,0),""))</f>
        <v/>
      </c>
      <c r="U655" s="96">
        <f>IF(T655="",0,IF(INDEX('MTRs'!$Z$6:$Z$505,T655)=1,1,0))</f>
        <v>0</v>
      </c>
      <c r="V655" s="96">
        <f>IF(C655="",0,IF(ISNUMBER(MATCH(C655,'CAD_RESÍDUOS'!$B$6:$B$205,0)),1,0))</f>
        <v>0</v>
      </c>
      <c r="W655" s="96">
        <f>IF(AND(ISNUMBER(G655),G655&gt;0),1,0)</f>
        <v>0</v>
      </c>
      <c r="X655" s="96" t="str">
        <f>IF(H655="","",IFERROR(IF(ISNUMBER(INDEX(cfg_fac,MATCH(H655,cfg_units,0))),IF(INDEX(cfg_fac,MATCH(H655,cfg_units,0))&gt;0,INDEX(cfg_fac,MATCH(H655,cfg_units,0)),""),""),""))</f>
        <v/>
      </c>
      <c r="Y655" s="96">
        <f>IF(AND(W655=1,ISNUMBER(I655)),1,0)</f>
        <v>0</v>
      </c>
      <c r="Z655" s="96">
        <f>IF(U655=1,INDEX('MTRs'!$AA$6:$AA$505,T655),0)</f>
        <v>0</v>
      </c>
      <c r="AA655" s="96">
        <f>IF(R655=0,0,COUNTIFS('RECEBIMENTOS'!$R$6:$R$1005,A655,'RECEBIMENTOS'!$Q$6:$Q$1005,1))</f>
        <v>0</v>
      </c>
      <c r="AB655" s="96">
        <f>IF(R655=0,0,COUNTIFS('RECEBIMENTOS'!$R$6:$R$1005,A655,'RECEBIMENTOS'!$Z$6:$Z$1005,1))</f>
        <v>0</v>
      </c>
      <c r="AC655" s="96">
        <f>IF(R655=0,0,COUNTIFS('RECEBIMENTOS'!$R$6:$R$1005,A655,'RECEBIMENTOS'!$Y$6:$Y$1005,1))</f>
        <v>0</v>
      </c>
      <c r="AD655" s="96">
        <f>IF(R655=0,0,COUNTIFS('VÍNCULOS_CDF'!$R$6:$R$1005,A655,'VÍNCULOS_CDF'!$N$6:$N$1005,1))</f>
        <v>0</v>
      </c>
      <c r="AE655" s="96">
        <f>IF(R655=0,0,COUNTIFS('VÍNCULOS_CDF'!$R$6:$R$1005,A655,'VÍNCULOS_CDF'!$AA$6:$AA$1005,1))</f>
        <v>0</v>
      </c>
      <c r="AF655" s="96">
        <f>IF(R655=0,0,COUNTIFS('VÍNCULOS_CDF'!$R$6:$R$1005,A655,'VÍNCULOS_CDF'!$Y$6:$Y$1005,1))</f>
        <v>0</v>
      </c>
      <c r="AG655" s="96" t="str">
        <f>IF(AND(R655=1,S655&lt;&gt;"",C655&lt;&gt;""),S655&amp;"|"&amp;C655&amp;"|"&amp;G655&amp;"|"&amp;H655,"")</f>
        <v/>
      </c>
      <c r="AH655" s="96">
        <f>IF(AG655="",0,IF(SUMPRODUCT(--($AG$6:$AG$1005=AG655))&gt;1,1,0))</f>
        <v>0</v>
      </c>
      <c r="AI655" s="96">
        <f>IF(R655=0,0,IF(OR(U655=0,V655=0,Y655=0,AND(AH655=1,K655&lt;&gt;"Sim")),1,0))</f>
        <v>0</v>
      </c>
      <c r="AJ655" s="96">
        <f>IF(AND(R655=1,AA655&gt;0,AB655=AA655),1,0)</f>
        <v>0</v>
      </c>
      <c r="AK655" s="96">
        <f>IF(R655=0,0,IF(AA655&gt;0,N(L655),IF(ISNUMBER(I655),I655,0)))</f>
        <v>0</v>
      </c>
      <c r="AL655" s="96">
        <f>IF(R655=0,0,IF(AND(K655&lt;&gt;"Sim",N(M655)&gt;AK655+cfg_tol),1,0))</f>
        <v>0</v>
      </c>
      <c r="AM655" s="96">
        <f>IF(R655=0,0,IF(K655="Sim",0,IF(OR(AND(AA655&gt;0,ISNUMBER(I655),ABS(I655-N(L655))&gt;cfg_tol),AL655=1),1,0)))</f>
        <v>0</v>
      </c>
      <c r="AN655" s="96">
        <f>IF(AND(R655=1,N(M655)&gt;0,OR(N(M655)&gt;=AK655-cfg_tol,K655="Sim")),1,0)</f>
        <v>0</v>
      </c>
      <c r="AO655" s="96">
        <f>IF(AND(AN655=1,AD655&gt;0,AE655=AD655,AL655=0),1,0)</f>
        <v>0</v>
      </c>
      <c r="AP655" s="96">
        <f>IF(U655=0,0,IF(AND(INDEX('MTRs'!$AX$6:$AX$505,T655)=1,Z655=0,OR(f_res="",f_res="(Todos)",C655=f_res)),1,0))</f>
        <v>0</v>
      </c>
      <c r="AQ655" s="97" t="str">
        <f>IF(U655=0,"",INDEX('MTRs'!$AZ$6:$AZ$505,T655))</f>
        <v/>
      </c>
      <c r="AR655" s="96">
        <f>IF(U655=0,0,IF(AND(INDEX('MTRs'!$BA$6:$BA$505,T655)=1,Z655=0),1,0))</f>
        <v>0</v>
      </c>
      <c r="AS655" s="96" t="str">
        <f>IF(R655=1,A655&amp;" | MTR "&amp;IF(U655=1,INDEX('MTRs'!$B$6:$B$505,T655)&amp;"","?")&amp;" | "&amp;IF(C655="","(sem resíduo)",C655),"")</f>
        <v/>
      </c>
      <c r="AT655" s="96" t="str">
        <f>IF(R655=1,COUNTIF($R$6:R655,1),"")</f>
        <v/>
      </c>
      <c r="AU655" s="96" t="str">
        <f>IF(U655=1,INDEX('MTRs'!$I$6:$I$505,T655)&amp;"","")</f>
        <v/>
      </c>
    </row>
    <row r="656">
      <c r="A656" s="89" t="inlineStr">
        <is>
          <t>IT-000651</t>
        </is>
      </c>
      <c r="B656" s="91" t="n"/>
      <c r="C656" s="91" t="n"/>
      <c r="D656" s="94" t="str">
        <f>IF(OR(R656=0,V656=0),"",INDEX('CAD_RESÍDUOS'!$E$6:$E$205,MATCH(C656,'CAD_RESÍDUOS'!$B$6:$B$205,0))&amp;"")</f>
        <v/>
      </c>
      <c r="E656" s="94" t="str">
        <f>IF(OR(R656=0,V656=0),"",INDEX('CAD_RESÍDUOS'!$C$6:$C$205,MATCH(C656,'CAD_RESÍDUOS'!$B$6:$B$205,0))&amp;"")</f>
        <v/>
      </c>
      <c r="F656" s="94" t="str">
        <f>IF(OR(R656=0,V656=0),"",INDEX('CAD_RESÍDUOS'!$G$6:$G$205,MATCH(C656,'CAD_RESÍDUOS'!$B$6:$B$205,0))&amp;"")</f>
        <v/>
      </c>
      <c r="G656" s="98" t="n"/>
      <c r="H656" s="91" t="n"/>
      <c r="I656" s="93" t="str">
        <f>IF(R656=0,"",IF(NOT(ISNUMBER(G656)),"",IF(ISNUMBER(X656),G656*X656,"UNIDADE A CONFERIR")))</f>
        <v/>
      </c>
      <c r="J656" s="91" t="n"/>
      <c r="K656" s="91" t="n"/>
      <c r="L656" s="93" t="str">
        <f>IF(R656=0,"",SUMIFS('RECEBIMENTOS'!$H$6:$H$1005,'RECEBIMENTOS'!$R$6:$R$1005,A656,'RECEBIMENTOS'!$X$6:$X$1005,1))</f>
        <v/>
      </c>
      <c r="M656" s="93" t="str">
        <f>IF(R656=0,"",SUMIFS('VÍNCULOS_CDF'!$H$6:$H$1005,'VÍNCULOS_CDF'!$R$6:$R$1005,A656,'VÍNCULOS_CDF'!$V$6:$V$1005,1))</f>
        <v/>
      </c>
      <c r="N656" s="99" t="str">
        <f>IF(OR(R656=0,AA656=0,NOT(ISNUMBER(I656))),"",I656-N(L656))</f>
        <v/>
      </c>
      <c r="O656" s="100" t="str">
        <f>IF(OR(R656=0,AK656&lt;=0),"",N(M656)/AK656)</f>
        <v/>
      </c>
      <c r="P656" s="94" t="str">
        <f>IF(R656=0,"",IF(S656="","Sem MTR associado",IF(U656=0,"MTR inexistente",IF(C656="","Resíduo não identificado",IF(V656=0,"Resíduo fora do cadastro",IF(W656=0,"Quantidade inválida",IF(H656="","Unidade não informada",IF(NOT(ISNUMBER(I656)),"Unidade a conferir",IF(AND(AH656=1,K656&lt;&gt;"Sim"),"Possível duplicidade",IF(Z656=1,"MTR cancelado",IF(AC656&gt;0,"Recebimento com alerta",IF(AA656=0,"Aguardando recebimento",IF(AB656&lt;AA656,"Recebimento a conferir",IF(AM656=1,"Quantidade a revisar",IF(AF656&gt;0,"Vínculo a revisar",IF(AD656=0,"Aguardando CDF",IF(AN656=0,"Vínculo de CDF parcial",IF(AE656&lt;AD656,"CDF a conferir","Documentação conferida"))))))))))))))))))</f>
        <v/>
      </c>
      <c r="Q656" s="93" t="str">
        <f>IF(OR(R656=0,AA656=0),"",MAX(0,N(L656)-N(M656)))</f>
        <v/>
      </c>
      <c r="R656" s="96">
        <f>IF(COUNTA(B656:C656,G656:H656,J656:K656)&gt;0,1,0)</f>
        <v>0</v>
      </c>
      <c r="S656" s="96" t="str">
        <f>IF(B656="","",TRIM(LEFT(B656,FIND(" |",B656&amp;" |")-1)))</f>
        <v/>
      </c>
      <c r="T656" s="96" t="str">
        <f>IF(S656="","",IFERROR(MATCH(S656,'MTRs'!$A$6:$A$505,0),""))</f>
        <v/>
      </c>
      <c r="U656" s="96">
        <f>IF(T656="",0,IF(INDEX('MTRs'!$Z$6:$Z$505,T656)=1,1,0))</f>
        <v>0</v>
      </c>
      <c r="V656" s="96">
        <f>IF(C656="",0,IF(ISNUMBER(MATCH(C656,'CAD_RESÍDUOS'!$B$6:$B$205,0)),1,0))</f>
        <v>0</v>
      </c>
      <c r="W656" s="96">
        <f>IF(AND(ISNUMBER(G656),G656&gt;0),1,0)</f>
        <v>0</v>
      </c>
      <c r="X656" s="96" t="str">
        <f>IF(H656="","",IFERROR(IF(ISNUMBER(INDEX(cfg_fac,MATCH(H656,cfg_units,0))),IF(INDEX(cfg_fac,MATCH(H656,cfg_units,0))&gt;0,INDEX(cfg_fac,MATCH(H656,cfg_units,0)),""),""),""))</f>
        <v/>
      </c>
      <c r="Y656" s="96">
        <f>IF(AND(W656=1,ISNUMBER(I656)),1,0)</f>
        <v>0</v>
      </c>
      <c r="Z656" s="96">
        <f>IF(U656=1,INDEX('MTRs'!$AA$6:$AA$505,T656),0)</f>
        <v>0</v>
      </c>
      <c r="AA656" s="96">
        <f>IF(R656=0,0,COUNTIFS('RECEBIMENTOS'!$R$6:$R$1005,A656,'RECEBIMENTOS'!$Q$6:$Q$1005,1))</f>
        <v>0</v>
      </c>
      <c r="AB656" s="96">
        <f>IF(R656=0,0,COUNTIFS('RECEBIMENTOS'!$R$6:$R$1005,A656,'RECEBIMENTOS'!$Z$6:$Z$1005,1))</f>
        <v>0</v>
      </c>
      <c r="AC656" s="96">
        <f>IF(R656=0,0,COUNTIFS('RECEBIMENTOS'!$R$6:$R$1005,A656,'RECEBIMENTOS'!$Y$6:$Y$1005,1))</f>
        <v>0</v>
      </c>
      <c r="AD656" s="96">
        <f>IF(R656=0,0,COUNTIFS('VÍNCULOS_CDF'!$R$6:$R$1005,A656,'VÍNCULOS_CDF'!$N$6:$N$1005,1))</f>
        <v>0</v>
      </c>
      <c r="AE656" s="96">
        <f>IF(R656=0,0,COUNTIFS('VÍNCULOS_CDF'!$R$6:$R$1005,A656,'VÍNCULOS_CDF'!$AA$6:$AA$1005,1))</f>
        <v>0</v>
      </c>
      <c r="AF656" s="96">
        <f>IF(R656=0,0,COUNTIFS('VÍNCULOS_CDF'!$R$6:$R$1005,A656,'VÍNCULOS_CDF'!$Y$6:$Y$1005,1))</f>
        <v>0</v>
      </c>
      <c r="AG656" s="96" t="str">
        <f>IF(AND(R656=1,S656&lt;&gt;"",C656&lt;&gt;""),S656&amp;"|"&amp;C656&amp;"|"&amp;G656&amp;"|"&amp;H656,"")</f>
        <v/>
      </c>
      <c r="AH656" s="96">
        <f>IF(AG656="",0,IF(SUMPRODUCT(--($AG$6:$AG$1005=AG656))&gt;1,1,0))</f>
        <v>0</v>
      </c>
      <c r="AI656" s="96">
        <f>IF(R656=0,0,IF(OR(U656=0,V656=0,Y656=0,AND(AH656=1,K656&lt;&gt;"Sim")),1,0))</f>
        <v>0</v>
      </c>
      <c r="AJ656" s="96">
        <f>IF(AND(R656=1,AA656&gt;0,AB656=AA656),1,0)</f>
        <v>0</v>
      </c>
      <c r="AK656" s="96">
        <f>IF(R656=0,0,IF(AA656&gt;0,N(L656),IF(ISNUMBER(I656),I656,0)))</f>
        <v>0</v>
      </c>
      <c r="AL656" s="96">
        <f>IF(R656=0,0,IF(AND(K656&lt;&gt;"Sim",N(M656)&gt;AK656+cfg_tol),1,0))</f>
        <v>0</v>
      </c>
      <c r="AM656" s="96">
        <f>IF(R656=0,0,IF(K656="Sim",0,IF(OR(AND(AA656&gt;0,ISNUMBER(I656),ABS(I656-N(L656))&gt;cfg_tol),AL656=1),1,0)))</f>
        <v>0</v>
      </c>
      <c r="AN656" s="96">
        <f>IF(AND(R656=1,N(M656)&gt;0,OR(N(M656)&gt;=AK656-cfg_tol,K656="Sim")),1,0)</f>
        <v>0</v>
      </c>
      <c r="AO656" s="96">
        <f>IF(AND(AN656=1,AD656&gt;0,AE656=AD656,AL656=0),1,0)</f>
        <v>0</v>
      </c>
      <c r="AP656" s="96">
        <f>IF(U656=0,0,IF(AND(INDEX('MTRs'!$AX$6:$AX$505,T656)=1,Z656=0,OR(f_res="",f_res="(Todos)",C656=f_res)),1,0))</f>
        <v>0</v>
      </c>
      <c r="AQ656" s="97" t="str">
        <f>IF(U656=0,"",INDEX('MTRs'!$AZ$6:$AZ$505,T656))</f>
        <v/>
      </c>
      <c r="AR656" s="96">
        <f>IF(U656=0,0,IF(AND(INDEX('MTRs'!$BA$6:$BA$505,T656)=1,Z656=0),1,0))</f>
        <v>0</v>
      </c>
      <c r="AS656" s="96" t="str">
        <f>IF(R656=1,A656&amp;" | MTR "&amp;IF(U656=1,INDEX('MTRs'!$B$6:$B$505,T656)&amp;"","?")&amp;" | "&amp;IF(C656="","(sem resíduo)",C656),"")</f>
        <v/>
      </c>
      <c r="AT656" s="96" t="str">
        <f>IF(R656=1,COUNTIF($R$6:R656,1),"")</f>
        <v/>
      </c>
      <c r="AU656" s="96" t="str">
        <f>IF(U656=1,INDEX('MTRs'!$I$6:$I$505,T656)&amp;"","")</f>
        <v/>
      </c>
    </row>
    <row r="657">
      <c r="A657" s="89" t="inlineStr">
        <is>
          <t>IT-000652</t>
        </is>
      </c>
      <c r="B657" s="91" t="n"/>
      <c r="C657" s="91" t="n"/>
      <c r="D657" s="94" t="str">
        <f>IF(OR(R657=0,V657=0),"",INDEX('CAD_RESÍDUOS'!$E$6:$E$205,MATCH(C657,'CAD_RESÍDUOS'!$B$6:$B$205,0))&amp;"")</f>
        <v/>
      </c>
      <c r="E657" s="94" t="str">
        <f>IF(OR(R657=0,V657=0),"",INDEX('CAD_RESÍDUOS'!$C$6:$C$205,MATCH(C657,'CAD_RESÍDUOS'!$B$6:$B$205,0))&amp;"")</f>
        <v/>
      </c>
      <c r="F657" s="94" t="str">
        <f>IF(OR(R657=0,V657=0),"",INDEX('CAD_RESÍDUOS'!$G$6:$G$205,MATCH(C657,'CAD_RESÍDUOS'!$B$6:$B$205,0))&amp;"")</f>
        <v/>
      </c>
      <c r="G657" s="98" t="n"/>
      <c r="H657" s="91" t="n"/>
      <c r="I657" s="93" t="str">
        <f>IF(R657=0,"",IF(NOT(ISNUMBER(G657)),"",IF(ISNUMBER(X657),G657*X657,"UNIDADE A CONFERIR")))</f>
        <v/>
      </c>
      <c r="J657" s="91" t="n"/>
      <c r="K657" s="91" t="n"/>
      <c r="L657" s="93" t="str">
        <f>IF(R657=0,"",SUMIFS('RECEBIMENTOS'!$H$6:$H$1005,'RECEBIMENTOS'!$R$6:$R$1005,A657,'RECEBIMENTOS'!$X$6:$X$1005,1))</f>
        <v/>
      </c>
      <c r="M657" s="93" t="str">
        <f>IF(R657=0,"",SUMIFS('VÍNCULOS_CDF'!$H$6:$H$1005,'VÍNCULOS_CDF'!$R$6:$R$1005,A657,'VÍNCULOS_CDF'!$V$6:$V$1005,1))</f>
        <v/>
      </c>
      <c r="N657" s="99" t="str">
        <f>IF(OR(R657=0,AA657=0,NOT(ISNUMBER(I657))),"",I657-N(L657))</f>
        <v/>
      </c>
      <c r="O657" s="100" t="str">
        <f>IF(OR(R657=0,AK657&lt;=0),"",N(M657)/AK657)</f>
        <v/>
      </c>
      <c r="P657" s="94" t="str">
        <f>IF(R657=0,"",IF(S657="","Sem MTR associado",IF(U657=0,"MTR inexistente",IF(C657="","Resíduo não identificado",IF(V657=0,"Resíduo fora do cadastro",IF(W657=0,"Quantidade inválida",IF(H657="","Unidade não informada",IF(NOT(ISNUMBER(I657)),"Unidade a conferir",IF(AND(AH657=1,K657&lt;&gt;"Sim"),"Possível duplicidade",IF(Z657=1,"MTR cancelado",IF(AC657&gt;0,"Recebimento com alerta",IF(AA657=0,"Aguardando recebimento",IF(AB657&lt;AA657,"Recebimento a conferir",IF(AM657=1,"Quantidade a revisar",IF(AF657&gt;0,"Vínculo a revisar",IF(AD657=0,"Aguardando CDF",IF(AN657=0,"Vínculo de CDF parcial",IF(AE657&lt;AD657,"CDF a conferir","Documentação conferida"))))))))))))))))))</f>
        <v/>
      </c>
      <c r="Q657" s="93" t="str">
        <f>IF(OR(R657=0,AA657=0),"",MAX(0,N(L657)-N(M657)))</f>
        <v/>
      </c>
      <c r="R657" s="96">
        <f>IF(COUNTA(B657:C657,G657:H657,J657:K657)&gt;0,1,0)</f>
        <v>0</v>
      </c>
      <c r="S657" s="96" t="str">
        <f>IF(B657="","",TRIM(LEFT(B657,FIND(" |",B657&amp;" |")-1)))</f>
        <v/>
      </c>
      <c r="T657" s="96" t="str">
        <f>IF(S657="","",IFERROR(MATCH(S657,'MTRs'!$A$6:$A$505,0),""))</f>
        <v/>
      </c>
      <c r="U657" s="96">
        <f>IF(T657="",0,IF(INDEX('MTRs'!$Z$6:$Z$505,T657)=1,1,0))</f>
        <v>0</v>
      </c>
      <c r="V657" s="96">
        <f>IF(C657="",0,IF(ISNUMBER(MATCH(C657,'CAD_RESÍDUOS'!$B$6:$B$205,0)),1,0))</f>
        <v>0</v>
      </c>
      <c r="W657" s="96">
        <f>IF(AND(ISNUMBER(G657),G657&gt;0),1,0)</f>
        <v>0</v>
      </c>
      <c r="X657" s="96" t="str">
        <f>IF(H657="","",IFERROR(IF(ISNUMBER(INDEX(cfg_fac,MATCH(H657,cfg_units,0))),IF(INDEX(cfg_fac,MATCH(H657,cfg_units,0))&gt;0,INDEX(cfg_fac,MATCH(H657,cfg_units,0)),""),""),""))</f>
        <v/>
      </c>
      <c r="Y657" s="96">
        <f>IF(AND(W657=1,ISNUMBER(I657)),1,0)</f>
        <v>0</v>
      </c>
      <c r="Z657" s="96">
        <f>IF(U657=1,INDEX('MTRs'!$AA$6:$AA$505,T657),0)</f>
        <v>0</v>
      </c>
      <c r="AA657" s="96">
        <f>IF(R657=0,0,COUNTIFS('RECEBIMENTOS'!$R$6:$R$1005,A657,'RECEBIMENTOS'!$Q$6:$Q$1005,1))</f>
        <v>0</v>
      </c>
      <c r="AB657" s="96">
        <f>IF(R657=0,0,COUNTIFS('RECEBIMENTOS'!$R$6:$R$1005,A657,'RECEBIMENTOS'!$Z$6:$Z$1005,1))</f>
        <v>0</v>
      </c>
      <c r="AC657" s="96">
        <f>IF(R657=0,0,COUNTIFS('RECEBIMENTOS'!$R$6:$R$1005,A657,'RECEBIMENTOS'!$Y$6:$Y$1005,1))</f>
        <v>0</v>
      </c>
      <c r="AD657" s="96">
        <f>IF(R657=0,0,COUNTIFS('VÍNCULOS_CDF'!$R$6:$R$1005,A657,'VÍNCULOS_CDF'!$N$6:$N$1005,1))</f>
        <v>0</v>
      </c>
      <c r="AE657" s="96">
        <f>IF(R657=0,0,COUNTIFS('VÍNCULOS_CDF'!$R$6:$R$1005,A657,'VÍNCULOS_CDF'!$AA$6:$AA$1005,1))</f>
        <v>0</v>
      </c>
      <c r="AF657" s="96">
        <f>IF(R657=0,0,COUNTIFS('VÍNCULOS_CDF'!$R$6:$R$1005,A657,'VÍNCULOS_CDF'!$Y$6:$Y$1005,1))</f>
        <v>0</v>
      </c>
      <c r="AG657" s="96" t="str">
        <f>IF(AND(R657=1,S657&lt;&gt;"",C657&lt;&gt;""),S657&amp;"|"&amp;C657&amp;"|"&amp;G657&amp;"|"&amp;H657,"")</f>
        <v/>
      </c>
      <c r="AH657" s="96">
        <f>IF(AG657="",0,IF(SUMPRODUCT(--($AG$6:$AG$1005=AG657))&gt;1,1,0))</f>
        <v>0</v>
      </c>
      <c r="AI657" s="96">
        <f>IF(R657=0,0,IF(OR(U657=0,V657=0,Y657=0,AND(AH657=1,K657&lt;&gt;"Sim")),1,0))</f>
        <v>0</v>
      </c>
      <c r="AJ657" s="96">
        <f>IF(AND(R657=1,AA657&gt;0,AB657=AA657),1,0)</f>
        <v>0</v>
      </c>
      <c r="AK657" s="96">
        <f>IF(R657=0,0,IF(AA657&gt;0,N(L657),IF(ISNUMBER(I657),I657,0)))</f>
        <v>0</v>
      </c>
      <c r="AL657" s="96">
        <f>IF(R657=0,0,IF(AND(K657&lt;&gt;"Sim",N(M657)&gt;AK657+cfg_tol),1,0))</f>
        <v>0</v>
      </c>
      <c r="AM657" s="96">
        <f>IF(R657=0,0,IF(K657="Sim",0,IF(OR(AND(AA657&gt;0,ISNUMBER(I657),ABS(I657-N(L657))&gt;cfg_tol),AL657=1),1,0)))</f>
        <v>0</v>
      </c>
      <c r="AN657" s="96">
        <f>IF(AND(R657=1,N(M657)&gt;0,OR(N(M657)&gt;=AK657-cfg_tol,K657="Sim")),1,0)</f>
        <v>0</v>
      </c>
      <c r="AO657" s="96">
        <f>IF(AND(AN657=1,AD657&gt;0,AE657=AD657,AL657=0),1,0)</f>
        <v>0</v>
      </c>
      <c r="AP657" s="96">
        <f>IF(U657=0,0,IF(AND(INDEX('MTRs'!$AX$6:$AX$505,T657)=1,Z657=0,OR(f_res="",f_res="(Todos)",C657=f_res)),1,0))</f>
        <v>0</v>
      </c>
      <c r="AQ657" s="97" t="str">
        <f>IF(U657=0,"",INDEX('MTRs'!$AZ$6:$AZ$505,T657))</f>
        <v/>
      </c>
      <c r="AR657" s="96">
        <f>IF(U657=0,0,IF(AND(INDEX('MTRs'!$BA$6:$BA$505,T657)=1,Z657=0),1,0))</f>
        <v>0</v>
      </c>
      <c r="AS657" s="96" t="str">
        <f>IF(R657=1,A657&amp;" | MTR "&amp;IF(U657=1,INDEX('MTRs'!$B$6:$B$505,T657)&amp;"","?")&amp;" | "&amp;IF(C657="","(sem resíduo)",C657),"")</f>
        <v/>
      </c>
      <c r="AT657" s="96" t="str">
        <f>IF(R657=1,COUNTIF($R$6:R657,1),"")</f>
        <v/>
      </c>
      <c r="AU657" s="96" t="str">
        <f>IF(U657=1,INDEX('MTRs'!$I$6:$I$505,T657)&amp;"","")</f>
        <v/>
      </c>
    </row>
    <row r="658">
      <c r="A658" s="89" t="inlineStr">
        <is>
          <t>IT-000653</t>
        </is>
      </c>
      <c r="B658" s="91" t="n"/>
      <c r="C658" s="91" t="n"/>
      <c r="D658" s="94" t="str">
        <f>IF(OR(R658=0,V658=0),"",INDEX('CAD_RESÍDUOS'!$E$6:$E$205,MATCH(C658,'CAD_RESÍDUOS'!$B$6:$B$205,0))&amp;"")</f>
        <v/>
      </c>
      <c r="E658" s="94" t="str">
        <f>IF(OR(R658=0,V658=0),"",INDEX('CAD_RESÍDUOS'!$C$6:$C$205,MATCH(C658,'CAD_RESÍDUOS'!$B$6:$B$205,0))&amp;"")</f>
        <v/>
      </c>
      <c r="F658" s="94" t="str">
        <f>IF(OR(R658=0,V658=0),"",INDEX('CAD_RESÍDUOS'!$G$6:$G$205,MATCH(C658,'CAD_RESÍDUOS'!$B$6:$B$205,0))&amp;"")</f>
        <v/>
      </c>
      <c r="G658" s="98" t="n"/>
      <c r="H658" s="91" t="n"/>
      <c r="I658" s="93" t="str">
        <f>IF(R658=0,"",IF(NOT(ISNUMBER(G658)),"",IF(ISNUMBER(X658),G658*X658,"UNIDADE A CONFERIR")))</f>
        <v/>
      </c>
      <c r="J658" s="91" t="n"/>
      <c r="K658" s="91" t="n"/>
      <c r="L658" s="93" t="str">
        <f>IF(R658=0,"",SUMIFS('RECEBIMENTOS'!$H$6:$H$1005,'RECEBIMENTOS'!$R$6:$R$1005,A658,'RECEBIMENTOS'!$X$6:$X$1005,1))</f>
        <v/>
      </c>
      <c r="M658" s="93" t="str">
        <f>IF(R658=0,"",SUMIFS('VÍNCULOS_CDF'!$H$6:$H$1005,'VÍNCULOS_CDF'!$R$6:$R$1005,A658,'VÍNCULOS_CDF'!$V$6:$V$1005,1))</f>
        <v/>
      </c>
      <c r="N658" s="99" t="str">
        <f>IF(OR(R658=0,AA658=0,NOT(ISNUMBER(I658))),"",I658-N(L658))</f>
        <v/>
      </c>
      <c r="O658" s="100" t="str">
        <f>IF(OR(R658=0,AK658&lt;=0),"",N(M658)/AK658)</f>
        <v/>
      </c>
      <c r="P658" s="94" t="str">
        <f>IF(R658=0,"",IF(S658="","Sem MTR associado",IF(U658=0,"MTR inexistente",IF(C658="","Resíduo não identificado",IF(V658=0,"Resíduo fora do cadastro",IF(W658=0,"Quantidade inválida",IF(H658="","Unidade não informada",IF(NOT(ISNUMBER(I658)),"Unidade a conferir",IF(AND(AH658=1,K658&lt;&gt;"Sim"),"Possível duplicidade",IF(Z658=1,"MTR cancelado",IF(AC658&gt;0,"Recebimento com alerta",IF(AA658=0,"Aguardando recebimento",IF(AB658&lt;AA658,"Recebimento a conferir",IF(AM658=1,"Quantidade a revisar",IF(AF658&gt;0,"Vínculo a revisar",IF(AD658=0,"Aguardando CDF",IF(AN658=0,"Vínculo de CDF parcial",IF(AE658&lt;AD658,"CDF a conferir","Documentação conferida"))))))))))))))))))</f>
        <v/>
      </c>
      <c r="Q658" s="93" t="str">
        <f>IF(OR(R658=0,AA658=0),"",MAX(0,N(L658)-N(M658)))</f>
        <v/>
      </c>
      <c r="R658" s="96">
        <f>IF(COUNTA(B658:C658,G658:H658,J658:K658)&gt;0,1,0)</f>
        <v>0</v>
      </c>
      <c r="S658" s="96" t="str">
        <f>IF(B658="","",TRIM(LEFT(B658,FIND(" |",B658&amp;" |")-1)))</f>
        <v/>
      </c>
      <c r="T658" s="96" t="str">
        <f>IF(S658="","",IFERROR(MATCH(S658,'MTRs'!$A$6:$A$505,0),""))</f>
        <v/>
      </c>
      <c r="U658" s="96">
        <f>IF(T658="",0,IF(INDEX('MTRs'!$Z$6:$Z$505,T658)=1,1,0))</f>
        <v>0</v>
      </c>
      <c r="V658" s="96">
        <f>IF(C658="",0,IF(ISNUMBER(MATCH(C658,'CAD_RESÍDUOS'!$B$6:$B$205,0)),1,0))</f>
        <v>0</v>
      </c>
      <c r="W658" s="96">
        <f>IF(AND(ISNUMBER(G658),G658&gt;0),1,0)</f>
        <v>0</v>
      </c>
      <c r="X658" s="96" t="str">
        <f>IF(H658="","",IFERROR(IF(ISNUMBER(INDEX(cfg_fac,MATCH(H658,cfg_units,0))),IF(INDEX(cfg_fac,MATCH(H658,cfg_units,0))&gt;0,INDEX(cfg_fac,MATCH(H658,cfg_units,0)),""),""),""))</f>
        <v/>
      </c>
      <c r="Y658" s="96">
        <f>IF(AND(W658=1,ISNUMBER(I658)),1,0)</f>
        <v>0</v>
      </c>
      <c r="Z658" s="96">
        <f>IF(U658=1,INDEX('MTRs'!$AA$6:$AA$505,T658),0)</f>
        <v>0</v>
      </c>
      <c r="AA658" s="96">
        <f>IF(R658=0,0,COUNTIFS('RECEBIMENTOS'!$R$6:$R$1005,A658,'RECEBIMENTOS'!$Q$6:$Q$1005,1))</f>
        <v>0</v>
      </c>
      <c r="AB658" s="96">
        <f>IF(R658=0,0,COUNTIFS('RECEBIMENTOS'!$R$6:$R$1005,A658,'RECEBIMENTOS'!$Z$6:$Z$1005,1))</f>
        <v>0</v>
      </c>
      <c r="AC658" s="96">
        <f>IF(R658=0,0,COUNTIFS('RECEBIMENTOS'!$R$6:$R$1005,A658,'RECEBIMENTOS'!$Y$6:$Y$1005,1))</f>
        <v>0</v>
      </c>
      <c r="AD658" s="96">
        <f>IF(R658=0,0,COUNTIFS('VÍNCULOS_CDF'!$R$6:$R$1005,A658,'VÍNCULOS_CDF'!$N$6:$N$1005,1))</f>
        <v>0</v>
      </c>
      <c r="AE658" s="96">
        <f>IF(R658=0,0,COUNTIFS('VÍNCULOS_CDF'!$R$6:$R$1005,A658,'VÍNCULOS_CDF'!$AA$6:$AA$1005,1))</f>
        <v>0</v>
      </c>
      <c r="AF658" s="96">
        <f>IF(R658=0,0,COUNTIFS('VÍNCULOS_CDF'!$R$6:$R$1005,A658,'VÍNCULOS_CDF'!$Y$6:$Y$1005,1))</f>
        <v>0</v>
      </c>
      <c r="AG658" s="96" t="str">
        <f>IF(AND(R658=1,S658&lt;&gt;"",C658&lt;&gt;""),S658&amp;"|"&amp;C658&amp;"|"&amp;G658&amp;"|"&amp;H658,"")</f>
        <v/>
      </c>
      <c r="AH658" s="96">
        <f>IF(AG658="",0,IF(SUMPRODUCT(--($AG$6:$AG$1005=AG658))&gt;1,1,0))</f>
        <v>0</v>
      </c>
      <c r="AI658" s="96">
        <f>IF(R658=0,0,IF(OR(U658=0,V658=0,Y658=0,AND(AH658=1,K658&lt;&gt;"Sim")),1,0))</f>
        <v>0</v>
      </c>
      <c r="AJ658" s="96">
        <f>IF(AND(R658=1,AA658&gt;0,AB658=AA658),1,0)</f>
        <v>0</v>
      </c>
      <c r="AK658" s="96">
        <f>IF(R658=0,0,IF(AA658&gt;0,N(L658),IF(ISNUMBER(I658),I658,0)))</f>
        <v>0</v>
      </c>
      <c r="AL658" s="96">
        <f>IF(R658=0,0,IF(AND(K658&lt;&gt;"Sim",N(M658)&gt;AK658+cfg_tol),1,0))</f>
        <v>0</v>
      </c>
      <c r="AM658" s="96">
        <f>IF(R658=0,0,IF(K658="Sim",0,IF(OR(AND(AA658&gt;0,ISNUMBER(I658),ABS(I658-N(L658))&gt;cfg_tol),AL658=1),1,0)))</f>
        <v>0</v>
      </c>
      <c r="AN658" s="96">
        <f>IF(AND(R658=1,N(M658)&gt;0,OR(N(M658)&gt;=AK658-cfg_tol,K658="Sim")),1,0)</f>
        <v>0</v>
      </c>
      <c r="AO658" s="96">
        <f>IF(AND(AN658=1,AD658&gt;0,AE658=AD658,AL658=0),1,0)</f>
        <v>0</v>
      </c>
      <c r="AP658" s="96">
        <f>IF(U658=0,0,IF(AND(INDEX('MTRs'!$AX$6:$AX$505,T658)=1,Z658=0,OR(f_res="",f_res="(Todos)",C658=f_res)),1,0))</f>
        <v>0</v>
      </c>
      <c r="AQ658" s="97" t="str">
        <f>IF(U658=0,"",INDEX('MTRs'!$AZ$6:$AZ$505,T658))</f>
        <v/>
      </c>
      <c r="AR658" s="96">
        <f>IF(U658=0,0,IF(AND(INDEX('MTRs'!$BA$6:$BA$505,T658)=1,Z658=0),1,0))</f>
        <v>0</v>
      </c>
      <c r="AS658" s="96" t="str">
        <f>IF(R658=1,A658&amp;" | MTR "&amp;IF(U658=1,INDEX('MTRs'!$B$6:$B$505,T658)&amp;"","?")&amp;" | "&amp;IF(C658="","(sem resíduo)",C658),"")</f>
        <v/>
      </c>
      <c r="AT658" s="96" t="str">
        <f>IF(R658=1,COUNTIF($R$6:R658,1),"")</f>
        <v/>
      </c>
      <c r="AU658" s="96" t="str">
        <f>IF(U658=1,INDEX('MTRs'!$I$6:$I$505,T658)&amp;"","")</f>
        <v/>
      </c>
    </row>
    <row r="659">
      <c r="A659" s="89" t="inlineStr">
        <is>
          <t>IT-000654</t>
        </is>
      </c>
      <c r="B659" s="91" t="n"/>
      <c r="C659" s="91" t="n"/>
      <c r="D659" s="94" t="str">
        <f>IF(OR(R659=0,V659=0),"",INDEX('CAD_RESÍDUOS'!$E$6:$E$205,MATCH(C659,'CAD_RESÍDUOS'!$B$6:$B$205,0))&amp;"")</f>
        <v/>
      </c>
      <c r="E659" s="94" t="str">
        <f>IF(OR(R659=0,V659=0),"",INDEX('CAD_RESÍDUOS'!$C$6:$C$205,MATCH(C659,'CAD_RESÍDUOS'!$B$6:$B$205,0))&amp;"")</f>
        <v/>
      </c>
      <c r="F659" s="94" t="str">
        <f>IF(OR(R659=0,V659=0),"",INDEX('CAD_RESÍDUOS'!$G$6:$G$205,MATCH(C659,'CAD_RESÍDUOS'!$B$6:$B$205,0))&amp;"")</f>
        <v/>
      </c>
      <c r="G659" s="98" t="n"/>
      <c r="H659" s="91" t="n"/>
      <c r="I659" s="93" t="str">
        <f>IF(R659=0,"",IF(NOT(ISNUMBER(G659)),"",IF(ISNUMBER(X659),G659*X659,"UNIDADE A CONFERIR")))</f>
        <v/>
      </c>
      <c r="J659" s="91" t="n"/>
      <c r="K659" s="91" t="n"/>
      <c r="L659" s="93" t="str">
        <f>IF(R659=0,"",SUMIFS('RECEBIMENTOS'!$H$6:$H$1005,'RECEBIMENTOS'!$R$6:$R$1005,A659,'RECEBIMENTOS'!$X$6:$X$1005,1))</f>
        <v/>
      </c>
      <c r="M659" s="93" t="str">
        <f>IF(R659=0,"",SUMIFS('VÍNCULOS_CDF'!$H$6:$H$1005,'VÍNCULOS_CDF'!$R$6:$R$1005,A659,'VÍNCULOS_CDF'!$V$6:$V$1005,1))</f>
        <v/>
      </c>
      <c r="N659" s="99" t="str">
        <f>IF(OR(R659=0,AA659=0,NOT(ISNUMBER(I659))),"",I659-N(L659))</f>
        <v/>
      </c>
      <c r="O659" s="100" t="str">
        <f>IF(OR(R659=0,AK659&lt;=0),"",N(M659)/AK659)</f>
        <v/>
      </c>
      <c r="P659" s="94" t="str">
        <f>IF(R659=0,"",IF(S659="","Sem MTR associado",IF(U659=0,"MTR inexistente",IF(C659="","Resíduo não identificado",IF(V659=0,"Resíduo fora do cadastro",IF(W659=0,"Quantidade inválida",IF(H659="","Unidade não informada",IF(NOT(ISNUMBER(I659)),"Unidade a conferir",IF(AND(AH659=1,K659&lt;&gt;"Sim"),"Possível duplicidade",IF(Z659=1,"MTR cancelado",IF(AC659&gt;0,"Recebimento com alerta",IF(AA659=0,"Aguardando recebimento",IF(AB659&lt;AA659,"Recebimento a conferir",IF(AM659=1,"Quantidade a revisar",IF(AF659&gt;0,"Vínculo a revisar",IF(AD659=0,"Aguardando CDF",IF(AN659=0,"Vínculo de CDF parcial",IF(AE659&lt;AD659,"CDF a conferir","Documentação conferida"))))))))))))))))))</f>
        <v/>
      </c>
      <c r="Q659" s="93" t="str">
        <f>IF(OR(R659=0,AA659=0),"",MAX(0,N(L659)-N(M659)))</f>
        <v/>
      </c>
      <c r="R659" s="96">
        <f>IF(COUNTA(B659:C659,G659:H659,J659:K659)&gt;0,1,0)</f>
        <v>0</v>
      </c>
      <c r="S659" s="96" t="str">
        <f>IF(B659="","",TRIM(LEFT(B659,FIND(" |",B659&amp;" |")-1)))</f>
        <v/>
      </c>
      <c r="T659" s="96" t="str">
        <f>IF(S659="","",IFERROR(MATCH(S659,'MTRs'!$A$6:$A$505,0),""))</f>
        <v/>
      </c>
      <c r="U659" s="96">
        <f>IF(T659="",0,IF(INDEX('MTRs'!$Z$6:$Z$505,T659)=1,1,0))</f>
        <v>0</v>
      </c>
      <c r="V659" s="96">
        <f>IF(C659="",0,IF(ISNUMBER(MATCH(C659,'CAD_RESÍDUOS'!$B$6:$B$205,0)),1,0))</f>
        <v>0</v>
      </c>
      <c r="W659" s="96">
        <f>IF(AND(ISNUMBER(G659),G659&gt;0),1,0)</f>
        <v>0</v>
      </c>
      <c r="X659" s="96" t="str">
        <f>IF(H659="","",IFERROR(IF(ISNUMBER(INDEX(cfg_fac,MATCH(H659,cfg_units,0))),IF(INDEX(cfg_fac,MATCH(H659,cfg_units,0))&gt;0,INDEX(cfg_fac,MATCH(H659,cfg_units,0)),""),""),""))</f>
        <v/>
      </c>
      <c r="Y659" s="96">
        <f>IF(AND(W659=1,ISNUMBER(I659)),1,0)</f>
        <v>0</v>
      </c>
      <c r="Z659" s="96">
        <f>IF(U659=1,INDEX('MTRs'!$AA$6:$AA$505,T659),0)</f>
        <v>0</v>
      </c>
      <c r="AA659" s="96">
        <f>IF(R659=0,0,COUNTIFS('RECEBIMENTOS'!$R$6:$R$1005,A659,'RECEBIMENTOS'!$Q$6:$Q$1005,1))</f>
        <v>0</v>
      </c>
      <c r="AB659" s="96">
        <f>IF(R659=0,0,COUNTIFS('RECEBIMENTOS'!$R$6:$R$1005,A659,'RECEBIMENTOS'!$Z$6:$Z$1005,1))</f>
        <v>0</v>
      </c>
      <c r="AC659" s="96">
        <f>IF(R659=0,0,COUNTIFS('RECEBIMENTOS'!$R$6:$R$1005,A659,'RECEBIMENTOS'!$Y$6:$Y$1005,1))</f>
        <v>0</v>
      </c>
      <c r="AD659" s="96">
        <f>IF(R659=0,0,COUNTIFS('VÍNCULOS_CDF'!$R$6:$R$1005,A659,'VÍNCULOS_CDF'!$N$6:$N$1005,1))</f>
        <v>0</v>
      </c>
      <c r="AE659" s="96">
        <f>IF(R659=0,0,COUNTIFS('VÍNCULOS_CDF'!$R$6:$R$1005,A659,'VÍNCULOS_CDF'!$AA$6:$AA$1005,1))</f>
        <v>0</v>
      </c>
      <c r="AF659" s="96">
        <f>IF(R659=0,0,COUNTIFS('VÍNCULOS_CDF'!$R$6:$R$1005,A659,'VÍNCULOS_CDF'!$Y$6:$Y$1005,1))</f>
        <v>0</v>
      </c>
      <c r="AG659" s="96" t="str">
        <f>IF(AND(R659=1,S659&lt;&gt;"",C659&lt;&gt;""),S659&amp;"|"&amp;C659&amp;"|"&amp;G659&amp;"|"&amp;H659,"")</f>
        <v/>
      </c>
      <c r="AH659" s="96">
        <f>IF(AG659="",0,IF(SUMPRODUCT(--($AG$6:$AG$1005=AG659))&gt;1,1,0))</f>
        <v>0</v>
      </c>
      <c r="AI659" s="96">
        <f>IF(R659=0,0,IF(OR(U659=0,V659=0,Y659=0,AND(AH659=1,K659&lt;&gt;"Sim")),1,0))</f>
        <v>0</v>
      </c>
      <c r="AJ659" s="96">
        <f>IF(AND(R659=1,AA659&gt;0,AB659=AA659),1,0)</f>
        <v>0</v>
      </c>
      <c r="AK659" s="96">
        <f>IF(R659=0,0,IF(AA659&gt;0,N(L659),IF(ISNUMBER(I659),I659,0)))</f>
        <v>0</v>
      </c>
      <c r="AL659" s="96">
        <f>IF(R659=0,0,IF(AND(K659&lt;&gt;"Sim",N(M659)&gt;AK659+cfg_tol),1,0))</f>
        <v>0</v>
      </c>
      <c r="AM659" s="96">
        <f>IF(R659=0,0,IF(K659="Sim",0,IF(OR(AND(AA659&gt;0,ISNUMBER(I659),ABS(I659-N(L659))&gt;cfg_tol),AL659=1),1,0)))</f>
        <v>0</v>
      </c>
      <c r="AN659" s="96">
        <f>IF(AND(R659=1,N(M659)&gt;0,OR(N(M659)&gt;=AK659-cfg_tol,K659="Sim")),1,0)</f>
        <v>0</v>
      </c>
      <c r="AO659" s="96">
        <f>IF(AND(AN659=1,AD659&gt;0,AE659=AD659,AL659=0),1,0)</f>
        <v>0</v>
      </c>
      <c r="AP659" s="96">
        <f>IF(U659=0,0,IF(AND(INDEX('MTRs'!$AX$6:$AX$505,T659)=1,Z659=0,OR(f_res="",f_res="(Todos)",C659=f_res)),1,0))</f>
        <v>0</v>
      </c>
      <c r="AQ659" s="97" t="str">
        <f>IF(U659=0,"",INDEX('MTRs'!$AZ$6:$AZ$505,T659))</f>
        <v/>
      </c>
      <c r="AR659" s="96">
        <f>IF(U659=0,0,IF(AND(INDEX('MTRs'!$BA$6:$BA$505,T659)=1,Z659=0),1,0))</f>
        <v>0</v>
      </c>
      <c r="AS659" s="96" t="str">
        <f>IF(R659=1,A659&amp;" | MTR "&amp;IF(U659=1,INDEX('MTRs'!$B$6:$B$505,T659)&amp;"","?")&amp;" | "&amp;IF(C659="","(sem resíduo)",C659),"")</f>
        <v/>
      </c>
      <c r="AT659" s="96" t="str">
        <f>IF(R659=1,COUNTIF($R$6:R659,1),"")</f>
        <v/>
      </c>
      <c r="AU659" s="96" t="str">
        <f>IF(U659=1,INDEX('MTRs'!$I$6:$I$505,T659)&amp;"","")</f>
        <v/>
      </c>
    </row>
    <row r="660">
      <c r="A660" s="89" t="inlineStr">
        <is>
          <t>IT-000655</t>
        </is>
      </c>
      <c r="B660" s="91" t="n"/>
      <c r="C660" s="91" t="n"/>
      <c r="D660" s="94" t="str">
        <f>IF(OR(R660=0,V660=0),"",INDEX('CAD_RESÍDUOS'!$E$6:$E$205,MATCH(C660,'CAD_RESÍDUOS'!$B$6:$B$205,0))&amp;"")</f>
        <v/>
      </c>
      <c r="E660" s="94" t="str">
        <f>IF(OR(R660=0,V660=0),"",INDEX('CAD_RESÍDUOS'!$C$6:$C$205,MATCH(C660,'CAD_RESÍDUOS'!$B$6:$B$205,0))&amp;"")</f>
        <v/>
      </c>
      <c r="F660" s="94" t="str">
        <f>IF(OR(R660=0,V660=0),"",INDEX('CAD_RESÍDUOS'!$G$6:$G$205,MATCH(C660,'CAD_RESÍDUOS'!$B$6:$B$205,0))&amp;"")</f>
        <v/>
      </c>
      <c r="G660" s="98" t="n"/>
      <c r="H660" s="91" t="n"/>
      <c r="I660" s="93" t="str">
        <f>IF(R660=0,"",IF(NOT(ISNUMBER(G660)),"",IF(ISNUMBER(X660),G660*X660,"UNIDADE A CONFERIR")))</f>
        <v/>
      </c>
      <c r="J660" s="91" t="n"/>
      <c r="K660" s="91" t="n"/>
      <c r="L660" s="93" t="str">
        <f>IF(R660=0,"",SUMIFS('RECEBIMENTOS'!$H$6:$H$1005,'RECEBIMENTOS'!$R$6:$R$1005,A660,'RECEBIMENTOS'!$X$6:$X$1005,1))</f>
        <v/>
      </c>
      <c r="M660" s="93" t="str">
        <f>IF(R660=0,"",SUMIFS('VÍNCULOS_CDF'!$H$6:$H$1005,'VÍNCULOS_CDF'!$R$6:$R$1005,A660,'VÍNCULOS_CDF'!$V$6:$V$1005,1))</f>
        <v/>
      </c>
      <c r="N660" s="99" t="str">
        <f>IF(OR(R660=0,AA660=0,NOT(ISNUMBER(I660))),"",I660-N(L660))</f>
        <v/>
      </c>
      <c r="O660" s="100" t="str">
        <f>IF(OR(R660=0,AK660&lt;=0),"",N(M660)/AK660)</f>
        <v/>
      </c>
      <c r="P660" s="94" t="str">
        <f>IF(R660=0,"",IF(S660="","Sem MTR associado",IF(U660=0,"MTR inexistente",IF(C660="","Resíduo não identificado",IF(V660=0,"Resíduo fora do cadastro",IF(W660=0,"Quantidade inválida",IF(H660="","Unidade não informada",IF(NOT(ISNUMBER(I660)),"Unidade a conferir",IF(AND(AH660=1,K660&lt;&gt;"Sim"),"Possível duplicidade",IF(Z660=1,"MTR cancelado",IF(AC660&gt;0,"Recebimento com alerta",IF(AA660=0,"Aguardando recebimento",IF(AB660&lt;AA660,"Recebimento a conferir",IF(AM660=1,"Quantidade a revisar",IF(AF660&gt;0,"Vínculo a revisar",IF(AD660=0,"Aguardando CDF",IF(AN660=0,"Vínculo de CDF parcial",IF(AE660&lt;AD660,"CDF a conferir","Documentação conferida"))))))))))))))))))</f>
        <v/>
      </c>
      <c r="Q660" s="93" t="str">
        <f>IF(OR(R660=0,AA660=0),"",MAX(0,N(L660)-N(M660)))</f>
        <v/>
      </c>
      <c r="R660" s="96">
        <f>IF(COUNTA(B660:C660,G660:H660,J660:K660)&gt;0,1,0)</f>
        <v>0</v>
      </c>
      <c r="S660" s="96" t="str">
        <f>IF(B660="","",TRIM(LEFT(B660,FIND(" |",B660&amp;" |")-1)))</f>
        <v/>
      </c>
      <c r="T660" s="96" t="str">
        <f>IF(S660="","",IFERROR(MATCH(S660,'MTRs'!$A$6:$A$505,0),""))</f>
        <v/>
      </c>
      <c r="U660" s="96">
        <f>IF(T660="",0,IF(INDEX('MTRs'!$Z$6:$Z$505,T660)=1,1,0))</f>
        <v>0</v>
      </c>
      <c r="V660" s="96">
        <f>IF(C660="",0,IF(ISNUMBER(MATCH(C660,'CAD_RESÍDUOS'!$B$6:$B$205,0)),1,0))</f>
        <v>0</v>
      </c>
      <c r="W660" s="96">
        <f>IF(AND(ISNUMBER(G660),G660&gt;0),1,0)</f>
        <v>0</v>
      </c>
      <c r="X660" s="96" t="str">
        <f>IF(H660="","",IFERROR(IF(ISNUMBER(INDEX(cfg_fac,MATCH(H660,cfg_units,0))),IF(INDEX(cfg_fac,MATCH(H660,cfg_units,0))&gt;0,INDEX(cfg_fac,MATCH(H660,cfg_units,0)),""),""),""))</f>
        <v/>
      </c>
      <c r="Y660" s="96">
        <f>IF(AND(W660=1,ISNUMBER(I660)),1,0)</f>
        <v>0</v>
      </c>
      <c r="Z660" s="96">
        <f>IF(U660=1,INDEX('MTRs'!$AA$6:$AA$505,T660),0)</f>
        <v>0</v>
      </c>
      <c r="AA660" s="96">
        <f>IF(R660=0,0,COUNTIFS('RECEBIMENTOS'!$R$6:$R$1005,A660,'RECEBIMENTOS'!$Q$6:$Q$1005,1))</f>
        <v>0</v>
      </c>
      <c r="AB660" s="96">
        <f>IF(R660=0,0,COUNTIFS('RECEBIMENTOS'!$R$6:$R$1005,A660,'RECEBIMENTOS'!$Z$6:$Z$1005,1))</f>
        <v>0</v>
      </c>
      <c r="AC660" s="96">
        <f>IF(R660=0,0,COUNTIFS('RECEBIMENTOS'!$R$6:$R$1005,A660,'RECEBIMENTOS'!$Y$6:$Y$1005,1))</f>
        <v>0</v>
      </c>
      <c r="AD660" s="96">
        <f>IF(R660=0,0,COUNTIFS('VÍNCULOS_CDF'!$R$6:$R$1005,A660,'VÍNCULOS_CDF'!$N$6:$N$1005,1))</f>
        <v>0</v>
      </c>
      <c r="AE660" s="96">
        <f>IF(R660=0,0,COUNTIFS('VÍNCULOS_CDF'!$R$6:$R$1005,A660,'VÍNCULOS_CDF'!$AA$6:$AA$1005,1))</f>
        <v>0</v>
      </c>
      <c r="AF660" s="96">
        <f>IF(R660=0,0,COUNTIFS('VÍNCULOS_CDF'!$R$6:$R$1005,A660,'VÍNCULOS_CDF'!$Y$6:$Y$1005,1))</f>
        <v>0</v>
      </c>
      <c r="AG660" s="96" t="str">
        <f>IF(AND(R660=1,S660&lt;&gt;"",C660&lt;&gt;""),S660&amp;"|"&amp;C660&amp;"|"&amp;G660&amp;"|"&amp;H660,"")</f>
        <v/>
      </c>
      <c r="AH660" s="96">
        <f>IF(AG660="",0,IF(SUMPRODUCT(--($AG$6:$AG$1005=AG660))&gt;1,1,0))</f>
        <v>0</v>
      </c>
      <c r="AI660" s="96">
        <f>IF(R660=0,0,IF(OR(U660=0,V660=0,Y660=0,AND(AH660=1,K660&lt;&gt;"Sim")),1,0))</f>
        <v>0</v>
      </c>
      <c r="AJ660" s="96">
        <f>IF(AND(R660=1,AA660&gt;0,AB660=AA660),1,0)</f>
        <v>0</v>
      </c>
      <c r="AK660" s="96">
        <f>IF(R660=0,0,IF(AA660&gt;0,N(L660),IF(ISNUMBER(I660),I660,0)))</f>
        <v>0</v>
      </c>
      <c r="AL660" s="96">
        <f>IF(R660=0,0,IF(AND(K660&lt;&gt;"Sim",N(M660)&gt;AK660+cfg_tol),1,0))</f>
        <v>0</v>
      </c>
      <c r="AM660" s="96">
        <f>IF(R660=0,0,IF(K660="Sim",0,IF(OR(AND(AA660&gt;0,ISNUMBER(I660),ABS(I660-N(L660))&gt;cfg_tol),AL660=1),1,0)))</f>
        <v>0</v>
      </c>
      <c r="AN660" s="96">
        <f>IF(AND(R660=1,N(M660)&gt;0,OR(N(M660)&gt;=AK660-cfg_tol,K660="Sim")),1,0)</f>
        <v>0</v>
      </c>
      <c r="AO660" s="96">
        <f>IF(AND(AN660=1,AD660&gt;0,AE660=AD660,AL660=0),1,0)</f>
        <v>0</v>
      </c>
      <c r="AP660" s="96">
        <f>IF(U660=0,0,IF(AND(INDEX('MTRs'!$AX$6:$AX$505,T660)=1,Z660=0,OR(f_res="",f_res="(Todos)",C660=f_res)),1,0))</f>
        <v>0</v>
      </c>
      <c r="AQ660" s="97" t="str">
        <f>IF(U660=0,"",INDEX('MTRs'!$AZ$6:$AZ$505,T660))</f>
        <v/>
      </c>
      <c r="AR660" s="96">
        <f>IF(U660=0,0,IF(AND(INDEX('MTRs'!$BA$6:$BA$505,T660)=1,Z660=0),1,0))</f>
        <v>0</v>
      </c>
      <c r="AS660" s="96" t="str">
        <f>IF(R660=1,A660&amp;" | MTR "&amp;IF(U660=1,INDEX('MTRs'!$B$6:$B$505,T660)&amp;"","?")&amp;" | "&amp;IF(C660="","(sem resíduo)",C660),"")</f>
        <v/>
      </c>
      <c r="AT660" s="96" t="str">
        <f>IF(R660=1,COUNTIF($R$6:R660,1),"")</f>
        <v/>
      </c>
      <c r="AU660" s="96" t="str">
        <f>IF(U660=1,INDEX('MTRs'!$I$6:$I$505,T660)&amp;"","")</f>
        <v/>
      </c>
    </row>
    <row r="661">
      <c r="A661" s="89" t="inlineStr">
        <is>
          <t>IT-000656</t>
        </is>
      </c>
      <c r="B661" s="91" t="n"/>
      <c r="C661" s="91" t="n"/>
      <c r="D661" s="94" t="str">
        <f>IF(OR(R661=0,V661=0),"",INDEX('CAD_RESÍDUOS'!$E$6:$E$205,MATCH(C661,'CAD_RESÍDUOS'!$B$6:$B$205,0))&amp;"")</f>
        <v/>
      </c>
      <c r="E661" s="94" t="str">
        <f>IF(OR(R661=0,V661=0),"",INDEX('CAD_RESÍDUOS'!$C$6:$C$205,MATCH(C661,'CAD_RESÍDUOS'!$B$6:$B$205,0))&amp;"")</f>
        <v/>
      </c>
      <c r="F661" s="94" t="str">
        <f>IF(OR(R661=0,V661=0),"",INDEX('CAD_RESÍDUOS'!$G$6:$G$205,MATCH(C661,'CAD_RESÍDUOS'!$B$6:$B$205,0))&amp;"")</f>
        <v/>
      </c>
      <c r="G661" s="98" t="n"/>
      <c r="H661" s="91" t="n"/>
      <c r="I661" s="93" t="str">
        <f>IF(R661=0,"",IF(NOT(ISNUMBER(G661)),"",IF(ISNUMBER(X661),G661*X661,"UNIDADE A CONFERIR")))</f>
        <v/>
      </c>
      <c r="J661" s="91" t="n"/>
      <c r="K661" s="91" t="n"/>
      <c r="L661" s="93" t="str">
        <f>IF(R661=0,"",SUMIFS('RECEBIMENTOS'!$H$6:$H$1005,'RECEBIMENTOS'!$R$6:$R$1005,A661,'RECEBIMENTOS'!$X$6:$X$1005,1))</f>
        <v/>
      </c>
      <c r="M661" s="93" t="str">
        <f>IF(R661=0,"",SUMIFS('VÍNCULOS_CDF'!$H$6:$H$1005,'VÍNCULOS_CDF'!$R$6:$R$1005,A661,'VÍNCULOS_CDF'!$V$6:$V$1005,1))</f>
        <v/>
      </c>
      <c r="N661" s="99" t="str">
        <f>IF(OR(R661=0,AA661=0,NOT(ISNUMBER(I661))),"",I661-N(L661))</f>
        <v/>
      </c>
      <c r="O661" s="100" t="str">
        <f>IF(OR(R661=0,AK661&lt;=0),"",N(M661)/AK661)</f>
        <v/>
      </c>
      <c r="P661" s="94" t="str">
        <f>IF(R661=0,"",IF(S661="","Sem MTR associado",IF(U661=0,"MTR inexistente",IF(C661="","Resíduo não identificado",IF(V661=0,"Resíduo fora do cadastro",IF(W661=0,"Quantidade inválida",IF(H661="","Unidade não informada",IF(NOT(ISNUMBER(I661)),"Unidade a conferir",IF(AND(AH661=1,K661&lt;&gt;"Sim"),"Possível duplicidade",IF(Z661=1,"MTR cancelado",IF(AC661&gt;0,"Recebimento com alerta",IF(AA661=0,"Aguardando recebimento",IF(AB661&lt;AA661,"Recebimento a conferir",IF(AM661=1,"Quantidade a revisar",IF(AF661&gt;0,"Vínculo a revisar",IF(AD661=0,"Aguardando CDF",IF(AN661=0,"Vínculo de CDF parcial",IF(AE661&lt;AD661,"CDF a conferir","Documentação conferida"))))))))))))))))))</f>
        <v/>
      </c>
      <c r="Q661" s="93" t="str">
        <f>IF(OR(R661=0,AA661=0),"",MAX(0,N(L661)-N(M661)))</f>
        <v/>
      </c>
      <c r="R661" s="96">
        <f>IF(COUNTA(B661:C661,G661:H661,J661:K661)&gt;0,1,0)</f>
        <v>0</v>
      </c>
      <c r="S661" s="96" t="str">
        <f>IF(B661="","",TRIM(LEFT(B661,FIND(" |",B661&amp;" |")-1)))</f>
        <v/>
      </c>
      <c r="T661" s="96" t="str">
        <f>IF(S661="","",IFERROR(MATCH(S661,'MTRs'!$A$6:$A$505,0),""))</f>
        <v/>
      </c>
      <c r="U661" s="96">
        <f>IF(T661="",0,IF(INDEX('MTRs'!$Z$6:$Z$505,T661)=1,1,0))</f>
        <v>0</v>
      </c>
      <c r="V661" s="96">
        <f>IF(C661="",0,IF(ISNUMBER(MATCH(C661,'CAD_RESÍDUOS'!$B$6:$B$205,0)),1,0))</f>
        <v>0</v>
      </c>
      <c r="W661" s="96">
        <f>IF(AND(ISNUMBER(G661),G661&gt;0),1,0)</f>
        <v>0</v>
      </c>
      <c r="X661" s="96" t="str">
        <f>IF(H661="","",IFERROR(IF(ISNUMBER(INDEX(cfg_fac,MATCH(H661,cfg_units,0))),IF(INDEX(cfg_fac,MATCH(H661,cfg_units,0))&gt;0,INDEX(cfg_fac,MATCH(H661,cfg_units,0)),""),""),""))</f>
        <v/>
      </c>
      <c r="Y661" s="96">
        <f>IF(AND(W661=1,ISNUMBER(I661)),1,0)</f>
        <v>0</v>
      </c>
      <c r="Z661" s="96">
        <f>IF(U661=1,INDEX('MTRs'!$AA$6:$AA$505,T661),0)</f>
        <v>0</v>
      </c>
      <c r="AA661" s="96">
        <f>IF(R661=0,0,COUNTIFS('RECEBIMENTOS'!$R$6:$R$1005,A661,'RECEBIMENTOS'!$Q$6:$Q$1005,1))</f>
        <v>0</v>
      </c>
      <c r="AB661" s="96">
        <f>IF(R661=0,0,COUNTIFS('RECEBIMENTOS'!$R$6:$R$1005,A661,'RECEBIMENTOS'!$Z$6:$Z$1005,1))</f>
        <v>0</v>
      </c>
      <c r="AC661" s="96">
        <f>IF(R661=0,0,COUNTIFS('RECEBIMENTOS'!$R$6:$R$1005,A661,'RECEBIMENTOS'!$Y$6:$Y$1005,1))</f>
        <v>0</v>
      </c>
      <c r="AD661" s="96">
        <f>IF(R661=0,0,COUNTIFS('VÍNCULOS_CDF'!$R$6:$R$1005,A661,'VÍNCULOS_CDF'!$N$6:$N$1005,1))</f>
        <v>0</v>
      </c>
      <c r="AE661" s="96">
        <f>IF(R661=0,0,COUNTIFS('VÍNCULOS_CDF'!$R$6:$R$1005,A661,'VÍNCULOS_CDF'!$AA$6:$AA$1005,1))</f>
        <v>0</v>
      </c>
      <c r="AF661" s="96">
        <f>IF(R661=0,0,COUNTIFS('VÍNCULOS_CDF'!$R$6:$R$1005,A661,'VÍNCULOS_CDF'!$Y$6:$Y$1005,1))</f>
        <v>0</v>
      </c>
      <c r="AG661" s="96" t="str">
        <f>IF(AND(R661=1,S661&lt;&gt;"",C661&lt;&gt;""),S661&amp;"|"&amp;C661&amp;"|"&amp;G661&amp;"|"&amp;H661,"")</f>
        <v/>
      </c>
      <c r="AH661" s="96">
        <f>IF(AG661="",0,IF(SUMPRODUCT(--($AG$6:$AG$1005=AG661))&gt;1,1,0))</f>
        <v>0</v>
      </c>
      <c r="AI661" s="96">
        <f>IF(R661=0,0,IF(OR(U661=0,V661=0,Y661=0,AND(AH661=1,K661&lt;&gt;"Sim")),1,0))</f>
        <v>0</v>
      </c>
      <c r="AJ661" s="96">
        <f>IF(AND(R661=1,AA661&gt;0,AB661=AA661),1,0)</f>
        <v>0</v>
      </c>
      <c r="AK661" s="96">
        <f>IF(R661=0,0,IF(AA661&gt;0,N(L661),IF(ISNUMBER(I661),I661,0)))</f>
        <v>0</v>
      </c>
      <c r="AL661" s="96">
        <f>IF(R661=0,0,IF(AND(K661&lt;&gt;"Sim",N(M661)&gt;AK661+cfg_tol),1,0))</f>
        <v>0</v>
      </c>
      <c r="AM661" s="96">
        <f>IF(R661=0,0,IF(K661="Sim",0,IF(OR(AND(AA661&gt;0,ISNUMBER(I661),ABS(I661-N(L661))&gt;cfg_tol),AL661=1),1,0)))</f>
        <v>0</v>
      </c>
      <c r="AN661" s="96">
        <f>IF(AND(R661=1,N(M661)&gt;0,OR(N(M661)&gt;=AK661-cfg_tol,K661="Sim")),1,0)</f>
        <v>0</v>
      </c>
      <c r="AO661" s="96">
        <f>IF(AND(AN661=1,AD661&gt;0,AE661=AD661,AL661=0),1,0)</f>
        <v>0</v>
      </c>
      <c r="AP661" s="96">
        <f>IF(U661=0,0,IF(AND(INDEX('MTRs'!$AX$6:$AX$505,T661)=1,Z661=0,OR(f_res="",f_res="(Todos)",C661=f_res)),1,0))</f>
        <v>0</v>
      </c>
      <c r="AQ661" s="97" t="str">
        <f>IF(U661=0,"",INDEX('MTRs'!$AZ$6:$AZ$505,T661))</f>
        <v/>
      </c>
      <c r="AR661" s="96">
        <f>IF(U661=0,0,IF(AND(INDEX('MTRs'!$BA$6:$BA$505,T661)=1,Z661=0),1,0))</f>
        <v>0</v>
      </c>
      <c r="AS661" s="96" t="str">
        <f>IF(R661=1,A661&amp;" | MTR "&amp;IF(U661=1,INDEX('MTRs'!$B$6:$B$505,T661)&amp;"","?")&amp;" | "&amp;IF(C661="","(sem resíduo)",C661),"")</f>
        <v/>
      </c>
      <c r="AT661" s="96" t="str">
        <f>IF(R661=1,COUNTIF($R$6:R661,1),"")</f>
        <v/>
      </c>
      <c r="AU661" s="96" t="str">
        <f>IF(U661=1,INDEX('MTRs'!$I$6:$I$505,T661)&amp;"","")</f>
        <v/>
      </c>
    </row>
    <row r="662">
      <c r="A662" s="89" t="inlineStr">
        <is>
          <t>IT-000657</t>
        </is>
      </c>
      <c r="B662" s="91" t="n"/>
      <c r="C662" s="91" t="n"/>
      <c r="D662" s="94" t="str">
        <f>IF(OR(R662=0,V662=0),"",INDEX('CAD_RESÍDUOS'!$E$6:$E$205,MATCH(C662,'CAD_RESÍDUOS'!$B$6:$B$205,0))&amp;"")</f>
        <v/>
      </c>
      <c r="E662" s="94" t="str">
        <f>IF(OR(R662=0,V662=0),"",INDEX('CAD_RESÍDUOS'!$C$6:$C$205,MATCH(C662,'CAD_RESÍDUOS'!$B$6:$B$205,0))&amp;"")</f>
        <v/>
      </c>
      <c r="F662" s="94" t="str">
        <f>IF(OR(R662=0,V662=0),"",INDEX('CAD_RESÍDUOS'!$G$6:$G$205,MATCH(C662,'CAD_RESÍDUOS'!$B$6:$B$205,0))&amp;"")</f>
        <v/>
      </c>
      <c r="G662" s="98" t="n"/>
      <c r="H662" s="91" t="n"/>
      <c r="I662" s="93" t="str">
        <f>IF(R662=0,"",IF(NOT(ISNUMBER(G662)),"",IF(ISNUMBER(X662),G662*X662,"UNIDADE A CONFERIR")))</f>
        <v/>
      </c>
      <c r="J662" s="91" t="n"/>
      <c r="K662" s="91" t="n"/>
      <c r="L662" s="93" t="str">
        <f>IF(R662=0,"",SUMIFS('RECEBIMENTOS'!$H$6:$H$1005,'RECEBIMENTOS'!$R$6:$R$1005,A662,'RECEBIMENTOS'!$X$6:$X$1005,1))</f>
        <v/>
      </c>
      <c r="M662" s="93" t="str">
        <f>IF(R662=0,"",SUMIFS('VÍNCULOS_CDF'!$H$6:$H$1005,'VÍNCULOS_CDF'!$R$6:$R$1005,A662,'VÍNCULOS_CDF'!$V$6:$V$1005,1))</f>
        <v/>
      </c>
      <c r="N662" s="99" t="str">
        <f>IF(OR(R662=0,AA662=0,NOT(ISNUMBER(I662))),"",I662-N(L662))</f>
        <v/>
      </c>
      <c r="O662" s="100" t="str">
        <f>IF(OR(R662=0,AK662&lt;=0),"",N(M662)/AK662)</f>
        <v/>
      </c>
      <c r="P662" s="94" t="str">
        <f>IF(R662=0,"",IF(S662="","Sem MTR associado",IF(U662=0,"MTR inexistente",IF(C662="","Resíduo não identificado",IF(V662=0,"Resíduo fora do cadastro",IF(W662=0,"Quantidade inválida",IF(H662="","Unidade não informada",IF(NOT(ISNUMBER(I662)),"Unidade a conferir",IF(AND(AH662=1,K662&lt;&gt;"Sim"),"Possível duplicidade",IF(Z662=1,"MTR cancelado",IF(AC662&gt;0,"Recebimento com alerta",IF(AA662=0,"Aguardando recebimento",IF(AB662&lt;AA662,"Recebimento a conferir",IF(AM662=1,"Quantidade a revisar",IF(AF662&gt;0,"Vínculo a revisar",IF(AD662=0,"Aguardando CDF",IF(AN662=0,"Vínculo de CDF parcial",IF(AE662&lt;AD662,"CDF a conferir","Documentação conferida"))))))))))))))))))</f>
        <v/>
      </c>
      <c r="Q662" s="93" t="str">
        <f>IF(OR(R662=0,AA662=0),"",MAX(0,N(L662)-N(M662)))</f>
        <v/>
      </c>
      <c r="R662" s="96">
        <f>IF(COUNTA(B662:C662,G662:H662,J662:K662)&gt;0,1,0)</f>
        <v>0</v>
      </c>
      <c r="S662" s="96" t="str">
        <f>IF(B662="","",TRIM(LEFT(B662,FIND(" |",B662&amp;" |")-1)))</f>
        <v/>
      </c>
      <c r="T662" s="96" t="str">
        <f>IF(S662="","",IFERROR(MATCH(S662,'MTRs'!$A$6:$A$505,0),""))</f>
        <v/>
      </c>
      <c r="U662" s="96">
        <f>IF(T662="",0,IF(INDEX('MTRs'!$Z$6:$Z$505,T662)=1,1,0))</f>
        <v>0</v>
      </c>
      <c r="V662" s="96">
        <f>IF(C662="",0,IF(ISNUMBER(MATCH(C662,'CAD_RESÍDUOS'!$B$6:$B$205,0)),1,0))</f>
        <v>0</v>
      </c>
      <c r="W662" s="96">
        <f>IF(AND(ISNUMBER(G662),G662&gt;0),1,0)</f>
        <v>0</v>
      </c>
      <c r="X662" s="96" t="str">
        <f>IF(H662="","",IFERROR(IF(ISNUMBER(INDEX(cfg_fac,MATCH(H662,cfg_units,0))),IF(INDEX(cfg_fac,MATCH(H662,cfg_units,0))&gt;0,INDEX(cfg_fac,MATCH(H662,cfg_units,0)),""),""),""))</f>
        <v/>
      </c>
      <c r="Y662" s="96">
        <f>IF(AND(W662=1,ISNUMBER(I662)),1,0)</f>
        <v>0</v>
      </c>
      <c r="Z662" s="96">
        <f>IF(U662=1,INDEX('MTRs'!$AA$6:$AA$505,T662),0)</f>
        <v>0</v>
      </c>
      <c r="AA662" s="96">
        <f>IF(R662=0,0,COUNTIFS('RECEBIMENTOS'!$R$6:$R$1005,A662,'RECEBIMENTOS'!$Q$6:$Q$1005,1))</f>
        <v>0</v>
      </c>
      <c r="AB662" s="96">
        <f>IF(R662=0,0,COUNTIFS('RECEBIMENTOS'!$R$6:$R$1005,A662,'RECEBIMENTOS'!$Z$6:$Z$1005,1))</f>
        <v>0</v>
      </c>
      <c r="AC662" s="96">
        <f>IF(R662=0,0,COUNTIFS('RECEBIMENTOS'!$R$6:$R$1005,A662,'RECEBIMENTOS'!$Y$6:$Y$1005,1))</f>
        <v>0</v>
      </c>
      <c r="AD662" s="96">
        <f>IF(R662=0,0,COUNTIFS('VÍNCULOS_CDF'!$R$6:$R$1005,A662,'VÍNCULOS_CDF'!$N$6:$N$1005,1))</f>
        <v>0</v>
      </c>
      <c r="AE662" s="96">
        <f>IF(R662=0,0,COUNTIFS('VÍNCULOS_CDF'!$R$6:$R$1005,A662,'VÍNCULOS_CDF'!$AA$6:$AA$1005,1))</f>
        <v>0</v>
      </c>
      <c r="AF662" s="96">
        <f>IF(R662=0,0,COUNTIFS('VÍNCULOS_CDF'!$R$6:$R$1005,A662,'VÍNCULOS_CDF'!$Y$6:$Y$1005,1))</f>
        <v>0</v>
      </c>
      <c r="AG662" s="96" t="str">
        <f>IF(AND(R662=1,S662&lt;&gt;"",C662&lt;&gt;""),S662&amp;"|"&amp;C662&amp;"|"&amp;G662&amp;"|"&amp;H662,"")</f>
        <v/>
      </c>
      <c r="AH662" s="96">
        <f>IF(AG662="",0,IF(SUMPRODUCT(--($AG$6:$AG$1005=AG662))&gt;1,1,0))</f>
        <v>0</v>
      </c>
      <c r="AI662" s="96">
        <f>IF(R662=0,0,IF(OR(U662=0,V662=0,Y662=0,AND(AH662=1,K662&lt;&gt;"Sim")),1,0))</f>
        <v>0</v>
      </c>
      <c r="AJ662" s="96">
        <f>IF(AND(R662=1,AA662&gt;0,AB662=AA662),1,0)</f>
        <v>0</v>
      </c>
      <c r="AK662" s="96">
        <f>IF(R662=0,0,IF(AA662&gt;0,N(L662),IF(ISNUMBER(I662),I662,0)))</f>
        <v>0</v>
      </c>
      <c r="AL662" s="96">
        <f>IF(R662=0,0,IF(AND(K662&lt;&gt;"Sim",N(M662)&gt;AK662+cfg_tol),1,0))</f>
        <v>0</v>
      </c>
      <c r="AM662" s="96">
        <f>IF(R662=0,0,IF(K662="Sim",0,IF(OR(AND(AA662&gt;0,ISNUMBER(I662),ABS(I662-N(L662))&gt;cfg_tol),AL662=1),1,0)))</f>
        <v>0</v>
      </c>
      <c r="AN662" s="96">
        <f>IF(AND(R662=1,N(M662)&gt;0,OR(N(M662)&gt;=AK662-cfg_tol,K662="Sim")),1,0)</f>
        <v>0</v>
      </c>
      <c r="AO662" s="96">
        <f>IF(AND(AN662=1,AD662&gt;0,AE662=AD662,AL662=0),1,0)</f>
        <v>0</v>
      </c>
      <c r="AP662" s="96">
        <f>IF(U662=0,0,IF(AND(INDEX('MTRs'!$AX$6:$AX$505,T662)=1,Z662=0,OR(f_res="",f_res="(Todos)",C662=f_res)),1,0))</f>
        <v>0</v>
      </c>
      <c r="AQ662" s="97" t="str">
        <f>IF(U662=0,"",INDEX('MTRs'!$AZ$6:$AZ$505,T662))</f>
        <v/>
      </c>
      <c r="AR662" s="96">
        <f>IF(U662=0,0,IF(AND(INDEX('MTRs'!$BA$6:$BA$505,T662)=1,Z662=0),1,0))</f>
        <v>0</v>
      </c>
      <c r="AS662" s="96" t="str">
        <f>IF(R662=1,A662&amp;" | MTR "&amp;IF(U662=1,INDEX('MTRs'!$B$6:$B$505,T662)&amp;"","?")&amp;" | "&amp;IF(C662="","(sem resíduo)",C662),"")</f>
        <v/>
      </c>
      <c r="AT662" s="96" t="str">
        <f>IF(R662=1,COUNTIF($R$6:R662,1),"")</f>
        <v/>
      </c>
      <c r="AU662" s="96" t="str">
        <f>IF(U662=1,INDEX('MTRs'!$I$6:$I$505,T662)&amp;"","")</f>
        <v/>
      </c>
    </row>
    <row r="663">
      <c r="A663" s="89" t="inlineStr">
        <is>
          <t>IT-000658</t>
        </is>
      </c>
      <c r="B663" s="91" t="n"/>
      <c r="C663" s="91" t="n"/>
      <c r="D663" s="94" t="str">
        <f>IF(OR(R663=0,V663=0),"",INDEX('CAD_RESÍDUOS'!$E$6:$E$205,MATCH(C663,'CAD_RESÍDUOS'!$B$6:$B$205,0))&amp;"")</f>
        <v/>
      </c>
      <c r="E663" s="94" t="str">
        <f>IF(OR(R663=0,V663=0),"",INDEX('CAD_RESÍDUOS'!$C$6:$C$205,MATCH(C663,'CAD_RESÍDUOS'!$B$6:$B$205,0))&amp;"")</f>
        <v/>
      </c>
      <c r="F663" s="94" t="str">
        <f>IF(OR(R663=0,V663=0),"",INDEX('CAD_RESÍDUOS'!$G$6:$G$205,MATCH(C663,'CAD_RESÍDUOS'!$B$6:$B$205,0))&amp;"")</f>
        <v/>
      </c>
      <c r="G663" s="98" t="n"/>
      <c r="H663" s="91" t="n"/>
      <c r="I663" s="93" t="str">
        <f>IF(R663=0,"",IF(NOT(ISNUMBER(G663)),"",IF(ISNUMBER(X663),G663*X663,"UNIDADE A CONFERIR")))</f>
        <v/>
      </c>
      <c r="J663" s="91" t="n"/>
      <c r="K663" s="91" t="n"/>
      <c r="L663" s="93" t="str">
        <f>IF(R663=0,"",SUMIFS('RECEBIMENTOS'!$H$6:$H$1005,'RECEBIMENTOS'!$R$6:$R$1005,A663,'RECEBIMENTOS'!$X$6:$X$1005,1))</f>
        <v/>
      </c>
      <c r="M663" s="93" t="str">
        <f>IF(R663=0,"",SUMIFS('VÍNCULOS_CDF'!$H$6:$H$1005,'VÍNCULOS_CDF'!$R$6:$R$1005,A663,'VÍNCULOS_CDF'!$V$6:$V$1005,1))</f>
        <v/>
      </c>
      <c r="N663" s="99" t="str">
        <f>IF(OR(R663=0,AA663=0,NOT(ISNUMBER(I663))),"",I663-N(L663))</f>
        <v/>
      </c>
      <c r="O663" s="100" t="str">
        <f>IF(OR(R663=0,AK663&lt;=0),"",N(M663)/AK663)</f>
        <v/>
      </c>
      <c r="P663" s="94" t="str">
        <f>IF(R663=0,"",IF(S663="","Sem MTR associado",IF(U663=0,"MTR inexistente",IF(C663="","Resíduo não identificado",IF(V663=0,"Resíduo fora do cadastro",IF(W663=0,"Quantidade inválida",IF(H663="","Unidade não informada",IF(NOT(ISNUMBER(I663)),"Unidade a conferir",IF(AND(AH663=1,K663&lt;&gt;"Sim"),"Possível duplicidade",IF(Z663=1,"MTR cancelado",IF(AC663&gt;0,"Recebimento com alerta",IF(AA663=0,"Aguardando recebimento",IF(AB663&lt;AA663,"Recebimento a conferir",IF(AM663=1,"Quantidade a revisar",IF(AF663&gt;0,"Vínculo a revisar",IF(AD663=0,"Aguardando CDF",IF(AN663=0,"Vínculo de CDF parcial",IF(AE663&lt;AD663,"CDF a conferir","Documentação conferida"))))))))))))))))))</f>
        <v/>
      </c>
      <c r="Q663" s="93" t="str">
        <f>IF(OR(R663=0,AA663=0),"",MAX(0,N(L663)-N(M663)))</f>
        <v/>
      </c>
      <c r="R663" s="96">
        <f>IF(COUNTA(B663:C663,G663:H663,J663:K663)&gt;0,1,0)</f>
        <v>0</v>
      </c>
      <c r="S663" s="96" t="str">
        <f>IF(B663="","",TRIM(LEFT(B663,FIND(" |",B663&amp;" |")-1)))</f>
        <v/>
      </c>
      <c r="T663" s="96" t="str">
        <f>IF(S663="","",IFERROR(MATCH(S663,'MTRs'!$A$6:$A$505,0),""))</f>
        <v/>
      </c>
      <c r="U663" s="96">
        <f>IF(T663="",0,IF(INDEX('MTRs'!$Z$6:$Z$505,T663)=1,1,0))</f>
        <v>0</v>
      </c>
      <c r="V663" s="96">
        <f>IF(C663="",0,IF(ISNUMBER(MATCH(C663,'CAD_RESÍDUOS'!$B$6:$B$205,0)),1,0))</f>
        <v>0</v>
      </c>
      <c r="W663" s="96">
        <f>IF(AND(ISNUMBER(G663),G663&gt;0),1,0)</f>
        <v>0</v>
      </c>
      <c r="X663" s="96" t="str">
        <f>IF(H663="","",IFERROR(IF(ISNUMBER(INDEX(cfg_fac,MATCH(H663,cfg_units,0))),IF(INDEX(cfg_fac,MATCH(H663,cfg_units,0))&gt;0,INDEX(cfg_fac,MATCH(H663,cfg_units,0)),""),""),""))</f>
        <v/>
      </c>
      <c r="Y663" s="96">
        <f>IF(AND(W663=1,ISNUMBER(I663)),1,0)</f>
        <v>0</v>
      </c>
      <c r="Z663" s="96">
        <f>IF(U663=1,INDEX('MTRs'!$AA$6:$AA$505,T663),0)</f>
        <v>0</v>
      </c>
      <c r="AA663" s="96">
        <f>IF(R663=0,0,COUNTIFS('RECEBIMENTOS'!$R$6:$R$1005,A663,'RECEBIMENTOS'!$Q$6:$Q$1005,1))</f>
        <v>0</v>
      </c>
      <c r="AB663" s="96">
        <f>IF(R663=0,0,COUNTIFS('RECEBIMENTOS'!$R$6:$R$1005,A663,'RECEBIMENTOS'!$Z$6:$Z$1005,1))</f>
        <v>0</v>
      </c>
      <c r="AC663" s="96">
        <f>IF(R663=0,0,COUNTIFS('RECEBIMENTOS'!$R$6:$R$1005,A663,'RECEBIMENTOS'!$Y$6:$Y$1005,1))</f>
        <v>0</v>
      </c>
      <c r="AD663" s="96">
        <f>IF(R663=0,0,COUNTIFS('VÍNCULOS_CDF'!$R$6:$R$1005,A663,'VÍNCULOS_CDF'!$N$6:$N$1005,1))</f>
        <v>0</v>
      </c>
      <c r="AE663" s="96">
        <f>IF(R663=0,0,COUNTIFS('VÍNCULOS_CDF'!$R$6:$R$1005,A663,'VÍNCULOS_CDF'!$AA$6:$AA$1005,1))</f>
        <v>0</v>
      </c>
      <c r="AF663" s="96">
        <f>IF(R663=0,0,COUNTIFS('VÍNCULOS_CDF'!$R$6:$R$1005,A663,'VÍNCULOS_CDF'!$Y$6:$Y$1005,1))</f>
        <v>0</v>
      </c>
      <c r="AG663" s="96" t="str">
        <f>IF(AND(R663=1,S663&lt;&gt;"",C663&lt;&gt;""),S663&amp;"|"&amp;C663&amp;"|"&amp;G663&amp;"|"&amp;H663,"")</f>
        <v/>
      </c>
      <c r="AH663" s="96">
        <f>IF(AG663="",0,IF(SUMPRODUCT(--($AG$6:$AG$1005=AG663))&gt;1,1,0))</f>
        <v>0</v>
      </c>
      <c r="AI663" s="96">
        <f>IF(R663=0,0,IF(OR(U663=0,V663=0,Y663=0,AND(AH663=1,K663&lt;&gt;"Sim")),1,0))</f>
        <v>0</v>
      </c>
      <c r="AJ663" s="96">
        <f>IF(AND(R663=1,AA663&gt;0,AB663=AA663),1,0)</f>
        <v>0</v>
      </c>
      <c r="AK663" s="96">
        <f>IF(R663=0,0,IF(AA663&gt;0,N(L663),IF(ISNUMBER(I663),I663,0)))</f>
        <v>0</v>
      </c>
      <c r="AL663" s="96">
        <f>IF(R663=0,0,IF(AND(K663&lt;&gt;"Sim",N(M663)&gt;AK663+cfg_tol),1,0))</f>
        <v>0</v>
      </c>
      <c r="AM663" s="96">
        <f>IF(R663=0,0,IF(K663="Sim",0,IF(OR(AND(AA663&gt;0,ISNUMBER(I663),ABS(I663-N(L663))&gt;cfg_tol),AL663=1),1,0)))</f>
        <v>0</v>
      </c>
      <c r="AN663" s="96">
        <f>IF(AND(R663=1,N(M663)&gt;0,OR(N(M663)&gt;=AK663-cfg_tol,K663="Sim")),1,0)</f>
        <v>0</v>
      </c>
      <c r="AO663" s="96">
        <f>IF(AND(AN663=1,AD663&gt;0,AE663=AD663,AL663=0),1,0)</f>
        <v>0</v>
      </c>
      <c r="AP663" s="96">
        <f>IF(U663=0,0,IF(AND(INDEX('MTRs'!$AX$6:$AX$505,T663)=1,Z663=0,OR(f_res="",f_res="(Todos)",C663=f_res)),1,0))</f>
        <v>0</v>
      </c>
      <c r="AQ663" s="97" t="str">
        <f>IF(U663=0,"",INDEX('MTRs'!$AZ$6:$AZ$505,T663))</f>
        <v/>
      </c>
      <c r="AR663" s="96">
        <f>IF(U663=0,0,IF(AND(INDEX('MTRs'!$BA$6:$BA$505,T663)=1,Z663=0),1,0))</f>
        <v>0</v>
      </c>
      <c r="AS663" s="96" t="str">
        <f>IF(R663=1,A663&amp;" | MTR "&amp;IF(U663=1,INDEX('MTRs'!$B$6:$B$505,T663)&amp;"","?")&amp;" | "&amp;IF(C663="","(sem resíduo)",C663),"")</f>
        <v/>
      </c>
      <c r="AT663" s="96" t="str">
        <f>IF(R663=1,COUNTIF($R$6:R663,1),"")</f>
        <v/>
      </c>
      <c r="AU663" s="96" t="str">
        <f>IF(U663=1,INDEX('MTRs'!$I$6:$I$505,T663)&amp;"","")</f>
        <v/>
      </c>
    </row>
    <row r="664">
      <c r="A664" s="89" t="inlineStr">
        <is>
          <t>IT-000659</t>
        </is>
      </c>
      <c r="B664" s="91" t="n"/>
      <c r="C664" s="91" t="n"/>
      <c r="D664" s="94" t="str">
        <f>IF(OR(R664=0,V664=0),"",INDEX('CAD_RESÍDUOS'!$E$6:$E$205,MATCH(C664,'CAD_RESÍDUOS'!$B$6:$B$205,0))&amp;"")</f>
        <v/>
      </c>
      <c r="E664" s="94" t="str">
        <f>IF(OR(R664=0,V664=0),"",INDEX('CAD_RESÍDUOS'!$C$6:$C$205,MATCH(C664,'CAD_RESÍDUOS'!$B$6:$B$205,0))&amp;"")</f>
        <v/>
      </c>
      <c r="F664" s="94" t="str">
        <f>IF(OR(R664=0,V664=0),"",INDEX('CAD_RESÍDUOS'!$G$6:$G$205,MATCH(C664,'CAD_RESÍDUOS'!$B$6:$B$205,0))&amp;"")</f>
        <v/>
      </c>
      <c r="G664" s="98" t="n"/>
      <c r="H664" s="91" t="n"/>
      <c r="I664" s="93" t="str">
        <f>IF(R664=0,"",IF(NOT(ISNUMBER(G664)),"",IF(ISNUMBER(X664),G664*X664,"UNIDADE A CONFERIR")))</f>
        <v/>
      </c>
      <c r="J664" s="91" t="n"/>
      <c r="K664" s="91" t="n"/>
      <c r="L664" s="93" t="str">
        <f>IF(R664=0,"",SUMIFS('RECEBIMENTOS'!$H$6:$H$1005,'RECEBIMENTOS'!$R$6:$R$1005,A664,'RECEBIMENTOS'!$X$6:$X$1005,1))</f>
        <v/>
      </c>
      <c r="M664" s="93" t="str">
        <f>IF(R664=0,"",SUMIFS('VÍNCULOS_CDF'!$H$6:$H$1005,'VÍNCULOS_CDF'!$R$6:$R$1005,A664,'VÍNCULOS_CDF'!$V$6:$V$1005,1))</f>
        <v/>
      </c>
      <c r="N664" s="99" t="str">
        <f>IF(OR(R664=0,AA664=0,NOT(ISNUMBER(I664))),"",I664-N(L664))</f>
        <v/>
      </c>
      <c r="O664" s="100" t="str">
        <f>IF(OR(R664=0,AK664&lt;=0),"",N(M664)/AK664)</f>
        <v/>
      </c>
      <c r="P664" s="94" t="str">
        <f>IF(R664=0,"",IF(S664="","Sem MTR associado",IF(U664=0,"MTR inexistente",IF(C664="","Resíduo não identificado",IF(V664=0,"Resíduo fora do cadastro",IF(W664=0,"Quantidade inválida",IF(H664="","Unidade não informada",IF(NOT(ISNUMBER(I664)),"Unidade a conferir",IF(AND(AH664=1,K664&lt;&gt;"Sim"),"Possível duplicidade",IF(Z664=1,"MTR cancelado",IF(AC664&gt;0,"Recebimento com alerta",IF(AA664=0,"Aguardando recebimento",IF(AB664&lt;AA664,"Recebimento a conferir",IF(AM664=1,"Quantidade a revisar",IF(AF664&gt;0,"Vínculo a revisar",IF(AD664=0,"Aguardando CDF",IF(AN664=0,"Vínculo de CDF parcial",IF(AE664&lt;AD664,"CDF a conferir","Documentação conferida"))))))))))))))))))</f>
        <v/>
      </c>
      <c r="Q664" s="93" t="str">
        <f>IF(OR(R664=0,AA664=0),"",MAX(0,N(L664)-N(M664)))</f>
        <v/>
      </c>
      <c r="R664" s="96">
        <f>IF(COUNTA(B664:C664,G664:H664,J664:K664)&gt;0,1,0)</f>
        <v>0</v>
      </c>
      <c r="S664" s="96" t="str">
        <f>IF(B664="","",TRIM(LEFT(B664,FIND(" |",B664&amp;" |")-1)))</f>
        <v/>
      </c>
      <c r="T664" s="96" t="str">
        <f>IF(S664="","",IFERROR(MATCH(S664,'MTRs'!$A$6:$A$505,0),""))</f>
        <v/>
      </c>
      <c r="U664" s="96">
        <f>IF(T664="",0,IF(INDEX('MTRs'!$Z$6:$Z$505,T664)=1,1,0))</f>
        <v>0</v>
      </c>
      <c r="V664" s="96">
        <f>IF(C664="",0,IF(ISNUMBER(MATCH(C664,'CAD_RESÍDUOS'!$B$6:$B$205,0)),1,0))</f>
        <v>0</v>
      </c>
      <c r="W664" s="96">
        <f>IF(AND(ISNUMBER(G664),G664&gt;0),1,0)</f>
        <v>0</v>
      </c>
      <c r="X664" s="96" t="str">
        <f>IF(H664="","",IFERROR(IF(ISNUMBER(INDEX(cfg_fac,MATCH(H664,cfg_units,0))),IF(INDEX(cfg_fac,MATCH(H664,cfg_units,0))&gt;0,INDEX(cfg_fac,MATCH(H664,cfg_units,0)),""),""),""))</f>
        <v/>
      </c>
      <c r="Y664" s="96">
        <f>IF(AND(W664=1,ISNUMBER(I664)),1,0)</f>
        <v>0</v>
      </c>
      <c r="Z664" s="96">
        <f>IF(U664=1,INDEX('MTRs'!$AA$6:$AA$505,T664),0)</f>
        <v>0</v>
      </c>
      <c r="AA664" s="96">
        <f>IF(R664=0,0,COUNTIFS('RECEBIMENTOS'!$R$6:$R$1005,A664,'RECEBIMENTOS'!$Q$6:$Q$1005,1))</f>
        <v>0</v>
      </c>
      <c r="AB664" s="96">
        <f>IF(R664=0,0,COUNTIFS('RECEBIMENTOS'!$R$6:$R$1005,A664,'RECEBIMENTOS'!$Z$6:$Z$1005,1))</f>
        <v>0</v>
      </c>
      <c r="AC664" s="96">
        <f>IF(R664=0,0,COUNTIFS('RECEBIMENTOS'!$R$6:$R$1005,A664,'RECEBIMENTOS'!$Y$6:$Y$1005,1))</f>
        <v>0</v>
      </c>
      <c r="AD664" s="96">
        <f>IF(R664=0,0,COUNTIFS('VÍNCULOS_CDF'!$R$6:$R$1005,A664,'VÍNCULOS_CDF'!$N$6:$N$1005,1))</f>
        <v>0</v>
      </c>
      <c r="AE664" s="96">
        <f>IF(R664=0,0,COUNTIFS('VÍNCULOS_CDF'!$R$6:$R$1005,A664,'VÍNCULOS_CDF'!$AA$6:$AA$1005,1))</f>
        <v>0</v>
      </c>
      <c r="AF664" s="96">
        <f>IF(R664=0,0,COUNTIFS('VÍNCULOS_CDF'!$R$6:$R$1005,A664,'VÍNCULOS_CDF'!$Y$6:$Y$1005,1))</f>
        <v>0</v>
      </c>
      <c r="AG664" s="96" t="str">
        <f>IF(AND(R664=1,S664&lt;&gt;"",C664&lt;&gt;""),S664&amp;"|"&amp;C664&amp;"|"&amp;G664&amp;"|"&amp;H664,"")</f>
        <v/>
      </c>
      <c r="AH664" s="96">
        <f>IF(AG664="",0,IF(SUMPRODUCT(--($AG$6:$AG$1005=AG664))&gt;1,1,0))</f>
        <v>0</v>
      </c>
      <c r="AI664" s="96">
        <f>IF(R664=0,0,IF(OR(U664=0,V664=0,Y664=0,AND(AH664=1,K664&lt;&gt;"Sim")),1,0))</f>
        <v>0</v>
      </c>
      <c r="AJ664" s="96">
        <f>IF(AND(R664=1,AA664&gt;0,AB664=AA664),1,0)</f>
        <v>0</v>
      </c>
      <c r="AK664" s="96">
        <f>IF(R664=0,0,IF(AA664&gt;0,N(L664),IF(ISNUMBER(I664),I664,0)))</f>
        <v>0</v>
      </c>
      <c r="AL664" s="96">
        <f>IF(R664=0,0,IF(AND(K664&lt;&gt;"Sim",N(M664)&gt;AK664+cfg_tol),1,0))</f>
        <v>0</v>
      </c>
      <c r="AM664" s="96">
        <f>IF(R664=0,0,IF(K664="Sim",0,IF(OR(AND(AA664&gt;0,ISNUMBER(I664),ABS(I664-N(L664))&gt;cfg_tol),AL664=1),1,0)))</f>
        <v>0</v>
      </c>
      <c r="AN664" s="96">
        <f>IF(AND(R664=1,N(M664)&gt;0,OR(N(M664)&gt;=AK664-cfg_tol,K664="Sim")),1,0)</f>
        <v>0</v>
      </c>
      <c r="AO664" s="96">
        <f>IF(AND(AN664=1,AD664&gt;0,AE664=AD664,AL664=0),1,0)</f>
        <v>0</v>
      </c>
      <c r="AP664" s="96">
        <f>IF(U664=0,0,IF(AND(INDEX('MTRs'!$AX$6:$AX$505,T664)=1,Z664=0,OR(f_res="",f_res="(Todos)",C664=f_res)),1,0))</f>
        <v>0</v>
      </c>
      <c r="AQ664" s="97" t="str">
        <f>IF(U664=0,"",INDEX('MTRs'!$AZ$6:$AZ$505,T664))</f>
        <v/>
      </c>
      <c r="AR664" s="96">
        <f>IF(U664=0,0,IF(AND(INDEX('MTRs'!$BA$6:$BA$505,T664)=1,Z664=0),1,0))</f>
        <v>0</v>
      </c>
      <c r="AS664" s="96" t="str">
        <f>IF(R664=1,A664&amp;" | MTR "&amp;IF(U664=1,INDEX('MTRs'!$B$6:$B$505,T664)&amp;"","?")&amp;" | "&amp;IF(C664="","(sem resíduo)",C664),"")</f>
        <v/>
      </c>
      <c r="AT664" s="96" t="str">
        <f>IF(R664=1,COUNTIF($R$6:R664,1),"")</f>
        <v/>
      </c>
      <c r="AU664" s="96" t="str">
        <f>IF(U664=1,INDEX('MTRs'!$I$6:$I$505,T664)&amp;"","")</f>
        <v/>
      </c>
    </row>
    <row r="665">
      <c r="A665" s="89" t="inlineStr">
        <is>
          <t>IT-000660</t>
        </is>
      </c>
      <c r="B665" s="91" t="n"/>
      <c r="C665" s="91" t="n"/>
      <c r="D665" s="94" t="str">
        <f>IF(OR(R665=0,V665=0),"",INDEX('CAD_RESÍDUOS'!$E$6:$E$205,MATCH(C665,'CAD_RESÍDUOS'!$B$6:$B$205,0))&amp;"")</f>
        <v/>
      </c>
      <c r="E665" s="94" t="str">
        <f>IF(OR(R665=0,V665=0),"",INDEX('CAD_RESÍDUOS'!$C$6:$C$205,MATCH(C665,'CAD_RESÍDUOS'!$B$6:$B$205,0))&amp;"")</f>
        <v/>
      </c>
      <c r="F665" s="94" t="str">
        <f>IF(OR(R665=0,V665=0),"",INDEX('CAD_RESÍDUOS'!$G$6:$G$205,MATCH(C665,'CAD_RESÍDUOS'!$B$6:$B$205,0))&amp;"")</f>
        <v/>
      </c>
      <c r="G665" s="98" t="n"/>
      <c r="H665" s="91" t="n"/>
      <c r="I665" s="93" t="str">
        <f>IF(R665=0,"",IF(NOT(ISNUMBER(G665)),"",IF(ISNUMBER(X665),G665*X665,"UNIDADE A CONFERIR")))</f>
        <v/>
      </c>
      <c r="J665" s="91" t="n"/>
      <c r="K665" s="91" t="n"/>
      <c r="L665" s="93" t="str">
        <f>IF(R665=0,"",SUMIFS('RECEBIMENTOS'!$H$6:$H$1005,'RECEBIMENTOS'!$R$6:$R$1005,A665,'RECEBIMENTOS'!$X$6:$X$1005,1))</f>
        <v/>
      </c>
      <c r="M665" s="93" t="str">
        <f>IF(R665=0,"",SUMIFS('VÍNCULOS_CDF'!$H$6:$H$1005,'VÍNCULOS_CDF'!$R$6:$R$1005,A665,'VÍNCULOS_CDF'!$V$6:$V$1005,1))</f>
        <v/>
      </c>
      <c r="N665" s="99" t="str">
        <f>IF(OR(R665=0,AA665=0,NOT(ISNUMBER(I665))),"",I665-N(L665))</f>
        <v/>
      </c>
      <c r="O665" s="100" t="str">
        <f>IF(OR(R665=0,AK665&lt;=0),"",N(M665)/AK665)</f>
        <v/>
      </c>
      <c r="P665" s="94" t="str">
        <f>IF(R665=0,"",IF(S665="","Sem MTR associado",IF(U665=0,"MTR inexistente",IF(C665="","Resíduo não identificado",IF(V665=0,"Resíduo fora do cadastro",IF(W665=0,"Quantidade inválida",IF(H665="","Unidade não informada",IF(NOT(ISNUMBER(I665)),"Unidade a conferir",IF(AND(AH665=1,K665&lt;&gt;"Sim"),"Possível duplicidade",IF(Z665=1,"MTR cancelado",IF(AC665&gt;0,"Recebimento com alerta",IF(AA665=0,"Aguardando recebimento",IF(AB665&lt;AA665,"Recebimento a conferir",IF(AM665=1,"Quantidade a revisar",IF(AF665&gt;0,"Vínculo a revisar",IF(AD665=0,"Aguardando CDF",IF(AN665=0,"Vínculo de CDF parcial",IF(AE665&lt;AD665,"CDF a conferir","Documentação conferida"))))))))))))))))))</f>
        <v/>
      </c>
      <c r="Q665" s="93" t="str">
        <f>IF(OR(R665=0,AA665=0),"",MAX(0,N(L665)-N(M665)))</f>
        <v/>
      </c>
      <c r="R665" s="96">
        <f>IF(COUNTA(B665:C665,G665:H665,J665:K665)&gt;0,1,0)</f>
        <v>0</v>
      </c>
      <c r="S665" s="96" t="str">
        <f>IF(B665="","",TRIM(LEFT(B665,FIND(" |",B665&amp;" |")-1)))</f>
        <v/>
      </c>
      <c r="T665" s="96" t="str">
        <f>IF(S665="","",IFERROR(MATCH(S665,'MTRs'!$A$6:$A$505,0),""))</f>
        <v/>
      </c>
      <c r="U665" s="96">
        <f>IF(T665="",0,IF(INDEX('MTRs'!$Z$6:$Z$505,T665)=1,1,0))</f>
        <v>0</v>
      </c>
      <c r="V665" s="96">
        <f>IF(C665="",0,IF(ISNUMBER(MATCH(C665,'CAD_RESÍDUOS'!$B$6:$B$205,0)),1,0))</f>
        <v>0</v>
      </c>
      <c r="W665" s="96">
        <f>IF(AND(ISNUMBER(G665),G665&gt;0),1,0)</f>
        <v>0</v>
      </c>
      <c r="X665" s="96" t="str">
        <f>IF(H665="","",IFERROR(IF(ISNUMBER(INDEX(cfg_fac,MATCH(H665,cfg_units,0))),IF(INDEX(cfg_fac,MATCH(H665,cfg_units,0))&gt;0,INDEX(cfg_fac,MATCH(H665,cfg_units,0)),""),""),""))</f>
        <v/>
      </c>
      <c r="Y665" s="96">
        <f>IF(AND(W665=1,ISNUMBER(I665)),1,0)</f>
        <v>0</v>
      </c>
      <c r="Z665" s="96">
        <f>IF(U665=1,INDEX('MTRs'!$AA$6:$AA$505,T665),0)</f>
        <v>0</v>
      </c>
      <c r="AA665" s="96">
        <f>IF(R665=0,0,COUNTIFS('RECEBIMENTOS'!$R$6:$R$1005,A665,'RECEBIMENTOS'!$Q$6:$Q$1005,1))</f>
        <v>0</v>
      </c>
      <c r="AB665" s="96">
        <f>IF(R665=0,0,COUNTIFS('RECEBIMENTOS'!$R$6:$R$1005,A665,'RECEBIMENTOS'!$Z$6:$Z$1005,1))</f>
        <v>0</v>
      </c>
      <c r="AC665" s="96">
        <f>IF(R665=0,0,COUNTIFS('RECEBIMENTOS'!$R$6:$R$1005,A665,'RECEBIMENTOS'!$Y$6:$Y$1005,1))</f>
        <v>0</v>
      </c>
      <c r="AD665" s="96">
        <f>IF(R665=0,0,COUNTIFS('VÍNCULOS_CDF'!$R$6:$R$1005,A665,'VÍNCULOS_CDF'!$N$6:$N$1005,1))</f>
        <v>0</v>
      </c>
      <c r="AE665" s="96">
        <f>IF(R665=0,0,COUNTIFS('VÍNCULOS_CDF'!$R$6:$R$1005,A665,'VÍNCULOS_CDF'!$AA$6:$AA$1005,1))</f>
        <v>0</v>
      </c>
      <c r="AF665" s="96">
        <f>IF(R665=0,0,COUNTIFS('VÍNCULOS_CDF'!$R$6:$R$1005,A665,'VÍNCULOS_CDF'!$Y$6:$Y$1005,1))</f>
        <v>0</v>
      </c>
      <c r="AG665" s="96" t="str">
        <f>IF(AND(R665=1,S665&lt;&gt;"",C665&lt;&gt;""),S665&amp;"|"&amp;C665&amp;"|"&amp;G665&amp;"|"&amp;H665,"")</f>
        <v/>
      </c>
      <c r="AH665" s="96">
        <f>IF(AG665="",0,IF(SUMPRODUCT(--($AG$6:$AG$1005=AG665))&gt;1,1,0))</f>
        <v>0</v>
      </c>
      <c r="AI665" s="96">
        <f>IF(R665=0,0,IF(OR(U665=0,V665=0,Y665=0,AND(AH665=1,K665&lt;&gt;"Sim")),1,0))</f>
        <v>0</v>
      </c>
      <c r="AJ665" s="96">
        <f>IF(AND(R665=1,AA665&gt;0,AB665=AA665),1,0)</f>
        <v>0</v>
      </c>
      <c r="AK665" s="96">
        <f>IF(R665=0,0,IF(AA665&gt;0,N(L665),IF(ISNUMBER(I665),I665,0)))</f>
        <v>0</v>
      </c>
      <c r="AL665" s="96">
        <f>IF(R665=0,0,IF(AND(K665&lt;&gt;"Sim",N(M665)&gt;AK665+cfg_tol),1,0))</f>
        <v>0</v>
      </c>
      <c r="AM665" s="96">
        <f>IF(R665=0,0,IF(K665="Sim",0,IF(OR(AND(AA665&gt;0,ISNUMBER(I665),ABS(I665-N(L665))&gt;cfg_tol),AL665=1),1,0)))</f>
        <v>0</v>
      </c>
      <c r="AN665" s="96">
        <f>IF(AND(R665=1,N(M665)&gt;0,OR(N(M665)&gt;=AK665-cfg_tol,K665="Sim")),1,0)</f>
        <v>0</v>
      </c>
      <c r="AO665" s="96">
        <f>IF(AND(AN665=1,AD665&gt;0,AE665=AD665,AL665=0),1,0)</f>
        <v>0</v>
      </c>
      <c r="AP665" s="96">
        <f>IF(U665=0,0,IF(AND(INDEX('MTRs'!$AX$6:$AX$505,T665)=1,Z665=0,OR(f_res="",f_res="(Todos)",C665=f_res)),1,0))</f>
        <v>0</v>
      </c>
      <c r="AQ665" s="97" t="str">
        <f>IF(U665=0,"",INDEX('MTRs'!$AZ$6:$AZ$505,T665))</f>
        <v/>
      </c>
      <c r="AR665" s="96">
        <f>IF(U665=0,0,IF(AND(INDEX('MTRs'!$BA$6:$BA$505,T665)=1,Z665=0),1,0))</f>
        <v>0</v>
      </c>
      <c r="AS665" s="96" t="str">
        <f>IF(R665=1,A665&amp;" | MTR "&amp;IF(U665=1,INDEX('MTRs'!$B$6:$B$505,T665)&amp;"","?")&amp;" | "&amp;IF(C665="","(sem resíduo)",C665),"")</f>
        <v/>
      </c>
      <c r="AT665" s="96" t="str">
        <f>IF(R665=1,COUNTIF($R$6:R665,1),"")</f>
        <v/>
      </c>
      <c r="AU665" s="96" t="str">
        <f>IF(U665=1,INDEX('MTRs'!$I$6:$I$505,T665)&amp;"","")</f>
        <v/>
      </c>
    </row>
    <row r="666">
      <c r="A666" s="89" t="inlineStr">
        <is>
          <t>IT-000661</t>
        </is>
      </c>
      <c r="B666" s="91" t="n"/>
      <c r="C666" s="91" t="n"/>
      <c r="D666" s="94" t="str">
        <f>IF(OR(R666=0,V666=0),"",INDEX('CAD_RESÍDUOS'!$E$6:$E$205,MATCH(C666,'CAD_RESÍDUOS'!$B$6:$B$205,0))&amp;"")</f>
        <v/>
      </c>
      <c r="E666" s="94" t="str">
        <f>IF(OR(R666=0,V666=0),"",INDEX('CAD_RESÍDUOS'!$C$6:$C$205,MATCH(C666,'CAD_RESÍDUOS'!$B$6:$B$205,0))&amp;"")</f>
        <v/>
      </c>
      <c r="F666" s="94" t="str">
        <f>IF(OR(R666=0,V666=0),"",INDEX('CAD_RESÍDUOS'!$G$6:$G$205,MATCH(C666,'CAD_RESÍDUOS'!$B$6:$B$205,0))&amp;"")</f>
        <v/>
      </c>
      <c r="G666" s="98" t="n"/>
      <c r="H666" s="91" t="n"/>
      <c r="I666" s="93" t="str">
        <f>IF(R666=0,"",IF(NOT(ISNUMBER(G666)),"",IF(ISNUMBER(X666),G666*X666,"UNIDADE A CONFERIR")))</f>
        <v/>
      </c>
      <c r="J666" s="91" t="n"/>
      <c r="K666" s="91" t="n"/>
      <c r="L666" s="93" t="str">
        <f>IF(R666=0,"",SUMIFS('RECEBIMENTOS'!$H$6:$H$1005,'RECEBIMENTOS'!$R$6:$R$1005,A666,'RECEBIMENTOS'!$X$6:$X$1005,1))</f>
        <v/>
      </c>
      <c r="M666" s="93" t="str">
        <f>IF(R666=0,"",SUMIFS('VÍNCULOS_CDF'!$H$6:$H$1005,'VÍNCULOS_CDF'!$R$6:$R$1005,A666,'VÍNCULOS_CDF'!$V$6:$V$1005,1))</f>
        <v/>
      </c>
      <c r="N666" s="99" t="str">
        <f>IF(OR(R666=0,AA666=0,NOT(ISNUMBER(I666))),"",I666-N(L666))</f>
        <v/>
      </c>
      <c r="O666" s="100" t="str">
        <f>IF(OR(R666=0,AK666&lt;=0),"",N(M666)/AK666)</f>
        <v/>
      </c>
      <c r="P666" s="94" t="str">
        <f>IF(R666=0,"",IF(S666="","Sem MTR associado",IF(U666=0,"MTR inexistente",IF(C666="","Resíduo não identificado",IF(V666=0,"Resíduo fora do cadastro",IF(W666=0,"Quantidade inválida",IF(H666="","Unidade não informada",IF(NOT(ISNUMBER(I666)),"Unidade a conferir",IF(AND(AH666=1,K666&lt;&gt;"Sim"),"Possível duplicidade",IF(Z666=1,"MTR cancelado",IF(AC666&gt;0,"Recebimento com alerta",IF(AA666=0,"Aguardando recebimento",IF(AB666&lt;AA666,"Recebimento a conferir",IF(AM666=1,"Quantidade a revisar",IF(AF666&gt;0,"Vínculo a revisar",IF(AD666=0,"Aguardando CDF",IF(AN666=0,"Vínculo de CDF parcial",IF(AE666&lt;AD666,"CDF a conferir","Documentação conferida"))))))))))))))))))</f>
        <v/>
      </c>
      <c r="Q666" s="93" t="str">
        <f>IF(OR(R666=0,AA666=0),"",MAX(0,N(L666)-N(M666)))</f>
        <v/>
      </c>
      <c r="R666" s="96">
        <f>IF(COUNTA(B666:C666,G666:H666,J666:K666)&gt;0,1,0)</f>
        <v>0</v>
      </c>
      <c r="S666" s="96" t="str">
        <f>IF(B666="","",TRIM(LEFT(B666,FIND(" |",B666&amp;" |")-1)))</f>
        <v/>
      </c>
      <c r="T666" s="96" t="str">
        <f>IF(S666="","",IFERROR(MATCH(S666,'MTRs'!$A$6:$A$505,0),""))</f>
        <v/>
      </c>
      <c r="U666" s="96">
        <f>IF(T666="",0,IF(INDEX('MTRs'!$Z$6:$Z$505,T666)=1,1,0))</f>
        <v>0</v>
      </c>
      <c r="V666" s="96">
        <f>IF(C666="",0,IF(ISNUMBER(MATCH(C666,'CAD_RESÍDUOS'!$B$6:$B$205,0)),1,0))</f>
        <v>0</v>
      </c>
      <c r="W666" s="96">
        <f>IF(AND(ISNUMBER(G666),G666&gt;0),1,0)</f>
        <v>0</v>
      </c>
      <c r="X666" s="96" t="str">
        <f>IF(H666="","",IFERROR(IF(ISNUMBER(INDEX(cfg_fac,MATCH(H666,cfg_units,0))),IF(INDEX(cfg_fac,MATCH(H666,cfg_units,0))&gt;0,INDEX(cfg_fac,MATCH(H666,cfg_units,0)),""),""),""))</f>
        <v/>
      </c>
      <c r="Y666" s="96">
        <f>IF(AND(W666=1,ISNUMBER(I666)),1,0)</f>
        <v>0</v>
      </c>
      <c r="Z666" s="96">
        <f>IF(U666=1,INDEX('MTRs'!$AA$6:$AA$505,T666),0)</f>
        <v>0</v>
      </c>
      <c r="AA666" s="96">
        <f>IF(R666=0,0,COUNTIFS('RECEBIMENTOS'!$R$6:$R$1005,A666,'RECEBIMENTOS'!$Q$6:$Q$1005,1))</f>
        <v>0</v>
      </c>
      <c r="AB666" s="96">
        <f>IF(R666=0,0,COUNTIFS('RECEBIMENTOS'!$R$6:$R$1005,A666,'RECEBIMENTOS'!$Z$6:$Z$1005,1))</f>
        <v>0</v>
      </c>
      <c r="AC666" s="96">
        <f>IF(R666=0,0,COUNTIFS('RECEBIMENTOS'!$R$6:$R$1005,A666,'RECEBIMENTOS'!$Y$6:$Y$1005,1))</f>
        <v>0</v>
      </c>
      <c r="AD666" s="96">
        <f>IF(R666=0,0,COUNTIFS('VÍNCULOS_CDF'!$R$6:$R$1005,A666,'VÍNCULOS_CDF'!$N$6:$N$1005,1))</f>
        <v>0</v>
      </c>
      <c r="AE666" s="96">
        <f>IF(R666=0,0,COUNTIFS('VÍNCULOS_CDF'!$R$6:$R$1005,A666,'VÍNCULOS_CDF'!$AA$6:$AA$1005,1))</f>
        <v>0</v>
      </c>
      <c r="AF666" s="96">
        <f>IF(R666=0,0,COUNTIFS('VÍNCULOS_CDF'!$R$6:$R$1005,A666,'VÍNCULOS_CDF'!$Y$6:$Y$1005,1))</f>
        <v>0</v>
      </c>
      <c r="AG666" s="96" t="str">
        <f>IF(AND(R666=1,S666&lt;&gt;"",C666&lt;&gt;""),S666&amp;"|"&amp;C666&amp;"|"&amp;G666&amp;"|"&amp;H666,"")</f>
        <v/>
      </c>
      <c r="AH666" s="96">
        <f>IF(AG666="",0,IF(SUMPRODUCT(--($AG$6:$AG$1005=AG666))&gt;1,1,0))</f>
        <v>0</v>
      </c>
      <c r="AI666" s="96">
        <f>IF(R666=0,0,IF(OR(U666=0,V666=0,Y666=0,AND(AH666=1,K666&lt;&gt;"Sim")),1,0))</f>
        <v>0</v>
      </c>
      <c r="AJ666" s="96">
        <f>IF(AND(R666=1,AA666&gt;0,AB666=AA666),1,0)</f>
        <v>0</v>
      </c>
      <c r="AK666" s="96">
        <f>IF(R666=0,0,IF(AA666&gt;0,N(L666),IF(ISNUMBER(I666),I666,0)))</f>
        <v>0</v>
      </c>
      <c r="AL666" s="96">
        <f>IF(R666=0,0,IF(AND(K666&lt;&gt;"Sim",N(M666)&gt;AK666+cfg_tol),1,0))</f>
        <v>0</v>
      </c>
      <c r="AM666" s="96">
        <f>IF(R666=0,0,IF(K666="Sim",0,IF(OR(AND(AA666&gt;0,ISNUMBER(I666),ABS(I666-N(L666))&gt;cfg_tol),AL666=1),1,0)))</f>
        <v>0</v>
      </c>
      <c r="AN666" s="96">
        <f>IF(AND(R666=1,N(M666)&gt;0,OR(N(M666)&gt;=AK666-cfg_tol,K666="Sim")),1,0)</f>
        <v>0</v>
      </c>
      <c r="AO666" s="96">
        <f>IF(AND(AN666=1,AD666&gt;0,AE666=AD666,AL666=0),1,0)</f>
        <v>0</v>
      </c>
      <c r="AP666" s="96">
        <f>IF(U666=0,0,IF(AND(INDEX('MTRs'!$AX$6:$AX$505,T666)=1,Z666=0,OR(f_res="",f_res="(Todos)",C666=f_res)),1,0))</f>
        <v>0</v>
      </c>
      <c r="AQ666" s="97" t="str">
        <f>IF(U666=0,"",INDEX('MTRs'!$AZ$6:$AZ$505,T666))</f>
        <v/>
      </c>
      <c r="AR666" s="96">
        <f>IF(U666=0,0,IF(AND(INDEX('MTRs'!$BA$6:$BA$505,T666)=1,Z666=0),1,0))</f>
        <v>0</v>
      </c>
      <c r="AS666" s="96" t="str">
        <f>IF(R666=1,A666&amp;" | MTR "&amp;IF(U666=1,INDEX('MTRs'!$B$6:$B$505,T666)&amp;"","?")&amp;" | "&amp;IF(C666="","(sem resíduo)",C666),"")</f>
        <v/>
      </c>
      <c r="AT666" s="96" t="str">
        <f>IF(R666=1,COUNTIF($R$6:R666,1),"")</f>
        <v/>
      </c>
      <c r="AU666" s="96" t="str">
        <f>IF(U666=1,INDEX('MTRs'!$I$6:$I$505,T666)&amp;"","")</f>
        <v/>
      </c>
    </row>
    <row r="667">
      <c r="A667" s="89" t="inlineStr">
        <is>
          <t>IT-000662</t>
        </is>
      </c>
      <c r="B667" s="91" t="n"/>
      <c r="C667" s="91" t="n"/>
      <c r="D667" s="94" t="str">
        <f>IF(OR(R667=0,V667=0),"",INDEX('CAD_RESÍDUOS'!$E$6:$E$205,MATCH(C667,'CAD_RESÍDUOS'!$B$6:$B$205,0))&amp;"")</f>
        <v/>
      </c>
      <c r="E667" s="94" t="str">
        <f>IF(OR(R667=0,V667=0),"",INDEX('CAD_RESÍDUOS'!$C$6:$C$205,MATCH(C667,'CAD_RESÍDUOS'!$B$6:$B$205,0))&amp;"")</f>
        <v/>
      </c>
      <c r="F667" s="94" t="str">
        <f>IF(OR(R667=0,V667=0),"",INDEX('CAD_RESÍDUOS'!$G$6:$G$205,MATCH(C667,'CAD_RESÍDUOS'!$B$6:$B$205,0))&amp;"")</f>
        <v/>
      </c>
      <c r="G667" s="98" t="n"/>
      <c r="H667" s="91" t="n"/>
      <c r="I667" s="93" t="str">
        <f>IF(R667=0,"",IF(NOT(ISNUMBER(G667)),"",IF(ISNUMBER(X667),G667*X667,"UNIDADE A CONFERIR")))</f>
        <v/>
      </c>
      <c r="J667" s="91" t="n"/>
      <c r="K667" s="91" t="n"/>
      <c r="L667" s="93" t="str">
        <f>IF(R667=0,"",SUMIFS('RECEBIMENTOS'!$H$6:$H$1005,'RECEBIMENTOS'!$R$6:$R$1005,A667,'RECEBIMENTOS'!$X$6:$X$1005,1))</f>
        <v/>
      </c>
      <c r="M667" s="93" t="str">
        <f>IF(R667=0,"",SUMIFS('VÍNCULOS_CDF'!$H$6:$H$1005,'VÍNCULOS_CDF'!$R$6:$R$1005,A667,'VÍNCULOS_CDF'!$V$6:$V$1005,1))</f>
        <v/>
      </c>
      <c r="N667" s="99" t="str">
        <f>IF(OR(R667=0,AA667=0,NOT(ISNUMBER(I667))),"",I667-N(L667))</f>
        <v/>
      </c>
      <c r="O667" s="100" t="str">
        <f>IF(OR(R667=0,AK667&lt;=0),"",N(M667)/AK667)</f>
        <v/>
      </c>
      <c r="P667" s="94" t="str">
        <f>IF(R667=0,"",IF(S667="","Sem MTR associado",IF(U667=0,"MTR inexistente",IF(C667="","Resíduo não identificado",IF(V667=0,"Resíduo fora do cadastro",IF(W667=0,"Quantidade inválida",IF(H667="","Unidade não informada",IF(NOT(ISNUMBER(I667)),"Unidade a conferir",IF(AND(AH667=1,K667&lt;&gt;"Sim"),"Possível duplicidade",IF(Z667=1,"MTR cancelado",IF(AC667&gt;0,"Recebimento com alerta",IF(AA667=0,"Aguardando recebimento",IF(AB667&lt;AA667,"Recebimento a conferir",IF(AM667=1,"Quantidade a revisar",IF(AF667&gt;0,"Vínculo a revisar",IF(AD667=0,"Aguardando CDF",IF(AN667=0,"Vínculo de CDF parcial",IF(AE667&lt;AD667,"CDF a conferir","Documentação conferida"))))))))))))))))))</f>
        <v/>
      </c>
      <c r="Q667" s="93" t="str">
        <f>IF(OR(R667=0,AA667=0),"",MAX(0,N(L667)-N(M667)))</f>
        <v/>
      </c>
      <c r="R667" s="96">
        <f>IF(COUNTA(B667:C667,G667:H667,J667:K667)&gt;0,1,0)</f>
        <v>0</v>
      </c>
      <c r="S667" s="96" t="str">
        <f>IF(B667="","",TRIM(LEFT(B667,FIND(" |",B667&amp;" |")-1)))</f>
        <v/>
      </c>
      <c r="T667" s="96" t="str">
        <f>IF(S667="","",IFERROR(MATCH(S667,'MTRs'!$A$6:$A$505,0),""))</f>
        <v/>
      </c>
      <c r="U667" s="96">
        <f>IF(T667="",0,IF(INDEX('MTRs'!$Z$6:$Z$505,T667)=1,1,0))</f>
        <v>0</v>
      </c>
      <c r="V667" s="96">
        <f>IF(C667="",0,IF(ISNUMBER(MATCH(C667,'CAD_RESÍDUOS'!$B$6:$B$205,0)),1,0))</f>
        <v>0</v>
      </c>
      <c r="W667" s="96">
        <f>IF(AND(ISNUMBER(G667),G667&gt;0),1,0)</f>
        <v>0</v>
      </c>
      <c r="X667" s="96" t="str">
        <f>IF(H667="","",IFERROR(IF(ISNUMBER(INDEX(cfg_fac,MATCH(H667,cfg_units,0))),IF(INDEX(cfg_fac,MATCH(H667,cfg_units,0))&gt;0,INDEX(cfg_fac,MATCH(H667,cfg_units,0)),""),""),""))</f>
        <v/>
      </c>
      <c r="Y667" s="96">
        <f>IF(AND(W667=1,ISNUMBER(I667)),1,0)</f>
        <v>0</v>
      </c>
      <c r="Z667" s="96">
        <f>IF(U667=1,INDEX('MTRs'!$AA$6:$AA$505,T667),0)</f>
        <v>0</v>
      </c>
      <c r="AA667" s="96">
        <f>IF(R667=0,0,COUNTIFS('RECEBIMENTOS'!$R$6:$R$1005,A667,'RECEBIMENTOS'!$Q$6:$Q$1005,1))</f>
        <v>0</v>
      </c>
      <c r="AB667" s="96">
        <f>IF(R667=0,0,COUNTIFS('RECEBIMENTOS'!$R$6:$R$1005,A667,'RECEBIMENTOS'!$Z$6:$Z$1005,1))</f>
        <v>0</v>
      </c>
      <c r="AC667" s="96">
        <f>IF(R667=0,0,COUNTIFS('RECEBIMENTOS'!$R$6:$R$1005,A667,'RECEBIMENTOS'!$Y$6:$Y$1005,1))</f>
        <v>0</v>
      </c>
      <c r="AD667" s="96">
        <f>IF(R667=0,0,COUNTIFS('VÍNCULOS_CDF'!$R$6:$R$1005,A667,'VÍNCULOS_CDF'!$N$6:$N$1005,1))</f>
        <v>0</v>
      </c>
      <c r="AE667" s="96">
        <f>IF(R667=0,0,COUNTIFS('VÍNCULOS_CDF'!$R$6:$R$1005,A667,'VÍNCULOS_CDF'!$AA$6:$AA$1005,1))</f>
        <v>0</v>
      </c>
      <c r="AF667" s="96">
        <f>IF(R667=0,0,COUNTIFS('VÍNCULOS_CDF'!$R$6:$R$1005,A667,'VÍNCULOS_CDF'!$Y$6:$Y$1005,1))</f>
        <v>0</v>
      </c>
      <c r="AG667" s="96" t="str">
        <f>IF(AND(R667=1,S667&lt;&gt;"",C667&lt;&gt;""),S667&amp;"|"&amp;C667&amp;"|"&amp;G667&amp;"|"&amp;H667,"")</f>
        <v/>
      </c>
      <c r="AH667" s="96">
        <f>IF(AG667="",0,IF(SUMPRODUCT(--($AG$6:$AG$1005=AG667))&gt;1,1,0))</f>
        <v>0</v>
      </c>
      <c r="AI667" s="96">
        <f>IF(R667=0,0,IF(OR(U667=0,V667=0,Y667=0,AND(AH667=1,K667&lt;&gt;"Sim")),1,0))</f>
        <v>0</v>
      </c>
      <c r="AJ667" s="96">
        <f>IF(AND(R667=1,AA667&gt;0,AB667=AA667),1,0)</f>
        <v>0</v>
      </c>
      <c r="AK667" s="96">
        <f>IF(R667=0,0,IF(AA667&gt;0,N(L667),IF(ISNUMBER(I667),I667,0)))</f>
        <v>0</v>
      </c>
      <c r="AL667" s="96">
        <f>IF(R667=0,0,IF(AND(K667&lt;&gt;"Sim",N(M667)&gt;AK667+cfg_tol),1,0))</f>
        <v>0</v>
      </c>
      <c r="AM667" s="96">
        <f>IF(R667=0,0,IF(K667="Sim",0,IF(OR(AND(AA667&gt;0,ISNUMBER(I667),ABS(I667-N(L667))&gt;cfg_tol),AL667=1),1,0)))</f>
        <v>0</v>
      </c>
      <c r="AN667" s="96">
        <f>IF(AND(R667=1,N(M667)&gt;0,OR(N(M667)&gt;=AK667-cfg_tol,K667="Sim")),1,0)</f>
        <v>0</v>
      </c>
      <c r="AO667" s="96">
        <f>IF(AND(AN667=1,AD667&gt;0,AE667=AD667,AL667=0),1,0)</f>
        <v>0</v>
      </c>
      <c r="AP667" s="96">
        <f>IF(U667=0,0,IF(AND(INDEX('MTRs'!$AX$6:$AX$505,T667)=1,Z667=0,OR(f_res="",f_res="(Todos)",C667=f_res)),1,0))</f>
        <v>0</v>
      </c>
      <c r="AQ667" s="97" t="str">
        <f>IF(U667=0,"",INDEX('MTRs'!$AZ$6:$AZ$505,T667))</f>
        <v/>
      </c>
      <c r="AR667" s="96">
        <f>IF(U667=0,0,IF(AND(INDEX('MTRs'!$BA$6:$BA$505,T667)=1,Z667=0),1,0))</f>
        <v>0</v>
      </c>
      <c r="AS667" s="96" t="str">
        <f>IF(R667=1,A667&amp;" | MTR "&amp;IF(U667=1,INDEX('MTRs'!$B$6:$B$505,T667)&amp;"","?")&amp;" | "&amp;IF(C667="","(sem resíduo)",C667),"")</f>
        <v/>
      </c>
      <c r="AT667" s="96" t="str">
        <f>IF(R667=1,COUNTIF($R$6:R667,1),"")</f>
        <v/>
      </c>
      <c r="AU667" s="96" t="str">
        <f>IF(U667=1,INDEX('MTRs'!$I$6:$I$505,T667)&amp;"","")</f>
        <v/>
      </c>
    </row>
    <row r="668">
      <c r="A668" s="89" t="inlineStr">
        <is>
          <t>IT-000663</t>
        </is>
      </c>
      <c r="B668" s="91" t="n"/>
      <c r="C668" s="91" t="n"/>
      <c r="D668" s="94" t="str">
        <f>IF(OR(R668=0,V668=0),"",INDEX('CAD_RESÍDUOS'!$E$6:$E$205,MATCH(C668,'CAD_RESÍDUOS'!$B$6:$B$205,0))&amp;"")</f>
        <v/>
      </c>
      <c r="E668" s="94" t="str">
        <f>IF(OR(R668=0,V668=0),"",INDEX('CAD_RESÍDUOS'!$C$6:$C$205,MATCH(C668,'CAD_RESÍDUOS'!$B$6:$B$205,0))&amp;"")</f>
        <v/>
      </c>
      <c r="F668" s="94" t="str">
        <f>IF(OR(R668=0,V668=0),"",INDEX('CAD_RESÍDUOS'!$G$6:$G$205,MATCH(C668,'CAD_RESÍDUOS'!$B$6:$B$205,0))&amp;"")</f>
        <v/>
      </c>
      <c r="G668" s="98" t="n"/>
      <c r="H668" s="91" t="n"/>
      <c r="I668" s="93" t="str">
        <f>IF(R668=0,"",IF(NOT(ISNUMBER(G668)),"",IF(ISNUMBER(X668),G668*X668,"UNIDADE A CONFERIR")))</f>
        <v/>
      </c>
      <c r="J668" s="91" t="n"/>
      <c r="K668" s="91" t="n"/>
      <c r="L668" s="93" t="str">
        <f>IF(R668=0,"",SUMIFS('RECEBIMENTOS'!$H$6:$H$1005,'RECEBIMENTOS'!$R$6:$R$1005,A668,'RECEBIMENTOS'!$X$6:$X$1005,1))</f>
        <v/>
      </c>
      <c r="M668" s="93" t="str">
        <f>IF(R668=0,"",SUMIFS('VÍNCULOS_CDF'!$H$6:$H$1005,'VÍNCULOS_CDF'!$R$6:$R$1005,A668,'VÍNCULOS_CDF'!$V$6:$V$1005,1))</f>
        <v/>
      </c>
      <c r="N668" s="99" t="str">
        <f>IF(OR(R668=0,AA668=0,NOT(ISNUMBER(I668))),"",I668-N(L668))</f>
        <v/>
      </c>
      <c r="O668" s="100" t="str">
        <f>IF(OR(R668=0,AK668&lt;=0),"",N(M668)/AK668)</f>
        <v/>
      </c>
      <c r="P668" s="94" t="str">
        <f>IF(R668=0,"",IF(S668="","Sem MTR associado",IF(U668=0,"MTR inexistente",IF(C668="","Resíduo não identificado",IF(V668=0,"Resíduo fora do cadastro",IF(W668=0,"Quantidade inválida",IF(H668="","Unidade não informada",IF(NOT(ISNUMBER(I668)),"Unidade a conferir",IF(AND(AH668=1,K668&lt;&gt;"Sim"),"Possível duplicidade",IF(Z668=1,"MTR cancelado",IF(AC668&gt;0,"Recebimento com alerta",IF(AA668=0,"Aguardando recebimento",IF(AB668&lt;AA668,"Recebimento a conferir",IF(AM668=1,"Quantidade a revisar",IF(AF668&gt;0,"Vínculo a revisar",IF(AD668=0,"Aguardando CDF",IF(AN668=0,"Vínculo de CDF parcial",IF(AE668&lt;AD668,"CDF a conferir","Documentação conferida"))))))))))))))))))</f>
        <v/>
      </c>
      <c r="Q668" s="93" t="str">
        <f>IF(OR(R668=0,AA668=0),"",MAX(0,N(L668)-N(M668)))</f>
        <v/>
      </c>
      <c r="R668" s="96">
        <f>IF(COUNTA(B668:C668,G668:H668,J668:K668)&gt;0,1,0)</f>
        <v>0</v>
      </c>
      <c r="S668" s="96" t="str">
        <f>IF(B668="","",TRIM(LEFT(B668,FIND(" |",B668&amp;" |")-1)))</f>
        <v/>
      </c>
      <c r="T668" s="96" t="str">
        <f>IF(S668="","",IFERROR(MATCH(S668,'MTRs'!$A$6:$A$505,0),""))</f>
        <v/>
      </c>
      <c r="U668" s="96">
        <f>IF(T668="",0,IF(INDEX('MTRs'!$Z$6:$Z$505,T668)=1,1,0))</f>
        <v>0</v>
      </c>
      <c r="V668" s="96">
        <f>IF(C668="",0,IF(ISNUMBER(MATCH(C668,'CAD_RESÍDUOS'!$B$6:$B$205,0)),1,0))</f>
        <v>0</v>
      </c>
      <c r="W668" s="96">
        <f>IF(AND(ISNUMBER(G668),G668&gt;0),1,0)</f>
        <v>0</v>
      </c>
      <c r="X668" s="96" t="str">
        <f>IF(H668="","",IFERROR(IF(ISNUMBER(INDEX(cfg_fac,MATCH(H668,cfg_units,0))),IF(INDEX(cfg_fac,MATCH(H668,cfg_units,0))&gt;0,INDEX(cfg_fac,MATCH(H668,cfg_units,0)),""),""),""))</f>
        <v/>
      </c>
      <c r="Y668" s="96">
        <f>IF(AND(W668=1,ISNUMBER(I668)),1,0)</f>
        <v>0</v>
      </c>
      <c r="Z668" s="96">
        <f>IF(U668=1,INDEX('MTRs'!$AA$6:$AA$505,T668),0)</f>
        <v>0</v>
      </c>
      <c r="AA668" s="96">
        <f>IF(R668=0,0,COUNTIFS('RECEBIMENTOS'!$R$6:$R$1005,A668,'RECEBIMENTOS'!$Q$6:$Q$1005,1))</f>
        <v>0</v>
      </c>
      <c r="AB668" s="96">
        <f>IF(R668=0,0,COUNTIFS('RECEBIMENTOS'!$R$6:$R$1005,A668,'RECEBIMENTOS'!$Z$6:$Z$1005,1))</f>
        <v>0</v>
      </c>
      <c r="AC668" s="96">
        <f>IF(R668=0,0,COUNTIFS('RECEBIMENTOS'!$R$6:$R$1005,A668,'RECEBIMENTOS'!$Y$6:$Y$1005,1))</f>
        <v>0</v>
      </c>
      <c r="AD668" s="96">
        <f>IF(R668=0,0,COUNTIFS('VÍNCULOS_CDF'!$R$6:$R$1005,A668,'VÍNCULOS_CDF'!$N$6:$N$1005,1))</f>
        <v>0</v>
      </c>
      <c r="AE668" s="96">
        <f>IF(R668=0,0,COUNTIFS('VÍNCULOS_CDF'!$R$6:$R$1005,A668,'VÍNCULOS_CDF'!$AA$6:$AA$1005,1))</f>
        <v>0</v>
      </c>
      <c r="AF668" s="96">
        <f>IF(R668=0,0,COUNTIFS('VÍNCULOS_CDF'!$R$6:$R$1005,A668,'VÍNCULOS_CDF'!$Y$6:$Y$1005,1))</f>
        <v>0</v>
      </c>
      <c r="AG668" s="96" t="str">
        <f>IF(AND(R668=1,S668&lt;&gt;"",C668&lt;&gt;""),S668&amp;"|"&amp;C668&amp;"|"&amp;G668&amp;"|"&amp;H668,"")</f>
        <v/>
      </c>
      <c r="AH668" s="96">
        <f>IF(AG668="",0,IF(SUMPRODUCT(--($AG$6:$AG$1005=AG668))&gt;1,1,0))</f>
        <v>0</v>
      </c>
      <c r="AI668" s="96">
        <f>IF(R668=0,0,IF(OR(U668=0,V668=0,Y668=0,AND(AH668=1,K668&lt;&gt;"Sim")),1,0))</f>
        <v>0</v>
      </c>
      <c r="AJ668" s="96">
        <f>IF(AND(R668=1,AA668&gt;0,AB668=AA668),1,0)</f>
        <v>0</v>
      </c>
      <c r="AK668" s="96">
        <f>IF(R668=0,0,IF(AA668&gt;0,N(L668),IF(ISNUMBER(I668),I668,0)))</f>
        <v>0</v>
      </c>
      <c r="AL668" s="96">
        <f>IF(R668=0,0,IF(AND(K668&lt;&gt;"Sim",N(M668)&gt;AK668+cfg_tol),1,0))</f>
        <v>0</v>
      </c>
      <c r="AM668" s="96">
        <f>IF(R668=0,0,IF(K668="Sim",0,IF(OR(AND(AA668&gt;0,ISNUMBER(I668),ABS(I668-N(L668))&gt;cfg_tol),AL668=1),1,0)))</f>
        <v>0</v>
      </c>
      <c r="AN668" s="96">
        <f>IF(AND(R668=1,N(M668)&gt;0,OR(N(M668)&gt;=AK668-cfg_tol,K668="Sim")),1,0)</f>
        <v>0</v>
      </c>
      <c r="AO668" s="96">
        <f>IF(AND(AN668=1,AD668&gt;0,AE668=AD668,AL668=0),1,0)</f>
        <v>0</v>
      </c>
      <c r="AP668" s="96">
        <f>IF(U668=0,0,IF(AND(INDEX('MTRs'!$AX$6:$AX$505,T668)=1,Z668=0,OR(f_res="",f_res="(Todos)",C668=f_res)),1,0))</f>
        <v>0</v>
      </c>
      <c r="AQ668" s="97" t="str">
        <f>IF(U668=0,"",INDEX('MTRs'!$AZ$6:$AZ$505,T668))</f>
        <v/>
      </c>
      <c r="AR668" s="96">
        <f>IF(U668=0,0,IF(AND(INDEX('MTRs'!$BA$6:$BA$505,T668)=1,Z668=0),1,0))</f>
        <v>0</v>
      </c>
      <c r="AS668" s="96" t="str">
        <f>IF(R668=1,A668&amp;" | MTR "&amp;IF(U668=1,INDEX('MTRs'!$B$6:$B$505,T668)&amp;"","?")&amp;" | "&amp;IF(C668="","(sem resíduo)",C668),"")</f>
        <v/>
      </c>
      <c r="AT668" s="96" t="str">
        <f>IF(R668=1,COUNTIF($R$6:R668,1),"")</f>
        <v/>
      </c>
      <c r="AU668" s="96" t="str">
        <f>IF(U668=1,INDEX('MTRs'!$I$6:$I$505,T668)&amp;"","")</f>
        <v/>
      </c>
    </row>
    <row r="669">
      <c r="A669" s="89" t="inlineStr">
        <is>
          <t>IT-000664</t>
        </is>
      </c>
      <c r="B669" s="91" t="n"/>
      <c r="C669" s="91" t="n"/>
      <c r="D669" s="94" t="str">
        <f>IF(OR(R669=0,V669=0),"",INDEX('CAD_RESÍDUOS'!$E$6:$E$205,MATCH(C669,'CAD_RESÍDUOS'!$B$6:$B$205,0))&amp;"")</f>
        <v/>
      </c>
      <c r="E669" s="94" t="str">
        <f>IF(OR(R669=0,V669=0),"",INDEX('CAD_RESÍDUOS'!$C$6:$C$205,MATCH(C669,'CAD_RESÍDUOS'!$B$6:$B$205,0))&amp;"")</f>
        <v/>
      </c>
      <c r="F669" s="94" t="str">
        <f>IF(OR(R669=0,V669=0),"",INDEX('CAD_RESÍDUOS'!$G$6:$G$205,MATCH(C669,'CAD_RESÍDUOS'!$B$6:$B$205,0))&amp;"")</f>
        <v/>
      </c>
      <c r="G669" s="98" t="n"/>
      <c r="H669" s="91" t="n"/>
      <c r="I669" s="93" t="str">
        <f>IF(R669=0,"",IF(NOT(ISNUMBER(G669)),"",IF(ISNUMBER(X669),G669*X669,"UNIDADE A CONFERIR")))</f>
        <v/>
      </c>
      <c r="J669" s="91" t="n"/>
      <c r="K669" s="91" t="n"/>
      <c r="L669" s="93" t="str">
        <f>IF(R669=0,"",SUMIFS('RECEBIMENTOS'!$H$6:$H$1005,'RECEBIMENTOS'!$R$6:$R$1005,A669,'RECEBIMENTOS'!$X$6:$X$1005,1))</f>
        <v/>
      </c>
      <c r="M669" s="93" t="str">
        <f>IF(R669=0,"",SUMIFS('VÍNCULOS_CDF'!$H$6:$H$1005,'VÍNCULOS_CDF'!$R$6:$R$1005,A669,'VÍNCULOS_CDF'!$V$6:$V$1005,1))</f>
        <v/>
      </c>
      <c r="N669" s="99" t="str">
        <f>IF(OR(R669=0,AA669=0,NOT(ISNUMBER(I669))),"",I669-N(L669))</f>
        <v/>
      </c>
      <c r="O669" s="100" t="str">
        <f>IF(OR(R669=0,AK669&lt;=0),"",N(M669)/AK669)</f>
        <v/>
      </c>
      <c r="P669" s="94" t="str">
        <f>IF(R669=0,"",IF(S669="","Sem MTR associado",IF(U669=0,"MTR inexistente",IF(C669="","Resíduo não identificado",IF(V669=0,"Resíduo fora do cadastro",IF(W669=0,"Quantidade inválida",IF(H669="","Unidade não informada",IF(NOT(ISNUMBER(I669)),"Unidade a conferir",IF(AND(AH669=1,K669&lt;&gt;"Sim"),"Possível duplicidade",IF(Z669=1,"MTR cancelado",IF(AC669&gt;0,"Recebimento com alerta",IF(AA669=0,"Aguardando recebimento",IF(AB669&lt;AA669,"Recebimento a conferir",IF(AM669=1,"Quantidade a revisar",IF(AF669&gt;0,"Vínculo a revisar",IF(AD669=0,"Aguardando CDF",IF(AN669=0,"Vínculo de CDF parcial",IF(AE669&lt;AD669,"CDF a conferir","Documentação conferida"))))))))))))))))))</f>
        <v/>
      </c>
      <c r="Q669" s="93" t="str">
        <f>IF(OR(R669=0,AA669=0),"",MAX(0,N(L669)-N(M669)))</f>
        <v/>
      </c>
      <c r="R669" s="96">
        <f>IF(COUNTA(B669:C669,G669:H669,J669:K669)&gt;0,1,0)</f>
        <v>0</v>
      </c>
      <c r="S669" s="96" t="str">
        <f>IF(B669="","",TRIM(LEFT(B669,FIND(" |",B669&amp;" |")-1)))</f>
        <v/>
      </c>
      <c r="T669" s="96" t="str">
        <f>IF(S669="","",IFERROR(MATCH(S669,'MTRs'!$A$6:$A$505,0),""))</f>
        <v/>
      </c>
      <c r="U669" s="96">
        <f>IF(T669="",0,IF(INDEX('MTRs'!$Z$6:$Z$505,T669)=1,1,0))</f>
        <v>0</v>
      </c>
      <c r="V669" s="96">
        <f>IF(C669="",0,IF(ISNUMBER(MATCH(C669,'CAD_RESÍDUOS'!$B$6:$B$205,0)),1,0))</f>
        <v>0</v>
      </c>
      <c r="W669" s="96">
        <f>IF(AND(ISNUMBER(G669),G669&gt;0),1,0)</f>
        <v>0</v>
      </c>
      <c r="X669" s="96" t="str">
        <f>IF(H669="","",IFERROR(IF(ISNUMBER(INDEX(cfg_fac,MATCH(H669,cfg_units,0))),IF(INDEX(cfg_fac,MATCH(H669,cfg_units,0))&gt;0,INDEX(cfg_fac,MATCH(H669,cfg_units,0)),""),""),""))</f>
        <v/>
      </c>
      <c r="Y669" s="96">
        <f>IF(AND(W669=1,ISNUMBER(I669)),1,0)</f>
        <v>0</v>
      </c>
      <c r="Z669" s="96">
        <f>IF(U669=1,INDEX('MTRs'!$AA$6:$AA$505,T669),0)</f>
        <v>0</v>
      </c>
      <c r="AA669" s="96">
        <f>IF(R669=0,0,COUNTIFS('RECEBIMENTOS'!$R$6:$R$1005,A669,'RECEBIMENTOS'!$Q$6:$Q$1005,1))</f>
        <v>0</v>
      </c>
      <c r="AB669" s="96">
        <f>IF(R669=0,0,COUNTIFS('RECEBIMENTOS'!$R$6:$R$1005,A669,'RECEBIMENTOS'!$Z$6:$Z$1005,1))</f>
        <v>0</v>
      </c>
      <c r="AC669" s="96">
        <f>IF(R669=0,0,COUNTIFS('RECEBIMENTOS'!$R$6:$R$1005,A669,'RECEBIMENTOS'!$Y$6:$Y$1005,1))</f>
        <v>0</v>
      </c>
      <c r="AD669" s="96">
        <f>IF(R669=0,0,COUNTIFS('VÍNCULOS_CDF'!$R$6:$R$1005,A669,'VÍNCULOS_CDF'!$N$6:$N$1005,1))</f>
        <v>0</v>
      </c>
      <c r="AE669" s="96">
        <f>IF(R669=0,0,COUNTIFS('VÍNCULOS_CDF'!$R$6:$R$1005,A669,'VÍNCULOS_CDF'!$AA$6:$AA$1005,1))</f>
        <v>0</v>
      </c>
      <c r="AF669" s="96">
        <f>IF(R669=0,0,COUNTIFS('VÍNCULOS_CDF'!$R$6:$R$1005,A669,'VÍNCULOS_CDF'!$Y$6:$Y$1005,1))</f>
        <v>0</v>
      </c>
      <c r="AG669" s="96" t="str">
        <f>IF(AND(R669=1,S669&lt;&gt;"",C669&lt;&gt;""),S669&amp;"|"&amp;C669&amp;"|"&amp;G669&amp;"|"&amp;H669,"")</f>
        <v/>
      </c>
      <c r="AH669" s="96">
        <f>IF(AG669="",0,IF(SUMPRODUCT(--($AG$6:$AG$1005=AG669))&gt;1,1,0))</f>
        <v>0</v>
      </c>
      <c r="AI669" s="96">
        <f>IF(R669=0,0,IF(OR(U669=0,V669=0,Y669=0,AND(AH669=1,K669&lt;&gt;"Sim")),1,0))</f>
        <v>0</v>
      </c>
      <c r="AJ669" s="96">
        <f>IF(AND(R669=1,AA669&gt;0,AB669=AA669),1,0)</f>
        <v>0</v>
      </c>
      <c r="AK669" s="96">
        <f>IF(R669=0,0,IF(AA669&gt;0,N(L669),IF(ISNUMBER(I669),I669,0)))</f>
        <v>0</v>
      </c>
      <c r="AL669" s="96">
        <f>IF(R669=0,0,IF(AND(K669&lt;&gt;"Sim",N(M669)&gt;AK669+cfg_tol),1,0))</f>
        <v>0</v>
      </c>
      <c r="AM669" s="96">
        <f>IF(R669=0,0,IF(K669="Sim",0,IF(OR(AND(AA669&gt;0,ISNUMBER(I669),ABS(I669-N(L669))&gt;cfg_tol),AL669=1),1,0)))</f>
        <v>0</v>
      </c>
      <c r="AN669" s="96">
        <f>IF(AND(R669=1,N(M669)&gt;0,OR(N(M669)&gt;=AK669-cfg_tol,K669="Sim")),1,0)</f>
        <v>0</v>
      </c>
      <c r="AO669" s="96">
        <f>IF(AND(AN669=1,AD669&gt;0,AE669=AD669,AL669=0),1,0)</f>
        <v>0</v>
      </c>
      <c r="AP669" s="96">
        <f>IF(U669=0,0,IF(AND(INDEX('MTRs'!$AX$6:$AX$505,T669)=1,Z669=0,OR(f_res="",f_res="(Todos)",C669=f_res)),1,0))</f>
        <v>0</v>
      </c>
      <c r="AQ669" s="97" t="str">
        <f>IF(U669=0,"",INDEX('MTRs'!$AZ$6:$AZ$505,T669))</f>
        <v/>
      </c>
      <c r="AR669" s="96">
        <f>IF(U669=0,0,IF(AND(INDEX('MTRs'!$BA$6:$BA$505,T669)=1,Z669=0),1,0))</f>
        <v>0</v>
      </c>
      <c r="AS669" s="96" t="str">
        <f>IF(R669=1,A669&amp;" | MTR "&amp;IF(U669=1,INDEX('MTRs'!$B$6:$B$505,T669)&amp;"","?")&amp;" | "&amp;IF(C669="","(sem resíduo)",C669),"")</f>
        <v/>
      </c>
      <c r="AT669" s="96" t="str">
        <f>IF(R669=1,COUNTIF($R$6:R669,1),"")</f>
        <v/>
      </c>
      <c r="AU669" s="96" t="str">
        <f>IF(U669=1,INDEX('MTRs'!$I$6:$I$505,T669)&amp;"","")</f>
        <v/>
      </c>
    </row>
    <row r="670">
      <c r="A670" s="89" t="inlineStr">
        <is>
          <t>IT-000665</t>
        </is>
      </c>
      <c r="B670" s="91" t="n"/>
      <c r="C670" s="91" t="n"/>
      <c r="D670" s="94" t="str">
        <f>IF(OR(R670=0,V670=0),"",INDEX('CAD_RESÍDUOS'!$E$6:$E$205,MATCH(C670,'CAD_RESÍDUOS'!$B$6:$B$205,0))&amp;"")</f>
        <v/>
      </c>
      <c r="E670" s="94" t="str">
        <f>IF(OR(R670=0,V670=0),"",INDEX('CAD_RESÍDUOS'!$C$6:$C$205,MATCH(C670,'CAD_RESÍDUOS'!$B$6:$B$205,0))&amp;"")</f>
        <v/>
      </c>
      <c r="F670" s="94" t="str">
        <f>IF(OR(R670=0,V670=0),"",INDEX('CAD_RESÍDUOS'!$G$6:$G$205,MATCH(C670,'CAD_RESÍDUOS'!$B$6:$B$205,0))&amp;"")</f>
        <v/>
      </c>
      <c r="G670" s="98" t="n"/>
      <c r="H670" s="91" t="n"/>
      <c r="I670" s="93" t="str">
        <f>IF(R670=0,"",IF(NOT(ISNUMBER(G670)),"",IF(ISNUMBER(X670),G670*X670,"UNIDADE A CONFERIR")))</f>
        <v/>
      </c>
      <c r="J670" s="91" t="n"/>
      <c r="K670" s="91" t="n"/>
      <c r="L670" s="93" t="str">
        <f>IF(R670=0,"",SUMIFS('RECEBIMENTOS'!$H$6:$H$1005,'RECEBIMENTOS'!$R$6:$R$1005,A670,'RECEBIMENTOS'!$X$6:$X$1005,1))</f>
        <v/>
      </c>
      <c r="M670" s="93" t="str">
        <f>IF(R670=0,"",SUMIFS('VÍNCULOS_CDF'!$H$6:$H$1005,'VÍNCULOS_CDF'!$R$6:$R$1005,A670,'VÍNCULOS_CDF'!$V$6:$V$1005,1))</f>
        <v/>
      </c>
      <c r="N670" s="99" t="str">
        <f>IF(OR(R670=0,AA670=0,NOT(ISNUMBER(I670))),"",I670-N(L670))</f>
        <v/>
      </c>
      <c r="O670" s="100" t="str">
        <f>IF(OR(R670=0,AK670&lt;=0),"",N(M670)/AK670)</f>
        <v/>
      </c>
      <c r="P670" s="94" t="str">
        <f>IF(R670=0,"",IF(S670="","Sem MTR associado",IF(U670=0,"MTR inexistente",IF(C670="","Resíduo não identificado",IF(V670=0,"Resíduo fora do cadastro",IF(W670=0,"Quantidade inválida",IF(H670="","Unidade não informada",IF(NOT(ISNUMBER(I670)),"Unidade a conferir",IF(AND(AH670=1,K670&lt;&gt;"Sim"),"Possível duplicidade",IF(Z670=1,"MTR cancelado",IF(AC670&gt;0,"Recebimento com alerta",IF(AA670=0,"Aguardando recebimento",IF(AB670&lt;AA670,"Recebimento a conferir",IF(AM670=1,"Quantidade a revisar",IF(AF670&gt;0,"Vínculo a revisar",IF(AD670=0,"Aguardando CDF",IF(AN670=0,"Vínculo de CDF parcial",IF(AE670&lt;AD670,"CDF a conferir","Documentação conferida"))))))))))))))))))</f>
        <v/>
      </c>
      <c r="Q670" s="93" t="str">
        <f>IF(OR(R670=0,AA670=0),"",MAX(0,N(L670)-N(M670)))</f>
        <v/>
      </c>
      <c r="R670" s="96">
        <f>IF(COUNTA(B670:C670,G670:H670,J670:K670)&gt;0,1,0)</f>
        <v>0</v>
      </c>
      <c r="S670" s="96" t="str">
        <f>IF(B670="","",TRIM(LEFT(B670,FIND(" |",B670&amp;" |")-1)))</f>
        <v/>
      </c>
      <c r="T670" s="96" t="str">
        <f>IF(S670="","",IFERROR(MATCH(S670,'MTRs'!$A$6:$A$505,0),""))</f>
        <v/>
      </c>
      <c r="U670" s="96">
        <f>IF(T670="",0,IF(INDEX('MTRs'!$Z$6:$Z$505,T670)=1,1,0))</f>
        <v>0</v>
      </c>
      <c r="V670" s="96">
        <f>IF(C670="",0,IF(ISNUMBER(MATCH(C670,'CAD_RESÍDUOS'!$B$6:$B$205,0)),1,0))</f>
        <v>0</v>
      </c>
      <c r="W670" s="96">
        <f>IF(AND(ISNUMBER(G670),G670&gt;0),1,0)</f>
        <v>0</v>
      </c>
      <c r="X670" s="96" t="str">
        <f>IF(H670="","",IFERROR(IF(ISNUMBER(INDEX(cfg_fac,MATCH(H670,cfg_units,0))),IF(INDEX(cfg_fac,MATCH(H670,cfg_units,0))&gt;0,INDEX(cfg_fac,MATCH(H670,cfg_units,0)),""),""),""))</f>
        <v/>
      </c>
      <c r="Y670" s="96">
        <f>IF(AND(W670=1,ISNUMBER(I670)),1,0)</f>
        <v>0</v>
      </c>
      <c r="Z670" s="96">
        <f>IF(U670=1,INDEX('MTRs'!$AA$6:$AA$505,T670),0)</f>
        <v>0</v>
      </c>
      <c r="AA670" s="96">
        <f>IF(R670=0,0,COUNTIFS('RECEBIMENTOS'!$R$6:$R$1005,A670,'RECEBIMENTOS'!$Q$6:$Q$1005,1))</f>
        <v>0</v>
      </c>
      <c r="AB670" s="96">
        <f>IF(R670=0,0,COUNTIFS('RECEBIMENTOS'!$R$6:$R$1005,A670,'RECEBIMENTOS'!$Z$6:$Z$1005,1))</f>
        <v>0</v>
      </c>
      <c r="AC670" s="96">
        <f>IF(R670=0,0,COUNTIFS('RECEBIMENTOS'!$R$6:$R$1005,A670,'RECEBIMENTOS'!$Y$6:$Y$1005,1))</f>
        <v>0</v>
      </c>
      <c r="AD670" s="96">
        <f>IF(R670=0,0,COUNTIFS('VÍNCULOS_CDF'!$R$6:$R$1005,A670,'VÍNCULOS_CDF'!$N$6:$N$1005,1))</f>
        <v>0</v>
      </c>
      <c r="AE670" s="96">
        <f>IF(R670=0,0,COUNTIFS('VÍNCULOS_CDF'!$R$6:$R$1005,A670,'VÍNCULOS_CDF'!$AA$6:$AA$1005,1))</f>
        <v>0</v>
      </c>
      <c r="AF670" s="96">
        <f>IF(R670=0,0,COUNTIFS('VÍNCULOS_CDF'!$R$6:$R$1005,A670,'VÍNCULOS_CDF'!$Y$6:$Y$1005,1))</f>
        <v>0</v>
      </c>
      <c r="AG670" s="96" t="str">
        <f>IF(AND(R670=1,S670&lt;&gt;"",C670&lt;&gt;""),S670&amp;"|"&amp;C670&amp;"|"&amp;G670&amp;"|"&amp;H670,"")</f>
        <v/>
      </c>
      <c r="AH670" s="96">
        <f>IF(AG670="",0,IF(SUMPRODUCT(--($AG$6:$AG$1005=AG670))&gt;1,1,0))</f>
        <v>0</v>
      </c>
      <c r="AI670" s="96">
        <f>IF(R670=0,0,IF(OR(U670=0,V670=0,Y670=0,AND(AH670=1,K670&lt;&gt;"Sim")),1,0))</f>
        <v>0</v>
      </c>
      <c r="AJ670" s="96">
        <f>IF(AND(R670=1,AA670&gt;0,AB670=AA670),1,0)</f>
        <v>0</v>
      </c>
      <c r="AK670" s="96">
        <f>IF(R670=0,0,IF(AA670&gt;0,N(L670),IF(ISNUMBER(I670),I670,0)))</f>
        <v>0</v>
      </c>
      <c r="AL670" s="96">
        <f>IF(R670=0,0,IF(AND(K670&lt;&gt;"Sim",N(M670)&gt;AK670+cfg_tol),1,0))</f>
        <v>0</v>
      </c>
      <c r="AM670" s="96">
        <f>IF(R670=0,0,IF(K670="Sim",0,IF(OR(AND(AA670&gt;0,ISNUMBER(I670),ABS(I670-N(L670))&gt;cfg_tol),AL670=1),1,0)))</f>
        <v>0</v>
      </c>
      <c r="AN670" s="96">
        <f>IF(AND(R670=1,N(M670)&gt;0,OR(N(M670)&gt;=AK670-cfg_tol,K670="Sim")),1,0)</f>
        <v>0</v>
      </c>
      <c r="AO670" s="96">
        <f>IF(AND(AN670=1,AD670&gt;0,AE670=AD670,AL670=0),1,0)</f>
        <v>0</v>
      </c>
      <c r="AP670" s="96">
        <f>IF(U670=0,0,IF(AND(INDEX('MTRs'!$AX$6:$AX$505,T670)=1,Z670=0,OR(f_res="",f_res="(Todos)",C670=f_res)),1,0))</f>
        <v>0</v>
      </c>
      <c r="AQ670" s="97" t="str">
        <f>IF(U670=0,"",INDEX('MTRs'!$AZ$6:$AZ$505,T670))</f>
        <v/>
      </c>
      <c r="AR670" s="96">
        <f>IF(U670=0,0,IF(AND(INDEX('MTRs'!$BA$6:$BA$505,T670)=1,Z670=0),1,0))</f>
        <v>0</v>
      </c>
      <c r="AS670" s="96" t="str">
        <f>IF(R670=1,A670&amp;" | MTR "&amp;IF(U670=1,INDEX('MTRs'!$B$6:$B$505,T670)&amp;"","?")&amp;" | "&amp;IF(C670="","(sem resíduo)",C670),"")</f>
        <v/>
      </c>
      <c r="AT670" s="96" t="str">
        <f>IF(R670=1,COUNTIF($R$6:R670,1),"")</f>
        <v/>
      </c>
      <c r="AU670" s="96" t="str">
        <f>IF(U670=1,INDEX('MTRs'!$I$6:$I$505,T670)&amp;"","")</f>
        <v/>
      </c>
    </row>
    <row r="671">
      <c r="A671" s="89" t="inlineStr">
        <is>
          <t>IT-000666</t>
        </is>
      </c>
      <c r="B671" s="91" t="n"/>
      <c r="C671" s="91" t="n"/>
      <c r="D671" s="94" t="str">
        <f>IF(OR(R671=0,V671=0),"",INDEX('CAD_RESÍDUOS'!$E$6:$E$205,MATCH(C671,'CAD_RESÍDUOS'!$B$6:$B$205,0))&amp;"")</f>
        <v/>
      </c>
      <c r="E671" s="94" t="str">
        <f>IF(OR(R671=0,V671=0),"",INDEX('CAD_RESÍDUOS'!$C$6:$C$205,MATCH(C671,'CAD_RESÍDUOS'!$B$6:$B$205,0))&amp;"")</f>
        <v/>
      </c>
      <c r="F671" s="94" t="str">
        <f>IF(OR(R671=0,V671=0),"",INDEX('CAD_RESÍDUOS'!$G$6:$G$205,MATCH(C671,'CAD_RESÍDUOS'!$B$6:$B$205,0))&amp;"")</f>
        <v/>
      </c>
      <c r="G671" s="98" t="n"/>
      <c r="H671" s="91" t="n"/>
      <c r="I671" s="93" t="str">
        <f>IF(R671=0,"",IF(NOT(ISNUMBER(G671)),"",IF(ISNUMBER(X671),G671*X671,"UNIDADE A CONFERIR")))</f>
        <v/>
      </c>
      <c r="J671" s="91" t="n"/>
      <c r="K671" s="91" t="n"/>
      <c r="L671" s="93" t="str">
        <f>IF(R671=0,"",SUMIFS('RECEBIMENTOS'!$H$6:$H$1005,'RECEBIMENTOS'!$R$6:$R$1005,A671,'RECEBIMENTOS'!$X$6:$X$1005,1))</f>
        <v/>
      </c>
      <c r="M671" s="93" t="str">
        <f>IF(R671=0,"",SUMIFS('VÍNCULOS_CDF'!$H$6:$H$1005,'VÍNCULOS_CDF'!$R$6:$R$1005,A671,'VÍNCULOS_CDF'!$V$6:$V$1005,1))</f>
        <v/>
      </c>
      <c r="N671" s="99" t="str">
        <f>IF(OR(R671=0,AA671=0,NOT(ISNUMBER(I671))),"",I671-N(L671))</f>
        <v/>
      </c>
      <c r="O671" s="100" t="str">
        <f>IF(OR(R671=0,AK671&lt;=0),"",N(M671)/AK671)</f>
        <v/>
      </c>
      <c r="P671" s="94" t="str">
        <f>IF(R671=0,"",IF(S671="","Sem MTR associado",IF(U671=0,"MTR inexistente",IF(C671="","Resíduo não identificado",IF(V671=0,"Resíduo fora do cadastro",IF(W671=0,"Quantidade inválida",IF(H671="","Unidade não informada",IF(NOT(ISNUMBER(I671)),"Unidade a conferir",IF(AND(AH671=1,K671&lt;&gt;"Sim"),"Possível duplicidade",IF(Z671=1,"MTR cancelado",IF(AC671&gt;0,"Recebimento com alerta",IF(AA671=0,"Aguardando recebimento",IF(AB671&lt;AA671,"Recebimento a conferir",IF(AM671=1,"Quantidade a revisar",IF(AF671&gt;0,"Vínculo a revisar",IF(AD671=0,"Aguardando CDF",IF(AN671=0,"Vínculo de CDF parcial",IF(AE671&lt;AD671,"CDF a conferir","Documentação conferida"))))))))))))))))))</f>
        <v/>
      </c>
      <c r="Q671" s="93" t="str">
        <f>IF(OR(R671=0,AA671=0),"",MAX(0,N(L671)-N(M671)))</f>
        <v/>
      </c>
      <c r="R671" s="96">
        <f>IF(COUNTA(B671:C671,G671:H671,J671:K671)&gt;0,1,0)</f>
        <v>0</v>
      </c>
      <c r="S671" s="96" t="str">
        <f>IF(B671="","",TRIM(LEFT(B671,FIND(" |",B671&amp;" |")-1)))</f>
        <v/>
      </c>
      <c r="T671" s="96" t="str">
        <f>IF(S671="","",IFERROR(MATCH(S671,'MTRs'!$A$6:$A$505,0),""))</f>
        <v/>
      </c>
      <c r="U671" s="96">
        <f>IF(T671="",0,IF(INDEX('MTRs'!$Z$6:$Z$505,T671)=1,1,0))</f>
        <v>0</v>
      </c>
      <c r="V671" s="96">
        <f>IF(C671="",0,IF(ISNUMBER(MATCH(C671,'CAD_RESÍDUOS'!$B$6:$B$205,0)),1,0))</f>
        <v>0</v>
      </c>
      <c r="W671" s="96">
        <f>IF(AND(ISNUMBER(G671),G671&gt;0),1,0)</f>
        <v>0</v>
      </c>
      <c r="X671" s="96" t="str">
        <f>IF(H671="","",IFERROR(IF(ISNUMBER(INDEX(cfg_fac,MATCH(H671,cfg_units,0))),IF(INDEX(cfg_fac,MATCH(H671,cfg_units,0))&gt;0,INDEX(cfg_fac,MATCH(H671,cfg_units,0)),""),""),""))</f>
        <v/>
      </c>
      <c r="Y671" s="96">
        <f>IF(AND(W671=1,ISNUMBER(I671)),1,0)</f>
        <v>0</v>
      </c>
      <c r="Z671" s="96">
        <f>IF(U671=1,INDEX('MTRs'!$AA$6:$AA$505,T671),0)</f>
        <v>0</v>
      </c>
      <c r="AA671" s="96">
        <f>IF(R671=0,0,COUNTIFS('RECEBIMENTOS'!$R$6:$R$1005,A671,'RECEBIMENTOS'!$Q$6:$Q$1005,1))</f>
        <v>0</v>
      </c>
      <c r="AB671" s="96">
        <f>IF(R671=0,0,COUNTIFS('RECEBIMENTOS'!$R$6:$R$1005,A671,'RECEBIMENTOS'!$Z$6:$Z$1005,1))</f>
        <v>0</v>
      </c>
      <c r="AC671" s="96">
        <f>IF(R671=0,0,COUNTIFS('RECEBIMENTOS'!$R$6:$R$1005,A671,'RECEBIMENTOS'!$Y$6:$Y$1005,1))</f>
        <v>0</v>
      </c>
      <c r="AD671" s="96">
        <f>IF(R671=0,0,COUNTIFS('VÍNCULOS_CDF'!$R$6:$R$1005,A671,'VÍNCULOS_CDF'!$N$6:$N$1005,1))</f>
        <v>0</v>
      </c>
      <c r="AE671" s="96">
        <f>IF(R671=0,0,COUNTIFS('VÍNCULOS_CDF'!$R$6:$R$1005,A671,'VÍNCULOS_CDF'!$AA$6:$AA$1005,1))</f>
        <v>0</v>
      </c>
      <c r="AF671" s="96">
        <f>IF(R671=0,0,COUNTIFS('VÍNCULOS_CDF'!$R$6:$R$1005,A671,'VÍNCULOS_CDF'!$Y$6:$Y$1005,1))</f>
        <v>0</v>
      </c>
      <c r="AG671" s="96" t="str">
        <f>IF(AND(R671=1,S671&lt;&gt;"",C671&lt;&gt;""),S671&amp;"|"&amp;C671&amp;"|"&amp;G671&amp;"|"&amp;H671,"")</f>
        <v/>
      </c>
      <c r="AH671" s="96">
        <f>IF(AG671="",0,IF(SUMPRODUCT(--($AG$6:$AG$1005=AG671))&gt;1,1,0))</f>
        <v>0</v>
      </c>
      <c r="AI671" s="96">
        <f>IF(R671=0,0,IF(OR(U671=0,V671=0,Y671=0,AND(AH671=1,K671&lt;&gt;"Sim")),1,0))</f>
        <v>0</v>
      </c>
      <c r="AJ671" s="96">
        <f>IF(AND(R671=1,AA671&gt;0,AB671=AA671),1,0)</f>
        <v>0</v>
      </c>
      <c r="AK671" s="96">
        <f>IF(R671=0,0,IF(AA671&gt;0,N(L671),IF(ISNUMBER(I671),I671,0)))</f>
        <v>0</v>
      </c>
      <c r="AL671" s="96">
        <f>IF(R671=0,0,IF(AND(K671&lt;&gt;"Sim",N(M671)&gt;AK671+cfg_tol),1,0))</f>
        <v>0</v>
      </c>
      <c r="AM671" s="96">
        <f>IF(R671=0,0,IF(K671="Sim",0,IF(OR(AND(AA671&gt;0,ISNUMBER(I671),ABS(I671-N(L671))&gt;cfg_tol),AL671=1),1,0)))</f>
        <v>0</v>
      </c>
      <c r="AN671" s="96">
        <f>IF(AND(R671=1,N(M671)&gt;0,OR(N(M671)&gt;=AK671-cfg_tol,K671="Sim")),1,0)</f>
        <v>0</v>
      </c>
      <c r="AO671" s="96">
        <f>IF(AND(AN671=1,AD671&gt;0,AE671=AD671,AL671=0),1,0)</f>
        <v>0</v>
      </c>
      <c r="AP671" s="96">
        <f>IF(U671=0,0,IF(AND(INDEX('MTRs'!$AX$6:$AX$505,T671)=1,Z671=0,OR(f_res="",f_res="(Todos)",C671=f_res)),1,0))</f>
        <v>0</v>
      </c>
      <c r="AQ671" s="97" t="str">
        <f>IF(U671=0,"",INDEX('MTRs'!$AZ$6:$AZ$505,T671))</f>
        <v/>
      </c>
      <c r="AR671" s="96">
        <f>IF(U671=0,0,IF(AND(INDEX('MTRs'!$BA$6:$BA$505,T671)=1,Z671=0),1,0))</f>
        <v>0</v>
      </c>
      <c r="AS671" s="96" t="str">
        <f>IF(R671=1,A671&amp;" | MTR "&amp;IF(U671=1,INDEX('MTRs'!$B$6:$B$505,T671)&amp;"","?")&amp;" | "&amp;IF(C671="","(sem resíduo)",C671),"")</f>
        <v/>
      </c>
      <c r="AT671" s="96" t="str">
        <f>IF(R671=1,COUNTIF($R$6:R671,1),"")</f>
        <v/>
      </c>
      <c r="AU671" s="96" t="str">
        <f>IF(U671=1,INDEX('MTRs'!$I$6:$I$505,T671)&amp;"","")</f>
        <v/>
      </c>
    </row>
    <row r="672">
      <c r="A672" s="89" t="inlineStr">
        <is>
          <t>IT-000667</t>
        </is>
      </c>
      <c r="B672" s="91" t="n"/>
      <c r="C672" s="91" t="n"/>
      <c r="D672" s="94" t="str">
        <f>IF(OR(R672=0,V672=0),"",INDEX('CAD_RESÍDUOS'!$E$6:$E$205,MATCH(C672,'CAD_RESÍDUOS'!$B$6:$B$205,0))&amp;"")</f>
        <v/>
      </c>
      <c r="E672" s="94" t="str">
        <f>IF(OR(R672=0,V672=0),"",INDEX('CAD_RESÍDUOS'!$C$6:$C$205,MATCH(C672,'CAD_RESÍDUOS'!$B$6:$B$205,0))&amp;"")</f>
        <v/>
      </c>
      <c r="F672" s="94" t="str">
        <f>IF(OR(R672=0,V672=0),"",INDEX('CAD_RESÍDUOS'!$G$6:$G$205,MATCH(C672,'CAD_RESÍDUOS'!$B$6:$B$205,0))&amp;"")</f>
        <v/>
      </c>
      <c r="G672" s="98" t="n"/>
      <c r="H672" s="91" t="n"/>
      <c r="I672" s="93" t="str">
        <f>IF(R672=0,"",IF(NOT(ISNUMBER(G672)),"",IF(ISNUMBER(X672),G672*X672,"UNIDADE A CONFERIR")))</f>
        <v/>
      </c>
      <c r="J672" s="91" t="n"/>
      <c r="K672" s="91" t="n"/>
      <c r="L672" s="93" t="str">
        <f>IF(R672=0,"",SUMIFS('RECEBIMENTOS'!$H$6:$H$1005,'RECEBIMENTOS'!$R$6:$R$1005,A672,'RECEBIMENTOS'!$X$6:$X$1005,1))</f>
        <v/>
      </c>
      <c r="M672" s="93" t="str">
        <f>IF(R672=0,"",SUMIFS('VÍNCULOS_CDF'!$H$6:$H$1005,'VÍNCULOS_CDF'!$R$6:$R$1005,A672,'VÍNCULOS_CDF'!$V$6:$V$1005,1))</f>
        <v/>
      </c>
      <c r="N672" s="99" t="str">
        <f>IF(OR(R672=0,AA672=0,NOT(ISNUMBER(I672))),"",I672-N(L672))</f>
        <v/>
      </c>
      <c r="O672" s="100" t="str">
        <f>IF(OR(R672=0,AK672&lt;=0),"",N(M672)/AK672)</f>
        <v/>
      </c>
      <c r="P672" s="94" t="str">
        <f>IF(R672=0,"",IF(S672="","Sem MTR associado",IF(U672=0,"MTR inexistente",IF(C672="","Resíduo não identificado",IF(V672=0,"Resíduo fora do cadastro",IF(W672=0,"Quantidade inválida",IF(H672="","Unidade não informada",IF(NOT(ISNUMBER(I672)),"Unidade a conferir",IF(AND(AH672=1,K672&lt;&gt;"Sim"),"Possível duplicidade",IF(Z672=1,"MTR cancelado",IF(AC672&gt;0,"Recebimento com alerta",IF(AA672=0,"Aguardando recebimento",IF(AB672&lt;AA672,"Recebimento a conferir",IF(AM672=1,"Quantidade a revisar",IF(AF672&gt;0,"Vínculo a revisar",IF(AD672=0,"Aguardando CDF",IF(AN672=0,"Vínculo de CDF parcial",IF(AE672&lt;AD672,"CDF a conferir","Documentação conferida"))))))))))))))))))</f>
        <v/>
      </c>
      <c r="Q672" s="93" t="str">
        <f>IF(OR(R672=0,AA672=0),"",MAX(0,N(L672)-N(M672)))</f>
        <v/>
      </c>
      <c r="R672" s="96">
        <f>IF(COUNTA(B672:C672,G672:H672,J672:K672)&gt;0,1,0)</f>
        <v>0</v>
      </c>
      <c r="S672" s="96" t="str">
        <f>IF(B672="","",TRIM(LEFT(B672,FIND(" |",B672&amp;" |")-1)))</f>
        <v/>
      </c>
      <c r="T672" s="96" t="str">
        <f>IF(S672="","",IFERROR(MATCH(S672,'MTRs'!$A$6:$A$505,0),""))</f>
        <v/>
      </c>
      <c r="U672" s="96">
        <f>IF(T672="",0,IF(INDEX('MTRs'!$Z$6:$Z$505,T672)=1,1,0))</f>
        <v>0</v>
      </c>
      <c r="V672" s="96">
        <f>IF(C672="",0,IF(ISNUMBER(MATCH(C672,'CAD_RESÍDUOS'!$B$6:$B$205,0)),1,0))</f>
        <v>0</v>
      </c>
      <c r="W672" s="96">
        <f>IF(AND(ISNUMBER(G672),G672&gt;0),1,0)</f>
        <v>0</v>
      </c>
      <c r="X672" s="96" t="str">
        <f>IF(H672="","",IFERROR(IF(ISNUMBER(INDEX(cfg_fac,MATCH(H672,cfg_units,0))),IF(INDEX(cfg_fac,MATCH(H672,cfg_units,0))&gt;0,INDEX(cfg_fac,MATCH(H672,cfg_units,0)),""),""),""))</f>
        <v/>
      </c>
      <c r="Y672" s="96">
        <f>IF(AND(W672=1,ISNUMBER(I672)),1,0)</f>
        <v>0</v>
      </c>
      <c r="Z672" s="96">
        <f>IF(U672=1,INDEX('MTRs'!$AA$6:$AA$505,T672),0)</f>
        <v>0</v>
      </c>
      <c r="AA672" s="96">
        <f>IF(R672=0,0,COUNTIFS('RECEBIMENTOS'!$R$6:$R$1005,A672,'RECEBIMENTOS'!$Q$6:$Q$1005,1))</f>
        <v>0</v>
      </c>
      <c r="AB672" s="96">
        <f>IF(R672=0,0,COUNTIFS('RECEBIMENTOS'!$R$6:$R$1005,A672,'RECEBIMENTOS'!$Z$6:$Z$1005,1))</f>
        <v>0</v>
      </c>
      <c r="AC672" s="96">
        <f>IF(R672=0,0,COUNTIFS('RECEBIMENTOS'!$R$6:$R$1005,A672,'RECEBIMENTOS'!$Y$6:$Y$1005,1))</f>
        <v>0</v>
      </c>
      <c r="AD672" s="96">
        <f>IF(R672=0,0,COUNTIFS('VÍNCULOS_CDF'!$R$6:$R$1005,A672,'VÍNCULOS_CDF'!$N$6:$N$1005,1))</f>
        <v>0</v>
      </c>
      <c r="AE672" s="96">
        <f>IF(R672=0,0,COUNTIFS('VÍNCULOS_CDF'!$R$6:$R$1005,A672,'VÍNCULOS_CDF'!$AA$6:$AA$1005,1))</f>
        <v>0</v>
      </c>
      <c r="AF672" s="96">
        <f>IF(R672=0,0,COUNTIFS('VÍNCULOS_CDF'!$R$6:$R$1005,A672,'VÍNCULOS_CDF'!$Y$6:$Y$1005,1))</f>
        <v>0</v>
      </c>
      <c r="AG672" s="96" t="str">
        <f>IF(AND(R672=1,S672&lt;&gt;"",C672&lt;&gt;""),S672&amp;"|"&amp;C672&amp;"|"&amp;G672&amp;"|"&amp;H672,"")</f>
        <v/>
      </c>
      <c r="AH672" s="96">
        <f>IF(AG672="",0,IF(SUMPRODUCT(--($AG$6:$AG$1005=AG672))&gt;1,1,0))</f>
        <v>0</v>
      </c>
      <c r="AI672" s="96">
        <f>IF(R672=0,0,IF(OR(U672=0,V672=0,Y672=0,AND(AH672=1,K672&lt;&gt;"Sim")),1,0))</f>
        <v>0</v>
      </c>
      <c r="AJ672" s="96">
        <f>IF(AND(R672=1,AA672&gt;0,AB672=AA672),1,0)</f>
        <v>0</v>
      </c>
      <c r="AK672" s="96">
        <f>IF(R672=0,0,IF(AA672&gt;0,N(L672),IF(ISNUMBER(I672),I672,0)))</f>
        <v>0</v>
      </c>
      <c r="AL672" s="96">
        <f>IF(R672=0,0,IF(AND(K672&lt;&gt;"Sim",N(M672)&gt;AK672+cfg_tol),1,0))</f>
        <v>0</v>
      </c>
      <c r="AM672" s="96">
        <f>IF(R672=0,0,IF(K672="Sim",0,IF(OR(AND(AA672&gt;0,ISNUMBER(I672),ABS(I672-N(L672))&gt;cfg_tol),AL672=1),1,0)))</f>
        <v>0</v>
      </c>
      <c r="AN672" s="96">
        <f>IF(AND(R672=1,N(M672)&gt;0,OR(N(M672)&gt;=AK672-cfg_tol,K672="Sim")),1,0)</f>
        <v>0</v>
      </c>
      <c r="AO672" s="96">
        <f>IF(AND(AN672=1,AD672&gt;0,AE672=AD672,AL672=0),1,0)</f>
        <v>0</v>
      </c>
      <c r="AP672" s="96">
        <f>IF(U672=0,0,IF(AND(INDEX('MTRs'!$AX$6:$AX$505,T672)=1,Z672=0,OR(f_res="",f_res="(Todos)",C672=f_res)),1,0))</f>
        <v>0</v>
      </c>
      <c r="AQ672" s="97" t="str">
        <f>IF(U672=0,"",INDEX('MTRs'!$AZ$6:$AZ$505,T672))</f>
        <v/>
      </c>
      <c r="AR672" s="96">
        <f>IF(U672=0,0,IF(AND(INDEX('MTRs'!$BA$6:$BA$505,T672)=1,Z672=0),1,0))</f>
        <v>0</v>
      </c>
      <c r="AS672" s="96" t="str">
        <f>IF(R672=1,A672&amp;" | MTR "&amp;IF(U672=1,INDEX('MTRs'!$B$6:$B$505,T672)&amp;"","?")&amp;" | "&amp;IF(C672="","(sem resíduo)",C672),"")</f>
        <v/>
      </c>
      <c r="AT672" s="96" t="str">
        <f>IF(R672=1,COUNTIF($R$6:R672,1),"")</f>
        <v/>
      </c>
      <c r="AU672" s="96" t="str">
        <f>IF(U672=1,INDEX('MTRs'!$I$6:$I$505,T672)&amp;"","")</f>
        <v/>
      </c>
    </row>
    <row r="673">
      <c r="A673" s="89" t="inlineStr">
        <is>
          <t>IT-000668</t>
        </is>
      </c>
      <c r="B673" s="91" t="n"/>
      <c r="C673" s="91" t="n"/>
      <c r="D673" s="94" t="str">
        <f>IF(OR(R673=0,V673=0),"",INDEX('CAD_RESÍDUOS'!$E$6:$E$205,MATCH(C673,'CAD_RESÍDUOS'!$B$6:$B$205,0))&amp;"")</f>
        <v/>
      </c>
      <c r="E673" s="94" t="str">
        <f>IF(OR(R673=0,V673=0),"",INDEX('CAD_RESÍDUOS'!$C$6:$C$205,MATCH(C673,'CAD_RESÍDUOS'!$B$6:$B$205,0))&amp;"")</f>
        <v/>
      </c>
      <c r="F673" s="94" t="str">
        <f>IF(OR(R673=0,V673=0),"",INDEX('CAD_RESÍDUOS'!$G$6:$G$205,MATCH(C673,'CAD_RESÍDUOS'!$B$6:$B$205,0))&amp;"")</f>
        <v/>
      </c>
      <c r="G673" s="98" t="n"/>
      <c r="H673" s="91" t="n"/>
      <c r="I673" s="93" t="str">
        <f>IF(R673=0,"",IF(NOT(ISNUMBER(G673)),"",IF(ISNUMBER(X673),G673*X673,"UNIDADE A CONFERIR")))</f>
        <v/>
      </c>
      <c r="J673" s="91" t="n"/>
      <c r="K673" s="91" t="n"/>
      <c r="L673" s="93" t="str">
        <f>IF(R673=0,"",SUMIFS('RECEBIMENTOS'!$H$6:$H$1005,'RECEBIMENTOS'!$R$6:$R$1005,A673,'RECEBIMENTOS'!$X$6:$X$1005,1))</f>
        <v/>
      </c>
      <c r="M673" s="93" t="str">
        <f>IF(R673=0,"",SUMIFS('VÍNCULOS_CDF'!$H$6:$H$1005,'VÍNCULOS_CDF'!$R$6:$R$1005,A673,'VÍNCULOS_CDF'!$V$6:$V$1005,1))</f>
        <v/>
      </c>
      <c r="N673" s="99" t="str">
        <f>IF(OR(R673=0,AA673=0,NOT(ISNUMBER(I673))),"",I673-N(L673))</f>
        <v/>
      </c>
      <c r="O673" s="100" t="str">
        <f>IF(OR(R673=0,AK673&lt;=0),"",N(M673)/AK673)</f>
        <v/>
      </c>
      <c r="P673" s="94" t="str">
        <f>IF(R673=0,"",IF(S673="","Sem MTR associado",IF(U673=0,"MTR inexistente",IF(C673="","Resíduo não identificado",IF(V673=0,"Resíduo fora do cadastro",IF(W673=0,"Quantidade inválida",IF(H673="","Unidade não informada",IF(NOT(ISNUMBER(I673)),"Unidade a conferir",IF(AND(AH673=1,K673&lt;&gt;"Sim"),"Possível duplicidade",IF(Z673=1,"MTR cancelado",IF(AC673&gt;0,"Recebimento com alerta",IF(AA673=0,"Aguardando recebimento",IF(AB673&lt;AA673,"Recebimento a conferir",IF(AM673=1,"Quantidade a revisar",IF(AF673&gt;0,"Vínculo a revisar",IF(AD673=0,"Aguardando CDF",IF(AN673=0,"Vínculo de CDF parcial",IF(AE673&lt;AD673,"CDF a conferir","Documentação conferida"))))))))))))))))))</f>
        <v/>
      </c>
      <c r="Q673" s="93" t="str">
        <f>IF(OR(R673=0,AA673=0),"",MAX(0,N(L673)-N(M673)))</f>
        <v/>
      </c>
      <c r="R673" s="96">
        <f>IF(COUNTA(B673:C673,G673:H673,J673:K673)&gt;0,1,0)</f>
        <v>0</v>
      </c>
      <c r="S673" s="96" t="str">
        <f>IF(B673="","",TRIM(LEFT(B673,FIND(" |",B673&amp;" |")-1)))</f>
        <v/>
      </c>
      <c r="T673" s="96" t="str">
        <f>IF(S673="","",IFERROR(MATCH(S673,'MTRs'!$A$6:$A$505,0),""))</f>
        <v/>
      </c>
      <c r="U673" s="96">
        <f>IF(T673="",0,IF(INDEX('MTRs'!$Z$6:$Z$505,T673)=1,1,0))</f>
        <v>0</v>
      </c>
      <c r="V673" s="96">
        <f>IF(C673="",0,IF(ISNUMBER(MATCH(C673,'CAD_RESÍDUOS'!$B$6:$B$205,0)),1,0))</f>
        <v>0</v>
      </c>
      <c r="W673" s="96">
        <f>IF(AND(ISNUMBER(G673),G673&gt;0),1,0)</f>
        <v>0</v>
      </c>
      <c r="X673" s="96" t="str">
        <f>IF(H673="","",IFERROR(IF(ISNUMBER(INDEX(cfg_fac,MATCH(H673,cfg_units,0))),IF(INDEX(cfg_fac,MATCH(H673,cfg_units,0))&gt;0,INDEX(cfg_fac,MATCH(H673,cfg_units,0)),""),""),""))</f>
        <v/>
      </c>
      <c r="Y673" s="96">
        <f>IF(AND(W673=1,ISNUMBER(I673)),1,0)</f>
        <v>0</v>
      </c>
      <c r="Z673" s="96">
        <f>IF(U673=1,INDEX('MTRs'!$AA$6:$AA$505,T673),0)</f>
        <v>0</v>
      </c>
      <c r="AA673" s="96">
        <f>IF(R673=0,0,COUNTIFS('RECEBIMENTOS'!$R$6:$R$1005,A673,'RECEBIMENTOS'!$Q$6:$Q$1005,1))</f>
        <v>0</v>
      </c>
      <c r="AB673" s="96">
        <f>IF(R673=0,0,COUNTIFS('RECEBIMENTOS'!$R$6:$R$1005,A673,'RECEBIMENTOS'!$Z$6:$Z$1005,1))</f>
        <v>0</v>
      </c>
      <c r="AC673" s="96">
        <f>IF(R673=0,0,COUNTIFS('RECEBIMENTOS'!$R$6:$R$1005,A673,'RECEBIMENTOS'!$Y$6:$Y$1005,1))</f>
        <v>0</v>
      </c>
      <c r="AD673" s="96">
        <f>IF(R673=0,0,COUNTIFS('VÍNCULOS_CDF'!$R$6:$R$1005,A673,'VÍNCULOS_CDF'!$N$6:$N$1005,1))</f>
        <v>0</v>
      </c>
      <c r="AE673" s="96">
        <f>IF(R673=0,0,COUNTIFS('VÍNCULOS_CDF'!$R$6:$R$1005,A673,'VÍNCULOS_CDF'!$AA$6:$AA$1005,1))</f>
        <v>0</v>
      </c>
      <c r="AF673" s="96">
        <f>IF(R673=0,0,COUNTIFS('VÍNCULOS_CDF'!$R$6:$R$1005,A673,'VÍNCULOS_CDF'!$Y$6:$Y$1005,1))</f>
        <v>0</v>
      </c>
      <c r="AG673" s="96" t="str">
        <f>IF(AND(R673=1,S673&lt;&gt;"",C673&lt;&gt;""),S673&amp;"|"&amp;C673&amp;"|"&amp;G673&amp;"|"&amp;H673,"")</f>
        <v/>
      </c>
      <c r="AH673" s="96">
        <f>IF(AG673="",0,IF(SUMPRODUCT(--($AG$6:$AG$1005=AG673))&gt;1,1,0))</f>
        <v>0</v>
      </c>
      <c r="AI673" s="96">
        <f>IF(R673=0,0,IF(OR(U673=0,V673=0,Y673=0,AND(AH673=1,K673&lt;&gt;"Sim")),1,0))</f>
        <v>0</v>
      </c>
      <c r="AJ673" s="96">
        <f>IF(AND(R673=1,AA673&gt;0,AB673=AA673),1,0)</f>
        <v>0</v>
      </c>
      <c r="AK673" s="96">
        <f>IF(R673=0,0,IF(AA673&gt;0,N(L673),IF(ISNUMBER(I673),I673,0)))</f>
        <v>0</v>
      </c>
      <c r="AL673" s="96">
        <f>IF(R673=0,0,IF(AND(K673&lt;&gt;"Sim",N(M673)&gt;AK673+cfg_tol),1,0))</f>
        <v>0</v>
      </c>
      <c r="AM673" s="96">
        <f>IF(R673=0,0,IF(K673="Sim",0,IF(OR(AND(AA673&gt;0,ISNUMBER(I673),ABS(I673-N(L673))&gt;cfg_tol),AL673=1),1,0)))</f>
        <v>0</v>
      </c>
      <c r="AN673" s="96">
        <f>IF(AND(R673=1,N(M673)&gt;0,OR(N(M673)&gt;=AK673-cfg_tol,K673="Sim")),1,0)</f>
        <v>0</v>
      </c>
      <c r="AO673" s="96">
        <f>IF(AND(AN673=1,AD673&gt;0,AE673=AD673,AL673=0),1,0)</f>
        <v>0</v>
      </c>
      <c r="AP673" s="96">
        <f>IF(U673=0,0,IF(AND(INDEX('MTRs'!$AX$6:$AX$505,T673)=1,Z673=0,OR(f_res="",f_res="(Todos)",C673=f_res)),1,0))</f>
        <v>0</v>
      </c>
      <c r="AQ673" s="97" t="str">
        <f>IF(U673=0,"",INDEX('MTRs'!$AZ$6:$AZ$505,T673))</f>
        <v/>
      </c>
      <c r="AR673" s="96">
        <f>IF(U673=0,0,IF(AND(INDEX('MTRs'!$BA$6:$BA$505,T673)=1,Z673=0),1,0))</f>
        <v>0</v>
      </c>
      <c r="AS673" s="96" t="str">
        <f>IF(R673=1,A673&amp;" | MTR "&amp;IF(U673=1,INDEX('MTRs'!$B$6:$B$505,T673)&amp;"","?")&amp;" | "&amp;IF(C673="","(sem resíduo)",C673),"")</f>
        <v/>
      </c>
      <c r="AT673" s="96" t="str">
        <f>IF(R673=1,COUNTIF($R$6:R673,1),"")</f>
        <v/>
      </c>
      <c r="AU673" s="96" t="str">
        <f>IF(U673=1,INDEX('MTRs'!$I$6:$I$505,T673)&amp;"","")</f>
        <v/>
      </c>
    </row>
    <row r="674">
      <c r="A674" s="89" t="inlineStr">
        <is>
          <t>IT-000669</t>
        </is>
      </c>
      <c r="B674" s="91" t="n"/>
      <c r="C674" s="91" t="n"/>
      <c r="D674" s="94" t="str">
        <f>IF(OR(R674=0,V674=0),"",INDEX('CAD_RESÍDUOS'!$E$6:$E$205,MATCH(C674,'CAD_RESÍDUOS'!$B$6:$B$205,0))&amp;"")</f>
        <v/>
      </c>
      <c r="E674" s="94" t="str">
        <f>IF(OR(R674=0,V674=0),"",INDEX('CAD_RESÍDUOS'!$C$6:$C$205,MATCH(C674,'CAD_RESÍDUOS'!$B$6:$B$205,0))&amp;"")</f>
        <v/>
      </c>
      <c r="F674" s="94" t="str">
        <f>IF(OR(R674=0,V674=0),"",INDEX('CAD_RESÍDUOS'!$G$6:$G$205,MATCH(C674,'CAD_RESÍDUOS'!$B$6:$B$205,0))&amp;"")</f>
        <v/>
      </c>
      <c r="G674" s="98" t="n"/>
      <c r="H674" s="91" t="n"/>
      <c r="I674" s="93" t="str">
        <f>IF(R674=0,"",IF(NOT(ISNUMBER(G674)),"",IF(ISNUMBER(X674),G674*X674,"UNIDADE A CONFERIR")))</f>
        <v/>
      </c>
      <c r="J674" s="91" t="n"/>
      <c r="K674" s="91" t="n"/>
      <c r="L674" s="93" t="str">
        <f>IF(R674=0,"",SUMIFS('RECEBIMENTOS'!$H$6:$H$1005,'RECEBIMENTOS'!$R$6:$R$1005,A674,'RECEBIMENTOS'!$X$6:$X$1005,1))</f>
        <v/>
      </c>
      <c r="M674" s="93" t="str">
        <f>IF(R674=0,"",SUMIFS('VÍNCULOS_CDF'!$H$6:$H$1005,'VÍNCULOS_CDF'!$R$6:$R$1005,A674,'VÍNCULOS_CDF'!$V$6:$V$1005,1))</f>
        <v/>
      </c>
      <c r="N674" s="99" t="str">
        <f>IF(OR(R674=0,AA674=0,NOT(ISNUMBER(I674))),"",I674-N(L674))</f>
        <v/>
      </c>
      <c r="O674" s="100" t="str">
        <f>IF(OR(R674=0,AK674&lt;=0),"",N(M674)/AK674)</f>
        <v/>
      </c>
      <c r="P674" s="94" t="str">
        <f>IF(R674=0,"",IF(S674="","Sem MTR associado",IF(U674=0,"MTR inexistente",IF(C674="","Resíduo não identificado",IF(V674=0,"Resíduo fora do cadastro",IF(W674=0,"Quantidade inválida",IF(H674="","Unidade não informada",IF(NOT(ISNUMBER(I674)),"Unidade a conferir",IF(AND(AH674=1,K674&lt;&gt;"Sim"),"Possível duplicidade",IF(Z674=1,"MTR cancelado",IF(AC674&gt;0,"Recebimento com alerta",IF(AA674=0,"Aguardando recebimento",IF(AB674&lt;AA674,"Recebimento a conferir",IF(AM674=1,"Quantidade a revisar",IF(AF674&gt;0,"Vínculo a revisar",IF(AD674=0,"Aguardando CDF",IF(AN674=0,"Vínculo de CDF parcial",IF(AE674&lt;AD674,"CDF a conferir","Documentação conferida"))))))))))))))))))</f>
        <v/>
      </c>
      <c r="Q674" s="93" t="str">
        <f>IF(OR(R674=0,AA674=0),"",MAX(0,N(L674)-N(M674)))</f>
        <v/>
      </c>
      <c r="R674" s="96">
        <f>IF(COUNTA(B674:C674,G674:H674,J674:K674)&gt;0,1,0)</f>
        <v>0</v>
      </c>
      <c r="S674" s="96" t="str">
        <f>IF(B674="","",TRIM(LEFT(B674,FIND(" |",B674&amp;" |")-1)))</f>
        <v/>
      </c>
      <c r="T674" s="96" t="str">
        <f>IF(S674="","",IFERROR(MATCH(S674,'MTRs'!$A$6:$A$505,0),""))</f>
        <v/>
      </c>
      <c r="U674" s="96">
        <f>IF(T674="",0,IF(INDEX('MTRs'!$Z$6:$Z$505,T674)=1,1,0))</f>
        <v>0</v>
      </c>
      <c r="V674" s="96">
        <f>IF(C674="",0,IF(ISNUMBER(MATCH(C674,'CAD_RESÍDUOS'!$B$6:$B$205,0)),1,0))</f>
        <v>0</v>
      </c>
      <c r="W674" s="96">
        <f>IF(AND(ISNUMBER(G674),G674&gt;0),1,0)</f>
        <v>0</v>
      </c>
      <c r="X674" s="96" t="str">
        <f>IF(H674="","",IFERROR(IF(ISNUMBER(INDEX(cfg_fac,MATCH(H674,cfg_units,0))),IF(INDEX(cfg_fac,MATCH(H674,cfg_units,0))&gt;0,INDEX(cfg_fac,MATCH(H674,cfg_units,0)),""),""),""))</f>
        <v/>
      </c>
      <c r="Y674" s="96">
        <f>IF(AND(W674=1,ISNUMBER(I674)),1,0)</f>
        <v>0</v>
      </c>
      <c r="Z674" s="96">
        <f>IF(U674=1,INDEX('MTRs'!$AA$6:$AA$505,T674),0)</f>
        <v>0</v>
      </c>
      <c r="AA674" s="96">
        <f>IF(R674=0,0,COUNTIFS('RECEBIMENTOS'!$R$6:$R$1005,A674,'RECEBIMENTOS'!$Q$6:$Q$1005,1))</f>
        <v>0</v>
      </c>
      <c r="AB674" s="96">
        <f>IF(R674=0,0,COUNTIFS('RECEBIMENTOS'!$R$6:$R$1005,A674,'RECEBIMENTOS'!$Z$6:$Z$1005,1))</f>
        <v>0</v>
      </c>
      <c r="AC674" s="96">
        <f>IF(R674=0,0,COUNTIFS('RECEBIMENTOS'!$R$6:$R$1005,A674,'RECEBIMENTOS'!$Y$6:$Y$1005,1))</f>
        <v>0</v>
      </c>
      <c r="AD674" s="96">
        <f>IF(R674=0,0,COUNTIFS('VÍNCULOS_CDF'!$R$6:$R$1005,A674,'VÍNCULOS_CDF'!$N$6:$N$1005,1))</f>
        <v>0</v>
      </c>
      <c r="AE674" s="96">
        <f>IF(R674=0,0,COUNTIFS('VÍNCULOS_CDF'!$R$6:$R$1005,A674,'VÍNCULOS_CDF'!$AA$6:$AA$1005,1))</f>
        <v>0</v>
      </c>
      <c r="AF674" s="96">
        <f>IF(R674=0,0,COUNTIFS('VÍNCULOS_CDF'!$R$6:$R$1005,A674,'VÍNCULOS_CDF'!$Y$6:$Y$1005,1))</f>
        <v>0</v>
      </c>
      <c r="AG674" s="96" t="str">
        <f>IF(AND(R674=1,S674&lt;&gt;"",C674&lt;&gt;""),S674&amp;"|"&amp;C674&amp;"|"&amp;G674&amp;"|"&amp;H674,"")</f>
        <v/>
      </c>
      <c r="AH674" s="96">
        <f>IF(AG674="",0,IF(SUMPRODUCT(--($AG$6:$AG$1005=AG674))&gt;1,1,0))</f>
        <v>0</v>
      </c>
      <c r="AI674" s="96">
        <f>IF(R674=0,0,IF(OR(U674=0,V674=0,Y674=0,AND(AH674=1,K674&lt;&gt;"Sim")),1,0))</f>
        <v>0</v>
      </c>
      <c r="AJ674" s="96">
        <f>IF(AND(R674=1,AA674&gt;0,AB674=AA674),1,0)</f>
        <v>0</v>
      </c>
      <c r="AK674" s="96">
        <f>IF(R674=0,0,IF(AA674&gt;0,N(L674),IF(ISNUMBER(I674),I674,0)))</f>
        <v>0</v>
      </c>
      <c r="AL674" s="96">
        <f>IF(R674=0,0,IF(AND(K674&lt;&gt;"Sim",N(M674)&gt;AK674+cfg_tol),1,0))</f>
        <v>0</v>
      </c>
      <c r="AM674" s="96">
        <f>IF(R674=0,0,IF(K674="Sim",0,IF(OR(AND(AA674&gt;0,ISNUMBER(I674),ABS(I674-N(L674))&gt;cfg_tol),AL674=1),1,0)))</f>
        <v>0</v>
      </c>
      <c r="AN674" s="96">
        <f>IF(AND(R674=1,N(M674)&gt;0,OR(N(M674)&gt;=AK674-cfg_tol,K674="Sim")),1,0)</f>
        <v>0</v>
      </c>
      <c r="AO674" s="96">
        <f>IF(AND(AN674=1,AD674&gt;0,AE674=AD674,AL674=0),1,0)</f>
        <v>0</v>
      </c>
      <c r="AP674" s="96">
        <f>IF(U674=0,0,IF(AND(INDEX('MTRs'!$AX$6:$AX$505,T674)=1,Z674=0,OR(f_res="",f_res="(Todos)",C674=f_res)),1,0))</f>
        <v>0</v>
      </c>
      <c r="AQ674" s="97" t="str">
        <f>IF(U674=0,"",INDEX('MTRs'!$AZ$6:$AZ$505,T674))</f>
        <v/>
      </c>
      <c r="AR674" s="96">
        <f>IF(U674=0,0,IF(AND(INDEX('MTRs'!$BA$6:$BA$505,T674)=1,Z674=0),1,0))</f>
        <v>0</v>
      </c>
      <c r="AS674" s="96" t="str">
        <f>IF(R674=1,A674&amp;" | MTR "&amp;IF(U674=1,INDEX('MTRs'!$B$6:$B$505,T674)&amp;"","?")&amp;" | "&amp;IF(C674="","(sem resíduo)",C674),"")</f>
        <v/>
      </c>
      <c r="AT674" s="96" t="str">
        <f>IF(R674=1,COUNTIF($R$6:R674,1),"")</f>
        <v/>
      </c>
      <c r="AU674" s="96" t="str">
        <f>IF(U674=1,INDEX('MTRs'!$I$6:$I$505,T674)&amp;"","")</f>
        <v/>
      </c>
    </row>
    <row r="675">
      <c r="A675" s="89" t="inlineStr">
        <is>
          <t>IT-000670</t>
        </is>
      </c>
      <c r="B675" s="91" t="n"/>
      <c r="C675" s="91" t="n"/>
      <c r="D675" s="94" t="str">
        <f>IF(OR(R675=0,V675=0),"",INDEX('CAD_RESÍDUOS'!$E$6:$E$205,MATCH(C675,'CAD_RESÍDUOS'!$B$6:$B$205,0))&amp;"")</f>
        <v/>
      </c>
      <c r="E675" s="94" t="str">
        <f>IF(OR(R675=0,V675=0),"",INDEX('CAD_RESÍDUOS'!$C$6:$C$205,MATCH(C675,'CAD_RESÍDUOS'!$B$6:$B$205,0))&amp;"")</f>
        <v/>
      </c>
      <c r="F675" s="94" t="str">
        <f>IF(OR(R675=0,V675=0),"",INDEX('CAD_RESÍDUOS'!$G$6:$G$205,MATCH(C675,'CAD_RESÍDUOS'!$B$6:$B$205,0))&amp;"")</f>
        <v/>
      </c>
      <c r="G675" s="98" t="n"/>
      <c r="H675" s="91" t="n"/>
      <c r="I675" s="93" t="str">
        <f>IF(R675=0,"",IF(NOT(ISNUMBER(G675)),"",IF(ISNUMBER(X675),G675*X675,"UNIDADE A CONFERIR")))</f>
        <v/>
      </c>
      <c r="J675" s="91" t="n"/>
      <c r="K675" s="91" t="n"/>
      <c r="L675" s="93" t="str">
        <f>IF(R675=0,"",SUMIFS('RECEBIMENTOS'!$H$6:$H$1005,'RECEBIMENTOS'!$R$6:$R$1005,A675,'RECEBIMENTOS'!$X$6:$X$1005,1))</f>
        <v/>
      </c>
      <c r="M675" s="93" t="str">
        <f>IF(R675=0,"",SUMIFS('VÍNCULOS_CDF'!$H$6:$H$1005,'VÍNCULOS_CDF'!$R$6:$R$1005,A675,'VÍNCULOS_CDF'!$V$6:$V$1005,1))</f>
        <v/>
      </c>
      <c r="N675" s="99" t="str">
        <f>IF(OR(R675=0,AA675=0,NOT(ISNUMBER(I675))),"",I675-N(L675))</f>
        <v/>
      </c>
      <c r="O675" s="100" t="str">
        <f>IF(OR(R675=0,AK675&lt;=0),"",N(M675)/AK675)</f>
        <v/>
      </c>
      <c r="P675" s="94" t="str">
        <f>IF(R675=0,"",IF(S675="","Sem MTR associado",IF(U675=0,"MTR inexistente",IF(C675="","Resíduo não identificado",IF(V675=0,"Resíduo fora do cadastro",IF(W675=0,"Quantidade inválida",IF(H675="","Unidade não informada",IF(NOT(ISNUMBER(I675)),"Unidade a conferir",IF(AND(AH675=1,K675&lt;&gt;"Sim"),"Possível duplicidade",IF(Z675=1,"MTR cancelado",IF(AC675&gt;0,"Recebimento com alerta",IF(AA675=0,"Aguardando recebimento",IF(AB675&lt;AA675,"Recebimento a conferir",IF(AM675=1,"Quantidade a revisar",IF(AF675&gt;0,"Vínculo a revisar",IF(AD675=0,"Aguardando CDF",IF(AN675=0,"Vínculo de CDF parcial",IF(AE675&lt;AD675,"CDF a conferir","Documentação conferida"))))))))))))))))))</f>
        <v/>
      </c>
      <c r="Q675" s="93" t="str">
        <f>IF(OR(R675=0,AA675=0),"",MAX(0,N(L675)-N(M675)))</f>
        <v/>
      </c>
      <c r="R675" s="96">
        <f>IF(COUNTA(B675:C675,G675:H675,J675:K675)&gt;0,1,0)</f>
        <v>0</v>
      </c>
      <c r="S675" s="96" t="str">
        <f>IF(B675="","",TRIM(LEFT(B675,FIND(" |",B675&amp;" |")-1)))</f>
        <v/>
      </c>
      <c r="T675" s="96" t="str">
        <f>IF(S675="","",IFERROR(MATCH(S675,'MTRs'!$A$6:$A$505,0),""))</f>
        <v/>
      </c>
      <c r="U675" s="96">
        <f>IF(T675="",0,IF(INDEX('MTRs'!$Z$6:$Z$505,T675)=1,1,0))</f>
        <v>0</v>
      </c>
      <c r="V675" s="96">
        <f>IF(C675="",0,IF(ISNUMBER(MATCH(C675,'CAD_RESÍDUOS'!$B$6:$B$205,0)),1,0))</f>
        <v>0</v>
      </c>
      <c r="W675" s="96">
        <f>IF(AND(ISNUMBER(G675),G675&gt;0),1,0)</f>
        <v>0</v>
      </c>
      <c r="X675" s="96" t="str">
        <f>IF(H675="","",IFERROR(IF(ISNUMBER(INDEX(cfg_fac,MATCH(H675,cfg_units,0))),IF(INDEX(cfg_fac,MATCH(H675,cfg_units,0))&gt;0,INDEX(cfg_fac,MATCH(H675,cfg_units,0)),""),""),""))</f>
        <v/>
      </c>
      <c r="Y675" s="96">
        <f>IF(AND(W675=1,ISNUMBER(I675)),1,0)</f>
        <v>0</v>
      </c>
      <c r="Z675" s="96">
        <f>IF(U675=1,INDEX('MTRs'!$AA$6:$AA$505,T675),0)</f>
        <v>0</v>
      </c>
      <c r="AA675" s="96">
        <f>IF(R675=0,0,COUNTIFS('RECEBIMENTOS'!$R$6:$R$1005,A675,'RECEBIMENTOS'!$Q$6:$Q$1005,1))</f>
        <v>0</v>
      </c>
      <c r="AB675" s="96">
        <f>IF(R675=0,0,COUNTIFS('RECEBIMENTOS'!$R$6:$R$1005,A675,'RECEBIMENTOS'!$Z$6:$Z$1005,1))</f>
        <v>0</v>
      </c>
      <c r="AC675" s="96">
        <f>IF(R675=0,0,COUNTIFS('RECEBIMENTOS'!$R$6:$R$1005,A675,'RECEBIMENTOS'!$Y$6:$Y$1005,1))</f>
        <v>0</v>
      </c>
      <c r="AD675" s="96">
        <f>IF(R675=0,0,COUNTIFS('VÍNCULOS_CDF'!$R$6:$R$1005,A675,'VÍNCULOS_CDF'!$N$6:$N$1005,1))</f>
        <v>0</v>
      </c>
      <c r="AE675" s="96">
        <f>IF(R675=0,0,COUNTIFS('VÍNCULOS_CDF'!$R$6:$R$1005,A675,'VÍNCULOS_CDF'!$AA$6:$AA$1005,1))</f>
        <v>0</v>
      </c>
      <c r="AF675" s="96">
        <f>IF(R675=0,0,COUNTIFS('VÍNCULOS_CDF'!$R$6:$R$1005,A675,'VÍNCULOS_CDF'!$Y$6:$Y$1005,1))</f>
        <v>0</v>
      </c>
      <c r="AG675" s="96" t="str">
        <f>IF(AND(R675=1,S675&lt;&gt;"",C675&lt;&gt;""),S675&amp;"|"&amp;C675&amp;"|"&amp;G675&amp;"|"&amp;H675,"")</f>
        <v/>
      </c>
      <c r="AH675" s="96">
        <f>IF(AG675="",0,IF(SUMPRODUCT(--($AG$6:$AG$1005=AG675))&gt;1,1,0))</f>
        <v>0</v>
      </c>
      <c r="AI675" s="96">
        <f>IF(R675=0,0,IF(OR(U675=0,V675=0,Y675=0,AND(AH675=1,K675&lt;&gt;"Sim")),1,0))</f>
        <v>0</v>
      </c>
      <c r="AJ675" s="96">
        <f>IF(AND(R675=1,AA675&gt;0,AB675=AA675),1,0)</f>
        <v>0</v>
      </c>
      <c r="AK675" s="96">
        <f>IF(R675=0,0,IF(AA675&gt;0,N(L675),IF(ISNUMBER(I675),I675,0)))</f>
        <v>0</v>
      </c>
      <c r="AL675" s="96">
        <f>IF(R675=0,0,IF(AND(K675&lt;&gt;"Sim",N(M675)&gt;AK675+cfg_tol),1,0))</f>
        <v>0</v>
      </c>
      <c r="AM675" s="96">
        <f>IF(R675=0,0,IF(K675="Sim",0,IF(OR(AND(AA675&gt;0,ISNUMBER(I675),ABS(I675-N(L675))&gt;cfg_tol),AL675=1),1,0)))</f>
        <v>0</v>
      </c>
      <c r="AN675" s="96">
        <f>IF(AND(R675=1,N(M675)&gt;0,OR(N(M675)&gt;=AK675-cfg_tol,K675="Sim")),1,0)</f>
        <v>0</v>
      </c>
      <c r="AO675" s="96">
        <f>IF(AND(AN675=1,AD675&gt;0,AE675=AD675,AL675=0),1,0)</f>
        <v>0</v>
      </c>
      <c r="AP675" s="96">
        <f>IF(U675=0,0,IF(AND(INDEX('MTRs'!$AX$6:$AX$505,T675)=1,Z675=0,OR(f_res="",f_res="(Todos)",C675=f_res)),1,0))</f>
        <v>0</v>
      </c>
      <c r="AQ675" s="97" t="str">
        <f>IF(U675=0,"",INDEX('MTRs'!$AZ$6:$AZ$505,T675))</f>
        <v/>
      </c>
      <c r="AR675" s="96">
        <f>IF(U675=0,0,IF(AND(INDEX('MTRs'!$BA$6:$BA$505,T675)=1,Z675=0),1,0))</f>
        <v>0</v>
      </c>
      <c r="AS675" s="96" t="str">
        <f>IF(R675=1,A675&amp;" | MTR "&amp;IF(U675=1,INDEX('MTRs'!$B$6:$B$505,T675)&amp;"","?")&amp;" | "&amp;IF(C675="","(sem resíduo)",C675),"")</f>
        <v/>
      </c>
      <c r="AT675" s="96" t="str">
        <f>IF(R675=1,COUNTIF($R$6:R675,1),"")</f>
        <v/>
      </c>
      <c r="AU675" s="96" t="str">
        <f>IF(U675=1,INDEX('MTRs'!$I$6:$I$505,T675)&amp;"","")</f>
        <v/>
      </c>
    </row>
    <row r="676">
      <c r="A676" s="89" t="inlineStr">
        <is>
          <t>IT-000671</t>
        </is>
      </c>
      <c r="B676" s="91" t="n"/>
      <c r="C676" s="91" t="n"/>
      <c r="D676" s="94" t="str">
        <f>IF(OR(R676=0,V676=0),"",INDEX('CAD_RESÍDUOS'!$E$6:$E$205,MATCH(C676,'CAD_RESÍDUOS'!$B$6:$B$205,0))&amp;"")</f>
        <v/>
      </c>
      <c r="E676" s="94" t="str">
        <f>IF(OR(R676=0,V676=0),"",INDEX('CAD_RESÍDUOS'!$C$6:$C$205,MATCH(C676,'CAD_RESÍDUOS'!$B$6:$B$205,0))&amp;"")</f>
        <v/>
      </c>
      <c r="F676" s="94" t="str">
        <f>IF(OR(R676=0,V676=0),"",INDEX('CAD_RESÍDUOS'!$G$6:$G$205,MATCH(C676,'CAD_RESÍDUOS'!$B$6:$B$205,0))&amp;"")</f>
        <v/>
      </c>
      <c r="G676" s="98" t="n"/>
      <c r="H676" s="91" t="n"/>
      <c r="I676" s="93" t="str">
        <f>IF(R676=0,"",IF(NOT(ISNUMBER(G676)),"",IF(ISNUMBER(X676),G676*X676,"UNIDADE A CONFERIR")))</f>
        <v/>
      </c>
      <c r="J676" s="91" t="n"/>
      <c r="K676" s="91" t="n"/>
      <c r="L676" s="93" t="str">
        <f>IF(R676=0,"",SUMIFS('RECEBIMENTOS'!$H$6:$H$1005,'RECEBIMENTOS'!$R$6:$R$1005,A676,'RECEBIMENTOS'!$X$6:$X$1005,1))</f>
        <v/>
      </c>
      <c r="M676" s="93" t="str">
        <f>IF(R676=0,"",SUMIFS('VÍNCULOS_CDF'!$H$6:$H$1005,'VÍNCULOS_CDF'!$R$6:$R$1005,A676,'VÍNCULOS_CDF'!$V$6:$V$1005,1))</f>
        <v/>
      </c>
      <c r="N676" s="99" t="str">
        <f>IF(OR(R676=0,AA676=0,NOT(ISNUMBER(I676))),"",I676-N(L676))</f>
        <v/>
      </c>
      <c r="O676" s="100" t="str">
        <f>IF(OR(R676=0,AK676&lt;=0),"",N(M676)/AK676)</f>
        <v/>
      </c>
      <c r="P676" s="94" t="str">
        <f>IF(R676=0,"",IF(S676="","Sem MTR associado",IF(U676=0,"MTR inexistente",IF(C676="","Resíduo não identificado",IF(V676=0,"Resíduo fora do cadastro",IF(W676=0,"Quantidade inválida",IF(H676="","Unidade não informada",IF(NOT(ISNUMBER(I676)),"Unidade a conferir",IF(AND(AH676=1,K676&lt;&gt;"Sim"),"Possível duplicidade",IF(Z676=1,"MTR cancelado",IF(AC676&gt;0,"Recebimento com alerta",IF(AA676=0,"Aguardando recebimento",IF(AB676&lt;AA676,"Recebimento a conferir",IF(AM676=1,"Quantidade a revisar",IF(AF676&gt;0,"Vínculo a revisar",IF(AD676=0,"Aguardando CDF",IF(AN676=0,"Vínculo de CDF parcial",IF(AE676&lt;AD676,"CDF a conferir","Documentação conferida"))))))))))))))))))</f>
        <v/>
      </c>
      <c r="Q676" s="93" t="str">
        <f>IF(OR(R676=0,AA676=0),"",MAX(0,N(L676)-N(M676)))</f>
        <v/>
      </c>
      <c r="R676" s="96">
        <f>IF(COUNTA(B676:C676,G676:H676,J676:K676)&gt;0,1,0)</f>
        <v>0</v>
      </c>
      <c r="S676" s="96" t="str">
        <f>IF(B676="","",TRIM(LEFT(B676,FIND(" |",B676&amp;" |")-1)))</f>
        <v/>
      </c>
      <c r="T676" s="96" t="str">
        <f>IF(S676="","",IFERROR(MATCH(S676,'MTRs'!$A$6:$A$505,0),""))</f>
        <v/>
      </c>
      <c r="U676" s="96">
        <f>IF(T676="",0,IF(INDEX('MTRs'!$Z$6:$Z$505,T676)=1,1,0))</f>
        <v>0</v>
      </c>
      <c r="V676" s="96">
        <f>IF(C676="",0,IF(ISNUMBER(MATCH(C676,'CAD_RESÍDUOS'!$B$6:$B$205,0)),1,0))</f>
        <v>0</v>
      </c>
      <c r="W676" s="96">
        <f>IF(AND(ISNUMBER(G676),G676&gt;0),1,0)</f>
        <v>0</v>
      </c>
      <c r="X676" s="96" t="str">
        <f>IF(H676="","",IFERROR(IF(ISNUMBER(INDEX(cfg_fac,MATCH(H676,cfg_units,0))),IF(INDEX(cfg_fac,MATCH(H676,cfg_units,0))&gt;0,INDEX(cfg_fac,MATCH(H676,cfg_units,0)),""),""),""))</f>
        <v/>
      </c>
      <c r="Y676" s="96">
        <f>IF(AND(W676=1,ISNUMBER(I676)),1,0)</f>
        <v>0</v>
      </c>
      <c r="Z676" s="96">
        <f>IF(U676=1,INDEX('MTRs'!$AA$6:$AA$505,T676),0)</f>
        <v>0</v>
      </c>
      <c r="AA676" s="96">
        <f>IF(R676=0,0,COUNTIFS('RECEBIMENTOS'!$R$6:$R$1005,A676,'RECEBIMENTOS'!$Q$6:$Q$1005,1))</f>
        <v>0</v>
      </c>
      <c r="AB676" s="96">
        <f>IF(R676=0,0,COUNTIFS('RECEBIMENTOS'!$R$6:$R$1005,A676,'RECEBIMENTOS'!$Z$6:$Z$1005,1))</f>
        <v>0</v>
      </c>
      <c r="AC676" s="96">
        <f>IF(R676=0,0,COUNTIFS('RECEBIMENTOS'!$R$6:$R$1005,A676,'RECEBIMENTOS'!$Y$6:$Y$1005,1))</f>
        <v>0</v>
      </c>
      <c r="AD676" s="96">
        <f>IF(R676=0,0,COUNTIFS('VÍNCULOS_CDF'!$R$6:$R$1005,A676,'VÍNCULOS_CDF'!$N$6:$N$1005,1))</f>
        <v>0</v>
      </c>
      <c r="AE676" s="96">
        <f>IF(R676=0,0,COUNTIFS('VÍNCULOS_CDF'!$R$6:$R$1005,A676,'VÍNCULOS_CDF'!$AA$6:$AA$1005,1))</f>
        <v>0</v>
      </c>
      <c r="AF676" s="96">
        <f>IF(R676=0,0,COUNTIFS('VÍNCULOS_CDF'!$R$6:$R$1005,A676,'VÍNCULOS_CDF'!$Y$6:$Y$1005,1))</f>
        <v>0</v>
      </c>
      <c r="AG676" s="96" t="str">
        <f>IF(AND(R676=1,S676&lt;&gt;"",C676&lt;&gt;""),S676&amp;"|"&amp;C676&amp;"|"&amp;G676&amp;"|"&amp;H676,"")</f>
        <v/>
      </c>
      <c r="AH676" s="96">
        <f>IF(AG676="",0,IF(SUMPRODUCT(--($AG$6:$AG$1005=AG676))&gt;1,1,0))</f>
        <v>0</v>
      </c>
      <c r="AI676" s="96">
        <f>IF(R676=0,0,IF(OR(U676=0,V676=0,Y676=0,AND(AH676=1,K676&lt;&gt;"Sim")),1,0))</f>
        <v>0</v>
      </c>
      <c r="AJ676" s="96">
        <f>IF(AND(R676=1,AA676&gt;0,AB676=AA676),1,0)</f>
        <v>0</v>
      </c>
      <c r="AK676" s="96">
        <f>IF(R676=0,0,IF(AA676&gt;0,N(L676),IF(ISNUMBER(I676),I676,0)))</f>
        <v>0</v>
      </c>
      <c r="AL676" s="96">
        <f>IF(R676=0,0,IF(AND(K676&lt;&gt;"Sim",N(M676)&gt;AK676+cfg_tol),1,0))</f>
        <v>0</v>
      </c>
      <c r="AM676" s="96">
        <f>IF(R676=0,0,IF(K676="Sim",0,IF(OR(AND(AA676&gt;0,ISNUMBER(I676),ABS(I676-N(L676))&gt;cfg_tol),AL676=1),1,0)))</f>
        <v>0</v>
      </c>
      <c r="AN676" s="96">
        <f>IF(AND(R676=1,N(M676)&gt;0,OR(N(M676)&gt;=AK676-cfg_tol,K676="Sim")),1,0)</f>
        <v>0</v>
      </c>
      <c r="AO676" s="96">
        <f>IF(AND(AN676=1,AD676&gt;0,AE676=AD676,AL676=0),1,0)</f>
        <v>0</v>
      </c>
      <c r="AP676" s="96">
        <f>IF(U676=0,0,IF(AND(INDEX('MTRs'!$AX$6:$AX$505,T676)=1,Z676=0,OR(f_res="",f_res="(Todos)",C676=f_res)),1,0))</f>
        <v>0</v>
      </c>
      <c r="AQ676" s="97" t="str">
        <f>IF(U676=0,"",INDEX('MTRs'!$AZ$6:$AZ$505,T676))</f>
        <v/>
      </c>
      <c r="AR676" s="96">
        <f>IF(U676=0,0,IF(AND(INDEX('MTRs'!$BA$6:$BA$505,T676)=1,Z676=0),1,0))</f>
        <v>0</v>
      </c>
      <c r="AS676" s="96" t="str">
        <f>IF(R676=1,A676&amp;" | MTR "&amp;IF(U676=1,INDEX('MTRs'!$B$6:$B$505,T676)&amp;"","?")&amp;" | "&amp;IF(C676="","(sem resíduo)",C676),"")</f>
        <v/>
      </c>
      <c r="AT676" s="96" t="str">
        <f>IF(R676=1,COUNTIF($R$6:R676,1),"")</f>
        <v/>
      </c>
      <c r="AU676" s="96" t="str">
        <f>IF(U676=1,INDEX('MTRs'!$I$6:$I$505,T676)&amp;"","")</f>
        <v/>
      </c>
    </row>
    <row r="677">
      <c r="A677" s="89" t="inlineStr">
        <is>
          <t>IT-000672</t>
        </is>
      </c>
      <c r="B677" s="91" t="n"/>
      <c r="C677" s="91" t="n"/>
      <c r="D677" s="94" t="str">
        <f>IF(OR(R677=0,V677=0),"",INDEX('CAD_RESÍDUOS'!$E$6:$E$205,MATCH(C677,'CAD_RESÍDUOS'!$B$6:$B$205,0))&amp;"")</f>
        <v/>
      </c>
      <c r="E677" s="94" t="str">
        <f>IF(OR(R677=0,V677=0),"",INDEX('CAD_RESÍDUOS'!$C$6:$C$205,MATCH(C677,'CAD_RESÍDUOS'!$B$6:$B$205,0))&amp;"")</f>
        <v/>
      </c>
      <c r="F677" s="94" t="str">
        <f>IF(OR(R677=0,V677=0),"",INDEX('CAD_RESÍDUOS'!$G$6:$G$205,MATCH(C677,'CAD_RESÍDUOS'!$B$6:$B$205,0))&amp;"")</f>
        <v/>
      </c>
      <c r="G677" s="98" t="n"/>
      <c r="H677" s="91" t="n"/>
      <c r="I677" s="93" t="str">
        <f>IF(R677=0,"",IF(NOT(ISNUMBER(G677)),"",IF(ISNUMBER(X677),G677*X677,"UNIDADE A CONFERIR")))</f>
        <v/>
      </c>
      <c r="J677" s="91" t="n"/>
      <c r="K677" s="91" t="n"/>
      <c r="L677" s="93" t="str">
        <f>IF(R677=0,"",SUMIFS('RECEBIMENTOS'!$H$6:$H$1005,'RECEBIMENTOS'!$R$6:$R$1005,A677,'RECEBIMENTOS'!$X$6:$X$1005,1))</f>
        <v/>
      </c>
      <c r="M677" s="93" t="str">
        <f>IF(R677=0,"",SUMIFS('VÍNCULOS_CDF'!$H$6:$H$1005,'VÍNCULOS_CDF'!$R$6:$R$1005,A677,'VÍNCULOS_CDF'!$V$6:$V$1005,1))</f>
        <v/>
      </c>
      <c r="N677" s="99" t="str">
        <f>IF(OR(R677=0,AA677=0,NOT(ISNUMBER(I677))),"",I677-N(L677))</f>
        <v/>
      </c>
      <c r="O677" s="100" t="str">
        <f>IF(OR(R677=0,AK677&lt;=0),"",N(M677)/AK677)</f>
        <v/>
      </c>
      <c r="P677" s="94" t="str">
        <f>IF(R677=0,"",IF(S677="","Sem MTR associado",IF(U677=0,"MTR inexistente",IF(C677="","Resíduo não identificado",IF(V677=0,"Resíduo fora do cadastro",IF(W677=0,"Quantidade inválida",IF(H677="","Unidade não informada",IF(NOT(ISNUMBER(I677)),"Unidade a conferir",IF(AND(AH677=1,K677&lt;&gt;"Sim"),"Possível duplicidade",IF(Z677=1,"MTR cancelado",IF(AC677&gt;0,"Recebimento com alerta",IF(AA677=0,"Aguardando recebimento",IF(AB677&lt;AA677,"Recebimento a conferir",IF(AM677=1,"Quantidade a revisar",IF(AF677&gt;0,"Vínculo a revisar",IF(AD677=0,"Aguardando CDF",IF(AN677=0,"Vínculo de CDF parcial",IF(AE677&lt;AD677,"CDF a conferir","Documentação conferida"))))))))))))))))))</f>
        <v/>
      </c>
      <c r="Q677" s="93" t="str">
        <f>IF(OR(R677=0,AA677=0),"",MAX(0,N(L677)-N(M677)))</f>
        <v/>
      </c>
      <c r="R677" s="96">
        <f>IF(COUNTA(B677:C677,G677:H677,J677:K677)&gt;0,1,0)</f>
        <v>0</v>
      </c>
      <c r="S677" s="96" t="str">
        <f>IF(B677="","",TRIM(LEFT(B677,FIND(" |",B677&amp;" |")-1)))</f>
        <v/>
      </c>
      <c r="T677" s="96" t="str">
        <f>IF(S677="","",IFERROR(MATCH(S677,'MTRs'!$A$6:$A$505,0),""))</f>
        <v/>
      </c>
      <c r="U677" s="96">
        <f>IF(T677="",0,IF(INDEX('MTRs'!$Z$6:$Z$505,T677)=1,1,0))</f>
        <v>0</v>
      </c>
      <c r="V677" s="96">
        <f>IF(C677="",0,IF(ISNUMBER(MATCH(C677,'CAD_RESÍDUOS'!$B$6:$B$205,0)),1,0))</f>
        <v>0</v>
      </c>
      <c r="W677" s="96">
        <f>IF(AND(ISNUMBER(G677),G677&gt;0),1,0)</f>
        <v>0</v>
      </c>
      <c r="X677" s="96" t="str">
        <f>IF(H677="","",IFERROR(IF(ISNUMBER(INDEX(cfg_fac,MATCH(H677,cfg_units,0))),IF(INDEX(cfg_fac,MATCH(H677,cfg_units,0))&gt;0,INDEX(cfg_fac,MATCH(H677,cfg_units,0)),""),""),""))</f>
        <v/>
      </c>
      <c r="Y677" s="96">
        <f>IF(AND(W677=1,ISNUMBER(I677)),1,0)</f>
        <v>0</v>
      </c>
      <c r="Z677" s="96">
        <f>IF(U677=1,INDEX('MTRs'!$AA$6:$AA$505,T677),0)</f>
        <v>0</v>
      </c>
      <c r="AA677" s="96">
        <f>IF(R677=0,0,COUNTIFS('RECEBIMENTOS'!$R$6:$R$1005,A677,'RECEBIMENTOS'!$Q$6:$Q$1005,1))</f>
        <v>0</v>
      </c>
      <c r="AB677" s="96">
        <f>IF(R677=0,0,COUNTIFS('RECEBIMENTOS'!$R$6:$R$1005,A677,'RECEBIMENTOS'!$Z$6:$Z$1005,1))</f>
        <v>0</v>
      </c>
      <c r="AC677" s="96">
        <f>IF(R677=0,0,COUNTIFS('RECEBIMENTOS'!$R$6:$R$1005,A677,'RECEBIMENTOS'!$Y$6:$Y$1005,1))</f>
        <v>0</v>
      </c>
      <c r="AD677" s="96">
        <f>IF(R677=0,0,COUNTIFS('VÍNCULOS_CDF'!$R$6:$R$1005,A677,'VÍNCULOS_CDF'!$N$6:$N$1005,1))</f>
        <v>0</v>
      </c>
      <c r="AE677" s="96">
        <f>IF(R677=0,0,COUNTIFS('VÍNCULOS_CDF'!$R$6:$R$1005,A677,'VÍNCULOS_CDF'!$AA$6:$AA$1005,1))</f>
        <v>0</v>
      </c>
      <c r="AF677" s="96">
        <f>IF(R677=0,0,COUNTIFS('VÍNCULOS_CDF'!$R$6:$R$1005,A677,'VÍNCULOS_CDF'!$Y$6:$Y$1005,1))</f>
        <v>0</v>
      </c>
      <c r="AG677" s="96" t="str">
        <f>IF(AND(R677=1,S677&lt;&gt;"",C677&lt;&gt;""),S677&amp;"|"&amp;C677&amp;"|"&amp;G677&amp;"|"&amp;H677,"")</f>
        <v/>
      </c>
      <c r="AH677" s="96">
        <f>IF(AG677="",0,IF(SUMPRODUCT(--($AG$6:$AG$1005=AG677))&gt;1,1,0))</f>
        <v>0</v>
      </c>
      <c r="AI677" s="96">
        <f>IF(R677=0,0,IF(OR(U677=0,V677=0,Y677=0,AND(AH677=1,K677&lt;&gt;"Sim")),1,0))</f>
        <v>0</v>
      </c>
      <c r="AJ677" s="96">
        <f>IF(AND(R677=1,AA677&gt;0,AB677=AA677),1,0)</f>
        <v>0</v>
      </c>
      <c r="AK677" s="96">
        <f>IF(R677=0,0,IF(AA677&gt;0,N(L677),IF(ISNUMBER(I677),I677,0)))</f>
        <v>0</v>
      </c>
      <c r="AL677" s="96">
        <f>IF(R677=0,0,IF(AND(K677&lt;&gt;"Sim",N(M677)&gt;AK677+cfg_tol),1,0))</f>
        <v>0</v>
      </c>
      <c r="AM677" s="96">
        <f>IF(R677=0,0,IF(K677="Sim",0,IF(OR(AND(AA677&gt;0,ISNUMBER(I677),ABS(I677-N(L677))&gt;cfg_tol),AL677=1),1,0)))</f>
        <v>0</v>
      </c>
      <c r="AN677" s="96">
        <f>IF(AND(R677=1,N(M677)&gt;0,OR(N(M677)&gt;=AK677-cfg_tol,K677="Sim")),1,0)</f>
        <v>0</v>
      </c>
      <c r="AO677" s="96">
        <f>IF(AND(AN677=1,AD677&gt;0,AE677=AD677,AL677=0),1,0)</f>
        <v>0</v>
      </c>
      <c r="AP677" s="96">
        <f>IF(U677=0,0,IF(AND(INDEX('MTRs'!$AX$6:$AX$505,T677)=1,Z677=0,OR(f_res="",f_res="(Todos)",C677=f_res)),1,0))</f>
        <v>0</v>
      </c>
      <c r="AQ677" s="97" t="str">
        <f>IF(U677=0,"",INDEX('MTRs'!$AZ$6:$AZ$505,T677))</f>
        <v/>
      </c>
      <c r="AR677" s="96">
        <f>IF(U677=0,0,IF(AND(INDEX('MTRs'!$BA$6:$BA$505,T677)=1,Z677=0),1,0))</f>
        <v>0</v>
      </c>
      <c r="AS677" s="96" t="str">
        <f>IF(R677=1,A677&amp;" | MTR "&amp;IF(U677=1,INDEX('MTRs'!$B$6:$B$505,T677)&amp;"","?")&amp;" | "&amp;IF(C677="","(sem resíduo)",C677),"")</f>
        <v/>
      </c>
      <c r="AT677" s="96" t="str">
        <f>IF(R677=1,COUNTIF($R$6:R677,1),"")</f>
        <v/>
      </c>
      <c r="AU677" s="96" t="str">
        <f>IF(U677=1,INDEX('MTRs'!$I$6:$I$505,T677)&amp;"","")</f>
        <v/>
      </c>
    </row>
    <row r="678">
      <c r="A678" s="89" t="inlineStr">
        <is>
          <t>IT-000673</t>
        </is>
      </c>
      <c r="B678" s="91" t="n"/>
      <c r="C678" s="91" t="n"/>
      <c r="D678" s="94" t="str">
        <f>IF(OR(R678=0,V678=0),"",INDEX('CAD_RESÍDUOS'!$E$6:$E$205,MATCH(C678,'CAD_RESÍDUOS'!$B$6:$B$205,0))&amp;"")</f>
        <v/>
      </c>
      <c r="E678" s="94" t="str">
        <f>IF(OR(R678=0,V678=0),"",INDEX('CAD_RESÍDUOS'!$C$6:$C$205,MATCH(C678,'CAD_RESÍDUOS'!$B$6:$B$205,0))&amp;"")</f>
        <v/>
      </c>
      <c r="F678" s="94" t="str">
        <f>IF(OR(R678=0,V678=0),"",INDEX('CAD_RESÍDUOS'!$G$6:$G$205,MATCH(C678,'CAD_RESÍDUOS'!$B$6:$B$205,0))&amp;"")</f>
        <v/>
      </c>
      <c r="G678" s="98" t="n"/>
      <c r="H678" s="91" t="n"/>
      <c r="I678" s="93" t="str">
        <f>IF(R678=0,"",IF(NOT(ISNUMBER(G678)),"",IF(ISNUMBER(X678),G678*X678,"UNIDADE A CONFERIR")))</f>
        <v/>
      </c>
      <c r="J678" s="91" t="n"/>
      <c r="K678" s="91" t="n"/>
      <c r="L678" s="93" t="str">
        <f>IF(R678=0,"",SUMIFS('RECEBIMENTOS'!$H$6:$H$1005,'RECEBIMENTOS'!$R$6:$R$1005,A678,'RECEBIMENTOS'!$X$6:$X$1005,1))</f>
        <v/>
      </c>
      <c r="M678" s="93" t="str">
        <f>IF(R678=0,"",SUMIFS('VÍNCULOS_CDF'!$H$6:$H$1005,'VÍNCULOS_CDF'!$R$6:$R$1005,A678,'VÍNCULOS_CDF'!$V$6:$V$1005,1))</f>
        <v/>
      </c>
      <c r="N678" s="99" t="str">
        <f>IF(OR(R678=0,AA678=0,NOT(ISNUMBER(I678))),"",I678-N(L678))</f>
        <v/>
      </c>
      <c r="O678" s="100" t="str">
        <f>IF(OR(R678=0,AK678&lt;=0),"",N(M678)/AK678)</f>
        <v/>
      </c>
      <c r="P678" s="94" t="str">
        <f>IF(R678=0,"",IF(S678="","Sem MTR associado",IF(U678=0,"MTR inexistente",IF(C678="","Resíduo não identificado",IF(V678=0,"Resíduo fora do cadastro",IF(W678=0,"Quantidade inválida",IF(H678="","Unidade não informada",IF(NOT(ISNUMBER(I678)),"Unidade a conferir",IF(AND(AH678=1,K678&lt;&gt;"Sim"),"Possível duplicidade",IF(Z678=1,"MTR cancelado",IF(AC678&gt;0,"Recebimento com alerta",IF(AA678=0,"Aguardando recebimento",IF(AB678&lt;AA678,"Recebimento a conferir",IF(AM678=1,"Quantidade a revisar",IF(AF678&gt;0,"Vínculo a revisar",IF(AD678=0,"Aguardando CDF",IF(AN678=0,"Vínculo de CDF parcial",IF(AE678&lt;AD678,"CDF a conferir","Documentação conferida"))))))))))))))))))</f>
        <v/>
      </c>
      <c r="Q678" s="93" t="str">
        <f>IF(OR(R678=0,AA678=0),"",MAX(0,N(L678)-N(M678)))</f>
        <v/>
      </c>
      <c r="R678" s="96">
        <f>IF(COUNTA(B678:C678,G678:H678,J678:K678)&gt;0,1,0)</f>
        <v>0</v>
      </c>
      <c r="S678" s="96" t="str">
        <f>IF(B678="","",TRIM(LEFT(B678,FIND(" |",B678&amp;" |")-1)))</f>
        <v/>
      </c>
      <c r="T678" s="96" t="str">
        <f>IF(S678="","",IFERROR(MATCH(S678,'MTRs'!$A$6:$A$505,0),""))</f>
        <v/>
      </c>
      <c r="U678" s="96">
        <f>IF(T678="",0,IF(INDEX('MTRs'!$Z$6:$Z$505,T678)=1,1,0))</f>
        <v>0</v>
      </c>
      <c r="V678" s="96">
        <f>IF(C678="",0,IF(ISNUMBER(MATCH(C678,'CAD_RESÍDUOS'!$B$6:$B$205,0)),1,0))</f>
        <v>0</v>
      </c>
      <c r="W678" s="96">
        <f>IF(AND(ISNUMBER(G678),G678&gt;0),1,0)</f>
        <v>0</v>
      </c>
      <c r="X678" s="96" t="str">
        <f>IF(H678="","",IFERROR(IF(ISNUMBER(INDEX(cfg_fac,MATCH(H678,cfg_units,0))),IF(INDEX(cfg_fac,MATCH(H678,cfg_units,0))&gt;0,INDEX(cfg_fac,MATCH(H678,cfg_units,0)),""),""),""))</f>
        <v/>
      </c>
      <c r="Y678" s="96">
        <f>IF(AND(W678=1,ISNUMBER(I678)),1,0)</f>
        <v>0</v>
      </c>
      <c r="Z678" s="96">
        <f>IF(U678=1,INDEX('MTRs'!$AA$6:$AA$505,T678),0)</f>
        <v>0</v>
      </c>
      <c r="AA678" s="96">
        <f>IF(R678=0,0,COUNTIFS('RECEBIMENTOS'!$R$6:$R$1005,A678,'RECEBIMENTOS'!$Q$6:$Q$1005,1))</f>
        <v>0</v>
      </c>
      <c r="AB678" s="96">
        <f>IF(R678=0,0,COUNTIFS('RECEBIMENTOS'!$R$6:$R$1005,A678,'RECEBIMENTOS'!$Z$6:$Z$1005,1))</f>
        <v>0</v>
      </c>
      <c r="AC678" s="96">
        <f>IF(R678=0,0,COUNTIFS('RECEBIMENTOS'!$R$6:$R$1005,A678,'RECEBIMENTOS'!$Y$6:$Y$1005,1))</f>
        <v>0</v>
      </c>
      <c r="AD678" s="96">
        <f>IF(R678=0,0,COUNTIFS('VÍNCULOS_CDF'!$R$6:$R$1005,A678,'VÍNCULOS_CDF'!$N$6:$N$1005,1))</f>
        <v>0</v>
      </c>
      <c r="AE678" s="96">
        <f>IF(R678=0,0,COUNTIFS('VÍNCULOS_CDF'!$R$6:$R$1005,A678,'VÍNCULOS_CDF'!$AA$6:$AA$1005,1))</f>
        <v>0</v>
      </c>
      <c r="AF678" s="96">
        <f>IF(R678=0,0,COUNTIFS('VÍNCULOS_CDF'!$R$6:$R$1005,A678,'VÍNCULOS_CDF'!$Y$6:$Y$1005,1))</f>
        <v>0</v>
      </c>
      <c r="AG678" s="96" t="str">
        <f>IF(AND(R678=1,S678&lt;&gt;"",C678&lt;&gt;""),S678&amp;"|"&amp;C678&amp;"|"&amp;G678&amp;"|"&amp;H678,"")</f>
        <v/>
      </c>
      <c r="AH678" s="96">
        <f>IF(AG678="",0,IF(SUMPRODUCT(--($AG$6:$AG$1005=AG678))&gt;1,1,0))</f>
        <v>0</v>
      </c>
      <c r="AI678" s="96">
        <f>IF(R678=0,0,IF(OR(U678=0,V678=0,Y678=0,AND(AH678=1,K678&lt;&gt;"Sim")),1,0))</f>
        <v>0</v>
      </c>
      <c r="AJ678" s="96">
        <f>IF(AND(R678=1,AA678&gt;0,AB678=AA678),1,0)</f>
        <v>0</v>
      </c>
      <c r="AK678" s="96">
        <f>IF(R678=0,0,IF(AA678&gt;0,N(L678),IF(ISNUMBER(I678),I678,0)))</f>
        <v>0</v>
      </c>
      <c r="AL678" s="96">
        <f>IF(R678=0,0,IF(AND(K678&lt;&gt;"Sim",N(M678)&gt;AK678+cfg_tol),1,0))</f>
        <v>0</v>
      </c>
      <c r="AM678" s="96">
        <f>IF(R678=0,0,IF(K678="Sim",0,IF(OR(AND(AA678&gt;0,ISNUMBER(I678),ABS(I678-N(L678))&gt;cfg_tol),AL678=1),1,0)))</f>
        <v>0</v>
      </c>
      <c r="AN678" s="96">
        <f>IF(AND(R678=1,N(M678)&gt;0,OR(N(M678)&gt;=AK678-cfg_tol,K678="Sim")),1,0)</f>
        <v>0</v>
      </c>
      <c r="AO678" s="96">
        <f>IF(AND(AN678=1,AD678&gt;0,AE678=AD678,AL678=0),1,0)</f>
        <v>0</v>
      </c>
      <c r="AP678" s="96">
        <f>IF(U678=0,0,IF(AND(INDEX('MTRs'!$AX$6:$AX$505,T678)=1,Z678=0,OR(f_res="",f_res="(Todos)",C678=f_res)),1,0))</f>
        <v>0</v>
      </c>
      <c r="AQ678" s="97" t="str">
        <f>IF(U678=0,"",INDEX('MTRs'!$AZ$6:$AZ$505,T678))</f>
        <v/>
      </c>
      <c r="AR678" s="96">
        <f>IF(U678=0,0,IF(AND(INDEX('MTRs'!$BA$6:$BA$505,T678)=1,Z678=0),1,0))</f>
        <v>0</v>
      </c>
      <c r="AS678" s="96" t="str">
        <f>IF(R678=1,A678&amp;" | MTR "&amp;IF(U678=1,INDEX('MTRs'!$B$6:$B$505,T678)&amp;"","?")&amp;" | "&amp;IF(C678="","(sem resíduo)",C678),"")</f>
        <v/>
      </c>
      <c r="AT678" s="96" t="str">
        <f>IF(R678=1,COUNTIF($R$6:R678,1),"")</f>
        <v/>
      </c>
      <c r="AU678" s="96" t="str">
        <f>IF(U678=1,INDEX('MTRs'!$I$6:$I$505,T678)&amp;"","")</f>
        <v/>
      </c>
    </row>
    <row r="679">
      <c r="A679" s="89" t="inlineStr">
        <is>
          <t>IT-000674</t>
        </is>
      </c>
      <c r="B679" s="91" t="n"/>
      <c r="C679" s="91" t="n"/>
      <c r="D679" s="94" t="str">
        <f>IF(OR(R679=0,V679=0),"",INDEX('CAD_RESÍDUOS'!$E$6:$E$205,MATCH(C679,'CAD_RESÍDUOS'!$B$6:$B$205,0))&amp;"")</f>
        <v/>
      </c>
      <c r="E679" s="94" t="str">
        <f>IF(OR(R679=0,V679=0),"",INDEX('CAD_RESÍDUOS'!$C$6:$C$205,MATCH(C679,'CAD_RESÍDUOS'!$B$6:$B$205,0))&amp;"")</f>
        <v/>
      </c>
      <c r="F679" s="94" t="str">
        <f>IF(OR(R679=0,V679=0),"",INDEX('CAD_RESÍDUOS'!$G$6:$G$205,MATCH(C679,'CAD_RESÍDUOS'!$B$6:$B$205,0))&amp;"")</f>
        <v/>
      </c>
      <c r="G679" s="98" t="n"/>
      <c r="H679" s="91" t="n"/>
      <c r="I679" s="93" t="str">
        <f>IF(R679=0,"",IF(NOT(ISNUMBER(G679)),"",IF(ISNUMBER(X679),G679*X679,"UNIDADE A CONFERIR")))</f>
        <v/>
      </c>
      <c r="J679" s="91" t="n"/>
      <c r="K679" s="91" t="n"/>
      <c r="L679" s="93" t="str">
        <f>IF(R679=0,"",SUMIFS('RECEBIMENTOS'!$H$6:$H$1005,'RECEBIMENTOS'!$R$6:$R$1005,A679,'RECEBIMENTOS'!$X$6:$X$1005,1))</f>
        <v/>
      </c>
      <c r="M679" s="93" t="str">
        <f>IF(R679=0,"",SUMIFS('VÍNCULOS_CDF'!$H$6:$H$1005,'VÍNCULOS_CDF'!$R$6:$R$1005,A679,'VÍNCULOS_CDF'!$V$6:$V$1005,1))</f>
        <v/>
      </c>
      <c r="N679" s="99" t="str">
        <f>IF(OR(R679=0,AA679=0,NOT(ISNUMBER(I679))),"",I679-N(L679))</f>
        <v/>
      </c>
      <c r="O679" s="100" t="str">
        <f>IF(OR(R679=0,AK679&lt;=0),"",N(M679)/AK679)</f>
        <v/>
      </c>
      <c r="P679" s="94" t="str">
        <f>IF(R679=0,"",IF(S679="","Sem MTR associado",IF(U679=0,"MTR inexistente",IF(C679="","Resíduo não identificado",IF(V679=0,"Resíduo fora do cadastro",IF(W679=0,"Quantidade inválida",IF(H679="","Unidade não informada",IF(NOT(ISNUMBER(I679)),"Unidade a conferir",IF(AND(AH679=1,K679&lt;&gt;"Sim"),"Possível duplicidade",IF(Z679=1,"MTR cancelado",IF(AC679&gt;0,"Recebimento com alerta",IF(AA679=0,"Aguardando recebimento",IF(AB679&lt;AA679,"Recebimento a conferir",IF(AM679=1,"Quantidade a revisar",IF(AF679&gt;0,"Vínculo a revisar",IF(AD679=0,"Aguardando CDF",IF(AN679=0,"Vínculo de CDF parcial",IF(AE679&lt;AD679,"CDF a conferir","Documentação conferida"))))))))))))))))))</f>
        <v/>
      </c>
      <c r="Q679" s="93" t="str">
        <f>IF(OR(R679=0,AA679=0),"",MAX(0,N(L679)-N(M679)))</f>
        <v/>
      </c>
      <c r="R679" s="96">
        <f>IF(COUNTA(B679:C679,G679:H679,J679:K679)&gt;0,1,0)</f>
        <v>0</v>
      </c>
      <c r="S679" s="96" t="str">
        <f>IF(B679="","",TRIM(LEFT(B679,FIND(" |",B679&amp;" |")-1)))</f>
        <v/>
      </c>
      <c r="T679" s="96" t="str">
        <f>IF(S679="","",IFERROR(MATCH(S679,'MTRs'!$A$6:$A$505,0),""))</f>
        <v/>
      </c>
      <c r="U679" s="96">
        <f>IF(T679="",0,IF(INDEX('MTRs'!$Z$6:$Z$505,T679)=1,1,0))</f>
        <v>0</v>
      </c>
      <c r="V679" s="96">
        <f>IF(C679="",0,IF(ISNUMBER(MATCH(C679,'CAD_RESÍDUOS'!$B$6:$B$205,0)),1,0))</f>
        <v>0</v>
      </c>
      <c r="W679" s="96">
        <f>IF(AND(ISNUMBER(G679),G679&gt;0),1,0)</f>
        <v>0</v>
      </c>
      <c r="X679" s="96" t="str">
        <f>IF(H679="","",IFERROR(IF(ISNUMBER(INDEX(cfg_fac,MATCH(H679,cfg_units,0))),IF(INDEX(cfg_fac,MATCH(H679,cfg_units,0))&gt;0,INDEX(cfg_fac,MATCH(H679,cfg_units,0)),""),""),""))</f>
        <v/>
      </c>
      <c r="Y679" s="96">
        <f>IF(AND(W679=1,ISNUMBER(I679)),1,0)</f>
        <v>0</v>
      </c>
      <c r="Z679" s="96">
        <f>IF(U679=1,INDEX('MTRs'!$AA$6:$AA$505,T679),0)</f>
        <v>0</v>
      </c>
      <c r="AA679" s="96">
        <f>IF(R679=0,0,COUNTIFS('RECEBIMENTOS'!$R$6:$R$1005,A679,'RECEBIMENTOS'!$Q$6:$Q$1005,1))</f>
        <v>0</v>
      </c>
      <c r="AB679" s="96">
        <f>IF(R679=0,0,COUNTIFS('RECEBIMENTOS'!$R$6:$R$1005,A679,'RECEBIMENTOS'!$Z$6:$Z$1005,1))</f>
        <v>0</v>
      </c>
      <c r="AC679" s="96">
        <f>IF(R679=0,0,COUNTIFS('RECEBIMENTOS'!$R$6:$R$1005,A679,'RECEBIMENTOS'!$Y$6:$Y$1005,1))</f>
        <v>0</v>
      </c>
      <c r="AD679" s="96">
        <f>IF(R679=0,0,COUNTIFS('VÍNCULOS_CDF'!$R$6:$R$1005,A679,'VÍNCULOS_CDF'!$N$6:$N$1005,1))</f>
        <v>0</v>
      </c>
      <c r="AE679" s="96">
        <f>IF(R679=0,0,COUNTIFS('VÍNCULOS_CDF'!$R$6:$R$1005,A679,'VÍNCULOS_CDF'!$AA$6:$AA$1005,1))</f>
        <v>0</v>
      </c>
      <c r="AF679" s="96">
        <f>IF(R679=0,0,COUNTIFS('VÍNCULOS_CDF'!$R$6:$R$1005,A679,'VÍNCULOS_CDF'!$Y$6:$Y$1005,1))</f>
        <v>0</v>
      </c>
      <c r="AG679" s="96" t="str">
        <f>IF(AND(R679=1,S679&lt;&gt;"",C679&lt;&gt;""),S679&amp;"|"&amp;C679&amp;"|"&amp;G679&amp;"|"&amp;H679,"")</f>
        <v/>
      </c>
      <c r="AH679" s="96">
        <f>IF(AG679="",0,IF(SUMPRODUCT(--($AG$6:$AG$1005=AG679))&gt;1,1,0))</f>
        <v>0</v>
      </c>
      <c r="AI679" s="96">
        <f>IF(R679=0,0,IF(OR(U679=0,V679=0,Y679=0,AND(AH679=1,K679&lt;&gt;"Sim")),1,0))</f>
        <v>0</v>
      </c>
      <c r="AJ679" s="96">
        <f>IF(AND(R679=1,AA679&gt;0,AB679=AA679),1,0)</f>
        <v>0</v>
      </c>
      <c r="AK679" s="96">
        <f>IF(R679=0,0,IF(AA679&gt;0,N(L679),IF(ISNUMBER(I679),I679,0)))</f>
        <v>0</v>
      </c>
      <c r="AL679" s="96">
        <f>IF(R679=0,0,IF(AND(K679&lt;&gt;"Sim",N(M679)&gt;AK679+cfg_tol),1,0))</f>
        <v>0</v>
      </c>
      <c r="AM679" s="96">
        <f>IF(R679=0,0,IF(K679="Sim",0,IF(OR(AND(AA679&gt;0,ISNUMBER(I679),ABS(I679-N(L679))&gt;cfg_tol),AL679=1),1,0)))</f>
        <v>0</v>
      </c>
      <c r="AN679" s="96">
        <f>IF(AND(R679=1,N(M679)&gt;0,OR(N(M679)&gt;=AK679-cfg_tol,K679="Sim")),1,0)</f>
        <v>0</v>
      </c>
      <c r="AO679" s="96">
        <f>IF(AND(AN679=1,AD679&gt;0,AE679=AD679,AL679=0),1,0)</f>
        <v>0</v>
      </c>
      <c r="AP679" s="96">
        <f>IF(U679=0,0,IF(AND(INDEX('MTRs'!$AX$6:$AX$505,T679)=1,Z679=0,OR(f_res="",f_res="(Todos)",C679=f_res)),1,0))</f>
        <v>0</v>
      </c>
      <c r="AQ679" s="97" t="str">
        <f>IF(U679=0,"",INDEX('MTRs'!$AZ$6:$AZ$505,T679))</f>
        <v/>
      </c>
      <c r="AR679" s="96">
        <f>IF(U679=0,0,IF(AND(INDEX('MTRs'!$BA$6:$BA$505,T679)=1,Z679=0),1,0))</f>
        <v>0</v>
      </c>
      <c r="AS679" s="96" t="str">
        <f>IF(R679=1,A679&amp;" | MTR "&amp;IF(U679=1,INDEX('MTRs'!$B$6:$B$505,T679)&amp;"","?")&amp;" | "&amp;IF(C679="","(sem resíduo)",C679),"")</f>
        <v/>
      </c>
      <c r="AT679" s="96" t="str">
        <f>IF(R679=1,COUNTIF($R$6:R679,1),"")</f>
        <v/>
      </c>
      <c r="AU679" s="96" t="str">
        <f>IF(U679=1,INDEX('MTRs'!$I$6:$I$505,T679)&amp;"","")</f>
        <v/>
      </c>
    </row>
    <row r="680">
      <c r="A680" s="89" t="inlineStr">
        <is>
          <t>IT-000675</t>
        </is>
      </c>
      <c r="B680" s="91" t="n"/>
      <c r="C680" s="91" t="n"/>
      <c r="D680" s="94" t="str">
        <f>IF(OR(R680=0,V680=0),"",INDEX('CAD_RESÍDUOS'!$E$6:$E$205,MATCH(C680,'CAD_RESÍDUOS'!$B$6:$B$205,0))&amp;"")</f>
        <v/>
      </c>
      <c r="E680" s="94" t="str">
        <f>IF(OR(R680=0,V680=0),"",INDEX('CAD_RESÍDUOS'!$C$6:$C$205,MATCH(C680,'CAD_RESÍDUOS'!$B$6:$B$205,0))&amp;"")</f>
        <v/>
      </c>
      <c r="F680" s="94" t="str">
        <f>IF(OR(R680=0,V680=0),"",INDEX('CAD_RESÍDUOS'!$G$6:$G$205,MATCH(C680,'CAD_RESÍDUOS'!$B$6:$B$205,0))&amp;"")</f>
        <v/>
      </c>
      <c r="G680" s="98" t="n"/>
      <c r="H680" s="91" t="n"/>
      <c r="I680" s="93" t="str">
        <f>IF(R680=0,"",IF(NOT(ISNUMBER(G680)),"",IF(ISNUMBER(X680),G680*X680,"UNIDADE A CONFERIR")))</f>
        <v/>
      </c>
      <c r="J680" s="91" t="n"/>
      <c r="K680" s="91" t="n"/>
      <c r="L680" s="93" t="str">
        <f>IF(R680=0,"",SUMIFS('RECEBIMENTOS'!$H$6:$H$1005,'RECEBIMENTOS'!$R$6:$R$1005,A680,'RECEBIMENTOS'!$X$6:$X$1005,1))</f>
        <v/>
      </c>
      <c r="M680" s="93" t="str">
        <f>IF(R680=0,"",SUMIFS('VÍNCULOS_CDF'!$H$6:$H$1005,'VÍNCULOS_CDF'!$R$6:$R$1005,A680,'VÍNCULOS_CDF'!$V$6:$V$1005,1))</f>
        <v/>
      </c>
      <c r="N680" s="99" t="str">
        <f>IF(OR(R680=0,AA680=0,NOT(ISNUMBER(I680))),"",I680-N(L680))</f>
        <v/>
      </c>
      <c r="O680" s="100" t="str">
        <f>IF(OR(R680=0,AK680&lt;=0),"",N(M680)/AK680)</f>
        <v/>
      </c>
      <c r="P680" s="94" t="str">
        <f>IF(R680=0,"",IF(S680="","Sem MTR associado",IF(U680=0,"MTR inexistente",IF(C680="","Resíduo não identificado",IF(V680=0,"Resíduo fora do cadastro",IF(W680=0,"Quantidade inválida",IF(H680="","Unidade não informada",IF(NOT(ISNUMBER(I680)),"Unidade a conferir",IF(AND(AH680=1,K680&lt;&gt;"Sim"),"Possível duplicidade",IF(Z680=1,"MTR cancelado",IF(AC680&gt;0,"Recebimento com alerta",IF(AA680=0,"Aguardando recebimento",IF(AB680&lt;AA680,"Recebimento a conferir",IF(AM680=1,"Quantidade a revisar",IF(AF680&gt;0,"Vínculo a revisar",IF(AD680=0,"Aguardando CDF",IF(AN680=0,"Vínculo de CDF parcial",IF(AE680&lt;AD680,"CDF a conferir","Documentação conferida"))))))))))))))))))</f>
        <v/>
      </c>
      <c r="Q680" s="93" t="str">
        <f>IF(OR(R680=0,AA680=0),"",MAX(0,N(L680)-N(M680)))</f>
        <v/>
      </c>
      <c r="R680" s="96">
        <f>IF(COUNTA(B680:C680,G680:H680,J680:K680)&gt;0,1,0)</f>
        <v>0</v>
      </c>
      <c r="S680" s="96" t="str">
        <f>IF(B680="","",TRIM(LEFT(B680,FIND(" |",B680&amp;" |")-1)))</f>
        <v/>
      </c>
      <c r="T680" s="96" t="str">
        <f>IF(S680="","",IFERROR(MATCH(S680,'MTRs'!$A$6:$A$505,0),""))</f>
        <v/>
      </c>
      <c r="U680" s="96">
        <f>IF(T680="",0,IF(INDEX('MTRs'!$Z$6:$Z$505,T680)=1,1,0))</f>
        <v>0</v>
      </c>
      <c r="V680" s="96">
        <f>IF(C680="",0,IF(ISNUMBER(MATCH(C680,'CAD_RESÍDUOS'!$B$6:$B$205,0)),1,0))</f>
        <v>0</v>
      </c>
      <c r="W680" s="96">
        <f>IF(AND(ISNUMBER(G680),G680&gt;0),1,0)</f>
        <v>0</v>
      </c>
      <c r="X680" s="96" t="str">
        <f>IF(H680="","",IFERROR(IF(ISNUMBER(INDEX(cfg_fac,MATCH(H680,cfg_units,0))),IF(INDEX(cfg_fac,MATCH(H680,cfg_units,0))&gt;0,INDEX(cfg_fac,MATCH(H680,cfg_units,0)),""),""),""))</f>
        <v/>
      </c>
      <c r="Y680" s="96">
        <f>IF(AND(W680=1,ISNUMBER(I680)),1,0)</f>
        <v>0</v>
      </c>
      <c r="Z680" s="96">
        <f>IF(U680=1,INDEX('MTRs'!$AA$6:$AA$505,T680),0)</f>
        <v>0</v>
      </c>
      <c r="AA680" s="96">
        <f>IF(R680=0,0,COUNTIFS('RECEBIMENTOS'!$R$6:$R$1005,A680,'RECEBIMENTOS'!$Q$6:$Q$1005,1))</f>
        <v>0</v>
      </c>
      <c r="AB680" s="96">
        <f>IF(R680=0,0,COUNTIFS('RECEBIMENTOS'!$R$6:$R$1005,A680,'RECEBIMENTOS'!$Z$6:$Z$1005,1))</f>
        <v>0</v>
      </c>
      <c r="AC680" s="96">
        <f>IF(R680=0,0,COUNTIFS('RECEBIMENTOS'!$R$6:$R$1005,A680,'RECEBIMENTOS'!$Y$6:$Y$1005,1))</f>
        <v>0</v>
      </c>
      <c r="AD680" s="96">
        <f>IF(R680=0,0,COUNTIFS('VÍNCULOS_CDF'!$R$6:$R$1005,A680,'VÍNCULOS_CDF'!$N$6:$N$1005,1))</f>
        <v>0</v>
      </c>
      <c r="AE680" s="96">
        <f>IF(R680=0,0,COUNTIFS('VÍNCULOS_CDF'!$R$6:$R$1005,A680,'VÍNCULOS_CDF'!$AA$6:$AA$1005,1))</f>
        <v>0</v>
      </c>
      <c r="AF680" s="96">
        <f>IF(R680=0,0,COUNTIFS('VÍNCULOS_CDF'!$R$6:$R$1005,A680,'VÍNCULOS_CDF'!$Y$6:$Y$1005,1))</f>
        <v>0</v>
      </c>
      <c r="AG680" s="96" t="str">
        <f>IF(AND(R680=1,S680&lt;&gt;"",C680&lt;&gt;""),S680&amp;"|"&amp;C680&amp;"|"&amp;G680&amp;"|"&amp;H680,"")</f>
        <v/>
      </c>
      <c r="AH680" s="96">
        <f>IF(AG680="",0,IF(SUMPRODUCT(--($AG$6:$AG$1005=AG680))&gt;1,1,0))</f>
        <v>0</v>
      </c>
      <c r="AI680" s="96">
        <f>IF(R680=0,0,IF(OR(U680=0,V680=0,Y680=0,AND(AH680=1,K680&lt;&gt;"Sim")),1,0))</f>
        <v>0</v>
      </c>
      <c r="AJ680" s="96">
        <f>IF(AND(R680=1,AA680&gt;0,AB680=AA680),1,0)</f>
        <v>0</v>
      </c>
      <c r="AK680" s="96">
        <f>IF(R680=0,0,IF(AA680&gt;0,N(L680),IF(ISNUMBER(I680),I680,0)))</f>
        <v>0</v>
      </c>
      <c r="AL680" s="96">
        <f>IF(R680=0,0,IF(AND(K680&lt;&gt;"Sim",N(M680)&gt;AK680+cfg_tol),1,0))</f>
        <v>0</v>
      </c>
      <c r="AM680" s="96">
        <f>IF(R680=0,0,IF(K680="Sim",0,IF(OR(AND(AA680&gt;0,ISNUMBER(I680),ABS(I680-N(L680))&gt;cfg_tol),AL680=1),1,0)))</f>
        <v>0</v>
      </c>
      <c r="AN680" s="96">
        <f>IF(AND(R680=1,N(M680)&gt;0,OR(N(M680)&gt;=AK680-cfg_tol,K680="Sim")),1,0)</f>
        <v>0</v>
      </c>
      <c r="AO680" s="96">
        <f>IF(AND(AN680=1,AD680&gt;0,AE680=AD680,AL680=0),1,0)</f>
        <v>0</v>
      </c>
      <c r="AP680" s="96">
        <f>IF(U680=0,0,IF(AND(INDEX('MTRs'!$AX$6:$AX$505,T680)=1,Z680=0,OR(f_res="",f_res="(Todos)",C680=f_res)),1,0))</f>
        <v>0</v>
      </c>
      <c r="AQ680" s="97" t="str">
        <f>IF(U680=0,"",INDEX('MTRs'!$AZ$6:$AZ$505,T680))</f>
        <v/>
      </c>
      <c r="AR680" s="96">
        <f>IF(U680=0,0,IF(AND(INDEX('MTRs'!$BA$6:$BA$505,T680)=1,Z680=0),1,0))</f>
        <v>0</v>
      </c>
      <c r="AS680" s="96" t="str">
        <f>IF(R680=1,A680&amp;" | MTR "&amp;IF(U680=1,INDEX('MTRs'!$B$6:$B$505,T680)&amp;"","?")&amp;" | "&amp;IF(C680="","(sem resíduo)",C680),"")</f>
        <v/>
      </c>
      <c r="AT680" s="96" t="str">
        <f>IF(R680=1,COUNTIF($R$6:R680,1),"")</f>
        <v/>
      </c>
      <c r="AU680" s="96" t="str">
        <f>IF(U680=1,INDEX('MTRs'!$I$6:$I$505,T680)&amp;"","")</f>
        <v/>
      </c>
    </row>
    <row r="681">
      <c r="A681" s="89" t="inlineStr">
        <is>
          <t>IT-000676</t>
        </is>
      </c>
      <c r="B681" s="91" t="n"/>
      <c r="C681" s="91" t="n"/>
      <c r="D681" s="94" t="str">
        <f>IF(OR(R681=0,V681=0),"",INDEX('CAD_RESÍDUOS'!$E$6:$E$205,MATCH(C681,'CAD_RESÍDUOS'!$B$6:$B$205,0))&amp;"")</f>
        <v/>
      </c>
      <c r="E681" s="94" t="str">
        <f>IF(OR(R681=0,V681=0),"",INDEX('CAD_RESÍDUOS'!$C$6:$C$205,MATCH(C681,'CAD_RESÍDUOS'!$B$6:$B$205,0))&amp;"")</f>
        <v/>
      </c>
      <c r="F681" s="94" t="str">
        <f>IF(OR(R681=0,V681=0),"",INDEX('CAD_RESÍDUOS'!$G$6:$G$205,MATCH(C681,'CAD_RESÍDUOS'!$B$6:$B$205,0))&amp;"")</f>
        <v/>
      </c>
      <c r="G681" s="98" t="n"/>
      <c r="H681" s="91" t="n"/>
      <c r="I681" s="93" t="str">
        <f>IF(R681=0,"",IF(NOT(ISNUMBER(G681)),"",IF(ISNUMBER(X681),G681*X681,"UNIDADE A CONFERIR")))</f>
        <v/>
      </c>
      <c r="J681" s="91" t="n"/>
      <c r="K681" s="91" t="n"/>
      <c r="L681" s="93" t="str">
        <f>IF(R681=0,"",SUMIFS('RECEBIMENTOS'!$H$6:$H$1005,'RECEBIMENTOS'!$R$6:$R$1005,A681,'RECEBIMENTOS'!$X$6:$X$1005,1))</f>
        <v/>
      </c>
      <c r="M681" s="93" t="str">
        <f>IF(R681=0,"",SUMIFS('VÍNCULOS_CDF'!$H$6:$H$1005,'VÍNCULOS_CDF'!$R$6:$R$1005,A681,'VÍNCULOS_CDF'!$V$6:$V$1005,1))</f>
        <v/>
      </c>
      <c r="N681" s="99" t="str">
        <f>IF(OR(R681=0,AA681=0,NOT(ISNUMBER(I681))),"",I681-N(L681))</f>
        <v/>
      </c>
      <c r="O681" s="100" t="str">
        <f>IF(OR(R681=0,AK681&lt;=0),"",N(M681)/AK681)</f>
        <v/>
      </c>
      <c r="P681" s="94" t="str">
        <f>IF(R681=0,"",IF(S681="","Sem MTR associado",IF(U681=0,"MTR inexistente",IF(C681="","Resíduo não identificado",IF(V681=0,"Resíduo fora do cadastro",IF(W681=0,"Quantidade inválida",IF(H681="","Unidade não informada",IF(NOT(ISNUMBER(I681)),"Unidade a conferir",IF(AND(AH681=1,K681&lt;&gt;"Sim"),"Possível duplicidade",IF(Z681=1,"MTR cancelado",IF(AC681&gt;0,"Recebimento com alerta",IF(AA681=0,"Aguardando recebimento",IF(AB681&lt;AA681,"Recebimento a conferir",IF(AM681=1,"Quantidade a revisar",IF(AF681&gt;0,"Vínculo a revisar",IF(AD681=0,"Aguardando CDF",IF(AN681=0,"Vínculo de CDF parcial",IF(AE681&lt;AD681,"CDF a conferir","Documentação conferida"))))))))))))))))))</f>
        <v/>
      </c>
      <c r="Q681" s="93" t="str">
        <f>IF(OR(R681=0,AA681=0),"",MAX(0,N(L681)-N(M681)))</f>
        <v/>
      </c>
      <c r="R681" s="96">
        <f>IF(COUNTA(B681:C681,G681:H681,J681:K681)&gt;0,1,0)</f>
        <v>0</v>
      </c>
      <c r="S681" s="96" t="str">
        <f>IF(B681="","",TRIM(LEFT(B681,FIND(" |",B681&amp;" |")-1)))</f>
        <v/>
      </c>
      <c r="T681" s="96" t="str">
        <f>IF(S681="","",IFERROR(MATCH(S681,'MTRs'!$A$6:$A$505,0),""))</f>
        <v/>
      </c>
      <c r="U681" s="96">
        <f>IF(T681="",0,IF(INDEX('MTRs'!$Z$6:$Z$505,T681)=1,1,0))</f>
        <v>0</v>
      </c>
      <c r="V681" s="96">
        <f>IF(C681="",0,IF(ISNUMBER(MATCH(C681,'CAD_RESÍDUOS'!$B$6:$B$205,0)),1,0))</f>
        <v>0</v>
      </c>
      <c r="W681" s="96">
        <f>IF(AND(ISNUMBER(G681),G681&gt;0),1,0)</f>
        <v>0</v>
      </c>
      <c r="X681" s="96" t="str">
        <f>IF(H681="","",IFERROR(IF(ISNUMBER(INDEX(cfg_fac,MATCH(H681,cfg_units,0))),IF(INDEX(cfg_fac,MATCH(H681,cfg_units,0))&gt;0,INDEX(cfg_fac,MATCH(H681,cfg_units,0)),""),""),""))</f>
        <v/>
      </c>
      <c r="Y681" s="96">
        <f>IF(AND(W681=1,ISNUMBER(I681)),1,0)</f>
        <v>0</v>
      </c>
      <c r="Z681" s="96">
        <f>IF(U681=1,INDEX('MTRs'!$AA$6:$AA$505,T681),0)</f>
        <v>0</v>
      </c>
      <c r="AA681" s="96">
        <f>IF(R681=0,0,COUNTIFS('RECEBIMENTOS'!$R$6:$R$1005,A681,'RECEBIMENTOS'!$Q$6:$Q$1005,1))</f>
        <v>0</v>
      </c>
      <c r="AB681" s="96">
        <f>IF(R681=0,0,COUNTIFS('RECEBIMENTOS'!$R$6:$R$1005,A681,'RECEBIMENTOS'!$Z$6:$Z$1005,1))</f>
        <v>0</v>
      </c>
      <c r="AC681" s="96">
        <f>IF(R681=0,0,COUNTIFS('RECEBIMENTOS'!$R$6:$R$1005,A681,'RECEBIMENTOS'!$Y$6:$Y$1005,1))</f>
        <v>0</v>
      </c>
      <c r="AD681" s="96">
        <f>IF(R681=0,0,COUNTIFS('VÍNCULOS_CDF'!$R$6:$R$1005,A681,'VÍNCULOS_CDF'!$N$6:$N$1005,1))</f>
        <v>0</v>
      </c>
      <c r="AE681" s="96">
        <f>IF(R681=0,0,COUNTIFS('VÍNCULOS_CDF'!$R$6:$R$1005,A681,'VÍNCULOS_CDF'!$AA$6:$AA$1005,1))</f>
        <v>0</v>
      </c>
      <c r="AF681" s="96">
        <f>IF(R681=0,0,COUNTIFS('VÍNCULOS_CDF'!$R$6:$R$1005,A681,'VÍNCULOS_CDF'!$Y$6:$Y$1005,1))</f>
        <v>0</v>
      </c>
      <c r="AG681" s="96" t="str">
        <f>IF(AND(R681=1,S681&lt;&gt;"",C681&lt;&gt;""),S681&amp;"|"&amp;C681&amp;"|"&amp;G681&amp;"|"&amp;H681,"")</f>
        <v/>
      </c>
      <c r="AH681" s="96">
        <f>IF(AG681="",0,IF(SUMPRODUCT(--($AG$6:$AG$1005=AG681))&gt;1,1,0))</f>
        <v>0</v>
      </c>
      <c r="AI681" s="96">
        <f>IF(R681=0,0,IF(OR(U681=0,V681=0,Y681=0,AND(AH681=1,K681&lt;&gt;"Sim")),1,0))</f>
        <v>0</v>
      </c>
      <c r="AJ681" s="96">
        <f>IF(AND(R681=1,AA681&gt;0,AB681=AA681),1,0)</f>
        <v>0</v>
      </c>
      <c r="AK681" s="96">
        <f>IF(R681=0,0,IF(AA681&gt;0,N(L681),IF(ISNUMBER(I681),I681,0)))</f>
        <v>0</v>
      </c>
      <c r="AL681" s="96">
        <f>IF(R681=0,0,IF(AND(K681&lt;&gt;"Sim",N(M681)&gt;AK681+cfg_tol),1,0))</f>
        <v>0</v>
      </c>
      <c r="AM681" s="96">
        <f>IF(R681=0,0,IF(K681="Sim",0,IF(OR(AND(AA681&gt;0,ISNUMBER(I681),ABS(I681-N(L681))&gt;cfg_tol),AL681=1),1,0)))</f>
        <v>0</v>
      </c>
      <c r="AN681" s="96">
        <f>IF(AND(R681=1,N(M681)&gt;0,OR(N(M681)&gt;=AK681-cfg_tol,K681="Sim")),1,0)</f>
        <v>0</v>
      </c>
      <c r="AO681" s="96">
        <f>IF(AND(AN681=1,AD681&gt;0,AE681=AD681,AL681=0),1,0)</f>
        <v>0</v>
      </c>
      <c r="AP681" s="96">
        <f>IF(U681=0,0,IF(AND(INDEX('MTRs'!$AX$6:$AX$505,T681)=1,Z681=0,OR(f_res="",f_res="(Todos)",C681=f_res)),1,0))</f>
        <v>0</v>
      </c>
      <c r="AQ681" s="97" t="str">
        <f>IF(U681=0,"",INDEX('MTRs'!$AZ$6:$AZ$505,T681))</f>
        <v/>
      </c>
      <c r="AR681" s="96">
        <f>IF(U681=0,0,IF(AND(INDEX('MTRs'!$BA$6:$BA$505,T681)=1,Z681=0),1,0))</f>
        <v>0</v>
      </c>
      <c r="AS681" s="96" t="str">
        <f>IF(R681=1,A681&amp;" | MTR "&amp;IF(U681=1,INDEX('MTRs'!$B$6:$B$505,T681)&amp;"","?")&amp;" | "&amp;IF(C681="","(sem resíduo)",C681),"")</f>
        <v/>
      </c>
      <c r="AT681" s="96" t="str">
        <f>IF(R681=1,COUNTIF($R$6:R681,1),"")</f>
        <v/>
      </c>
      <c r="AU681" s="96" t="str">
        <f>IF(U681=1,INDEX('MTRs'!$I$6:$I$505,T681)&amp;"","")</f>
        <v/>
      </c>
    </row>
    <row r="682">
      <c r="A682" s="89" t="inlineStr">
        <is>
          <t>IT-000677</t>
        </is>
      </c>
      <c r="B682" s="91" t="n"/>
      <c r="C682" s="91" t="n"/>
      <c r="D682" s="94" t="str">
        <f>IF(OR(R682=0,V682=0),"",INDEX('CAD_RESÍDUOS'!$E$6:$E$205,MATCH(C682,'CAD_RESÍDUOS'!$B$6:$B$205,0))&amp;"")</f>
        <v/>
      </c>
      <c r="E682" s="94" t="str">
        <f>IF(OR(R682=0,V682=0),"",INDEX('CAD_RESÍDUOS'!$C$6:$C$205,MATCH(C682,'CAD_RESÍDUOS'!$B$6:$B$205,0))&amp;"")</f>
        <v/>
      </c>
      <c r="F682" s="94" t="str">
        <f>IF(OR(R682=0,V682=0),"",INDEX('CAD_RESÍDUOS'!$G$6:$G$205,MATCH(C682,'CAD_RESÍDUOS'!$B$6:$B$205,0))&amp;"")</f>
        <v/>
      </c>
      <c r="G682" s="98" t="n"/>
      <c r="H682" s="91" t="n"/>
      <c r="I682" s="93" t="str">
        <f>IF(R682=0,"",IF(NOT(ISNUMBER(G682)),"",IF(ISNUMBER(X682),G682*X682,"UNIDADE A CONFERIR")))</f>
        <v/>
      </c>
      <c r="J682" s="91" t="n"/>
      <c r="K682" s="91" t="n"/>
      <c r="L682" s="93" t="str">
        <f>IF(R682=0,"",SUMIFS('RECEBIMENTOS'!$H$6:$H$1005,'RECEBIMENTOS'!$R$6:$R$1005,A682,'RECEBIMENTOS'!$X$6:$X$1005,1))</f>
        <v/>
      </c>
      <c r="M682" s="93" t="str">
        <f>IF(R682=0,"",SUMIFS('VÍNCULOS_CDF'!$H$6:$H$1005,'VÍNCULOS_CDF'!$R$6:$R$1005,A682,'VÍNCULOS_CDF'!$V$6:$V$1005,1))</f>
        <v/>
      </c>
      <c r="N682" s="99" t="str">
        <f>IF(OR(R682=0,AA682=0,NOT(ISNUMBER(I682))),"",I682-N(L682))</f>
        <v/>
      </c>
      <c r="O682" s="100" t="str">
        <f>IF(OR(R682=0,AK682&lt;=0),"",N(M682)/AK682)</f>
        <v/>
      </c>
      <c r="P682" s="94" t="str">
        <f>IF(R682=0,"",IF(S682="","Sem MTR associado",IF(U682=0,"MTR inexistente",IF(C682="","Resíduo não identificado",IF(V682=0,"Resíduo fora do cadastro",IF(W682=0,"Quantidade inválida",IF(H682="","Unidade não informada",IF(NOT(ISNUMBER(I682)),"Unidade a conferir",IF(AND(AH682=1,K682&lt;&gt;"Sim"),"Possível duplicidade",IF(Z682=1,"MTR cancelado",IF(AC682&gt;0,"Recebimento com alerta",IF(AA682=0,"Aguardando recebimento",IF(AB682&lt;AA682,"Recebimento a conferir",IF(AM682=1,"Quantidade a revisar",IF(AF682&gt;0,"Vínculo a revisar",IF(AD682=0,"Aguardando CDF",IF(AN682=0,"Vínculo de CDF parcial",IF(AE682&lt;AD682,"CDF a conferir","Documentação conferida"))))))))))))))))))</f>
        <v/>
      </c>
      <c r="Q682" s="93" t="str">
        <f>IF(OR(R682=0,AA682=0),"",MAX(0,N(L682)-N(M682)))</f>
        <v/>
      </c>
      <c r="R682" s="96">
        <f>IF(COUNTA(B682:C682,G682:H682,J682:K682)&gt;0,1,0)</f>
        <v>0</v>
      </c>
      <c r="S682" s="96" t="str">
        <f>IF(B682="","",TRIM(LEFT(B682,FIND(" |",B682&amp;" |")-1)))</f>
        <v/>
      </c>
      <c r="T682" s="96" t="str">
        <f>IF(S682="","",IFERROR(MATCH(S682,'MTRs'!$A$6:$A$505,0),""))</f>
        <v/>
      </c>
      <c r="U682" s="96">
        <f>IF(T682="",0,IF(INDEX('MTRs'!$Z$6:$Z$505,T682)=1,1,0))</f>
        <v>0</v>
      </c>
      <c r="V682" s="96">
        <f>IF(C682="",0,IF(ISNUMBER(MATCH(C682,'CAD_RESÍDUOS'!$B$6:$B$205,0)),1,0))</f>
        <v>0</v>
      </c>
      <c r="W682" s="96">
        <f>IF(AND(ISNUMBER(G682),G682&gt;0),1,0)</f>
        <v>0</v>
      </c>
      <c r="X682" s="96" t="str">
        <f>IF(H682="","",IFERROR(IF(ISNUMBER(INDEX(cfg_fac,MATCH(H682,cfg_units,0))),IF(INDEX(cfg_fac,MATCH(H682,cfg_units,0))&gt;0,INDEX(cfg_fac,MATCH(H682,cfg_units,0)),""),""),""))</f>
        <v/>
      </c>
      <c r="Y682" s="96">
        <f>IF(AND(W682=1,ISNUMBER(I682)),1,0)</f>
        <v>0</v>
      </c>
      <c r="Z682" s="96">
        <f>IF(U682=1,INDEX('MTRs'!$AA$6:$AA$505,T682),0)</f>
        <v>0</v>
      </c>
      <c r="AA682" s="96">
        <f>IF(R682=0,0,COUNTIFS('RECEBIMENTOS'!$R$6:$R$1005,A682,'RECEBIMENTOS'!$Q$6:$Q$1005,1))</f>
        <v>0</v>
      </c>
      <c r="AB682" s="96">
        <f>IF(R682=0,0,COUNTIFS('RECEBIMENTOS'!$R$6:$R$1005,A682,'RECEBIMENTOS'!$Z$6:$Z$1005,1))</f>
        <v>0</v>
      </c>
      <c r="AC682" s="96">
        <f>IF(R682=0,0,COUNTIFS('RECEBIMENTOS'!$R$6:$R$1005,A682,'RECEBIMENTOS'!$Y$6:$Y$1005,1))</f>
        <v>0</v>
      </c>
      <c r="AD682" s="96">
        <f>IF(R682=0,0,COUNTIFS('VÍNCULOS_CDF'!$R$6:$R$1005,A682,'VÍNCULOS_CDF'!$N$6:$N$1005,1))</f>
        <v>0</v>
      </c>
      <c r="AE682" s="96">
        <f>IF(R682=0,0,COUNTIFS('VÍNCULOS_CDF'!$R$6:$R$1005,A682,'VÍNCULOS_CDF'!$AA$6:$AA$1005,1))</f>
        <v>0</v>
      </c>
      <c r="AF682" s="96">
        <f>IF(R682=0,0,COUNTIFS('VÍNCULOS_CDF'!$R$6:$R$1005,A682,'VÍNCULOS_CDF'!$Y$6:$Y$1005,1))</f>
        <v>0</v>
      </c>
      <c r="AG682" s="96" t="str">
        <f>IF(AND(R682=1,S682&lt;&gt;"",C682&lt;&gt;""),S682&amp;"|"&amp;C682&amp;"|"&amp;G682&amp;"|"&amp;H682,"")</f>
        <v/>
      </c>
      <c r="AH682" s="96">
        <f>IF(AG682="",0,IF(SUMPRODUCT(--($AG$6:$AG$1005=AG682))&gt;1,1,0))</f>
        <v>0</v>
      </c>
      <c r="AI682" s="96">
        <f>IF(R682=0,0,IF(OR(U682=0,V682=0,Y682=0,AND(AH682=1,K682&lt;&gt;"Sim")),1,0))</f>
        <v>0</v>
      </c>
      <c r="AJ682" s="96">
        <f>IF(AND(R682=1,AA682&gt;0,AB682=AA682),1,0)</f>
        <v>0</v>
      </c>
      <c r="AK682" s="96">
        <f>IF(R682=0,0,IF(AA682&gt;0,N(L682),IF(ISNUMBER(I682),I682,0)))</f>
        <v>0</v>
      </c>
      <c r="AL682" s="96">
        <f>IF(R682=0,0,IF(AND(K682&lt;&gt;"Sim",N(M682)&gt;AK682+cfg_tol),1,0))</f>
        <v>0</v>
      </c>
      <c r="AM682" s="96">
        <f>IF(R682=0,0,IF(K682="Sim",0,IF(OR(AND(AA682&gt;0,ISNUMBER(I682),ABS(I682-N(L682))&gt;cfg_tol),AL682=1),1,0)))</f>
        <v>0</v>
      </c>
      <c r="AN682" s="96">
        <f>IF(AND(R682=1,N(M682)&gt;0,OR(N(M682)&gt;=AK682-cfg_tol,K682="Sim")),1,0)</f>
        <v>0</v>
      </c>
      <c r="AO682" s="96">
        <f>IF(AND(AN682=1,AD682&gt;0,AE682=AD682,AL682=0),1,0)</f>
        <v>0</v>
      </c>
      <c r="AP682" s="96">
        <f>IF(U682=0,0,IF(AND(INDEX('MTRs'!$AX$6:$AX$505,T682)=1,Z682=0,OR(f_res="",f_res="(Todos)",C682=f_res)),1,0))</f>
        <v>0</v>
      </c>
      <c r="AQ682" s="97" t="str">
        <f>IF(U682=0,"",INDEX('MTRs'!$AZ$6:$AZ$505,T682))</f>
        <v/>
      </c>
      <c r="AR682" s="96">
        <f>IF(U682=0,0,IF(AND(INDEX('MTRs'!$BA$6:$BA$505,T682)=1,Z682=0),1,0))</f>
        <v>0</v>
      </c>
      <c r="AS682" s="96" t="str">
        <f>IF(R682=1,A682&amp;" | MTR "&amp;IF(U682=1,INDEX('MTRs'!$B$6:$B$505,T682)&amp;"","?")&amp;" | "&amp;IF(C682="","(sem resíduo)",C682),"")</f>
        <v/>
      </c>
      <c r="AT682" s="96" t="str">
        <f>IF(R682=1,COUNTIF($R$6:R682,1),"")</f>
        <v/>
      </c>
      <c r="AU682" s="96" t="str">
        <f>IF(U682=1,INDEX('MTRs'!$I$6:$I$505,T682)&amp;"","")</f>
        <v/>
      </c>
    </row>
    <row r="683">
      <c r="A683" s="89" t="inlineStr">
        <is>
          <t>IT-000678</t>
        </is>
      </c>
      <c r="B683" s="91" t="n"/>
      <c r="C683" s="91" t="n"/>
      <c r="D683" s="94" t="str">
        <f>IF(OR(R683=0,V683=0),"",INDEX('CAD_RESÍDUOS'!$E$6:$E$205,MATCH(C683,'CAD_RESÍDUOS'!$B$6:$B$205,0))&amp;"")</f>
        <v/>
      </c>
      <c r="E683" s="94" t="str">
        <f>IF(OR(R683=0,V683=0),"",INDEX('CAD_RESÍDUOS'!$C$6:$C$205,MATCH(C683,'CAD_RESÍDUOS'!$B$6:$B$205,0))&amp;"")</f>
        <v/>
      </c>
      <c r="F683" s="94" t="str">
        <f>IF(OR(R683=0,V683=0),"",INDEX('CAD_RESÍDUOS'!$G$6:$G$205,MATCH(C683,'CAD_RESÍDUOS'!$B$6:$B$205,0))&amp;"")</f>
        <v/>
      </c>
      <c r="G683" s="98" t="n"/>
      <c r="H683" s="91" t="n"/>
      <c r="I683" s="93" t="str">
        <f>IF(R683=0,"",IF(NOT(ISNUMBER(G683)),"",IF(ISNUMBER(X683),G683*X683,"UNIDADE A CONFERIR")))</f>
        <v/>
      </c>
      <c r="J683" s="91" t="n"/>
      <c r="K683" s="91" t="n"/>
      <c r="L683" s="93" t="str">
        <f>IF(R683=0,"",SUMIFS('RECEBIMENTOS'!$H$6:$H$1005,'RECEBIMENTOS'!$R$6:$R$1005,A683,'RECEBIMENTOS'!$X$6:$X$1005,1))</f>
        <v/>
      </c>
      <c r="M683" s="93" t="str">
        <f>IF(R683=0,"",SUMIFS('VÍNCULOS_CDF'!$H$6:$H$1005,'VÍNCULOS_CDF'!$R$6:$R$1005,A683,'VÍNCULOS_CDF'!$V$6:$V$1005,1))</f>
        <v/>
      </c>
      <c r="N683" s="99" t="str">
        <f>IF(OR(R683=0,AA683=0,NOT(ISNUMBER(I683))),"",I683-N(L683))</f>
        <v/>
      </c>
      <c r="O683" s="100" t="str">
        <f>IF(OR(R683=0,AK683&lt;=0),"",N(M683)/AK683)</f>
        <v/>
      </c>
      <c r="P683" s="94" t="str">
        <f>IF(R683=0,"",IF(S683="","Sem MTR associado",IF(U683=0,"MTR inexistente",IF(C683="","Resíduo não identificado",IF(V683=0,"Resíduo fora do cadastro",IF(W683=0,"Quantidade inválida",IF(H683="","Unidade não informada",IF(NOT(ISNUMBER(I683)),"Unidade a conferir",IF(AND(AH683=1,K683&lt;&gt;"Sim"),"Possível duplicidade",IF(Z683=1,"MTR cancelado",IF(AC683&gt;0,"Recebimento com alerta",IF(AA683=0,"Aguardando recebimento",IF(AB683&lt;AA683,"Recebimento a conferir",IF(AM683=1,"Quantidade a revisar",IF(AF683&gt;0,"Vínculo a revisar",IF(AD683=0,"Aguardando CDF",IF(AN683=0,"Vínculo de CDF parcial",IF(AE683&lt;AD683,"CDF a conferir","Documentação conferida"))))))))))))))))))</f>
        <v/>
      </c>
      <c r="Q683" s="93" t="str">
        <f>IF(OR(R683=0,AA683=0),"",MAX(0,N(L683)-N(M683)))</f>
        <v/>
      </c>
      <c r="R683" s="96">
        <f>IF(COUNTA(B683:C683,G683:H683,J683:K683)&gt;0,1,0)</f>
        <v>0</v>
      </c>
      <c r="S683" s="96" t="str">
        <f>IF(B683="","",TRIM(LEFT(B683,FIND(" |",B683&amp;" |")-1)))</f>
        <v/>
      </c>
      <c r="T683" s="96" t="str">
        <f>IF(S683="","",IFERROR(MATCH(S683,'MTRs'!$A$6:$A$505,0),""))</f>
        <v/>
      </c>
      <c r="U683" s="96">
        <f>IF(T683="",0,IF(INDEX('MTRs'!$Z$6:$Z$505,T683)=1,1,0))</f>
        <v>0</v>
      </c>
      <c r="V683" s="96">
        <f>IF(C683="",0,IF(ISNUMBER(MATCH(C683,'CAD_RESÍDUOS'!$B$6:$B$205,0)),1,0))</f>
        <v>0</v>
      </c>
      <c r="W683" s="96">
        <f>IF(AND(ISNUMBER(G683),G683&gt;0),1,0)</f>
        <v>0</v>
      </c>
      <c r="X683" s="96" t="str">
        <f>IF(H683="","",IFERROR(IF(ISNUMBER(INDEX(cfg_fac,MATCH(H683,cfg_units,0))),IF(INDEX(cfg_fac,MATCH(H683,cfg_units,0))&gt;0,INDEX(cfg_fac,MATCH(H683,cfg_units,0)),""),""),""))</f>
        <v/>
      </c>
      <c r="Y683" s="96">
        <f>IF(AND(W683=1,ISNUMBER(I683)),1,0)</f>
        <v>0</v>
      </c>
      <c r="Z683" s="96">
        <f>IF(U683=1,INDEX('MTRs'!$AA$6:$AA$505,T683),0)</f>
        <v>0</v>
      </c>
      <c r="AA683" s="96">
        <f>IF(R683=0,0,COUNTIFS('RECEBIMENTOS'!$R$6:$R$1005,A683,'RECEBIMENTOS'!$Q$6:$Q$1005,1))</f>
        <v>0</v>
      </c>
      <c r="AB683" s="96">
        <f>IF(R683=0,0,COUNTIFS('RECEBIMENTOS'!$R$6:$R$1005,A683,'RECEBIMENTOS'!$Z$6:$Z$1005,1))</f>
        <v>0</v>
      </c>
      <c r="AC683" s="96">
        <f>IF(R683=0,0,COUNTIFS('RECEBIMENTOS'!$R$6:$R$1005,A683,'RECEBIMENTOS'!$Y$6:$Y$1005,1))</f>
        <v>0</v>
      </c>
      <c r="AD683" s="96">
        <f>IF(R683=0,0,COUNTIFS('VÍNCULOS_CDF'!$R$6:$R$1005,A683,'VÍNCULOS_CDF'!$N$6:$N$1005,1))</f>
        <v>0</v>
      </c>
      <c r="AE683" s="96">
        <f>IF(R683=0,0,COUNTIFS('VÍNCULOS_CDF'!$R$6:$R$1005,A683,'VÍNCULOS_CDF'!$AA$6:$AA$1005,1))</f>
        <v>0</v>
      </c>
      <c r="AF683" s="96">
        <f>IF(R683=0,0,COUNTIFS('VÍNCULOS_CDF'!$R$6:$R$1005,A683,'VÍNCULOS_CDF'!$Y$6:$Y$1005,1))</f>
        <v>0</v>
      </c>
      <c r="AG683" s="96" t="str">
        <f>IF(AND(R683=1,S683&lt;&gt;"",C683&lt;&gt;""),S683&amp;"|"&amp;C683&amp;"|"&amp;G683&amp;"|"&amp;H683,"")</f>
        <v/>
      </c>
      <c r="AH683" s="96">
        <f>IF(AG683="",0,IF(SUMPRODUCT(--($AG$6:$AG$1005=AG683))&gt;1,1,0))</f>
        <v>0</v>
      </c>
      <c r="AI683" s="96">
        <f>IF(R683=0,0,IF(OR(U683=0,V683=0,Y683=0,AND(AH683=1,K683&lt;&gt;"Sim")),1,0))</f>
        <v>0</v>
      </c>
      <c r="AJ683" s="96">
        <f>IF(AND(R683=1,AA683&gt;0,AB683=AA683),1,0)</f>
        <v>0</v>
      </c>
      <c r="AK683" s="96">
        <f>IF(R683=0,0,IF(AA683&gt;0,N(L683),IF(ISNUMBER(I683),I683,0)))</f>
        <v>0</v>
      </c>
      <c r="AL683" s="96">
        <f>IF(R683=0,0,IF(AND(K683&lt;&gt;"Sim",N(M683)&gt;AK683+cfg_tol),1,0))</f>
        <v>0</v>
      </c>
      <c r="AM683" s="96">
        <f>IF(R683=0,0,IF(K683="Sim",0,IF(OR(AND(AA683&gt;0,ISNUMBER(I683),ABS(I683-N(L683))&gt;cfg_tol),AL683=1),1,0)))</f>
        <v>0</v>
      </c>
      <c r="AN683" s="96">
        <f>IF(AND(R683=1,N(M683)&gt;0,OR(N(M683)&gt;=AK683-cfg_tol,K683="Sim")),1,0)</f>
        <v>0</v>
      </c>
      <c r="AO683" s="96">
        <f>IF(AND(AN683=1,AD683&gt;0,AE683=AD683,AL683=0),1,0)</f>
        <v>0</v>
      </c>
      <c r="AP683" s="96">
        <f>IF(U683=0,0,IF(AND(INDEX('MTRs'!$AX$6:$AX$505,T683)=1,Z683=0,OR(f_res="",f_res="(Todos)",C683=f_res)),1,0))</f>
        <v>0</v>
      </c>
      <c r="AQ683" s="97" t="str">
        <f>IF(U683=0,"",INDEX('MTRs'!$AZ$6:$AZ$505,T683))</f>
        <v/>
      </c>
      <c r="AR683" s="96">
        <f>IF(U683=0,0,IF(AND(INDEX('MTRs'!$BA$6:$BA$505,T683)=1,Z683=0),1,0))</f>
        <v>0</v>
      </c>
      <c r="AS683" s="96" t="str">
        <f>IF(R683=1,A683&amp;" | MTR "&amp;IF(U683=1,INDEX('MTRs'!$B$6:$B$505,T683)&amp;"","?")&amp;" | "&amp;IF(C683="","(sem resíduo)",C683),"")</f>
        <v/>
      </c>
      <c r="AT683" s="96" t="str">
        <f>IF(R683=1,COUNTIF($R$6:R683,1),"")</f>
        <v/>
      </c>
      <c r="AU683" s="96" t="str">
        <f>IF(U683=1,INDEX('MTRs'!$I$6:$I$505,T683)&amp;"","")</f>
        <v/>
      </c>
    </row>
    <row r="684">
      <c r="A684" s="89" t="inlineStr">
        <is>
          <t>IT-000679</t>
        </is>
      </c>
      <c r="B684" s="91" t="n"/>
      <c r="C684" s="91" t="n"/>
      <c r="D684" s="94" t="str">
        <f>IF(OR(R684=0,V684=0),"",INDEX('CAD_RESÍDUOS'!$E$6:$E$205,MATCH(C684,'CAD_RESÍDUOS'!$B$6:$B$205,0))&amp;"")</f>
        <v/>
      </c>
      <c r="E684" s="94" t="str">
        <f>IF(OR(R684=0,V684=0),"",INDEX('CAD_RESÍDUOS'!$C$6:$C$205,MATCH(C684,'CAD_RESÍDUOS'!$B$6:$B$205,0))&amp;"")</f>
        <v/>
      </c>
      <c r="F684" s="94" t="str">
        <f>IF(OR(R684=0,V684=0),"",INDEX('CAD_RESÍDUOS'!$G$6:$G$205,MATCH(C684,'CAD_RESÍDUOS'!$B$6:$B$205,0))&amp;"")</f>
        <v/>
      </c>
      <c r="G684" s="98" t="n"/>
      <c r="H684" s="91" t="n"/>
      <c r="I684" s="93" t="str">
        <f>IF(R684=0,"",IF(NOT(ISNUMBER(G684)),"",IF(ISNUMBER(X684),G684*X684,"UNIDADE A CONFERIR")))</f>
        <v/>
      </c>
      <c r="J684" s="91" t="n"/>
      <c r="K684" s="91" t="n"/>
      <c r="L684" s="93" t="str">
        <f>IF(R684=0,"",SUMIFS('RECEBIMENTOS'!$H$6:$H$1005,'RECEBIMENTOS'!$R$6:$R$1005,A684,'RECEBIMENTOS'!$X$6:$X$1005,1))</f>
        <v/>
      </c>
      <c r="M684" s="93" t="str">
        <f>IF(R684=0,"",SUMIFS('VÍNCULOS_CDF'!$H$6:$H$1005,'VÍNCULOS_CDF'!$R$6:$R$1005,A684,'VÍNCULOS_CDF'!$V$6:$V$1005,1))</f>
        <v/>
      </c>
      <c r="N684" s="99" t="str">
        <f>IF(OR(R684=0,AA684=0,NOT(ISNUMBER(I684))),"",I684-N(L684))</f>
        <v/>
      </c>
      <c r="O684" s="100" t="str">
        <f>IF(OR(R684=0,AK684&lt;=0),"",N(M684)/AK684)</f>
        <v/>
      </c>
      <c r="P684" s="94" t="str">
        <f>IF(R684=0,"",IF(S684="","Sem MTR associado",IF(U684=0,"MTR inexistente",IF(C684="","Resíduo não identificado",IF(V684=0,"Resíduo fora do cadastro",IF(W684=0,"Quantidade inválida",IF(H684="","Unidade não informada",IF(NOT(ISNUMBER(I684)),"Unidade a conferir",IF(AND(AH684=1,K684&lt;&gt;"Sim"),"Possível duplicidade",IF(Z684=1,"MTR cancelado",IF(AC684&gt;0,"Recebimento com alerta",IF(AA684=0,"Aguardando recebimento",IF(AB684&lt;AA684,"Recebimento a conferir",IF(AM684=1,"Quantidade a revisar",IF(AF684&gt;0,"Vínculo a revisar",IF(AD684=0,"Aguardando CDF",IF(AN684=0,"Vínculo de CDF parcial",IF(AE684&lt;AD684,"CDF a conferir","Documentação conferida"))))))))))))))))))</f>
        <v/>
      </c>
      <c r="Q684" s="93" t="str">
        <f>IF(OR(R684=0,AA684=0),"",MAX(0,N(L684)-N(M684)))</f>
        <v/>
      </c>
      <c r="R684" s="96">
        <f>IF(COUNTA(B684:C684,G684:H684,J684:K684)&gt;0,1,0)</f>
        <v>0</v>
      </c>
      <c r="S684" s="96" t="str">
        <f>IF(B684="","",TRIM(LEFT(B684,FIND(" |",B684&amp;" |")-1)))</f>
        <v/>
      </c>
      <c r="T684" s="96" t="str">
        <f>IF(S684="","",IFERROR(MATCH(S684,'MTRs'!$A$6:$A$505,0),""))</f>
        <v/>
      </c>
      <c r="U684" s="96">
        <f>IF(T684="",0,IF(INDEX('MTRs'!$Z$6:$Z$505,T684)=1,1,0))</f>
        <v>0</v>
      </c>
      <c r="V684" s="96">
        <f>IF(C684="",0,IF(ISNUMBER(MATCH(C684,'CAD_RESÍDUOS'!$B$6:$B$205,0)),1,0))</f>
        <v>0</v>
      </c>
      <c r="W684" s="96">
        <f>IF(AND(ISNUMBER(G684),G684&gt;0),1,0)</f>
        <v>0</v>
      </c>
      <c r="X684" s="96" t="str">
        <f>IF(H684="","",IFERROR(IF(ISNUMBER(INDEX(cfg_fac,MATCH(H684,cfg_units,0))),IF(INDEX(cfg_fac,MATCH(H684,cfg_units,0))&gt;0,INDEX(cfg_fac,MATCH(H684,cfg_units,0)),""),""),""))</f>
        <v/>
      </c>
      <c r="Y684" s="96">
        <f>IF(AND(W684=1,ISNUMBER(I684)),1,0)</f>
        <v>0</v>
      </c>
      <c r="Z684" s="96">
        <f>IF(U684=1,INDEX('MTRs'!$AA$6:$AA$505,T684),0)</f>
        <v>0</v>
      </c>
      <c r="AA684" s="96">
        <f>IF(R684=0,0,COUNTIFS('RECEBIMENTOS'!$R$6:$R$1005,A684,'RECEBIMENTOS'!$Q$6:$Q$1005,1))</f>
        <v>0</v>
      </c>
      <c r="AB684" s="96">
        <f>IF(R684=0,0,COUNTIFS('RECEBIMENTOS'!$R$6:$R$1005,A684,'RECEBIMENTOS'!$Z$6:$Z$1005,1))</f>
        <v>0</v>
      </c>
      <c r="AC684" s="96">
        <f>IF(R684=0,0,COUNTIFS('RECEBIMENTOS'!$R$6:$R$1005,A684,'RECEBIMENTOS'!$Y$6:$Y$1005,1))</f>
        <v>0</v>
      </c>
      <c r="AD684" s="96">
        <f>IF(R684=0,0,COUNTIFS('VÍNCULOS_CDF'!$R$6:$R$1005,A684,'VÍNCULOS_CDF'!$N$6:$N$1005,1))</f>
        <v>0</v>
      </c>
      <c r="AE684" s="96">
        <f>IF(R684=0,0,COUNTIFS('VÍNCULOS_CDF'!$R$6:$R$1005,A684,'VÍNCULOS_CDF'!$AA$6:$AA$1005,1))</f>
        <v>0</v>
      </c>
      <c r="AF684" s="96">
        <f>IF(R684=0,0,COUNTIFS('VÍNCULOS_CDF'!$R$6:$R$1005,A684,'VÍNCULOS_CDF'!$Y$6:$Y$1005,1))</f>
        <v>0</v>
      </c>
      <c r="AG684" s="96" t="str">
        <f>IF(AND(R684=1,S684&lt;&gt;"",C684&lt;&gt;""),S684&amp;"|"&amp;C684&amp;"|"&amp;G684&amp;"|"&amp;H684,"")</f>
        <v/>
      </c>
      <c r="AH684" s="96">
        <f>IF(AG684="",0,IF(SUMPRODUCT(--($AG$6:$AG$1005=AG684))&gt;1,1,0))</f>
        <v>0</v>
      </c>
      <c r="AI684" s="96">
        <f>IF(R684=0,0,IF(OR(U684=0,V684=0,Y684=0,AND(AH684=1,K684&lt;&gt;"Sim")),1,0))</f>
        <v>0</v>
      </c>
      <c r="AJ684" s="96">
        <f>IF(AND(R684=1,AA684&gt;0,AB684=AA684),1,0)</f>
        <v>0</v>
      </c>
      <c r="AK684" s="96">
        <f>IF(R684=0,0,IF(AA684&gt;0,N(L684),IF(ISNUMBER(I684),I684,0)))</f>
        <v>0</v>
      </c>
      <c r="AL684" s="96">
        <f>IF(R684=0,0,IF(AND(K684&lt;&gt;"Sim",N(M684)&gt;AK684+cfg_tol),1,0))</f>
        <v>0</v>
      </c>
      <c r="AM684" s="96">
        <f>IF(R684=0,0,IF(K684="Sim",0,IF(OR(AND(AA684&gt;0,ISNUMBER(I684),ABS(I684-N(L684))&gt;cfg_tol),AL684=1),1,0)))</f>
        <v>0</v>
      </c>
      <c r="AN684" s="96">
        <f>IF(AND(R684=1,N(M684)&gt;0,OR(N(M684)&gt;=AK684-cfg_tol,K684="Sim")),1,0)</f>
        <v>0</v>
      </c>
      <c r="AO684" s="96">
        <f>IF(AND(AN684=1,AD684&gt;0,AE684=AD684,AL684=0),1,0)</f>
        <v>0</v>
      </c>
      <c r="AP684" s="96">
        <f>IF(U684=0,0,IF(AND(INDEX('MTRs'!$AX$6:$AX$505,T684)=1,Z684=0,OR(f_res="",f_res="(Todos)",C684=f_res)),1,0))</f>
        <v>0</v>
      </c>
      <c r="AQ684" s="97" t="str">
        <f>IF(U684=0,"",INDEX('MTRs'!$AZ$6:$AZ$505,T684))</f>
        <v/>
      </c>
      <c r="AR684" s="96">
        <f>IF(U684=0,0,IF(AND(INDEX('MTRs'!$BA$6:$BA$505,T684)=1,Z684=0),1,0))</f>
        <v>0</v>
      </c>
      <c r="AS684" s="96" t="str">
        <f>IF(R684=1,A684&amp;" | MTR "&amp;IF(U684=1,INDEX('MTRs'!$B$6:$B$505,T684)&amp;"","?")&amp;" | "&amp;IF(C684="","(sem resíduo)",C684),"")</f>
        <v/>
      </c>
      <c r="AT684" s="96" t="str">
        <f>IF(R684=1,COUNTIF($R$6:R684,1),"")</f>
        <v/>
      </c>
      <c r="AU684" s="96" t="str">
        <f>IF(U684=1,INDEX('MTRs'!$I$6:$I$505,T684)&amp;"","")</f>
        <v/>
      </c>
    </row>
    <row r="685">
      <c r="A685" s="89" t="inlineStr">
        <is>
          <t>IT-000680</t>
        </is>
      </c>
      <c r="B685" s="91" t="n"/>
      <c r="C685" s="91" t="n"/>
      <c r="D685" s="94" t="str">
        <f>IF(OR(R685=0,V685=0),"",INDEX('CAD_RESÍDUOS'!$E$6:$E$205,MATCH(C685,'CAD_RESÍDUOS'!$B$6:$B$205,0))&amp;"")</f>
        <v/>
      </c>
      <c r="E685" s="94" t="str">
        <f>IF(OR(R685=0,V685=0),"",INDEX('CAD_RESÍDUOS'!$C$6:$C$205,MATCH(C685,'CAD_RESÍDUOS'!$B$6:$B$205,0))&amp;"")</f>
        <v/>
      </c>
      <c r="F685" s="94" t="str">
        <f>IF(OR(R685=0,V685=0),"",INDEX('CAD_RESÍDUOS'!$G$6:$G$205,MATCH(C685,'CAD_RESÍDUOS'!$B$6:$B$205,0))&amp;"")</f>
        <v/>
      </c>
      <c r="G685" s="98" t="n"/>
      <c r="H685" s="91" t="n"/>
      <c r="I685" s="93" t="str">
        <f>IF(R685=0,"",IF(NOT(ISNUMBER(G685)),"",IF(ISNUMBER(X685),G685*X685,"UNIDADE A CONFERIR")))</f>
        <v/>
      </c>
      <c r="J685" s="91" t="n"/>
      <c r="K685" s="91" t="n"/>
      <c r="L685" s="93" t="str">
        <f>IF(R685=0,"",SUMIFS('RECEBIMENTOS'!$H$6:$H$1005,'RECEBIMENTOS'!$R$6:$R$1005,A685,'RECEBIMENTOS'!$X$6:$X$1005,1))</f>
        <v/>
      </c>
      <c r="M685" s="93" t="str">
        <f>IF(R685=0,"",SUMIFS('VÍNCULOS_CDF'!$H$6:$H$1005,'VÍNCULOS_CDF'!$R$6:$R$1005,A685,'VÍNCULOS_CDF'!$V$6:$V$1005,1))</f>
        <v/>
      </c>
      <c r="N685" s="99" t="str">
        <f>IF(OR(R685=0,AA685=0,NOT(ISNUMBER(I685))),"",I685-N(L685))</f>
        <v/>
      </c>
      <c r="O685" s="100" t="str">
        <f>IF(OR(R685=0,AK685&lt;=0),"",N(M685)/AK685)</f>
        <v/>
      </c>
      <c r="P685" s="94" t="str">
        <f>IF(R685=0,"",IF(S685="","Sem MTR associado",IF(U685=0,"MTR inexistente",IF(C685="","Resíduo não identificado",IF(V685=0,"Resíduo fora do cadastro",IF(W685=0,"Quantidade inválida",IF(H685="","Unidade não informada",IF(NOT(ISNUMBER(I685)),"Unidade a conferir",IF(AND(AH685=1,K685&lt;&gt;"Sim"),"Possível duplicidade",IF(Z685=1,"MTR cancelado",IF(AC685&gt;0,"Recebimento com alerta",IF(AA685=0,"Aguardando recebimento",IF(AB685&lt;AA685,"Recebimento a conferir",IF(AM685=1,"Quantidade a revisar",IF(AF685&gt;0,"Vínculo a revisar",IF(AD685=0,"Aguardando CDF",IF(AN685=0,"Vínculo de CDF parcial",IF(AE685&lt;AD685,"CDF a conferir","Documentação conferida"))))))))))))))))))</f>
        <v/>
      </c>
      <c r="Q685" s="93" t="str">
        <f>IF(OR(R685=0,AA685=0),"",MAX(0,N(L685)-N(M685)))</f>
        <v/>
      </c>
      <c r="R685" s="96">
        <f>IF(COUNTA(B685:C685,G685:H685,J685:K685)&gt;0,1,0)</f>
        <v>0</v>
      </c>
      <c r="S685" s="96" t="str">
        <f>IF(B685="","",TRIM(LEFT(B685,FIND(" |",B685&amp;" |")-1)))</f>
        <v/>
      </c>
      <c r="T685" s="96" t="str">
        <f>IF(S685="","",IFERROR(MATCH(S685,'MTRs'!$A$6:$A$505,0),""))</f>
        <v/>
      </c>
      <c r="U685" s="96">
        <f>IF(T685="",0,IF(INDEX('MTRs'!$Z$6:$Z$505,T685)=1,1,0))</f>
        <v>0</v>
      </c>
      <c r="V685" s="96">
        <f>IF(C685="",0,IF(ISNUMBER(MATCH(C685,'CAD_RESÍDUOS'!$B$6:$B$205,0)),1,0))</f>
        <v>0</v>
      </c>
      <c r="W685" s="96">
        <f>IF(AND(ISNUMBER(G685),G685&gt;0),1,0)</f>
        <v>0</v>
      </c>
      <c r="X685" s="96" t="str">
        <f>IF(H685="","",IFERROR(IF(ISNUMBER(INDEX(cfg_fac,MATCH(H685,cfg_units,0))),IF(INDEX(cfg_fac,MATCH(H685,cfg_units,0))&gt;0,INDEX(cfg_fac,MATCH(H685,cfg_units,0)),""),""),""))</f>
        <v/>
      </c>
      <c r="Y685" s="96">
        <f>IF(AND(W685=1,ISNUMBER(I685)),1,0)</f>
        <v>0</v>
      </c>
      <c r="Z685" s="96">
        <f>IF(U685=1,INDEX('MTRs'!$AA$6:$AA$505,T685),0)</f>
        <v>0</v>
      </c>
      <c r="AA685" s="96">
        <f>IF(R685=0,0,COUNTIFS('RECEBIMENTOS'!$R$6:$R$1005,A685,'RECEBIMENTOS'!$Q$6:$Q$1005,1))</f>
        <v>0</v>
      </c>
      <c r="AB685" s="96">
        <f>IF(R685=0,0,COUNTIFS('RECEBIMENTOS'!$R$6:$R$1005,A685,'RECEBIMENTOS'!$Z$6:$Z$1005,1))</f>
        <v>0</v>
      </c>
      <c r="AC685" s="96">
        <f>IF(R685=0,0,COUNTIFS('RECEBIMENTOS'!$R$6:$R$1005,A685,'RECEBIMENTOS'!$Y$6:$Y$1005,1))</f>
        <v>0</v>
      </c>
      <c r="AD685" s="96">
        <f>IF(R685=0,0,COUNTIFS('VÍNCULOS_CDF'!$R$6:$R$1005,A685,'VÍNCULOS_CDF'!$N$6:$N$1005,1))</f>
        <v>0</v>
      </c>
      <c r="AE685" s="96">
        <f>IF(R685=0,0,COUNTIFS('VÍNCULOS_CDF'!$R$6:$R$1005,A685,'VÍNCULOS_CDF'!$AA$6:$AA$1005,1))</f>
        <v>0</v>
      </c>
      <c r="AF685" s="96">
        <f>IF(R685=0,0,COUNTIFS('VÍNCULOS_CDF'!$R$6:$R$1005,A685,'VÍNCULOS_CDF'!$Y$6:$Y$1005,1))</f>
        <v>0</v>
      </c>
      <c r="AG685" s="96" t="str">
        <f>IF(AND(R685=1,S685&lt;&gt;"",C685&lt;&gt;""),S685&amp;"|"&amp;C685&amp;"|"&amp;G685&amp;"|"&amp;H685,"")</f>
        <v/>
      </c>
      <c r="AH685" s="96">
        <f>IF(AG685="",0,IF(SUMPRODUCT(--($AG$6:$AG$1005=AG685))&gt;1,1,0))</f>
        <v>0</v>
      </c>
      <c r="AI685" s="96">
        <f>IF(R685=0,0,IF(OR(U685=0,V685=0,Y685=0,AND(AH685=1,K685&lt;&gt;"Sim")),1,0))</f>
        <v>0</v>
      </c>
      <c r="AJ685" s="96">
        <f>IF(AND(R685=1,AA685&gt;0,AB685=AA685),1,0)</f>
        <v>0</v>
      </c>
      <c r="AK685" s="96">
        <f>IF(R685=0,0,IF(AA685&gt;0,N(L685),IF(ISNUMBER(I685),I685,0)))</f>
        <v>0</v>
      </c>
      <c r="AL685" s="96">
        <f>IF(R685=0,0,IF(AND(K685&lt;&gt;"Sim",N(M685)&gt;AK685+cfg_tol),1,0))</f>
        <v>0</v>
      </c>
      <c r="AM685" s="96">
        <f>IF(R685=0,0,IF(K685="Sim",0,IF(OR(AND(AA685&gt;0,ISNUMBER(I685),ABS(I685-N(L685))&gt;cfg_tol),AL685=1),1,0)))</f>
        <v>0</v>
      </c>
      <c r="AN685" s="96">
        <f>IF(AND(R685=1,N(M685)&gt;0,OR(N(M685)&gt;=AK685-cfg_tol,K685="Sim")),1,0)</f>
        <v>0</v>
      </c>
      <c r="AO685" s="96">
        <f>IF(AND(AN685=1,AD685&gt;0,AE685=AD685,AL685=0),1,0)</f>
        <v>0</v>
      </c>
      <c r="AP685" s="96">
        <f>IF(U685=0,0,IF(AND(INDEX('MTRs'!$AX$6:$AX$505,T685)=1,Z685=0,OR(f_res="",f_res="(Todos)",C685=f_res)),1,0))</f>
        <v>0</v>
      </c>
      <c r="AQ685" s="97" t="str">
        <f>IF(U685=0,"",INDEX('MTRs'!$AZ$6:$AZ$505,T685))</f>
        <v/>
      </c>
      <c r="AR685" s="96">
        <f>IF(U685=0,0,IF(AND(INDEX('MTRs'!$BA$6:$BA$505,T685)=1,Z685=0),1,0))</f>
        <v>0</v>
      </c>
      <c r="AS685" s="96" t="str">
        <f>IF(R685=1,A685&amp;" | MTR "&amp;IF(U685=1,INDEX('MTRs'!$B$6:$B$505,T685)&amp;"","?")&amp;" | "&amp;IF(C685="","(sem resíduo)",C685),"")</f>
        <v/>
      </c>
      <c r="AT685" s="96" t="str">
        <f>IF(R685=1,COUNTIF($R$6:R685,1),"")</f>
        <v/>
      </c>
      <c r="AU685" s="96" t="str">
        <f>IF(U685=1,INDEX('MTRs'!$I$6:$I$505,T685)&amp;"","")</f>
        <v/>
      </c>
    </row>
    <row r="686">
      <c r="A686" s="89" t="inlineStr">
        <is>
          <t>IT-000681</t>
        </is>
      </c>
      <c r="B686" s="91" t="n"/>
      <c r="C686" s="91" t="n"/>
      <c r="D686" s="94" t="str">
        <f>IF(OR(R686=0,V686=0),"",INDEX('CAD_RESÍDUOS'!$E$6:$E$205,MATCH(C686,'CAD_RESÍDUOS'!$B$6:$B$205,0))&amp;"")</f>
        <v/>
      </c>
      <c r="E686" s="94" t="str">
        <f>IF(OR(R686=0,V686=0),"",INDEX('CAD_RESÍDUOS'!$C$6:$C$205,MATCH(C686,'CAD_RESÍDUOS'!$B$6:$B$205,0))&amp;"")</f>
        <v/>
      </c>
      <c r="F686" s="94" t="str">
        <f>IF(OR(R686=0,V686=0),"",INDEX('CAD_RESÍDUOS'!$G$6:$G$205,MATCH(C686,'CAD_RESÍDUOS'!$B$6:$B$205,0))&amp;"")</f>
        <v/>
      </c>
      <c r="G686" s="98" t="n"/>
      <c r="H686" s="91" t="n"/>
      <c r="I686" s="93" t="str">
        <f>IF(R686=0,"",IF(NOT(ISNUMBER(G686)),"",IF(ISNUMBER(X686),G686*X686,"UNIDADE A CONFERIR")))</f>
        <v/>
      </c>
      <c r="J686" s="91" t="n"/>
      <c r="K686" s="91" t="n"/>
      <c r="L686" s="93" t="str">
        <f>IF(R686=0,"",SUMIFS('RECEBIMENTOS'!$H$6:$H$1005,'RECEBIMENTOS'!$R$6:$R$1005,A686,'RECEBIMENTOS'!$X$6:$X$1005,1))</f>
        <v/>
      </c>
      <c r="M686" s="93" t="str">
        <f>IF(R686=0,"",SUMIFS('VÍNCULOS_CDF'!$H$6:$H$1005,'VÍNCULOS_CDF'!$R$6:$R$1005,A686,'VÍNCULOS_CDF'!$V$6:$V$1005,1))</f>
        <v/>
      </c>
      <c r="N686" s="99" t="str">
        <f>IF(OR(R686=0,AA686=0,NOT(ISNUMBER(I686))),"",I686-N(L686))</f>
        <v/>
      </c>
      <c r="O686" s="100" t="str">
        <f>IF(OR(R686=0,AK686&lt;=0),"",N(M686)/AK686)</f>
        <v/>
      </c>
      <c r="P686" s="94" t="str">
        <f>IF(R686=0,"",IF(S686="","Sem MTR associado",IF(U686=0,"MTR inexistente",IF(C686="","Resíduo não identificado",IF(V686=0,"Resíduo fora do cadastro",IF(W686=0,"Quantidade inválida",IF(H686="","Unidade não informada",IF(NOT(ISNUMBER(I686)),"Unidade a conferir",IF(AND(AH686=1,K686&lt;&gt;"Sim"),"Possível duplicidade",IF(Z686=1,"MTR cancelado",IF(AC686&gt;0,"Recebimento com alerta",IF(AA686=0,"Aguardando recebimento",IF(AB686&lt;AA686,"Recebimento a conferir",IF(AM686=1,"Quantidade a revisar",IF(AF686&gt;0,"Vínculo a revisar",IF(AD686=0,"Aguardando CDF",IF(AN686=0,"Vínculo de CDF parcial",IF(AE686&lt;AD686,"CDF a conferir","Documentação conferida"))))))))))))))))))</f>
        <v/>
      </c>
      <c r="Q686" s="93" t="str">
        <f>IF(OR(R686=0,AA686=0),"",MAX(0,N(L686)-N(M686)))</f>
        <v/>
      </c>
      <c r="R686" s="96">
        <f>IF(COUNTA(B686:C686,G686:H686,J686:K686)&gt;0,1,0)</f>
        <v>0</v>
      </c>
      <c r="S686" s="96" t="str">
        <f>IF(B686="","",TRIM(LEFT(B686,FIND(" |",B686&amp;" |")-1)))</f>
        <v/>
      </c>
      <c r="T686" s="96" t="str">
        <f>IF(S686="","",IFERROR(MATCH(S686,'MTRs'!$A$6:$A$505,0),""))</f>
        <v/>
      </c>
      <c r="U686" s="96">
        <f>IF(T686="",0,IF(INDEX('MTRs'!$Z$6:$Z$505,T686)=1,1,0))</f>
        <v>0</v>
      </c>
      <c r="V686" s="96">
        <f>IF(C686="",0,IF(ISNUMBER(MATCH(C686,'CAD_RESÍDUOS'!$B$6:$B$205,0)),1,0))</f>
        <v>0</v>
      </c>
      <c r="W686" s="96">
        <f>IF(AND(ISNUMBER(G686),G686&gt;0),1,0)</f>
        <v>0</v>
      </c>
      <c r="X686" s="96" t="str">
        <f>IF(H686="","",IFERROR(IF(ISNUMBER(INDEX(cfg_fac,MATCH(H686,cfg_units,0))),IF(INDEX(cfg_fac,MATCH(H686,cfg_units,0))&gt;0,INDEX(cfg_fac,MATCH(H686,cfg_units,0)),""),""),""))</f>
        <v/>
      </c>
      <c r="Y686" s="96">
        <f>IF(AND(W686=1,ISNUMBER(I686)),1,0)</f>
        <v>0</v>
      </c>
      <c r="Z686" s="96">
        <f>IF(U686=1,INDEX('MTRs'!$AA$6:$AA$505,T686),0)</f>
        <v>0</v>
      </c>
      <c r="AA686" s="96">
        <f>IF(R686=0,0,COUNTIFS('RECEBIMENTOS'!$R$6:$R$1005,A686,'RECEBIMENTOS'!$Q$6:$Q$1005,1))</f>
        <v>0</v>
      </c>
      <c r="AB686" s="96">
        <f>IF(R686=0,0,COUNTIFS('RECEBIMENTOS'!$R$6:$R$1005,A686,'RECEBIMENTOS'!$Z$6:$Z$1005,1))</f>
        <v>0</v>
      </c>
      <c r="AC686" s="96">
        <f>IF(R686=0,0,COUNTIFS('RECEBIMENTOS'!$R$6:$R$1005,A686,'RECEBIMENTOS'!$Y$6:$Y$1005,1))</f>
        <v>0</v>
      </c>
      <c r="AD686" s="96">
        <f>IF(R686=0,0,COUNTIFS('VÍNCULOS_CDF'!$R$6:$R$1005,A686,'VÍNCULOS_CDF'!$N$6:$N$1005,1))</f>
        <v>0</v>
      </c>
      <c r="AE686" s="96">
        <f>IF(R686=0,0,COUNTIFS('VÍNCULOS_CDF'!$R$6:$R$1005,A686,'VÍNCULOS_CDF'!$AA$6:$AA$1005,1))</f>
        <v>0</v>
      </c>
      <c r="AF686" s="96">
        <f>IF(R686=0,0,COUNTIFS('VÍNCULOS_CDF'!$R$6:$R$1005,A686,'VÍNCULOS_CDF'!$Y$6:$Y$1005,1))</f>
        <v>0</v>
      </c>
      <c r="AG686" s="96" t="str">
        <f>IF(AND(R686=1,S686&lt;&gt;"",C686&lt;&gt;""),S686&amp;"|"&amp;C686&amp;"|"&amp;G686&amp;"|"&amp;H686,"")</f>
        <v/>
      </c>
      <c r="AH686" s="96">
        <f>IF(AG686="",0,IF(SUMPRODUCT(--($AG$6:$AG$1005=AG686))&gt;1,1,0))</f>
        <v>0</v>
      </c>
      <c r="AI686" s="96">
        <f>IF(R686=0,0,IF(OR(U686=0,V686=0,Y686=0,AND(AH686=1,K686&lt;&gt;"Sim")),1,0))</f>
        <v>0</v>
      </c>
      <c r="AJ686" s="96">
        <f>IF(AND(R686=1,AA686&gt;0,AB686=AA686),1,0)</f>
        <v>0</v>
      </c>
      <c r="AK686" s="96">
        <f>IF(R686=0,0,IF(AA686&gt;0,N(L686),IF(ISNUMBER(I686),I686,0)))</f>
        <v>0</v>
      </c>
      <c r="AL686" s="96">
        <f>IF(R686=0,0,IF(AND(K686&lt;&gt;"Sim",N(M686)&gt;AK686+cfg_tol),1,0))</f>
        <v>0</v>
      </c>
      <c r="AM686" s="96">
        <f>IF(R686=0,0,IF(K686="Sim",0,IF(OR(AND(AA686&gt;0,ISNUMBER(I686),ABS(I686-N(L686))&gt;cfg_tol),AL686=1),1,0)))</f>
        <v>0</v>
      </c>
      <c r="AN686" s="96">
        <f>IF(AND(R686=1,N(M686)&gt;0,OR(N(M686)&gt;=AK686-cfg_tol,K686="Sim")),1,0)</f>
        <v>0</v>
      </c>
      <c r="AO686" s="96">
        <f>IF(AND(AN686=1,AD686&gt;0,AE686=AD686,AL686=0),1,0)</f>
        <v>0</v>
      </c>
      <c r="AP686" s="96">
        <f>IF(U686=0,0,IF(AND(INDEX('MTRs'!$AX$6:$AX$505,T686)=1,Z686=0,OR(f_res="",f_res="(Todos)",C686=f_res)),1,0))</f>
        <v>0</v>
      </c>
      <c r="AQ686" s="97" t="str">
        <f>IF(U686=0,"",INDEX('MTRs'!$AZ$6:$AZ$505,T686))</f>
        <v/>
      </c>
      <c r="AR686" s="96">
        <f>IF(U686=0,0,IF(AND(INDEX('MTRs'!$BA$6:$BA$505,T686)=1,Z686=0),1,0))</f>
        <v>0</v>
      </c>
      <c r="AS686" s="96" t="str">
        <f>IF(R686=1,A686&amp;" | MTR "&amp;IF(U686=1,INDEX('MTRs'!$B$6:$B$505,T686)&amp;"","?")&amp;" | "&amp;IF(C686="","(sem resíduo)",C686),"")</f>
        <v/>
      </c>
      <c r="AT686" s="96" t="str">
        <f>IF(R686=1,COUNTIF($R$6:R686,1),"")</f>
        <v/>
      </c>
      <c r="AU686" s="96" t="str">
        <f>IF(U686=1,INDEX('MTRs'!$I$6:$I$505,T686)&amp;"","")</f>
        <v/>
      </c>
    </row>
    <row r="687">
      <c r="A687" s="89" t="inlineStr">
        <is>
          <t>IT-000682</t>
        </is>
      </c>
      <c r="B687" s="91" t="n"/>
      <c r="C687" s="91" t="n"/>
      <c r="D687" s="94" t="str">
        <f>IF(OR(R687=0,V687=0),"",INDEX('CAD_RESÍDUOS'!$E$6:$E$205,MATCH(C687,'CAD_RESÍDUOS'!$B$6:$B$205,0))&amp;"")</f>
        <v/>
      </c>
      <c r="E687" s="94" t="str">
        <f>IF(OR(R687=0,V687=0),"",INDEX('CAD_RESÍDUOS'!$C$6:$C$205,MATCH(C687,'CAD_RESÍDUOS'!$B$6:$B$205,0))&amp;"")</f>
        <v/>
      </c>
      <c r="F687" s="94" t="str">
        <f>IF(OR(R687=0,V687=0),"",INDEX('CAD_RESÍDUOS'!$G$6:$G$205,MATCH(C687,'CAD_RESÍDUOS'!$B$6:$B$205,0))&amp;"")</f>
        <v/>
      </c>
      <c r="G687" s="98" t="n"/>
      <c r="H687" s="91" t="n"/>
      <c r="I687" s="93" t="str">
        <f>IF(R687=0,"",IF(NOT(ISNUMBER(G687)),"",IF(ISNUMBER(X687),G687*X687,"UNIDADE A CONFERIR")))</f>
        <v/>
      </c>
      <c r="J687" s="91" t="n"/>
      <c r="K687" s="91" t="n"/>
      <c r="L687" s="93" t="str">
        <f>IF(R687=0,"",SUMIFS('RECEBIMENTOS'!$H$6:$H$1005,'RECEBIMENTOS'!$R$6:$R$1005,A687,'RECEBIMENTOS'!$X$6:$X$1005,1))</f>
        <v/>
      </c>
      <c r="M687" s="93" t="str">
        <f>IF(R687=0,"",SUMIFS('VÍNCULOS_CDF'!$H$6:$H$1005,'VÍNCULOS_CDF'!$R$6:$R$1005,A687,'VÍNCULOS_CDF'!$V$6:$V$1005,1))</f>
        <v/>
      </c>
      <c r="N687" s="99" t="str">
        <f>IF(OR(R687=0,AA687=0,NOT(ISNUMBER(I687))),"",I687-N(L687))</f>
        <v/>
      </c>
      <c r="O687" s="100" t="str">
        <f>IF(OR(R687=0,AK687&lt;=0),"",N(M687)/AK687)</f>
        <v/>
      </c>
      <c r="P687" s="94" t="str">
        <f>IF(R687=0,"",IF(S687="","Sem MTR associado",IF(U687=0,"MTR inexistente",IF(C687="","Resíduo não identificado",IF(V687=0,"Resíduo fora do cadastro",IF(W687=0,"Quantidade inválida",IF(H687="","Unidade não informada",IF(NOT(ISNUMBER(I687)),"Unidade a conferir",IF(AND(AH687=1,K687&lt;&gt;"Sim"),"Possível duplicidade",IF(Z687=1,"MTR cancelado",IF(AC687&gt;0,"Recebimento com alerta",IF(AA687=0,"Aguardando recebimento",IF(AB687&lt;AA687,"Recebimento a conferir",IF(AM687=1,"Quantidade a revisar",IF(AF687&gt;0,"Vínculo a revisar",IF(AD687=0,"Aguardando CDF",IF(AN687=0,"Vínculo de CDF parcial",IF(AE687&lt;AD687,"CDF a conferir","Documentação conferida"))))))))))))))))))</f>
        <v/>
      </c>
      <c r="Q687" s="93" t="str">
        <f>IF(OR(R687=0,AA687=0),"",MAX(0,N(L687)-N(M687)))</f>
        <v/>
      </c>
      <c r="R687" s="96">
        <f>IF(COUNTA(B687:C687,G687:H687,J687:K687)&gt;0,1,0)</f>
        <v>0</v>
      </c>
      <c r="S687" s="96" t="str">
        <f>IF(B687="","",TRIM(LEFT(B687,FIND(" |",B687&amp;" |")-1)))</f>
        <v/>
      </c>
      <c r="T687" s="96" t="str">
        <f>IF(S687="","",IFERROR(MATCH(S687,'MTRs'!$A$6:$A$505,0),""))</f>
        <v/>
      </c>
      <c r="U687" s="96">
        <f>IF(T687="",0,IF(INDEX('MTRs'!$Z$6:$Z$505,T687)=1,1,0))</f>
        <v>0</v>
      </c>
      <c r="V687" s="96">
        <f>IF(C687="",0,IF(ISNUMBER(MATCH(C687,'CAD_RESÍDUOS'!$B$6:$B$205,0)),1,0))</f>
        <v>0</v>
      </c>
      <c r="W687" s="96">
        <f>IF(AND(ISNUMBER(G687),G687&gt;0),1,0)</f>
        <v>0</v>
      </c>
      <c r="X687" s="96" t="str">
        <f>IF(H687="","",IFERROR(IF(ISNUMBER(INDEX(cfg_fac,MATCH(H687,cfg_units,0))),IF(INDEX(cfg_fac,MATCH(H687,cfg_units,0))&gt;0,INDEX(cfg_fac,MATCH(H687,cfg_units,0)),""),""),""))</f>
        <v/>
      </c>
      <c r="Y687" s="96">
        <f>IF(AND(W687=1,ISNUMBER(I687)),1,0)</f>
        <v>0</v>
      </c>
      <c r="Z687" s="96">
        <f>IF(U687=1,INDEX('MTRs'!$AA$6:$AA$505,T687),0)</f>
        <v>0</v>
      </c>
      <c r="AA687" s="96">
        <f>IF(R687=0,0,COUNTIFS('RECEBIMENTOS'!$R$6:$R$1005,A687,'RECEBIMENTOS'!$Q$6:$Q$1005,1))</f>
        <v>0</v>
      </c>
      <c r="AB687" s="96">
        <f>IF(R687=0,0,COUNTIFS('RECEBIMENTOS'!$R$6:$R$1005,A687,'RECEBIMENTOS'!$Z$6:$Z$1005,1))</f>
        <v>0</v>
      </c>
      <c r="AC687" s="96">
        <f>IF(R687=0,0,COUNTIFS('RECEBIMENTOS'!$R$6:$R$1005,A687,'RECEBIMENTOS'!$Y$6:$Y$1005,1))</f>
        <v>0</v>
      </c>
      <c r="AD687" s="96">
        <f>IF(R687=0,0,COUNTIFS('VÍNCULOS_CDF'!$R$6:$R$1005,A687,'VÍNCULOS_CDF'!$N$6:$N$1005,1))</f>
        <v>0</v>
      </c>
      <c r="AE687" s="96">
        <f>IF(R687=0,0,COUNTIFS('VÍNCULOS_CDF'!$R$6:$R$1005,A687,'VÍNCULOS_CDF'!$AA$6:$AA$1005,1))</f>
        <v>0</v>
      </c>
      <c r="AF687" s="96">
        <f>IF(R687=0,0,COUNTIFS('VÍNCULOS_CDF'!$R$6:$R$1005,A687,'VÍNCULOS_CDF'!$Y$6:$Y$1005,1))</f>
        <v>0</v>
      </c>
      <c r="AG687" s="96" t="str">
        <f>IF(AND(R687=1,S687&lt;&gt;"",C687&lt;&gt;""),S687&amp;"|"&amp;C687&amp;"|"&amp;G687&amp;"|"&amp;H687,"")</f>
        <v/>
      </c>
      <c r="AH687" s="96">
        <f>IF(AG687="",0,IF(SUMPRODUCT(--($AG$6:$AG$1005=AG687))&gt;1,1,0))</f>
        <v>0</v>
      </c>
      <c r="AI687" s="96">
        <f>IF(R687=0,0,IF(OR(U687=0,V687=0,Y687=0,AND(AH687=1,K687&lt;&gt;"Sim")),1,0))</f>
        <v>0</v>
      </c>
      <c r="AJ687" s="96">
        <f>IF(AND(R687=1,AA687&gt;0,AB687=AA687),1,0)</f>
        <v>0</v>
      </c>
      <c r="AK687" s="96">
        <f>IF(R687=0,0,IF(AA687&gt;0,N(L687),IF(ISNUMBER(I687),I687,0)))</f>
        <v>0</v>
      </c>
      <c r="AL687" s="96">
        <f>IF(R687=0,0,IF(AND(K687&lt;&gt;"Sim",N(M687)&gt;AK687+cfg_tol),1,0))</f>
        <v>0</v>
      </c>
      <c r="AM687" s="96">
        <f>IF(R687=0,0,IF(K687="Sim",0,IF(OR(AND(AA687&gt;0,ISNUMBER(I687),ABS(I687-N(L687))&gt;cfg_tol),AL687=1),1,0)))</f>
        <v>0</v>
      </c>
      <c r="AN687" s="96">
        <f>IF(AND(R687=1,N(M687)&gt;0,OR(N(M687)&gt;=AK687-cfg_tol,K687="Sim")),1,0)</f>
        <v>0</v>
      </c>
      <c r="AO687" s="96">
        <f>IF(AND(AN687=1,AD687&gt;0,AE687=AD687,AL687=0),1,0)</f>
        <v>0</v>
      </c>
      <c r="AP687" s="96">
        <f>IF(U687=0,0,IF(AND(INDEX('MTRs'!$AX$6:$AX$505,T687)=1,Z687=0,OR(f_res="",f_res="(Todos)",C687=f_res)),1,0))</f>
        <v>0</v>
      </c>
      <c r="AQ687" s="97" t="str">
        <f>IF(U687=0,"",INDEX('MTRs'!$AZ$6:$AZ$505,T687))</f>
        <v/>
      </c>
      <c r="AR687" s="96">
        <f>IF(U687=0,0,IF(AND(INDEX('MTRs'!$BA$6:$BA$505,T687)=1,Z687=0),1,0))</f>
        <v>0</v>
      </c>
      <c r="AS687" s="96" t="str">
        <f>IF(R687=1,A687&amp;" | MTR "&amp;IF(U687=1,INDEX('MTRs'!$B$6:$B$505,T687)&amp;"","?")&amp;" | "&amp;IF(C687="","(sem resíduo)",C687),"")</f>
        <v/>
      </c>
      <c r="AT687" s="96" t="str">
        <f>IF(R687=1,COUNTIF($R$6:R687,1),"")</f>
        <v/>
      </c>
      <c r="AU687" s="96" t="str">
        <f>IF(U687=1,INDEX('MTRs'!$I$6:$I$505,T687)&amp;"","")</f>
        <v/>
      </c>
    </row>
    <row r="688">
      <c r="A688" s="89" t="inlineStr">
        <is>
          <t>IT-000683</t>
        </is>
      </c>
      <c r="B688" s="91" t="n"/>
      <c r="C688" s="91" t="n"/>
      <c r="D688" s="94" t="str">
        <f>IF(OR(R688=0,V688=0),"",INDEX('CAD_RESÍDUOS'!$E$6:$E$205,MATCH(C688,'CAD_RESÍDUOS'!$B$6:$B$205,0))&amp;"")</f>
        <v/>
      </c>
      <c r="E688" s="94" t="str">
        <f>IF(OR(R688=0,V688=0),"",INDEX('CAD_RESÍDUOS'!$C$6:$C$205,MATCH(C688,'CAD_RESÍDUOS'!$B$6:$B$205,0))&amp;"")</f>
        <v/>
      </c>
      <c r="F688" s="94" t="str">
        <f>IF(OR(R688=0,V688=0),"",INDEX('CAD_RESÍDUOS'!$G$6:$G$205,MATCH(C688,'CAD_RESÍDUOS'!$B$6:$B$205,0))&amp;"")</f>
        <v/>
      </c>
      <c r="G688" s="98" t="n"/>
      <c r="H688" s="91" t="n"/>
      <c r="I688" s="93" t="str">
        <f>IF(R688=0,"",IF(NOT(ISNUMBER(G688)),"",IF(ISNUMBER(X688),G688*X688,"UNIDADE A CONFERIR")))</f>
        <v/>
      </c>
      <c r="J688" s="91" t="n"/>
      <c r="K688" s="91" t="n"/>
      <c r="L688" s="93" t="str">
        <f>IF(R688=0,"",SUMIFS('RECEBIMENTOS'!$H$6:$H$1005,'RECEBIMENTOS'!$R$6:$R$1005,A688,'RECEBIMENTOS'!$X$6:$X$1005,1))</f>
        <v/>
      </c>
      <c r="M688" s="93" t="str">
        <f>IF(R688=0,"",SUMIFS('VÍNCULOS_CDF'!$H$6:$H$1005,'VÍNCULOS_CDF'!$R$6:$R$1005,A688,'VÍNCULOS_CDF'!$V$6:$V$1005,1))</f>
        <v/>
      </c>
      <c r="N688" s="99" t="str">
        <f>IF(OR(R688=0,AA688=0,NOT(ISNUMBER(I688))),"",I688-N(L688))</f>
        <v/>
      </c>
      <c r="O688" s="100" t="str">
        <f>IF(OR(R688=0,AK688&lt;=0),"",N(M688)/AK688)</f>
        <v/>
      </c>
      <c r="P688" s="94" t="str">
        <f>IF(R688=0,"",IF(S688="","Sem MTR associado",IF(U688=0,"MTR inexistente",IF(C688="","Resíduo não identificado",IF(V688=0,"Resíduo fora do cadastro",IF(W688=0,"Quantidade inválida",IF(H688="","Unidade não informada",IF(NOT(ISNUMBER(I688)),"Unidade a conferir",IF(AND(AH688=1,K688&lt;&gt;"Sim"),"Possível duplicidade",IF(Z688=1,"MTR cancelado",IF(AC688&gt;0,"Recebimento com alerta",IF(AA688=0,"Aguardando recebimento",IF(AB688&lt;AA688,"Recebimento a conferir",IF(AM688=1,"Quantidade a revisar",IF(AF688&gt;0,"Vínculo a revisar",IF(AD688=0,"Aguardando CDF",IF(AN688=0,"Vínculo de CDF parcial",IF(AE688&lt;AD688,"CDF a conferir","Documentação conferida"))))))))))))))))))</f>
        <v/>
      </c>
      <c r="Q688" s="93" t="str">
        <f>IF(OR(R688=0,AA688=0),"",MAX(0,N(L688)-N(M688)))</f>
        <v/>
      </c>
      <c r="R688" s="96">
        <f>IF(COUNTA(B688:C688,G688:H688,J688:K688)&gt;0,1,0)</f>
        <v>0</v>
      </c>
      <c r="S688" s="96" t="str">
        <f>IF(B688="","",TRIM(LEFT(B688,FIND(" |",B688&amp;" |")-1)))</f>
        <v/>
      </c>
      <c r="T688" s="96" t="str">
        <f>IF(S688="","",IFERROR(MATCH(S688,'MTRs'!$A$6:$A$505,0),""))</f>
        <v/>
      </c>
      <c r="U688" s="96">
        <f>IF(T688="",0,IF(INDEX('MTRs'!$Z$6:$Z$505,T688)=1,1,0))</f>
        <v>0</v>
      </c>
      <c r="V688" s="96">
        <f>IF(C688="",0,IF(ISNUMBER(MATCH(C688,'CAD_RESÍDUOS'!$B$6:$B$205,0)),1,0))</f>
        <v>0</v>
      </c>
      <c r="W688" s="96">
        <f>IF(AND(ISNUMBER(G688),G688&gt;0),1,0)</f>
        <v>0</v>
      </c>
      <c r="X688" s="96" t="str">
        <f>IF(H688="","",IFERROR(IF(ISNUMBER(INDEX(cfg_fac,MATCH(H688,cfg_units,0))),IF(INDEX(cfg_fac,MATCH(H688,cfg_units,0))&gt;0,INDEX(cfg_fac,MATCH(H688,cfg_units,0)),""),""),""))</f>
        <v/>
      </c>
      <c r="Y688" s="96">
        <f>IF(AND(W688=1,ISNUMBER(I688)),1,0)</f>
        <v>0</v>
      </c>
      <c r="Z688" s="96">
        <f>IF(U688=1,INDEX('MTRs'!$AA$6:$AA$505,T688),0)</f>
        <v>0</v>
      </c>
      <c r="AA688" s="96">
        <f>IF(R688=0,0,COUNTIFS('RECEBIMENTOS'!$R$6:$R$1005,A688,'RECEBIMENTOS'!$Q$6:$Q$1005,1))</f>
        <v>0</v>
      </c>
      <c r="AB688" s="96">
        <f>IF(R688=0,0,COUNTIFS('RECEBIMENTOS'!$R$6:$R$1005,A688,'RECEBIMENTOS'!$Z$6:$Z$1005,1))</f>
        <v>0</v>
      </c>
      <c r="AC688" s="96">
        <f>IF(R688=0,0,COUNTIFS('RECEBIMENTOS'!$R$6:$R$1005,A688,'RECEBIMENTOS'!$Y$6:$Y$1005,1))</f>
        <v>0</v>
      </c>
      <c r="AD688" s="96">
        <f>IF(R688=0,0,COUNTIFS('VÍNCULOS_CDF'!$R$6:$R$1005,A688,'VÍNCULOS_CDF'!$N$6:$N$1005,1))</f>
        <v>0</v>
      </c>
      <c r="AE688" s="96">
        <f>IF(R688=0,0,COUNTIFS('VÍNCULOS_CDF'!$R$6:$R$1005,A688,'VÍNCULOS_CDF'!$AA$6:$AA$1005,1))</f>
        <v>0</v>
      </c>
      <c r="AF688" s="96">
        <f>IF(R688=0,0,COUNTIFS('VÍNCULOS_CDF'!$R$6:$R$1005,A688,'VÍNCULOS_CDF'!$Y$6:$Y$1005,1))</f>
        <v>0</v>
      </c>
      <c r="AG688" s="96" t="str">
        <f>IF(AND(R688=1,S688&lt;&gt;"",C688&lt;&gt;""),S688&amp;"|"&amp;C688&amp;"|"&amp;G688&amp;"|"&amp;H688,"")</f>
        <v/>
      </c>
      <c r="AH688" s="96">
        <f>IF(AG688="",0,IF(SUMPRODUCT(--($AG$6:$AG$1005=AG688))&gt;1,1,0))</f>
        <v>0</v>
      </c>
      <c r="AI688" s="96">
        <f>IF(R688=0,0,IF(OR(U688=0,V688=0,Y688=0,AND(AH688=1,K688&lt;&gt;"Sim")),1,0))</f>
        <v>0</v>
      </c>
      <c r="AJ688" s="96">
        <f>IF(AND(R688=1,AA688&gt;0,AB688=AA688),1,0)</f>
        <v>0</v>
      </c>
      <c r="AK688" s="96">
        <f>IF(R688=0,0,IF(AA688&gt;0,N(L688),IF(ISNUMBER(I688),I688,0)))</f>
        <v>0</v>
      </c>
      <c r="AL688" s="96">
        <f>IF(R688=0,0,IF(AND(K688&lt;&gt;"Sim",N(M688)&gt;AK688+cfg_tol),1,0))</f>
        <v>0</v>
      </c>
      <c r="AM688" s="96">
        <f>IF(R688=0,0,IF(K688="Sim",0,IF(OR(AND(AA688&gt;0,ISNUMBER(I688),ABS(I688-N(L688))&gt;cfg_tol),AL688=1),1,0)))</f>
        <v>0</v>
      </c>
      <c r="AN688" s="96">
        <f>IF(AND(R688=1,N(M688)&gt;0,OR(N(M688)&gt;=AK688-cfg_tol,K688="Sim")),1,0)</f>
        <v>0</v>
      </c>
      <c r="AO688" s="96">
        <f>IF(AND(AN688=1,AD688&gt;0,AE688=AD688,AL688=0),1,0)</f>
        <v>0</v>
      </c>
      <c r="AP688" s="96">
        <f>IF(U688=0,0,IF(AND(INDEX('MTRs'!$AX$6:$AX$505,T688)=1,Z688=0,OR(f_res="",f_res="(Todos)",C688=f_res)),1,0))</f>
        <v>0</v>
      </c>
      <c r="AQ688" s="97" t="str">
        <f>IF(U688=0,"",INDEX('MTRs'!$AZ$6:$AZ$505,T688))</f>
        <v/>
      </c>
      <c r="AR688" s="96">
        <f>IF(U688=0,0,IF(AND(INDEX('MTRs'!$BA$6:$BA$505,T688)=1,Z688=0),1,0))</f>
        <v>0</v>
      </c>
      <c r="AS688" s="96" t="str">
        <f>IF(R688=1,A688&amp;" | MTR "&amp;IF(U688=1,INDEX('MTRs'!$B$6:$B$505,T688)&amp;"","?")&amp;" | "&amp;IF(C688="","(sem resíduo)",C688),"")</f>
        <v/>
      </c>
      <c r="AT688" s="96" t="str">
        <f>IF(R688=1,COUNTIF($R$6:R688,1),"")</f>
        <v/>
      </c>
      <c r="AU688" s="96" t="str">
        <f>IF(U688=1,INDEX('MTRs'!$I$6:$I$505,T688)&amp;"","")</f>
        <v/>
      </c>
    </row>
    <row r="689">
      <c r="A689" s="89" t="inlineStr">
        <is>
          <t>IT-000684</t>
        </is>
      </c>
      <c r="B689" s="91" t="n"/>
      <c r="C689" s="91" t="n"/>
      <c r="D689" s="94" t="str">
        <f>IF(OR(R689=0,V689=0),"",INDEX('CAD_RESÍDUOS'!$E$6:$E$205,MATCH(C689,'CAD_RESÍDUOS'!$B$6:$B$205,0))&amp;"")</f>
        <v/>
      </c>
      <c r="E689" s="94" t="str">
        <f>IF(OR(R689=0,V689=0),"",INDEX('CAD_RESÍDUOS'!$C$6:$C$205,MATCH(C689,'CAD_RESÍDUOS'!$B$6:$B$205,0))&amp;"")</f>
        <v/>
      </c>
      <c r="F689" s="94" t="str">
        <f>IF(OR(R689=0,V689=0),"",INDEX('CAD_RESÍDUOS'!$G$6:$G$205,MATCH(C689,'CAD_RESÍDUOS'!$B$6:$B$205,0))&amp;"")</f>
        <v/>
      </c>
      <c r="G689" s="98" t="n"/>
      <c r="H689" s="91" t="n"/>
      <c r="I689" s="93" t="str">
        <f>IF(R689=0,"",IF(NOT(ISNUMBER(G689)),"",IF(ISNUMBER(X689),G689*X689,"UNIDADE A CONFERIR")))</f>
        <v/>
      </c>
      <c r="J689" s="91" t="n"/>
      <c r="K689" s="91" t="n"/>
      <c r="L689" s="93" t="str">
        <f>IF(R689=0,"",SUMIFS('RECEBIMENTOS'!$H$6:$H$1005,'RECEBIMENTOS'!$R$6:$R$1005,A689,'RECEBIMENTOS'!$X$6:$X$1005,1))</f>
        <v/>
      </c>
      <c r="M689" s="93" t="str">
        <f>IF(R689=0,"",SUMIFS('VÍNCULOS_CDF'!$H$6:$H$1005,'VÍNCULOS_CDF'!$R$6:$R$1005,A689,'VÍNCULOS_CDF'!$V$6:$V$1005,1))</f>
        <v/>
      </c>
      <c r="N689" s="99" t="str">
        <f>IF(OR(R689=0,AA689=0,NOT(ISNUMBER(I689))),"",I689-N(L689))</f>
        <v/>
      </c>
      <c r="O689" s="100" t="str">
        <f>IF(OR(R689=0,AK689&lt;=0),"",N(M689)/AK689)</f>
        <v/>
      </c>
      <c r="P689" s="94" t="str">
        <f>IF(R689=0,"",IF(S689="","Sem MTR associado",IF(U689=0,"MTR inexistente",IF(C689="","Resíduo não identificado",IF(V689=0,"Resíduo fora do cadastro",IF(W689=0,"Quantidade inválida",IF(H689="","Unidade não informada",IF(NOT(ISNUMBER(I689)),"Unidade a conferir",IF(AND(AH689=1,K689&lt;&gt;"Sim"),"Possível duplicidade",IF(Z689=1,"MTR cancelado",IF(AC689&gt;0,"Recebimento com alerta",IF(AA689=0,"Aguardando recebimento",IF(AB689&lt;AA689,"Recebimento a conferir",IF(AM689=1,"Quantidade a revisar",IF(AF689&gt;0,"Vínculo a revisar",IF(AD689=0,"Aguardando CDF",IF(AN689=0,"Vínculo de CDF parcial",IF(AE689&lt;AD689,"CDF a conferir","Documentação conferida"))))))))))))))))))</f>
        <v/>
      </c>
      <c r="Q689" s="93" t="str">
        <f>IF(OR(R689=0,AA689=0),"",MAX(0,N(L689)-N(M689)))</f>
        <v/>
      </c>
      <c r="R689" s="96">
        <f>IF(COUNTA(B689:C689,G689:H689,J689:K689)&gt;0,1,0)</f>
        <v>0</v>
      </c>
      <c r="S689" s="96" t="str">
        <f>IF(B689="","",TRIM(LEFT(B689,FIND(" |",B689&amp;" |")-1)))</f>
        <v/>
      </c>
      <c r="T689" s="96" t="str">
        <f>IF(S689="","",IFERROR(MATCH(S689,'MTRs'!$A$6:$A$505,0),""))</f>
        <v/>
      </c>
      <c r="U689" s="96">
        <f>IF(T689="",0,IF(INDEX('MTRs'!$Z$6:$Z$505,T689)=1,1,0))</f>
        <v>0</v>
      </c>
      <c r="V689" s="96">
        <f>IF(C689="",0,IF(ISNUMBER(MATCH(C689,'CAD_RESÍDUOS'!$B$6:$B$205,0)),1,0))</f>
        <v>0</v>
      </c>
      <c r="W689" s="96">
        <f>IF(AND(ISNUMBER(G689),G689&gt;0),1,0)</f>
        <v>0</v>
      </c>
      <c r="X689" s="96" t="str">
        <f>IF(H689="","",IFERROR(IF(ISNUMBER(INDEX(cfg_fac,MATCH(H689,cfg_units,0))),IF(INDEX(cfg_fac,MATCH(H689,cfg_units,0))&gt;0,INDEX(cfg_fac,MATCH(H689,cfg_units,0)),""),""),""))</f>
        <v/>
      </c>
      <c r="Y689" s="96">
        <f>IF(AND(W689=1,ISNUMBER(I689)),1,0)</f>
        <v>0</v>
      </c>
      <c r="Z689" s="96">
        <f>IF(U689=1,INDEX('MTRs'!$AA$6:$AA$505,T689),0)</f>
        <v>0</v>
      </c>
      <c r="AA689" s="96">
        <f>IF(R689=0,0,COUNTIFS('RECEBIMENTOS'!$R$6:$R$1005,A689,'RECEBIMENTOS'!$Q$6:$Q$1005,1))</f>
        <v>0</v>
      </c>
      <c r="AB689" s="96">
        <f>IF(R689=0,0,COUNTIFS('RECEBIMENTOS'!$R$6:$R$1005,A689,'RECEBIMENTOS'!$Z$6:$Z$1005,1))</f>
        <v>0</v>
      </c>
      <c r="AC689" s="96">
        <f>IF(R689=0,0,COUNTIFS('RECEBIMENTOS'!$R$6:$R$1005,A689,'RECEBIMENTOS'!$Y$6:$Y$1005,1))</f>
        <v>0</v>
      </c>
      <c r="AD689" s="96">
        <f>IF(R689=0,0,COUNTIFS('VÍNCULOS_CDF'!$R$6:$R$1005,A689,'VÍNCULOS_CDF'!$N$6:$N$1005,1))</f>
        <v>0</v>
      </c>
      <c r="AE689" s="96">
        <f>IF(R689=0,0,COUNTIFS('VÍNCULOS_CDF'!$R$6:$R$1005,A689,'VÍNCULOS_CDF'!$AA$6:$AA$1005,1))</f>
        <v>0</v>
      </c>
      <c r="AF689" s="96">
        <f>IF(R689=0,0,COUNTIFS('VÍNCULOS_CDF'!$R$6:$R$1005,A689,'VÍNCULOS_CDF'!$Y$6:$Y$1005,1))</f>
        <v>0</v>
      </c>
      <c r="AG689" s="96" t="str">
        <f>IF(AND(R689=1,S689&lt;&gt;"",C689&lt;&gt;""),S689&amp;"|"&amp;C689&amp;"|"&amp;G689&amp;"|"&amp;H689,"")</f>
        <v/>
      </c>
      <c r="AH689" s="96">
        <f>IF(AG689="",0,IF(SUMPRODUCT(--($AG$6:$AG$1005=AG689))&gt;1,1,0))</f>
        <v>0</v>
      </c>
      <c r="AI689" s="96">
        <f>IF(R689=0,0,IF(OR(U689=0,V689=0,Y689=0,AND(AH689=1,K689&lt;&gt;"Sim")),1,0))</f>
        <v>0</v>
      </c>
      <c r="AJ689" s="96">
        <f>IF(AND(R689=1,AA689&gt;0,AB689=AA689),1,0)</f>
        <v>0</v>
      </c>
      <c r="AK689" s="96">
        <f>IF(R689=0,0,IF(AA689&gt;0,N(L689),IF(ISNUMBER(I689),I689,0)))</f>
        <v>0</v>
      </c>
      <c r="AL689" s="96">
        <f>IF(R689=0,0,IF(AND(K689&lt;&gt;"Sim",N(M689)&gt;AK689+cfg_tol),1,0))</f>
        <v>0</v>
      </c>
      <c r="AM689" s="96">
        <f>IF(R689=0,0,IF(K689="Sim",0,IF(OR(AND(AA689&gt;0,ISNUMBER(I689),ABS(I689-N(L689))&gt;cfg_tol),AL689=1),1,0)))</f>
        <v>0</v>
      </c>
      <c r="AN689" s="96">
        <f>IF(AND(R689=1,N(M689)&gt;0,OR(N(M689)&gt;=AK689-cfg_tol,K689="Sim")),1,0)</f>
        <v>0</v>
      </c>
      <c r="AO689" s="96">
        <f>IF(AND(AN689=1,AD689&gt;0,AE689=AD689,AL689=0),1,0)</f>
        <v>0</v>
      </c>
      <c r="AP689" s="96">
        <f>IF(U689=0,0,IF(AND(INDEX('MTRs'!$AX$6:$AX$505,T689)=1,Z689=0,OR(f_res="",f_res="(Todos)",C689=f_res)),1,0))</f>
        <v>0</v>
      </c>
      <c r="AQ689" s="97" t="str">
        <f>IF(U689=0,"",INDEX('MTRs'!$AZ$6:$AZ$505,T689))</f>
        <v/>
      </c>
      <c r="AR689" s="96">
        <f>IF(U689=0,0,IF(AND(INDEX('MTRs'!$BA$6:$BA$505,T689)=1,Z689=0),1,0))</f>
        <v>0</v>
      </c>
      <c r="AS689" s="96" t="str">
        <f>IF(R689=1,A689&amp;" | MTR "&amp;IF(U689=1,INDEX('MTRs'!$B$6:$B$505,T689)&amp;"","?")&amp;" | "&amp;IF(C689="","(sem resíduo)",C689),"")</f>
        <v/>
      </c>
      <c r="AT689" s="96" t="str">
        <f>IF(R689=1,COUNTIF($R$6:R689,1),"")</f>
        <v/>
      </c>
      <c r="AU689" s="96" t="str">
        <f>IF(U689=1,INDEX('MTRs'!$I$6:$I$505,T689)&amp;"","")</f>
        <v/>
      </c>
    </row>
    <row r="690">
      <c r="A690" s="89" t="inlineStr">
        <is>
          <t>IT-000685</t>
        </is>
      </c>
      <c r="B690" s="91" t="n"/>
      <c r="C690" s="91" t="n"/>
      <c r="D690" s="94" t="str">
        <f>IF(OR(R690=0,V690=0),"",INDEX('CAD_RESÍDUOS'!$E$6:$E$205,MATCH(C690,'CAD_RESÍDUOS'!$B$6:$B$205,0))&amp;"")</f>
        <v/>
      </c>
      <c r="E690" s="94" t="str">
        <f>IF(OR(R690=0,V690=0),"",INDEX('CAD_RESÍDUOS'!$C$6:$C$205,MATCH(C690,'CAD_RESÍDUOS'!$B$6:$B$205,0))&amp;"")</f>
        <v/>
      </c>
      <c r="F690" s="94" t="str">
        <f>IF(OR(R690=0,V690=0),"",INDEX('CAD_RESÍDUOS'!$G$6:$G$205,MATCH(C690,'CAD_RESÍDUOS'!$B$6:$B$205,0))&amp;"")</f>
        <v/>
      </c>
      <c r="G690" s="98" t="n"/>
      <c r="H690" s="91" t="n"/>
      <c r="I690" s="93" t="str">
        <f>IF(R690=0,"",IF(NOT(ISNUMBER(G690)),"",IF(ISNUMBER(X690),G690*X690,"UNIDADE A CONFERIR")))</f>
        <v/>
      </c>
      <c r="J690" s="91" t="n"/>
      <c r="K690" s="91" t="n"/>
      <c r="L690" s="93" t="str">
        <f>IF(R690=0,"",SUMIFS('RECEBIMENTOS'!$H$6:$H$1005,'RECEBIMENTOS'!$R$6:$R$1005,A690,'RECEBIMENTOS'!$X$6:$X$1005,1))</f>
        <v/>
      </c>
      <c r="M690" s="93" t="str">
        <f>IF(R690=0,"",SUMIFS('VÍNCULOS_CDF'!$H$6:$H$1005,'VÍNCULOS_CDF'!$R$6:$R$1005,A690,'VÍNCULOS_CDF'!$V$6:$V$1005,1))</f>
        <v/>
      </c>
      <c r="N690" s="99" t="str">
        <f>IF(OR(R690=0,AA690=0,NOT(ISNUMBER(I690))),"",I690-N(L690))</f>
        <v/>
      </c>
      <c r="O690" s="100" t="str">
        <f>IF(OR(R690=0,AK690&lt;=0),"",N(M690)/AK690)</f>
        <v/>
      </c>
      <c r="P690" s="94" t="str">
        <f>IF(R690=0,"",IF(S690="","Sem MTR associado",IF(U690=0,"MTR inexistente",IF(C690="","Resíduo não identificado",IF(V690=0,"Resíduo fora do cadastro",IF(W690=0,"Quantidade inválida",IF(H690="","Unidade não informada",IF(NOT(ISNUMBER(I690)),"Unidade a conferir",IF(AND(AH690=1,K690&lt;&gt;"Sim"),"Possível duplicidade",IF(Z690=1,"MTR cancelado",IF(AC690&gt;0,"Recebimento com alerta",IF(AA690=0,"Aguardando recebimento",IF(AB690&lt;AA690,"Recebimento a conferir",IF(AM690=1,"Quantidade a revisar",IF(AF690&gt;0,"Vínculo a revisar",IF(AD690=0,"Aguardando CDF",IF(AN690=0,"Vínculo de CDF parcial",IF(AE690&lt;AD690,"CDF a conferir","Documentação conferida"))))))))))))))))))</f>
        <v/>
      </c>
      <c r="Q690" s="93" t="str">
        <f>IF(OR(R690=0,AA690=0),"",MAX(0,N(L690)-N(M690)))</f>
        <v/>
      </c>
      <c r="R690" s="96">
        <f>IF(COUNTA(B690:C690,G690:H690,J690:K690)&gt;0,1,0)</f>
        <v>0</v>
      </c>
      <c r="S690" s="96" t="str">
        <f>IF(B690="","",TRIM(LEFT(B690,FIND(" |",B690&amp;" |")-1)))</f>
        <v/>
      </c>
      <c r="T690" s="96" t="str">
        <f>IF(S690="","",IFERROR(MATCH(S690,'MTRs'!$A$6:$A$505,0),""))</f>
        <v/>
      </c>
      <c r="U690" s="96">
        <f>IF(T690="",0,IF(INDEX('MTRs'!$Z$6:$Z$505,T690)=1,1,0))</f>
        <v>0</v>
      </c>
      <c r="V690" s="96">
        <f>IF(C690="",0,IF(ISNUMBER(MATCH(C690,'CAD_RESÍDUOS'!$B$6:$B$205,0)),1,0))</f>
        <v>0</v>
      </c>
      <c r="W690" s="96">
        <f>IF(AND(ISNUMBER(G690),G690&gt;0),1,0)</f>
        <v>0</v>
      </c>
      <c r="X690" s="96" t="str">
        <f>IF(H690="","",IFERROR(IF(ISNUMBER(INDEX(cfg_fac,MATCH(H690,cfg_units,0))),IF(INDEX(cfg_fac,MATCH(H690,cfg_units,0))&gt;0,INDEX(cfg_fac,MATCH(H690,cfg_units,0)),""),""),""))</f>
        <v/>
      </c>
      <c r="Y690" s="96">
        <f>IF(AND(W690=1,ISNUMBER(I690)),1,0)</f>
        <v>0</v>
      </c>
      <c r="Z690" s="96">
        <f>IF(U690=1,INDEX('MTRs'!$AA$6:$AA$505,T690),0)</f>
        <v>0</v>
      </c>
      <c r="AA690" s="96">
        <f>IF(R690=0,0,COUNTIFS('RECEBIMENTOS'!$R$6:$R$1005,A690,'RECEBIMENTOS'!$Q$6:$Q$1005,1))</f>
        <v>0</v>
      </c>
      <c r="AB690" s="96">
        <f>IF(R690=0,0,COUNTIFS('RECEBIMENTOS'!$R$6:$R$1005,A690,'RECEBIMENTOS'!$Z$6:$Z$1005,1))</f>
        <v>0</v>
      </c>
      <c r="AC690" s="96">
        <f>IF(R690=0,0,COUNTIFS('RECEBIMENTOS'!$R$6:$R$1005,A690,'RECEBIMENTOS'!$Y$6:$Y$1005,1))</f>
        <v>0</v>
      </c>
      <c r="AD690" s="96">
        <f>IF(R690=0,0,COUNTIFS('VÍNCULOS_CDF'!$R$6:$R$1005,A690,'VÍNCULOS_CDF'!$N$6:$N$1005,1))</f>
        <v>0</v>
      </c>
      <c r="AE690" s="96">
        <f>IF(R690=0,0,COUNTIFS('VÍNCULOS_CDF'!$R$6:$R$1005,A690,'VÍNCULOS_CDF'!$AA$6:$AA$1005,1))</f>
        <v>0</v>
      </c>
      <c r="AF690" s="96">
        <f>IF(R690=0,0,COUNTIFS('VÍNCULOS_CDF'!$R$6:$R$1005,A690,'VÍNCULOS_CDF'!$Y$6:$Y$1005,1))</f>
        <v>0</v>
      </c>
      <c r="AG690" s="96" t="str">
        <f>IF(AND(R690=1,S690&lt;&gt;"",C690&lt;&gt;""),S690&amp;"|"&amp;C690&amp;"|"&amp;G690&amp;"|"&amp;H690,"")</f>
        <v/>
      </c>
      <c r="AH690" s="96">
        <f>IF(AG690="",0,IF(SUMPRODUCT(--($AG$6:$AG$1005=AG690))&gt;1,1,0))</f>
        <v>0</v>
      </c>
      <c r="AI690" s="96">
        <f>IF(R690=0,0,IF(OR(U690=0,V690=0,Y690=0,AND(AH690=1,K690&lt;&gt;"Sim")),1,0))</f>
        <v>0</v>
      </c>
      <c r="AJ690" s="96">
        <f>IF(AND(R690=1,AA690&gt;0,AB690=AA690),1,0)</f>
        <v>0</v>
      </c>
      <c r="AK690" s="96">
        <f>IF(R690=0,0,IF(AA690&gt;0,N(L690),IF(ISNUMBER(I690),I690,0)))</f>
        <v>0</v>
      </c>
      <c r="AL690" s="96">
        <f>IF(R690=0,0,IF(AND(K690&lt;&gt;"Sim",N(M690)&gt;AK690+cfg_tol),1,0))</f>
        <v>0</v>
      </c>
      <c r="AM690" s="96">
        <f>IF(R690=0,0,IF(K690="Sim",0,IF(OR(AND(AA690&gt;0,ISNUMBER(I690),ABS(I690-N(L690))&gt;cfg_tol),AL690=1),1,0)))</f>
        <v>0</v>
      </c>
      <c r="AN690" s="96">
        <f>IF(AND(R690=1,N(M690)&gt;0,OR(N(M690)&gt;=AK690-cfg_tol,K690="Sim")),1,0)</f>
        <v>0</v>
      </c>
      <c r="AO690" s="96">
        <f>IF(AND(AN690=1,AD690&gt;0,AE690=AD690,AL690=0),1,0)</f>
        <v>0</v>
      </c>
      <c r="AP690" s="96">
        <f>IF(U690=0,0,IF(AND(INDEX('MTRs'!$AX$6:$AX$505,T690)=1,Z690=0,OR(f_res="",f_res="(Todos)",C690=f_res)),1,0))</f>
        <v>0</v>
      </c>
      <c r="AQ690" s="97" t="str">
        <f>IF(U690=0,"",INDEX('MTRs'!$AZ$6:$AZ$505,T690))</f>
        <v/>
      </c>
      <c r="AR690" s="96">
        <f>IF(U690=0,0,IF(AND(INDEX('MTRs'!$BA$6:$BA$505,T690)=1,Z690=0),1,0))</f>
        <v>0</v>
      </c>
      <c r="AS690" s="96" t="str">
        <f>IF(R690=1,A690&amp;" | MTR "&amp;IF(U690=1,INDEX('MTRs'!$B$6:$B$505,T690)&amp;"","?")&amp;" | "&amp;IF(C690="","(sem resíduo)",C690),"")</f>
        <v/>
      </c>
      <c r="AT690" s="96" t="str">
        <f>IF(R690=1,COUNTIF($R$6:R690,1),"")</f>
        <v/>
      </c>
      <c r="AU690" s="96" t="str">
        <f>IF(U690=1,INDEX('MTRs'!$I$6:$I$505,T690)&amp;"","")</f>
        <v/>
      </c>
    </row>
    <row r="691">
      <c r="A691" s="89" t="inlineStr">
        <is>
          <t>IT-000686</t>
        </is>
      </c>
      <c r="B691" s="91" t="n"/>
      <c r="C691" s="91" t="n"/>
      <c r="D691" s="94" t="str">
        <f>IF(OR(R691=0,V691=0),"",INDEX('CAD_RESÍDUOS'!$E$6:$E$205,MATCH(C691,'CAD_RESÍDUOS'!$B$6:$B$205,0))&amp;"")</f>
        <v/>
      </c>
      <c r="E691" s="94" t="str">
        <f>IF(OR(R691=0,V691=0),"",INDEX('CAD_RESÍDUOS'!$C$6:$C$205,MATCH(C691,'CAD_RESÍDUOS'!$B$6:$B$205,0))&amp;"")</f>
        <v/>
      </c>
      <c r="F691" s="94" t="str">
        <f>IF(OR(R691=0,V691=0),"",INDEX('CAD_RESÍDUOS'!$G$6:$G$205,MATCH(C691,'CAD_RESÍDUOS'!$B$6:$B$205,0))&amp;"")</f>
        <v/>
      </c>
      <c r="G691" s="98" t="n"/>
      <c r="H691" s="91" t="n"/>
      <c r="I691" s="93" t="str">
        <f>IF(R691=0,"",IF(NOT(ISNUMBER(G691)),"",IF(ISNUMBER(X691),G691*X691,"UNIDADE A CONFERIR")))</f>
        <v/>
      </c>
      <c r="J691" s="91" t="n"/>
      <c r="K691" s="91" t="n"/>
      <c r="L691" s="93" t="str">
        <f>IF(R691=0,"",SUMIFS('RECEBIMENTOS'!$H$6:$H$1005,'RECEBIMENTOS'!$R$6:$R$1005,A691,'RECEBIMENTOS'!$X$6:$X$1005,1))</f>
        <v/>
      </c>
      <c r="M691" s="93" t="str">
        <f>IF(R691=0,"",SUMIFS('VÍNCULOS_CDF'!$H$6:$H$1005,'VÍNCULOS_CDF'!$R$6:$R$1005,A691,'VÍNCULOS_CDF'!$V$6:$V$1005,1))</f>
        <v/>
      </c>
      <c r="N691" s="99" t="str">
        <f>IF(OR(R691=0,AA691=0,NOT(ISNUMBER(I691))),"",I691-N(L691))</f>
        <v/>
      </c>
      <c r="O691" s="100" t="str">
        <f>IF(OR(R691=0,AK691&lt;=0),"",N(M691)/AK691)</f>
        <v/>
      </c>
      <c r="P691" s="94" t="str">
        <f>IF(R691=0,"",IF(S691="","Sem MTR associado",IF(U691=0,"MTR inexistente",IF(C691="","Resíduo não identificado",IF(V691=0,"Resíduo fora do cadastro",IF(W691=0,"Quantidade inválida",IF(H691="","Unidade não informada",IF(NOT(ISNUMBER(I691)),"Unidade a conferir",IF(AND(AH691=1,K691&lt;&gt;"Sim"),"Possível duplicidade",IF(Z691=1,"MTR cancelado",IF(AC691&gt;0,"Recebimento com alerta",IF(AA691=0,"Aguardando recebimento",IF(AB691&lt;AA691,"Recebimento a conferir",IF(AM691=1,"Quantidade a revisar",IF(AF691&gt;0,"Vínculo a revisar",IF(AD691=0,"Aguardando CDF",IF(AN691=0,"Vínculo de CDF parcial",IF(AE691&lt;AD691,"CDF a conferir","Documentação conferida"))))))))))))))))))</f>
        <v/>
      </c>
      <c r="Q691" s="93" t="str">
        <f>IF(OR(R691=0,AA691=0),"",MAX(0,N(L691)-N(M691)))</f>
        <v/>
      </c>
      <c r="R691" s="96">
        <f>IF(COUNTA(B691:C691,G691:H691,J691:K691)&gt;0,1,0)</f>
        <v>0</v>
      </c>
      <c r="S691" s="96" t="str">
        <f>IF(B691="","",TRIM(LEFT(B691,FIND(" |",B691&amp;" |")-1)))</f>
        <v/>
      </c>
      <c r="T691" s="96" t="str">
        <f>IF(S691="","",IFERROR(MATCH(S691,'MTRs'!$A$6:$A$505,0),""))</f>
        <v/>
      </c>
      <c r="U691" s="96">
        <f>IF(T691="",0,IF(INDEX('MTRs'!$Z$6:$Z$505,T691)=1,1,0))</f>
        <v>0</v>
      </c>
      <c r="V691" s="96">
        <f>IF(C691="",0,IF(ISNUMBER(MATCH(C691,'CAD_RESÍDUOS'!$B$6:$B$205,0)),1,0))</f>
        <v>0</v>
      </c>
      <c r="W691" s="96">
        <f>IF(AND(ISNUMBER(G691),G691&gt;0),1,0)</f>
        <v>0</v>
      </c>
      <c r="X691" s="96" t="str">
        <f>IF(H691="","",IFERROR(IF(ISNUMBER(INDEX(cfg_fac,MATCH(H691,cfg_units,0))),IF(INDEX(cfg_fac,MATCH(H691,cfg_units,0))&gt;0,INDEX(cfg_fac,MATCH(H691,cfg_units,0)),""),""),""))</f>
        <v/>
      </c>
      <c r="Y691" s="96">
        <f>IF(AND(W691=1,ISNUMBER(I691)),1,0)</f>
        <v>0</v>
      </c>
      <c r="Z691" s="96">
        <f>IF(U691=1,INDEX('MTRs'!$AA$6:$AA$505,T691),0)</f>
        <v>0</v>
      </c>
      <c r="AA691" s="96">
        <f>IF(R691=0,0,COUNTIFS('RECEBIMENTOS'!$R$6:$R$1005,A691,'RECEBIMENTOS'!$Q$6:$Q$1005,1))</f>
        <v>0</v>
      </c>
      <c r="AB691" s="96">
        <f>IF(R691=0,0,COUNTIFS('RECEBIMENTOS'!$R$6:$R$1005,A691,'RECEBIMENTOS'!$Z$6:$Z$1005,1))</f>
        <v>0</v>
      </c>
      <c r="AC691" s="96">
        <f>IF(R691=0,0,COUNTIFS('RECEBIMENTOS'!$R$6:$R$1005,A691,'RECEBIMENTOS'!$Y$6:$Y$1005,1))</f>
        <v>0</v>
      </c>
      <c r="AD691" s="96">
        <f>IF(R691=0,0,COUNTIFS('VÍNCULOS_CDF'!$R$6:$R$1005,A691,'VÍNCULOS_CDF'!$N$6:$N$1005,1))</f>
        <v>0</v>
      </c>
      <c r="AE691" s="96">
        <f>IF(R691=0,0,COUNTIFS('VÍNCULOS_CDF'!$R$6:$R$1005,A691,'VÍNCULOS_CDF'!$AA$6:$AA$1005,1))</f>
        <v>0</v>
      </c>
      <c r="AF691" s="96">
        <f>IF(R691=0,0,COUNTIFS('VÍNCULOS_CDF'!$R$6:$R$1005,A691,'VÍNCULOS_CDF'!$Y$6:$Y$1005,1))</f>
        <v>0</v>
      </c>
      <c r="AG691" s="96" t="str">
        <f>IF(AND(R691=1,S691&lt;&gt;"",C691&lt;&gt;""),S691&amp;"|"&amp;C691&amp;"|"&amp;G691&amp;"|"&amp;H691,"")</f>
        <v/>
      </c>
      <c r="AH691" s="96">
        <f>IF(AG691="",0,IF(SUMPRODUCT(--($AG$6:$AG$1005=AG691))&gt;1,1,0))</f>
        <v>0</v>
      </c>
      <c r="AI691" s="96">
        <f>IF(R691=0,0,IF(OR(U691=0,V691=0,Y691=0,AND(AH691=1,K691&lt;&gt;"Sim")),1,0))</f>
        <v>0</v>
      </c>
      <c r="AJ691" s="96">
        <f>IF(AND(R691=1,AA691&gt;0,AB691=AA691),1,0)</f>
        <v>0</v>
      </c>
      <c r="AK691" s="96">
        <f>IF(R691=0,0,IF(AA691&gt;0,N(L691),IF(ISNUMBER(I691),I691,0)))</f>
        <v>0</v>
      </c>
      <c r="AL691" s="96">
        <f>IF(R691=0,0,IF(AND(K691&lt;&gt;"Sim",N(M691)&gt;AK691+cfg_tol),1,0))</f>
        <v>0</v>
      </c>
      <c r="AM691" s="96">
        <f>IF(R691=0,0,IF(K691="Sim",0,IF(OR(AND(AA691&gt;0,ISNUMBER(I691),ABS(I691-N(L691))&gt;cfg_tol),AL691=1),1,0)))</f>
        <v>0</v>
      </c>
      <c r="AN691" s="96">
        <f>IF(AND(R691=1,N(M691)&gt;0,OR(N(M691)&gt;=AK691-cfg_tol,K691="Sim")),1,0)</f>
        <v>0</v>
      </c>
      <c r="AO691" s="96">
        <f>IF(AND(AN691=1,AD691&gt;0,AE691=AD691,AL691=0),1,0)</f>
        <v>0</v>
      </c>
      <c r="AP691" s="96">
        <f>IF(U691=0,0,IF(AND(INDEX('MTRs'!$AX$6:$AX$505,T691)=1,Z691=0,OR(f_res="",f_res="(Todos)",C691=f_res)),1,0))</f>
        <v>0</v>
      </c>
      <c r="AQ691" s="97" t="str">
        <f>IF(U691=0,"",INDEX('MTRs'!$AZ$6:$AZ$505,T691))</f>
        <v/>
      </c>
      <c r="AR691" s="96">
        <f>IF(U691=0,0,IF(AND(INDEX('MTRs'!$BA$6:$BA$505,T691)=1,Z691=0),1,0))</f>
        <v>0</v>
      </c>
      <c r="AS691" s="96" t="str">
        <f>IF(R691=1,A691&amp;" | MTR "&amp;IF(U691=1,INDEX('MTRs'!$B$6:$B$505,T691)&amp;"","?")&amp;" | "&amp;IF(C691="","(sem resíduo)",C691),"")</f>
        <v/>
      </c>
      <c r="AT691" s="96" t="str">
        <f>IF(R691=1,COUNTIF($R$6:R691,1),"")</f>
        <v/>
      </c>
      <c r="AU691" s="96" t="str">
        <f>IF(U691=1,INDEX('MTRs'!$I$6:$I$505,T691)&amp;"","")</f>
        <v/>
      </c>
    </row>
    <row r="692">
      <c r="A692" s="89" t="inlineStr">
        <is>
          <t>IT-000687</t>
        </is>
      </c>
      <c r="B692" s="91" t="n"/>
      <c r="C692" s="91" t="n"/>
      <c r="D692" s="94" t="str">
        <f>IF(OR(R692=0,V692=0),"",INDEX('CAD_RESÍDUOS'!$E$6:$E$205,MATCH(C692,'CAD_RESÍDUOS'!$B$6:$B$205,0))&amp;"")</f>
        <v/>
      </c>
      <c r="E692" s="94" t="str">
        <f>IF(OR(R692=0,V692=0),"",INDEX('CAD_RESÍDUOS'!$C$6:$C$205,MATCH(C692,'CAD_RESÍDUOS'!$B$6:$B$205,0))&amp;"")</f>
        <v/>
      </c>
      <c r="F692" s="94" t="str">
        <f>IF(OR(R692=0,V692=0),"",INDEX('CAD_RESÍDUOS'!$G$6:$G$205,MATCH(C692,'CAD_RESÍDUOS'!$B$6:$B$205,0))&amp;"")</f>
        <v/>
      </c>
      <c r="G692" s="98" t="n"/>
      <c r="H692" s="91" t="n"/>
      <c r="I692" s="93" t="str">
        <f>IF(R692=0,"",IF(NOT(ISNUMBER(G692)),"",IF(ISNUMBER(X692),G692*X692,"UNIDADE A CONFERIR")))</f>
        <v/>
      </c>
      <c r="J692" s="91" t="n"/>
      <c r="K692" s="91" t="n"/>
      <c r="L692" s="93" t="str">
        <f>IF(R692=0,"",SUMIFS('RECEBIMENTOS'!$H$6:$H$1005,'RECEBIMENTOS'!$R$6:$R$1005,A692,'RECEBIMENTOS'!$X$6:$X$1005,1))</f>
        <v/>
      </c>
      <c r="M692" s="93" t="str">
        <f>IF(R692=0,"",SUMIFS('VÍNCULOS_CDF'!$H$6:$H$1005,'VÍNCULOS_CDF'!$R$6:$R$1005,A692,'VÍNCULOS_CDF'!$V$6:$V$1005,1))</f>
        <v/>
      </c>
      <c r="N692" s="99" t="str">
        <f>IF(OR(R692=0,AA692=0,NOT(ISNUMBER(I692))),"",I692-N(L692))</f>
        <v/>
      </c>
      <c r="O692" s="100" t="str">
        <f>IF(OR(R692=0,AK692&lt;=0),"",N(M692)/AK692)</f>
        <v/>
      </c>
      <c r="P692" s="94" t="str">
        <f>IF(R692=0,"",IF(S692="","Sem MTR associado",IF(U692=0,"MTR inexistente",IF(C692="","Resíduo não identificado",IF(V692=0,"Resíduo fora do cadastro",IF(W692=0,"Quantidade inválida",IF(H692="","Unidade não informada",IF(NOT(ISNUMBER(I692)),"Unidade a conferir",IF(AND(AH692=1,K692&lt;&gt;"Sim"),"Possível duplicidade",IF(Z692=1,"MTR cancelado",IF(AC692&gt;0,"Recebimento com alerta",IF(AA692=0,"Aguardando recebimento",IF(AB692&lt;AA692,"Recebimento a conferir",IF(AM692=1,"Quantidade a revisar",IF(AF692&gt;0,"Vínculo a revisar",IF(AD692=0,"Aguardando CDF",IF(AN692=0,"Vínculo de CDF parcial",IF(AE692&lt;AD692,"CDF a conferir","Documentação conferida"))))))))))))))))))</f>
        <v/>
      </c>
      <c r="Q692" s="93" t="str">
        <f>IF(OR(R692=0,AA692=0),"",MAX(0,N(L692)-N(M692)))</f>
        <v/>
      </c>
      <c r="R692" s="96">
        <f>IF(COUNTA(B692:C692,G692:H692,J692:K692)&gt;0,1,0)</f>
        <v>0</v>
      </c>
      <c r="S692" s="96" t="str">
        <f>IF(B692="","",TRIM(LEFT(B692,FIND(" |",B692&amp;" |")-1)))</f>
        <v/>
      </c>
      <c r="T692" s="96" t="str">
        <f>IF(S692="","",IFERROR(MATCH(S692,'MTRs'!$A$6:$A$505,0),""))</f>
        <v/>
      </c>
      <c r="U692" s="96">
        <f>IF(T692="",0,IF(INDEX('MTRs'!$Z$6:$Z$505,T692)=1,1,0))</f>
        <v>0</v>
      </c>
      <c r="V692" s="96">
        <f>IF(C692="",0,IF(ISNUMBER(MATCH(C692,'CAD_RESÍDUOS'!$B$6:$B$205,0)),1,0))</f>
        <v>0</v>
      </c>
      <c r="W692" s="96">
        <f>IF(AND(ISNUMBER(G692),G692&gt;0),1,0)</f>
        <v>0</v>
      </c>
      <c r="X692" s="96" t="str">
        <f>IF(H692="","",IFERROR(IF(ISNUMBER(INDEX(cfg_fac,MATCH(H692,cfg_units,0))),IF(INDEX(cfg_fac,MATCH(H692,cfg_units,0))&gt;0,INDEX(cfg_fac,MATCH(H692,cfg_units,0)),""),""),""))</f>
        <v/>
      </c>
      <c r="Y692" s="96">
        <f>IF(AND(W692=1,ISNUMBER(I692)),1,0)</f>
        <v>0</v>
      </c>
      <c r="Z692" s="96">
        <f>IF(U692=1,INDEX('MTRs'!$AA$6:$AA$505,T692),0)</f>
        <v>0</v>
      </c>
      <c r="AA692" s="96">
        <f>IF(R692=0,0,COUNTIFS('RECEBIMENTOS'!$R$6:$R$1005,A692,'RECEBIMENTOS'!$Q$6:$Q$1005,1))</f>
        <v>0</v>
      </c>
      <c r="AB692" s="96">
        <f>IF(R692=0,0,COUNTIFS('RECEBIMENTOS'!$R$6:$R$1005,A692,'RECEBIMENTOS'!$Z$6:$Z$1005,1))</f>
        <v>0</v>
      </c>
      <c r="AC692" s="96">
        <f>IF(R692=0,0,COUNTIFS('RECEBIMENTOS'!$R$6:$R$1005,A692,'RECEBIMENTOS'!$Y$6:$Y$1005,1))</f>
        <v>0</v>
      </c>
      <c r="AD692" s="96">
        <f>IF(R692=0,0,COUNTIFS('VÍNCULOS_CDF'!$R$6:$R$1005,A692,'VÍNCULOS_CDF'!$N$6:$N$1005,1))</f>
        <v>0</v>
      </c>
      <c r="AE692" s="96">
        <f>IF(R692=0,0,COUNTIFS('VÍNCULOS_CDF'!$R$6:$R$1005,A692,'VÍNCULOS_CDF'!$AA$6:$AA$1005,1))</f>
        <v>0</v>
      </c>
      <c r="AF692" s="96">
        <f>IF(R692=0,0,COUNTIFS('VÍNCULOS_CDF'!$R$6:$R$1005,A692,'VÍNCULOS_CDF'!$Y$6:$Y$1005,1))</f>
        <v>0</v>
      </c>
      <c r="AG692" s="96" t="str">
        <f>IF(AND(R692=1,S692&lt;&gt;"",C692&lt;&gt;""),S692&amp;"|"&amp;C692&amp;"|"&amp;G692&amp;"|"&amp;H692,"")</f>
        <v/>
      </c>
      <c r="AH692" s="96">
        <f>IF(AG692="",0,IF(SUMPRODUCT(--($AG$6:$AG$1005=AG692))&gt;1,1,0))</f>
        <v>0</v>
      </c>
      <c r="AI692" s="96">
        <f>IF(R692=0,0,IF(OR(U692=0,V692=0,Y692=0,AND(AH692=1,K692&lt;&gt;"Sim")),1,0))</f>
        <v>0</v>
      </c>
      <c r="AJ692" s="96">
        <f>IF(AND(R692=1,AA692&gt;0,AB692=AA692),1,0)</f>
        <v>0</v>
      </c>
      <c r="AK692" s="96">
        <f>IF(R692=0,0,IF(AA692&gt;0,N(L692),IF(ISNUMBER(I692),I692,0)))</f>
        <v>0</v>
      </c>
      <c r="AL692" s="96">
        <f>IF(R692=0,0,IF(AND(K692&lt;&gt;"Sim",N(M692)&gt;AK692+cfg_tol),1,0))</f>
        <v>0</v>
      </c>
      <c r="AM692" s="96">
        <f>IF(R692=0,0,IF(K692="Sim",0,IF(OR(AND(AA692&gt;0,ISNUMBER(I692),ABS(I692-N(L692))&gt;cfg_tol),AL692=1),1,0)))</f>
        <v>0</v>
      </c>
      <c r="AN692" s="96">
        <f>IF(AND(R692=1,N(M692)&gt;0,OR(N(M692)&gt;=AK692-cfg_tol,K692="Sim")),1,0)</f>
        <v>0</v>
      </c>
      <c r="AO692" s="96">
        <f>IF(AND(AN692=1,AD692&gt;0,AE692=AD692,AL692=0),1,0)</f>
        <v>0</v>
      </c>
      <c r="AP692" s="96">
        <f>IF(U692=0,0,IF(AND(INDEX('MTRs'!$AX$6:$AX$505,T692)=1,Z692=0,OR(f_res="",f_res="(Todos)",C692=f_res)),1,0))</f>
        <v>0</v>
      </c>
      <c r="AQ692" s="97" t="str">
        <f>IF(U692=0,"",INDEX('MTRs'!$AZ$6:$AZ$505,T692))</f>
        <v/>
      </c>
      <c r="AR692" s="96">
        <f>IF(U692=0,0,IF(AND(INDEX('MTRs'!$BA$6:$BA$505,T692)=1,Z692=0),1,0))</f>
        <v>0</v>
      </c>
      <c r="AS692" s="96" t="str">
        <f>IF(R692=1,A692&amp;" | MTR "&amp;IF(U692=1,INDEX('MTRs'!$B$6:$B$505,T692)&amp;"","?")&amp;" | "&amp;IF(C692="","(sem resíduo)",C692),"")</f>
        <v/>
      </c>
      <c r="AT692" s="96" t="str">
        <f>IF(R692=1,COUNTIF($R$6:R692,1),"")</f>
        <v/>
      </c>
      <c r="AU692" s="96" t="str">
        <f>IF(U692=1,INDEX('MTRs'!$I$6:$I$505,T692)&amp;"","")</f>
        <v/>
      </c>
    </row>
    <row r="693">
      <c r="A693" s="89" t="inlineStr">
        <is>
          <t>IT-000688</t>
        </is>
      </c>
      <c r="B693" s="91" t="n"/>
      <c r="C693" s="91" t="n"/>
      <c r="D693" s="94" t="str">
        <f>IF(OR(R693=0,V693=0),"",INDEX('CAD_RESÍDUOS'!$E$6:$E$205,MATCH(C693,'CAD_RESÍDUOS'!$B$6:$B$205,0))&amp;"")</f>
        <v/>
      </c>
      <c r="E693" s="94" t="str">
        <f>IF(OR(R693=0,V693=0),"",INDEX('CAD_RESÍDUOS'!$C$6:$C$205,MATCH(C693,'CAD_RESÍDUOS'!$B$6:$B$205,0))&amp;"")</f>
        <v/>
      </c>
      <c r="F693" s="94" t="str">
        <f>IF(OR(R693=0,V693=0),"",INDEX('CAD_RESÍDUOS'!$G$6:$G$205,MATCH(C693,'CAD_RESÍDUOS'!$B$6:$B$205,0))&amp;"")</f>
        <v/>
      </c>
      <c r="G693" s="98" t="n"/>
      <c r="H693" s="91" t="n"/>
      <c r="I693" s="93" t="str">
        <f>IF(R693=0,"",IF(NOT(ISNUMBER(G693)),"",IF(ISNUMBER(X693),G693*X693,"UNIDADE A CONFERIR")))</f>
        <v/>
      </c>
      <c r="J693" s="91" t="n"/>
      <c r="K693" s="91" t="n"/>
      <c r="L693" s="93" t="str">
        <f>IF(R693=0,"",SUMIFS('RECEBIMENTOS'!$H$6:$H$1005,'RECEBIMENTOS'!$R$6:$R$1005,A693,'RECEBIMENTOS'!$X$6:$X$1005,1))</f>
        <v/>
      </c>
      <c r="M693" s="93" t="str">
        <f>IF(R693=0,"",SUMIFS('VÍNCULOS_CDF'!$H$6:$H$1005,'VÍNCULOS_CDF'!$R$6:$R$1005,A693,'VÍNCULOS_CDF'!$V$6:$V$1005,1))</f>
        <v/>
      </c>
      <c r="N693" s="99" t="str">
        <f>IF(OR(R693=0,AA693=0,NOT(ISNUMBER(I693))),"",I693-N(L693))</f>
        <v/>
      </c>
      <c r="O693" s="100" t="str">
        <f>IF(OR(R693=0,AK693&lt;=0),"",N(M693)/AK693)</f>
        <v/>
      </c>
      <c r="P693" s="94" t="str">
        <f>IF(R693=0,"",IF(S693="","Sem MTR associado",IF(U693=0,"MTR inexistente",IF(C693="","Resíduo não identificado",IF(V693=0,"Resíduo fora do cadastro",IF(W693=0,"Quantidade inválida",IF(H693="","Unidade não informada",IF(NOT(ISNUMBER(I693)),"Unidade a conferir",IF(AND(AH693=1,K693&lt;&gt;"Sim"),"Possível duplicidade",IF(Z693=1,"MTR cancelado",IF(AC693&gt;0,"Recebimento com alerta",IF(AA693=0,"Aguardando recebimento",IF(AB693&lt;AA693,"Recebimento a conferir",IF(AM693=1,"Quantidade a revisar",IF(AF693&gt;0,"Vínculo a revisar",IF(AD693=0,"Aguardando CDF",IF(AN693=0,"Vínculo de CDF parcial",IF(AE693&lt;AD693,"CDF a conferir","Documentação conferida"))))))))))))))))))</f>
        <v/>
      </c>
      <c r="Q693" s="93" t="str">
        <f>IF(OR(R693=0,AA693=0),"",MAX(0,N(L693)-N(M693)))</f>
        <v/>
      </c>
      <c r="R693" s="96">
        <f>IF(COUNTA(B693:C693,G693:H693,J693:K693)&gt;0,1,0)</f>
        <v>0</v>
      </c>
      <c r="S693" s="96" t="str">
        <f>IF(B693="","",TRIM(LEFT(B693,FIND(" |",B693&amp;" |")-1)))</f>
        <v/>
      </c>
      <c r="T693" s="96" t="str">
        <f>IF(S693="","",IFERROR(MATCH(S693,'MTRs'!$A$6:$A$505,0),""))</f>
        <v/>
      </c>
      <c r="U693" s="96">
        <f>IF(T693="",0,IF(INDEX('MTRs'!$Z$6:$Z$505,T693)=1,1,0))</f>
        <v>0</v>
      </c>
      <c r="V693" s="96">
        <f>IF(C693="",0,IF(ISNUMBER(MATCH(C693,'CAD_RESÍDUOS'!$B$6:$B$205,0)),1,0))</f>
        <v>0</v>
      </c>
      <c r="W693" s="96">
        <f>IF(AND(ISNUMBER(G693),G693&gt;0),1,0)</f>
        <v>0</v>
      </c>
      <c r="X693" s="96" t="str">
        <f>IF(H693="","",IFERROR(IF(ISNUMBER(INDEX(cfg_fac,MATCH(H693,cfg_units,0))),IF(INDEX(cfg_fac,MATCH(H693,cfg_units,0))&gt;0,INDEX(cfg_fac,MATCH(H693,cfg_units,0)),""),""),""))</f>
        <v/>
      </c>
      <c r="Y693" s="96">
        <f>IF(AND(W693=1,ISNUMBER(I693)),1,0)</f>
        <v>0</v>
      </c>
      <c r="Z693" s="96">
        <f>IF(U693=1,INDEX('MTRs'!$AA$6:$AA$505,T693),0)</f>
        <v>0</v>
      </c>
      <c r="AA693" s="96">
        <f>IF(R693=0,0,COUNTIFS('RECEBIMENTOS'!$R$6:$R$1005,A693,'RECEBIMENTOS'!$Q$6:$Q$1005,1))</f>
        <v>0</v>
      </c>
      <c r="AB693" s="96">
        <f>IF(R693=0,0,COUNTIFS('RECEBIMENTOS'!$R$6:$R$1005,A693,'RECEBIMENTOS'!$Z$6:$Z$1005,1))</f>
        <v>0</v>
      </c>
      <c r="AC693" s="96">
        <f>IF(R693=0,0,COUNTIFS('RECEBIMENTOS'!$R$6:$R$1005,A693,'RECEBIMENTOS'!$Y$6:$Y$1005,1))</f>
        <v>0</v>
      </c>
      <c r="AD693" s="96">
        <f>IF(R693=0,0,COUNTIFS('VÍNCULOS_CDF'!$R$6:$R$1005,A693,'VÍNCULOS_CDF'!$N$6:$N$1005,1))</f>
        <v>0</v>
      </c>
      <c r="AE693" s="96">
        <f>IF(R693=0,0,COUNTIFS('VÍNCULOS_CDF'!$R$6:$R$1005,A693,'VÍNCULOS_CDF'!$AA$6:$AA$1005,1))</f>
        <v>0</v>
      </c>
      <c r="AF693" s="96">
        <f>IF(R693=0,0,COUNTIFS('VÍNCULOS_CDF'!$R$6:$R$1005,A693,'VÍNCULOS_CDF'!$Y$6:$Y$1005,1))</f>
        <v>0</v>
      </c>
      <c r="AG693" s="96" t="str">
        <f>IF(AND(R693=1,S693&lt;&gt;"",C693&lt;&gt;""),S693&amp;"|"&amp;C693&amp;"|"&amp;G693&amp;"|"&amp;H693,"")</f>
        <v/>
      </c>
      <c r="AH693" s="96">
        <f>IF(AG693="",0,IF(SUMPRODUCT(--($AG$6:$AG$1005=AG693))&gt;1,1,0))</f>
        <v>0</v>
      </c>
      <c r="AI693" s="96">
        <f>IF(R693=0,0,IF(OR(U693=0,V693=0,Y693=0,AND(AH693=1,K693&lt;&gt;"Sim")),1,0))</f>
        <v>0</v>
      </c>
      <c r="AJ693" s="96">
        <f>IF(AND(R693=1,AA693&gt;0,AB693=AA693),1,0)</f>
        <v>0</v>
      </c>
      <c r="AK693" s="96">
        <f>IF(R693=0,0,IF(AA693&gt;0,N(L693),IF(ISNUMBER(I693),I693,0)))</f>
        <v>0</v>
      </c>
      <c r="AL693" s="96">
        <f>IF(R693=0,0,IF(AND(K693&lt;&gt;"Sim",N(M693)&gt;AK693+cfg_tol),1,0))</f>
        <v>0</v>
      </c>
      <c r="AM693" s="96">
        <f>IF(R693=0,0,IF(K693="Sim",0,IF(OR(AND(AA693&gt;0,ISNUMBER(I693),ABS(I693-N(L693))&gt;cfg_tol),AL693=1),1,0)))</f>
        <v>0</v>
      </c>
      <c r="AN693" s="96">
        <f>IF(AND(R693=1,N(M693)&gt;0,OR(N(M693)&gt;=AK693-cfg_tol,K693="Sim")),1,0)</f>
        <v>0</v>
      </c>
      <c r="AO693" s="96">
        <f>IF(AND(AN693=1,AD693&gt;0,AE693=AD693,AL693=0),1,0)</f>
        <v>0</v>
      </c>
      <c r="AP693" s="96">
        <f>IF(U693=0,0,IF(AND(INDEX('MTRs'!$AX$6:$AX$505,T693)=1,Z693=0,OR(f_res="",f_res="(Todos)",C693=f_res)),1,0))</f>
        <v>0</v>
      </c>
      <c r="AQ693" s="97" t="str">
        <f>IF(U693=0,"",INDEX('MTRs'!$AZ$6:$AZ$505,T693))</f>
        <v/>
      </c>
      <c r="AR693" s="96">
        <f>IF(U693=0,0,IF(AND(INDEX('MTRs'!$BA$6:$BA$505,T693)=1,Z693=0),1,0))</f>
        <v>0</v>
      </c>
      <c r="AS693" s="96" t="str">
        <f>IF(R693=1,A693&amp;" | MTR "&amp;IF(U693=1,INDEX('MTRs'!$B$6:$B$505,T693)&amp;"","?")&amp;" | "&amp;IF(C693="","(sem resíduo)",C693),"")</f>
        <v/>
      </c>
      <c r="AT693" s="96" t="str">
        <f>IF(R693=1,COUNTIF($R$6:R693,1),"")</f>
        <v/>
      </c>
      <c r="AU693" s="96" t="str">
        <f>IF(U693=1,INDEX('MTRs'!$I$6:$I$505,T693)&amp;"","")</f>
        <v/>
      </c>
    </row>
    <row r="694">
      <c r="A694" s="89" t="inlineStr">
        <is>
          <t>IT-000689</t>
        </is>
      </c>
      <c r="B694" s="91" t="n"/>
      <c r="C694" s="91" t="n"/>
      <c r="D694" s="94" t="str">
        <f>IF(OR(R694=0,V694=0),"",INDEX('CAD_RESÍDUOS'!$E$6:$E$205,MATCH(C694,'CAD_RESÍDUOS'!$B$6:$B$205,0))&amp;"")</f>
        <v/>
      </c>
      <c r="E694" s="94" t="str">
        <f>IF(OR(R694=0,V694=0),"",INDEX('CAD_RESÍDUOS'!$C$6:$C$205,MATCH(C694,'CAD_RESÍDUOS'!$B$6:$B$205,0))&amp;"")</f>
        <v/>
      </c>
      <c r="F694" s="94" t="str">
        <f>IF(OR(R694=0,V694=0),"",INDEX('CAD_RESÍDUOS'!$G$6:$G$205,MATCH(C694,'CAD_RESÍDUOS'!$B$6:$B$205,0))&amp;"")</f>
        <v/>
      </c>
      <c r="G694" s="98" t="n"/>
      <c r="H694" s="91" t="n"/>
      <c r="I694" s="93" t="str">
        <f>IF(R694=0,"",IF(NOT(ISNUMBER(G694)),"",IF(ISNUMBER(X694),G694*X694,"UNIDADE A CONFERIR")))</f>
        <v/>
      </c>
      <c r="J694" s="91" t="n"/>
      <c r="K694" s="91" t="n"/>
      <c r="L694" s="93" t="str">
        <f>IF(R694=0,"",SUMIFS('RECEBIMENTOS'!$H$6:$H$1005,'RECEBIMENTOS'!$R$6:$R$1005,A694,'RECEBIMENTOS'!$X$6:$X$1005,1))</f>
        <v/>
      </c>
      <c r="M694" s="93" t="str">
        <f>IF(R694=0,"",SUMIFS('VÍNCULOS_CDF'!$H$6:$H$1005,'VÍNCULOS_CDF'!$R$6:$R$1005,A694,'VÍNCULOS_CDF'!$V$6:$V$1005,1))</f>
        <v/>
      </c>
      <c r="N694" s="99" t="str">
        <f>IF(OR(R694=0,AA694=0,NOT(ISNUMBER(I694))),"",I694-N(L694))</f>
        <v/>
      </c>
      <c r="O694" s="100" t="str">
        <f>IF(OR(R694=0,AK694&lt;=0),"",N(M694)/AK694)</f>
        <v/>
      </c>
      <c r="P694" s="94" t="str">
        <f>IF(R694=0,"",IF(S694="","Sem MTR associado",IF(U694=0,"MTR inexistente",IF(C694="","Resíduo não identificado",IF(V694=0,"Resíduo fora do cadastro",IF(W694=0,"Quantidade inválida",IF(H694="","Unidade não informada",IF(NOT(ISNUMBER(I694)),"Unidade a conferir",IF(AND(AH694=1,K694&lt;&gt;"Sim"),"Possível duplicidade",IF(Z694=1,"MTR cancelado",IF(AC694&gt;0,"Recebimento com alerta",IF(AA694=0,"Aguardando recebimento",IF(AB694&lt;AA694,"Recebimento a conferir",IF(AM694=1,"Quantidade a revisar",IF(AF694&gt;0,"Vínculo a revisar",IF(AD694=0,"Aguardando CDF",IF(AN694=0,"Vínculo de CDF parcial",IF(AE694&lt;AD694,"CDF a conferir","Documentação conferida"))))))))))))))))))</f>
        <v/>
      </c>
      <c r="Q694" s="93" t="str">
        <f>IF(OR(R694=0,AA694=0),"",MAX(0,N(L694)-N(M694)))</f>
        <v/>
      </c>
      <c r="R694" s="96">
        <f>IF(COUNTA(B694:C694,G694:H694,J694:K694)&gt;0,1,0)</f>
        <v>0</v>
      </c>
      <c r="S694" s="96" t="str">
        <f>IF(B694="","",TRIM(LEFT(B694,FIND(" |",B694&amp;" |")-1)))</f>
        <v/>
      </c>
      <c r="T694" s="96" t="str">
        <f>IF(S694="","",IFERROR(MATCH(S694,'MTRs'!$A$6:$A$505,0),""))</f>
        <v/>
      </c>
      <c r="U694" s="96">
        <f>IF(T694="",0,IF(INDEX('MTRs'!$Z$6:$Z$505,T694)=1,1,0))</f>
        <v>0</v>
      </c>
      <c r="V694" s="96">
        <f>IF(C694="",0,IF(ISNUMBER(MATCH(C694,'CAD_RESÍDUOS'!$B$6:$B$205,0)),1,0))</f>
        <v>0</v>
      </c>
      <c r="W694" s="96">
        <f>IF(AND(ISNUMBER(G694),G694&gt;0),1,0)</f>
        <v>0</v>
      </c>
      <c r="X694" s="96" t="str">
        <f>IF(H694="","",IFERROR(IF(ISNUMBER(INDEX(cfg_fac,MATCH(H694,cfg_units,0))),IF(INDEX(cfg_fac,MATCH(H694,cfg_units,0))&gt;0,INDEX(cfg_fac,MATCH(H694,cfg_units,0)),""),""),""))</f>
        <v/>
      </c>
      <c r="Y694" s="96">
        <f>IF(AND(W694=1,ISNUMBER(I694)),1,0)</f>
        <v>0</v>
      </c>
      <c r="Z694" s="96">
        <f>IF(U694=1,INDEX('MTRs'!$AA$6:$AA$505,T694),0)</f>
        <v>0</v>
      </c>
      <c r="AA694" s="96">
        <f>IF(R694=0,0,COUNTIFS('RECEBIMENTOS'!$R$6:$R$1005,A694,'RECEBIMENTOS'!$Q$6:$Q$1005,1))</f>
        <v>0</v>
      </c>
      <c r="AB694" s="96">
        <f>IF(R694=0,0,COUNTIFS('RECEBIMENTOS'!$R$6:$R$1005,A694,'RECEBIMENTOS'!$Z$6:$Z$1005,1))</f>
        <v>0</v>
      </c>
      <c r="AC694" s="96">
        <f>IF(R694=0,0,COUNTIFS('RECEBIMENTOS'!$R$6:$R$1005,A694,'RECEBIMENTOS'!$Y$6:$Y$1005,1))</f>
        <v>0</v>
      </c>
      <c r="AD694" s="96">
        <f>IF(R694=0,0,COUNTIFS('VÍNCULOS_CDF'!$R$6:$R$1005,A694,'VÍNCULOS_CDF'!$N$6:$N$1005,1))</f>
        <v>0</v>
      </c>
      <c r="AE694" s="96">
        <f>IF(R694=0,0,COUNTIFS('VÍNCULOS_CDF'!$R$6:$R$1005,A694,'VÍNCULOS_CDF'!$AA$6:$AA$1005,1))</f>
        <v>0</v>
      </c>
      <c r="AF694" s="96">
        <f>IF(R694=0,0,COUNTIFS('VÍNCULOS_CDF'!$R$6:$R$1005,A694,'VÍNCULOS_CDF'!$Y$6:$Y$1005,1))</f>
        <v>0</v>
      </c>
      <c r="AG694" s="96" t="str">
        <f>IF(AND(R694=1,S694&lt;&gt;"",C694&lt;&gt;""),S694&amp;"|"&amp;C694&amp;"|"&amp;G694&amp;"|"&amp;H694,"")</f>
        <v/>
      </c>
      <c r="AH694" s="96">
        <f>IF(AG694="",0,IF(SUMPRODUCT(--($AG$6:$AG$1005=AG694))&gt;1,1,0))</f>
        <v>0</v>
      </c>
      <c r="AI694" s="96">
        <f>IF(R694=0,0,IF(OR(U694=0,V694=0,Y694=0,AND(AH694=1,K694&lt;&gt;"Sim")),1,0))</f>
        <v>0</v>
      </c>
      <c r="AJ694" s="96">
        <f>IF(AND(R694=1,AA694&gt;0,AB694=AA694),1,0)</f>
        <v>0</v>
      </c>
      <c r="AK694" s="96">
        <f>IF(R694=0,0,IF(AA694&gt;0,N(L694),IF(ISNUMBER(I694),I694,0)))</f>
        <v>0</v>
      </c>
      <c r="AL694" s="96">
        <f>IF(R694=0,0,IF(AND(K694&lt;&gt;"Sim",N(M694)&gt;AK694+cfg_tol),1,0))</f>
        <v>0</v>
      </c>
      <c r="AM694" s="96">
        <f>IF(R694=0,0,IF(K694="Sim",0,IF(OR(AND(AA694&gt;0,ISNUMBER(I694),ABS(I694-N(L694))&gt;cfg_tol),AL694=1),1,0)))</f>
        <v>0</v>
      </c>
      <c r="AN694" s="96">
        <f>IF(AND(R694=1,N(M694)&gt;0,OR(N(M694)&gt;=AK694-cfg_tol,K694="Sim")),1,0)</f>
        <v>0</v>
      </c>
      <c r="AO694" s="96">
        <f>IF(AND(AN694=1,AD694&gt;0,AE694=AD694,AL694=0),1,0)</f>
        <v>0</v>
      </c>
      <c r="AP694" s="96">
        <f>IF(U694=0,0,IF(AND(INDEX('MTRs'!$AX$6:$AX$505,T694)=1,Z694=0,OR(f_res="",f_res="(Todos)",C694=f_res)),1,0))</f>
        <v>0</v>
      </c>
      <c r="AQ694" s="97" t="str">
        <f>IF(U694=0,"",INDEX('MTRs'!$AZ$6:$AZ$505,T694))</f>
        <v/>
      </c>
      <c r="AR694" s="96">
        <f>IF(U694=0,0,IF(AND(INDEX('MTRs'!$BA$6:$BA$505,T694)=1,Z694=0),1,0))</f>
        <v>0</v>
      </c>
      <c r="AS694" s="96" t="str">
        <f>IF(R694=1,A694&amp;" | MTR "&amp;IF(U694=1,INDEX('MTRs'!$B$6:$B$505,T694)&amp;"","?")&amp;" | "&amp;IF(C694="","(sem resíduo)",C694),"")</f>
        <v/>
      </c>
      <c r="AT694" s="96" t="str">
        <f>IF(R694=1,COUNTIF($R$6:R694,1),"")</f>
        <v/>
      </c>
      <c r="AU694" s="96" t="str">
        <f>IF(U694=1,INDEX('MTRs'!$I$6:$I$505,T694)&amp;"","")</f>
        <v/>
      </c>
    </row>
    <row r="695">
      <c r="A695" s="89" t="inlineStr">
        <is>
          <t>IT-000690</t>
        </is>
      </c>
      <c r="B695" s="91" t="n"/>
      <c r="C695" s="91" t="n"/>
      <c r="D695" s="94" t="str">
        <f>IF(OR(R695=0,V695=0),"",INDEX('CAD_RESÍDUOS'!$E$6:$E$205,MATCH(C695,'CAD_RESÍDUOS'!$B$6:$B$205,0))&amp;"")</f>
        <v/>
      </c>
      <c r="E695" s="94" t="str">
        <f>IF(OR(R695=0,V695=0),"",INDEX('CAD_RESÍDUOS'!$C$6:$C$205,MATCH(C695,'CAD_RESÍDUOS'!$B$6:$B$205,0))&amp;"")</f>
        <v/>
      </c>
      <c r="F695" s="94" t="str">
        <f>IF(OR(R695=0,V695=0),"",INDEX('CAD_RESÍDUOS'!$G$6:$G$205,MATCH(C695,'CAD_RESÍDUOS'!$B$6:$B$205,0))&amp;"")</f>
        <v/>
      </c>
      <c r="G695" s="98" t="n"/>
      <c r="H695" s="91" t="n"/>
      <c r="I695" s="93" t="str">
        <f>IF(R695=0,"",IF(NOT(ISNUMBER(G695)),"",IF(ISNUMBER(X695),G695*X695,"UNIDADE A CONFERIR")))</f>
        <v/>
      </c>
      <c r="J695" s="91" t="n"/>
      <c r="K695" s="91" t="n"/>
      <c r="L695" s="93" t="str">
        <f>IF(R695=0,"",SUMIFS('RECEBIMENTOS'!$H$6:$H$1005,'RECEBIMENTOS'!$R$6:$R$1005,A695,'RECEBIMENTOS'!$X$6:$X$1005,1))</f>
        <v/>
      </c>
      <c r="M695" s="93" t="str">
        <f>IF(R695=0,"",SUMIFS('VÍNCULOS_CDF'!$H$6:$H$1005,'VÍNCULOS_CDF'!$R$6:$R$1005,A695,'VÍNCULOS_CDF'!$V$6:$V$1005,1))</f>
        <v/>
      </c>
      <c r="N695" s="99" t="str">
        <f>IF(OR(R695=0,AA695=0,NOT(ISNUMBER(I695))),"",I695-N(L695))</f>
        <v/>
      </c>
      <c r="O695" s="100" t="str">
        <f>IF(OR(R695=0,AK695&lt;=0),"",N(M695)/AK695)</f>
        <v/>
      </c>
      <c r="P695" s="94" t="str">
        <f>IF(R695=0,"",IF(S695="","Sem MTR associado",IF(U695=0,"MTR inexistente",IF(C695="","Resíduo não identificado",IF(V695=0,"Resíduo fora do cadastro",IF(W695=0,"Quantidade inválida",IF(H695="","Unidade não informada",IF(NOT(ISNUMBER(I695)),"Unidade a conferir",IF(AND(AH695=1,K695&lt;&gt;"Sim"),"Possível duplicidade",IF(Z695=1,"MTR cancelado",IF(AC695&gt;0,"Recebimento com alerta",IF(AA695=0,"Aguardando recebimento",IF(AB695&lt;AA695,"Recebimento a conferir",IF(AM695=1,"Quantidade a revisar",IF(AF695&gt;0,"Vínculo a revisar",IF(AD695=0,"Aguardando CDF",IF(AN695=0,"Vínculo de CDF parcial",IF(AE695&lt;AD695,"CDF a conferir","Documentação conferida"))))))))))))))))))</f>
        <v/>
      </c>
      <c r="Q695" s="93" t="str">
        <f>IF(OR(R695=0,AA695=0),"",MAX(0,N(L695)-N(M695)))</f>
        <v/>
      </c>
      <c r="R695" s="96">
        <f>IF(COUNTA(B695:C695,G695:H695,J695:K695)&gt;0,1,0)</f>
        <v>0</v>
      </c>
      <c r="S695" s="96" t="str">
        <f>IF(B695="","",TRIM(LEFT(B695,FIND(" |",B695&amp;" |")-1)))</f>
        <v/>
      </c>
      <c r="T695" s="96" t="str">
        <f>IF(S695="","",IFERROR(MATCH(S695,'MTRs'!$A$6:$A$505,0),""))</f>
        <v/>
      </c>
      <c r="U695" s="96">
        <f>IF(T695="",0,IF(INDEX('MTRs'!$Z$6:$Z$505,T695)=1,1,0))</f>
        <v>0</v>
      </c>
      <c r="V695" s="96">
        <f>IF(C695="",0,IF(ISNUMBER(MATCH(C695,'CAD_RESÍDUOS'!$B$6:$B$205,0)),1,0))</f>
        <v>0</v>
      </c>
      <c r="W695" s="96">
        <f>IF(AND(ISNUMBER(G695),G695&gt;0),1,0)</f>
        <v>0</v>
      </c>
      <c r="X695" s="96" t="str">
        <f>IF(H695="","",IFERROR(IF(ISNUMBER(INDEX(cfg_fac,MATCH(H695,cfg_units,0))),IF(INDEX(cfg_fac,MATCH(H695,cfg_units,0))&gt;0,INDEX(cfg_fac,MATCH(H695,cfg_units,0)),""),""),""))</f>
        <v/>
      </c>
      <c r="Y695" s="96">
        <f>IF(AND(W695=1,ISNUMBER(I695)),1,0)</f>
        <v>0</v>
      </c>
      <c r="Z695" s="96">
        <f>IF(U695=1,INDEX('MTRs'!$AA$6:$AA$505,T695),0)</f>
        <v>0</v>
      </c>
      <c r="AA695" s="96">
        <f>IF(R695=0,0,COUNTIFS('RECEBIMENTOS'!$R$6:$R$1005,A695,'RECEBIMENTOS'!$Q$6:$Q$1005,1))</f>
        <v>0</v>
      </c>
      <c r="AB695" s="96">
        <f>IF(R695=0,0,COUNTIFS('RECEBIMENTOS'!$R$6:$R$1005,A695,'RECEBIMENTOS'!$Z$6:$Z$1005,1))</f>
        <v>0</v>
      </c>
      <c r="AC695" s="96">
        <f>IF(R695=0,0,COUNTIFS('RECEBIMENTOS'!$R$6:$R$1005,A695,'RECEBIMENTOS'!$Y$6:$Y$1005,1))</f>
        <v>0</v>
      </c>
      <c r="AD695" s="96">
        <f>IF(R695=0,0,COUNTIFS('VÍNCULOS_CDF'!$R$6:$R$1005,A695,'VÍNCULOS_CDF'!$N$6:$N$1005,1))</f>
        <v>0</v>
      </c>
      <c r="AE695" s="96">
        <f>IF(R695=0,0,COUNTIFS('VÍNCULOS_CDF'!$R$6:$R$1005,A695,'VÍNCULOS_CDF'!$AA$6:$AA$1005,1))</f>
        <v>0</v>
      </c>
      <c r="AF695" s="96">
        <f>IF(R695=0,0,COUNTIFS('VÍNCULOS_CDF'!$R$6:$R$1005,A695,'VÍNCULOS_CDF'!$Y$6:$Y$1005,1))</f>
        <v>0</v>
      </c>
      <c r="AG695" s="96" t="str">
        <f>IF(AND(R695=1,S695&lt;&gt;"",C695&lt;&gt;""),S695&amp;"|"&amp;C695&amp;"|"&amp;G695&amp;"|"&amp;H695,"")</f>
        <v/>
      </c>
      <c r="AH695" s="96">
        <f>IF(AG695="",0,IF(SUMPRODUCT(--($AG$6:$AG$1005=AG695))&gt;1,1,0))</f>
        <v>0</v>
      </c>
      <c r="AI695" s="96">
        <f>IF(R695=0,0,IF(OR(U695=0,V695=0,Y695=0,AND(AH695=1,K695&lt;&gt;"Sim")),1,0))</f>
        <v>0</v>
      </c>
      <c r="AJ695" s="96">
        <f>IF(AND(R695=1,AA695&gt;0,AB695=AA695),1,0)</f>
        <v>0</v>
      </c>
      <c r="AK695" s="96">
        <f>IF(R695=0,0,IF(AA695&gt;0,N(L695),IF(ISNUMBER(I695),I695,0)))</f>
        <v>0</v>
      </c>
      <c r="AL695" s="96">
        <f>IF(R695=0,0,IF(AND(K695&lt;&gt;"Sim",N(M695)&gt;AK695+cfg_tol),1,0))</f>
        <v>0</v>
      </c>
      <c r="AM695" s="96">
        <f>IF(R695=0,0,IF(K695="Sim",0,IF(OR(AND(AA695&gt;0,ISNUMBER(I695),ABS(I695-N(L695))&gt;cfg_tol),AL695=1),1,0)))</f>
        <v>0</v>
      </c>
      <c r="AN695" s="96">
        <f>IF(AND(R695=1,N(M695)&gt;0,OR(N(M695)&gt;=AK695-cfg_tol,K695="Sim")),1,0)</f>
        <v>0</v>
      </c>
      <c r="AO695" s="96">
        <f>IF(AND(AN695=1,AD695&gt;0,AE695=AD695,AL695=0),1,0)</f>
        <v>0</v>
      </c>
      <c r="AP695" s="96">
        <f>IF(U695=0,0,IF(AND(INDEX('MTRs'!$AX$6:$AX$505,T695)=1,Z695=0,OR(f_res="",f_res="(Todos)",C695=f_res)),1,0))</f>
        <v>0</v>
      </c>
      <c r="AQ695" s="97" t="str">
        <f>IF(U695=0,"",INDEX('MTRs'!$AZ$6:$AZ$505,T695))</f>
        <v/>
      </c>
      <c r="AR695" s="96">
        <f>IF(U695=0,0,IF(AND(INDEX('MTRs'!$BA$6:$BA$505,T695)=1,Z695=0),1,0))</f>
        <v>0</v>
      </c>
      <c r="AS695" s="96" t="str">
        <f>IF(R695=1,A695&amp;" | MTR "&amp;IF(U695=1,INDEX('MTRs'!$B$6:$B$505,T695)&amp;"","?")&amp;" | "&amp;IF(C695="","(sem resíduo)",C695),"")</f>
        <v/>
      </c>
      <c r="AT695" s="96" t="str">
        <f>IF(R695=1,COUNTIF($R$6:R695,1),"")</f>
        <v/>
      </c>
      <c r="AU695" s="96" t="str">
        <f>IF(U695=1,INDEX('MTRs'!$I$6:$I$505,T695)&amp;"","")</f>
        <v/>
      </c>
    </row>
    <row r="696">
      <c r="A696" s="89" t="inlineStr">
        <is>
          <t>IT-000691</t>
        </is>
      </c>
      <c r="B696" s="91" t="n"/>
      <c r="C696" s="91" t="n"/>
      <c r="D696" s="94" t="str">
        <f>IF(OR(R696=0,V696=0),"",INDEX('CAD_RESÍDUOS'!$E$6:$E$205,MATCH(C696,'CAD_RESÍDUOS'!$B$6:$B$205,0))&amp;"")</f>
        <v/>
      </c>
      <c r="E696" s="94" t="str">
        <f>IF(OR(R696=0,V696=0),"",INDEX('CAD_RESÍDUOS'!$C$6:$C$205,MATCH(C696,'CAD_RESÍDUOS'!$B$6:$B$205,0))&amp;"")</f>
        <v/>
      </c>
      <c r="F696" s="94" t="str">
        <f>IF(OR(R696=0,V696=0),"",INDEX('CAD_RESÍDUOS'!$G$6:$G$205,MATCH(C696,'CAD_RESÍDUOS'!$B$6:$B$205,0))&amp;"")</f>
        <v/>
      </c>
      <c r="G696" s="98" t="n"/>
      <c r="H696" s="91" t="n"/>
      <c r="I696" s="93" t="str">
        <f>IF(R696=0,"",IF(NOT(ISNUMBER(G696)),"",IF(ISNUMBER(X696),G696*X696,"UNIDADE A CONFERIR")))</f>
        <v/>
      </c>
      <c r="J696" s="91" t="n"/>
      <c r="K696" s="91" t="n"/>
      <c r="L696" s="93" t="str">
        <f>IF(R696=0,"",SUMIFS('RECEBIMENTOS'!$H$6:$H$1005,'RECEBIMENTOS'!$R$6:$R$1005,A696,'RECEBIMENTOS'!$X$6:$X$1005,1))</f>
        <v/>
      </c>
      <c r="M696" s="93" t="str">
        <f>IF(R696=0,"",SUMIFS('VÍNCULOS_CDF'!$H$6:$H$1005,'VÍNCULOS_CDF'!$R$6:$R$1005,A696,'VÍNCULOS_CDF'!$V$6:$V$1005,1))</f>
        <v/>
      </c>
      <c r="N696" s="99" t="str">
        <f>IF(OR(R696=0,AA696=0,NOT(ISNUMBER(I696))),"",I696-N(L696))</f>
        <v/>
      </c>
      <c r="O696" s="100" t="str">
        <f>IF(OR(R696=0,AK696&lt;=0),"",N(M696)/AK696)</f>
        <v/>
      </c>
      <c r="P696" s="94" t="str">
        <f>IF(R696=0,"",IF(S696="","Sem MTR associado",IF(U696=0,"MTR inexistente",IF(C696="","Resíduo não identificado",IF(V696=0,"Resíduo fora do cadastro",IF(W696=0,"Quantidade inválida",IF(H696="","Unidade não informada",IF(NOT(ISNUMBER(I696)),"Unidade a conferir",IF(AND(AH696=1,K696&lt;&gt;"Sim"),"Possível duplicidade",IF(Z696=1,"MTR cancelado",IF(AC696&gt;0,"Recebimento com alerta",IF(AA696=0,"Aguardando recebimento",IF(AB696&lt;AA696,"Recebimento a conferir",IF(AM696=1,"Quantidade a revisar",IF(AF696&gt;0,"Vínculo a revisar",IF(AD696=0,"Aguardando CDF",IF(AN696=0,"Vínculo de CDF parcial",IF(AE696&lt;AD696,"CDF a conferir","Documentação conferida"))))))))))))))))))</f>
        <v/>
      </c>
      <c r="Q696" s="93" t="str">
        <f>IF(OR(R696=0,AA696=0),"",MAX(0,N(L696)-N(M696)))</f>
        <v/>
      </c>
      <c r="R696" s="96">
        <f>IF(COUNTA(B696:C696,G696:H696,J696:K696)&gt;0,1,0)</f>
        <v>0</v>
      </c>
      <c r="S696" s="96" t="str">
        <f>IF(B696="","",TRIM(LEFT(B696,FIND(" |",B696&amp;" |")-1)))</f>
        <v/>
      </c>
      <c r="T696" s="96" t="str">
        <f>IF(S696="","",IFERROR(MATCH(S696,'MTRs'!$A$6:$A$505,0),""))</f>
        <v/>
      </c>
      <c r="U696" s="96">
        <f>IF(T696="",0,IF(INDEX('MTRs'!$Z$6:$Z$505,T696)=1,1,0))</f>
        <v>0</v>
      </c>
      <c r="V696" s="96">
        <f>IF(C696="",0,IF(ISNUMBER(MATCH(C696,'CAD_RESÍDUOS'!$B$6:$B$205,0)),1,0))</f>
        <v>0</v>
      </c>
      <c r="W696" s="96">
        <f>IF(AND(ISNUMBER(G696),G696&gt;0),1,0)</f>
        <v>0</v>
      </c>
      <c r="X696" s="96" t="str">
        <f>IF(H696="","",IFERROR(IF(ISNUMBER(INDEX(cfg_fac,MATCH(H696,cfg_units,0))),IF(INDEX(cfg_fac,MATCH(H696,cfg_units,0))&gt;0,INDEX(cfg_fac,MATCH(H696,cfg_units,0)),""),""),""))</f>
        <v/>
      </c>
      <c r="Y696" s="96">
        <f>IF(AND(W696=1,ISNUMBER(I696)),1,0)</f>
        <v>0</v>
      </c>
      <c r="Z696" s="96">
        <f>IF(U696=1,INDEX('MTRs'!$AA$6:$AA$505,T696),0)</f>
        <v>0</v>
      </c>
      <c r="AA696" s="96">
        <f>IF(R696=0,0,COUNTIFS('RECEBIMENTOS'!$R$6:$R$1005,A696,'RECEBIMENTOS'!$Q$6:$Q$1005,1))</f>
        <v>0</v>
      </c>
      <c r="AB696" s="96">
        <f>IF(R696=0,0,COUNTIFS('RECEBIMENTOS'!$R$6:$R$1005,A696,'RECEBIMENTOS'!$Z$6:$Z$1005,1))</f>
        <v>0</v>
      </c>
      <c r="AC696" s="96">
        <f>IF(R696=0,0,COUNTIFS('RECEBIMENTOS'!$R$6:$R$1005,A696,'RECEBIMENTOS'!$Y$6:$Y$1005,1))</f>
        <v>0</v>
      </c>
      <c r="AD696" s="96">
        <f>IF(R696=0,0,COUNTIFS('VÍNCULOS_CDF'!$R$6:$R$1005,A696,'VÍNCULOS_CDF'!$N$6:$N$1005,1))</f>
        <v>0</v>
      </c>
      <c r="AE696" s="96">
        <f>IF(R696=0,0,COUNTIFS('VÍNCULOS_CDF'!$R$6:$R$1005,A696,'VÍNCULOS_CDF'!$AA$6:$AA$1005,1))</f>
        <v>0</v>
      </c>
      <c r="AF696" s="96">
        <f>IF(R696=0,0,COUNTIFS('VÍNCULOS_CDF'!$R$6:$R$1005,A696,'VÍNCULOS_CDF'!$Y$6:$Y$1005,1))</f>
        <v>0</v>
      </c>
      <c r="AG696" s="96" t="str">
        <f>IF(AND(R696=1,S696&lt;&gt;"",C696&lt;&gt;""),S696&amp;"|"&amp;C696&amp;"|"&amp;G696&amp;"|"&amp;H696,"")</f>
        <v/>
      </c>
      <c r="AH696" s="96">
        <f>IF(AG696="",0,IF(SUMPRODUCT(--($AG$6:$AG$1005=AG696))&gt;1,1,0))</f>
        <v>0</v>
      </c>
      <c r="AI696" s="96">
        <f>IF(R696=0,0,IF(OR(U696=0,V696=0,Y696=0,AND(AH696=1,K696&lt;&gt;"Sim")),1,0))</f>
        <v>0</v>
      </c>
      <c r="AJ696" s="96">
        <f>IF(AND(R696=1,AA696&gt;0,AB696=AA696),1,0)</f>
        <v>0</v>
      </c>
      <c r="AK696" s="96">
        <f>IF(R696=0,0,IF(AA696&gt;0,N(L696),IF(ISNUMBER(I696),I696,0)))</f>
        <v>0</v>
      </c>
      <c r="AL696" s="96">
        <f>IF(R696=0,0,IF(AND(K696&lt;&gt;"Sim",N(M696)&gt;AK696+cfg_tol),1,0))</f>
        <v>0</v>
      </c>
      <c r="AM696" s="96">
        <f>IF(R696=0,0,IF(K696="Sim",0,IF(OR(AND(AA696&gt;0,ISNUMBER(I696),ABS(I696-N(L696))&gt;cfg_tol),AL696=1),1,0)))</f>
        <v>0</v>
      </c>
      <c r="AN696" s="96">
        <f>IF(AND(R696=1,N(M696)&gt;0,OR(N(M696)&gt;=AK696-cfg_tol,K696="Sim")),1,0)</f>
        <v>0</v>
      </c>
      <c r="AO696" s="96">
        <f>IF(AND(AN696=1,AD696&gt;0,AE696=AD696,AL696=0),1,0)</f>
        <v>0</v>
      </c>
      <c r="AP696" s="96">
        <f>IF(U696=0,0,IF(AND(INDEX('MTRs'!$AX$6:$AX$505,T696)=1,Z696=0,OR(f_res="",f_res="(Todos)",C696=f_res)),1,0))</f>
        <v>0</v>
      </c>
      <c r="AQ696" s="97" t="str">
        <f>IF(U696=0,"",INDEX('MTRs'!$AZ$6:$AZ$505,T696))</f>
        <v/>
      </c>
      <c r="AR696" s="96">
        <f>IF(U696=0,0,IF(AND(INDEX('MTRs'!$BA$6:$BA$505,T696)=1,Z696=0),1,0))</f>
        <v>0</v>
      </c>
      <c r="AS696" s="96" t="str">
        <f>IF(R696=1,A696&amp;" | MTR "&amp;IF(U696=1,INDEX('MTRs'!$B$6:$B$505,T696)&amp;"","?")&amp;" | "&amp;IF(C696="","(sem resíduo)",C696),"")</f>
        <v/>
      </c>
      <c r="AT696" s="96" t="str">
        <f>IF(R696=1,COUNTIF($R$6:R696,1),"")</f>
        <v/>
      </c>
      <c r="AU696" s="96" t="str">
        <f>IF(U696=1,INDEX('MTRs'!$I$6:$I$505,T696)&amp;"","")</f>
        <v/>
      </c>
    </row>
    <row r="697">
      <c r="A697" s="89" t="inlineStr">
        <is>
          <t>IT-000692</t>
        </is>
      </c>
      <c r="B697" s="91" t="n"/>
      <c r="C697" s="91" t="n"/>
      <c r="D697" s="94" t="str">
        <f>IF(OR(R697=0,V697=0),"",INDEX('CAD_RESÍDUOS'!$E$6:$E$205,MATCH(C697,'CAD_RESÍDUOS'!$B$6:$B$205,0))&amp;"")</f>
        <v/>
      </c>
      <c r="E697" s="94" t="str">
        <f>IF(OR(R697=0,V697=0),"",INDEX('CAD_RESÍDUOS'!$C$6:$C$205,MATCH(C697,'CAD_RESÍDUOS'!$B$6:$B$205,0))&amp;"")</f>
        <v/>
      </c>
      <c r="F697" s="94" t="str">
        <f>IF(OR(R697=0,V697=0),"",INDEX('CAD_RESÍDUOS'!$G$6:$G$205,MATCH(C697,'CAD_RESÍDUOS'!$B$6:$B$205,0))&amp;"")</f>
        <v/>
      </c>
      <c r="G697" s="98" t="n"/>
      <c r="H697" s="91" t="n"/>
      <c r="I697" s="93" t="str">
        <f>IF(R697=0,"",IF(NOT(ISNUMBER(G697)),"",IF(ISNUMBER(X697),G697*X697,"UNIDADE A CONFERIR")))</f>
        <v/>
      </c>
      <c r="J697" s="91" t="n"/>
      <c r="K697" s="91" t="n"/>
      <c r="L697" s="93" t="str">
        <f>IF(R697=0,"",SUMIFS('RECEBIMENTOS'!$H$6:$H$1005,'RECEBIMENTOS'!$R$6:$R$1005,A697,'RECEBIMENTOS'!$X$6:$X$1005,1))</f>
        <v/>
      </c>
      <c r="M697" s="93" t="str">
        <f>IF(R697=0,"",SUMIFS('VÍNCULOS_CDF'!$H$6:$H$1005,'VÍNCULOS_CDF'!$R$6:$R$1005,A697,'VÍNCULOS_CDF'!$V$6:$V$1005,1))</f>
        <v/>
      </c>
      <c r="N697" s="99" t="str">
        <f>IF(OR(R697=0,AA697=0,NOT(ISNUMBER(I697))),"",I697-N(L697))</f>
        <v/>
      </c>
      <c r="O697" s="100" t="str">
        <f>IF(OR(R697=0,AK697&lt;=0),"",N(M697)/AK697)</f>
        <v/>
      </c>
      <c r="P697" s="94" t="str">
        <f>IF(R697=0,"",IF(S697="","Sem MTR associado",IF(U697=0,"MTR inexistente",IF(C697="","Resíduo não identificado",IF(V697=0,"Resíduo fora do cadastro",IF(W697=0,"Quantidade inválida",IF(H697="","Unidade não informada",IF(NOT(ISNUMBER(I697)),"Unidade a conferir",IF(AND(AH697=1,K697&lt;&gt;"Sim"),"Possível duplicidade",IF(Z697=1,"MTR cancelado",IF(AC697&gt;0,"Recebimento com alerta",IF(AA697=0,"Aguardando recebimento",IF(AB697&lt;AA697,"Recebimento a conferir",IF(AM697=1,"Quantidade a revisar",IF(AF697&gt;0,"Vínculo a revisar",IF(AD697=0,"Aguardando CDF",IF(AN697=0,"Vínculo de CDF parcial",IF(AE697&lt;AD697,"CDF a conferir","Documentação conferida"))))))))))))))))))</f>
        <v/>
      </c>
      <c r="Q697" s="93" t="str">
        <f>IF(OR(R697=0,AA697=0),"",MAX(0,N(L697)-N(M697)))</f>
        <v/>
      </c>
      <c r="R697" s="96">
        <f>IF(COUNTA(B697:C697,G697:H697,J697:K697)&gt;0,1,0)</f>
        <v>0</v>
      </c>
      <c r="S697" s="96" t="str">
        <f>IF(B697="","",TRIM(LEFT(B697,FIND(" |",B697&amp;" |")-1)))</f>
        <v/>
      </c>
      <c r="T697" s="96" t="str">
        <f>IF(S697="","",IFERROR(MATCH(S697,'MTRs'!$A$6:$A$505,0),""))</f>
        <v/>
      </c>
      <c r="U697" s="96">
        <f>IF(T697="",0,IF(INDEX('MTRs'!$Z$6:$Z$505,T697)=1,1,0))</f>
        <v>0</v>
      </c>
      <c r="V697" s="96">
        <f>IF(C697="",0,IF(ISNUMBER(MATCH(C697,'CAD_RESÍDUOS'!$B$6:$B$205,0)),1,0))</f>
        <v>0</v>
      </c>
      <c r="W697" s="96">
        <f>IF(AND(ISNUMBER(G697),G697&gt;0),1,0)</f>
        <v>0</v>
      </c>
      <c r="X697" s="96" t="str">
        <f>IF(H697="","",IFERROR(IF(ISNUMBER(INDEX(cfg_fac,MATCH(H697,cfg_units,0))),IF(INDEX(cfg_fac,MATCH(H697,cfg_units,0))&gt;0,INDEX(cfg_fac,MATCH(H697,cfg_units,0)),""),""),""))</f>
        <v/>
      </c>
      <c r="Y697" s="96">
        <f>IF(AND(W697=1,ISNUMBER(I697)),1,0)</f>
        <v>0</v>
      </c>
      <c r="Z697" s="96">
        <f>IF(U697=1,INDEX('MTRs'!$AA$6:$AA$505,T697),0)</f>
        <v>0</v>
      </c>
      <c r="AA697" s="96">
        <f>IF(R697=0,0,COUNTIFS('RECEBIMENTOS'!$R$6:$R$1005,A697,'RECEBIMENTOS'!$Q$6:$Q$1005,1))</f>
        <v>0</v>
      </c>
      <c r="AB697" s="96">
        <f>IF(R697=0,0,COUNTIFS('RECEBIMENTOS'!$R$6:$R$1005,A697,'RECEBIMENTOS'!$Z$6:$Z$1005,1))</f>
        <v>0</v>
      </c>
      <c r="AC697" s="96">
        <f>IF(R697=0,0,COUNTIFS('RECEBIMENTOS'!$R$6:$R$1005,A697,'RECEBIMENTOS'!$Y$6:$Y$1005,1))</f>
        <v>0</v>
      </c>
      <c r="AD697" s="96">
        <f>IF(R697=0,0,COUNTIFS('VÍNCULOS_CDF'!$R$6:$R$1005,A697,'VÍNCULOS_CDF'!$N$6:$N$1005,1))</f>
        <v>0</v>
      </c>
      <c r="AE697" s="96">
        <f>IF(R697=0,0,COUNTIFS('VÍNCULOS_CDF'!$R$6:$R$1005,A697,'VÍNCULOS_CDF'!$AA$6:$AA$1005,1))</f>
        <v>0</v>
      </c>
      <c r="AF697" s="96">
        <f>IF(R697=0,0,COUNTIFS('VÍNCULOS_CDF'!$R$6:$R$1005,A697,'VÍNCULOS_CDF'!$Y$6:$Y$1005,1))</f>
        <v>0</v>
      </c>
      <c r="AG697" s="96" t="str">
        <f>IF(AND(R697=1,S697&lt;&gt;"",C697&lt;&gt;""),S697&amp;"|"&amp;C697&amp;"|"&amp;G697&amp;"|"&amp;H697,"")</f>
        <v/>
      </c>
      <c r="AH697" s="96">
        <f>IF(AG697="",0,IF(SUMPRODUCT(--($AG$6:$AG$1005=AG697))&gt;1,1,0))</f>
        <v>0</v>
      </c>
      <c r="AI697" s="96">
        <f>IF(R697=0,0,IF(OR(U697=0,V697=0,Y697=0,AND(AH697=1,K697&lt;&gt;"Sim")),1,0))</f>
        <v>0</v>
      </c>
      <c r="AJ697" s="96">
        <f>IF(AND(R697=1,AA697&gt;0,AB697=AA697),1,0)</f>
        <v>0</v>
      </c>
      <c r="AK697" s="96">
        <f>IF(R697=0,0,IF(AA697&gt;0,N(L697),IF(ISNUMBER(I697),I697,0)))</f>
        <v>0</v>
      </c>
      <c r="AL697" s="96">
        <f>IF(R697=0,0,IF(AND(K697&lt;&gt;"Sim",N(M697)&gt;AK697+cfg_tol),1,0))</f>
        <v>0</v>
      </c>
      <c r="AM697" s="96">
        <f>IF(R697=0,0,IF(K697="Sim",0,IF(OR(AND(AA697&gt;0,ISNUMBER(I697),ABS(I697-N(L697))&gt;cfg_tol),AL697=1),1,0)))</f>
        <v>0</v>
      </c>
      <c r="AN697" s="96">
        <f>IF(AND(R697=1,N(M697)&gt;0,OR(N(M697)&gt;=AK697-cfg_tol,K697="Sim")),1,0)</f>
        <v>0</v>
      </c>
      <c r="AO697" s="96">
        <f>IF(AND(AN697=1,AD697&gt;0,AE697=AD697,AL697=0),1,0)</f>
        <v>0</v>
      </c>
      <c r="AP697" s="96">
        <f>IF(U697=0,0,IF(AND(INDEX('MTRs'!$AX$6:$AX$505,T697)=1,Z697=0,OR(f_res="",f_res="(Todos)",C697=f_res)),1,0))</f>
        <v>0</v>
      </c>
      <c r="AQ697" s="97" t="str">
        <f>IF(U697=0,"",INDEX('MTRs'!$AZ$6:$AZ$505,T697))</f>
        <v/>
      </c>
      <c r="AR697" s="96">
        <f>IF(U697=0,0,IF(AND(INDEX('MTRs'!$BA$6:$BA$505,T697)=1,Z697=0),1,0))</f>
        <v>0</v>
      </c>
      <c r="AS697" s="96" t="str">
        <f>IF(R697=1,A697&amp;" | MTR "&amp;IF(U697=1,INDEX('MTRs'!$B$6:$B$505,T697)&amp;"","?")&amp;" | "&amp;IF(C697="","(sem resíduo)",C697),"")</f>
        <v/>
      </c>
      <c r="AT697" s="96" t="str">
        <f>IF(R697=1,COUNTIF($R$6:R697,1),"")</f>
        <v/>
      </c>
      <c r="AU697" s="96" t="str">
        <f>IF(U697=1,INDEX('MTRs'!$I$6:$I$505,T697)&amp;"","")</f>
        <v/>
      </c>
    </row>
    <row r="698">
      <c r="A698" s="89" t="inlineStr">
        <is>
          <t>IT-000693</t>
        </is>
      </c>
      <c r="B698" s="91" t="n"/>
      <c r="C698" s="91" t="n"/>
      <c r="D698" s="94" t="str">
        <f>IF(OR(R698=0,V698=0),"",INDEX('CAD_RESÍDUOS'!$E$6:$E$205,MATCH(C698,'CAD_RESÍDUOS'!$B$6:$B$205,0))&amp;"")</f>
        <v/>
      </c>
      <c r="E698" s="94" t="str">
        <f>IF(OR(R698=0,V698=0),"",INDEX('CAD_RESÍDUOS'!$C$6:$C$205,MATCH(C698,'CAD_RESÍDUOS'!$B$6:$B$205,0))&amp;"")</f>
        <v/>
      </c>
      <c r="F698" s="94" t="str">
        <f>IF(OR(R698=0,V698=0),"",INDEX('CAD_RESÍDUOS'!$G$6:$G$205,MATCH(C698,'CAD_RESÍDUOS'!$B$6:$B$205,0))&amp;"")</f>
        <v/>
      </c>
      <c r="G698" s="98" t="n"/>
      <c r="H698" s="91" t="n"/>
      <c r="I698" s="93" t="str">
        <f>IF(R698=0,"",IF(NOT(ISNUMBER(G698)),"",IF(ISNUMBER(X698),G698*X698,"UNIDADE A CONFERIR")))</f>
        <v/>
      </c>
      <c r="J698" s="91" t="n"/>
      <c r="K698" s="91" t="n"/>
      <c r="L698" s="93" t="str">
        <f>IF(R698=0,"",SUMIFS('RECEBIMENTOS'!$H$6:$H$1005,'RECEBIMENTOS'!$R$6:$R$1005,A698,'RECEBIMENTOS'!$X$6:$X$1005,1))</f>
        <v/>
      </c>
      <c r="M698" s="93" t="str">
        <f>IF(R698=0,"",SUMIFS('VÍNCULOS_CDF'!$H$6:$H$1005,'VÍNCULOS_CDF'!$R$6:$R$1005,A698,'VÍNCULOS_CDF'!$V$6:$V$1005,1))</f>
        <v/>
      </c>
      <c r="N698" s="99" t="str">
        <f>IF(OR(R698=0,AA698=0,NOT(ISNUMBER(I698))),"",I698-N(L698))</f>
        <v/>
      </c>
      <c r="O698" s="100" t="str">
        <f>IF(OR(R698=0,AK698&lt;=0),"",N(M698)/AK698)</f>
        <v/>
      </c>
      <c r="P698" s="94" t="str">
        <f>IF(R698=0,"",IF(S698="","Sem MTR associado",IF(U698=0,"MTR inexistente",IF(C698="","Resíduo não identificado",IF(V698=0,"Resíduo fora do cadastro",IF(W698=0,"Quantidade inválida",IF(H698="","Unidade não informada",IF(NOT(ISNUMBER(I698)),"Unidade a conferir",IF(AND(AH698=1,K698&lt;&gt;"Sim"),"Possível duplicidade",IF(Z698=1,"MTR cancelado",IF(AC698&gt;0,"Recebimento com alerta",IF(AA698=0,"Aguardando recebimento",IF(AB698&lt;AA698,"Recebimento a conferir",IF(AM698=1,"Quantidade a revisar",IF(AF698&gt;0,"Vínculo a revisar",IF(AD698=0,"Aguardando CDF",IF(AN698=0,"Vínculo de CDF parcial",IF(AE698&lt;AD698,"CDF a conferir","Documentação conferida"))))))))))))))))))</f>
        <v/>
      </c>
      <c r="Q698" s="93" t="str">
        <f>IF(OR(R698=0,AA698=0),"",MAX(0,N(L698)-N(M698)))</f>
        <v/>
      </c>
      <c r="R698" s="96">
        <f>IF(COUNTA(B698:C698,G698:H698,J698:K698)&gt;0,1,0)</f>
        <v>0</v>
      </c>
      <c r="S698" s="96" t="str">
        <f>IF(B698="","",TRIM(LEFT(B698,FIND(" |",B698&amp;" |")-1)))</f>
        <v/>
      </c>
      <c r="T698" s="96" t="str">
        <f>IF(S698="","",IFERROR(MATCH(S698,'MTRs'!$A$6:$A$505,0),""))</f>
        <v/>
      </c>
      <c r="U698" s="96">
        <f>IF(T698="",0,IF(INDEX('MTRs'!$Z$6:$Z$505,T698)=1,1,0))</f>
        <v>0</v>
      </c>
      <c r="V698" s="96">
        <f>IF(C698="",0,IF(ISNUMBER(MATCH(C698,'CAD_RESÍDUOS'!$B$6:$B$205,0)),1,0))</f>
        <v>0</v>
      </c>
      <c r="W698" s="96">
        <f>IF(AND(ISNUMBER(G698),G698&gt;0),1,0)</f>
        <v>0</v>
      </c>
      <c r="X698" s="96" t="str">
        <f>IF(H698="","",IFERROR(IF(ISNUMBER(INDEX(cfg_fac,MATCH(H698,cfg_units,0))),IF(INDEX(cfg_fac,MATCH(H698,cfg_units,0))&gt;0,INDEX(cfg_fac,MATCH(H698,cfg_units,0)),""),""),""))</f>
        <v/>
      </c>
      <c r="Y698" s="96">
        <f>IF(AND(W698=1,ISNUMBER(I698)),1,0)</f>
        <v>0</v>
      </c>
      <c r="Z698" s="96">
        <f>IF(U698=1,INDEX('MTRs'!$AA$6:$AA$505,T698),0)</f>
        <v>0</v>
      </c>
      <c r="AA698" s="96">
        <f>IF(R698=0,0,COUNTIFS('RECEBIMENTOS'!$R$6:$R$1005,A698,'RECEBIMENTOS'!$Q$6:$Q$1005,1))</f>
        <v>0</v>
      </c>
      <c r="AB698" s="96">
        <f>IF(R698=0,0,COUNTIFS('RECEBIMENTOS'!$R$6:$R$1005,A698,'RECEBIMENTOS'!$Z$6:$Z$1005,1))</f>
        <v>0</v>
      </c>
      <c r="AC698" s="96">
        <f>IF(R698=0,0,COUNTIFS('RECEBIMENTOS'!$R$6:$R$1005,A698,'RECEBIMENTOS'!$Y$6:$Y$1005,1))</f>
        <v>0</v>
      </c>
      <c r="AD698" s="96">
        <f>IF(R698=0,0,COUNTIFS('VÍNCULOS_CDF'!$R$6:$R$1005,A698,'VÍNCULOS_CDF'!$N$6:$N$1005,1))</f>
        <v>0</v>
      </c>
      <c r="AE698" s="96">
        <f>IF(R698=0,0,COUNTIFS('VÍNCULOS_CDF'!$R$6:$R$1005,A698,'VÍNCULOS_CDF'!$AA$6:$AA$1005,1))</f>
        <v>0</v>
      </c>
      <c r="AF698" s="96">
        <f>IF(R698=0,0,COUNTIFS('VÍNCULOS_CDF'!$R$6:$R$1005,A698,'VÍNCULOS_CDF'!$Y$6:$Y$1005,1))</f>
        <v>0</v>
      </c>
      <c r="AG698" s="96" t="str">
        <f>IF(AND(R698=1,S698&lt;&gt;"",C698&lt;&gt;""),S698&amp;"|"&amp;C698&amp;"|"&amp;G698&amp;"|"&amp;H698,"")</f>
        <v/>
      </c>
      <c r="AH698" s="96">
        <f>IF(AG698="",0,IF(SUMPRODUCT(--($AG$6:$AG$1005=AG698))&gt;1,1,0))</f>
        <v>0</v>
      </c>
      <c r="AI698" s="96">
        <f>IF(R698=0,0,IF(OR(U698=0,V698=0,Y698=0,AND(AH698=1,K698&lt;&gt;"Sim")),1,0))</f>
        <v>0</v>
      </c>
      <c r="AJ698" s="96">
        <f>IF(AND(R698=1,AA698&gt;0,AB698=AA698),1,0)</f>
        <v>0</v>
      </c>
      <c r="AK698" s="96">
        <f>IF(R698=0,0,IF(AA698&gt;0,N(L698),IF(ISNUMBER(I698),I698,0)))</f>
        <v>0</v>
      </c>
      <c r="AL698" s="96">
        <f>IF(R698=0,0,IF(AND(K698&lt;&gt;"Sim",N(M698)&gt;AK698+cfg_tol),1,0))</f>
        <v>0</v>
      </c>
      <c r="AM698" s="96">
        <f>IF(R698=0,0,IF(K698="Sim",0,IF(OR(AND(AA698&gt;0,ISNUMBER(I698),ABS(I698-N(L698))&gt;cfg_tol),AL698=1),1,0)))</f>
        <v>0</v>
      </c>
      <c r="AN698" s="96">
        <f>IF(AND(R698=1,N(M698)&gt;0,OR(N(M698)&gt;=AK698-cfg_tol,K698="Sim")),1,0)</f>
        <v>0</v>
      </c>
      <c r="AO698" s="96">
        <f>IF(AND(AN698=1,AD698&gt;0,AE698=AD698,AL698=0),1,0)</f>
        <v>0</v>
      </c>
      <c r="AP698" s="96">
        <f>IF(U698=0,0,IF(AND(INDEX('MTRs'!$AX$6:$AX$505,T698)=1,Z698=0,OR(f_res="",f_res="(Todos)",C698=f_res)),1,0))</f>
        <v>0</v>
      </c>
      <c r="AQ698" s="97" t="str">
        <f>IF(U698=0,"",INDEX('MTRs'!$AZ$6:$AZ$505,T698))</f>
        <v/>
      </c>
      <c r="AR698" s="96">
        <f>IF(U698=0,0,IF(AND(INDEX('MTRs'!$BA$6:$BA$505,T698)=1,Z698=0),1,0))</f>
        <v>0</v>
      </c>
      <c r="AS698" s="96" t="str">
        <f>IF(R698=1,A698&amp;" | MTR "&amp;IF(U698=1,INDEX('MTRs'!$B$6:$B$505,T698)&amp;"","?")&amp;" | "&amp;IF(C698="","(sem resíduo)",C698),"")</f>
        <v/>
      </c>
      <c r="AT698" s="96" t="str">
        <f>IF(R698=1,COUNTIF($R$6:R698,1),"")</f>
        <v/>
      </c>
      <c r="AU698" s="96" t="str">
        <f>IF(U698=1,INDEX('MTRs'!$I$6:$I$505,T698)&amp;"","")</f>
        <v/>
      </c>
    </row>
    <row r="699">
      <c r="A699" s="89" t="inlineStr">
        <is>
          <t>IT-000694</t>
        </is>
      </c>
      <c r="B699" s="91" t="n"/>
      <c r="C699" s="91" t="n"/>
      <c r="D699" s="94" t="str">
        <f>IF(OR(R699=0,V699=0),"",INDEX('CAD_RESÍDUOS'!$E$6:$E$205,MATCH(C699,'CAD_RESÍDUOS'!$B$6:$B$205,0))&amp;"")</f>
        <v/>
      </c>
      <c r="E699" s="94" t="str">
        <f>IF(OR(R699=0,V699=0),"",INDEX('CAD_RESÍDUOS'!$C$6:$C$205,MATCH(C699,'CAD_RESÍDUOS'!$B$6:$B$205,0))&amp;"")</f>
        <v/>
      </c>
      <c r="F699" s="94" t="str">
        <f>IF(OR(R699=0,V699=0),"",INDEX('CAD_RESÍDUOS'!$G$6:$G$205,MATCH(C699,'CAD_RESÍDUOS'!$B$6:$B$205,0))&amp;"")</f>
        <v/>
      </c>
      <c r="G699" s="98" t="n"/>
      <c r="H699" s="91" t="n"/>
      <c r="I699" s="93" t="str">
        <f>IF(R699=0,"",IF(NOT(ISNUMBER(G699)),"",IF(ISNUMBER(X699),G699*X699,"UNIDADE A CONFERIR")))</f>
        <v/>
      </c>
      <c r="J699" s="91" t="n"/>
      <c r="K699" s="91" t="n"/>
      <c r="L699" s="93" t="str">
        <f>IF(R699=0,"",SUMIFS('RECEBIMENTOS'!$H$6:$H$1005,'RECEBIMENTOS'!$R$6:$R$1005,A699,'RECEBIMENTOS'!$X$6:$X$1005,1))</f>
        <v/>
      </c>
      <c r="M699" s="93" t="str">
        <f>IF(R699=0,"",SUMIFS('VÍNCULOS_CDF'!$H$6:$H$1005,'VÍNCULOS_CDF'!$R$6:$R$1005,A699,'VÍNCULOS_CDF'!$V$6:$V$1005,1))</f>
        <v/>
      </c>
      <c r="N699" s="99" t="str">
        <f>IF(OR(R699=0,AA699=0,NOT(ISNUMBER(I699))),"",I699-N(L699))</f>
        <v/>
      </c>
      <c r="O699" s="100" t="str">
        <f>IF(OR(R699=0,AK699&lt;=0),"",N(M699)/AK699)</f>
        <v/>
      </c>
      <c r="P699" s="94" t="str">
        <f>IF(R699=0,"",IF(S699="","Sem MTR associado",IF(U699=0,"MTR inexistente",IF(C699="","Resíduo não identificado",IF(V699=0,"Resíduo fora do cadastro",IF(W699=0,"Quantidade inválida",IF(H699="","Unidade não informada",IF(NOT(ISNUMBER(I699)),"Unidade a conferir",IF(AND(AH699=1,K699&lt;&gt;"Sim"),"Possível duplicidade",IF(Z699=1,"MTR cancelado",IF(AC699&gt;0,"Recebimento com alerta",IF(AA699=0,"Aguardando recebimento",IF(AB699&lt;AA699,"Recebimento a conferir",IF(AM699=1,"Quantidade a revisar",IF(AF699&gt;0,"Vínculo a revisar",IF(AD699=0,"Aguardando CDF",IF(AN699=0,"Vínculo de CDF parcial",IF(AE699&lt;AD699,"CDF a conferir","Documentação conferida"))))))))))))))))))</f>
        <v/>
      </c>
      <c r="Q699" s="93" t="str">
        <f>IF(OR(R699=0,AA699=0),"",MAX(0,N(L699)-N(M699)))</f>
        <v/>
      </c>
      <c r="R699" s="96">
        <f>IF(COUNTA(B699:C699,G699:H699,J699:K699)&gt;0,1,0)</f>
        <v>0</v>
      </c>
      <c r="S699" s="96" t="str">
        <f>IF(B699="","",TRIM(LEFT(B699,FIND(" |",B699&amp;" |")-1)))</f>
        <v/>
      </c>
      <c r="T699" s="96" t="str">
        <f>IF(S699="","",IFERROR(MATCH(S699,'MTRs'!$A$6:$A$505,0),""))</f>
        <v/>
      </c>
      <c r="U699" s="96">
        <f>IF(T699="",0,IF(INDEX('MTRs'!$Z$6:$Z$505,T699)=1,1,0))</f>
        <v>0</v>
      </c>
      <c r="V699" s="96">
        <f>IF(C699="",0,IF(ISNUMBER(MATCH(C699,'CAD_RESÍDUOS'!$B$6:$B$205,0)),1,0))</f>
        <v>0</v>
      </c>
      <c r="W699" s="96">
        <f>IF(AND(ISNUMBER(G699),G699&gt;0),1,0)</f>
        <v>0</v>
      </c>
      <c r="X699" s="96" t="str">
        <f>IF(H699="","",IFERROR(IF(ISNUMBER(INDEX(cfg_fac,MATCH(H699,cfg_units,0))),IF(INDEX(cfg_fac,MATCH(H699,cfg_units,0))&gt;0,INDEX(cfg_fac,MATCH(H699,cfg_units,0)),""),""),""))</f>
        <v/>
      </c>
      <c r="Y699" s="96">
        <f>IF(AND(W699=1,ISNUMBER(I699)),1,0)</f>
        <v>0</v>
      </c>
      <c r="Z699" s="96">
        <f>IF(U699=1,INDEX('MTRs'!$AA$6:$AA$505,T699),0)</f>
        <v>0</v>
      </c>
      <c r="AA699" s="96">
        <f>IF(R699=0,0,COUNTIFS('RECEBIMENTOS'!$R$6:$R$1005,A699,'RECEBIMENTOS'!$Q$6:$Q$1005,1))</f>
        <v>0</v>
      </c>
      <c r="AB699" s="96">
        <f>IF(R699=0,0,COUNTIFS('RECEBIMENTOS'!$R$6:$R$1005,A699,'RECEBIMENTOS'!$Z$6:$Z$1005,1))</f>
        <v>0</v>
      </c>
      <c r="AC699" s="96">
        <f>IF(R699=0,0,COUNTIFS('RECEBIMENTOS'!$R$6:$R$1005,A699,'RECEBIMENTOS'!$Y$6:$Y$1005,1))</f>
        <v>0</v>
      </c>
      <c r="AD699" s="96">
        <f>IF(R699=0,0,COUNTIFS('VÍNCULOS_CDF'!$R$6:$R$1005,A699,'VÍNCULOS_CDF'!$N$6:$N$1005,1))</f>
        <v>0</v>
      </c>
      <c r="AE699" s="96">
        <f>IF(R699=0,0,COUNTIFS('VÍNCULOS_CDF'!$R$6:$R$1005,A699,'VÍNCULOS_CDF'!$AA$6:$AA$1005,1))</f>
        <v>0</v>
      </c>
      <c r="AF699" s="96">
        <f>IF(R699=0,0,COUNTIFS('VÍNCULOS_CDF'!$R$6:$R$1005,A699,'VÍNCULOS_CDF'!$Y$6:$Y$1005,1))</f>
        <v>0</v>
      </c>
      <c r="AG699" s="96" t="str">
        <f>IF(AND(R699=1,S699&lt;&gt;"",C699&lt;&gt;""),S699&amp;"|"&amp;C699&amp;"|"&amp;G699&amp;"|"&amp;H699,"")</f>
        <v/>
      </c>
      <c r="AH699" s="96">
        <f>IF(AG699="",0,IF(SUMPRODUCT(--($AG$6:$AG$1005=AG699))&gt;1,1,0))</f>
        <v>0</v>
      </c>
      <c r="AI699" s="96">
        <f>IF(R699=0,0,IF(OR(U699=0,V699=0,Y699=0,AND(AH699=1,K699&lt;&gt;"Sim")),1,0))</f>
        <v>0</v>
      </c>
      <c r="AJ699" s="96">
        <f>IF(AND(R699=1,AA699&gt;0,AB699=AA699),1,0)</f>
        <v>0</v>
      </c>
      <c r="AK699" s="96">
        <f>IF(R699=0,0,IF(AA699&gt;0,N(L699),IF(ISNUMBER(I699),I699,0)))</f>
        <v>0</v>
      </c>
      <c r="AL699" s="96">
        <f>IF(R699=0,0,IF(AND(K699&lt;&gt;"Sim",N(M699)&gt;AK699+cfg_tol),1,0))</f>
        <v>0</v>
      </c>
      <c r="AM699" s="96">
        <f>IF(R699=0,0,IF(K699="Sim",0,IF(OR(AND(AA699&gt;0,ISNUMBER(I699),ABS(I699-N(L699))&gt;cfg_tol),AL699=1),1,0)))</f>
        <v>0</v>
      </c>
      <c r="AN699" s="96">
        <f>IF(AND(R699=1,N(M699)&gt;0,OR(N(M699)&gt;=AK699-cfg_tol,K699="Sim")),1,0)</f>
        <v>0</v>
      </c>
      <c r="AO699" s="96">
        <f>IF(AND(AN699=1,AD699&gt;0,AE699=AD699,AL699=0),1,0)</f>
        <v>0</v>
      </c>
      <c r="AP699" s="96">
        <f>IF(U699=0,0,IF(AND(INDEX('MTRs'!$AX$6:$AX$505,T699)=1,Z699=0,OR(f_res="",f_res="(Todos)",C699=f_res)),1,0))</f>
        <v>0</v>
      </c>
      <c r="AQ699" s="97" t="str">
        <f>IF(U699=0,"",INDEX('MTRs'!$AZ$6:$AZ$505,T699))</f>
        <v/>
      </c>
      <c r="AR699" s="96">
        <f>IF(U699=0,0,IF(AND(INDEX('MTRs'!$BA$6:$BA$505,T699)=1,Z699=0),1,0))</f>
        <v>0</v>
      </c>
      <c r="AS699" s="96" t="str">
        <f>IF(R699=1,A699&amp;" | MTR "&amp;IF(U699=1,INDEX('MTRs'!$B$6:$B$505,T699)&amp;"","?")&amp;" | "&amp;IF(C699="","(sem resíduo)",C699),"")</f>
        <v/>
      </c>
      <c r="AT699" s="96" t="str">
        <f>IF(R699=1,COUNTIF($R$6:R699,1),"")</f>
        <v/>
      </c>
      <c r="AU699" s="96" t="str">
        <f>IF(U699=1,INDEX('MTRs'!$I$6:$I$505,T699)&amp;"","")</f>
        <v/>
      </c>
    </row>
    <row r="700">
      <c r="A700" s="89" t="inlineStr">
        <is>
          <t>IT-000695</t>
        </is>
      </c>
      <c r="B700" s="91" t="n"/>
      <c r="C700" s="91" t="n"/>
      <c r="D700" s="94" t="str">
        <f>IF(OR(R700=0,V700=0),"",INDEX('CAD_RESÍDUOS'!$E$6:$E$205,MATCH(C700,'CAD_RESÍDUOS'!$B$6:$B$205,0))&amp;"")</f>
        <v/>
      </c>
      <c r="E700" s="94" t="str">
        <f>IF(OR(R700=0,V700=0),"",INDEX('CAD_RESÍDUOS'!$C$6:$C$205,MATCH(C700,'CAD_RESÍDUOS'!$B$6:$B$205,0))&amp;"")</f>
        <v/>
      </c>
      <c r="F700" s="94" t="str">
        <f>IF(OR(R700=0,V700=0),"",INDEX('CAD_RESÍDUOS'!$G$6:$G$205,MATCH(C700,'CAD_RESÍDUOS'!$B$6:$B$205,0))&amp;"")</f>
        <v/>
      </c>
      <c r="G700" s="98" t="n"/>
      <c r="H700" s="91" t="n"/>
      <c r="I700" s="93" t="str">
        <f>IF(R700=0,"",IF(NOT(ISNUMBER(G700)),"",IF(ISNUMBER(X700),G700*X700,"UNIDADE A CONFERIR")))</f>
        <v/>
      </c>
      <c r="J700" s="91" t="n"/>
      <c r="K700" s="91" t="n"/>
      <c r="L700" s="93" t="str">
        <f>IF(R700=0,"",SUMIFS('RECEBIMENTOS'!$H$6:$H$1005,'RECEBIMENTOS'!$R$6:$R$1005,A700,'RECEBIMENTOS'!$X$6:$X$1005,1))</f>
        <v/>
      </c>
      <c r="M700" s="93" t="str">
        <f>IF(R700=0,"",SUMIFS('VÍNCULOS_CDF'!$H$6:$H$1005,'VÍNCULOS_CDF'!$R$6:$R$1005,A700,'VÍNCULOS_CDF'!$V$6:$V$1005,1))</f>
        <v/>
      </c>
      <c r="N700" s="99" t="str">
        <f>IF(OR(R700=0,AA700=0,NOT(ISNUMBER(I700))),"",I700-N(L700))</f>
        <v/>
      </c>
      <c r="O700" s="100" t="str">
        <f>IF(OR(R700=0,AK700&lt;=0),"",N(M700)/AK700)</f>
        <v/>
      </c>
      <c r="P700" s="94" t="str">
        <f>IF(R700=0,"",IF(S700="","Sem MTR associado",IF(U700=0,"MTR inexistente",IF(C700="","Resíduo não identificado",IF(V700=0,"Resíduo fora do cadastro",IF(W700=0,"Quantidade inválida",IF(H700="","Unidade não informada",IF(NOT(ISNUMBER(I700)),"Unidade a conferir",IF(AND(AH700=1,K700&lt;&gt;"Sim"),"Possível duplicidade",IF(Z700=1,"MTR cancelado",IF(AC700&gt;0,"Recebimento com alerta",IF(AA700=0,"Aguardando recebimento",IF(AB700&lt;AA700,"Recebimento a conferir",IF(AM700=1,"Quantidade a revisar",IF(AF700&gt;0,"Vínculo a revisar",IF(AD700=0,"Aguardando CDF",IF(AN700=0,"Vínculo de CDF parcial",IF(AE700&lt;AD700,"CDF a conferir","Documentação conferida"))))))))))))))))))</f>
        <v/>
      </c>
      <c r="Q700" s="93" t="str">
        <f>IF(OR(R700=0,AA700=0),"",MAX(0,N(L700)-N(M700)))</f>
        <v/>
      </c>
      <c r="R700" s="96">
        <f>IF(COUNTA(B700:C700,G700:H700,J700:K700)&gt;0,1,0)</f>
        <v>0</v>
      </c>
      <c r="S700" s="96" t="str">
        <f>IF(B700="","",TRIM(LEFT(B700,FIND(" |",B700&amp;" |")-1)))</f>
        <v/>
      </c>
      <c r="T700" s="96" t="str">
        <f>IF(S700="","",IFERROR(MATCH(S700,'MTRs'!$A$6:$A$505,0),""))</f>
        <v/>
      </c>
      <c r="U700" s="96">
        <f>IF(T700="",0,IF(INDEX('MTRs'!$Z$6:$Z$505,T700)=1,1,0))</f>
        <v>0</v>
      </c>
      <c r="V700" s="96">
        <f>IF(C700="",0,IF(ISNUMBER(MATCH(C700,'CAD_RESÍDUOS'!$B$6:$B$205,0)),1,0))</f>
        <v>0</v>
      </c>
      <c r="W700" s="96">
        <f>IF(AND(ISNUMBER(G700),G700&gt;0),1,0)</f>
        <v>0</v>
      </c>
      <c r="X700" s="96" t="str">
        <f>IF(H700="","",IFERROR(IF(ISNUMBER(INDEX(cfg_fac,MATCH(H700,cfg_units,0))),IF(INDEX(cfg_fac,MATCH(H700,cfg_units,0))&gt;0,INDEX(cfg_fac,MATCH(H700,cfg_units,0)),""),""),""))</f>
        <v/>
      </c>
      <c r="Y700" s="96">
        <f>IF(AND(W700=1,ISNUMBER(I700)),1,0)</f>
        <v>0</v>
      </c>
      <c r="Z700" s="96">
        <f>IF(U700=1,INDEX('MTRs'!$AA$6:$AA$505,T700),0)</f>
        <v>0</v>
      </c>
      <c r="AA700" s="96">
        <f>IF(R700=0,0,COUNTIFS('RECEBIMENTOS'!$R$6:$R$1005,A700,'RECEBIMENTOS'!$Q$6:$Q$1005,1))</f>
        <v>0</v>
      </c>
      <c r="AB700" s="96">
        <f>IF(R700=0,0,COUNTIFS('RECEBIMENTOS'!$R$6:$R$1005,A700,'RECEBIMENTOS'!$Z$6:$Z$1005,1))</f>
        <v>0</v>
      </c>
      <c r="AC700" s="96">
        <f>IF(R700=0,0,COUNTIFS('RECEBIMENTOS'!$R$6:$R$1005,A700,'RECEBIMENTOS'!$Y$6:$Y$1005,1))</f>
        <v>0</v>
      </c>
      <c r="AD700" s="96">
        <f>IF(R700=0,0,COUNTIFS('VÍNCULOS_CDF'!$R$6:$R$1005,A700,'VÍNCULOS_CDF'!$N$6:$N$1005,1))</f>
        <v>0</v>
      </c>
      <c r="AE700" s="96">
        <f>IF(R700=0,0,COUNTIFS('VÍNCULOS_CDF'!$R$6:$R$1005,A700,'VÍNCULOS_CDF'!$AA$6:$AA$1005,1))</f>
        <v>0</v>
      </c>
      <c r="AF700" s="96">
        <f>IF(R700=0,0,COUNTIFS('VÍNCULOS_CDF'!$R$6:$R$1005,A700,'VÍNCULOS_CDF'!$Y$6:$Y$1005,1))</f>
        <v>0</v>
      </c>
      <c r="AG700" s="96" t="str">
        <f>IF(AND(R700=1,S700&lt;&gt;"",C700&lt;&gt;""),S700&amp;"|"&amp;C700&amp;"|"&amp;G700&amp;"|"&amp;H700,"")</f>
        <v/>
      </c>
      <c r="AH700" s="96">
        <f>IF(AG700="",0,IF(SUMPRODUCT(--($AG$6:$AG$1005=AG700))&gt;1,1,0))</f>
        <v>0</v>
      </c>
      <c r="AI700" s="96">
        <f>IF(R700=0,0,IF(OR(U700=0,V700=0,Y700=0,AND(AH700=1,K700&lt;&gt;"Sim")),1,0))</f>
        <v>0</v>
      </c>
      <c r="AJ700" s="96">
        <f>IF(AND(R700=1,AA700&gt;0,AB700=AA700),1,0)</f>
        <v>0</v>
      </c>
      <c r="AK700" s="96">
        <f>IF(R700=0,0,IF(AA700&gt;0,N(L700),IF(ISNUMBER(I700),I700,0)))</f>
        <v>0</v>
      </c>
      <c r="AL700" s="96">
        <f>IF(R700=0,0,IF(AND(K700&lt;&gt;"Sim",N(M700)&gt;AK700+cfg_tol),1,0))</f>
        <v>0</v>
      </c>
      <c r="AM700" s="96">
        <f>IF(R700=0,0,IF(K700="Sim",0,IF(OR(AND(AA700&gt;0,ISNUMBER(I700),ABS(I700-N(L700))&gt;cfg_tol),AL700=1),1,0)))</f>
        <v>0</v>
      </c>
      <c r="AN700" s="96">
        <f>IF(AND(R700=1,N(M700)&gt;0,OR(N(M700)&gt;=AK700-cfg_tol,K700="Sim")),1,0)</f>
        <v>0</v>
      </c>
      <c r="AO700" s="96">
        <f>IF(AND(AN700=1,AD700&gt;0,AE700=AD700,AL700=0),1,0)</f>
        <v>0</v>
      </c>
      <c r="AP700" s="96">
        <f>IF(U700=0,0,IF(AND(INDEX('MTRs'!$AX$6:$AX$505,T700)=1,Z700=0,OR(f_res="",f_res="(Todos)",C700=f_res)),1,0))</f>
        <v>0</v>
      </c>
      <c r="AQ700" s="97" t="str">
        <f>IF(U700=0,"",INDEX('MTRs'!$AZ$6:$AZ$505,T700))</f>
        <v/>
      </c>
      <c r="AR700" s="96">
        <f>IF(U700=0,0,IF(AND(INDEX('MTRs'!$BA$6:$BA$505,T700)=1,Z700=0),1,0))</f>
        <v>0</v>
      </c>
      <c r="AS700" s="96" t="str">
        <f>IF(R700=1,A700&amp;" | MTR "&amp;IF(U700=1,INDEX('MTRs'!$B$6:$B$505,T700)&amp;"","?")&amp;" | "&amp;IF(C700="","(sem resíduo)",C700),"")</f>
        <v/>
      </c>
      <c r="AT700" s="96" t="str">
        <f>IF(R700=1,COUNTIF($R$6:R700,1),"")</f>
        <v/>
      </c>
      <c r="AU700" s="96" t="str">
        <f>IF(U700=1,INDEX('MTRs'!$I$6:$I$505,T700)&amp;"","")</f>
        <v/>
      </c>
    </row>
    <row r="701">
      <c r="A701" s="89" t="inlineStr">
        <is>
          <t>IT-000696</t>
        </is>
      </c>
      <c r="B701" s="91" t="n"/>
      <c r="C701" s="91" t="n"/>
      <c r="D701" s="94" t="str">
        <f>IF(OR(R701=0,V701=0),"",INDEX('CAD_RESÍDUOS'!$E$6:$E$205,MATCH(C701,'CAD_RESÍDUOS'!$B$6:$B$205,0))&amp;"")</f>
        <v/>
      </c>
      <c r="E701" s="94" t="str">
        <f>IF(OR(R701=0,V701=0),"",INDEX('CAD_RESÍDUOS'!$C$6:$C$205,MATCH(C701,'CAD_RESÍDUOS'!$B$6:$B$205,0))&amp;"")</f>
        <v/>
      </c>
      <c r="F701" s="94" t="str">
        <f>IF(OR(R701=0,V701=0),"",INDEX('CAD_RESÍDUOS'!$G$6:$G$205,MATCH(C701,'CAD_RESÍDUOS'!$B$6:$B$205,0))&amp;"")</f>
        <v/>
      </c>
      <c r="G701" s="98" t="n"/>
      <c r="H701" s="91" t="n"/>
      <c r="I701" s="93" t="str">
        <f>IF(R701=0,"",IF(NOT(ISNUMBER(G701)),"",IF(ISNUMBER(X701),G701*X701,"UNIDADE A CONFERIR")))</f>
        <v/>
      </c>
      <c r="J701" s="91" t="n"/>
      <c r="K701" s="91" t="n"/>
      <c r="L701" s="93" t="str">
        <f>IF(R701=0,"",SUMIFS('RECEBIMENTOS'!$H$6:$H$1005,'RECEBIMENTOS'!$R$6:$R$1005,A701,'RECEBIMENTOS'!$X$6:$X$1005,1))</f>
        <v/>
      </c>
      <c r="M701" s="93" t="str">
        <f>IF(R701=0,"",SUMIFS('VÍNCULOS_CDF'!$H$6:$H$1005,'VÍNCULOS_CDF'!$R$6:$R$1005,A701,'VÍNCULOS_CDF'!$V$6:$V$1005,1))</f>
        <v/>
      </c>
      <c r="N701" s="99" t="str">
        <f>IF(OR(R701=0,AA701=0,NOT(ISNUMBER(I701))),"",I701-N(L701))</f>
        <v/>
      </c>
      <c r="O701" s="100" t="str">
        <f>IF(OR(R701=0,AK701&lt;=0),"",N(M701)/AK701)</f>
        <v/>
      </c>
      <c r="P701" s="94" t="str">
        <f>IF(R701=0,"",IF(S701="","Sem MTR associado",IF(U701=0,"MTR inexistente",IF(C701="","Resíduo não identificado",IF(V701=0,"Resíduo fora do cadastro",IF(W701=0,"Quantidade inválida",IF(H701="","Unidade não informada",IF(NOT(ISNUMBER(I701)),"Unidade a conferir",IF(AND(AH701=1,K701&lt;&gt;"Sim"),"Possível duplicidade",IF(Z701=1,"MTR cancelado",IF(AC701&gt;0,"Recebimento com alerta",IF(AA701=0,"Aguardando recebimento",IF(AB701&lt;AA701,"Recebimento a conferir",IF(AM701=1,"Quantidade a revisar",IF(AF701&gt;0,"Vínculo a revisar",IF(AD701=0,"Aguardando CDF",IF(AN701=0,"Vínculo de CDF parcial",IF(AE701&lt;AD701,"CDF a conferir","Documentação conferida"))))))))))))))))))</f>
        <v/>
      </c>
      <c r="Q701" s="93" t="str">
        <f>IF(OR(R701=0,AA701=0),"",MAX(0,N(L701)-N(M701)))</f>
        <v/>
      </c>
      <c r="R701" s="96">
        <f>IF(COUNTA(B701:C701,G701:H701,J701:K701)&gt;0,1,0)</f>
        <v>0</v>
      </c>
      <c r="S701" s="96" t="str">
        <f>IF(B701="","",TRIM(LEFT(B701,FIND(" |",B701&amp;" |")-1)))</f>
        <v/>
      </c>
      <c r="T701" s="96" t="str">
        <f>IF(S701="","",IFERROR(MATCH(S701,'MTRs'!$A$6:$A$505,0),""))</f>
        <v/>
      </c>
      <c r="U701" s="96">
        <f>IF(T701="",0,IF(INDEX('MTRs'!$Z$6:$Z$505,T701)=1,1,0))</f>
        <v>0</v>
      </c>
      <c r="V701" s="96">
        <f>IF(C701="",0,IF(ISNUMBER(MATCH(C701,'CAD_RESÍDUOS'!$B$6:$B$205,0)),1,0))</f>
        <v>0</v>
      </c>
      <c r="W701" s="96">
        <f>IF(AND(ISNUMBER(G701),G701&gt;0),1,0)</f>
        <v>0</v>
      </c>
      <c r="X701" s="96" t="str">
        <f>IF(H701="","",IFERROR(IF(ISNUMBER(INDEX(cfg_fac,MATCH(H701,cfg_units,0))),IF(INDEX(cfg_fac,MATCH(H701,cfg_units,0))&gt;0,INDEX(cfg_fac,MATCH(H701,cfg_units,0)),""),""),""))</f>
        <v/>
      </c>
      <c r="Y701" s="96">
        <f>IF(AND(W701=1,ISNUMBER(I701)),1,0)</f>
        <v>0</v>
      </c>
      <c r="Z701" s="96">
        <f>IF(U701=1,INDEX('MTRs'!$AA$6:$AA$505,T701),0)</f>
        <v>0</v>
      </c>
      <c r="AA701" s="96">
        <f>IF(R701=0,0,COUNTIFS('RECEBIMENTOS'!$R$6:$R$1005,A701,'RECEBIMENTOS'!$Q$6:$Q$1005,1))</f>
        <v>0</v>
      </c>
      <c r="AB701" s="96">
        <f>IF(R701=0,0,COUNTIFS('RECEBIMENTOS'!$R$6:$R$1005,A701,'RECEBIMENTOS'!$Z$6:$Z$1005,1))</f>
        <v>0</v>
      </c>
      <c r="AC701" s="96">
        <f>IF(R701=0,0,COUNTIFS('RECEBIMENTOS'!$R$6:$R$1005,A701,'RECEBIMENTOS'!$Y$6:$Y$1005,1))</f>
        <v>0</v>
      </c>
      <c r="AD701" s="96">
        <f>IF(R701=0,0,COUNTIFS('VÍNCULOS_CDF'!$R$6:$R$1005,A701,'VÍNCULOS_CDF'!$N$6:$N$1005,1))</f>
        <v>0</v>
      </c>
      <c r="AE701" s="96">
        <f>IF(R701=0,0,COUNTIFS('VÍNCULOS_CDF'!$R$6:$R$1005,A701,'VÍNCULOS_CDF'!$AA$6:$AA$1005,1))</f>
        <v>0</v>
      </c>
      <c r="AF701" s="96">
        <f>IF(R701=0,0,COUNTIFS('VÍNCULOS_CDF'!$R$6:$R$1005,A701,'VÍNCULOS_CDF'!$Y$6:$Y$1005,1))</f>
        <v>0</v>
      </c>
      <c r="AG701" s="96" t="str">
        <f>IF(AND(R701=1,S701&lt;&gt;"",C701&lt;&gt;""),S701&amp;"|"&amp;C701&amp;"|"&amp;G701&amp;"|"&amp;H701,"")</f>
        <v/>
      </c>
      <c r="AH701" s="96">
        <f>IF(AG701="",0,IF(SUMPRODUCT(--($AG$6:$AG$1005=AG701))&gt;1,1,0))</f>
        <v>0</v>
      </c>
      <c r="AI701" s="96">
        <f>IF(R701=0,0,IF(OR(U701=0,V701=0,Y701=0,AND(AH701=1,K701&lt;&gt;"Sim")),1,0))</f>
        <v>0</v>
      </c>
      <c r="AJ701" s="96">
        <f>IF(AND(R701=1,AA701&gt;0,AB701=AA701),1,0)</f>
        <v>0</v>
      </c>
      <c r="AK701" s="96">
        <f>IF(R701=0,0,IF(AA701&gt;0,N(L701),IF(ISNUMBER(I701),I701,0)))</f>
        <v>0</v>
      </c>
      <c r="AL701" s="96">
        <f>IF(R701=0,0,IF(AND(K701&lt;&gt;"Sim",N(M701)&gt;AK701+cfg_tol),1,0))</f>
        <v>0</v>
      </c>
      <c r="AM701" s="96">
        <f>IF(R701=0,0,IF(K701="Sim",0,IF(OR(AND(AA701&gt;0,ISNUMBER(I701),ABS(I701-N(L701))&gt;cfg_tol),AL701=1),1,0)))</f>
        <v>0</v>
      </c>
      <c r="AN701" s="96">
        <f>IF(AND(R701=1,N(M701)&gt;0,OR(N(M701)&gt;=AK701-cfg_tol,K701="Sim")),1,0)</f>
        <v>0</v>
      </c>
      <c r="AO701" s="96">
        <f>IF(AND(AN701=1,AD701&gt;0,AE701=AD701,AL701=0),1,0)</f>
        <v>0</v>
      </c>
      <c r="AP701" s="96">
        <f>IF(U701=0,0,IF(AND(INDEX('MTRs'!$AX$6:$AX$505,T701)=1,Z701=0,OR(f_res="",f_res="(Todos)",C701=f_res)),1,0))</f>
        <v>0</v>
      </c>
      <c r="AQ701" s="97" t="str">
        <f>IF(U701=0,"",INDEX('MTRs'!$AZ$6:$AZ$505,T701))</f>
        <v/>
      </c>
      <c r="AR701" s="96">
        <f>IF(U701=0,0,IF(AND(INDEX('MTRs'!$BA$6:$BA$505,T701)=1,Z701=0),1,0))</f>
        <v>0</v>
      </c>
      <c r="AS701" s="96" t="str">
        <f>IF(R701=1,A701&amp;" | MTR "&amp;IF(U701=1,INDEX('MTRs'!$B$6:$B$505,T701)&amp;"","?")&amp;" | "&amp;IF(C701="","(sem resíduo)",C701),"")</f>
        <v/>
      </c>
      <c r="AT701" s="96" t="str">
        <f>IF(R701=1,COUNTIF($R$6:R701,1),"")</f>
        <v/>
      </c>
      <c r="AU701" s="96" t="str">
        <f>IF(U701=1,INDEX('MTRs'!$I$6:$I$505,T701)&amp;"","")</f>
        <v/>
      </c>
    </row>
    <row r="702">
      <c r="A702" s="89" t="inlineStr">
        <is>
          <t>IT-000697</t>
        </is>
      </c>
      <c r="B702" s="91" t="n"/>
      <c r="C702" s="91" t="n"/>
      <c r="D702" s="94" t="str">
        <f>IF(OR(R702=0,V702=0),"",INDEX('CAD_RESÍDUOS'!$E$6:$E$205,MATCH(C702,'CAD_RESÍDUOS'!$B$6:$B$205,0))&amp;"")</f>
        <v/>
      </c>
      <c r="E702" s="94" t="str">
        <f>IF(OR(R702=0,V702=0),"",INDEX('CAD_RESÍDUOS'!$C$6:$C$205,MATCH(C702,'CAD_RESÍDUOS'!$B$6:$B$205,0))&amp;"")</f>
        <v/>
      </c>
      <c r="F702" s="94" t="str">
        <f>IF(OR(R702=0,V702=0),"",INDEX('CAD_RESÍDUOS'!$G$6:$G$205,MATCH(C702,'CAD_RESÍDUOS'!$B$6:$B$205,0))&amp;"")</f>
        <v/>
      </c>
      <c r="G702" s="98" t="n"/>
      <c r="H702" s="91" t="n"/>
      <c r="I702" s="93" t="str">
        <f>IF(R702=0,"",IF(NOT(ISNUMBER(G702)),"",IF(ISNUMBER(X702),G702*X702,"UNIDADE A CONFERIR")))</f>
        <v/>
      </c>
      <c r="J702" s="91" t="n"/>
      <c r="K702" s="91" t="n"/>
      <c r="L702" s="93" t="str">
        <f>IF(R702=0,"",SUMIFS('RECEBIMENTOS'!$H$6:$H$1005,'RECEBIMENTOS'!$R$6:$R$1005,A702,'RECEBIMENTOS'!$X$6:$X$1005,1))</f>
        <v/>
      </c>
      <c r="M702" s="93" t="str">
        <f>IF(R702=0,"",SUMIFS('VÍNCULOS_CDF'!$H$6:$H$1005,'VÍNCULOS_CDF'!$R$6:$R$1005,A702,'VÍNCULOS_CDF'!$V$6:$V$1005,1))</f>
        <v/>
      </c>
      <c r="N702" s="99" t="str">
        <f>IF(OR(R702=0,AA702=0,NOT(ISNUMBER(I702))),"",I702-N(L702))</f>
        <v/>
      </c>
      <c r="O702" s="100" t="str">
        <f>IF(OR(R702=0,AK702&lt;=0),"",N(M702)/AK702)</f>
        <v/>
      </c>
      <c r="P702" s="94" t="str">
        <f>IF(R702=0,"",IF(S702="","Sem MTR associado",IF(U702=0,"MTR inexistente",IF(C702="","Resíduo não identificado",IF(V702=0,"Resíduo fora do cadastro",IF(W702=0,"Quantidade inválida",IF(H702="","Unidade não informada",IF(NOT(ISNUMBER(I702)),"Unidade a conferir",IF(AND(AH702=1,K702&lt;&gt;"Sim"),"Possível duplicidade",IF(Z702=1,"MTR cancelado",IF(AC702&gt;0,"Recebimento com alerta",IF(AA702=0,"Aguardando recebimento",IF(AB702&lt;AA702,"Recebimento a conferir",IF(AM702=1,"Quantidade a revisar",IF(AF702&gt;0,"Vínculo a revisar",IF(AD702=0,"Aguardando CDF",IF(AN702=0,"Vínculo de CDF parcial",IF(AE702&lt;AD702,"CDF a conferir","Documentação conferida"))))))))))))))))))</f>
        <v/>
      </c>
      <c r="Q702" s="93" t="str">
        <f>IF(OR(R702=0,AA702=0),"",MAX(0,N(L702)-N(M702)))</f>
        <v/>
      </c>
      <c r="R702" s="96">
        <f>IF(COUNTA(B702:C702,G702:H702,J702:K702)&gt;0,1,0)</f>
        <v>0</v>
      </c>
      <c r="S702" s="96" t="str">
        <f>IF(B702="","",TRIM(LEFT(B702,FIND(" |",B702&amp;" |")-1)))</f>
        <v/>
      </c>
      <c r="T702" s="96" t="str">
        <f>IF(S702="","",IFERROR(MATCH(S702,'MTRs'!$A$6:$A$505,0),""))</f>
        <v/>
      </c>
      <c r="U702" s="96">
        <f>IF(T702="",0,IF(INDEX('MTRs'!$Z$6:$Z$505,T702)=1,1,0))</f>
        <v>0</v>
      </c>
      <c r="V702" s="96">
        <f>IF(C702="",0,IF(ISNUMBER(MATCH(C702,'CAD_RESÍDUOS'!$B$6:$B$205,0)),1,0))</f>
        <v>0</v>
      </c>
      <c r="W702" s="96">
        <f>IF(AND(ISNUMBER(G702),G702&gt;0),1,0)</f>
        <v>0</v>
      </c>
      <c r="X702" s="96" t="str">
        <f>IF(H702="","",IFERROR(IF(ISNUMBER(INDEX(cfg_fac,MATCH(H702,cfg_units,0))),IF(INDEX(cfg_fac,MATCH(H702,cfg_units,0))&gt;0,INDEX(cfg_fac,MATCH(H702,cfg_units,0)),""),""),""))</f>
        <v/>
      </c>
      <c r="Y702" s="96">
        <f>IF(AND(W702=1,ISNUMBER(I702)),1,0)</f>
        <v>0</v>
      </c>
      <c r="Z702" s="96">
        <f>IF(U702=1,INDEX('MTRs'!$AA$6:$AA$505,T702),0)</f>
        <v>0</v>
      </c>
      <c r="AA702" s="96">
        <f>IF(R702=0,0,COUNTIFS('RECEBIMENTOS'!$R$6:$R$1005,A702,'RECEBIMENTOS'!$Q$6:$Q$1005,1))</f>
        <v>0</v>
      </c>
      <c r="AB702" s="96">
        <f>IF(R702=0,0,COUNTIFS('RECEBIMENTOS'!$R$6:$R$1005,A702,'RECEBIMENTOS'!$Z$6:$Z$1005,1))</f>
        <v>0</v>
      </c>
      <c r="AC702" s="96">
        <f>IF(R702=0,0,COUNTIFS('RECEBIMENTOS'!$R$6:$R$1005,A702,'RECEBIMENTOS'!$Y$6:$Y$1005,1))</f>
        <v>0</v>
      </c>
      <c r="AD702" s="96">
        <f>IF(R702=0,0,COUNTIFS('VÍNCULOS_CDF'!$R$6:$R$1005,A702,'VÍNCULOS_CDF'!$N$6:$N$1005,1))</f>
        <v>0</v>
      </c>
      <c r="AE702" s="96">
        <f>IF(R702=0,0,COUNTIFS('VÍNCULOS_CDF'!$R$6:$R$1005,A702,'VÍNCULOS_CDF'!$AA$6:$AA$1005,1))</f>
        <v>0</v>
      </c>
      <c r="AF702" s="96">
        <f>IF(R702=0,0,COUNTIFS('VÍNCULOS_CDF'!$R$6:$R$1005,A702,'VÍNCULOS_CDF'!$Y$6:$Y$1005,1))</f>
        <v>0</v>
      </c>
      <c r="AG702" s="96" t="str">
        <f>IF(AND(R702=1,S702&lt;&gt;"",C702&lt;&gt;""),S702&amp;"|"&amp;C702&amp;"|"&amp;G702&amp;"|"&amp;H702,"")</f>
        <v/>
      </c>
      <c r="AH702" s="96">
        <f>IF(AG702="",0,IF(SUMPRODUCT(--($AG$6:$AG$1005=AG702))&gt;1,1,0))</f>
        <v>0</v>
      </c>
      <c r="AI702" s="96">
        <f>IF(R702=0,0,IF(OR(U702=0,V702=0,Y702=0,AND(AH702=1,K702&lt;&gt;"Sim")),1,0))</f>
        <v>0</v>
      </c>
      <c r="AJ702" s="96">
        <f>IF(AND(R702=1,AA702&gt;0,AB702=AA702),1,0)</f>
        <v>0</v>
      </c>
      <c r="AK702" s="96">
        <f>IF(R702=0,0,IF(AA702&gt;0,N(L702),IF(ISNUMBER(I702),I702,0)))</f>
        <v>0</v>
      </c>
      <c r="AL702" s="96">
        <f>IF(R702=0,0,IF(AND(K702&lt;&gt;"Sim",N(M702)&gt;AK702+cfg_tol),1,0))</f>
        <v>0</v>
      </c>
      <c r="AM702" s="96">
        <f>IF(R702=0,0,IF(K702="Sim",0,IF(OR(AND(AA702&gt;0,ISNUMBER(I702),ABS(I702-N(L702))&gt;cfg_tol),AL702=1),1,0)))</f>
        <v>0</v>
      </c>
      <c r="AN702" s="96">
        <f>IF(AND(R702=1,N(M702)&gt;0,OR(N(M702)&gt;=AK702-cfg_tol,K702="Sim")),1,0)</f>
        <v>0</v>
      </c>
      <c r="AO702" s="96">
        <f>IF(AND(AN702=1,AD702&gt;0,AE702=AD702,AL702=0),1,0)</f>
        <v>0</v>
      </c>
      <c r="AP702" s="96">
        <f>IF(U702=0,0,IF(AND(INDEX('MTRs'!$AX$6:$AX$505,T702)=1,Z702=0,OR(f_res="",f_res="(Todos)",C702=f_res)),1,0))</f>
        <v>0</v>
      </c>
      <c r="AQ702" s="97" t="str">
        <f>IF(U702=0,"",INDEX('MTRs'!$AZ$6:$AZ$505,T702))</f>
        <v/>
      </c>
      <c r="AR702" s="96">
        <f>IF(U702=0,0,IF(AND(INDEX('MTRs'!$BA$6:$BA$505,T702)=1,Z702=0),1,0))</f>
        <v>0</v>
      </c>
      <c r="AS702" s="96" t="str">
        <f>IF(R702=1,A702&amp;" | MTR "&amp;IF(U702=1,INDEX('MTRs'!$B$6:$B$505,T702)&amp;"","?")&amp;" | "&amp;IF(C702="","(sem resíduo)",C702),"")</f>
        <v/>
      </c>
      <c r="AT702" s="96" t="str">
        <f>IF(R702=1,COUNTIF($R$6:R702,1),"")</f>
        <v/>
      </c>
      <c r="AU702" s="96" t="str">
        <f>IF(U702=1,INDEX('MTRs'!$I$6:$I$505,T702)&amp;"","")</f>
        <v/>
      </c>
    </row>
    <row r="703">
      <c r="A703" s="89" t="inlineStr">
        <is>
          <t>IT-000698</t>
        </is>
      </c>
      <c r="B703" s="91" t="n"/>
      <c r="C703" s="91" t="n"/>
      <c r="D703" s="94" t="str">
        <f>IF(OR(R703=0,V703=0),"",INDEX('CAD_RESÍDUOS'!$E$6:$E$205,MATCH(C703,'CAD_RESÍDUOS'!$B$6:$B$205,0))&amp;"")</f>
        <v/>
      </c>
      <c r="E703" s="94" t="str">
        <f>IF(OR(R703=0,V703=0),"",INDEX('CAD_RESÍDUOS'!$C$6:$C$205,MATCH(C703,'CAD_RESÍDUOS'!$B$6:$B$205,0))&amp;"")</f>
        <v/>
      </c>
      <c r="F703" s="94" t="str">
        <f>IF(OR(R703=0,V703=0),"",INDEX('CAD_RESÍDUOS'!$G$6:$G$205,MATCH(C703,'CAD_RESÍDUOS'!$B$6:$B$205,0))&amp;"")</f>
        <v/>
      </c>
      <c r="G703" s="98" t="n"/>
      <c r="H703" s="91" t="n"/>
      <c r="I703" s="93" t="str">
        <f>IF(R703=0,"",IF(NOT(ISNUMBER(G703)),"",IF(ISNUMBER(X703),G703*X703,"UNIDADE A CONFERIR")))</f>
        <v/>
      </c>
      <c r="J703" s="91" t="n"/>
      <c r="K703" s="91" t="n"/>
      <c r="L703" s="93" t="str">
        <f>IF(R703=0,"",SUMIFS('RECEBIMENTOS'!$H$6:$H$1005,'RECEBIMENTOS'!$R$6:$R$1005,A703,'RECEBIMENTOS'!$X$6:$X$1005,1))</f>
        <v/>
      </c>
      <c r="M703" s="93" t="str">
        <f>IF(R703=0,"",SUMIFS('VÍNCULOS_CDF'!$H$6:$H$1005,'VÍNCULOS_CDF'!$R$6:$R$1005,A703,'VÍNCULOS_CDF'!$V$6:$V$1005,1))</f>
        <v/>
      </c>
      <c r="N703" s="99" t="str">
        <f>IF(OR(R703=0,AA703=0,NOT(ISNUMBER(I703))),"",I703-N(L703))</f>
        <v/>
      </c>
      <c r="O703" s="100" t="str">
        <f>IF(OR(R703=0,AK703&lt;=0),"",N(M703)/AK703)</f>
        <v/>
      </c>
      <c r="P703" s="94" t="str">
        <f>IF(R703=0,"",IF(S703="","Sem MTR associado",IF(U703=0,"MTR inexistente",IF(C703="","Resíduo não identificado",IF(V703=0,"Resíduo fora do cadastro",IF(W703=0,"Quantidade inválida",IF(H703="","Unidade não informada",IF(NOT(ISNUMBER(I703)),"Unidade a conferir",IF(AND(AH703=1,K703&lt;&gt;"Sim"),"Possível duplicidade",IF(Z703=1,"MTR cancelado",IF(AC703&gt;0,"Recebimento com alerta",IF(AA703=0,"Aguardando recebimento",IF(AB703&lt;AA703,"Recebimento a conferir",IF(AM703=1,"Quantidade a revisar",IF(AF703&gt;0,"Vínculo a revisar",IF(AD703=0,"Aguardando CDF",IF(AN703=0,"Vínculo de CDF parcial",IF(AE703&lt;AD703,"CDF a conferir","Documentação conferida"))))))))))))))))))</f>
        <v/>
      </c>
      <c r="Q703" s="93" t="str">
        <f>IF(OR(R703=0,AA703=0),"",MAX(0,N(L703)-N(M703)))</f>
        <v/>
      </c>
      <c r="R703" s="96">
        <f>IF(COUNTA(B703:C703,G703:H703,J703:K703)&gt;0,1,0)</f>
        <v>0</v>
      </c>
      <c r="S703" s="96" t="str">
        <f>IF(B703="","",TRIM(LEFT(B703,FIND(" |",B703&amp;" |")-1)))</f>
        <v/>
      </c>
      <c r="T703" s="96" t="str">
        <f>IF(S703="","",IFERROR(MATCH(S703,'MTRs'!$A$6:$A$505,0),""))</f>
        <v/>
      </c>
      <c r="U703" s="96">
        <f>IF(T703="",0,IF(INDEX('MTRs'!$Z$6:$Z$505,T703)=1,1,0))</f>
        <v>0</v>
      </c>
      <c r="V703" s="96">
        <f>IF(C703="",0,IF(ISNUMBER(MATCH(C703,'CAD_RESÍDUOS'!$B$6:$B$205,0)),1,0))</f>
        <v>0</v>
      </c>
      <c r="W703" s="96">
        <f>IF(AND(ISNUMBER(G703),G703&gt;0),1,0)</f>
        <v>0</v>
      </c>
      <c r="X703" s="96" t="str">
        <f>IF(H703="","",IFERROR(IF(ISNUMBER(INDEX(cfg_fac,MATCH(H703,cfg_units,0))),IF(INDEX(cfg_fac,MATCH(H703,cfg_units,0))&gt;0,INDEX(cfg_fac,MATCH(H703,cfg_units,0)),""),""),""))</f>
        <v/>
      </c>
      <c r="Y703" s="96">
        <f>IF(AND(W703=1,ISNUMBER(I703)),1,0)</f>
        <v>0</v>
      </c>
      <c r="Z703" s="96">
        <f>IF(U703=1,INDEX('MTRs'!$AA$6:$AA$505,T703),0)</f>
        <v>0</v>
      </c>
      <c r="AA703" s="96">
        <f>IF(R703=0,0,COUNTIFS('RECEBIMENTOS'!$R$6:$R$1005,A703,'RECEBIMENTOS'!$Q$6:$Q$1005,1))</f>
        <v>0</v>
      </c>
      <c r="AB703" s="96">
        <f>IF(R703=0,0,COUNTIFS('RECEBIMENTOS'!$R$6:$R$1005,A703,'RECEBIMENTOS'!$Z$6:$Z$1005,1))</f>
        <v>0</v>
      </c>
      <c r="AC703" s="96">
        <f>IF(R703=0,0,COUNTIFS('RECEBIMENTOS'!$R$6:$R$1005,A703,'RECEBIMENTOS'!$Y$6:$Y$1005,1))</f>
        <v>0</v>
      </c>
      <c r="AD703" s="96">
        <f>IF(R703=0,0,COUNTIFS('VÍNCULOS_CDF'!$R$6:$R$1005,A703,'VÍNCULOS_CDF'!$N$6:$N$1005,1))</f>
        <v>0</v>
      </c>
      <c r="AE703" s="96">
        <f>IF(R703=0,0,COUNTIFS('VÍNCULOS_CDF'!$R$6:$R$1005,A703,'VÍNCULOS_CDF'!$AA$6:$AA$1005,1))</f>
        <v>0</v>
      </c>
      <c r="AF703" s="96">
        <f>IF(R703=0,0,COUNTIFS('VÍNCULOS_CDF'!$R$6:$R$1005,A703,'VÍNCULOS_CDF'!$Y$6:$Y$1005,1))</f>
        <v>0</v>
      </c>
      <c r="AG703" s="96" t="str">
        <f>IF(AND(R703=1,S703&lt;&gt;"",C703&lt;&gt;""),S703&amp;"|"&amp;C703&amp;"|"&amp;G703&amp;"|"&amp;H703,"")</f>
        <v/>
      </c>
      <c r="AH703" s="96">
        <f>IF(AG703="",0,IF(SUMPRODUCT(--($AG$6:$AG$1005=AG703))&gt;1,1,0))</f>
        <v>0</v>
      </c>
      <c r="AI703" s="96">
        <f>IF(R703=0,0,IF(OR(U703=0,V703=0,Y703=0,AND(AH703=1,K703&lt;&gt;"Sim")),1,0))</f>
        <v>0</v>
      </c>
      <c r="AJ703" s="96">
        <f>IF(AND(R703=1,AA703&gt;0,AB703=AA703),1,0)</f>
        <v>0</v>
      </c>
      <c r="AK703" s="96">
        <f>IF(R703=0,0,IF(AA703&gt;0,N(L703),IF(ISNUMBER(I703),I703,0)))</f>
        <v>0</v>
      </c>
      <c r="AL703" s="96">
        <f>IF(R703=0,0,IF(AND(K703&lt;&gt;"Sim",N(M703)&gt;AK703+cfg_tol),1,0))</f>
        <v>0</v>
      </c>
      <c r="AM703" s="96">
        <f>IF(R703=0,0,IF(K703="Sim",0,IF(OR(AND(AA703&gt;0,ISNUMBER(I703),ABS(I703-N(L703))&gt;cfg_tol),AL703=1),1,0)))</f>
        <v>0</v>
      </c>
      <c r="AN703" s="96">
        <f>IF(AND(R703=1,N(M703)&gt;0,OR(N(M703)&gt;=AK703-cfg_tol,K703="Sim")),1,0)</f>
        <v>0</v>
      </c>
      <c r="AO703" s="96">
        <f>IF(AND(AN703=1,AD703&gt;0,AE703=AD703,AL703=0),1,0)</f>
        <v>0</v>
      </c>
      <c r="AP703" s="96">
        <f>IF(U703=0,0,IF(AND(INDEX('MTRs'!$AX$6:$AX$505,T703)=1,Z703=0,OR(f_res="",f_res="(Todos)",C703=f_res)),1,0))</f>
        <v>0</v>
      </c>
      <c r="AQ703" s="97" t="str">
        <f>IF(U703=0,"",INDEX('MTRs'!$AZ$6:$AZ$505,T703))</f>
        <v/>
      </c>
      <c r="AR703" s="96">
        <f>IF(U703=0,0,IF(AND(INDEX('MTRs'!$BA$6:$BA$505,T703)=1,Z703=0),1,0))</f>
        <v>0</v>
      </c>
      <c r="AS703" s="96" t="str">
        <f>IF(R703=1,A703&amp;" | MTR "&amp;IF(U703=1,INDEX('MTRs'!$B$6:$B$505,T703)&amp;"","?")&amp;" | "&amp;IF(C703="","(sem resíduo)",C703),"")</f>
        <v/>
      </c>
      <c r="AT703" s="96" t="str">
        <f>IF(R703=1,COUNTIF($R$6:R703,1),"")</f>
        <v/>
      </c>
      <c r="AU703" s="96" t="str">
        <f>IF(U703=1,INDEX('MTRs'!$I$6:$I$505,T703)&amp;"","")</f>
        <v/>
      </c>
    </row>
    <row r="704">
      <c r="A704" s="89" t="inlineStr">
        <is>
          <t>IT-000699</t>
        </is>
      </c>
      <c r="B704" s="91" t="n"/>
      <c r="C704" s="91" t="n"/>
      <c r="D704" s="94" t="str">
        <f>IF(OR(R704=0,V704=0),"",INDEX('CAD_RESÍDUOS'!$E$6:$E$205,MATCH(C704,'CAD_RESÍDUOS'!$B$6:$B$205,0))&amp;"")</f>
        <v/>
      </c>
      <c r="E704" s="94" t="str">
        <f>IF(OR(R704=0,V704=0),"",INDEX('CAD_RESÍDUOS'!$C$6:$C$205,MATCH(C704,'CAD_RESÍDUOS'!$B$6:$B$205,0))&amp;"")</f>
        <v/>
      </c>
      <c r="F704" s="94" t="str">
        <f>IF(OR(R704=0,V704=0),"",INDEX('CAD_RESÍDUOS'!$G$6:$G$205,MATCH(C704,'CAD_RESÍDUOS'!$B$6:$B$205,0))&amp;"")</f>
        <v/>
      </c>
      <c r="G704" s="98" t="n"/>
      <c r="H704" s="91" t="n"/>
      <c r="I704" s="93" t="str">
        <f>IF(R704=0,"",IF(NOT(ISNUMBER(G704)),"",IF(ISNUMBER(X704),G704*X704,"UNIDADE A CONFERIR")))</f>
        <v/>
      </c>
      <c r="J704" s="91" t="n"/>
      <c r="K704" s="91" t="n"/>
      <c r="L704" s="93" t="str">
        <f>IF(R704=0,"",SUMIFS('RECEBIMENTOS'!$H$6:$H$1005,'RECEBIMENTOS'!$R$6:$R$1005,A704,'RECEBIMENTOS'!$X$6:$X$1005,1))</f>
        <v/>
      </c>
      <c r="M704" s="93" t="str">
        <f>IF(R704=0,"",SUMIFS('VÍNCULOS_CDF'!$H$6:$H$1005,'VÍNCULOS_CDF'!$R$6:$R$1005,A704,'VÍNCULOS_CDF'!$V$6:$V$1005,1))</f>
        <v/>
      </c>
      <c r="N704" s="99" t="str">
        <f>IF(OR(R704=0,AA704=0,NOT(ISNUMBER(I704))),"",I704-N(L704))</f>
        <v/>
      </c>
      <c r="O704" s="100" t="str">
        <f>IF(OR(R704=0,AK704&lt;=0),"",N(M704)/AK704)</f>
        <v/>
      </c>
      <c r="P704" s="94" t="str">
        <f>IF(R704=0,"",IF(S704="","Sem MTR associado",IF(U704=0,"MTR inexistente",IF(C704="","Resíduo não identificado",IF(V704=0,"Resíduo fora do cadastro",IF(W704=0,"Quantidade inválida",IF(H704="","Unidade não informada",IF(NOT(ISNUMBER(I704)),"Unidade a conferir",IF(AND(AH704=1,K704&lt;&gt;"Sim"),"Possível duplicidade",IF(Z704=1,"MTR cancelado",IF(AC704&gt;0,"Recebimento com alerta",IF(AA704=0,"Aguardando recebimento",IF(AB704&lt;AA704,"Recebimento a conferir",IF(AM704=1,"Quantidade a revisar",IF(AF704&gt;0,"Vínculo a revisar",IF(AD704=0,"Aguardando CDF",IF(AN704=0,"Vínculo de CDF parcial",IF(AE704&lt;AD704,"CDF a conferir","Documentação conferida"))))))))))))))))))</f>
        <v/>
      </c>
      <c r="Q704" s="93" t="str">
        <f>IF(OR(R704=0,AA704=0),"",MAX(0,N(L704)-N(M704)))</f>
        <v/>
      </c>
      <c r="R704" s="96">
        <f>IF(COUNTA(B704:C704,G704:H704,J704:K704)&gt;0,1,0)</f>
        <v>0</v>
      </c>
      <c r="S704" s="96" t="str">
        <f>IF(B704="","",TRIM(LEFT(B704,FIND(" |",B704&amp;" |")-1)))</f>
        <v/>
      </c>
      <c r="T704" s="96" t="str">
        <f>IF(S704="","",IFERROR(MATCH(S704,'MTRs'!$A$6:$A$505,0),""))</f>
        <v/>
      </c>
      <c r="U704" s="96">
        <f>IF(T704="",0,IF(INDEX('MTRs'!$Z$6:$Z$505,T704)=1,1,0))</f>
        <v>0</v>
      </c>
      <c r="V704" s="96">
        <f>IF(C704="",0,IF(ISNUMBER(MATCH(C704,'CAD_RESÍDUOS'!$B$6:$B$205,0)),1,0))</f>
        <v>0</v>
      </c>
      <c r="W704" s="96">
        <f>IF(AND(ISNUMBER(G704),G704&gt;0),1,0)</f>
        <v>0</v>
      </c>
      <c r="X704" s="96" t="str">
        <f>IF(H704="","",IFERROR(IF(ISNUMBER(INDEX(cfg_fac,MATCH(H704,cfg_units,0))),IF(INDEX(cfg_fac,MATCH(H704,cfg_units,0))&gt;0,INDEX(cfg_fac,MATCH(H704,cfg_units,0)),""),""),""))</f>
        <v/>
      </c>
      <c r="Y704" s="96">
        <f>IF(AND(W704=1,ISNUMBER(I704)),1,0)</f>
        <v>0</v>
      </c>
      <c r="Z704" s="96">
        <f>IF(U704=1,INDEX('MTRs'!$AA$6:$AA$505,T704),0)</f>
        <v>0</v>
      </c>
      <c r="AA704" s="96">
        <f>IF(R704=0,0,COUNTIFS('RECEBIMENTOS'!$R$6:$R$1005,A704,'RECEBIMENTOS'!$Q$6:$Q$1005,1))</f>
        <v>0</v>
      </c>
      <c r="AB704" s="96">
        <f>IF(R704=0,0,COUNTIFS('RECEBIMENTOS'!$R$6:$R$1005,A704,'RECEBIMENTOS'!$Z$6:$Z$1005,1))</f>
        <v>0</v>
      </c>
      <c r="AC704" s="96">
        <f>IF(R704=0,0,COUNTIFS('RECEBIMENTOS'!$R$6:$R$1005,A704,'RECEBIMENTOS'!$Y$6:$Y$1005,1))</f>
        <v>0</v>
      </c>
      <c r="AD704" s="96">
        <f>IF(R704=0,0,COUNTIFS('VÍNCULOS_CDF'!$R$6:$R$1005,A704,'VÍNCULOS_CDF'!$N$6:$N$1005,1))</f>
        <v>0</v>
      </c>
      <c r="AE704" s="96">
        <f>IF(R704=0,0,COUNTIFS('VÍNCULOS_CDF'!$R$6:$R$1005,A704,'VÍNCULOS_CDF'!$AA$6:$AA$1005,1))</f>
        <v>0</v>
      </c>
      <c r="AF704" s="96">
        <f>IF(R704=0,0,COUNTIFS('VÍNCULOS_CDF'!$R$6:$R$1005,A704,'VÍNCULOS_CDF'!$Y$6:$Y$1005,1))</f>
        <v>0</v>
      </c>
      <c r="AG704" s="96" t="str">
        <f>IF(AND(R704=1,S704&lt;&gt;"",C704&lt;&gt;""),S704&amp;"|"&amp;C704&amp;"|"&amp;G704&amp;"|"&amp;H704,"")</f>
        <v/>
      </c>
      <c r="AH704" s="96">
        <f>IF(AG704="",0,IF(SUMPRODUCT(--($AG$6:$AG$1005=AG704))&gt;1,1,0))</f>
        <v>0</v>
      </c>
      <c r="AI704" s="96">
        <f>IF(R704=0,0,IF(OR(U704=0,V704=0,Y704=0,AND(AH704=1,K704&lt;&gt;"Sim")),1,0))</f>
        <v>0</v>
      </c>
      <c r="AJ704" s="96">
        <f>IF(AND(R704=1,AA704&gt;0,AB704=AA704),1,0)</f>
        <v>0</v>
      </c>
      <c r="AK704" s="96">
        <f>IF(R704=0,0,IF(AA704&gt;0,N(L704),IF(ISNUMBER(I704),I704,0)))</f>
        <v>0</v>
      </c>
      <c r="AL704" s="96">
        <f>IF(R704=0,0,IF(AND(K704&lt;&gt;"Sim",N(M704)&gt;AK704+cfg_tol),1,0))</f>
        <v>0</v>
      </c>
      <c r="AM704" s="96">
        <f>IF(R704=0,0,IF(K704="Sim",0,IF(OR(AND(AA704&gt;0,ISNUMBER(I704),ABS(I704-N(L704))&gt;cfg_tol),AL704=1),1,0)))</f>
        <v>0</v>
      </c>
      <c r="AN704" s="96">
        <f>IF(AND(R704=1,N(M704)&gt;0,OR(N(M704)&gt;=AK704-cfg_tol,K704="Sim")),1,0)</f>
        <v>0</v>
      </c>
      <c r="AO704" s="96">
        <f>IF(AND(AN704=1,AD704&gt;0,AE704=AD704,AL704=0),1,0)</f>
        <v>0</v>
      </c>
      <c r="AP704" s="96">
        <f>IF(U704=0,0,IF(AND(INDEX('MTRs'!$AX$6:$AX$505,T704)=1,Z704=0,OR(f_res="",f_res="(Todos)",C704=f_res)),1,0))</f>
        <v>0</v>
      </c>
      <c r="AQ704" s="97" t="str">
        <f>IF(U704=0,"",INDEX('MTRs'!$AZ$6:$AZ$505,T704))</f>
        <v/>
      </c>
      <c r="AR704" s="96">
        <f>IF(U704=0,0,IF(AND(INDEX('MTRs'!$BA$6:$BA$505,T704)=1,Z704=0),1,0))</f>
        <v>0</v>
      </c>
      <c r="AS704" s="96" t="str">
        <f>IF(R704=1,A704&amp;" | MTR "&amp;IF(U704=1,INDEX('MTRs'!$B$6:$B$505,T704)&amp;"","?")&amp;" | "&amp;IF(C704="","(sem resíduo)",C704),"")</f>
        <v/>
      </c>
      <c r="AT704" s="96" t="str">
        <f>IF(R704=1,COUNTIF($R$6:R704,1),"")</f>
        <v/>
      </c>
      <c r="AU704" s="96" t="str">
        <f>IF(U704=1,INDEX('MTRs'!$I$6:$I$505,T704)&amp;"","")</f>
        <v/>
      </c>
    </row>
    <row r="705">
      <c r="A705" s="89" t="inlineStr">
        <is>
          <t>IT-000700</t>
        </is>
      </c>
      <c r="B705" s="91" t="n"/>
      <c r="C705" s="91" t="n"/>
      <c r="D705" s="94" t="str">
        <f>IF(OR(R705=0,V705=0),"",INDEX('CAD_RESÍDUOS'!$E$6:$E$205,MATCH(C705,'CAD_RESÍDUOS'!$B$6:$B$205,0))&amp;"")</f>
        <v/>
      </c>
      <c r="E705" s="94" t="str">
        <f>IF(OR(R705=0,V705=0),"",INDEX('CAD_RESÍDUOS'!$C$6:$C$205,MATCH(C705,'CAD_RESÍDUOS'!$B$6:$B$205,0))&amp;"")</f>
        <v/>
      </c>
      <c r="F705" s="94" t="str">
        <f>IF(OR(R705=0,V705=0),"",INDEX('CAD_RESÍDUOS'!$G$6:$G$205,MATCH(C705,'CAD_RESÍDUOS'!$B$6:$B$205,0))&amp;"")</f>
        <v/>
      </c>
      <c r="G705" s="98" t="n"/>
      <c r="H705" s="91" t="n"/>
      <c r="I705" s="93" t="str">
        <f>IF(R705=0,"",IF(NOT(ISNUMBER(G705)),"",IF(ISNUMBER(X705),G705*X705,"UNIDADE A CONFERIR")))</f>
        <v/>
      </c>
      <c r="J705" s="91" t="n"/>
      <c r="K705" s="91" t="n"/>
      <c r="L705" s="93" t="str">
        <f>IF(R705=0,"",SUMIFS('RECEBIMENTOS'!$H$6:$H$1005,'RECEBIMENTOS'!$R$6:$R$1005,A705,'RECEBIMENTOS'!$X$6:$X$1005,1))</f>
        <v/>
      </c>
      <c r="M705" s="93" t="str">
        <f>IF(R705=0,"",SUMIFS('VÍNCULOS_CDF'!$H$6:$H$1005,'VÍNCULOS_CDF'!$R$6:$R$1005,A705,'VÍNCULOS_CDF'!$V$6:$V$1005,1))</f>
        <v/>
      </c>
      <c r="N705" s="99" t="str">
        <f>IF(OR(R705=0,AA705=0,NOT(ISNUMBER(I705))),"",I705-N(L705))</f>
        <v/>
      </c>
      <c r="O705" s="100" t="str">
        <f>IF(OR(R705=0,AK705&lt;=0),"",N(M705)/AK705)</f>
        <v/>
      </c>
      <c r="P705" s="94" t="str">
        <f>IF(R705=0,"",IF(S705="","Sem MTR associado",IF(U705=0,"MTR inexistente",IF(C705="","Resíduo não identificado",IF(V705=0,"Resíduo fora do cadastro",IF(W705=0,"Quantidade inválida",IF(H705="","Unidade não informada",IF(NOT(ISNUMBER(I705)),"Unidade a conferir",IF(AND(AH705=1,K705&lt;&gt;"Sim"),"Possível duplicidade",IF(Z705=1,"MTR cancelado",IF(AC705&gt;0,"Recebimento com alerta",IF(AA705=0,"Aguardando recebimento",IF(AB705&lt;AA705,"Recebimento a conferir",IF(AM705=1,"Quantidade a revisar",IF(AF705&gt;0,"Vínculo a revisar",IF(AD705=0,"Aguardando CDF",IF(AN705=0,"Vínculo de CDF parcial",IF(AE705&lt;AD705,"CDF a conferir","Documentação conferida"))))))))))))))))))</f>
        <v/>
      </c>
      <c r="Q705" s="93" t="str">
        <f>IF(OR(R705=0,AA705=0),"",MAX(0,N(L705)-N(M705)))</f>
        <v/>
      </c>
      <c r="R705" s="96">
        <f>IF(COUNTA(B705:C705,G705:H705,J705:K705)&gt;0,1,0)</f>
        <v>0</v>
      </c>
      <c r="S705" s="96" t="str">
        <f>IF(B705="","",TRIM(LEFT(B705,FIND(" |",B705&amp;" |")-1)))</f>
        <v/>
      </c>
      <c r="T705" s="96" t="str">
        <f>IF(S705="","",IFERROR(MATCH(S705,'MTRs'!$A$6:$A$505,0),""))</f>
        <v/>
      </c>
      <c r="U705" s="96">
        <f>IF(T705="",0,IF(INDEX('MTRs'!$Z$6:$Z$505,T705)=1,1,0))</f>
        <v>0</v>
      </c>
      <c r="V705" s="96">
        <f>IF(C705="",0,IF(ISNUMBER(MATCH(C705,'CAD_RESÍDUOS'!$B$6:$B$205,0)),1,0))</f>
        <v>0</v>
      </c>
      <c r="W705" s="96">
        <f>IF(AND(ISNUMBER(G705),G705&gt;0),1,0)</f>
        <v>0</v>
      </c>
      <c r="X705" s="96" t="str">
        <f>IF(H705="","",IFERROR(IF(ISNUMBER(INDEX(cfg_fac,MATCH(H705,cfg_units,0))),IF(INDEX(cfg_fac,MATCH(H705,cfg_units,0))&gt;0,INDEX(cfg_fac,MATCH(H705,cfg_units,0)),""),""),""))</f>
        <v/>
      </c>
      <c r="Y705" s="96">
        <f>IF(AND(W705=1,ISNUMBER(I705)),1,0)</f>
        <v>0</v>
      </c>
      <c r="Z705" s="96">
        <f>IF(U705=1,INDEX('MTRs'!$AA$6:$AA$505,T705),0)</f>
        <v>0</v>
      </c>
      <c r="AA705" s="96">
        <f>IF(R705=0,0,COUNTIFS('RECEBIMENTOS'!$R$6:$R$1005,A705,'RECEBIMENTOS'!$Q$6:$Q$1005,1))</f>
        <v>0</v>
      </c>
      <c r="AB705" s="96">
        <f>IF(R705=0,0,COUNTIFS('RECEBIMENTOS'!$R$6:$R$1005,A705,'RECEBIMENTOS'!$Z$6:$Z$1005,1))</f>
        <v>0</v>
      </c>
      <c r="AC705" s="96">
        <f>IF(R705=0,0,COUNTIFS('RECEBIMENTOS'!$R$6:$R$1005,A705,'RECEBIMENTOS'!$Y$6:$Y$1005,1))</f>
        <v>0</v>
      </c>
      <c r="AD705" s="96">
        <f>IF(R705=0,0,COUNTIFS('VÍNCULOS_CDF'!$R$6:$R$1005,A705,'VÍNCULOS_CDF'!$N$6:$N$1005,1))</f>
        <v>0</v>
      </c>
      <c r="AE705" s="96">
        <f>IF(R705=0,0,COUNTIFS('VÍNCULOS_CDF'!$R$6:$R$1005,A705,'VÍNCULOS_CDF'!$AA$6:$AA$1005,1))</f>
        <v>0</v>
      </c>
      <c r="AF705" s="96">
        <f>IF(R705=0,0,COUNTIFS('VÍNCULOS_CDF'!$R$6:$R$1005,A705,'VÍNCULOS_CDF'!$Y$6:$Y$1005,1))</f>
        <v>0</v>
      </c>
      <c r="AG705" s="96" t="str">
        <f>IF(AND(R705=1,S705&lt;&gt;"",C705&lt;&gt;""),S705&amp;"|"&amp;C705&amp;"|"&amp;G705&amp;"|"&amp;H705,"")</f>
        <v/>
      </c>
      <c r="AH705" s="96">
        <f>IF(AG705="",0,IF(SUMPRODUCT(--($AG$6:$AG$1005=AG705))&gt;1,1,0))</f>
        <v>0</v>
      </c>
      <c r="AI705" s="96">
        <f>IF(R705=0,0,IF(OR(U705=0,V705=0,Y705=0,AND(AH705=1,K705&lt;&gt;"Sim")),1,0))</f>
        <v>0</v>
      </c>
      <c r="AJ705" s="96">
        <f>IF(AND(R705=1,AA705&gt;0,AB705=AA705),1,0)</f>
        <v>0</v>
      </c>
      <c r="AK705" s="96">
        <f>IF(R705=0,0,IF(AA705&gt;0,N(L705),IF(ISNUMBER(I705),I705,0)))</f>
        <v>0</v>
      </c>
      <c r="AL705" s="96">
        <f>IF(R705=0,0,IF(AND(K705&lt;&gt;"Sim",N(M705)&gt;AK705+cfg_tol),1,0))</f>
        <v>0</v>
      </c>
      <c r="AM705" s="96">
        <f>IF(R705=0,0,IF(K705="Sim",0,IF(OR(AND(AA705&gt;0,ISNUMBER(I705),ABS(I705-N(L705))&gt;cfg_tol),AL705=1),1,0)))</f>
        <v>0</v>
      </c>
      <c r="AN705" s="96">
        <f>IF(AND(R705=1,N(M705)&gt;0,OR(N(M705)&gt;=AK705-cfg_tol,K705="Sim")),1,0)</f>
        <v>0</v>
      </c>
      <c r="AO705" s="96">
        <f>IF(AND(AN705=1,AD705&gt;0,AE705=AD705,AL705=0),1,0)</f>
        <v>0</v>
      </c>
      <c r="AP705" s="96">
        <f>IF(U705=0,0,IF(AND(INDEX('MTRs'!$AX$6:$AX$505,T705)=1,Z705=0,OR(f_res="",f_res="(Todos)",C705=f_res)),1,0))</f>
        <v>0</v>
      </c>
      <c r="AQ705" s="97" t="str">
        <f>IF(U705=0,"",INDEX('MTRs'!$AZ$6:$AZ$505,T705))</f>
        <v/>
      </c>
      <c r="AR705" s="96">
        <f>IF(U705=0,0,IF(AND(INDEX('MTRs'!$BA$6:$BA$505,T705)=1,Z705=0),1,0))</f>
        <v>0</v>
      </c>
      <c r="AS705" s="96" t="str">
        <f>IF(R705=1,A705&amp;" | MTR "&amp;IF(U705=1,INDEX('MTRs'!$B$6:$B$505,T705)&amp;"","?")&amp;" | "&amp;IF(C705="","(sem resíduo)",C705),"")</f>
        <v/>
      </c>
      <c r="AT705" s="96" t="str">
        <f>IF(R705=1,COUNTIF($R$6:R705,1),"")</f>
        <v/>
      </c>
      <c r="AU705" s="96" t="str">
        <f>IF(U705=1,INDEX('MTRs'!$I$6:$I$505,T705)&amp;"","")</f>
        <v/>
      </c>
    </row>
    <row r="706">
      <c r="A706" s="89" t="inlineStr">
        <is>
          <t>IT-000701</t>
        </is>
      </c>
      <c r="B706" s="91" t="n"/>
      <c r="C706" s="91" t="n"/>
      <c r="D706" s="94" t="str">
        <f>IF(OR(R706=0,V706=0),"",INDEX('CAD_RESÍDUOS'!$E$6:$E$205,MATCH(C706,'CAD_RESÍDUOS'!$B$6:$B$205,0))&amp;"")</f>
        <v/>
      </c>
      <c r="E706" s="94" t="str">
        <f>IF(OR(R706=0,V706=0),"",INDEX('CAD_RESÍDUOS'!$C$6:$C$205,MATCH(C706,'CAD_RESÍDUOS'!$B$6:$B$205,0))&amp;"")</f>
        <v/>
      </c>
      <c r="F706" s="94" t="str">
        <f>IF(OR(R706=0,V706=0),"",INDEX('CAD_RESÍDUOS'!$G$6:$G$205,MATCH(C706,'CAD_RESÍDUOS'!$B$6:$B$205,0))&amp;"")</f>
        <v/>
      </c>
      <c r="G706" s="98" t="n"/>
      <c r="H706" s="91" t="n"/>
      <c r="I706" s="93" t="str">
        <f>IF(R706=0,"",IF(NOT(ISNUMBER(G706)),"",IF(ISNUMBER(X706),G706*X706,"UNIDADE A CONFERIR")))</f>
        <v/>
      </c>
      <c r="J706" s="91" t="n"/>
      <c r="K706" s="91" t="n"/>
      <c r="L706" s="93" t="str">
        <f>IF(R706=0,"",SUMIFS('RECEBIMENTOS'!$H$6:$H$1005,'RECEBIMENTOS'!$R$6:$R$1005,A706,'RECEBIMENTOS'!$X$6:$X$1005,1))</f>
        <v/>
      </c>
      <c r="M706" s="93" t="str">
        <f>IF(R706=0,"",SUMIFS('VÍNCULOS_CDF'!$H$6:$H$1005,'VÍNCULOS_CDF'!$R$6:$R$1005,A706,'VÍNCULOS_CDF'!$V$6:$V$1005,1))</f>
        <v/>
      </c>
      <c r="N706" s="99" t="str">
        <f>IF(OR(R706=0,AA706=0,NOT(ISNUMBER(I706))),"",I706-N(L706))</f>
        <v/>
      </c>
      <c r="O706" s="100" t="str">
        <f>IF(OR(R706=0,AK706&lt;=0),"",N(M706)/AK706)</f>
        <v/>
      </c>
      <c r="P706" s="94" t="str">
        <f>IF(R706=0,"",IF(S706="","Sem MTR associado",IF(U706=0,"MTR inexistente",IF(C706="","Resíduo não identificado",IF(V706=0,"Resíduo fora do cadastro",IF(W706=0,"Quantidade inválida",IF(H706="","Unidade não informada",IF(NOT(ISNUMBER(I706)),"Unidade a conferir",IF(AND(AH706=1,K706&lt;&gt;"Sim"),"Possível duplicidade",IF(Z706=1,"MTR cancelado",IF(AC706&gt;0,"Recebimento com alerta",IF(AA706=0,"Aguardando recebimento",IF(AB706&lt;AA706,"Recebimento a conferir",IF(AM706=1,"Quantidade a revisar",IF(AF706&gt;0,"Vínculo a revisar",IF(AD706=0,"Aguardando CDF",IF(AN706=0,"Vínculo de CDF parcial",IF(AE706&lt;AD706,"CDF a conferir","Documentação conferida"))))))))))))))))))</f>
        <v/>
      </c>
      <c r="Q706" s="93" t="str">
        <f>IF(OR(R706=0,AA706=0),"",MAX(0,N(L706)-N(M706)))</f>
        <v/>
      </c>
      <c r="R706" s="96">
        <f>IF(COUNTA(B706:C706,G706:H706,J706:K706)&gt;0,1,0)</f>
        <v>0</v>
      </c>
      <c r="S706" s="96" t="str">
        <f>IF(B706="","",TRIM(LEFT(B706,FIND(" |",B706&amp;" |")-1)))</f>
        <v/>
      </c>
      <c r="T706" s="96" t="str">
        <f>IF(S706="","",IFERROR(MATCH(S706,'MTRs'!$A$6:$A$505,0),""))</f>
        <v/>
      </c>
      <c r="U706" s="96">
        <f>IF(T706="",0,IF(INDEX('MTRs'!$Z$6:$Z$505,T706)=1,1,0))</f>
        <v>0</v>
      </c>
      <c r="V706" s="96">
        <f>IF(C706="",0,IF(ISNUMBER(MATCH(C706,'CAD_RESÍDUOS'!$B$6:$B$205,0)),1,0))</f>
        <v>0</v>
      </c>
      <c r="W706" s="96">
        <f>IF(AND(ISNUMBER(G706),G706&gt;0),1,0)</f>
        <v>0</v>
      </c>
      <c r="X706" s="96" t="str">
        <f>IF(H706="","",IFERROR(IF(ISNUMBER(INDEX(cfg_fac,MATCH(H706,cfg_units,0))),IF(INDEX(cfg_fac,MATCH(H706,cfg_units,0))&gt;0,INDEX(cfg_fac,MATCH(H706,cfg_units,0)),""),""),""))</f>
        <v/>
      </c>
      <c r="Y706" s="96">
        <f>IF(AND(W706=1,ISNUMBER(I706)),1,0)</f>
        <v>0</v>
      </c>
      <c r="Z706" s="96">
        <f>IF(U706=1,INDEX('MTRs'!$AA$6:$AA$505,T706),0)</f>
        <v>0</v>
      </c>
      <c r="AA706" s="96">
        <f>IF(R706=0,0,COUNTIFS('RECEBIMENTOS'!$R$6:$R$1005,A706,'RECEBIMENTOS'!$Q$6:$Q$1005,1))</f>
        <v>0</v>
      </c>
      <c r="AB706" s="96">
        <f>IF(R706=0,0,COUNTIFS('RECEBIMENTOS'!$R$6:$R$1005,A706,'RECEBIMENTOS'!$Z$6:$Z$1005,1))</f>
        <v>0</v>
      </c>
      <c r="AC706" s="96">
        <f>IF(R706=0,0,COUNTIFS('RECEBIMENTOS'!$R$6:$R$1005,A706,'RECEBIMENTOS'!$Y$6:$Y$1005,1))</f>
        <v>0</v>
      </c>
      <c r="AD706" s="96">
        <f>IF(R706=0,0,COUNTIFS('VÍNCULOS_CDF'!$R$6:$R$1005,A706,'VÍNCULOS_CDF'!$N$6:$N$1005,1))</f>
        <v>0</v>
      </c>
      <c r="AE706" s="96">
        <f>IF(R706=0,0,COUNTIFS('VÍNCULOS_CDF'!$R$6:$R$1005,A706,'VÍNCULOS_CDF'!$AA$6:$AA$1005,1))</f>
        <v>0</v>
      </c>
      <c r="AF706" s="96">
        <f>IF(R706=0,0,COUNTIFS('VÍNCULOS_CDF'!$R$6:$R$1005,A706,'VÍNCULOS_CDF'!$Y$6:$Y$1005,1))</f>
        <v>0</v>
      </c>
      <c r="AG706" s="96" t="str">
        <f>IF(AND(R706=1,S706&lt;&gt;"",C706&lt;&gt;""),S706&amp;"|"&amp;C706&amp;"|"&amp;G706&amp;"|"&amp;H706,"")</f>
        <v/>
      </c>
      <c r="AH706" s="96">
        <f>IF(AG706="",0,IF(SUMPRODUCT(--($AG$6:$AG$1005=AG706))&gt;1,1,0))</f>
        <v>0</v>
      </c>
      <c r="AI706" s="96">
        <f>IF(R706=0,0,IF(OR(U706=0,V706=0,Y706=0,AND(AH706=1,K706&lt;&gt;"Sim")),1,0))</f>
        <v>0</v>
      </c>
      <c r="AJ706" s="96">
        <f>IF(AND(R706=1,AA706&gt;0,AB706=AA706),1,0)</f>
        <v>0</v>
      </c>
      <c r="AK706" s="96">
        <f>IF(R706=0,0,IF(AA706&gt;0,N(L706),IF(ISNUMBER(I706),I706,0)))</f>
        <v>0</v>
      </c>
      <c r="AL706" s="96">
        <f>IF(R706=0,0,IF(AND(K706&lt;&gt;"Sim",N(M706)&gt;AK706+cfg_tol),1,0))</f>
        <v>0</v>
      </c>
      <c r="AM706" s="96">
        <f>IF(R706=0,0,IF(K706="Sim",0,IF(OR(AND(AA706&gt;0,ISNUMBER(I706),ABS(I706-N(L706))&gt;cfg_tol),AL706=1),1,0)))</f>
        <v>0</v>
      </c>
      <c r="AN706" s="96">
        <f>IF(AND(R706=1,N(M706)&gt;0,OR(N(M706)&gt;=AK706-cfg_tol,K706="Sim")),1,0)</f>
        <v>0</v>
      </c>
      <c r="AO706" s="96">
        <f>IF(AND(AN706=1,AD706&gt;0,AE706=AD706,AL706=0),1,0)</f>
        <v>0</v>
      </c>
      <c r="AP706" s="96">
        <f>IF(U706=0,0,IF(AND(INDEX('MTRs'!$AX$6:$AX$505,T706)=1,Z706=0,OR(f_res="",f_res="(Todos)",C706=f_res)),1,0))</f>
        <v>0</v>
      </c>
      <c r="AQ706" s="97" t="str">
        <f>IF(U706=0,"",INDEX('MTRs'!$AZ$6:$AZ$505,T706))</f>
        <v/>
      </c>
      <c r="AR706" s="96">
        <f>IF(U706=0,0,IF(AND(INDEX('MTRs'!$BA$6:$BA$505,T706)=1,Z706=0),1,0))</f>
        <v>0</v>
      </c>
      <c r="AS706" s="96" t="str">
        <f>IF(R706=1,A706&amp;" | MTR "&amp;IF(U706=1,INDEX('MTRs'!$B$6:$B$505,T706)&amp;"","?")&amp;" | "&amp;IF(C706="","(sem resíduo)",C706),"")</f>
        <v/>
      </c>
      <c r="AT706" s="96" t="str">
        <f>IF(R706=1,COUNTIF($R$6:R706,1),"")</f>
        <v/>
      </c>
      <c r="AU706" s="96" t="str">
        <f>IF(U706=1,INDEX('MTRs'!$I$6:$I$505,T706)&amp;"","")</f>
        <v/>
      </c>
    </row>
    <row r="707">
      <c r="A707" s="89" t="inlineStr">
        <is>
          <t>IT-000702</t>
        </is>
      </c>
      <c r="B707" s="91" t="n"/>
      <c r="C707" s="91" t="n"/>
      <c r="D707" s="94" t="str">
        <f>IF(OR(R707=0,V707=0),"",INDEX('CAD_RESÍDUOS'!$E$6:$E$205,MATCH(C707,'CAD_RESÍDUOS'!$B$6:$B$205,0))&amp;"")</f>
        <v/>
      </c>
      <c r="E707" s="94" t="str">
        <f>IF(OR(R707=0,V707=0),"",INDEX('CAD_RESÍDUOS'!$C$6:$C$205,MATCH(C707,'CAD_RESÍDUOS'!$B$6:$B$205,0))&amp;"")</f>
        <v/>
      </c>
      <c r="F707" s="94" t="str">
        <f>IF(OR(R707=0,V707=0),"",INDEX('CAD_RESÍDUOS'!$G$6:$G$205,MATCH(C707,'CAD_RESÍDUOS'!$B$6:$B$205,0))&amp;"")</f>
        <v/>
      </c>
      <c r="G707" s="98" t="n"/>
      <c r="H707" s="91" t="n"/>
      <c r="I707" s="93" t="str">
        <f>IF(R707=0,"",IF(NOT(ISNUMBER(G707)),"",IF(ISNUMBER(X707),G707*X707,"UNIDADE A CONFERIR")))</f>
        <v/>
      </c>
      <c r="J707" s="91" t="n"/>
      <c r="K707" s="91" t="n"/>
      <c r="L707" s="93" t="str">
        <f>IF(R707=0,"",SUMIFS('RECEBIMENTOS'!$H$6:$H$1005,'RECEBIMENTOS'!$R$6:$R$1005,A707,'RECEBIMENTOS'!$X$6:$X$1005,1))</f>
        <v/>
      </c>
      <c r="M707" s="93" t="str">
        <f>IF(R707=0,"",SUMIFS('VÍNCULOS_CDF'!$H$6:$H$1005,'VÍNCULOS_CDF'!$R$6:$R$1005,A707,'VÍNCULOS_CDF'!$V$6:$V$1005,1))</f>
        <v/>
      </c>
      <c r="N707" s="99" t="str">
        <f>IF(OR(R707=0,AA707=0,NOT(ISNUMBER(I707))),"",I707-N(L707))</f>
        <v/>
      </c>
      <c r="O707" s="100" t="str">
        <f>IF(OR(R707=0,AK707&lt;=0),"",N(M707)/AK707)</f>
        <v/>
      </c>
      <c r="P707" s="94" t="str">
        <f>IF(R707=0,"",IF(S707="","Sem MTR associado",IF(U707=0,"MTR inexistente",IF(C707="","Resíduo não identificado",IF(V707=0,"Resíduo fora do cadastro",IF(W707=0,"Quantidade inválida",IF(H707="","Unidade não informada",IF(NOT(ISNUMBER(I707)),"Unidade a conferir",IF(AND(AH707=1,K707&lt;&gt;"Sim"),"Possível duplicidade",IF(Z707=1,"MTR cancelado",IF(AC707&gt;0,"Recebimento com alerta",IF(AA707=0,"Aguardando recebimento",IF(AB707&lt;AA707,"Recebimento a conferir",IF(AM707=1,"Quantidade a revisar",IF(AF707&gt;0,"Vínculo a revisar",IF(AD707=0,"Aguardando CDF",IF(AN707=0,"Vínculo de CDF parcial",IF(AE707&lt;AD707,"CDF a conferir","Documentação conferida"))))))))))))))))))</f>
        <v/>
      </c>
      <c r="Q707" s="93" t="str">
        <f>IF(OR(R707=0,AA707=0),"",MAX(0,N(L707)-N(M707)))</f>
        <v/>
      </c>
      <c r="R707" s="96">
        <f>IF(COUNTA(B707:C707,G707:H707,J707:K707)&gt;0,1,0)</f>
        <v>0</v>
      </c>
      <c r="S707" s="96" t="str">
        <f>IF(B707="","",TRIM(LEFT(B707,FIND(" |",B707&amp;" |")-1)))</f>
        <v/>
      </c>
      <c r="T707" s="96" t="str">
        <f>IF(S707="","",IFERROR(MATCH(S707,'MTRs'!$A$6:$A$505,0),""))</f>
        <v/>
      </c>
      <c r="U707" s="96">
        <f>IF(T707="",0,IF(INDEX('MTRs'!$Z$6:$Z$505,T707)=1,1,0))</f>
        <v>0</v>
      </c>
      <c r="V707" s="96">
        <f>IF(C707="",0,IF(ISNUMBER(MATCH(C707,'CAD_RESÍDUOS'!$B$6:$B$205,0)),1,0))</f>
        <v>0</v>
      </c>
      <c r="W707" s="96">
        <f>IF(AND(ISNUMBER(G707),G707&gt;0),1,0)</f>
        <v>0</v>
      </c>
      <c r="X707" s="96" t="str">
        <f>IF(H707="","",IFERROR(IF(ISNUMBER(INDEX(cfg_fac,MATCH(H707,cfg_units,0))),IF(INDEX(cfg_fac,MATCH(H707,cfg_units,0))&gt;0,INDEX(cfg_fac,MATCH(H707,cfg_units,0)),""),""),""))</f>
        <v/>
      </c>
      <c r="Y707" s="96">
        <f>IF(AND(W707=1,ISNUMBER(I707)),1,0)</f>
        <v>0</v>
      </c>
      <c r="Z707" s="96">
        <f>IF(U707=1,INDEX('MTRs'!$AA$6:$AA$505,T707),0)</f>
        <v>0</v>
      </c>
      <c r="AA707" s="96">
        <f>IF(R707=0,0,COUNTIFS('RECEBIMENTOS'!$R$6:$R$1005,A707,'RECEBIMENTOS'!$Q$6:$Q$1005,1))</f>
        <v>0</v>
      </c>
      <c r="AB707" s="96">
        <f>IF(R707=0,0,COUNTIFS('RECEBIMENTOS'!$R$6:$R$1005,A707,'RECEBIMENTOS'!$Z$6:$Z$1005,1))</f>
        <v>0</v>
      </c>
      <c r="AC707" s="96">
        <f>IF(R707=0,0,COUNTIFS('RECEBIMENTOS'!$R$6:$R$1005,A707,'RECEBIMENTOS'!$Y$6:$Y$1005,1))</f>
        <v>0</v>
      </c>
      <c r="AD707" s="96">
        <f>IF(R707=0,0,COUNTIFS('VÍNCULOS_CDF'!$R$6:$R$1005,A707,'VÍNCULOS_CDF'!$N$6:$N$1005,1))</f>
        <v>0</v>
      </c>
      <c r="AE707" s="96">
        <f>IF(R707=0,0,COUNTIFS('VÍNCULOS_CDF'!$R$6:$R$1005,A707,'VÍNCULOS_CDF'!$AA$6:$AA$1005,1))</f>
        <v>0</v>
      </c>
      <c r="AF707" s="96">
        <f>IF(R707=0,0,COUNTIFS('VÍNCULOS_CDF'!$R$6:$R$1005,A707,'VÍNCULOS_CDF'!$Y$6:$Y$1005,1))</f>
        <v>0</v>
      </c>
      <c r="AG707" s="96" t="str">
        <f>IF(AND(R707=1,S707&lt;&gt;"",C707&lt;&gt;""),S707&amp;"|"&amp;C707&amp;"|"&amp;G707&amp;"|"&amp;H707,"")</f>
        <v/>
      </c>
      <c r="AH707" s="96">
        <f>IF(AG707="",0,IF(SUMPRODUCT(--($AG$6:$AG$1005=AG707))&gt;1,1,0))</f>
        <v>0</v>
      </c>
      <c r="AI707" s="96">
        <f>IF(R707=0,0,IF(OR(U707=0,V707=0,Y707=0,AND(AH707=1,K707&lt;&gt;"Sim")),1,0))</f>
        <v>0</v>
      </c>
      <c r="AJ707" s="96">
        <f>IF(AND(R707=1,AA707&gt;0,AB707=AA707),1,0)</f>
        <v>0</v>
      </c>
      <c r="AK707" s="96">
        <f>IF(R707=0,0,IF(AA707&gt;0,N(L707),IF(ISNUMBER(I707),I707,0)))</f>
        <v>0</v>
      </c>
      <c r="AL707" s="96">
        <f>IF(R707=0,0,IF(AND(K707&lt;&gt;"Sim",N(M707)&gt;AK707+cfg_tol),1,0))</f>
        <v>0</v>
      </c>
      <c r="AM707" s="96">
        <f>IF(R707=0,0,IF(K707="Sim",0,IF(OR(AND(AA707&gt;0,ISNUMBER(I707),ABS(I707-N(L707))&gt;cfg_tol),AL707=1),1,0)))</f>
        <v>0</v>
      </c>
      <c r="AN707" s="96">
        <f>IF(AND(R707=1,N(M707)&gt;0,OR(N(M707)&gt;=AK707-cfg_tol,K707="Sim")),1,0)</f>
        <v>0</v>
      </c>
      <c r="AO707" s="96">
        <f>IF(AND(AN707=1,AD707&gt;0,AE707=AD707,AL707=0),1,0)</f>
        <v>0</v>
      </c>
      <c r="AP707" s="96">
        <f>IF(U707=0,0,IF(AND(INDEX('MTRs'!$AX$6:$AX$505,T707)=1,Z707=0,OR(f_res="",f_res="(Todos)",C707=f_res)),1,0))</f>
        <v>0</v>
      </c>
      <c r="AQ707" s="97" t="str">
        <f>IF(U707=0,"",INDEX('MTRs'!$AZ$6:$AZ$505,T707))</f>
        <v/>
      </c>
      <c r="AR707" s="96">
        <f>IF(U707=0,0,IF(AND(INDEX('MTRs'!$BA$6:$BA$505,T707)=1,Z707=0),1,0))</f>
        <v>0</v>
      </c>
      <c r="AS707" s="96" t="str">
        <f>IF(R707=1,A707&amp;" | MTR "&amp;IF(U707=1,INDEX('MTRs'!$B$6:$B$505,T707)&amp;"","?")&amp;" | "&amp;IF(C707="","(sem resíduo)",C707),"")</f>
        <v/>
      </c>
      <c r="AT707" s="96" t="str">
        <f>IF(R707=1,COUNTIF($R$6:R707,1),"")</f>
        <v/>
      </c>
      <c r="AU707" s="96" t="str">
        <f>IF(U707=1,INDEX('MTRs'!$I$6:$I$505,T707)&amp;"","")</f>
        <v/>
      </c>
    </row>
    <row r="708">
      <c r="A708" s="89" t="inlineStr">
        <is>
          <t>IT-000703</t>
        </is>
      </c>
      <c r="B708" s="91" t="n"/>
      <c r="C708" s="91" t="n"/>
      <c r="D708" s="94" t="str">
        <f>IF(OR(R708=0,V708=0),"",INDEX('CAD_RESÍDUOS'!$E$6:$E$205,MATCH(C708,'CAD_RESÍDUOS'!$B$6:$B$205,0))&amp;"")</f>
        <v/>
      </c>
      <c r="E708" s="94" t="str">
        <f>IF(OR(R708=0,V708=0),"",INDEX('CAD_RESÍDUOS'!$C$6:$C$205,MATCH(C708,'CAD_RESÍDUOS'!$B$6:$B$205,0))&amp;"")</f>
        <v/>
      </c>
      <c r="F708" s="94" t="str">
        <f>IF(OR(R708=0,V708=0),"",INDEX('CAD_RESÍDUOS'!$G$6:$G$205,MATCH(C708,'CAD_RESÍDUOS'!$B$6:$B$205,0))&amp;"")</f>
        <v/>
      </c>
      <c r="G708" s="98" t="n"/>
      <c r="H708" s="91" t="n"/>
      <c r="I708" s="93" t="str">
        <f>IF(R708=0,"",IF(NOT(ISNUMBER(G708)),"",IF(ISNUMBER(X708),G708*X708,"UNIDADE A CONFERIR")))</f>
        <v/>
      </c>
      <c r="J708" s="91" t="n"/>
      <c r="K708" s="91" t="n"/>
      <c r="L708" s="93" t="str">
        <f>IF(R708=0,"",SUMIFS('RECEBIMENTOS'!$H$6:$H$1005,'RECEBIMENTOS'!$R$6:$R$1005,A708,'RECEBIMENTOS'!$X$6:$X$1005,1))</f>
        <v/>
      </c>
      <c r="M708" s="93" t="str">
        <f>IF(R708=0,"",SUMIFS('VÍNCULOS_CDF'!$H$6:$H$1005,'VÍNCULOS_CDF'!$R$6:$R$1005,A708,'VÍNCULOS_CDF'!$V$6:$V$1005,1))</f>
        <v/>
      </c>
      <c r="N708" s="99" t="str">
        <f>IF(OR(R708=0,AA708=0,NOT(ISNUMBER(I708))),"",I708-N(L708))</f>
        <v/>
      </c>
      <c r="O708" s="100" t="str">
        <f>IF(OR(R708=0,AK708&lt;=0),"",N(M708)/AK708)</f>
        <v/>
      </c>
      <c r="P708" s="94" t="str">
        <f>IF(R708=0,"",IF(S708="","Sem MTR associado",IF(U708=0,"MTR inexistente",IF(C708="","Resíduo não identificado",IF(V708=0,"Resíduo fora do cadastro",IF(W708=0,"Quantidade inválida",IF(H708="","Unidade não informada",IF(NOT(ISNUMBER(I708)),"Unidade a conferir",IF(AND(AH708=1,K708&lt;&gt;"Sim"),"Possível duplicidade",IF(Z708=1,"MTR cancelado",IF(AC708&gt;0,"Recebimento com alerta",IF(AA708=0,"Aguardando recebimento",IF(AB708&lt;AA708,"Recebimento a conferir",IF(AM708=1,"Quantidade a revisar",IF(AF708&gt;0,"Vínculo a revisar",IF(AD708=0,"Aguardando CDF",IF(AN708=0,"Vínculo de CDF parcial",IF(AE708&lt;AD708,"CDF a conferir","Documentação conferida"))))))))))))))))))</f>
        <v/>
      </c>
      <c r="Q708" s="93" t="str">
        <f>IF(OR(R708=0,AA708=0),"",MAX(0,N(L708)-N(M708)))</f>
        <v/>
      </c>
      <c r="R708" s="96">
        <f>IF(COUNTA(B708:C708,G708:H708,J708:K708)&gt;0,1,0)</f>
        <v>0</v>
      </c>
      <c r="S708" s="96" t="str">
        <f>IF(B708="","",TRIM(LEFT(B708,FIND(" |",B708&amp;" |")-1)))</f>
        <v/>
      </c>
      <c r="T708" s="96" t="str">
        <f>IF(S708="","",IFERROR(MATCH(S708,'MTRs'!$A$6:$A$505,0),""))</f>
        <v/>
      </c>
      <c r="U708" s="96">
        <f>IF(T708="",0,IF(INDEX('MTRs'!$Z$6:$Z$505,T708)=1,1,0))</f>
        <v>0</v>
      </c>
      <c r="V708" s="96">
        <f>IF(C708="",0,IF(ISNUMBER(MATCH(C708,'CAD_RESÍDUOS'!$B$6:$B$205,0)),1,0))</f>
        <v>0</v>
      </c>
      <c r="W708" s="96">
        <f>IF(AND(ISNUMBER(G708),G708&gt;0),1,0)</f>
        <v>0</v>
      </c>
      <c r="X708" s="96" t="str">
        <f>IF(H708="","",IFERROR(IF(ISNUMBER(INDEX(cfg_fac,MATCH(H708,cfg_units,0))),IF(INDEX(cfg_fac,MATCH(H708,cfg_units,0))&gt;0,INDEX(cfg_fac,MATCH(H708,cfg_units,0)),""),""),""))</f>
        <v/>
      </c>
      <c r="Y708" s="96">
        <f>IF(AND(W708=1,ISNUMBER(I708)),1,0)</f>
        <v>0</v>
      </c>
      <c r="Z708" s="96">
        <f>IF(U708=1,INDEX('MTRs'!$AA$6:$AA$505,T708),0)</f>
        <v>0</v>
      </c>
      <c r="AA708" s="96">
        <f>IF(R708=0,0,COUNTIFS('RECEBIMENTOS'!$R$6:$R$1005,A708,'RECEBIMENTOS'!$Q$6:$Q$1005,1))</f>
        <v>0</v>
      </c>
      <c r="AB708" s="96">
        <f>IF(R708=0,0,COUNTIFS('RECEBIMENTOS'!$R$6:$R$1005,A708,'RECEBIMENTOS'!$Z$6:$Z$1005,1))</f>
        <v>0</v>
      </c>
      <c r="AC708" s="96">
        <f>IF(R708=0,0,COUNTIFS('RECEBIMENTOS'!$R$6:$R$1005,A708,'RECEBIMENTOS'!$Y$6:$Y$1005,1))</f>
        <v>0</v>
      </c>
      <c r="AD708" s="96">
        <f>IF(R708=0,0,COUNTIFS('VÍNCULOS_CDF'!$R$6:$R$1005,A708,'VÍNCULOS_CDF'!$N$6:$N$1005,1))</f>
        <v>0</v>
      </c>
      <c r="AE708" s="96">
        <f>IF(R708=0,0,COUNTIFS('VÍNCULOS_CDF'!$R$6:$R$1005,A708,'VÍNCULOS_CDF'!$AA$6:$AA$1005,1))</f>
        <v>0</v>
      </c>
      <c r="AF708" s="96">
        <f>IF(R708=0,0,COUNTIFS('VÍNCULOS_CDF'!$R$6:$R$1005,A708,'VÍNCULOS_CDF'!$Y$6:$Y$1005,1))</f>
        <v>0</v>
      </c>
      <c r="AG708" s="96" t="str">
        <f>IF(AND(R708=1,S708&lt;&gt;"",C708&lt;&gt;""),S708&amp;"|"&amp;C708&amp;"|"&amp;G708&amp;"|"&amp;H708,"")</f>
        <v/>
      </c>
      <c r="AH708" s="96">
        <f>IF(AG708="",0,IF(SUMPRODUCT(--($AG$6:$AG$1005=AG708))&gt;1,1,0))</f>
        <v>0</v>
      </c>
      <c r="AI708" s="96">
        <f>IF(R708=0,0,IF(OR(U708=0,V708=0,Y708=0,AND(AH708=1,K708&lt;&gt;"Sim")),1,0))</f>
        <v>0</v>
      </c>
      <c r="AJ708" s="96">
        <f>IF(AND(R708=1,AA708&gt;0,AB708=AA708),1,0)</f>
        <v>0</v>
      </c>
      <c r="AK708" s="96">
        <f>IF(R708=0,0,IF(AA708&gt;0,N(L708),IF(ISNUMBER(I708),I708,0)))</f>
        <v>0</v>
      </c>
      <c r="AL708" s="96">
        <f>IF(R708=0,0,IF(AND(K708&lt;&gt;"Sim",N(M708)&gt;AK708+cfg_tol),1,0))</f>
        <v>0</v>
      </c>
      <c r="AM708" s="96">
        <f>IF(R708=0,0,IF(K708="Sim",0,IF(OR(AND(AA708&gt;0,ISNUMBER(I708),ABS(I708-N(L708))&gt;cfg_tol),AL708=1),1,0)))</f>
        <v>0</v>
      </c>
      <c r="AN708" s="96">
        <f>IF(AND(R708=1,N(M708)&gt;0,OR(N(M708)&gt;=AK708-cfg_tol,K708="Sim")),1,0)</f>
        <v>0</v>
      </c>
      <c r="AO708" s="96">
        <f>IF(AND(AN708=1,AD708&gt;0,AE708=AD708,AL708=0),1,0)</f>
        <v>0</v>
      </c>
      <c r="AP708" s="96">
        <f>IF(U708=0,0,IF(AND(INDEX('MTRs'!$AX$6:$AX$505,T708)=1,Z708=0,OR(f_res="",f_res="(Todos)",C708=f_res)),1,0))</f>
        <v>0</v>
      </c>
      <c r="AQ708" s="97" t="str">
        <f>IF(U708=0,"",INDEX('MTRs'!$AZ$6:$AZ$505,T708))</f>
        <v/>
      </c>
      <c r="AR708" s="96">
        <f>IF(U708=0,0,IF(AND(INDEX('MTRs'!$BA$6:$BA$505,T708)=1,Z708=0),1,0))</f>
        <v>0</v>
      </c>
      <c r="AS708" s="96" t="str">
        <f>IF(R708=1,A708&amp;" | MTR "&amp;IF(U708=1,INDEX('MTRs'!$B$6:$B$505,T708)&amp;"","?")&amp;" | "&amp;IF(C708="","(sem resíduo)",C708),"")</f>
        <v/>
      </c>
      <c r="AT708" s="96" t="str">
        <f>IF(R708=1,COUNTIF($R$6:R708,1),"")</f>
        <v/>
      </c>
      <c r="AU708" s="96" t="str">
        <f>IF(U708=1,INDEX('MTRs'!$I$6:$I$505,T708)&amp;"","")</f>
        <v/>
      </c>
    </row>
    <row r="709">
      <c r="A709" s="89" t="inlineStr">
        <is>
          <t>IT-000704</t>
        </is>
      </c>
      <c r="B709" s="91" t="n"/>
      <c r="C709" s="91" t="n"/>
      <c r="D709" s="94" t="str">
        <f>IF(OR(R709=0,V709=0),"",INDEX('CAD_RESÍDUOS'!$E$6:$E$205,MATCH(C709,'CAD_RESÍDUOS'!$B$6:$B$205,0))&amp;"")</f>
        <v/>
      </c>
      <c r="E709" s="94" t="str">
        <f>IF(OR(R709=0,V709=0),"",INDEX('CAD_RESÍDUOS'!$C$6:$C$205,MATCH(C709,'CAD_RESÍDUOS'!$B$6:$B$205,0))&amp;"")</f>
        <v/>
      </c>
      <c r="F709" s="94" t="str">
        <f>IF(OR(R709=0,V709=0),"",INDEX('CAD_RESÍDUOS'!$G$6:$G$205,MATCH(C709,'CAD_RESÍDUOS'!$B$6:$B$205,0))&amp;"")</f>
        <v/>
      </c>
      <c r="G709" s="98" t="n"/>
      <c r="H709" s="91" t="n"/>
      <c r="I709" s="93" t="str">
        <f>IF(R709=0,"",IF(NOT(ISNUMBER(G709)),"",IF(ISNUMBER(X709),G709*X709,"UNIDADE A CONFERIR")))</f>
        <v/>
      </c>
      <c r="J709" s="91" t="n"/>
      <c r="K709" s="91" t="n"/>
      <c r="L709" s="93" t="str">
        <f>IF(R709=0,"",SUMIFS('RECEBIMENTOS'!$H$6:$H$1005,'RECEBIMENTOS'!$R$6:$R$1005,A709,'RECEBIMENTOS'!$X$6:$X$1005,1))</f>
        <v/>
      </c>
      <c r="M709" s="93" t="str">
        <f>IF(R709=0,"",SUMIFS('VÍNCULOS_CDF'!$H$6:$H$1005,'VÍNCULOS_CDF'!$R$6:$R$1005,A709,'VÍNCULOS_CDF'!$V$6:$V$1005,1))</f>
        <v/>
      </c>
      <c r="N709" s="99" t="str">
        <f>IF(OR(R709=0,AA709=0,NOT(ISNUMBER(I709))),"",I709-N(L709))</f>
        <v/>
      </c>
      <c r="O709" s="100" t="str">
        <f>IF(OR(R709=0,AK709&lt;=0),"",N(M709)/AK709)</f>
        <v/>
      </c>
      <c r="P709" s="94" t="str">
        <f>IF(R709=0,"",IF(S709="","Sem MTR associado",IF(U709=0,"MTR inexistente",IF(C709="","Resíduo não identificado",IF(V709=0,"Resíduo fora do cadastro",IF(W709=0,"Quantidade inválida",IF(H709="","Unidade não informada",IF(NOT(ISNUMBER(I709)),"Unidade a conferir",IF(AND(AH709=1,K709&lt;&gt;"Sim"),"Possível duplicidade",IF(Z709=1,"MTR cancelado",IF(AC709&gt;0,"Recebimento com alerta",IF(AA709=0,"Aguardando recebimento",IF(AB709&lt;AA709,"Recebimento a conferir",IF(AM709=1,"Quantidade a revisar",IF(AF709&gt;0,"Vínculo a revisar",IF(AD709=0,"Aguardando CDF",IF(AN709=0,"Vínculo de CDF parcial",IF(AE709&lt;AD709,"CDF a conferir","Documentação conferida"))))))))))))))))))</f>
        <v/>
      </c>
      <c r="Q709" s="93" t="str">
        <f>IF(OR(R709=0,AA709=0),"",MAX(0,N(L709)-N(M709)))</f>
        <v/>
      </c>
      <c r="R709" s="96">
        <f>IF(COUNTA(B709:C709,G709:H709,J709:K709)&gt;0,1,0)</f>
        <v>0</v>
      </c>
      <c r="S709" s="96" t="str">
        <f>IF(B709="","",TRIM(LEFT(B709,FIND(" |",B709&amp;" |")-1)))</f>
        <v/>
      </c>
      <c r="T709" s="96" t="str">
        <f>IF(S709="","",IFERROR(MATCH(S709,'MTRs'!$A$6:$A$505,0),""))</f>
        <v/>
      </c>
      <c r="U709" s="96">
        <f>IF(T709="",0,IF(INDEX('MTRs'!$Z$6:$Z$505,T709)=1,1,0))</f>
        <v>0</v>
      </c>
      <c r="V709" s="96">
        <f>IF(C709="",0,IF(ISNUMBER(MATCH(C709,'CAD_RESÍDUOS'!$B$6:$B$205,0)),1,0))</f>
        <v>0</v>
      </c>
      <c r="W709" s="96">
        <f>IF(AND(ISNUMBER(G709),G709&gt;0),1,0)</f>
        <v>0</v>
      </c>
      <c r="X709" s="96" t="str">
        <f>IF(H709="","",IFERROR(IF(ISNUMBER(INDEX(cfg_fac,MATCH(H709,cfg_units,0))),IF(INDEX(cfg_fac,MATCH(H709,cfg_units,0))&gt;0,INDEX(cfg_fac,MATCH(H709,cfg_units,0)),""),""),""))</f>
        <v/>
      </c>
      <c r="Y709" s="96">
        <f>IF(AND(W709=1,ISNUMBER(I709)),1,0)</f>
        <v>0</v>
      </c>
      <c r="Z709" s="96">
        <f>IF(U709=1,INDEX('MTRs'!$AA$6:$AA$505,T709),0)</f>
        <v>0</v>
      </c>
      <c r="AA709" s="96">
        <f>IF(R709=0,0,COUNTIFS('RECEBIMENTOS'!$R$6:$R$1005,A709,'RECEBIMENTOS'!$Q$6:$Q$1005,1))</f>
        <v>0</v>
      </c>
      <c r="AB709" s="96">
        <f>IF(R709=0,0,COUNTIFS('RECEBIMENTOS'!$R$6:$R$1005,A709,'RECEBIMENTOS'!$Z$6:$Z$1005,1))</f>
        <v>0</v>
      </c>
      <c r="AC709" s="96">
        <f>IF(R709=0,0,COUNTIFS('RECEBIMENTOS'!$R$6:$R$1005,A709,'RECEBIMENTOS'!$Y$6:$Y$1005,1))</f>
        <v>0</v>
      </c>
      <c r="AD709" s="96">
        <f>IF(R709=0,0,COUNTIFS('VÍNCULOS_CDF'!$R$6:$R$1005,A709,'VÍNCULOS_CDF'!$N$6:$N$1005,1))</f>
        <v>0</v>
      </c>
      <c r="AE709" s="96">
        <f>IF(R709=0,0,COUNTIFS('VÍNCULOS_CDF'!$R$6:$R$1005,A709,'VÍNCULOS_CDF'!$AA$6:$AA$1005,1))</f>
        <v>0</v>
      </c>
      <c r="AF709" s="96">
        <f>IF(R709=0,0,COUNTIFS('VÍNCULOS_CDF'!$R$6:$R$1005,A709,'VÍNCULOS_CDF'!$Y$6:$Y$1005,1))</f>
        <v>0</v>
      </c>
      <c r="AG709" s="96" t="str">
        <f>IF(AND(R709=1,S709&lt;&gt;"",C709&lt;&gt;""),S709&amp;"|"&amp;C709&amp;"|"&amp;G709&amp;"|"&amp;H709,"")</f>
        <v/>
      </c>
      <c r="AH709" s="96">
        <f>IF(AG709="",0,IF(SUMPRODUCT(--($AG$6:$AG$1005=AG709))&gt;1,1,0))</f>
        <v>0</v>
      </c>
      <c r="AI709" s="96">
        <f>IF(R709=0,0,IF(OR(U709=0,V709=0,Y709=0,AND(AH709=1,K709&lt;&gt;"Sim")),1,0))</f>
        <v>0</v>
      </c>
      <c r="AJ709" s="96">
        <f>IF(AND(R709=1,AA709&gt;0,AB709=AA709),1,0)</f>
        <v>0</v>
      </c>
      <c r="AK709" s="96">
        <f>IF(R709=0,0,IF(AA709&gt;0,N(L709),IF(ISNUMBER(I709),I709,0)))</f>
        <v>0</v>
      </c>
      <c r="AL709" s="96">
        <f>IF(R709=0,0,IF(AND(K709&lt;&gt;"Sim",N(M709)&gt;AK709+cfg_tol),1,0))</f>
        <v>0</v>
      </c>
      <c r="AM709" s="96">
        <f>IF(R709=0,0,IF(K709="Sim",0,IF(OR(AND(AA709&gt;0,ISNUMBER(I709),ABS(I709-N(L709))&gt;cfg_tol),AL709=1),1,0)))</f>
        <v>0</v>
      </c>
      <c r="AN709" s="96">
        <f>IF(AND(R709=1,N(M709)&gt;0,OR(N(M709)&gt;=AK709-cfg_tol,K709="Sim")),1,0)</f>
        <v>0</v>
      </c>
      <c r="AO709" s="96">
        <f>IF(AND(AN709=1,AD709&gt;0,AE709=AD709,AL709=0),1,0)</f>
        <v>0</v>
      </c>
      <c r="AP709" s="96">
        <f>IF(U709=0,0,IF(AND(INDEX('MTRs'!$AX$6:$AX$505,T709)=1,Z709=0,OR(f_res="",f_res="(Todos)",C709=f_res)),1,0))</f>
        <v>0</v>
      </c>
      <c r="AQ709" s="97" t="str">
        <f>IF(U709=0,"",INDEX('MTRs'!$AZ$6:$AZ$505,T709))</f>
        <v/>
      </c>
      <c r="AR709" s="96">
        <f>IF(U709=0,0,IF(AND(INDEX('MTRs'!$BA$6:$BA$505,T709)=1,Z709=0),1,0))</f>
        <v>0</v>
      </c>
      <c r="AS709" s="96" t="str">
        <f>IF(R709=1,A709&amp;" | MTR "&amp;IF(U709=1,INDEX('MTRs'!$B$6:$B$505,T709)&amp;"","?")&amp;" | "&amp;IF(C709="","(sem resíduo)",C709),"")</f>
        <v/>
      </c>
      <c r="AT709" s="96" t="str">
        <f>IF(R709=1,COUNTIF($R$6:R709,1),"")</f>
        <v/>
      </c>
      <c r="AU709" s="96" t="str">
        <f>IF(U709=1,INDEX('MTRs'!$I$6:$I$505,T709)&amp;"","")</f>
        <v/>
      </c>
    </row>
    <row r="710">
      <c r="A710" s="89" t="inlineStr">
        <is>
          <t>IT-000705</t>
        </is>
      </c>
      <c r="B710" s="91" t="n"/>
      <c r="C710" s="91" t="n"/>
      <c r="D710" s="94" t="str">
        <f>IF(OR(R710=0,V710=0),"",INDEX('CAD_RESÍDUOS'!$E$6:$E$205,MATCH(C710,'CAD_RESÍDUOS'!$B$6:$B$205,0))&amp;"")</f>
        <v/>
      </c>
      <c r="E710" s="94" t="str">
        <f>IF(OR(R710=0,V710=0),"",INDEX('CAD_RESÍDUOS'!$C$6:$C$205,MATCH(C710,'CAD_RESÍDUOS'!$B$6:$B$205,0))&amp;"")</f>
        <v/>
      </c>
      <c r="F710" s="94" t="str">
        <f>IF(OR(R710=0,V710=0),"",INDEX('CAD_RESÍDUOS'!$G$6:$G$205,MATCH(C710,'CAD_RESÍDUOS'!$B$6:$B$205,0))&amp;"")</f>
        <v/>
      </c>
      <c r="G710" s="98" t="n"/>
      <c r="H710" s="91" t="n"/>
      <c r="I710" s="93" t="str">
        <f>IF(R710=0,"",IF(NOT(ISNUMBER(G710)),"",IF(ISNUMBER(X710),G710*X710,"UNIDADE A CONFERIR")))</f>
        <v/>
      </c>
      <c r="J710" s="91" t="n"/>
      <c r="K710" s="91" t="n"/>
      <c r="L710" s="93" t="str">
        <f>IF(R710=0,"",SUMIFS('RECEBIMENTOS'!$H$6:$H$1005,'RECEBIMENTOS'!$R$6:$R$1005,A710,'RECEBIMENTOS'!$X$6:$X$1005,1))</f>
        <v/>
      </c>
      <c r="M710" s="93" t="str">
        <f>IF(R710=0,"",SUMIFS('VÍNCULOS_CDF'!$H$6:$H$1005,'VÍNCULOS_CDF'!$R$6:$R$1005,A710,'VÍNCULOS_CDF'!$V$6:$V$1005,1))</f>
        <v/>
      </c>
      <c r="N710" s="99" t="str">
        <f>IF(OR(R710=0,AA710=0,NOT(ISNUMBER(I710))),"",I710-N(L710))</f>
        <v/>
      </c>
      <c r="O710" s="100" t="str">
        <f>IF(OR(R710=0,AK710&lt;=0),"",N(M710)/AK710)</f>
        <v/>
      </c>
      <c r="P710" s="94" t="str">
        <f>IF(R710=0,"",IF(S710="","Sem MTR associado",IF(U710=0,"MTR inexistente",IF(C710="","Resíduo não identificado",IF(V710=0,"Resíduo fora do cadastro",IF(W710=0,"Quantidade inválida",IF(H710="","Unidade não informada",IF(NOT(ISNUMBER(I710)),"Unidade a conferir",IF(AND(AH710=1,K710&lt;&gt;"Sim"),"Possível duplicidade",IF(Z710=1,"MTR cancelado",IF(AC710&gt;0,"Recebimento com alerta",IF(AA710=0,"Aguardando recebimento",IF(AB710&lt;AA710,"Recebimento a conferir",IF(AM710=1,"Quantidade a revisar",IF(AF710&gt;0,"Vínculo a revisar",IF(AD710=0,"Aguardando CDF",IF(AN710=0,"Vínculo de CDF parcial",IF(AE710&lt;AD710,"CDF a conferir","Documentação conferida"))))))))))))))))))</f>
        <v/>
      </c>
      <c r="Q710" s="93" t="str">
        <f>IF(OR(R710=0,AA710=0),"",MAX(0,N(L710)-N(M710)))</f>
        <v/>
      </c>
      <c r="R710" s="96">
        <f>IF(COUNTA(B710:C710,G710:H710,J710:K710)&gt;0,1,0)</f>
        <v>0</v>
      </c>
      <c r="S710" s="96" t="str">
        <f>IF(B710="","",TRIM(LEFT(B710,FIND(" |",B710&amp;" |")-1)))</f>
        <v/>
      </c>
      <c r="T710" s="96" t="str">
        <f>IF(S710="","",IFERROR(MATCH(S710,'MTRs'!$A$6:$A$505,0),""))</f>
        <v/>
      </c>
      <c r="U710" s="96">
        <f>IF(T710="",0,IF(INDEX('MTRs'!$Z$6:$Z$505,T710)=1,1,0))</f>
        <v>0</v>
      </c>
      <c r="V710" s="96">
        <f>IF(C710="",0,IF(ISNUMBER(MATCH(C710,'CAD_RESÍDUOS'!$B$6:$B$205,0)),1,0))</f>
        <v>0</v>
      </c>
      <c r="W710" s="96">
        <f>IF(AND(ISNUMBER(G710),G710&gt;0),1,0)</f>
        <v>0</v>
      </c>
      <c r="X710" s="96" t="str">
        <f>IF(H710="","",IFERROR(IF(ISNUMBER(INDEX(cfg_fac,MATCH(H710,cfg_units,0))),IF(INDEX(cfg_fac,MATCH(H710,cfg_units,0))&gt;0,INDEX(cfg_fac,MATCH(H710,cfg_units,0)),""),""),""))</f>
        <v/>
      </c>
      <c r="Y710" s="96">
        <f>IF(AND(W710=1,ISNUMBER(I710)),1,0)</f>
        <v>0</v>
      </c>
      <c r="Z710" s="96">
        <f>IF(U710=1,INDEX('MTRs'!$AA$6:$AA$505,T710),0)</f>
        <v>0</v>
      </c>
      <c r="AA710" s="96">
        <f>IF(R710=0,0,COUNTIFS('RECEBIMENTOS'!$R$6:$R$1005,A710,'RECEBIMENTOS'!$Q$6:$Q$1005,1))</f>
        <v>0</v>
      </c>
      <c r="AB710" s="96">
        <f>IF(R710=0,0,COUNTIFS('RECEBIMENTOS'!$R$6:$R$1005,A710,'RECEBIMENTOS'!$Z$6:$Z$1005,1))</f>
        <v>0</v>
      </c>
      <c r="AC710" s="96">
        <f>IF(R710=0,0,COUNTIFS('RECEBIMENTOS'!$R$6:$R$1005,A710,'RECEBIMENTOS'!$Y$6:$Y$1005,1))</f>
        <v>0</v>
      </c>
      <c r="AD710" s="96">
        <f>IF(R710=0,0,COUNTIFS('VÍNCULOS_CDF'!$R$6:$R$1005,A710,'VÍNCULOS_CDF'!$N$6:$N$1005,1))</f>
        <v>0</v>
      </c>
      <c r="AE710" s="96">
        <f>IF(R710=0,0,COUNTIFS('VÍNCULOS_CDF'!$R$6:$R$1005,A710,'VÍNCULOS_CDF'!$AA$6:$AA$1005,1))</f>
        <v>0</v>
      </c>
      <c r="AF710" s="96">
        <f>IF(R710=0,0,COUNTIFS('VÍNCULOS_CDF'!$R$6:$R$1005,A710,'VÍNCULOS_CDF'!$Y$6:$Y$1005,1))</f>
        <v>0</v>
      </c>
      <c r="AG710" s="96" t="str">
        <f>IF(AND(R710=1,S710&lt;&gt;"",C710&lt;&gt;""),S710&amp;"|"&amp;C710&amp;"|"&amp;G710&amp;"|"&amp;H710,"")</f>
        <v/>
      </c>
      <c r="AH710" s="96">
        <f>IF(AG710="",0,IF(SUMPRODUCT(--($AG$6:$AG$1005=AG710))&gt;1,1,0))</f>
        <v>0</v>
      </c>
      <c r="AI710" s="96">
        <f>IF(R710=0,0,IF(OR(U710=0,V710=0,Y710=0,AND(AH710=1,K710&lt;&gt;"Sim")),1,0))</f>
        <v>0</v>
      </c>
      <c r="AJ710" s="96">
        <f>IF(AND(R710=1,AA710&gt;0,AB710=AA710),1,0)</f>
        <v>0</v>
      </c>
      <c r="AK710" s="96">
        <f>IF(R710=0,0,IF(AA710&gt;0,N(L710),IF(ISNUMBER(I710),I710,0)))</f>
        <v>0</v>
      </c>
      <c r="AL710" s="96">
        <f>IF(R710=0,0,IF(AND(K710&lt;&gt;"Sim",N(M710)&gt;AK710+cfg_tol),1,0))</f>
        <v>0</v>
      </c>
      <c r="AM710" s="96">
        <f>IF(R710=0,0,IF(K710="Sim",0,IF(OR(AND(AA710&gt;0,ISNUMBER(I710),ABS(I710-N(L710))&gt;cfg_tol),AL710=1),1,0)))</f>
        <v>0</v>
      </c>
      <c r="AN710" s="96">
        <f>IF(AND(R710=1,N(M710)&gt;0,OR(N(M710)&gt;=AK710-cfg_tol,K710="Sim")),1,0)</f>
        <v>0</v>
      </c>
      <c r="AO710" s="96">
        <f>IF(AND(AN710=1,AD710&gt;0,AE710=AD710,AL710=0),1,0)</f>
        <v>0</v>
      </c>
      <c r="AP710" s="96">
        <f>IF(U710=0,0,IF(AND(INDEX('MTRs'!$AX$6:$AX$505,T710)=1,Z710=0,OR(f_res="",f_res="(Todos)",C710=f_res)),1,0))</f>
        <v>0</v>
      </c>
      <c r="AQ710" s="97" t="str">
        <f>IF(U710=0,"",INDEX('MTRs'!$AZ$6:$AZ$505,T710))</f>
        <v/>
      </c>
      <c r="AR710" s="96">
        <f>IF(U710=0,0,IF(AND(INDEX('MTRs'!$BA$6:$BA$505,T710)=1,Z710=0),1,0))</f>
        <v>0</v>
      </c>
      <c r="AS710" s="96" t="str">
        <f>IF(R710=1,A710&amp;" | MTR "&amp;IF(U710=1,INDEX('MTRs'!$B$6:$B$505,T710)&amp;"","?")&amp;" | "&amp;IF(C710="","(sem resíduo)",C710),"")</f>
        <v/>
      </c>
      <c r="AT710" s="96" t="str">
        <f>IF(R710=1,COUNTIF($R$6:R710,1),"")</f>
        <v/>
      </c>
      <c r="AU710" s="96" t="str">
        <f>IF(U710=1,INDEX('MTRs'!$I$6:$I$505,T710)&amp;"","")</f>
        <v/>
      </c>
    </row>
    <row r="711">
      <c r="A711" s="89" t="inlineStr">
        <is>
          <t>IT-000706</t>
        </is>
      </c>
      <c r="B711" s="91" t="n"/>
      <c r="C711" s="91" t="n"/>
      <c r="D711" s="94" t="str">
        <f>IF(OR(R711=0,V711=0),"",INDEX('CAD_RESÍDUOS'!$E$6:$E$205,MATCH(C711,'CAD_RESÍDUOS'!$B$6:$B$205,0))&amp;"")</f>
        <v/>
      </c>
      <c r="E711" s="94" t="str">
        <f>IF(OR(R711=0,V711=0),"",INDEX('CAD_RESÍDUOS'!$C$6:$C$205,MATCH(C711,'CAD_RESÍDUOS'!$B$6:$B$205,0))&amp;"")</f>
        <v/>
      </c>
      <c r="F711" s="94" t="str">
        <f>IF(OR(R711=0,V711=0),"",INDEX('CAD_RESÍDUOS'!$G$6:$G$205,MATCH(C711,'CAD_RESÍDUOS'!$B$6:$B$205,0))&amp;"")</f>
        <v/>
      </c>
      <c r="G711" s="98" t="n"/>
      <c r="H711" s="91" t="n"/>
      <c r="I711" s="93" t="str">
        <f>IF(R711=0,"",IF(NOT(ISNUMBER(G711)),"",IF(ISNUMBER(X711),G711*X711,"UNIDADE A CONFERIR")))</f>
        <v/>
      </c>
      <c r="J711" s="91" t="n"/>
      <c r="K711" s="91" t="n"/>
      <c r="L711" s="93" t="str">
        <f>IF(R711=0,"",SUMIFS('RECEBIMENTOS'!$H$6:$H$1005,'RECEBIMENTOS'!$R$6:$R$1005,A711,'RECEBIMENTOS'!$X$6:$X$1005,1))</f>
        <v/>
      </c>
      <c r="M711" s="93" t="str">
        <f>IF(R711=0,"",SUMIFS('VÍNCULOS_CDF'!$H$6:$H$1005,'VÍNCULOS_CDF'!$R$6:$R$1005,A711,'VÍNCULOS_CDF'!$V$6:$V$1005,1))</f>
        <v/>
      </c>
      <c r="N711" s="99" t="str">
        <f>IF(OR(R711=0,AA711=0,NOT(ISNUMBER(I711))),"",I711-N(L711))</f>
        <v/>
      </c>
      <c r="O711" s="100" t="str">
        <f>IF(OR(R711=0,AK711&lt;=0),"",N(M711)/AK711)</f>
        <v/>
      </c>
      <c r="P711" s="94" t="str">
        <f>IF(R711=0,"",IF(S711="","Sem MTR associado",IF(U711=0,"MTR inexistente",IF(C711="","Resíduo não identificado",IF(V711=0,"Resíduo fora do cadastro",IF(W711=0,"Quantidade inválida",IF(H711="","Unidade não informada",IF(NOT(ISNUMBER(I711)),"Unidade a conferir",IF(AND(AH711=1,K711&lt;&gt;"Sim"),"Possível duplicidade",IF(Z711=1,"MTR cancelado",IF(AC711&gt;0,"Recebimento com alerta",IF(AA711=0,"Aguardando recebimento",IF(AB711&lt;AA711,"Recebimento a conferir",IF(AM711=1,"Quantidade a revisar",IF(AF711&gt;0,"Vínculo a revisar",IF(AD711=0,"Aguardando CDF",IF(AN711=0,"Vínculo de CDF parcial",IF(AE711&lt;AD711,"CDF a conferir","Documentação conferida"))))))))))))))))))</f>
        <v/>
      </c>
      <c r="Q711" s="93" t="str">
        <f>IF(OR(R711=0,AA711=0),"",MAX(0,N(L711)-N(M711)))</f>
        <v/>
      </c>
      <c r="R711" s="96">
        <f>IF(COUNTA(B711:C711,G711:H711,J711:K711)&gt;0,1,0)</f>
        <v>0</v>
      </c>
      <c r="S711" s="96" t="str">
        <f>IF(B711="","",TRIM(LEFT(B711,FIND(" |",B711&amp;" |")-1)))</f>
        <v/>
      </c>
      <c r="T711" s="96" t="str">
        <f>IF(S711="","",IFERROR(MATCH(S711,'MTRs'!$A$6:$A$505,0),""))</f>
        <v/>
      </c>
      <c r="U711" s="96">
        <f>IF(T711="",0,IF(INDEX('MTRs'!$Z$6:$Z$505,T711)=1,1,0))</f>
        <v>0</v>
      </c>
      <c r="V711" s="96">
        <f>IF(C711="",0,IF(ISNUMBER(MATCH(C711,'CAD_RESÍDUOS'!$B$6:$B$205,0)),1,0))</f>
        <v>0</v>
      </c>
      <c r="W711" s="96">
        <f>IF(AND(ISNUMBER(G711),G711&gt;0),1,0)</f>
        <v>0</v>
      </c>
      <c r="X711" s="96" t="str">
        <f>IF(H711="","",IFERROR(IF(ISNUMBER(INDEX(cfg_fac,MATCH(H711,cfg_units,0))),IF(INDEX(cfg_fac,MATCH(H711,cfg_units,0))&gt;0,INDEX(cfg_fac,MATCH(H711,cfg_units,0)),""),""),""))</f>
        <v/>
      </c>
      <c r="Y711" s="96">
        <f>IF(AND(W711=1,ISNUMBER(I711)),1,0)</f>
        <v>0</v>
      </c>
      <c r="Z711" s="96">
        <f>IF(U711=1,INDEX('MTRs'!$AA$6:$AA$505,T711),0)</f>
        <v>0</v>
      </c>
      <c r="AA711" s="96">
        <f>IF(R711=0,0,COUNTIFS('RECEBIMENTOS'!$R$6:$R$1005,A711,'RECEBIMENTOS'!$Q$6:$Q$1005,1))</f>
        <v>0</v>
      </c>
      <c r="AB711" s="96">
        <f>IF(R711=0,0,COUNTIFS('RECEBIMENTOS'!$R$6:$R$1005,A711,'RECEBIMENTOS'!$Z$6:$Z$1005,1))</f>
        <v>0</v>
      </c>
      <c r="AC711" s="96">
        <f>IF(R711=0,0,COUNTIFS('RECEBIMENTOS'!$R$6:$R$1005,A711,'RECEBIMENTOS'!$Y$6:$Y$1005,1))</f>
        <v>0</v>
      </c>
      <c r="AD711" s="96">
        <f>IF(R711=0,0,COUNTIFS('VÍNCULOS_CDF'!$R$6:$R$1005,A711,'VÍNCULOS_CDF'!$N$6:$N$1005,1))</f>
        <v>0</v>
      </c>
      <c r="AE711" s="96">
        <f>IF(R711=0,0,COUNTIFS('VÍNCULOS_CDF'!$R$6:$R$1005,A711,'VÍNCULOS_CDF'!$AA$6:$AA$1005,1))</f>
        <v>0</v>
      </c>
      <c r="AF711" s="96">
        <f>IF(R711=0,0,COUNTIFS('VÍNCULOS_CDF'!$R$6:$R$1005,A711,'VÍNCULOS_CDF'!$Y$6:$Y$1005,1))</f>
        <v>0</v>
      </c>
      <c r="AG711" s="96" t="str">
        <f>IF(AND(R711=1,S711&lt;&gt;"",C711&lt;&gt;""),S711&amp;"|"&amp;C711&amp;"|"&amp;G711&amp;"|"&amp;H711,"")</f>
        <v/>
      </c>
      <c r="AH711" s="96">
        <f>IF(AG711="",0,IF(SUMPRODUCT(--($AG$6:$AG$1005=AG711))&gt;1,1,0))</f>
        <v>0</v>
      </c>
      <c r="AI711" s="96">
        <f>IF(R711=0,0,IF(OR(U711=0,V711=0,Y711=0,AND(AH711=1,K711&lt;&gt;"Sim")),1,0))</f>
        <v>0</v>
      </c>
      <c r="AJ711" s="96">
        <f>IF(AND(R711=1,AA711&gt;0,AB711=AA711),1,0)</f>
        <v>0</v>
      </c>
      <c r="AK711" s="96">
        <f>IF(R711=0,0,IF(AA711&gt;0,N(L711),IF(ISNUMBER(I711),I711,0)))</f>
        <v>0</v>
      </c>
      <c r="AL711" s="96">
        <f>IF(R711=0,0,IF(AND(K711&lt;&gt;"Sim",N(M711)&gt;AK711+cfg_tol),1,0))</f>
        <v>0</v>
      </c>
      <c r="AM711" s="96">
        <f>IF(R711=0,0,IF(K711="Sim",0,IF(OR(AND(AA711&gt;0,ISNUMBER(I711),ABS(I711-N(L711))&gt;cfg_tol),AL711=1),1,0)))</f>
        <v>0</v>
      </c>
      <c r="AN711" s="96">
        <f>IF(AND(R711=1,N(M711)&gt;0,OR(N(M711)&gt;=AK711-cfg_tol,K711="Sim")),1,0)</f>
        <v>0</v>
      </c>
      <c r="AO711" s="96">
        <f>IF(AND(AN711=1,AD711&gt;0,AE711=AD711,AL711=0),1,0)</f>
        <v>0</v>
      </c>
      <c r="AP711" s="96">
        <f>IF(U711=0,0,IF(AND(INDEX('MTRs'!$AX$6:$AX$505,T711)=1,Z711=0,OR(f_res="",f_res="(Todos)",C711=f_res)),1,0))</f>
        <v>0</v>
      </c>
      <c r="AQ711" s="97" t="str">
        <f>IF(U711=0,"",INDEX('MTRs'!$AZ$6:$AZ$505,T711))</f>
        <v/>
      </c>
      <c r="AR711" s="96">
        <f>IF(U711=0,0,IF(AND(INDEX('MTRs'!$BA$6:$BA$505,T711)=1,Z711=0),1,0))</f>
        <v>0</v>
      </c>
      <c r="AS711" s="96" t="str">
        <f>IF(R711=1,A711&amp;" | MTR "&amp;IF(U711=1,INDEX('MTRs'!$B$6:$B$505,T711)&amp;"","?")&amp;" | "&amp;IF(C711="","(sem resíduo)",C711),"")</f>
        <v/>
      </c>
      <c r="AT711" s="96" t="str">
        <f>IF(R711=1,COUNTIF($R$6:R711,1),"")</f>
        <v/>
      </c>
      <c r="AU711" s="96" t="str">
        <f>IF(U711=1,INDEX('MTRs'!$I$6:$I$505,T711)&amp;"","")</f>
        <v/>
      </c>
    </row>
    <row r="712">
      <c r="A712" s="89" t="inlineStr">
        <is>
          <t>IT-000707</t>
        </is>
      </c>
      <c r="B712" s="91" t="n"/>
      <c r="C712" s="91" t="n"/>
      <c r="D712" s="94" t="str">
        <f>IF(OR(R712=0,V712=0),"",INDEX('CAD_RESÍDUOS'!$E$6:$E$205,MATCH(C712,'CAD_RESÍDUOS'!$B$6:$B$205,0))&amp;"")</f>
        <v/>
      </c>
      <c r="E712" s="94" t="str">
        <f>IF(OR(R712=0,V712=0),"",INDEX('CAD_RESÍDUOS'!$C$6:$C$205,MATCH(C712,'CAD_RESÍDUOS'!$B$6:$B$205,0))&amp;"")</f>
        <v/>
      </c>
      <c r="F712" s="94" t="str">
        <f>IF(OR(R712=0,V712=0),"",INDEX('CAD_RESÍDUOS'!$G$6:$G$205,MATCH(C712,'CAD_RESÍDUOS'!$B$6:$B$205,0))&amp;"")</f>
        <v/>
      </c>
      <c r="G712" s="98" t="n"/>
      <c r="H712" s="91" t="n"/>
      <c r="I712" s="93" t="str">
        <f>IF(R712=0,"",IF(NOT(ISNUMBER(G712)),"",IF(ISNUMBER(X712),G712*X712,"UNIDADE A CONFERIR")))</f>
        <v/>
      </c>
      <c r="J712" s="91" t="n"/>
      <c r="K712" s="91" t="n"/>
      <c r="L712" s="93" t="str">
        <f>IF(R712=0,"",SUMIFS('RECEBIMENTOS'!$H$6:$H$1005,'RECEBIMENTOS'!$R$6:$R$1005,A712,'RECEBIMENTOS'!$X$6:$X$1005,1))</f>
        <v/>
      </c>
      <c r="M712" s="93" t="str">
        <f>IF(R712=0,"",SUMIFS('VÍNCULOS_CDF'!$H$6:$H$1005,'VÍNCULOS_CDF'!$R$6:$R$1005,A712,'VÍNCULOS_CDF'!$V$6:$V$1005,1))</f>
        <v/>
      </c>
      <c r="N712" s="99" t="str">
        <f>IF(OR(R712=0,AA712=0,NOT(ISNUMBER(I712))),"",I712-N(L712))</f>
        <v/>
      </c>
      <c r="O712" s="100" t="str">
        <f>IF(OR(R712=0,AK712&lt;=0),"",N(M712)/AK712)</f>
        <v/>
      </c>
      <c r="P712" s="94" t="str">
        <f>IF(R712=0,"",IF(S712="","Sem MTR associado",IF(U712=0,"MTR inexistente",IF(C712="","Resíduo não identificado",IF(V712=0,"Resíduo fora do cadastro",IF(W712=0,"Quantidade inválida",IF(H712="","Unidade não informada",IF(NOT(ISNUMBER(I712)),"Unidade a conferir",IF(AND(AH712=1,K712&lt;&gt;"Sim"),"Possível duplicidade",IF(Z712=1,"MTR cancelado",IF(AC712&gt;0,"Recebimento com alerta",IF(AA712=0,"Aguardando recebimento",IF(AB712&lt;AA712,"Recebimento a conferir",IF(AM712=1,"Quantidade a revisar",IF(AF712&gt;0,"Vínculo a revisar",IF(AD712=0,"Aguardando CDF",IF(AN712=0,"Vínculo de CDF parcial",IF(AE712&lt;AD712,"CDF a conferir","Documentação conferida"))))))))))))))))))</f>
        <v/>
      </c>
      <c r="Q712" s="93" t="str">
        <f>IF(OR(R712=0,AA712=0),"",MAX(0,N(L712)-N(M712)))</f>
        <v/>
      </c>
      <c r="R712" s="96">
        <f>IF(COUNTA(B712:C712,G712:H712,J712:K712)&gt;0,1,0)</f>
        <v>0</v>
      </c>
      <c r="S712" s="96" t="str">
        <f>IF(B712="","",TRIM(LEFT(B712,FIND(" |",B712&amp;" |")-1)))</f>
        <v/>
      </c>
      <c r="T712" s="96" t="str">
        <f>IF(S712="","",IFERROR(MATCH(S712,'MTRs'!$A$6:$A$505,0),""))</f>
        <v/>
      </c>
      <c r="U712" s="96">
        <f>IF(T712="",0,IF(INDEX('MTRs'!$Z$6:$Z$505,T712)=1,1,0))</f>
        <v>0</v>
      </c>
      <c r="V712" s="96">
        <f>IF(C712="",0,IF(ISNUMBER(MATCH(C712,'CAD_RESÍDUOS'!$B$6:$B$205,0)),1,0))</f>
        <v>0</v>
      </c>
      <c r="W712" s="96">
        <f>IF(AND(ISNUMBER(G712),G712&gt;0),1,0)</f>
        <v>0</v>
      </c>
      <c r="X712" s="96" t="str">
        <f>IF(H712="","",IFERROR(IF(ISNUMBER(INDEX(cfg_fac,MATCH(H712,cfg_units,0))),IF(INDEX(cfg_fac,MATCH(H712,cfg_units,0))&gt;0,INDEX(cfg_fac,MATCH(H712,cfg_units,0)),""),""),""))</f>
        <v/>
      </c>
      <c r="Y712" s="96">
        <f>IF(AND(W712=1,ISNUMBER(I712)),1,0)</f>
        <v>0</v>
      </c>
      <c r="Z712" s="96">
        <f>IF(U712=1,INDEX('MTRs'!$AA$6:$AA$505,T712),0)</f>
        <v>0</v>
      </c>
      <c r="AA712" s="96">
        <f>IF(R712=0,0,COUNTIFS('RECEBIMENTOS'!$R$6:$R$1005,A712,'RECEBIMENTOS'!$Q$6:$Q$1005,1))</f>
        <v>0</v>
      </c>
      <c r="AB712" s="96">
        <f>IF(R712=0,0,COUNTIFS('RECEBIMENTOS'!$R$6:$R$1005,A712,'RECEBIMENTOS'!$Z$6:$Z$1005,1))</f>
        <v>0</v>
      </c>
      <c r="AC712" s="96">
        <f>IF(R712=0,0,COUNTIFS('RECEBIMENTOS'!$R$6:$R$1005,A712,'RECEBIMENTOS'!$Y$6:$Y$1005,1))</f>
        <v>0</v>
      </c>
      <c r="AD712" s="96">
        <f>IF(R712=0,0,COUNTIFS('VÍNCULOS_CDF'!$R$6:$R$1005,A712,'VÍNCULOS_CDF'!$N$6:$N$1005,1))</f>
        <v>0</v>
      </c>
      <c r="AE712" s="96">
        <f>IF(R712=0,0,COUNTIFS('VÍNCULOS_CDF'!$R$6:$R$1005,A712,'VÍNCULOS_CDF'!$AA$6:$AA$1005,1))</f>
        <v>0</v>
      </c>
      <c r="AF712" s="96">
        <f>IF(R712=0,0,COUNTIFS('VÍNCULOS_CDF'!$R$6:$R$1005,A712,'VÍNCULOS_CDF'!$Y$6:$Y$1005,1))</f>
        <v>0</v>
      </c>
      <c r="AG712" s="96" t="str">
        <f>IF(AND(R712=1,S712&lt;&gt;"",C712&lt;&gt;""),S712&amp;"|"&amp;C712&amp;"|"&amp;G712&amp;"|"&amp;H712,"")</f>
        <v/>
      </c>
      <c r="AH712" s="96">
        <f>IF(AG712="",0,IF(SUMPRODUCT(--($AG$6:$AG$1005=AG712))&gt;1,1,0))</f>
        <v>0</v>
      </c>
      <c r="AI712" s="96">
        <f>IF(R712=0,0,IF(OR(U712=0,V712=0,Y712=0,AND(AH712=1,K712&lt;&gt;"Sim")),1,0))</f>
        <v>0</v>
      </c>
      <c r="AJ712" s="96">
        <f>IF(AND(R712=1,AA712&gt;0,AB712=AA712),1,0)</f>
        <v>0</v>
      </c>
      <c r="AK712" s="96">
        <f>IF(R712=0,0,IF(AA712&gt;0,N(L712),IF(ISNUMBER(I712),I712,0)))</f>
        <v>0</v>
      </c>
      <c r="AL712" s="96">
        <f>IF(R712=0,0,IF(AND(K712&lt;&gt;"Sim",N(M712)&gt;AK712+cfg_tol),1,0))</f>
        <v>0</v>
      </c>
      <c r="AM712" s="96">
        <f>IF(R712=0,0,IF(K712="Sim",0,IF(OR(AND(AA712&gt;0,ISNUMBER(I712),ABS(I712-N(L712))&gt;cfg_tol),AL712=1),1,0)))</f>
        <v>0</v>
      </c>
      <c r="AN712" s="96">
        <f>IF(AND(R712=1,N(M712)&gt;0,OR(N(M712)&gt;=AK712-cfg_tol,K712="Sim")),1,0)</f>
        <v>0</v>
      </c>
      <c r="AO712" s="96">
        <f>IF(AND(AN712=1,AD712&gt;0,AE712=AD712,AL712=0),1,0)</f>
        <v>0</v>
      </c>
      <c r="AP712" s="96">
        <f>IF(U712=0,0,IF(AND(INDEX('MTRs'!$AX$6:$AX$505,T712)=1,Z712=0,OR(f_res="",f_res="(Todos)",C712=f_res)),1,0))</f>
        <v>0</v>
      </c>
      <c r="AQ712" s="97" t="str">
        <f>IF(U712=0,"",INDEX('MTRs'!$AZ$6:$AZ$505,T712))</f>
        <v/>
      </c>
      <c r="AR712" s="96">
        <f>IF(U712=0,0,IF(AND(INDEX('MTRs'!$BA$6:$BA$505,T712)=1,Z712=0),1,0))</f>
        <v>0</v>
      </c>
      <c r="AS712" s="96" t="str">
        <f>IF(R712=1,A712&amp;" | MTR "&amp;IF(U712=1,INDEX('MTRs'!$B$6:$B$505,T712)&amp;"","?")&amp;" | "&amp;IF(C712="","(sem resíduo)",C712),"")</f>
        <v/>
      </c>
      <c r="AT712" s="96" t="str">
        <f>IF(R712=1,COUNTIF($R$6:R712,1),"")</f>
        <v/>
      </c>
      <c r="AU712" s="96" t="str">
        <f>IF(U712=1,INDEX('MTRs'!$I$6:$I$505,T712)&amp;"","")</f>
        <v/>
      </c>
    </row>
    <row r="713">
      <c r="A713" s="89" t="inlineStr">
        <is>
          <t>IT-000708</t>
        </is>
      </c>
      <c r="B713" s="91" t="n"/>
      <c r="C713" s="91" t="n"/>
      <c r="D713" s="94" t="str">
        <f>IF(OR(R713=0,V713=0),"",INDEX('CAD_RESÍDUOS'!$E$6:$E$205,MATCH(C713,'CAD_RESÍDUOS'!$B$6:$B$205,0))&amp;"")</f>
        <v/>
      </c>
      <c r="E713" s="94" t="str">
        <f>IF(OR(R713=0,V713=0),"",INDEX('CAD_RESÍDUOS'!$C$6:$C$205,MATCH(C713,'CAD_RESÍDUOS'!$B$6:$B$205,0))&amp;"")</f>
        <v/>
      </c>
      <c r="F713" s="94" t="str">
        <f>IF(OR(R713=0,V713=0),"",INDEX('CAD_RESÍDUOS'!$G$6:$G$205,MATCH(C713,'CAD_RESÍDUOS'!$B$6:$B$205,0))&amp;"")</f>
        <v/>
      </c>
      <c r="G713" s="98" t="n"/>
      <c r="H713" s="91" t="n"/>
      <c r="I713" s="93" t="str">
        <f>IF(R713=0,"",IF(NOT(ISNUMBER(G713)),"",IF(ISNUMBER(X713),G713*X713,"UNIDADE A CONFERIR")))</f>
        <v/>
      </c>
      <c r="J713" s="91" t="n"/>
      <c r="K713" s="91" t="n"/>
      <c r="L713" s="93" t="str">
        <f>IF(R713=0,"",SUMIFS('RECEBIMENTOS'!$H$6:$H$1005,'RECEBIMENTOS'!$R$6:$R$1005,A713,'RECEBIMENTOS'!$X$6:$X$1005,1))</f>
        <v/>
      </c>
      <c r="M713" s="93" t="str">
        <f>IF(R713=0,"",SUMIFS('VÍNCULOS_CDF'!$H$6:$H$1005,'VÍNCULOS_CDF'!$R$6:$R$1005,A713,'VÍNCULOS_CDF'!$V$6:$V$1005,1))</f>
        <v/>
      </c>
      <c r="N713" s="99" t="str">
        <f>IF(OR(R713=0,AA713=0,NOT(ISNUMBER(I713))),"",I713-N(L713))</f>
        <v/>
      </c>
      <c r="O713" s="100" t="str">
        <f>IF(OR(R713=0,AK713&lt;=0),"",N(M713)/AK713)</f>
        <v/>
      </c>
      <c r="P713" s="94" t="str">
        <f>IF(R713=0,"",IF(S713="","Sem MTR associado",IF(U713=0,"MTR inexistente",IF(C713="","Resíduo não identificado",IF(V713=0,"Resíduo fora do cadastro",IF(W713=0,"Quantidade inválida",IF(H713="","Unidade não informada",IF(NOT(ISNUMBER(I713)),"Unidade a conferir",IF(AND(AH713=1,K713&lt;&gt;"Sim"),"Possível duplicidade",IF(Z713=1,"MTR cancelado",IF(AC713&gt;0,"Recebimento com alerta",IF(AA713=0,"Aguardando recebimento",IF(AB713&lt;AA713,"Recebimento a conferir",IF(AM713=1,"Quantidade a revisar",IF(AF713&gt;0,"Vínculo a revisar",IF(AD713=0,"Aguardando CDF",IF(AN713=0,"Vínculo de CDF parcial",IF(AE713&lt;AD713,"CDF a conferir","Documentação conferida"))))))))))))))))))</f>
        <v/>
      </c>
      <c r="Q713" s="93" t="str">
        <f>IF(OR(R713=0,AA713=0),"",MAX(0,N(L713)-N(M713)))</f>
        <v/>
      </c>
      <c r="R713" s="96">
        <f>IF(COUNTA(B713:C713,G713:H713,J713:K713)&gt;0,1,0)</f>
        <v>0</v>
      </c>
      <c r="S713" s="96" t="str">
        <f>IF(B713="","",TRIM(LEFT(B713,FIND(" |",B713&amp;" |")-1)))</f>
        <v/>
      </c>
      <c r="T713" s="96" t="str">
        <f>IF(S713="","",IFERROR(MATCH(S713,'MTRs'!$A$6:$A$505,0),""))</f>
        <v/>
      </c>
      <c r="U713" s="96">
        <f>IF(T713="",0,IF(INDEX('MTRs'!$Z$6:$Z$505,T713)=1,1,0))</f>
        <v>0</v>
      </c>
      <c r="V713" s="96">
        <f>IF(C713="",0,IF(ISNUMBER(MATCH(C713,'CAD_RESÍDUOS'!$B$6:$B$205,0)),1,0))</f>
        <v>0</v>
      </c>
      <c r="W713" s="96">
        <f>IF(AND(ISNUMBER(G713),G713&gt;0),1,0)</f>
        <v>0</v>
      </c>
      <c r="X713" s="96" t="str">
        <f>IF(H713="","",IFERROR(IF(ISNUMBER(INDEX(cfg_fac,MATCH(H713,cfg_units,0))),IF(INDEX(cfg_fac,MATCH(H713,cfg_units,0))&gt;0,INDEX(cfg_fac,MATCH(H713,cfg_units,0)),""),""),""))</f>
        <v/>
      </c>
      <c r="Y713" s="96">
        <f>IF(AND(W713=1,ISNUMBER(I713)),1,0)</f>
        <v>0</v>
      </c>
      <c r="Z713" s="96">
        <f>IF(U713=1,INDEX('MTRs'!$AA$6:$AA$505,T713),0)</f>
        <v>0</v>
      </c>
      <c r="AA713" s="96">
        <f>IF(R713=0,0,COUNTIFS('RECEBIMENTOS'!$R$6:$R$1005,A713,'RECEBIMENTOS'!$Q$6:$Q$1005,1))</f>
        <v>0</v>
      </c>
      <c r="AB713" s="96">
        <f>IF(R713=0,0,COUNTIFS('RECEBIMENTOS'!$R$6:$R$1005,A713,'RECEBIMENTOS'!$Z$6:$Z$1005,1))</f>
        <v>0</v>
      </c>
      <c r="AC713" s="96">
        <f>IF(R713=0,0,COUNTIFS('RECEBIMENTOS'!$R$6:$R$1005,A713,'RECEBIMENTOS'!$Y$6:$Y$1005,1))</f>
        <v>0</v>
      </c>
      <c r="AD713" s="96">
        <f>IF(R713=0,0,COUNTIFS('VÍNCULOS_CDF'!$R$6:$R$1005,A713,'VÍNCULOS_CDF'!$N$6:$N$1005,1))</f>
        <v>0</v>
      </c>
      <c r="AE713" s="96">
        <f>IF(R713=0,0,COUNTIFS('VÍNCULOS_CDF'!$R$6:$R$1005,A713,'VÍNCULOS_CDF'!$AA$6:$AA$1005,1))</f>
        <v>0</v>
      </c>
      <c r="AF713" s="96">
        <f>IF(R713=0,0,COUNTIFS('VÍNCULOS_CDF'!$R$6:$R$1005,A713,'VÍNCULOS_CDF'!$Y$6:$Y$1005,1))</f>
        <v>0</v>
      </c>
      <c r="AG713" s="96" t="str">
        <f>IF(AND(R713=1,S713&lt;&gt;"",C713&lt;&gt;""),S713&amp;"|"&amp;C713&amp;"|"&amp;G713&amp;"|"&amp;H713,"")</f>
        <v/>
      </c>
      <c r="AH713" s="96">
        <f>IF(AG713="",0,IF(SUMPRODUCT(--($AG$6:$AG$1005=AG713))&gt;1,1,0))</f>
        <v>0</v>
      </c>
      <c r="AI713" s="96">
        <f>IF(R713=0,0,IF(OR(U713=0,V713=0,Y713=0,AND(AH713=1,K713&lt;&gt;"Sim")),1,0))</f>
        <v>0</v>
      </c>
      <c r="AJ713" s="96">
        <f>IF(AND(R713=1,AA713&gt;0,AB713=AA713),1,0)</f>
        <v>0</v>
      </c>
      <c r="AK713" s="96">
        <f>IF(R713=0,0,IF(AA713&gt;0,N(L713),IF(ISNUMBER(I713),I713,0)))</f>
        <v>0</v>
      </c>
      <c r="AL713" s="96">
        <f>IF(R713=0,0,IF(AND(K713&lt;&gt;"Sim",N(M713)&gt;AK713+cfg_tol),1,0))</f>
        <v>0</v>
      </c>
      <c r="AM713" s="96">
        <f>IF(R713=0,0,IF(K713="Sim",0,IF(OR(AND(AA713&gt;0,ISNUMBER(I713),ABS(I713-N(L713))&gt;cfg_tol),AL713=1),1,0)))</f>
        <v>0</v>
      </c>
      <c r="AN713" s="96">
        <f>IF(AND(R713=1,N(M713)&gt;0,OR(N(M713)&gt;=AK713-cfg_tol,K713="Sim")),1,0)</f>
        <v>0</v>
      </c>
      <c r="AO713" s="96">
        <f>IF(AND(AN713=1,AD713&gt;0,AE713=AD713,AL713=0),1,0)</f>
        <v>0</v>
      </c>
      <c r="AP713" s="96">
        <f>IF(U713=0,0,IF(AND(INDEX('MTRs'!$AX$6:$AX$505,T713)=1,Z713=0,OR(f_res="",f_res="(Todos)",C713=f_res)),1,0))</f>
        <v>0</v>
      </c>
      <c r="AQ713" s="97" t="str">
        <f>IF(U713=0,"",INDEX('MTRs'!$AZ$6:$AZ$505,T713))</f>
        <v/>
      </c>
      <c r="AR713" s="96">
        <f>IF(U713=0,0,IF(AND(INDEX('MTRs'!$BA$6:$BA$505,T713)=1,Z713=0),1,0))</f>
        <v>0</v>
      </c>
      <c r="AS713" s="96" t="str">
        <f>IF(R713=1,A713&amp;" | MTR "&amp;IF(U713=1,INDEX('MTRs'!$B$6:$B$505,T713)&amp;"","?")&amp;" | "&amp;IF(C713="","(sem resíduo)",C713),"")</f>
        <v/>
      </c>
      <c r="AT713" s="96" t="str">
        <f>IF(R713=1,COUNTIF($R$6:R713,1),"")</f>
        <v/>
      </c>
      <c r="AU713" s="96" t="str">
        <f>IF(U713=1,INDEX('MTRs'!$I$6:$I$505,T713)&amp;"","")</f>
        <v/>
      </c>
    </row>
    <row r="714">
      <c r="A714" s="89" t="inlineStr">
        <is>
          <t>IT-000709</t>
        </is>
      </c>
      <c r="B714" s="91" t="n"/>
      <c r="C714" s="91" t="n"/>
      <c r="D714" s="94" t="str">
        <f>IF(OR(R714=0,V714=0),"",INDEX('CAD_RESÍDUOS'!$E$6:$E$205,MATCH(C714,'CAD_RESÍDUOS'!$B$6:$B$205,0))&amp;"")</f>
        <v/>
      </c>
      <c r="E714" s="94" t="str">
        <f>IF(OR(R714=0,V714=0),"",INDEX('CAD_RESÍDUOS'!$C$6:$C$205,MATCH(C714,'CAD_RESÍDUOS'!$B$6:$B$205,0))&amp;"")</f>
        <v/>
      </c>
      <c r="F714" s="94" t="str">
        <f>IF(OR(R714=0,V714=0),"",INDEX('CAD_RESÍDUOS'!$G$6:$G$205,MATCH(C714,'CAD_RESÍDUOS'!$B$6:$B$205,0))&amp;"")</f>
        <v/>
      </c>
      <c r="G714" s="98" t="n"/>
      <c r="H714" s="91" t="n"/>
      <c r="I714" s="93" t="str">
        <f>IF(R714=0,"",IF(NOT(ISNUMBER(G714)),"",IF(ISNUMBER(X714),G714*X714,"UNIDADE A CONFERIR")))</f>
        <v/>
      </c>
      <c r="J714" s="91" t="n"/>
      <c r="K714" s="91" t="n"/>
      <c r="L714" s="93" t="str">
        <f>IF(R714=0,"",SUMIFS('RECEBIMENTOS'!$H$6:$H$1005,'RECEBIMENTOS'!$R$6:$R$1005,A714,'RECEBIMENTOS'!$X$6:$X$1005,1))</f>
        <v/>
      </c>
      <c r="M714" s="93" t="str">
        <f>IF(R714=0,"",SUMIFS('VÍNCULOS_CDF'!$H$6:$H$1005,'VÍNCULOS_CDF'!$R$6:$R$1005,A714,'VÍNCULOS_CDF'!$V$6:$V$1005,1))</f>
        <v/>
      </c>
      <c r="N714" s="99" t="str">
        <f>IF(OR(R714=0,AA714=0,NOT(ISNUMBER(I714))),"",I714-N(L714))</f>
        <v/>
      </c>
      <c r="O714" s="100" t="str">
        <f>IF(OR(R714=0,AK714&lt;=0),"",N(M714)/AK714)</f>
        <v/>
      </c>
      <c r="P714" s="94" t="str">
        <f>IF(R714=0,"",IF(S714="","Sem MTR associado",IF(U714=0,"MTR inexistente",IF(C714="","Resíduo não identificado",IF(V714=0,"Resíduo fora do cadastro",IF(W714=0,"Quantidade inválida",IF(H714="","Unidade não informada",IF(NOT(ISNUMBER(I714)),"Unidade a conferir",IF(AND(AH714=1,K714&lt;&gt;"Sim"),"Possível duplicidade",IF(Z714=1,"MTR cancelado",IF(AC714&gt;0,"Recebimento com alerta",IF(AA714=0,"Aguardando recebimento",IF(AB714&lt;AA714,"Recebimento a conferir",IF(AM714=1,"Quantidade a revisar",IF(AF714&gt;0,"Vínculo a revisar",IF(AD714=0,"Aguardando CDF",IF(AN714=0,"Vínculo de CDF parcial",IF(AE714&lt;AD714,"CDF a conferir","Documentação conferida"))))))))))))))))))</f>
        <v/>
      </c>
      <c r="Q714" s="93" t="str">
        <f>IF(OR(R714=0,AA714=0),"",MAX(0,N(L714)-N(M714)))</f>
        <v/>
      </c>
      <c r="R714" s="96">
        <f>IF(COUNTA(B714:C714,G714:H714,J714:K714)&gt;0,1,0)</f>
        <v>0</v>
      </c>
      <c r="S714" s="96" t="str">
        <f>IF(B714="","",TRIM(LEFT(B714,FIND(" |",B714&amp;" |")-1)))</f>
        <v/>
      </c>
      <c r="T714" s="96" t="str">
        <f>IF(S714="","",IFERROR(MATCH(S714,'MTRs'!$A$6:$A$505,0),""))</f>
        <v/>
      </c>
      <c r="U714" s="96">
        <f>IF(T714="",0,IF(INDEX('MTRs'!$Z$6:$Z$505,T714)=1,1,0))</f>
        <v>0</v>
      </c>
      <c r="V714" s="96">
        <f>IF(C714="",0,IF(ISNUMBER(MATCH(C714,'CAD_RESÍDUOS'!$B$6:$B$205,0)),1,0))</f>
        <v>0</v>
      </c>
      <c r="W714" s="96">
        <f>IF(AND(ISNUMBER(G714),G714&gt;0),1,0)</f>
        <v>0</v>
      </c>
      <c r="X714" s="96" t="str">
        <f>IF(H714="","",IFERROR(IF(ISNUMBER(INDEX(cfg_fac,MATCH(H714,cfg_units,0))),IF(INDEX(cfg_fac,MATCH(H714,cfg_units,0))&gt;0,INDEX(cfg_fac,MATCH(H714,cfg_units,0)),""),""),""))</f>
        <v/>
      </c>
      <c r="Y714" s="96">
        <f>IF(AND(W714=1,ISNUMBER(I714)),1,0)</f>
        <v>0</v>
      </c>
      <c r="Z714" s="96">
        <f>IF(U714=1,INDEX('MTRs'!$AA$6:$AA$505,T714),0)</f>
        <v>0</v>
      </c>
      <c r="AA714" s="96">
        <f>IF(R714=0,0,COUNTIFS('RECEBIMENTOS'!$R$6:$R$1005,A714,'RECEBIMENTOS'!$Q$6:$Q$1005,1))</f>
        <v>0</v>
      </c>
      <c r="AB714" s="96">
        <f>IF(R714=0,0,COUNTIFS('RECEBIMENTOS'!$R$6:$R$1005,A714,'RECEBIMENTOS'!$Z$6:$Z$1005,1))</f>
        <v>0</v>
      </c>
      <c r="AC714" s="96">
        <f>IF(R714=0,0,COUNTIFS('RECEBIMENTOS'!$R$6:$R$1005,A714,'RECEBIMENTOS'!$Y$6:$Y$1005,1))</f>
        <v>0</v>
      </c>
      <c r="AD714" s="96">
        <f>IF(R714=0,0,COUNTIFS('VÍNCULOS_CDF'!$R$6:$R$1005,A714,'VÍNCULOS_CDF'!$N$6:$N$1005,1))</f>
        <v>0</v>
      </c>
      <c r="AE714" s="96">
        <f>IF(R714=0,0,COUNTIFS('VÍNCULOS_CDF'!$R$6:$R$1005,A714,'VÍNCULOS_CDF'!$AA$6:$AA$1005,1))</f>
        <v>0</v>
      </c>
      <c r="AF714" s="96">
        <f>IF(R714=0,0,COUNTIFS('VÍNCULOS_CDF'!$R$6:$R$1005,A714,'VÍNCULOS_CDF'!$Y$6:$Y$1005,1))</f>
        <v>0</v>
      </c>
      <c r="AG714" s="96" t="str">
        <f>IF(AND(R714=1,S714&lt;&gt;"",C714&lt;&gt;""),S714&amp;"|"&amp;C714&amp;"|"&amp;G714&amp;"|"&amp;H714,"")</f>
        <v/>
      </c>
      <c r="AH714" s="96">
        <f>IF(AG714="",0,IF(SUMPRODUCT(--($AG$6:$AG$1005=AG714))&gt;1,1,0))</f>
        <v>0</v>
      </c>
      <c r="AI714" s="96">
        <f>IF(R714=0,0,IF(OR(U714=0,V714=0,Y714=0,AND(AH714=1,K714&lt;&gt;"Sim")),1,0))</f>
        <v>0</v>
      </c>
      <c r="AJ714" s="96">
        <f>IF(AND(R714=1,AA714&gt;0,AB714=AA714),1,0)</f>
        <v>0</v>
      </c>
      <c r="AK714" s="96">
        <f>IF(R714=0,0,IF(AA714&gt;0,N(L714),IF(ISNUMBER(I714),I714,0)))</f>
        <v>0</v>
      </c>
      <c r="AL714" s="96">
        <f>IF(R714=0,0,IF(AND(K714&lt;&gt;"Sim",N(M714)&gt;AK714+cfg_tol),1,0))</f>
        <v>0</v>
      </c>
      <c r="AM714" s="96">
        <f>IF(R714=0,0,IF(K714="Sim",0,IF(OR(AND(AA714&gt;0,ISNUMBER(I714),ABS(I714-N(L714))&gt;cfg_tol),AL714=1),1,0)))</f>
        <v>0</v>
      </c>
      <c r="AN714" s="96">
        <f>IF(AND(R714=1,N(M714)&gt;0,OR(N(M714)&gt;=AK714-cfg_tol,K714="Sim")),1,0)</f>
        <v>0</v>
      </c>
      <c r="AO714" s="96">
        <f>IF(AND(AN714=1,AD714&gt;0,AE714=AD714,AL714=0),1,0)</f>
        <v>0</v>
      </c>
      <c r="AP714" s="96">
        <f>IF(U714=0,0,IF(AND(INDEX('MTRs'!$AX$6:$AX$505,T714)=1,Z714=0,OR(f_res="",f_res="(Todos)",C714=f_res)),1,0))</f>
        <v>0</v>
      </c>
      <c r="AQ714" s="97" t="str">
        <f>IF(U714=0,"",INDEX('MTRs'!$AZ$6:$AZ$505,T714))</f>
        <v/>
      </c>
      <c r="AR714" s="96">
        <f>IF(U714=0,0,IF(AND(INDEX('MTRs'!$BA$6:$BA$505,T714)=1,Z714=0),1,0))</f>
        <v>0</v>
      </c>
      <c r="AS714" s="96" t="str">
        <f>IF(R714=1,A714&amp;" | MTR "&amp;IF(U714=1,INDEX('MTRs'!$B$6:$B$505,T714)&amp;"","?")&amp;" | "&amp;IF(C714="","(sem resíduo)",C714),"")</f>
        <v/>
      </c>
      <c r="AT714" s="96" t="str">
        <f>IF(R714=1,COUNTIF($R$6:R714,1),"")</f>
        <v/>
      </c>
      <c r="AU714" s="96" t="str">
        <f>IF(U714=1,INDEX('MTRs'!$I$6:$I$505,T714)&amp;"","")</f>
        <v/>
      </c>
    </row>
    <row r="715">
      <c r="A715" s="89" t="inlineStr">
        <is>
          <t>IT-000710</t>
        </is>
      </c>
      <c r="B715" s="91" t="n"/>
      <c r="C715" s="91" t="n"/>
      <c r="D715" s="94" t="str">
        <f>IF(OR(R715=0,V715=0),"",INDEX('CAD_RESÍDUOS'!$E$6:$E$205,MATCH(C715,'CAD_RESÍDUOS'!$B$6:$B$205,0))&amp;"")</f>
        <v/>
      </c>
      <c r="E715" s="94" t="str">
        <f>IF(OR(R715=0,V715=0),"",INDEX('CAD_RESÍDUOS'!$C$6:$C$205,MATCH(C715,'CAD_RESÍDUOS'!$B$6:$B$205,0))&amp;"")</f>
        <v/>
      </c>
      <c r="F715" s="94" t="str">
        <f>IF(OR(R715=0,V715=0),"",INDEX('CAD_RESÍDUOS'!$G$6:$G$205,MATCH(C715,'CAD_RESÍDUOS'!$B$6:$B$205,0))&amp;"")</f>
        <v/>
      </c>
      <c r="G715" s="98" t="n"/>
      <c r="H715" s="91" t="n"/>
      <c r="I715" s="93" t="str">
        <f>IF(R715=0,"",IF(NOT(ISNUMBER(G715)),"",IF(ISNUMBER(X715),G715*X715,"UNIDADE A CONFERIR")))</f>
        <v/>
      </c>
      <c r="J715" s="91" t="n"/>
      <c r="K715" s="91" t="n"/>
      <c r="L715" s="93" t="str">
        <f>IF(R715=0,"",SUMIFS('RECEBIMENTOS'!$H$6:$H$1005,'RECEBIMENTOS'!$R$6:$R$1005,A715,'RECEBIMENTOS'!$X$6:$X$1005,1))</f>
        <v/>
      </c>
      <c r="M715" s="93" t="str">
        <f>IF(R715=0,"",SUMIFS('VÍNCULOS_CDF'!$H$6:$H$1005,'VÍNCULOS_CDF'!$R$6:$R$1005,A715,'VÍNCULOS_CDF'!$V$6:$V$1005,1))</f>
        <v/>
      </c>
      <c r="N715" s="99" t="str">
        <f>IF(OR(R715=0,AA715=0,NOT(ISNUMBER(I715))),"",I715-N(L715))</f>
        <v/>
      </c>
      <c r="O715" s="100" t="str">
        <f>IF(OR(R715=0,AK715&lt;=0),"",N(M715)/AK715)</f>
        <v/>
      </c>
      <c r="P715" s="94" t="str">
        <f>IF(R715=0,"",IF(S715="","Sem MTR associado",IF(U715=0,"MTR inexistente",IF(C715="","Resíduo não identificado",IF(V715=0,"Resíduo fora do cadastro",IF(W715=0,"Quantidade inválida",IF(H715="","Unidade não informada",IF(NOT(ISNUMBER(I715)),"Unidade a conferir",IF(AND(AH715=1,K715&lt;&gt;"Sim"),"Possível duplicidade",IF(Z715=1,"MTR cancelado",IF(AC715&gt;0,"Recebimento com alerta",IF(AA715=0,"Aguardando recebimento",IF(AB715&lt;AA715,"Recebimento a conferir",IF(AM715=1,"Quantidade a revisar",IF(AF715&gt;0,"Vínculo a revisar",IF(AD715=0,"Aguardando CDF",IF(AN715=0,"Vínculo de CDF parcial",IF(AE715&lt;AD715,"CDF a conferir","Documentação conferida"))))))))))))))))))</f>
        <v/>
      </c>
      <c r="Q715" s="93" t="str">
        <f>IF(OR(R715=0,AA715=0),"",MAX(0,N(L715)-N(M715)))</f>
        <v/>
      </c>
      <c r="R715" s="96">
        <f>IF(COUNTA(B715:C715,G715:H715,J715:K715)&gt;0,1,0)</f>
        <v>0</v>
      </c>
      <c r="S715" s="96" t="str">
        <f>IF(B715="","",TRIM(LEFT(B715,FIND(" |",B715&amp;" |")-1)))</f>
        <v/>
      </c>
      <c r="T715" s="96" t="str">
        <f>IF(S715="","",IFERROR(MATCH(S715,'MTRs'!$A$6:$A$505,0),""))</f>
        <v/>
      </c>
      <c r="U715" s="96">
        <f>IF(T715="",0,IF(INDEX('MTRs'!$Z$6:$Z$505,T715)=1,1,0))</f>
        <v>0</v>
      </c>
      <c r="V715" s="96">
        <f>IF(C715="",0,IF(ISNUMBER(MATCH(C715,'CAD_RESÍDUOS'!$B$6:$B$205,0)),1,0))</f>
        <v>0</v>
      </c>
      <c r="W715" s="96">
        <f>IF(AND(ISNUMBER(G715),G715&gt;0),1,0)</f>
        <v>0</v>
      </c>
      <c r="X715" s="96" t="str">
        <f>IF(H715="","",IFERROR(IF(ISNUMBER(INDEX(cfg_fac,MATCH(H715,cfg_units,0))),IF(INDEX(cfg_fac,MATCH(H715,cfg_units,0))&gt;0,INDEX(cfg_fac,MATCH(H715,cfg_units,0)),""),""),""))</f>
        <v/>
      </c>
      <c r="Y715" s="96">
        <f>IF(AND(W715=1,ISNUMBER(I715)),1,0)</f>
        <v>0</v>
      </c>
      <c r="Z715" s="96">
        <f>IF(U715=1,INDEX('MTRs'!$AA$6:$AA$505,T715),0)</f>
        <v>0</v>
      </c>
      <c r="AA715" s="96">
        <f>IF(R715=0,0,COUNTIFS('RECEBIMENTOS'!$R$6:$R$1005,A715,'RECEBIMENTOS'!$Q$6:$Q$1005,1))</f>
        <v>0</v>
      </c>
      <c r="AB715" s="96">
        <f>IF(R715=0,0,COUNTIFS('RECEBIMENTOS'!$R$6:$R$1005,A715,'RECEBIMENTOS'!$Z$6:$Z$1005,1))</f>
        <v>0</v>
      </c>
      <c r="AC715" s="96">
        <f>IF(R715=0,0,COUNTIFS('RECEBIMENTOS'!$R$6:$R$1005,A715,'RECEBIMENTOS'!$Y$6:$Y$1005,1))</f>
        <v>0</v>
      </c>
      <c r="AD715" s="96">
        <f>IF(R715=0,0,COUNTIFS('VÍNCULOS_CDF'!$R$6:$R$1005,A715,'VÍNCULOS_CDF'!$N$6:$N$1005,1))</f>
        <v>0</v>
      </c>
      <c r="AE715" s="96">
        <f>IF(R715=0,0,COUNTIFS('VÍNCULOS_CDF'!$R$6:$R$1005,A715,'VÍNCULOS_CDF'!$AA$6:$AA$1005,1))</f>
        <v>0</v>
      </c>
      <c r="AF715" s="96">
        <f>IF(R715=0,0,COUNTIFS('VÍNCULOS_CDF'!$R$6:$R$1005,A715,'VÍNCULOS_CDF'!$Y$6:$Y$1005,1))</f>
        <v>0</v>
      </c>
      <c r="AG715" s="96" t="str">
        <f>IF(AND(R715=1,S715&lt;&gt;"",C715&lt;&gt;""),S715&amp;"|"&amp;C715&amp;"|"&amp;G715&amp;"|"&amp;H715,"")</f>
        <v/>
      </c>
      <c r="AH715" s="96">
        <f>IF(AG715="",0,IF(SUMPRODUCT(--($AG$6:$AG$1005=AG715))&gt;1,1,0))</f>
        <v>0</v>
      </c>
      <c r="AI715" s="96">
        <f>IF(R715=0,0,IF(OR(U715=0,V715=0,Y715=0,AND(AH715=1,K715&lt;&gt;"Sim")),1,0))</f>
        <v>0</v>
      </c>
      <c r="AJ715" s="96">
        <f>IF(AND(R715=1,AA715&gt;0,AB715=AA715),1,0)</f>
        <v>0</v>
      </c>
      <c r="AK715" s="96">
        <f>IF(R715=0,0,IF(AA715&gt;0,N(L715),IF(ISNUMBER(I715),I715,0)))</f>
        <v>0</v>
      </c>
      <c r="AL715" s="96">
        <f>IF(R715=0,0,IF(AND(K715&lt;&gt;"Sim",N(M715)&gt;AK715+cfg_tol),1,0))</f>
        <v>0</v>
      </c>
      <c r="AM715" s="96">
        <f>IF(R715=0,0,IF(K715="Sim",0,IF(OR(AND(AA715&gt;0,ISNUMBER(I715),ABS(I715-N(L715))&gt;cfg_tol),AL715=1),1,0)))</f>
        <v>0</v>
      </c>
      <c r="AN715" s="96">
        <f>IF(AND(R715=1,N(M715)&gt;0,OR(N(M715)&gt;=AK715-cfg_tol,K715="Sim")),1,0)</f>
        <v>0</v>
      </c>
      <c r="AO715" s="96">
        <f>IF(AND(AN715=1,AD715&gt;0,AE715=AD715,AL715=0),1,0)</f>
        <v>0</v>
      </c>
      <c r="AP715" s="96">
        <f>IF(U715=0,0,IF(AND(INDEX('MTRs'!$AX$6:$AX$505,T715)=1,Z715=0,OR(f_res="",f_res="(Todos)",C715=f_res)),1,0))</f>
        <v>0</v>
      </c>
      <c r="AQ715" s="97" t="str">
        <f>IF(U715=0,"",INDEX('MTRs'!$AZ$6:$AZ$505,T715))</f>
        <v/>
      </c>
      <c r="AR715" s="96">
        <f>IF(U715=0,0,IF(AND(INDEX('MTRs'!$BA$6:$BA$505,T715)=1,Z715=0),1,0))</f>
        <v>0</v>
      </c>
      <c r="AS715" s="96" t="str">
        <f>IF(R715=1,A715&amp;" | MTR "&amp;IF(U715=1,INDEX('MTRs'!$B$6:$B$505,T715)&amp;"","?")&amp;" | "&amp;IF(C715="","(sem resíduo)",C715),"")</f>
        <v/>
      </c>
      <c r="AT715" s="96" t="str">
        <f>IF(R715=1,COUNTIF($R$6:R715,1),"")</f>
        <v/>
      </c>
      <c r="AU715" s="96" t="str">
        <f>IF(U715=1,INDEX('MTRs'!$I$6:$I$505,T715)&amp;"","")</f>
        <v/>
      </c>
    </row>
    <row r="716">
      <c r="A716" s="89" t="inlineStr">
        <is>
          <t>IT-000711</t>
        </is>
      </c>
      <c r="B716" s="91" t="n"/>
      <c r="C716" s="91" t="n"/>
      <c r="D716" s="94" t="str">
        <f>IF(OR(R716=0,V716=0),"",INDEX('CAD_RESÍDUOS'!$E$6:$E$205,MATCH(C716,'CAD_RESÍDUOS'!$B$6:$B$205,0))&amp;"")</f>
        <v/>
      </c>
      <c r="E716" s="94" t="str">
        <f>IF(OR(R716=0,V716=0),"",INDEX('CAD_RESÍDUOS'!$C$6:$C$205,MATCH(C716,'CAD_RESÍDUOS'!$B$6:$B$205,0))&amp;"")</f>
        <v/>
      </c>
      <c r="F716" s="94" t="str">
        <f>IF(OR(R716=0,V716=0),"",INDEX('CAD_RESÍDUOS'!$G$6:$G$205,MATCH(C716,'CAD_RESÍDUOS'!$B$6:$B$205,0))&amp;"")</f>
        <v/>
      </c>
      <c r="G716" s="98" t="n"/>
      <c r="H716" s="91" t="n"/>
      <c r="I716" s="93" t="str">
        <f>IF(R716=0,"",IF(NOT(ISNUMBER(G716)),"",IF(ISNUMBER(X716),G716*X716,"UNIDADE A CONFERIR")))</f>
        <v/>
      </c>
      <c r="J716" s="91" t="n"/>
      <c r="K716" s="91" t="n"/>
      <c r="L716" s="93" t="str">
        <f>IF(R716=0,"",SUMIFS('RECEBIMENTOS'!$H$6:$H$1005,'RECEBIMENTOS'!$R$6:$R$1005,A716,'RECEBIMENTOS'!$X$6:$X$1005,1))</f>
        <v/>
      </c>
      <c r="M716" s="93" t="str">
        <f>IF(R716=0,"",SUMIFS('VÍNCULOS_CDF'!$H$6:$H$1005,'VÍNCULOS_CDF'!$R$6:$R$1005,A716,'VÍNCULOS_CDF'!$V$6:$V$1005,1))</f>
        <v/>
      </c>
      <c r="N716" s="99" t="str">
        <f>IF(OR(R716=0,AA716=0,NOT(ISNUMBER(I716))),"",I716-N(L716))</f>
        <v/>
      </c>
      <c r="O716" s="100" t="str">
        <f>IF(OR(R716=0,AK716&lt;=0),"",N(M716)/AK716)</f>
        <v/>
      </c>
      <c r="P716" s="94" t="str">
        <f>IF(R716=0,"",IF(S716="","Sem MTR associado",IF(U716=0,"MTR inexistente",IF(C716="","Resíduo não identificado",IF(V716=0,"Resíduo fora do cadastro",IF(W716=0,"Quantidade inválida",IF(H716="","Unidade não informada",IF(NOT(ISNUMBER(I716)),"Unidade a conferir",IF(AND(AH716=1,K716&lt;&gt;"Sim"),"Possível duplicidade",IF(Z716=1,"MTR cancelado",IF(AC716&gt;0,"Recebimento com alerta",IF(AA716=0,"Aguardando recebimento",IF(AB716&lt;AA716,"Recebimento a conferir",IF(AM716=1,"Quantidade a revisar",IF(AF716&gt;0,"Vínculo a revisar",IF(AD716=0,"Aguardando CDF",IF(AN716=0,"Vínculo de CDF parcial",IF(AE716&lt;AD716,"CDF a conferir","Documentação conferida"))))))))))))))))))</f>
        <v/>
      </c>
      <c r="Q716" s="93" t="str">
        <f>IF(OR(R716=0,AA716=0),"",MAX(0,N(L716)-N(M716)))</f>
        <v/>
      </c>
      <c r="R716" s="96">
        <f>IF(COUNTA(B716:C716,G716:H716,J716:K716)&gt;0,1,0)</f>
        <v>0</v>
      </c>
      <c r="S716" s="96" t="str">
        <f>IF(B716="","",TRIM(LEFT(B716,FIND(" |",B716&amp;" |")-1)))</f>
        <v/>
      </c>
      <c r="T716" s="96" t="str">
        <f>IF(S716="","",IFERROR(MATCH(S716,'MTRs'!$A$6:$A$505,0),""))</f>
        <v/>
      </c>
      <c r="U716" s="96">
        <f>IF(T716="",0,IF(INDEX('MTRs'!$Z$6:$Z$505,T716)=1,1,0))</f>
        <v>0</v>
      </c>
      <c r="V716" s="96">
        <f>IF(C716="",0,IF(ISNUMBER(MATCH(C716,'CAD_RESÍDUOS'!$B$6:$B$205,0)),1,0))</f>
        <v>0</v>
      </c>
      <c r="W716" s="96">
        <f>IF(AND(ISNUMBER(G716),G716&gt;0),1,0)</f>
        <v>0</v>
      </c>
      <c r="X716" s="96" t="str">
        <f>IF(H716="","",IFERROR(IF(ISNUMBER(INDEX(cfg_fac,MATCH(H716,cfg_units,0))),IF(INDEX(cfg_fac,MATCH(H716,cfg_units,0))&gt;0,INDEX(cfg_fac,MATCH(H716,cfg_units,0)),""),""),""))</f>
        <v/>
      </c>
      <c r="Y716" s="96">
        <f>IF(AND(W716=1,ISNUMBER(I716)),1,0)</f>
        <v>0</v>
      </c>
      <c r="Z716" s="96">
        <f>IF(U716=1,INDEX('MTRs'!$AA$6:$AA$505,T716),0)</f>
        <v>0</v>
      </c>
      <c r="AA716" s="96">
        <f>IF(R716=0,0,COUNTIFS('RECEBIMENTOS'!$R$6:$R$1005,A716,'RECEBIMENTOS'!$Q$6:$Q$1005,1))</f>
        <v>0</v>
      </c>
      <c r="AB716" s="96">
        <f>IF(R716=0,0,COUNTIFS('RECEBIMENTOS'!$R$6:$R$1005,A716,'RECEBIMENTOS'!$Z$6:$Z$1005,1))</f>
        <v>0</v>
      </c>
      <c r="AC716" s="96">
        <f>IF(R716=0,0,COUNTIFS('RECEBIMENTOS'!$R$6:$R$1005,A716,'RECEBIMENTOS'!$Y$6:$Y$1005,1))</f>
        <v>0</v>
      </c>
      <c r="AD716" s="96">
        <f>IF(R716=0,0,COUNTIFS('VÍNCULOS_CDF'!$R$6:$R$1005,A716,'VÍNCULOS_CDF'!$N$6:$N$1005,1))</f>
        <v>0</v>
      </c>
      <c r="AE716" s="96">
        <f>IF(R716=0,0,COUNTIFS('VÍNCULOS_CDF'!$R$6:$R$1005,A716,'VÍNCULOS_CDF'!$AA$6:$AA$1005,1))</f>
        <v>0</v>
      </c>
      <c r="AF716" s="96">
        <f>IF(R716=0,0,COUNTIFS('VÍNCULOS_CDF'!$R$6:$R$1005,A716,'VÍNCULOS_CDF'!$Y$6:$Y$1005,1))</f>
        <v>0</v>
      </c>
      <c r="AG716" s="96" t="str">
        <f>IF(AND(R716=1,S716&lt;&gt;"",C716&lt;&gt;""),S716&amp;"|"&amp;C716&amp;"|"&amp;G716&amp;"|"&amp;H716,"")</f>
        <v/>
      </c>
      <c r="AH716" s="96">
        <f>IF(AG716="",0,IF(SUMPRODUCT(--($AG$6:$AG$1005=AG716))&gt;1,1,0))</f>
        <v>0</v>
      </c>
      <c r="AI716" s="96">
        <f>IF(R716=0,0,IF(OR(U716=0,V716=0,Y716=0,AND(AH716=1,K716&lt;&gt;"Sim")),1,0))</f>
        <v>0</v>
      </c>
      <c r="AJ716" s="96">
        <f>IF(AND(R716=1,AA716&gt;0,AB716=AA716),1,0)</f>
        <v>0</v>
      </c>
      <c r="AK716" s="96">
        <f>IF(R716=0,0,IF(AA716&gt;0,N(L716),IF(ISNUMBER(I716),I716,0)))</f>
        <v>0</v>
      </c>
      <c r="AL716" s="96">
        <f>IF(R716=0,0,IF(AND(K716&lt;&gt;"Sim",N(M716)&gt;AK716+cfg_tol),1,0))</f>
        <v>0</v>
      </c>
      <c r="AM716" s="96">
        <f>IF(R716=0,0,IF(K716="Sim",0,IF(OR(AND(AA716&gt;0,ISNUMBER(I716),ABS(I716-N(L716))&gt;cfg_tol),AL716=1),1,0)))</f>
        <v>0</v>
      </c>
      <c r="AN716" s="96">
        <f>IF(AND(R716=1,N(M716)&gt;0,OR(N(M716)&gt;=AK716-cfg_tol,K716="Sim")),1,0)</f>
        <v>0</v>
      </c>
      <c r="AO716" s="96">
        <f>IF(AND(AN716=1,AD716&gt;0,AE716=AD716,AL716=0),1,0)</f>
        <v>0</v>
      </c>
      <c r="AP716" s="96">
        <f>IF(U716=0,0,IF(AND(INDEX('MTRs'!$AX$6:$AX$505,T716)=1,Z716=0,OR(f_res="",f_res="(Todos)",C716=f_res)),1,0))</f>
        <v>0</v>
      </c>
      <c r="AQ716" s="97" t="str">
        <f>IF(U716=0,"",INDEX('MTRs'!$AZ$6:$AZ$505,T716))</f>
        <v/>
      </c>
      <c r="AR716" s="96">
        <f>IF(U716=0,0,IF(AND(INDEX('MTRs'!$BA$6:$BA$505,T716)=1,Z716=0),1,0))</f>
        <v>0</v>
      </c>
      <c r="AS716" s="96" t="str">
        <f>IF(R716=1,A716&amp;" | MTR "&amp;IF(U716=1,INDEX('MTRs'!$B$6:$B$505,T716)&amp;"","?")&amp;" | "&amp;IF(C716="","(sem resíduo)",C716),"")</f>
        <v/>
      </c>
      <c r="AT716" s="96" t="str">
        <f>IF(R716=1,COUNTIF($R$6:R716,1),"")</f>
        <v/>
      </c>
      <c r="AU716" s="96" t="str">
        <f>IF(U716=1,INDEX('MTRs'!$I$6:$I$505,T716)&amp;"","")</f>
        <v/>
      </c>
    </row>
    <row r="717">
      <c r="A717" s="89" t="inlineStr">
        <is>
          <t>IT-000712</t>
        </is>
      </c>
      <c r="B717" s="91" t="n"/>
      <c r="C717" s="91" t="n"/>
      <c r="D717" s="94" t="str">
        <f>IF(OR(R717=0,V717=0),"",INDEX('CAD_RESÍDUOS'!$E$6:$E$205,MATCH(C717,'CAD_RESÍDUOS'!$B$6:$B$205,0))&amp;"")</f>
        <v/>
      </c>
      <c r="E717" s="94" t="str">
        <f>IF(OR(R717=0,V717=0),"",INDEX('CAD_RESÍDUOS'!$C$6:$C$205,MATCH(C717,'CAD_RESÍDUOS'!$B$6:$B$205,0))&amp;"")</f>
        <v/>
      </c>
      <c r="F717" s="94" t="str">
        <f>IF(OR(R717=0,V717=0),"",INDEX('CAD_RESÍDUOS'!$G$6:$G$205,MATCH(C717,'CAD_RESÍDUOS'!$B$6:$B$205,0))&amp;"")</f>
        <v/>
      </c>
      <c r="G717" s="98" t="n"/>
      <c r="H717" s="91" t="n"/>
      <c r="I717" s="93" t="str">
        <f>IF(R717=0,"",IF(NOT(ISNUMBER(G717)),"",IF(ISNUMBER(X717),G717*X717,"UNIDADE A CONFERIR")))</f>
        <v/>
      </c>
      <c r="J717" s="91" t="n"/>
      <c r="K717" s="91" t="n"/>
      <c r="L717" s="93" t="str">
        <f>IF(R717=0,"",SUMIFS('RECEBIMENTOS'!$H$6:$H$1005,'RECEBIMENTOS'!$R$6:$R$1005,A717,'RECEBIMENTOS'!$X$6:$X$1005,1))</f>
        <v/>
      </c>
      <c r="M717" s="93" t="str">
        <f>IF(R717=0,"",SUMIFS('VÍNCULOS_CDF'!$H$6:$H$1005,'VÍNCULOS_CDF'!$R$6:$R$1005,A717,'VÍNCULOS_CDF'!$V$6:$V$1005,1))</f>
        <v/>
      </c>
      <c r="N717" s="99" t="str">
        <f>IF(OR(R717=0,AA717=0,NOT(ISNUMBER(I717))),"",I717-N(L717))</f>
        <v/>
      </c>
      <c r="O717" s="100" t="str">
        <f>IF(OR(R717=0,AK717&lt;=0),"",N(M717)/AK717)</f>
        <v/>
      </c>
      <c r="P717" s="94" t="str">
        <f>IF(R717=0,"",IF(S717="","Sem MTR associado",IF(U717=0,"MTR inexistente",IF(C717="","Resíduo não identificado",IF(V717=0,"Resíduo fora do cadastro",IF(W717=0,"Quantidade inválida",IF(H717="","Unidade não informada",IF(NOT(ISNUMBER(I717)),"Unidade a conferir",IF(AND(AH717=1,K717&lt;&gt;"Sim"),"Possível duplicidade",IF(Z717=1,"MTR cancelado",IF(AC717&gt;0,"Recebimento com alerta",IF(AA717=0,"Aguardando recebimento",IF(AB717&lt;AA717,"Recebimento a conferir",IF(AM717=1,"Quantidade a revisar",IF(AF717&gt;0,"Vínculo a revisar",IF(AD717=0,"Aguardando CDF",IF(AN717=0,"Vínculo de CDF parcial",IF(AE717&lt;AD717,"CDF a conferir","Documentação conferida"))))))))))))))))))</f>
        <v/>
      </c>
      <c r="Q717" s="93" t="str">
        <f>IF(OR(R717=0,AA717=0),"",MAX(0,N(L717)-N(M717)))</f>
        <v/>
      </c>
      <c r="R717" s="96">
        <f>IF(COUNTA(B717:C717,G717:H717,J717:K717)&gt;0,1,0)</f>
        <v>0</v>
      </c>
      <c r="S717" s="96" t="str">
        <f>IF(B717="","",TRIM(LEFT(B717,FIND(" |",B717&amp;" |")-1)))</f>
        <v/>
      </c>
      <c r="T717" s="96" t="str">
        <f>IF(S717="","",IFERROR(MATCH(S717,'MTRs'!$A$6:$A$505,0),""))</f>
        <v/>
      </c>
      <c r="U717" s="96">
        <f>IF(T717="",0,IF(INDEX('MTRs'!$Z$6:$Z$505,T717)=1,1,0))</f>
        <v>0</v>
      </c>
      <c r="V717" s="96">
        <f>IF(C717="",0,IF(ISNUMBER(MATCH(C717,'CAD_RESÍDUOS'!$B$6:$B$205,0)),1,0))</f>
        <v>0</v>
      </c>
      <c r="W717" s="96">
        <f>IF(AND(ISNUMBER(G717),G717&gt;0),1,0)</f>
        <v>0</v>
      </c>
      <c r="X717" s="96" t="str">
        <f>IF(H717="","",IFERROR(IF(ISNUMBER(INDEX(cfg_fac,MATCH(H717,cfg_units,0))),IF(INDEX(cfg_fac,MATCH(H717,cfg_units,0))&gt;0,INDEX(cfg_fac,MATCH(H717,cfg_units,0)),""),""),""))</f>
        <v/>
      </c>
      <c r="Y717" s="96">
        <f>IF(AND(W717=1,ISNUMBER(I717)),1,0)</f>
        <v>0</v>
      </c>
      <c r="Z717" s="96">
        <f>IF(U717=1,INDEX('MTRs'!$AA$6:$AA$505,T717),0)</f>
        <v>0</v>
      </c>
      <c r="AA717" s="96">
        <f>IF(R717=0,0,COUNTIFS('RECEBIMENTOS'!$R$6:$R$1005,A717,'RECEBIMENTOS'!$Q$6:$Q$1005,1))</f>
        <v>0</v>
      </c>
      <c r="AB717" s="96">
        <f>IF(R717=0,0,COUNTIFS('RECEBIMENTOS'!$R$6:$R$1005,A717,'RECEBIMENTOS'!$Z$6:$Z$1005,1))</f>
        <v>0</v>
      </c>
      <c r="AC717" s="96">
        <f>IF(R717=0,0,COUNTIFS('RECEBIMENTOS'!$R$6:$R$1005,A717,'RECEBIMENTOS'!$Y$6:$Y$1005,1))</f>
        <v>0</v>
      </c>
      <c r="AD717" s="96">
        <f>IF(R717=0,0,COUNTIFS('VÍNCULOS_CDF'!$R$6:$R$1005,A717,'VÍNCULOS_CDF'!$N$6:$N$1005,1))</f>
        <v>0</v>
      </c>
      <c r="AE717" s="96">
        <f>IF(R717=0,0,COUNTIFS('VÍNCULOS_CDF'!$R$6:$R$1005,A717,'VÍNCULOS_CDF'!$AA$6:$AA$1005,1))</f>
        <v>0</v>
      </c>
      <c r="AF717" s="96">
        <f>IF(R717=0,0,COUNTIFS('VÍNCULOS_CDF'!$R$6:$R$1005,A717,'VÍNCULOS_CDF'!$Y$6:$Y$1005,1))</f>
        <v>0</v>
      </c>
      <c r="AG717" s="96" t="str">
        <f>IF(AND(R717=1,S717&lt;&gt;"",C717&lt;&gt;""),S717&amp;"|"&amp;C717&amp;"|"&amp;G717&amp;"|"&amp;H717,"")</f>
        <v/>
      </c>
      <c r="AH717" s="96">
        <f>IF(AG717="",0,IF(SUMPRODUCT(--($AG$6:$AG$1005=AG717))&gt;1,1,0))</f>
        <v>0</v>
      </c>
      <c r="AI717" s="96">
        <f>IF(R717=0,0,IF(OR(U717=0,V717=0,Y717=0,AND(AH717=1,K717&lt;&gt;"Sim")),1,0))</f>
        <v>0</v>
      </c>
      <c r="AJ717" s="96">
        <f>IF(AND(R717=1,AA717&gt;0,AB717=AA717),1,0)</f>
        <v>0</v>
      </c>
      <c r="AK717" s="96">
        <f>IF(R717=0,0,IF(AA717&gt;0,N(L717),IF(ISNUMBER(I717),I717,0)))</f>
        <v>0</v>
      </c>
      <c r="AL717" s="96">
        <f>IF(R717=0,0,IF(AND(K717&lt;&gt;"Sim",N(M717)&gt;AK717+cfg_tol),1,0))</f>
        <v>0</v>
      </c>
      <c r="AM717" s="96">
        <f>IF(R717=0,0,IF(K717="Sim",0,IF(OR(AND(AA717&gt;0,ISNUMBER(I717),ABS(I717-N(L717))&gt;cfg_tol),AL717=1),1,0)))</f>
        <v>0</v>
      </c>
      <c r="AN717" s="96">
        <f>IF(AND(R717=1,N(M717)&gt;0,OR(N(M717)&gt;=AK717-cfg_tol,K717="Sim")),1,0)</f>
        <v>0</v>
      </c>
      <c r="AO717" s="96">
        <f>IF(AND(AN717=1,AD717&gt;0,AE717=AD717,AL717=0),1,0)</f>
        <v>0</v>
      </c>
      <c r="AP717" s="96">
        <f>IF(U717=0,0,IF(AND(INDEX('MTRs'!$AX$6:$AX$505,T717)=1,Z717=0,OR(f_res="",f_res="(Todos)",C717=f_res)),1,0))</f>
        <v>0</v>
      </c>
      <c r="AQ717" s="97" t="str">
        <f>IF(U717=0,"",INDEX('MTRs'!$AZ$6:$AZ$505,T717))</f>
        <v/>
      </c>
      <c r="AR717" s="96">
        <f>IF(U717=0,0,IF(AND(INDEX('MTRs'!$BA$6:$BA$505,T717)=1,Z717=0),1,0))</f>
        <v>0</v>
      </c>
      <c r="AS717" s="96" t="str">
        <f>IF(R717=1,A717&amp;" | MTR "&amp;IF(U717=1,INDEX('MTRs'!$B$6:$B$505,T717)&amp;"","?")&amp;" | "&amp;IF(C717="","(sem resíduo)",C717),"")</f>
        <v/>
      </c>
      <c r="AT717" s="96" t="str">
        <f>IF(R717=1,COUNTIF($R$6:R717,1),"")</f>
        <v/>
      </c>
      <c r="AU717" s="96" t="str">
        <f>IF(U717=1,INDEX('MTRs'!$I$6:$I$505,T717)&amp;"","")</f>
        <v/>
      </c>
    </row>
    <row r="718">
      <c r="A718" s="89" t="inlineStr">
        <is>
          <t>IT-000713</t>
        </is>
      </c>
      <c r="B718" s="91" t="n"/>
      <c r="C718" s="91" t="n"/>
      <c r="D718" s="94" t="str">
        <f>IF(OR(R718=0,V718=0),"",INDEX('CAD_RESÍDUOS'!$E$6:$E$205,MATCH(C718,'CAD_RESÍDUOS'!$B$6:$B$205,0))&amp;"")</f>
        <v/>
      </c>
      <c r="E718" s="94" t="str">
        <f>IF(OR(R718=0,V718=0),"",INDEX('CAD_RESÍDUOS'!$C$6:$C$205,MATCH(C718,'CAD_RESÍDUOS'!$B$6:$B$205,0))&amp;"")</f>
        <v/>
      </c>
      <c r="F718" s="94" t="str">
        <f>IF(OR(R718=0,V718=0),"",INDEX('CAD_RESÍDUOS'!$G$6:$G$205,MATCH(C718,'CAD_RESÍDUOS'!$B$6:$B$205,0))&amp;"")</f>
        <v/>
      </c>
      <c r="G718" s="98" t="n"/>
      <c r="H718" s="91" t="n"/>
      <c r="I718" s="93" t="str">
        <f>IF(R718=0,"",IF(NOT(ISNUMBER(G718)),"",IF(ISNUMBER(X718),G718*X718,"UNIDADE A CONFERIR")))</f>
        <v/>
      </c>
      <c r="J718" s="91" t="n"/>
      <c r="K718" s="91" t="n"/>
      <c r="L718" s="93" t="str">
        <f>IF(R718=0,"",SUMIFS('RECEBIMENTOS'!$H$6:$H$1005,'RECEBIMENTOS'!$R$6:$R$1005,A718,'RECEBIMENTOS'!$X$6:$X$1005,1))</f>
        <v/>
      </c>
      <c r="M718" s="93" t="str">
        <f>IF(R718=0,"",SUMIFS('VÍNCULOS_CDF'!$H$6:$H$1005,'VÍNCULOS_CDF'!$R$6:$R$1005,A718,'VÍNCULOS_CDF'!$V$6:$V$1005,1))</f>
        <v/>
      </c>
      <c r="N718" s="99" t="str">
        <f>IF(OR(R718=0,AA718=0,NOT(ISNUMBER(I718))),"",I718-N(L718))</f>
        <v/>
      </c>
      <c r="O718" s="100" t="str">
        <f>IF(OR(R718=0,AK718&lt;=0),"",N(M718)/AK718)</f>
        <v/>
      </c>
      <c r="P718" s="94" t="str">
        <f>IF(R718=0,"",IF(S718="","Sem MTR associado",IF(U718=0,"MTR inexistente",IF(C718="","Resíduo não identificado",IF(V718=0,"Resíduo fora do cadastro",IF(W718=0,"Quantidade inválida",IF(H718="","Unidade não informada",IF(NOT(ISNUMBER(I718)),"Unidade a conferir",IF(AND(AH718=1,K718&lt;&gt;"Sim"),"Possível duplicidade",IF(Z718=1,"MTR cancelado",IF(AC718&gt;0,"Recebimento com alerta",IF(AA718=0,"Aguardando recebimento",IF(AB718&lt;AA718,"Recebimento a conferir",IF(AM718=1,"Quantidade a revisar",IF(AF718&gt;0,"Vínculo a revisar",IF(AD718=0,"Aguardando CDF",IF(AN718=0,"Vínculo de CDF parcial",IF(AE718&lt;AD718,"CDF a conferir","Documentação conferida"))))))))))))))))))</f>
        <v/>
      </c>
      <c r="Q718" s="93" t="str">
        <f>IF(OR(R718=0,AA718=0),"",MAX(0,N(L718)-N(M718)))</f>
        <v/>
      </c>
      <c r="R718" s="96">
        <f>IF(COUNTA(B718:C718,G718:H718,J718:K718)&gt;0,1,0)</f>
        <v>0</v>
      </c>
      <c r="S718" s="96" t="str">
        <f>IF(B718="","",TRIM(LEFT(B718,FIND(" |",B718&amp;" |")-1)))</f>
        <v/>
      </c>
      <c r="T718" s="96" t="str">
        <f>IF(S718="","",IFERROR(MATCH(S718,'MTRs'!$A$6:$A$505,0),""))</f>
        <v/>
      </c>
      <c r="U718" s="96">
        <f>IF(T718="",0,IF(INDEX('MTRs'!$Z$6:$Z$505,T718)=1,1,0))</f>
        <v>0</v>
      </c>
      <c r="V718" s="96">
        <f>IF(C718="",0,IF(ISNUMBER(MATCH(C718,'CAD_RESÍDUOS'!$B$6:$B$205,0)),1,0))</f>
        <v>0</v>
      </c>
      <c r="W718" s="96">
        <f>IF(AND(ISNUMBER(G718),G718&gt;0),1,0)</f>
        <v>0</v>
      </c>
      <c r="X718" s="96" t="str">
        <f>IF(H718="","",IFERROR(IF(ISNUMBER(INDEX(cfg_fac,MATCH(H718,cfg_units,0))),IF(INDEX(cfg_fac,MATCH(H718,cfg_units,0))&gt;0,INDEX(cfg_fac,MATCH(H718,cfg_units,0)),""),""),""))</f>
        <v/>
      </c>
      <c r="Y718" s="96">
        <f>IF(AND(W718=1,ISNUMBER(I718)),1,0)</f>
        <v>0</v>
      </c>
      <c r="Z718" s="96">
        <f>IF(U718=1,INDEX('MTRs'!$AA$6:$AA$505,T718),0)</f>
        <v>0</v>
      </c>
      <c r="AA718" s="96">
        <f>IF(R718=0,0,COUNTIFS('RECEBIMENTOS'!$R$6:$R$1005,A718,'RECEBIMENTOS'!$Q$6:$Q$1005,1))</f>
        <v>0</v>
      </c>
      <c r="AB718" s="96">
        <f>IF(R718=0,0,COUNTIFS('RECEBIMENTOS'!$R$6:$R$1005,A718,'RECEBIMENTOS'!$Z$6:$Z$1005,1))</f>
        <v>0</v>
      </c>
      <c r="AC718" s="96">
        <f>IF(R718=0,0,COUNTIFS('RECEBIMENTOS'!$R$6:$R$1005,A718,'RECEBIMENTOS'!$Y$6:$Y$1005,1))</f>
        <v>0</v>
      </c>
      <c r="AD718" s="96">
        <f>IF(R718=0,0,COUNTIFS('VÍNCULOS_CDF'!$R$6:$R$1005,A718,'VÍNCULOS_CDF'!$N$6:$N$1005,1))</f>
        <v>0</v>
      </c>
      <c r="AE718" s="96">
        <f>IF(R718=0,0,COUNTIFS('VÍNCULOS_CDF'!$R$6:$R$1005,A718,'VÍNCULOS_CDF'!$AA$6:$AA$1005,1))</f>
        <v>0</v>
      </c>
      <c r="AF718" s="96">
        <f>IF(R718=0,0,COUNTIFS('VÍNCULOS_CDF'!$R$6:$R$1005,A718,'VÍNCULOS_CDF'!$Y$6:$Y$1005,1))</f>
        <v>0</v>
      </c>
      <c r="AG718" s="96" t="str">
        <f>IF(AND(R718=1,S718&lt;&gt;"",C718&lt;&gt;""),S718&amp;"|"&amp;C718&amp;"|"&amp;G718&amp;"|"&amp;H718,"")</f>
        <v/>
      </c>
      <c r="AH718" s="96">
        <f>IF(AG718="",0,IF(SUMPRODUCT(--($AG$6:$AG$1005=AG718))&gt;1,1,0))</f>
        <v>0</v>
      </c>
      <c r="AI718" s="96">
        <f>IF(R718=0,0,IF(OR(U718=0,V718=0,Y718=0,AND(AH718=1,K718&lt;&gt;"Sim")),1,0))</f>
        <v>0</v>
      </c>
      <c r="AJ718" s="96">
        <f>IF(AND(R718=1,AA718&gt;0,AB718=AA718),1,0)</f>
        <v>0</v>
      </c>
      <c r="AK718" s="96">
        <f>IF(R718=0,0,IF(AA718&gt;0,N(L718),IF(ISNUMBER(I718),I718,0)))</f>
        <v>0</v>
      </c>
      <c r="AL718" s="96">
        <f>IF(R718=0,0,IF(AND(K718&lt;&gt;"Sim",N(M718)&gt;AK718+cfg_tol),1,0))</f>
        <v>0</v>
      </c>
      <c r="AM718" s="96">
        <f>IF(R718=0,0,IF(K718="Sim",0,IF(OR(AND(AA718&gt;0,ISNUMBER(I718),ABS(I718-N(L718))&gt;cfg_tol),AL718=1),1,0)))</f>
        <v>0</v>
      </c>
      <c r="AN718" s="96">
        <f>IF(AND(R718=1,N(M718)&gt;0,OR(N(M718)&gt;=AK718-cfg_tol,K718="Sim")),1,0)</f>
        <v>0</v>
      </c>
      <c r="AO718" s="96">
        <f>IF(AND(AN718=1,AD718&gt;0,AE718=AD718,AL718=0),1,0)</f>
        <v>0</v>
      </c>
      <c r="AP718" s="96">
        <f>IF(U718=0,0,IF(AND(INDEX('MTRs'!$AX$6:$AX$505,T718)=1,Z718=0,OR(f_res="",f_res="(Todos)",C718=f_res)),1,0))</f>
        <v>0</v>
      </c>
      <c r="AQ718" s="97" t="str">
        <f>IF(U718=0,"",INDEX('MTRs'!$AZ$6:$AZ$505,T718))</f>
        <v/>
      </c>
      <c r="AR718" s="96">
        <f>IF(U718=0,0,IF(AND(INDEX('MTRs'!$BA$6:$BA$505,T718)=1,Z718=0),1,0))</f>
        <v>0</v>
      </c>
      <c r="AS718" s="96" t="str">
        <f>IF(R718=1,A718&amp;" | MTR "&amp;IF(U718=1,INDEX('MTRs'!$B$6:$B$505,T718)&amp;"","?")&amp;" | "&amp;IF(C718="","(sem resíduo)",C718),"")</f>
        <v/>
      </c>
      <c r="AT718" s="96" t="str">
        <f>IF(R718=1,COUNTIF($R$6:R718,1),"")</f>
        <v/>
      </c>
      <c r="AU718" s="96" t="str">
        <f>IF(U718=1,INDEX('MTRs'!$I$6:$I$505,T718)&amp;"","")</f>
        <v/>
      </c>
    </row>
    <row r="719">
      <c r="A719" s="89" t="inlineStr">
        <is>
          <t>IT-000714</t>
        </is>
      </c>
      <c r="B719" s="91" t="n"/>
      <c r="C719" s="91" t="n"/>
      <c r="D719" s="94" t="str">
        <f>IF(OR(R719=0,V719=0),"",INDEX('CAD_RESÍDUOS'!$E$6:$E$205,MATCH(C719,'CAD_RESÍDUOS'!$B$6:$B$205,0))&amp;"")</f>
        <v/>
      </c>
      <c r="E719" s="94" t="str">
        <f>IF(OR(R719=0,V719=0),"",INDEX('CAD_RESÍDUOS'!$C$6:$C$205,MATCH(C719,'CAD_RESÍDUOS'!$B$6:$B$205,0))&amp;"")</f>
        <v/>
      </c>
      <c r="F719" s="94" t="str">
        <f>IF(OR(R719=0,V719=0),"",INDEX('CAD_RESÍDUOS'!$G$6:$G$205,MATCH(C719,'CAD_RESÍDUOS'!$B$6:$B$205,0))&amp;"")</f>
        <v/>
      </c>
      <c r="G719" s="98" t="n"/>
      <c r="H719" s="91" t="n"/>
      <c r="I719" s="93" t="str">
        <f>IF(R719=0,"",IF(NOT(ISNUMBER(G719)),"",IF(ISNUMBER(X719),G719*X719,"UNIDADE A CONFERIR")))</f>
        <v/>
      </c>
      <c r="J719" s="91" t="n"/>
      <c r="K719" s="91" t="n"/>
      <c r="L719" s="93" t="str">
        <f>IF(R719=0,"",SUMIFS('RECEBIMENTOS'!$H$6:$H$1005,'RECEBIMENTOS'!$R$6:$R$1005,A719,'RECEBIMENTOS'!$X$6:$X$1005,1))</f>
        <v/>
      </c>
      <c r="M719" s="93" t="str">
        <f>IF(R719=0,"",SUMIFS('VÍNCULOS_CDF'!$H$6:$H$1005,'VÍNCULOS_CDF'!$R$6:$R$1005,A719,'VÍNCULOS_CDF'!$V$6:$V$1005,1))</f>
        <v/>
      </c>
      <c r="N719" s="99" t="str">
        <f>IF(OR(R719=0,AA719=0,NOT(ISNUMBER(I719))),"",I719-N(L719))</f>
        <v/>
      </c>
      <c r="O719" s="100" t="str">
        <f>IF(OR(R719=0,AK719&lt;=0),"",N(M719)/AK719)</f>
        <v/>
      </c>
      <c r="P719" s="94" t="str">
        <f>IF(R719=0,"",IF(S719="","Sem MTR associado",IF(U719=0,"MTR inexistente",IF(C719="","Resíduo não identificado",IF(V719=0,"Resíduo fora do cadastro",IF(W719=0,"Quantidade inválida",IF(H719="","Unidade não informada",IF(NOT(ISNUMBER(I719)),"Unidade a conferir",IF(AND(AH719=1,K719&lt;&gt;"Sim"),"Possível duplicidade",IF(Z719=1,"MTR cancelado",IF(AC719&gt;0,"Recebimento com alerta",IF(AA719=0,"Aguardando recebimento",IF(AB719&lt;AA719,"Recebimento a conferir",IF(AM719=1,"Quantidade a revisar",IF(AF719&gt;0,"Vínculo a revisar",IF(AD719=0,"Aguardando CDF",IF(AN719=0,"Vínculo de CDF parcial",IF(AE719&lt;AD719,"CDF a conferir","Documentação conferida"))))))))))))))))))</f>
        <v/>
      </c>
      <c r="Q719" s="93" t="str">
        <f>IF(OR(R719=0,AA719=0),"",MAX(0,N(L719)-N(M719)))</f>
        <v/>
      </c>
      <c r="R719" s="96">
        <f>IF(COUNTA(B719:C719,G719:H719,J719:K719)&gt;0,1,0)</f>
        <v>0</v>
      </c>
      <c r="S719" s="96" t="str">
        <f>IF(B719="","",TRIM(LEFT(B719,FIND(" |",B719&amp;" |")-1)))</f>
        <v/>
      </c>
      <c r="T719" s="96" t="str">
        <f>IF(S719="","",IFERROR(MATCH(S719,'MTRs'!$A$6:$A$505,0),""))</f>
        <v/>
      </c>
      <c r="U719" s="96">
        <f>IF(T719="",0,IF(INDEX('MTRs'!$Z$6:$Z$505,T719)=1,1,0))</f>
        <v>0</v>
      </c>
      <c r="V719" s="96">
        <f>IF(C719="",0,IF(ISNUMBER(MATCH(C719,'CAD_RESÍDUOS'!$B$6:$B$205,0)),1,0))</f>
        <v>0</v>
      </c>
      <c r="W719" s="96">
        <f>IF(AND(ISNUMBER(G719),G719&gt;0),1,0)</f>
        <v>0</v>
      </c>
      <c r="X719" s="96" t="str">
        <f>IF(H719="","",IFERROR(IF(ISNUMBER(INDEX(cfg_fac,MATCH(H719,cfg_units,0))),IF(INDEX(cfg_fac,MATCH(H719,cfg_units,0))&gt;0,INDEX(cfg_fac,MATCH(H719,cfg_units,0)),""),""),""))</f>
        <v/>
      </c>
      <c r="Y719" s="96">
        <f>IF(AND(W719=1,ISNUMBER(I719)),1,0)</f>
        <v>0</v>
      </c>
      <c r="Z719" s="96">
        <f>IF(U719=1,INDEX('MTRs'!$AA$6:$AA$505,T719),0)</f>
        <v>0</v>
      </c>
      <c r="AA719" s="96">
        <f>IF(R719=0,0,COUNTIFS('RECEBIMENTOS'!$R$6:$R$1005,A719,'RECEBIMENTOS'!$Q$6:$Q$1005,1))</f>
        <v>0</v>
      </c>
      <c r="AB719" s="96">
        <f>IF(R719=0,0,COUNTIFS('RECEBIMENTOS'!$R$6:$R$1005,A719,'RECEBIMENTOS'!$Z$6:$Z$1005,1))</f>
        <v>0</v>
      </c>
      <c r="AC719" s="96">
        <f>IF(R719=0,0,COUNTIFS('RECEBIMENTOS'!$R$6:$R$1005,A719,'RECEBIMENTOS'!$Y$6:$Y$1005,1))</f>
        <v>0</v>
      </c>
      <c r="AD719" s="96">
        <f>IF(R719=0,0,COUNTIFS('VÍNCULOS_CDF'!$R$6:$R$1005,A719,'VÍNCULOS_CDF'!$N$6:$N$1005,1))</f>
        <v>0</v>
      </c>
      <c r="AE719" s="96">
        <f>IF(R719=0,0,COUNTIFS('VÍNCULOS_CDF'!$R$6:$R$1005,A719,'VÍNCULOS_CDF'!$AA$6:$AA$1005,1))</f>
        <v>0</v>
      </c>
      <c r="AF719" s="96">
        <f>IF(R719=0,0,COUNTIFS('VÍNCULOS_CDF'!$R$6:$R$1005,A719,'VÍNCULOS_CDF'!$Y$6:$Y$1005,1))</f>
        <v>0</v>
      </c>
      <c r="AG719" s="96" t="str">
        <f>IF(AND(R719=1,S719&lt;&gt;"",C719&lt;&gt;""),S719&amp;"|"&amp;C719&amp;"|"&amp;G719&amp;"|"&amp;H719,"")</f>
        <v/>
      </c>
      <c r="AH719" s="96">
        <f>IF(AG719="",0,IF(SUMPRODUCT(--($AG$6:$AG$1005=AG719))&gt;1,1,0))</f>
        <v>0</v>
      </c>
      <c r="AI719" s="96">
        <f>IF(R719=0,0,IF(OR(U719=0,V719=0,Y719=0,AND(AH719=1,K719&lt;&gt;"Sim")),1,0))</f>
        <v>0</v>
      </c>
      <c r="AJ719" s="96">
        <f>IF(AND(R719=1,AA719&gt;0,AB719=AA719),1,0)</f>
        <v>0</v>
      </c>
      <c r="AK719" s="96">
        <f>IF(R719=0,0,IF(AA719&gt;0,N(L719),IF(ISNUMBER(I719),I719,0)))</f>
        <v>0</v>
      </c>
      <c r="AL719" s="96">
        <f>IF(R719=0,0,IF(AND(K719&lt;&gt;"Sim",N(M719)&gt;AK719+cfg_tol),1,0))</f>
        <v>0</v>
      </c>
      <c r="AM719" s="96">
        <f>IF(R719=0,0,IF(K719="Sim",0,IF(OR(AND(AA719&gt;0,ISNUMBER(I719),ABS(I719-N(L719))&gt;cfg_tol),AL719=1),1,0)))</f>
        <v>0</v>
      </c>
      <c r="AN719" s="96">
        <f>IF(AND(R719=1,N(M719)&gt;0,OR(N(M719)&gt;=AK719-cfg_tol,K719="Sim")),1,0)</f>
        <v>0</v>
      </c>
      <c r="AO719" s="96">
        <f>IF(AND(AN719=1,AD719&gt;0,AE719=AD719,AL719=0),1,0)</f>
        <v>0</v>
      </c>
      <c r="AP719" s="96">
        <f>IF(U719=0,0,IF(AND(INDEX('MTRs'!$AX$6:$AX$505,T719)=1,Z719=0,OR(f_res="",f_res="(Todos)",C719=f_res)),1,0))</f>
        <v>0</v>
      </c>
      <c r="AQ719" s="97" t="str">
        <f>IF(U719=0,"",INDEX('MTRs'!$AZ$6:$AZ$505,T719))</f>
        <v/>
      </c>
      <c r="AR719" s="96">
        <f>IF(U719=0,0,IF(AND(INDEX('MTRs'!$BA$6:$BA$505,T719)=1,Z719=0),1,0))</f>
        <v>0</v>
      </c>
      <c r="AS719" s="96" t="str">
        <f>IF(R719=1,A719&amp;" | MTR "&amp;IF(U719=1,INDEX('MTRs'!$B$6:$B$505,T719)&amp;"","?")&amp;" | "&amp;IF(C719="","(sem resíduo)",C719),"")</f>
        <v/>
      </c>
      <c r="AT719" s="96" t="str">
        <f>IF(R719=1,COUNTIF($R$6:R719,1),"")</f>
        <v/>
      </c>
      <c r="AU719" s="96" t="str">
        <f>IF(U719=1,INDEX('MTRs'!$I$6:$I$505,T719)&amp;"","")</f>
        <v/>
      </c>
    </row>
    <row r="720">
      <c r="A720" s="89" t="inlineStr">
        <is>
          <t>IT-000715</t>
        </is>
      </c>
      <c r="B720" s="91" t="n"/>
      <c r="C720" s="91" t="n"/>
      <c r="D720" s="94" t="str">
        <f>IF(OR(R720=0,V720=0),"",INDEX('CAD_RESÍDUOS'!$E$6:$E$205,MATCH(C720,'CAD_RESÍDUOS'!$B$6:$B$205,0))&amp;"")</f>
        <v/>
      </c>
      <c r="E720" s="94" t="str">
        <f>IF(OR(R720=0,V720=0),"",INDEX('CAD_RESÍDUOS'!$C$6:$C$205,MATCH(C720,'CAD_RESÍDUOS'!$B$6:$B$205,0))&amp;"")</f>
        <v/>
      </c>
      <c r="F720" s="94" t="str">
        <f>IF(OR(R720=0,V720=0),"",INDEX('CAD_RESÍDUOS'!$G$6:$G$205,MATCH(C720,'CAD_RESÍDUOS'!$B$6:$B$205,0))&amp;"")</f>
        <v/>
      </c>
      <c r="G720" s="98" t="n"/>
      <c r="H720" s="91" t="n"/>
      <c r="I720" s="93" t="str">
        <f>IF(R720=0,"",IF(NOT(ISNUMBER(G720)),"",IF(ISNUMBER(X720),G720*X720,"UNIDADE A CONFERIR")))</f>
        <v/>
      </c>
      <c r="J720" s="91" t="n"/>
      <c r="K720" s="91" t="n"/>
      <c r="L720" s="93" t="str">
        <f>IF(R720=0,"",SUMIFS('RECEBIMENTOS'!$H$6:$H$1005,'RECEBIMENTOS'!$R$6:$R$1005,A720,'RECEBIMENTOS'!$X$6:$X$1005,1))</f>
        <v/>
      </c>
      <c r="M720" s="93" t="str">
        <f>IF(R720=0,"",SUMIFS('VÍNCULOS_CDF'!$H$6:$H$1005,'VÍNCULOS_CDF'!$R$6:$R$1005,A720,'VÍNCULOS_CDF'!$V$6:$V$1005,1))</f>
        <v/>
      </c>
      <c r="N720" s="99" t="str">
        <f>IF(OR(R720=0,AA720=0,NOT(ISNUMBER(I720))),"",I720-N(L720))</f>
        <v/>
      </c>
      <c r="O720" s="100" t="str">
        <f>IF(OR(R720=0,AK720&lt;=0),"",N(M720)/AK720)</f>
        <v/>
      </c>
      <c r="P720" s="94" t="str">
        <f>IF(R720=0,"",IF(S720="","Sem MTR associado",IF(U720=0,"MTR inexistente",IF(C720="","Resíduo não identificado",IF(V720=0,"Resíduo fora do cadastro",IF(W720=0,"Quantidade inválida",IF(H720="","Unidade não informada",IF(NOT(ISNUMBER(I720)),"Unidade a conferir",IF(AND(AH720=1,K720&lt;&gt;"Sim"),"Possível duplicidade",IF(Z720=1,"MTR cancelado",IF(AC720&gt;0,"Recebimento com alerta",IF(AA720=0,"Aguardando recebimento",IF(AB720&lt;AA720,"Recebimento a conferir",IF(AM720=1,"Quantidade a revisar",IF(AF720&gt;0,"Vínculo a revisar",IF(AD720=0,"Aguardando CDF",IF(AN720=0,"Vínculo de CDF parcial",IF(AE720&lt;AD720,"CDF a conferir","Documentação conferida"))))))))))))))))))</f>
        <v/>
      </c>
      <c r="Q720" s="93" t="str">
        <f>IF(OR(R720=0,AA720=0),"",MAX(0,N(L720)-N(M720)))</f>
        <v/>
      </c>
      <c r="R720" s="96">
        <f>IF(COUNTA(B720:C720,G720:H720,J720:K720)&gt;0,1,0)</f>
        <v>0</v>
      </c>
      <c r="S720" s="96" t="str">
        <f>IF(B720="","",TRIM(LEFT(B720,FIND(" |",B720&amp;" |")-1)))</f>
        <v/>
      </c>
      <c r="T720" s="96" t="str">
        <f>IF(S720="","",IFERROR(MATCH(S720,'MTRs'!$A$6:$A$505,0),""))</f>
        <v/>
      </c>
      <c r="U720" s="96">
        <f>IF(T720="",0,IF(INDEX('MTRs'!$Z$6:$Z$505,T720)=1,1,0))</f>
        <v>0</v>
      </c>
      <c r="V720" s="96">
        <f>IF(C720="",0,IF(ISNUMBER(MATCH(C720,'CAD_RESÍDUOS'!$B$6:$B$205,0)),1,0))</f>
        <v>0</v>
      </c>
      <c r="W720" s="96">
        <f>IF(AND(ISNUMBER(G720),G720&gt;0),1,0)</f>
        <v>0</v>
      </c>
      <c r="X720" s="96" t="str">
        <f>IF(H720="","",IFERROR(IF(ISNUMBER(INDEX(cfg_fac,MATCH(H720,cfg_units,0))),IF(INDEX(cfg_fac,MATCH(H720,cfg_units,0))&gt;0,INDEX(cfg_fac,MATCH(H720,cfg_units,0)),""),""),""))</f>
        <v/>
      </c>
      <c r="Y720" s="96">
        <f>IF(AND(W720=1,ISNUMBER(I720)),1,0)</f>
        <v>0</v>
      </c>
      <c r="Z720" s="96">
        <f>IF(U720=1,INDEX('MTRs'!$AA$6:$AA$505,T720),0)</f>
        <v>0</v>
      </c>
      <c r="AA720" s="96">
        <f>IF(R720=0,0,COUNTIFS('RECEBIMENTOS'!$R$6:$R$1005,A720,'RECEBIMENTOS'!$Q$6:$Q$1005,1))</f>
        <v>0</v>
      </c>
      <c r="AB720" s="96">
        <f>IF(R720=0,0,COUNTIFS('RECEBIMENTOS'!$R$6:$R$1005,A720,'RECEBIMENTOS'!$Z$6:$Z$1005,1))</f>
        <v>0</v>
      </c>
      <c r="AC720" s="96">
        <f>IF(R720=0,0,COUNTIFS('RECEBIMENTOS'!$R$6:$R$1005,A720,'RECEBIMENTOS'!$Y$6:$Y$1005,1))</f>
        <v>0</v>
      </c>
      <c r="AD720" s="96">
        <f>IF(R720=0,0,COUNTIFS('VÍNCULOS_CDF'!$R$6:$R$1005,A720,'VÍNCULOS_CDF'!$N$6:$N$1005,1))</f>
        <v>0</v>
      </c>
      <c r="AE720" s="96">
        <f>IF(R720=0,0,COUNTIFS('VÍNCULOS_CDF'!$R$6:$R$1005,A720,'VÍNCULOS_CDF'!$AA$6:$AA$1005,1))</f>
        <v>0</v>
      </c>
      <c r="AF720" s="96">
        <f>IF(R720=0,0,COUNTIFS('VÍNCULOS_CDF'!$R$6:$R$1005,A720,'VÍNCULOS_CDF'!$Y$6:$Y$1005,1))</f>
        <v>0</v>
      </c>
      <c r="AG720" s="96" t="str">
        <f>IF(AND(R720=1,S720&lt;&gt;"",C720&lt;&gt;""),S720&amp;"|"&amp;C720&amp;"|"&amp;G720&amp;"|"&amp;H720,"")</f>
        <v/>
      </c>
      <c r="AH720" s="96">
        <f>IF(AG720="",0,IF(SUMPRODUCT(--($AG$6:$AG$1005=AG720))&gt;1,1,0))</f>
        <v>0</v>
      </c>
      <c r="AI720" s="96">
        <f>IF(R720=0,0,IF(OR(U720=0,V720=0,Y720=0,AND(AH720=1,K720&lt;&gt;"Sim")),1,0))</f>
        <v>0</v>
      </c>
      <c r="AJ720" s="96">
        <f>IF(AND(R720=1,AA720&gt;0,AB720=AA720),1,0)</f>
        <v>0</v>
      </c>
      <c r="AK720" s="96">
        <f>IF(R720=0,0,IF(AA720&gt;0,N(L720),IF(ISNUMBER(I720),I720,0)))</f>
        <v>0</v>
      </c>
      <c r="AL720" s="96">
        <f>IF(R720=0,0,IF(AND(K720&lt;&gt;"Sim",N(M720)&gt;AK720+cfg_tol),1,0))</f>
        <v>0</v>
      </c>
      <c r="AM720" s="96">
        <f>IF(R720=0,0,IF(K720="Sim",0,IF(OR(AND(AA720&gt;0,ISNUMBER(I720),ABS(I720-N(L720))&gt;cfg_tol),AL720=1),1,0)))</f>
        <v>0</v>
      </c>
      <c r="AN720" s="96">
        <f>IF(AND(R720=1,N(M720)&gt;0,OR(N(M720)&gt;=AK720-cfg_tol,K720="Sim")),1,0)</f>
        <v>0</v>
      </c>
      <c r="AO720" s="96">
        <f>IF(AND(AN720=1,AD720&gt;0,AE720=AD720,AL720=0),1,0)</f>
        <v>0</v>
      </c>
      <c r="AP720" s="96">
        <f>IF(U720=0,0,IF(AND(INDEX('MTRs'!$AX$6:$AX$505,T720)=1,Z720=0,OR(f_res="",f_res="(Todos)",C720=f_res)),1,0))</f>
        <v>0</v>
      </c>
      <c r="AQ720" s="97" t="str">
        <f>IF(U720=0,"",INDEX('MTRs'!$AZ$6:$AZ$505,T720))</f>
        <v/>
      </c>
      <c r="AR720" s="96">
        <f>IF(U720=0,0,IF(AND(INDEX('MTRs'!$BA$6:$BA$505,T720)=1,Z720=0),1,0))</f>
        <v>0</v>
      </c>
      <c r="AS720" s="96" t="str">
        <f>IF(R720=1,A720&amp;" | MTR "&amp;IF(U720=1,INDEX('MTRs'!$B$6:$B$505,T720)&amp;"","?")&amp;" | "&amp;IF(C720="","(sem resíduo)",C720),"")</f>
        <v/>
      </c>
      <c r="AT720" s="96" t="str">
        <f>IF(R720=1,COUNTIF($R$6:R720,1),"")</f>
        <v/>
      </c>
      <c r="AU720" s="96" t="str">
        <f>IF(U720=1,INDEX('MTRs'!$I$6:$I$505,T720)&amp;"","")</f>
        <v/>
      </c>
    </row>
    <row r="721">
      <c r="A721" s="89" t="inlineStr">
        <is>
          <t>IT-000716</t>
        </is>
      </c>
      <c r="B721" s="91" t="n"/>
      <c r="C721" s="91" t="n"/>
      <c r="D721" s="94" t="str">
        <f>IF(OR(R721=0,V721=0),"",INDEX('CAD_RESÍDUOS'!$E$6:$E$205,MATCH(C721,'CAD_RESÍDUOS'!$B$6:$B$205,0))&amp;"")</f>
        <v/>
      </c>
      <c r="E721" s="94" t="str">
        <f>IF(OR(R721=0,V721=0),"",INDEX('CAD_RESÍDUOS'!$C$6:$C$205,MATCH(C721,'CAD_RESÍDUOS'!$B$6:$B$205,0))&amp;"")</f>
        <v/>
      </c>
      <c r="F721" s="94" t="str">
        <f>IF(OR(R721=0,V721=0),"",INDEX('CAD_RESÍDUOS'!$G$6:$G$205,MATCH(C721,'CAD_RESÍDUOS'!$B$6:$B$205,0))&amp;"")</f>
        <v/>
      </c>
      <c r="G721" s="98" t="n"/>
      <c r="H721" s="91" t="n"/>
      <c r="I721" s="93" t="str">
        <f>IF(R721=0,"",IF(NOT(ISNUMBER(G721)),"",IF(ISNUMBER(X721),G721*X721,"UNIDADE A CONFERIR")))</f>
        <v/>
      </c>
      <c r="J721" s="91" t="n"/>
      <c r="K721" s="91" t="n"/>
      <c r="L721" s="93" t="str">
        <f>IF(R721=0,"",SUMIFS('RECEBIMENTOS'!$H$6:$H$1005,'RECEBIMENTOS'!$R$6:$R$1005,A721,'RECEBIMENTOS'!$X$6:$X$1005,1))</f>
        <v/>
      </c>
      <c r="M721" s="93" t="str">
        <f>IF(R721=0,"",SUMIFS('VÍNCULOS_CDF'!$H$6:$H$1005,'VÍNCULOS_CDF'!$R$6:$R$1005,A721,'VÍNCULOS_CDF'!$V$6:$V$1005,1))</f>
        <v/>
      </c>
      <c r="N721" s="99" t="str">
        <f>IF(OR(R721=0,AA721=0,NOT(ISNUMBER(I721))),"",I721-N(L721))</f>
        <v/>
      </c>
      <c r="O721" s="100" t="str">
        <f>IF(OR(R721=0,AK721&lt;=0),"",N(M721)/AK721)</f>
        <v/>
      </c>
      <c r="P721" s="94" t="str">
        <f>IF(R721=0,"",IF(S721="","Sem MTR associado",IF(U721=0,"MTR inexistente",IF(C721="","Resíduo não identificado",IF(V721=0,"Resíduo fora do cadastro",IF(W721=0,"Quantidade inválida",IF(H721="","Unidade não informada",IF(NOT(ISNUMBER(I721)),"Unidade a conferir",IF(AND(AH721=1,K721&lt;&gt;"Sim"),"Possível duplicidade",IF(Z721=1,"MTR cancelado",IF(AC721&gt;0,"Recebimento com alerta",IF(AA721=0,"Aguardando recebimento",IF(AB721&lt;AA721,"Recebimento a conferir",IF(AM721=1,"Quantidade a revisar",IF(AF721&gt;0,"Vínculo a revisar",IF(AD721=0,"Aguardando CDF",IF(AN721=0,"Vínculo de CDF parcial",IF(AE721&lt;AD721,"CDF a conferir","Documentação conferida"))))))))))))))))))</f>
        <v/>
      </c>
      <c r="Q721" s="93" t="str">
        <f>IF(OR(R721=0,AA721=0),"",MAX(0,N(L721)-N(M721)))</f>
        <v/>
      </c>
      <c r="R721" s="96">
        <f>IF(COUNTA(B721:C721,G721:H721,J721:K721)&gt;0,1,0)</f>
        <v>0</v>
      </c>
      <c r="S721" s="96" t="str">
        <f>IF(B721="","",TRIM(LEFT(B721,FIND(" |",B721&amp;" |")-1)))</f>
        <v/>
      </c>
      <c r="T721" s="96" t="str">
        <f>IF(S721="","",IFERROR(MATCH(S721,'MTRs'!$A$6:$A$505,0),""))</f>
        <v/>
      </c>
      <c r="U721" s="96">
        <f>IF(T721="",0,IF(INDEX('MTRs'!$Z$6:$Z$505,T721)=1,1,0))</f>
        <v>0</v>
      </c>
      <c r="V721" s="96">
        <f>IF(C721="",0,IF(ISNUMBER(MATCH(C721,'CAD_RESÍDUOS'!$B$6:$B$205,0)),1,0))</f>
        <v>0</v>
      </c>
      <c r="W721" s="96">
        <f>IF(AND(ISNUMBER(G721),G721&gt;0),1,0)</f>
        <v>0</v>
      </c>
      <c r="X721" s="96" t="str">
        <f>IF(H721="","",IFERROR(IF(ISNUMBER(INDEX(cfg_fac,MATCH(H721,cfg_units,0))),IF(INDEX(cfg_fac,MATCH(H721,cfg_units,0))&gt;0,INDEX(cfg_fac,MATCH(H721,cfg_units,0)),""),""),""))</f>
        <v/>
      </c>
      <c r="Y721" s="96">
        <f>IF(AND(W721=1,ISNUMBER(I721)),1,0)</f>
        <v>0</v>
      </c>
      <c r="Z721" s="96">
        <f>IF(U721=1,INDEX('MTRs'!$AA$6:$AA$505,T721),0)</f>
        <v>0</v>
      </c>
      <c r="AA721" s="96">
        <f>IF(R721=0,0,COUNTIFS('RECEBIMENTOS'!$R$6:$R$1005,A721,'RECEBIMENTOS'!$Q$6:$Q$1005,1))</f>
        <v>0</v>
      </c>
      <c r="AB721" s="96">
        <f>IF(R721=0,0,COUNTIFS('RECEBIMENTOS'!$R$6:$R$1005,A721,'RECEBIMENTOS'!$Z$6:$Z$1005,1))</f>
        <v>0</v>
      </c>
      <c r="AC721" s="96">
        <f>IF(R721=0,0,COUNTIFS('RECEBIMENTOS'!$R$6:$R$1005,A721,'RECEBIMENTOS'!$Y$6:$Y$1005,1))</f>
        <v>0</v>
      </c>
      <c r="AD721" s="96">
        <f>IF(R721=0,0,COUNTIFS('VÍNCULOS_CDF'!$R$6:$R$1005,A721,'VÍNCULOS_CDF'!$N$6:$N$1005,1))</f>
        <v>0</v>
      </c>
      <c r="AE721" s="96">
        <f>IF(R721=0,0,COUNTIFS('VÍNCULOS_CDF'!$R$6:$R$1005,A721,'VÍNCULOS_CDF'!$AA$6:$AA$1005,1))</f>
        <v>0</v>
      </c>
      <c r="AF721" s="96">
        <f>IF(R721=0,0,COUNTIFS('VÍNCULOS_CDF'!$R$6:$R$1005,A721,'VÍNCULOS_CDF'!$Y$6:$Y$1005,1))</f>
        <v>0</v>
      </c>
      <c r="AG721" s="96" t="str">
        <f>IF(AND(R721=1,S721&lt;&gt;"",C721&lt;&gt;""),S721&amp;"|"&amp;C721&amp;"|"&amp;G721&amp;"|"&amp;H721,"")</f>
        <v/>
      </c>
      <c r="AH721" s="96">
        <f>IF(AG721="",0,IF(SUMPRODUCT(--($AG$6:$AG$1005=AG721))&gt;1,1,0))</f>
        <v>0</v>
      </c>
      <c r="AI721" s="96">
        <f>IF(R721=0,0,IF(OR(U721=0,V721=0,Y721=0,AND(AH721=1,K721&lt;&gt;"Sim")),1,0))</f>
        <v>0</v>
      </c>
      <c r="AJ721" s="96">
        <f>IF(AND(R721=1,AA721&gt;0,AB721=AA721),1,0)</f>
        <v>0</v>
      </c>
      <c r="AK721" s="96">
        <f>IF(R721=0,0,IF(AA721&gt;0,N(L721),IF(ISNUMBER(I721),I721,0)))</f>
        <v>0</v>
      </c>
      <c r="AL721" s="96">
        <f>IF(R721=0,0,IF(AND(K721&lt;&gt;"Sim",N(M721)&gt;AK721+cfg_tol),1,0))</f>
        <v>0</v>
      </c>
      <c r="AM721" s="96">
        <f>IF(R721=0,0,IF(K721="Sim",0,IF(OR(AND(AA721&gt;0,ISNUMBER(I721),ABS(I721-N(L721))&gt;cfg_tol),AL721=1),1,0)))</f>
        <v>0</v>
      </c>
      <c r="AN721" s="96">
        <f>IF(AND(R721=1,N(M721)&gt;0,OR(N(M721)&gt;=AK721-cfg_tol,K721="Sim")),1,0)</f>
        <v>0</v>
      </c>
      <c r="AO721" s="96">
        <f>IF(AND(AN721=1,AD721&gt;0,AE721=AD721,AL721=0),1,0)</f>
        <v>0</v>
      </c>
      <c r="AP721" s="96">
        <f>IF(U721=0,0,IF(AND(INDEX('MTRs'!$AX$6:$AX$505,T721)=1,Z721=0,OR(f_res="",f_res="(Todos)",C721=f_res)),1,0))</f>
        <v>0</v>
      </c>
      <c r="AQ721" s="97" t="str">
        <f>IF(U721=0,"",INDEX('MTRs'!$AZ$6:$AZ$505,T721))</f>
        <v/>
      </c>
      <c r="AR721" s="96">
        <f>IF(U721=0,0,IF(AND(INDEX('MTRs'!$BA$6:$BA$505,T721)=1,Z721=0),1,0))</f>
        <v>0</v>
      </c>
      <c r="AS721" s="96" t="str">
        <f>IF(R721=1,A721&amp;" | MTR "&amp;IF(U721=1,INDEX('MTRs'!$B$6:$B$505,T721)&amp;"","?")&amp;" | "&amp;IF(C721="","(sem resíduo)",C721),"")</f>
        <v/>
      </c>
      <c r="AT721" s="96" t="str">
        <f>IF(R721=1,COUNTIF($R$6:R721,1),"")</f>
        <v/>
      </c>
      <c r="AU721" s="96" t="str">
        <f>IF(U721=1,INDEX('MTRs'!$I$6:$I$505,T721)&amp;"","")</f>
        <v/>
      </c>
    </row>
    <row r="722">
      <c r="A722" s="89" t="inlineStr">
        <is>
          <t>IT-000717</t>
        </is>
      </c>
      <c r="B722" s="91" t="n"/>
      <c r="C722" s="91" t="n"/>
      <c r="D722" s="94" t="str">
        <f>IF(OR(R722=0,V722=0),"",INDEX('CAD_RESÍDUOS'!$E$6:$E$205,MATCH(C722,'CAD_RESÍDUOS'!$B$6:$B$205,0))&amp;"")</f>
        <v/>
      </c>
      <c r="E722" s="94" t="str">
        <f>IF(OR(R722=0,V722=0),"",INDEX('CAD_RESÍDUOS'!$C$6:$C$205,MATCH(C722,'CAD_RESÍDUOS'!$B$6:$B$205,0))&amp;"")</f>
        <v/>
      </c>
      <c r="F722" s="94" t="str">
        <f>IF(OR(R722=0,V722=0),"",INDEX('CAD_RESÍDUOS'!$G$6:$G$205,MATCH(C722,'CAD_RESÍDUOS'!$B$6:$B$205,0))&amp;"")</f>
        <v/>
      </c>
      <c r="G722" s="98" t="n"/>
      <c r="H722" s="91" t="n"/>
      <c r="I722" s="93" t="str">
        <f>IF(R722=0,"",IF(NOT(ISNUMBER(G722)),"",IF(ISNUMBER(X722),G722*X722,"UNIDADE A CONFERIR")))</f>
        <v/>
      </c>
      <c r="J722" s="91" t="n"/>
      <c r="K722" s="91" t="n"/>
      <c r="L722" s="93" t="str">
        <f>IF(R722=0,"",SUMIFS('RECEBIMENTOS'!$H$6:$H$1005,'RECEBIMENTOS'!$R$6:$R$1005,A722,'RECEBIMENTOS'!$X$6:$X$1005,1))</f>
        <v/>
      </c>
      <c r="M722" s="93" t="str">
        <f>IF(R722=0,"",SUMIFS('VÍNCULOS_CDF'!$H$6:$H$1005,'VÍNCULOS_CDF'!$R$6:$R$1005,A722,'VÍNCULOS_CDF'!$V$6:$V$1005,1))</f>
        <v/>
      </c>
      <c r="N722" s="99" t="str">
        <f>IF(OR(R722=0,AA722=0,NOT(ISNUMBER(I722))),"",I722-N(L722))</f>
        <v/>
      </c>
      <c r="O722" s="100" t="str">
        <f>IF(OR(R722=0,AK722&lt;=0),"",N(M722)/AK722)</f>
        <v/>
      </c>
      <c r="P722" s="94" t="str">
        <f>IF(R722=0,"",IF(S722="","Sem MTR associado",IF(U722=0,"MTR inexistente",IF(C722="","Resíduo não identificado",IF(V722=0,"Resíduo fora do cadastro",IF(W722=0,"Quantidade inválida",IF(H722="","Unidade não informada",IF(NOT(ISNUMBER(I722)),"Unidade a conferir",IF(AND(AH722=1,K722&lt;&gt;"Sim"),"Possível duplicidade",IF(Z722=1,"MTR cancelado",IF(AC722&gt;0,"Recebimento com alerta",IF(AA722=0,"Aguardando recebimento",IF(AB722&lt;AA722,"Recebimento a conferir",IF(AM722=1,"Quantidade a revisar",IF(AF722&gt;0,"Vínculo a revisar",IF(AD722=0,"Aguardando CDF",IF(AN722=0,"Vínculo de CDF parcial",IF(AE722&lt;AD722,"CDF a conferir","Documentação conferida"))))))))))))))))))</f>
        <v/>
      </c>
      <c r="Q722" s="93" t="str">
        <f>IF(OR(R722=0,AA722=0),"",MAX(0,N(L722)-N(M722)))</f>
        <v/>
      </c>
      <c r="R722" s="96">
        <f>IF(COUNTA(B722:C722,G722:H722,J722:K722)&gt;0,1,0)</f>
        <v>0</v>
      </c>
      <c r="S722" s="96" t="str">
        <f>IF(B722="","",TRIM(LEFT(B722,FIND(" |",B722&amp;" |")-1)))</f>
        <v/>
      </c>
      <c r="T722" s="96" t="str">
        <f>IF(S722="","",IFERROR(MATCH(S722,'MTRs'!$A$6:$A$505,0),""))</f>
        <v/>
      </c>
      <c r="U722" s="96">
        <f>IF(T722="",0,IF(INDEX('MTRs'!$Z$6:$Z$505,T722)=1,1,0))</f>
        <v>0</v>
      </c>
      <c r="V722" s="96">
        <f>IF(C722="",0,IF(ISNUMBER(MATCH(C722,'CAD_RESÍDUOS'!$B$6:$B$205,0)),1,0))</f>
        <v>0</v>
      </c>
      <c r="W722" s="96">
        <f>IF(AND(ISNUMBER(G722),G722&gt;0),1,0)</f>
        <v>0</v>
      </c>
      <c r="X722" s="96" t="str">
        <f>IF(H722="","",IFERROR(IF(ISNUMBER(INDEX(cfg_fac,MATCH(H722,cfg_units,0))),IF(INDEX(cfg_fac,MATCH(H722,cfg_units,0))&gt;0,INDEX(cfg_fac,MATCH(H722,cfg_units,0)),""),""),""))</f>
        <v/>
      </c>
      <c r="Y722" s="96">
        <f>IF(AND(W722=1,ISNUMBER(I722)),1,0)</f>
        <v>0</v>
      </c>
      <c r="Z722" s="96">
        <f>IF(U722=1,INDEX('MTRs'!$AA$6:$AA$505,T722),0)</f>
        <v>0</v>
      </c>
      <c r="AA722" s="96">
        <f>IF(R722=0,0,COUNTIFS('RECEBIMENTOS'!$R$6:$R$1005,A722,'RECEBIMENTOS'!$Q$6:$Q$1005,1))</f>
        <v>0</v>
      </c>
      <c r="AB722" s="96">
        <f>IF(R722=0,0,COUNTIFS('RECEBIMENTOS'!$R$6:$R$1005,A722,'RECEBIMENTOS'!$Z$6:$Z$1005,1))</f>
        <v>0</v>
      </c>
      <c r="AC722" s="96">
        <f>IF(R722=0,0,COUNTIFS('RECEBIMENTOS'!$R$6:$R$1005,A722,'RECEBIMENTOS'!$Y$6:$Y$1005,1))</f>
        <v>0</v>
      </c>
      <c r="AD722" s="96">
        <f>IF(R722=0,0,COUNTIFS('VÍNCULOS_CDF'!$R$6:$R$1005,A722,'VÍNCULOS_CDF'!$N$6:$N$1005,1))</f>
        <v>0</v>
      </c>
      <c r="AE722" s="96">
        <f>IF(R722=0,0,COUNTIFS('VÍNCULOS_CDF'!$R$6:$R$1005,A722,'VÍNCULOS_CDF'!$AA$6:$AA$1005,1))</f>
        <v>0</v>
      </c>
      <c r="AF722" s="96">
        <f>IF(R722=0,0,COUNTIFS('VÍNCULOS_CDF'!$R$6:$R$1005,A722,'VÍNCULOS_CDF'!$Y$6:$Y$1005,1))</f>
        <v>0</v>
      </c>
      <c r="AG722" s="96" t="str">
        <f>IF(AND(R722=1,S722&lt;&gt;"",C722&lt;&gt;""),S722&amp;"|"&amp;C722&amp;"|"&amp;G722&amp;"|"&amp;H722,"")</f>
        <v/>
      </c>
      <c r="AH722" s="96">
        <f>IF(AG722="",0,IF(SUMPRODUCT(--($AG$6:$AG$1005=AG722))&gt;1,1,0))</f>
        <v>0</v>
      </c>
      <c r="AI722" s="96">
        <f>IF(R722=0,0,IF(OR(U722=0,V722=0,Y722=0,AND(AH722=1,K722&lt;&gt;"Sim")),1,0))</f>
        <v>0</v>
      </c>
      <c r="AJ722" s="96">
        <f>IF(AND(R722=1,AA722&gt;0,AB722=AA722),1,0)</f>
        <v>0</v>
      </c>
      <c r="AK722" s="96">
        <f>IF(R722=0,0,IF(AA722&gt;0,N(L722),IF(ISNUMBER(I722),I722,0)))</f>
        <v>0</v>
      </c>
      <c r="AL722" s="96">
        <f>IF(R722=0,0,IF(AND(K722&lt;&gt;"Sim",N(M722)&gt;AK722+cfg_tol),1,0))</f>
        <v>0</v>
      </c>
      <c r="AM722" s="96">
        <f>IF(R722=0,0,IF(K722="Sim",0,IF(OR(AND(AA722&gt;0,ISNUMBER(I722),ABS(I722-N(L722))&gt;cfg_tol),AL722=1),1,0)))</f>
        <v>0</v>
      </c>
      <c r="AN722" s="96">
        <f>IF(AND(R722=1,N(M722)&gt;0,OR(N(M722)&gt;=AK722-cfg_tol,K722="Sim")),1,0)</f>
        <v>0</v>
      </c>
      <c r="AO722" s="96">
        <f>IF(AND(AN722=1,AD722&gt;0,AE722=AD722,AL722=0),1,0)</f>
        <v>0</v>
      </c>
      <c r="AP722" s="96">
        <f>IF(U722=0,0,IF(AND(INDEX('MTRs'!$AX$6:$AX$505,T722)=1,Z722=0,OR(f_res="",f_res="(Todos)",C722=f_res)),1,0))</f>
        <v>0</v>
      </c>
      <c r="AQ722" s="97" t="str">
        <f>IF(U722=0,"",INDEX('MTRs'!$AZ$6:$AZ$505,T722))</f>
        <v/>
      </c>
      <c r="AR722" s="96">
        <f>IF(U722=0,0,IF(AND(INDEX('MTRs'!$BA$6:$BA$505,T722)=1,Z722=0),1,0))</f>
        <v>0</v>
      </c>
      <c r="AS722" s="96" t="str">
        <f>IF(R722=1,A722&amp;" | MTR "&amp;IF(U722=1,INDEX('MTRs'!$B$6:$B$505,T722)&amp;"","?")&amp;" | "&amp;IF(C722="","(sem resíduo)",C722),"")</f>
        <v/>
      </c>
      <c r="AT722" s="96" t="str">
        <f>IF(R722=1,COUNTIF($R$6:R722,1),"")</f>
        <v/>
      </c>
      <c r="AU722" s="96" t="str">
        <f>IF(U722=1,INDEX('MTRs'!$I$6:$I$505,T722)&amp;"","")</f>
        <v/>
      </c>
    </row>
    <row r="723">
      <c r="A723" s="89" t="inlineStr">
        <is>
          <t>IT-000718</t>
        </is>
      </c>
      <c r="B723" s="91" t="n"/>
      <c r="C723" s="91" t="n"/>
      <c r="D723" s="94" t="str">
        <f>IF(OR(R723=0,V723=0),"",INDEX('CAD_RESÍDUOS'!$E$6:$E$205,MATCH(C723,'CAD_RESÍDUOS'!$B$6:$B$205,0))&amp;"")</f>
        <v/>
      </c>
      <c r="E723" s="94" t="str">
        <f>IF(OR(R723=0,V723=0),"",INDEX('CAD_RESÍDUOS'!$C$6:$C$205,MATCH(C723,'CAD_RESÍDUOS'!$B$6:$B$205,0))&amp;"")</f>
        <v/>
      </c>
      <c r="F723" s="94" t="str">
        <f>IF(OR(R723=0,V723=0),"",INDEX('CAD_RESÍDUOS'!$G$6:$G$205,MATCH(C723,'CAD_RESÍDUOS'!$B$6:$B$205,0))&amp;"")</f>
        <v/>
      </c>
      <c r="G723" s="98" t="n"/>
      <c r="H723" s="91" t="n"/>
      <c r="I723" s="93" t="str">
        <f>IF(R723=0,"",IF(NOT(ISNUMBER(G723)),"",IF(ISNUMBER(X723),G723*X723,"UNIDADE A CONFERIR")))</f>
        <v/>
      </c>
      <c r="J723" s="91" t="n"/>
      <c r="K723" s="91" t="n"/>
      <c r="L723" s="93" t="str">
        <f>IF(R723=0,"",SUMIFS('RECEBIMENTOS'!$H$6:$H$1005,'RECEBIMENTOS'!$R$6:$R$1005,A723,'RECEBIMENTOS'!$X$6:$X$1005,1))</f>
        <v/>
      </c>
      <c r="M723" s="93" t="str">
        <f>IF(R723=0,"",SUMIFS('VÍNCULOS_CDF'!$H$6:$H$1005,'VÍNCULOS_CDF'!$R$6:$R$1005,A723,'VÍNCULOS_CDF'!$V$6:$V$1005,1))</f>
        <v/>
      </c>
      <c r="N723" s="99" t="str">
        <f>IF(OR(R723=0,AA723=0,NOT(ISNUMBER(I723))),"",I723-N(L723))</f>
        <v/>
      </c>
      <c r="O723" s="100" t="str">
        <f>IF(OR(R723=0,AK723&lt;=0),"",N(M723)/AK723)</f>
        <v/>
      </c>
      <c r="P723" s="94" t="str">
        <f>IF(R723=0,"",IF(S723="","Sem MTR associado",IF(U723=0,"MTR inexistente",IF(C723="","Resíduo não identificado",IF(V723=0,"Resíduo fora do cadastro",IF(W723=0,"Quantidade inválida",IF(H723="","Unidade não informada",IF(NOT(ISNUMBER(I723)),"Unidade a conferir",IF(AND(AH723=1,K723&lt;&gt;"Sim"),"Possível duplicidade",IF(Z723=1,"MTR cancelado",IF(AC723&gt;0,"Recebimento com alerta",IF(AA723=0,"Aguardando recebimento",IF(AB723&lt;AA723,"Recebimento a conferir",IF(AM723=1,"Quantidade a revisar",IF(AF723&gt;0,"Vínculo a revisar",IF(AD723=0,"Aguardando CDF",IF(AN723=0,"Vínculo de CDF parcial",IF(AE723&lt;AD723,"CDF a conferir","Documentação conferida"))))))))))))))))))</f>
        <v/>
      </c>
      <c r="Q723" s="93" t="str">
        <f>IF(OR(R723=0,AA723=0),"",MAX(0,N(L723)-N(M723)))</f>
        <v/>
      </c>
      <c r="R723" s="96">
        <f>IF(COUNTA(B723:C723,G723:H723,J723:K723)&gt;0,1,0)</f>
        <v>0</v>
      </c>
      <c r="S723" s="96" t="str">
        <f>IF(B723="","",TRIM(LEFT(B723,FIND(" |",B723&amp;" |")-1)))</f>
        <v/>
      </c>
      <c r="T723" s="96" t="str">
        <f>IF(S723="","",IFERROR(MATCH(S723,'MTRs'!$A$6:$A$505,0),""))</f>
        <v/>
      </c>
      <c r="U723" s="96">
        <f>IF(T723="",0,IF(INDEX('MTRs'!$Z$6:$Z$505,T723)=1,1,0))</f>
        <v>0</v>
      </c>
      <c r="V723" s="96">
        <f>IF(C723="",0,IF(ISNUMBER(MATCH(C723,'CAD_RESÍDUOS'!$B$6:$B$205,0)),1,0))</f>
        <v>0</v>
      </c>
      <c r="W723" s="96">
        <f>IF(AND(ISNUMBER(G723),G723&gt;0),1,0)</f>
        <v>0</v>
      </c>
      <c r="X723" s="96" t="str">
        <f>IF(H723="","",IFERROR(IF(ISNUMBER(INDEX(cfg_fac,MATCH(H723,cfg_units,0))),IF(INDEX(cfg_fac,MATCH(H723,cfg_units,0))&gt;0,INDEX(cfg_fac,MATCH(H723,cfg_units,0)),""),""),""))</f>
        <v/>
      </c>
      <c r="Y723" s="96">
        <f>IF(AND(W723=1,ISNUMBER(I723)),1,0)</f>
        <v>0</v>
      </c>
      <c r="Z723" s="96">
        <f>IF(U723=1,INDEX('MTRs'!$AA$6:$AA$505,T723),0)</f>
        <v>0</v>
      </c>
      <c r="AA723" s="96">
        <f>IF(R723=0,0,COUNTIFS('RECEBIMENTOS'!$R$6:$R$1005,A723,'RECEBIMENTOS'!$Q$6:$Q$1005,1))</f>
        <v>0</v>
      </c>
      <c r="AB723" s="96">
        <f>IF(R723=0,0,COUNTIFS('RECEBIMENTOS'!$R$6:$R$1005,A723,'RECEBIMENTOS'!$Z$6:$Z$1005,1))</f>
        <v>0</v>
      </c>
      <c r="AC723" s="96">
        <f>IF(R723=0,0,COUNTIFS('RECEBIMENTOS'!$R$6:$R$1005,A723,'RECEBIMENTOS'!$Y$6:$Y$1005,1))</f>
        <v>0</v>
      </c>
      <c r="AD723" s="96">
        <f>IF(R723=0,0,COUNTIFS('VÍNCULOS_CDF'!$R$6:$R$1005,A723,'VÍNCULOS_CDF'!$N$6:$N$1005,1))</f>
        <v>0</v>
      </c>
      <c r="AE723" s="96">
        <f>IF(R723=0,0,COUNTIFS('VÍNCULOS_CDF'!$R$6:$R$1005,A723,'VÍNCULOS_CDF'!$AA$6:$AA$1005,1))</f>
        <v>0</v>
      </c>
      <c r="AF723" s="96">
        <f>IF(R723=0,0,COUNTIFS('VÍNCULOS_CDF'!$R$6:$R$1005,A723,'VÍNCULOS_CDF'!$Y$6:$Y$1005,1))</f>
        <v>0</v>
      </c>
      <c r="AG723" s="96" t="str">
        <f>IF(AND(R723=1,S723&lt;&gt;"",C723&lt;&gt;""),S723&amp;"|"&amp;C723&amp;"|"&amp;G723&amp;"|"&amp;H723,"")</f>
        <v/>
      </c>
      <c r="AH723" s="96">
        <f>IF(AG723="",0,IF(SUMPRODUCT(--($AG$6:$AG$1005=AG723))&gt;1,1,0))</f>
        <v>0</v>
      </c>
      <c r="AI723" s="96">
        <f>IF(R723=0,0,IF(OR(U723=0,V723=0,Y723=0,AND(AH723=1,K723&lt;&gt;"Sim")),1,0))</f>
        <v>0</v>
      </c>
      <c r="AJ723" s="96">
        <f>IF(AND(R723=1,AA723&gt;0,AB723=AA723),1,0)</f>
        <v>0</v>
      </c>
      <c r="AK723" s="96">
        <f>IF(R723=0,0,IF(AA723&gt;0,N(L723),IF(ISNUMBER(I723),I723,0)))</f>
        <v>0</v>
      </c>
      <c r="AL723" s="96">
        <f>IF(R723=0,0,IF(AND(K723&lt;&gt;"Sim",N(M723)&gt;AK723+cfg_tol),1,0))</f>
        <v>0</v>
      </c>
      <c r="AM723" s="96">
        <f>IF(R723=0,0,IF(K723="Sim",0,IF(OR(AND(AA723&gt;0,ISNUMBER(I723),ABS(I723-N(L723))&gt;cfg_tol),AL723=1),1,0)))</f>
        <v>0</v>
      </c>
      <c r="AN723" s="96">
        <f>IF(AND(R723=1,N(M723)&gt;0,OR(N(M723)&gt;=AK723-cfg_tol,K723="Sim")),1,0)</f>
        <v>0</v>
      </c>
      <c r="AO723" s="96">
        <f>IF(AND(AN723=1,AD723&gt;0,AE723=AD723,AL723=0),1,0)</f>
        <v>0</v>
      </c>
      <c r="AP723" s="96">
        <f>IF(U723=0,0,IF(AND(INDEX('MTRs'!$AX$6:$AX$505,T723)=1,Z723=0,OR(f_res="",f_res="(Todos)",C723=f_res)),1,0))</f>
        <v>0</v>
      </c>
      <c r="AQ723" s="97" t="str">
        <f>IF(U723=0,"",INDEX('MTRs'!$AZ$6:$AZ$505,T723))</f>
        <v/>
      </c>
      <c r="AR723" s="96">
        <f>IF(U723=0,0,IF(AND(INDEX('MTRs'!$BA$6:$BA$505,T723)=1,Z723=0),1,0))</f>
        <v>0</v>
      </c>
      <c r="AS723" s="96" t="str">
        <f>IF(R723=1,A723&amp;" | MTR "&amp;IF(U723=1,INDEX('MTRs'!$B$6:$B$505,T723)&amp;"","?")&amp;" | "&amp;IF(C723="","(sem resíduo)",C723),"")</f>
        <v/>
      </c>
      <c r="AT723" s="96" t="str">
        <f>IF(R723=1,COUNTIF($R$6:R723,1),"")</f>
        <v/>
      </c>
      <c r="AU723" s="96" t="str">
        <f>IF(U723=1,INDEX('MTRs'!$I$6:$I$505,T723)&amp;"","")</f>
        <v/>
      </c>
    </row>
    <row r="724">
      <c r="A724" s="89" t="inlineStr">
        <is>
          <t>IT-000719</t>
        </is>
      </c>
      <c r="B724" s="91" t="n"/>
      <c r="C724" s="91" t="n"/>
      <c r="D724" s="94" t="str">
        <f>IF(OR(R724=0,V724=0),"",INDEX('CAD_RESÍDUOS'!$E$6:$E$205,MATCH(C724,'CAD_RESÍDUOS'!$B$6:$B$205,0))&amp;"")</f>
        <v/>
      </c>
      <c r="E724" s="94" t="str">
        <f>IF(OR(R724=0,V724=0),"",INDEX('CAD_RESÍDUOS'!$C$6:$C$205,MATCH(C724,'CAD_RESÍDUOS'!$B$6:$B$205,0))&amp;"")</f>
        <v/>
      </c>
      <c r="F724" s="94" t="str">
        <f>IF(OR(R724=0,V724=0),"",INDEX('CAD_RESÍDUOS'!$G$6:$G$205,MATCH(C724,'CAD_RESÍDUOS'!$B$6:$B$205,0))&amp;"")</f>
        <v/>
      </c>
      <c r="G724" s="98" t="n"/>
      <c r="H724" s="91" t="n"/>
      <c r="I724" s="93" t="str">
        <f>IF(R724=0,"",IF(NOT(ISNUMBER(G724)),"",IF(ISNUMBER(X724),G724*X724,"UNIDADE A CONFERIR")))</f>
        <v/>
      </c>
      <c r="J724" s="91" t="n"/>
      <c r="K724" s="91" t="n"/>
      <c r="L724" s="93" t="str">
        <f>IF(R724=0,"",SUMIFS('RECEBIMENTOS'!$H$6:$H$1005,'RECEBIMENTOS'!$R$6:$R$1005,A724,'RECEBIMENTOS'!$X$6:$X$1005,1))</f>
        <v/>
      </c>
      <c r="M724" s="93" t="str">
        <f>IF(R724=0,"",SUMIFS('VÍNCULOS_CDF'!$H$6:$H$1005,'VÍNCULOS_CDF'!$R$6:$R$1005,A724,'VÍNCULOS_CDF'!$V$6:$V$1005,1))</f>
        <v/>
      </c>
      <c r="N724" s="99" t="str">
        <f>IF(OR(R724=0,AA724=0,NOT(ISNUMBER(I724))),"",I724-N(L724))</f>
        <v/>
      </c>
      <c r="O724" s="100" t="str">
        <f>IF(OR(R724=0,AK724&lt;=0),"",N(M724)/AK724)</f>
        <v/>
      </c>
      <c r="P724" s="94" t="str">
        <f>IF(R724=0,"",IF(S724="","Sem MTR associado",IF(U724=0,"MTR inexistente",IF(C724="","Resíduo não identificado",IF(V724=0,"Resíduo fora do cadastro",IF(W724=0,"Quantidade inválida",IF(H724="","Unidade não informada",IF(NOT(ISNUMBER(I724)),"Unidade a conferir",IF(AND(AH724=1,K724&lt;&gt;"Sim"),"Possível duplicidade",IF(Z724=1,"MTR cancelado",IF(AC724&gt;0,"Recebimento com alerta",IF(AA724=0,"Aguardando recebimento",IF(AB724&lt;AA724,"Recebimento a conferir",IF(AM724=1,"Quantidade a revisar",IF(AF724&gt;0,"Vínculo a revisar",IF(AD724=0,"Aguardando CDF",IF(AN724=0,"Vínculo de CDF parcial",IF(AE724&lt;AD724,"CDF a conferir","Documentação conferida"))))))))))))))))))</f>
        <v/>
      </c>
      <c r="Q724" s="93" t="str">
        <f>IF(OR(R724=0,AA724=0),"",MAX(0,N(L724)-N(M724)))</f>
        <v/>
      </c>
      <c r="R724" s="96">
        <f>IF(COUNTA(B724:C724,G724:H724,J724:K724)&gt;0,1,0)</f>
        <v>0</v>
      </c>
      <c r="S724" s="96" t="str">
        <f>IF(B724="","",TRIM(LEFT(B724,FIND(" |",B724&amp;" |")-1)))</f>
        <v/>
      </c>
      <c r="T724" s="96" t="str">
        <f>IF(S724="","",IFERROR(MATCH(S724,'MTRs'!$A$6:$A$505,0),""))</f>
        <v/>
      </c>
      <c r="U724" s="96">
        <f>IF(T724="",0,IF(INDEX('MTRs'!$Z$6:$Z$505,T724)=1,1,0))</f>
        <v>0</v>
      </c>
      <c r="V724" s="96">
        <f>IF(C724="",0,IF(ISNUMBER(MATCH(C724,'CAD_RESÍDUOS'!$B$6:$B$205,0)),1,0))</f>
        <v>0</v>
      </c>
      <c r="W724" s="96">
        <f>IF(AND(ISNUMBER(G724),G724&gt;0),1,0)</f>
        <v>0</v>
      </c>
      <c r="X724" s="96" t="str">
        <f>IF(H724="","",IFERROR(IF(ISNUMBER(INDEX(cfg_fac,MATCH(H724,cfg_units,0))),IF(INDEX(cfg_fac,MATCH(H724,cfg_units,0))&gt;0,INDEX(cfg_fac,MATCH(H724,cfg_units,0)),""),""),""))</f>
        <v/>
      </c>
      <c r="Y724" s="96">
        <f>IF(AND(W724=1,ISNUMBER(I724)),1,0)</f>
        <v>0</v>
      </c>
      <c r="Z724" s="96">
        <f>IF(U724=1,INDEX('MTRs'!$AA$6:$AA$505,T724),0)</f>
        <v>0</v>
      </c>
      <c r="AA724" s="96">
        <f>IF(R724=0,0,COUNTIFS('RECEBIMENTOS'!$R$6:$R$1005,A724,'RECEBIMENTOS'!$Q$6:$Q$1005,1))</f>
        <v>0</v>
      </c>
      <c r="AB724" s="96">
        <f>IF(R724=0,0,COUNTIFS('RECEBIMENTOS'!$R$6:$R$1005,A724,'RECEBIMENTOS'!$Z$6:$Z$1005,1))</f>
        <v>0</v>
      </c>
      <c r="AC724" s="96">
        <f>IF(R724=0,0,COUNTIFS('RECEBIMENTOS'!$R$6:$R$1005,A724,'RECEBIMENTOS'!$Y$6:$Y$1005,1))</f>
        <v>0</v>
      </c>
      <c r="AD724" s="96">
        <f>IF(R724=0,0,COUNTIFS('VÍNCULOS_CDF'!$R$6:$R$1005,A724,'VÍNCULOS_CDF'!$N$6:$N$1005,1))</f>
        <v>0</v>
      </c>
      <c r="AE724" s="96">
        <f>IF(R724=0,0,COUNTIFS('VÍNCULOS_CDF'!$R$6:$R$1005,A724,'VÍNCULOS_CDF'!$AA$6:$AA$1005,1))</f>
        <v>0</v>
      </c>
      <c r="AF724" s="96">
        <f>IF(R724=0,0,COUNTIFS('VÍNCULOS_CDF'!$R$6:$R$1005,A724,'VÍNCULOS_CDF'!$Y$6:$Y$1005,1))</f>
        <v>0</v>
      </c>
      <c r="AG724" s="96" t="str">
        <f>IF(AND(R724=1,S724&lt;&gt;"",C724&lt;&gt;""),S724&amp;"|"&amp;C724&amp;"|"&amp;G724&amp;"|"&amp;H724,"")</f>
        <v/>
      </c>
      <c r="AH724" s="96">
        <f>IF(AG724="",0,IF(SUMPRODUCT(--($AG$6:$AG$1005=AG724))&gt;1,1,0))</f>
        <v>0</v>
      </c>
      <c r="AI724" s="96">
        <f>IF(R724=0,0,IF(OR(U724=0,V724=0,Y724=0,AND(AH724=1,K724&lt;&gt;"Sim")),1,0))</f>
        <v>0</v>
      </c>
      <c r="AJ724" s="96">
        <f>IF(AND(R724=1,AA724&gt;0,AB724=AA724),1,0)</f>
        <v>0</v>
      </c>
      <c r="AK724" s="96">
        <f>IF(R724=0,0,IF(AA724&gt;0,N(L724),IF(ISNUMBER(I724),I724,0)))</f>
        <v>0</v>
      </c>
      <c r="AL724" s="96">
        <f>IF(R724=0,0,IF(AND(K724&lt;&gt;"Sim",N(M724)&gt;AK724+cfg_tol),1,0))</f>
        <v>0</v>
      </c>
      <c r="AM724" s="96">
        <f>IF(R724=0,0,IF(K724="Sim",0,IF(OR(AND(AA724&gt;0,ISNUMBER(I724),ABS(I724-N(L724))&gt;cfg_tol),AL724=1),1,0)))</f>
        <v>0</v>
      </c>
      <c r="AN724" s="96">
        <f>IF(AND(R724=1,N(M724)&gt;0,OR(N(M724)&gt;=AK724-cfg_tol,K724="Sim")),1,0)</f>
        <v>0</v>
      </c>
      <c r="AO724" s="96">
        <f>IF(AND(AN724=1,AD724&gt;0,AE724=AD724,AL724=0),1,0)</f>
        <v>0</v>
      </c>
      <c r="AP724" s="96">
        <f>IF(U724=0,0,IF(AND(INDEX('MTRs'!$AX$6:$AX$505,T724)=1,Z724=0,OR(f_res="",f_res="(Todos)",C724=f_res)),1,0))</f>
        <v>0</v>
      </c>
      <c r="AQ724" s="97" t="str">
        <f>IF(U724=0,"",INDEX('MTRs'!$AZ$6:$AZ$505,T724))</f>
        <v/>
      </c>
      <c r="AR724" s="96">
        <f>IF(U724=0,0,IF(AND(INDEX('MTRs'!$BA$6:$BA$505,T724)=1,Z724=0),1,0))</f>
        <v>0</v>
      </c>
      <c r="AS724" s="96" t="str">
        <f>IF(R724=1,A724&amp;" | MTR "&amp;IF(U724=1,INDEX('MTRs'!$B$6:$B$505,T724)&amp;"","?")&amp;" | "&amp;IF(C724="","(sem resíduo)",C724),"")</f>
        <v/>
      </c>
      <c r="AT724" s="96" t="str">
        <f>IF(R724=1,COUNTIF($R$6:R724,1),"")</f>
        <v/>
      </c>
      <c r="AU724" s="96" t="str">
        <f>IF(U724=1,INDEX('MTRs'!$I$6:$I$505,T724)&amp;"","")</f>
        <v/>
      </c>
    </row>
    <row r="725">
      <c r="A725" s="89" t="inlineStr">
        <is>
          <t>IT-000720</t>
        </is>
      </c>
      <c r="B725" s="91" t="n"/>
      <c r="C725" s="91" t="n"/>
      <c r="D725" s="94" t="str">
        <f>IF(OR(R725=0,V725=0),"",INDEX('CAD_RESÍDUOS'!$E$6:$E$205,MATCH(C725,'CAD_RESÍDUOS'!$B$6:$B$205,0))&amp;"")</f>
        <v/>
      </c>
      <c r="E725" s="94" t="str">
        <f>IF(OR(R725=0,V725=0),"",INDEX('CAD_RESÍDUOS'!$C$6:$C$205,MATCH(C725,'CAD_RESÍDUOS'!$B$6:$B$205,0))&amp;"")</f>
        <v/>
      </c>
      <c r="F725" s="94" t="str">
        <f>IF(OR(R725=0,V725=0),"",INDEX('CAD_RESÍDUOS'!$G$6:$G$205,MATCH(C725,'CAD_RESÍDUOS'!$B$6:$B$205,0))&amp;"")</f>
        <v/>
      </c>
      <c r="G725" s="98" t="n"/>
      <c r="H725" s="91" t="n"/>
      <c r="I725" s="93" t="str">
        <f>IF(R725=0,"",IF(NOT(ISNUMBER(G725)),"",IF(ISNUMBER(X725),G725*X725,"UNIDADE A CONFERIR")))</f>
        <v/>
      </c>
      <c r="J725" s="91" t="n"/>
      <c r="K725" s="91" t="n"/>
      <c r="L725" s="93" t="str">
        <f>IF(R725=0,"",SUMIFS('RECEBIMENTOS'!$H$6:$H$1005,'RECEBIMENTOS'!$R$6:$R$1005,A725,'RECEBIMENTOS'!$X$6:$X$1005,1))</f>
        <v/>
      </c>
      <c r="M725" s="93" t="str">
        <f>IF(R725=0,"",SUMIFS('VÍNCULOS_CDF'!$H$6:$H$1005,'VÍNCULOS_CDF'!$R$6:$R$1005,A725,'VÍNCULOS_CDF'!$V$6:$V$1005,1))</f>
        <v/>
      </c>
      <c r="N725" s="99" t="str">
        <f>IF(OR(R725=0,AA725=0,NOT(ISNUMBER(I725))),"",I725-N(L725))</f>
        <v/>
      </c>
      <c r="O725" s="100" t="str">
        <f>IF(OR(R725=0,AK725&lt;=0),"",N(M725)/AK725)</f>
        <v/>
      </c>
      <c r="P725" s="94" t="str">
        <f>IF(R725=0,"",IF(S725="","Sem MTR associado",IF(U725=0,"MTR inexistente",IF(C725="","Resíduo não identificado",IF(V725=0,"Resíduo fora do cadastro",IF(W725=0,"Quantidade inválida",IF(H725="","Unidade não informada",IF(NOT(ISNUMBER(I725)),"Unidade a conferir",IF(AND(AH725=1,K725&lt;&gt;"Sim"),"Possível duplicidade",IF(Z725=1,"MTR cancelado",IF(AC725&gt;0,"Recebimento com alerta",IF(AA725=0,"Aguardando recebimento",IF(AB725&lt;AA725,"Recebimento a conferir",IF(AM725=1,"Quantidade a revisar",IF(AF725&gt;0,"Vínculo a revisar",IF(AD725=0,"Aguardando CDF",IF(AN725=0,"Vínculo de CDF parcial",IF(AE725&lt;AD725,"CDF a conferir","Documentação conferida"))))))))))))))))))</f>
        <v/>
      </c>
      <c r="Q725" s="93" t="str">
        <f>IF(OR(R725=0,AA725=0),"",MAX(0,N(L725)-N(M725)))</f>
        <v/>
      </c>
      <c r="R725" s="96">
        <f>IF(COUNTA(B725:C725,G725:H725,J725:K725)&gt;0,1,0)</f>
        <v>0</v>
      </c>
      <c r="S725" s="96" t="str">
        <f>IF(B725="","",TRIM(LEFT(B725,FIND(" |",B725&amp;" |")-1)))</f>
        <v/>
      </c>
      <c r="T725" s="96" t="str">
        <f>IF(S725="","",IFERROR(MATCH(S725,'MTRs'!$A$6:$A$505,0),""))</f>
        <v/>
      </c>
      <c r="U725" s="96">
        <f>IF(T725="",0,IF(INDEX('MTRs'!$Z$6:$Z$505,T725)=1,1,0))</f>
        <v>0</v>
      </c>
      <c r="V725" s="96">
        <f>IF(C725="",0,IF(ISNUMBER(MATCH(C725,'CAD_RESÍDUOS'!$B$6:$B$205,0)),1,0))</f>
        <v>0</v>
      </c>
      <c r="W725" s="96">
        <f>IF(AND(ISNUMBER(G725),G725&gt;0),1,0)</f>
        <v>0</v>
      </c>
      <c r="X725" s="96" t="str">
        <f>IF(H725="","",IFERROR(IF(ISNUMBER(INDEX(cfg_fac,MATCH(H725,cfg_units,0))),IF(INDEX(cfg_fac,MATCH(H725,cfg_units,0))&gt;0,INDEX(cfg_fac,MATCH(H725,cfg_units,0)),""),""),""))</f>
        <v/>
      </c>
      <c r="Y725" s="96">
        <f>IF(AND(W725=1,ISNUMBER(I725)),1,0)</f>
        <v>0</v>
      </c>
      <c r="Z725" s="96">
        <f>IF(U725=1,INDEX('MTRs'!$AA$6:$AA$505,T725),0)</f>
        <v>0</v>
      </c>
      <c r="AA725" s="96">
        <f>IF(R725=0,0,COUNTIFS('RECEBIMENTOS'!$R$6:$R$1005,A725,'RECEBIMENTOS'!$Q$6:$Q$1005,1))</f>
        <v>0</v>
      </c>
      <c r="AB725" s="96">
        <f>IF(R725=0,0,COUNTIFS('RECEBIMENTOS'!$R$6:$R$1005,A725,'RECEBIMENTOS'!$Z$6:$Z$1005,1))</f>
        <v>0</v>
      </c>
      <c r="AC725" s="96">
        <f>IF(R725=0,0,COUNTIFS('RECEBIMENTOS'!$R$6:$R$1005,A725,'RECEBIMENTOS'!$Y$6:$Y$1005,1))</f>
        <v>0</v>
      </c>
      <c r="AD725" s="96">
        <f>IF(R725=0,0,COUNTIFS('VÍNCULOS_CDF'!$R$6:$R$1005,A725,'VÍNCULOS_CDF'!$N$6:$N$1005,1))</f>
        <v>0</v>
      </c>
      <c r="AE725" s="96">
        <f>IF(R725=0,0,COUNTIFS('VÍNCULOS_CDF'!$R$6:$R$1005,A725,'VÍNCULOS_CDF'!$AA$6:$AA$1005,1))</f>
        <v>0</v>
      </c>
      <c r="AF725" s="96">
        <f>IF(R725=0,0,COUNTIFS('VÍNCULOS_CDF'!$R$6:$R$1005,A725,'VÍNCULOS_CDF'!$Y$6:$Y$1005,1))</f>
        <v>0</v>
      </c>
      <c r="AG725" s="96" t="str">
        <f>IF(AND(R725=1,S725&lt;&gt;"",C725&lt;&gt;""),S725&amp;"|"&amp;C725&amp;"|"&amp;G725&amp;"|"&amp;H725,"")</f>
        <v/>
      </c>
      <c r="AH725" s="96">
        <f>IF(AG725="",0,IF(SUMPRODUCT(--($AG$6:$AG$1005=AG725))&gt;1,1,0))</f>
        <v>0</v>
      </c>
      <c r="AI725" s="96">
        <f>IF(R725=0,0,IF(OR(U725=0,V725=0,Y725=0,AND(AH725=1,K725&lt;&gt;"Sim")),1,0))</f>
        <v>0</v>
      </c>
      <c r="AJ725" s="96">
        <f>IF(AND(R725=1,AA725&gt;0,AB725=AA725),1,0)</f>
        <v>0</v>
      </c>
      <c r="AK725" s="96">
        <f>IF(R725=0,0,IF(AA725&gt;0,N(L725),IF(ISNUMBER(I725),I725,0)))</f>
        <v>0</v>
      </c>
      <c r="AL725" s="96">
        <f>IF(R725=0,0,IF(AND(K725&lt;&gt;"Sim",N(M725)&gt;AK725+cfg_tol),1,0))</f>
        <v>0</v>
      </c>
      <c r="AM725" s="96">
        <f>IF(R725=0,0,IF(K725="Sim",0,IF(OR(AND(AA725&gt;0,ISNUMBER(I725),ABS(I725-N(L725))&gt;cfg_tol),AL725=1),1,0)))</f>
        <v>0</v>
      </c>
      <c r="AN725" s="96">
        <f>IF(AND(R725=1,N(M725)&gt;0,OR(N(M725)&gt;=AK725-cfg_tol,K725="Sim")),1,0)</f>
        <v>0</v>
      </c>
      <c r="AO725" s="96">
        <f>IF(AND(AN725=1,AD725&gt;0,AE725=AD725,AL725=0),1,0)</f>
        <v>0</v>
      </c>
      <c r="AP725" s="96">
        <f>IF(U725=0,0,IF(AND(INDEX('MTRs'!$AX$6:$AX$505,T725)=1,Z725=0,OR(f_res="",f_res="(Todos)",C725=f_res)),1,0))</f>
        <v>0</v>
      </c>
      <c r="AQ725" s="97" t="str">
        <f>IF(U725=0,"",INDEX('MTRs'!$AZ$6:$AZ$505,T725))</f>
        <v/>
      </c>
      <c r="AR725" s="96">
        <f>IF(U725=0,0,IF(AND(INDEX('MTRs'!$BA$6:$BA$505,T725)=1,Z725=0),1,0))</f>
        <v>0</v>
      </c>
      <c r="AS725" s="96" t="str">
        <f>IF(R725=1,A725&amp;" | MTR "&amp;IF(U725=1,INDEX('MTRs'!$B$6:$B$505,T725)&amp;"","?")&amp;" | "&amp;IF(C725="","(sem resíduo)",C725),"")</f>
        <v/>
      </c>
      <c r="AT725" s="96" t="str">
        <f>IF(R725=1,COUNTIF($R$6:R725,1),"")</f>
        <v/>
      </c>
      <c r="AU725" s="96" t="str">
        <f>IF(U725=1,INDEX('MTRs'!$I$6:$I$505,T725)&amp;"","")</f>
        <v/>
      </c>
    </row>
    <row r="726">
      <c r="A726" s="89" t="inlineStr">
        <is>
          <t>IT-000721</t>
        </is>
      </c>
      <c r="B726" s="91" t="n"/>
      <c r="C726" s="91" t="n"/>
      <c r="D726" s="94" t="str">
        <f>IF(OR(R726=0,V726=0),"",INDEX('CAD_RESÍDUOS'!$E$6:$E$205,MATCH(C726,'CAD_RESÍDUOS'!$B$6:$B$205,0))&amp;"")</f>
        <v/>
      </c>
      <c r="E726" s="94" t="str">
        <f>IF(OR(R726=0,V726=0),"",INDEX('CAD_RESÍDUOS'!$C$6:$C$205,MATCH(C726,'CAD_RESÍDUOS'!$B$6:$B$205,0))&amp;"")</f>
        <v/>
      </c>
      <c r="F726" s="94" t="str">
        <f>IF(OR(R726=0,V726=0),"",INDEX('CAD_RESÍDUOS'!$G$6:$G$205,MATCH(C726,'CAD_RESÍDUOS'!$B$6:$B$205,0))&amp;"")</f>
        <v/>
      </c>
      <c r="G726" s="98" t="n"/>
      <c r="H726" s="91" t="n"/>
      <c r="I726" s="93" t="str">
        <f>IF(R726=0,"",IF(NOT(ISNUMBER(G726)),"",IF(ISNUMBER(X726),G726*X726,"UNIDADE A CONFERIR")))</f>
        <v/>
      </c>
      <c r="J726" s="91" t="n"/>
      <c r="K726" s="91" t="n"/>
      <c r="L726" s="93" t="str">
        <f>IF(R726=0,"",SUMIFS('RECEBIMENTOS'!$H$6:$H$1005,'RECEBIMENTOS'!$R$6:$R$1005,A726,'RECEBIMENTOS'!$X$6:$X$1005,1))</f>
        <v/>
      </c>
      <c r="M726" s="93" t="str">
        <f>IF(R726=0,"",SUMIFS('VÍNCULOS_CDF'!$H$6:$H$1005,'VÍNCULOS_CDF'!$R$6:$R$1005,A726,'VÍNCULOS_CDF'!$V$6:$V$1005,1))</f>
        <v/>
      </c>
      <c r="N726" s="99" t="str">
        <f>IF(OR(R726=0,AA726=0,NOT(ISNUMBER(I726))),"",I726-N(L726))</f>
        <v/>
      </c>
      <c r="O726" s="100" t="str">
        <f>IF(OR(R726=0,AK726&lt;=0),"",N(M726)/AK726)</f>
        <v/>
      </c>
      <c r="P726" s="94" t="str">
        <f>IF(R726=0,"",IF(S726="","Sem MTR associado",IF(U726=0,"MTR inexistente",IF(C726="","Resíduo não identificado",IF(V726=0,"Resíduo fora do cadastro",IF(W726=0,"Quantidade inválida",IF(H726="","Unidade não informada",IF(NOT(ISNUMBER(I726)),"Unidade a conferir",IF(AND(AH726=1,K726&lt;&gt;"Sim"),"Possível duplicidade",IF(Z726=1,"MTR cancelado",IF(AC726&gt;0,"Recebimento com alerta",IF(AA726=0,"Aguardando recebimento",IF(AB726&lt;AA726,"Recebimento a conferir",IF(AM726=1,"Quantidade a revisar",IF(AF726&gt;0,"Vínculo a revisar",IF(AD726=0,"Aguardando CDF",IF(AN726=0,"Vínculo de CDF parcial",IF(AE726&lt;AD726,"CDF a conferir","Documentação conferida"))))))))))))))))))</f>
        <v/>
      </c>
      <c r="Q726" s="93" t="str">
        <f>IF(OR(R726=0,AA726=0),"",MAX(0,N(L726)-N(M726)))</f>
        <v/>
      </c>
      <c r="R726" s="96">
        <f>IF(COUNTA(B726:C726,G726:H726,J726:K726)&gt;0,1,0)</f>
        <v>0</v>
      </c>
      <c r="S726" s="96" t="str">
        <f>IF(B726="","",TRIM(LEFT(B726,FIND(" |",B726&amp;" |")-1)))</f>
        <v/>
      </c>
      <c r="T726" s="96" t="str">
        <f>IF(S726="","",IFERROR(MATCH(S726,'MTRs'!$A$6:$A$505,0),""))</f>
        <v/>
      </c>
      <c r="U726" s="96">
        <f>IF(T726="",0,IF(INDEX('MTRs'!$Z$6:$Z$505,T726)=1,1,0))</f>
        <v>0</v>
      </c>
      <c r="V726" s="96">
        <f>IF(C726="",0,IF(ISNUMBER(MATCH(C726,'CAD_RESÍDUOS'!$B$6:$B$205,0)),1,0))</f>
        <v>0</v>
      </c>
      <c r="W726" s="96">
        <f>IF(AND(ISNUMBER(G726),G726&gt;0),1,0)</f>
        <v>0</v>
      </c>
      <c r="X726" s="96" t="str">
        <f>IF(H726="","",IFERROR(IF(ISNUMBER(INDEX(cfg_fac,MATCH(H726,cfg_units,0))),IF(INDEX(cfg_fac,MATCH(H726,cfg_units,0))&gt;0,INDEX(cfg_fac,MATCH(H726,cfg_units,0)),""),""),""))</f>
        <v/>
      </c>
      <c r="Y726" s="96">
        <f>IF(AND(W726=1,ISNUMBER(I726)),1,0)</f>
        <v>0</v>
      </c>
      <c r="Z726" s="96">
        <f>IF(U726=1,INDEX('MTRs'!$AA$6:$AA$505,T726),0)</f>
        <v>0</v>
      </c>
      <c r="AA726" s="96">
        <f>IF(R726=0,0,COUNTIFS('RECEBIMENTOS'!$R$6:$R$1005,A726,'RECEBIMENTOS'!$Q$6:$Q$1005,1))</f>
        <v>0</v>
      </c>
      <c r="AB726" s="96">
        <f>IF(R726=0,0,COUNTIFS('RECEBIMENTOS'!$R$6:$R$1005,A726,'RECEBIMENTOS'!$Z$6:$Z$1005,1))</f>
        <v>0</v>
      </c>
      <c r="AC726" s="96">
        <f>IF(R726=0,0,COUNTIFS('RECEBIMENTOS'!$R$6:$R$1005,A726,'RECEBIMENTOS'!$Y$6:$Y$1005,1))</f>
        <v>0</v>
      </c>
      <c r="AD726" s="96">
        <f>IF(R726=0,0,COUNTIFS('VÍNCULOS_CDF'!$R$6:$R$1005,A726,'VÍNCULOS_CDF'!$N$6:$N$1005,1))</f>
        <v>0</v>
      </c>
      <c r="AE726" s="96">
        <f>IF(R726=0,0,COUNTIFS('VÍNCULOS_CDF'!$R$6:$R$1005,A726,'VÍNCULOS_CDF'!$AA$6:$AA$1005,1))</f>
        <v>0</v>
      </c>
      <c r="AF726" s="96">
        <f>IF(R726=0,0,COUNTIFS('VÍNCULOS_CDF'!$R$6:$R$1005,A726,'VÍNCULOS_CDF'!$Y$6:$Y$1005,1))</f>
        <v>0</v>
      </c>
      <c r="AG726" s="96" t="str">
        <f>IF(AND(R726=1,S726&lt;&gt;"",C726&lt;&gt;""),S726&amp;"|"&amp;C726&amp;"|"&amp;G726&amp;"|"&amp;H726,"")</f>
        <v/>
      </c>
      <c r="AH726" s="96">
        <f>IF(AG726="",0,IF(SUMPRODUCT(--($AG$6:$AG$1005=AG726))&gt;1,1,0))</f>
        <v>0</v>
      </c>
      <c r="AI726" s="96">
        <f>IF(R726=0,0,IF(OR(U726=0,V726=0,Y726=0,AND(AH726=1,K726&lt;&gt;"Sim")),1,0))</f>
        <v>0</v>
      </c>
      <c r="AJ726" s="96">
        <f>IF(AND(R726=1,AA726&gt;0,AB726=AA726),1,0)</f>
        <v>0</v>
      </c>
      <c r="AK726" s="96">
        <f>IF(R726=0,0,IF(AA726&gt;0,N(L726),IF(ISNUMBER(I726),I726,0)))</f>
        <v>0</v>
      </c>
      <c r="AL726" s="96">
        <f>IF(R726=0,0,IF(AND(K726&lt;&gt;"Sim",N(M726)&gt;AK726+cfg_tol),1,0))</f>
        <v>0</v>
      </c>
      <c r="AM726" s="96">
        <f>IF(R726=0,0,IF(K726="Sim",0,IF(OR(AND(AA726&gt;0,ISNUMBER(I726),ABS(I726-N(L726))&gt;cfg_tol),AL726=1),1,0)))</f>
        <v>0</v>
      </c>
      <c r="AN726" s="96">
        <f>IF(AND(R726=1,N(M726)&gt;0,OR(N(M726)&gt;=AK726-cfg_tol,K726="Sim")),1,0)</f>
        <v>0</v>
      </c>
      <c r="AO726" s="96">
        <f>IF(AND(AN726=1,AD726&gt;0,AE726=AD726,AL726=0),1,0)</f>
        <v>0</v>
      </c>
      <c r="AP726" s="96">
        <f>IF(U726=0,0,IF(AND(INDEX('MTRs'!$AX$6:$AX$505,T726)=1,Z726=0,OR(f_res="",f_res="(Todos)",C726=f_res)),1,0))</f>
        <v>0</v>
      </c>
      <c r="AQ726" s="97" t="str">
        <f>IF(U726=0,"",INDEX('MTRs'!$AZ$6:$AZ$505,T726))</f>
        <v/>
      </c>
      <c r="AR726" s="96">
        <f>IF(U726=0,0,IF(AND(INDEX('MTRs'!$BA$6:$BA$505,T726)=1,Z726=0),1,0))</f>
        <v>0</v>
      </c>
      <c r="AS726" s="96" t="str">
        <f>IF(R726=1,A726&amp;" | MTR "&amp;IF(U726=1,INDEX('MTRs'!$B$6:$B$505,T726)&amp;"","?")&amp;" | "&amp;IF(C726="","(sem resíduo)",C726),"")</f>
        <v/>
      </c>
      <c r="AT726" s="96" t="str">
        <f>IF(R726=1,COUNTIF($R$6:R726,1),"")</f>
        <v/>
      </c>
      <c r="AU726" s="96" t="str">
        <f>IF(U726=1,INDEX('MTRs'!$I$6:$I$505,T726)&amp;"","")</f>
        <v/>
      </c>
    </row>
    <row r="727">
      <c r="A727" s="89" t="inlineStr">
        <is>
          <t>IT-000722</t>
        </is>
      </c>
      <c r="B727" s="91" t="n"/>
      <c r="C727" s="91" t="n"/>
      <c r="D727" s="94" t="str">
        <f>IF(OR(R727=0,V727=0),"",INDEX('CAD_RESÍDUOS'!$E$6:$E$205,MATCH(C727,'CAD_RESÍDUOS'!$B$6:$B$205,0))&amp;"")</f>
        <v/>
      </c>
      <c r="E727" s="94" t="str">
        <f>IF(OR(R727=0,V727=0),"",INDEX('CAD_RESÍDUOS'!$C$6:$C$205,MATCH(C727,'CAD_RESÍDUOS'!$B$6:$B$205,0))&amp;"")</f>
        <v/>
      </c>
      <c r="F727" s="94" t="str">
        <f>IF(OR(R727=0,V727=0),"",INDEX('CAD_RESÍDUOS'!$G$6:$G$205,MATCH(C727,'CAD_RESÍDUOS'!$B$6:$B$205,0))&amp;"")</f>
        <v/>
      </c>
      <c r="G727" s="98" t="n"/>
      <c r="H727" s="91" t="n"/>
      <c r="I727" s="93" t="str">
        <f>IF(R727=0,"",IF(NOT(ISNUMBER(G727)),"",IF(ISNUMBER(X727),G727*X727,"UNIDADE A CONFERIR")))</f>
        <v/>
      </c>
      <c r="J727" s="91" t="n"/>
      <c r="K727" s="91" t="n"/>
      <c r="L727" s="93" t="str">
        <f>IF(R727=0,"",SUMIFS('RECEBIMENTOS'!$H$6:$H$1005,'RECEBIMENTOS'!$R$6:$R$1005,A727,'RECEBIMENTOS'!$X$6:$X$1005,1))</f>
        <v/>
      </c>
      <c r="M727" s="93" t="str">
        <f>IF(R727=0,"",SUMIFS('VÍNCULOS_CDF'!$H$6:$H$1005,'VÍNCULOS_CDF'!$R$6:$R$1005,A727,'VÍNCULOS_CDF'!$V$6:$V$1005,1))</f>
        <v/>
      </c>
      <c r="N727" s="99" t="str">
        <f>IF(OR(R727=0,AA727=0,NOT(ISNUMBER(I727))),"",I727-N(L727))</f>
        <v/>
      </c>
      <c r="O727" s="100" t="str">
        <f>IF(OR(R727=0,AK727&lt;=0),"",N(M727)/AK727)</f>
        <v/>
      </c>
      <c r="P727" s="94" t="str">
        <f>IF(R727=0,"",IF(S727="","Sem MTR associado",IF(U727=0,"MTR inexistente",IF(C727="","Resíduo não identificado",IF(V727=0,"Resíduo fora do cadastro",IF(W727=0,"Quantidade inválida",IF(H727="","Unidade não informada",IF(NOT(ISNUMBER(I727)),"Unidade a conferir",IF(AND(AH727=1,K727&lt;&gt;"Sim"),"Possível duplicidade",IF(Z727=1,"MTR cancelado",IF(AC727&gt;0,"Recebimento com alerta",IF(AA727=0,"Aguardando recebimento",IF(AB727&lt;AA727,"Recebimento a conferir",IF(AM727=1,"Quantidade a revisar",IF(AF727&gt;0,"Vínculo a revisar",IF(AD727=0,"Aguardando CDF",IF(AN727=0,"Vínculo de CDF parcial",IF(AE727&lt;AD727,"CDF a conferir","Documentação conferida"))))))))))))))))))</f>
        <v/>
      </c>
      <c r="Q727" s="93" t="str">
        <f>IF(OR(R727=0,AA727=0),"",MAX(0,N(L727)-N(M727)))</f>
        <v/>
      </c>
      <c r="R727" s="96">
        <f>IF(COUNTA(B727:C727,G727:H727,J727:K727)&gt;0,1,0)</f>
        <v>0</v>
      </c>
      <c r="S727" s="96" t="str">
        <f>IF(B727="","",TRIM(LEFT(B727,FIND(" |",B727&amp;" |")-1)))</f>
        <v/>
      </c>
      <c r="T727" s="96" t="str">
        <f>IF(S727="","",IFERROR(MATCH(S727,'MTRs'!$A$6:$A$505,0),""))</f>
        <v/>
      </c>
      <c r="U727" s="96">
        <f>IF(T727="",0,IF(INDEX('MTRs'!$Z$6:$Z$505,T727)=1,1,0))</f>
        <v>0</v>
      </c>
      <c r="V727" s="96">
        <f>IF(C727="",0,IF(ISNUMBER(MATCH(C727,'CAD_RESÍDUOS'!$B$6:$B$205,0)),1,0))</f>
        <v>0</v>
      </c>
      <c r="W727" s="96">
        <f>IF(AND(ISNUMBER(G727),G727&gt;0),1,0)</f>
        <v>0</v>
      </c>
      <c r="X727" s="96" t="str">
        <f>IF(H727="","",IFERROR(IF(ISNUMBER(INDEX(cfg_fac,MATCH(H727,cfg_units,0))),IF(INDEX(cfg_fac,MATCH(H727,cfg_units,0))&gt;0,INDEX(cfg_fac,MATCH(H727,cfg_units,0)),""),""),""))</f>
        <v/>
      </c>
      <c r="Y727" s="96">
        <f>IF(AND(W727=1,ISNUMBER(I727)),1,0)</f>
        <v>0</v>
      </c>
      <c r="Z727" s="96">
        <f>IF(U727=1,INDEX('MTRs'!$AA$6:$AA$505,T727),0)</f>
        <v>0</v>
      </c>
      <c r="AA727" s="96">
        <f>IF(R727=0,0,COUNTIFS('RECEBIMENTOS'!$R$6:$R$1005,A727,'RECEBIMENTOS'!$Q$6:$Q$1005,1))</f>
        <v>0</v>
      </c>
      <c r="AB727" s="96">
        <f>IF(R727=0,0,COUNTIFS('RECEBIMENTOS'!$R$6:$R$1005,A727,'RECEBIMENTOS'!$Z$6:$Z$1005,1))</f>
        <v>0</v>
      </c>
      <c r="AC727" s="96">
        <f>IF(R727=0,0,COUNTIFS('RECEBIMENTOS'!$R$6:$R$1005,A727,'RECEBIMENTOS'!$Y$6:$Y$1005,1))</f>
        <v>0</v>
      </c>
      <c r="AD727" s="96">
        <f>IF(R727=0,0,COUNTIFS('VÍNCULOS_CDF'!$R$6:$R$1005,A727,'VÍNCULOS_CDF'!$N$6:$N$1005,1))</f>
        <v>0</v>
      </c>
      <c r="AE727" s="96">
        <f>IF(R727=0,0,COUNTIFS('VÍNCULOS_CDF'!$R$6:$R$1005,A727,'VÍNCULOS_CDF'!$AA$6:$AA$1005,1))</f>
        <v>0</v>
      </c>
      <c r="AF727" s="96">
        <f>IF(R727=0,0,COUNTIFS('VÍNCULOS_CDF'!$R$6:$R$1005,A727,'VÍNCULOS_CDF'!$Y$6:$Y$1005,1))</f>
        <v>0</v>
      </c>
      <c r="AG727" s="96" t="str">
        <f>IF(AND(R727=1,S727&lt;&gt;"",C727&lt;&gt;""),S727&amp;"|"&amp;C727&amp;"|"&amp;G727&amp;"|"&amp;H727,"")</f>
        <v/>
      </c>
      <c r="AH727" s="96">
        <f>IF(AG727="",0,IF(SUMPRODUCT(--($AG$6:$AG$1005=AG727))&gt;1,1,0))</f>
        <v>0</v>
      </c>
      <c r="AI727" s="96">
        <f>IF(R727=0,0,IF(OR(U727=0,V727=0,Y727=0,AND(AH727=1,K727&lt;&gt;"Sim")),1,0))</f>
        <v>0</v>
      </c>
      <c r="AJ727" s="96">
        <f>IF(AND(R727=1,AA727&gt;0,AB727=AA727),1,0)</f>
        <v>0</v>
      </c>
      <c r="AK727" s="96">
        <f>IF(R727=0,0,IF(AA727&gt;0,N(L727),IF(ISNUMBER(I727),I727,0)))</f>
        <v>0</v>
      </c>
      <c r="AL727" s="96">
        <f>IF(R727=0,0,IF(AND(K727&lt;&gt;"Sim",N(M727)&gt;AK727+cfg_tol),1,0))</f>
        <v>0</v>
      </c>
      <c r="AM727" s="96">
        <f>IF(R727=0,0,IF(K727="Sim",0,IF(OR(AND(AA727&gt;0,ISNUMBER(I727),ABS(I727-N(L727))&gt;cfg_tol),AL727=1),1,0)))</f>
        <v>0</v>
      </c>
      <c r="AN727" s="96">
        <f>IF(AND(R727=1,N(M727)&gt;0,OR(N(M727)&gt;=AK727-cfg_tol,K727="Sim")),1,0)</f>
        <v>0</v>
      </c>
      <c r="AO727" s="96">
        <f>IF(AND(AN727=1,AD727&gt;0,AE727=AD727,AL727=0),1,0)</f>
        <v>0</v>
      </c>
      <c r="AP727" s="96">
        <f>IF(U727=0,0,IF(AND(INDEX('MTRs'!$AX$6:$AX$505,T727)=1,Z727=0,OR(f_res="",f_res="(Todos)",C727=f_res)),1,0))</f>
        <v>0</v>
      </c>
      <c r="AQ727" s="97" t="str">
        <f>IF(U727=0,"",INDEX('MTRs'!$AZ$6:$AZ$505,T727))</f>
        <v/>
      </c>
      <c r="AR727" s="96">
        <f>IF(U727=0,0,IF(AND(INDEX('MTRs'!$BA$6:$BA$505,T727)=1,Z727=0),1,0))</f>
        <v>0</v>
      </c>
      <c r="AS727" s="96" t="str">
        <f>IF(R727=1,A727&amp;" | MTR "&amp;IF(U727=1,INDEX('MTRs'!$B$6:$B$505,T727)&amp;"","?")&amp;" | "&amp;IF(C727="","(sem resíduo)",C727),"")</f>
        <v/>
      </c>
      <c r="AT727" s="96" t="str">
        <f>IF(R727=1,COUNTIF($R$6:R727,1),"")</f>
        <v/>
      </c>
      <c r="AU727" s="96" t="str">
        <f>IF(U727=1,INDEX('MTRs'!$I$6:$I$505,T727)&amp;"","")</f>
        <v/>
      </c>
    </row>
    <row r="728">
      <c r="A728" s="89" t="inlineStr">
        <is>
          <t>IT-000723</t>
        </is>
      </c>
      <c r="B728" s="91" t="n"/>
      <c r="C728" s="91" t="n"/>
      <c r="D728" s="94" t="str">
        <f>IF(OR(R728=0,V728=0),"",INDEX('CAD_RESÍDUOS'!$E$6:$E$205,MATCH(C728,'CAD_RESÍDUOS'!$B$6:$B$205,0))&amp;"")</f>
        <v/>
      </c>
      <c r="E728" s="94" t="str">
        <f>IF(OR(R728=0,V728=0),"",INDEX('CAD_RESÍDUOS'!$C$6:$C$205,MATCH(C728,'CAD_RESÍDUOS'!$B$6:$B$205,0))&amp;"")</f>
        <v/>
      </c>
      <c r="F728" s="94" t="str">
        <f>IF(OR(R728=0,V728=0),"",INDEX('CAD_RESÍDUOS'!$G$6:$G$205,MATCH(C728,'CAD_RESÍDUOS'!$B$6:$B$205,0))&amp;"")</f>
        <v/>
      </c>
      <c r="G728" s="98" t="n"/>
      <c r="H728" s="91" t="n"/>
      <c r="I728" s="93" t="str">
        <f>IF(R728=0,"",IF(NOT(ISNUMBER(G728)),"",IF(ISNUMBER(X728),G728*X728,"UNIDADE A CONFERIR")))</f>
        <v/>
      </c>
      <c r="J728" s="91" t="n"/>
      <c r="K728" s="91" t="n"/>
      <c r="L728" s="93" t="str">
        <f>IF(R728=0,"",SUMIFS('RECEBIMENTOS'!$H$6:$H$1005,'RECEBIMENTOS'!$R$6:$R$1005,A728,'RECEBIMENTOS'!$X$6:$X$1005,1))</f>
        <v/>
      </c>
      <c r="M728" s="93" t="str">
        <f>IF(R728=0,"",SUMIFS('VÍNCULOS_CDF'!$H$6:$H$1005,'VÍNCULOS_CDF'!$R$6:$R$1005,A728,'VÍNCULOS_CDF'!$V$6:$V$1005,1))</f>
        <v/>
      </c>
      <c r="N728" s="99" t="str">
        <f>IF(OR(R728=0,AA728=0,NOT(ISNUMBER(I728))),"",I728-N(L728))</f>
        <v/>
      </c>
      <c r="O728" s="100" t="str">
        <f>IF(OR(R728=0,AK728&lt;=0),"",N(M728)/AK728)</f>
        <v/>
      </c>
      <c r="P728" s="94" t="str">
        <f>IF(R728=0,"",IF(S728="","Sem MTR associado",IF(U728=0,"MTR inexistente",IF(C728="","Resíduo não identificado",IF(V728=0,"Resíduo fora do cadastro",IF(W728=0,"Quantidade inválida",IF(H728="","Unidade não informada",IF(NOT(ISNUMBER(I728)),"Unidade a conferir",IF(AND(AH728=1,K728&lt;&gt;"Sim"),"Possível duplicidade",IF(Z728=1,"MTR cancelado",IF(AC728&gt;0,"Recebimento com alerta",IF(AA728=0,"Aguardando recebimento",IF(AB728&lt;AA728,"Recebimento a conferir",IF(AM728=1,"Quantidade a revisar",IF(AF728&gt;0,"Vínculo a revisar",IF(AD728=0,"Aguardando CDF",IF(AN728=0,"Vínculo de CDF parcial",IF(AE728&lt;AD728,"CDF a conferir","Documentação conferida"))))))))))))))))))</f>
        <v/>
      </c>
      <c r="Q728" s="93" t="str">
        <f>IF(OR(R728=0,AA728=0),"",MAX(0,N(L728)-N(M728)))</f>
        <v/>
      </c>
      <c r="R728" s="96">
        <f>IF(COUNTA(B728:C728,G728:H728,J728:K728)&gt;0,1,0)</f>
        <v>0</v>
      </c>
      <c r="S728" s="96" t="str">
        <f>IF(B728="","",TRIM(LEFT(B728,FIND(" |",B728&amp;" |")-1)))</f>
        <v/>
      </c>
      <c r="T728" s="96" t="str">
        <f>IF(S728="","",IFERROR(MATCH(S728,'MTRs'!$A$6:$A$505,0),""))</f>
        <v/>
      </c>
      <c r="U728" s="96">
        <f>IF(T728="",0,IF(INDEX('MTRs'!$Z$6:$Z$505,T728)=1,1,0))</f>
        <v>0</v>
      </c>
      <c r="V728" s="96">
        <f>IF(C728="",0,IF(ISNUMBER(MATCH(C728,'CAD_RESÍDUOS'!$B$6:$B$205,0)),1,0))</f>
        <v>0</v>
      </c>
      <c r="W728" s="96">
        <f>IF(AND(ISNUMBER(G728),G728&gt;0),1,0)</f>
        <v>0</v>
      </c>
      <c r="X728" s="96" t="str">
        <f>IF(H728="","",IFERROR(IF(ISNUMBER(INDEX(cfg_fac,MATCH(H728,cfg_units,0))),IF(INDEX(cfg_fac,MATCH(H728,cfg_units,0))&gt;0,INDEX(cfg_fac,MATCH(H728,cfg_units,0)),""),""),""))</f>
        <v/>
      </c>
      <c r="Y728" s="96">
        <f>IF(AND(W728=1,ISNUMBER(I728)),1,0)</f>
        <v>0</v>
      </c>
      <c r="Z728" s="96">
        <f>IF(U728=1,INDEX('MTRs'!$AA$6:$AA$505,T728),0)</f>
        <v>0</v>
      </c>
      <c r="AA728" s="96">
        <f>IF(R728=0,0,COUNTIFS('RECEBIMENTOS'!$R$6:$R$1005,A728,'RECEBIMENTOS'!$Q$6:$Q$1005,1))</f>
        <v>0</v>
      </c>
      <c r="AB728" s="96">
        <f>IF(R728=0,0,COUNTIFS('RECEBIMENTOS'!$R$6:$R$1005,A728,'RECEBIMENTOS'!$Z$6:$Z$1005,1))</f>
        <v>0</v>
      </c>
      <c r="AC728" s="96">
        <f>IF(R728=0,0,COUNTIFS('RECEBIMENTOS'!$R$6:$R$1005,A728,'RECEBIMENTOS'!$Y$6:$Y$1005,1))</f>
        <v>0</v>
      </c>
      <c r="AD728" s="96">
        <f>IF(R728=0,0,COUNTIFS('VÍNCULOS_CDF'!$R$6:$R$1005,A728,'VÍNCULOS_CDF'!$N$6:$N$1005,1))</f>
        <v>0</v>
      </c>
      <c r="AE728" s="96">
        <f>IF(R728=0,0,COUNTIFS('VÍNCULOS_CDF'!$R$6:$R$1005,A728,'VÍNCULOS_CDF'!$AA$6:$AA$1005,1))</f>
        <v>0</v>
      </c>
      <c r="AF728" s="96">
        <f>IF(R728=0,0,COUNTIFS('VÍNCULOS_CDF'!$R$6:$R$1005,A728,'VÍNCULOS_CDF'!$Y$6:$Y$1005,1))</f>
        <v>0</v>
      </c>
      <c r="AG728" s="96" t="str">
        <f>IF(AND(R728=1,S728&lt;&gt;"",C728&lt;&gt;""),S728&amp;"|"&amp;C728&amp;"|"&amp;G728&amp;"|"&amp;H728,"")</f>
        <v/>
      </c>
      <c r="AH728" s="96">
        <f>IF(AG728="",0,IF(SUMPRODUCT(--($AG$6:$AG$1005=AG728))&gt;1,1,0))</f>
        <v>0</v>
      </c>
      <c r="AI728" s="96">
        <f>IF(R728=0,0,IF(OR(U728=0,V728=0,Y728=0,AND(AH728=1,K728&lt;&gt;"Sim")),1,0))</f>
        <v>0</v>
      </c>
      <c r="AJ728" s="96">
        <f>IF(AND(R728=1,AA728&gt;0,AB728=AA728),1,0)</f>
        <v>0</v>
      </c>
      <c r="AK728" s="96">
        <f>IF(R728=0,0,IF(AA728&gt;0,N(L728),IF(ISNUMBER(I728),I728,0)))</f>
        <v>0</v>
      </c>
      <c r="AL728" s="96">
        <f>IF(R728=0,0,IF(AND(K728&lt;&gt;"Sim",N(M728)&gt;AK728+cfg_tol),1,0))</f>
        <v>0</v>
      </c>
      <c r="AM728" s="96">
        <f>IF(R728=0,0,IF(K728="Sim",0,IF(OR(AND(AA728&gt;0,ISNUMBER(I728),ABS(I728-N(L728))&gt;cfg_tol),AL728=1),1,0)))</f>
        <v>0</v>
      </c>
      <c r="AN728" s="96">
        <f>IF(AND(R728=1,N(M728)&gt;0,OR(N(M728)&gt;=AK728-cfg_tol,K728="Sim")),1,0)</f>
        <v>0</v>
      </c>
      <c r="AO728" s="96">
        <f>IF(AND(AN728=1,AD728&gt;0,AE728=AD728,AL728=0),1,0)</f>
        <v>0</v>
      </c>
      <c r="AP728" s="96">
        <f>IF(U728=0,0,IF(AND(INDEX('MTRs'!$AX$6:$AX$505,T728)=1,Z728=0,OR(f_res="",f_res="(Todos)",C728=f_res)),1,0))</f>
        <v>0</v>
      </c>
      <c r="AQ728" s="97" t="str">
        <f>IF(U728=0,"",INDEX('MTRs'!$AZ$6:$AZ$505,T728))</f>
        <v/>
      </c>
      <c r="AR728" s="96">
        <f>IF(U728=0,0,IF(AND(INDEX('MTRs'!$BA$6:$BA$505,T728)=1,Z728=0),1,0))</f>
        <v>0</v>
      </c>
      <c r="AS728" s="96" t="str">
        <f>IF(R728=1,A728&amp;" | MTR "&amp;IF(U728=1,INDEX('MTRs'!$B$6:$B$505,T728)&amp;"","?")&amp;" | "&amp;IF(C728="","(sem resíduo)",C728),"")</f>
        <v/>
      </c>
      <c r="AT728" s="96" t="str">
        <f>IF(R728=1,COUNTIF($R$6:R728,1),"")</f>
        <v/>
      </c>
      <c r="AU728" s="96" t="str">
        <f>IF(U728=1,INDEX('MTRs'!$I$6:$I$505,T728)&amp;"","")</f>
        <v/>
      </c>
    </row>
    <row r="729">
      <c r="A729" s="89" t="inlineStr">
        <is>
          <t>IT-000724</t>
        </is>
      </c>
      <c r="B729" s="91" t="n"/>
      <c r="C729" s="91" t="n"/>
      <c r="D729" s="94" t="str">
        <f>IF(OR(R729=0,V729=0),"",INDEX('CAD_RESÍDUOS'!$E$6:$E$205,MATCH(C729,'CAD_RESÍDUOS'!$B$6:$B$205,0))&amp;"")</f>
        <v/>
      </c>
      <c r="E729" s="94" t="str">
        <f>IF(OR(R729=0,V729=0),"",INDEX('CAD_RESÍDUOS'!$C$6:$C$205,MATCH(C729,'CAD_RESÍDUOS'!$B$6:$B$205,0))&amp;"")</f>
        <v/>
      </c>
      <c r="F729" s="94" t="str">
        <f>IF(OR(R729=0,V729=0),"",INDEX('CAD_RESÍDUOS'!$G$6:$G$205,MATCH(C729,'CAD_RESÍDUOS'!$B$6:$B$205,0))&amp;"")</f>
        <v/>
      </c>
      <c r="G729" s="98" t="n"/>
      <c r="H729" s="91" t="n"/>
      <c r="I729" s="93" t="str">
        <f>IF(R729=0,"",IF(NOT(ISNUMBER(G729)),"",IF(ISNUMBER(X729),G729*X729,"UNIDADE A CONFERIR")))</f>
        <v/>
      </c>
      <c r="J729" s="91" t="n"/>
      <c r="K729" s="91" t="n"/>
      <c r="L729" s="93" t="str">
        <f>IF(R729=0,"",SUMIFS('RECEBIMENTOS'!$H$6:$H$1005,'RECEBIMENTOS'!$R$6:$R$1005,A729,'RECEBIMENTOS'!$X$6:$X$1005,1))</f>
        <v/>
      </c>
      <c r="M729" s="93" t="str">
        <f>IF(R729=0,"",SUMIFS('VÍNCULOS_CDF'!$H$6:$H$1005,'VÍNCULOS_CDF'!$R$6:$R$1005,A729,'VÍNCULOS_CDF'!$V$6:$V$1005,1))</f>
        <v/>
      </c>
      <c r="N729" s="99" t="str">
        <f>IF(OR(R729=0,AA729=0,NOT(ISNUMBER(I729))),"",I729-N(L729))</f>
        <v/>
      </c>
      <c r="O729" s="100" t="str">
        <f>IF(OR(R729=0,AK729&lt;=0),"",N(M729)/AK729)</f>
        <v/>
      </c>
      <c r="P729" s="94" t="str">
        <f>IF(R729=0,"",IF(S729="","Sem MTR associado",IF(U729=0,"MTR inexistente",IF(C729="","Resíduo não identificado",IF(V729=0,"Resíduo fora do cadastro",IF(W729=0,"Quantidade inválida",IF(H729="","Unidade não informada",IF(NOT(ISNUMBER(I729)),"Unidade a conferir",IF(AND(AH729=1,K729&lt;&gt;"Sim"),"Possível duplicidade",IF(Z729=1,"MTR cancelado",IF(AC729&gt;0,"Recebimento com alerta",IF(AA729=0,"Aguardando recebimento",IF(AB729&lt;AA729,"Recebimento a conferir",IF(AM729=1,"Quantidade a revisar",IF(AF729&gt;0,"Vínculo a revisar",IF(AD729=0,"Aguardando CDF",IF(AN729=0,"Vínculo de CDF parcial",IF(AE729&lt;AD729,"CDF a conferir","Documentação conferida"))))))))))))))))))</f>
        <v/>
      </c>
      <c r="Q729" s="93" t="str">
        <f>IF(OR(R729=0,AA729=0),"",MAX(0,N(L729)-N(M729)))</f>
        <v/>
      </c>
      <c r="R729" s="96">
        <f>IF(COUNTA(B729:C729,G729:H729,J729:K729)&gt;0,1,0)</f>
        <v>0</v>
      </c>
      <c r="S729" s="96" t="str">
        <f>IF(B729="","",TRIM(LEFT(B729,FIND(" |",B729&amp;" |")-1)))</f>
        <v/>
      </c>
      <c r="T729" s="96" t="str">
        <f>IF(S729="","",IFERROR(MATCH(S729,'MTRs'!$A$6:$A$505,0),""))</f>
        <v/>
      </c>
      <c r="U729" s="96">
        <f>IF(T729="",0,IF(INDEX('MTRs'!$Z$6:$Z$505,T729)=1,1,0))</f>
        <v>0</v>
      </c>
      <c r="V729" s="96">
        <f>IF(C729="",0,IF(ISNUMBER(MATCH(C729,'CAD_RESÍDUOS'!$B$6:$B$205,0)),1,0))</f>
        <v>0</v>
      </c>
      <c r="W729" s="96">
        <f>IF(AND(ISNUMBER(G729),G729&gt;0),1,0)</f>
        <v>0</v>
      </c>
      <c r="X729" s="96" t="str">
        <f>IF(H729="","",IFERROR(IF(ISNUMBER(INDEX(cfg_fac,MATCH(H729,cfg_units,0))),IF(INDEX(cfg_fac,MATCH(H729,cfg_units,0))&gt;0,INDEX(cfg_fac,MATCH(H729,cfg_units,0)),""),""),""))</f>
        <v/>
      </c>
      <c r="Y729" s="96">
        <f>IF(AND(W729=1,ISNUMBER(I729)),1,0)</f>
        <v>0</v>
      </c>
      <c r="Z729" s="96">
        <f>IF(U729=1,INDEX('MTRs'!$AA$6:$AA$505,T729),0)</f>
        <v>0</v>
      </c>
      <c r="AA729" s="96">
        <f>IF(R729=0,0,COUNTIFS('RECEBIMENTOS'!$R$6:$R$1005,A729,'RECEBIMENTOS'!$Q$6:$Q$1005,1))</f>
        <v>0</v>
      </c>
      <c r="AB729" s="96">
        <f>IF(R729=0,0,COUNTIFS('RECEBIMENTOS'!$R$6:$R$1005,A729,'RECEBIMENTOS'!$Z$6:$Z$1005,1))</f>
        <v>0</v>
      </c>
      <c r="AC729" s="96">
        <f>IF(R729=0,0,COUNTIFS('RECEBIMENTOS'!$R$6:$R$1005,A729,'RECEBIMENTOS'!$Y$6:$Y$1005,1))</f>
        <v>0</v>
      </c>
      <c r="AD729" s="96">
        <f>IF(R729=0,0,COUNTIFS('VÍNCULOS_CDF'!$R$6:$R$1005,A729,'VÍNCULOS_CDF'!$N$6:$N$1005,1))</f>
        <v>0</v>
      </c>
      <c r="AE729" s="96">
        <f>IF(R729=0,0,COUNTIFS('VÍNCULOS_CDF'!$R$6:$R$1005,A729,'VÍNCULOS_CDF'!$AA$6:$AA$1005,1))</f>
        <v>0</v>
      </c>
      <c r="AF729" s="96">
        <f>IF(R729=0,0,COUNTIFS('VÍNCULOS_CDF'!$R$6:$R$1005,A729,'VÍNCULOS_CDF'!$Y$6:$Y$1005,1))</f>
        <v>0</v>
      </c>
      <c r="AG729" s="96" t="str">
        <f>IF(AND(R729=1,S729&lt;&gt;"",C729&lt;&gt;""),S729&amp;"|"&amp;C729&amp;"|"&amp;G729&amp;"|"&amp;H729,"")</f>
        <v/>
      </c>
      <c r="AH729" s="96">
        <f>IF(AG729="",0,IF(SUMPRODUCT(--($AG$6:$AG$1005=AG729))&gt;1,1,0))</f>
        <v>0</v>
      </c>
      <c r="AI729" s="96">
        <f>IF(R729=0,0,IF(OR(U729=0,V729=0,Y729=0,AND(AH729=1,K729&lt;&gt;"Sim")),1,0))</f>
        <v>0</v>
      </c>
      <c r="AJ729" s="96">
        <f>IF(AND(R729=1,AA729&gt;0,AB729=AA729),1,0)</f>
        <v>0</v>
      </c>
      <c r="AK729" s="96">
        <f>IF(R729=0,0,IF(AA729&gt;0,N(L729),IF(ISNUMBER(I729),I729,0)))</f>
        <v>0</v>
      </c>
      <c r="AL729" s="96">
        <f>IF(R729=0,0,IF(AND(K729&lt;&gt;"Sim",N(M729)&gt;AK729+cfg_tol),1,0))</f>
        <v>0</v>
      </c>
      <c r="AM729" s="96">
        <f>IF(R729=0,0,IF(K729="Sim",0,IF(OR(AND(AA729&gt;0,ISNUMBER(I729),ABS(I729-N(L729))&gt;cfg_tol),AL729=1),1,0)))</f>
        <v>0</v>
      </c>
      <c r="AN729" s="96">
        <f>IF(AND(R729=1,N(M729)&gt;0,OR(N(M729)&gt;=AK729-cfg_tol,K729="Sim")),1,0)</f>
        <v>0</v>
      </c>
      <c r="AO729" s="96">
        <f>IF(AND(AN729=1,AD729&gt;0,AE729=AD729,AL729=0),1,0)</f>
        <v>0</v>
      </c>
      <c r="AP729" s="96">
        <f>IF(U729=0,0,IF(AND(INDEX('MTRs'!$AX$6:$AX$505,T729)=1,Z729=0,OR(f_res="",f_res="(Todos)",C729=f_res)),1,0))</f>
        <v>0</v>
      </c>
      <c r="AQ729" s="97" t="str">
        <f>IF(U729=0,"",INDEX('MTRs'!$AZ$6:$AZ$505,T729))</f>
        <v/>
      </c>
      <c r="AR729" s="96">
        <f>IF(U729=0,0,IF(AND(INDEX('MTRs'!$BA$6:$BA$505,T729)=1,Z729=0),1,0))</f>
        <v>0</v>
      </c>
      <c r="AS729" s="96" t="str">
        <f>IF(R729=1,A729&amp;" | MTR "&amp;IF(U729=1,INDEX('MTRs'!$B$6:$B$505,T729)&amp;"","?")&amp;" | "&amp;IF(C729="","(sem resíduo)",C729),"")</f>
        <v/>
      </c>
      <c r="AT729" s="96" t="str">
        <f>IF(R729=1,COUNTIF($R$6:R729,1),"")</f>
        <v/>
      </c>
      <c r="AU729" s="96" t="str">
        <f>IF(U729=1,INDEX('MTRs'!$I$6:$I$505,T729)&amp;"","")</f>
        <v/>
      </c>
    </row>
    <row r="730">
      <c r="A730" s="89" t="inlineStr">
        <is>
          <t>IT-000725</t>
        </is>
      </c>
      <c r="B730" s="91" t="n"/>
      <c r="C730" s="91" t="n"/>
      <c r="D730" s="94" t="str">
        <f>IF(OR(R730=0,V730=0),"",INDEX('CAD_RESÍDUOS'!$E$6:$E$205,MATCH(C730,'CAD_RESÍDUOS'!$B$6:$B$205,0))&amp;"")</f>
        <v/>
      </c>
      <c r="E730" s="94" t="str">
        <f>IF(OR(R730=0,V730=0),"",INDEX('CAD_RESÍDUOS'!$C$6:$C$205,MATCH(C730,'CAD_RESÍDUOS'!$B$6:$B$205,0))&amp;"")</f>
        <v/>
      </c>
      <c r="F730" s="94" t="str">
        <f>IF(OR(R730=0,V730=0),"",INDEX('CAD_RESÍDUOS'!$G$6:$G$205,MATCH(C730,'CAD_RESÍDUOS'!$B$6:$B$205,0))&amp;"")</f>
        <v/>
      </c>
      <c r="G730" s="98" t="n"/>
      <c r="H730" s="91" t="n"/>
      <c r="I730" s="93" t="str">
        <f>IF(R730=0,"",IF(NOT(ISNUMBER(G730)),"",IF(ISNUMBER(X730),G730*X730,"UNIDADE A CONFERIR")))</f>
        <v/>
      </c>
      <c r="J730" s="91" t="n"/>
      <c r="K730" s="91" t="n"/>
      <c r="L730" s="93" t="str">
        <f>IF(R730=0,"",SUMIFS('RECEBIMENTOS'!$H$6:$H$1005,'RECEBIMENTOS'!$R$6:$R$1005,A730,'RECEBIMENTOS'!$X$6:$X$1005,1))</f>
        <v/>
      </c>
      <c r="M730" s="93" t="str">
        <f>IF(R730=0,"",SUMIFS('VÍNCULOS_CDF'!$H$6:$H$1005,'VÍNCULOS_CDF'!$R$6:$R$1005,A730,'VÍNCULOS_CDF'!$V$6:$V$1005,1))</f>
        <v/>
      </c>
      <c r="N730" s="99" t="str">
        <f>IF(OR(R730=0,AA730=0,NOT(ISNUMBER(I730))),"",I730-N(L730))</f>
        <v/>
      </c>
      <c r="O730" s="100" t="str">
        <f>IF(OR(R730=0,AK730&lt;=0),"",N(M730)/AK730)</f>
        <v/>
      </c>
      <c r="P730" s="94" t="str">
        <f>IF(R730=0,"",IF(S730="","Sem MTR associado",IF(U730=0,"MTR inexistente",IF(C730="","Resíduo não identificado",IF(V730=0,"Resíduo fora do cadastro",IF(W730=0,"Quantidade inválida",IF(H730="","Unidade não informada",IF(NOT(ISNUMBER(I730)),"Unidade a conferir",IF(AND(AH730=1,K730&lt;&gt;"Sim"),"Possível duplicidade",IF(Z730=1,"MTR cancelado",IF(AC730&gt;0,"Recebimento com alerta",IF(AA730=0,"Aguardando recebimento",IF(AB730&lt;AA730,"Recebimento a conferir",IF(AM730=1,"Quantidade a revisar",IF(AF730&gt;0,"Vínculo a revisar",IF(AD730=0,"Aguardando CDF",IF(AN730=0,"Vínculo de CDF parcial",IF(AE730&lt;AD730,"CDF a conferir","Documentação conferida"))))))))))))))))))</f>
        <v/>
      </c>
      <c r="Q730" s="93" t="str">
        <f>IF(OR(R730=0,AA730=0),"",MAX(0,N(L730)-N(M730)))</f>
        <v/>
      </c>
      <c r="R730" s="96">
        <f>IF(COUNTA(B730:C730,G730:H730,J730:K730)&gt;0,1,0)</f>
        <v>0</v>
      </c>
      <c r="S730" s="96" t="str">
        <f>IF(B730="","",TRIM(LEFT(B730,FIND(" |",B730&amp;" |")-1)))</f>
        <v/>
      </c>
      <c r="T730" s="96" t="str">
        <f>IF(S730="","",IFERROR(MATCH(S730,'MTRs'!$A$6:$A$505,0),""))</f>
        <v/>
      </c>
      <c r="U730" s="96">
        <f>IF(T730="",0,IF(INDEX('MTRs'!$Z$6:$Z$505,T730)=1,1,0))</f>
        <v>0</v>
      </c>
      <c r="V730" s="96">
        <f>IF(C730="",0,IF(ISNUMBER(MATCH(C730,'CAD_RESÍDUOS'!$B$6:$B$205,0)),1,0))</f>
        <v>0</v>
      </c>
      <c r="W730" s="96">
        <f>IF(AND(ISNUMBER(G730),G730&gt;0),1,0)</f>
        <v>0</v>
      </c>
      <c r="X730" s="96" t="str">
        <f>IF(H730="","",IFERROR(IF(ISNUMBER(INDEX(cfg_fac,MATCH(H730,cfg_units,0))),IF(INDEX(cfg_fac,MATCH(H730,cfg_units,0))&gt;0,INDEX(cfg_fac,MATCH(H730,cfg_units,0)),""),""),""))</f>
        <v/>
      </c>
      <c r="Y730" s="96">
        <f>IF(AND(W730=1,ISNUMBER(I730)),1,0)</f>
        <v>0</v>
      </c>
      <c r="Z730" s="96">
        <f>IF(U730=1,INDEX('MTRs'!$AA$6:$AA$505,T730),0)</f>
        <v>0</v>
      </c>
      <c r="AA730" s="96">
        <f>IF(R730=0,0,COUNTIFS('RECEBIMENTOS'!$R$6:$R$1005,A730,'RECEBIMENTOS'!$Q$6:$Q$1005,1))</f>
        <v>0</v>
      </c>
      <c r="AB730" s="96">
        <f>IF(R730=0,0,COUNTIFS('RECEBIMENTOS'!$R$6:$R$1005,A730,'RECEBIMENTOS'!$Z$6:$Z$1005,1))</f>
        <v>0</v>
      </c>
      <c r="AC730" s="96">
        <f>IF(R730=0,0,COUNTIFS('RECEBIMENTOS'!$R$6:$R$1005,A730,'RECEBIMENTOS'!$Y$6:$Y$1005,1))</f>
        <v>0</v>
      </c>
      <c r="AD730" s="96">
        <f>IF(R730=0,0,COUNTIFS('VÍNCULOS_CDF'!$R$6:$R$1005,A730,'VÍNCULOS_CDF'!$N$6:$N$1005,1))</f>
        <v>0</v>
      </c>
      <c r="AE730" s="96">
        <f>IF(R730=0,0,COUNTIFS('VÍNCULOS_CDF'!$R$6:$R$1005,A730,'VÍNCULOS_CDF'!$AA$6:$AA$1005,1))</f>
        <v>0</v>
      </c>
      <c r="AF730" s="96">
        <f>IF(R730=0,0,COUNTIFS('VÍNCULOS_CDF'!$R$6:$R$1005,A730,'VÍNCULOS_CDF'!$Y$6:$Y$1005,1))</f>
        <v>0</v>
      </c>
      <c r="AG730" s="96" t="str">
        <f>IF(AND(R730=1,S730&lt;&gt;"",C730&lt;&gt;""),S730&amp;"|"&amp;C730&amp;"|"&amp;G730&amp;"|"&amp;H730,"")</f>
        <v/>
      </c>
      <c r="AH730" s="96">
        <f>IF(AG730="",0,IF(SUMPRODUCT(--($AG$6:$AG$1005=AG730))&gt;1,1,0))</f>
        <v>0</v>
      </c>
      <c r="AI730" s="96">
        <f>IF(R730=0,0,IF(OR(U730=0,V730=0,Y730=0,AND(AH730=1,K730&lt;&gt;"Sim")),1,0))</f>
        <v>0</v>
      </c>
      <c r="AJ730" s="96">
        <f>IF(AND(R730=1,AA730&gt;0,AB730=AA730),1,0)</f>
        <v>0</v>
      </c>
      <c r="AK730" s="96">
        <f>IF(R730=0,0,IF(AA730&gt;0,N(L730),IF(ISNUMBER(I730),I730,0)))</f>
        <v>0</v>
      </c>
      <c r="AL730" s="96">
        <f>IF(R730=0,0,IF(AND(K730&lt;&gt;"Sim",N(M730)&gt;AK730+cfg_tol),1,0))</f>
        <v>0</v>
      </c>
      <c r="AM730" s="96">
        <f>IF(R730=0,0,IF(K730="Sim",0,IF(OR(AND(AA730&gt;0,ISNUMBER(I730),ABS(I730-N(L730))&gt;cfg_tol),AL730=1),1,0)))</f>
        <v>0</v>
      </c>
      <c r="AN730" s="96">
        <f>IF(AND(R730=1,N(M730)&gt;0,OR(N(M730)&gt;=AK730-cfg_tol,K730="Sim")),1,0)</f>
        <v>0</v>
      </c>
      <c r="AO730" s="96">
        <f>IF(AND(AN730=1,AD730&gt;0,AE730=AD730,AL730=0),1,0)</f>
        <v>0</v>
      </c>
      <c r="AP730" s="96">
        <f>IF(U730=0,0,IF(AND(INDEX('MTRs'!$AX$6:$AX$505,T730)=1,Z730=0,OR(f_res="",f_res="(Todos)",C730=f_res)),1,0))</f>
        <v>0</v>
      </c>
      <c r="AQ730" s="97" t="str">
        <f>IF(U730=0,"",INDEX('MTRs'!$AZ$6:$AZ$505,T730))</f>
        <v/>
      </c>
      <c r="AR730" s="96">
        <f>IF(U730=0,0,IF(AND(INDEX('MTRs'!$BA$6:$BA$505,T730)=1,Z730=0),1,0))</f>
        <v>0</v>
      </c>
      <c r="AS730" s="96" t="str">
        <f>IF(R730=1,A730&amp;" | MTR "&amp;IF(U730=1,INDEX('MTRs'!$B$6:$B$505,T730)&amp;"","?")&amp;" | "&amp;IF(C730="","(sem resíduo)",C730),"")</f>
        <v/>
      </c>
      <c r="AT730" s="96" t="str">
        <f>IF(R730=1,COUNTIF($R$6:R730,1),"")</f>
        <v/>
      </c>
      <c r="AU730" s="96" t="str">
        <f>IF(U730=1,INDEX('MTRs'!$I$6:$I$505,T730)&amp;"","")</f>
        <v/>
      </c>
    </row>
    <row r="731">
      <c r="A731" s="89" t="inlineStr">
        <is>
          <t>IT-000726</t>
        </is>
      </c>
      <c r="B731" s="91" t="n"/>
      <c r="C731" s="91" t="n"/>
      <c r="D731" s="94" t="str">
        <f>IF(OR(R731=0,V731=0),"",INDEX('CAD_RESÍDUOS'!$E$6:$E$205,MATCH(C731,'CAD_RESÍDUOS'!$B$6:$B$205,0))&amp;"")</f>
        <v/>
      </c>
      <c r="E731" s="94" t="str">
        <f>IF(OR(R731=0,V731=0),"",INDEX('CAD_RESÍDUOS'!$C$6:$C$205,MATCH(C731,'CAD_RESÍDUOS'!$B$6:$B$205,0))&amp;"")</f>
        <v/>
      </c>
      <c r="F731" s="94" t="str">
        <f>IF(OR(R731=0,V731=0),"",INDEX('CAD_RESÍDUOS'!$G$6:$G$205,MATCH(C731,'CAD_RESÍDUOS'!$B$6:$B$205,0))&amp;"")</f>
        <v/>
      </c>
      <c r="G731" s="98" t="n"/>
      <c r="H731" s="91" t="n"/>
      <c r="I731" s="93" t="str">
        <f>IF(R731=0,"",IF(NOT(ISNUMBER(G731)),"",IF(ISNUMBER(X731),G731*X731,"UNIDADE A CONFERIR")))</f>
        <v/>
      </c>
      <c r="J731" s="91" t="n"/>
      <c r="K731" s="91" t="n"/>
      <c r="L731" s="93" t="str">
        <f>IF(R731=0,"",SUMIFS('RECEBIMENTOS'!$H$6:$H$1005,'RECEBIMENTOS'!$R$6:$R$1005,A731,'RECEBIMENTOS'!$X$6:$X$1005,1))</f>
        <v/>
      </c>
      <c r="M731" s="93" t="str">
        <f>IF(R731=0,"",SUMIFS('VÍNCULOS_CDF'!$H$6:$H$1005,'VÍNCULOS_CDF'!$R$6:$R$1005,A731,'VÍNCULOS_CDF'!$V$6:$V$1005,1))</f>
        <v/>
      </c>
      <c r="N731" s="99" t="str">
        <f>IF(OR(R731=0,AA731=0,NOT(ISNUMBER(I731))),"",I731-N(L731))</f>
        <v/>
      </c>
      <c r="O731" s="100" t="str">
        <f>IF(OR(R731=0,AK731&lt;=0),"",N(M731)/AK731)</f>
        <v/>
      </c>
      <c r="P731" s="94" t="str">
        <f>IF(R731=0,"",IF(S731="","Sem MTR associado",IF(U731=0,"MTR inexistente",IF(C731="","Resíduo não identificado",IF(V731=0,"Resíduo fora do cadastro",IF(W731=0,"Quantidade inválida",IF(H731="","Unidade não informada",IF(NOT(ISNUMBER(I731)),"Unidade a conferir",IF(AND(AH731=1,K731&lt;&gt;"Sim"),"Possível duplicidade",IF(Z731=1,"MTR cancelado",IF(AC731&gt;0,"Recebimento com alerta",IF(AA731=0,"Aguardando recebimento",IF(AB731&lt;AA731,"Recebimento a conferir",IF(AM731=1,"Quantidade a revisar",IF(AF731&gt;0,"Vínculo a revisar",IF(AD731=0,"Aguardando CDF",IF(AN731=0,"Vínculo de CDF parcial",IF(AE731&lt;AD731,"CDF a conferir","Documentação conferida"))))))))))))))))))</f>
        <v/>
      </c>
      <c r="Q731" s="93" t="str">
        <f>IF(OR(R731=0,AA731=0),"",MAX(0,N(L731)-N(M731)))</f>
        <v/>
      </c>
      <c r="R731" s="96">
        <f>IF(COUNTA(B731:C731,G731:H731,J731:K731)&gt;0,1,0)</f>
        <v>0</v>
      </c>
      <c r="S731" s="96" t="str">
        <f>IF(B731="","",TRIM(LEFT(B731,FIND(" |",B731&amp;" |")-1)))</f>
        <v/>
      </c>
      <c r="T731" s="96" t="str">
        <f>IF(S731="","",IFERROR(MATCH(S731,'MTRs'!$A$6:$A$505,0),""))</f>
        <v/>
      </c>
      <c r="U731" s="96">
        <f>IF(T731="",0,IF(INDEX('MTRs'!$Z$6:$Z$505,T731)=1,1,0))</f>
        <v>0</v>
      </c>
      <c r="V731" s="96">
        <f>IF(C731="",0,IF(ISNUMBER(MATCH(C731,'CAD_RESÍDUOS'!$B$6:$B$205,0)),1,0))</f>
        <v>0</v>
      </c>
      <c r="W731" s="96">
        <f>IF(AND(ISNUMBER(G731),G731&gt;0),1,0)</f>
        <v>0</v>
      </c>
      <c r="X731" s="96" t="str">
        <f>IF(H731="","",IFERROR(IF(ISNUMBER(INDEX(cfg_fac,MATCH(H731,cfg_units,0))),IF(INDEX(cfg_fac,MATCH(H731,cfg_units,0))&gt;0,INDEX(cfg_fac,MATCH(H731,cfg_units,0)),""),""),""))</f>
        <v/>
      </c>
      <c r="Y731" s="96">
        <f>IF(AND(W731=1,ISNUMBER(I731)),1,0)</f>
        <v>0</v>
      </c>
      <c r="Z731" s="96">
        <f>IF(U731=1,INDEX('MTRs'!$AA$6:$AA$505,T731),0)</f>
        <v>0</v>
      </c>
      <c r="AA731" s="96">
        <f>IF(R731=0,0,COUNTIFS('RECEBIMENTOS'!$R$6:$R$1005,A731,'RECEBIMENTOS'!$Q$6:$Q$1005,1))</f>
        <v>0</v>
      </c>
      <c r="AB731" s="96">
        <f>IF(R731=0,0,COUNTIFS('RECEBIMENTOS'!$R$6:$R$1005,A731,'RECEBIMENTOS'!$Z$6:$Z$1005,1))</f>
        <v>0</v>
      </c>
      <c r="AC731" s="96">
        <f>IF(R731=0,0,COUNTIFS('RECEBIMENTOS'!$R$6:$R$1005,A731,'RECEBIMENTOS'!$Y$6:$Y$1005,1))</f>
        <v>0</v>
      </c>
      <c r="AD731" s="96">
        <f>IF(R731=0,0,COUNTIFS('VÍNCULOS_CDF'!$R$6:$R$1005,A731,'VÍNCULOS_CDF'!$N$6:$N$1005,1))</f>
        <v>0</v>
      </c>
      <c r="AE731" s="96">
        <f>IF(R731=0,0,COUNTIFS('VÍNCULOS_CDF'!$R$6:$R$1005,A731,'VÍNCULOS_CDF'!$AA$6:$AA$1005,1))</f>
        <v>0</v>
      </c>
      <c r="AF731" s="96">
        <f>IF(R731=0,0,COUNTIFS('VÍNCULOS_CDF'!$R$6:$R$1005,A731,'VÍNCULOS_CDF'!$Y$6:$Y$1005,1))</f>
        <v>0</v>
      </c>
      <c r="AG731" s="96" t="str">
        <f>IF(AND(R731=1,S731&lt;&gt;"",C731&lt;&gt;""),S731&amp;"|"&amp;C731&amp;"|"&amp;G731&amp;"|"&amp;H731,"")</f>
        <v/>
      </c>
      <c r="AH731" s="96">
        <f>IF(AG731="",0,IF(SUMPRODUCT(--($AG$6:$AG$1005=AG731))&gt;1,1,0))</f>
        <v>0</v>
      </c>
      <c r="AI731" s="96">
        <f>IF(R731=0,0,IF(OR(U731=0,V731=0,Y731=0,AND(AH731=1,K731&lt;&gt;"Sim")),1,0))</f>
        <v>0</v>
      </c>
      <c r="AJ731" s="96">
        <f>IF(AND(R731=1,AA731&gt;0,AB731=AA731),1,0)</f>
        <v>0</v>
      </c>
      <c r="AK731" s="96">
        <f>IF(R731=0,0,IF(AA731&gt;0,N(L731),IF(ISNUMBER(I731),I731,0)))</f>
        <v>0</v>
      </c>
      <c r="AL731" s="96">
        <f>IF(R731=0,0,IF(AND(K731&lt;&gt;"Sim",N(M731)&gt;AK731+cfg_tol),1,0))</f>
        <v>0</v>
      </c>
      <c r="AM731" s="96">
        <f>IF(R731=0,0,IF(K731="Sim",0,IF(OR(AND(AA731&gt;0,ISNUMBER(I731),ABS(I731-N(L731))&gt;cfg_tol),AL731=1),1,0)))</f>
        <v>0</v>
      </c>
      <c r="AN731" s="96">
        <f>IF(AND(R731=1,N(M731)&gt;0,OR(N(M731)&gt;=AK731-cfg_tol,K731="Sim")),1,0)</f>
        <v>0</v>
      </c>
      <c r="AO731" s="96">
        <f>IF(AND(AN731=1,AD731&gt;0,AE731=AD731,AL731=0),1,0)</f>
        <v>0</v>
      </c>
      <c r="AP731" s="96">
        <f>IF(U731=0,0,IF(AND(INDEX('MTRs'!$AX$6:$AX$505,T731)=1,Z731=0,OR(f_res="",f_res="(Todos)",C731=f_res)),1,0))</f>
        <v>0</v>
      </c>
      <c r="AQ731" s="97" t="str">
        <f>IF(U731=0,"",INDEX('MTRs'!$AZ$6:$AZ$505,T731))</f>
        <v/>
      </c>
      <c r="AR731" s="96">
        <f>IF(U731=0,0,IF(AND(INDEX('MTRs'!$BA$6:$BA$505,T731)=1,Z731=0),1,0))</f>
        <v>0</v>
      </c>
      <c r="AS731" s="96" t="str">
        <f>IF(R731=1,A731&amp;" | MTR "&amp;IF(U731=1,INDEX('MTRs'!$B$6:$B$505,T731)&amp;"","?")&amp;" | "&amp;IF(C731="","(sem resíduo)",C731),"")</f>
        <v/>
      </c>
      <c r="AT731" s="96" t="str">
        <f>IF(R731=1,COUNTIF($R$6:R731,1),"")</f>
        <v/>
      </c>
      <c r="AU731" s="96" t="str">
        <f>IF(U731=1,INDEX('MTRs'!$I$6:$I$505,T731)&amp;"","")</f>
        <v/>
      </c>
    </row>
    <row r="732">
      <c r="A732" s="89" t="inlineStr">
        <is>
          <t>IT-000727</t>
        </is>
      </c>
      <c r="B732" s="91" t="n"/>
      <c r="C732" s="91" t="n"/>
      <c r="D732" s="94" t="str">
        <f>IF(OR(R732=0,V732=0),"",INDEX('CAD_RESÍDUOS'!$E$6:$E$205,MATCH(C732,'CAD_RESÍDUOS'!$B$6:$B$205,0))&amp;"")</f>
        <v/>
      </c>
      <c r="E732" s="94" t="str">
        <f>IF(OR(R732=0,V732=0),"",INDEX('CAD_RESÍDUOS'!$C$6:$C$205,MATCH(C732,'CAD_RESÍDUOS'!$B$6:$B$205,0))&amp;"")</f>
        <v/>
      </c>
      <c r="F732" s="94" t="str">
        <f>IF(OR(R732=0,V732=0),"",INDEX('CAD_RESÍDUOS'!$G$6:$G$205,MATCH(C732,'CAD_RESÍDUOS'!$B$6:$B$205,0))&amp;"")</f>
        <v/>
      </c>
      <c r="G732" s="98" t="n"/>
      <c r="H732" s="91" t="n"/>
      <c r="I732" s="93" t="str">
        <f>IF(R732=0,"",IF(NOT(ISNUMBER(G732)),"",IF(ISNUMBER(X732),G732*X732,"UNIDADE A CONFERIR")))</f>
        <v/>
      </c>
      <c r="J732" s="91" t="n"/>
      <c r="K732" s="91" t="n"/>
      <c r="L732" s="93" t="str">
        <f>IF(R732=0,"",SUMIFS('RECEBIMENTOS'!$H$6:$H$1005,'RECEBIMENTOS'!$R$6:$R$1005,A732,'RECEBIMENTOS'!$X$6:$X$1005,1))</f>
        <v/>
      </c>
      <c r="M732" s="93" t="str">
        <f>IF(R732=0,"",SUMIFS('VÍNCULOS_CDF'!$H$6:$H$1005,'VÍNCULOS_CDF'!$R$6:$R$1005,A732,'VÍNCULOS_CDF'!$V$6:$V$1005,1))</f>
        <v/>
      </c>
      <c r="N732" s="99" t="str">
        <f>IF(OR(R732=0,AA732=0,NOT(ISNUMBER(I732))),"",I732-N(L732))</f>
        <v/>
      </c>
      <c r="O732" s="100" t="str">
        <f>IF(OR(R732=0,AK732&lt;=0),"",N(M732)/AK732)</f>
        <v/>
      </c>
      <c r="P732" s="94" t="str">
        <f>IF(R732=0,"",IF(S732="","Sem MTR associado",IF(U732=0,"MTR inexistente",IF(C732="","Resíduo não identificado",IF(V732=0,"Resíduo fora do cadastro",IF(W732=0,"Quantidade inválida",IF(H732="","Unidade não informada",IF(NOT(ISNUMBER(I732)),"Unidade a conferir",IF(AND(AH732=1,K732&lt;&gt;"Sim"),"Possível duplicidade",IF(Z732=1,"MTR cancelado",IF(AC732&gt;0,"Recebimento com alerta",IF(AA732=0,"Aguardando recebimento",IF(AB732&lt;AA732,"Recebimento a conferir",IF(AM732=1,"Quantidade a revisar",IF(AF732&gt;0,"Vínculo a revisar",IF(AD732=0,"Aguardando CDF",IF(AN732=0,"Vínculo de CDF parcial",IF(AE732&lt;AD732,"CDF a conferir","Documentação conferida"))))))))))))))))))</f>
        <v/>
      </c>
      <c r="Q732" s="93" t="str">
        <f>IF(OR(R732=0,AA732=0),"",MAX(0,N(L732)-N(M732)))</f>
        <v/>
      </c>
      <c r="R732" s="96">
        <f>IF(COUNTA(B732:C732,G732:H732,J732:K732)&gt;0,1,0)</f>
        <v>0</v>
      </c>
      <c r="S732" s="96" t="str">
        <f>IF(B732="","",TRIM(LEFT(B732,FIND(" |",B732&amp;" |")-1)))</f>
        <v/>
      </c>
      <c r="T732" s="96" t="str">
        <f>IF(S732="","",IFERROR(MATCH(S732,'MTRs'!$A$6:$A$505,0),""))</f>
        <v/>
      </c>
      <c r="U732" s="96">
        <f>IF(T732="",0,IF(INDEX('MTRs'!$Z$6:$Z$505,T732)=1,1,0))</f>
        <v>0</v>
      </c>
      <c r="V732" s="96">
        <f>IF(C732="",0,IF(ISNUMBER(MATCH(C732,'CAD_RESÍDUOS'!$B$6:$B$205,0)),1,0))</f>
        <v>0</v>
      </c>
      <c r="W732" s="96">
        <f>IF(AND(ISNUMBER(G732),G732&gt;0),1,0)</f>
        <v>0</v>
      </c>
      <c r="X732" s="96" t="str">
        <f>IF(H732="","",IFERROR(IF(ISNUMBER(INDEX(cfg_fac,MATCH(H732,cfg_units,0))),IF(INDEX(cfg_fac,MATCH(H732,cfg_units,0))&gt;0,INDEX(cfg_fac,MATCH(H732,cfg_units,0)),""),""),""))</f>
        <v/>
      </c>
      <c r="Y732" s="96">
        <f>IF(AND(W732=1,ISNUMBER(I732)),1,0)</f>
        <v>0</v>
      </c>
      <c r="Z732" s="96">
        <f>IF(U732=1,INDEX('MTRs'!$AA$6:$AA$505,T732),0)</f>
        <v>0</v>
      </c>
      <c r="AA732" s="96">
        <f>IF(R732=0,0,COUNTIFS('RECEBIMENTOS'!$R$6:$R$1005,A732,'RECEBIMENTOS'!$Q$6:$Q$1005,1))</f>
        <v>0</v>
      </c>
      <c r="AB732" s="96">
        <f>IF(R732=0,0,COUNTIFS('RECEBIMENTOS'!$R$6:$R$1005,A732,'RECEBIMENTOS'!$Z$6:$Z$1005,1))</f>
        <v>0</v>
      </c>
      <c r="AC732" s="96">
        <f>IF(R732=0,0,COUNTIFS('RECEBIMENTOS'!$R$6:$R$1005,A732,'RECEBIMENTOS'!$Y$6:$Y$1005,1))</f>
        <v>0</v>
      </c>
      <c r="AD732" s="96">
        <f>IF(R732=0,0,COUNTIFS('VÍNCULOS_CDF'!$R$6:$R$1005,A732,'VÍNCULOS_CDF'!$N$6:$N$1005,1))</f>
        <v>0</v>
      </c>
      <c r="AE732" s="96">
        <f>IF(R732=0,0,COUNTIFS('VÍNCULOS_CDF'!$R$6:$R$1005,A732,'VÍNCULOS_CDF'!$AA$6:$AA$1005,1))</f>
        <v>0</v>
      </c>
      <c r="AF732" s="96">
        <f>IF(R732=0,0,COUNTIFS('VÍNCULOS_CDF'!$R$6:$R$1005,A732,'VÍNCULOS_CDF'!$Y$6:$Y$1005,1))</f>
        <v>0</v>
      </c>
      <c r="AG732" s="96" t="str">
        <f>IF(AND(R732=1,S732&lt;&gt;"",C732&lt;&gt;""),S732&amp;"|"&amp;C732&amp;"|"&amp;G732&amp;"|"&amp;H732,"")</f>
        <v/>
      </c>
      <c r="AH732" s="96">
        <f>IF(AG732="",0,IF(SUMPRODUCT(--($AG$6:$AG$1005=AG732))&gt;1,1,0))</f>
        <v>0</v>
      </c>
      <c r="AI732" s="96">
        <f>IF(R732=0,0,IF(OR(U732=0,V732=0,Y732=0,AND(AH732=1,K732&lt;&gt;"Sim")),1,0))</f>
        <v>0</v>
      </c>
      <c r="AJ732" s="96">
        <f>IF(AND(R732=1,AA732&gt;0,AB732=AA732),1,0)</f>
        <v>0</v>
      </c>
      <c r="AK732" s="96">
        <f>IF(R732=0,0,IF(AA732&gt;0,N(L732),IF(ISNUMBER(I732),I732,0)))</f>
        <v>0</v>
      </c>
      <c r="AL732" s="96">
        <f>IF(R732=0,0,IF(AND(K732&lt;&gt;"Sim",N(M732)&gt;AK732+cfg_tol),1,0))</f>
        <v>0</v>
      </c>
      <c r="AM732" s="96">
        <f>IF(R732=0,0,IF(K732="Sim",0,IF(OR(AND(AA732&gt;0,ISNUMBER(I732),ABS(I732-N(L732))&gt;cfg_tol),AL732=1),1,0)))</f>
        <v>0</v>
      </c>
      <c r="AN732" s="96">
        <f>IF(AND(R732=1,N(M732)&gt;0,OR(N(M732)&gt;=AK732-cfg_tol,K732="Sim")),1,0)</f>
        <v>0</v>
      </c>
      <c r="AO732" s="96">
        <f>IF(AND(AN732=1,AD732&gt;0,AE732=AD732,AL732=0),1,0)</f>
        <v>0</v>
      </c>
      <c r="AP732" s="96">
        <f>IF(U732=0,0,IF(AND(INDEX('MTRs'!$AX$6:$AX$505,T732)=1,Z732=0,OR(f_res="",f_res="(Todos)",C732=f_res)),1,0))</f>
        <v>0</v>
      </c>
      <c r="AQ732" s="97" t="str">
        <f>IF(U732=0,"",INDEX('MTRs'!$AZ$6:$AZ$505,T732))</f>
        <v/>
      </c>
      <c r="AR732" s="96">
        <f>IF(U732=0,0,IF(AND(INDEX('MTRs'!$BA$6:$BA$505,T732)=1,Z732=0),1,0))</f>
        <v>0</v>
      </c>
      <c r="AS732" s="96" t="str">
        <f>IF(R732=1,A732&amp;" | MTR "&amp;IF(U732=1,INDEX('MTRs'!$B$6:$B$505,T732)&amp;"","?")&amp;" | "&amp;IF(C732="","(sem resíduo)",C732),"")</f>
        <v/>
      </c>
      <c r="AT732" s="96" t="str">
        <f>IF(R732=1,COUNTIF($R$6:R732,1),"")</f>
        <v/>
      </c>
      <c r="AU732" s="96" t="str">
        <f>IF(U732=1,INDEX('MTRs'!$I$6:$I$505,T732)&amp;"","")</f>
        <v/>
      </c>
    </row>
    <row r="733">
      <c r="A733" s="89" t="inlineStr">
        <is>
          <t>IT-000728</t>
        </is>
      </c>
      <c r="B733" s="91" t="n"/>
      <c r="C733" s="91" t="n"/>
      <c r="D733" s="94" t="str">
        <f>IF(OR(R733=0,V733=0),"",INDEX('CAD_RESÍDUOS'!$E$6:$E$205,MATCH(C733,'CAD_RESÍDUOS'!$B$6:$B$205,0))&amp;"")</f>
        <v/>
      </c>
      <c r="E733" s="94" t="str">
        <f>IF(OR(R733=0,V733=0),"",INDEX('CAD_RESÍDUOS'!$C$6:$C$205,MATCH(C733,'CAD_RESÍDUOS'!$B$6:$B$205,0))&amp;"")</f>
        <v/>
      </c>
      <c r="F733" s="94" t="str">
        <f>IF(OR(R733=0,V733=0),"",INDEX('CAD_RESÍDUOS'!$G$6:$G$205,MATCH(C733,'CAD_RESÍDUOS'!$B$6:$B$205,0))&amp;"")</f>
        <v/>
      </c>
      <c r="G733" s="98" t="n"/>
      <c r="H733" s="91" t="n"/>
      <c r="I733" s="93" t="str">
        <f>IF(R733=0,"",IF(NOT(ISNUMBER(G733)),"",IF(ISNUMBER(X733),G733*X733,"UNIDADE A CONFERIR")))</f>
        <v/>
      </c>
      <c r="J733" s="91" t="n"/>
      <c r="K733" s="91" t="n"/>
      <c r="L733" s="93" t="str">
        <f>IF(R733=0,"",SUMIFS('RECEBIMENTOS'!$H$6:$H$1005,'RECEBIMENTOS'!$R$6:$R$1005,A733,'RECEBIMENTOS'!$X$6:$X$1005,1))</f>
        <v/>
      </c>
      <c r="M733" s="93" t="str">
        <f>IF(R733=0,"",SUMIFS('VÍNCULOS_CDF'!$H$6:$H$1005,'VÍNCULOS_CDF'!$R$6:$R$1005,A733,'VÍNCULOS_CDF'!$V$6:$V$1005,1))</f>
        <v/>
      </c>
      <c r="N733" s="99" t="str">
        <f>IF(OR(R733=0,AA733=0,NOT(ISNUMBER(I733))),"",I733-N(L733))</f>
        <v/>
      </c>
      <c r="O733" s="100" t="str">
        <f>IF(OR(R733=0,AK733&lt;=0),"",N(M733)/AK733)</f>
        <v/>
      </c>
      <c r="P733" s="94" t="str">
        <f>IF(R733=0,"",IF(S733="","Sem MTR associado",IF(U733=0,"MTR inexistente",IF(C733="","Resíduo não identificado",IF(V733=0,"Resíduo fora do cadastro",IF(W733=0,"Quantidade inválida",IF(H733="","Unidade não informada",IF(NOT(ISNUMBER(I733)),"Unidade a conferir",IF(AND(AH733=1,K733&lt;&gt;"Sim"),"Possível duplicidade",IF(Z733=1,"MTR cancelado",IF(AC733&gt;0,"Recebimento com alerta",IF(AA733=0,"Aguardando recebimento",IF(AB733&lt;AA733,"Recebimento a conferir",IF(AM733=1,"Quantidade a revisar",IF(AF733&gt;0,"Vínculo a revisar",IF(AD733=0,"Aguardando CDF",IF(AN733=0,"Vínculo de CDF parcial",IF(AE733&lt;AD733,"CDF a conferir","Documentação conferida"))))))))))))))))))</f>
        <v/>
      </c>
      <c r="Q733" s="93" t="str">
        <f>IF(OR(R733=0,AA733=0),"",MAX(0,N(L733)-N(M733)))</f>
        <v/>
      </c>
      <c r="R733" s="96">
        <f>IF(COUNTA(B733:C733,G733:H733,J733:K733)&gt;0,1,0)</f>
        <v>0</v>
      </c>
      <c r="S733" s="96" t="str">
        <f>IF(B733="","",TRIM(LEFT(B733,FIND(" |",B733&amp;" |")-1)))</f>
        <v/>
      </c>
      <c r="T733" s="96" t="str">
        <f>IF(S733="","",IFERROR(MATCH(S733,'MTRs'!$A$6:$A$505,0),""))</f>
        <v/>
      </c>
      <c r="U733" s="96">
        <f>IF(T733="",0,IF(INDEX('MTRs'!$Z$6:$Z$505,T733)=1,1,0))</f>
        <v>0</v>
      </c>
      <c r="V733" s="96">
        <f>IF(C733="",0,IF(ISNUMBER(MATCH(C733,'CAD_RESÍDUOS'!$B$6:$B$205,0)),1,0))</f>
        <v>0</v>
      </c>
      <c r="W733" s="96">
        <f>IF(AND(ISNUMBER(G733),G733&gt;0),1,0)</f>
        <v>0</v>
      </c>
      <c r="X733" s="96" t="str">
        <f>IF(H733="","",IFERROR(IF(ISNUMBER(INDEX(cfg_fac,MATCH(H733,cfg_units,0))),IF(INDEX(cfg_fac,MATCH(H733,cfg_units,0))&gt;0,INDEX(cfg_fac,MATCH(H733,cfg_units,0)),""),""),""))</f>
        <v/>
      </c>
      <c r="Y733" s="96">
        <f>IF(AND(W733=1,ISNUMBER(I733)),1,0)</f>
        <v>0</v>
      </c>
      <c r="Z733" s="96">
        <f>IF(U733=1,INDEX('MTRs'!$AA$6:$AA$505,T733),0)</f>
        <v>0</v>
      </c>
      <c r="AA733" s="96">
        <f>IF(R733=0,0,COUNTIFS('RECEBIMENTOS'!$R$6:$R$1005,A733,'RECEBIMENTOS'!$Q$6:$Q$1005,1))</f>
        <v>0</v>
      </c>
      <c r="AB733" s="96">
        <f>IF(R733=0,0,COUNTIFS('RECEBIMENTOS'!$R$6:$R$1005,A733,'RECEBIMENTOS'!$Z$6:$Z$1005,1))</f>
        <v>0</v>
      </c>
      <c r="AC733" s="96">
        <f>IF(R733=0,0,COUNTIFS('RECEBIMENTOS'!$R$6:$R$1005,A733,'RECEBIMENTOS'!$Y$6:$Y$1005,1))</f>
        <v>0</v>
      </c>
      <c r="AD733" s="96">
        <f>IF(R733=0,0,COUNTIFS('VÍNCULOS_CDF'!$R$6:$R$1005,A733,'VÍNCULOS_CDF'!$N$6:$N$1005,1))</f>
        <v>0</v>
      </c>
      <c r="AE733" s="96">
        <f>IF(R733=0,0,COUNTIFS('VÍNCULOS_CDF'!$R$6:$R$1005,A733,'VÍNCULOS_CDF'!$AA$6:$AA$1005,1))</f>
        <v>0</v>
      </c>
      <c r="AF733" s="96">
        <f>IF(R733=0,0,COUNTIFS('VÍNCULOS_CDF'!$R$6:$R$1005,A733,'VÍNCULOS_CDF'!$Y$6:$Y$1005,1))</f>
        <v>0</v>
      </c>
      <c r="AG733" s="96" t="str">
        <f>IF(AND(R733=1,S733&lt;&gt;"",C733&lt;&gt;""),S733&amp;"|"&amp;C733&amp;"|"&amp;G733&amp;"|"&amp;H733,"")</f>
        <v/>
      </c>
      <c r="AH733" s="96">
        <f>IF(AG733="",0,IF(SUMPRODUCT(--($AG$6:$AG$1005=AG733))&gt;1,1,0))</f>
        <v>0</v>
      </c>
      <c r="AI733" s="96">
        <f>IF(R733=0,0,IF(OR(U733=0,V733=0,Y733=0,AND(AH733=1,K733&lt;&gt;"Sim")),1,0))</f>
        <v>0</v>
      </c>
      <c r="AJ733" s="96">
        <f>IF(AND(R733=1,AA733&gt;0,AB733=AA733),1,0)</f>
        <v>0</v>
      </c>
      <c r="AK733" s="96">
        <f>IF(R733=0,0,IF(AA733&gt;0,N(L733),IF(ISNUMBER(I733),I733,0)))</f>
        <v>0</v>
      </c>
      <c r="AL733" s="96">
        <f>IF(R733=0,0,IF(AND(K733&lt;&gt;"Sim",N(M733)&gt;AK733+cfg_tol),1,0))</f>
        <v>0</v>
      </c>
      <c r="AM733" s="96">
        <f>IF(R733=0,0,IF(K733="Sim",0,IF(OR(AND(AA733&gt;0,ISNUMBER(I733),ABS(I733-N(L733))&gt;cfg_tol),AL733=1),1,0)))</f>
        <v>0</v>
      </c>
      <c r="AN733" s="96">
        <f>IF(AND(R733=1,N(M733)&gt;0,OR(N(M733)&gt;=AK733-cfg_tol,K733="Sim")),1,0)</f>
        <v>0</v>
      </c>
      <c r="AO733" s="96">
        <f>IF(AND(AN733=1,AD733&gt;0,AE733=AD733,AL733=0),1,0)</f>
        <v>0</v>
      </c>
      <c r="AP733" s="96">
        <f>IF(U733=0,0,IF(AND(INDEX('MTRs'!$AX$6:$AX$505,T733)=1,Z733=0,OR(f_res="",f_res="(Todos)",C733=f_res)),1,0))</f>
        <v>0</v>
      </c>
      <c r="AQ733" s="97" t="str">
        <f>IF(U733=0,"",INDEX('MTRs'!$AZ$6:$AZ$505,T733))</f>
        <v/>
      </c>
      <c r="AR733" s="96">
        <f>IF(U733=0,0,IF(AND(INDEX('MTRs'!$BA$6:$BA$505,T733)=1,Z733=0),1,0))</f>
        <v>0</v>
      </c>
      <c r="AS733" s="96" t="str">
        <f>IF(R733=1,A733&amp;" | MTR "&amp;IF(U733=1,INDEX('MTRs'!$B$6:$B$505,T733)&amp;"","?")&amp;" | "&amp;IF(C733="","(sem resíduo)",C733),"")</f>
        <v/>
      </c>
      <c r="AT733" s="96" t="str">
        <f>IF(R733=1,COUNTIF($R$6:R733,1),"")</f>
        <v/>
      </c>
      <c r="AU733" s="96" t="str">
        <f>IF(U733=1,INDEX('MTRs'!$I$6:$I$505,T733)&amp;"","")</f>
        <v/>
      </c>
    </row>
    <row r="734">
      <c r="A734" s="89" t="inlineStr">
        <is>
          <t>IT-000729</t>
        </is>
      </c>
      <c r="B734" s="91" t="n"/>
      <c r="C734" s="91" t="n"/>
      <c r="D734" s="94" t="str">
        <f>IF(OR(R734=0,V734=0),"",INDEX('CAD_RESÍDUOS'!$E$6:$E$205,MATCH(C734,'CAD_RESÍDUOS'!$B$6:$B$205,0))&amp;"")</f>
        <v/>
      </c>
      <c r="E734" s="94" t="str">
        <f>IF(OR(R734=0,V734=0),"",INDEX('CAD_RESÍDUOS'!$C$6:$C$205,MATCH(C734,'CAD_RESÍDUOS'!$B$6:$B$205,0))&amp;"")</f>
        <v/>
      </c>
      <c r="F734" s="94" t="str">
        <f>IF(OR(R734=0,V734=0),"",INDEX('CAD_RESÍDUOS'!$G$6:$G$205,MATCH(C734,'CAD_RESÍDUOS'!$B$6:$B$205,0))&amp;"")</f>
        <v/>
      </c>
      <c r="G734" s="98" t="n"/>
      <c r="H734" s="91" t="n"/>
      <c r="I734" s="93" t="str">
        <f>IF(R734=0,"",IF(NOT(ISNUMBER(G734)),"",IF(ISNUMBER(X734),G734*X734,"UNIDADE A CONFERIR")))</f>
        <v/>
      </c>
      <c r="J734" s="91" t="n"/>
      <c r="K734" s="91" t="n"/>
      <c r="L734" s="93" t="str">
        <f>IF(R734=0,"",SUMIFS('RECEBIMENTOS'!$H$6:$H$1005,'RECEBIMENTOS'!$R$6:$R$1005,A734,'RECEBIMENTOS'!$X$6:$X$1005,1))</f>
        <v/>
      </c>
      <c r="M734" s="93" t="str">
        <f>IF(R734=0,"",SUMIFS('VÍNCULOS_CDF'!$H$6:$H$1005,'VÍNCULOS_CDF'!$R$6:$R$1005,A734,'VÍNCULOS_CDF'!$V$6:$V$1005,1))</f>
        <v/>
      </c>
      <c r="N734" s="99" t="str">
        <f>IF(OR(R734=0,AA734=0,NOT(ISNUMBER(I734))),"",I734-N(L734))</f>
        <v/>
      </c>
      <c r="O734" s="100" t="str">
        <f>IF(OR(R734=0,AK734&lt;=0),"",N(M734)/AK734)</f>
        <v/>
      </c>
      <c r="P734" s="94" t="str">
        <f>IF(R734=0,"",IF(S734="","Sem MTR associado",IF(U734=0,"MTR inexistente",IF(C734="","Resíduo não identificado",IF(V734=0,"Resíduo fora do cadastro",IF(W734=0,"Quantidade inválida",IF(H734="","Unidade não informada",IF(NOT(ISNUMBER(I734)),"Unidade a conferir",IF(AND(AH734=1,K734&lt;&gt;"Sim"),"Possível duplicidade",IF(Z734=1,"MTR cancelado",IF(AC734&gt;0,"Recebimento com alerta",IF(AA734=0,"Aguardando recebimento",IF(AB734&lt;AA734,"Recebimento a conferir",IF(AM734=1,"Quantidade a revisar",IF(AF734&gt;0,"Vínculo a revisar",IF(AD734=0,"Aguardando CDF",IF(AN734=0,"Vínculo de CDF parcial",IF(AE734&lt;AD734,"CDF a conferir","Documentação conferida"))))))))))))))))))</f>
        <v/>
      </c>
      <c r="Q734" s="93" t="str">
        <f>IF(OR(R734=0,AA734=0),"",MAX(0,N(L734)-N(M734)))</f>
        <v/>
      </c>
      <c r="R734" s="96">
        <f>IF(COUNTA(B734:C734,G734:H734,J734:K734)&gt;0,1,0)</f>
        <v>0</v>
      </c>
      <c r="S734" s="96" t="str">
        <f>IF(B734="","",TRIM(LEFT(B734,FIND(" |",B734&amp;" |")-1)))</f>
        <v/>
      </c>
      <c r="T734" s="96" t="str">
        <f>IF(S734="","",IFERROR(MATCH(S734,'MTRs'!$A$6:$A$505,0),""))</f>
        <v/>
      </c>
      <c r="U734" s="96">
        <f>IF(T734="",0,IF(INDEX('MTRs'!$Z$6:$Z$505,T734)=1,1,0))</f>
        <v>0</v>
      </c>
      <c r="V734" s="96">
        <f>IF(C734="",0,IF(ISNUMBER(MATCH(C734,'CAD_RESÍDUOS'!$B$6:$B$205,0)),1,0))</f>
        <v>0</v>
      </c>
      <c r="W734" s="96">
        <f>IF(AND(ISNUMBER(G734),G734&gt;0),1,0)</f>
        <v>0</v>
      </c>
      <c r="X734" s="96" t="str">
        <f>IF(H734="","",IFERROR(IF(ISNUMBER(INDEX(cfg_fac,MATCH(H734,cfg_units,0))),IF(INDEX(cfg_fac,MATCH(H734,cfg_units,0))&gt;0,INDEX(cfg_fac,MATCH(H734,cfg_units,0)),""),""),""))</f>
        <v/>
      </c>
      <c r="Y734" s="96">
        <f>IF(AND(W734=1,ISNUMBER(I734)),1,0)</f>
        <v>0</v>
      </c>
      <c r="Z734" s="96">
        <f>IF(U734=1,INDEX('MTRs'!$AA$6:$AA$505,T734),0)</f>
        <v>0</v>
      </c>
      <c r="AA734" s="96">
        <f>IF(R734=0,0,COUNTIFS('RECEBIMENTOS'!$R$6:$R$1005,A734,'RECEBIMENTOS'!$Q$6:$Q$1005,1))</f>
        <v>0</v>
      </c>
      <c r="AB734" s="96">
        <f>IF(R734=0,0,COUNTIFS('RECEBIMENTOS'!$R$6:$R$1005,A734,'RECEBIMENTOS'!$Z$6:$Z$1005,1))</f>
        <v>0</v>
      </c>
      <c r="AC734" s="96">
        <f>IF(R734=0,0,COUNTIFS('RECEBIMENTOS'!$R$6:$R$1005,A734,'RECEBIMENTOS'!$Y$6:$Y$1005,1))</f>
        <v>0</v>
      </c>
      <c r="AD734" s="96">
        <f>IF(R734=0,0,COUNTIFS('VÍNCULOS_CDF'!$R$6:$R$1005,A734,'VÍNCULOS_CDF'!$N$6:$N$1005,1))</f>
        <v>0</v>
      </c>
      <c r="AE734" s="96">
        <f>IF(R734=0,0,COUNTIFS('VÍNCULOS_CDF'!$R$6:$R$1005,A734,'VÍNCULOS_CDF'!$AA$6:$AA$1005,1))</f>
        <v>0</v>
      </c>
      <c r="AF734" s="96">
        <f>IF(R734=0,0,COUNTIFS('VÍNCULOS_CDF'!$R$6:$R$1005,A734,'VÍNCULOS_CDF'!$Y$6:$Y$1005,1))</f>
        <v>0</v>
      </c>
      <c r="AG734" s="96" t="str">
        <f>IF(AND(R734=1,S734&lt;&gt;"",C734&lt;&gt;""),S734&amp;"|"&amp;C734&amp;"|"&amp;G734&amp;"|"&amp;H734,"")</f>
        <v/>
      </c>
      <c r="AH734" s="96">
        <f>IF(AG734="",0,IF(SUMPRODUCT(--($AG$6:$AG$1005=AG734))&gt;1,1,0))</f>
        <v>0</v>
      </c>
      <c r="AI734" s="96">
        <f>IF(R734=0,0,IF(OR(U734=0,V734=0,Y734=0,AND(AH734=1,K734&lt;&gt;"Sim")),1,0))</f>
        <v>0</v>
      </c>
      <c r="AJ734" s="96">
        <f>IF(AND(R734=1,AA734&gt;0,AB734=AA734),1,0)</f>
        <v>0</v>
      </c>
      <c r="AK734" s="96">
        <f>IF(R734=0,0,IF(AA734&gt;0,N(L734),IF(ISNUMBER(I734),I734,0)))</f>
        <v>0</v>
      </c>
      <c r="AL734" s="96">
        <f>IF(R734=0,0,IF(AND(K734&lt;&gt;"Sim",N(M734)&gt;AK734+cfg_tol),1,0))</f>
        <v>0</v>
      </c>
      <c r="AM734" s="96">
        <f>IF(R734=0,0,IF(K734="Sim",0,IF(OR(AND(AA734&gt;0,ISNUMBER(I734),ABS(I734-N(L734))&gt;cfg_tol),AL734=1),1,0)))</f>
        <v>0</v>
      </c>
      <c r="AN734" s="96">
        <f>IF(AND(R734=1,N(M734)&gt;0,OR(N(M734)&gt;=AK734-cfg_tol,K734="Sim")),1,0)</f>
        <v>0</v>
      </c>
      <c r="AO734" s="96">
        <f>IF(AND(AN734=1,AD734&gt;0,AE734=AD734,AL734=0),1,0)</f>
        <v>0</v>
      </c>
      <c r="AP734" s="96">
        <f>IF(U734=0,0,IF(AND(INDEX('MTRs'!$AX$6:$AX$505,T734)=1,Z734=0,OR(f_res="",f_res="(Todos)",C734=f_res)),1,0))</f>
        <v>0</v>
      </c>
      <c r="AQ734" s="97" t="str">
        <f>IF(U734=0,"",INDEX('MTRs'!$AZ$6:$AZ$505,T734))</f>
        <v/>
      </c>
      <c r="AR734" s="96">
        <f>IF(U734=0,0,IF(AND(INDEX('MTRs'!$BA$6:$BA$505,T734)=1,Z734=0),1,0))</f>
        <v>0</v>
      </c>
      <c r="AS734" s="96" t="str">
        <f>IF(R734=1,A734&amp;" | MTR "&amp;IF(U734=1,INDEX('MTRs'!$B$6:$B$505,T734)&amp;"","?")&amp;" | "&amp;IF(C734="","(sem resíduo)",C734),"")</f>
        <v/>
      </c>
      <c r="AT734" s="96" t="str">
        <f>IF(R734=1,COUNTIF($R$6:R734,1),"")</f>
        <v/>
      </c>
      <c r="AU734" s="96" t="str">
        <f>IF(U734=1,INDEX('MTRs'!$I$6:$I$505,T734)&amp;"","")</f>
        <v/>
      </c>
    </row>
    <row r="735">
      <c r="A735" s="89" t="inlineStr">
        <is>
          <t>IT-000730</t>
        </is>
      </c>
      <c r="B735" s="91" t="n"/>
      <c r="C735" s="91" t="n"/>
      <c r="D735" s="94" t="str">
        <f>IF(OR(R735=0,V735=0),"",INDEX('CAD_RESÍDUOS'!$E$6:$E$205,MATCH(C735,'CAD_RESÍDUOS'!$B$6:$B$205,0))&amp;"")</f>
        <v/>
      </c>
      <c r="E735" s="94" t="str">
        <f>IF(OR(R735=0,V735=0),"",INDEX('CAD_RESÍDUOS'!$C$6:$C$205,MATCH(C735,'CAD_RESÍDUOS'!$B$6:$B$205,0))&amp;"")</f>
        <v/>
      </c>
      <c r="F735" s="94" t="str">
        <f>IF(OR(R735=0,V735=0),"",INDEX('CAD_RESÍDUOS'!$G$6:$G$205,MATCH(C735,'CAD_RESÍDUOS'!$B$6:$B$205,0))&amp;"")</f>
        <v/>
      </c>
      <c r="G735" s="98" t="n"/>
      <c r="H735" s="91" t="n"/>
      <c r="I735" s="93" t="str">
        <f>IF(R735=0,"",IF(NOT(ISNUMBER(G735)),"",IF(ISNUMBER(X735),G735*X735,"UNIDADE A CONFERIR")))</f>
        <v/>
      </c>
      <c r="J735" s="91" t="n"/>
      <c r="K735" s="91" t="n"/>
      <c r="L735" s="93" t="str">
        <f>IF(R735=0,"",SUMIFS('RECEBIMENTOS'!$H$6:$H$1005,'RECEBIMENTOS'!$R$6:$R$1005,A735,'RECEBIMENTOS'!$X$6:$X$1005,1))</f>
        <v/>
      </c>
      <c r="M735" s="93" t="str">
        <f>IF(R735=0,"",SUMIFS('VÍNCULOS_CDF'!$H$6:$H$1005,'VÍNCULOS_CDF'!$R$6:$R$1005,A735,'VÍNCULOS_CDF'!$V$6:$V$1005,1))</f>
        <v/>
      </c>
      <c r="N735" s="99" t="str">
        <f>IF(OR(R735=0,AA735=0,NOT(ISNUMBER(I735))),"",I735-N(L735))</f>
        <v/>
      </c>
      <c r="O735" s="100" t="str">
        <f>IF(OR(R735=0,AK735&lt;=0),"",N(M735)/AK735)</f>
        <v/>
      </c>
      <c r="P735" s="94" t="str">
        <f>IF(R735=0,"",IF(S735="","Sem MTR associado",IF(U735=0,"MTR inexistente",IF(C735="","Resíduo não identificado",IF(V735=0,"Resíduo fora do cadastro",IF(W735=0,"Quantidade inválida",IF(H735="","Unidade não informada",IF(NOT(ISNUMBER(I735)),"Unidade a conferir",IF(AND(AH735=1,K735&lt;&gt;"Sim"),"Possível duplicidade",IF(Z735=1,"MTR cancelado",IF(AC735&gt;0,"Recebimento com alerta",IF(AA735=0,"Aguardando recebimento",IF(AB735&lt;AA735,"Recebimento a conferir",IF(AM735=1,"Quantidade a revisar",IF(AF735&gt;0,"Vínculo a revisar",IF(AD735=0,"Aguardando CDF",IF(AN735=0,"Vínculo de CDF parcial",IF(AE735&lt;AD735,"CDF a conferir","Documentação conferida"))))))))))))))))))</f>
        <v/>
      </c>
      <c r="Q735" s="93" t="str">
        <f>IF(OR(R735=0,AA735=0),"",MAX(0,N(L735)-N(M735)))</f>
        <v/>
      </c>
      <c r="R735" s="96">
        <f>IF(COUNTA(B735:C735,G735:H735,J735:K735)&gt;0,1,0)</f>
        <v>0</v>
      </c>
      <c r="S735" s="96" t="str">
        <f>IF(B735="","",TRIM(LEFT(B735,FIND(" |",B735&amp;" |")-1)))</f>
        <v/>
      </c>
      <c r="T735" s="96" t="str">
        <f>IF(S735="","",IFERROR(MATCH(S735,'MTRs'!$A$6:$A$505,0),""))</f>
        <v/>
      </c>
      <c r="U735" s="96">
        <f>IF(T735="",0,IF(INDEX('MTRs'!$Z$6:$Z$505,T735)=1,1,0))</f>
        <v>0</v>
      </c>
      <c r="V735" s="96">
        <f>IF(C735="",0,IF(ISNUMBER(MATCH(C735,'CAD_RESÍDUOS'!$B$6:$B$205,0)),1,0))</f>
        <v>0</v>
      </c>
      <c r="W735" s="96">
        <f>IF(AND(ISNUMBER(G735),G735&gt;0),1,0)</f>
        <v>0</v>
      </c>
      <c r="X735" s="96" t="str">
        <f>IF(H735="","",IFERROR(IF(ISNUMBER(INDEX(cfg_fac,MATCH(H735,cfg_units,0))),IF(INDEX(cfg_fac,MATCH(H735,cfg_units,0))&gt;0,INDEX(cfg_fac,MATCH(H735,cfg_units,0)),""),""),""))</f>
        <v/>
      </c>
      <c r="Y735" s="96">
        <f>IF(AND(W735=1,ISNUMBER(I735)),1,0)</f>
        <v>0</v>
      </c>
      <c r="Z735" s="96">
        <f>IF(U735=1,INDEX('MTRs'!$AA$6:$AA$505,T735),0)</f>
        <v>0</v>
      </c>
      <c r="AA735" s="96">
        <f>IF(R735=0,0,COUNTIFS('RECEBIMENTOS'!$R$6:$R$1005,A735,'RECEBIMENTOS'!$Q$6:$Q$1005,1))</f>
        <v>0</v>
      </c>
      <c r="AB735" s="96">
        <f>IF(R735=0,0,COUNTIFS('RECEBIMENTOS'!$R$6:$R$1005,A735,'RECEBIMENTOS'!$Z$6:$Z$1005,1))</f>
        <v>0</v>
      </c>
      <c r="AC735" s="96">
        <f>IF(R735=0,0,COUNTIFS('RECEBIMENTOS'!$R$6:$R$1005,A735,'RECEBIMENTOS'!$Y$6:$Y$1005,1))</f>
        <v>0</v>
      </c>
      <c r="AD735" s="96">
        <f>IF(R735=0,0,COUNTIFS('VÍNCULOS_CDF'!$R$6:$R$1005,A735,'VÍNCULOS_CDF'!$N$6:$N$1005,1))</f>
        <v>0</v>
      </c>
      <c r="AE735" s="96">
        <f>IF(R735=0,0,COUNTIFS('VÍNCULOS_CDF'!$R$6:$R$1005,A735,'VÍNCULOS_CDF'!$AA$6:$AA$1005,1))</f>
        <v>0</v>
      </c>
      <c r="AF735" s="96">
        <f>IF(R735=0,0,COUNTIFS('VÍNCULOS_CDF'!$R$6:$R$1005,A735,'VÍNCULOS_CDF'!$Y$6:$Y$1005,1))</f>
        <v>0</v>
      </c>
      <c r="AG735" s="96" t="str">
        <f>IF(AND(R735=1,S735&lt;&gt;"",C735&lt;&gt;""),S735&amp;"|"&amp;C735&amp;"|"&amp;G735&amp;"|"&amp;H735,"")</f>
        <v/>
      </c>
      <c r="AH735" s="96">
        <f>IF(AG735="",0,IF(SUMPRODUCT(--($AG$6:$AG$1005=AG735))&gt;1,1,0))</f>
        <v>0</v>
      </c>
      <c r="AI735" s="96">
        <f>IF(R735=0,0,IF(OR(U735=0,V735=0,Y735=0,AND(AH735=1,K735&lt;&gt;"Sim")),1,0))</f>
        <v>0</v>
      </c>
      <c r="AJ735" s="96">
        <f>IF(AND(R735=1,AA735&gt;0,AB735=AA735),1,0)</f>
        <v>0</v>
      </c>
      <c r="AK735" s="96">
        <f>IF(R735=0,0,IF(AA735&gt;0,N(L735),IF(ISNUMBER(I735),I735,0)))</f>
        <v>0</v>
      </c>
      <c r="AL735" s="96">
        <f>IF(R735=0,0,IF(AND(K735&lt;&gt;"Sim",N(M735)&gt;AK735+cfg_tol),1,0))</f>
        <v>0</v>
      </c>
      <c r="AM735" s="96">
        <f>IF(R735=0,0,IF(K735="Sim",0,IF(OR(AND(AA735&gt;0,ISNUMBER(I735),ABS(I735-N(L735))&gt;cfg_tol),AL735=1),1,0)))</f>
        <v>0</v>
      </c>
      <c r="AN735" s="96">
        <f>IF(AND(R735=1,N(M735)&gt;0,OR(N(M735)&gt;=AK735-cfg_tol,K735="Sim")),1,0)</f>
        <v>0</v>
      </c>
      <c r="AO735" s="96">
        <f>IF(AND(AN735=1,AD735&gt;0,AE735=AD735,AL735=0),1,0)</f>
        <v>0</v>
      </c>
      <c r="AP735" s="96">
        <f>IF(U735=0,0,IF(AND(INDEX('MTRs'!$AX$6:$AX$505,T735)=1,Z735=0,OR(f_res="",f_res="(Todos)",C735=f_res)),1,0))</f>
        <v>0</v>
      </c>
      <c r="AQ735" s="97" t="str">
        <f>IF(U735=0,"",INDEX('MTRs'!$AZ$6:$AZ$505,T735))</f>
        <v/>
      </c>
      <c r="AR735" s="96">
        <f>IF(U735=0,0,IF(AND(INDEX('MTRs'!$BA$6:$BA$505,T735)=1,Z735=0),1,0))</f>
        <v>0</v>
      </c>
      <c r="AS735" s="96" t="str">
        <f>IF(R735=1,A735&amp;" | MTR "&amp;IF(U735=1,INDEX('MTRs'!$B$6:$B$505,T735)&amp;"","?")&amp;" | "&amp;IF(C735="","(sem resíduo)",C735),"")</f>
        <v/>
      </c>
      <c r="AT735" s="96" t="str">
        <f>IF(R735=1,COUNTIF($R$6:R735,1),"")</f>
        <v/>
      </c>
      <c r="AU735" s="96" t="str">
        <f>IF(U735=1,INDEX('MTRs'!$I$6:$I$505,T735)&amp;"","")</f>
        <v/>
      </c>
    </row>
    <row r="736">
      <c r="A736" s="89" t="inlineStr">
        <is>
          <t>IT-000731</t>
        </is>
      </c>
      <c r="B736" s="91" t="n"/>
      <c r="C736" s="91" t="n"/>
      <c r="D736" s="94" t="str">
        <f>IF(OR(R736=0,V736=0),"",INDEX('CAD_RESÍDUOS'!$E$6:$E$205,MATCH(C736,'CAD_RESÍDUOS'!$B$6:$B$205,0))&amp;"")</f>
        <v/>
      </c>
      <c r="E736" s="94" t="str">
        <f>IF(OR(R736=0,V736=0),"",INDEX('CAD_RESÍDUOS'!$C$6:$C$205,MATCH(C736,'CAD_RESÍDUOS'!$B$6:$B$205,0))&amp;"")</f>
        <v/>
      </c>
      <c r="F736" s="94" t="str">
        <f>IF(OR(R736=0,V736=0),"",INDEX('CAD_RESÍDUOS'!$G$6:$G$205,MATCH(C736,'CAD_RESÍDUOS'!$B$6:$B$205,0))&amp;"")</f>
        <v/>
      </c>
      <c r="G736" s="98" t="n"/>
      <c r="H736" s="91" t="n"/>
      <c r="I736" s="93" t="str">
        <f>IF(R736=0,"",IF(NOT(ISNUMBER(G736)),"",IF(ISNUMBER(X736),G736*X736,"UNIDADE A CONFERIR")))</f>
        <v/>
      </c>
      <c r="J736" s="91" t="n"/>
      <c r="K736" s="91" t="n"/>
      <c r="L736" s="93" t="str">
        <f>IF(R736=0,"",SUMIFS('RECEBIMENTOS'!$H$6:$H$1005,'RECEBIMENTOS'!$R$6:$R$1005,A736,'RECEBIMENTOS'!$X$6:$X$1005,1))</f>
        <v/>
      </c>
      <c r="M736" s="93" t="str">
        <f>IF(R736=0,"",SUMIFS('VÍNCULOS_CDF'!$H$6:$H$1005,'VÍNCULOS_CDF'!$R$6:$R$1005,A736,'VÍNCULOS_CDF'!$V$6:$V$1005,1))</f>
        <v/>
      </c>
      <c r="N736" s="99" t="str">
        <f>IF(OR(R736=0,AA736=0,NOT(ISNUMBER(I736))),"",I736-N(L736))</f>
        <v/>
      </c>
      <c r="O736" s="100" t="str">
        <f>IF(OR(R736=0,AK736&lt;=0),"",N(M736)/AK736)</f>
        <v/>
      </c>
      <c r="P736" s="94" t="str">
        <f>IF(R736=0,"",IF(S736="","Sem MTR associado",IF(U736=0,"MTR inexistente",IF(C736="","Resíduo não identificado",IF(V736=0,"Resíduo fora do cadastro",IF(W736=0,"Quantidade inválida",IF(H736="","Unidade não informada",IF(NOT(ISNUMBER(I736)),"Unidade a conferir",IF(AND(AH736=1,K736&lt;&gt;"Sim"),"Possível duplicidade",IF(Z736=1,"MTR cancelado",IF(AC736&gt;0,"Recebimento com alerta",IF(AA736=0,"Aguardando recebimento",IF(AB736&lt;AA736,"Recebimento a conferir",IF(AM736=1,"Quantidade a revisar",IF(AF736&gt;0,"Vínculo a revisar",IF(AD736=0,"Aguardando CDF",IF(AN736=0,"Vínculo de CDF parcial",IF(AE736&lt;AD736,"CDF a conferir","Documentação conferida"))))))))))))))))))</f>
        <v/>
      </c>
      <c r="Q736" s="93" t="str">
        <f>IF(OR(R736=0,AA736=0),"",MAX(0,N(L736)-N(M736)))</f>
        <v/>
      </c>
      <c r="R736" s="96">
        <f>IF(COUNTA(B736:C736,G736:H736,J736:K736)&gt;0,1,0)</f>
        <v>0</v>
      </c>
      <c r="S736" s="96" t="str">
        <f>IF(B736="","",TRIM(LEFT(B736,FIND(" |",B736&amp;" |")-1)))</f>
        <v/>
      </c>
      <c r="T736" s="96" t="str">
        <f>IF(S736="","",IFERROR(MATCH(S736,'MTRs'!$A$6:$A$505,0),""))</f>
        <v/>
      </c>
      <c r="U736" s="96">
        <f>IF(T736="",0,IF(INDEX('MTRs'!$Z$6:$Z$505,T736)=1,1,0))</f>
        <v>0</v>
      </c>
      <c r="V736" s="96">
        <f>IF(C736="",0,IF(ISNUMBER(MATCH(C736,'CAD_RESÍDUOS'!$B$6:$B$205,0)),1,0))</f>
        <v>0</v>
      </c>
      <c r="W736" s="96">
        <f>IF(AND(ISNUMBER(G736),G736&gt;0),1,0)</f>
        <v>0</v>
      </c>
      <c r="X736" s="96" t="str">
        <f>IF(H736="","",IFERROR(IF(ISNUMBER(INDEX(cfg_fac,MATCH(H736,cfg_units,0))),IF(INDEX(cfg_fac,MATCH(H736,cfg_units,0))&gt;0,INDEX(cfg_fac,MATCH(H736,cfg_units,0)),""),""),""))</f>
        <v/>
      </c>
      <c r="Y736" s="96">
        <f>IF(AND(W736=1,ISNUMBER(I736)),1,0)</f>
        <v>0</v>
      </c>
      <c r="Z736" s="96">
        <f>IF(U736=1,INDEX('MTRs'!$AA$6:$AA$505,T736),0)</f>
        <v>0</v>
      </c>
      <c r="AA736" s="96">
        <f>IF(R736=0,0,COUNTIFS('RECEBIMENTOS'!$R$6:$R$1005,A736,'RECEBIMENTOS'!$Q$6:$Q$1005,1))</f>
        <v>0</v>
      </c>
      <c r="AB736" s="96">
        <f>IF(R736=0,0,COUNTIFS('RECEBIMENTOS'!$R$6:$R$1005,A736,'RECEBIMENTOS'!$Z$6:$Z$1005,1))</f>
        <v>0</v>
      </c>
      <c r="AC736" s="96">
        <f>IF(R736=0,0,COUNTIFS('RECEBIMENTOS'!$R$6:$R$1005,A736,'RECEBIMENTOS'!$Y$6:$Y$1005,1))</f>
        <v>0</v>
      </c>
      <c r="AD736" s="96">
        <f>IF(R736=0,0,COUNTIFS('VÍNCULOS_CDF'!$R$6:$R$1005,A736,'VÍNCULOS_CDF'!$N$6:$N$1005,1))</f>
        <v>0</v>
      </c>
      <c r="AE736" s="96">
        <f>IF(R736=0,0,COUNTIFS('VÍNCULOS_CDF'!$R$6:$R$1005,A736,'VÍNCULOS_CDF'!$AA$6:$AA$1005,1))</f>
        <v>0</v>
      </c>
      <c r="AF736" s="96">
        <f>IF(R736=0,0,COUNTIFS('VÍNCULOS_CDF'!$R$6:$R$1005,A736,'VÍNCULOS_CDF'!$Y$6:$Y$1005,1))</f>
        <v>0</v>
      </c>
      <c r="AG736" s="96" t="str">
        <f>IF(AND(R736=1,S736&lt;&gt;"",C736&lt;&gt;""),S736&amp;"|"&amp;C736&amp;"|"&amp;G736&amp;"|"&amp;H736,"")</f>
        <v/>
      </c>
      <c r="AH736" s="96">
        <f>IF(AG736="",0,IF(SUMPRODUCT(--($AG$6:$AG$1005=AG736))&gt;1,1,0))</f>
        <v>0</v>
      </c>
      <c r="AI736" s="96">
        <f>IF(R736=0,0,IF(OR(U736=0,V736=0,Y736=0,AND(AH736=1,K736&lt;&gt;"Sim")),1,0))</f>
        <v>0</v>
      </c>
      <c r="AJ736" s="96">
        <f>IF(AND(R736=1,AA736&gt;0,AB736=AA736),1,0)</f>
        <v>0</v>
      </c>
      <c r="AK736" s="96">
        <f>IF(R736=0,0,IF(AA736&gt;0,N(L736),IF(ISNUMBER(I736),I736,0)))</f>
        <v>0</v>
      </c>
      <c r="AL736" s="96">
        <f>IF(R736=0,0,IF(AND(K736&lt;&gt;"Sim",N(M736)&gt;AK736+cfg_tol),1,0))</f>
        <v>0</v>
      </c>
      <c r="AM736" s="96">
        <f>IF(R736=0,0,IF(K736="Sim",0,IF(OR(AND(AA736&gt;0,ISNUMBER(I736),ABS(I736-N(L736))&gt;cfg_tol),AL736=1),1,0)))</f>
        <v>0</v>
      </c>
      <c r="AN736" s="96">
        <f>IF(AND(R736=1,N(M736)&gt;0,OR(N(M736)&gt;=AK736-cfg_tol,K736="Sim")),1,0)</f>
        <v>0</v>
      </c>
      <c r="AO736" s="96">
        <f>IF(AND(AN736=1,AD736&gt;0,AE736=AD736,AL736=0),1,0)</f>
        <v>0</v>
      </c>
      <c r="AP736" s="96">
        <f>IF(U736=0,0,IF(AND(INDEX('MTRs'!$AX$6:$AX$505,T736)=1,Z736=0,OR(f_res="",f_res="(Todos)",C736=f_res)),1,0))</f>
        <v>0</v>
      </c>
      <c r="AQ736" s="97" t="str">
        <f>IF(U736=0,"",INDEX('MTRs'!$AZ$6:$AZ$505,T736))</f>
        <v/>
      </c>
      <c r="AR736" s="96">
        <f>IF(U736=0,0,IF(AND(INDEX('MTRs'!$BA$6:$BA$505,T736)=1,Z736=0),1,0))</f>
        <v>0</v>
      </c>
      <c r="AS736" s="96" t="str">
        <f>IF(R736=1,A736&amp;" | MTR "&amp;IF(U736=1,INDEX('MTRs'!$B$6:$B$505,T736)&amp;"","?")&amp;" | "&amp;IF(C736="","(sem resíduo)",C736),"")</f>
        <v/>
      </c>
      <c r="AT736" s="96" t="str">
        <f>IF(R736=1,COUNTIF($R$6:R736,1),"")</f>
        <v/>
      </c>
      <c r="AU736" s="96" t="str">
        <f>IF(U736=1,INDEX('MTRs'!$I$6:$I$505,T736)&amp;"","")</f>
        <v/>
      </c>
    </row>
    <row r="737">
      <c r="A737" s="89" t="inlineStr">
        <is>
          <t>IT-000732</t>
        </is>
      </c>
      <c r="B737" s="91" t="n"/>
      <c r="C737" s="91" t="n"/>
      <c r="D737" s="94" t="str">
        <f>IF(OR(R737=0,V737=0),"",INDEX('CAD_RESÍDUOS'!$E$6:$E$205,MATCH(C737,'CAD_RESÍDUOS'!$B$6:$B$205,0))&amp;"")</f>
        <v/>
      </c>
      <c r="E737" s="94" t="str">
        <f>IF(OR(R737=0,V737=0),"",INDEX('CAD_RESÍDUOS'!$C$6:$C$205,MATCH(C737,'CAD_RESÍDUOS'!$B$6:$B$205,0))&amp;"")</f>
        <v/>
      </c>
      <c r="F737" s="94" t="str">
        <f>IF(OR(R737=0,V737=0),"",INDEX('CAD_RESÍDUOS'!$G$6:$G$205,MATCH(C737,'CAD_RESÍDUOS'!$B$6:$B$205,0))&amp;"")</f>
        <v/>
      </c>
      <c r="G737" s="98" t="n"/>
      <c r="H737" s="91" t="n"/>
      <c r="I737" s="93" t="str">
        <f>IF(R737=0,"",IF(NOT(ISNUMBER(G737)),"",IF(ISNUMBER(X737),G737*X737,"UNIDADE A CONFERIR")))</f>
        <v/>
      </c>
      <c r="J737" s="91" t="n"/>
      <c r="K737" s="91" t="n"/>
      <c r="L737" s="93" t="str">
        <f>IF(R737=0,"",SUMIFS('RECEBIMENTOS'!$H$6:$H$1005,'RECEBIMENTOS'!$R$6:$R$1005,A737,'RECEBIMENTOS'!$X$6:$X$1005,1))</f>
        <v/>
      </c>
      <c r="M737" s="93" t="str">
        <f>IF(R737=0,"",SUMIFS('VÍNCULOS_CDF'!$H$6:$H$1005,'VÍNCULOS_CDF'!$R$6:$R$1005,A737,'VÍNCULOS_CDF'!$V$6:$V$1005,1))</f>
        <v/>
      </c>
      <c r="N737" s="99" t="str">
        <f>IF(OR(R737=0,AA737=0,NOT(ISNUMBER(I737))),"",I737-N(L737))</f>
        <v/>
      </c>
      <c r="O737" s="100" t="str">
        <f>IF(OR(R737=0,AK737&lt;=0),"",N(M737)/AK737)</f>
        <v/>
      </c>
      <c r="P737" s="94" t="str">
        <f>IF(R737=0,"",IF(S737="","Sem MTR associado",IF(U737=0,"MTR inexistente",IF(C737="","Resíduo não identificado",IF(V737=0,"Resíduo fora do cadastro",IF(W737=0,"Quantidade inválida",IF(H737="","Unidade não informada",IF(NOT(ISNUMBER(I737)),"Unidade a conferir",IF(AND(AH737=1,K737&lt;&gt;"Sim"),"Possível duplicidade",IF(Z737=1,"MTR cancelado",IF(AC737&gt;0,"Recebimento com alerta",IF(AA737=0,"Aguardando recebimento",IF(AB737&lt;AA737,"Recebimento a conferir",IF(AM737=1,"Quantidade a revisar",IF(AF737&gt;0,"Vínculo a revisar",IF(AD737=0,"Aguardando CDF",IF(AN737=0,"Vínculo de CDF parcial",IF(AE737&lt;AD737,"CDF a conferir","Documentação conferida"))))))))))))))))))</f>
        <v/>
      </c>
      <c r="Q737" s="93" t="str">
        <f>IF(OR(R737=0,AA737=0),"",MAX(0,N(L737)-N(M737)))</f>
        <v/>
      </c>
      <c r="R737" s="96">
        <f>IF(COUNTA(B737:C737,G737:H737,J737:K737)&gt;0,1,0)</f>
        <v>0</v>
      </c>
      <c r="S737" s="96" t="str">
        <f>IF(B737="","",TRIM(LEFT(B737,FIND(" |",B737&amp;" |")-1)))</f>
        <v/>
      </c>
      <c r="T737" s="96" t="str">
        <f>IF(S737="","",IFERROR(MATCH(S737,'MTRs'!$A$6:$A$505,0),""))</f>
        <v/>
      </c>
      <c r="U737" s="96">
        <f>IF(T737="",0,IF(INDEX('MTRs'!$Z$6:$Z$505,T737)=1,1,0))</f>
        <v>0</v>
      </c>
      <c r="V737" s="96">
        <f>IF(C737="",0,IF(ISNUMBER(MATCH(C737,'CAD_RESÍDUOS'!$B$6:$B$205,0)),1,0))</f>
        <v>0</v>
      </c>
      <c r="W737" s="96">
        <f>IF(AND(ISNUMBER(G737),G737&gt;0),1,0)</f>
        <v>0</v>
      </c>
      <c r="X737" s="96" t="str">
        <f>IF(H737="","",IFERROR(IF(ISNUMBER(INDEX(cfg_fac,MATCH(H737,cfg_units,0))),IF(INDEX(cfg_fac,MATCH(H737,cfg_units,0))&gt;0,INDEX(cfg_fac,MATCH(H737,cfg_units,0)),""),""),""))</f>
        <v/>
      </c>
      <c r="Y737" s="96">
        <f>IF(AND(W737=1,ISNUMBER(I737)),1,0)</f>
        <v>0</v>
      </c>
      <c r="Z737" s="96">
        <f>IF(U737=1,INDEX('MTRs'!$AA$6:$AA$505,T737),0)</f>
        <v>0</v>
      </c>
      <c r="AA737" s="96">
        <f>IF(R737=0,0,COUNTIFS('RECEBIMENTOS'!$R$6:$R$1005,A737,'RECEBIMENTOS'!$Q$6:$Q$1005,1))</f>
        <v>0</v>
      </c>
      <c r="AB737" s="96">
        <f>IF(R737=0,0,COUNTIFS('RECEBIMENTOS'!$R$6:$R$1005,A737,'RECEBIMENTOS'!$Z$6:$Z$1005,1))</f>
        <v>0</v>
      </c>
      <c r="AC737" s="96">
        <f>IF(R737=0,0,COUNTIFS('RECEBIMENTOS'!$R$6:$R$1005,A737,'RECEBIMENTOS'!$Y$6:$Y$1005,1))</f>
        <v>0</v>
      </c>
      <c r="AD737" s="96">
        <f>IF(R737=0,0,COUNTIFS('VÍNCULOS_CDF'!$R$6:$R$1005,A737,'VÍNCULOS_CDF'!$N$6:$N$1005,1))</f>
        <v>0</v>
      </c>
      <c r="AE737" s="96">
        <f>IF(R737=0,0,COUNTIFS('VÍNCULOS_CDF'!$R$6:$R$1005,A737,'VÍNCULOS_CDF'!$AA$6:$AA$1005,1))</f>
        <v>0</v>
      </c>
      <c r="AF737" s="96">
        <f>IF(R737=0,0,COUNTIFS('VÍNCULOS_CDF'!$R$6:$R$1005,A737,'VÍNCULOS_CDF'!$Y$6:$Y$1005,1))</f>
        <v>0</v>
      </c>
      <c r="AG737" s="96" t="str">
        <f>IF(AND(R737=1,S737&lt;&gt;"",C737&lt;&gt;""),S737&amp;"|"&amp;C737&amp;"|"&amp;G737&amp;"|"&amp;H737,"")</f>
        <v/>
      </c>
      <c r="AH737" s="96">
        <f>IF(AG737="",0,IF(SUMPRODUCT(--($AG$6:$AG$1005=AG737))&gt;1,1,0))</f>
        <v>0</v>
      </c>
      <c r="AI737" s="96">
        <f>IF(R737=0,0,IF(OR(U737=0,V737=0,Y737=0,AND(AH737=1,K737&lt;&gt;"Sim")),1,0))</f>
        <v>0</v>
      </c>
      <c r="AJ737" s="96">
        <f>IF(AND(R737=1,AA737&gt;0,AB737=AA737),1,0)</f>
        <v>0</v>
      </c>
      <c r="AK737" s="96">
        <f>IF(R737=0,0,IF(AA737&gt;0,N(L737),IF(ISNUMBER(I737),I737,0)))</f>
        <v>0</v>
      </c>
      <c r="AL737" s="96">
        <f>IF(R737=0,0,IF(AND(K737&lt;&gt;"Sim",N(M737)&gt;AK737+cfg_tol),1,0))</f>
        <v>0</v>
      </c>
      <c r="AM737" s="96">
        <f>IF(R737=0,0,IF(K737="Sim",0,IF(OR(AND(AA737&gt;0,ISNUMBER(I737),ABS(I737-N(L737))&gt;cfg_tol),AL737=1),1,0)))</f>
        <v>0</v>
      </c>
      <c r="AN737" s="96">
        <f>IF(AND(R737=1,N(M737)&gt;0,OR(N(M737)&gt;=AK737-cfg_tol,K737="Sim")),1,0)</f>
        <v>0</v>
      </c>
      <c r="AO737" s="96">
        <f>IF(AND(AN737=1,AD737&gt;0,AE737=AD737,AL737=0),1,0)</f>
        <v>0</v>
      </c>
      <c r="AP737" s="96">
        <f>IF(U737=0,0,IF(AND(INDEX('MTRs'!$AX$6:$AX$505,T737)=1,Z737=0,OR(f_res="",f_res="(Todos)",C737=f_res)),1,0))</f>
        <v>0</v>
      </c>
      <c r="AQ737" s="97" t="str">
        <f>IF(U737=0,"",INDEX('MTRs'!$AZ$6:$AZ$505,T737))</f>
        <v/>
      </c>
      <c r="AR737" s="96">
        <f>IF(U737=0,0,IF(AND(INDEX('MTRs'!$BA$6:$BA$505,T737)=1,Z737=0),1,0))</f>
        <v>0</v>
      </c>
      <c r="AS737" s="96" t="str">
        <f>IF(R737=1,A737&amp;" | MTR "&amp;IF(U737=1,INDEX('MTRs'!$B$6:$B$505,T737)&amp;"","?")&amp;" | "&amp;IF(C737="","(sem resíduo)",C737),"")</f>
        <v/>
      </c>
      <c r="AT737" s="96" t="str">
        <f>IF(R737=1,COUNTIF($R$6:R737,1),"")</f>
        <v/>
      </c>
      <c r="AU737" s="96" t="str">
        <f>IF(U737=1,INDEX('MTRs'!$I$6:$I$505,T737)&amp;"","")</f>
        <v/>
      </c>
    </row>
    <row r="738">
      <c r="A738" s="89" t="inlineStr">
        <is>
          <t>IT-000733</t>
        </is>
      </c>
      <c r="B738" s="91" t="n"/>
      <c r="C738" s="91" t="n"/>
      <c r="D738" s="94" t="str">
        <f>IF(OR(R738=0,V738=0),"",INDEX('CAD_RESÍDUOS'!$E$6:$E$205,MATCH(C738,'CAD_RESÍDUOS'!$B$6:$B$205,0))&amp;"")</f>
        <v/>
      </c>
      <c r="E738" s="94" t="str">
        <f>IF(OR(R738=0,V738=0),"",INDEX('CAD_RESÍDUOS'!$C$6:$C$205,MATCH(C738,'CAD_RESÍDUOS'!$B$6:$B$205,0))&amp;"")</f>
        <v/>
      </c>
      <c r="F738" s="94" t="str">
        <f>IF(OR(R738=0,V738=0),"",INDEX('CAD_RESÍDUOS'!$G$6:$G$205,MATCH(C738,'CAD_RESÍDUOS'!$B$6:$B$205,0))&amp;"")</f>
        <v/>
      </c>
      <c r="G738" s="98" t="n"/>
      <c r="H738" s="91" t="n"/>
      <c r="I738" s="93" t="str">
        <f>IF(R738=0,"",IF(NOT(ISNUMBER(G738)),"",IF(ISNUMBER(X738),G738*X738,"UNIDADE A CONFERIR")))</f>
        <v/>
      </c>
      <c r="J738" s="91" t="n"/>
      <c r="K738" s="91" t="n"/>
      <c r="L738" s="93" t="str">
        <f>IF(R738=0,"",SUMIFS('RECEBIMENTOS'!$H$6:$H$1005,'RECEBIMENTOS'!$R$6:$R$1005,A738,'RECEBIMENTOS'!$X$6:$X$1005,1))</f>
        <v/>
      </c>
      <c r="M738" s="93" t="str">
        <f>IF(R738=0,"",SUMIFS('VÍNCULOS_CDF'!$H$6:$H$1005,'VÍNCULOS_CDF'!$R$6:$R$1005,A738,'VÍNCULOS_CDF'!$V$6:$V$1005,1))</f>
        <v/>
      </c>
      <c r="N738" s="99" t="str">
        <f>IF(OR(R738=0,AA738=0,NOT(ISNUMBER(I738))),"",I738-N(L738))</f>
        <v/>
      </c>
      <c r="O738" s="100" t="str">
        <f>IF(OR(R738=0,AK738&lt;=0),"",N(M738)/AK738)</f>
        <v/>
      </c>
      <c r="P738" s="94" t="str">
        <f>IF(R738=0,"",IF(S738="","Sem MTR associado",IF(U738=0,"MTR inexistente",IF(C738="","Resíduo não identificado",IF(V738=0,"Resíduo fora do cadastro",IF(W738=0,"Quantidade inválida",IF(H738="","Unidade não informada",IF(NOT(ISNUMBER(I738)),"Unidade a conferir",IF(AND(AH738=1,K738&lt;&gt;"Sim"),"Possível duplicidade",IF(Z738=1,"MTR cancelado",IF(AC738&gt;0,"Recebimento com alerta",IF(AA738=0,"Aguardando recebimento",IF(AB738&lt;AA738,"Recebimento a conferir",IF(AM738=1,"Quantidade a revisar",IF(AF738&gt;0,"Vínculo a revisar",IF(AD738=0,"Aguardando CDF",IF(AN738=0,"Vínculo de CDF parcial",IF(AE738&lt;AD738,"CDF a conferir","Documentação conferida"))))))))))))))))))</f>
        <v/>
      </c>
      <c r="Q738" s="93" t="str">
        <f>IF(OR(R738=0,AA738=0),"",MAX(0,N(L738)-N(M738)))</f>
        <v/>
      </c>
      <c r="R738" s="96">
        <f>IF(COUNTA(B738:C738,G738:H738,J738:K738)&gt;0,1,0)</f>
        <v>0</v>
      </c>
      <c r="S738" s="96" t="str">
        <f>IF(B738="","",TRIM(LEFT(B738,FIND(" |",B738&amp;" |")-1)))</f>
        <v/>
      </c>
      <c r="T738" s="96" t="str">
        <f>IF(S738="","",IFERROR(MATCH(S738,'MTRs'!$A$6:$A$505,0),""))</f>
        <v/>
      </c>
      <c r="U738" s="96">
        <f>IF(T738="",0,IF(INDEX('MTRs'!$Z$6:$Z$505,T738)=1,1,0))</f>
        <v>0</v>
      </c>
      <c r="V738" s="96">
        <f>IF(C738="",0,IF(ISNUMBER(MATCH(C738,'CAD_RESÍDUOS'!$B$6:$B$205,0)),1,0))</f>
        <v>0</v>
      </c>
      <c r="W738" s="96">
        <f>IF(AND(ISNUMBER(G738),G738&gt;0),1,0)</f>
        <v>0</v>
      </c>
      <c r="X738" s="96" t="str">
        <f>IF(H738="","",IFERROR(IF(ISNUMBER(INDEX(cfg_fac,MATCH(H738,cfg_units,0))),IF(INDEX(cfg_fac,MATCH(H738,cfg_units,0))&gt;0,INDEX(cfg_fac,MATCH(H738,cfg_units,0)),""),""),""))</f>
        <v/>
      </c>
      <c r="Y738" s="96">
        <f>IF(AND(W738=1,ISNUMBER(I738)),1,0)</f>
        <v>0</v>
      </c>
      <c r="Z738" s="96">
        <f>IF(U738=1,INDEX('MTRs'!$AA$6:$AA$505,T738),0)</f>
        <v>0</v>
      </c>
      <c r="AA738" s="96">
        <f>IF(R738=0,0,COUNTIFS('RECEBIMENTOS'!$R$6:$R$1005,A738,'RECEBIMENTOS'!$Q$6:$Q$1005,1))</f>
        <v>0</v>
      </c>
      <c r="AB738" s="96">
        <f>IF(R738=0,0,COUNTIFS('RECEBIMENTOS'!$R$6:$R$1005,A738,'RECEBIMENTOS'!$Z$6:$Z$1005,1))</f>
        <v>0</v>
      </c>
      <c r="AC738" s="96">
        <f>IF(R738=0,0,COUNTIFS('RECEBIMENTOS'!$R$6:$R$1005,A738,'RECEBIMENTOS'!$Y$6:$Y$1005,1))</f>
        <v>0</v>
      </c>
      <c r="AD738" s="96">
        <f>IF(R738=0,0,COUNTIFS('VÍNCULOS_CDF'!$R$6:$R$1005,A738,'VÍNCULOS_CDF'!$N$6:$N$1005,1))</f>
        <v>0</v>
      </c>
      <c r="AE738" s="96">
        <f>IF(R738=0,0,COUNTIFS('VÍNCULOS_CDF'!$R$6:$R$1005,A738,'VÍNCULOS_CDF'!$AA$6:$AA$1005,1))</f>
        <v>0</v>
      </c>
      <c r="AF738" s="96">
        <f>IF(R738=0,0,COUNTIFS('VÍNCULOS_CDF'!$R$6:$R$1005,A738,'VÍNCULOS_CDF'!$Y$6:$Y$1005,1))</f>
        <v>0</v>
      </c>
      <c r="AG738" s="96" t="str">
        <f>IF(AND(R738=1,S738&lt;&gt;"",C738&lt;&gt;""),S738&amp;"|"&amp;C738&amp;"|"&amp;G738&amp;"|"&amp;H738,"")</f>
        <v/>
      </c>
      <c r="AH738" s="96">
        <f>IF(AG738="",0,IF(SUMPRODUCT(--($AG$6:$AG$1005=AG738))&gt;1,1,0))</f>
        <v>0</v>
      </c>
      <c r="AI738" s="96">
        <f>IF(R738=0,0,IF(OR(U738=0,V738=0,Y738=0,AND(AH738=1,K738&lt;&gt;"Sim")),1,0))</f>
        <v>0</v>
      </c>
      <c r="AJ738" s="96">
        <f>IF(AND(R738=1,AA738&gt;0,AB738=AA738),1,0)</f>
        <v>0</v>
      </c>
      <c r="AK738" s="96">
        <f>IF(R738=0,0,IF(AA738&gt;0,N(L738),IF(ISNUMBER(I738),I738,0)))</f>
        <v>0</v>
      </c>
      <c r="AL738" s="96">
        <f>IF(R738=0,0,IF(AND(K738&lt;&gt;"Sim",N(M738)&gt;AK738+cfg_tol),1,0))</f>
        <v>0</v>
      </c>
      <c r="AM738" s="96">
        <f>IF(R738=0,0,IF(K738="Sim",0,IF(OR(AND(AA738&gt;0,ISNUMBER(I738),ABS(I738-N(L738))&gt;cfg_tol),AL738=1),1,0)))</f>
        <v>0</v>
      </c>
      <c r="AN738" s="96">
        <f>IF(AND(R738=1,N(M738)&gt;0,OR(N(M738)&gt;=AK738-cfg_tol,K738="Sim")),1,0)</f>
        <v>0</v>
      </c>
      <c r="AO738" s="96">
        <f>IF(AND(AN738=1,AD738&gt;0,AE738=AD738,AL738=0),1,0)</f>
        <v>0</v>
      </c>
      <c r="AP738" s="96">
        <f>IF(U738=0,0,IF(AND(INDEX('MTRs'!$AX$6:$AX$505,T738)=1,Z738=0,OR(f_res="",f_res="(Todos)",C738=f_res)),1,0))</f>
        <v>0</v>
      </c>
      <c r="AQ738" s="97" t="str">
        <f>IF(U738=0,"",INDEX('MTRs'!$AZ$6:$AZ$505,T738))</f>
        <v/>
      </c>
      <c r="AR738" s="96">
        <f>IF(U738=0,0,IF(AND(INDEX('MTRs'!$BA$6:$BA$505,T738)=1,Z738=0),1,0))</f>
        <v>0</v>
      </c>
      <c r="AS738" s="96" t="str">
        <f>IF(R738=1,A738&amp;" | MTR "&amp;IF(U738=1,INDEX('MTRs'!$B$6:$B$505,T738)&amp;"","?")&amp;" | "&amp;IF(C738="","(sem resíduo)",C738),"")</f>
        <v/>
      </c>
      <c r="AT738" s="96" t="str">
        <f>IF(R738=1,COUNTIF($R$6:R738,1),"")</f>
        <v/>
      </c>
      <c r="AU738" s="96" t="str">
        <f>IF(U738=1,INDEX('MTRs'!$I$6:$I$505,T738)&amp;"","")</f>
        <v/>
      </c>
    </row>
    <row r="739">
      <c r="A739" s="89" t="inlineStr">
        <is>
          <t>IT-000734</t>
        </is>
      </c>
      <c r="B739" s="91" t="n"/>
      <c r="C739" s="91" t="n"/>
      <c r="D739" s="94" t="str">
        <f>IF(OR(R739=0,V739=0),"",INDEX('CAD_RESÍDUOS'!$E$6:$E$205,MATCH(C739,'CAD_RESÍDUOS'!$B$6:$B$205,0))&amp;"")</f>
        <v/>
      </c>
      <c r="E739" s="94" t="str">
        <f>IF(OR(R739=0,V739=0),"",INDEX('CAD_RESÍDUOS'!$C$6:$C$205,MATCH(C739,'CAD_RESÍDUOS'!$B$6:$B$205,0))&amp;"")</f>
        <v/>
      </c>
      <c r="F739" s="94" t="str">
        <f>IF(OR(R739=0,V739=0),"",INDEX('CAD_RESÍDUOS'!$G$6:$G$205,MATCH(C739,'CAD_RESÍDUOS'!$B$6:$B$205,0))&amp;"")</f>
        <v/>
      </c>
      <c r="G739" s="98" t="n"/>
      <c r="H739" s="91" t="n"/>
      <c r="I739" s="93" t="str">
        <f>IF(R739=0,"",IF(NOT(ISNUMBER(G739)),"",IF(ISNUMBER(X739),G739*X739,"UNIDADE A CONFERIR")))</f>
        <v/>
      </c>
      <c r="J739" s="91" t="n"/>
      <c r="K739" s="91" t="n"/>
      <c r="L739" s="93" t="str">
        <f>IF(R739=0,"",SUMIFS('RECEBIMENTOS'!$H$6:$H$1005,'RECEBIMENTOS'!$R$6:$R$1005,A739,'RECEBIMENTOS'!$X$6:$X$1005,1))</f>
        <v/>
      </c>
      <c r="M739" s="93" t="str">
        <f>IF(R739=0,"",SUMIFS('VÍNCULOS_CDF'!$H$6:$H$1005,'VÍNCULOS_CDF'!$R$6:$R$1005,A739,'VÍNCULOS_CDF'!$V$6:$V$1005,1))</f>
        <v/>
      </c>
      <c r="N739" s="99" t="str">
        <f>IF(OR(R739=0,AA739=0,NOT(ISNUMBER(I739))),"",I739-N(L739))</f>
        <v/>
      </c>
      <c r="O739" s="100" t="str">
        <f>IF(OR(R739=0,AK739&lt;=0),"",N(M739)/AK739)</f>
        <v/>
      </c>
      <c r="P739" s="94" t="str">
        <f>IF(R739=0,"",IF(S739="","Sem MTR associado",IF(U739=0,"MTR inexistente",IF(C739="","Resíduo não identificado",IF(V739=0,"Resíduo fora do cadastro",IF(W739=0,"Quantidade inválida",IF(H739="","Unidade não informada",IF(NOT(ISNUMBER(I739)),"Unidade a conferir",IF(AND(AH739=1,K739&lt;&gt;"Sim"),"Possível duplicidade",IF(Z739=1,"MTR cancelado",IF(AC739&gt;0,"Recebimento com alerta",IF(AA739=0,"Aguardando recebimento",IF(AB739&lt;AA739,"Recebimento a conferir",IF(AM739=1,"Quantidade a revisar",IF(AF739&gt;0,"Vínculo a revisar",IF(AD739=0,"Aguardando CDF",IF(AN739=0,"Vínculo de CDF parcial",IF(AE739&lt;AD739,"CDF a conferir","Documentação conferida"))))))))))))))))))</f>
        <v/>
      </c>
      <c r="Q739" s="93" t="str">
        <f>IF(OR(R739=0,AA739=0),"",MAX(0,N(L739)-N(M739)))</f>
        <v/>
      </c>
      <c r="R739" s="96">
        <f>IF(COUNTA(B739:C739,G739:H739,J739:K739)&gt;0,1,0)</f>
        <v>0</v>
      </c>
      <c r="S739" s="96" t="str">
        <f>IF(B739="","",TRIM(LEFT(B739,FIND(" |",B739&amp;" |")-1)))</f>
        <v/>
      </c>
      <c r="T739" s="96" t="str">
        <f>IF(S739="","",IFERROR(MATCH(S739,'MTRs'!$A$6:$A$505,0),""))</f>
        <v/>
      </c>
      <c r="U739" s="96">
        <f>IF(T739="",0,IF(INDEX('MTRs'!$Z$6:$Z$505,T739)=1,1,0))</f>
        <v>0</v>
      </c>
      <c r="V739" s="96">
        <f>IF(C739="",0,IF(ISNUMBER(MATCH(C739,'CAD_RESÍDUOS'!$B$6:$B$205,0)),1,0))</f>
        <v>0</v>
      </c>
      <c r="W739" s="96">
        <f>IF(AND(ISNUMBER(G739),G739&gt;0),1,0)</f>
        <v>0</v>
      </c>
      <c r="X739" s="96" t="str">
        <f>IF(H739="","",IFERROR(IF(ISNUMBER(INDEX(cfg_fac,MATCH(H739,cfg_units,0))),IF(INDEX(cfg_fac,MATCH(H739,cfg_units,0))&gt;0,INDEX(cfg_fac,MATCH(H739,cfg_units,0)),""),""),""))</f>
        <v/>
      </c>
      <c r="Y739" s="96">
        <f>IF(AND(W739=1,ISNUMBER(I739)),1,0)</f>
        <v>0</v>
      </c>
      <c r="Z739" s="96">
        <f>IF(U739=1,INDEX('MTRs'!$AA$6:$AA$505,T739),0)</f>
        <v>0</v>
      </c>
      <c r="AA739" s="96">
        <f>IF(R739=0,0,COUNTIFS('RECEBIMENTOS'!$R$6:$R$1005,A739,'RECEBIMENTOS'!$Q$6:$Q$1005,1))</f>
        <v>0</v>
      </c>
      <c r="AB739" s="96">
        <f>IF(R739=0,0,COUNTIFS('RECEBIMENTOS'!$R$6:$R$1005,A739,'RECEBIMENTOS'!$Z$6:$Z$1005,1))</f>
        <v>0</v>
      </c>
      <c r="AC739" s="96">
        <f>IF(R739=0,0,COUNTIFS('RECEBIMENTOS'!$R$6:$R$1005,A739,'RECEBIMENTOS'!$Y$6:$Y$1005,1))</f>
        <v>0</v>
      </c>
      <c r="AD739" s="96">
        <f>IF(R739=0,0,COUNTIFS('VÍNCULOS_CDF'!$R$6:$R$1005,A739,'VÍNCULOS_CDF'!$N$6:$N$1005,1))</f>
        <v>0</v>
      </c>
      <c r="AE739" s="96">
        <f>IF(R739=0,0,COUNTIFS('VÍNCULOS_CDF'!$R$6:$R$1005,A739,'VÍNCULOS_CDF'!$AA$6:$AA$1005,1))</f>
        <v>0</v>
      </c>
      <c r="AF739" s="96">
        <f>IF(R739=0,0,COUNTIFS('VÍNCULOS_CDF'!$R$6:$R$1005,A739,'VÍNCULOS_CDF'!$Y$6:$Y$1005,1))</f>
        <v>0</v>
      </c>
      <c r="AG739" s="96" t="str">
        <f>IF(AND(R739=1,S739&lt;&gt;"",C739&lt;&gt;""),S739&amp;"|"&amp;C739&amp;"|"&amp;G739&amp;"|"&amp;H739,"")</f>
        <v/>
      </c>
      <c r="AH739" s="96">
        <f>IF(AG739="",0,IF(SUMPRODUCT(--($AG$6:$AG$1005=AG739))&gt;1,1,0))</f>
        <v>0</v>
      </c>
      <c r="AI739" s="96">
        <f>IF(R739=0,0,IF(OR(U739=0,V739=0,Y739=0,AND(AH739=1,K739&lt;&gt;"Sim")),1,0))</f>
        <v>0</v>
      </c>
      <c r="AJ739" s="96">
        <f>IF(AND(R739=1,AA739&gt;0,AB739=AA739),1,0)</f>
        <v>0</v>
      </c>
      <c r="AK739" s="96">
        <f>IF(R739=0,0,IF(AA739&gt;0,N(L739),IF(ISNUMBER(I739),I739,0)))</f>
        <v>0</v>
      </c>
      <c r="AL739" s="96">
        <f>IF(R739=0,0,IF(AND(K739&lt;&gt;"Sim",N(M739)&gt;AK739+cfg_tol),1,0))</f>
        <v>0</v>
      </c>
      <c r="AM739" s="96">
        <f>IF(R739=0,0,IF(K739="Sim",0,IF(OR(AND(AA739&gt;0,ISNUMBER(I739),ABS(I739-N(L739))&gt;cfg_tol),AL739=1),1,0)))</f>
        <v>0</v>
      </c>
      <c r="AN739" s="96">
        <f>IF(AND(R739=1,N(M739)&gt;0,OR(N(M739)&gt;=AK739-cfg_tol,K739="Sim")),1,0)</f>
        <v>0</v>
      </c>
      <c r="AO739" s="96">
        <f>IF(AND(AN739=1,AD739&gt;0,AE739=AD739,AL739=0),1,0)</f>
        <v>0</v>
      </c>
      <c r="AP739" s="96">
        <f>IF(U739=0,0,IF(AND(INDEX('MTRs'!$AX$6:$AX$505,T739)=1,Z739=0,OR(f_res="",f_res="(Todos)",C739=f_res)),1,0))</f>
        <v>0</v>
      </c>
      <c r="AQ739" s="97" t="str">
        <f>IF(U739=0,"",INDEX('MTRs'!$AZ$6:$AZ$505,T739))</f>
        <v/>
      </c>
      <c r="AR739" s="96">
        <f>IF(U739=0,0,IF(AND(INDEX('MTRs'!$BA$6:$BA$505,T739)=1,Z739=0),1,0))</f>
        <v>0</v>
      </c>
      <c r="AS739" s="96" t="str">
        <f>IF(R739=1,A739&amp;" | MTR "&amp;IF(U739=1,INDEX('MTRs'!$B$6:$B$505,T739)&amp;"","?")&amp;" | "&amp;IF(C739="","(sem resíduo)",C739),"")</f>
        <v/>
      </c>
      <c r="AT739" s="96" t="str">
        <f>IF(R739=1,COUNTIF($R$6:R739,1),"")</f>
        <v/>
      </c>
      <c r="AU739" s="96" t="str">
        <f>IF(U739=1,INDEX('MTRs'!$I$6:$I$505,T739)&amp;"","")</f>
        <v/>
      </c>
    </row>
    <row r="740">
      <c r="A740" s="89" t="inlineStr">
        <is>
          <t>IT-000735</t>
        </is>
      </c>
      <c r="B740" s="91" t="n"/>
      <c r="C740" s="91" t="n"/>
      <c r="D740" s="94" t="str">
        <f>IF(OR(R740=0,V740=0),"",INDEX('CAD_RESÍDUOS'!$E$6:$E$205,MATCH(C740,'CAD_RESÍDUOS'!$B$6:$B$205,0))&amp;"")</f>
        <v/>
      </c>
      <c r="E740" s="94" t="str">
        <f>IF(OR(R740=0,V740=0),"",INDEX('CAD_RESÍDUOS'!$C$6:$C$205,MATCH(C740,'CAD_RESÍDUOS'!$B$6:$B$205,0))&amp;"")</f>
        <v/>
      </c>
      <c r="F740" s="94" t="str">
        <f>IF(OR(R740=0,V740=0),"",INDEX('CAD_RESÍDUOS'!$G$6:$G$205,MATCH(C740,'CAD_RESÍDUOS'!$B$6:$B$205,0))&amp;"")</f>
        <v/>
      </c>
      <c r="G740" s="98" t="n"/>
      <c r="H740" s="91" t="n"/>
      <c r="I740" s="93" t="str">
        <f>IF(R740=0,"",IF(NOT(ISNUMBER(G740)),"",IF(ISNUMBER(X740),G740*X740,"UNIDADE A CONFERIR")))</f>
        <v/>
      </c>
      <c r="J740" s="91" t="n"/>
      <c r="K740" s="91" t="n"/>
      <c r="L740" s="93" t="str">
        <f>IF(R740=0,"",SUMIFS('RECEBIMENTOS'!$H$6:$H$1005,'RECEBIMENTOS'!$R$6:$R$1005,A740,'RECEBIMENTOS'!$X$6:$X$1005,1))</f>
        <v/>
      </c>
      <c r="M740" s="93" t="str">
        <f>IF(R740=0,"",SUMIFS('VÍNCULOS_CDF'!$H$6:$H$1005,'VÍNCULOS_CDF'!$R$6:$R$1005,A740,'VÍNCULOS_CDF'!$V$6:$V$1005,1))</f>
        <v/>
      </c>
      <c r="N740" s="99" t="str">
        <f>IF(OR(R740=0,AA740=0,NOT(ISNUMBER(I740))),"",I740-N(L740))</f>
        <v/>
      </c>
      <c r="O740" s="100" t="str">
        <f>IF(OR(R740=0,AK740&lt;=0),"",N(M740)/AK740)</f>
        <v/>
      </c>
      <c r="P740" s="94" t="str">
        <f>IF(R740=0,"",IF(S740="","Sem MTR associado",IF(U740=0,"MTR inexistente",IF(C740="","Resíduo não identificado",IF(V740=0,"Resíduo fora do cadastro",IF(W740=0,"Quantidade inválida",IF(H740="","Unidade não informada",IF(NOT(ISNUMBER(I740)),"Unidade a conferir",IF(AND(AH740=1,K740&lt;&gt;"Sim"),"Possível duplicidade",IF(Z740=1,"MTR cancelado",IF(AC740&gt;0,"Recebimento com alerta",IF(AA740=0,"Aguardando recebimento",IF(AB740&lt;AA740,"Recebimento a conferir",IF(AM740=1,"Quantidade a revisar",IF(AF740&gt;0,"Vínculo a revisar",IF(AD740=0,"Aguardando CDF",IF(AN740=0,"Vínculo de CDF parcial",IF(AE740&lt;AD740,"CDF a conferir","Documentação conferida"))))))))))))))))))</f>
        <v/>
      </c>
      <c r="Q740" s="93" t="str">
        <f>IF(OR(R740=0,AA740=0),"",MAX(0,N(L740)-N(M740)))</f>
        <v/>
      </c>
      <c r="R740" s="96">
        <f>IF(COUNTA(B740:C740,G740:H740,J740:K740)&gt;0,1,0)</f>
        <v>0</v>
      </c>
      <c r="S740" s="96" t="str">
        <f>IF(B740="","",TRIM(LEFT(B740,FIND(" |",B740&amp;" |")-1)))</f>
        <v/>
      </c>
      <c r="T740" s="96" t="str">
        <f>IF(S740="","",IFERROR(MATCH(S740,'MTRs'!$A$6:$A$505,0),""))</f>
        <v/>
      </c>
      <c r="U740" s="96">
        <f>IF(T740="",0,IF(INDEX('MTRs'!$Z$6:$Z$505,T740)=1,1,0))</f>
        <v>0</v>
      </c>
      <c r="V740" s="96">
        <f>IF(C740="",0,IF(ISNUMBER(MATCH(C740,'CAD_RESÍDUOS'!$B$6:$B$205,0)),1,0))</f>
        <v>0</v>
      </c>
      <c r="W740" s="96">
        <f>IF(AND(ISNUMBER(G740),G740&gt;0),1,0)</f>
        <v>0</v>
      </c>
      <c r="X740" s="96" t="str">
        <f>IF(H740="","",IFERROR(IF(ISNUMBER(INDEX(cfg_fac,MATCH(H740,cfg_units,0))),IF(INDEX(cfg_fac,MATCH(H740,cfg_units,0))&gt;0,INDEX(cfg_fac,MATCH(H740,cfg_units,0)),""),""),""))</f>
        <v/>
      </c>
      <c r="Y740" s="96">
        <f>IF(AND(W740=1,ISNUMBER(I740)),1,0)</f>
        <v>0</v>
      </c>
      <c r="Z740" s="96">
        <f>IF(U740=1,INDEX('MTRs'!$AA$6:$AA$505,T740),0)</f>
        <v>0</v>
      </c>
      <c r="AA740" s="96">
        <f>IF(R740=0,0,COUNTIFS('RECEBIMENTOS'!$R$6:$R$1005,A740,'RECEBIMENTOS'!$Q$6:$Q$1005,1))</f>
        <v>0</v>
      </c>
      <c r="AB740" s="96">
        <f>IF(R740=0,0,COUNTIFS('RECEBIMENTOS'!$R$6:$R$1005,A740,'RECEBIMENTOS'!$Z$6:$Z$1005,1))</f>
        <v>0</v>
      </c>
      <c r="AC740" s="96">
        <f>IF(R740=0,0,COUNTIFS('RECEBIMENTOS'!$R$6:$R$1005,A740,'RECEBIMENTOS'!$Y$6:$Y$1005,1))</f>
        <v>0</v>
      </c>
      <c r="AD740" s="96">
        <f>IF(R740=0,0,COUNTIFS('VÍNCULOS_CDF'!$R$6:$R$1005,A740,'VÍNCULOS_CDF'!$N$6:$N$1005,1))</f>
        <v>0</v>
      </c>
      <c r="AE740" s="96">
        <f>IF(R740=0,0,COUNTIFS('VÍNCULOS_CDF'!$R$6:$R$1005,A740,'VÍNCULOS_CDF'!$AA$6:$AA$1005,1))</f>
        <v>0</v>
      </c>
      <c r="AF740" s="96">
        <f>IF(R740=0,0,COUNTIFS('VÍNCULOS_CDF'!$R$6:$R$1005,A740,'VÍNCULOS_CDF'!$Y$6:$Y$1005,1))</f>
        <v>0</v>
      </c>
      <c r="AG740" s="96" t="str">
        <f>IF(AND(R740=1,S740&lt;&gt;"",C740&lt;&gt;""),S740&amp;"|"&amp;C740&amp;"|"&amp;G740&amp;"|"&amp;H740,"")</f>
        <v/>
      </c>
      <c r="AH740" s="96">
        <f>IF(AG740="",0,IF(SUMPRODUCT(--($AG$6:$AG$1005=AG740))&gt;1,1,0))</f>
        <v>0</v>
      </c>
      <c r="AI740" s="96">
        <f>IF(R740=0,0,IF(OR(U740=0,V740=0,Y740=0,AND(AH740=1,K740&lt;&gt;"Sim")),1,0))</f>
        <v>0</v>
      </c>
      <c r="AJ740" s="96">
        <f>IF(AND(R740=1,AA740&gt;0,AB740=AA740),1,0)</f>
        <v>0</v>
      </c>
      <c r="AK740" s="96">
        <f>IF(R740=0,0,IF(AA740&gt;0,N(L740),IF(ISNUMBER(I740),I740,0)))</f>
        <v>0</v>
      </c>
      <c r="AL740" s="96">
        <f>IF(R740=0,0,IF(AND(K740&lt;&gt;"Sim",N(M740)&gt;AK740+cfg_tol),1,0))</f>
        <v>0</v>
      </c>
      <c r="AM740" s="96">
        <f>IF(R740=0,0,IF(K740="Sim",0,IF(OR(AND(AA740&gt;0,ISNUMBER(I740),ABS(I740-N(L740))&gt;cfg_tol),AL740=1),1,0)))</f>
        <v>0</v>
      </c>
      <c r="AN740" s="96">
        <f>IF(AND(R740=1,N(M740)&gt;0,OR(N(M740)&gt;=AK740-cfg_tol,K740="Sim")),1,0)</f>
        <v>0</v>
      </c>
      <c r="AO740" s="96">
        <f>IF(AND(AN740=1,AD740&gt;0,AE740=AD740,AL740=0),1,0)</f>
        <v>0</v>
      </c>
      <c r="AP740" s="96">
        <f>IF(U740=0,0,IF(AND(INDEX('MTRs'!$AX$6:$AX$505,T740)=1,Z740=0,OR(f_res="",f_res="(Todos)",C740=f_res)),1,0))</f>
        <v>0</v>
      </c>
      <c r="AQ740" s="97" t="str">
        <f>IF(U740=0,"",INDEX('MTRs'!$AZ$6:$AZ$505,T740))</f>
        <v/>
      </c>
      <c r="AR740" s="96">
        <f>IF(U740=0,0,IF(AND(INDEX('MTRs'!$BA$6:$BA$505,T740)=1,Z740=0),1,0))</f>
        <v>0</v>
      </c>
      <c r="AS740" s="96" t="str">
        <f>IF(R740=1,A740&amp;" | MTR "&amp;IF(U740=1,INDEX('MTRs'!$B$6:$B$505,T740)&amp;"","?")&amp;" | "&amp;IF(C740="","(sem resíduo)",C740),"")</f>
        <v/>
      </c>
      <c r="AT740" s="96" t="str">
        <f>IF(R740=1,COUNTIF($R$6:R740,1),"")</f>
        <v/>
      </c>
      <c r="AU740" s="96" t="str">
        <f>IF(U740=1,INDEX('MTRs'!$I$6:$I$505,T740)&amp;"","")</f>
        <v/>
      </c>
    </row>
    <row r="741">
      <c r="A741" s="89" t="inlineStr">
        <is>
          <t>IT-000736</t>
        </is>
      </c>
      <c r="B741" s="91" t="n"/>
      <c r="C741" s="91" t="n"/>
      <c r="D741" s="94" t="str">
        <f>IF(OR(R741=0,V741=0),"",INDEX('CAD_RESÍDUOS'!$E$6:$E$205,MATCH(C741,'CAD_RESÍDUOS'!$B$6:$B$205,0))&amp;"")</f>
        <v/>
      </c>
      <c r="E741" s="94" t="str">
        <f>IF(OR(R741=0,V741=0),"",INDEX('CAD_RESÍDUOS'!$C$6:$C$205,MATCH(C741,'CAD_RESÍDUOS'!$B$6:$B$205,0))&amp;"")</f>
        <v/>
      </c>
      <c r="F741" s="94" t="str">
        <f>IF(OR(R741=0,V741=0),"",INDEX('CAD_RESÍDUOS'!$G$6:$G$205,MATCH(C741,'CAD_RESÍDUOS'!$B$6:$B$205,0))&amp;"")</f>
        <v/>
      </c>
      <c r="G741" s="98" t="n"/>
      <c r="H741" s="91" t="n"/>
      <c r="I741" s="93" t="str">
        <f>IF(R741=0,"",IF(NOT(ISNUMBER(G741)),"",IF(ISNUMBER(X741),G741*X741,"UNIDADE A CONFERIR")))</f>
        <v/>
      </c>
      <c r="J741" s="91" t="n"/>
      <c r="K741" s="91" t="n"/>
      <c r="L741" s="93" t="str">
        <f>IF(R741=0,"",SUMIFS('RECEBIMENTOS'!$H$6:$H$1005,'RECEBIMENTOS'!$R$6:$R$1005,A741,'RECEBIMENTOS'!$X$6:$X$1005,1))</f>
        <v/>
      </c>
      <c r="M741" s="93" t="str">
        <f>IF(R741=0,"",SUMIFS('VÍNCULOS_CDF'!$H$6:$H$1005,'VÍNCULOS_CDF'!$R$6:$R$1005,A741,'VÍNCULOS_CDF'!$V$6:$V$1005,1))</f>
        <v/>
      </c>
      <c r="N741" s="99" t="str">
        <f>IF(OR(R741=0,AA741=0,NOT(ISNUMBER(I741))),"",I741-N(L741))</f>
        <v/>
      </c>
      <c r="O741" s="100" t="str">
        <f>IF(OR(R741=0,AK741&lt;=0),"",N(M741)/AK741)</f>
        <v/>
      </c>
      <c r="P741" s="94" t="str">
        <f>IF(R741=0,"",IF(S741="","Sem MTR associado",IF(U741=0,"MTR inexistente",IF(C741="","Resíduo não identificado",IF(V741=0,"Resíduo fora do cadastro",IF(W741=0,"Quantidade inválida",IF(H741="","Unidade não informada",IF(NOT(ISNUMBER(I741)),"Unidade a conferir",IF(AND(AH741=1,K741&lt;&gt;"Sim"),"Possível duplicidade",IF(Z741=1,"MTR cancelado",IF(AC741&gt;0,"Recebimento com alerta",IF(AA741=0,"Aguardando recebimento",IF(AB741&lt;AA741,"Recebimento a conferir",IF(AM741=1,"Quantidade a revisar",IF(AF741&gt;0,"Vínculo a revisar",IF(AD741=0,"Aguardando CDF",IF(AN741=0,"Vínculo de CDF parcial",IF(AE741&lt;AD741,"CDF a conferir","Documentação conferida"))))))))))))))))))</f>
        <v/>
      </c>
      <c r="Q741" s="93" t="str">
        <f>IF(OR(R741=0,AA741=0),"",MAX(0,N(L741)-N(M741)))</f>
        <v/>
      </c>
      <c r="R741" s="96">
        <f>IF(COUNTA(B741:C741,G741:H741,J741:K741)&gt;0,1,0)</f>
        <v>0</v>
      </c>
      <c r="S741" s="96" t="str">
        <f>IF(B741="","",TRIM(LEFT(B741,FIND(" |",B741&amp;" |")-1)))</f>
        <v/>
      </c>
      <c r="T741" s="96" t="str">
        <f>IF(S741="","",IFERROR(MATCH(S741,'MTRs'!$A$6:$A$505,0),""))</f>
        <v/>
      </c>
      <c r="U741" s="96">
        <f>IF(T741="",0,IF(INDEX('MTRs'!$Z$6:$Z$505,T741)=1,1,0))</f>
        <v>0</v>
      </c>
      <c r="V741" s="96">
        <f>IF(C741="",0,IF(ISNUMBER(MATCH(C741,'CAD_RESÍDUOS'!$B$6:$B$205,0)),1,0))</f>
        <v>0</v>
      </c>
      <c r="W741" s="96">
        <f>IF(AND(ISNUMBER(G741),G741&gt;0),1,0)</f>
        <v>0</v>
      </c>
      <c r="X741" s="96" t="str">
        <f>IF(H741="","",IFERROR(IF(ISNUMBER(INDEX(cfg_fac,MATCH(H741,cfg_units,0))),IF(INDEX(cfg_fac,MATCH(H741,cfg_units,0))&gt;0,INDEX(cfg_fac,MATCH(H741,cfg_units,0)),""),""),""))</f>
        <v/>
      </c>
      <c r="Y741" s="96">
        <f>IF(AND(W741=1,ISNUMBER(I741)),1,0)</f>
        <v>0</v>
      </c>
      <c r="Z741" s="96">
        <f>IF(U741=1,INDEX('MTRs'!$AA$6:$AA$505,T741),0)</f>
        <v>0</v>
      </c>
      <c r="AA741" s="96">
        <f>IF(R741=0,0,COUNTIFS('RECEBIMENTOS'!$R$6:$R$1005,A741,'RECEBIMENTOS'!$Q$6:$Q$1005,1))</f>
        <v>0</v>
      </c>
      <c r="AB741" s="96">
        <f>IF(R741=0,0,COUNTIFS('RECEBIMENTOS'!$R$6:$R$1005,A741,'RECEBIMENTOS'!$Z$6:$Z$1005,1))</f>
        <v>0</v>
      </c>
      <c r="AC741" s="96">
        <f>IF(R741=0,0,COUNTIFS('RECEBIMENTOS'!$R$6:$R$1005,A741,'RECEBIMENTOS'!$Y$6:$Y$1005,1))</f>
        <v>0</v>
      </c>
      <c r="AD741" s="96">
        <f>IF(R741=0,0,COUNTIFS('VÍNCULOS_CDF'!$R$6:$R$1005,A741,'VÍNCULOS_CDF'!$N$6:$N$1005,1))</f>
        <v>0</v>
      </c>
      <c r="AE741" s="96">
        <f>IF(R741=0,0,COUNTIFS('VÍNCULOS_CDF'!$R$6:$R$1005,A741,'VÍNCULOS_CDF'!$AA$6:$AA$1005,1))</f>
        <v>0</v>
      </c>
      <c r="AF741" s="96">
        <f>IF(R741=0,0,COUNTIFS('VÍNCULOS_CDF'!$R$6:$R$1005,A741,'VÍNCULOS_CDF'!$Y$6:$Y$1005,1))</f>
        <v>0</v>
      </c>
      <c r="AG741" s="96" t="str">
        <f>IF(AND(R741=1,S741&lt;&gt;"",C741&lt;&gt;""),S741&amp;"|"&amp;C741&amp;"|"&amp;G741&amp;"|"&amp;H741,"")</f>
        <v/>
      </c>
      <c r="AH741" s="96">
        <f>IF(AG741="",0,IF(SUMPRODUCT(--($AG$6:$AG$1005=AG741))&gt;1,1,0))</f>
        <v>0</v>
      </c>
      <c r="AI741" s="96">
        <f>IF(R741=0,0,IF(OR(U741=0,V741=0,Y741=0,AND(AH741=1,K741&lt;&gt;"Sim")),1,0))</f>
        <v>0</v>
      </c>
      <c r="AJ741" s="96">
        <f>IF(AND(R741=1,AA741&gt;0,AB741=AA741),1,0)</f>
        <v>0</v>
      </c>
      <c r="AK741" s="96">
        <f>IF(R741=0,0,IF(AA741&gt;0,N(L741),IF(ISNUMBER(I741),I741,0)))</f>
        <v>0</v>
      </c>
      <c r="AL741" s="96">
        <f>IF(R741=0,0,IF(AND(K741&lt;&gt;"Sim",N(M741)&gt;AK741+cfg_tol),1,0))</f>
        <v>0</v>
      </c>
      <c r="AM741" s="96">
        <f>IF(R741=0,0,IF(K741="Sim",0,IF(OR(AND(AA741&gt;0,ISNUMBER(I741),ABS(I741-N(L741))&gt;cfg_tol),AL741=1),1,0)))</f>
        <v>0</v>
      </c>
      <c r="AN741" s="96">
        <f>IF(AND(R741=1,N(M741)&gt;0,OR(N(M741)&gt;=AK741-cfg_tol,K741="Sim")),1,0)</f>
        <v>0</v>
      </c>
      <c r="AO741" s="96">
        <f>IF(AND(AN741=1,AD741&gt;0,AE741=AD741,AL741=0),1,0)</f>
        <v>0</v>
      </c>
      <c r="AP741" s="96">
        <f>IF(U741=0,0,IF(AND(INDEX('MTRs'!$AX$6:$AX$505,T741)=1,Z741=0,OR(f_res="",f_res="(Todos)",C741=f_res)),1,0))</f>
        <v>0</v>
      </c>
      <c r="AQ741" s="97" t="str">
        <f>IF(U741=0,"",INDEX('MTRs'!$AZ$6:$AZ$505,T741))</f>
        <v/>
      </c>
      <c r="AR741" s="96">
        <f>IF(U741=0,0,IF(AND(INDEX('MTRs'!$BA$6:$BA$505,T741)=1,Z741=0),1,0))</f>
        <v>0</v>
      </c>
      <c r="AS741" s="96" t="str">
        <f>IF(R741=1,A741&amp;" | MTR "&amp;IF(U741=1,INDEX('MTRs'!$B$6:$B$505,T741)&amp;"","?")&amp;" | "&amp;IF(C741="","(sem resíduo)",C741),"")</f>
        <v/>
      </c>
      <c r="AT741" s="96" t="str">
        <f>IF(R741=1,COUNTIF($R$6:R741,1),"")</f>
        <v/>
      </c>
      <c r="AU741" s="96" t="str">
        <f>IF(U741=1,INDEX('MTRs'!$I$6:$I$505,T741)&amp;"","")</f>
        <v/>
      </c>
    </row>
    <row r="742">
      <c r="A742" s="89" t="inlineStr">
        <is>
          <t>IT-000737</t>
        </is>
      </c>
      <c r="B742" s="91" t="n"/>
      <c r="C742" s="91" t="n"/>
      <c r="D742" s="94" t="str">
        <f>IF(OR(R742=0,V742=0),"",INDEX('CAD_RESÍDUOS'!$E$6:$E$205,MATCH(C742,'CAD_RESÍDUOS'!$B$6:$B$205,0))&amp;"")</f>
        <v/>
      </c>
      <c r="E742" s="94" t="str">
        <f>IF(OR(R742=0,V742=0),"",INDEX('CAD_RESÍDUOS'!$C$6:$C$205,MATCH(C742,'CAD_RESÍDUOS'!$B$6:$B$205,0))&amp;"")</f>
        <v/>
      </c>
      <c r="F742" s="94" t="str">
        <f>IF(OR(R742=0,V742=0),"",INDEX('CAD_RESÍDUOS'!$G$6:$G$205,MATCH(C742,'CAD_RESÍDUOS'!$B$6:$B$205,0))&amp;"")</f>
        <v/>
      </c>
      <c r="G742" s="98" t="n"/>
      <c r="H742" s="91" t="n"/>
      <c r="I742" s="93" t="str">
        <f>IF(R742=0,"",IF(NOT(ISNUMBER(G742)),"",IF(ISNUMBER(X742),G742*X742,"UNIDADE A CONFERIR")))</f>
        <v/>
      </c>
      <c r="J742" s="91" t="n"/>
      <c r="K742" s="91" t="n"/>
      <c r="L742" s="93" t="str">
        <f>IF(R742=0,"",SUMIFS('RECEBIMENTOS'!$H$6:$H$1005,'RECEBIMENTOS'!$R$6:$R$1005,A742,'RECEBIMENTOS'!$X$6:$X$1005,1))</f>
        <v/>
      </c>
      <c r="M742" s="93" t="str">
        <f>IF(R742=0,"",SUMIFS('VÍNCULOS_CDF'!$H$6:$H$1005,'VÍNCULOS_CDF'!$R$6:$R$1005,A742,'VÍNCULOS_CDF'!$V$6:$V$1005,1))</f>
        <v/>
      </c>
      <c r="N742" s="99" t="str">
        <f>IF(OR(R742=0,AA742=0,NOT(ISNUMBER(I742))),"",I742-N(L742))</f>
        <v/>
      </c>
      <c r="O742" s="100" t="str">
        <f>IF(OR(R742=0,AK742&lt;=0),"",N(M742)/AK742)</f>
        <v/>
      </c>
      <c r="P742" s="94" t="str">
        <f>IF(R742=0,"",IF(S742="","Sem MTR associado",IF(U742=0,"MTR inexistente",IF(C742="","Resíduo não identificado",IF(V742=0,"Resíduo fora do cadastro",IF(W742=0,"Quantidade inválida",IF(H742="","Unidade não informada",IF(NOT(ISNUMBER(I742)),"Unidade a conferir",IF(AND(AH742=1,K742&lt;&gt;"Sim"),"Possível duplicidade",IF(Z742=1,"MTR cancelado",IF(AC742&gt;0,"Recebimento com alerta",IF(AA742=0,"Aguardando recebimento",IF(AB742&lt;AA742,"Recebimento a conferir",IF(AM742=1,"Quantidade a revisar",IF(AF742&gt;0,"Vínculo a revisar",IF(AD742=0,"Aguardando CDF",IF(AN742=0,"Vínculo de CDF parcial",IF(AE742&lt;AD742,"CDF a conferir","Documentação conferida"))))))))))))))))))</f>
        <v/>
      </c>
      <c r="Q742" s="93" t="str">
        <f>IF(OR(R742=0,AA742=0),"",MAX(0,N(L742)-N(M742)))</f>
        <v/>
      </c>
      <c r="R742" s="96">
        <f>IF(COUNTA(B742:C742,G742:H742,J742:K742)&gt;0,1,0)</f>
        <v>0</v>
      </c>
      <c r="S742" s="96" t="str">
        <f>IF(B742="","",TRIM(LEFT(B742,FIND(" |",B742&amp;" |")-1)))</f>
        <v/>
      </c>
      <c r="T742" s="96" t="str">
        <f>IF(S742="","",IFERROR(MATCH(S742,'MTRs'!$A$6:$A$505,0),""))</f>
        <v/>
      </c>
      <c r="U742" s="96">
        <f>IF(T742="",0,IF(INDEX('MTRs'!$Z$6:$Z$505,T742)=1,1,0))</f>
        <v>0</v>
      </c>
      <c r="V742" s="96">
        <f>IF(C742="",0,IF(ISNUMBER(MATCH(C742,'CAD_RESÍDUOS'!$B$6:$B$205,0)),1,0))</f>
        <v>0</v>
      </c>
      <c r="W742" s="96">
        <f>IF(AND(ISNUMBER(G742),G742&gt;0),1,0)</f>
        <v>0</v>
      </c>
      <c r="X742" s="96" t="str">
        <f>IF(H742="","",IFERROR(IF(ISNUMBER(INDEX(cfg_fac,MATCH(H742,cfg_units,0))),IF(INDEX(cfg_fac,MATCH(H742,cfg_units,0))&gt;0,INDEX(cfg_fac,MATCH(H742,cfg_units,0)),""),""),""))</f>
        <v/>
      </c>
      <c r="Y742" s="96">
        <f>IF(AND(W742=1,ISNUMBER(I742)),1,0)</f>
        <v>0</v>
      </c>
      <c r="Z742" s="96">
        <f>IF(U742=1,INDEX('MTRs'!$AA$6:$AA$505,T742),0)</f>
        <v>0</v>
      </c>
      <c r="AA742" s="96">
        <f>IF(R742=0,0,COUNTIFS('RECEBIMENTOS'!$R$6:$R$1005,A742,'RECEBIMENTOS'!$Q$6:$Q$1005,1))</f>
        <v>0</v>
      </c>
      <c r="AB742" s="96">
        <f>IF(R742=0,0,COUNTIFS('RECEBIMENTOS'!$R$6:$R$1005,A742,'RECEBIMENTOS'!$Z$6:$Z$1005,1))</f>
        <v>0</v>
      </c>
      <c r="AC742" s="96">
        <f>IF(R742=0,0,COUNTIFS('RECEBIMENTOS'!$R$6:$R$1005,A742,'RECEBIMENTOS'!$Y$6:$Y$1005,1))</f>
        <v>0</v>
      </c>
      <c r="AD742" s="96">
        <f>IF(R742=0,0,COUNTIFS('VÍNCULOS_CDF'!$R$6:$R$1005,A742,'VÍNCULOS_CDF'!$N$6:$N$1005,1))</f>
        <v>0</v>
      </c>
      <c r="AE742" s="96">
        <f>IF(R742=0,0,COUNTIFS('VÍNCULOS_CDF'!$R$6:$R$1005,A742,'VÍNCULOS_CDF'!$AA$6:$AA$1005,1))</f>
        <v>0</v>
      </c>
      <c r="AF742" s="96">
        <f>IF(R742=0,0,COUNTIFS('VÍNCULOS_CDF'!$R$6:$R$1005,A742,'VÍNCULOS_CDF'!$Y$6:$Y$1005,1))</f>
        <v>0</v>
      </c>
      <c r="AG742" s="96" t="str">
        <f>IF(AND(R742=1,S742&lt;&gt;"",C742&lt;&gt;""),S742&amp;"|"&amp;C742&amp;"|"&amp;G742&amp;"|"&amp;H742,"")</f>
        <v/>
      </c>
      <c r="AH742" s="96">
        <f>IF(AG742="",0,IF(SUMPRODUCT(--($AG$6:$AG$1005=AG742))&gt;1,1,0))</f>
        <v>0</v>
      </c>
      <c r="AI742" s="96">
        <f>IF(R742=0,0,IF(OR(U742=0,V742=0,Y742=0,AND(AH742=1,K742&lt;&gt;"Sim")),1,0))</f>
        <v>0</v>
      </c>
      <c r="AJ742" s="96">
        <f>IF(AND(R742=1,AA742&gt;0,AB742=AA742),1,0)</f>
        <v>0</v>
      </c>
      <c r="AK742" s="96">
        <f>IF(R742=0,0,IF(AA742&gt;0,N(L742),IF(ISNUMBER(I742),I742,0)))</f>
        <v>0</v>
      </c>
      <c r="AL742" s="96">
        <f>IF(R742=0,0,IF(AND(K742&lt;&gt;"Sim",N(M742)&gt;AK742+cfg_tol),1,0))</f>
        <v>0</v>
      </c>
      <c r="AM742" s="96">
        <f>IF(R742=0,0,IF(K742="Sim",0,IF(OR(AND(AA742&gt;0,ISNUMBER(I742),ABS(I742-N(L742))&gt;cfg_tol),AL742=1),1,0)))</f>
        <v>0</v>
      </c>
      <c r="AN742" s="96">
        <f>IF(AND(R742=1,N(M742)&gt;0,OR(N(M742)&gt;=AK742-cfg_tol,K742="Sim")),1,0)</f>
        <v>0</v>
      </c>
      <c r="AO742" s="96">
        <f>IF(AND(AN742=1,AD742&gt;0,AE742=AD742,AL742=0),1,0)</f>
        <v>0</v>
      </c>
      <c r="AP742" s="96">
        <f>IF(U742=0,0,IF(AND(INDEX('MTRs'!$AX$6:$AX$505,T742)=1,Z742=0,OR(f_res="",f_res="(Todos)",C742=f_res)),1,0))</f>
        <v>0</v>
      </c>
      <c r="AQ742" s="97" t="str">
        <f>IF(U742=0,"",INDEX('MTRs'!$AZ$6:$AZ$505,T742))</f>
        <v/>
      </c>
      <c r="AR742" s="96">
        <f>IF(U742=0,0,IF(AND(INDEX('MTRs'!$BA$6:$BA$505,T742)=1,Z742=0),1,0))</f>
        <v>0</v>
      </c>
      <c r="AS742" s="96" t="str">
        <f>IF(R742=1,A742&amp;" | MTR "&amp;IF(U742=1,INDEX('MTRs'!$B$6:$B$505,T742)&amp;"","?")&amp;" | "&amp;IF(C742="","(sem resíduo)",C742),"")</f>
        <v/>
      </c>
      <c r="AT742" s="96" t="str">
        <f>IF(R742=1,COUNTIF($R$6:R742,1),"")</f>
        <v/>
      </c>
      <c r="AU742" s="96" t="str">
        <f>IF(U742=1,INDEX('MTRs'!$I$6:$I$505,T742)&amp;"","")</f>
        <v/>
      </c>
    </row>
    <row r="743">
      <c r="A743" s="89" t="inlineStr">
        <is>
          <t>IT-000738</t>
        </is>
      </c>
      <c r="B743" s="91" t="n"/>
      <c r="C743" s="91" t="n"/>
      <c r="D743" s="94" t="str">
        <f>IF(OR(R743=0,V743=0),"",INDEX('CAD_RESÍDUOS'!$E$6:$E$205,MATCH(C743,'CAD_RESÍDUOS'!$B$6:$B$205,0))&amp;"")</f>
        <v/>
      </c>
      <c r="E743" s="94" t="str">
        <f>IF(OR(R743=0,V743=0),"",INDEX('CAD_RESÍDUOS'!$C$6:$C$205,MATCH(C743,'CAD_RESÍDUOS'!$B$6:$B$205,0))&amp;"")</f>
        <v/>
      </c>
      <c r="F743" s="94" t="str">
        <f>IF(OR(R743=0,V743=0),"",INDEX('CAD_RESÍDUOS'!$G$6:$G$205,MATCH(C743,'CAD_RESÍDUOS'!$B$6:$B$205,0))&amp;"")</f>
        <v/>
      </c>
      <c r="G743" s="98" t="n"/>
      <c r="H743" s="91" t="n"/>
      <c r="I743" s="93" t="str">
        <f>IF(R743=0,"",IF(NOT(ISNUMBER(G743)),"",IF(ISNUMBER(X743),G743*X743,"UNIDADE A CONFERIR")))</f>
        <v/>
      </c>
      <c r="J743" s="91" t="n"/>
      <c r="K743" s="91" t="n"/>
      <c r="L743" s="93" t="str">
        <f>IF(R743=0,"",SUMIFS('RECEBIMENTOS'!$H$6:$H$1005,'RECEBIMENTOS'!$R$6:$R$1005,A743,'RECEBIMENTOS'!$X$6:$X$1005,1))</f>
        <v/>
      </c>
      <c r="M743" s="93" t="str">
        <f>IF(R743=0,"",SUMIFS('VÍNCULOS_CDF'!$H$6:$H$1005,'VÍNCULOS_CDF'!$R$6:$R$1005,A743,'VÍNCULOS_CDF'!$V$6:$V$1005,1))</f>
        <v/>
      </c>
      <c r="N743" s="99" t="str">
        <f>IF(OR(R743=0,AA743=0,NOT(ISNUMBER(I743))),"",I743-N(L743))</f>
        <v/>
      </c>
      <c r="O743" s="100" t="str">
        <f>IF(OR(R743=0,AK743&lt;=0),"",N(M743)/AK743)</f>
        <v/>
      </c>
      <c r="P743" s="94" t="str">
        <f>IF(R743=0,"",IF(S743="","Sem MTR associado",IF(U743=0,"MTR inexistente",IF(C743="","Resíduo não identificado",IF(V743=0,"Resíduo fora do cadastro",IF(W743=0,"Quantidade inválida",IF(H743="","Unidade não informada",IF(NOT(ISNUMBER(I743)),"Unidade a conferir",IF(AND(AH743=1,K743&lt;&gt;"Sim"),"Possível duplicidade",IF(Z743=1,"MTR cancelado",IF(AC743&gt;0,"Recebimento com alerta",IF(AA743=0,"Aguardando recebimento",IF(AB743&lt;AA743,"Recebimento a conferir",IF(AM743=1,"Quantidade a revisar",IF(AF743&gt;0,"Vínculo a revisar",IF(AD743=0,"Aguardando CDF",IF(AN743=0,"Vínculo de CDF parcial",IF(AE743&lt;AD743,"CDF a conferir","Documentação conferida"))))))))))))))))))</f>
        <v/>
      </c>
      <c r="Q743" s="93" t="str">
        <f>IF(OR(R743=0,AA743=0),"",MAX(0,N(L743)-N(M743)))</f>
        <v/>
      </c>
      <c r="R743" s="96">
        <f>IF(COUNTA(B743:C743,G743:H743,J743:K743)&gt;0,1,0)</f>
        <v>0</v>
      </c>
      <c r="S743" s="96" t="str">
        <f>IF(B743="","",TRIM(LEFT(B743,FIND(" |",B743&amp;" |")-1)))</f>
        <v/>
      </c>
      <c r="T743" s="96" t="str">
        <f>IF(S743="","",IFERROR(MATCH(S743,'MTRs'!$A$6:$A$505,0),""))</f>
        <v/>
      </c>
      <c r="U743" s="96">
        <f>IF(T743="",0,IF(INDEX('MTRs'!$Z$6:$Z$505,T743)=1,1,0))</f>
        <v>0</v>
      </c>
      <c r="V743" s="96">
        <f>IF(C743="",0,IF(ISNUMBER(MATCH(C743,'CAD_RESÍDUOS'!$B$6:$B$205,0)),1,0))</f>
        <v>0</v>
      </c>
      <c r="W743" s="96">
        <f>IF(AND(ISNUMBER(G743),G743&gt;0),1,0)</f>
        <v>0</v>
      </c>
      <c r="X743" s="96" t="str">
        <f>IF(H743="","",IFERROR(IF(ISNUMBER(INDEX(cfg_fac,MATCH(H743,cfg_units,0))),IF(INDEX(cfg_fac,MATCH(H743,cfg_units,0))&gt;0,INDEX(cfg_fac,MATCH(H743,cfg_units,0)),""),""),""))</f>
        <v/>
      </c>
      <c r="Y743" s="96">
        <f>IF(AND(W743=1,ISNUMBER(I743)),1,0)</f>
        <v>0</v>
      </c>
      <c r="Z743" s="96">
        <f>IF(U743=1,INDEX('MTRs'!$AA$6:$AA$505,T743),0)</f>
        <v>0</v>
      </c>
      <c r="AA743" s="96">
        <f>IF(R743=0,0,COUNTIFS('RECEBIMENTOS'!$R$6:$R$1005,A743,'RECEBIMENTOS'!$Q$6:$Q$1005,1))</f>
        <v>0</v>
      </c>
      <c r="AB743" s="96">
        <f>IF(R743=0,0,COUNTIFS('RECEBIMENTOS'!$R$6:$R$1005,A743,'RECEBIMENTOS'!$Z$6:$Z$1005,1))</f>
        <v>0</v>
      </c>
      <c r="AC743" s="96">
        <f>IF(R743=0,0,COUNTIFS('RECEBIMENTOS'!$R$6:$R$1005,A743,'RECEBIMENTOS'!$Y$6:$Y$1005,1))</f>
        <v>0</v>
      </c>
      <c r="AD743" s="96">
        <f>IF(R743=0,0,COUNTIFS('VÍNCULOS_CDF'!$R$6:$R$1005,A743,'VÍNCULOS_CDF'!$N$6:$N$1005,1))</f>
        <v>0</v>
      </c>
      <c r="AE743" s="96">
        <f>IF(R743=0,0,COUNTIFS('VÍNCULOS_CDF'!$R$6:$R$1005,A743,'VÍNCULOS_CDF'!$AA$6:$AA$1005,1))</f>
        <v>0</v>
      </c>
      <c r="AF743" s="96">
        <f>IF(R743=0,0,COUNTIFS('VÍNCULOS_CDF'!$R$6:$R$1005,A743,'VÍNCULOS_CDF'!$Y$6:$Y$1005,1))</f>
        <v>0</v>
      </c>
      <c r="AG743" s="96" t="str">
        <f>IF(AND(R743=1,S743&lt;&gt;"",C743&lt;&gt;""),S743&amp;"|"&amp;C743&amp;"|"&amp;G743&amp;"|"&amp;H743,"")</f>
        <v/>
      </c>
      <c r="AH743" s="96">
        <f>IF(AG743="",0,IF(SUMPRODUCT(--($AG$6:$AG$1005=AG743))&gt;1,1,0))</f>
        <v>0</v>
      </c>
      <c r="AI743" s="96">
        <f>IF(R743=0,0,IF(OR(U743=0,V743=0,Y743=0,AND(AH743=1,K743&lt;&gt;"Sim")),1,0))</f>
        <v>0</v>
      </c>
      <c r="AJ743" s="96">
        <f>IF(AND(R743=1,AA743&gt;0,AB743=AA743),1,0)</f>
        <v>0</v>
      </c>
      <c r="AK743" s="96">
        <f>IF(R743=0,0,IF(AA743&gt;0,N(L743),IF(ISNUMBER(I743),I743,0)))</f>
        <v>0</v>
      </c>
      <c r="AL743" s="96">
        <f>IF(R743=0,0,IF(AND(K743&lt;&gt;"Sim",N(M743)&gt;AK743+cfg_tol),1,0))</f>
        <v>0</v>
      </c>
      <c r="AM743" s="96">
        <f>IF(R743=0,0,IF(K743="Sim",0,IF(OR(AND(AA743&gt;0,ISNUMBER(I743),ABS(I743-N(L743))&gt;cfg_tol),AL743=1),1,0)))</f>
        <v>0</v>
      </c>
      <c r="AN743" s="96">
        <f>IF(AND(R743=1,N(M743)&gt;0,OR(N(M743)&gt;=AK743-cfg_tol,K743="Sim")),1,0)</f>
        <v>0</v>
      </c>
      <c r="AO743" s="96">
        <f>IF(AND(AN743=1,AD743&gt;0,AE743=AD743,AL743=0),1,0)</f>
        <v>0</v>
      </c>
      <c r="AP743" s="96">
        <f>IF(U743=0,0,IF(AND(INDEX('MTRs'!$AX$6:$AX$505,T743)=1,Z743=0,OR(f_res="",f_res="(Todos)",C743=f_res)),1,0))</f>
        <v>0</v>
      </c>
      <c r="AQ743" s="97" t="str">
        <f>IF(U743=0,"",INDEX('MTRs'!$AZ$6:$AZ$505,T743))</f>
        <v/>
      </c>
      <c r="AR743" s="96">
        <f>IF(U743=0,0,IF(AND(INDEX('MTRs'!$BA$6:$BA$505,T743)=1,Z743=0),1,0))</f>
        <v>0</v>
      </c>
      <c r="AS743" s="96" t="str">
        <f>IF(R743=1,A743&amp;" | MTR "&amp;IF(U743=1,INDEX('MTRs'!$B$6:$B$505,T743)&amp;"","?")&amp;" | "&amp;IF(C743="","(sem resíduo)",C743),"")</f>
        <v/>
      </c>
      <c r="AT743" s="96" t="str">
        <f>IF(R743=1,COUNTIF($R$6:R743,1),"")</f>
        <v/>
      </c>
      <c r="AU743" s="96" t="str">
        <f>IF(U743=1,INDEX('MTRs'!$I$6:$I$505,T743)&amp;"","")</f>
        <v/>
      </c>
    </row>
    <row r="744">
      <c r="A744" s="89" t="inlineStr">
        <is>
          <t>IT-000739</t>
        </is>
      </c>
      <c r="B744" s="91" t="n"/>
      <c r="C744" s="91" t="n"/>
      <c r="D744" s="94" t="str">
        <f>IF(OR(R744=0,V744=0),"",INDEX('CAD_RESÍDUOS'!$E$6:$E$205,MATCH(C744,'CAD_RESÍDUOS'!$B$6:$B$205,0))&amp;"")</f>
        <v/>
      </c>
      <c r="E744" s="94" t="str">
        <f>IF(OR(R744=0,V744=0),"",INDEX('CAD_RESÍDUOS'!$C$6:$C$205,MATCH(C744,'CAD_RESÍDUOS'!$B$6:$B$205,0))&amp;"")</f>
        <v/>
      </c>
      <c r="F744" s="94" t="str">
        <f>IF(OR(R744=0,V744=0),"",INDEX('CAD_RESÍDUOS'!$G$6:$G$205,MATCH(C744,'CAD_RESÍDUOS'!$B$6:$B$205,0))&amp;"")</f>
        <v/>
      </c>
      <c r="G744" s="98" t="n"/>
      <c r="H744" s="91" t="n"/>
      <c r="I744" s="93" t="str">
        <f>IF(R744=0,"",IF(NOT(ISNUMBER(G744)),"",IF(ISNUMBER(X744),G744*X744,"UNIDADE A CONFERIR")))</f>
        <v/>
      </c>
      <c r="J744" s="91" t="n"/>
      <c r="K744" s="91" t="n"/>
      <c r="L744" s="93" t="str">
        <f>IF(R744=0,"",SUMIFS('RECEBIMENTOS'!$H$6:$H$1005,'RECEBIMENTOS'!$R$6:$R$1005,A744,'RECEBIMENTOS'!$X$6:$X$1005,1))</f>
        <v/>
      </c>
      <c r="M744" s="93" t="str">
        <f>IF(R744=0,"",SUMIFS('VÍNCULOS_CDF'!$H$6:$H$1005,'VÍNCULOS_CDF'!$R$6:$R$1005,A744,'VÍNCULOS_CDF'!$V$6:$V$1005,1))</f>
        <v/>
      </c>
      <c r="N744" s="99" t="str">
        <f>IF(OR(R744=0,AA744=0,NOT(ISNUMBER(I744))),"",I744-N(L744))</f>
        <v/>
      </c>
      <c r="O744" s="100" t="str">
        <f>IF(OR(R744=0,AK744&lt;=0),"",N(M744)/AK744)</f>
        <v/>
      </c>
      <c r="P744" s="94" t="str">
        <f>IF(R744=0,"",IF(S744="","Sem MTR associado",IF(U744=0,"MTR inexistente",IF(C744="","Resíduo não identificado",IF(V744=0,"Resíduo fora do cadastro",IF(W744=0,"Quantidade inválida",IF(H744="","Unidade não informada",IF(NOT(ISNUMBER(I744)),"Unidade a conferir",IF(AND(AH744=1,K744&lt;&gt;"Sim"),"Possível duplicidade",IF(Z744=1,"MTR cancelado",IF(AC744&gt;0,"Recebimento com alerta",IF(AA744=0,"Aguardando recebimento",IF(AB744&lt;AA744,"Recebimento a conferir",IF(AM744=1,"Quantidade a revisar",IF(AF744&gt;0,"Vínculo a revisar",IF(AD744=0,"Aguardando CDF",IF(AN744=0,"Vínculo de CDF parcial",IF(AE744&lt;AD744,"CDF a conferir","Documentação conferida"))))))))))))))))))</f>
        <v/>
      </c>
      <c r="Q744" s="93" t="str">
        <f>IF(OR(R744=0,AA744=0),"",MAX(0,N(L744)-N(M744)))</f>
        <v/>
      </c>
      <c r="R744" s="96">
        <f>IF(COUNTA(B744:C744,G744:H744,J744:K744)&gt;0,1,0)</f>
        <v>0</v>
      </c>
      <c r="S744" s="96" t="str">
        <f>IF(B744="","",TRIM(LEFT(B744,FIND(" |",B744&amp;" |")-1)))</f>
        <v/>
      </c>
      <c r="T744" s="96" t="str">
        <f>IF(S744="","",IFERROR(MATCH(S744,'MTRs'!$A$6:$A$505,0),""))</f>
        <v/>
      </c>
      <c r="U744" s="96">
        <f>IF(T744="",0,IF(INDEX('MTRs'!$Z$6:$Z$505,T744)=1,1,0))</f>
        <v>0</v>
      </c>
      <c r="V744" s="96">
        <f>IF(C744="",0,IF(ISNUMBER(MATCH(C744,'CAD_RESÍDUOS'!$B$6:$B$205,0)),1,0))</f>
        <v>0</v>
      </c>
      <c r="W744" s="96">
        <f>IF(AND(ISNUMBER(G744),G744&gt;0),1,0)</f>
        <v>0</v>
      </c>
      <c r="X744" s="96" t="str">
        <f>IF(H744="","",IFERROR(IF(ISNUMBER(INDEX(cfg_fac,MATCH(H744,cfg_units,0))),IF(INDEX(cfg_fac,MATCH(H744,cfg_units,0))&gt;0,INDEX(cfg_fac,MATCH(H744,cfg_units,0)),""),""),""))</f>
        <v/>
      </c>
      <c r="Y744" s="96">
        <f>IF(AND(W744=1,ISNUMBER(I744)),1,0)</f>
        <v>0</v>
      </c>
      <c r="Z744" s="96">
        <f>IF(U744=1,INDEX('MTRs'!$AA$6:$AA$505,T744),0)</f>
        <v>0</v>
      </c>
      <c r="AA744" s="96">
        <f>IF(R744=0,0,COUNTIFS('RECEBIMENTOS'!$R$6:$R$1005,A744,'RECEBIMENTOS'!$Q$6:$Q$1005,1))</f>
        <v>0</v>
      </c>
      <c r="AB744" s="96">
        <f>IF(R744=0,0,COUNTIFS('RECEBIMENTOS'!$R$6:$R$1005,A744,'RECEBIMENTOS'!$Z$6:$Z$1005,1))</f>
        <v>0</v>
      </c>
      <c r="AC744" s="96">
        <f>IF(R744=0,0,COUNTIFS('RECEBIMENTOS'!$R$6:$R$1005,A744,'RECEBIMENTOS'!$Y$6:$Y$1005,1))</f>
        <v>0</v>
      </c>
      <c r="AD744" s="96">
        <f>IF(R744=0,0,COUNTIFS('VÍNCULOS_CDF'!$R$6:$R$1005,A744,'VÍNCULOS_CDF'!$N$6:$N$1005,1))</f>
        <v>0</v>
      </c>
      <c r="AE744" s="96">
        <f>IF(R744=0,0,COUNTIFS('VÍNCULOS_CDF'!$R$6:$R$1005,A744,'VÍNCULOS_CDF'!$AA$6:$AA$1005,1))</f>
        <v>0</v>
      </c>
      <c r="AF744" s="96">
        <f>IF(R744=0,0,COUNTIFS('VÍNCULOS_CDF'!$R$6:$R$1005,A744,'VÍNCULOS_CDF'!$Y$6:$Y$1005,1))</f>
        <v>0</v>
      </c>
      <c r="AG744" s="96" t="str">
        <f>IF(AND(R744=1,S744&lt;&gt;"",C744&lt;&gt;""),S744&amp;"|"&amp;C744&amp;"|"&amp;G744&amp;"|"&amp;H744,"")</f>
        <v/>
      </c>
      <c r="AH744" s="96">
        <f>IF(AG744="",0,IF(SUMPRODUCT(--($AG$6:$AG$1005=AG744))&gt;1,1,0))</f>
        <v>0</v>
      </c>
      <c r="AI744" s="96">
        <f>IF(R744=0,0,IF(OR(U744=0,V744=0,Y744=0,AND(AH744=1,K744&lt;&gt;"Sim")),1,0))</f>
        <v>0</v>
      </c>
      <c r="AJ744" s="96">
        <f>IF(AND(R744=1,AA744&gt;0,AB744=AA744),1,0)</f>
        <v>0</v>
      </c>
      <c r="AK744" s="96">
        <f>IF(R744=0,0,IF(AA744&gt;0,N(L744),IF(ISNUMBER(I744),I744,0)))</f>
        <v>0</v>
      </c>
      <c r="AL744" s="96">
        <f>IF(R744=0,0,IF(AND(K744&lt;&gt;"Sim",N(M744)&gt;AK744+cfg_tol),1,0))</f>
        <v>0</v>
      </c>
      <c r="AM744" s="96">
        <f>IF(R744=0,0,IF(K744="Sim",0,IF(OR(AND(AA744&gt;0,ISNUMBER(I744),ABS(I744-N(L744))&gt;cfg_tol),AL744=1),1,0)))</f>
        <v>0</v>
      </c>
      <c r="AN744" s="96">
        <f>IF(AND(R744=1,N(M744)&gt;0,OR(N(M744)&gt;=AK744-cfg_tol,K744="Sim")),1,0)</f>
        <v>0</v>
      </c>
      <c r="AO744" s="96">
        <f>IF(AND(AN744=1,AD744&gt;0,AE744=AD744,AL744=0),1,0)</f>
        <v>0</v>
      </c>
      <c r="AP744" s="96">
        <f>IF(U744=0,0,IF(AND(INDEX('MTRs'!$AX$6:$AX$505,T744)=1,Z744=0,OR(f_res="",f_res="(Todos)",C744=f_res)),1,0))</f>
        <v>0</v>
      </c>
      <c r="AQ744" s="97" t="str">
        <f>IF(U744=0,"",INDEX('MTRs'!$AZ$6:$AZ$505,T744))</f>
        <v/>
      </c>
      <c r="AR744" s="96">
        <f>IF(U744=0,0,IF(AND(INDEX('MTRs'!$BA$6:$BA$505,T744)=1,Z744=0),1,0))</f>
        <v>0</v>
      </c>
      <c r="AS744" s="96" t="str">
        <f>IF(R744=1,A744&amp;" | MTR "&amp;IF(U744=1,INDEX('MTRs'!$B$6:$B$505,T744)&amp;"","?")&amp;" | "&amp;IF(C744="","(sem resíduo)",C744),"")</f>
        <v/>
      </c>
      <c r="AT744" s="96" t="str">
        <f>IF(R744=1,COUNTIF($R$6:R744,1),"")</f>
        <v/>
      </c>
      <c r="AU744" s="96" t="str">
        <f>IF(U744=1,INDEX('MTRs'!$I$6:$I$505,T744)&amp;"","")</f>
        <v/>
      </c>
    </row>
    <row r="745">
      <c r="A745" s="89" t="inlineStr">
        <is>
          <t>IT-000740</t>
        </is>
      </c>
      <c r="B745" s="91" t="n"/>
      <c r="C745" s="91" t="n"/>
      <c r="D745" s="94" t="str">
        <f>IF(OR(R745=0,V745=0),"",INDEX('CAD_RESÍDUOS'!$E$6:$E$205,MATCH(C745,'CAD_RESÍDUOS'!$B$6:$B$205,0))&amp;"")</f>
        <v/>
      </c>
      <c r="E745" s="94" t="str">
        <f>IF(OR(R745=0,V745=0),"",INDEX('CAD_RESÍDUOS'!$C$6:$C$205,MATCH(C745,'CAD_RESÍDUOS'!$B$6:$B$205,0))&amp;"")</f>
        <v/>
      </c>
      <c r="F745" s="94" t="str">
        <f>IF(OR(R745=0,V745=0),"",INDEX('CAD_RESÍDUOS'!$G$6:$G$205,MATCH(C745,'CAD_RESÍDUOS'!$B$6:$B$205,0))&amp;"")</f>
        <v/>
      </c>
      <c r="G745" s="98" t="n"/>
      <c r="H745" s="91" t="n"/>
      <c r="I745" s="93" t="str">
        <f>IF(R745=0,"",IF(NOT(ISNUMBER(G745)),"",IF(ISNUMBER(X745),G745*X745,"UNIDADE A CONFERIR")))</f>
        <v/>
      </c>
      <c r="J745" s="91" t="n"/>
      <c r="K745" s="91" t="n"/>
      <c r="L745" s="93" t="str">
        <f>IF(R745=0,"",SUMIFS('RECEBIMENTOS'!$H$6:$H$1005,'RECEBIMENTOS'!$R$6:$R$1005,A745,'RECEBIMENTOS'!$X$6:$X$1005,1))</f>
        <v/>
      </c>
      <c r="M745" s="93" t="str">
        <f>IF(R745=0,"",SUMIFS('VÍNCULOS_CDF'!$H$6:$H$1005,'VÍNCULOS_CDF'!$R$6:$R$1005,A745,'VÍNCULOS_CDF'!$V$6:$V$1005,1))</f>
        <v/>
      </c>
      <c r="N745" s="99" t="str">
        <f>IF(OR(R745=0,AA745=0,NOT(ISNUMBER(I745))),"",I745-N(L745))</f>
        <v/>
      </c>
      <c r="O745" s="100" t="str">
        <f>IF(OR(R745=0,AK745&lt;=0),"",N(M745)/AK745)</f>
        <v/>
      </c>
      <c r="P745" s="94" t="str">
        <f>IF(R745=0,"",IF(S745="","Sem MTR associado",IF(U745=0,"MTR inexistente",IF(C745="","Resíduo não identificado",IF(V745=0,"Resíduo fora do cadastro",IF(W745=0,"Quantidade inválida",IF(H745="","Unidade não informada",IF(NOT(ISNUMBER(I745)),"Unidade a conferir",IF(AND(AH745=1,K745&lt;&gt;"Sim"),"Possível duplicidade",IF(Z745=1,"MTR cancelado",IF(AC745&gt;0,"Recebimento com alerta",IF(AA745=0,"Aguardando recebimento",IF(AB745&lt;AA745,"Recebimento a conferir",IF(AM745=1,"Quantidade a revisar",IF(AF745&gt;0,"Vínculo a revisar",IF(AD745=0,"Aguardando CDF",IF(AN745=0,"Vínculo de CDF parcial",IF(AE745&lt;AD745,"CDF a conferir","Documentação conferida"))))))))))))))))))</f>
        <v/>
      </c>
      <c r="Q745" s="93" t="str">
        <f>IF(OR(R745=0,AA745=0),"",MAX(0,N(L745)-N(M745)))</f>
        <v/>
      </c>
      <c r="R745" s="96">
        <f>IF(COUNTA(B745:C745,G745:H745,J745:K745)&gt;0,1,0)</f>
        <v>0</v>
      </c>
      <c r="S745" s="96" t="str">
        <f>IF(B745="","",TRIM(LEFT(B745,FIND(" |",B745&amp;" |")-1)))</f>
        <v/>
      </c>
      <c r="T745" s="96" t="str">
        <f>IF(S745="","",IFERROR(MATCH(S745,'MTRs'!$A$6:$A$505,0),""))</f>
        <v/>
      </c>
      <c r="U745" s="96">
        <f>IF(T745="",0,IF(INDEX('MTRs'!$Z$6:$Z$505,T745)=1,1,0))</f>
        <v>0</v>
      </c>
      <c r="V745" s="96">
        <f>IF(C745="",0,IF(ISNUMBER(MATCH(C745,'CAD_RESÍDUOS'!$B$6:$B$205,0)),1,0))</f>
        <v>0</v>
      </c>
      <c r="W745" s="96">
        <f>IF(AND(ISNUMBER(G745),G745&gt;0),1,0)</f>
        <v>0</v>
      </c>
      <c r="X745" s="96" t="str">
        <f>IF(H745="","",IFERROR(IF(ISNUMBER(INDEX(cfg_fac,MATCH(H745,cfg_units,0))),IF(INDEX(cfg_fac,MATCH(H745,cfg_units,0))&gt;0,INDEX(cfg_fac,MATCH(H745,cfg_units,0)),""),""),""))</f>
        <v/>
      </c>
      <c r="Y745" s="96">
        <f>IF(AND(W745=1,ISNUMBER(I745)),1,0)</f>
        <v>0</v>
      </c>
      <c r="Z745" s="96">
        <f>IF(U745=1,INDEX('MTRs'!$AA$6:$AA$505,T745),0)</f>
        <v>0</v>
      </c>
      <c r="AA745" s="96">
        <f>IF(R745=0,0,COUNTIFS('RECEBIMENTOS'!$R$6:$R$1005,A745,'RECEBIMENTOS'!$Q$6:$Q$1005,1))</f>
        <v>0</v>
      </c>
      <c r="AB745" s="96">
        <f>IF(R745=0,0,COUNTIFS('RECEBIMENTOS'!$R$6:$R$1005,A745,'RECEBIMENTOS'!$Z$6:$Z$1005,1))</f>
        <v>0</v>
      </c>
      <c r="AC745" s="96">
        <f>IF(R745=0,0,COUNTIFS('RECEBIMENTOS'!$R$6:$R$1005,A745,'RECEBIMENTOS'!$Y$6:$Y$1005,1))</f>
        <v>0</v>
      </c>
      <c r="AD745" s="96">
        <f>IF(R745=0,0,COUNTIFS('VÍNCULOS_CDF'!$R$6:$R$1005,A745,'VÍNCULOS_CDF'!$N$6:$N$1005,1))</f>
        <v>0</v>
      </c>
      <c r="AE745" s="96">
        <f>IF(R745=0,0,COUNTIFS('VÍNCULOS_CDF'!$R$6:$R$1005,A745,'VÍNCULOS_CDF'!$AA$6:$AA$1005,1))</f>
        <v>0</v>
      </c>
      <c r="AF745" s="96">
        <f>IF(R745=0,0,COUNTIFS('VÍNCULOS_CDF'!$R$6:$R$1005,A745,'VÍNCULOS_CDF'!$Y$6:$Y$1005,1))</f>
        <v>0</v>
      </c>
      <c r="AG745" s="96" t="str">
        <f>IF(AND(R745=1,S745&lt;&gt;"",C745&lt;&gt;""),S745&amp;"|"&amp;C745&amp;"|"&amp;G745&amp;"|"&amp;H745,"")</f>
        <v/>
      </c>
      <c r="AH745" s="96">
        <f>IF(AG745="",0,IF(SUMPRODUCT(--($AG$6:$AG$1005=AG745))&gt;1,1,0))</f>
        <v>0</v>
      </c>
      <c r="AI745" s="96">
        <f>IF(R745=0,0,IF(OR(U745=0,V745=0,Y745=0,AND(AH745=1,K745&lt;&gt;"Sim")),1,0))</f>
        <v>0</v>
      </c>
      <c r="AJ745" s="96">
        <f>IF(AND(R745=1,AA745&gt;0,AB745=AA745),1,0)</f>
        <v>0</v>
      </c>
      <c r="AK745" s="96">
        <f>IF(R745=0,0,IF(AA745&gt;0,N(L745),IF(ISNUMBER(I745),I745,0)))</f>
        <v>0</v>
      </c>
      <c r="AL745" s="96">
        <f>IF(R745=0,0,IF(AND(K745&lt;&gt;"Sim",N(M745)&gt;AK745+cfg_tol),1,0))</f>
        <v>0</v>
      </c>
      <c r="AM745" s="96">
        <f>IF(R745=0,0,IF(K745="Sim",0,IF(OR(AND(AA745&gt;0,ISNUMBER(I745),ABS(I745-N(L745))&gt;cfg_tol),AL745=1),1,0)))</f>
        <v>0</v>
      </c>
      <c r="AN745" s="96">
        <f>IF(AND(R745=1,N(M745)&gt;0,OR(N(M745)&gt;=AK745-cfg_tol,K745="Sim")),1,0)</f>
        <v>0</v>
      </c>
      <c r="AO745" s="96">
        <f>IF(AND(AN745=1,AD745&gt;0,AE745=AD745,AL745=0),1,0)</f>
        <v>0</v>
      </c>
      <c r="AP745" s="96">
        <f>IF(U745=0,0,IF(AND(INDEX('MTRs'!$AX$6:$AX$505,T745)=1,Z745=0,OR(f_res="",f_res="(Todos)",C745=f_res)),1,0))</f>
        <v>0</v>
      </c>
      <c r="AQ745" s="97" t="str">
        <f>IF(U745=0,"",INDEX('MTRs'!$AZ$6:$AZ$505,T745))</f>
        <v/>
      </c>
      <c r="AR745" s="96">
        <f>IF(U745=0,0,IF(AND(INDEX('MTRs'!$BA$6:$BA$505,T745)=1,Z745=0),1,0))</f>
        <v>0</v>
      </c>
      <c r="AS745" s="96" t="str">
        <f>IF(R745=1,A745&amp;" | MTR "&amp;IF(U745=1,INDEX('MTRs'!$B$6:$B$505,T745)&amp;"","?")&amp;" | "&amp;IF(C745="","(sem resíduo)",C745),"")</f>
        <v/>
      </c>
      <c r="AT745" s="96" t="str">
        <f>IF(R745=1,COUNTIF($R$6:R745,1),"")</f>
        <v/>
      </c>
      <c r="AU745" s="96" t="str">
        <f>IF(U745=1,INDEX('MTRs'!$I$6:$I$505,T745)&amp;"","")</f>
        <v/>
      </c>
    </row>
    <row r="746">
      <c r="A746" s="89" t="inlineStr">
        <is>
          <t>IT-000741</t>
        </is>
      </c>
      <c r="B746" s="91" t="n"/>
      <c r="C746" s="91" t="n"/>
      <c r="D746" s="94" t="str">
        <f>IF(OR(R746=0,V746=0),"",INDEX('CAD_RESÍDUOS'!$E$6:$E$205,MATCH(C746,'CAD_RESÍDUOS'!$B$6:$B$205,0))&amp;"")</f>
        <v/>
      </c>
      <c r="E746" s="94" t="str">
        <f>IF(OR(R746=0,V746=0),"",INDEX('CAD_RESÍDUOS'!$C$6:$C$205,MATCH(C746,'CAD_RESÍDUOS'!$B$6:$B$205,0))&amp;"")</f>
        <v/>
      </c>
      <c r="F746" s="94" t="str">
        <f>IF(OR(R746=0,V746=0),"",INDEX('CAD_RESÍDUOS'!$G$6:$G$205,MATCH(C746,'CAD_RESÍDUOS'!$B$6:$B$205,0))&amp;"")</f>
        <v/>
      </c>
      <c r="G746" s="98" t="n"/>
      <c r="H746" s="91" t="n"/>
      <c r="I746" s="93" t="str">
        <f>IF(R746=0,"",IF(NOT(ISNUMBER(G746)),"",IF(ISNUMBER(X746),G746*X746,"UNIDADE A CONFERIR")))</f>
        <v/>
      </c>
      <c r="J746" s="91" t="n"/>
      <c r="K746" s="91" t="n"/>
      <c r="L746" s="93" t="str">
        <f>IF(R746=0,"",SUMIFS('RECEBIMENTOS'!$H$6:$H$1005,'RECEBIMENTOS'!$R$6:$R$1005,A746,'RECEBIMENTOS'!$X$6:$X$1005,1))</f>
        <v/>
      </c>
      <c r="M746" s="93" t="str">
        <f>IF(R746=0,"",SUMIFS('VÍNCULOS_CDF'!$H$6:$H$1005,'VÍNCULOS_CDF'!$R$6:$R$1005,A746,'VÍNCULOS_CDF'!$V$6:$V$1005,1))</f>
        <v/>
      </c>
      <c r="N746" s="99" t="str">
        <f>IF(OR(R746=0,AA746=0,NOT(ISNUMBER(I746))),"",I746-N(L746))</f>
        <v/>
      </c>
      <c r="O746" s="100" t="str">
        <f>IF(OR(R746=0,AK746&lt;=0),"",N(M746)/AK746)</f>
        <v/>
      </c>
      <c r="P746" s="94" t="str">
        <f>IF(R746=0,"",IF(S746="","Sem MTR associado",IF(U746=0,"MTR inexistente",IF(C746="","Resíduo não identificado",IF(V746=0,"Resíduo fora do cadastro",IF(W746=0,"Quantidade inválida",IF(H746="","Unidade não informada",IF(NOT(ISNUMBER(I746)),"Unidade a conferir",IF(AND(AH746=1,K746&lt;&gt;"Sim"),"Possível duplicidade",IF(Z746=1,"MTR cancelado",IF(AC746&gt;0,"Recebimento com alerta",IF(AA746=0,"Aguardando recebimento",IF(AB746&lt;AA746,"Recebimento a conferir",IF(AM746=1,"Quantidade a revisar",IF(AF746&gt;0,"Vínculo a revisar",IF(AD746=0,"Aguardando CDF",IF(AN746=0,"Vínculo de CDF parcial",IF(AE746&lt;AD746,"CDF a conferir","Documentação conferida"))))))))))))))))))</f>
        <v/>
      </c>
      <c r="Q746" s="93" t="str">
        <f>IF(OR(R746=0,AA746=0),"",MAX(0,N(L746)-N(M746)))</f>
        <v/>
      </c>
      <c r="R746" s="96">
        <f>IF(COUNTA(B746:C746,G746:H746,J746:K746)&gt;0,1,0)</f>
        <v>0</v>
      </c>
      <c r="S746" s="96" t="str">
        <f>IF(B746="","",TRIM(LEFT(B746,FIND(" |",B746&amp;" |")-1)))</f>
        <v/>
      </c>
      <c r="T746" s="96" t="str">
        <f>IF(S746="","",IFERROR(MATCH(S746,'MTRs'!$A$6:$A$505,0),""))</f>
        <v/>
      </c>
      <c r="U746" s="96">
        <f>IF(T746="",0,IF(INDEX('MTRs'!$Z$6:$Z$505,T746)=1,1,0))</f>
        <v>0</v>
      </c>
      <c r="V746" s="96">
        <f>IF(C746="",0,IF(ISNUMBER(MATCH(C746,'CAD_RESÍDUOS'!$B$6:$B$205,0)),1,0))</f>
        <v>0</v>
      </c>
      <c r="W746" s="96">
        <f>IF(AND(ISNUMBER(G746),G746&gt;0),1,0)</f>
        <v>0</v>
      </c>
      <c r="X746" s="96" t="str">
        <f>IF(H746="","",IFERROR(IF(ISNUMBER(INDEX(cfg_fac,MATCH(H746,cfg_units,0))),IF(INDEX(cfg_fac,MATCH(H746,cfg_units,0))&gt;0,INDEX(cfg_fac,MATCH(H746,cfg_units,0)),""),""),""))</f>
        <v/>
      </c>
      <c r="Y746" s="96">
        <f>IF(AND(W746=1,ISNUMBER(I746)),1,0)</f>
        <v>0</v>
      </c>
      <c r="Z746" s="96">
        <f>IF(U746=1,INDEX('MTRs'!$AA$6:$AA$505,T746),0)</f>
        <v>0</v>
      </c>
      <c r="AA746" s="96">
        <f>IF(R746=0,0,COUNTIFS('RECEBIMENTOS'!$R$6:$R$1005,A746,'RECEBIMENTOS'!$Q$6:$Q$1005,1))</f>
        <v>0</v>
      </c>
      <c r="AB746" s="96">
        <f>IF(R746=0,0,COUNTIFS('RECEBIMENTOS'!$R$6:$R$1005,A746,'RECEBIMENTOS'!$Z$6:$Z$1005,1))</f>
        <v>0</v>
      </c>
      <c r="AC746" s="96">
        <f>IF(R746=0,0,COUNTIFS('RECEBIMENTOS'!$R$6:$R$1005,A746,'RECEBIMENTOS'!$Y$6:$Y$1005,1))</f>
        <v>0</v>
      </c>
      <c r="AD746" s="96">
        <f>IF(R746=0,0,COUNTIFS('VÍNCULOS_CDF'!$R$6:$R$1005,A746,'VÍNCULOS_CDF'!$N$6:$N$1005,1))</f>
        <v>0</v>
      </c>
      <c r="AE746" s="96">
        <f>IF(R746=0,0,COUNTIFS('VÍNCULOS_CDF'!$R$6:$R$1005,A746,'VÍNCULOS_CDF'!$AA$6:$AA$1005,1))</f>
        <v>0</v>
      </c>
      <c r="AF746" s="96">
        <f>IF(R746=0,0,COUNTIFS('VÍNCULOS_CDF'!$R$6:$R$1005,A746,'VÍNCULOS_CDF'!$Y$6:$Y$1005,1))</f>
        <v>0</v>
      </c>
      <c r="AG746" s="96" t="str">
        <f>IF(AND(R746=1,S746&lt;&gt;"",C746&lt;&gt;""),S746&amp;"|"&amp;C746&amp;"|"&amp;G746&amp;"|"&amp;H746,"")</f>
        <v/>
      </c>
      <c r="AH746" s="96">
        <f>IF(AG746="",0,IF(SUMPRODUCT(--($AG$6:$AG$1005=AG746))&gt;1,1,0))</f>
        <v>0</v>
      </c>
      <c r="AI746" s="96">
        <f>IF(R746=0,0,IF(OR(U746=0,V746=0,Y746=0,AND(AH746=1,K746&lt;&gt;"Sim")),1,0))</f>
        <v>0</v>
      </c>
      <c r="AJ746" s="96">
        <f>IF(AND(R746=1,AA746&gt;0,AB746=AA746),1,0)</f>
        <v>0</v>
      </c>
      <c r="AK746" s="96">
        <f>IF(R746=0,0,IF(AA746&gt;0,N(L746),IF(ISNUMBER(I746),I746,0)))</f>
        <v>0</v>
      </c>
      <c r="AL746" s="96">
        <f>IF(R746=0,0,IF(AND(K746&lt;&gt;"Sim",N(M746)&gt;AK746+cfg_tol),1,0))</f>
        <v>0</v>
      </c>
      <c r="AM746" s="96">
        <f>IF(R746=0,0,IF(K746="Sim",0,IF(OR(AND(AA746&gt;0,ISNUMBER(I746),ABS(I746-N(L746))&gt;cfg_tol),AL746=1),1,0)))</f>
        <v>0</v>
      </c>
      <c r="AN746" s="96">
        <f>IF(AND(R746=1,N(M746)&gt;0,OR(N(M746)&gt;=AK746-cfg_tol,K746="Sim")),1,0)</f>
        <v>0</v>
      </c>
      <c r="AO746" s="96">
        <f>IF(AND(AN746=1,AD746&gt;0,AE746=AD746,AL746=0),1,0)</f>
        <v>0</v>
      </c>
      <c r="AP746" s="96">
        <f>IF(U746=0,0,IF(AND(INDEX('MTRs'!$AX$6:$AX$505,T746)=1,Z746=0,OR(f_res="",f_res="(Todos)",C746=f_res)),1,0))</f>
        <v>0</v>
      </c>
      <c r="AQ746" s="97" t="str">
        <f>IF(U746=0,"",INDEX('MTRs'!$AZ$6:$AZ$505,T746))</f>
        <v/>
      </c>
      <c r="AR746" s="96">
        <f>IF(U746=0,0,IF(AND(INDEX('MTRs'!$BA$6:$BA$505,T746)=1,Z746=0),1,0))</f>
        <v>0</v>
      </c>
      <c r="AS746" s="96" t="str">
        <f>IF(R746=1,A746&amp;" | MTR "&amp;IF(U746=1,INDEX('MTRs'!$B$6:$B$505,T746)&amp;"","?")&amp;" | "&amp;IF(C746="","(sem resíduo)",C746),"")</f>
        <v/>
      </c>
      <c r="AT746" s="96" t="str">
        <f>IF(R746=1,COUNTIF($R$6:R746,1),"")</f>
        <v/>
      </c>
      <c r="AU746" s="96" t="str">
        <f>IF(U746=1,INDEX('MTRs'!$I$6:$I$505,T746)&amp;"","")</f>
        <v/>
      </c>
    </row>
    <row r="747">
      <c r="A747" s="89" t="inlineStr">
        <is>
          <t>IT-000742</t>
        </is>
      </c>
      <c r="B747" s="91" t="n"/>
      <c r="C747" s="91" t="n"/>
      <c r="D747" s="94" t="str">
        <f>IF(OR(R747=0,V747=0),"",INDEX('CAD_RESÍDUOS'!$E$6:$E$205,MATCH(C747,'CAD_RESÍDUOS'!$B$6:$B$205,0))&amp;"")</f>
        <v/>
      </c>
      <c r="E747" s="94" t="str">
        <f>IF(OR(R747=0,V747=0),"",INDEX('CAD_RESÍDUOS'!$C$6:$C$205,MATCH(C747,'CAD_RESÍDUOS'!$B$6:$B$205,0))&amp;"")</f>
        <v/>
      </c>
      <c r="F747" s="94" t="str">
        <f>IF(OR(R747=0,V747=0),"",INDEX('CAD_RESÍDUOS'!$G$6:$G$205,MATCH(C747,'CAD_RESÍDUOS'!$B$6:$B$205,0))&amp;"")</f>
        <v/>
      </c>
      <c r="G747" s="98" t="n"/>
      <c r="H747" s="91" t="n"/>
      <c r="I747" s="93" t="str">
        <f>IF(R747=0,"",IF(NOT(ISNUMBER(G747)),"",IF(ISNUMBER(X747),G747*X747,"UNIDADE A CONFERIR")))</f>
        <v/>
      </c>
      <c r="J747" s="91" t="n"/>
      <c r="K747" s="91" t="n"/>
      <c r="L747" s="93" t="str">
        <f>IF(R747=0,"",SUMIFS('RECEBIMENTOS'!$H$6:$H$1005,'RECEBIMENTOS'!$R$6:$R$1005,A747,'RECEBIMENTOS'!$X$6:$X$1005,1))</f>
        <v/>
      </c>
      <c r="M747" s="93" t="str">
        <f>IF(R747=0,"",SUMIFS('VÍNCULOS_CDF'!$H$6:$H$1005,'VÍNCULOS_CDF'!$R$6:$R$1005,A747,'VÍNCULOS_CDF'!$V$6:$V$1005,1))</f>
        <v/>
      </c>
      <c r="N747" s="99" t="str">
        <f>IF(OR(R747=0,AA747=0,NOT(ISNUMBER(I747))),"",I747-N(L747))</f>
        <v/>
      </c>
      <c r="O747" s="100" t="str">
        <f>IF(OR(R747=0,AK747&lt;=0),"",N(M747)/AK747)</f>
        <v/>
      </c>
      <c r="P747" s="94" t="str">
        <f>IF(R747=0,"",IF(S747="","Sem MTR associado",IF(U747=0,"MTR inexistente",IF(C747="","Resíduo não identificado",IF(V747=0,"Resíduo fora do cadastro",IF(W747=0,"Quantidade inválida",IF(H747="","Unidade não informada",IF(NOT(ISNUMBER(I747)),"Unidade a conferir",IF(AND(AH747=1,K747&lt;&gt;"Sim"),"Possível duplicidade",IF(Z747=1,"MTR cancelado",IF(AC747&gt;0,"Recebimento com alerta",IF(AA747=0,"Aguardando recebimento",IF(AB747&lt;AA747,"Recebimento a conferir",IF(AM747=1,"Quantidade a revisar",IF(AF747&gt;0,"Vínculo a revisar",IF(AD747=0,"Aguardando CDF",IF(AN747=0,"Vínculo de CDF parcial",IF(AE747&lt;AD747,"CDF a conferir","Documentação conferida"))))))))))))))))))</f>
        <v/>
      </c>
      <c r="Q747" s="93" t="str">
        <f>IF(OR(R747=0,AA747=0),"",MAX(0,N(L747)-N(M747)))</f>
        <v/>
      </c>
      <c r="R747" s="96">
        <f>IF(COUNTA(B747:C747,G747:H747,J747:K747)&gt;0,1,0)</f>
        <v>0</v>
      </c>
      <c r="S747" s="96" t="str">
        <f>IF(B747="","",TRIM(LEFT(B747,FIND(" |",B747&amp;" |")-1)))</f>
        <v/>
      </c>
      <c r="T747" s="96" t="str">
        <f>IF(S747="","",IFERROR(MATCH(S747,'MTRs'!$A$6:$A$505,0),""))</f>
        <v/>
      </c>
      <c r="U747" s="96">
        <f>IF(T747="",0,IF(INDEX('MTRs'!$Z$6:$Z$505,T747)=1,1,0))</f>
        <v>0</v>
      </c>
      <c r="V747" s="96">
        <f>IF(C747="",0,IF(ISNUMBER(MATCH(C747,'CAD_RESÍDUOS'!$B$6:$B$205,0)),1,0))</f>
        <v>0</v>
      </c>
      <c r="W747" s="96">
        <f>IF(AND(ISNUMBER(G747),G747&gt;0),1,0)</f>
        <v>0</v>
      </c>
      <c r="X747" s="96" t="str">
        <f>IF(H747="","",IFERROR(IF(ISNUMBER(INDEX(cfg_fac,MATCH(H747,cfg_units,0))),IF(INDEX(cfg_fac,MATCH(H747,cfg_units,0))&gt;0,INDEX(cfg_fac,MATCH(H747,cfg_units,0)),""),""),""))</f>
        <v/>
      </c>
      <c r="Y747" s="96">
        <f>IF(AND(W747=1,ISNUMBER(I747)),1,0)</f>
        <v>0</v>
      </c>
      <c r="Z747" s="96">
        <f>IF(U747=1,INDEX('MTRs'!$AA$6:$AA$505,T747),0)</f>
        <v>0</v>
      </c>
      <c r="AA747" s="96">
        <f>IF(R747=0,0,COUNTIFS('RECEBIMENTOS'!$R$6:$R$1005,A747,'RECEBIMENTOS'!$Q$6:$Q$1005,1))</f>
        <v>0</v>
      </c>
      <c r="AB747" s="96">
        <f>IF(R747=0,0,COUNTIFS('RECEBIMENTOS'!$R$6:$R$1005,A747,'RECEBIMENTOS'!$Z$6:$Z$1005,1))</f>
        <v>0</v>
      </c>
      <c r="AC747" s="96">
        <f>IF(R747=0,0,COUNTIFS('RECEBIMENTOS'!$R$6:$R$1005,A747,'RECEBIMENTOS'!$Y$6:$Y$1005,1))</f>
        <v>0</v>
      </c>
      <c r="AD747" s="96">
        <f>IF(R747=0,0,COUNTIFS('VÍNCULOS_CDF'!$R$6:$R$1005,A747,'VÍNCULOS_CDF'!$N$6:$N$1005,1))</f>
        <v>0</v>
      </c>
      <c r="AE747" s="96">
        <f>IF(R747=0,0,COUNTIFS('VÍNCULOS_CDF'!$R$6:$R$1005,A747,'VÍNCULOS_CDF'!$AA$6:$AA$1005,1))</f>
        <v>0</v>
      </c>
      <c r="AF747" s="96">
        <f>IF(R747=0,0,COUNTIFS('VÍNCULOS_CDF'!$R$6:$R$1005,A747,'VÍNCULOS_CDF'!$Y$6:$Y$1005,1))</f>
        <v>0</v>
      </c>
      <c r="AG747" s="96" t="str">
        <f>IF(AND(R747=1,S747&lt;&gt;"",C747&lt;&gt;""),S747&amp;"|"&amp;C747&amp;"|"&amp;G747&amp;"|"&amp;H747,"")</f>
        <v/>
      </c>
      <c r="AH747" s="96">
        <f>IF(AG747="",0,IF(SUMPRODUCT(--($AG$6:$AG$1005=AG747))&gt;1,1,0))</f>
        <v>0</v>
      </c>
      <c r="AI747" s="96">
        <f>IF(R747=0,0,IF(OR(U747=0,V747=0,Y747=0,AND(AH747=1,K747&lt;&gt;"Sim")),1,0))</f>
        <v>0</v>
      </c>
      <c r="AJ747" s="96">
        <f>IF(AND(R747=1,AA747&gt;0,AB747=AA747),1,0)</f>
        <v>0</v>
      </c>
      <c r="AK747" s="96">
        <f>IF(R747=0,0,IF(AA747&gt;0,N(L747),IF(ISNUMBER(I747),I747,0)))</f>
        <v>0</v>
      </c>
      <c r="AL747" s="96">
        <f>IF(R747=0,0,IF(AND(K747&lt;&gt;"Sim",N(M747)&gt;AK747+cfg_tol),1,0))</f>
        <v>0</v>
      </c>
      <c r="AM747" s="96">
        <f>IF(R747=0,0,IF(K747="Sim",0,IF(OR(AND(AA747&gt;0,ISNUMBER(I747),ABS(I747-N(L747))&gt;cfg_tol),AL747=1),1,0)))</f>
        <v>0</v>
      </c>
      <c r="AN747" s="96">
        <f>IF(AND(R747=1,N(M747)&gt;0,OR(N(M747)&gt;=AK747-cfg_tol,K747="Sim")),1,0)</f>
        <v>0</v>
      </c>
      <c r="AO747" s="96">
        <f>IF(AND(AN747=1,AD747&gt;0,AE747=AD747,AL747=0),1,0)</f>
        <v>0</v>
      </c>
      <c r="AP747" s="96">
        <f>IF(U747=0,0,IF(AND(INDEX('MTRs'!$AX$6:$AX$505,T747)=1,Z747=0,OR(f_res="",f_res="(Todos)",C747=f_res)),1,0))</f>
        <v>0</v>
      </c>
      <c r="AQ747" s="97" t="str">
        <f>IF(U747=0,"",INDEX('MTRs'!$AZ$6:$AZ$505,T747))</f>
        <v/>
      </c>
      <c r="AR747" s="96">
        <f>IF(U747=0,0,IF(AND(INDEX('MTRs'!$BA$6:$BA$505,T747)=1,Z747=0),1,0))</f>
        <v>0</v>
      </c>
      <c r="AS747" s="96" t="str">
        <f>IF(R747=1,A747&amp;" | MTR "&amp;IF(U747=1,INDEX('MTRs'!$B$6:$B$505,T747)&amp;"","?")&amp;" | "&amp;IF(C747="","(sem resíduo)",C747),"")</f>
        <v/>
      </c>
      <c r="AT747" s="96" t="str">
        <f>IF(R747=1,COUNTIF($R$6:R747,1),"")</f>
        <v/>
      </c>
      <c r="AU747" s="96" t="str">
        <f>IF(U747=1,INDEX('MTRs'!$I$6:$I$505,T747)&amp;"","")</f>
        <v/>
      </c>
    </row>
    <row r="748">
      <c r="A748" s="89" t="inlineStr">
        <is>
          <t>IT-000743</t>
        </is>
      </c>
      <c r="B748" s="91" t="n"/>
      <c r="C748" s="91" t="n"/>
      <c r="D748" s="94" t="str">
        <f>IF(OR(R748=0,V748=0),"",INDEX('CAD_RESÍDUOS'!$E$6:$E$205,MATCH(C748,'CAD_RESÍDUOS'!$B$6:$B$205,0))&amp;"")</f>
        <v/>
      </c>
      <c r="E748" s="94" t="str">
        <f>IF(OR(R748=0,V748=0),"",INDEX('CAD_RESÍDUOS'!$C$6:$C$205,MATCH(C748,'CAD_RESÍDUOS'!$B$6:$B$205,0))&amp;"")</f>
        <v/>
      </c>
      <c r="F748" s="94" t="str">
        <f>IF(OR(R748=0,V748=0),"",INDEX('CAD_RESÍDUOS'!$G$6:$G$205,MATCH(C748,'CAD_RESÍDUOS'!$B$6:$B$205,0))&amp;"")</f>
        <v/>
      </c>
      <c r="G748" s="98" t="n"/>
      <c r="H748" s="91" t="n"/>
      <c r="I748" s="93" t="str">
        <f>IF(R748=0,"",IF(NOT(ISNUMBER(G748)),"",IF(ISNUMBER(X748),G748*X748,"UNIDADE A CONFERIR")))</f>
        <v/>
      </c>
      <c r="J748" s="91" t="n"/>
      <c r="K748" s="91" t="n"/>
      <c r="L748" s="93" t="str">
        <f>IF(R748=0,"",SUMIFS('RECEBIMENTOS'!$H$6:$H$1005,'RECEBIMENTOS'!$R$6:$R$1005,A748,'RECEBIMENTOS'!$X$6:$X$1005,1))</f>
        <v/>
      </c>
      <c r="M748" s="93" t="str">
        <f>IF(R748=0,"",SUMIFS('VÍNCULOS_CDF'!$H$6:$H$1005,'VÍNCULOS_CDF'!$R$6:$R$1005,A748,'VÍNCULOS_CDF'!$V$6:$V$1005,1))</f>
        <v/>
      </c>
      <c r="N748" s="99" t="str">
        <f>IF(OR(R748=0,AA748=0,NOT(ISNUMBER(I748))),"",I748-N(L748))</f>
        <v/>
      </c>
      <c r="O748" s="100" t="str">
        <f>IF(OR(R748=0,AK748&lt;=0),"",N(M748)/AK748)</f>
        <v/>
      </c>
      <c r="P748" s="94" t="str">
        <f>IF(R748=0,"",IF(S748="","Sem MTR associado",IF(U748=0,"MTR inexistente",IF(C748="","Resíduo não identificado",IF(V748=0,"Resíduo fora do cadastro",IF(W748=0,"Quantidade inválida",IF(H748="","Unidade não informada",IF(NOT(ISNUMBER(I748)),"Unidade a conferir",IF(AND(AH748=1,K748&lt;&gt;"Sim"),"Possível duplicidade",IF(Z748=1,"MTR cancelado",IF(AC748&gt;0,"Recebimento com alerta",IF(AA748=0,"Aguardando recebimento",IF(AB748&lt;AA748,"Recebimento a conferir",IF(AM748=1,"Quantidade a revisar",IF(AF748&gt;0,"Vínculo a revisar",IF(AD748=0,"Aguardando CDF",IF(AN748=0,"Vínculo de CDF parcial",IF(AE748&lt;AD748,"CDF a conferir","Documentação conferida"))))))))))))))))))</f>
        <v/>
      </c>
      <c r="Q748" s="93" t="str">
        <f>IF(OR(R748=0,AA748=0),"",MAX(0,N(L748)-N(M748)))</f>
        <v/>
      </c>
      <c r="R748" s="96">
        <f>IF(COUNTA(B748:C748,G748:H748,J748:K748)&gt;0,1,0)</f>
        <v>0</v>
      </c>
      <c r="S748" s="96" t="str">
        <f>IF(B748="","",TRIM(LEFT(B748,FIND(" |",B748&amp;" |")-1)))</f>
        <v/>
      </c>
      <c r="T748" s="96" t="str">
        <f>IF(S748="","",IFERROR(MATCH(S748,'MTRs'!$A$6:$A$505,0),""))</f>
        <v/>
      </c>
      <c r="U748" s="96">
        <f>IF(T748="",0,IF(INDEX('MTRs'!$Z$6:$Z$505,T748)=1,1,0))</f>
        <v>0</v>
      </c>
      <c r="V748" s="96">
        <f>IF(C748="",0,IF(ISNUMBER(MATCH(C748,'CAD_RESÍDUOS'!$B$6:$B$205,0)),1,0))</f>
        <v>0</v>
      </c>
      <c r="W748" s="96">
        <f>IF(AND(ISNUMBER(G748),G748&gt;0),1,0)</f>
        <v>0</v>
      </c>
      <c r="X748" s="96" t="str">
        <f>IF(H748="","",IFERROR(IF(ISNUMBER(INDEX(cfg_fac,MATCH(H748,cfg_units,0))),IF(INDEX(cfg_fac,MATCH(H748,cfg_units,0))&gt;0,INDEX(cfg_fac,MATCH(H748,cfg_units,0)),""),""),""))</f>
        <v/>
      </c>
      <c r="Y748" s="96">
        <f>IF(AND(W748=1,ISNUMBER(I748)),1,0)</f>
        <v>0</v>
      </c>
      <c r="Z748" s="96">
        <f>IF(U748=1,INDEX('MTRs'!$AA$6:$AA$505,T748),0)</f>
        <v>0</v>
      </c>
      <c r="AA748" s="96">
        <f>IF(R748=0,0,COUNTIFS('RECEBIMENTOS'!$R$6:$R$1005,A748,'RECEBIMENTOS'!$Q$6:$Q$1005,1))</f>
        <v>0</v>
      </c>
      <c r="AB748" s="96">
        <f>IF(R748=0,0,COUNTIFS('RECEBIMENTOS'!$R$6:$R$1005,A748,'RECEBIMENTOS'!$Z$6:$Z$1005,1))</f>
        <v>0</v>
      </c>
      <c r="AC748" s="96">
        <f>IF(R748=0,0,COUNTIFS('RECEBIMENTOS'!$R$6:$R$1005,A748,'RECEBIMENTOS'!$Y$6:$Y$1005,1))</f>
        <v>0</v>
      </c>
      <c r="AD748" s="96">
        <f>IF(R748=0,0,COUNTIFS('VÍNCULOS_CDF'!$R$6:$R$1005,A748,'VÍNCULOS_CDF'!$N$6:$N$1005,1))</f>
        <v>0</v>
      </c>
      <c r="AE748" s="96">
        <f>IF(R748=0,0,COUNTIFS('VÍNCULOS_CDF'!$R$6:$R$1005,A748,'VÍNCULOS_CDF'!$AA$6:$AA$1005,1))</f>
        <v>0</v>
      </c>
      <c r="AF748" s="96">
        <f>IF(R748=0,0,COUNTIFS('VÍNCULOS_CDF'!$R$6:$R$1005,A748,'VÍNCULOS_CDF'!$Y$6:$Y$1005,1))</f>
        <v>0</v>
      </c>
      <c r="AG748" s="96" t="str">
        <f>IF(AND(R748=1,S748&lt;&gt;"",C748&lt;&gt;""),S748&amp;"|"&amp;C748&amp;"|"&amp;G748&amp;"|"&amp;H748,"")</f>
        <v/>
      </c>
      <c r="AH748" s="96">
        <f>IF(AG748="",0,IF(SUMPRODUCT(--($AG$6:$AG$1005=AG748))&gt;1,1,0))</f>
        <v>0</v>
      </c>
      <c r="AI748" s="96">
        <f>IF(R748=0,0,IF(OR(U748=0,V748=0,Y748=0,AND(AH748=1,K748&lt;&gt;"Sim")),1,0))</f>
        <v>0</v>
      </c>
      <c r="AJ748" s="96">
        <f>IF(AND(R748=1,AA748&gt;0,AB748=AA748),1,0)</f>
        <v>0</v>
      </c>
      <c r="AK748" s="96">
        <f>IF(R748=0,0,IF(AA748&gt;0,N(L748),IF(ISNUMBER(I748),I748,0)))</f>
        <v>0</v>
      </c>
      <c r="AL748" s="96">
        <f>IF(R748=0,0,IF(AND(K748&lt;&gt;"Sim",N(M748)&gt;AK748+cfg_tol),1,0))</f>
        <v>0</v>
      </c>
      <c r="AM748" s="96">
        <f>IF(R748=0,0,IF(K748="Sim",0,IF(OR(AND(AA748&gt;0,ISNUMBER(I748),ABS(I748-N(L748))&gt;cfg_tol),AL748=1),1,0)))</f>
        <v>0</v>
      </c>
      <c r="AN748" s="96">
        <f>IF(AND(R748=1,N(M748)&gt;0,OR(N(M748)&gt;=AK748-cfg_tol,K748="Sim")),1,0)</f>
        <v>0</v>
      </c>
      <c r="AO748" s="96">
        <f>IF(AND(AN748=1,AD748&gt;0,AE748=AD748,AL748=0),1,0)</f>
        <v>0</v>
      </c>
      <c r="AP748" s="96">
        <f>IF(U748=0,0,IF(AND(INDEX('MTRs'!$AX$6:$AX$505,T748)=1,Z748=0,OR(f_res="",f_res="(Todos)",C748=f_res)),1,0))</f>
        <v>0</v>
      </c>
      <c r="AQ748" s="97" t="str">
        <f>IF(U748=0,"",INDEX('MTRs'!$AZ$6:$AZ$505,T748))</f>
        <v/>
      </c>
      <c r="AR748" s="96">
        <f>IF(U748=0,0,IF(AND(INDEX('MTRs'!$BA$6:$BA$505,T748)=1,Z748=0),1,0))</f>
        <v>0</v>
      </c>
      <c r="AS748" s="96" t="str">
        <f>IF(R748=1,A748&amp;" | MTR "&amp;IF(U748=1,INDEX('MTRs'!$B$6:$B$505,T748)&amp;"","?")&amp;" | "&amp;IF(C748="","(sem resíduo)",C748),"")</f>
        <v/>
      </c>
      <c r="AT748" s="96" t="str">
        <f>IF(R748=1,COUNTIF($R$6:R748,1),"")</f>
        <v/>
      </c>
      <c r="AU748" s="96" t="str">
        <f>IF(U748=1,INDEX('MTRs'!$I$6:$I$505,T748)&amp;"","")</f>
        <v/>
      </c>
    </row>
    <row r="749">
      <c r="A749" s="89" t="inlineStr">
        <is>
          <t>IT-000744</t>
        </is>
      </c>
      <c r="B749" s="91" t="n"/>
      <c r="C749" s="91" t="n"/>
      <c r="D749" s="94" t="str">
        <f>IF(OR(R749=0,V749=0),"",INDEX('CAD_RESÍDUOS'!$E$6:$E$205,MATCH(C749,'CAD_RESÍDUOS'!$B$6:$B$205,0))&amp;"")</f>
        <v/>
      </c>
      <c r="E749" s="94" t="str">
        <f>IF(OR(R749=0,V749=0),"",INDEX('CAD_RESÍDUOS'!$C$6:$C$205,MATCH(C749,'CAD_RESÍDUOS'!$B$6:$B$205,0))&amp;"")</f>
        <v/>
      </c>
      <c r="F749" s="94" t="str">
        <f>IF(OR(R749=0,V749=0),"",INDEX('CAD_RESÍDUOS'!$G$6:$G$205,MATCH(C749,'CAD_RESÍDUOS'!$B$6:$B$205,0))&amp;"")</f>
        <v/>
      </c>
      <c r="G749" s="98" t="n"/>
      <c r="H749" s="91" t="n"/>
      <c r="I749" s="93" t="str">
        <f>IF(R749=0,"",IF(NOT(ISNUMBER(G749)),"",IF(ISNUMBER(X749),G749*X749,"UNIDADE A CONFERIR")))</f>
        <v/>
      </c>
      <c r="J749" s="91" t="n"/>
      <c r="K749" s="91" t="n"/>
      <c r="L749" s="93" t="str">
        <f>IF(R749=0,"",SUMIFS('RECEBIMENTOS'!$H$6:$H$1005,'RECEBIMENTOS'!$R$6:$R$1005,A749,'RECEBIMENTOS'!$X$6:$X$1005,1))</f>
        <v/>
      </c>
      <c r="M749" s="93" t="str">
        <f>IF(R749=0,"",SUMIFS('VÍNCULOS_CDF'!$H$6:$H$1005,'VÍNCULOS_CDF'!$R$6:$R$1005,A749,'VÍNCULOS_CDF'!$V$6:$V$1005,1))</f>
        <v/>
      </c>
      <c r="N749" s="99" t="str">
        <f>IF(OR(R749=0,AA749=0,NOT(ISNUMBER(I749))),"",I749-N(L749))</f>
        <v/>
      </c>
      <c r="O749" s="100" t="str">
        <f>IF(OR(R749=0,AK749&lt;=0),"",N(M749)/AK749)</f>
        <v/>
      </c>
      <c r="P749" s="94" t="str">
        <f>IF(R749=0,"",IF(S749="","Sem MTR associado",IF(U749=0,"MTR inexistente",IF(C749="","Resíduo não identificado",IF(V749=0,"Resíduo fora do cadastro",IF(W749=0,"Quantidade inválida",IF(H749="","Unidade não informada",IF(NOT(ISNUMBER(I749)),"Unidade a conferir",IF(AND(AH749=1,K749&lt;&gt;"Sim"),"Possível duplicidade",IF(Z749=1,"MTR cancelado",IF(AC749&gt;0,"Recebimento com alerta",IF(AA749=0,"Aguardando recebimento",IF(AB749&lt;AA749,"Recebimento a conferir",IF(AM749=1,"Quantidade a revisar",IF(AF749&gt;0,"Vínculo a revisar",IF(AD749=0,"Aguardando CDF",IF(AN749=0,"Vínculo de CDF parcial",IF(AE749&lt;AD749,"CDF a conferir","Documentação conferida"))))))))))))))))))</f>
        <v/>
      </c>
      <c r="Q749" s="93" t="str">
        <f>IF(OR(R749=0,AA749=0),"",MAX(0,N(L749)-N(M749)))</f>
        <v/>
      </c>
      <c r="R749" s="96">
        <f>IF(COUNTA(B749:C749,G749:H749,J749:K749)&gt;0,1,0)</f>
        <v>0</v>
      </c>
      <c r="S749" s="96" t="str">
        <f>IF(B749="","",TRIM(LEFT(B749,FIND(" |",B749&amp;" |")-1)))</f>
        <v/>
      </c>
      <c r="T749" s="96" t="str">
        <f>IF(S749="","",IFERROR(MATCH(S749,'MTRs'!$A$6:$A$505,0),""))</f>
        <v/>
      </c>
      <c r="U749" s="96">
        <f>IF(T749="",0,IF(INDEX('MTRs'!$Z$6:$Z$505,T749)=1,1,0))</f>
        <v>0</v>
      </c>
      <c r="V749" s="96">
        <f>IF(C749="",0,IF(ISNUMBER(MATCH(C749,'CAD_RESÍDUOS'!$B$6:$B$205,0)),1,0))</f>
        <v>0</v>
      </c>
      <c r="W749" s="96">
        <f>IF(AND(ISNUMBER(G749),G749&gt;0),1,0)</f>
        <v>0</v>
      </c>
      <c r="X749" s="96" t="str">
        <f>IF(H749="","",IFERROR(IF(ISNUMBER(INDEX(cfg_fac,MATCH(H749,cfg_units,0))),IF(INDEX(cfg_fac,MATCH(H749,cfg_units,0))&gt;0,INDEX(cfg_fac,MATCH(H749,cfg_units,0)),""),""),""))</f>
        <v/>
      </c>
      <c r="Y749" s="96">
        <f>IF(AND(W749=1,ISNUMBER(I749)),1,0)</f>
        <v>0</v>
      </c>
      <c r="Z749" s="96">
        <f>IF(U749=1,INDEX('MTRs'!$AA$6:$AA$505,T749),0)</f>
        <v>0</v>
      </c>
      <c r="AA749" s="96">
        <f>IF(R749=0,0,COUNTIFS('RECEBIMENTOS'!$R$6:$R$1005,A749,'RECEBIMENTOS'!$Q$6:$Q$1005,1))</f>
        <v>0</v>
      </c>
      <c r="AB749" s="96">
        <f>IF(R749=0,0,COUNTIFS('RECEBIMENTOS'!$R$6:$R$1005,A749,'RECEBIMENTOS'!$Z$6:$Z$1005,1))</f>
        <v>0</v>
      </c>
      <c r="AC749" s="96">
        <f>IF(R749=0,0,COUNTIFS('RECEBIMENTOS'!$R$6:$R$1005,A749,'RECEBIMENTOS'!$Y$6:$Y$1005,1))</f>
        <v>0</v>
      </c>
      <c r="AD749" s="96">
        <f>IF(R749=0,0,COUNTIFS('VÍNCULOS_CDF'!$R$6:$R$1005,A749,'VÍNCULOS_CDF'!$N$6:$N$1005,1))</f>
        <v>0</v>
      </c>
      <c r="AE749" s="96">
        <f>IF(R749=0,0,COUNTIFS('VÍNCULOS_CDF'!$R$6:$R$1005,A749,'VÍNCULOS_CDF'!$AA$6:$AA$1005,1))</f>
        <v>0</v>
      </c>
      <c r="AF749" s="96">
        <f>IF(R749=0,0,COUNTIFS('VÍNCULOS_CDF'!$R$6:$R$1005,A749,'VÍNCULOS_CDF'!$Y$6:$Y$1005,1))</f>
        <v>0</v>
      </c>
      <c r="AG749" s="96" t="str">
        <f>IF(AND(R749=1,S749&lt;&gt;"",C749&lt;&gt;""),S749&amp;"|"&amp;C749&amp;"|"&amp;G749&amp;"|"&amp;H749,"")</f>
        <v/>
      </c>
      <c r="AH749" s="96">
        <f>IF(AG749="",0,IF(SUMPRODUCT(--($AG$6:$AG$1005=AG749))&gt;1,1,0))</f>
        <v>0</v>
      </c>
      <c r="AI749" s="96">
        <f>IF(R749=0,0,IF(OR(U749=0,V749=0,Y749=0,AND(AH749=1,K749&lt;&gt;"Sim")),1,0))</f>
        <v>0</v>
      </c>
      <c r="AJ749" s="96">
        <f>IF(AND(R749=1,AA749&gt;0,AB749=AA749),1,0)</f>
        <v>0</v>
      </c>
      <c r="AK749" s="96">
        <f>IF(R749=0,0,IF(AA749&gt;0,N(L749),IF(ISNUMBER(I749),I749,0)))</f>
        <v>0</v>
      </c>
      <c r="AL749" s="96">
        <f>IF(R749=0,0,IF(AND(K749&lt;&gt;"Sim",N(M749)&gt;AK749+cfg_tol),1,0))</f>
        <v>0</v>
      </c>
      <c r="AM749" s="96">
        <f>IF(R749=0,0,IF(K749="Sim",0,IF(OR(AND(AA749&gt;0,ISNUMBER(I749),ABS(I749-N(L749))&gt;cfg_tol),AL749=1),1,0)))</f>
        <v>0</v>
      </c>
      <c r="AN749" s="96">
        <f>IF(AND(R749=1,N(M749)&gt;0,OR(N(M749)&gt;=AK749-cfg_tol,K749="Sim")),1,0)</f>
        <v>0</v>
      </c>
      <c r="AO749" s="96">
        <f>IF(AND(AN749=1,AD749&gt;0,AE749=AD749,AL749=0),1,0)</f>
        <v>0</v>
      </c>
      <c r="AP749" s="96">
        <f>IF(U749=0,0,IF(AND(INDEX('MTRs'!$AX$6:$AX$505,T749)=1,Z749=0,OR(f_res="",f_res="(Todos)",C749=f_res)),1,0))</f>
        <v>0</v>
      </c>
      <c r="AQ749" s="97" t="str">
        <f>IF(U749=0,"",INDEX('MTRs'!$AZ$6:$AZ$505,T749))</f>
        <v/>
      </c>
      <c r="AR749" s="96">
        <f>IF(U749=0,0,IF(AND(INDEX('MTRs'!$BA$6:$BA$505,T749)=1,Z749=0),1,0))</f>
        <v>0</v>
      </c>
      <c r="AS749" s="96" t="str">
        <f>IF(R749=1,A749&amp;" | MTR "&amp;IF(U749=1,INDEX('MTRs'!$B$6:$B$505,T749)&amp;"","?")&amp;" | "&amp;IF(C749="","(sem resíduo)",C749),"")</f>
        <v/>
      </c>
      <c r="AT749" s="96" t="str">
        <f>IF(R749=1,COUNTIF($R$6:R749,1),"")</f>
        <v/>
      </c>
      <c r="AU749" s="96" t="str">
        <f>IF(U749=1,INDEX('MTRs'!$I$6:$I$505,T749)&amp;"","")</f>
        <v/>
      </c>
    </row>
    <row r="750">
      <c r="A750" s="89" t="inlineStr">
        <is>
          <t>IT-000745</t>
        </is>
      </c>
      <c r="B750" s="91" t="n"/>
      <c r="C750" s="91" t="n"/>
      <c r="D750" s="94" t="str">
        <f>IF(OR(R750=0,V750=0),"",INDEX('CAD_RESÍDUOS'!$E$6:$E$205,MATCH(C750,'CAD_RESÍDUOS'!$B$6:$B$205,0))&amp;"")</f>
        <v/>
      </c>
      <c r="E750" s="94" t="str">
        <f>IF(OR(R750=0,V750=0),"",INDEX('CAD_RESÍDUOS'!$C$6:$C$205,MATCH(C750,'CAD_RESÍDUOS'!$B$6:$B$205,0))&amp;"")</f>
        <v/>
      </c>
      <c r="F750" s="94" t="str">
        <f>IF(OR(R750=0,V750=0),"",INDEX('CAD_RESÍDUOS'!$G$6:$G$205,MATCH(C750,'CAD_RESÍDUOS'!$B$6:$B$205,0))&amp;"")</f>
        <v/>
      </c>
      <c r="G750" s="98" t="n"/>
      <c r="H750" s="91" t="n"/>
      <c r="I750" s="93" t="str">
        <f>IF(R750=0,"",IF(NOT(ISNUMBER(G750)),"",IF(ISNUMBER(X750),G750*X750,"UNIDADE A CONFERIR")))</f>
        <v/>
      </c>
      <c r="J750" s="91" t="n"/>
      <c r="K750" s="91" t="n"/>
      <c r="L750" s="93" t="str">
        <f>IF(R750=0,"",SUMIFS('RECEBIMENTOS'!$H$6:$H$1005,'RECEBIMENTOS'!$R$6:$R$1005,A750,'RECEBIMENTOS'!$X$6:$X$1005,1))</f>
        <v/>
      </c>
      <c r="M750" s="93" t="str">
        <f>IF(R750=0,"",SUMIFS('VÍNCULOS_CDF'!$H$6:$H$1005,'VÍNCULOS_CDF'!$R$6:$R$1005,A750,'VÍNCULOS_CDF'!$V$6:$V$1005,1))</f>
        <v/>
      </c>
      <c r="N750" s="99" t="str">
        <f>IF(OR(R750=0,AA750=0,NOT(ISNUMBER(I750))),"",I750-N(L750))</f>
        <v/>
      </c>
      <c r="O750" s="100" t="str">
        <f>IF(OR(R750=0,AK750&lt;=0),"",N(M750)/AK750)</f>
        <v/>
      </c>
      <c r="P750" s="94" t="str">
        <f>IF(R750=0,"",IF(S750="","Sem MTR associado",IF(U750=0,"MTR inexistente",IF(C750="","Resíduo não identificado",IF(V750=0,"Resíduo fora do cadastro",IF(W750=0,"Quantidade inválida",IF(H750="","Unidade não informada",IF(NOT(ISNUMBER(I750)),"Unidade a conferir",IF(AND(AH750=1,K750&lt;&gt;"Sim"),"Possível duplicidade",IF(Z750=1,"MTR cancelado",IF(AC750&gt;0,"Recebimento com alerta",IF(AA750=0,"Aguardando recebimento",IF(AB750&lt;AA750,"Recebimento a conferir",IF(AM750=1,"Quantidade a revisar",IF(AF750&gt;0,"Vínculo a revisar",IF(AD750=0,"Aguardando CDF",IF(AN750=0,"Vínculo de CDF parcial",IF(AE750&lt;AD750,"CDF a conferir","Documentação conferida"))))))))))))))))))</f>
        <v/>
      </c>
      <c r="Q750" s="93" t="str">
        <f>IF(OR(R750=0,AA750=0),"",MAX(0,N(L750)-N(M750)))</f>
        <v/>
      </c>
      <c r="R750" s="96">
        <f>IF(COUNTA(B750:C750,G750:H750,J750:K750)&gt;0,1,0)</f>
        <v>0</v>
      </c>
      <c r="S750" s="96" t="str">
        <f>IF(B750="","",TRIM(LEFT(B750,FIND(" |",B750&amp;" |")-1)))</f>
        <v/>
      </c>
      <c r="T750" s="96" t="str">
        <f>IF(S750="","",IFERROR(MATCH(S750,'MTRs'!$A$6:$A$505,0),""))</f>
        <v/>
      </c>
      <c r="U750" s="96">
        <f>IF(T750="",0,IF(INDEX('MTRs'!$Z$6:$Z$505,T750)=1,1,0))</f>
        <v>0</v>
      </c>
      <c r="V750" s="96">
        <f>IF(C750="",0,IF(ISNUMBER(MATCH(C750,'CAD_RESÍDUOS'!$B$6:$B$205,0)),1,0))</f>
        <v>0</v>
      </c>
      <c r="W750" s="96">
        <f>IF(AND(ISNUMBER(G750),G750&gt;0),1,0)</f>
        <v>0</v>
      </c>
      <c r="X750" s="96" t="str">
        <f>IF(H750="","",IFERROR(IF(ISNUMBER(INDEX(cfg_fac,MATCH(H750,cfg_units,0))),IF(INDEX(cfg_fac,MATCH(H750,cfg_units,0))&gt;0,INDEX(cfg_fac,MATCH(H750,cfg_units,0)),""),""),""))</f>
        <v/>
      </c>
      <c r="Y750" s="96">
        <f>IF(AND(W750=1,ISNUMBER(I750)),1,0)</f>
        <v>0</v>
      </c>
      <c r="Z750" s="96">
        <f>IF(U750=1,INDEX('MTRs'!$AA$6:$AA$505,T750),0)</f>
        <v>0</v>
      </c>
      <c r="AA750" s="96">
        <f>IF(R750=0,0,COUNTIFS('RECEBIMENTOS'!$R$6:$R$1005,A750,'RECEBIMENTOS'!$Q$6:$Q$1005,1))</f>
        <v>0</v>
      </c>
      <c r="AB750" s="96">
        <f>IF(R750=0,0,COUNTIFS('RECEBIMENTOS'!$R$6:$R$1005,A750,'RECEBIMENTOS'!$Z$6:$Z$1005,1))</f>
        <v>0</v>
      </c>
      <c r="AC750" s="96">
        <f>IF(R750=0,0,COUNTIFS('RECEBIMENTOS'!$R$6:$R$1005,A750,'RECEBIMENTOS'!$Y$6:$Y$1005,1))</f>
        <v>0</v>
      </c>
      <c r="AD750" s="96">
        <f>IF(R750=0,0,COUNTIFS('VÍNCULOS_CDF'!$R$6:$R$1005,A750,'VÍNCULOS_CDF'!$N$6:$N$1005,1))</f>
        <v>0</v>
      </c>
      <c r="AE750" s="96">
        <f>IF(R750=0,0,COUNTIFS('VÍNCULOS_CDF'!$R$6:$R$1005,A750,'VÍNCULOS_CDF'!$AA$6:$AA$1005,1))</f>
        <v>0</v>
      </c>
      <c r="AF750" s="96">
        <f>IF(R750=0,0,COUNTIFS('VÍNCULOS_CDF'!$R$6:$R$1005,A750,'VÍNCULOS_CDF'!$Y$6:$Y$1005,1))</f>
        <v>0</v>
      </c>
      <c r="AG750" s="96" t="str">
        <f>IF(AND(R750=1,S750&lt;&gt;"",C750&lt;&gt;""),S750&amp;"|"&amp;C750&amp;"|"&amp;G750&amp;"|"&amp;H750,"")</f>
        <v/>
      </c>
      <c r="AH750" s="96">
        <f>IF(AG750="",0,IF(SUMPRODUCT(--($AG$6:$AG$1005=AG750))&gt;1,1,0))</f>
        <v>0</v>
      </c>
      <c r="AI750" s="96">
        <f>IF(R750=0,0,IF(OR(U750=0,V750=0,Y750=0,AND(AH750=1,K750&lt;&gt;"Sim")),1,0))</f>
        <v>0</v>
      </c>
      <c r="AJ750" s="96">
        <f>IF(AND(R750=1,AA750&gt;0,AB750=AA750),1,0)</f>
        <v>0</v>
      </c>
      <c r="AK750" s="96">
        <f>IF(R750=0,0,IF(AA750&gt;0,N(L750),IF(ISNUMBER(I750),I750,0)))</f>
        <v>0</v>
      </c>
      <c r="AL750" s="96">
        <f>IF(R750=0,0,IF(AND(K750&lt;&gt;"Sim",N(M750)&gt;AK750+cfg_tol),1,0))</f>
        <v>0</v>
      </c>
      <c r="AM750" s="96">
        <f>IF(R750=0,0,IF(K750="Sim",0,IF(OR(AND(AA750&gt;0,ISNUMBER(I750),ABS(I750-N(L750))&gt;cfg_tol),AL750=1),1,0)))</f>
        <v>0</v>
      </c>
      <c r="AN750" s="96">
        <f>IF(AND(R750=1,N(M750)&gt;0,OR(N(M750)&gt;=AK750-cfg_tol,K750="Sim")),1,0)</f>
        <v>0</v>
      </c>
      <c r="AO750" s="96">
        <f>IF(AND(AN750=1,AD750&gt;0,AE750=AD750,AL750=0),1,0)</f>
        <v>0</v>
      </c>
      <c r="AP750" s="96">
        <f>IF(U750=0,0,IF(AND(INDEX('MTRs'!$AX$6:$AX$505,T750)=1,Z750=0,OR(f_res="",f_res="(Todos)",C750=f_res)),1,0))</f>
        <v>0</v>
      </c>
      <c r="AQ750" s="97" t="str">
        <f>IF(U750=0,"",INDEX('MTRs'!$AZ$6:$AZ$505,T750))</f>
        <v/>
      </c>
      <c r="AR750" s="96">
        <f>IF(U750=0,0,IF(AND(INDEX('MTRs'!$BA$6:$BA$505,T750)=1,Z750=0),1,0))</f>
        <v>0</v>
      </c>
      <c r="AS750" s="96" t="str">
        <f>IF(R750=1,A750&amp;" | MTR "&amp;IF(U750=1,INDEX('MTRs'!$B$6:$B$505,T750)&amp;"","?")&amp;" | "&amp;IF(C750="","(sem resíduo)",C750),"")</f>
        <v/>
      </c>
      <c r="AT750" s="96" t="str">
        <f>IF(R750=1,COUNTIF($R$6:R750,1),"")</f>
        <v/>
      </c>
      <c r="AU750" s="96" t="str">
        <f>IF(U750=1,INDEX('MTRs'!$I$6:$I$505,T750)&amp;"","")</f>
        <v/>
      </c>
    </row>
    <row r="751">
      <c r="A751" s="89" t="inlineStr">
        <is>
          <t>IT-000746</t>
        </is>
      </c>
      <c r="B751" s="91" t="n"/>
      <c r="C751" s="91" t="n"/>
      <c r="D751" s="94" t="str">
        <f>IF(OR(R751=0,V751=0),"",INDEX('CAD_RESÍDUOS'!$E$6:$E$205,MATCH(C751,'CAD_RESÍDUOS'!$B$6:$B$205,0))&amp;"")</f>
        <v/>
      </c>
      <c r="E751" s="94" t="str">
        <f>IF(OR(R751=0,V751=0),"",INDEX('CAD_RESÍDUOS'!$C$6:$C$205,MATCH(C751,'CAD_RESÍDUOS'!$B$6:$B$205,0))&amp;"")</f>
        <v/>
      </c>
      <c r="F751" s="94" t="str">
        <f>IF(OR(R751=0,V751=0),"",INDEX('CAD_RESÍDUOS'!$G$6:$G$205,MATCH(C751,'CAD_RESÍDUOS'!$B$6:$B$205,0))&amp;"")</f>
        <v/>
      </c>
      <c r="G751" s="98" t="n"/>
      <c r="H751" s="91" t="n"/>
      <c r="I751" s="93" t="str">
        <f>IF(R751=0,"",IF(NOT(ISNUMBER(G751)),"",IF(ISNUMBER(X751),G751*X751,"UNIDADE A CONFERIR")))</f>
        <v/>
      </c>
      <c r="J751" s="91" t="n"/>
      <c r="K751" s="91" t="n"/>
      <c r="L751" s="93" t="str">
        <f>IF(R751=0,"",SUMIFS('RECEBIMENTOS'!$H$6:$H$1005,'RECEBIMENTOS'!$R$6:$R$1005,A751,'RECEBIMENTOS'!$X$6:$X$1005,1))</f>
        <v/>
      </c>
      <c r="M751" s="93" t="str">
        <f>IF(R751=0,"",SUMIFS('VÍNCULOS_CDF'!$H$6:$H$1005,'VÍNCULOS_CDF'!$R$6:$R$1005,A751,'VÍNCULOS_CDF'!$V$6:$V$1005,1))</f>
        <v/>
      </c>
      <c r="N751" s="99" t="str">
        <f>IF(OR(R751=0,AA751=0,NOT(ISNUMBER(I751))),"",I751-N(L751))</f>
        <v/>
      </c>
      <c r="O751" s="100" t="str">
        <f>IF(OR(R751=0,AK751&lt;=0),"",N(M751)/AK751)</f>
        <v/>
      </c>
      <c r="P751" s="94" t="str">
        <f>IF(R751=0,"",IF(S751="","Sem MTR associado",IF(U751=0,"MTR inexistente",IF(C751="","Resíduo não identificado",IF(V751=0,"Resíduo fora do cadastro",IF(W751=0,"Quantidade inválida",IF(H751="","Unidade não informada",IF(NOT(ISNUMBER(I751)),"Unidade a conferir",IF(AND(AH751=1,K751&lt;&gt;"Sim"),"Possível duplicidade",IF(Z751=1,"MTR cancelado",IF(AC751&gt;0,"Recebimento com alerta",IF(AA751=0,"Aguardando recebimento",IF(AB751&lt;AA751,"Recebimento a conferir",IF(AM751=1,"Quantidade a revisar",IF(AF751&gt;0,"Vínculo a revisar",IF(AD751=0,"Aguardando CDF",IF(AN751=0,"Vínculo de CDF parcial",IF(AE751&lt;AD751,"CDF a conferir","Documentação conferida"))))))))))))))))))</f>
        <v/>
      </c>
      <c r="Q751" s="93" t="str">
        <f>IF(OR(R751=0,AA751=0),"",MAX(0,N(L751)-N(M751)))</f>
        <v/>
      </c>
      <c r="R751" s="96">
        <f>IF(COUNTA(B751:C751,G751:H751,J751:K751)&gt;0,1,0)</f>
        <v>0</v>
      </c>
      <c r="S751" s="96" t="str">
        <f>IF(B751="","",TRIM(LEFT(B751,FIND(" |",B751&amp;" |")-1)))</f>
        <v/>
      </c>
      <c r="T751" s="96" t="str">
        <f>IF(S751="","",IFERROR(MATCH(S751,'MTRs'!$A$6:$A$505,0),""))</f>
        <v/>
      </c>
      <c r="U751" s="96">
        <f>IF(T751="",0,IF(INDEX('MTRs'!$Z$6:$Z$505,T751)=1,1,0))</f>
        <v>0</v>
      </c>
      <c r="V751" s="96">
        <f>IF(C751="",0,IF(ISNUMBER(MATCH(C751,'CAD_RESÍDUOS'!$B$6:$B$205,0)),1,0))</f>
        <v>0</v>
      </c>
      <c r="W751" s="96">
        <f>IF(AND(ISNUMBER(G751),G751&gt;0),1,0)</f>
        <v>0</v>
      </c>
      <c r="X751" s="96" t="str">
        <f>IF(H751="","",IFERROR(IF(ISNUMBER(INDEX(cfg_fac,MATCH(H751,cfg_units,0))),IF(INDEX(cfg_fac,MATCH(H751,cfg_units,0))&gt;0,INDEX(cfg_fac,MATCH(H751,cfg_units,0)),""),""),""))</f>
        <v/>
      </c>
      <c r="Y751" s="96">
        <f>IF(AND(W751=1,ISNUMBER(I751)),1,0)</f>
        <v>0</v>
      </c>
      <c r="Z751" s="96">
        <f>IF(U751=1,INDEX('MTRs'!$AA$6:$AA$505,T751),0)</f>
        <v>0</v>
      </c>
      <c r="AA751" s="96">
        <f>IF(R751=0,0,COUNTIFS('RECEBIMENTOS'!$R$6:$R$1005,A751,'RECEBIMENTOS'!$Q$6:$Q$1005,1))</f>
        <v>0</v>
      </c>
      <c r="AB751" s="96">
        <f>IF(R751=0,0,COUNTIFS('RECEBIMENTOS'!$R$6:$R$1005,A751,'RECEBIMENTOS'!$Z$6:$Z$1005,1))</f>
        <v>0</v>
      </c>
      <c r="AC751" s="96">
        <f>IF(R751=0,0,COUNTIFS('RECEBIMENTOS'!$R$6:$R$1005,A751,'RECEBIMENTOS'!$Y$6:$Y$1005,1))</f>
        <v>0</v>
      </c>
      <c r="AD751" s="96">
        <f>IF(R751=0,0,COUNTIFS('VÍNCULOS_CDF'!$R$6:$R$1005,A751,'VÍNCULOS_CDF'!$N$6:$N$1005,1))</f>
        <v>0</v>
      </c>
      <c r="AE751" s="96">
        <f>IF(R751=0,0,COUNTIFS('VÍNCULOS_CDF'!$R$6:$R$1005,A751,'VÍNCULOS_CDF'!$AA$6:$AA$1005,1))</f>
        <v>0</v>
      </c>
      <c r="AF751" s="96">
        <f>IF(R751=0,0,COUNTIFS('VÍNCULOS_CDF'!$R$6:$R$1005,A751,'VÍNCULOS_CDF'!$Y$6:$Y$1005,1))</f>
        <v>0</v>
      </c>
      <c r="AG751" s="96" t="str">
        <f>IF(AND(R751=1,S751&lt;&gt;"",C751&lt;&gt;""),S751&amp;"|"&amp;C751&amp;"|"&amp;G751&amp;"|"&amp;H751,"")</f>
        <v/>
      </c>
      <c r="AH751" s="96">
        <f>IF(AG751="",0,IF(SUMPRODUCT(--($AG$6:$AG$1005=AG751))&gt;1,1,0))</f>
        <v>0</v>
      </c>
      <c r="AI751" s="96">
        <f>IF(R751=0,0,IF(OR(U751=0,V751=0,Y751=0,AND(AH751=1,K751&lt;&gt;"Sim")),1,0))</f>
        <v>0</v>
      </c>
      <c r="AJ751" s="96">
        <f>IF(AND(R751=1,AA751&gt;0,AB751=AA751),1,0)</f>
        <v>0</v>
      </c>
      <c r="AK751" s="96">
        <f>IF(R751=0,0,IF(AA751&gt;0,N(L751),IF(ISNUMBER(I751),I751,0)))</f>
        <v>0</v>
      </c>
      <c r="AL751" s="96">
        <f>IF(R751=0,0,IF(AND(K751&lt;&gt;"Sim",N(M751)&gt;AK751+cfg_tol),1,0))</f>
        <v>0</v>
      </c>
      <c r="AM751" s="96">
        <f>IF(R751=0,0,IF(K751="Sim",0,IF(OR(AND(AA751&gt;0,ISNUMBER(I751),ABS(I751-N(L751))&gt;cfg_tol),AL751=1),1,0)))</f>
        <v>0</v>
      </c>
      <c r="AN751" s="96">
        <f>IF(AND(R751=1,N(M751)&gt;0,OR(N(M751)&gt;=AK751-cfg_tol,K751="Sim")),1,0)</f>
        <v>0</v>
      </c>
      <c r="AO751" s="96">
        <f>IF(AND(AN751=1,AD751&gt;0,AE751=AD751,AL751=0),1,0)</f>
        <v>0</v>
      </c>
      <c r="AP751" s="96">
        <f>IF(U751=0,0,IF(AND(INDEX('MTRs'!$AX$6:$AX$505,T751)=1,Z751=0,OR(f_res="",f_res="(Todos)",C751=f_res)),1,0))</f>
        <v>0</v>
      </c>
      <c r="AQ751" s="97" t="str">
        <f>IF(U751=0,"",INDEX('MTRs'!$AZ$6:$AZ$505,T751))</f>
        <v/>
      </c>
      <c r="AR751" s="96">
        <f>IF(U751=0,0,IF(AND(INDEX('MTRs'!$BA$6:$BA$505,T751)=1,Z751=0),1,0))</f>
        <v>0</v>
      </c>
      <c r="AS751" s="96" t="str">
        <f>IF(R751=1,A751&amp;" | MTR "&amp;IF(U751=1,INDEX('MTRs'!$B$6:$B$505,T751)&amp;"","?")&amp;" | "&amp;IF(C751="","(sem resíduo)",C751),"")</f>
        <v/>
      </c>
      <c r="AT751" s="96" t="str">
        <f>IF(R751=1,COUNTIF($R$6:R751,1),"")</f>
        <v/>
      </c>
      <c r="AU751" s="96" t="str">
        <f>IF(U751=1,INDEX('MTRs'!$I$6:$I$505,T751)&amp;"","")</f>
        <v/>
      </c>
    </row>
    <row r="752">
      <c r="A752" s="89" t="inlineStr">
        <is>
          <t>IT-000747</t>
        </is>
      </c>
      <c r="B752" s="91" t="n"/>
      <c r="C752" s="91" t="n"/>
      <c r="D752" s="94" t="str">
        <f>IF(OR(R752=0,V752=0),"",INDEX('CAD_RESÍDUOS'!$E$6:$E$205,MATCH(C752,'CAD_RESÍDUOS'!$B$6:$B$205,0))&amp;"")</f>
        <v/>
      </c>
      <c r="E752" s="94" t="str">
        <f>IF(OR(R752=0,V752=0),"",INDEX('CAD_RESÍDUOS'!$C$6:$C$205,MATCH(C752,'CAD_RESÍDUOS'!$B$6:$B$205,0))&amp;"")</f>
        <v/>
      </c>
      <c r="F752" s="94" t="str">
        <f>IF(OR(R752=0,V752=0),"",INDEX('CAD_RESÍDUOS'!$G$6:$G$205,MATCH(C752,'CAD_RESÍDUOS'!$B$6:$B$205,0))&amp;"")</f>
        <v/>
      </c>
      <c r="G752" s="98" t="n"/>
      <c r="H752" s="91" t="n"/>
      <c r="I752" s="93" t="str">
        <f>IF(R752=0,"",IF(NOT(ISNUMBER(G752)),"",IF(ISNUMBER(X752),G752*X752,"UNIDADE A CONFERIR")))</f>
        <v/>
      </c>
      <c r="J752" s="91" t="n"/>
      <c r="K752" s="91" t="n"/>
      <c r="L752" s="93" t="str">
        <f>IF(R752=0,"",SUMIFS('RECEBIMENTOS'!$H$6:$H$1005,'RECEBIMENTOS'!$R$6:$R$1005,A752,'RECEBIMENTOS'!$X$6:$X$1005,1))</f>
        <v/>
      </c>
      <c r="M752" s="93" t="str">
        <f>IF(R752=0,"",SUMIFS('VÍNCULOS_CDF'!$H$6:$H$1005,'VÍNCULOS_CDF'!$R$6:$R$1005,A752,'VÍNCULOS_CDF'!$V$6:$V$1005,1))</f>
        <v/>
      </c>
      <c r="N752" s="99" t="str">
        <f>IF(OR(R752=0,AA752=0,NOT(ISNUMBER(I752))),"",I752-N(L752))</f>
        <v/>
      </c>
      <c r="O752" s="100" t="str">
        <f>IF(OR(R752=0,AK752&lt;=0),"",N(M752)/AK752)</f>
        <v/>
      </c>
      <c r="P752" s="94" t="str">
        <f>IF(R752=0,"",IF(S752="","Sem MTR associado",IF(U752=0,"MTR inexistente",IF(C752="","Resíduo não identificado",IF(V752=0,"Resíduo fora do cadastro",IF(W752=0,"Quantidade inválida",IF(H752="","Unidade não informada",IF(NOT(ISNUMBER(I752)),"Unidade a conferir",IF(AND(AH752=1,K752&lt;&gt;"Sim"),"Possível duplicidade",IF(Z752=1,"MTR cancelado",IF(AC752&gt;0,"Recebimento com alerta",IF(AA752=0,"Aguardando recebimento",IF(AB752&lt;AA752,"Recebimento a conferir",IF(AM752=1,"Quantidade a revisar",IF(AF752&gt;0,"Vínculo a revisar",IF(AD752=0,"Aguardando CDF",IF(AN752=0,"Vínculo de CDF parcial",IF(AE752&lt;AD752,"CDF a conferir","Documentação conferida"))))))))))))))))))</f>
        <v/>
      </c>
      <c r="Q752" s="93" t="str">
        <f>IF(OR(R752=0,AA752=0),"",MAX(0,N(L752)-N(M752)))</f>
        <v/>
      </c>
      <c r="R752" s="96">
        <f>IF(COUNTA(B752:C752,G752:H752,J752:K752)&gt;0,1,0)</f>
        <v>0</v>
      </c>
      <c r="S752" s="96" t="str">
        <f>IF(B752="","",TRIM(LEFT(B752,FIND(" |",B752&amp;" |")-1)))</f>
        <v/>
      </c>
      <c r="T752" s="96" t="str">
        <f>IF(S752="","",IFERROR(MATCH(S752,'MTRs'!$A$6:$A$505,0),""))</f>
        <v/>
      </c>
      <c r="U752" s="96">
        <f>IF(T752="",0,IF(INDEX('MTRs'!$Z$6:$Z$505,T752)=1,1,0))</f>
        <v>0</v>
      </c>
      <c r="V752" s="96">
        <f>IF(C752="",0,IF(ISNUMBER(MATCH(C752,'CAD_RESÍDUOS'!$B$6:$B$205,0)),1,0))</f>
        <v>0</v>
      </c>
      <c r="W752" s="96">
        <f>IF(AND(ISNUMBER(G752),G752&gt;0),1,0)</f>
        <v>0</v>
      </c>
      <c r="X752" s="96" t="str">
        <f>IF(H752="","",IFERROR(IF(ISNUMBER(INDEX(cfg_fac,MATCH(H752,cfg_units,0))),IF(INDEX(cfg_fac,MATCH(H752,cfg_units,0))&gt;0,INDEX(cfg_fac,MATCH(H752,cfg_units,0)),""),""),""))</f>
        <v/>
      </c>
      <c r="Y752" s="96">
        <f>IF(AND(W752=1,ISNUMBER(I752)),1,0)</f>
        <v>0</v>
      </c>
      <c r="Z752" s="96">
        <f>IF(U752=1,INDEX('MTRs'!$AA$6:$AA$505,T752),0)</f>
        <v>0</v>
      </c>
      <c r="AA752" s="96">
        <f>IF(R752=0,0,COUNTIFS('RECEBIMENTOS'!$R$6:$R$1005,A752,'RECEBIMENTOS'!$Q$6:$Q$1005,1))</f>
        <v>0</v>
      </c>
      <c r="AB752" s="96">
        <f>IF(R752=0,0,COUNTIFS('RECEBIMENTOS'!$R$6:$R$1005,A752,'RECEBIMENTOS'!$Z$6:$Z$1005,1))</f>
        <v>0</v>
      </c>
      <c r="AC752" s="96">
        <f>IF(R752=0,0,COUNTIFS('RECEBIMENTOS'!$R$6:$R$1005,A752,'RECEBIMENTOS'!$Y$6:$Y$1005,1))</f>
        <v>0</v>
      </c>
      <c r="AD752" s="96">
        <f>IF(R752=0,0,COUNTIFS('VÍNCULOS_CDF'!$R$6:$R$1005,A752,'VÍNCULOS_CDF'!$N$6:$N$1005,1))</f>
        <v>0</v>
      </c>
      <c r="AE752" s="96">
        <f>IF(R752=0,0,COUNTIFS('VÍNCULOS_CDF'!$R$6:$R$1005,A752,'VÍNCULOS_CDF'!$AA$6:$AA$1005,1))</f>
        <v>0</v>
      </c>
      <c r="AF752" s="96">
        <f>IF(R752=0,0,COUNTIFS('VÍNCULOS_CDF'!$R$6:$R$1005,A752,'VÍNCULOS_CDF'!$Y$6:$Y$1005,1))</f>
        <v>0</v>
      </c>
      <c r="AG752" s="96" t="str">
        <f>IF(AND(R752=1,S752&lt;&gt;"",C752&lt;&gt;""),S752&amp;"|"&amp;C752&amp;"|"&amp;G752&amp;"|"&amp;H752,"")</f>
        <v/>
      </c>
      <c r="AH752" s="96">
        <f>IF(AG752="",0,IF(SUMPRODUCT(--($AG$6:$AG$1005=AG752))&gt;1,1,0))</f>
        <v>0</v>
      </c>
      <c r="AI752" s="96">
        <f>IF(R752=0,0,IF(OR(U752=0,V752=0,Y752=0,AND(AH752=1,K752&lt;&gt;"Sim")),1,0))</f>
        <v>0</v>
      </c>
      <c r="AJ752" s="96">
        <f>IF(AND(R752=1,AA752&gt;0,AB752=AA752),1,0)</f>
        <v>0</v>
      </c>
      <c r="AK752" s="96">
        <f>IF(R752=0,0,IF(AA752&gt;0,N(L752),IF(ISNUMBER(I752),I752,0)))</f>
        <v>0</v>
      </c>
      <c r="AL752" s="96">
        <f>IF(R752=0,0,IF(AND(K752&lt;&gt;"Sim",N(M752)&gt;AK752+cfg_tol),1,0))</f>
        <v>0</v>
      </c>
      <c r="AM752" s="96">
        <f>IF(R752=0,0,IF(K752="Sim",0,IF(OR(AND(AA752&gt;0,ISNUMBER(I752),ABS(I752-N(L752))&gt;cfg_tol),AL752=1),1,0)))</f>
        <v>0</v>
      </c>
      <c r="AN752" s="96">
        <f>IF(AND(R752=1,N(M752)&gt;0,OR(N(M752)&gt;=AK752-cfg_tol,K752="Sim")),1,0)</f>
        <v>0</v>
      </c>
      <c r="AO752" s="96">
        <f>IF(AND(AN752=1,AD752&gt;0,AE752=AD752,AL752=0),1,0)</f>
        <v>0</v>
      </c>
      <c r="AP752" s="96">
        <f>IF(U752=0,0,IF(AND(INDEX('MTRs'!$AX$6:$AX$505,T752)=1,Z752=0,OR(f_res="",f_res="(Todos)",C752=f_res)),1,0))</f>
        <v>0</v>
      </c>
      <c r="AQ752" s="97" t="str">
        <f>IF(U752=0,"",INDEX('MTRs'!$AZ$6:$AZ$505,T752))</f>
        <v/>
      </c>
      <c r="AR752" s="96">
        <f>IF(U752=0,0,IF(AND(INDEX('MTRs'!$BA$6:$BA$505,T752)=1,Z752=0),1,0))</f>
        <v>0</v>
      </c>
      <c r="AS752" s="96" t="str">
        <f>IF(R752=1,A752&amp;" | MTR "&amp;IF(U752=1,INDEX('MTRs'!$B$6:$B$505,T752)&amp;"","?")&amp;" | "&amp;IF(C752="","(sem resíduo)",C752),"")</f>
        <v/>
      </c>
      <c r="AT752" s="96" t="str">
        <f>IF(R752=1,COUNTIF($R$6:R752,1),"")</f>
        <v/>
      </c>
      <c r="AU752" s="96" t="str">
        <f>IF(U752=1,INDEX('MTRs'!$I$6:$I$505,T752)&amp;"","")</f>
        <v/>
      </c>
    </row>
    <row r="753">
      <c r="A753" s="89" t="inlineStr">
        <is>
          <t>IT-000748</t>
        </is>
      </c>
      <c r="B753" s="91" t="n"/>
      <c r="C753" s="91" t="n"/>
      <c r="D753" s="94" t="str">
        <f>IF(OR(R753=0,V753=0),"",INDEX('CAD_RESÍDUOS'!$E$6:$E$205,MATCH(C753,'CAD_RESÍDUOS'!$B$6:$B$205,0))&amp;"")</f>
        <v/>
      </c>
      <c r="E753" s="94" t="str">
        <f>IF(OR(R753=0,V753=0),"",INDEX('CAD_RESÍDUOS'!$C$6:$C$205,MATCH(C753,'CAD_RESÍDUOS'!$B$6:$B$205,0))&amp;"")</f>
        <v/>
      </c>
      <c r="F753" s="94" t="str">
        <f>IF(OR(R753=0,V753=0),"",INDEX('CAD_RESÍDUOS'!$G$6:$G$205,MATCH(C753,'CAD_RESÍDUOS'!$B$6:$B$205,0))&amp;"")</f>
        <v/>
      </c>
      <c r="G753" s="98" t="n"/>
      <c r="H753" s="91" t="n"/>
      <c r="I753" s="93" t="str">
        <f>IF(R753=0,"",IF(NOT(ISNUMBER(G753)),"",IF(ISNUMBER(X753),G753*X753,"UNIDADE A CONFERIR")))</f>
        <v/>
      </c>
      <c r="J753" s="91" t="n"/>
      <c r="K753" s="91" t="n"/>
      <c r="L753" s="93" t="str">
        <f>IF(R753=0,"",SUMIFS('RECEBIMENTOS'!$H$6:$H$1005,'RECEBIMENTOS'!$R$6:$R$1005,A753,'RECEBIMENTOS'!$X$6:$X$1005,1))</f>
        <v/>
      </c>
      <c r="M753" s="93" t="str">
        <f>IF(R753=0,"",SUMIFS('VÍNCULOS_CDF'!$H$6:$H$1005,'VÍNCULOS_CDF'!$R$6:$R$1005,A753,'VÍNCULOS_CDF'!$V$6:$V$1005,1))</f>
        <v/>
      </c>
      <c r="N753" s="99" t="str">
        <f>IF(OR(R753=0,AA753=0,NOT(ISNUMBER(I753))),"",I753-N(L753))</f>
        <v/>
      </c>
      <c r="O753" s="100" t="str">
        <f>IF(OR(R753=0,AK753&lt;=0),"",N(M753)/AK753)</f>
        <v/>
      </c>
      <c r="P753" s="94" t="str">
        <f>IF(R753=0,"",IF(S753="","Sem MTR associado",IF(U753=0,"MTR inexistente",IF(C753="","Resíduo não identificado",IF(V753=0,"Resíduo fora do cadastro",IF(W753=0,"Quantidade inválida",IF(H753="","Unidade não informada",IF(NOT(ISNUMBER(I753)),"Unidade a conferir",IF(AND(AH753=1,K753&lt;&gt;"Sim"),"Possível duplicidade",IF(Z753=1,"MTR cancelado",IF(AC753&gt;0,"Recebimento com alerta",IF(AA753=0,"Aguardando recebimento",IF(AB753&lt;AA753,"Recebimento a conferir",IF(AM753=1,"Quantidade a revisar",IF(AF753&gt;0,"Vínculo a revisar",IF(AD753=0,"Aguardando CDF",IF(AN753=0,"Vínculo de CDF parcial",IF(AE753&lt;AD753,"CDF a conferir","Documentação conferida"))))))))))))))))))</f>
        <v/>
      </c>
      <c r="Q753" s="93" t="str">
        <f>IF(OR(R753=0,AA753=0),"",MAX(0,N(L753)-N(M753)))</f>
        <v/>
      </c>
      <c r="R753" s="96">
        <f>IF(COUNTA(B753:C753,G753:H753,J753:K753)&gt;0,1,0)</f>
        <v>0</v>
      </c>
      <c r="S753" s="96" t="str">
        <f>IF(B753="","",TRIM(LEFT(B753,FIND(" |",B753&amp;" |")-1)))</f>
        <v/>
      </c>
      <c r="T753" s="96" t="str">
        <f>IF(S753="","",IFERROR(MATCH(S753,'MTRs'!$A$6:$A$505,0),""))</f>
        <v/>
      </c>
      <c r="U753" s="96">
        <f>IF(T753="",0,IF(INDEX('MTRs'!$Z$6:$Z$505,T753)=1,1,0))</f>
        <v>0</v>
      </c>
      <c r="V753" s="96">
        <f>IF(C753="",0,IF(ISNUMBER(MATCH(C753,'CAD_RESÍDUOS'!$B$6:$B$205,0)),1,0))</f>
        <v>0</v>
      </c>
      <c r="W753" s="96">
        <f>IF(AND(ISNUMBER(G753),G753&gt;0),1,0)</f>
        <v>0</v>
      </c>
      <c r="X753" s="96" t="str">
        <f>IF(H753="","",IFERROR(IF(ISNUMBER(INDEX(cfg_fac,MATCH(H753,cfg_units,0))),IF(INDEX(cfg_fac,MATCH(H753,cfg_units,0))&gt;0,INDEX(cfg_fac,MATCH(H753,cfg_units,0)),""),""),""))</f>
        <v/>
      </c>
      <c r="Y753" s="96">
        <f>IF(AND(W753=1,ISNUMBER(I753)),1,0)</f>
        <v>0</v>
      </c>
      <c r="Z753" s="96">
        <f>IF(U753=1,INDEX('MTRs'!$AA$6:$AA$505,T753),0)</f>
        <v>0</v>
      </c>
      <c r="AA753" s="96">
        <f>IF(R753=0,0,COUNTIFS('RECEBIMENTOS'!$R$6:$R$1005,A753,'RECEBIMENTOS'!$Q$6:$Q$1005,1))</f>
        <v>0</v>
      </c>
      <c r="AB753" s="96">
        <f>IF(R753=0,0,COUNTIFS('RECEBIMENTOS'!$R$6:$R$1005,A753,'RECEBIMENTOS'!$Z$6:$Z$1005,1))</f>
        <v>0</v>
      </c>
      <c r="AC753" s="96">
        <f>IF(R753=0,0,COUNTIFS('RECEBIMENTOS'!$R$6:$R$1005,A753,'RECEBIMENTOS'!$Y$6:$Y$1005,1))</f>
        <v>0</v>
      </c>
      <c r="AD753" s="96">
        <f>IF(R753=0,0,COUNTIFS('VÍNCULOS_CDF'!$R$6:$R$1005,A753,'VÍNCULOS_CDF'!$N$6:$N$1005,1))</f>
        <v>0</v>
      </c>
      <c r="AE753" s="96">
        <f>IF(R753=0,0,COUNTIFS('VÍNCULOS_CDF'!$R$6:$R$1005,A753,'VÍNCULOS_CDF'!$AA$6:$AA$1005,1))</f>
        <v>0</v>
      </c>
      <c r="AF753" s="96">
        <f>IF(R753=0,0,COUNTIFS('VÍNCULOS_CDF'!$R$6:$R$1005,A753,'VÍNCULOS_CDF'!$Y$6:$Y$1005,1))</f>
        <v>0</v>
      </c>
      <c r="AG753" s="96" t="str">
        <f>IF(AND(R753=1,S753&lt;&gt;"",C753&lt;&gt;""),S753&amp;"|"&amp;C753&amp;"|"&amp;G753&amp;"|"&amp;H753,"")</f>
        <v/>
      </c>
      <c r="AH753" s="96">
        <f>IF(AG753="",0,IF(SUMPRODUCT(--($AG$6:$AG$1005=AG753))&gt;1,1,0))</f>
        <v>0</v>
      </c>
      <c r="AI753" s="96">
        <f>IF(R753=0,0,IF(OR(U753=0,V753=0,Y753=0,AND(AH753=1,K753&lt;&gt;"Sim")),1,0))</f>
        <v>0</v>
      </c>
      <c r="AJ753" s="96">
        <f>IF(AND(R753=1,AA753&gt;0,AB753=AA753),1,0)</f>
        <v>0</v>
      </c>
      <c r="AK753" s="96">
        <f>IF(R753=0,0,IF(AA753&gt;0,N(L753),IF(ISNUMBER(I753),I753,0)))</f>
        <v>0</v>
      </c>
      <c r="AL753" s="96">
        <f>IF(R753=0,0,IF(AND(K753&lt;&gt;"Sim",N(M753)&gt;AK753+cfg_tol),1,0))</f>
        <v>0</v>
      </c>
      <c r="AM753" s="96">
        <f>IF(R753=0,0,IF(K753="Sim",0,IF(OR(AND(AA753&gt;0,ISNUMBER(I753),ABS(I753-N(L753))&gt;cfg_tol),AL753=1),1,0)))</f>
        <v>0</v>
      </c>
      <c r="AN753" s="96">
        <f>IF(AND(R753=1,N(M753)&gt;0,OR(N(M753)&gt;=AK753-cfg_tol,K753="Sim")),1,0)</f>
        <v>0</v>
      </c>
      <c r="AO753" s="96">
        <f>IF(AND(AN753=1,AD753&gt;0,AE753=AD753,AL753=0),1,0)</f>
        <v>0</v>
      </c>
      <c r="AP753" s="96">
        <f>IF(U753=0,0,IF(AND(INDEX('MTRs'!$AX$6:$AX$505,T753)=1,Z753=0,OR(f_res="",f_res="(Todos)",C753=f_res)),1,0))</f>
        <v>0</v>
      </c>
      <c r="AQ753" s="97" t="str">
        <f>IF(U753=0,"",INDEX('MTRs'!$AZ$6:$AZ$505,T753))</f>
        <v/>
      </c>
      <c r="AR753" s="96">
        <f>IF(U753=0,0,IF(AND(INDEX('MTRs'!$BA$6:$BA$505,T753)=1,Z753=0),1,0))</f>
        <v>0</v>
      </c>
      <c r="AS753" s="96" t="str">
        <f>IF(R753=1,A753&amp;" | MTR "&amp;IF(U753=1,INDEX('MTRs'!$B$6:$B$505,T753)&amp;"","?")&amp;" | "&amp;IF(C753="","(sem resíduo)",C753),"")</f>
        <v/>
      </c>
      <c r="AT753" s="96" t="str">
        <f>IF(R753=1,COUNTIF($R$6:R753,1),"")</f>
        <v/>
      </c>
      <c r="AU753" s="96" t="str">
        <f>IF(U753=1,INDEX('MTRs'!$I$6:$I$505,T753)&amp;"","")</f>
        <v/>
      </c>
    </row>
    <row r="754">
      <c r="A754" s="89" t="inlineStr">
        <is>
          <t>IT-000749</t>
        </is>
      </c>
      <c r="B754" s="91" t="n"/>
      <c r="C754" s="91" t="n"/>
      <c r="D754" s="94" t="str">
        <f>IF(OR(R754=0,V754=0),"",INDEX('CAD_RESÍDUOS'!$E$6:$E$205,MATCH(C754,'CAD_RESÍDUOS'!$B$6:$B$205,0))&amp;"")</f>
        <v/>
      </c>
      <c r="E754" s="94" t="str">
        <f>IF(OR(R754=0,V754=0),"",INDEX('CAD_RESÍDUOS'!$C$6:$C$205,MATCH(C754,'CAD_RESÍDUOS'!$B$6:$B$205,0))&amp;"")</f>
        <v/>
      </c>
      <c r="F754" s="94" t="str">
        <f>IF(OR(R754=0,V754=0),"",INDEX('CAD_RESÍDUOS'!$G$6:$G$205,MATCH(C754,'CAD_RESÍDUOS'!$B$6:$B$205,0))&amp;"")</f>
        <v/>
      </c>
      <c r="G754" s="98" t="n"/>
      <c r="H754" s="91" t="n"/>
      <c r="I754" s="93" t="str">
        <f>IF(R754=0,"",IF(NOT(ISNUMBER(G754)),"",IF(ISNUMBER(X754),G754*X754,"UNIDADE A CONFERIR")))</f>
        <v/>
      </c>
      <c r="J754" s="91" t="n"/>
      <c r="K754" s="91" t="n"/>
      <c r="L754" s="93" t="str">
        <f>IF(R754=0,"",SUMIFS('RECEBIMENTOS'!$H$6:$H$1005,'RECEBIMENTOS'!$R$6:$R$1005,A754,'RECEBIMENTOS'!$X$6:$X$1005,1))</f>
        <v/>
      </c>
      <c r="M754" s="93" t="str">
        <f>IF(R754=0,"",SUMIFS('VÍNCULOS_CDF'!$H$6:$H$1005,'VÍNCULOS_CDF'!$R$6:$R$1005,A754,'VÍNCULOS_CDF'!$V$6:$V$1005,1))</f>
        <v/>
      </c>
      <c r="N754" s="99" t="str">
        <f>IF(OR(R754=0,AA754=0,NOT(ISNUMBER(I754))),"",I754-N(L754))</f>
        <v/>
      </c>
      <c r="O754" s="100" t="str">
        <f>IF(OR(R754=0,AK754&lt;=0),"",N(M754)/AK754)</f>
        <v/>
      </c>
      <c r="P754" s="94" t="str">
        <f>IF(R754=0,"",IF(S754="","Sem MTR associado",IF(U754=0,"MTR inexistente",IF(C754="","Resíduo não identificado",IF(V754=0,"Resíduo fora do cadastro",IF(W754=0,"Quantidade inválida",IF(H754="","Unidade não informada",IF(NOT(ISNUMBER(I754)),"Unidade a conferir",IF(AND(AH754=1,K754&lt;&gt;"Sim"),"Possível duplicidade",IF(Z754=1,"MTR cancelado",IF(AC754&gt;0,"Recebimento com alerta",IF(AA754=0,"Aguardando recebimento",IF(AB754&lt;AA754,"Recebimento a conferir",IF(AM754=1,"Quantidade a revisar",IF(AF754&gt;0,"Vínculo a revisar",IF(AD754=0,"Aguardando CDF",IF(AN754=0,"Vínculo de CDF parcial",IF(AE754&lt;AD754,"CDF a conferir","Documentação conferida"))))))))))))))))))</f>
        <v/>
      </c>
      <c r="Q754" s="93" t="str">
        <f>IF(OR(R754=0,AA754=0),"",MAX(0,N(L754)-N(M754)))</f>
        <v/>
      </c>
      <c r="R754" s="96">
        <f>IF(COUNTA(B754:C754,G754:H754,J754:K754)&gt;0,1,0)</f>
        <v>0</v>
      </c>
      <c r="S754" s="96" t="str">
        <f>IF(B754="","",TRIM(LEFT(B754,FIND(" |",B754&amp;" |")-1)))</f>
        <v/>
      </c>
      <c r="T754" s="96" t="str">
        <f>IF(S754="","",IFERROR(MATCH(S754,'MTRs'!$A$6:$A$505,0),""))</f>
        <v/>
      </c>
      <c r="U754" s="96">
        <f>IF(T754="",0,IF(INDEX('MTRs'!$Z$6:$Z$505,T754)=1,1,0))</f>
        <v>0</v>
      </c>
      <c r="V754" s="96">
        <f>IF(C754="",0,IF(ISNUMBER(MATCH(C754,'CAD_RESÍDUOS'!$B$6:$B$205,0)),1,0))</f>
        <v>0</v>
      </c>
      <c r="W754" s="96">
        <f>IF(AND(ISNUMBER(G754),G754&gt;0),1,0)</f>
        <v>0</v>
      </c>
      <c r="X754" s="96" t="str">
        <f>IF(H754="","",IFERROR(IF(ISNUMBER(INDEX(cfg_fac,MATCH(H754,cfg_units,0))),IF(INDEX(cfg_fac,MATCH(H754,cfg_units,0))&gt;0,INDEX(cfg_fac,MATCH(H754,cfg_units,0)),""),""),""))</f>
        <v/>
      </c>
      <c r="Y754" s="96">
        <f>IF(AND(W754=1,ISNUMBER(I754)),1,0)</f>
        <v>0</v>
      </c>
      <c r="Z754" s="96">
        <f>IF(U754=1,INDEX('MTRs'!$AA$6:$AA$505,T754),0)</f>
        <v>0</v>
      </c>
      <c r="AA754" s="96">
        <f>IF(R754=0,0,COUNTIFS('RECEBIMENTOS'!$R$6:$R$1005,A754,'RECEBIMENTOS'!$Q$6:$Q$1005,1))</f>
        <v>0</v>
      </c>
      <c r="AB754" s="96">
        <f>IF(R754=0,0,COUNTIFS('RECEBIMENTOS'!$R$6:$R$1005,A754,'RECEBIMENTOS'!$Z$6:$Z$1005,1))</f>
        <v>0</v>
      </c>
      <c r="AC754" s="96">
        <f>IF(R754=0,0,COUNTIFS('RECEBIMENTOS'!$R$6:$R$1005,A754,'RECEBIMENTOS'!$Y$6:$Y$1005,1))</f>
        <v>0</v>
      </c>
      <c r="AD754" s="96">
        <f>IF(R754=0,0,COUNTIFS('VÍNCULOS_CDF'!$R$6:$R$1005,A754,'VÍNCULOS_CDF'!$N$6:$N$1005,1))</f>
        <v>0</v>
      </c>
      <c r="AE754" s="96">
        <f>IF(R754=0,0,COUNTIFS('VÍNCULOS_CDF'!$R$6:$R$1005,A754,'VÍNCULOS_CDF'!$AA$6:$AA$1005,1))</f>
        <v>0</v>
      </c>
      <c r="AF754" s="96">
        <f>IF(R754=0,0,COUNTIFS('VÍNCULOS_CDF'!$R$6:$R$1005,A754,'VÍNCULOS_CDF'!$Y$6:$Y$1005,1))</f>
        <v>0</v>
      </c>
      <c r="AG754" s="96" t="str">
        <f>IF(AND(R754=1,S754&lt;&gt;"",C754&lt;&gt;""),S754&amp;"|"&amp;C754&amp;"|"&amp;G754&amp;"|"&amp;H754,"")</f>
        <v/>
      </c>
      <c r="AH754" s="96">
        <f>IF(AG754="",0,IF(SUMPRODUCT(--($AG$6:$AG$1005=AG754))&gt;1,1,0))</f>
        <v>0</v>
      </c>
      <c r="AI754" s="96">
        <f>IF(R754=0,0,IF(OR(U754=0,V754=0,Y754=0,AND(AH754=1,K754&lt;&gt;"Sim")),1,0))</f>
        <v>0</v>
      </c>
      <c r="AJ754" s="96">
        <f>IF(AND(R754=1,AA754&gt;0,AB754=AA754),1,0)</f>
        <v>0</v>
      </c>
      <c r="AK754" s="96">
        <f>IF(R754=0,0,IF(AA754&gt;0,N(L754),IF(ISNUMBER(I754),I754,0)))</f>
        <v>0</v>
      </c>
      <c r="AL754" s="96">
        <f>IF(R754=0,0,IF(AND(K754&lt;&gt;"Sim",N(M754)&gt;AK754+cfg_tol),1,0))</f>
        <v>0</v>
      </c>
      <c r="AM754" s="96">
        <f>IF(R754=0,0,IF(K754="Sim",0,IF(OR(AND(AA754&gt;0,ISNUMBER(I754),ABS(I754-N(L754))&gt;cfg_tol),AL754=1),1,0)))</f>
        <v>0</v>
      </c>
      <c r="AN754" s="96">
        <f>IF(AND(R754=1,N(M754)&gt;0,OR(N(M754)&gt;=AK754-cfg_tol,K754="Sim")),1,0)</f>
        <v>0</v>
      </c>
      <c r="AO754" s="96">
        <f>IF(AND(AN754=1,AD754&gt;0,AE754=AD754,AL754=0),1,0)</f>
        <v>0</v>
      </c>
      <c r="AP754" s="96">
        <f>IF(U754=0,0,IF(AND(INDEX('MTRs'!$AX$6:$AX$505,T754)=1,Z754=0,OR(f_res="",f_res="(Todos)",C754=f_res)),1,0))</f>
        <v>0</v>
      </c>
      <c r="AQ754" s="97" t="str">
        <f>IF(U754=0,"",INDEX('MTRs'!$AZ$6:$AZ$505,T754))</f>
        <v/>
      </c>
      <c r="AR754" s="96">
        <f>IF(U754=0,0,IF(AND(INDEX('MTRs'!$BA$6:$BA$505,T754)=1,Z754=0),1,0))</f>
        <v>0</v>
      </c>
      <c r="AS754" s="96" t="str">
        <f>IF(R754=1,A754&amp;" | MTR "&amp;IF(U754=1,INDEX('MTRs'!$B$6:$B$505,T754)&amp;"","?")&amp;" | "&amp;IF(C754="","(sem resíduo)",C754),"")</f>
        <v/>
      </c>
      <c r="AT754" s="96" t="str">
        <f>IF(R754=1,COUNTIF($R$6:R754,1),"")</f>
        <v/>
      </c>
      <c r="AU754" s="96" t="str">
        <f>IF(U754=1,INDEX('MTRs'!$I$6:$I$505,T754)&amp;"","")</f>
        <v/>
      </c>
    </row>
    <row r="755">
      <c r="A755" s="89" t="inlineStr">
        <is>
          <t>IT-000750</t>
        </is>
      </c>
      <c r="B755" s="91" t="n"/>
      <c r="C755" s="91" t="n"/>
      <c r="D755" s="94" t="str">
        <f>IF(OR(R755=0,V755=0),"",INDEX('CAD_RESÍDUOS'!$E$6:$E$205,MATCH(C755,'CAD_RESÍDUOS'!$B$6:$B$205,0))&amp;"")</f>
        <v/>
      </c>
      <c r="E755" s="94" t="str">
        <f>IF(OR(R755=0,V755=0),"",INDEX('CAD_RESÍDUOS'!$C$6:$C$205,MATCH(C755,'CAD_RESÍDUOS'!$B$6:$B$205,0))&amp;"")</f>
        <v/>
      </c>
      <c r="F755" s="94" t="str">
        <f>IF(OR(R755=0,V755=0),"",INDEX('CAD_RESÍDUOS'!$G$6:$G$205,MATCH(C755,'CAD_RESÍDUOS'!$B$6:$B$205,0))&amp;"")</f>
        <v/>
      </c>
      <c r="G755" s="98" t="n"/>
      <c r="H755" s="91" t="n"/>
      <c r="I755" s="93" t="str">
        <f>IF(R755=0,"",IF(NOT(ISNUMBER(G755)),"",IF(ISNUMBER(X755),G755*X755,"UNIDADE A CONFERIR")))</f>
        <v/>
      </c>
      <c r="J755" s="91" t="n"/>
      <c r="K755" s="91" t="n"/>
      <c r="L755" s="93" t="str">
        <f>IF(R755=0,"",SUMIFS('RECEBIMENTOS'!$H$6:$H$1005,'RECEBIMENTOS'!$R$6:$R$1005,A755,'RECEBIMENTOS'!$X$6:$X$1005,1))</f>
        <v/>
      </c>
      <c r="M755" s="93" t="str">
        <f>IF(R755=0,"",SUMIFS('VÍNCULOS_CDF'!$H$6:$H$1005,'VÍNCULOS_CDF'!$R$6:$R$1005,A755,'VÍNCULOS_CDF'!$V$6:$V$1005,1))</f>
        <v/>
      </c>
      <c r="N755" s="99" t="str">
        <f>IF(OR(R755=0,AA755=0,NOT(ISNUMBER(I755))),"",I755-N(L755))</f>
        <v/>
      </c>
      <c r="O755" s="100" t="str">
        <f>IF(OR(R755=0,AK755&lt;=0),"",N(M755)/AK755)</f>
        <v/>
      </c>
      <c r="P755" s="94" t="str">
        <f>IF(R755=0,"",IF(S755="","Sem MTR associado",IF(U755=0,"MTR inexistente",IF(C755="","Resíduo não identificado",IF(V755=0,"Resíduo fora do cadastro",IF(W755=0,"Quantidade inválida",IF(H755="","Unidade não informada",IF(NOT(ISNUMBER(I755)),"Unidade a conferir",IF(AND(AH755=1,K755&lt;&gt;"Sim"),"Possível duplicidade",IF(Z755=1,"MTR cancelado",IF(AC755&gt;0,"Recebimento com alerta",IF(AA755=0,"Aguardando recebimento",IF(AB755&lt;AA755,"Recebimento a conferir",IF(AM755=1,"Quantidade a revisar",IF(AF755&gt;0,"Vínculo a revisar",IF(AD755=0,"Aguardando CDF",IF(AN755=0,"Vínculo de CDF parcial",IF(AE755&lt;AD755,"CDF a conferir","Documentação conferida"))))))))))))))))))</f>
        <v/>
      </c>
      <c r="Q755" s="93" t="str">
        <f>IF(OR(R755=0,AA755=0),"",MAX(0,N(L755)-N(M755)))</f>
        <v/>
      </c>
      <c r="R755" s="96">
        <f>IF(COUNTA(B755:C755,G755:H755,J755:K755)&gt;0,1,0)</f>
        <v>0</v>
      </c>
      <c r="S755" s="96" t="str">
        <f>IF(B755="","",TRIM(LEFT(B755,FIND(" |",B755&amp;" |")-1)))</f>
        <v/>
      </c>
      <c r="T755" s="96" t="str">
        <f>IF(S755="","",IFERROR(MATCH(S755,'MTRs'!$A$6:$A$505,0),""))</f>
        <v/>
      </c>
      <c r="U755" s="96">
        <f>IF(T755="",0,IF(INDEX('MTRs'!$Z$6:$Z$505,T755)=1,1,0))</f>
        <v>0</v>
      </c>
      <c r="V755" s="96">
        <f>IF(C755="",0,IF(ISNUMBER(MATCH(C755,'CAD_RESÍDUOS'!$B$6:$B$205,0)),1,0))</f>
        <v>0</v>
      </c>
      <c r="W755" s="96">
        <f>IF(AND(ISNUMBER(G755),G755&gt;0),1,0)</f>
        <v>0</v>
      </c>
      <c r="X755" s="96" t="str">
        <f>IF(H755="","",IFERROR(IF(ISNUMBER(INDEX(cfg_fac,MATCH(H755,cfg_units,0))),IF(INDEX(cfg_fac,MATCH(H755,cfg_units,0))&gt;0,INDEX(cfg_fac,MATCH(H755,cfg_units,0)),""),""),""))</f>
        <v/>
      </c>
      <c r="Y755" s="96">
        <f>IF(AND(W755=1,ISNUMBER(I755)),1,0)</f>
        <v>0</v>
      </c>
      <c r="Z755" s="96">
        <f>IF(U755=1,INDEX('MTRs'!$AA$6:$AA$505,T755),0)</f>
        <v>0</v>
      </c>
      <c r="AA755" s="96">
        <f>IF(R755=0,0,COUNTIFS('RECEBIMENTOS'!$R$6:$R$1005,A755,'RECEBIMENTOS'!$Q$6:$Q$1005,1))</f>
        <v>0</v>
      </c>
      <c r="AB755" s="96">
        <f>IF(R755=0,0,COUNTIFS('RECEBIMENTOS'!$R$6:$R$1005,A755,'RECEBIMENTOS'!$Z$6:$Z$1005,1))</f>
        <v>0</v>
      </c>
      <c r="AC755" s="96">
        <f>IF(R755=0,0,COUNTIFS('RECEBIMENTOS'!$R$6:$R$1005,A755,'RECEBIMENTOS'!$Y$6:$Y$1005,1))</f>
        <v>0</v>
      </c>
      <c r="AD755" s="96">
        <f>IF(R755=0,0,COUNTIFS('VÍNCULOS_CDF'!$R$6:$R$1005,A755,'VÍNCULOS_CDF'!$N$6:$N$1005,1))</f>
        <v>0</v>
      </c>
      <c r="AE755" s="96">
        <f>IF(R755=0,0,COUNTIFS('VÍNCULOS_CDF'!$R$6:$R$1005,A755,'VÍNCULOS_CDF'!$AA$6:$AA$1005,1))</f>
        <v>0</v>
      </c>
      <c r="AF755" s="96">
        <f>IF(R755=0,0,COUNTIFS('VÍNCULOS_CDF'!$R$6:$R$1005,A755,'VÍNCULOS_CDF'!$Y$6:$Y$1005,1))</f>
        <v>0</v>
      </c>
      <c r="AG755" s="96" t="str">
        <f>IF(AND(R755=1,S755&lt;&gt;"",C755&lt;&gt;""),S755&amp;"|"&amp;C755&amp;"|"&amp;G755&amp;"|"&amp;H755,"")</f>
        <v/>
      </c>
      <c r="AH755" s="96">
        <f>IF(AG755="",0,IF(SUMPRODUCT(--($AG$6:$AG$1005=AG755))&gt;1,1,0))</f>
        <v>0</v>
      </c>
      <c r="AI755" s="96">
        <f>IF(R755=0,0,IF(OR(U755=0,V755=0,Y755=0,AND(AH755=1,K755&lt;&gt;"Sim")),1,0))</f>
        <v>0</v>
      </c>
      <c r="AJ755" s="96">
        <f>IF(AND(R755=1,AA755&gt;0,AB755=AA755),1,0)</f>
        <v>0</v>
      </c>
      <c r="AK755" s="96">
        <f>IF(R755=0,0,IF(AA755&gt;0,N(L755),IF(ISNUMBER(I755),I755,0)))</f>
        <v>0</v>
      </c>
      <c r="AL755" s="96">
        <f>IF(R755=0,0,IF(AND(K755&lt;&gt;"Sim",N(M755)&gt;AK755+cfg_tol),1,0))</f>
        <v>0</v>
      </c>
      <c r="AM755" s="96">
        <f>IF(R755=0,0,IF(K755="Sim",0,IF(OR(AND(AA755&gt;0,ISNUMBER(I755),ABS(I755-N(L755))&gt;cfg_tol),AL755=1),1,0)))</f>
        <v>0</v>
      </c>
      <c r="AN755" s="96">
        <f>IF(AND(R755=1,N(M755)&gt;0,OR(N(M755)&gt;=AK755-cfg_tol,K755="Sim")),1,0)</f>
        <v>0</v>
      </c>
      <c r="AO755" s="96">
        <f>IF(AND(AN755=1,AD755&gt;0,AE755=AD755,AL755=0),1,0)</f>
        <v>0</v>
      </c>
      <c r="AP755" s="96">
        <f>IF(U755=0,0,IF(AND(INDEX('MTRs'!$AX$6:$AX$505,T755)=1,Z755=0,OR(f_res="",f_res="(Todos)",C755=f_res)),1,0))</f>
        <v>0</v>
      </c>
      <c r="AQ755" s="97" t="str">
        <f>IF(U755=0,"",INDEX('MTRs'!$AZ$6:$AZ$505,T755))</f>
        <v/>
      </c>
      <c r="AR755" s="96">
        <f>IF(U755=0,0,IF(AND(INDEX('MTRs'!$BA$6:$BA$505,T755)=1,Z755=0),1,0))</f>
        <v>0</v>
      </c>
      <c r="AS755" s="96" t="str">
        <f>IF(R755=1,A755&amp;" | MTR "&amp;IF(U755=1,INDEX('MTRs'!$B$6:$B$505,T755)&amp;"","?")&amp;" | "&amp;IF(C755="","(sem resíduo)",C755),"")</f>
        <v/>
      </c>
      <c r="AT755" s="96" t="str">
        <f>IF(R755=1,COUNTIF($R$6:R755,1),"")</f>
        <v/>
      </c>
      <c r="AU755" s="96" t="str">
        <f>IF(U755=1,INDEX('MTRs'!$I$6:$I$505,T755)&amp;"","")</f>
        <v/>
      </c>
    </row>
    <row r="756">
      <c r="A756" s="89" t="inlineStr">
        <is>
          <t>IT-000751</t>
        </is>
      </c>
      <c r="B756" s="91" t="n"/>
      <c r="C756" s="91" t="n"/>
      <c r="D756" s="94" t="str">
        <f>IF(OR(R756=0,V756=0),"",INDEX('CAD_RESÍDUOS'!$E$6:$E$205,MATCH(C756,'CAD_RESÍDUOS'!$B$6:$B$205,0))&amp;"")</f>
        <v/>
      </c>
      <c r="E756" s="94" t="str">
        <f>IF(OR(R756=0,V756=0),"",INDEX('CAD_RESÍDUOS'!$C$6:$C$205,MATCH(C756,'CAD_RESÍDUOS'!$B$6:$B$205,0))&amp;"")</f>
        <v/>
      </c>
      <c r="F756" s="94" t="str">
        <f>IF(OR(R756=0,V756=0),"",INDEX('CAD_RESÍDUOS'!$G$6:$G$205,MATCH(C756,'CAD_RESÍDUOS'!$B$6:$B$205,0))&amp;"")</f>
        <v/>
      </c>
      <c r="G756" s="98" t="n"/>
      <c r="H756" s="91" t="n"/>
      <c r="I756" s="93" t="str">
        <f>IF(R756=0,"",IF(NOT(ISNUMBER(G756)),"",IF(ISNUMBER(X756),G756*X756,"UNIDADE A CONFERIR")))</f>
        <v/>
      </c>
      <c r="J756" s="91" t="n"/>
      <c r="K756" s="91" t="n"/>
      <c r="L756" s="93" t="str">
        <f>IF(R756=0,"",SUMIFS('RECEBIMENTOS'!$H$6:$H$1005,'RECEBIMENTOS'!$R$6:$R$1005,A756,'RECEBIMENTOS'!$X$6:$X$1005,1))</f>
        <v/>
      </c>
      <c r="M756" s="93" t="str">
        <f>IF(R756=0,"",SUMIFS('VÍNCULOS_CDF'!$H$6:$H$1005,'VÍNCULOS_CDF'!$R$6:$R$1005,A756,'VÍNCULOS_CDF'!$V$6:$V$1005,1))</f>
        <v/>
      </c>
      <c r="N756" s="99" t="str">
        <f>IF(OR(R756=0,AA756=0,NOT(ISNUMBER(I756))),"",I756-N(L756))</f>
        <v/>
      </c>
      <c r="O756" s="100" t="str">
        <f>IF(OR(R756=0,AK756&lt;=0),"",N(M756)/AK756)</f>
        <v/>
      </c>
      <c r="P756" s="94" t="str">
        <f>IF(R756=0,"",IF(S756="","Sem MTR associado",IF(U756=0,"MTR inexistente",IF(C756="","Resíduo não identificado",IF(V756=0,"Resíduo fora do cadastro",IF(W756=0,"Quantidade inválida",IF(H756="","Unidade não informada",IF(NOT(ISNUMBER(I756)),"Unidade a conferir",IF(AND(AH756=1,K756&lt;&gt;"Sim"),"Possível duplicidade",IF(Z756=1,"MTR cancelado",IF(AC756&gt;0,"Recebimento com alerta",IF(AA756=0,"Aguardando recebimento",IF(AB756&lt;AA756,"Recebimento a conferir",IF(AM756=1,"Quantidade a revisar",IF(AF756&gt;0,"Vínculo a revisar",IF(AD756=0,"Aguardando CDF",IF(AN756=0,"Vínculo de CDF parcial",IF(AE756&lt;AD756,"CDF a conferir","Documentação conferida"))))))))))))))))))</f>
        <v/>
      </c>
      <c r="Q756" s="93" t="str">
        <f>IF(OR(R756=0,AA756=0),"",MAX(0,N(L756)-N(M756)))</f>
        <v/>
      </c>
      <c r="R756" s="96">
        <f>IF(COUNTA(B756:C756,G756:H756,J756:K756)&gt;0,1,0)</f>
        <v>0</v>
      </c>
      <c r="S756" s="96" t="str">
        <f>IF(B756="","",TRIM(LEFT(B756,FIND(" |",B756&amp;" |")-1)))</f>
        <v/>
      </c>
      <c r="T756" s="96" t="str">
        <f>IF(S756="","",IFERROR(MATCH(S756,'MTRs'!$A$6:$A$505,0),""))</f>
        <v/>
      </c>
      <c r="U756" s="96">
        <f>IF(T756="",0,IF(INDEX('MTRs'!$Z$6:$Z$505,T756)=1,1,0))</f>
        <v>0</v>
      </c>
      <c r="V756" s="96">
        <f>IF(C756="",0,IF(ISNUMBER(MATCH(C756,'CAD_RESÍDUOS'!$B$6:$B$205,0)),1,0))</f>
        <v>0</v>
      </c>
      <c r="W756" s="96">
        <f>IF(AND(ISNUMBER(G756),G756&gt;0),1,0)</f>
        <v>0</v>
      </c>
      <c r="X756" s="96" t="str">
        <f>IF(H756="","",IFERROR(IF(ISNUMBER(INDEX(cfg_fac,MATCH(H756,cfg_units,0))),IF(INDEX(cfg_fac,MATCH(H756,cfg_units,0))&gt;0,INDEX(cfg_fac,MATCH(H756,cfg_units,0)),""),""),""))</f>
        <v/>
      </c>
      <c r="Y756" s="96">
        <f>IF(AND(W756=1,ISNUMBER(I756)),1,0)</f>
        <v>0</v>
      </c>
      <c r="Z756" s="96">
        <f>IF(U756=1,INDEX('MTRs'!$AA$6:$AA$505,T756),0)</f>
        <v>0</v>
      </c>
      <c r="AA756" s="96">
        <f>IF(R756=0,0,COUNTIFS('RECEBIMENTOS'!$R$6:$R$1005,A756,'RECEBIMENTOS'!$Q$6:$Q$1005,1))</f>
        <v>0</v>
      </c>
      <c r="AB756" s="96">
        <f>IF(R756=0,0,COUNTIFS('RECEBIMENTOS'!$R$6:$R$1005,A756,'RECEBIMENTOS'!$Z$6:$Z$1005,1))</f>
        <v>0</v>
      </c>
      <c r="AC756" s="96">
        <f>IF(R756=0,0,COUNTIFS('RECEBIMENTOS'!$R$6:$R$1005,A756,'RECEBIMENTOS'!$Y$6:$Y$1005,1))</f>
        <v>0</v>
      </c>
      <c r="AD756" s="96">
        <f>IF(R756=0,0,COUNTIFS('VÍNCULOS_CDF'!$R$6:$R$1005,A756,'VÍNCULOS_CDF'!$N$6:$N$1005,1))</f>
        <v>0</v>
      </c>
      <c r="AE756" s="96">
        <f>IF(R756=0,0,COUNTIFS('VÍNCULOS_CDF'!$R$6:$R$1005,A756,'VÍNCULOS_CDF'!$AA$6:$AA$1005,1))</f>
        <v>0</v>
      </c>
      <c r="AF756" s="96">
        <f>IF(R756=0,0,COUNTIFS('VÍNCULOS_CDF'!$R$6:$R$1005,A756,'VÍNCULOS_CDF'!$Y$6:$Y$1005,1))</f>
        <v>0</v>
      </c>
      <c r="AG756" s="96" t="str">
        <f>IF(AND(R756=1,S756&lt;&gt;"",C756&lt;&gt;""),S756&amp;"|"&amp;C756&amp;"|"&amp;G756&amp;"|"&amp;H756,"")</f>
        <v/>
      </c>
      <c r="AH756" s="96">
        <f>IF(AG756="",0,IF(SUMPRODUCT(--($AG$6:$AG$1005=AG756))&gt;1,1,0))</f>
        <v>0</v>
      </c>
      <c r="AI756" s="96">
        <f>IF(R756=0,0,IF(OR(U756=0,V756=0,Y756=0,AND(AH756=1,K756&lt;&gt;"Sim")),1,0))</f>
        <v>0</v>
      </c>
      <c r="AJ756" s="96">
        <f>IF(AND(R756=1,AA756&gt;0,AB756=AA756),1,0)</f>
        <v>0</v>
      </c>
      <c r="AK756" s="96">
        <f>IF(R756=0,0,IF(AA756&gt;0,N(L756),IF(ISNUMBER(I756),I756,0)))</f>
        <v>0</v>
      </c>
      <c r="AL756" s="96">
        <f>IF(R756=0,0,IF(AND(K756&lt;&gt;"Sim",N(M756)&gt;AK756+cfg_tol),1,0))</f>
        <v>0</v>
      </c>
      <c r="AM756" s="96">
        <f>IF(R756=0,0,IF(K756="Sim",0,IF(OR(AND(AA756&gt;0,ISNUMBER(I756),ABS(I756-N(L756))&gt;cfg_tol),AL756=1),1,0)))</f>
        <v>0</v>
      </c>
      <c r="AN756" s="96">
        <f>IF(AND(R756=1,N(M756)&gt;0,OR(N(M756)&gt;=AK756-cfg_tol,K756="Sim")),1,0)</f>
        <v>0</v>
      </c>
      <c r="AO756" s="96">
        <f>IF(AND(AN756=1,AD756&gt;0,AE756=AD756,AL756=0),1,0)</f>
        <v>0</v>
      </c>
      <c r="AP756" s="96">
        <f>IF(U756=0,0,IF(AND(INDEX('MTRs'!$AX$6:$AX$505,T756)=1,Z756=0,OR(f_res="",f_res="(Todos)",C756=f_res)),1,0))</f>
        <v>0</v>
      </c>
      <c r="AQ756" s="97" t="str">
        <f>IF(U756=0,"",INDEX('MTRs'!$AZ$6:$AZ$505,T756))</f>
        <v/>
      </c>
      <c r="AR756" s="96">
        <f>IF(U756=0,0,IF(AND(INDEX('MTRs'!$BA$6:$BA$505,T756)=1,Z756=0),1,0))</f>
        <v>0</v>
      </c>
      <c r="AS756" s="96" t="str">
        <f>IF(R756=1,A756&amp;" | MTR "&amp;IF(U756=1,INDEX('MTRs'!$B$6:$B$505,T756)&amp;"","?")&amp;" | "&amp;IF(C756="","(sem resíduo)",C756),"")</f>
        <v/>
      </c>
      <c r="AT756" s="96" t="str">
        <f>IF(R756=1,COUNTIF($R$6:R756,1),"")</f>
        <v/>
      </c>
      <c r="AU756" s="96" t="str">
        <f>IF(U756=1,INDEX('MTRs'!$I$6:$I$505,T756)&amp;"","")</f>
        <v/>
      </c>
    </row>
    <row r="757">
      <c r="A757" s="89" t="inlineStr">
        <is>
          <t>IT-000752</t>
        </is>
      </c>
      <c r="B757" s="91" t="n"/>
      <c r="C757" s="91" t="n"/>
      <c r="D757" s="94" t="str">
        <f>IF(OR(R757=0,V757=0),"",INDEX('CAD_RESÍDUOS'!$E$6:$E$205,MATCH(C757,'CAD_RESÍDUOS'!$B$6:$B$205,0))&amp;"")</f>
        <v/>
      </c>
      <c r="E757" s="94" t="str">
        <f>IF(OR(R757=0,V757=0),"",INDEX('CAD_RESÍDUOS'!$C$6:$C$205,MATCH(C757,'CAD_RESÍDUOS'!$B$6:$B$205,0))&amp;"")</f>
        <v/>
      </c>
      <c r="F757" s="94" t="str">
        <f>IF(OR(R757=0,V757=0),"",INDEX('CAD_RESÍDUOS'!$G$6:$G$205,MATCH(C757,'CAD_RESÍDUOS'!$B$6:$B$205,0))&amp;"")</f>
        <v/>
      </c>
      <c r="G757" s="98" t="n"/>
      <c r="H757" s="91" t="n"/>
      <c r="I757" s="93" t="str">
        <f>IF(R757=0,"",IF(NOT(ISNUMBER(G757)),"",IF(ISNUMBER(X757),G757*X757,"UNIDADE A CONFERIR")))</f>
        <v/>
      </c>
      <c r="J757" s="91" t="n"/>
      <c r="K757" s="91" t="n"/>
      <c r="L757" s="93" t="str">
        <f>IF(R757=0,"",SUMIFS('RECEBIMENTOS'!$H$6:$H$1005,'RECEBIMENTOS'!$R$6:$R$1005,A757,'RECEBIMENTOS'!$X$6:$X$1005,1))</f>
        <v/>
      </c>
      <c r="M757" s="93" t="str">
        <f>IF(R757=0,"",SUMIFS('VÍNCULOS_CDF'!$H$6:$H$1005,'VÍNCULOS_CDF'!$R$6:$R$1005,A757,'VÍNCULOS_CDF'!$V$6:$V$1005,1))</f>
        <v/>
      </c>
      <c r="N757" s="99" t="str">
        <f>IF(OR(R757=0,AA757=0,NOT(ISNUMBER(I757))),"",I757-N(L757))</f>
        <v/>
      </c>
      <c r="O757" s="100" t="str">
        <f>IF(OR(R757=0,AK757&lt;=0),"",N(M757)/AK757)</f>
        <v/>
      </c>
      <c r="P757" s="94" t="str">
        <f>IF(R757=0,"",IF(S757="","Sem MTR associado",IF(U757=0,"MTR inexistente",IF(C757="","Resíduo não identificado",IF(V757=0,"Resíduo fora do cadastro",IF(W757=0,"Quantidade inválida",IF(H757="","Unidade não informada",IF(NOT(ISNUMBER(I757)),"Unidade a conferir",IF(AND(AH757=1,K757&lt;&gt;"Sim"),"Possível duplicidade",IF(Z757=1,"MTR cancelado",IF(AC757&gt;0,"Recebimento com alerta",IF(AA757=0,"Aguardando recebimento",IF(AB757&lt;AA757,"Recebimento a conferir",IF(AM757=1,"Quantidade a revisar",IF(AF757&gt;0,"Vínculo a revisar",IF(AD757=0,"Aguardando CDF",IF(AN757=0,"Vínculo de CDF parcial",IF(AE757&lt;AD757,"CDF a conferir","Documentação conferida"))))))))))))))))))</f>
        <v/>
      </c>
      <c r="Q757" s="93" t="str">
        <f>IF(OR(R757=0,AA757=0),"",MAX(0,N(L757)-N(M757)))</f>
        <v/>
      </c>
      <c r="R757" s="96">
        <f>IF(COUNTA(B757:C757,G757:H757,J757:K757)&gt;0,1,0)</f>
        <v>0</v>
      </c>
      <c r="S757" s="96" t="str">
        <f>IF(B757="","",TRIM(LEFT(B757,FIND(" |",B757&amp;" |")-1)))</f>
        <v/>
      </c>
      <c r="T757" s="96" t="str">
        <f>IF(S757="","",IFERROR(MATCH(S757,'MTRs'!$A$6:$A$505,0),""))</f>
        <v/>
      </c>
      <c r="U757" s="96">
        <f>IF(T757="",0,IF(INDEX('MTRs'!$Z$6:$Z$505,T757)=1,1,0))</f>
        <v>0</v>
      </c>
      <c r="V757" s="96">
        <f>IF(C757="",0,IF(ISNUMBER(MATCH(C757,'CAD_RESÍDUOS'!$B$6:$B$205,0)),1,0))</f>
        <v>0</v>
      </c>
      <c r="W757" s="96">
        <f>IF(AND(ISNUMBER(G757),G757&gt;0),1,0)</f>
        <v>0</v>
      </c>
      <c r="X757" s="96" t="str">
        <f>IF(H757="","",IFERROR(IF(ISNUMBER(INDEX(cfg_fac,MATCH(H757,cfg_units,0))),IF(INDEX(cfg_fac,MATCH(H757,cfg_units,0))&gt;0,INDEX(cfg_fac,MATCH(H757,cfg_units,0)),""),""),""))</f>
        <v/>
      </c>
      <c r="Y757" s="96">
        <f>IF(AND(W757=1,ISNUMBER(I757)),1,0)</f>
        <v>0</v>
      </c>
      <c r="Z757" s="96">
        <f>IF(U757=1,INDEX('MTRs'!$AA$6:$AA$505,T757),0)</f>
        <v>0</v>
      </c>
      <c r="AA757" s="96">
        <f>IF(R757=0,0,COUNTIFS('RECEBIMENTOS'!$R$6:$R$1005,A757,'RECEBIMENTOS'!$Q$6:$Q$1005,1))</f>
        <v>0</v>
      </c>
      <c r="AB757" s="96">
        <f>IF(R757=0,0,COUNTIFS('RECEBIMENTOS'!$R$6:$R$1005,A757,'RECEBIMENTOS'!$Z$6:$Z$1005,1))</f>
        <v>0</v>
      </c>
      <c r="AC757" s="96">
        <f>IF(R757=0,0,COUNTIFS('RECEBIMENTOS'!$R$6:$R$1005,A757,'RECEBIMENTOS'!$Y$6:$Y$1005,1))</f>
        <v>0</v>
      </c>
      <c r="AD757" s="96">
        <f>IF(R757=0,0,COUNTIFS('VÍNCULOS_CDF'!$R$6:$R$1005,A757,'VÍNCULOS_CDF'!$N$6:$N$1005,1))</f>
        <v>0</v>
      </c>
      <c r="AE757" s="96">
        <f>IF(R757=0,0,COUNTIFS('VÍNCULOS_CDF'!$R$6:$R$1005,A757,'VÍNCULOS_CDF'!$AA$6:$AA$1005,1))</f>
        <v>0</v>
      </c>
      <c r="AF757" s="96">
        <f>IF(R757=0,0,COUNTIFS('VÍNCULOS_CDF'!$R$6:$R$1005,A757,'VÍNCULOS_CDF'!$Y$6:$Y$1005,1))</f>
        <v>0</v>
      </c>
      <c r="AG757" s="96" t="str">
        <f>IF(AND(R757=1,S757&lt;&gt;"",C757&lt;&gt;""),S757&amp;"|"&amp;C757&amp;"|"&amp;G757&amp;"|"&amp;H757,"")</f>
        <v/>
      </c>
      <c r="AH757" s="96">
        <f>IF(AG757="",0,IF(SUMPRODUCT(--($AG$6:$AG$1005=AG757))&gt;1,1,0))</f>
        <v>0</v>
      </c>
      <c r="AI757" s="96">
        <f>IF(R757=0,0,IF(OR(U757=0,V757=0,Y757=0,AND(AH757=1,K757&lt;&gt;"Sim")),1,0))</f>
        <v>0</v>
      </c>
      <c r="AJ757" s="96">
        <f>IF(AND(R757=1,AA757&gt;0,AB757=AA757),1,0)</f>
        <v>0</v>
      </c>
      <c r="AK757" s="96">
        <f>IF(R757=0,0,IF(AA757&gt;0,N(L757),IF(ISNUMBER(I757),I757,0)))</f>
        <v>0</v>
      </c>
      <c r="AL757" s="96">
        <f>IF(R757=0,0,IF(AND(K757&lt;&gt;"Sim",N(M757)&gt;AK757+cfg_tol),1,0))</f>
        <v>0</v>
      </c>
      <c r="AM757" s="96">
        <f>IF(R757=0,0,IF(K757="Sim",0,IF(OR(AND(AA757&gt;0,ISNUMBER(I757),ABS(I757-N(L757))&gt;cfg_tol),AL757=1),1,0)))</f>
        <v>0</v>
      </c>
      <c r="AN757" s="96">
        <f>IF(AND(R757=1,N(M757)&gt;0,OR(N(M757)&gt;=AK757-cfg_tol,K757="Sim")),1,0)</f>
        <v>0</v>
      </c>
      <c r="AO757" s="96">
        <f>IF(AND(AN757=1,AD757&gt;0,AE757=AD757,AL757=0),1,0)</f>
        <v>0</v>
      </c>
      <c r="AP757" s="96">
        <f>IF(U757=0,0,IF(AND(INDEX('MTRs'!$AX$6:$AX$505,T757)=1,Z757=0,OR(f_res="",f_res="(Todos)",C757=f_res)),1,0))</f>
        <v>0</v>
      </c>
      <c r="AQ757" s="97" t="str">
        <f>IF(U757=0,"",INDEX('MTRs'!$AZ$6:$AZ$505,T757))</f>
        <v/>
      </c>
      <c r="AR757" s="96">
        <f>IF(U757=0,0,IF(AND(INDEX('MTRs'!$BA$6:$BA$505,T757)=1,Z757=0),1,0))</f>
        <v>0</v>
      </c>
      <c r="AS757" s="96" t="str">
        <f>IF(R757=1,A757&amp;" | MTR "&amp;IF(U757=1,INDEX('MTRs'!$B$6:$B$505,T757)&amp;"","?")&amp;" | "&amp;IF(C757="","(sem resíduo)",C757),"")</f>
        <v/>
      </c>
      <c r="AT757" s="96" t="str">
        <f>IF(R757=1,COUNTIF($R$6:R757,1),"")</f>
        <v/>
      </c>
      <c r="AU757" s="96" t="str">
        <f>IF(U757=1,INDEX('MTRs'!$I$6:$I$505,T757)&amp;"","")</f>
        <v/>
      </c>
    </row>
    <row r="758">
      <c r="A758" s="89" t="inlineStr">
        <is>
          <t>IT-000753</t>
        </is>
      </c>
      <c r="B758" s="91" t="n"/>
      <c r="C758" s="91" t="n"/>
      <c r="D758" s="94" t="str">
        <f>IF(OR(R758=0,V758=0),"",INDEX('CAD_RESÍDUOS'!$E$6:$E$205,MATCH(C758,'CAD_RESÍDUOS'!$B$6:$B$205,0))&amp;"")</f>
        <v/>
      </c>
      <c r="E758" s="94" t="str">
        <f>IF(OR(R758=0,V758=0),"",INDEX('CAD_RESÍDUOS'!$C$6:$C$205,MATCH(C758,'CAD_RESÍDUOS'!$B$6:$B$205,0))&amp;"")</f>
        <v/>
      </c>
      <c r="F758" s="94" t="str">
        <f>IF(OR(R758=0,V758=0),"",INDEX('CAD_RESÍDUOS'!$G$6:$G$205,MATCH(C758,'CAD_RESÍDUOS'!$B$6:$B$205,0))&amp;"")</f>
        <v/>
      </c>
      <c r="G758" s="98" t="n"/>
      <c r="H758" s="91" t="n"/>
      <c r="I758" s="93" t="str">
        <f>IF(R758=0,"",IF(NOT(ISNUMBER(G758)),"",IF(ISNUMBER(X758),G758*X758,"UNIDADE A CONFERIR")))</f>
        <v/>
      </c>
      <c r="J758" s="91" t="n"/>
      <c r="K758" s="91" t="n"/>
      <c r="L758" s="93" t="str">
        <f>IF(R758=0,"",SUMIFS('RECEBIMENTOS'!$H$6:$H$1005,'RECEBIMENTOS'!$R$6:$R$1005,A758,'RECEBIMENTOS'!$X$6:$X$1005,1))</f>
        <v/>
      </c>
      <c r="M758" s="93" t="str">
        <f>IF(R758=0,"",SUMIFS('VÍNCULOS_CDF'!$H$6:$H$1005,'VÍNCULOS_CDF'!$R$6:$R$1005,A758,'VÍNCULOS_CDF'!$V$6:$V$1005,1))</f>
        <v/>
      </c>
      <c r="N758" s="99" t="str">
        <f>IF(OR(R758=0,AA758=0,NOT(ISNUMBER(I758))),"",I758-N(L758))</f>
        <v/>
      </c>
      <c r="O758" s="100" t="str">
        <f>IF(OR(R758=0,AK758&lt;=0),"",N(M758)/AK758)</f>
        <v/>
      </c>
      <c r="P758" s="94" t="str">
        <f>IF(R758=0,"",IF(S758="","Sem MTR associado",IF(U758=0,"MTR inexistente",IF(C758="","Resíduo não identificado",IF(V758=0,"Resíduo fora do cadastro",IF(W758=0,"Quantidade inválida",IF(H758="","Unidade não informada",IF(NOT(ISNUMBER(I758)),"Unidade a conferir",IF(AND(AH758=1,K758&lt;&gt;"Sim"),"Possível duplicidade",IF(Z758=1,"MTR cancelado",IF(AC758&gt;0,"Recebimento com alerta",IF(AA758=0,"Aguardando recebimento",IF(AB758&lt;AA758,"Recebimento a conferir",IF(AM758=1,"Quantidade a revisar",IF(AF758&gt;0,"Vínculo a revisar",IF(AD758=0,"Aguardando CDF",IF(AN758=0,"Vínculo de CDF parcial",IF(AE758&lt;AD758,"CDF a conferir","Documentação conferida"))))))))))))))))))</f>
        <v/>
      </c>
      <c r="Q758" s="93" t="str">
        <f>IF(OR(R758=0,AA758=0),"",MAX(0,N(L758)-N(M758)))</f>
        <v/>
      </c>
      <c r="R758" s="96">
        <f>IF(COUNTA(B758:C758,G758:H758,J758:K758)&gt;0,1,0)</f>
        <v>0</v>
      </c>
      <c r="S758" s="96" t="str">
        <f>IF(B758="","",TRIM(LEFT(B758,FIND(" |",B758&amp;" |")-1)))</f>
        <v/>
      </c>
      <c r="T758" s="96" t="str">
        <f>IF(S758="","",IFERROR(MATCH(S758,'MTRs'!$A$6:$A$505,0),""))</f>
        <v/>
      </c>
      <c r="U758" s="96">
        <f>IF(T758="",0,IF(INDEX('MTRs'!$Z$6:$Z$505,T758)=1,1,0))</f>
        <v>0</v>
      </c>
      <c r="V758" s="96">
        <f>IF(C758="",0,IF(ISNUMBER(MATCH(C758,'CAD_RESÍDUOS'!$B$6:$B$205,0)),1,0))</f>
        <v>0</v>
      </c>
      <c r="W758" s="96">
        <f>IF(AND(ISNUMBER(G758),G758&gt;0),1,0)</f>
        <v>0</v>
      </c>
      <c r="X758" s="96" t="str">
        <f>IF(H758="","",IFERROR(IF(ISNUMBER(INDEX(cfg_fac,MATCH(H758,cfg_units,0))),IF(INDEX(cfg_fac,MATCH(H758,cfg_units,0))&gt;0,INDEX(cfg_fac,MATCH(H758,cfg_units,0)),""),""),""))</f>
        <v/>
      </c>
      <c r="Y758" s="96">
        <f>IF(AND(W758=1,ISNUMBER(I758)),1,0)</f>
        <v>0</v>
      </c>
      <c r="Z758" s="96">
        <f>IF(U758=1,INDEX('MTRs'!$AA$6:$AA$505,T758),0)</f>
        <v>0</v>
      </c>
      <c r="AA758" s="96">
        <f>IF(R758=0,0,COUNTIFS('RECEBIMENTOS'!$R$6:$R$1005,A758,'RECEBIMENTOS'!$Q$6:$Q$1005,1))</f>
        <v>0</v>
      </c>
      <c r="AB758" s="96">
        <f>IF(R758=0,0,COUNTIFS('RECEBIMENTOS'!$R$6:$R$1005,A758,'RECEBIMENTOS'!$Z$6:$Z$1005,1))</f>
        <v>0</v>
      </c>
      <c r="AC758" s="96">
        <f>IF(R758=0,0,COUNTIFS('RECEBIMENTOS'!$R$6:$R$1005,A758,'RECEBIMENTOS'!$Y$6:$Y$1005,1))</f>
        <v>0</v>
      </c>
      <c r="AD758" s="96">
        <f>IF(R758=0,0,COUNTIFS('VÍNCULOS_CDF'!$R$6:$R$1005,A758,'VÍNCULOS_CDF'!$N$6:$N$1005,1))</f>
        <v>0</v>
      </c>
      <c r="AE758" s="96">
        <f>IF(R758=0,0,COUNTIFS('VÍNCULOS_CDF'!$R$6:$R$1005,A758,'VÍNCULOS_CDF'!$AA$6:$AA$1005,1))</f>
        <v>0</v>
      </c>
      <c r="AF758" s="96">
        <f>IF(R758=0,0,COUNTIFS('VÍNCULOS_CDF'!$R$6:$R$1005,A758,'VÍNCULOS_CDF'!$Y$6:$Y$1005,1))</f>
        <v>0</v>
      </c>
      <c r="AG758" s="96" t="str">
        <f>IF(AND(R758=1,S758&lt;&gt;"",C758&lt;&gt;""),S758&amp;"|"&amp;C758&amp;"|"&amp;G758&amp;"|"&amp;H758,"")</f>
        <v/>
      </c>
      <c r="AH758" s="96">
        <f>IF(AG758="",0,IF(SUMPRODUCT(--($AG$6:$AG$1005=AG758))&gt;1,1,0))</f>
        <v>0</v>
      </c>
      <c r="AI758" s="96">
        <f>IF(R758=0,0,IF(OR(U758=0,V758=0,Y758=0,AND(AH758=1,K758&lt;&gt;"Sim")),1,0))</f>
        <v>0</v>
      </c>
      <c r="AJ758" s="96">
        <f>IF(AND(R758=1,AA758&gt;0,AB758=AA758),1,0)</f>
        <v>0</v>
      </c>
      <c r="AK758" s="96">
        <f>IF(R758=0,0,IF(AA758&gt;0,N(L758),IF(ISNUMBER(I758),I758,0)))</f>
        <v>0</v>
      </c>
      <c r="AL758" s="96">
        <f>IF(R758=0,0,IF(AND(K758&lt;&gt;"Sim",N(M758)&gt;AK758+cfg_tol),1,0))</f>
        <v>0</v>
      </c>
      <c r="AM758" s="96">
        <f>IF(R758=0,0,IF(K758="Sim",0,IF(OR(AND(AA758&gt;0,ISNUMBER(I758),ABS(I758-N(L758))&gt;cfg_tol),AL758=1),1,0)))</f>
        <v>0</v>
      </c>
      <c r="AN758" s="96">
        <f>IF(AND(R758=1,N(M758)&gt;0,OR(N(M758)&gt;=AK758-cfg_tol,K758="Sim")),1,0)</f>
        <v>0</v>
      </c>
      <c r="AO758" s="96">
        <f>IF(AND(AN758=1,AD758&gt;0,AE758=AD758,AL758=0),1,0)</f>
        <v>0</v>
      </c>
      <c r="AP758" s="96">
        <f>IF(U758=0,0,IF(AND(INDEX('MTRs'!$AX$6:$AX$505,T758)=1,Z758=0,OR(f_res="",f_res="(Todos)",C758=f_res)),1,0))</f>
        <v>0</v>
      </c>
      <c r="AQ758" s="97" t="str">
        <f>IF(U758=0,"",INDEX('MTRs'!$AZ$6:$AZ$505,T758))</f>
        <v/>
      </c>
      <c r="AR758" s="96">
        <f>IF(U758=0,0,IF(AND(INDEX('MTRs'!$BA$6:$BA$505,T758)=1,Z758=0),1,0))</f>
        <v>0</v>
      </c>
      <c r="AS758" s="96" t="str">
        <f>IF(R758=1,A758&amp;" | MTR "&amp;IF(U758=1,INDEX('MTRs'!$B$6:$B$505,T758)&amp;"","?")&amp;" | "&amp;IF(C758="","(sem resíduo)",C758),"")</f>
        <v/>
      </c>
      <c r="AT758" s="96" t="str">
        <f>IF(R758=1,COUNTIF($R$6:R758,1),"")</f>
        <v/>
      </c>
      <c r="AU758" s="96" t="str">
        <f>IF(U758=1,INDEX('MTRs'!$I$6:$I$505,T758)&amp;"","")</f>
        <v/>
      </c>
    </row>
    <row r="759">
      <c r="A759" s="89" t="inlineStr">
        <is>
          <t>IT-000754</t>
        </is>
      </c>
      <c r="B759" s="91" t="n"/>
      <c r="C759" s="91" t="n"/>
      <c r="D759" s="94" t="str">
        <f>IF(OR(R759=0,V759=0),"",INDEX('CAD_RESÍDUOS'!$E$6:$E$205,MATCH(C759,'CAD_RESÍDUOS'!$B$6:$B$205,0))&amp;"")</f>
        <v/>
      </c>
      <c r="E759" s="94" t="str">
        <f>IF(OR(R759=0,V759=0),"",INDEX('CAD_RESÍDUOS'!$C$6:$C$205,MATCH(C759,'CAD_RESÍDUOS'!$B$6:$B$205,0))&amp;"")</f>
        <v/>
      </c>
      <c r="F759" s="94" t="str">
        <f>IF(OR(R759=0,V759=0),"",INDEX('CAD_RESÍDUOS'!$G$6:$G$205,MATCH(C759,'CAD_RESÍDUOS'!$B$6:$B$205,0))&amp;"")</f>
        <v/>
      </c>
      <c r="G759" s="98" t="n"/>
      <c r="H759" s="91" t="n"/>
      <c r="I759" s="93" t="str">
        <f>IF(R759=0,"",IF(NOT(ISNUMBER(G759)),"",IF(ISNUMBER(X759),G759*X759,"UNIDADE A CONFERIR")))</f>
        <v/>
      </c>
      <c r="J759" s="91" t="n"/>
      <c r="K759" s="91" t="n"/>
      <c r="L759" s="93" t="str">
        <f>IF(R759=0,"",SUMIFS('RECEBIMENTOS'!$H$6:$H$1005,'RECEBIMENTOS'!$R$6:$R$1005,A759,'RECEBIMENTOS'!$X$6:$X$1005,1))</f>
        <v/>
      </c>
      <c r="M759" s="93" t="str">
        <f>IF(R759=0,"",SUMIFS('VÍNCULOS_CDF'!$H$6:$H$1005,'VÍNCULOS_CDF'!$R$6:$R$1005,A759,'VÍNCULOS_CDF'!$V$6:$V$1005,1))</f>
        <v/>
      </c>
      <c r="N759" s="99" t="str">
        <f>IF(OR(R759=0,AA759=0,NOT(ISNUMBER(I759))),"",I759-N(L759))</f>
        <v/>
      </c>
      <c r="O759" s="100" t="str">
        <f>IF(OR(R759=0,AK759&lt;=0),"",N(M759)/AK759)</f>
        <v/>
      </c>
      <c r="P759" s="94" t="str">
        <f>IF(R759=0,"",IF(S759="","Sem MTR associado",IF(U759=0,"MTR inexistente",IF(C759="","Resíduo não identificado",IF(V759=0,"Resíduo fora do cadastro",IF(W759=0,"Quantidade inválida",IF(H759="","Unidade não informada",IF(NOT(ISNUMBER(I759)),"Unidade a conferir",IF(AND(AH759=1,K759&lt;&gt;"Sim"),"Possível duplicidade",IF(Z759=1,"MTR cancelado",IF(AC759&gt;0,"Recebimento com alerta",IF(AA759=0,"Aguardando recebimento",IF(AB759&lt;AA759,"Recebimento a conferir",IF(AM759=1,"Quantidade a revisar",IF(AF759&gt;0,"Vínculo a revisar",IF(AD759=0,"Aguardando CDF",IF(AN759=0,"Vínculo de CDF parcial",IF(AE759&lt;AD759,"CDF a conferir","Documentação conferida"))))))))))))))))))</f>
        <v/>
      </c>
      <c r="Q759" s="93" t="str">
        <f>IF(OR(R759=0,AA759=0),"",MAX(0,N(L759)-N(M759)))</f>
        <v/>
      </c>
      <c r="R759" s="96">
        <f>IF(COUNTA(B759:C759,G759:H759,J759:K759)&gt;0,1,0)</f>
        <v>0</v>
      </c>
      <c r="S759" s="96" t="str">
        <f>IF(B759="","",TRIM(LEFT(B759,FIND(" |",B759&amp;" |")-1)))</f>
        <v/>
      </c>
      <c r="T759" s="96" t="str">
        <f>IF(S759="","",IFERROR(MATCH(S759,'MTRs'!$A$6:$A$505,0),""))</f>
        <v/>
      </c>
      <c r="U759" s="96">
        <f>IF(T759="",0,IF(INDEX('MTRs'!$Z$6:$Z$505,T759)=1,1,0))</f>
        <v>0</v>
      </c>
      <c r="V759" s="96">
        <f>IF(C759="",0,IF(ISNUMBER(MATCH(C759,'CAD_RESÍDUOS'!$B$6:$B$205,0)),1,0))</f>
        <v>0</v>
      </c>
      <c r="W759" s="96">
        <f>IF(AND(ISNUMBER(G759),G759&gt;0),1,0)</f>
        <v>0</v>
      </c>
      <c r="X759" s="96" t="str">
        <f>IF(H759="","",IFERROR(IF(ISNUMBER(INDEX(cfg_fac,MATCH(H759,cfg_units,0))),IF(INDEX(cfg_fac,MATCH(H759,cfg_units,0))&gt;0,INDEX(cfg_fac,MATCH(H759,cfg_units,0)),""),""),""))</f>
        <v/>
      </c>
      <c r="Y759" s="96">
        <f>IF(AND(W759=1,ISNUMBER(I759)),1,0)</f>
        <v>0</v>
      </c>
      <c r="Z759" s="96">
        <f>IF(U759=1,INDEX('MTRs'!$AA$6:$AA$505,T759),0)</f>
        <v>0</v>
      </c>
      <c r="AA759" s="96">
        <f>IF(R759=0,0,COUNTIFS('RECEBIMENTOS'!$R$6:$R$1005,A759,'RECEBIMENTOS'!$Q$6:$Q$1005,1))</f>
        <v>0</v>
      </c>
      <c r="AB759" s="96">
        <f>IF(R759=0,0,COUNTIFS('RECEBIMENTOS'!$R$6:$R$1005,A759,'RECEBIMENTOS'!$Z$6:$Z$1005,1))</f>
        <v>0</v>
      </c>
      <c r="AC759" s="96">
        <f>IF(R759=0,0,COUNTIFS('RECEBIMENTOS'!$R$6:$R$1005,A759,'RECEBIMENTOS'!$Y$6:$Y$1005,1))</f>
        <v>0</v>
      </c>
      <c r="AD759" s="96">
        <f>IF(R759=0,0,COUNTIFS('VÍNCULOS_CDF'!$R$6:$R$1005,A759,'VÍNCULOS_CDF'!$N$6:$N$1005,1))</f>
        <v>0</v>
      </c>
      <c r="AE759" s="96">
        <f>IF(R759=0,0,COUNTIFS('VÍNCULOS_CDF'!$R$6:$R$1005,A759,'VÍNCULOS_CDF'!$AA$6:$AA$1005,1))</f>
        <v>0</v>
      </c>
      <c r="AF759" s="96">
        <f>IF(R759=0,0,COUNTIFS('VÍNCULOS_CDF'!$R$6:$R$1005,A759,'VÍNCULOS_CDF'!$Y$6:$Y$1005,1))</f>
        <v>0</v>
      </c>
      <c r="AG759" s="96" t="str">
        <f>IF(AND(R759=1,S759&lt;&gt;"",C759&lt;&gt;""),S759&amp;"|"&amp;C759&amp;"|"&amp;G759&amp;"|"&amp;H759,"")</f>
        <v/>
      </c>
      <c r="AH759" s="96">
        <f>IF(AG759="",0,IF(SUMPRODUCT(--($AG$6:$AG$1005=AG759))&gt;1,1,0))</f>
        <v>0</v>
      </c>
      <c r="AI759" s="96">
        <f>IF(R759=0,0,IF(OR(U759=0,V759=0,Y759=0,AND(AH759=1,K759&lt;&gt;"Sim")),1,0))</f>
        <v>0</v>
      </c>
      <c r="AJ759" s="96">
        <f>IF(AND(R759=1,AA759&gt;0,AB759=AA759),1,0)</f>
        <v>0</v>
      </c>
      <c r="AK759" s="96">
        <f>IF(R759=0,0,IF(AA759&gt;0,N(L759),IF(ISNUMBER(I759),I759,0)))</f>
        <v>0</v>
      </c>
      <c r="AL759" s="96">
        <f>IF(R759=0,0,IF(AND(K759&lt;&gt;"Sim",N(M759)&gt;AK759+cfg_tol),1,0))</f>
        <v>0</v>
      </c>
      <c r="AM759" s="96">
        <f>IF(R759=0,0,IF(K759="Sim",0,IF(OR(AND(AA759&gt;0,ISNUMBER(I759),ABS(I759-N(L759))&gt;cfg_tol),AL759=1),1,0)))</f>
        <v>0</v>
      </c>
      <c r="AN759" s="96">
        <f>IF(AND(R759=1,N(M759)&gt;0,OR(N(M759)&gt;=AK759-cfg_tol,K759="Sim")),1,0)</f>
        <v>0</v>
      </c>
      <c r="AO759" s="96">
        <f>IF(AND(AN759=1,AD759&gt;0,AE759=AD759,AL759=0),1,0)</f>
        <v>0</v>
      </c>
      <c r="AP759" s="96">
        <f>IF(U759=0,0,IF(AND(INDEX('MTRs'!$AX$6:$AX$505,T759)=1,Z759=0,OR(f_res="",f_res="(Todos)",C759=f_res)),1,0))</f>
        <v>0</v>
      </c>
      <c r="AQ759" s="97" t="str">
        <f>IF(U759=0,"",INDEX('MTRs'!$AZ$6:$AZ$505,T759))</f>
        <v/>
      </c>
      <c r="AR759" s="96">
        <f>IF(U759=0,0,IF(AND(INDEX('MTRs'!$BA$6:$BA$505,T759)=1,Z759=0),1,0))</f>
        <v>0</v>
      </c>
      <c r="AS759" s="96" t="str">
        <f>IF(R759=1,A759&amp;" | MTR "&amp;IF(U759=1,INDEX('MTRs'!$B$6:$B$505,T759)&amp;"","?")&amp;" | "&amp;IF(C759="","(sem resíduo)",C759),"")</f>
        <v/>
      </c>
      <c r="AT759" s="96" t="str">
        <f>IF(R759=1,COUNTIF($R$6:R759,1),"")</f>
        <v/>
      </c>
      <c r="AU759" s="96" t="str">
        <f>IF(U759=1,INDEX('MTRs'!$I$6:$I$505,T759)&amp;"","")</f>
        <v/>
      </c>
    </row>
    <row r="760">
      <c r="A760" s="89" t="inlineStr">
        <is>
          <t>IT-000755</t>
        </is>
      </c>
      <c r="B760" s="91" t="n"/>
      <c r="C760" s="91" t="n"/>
      <c r="D760" s="94" t="str">
        <f>IF(OR(R760=0,V760=0),"",INDEX('CAD_RESÍDUOS'!$E$6:$E$205,MATCH(C760,'CAD_RESÍDUOS'!$B$6:$B$205,0))&amp;"")</f>
        <v/>
      </c>
      <c r="E760" s="94" t="str">
        <f>IF(OR(R760=0,V760=0),"",INDEX('CAD_RESÍDUOS'!$C$6:$C$205,MATCH(C760,'CAD_RESÍDUOS'!$B$6:$B$205,0))&amp;"")</f>
        <v/>
      </c>
      <c r="F760" s="94" t="str">
        <f>IF(OR(R760=0,V760=0),"",INDEX('CAD_RESÍDUOS'!$G$6:$G$205,MATCH(C760,'CAD_RESÍDUOS'!$B$6:$B$205,0))&amp;"")</f>
        <v/>
      </c>
      <c r="G760" s="98" t="n"/>
      <c r="H760" s="91" t="n"/>
      <c r="I760" s="93" t="str">
        <f>IF(R760=0,"",IF(NOT(ISNUMBER(G760)),"",IF(ISNUMBER(X760),G760*X760,"UNIDADE A CONFERIR")))</f>
        <v/>
      </c>
      <c r="J760" s="91" t="n"/>
      <c r="K760" s="91" t="n"/>
      <c r="L760" s="93" t="str">
        <f>IF(R760=0,"",SUMIFS('RECEBIMENTOS'!$H$6:$H$1005,'RECEBIMENTOS'!$R$6:$R$1005,A760,'RECEBIMENTOS'!$X$6:$X$1005,1))</f>
        <v/>
      </c>
      <c r="M760" s="93" t="str">
        <f>IF(R760=0,"",SUMIFS('VÍNCULOS_CDF'!$H$6:$H$1005,'VÍNCULOS_CDF'!$R$6:$R$1005,A760,'VÍNCULOS_CDF'!$V$6:$V$1005,1))</f>
        <v/>
      </c>
      <c r="N760" s="99" t="str">
        <f>IF(OR(R760=0,AA760=0,NOT(ISNUMBER(I760))),"",I760-N(L760))</f>
        <v/>
      </c>
      <c r="O760" s="100" t="str">
        <f>IF(OR(R760=0,AK760&lt;=0),"",N(M760)/AK760)</f>
        <v/>
      </c>
      <c r="P760" s="94" t="str">
        <f>IF(R760=0,"",IF(S760="","Sem MTR associado",IF(U760=0,"MTR inexistente",IF(C760="","Resíduo não identificado",IF(V760=0,"Resíduo fora do cadastro",IF(W760=0,"Quantidade inválida",IF(H760="","Unidade não informada",IF(NOT(ISNUMBER(I760)),"Unidade a conferir",IF(AND(AH760=1,K760&lt;&gt;"Sim"),"Possível duplicidade",IF(Z760=1,"MTR cancelado",IF(AC760&gt;0,"Recebimento com alerta",IF(AA760=0,"Aguardando recebimento",IF(AB760&lt;AA760,"Recebimento a conferir",IF(AM760=1,"Quantidade a revisar",IF(AF760&gt;0,"Vínculo a revisar",IF(AD760=0,"Aguardando CDF",IF(AN760=0,"Vínculo de CDF parcial",IF(AE760&lt;AD760,"CDF a conferir","Documentação conferida"))))))))))))))))))</f>
        <v/>
      </c>
      <c r="Q760" s="93" t="str">
        <f>IF(OR(R760=0,AA760=0),"",MAX(0,N(L760)-N(M760)))</f>
        <v/>
      </c>
      <c r="R760" s="96">
        <f>IF(COUNTA(B760:C760,G760:H760,J760:K760)&gt;0,1,0)</f>
        <v>0</v>
      </c>
      <c r="S760" s="96" t="str">
        <f>IF(B760="","",TRIM(LEFT(B760,FIND(" |",B760&amp;" |")-1)))</f>
        <v/>
      </c>
      <c r="T760" s="96" t="str">
        <f>IF(S760="","",IFERROR(MATCH(S760,'MTRs'!$A$6:$A$505,0),""))</f>
        <v/>
      </c>
      <c r="U760" s="96">
        <f>IF(T760="",0,IF(INDEX('MTRs'!$Z$6:$Z$505,T760)=1,1,0))</f>
        <v>0</v>
      </c>
      <c r="V760" s="96">
        <f>IF(C760="",0,IF(ISNUMBER(MATCH(C760,'CAD_RESÍDUOS'!$B$6:$B$205,0)),1,0))</f>
        <v>0</v>
      </c>
      <c r="W760" s="96">
        <f>IF(AND(ISNUMBER(G760),G760&gt;0),1,0)</f>
        <v>0</v>
      </c>
      <c r="X760" s="96" t="str">
        <f>IF(H760="","",IFERROR(IF(ISNUMBER(INDEX(cfg_fac,MATCH(H760,cfg_units,0))),IF(INDEX(cfg_fac,MATCH(H760,cfg_units,0))&gt;0,INDEX(cfg_fac,MATCH(H760,cfg_units,0)),""),""),""))</f>
        <v/>
      </c>
      <c r="Y760" s="96">
        <f>IF(AND(W760=1,ISNUMBER(I760)),1,0)</f>
        <v>0</v>
      </c>
      <c r="Z760" s="96">
        <f>IF(U760=1,INDEX('MTRs'!$AA$6:$AA$505,T760),0)</f>
        <v>0</v>
      </c>
      <c r="AA760" s="96">
        <f>IF(R760=0,0,COUNTIFS('RECEBIMENTOS'!$R$6:$R$1005,A760,'RECEBIMENTOS'!$Q$6:$Q$1005,1))</f>
        <v>0</v>
      </c>
      <c r="AB760" s="96">
        <f>IF(R760=0,0,COUNTIFS('RECEBIMENTOS'!$R$6:$R$1005,A760,'RECEBIMENTOS'!$Z$6:$Z$1005,1))</f>
        <v>0</v>
      </c>
      <c r="AC760" s="96">
        <f>IF(R760=0,0,COUNTIFS('RECEBIMENTOS'!$R$6:$R$1005,A760,'RECEBIMENTOS'!$Y$6:$Y$1005,1))</f>
        <v>0</v>
      </c>
      <c r="AD760" s="96">
        <f>IF(R760=0,0,COUNTIFS('VÍNCULOS_CDF'!$R$6:$R$1005,A760,'VÍNCULOS_CDF'!$N$6:$N$1005,1))</f>
        <v>0</v>
      </c>
      <c r="AE760" s="96">
        <f>IF(R760=0,0,COUNTIFS('VÍNCULOS_CDF'!$R$6:$R$1005,A760,'VÍNCULOS_CDF'!$AA$6:$AA$1005,1))</f>
        <v>0</v>
      </c>
      <c r="AF760" s="96">
        <f>IF(R760=0,0,COUNTIFS('VÍNCULOS_CDF'!$R$6:$R$1005,A760,'VÍNCULOS_CDF'!$Y$6:$Y$1005,1))</f>
        <v>0</v>
      </c>
      <c r="AG760" s="96" t="str">
        <f>IF(AND(R760=1,S760&lt;&gt;"",C760&lt;&gt;""),S760&amp;"|"&amp;C760&amp;"|"&amp;G760&amp;"|"&amp;H760,"")</f>
        <v/>
      </c>
      <c r="AH760" s="96">
        <f>IF(AG760="",0,IF(SUMPRODUCT(--($AG$6:$AG$1005=AG760))&gt;1,1,0))</f>
        <v>0</v>
      </c>
      <c r="AI760" s="96">
        <f>IF(R760=0,0,IF(OR(U760=0,V760=0,Y760=0,AND(AH760=1,K760&lt;&gt;"Sim")),1,0))</f>
        <v>0</v>
      </c>
      <c r="AJ760" s="96">
        <f>IF(AND(R760=1,AA760&gt;0,AB760=AA760),1,0)</f>
        <v>0</v>
      </c>
      <c r="AK760" s="96">
        <f>IF(R760=0,0,IF(AA760&gt;0,N(L760),IF(ISNUMBER(I760),I760,0)))</f>
        <v>0</v>
      </c>
      <c r="AL760" s="96">
        <f>IF(R760=0,0,IF(AND(K760&lt;&gt;"Sim",N(M760)&gt;AK760+cfg_tol),1,0))</f>
        <v>0</v>
      </c>
      <c r="AM760" s="96">
        <f>IF(R760=0,0,IF(K760="Sim",0,IF(OR(AND(AA760&gt;0,ISNUMBER(I760),ABS(I760-N(L760))&gt;cfg_tol),AL760=1),1,0)))</f>
        <v>0</v>
      </c>
      <c r="AN760" s="96">
        <f>IF(AND(R760=1,N(M760)&gt;0,OR(N(M760)&gt;=AK760-cfg_tol,K760="Sim")),1,0)</f>
        <v>0</v>
      </c>
      <c r="AO760" s="96">
        <f>IF(AND(AN760=1,AD760&gt;0,AE760=AD760,AL760=0),1,0)</f>
        <v>0</v>
      </c>
      <c r="AP760" s="96">
        <f>IF(U760=0,0,IF(AND(INDEX('MTRs'!$AX$6:$AX$505,T760)=1,Z760=0,OR(f_res="",f_res="(Todos)",C760=f_res)),1,0))</f>
        <v>0</v>
      </c>
      <c r="AQ760" s="97" t="str">
        <f>IF(U760=0,"",INDEX('MTRs'!$AZ$6:$AZ$505,T760))</f>
        <v/>
      </c>
      <c r="AR760" s="96">
        <f>IF(U760=0,0,IF(AND(INDEX('MTRs'!$BA$6:$BA$505,T760)=1,Z760=0),1,0))</f>
        <v>0</v>
      </c>
      <c r="AS760" s="96" t="str">
        <f>IF(R760=1,A760&amp;" | MTR "&amp;IF(U760=1,INDEX('MTRs'!$B$6:$B$505,T760)&amp;"","?")&amp;" | "&amp;IF(C760="","(sem resíduo)",C760),"")</f>
        <v/>
      </c>
      <c r="AT760" s="96" t="str">
        <f>IF(R760=1,COUNTIF($R$6:R760,1),"")</f>
        <v/>
      </c>
      <c r="AU760" s="96" t="str">
        <f>IF(U760=1,INDEX('MTRs'!$I$6:$I$505,T760)&amp;"","")</f>
        <v/>
      </c>
    </row>
    <row r="761">
      <c r="A761" s="89" t="inlineStr">
        <is>
          <t>IT-000756</t>
        </is>
      </c>
      <c r="B761" s="91" t="n"/>
      <c r="C761" s="91" t="n"/>
      <c r="D761" s="94" t="str">
        <f>IF(OR(R761=0,V761=0),"",INDEX('CAD_RESÍDUOS'!$E$6:$E$205,MATCH(C761,'CAD_RESÍDUOS'!$B$6:$B$205,0))&amp;"")</f>
        <v/>
      </c>
      <c r="E761" s="94" t="str">
        <f>IF(OR(R761=0,V761=0),"",INDEX('CAD_RESÍDUOS'!$C$6:$C$205,MATCH(C761,'CAD_RESÍDUOS'!$B$6:$B$205,0))&amp;"")</f>
        <v/>
      </c>
      <c r="F761" s="94" t="str">
        <f>IF(OR(R761=0,V761=0),"",INDEX('CAD_RESÍDUOS'!$G$6:$G$205,MATCH(C761,'CAD_RESÍDUOS'!$B$6:$B$205,0))&amp;"")</f>
        <v/>
      </c>
      <c r="G761" s="98" t="n"/>
      <c r="H761" s="91" t="n"/>
      <c r="I761" s="93" t="str">
        <f>IF(R761=0,"",IF(NOT(ISNUMBER(G761)),"",IF(ISNUMBER(X761),G761*X761,"UNIDADE A CONFERIR")))</f>
        <v/>
      </c>
      <c r="J761" s="91" t="n"/>
      <c r="K761" s="91" t="n"/>
      <c r="L761" s="93" t="str">
        <f>IF(R761=0,"",SUMIFS('RECEBIMENTOS'!$H$6:$H$1005,'RECEBIMENTOS'!$R$6:$R$1005,A761,'RECEBIMENTOS'!$X$6:$X$1005,1))</f>
        <v/>
      </c>
      <c r="M761" s="93" t="str">
        <f>IF(R761=0,"",SUMIFS('VÍNCULOS_CDF'!$H$6:$H$1005,'VÍNCULOS_CDF'!$R$6:$R$1005,A761,'VÍNCULOS_CDF'!$V$6:$V$1005,1))</f>
        <v/>
      </c>
      <c r="N761" s="99" t="str">
        <f>IF(OR(R761=0,AA761=0,NOT(ISNUMBER(I761))),"",I761-N(L761))</f>
        <v/>
      </c>
      <c r="O761" s="100" t="str">
        <f>IF(OR(R761=0,AK761&lt;=0),"",N(M761)/AK761)</f>
        <v/>
      </c>
      <c r="P761" s="94" t="str">
        <f>IF(R761=0,"",IF(S761="","Sem MTR associado",IF(U761=0,"MTR inexistente",IF(C761="","Resíduo não identificado",IF(V761=0,"Resíduo fora do cadastro",IF(W761=0,"Quantidade inválida",IF(H761="","Unidade não informada",IF(NOT(ISNUMBER(I761)),"Unidade a conferir",IF(AND(AH761=1,K761&lt;&gt;"Sim"),"Possível duplicidade",IF(Z761=1,"MTR cancelado",IF(AC761&gt;0,"Recebimento com alerta",IF(AA761=0,"Aguardando recebimento",IF(AB761&lt;AA761,"Recebimento a conferir",IF(AM761=1,"Quantidade a revisar",IF(AF761&gt;0,"Vínculo a revisar",IF(AD761=0,"Aguardando CDF",IF(AN761=0,"Vínculo de CDF parcial",IF(AE761&lt;AD761,"CDF a conferir","Documentação conferida"))))))))))))))))))</f>
        <v/>
      </c>
      <c r="Q761" s="93" t="str">
        <f>IF(OR(R761=0,AA761=0),"",MAX(0,N(L761)-N(M761)))</f>
        <v/>
      </c>
      <c r="R761" s="96">
        <f>IF(COUNTA(B761:C761,G761:H761,J761:K761)&gt;0,1,0)</f>
        <v>0</v>
      </c>
      <c r="S761" s="96" t="str">
        <f>IF(B761="","",TRIM(LEFT(B761,FIND(" |",B761&amp;" |")-1)))</f>
        <v/>
      </c>
      <c r="T761" s="96" t="str">
        <f>IF(S761="","",IFERROR(MATCH(S761,'MTRs'!$A$6:$A$505,0),""))</f>
        <v/>
      </c>
      <c r="U761" s="96">
        <f>IF(T761="",0,IF(INDEX('MTRs'!$Z$6:$Z$505,T761)=1,1,0))</f>
        <v>0</v>
      </c>
      <c r="V761" s="96">
        <f>IF(C761="",0,IF(ISNUMBER(MATCH(C761,'CAD_RESÍDUOS'!$B$6:$B$205,0)),1,0))</f>
        <v>0</v>
      </c>
      <c r="W761" s="96">
        <f>IF(AND(ISNUMBER(G761),G761&gt;0),1,0)</f>
        <v>0</v>
      </c>
      <c r="X761" s="96" t="str">
        <f>IF(H761="","",IFERROR(IF(ISNUMBER(INDEX(cfg_fac,MATCH(H761,cfg_units,0))),IF(INDEX(cfg_fac,MATCH(H761,cfg_units,0))&gt;0,INDEX(cfg_fac,MATCH(H761,cfg_units,0)),""),""),""))</f>
        <v/>
      </c>
      <c r="Y761" s="96">
        <f>IF(AND(W761=1,ISNUMBER(I761)),1,0)</f>
        <v>0</v>
      </c>
      <c r="Z761" s="96">
        <f>IF(U761=1,INDEX('MTRs'!$AA$6:$AA$505,T761),0)</f>
        <v>0</v>
      </c>
      <c r="AA761" s="96">
        <f>IF(R761=0,0,COUNTIFS('RECEBIMENTOS'!$R$6:$R$1005,A761,'RECEBIMENTOS'!$Q$6:$Q$1005,1))</f>
        <v>0</v>
      </c>
      <c r="AB761" s="96">
        <f>IF(R761=0,0,COUNTIFS('RECEBIMENTOS'!$R$6:$R$1005,A761,'RECEBIMENTOS'!$Z$6:$Z$1005,1))</f>
        <v>0</v>
      </c>
      <c r="AC761" s="96">
        <f>IF(R761=0,0,COUNTIFS('RECEBIMENTOS'!$R$6:$R$1005,A761,'RECEBIMENTOS'!$Y$6:$Y$1005,1))</f>
        <v>0</v>
      </c>
      <c r="AD761" s="96">
        <f>IF(R761=0,0,COUNTIFS('VÍNCULOS_CDF'!$R$6:$R$1005,A761,'VÍNCULOS_CDF'!$N$6:$N$1005,1))</f>
        <v>0</v>
      </c>
      <c r="AE761" s="96">
        <f>IF(R761=0,0,COUNTIFS('VÍNCULOS_CDF'!$R$6:$R$1005,A761,'VÍNCULOS_CDF'!$AA$6:$AA$1005,1))</f>
        <v>0</v>
      </c>
      <c r="AF761" s="96">
        <f>IF(R761=0,0,COUNTIFS('VÍNCULOS_CDF'!$R$6:$R$1005,A761,'VÍNCULOS_CDF'!$Y$6:$Y$1005,1))</f>
        <v>0</v>
      </c>
      <c r="AG761" s="96" t="str">
        <f>IF(AND(R761=1,S761&lt;&gt;"",C761&lt;&gt;""),S761&amp;"|"&amp;C761&amp;"|"&amp;G761&amp;"|"&amp;H761,"")</f>
        <v/>
      </c>
      <c r="AH761" s="96">
        <f>IF(AG761="",0,IF(SUMPRODUCT(--($AG$6:$AG$1005=AG761))&gt;1,1,0))</f>
        <v>0</v>
      </c>
      <c r="AI761" s="96">
        <f>IF(R761=0,0,IF(OR(U761=0,V761=0,Y761=0,AND(AH761=1,K761&lt;&gt;"Sim")),1,0))</f>
        <v>0</v>
      </c>
      <c r="AJ761" s="96">
        <f>IF(AND(R761=1,AA761&gt;0,AB761=AA761),1,0)</f>
        <v>0</v>
      </c>
      <c r="AK761" s="96">
        <f>IF(R761=0,0,IF(AA761&gt;0,N(L761),IF(ISNUMBER(I761),I761,0)))</f>
        <v>0</v>
      </c>
      <c r="AL761" s="96">
        <f>IF(R761=0,0,IF(AND(K761&lt;&gt;"Sim",N(M761)&gt;AK761+cfg_tol),1,0))</f>
        <v>0</v>
      </c>
      <c r="AM761" s="96">
        <f>IF(R761=0,0,IF(K761="Sim",0,IF(OR(AND(AA761&gt;0,ISNUMBER(I761),ABS(I761-N(L761))&gt;cfg_tol),AL761=1),1,0)))</f>
        <v>0</v>
      </c>
      <c r="AN761" s="96">
        <f>IF(AND(R761=1,N(M761)&gt;0,OR(N(M761)&gt;=AK761-cfg_tol,K761="Sim")),1,0)</f>
        <v>0</v>
      </c>
      <c r="AO761" s="96">
        <f>IF(AND(AN761=1,AD761&gt;0,AE761=AD761,AL761=0),1,0)</f>
        <v>0</v>
      </c>
      <c r="AP761" s="96">
        <f>IF(U761=0,0,IF(AND(INDEX('MTRs'!$AX$6:$AX$505,T761)=1,Z761=0,OR(f_res="",f_res="(Todos)",C761=f_res)),1,0))</f>
        <v>0</v>
      </c>
      <c r="AQ761" s="97" t="str">
        <f>IF(U761=0,"",INDEX('MTRs'!$AZ$6:$AZ$505,T761))</f>
        <v/>
      </c>
      <c r="AR761" s="96">
        <f>IF(U761=0,0,IF(AND(INDEX('MTRs'!$BA$6:$BA$505,T761)=1,Z761=0),1,0))</f>
        <v>0</v>
      </c>
      <c r="AS761" s="96" t="str">
        <f>IF(R761=1,A761&amp;" | MTR "&amp;IF(U761=1,INDEX('MTRs'!$B$6:$B$505,T761)&amp;"","?")&amp;" | "&amp;IF(C761="","(sem resíduo)",C761),"")</f>
        <v/>
      </c>
      <c r="AT761" s="96" t="str">
        <f>IF(R761=1,COUNTIF($R$6:R761,1),"")</f>
        <v/>
      </c>
      <c r="AU761" s="96" t="str">
        <f>IF(U761=1,INDEX('MTRs'!$I$6:$I$505,T761)&amp;"","")</f>
        <v/>
      </c>
    </row>
    <row r="762">
      <c r="A762" s="89" t="inlineStr">
        <is>
          <t>IT-000757</t>
        </is>
      </c>
      <c r="B762" s="91" t="n"/>
      <c r="C762" s="91" t="n"/>
      <c r="D762" s="94" t="str">
        <f>IF(OR(R762=0,V762=0),"",INDEX('CAD_RESÍDUOS'!$E$6:$E$205,MATCH(C762,'CAD_RESÍDUOS'!$B$6:$B$205,0))&amp;"")</f>
        <v/>
      </c>
      <c r="E762" s="94" t="str">
        <f>IF(OR(R762=0,V762=0),"",INDEX('CAD_RESÍDUOS'!$C$6:$C$205,MATCH(C762,'CAD_RESÍDUOS'!$B$6:$B$205,0))&amp;"")</f>
        <v/>
      </c>
      <c r="F762" s="94" t="str">
        <f>IF(OR(R762=0,V762=0),"",INDEX('CAD_RESÍDUOS'!$G$6:$G$205,MATCH(C762,'CAD_RESÍDUOS'!$B$6:$B$205,0))&amp;"")</f>
        <v/>
      </c>
      <c r="G762" s="98" t="n"/>
      <c r="H762" s="91" t="n"/>
      <c r="I762" s="93" t="str">
        <f>IF(R762=0,"",IF(NOT(ISNUMBER(G762)),"",IF(ISNUMBER(X762),G762*X762,"UNIDADE A CONFERIR")))</f>
        <v/>
      </c>
      <c r="J762" s="91" t="n"/>
      <c r="K762" s="91" t="n"/>
      <c r="L762" s="93" t="str">
        <f>IF(R762=0,"",SUMIFS('RECEBIMENTOS'!$H$6:$H$1005,'RECEBIMENTOS'!$R$6:$R$1005,A762,'RECEBIMENTOS'!$X$6:$X$1005,1))</f>
        <v/>
      </c>
      <c r="M762" s="93" t="str">
        <f>IF(R762=0,"",SUMIFS('VÍNCULOS_CDF'!$H$6:$H$1005,'VÍNCULOS_CDF'!$R$6:$R$1005,A762,'VÍNCULOS_CDF'!$V$6:$V$1005,1))</f>
        <v/>
      </c>
      <c r="N762" s="99" t="str">
        <f>IF(OR(R762=0,AA762=0,NOT(ISNUMBER(I762))),"",I762-N(L762))</f>
        <v/>
      </c>
      <c r="O762" s="100" t="str">
        <f>IF(OR(R762=0,AK762&lt;=0),"",N(M762)/AK762)</f>
        <v/>
      </c>
      <c r="P762" s="94" t="str">
        <f>IF(R762=0,"",IF(S762="","Sem MTR associado",IF(U762=0,"MTR inexistente",IF(C762="","Resíduo não identificado",IF(V762=0,"Resíduo fora do cadastro",IF(W762=0,"Quantidade inválida",IF(H762="","Unidade não informada",IF(NOT(ISNUMBER(I762)),"Unidade a conferir",IF(AND(AH762=1,K762&lt;&gt;"Sim"),"Possível duplicidade",IF(Z762=1,"MTR cancelado",IF(AC762&gt;0,"Recebimento com alerta",IF(AA762=0,"Aguardando recebimento",IF(AB762&lt;AA762,"Recebimento a conferir",IF(AM762=1,"Quantidade a revisar",IF(AF762&gt;0,"Vínculo a revisar",IF(AD762=0,"Aguardando CDF",IF(AN762=0,"Vínculo de CDF parcial",IF(AE762&lt;AD762,"CDF a conferir","Documentação conferida"))))))))))))))))))</f>
        <v/>
      </c>
      <c r="Q762" s="93" t="str">
        <f>IF(OR(R762=0,AA762=0),"",MAX(0,N(L762)-N(M762)))</f>
        <v/>
      </c>
      <c r="R762" s="96">
        <f>IF(COUNTA(B762:C762,G762:H762,J762:K762)&gt;0,1,0)</f>
        <v>0</v>
      </c>
      <c r="S762" s="96" t="str">
        <f>IF(B762="","",TRIM(LEFT(B762,FIND(" |",B762&amp;" |")-1)))</f>
        <v/>
      </c>
      <c r="T762" s="96" t="str">
        <f>IF(S762="","",IFERROR(MATCH(S762,'MTRs'!$A$6:$A$505,0),""))</f>
        <v/>
      </c>
      <c r="U762" s="96">
        <f>IF(T762="",0,IF(INDEX('MTRs'!$Z$6:$Z$505,T762)=1,1,0))</f>
        <v>0</v>
      </c>
      <c r="V762" s="96">
        <f>IF(C762="",0,IF(ISNUMBER(MATCH(C762,'CAD_RESÍDUOS'!$B$6:$B$205,0)),1,0))</f>
        <v>0</v>
      </c>
      <c r="W762" s="96">
        <f>IF(AND(ISNUMBER(G762),G762&gt;0),1,0)</f>
        <v>0</v>
      </c>
      <c r="X762" s="96" t="str">
        <f>IF(H762="","",IFERROR(IF(ISNUMBER(INDEX(cfg_fac,MATCH(H762,cfg_units,0))),IF(INDEX(cfg_fac,MATCH(H762,cfg_units,0))&gt;0,INDEX(cfg_fac,MATCH(H762,cfg_units,0)),""),""),""))</f>
        <v/>
      </c>
      <c r="Y762" s="96">
        <f>IF(AND(W762=1,ISNUMBER(I762)),1,0)</f>
        <v>0</v>
      </c>
      <c r="Z762" s="96">
        <f>IF(U762=1,INDEX('MTRs'!$AA$6:$AA$505,T762),0)</f>
        <v>0</v>
      </c>
      <c r="AA762" s="96">
        <f>IF(R762=0,0,COUNTIFS('RECEBIMENTOS'!$R$6:$R$1005,A762,'RECEBIMENTOS'!$Q$6:$Q$1005,1))</f>
        <v>0</v>
      </c>
      <c r="AB762" s="96">
        <f>IF(R762=0,0,COUNTIFS('RECEBIMENTOS'!$R$6:$R$1005,A762,'RECEBIMENTOS'!$Z$6:$Z$1005,1))</f>
        <v>0</v>
      </c>
      <c r="AC762" s="96">
        <f>IF(R762=0,0,COUNTIFS('RECEBIMENTOS'!$R$6:$R$1005,A762,'RECEBIMENTOS'!$Y$6:$Y$1005,1))</f>
        <v>0</v>
      </c>
      <c r="AD762" s="96">
        <f>IF(R762=0,0,COUNTIFS('VÍNCULOS_CDF'!$R$6:$R$1005,A762,'VÍNCULOS_CDF'!$N$6:$N$1005,1))</f>
        <v>0</v>
      </c>
      <c r="AE762" s="96">
        <f>IF(R762=0,0,COUNTIFS('VÍNCULOS_CDF'!$R$6:$R$1005,A762,'VÍNCULOS_CDF'!$AA$6:$AA$1005,1))</f>
        <v>0</v>
      </c>
      <c r="AF762" s="96">
        <f>IF(R762=0,0,COUNTIFS('VÍNCULOS_CDF'!$R$6:$R$1005,A762,'VÍNCULOS_CDF'!$Y$6:$Y$1005,1))</f>
        <v>0</v>
      </c>
      <c r="AG762" s="96" t="str">
        <f>IF(AND(R762=1,S762&lt;&gt;"",C762&lt;&gt;""),S762&amp;"|"&amp;C762&amp;"|"&amp;G762&amp;"|"&amp;H762,"")</f>
        <v/>
      </c>
      <c r="AH762" s="96">
        <f>IF(AG762="",0,IF(SUMPRODUCT(--($AG$6:$AG$1005=AG762))&gt;1,1,0))</f>
        <v>0</v>
      </c>
      <c r="AI762" s="96">
        <f>IF(R762=0,0,IF(OR(U762=0,V762=0,Y762=0,AND(AH762=1,K762&lt;&gt;"Sim")),1,0))</f>
        <v>0</v>
      </c>
      <c r="AJ762" s="96">
        <f>IF(AND(R762=1,AA762&gt;0,AB762=AA762),1,0)</f>
        <v>0</v>
      </c>
      <c r="AK762" s="96">
        <f>IF(R762=0,0,IF(AA762&gt;0,N(L762),IF(ISNUMBER(I762),I762,0)))</f>
        <v>0</v>
      </c>
      <c r="AL762" s="96">
        <f>IF(R762=0,0,IF(AND(K762&lt;&gt;"Sim",N(M762)&gt;AK762+cfg_tol),1,0))</f>
        <v>0</v>
      </c>
      <c r="AM762" s="96">
        <f>IF(R762=0,0,IF(K762="Sim",0,IF(OR(AND(AA762&gt;0,ISNUMBER(I762),ABS(I762-N(L762))&gt;cfg_tol),AL762=1),1,0)))</f>
        <v>0</v>
      </c>
      <c r="AN762" s="96">
        <f>IF(AND(R762=1,N(M762)&gt;0,OR(N(M762)&gt;=AK762-cfg_tol,K762="Sim")),1,0)</f>
        <v>0</v>
      </c>
      <c r="AO762" s="96">
        <f>IF(AND(AN762=1,AD762&gt;0,AE762=AD762,AL762=0),1,0)</f>
        <v>0</v>
      </c>
      <c r="AP762" s="96">
        <f>IF(U762=0,0,IF(AND(INDEX('MTRs'!$AX$6:$AX$505,T762)=1,Z762=0,OR(f_res="",f_res="(Todos)",C762=f_res)),1,0))</f>
        <v>0</v>
      </c>
      <c r="AQ762" s="97" t="str">
        <f>IF(U762=0,"",INDEX('MTRs'!$AZ$6:$AZ$505,T762))</f>
        <v/>
      </c>
      <c r="AR762" s="96">
        <f>IF(U762=0,0,IF(AND(INDEX('MTRs'!$BA$6:$BA$505,T762)=1,Z762=0),1,0))</f>
        <v>0</v>
      </c>
      <c r="AS762" s="96" t="str">
        <f>IF(R762=1,A762&amp;" | MTR "&amp;IF(U762=1,INDEX('MTRs'!$B$6:$B$505,T762)&amp;"","?")&amp;" | "&amp;IF(C762="","(sem resíduo)",C762),"")</f>
        <v/>
      </c>
      <c r="AT762" s="96" t="str">
        <f>IF(R762=1,COUNTIF($R$6:R762,1),"")</f>
        <v/>
      </c>
      <c r="AU762" s="96" t="str">
        <f>IF(U762=1,INDEX('MTRs'!$I$6:$I$505,T762)&amp;"","")</f>
        <v/>
      </c>
    </row>
    <row r="763">
      <c r="A763" s="89" t="inlineStr">
        <is>
          <t>IT-000758</t>
        </is>
      </c>
      <c r="B763" s="91" t="n"/>
      <c r="C763" s="91" t="n"/>
      <c r="D763" s="94" t="str">
        <f>IF(OR(R763=0,V763=0),"",INDEX('CAD_RESÍDUOS'!$E$6:$E$205,MATCH(C763,'CAD_RESÍDUOS'!$B$6:$B$205,0))&amp;"")</f>
        <v/>
      </c>
      <c r="E763" s="94" t="str">
        <f>IF(OR(R763=0,V763=0),"",INDEX('CAD_RESÍDUOS'!$C$6:$C$205,MATCH(C763,'CAD_RESÍDUOS'!$B$6:$B$205,0))&amp;"")</f>
        <v/>
      </c>
      <c r="F763" s="94" t="str">
        <f>IF(OR(R763=0,V763=0),"",INDEX('CAD_RESÍDUOS'!$G$6:$G$205,MATCH(C763,'CAD_RESÍDUOS'!$B$6:$B$205,0))&amp;"")</f>
        <v/>
      </c>
      <c r="G763" s="98" t="n"/>
      <c r="H763" s="91" t="n"/>
      <c r="I763" s="93" t="str">
        <f>IF(R763=0,"",IF(NOT(ISNUMBER(G763)),"",IF(ISNUMBER(X763),G763*X763,"UNIDADE A CONFERIR")))</f>
        <v/>
      </c>
      <c r="J763" s="91" t="n"/>
      <c r="K763" s="91" t="n"/>
      <c r="L763" s="93" t="str">
        <f>IF(R763=0,"",SUMIFS('RECEBIMENTOS'!$H$6:$H$1005,'RECEBIMENTOS'!$R$6:$R$1005,A763,'RECEBIMENTOS'!$X$6:$X$1005,1))</f>
        <v/>
      </c>
      <c r="M763" s="93" t="str">
        <f>IF(R763=0,"",SUMIFS('VÍNCULOS_CDF'!$H$6:$H$1005,'VÍNCULOS_CDF'!$R$6:$R$1005,A763,'VÍNCULOS_CDF'!$V$6:$V$1005,1))</f>
        <v/>
      </c>
      <c r="N763" s="99" t="str">
        <f>IF(OR(R763=0,AA763=0,NOT(ISNUMBER(I763))),"",I763-N(L763))</f>
        <v/>
      </c>
      <c r="O763" s="100" t="str">
        <f>IF(OR(R763=0,AK763&lt;=0),"",N(M763)/AK763)</f>
        <v/>
      </c>
      <c r="P763" s="94" t="str">
        <f>IF(R763=0,"",IF(S763="","Sem MTR associado",IF(U763=0,"MTR inexistente",IF(C763="","Resíduo não identificado",IF(V763=0,"Resíduo fora do cadastro",IF(W763=0,"Quantidade inválida",IF(H763="","Unidade não informada",IF(NOT(ISNUMBER(I763)),"Unidade a conferir",IF(AND(AH763=1,K763&lt;&gt;"Sim"),"Possível duplicidade",IF(Z763=1,"MTR cancelado",IF(AC763&gt;0,"Recebimento com alerta",IF(AA763=0,"Aguardando recebimento",IF(AB763&lt;AA763,"Recebimento a conferir",IF(AM763=1,"Quantidade a revisar",IF(AF763&gt;0,"Vínculo a revisar",IF(AD763=0,"Aguardando CDF",IF(AN763=0,"Vínculo de CDF parcial",IF(AE763&lt;AD763,"CDF a conferir","Documentação conferida"))))))))))))))))))</f>
        <v/>
      </c>
      <c r="Q763" s="93" t="str">
        <f>IF(OR(R763=0,AA763=0),"",MAX(0,N(L763)-N(M763)))</f>
        <v/>
      </c>
      <c r="R763" s="96">
        <f>IF(COUNTA(B763:C763,G763:H763,J763:K763)&gt;0,1,0)</f>
        <v>0</v>
      </c>
      <c r="S763" s="96" t="str">
        <f>IF(B763="","",TRIM(LEFT(B763,FIND(" |",B763&amp;" |")-1)))</f>
        <v/>
      </c>
      <c r="T763" s="96" t="str">
        <f>IF(S763="","",IFERROR(MATCH(S763,'MTRs'!$A$6:$A$505,0),""))</f>
        <v/>
      </c>
      <c r="U763" s="96">
        <f>IF(T763="",0,IF(INDEX('MTRs'!$Z$6:$Z$505,T763)=1,1,0))</f>
        <v>0</v>
      </c>
      <c r="V763" s="96">
        <f>IF(C763="",0,IF(ISNUMBER(MATCH(C763,'CAD_RESÍDUOS'!$B$6:$B$205,0)),1,0))</f>
        <v>0</v>
      </c>
      <c r="W763" s="96">
        <f>IF(AND(ISNUMBER(G763),G763&gt;0),1,0)</f>
        <v>0</v>
      </c>
      <c r="X763" s="96" t="str">
        <f>IF(H763="","",IFERROR(IF(ISNUMBER(INDEX(cfg_fac,MATCH(H763,cfg_units,0))),IF(INDEX(cfg_fac,MATCH(H763,cfg_units,0))&gt;0,INDEX(cfg_fac,MATCH(H763,cfg_units,0)),""),""),""))</f>
        <v/>
      </c>
      <c r="Y763" s="96">
        <f>IF(AND(W763=1,ISNUMBER(I763)),1,0)</f>
        <v>0</v>
      </c>
      <c r="Z763" s="96">
        <f>IF(U763=1,INDEX('MTRs'!$AA$6:$AA$505,T763),0)</f>
        <v>0</v>
      </c>
      <c r="AA763" s="96">
        <f>IF(R763=0,0,COUNTIFS('RECEBIMENTOS'!$R$6:$R$1005,A763,'RECEBIMENTOS'!$Q$6:$Q$1005,1))</f>
        <v>0</v>
      </c>
      <c r="AB763" s="96">
        <f>IF(R763=0,0,COUNTIFS('RECEBIMENTOS'!$R$6:$R$1005,A763,'RECEBIMENTOS'!$Z$6:$Z$1005,1))</f>
        <v>0</v>
      </c>
      <c r="AC763" s="96">
        <f>IF(R763=0,0,COUNTIFS('RECEBIMENTOS'!$R$6:$R$1005,A763,'RECEBIMENTOS'!$Y$6:$Y$1005,1))</f>
        <v>0</v>
      </c>
      <c r="AD763" s="96">
        <f>IF(R763=0,0,COUNTIFS('VÍNCULOS_CDF'!$R$6:$R$1005,A763,'VÍNCULOS_CDF'!$N$6:$N$1005,1))</f>
        <v>0</v>
      </c>
      <c r="AE763" s="96">
        <f>IF(R763=0,0,COUNTIFS('VÍNCULOS_CDF'!$R$6:$R$1005,A763,'VÍNCULOS_CDF'!$AA$6:$AA$1005,1))</f>
        <v>0</v>
      </c>
      <c r="AF763" s="96">
        <f>IF(R763=0,0,COUNTIFS('VÍNCULOS_CDF'!$R$6:$R$1005,A763,'VÍNCULOS_CDF'!$Y$6:$Y$1005,1))</f>
        <v>0</v>
      </c>
      <c r="AG763" s="96" t="str">
        <f>IF(AND(R763=1,S763&lt;&gt;"",C763&lt;&gt;""),S763&amp;"|"&amp;C763&amp;"|"&amp;G763&amp;"|"&amp;H763,"")</f>
        <v/>
      </c>
      <c r="AH763" s="96">
        <f>IF(AG763="",0,IF(SUMPRODUCT(--($AG$6:$AG$1005=AG763))&gt;1,1,0))</f>
        <v>0</v>
      </c>
      <c r="AI763" s="96">
        <f>IF(R763=0,0,IF(OR(U763=0,V763=0,Y763=0,AND(AH763=1,K763&lt;&gt;"Sim")),1,0))</f>
        <v>0</v>
      </c>
      <c r="AJ763" s="96">
        <f>IF(AND(R763=1,AA763&gt;0,AB763=AA763),1,0)</f>
        <v>0</v>
      </c>
      <c r="AK763" s="96">
        <f>IF(R763=0,0,IF(AA763&gt;0,N(L763),IF(ISNUMBER(I763),I763,0)))</f>
        <v>0</v>
      </c>
      <c r="AL763" s="96">
        <f>IF(R763=0,0,IF(AND(K763&lt;&gt;"Sim",N(M763)&gt;AK763+cfg_tol),1,0))</f>
        <v>0</v>
      </c>
      <c r="AM763" s="96">
        <f>IF(R763=0,0,IF(K763="Sim",0,IF(OR(AND(AA763&gt;0,ISNUMBER(I763),ABS(I763-N(L763))&gt;cfg_tol),AL763=1),1,0)))</f>
        <v>0</v>
      </c>
      <c r="AN763" s="96">
        <f>IF(AND(R763=1,N(M763)&gt;0,OR(N(M763)&gt;=AK763-cfg_tol,K763="Sim")),1,0)</f>
        <v>0</v>
      </c>
      <c r="AO763" s="96">
        <f>IF(AND(AN763=1,AD763&gt;0,AE763=AD763,AL763=0),1,0)</f>
        <v>0</v>
      </c>
      <c r="AP763" s="96">
        <f>IF(U763=0,0,IF(AND(INDEX('MTRs'!$AX$6:$AX$505,T763)=1,Z763=0,OR(f_res="",f_res="(Todos)",C763=f_res)),1,0))</f>
        <v>0</v>
      </c>
      <c r="AQ763" s="97" t="str">
        <f>IF(U763=0,"",INDEX('MTRs'!$AZ$6:$AZ$505,T763))</f>
        <v/>
      </c>
      <c r="AR763" s="96">
        <f>IF(U763=0,0,IF(AND(INDEX('MTRs'!$BA$6:$BA$505,T763)=1,Z763=0),1,0))</f>
        <v>0</v>
      </c>
      <c r="AS763" s="96" t="str">
        <f>IF(R763=1,A763&amp;" | MTR "&amp;IF(U763=1,INDEX('MTRs'!$B$6:$B$505,T763)&amp;"","?")&amp;" | "&amp;IF(C763="","(sem resíduo)",C763),"")</f>
        <v/>
      </c>
      <c r="AT763" s="96" t="str">
        <f>IF(R763=1,COUNTIF($R$6:R763,1),"")</f>
        <v/>
      </c>
      <c r="AU763" s="96" t="str">
        <f>IF(U763=1,INDEX('MTRs'!$I$6:$I$505,T763)&amp;"","")</f>
        <v/>
      </c>
    </row>
    <row r="764">
      <c r="A764" s="89" t="inlineStr">
        <is>
          <t>IT-000759</t>
        </is>
      </c>
      <c r="B764" s="91" t="n"/>
      <c r="C764" s="91" t="n"/>
      <c r="D764" s="94" t="str">
        <f>IF(OR(R764=0,V764=0),"",INDEX('CAD_RESÍDUOS'!$E$6:$E$205,MATCH(C764,'CAD_RESÍDUOS'!$B$6:$B$205,0))&amp;"")</f>
        <v/>
      </c>
      <c r="E764" s="94" t="str">
        <f>IF(OR(R764=0,V764=0),"",INDEX('CAD_RESÍDUOS'!$C$6:$C$205,MATCH(C764,'CAD_RESÍDUOS'!$B$6:$B$205,0))&amp;"")</f>
        <v/>
      </c>
      <c r="F764" s="94" t="str">
        <f>IF(OR(R764=0,V764=0),"",INDEX('CAD_RESÍDUOS'!$G$6:$G$205,MATCH(C764,'CAD_RESÍDUOS'!$B$6:$B$205,0))&amp;"")</f>
        <v/>
      </c>
      <c r="G764" s="98" t="n"/>
      <c r="H764" s="91" t="n"/>
      <c r="I764" s="93" t="str">
        <f>IF(R764=0,"",IF(NOT(ISNUMBER(G764)),"",IF(ISNUMBER(X764),G764*X764,"UNIDADE A CONFERIR")))</f>
        <v/>
      </c>
      <c r="J764" s="91" t="n"/>
      <c r="K764" s="91" t="n"/>
      <c r="L764" s="93" t="str">
        <f>IF(R764=0,"",SUMIFS('RECEBIMENTOS'!$H$6:$H$1005,'RECEBIMENTOS'!$R$6:$R$1005,A764,'RECEBIMENTOS'!$X$6:$X$1005,1))</f>
        <v/>
      </c>
      <c r="M764" s="93" t="str">
        <f>IF(R764=0,"",SUMIFS('VÍNCULOS_CDF'!$H$6:$H$1005,'VÍNCULOS_CDF'!$R$6:$R$1005,A764,'VÍNCULOS_CDF'!$V$6:$V$1005,1))</f>
        <v/>
      </c>
      <c r="N764" s="99" t="str">
        <f>IF(OR(R764=0,AA764=0,NOT(ISNUMBER(I764))),"",I764-N(L764))</f>
        <v/>
      </c>
      <c r="O764" s="100" t="str">
        <f>IF(OR(R764=0,AK764&lt;=0),"",N(M764)/AK764)</f>
        <v/>
      </c>
      <c r="P764" s="94" t="str">
        <f>IF(R764=0,"",IF(S764="","Sem MTR associado",IF(U764=0,"MTR inexistente",IF(C764="","Resíduo não identificado",IF(V764=0,"Resíduo fora do cadastro",IF(W764=0,"Quantidade inválida",IF(H764="","Unidade não informada",IF(NOT(ISNUMBER(I764)),"Unidade a conferir",IF(AND(AH764=1,K764&lt;&gt;"Sim"),"Possível duplicidade",IF(Z764=1,"MTR cancelado",IF(AC764&gt;0,"Recebimento com alerta",IF(AA764=0,"Aguardando recebimento",IF(AB764&lt;AA764,"Recebimento a conferir",IF(AM764=1,"Quantidade a revisar",IF(AF764&gt;0,"Vínculo a revisar",IF(AD764=0,"Aguardando CDF",IF(AN764=0,"Vínculo de CDF parcial",IF(AE764&lt;AD764,"CDF a conferir","Documentação conferida"))))))))))))))))))</f>
        <v/>
      </c>
      <c r="Q764" s="93" t="str">
        <f>IF(OR(R764=0,AA764=0),"",MAX(0,N(L764)-N(M764)))</f>
        <v/>
      </c>
      <c r="R764" s="96">
        <f>IF(COUNTA(B764:C764,G764:H764,J764:K764)&gt;0,1,0)</f>
        <v>0</v>
      </c>
      <c r="S764" s="96" t="str">
        <f>IF(B764="","",TRIM(LEFT(B764,FIND(" |",B764&amp;" |")-1)))</f>
        <v/>
      </c>
      <c r="T764" s="96" t="str">
        <f>IF(S764="","",IFERROR(MATCH(S764,'MTRs'!$A$6:$A$505,0),""))</f>
        <v/>
      </c>
      <c r="U764" s="96">
        <f>IF(T764="",0,IF(INDEX('MTRs'!$Z$6:$Z$505,T764)=1,1,0))</f>
        <v>0</v>
      </c>
      <c r="V764" s="96">
        <f>IF(C764="",0,IF(ISNUMBER(MATCH(C764,'CAD_RESÍDUOS'!$B$6:$B$205,0)),1,0))</f>
        <v>0</v>
      </c>
      <c r="W764" s="96">
        <f>IF(AND(ISNUMBER(G764),G764&gt;0),1,0)</f>
        <v>0</v>
      </c>
      <c r="X764" s="96" t="str">
        <f>IF(H764="","",IFERROR(IF(ISNUMBER(INDEX(cfg_fac,MATCH(H764,cfg_units,0))),IF(INDEX(cfg_fac,MATCH(H764,cfg_units,0))&gt;0,INDEX(cfg_fac,MATCH(H764,cfg_units,0)),""),""),""))</f>
        <v/>
      </c>
      <c r="Y764" s="96">
        <f>IF(AND(W764=1,ISNUMBER(I764)),1,0)</f>
        <v>0</v>
      </c>
      <c r="Z764" s="96">
        <f>IF(U764=1,INDEX('MTRs'!$AA$6:$AA$505,T764),0)</f>
        <v>0</v>
      </c>
      <c r="AA764" s="96">
        <f>IF(R764=0,0,COUNTIFS('RECEBIMENTOS'!$R$6:$R$1005,A764,'RECEBIMENTOS'!$Q$6:$Q$1005,1))</f>
        <v>0</v>
      </c>
      <c r="AB764" s="96">
        <f>IF(R764=0,0,COUNTIFS('RECEBIMENTOS'!$R$6:$R$1005,A764,'RECEBIMENTOS'!$Z$6:$Z$1005,1))</f>
        <v>0</v>
      </c>
      <c r="AC764" s="96">
        <f>IF(R764=0,0,COUNTIFS('RECEBIMENTOS'!$R$6:$R$1005,A764,'RECEBIMENTOS'!$Y$6:$Y$1005,1))</f>
        <v>0</v>
      </c>
      <c r="AD764" s="96">
        <f>IF(R764=0,0,COUNTIFS('VÍNCULOS_CDF'!$R$6:$R$1005,A764,'VÍNCULOS_CDF'!$N$6:$N$1005,1))</f>
        <v>0</v>
      </c>
      <c r="AE764" s="96">
        <f>IF(R764=0,0,COUNTIFS('VÍNCULOS_CDF'!$R$6:$R$1005,A764,'VÍNCULOS_CDF'!$AA$6:$AA$1005,1))</f>
        <v>0</v>
      </c>
      <c r="AF764" s="96">
        <f>IF(R764=0,0,COUNTIFS('VÍNCULOS_CDF'!$R$6:$R$1005,A764,'VÍNCULOS_CDF'!$Y$6:$Y$1005,1))</f>
        <v>0</v>
      </c>
      <c r="AG764" s="96" t="str">
        <f>IF(AND(R764=1,S764&lt;&gt;"",C764&lt;&gt;""),S764&amp;"|"&amp;C764&amp;"|"&amp;G764&amp;"|"&amp;H764,"")</f>
        <v/>
      </c>
      <c r="AH764" s="96">
        <f>IF(AG764="",0,IF(SUMPRODUCT(--($AG$6:$AG$1005=AG764))&gt;1,1,0))</f>
        <v>0</v>
      </c>
      <c r="AI764" s="96">
        <f>IF(R764=0,0,IF(OR(U764=0,V764=0,Y764=0,AND(AH764=1,K764&lt;&gt;"Sim")),1,0))</f>
        <v>0</v>
      </c>
      <c r="AJ764" s="96">
        <f>IF(AND(R764=1,AA764&gt;0,AB764=AA764),1,0)</f>
        <v>0</v>
      </c>
      <c r="AK764" s="96">
        <f>IF(R764=0,0,IF(AA764&gt;0,N(L764),IF(ISNUMBER(I764),I764,0)))</f>
        <v>0</v>
      </c>
      <c r="AL764" s="96">
        <f>IF(R764=0,0,IF(AND(K764&lt;&gt;"Sim",N(M764)&gt;AK764+cfg_tol),1,0))</f>
        <v>0</v>
      </c>
      <c r="AM764" s="96">
        <f>IF(R764=0,0,IF(K764="Sim",0,IF(OR(AND(AA764&gt;0,ISNUMBER(I764),ABS(I764-N(L764))&gt;cfg_tol),AL764=1),1,0)))</f>
        <v>0</v>
      </c>
      <c r="AN764" s="96">
        <f>IF(AND(R764=1,N(M764)&gt;0,OR(N(M764)&gt;=AK764-cfg_tol,K764="Sim")),1,0)</f>
        <v>0</v>
      </c>
      <c r="AO764" s="96">
        <f>IF(AND(AN764=1,AD764&gt;0,AE764=AD764,AL764=0),1,0)</f>
        <v>0</v>
      </c>
      <c r="AP764" s="96">
        <f>IF(U764=0,0,IF(AND(INDEX('MTRs'!$AX$6:$AX$505,T764)=1,Z764=0,OR(f_res="",f_res="(Todos)",C764=f_res)),1,0))</f>
        <v>0</v>
      </c>
      <c r="AQ764" s="97" t="str">
        <f>IF(U764=0,"",INDEX('MTRs'!$AZ$6:$AZ$505,T764))</f>
        <v/>
      </c>
      <c r="AR764" s="96">
        <f>IF(U764=0,0,IF(AND(INDEX('MTRs'!$BA$6:$BA$505,T764)=1,Z764=0),1,0))</f>
        <v>0</v>
      </c>
      <c r="AS764" s="96" t="str">
        <f>IF(R764=1,A764&amp;" | MTR "&amp;IF(U764=1,INDEX('MTRs'!$B$6:$B$505,T764)&amp;"","?")&amp;" | "&amp;IF(C764="","(sem resíduo)",C764),"")</f>
        <v/>
      </c>
      <c r="AT764" s="96" t="str">
        <f>IF(R764=1,COUNTIF($R$6:R764,1),"")</f>
        <v/>
      </c>
      <c r="AU764" s="96" t="str">
        <f>IF(U764=1,INDEX('MTRs'!$I$6:$I$505,T764)&amp;"","")</f>
        <v/>
      </c>
    </row>
    <row r="765">
      <c r="A765" s="89" t="inlineStr">
        <is>
          <t>IT-000760</t>
        </is>
      </c>
      <c r="B765" s="91" t="n"/>
      <c r="C765" s="91" t="n"/>
      <c r="D765" s="94" t="str">
        <f>IF(OR(R765=0,V765=0),"",INDEX('CAD_RESÍDUOS'!$E$6:$E$205,MATCH(C765,'CAD_RESÍDUOS'!$B$6:$B$205,0))&amp;"")</f>
        <v/>
      </c>
      <c r="E765" s="94" t="str">
        <f>IF(OR(R765=0,V765=0),"",INDEX('CAD_RESÍDUOS'!$C$6:$C$205,MATCH(C765,'CAD_RESÍDUOS'!$B$6:$B$205,0))&amp;"")</f>
        <v/>
      </c>
      <c r="F765" s="94" t="str">
        <f>IF(OR(R765=0,V765=0),"",INDEX('CAD_RESÍDUOS'!$G$6:$G$205,MATCH(C765,'CAD_RESÍDUOS'!$B$6:$B$205,0))&amp;"")</f>
        <v/>
      </c>
      <c r="G765" s="98" t="n"/>
      <c r="H765" s="91" t="n"/>
      <c r="I765" s="93" t="str">
        <f>IF(R765=0,"",IF(NOT(ISNUMBER(G765)),"",IF(ISNUMBER(X765),G765*X765,"UNIDADE A CONFERIR")))</f>
        <v/>
      </c>
      <c r="J765" s="91" t="n"/>
      <c r="K765" s="91" t="n"/>
      <c r="L765" s="93" t="str">
        <f>IF(R765=0,"",SUMIFS('RECEBIMENTOS'!$H$6:$H$1005,'RECEBIMENTOS'!$R$6:$R$1005,A765,'RECEBIMENTOS'!$X$6:$X$1005,1))</f>
        <v/>
      </c>
      <c r="M765" s="93" t="str">
        <f>IF(R765=0,"",SUMIFS('VÍNCULOS_CDF'!$H$6:$H$1005,'VÍNCULOS_CDF'!$R$6:$R$1005,A765,'VÍNCULOS_CDF'!$V$6:$V$1005,1))</f>
        <v/>
      </c>
      <c r="N765" s="99" t="str">
        <f>IF(OR(R765=0,AA765=0,NOT(ISNUMBER(I765))),"",I765-N(L765))</f>
        <v/>
      </c>
      <c r="O765" s="100" t="str">
        <f>IF(OR(R765=0,AK765&lt;=0),"",N(M765)/AK765)</f>
        <v/>
      </c>
      <c r="P765" s="94" t="str">
        <f>IF(R765=0,"",IF(S765="","Sem MTR associado",IF(U765=0,"MTR inexistente",IF(C765="","Resíduo não identificado",IF(V765=0,"Resíduo fora do cadastro",IF(W765=0,"Quantidade inválida",IF(H765="","Unidade não informada",IF(NOT(ISNUMBER(I765)),"Unidade a conferir",IF(AND(AH765=1,K765&lt;&gt;"Sim"),"Possível duplicidade",IF(Z765=1,"MTR cancelado",IF(AC765&gt;0,"Recebimento com alerta",IF(AA765=0,"Aguardando recebimento",IF(AB765&lt;AA765,"Recebimento a conferir",IF(AM765=1,"Quantidade a revisar",IF(AF765&gt;0,"Vínculo a revisar",IF(AD765=0,"Aguardando CDF",IF(AN765=0,"Vínculo de CDF parcial",IF(AE765&lt;AD765,"CDF a conferir","Documentação conferida"))))))))))))))))))</f>
        <v/>
      </c>
      <c r="Q765" s="93" t="str">
        <f>IF(OR(R765=0,AA765=0),"",MAX(0,N(L765)-N(M765)))</f>
        <v/>
      </c>
      <c r="R765" s="96">
        <f>IF(COUNTA(B765:C765,G765:H765,J765:K765)&gt;0,1,0)</f>
        <v>0</v>
      </c>
      <c r="S765" s="96" t="str">
        <f>IF(B765="","",TRIM(LEFT(B765,FIND(" |",B765&amp;" |")-1)))</f>
        <v/>
      </c>
      <c r="T765" s="96" t="str">
        <f>IF(S765="","",IFERROR(MATCH(S765,'MTRs'!$A$6:$A$505,0),""))</f>
        <v/>
      </c>
      <c r="U765" s="96">
        <f>IF(T765="",0,IF(INDEX('MTRs'!$Z$6:$Z$505,T765)=1,1,0))</f>
        <v>0</v>
      </c>
      <c r="V765" s="96">
        <f>IF(C765="",0,IF(ISNUMBER(MATCH(C765,'CAD_RESÍDUOS'!$B$6:$B$205,0)),1,0))</f>
        <v>0</v>
      </c>
      <c r="W765" s="96">
        <f>IF(AND(ISNUMBER(G765),G765&gt;0),1,0)</f>
        <v>0</v>
      </c>
      <c r="X765" s="96" t="str">
        <f>IF(H765="","",IFERROR(IF(ISNUMBER(INDEX(cfg_fac,MATCH(H765,cfg_units,0))),IF(INDEX(cfg_fac,MATCH(H765,cfg_units,0))&gt;0,INDEX(cfg_fac,MATCH(H765,cfg_units,0)),""),""),""))</f>
        <v/>
      </c>
      <c r="Y765" s="96">
        <f>IF(AND(W765=1,ISNUMBER(I765)),1,0)</f>
        <v>0</v>
      </c>
      <c r="Z765" s="96">
        <f>IF(U765=1,INDEX('MTRs'!$AA$6:$AA$505,T765),0)</f>
        <v>0</v>
      </c>
      <c r="AA765" s="96">
        <f>IF(R765=0,0,COUNTIFS('RECEBIMENTOS'!$R$6:$R$1005,A765,'RECEBIMENTOS'!$Q$6:$Q$1005,1))</f>
        <v>0</v>
      </c>
      <c r="AB765" s="96">
        <f>IF(R765=0,0,COUNTIFS('RECEBIMENTOS'!$R$6:$R$1005,A765,'RECEBIMENTOS'!$Z$6:$Z$1005,1))</f>
        <v>0</v>
      </c>
      <c r="AC765" s="96">
        <f>IF(R765=0,0,COUNTIFS('RECEBIMENTOS'!$R$6:$R$1005,A765,'RECEBIMENTOS'!$Y$6:$Y$1005,1))</f>
        <v>0</v>
      </c>
      <c r="AD765" s="96">
        <f>IF(R765=0,0,COUNTIFS('VÍNCULOS_CDF'!$R$6:$R$1005,A765,'VÍNCULOS_CDF'!$N$6:$N$1005,1))</f>
        <v>0</v>
      </c>
      <c r="AE765" s="96">
        <f>IF(R765=0,0,COUNTIFS('VÍNCULOS_CDF'!$R$6:$R$1005,A765,'VÍNCULOS_CDF'!$AA$6:$AA$1005,1))</f>
        <v>0</v>
      </c>
      <c r="AF765" s="96">
        <f>IF(R765=0,0,COUNTIFS('VÍNCULOS_CDF'!$R$6:$R$1005,A765,'VÍNCULOS_CDF'!$Y$6:$Y$1005,1))</f>
        <v>0</v>
      </c>
      <c r="AG765" s="96" t="str">
        <f>IF(AND(R765=1,S765&lt;&gt;"",C765&lt;&gt;""),S765&amp;"|"&amp;C765&amp;"|"&amp;G765&amp;"|"&amp;H765,"")</f>
        <v/>
      </c>
      <c r="AH765" s="96">
        <f>IF(AG765="",0,IF(SUMPRODUCT(--($AG$6:$AG$1005=AG765))&gt;1,1,0))</f>
        <v>0</v>
      </c>
      <c r="AI765" s="96">
        <f>IF(R765=0,0,IF(OR(U765=0,V765=0,Y765=0,AND(AH765=1,K765&lt;&gt;"Sim")),1,0))</f>
        <v>0</v>
      </c>
      <c r="AJ765" s="96">
        <f>IF(AND(R765=1,AA765&gt;0,AB765=AA765),1,0)</f>
        <v>0</v>
      </c>
      <c r="AK765" s="96">
        <f>IF(R765=0,0,IF(AA765&gt;0,N(L765),IF(ISNUMBER(I765),I765,0)))</f>
        <v>0</v>
      </c>
      <c r="AL765" s="96">
        <f>IF(R765=0,0,IF(AND(K765&lt;&gt;"Sim",N(M765)&gt;AK765+cfg_tol),1,0))</f>
        <v>0</v>
      </c>
      <c r="AM765" s="96">
        <f>IF(R765=0,0,IF(K765="Sim",0,IF(OR(AND(AA765&gt;0,ISNUMBER(I765),ABS(I765-N(L765))&gt;cfg_tol),AL765=1),1,0)))</f>
        <v>0</v>
      </c>
      <c r="AN765" s="96">
        <f>IF(AND(R765=1,N(M765)&gt;0,OR(N(M765)&gt;=AK765-cfg_tol,K765="Sim")),1,0)</f>
        <v>0</v>
      </c>
      <c r="AO765" s="96">
        <f>IF(AND(AN765=1,AD765&gt;0,AE765=AD765,AL765=0),1,0)</f>
        <v>0</v>
      </c>
      <c r="AP765" s="96">
        <f>IF(U765=0,0,IF(AND(INDEX('MTRs'!$AX$6:$AX$505,T765)=1,Z765=0,OR(f_res="",f_res="(Todos)",C765=f_res)),1,0))</f>
        <v>0</v>
      </c>
      <c r="AQ765" s="97" t="str">
        <f>IF(U765=0,"",INDEX('MTRs'!$AZ$6:$AZ$505,T765))</f>
        <v/>
      </c>
      <c r="AR765" s="96">
        <f>IF(U765=0,0,IF(AND(INDEX('MTRs'!$BA$6:$BA$505,T765)=1,Z765=0),1,0))</f>
        <v>0</v>
      </c>
      <c r="AS765" s="96" t="str">
        <f>IF(R765=1,A765&amp;" | MTR "&amp;IF(U765=1,INDEX('MTRs'!$B$6:$B$505,T765)&amp;"","?")&amp;" | "&amp;IF(C765="","(sem resíduo)",C765),"")</f>
        <v/>
      </c>
      <c r="AT765" s="96" t="str">
        <f>IF(R765=1,COUNTIF($R$6:R765,1),"")</f>
        <v/>
      </c>
      <c r="AU765" s="96" t="str">
        <f>IF(U765=1,INDEX('MTRs'!$I$6:$I$505,T765)&amp;"","")</f>
        <v/>
      </c>
    </row>
    <row r="766">
      <c r="A766" s="89" t="inlineStr">
        <is>
          <t>IT-000761</t>
        </is>
      </c>
      <c r="B766" s="91" t="n"/>
      <c r="C766" s="91" t="n"/>
      <c r="D766" s="94" t="str">
        <f>IF(OR(R766=0,V766=0),"",INDEX('CAD_RESÍDUOS'!$E$6:$E$205,MATCH(C766,'CAD_RESÍDUOS'!$B$6:$B$205,0))&amp;"")</f>
        <v/>
      </c>
      <c r="E766" s="94" t="str">
        <f>IF(OR(R766=0,V766=0),"",INDEX('CAD_RESÍDUOS'!$C$6:$C$205,MATCH(C766,'CAD_RESÍDUOS'!$B$6:$B$205,0))&amp;"")</f>
        <v/>
      </c>
      <c r="F766" s="94" t="str">
        <f>IF(OR(R766=0,V766=0),"",INDEX('CAD_RESÍDUOS'!$G$6:$G$205,MATCH(C766,'CAD_RESÍDUOS'!$B$6:$B$205,0))&amp;"")</f>
        <v/>
      </c>
      <c r="G766" s="98" t="n"/>
      <c r="H766" s="91" t="n"/>
      <c r="I766" s="93" t="str">
        <f>IF(R766=0,"",IF(NOT(ISNUMBER(G766)),"",IF(ISNUMBER(X766),G766*X766,"UNIDADE A CONFERIR")))</f>
        <v/>
      </c>
      <c r="J766" s="91" t="n"/>
      <c r="K766" s="91" t="n"/>
      <c r="L766" s="93" t="str">
        <f>IF(R766=0,"",SUMIFS('RECEBIMENTOS'!$H$6:$H$1005,'RECEBIMENTOS'!$R$6:$R$1005,A766,'RECEBIMENTOS'!$X$6:$X$1005,1))</f>
        <v/>
      </c>
      <c r="M766" s="93" t="str">
        <f>IF(R766=0,"",SUMIFS('VÍNCULOS_CDF'!$H$6:$H$1005,'VÍNCULOS_CDF'!$R$6:$R$1005,A766,'VÍNCULOS_CDF'!$V$6:$V$1005,1))</f>
        <v/>
      </c>
      <c r="N766" s="99" t="str">
        <f>IF(OR(R766=0,AA766=0,NOT(ISNUMBER(I766))),"",I766-N(L766))</f>
        <v/>
      </c>
      <c r="O766" s="100" t="str">
        <f>IF(OR(R766=0,AK766&lt;=0),"",N(M766)/AK766)</f>
        <v/>
      </c>
      <c r="P766" s="94" t="str">
        <f>IF(R766=0,"",IF(S766="","Sem MTR associado",IF(U766=0,"MTR inexistente",IF(C766="","Resíduo não identificado",IF(V766=0,"Resíduo fora do cadastro",IF(W766=0,"Quantidade inválida",IF(H766="","Unidade não informada",IF(NOT(ISNUMBER(I766)),"Unidade a conferir",IF(AND(AH766=1,K766&lt;&gt;"Sim"),"Possível duplicidade",IF(Z766=1,"MTR cancelado",IF(AC766&gt;0,"Recebimento com alerta",IF(AA766=0,"Aguardando recebimento",IF(AB766&lt;AA766,"Recebimento a conferir",IF(AM766=1,"Quantidade a revisar",IF(AF766&gt;0,"Vínculo a revisar",IF(AD766=0,"Aguardando CDF",IF(AN766=0,"Vínculo de CDF parcial",IF(AE766&lt;AD766,"CDF a conferir","Documentação conferida"))))))))))))))))))</f>
        <v/>
      </c>
      <c r="Q766" s="93" t="str">
        <f>IF(OR(R766=0,AA766=0),"",MAX(0,N(L766)-N(M766)))</f>
        <v/>
      </c>
      <c r="R766" s="96">
        <f>IF(COUNTA(B766:C766,G766:H766,J766:K766)&gt;0,1,0)</f>
        <v>0</v>
      </c>
      <c r="S766" s="96" t="str">
        <f>IF(B766="","",TRIM(LEFT(B766,FIND(" |",B766&amp;" |")-1)))</f>
        <v/>
      </c>
      <c r="T766" s="96" t="str">
        <f>IF(S766="","",IFERROR(MATCH(S766,'MTRs'!$A$6:$A$505,0),""))</f>
        <v/>
      </c>
      <c r="U766" s="96">
        <f>IF(T766="",0,IF(INDEX('MTRs'!$Z$6:$Z$505,T766)=1,1,0))</f>
        <v>0</v>
      </c>
      <c r="V766" s="96">
        <f>IF(C766="",0,IF(ISNUMBER(MATCH(C766,'CAD_RESÍDUOS'!$B$6:$B$205,0)),1,0))</f>
        <v>0</v>
      </c>
      <c r="W766" s="96">
        <f>IF(AND(ISNUMBER(G766),G766&gt;0),1,0)</f>
        <v>0</v>
      </c>
      <c r="X766" s="96" t="str">
        <f>IF(H766="","",IFERROR(IF(ISNUMBER(INDEX(cfg_fac,MATCH(H766,cfg_units,0))),IF(INDEX(cfg_fac,MATCH(H766,cfg_units,0))&gt;0,INDEX(cfg_fac,MATCH(H766,cfg_units,0)),""),""),""))</f>
        <v/>
      </c>
      <c r="Y766" s="96">
        <f>IF(AND(W766=1,ISNUMBER(I766)),1,0)</f>
        <v>0</v>
      </c>
      <c r="Z766" s="96">
        <f>IF(U766=1,INDEX('MTRs'!$AA$6:$AA$505,T766),0)</f>
        <v>0</v>
      </c>
      <c r="AA766" s="96">
        <f>IF(R766=0,0,COUNTIFS('RECEBIMENTOS'!$R$6:$R$1005,A766,'RECEBIMENTOS'!$Q$6:$Q$1005,1))</f>
        <v>0</v>
      </c>
      <c r="AB766" s="96">
        <f>IF(R766=0,0,COUNTIFS('RECEBIMENTOS'!$R$6:$R$1005,A766,'RECEBIMENTOS'!$Z$6:$Z$1005,1))</f>
        <v>0</v>
      </c>
      <c r="AC766" s="96">
        <f>IF(R766=0,0,COUNTIFS('RECEBIMENTOS'!$R$6:$R$1005,A766,'RECEBIMENTOS'!$Y$6:$Y$1005,1))</f>
        <v>0</v>
      </c>
      <c r="AD766" s="96">
        <f>IF(R766=0,0,COUNTIFS('VÍNCULOS_CDF'!$R$6:$R$1005,A766,'VÍNCULOS_CDF'!$N$6:$N$1005,1))</f>
        <v>0</v>
      </c>
      <c r="AE766" s="96">
        <f>IF(R766=0,0,COUNTIFS('VÍNCULOS_CDF'!$R$6:$R$1005,A766,'VÍNCULOS_CDF'!$AA$6:$AA$1005,1))</f>
        <v>0</v>
      </c>
      <c r="AF766" s="96">
        <f>IF(R766=0,0,COUNTIFS('VÍNCULOS_CDF'!$R$6:$R$1005,A766,'VÍNCULOS_CDF'!$Y$6:$Y$1005,1))</f>
        <v>0</v>
      </c>
      <c r="AG766" s="96" t="str">
        <f>IF(AND(R766=1,S766&lt;&gt;"",C766&lt;&gt;""),S766&amp;"|"&amp;C766&amp;"|"&amp;G766&amp;"|"&amp;H766,"")</f>
        <v/>
      </c>
      <c r="AH766" s="96">
        <f>IF(AG766="",0,IF(SUMPRODUCT(--($AG$6:$AG$1005=AG766))&gt;1,1,0))</f>
        <v>0</v>
      </c>
      <c r="AI766" s="96">
        <f>IF(R766=0,0,IF(OR(U766=0,V766=0,Y766=0,AND(AH766=1,K766&lt;&gt;"Sim")),1,0))</f>
        <v>0</v>
      </c>
      <c r="AJ766" s="96">
        <f>IF(AND(R766=1,AA766&gt;0,AB766=AA766),1,0)</f>
        <v>0</v>
      </c>
      <c r="AK766" s="96">
        <f>IF(R766=0,0,IF(AA766&gt;0,N(L766),IF(ISNUMBER(I766),I766,0)))</f>
        <v>0</v>
      </c>
      <c r="AL766" s="96">
        <f>IF(R766=0,0,IF(AND(K766&lt;&gt;"Sim",N(M766)&gt;AK766+cfg_tol),1,0))</f>
        <v>0</v>
      </c>
      <c r="AM766" s="96">
        <f>IF(R766=0,0,IF(K766="Sim",0,IF(OR(AND(AA766&gt;0,ISNUMBER(I766),ABS(I766-N(L766))&gt;cfg_tol),AL766=1),1,0)))</f>
        <v>0</v>
      </c>
      <c r="AN766" s="96">
        <f>IF(AND(R766=1,N(M766)&gt;0,OR(N(M766)&gt;=AK766-cfg_tol,K766="Sim")),1,0)</f>
        <v>0</v>
      </c>
      <c r="AO766" s="96">
        <f>IF(AND(AN766=1,AD766&gt;0,AE766=AD766,AL766=0),1,0)</f>
        <v>0</v>
      </c>
      <c r="AP766" s="96">
        <f>IF(U766=0,0,IF(AND(INDEX('MTRs'!$AX$6:$AX$505,T766)=1,Z766=0,OR(f_res="",f_res="(Todos)",C766=f_res)),1,0))</f>
        <v>0</v>
      </c>
      <c r="AQ766" s="97" t="str">
        <f>IF(U766=0,"",INDEX('MTRs'!$AZ$6:$AZ$505,T766))</f>
        <v/>
      </c>
      <c r="AR766" s="96">
        <f>IF(U766=0,0,IF(AND(INDEX('MTRs'!$BA$6:$BA$505,T766)=1,Z766=0),1,0))</f>
        <v>0</v>
      </c>
      <c r="AS766" s="96" t="str">
        <f>IF(R766=1,A766&amp;" | MTR "&amp;IF(U766=1,INDEX('MTRs'!$B$6:$B$505,T766)&amp;"","?")&amp;" | "&amp;IF(C766="","(sem resíduo)",C766),"")</f>
        <v/>
      </c>
      <c r="AT766" s="96" t="str">
        <f>IF(R766=1,COUNTIF($R$6:R766,1),"")</f>
        <v/>
      </c>
      <c r="AU766" s="96" t="str">
        <f>IF(U766=1,INDEX('MTRs'!$I$6:$I$505,T766)&amp;"","")</f>
        <v/>
      </c>
    </row>
    <row r="767">
      <c r="A767" s="89" t="inlineStr">
        <is>
          <t>IT-000762</t>
        </is>
      </c>
      <c r="B767" s="91" t="n"/>
      <c r="C767" s="91" t="n"/>
      <c r="D767" s="94" t="str">
        <f>IF(OR(R767=0,V767=0),"",INDEX('CAD_RESÍDUOS'!$E$6:$E$205,MATCH(C767,'CAD_RESÍDUOS'!$B$6:$B$205,0))&amp;"")</f>
        <v/>
      </c>
      <c r="E767" s="94" t="str">
        <f>IF(OR(R767=0,V767=0),"",INDEX('CAD_RESÍDUOS'!$C$6:$C$205,MATCH(C767,'CAD_RESÍDUOS'!$B$6:$B$205,0))&amp;"")</f>
        <v/>
      </c>
      <c r="F767" s="94" t="str">
        <f>IF(OR(R767=0,V767=0),"",INDEX('CAD_RESÍDUOS'!$G$6:$G$205,MATCH(C767,'CAD_RESÍDUOS'!$B$6:$B$205,0))&amp;"")</f>
        <v/>
      </c>
      <c r="G767" s="98" t="n"/>
      <c r="H767" s="91" t="n"/>
      <c r="I767" s="93" t="str">
        <f>IF(R767=0,"",IF(NOT(ISNUMBER(G767)),"",IF(ISNUMBER(X767),G767*X767,"UNIDADE A CONFERIR")))</f>
        <v/>
      </c>
      <c r="J767" s="91" t="n"/>
      <c r="K767" s="91" t="n"/>
      <c r="L767" s="93" t="str">
        <f>IF(R767=0,"",SUMIFS('RECEBIMENTOS'!$H$6:$H$1005,'RECEBIMENTOS'!$R$6:$R$1005,A767,'RECEBIMENTOS'!$X$6:$X$1005,1))</f>
        <v/>
      </c>
      <c r="M767" s="93" t="str">
        <f>IF(R767=0,"",SUMIFS('VÍNCULOS_CDF'!$H$6:$H$1005,'VÍNCULOS_CDF'!$R$6:$R$1005,A767,'VÍNCULOS_CDF'!$V$6:$V$1005,1))</f>
        <v/>
      </c>
      <c r="N767" s="99" t="str">
        <f>IF(OR(R767=0,AA767=0,NOT(ISNUMBER(I767))),"",I767-N(L767))</f>
        <v/>
      </c>
      <c r="O767" s="100" t="str">
        <f>IF(OR(R767=0,AK767&lt;=0),"",N(M767)/AK767)</f>
        <v/>
      </c>
      <c r="P767" s="94" t="str">
        <f>IF(R767=0,"",IF(S767="","Sem MTR associado",IF(U767=0,"MTR inexistente",IF(C767="","Resíduo não identificado",IF(V767=0,"Resíduo fora do cadastro",IF(W767=0,"Quantidade inválida",IF(H767="","Unidade não informada",IF(NOT(ISNUMBER(I767)),"Unidade a conferir",IF(AND(AH767=1,K767&lt;&gt;"Sim"),"Possível duplicidade",IF(Z767=1,"MTR cancelado",IF(AC767&gt;0,"Recebimento com alerta",IF(AA767=0,"Aguardando recebimento",IF(AB767&lt;AA767,"Recebimento a conferir",IF(AM767=1,"Quantidade a revisar",IF(AF767&gt;0,"Vínculo a revisar",IF(AD767=0,"Aguardando CDF",IF(AN767=0,"Vínculo de CDF parcial",IF(AE767&lt;AD767,"CDF a conferir","Documentação conferida"))))))))))))))))))</f>
        <v/>
      </c>
      <c r="Q767" s="93" t="str">
        <f>IF(OR(R767=0,AA767=0),"",MAX(0,N(L767)-N(M767)))</f>
        <v/>
      </c>
      <c r="R767" s="96">
        <f>IF(COUNTA(B767:C767,G767:H767,J767:K767)&gt;0,1,0)</f>
        <v>0</v>
      </c>
      <c r="S767" s="96" t="str">
        <f>IF(B767="","",TRIM(LEFT(B767,FIND(" |",B767&amp;" |")-1)))</f>
        <v/>
      </c>
      <c r="T767" s="96" t="str">
        <f>IF(S767="","",IFERROR(MATCH(S767,'MTRs'!$A$6:$A$505,0),""))</f>
        <v/>
      </c>
      <c r="U767" s="96">
        <f>IF(T767="",0,IF(INDEX('MTRs'!$Z$6:$Z$505,T767)=1,1,0))</f>
        <v>0</v>
      </c>
      <c r="V767" s="96">
        <f>IF(C767="",0,IF(ISNUMBER(MATCH(C767,'CAD_RESÍDUOS'!$B$6:$B$205,0)),1,0))</f>
        <v>0</v>
      </c>
      <c r="W767" s="96">
        <f>IF(AND(ISNUMBER(G767),G767&gt;0),1,0)</f>
        <v>0</v>
      </c>
      <c r="X767" s="96" t="str">
        <f>IF(H767="","",IFERROR(IF(ISNUMBER(INDEX(cfg_fac,MATCH(H767,cfg_units,0))),IF(INDEX(cfg_fac,MATCH(H767,cfg_units,0))&gt;0,INDEX(cfg_fac,MATCH(H767,cfg_units,0)),""),""),""))</f>
        <v/>
      </c>
      <c r="Y767" s="96">
        <f>IF(AND(W767=1,ISNUMBER(I767)),1,0)</f>
        <v>0</v>
      </c>
      <c r="Z767" s="96">
        <f>IF(U767=1,INDEX('MTRs'!$AA$6:$AA$505,T767),0)</f>
        <v>0</v>
      </c>
      <c r="AA767" s="96">
        <f>IF(R767=0,0,COUNTIFS('RECEBIMENTOS'!$R$6:$R$1005,A767,'RECEBIMENTOS'!$Q$6:$Q$1005,1))</f>
        <v>0</v>
      </c>
      <c r="AB767" s="96">
        <f>IF(R767=0,0,COUNTIFS('RECEBIMENTOS'!$R$6:$R$1005,A767,'RECEBIMENTOS'!$Z$6:$Z$1005,1))</f>
        <v>0</v>
      </c>
      <c r="AC767" s="96">
        <f>IF(R767=0,0,COUNTIFS('RECEBIMENTOS'!$R$6:$R$1005,A767,'RECEBIMENTOS'!$Y$6:$Y$1005,1))</f>
        <v>0</v>
      </c>
      <c r="AD767" s="96">
        <f>IF(R767=0,0,COUNTIFS('VÍNCULOS_CDF'!$R$6:$R$1005,A767,'VÍNCULOS_CDF'!$N$6:$N$1005,1))</f>
        <v>0</v>
      </c>
      <c r="AE767" s="96">
        <f>IF(R767=0,0,COUNTIFS('VÍNCULOS_CDF'!$R$6:$R$1005,A767,'VÍNCULOS_CDF'!$AA$6:$AA$1005,1))</f>
        <v>0</v>
      </c>
      <c r="AF767" s="96">
        <f>IF(R767=0,0,COUNTIFS('VÍNCULOS_CDF'!$R$6:$R$1005,A767,'VÍNCULOS_CDF'!$Y$6:$Y$1005,1))</f>
        <v>0</v>
      </c>
      <c r="AG767" s="96" t="str">
        <f>IF(AND(R767=1,S767&lt;&gt;"",C767&lt;&gt;""),S767&amp;"|"&amp;C767&amp;"|"&amp;G767&amp;"|"&amp;H767,"")</f>
        <v/>
      </c>
      <c r="AH767" s="96">
        <f>IF(AG767="",0,IF(SUMPRODUCT(--($AG$6:$AG$1005=AG767))&gt;1,1,0))</f>
        <v>0</v>
      </c>
      <c r="AI767" s="96">
        <f>IF(R767=0,0,IF(OR(U767=0,V767=0,Y767=0,AND(AH767=1,K767&lt;&gt;"Sim")),1,0))</f>
        <v>0</v>
      </c>
      <c r="AJ767" s="96">
        <f>IF(AND(R767=1,AA767&gt;0,AB767=AA767),1,0)</f>
        <v>0</v>
      </c>
      <c r="AK767" s="96">
        <f>IF(R767=0,0,IF(AA767&gt;0,N(L767),IF(ISNUMBER(I767),I767,0)))</f>
        <v>0</v>
      </c>
      <c r="AL767" s="96">
        <f>IF(R767=0,0,IF(AND(K767&lt;&gt;"Sim",N(M767)&gt;AK767+cfg_tol),1,0))</f>
        <v>0</v>
      </c>
      <c r="AM767" s="96">
        <f>IF(R767=0,0,IF(K767="Sim",0,IF(OR(AND(AA767&gt;0,ISNUMBER(I767),ABS(I767-N(L767))&gt;cfg_tol),AL767=1),1,0)))</f>
        <v>0</v>
      </c>
      <c r="AN767" s="96">
        <f>IF(AND(R767=1,N(M767)&gt;0,OR(N(M767)&gt;=AK767-cfg_tol,K767="Sim")),1,0)</f>
        <v>0</v>
      </c>
      <c r="AO767" s="96">
        <f>IF(AND(AN767=1,AD767&gt;0,AE767=AD767,AL767=0),1,0)</f>
        <v>0</v>
      </c>
      <c r="AP767" s="96">
        <f>IF(U767=0,0,IF(AND(INDEX('MTRs'!$AX$6:$AX$505,T767)=1,Z767=0,OR(f_res="",f_res="(Todos)",C767=f_res)),1,0))</f>
        <v>0</v>
      </c>
      <c r="AQ767" s="97" t="str">
        <f>IF(U767=0,"",INDEX('MTRs'!$AZ$6:$AZ$505,T767))</f>
        <v/>
      </c>
      <c r="AR767" s="96">
        <f>IF(U767=0,0,IF(AND(INDEX('MTRs'!$BA$6:$BA$505,T767)=1,Z767=0),1,0))</f>
        <v>0</v>
      </c>
      <c r="AS767" s="96" t="str">
        <f>IF(R767=1,A767&amp;" | MTR "&amp;IF(U767=1,INDEX('MTRs'!$B$6:$B$505,T767)&amp;"","?")&amp;" | "&amp;IF(C767="","(sem resíduo)",C767),"")</f>
        <v/>
      </c>
      <c r="AT767" s="96" t="str">
        <f>IF(R767=1,COUNTIF($R$6:R767,1),"")</f>
        <v/>
      </c>
      <c r="AU767" s="96" t="str">
        <f>IF(U767=1,INDEX('MTRs'!$I$6:$I$505,T767)&amp;"","")</f>
        <v/>
      </c>
    </row>
    <row r="768">
      <c r="A768" s="89" t="inlineStr">
        <is>
          <t>IT-000763</t>
        </is>
      </c>
      <c r="B768" s="91" t="n"/>
      <c r="C768" s="91" t="n"/>
      <c r="D768" s="94" t="str">
        <f>IF(OR(R768=0,V768=0),"",INDEX('CAD_RESÍDUOS'!$E$6:$E$205,MATCH(C768,'CAD_RESÍDUOS'!$B$6:$B$205,0))&amp;"")</f>
        <v/>
      </c>
      <c r="E768" s="94" t="str">
        <f>IF(OR(R768=0,V768=0),"",INDEX('CAD_RESÍDUOS'!$C$6:$C$205,MATCH(C768,'CAD_RESÍDUOS'!$B$6:$B$205,0))&amp;"")</f>
        <v/>
      </c>
      <c r="F768" s="94" t="str">
        <f>IF(OR(R768=0,V768=0),"",INDEX('CAD_RESÍDUOS'!$G$6:$G$205,MATCH(C768,'CAD_RESÍDUOS'!$B$6:$B$205,0))&amp;"")</f>
        <v/>
      </c>
      <c r="G768" s="98" t="n"/>
      <c r="H768" s="91" t="n"/>
      <c r="I768" s="93" t="str">
        <f>IF(R768=0,"",IF(NOT(ISNUMBER(G768)),"",IF(ISNUMBER(X768),G768*X768,"UNIDADE A CONFERIR")))</f>
        <v/>
      </c>
      <c r="J768" s="91" t="n"/>
      <c r="K768" s="91" t="n"/>
      <c r="L768" s="93" t="str">
        <f>IF(R768=0,"",SUMIFS('RECEBIMENTOS'!$H$6:$H$1005,'RECEBIMENTOS'!$R$6:$R$1005,A768,'RECEBIMENTOS'!$X$6:$X$1005,1))</f>
        <v/>
      </c>
      <c r="M768" s="93" t="str">
        <f>IF(R768=0,"",SUMIFS('VÍNCULOS_CDF'!$H$6:$H$1005,'VÍNCULOS_CDF'!$R$6:$R$1005,A768,'VÍNCULOS_CDF'!$V$6:$V$1005,1))</f>
        <v/>
      </c>
      <c r="N768" s="99" t="str">
        <f>IF(OR(R768=0,AA768=0,NOT(ISNUMBER(I768))),"",I768-N(L768))</f>
        <v/>
      </c>
      <c r="O768" s="100" t="str">
        <f>IF(OR(R768=0,AK768&lt;=0),"",N(M768)/AK768)</f>
        <v/>
      </c>
      <c r="P768" s="94" t="str">
        <f>IF(R768=0,"",IF(S768="","Sem MTR associado",IF(U768=0,"MTR inexistente",IF(C768="","Resíduo não identificado",IF(V768=0,"Resíduo fora do cadastro",IF(W768=0,"Quantidade inválida",IF(H768="","Unidade não informada",IF(NOT(ISNUMBER(I768)),"Unidade a conferir",IF(AND(AH768=1,K768&lt;&gt;"Sim"),"Possível duplicidade",IF(Z768=1,"MTR cancelado",IF(AC768&gt;0,"Recebimento com alerta",IF(AA768=0,"Aguardando recebimento",IF(AB768&lt;AA768,"Recebimento a conferir",IF(AM768=1,"Quantidade a revisar",IF(AF768&gt;0,"Vínculo a revisar",IF(AD768=0,"Aguardando CDF",IF(AN768=0,"Vínculo de CDF parcial",IF(AE768&lt;AD768,"CDF a conferir","Documentação conferida"))))))))))))))))))</f>
        <v/>
      </c>
      <c r="Q768" s="93" t="str">
        <f>IF(OR(R768=0,AA768=0),"",MAX(0,N(L768)-N(M768)))</f>
        <v/>
      </c>
      <c r="R768" s="96">
        <f>IF(COUNTA(B768:C768,G768:H768,J768:K768)&gt;0,1,0)</f>
        <v>0</v>
      </c>
      <c r="S768" s="96" t="str">
        <f>IF(B768="","",TRIM(LEFT(B768,FIND(" |",B768&amp;" |")-1)))</f>
        <v/>
      </c>
      <c r="T768" s="96" t="str">
        <f>IF(S768="","",IFERROR(MATCH(S768,'MTRs'!$A$6:$A$505,0),""))</f>
        <v/>
      </c>
      <c r="U768" s="96">
        <f>IF(T768="",0,IF(INDEX('MTRs'!$Z$6:$Z$505,T768)=1,1,0))</f>
        <v>0</v>
      </c>
      <c r="V768" s="96">
        <f>IF(C768="",0,IF(ISNUMBER(MATCH(C768,'CAD_RESÍDUOS'!$B$6:$B$205,0)),1,0))</f>
        <v>0</v>
      </c>
      <c r="W768" s="96">
        <f>IF(AND(ISNUMBER(G768),G768&gt;0),1,0)</f>
        <v>0</v>
      </c>
      <c r="X768" s="96" t="str">
        <f>IF(H768="","",IFERROR(IF(ISNUMBER(INDEX(cfg_fac,MATCH(H768,cfg_units,0))),IF(INDEX(cfg_fac,MATCH(H768,cfg_units,0))&gt;0,INDEX(cfg_fac,MATCH(H768,cfg_units,0)),""),""),""))</f>
        <v/>
      </c>
      <c r="Y768" s="96">
        <f>IF(AND(W768=1,ISNUMBER(I768)),1,0)</f>
        <v>0</v>
      </c>
      <c r="Z768" s="96">
        <f>IF(U768=1,INDEX('MTRs'!$AA$6:$AA$505,T768),0)</f>
        <v>0</v>
      </c>
      <c r="AA768" s="96">
        <f>IF(R768=0,0,COUNTIFS('RECEBIMENTOS'!$R$6:$R$1005,A768,'RECEBIMENTOS'!$Q$6:$Q$1005,1))</f>
        <v>0</v>
      </c>
      <c r="AB768" s="96">
        <f>IF(R768=0,0,COUNTIFS('RECEBIMENTOS'!$R$6:$R$1005,A768,'RECEBIMENTOS'!$Z$6:$Z$1005,1))</f>
        <v>0</v>
      </c>
      <c r="AC768" s="96">
        <f>IF(R768=0,0,COUNTIFS('RECEBIMENTOS'!$R$6:$R$1005,A768,'RECEBIMENTOS'!$Y$6:$Y$1005,1))</f>
        <v>0</v>
      </c>
      <c r="AD768" s="96">
        <f>IF(R768=0,0,COUNTIFS('VÍNCULOS_CDF'!$R$6:$R$1005,A768,'VÍNCULOS_CDF'!$N$6:$N$1005,1))</f>
        <v>0</v>
      </c>
      <c r="AE768" s="96">
        <f>IF(R768=0,0,COUNTIFS('VÍNCULOS_CDF'!$R$6:$R$1005,A768,'VÍNCULOS_CDF'!$AA$6:$AA$1005,1))</f>
        <v>0</v>
      </c>
      <c r="AF768" s="96">
        <f>IF(R768=0,0,COUNTIFS('VÍNCULOS_CDF'!$R$6:$R$1005,A768,'VÍNCULOS_CDF'!$Y$6:$Y$1005,1))</f>
        <v>0</v>
      </c>
      <c r="AG768" s="96" t="str">
        <f>IF(AND(R768=1,S768&lt;&gt;"",C768&lt;&gt;""),S768&amp;"|"&amp;C768&amp;"|"&amp;G768&amp;"|"&amp;H768,"")</f>
        <v/>
      </c>
      <c r="AH768" s="96">
        <f>IF(AG768="",0,IF(SUMPRODUCT(--($AG$6:$AG$1005=AG768))&gt;1,1,0))</f>
        <v>0</v>
      </c>
      <c r="AI768" s="96">
        <f>IF(R768=0,0,IF(OR(U768=0,V768=0,Y768=0,AND(AH768=1,K768&lt;&gt;"Sim")),1,0))</f>
        <v>0</v>
      </c>
      <c r="AJ768" s="96">
        <f>IF(AND(R768=1,AA768&gt;0,AB768=AA768),1,0)</f>
        <v>0</v>
      </c>
      <c r="AK768" s="96">
        <f>IF(R768=0,0,IF(AA768&gt;0,N(L768),IF(ISNUMBER(I768),I768,0)))</f>
        <v>0</v>
      </c>
      <c r="AL768" s="96">
        <f>IF(R768=0,0,IF(AND(K768&lt;&gt;"Sim",N(M768)&gt;AK768+cfg_tol),1,0))</f>
        <v>0</v>
      </c>
      <c r="AM768" s="96">
        <f>IF(R768=0,0,IF(K768="Sim",0,IF(OR(AND(AA768&gt;0,ISNUMBER(I768),ABS(I768-N(L768))&gt;cfg_tol),AL768=1),1,0)))</f>
        <v>0</v>
      </c>
      <c r="AN768" s="96">
        <f>IF(AND(R768=1,N(M768)&gt;0,OR(N(M768)&gt;=AK768-cfg_tol,K768="Sim")),1,0)</f>
        <v>0</v>
      </c>
      <c r="AO768" s="96">
        <f>IF(AND(AN768=1,AD768&gt;0,AE768=AD768,AL768=0),1,0)</f>
        <v>0</v>
      </c>
      <c r="AP768" s="96">
        <f>IF(U768=0,0,IF(AND(INDEX('MTRs'!$AX$6:$AX$505,T768)=1,Z768=0,OR(f_res="",f_res="(Todos)",C768=f_res)),1,0))</f>
        <v>0</v>
      </c>
      <c r="AQ768" s="97" t="str">
        <f>IF(U768=0,"",INDEX('MTRs'!$AZ$6:$AZ$505,T768))</f>
        <v/>
      </c>
      <c r="AR768" s="96">
        <f>IF(U768=0,0,IF(AND(INDEX('MTRs'!$BA$6:$BA$505,T768)=1,Z768=0),1,0))</f>
        <v>0</v>
      </c>
      <c r="AS768" s="96" t="str">
        <f>IF(R768=1,A768&amp;" | MTR "&amp;IF(U768=1,INDEX('MTRs'!$B$6:$B$505,T768)&amp;"","?")&amp;" | "&amp;IF(C768="","(sem resíduo)",C768),"")</f>
        <v/>
      </c>
      <c r="AT768" s="96" t="str">
        <f>IF(R768=1,COUNTIF($R$6:R768,1),"")</f>
        <v/>
      </c>
      <c r="AU768" s="96" t="str">
        <f>IF(U768=1,INDEX('MTRs'!$I$6:$I$505,T768)&amp;"","")</f>
        <v/>
      </c>
    </row>
    <row r="769">
      <c r="A769" s="89" t="inlineStr">
        <is>
          <t>IT-000764</t>
        </is>
      </c>
      <c r="B769" s="91" t="n"/>
      <c r="C769" s="91" t="n"/>
      <c r="D769" s="94" t="str">
        <f>IF(OR(R769=0,V769=0),"",INDEX('CAD_RESÍDUOS'!$E$6:$E$205,MATCH(C769,'CAD_RESÍDUOS'!$B$6:$B$205,0))&amp;"")</f>
        <v/>
      </c>
      <c r="E769" s="94" t="str">
        <f>IF(OR(R769=0,V769=0),"",INDEX('CAD_RESÍDUOS'!$C$6:$C$205,MATCH(C769,'CAD_RESÍDUOS'!$B$6:$B$205,0))&amp;"")</f>
        <v/>
      </c>
      <c r="F769" s="94" t="str">
        <f>IF(OR(R769=0,V769=0),"",INDEX('CAD_RESÍDUOS'!$G$6:$G$205,MATCH(C769,'CAD_RESÍDUOS'!$B$6:$B$205,0))&amp;"")</f>
        <v/>
      </c>
      <c r="G769" s="98" t="n"/>
      <c r="H769" s="91" t="n"/>
      <c r="I769" s="93" t="str">
        <f>IF(R769=0,"",IF(NOT(ISNUMBER(G769)),"",IF(ISNUMBER(X769),G769*X769,"UNIDADE A CONFERIR")))</f>
        <v/>
      </c>
      <c r="J769" s="91" t="n"/>
      <c r="K769" s="91" t="n"/>
      <c r="L769" s="93" t="str">
        <f>IF(R769=0,"",SUMIFS('RECEBIMENTOS'!$H$6:$H$1005,'RECEBIMENTOS'!$R$6:$R$1005,A769,'RECEBIMENTOS'!$X$6:$X$1005,1))</f>
        <v/>
      </c>
      <c r="M769" s="93" t="str">
        <f>IF(R769=0,"",SUMIFS('VÍNCULOS_CDF'!$H$6:$H$1005,'VÍNCULOS_CDF'!$R$6:$R$1005,A769,'VÍNCULOS_CDF'!$V$6:$V$1005,1))</f>
        <v/>
      </c>
      <c r="N769" s="99" t="str">
        <f>IF(OR(R769=0,AA769=0,NOT(ISNUMBER(I769))),"",I769-N(L769))</f>
        <v/>
      </c>
      <c r="O769" s="100" t="str">
        <f>IF(OR(R769=0,AK769&lt;=0),"",N(M769)/AK769)</f>
        <v/>
      </c>
      <c r="P769" s="94" t="str">
        <f>IF(R769=0,"",IF(S769="","Sem MTR associado",IF(U769=0,"MTR inexistente",IF(C769="","Resíduo não identificado",IF(V769=0,"Resíduo fora do cadastro",IF(W769=0,"Quantidade inválida",IF(H769="","Unidade não informada",IF(NOT(ISNUMBER(I769)),"Unidade a conferir",IF(AND(AH769=1,K769&lt;&gt;"Sim"),"Possível duplicidade",IF(Z769=1,"MTR cancelado",IF(AC769&gt;0,"Recebimento com alerta",IF(AA769=0,"Aguardando recebimento",IF(AB769&lt;AA769,"Recebimento a conferir",IF(AM769=1,"Quantidade a revisar",IF(AF769&gt;0,"Vínculo a revisar",IF(AD769=0,"Aguardando CDF",IF(AN769=0,"Vínculo de CDF parcial",IF(AE769&lt;AD769,"CDF a conferir","Documentação conferida"))))))))))))))))))</f>
        <v/>
      </c>
      <c r="Q769" s="93" t="str">
        <f>IF(OR(R769=0,AA769=0),"",MAX(0,N(L769)-N(M769)))</f>
        <v/>
      </c>
      <c r="R769" s="96">
        <f>IF(COUNTA(B769:C769,G769:H769,J769:K769)&gt;0,1,0)</f>
        <v>0</v>
      </c>
      <c r="S769" s="96" t="str">
        <f>IF(B769="","",TRIM(LEFT(B769,FIND(" |",B769&amp;" |")-1)))</f>
        <v/>
      </c>
      <c r="T769" s="96" t="str">
        <f>IF(S769="","",IFERROR(MATCH(S769,'MTRs'!$A$6:$A$505,0),""))</f>
        <v/>
      </c>
      <c r="U769" s="96">
        <f>IF(T769="",0,IF(INDEX('MTRs'!$Z$6:$Z$505,T769)=1,1,0))</f>
        <v>0</v>
      </c>
      <c r="V769" s="96">
        <f>IF(C769="",0,IF(ISNUMBER(MATCH(C769,'CAD_RESÍDUOS'!$B$6:$B$205,0)),1,0))</f>
        <v>0</v>
      </c>
      <c r="W769" s="96">
        <f>IF(AND(ISNUMBER(G769),G769&gt;0),1,0)</f>
        <v>0</v>
      </c>
      <c r="X769" s="96" t="str">
        <f>IF(H769="","",IFERROR(IF(ISNUMBER(INDEX(cfg_fac,MATCH(H769,cfg_units,0))),IF(INDEX(cfg_fac,MATCH(H769,cfg_units,0))&gt;0,INDEX(cfg_fac,MATCH(H769,cfg_units,0)),""),""),""))</f>
        <v/>
      </c>
      <c r="Y769" s="96">
        <f>IF(AND(W769=1,ISNUMBER(I769)),1,0)</f>
        <v>0</v>
      </c>
      <c r="Z769" s="96">
        <f>IF(U769=1,INDEX('MTRs'!$AA$6:$AA$505,T769),0)</f>
        <v>0</v>
      </c>
      <c r="AA769" s="96">
        <f>IF(R769=0,0,COUNTIFS('RECEBIMENTOS'!$R$6:$R$1005,A769,'RECEBIMENTOS'!$Q$6:$Q$1005,1))</f>
        <v>0</v>
      </c>
      <c r="AB769" s="96">
        <f>IF(R769=0,0,COUNTIFS('RECEBIMENTOS'!$R$6:$R$1005,A769,'RECEBIMENTOS'!$Z$6:$Z$1005,1))</f>
        <v>0</v>
      </c>
      <c r="AC769" s="96">
        <f>IF(R769=0,0,COUNTIFS('RECEBIMENTOS'!$R$6:$R$1005,A769,'RECEBIMENTOS'!$Y$6:$Y$1005,1))</f>
        <v>0</v>
      </c>
      <c r="AD769" s="96">
        <f>IF(R769=0,0,COUNTIFS('VÍNCULOS_CDF'!$R$6:$R$1005,A769,'VÍNCULOS_CDF'!$N$6:$N$1005,1))</f>
        <v>0</v>
      </c>
      <c r="AE769" s="96">
        <f>IF(R769=0,0,COUNTIFS('VÍNCULOS_CDF'!$R$6:$R$1005,A769,'VÍNCULOS_CDF'!$AA$6:$AA$1005,1))</f>
        <v>0</v>
      </c>
      <c r="AF769" s="96">
        <f>IF(R769=0,0,COUNTIFS('VÍNCULOS_CDF'!$R$6:$R$1005,A769,'VÍNCULOS_CDF'!$Y$6:$Y$1005,1))</f>
        <v>0</v>
      </c>
      <c r="AG769" s="96" t="str">
        <f>IF(AND(R769=1,S769&lt;&gt;"",C769&lt;&gt;""),S769&amp;"|"&amp;C769&amp;"|"&amp;G769&amp;"|"&amp;H769,"")</f>
        <v/>
      </c>
      <c r="AH769" s="96">
        <f>IF(AG769="",0,IF(SUMPRODUCT(--($AG$6:$AG$1005=AG769))&gt;1,1,0))</f>
        <v>0</v>
      </c>
      <c r="AI769" s="96">
        <f>IF(R769=0,0,IF(OR(U769=0,V769=0,Y769=0,AND(AH769=1,K769&lt;&gt;"Sim")),1,0))</f>
        <v>0</v>
      </c>
      <c r="AJ769" s="96">
        <f>IF(AND(R769=1,AA769&gt;0,AB769=AA769),1,0)</f>
        <v>0</v>
      </c>
      <c r="AK769" s="96">
        <f>IF(R769=0,0,IF(AA769&gt;0,N(L769),IF(ISNUMBER(I769),I769,0)))</f>
        <v>0</v>
      </c>
      <c r="AL769" s="96">
        <f>IF(R769=0,0,IF(AND(K769&lt;&gt;"Sim",N(M769)&gt;AK769+cfg_tol),1,0))</f>
        <v>0</v>
      </c>
      <c r="AM769" s="96">
        <f>IF(R769=0,0,IF(K769="Sim",0,IF(OR(AND(AA769&gt;0,ISNUMBER(I769),ABS(I769-N(L769))&gt;cfg_tol),AL769=1),1,0)))</f>
        <v>0</v>
      </c>
      <c r="AN769" s="96">
        <f>IF(AND(R769=1,N(M769)&gt;0,OR(N(M769)&gt;=AK769-cfg_tol,K769="Sim")),1,0)</f>
        <v>0</v>
      </c>
      <c r="AO769" s="96">
        <f>IF(AND(AN769=1,AD769&gt;0,AE769=AD769,AL769=0),1,0)</f>
        <v>0</v>
      </c>
      <c r="AP769" s="96">
        <f>IF(U769=0,0,IF(AND(INDEX('MTRs'!$AX$6:$AX$505,T769)=1,Z769=0,OR(f_res="",f_res="(Todos)",C769=f_res)),1,0))</f>
        <v>0</v>
      </c>
      <c r="AQ769" s="97" t="str">
        <f>IF(U769=0,"",INDEX('MTRs'!$AZ$6:$AZ$505,T769))</f>
        <v/>
      </c>
      <c r="AR769" s="96">
        <f>IF(U769=0,0,IF(AND(INDEX('MTRs'!$BA$6:$BA$505,T769)=1,Z769=0),1,0))</f>
        <v>0</v>
      </c>
      <c r="AS769" s="96" t="str">
        <f>IF(R769=1,A769&amp;" | MTR "&amp;IF(U769=1,INDEX('MTRs'!$B$6:$B$505,T769)&amp;"","?")&amp;" | "&amp;IF(C769="","(sem resíduo)",C769),"")</f>
        <v/>
      </c>
      <c r="AT769" s="96" t="str">
        <f>IF(R769=1,COUNTIF($R$6:R769,1),"")</f>
        <v/>
      </c>
      <c r="AU769" s="96" t="str">
        <f>IF(U769=1,INDEX('MTRs'!$I$6:$I$505,T769)&amp;"","")</f>
        <v/>
      </c>
    </row>
    <row r="770">
      <c r="A770" s="89" t="inlineStr">
        <is>
          <t>IT-000765</t>
        </is>
      </c>
      <c r="B770" s="91" t="n"/>
      <c r="C770" s="91" t="n"/>
      <c r="D770" s="94" t="str">
        <f>IF(OR(R770=0,V770=0),"",INDEX('CAD_RESÍDUOS'!$E$6:$E$205,MATCH(C770,'CAD_RESÍDUOS'!$B$6:$B$205,0))&amp;"")</f>
        <v/>
      </c>
      <c r="E770" s="94" t="str">
        <f>IF(OR(R770=0,V770=0),"",INDEX('CAD_RESÍDUOS'!$C$6:$C$205,MATCH(C770,'CAD_RESÍDUOS'!$B$6:$B$205,0))&amp;"")</f>
        <v/>
      </c>
      <c r="F770" s="94" t="str">
        <f>IF(OR(R770=0,V770=0),"",INDEX('CAD_RESÍDUOS'!$G$6:$G$205,MATCH(C770,'CAD_RESÍDUOS'!$B$6:$B$205,0))&amp;"")</f>
        <v/>
      </c>
      <c r="G770" s="98" t="n"/>
      <c r="H770" s="91" t="n"/>
      <c r="I770" s="93" t="str">
        <f>IF(R770=0,"",IF(NOT(ISNUMBER(G770)),"",IF(ISNUMBER(X770),G770*X770,"UNIDADE A CONFERIR")))</f>
        <v/>
      </c>
      <c r="J770" s="91" t="n"/>
      <c r="K770" s="91" t="n"/>
      <c r="L770" s="93" t="str">
        <f>IF(R770=0,"",SUMIFS('RECEBIMENTOS'!$H$6:$H$1005,'RECEBIMENTOS'!$R$6:$R$1005,A770,'RECEBIMENTOS'!$X$6:$X$1005,1))</f>
        <v/>
      </c>
      <c r="M770" s="93" t="str">
        <f>IF(R770=0,"",SUMIFS('VÍNCULOS_CDF'!$H$6:$H$1005,'VÍNCULOS_CDF'!$R$6:$R$1005,A770,'VÍNCULOS_CDF'!$V$6:$V$1005,1))</f>
        <v/>
      </c>
      <c r="N770" s="99" t="str">
        <f>IF(OR(R770=0,AA770=0,NOT(ISNUMBER(I770))),"",I770-N(L770))</f>
        <v/>
      </c>
      <c r="O770" s="100" t="str">
        <f>IF(OR(R770=0,AK770&lt;=0),"",N(M770)/AK770)</f>
        <v/>
      </c>
      <c r="P770" s="94" t="str">
        <f>IF(R770=0,"",IF(S770="","Sem MTR associado",IF(U770=0,"MTR inexistente",IF(C770="","Resíduo não identificado",IF(V770=0,"Resíduo fora do cadastro",IF(W770=0,"Quantidade inválida",IF(H770="","Unidade não informada",IF(NOT(ISNUMBER(I770)),"Unidade a conferir",IF(AND(AH770=1,K770&lt;&gt;"Sim"),"Possível duplicidade",IF(Z770=1,"MTR cancelado",IF(AC770&gt;0,"Recebimento com alerta",IF(AA770=0,"Aguardando recebimento",IF(AB770&lt;AA770,"Recebimento a conferir",IF(AM770=1,"Quantidade a revisar",IF(AF770&gt;0,"Vínculo a revisar",IF(AD770=0,"Aguardando CDF",IF(AN770=0,"Vínculo de CDF parcial",IF(AE770&lt;AD770,"CDF a conferir","Documentação conferida"))))))))))))))))))</f>
        <v/>
      </c>
      <c r="Q770" s="93" t="str">
        <f>IF(OR(R770=0,AA770=0),"",MAX(0,N(L770)-N(M770)))</f>
        <v/>
      </c>
      <c r="R770" s="96">
        <f>IF(COUNTA(B770:C770,G770:H770,J770:K770)&gt;0,1,0)</f>
        <v>0</v>
      </c>
      <c r="S770" s="96" t="str">
        <f>IF(B770="","",TRIM(LEFT(B770,FIND(" |",B770&amp;" |")-1)))</f>
        <v/>
      </c>
      <c r="T770" s="96" t="str">
        <f>IF(S770="","",IFERROR(MATCH(S770,'MTRs'!$A$6:$A$505,0),""))</f>
        <v/>
      </c>
      <c r="U770" s="96">
        <f>IF(T770="",0,IF(INDEX('MTRs'!$Z$6:$Z$505,T770)=1,1,0))</f>
        <v>0</v>
      </c>
      <c r="V770" s="96">
        <f>IF(C770="",0,IF(ISNUMBER(MATCH(C770,'CAD_RESÍDUOS'!$B$6:$B$205,0)),1,0))</f>
        <v>0</v>
      </c>
      <c r="W770" s="96">
        <f>IF(AND(ISNUMBER(G770),G770&gt;0),1,0)</f>
        <v>0</v>
      </c>
      <c r="X770" s="96" t="str">
        <f>IF(H770="","",IFERROR(IF(ISNUMBER(INDEX(cfg_fac,MATCH(H770,cfg_units,0))),IF(INDEX(cfg_fac,MATCH(H770,cfg_units,0))&gt;0,INDEX(cfg_fac,MATCH(H770,cfg_units,0)),""),""),""))</f>
        <v/>
      </c>
      <c r="Y770" s="96">
        <f>IF(AND(W770=1,ISNUMBER(I770)),1,0)</f>
        <v>0</v>
      </c>
      <c r="Z770" s="96">
        <f>IF(U770=1,INDEX('MTRs'!$AA$6:$AA$505,T770),0)</f>
        <v>0</v>
      </c>
      <c r="AA770" s="96">
        <f>IF(R770=0,0,COUNTIFS('RECEBIMENTOS'!$R$6:$R$1005,A770,'RECEBIMENTOS'!$Q$6:$Q$1005,1))</f>
        <v>0</v>
      </c>
      <c r="AB770" s="96">
        <f>IF(R770=0,0,COUNTIFS('RECEBIMENTOS'!$R$6:$R$1005,A770,'RECEBIMENTOS'!$Z$6:$Z$1005,1))</f>
        <v>0</v>
      </c>
      <c r="AC770" s="96">
        <f>IF(R770=0,0,COUNTIFS('RECEBIMENTOS'!$R$6:$R$1005,A770,'RECEBIMENTOS'!$Y$6:$Y$1005,1))</f>
        <v>0</v>
      </c>
      <c r="AD770" s="96">
        <f>IF(R770=0,0,COUNTIFS('VÍNCULOS_CDF'!$R$6:$R$1005,A770,'VÍNCULOS_CDF'!$N$6:$N$1005,1))</f>
        <v>0</v>
      </c>
      <c r="AE770" s="96">
        <f>IF(R770=0,0,COUNTIFS('VÍNCULOS_CDF'!$R$6:$R$1005,A770,'VÍNCULOS_CDF'!$AA$6:$AA$1005,1))</f>
        <v>0</v>
      </c>
      <c r="AF770" s="96">
        <f>IF(R770=0,0,COUNTIFS('VÍNCULOS_CDF'!$R$6:$R$1005,A770,'VÍNCULOS_CDF'!$Y$6:$Y$1005,1))</f>
        <v>0</v>
      </c>
      <c r="AG770" s="96" t="str">
        <f>IF(AND(R770=1,S770&lt;&gt;"",C770&lt;&gt;""),S770&amp;"|"&amp;C770&amp;"|"&amp;G770&amp;"|"&amp;H770,"")</f>
        <v/>
      </c>
      <c r="AH770" s="96">
        <f>IF(AG770="",0,IF(SUMPRODUCT(--($AG$6:$AG$1005=AG770))&gt;1,1,0))</f>
        <v>0</v>
      </c>
      <c r="AI770" s="96">
        <f>IF(R770=0,0,IF(OR(U770=0,V770=0,Y770=0,AND(AH770=1,K770&lt;&gt;"Sim")),1,0))</f>
        <v>0</v>
      </c>
      <c r="AJ770" s="96">
        <f>IF(AND(R770=1,AA770&gt;0,AB770=AA770),1,0)</f>
        <v>0</v>
      </c>
      <c r="AK770" s="96">
        <f>IF(R770=0,0,IF(AA770&gt;0,N(L770),IF(ISNUMBER(I770),I770,0)))</f>
        <v>0</v>
      </c>
      <c r="AL770" s="96">
        <f>IF(R770=0,0,IF(AND(K770&lt;&gt;"Sim",N(M770)&gt;AK770+cfg_tol),1,0))</f>
        <v>0</v>
      </c>
      <c r="AM770" s="96">
        <f>IF(R770=0,0,IF(K770="Sim",0,IF(OR(AND(AA770&gt;0,ISNUMBER(I770),ABS(I770-N(L770))&gt;cfg_tol),AL770=1),1,0)))</f>
        <v>0</v>
      </c>
      <c r="AN770" s="96">
        <f>IF(AND(R770=1,N(M770)&gt;0,OR(N(M770)&gt;=AK770-cfg_tol,K770="Sim")),1,0)</f>
        <v>0</v>
      </c>
      <c r="AO770" s="96">
        <f>IF(AND(AN770=1,AD770&gt;0,AE770=AD770,AL770=0),1,0)</f>
        <v>0</v>
      </c>
      <c r="AP770" s="96">
        <f>IF(U770=0,0,IF(AND(INDEX('MTRs'!$AX$6:$AX$505,T770)=1,Z770=0,OR(f_res="",f_res="(Todos)",C770=f_res)),1,0))</f>
        <v>0</v>
      </c>
      <c r="AQ770" s="97" t="str">
        <f>IF(U770=0,"",INDEX('MTRs'!$AZ$6:$AZ$505,T770))</f>
        <v/>
      </c>
      <c r="AR770" s="96">
        <f>IF(U770=0,0,IF(AND(INDEX('MTRs'!$BA$6:$BA$505,T770)=1,Z770=0),1,0))</f>
        <v>0</v>
      </c>
      <c r="AS770" s="96" t="str">
        <f>IF(R770=1,A770&amp;" | MTR "&amp;IF(U770=1,INDEX('MTRs'!$B$6:$B$505,T770)&amp;"","?")&amp;" | "&amp;IF(C770="","(sem resíduo)",C770),"")</f>
        <v/>
      </c>
      <c r="AT770" s="96" t="str">
        <f>IF(R770=1,COUNTIF($R$6:R770,1),"")</f>
        <v/>
      </c>
      <c r="AU770" s="96" t="str">
        <f>IF(U770=1,INDEX('MTRs'!$I$6:$I$505,T770)&amp;"","")</f>
        <v/>
      </c>
    </row>
    <row r="771">
      <c r="A771" s="89" t="inlineStr">
        <is>
          <t>IT-000766</t>
        </is>
      </c>
      <c r="B771" s="91" t="n"/>
      <c r="C771" s="91" t="n"/>
      <c r="D771" s="94" t="str">
        <f>IF(OR(R771=0,V771=0),"",INDEX('CAD_RESÍDUOS'!$E$6:$E$205,MATCH(C771,'CAD_RESÍDUOS'!$B$6:$B$205,0))&amp;"")</f>
        <v/>
      </c>
      <c r="E771" s="94" t="str">
        <f>IF(OR(R771=0,V771=0),"",INDEX('CAD_RESÍDUOS'!$C$6:$C$205,MATCH(C771,'CAD_RESÍDUOS'!$B$6:$B$205,0))&amp;"")</f>
        <v/>
      </c>
      <c r="F771" s="94" t="str">
        <f>IF(OR(R771=0,V771=0),"",INDEX('CAD_RESÍDUOS'!$G$6:$G$205,MATCH(C771,'CAD_RESÍDUOS'!$B$6:$B$205,0))&amp;"")</f>
        <v/>
      </c>
      <c r="G771" s="98" t="n"/>
      <c r="H771" s="91" t="n"/>
      <c r="I771" s="93" t="str">
        <f>IF(R771=0,"",IF(NOT(ISNUMBER(G771)),"",IF(ISNUMBER(X771),G771*X771,"UNIDADE A CONFERIR")))</f>
        <v/>
      </c>
      <c r="J771" s="91" t="n"/>
      <c r="K771" s="91" t="n"/>
      <c r="L771" s="93" t="str">
        <f>IF(R771=0,"",SUMIFS('RECEBIMENTOS'!$H$6:$H$1005,'RECEBIMENTOS'!$R$6:$R$1005,A771,'RECEBIMENTOS'!$X$6:$X$1005,1))</f>
        <v/>
      </c>
      <c r="M771" s="93" t="str">
        <f>IF(R771=0,"",SUMIFS('VÍNCULOS_CDF'!$H$6:$H$1005,'VÍNCULOS_CDF'!$R$6:$R$1005,A771,'VÍNCULOS_CDF'!$V$6:$V$1005,1))</f>
        <v/>
      </c>
      <c r="N771" s="99" t="str">
        <f>IF(OR(R771=0,AA771=0,NOT(ISNUMBER(I771))),"",I771-N(L771))</f>
        <v/>
      </c>
      <c r="O771" s="100" t="str">
        <f>IF(OR(R771=0,AK771&lt;=0),"",N(M771)/AK771)</f>
        <v/>
      </c>
      <c r="P771" s="94" t="str">
        <f>IF(R771=0,"",IF(S771="","Sem MTR associado",IF(U771=0,"MTR inexistente",IF(C771="","Resíduo não identificado",IF(V771=0,"Resíduo fora do cadastro",IF(W771=0,"Quantidade inválida",IF(H771="","Unidade não informada",IF(NOT(ISNUMBER(I771)),"Unidade a conferir",IF(AND(AH771=1,K771&lt;&gt;"Sim"),"Possível duplicidade",IF(Z771=1,"MTR cancelado",IF(AC771&gt;0,"Recebimento com alerta",IF(AA771=0,"Aguardando recebimento",IF(AB771&lt;AA771,"Recebimento a conferir",IF(AM771=1,"Quantidade a revisar",IF(AF771&gt;0,"Vínculo a revisar",IF(AD771=0,"Aguardando CDF",IF(AN771=0,"Vínculo de CDF parcial",IF(AE771&lt;AD771,"CDF a conferir","Documentação conferida"))))))))))))))))))</f>
        <v/>
      </c>
      <c r="Q771" s="93" t="str">
        <f>IF(OR(R771=0,AA771=0),"",MAX(0,N(L771)-N(M771)))</f>
        <v/>
      </c>
      <c r="R771" s="96">
        <f>IF(COUNTA(B771:C771,G771:H771,J771:K771)&gt;0,1,0)</f>
        <v>0</v>
      </c>
      <c r="S771" s="96" t="str">
        <f>IF(B771="","",TRIM(LEFT(B771,FIND(" |",B771&amp;" |")-1)))</f>
        <v/>
      </c>
      <c r="T771" s="96" t="str">
        <f>IF(S771="","",IFERROR(MATCH(S771,'MTRs'!$A$6:$A$505,0),""))</f>
        <v/>
      </c>
      <c r="U771" s="96">
        <f>IF(T771="",0,IF(INDEX('MTRs'!$Z$6:$Z$505,T771)=1,1,0))</f>
        <v>0</v>
      </c>
      <c r="V771" s="96">
        <f>IF(C771="",0,IF(ISNUMBER(MATCH(C771,'CAD_RESÍDUOS'!$B$6:$B$205,0)),1,0))</f>
        <v>0</v>
      </c>
      <c r="W771" s="96">
        <f>IF(AND(ISNUMBER(G771),G771&gt;0),1,0)</f>
        <v>0</v>
      </c>
      <c r="X771" s="96" t="str">
        <f>IF(H771="","",IFERROR(IF(ISNUMBER(INDEX(cfg_fac,MATCH(H771,cfg_units,0))),IF(INDEX(cfg_fac,MATCH(H771,cfg_units,0))&gt;0,INDEX(cfg_fac,MATCH(H771,cfg_units,0)),""),""),""))</f>
        <v/>
      </c>
      <c r="Y771" s="96">
        <f>IF(AND(W771=1,ISNUMBER(I771)),1,0)</f>
        <v>0</v>
      </c>
      <c r="Z771" s="96">
        <f>IF(U771=1,INDEX('MTRs'!$AA$6:$AA$505,T771),0)</f>
        <v>0</v>
      </c>
      <c r="AA771" s="96">
        <f>IF(R771=0,0,COUNTIFS('RECEBIMENTOS'!$R$6:$R$1005,A771,'RECEBIMENTOS'!$Q$6:$Q$1005,1))</f>
        <v>0</v>
      </c>
      <c r="AB771" s="96">
        <f>IF(R771=0,0,COUNTIFS('RECEBIMENTOS'!$R$6:$R$1005,A771,'RECEBIMENTOS'!$Z$6:$Z$1005,1))</f>
        <v>0</v>
      </c>
      <c r="AC771" s="96">
        <f>IF(R771=0,0,COUNTIFS('RECEBIMENTOS'!$R$6:$R$1005,A771,'RECEBIMENTOS'!$Y$6:$Y$1005,1))</f>
        <v>0</v>
      </c>
      <c r="AD771" s="96">
        <f>IF(R771=0,0,COUNTIFS('VÍNCULOS_CDF'!$R$6:$R$1005,A771,'VÍNCULOS_CDF'!$N$6:$N$1005,1))</f>
        <v>0</v>
      </c>
      <c r="AE771" s="96">
        <f>IF(R771=0,0,COUNTIFS('VÍNCULOS_CDF'!$R$6:$R$1005,A771,'VÍNCULOS_CDF'!$AA$6:$AA$1005,1))</f>
        <v>0</v>
      </c>
      <c r="AF771" s="96">
        <f>IF(R771=0,0,COUNTIFS('VÍNCULOS_CDF'!$R$6:$R$1005,A771,'VÍNCULOS_CDF'!$Y$6:$Y$1005,1))</f>
        <v>0</v>
      </c>
      <c r="AG771" s="96" t="str">
        <f>IF(AND(R771=1,S771&lt;&gt;"",C771&lt;&gt;""),S771&amp;"|"&amp;C771&amp;"|"&amp;G771&amp;"|"&amp;H771,"")</f>
        <v/>
      </c>
      <c r="AH771" s="96">
        <f>IF(AG771="",0,IF(SUMPRODUCT(--($AG$6:$AG$1005=AG771))&gt;1,1,0))</f>
        <v>0</v>
      </c>
      <c r="AI771" s="96">
        <f>IF(R771=0,0,IF(OR(U771=0,V771=0,Y771=0,AND(AH771=1,K771&lt;&gt;"Sim")),1,0))</f>
        <v>0</v>
      </c>
      <c r="AJ771" s="96">
        <f>IF(AND(R771=1,AA771&gt;0,AB771=AA771),1,0)</f>
        <v>0</v>
      </c>
      <c r="AK771" s="96">
        <f>IF(R771=0,0,IF(AA771&gt;0,N(L771),IF(ISNUMBER(I771),I771,0)))</f>
        <v>0</v>
      </c>
      <c r="AL771" s="96">
        <f>IF(R771=0,0,IF(AND(K771&lt;&gt;"Sim",N(M771)&gt;AK771+cfg_tol),1,0))</f>
        <v>0</v>
      </c>
      <c r="AM771" s="96">
        <f>IF(R771=0,0,IF(K771="Sim",0,IF(OR(AND(AA771&gt;0,ISNUMBER(I771),ABS(I771-N(L771))&gt;cfg_tol),AL771=1),1,0)))</f>
        <v>0</v>
      </c>
      <c r="AN771" s="96">
        <f>IF(AND(R771=1,N(M771)&gt;0,OR(N(M771)&gt;=AK771-cfg_tol,K771="Sim")),1,0)</f>
        <v>0</v>
      </c>
      <c r="AO771" s="96">
        <f>IF(AND(AN771=1,AD771&gt;0,AE771=AD771,AL771=0),1,0)</f>
        <v>0</v>
      </c>
      <c r="AP771" s="96">
        <f>IF(U771=0,0,IF(AND(INDEX('MTRs'!$AX$6:$AX$505,T771)=1,Z771=0,OR(f_res="",f_res="(Todos)",C771=f_res)),1,0))</f>
        <v>0</v>
      </c>
      <c r="AQ771" s="97" t="str">
        <f>IF(U771=0,"",INDEX('MTRs'!$AZ$6:$AZ$505,T771))</f>
        <v/>
      </c>
      <c r="AR771" s="96">
        <f>IF(U771=0,0,IF(AND(INDEX('MTRs'!$BA$6:$BA$505,T771)=1,Z771=0),1,0))</f>
        <v>0</v>
      </c>
      <c r="AS771" s="96" t="str">
        <f>IF(R771=1,A771&amp;" | MTR "&amp;IF(U771=1,INDEX('MTRs'!$B$6:$B$505,T771)&amp;"","?")&amp;" | "&amp;IF(C771="","(sem resíduo)",C771),"")</f>
        <v/>
      </c>
      <c r="AT771" s="96" t="str">
        <f>IF(R771=1,COUNTIF($R$6:R771,1),"")</f>
        <v/>
      </c>
      <c r="AU771" s="96" t="str">
        <f>IF(U771=1,INDEX('MTRs'!$I$6:$I$505,T771)&amp;"","")</f>
        <v/>
      </c>
    </row>
    <row r="772">
      <c r="A772" s="89" t="inlineStr">
        <is>
          <t>IT-000767</t>
        </is>
      </c>
      <c r="B772" s="91" t="n"/>
      <c r="C772" s="91" t="n"/>
      <c r="D772" s="94" t="str">
        <f>IF(OR(R772=0,V772=0),"",INDEX('CAD_RESÍDUOS'!$E$6:$E$205,MATCH(C772,'CAD_RESÍDUOS'!$B$6:$B$205,0))&amp;"")</f>
        <v/>
      </c>
      <c r="E772" s="94" t="str">
        <f>IF(OR(R772=0,V772=0),"",INDEX('CAD_RESÍDUOS'!$C$6:$C$205,MATCH(C772,'CAD_RESÍDUOS'!$B$6:$B$205,0))&amp;"")</f>
        <v/>
      </c>
      <c r="F772" s="94" t="str">
        <f>IF(OR(R772=0,V772=0),"",INDEX('CAD_RESÍDUOS'!$G$6:$G$205,MATCH(C772,'CAD_RESÍDUOS'!$B$6:$B$205,0))&amp;"")</f>
        <v/>
      </c>
      <c r="G772" s="98" t="n"/>
      <c r="H772" s="91" t="n"/>
      <c r="I772" s="93" t="str">
        <f>IF(R772=0,"",IF(NOT(ISNUMBER(G772)),"",IF(ISNUMBER(X772),G772*X772,"UNIDADE A CONFERIR")))</f>
        <v/>
      </c>
      <c r="J772" s="91" t="n"/>
      <c r="K772" s="91" t="n"/>
      <c r="L772" s="93" t="str">
        <f>IF(R772=0,"",SUMIFS('RECEBIMENTOS'!$H$6:$H$1005,'RECEBIMENTOS'!$R$6:$R$1005,A772,'RECEBIMENTOS'!$X$6:$X$1005,1))</f>
        <v/>
      </c>
      <c r="M772" s="93" t="str">
        <f>IF(R772=0,"",SUMIFS('VÍNCULOS_CDF'!$H$6:$H$1005,'VÍNCULOS_CDF'!$R$6:$R$1005,A772,'VÍNCULOS_CDF'!$V$6:$V$1005,1))</f>
        <v/>
      </c>
      <c r="N772" s="99" t="str">
        <f>IF(OR(R772=0,AA772=0,NOT(ISNUMBER(I772))),"",I772-N(L772))</f>
        <v/>
      </c>
      <c r="O772" s="100" t="str">
        <f>IF(OR(R772=0,AK772&lt;=0),"",N(M772)/AK772)</f>
        <v/>
      </c>
      <c r="P772" s="94" t="str">
        <f>IF(R772=0,"",IF(S772="","Sem MTR associado",IF(U772=0,"MTR inexistente",IF(C772="","Resíduo não identificado",IF(V772=0,"Resíduo fora do cadastro",IF(W772=0,"Quantidade inválida",IF(H772="","Unidade não informada",IF(NOT(ISNUMBER(I772)),"Unidade a conferir",IF(AND(AH772=1,K772&lt;&gt;"Sim"),"Possível duplicidade",IF(Z772=1,"MTR cancelado",IF(AC772&gt;0,"Recebimento com alerta",IF(AA772=0,"Aguardando recebimento",IF(AB772&lt;AA772,"Recebimento a conferir",IF(AM772=1,"Quantidade a revisar",IF(AF772&gt;0,"Vínculo a revisar",IF(AD772=0,"Aguardando CDF",IF(AN772=0,"Vínculo de CDF parcial",IF(AE772&lt;AD772,"CDF a conferir","Documentação conferida"))))))))))))))))))</f>
        <v/>
      </c>
      <c r="Q772" s="93" t="str">
        <f>IF(OR(R772=0,AA772=0),"",MAX(0,N(L772)-N(M772)))</f>
        <v/>
      </c>
      <c r="R772" s="96">
        <f>IF(COUNTA(B772:C772,G772:H772,J772:K772)&gt;0,1,0)</f>
        <v>0</v>
      </c>
      <c r="S772" s="96" t="str">
        <f>IF(B772="","",TRIM(LEFT(B772,FIND(" |",B772&amp;" |")-1)))</f>
        <v/>
      </c>
      <c r="T772" s="96" t="str">
        <f>IF(S772="","",IFERROR(MATCH(S772,'MTRs'!$A$6:$A$505,0),""))</f>
        <v/>
      </c>
      <c r="U772" s="96">
        <f>IF(T772="",0,IF(INDEX('MTRs'!$Z$6:$Z$505,T772)=1,1,0))</f>
        <v>0</v>
      </c>
      <c r="V772" s="96">
        <f>IF(C772="",0,IF(ISNUMBER(MATCH(C772,'CAD_RESÍDUOS'!$B$6:$B$205,0)),1,0))</f>
        <v>0</v>
      </c>
      <c r="W772" s="96">
        <f>IF(AND(ISNUMBER(G772),G772&gt;0),1,0)</f>
        <v>0</v>
      </c>
      <c r="X772" s="96" t="str">
        <f>IF(H772="","",IFERROR(IF(ISNUMBER(INDEX(cfg_fac,MATCH(H772,cfg_units,0))),IF(INDEX(cfg_fac,MATCH(H772,cfg_units,0))&gt;0,INDEX(cfg_fac,MATCH(H772,cfg_units,0)),""),""),""))</f>
        <v/>
      </c>
      <c r="Y772" s="96">
        <f>IF(AND(W772=1,ISNUMBER(I772)),1,0)</f>
        <v>0</v>
      </c>
      <c r="Z772" s="96">
        <f>IF(U772=1,INDEX('MTRs'!$AA$6:$AA$505,T772),0)</f>
        <v>0</v>
      </c>
      <c r="AA772" s="96">
        <f>IF(R772=0,0,COUNTIFS('RECEBIMENTOS'!$R$6:$R$1005,A772,'RECEBIMENTOS'!$Q$6:$Q$1005,1))</f>
        <v>0</v>
      </c>
      <c r="AB772" s="96">
        <f>IF(R772=0,0,COUNTIFS('RECEBIMENTOS'!$R$6:$R$1005,A772,'RECEBIMENTOS'!$Z$6:$Z$1005,1))</f>
        <v>0</v>
      </c>
      <c r="AC772" s="96">
        <f>IF(R772=0,0,COUNTIFS('RECEBIMENTOS'!$R$6:$R$1005,A772,'RECEBIMENTOS'!$Y$6:$Y$1005,1))</f>
        <v>0</v>
      </c>
      <c r="AD772" s="96">
        <f>IF(R772=0,0,COUNTIFS('VÍNCULOS_CDF'!$R$6:$R$1005,A772,'VÍNCULOS_CDF'!$N$6:$N$1005,1))</f>
        <v>0</v>
      </c>
      <c r="AE772" s="96">
        <f>IF(R772=0,0,COUNTIFS('VÍNCULOS_CDF'!$R$6:$R$1005,A772,'VÍNCULOS_CDF'!$AA$6:$AA$1005,1))</f>
        <v>0</v>
      </c>
      <c r="AF772" s="96">
        <f>IF(R772=0,0,COUNTIFS('VÍNCULOS_CDF'!$R$6:$R$1005,A772,'VÍNCULOS_CDF'!$Y$6:$Y$1005,1))</f>
        <v>0</v>
      </c>
      <c r="AG772" s="96" t="str">
        <f>IF(AND(R772=1,S772&lt;&gt;"",C772&lt;&gt;""),S772&amp;"|"&amp;C772&amp;"|"&amp;G772&amp;"|"&amp;H772,"")</f>
        <v/>
      </c>
      <c r="AH772" s="96">
        <f>IF(AG772="",0,IF(SUMPRODUCT(--($AG$6:$AG$1005=AG772))&gt;1,1,0))</f>
        <v>0</v>
      </c>
      <c r="AI772" s="96">
        <f>IF(R772=0,0,IF(OR(U772=0,V772=0,Y772=0,AND(AH772=1,K772&lt;&gt;"Sim")),1,0))</f>
        <v>0</v>
      </c>
      <c r="AJ772" s="96">
        <f>IF(AND(R772=1,AA772&gt;0,AB772=AA772),1,0)</f>
        <v>0</v>
      </c>
      <c r="AK772" s="96">
        <f>IF(R772=0,0,IF(AA772&gt;0,N(L772),IF(ISNUMBER(I772),I772,0)))</f>
        <v>0</v>
      </c>
      <c r="AL772" s="96">
        <f>IF(R772=0,0,IF(AND(K772&lt;&gt;"Sim",N(M772)&gt;AK772+cfg_tol),1,0))</f>
        <v>0</v>
      </c>
      <c r="AM772" s="96">
        <f>IF(R772=0,0,IF(K772="Sim",0,IF(OR(AND(AA772&gt;0,ISNUMBER(I772),ABS(I772-N(L772))&gt;cfg_tol),AL772=1),1,0)))</f>
        <v>0</v>
      </c>
      <c r="AN772" s="96">
        <f>IF(AND(R772=1,N(M772)&gt;0,OR(N(M772)&gt;=AK772-cfg_tol,K772="Sim")),1,0)</f>
        <v>0</v>
      </c>
      <c r="AO772" s="96">
        <f>IF(AND(AN772=1,AD772&gt;0,AE772=AD772,AL772=0),1,0)</f>
        <v>0</v>
      </c>
      <c r="AP772" s="96">
        <f>IF(U772=0,0,IF(AND(INDEX('MTRs'!$AX$6:$AX$505,T772)=1,Z772=0,OR(f_res="",f_res="(Todos)",C772=f_res)),1,0))</f>
        <v>0</v>
      </c>
      <c r="AQ772" s="97" t="str">
        <f>IF(U772=0,"",INDEX('MTRs'!$AZ$6:$AZ$505,T772))</f>
        <v/>
      </c>
      <c r="AR772" s="96">
        <f>IF(U772=0,0,IF(AND(INDEX('MTRs'!$BA$6:$BA$505,T772)=1,Z772=0),1,0))</f>
        <v>0</v>
      </c>
      <c r="AS772" s="96" t="str">
        <f>IF(R772=1,A772&amp;" | MTR "&amp;IF(U772=1,INDEX('MTRs'!$B$6:$B$505,T772)&amp;"","?")&amp;" | "&amp;IF(C772="","(sem resíduo)",C772),"")</f>
        <v/>
      </c>
      <c r="AT772" s="96" t="str">
        <f>IF(R772=1,COUNTIF($R$6:R772,1),"")</f>
        <v/>
      </c>
      <c r="AU772" s="96" t="str">
        <f>IF(U772=1,INDEX('MTRs'!$I$6:$I$505,T772)&amp;"","")</f>
        <v/>
      </c>
    </row>
    <row r="773">
      <c r="A773" s="89" t="inlineStr">
        <is>
          <t>IT-000768</t>
        </is>
      </c>
      <c r="B773" s="91" t="n"/>
      <c r="C773" s="91" t="n"/>
      <c r="D773" s="94" t="str">
        <f>IF(OR(R773=0,V773=0),"",INDEX('CAD_RESÍDUOS'!$E$6:$E$205,MATCH(C773,'CAD_RESÍDUOS'!$B$6:$B$205,0))&amp;"")</f>
        <v/>
      </c>
      <c r="E773" s="94" t="str">
        <f>IF(OR(R773=0,V773=0),"",INDEX('CAD_RESÍDUOS'!$C$6:$C$205,MATCH(C773,'CAD_RESÍDUOS'!$B$6:$B$205,0))&amp;"")</f>
        <v/>
      </c>
      <c r="F773" s="94" t="str">
        <f>IF(OR(R773=0,V773=0),"",INDEX('CAD_RESÍDUOS'!$G$6:$G$205,MATCH(C773,'CAD_RESÍDUOS'!$B$6:$B$205,0))&amp;"")</f>
        <v/>
      </c>
      <c r="G773" s="98" t="n"/>
      <c r="H773" s="91" t="n"/>
      <c r="I773" s="93" t="str">
        <f>IF(R773=0,"",IF(NOT(ISNUMBER(G773)),"",IF(ISNUMBER(X773),G773*X773,"UNIDADE A CONFERIR")))</f>
        <v/>
      </c>
      <c r="J773" s="91" t="n"/>
      <c r="K773" s="91" t="n"/>
      <c r="L773" s="93" t="str">
        <f>IF(R773=0,"",SUMIFS('RECEBIMENTOS'!$H$6:$H$1005,'RECEBIMENTOS'!$R$6:$R$1005,A773,'RECEBIMENTOS'!$X$6:$X$1005,1))</f>
        <v/>
      </c>
      <c r="M773" s="93" t="str">
        <f>IF(R773=0,"",SUMIFS('VÍNCULOS_CDF'!$H$6:$H$1005,'VÍNCULOS_CDF'!$R$6:$R$1005,A773,'VÍNCULOS_CDF'!$V$6:$V$1005,1))</f>
        <v/>
      </c>
      <c r="N773" s="99" t="str">
        <f>IF(OR(R773=0,AA773=0,NOT(ISNUMBER(I773))),"",I773-N(L773))</f>
        <v/>
      </c>
      <c r="O773" s="100" t="str">
        <f>IF(OR(R773=0,AK773&lt;=0),"",N(M773)/AK773)</f>
        <v/>
      </c>
      <c r="P773" s="94" t="str">
        <f>IF(R773=0,"",IF(S773="","Sem MTR associado",IF(U773=0,"MTR inexistente",IF(C773="","Resíduo não identificado",IF(V773=0,"Resíduo fora do cadastro",IF(W773=0,"Quantidade inválida",IF(H773="","Unidade não informada",IF(NOT(ISNUMBER(I773)),"Unidade a conferir",IF(AND(AH773=1,K773&lt;&gt;"Sim"),"Possível duplicidade",IF(Z773=1,"MTR cancelado",IF(AC773&gt;0,"Recebimento com alerta",IF(AA773=0,"Aguardando recebimento",IF(AB773&lt;AA773,"Recebimento a conferir",IF(AM773=1,"Quantidade a revisar",IF(AF773&gt;0,"Vínculo a revisar",IF(AD773=0,"Aguardando CDF",IF(AN773=0,"Vínculo de CDF parcial",IF(AE773&lt;AD773,"CDF a conferir","Documentação conferida"))))))))))))))))))</f>
        <v/>
      </c>
      <c r="Q773" s="93" t="str">
        <f>IF(OR(R773=0,AA773=0),"",MAX(0,N(L773)-N(M773)))</f>
        <v/>
      </c>
      <c r="R773" s="96">
        <f>IF(COUNTA(B773:C773,G773:H773,J773:K773)&gt;0,1,0)</f>
        <v>0</v>
      </c>
      <c r="S773" s="96" t="str">
        <f>IF(B773="","",TRIM(LEFT(B773,FIND(" |",B773&amp;" |")-1)))</f>
        <v/>
      </c>
      <c r="T773" s="96" t="str">
        <f>IF(S773="","",IFERROR(MATCH(S773,'MTRs'!$A$6:$A$505,0),""))</f>
        <v/>
      </c>
      <c r="U773" s="96">
        <f>IF(T773="",0,IF(INDEX('MTRs'!$Z$6:$Z$505,T773)=1,1,0))</f>
        <v>0</v>
      </c>
      <c r="V773" s="96">
        <f>IF(C773="",0,IF(ISNUMBER(MATCH(C773,'CAD_RESÍDUOS'!$B$6:$B$205,0)),1,0))</f>
        <v>0</v>
      </c>
      <c r="W773" s="96">
        <f>IF(AND(ISNUMBER(G773),G773&gt;0),1,0)</f>
        <v>0</v>
      </c>
      <c r="X773" s="96" t="str">
        <f>IF(H773="","",IFERROR(IF(ISNUMBER(INDEX(cfg_fac,MATCH(H773,cfg_units,0))),IF(INDEX(cfg_fac,MATCH(H773,cfg_units,0))&gt;0,INDEX(cfg_fac,MATCH(H773,cfg_units,0)),""),""),""))</f>
        <v/>
      </c>
      <c r="Y773" s="96">
        <f>IF(AND(W773=1,ISNUMBER(I773)),1,0)</f>
        <v>0</v>
      </c>
      <c r="Z773" s="96">
        <f>IF(U773=1,INDEX('MTRs'!$AA$6:$AA$505,T773),0)</f>
        <v>0</v>
      </c>
      <c r="AA773" s="96">
        <f>IF(R773=0,0,COUNTIFS('RECEBIMENTOS'!$R$6:$R$1005,A773,'RECEBIMENTOS'!$Q$6:$Q$1005,1))</f>
        <v>0</v>
      </c>
      <c r="AB773" s="96">
        <f>IF(R773=0,0,COUNTIFS('RECEBIMENTOS'!$R$6:$R$1005,A773,'RECEBIMENTOS'!$Z$6:$Z$1005,1))</f>
        <v>0</v>
      </c>
      <c r="AC773" s="96">
        <f>IF(R773=0,0,COUNTIFS('RECEBIMENTOS'!$R$6:$R$1005,A773,'RECEBIMENTOS'!$Y$6:$Y$1005,1))</f>
        <v>0</v>
      </c>
      <c r="AD773" s="96">
        <f>IF(R773=0,0,COUNTIFS('VÍNCULOS_CDF'!$R$6:$R$1005,A773,'VÍNCULOS_CDF'!$N$6:$N$1005,1))</f>
        <v>0</v>
      </c>
      <c r="AE773" s="96">
        <f>IF(R773=0,0,COUNTIFS('VÍNCULOS_CDF'!$R$6:$R$1005,A773,'VÍNCULOS_CDF'!$AA$6:$AA$1005,1))</f>
        <v>0</v>
      </c>
      <c r="AF773" s="96">
        <f>IF(R773=0,0,COUNTIFS('VÍNCULOS_CDF'!$R$6:$R$1005,A773,'VÍNCULOS_CDF'!$Y$6:$Y$1005,1))</f>
        <v>0</v>
      </c>
      <c r="AG773" s="96" t="str">
        <f>IF(AND(R773=1,S773&lt;&gt;"",C773&lt;&gt;""),S773&amp;"|"&amp;C773&amp;"|"&amp;G773&amp;"|"&amp;H773,"")</f>
        <v/>
      </c>
      <c r="AH773" s="96">
        <f>IF(AG773="",0,IF(SUMPRODUCT(--($AG$6:$AG$1005=AG773))&gt;1,1,0))</f>
        <v>0</v>
      </c>
      <c r="AI773" s="96">
        <f>IF(R773=0,0,IF(OR(U773=0,V773=0,Y773=0,AND(AH773=1,K773&lt;&gt;"Sim")),1,0))</f>
        <v>0</v>
      </c>
      <c r="AJ773" s="96">
        <f>IF(AND(R773=1,AA773&gt;0,AB773=AA773),1,0)</f>
        <v>0</v>
      </c>
      <c r="AK773" s="96">
        <f>IF(R773=0,0,IF(AA773&gt;0,N(L773),IF(ISNUMBER(I773),I773,0)))</f>
        <v>0</v>
      </c>
      <c r="AL773" s="96">
        <f>IF(R773=0,0,IF(AND(K773&lt;&gt;"Sim",N(M773)&gt;AK773+cfg_tol),1,0))</f>
        <v>0</v>
      </c>
      <c r="AM773" s="96">
        <f>IF(R773=0,0,IF(K773="Sim",0,IF(OR(AND(AA773&gt;0,ISNUMBER(I773),ABS(I773-N(L773))&gt;cfg_tol),AL773=1),1,0)))</f>
        <v>0</v>
      </c>
      <c r="AN773" s="96">
        <f>IF(AND(R773=1,N(M773)&gt;0,OR(N(M773)&gt;=AK773-cfg_tol,K773="Sim")),1,0)</f>
        <v>0</v>
      </c>
      <c r="AO773" s="96">
        <f>IF(AND(AN773=1,AD773&gt;0,AE773=AD773,AL773=0),1,0)</f>
        <v>0</v>
      </c>
      <c r="AP773" s="96">
        <f>IF(U773=0,0,IF(AND(INDEX('MTRs'!$AX$6:$AX$505,T773)=1,Z773=0,OR(f_res="",f_res="(Todos)",C773=f_res)),1,0))</f>
        <v>0</v>
      </c>
      <c r="AQ773" s="97" t="str">
        <f>IF(U773=0,"",INDEX('MTRs'!$AZ$6:$AZ$505,T773))</f>
        <v/>
      </c>
      <c r="AR773" s="96">
        <f>IF(U773=0,0,IF(AND(INDEX('MTRs'!$BA$6:$BA$505,T773)=1,Z773=0),1,0))</f>
        <v>0</v>
      </c>
      <c r="AS773" s="96" t="str">
        <f>IF(R773=1,A773&amp;" | MTR "&amp;IF(U773=1,INDEX('MTRs'!$B$6:$B$505,T773)&amp;"","?")&amp;" | "&amp;IF(C773="","(sem resíduo)",C773),"")</f>
        <v/>
      </c>
      <c r="AT773" s="96" t="str">
        <f>IF(R773=1,COUNTIF($R$6:R773,1),"")</f>
        <v/>
      </c>
      <c r="AU773" s="96" t="str">
        <f>IF(U773=1,INDEX('MTRs'!$I$6:$I$505,T773)&amp;"","")</f>
        <v/>
      </c>
    </row>
    <row r="774">
      <c r="A774" s="89" t="inlineStr">
        <is>
          <t>IT-000769</t>
        </is>
      </c>
      <c r="B774" s="91" t="n"/>
      <c r="C774" s="91" t="n"/>
      <c r="D774" s="94" t="str">
        <f>IF(OR(R774=0,V774=0),"",INDEX('CAD_RESÍDUOS'!$E$6:$E$205,MATCH(C774,'CAD_RESÍDUOS'!$B$6:$B$205,0))&amp;"")</f>
        <v/>
      </c>
      <c r="E774" s="94" t="str">
        <f>IF(OR(R774=0,V774=0),"",INDEX('CAD_RESÍDUOS'!$C$6:$C$205,MATCH(C774,'CAD_RESÍDUOS'!$B$6:$B$205,0))&amp;"")</f>
        <v/>
      </c>
      <c r="F774" s="94" t="str">
        <f>IF(OR(R774=0,V774=0),"",INDEX('CAD_RESÍDUOS'!$G$6:$G$205,MATCH(C774,'CAD_RESÍDUOS'!$B$6:$B$205,0))&amp;"")</f>
        <v/>
      </c>
      <c r="G774" s="98" t="n"/>
      <c r="H774" s="91" t="n"/>
      <c r="I774" s="93" t="str">
        <f>IF(R774=0,"",IF(NOT(ISNUMBER(G774)),"",IF(ISNUMBER(X774),G774*X774,"UNIDADE A CONFERIR")))</f>
        <v/>
      </c>
      <c r="J774" s="91" t="n"/>
      <c r="K774" s="91" t="n"/>
      <c r="L774" s="93" t="str">
        <f>IF(R774=0,"",SUMIFS('RECEBIMENTOS'!$H$6:$H$1005,'RECEBIMENTOS'!$R$6:$R$1005,A774,'RECEBIMENTOS'!$X$6:$X$1005,1))</f>
        <v/>
      </c>
      <c r="M774" s="93" t="str">
        <f>IF(R774=0,"",SUMIFS('VÍNCULOS_CDF'!$H$6:$H$1005,'VÍNCULOS_CDF'!$R$6:$R$1005,A774,'VÍNCULOS_CDF'!$V$6:$V$1005,1))</f>
        <v/>
      </c>
      <c r="N774" s="99" t="str">
        <f>IF(OR(R774=0,AA774=0,NOT(ISNUMBER(I774))),"",I774-N(L774))</f>
        <v/>
      </c>
      <c r="O774" s="100" t="str">
        <f>IF(OR(R774=0,AK774&lt;=0),"",N(M774)/AK774)</f>
        <v/>
      </c>
      <c r="P774" s="94" t="str">
        <f>IF(R774=0,"",IF(S774="","Sem MTR associado",IF(U774=0,"MTR inexistente",IF(C774="","Resíduo não identificado",IF(V774=0,"Resíduo fora do cadastro",IF(W774=0,"Quantidade inválida",IF(H774="","Unidade não informada",IF(NOT(ISNUMBER(I774)),"Unidade a conferir",IF(AND(AH774=1,K774&lt;&gt;"Sim"),"Possível duplicidade",IF(Z774=1,"MTR cancelado",IF(AC774&gt;0,"Recebimento com alerta",IF(AA774=0,"Aguardando recebimento",IF(AB774&lt;AA774,"Recebimento a conferir",IF(AM774=1,"Quantidade a revisar",IF(AF774&gt;0,"Vínculo a revisar",IF(AD774=0,"Aguardando CDF",IF(AN774=0,"Vínculo de CDF parcial",IF(AE774&lt;AD774,"CDF a conferir","Documentação conferida"))))))))))))))))))</f>
        <v/>
      </c>
      <c r="Q774" s="93" t="str">
        <f>IF(OR(R774=0,AA774=0),"",MAX(0,N(L774)-N(M774)))</f>
        <v/>
      </c>
      <c r="R774" s="96">
        <f>IF(COUNTA(B774:C774,G774:H774,J774:K774)&gt;0,1,0)</f>
        <v>0</v>
      </c>
      <c r="S774" s="96" t="str">
        <f>IF(B774="","",TRIM(LEFT(B774,FIND(" |",B774&amp;" |")-1)))</f>
        <v/>
      </c>
      <c r="T774" s="96" t="str">
        <f>IF(S774="","",IFERROR(MATCH(S774,'MTRs'!$A$6:$A$505,0),""))</f>
        <v/>
      </c>
      <c r="U774" s="96">
        <f>IF(T774="",0,IF(INDEX('MTRs'!$Z$6:$Z$505,T774)=1,1,0))</f>
        <v>0</v>
      </c>
      <c r="V774" s="96">
        <f>IF(C774="",0,IF(ISNUMBER(MATCH(C774,'CAD_RESÍDUOS'!$B$6:$B$205,0)),1,0))</f>
        <v>0</v>
      </c>
      <c r="W774" s="96">
        <f>IF(AND(ISNUMBER(G774),G774&gt;0),1,0)</f>
        <v>0</v>
      </c>
      <c r="X774" s="96" t="str">
        <f>IF(H774="","",IFERROR(IF(ISNUMBER(INDEX(cfg_fac,MATCH(H774,cfg_units,0))),IF(INDEX(cfg_fac,MATCH(H774,cfg_units,0))&gt;0,INDEX(cfg_fac,MATCH(H774,cfg_units,0)),""),""),""))</f>
        <v/>
      </c>
      <c r="Y774" s="96">
        <f>IF(AND(W774=1,ISNUMBER(I774)),1,0)</f>
        <v>0</v>
      </c>
      <c r="Z774" s="96">
        <f>IF(U774=1,INDEX('MTRs'!$AA$6:$AA$505,T774),0)</f>
        <v>0</v>
      </c>
      <c r="AA774" s="96">
        <f>IF(R774=0,0,COUNTIFS('RECEBIMENTOS'!$R$6:$R$1005,A774,'RECEBIMENTOS'!$Q$6:$Q$1005,1))</f>
        <v>0</v>
      </c>
      <c r="AB774" s="96">
        <f>IF(R774=0,0,COUNTIFS('RECEBIMENTOS'!$R$6:$R$1005,A774,'RECEBIMENTOS'!$Z$6:$Z$1005,1))</f>
        <v>0</v>
      </c>
      <c r="AC774" s="96">
        <f>IF(R774=0,0,COUNTIFS('RECEBIMENTOS'!$R$6:$R$1005,A774,'RECEBIMENTOS'!$Y$6:$Y$1005,1))</f>
        <v>0</v>
      </c>
      <c r="AD774" s="96">
        <f>IF(R774=0,0,COUNTIFS('VÍNCULOS_CDF'!$R$6:$R$1005,A774,'VÍNCULOS_CDF'!$N$6:$N$1005,1))</f>
        <v>0</v>
      </c>
      <c r="AE774" s="96">
        <f>IF(R774=0,0,COUNTIFS('VÍNCULOS_CDF'!$R$6:$R$1005,A774,'VÍNCULOS_CDF'!$AA$6:$AA$1005,1))</f>
        <v>0</v>
      </c>
      <c r="AF774" s="96">
        <f>IF(R774=0,0,COUNTIFS('VÍNCULOS_CDF'!$R$6:$R$1005,A774,'VÍNCULOS_CDF'!$Y$6:$Y$1005,1))</f>
        <v>0</v>
      </c>
      <c r="AG774" s="96" t="str">
        <f>IF(AND(R774=1,S774&lt;&gt;"",C774&lt;&gt;""),S774&amp;"|"&amp;C774&amp;"|"&amp;G774&amp;"|"&amp;H774,"")</f>
        <v/>
      </c>
      <c r="AH774" s="96">
        <f>IF(AG774="",0,IF(SUMPRODUCT(--($AG$6:$AG$1005=AG774))&gt;1,1,0))</f>
        <v>0</v>
      </c>
      <c r="AI774" s="96">
        <f>IF(R774=0,0,IF(OR(U774=0,V774=0,Y774=0,AND(AH774=1,K774&lt;&gt;"Sim")),1,0))</f>
        <v>0</v>
      </c>
      <c r="AJ774" s="96">
        <f>IF(AND(R774=1,AA774&gt;0,AB774=AA774),1,0)</f>
        <v>0</v>
      </c>
      <c r="AK774" s="96">
        <f>IF(R774=0,0,IF(AA774&gt;0,N(L774),IF(ISNUMBER(I774),I774,0)))</f>
        <v>0</v>
      </c>
      <c r="AL774" s="96">
        <f>IF(R774=0,0,IF(AND(K774&lt;&gt;"Sim",N(M774)&gt;AK774+cfg_tol),1,0))</f>
        <v>0</v>
      </c>
      <c r="AM774" s="96">
        <f>IF(R774=0,0,IF(K774="Sim",0,IF(OR(AND(AA774&gt;0,ISNUMBER(I774),ABS(I774-N(L774))&gt;cfg_tol),AL774=1),1,0)))</f>
        <v>0</v>
      </c>
      <c r="AN774" s="96">
        <f>IF(AND(R774=1,N(M774)&gt;0,OR(N(M774)&gt;=AK774-cfg_tol,K774="Sim")),1,0)</f>
        <v>0</v>
      </c>
      <c r="AO774" s="96">
        <f>IF(AND(AN774=1,AD774&gt;0,AE774=AD774,AL774=0),1,0)</f>
        <v>0</v>
      </c>
      <c r="AP774" s="96">
        <f>IF(U774=0,0,IF(AND(INDEX('MTRs'!$AX$6:$AX$505,T774)=1,Z774=0,OR(f_res="",f_res="(Todos)",C774=f_res)),1,0))</f>
        <v>0</v>
      </c>
      <c r="AQ774" s="97" t="str">
        <f>IF(U774=0,"",INDEX('MTRs'!$AZ$6:$AZ$505,T774))</f>
        <v/>
      </c>
      <c r="AR774" s="96">
        <f>IF(U774=0,0,IF(AND(INDEX('MTRs'!$BA$6:$BA$505,T774)=1,Z774=0),1,0))</f>
        <v>0</v>
      </c>
      <c r="AS774" s="96" t="str">
        <f>IF(R774=1,A774&amp;" | MTR "&amp;IF(U774=1,INDEX('MTRs'!$B$6:$B$505,T774)&amp;"","?")&amp;" | "&amp;IF(C774="","(sem resíduo)",C774),"")</f>
        <v/>
      </c>
      <c r="AT774" s="96" t="str">
        <f>IF(R774=1,COUNTIF($R$6:R774,1),"")</f>
        <v/>
      </c>
      <c r="AU774" s="96" t="str">
        <f>IF(U774=1,INDEX('MTRs'!$I$6:$I$505,T774)&amp;"","")</f>
        <v/>
      </c>
    </row>
    <row r="775">
      <c r="A775" s="89" t="inlineStr">
        <is>
          <t>IT-000770</t>
        </is>
      </c>
      <c r="B775" s="91" t="n"/>
      <c r="C775" s="91" t="n"/>
      <c r="D775" s="94" t="str">
        <f>IF(OR(R775=0,V775=0),"",INDEX('CAD_RESÍDUOS'!$E$6:$E$205,MATCH(C775,'CAD_RESÍDUOS'!$B$6:$B$205,0))&amp;"")</f>
        <v/>
      </c>
      <c r="E775" s="94" t="str">
        <f>IF(OR(R775=0,V775=0),"",INDEX('CAD_RESÍDUOS'!$C$6:$C$205,MATCH(C775,'CAD_RESÍDUOS'!$B$6:$B$205,0))&amp;"")</f>
        <v/>
      </c>
      <c r="F775" s="94" t="str">
        <f>IF(OR(R775=0,V775=0),"",INDEX('CAD_RESÍDUOS'!$G$6:$G$205,MATCH(C775,'CAD_RESÍDUOS'!$B$6:$B$205,0))&amp;"")</f>
        <v/>
      </c>
      <c r="G775" s="98" t="n"/>
      <c r="H775" s="91" t="n"/>
      <c r="I775" s="93" t="str">
        <f>IF(R775=0,"",IF(NOT(ISNUMBER(G775)),"",IF(ISNUMBER(X775),G775*X775,"UNIDADE A CONFERIR")))</f>
        <v/>
      </c>
      <c r="J775" s="91" t="n"/>
      <c r="K775" s="91" t="n"/>
      <c r="L775" s="93" t="str">
        <f>IF(R775=0,"",SUMIFS('RECEBIMENTOS'!$H$6:$H$1005,'RECEBIMENTOS'!$R$6:$R$1005,A775,'RECEBIMENTOS'!$X$6:$X$1005,1))</f>
        <v/>
      </c>
      <c r="M775" s="93" t="str">
        <f>IF(R775=0,"",SUMIFS('VÍNCULOS_CDF'!$H$6:$H$1005,'VÍNCULOS_CDF'!$R$6:$R$1005,A775,'VÍNCULOS_CDF'!$V$6:$V$1005,1))</f>
        <v/>
      </c>
      <c r="N775" s="99" t="str">
        <f>IF(OR(R775=0,AA775=0,NOT(ISNUMBER(I775))),"",I775-N(L775))</f>
        <v/>
      </c>
      <c r="O775" s="100" t="str">
        <f>IF(OR(R775=0,AK775&lt;=0),"",N(M775)/AK775)</f>
        <v/>
      </c>
      <c r="P775" s="94" t="str">
        <f>IF(R775=0,"",IF(S775="","Sem MTR associado",IF(U775=0,"MTR inexistente",IF(C775="","Resíduo não identificado",IF(V775=0,"Resíduo fora do cadastro",IF(W775=0,"Quantidade inválida",IF(H775="","Unidade não informada",IF(NOT(ISNUMBER(I775)),"Unidade a conferir",IF(AND(AH775=1,K775&lt;&gt;"Sim"),"Possível duplicidade",IF(Z775=1,"MTR cancelado",IF(AC775&gt;0,"Recebimento com alerta",IF(AA775=0,"Aguardando recebimento",IF(AB775&lt;AA775,"Recebimento a conferir",IF(AM775=1,"Quantidade a revisar",IF(AF775&gt;0,"Vínculo a revisar",IF(AD775=0,"Aguardando CDF",IF(AN775=0,"Vínculo de CDF parcial",IF(AE775&lt;AD775,"CDF a conferir","Documentação conferida"))))))))))))))))))</f>
        <v/>
      </c>
      <c r="Q775" s="93" t="str">
        <f>IF(OR(R775=0,AA775=0),"",MAX(0,N(L775)-N(M775)))</f>
        <v/>
      </c>
      <c r="R775" s="96">
        <f>IF(COUNTA(B775:C775,G775:H775,J775:K775)&gt;0,1,0)</f>
        <v>0</v>
      </c>
      <c r="S775" s="96" t="str">
        <f>IF(B775="","",TRIM(LEFT(B775,FIND(" |",B775&amp;" |")-1)))</f>
        <v/>
      </c>
      <c r="T775" s="96" t="str">
        <f>IF(S775="","",IFERROR(MATCH(S775,'MTRs'!$A$6:$A$505,0),""))</f>
        <v/>
      </c>
      <c r="U775" s="96">
        <f>IF(T775="",0,IF(INDEX('MTRs'!$Z$6:$Z$505,T775)=1,1,0))</f>
        <v>0</v>
      </c>
      <c r="V775" s="96">
        <f>IF(C775="",0,IF(ISNUMBER(MATCH(C775,'CAD_RESÍDUOS'!$B$6:$B$205,0)),1,0))</f>
        <v>0</v>
      </c>
      <c r="W775" s="96">
        <f>IF(AND(ISNUMBER(G775),G775&gt;0),1,0)</f>
        <v>0</v>
      </c>
      <c r="X775" s="96" t="str">
        <f>IF(H775="","",IFERROR(IF(ISNUMBER(INDEX(cfg_fac,MATCH(H775,cfg_units,0))),IF(INDEX(cfg_fac,MATCH(H775,cfg_units,0))&gt;0,INDEX(cfg_fac,MATCH(H775,cfg_units,0)),""),""),""))</f>
        <v/>
      </c>
      <c r="Y775" s="96">
        <f>IF(AND(W775=1,ISNUMBER(I775)),1,0)</f>
        <v>0</v>
      </c>
      <c r="Z775" s="96">
        <f>IF(U775=1,INDEX('MTRs'!$AA$6:$AA$505,T775),0)</f>
        <v>0</v>
      </c>
      <c r="AA775" s="96">
        <f>IF(R775=0,0,COUNTIFS('RECEBIMENTOS'!$R$6:$R$1005,A775,'RECEBIMENTOS'!$Q$6:$Q$1005,1))</f>
        <v>0</v>
      </c>
      <c r="AB775" s="96">
        <f>IF(R775=0,0,COUNTIFS('RECEBIMENTOS'!$R$6:$R$1005,A775,'RECEBIMENTOS'!$Z$6:$Z$1005,1))</f>
        <v>0</v>
      </c>
      <c r="AC775" s="96">
        <f>IF(R775=0,0,COUNTIFS('RECEBIMENTOS'!$R$6:$R$1005,A775,'RECEBIMENTOS'!$Y$6:$Y$1005,1))</f>
        <v>0</v>
      </c>
      <c r="AD775" s="96">
        <f>IF(R775=0,0,COUNTIFS('VÍNCULOS_CDF'!$R$6:$R$1005,A775,'VÍNCULOS_CDF'!$N$6:$N$1005,1))</f>
        <v>0</v>
      </c>
      <c r="AE775" s="96">
        <f>IF(R775=0,0,COUNTIFS('VÍNCULOS_CDF'!$R$6:$R$1005,A775,'VÍNCULOS_CDF'!$AA$6:$AA$1005,1))</f>
        <v>0</v>
      </c>
      <c r="AF775" s="96">
        <f>IF(R775=0,0,COUNTIFS('VÍNCULOS_CDF'!$R$6:$R$1005,A775,'VÍNCULOS_CDF'!$Y$6:$Y$1005,1))</f>
        <v>0</v>
      </c>
      <c r="AG775" s="96" t="str">
        <f>IF(AND(R775=1,S775&lt;&gt;"",C775&lt;&gt;""),S775&amp;"|"&amp;C775&amp;"|"&amp;G775&amp;"|"&amp;H775,"")</f>
        <v/>
      </c>
      <c r="AH775" s="96">
        <f>IF(AG775="",0,IF(SUMPRODUCT(--($AG$6:$AG$1005=AG775))&gt;1,1,0))</f>
        <v>0</v>
      </c>
      <c r="AI775" s="96">
        <f>IF(R775=0,0,IF(OR(U775=0,V775=0,Y775=0,AND(AH775=1,K775&lt;&gt;"Sim")),1,0))</f>
        <v>0</v>
      </c>
      <c r="AJ775" s="96">
        <f>IF(AND(R775=1,AA775&gt;0,AB775=AA775),1,0)</f>
        <v>0</v>
      </c>
      <c r="AK775" s="96">
        <f>IF(R775=0,0,IF(AA775&gt;0,N(L775),IF(ISNUMBER(I775),I775,0)))</f>
        <v>0</v>
      </c>
      <c r="AL775" s="96">
        <f>IF(R775=0,0,IF(AND(K775&lt;&gt;"Sim",N(M775)&gt;AK775+cfg_tol),1,0))</f>
        <v>0</v>
      </c>
      <c r="AM775" s="96">
        <f>IF(R775=0,0,IF(K775="Sim",0,IF(OR(AND(AA775&gt;0,ISNUMBER(I775),ABS(I775-N(L775))&gt;cfg_tol),AL775=1),1,0)))</f>
        <v>0</v>
      </c>
      <c r="AN775" s="96">
        <f>IF(AND(R775=1,N(M775)&gt;0,OR(N(M775)&gt;=AK775-cfg_tol,K775="Sim")),1,0)</f>
        <v>0</v>
      </c>
      <c r="AO775" s="96">
        <f>IF(AND(AN775=1,AD775&gt;0,AE775=AD775,AL775=0),1,0)</f>
        <v>0</v>
      </c>
      <c r="AP775" s="96">
        <f>IF(U775=0,0,IF(AND(INDEX('MTRs'!$AX$6:$AX$505,T775)=1,Z775=0,OR(f_res="",f_res="(Todos)",C775=f_res)),1,0))</f>
        <v>0</v>
      </c>
      <c r="AQ775" s="97" t="str">
        <f>IF(U775=0,"",INDEX('MTRs'!$AZ$6:$AZ$505,T775))</f>
        <v/>
      </c>
      <c r="AR775" s="96">
        <f>IF(U775=0,0,IF(AND(INDEX('MTRs'!$BA$6:$BA$505,T775)=1,Z775=0),1,0))</f>
        <v>0</v>
      </c>
      <c r="AS775" s="96" t="str">
        <f>IF(R775=1,A775&amp;" | MTR "&amp;IF(U775=1,INDEX('MTRs'!$B$6:$B$505,T775)&amp;"","?")&amp;" | "&amp;IF(C775="","(sem resíduo)",C775),"")</f>
        <v/>
      </c>
      <c r="AT775" s="96" t="str">
        <f>IF(R775=1,COUNTIF($R$6:R775,1),"")</f>
        <v/>
      </c>
      <c r="AU775" s="96" t="str">
        <f>IF(U775=1,INDEX('MTRs'!$I$6:$I$505,T775)&amp;"","")</f>
        <v/>
      </c>
    </row>
    <row r="776">
      <c r="A776" s="89" t="inlineStr">
        <is>
          <t>IT-000771</t>
        </is>
      </c>
      <c r="B776" s="91" t="n"/>
      <c r="C776" s="91" t="n"/>
      <c r="D776" s="94" t="str">
        <f>IF(OR(R776=0,V776=0),"",INDEX('CAD_RESÍDUOS'!$E$6:$E$205,MATCH(C776,'CAD_RESÍDUOS'!$B$6:$B$205,0))&amp;"")</f>
        <v/>
      </c>
      <c r="E776" s="94" t="str">
        <f>IF(OR(R776=0,V776=0),"",INDEX('CAD_RESÍDUOS'!$C$6:$C$205,MATCH(C776,'CAD_RESÍDUOS'!$B$6:$B$205,0))&amp;"")</f>
        <v/>
      </c>
      <c r="F776" s="94" t="str">
        <f>IF(OR(R776=0,V776=0),"",INDEX('CAD_RESÍDUOS'!$G$6:$G$205,MATCH(C776,'CAD_RESÍDUOS'!$B$6:$B$205,0))&amp;"")</f>
        <v/>
      </c>
      <c r="G776" s="98" t="n"/>
      <c r="H776" s="91" t="n"/>
      <c r="I776" s="93" t="str">
        <f>IF(R776=0,"",IF(NOT(ISNUMBER(G776)),"",IF(ISNUMBER(X776),G776*X776,"UNIDADE A CONFERIR")))</f>
        <v/>
      </c>
      <c r="J776" s="91" t="n"/>
      <c r="K776" s="91" t="n"/>
      <c r="L776" s="93" t="str">
        <f>IF(R776=0,"",SUMIFS('RECEBIMENTOS'!$H$6:$H$1005,'RECEBIMENTOS'!$R$6:$R$1005,A776,'RECEBIMENTOS'!$X$6:$X$1005,1))</f>
        <v/>
      </c>
      <c r="M776" s="93" t="str">
        <f>IF(R776=0,"",SUMIFS('VÍNCULOS_CDF'!$H$6:$H$1005,'VÍNCULOS_CDF'!$R$6:$R$1005,A776,'VÍNCULOS_CDF'!$V$6:$V$1005,1))</f>
        <v/>
      </c>
      <c r="N776" s="99" t="str">
        <f>IF(OR(R776=0,AA776=0,NOT(ISNUMBER(I776))),"",I776-N(L776))</f>
        <v/>
      </c>
      <c r="O776" s="100" t="str">
        <f>IF(OR(R776=0,AK776&lt;=0),"",N(M776)/AK776)</f>
        <v/>
      </c>
      <c r="P776" s="94" t="str">
        <f>IF(R776=0,"",IF(S776="","Sem MTR associado",IF(U776=0,"MTR inexistente",IF(C776="","Resíduo não identificado",IF(V776=0,"Resíduo fora do cadastro",IF(W776=0,"Quantidade inválida",IF(H776="","Unidade não informada",IF(NOT(ISNUMBER(I776)),"Unidade a conferir",IF(AND(AH776=1,K776&lt;&gt;"Sim"),"Possível duplicidade",IF(Z776=1,"MTR cancelado",IF(AC776&gt;0,"Recebimento com alerta",IF(AA776=0,"Aguardando recebimento",IF(AB776&lt;AA776,"Recebimento a conferir",IF(AM776=1,"Quantidade a revisar",IF(AF776&gt;0,"Vínculo a revisar",IF(AD776=0,"Aguardando CDF",IF(AN776=0,"Vínculo de CDF parcial",IF(AE776&lt;AD776,"CDF a conferir","Documentação conferida"))))))))))))))))))</f>
        <v/>
      </c>
      <c r="Q776" s="93" t="str">
        <f>IF(OR(R776=0,AA776=0),"",MAX(0,N(L776)-N(M776)))</f>
        <v/>
      </c>
      <c r="R776" s="96">
        <f>IF(COUNTA(B776:C776,G776:H776,J776:K776)&gt;0,1,0)</f>
        <v>0</v>
      </c>
      <c r="S776" s="96" t="str">
        <f>IF(B776="","",TRIM(LEFT(B776,FIND(" |",B776&amp;" |")-1)))</f>
        <v/>
      </c>
      <c r="T776" s="96" t="str">
        <f>IF(S776="","",IFERROR(MATCH(S776,'MTRs'!$A$6:$A$505,0),""))</f>
        <v/>
      </c>
      <c r="U776" s="96">
        <f>IF(T776="",0,IF(INDEX('MTRs'!$Z$6:$Z$505,T776)=1,1,0))</f>
        <v>0</v>
      </c>
      <c r="V776" s="96">
        <f>IF(C776="",0,IF(ISNUMBER(MATCH(C776,'CAD_RESÍDUOS'!$B$6:$B$205,0)),1,0))</f>
        <v>0</v>
      </c>
      <c r="W776" s="96">
        <f>IF(AND(ISNUMBER(G776),G776&gt;0),1,0)</f>
        <v>0</v>
      </c>
      <c r="X776" s="96" t="str">
        <f>IF(H776="","",IFERROR(IF(ISNUMBER(INDEX(cfg_fac,MATCH(H776,cfg_units,0))),IF(INDEX(cfg_fac,MATCH(H776,cfg_units,0))&gt;0,INDEX(cfg_fac,MATCH(H776,cfg_units,0)),""),""),""))</f>
        <v/>
      </c>
      <c r="Y776" s="96">
        <f>IF(AND(W776=1,ISNUMBER(I776)),1,0)</f>
        <v>0</v>
      </c>
      <c r="Z776" s="96">
        <f>IF(U776=1,INDEX('MTRs'!$AA$6:$AA$505,T776),0)</f>
        <v>0</v>
      </c>
      <c r="AA776" s="96">
        <f>IF(R776=0,0,COUNTIFS('RECEBIMENTOS'!$R$6:$R$1005,A776,'RECEBIMENTOS'!$Q$6:$Q$1005,1))</f>
        <v>0</v>
      </c>
      <c r="AB776" s="96">
        <f>IF(R776=0,0,COUNTIFS('RECEBIMENTOS'!$R$6:$R$1005,A776,'RECEBIMENTOS'!$Z$6:$Z$1005,1))</f>
        <v>0</v>
      </c>
      <c r="AC776" s="96">
        <f>IF(R776=0,0,COUNTIFS('RECEBIMENTOS'!$R$6:$R$1005,A776,'RECEBIMENTOS'!$Y$6:$Y$1005,1))</f>
        <v>0</v>
      </c>
      <c r="AD776" s="96">
        <f>IF(R776=0,0,COUNTIFS('VÍNCULOS_CDF'!$R$6:$R$1005,A776,'VÍNCULOS_CDF'!$N$6:$N$1005,1))</f>
        <v>0</v>
      </c>
      <c r="AE776" s="96">
        <f>IF(R776=0,0,COUNTIFS('VÍNCULOS_CDF'!$R$6:$R$1005,A776,'VÍNCULOS_CDF'!$AA$6:$AA$1005,1))</f>
        <v>0</v>
      </c>
      <c r="AF776" s="96">
        <f>IF(R776=0,0,COUNTIFS('VÍNCULOS_CDF'!$R$6:$R$1005,A776,'VÍNCULOS_CDF'!$Y$6:$Y$1005,1))</f>
        <v>0</v>
      </c>
      <c r="AG776" s="96" t="str">
        <f>IF(AND(R776=1,S776&lt;&gt;"",C776&lt;&gt;""),S776&amp;"|"&amp;C776&amp;"|"&amp;G776&amp;"|"&amp;H776,"")</f>
        <v/>
      </c>
      <c r="AH776" s="96">
        <f>IF(AG776="",0,IF(SUMPRODUCT(--($AG$6:$AG$1005=AG776))&gt;1,1,0))</f>
        <v>0</v>
      </c>
      <c r="AI776" s="96">
        <f>IF(R776=0,0,IF(OR(U776=0,V776=0,Y776=0,AND(AH776=1,K776&lt;&gt;"Sim")),1,0))</f>
        <v>0</v>
      </c>
      <c r="AJ776" s="96">
        <f>IF(AND(R776=1,AA776&gt;0,AB776=AA776),1,0)</f>
        <v>0</v>
      </c>
      <c r="AK776" s="96">
        <f>IF(R776=0,0,IF(AA776&gt;0,N(L776),IF(ISNUMBER(I776),I776,0)))</f>
        <v>0</v>
      </c>
      <c r="AL776" s="96">
        <f>IF(R776=0,0,IF(AND(K776&lt;&gt;"Sim",N(M776)&gt;AK776+cfg_tol),1,0))</f>
        <v>0</v>
      </c>
      <c r="AM776" s="96">
        <f>IF(R776=0,0,IF(K776="Sim",0,IF(OR(AND(AA776&gt;0,ISNUMBER(I776),ABS(I776-N(L776))&gt;cfg_tol),AL776=1),1,0)))</f>
        <v>0</v>
      </c>
      <c r="AN776" s="96">
        <f>IF(AND(R776=1,N(M776)&gt;0,OR(N(M776)&gt;=AK776-cfg_tol,K776="Sim")),1,0)</f>
        <v>0</v>
      </c>
      <c r="AO776" s="96">
        <f>IF(AND(AN776=1,AD776&gt;0,AE776=AD776,AL776=0),1,0)</f>
        <v>0</v>
      </c>
      <c r="AP776" s="96">
        <f>IF(U776=0,0,IF(AND(INDEX('MTRs'!$AX$6:$AX$505,T776)=1,Z776=0,OR(f_res="",f_res="(Todos)",C776=f_res)),1,0))</f>
        <v>0</v>
      </c>
      <c r="AQ776" s="97" t="str">
        <f>IF(U776=0,"",INDEX('MTRs'!$AZ$6:$AZ$505,T776))</f>
        <v/>
      </c>
      <c r="AR776" s="96">
        <f>IF(U776=0,0,IF(AND(INDEX('MTRs'!$BA$6:$BA$505,T776)=1,Z776=0),1,0))</f>
        <v>0</v>
      </c>
      <c r="AS776" s="96" t="str">
        <f>IF(R776=1,A776&amp;" | MTR "&amp;IF(U776=1,INDEX('MTRs'!$B$6:$B$505,T776)&amp;"","?")&amp;" | "&amp;IF(C776="","(sem resíduo)",C776),"")</f>
        <v/>
      </c>
      <c r="AT776" s="96" t="str">
        <f>IF(R776=1,COUNTIF($R$6:R776,1),"")</f>
        <v/>
      </c>
      <c r="AU776" s="96" t="str">
        <f>IF(U776=1,INDEX('MTRs'!$I$6:$I$505,T776)&amp;"","")</f>
        <v/>
      </c>
    </row>
    <row r="777">
      <c r="A777" s="89" t="inlineStr">
        <is>
          <t>IT-000772</t>
        </is>
      </c>
      <c r="B777" s="91" t="n"/>
      <c r="C777" s="91" t="n"/>
      <c r="D777" s="94" t="str">
        <f>IF(OR(R777=0,V777=0),"",INDEX('CAD_RESÍDUOS'!$E$6:$E$205,MATCH(C777,'CAD_RESÍDUOS'!$B$6:$B$205,0))&amp;"")</f>
        <v/>
      </c>
      <c r="E777" s="94" t="str">
        <f>IF(OR(R777=0,V777=0),"",INDEX('CAD_RESÍDUOS'!$C$6:$C$205,MATCH(C777,'CAD_RESÍDUOS'!$B$6:$B$205,0))&amp;"")</f>
        <v/>
      </c>
      <c r="F777" s="94" t="str">
        <f>IF(OR(R777=0,V777=0),"",INDEX('CAD_RESÍDUOS'!$G$6:$G$205,MATCH(C777,'CAD_RESÍDUOS'!$B$6:$B$205,0))&amp;"")</f>
        <v/>
      </c>
      <c r="G777" s="98" t="n"/>
      <c r="H777" s="91" t="n"/>
      <c r="I777" s="93" t="str">
        <f>IF(R777=0,"",IF(NOT(ISNUMBER(G777)),"",IF(ISNUMBER(X777),G777*X777,"UNIDADE A CONFERIR")))</f>
        <v/>
      </c>
      <c r="J777" s="91" t="n"/>
      <c r="K777" s="91" t="n"/>
      <c r="L777" s="93" t="str">
        <f>IF(R777=0,"",SUMIFS('RECEBIMENTOS'!$H$6:$H$1005,'RECEBIMENTOS'!$R$6:$R$1005,A777,'RECEBIMENTOS'!$X$6:$X$1005,1))</f>
        <v/>
      </c>
      <c r="M777" s="93" t="str">
        <f>IF(R777=0,"",SUMIFS('VÍNCULOS_CDF'!$H$6:$H$1005,'VÍNCULOS_CDF'!$R$6:$R$1005,A777,'VÍNCULOS_CDF'!$V$6:$V$1005,1))</f>
        <v/>
      </c>
      <c r="N777" s="99" t="str">
        <f>IF(OR(R777=0,AA777=0,NOT(ISNUMBER(I777))),"",I777-N(L777))</f>
        <v/>
      </c>
      <c r="O777" s="100" t="str">
        <f>IF(OR(R777=0,AK777&lt;=0),"",N(M777)/AK777)</f>
        <v/>
      </c>
      <c r="P777" s="94" t="str">
        <f>IF(R777=0,"",IF(S777="","Sem MTR associado",IF(U777=0,"MTR inexistente",IF(C777="","Resíduo não identificado",IF(V777=0,"Resíduo fora do cadastro",IF(W777=0,"Quantidade inválida",IF(H777="","Unidade não informada",IF(NOT(ISNUMBER(I777)),"Unidade a conferir",IF(AND(AH777=1,K777&lt;&gt;"Sim"),"Possível duplicidade",IF(Z777=1,"MTR cancelado",IF(AC777&gt;0,"Recebimento com alerta",IF(AA777=0,"Aguardando recebimento",IF(AB777&lt;AA777,"Recebimento a conferir",IF(AM777=1,"Quantidade a revisar",IF(AF777&gt;0,"Vínculo a revisar",IF(AD777=0,"Aguardando CDF",IF(AN777=0,"Vínculo de CDF parcial",IF(AE777&lt;AD777,"CDF a conferir","Documentação conferida"))))))))))))))))))</f>
        <v/>
      </c>
      <c r="Q777" s="93" t="str">
        <f>IF(OR(R777=0,AA777=0),"",MAX(0,N(L777)-N(M777)))</f>
        <v/>
      </c>
      <c r="R777" s="96">
        <f>IF(COUNTA(B777:C777,G777:H777,J777:K777)&gt;0,1,0)</f>
        <v>0</v>
      </c>
      <c r="S777" s="96" t="str">
        <f>IF(B777="","",TRIM(LEFT(B777,FIND(" |",B777&amp;" |")-1)))</f>
        <v/>
      </c>
      <c r="T777" s="96" t="str">
        <f>IF(S777="","",IFERROR(MATCH(S777,'MTRs'!$A$6:$A$505,0),""))</f>
        <v/>
      </c>
      <c r="U777" s="96">
        <f>IF(T777="",0,IF(INDEX('MTRs'!$Z$6:$Z$505,T777)=1,1,0))</f>
        <v>0</v>
      </c>
      <c r="V777" s="96">
        <f>IF(C777="",0,IF(ISNUMBER(MATCH(C777,'CAD_RESÍDUOS'!$B$6:$B$205,0)),1,0))</f>
        <v>0</v>
      </c>
      <c r="W777" s="96">
        <f>IF(AND(ISNUMBER(G777),G777&gt;0),1,0)</f>
        <v>0</v>
      </c>
      <c r="X777" s="96" t="str">
        <f>IF(H777="","",IFERROR(IF(ISNUMBER(INDEX(cfg_fac,MATCH(H777,cfg_units,0))),IF(INDEX(cfg_fac,MATCH(H777,cfg_units,0))&gt;0,INDEX(cfg_fac,MATCH(H777,cfg_units,0)),""),""),""))</f>
        <v/>
      </c>
      <c r="Y777" s="96">
        <f>IF(AND(W777=1,ISNUMBER(I777)),1,0)</f>
        <v>0</v>
      </c>
      <c r="Z777" s="96">
        <f>IF(U777=1,INDEX('MTRs'!$AA$6:$AA$505,T777),0)</f>
        <v>0</v>
      </c>
      <c r="AA777" s="96">
        <f>IF(R777=0,0,COUNTIFS('RECEBIMENTOS'!$R$6:$R$1005,A777,'RECEBIMENTOS'!$Q$6:$Q$1005,1))</f>
        <v>0</v>
      </c>
      <c r="AB777" s="96">
        <f>IF(R777=0,0,COUNTIFS('RECEBIMENTOS'!$R$6:$R$1005,A777,'RECEBIMENTOS'!$Z$6:$Z$1005,1))</f>
        <v>0</v>
      </c>
      <c r="AC777" s="96">
        <f>IF(R777=0,0,COUNTIFS('RECEBIMENTOS'!$R$6:$R$1005,A777,'RECEBIMENTOS'!$Y$6:$Y$1005,1))</f>
        <v>0</v>
      </c>
      <c r="AD777" s="96">
        <f>IF(R777=0,0,COUNTIFS('VÍNCULOS_CDF'!$R$6:$R$1005,A777,'VÍNCULOS_CDF'!$N$6:$N$1005,1))</f>
        <v>0</v>
      </c>
      <c r="AE777" s="96">
        <f>IF(R777=0,0,COUNTIFS('VÍNCULOS_CDF'!$R$6:$R$1005,A777,'VÍNCULOS_CDF'!$AA$6:$AA$1005,1))</f>
        <v>0</v>
      </c>
      <c r="AF777" s="96">
        <f>IF(R777=0,0,COUNTIFS('VÍNCULOS_CDF'!$R$6:$R$1005,A777,'VÍNCULOS_CDF'!$Y$6:$Y$1005,1))</f>
        <v>0</v>
      </c>
      <c r="AG777" s="96" t="str">
        <f>IF(AND(R777=1,S777&lt;&gt;"",C777&lt;&gt;""),S777&amp;"|"&amp;C777&amp;"|"&amp;G777&amp;"|"&amp;H777,"")</f>
        <v/>
      </c>
      <c r="AH777" s="96">
        <f>IF(AG777="",0,IF(SUMPRODUCT(--($AG$6:$AG$1005=AG777))&gt;1,1,0))</f>
        <v>0</v>
      </c>
      <c r="AI777" s="96">
        <f>IF(R777=0,0,IF(OR(U777=0,V777=0,Y777=0,AND(AH777=1,K777&lt;&gt;"Sim")),1,0))</f>
        <v>0</v>
      </c>
      <c r="AJ777" s="96">
        <f>IF(AND(R777=1,AA777&gt;0,AB777=AA777),1,0)</f>
        <v>0</v>
      </c>
      <c r="AK777" s="96">
        <f>IF(R777=0,0,IF(AA777&gt;0,N(L777),IF(ISNUMBER(I777),I777,0)))</f>
        <v>0</v>
      </c>
      <c r="AL777" s="96">
        <f>IF(R777=0,0,IF(AND(K777&lt;&gt;"Sim",N(M777)&gt;AK777+cfg_tol),1,0))</f>
        <v>0</v>
      </c>
      <c r="AM777" s="96">
        <f>IF(R777=0,0,IF(K777="Sim",0,IF(OR(AND(AA777&gt;0,ISNUMBER(I777),ABS(I777-N(L777))&gt;cfg_tol),AL777=1),1,0)))</f>
        <v>0</v>
      </c>
      <c r="AN777" s="96">
        <f>IF(AND(R777=1,N(M777)&gt;0,OR(N(M777)&gt;=AK777-cfg_tol,K777="Sim")),1,0)</f>
        <v>0</v>
      </c>
      <c r="AO777" s="96">
        <f>IF(AND(AN777=1,AD777&gt;0,AE777=AD777,AL777=0),1,0)</f>
        <v>0</v>
      </c>
      <c r="AP777" s="96">
        <f>IF(U777=0,0,IF(AND(INDEX('MTRs'!$AX$6:$AX$505,T777)=1,Z777=0,OR(f_res="",f_res="(Todos)",C777=f_res)),1,0))</f>
        <v>0</v>
      </c>
      <c r="AQ777" s="97" t="str">
        <f>IF(U777=0,"",INDEX('MTRs'!$AZ$6:$AZ$505,T777))</f>
        <v/>
      </c>
      <c r="AR777" s="96">
        <f>IF(U777=0,0,IF(AND(INDEX('MTRs'!$BA$6:$BA$505,T777)=1,Z777=0),1,0))</f>
        <v>0</v>
      </c>
      <c r="AS777" s="96" t="str">
        <f>IF(R777=1,A777&amp;" | MTR "&amp;IF(U777=1,INDEX('MTRs'!$B$6:$B$505,T777)&amp;"","?")&amp;" | "&amp;IF(C777="","(sem resíduo)",C777),"")</f>
        <v/>
      </c>
      <c r="AT777" s="96" t="str">
        <f>IF(R777=1,COUNTIF($R$6:R777,1),"")</f>
        <v/>
      </c>
      <c r="AU777" s="96" t="str">
        <f>IF(U777=1,INDEX('MTRs'!$I$6:$I$505,T777)&amp;"","")</f>
        <v/>
      </c>
    </row>
    <row r="778">
      <c r="A778" s="89" t="inlineStr">
        <is>
          <t>IT-000773</t>
        </is>
      </c>
      <c r="B778" s="91" t="n"/>
      <c r="C778" s="91" t="n"/>
      <c r="D778" s="94" t="str">
        <f>IF(OR(R778=0,V778=0),"",INDEX('CAD_RESÍDUOS'!$E$6:$E$205,MATCH(C778,'CAD_RESÍDUOS'!$B$6:$B$205,0))&amp;"")</f>
        <v/>
      </c>
      <c r="E778" s="94" t="str">
        <f>IF(OR(R778=0,V778=0),"",INDEX('CAD_RESÍDUOS'!$C$6:$C$205,MATCH(C778,'CAD_RESÍDUOS'!$B$6:$B$205,0))&amp;"")</f>
        <v/>
      </c>
      <c r="F778" s="94" t="str">
        <f>IF(OR(R778=0,V778=0),"",INDEX('CAD_RESÍDUOS'!$G$6:$G$205,MATCH(C778,'CAD_RESÍDUOS'!$B$6:$B$205,0))&amp;"")</f>
        <v/>
      </c>
      <c r="G778" s="98" t="n"/>
      <c r="H778" s="91" t="n"/>
      <c r="I778" s="93" t="str">
        <f>IF(R778=0,"",IF(NOT(ISNUMBER(G778)),"",IF(ISNUMBER(X778),G778*X778,"UNIDADE A CONFERIR")))</f>
        <v/>
      </c>
      <c r="J778" s="91" t="n"/>
      <c r="K778" s="91" t="n"/>
      <c r="L778" s="93" t="str">
        <f>IF(R778=0,"",SUMIFS('RECEBIMENTOS'!$H$6:$H$1005,'RECEBIMENTOS'!$R$6:$R$1005,A778,'RECEBIMENTOS'!$X$6:$X$1005,1))</f>
        <v/>
      </c>
      <c r="M778" s="93" t="str">
        <f>IF(R778=0,"",SUMIFS('VÍNCULOS_CDF'!$H$6:$H$1005,'VÍNCULOS_CDF'!$R$6:$R$1005,A778,'VÍNCULOS_CDF'!$V$6:$V$1005,1))</f>
        <v/>
      </c>
      <c r="N778" s="99" t="str">
        <f>IF(OR(R778=0,AA778=0,NOT(ISNUMBER(I778))),"",I778-N(L778))</f>
        <v/>
      </c>
      <c r="O778" s="100" t="str">
        <f>IF(OR(R778=0,AK778&lt;=0),"",N(M778)/AK778)</f>
        <v/>
      </c>
      <c r="P778" s="94" t="str">
        <f>IF(R778=0,"",IF(S778="","Sem MTR associado",IF(U778=0,"MTR inexistente",IF(C778="","Resíduo não identificado",IF(V778=0,"Resíduo fora do cadastro",IF(W778=0,"Quantidade inválida",IF(H778="","Unidade não informada",IF(NOT(ISNUMBER(I778)),"Unidade a conferir",IF(AND(AH778=1,K778&lt;&gt;"Sim"),"Possível duplicidade",IF(Z778=1,"MTR cancelado",IF(AC778&gt;0,"Recebimento com alerta",IF(AA778=0,"Aguardando recebimento",IF(AB778&lt;AA778,"Recebimento a conferir",IF(AM778=1,"Quantidade a revisar",IF(AF778&gt;0,"Vínculo a revisar",IF(AD778=0,"Aguardando CDF",IF(AN778=0,"Vínculo de CDF parcial",IF(AE778&lt;AD778,"CDF a conferir","Documentação conferida"))))))))))))))))))</f>
        <v/>
      </c>
      <c r="Q778" s="93" t="str">
        <f>IF(OR(R778=0,AA778=0),"",MAX(0,N(L778)-N(M778)))</f>
        <v/>
      </c>
      <c r="R778" s="96">
        <f>IF(COUNTA(B778:C778,G778:H778,J778:K778)&gt;0,1,0)</f>
        <v>0</v>
      </c>
      <c r="S778" s="96" t="str">
        <f>IF(B778="","",TRIM(LEFT(B778,FIND(" |",B778&amp;" |")-1)))</f>
        <v/>
      </c>
      <c r="T778" s="96" t="str">
        <f>IF(S778="","",IFERROR(MATCH(S778,'MTRs'!$A$6:$A$505,0),""))</f>
        <v/>
      </c>
      <c r="U778" s="96">
        <f>IF(T778="",0,IF(INDEX('MTRs'!$Z$6:$Z$505,T778)=1,1,0))</f>
        <v>0</v>
      </c>
      <c r="V778" s="96">
        <f>IF(C778="",0,IF(ISNUMBER(MATCH(C778,'CAD_RESÍDUOS'!$B$6:$B$205,0)),1,0))</f>
        <v>0</v>
      </c>
      <c r="W778" s="96">
        <f>IF(AND(ISNUMBER(G778),G778&gt;0),1,0)</f>
        <v>0</v>
      </c>
      <c r="X778" s="96" t="str">
        <f>IF(H778="","",IFERROR(IF(ISNUMBER(INDEX(cfg_fac,MATCH(H778,cfg_units,0))),IF(INDEX(cfg_fac,MATCH(H778,cfg_units,0))&gt;0,INDEX(cfg_fac,MATCH(H778,cfg_units,0)),""),""),""))</f>
        <v/>
      </c>
      <c r="Y778" s="96">
        <f>IF(AND(W778=1,ISNUMBER(I778)),1,0)</f>
        <v>0</v>
      </c>
      <c r="Z778" s="96">
        <f>IF(U778=1,INDEX('MTRs'!$AA$6:$AA$505,T778),0)</f>
        <v>0</v>
      </c>
      <c r="AA778" s="96">
        <f>IF(R778=0,0,COUNTIFS('RECEBIMENTOS'!$R$6:$R$1005,A778,'RECEBIMENTOS'!$Q$6:$Q$1005,1))</f>
        <v>0</v>
      </c>
      <c r="AB778" s="96">
        <f>IF(R778=0,0,COUNTIFS('RECEBIMENTOS'!$R$6:$R$1005,A778,'RECEBIMENTOS'!$Z$6:$Z$1005,1))</f>
        <v>0</v>
      </c>
      <c r="AC778" s="96">
        <f>IF(R778=0,0,COUNTIFS('RECEBIMENTOS'!$R$6:$R$1005,A778,'RECEBIMENTOS'!$Y$6:$Y$1005,1))</f>
        <v>0</v>
      </c>
      <c r="AD778" s="96">
        <f>IF(R778=0,0,COUNTIFS('VÍNCULOS_CDF'!$R$6:$R$1005,A778,'VÍNCULOS_CDF'!$N$6:$N$1005,1))</f>
        <v>0</v>
      </c>
      <c r="AE778" s="96">
        <f>IF(R778=0,0,COUNTIFS('VÍNCULOS_CDF'!$R$6:$R$1005,A778,'VÍNCULOS_CDF'!$AA$6:$AA$1005,1))</f>
        <v>0</v>
      </c>
      <c r="AF778" s="96">
        <f>IF(R778=0,0,COUNTIFS('VÍNCULOS_CDF'!$R$6:$R$1005,A778,'VÍNCULOS_CDF'!$Y$6:$Y$1005,1))</f>
        <v>0</v>
      </c>
      <c r="AG778" s="96" t="str">
        <f>IF(AND(R778=1,S778&lt;&gt;"",C778&lt;&gt;""),S778&amp;"|"&amp;C778&amp;"|"&amp;G778&amp;"|"&amp;H778,"")</f>
        <v/>
      </c>
      <c r="AH778" s="96">
        <f>IF(AG778="",0,IF(SUMPRODUCT(--($AG$6:$AG$1005=AG778))&gt;1,1,0))</f>
        <v>0</v>
      </c>
      <c r="AI778" s="96">
        <f>IF(R778=0,0,IF(OR(U778=0,V778=0,Y778=0,AND(AH778=1,K778&lt;&gt;"Sim")),1,0))</f>
        <v>0</v>
      </c>
      <c r="AJ778" s="96">
        <f>IF(AND(R778=1,AA778&gt;0,AB778=AA778),1,0)</f>
        <v>0</v>
      </c>
      <c r="AK778" s="96">
        <f>IF(R778=0,0,IF(AA778&gt;0,N(L778),IF(ISNUMBER(I778),I778,0)))</f>
        <v>0</v>
      </c>
      <c r="AL778" s="96">
        <f>IF(R778=0,0,IF(AND(K778&lt;&gt;"Sim",N(M778)&gt;AK778+cfg_tol),1,0))</f>
        <v>0</v>
      </c>
      <c r="AM778" s="96">
        <f>IF(R778=0,0,IF(K778="Sim",0,IF(OR(AND(AA778&gt;0,ISNUMBER(I778),ABS(I778-N(L778))&gt;cfg_tol),AL778=1),1,0)))</f>
        <v>0</v>
      </c>
      <c r="AN778" s="96">
        <f>IF(AND(R778=1,N(M778)&gt;0,OR(N(M778)&gt;=AK778-cfg_tol,K778="Sim")),1,0)</f>
        <v>0</v>
      </c>
      <c r="AO778" s="96">
        <f>IF(AND(AN778=1,AD778&gt;0,AE778=AD778,AL778=0),1,0)</f>
        <v>0</v>
      </c>
      <c r="AP778" s="96">
        <f>IF(U778=0,0,IF(AND(INDEX('MTRs'!$AX$6:$AX$505,T778)=1,Z778=0,OR(f_res="",f_res="(Todos)",C778=f_res)),1,0))</f>
        <v>0</v>
      </c>
      <c r="AQ778" s="97" t="str">
        <f>IF(U778=0,"",INDEX('MTRs'!$AZ$6:$AZ$505,T778))</f>
        <v/>
      </c>
      <c r="AR778" s="96">
        <f>IF(U778=0,0,IF(AND(INDEX('MTRs'!$BA$6:$BA$505,T778)=1,Z778=0),1,0))</f>
        <v>0</v>
      </c>
      <c r="AS778" s="96" t="str">
        <f>IF(R778=1,A778&amp;" | MTR "&amp;IF(U778=1,INDEX('MTRs'!$B$6:$B$505,T778)&amp;"","?")&amp;" | "&amp;IF(C778="","(sem resíduo)",C778),"")</f>
        <v/>
      </c>
      <c r="AT778" s="96" t="str">
        <f>IF(R778=1,COUNTIF($R$6:R778,1),"")</f>
        <v/>
      </c>
      <c r="AU778" s="96" t="str">
        <f>IF(U778=1,INDEX('MTRs'!$I$6:$I$505,T778)&amp;"","")</f>
        <v/>
      </c>
    </row>
    <row r="779">
      <c r="A779" s="89" t="inlineStr">
        <is>
          <t>IT-000774</t>
        </is>
      </c>
      <c r="B779" s="91" t="n"/>
      <c r="C779" s="91" t="n"/>
      <c r="D779" s="94" t="str">
        <f>IF(OR(R779=0,V779=0),"",INDEX('CAD_RESÍDUOS'!$E$6:$E$205,MATCH(C779,'CAD_RESÍDUOS'!$B$6:$B$205,0))&amp;"")</f>
        <v/>
      </c>
      <c r="E779" s="94" t="str">
        <f>IF(OR(R779=0,V779=0),"",INDEX('CAD_RESÍDUOS'!$C$6:$C$205,MATCH(C779,'CAD_RESÍDUOS'!$B$6:$B$205,0))&amp;"")</f>
        <v/>
      </c>
      <c r="F779" s="94" t="str">
        <f>IF(OR(R779=0,V779=0),"",INDEX('CAD_RESÍDUOS'!$G$6:$G$205,MATCH(C779,'CAD_RESÍDUOS'!$B$6:$B$205,0))&amp;"")</f>
        <v/>
      </c>
      <c r="G779" s="98" t="n"/>
      <c r="H779" s="91" t="n"/>
      <c r="I779" s="93" t="str">
        <f>IF(R779=0,"",IF(NOT(ISNUMBER(G779)),"",IF(ISNUMBER(X779),G779*X779,"UNIDADE A CONFERIR")))</f>
        <v/>
      </c>
      <c r="J779" s="91" t="n"/>
      <c r="K779" s="91" t="n"/>
      <c r="L779" s="93" t="str">
        <f>IF(R779=0,"",SUMIFS('RECEBIMENTOS'!$H$6:$H$1005,'RECEBIMENTOS'!$R$6:$R$1005,A779,'RECEBIMENTOS'!$X$6:$X$1005,1))</f>
        <v/>
      </c>
      <c r="M779" s="93" t="str">
        <f>IF(R779=0,"",SUMIFS('VÍNCULOS_CDF'!$H$6:$H$1005,'VÍNCULOS_CDF'!$R$6:$R$1005,A779,'VÍNCULOS_CDF'!$V$6:$V$1005,1))</f>
        <v/>
      </c>
      <c r="N779" s="99" t="str">
        <f>IF(OR(R779=0,AA779=0,NOT(ISNUMBER(I779))),"",I779-N(L779))</f>
        <v/>
      </c>
      <c r="O779" s="100" t="str">
        <f>IF(OR(R779=0,AK779&lt;=0),"",N(M779)/AK779)</f>
        <v/>
      </c>
      <c r="P779" s="94" t="str">
        <f>IF(R779=0,"",IF(S779="","Sem MTR associado",IF(U779=0,"MTR inexistente",IF(C779="","Resíduo não identificado",IF(V779=0,"Resíduo fora do cadastro",IF(W779=0,"Quantidade inválida",IF(H779="","Unidade não informada",IF(NOT(ISNUMBER(I779)),"Unidade a conferir",IF(AND(AH779=1,K779&lt;&gt;"Sim"),"Possível duplicidade",IF(Z779=1,"MTR cancelado",IF(AC779&gt;0,"Recebimento com alerta",IF(AA779=0,"Aguardando recebimento",IF(AB779&lt;AA779,"Recebimento a conferir",IF(AM779=1,"Quantidade a revisar",IF(AF779&gt;0,"Vínculo a revisar",IF(AD779=0,"Aguardando CDF",IF(AN779=0,"Vínculo de CDF parcial",IF(AE779&lt;AD779,"CDF a conferir","Documentação conferida"))))))))))))))))))</f>
        <v/>
      </c>
      <c r="Q779" s="93" t="str">
        <f>IF(OR(R779=0,AA779=0),"",MAX(0,N(L779)-N(M779)))</f>
        <v/>
      </c>
      <c r="R779" s="96">
        <f>IF(COUNTA(B779:C779,G779:H779,J779:K779)&gt;0,1,0)</f>
        <v>0</v>
      </c>
      <c r="S779" s="96" t="str">
        <f>IF(B779="","",TRIM(LEFT(B779,FIND(" |",B779&amp;" |")-1)))</f>
        <v/>
      </c>
      <c r="T779" s="96" t="str">
        <f>IF(S779="","",IFERROR(MATCH(S779,'MTRs'!$A$6:$A$505,0),""))</f>
        <v/>
      </c>
      <c r="U779" s="96">
        <f>IF(T779="",0,IF(INDEX('MTRs'!$Z$6:$Z$505,T779)=1,1,0))</f>
        <v>0</v>
      </c>
      <c r="V779" s="96">
        <f>IF(C779="",0,IF(ISNUMBER(MATCH(C779,'CAD_RESÍDUOS'!$B$6:$B$205,0)),1,0))</f>
        <v>0</v>
      </c>
      <c r="W779" s="96">
        <f>IF(AND(ISNUMBER(G779),G779&gt;0),1,0)</f>
        <v>0</v>
      </c>
      <c r="X779" s="96" t="str">
        <f>IF(H779="","",IFERROR(IF(ISNUMBER(INDEX(cfg_fac,MATCH(H779,cfg_units,0))),IF(INDEX(cfg_fac,MATCH(H779,cfg_units,0))&gt;0,INDEX(cfg_fac,MATCH(H779,cfg_units,0)),""),""),""))</f>
        <v/>
      </c>
      <c r="Y779" s="96">
        <f>IF(AND(W779=1,ISNUMBER(I779)),1,0)</f>
        <v>0</v>
      </c>
      <c r="Z779" s="96">
        <f>IF(U779=1,INDEX('MTRs'!$AA$6:$AA$505,T779),0)</f>
        <v>0</v>
      </c>
      <c r="AA779" s="96">
        <f>IF(R779=0,0,COUNTIFS('RECEBIMENTOS'!$R$6:$R$1005,A779,'RECEBIMENTOS'!$Q$6:$Q$1005,1))</f>
        <v>0</v>
      </c>
      <c r="AB779" s="96">
        <f>IF(R779=0,0,COUNTIFS('RECEBIMENTOS'!$R$6:$R$1005,A779,'RECEBIMENTOS'!$Z$6:$Z$1005,1))</f>
        <v>0</v>
      </c>
      <c r="AC779" s="96">
        <f>IF(R779=0,0,COUNTIFS('RECEBIMENTOS'!$R$6:$R$1005,A779,'RECEBIMENTOS'!$Y$6:$Y$1005,1))</f>
        <v>0</v>
      </c>
      <c r="AD779" s="96">
        <f>IF(R779=0,0,COUNTIFS('VÍNCULOS_CDF'!$R$6:$R$1005,A779,'VÍNCULOS_CDF'!$N$6:$N$1005,1))</f>
        <v>0</v>
      </c>
      <c r="AE779" s="96">
        <f>IF(R779=0,0,COUNTIFS('VÍNCULOS_CDF'!$R$6:$R$1005,A779,'VÍNCULOS_CDF'!$AA$6:$AA$1005,1))</f>
        <v>0</v>
      </c>
      <c r="AF779" s="96">
        <f>IF(R779=0,0,COUNTIFS('VÍNCULOS_CDF'!$R$6:$R$1005,A779,'VÍNCULOS_CDF'!$Y$6:$Y$1005,1))</f>
        <v>0</v>
      </c>
      <c r="AG779" s="96" t="str">
        <f>IF(AND(R779=1,S779&lt;&gt;"",C779&lt;&gt;""),S779&amp;"|"&amp;C779&amp;"|"&amp;G779&amp;"|"&amp;H779,"")</f>
        <v/>
      </c>
      <c r="AH779" s="96">
        <f>IF(AG779="",0,IF(SUMPRODUCT(--($AG$6:$AG$1005=AG779))&gt;1,1,0))</f>
        <v>0</v>
      </c>
      <c r="AI779" s="96">
        <f>IF(R779=0,0,IF(OR(U779=0,V779=0,Y779=0,AND(AH779=1,K779&lt;&gt;"Sim")),1,0))</f>
        <v>0</v>
      </c>
      <c r="AJ779" s="96">
        <f>IF(AND(R779=1,AA779&gt;0,AB779=AA779),1,0)</f>
        <v>0</v>
      </c>
      <c r="AK779" s="96">
        <f>IF(R779=0,0,IF(AA779&gt;0,N(L779),IF(ISNUMBER(I779),I779,0)))</f>
        <v>0</v>
      </c>
      <c r="AL779" s="96">
        <f>IF(R779=0,0,IF(AND(K779&lt;&gt;"Sim",N(M779)&gt;AK779+cfg_tol),1,0))</f>
        <v>0</v>
      </c>
      <c r="AM779" s="96">
        <f>IF(R779=0,0,IF(K779="Sim",0,IF(OR(AND(AA779&gt;0,ISNUMBER(I779),ABS(I779-N(L779))&gt;cfg_tol),AL779=1),1,0)))</f>
        <v>0</v>
      </c>
      <c r="AN779" s="96">
        <f>IF(AND(R779=1,N(M779)&gt;0,OR(N(M779)&gt;=AK779-cfg_tol,K779="Sim")),1,0)</f>
        <v>0</v>
      </c>
      <c r="AO779" s="96">
        <f>IF(AND(AN779=1,AD779&gt;0,AE779=AD779,AL779=0),1,0)</f>
        <v>0</v>
      </c>
      <c r="AP779" s="96">
        <f>IF(U779=0,0,IF(AND(INDEX('MTRs'!$AX$6:$AX$505,T779)=1,Z779=0,OR(f_res="",f_res="(Todos)",C779=f_res)),1,0))</f>
        <v>0</v>
      </c>
      <c r="AQ779" s="97" t="str">
        <f>IF(U779=0,"",INDEX('MTRs'!$AZ$6:$AZ$505,T779))</f>
        <v/>
      </c>
      <c r="AR779" s="96">
        <f>IF(U779=0,0,IF(AND(INDEX('MTRs'!$BA$6:$BA$505,T779)=1,Z779=0),1,0))</f>
        <v>0</v>
      </c>
      <c r="AS779" s="96" t="str">
        <f>IF(R779=1,A779&amp;" | MTR "&amp;IF(U779=1,INDEX('MTRs'!$B$6:$B$505,T779)&amp;"","?")&amp;" | "&amp;IF(C779="","(sem resíduo)",C779),"")</f>
        <v/>
      </c>
      <c r="AT779" s="96" t="str">
        <f>IF(R779=1,COUNTIF($R$6:R779,1),"")</f>
        <v/>
      </c>
      <c r="AU779" s="96" t="str">
        <f>IF(U779=1,INDEX('MTRs'!$I$6:$I$505,T779)&amp;"","")</f>
        <v/>
      </c>
    </row>
    <row r="780">
      <c r="A780" s="89" t="inlineStr">
        <is>
          <t>IT-000775</t>
        </is>
      </c>
      <c r="B780" s="91" t="n"/>
      <c r="C780" s="91" t="n"/>
      <c r="D780" s="94" t="str">
        <f>IF(OR(R780=0,V780=0),"",INDEX('CAD_RESÍDUOS'!$E$6:$E$205,MATCH(C780,'CAD_RESÍDUOS'!$B$6:$B$205,0))&amp;"")</f>
        <v/>
      </c>
      <c r="E780" s="94" t="str">
        <f>IF(OR(R780=0,V780=0),"",INDEX('CAD_RESÍDUOS'!$C$6:$C$205,MATCH(C780,'CAD_RESÍDUOS'!$B$6:$B$205,0))&amp;"")</f>
        <v/>
      </c>
      <c r="F780" s="94" t="str">
        <f>IF(OR(R780=0,V780=0),"",INDEX('CAD_RESÍDUOS'!$G$6:$G$205,MATCH(C780,'CAD_RESÍDUOS'!$B$6:$B$205,0))&amp;"")</f>
        <v/>
      </c>
      <c r="G780" s="98" t="n"/>
      <c r="H780" s="91" t="n"/>
      <c r="I780" s="93" t="str">
        <f>IF(R780=0,"",IF(NOT(ISNUMBER(G780)),"",IF(ISNUMBER(X780),G780*X780,"UNIDADE A CONFERIR")))</f>
        <v/>
      </c>
      <c r="J780" s="91" t="n"/>
      <c r="K780" s="91" t="n"/>
      <c r="L780" s="93" t="str">
        <f>IF(R780=0,"",SUMIFS('RECEBIMENTOS'!$H$6:$H$1005,'RECEBIMENTOS'!$R$6:$R$1005,A780,'RECEBIMENTOS'!$X$6:$X$1005,1))</f>
        <v/>
      </c>
      <c r="M780" s="93" t="str">
        <f>IF(R780=0,"",SUMIFS('VÍNCULOS_CDF'!$H$6:$H$1005,'VÍNCULOS_CDF'!$R$6:$R$1005,A780,'VÍNCULOS_CDF'!$V$6:$V$1005,1))</f>
        <v/>
      </c>
      <c r="N780" s="99" t="str">
        <f>IF(OR(R780=0,AA780=0,NOT(ISNUMBER(I780))),"",I780-N(L780))</f>
        <v/>
      </c>
      <c r="O780" s="100" t="str">
        <f>IF(OR(R780=0,AK780&lt;=0),"",N(M780)/AK780)</f>
        <v/>
      </c>
      <c r="P780" s="94" t="str">
        <f>IF(R780=0,"",IF(S780="","Sem MTR associado",IF(U780=0,"MTR inexistente",IF(C780="","Resíduo não identificado",IF(V780=0,"Resíduo fora do cadastro",IF(W780=0,"Quantidade inválida",IF(H780="","Unidade não informada",IF(NOT(ISNUMBER(I780)),"Unidade a conferir",IF(AND(AH780=1,K780&lt;&gt;"Sim"),"Possível duplicidade",IF(Z780=1,"MTR cancelado",IF(AC780&gt;0,"Recebimento com alerta",IF(AA780=0,"Aguardando recebimento",IF(AB780&lt;AA780,"Recebimento a conferir",IF(AM780=1,"Quantidade a revisar",IF(AF780&gt;0,"Vínculo a revisar",IF(AD780=0,"Aguardando CDF",IF(AN780=0,"Vínculo de CDF parcial",IF(AE780&lt;AD780,"CDF a conferir","Documentação conferida"))))))))))))))))))</f>
        <v/>
      </c>
      <c r="Q780" s="93" t="str">
        <f>IF(OR(R780=0,AA780=0),"",MAX(0,N(L780)-N(M780)))</f>
        <v/>
      </c>
      <c r="R780" s="96">
        <f>IF(COUNTA(B780:C780,G780:H780,J780:K780)&gt;0,1,0)</f>
        <v>0</v>
      </c>
      <c r="S780" s="96" t="str">
        <f>IF(B780="","",TRIM(LEFT(B780,FIND(" |",B780&amp;" |")-1)))</f>
        <v/>
      </c>
      <c r="T780" s="96" t="str">
        <f>IF(S780="","",IFERROR(MATCH(S780,'MTRs'!$A$6:$A$505,0),""))</f>
        <v/>
      </c>
      <c r="U780" s="96">
        <f>IF(T780="",0,IF(INDEX('MTRs'!$Z$6:$Z$505,T780)=1,1,0))</f>
        <v>0</v>
      </c>
      <c r="V780" s="96">
        <f>IF(C780="",0,IF(ISNUMBER(MATCH(C780,'CAD_RESÍDUOS'!$B$6:$B$205,0)),1,0))</f>
        <v>0</v>
      </c>
      <c r="W780" s="96">
        <f>IF(AND(ISNUMBER(G780),G780&gt;0),1,0)</f>
        <v>0</v>
      </c>
      <c r="X780" s="96" t="str">
        <f>IF(H780="","",IFERROR(IF(ISNUMBER(INDEX(cfg_fac,MATCH(H780,cfg_units,0))),IF(INDEX(cfg_fac,MATCH(H780,cfg_units,0))&gt;0,INDEX(cfg_fac,MATCH(H780,cfg_units,0)),""),""),""))</f>
        <v/>
      </c>
      <c r="Y780" s="96">
        <f>IF(AND(W780=1,ISNUMBER(I780)),1,0)</f>
        <v>0</v>
      </c>
      <c r="Z780" s="96">
        <f>IF(U780=1,INDEX('MTRs'!$AA$6:$AA$505,T780),0)</f>
        <v>0</v>
      </c>
      <c r="AA780" s="96">
        <f>IF(R780=0,0,COUNTIFS('RECEBIMENTOS'!$R$6:$R$1005,A780,'RECEBIMENTOS'!$Q$6:$Q$1005,1))</f>
        <v>0</v>
      </c>
      <c r="AB780" s="96">
        <f>IF(R780=0,0,COUNTIFS('RECEBIMENTOS'!$R$6:$R$1005,A780,'RECEBIMENTOS'!$Z$6:$Z$1005,1))</f>
        <v>0</v>
      </c>
      <c r="AC780" s="96">
        <f>IF(R780=0,0,COUNTIFS('RECEBIMENTOS'!$R$6:$R$1005,A780,'RECEBIMENTOS'!$Y$6:$Y$1005,1))</f>
        <v>0</v>
      </c>
      <c r="AD780" s="96">
        <f>IF(R780=0,0,COUNTIFS('VÍNCULOS_CDF'!$R$6:$R$1005,A780,'VÍNCULOS_CDF'!$N$6:$N$1005,1))</f>
        <v>0</v>
      </c>
      <c r="AE780" s="96">
        <f>IF(R780=0,0,COUNTIFS('VÍNCULOS_CDF'!$R$6:$R$1005,A780,'VÍNCULOS_CDF'!$AA$6:$AA$1005,1))</f>
        <v>0</v>
      </c>
      <c r="AF780" s="96">
        <f>IF(R780=0,0,COUNTIFS('VÍNCULOS_CDF'!$R$6:$R$1005,A780,'VÍNCULOS_CDF'!$Y$6:$Y$1005,1))</f>
        <v>0</v>
      </c>
      <c r="AG780" s="96" t="str">
        <f>IF(AND(R780=1,S780&lt;&gt;"",C780&lt;&gt;""),S780&amp;"|"&amp;C780&amp;"|"&amp;G780&amp;"|"&amp;H780,"")</f>
        <v/>
      </c>
      <c r="AH780" s="96">
        <f>IF(AG780="",0,IF(SUMPRODUCT(--($AG$6:$AG$1005=AG780))&gt;1,1,0))</f>
        <v>0</v>
      </c>
      <c r="AI780" s="96">
        <f>IF(R780=0,0,IF(OR(U780=0,V780=0,Y780=0,AND(AH780=1,K780&lt;&gt;"Sim")),1,0))</f>
        <v>0</v>
      </c>
      <c r="AJ780" s="96">
        <f>IF(AND(R780=1,AA780&gt;0,AB780=AA780),1,0)</f>
        <v>0</v>
      </c>
      <c r="AK780" s="96">
        <f>IF(R780=0,0,IF(AA780&gt;0,N(L780),IF(ISNUMBER(I780),I780,0)))</f>
        <v>0</v>
      </c>
      <c r="AL780" s="96">
        <f>IF(R780=0,0,IF(AND(K780&lt;&gt;"Sim",N(M780)&gt;AK780+cfg_tol),1,0))</f>
        <v>0</v>
      </c>
      <c r="AM780" s="96">
        <f>IF(R780=0,0,IF(K780="Sim",0,IF(OR(AND(AA780&gt;0,ISNUMBER(I780),ABS(I780-N(L780))&gt;cfg_tol),AL780=1),1,0)))</f>
        <v>0</v>
      </c>
      <c r="AN780" s="96">
        <f>IF(AND(R780=1,N(M780)&gt;0,OR(N(M780)&gt;=AK780-cfg_tol,K780="Sim")),1,0)</f>
        <v>0</v>
      </c>
      <c r="AO780" s="96">
        <f>IF(AND(AN780=1,AD780&gt;0,AE780=AD780,AL780=0),1,0)</f>
        <v>0</v>
      </c>
      <c r="AP780" s="96">
        <f>IF(U780=0,0,IF(AND(INDEX('MTRs'!$AX$6:$AX$505,T780)=1,Z780=0,OR(f_res="",f_res="(Todos)",C780=f_res)),1,0))</f>
        <v>0</v>
      </c>
      <c r="AQ780" s="97" t="str">
        <f>IF(U780=0,"",INDEX('MTRs'!$AZ$6:$AZ$505,T780))</f>
        <v/>
      </c>
      <c r="AR780" s="96">
        <f>IF(U780=0,0,IF(AND(INDEX('MTRs'!$BA$6:$BA$505,T780)=1,Z780=0),1,0))</f>
        <v>0</v>
      </c>
      <c r="AS780" s="96" t="str">
        <f>IF(R780=1,A780&amp;" | MTR "&amp;IF(U780=1,INDEX('MTRs'!$B$6:$B$505,T780)&amp;"","?")&amp;" | "&amp;IF(C780="","(sem resíduo)",C780),"")</f>
        <v/>
      </c>
      <c r="AT780" s="96" t="str">
        <f>IF(R780=1,COUNTIF($R$6:R780,1),"")</f>
        <v/>
      </c>
      <c r="AU780" s="96" t="str">
        <f>IF(U780=1,INDEX('MTRs'!$I$6:$I$505,T780)&amp;"","")</f>
        <v/>
      </c>
    </row>
    <row r="781">
      <c r="A781" s="89" t="inlineStr">
        <is>
          <t>IT-000776</t>
        </is>
      </c>
      <c r="B781" s="91" t="n"/>
      <c r="C781" s="91" t="n"/>
      <c r="D781" s="94" t="str">
        <f>IF(OR(R781=0,V781=0),"",INDEX('CAD_RESÍDUOS'!$E$6:$E$205,MATCH(C781,'CAD_RESÍDUOS'!$B$6:$B$205,0))&amp;"")</f>
        <v/>
      </c>
      <c r="E781" s="94" t="str">
        <f>IF(OR(R781=0,V781=0),"",INDEX('CAD_RESÍDUOS'!$C$6:$C$205,MATCH(C781,'CAD_RESÍDUOS'!$B$6:$B$205,0))&amp;"")</f>
        <v/>
      </c>
      <c r="F781" s="94" t="str">
        <f>IF(OR(R781=0,V781=0),"",INDEX('CAD_RESÍDUOS'!$G$6:$G$205,MATCH(C781,'CAD_RESÍDUOS'!$B$6:$B$205,0))&amp;"")</f>
        <v/>
      </c>
      <c r="G781" s="98" t="n"/>
      <c r="H781" s="91" t="n"/>
      <c r="I781" s="93" t="str">
        <f>IF(R781=0,"",IF(NOT(ISNUMBER(G781)),"",IF(ISNUMBER(X781),G781*X781,"UNIDADE A CONFERIR")))</f>
        <v/>
      </c>
      <c r="J781" s="91" t="n"/>
      <c r="K781" s="91" t="n"/>
      <c r="L781" s="93" t="str">
        <f>IF(R781=0,"",SUMIFS('RECEBIMENTOS'!$H$6:$H$1005,'RECEBIMENTOS'!$R$6:$R$1005,A781,'RECEBIMENTOS'!$X$6:$X$1005,1))</f>
        <v/>
      </c>
      <c r="M781" s="93" t="str">
        <f>IF(R781=0,"",SUMIFS('VÍNCULOS_CDF'!$H$6:$H$1005,'VÍNCULOS_CDF'!$R$6:$R$1005,A781,'VÍNCULOS_CDF'!$V$6:$V$1005,1))</f>
        <v/>
      </c>
      <c r="N781" s="99" t="str">
        <f>IF(OR(R781=0,AA781=0,NOT(ISNUMBER(I781))),"",I781-N(L781))</f>
        <v/>
      </c>
      <c r="O781" s="100" t="str">
        <f>IF(OR(R781=0,AK781&lt;=0),"",N(M781)/AK781)</f>
        <v/>
      </c>
      <c r="P781" s="94" t="str">
        <f>IF(R781=0,"",IF(S781="","Sem MTR associado",IF(U781=0,"MTR inexistente",IF(C781="","Resíduo não identificado",IF(V781=0,"Resíduo fora do cadastro",IF(W781=0,"Quantidade inválida",IF(H781="","Unidade não informada",IF(NOT(ISNUMBER(I781)),"Unidade a conferir",IF(AND(AH781=1,K781&lt;&gt;"Sim"),"Possível duplicidade",IF(Z781=1,"MTR cancelado",IF(AC781&gt;0,"Recebimento com alerta",IF(AA781=0,"Aguardando recebimento",IF(AB781&lt;AA781,"Recebimento a conferir",IF(AM781=1,"Quantidade a revisar",IF(AF781&gt;0,"Vínculo a revisar",IF(AD781=0,"Aguardando CDF",IF(AN781=0,"Vínculo de CDF parcial",IF(AE781&lt;AD781,"CDF a conferir","Documentação conferida"))))))))))))))))))</f>
        <v/>
      </c>
      <c r="Q781" s="93" t="str">
        <f>IF(OR(R781=0,AA781=0),"",MAX(0,N(L781)-N(M781)))</f>
        <v/>
      </c>
      <c r="R781" s="96">
        <f>IF(COUNTA(B781:C781,G781:H781,J781:K781)&gt;0,1,0)</f>
        <v>0</v>
      </c>
      <c r="S781" s="96" t="str">
        <f>IF(B781="","",TRIM(LEFT(B781,FIND(" |",B781&amp;" |")-1)))</f>
        <v/>
      </c>
      <c r="T781" s="96" t="str">
        <f>IF(S781="","",IFERROR(MATCH(S781,'MTRs'!$A$6:$A$505,0),""))</f>
        <v/>
      </c>
      <c r="U781" s="96">
        <f>IF(T781="",0,IF(INDEX('MTRs'!$Z$6:$Z$505,T781)=1,1,0))</f>
        <v>0</v>
      </c>
      <c r="V781" s="96">
        <f>IF(C781="",0,IF(ISNUMBER(MATCH(C781,'CAD_RESÍDUOS'!$B$6:$B$205,0)),1,0))</f>
        <v>0</v>
      </c>
      <c r="W781" s="96">
        <f>IF(AND(ISNUMBER(G781),G781&gt;0),1,0)</f>
        <v>0</v>
      </c>
      <c r="X781" s="96" t="str">
        <f>IF(H781="","",IFERROR(IF(ISNUMBER(INDEX(cfg_fac,MATCH(H781,cfg_units,0))),IF(INDEX(cfg_fac,MATCH(H781,cfg_units,0))&gt;0,INDEX(cfg_fac,MATCH(H781,cfg_units,0)),""),""),""))</f>
        <v/>
      </c>
      <c r="Y781" s="96">
        <f>IF(AND(W781=1,ISNUMBER(I781)),1,0)</f>
        <v>0</v>
      </c>
      <c r="Z781" s="96">
        <f>IF(U781=1,INDEX('MTRs'!$AA$6:$AA$505,T781),0)</f>
        <v>0</v>
      </c>
      <c r="AA781" s="96">
        <f>IF(R781=0,0,COUNTIFS('RECEBIMENTOS'!$R$6:$R$1005,A781,'RECEBIMENTOS'!$Q$6:$Q$1005,1))</f>
        <v>0</v>
      </c>
      <c r="AB781" s="96">
        <f>IF(R781=0,0,COUNTIFS('RECEBIMENTOS'!$R$6:$R$1005,A781,'RECEBIMENTOS'!$Z$6:$Z$1005,1))</f>
        <v>0</v>
      </c>
      <c r="AC781" s="96">
        <f>IF(R781=0,0,COUNTIFS('RECEBIMENTOS'!$R$6:$R$1005,A781,'RECEBIMENTOS'!$Y$6:$Y$1005,1))</f>
        <v>0</v>
      </c>
      <c r="AD781" s="96">
        <f>IF(R781=0,0,COUNTIFS('VÍNCULOS_CDF'!$R$6:$R$1005,A781,'VÍNCULOS_CDF'!$N$6:$N$1005,1))</f>
        <v>0</v>
      </c>
      <c r="AE781" s="96">
        <f>IF(R781=0,0,COUNTIFS('VÍNCULOS_CDF'!$R$6:$R$1005,A781,'VÍNCULOS_CDF'!$AA$6:$AA$1005,1))</f>
        <v>0</v>
      </c>
      <c r="AF781" s="96">
        <f>IF(R781=0,0,COUNTIFS('VÍNCULOS_CDF'!$R$6:$R$1005,A781,'VÍNCULOS_CDF'!$Y$6:$Y$1005,1))</f>
        <v>0</v>
      </c>
      <c r="AG781" s="96" t="str">
        <f>IF(AND(R781=1,S781&lt;&gt;"",C781&lt;&gt;""),S781&amp;"|"&amp;C781&amp;"|"&amp;G781&amp;"|"&amp;H781,"")</f>
        <v/>
      </c>
      <c r="AH781" s="96">
        <f>IF(AG781="",0,IF(SUMPRODUCT(--($AG$6:$AG$1005=AG781))&gt;1,1,0))</f>
        <v>0</v>
      </c>
      <c r="AI781" s="96">
        <f>IF(R781=0,0,IF(OR(U781=0,V781=0,Y781=0,AND(AH781=1,K781&lt;&gt;"Sim")),1,0))</f>
        <v>0</v>
      </c>
      <c r="AJ781" s="96">
        <f>IF(AND(R781=1,AA781&gt;0,AB781=AA781),1,0)</f>
        <v>0</v>
      </c>
      <c r="AK781" s="96">
        <f>IF(R781=0,0,IF(AA781&gt;0,N(L781),IF(ISNUMBER(I781),I781,0)))</f>
        <v>0</v>
      </c>
      <c r="AL781" s="96">
        <f>IF(R781=0,0,IF(AND(K781&lt;&gt;"Sim",N(M781)&gt;AK781+cfg_tol),1,0))</f>
        <v>0</v>
      </c>
      <c r="AM781" s="96">
        <f>IF(R781=0,0,IF(K781="Sim",0,IF(OR(AND(AA781&gt;0,ISNUMBER(I781),ABS(I781-N(L781))&gt;cfg_tol),AL781=1),1,0)))</f>
        <v>0</v>
      </c>
      <c r="AN781" s="96">
        <f>IF(AND(R781=1,N(M781)&gt;0,OR(N(M781)&gt;=AK781-cfg_tol,K781="Sim")),1,0)</f>
        <v>0</v>
      </c>
      <c r="AO781" s="96">
        <f>IF(AND(AN781=1,AD781&gt;0,AE781=AD781,AL781=0),1,0)</f>
        <v>0</v>
      </c>
      <c r="AP781" s="96">
        <f>IF(U781=0,0,IF(AND(INDEX('MTRs'!$AX$6:$AX$505,T781)=1,Z781=0,OR(f_res="",f_res="(Todos)",C781=f_res)),1,0))</f>
        <v>0</v>
      </c>
      <c r="AQ781" s="97" t="str">
        <f>IF(U781=0,"",INDEX('MTRs'!$AZ$6:$AZ$505,T781))</f>
        <v/>
      </c>
      <c r="AR781" s="96">
        <f>IF(U781=0,0,IF(AND(INDEX('MTRs'!$BA$6:$BA$505,T781)=1,Z781=0),1,0))</f>
        <v>0</v>
      </c>
      <c r="AS781" s="96" t="str">
        <f>IF(R781=1,A781&amp;" | MTR "&amp;IF(U781=1,INDEX('MTRs'!$B$6:$B$505,T781)&amp;"","?")&amp;" | "&amp;IF(C781="","(sem resíduo)",C781),"")</f>
        <v/>
      </c>
      <c r="AT781" s="96" t="str">
        <f>IF(R781=1,COUNTIF($R$6:R781,1),"")</f>
        <v/>
      </c>
      <c r="AU781" s="96" t="str">
        <f>IF(U781=1,INDEX('MTRs'!$I$6:$I$505,T781)&amp;"","")</f>
        <v/>
      </c>
    </row>
    <row r="782">
      <c r="A782" s="89" t="inlineStr">
        <is>
          <t>IT-000777</t>
        </is>
      </c>
      <c r="B782" s="91" t="n"/>
      <c r="C782" s="91" t="n"/>
      <c r="D782" s="94" t="str">
        <f>IF(OR(R782=0,V782=0),"",INDEX('CAD_RESÍDUOS'!$E$6:$E$205,MATCH(C782,'CAD_RESÍDUOS'!$B$6:$B$205,0))&amp;"")</f>
        <v/>
      </c>
      <c r="E782" s="94" t="str">
        <f>IF(OR(R782=0,V782=0),"",INDEX('CAD_RESÍDUOS'!$C$6:$C$205,MATCH(C782,'CAD_RESÍDUOS'!$B$6:$B$205,0))&amp;"")</f>
        <v/>
      </c>
      <c r="F782" s="94" t="str">
        <f>IF(OR(R782=0,V782=0),"",INDEX('CAD_RESÍDUOS'!$G$6:$G$205,MATCH(C782,'CAD_RESÍDUOS'!$B$6:$B$205,0))&amp;"")</f>
        <v/>
      </c>
      <c r="G782" s="98" t="n"/>
      <c r="H782" s="91" t="n"/>
      <c r="I782" s="93" t="str">
        <f>IF(R782=0,"",IF(NOT(ISNUMBER(G782)),"",IF(ISNUMBER(X782),G782*X782,"UNIDADE A CONFERIR")))</f>
        <v/>
      </c>
      <c r="J782" s="91" t="n"/>
      <c r="K782" s="91" t="n"/>
      <c r="L782" s="93" t="str">
        <f>IF(R782=0,"",SUMIFS('RECEBIMENTOS'!$H$6:$H$1005,'RECEBIMENTOS'!$R$6:$R$1005,A782,'RECEBIMENTOS'!$X$6:$X$1005,1))</f>
        <v/>
      </c>
      <c r="M782" s="93" t="str">
        <f>IF(R782=0,"",SUMIFS('VÍNCULOS_CDF'!$H$6:$H$1005,'VÍNCULOS_CDF'!$R$6:$R$1005,A782,'VÍNCULOS_CDF'!$V$6:$V$1005,1))</f>
        <v/>
      </c>
      <c r="N782" s="99" t="str">
        <f>IF(OR(R782=0,AA782=0,NOT(ISNUMBER(I782))),"",I782-N(L782))</f>
        <v/>
      </c>
      <c r="O782" s="100" t="str">
        <f>IF(OR(R782=0,AK782&lt;=0),"",N(M782)/AK782)</f>
        <v/>
      </c>
      <c r="P782" s="94" t="str">
        <f>IF(R782=0,"",IF(S782="","Sem MTR associado",IF(U782=0,"MTR inexistente",IF(C782="","Resíduo não identificado",IF(V782=0,"Resíduo fora do cadastro",IF(W782=0,"Quantidade inválida",IF(H782="","Unidade não informada",IF(NOT(ISNUMBER(I782)),"Unidade a conferir",IF(AND(AH782=1,K782&lt;&gt;"Sim"),"Possível duplicidade",IF(Z782=1,"MTR cancelado",IF(AC782&gt;0,"Recebimento com alerta",IF(AA782=0,"Aguardando recebimento",IF(AB782&lt;AA782,"Recebimento a conferir",IF(AM782=1,"Quantidade a revisar",IF(AF782&gt;0,"Vínculo a revisar",IF(AD782=0,"Aguardando CDF",IF(AN782=0,"Vínculo de CDF parcial",IF(AE782&lt;AD782,"CDF a conferir","Documentação conferida"))))))))))))))))))</f>
        <v/>
      </c>
      <c r="Q782" s="93" t="str">
        <f>IF(OR(R782=0,AA782=0),"",MAX(0,N(L782)-N(M782)))</f>
        <v/>
      </c>
      <c r="R782" s="96">
        <f>IF(COUNTA(B782:C782,G782:H782,J782:K782)&gt;0,1,0)</f>
        <v>0</v>
      </c>
      <c r="S782" s="96" t="str">
        <f>IF(B782="","",TRIM(LEFT(B782,FIND(" |",B782&amp;" |")-1)))</f>
        <v/>
      </c>
      <c r="T782" s="96" t="str">
        <f>IF(S782="","",IFERROR(MATCH(S782,'MTRs'!$A$6:$A$505,0),""))</f>
        <v/>
      </c>
      <c r="U782" s="96">
        <f>IF(T782="",0,IF(INDEX('MTRs'!$Z$6:$Z$505,T782)=1,1,0))</f>
        <v>0</v>
      </c>
      <c r="V782" s="96">
        <f>IF(C782="",0,IF(ISNUMBER(MATCH(C782,'CAD_RESÍDUOS'!$B$6:$B$205,0)),1,0))</f>
        <v>0</v>
      </c>
      <c r="W782" s="96">
        <f>IF(AND(ISNUMBER(G782),G782&gt;0),1,0)</f>
        <v>0</v>
      </c>
      <c r="X782" s="96" t="str">
        <f>IF(H782="","",IFERROR(IF(ISNUMBER(INDEX(cfg_fac,MATCH(H782,cfg_units,0))),IF(INDEX(cfg_fac,MATCH(H782,cfg_units,0))&gt;0,INDEX(cfg_fac,MATCH(H782,cfg_units,0)),""),""),""))</f>
        <v/>
      </c>
      <c r="Y782" s="96">
        <f>IF(AND(W782=1,ISNUMBER(I782)),1,0)</f>
        <v>0</v>
      </c>
      <c r="Z782" s="96">
        <f>IF(U782=1,INDEX('MTRs'!$AA$6:$AA$505,T782),0)</f>
        <v>0</v>
      </c>
      <c r="AA782" s="96">
        <f>IF(R782=0,0,COUNTIFS('RECEBIMENTOS'!$R$6:$R$1005,A782,'RECEBIMENTOS'!$Q$6:$Q$1005,1))</f>
        <v>0</v>
      </c>
      <c r="AB782" s="96">
        <f>IF(R782=0,0,COUNTIFS('RECEBIMENTOS'!$R$6:$R$1005,A782,'RECEBIMENTOS'!$Z$6:$Z$1005,1))</f>
        <v>0</v>
      </c>
      <c r="AC782" s="96">
        <f>IF(R782=0,0,COUNTIFS('RECEBIMENTOS'!$R$6:$R$1005,A782,'RECEBIMENTOS'!$Y$6:$Y$1005,1))</f>
        <v>0</v>
      </c>
      <c r="AD782" s="96">
        <f>IF(R782=0,0,COUNTIFS('VÍNCULOS_CDF'!$R$6:$R$1005,A782,'VÍNCULOS_CDF'!$N$6:$N$1005,1))</f>
        <v>0</v>
      </c>
      <c r="AE782" s="96">
        <f>IF(R782=0,0,COUNTIFS('VÍNCULOS_CDF'!$R$6:$R$1005,A782,'VÍNCULOS_CDF'!$AA$6:$AA$1005,1))</f>
        <v>0</v>
      </c>
      <c r="AF782" s="96">
        <f>IF(R782=0,0,COUNTIFS('VÍNCULOS_CDF'!$R$6:$R$1005,A782,'VÍNCULOS_CDF'!$Y$6:$Y$1005,1))</f>
        <v>0</v>
      </c>
      <c r="AG782" s="96" t="str">
        <f>IF(AND(R782=1,S782&lt;&gt;"",C782&lt;&gt;""),S782&amp;"|"&amp;C782&amp;"|"&amp;G782&amp;"|"&amp;H782,"")</f>
        <v/>
      </c>
      <c r="AH782" s="96">
        <f>IF(AG782="",0,IF(SUMPRODUCT(--($AG$6:$AG$1005=AG782))&gt;1,1,0))</f>
        <v>0</v>
      </c>
      <c r="AI782" s="96">
        <f>IF(R782=0,0,IF(OR(U782=0,V782=0,Y782=0,AND(AH782=1,K782&lt;&gt;"Sim")),1,0))</f>
        <v>0</v>
      </c>
      <c r="AJ782" s="96">
        <f>IF(AND(R782=1,AA782&gt;0,AB782=AA782),1,0)</f>
        <v>0</v>
      </c>
      <c r="AK782" s="96">
        <f>IF(R782=0,0,IF(AA782&gt;0,N(L782),IF(ISNUMBER(I782),I782,0)))</f>
        <v>0</v>
      </c>
      <c r="AL782" s="96">
        <f>IF(R782=0,0,IF(AND(K782&lt;&gt;"Sim",N(M782)&gt;AK782+cfg_tol),1,0))</f>
        <v>0</v>
      </c>
      <c r="AM782" s="96">
        <f>IF(R782=0,0,IF(K782="Sim",0,IF(OR(AND(AA782&gt;0,ISNUMBER(I782),ABS(I782-N(L782))&gt;cfg_tol),AL782=1),1,0)))</f>
        <v>0</v>
      </c>
      <c r="AN782" s="96">
        <f>IF(AND(R782=1,N(M782)&gt;0,OR(N(M782)&gt;=AK782-cfg_tol,K782="Sim")),1,0)</f>
        <v>0</v>
      </c>
      <c r="AO782" s="96">
        <f>IF(AND(AN782=1,AD782&gt;0,AE782=AD782,AL782=0),1,0)</f>
        <v>0</v>
      </c>
      <c r="AP782" s="96">
        <f>IF(U782=0,0,IF(AND(INDEX('MTRs'!$AX$6:$AX$505,T782)=1,Z782=0,OR(f_res="",f_res="(Todos)",C782=f_res)),1,0))</f>
        <v>0</v>
      </c>
      <c r="AQ782" s="97" t="str">
        <f>IF(U782=0,"",INDEX('MTRs'!$AZ$6:$AZ$505,T782))</f>
        <v/>
      </c>
      <c r="AR782" s="96">
        <f>IF(U782=0,0,IF(AND(INDEX('MTRs'!$BA$6:$BA$505,T782)=1,Z782=0),1,0))</f>
        <v>0</v>
      </c>
      <c r="AS782" s="96" t="str">
        <f>IF(R782=1,A782&amp;" | MTR "&amp;IF(U782=1,INDEX('MTRs'!$B$6:$B$505,T782)&amp;"","?")&amp;" | "&amp;IF(C782="","(sem resíduo)",C782),"")</f>
        <v/>
      </c>
      <c r="AT782" s="96" t="str">
        <f>IF(R782=1,COUNTIF($R$6:R782,1),"")</f>
        <v/>
      </c>
      <c r="AU782" s="96" t="str">
        <f>IF(U782=1,INDEX('MTRs'!$I$6:$I$505,T782)&amp;"","")</f>
        <v/>
      </c>
    </row>
    <row r="783">
      <c r="A783" s="89" t="inlineStr">
        <is>
          <t>IT-000778</t>
        </is>
      </c>
      <c r="B783" s="91" t="n"/>
      <c r="C783" s="91" t="n"/>
      <c r="D783" s="94" t="str">
        <f>IF(OR(R783=0,V783=0),"",INDEX('CAD_RESÍDUOS'!$E$6:$E$205,MATCH(C783,'CAD_RESÍDUOS'!$B$6:$B$205,0))&amp;"")</f>
        <v/>
      </c>
      <c r="E783" s="94" t="str">
        <f>IF(OR(R783=0,V783=0),"",INDEX('CAD_RESÍDUOS'!$C$6:$C$205,MATCH(C783,'CAD_RESÍDUOS'!$B$6:$B$205,0))&amp;"")</f>
        <v/>
      </c>
      <c r="F783" s="94" t="str">
        <f>IF(OR(R783=0,V783=0),"",INDEX('CAD_RESÍDUOS'!$G$6:$G$205,MATCH(C783,'CAD_RESÍDUOS'!$B$6:$B$205,0))&amp;"")</f>
        <v/>
      </c>
      <c r="G783" s="98" t="n"/>
      <c r="H783" s="91" t="n"/>
      <c r="I783" s="93" t="str">
        <f>IF(R783=0,"",IF(NOT(ISNUMBER(G783)),"",IF(ISNUMBER(X783),G783*X783,"UNIDADE A CONFERIR")))</f>
        <v/>
      </c>
      <c r="J783" s="91" t="n"/>
      <c r="K783" s="91" t="n"/>
      <c r="L783" s="93" t="str">
        <f>IF(R783=0,"",SUMIFS('RECEBIMENTOS'!$H$6:$H$1005,'RECEBIMENTOS'!$R$6:$R$1005,A783,'RECEBIMENTOS'!$X$6:$X$1005,1))</f>
        <v/>
      </c>
      <c r="M783" s="93" t="str">
        <f>IF(R783=0,"",SUMIFS('VÍNCULOS_CDF'!$H$6:$H$1005,'VÍNCULOS_CDF'!$R$6:$R$1005,A783,'VÍNCULOS_CDF'!$V$6:$V$1005,1))</f>
        <v/>
      </c>
      <c r="N783" s="99" t="str">
        <f>IF(OR(R783=0,AA783=0,NOT(ISNUMBER(I783))),"",I783-N(L783))</f>
        <v/>
      </c>
      <c r="O783" s="100" t="str">
        <f>IF(OR(R783=0,AK783&lt;=0),"",N(M783)/AK783)</f>
        <v/>
      </c>
      <c r="P783" s="94" t="str">
        <f>IF(R783=0,"",IF(S783="","Sem MTR associado",IF(U783=0,"MTR inexistente",IF(C783="","Resíduo não identificado",IF(V783=0,"Resíduo fora do cadastro",IF(W783=0,"Quantidade inválida",IF(H783="","Unidade não informada",IF(NOT(ISNUMBER(I783)),"Unidade a conferir",IF(AND(AH783=1,K783&lt;&gt;"Sim"),"Possível duplicidade",IF(Z783=1,"MTR cancelado",IF(AC783&gt;0,"Recebimento com alerta",IF(AA783=0,"Aguardando recebimento",IF(AB783&lt;AA783,"Recebimento a conferir",IF(AM783=1,"Quantidade a revisar",IF(AF783&gt;0,"Vínculo a revisar",IF(AD783=0,"Aguardando CDF",IF(AN783=0,"Vínculo de CDF parcial",IF(AE783&lt;AD783,"CDF a conferir","Documentação conferida"))))))))))))))))))</f>
        <v/>
      </c>
      <c r="Q783" s="93" t="str">
        <f>IF(OR(R783=0,AA783=0),"",MAX(0,N(L783)-N(M783)))</f>
        <v/>
      </c>
      <c r="R783" s="96">
        <f>IF(COUNTA(B783:C783,G783:H783,J783:K783)&gt;0,1,0)</f>
        <v>0</v>
      </c>
      <c r="S783" s="96" t="str">
        <f>IF(B783="","",TRIM(LEFT(B783,FIND(" |",B783&amp;" |")-1)))</f>
        <v/>
      </c>
      <c r="T783" s="96" t="str">
        <f>IF(S783="","",IFERROR(MATCH(S783,'MTRs'!$A$6:$A$505,0),""))</f>
        <v/>
      </c>
      <c r="U783" s="96">
        <f>IF(T783="",0,IF(INDEX('MTRs'!$Z$6:$Z$505,T783)=1,1,0))</f>
        <v>0</v>
      </c>
      <c r="V783" s="96">
        <f>IF(C783="",0,IF(ISNUMBER(MATCH(C783,'CAD_RESÍDUOS'!$B$6:$B$205,0)),1,0))</f>
        <v>0</v>
      </c>
      <c r="W783" s="96">
        <f>IF(AND(ISNUMBER(G783),G783&gt;0),1,0)</f>
        <v>0</v>
      </c>
      <c r="X783" s="96" t="str">
        <f>IF(H783="","",IFERROR(IF(ISNUMBER(INDEX(cfg_fac,MATCH(H783,cfg_units,0))),IF(INDEX(cfg_fac,MATCH(H783,cfg_units,0))&gt;0,INDEX(cfg_fac,MATCH(H783,cfg_units,0)),""),""),""))</f>
        <v/>
      </c>
      <c r="Y783" s="96">
        <f>IF(AND(W783=1,ISNUMBER(I783)),1,0)</f>
        <v>0</v>
      </c>
      <c r="Z783" s="96">
        <f>IF(U783=1,INDEX('MTRs'!$AA$6:$AA$505,T783),0)</f>
        <v>0</v>
      </c>
      <c r="AA783" s="96">
        <f>IF(R783=0,0,COUNTIFS('RECEBIMENTOS'!$R$6:$R$1005,A783,'RECEBIMENTOS'!$Q$6:$Q$1005,1))</f>
        <v>0</v>
      </c>
      <c r="AB783" s="96">
        <f>IF(R783=0,0,COUNTIFS('RECEBIMENTOS'!$R$6:$R$1005,A783,'RECEBIMENTOS'!$Z$6:$Z$1005,1))</f>
        <v>0</v>
      </c>
      <c r="AC783" s="96">
        <f>IF(R783=0,0,COUNTIFS('RECEBIMENTOS'!$R$6:$R$1005,A783,'RECEBIMENTOS'!$Y$6:$Y$1005,1))</f>
        <v>0</v>
      </c>
      <c r="AD783" s="96">
        <f>IF(R783=0,0,COUNTIFS('VÍNCULOS_CDF'!$R$6:$R$1005,A783,'VÍNCULOS_CDF'!$N$6:$N$1005,1))</f>
        <v>0</v>
      </c>
      <c r="AE783" s="96">
        <f>IF(R783=0,0,COUNTIFS('VÍNCULOS_CDF'!$R$6:$R$1005,A783,'VÍNCULOS_CDF'!$AA$6:$AA$1005,1))</f>
        <v>0</v>
      </c>
      <c r="AF783" s="96">
        <f>IF(R783=0,0,COUNTIFS('VÍNCULOS_CDF'!$R$6:$R$1005,A783,'VÍNCULOS_CDF'!$Y$6:$Y$1005,1))</f>
        <v>0</v>
      </c>
      <c r="AG783" s="96" t="str">
        <f>IF(AND(R783=1,S783&lt;&gt;"",C783&lt;&gt;""),S783&amp;"|"&amp;C783&amp;"|"&amp;G783&amp;"|"&amp;H783,"")</f>
        <v/>
      </c>
      <c r="AH783" s="96">
        <f>IF(AG783="",0,IF(SUMPRODUCT(--($AG$6:$AG$1005=AG783))&gt;1,1,0))</f>
        <v>0</v>
      </c>
      <c r="AI783" s="96">
        <f>IF(R783=0,0,IF(OR(U783=0,V783=0,Y783=0,AND(AH783=1,K783&lt;&gt;"Sim")),1,0))</f>
        <v>0</v>
      </c>
      <c r="AJ783" s="96">
        <f>IF(AND(R783=1,AA783&gt;0,AB783=AA783),1,0)</f>
        <v>0</v>
      </c>
      <c r="AK783" s="96">
        <f>IF(R783=0,0,IF(AA783&gt;0,N(L783),IF(ISNUMBER(I783),I783,0)))</f>
        <v>0</v>
      </c>
      <c r="AL783" s="96">
        <f>IF(R783=0,0,IF(AND(K783&lt;&gt;"Sim",N(M783)&gt;AK783+cfg_tol),1,0))</f>
        <v>0</v>
      </c>
      <c r="AM783" s="96">
        <f>IF(R783=0,0,IF(K783="Sim",0,IF(OR(AND(AA783&gt;0,ISNUMBER(I783),ABS(I783-N(L783))&gt;cfg_tol),AL783=1),1,0)))</f>
        <v>0</v>
      </c>
      <c r="AN783" s="96">
        <f>IF(AND(R783=1,N(M783)&gt;0,OR(N(M783)&gt;=AK783-cfg_tol,K783="Sim")),1,0)</f>
        <v>0</v>
      </c>
      <c r="AO783" s="96">
        <f>IF(AND(AN783=1,AD783&gt;0,AE783=AD783,AL783=0),1,0)</f>
        <v>0</v>
      </c>
      <c r="AP783" s="96">
        <f>IF(U783=0,0,IF(AND(INDEX('MTRs'!$AX$6:$AX$505,T783)=1,Z783=0,OR(f_res="",f_res="(Todos)",C783=f_res)),1,0))</f>
        <v>0</v>
      </c>
      <c r="AQ783" s="97" t="str">
        <f>IF(U783=0,"",INDEX('MTRs'!$AZ$6:$AZ$505,T783))</f>
        <v/>
      </c>
      <c r="AR783" s="96">
        <f>IF(U783=0,0,IF(AND(INDEX('MTRs'!$BA$6:$BA$505,T783)=1,Z783=0),1,0))</f>
        <v>0</v>
      </c>
      <c r="AS783" s="96" t="str">
        <f>IF(R783=1,A783&amp;" | MTR "&amp;IF(U783=1,INDEX('MTRs'!$B$6:$B$505,T783)&amp;"","?")&amp;" | "&amp;IF(C783="","(sem resíduo)",C783),"")</f>
        <v/>
      </c>
      <c r="AT783" s="96" t="str">
        <f>IF(R783=1,COUNTIF($R$6:R783,1),"")</f>
        <v/>
      </c>
      <c r="AU783" s="96" t="str">
        <f>IF(U783=1,INDEX('MTRs'!$I$6:$I$505,T783)&amp;"","")</f>
        <v/>
      </c>
    </row>
    <row r="784">
      <c r="A784" s="89" t="inlineStr">
        <is>
          <t>IT-000779</t>
        </is>
      </c>
      <c r="B784" s="91" t="n"/>
      <c r="C784" s="91" t="n"/>
      <c r="D784" s="94" t="str">
        <f>IF(OR(R784=0,V784=0),"",INDEX('CAD_RESÍDUOS'!$E$6:$E$205,MATCH(C784,'CAD_RESÍDUOS'!$B$6:$B$205,0))&amp;"")</f>
        <v/>
      </c>
      <c r="E784" s="94" t="str">
        <f>IF(OR(R784=0,V784=0),"",INDEX('CAD_RESÍDUOS'!$C$6:$C$205,MATCH(C784,'CAD_RESÍDUOS'!$B$6:$B$205,0))&amp;"")</f>
        <v/>
      </c>
      <c r="F784" s="94" t="str">
        <f>IF(OR(R784=0,V784=0),"",INDEX('CAD_RESÍDUOS'!$G$6:$G$205,MATCH(C784,'CAD_RESÍDUOS'!$B$6:$B$205,0))&amp;"")</f>
        <v/>
      </c>
      <c r="G784" s="98" t="n"/>
      <c r="H784" s="91" t="n"/>
      <c r="I784" s="93" t="str">
        <f>IF(R784=0,"",IF(NOT(ISNUMBER(G784)),"",IF(ISNUMBER(X784),G784*X784,"UNIDADE A CONFERIR")))</f>
        <v/>
      </c>
      <c r="J784" s="91" t="n"/>
      <c r="K784" s="91" t="n"/>
      <c r="L784" s="93" t="str">
        <f>IF(R784=0,"",SUMIFS('RECEBIMENTOS'!$H$6:$H$1005,'RECEBIMENTOS'!$R$6:$R$1005,A784,'RECEBIMENTOS'!$X$6:$X$1005,1))</f>
        <v/>
      </c>
      <c r="M784" s="93" t="str">
        <f>IF(R784=0,"",SUMIFS('VÍNCULOS_CDF'!$H$6:$H$1005,'VÍNCULOS_CDF'!$R$6:$R$1005,A784,'VÍNCULOS_CDF'!$V$6:$V$1005,1))</f>
        <v/>
      </c>
      <c r="N784" s="99" t="str">
        <f>IF(OR(R784=0,AA784=0,NOT(ISNUMBER(I784))),"",I784-N(L784))</f>
        <v/>
      </c>
      <c r="O784" s="100" t="str">
        <f>IF(OR(R784=0,AK784&lt;=0),"",N(M784)/AK784)</f>
        <v/>
      </c>
      <c r="P784" s="94" t="str">
        <f>IF(R784=0,"",IF(S784="","Sem MTR associado",IF(U784=0,"MTR inexistente",IF(C784="","Resíduo não identificado",IF(V784=0,"Resíduo fora do cadastro",IF(W784=0,"Quantidade inválida",IF(H784="","Unidade não informada",IF(NOT(ISNUMBER(I784)),"Unidade a conferir",IF(AND(AH784=1,K784&lt;&gt;"Sim"),"Possível duplicidade",IF(Z784=1,"MTR cancelado",IF(AC784&gt;0,"Recebimento com alerta",IF(AA784=0,"Aguardando recebimento",IF(AB784&lt;AA784,"Recebimento a conferir",IF(AM784=1,"Quantidade a revisar",IF(AF784&gt;0,"Vínculo a revisar",IF(AD784=0,"Aguardando CDF",IF(AN784=0,"Vínculo de CDF parcial",IF(AE784&lt;AD784,"CDF a conferir","Documentação conferida"))))))))))))))))))</f>
        <v/>
      </c>
      <c r="Q784" s="93" t="str">
        <f>IF(OR(R784=0,AA784=0),"",MAX(0,N(L784)-N(M784)))</f>
        <v/>
      </c>
      <c r="R784" s="96">
        <f>IF(COUNTA(B784:C784,G784:H784,J784:K784)&gt;0,1,0)</f>
        <v>0</v>
      </c>
      <c r="S784" s="96" t="str">
        <f>IF(B784="","",TRIM(LEFT(B784,FIND(" |",B784&amp;" |")-1)))</f>
        <v/>
      </c>
      <c r="T784" s="96" t="str">
        <f>IF(S784="","",IFERROR(MATCH(S784,'MTRs'!$A$6:$A$505,0),""))</f>
        <v/>
      </c>
      <c r="U784" s="96">
        <f>IF(T784="",0,IF(INDEX('MTRs'!$Z$6:$Z$505,T784)=1,1,0))</f>
        <v>0</v>
      </c>
      <c r="V784" s="96">
        <f>IF(C784="",0,IF(ISNUMBER(MATCH(C784,'CAD_RESÍDUOS'!$B$6:$B$205,0)),1,0))</f>
        <v>0</v>
      </c>
      <c r="W784" s="96">
        <f>IF(AND(ISNUMBER(G784),G784&gt;0),1,0)</f>
        <v>0</v>
      </c>
      <c r="X784" s="96" t="str">
        <f>IF(H784="","",IFERROR(IF(ISNUMBER(INDEX(cfg_fac,MATCH(H784,cfg_units,0))),IF(INDEX(cfg_fac,MATCH(H784,cfg_units,0))&gt;0,INDEX(cfg_fac,MATCH(H784,cfg_units,0)),""),""),""))</f>
        <v/>
      </c>
      <c r="Y784" s="96">
        <f>IF(AND(W784=1,ISNUMBER(I784)),1,0)</f>
        <v>0</v>
      </c>
      <c r="Z784" s="96">
        <f>IF(U784=1,INDEX('MTRs'!$AA$6:$AA$505,T784),0)</f>
        <v>0</v>
      </c>
      <c r="AA784" s="96">
        <f>IF(R784=0,0,COUNTIFS('RECEBIMENTOS'!$R$6:$R$1005,A784,'RECEBIMENTOS'!$Q$6:$Q$1005,1))</f>
        <v>0</v>
      </c>
      <c r="AB784" s="96">
        <f>IF(R784=0,0,COUNTIFS('RECEBIMENTOS'!$R$6:$R$1005,A784,'RECEBIMENTOS'!$Z$6:$Z$1005,1))</f>
        <v>0</v>
      </c>
      <c r="AC784" s="96">
        <f>IF(R784=0,0,COUNTIFS('RECEBIMENTOS'!$R$6:$R$1005,A784,'RECEBIMENTOS'!$Y$6:$Y$1005,1))</f>
        <v>0</v>
      </c>
      <c r="AD784" s="96">
        <f>IF(R784=0,0,COUNTIFS('VÍNCULOS_CDF'!$R$6:$R$1005,A784,'VÍNCULOS_CDF'!$N$6:$N$1005,1))</f>
        <v>0</v>
      </c>
      <c r="AE784" s="96">
        <f>IF(R784=0,0,COUNTIFS('VÍNCULOS_CDF'!$R$6:$R$1005,A784,'VÍNCULOS_CDF'!$AA$6:$AA$1005,1))</f>
        <v>0</v>
      </c>
      <c r="AF784" s="96">
        <f>IF(R784=0,0,COUNTIFS('VÍNCULOS_CDF'!$R$6:$R$1005,A784,'VÍNCULOS_CDF'!$Y$6:$Y$1005,1))</f>
        <v>0</v>
      </c>
      <c r="AG784" s="96" t="str">
        <f>IF(AND(R784=1,S784&lt;&gt;"",C784&lt;&gt;""),S784&amp;"|"&amp;C784&amp;"|"&amp;G784&amp;"|"&amp;H784,"")</f>
        <v/>
      </c>
      <c r="AH784" s="96">
        <f>IF(AG784="",0,IF(SUMPRODUCT(--($AG$6:$AG$1005=AG784))&gt;1,1,0))</f>
        <v>0</v>
      </c>
      <c r="AI784" s="96">
        <f>IF(R784=0,0,IF(OR(U784=0,V784=0,Y784=0,AND(AH784=1,K784&lt;&gt;"Sim")),1,0))</f>
        <v>0</v>
      </c>
      <c r="AJ784" s="96">
        <f>IF(AND(R784=1,AA784&gt;0,AB784=AA784),1,0)</f>
        <v>0</v>
      </c>
      <c r="AK784" s="96">
        <f>IF(R784=0,0,IF(AA784&gt;0,N(L784),IF(ISNUMBER(I784),I784,0)))</f>
        <v>0</v>
      </c>
      <c r="AL784" s="96">
        <f>IF(R784=0,0,IF(AND(K784&lt;&gt;"Sim",N(M784)&gt;AK784+cfg_tol),1,0))</f>
        <v>0</v>
      </c>
      <c r="AM784" s="96">
        <f>IF(R784=0,0,IF(K784="Sim",0,IF(OR(AND(AA784&gt;0,ISNUMBER(I784),ABS(I784-N(L784))&gt;cfg_tol),AL784=1),1,0)))</f>
        <v>0</v>
      </c>
      <c r="AN784" s="96">
        <f>IF(AND(R784=1,N(M784)&gt;0,OR(N(M784)&gt;=AK784-cfg_tol,K784="Sim")),1,0)</f>
        <v>0</v>
      </c>
      <c r="AO784" s="96">
        <f>IF(AND(AN784=1,AD784&gt;0,AE784=AD784,AL784=0),1,0)</f>
        <v>0</v>
      </c>
      <c r="AP784" s="96">
        <f>IF(U784=0,0,IF(AND(INDEX('MTRs'!$AX$6:$AX$505,T784)=1,Z784=0,OR(f_res="",f_res="(Todos)",C784=f_res)),1,0))</f>
        <v>0</v>
      </c>
      <c r="AQ784" s="97" t="str">
        <f>IF(U784=0,"",INDEX('MTRs'!$AZ$6:$AZ$505,T784))</f>
        <v/>
      </c>
      <c r="AR784" s="96">
        <f>IF(U784=0,0,IF(AND(INDEX('MTRs'!$BA$6:$BA$505,T784)=1,Z784=0),1,0))</f>
        <v>0</v>
      </c>
      <c r="AS784" s="96" t="str">
        <f>IF(R784=1,A784&amp;" | MTR "&amp;IF(U784=1,INDEX('MTRs'!$B$6:$B$505,T784)&amp;"","?")&amp;" | "&amp;IF(C784="","(sem resíduo)",C784),"")</f>
        <v/>
      </c>
      <c r="AT784" s="96" t="str">
        <f>IF(R784=1,COUNTIF($R$6:R784,1),"")</f>
        <v/>
      </c>
      <c r="AU784" s="96" t="str">
        <f>IF(U784=1,INDEX('MTRs'!$I$6:$I$505,T784)&amp;"","")</f>
        <v/>
      </c>
    </row>
    <row r="785">
      <c r="A785" s="89" t="inlineStr">
        <is>
          <t>IT-000780</t>
        </is>
      </c>
      <c r="B785" s="91" t="n"/>
      <c r="C785" s="91" t="n"/>
      <c r="D785" s="94" t="str">
        <f>IF(OR(R785=0,V785=0),"",INDEX('CAD_RESÍDUOS'!$E$6:$E$205,MATCH(C785,'CAD_RESÍDUOS'!$B$6:$B$205,0))&amp;"")</f>
        <v/>
      </c>
      <c r="E785" s="94" t="str">
        <f>IF(OR(R785=0,V785=0),"",INDEX('CAD_RESÍDUOS'!$C$6:$C$205,MATCH(C785,'CAD_RESÍDUOS'!$B$6:$B$205,0))&amp;"")</f>
        <v/>
      </c>
      <c r="F785" s="94" t="str">
        <f>IF(OR(R785=0,V785=0),"",INDEX('CAD_RESÍDUOS'!$G$6:$G$205,MATCH(C785,'CAD_RESÍDUOS'!$B$6:$B$205,0))&amp;"")</f>
        <v/>
      </c>
      <c r="G785" s="98" t="n"/>
      <c r="H785" s="91" t="n"/>
      <c r="I785" s="93" t="str">
        <f>IF(R785=0,"",IF(NOT(ISNUMBER(G785)),"",IF(ISNUMBER(X785),G785*X785,"UNIDADE A CONFERIR")))</f>
        <v/>
      </c>
      <c r="J785" s="91" t="n"/>
      <c r="K785" s="91" t="n"/>
      <c r="L785" s="93" t="str">
        <f>IF(R785=0,"",SUMIFS('RECEBIMENTOS'!$H$6:$H$1005,'RECEBIMENTOS'!$R$6:$R$1005,A785,'RECEBIMENTOS'!$X$6:$X$1005,1))</f>
        <v/>
      </c>
      <c r="M785" s="93" t="str">
        <f>IF(R785=0,"",SUMIFS('VÍNCULOS_CDF'!$H$6:$H$1005,'VÍNCULOS_CDF'!$R$6:$R$1005,A785,'VÍNCULOS_CDF'!$V$6:$V$1005,1))</f>
        <v/>
      </c>
      <c r="N785" s="99" t="str">
        <f>IF(OR(R785=0,AA785=0,NOT(ISNUMBER(I785))),"",I785-N(L785))</f>
        <v/>
      </c>
      <c r="O785" s="100" t="str">
        <f>IF(OR(R785=0,AK785&lt;=0),"",N(M785)/AK785)</f>
        <v/>
      </c>
      <c r="P785" s="94" t="str">
        <f>IF(R785=0,"",IF(S785="","Sem MTR associado",IF(U785=0,"MTR inexistente",IF(C785="","Resíduo não identificado",IF(V785=0,"Resíduo fora do cadastro",IF(W785=0,"Quantidade inválida",IF(H785="","Unidade não informada",IF(NOT(ISNUMBER(I785)),"Unidade a conferir",IF(AND(AH785=1,K785&lt;&gt;"Sim"),"Possível duplicidade",IF(Z785=1,"MTR cancelado",IF(AC785&gt;0,"Recebimento com alerta",IF(AA785=0,"Aguardando recebimento",IF(AB785&lt;AA785,"Recebimento a conferir",IF(AM785=1,"Quantidade a revisar",IF(AF785&gt;0,"Vínculo a revisar",IF(AD785=0,"Aguardando CDF",IF(AN785=0,"Vínculo de CDF parcial",IF(AE785&lt;AD785,"CDF a conferir","Documentação conferida"))))))))))))))))))</f>
        <v/>
      </c>
      <c r="Q785" s="93" t="str">
        <f>IF(OR(R785=0,AA785=0),"",MAX(0,N(L785)-N(M785)))</f>
        <v/>
      </c>
      <c r="R785" s="96">
        <f>IF(COUNTA(B785:C785,G785:H785,J785:K785)&gt;0,1,0)</f>
        <v>0</v>
      </c>
      <c r="S785" s="96" t="str">
        <f>IF(B785="","",TRIM(LEFT(B785,FIND(" |",B785&amp;" |")-1)))</f>
        <v/>
      </c>
      <c r="T785" s="96" t="str">
        <f>IF(S785="","",IFERROR(MATCH(S785,'MTRs'!$A$6:$A$505,0),""))</f>
        <v/>
      </c>
      <c r="U785" s="96">
        <f>IF(T785="",0,IF(INDEX('MTRs'!$Z$6:$Z$505,T785)=1,1,0))</f>
        <v>0</v>
      </c>
      <c r="V785" s="96">
        <f>IF(C785="",0,IF(ISNUMBER(MATCH(C785,'CAD_RESÍDUOS'!$B$6:$B$205,0)),1,0))</f>
        <v>0</v>
      </c>
      <c r="W785" s="96">
        <f>IF(AND(ISNUMBER(G785),G785&gt;0),1,0)</f>
        <v>0</v>
      </c>
      <c r="X785" s="96" t="str">
        <f>IF(H785="","",IFERROR(IF(ISNUMBER(INDEX(cfg_fac,MATCH(H785,cfg_units,0))),IF(INDEX(cfg_fac,MATCH(H785,cfg_units,0))&gt;0,INDEX(cfg_fac,MATCH(H785,cfg_units,0)),""),""),""))</f>
        <v/>
      </c>
      <c r="Y785" s="96">
        <f>IF(AND(W785=1,ISNUMBER(I785)),1,0)</f>
        <v>0</v>
      </c>
      <c r="Z785" s="96">
        <f>IF(U785=1,INDEX('MTRs'!$AA$6:$AA$505,T785),0)</f>
        <v>0</v>
      </c>
      <c r="AA785" s="96">
        <f>IF(R785=0,0,COUNTIFS('RECEBIMENTOS'!$R$6:$R$1005,A785,'RECEBIMENTOS'!$Q$6:$Q$1005,1))</f>
        <v>0</v>
      </c>
      <c r="AB785" s="96">
        <f>IF(R785=0,0,COUNTIFS('RECEBIMENTOS'!$R$6:$R$1005,A785,'RECEBIMENTOS'!$Z$6:$Z$1005,1))</f>
        <v>0</v>
      </c>
      <c r="AC785" s="96">
        <f>IF(R785=0,0,COUNTIFS('RECEBIMENTOS'!$R$6:$R$1005,A785,'RECEBIMENTOS'!$Y$6:$Y$1005,1))</f>
        <v>0</v>
      </c>
      <c r="AD785" s="96">
        <f>IF(R785=0,0,COUNTIFS('VÍNCULOS_CDF'!$R$6:$R$1005,A785,'VÍNCULOS_CDF'!$N$6:$N$1005,1))</f>
        <v>0</v>
      </c>
      <c r="AE785" s="96">
        <f>IF(R785=0,0,COUNTIFS('VÍNCULOS_CDF'!$R$6:$R$1005,A785,'VÍNCULOS_CDF'!$AA$6:$AA$1005,1))</f>
        <v>0</v>
      </c>
      <c r="AF785" s="96">
        <f>IF(R785=0,0,COUNTIFS('VÍNCULOS_CDF'!$R$6:$R$1005,A785,'VÍNCULOS_CDF'!$Y$6:$Y$1005,1))</f>
        <v>0</v>
      </c>
      <c r="AG785" s="96" t="str">
        <f>IF(AND(R785=1,S785&lt;&gt;"",C785&lt;&gt;""),S785&amp;"|"&amp;C785&amp;"|"&amp;G785&amp;"|"&amp;H785,"")</f>
        <v/>
      </c>
      <c r="AH785" s="96">
        <f>IF(AG785="",0,IF(SUMPRODUCT(--($AG$6:$AG$1005=AG785))&gt;1,1,0))</f>
        <v>0</v>
      </c>
      <c r="AI785" s="96">
        <f>IF(R785=0,0,IF(OR(U785=0,V785=0,Y785=0,AND(AH785=1,K785&lt;&gt;"Sim")),1,0))</f>
        <v>0</v>
      </c>
      <c r="AJ785" s="96">
        <f>IF(AND(R785=1,AA785&gt;0,AB785=AA785),1,0)</f>
        <v>0</v>
      </c>
      <c r="AK785" s="96">
        <f>IF(R785=0,0,IF(AA785&gt;0,N(L785),IF(ISNUMBER(I785),I785,0)))</f>
        <v>0</v>
      </c>
      <c r="AL785" s="96">
        <f>IF(R785=0,0,IF(AND(K785&lt;&gt;"Sim",N(M785)&gt;AK785+cfg_tol),1,0))</f>
        <v>0</v>
      </c>
      <c r="AM785" s="96">
        <f>IF(R785=0,0,IF(K785="Sim",0,IF(OR(AND(AA785&gt;0,ISNUMBER(I785),ABS(I785-N(L785))&gt;cfg_tol),AL785=1),1,0)))</f>
        <v>0</v>
      </c>
      <c r="AN785" s="96">
        <f>IF(AND(R785=1,N(M785)&gt;0,OR(N(M785)&gt;=AK785-cfg_tol,K785="Sim")),1,0)</f>
        <v>0</v>
      </c>
      <c r="AO785" s="96">
        <f>IF(AND(AN785=1,AD785&gt;0,AE785=AD785,AL785=0),1,0)</f>
        <v>0</v>
      </c>
      <c r="AP785" s="96">
        <f>IF(U785=0,0,IF(AND(INDEX('MTRs'!$AX$6:$AX$505,T785)=1,Z785=0,OR(f_res="",f_res="(Todos)",C785=f_res)),1,0))</f>
        <v>0</v>
      </c>
      <c r="AQ785" s="97" t="str">
        <f>IF(U785=0,"",INDEX('MTRs'!$AZ$6:$AZ$505,T785))</f>
        <v/>
      </c>
      <c r="AR785" s="96">
        <f>IF(U785=0,0,IF(AND(INDEX('MTRs'!$BA$6:$BA$505,T785)=1,Z785=0),1,0))</f>
        <v>0</v>
      </c>
      <c r="AS785" s="96" t="str">
        <f>IF(R785=1,A785&amp;" | MTR "&amp;IF(U785=1,INDEX('MTRs'!$B$6:$B$505,T785)&amp;"","?")&amp;" | "&amp;IF(C785="","(sem resíduo)",C785),"")</f>
        <v/>
      </c>
      <c r="AT785" s="96" t="str">
        <f>IF(R785=1,COUNTIF($R$6:R785,1),"")</f>
        <v/>
      </c>
      <c r="AU785" s="96" t="str">
        <f>IF(U785=1,INDEX('MTRs'!$I$6:$I$505,T785)&amp;"","")</f>
        <v/>
      </c>
    </row>
    <row r="786">
      <c r="A786" s="89" t="inlineStr">
        <is>
          <t>IT-000781</t>
        </is>
      </c>
      <c r="B786" s="91" t="n"/>
      <c r="C786" s="91" t="n"/>
      <c r="D786" s="94" t="str">
        <f>IF(OR(R786=0,V786=0),"",INDEX('CAD_RESÍDUOS'!$E$6:$E$205,MATCH(C786,'CAD_RESÍDUOS'!$B$6:$B$205,0))&amp;"")</f>
        <v/>
      </c>
      <c r="E786" s="94" t="str">
        <f>IF(OR(R786=0,V786=0),"",INDEX('CAD_RESÍDUOS'!$C$6:$C$205,MATCH(C786,'CAD_RESÍDUOS'!$B$6:$B$205,0))&amp;"")</f>
        <v/>
      </c>
      <c r="F786" s="94" t="str">
        <f>IF(OR(R786=0,V786=0),"",INDEX('CAD_RESÍDUOS'!$G$6:$G$205,MATCH(C786,'CAD_RESÍDUOS'!$B$6:$B$205,0))&amp;"")</f>
        <v/>
      </c>
      <c r="G786" s="98" t="n"/>
      <c r="H786" s="91" t="n"/>
      <c r="I786" s="93" t="str">
        <f>IF(R786=0,"",IF(NOT(ISNUMBER(G786)),"",IF(ISNUMBER(X786),G786*X786,"UNIDADE A CONFERIR")))</f>
        <v/>
      </c>
      <c r="J786" s="91" t="n"/>
      <c r="K786" s="91" t="n"/>
      <c r="L786" s="93" t="str">
        <f>IF(R786=0,"",SUMIFS('RECEBIMENTOS'!$H$6:$H$1005,'RECEBIMENTOS'!$R$6:$R$1005,A786,'RECEBIMENTOS'!$X$6:$X$1005,1))</f>
        <v/>
      </c>
      <c r="M786" s="93" t="str">
        <f>IF(R786=0,"",SUMIFS('VÍNCULOS_CDF'!$H$6:$H$1005,'VÍNCULOS_CDF'!$R$6:$R$1005,A786,'VÍNCULOS_CDF'!$V$6:$V$1005,1))</f>
        <v/>
      </c>
      <c r="N786" s="99" t="str">
        <f>IF(OR(R786=0,AA786=0,NOT(ISNUMBER(I786))),"",I786-N(L786))</f>
        <v/>
      </c>
      <c r="O786" s="100" t="str">
        <f>IF(OR(R786=0,AK786&lt;=0),"",N(M786)/AK786)</f>
        <v/>
      </c>
      <c r="P786" s="94" t="str">
        <f>IF(R786=0,"",IF(S786="","Sem MTR associado",IF(U786=0,"MTR inexistente",IF(C786="","Resíduo não identificado",IF(V786=0,"Resíduo fora do cadastro",IF(W786=0,"Quantidade inválida",IF(H786="","Unidade não informada",IF(NOT(ISNUMBER(I786)),"Unidade a conferir",IF(AND(AH786=1,K786&lt;&gt;"Sim"),"Possível duplicidade",IF(Z786=1,"MTR cancelado",IF(AC786&gt;0,"Recebimento com alerta",IF(AA786=0,"Aguardando recebimento",IF(AB786&lt;AA786,"Recebimento a conferir",IF(AM786=1,"Quantidade a revisar",IF(AF786&gt;0,"Vínculo a revisar",IF(AD786=0,"Aguardando CDF",IF(AN786=0,"Vínculo de CDF parcial",IF(AE786&lt;AD786,"CDF a conferir","Documentação conferida"))))))))))))))))))</f>
        <v/>
      </c>
      <c r="Q786" s="93" t="str">
        <f>IF(OR(R786=0,AA786=0),"",MAX(0,N(L786)-N(M786)))</f>
        <v/>
      </c>
      <c r="R786" s="96">
        <f>IF(COUNTA(B786:C786,G786:H786,J786:K786)&gt;0,1,0)</f>
        <v>0</v>
      </c>
      <c r="S786" s="96" t="str">
        <f>IF(B786="","",TRIM(LEFT(B786,FIND(" |",B786&amp;" |")-1)))</f>
        <v/>
      </c>
      <c r="T786" s="96" t="str">
        <f>IF(S786="","",IFERROR(MATCH(S786,'MTRs'!$A$6:$A$505,0),""))</f>
        <v/>
      </c>
      <c r="U786" s="96">
        <f>IF(T786="",0,IF(INDEX('MTRs'!$Z$6:$Z$505,T786)=1,1,0))</f>
        <v>0</v>
      </c>
      <c r="V786" s="96">
        <f>IF(C786="",0,IF(ISNUMBER(MATCH(C786,'CAD_RESÍDUOS'!$B$6:$B$205,0)),1,0))</f>
        <v>0</v>
      </c>
      <c r="W786" s="96">
        <f>IF(AND(ISNUMBER(G786),G786&gt;0),1,0)</f>
        <v>0</v>
      </c>
      <c r="X786" s="96" t="str">
        <f>IF(H786="","",IFERROR(IF(ISNUMBER(INDEX(cfg_fac,MATCH(H786,cfg_units,0))),IF(INDEX(cfg_fac,MATCH(H786,cfg_units,0))&gt;0,INDEX(cfg_fac,MATCH(H786,cfg_units,0)),""),""),""))</f>
        <v/>
      </c>
      <c r="Y786" s="96">
        <f>IF(AND(W786=1,ISNUMBER(I786)),1,0)</f>
        <v>0</v>
      </c>
      <c r="Z786" s="96">
        <f>IF(U786=1,INDEX('MTRs'!$AA$6:$AA$505,T786),0)</f>
        <v>0</v>
      </c>
      <c r="AA786" s="96">
        <f>IF(R786=0,0,COUNTIFS('RECEBIMENTOS'!$R$6:$R$1005,A786,'RECEBIMENTOS'!$Q$6:$Q$1005,1))</f>
        <v>0</v>
      </c>
      <c r="AB786" s="96">
        <f>IF(R786=0,0,COUNTIFS('RECEBIMENTOS'!$R$6:$R$1005,A786,'RECEBIMENTOS'!$Z$6:$Z$1005,1))</f>
        <v>0</v>
      </c>
      <c r="AC786" s="96">
        <f>IF(R786=0,0,COUNTIFS('RECEBIMENTOS'!$R$6:$R$1005,A786,'RECEBIMENTOS'!$Y$6:$Y$1005,1))</f>
        <v>0</v>
      </c>
      <c r="AD786" s="96">
        <f>IF(R786=0,0,COUNTIFS('VÍNCULOS_CDF'!$R$6:$R$1005,A786,'VÍNCULOS_CDF'!$N$6:$N$1005,1))</f>
        <v>0</v>
      </c>
      <c r="AE786" s="96">
        <f>IF(R786=0,0,COUNTIFS('VÍNCULOS_CDF'!$R$6:$R$1005,A786,'VÍNCULOS_CDF'!$AA$6:$AA$1005,1))</f>
        <v>0</v>
      </c>
      <c r="AF786" s="96">
        <f>IF(R786=0,0,COUNTIFS('VÍNCULOS_CDF'!$R$6:$R$1005,A786,'VÍNCULOS_CDF'!$Y$6:$Y$1005,1))</f>
        <v>0</v>
      </c>
      <c r="AG786" s="96" t="str">
        <f>IF(AND(R786=1,S786&lt;&gt;"",C786&lt;&gt;""),S786&amp;"|"&amp;C786&amp;"|"&amp;G786&amp;"|"&amp;H786,"")</f>
        <v/>
      </c>
      <c r="AH786" s="96">
        <f>IF(AG786="",0,IF(SUMPRODUCT(--($AG$6:$AG$1005=AG786))&gt;1,1,0))</f>
        <v>0</v>
      </c>
      <c r="AI786" s="96">
        <f>IF(R786=0,0,IF(OR(U786=0,V786=0,Y786=0,AND(AH786=1,K786&lt;&gt;"Sim")),1,0))</f>
        <v>0</v>
      </c>
      <c r="AJ786" s="96">
        <f>IF(AND(R786=1,AA786&gt;0,AB786=AA786),1,0)</f>
        <v>0</v>
      </c>
      <c r="AK786" s="96">
        <f>IF(R786=0,0,IF(AA786&gt;0,N(L786),IF(ISNUMBER(I786),I786,0)))</f>
        <v>0</v>
      </c>
      <c r="AL786" s="96">
        <f>IF(R786=0,0,IF(AND(K786&lt;&gt;"Sim",N(M786)&gt;AK786+cfg_tol),1,0))</f>
        <v>0</v>
      </c>
      <c r="AM786" s="96">
        <f>IF(R786=0,0,IF(K786="Sim",0,IF(OR(AND(AA786&gt;0,ISNUMBER(I786),ABS(I786-N(L786))&gt;cfg_tol),AL786=1),1,0)))</f>
        <v>0</v>
      </c>
      <c r="AN786" s="96">
        <f>IF(AND(R786=1,N(M786)&gt;0,OR(N(M786)&gt;=AK786-cfg_tol,K786="Sim")),1,0)</f>
        <v>0</v>
      </c>
      <c r="AO786" s="96">
        <f>IF(AND(AN786=1,AD786&gt;0,AE786=AD786,AL786=0),1,0)</f>
        <v>0</v>
      </c>
      <c r="AP786" s="96">
        <f>IF(U786=0,0,IF(AND(INDEX('MTRs'!$AX$6:$AX$505,T786)=1,Z786=0,OR(f_res="",f_res="(Todos)",C786=f_res)),1,0))</f>
        <v>0</v>
      </c>
      <c r="AQ786" s="97" t="str">
        <f>IF(U786=0,"",INDEX('MTRs'!$AZ$6:$AZ$505,T786))</f>
        <v/>
      </c>
      <c r="AR786" s="96">
        <f>IF(U786=0,0,IF(AND(INDEX('MTRs'!$BA$6:$BA$505,T786)=1,Z786=0),1,0))</f>
        <v>0</v>
      </c>
      <c r="AS786" s="96" t="str">
        <f>IF(R786=1,A786&amp;" | MTR "&amp;IF(U786=1,INDEX('MTRs'!$B$6:$B$505,T786)&amp;"","?")&amp;" | "&amp;IF(C786="","(sem resíduo)",C786),"")</f>
        <v/>
      </c>
      <c r="AT786" s="96" t="str">
        <f>IF(R786=1,COUNTIF($R$6:R786,1),"")</f>
        <v/>
      </c>
      <c r="AU786" s="96" t="str">
        <f>IF(U786=1,INDEX('MTRs'!$I$6:$I$505,T786)&amp;"","")</f>
        <v/>
      </c>
    </row>
    <row r="787">
      <c r="A787" s="89" t="inlineStr">
        <is>
          <t>IT-000782</t>
        </is>
      </c>
      <c r="B787" s="91" t="n"/>
      <c r="C787" s="91" t="n"/>
      <c r="D787" s="94" t="str">
        <f>IF(OR(R787=0,V787=0),"",INDEX('CAD_RESÍDUOS'!$E$6:$E$205,MATCH(C787,'CAD_RESÍDUOS'!$B$6:$B$205,0))&amp;"")</f>
        <v/>
      </c>
      <c r="E787" s="94" t="str">
        <f>IF(OR(R787=0,V787=0),"",INDEX('CAD_RESÍDUOS'!$C$6:$C$205,MATCH(C787,'CAD_RESÍDUOS'!$B$6:$B$205,0))&amp;"")</f>
        <v/>
      </c>
      <c r="F787" s="94" t="str">
        <f>IF(OR(R787=0,V787=0),"",INDEX('CAD_RESÍDUOS'!$G$6:$G$205,MATCH(C787,'CAD_RESÍDUOS'!$B$6:$B$205,0))&amp;"")</f>
        <v/>
      </c>
      <c r="G787" s="98" t="n"/>
      <c r="H787" s="91" t="n"/>
      <c r="I787" s="93" t="str">
        <f>IF(R787=0,"",IF(NOT(ISNUMBER(G787)),"",IF(ISNUMBER(X787),G787*X787,"UNIDADE A CONFERIR")))</f>
        <v/>
      </c>
      <c r="J787" s="91" t="n"/>
      <c r="K787" s="91" t="n"/>
      <c r="L787" s="93" t="str">
        <f>IF(R787=0,"",SUMIFS('RECEBIMENTOS'!$H$6:$H$1005,'RECEBIMENTOS'!$R$6:$R$1005,A787,'RECEBIMENTOS'!$X$6:$X$1005,1))</f>
        <v/>
      </c>
      <c r="M787" s="93" t="str">
        <f>IF(R787=0,"",SUMIFS('VÍNCULOS_CDF'!$H$6:$H$1005,'VÍNCULOS_CDF'!$R$6:$R$1005,A787,'VÍNCULOS_CDF'!$V$6:$V$1005,1))</f>
        <v/>
      </c>
      <c r="N787" s="99" t="str">
        <f>IF(OR(R787=0,AA787=0,NOT(ISNUMBER(I787))),"",I787-N(L787))</f>
        <v/>
      </c>
      <c r="O787" s="100" t="str">
        <f>IF(OR(R787=0,AK787&lt;=0),"",N(M787)/AK787)</f>
        <v/>
      </c>
      <c r="P787" s="94" t="str">
        <f>IF(R787=0,"",IF(S787="","Sem MTR associado",IF(U787=0,"MTR inexistente",IF(C787="","Resíduo não identificado",IF(V787=0,"Resíduo fora do cadastro",IF(W787=0,"Quantidade inválida",IF(H787="","Unidade não informada",IF(NOT(ISNUMBER(I787)),"Unidade a conferir",IF(AND(AH787=1,K787&lt;&gt;"Sim"),"Possível duplicidade",IF(Z787=1,"MTR cancelado",IF(AC787&gt;0,"Recebimento com alerta",IF(AA787=0,"Aguardando recebimento",IF(AB787&lt;AA787,"Recebimento a conferir",IF(AM787=1,"Quantidade a revisar",IF(AF787&gt;0,"Vínculo a revisar",IF(AD787=0,"Aguardando CDF",IF(AN787=0,"Vínculo de CDF parcial",IF(AE787&lt;AD787,"CDF a conferir","Documentação conferida"))))))))))))))))))</f>
        <v/>
      </c>
      <c r="Q787" s="93" t="str">
        <f>IF(OR(R787=0,AA787=0),"",MAX(0,N(L787)-N(M787)))</f>
        <v/>
      </c>
      <c r="R787" s="96">
        <f>IF(COUNTA(B787:C787,G787:H787,J787:K787)&gt;0,1,0)</f>
        <v>0</v>
      </c>
      <c r="S787" s="96" t="str">
        <f>IF(B787="","",TRIM(LEFT(B787,FIND(" |",B787&amp;" |")-1)))</f>
        <v/>
      </c>
      <c r="T787" s="96" t="str">
        <f>IF(S787="","",IFERROR(MATCH(S787,'MTRs'!$A$6:$A$505,0),""))</f>
        <v/>
      </c>
      <c r="U787" s="96">
        <f>IF(T787="",0,IF(INDEX('MTRs'!$Z$6:$Z$505,T787)=1,1,0))</f>
        <v>0</v>
      </c>
      <c r="V787" s="96">
        <f>IF(C787="",0,IF(ISNUMBER(MATCH(C787,'CAD_RESÍDUOS'!$B$6:$B$205,0)),1,0))</f>
        <v>0</v>
      </c>
      <c r="W787" s="96">
        <f>IF(AND(ISNUMBER(G787),G787&gt;0),1,0)</f>
        <v>0</v>
      </c>
      <c r="X787" s="96" t="str">
        <f>IF(H787="","",IFERROR(IF(ISNUMBER(INDEX(cfg_fac,MATCH(H787,cfg_units,0))),IF(INDEX(cfg_fac,MATCH(H787,cfg_units,0))&gt;0,INDEX(cfg_fac,MATCH(H787,cfg_units,0)),""),""),""))</f>
        <v/>
      </c>
      <c r="Y787" s="96">
        <f>IF(AND(W787=1,ISNUMBER(I787)),1,0)</f>
        <v>0</v>
      </c>
      <c r="Z787" s="96">
        <f>IF(U787=1,INDEX('MTRs'!$AA$6:$AA$505,T787),0)</f>
        <v>0</v>
      </c>
      <c r="AA787" s="96">
        <f>IF(R787=0,0,COUNTIFS('RECEBIMENTOS'!$R$6:$R$1005,A787,'RECEBIMENTOS'!$Q$6:$Q$1005,1))</f>
        <v>0</v>
      </c>
      <c r="AB787" s="96">
        <f>IF(R787=0,0,COUNTIFS('RECEBIMENTOS'!$R$6:$R$1005,A787,'RECEBIMENTOS'!$Z$6:$Z$1005,1))</f>
        <v>0</v>
      </c>
      <c r="AC787" s="96">
        <f>IF(R787=0,0,COUNTIFS('RECEBIMENTOS'!$R$6:$R$1005,A787,'RECEBIMENTOS'!$Y$6:$Y$1005,1))</f>
        <v>0</v>
      </c>
      <c r="AD787" s="96">
        <f>IF(R787=0,0,COUNTIFS('VÍNCULOS_CDF'!$R$6:$R$1005,A787,'VÍNCULOS_CDF'!$N$6:$N$1005,1))</f>
        <v>0</v>
      </c>
      <c r="AE787" s="96">
        <f>IF(R787=0,0,COUNTIFS('VÍNCULOS_CDF'!$R$6:$R$1005,A787,'VÍNCULOS_CDF'!$AA$6:$AA$1005,1))</f>
        <v>0</v>
      </c>
      <c r="AF787" s="96">
        <f>IF(R787=0,0,COUNTIFS('VÍNCULOS_CDF'!$R$6:$R$1005,A787,'VÍNCULOS_CDF'!$Y$6:$Y$1005,1))</f>
        <v>0</v>
      </c>
      <c r="AG787" s="96" t="str">
        <f>IF(AND(R787=1,S787&lt;&gt;"",C787&lt;&gt;""),S787&amp;"|"&amp;C787&amp;"|"&amp;G787&amp;"|"&amp;H787,"")</f>
        <v/>
      </c>
      <c r="AH787" s="96">
        <f>IF(AG787="",0,IF(SUMPRODUCT(--($AG$6:$AG$1005=AG787))&gt;1,1,0))</f>
        <v>0</v>
      </c>
      <c r="AI787" s="96">
        <f>IF(R787=0,0,IF(OR(U787=0,V787=0,Y787=0,AND(AH787=1,K787&lt;&gt;"Sim")),1,0))</f>
        <v>0</v>
      </c>
      <c r="AJ787" s="96">
        <f>IF(AND(R787=1,AA787&gt;0,AB787=AA787),1,0)</f>
        <v>0</v>
      </c>
      <c r="AK787" s="96">
        <f>IF(R787=0,0,IF(AA787&gt;0,N(L787),IF(ISNUMBER(I787),I787,0)))</f>
        <v>0</v>
      </c>
      <c r="AL787" s="96">
        <f>IF(R787=0,0,IF(AND(K787&lt;&gt;"Sim",N(M787)&gt;AK787+cfg_tol),1,0))</f>
        <v>0</v>
      </c>
      <c r="AM787" s="96">
        <f>IF(R787=0,0,IF(K787="Sim",0,IF(OR(AND(AA787&gt;0,ISNUMBER(I787),ABS(I787-N(L787))&gt;cfg_tol),AL787=1),1,0)))</f>
        <v>0</v>
      </c>
      <c r="AN787" s="96">
        <f>IF(AND(R787=1,N(M787)&gt;0,OR(N(M787)&gt;=AK787-cfg_tol,K787="Sim")),1,0)</f>
        <v>0</v>
      </c>
      <c r="AO787" s="96">
        <f>IF(AND(AN787=1,AD787&gt;0,AE787=AD787,AL787=0),1,0)</f>
        <v>0</v>
      </c>
      <c r="AP787" s="96">
        <f>IF(U787=0,0,IF(AND(INDEX('MTRs'!$AX$6:$AX$505,T787)=1,Z787=0,OR(f_res="",f_res="(Todos)",C787=f_res)),1,0))</f>
        <v>0</v>
      </c>
      <c r="AQ787" s="97" t="str">
        <f>IF(U787=0,"",INDEX('MTRs'!$AZ$6:$AZ$505,T787))</f>
        <v/>
      </c>
      <c r="AR787" s="96">
        <f>IF(U787=0,0,IF(AND(INDEX('MTRs'!$BA$6:$BA$505,T787)=1,Z787=0),1,0))</f>
        <v>0</v>
      </c>
      <c r="AS787" s="96" t="str">
        <f>IF(R787=1,A787&amp;" | MTR "&amp;IF(U787=1,INDEX('MTRs'!$B$6:$B$505,T787)&amp;"","?")&amp;" | "&amp;IF(C787="","(sem resíduo)",C787),"")</f>
        <v/>
      </c>
      <c r="AT787" s="96" t="str">
        <f>IF(R787=1,COUNTIF($R$6:R787,1),"")</f>
        <v/>
      </c>
      <c r="AU787" s="96" t="str">
        <f>IF(U787=1,INDEX('MTRs'!$I$6:$I$505,T787)&amp;"","")</f>
        <v/>
      </c>
    </row>
    <row r="788">
      <c r="A788" s="89" t="inlineStr">
        <is>
          <t>IT-000783</t>
        </is>
      </c>
      <c r="B788" s="91" t="n"/>
      <c r="C788" s="91" t="n"/>
      <c r="D788" s="94" t="str">
        <f>IF(OR(R788=0,V788=0),"",INDEX('CAD_RESÍDUOS'!$E$6:$E$205,MATCH(C788,'CAD_RESÍDUOS'!$B$6:$B$205,0))&amp;"")</f>
        <v/>
      </c>
      <c r="E788" s="94" t="str">
        <f>IF(OR(R788=0,V788=0),"",INDEX('CAD_RESÍDUOS'!$C$6:$C$205,MATCH(C788,'CAD_RESÍDUOS'!$B$6:$B$205,0))&amp;"")</f>
        <v/>
      </c>
      <c r="F788" s="94" t="str">
        <f>IF(OR(R788=0,V788=0),"",INDEX('CAD_RESÍDUOS'!$G$6:$G$205,MATCH(C788,'CAD_RESÍDUOS'!$B$6:$B$205,0))&amp;"")</f>
        <v/>
      </c>
      <c r="G788" s="98" t="n"/>
      <c r="H788" s="91" t="n"/>
      <c r="I788" s="93" t="str">
        <f>IF(R788=0,"",IF(NOT(ISNUMBER(G788)),"",IF(ISNUMBER(X788),G788*X788,"UNIDADE A CONFERIR")))</f>
        <v/>
      </c>
      <c r="J788" s="91" t="n"/>
      <c r="K788" s="91" t="n"/>
      <c r="L788" s="93" t="str">
        <f>IF(R788=0,"",SUMIFS('RECEBIMENTOS'!$H$6:$H$1005,'RECEBIMENTOS'!$R$6:$R$1005,A788,'RECEBIMENTOS'!$X$6:$X$1005,1))</f>
        <v/>
      </c>
      <c r="M788" s="93" t="str">
        <f>IF(R788=0,"",SUMIFS('VÍNCULOS_CDF'!$H$6:$H$1005,'VÍNCULOS_CDF'!$R$6:$R$1005,A788,'VÍNCULOS_CDF'!$V$6:$V$1005,1))</f>
        <v/>
      </c>
      <c r="N788" s="99" t="str">
        <f>IF(OR(R788=0,AA788=0,NOT(ISNUMBER(I788))),"",I788-N(L788))</f>
        <v/>
      </c>
      <c r="O788" s="100" t="str">
        <f>IF(OR(R788=0,AK788&lt;=0),"",N(M788)/AK788)</f>
        <v/>
      </c>
      <c r="P788" s="94" t="str">
        <f>IF(R788=0,"",IF(S788="","Sem MTR associado",IF(U788=0,"MTR inexistente",IF(C788="","Resíduo não identificado",IF(V788=0,"Resíduo fora do cadastro",IF(W788=0,"Quantidade inválida",IF(H788="","Unidade não informada",IF(NOT(ISNUMBER(I788)),"Unidade a conferir",IF(AND(AH788=1,K788&lt;&gt;"Sim"),"Possível duplicidade",IF(Z788=1,"MTR cancelado",IF(AC788&gt;0,"Recebimento com alerta",IF(AA788=0,"Aguardando recebimento",IF(AB788&lt;AA788,"Recebimento a conferir",IF(AM788=1,"Quantidade a revisar",IF(AF788&gt;0,"Vínculo a revisar",IF(AD788=0,"Aguardando CDF",IF(AN788=0,"Vínculo de CDF parcial",IF(AE788&lt;AD788,"CDF a conferir","Documentação conferida"))))))))))))))))))</f>
        <v/>
      </c>
      <c r="Q788" s="93" t="str">
        <f>IF(OR(R788=0,AA788=0),"",MAX(0,N(L788)-N(M788)))</f>
        <v/>
      </c>
      <c r="R788" s="96">
        <f>IF(COUNTA(B788:C788,G788:H788,J788:K788)&gt;0,1,0)</f>
        <v>0</v>
      </c>
      <c r="S788" s="96" t="str">
        <f>IF(B788="","",TRIM(LEFT(B788,FIND(" |",B788&amp;" |")-1)))</f>
        <v/>
      </c>
      <c r="T788" s="96" t="str">
        <f>IF(S788="","",IFERROR(MATCH(S788,'MTRs'!$A$6:$A$505,0),""))</f>
        <v/>
      </c>
      <c r="U788" s="96">
        <f>IF(T788="",0,IF(INDEX('MTRs'!$Z$6:$Z$505,T788)=1,1,0))</f>
        <v>0</v>
      </c>
      <c r="V788" s="96">
        <f>IF(C788="",0,IF(ISNUMBER(MATCH(C788,'CAD_RESÍDUOS'!$B$6:$B$205,0)),1,0))</f>
        <v>0</v>
      </c>
      <c r="W788" s="96">
        <f>IF(AND(ISNUMBER(G788),G788&gt;0),1,0)</f>
        <v>0</v>
      </c>
      <c r="X788" s="96" t="str">
        <f>IF(H788="","",IFERROR(IF(ISNUMBER(INDEX(cfg_fac,MATCH(H788,cfg_units,0))),IF(INDEX(cfg_fac,MATCH(H788,cfg_units,0))&gt;0,INDEX(cfg_fac,MATCH(H788,cfg_units,0)),""),""),""))</f>
        <v/>
      </c>
      <c r="Y788" s="96">
        <f>IF(AND(W788=1,ISNUMBER(I788)),1,0)</f>
        <v>0</v>
      </c>
      <c r="Z788" s="96">
        <f>IF(U788=1,INDEX('MTRs'!$AA$6:$AA$505,T788),0)</f>
        <v>0</v>
      </c>
      <c r="AA788" s="96">
        <f>IF(R788=0,0,COUNTIFS('RECEBIMENTOS'!$R$6:$R$1005,A788,'RECEBIMENTOS'!$Q$6:$Q$1005,1))</f>
        <v>0</v>
      </c>
      <c r="AB788" s="96">
        <f>IF(R788=0,0,COUNTIFS('RECEBIMENTOS'!$R$6:$R$1005,A788,'RECEBIMENTOS'!$Z$6:$Z$1005,1))</f>
        <v>0</v>
      </c>
      <c r="AC788" s="96">
        <f>IF(R788=0,0,COUNTIFS('RECEBIMENTOS'!$R$6:$R$1005,A788,'RECEBIMENTOS'!$Y$6:$Y$1005,1))</f>
        <v>0</v>
      </c>
      <c r="AD788" s="96">
        <f>IF(R788=0,0,COUNTIFS('VÍNCULOS_CDF'!$R$6:$R$1005,A788,'VÍNCULOS_CDF'!$N$6:$N$1005,1))</f>
        <v>0</v>
      </c>
      <c r="AE788" s="96">
        <f>IF(R788=0,0,COUNTIFS('VÍNCULOS_CDF'!$R$6:$R$1005,A788,'VÍNCULOS_CDF'!$AA$6:$AA$1005,1))</f>
        <v>0</v>
      </c>
      <c r="AF788" s="96">
        <f>IF(R788=0,0,COUNTIFS('VÍNCULOS_CDF'!$R$6:$R$1005,A788,'VÍNCULOS_CDF'!$Y$6:$Y$1005,1))</f>
        <v>0</v>
      </c>
      <c r="AG788" s="96" t="str">
        <f>IF(AND(R788=1,S788&lt;&gt;"",C788&lt;&gt;""),S788&amp;"|"&amp;C788&amp;"|"&amp;G788&amp;"|"&amp;H788,"")</f>
        <v/>
      </c>
      <c r="AH788" s="96">
        <f>IF(AG788="",0,IF(SUMPRODUCT(--($AG$6:$AG$1005=AG788))&gt;1,1,0))</f>
        <v>0</v>
      </c>
      <c r="AI788" s="96">
        <f>IF(R788=0,0,IF(OR(U788=0,V788=0,Y788=0,AND(AH788=1,K788&lt;&gt;"Sim")),1,0))</f>
        <v>0</v>
      </c>
      <c r="AJ788" s="96">
        <f>IF(AND(R788=1,AA788&gt;0,AB788=AA788),1,0)</f>
        <v>0</v>
      </c>
      <c r="AK788" s="96">
        <f>IF(R788=0,0,IF(AA788&gt;0,N(L788),IF(ISNUMBER(I788),I788,0)))</f>
        <v>0</v>
      </c>
      <c r="AL788" s="96">
        <f>IF(R788=0,0,IF(AND(K788&lt;&gt;"Sim",N(M788)&gt;AK788+cfg_tol),1,0))</f>
        <v>0</v>
      </c>
      <c r="AM788" s="96">
        <f>IF(R788=0,0,IF(K788="Sim",0,IF(OR(AND(AA788&gt;0,ISNUMBER(I788),ABS(I788-N(L788))&gt;cfg_tol),AL788=1),1,0)))</f>
        <v>0</v>
      </c>
      <c r="AN788" s="96">
        <f>IF(AND(R788=1,N(M788)&gt;0,OR(N(M788)&gt;=AK788-cfg_tol,K788="Sim")),1,0)</f>
        <v>0</v>
      </c>
      <c r="AO788" s="96">
        <f>IF(AND(AN788=1,AD788&gt;0,AE788=AD788,AL788=0),1,0)</f>
        <v>0</v>
      </c>
      <c r="AP788" s="96">
        <f>IF(U788=0,0,IF(AND(INDEX('MTRs'!$AX$6:$AX$505,T788)=1,Z788=0,OR(f_res="",f_res="(Todos)",C788=f_res)),1,0))</f>
        <v>0</v>
      </c>
      <c r="AQ788" s="97" t="str">
        <f>IF(U788=0,"",INDEX('MTRs'!$AZ$6:$AZ$505,T788))</f>
        <v/>
      </c>
      <c r="AR788" s="96">
        <f>IF(U788=0,0,IF(AND(INDEX('MTRs'!$BA$6:$BA$505,T788)=1,Z788=0),1,0))</f>
        <v>0</v>
      </c>
      <c r="AS788" s="96" t="str">
        <f>IF(R788=1,A788&amp;" | MTR "&amp;IF(U788=1,INDEX('MTRs'!$B$6:$B$505,T788)&amp;"","?")&amp;" | "&amp;IF(C788="","(sem resíduo)",C788),"")</f>
        <v/>
      </c>
      <c r="AT788" s="96" t="str">
        <f>IF(R788=1,COUNTIF($R$6:R788,1),"")</f>
        <v/>
      </c>
      <c r="AU788" s="96" t="str">
        <f>IF(U788=1,INDEX('MTRs'!$I$6:$I$505,T788)&amp;"","")</f>
        <v/>
      </c>
    </row>
    <row r="789">
      <c r="A789" s="89" t="inlineStr">
        <is>
          <t>IT-000784</t>
        </is>
      </c>
      <c r="B789" s="91" t="n"/>
      <c r="C789" s="91" t="n"/>
      <c r="D789" s="94" t="str">
        <f>IF(OR(R789=0,V789=0),"",INDEX('CAD_RESÍDUOS'!$E$6:$E$205,MATCH(C789,'CAD_RESÍDUOS'!$B$6:$B$205,0))&amp;"")</f>
        <v/>
      </c>
      <c r="E789" s="94" t="str">
        <f>IF(OR(R789=0,V789=0),"",INDEX('CAD_RESÍDUOS'!$C$6:$C$205,MATCH(C789,'CAD_RESÍDUOS'!$B$6:$B$205,0))&amp;"")</f>
        <v/>
      </c>
      <c r="F789" s="94" t="str">
        <f>IF(OR(R789=0,V789=0),"",INDEX('CAD_RESÍDUOS'!$G$6:$G$205,MATCH(C789,'CAD_RESÍDUOS'!$B$6:$B$205,0))&amp;"")</f>
        <v/>
      </c>
      <c r="G789" s="98" t="n"/>
      <c r="H789" s="91" t="n"/>
      <c r="I789" s="93" t="str">
        <f>IF(R789=0,"",IF(NOT(ISNUMBER(G789)),"",IF(ISNUMBER(X789),G789*X789,"UNIDADE A CONFERIR")))</f>
        <v/>
      </c>
      <c r="J789" s="91" t="n"/>
      <c r="K789" s="91" t="n"/>
      <c r="L789" s="93" t="str">
        <f>IF(R789=0,"",SUMIFS('RECEBIMENTOS'!$H$6:$H$1005,'RECEBIMENTOS'!$R$6:$R$1005,A789,'RECEBIMENTOS'!$X$6:$X$1005,1))</f>
        <v/>
      </c>
      <c r="M789" s="93" t="str">
        <f>IF(R789=0,"",SUMIFS('VÍNCULOS_CDF'!$H$6:$H$1005,'VÍNCULOS_CDF'!$R$6:$R$1005,A789,'VÍNCULOS_CDF'!$V$6:$V$1005,1))</f>
        <v/>
      </c>
      <c r="N789" s="99" t="str">
        <f>IF(OR(R789=0,AA789=0,NOT(ISNUMBER(I789))),"",I789-N(L789))</f>
        <v/>
      </c>
      <c r="O789" s="100" t="str">
        <f>IF(OR(R789=0,AK789&lt;=0),"",N(M789)/AK789)</f>
        <v/>
      </c>
      <c r="P789" s="94" t="str">
        <f>IF(R789=0,"",IF(S789="","Sem MTR associado",IF(U789=0,"MTR inexistente",IF(C789="","Resíduo não identificado",IF(V789=0,"Resíduo fora do cadastro",IF(W789=0,"Quantidade inválida",IF(H789="","Unidade não informada",IF(NOT(ISNUMBER(I789)),"Unidade a conferir",IF(AND(AH789=1,K789&lt;&gt;"Sim"),"Possível duplicidade",IF(Z789=1,"MTR cancelado",IF(AC789&gt;0,"Recebimento com alerta",IF(AA789=0,"Aguardando recebimento",IF(AB789&lt;AA789,"Recebimento a conferir",IF(AM789=1,"Quantidade a revisar",IF(AF789&gt;0,"Vínculo a revisar",IF(AD789=0,"Aguardando CDF",IF(AN789=0,"Vínculo de CDF parcial",IF(AE789&lt;AD789,"CDF a conferir","Documentação conferida"))))))))))))))))))</f>
        <v/>
      </c>
      <c r="Q789" s="93" t="str">
        <f>IF(OR(R789=0,AA789=0),"",MAX(0,N(L789)-N(M789)))</f>
        <v/>
      </c>
      <c r="R789" s="96">
        <f>IF(COUNTA(B789:C789,G789:H789,J789:K789)&gt;0,1,0)</f>
        <v>0</v>
      </c>
      <c r="S789" s="96" t="str">
        <f>IF(B789="","",TRIM(LEFT(B789,FIND(" |",B789&amp;" |")-1)))</f>
        <v/>
      </c>
      <c r="T789" s="96" t="str">
        <f>IF(S789="","",IFERROR(MATCH(S789,'MTRs'!$A$6:$A$505,0),""))</f>
        <v/>
      </c>
      <c r="U789" s="96">
        <f>IF(T789="",0,IF(INDEX('MTRs'!$Z$6:$Z$505,T789)=1,1,0))</f>
        <v>0</v>
      </c>
      <c r="V789" s="96">
        <f>IF(C789="",0,IF(ISNUMBER(MATCH(C789,'CAD_RESÍDUOS'!$B$6:$B$205,0)),1,0))</f>
        <v>0</v>
      </c>
      <c r="W789" s="96">
        <f>IF(AND(ISNUMBER(G789),G789&gt;0),1,0)</f>
        <v>0</v>
      </c>
      <c r="X789" s="96" t="str">
        <f>IF(H789="","",IFERROR(IF(ISNUMBER(INDEX(cfg_fac,MATCH(H789,cfg_units,0))),IF(INDEX(cfg_fac,MATCH(H789,cfg_units,0))&gt;0,INDEX(cfg_fac,MATCH(H789,cfg_units,0)),""),""),""))</f>
        <v/>
      </c>
      <c r="Y789" s="96">
        <f>IF(AND(W789=1,ISNUMBER(I789)),1,0)</f>
        <v>0</v>
      </c>
      <c r="Z789" s="96">
        <f>IF(U789=1,INDEX('MTRs'!$AA$6:$AA$505,T789),0)</f>
        <v>0</v>
      </c>
      <c r="AA789" s="96">
        <f>IF(R789=0,0,COUNTIFS('RECEBIMENTOS'!$R$6:$R$1005,A789,'RECEBIMENTOS'!$Q$6:$Q$1005,1))</f>
        <v>0</v>
      </c>
      <c r="AB789" s="96">
        <f>IF(R789=0,0,COUNTIFS('RECEBIMENTOS'!$R$6:$R$1005,A789,'RECEBIMENTOS'!$Z$6:$Z$1005,1))</f>
        <v>0</v>
      </c>
      <c r="AC789" s="96">
        <f>IF(R789=0,0,COUNTIFS('RECEBIMENTOS'!$R$6:$R$1005,A789,'RECEBIMENTOS'!$Y$6:$Y$1005,1))</f>
        <v>0</v>
      </c>
      <c r="AD789" s="96">
        <f>IF(R789=0,0,COUNTIFS('VÍNCULOS_CDF'!$R$6:$R$1005,A789,'VÍNCULOS_CDF'!$N$6:$N$1005,1))</f>
        <v>0</v>
      </c>
      <c r="AE789" s="96">
        <f>IF(R789=0,0,COUNTIFS('VÍNCULOS_CDF'!$R$6:$R$1005,A789,'VÍNCULOS_CDF'!$AA$6:$AA$1005,1))</f>
        <v>0</v>
      </c>
      <c r="AF789" s="96">
        <f>IF(R789=0,0,COUNTIFS('VÍNCULOS_CDF'!$R$6:$R$1005,A789,'VÍNCULOS_CDF'!$Y$6:$Y$1005,1))</f>
        <v>0</v>
      </c>
      <c r="AG789" s="96" t="str">
        <f>IF(AND(R789=1,S789&lt;&gt;"",C789&lt;&gt;""),S789&amp;"|"&amp;C789&amp;"|"&amp;G789&amp;"|"&amp;H789,"")</f>
        <v/>
      </c>
      <c r="AH789" s="96">
        <f>IF(AG789="",0,IF(SUMPRODUCT(--($AG$6:$AG$1005=AG789))&gt;1,1,0))</f>
        <v>0</v>
      </c>
      <c r="AI789" s="96">
        <f>IF(R789=0,0,IF(OR(U789=0,V789=0,Y789=0,AND(AH789=1,K789&lt;&gt;"Sim")),1,0))</f>
        <v>0</v>
      </c>
      <c r="AJ789" s="96">
        <f>IF(AND(R789=1,AA789&gt;0,AB789=AA789),1,0)</f>
        <v>0</v>
      </c>
      <c r="AK789" s="96">
        <f>IF(R789=0,0,IF(AA789&gt;0,N(L789),IF(ISNUMBER(I789),I789,0)))</f>
        <v>0</v>
      </c>
      <c r="AL789" s="96">
        <f>IF(R789=0,0,IF(AND(K789&lt;&gt;"Sim",N(M789)&gt;AK789+cfg_tol),1,0))</f>
        <v>0</v>
      </c>
      <c r="AM789" s="96">
        <f>IF(R789=0,0,IF(K789="Sim",0,IF(OR(AND(AA789&gt;0,ISNUMBER(I789),ABS(I789-N(L789))&gt;cfg_tol),AL789=1),1,0)))</f>
        <v>0</v>
      </c>
      <c r="AN789" s="96">
        <f>IF(AND(R789=1,N(M789)&gt;0,OR(N(M789)&gt;=AK789-cfg_tol,K789="Sim")),1,0)</f>
        <v>0</v>
      </c>
      <c r="AO789" s="96">
        <f>IF(AND(AN789=1,AD789&gt;0,AE789=AD789,AL789=0),1,0)</f>
        <v>0</v>
      </c>
      <c r="AP789" s="96">
        <f>IF(U789=0,0,IF(AND(INDEX('MTRs'!$AX$6:$AX$505,T789)=1,Z789=0,OR(f_res="",f_res="(Todos)",C789=f_res)),1,0))</f>
        <v>0</v>
      </c>
      <c r="AQ789" s="97" t="str">
        <f>IF(U789=0,"",INDEX('MTRs'!$AZ$6:$AZ$505,T789))</f>
        <v/>
      </c>
      <c r="AR789" s="96">
        <f>IF(U789=0,0,IF(AND(INDEX('MTRs'!$BA$6:$BA$505,T789)=1,Z789=0),1,0))</f>
        <v>0</v>
      </c>
      <c r="AS789" s="96" t="str">
        <f>IF(R789=1,A789&amp;" | MTR "&amp;IF(U789=1,INDEX('MTRs'!$B$6:$B$505,T789)&amp;"","?")&amp;" | "&amp;IF(C789="","(sem resíduo)",C789),"")</f>
        <v/>
      </c>
      <c r="AT789" s="96" t="str">
        <f>IF(R789=1,COUNTIF($R$6:R789,1),"")</f>
        <v/>
      </c>
      <c r="AU789" s="96" t="str">
        <f>IF(U789=1,INDEX('MTRs'!$I$6:$I$505,T789)&amp;"","")</f>
        <v/>
      </c>
    </row>
    <row r="790">
      <c r="A790" s="89" t="inlineStr">
        <is>
          <t>IT-000785</t>
        </is>
      </c>
      <c r="B790" s="91" t="n"/>
      <c r="C790" s="91" t="n"/>
      <c r="D790" s="94" t="str">
        <f>IF(OR(R790=0,V790=0),"",INDEX('CAD_RESÍDUOS'!$E$6:$E$205,MATCH(C790,'CAD_RESÍDUOS'!$B$6:$B$205,0))&amp;"")</f>
        <v/>
      </c>
      <c r="E790" s="94" t="str">
        <f>IF(OR(R790=0,V790=0),"",INDEX('CAD_RESÍDUOS'!$C$6:$C$205,MATCH(C790,'CAD_RESÍDUOS'!$B$6:$B$205,0))&amp;"")</f>
        <v/>
      </c>
      <c r="F790" s="94" t="str">
        <f>IF(OR(R790=0,V790=0),"",INDEX('CAD_RESÍDUOS'!$G$6:$G$205,MATCH(C790,'CAD_RESÍDUOS'!$B$6:$B$205,0))&amp;"")</f>
        <v/>
      </c>
      <c r="G790" s="98" t="n"/>
      <c r="H790" s="91" t="n"/>
      <c r="I790" s="93" t="str">
        <f>IF(R790=0,"",IF(NOT(ISNUMBER(G790)),"",IF(ISNUMBER(X790),G790*X790,"UNIDADE A CONFERIR")))</f>
        <v/>
      </c>
      <c r="J790" s="91" t="n"/>
      <c r="K790" s="91" t="n"/>
      <c r="L790" s="93" t="str">
        <f>IF(R790=0,"",SUMIFS('RECEBIMENTOS'!$H$6:$H$1005,'RECEBIMENTOS'!$R$6:$R$1005,A790,'RECEBIMENTOS'!$X$6:$X$1005,1))</f>
        <v/>
      </c>
      <c r="M790" s="93" t="str">
        <f>IF(R790=0,"",SUMIFS('VÍNCULOS_CDF'!$H$6:$H$1005,'VÍNCULOS_CDF'!$R$6:$R$1005,A790,'VÍNCULOS_CDF'!$V$6:$V$1005,1))</f>
        <v/>
      </c>
      <c r="N790" s="99" t="str">
        <f>IF(OR(R790=0,AA790=0,NOT(ISNUMBER(I790))),"",I790-N(L790))</f>
        <v/>
      </c>
      <c r="O790" s="100" t="str">
        <f>IF(OR(R790=0,AK790&lt;=0),"",N(M790)/AK790)</f>
        <v/>
      </c>
      <c r="P790" s="94" t="str">
        <f>IF(R790=0,"",IF(S790="","Sem MTR associado",IF(U790=0,"MTR inexistente",IF(C790="","Resíduo não identificado",IF(V790=0,"Resíduo fora do cadastro",IF(W790=0,"Quantidade inválida",IF(H790="","Unidade não informada",IF(NOT(ISNUMBER(I790)),"Unidade a conferir",IF(AND(AH790=1,K790&lt;&gt;"Sim"),"Possível duplicidade",IF(Z790=1,"MTR cancelado",IF(AC790&gt;0,"Recebimento com alerta",IF(AA790=0,"Aguardando recebimento",IF(AB790&lt;AA790,"Recebimento a conferir",IF(AM790=1,"Quantidade a revisar",IF(AF790&gt;0,"Vínculo a revisar",IF(AD790=0,"Aguardando CDF",IF(AN790=0,"Vínculo de CDF parcial",IF(AE790&lt;AD790,"CDF a conferir","Documentação conferida"))))))))))))))))))</f>
        <v/>
      </c>
      <c r="Q790" s="93" t="str">
        <f>IF(OR(R790=0,AA790=0),"",MAX(0,N(L790)-N(M790)))</f>
        <v/>
      </c>
      <c r="R790" s="96">
        <f>IF(COUNTA(B790:C790,G790:H790,J790:K790)&gt;0,1,0)</f>
        <v>0</v>
      </c>
      <c r="S790" s="96" t="str">
        <f>IF(B790="","",TRIM(LEFT(B790,FIND(" |",B790&amp;" |")-1)))</f>
        <v/>
      </c>
      <c r="T790" s="96" t="str">
        <f>IF(S790="","",IFERROR(MATCH(S790,'MTRs'!$A$6:$A$505,0),""))</f>
        <v/>
      </c>
      <c r="U790" s="96">
        <f>IF(T790="",0,IF(INDEX('MTRs'!$Z$6:$Z$505,T790)=1,1,0))</f>
        <v>0</v>
      </c>
      <c r="V790" s="96">
        <f>IF(C790="",0,IF(ISNUMBER(MATCH(C790,'CAD_RESÍDUOS'!$B$6:$B$205,0)),1,0))</f>
        <v>0</v>
      </c>
      <c r="W790" s="96">
        <f>IF(AND(ISNUMBER(G790),G790&gt;0),1,0)</f>
        <v>0</v>
      </c>
      <c r="X790" s="96" t="str">
        <f>IF(H790="","",IFERROR(IF(ISNUMBER(INDEX(cfg_fac,MATCH(H790,cfg_units,0))),IF(INDEX(cfg_fac,MATCH(H790,cfg_units,0))&gt;0,INDEX(cfg_fac,MATCH(H790,cfg_units,0)),""),""),""))</f>
        <v/>
      </c>
      <c r="Y790" s="96">
        <f>IF(AND(W790=1,ISNUMBER(I790)),1,0)</f>
        <v>0</v>
      </c>
      <c r="Z790" s="96">
        <f>IF(U790=1,INDEX('MTRs'!$AA$6:$AA$505,T790),0)</f>
        <v>0</v>
      </c>
      <c r="AA790" s="96">
        <f>IF(R790=0,0,COUNTIFS('RECEBIMENTOS'!$R$6:$R$1005,A790,'RECEBIMENTOS'!$Q$6:$Q$1005,1))</f>
        <v>0</v>
      </c>
      <c r="AB790" s="96">
        <f>IF(R790=0,0,COUNTIFS('RECEBIMENTOS'!$R$6:$R$1005,A790,'RECEBIMENTOS'!$Z$6:$Z$1005,1))</f>
        <v>0</v>
      </c>
      <c r="AC790" s="96">
        <f>IF(R790=0,0,COUNTIFS('RECEBIMENTOS'!$R$6:$R$1005,A790,'RECEBIMENTOS'!$Y$6:$Y$1005,1))</f>
        <v>0</v>
      </c>
      <c r="AD790" s="96">
        <f>IF(R790=0,0,COUNTIFS('VÍNCULOS_CDF'!$R$6:$R$1005,A790,'VÍNCULOS_CDF'!$N$6:$N$1005,1))</f>
        <v>0</v>
      </c>
      <c r="AE790" s="96">
        <f>IF(R790=0,0,COUNTIFS('VÍNCULOS_CDF'!$R$6:$R$1005,A790,'VÍNCULOS_CDF'!$AA$6:$AA$1005,1))</f>
        <v>0</v>
      </c>
      <c r="AF790" s="96">
        <f>IF(R790=0,0,COUNTIFS('VÍNCULOS_CDF'!$R$6:$R$1005,A790,'VÍNCULOS_CDF'!$Y$6:$Y$1005,1))</f>
        <v>0</v>
      </c>
      <c r="AG790" s="96" t="str">
        <f>IF(AND(R790=1,S790&lt;&gt;"",C790&lt;&gt;""),S790&amp;"|"&amp;C790&amp;"|"&amp;G790&amp;"|"&amp;H790,"")</f>
        <v/>
      </c>
      <c r="AH790" s="96">
        <f>IF(AG790="",0,IF(SUMPRODUCT(--($AG$6:$AG$1005=AG790))&gt;1,1,0))</f>
        <v>0</v>
      </c>
      <c r="AI790" s="96">
        <f>IF(R790=0,0,IF(OR(U790=0,V790=0,Y790=0,AND(AH790=1,K790&lt;&gt;"Sim")),1,0))</f>
        <v>0</v>
      </c>
      <c r="AJ790" s="96">
        <f>IF(AND(R790=1,AA790&gt;0,AB790=AA790),1,0)</f>
        <v>0</v>
      </c>
      <c r="AK790" s="96">
        <f>IF(R790=0,0,IF(AA790&gt;0,N(L790),IF(ISNUMBER(I790),I790,0)))</f>
        <v>0</v>
      </c>
      <c r="AL790" s="96">
        <f>IF(R790=0,0,IF(AND(K790&lt;&gt;"Sim",N(M790)&gt;AK790+cfg_tol),1,0))</f>
        <v>0</v>
      </c>
      <c r="AM790" s="96">
        <f>IF(R790=0,0,IF(K790="Sim",0,IF(OR(AND(AA790&gt;0,ISNUMBER(I790),ABS(I790-N(L790))&gt;cfg_tol),AL790=1),1,0)))</f>
        <v>0</v>
      </c>
      <c r="AN790" s="96">
        <f>IF(AND(R790=1,N(M790)&gt;0,OR(N(M790)&gt;=AK790-cfg_tol,K790="Sim")),1,0)</f>
        <v>0</v>
      </c>
      <c r="AO790" s="96">
        <f>IF(AND(AN790=1,AD790&gt;0,AE790=AD790,AL790=0),1,0)</f>
        <v>0</v>
      </c>
      <c r="AP790" s="96">
        <f>IF(U790=0,0,IF(AND(INDEX('MTRs'!$AX$6:$AX$505,T790)=1,Z790=0,OR(f_res="",f_res="(Todos)",C790=f_res)),1,0))</f>
        <v>0</v>
      </c>
      <c r="AQ790" s="97" t="str">
        <f>IF(U790=0,"",INDEX('MTRs'!$AZ$6:$AZ$505,T790))</f>
        <v/>
      </c>
      <c r="AR790" s="96">
        <f>IF(U790=0,0,IF(AND(INDEX('MTRs'!$BA$6:$BA$505,T790)=1,Z790=0),1,0))</f>
        <v>0</v>
      </c>
      <c r="AS790" s="96" t="str">
        <f>IF(R790=1,A790&amp;" | MTR "&amp;IF(U790=1,INDEX('MTRs'!$B$6:$B$505,T790)&amp;"","?")&amp;" | "&amp;IF(C790="","(sem resíduo)",C790),"")</f>
        <v/>
      </c>
      <c r="AT790" s="96" t="str">
        <f>IF(R790=1,COUNTIF($R$6:R790,1),"")</f>
        <v/>
      </c>
      <c r="AU790" s="96" t="str">
        <f>IF(U790=1,INDEX('MTRs'!$I$6:$I$505,T790)&amp;"","")</f>
        <v/>
      </c>
    </row>
    <row r="791">
      <c r="A791" s="89" t="inlineStr">
        <is>
          <t>IT-000786</t>
        </is>
      </c>
      <c r="B791" s="91" t="n"/>
      <c r="C791" s="91" t="n"/>
      <c r="D791" s="94" t="str">
        <f>IF(OR(R791=0,V791=0),"",INDEX('CAD_RESÍDUOS'!$E$6:$E$205,MATCH(C791,'CAD_RESÍDUOS'!$B$6:$B$205,0))&amp;"")</f>
        <v/>
      </c>
      <c r="E791" s="94" t="str">
        <f>IF(OR(R791=0,V791=0),"",INDEX('CAD_RESÍDUOS'!$C$6:$C$205,MATCH(C791,'CAD_RESÍDUOS'!$B$6:$B$205,0))&amp;"")</f>
        <v/>
      </c>
      <c r="F791" s="94" t="str">
        <f>IF(OR(R791=0,V791=0),"",INDEX('CAD_RESÍDUOS'!$G$6:$G$205,MATCH(C791,'CAD_RESÍDUOS'!$B$6:$B$205,0))&amp;"")</f>
        <v/>
      </c>
      <c r="G791" s="98" t="n"/>
      <c r="H791" s="91" t="n"/>
      <c r="I791" s="93" t="str">
        <f>IF(R791=0,"",IF(NOT(ISNUMBER(G791)),"",IF(ISNUMBER(X791),G791*X791,"UNIDADE A CONFERIR")))</f>
        <v/>
      </c>
      <c r="J791" s="91" t="n"/>
      <c r="K791" s="91" t="n"/>
      <c r="L791" s="93" t="str">
        <f>IF(R791=0,"",SUMIFS('RECEBIMENTOS'!$H$6:$H$1005,'RECEBIMENTOS'!$R$6:$R$1005,A791,'RECEBIMENTOS'!$X$6:$X$1005,1))</f>
        <v/>
      </c>
      <c r="M791" s="93" t="str">
        <f>IF(R791=0,"",SUMIFS('VÍNCULOS_CDF'!$H$6:$H$1005,'VÍNCULOS_CDF'!$R$6:$R$1005,A791,'VÍNCULOS_CDF'!$V$6:$V$1005,1))</f>
        <v/>
      </c>
      <c r="N791" s="99" t="str">
        <f>IF(OR(R791=0,AA791=0,NOT(ISNUMBER(I791))),"",I791-N(L791))</f>
        <v/>
      </c>
      <c r="O791" s="100" t="str">
        <f>IF(OR(R791=0,AK791&lt;=0),"",N(M791)/AK791)</f>
        <v/>
      </c>
      <c r="P791" s="94" t="str">
        <f>IF(R791=0,"",IF(S791="","Sem MTR associado",IF(U791=0,"MTR inexistente",IF(C791="","Resíduo não identificado",IF(V791=0,"Resíduo fora do cadastro",IF(W791=0,"Quantidade inválida",IF(H791="","Unidade não informada",IF(NOT(ISNUMBER(I791)),"Unidade a conferir",IF(AND(AH791=1,K791&lt;&gt;"Sim"),"Possível duplicidade",IF(Z791=1,"MTR cancelado",IF(AC791&gt;0,"Recebimento com alerta",IF(AA791=0,"Aguardando recebimento",IF(AB791&lt;AA791,"Recebimento a conferir",IF(AM791=1,"Quantidade a revisar",IF(AF791&gt;0,"Vínculo a revisar",IF(AD791=0,"Aguardando CDF",IF(AN791=0,"Vínculo de CDF parcial",IF(AE791&lt;AD791,"CDF a conferir","Documentação conferida"))))))))))))))))))</f>
        <v/>
      </c>
      <c r="Q791" s="93" t="str">
        <f>IF(OR(R791=0,AA791=0),"",MAX(0,N(L791)-N(M791)))</f>
        <v/>
      </c>
      <c r="R791" s="96">
        <f>IF(COUNTA(B791:C791,G791:H791,J791:K791)&gt;0,1,0)</f>
        <v>0</v>
      </c>
      <c r="S791" s="96" t="str">
        <f>IF(B791="","",TRIM(LEFT(B791,FIND(" |",B791&amp;" |")-1)))</f>
        <v/>
      </c>
      <c r="T791" s="96" t="str">
        <f>IF(S791="","",IFERROR(MATCH(S791,'MTRs'!$A$6:$A$505,0),""))</f>
        <v/>
      </c>
      <c r="U791" s="96">
        <f>IF(T791="",0,IF(INDEX('MTRs'!$Z$6:$Z$505,T791)=1,1,0))</f>
        <v>0</v>
      </c>
      <c r="V791" s="96">
        <f>IF(C791="",0,IF(ISNUMBER(MATCH(C791,'CAD_RESÍDUOS'!$B$6:$B$205,0)),1,0))</f>
        <v>0</v>
      </c>
      <c r="W791" s="96">
        <f>IF(AND(ISNUMBER(G791),G791&gt;0),1,0)</f>
        <v>0</v>
      </c>
      <c r="X791" s="96" t="str">
        <f>IF(H791="","",IFERROR(IF(ISNUMBER(INDEX(cfg_fac,MATCH(H791,cfg_units,0))),IF(INDEX(cfg_fac,MATCH(H791,cfg_units,0))&gt;0,INDEX(cfg_fac,MATCH(H791,cfg_units,0)),""),""),""))</f>
        <v/>
      </c>
      <c r="Y791" s="96">
        <f>IF(AND(W791=1,ISNUMBER(I791)),1,0)</f>
        <v>0</v>
      </c>
      <c r="Z791" s="96">
        <f>IF(U791=1,INDEX('MTRs'!$AA$6:$AA$505,T791),0)</f>
        <v>0</v>
      </c>
      <c r="AA791" s="96">
        <f>IF(R791=0,0,COUNTIFS('RECEBIMENTOS'!$R$6:$R$1005,A791,'RECEBIMENTOS'!$Q$6:$Q$1005,1))</f>
        <v>0</v>
      </c>
      <c r="AB791" s="96">
        <f>IF(R791=0,0,COUNTIFS('RECEBIMENTOS'!$R$6:$R$1005,A791,'RECEBIMENTOS'!$Z$6:$Z$1005,1))</f>
        <v>0</v>
      </c>
      <c r="AC791" s="96">
        <f>IF(R791=0,0,COUNTIFS('RECEBIMENTOS'!$R$6:$R$1005,A791,'RECEBIMENTOS'!$Y$6:$Y$1005,1))</f>
        <v>0</v>
      </c>
      <c r="AD791" s="96">
        <f>IF(R791=0,0,COUNTIFS('VÍNCULOS_CDF'!$R$6:$R$1005,A791,'VÍNCULOS_CDF'!$N$6:$N$1005,1))</f>
        <v>0</v>
      </c>
      <c r="AE791" s="96">
        <f>IF(R791=0,0,COUNTIFS('VÍNCULOS_CDF'!$R$6:$R$1005,A791,'VÍNCULOS_CDF'!$AA$6:$AA$1005,1))</f>
        <v>0</v>
      </c>
      <c r="AF791" s="96">
        <f>IF(R791=0,0,COUNTIFS('VÍNCULOS_CDF'!$R$6:$R$1005,A791,'VÍNCULOS_CDF'!$Y$6:$Y$1005,1))</f>
        <v>0</v>
      </c>
      <c r="AG791" s="96" t="str">
        <f>IF(AND(R791=1,S791&lt;&gt;"",C791&lt;&gt;""),S791&amp;"|"&amp;C791&amp;"|"&amp;G791&amp;"|"&amp;H791,"")</f>
        <v/>
      </c>
      <c r="AH791" s="96">
        <f>IF(AG791="",0,IF(SUMPRODUCT(--($AG$6:$AG$1005=AG791))&gt;1,1,0))</f>
        <v>0</v>
      </c>
      <c r="AI791" s="96">
        <f>IF(R791=0,0,IF(OR(U791=0,V791=0,Y791=0,AND(AH791=1,K791&lt;&gt;"Sim")),1,0))</f>
        <v>0</v>
      </c>
      <c r="AJ791" s="96">
        <f>IF(AND(R791=1,AA791&gt;0,AB791=AA791),1,0)</f>
        <v>0</v>
      </c>
      <c r="AK791" s="96">
        <f>IF(R791=0,0,IF(AA791&gt;0,N(L791),IF(ISNUMBER(I791),I791,0)))</f>
        <v>0</v>
      </c>
      <c r="AL791" s="96">
        <f>IF(R791=0,0,IF(AND(K791&lt;&gt;"Sim",N(M791)&gt;AK791+cfg_tol),1,0))</f>
        <v>0</v>
      </c>
      <c r="AM791" s="96">
        <f>IF(R791=0,0,IF(K791="Sim",0,IF(OR(AND(AA791&gt;0,ISNUMBER(I791),ABS(I791-N(L791))&gt;cfg_tol),AL791=1),1,0)))</f>
        <v>0</v>
      </c>
      <c r="AN791" s="96">
        <f>IF(AND(R791=1,N(M791)&gt;0,OR(N(M791)&gt;=AK791-cfg_tol,K791="Sim")),1,0)</f>
        <v>0</v>
      </c>
      <c r="AO791" s="96">
        <f>IF(AND(AN791=1,AD791&gt;0,AE791=AD791,AL791=0),1,0)</f>
        <v>0</v>
      </c>
      <c r="AP791" s="96">
        <f>IF(U791=0,0,IF(AND(INDEX('MTRs'!$AX$6:$AX$505,T791)=1,Z791=0,OR(f_res="",f_res="(Todos)",C791=f_res)),1,0))</f>
        <v>0</v>
      </c>
      <c r="AQ791" s="97" t="str">
        <f>IF(U791=0,"",INDEX('MTRs'!$AZ$6:$AZ$505,T791))</f>
        <v/>
      </c>
      <c r="AR791" s="96">
        <f>IF(U791=0,0,IF(AND(INDEX('MTRs'!$BA$6:$BA$505,T791)=1,Z791=0),1,0))</f>
        <v>0</v>
      </c>
      <c r="AS791" s="96" t="str">
        <f>IF(R791=1,A791&amp;" | MTR "&amp;IF(U791=1,INDEX('MTRs'!$B$6:$B$505,T791)&amp;"","?")&amp;" | "&amp;IF(C791="","(sem resíduo)",C791),"")</f>
        <v/>
      </c>
      <c r="AT791" s="96" t="str">
        <f>IF(R791=1,COUNTIF($R$6:R791,1),"")</f>
        <v/>
      </c>
      <c r="AU791" s="96" t="str">
        <f>IF(U791=1,INDEX('MTRs'!$I$6:$I$505,T791)&amp;"","")</f>
        <v/>
      </c>
    </row>
    <row r="792">
      <c r="A792" s="89" t="inlineStr">
        <is>
          <t>IT-000787</t>
        </is>
      </c>
      <c r="B792" s="91" t="n"/>
      <c r="C792" s="91" t="n"/>
      <c r="D792" s="94" t="str">
        <f>IF(OR(R792=0,V792=0),"",INDEX('CAD_RESÍDUOS'!$E$6:$E$205,MATCH(C792,'CAD_RESÍDUOS'!$B$6:$B$205,0))&amp;"")</f>
        <v/>
      </c>
      <c r="E792" s="94" t="str">
        <f>IF(OR(R792=0,V792=0),"",INDEX('CAD_RESÍDUOS'!$C$6:$C$205,MATCH(C792,'CAD_RESÍDUOS'!$B$6:$B$205,0))&amp;"")</f>
        <v/>
      </c>
      <c r="F792" s="94" t="str">
        <f>IF(OR(R792=0,V792=0),"",INDEX('CAD_RESÍDUOS'!$G$6:$G$205,MATCH(C792,'CAD_RESÍDUOS'!$B$6:$B$205,0))&amp;"")</f>
        <v/>
      </c>
      <c r="G792" s="98" t="n"/>
      <c r="H792" s="91" t="n"/>
      <c r="I792" s="93" t="str">
        <f>IF(R792=0,"",IF(NOT(ISNUMBER(G792)),"",IF(ISNUMBER(X792),G792*X792,"UNIDADE A CONFERIR")))</f>
        <v/>
      </c>
      <c r="J792" s="91" t="n"/>
      <c r="K792" s="91" t="n"/>
      <c r="L792" s="93" t="str">
        <f>IF(R792=0,"",SUMIFS('RECEBIMENTOS'!$H$6:$H$1005,'RECEBIMENTOS'!$R$6:$R$1005,A792,'RECEBIMENTOS'!$X$6:$X$1005,1))</f>
        <v/>
      </c>
      <c r="M792" s="93" t="str">
        <f>IF(R792=0,"",SUMIFS('VÍNCULOS_CDF'!$H$6:$H$1005,'VÍNCULOS_CDF'!$R$6:$R$1005,A792,'VÍNCULOS_CDF'!$V$6:$V$1005,1))</f>
        <v/>
      </c>
      <c r="N792" s="99" t="str">
        <f>IF(OR(R792=0,AA792=0,NOT(ISNUMBER(I792))),"",I792-N(L792))</f>
        <v/>
      </c>
      <c r="O792" s="100" t="str">
        <f>IF(OR(R792=0,AK792&lt;=0),"",N(M792)/AK792)</f>
        <v/>
      </c>
      <c r="P792" s="94" t="str">
        <f>IF(R792=0,"",IF(S792="","Sem MTR associado",IF(U792=0,"MTR inexistente",IF(C792="","Resíduo não identificado",IF(V792=0,"Resíduo fora do cadastro",IF(W792=0,"Quantidade inválida",IF(H792="","Unidade não informada",IF(NOT(ISNUMBER(I792)),"Unidade a conferir",IF(AND(AH792=1,K792&lt;&gt;"Sim"),"Possível duplicidade",IF(Z792=1,"MTR cancelado",IF(AC792&gt;0,"Recebimento com alerta",IF(AA792=0,"Aguardando recebimento",IF(AB792&lt;AA792,"Recebimento a conferir",IF(AM792=1,"Quantidade a revisar",IF(AF792&gt;0,"Vínculo a revisar",IF(AD792=0,"Aguardando CDF",IF(AN792=0,"Vínculo de CDF parcial",IF(AE792&lt;AD792,"CDF a conferir","Documentação conferida"))))))))))))))))))</f>
        <v/>
      </c>
      <c r="Q792" s="93" t="str">
        <f>IF(OR(R792=0,AA792=0),"",MAX(0,N(L792)-N(M792)))</f>
        <v/>
      </c>
      <c r="R792" s="96">
        <f>IF(COUNTA(B792:C792,G792:H792,J792:K792)&gt;0,1,0)</f>
        <v>0</v>
      </c>
      <c r="S792" s="96" t="str">
        <f>IF(B792="","",TRIM(LEFT(B792,FIND(" |",B792&amp;" |")-1)))</f>
        <v/>
      </c>
      <c r="T792" s="96" t="str">
        <f>IF(S792="","",IFERROR(MATCH(S792,'MTRs'!$A$6:$A$505,0),""))</f>
        <v/>
      </c>
      <c r="U792" s="96">
        <f>IF(T792="",0,IF(INDEX('MTRs'!$Z$6:$Z$505,T792)=1,1,0))</f>
        <v>0</v>
      </c>
      <c r="V792" s="96">
        <f>IF(C792="",0,IF(ISNUMBER(MATCH(C792,'CAD_RESÍDUOS'!$B$6:$B$205,0)),1,0))</f>
        <v>0</v>
      </c>
      <c r="W792" s="96">
        <f>IF(AND(ISNUMBER(G792),G792&gt;0),1,0)</f>
        <v>0</v>
      </c>
      <c r="X792" s="96" t="str">
        <f>IF(H792="","",IFERROR(IF(ISNUMBER(INDEX(cfg_fac,MATCH(H792,cfg_units,0))),IF(INDEX(cfg_fac,MATCH(H792,cfg_units,0))&gt;0,INDEX(cfg_fac,MATCH(H792,cfg_units,0)),""),""),""))</f>
        <v/>
      </c>
      <c r="Y792" s="96">
        <f>IF(AND(W792=1,ISNUMBER(I792)),1,0)</f>
        <v>0</v>
      </c>
      <c r="Z792" s="96">
        <f>IF(U792=1,INDEX('MTRs'!$AA$6:$AA$505,T792),0)</f>
        <v>0</v>
      </c>
      <c r="AA792" s="96">
        <f>IF(R792=0,0,COUNTIFS('RECEBIMENTOS'!$R$6:$R$1005,A792,'RECEBIMENTOS'!$Q$6:$Q$1005,1))</f>
        <v>0</v>
      </c>
      <c r="AB792" s="96">
        <f>IF(R792=0,0,COUNTIFS('RECEBIMENTOS'!$R$6:$R$1005,A792,'RECEBIMENTOS'!$Z$6:$Z$1005,1))</f>
        <v>0</v>
      </c>
      <c r="AC792" s="96">
        <f>IF(R792=0,0,COUNTIFS('RECEBIMENTOS'!$R$6:$R$1005,A792,'RECEBIMENTOS'!$Y$6:$Y$1005,1))</f>
        <v>0</v>
      </c>
      <c r="AD792" s="96">
        <f>IF(R792=0,0,COUNTIFS('VÍNCULOS_CDF'!$R$6:$R$1005,A792,'VÍNCULOS_CDF'!$N$6:$N$1005,1))</f>
        <v>0</v>
      </c>
      <c r="AE792" s="96">
        <f>IF(R792=0,0,COUNTIFS('VÍNCULOS_CDF'!$R$6:$R$1005,A792,'VÍNCULOS_CDF'!$AA$6:$AA$1005,1))</f>
        <v>0</v>
      </c>
      <c r="AF792" s="96">
        <f>IF(R792=0,0,COUNTIFS('VÍNCULOS_CDF'!$R$6:$R$1005,A792,'VÍNCULOS_CDF'!$Y$6:$Y$1005,1))</f>
        <v>0</v>
      </c>
      <c r="AG792" s="96" t="str">
        <f>IF(AND(R792=1,S792&lt;&gt;"",C792&lt;&gt;""),S792&amp;"|"&amp;C792&amp;"|"&amp;G792&amp;"|"&amp;H792,"")</f>
        <v/>
      </c>
      <c r="AH792" s="96">
        <f>IF(AG792="",0,IF(SUMPRODUCT(--($AG$6:$AG$1005=AG792))&gt;1,1,0))</f>
        <v>0</v>
      </c>
      <c r="AI792" s="96">
        <f>IF(R792=0,0,IF(OR(U792=0,V792=0,Y792=0,AND(AH792=1,K792&lt;&gt;"Sim")),1,0))</f>
        <v>0</v>
      </c>
      <c r="AJ792" s="96">
        <f>IF(AND(R792=1,AA792&gt;0,AB792=AA792),1,0)</f>
        <v>0</v>
      </c>
      <c r="AK792" s="96">
        <f>IF(R792=0,0,IF(AA792&gt;0,N(L792),IF(ISNUMBER(I792),I792,0)))</f>
        <v>0</v>
      </c>
      <c r="AL792" s="96">
        <f>IF(R792=0,0,IF(AND(K792&lt;&gt;"Sim",N(M792)&gt;AK792+cfg_tol),1,0))</f>
        <v>0</v>
      </c>
      <c r="AM792" s="96">
        <f>IF(R792=0,0,IF(K792="Sim",0,IF(OR(AND(AA792&gt;0,ISNUMBER(I792),ABS(I792-N(L792))&gt;cfg_tol),AL792=1),1,0)))</f>
        <v>0</v>
      </c>
      <c r="AN792" s="96">
        <f>IF(AND(R792=1,N(M792)&gt;0,OR(N(M792)&gt;=AK792-cfg_tol,K792="Sim")),1,0)</f>
        <v>0</v>
      </c>
      <c r="AO792" s="96">
        <f>IF(AND(AN792=1,AD792&gt;0,AE792=AD792,AL792=0),1,0)</f>
        <v>0</v>
      </c>
      <c r="AP792" s="96">
        <f>IF(U792=0,0,IF(AND(INDEX('MTRs'!$AX$6:$AX$505,T792)=1,Z792=0,OR(f_res="",f_res="(Todos)",C792=f_res)),1,0))</f>
        <v>0</v>
      </c>
      <c r="AQ792" s="97" t="str">
        <f>IF(U792=0,"",INDEX('MTRs'!$AZ$6:$AZ$505,T792))</f>
        <v/>
      </c>
      <c r="AR792" s="96">
        <f>IF(U792=0,0,IF(AND(INDEX('MTRs'!$BA$6:$BA$505,T792)=1,Z792=0),1,0))</f>
        <v>0</v>
      </c>
      <c r="AS792" s="96" t="str">
        <f>IF(R792=1,A792&amp;" | MTR "&amp;IF(U792=1,INDEX('MTRs'!$B$6:$B$505,T792)&amp;"","?")&amp;" | "&amp;IF(C792="","(sem resíduo)",C792),"")</f>
        <v/>
      </c>
      <c r="AT792" s="96" t="str">
        <f>IF(R792=1,COUNTIF($R$6:R792,1),"")</f>
        <v/>
      </c>
      <c r="AU792" s="96" t="str">
        <f>IF(U792=1,INDEX('MTRs'!$I$6:$I$505,T792)&amp;"","")</f>
        <v/>
      </c>
    </row>
    <row r="793">
      <c r="A793" s="89" t="inlineStr">
        <is>
          <t>IT-000788</t>
        </is>
      </c>
      <c r="B793" s="91" t="n"/>
      <c r="C793" s="91" t="n"/>
      <c r="D793" s="94" t="str">
        <f>IF(OR(R793=0,V793=0),"",INDEX('CAD_RESÍDUOS'!$E$6:$E$205,MATCH(C793,'CAD_RESÍDUOS'!$B$6:$B$205,0))&amp;"")</f>
        <v/>
      </c>
      <c r="E793" s="94" t="str">
        <f>IF(OR(R793=0,V793=0),"",INDEX('CAD_RESÍDUOS'!$C$6:$C$205,MATCH(C793,'CAD_RESÍDUOS'!$B$6:$B$205,0))&amp;"")</f>
        <v/>
      </c>
      <c r="F793" s="94" t="str">
        <f>IF(OR(R793=0,V793=0),"",INDEX('CAD_RESÍDUOS'!$G$6:$G$205,MATCH(C793,'CAD_RESÍDUOS'!$B$6:$B$205,0))&amp;"")</f>
        <v/>
      </c>
      <c r="G793" s="98" t="n"/>
      <c r="H793" s="91" t="n"/>
      <c r="I793" s="93" t="str">
        <f>IF(R793=0,"",IF(NOT(ISNUMBER(G793)),"",IF(ISNUMBER(X793),G793*X793,"UNIDADE A CONFERIR")))</f>
        <v/>
      </c>
      <c r="J793" s="91" t="n"/>
      <c r="K793" s="91" t="n"/>
      <c r="L793" s="93" t="str">
        <f>IF(R793=0,"",SUMIFS('RECEBIMENTOS'!$H$6:$H$1005,'RECEBIMENTOS'!$R$6:$R$1005,A793,'RECEBIMENTOS'!$X$6:$X$1005,1))</f>
        <v/>
      </c>
      <c r="M793" s="93" t="str">
        <f>IF(R793=0,"",SUMIFS('VÍNCULOS_CDF'!$H$6:$H$1005,'VÍNCULOS_CDF'!$R$6:$R$1005,A793,'VÍNCULOS_CDF'!$V$6:$V$1005,1))</f>
        <v/>
      </c>
      <c r="N793" s="99" t="str">
        <f>IF(OR(R793=0,AA793=0,NOT(ISNUMBER(I793))),"",I793-N(L793))</f>
        <v/>
      </c>
      <c r="O793" s="100" t="str">
        <f>IF(OR(R793=0,AK793&lt;=0),"",N(M793)/AK793)</f>
        <v/>
      </c>
      <c r="P793" s="94" t="str">
        <f>IF(R793=0,"",IF(S793="","Sem MTR associado",IF(U793=0,"MTR inexistente",IF(C793="","Resíduo não identificado",IF(V793=0,"Resíduo fora do cadastro",IF(W793=0,"Quantidade inválida",IF(H793="","Unidade não informada",IF(NOT(ISNUMBER(I793)),"Unidade a conferir",IF(AND(AH793=1,K793&lt;&gt;"Sim"),"Possível duplicidade",IF(Z793=1,"MTR cancelado",IF(AC793&gt;0,"Recebimento com alerta",IF(AA793=0,"Aguardando recebimento",IF(AB793&lt;AA793,"Recebimento a conferir",IF(AM793=1,"Quantidade a revisar",IF(AF793&gt;0,"Vínculo a revisar",IF(AD793=0,"Aguardando CDF",IF(AN793=0,"Vínculo de CDF parcial",IF(AE793&lt;AD793,"CDF a conferir","Documentação conferida"))))))))))))))))))</f>
        <v/>
      </c>
      <c r="Q793" s="93" t="str">
        <f>IF(OR(R793=0,AA793=0),"",MAX(0,N(L793)-N(M793)))</f>
        <v/>
      </c>
      <c r="R793" s="96">
        <f>IF(COUNTA(B793:C793,G793:H793,J793:K793)&gt;0,1,0)</f>
        <v>0</v>
      </c>
      <c r="S793" s="96" t="str">
        <f>IF(B793="","",TRIM(LEFT(B793,FIND(" |",B793&amp;" |")-1)))</f>
        <v/>
      </c>
      <c r="T793" s="96" t="str">
        <f>IF(S793="","",IFERROR(MATCH(S793,'MTRs'!$A$6:$A$505,0),""))</f>
        <v/>
      </c>
      <c r="U793" s="96">
        <f>IF(T793="",0,IF(INDEX('MTRs'!$Z$6:$Z$505,T793)=1,1,0))</f>
        <v>0</v>
      </c>
      <c r="V793" s="96">
        <f>IF(C793="",0,IF(ISNUMBER(MATCH(C793,'CAD_RESÍDUOS'!$B$6:$B$205,0)),1,0))</f>
        <v>0</v>
      </c>
      <c r="W793" s="96">
        <f>IF(AND(ISNUMBER(G793),G793&gt;0),1,0)</f>
        <v>0</v>
      </c>
      <c r="X793" s="96" t="str">
        <f>IF(H793="","",IFERROR(IF(ISNUMBER(INDEX(cfg_fac,MATCH(H793,cfg_units,0))),IF(INDEX(cfg_fac,MATCH(H793,cfg_units,0))&gt;0,INDEX(cfg_fac,MATCH(H793,cfg_units,0)),""),""),""))</f>
        <v/>
      </c>
      <c r="Y793" s="96">
        <f>IF(AND(W793=1,ISNUMBER(I793)),1,0)</f>
        <v>0</v>
      </c>
      <c r="Z793" s="96">
        <f>IF(U793=1,INDEX('MTRs'!$AA$6:$AA$505,T793),0)</f>
        <v>0</v>
      </c>
      <c r="AA793" s="96">
        <f>IF(R793=0,0,COUNTIFS('RECEBIMENTOS'!$R$6:$R$1005,A793,'RECEBIMENTOS'!$Q$6:$Q$1005,1))</f>
        <v>0</v>
      </c>
      <c r="AB793" s="96">
        <f>IF(R793=0,0,COUNTIFS('RECEBIMENTOS'!$R$6:$R$1005,A793,'RECEBIMENTOS'!$Z$6:$Z$1005,1))</f>
        <v>0</v>
      </c>
      <c r="AC793" s="96">
        <f>IF(R793=0,0,COUNTIFS('RECEBIMENTOS'!$R$6:$R$1005,A793,'RECEBIMENTOS'!$Y$6:$Y$1005,1))</f>
        <v>0</v>
      </c>
      <c r="AD793" s="96">
        <f>IF(R793=0,0,COUNTIFS('VÍNCULOS_CDF'!$R$6:$R$1005,A793,'VÍNCULOS_CDF'!$N$6:$N$1005,1))</f>
        <v>0</v>
      </c>
      <c r="AE793" s="96">
        <f>IF(R793=0,0,COUNTIFS('VÍNCULOS_CDF'!$R$6:$R$1005,A793,'VÍNCULOS_CDF'!$AA$6:$AA$1005,1))</f>
        <v>0</v>
      </c>
      <c r="AF793" s="96">
        <f>IF(R793=0,0,COUNTIFS('VÍNCULOS_CDF'!$R$6:$R$1005,A793,'VÍNCULOS_CDF'!$Y$6:$Y$1005,1))</f>
        <v>0</v>
      </c>
      <c r="AG793" s="96" t="str">
        <f>IF(AND(R793=1,S793&lt;&gt;"",C793&lt;&gt;""),S793&amp;"|"&amp;C793&amp;"|"&amp;G793&amp;"|"&amp;H793,"")</f>
        <v/>
      </c>
      <c r="AH793" s="96">
        <f>IF(AG793="",0,IF(SUMPRODUCT(--($AG$6:$AG$1005=AG793))&gt;1,1,0))</f>
        <v>0</v>
      </c>
      <c r="AI793" s="96">
        <f>IF(R793=0,0,IF(OR(U793=0,V793=0,Y793=0,AND(AH793=1,K793&lt;&gt;"Sim")),1,0))</f>
        <v>0</v>
      </c>
      <c r="AJ793" s="96">
        <f>IF(AND(R793=1,AA793&gt;0,AB793=AA793),1,0)</f>
        <v>0</v>
      </c>
      <c r="AK793" s="96">
        <f>IF(R793=0,0,IF(AA793&gt;0,N(L793),IF(ISNUMBER(I793),I793,0)))</f>
        <v>0</v>
      </c>
      <c r="AL793" s="96">
        <f>IF(R793=0,0,IF(AND(K793&lt;&gt;"Sim",N(M793)&gt;AK793+cfg_tol),1,0))</f>
        <v>0</v>
      </c>
      <c r="AM793" s="96">
        <f>IF(R793=0,0,IF(K793="Sim",0,IF(OR(AND(AA793&gt;0,ISNUMBER(I793),ABS(I793-N(L793))&gt;cfg_tol),AL793=1),1,0)))</f>
        <v>0</v>
      </c>
      <c r="AN793" s="96">
        <f>IF(AND(R793=1,N(M793)&gt;0,OR(N(M793)&gt;=AK793-cfg_tol,K793="Sim")),1,0)</f>
        <v>0</v>
      </c>
      <c r="AO793" s="96">
        <f>IF(AND(AN793=1,AD793&gt;0,AE793=AD793,AL793=0),1,0)</f>
        <v>0</v>
      </c>
      <c r="AP793" s="96">
        <f>IF(U793=0,0,IF(AND(INDEX('MTRs'!$AX$6:$AX$505,T793)=1,Z793=0,OR(f_res="",f_res="(Todos)",C793=f_res)),1,0))</f>
        <v>0</v>
      </c>
      <c r="AQ793" s="97" t="str">
        <f>IF(U793=0,"",INDEX('MTRs'!$AZ$6:$AZ$505,T793))</f>
        <v/>
      </c>
      <c r="AR793" s="96">
        <f>IF(U793=0,0,IF(AND(INDEX('MTRs'!$BA$6:$BA$505,T793)=1,Z793=0),1,0))</f>
        <v>0</v>
      </c>
      <c r="AS793" s="96" t="str">
        <f>IF(R793=1,A793&amp;" | MTR "&amp;IF(U793=1,INDEX('MTRs'!$B$6:$B$505,T793)&amp;"","?")&amp;" | "&amp;IF(C793="","(sem resíduo)",C793),"")</f>
        <v/>
      </c>
      <c r="AT793" s="96" t="str">
        <f>IF(R793=1,COUNTIF($R$6:R793,1),"")</f>
        <v/>
      </c>
      <c r="AU793" s="96" t="str">
        <f>IF(U793=1,INDEX('MTRs'!$I$6:$I$505,T793)&amp;"","")</f>
        <v/>
      </c>
    </row>
    <row r="794">
      <c r="A794" s="89" t="inlineStr">
        <is>
          <t>IT-000789</t>
        </is>
      </c>
      <c r="B794" s="91" t="n"/>
      <c r="C794" s="91" t="n"/>
      <c r="D794" s="94" t="str">
        <f>IF(OR(R794=0,V794=0),"",INDEX('CAD_RESÍDUOS'!$E$6:$E$205,MATCH(C794,'CAD_RESÍDUOS'!$B$6:$B$205,0))&amp;"")</f>
        <v/>
      </c>
      <c r="E794" s="94" t="str">
        <f>IF(OR(R794=0,V794=0),"",INDEX('CAD_RESÍDUOS'!$C$6:$C$205,MATCH(C794,'CAD_RESÍDUOS'!$B$6:$B$205,0))&amp;"")</f>
        <v/>
      </c>
      <c r="F794" s="94" t="str">
        <f>IF(OR(R794=0,V794=0),"",INDEX('CAD_RESÍDUOS'!$G$6:$G$205,MATCH(C794,'CAD_RESÍDUOS'!$B$6:$B$205,0))&amp;"")</f>
        <v/>
      </c>
      <c r="G794" s="98" t="n"/>
      <c r="H794" s="91" t="n"/>
      <c r="I794" s="93" t="str">
        <f>IF(R794=0,"",IF(NOT(ISNUMBER(G794)),"",IF(ISNUMBER(X794),G794*X794,"UNIDADE A CONFERIR")))</f>
        <v/>
      </c>
      <c r="J794" s="91" t="n"/>
      <c r="K794" s="91" t="n"/>
      <c r="L794" s="93" t="str">
        <f>IF(R794=0,"",SUMIFS('RECEBIMENTOS'!$H$6:$H$1005,'RECEBIMENTOS'!$R$6:$R$1005,A794,'RECEBIMENTOS'!$X$6:$X$1005,1))</f>
        <v/>
      </c>
      <c r="M794" s="93" t="str">
        <f>IF(R794=0,"",SUMIFS('VÍNCULOS_CDF'!$H$6:$H$1005,'VÍNCULOS_CDF'!$R$6:$R$1005,A794,'VÍNCULOS_CDF'!$V$6:$V$1005,1))</f>
        <v/>
      </c>
      <c r="N794" s="99" t="str">
        <f>IF(OR(R794=0,AA794=0,NOT(ISNUMBER(I794))),"",I794-N(L794))</f>
        <v/>
      </c>
      <c r="O794" s="100" t="str">
        <f>IF(OR(R794=0,AK794&lt;=0),"",N(M794)/AK794)</f>
        <v/>
      </c>
      <c r="P794" s="94" t="str">
        <f>IF(R794=0,"",IF(S794="","Sem MTR associado",IF(U794=0,"MTR inexistente",IF(C794="","Resíduo não identificado",IF(V794=0,"Resíduo fora do cadastro",IF(W794=0,"Quantidade inválida",IF(H794="","Unidade não informada",IF(NOT(ISNUMBER(I794)),"Unidade a conferir",IF(AND(AH794=1,K794&lt;&gt;"Sim"),"Possível duplicidade",IF(Z794=1,"MTR cancelado",IF(AC794&gt;0,"Recebimento com alerta",IF(AA794=0,"Aguardando recebimento",IF(AB794&lt;AA794,"Recebimento a conferir",IF(AM794=1,"Quantidade a revisar",IF(AF794&gt;0,"Vínculo a revisar",IF(AD794=0,"Aguardando CDF",IF(AN794=0,"Vínculo de CDF parcial",IF(AE794&lt;AD794,"CDF a conferir","Documentação conferida"))))))))))))))))))</f>
        <v/>
      </c>
      <c r="Q794" s="93" t="str">
        <f>IF(OR(R794=0,AA794=0),"",MAX(0,N(L794)-N(M794)))</f>
        <v/>
      </c>
      <c r="R794" s="96">
        <f>IF(COUNTA(B794:C794,G794:H794,J794:K794)&gt;0,1,0)</f>
        <v>0</v>
      </c>
      <c r="S794" s="96" t="str">
        <f>IF(B794="","",TRIM(LEFT(B794,FIND(" |",B794&amp;" |")-1)))</f>
        <v/>
      </c>
      <c r="T794" s="96" t="str">
        <f>IF(S794="","",IFERROR(MATCH(S794,'MTRs'!$A$6:$A$505,0),""))</f>
        <v/>
      </c>
      <c r="U794" s="96">
        <f>IF(T794="",0,IF(INDEX('MTRs'!$Z$6:$Z$505,T794)=1,1,0))</f>
        <v>0</v>
      </c>
      <c r="V794" s="96">
        <f>IF(C794="",0,IF(ISNUMBER(MATCH(C794,'CAD_RESÍDUOS'!$B$6:$B$205,0)),1,0))</f>
        <v>0</v>
      </c>
      <c r="W794" s="96">
        <f>IF(AND(ISNUMBER(G794),G794&gt;0),1,0)</f>
        <v>0</v>
      </c>
      <c r="X794" s="96" t="str">
        <f>IF(H794="","",IFERROR(IF(ISNUMBER(INDEX(cfg_fac,MATCH(H794,cfg_units,0))),IF(INDEX(cfg_fac,MATCH(H794,cfg_units,0))&gt;0,INDEX(cfg_fac,MATCH(H794,cfg_units,0)),""),""),""))</f>
        <v/>
      </c>
      <c r="Y794" s="96">
        <f>IF(AND(W794=1,ISNUMBER(I794)),1,0)</f>
        <v>0</v>
      </c>
      <c r="Z794" s="96">
        <f>IF(U794=1,INDEX('MTRs'!$AA$6:$AA$505,T794),0)</f>
        <v>0</v>
      </c>
      <c r="AA794" s="96">
        <f>IF(R794=0,0,COUNTIFS('RECEBIMENTOS'!$R$6:$R$1005,A794,'RECEBIMENTOS'!$Q$6:$Q$1005,1))</f>
        <v>0</v>
      </c>
      <c r="AB794" s="96">
        <f>IF(R794=0,0,COUNTIFS('RECEBIMENTOS'!$R$6:$R$1005,A794,'RECEBIMENTOS'!$Z$6:$Z$1005,1))</f>
        <v>0</v>
      </c>
      <c r="AC794" s="96">
        <f>IF(R794=0,0,COUNTIFS('RECEBIMENTOS'!$R$6:$R$1005,A794,'RECEBIMENTOS'!$Y$6:$Y$1005,1))</f>
        <v>0</v>
      </c>
      <c r="AD794" s="96">
        <f>IF(R794=0,0,COUNTIFS('VÍNCULOS_CDF'!$R$6:$R$1005,A794,'VÍNCULOS_CDF'!$N$6:$N$1005,1))</f>
        <v>0</v>
      </c>
      <c r="AE794" s="96">
        <f>IF(R794=0,0,COUNTIFS('VÍNCULOS_CDF'!$R$6:$R$1005,A794,'VÍNCULOS_CDF'!$AA$6:$AA$1005,1))</f>
        <v>0</v>
      </c>
      <c r="AF794" s="96">
        <f>IF(R794=0,0,COUNTIFS('VÍNCULOS_CDF'!$R$6:$R$1005,A794,'VÍNCULOS_CDF'!$Y$6:$Y$1005,1))</f>
        <v>0</v>
      </c>
      <c r="AG794" s="96" t="str">
        <f>IF(AND(R794=1,S794&lt;&gt;"",C794&lt;&gt;""),S794&amp;"|"&amp;C794&amp;"|"&amp;G794&amp;"|"&amp;H794,"")</f>
        <v/>
      </c>
      <c r="AH794" s="96">
        <f>IF(AG794="",0,IF(SUMPRODUCT(--($AG$6:$AG$1005=AG794))&gt;1,1,0))</f>
        <v>0</v>
      </c>
      <c r="AI794" s="96">
        <f>IF(R794=0,0,IF(OR(U794=0,V794=0,Y794=0,AND(AH794=1,K794&lt;&gt;"Sim")),1,0))</f>
        <v>0</v>
      </c>
      <c r="AJ794" s="96">
        <f>IF(AND(R794=1,AA794&gt;0,AB794=AA794),1,0)</f>
        <v>0</v>
      </c>
      <c r="AK794" s="96">
        <f>IF(R794=0,0,IF(AA794&gt;0,N(L794),IF(ISNUMBER(I794),I794,0)))</f>
        <v>0</v>
      </c>
      <c r="AL794" s="96">
        <f>IF(R794=0,0,IF(AND(K794&lt;&gt;"Sim",N(M794)&gt;AK794+cfg_tol),1,0))</f>
        <v>0</v>
      </c>
      <c r="AM794" s="96">
        <f>IF(R794=0,0,IF(K794="Sim",0,IF(OR(AND(AA794&gt;0,ISNUMBER(I794),ABS(I794-N(L794))&gt;cfg_tol),AL794=1),1,0)))</f>
        <v>0</v>
      </c>
      <c r="AN794" s="96">
        <f>IF(AND(R794=1,N(M794)&gt;0,OR(N(M794)&gt;=AK794-cfg_tol,K794="Sim")),1,0)</f>
        <v>0</v>
      </c>
      <c r="AO794" s="96">
        <f>IF(AND(AN794=1,AD794&gt;0,AE794=AD794,AL794=0),1,0)</f>
        <v>0</v>
      </c>
      <c r="AP794" s="96">
        <f>IF(U794=0,0,IF(AND(INDEX('MTRs'!$AX$6:$AX$505,T794)=1,Z794=0,OR(f_res="",f_res="(Todos)",C794=f_res)),1,0))</f>
        <v>0</v>
      </c>
      <c r="AQ794" s="97" t="str">
        <f>IF(U794=0,"",INDEX('MTRs'!$AZ$6:$AZ$505,T794))</f>
        <v/>
      </c>
      <c r="AR794" s="96">
        <f>IF(U794=0,0,IF(AND(INDEX('MTRs'!$BA$6:$BA$505,T794)=1,Z794=0),1,0))</f>
        <v>0</v>
      </c>
      <c r="AS794" s="96" t="str">
        <f>IF(R794=1,A794&amp;" | MTR "&amp;IF(U794=1,INDEX('MTRs'!$B$6:$B$505,T794)&amp;"","?")&amp;" | "&amp;IF(C794="","(sem resíduo)",C794),"")</f>
        <v/>
      </c>
      <c r="AT794" s="96" t="str">
        <f>IF(R794=1,COUNTIF($R$6:R794,1),"")</f>
        <v/>
      </c>
      <c r="AU794" s="96" t="str">
        <f>IF(U794=1,INDEX('MTRs'!$I$6:$I$505,T794)&amp;"","")</f>
        <v/>
      </c>
    </row>
    <row r="795">
      <c r="A795" s="89" t="inlineStr">
        <is>
          <t>IT-000790</t>
        </is>
      </c>
      <c r="B795" s="91" t="n"/>
      <c r="C795" s="91" t="n"/>
      <c r="D795" s="94" t="str">
        <f>IF(OR(R795=0,V795=0),"",INDEX('CAD_RESÍDUOS'!$E$6:$E$205,MATCH(C795,'CAD_RESÍDUOS'!$B$6:$B$205,0))&amp;"")</f>
        <v/>
      </c>
      <c r="E795" s="94" t="str">
        <f>IF(OR(R795=0,V795=0),"",INDEX('CAD_RESÍDUOS'!$C$6:$C$205,MATCH(C795,'CAD_RESÍDUOS'!$B$6:$B$205,0))&amp;"")</f>
        <v/>
      </c>
      <c r="F795" s="94" t="str">
        <f>IF(OR(R795=0,V795=0),"",INDEX('CAD_RESÍDUOS'!$G$6:$G$205,MATCH(C795,'CAD_RESÍDUOS'!$B$6:$B$205,0))&amp;"")</f>
        <v/>
      </c>
      <c r="G795" s="98" t="n"/>
      <c r="H795" s="91" t="n"/>
      <c r="I795" s="93" t="str">
        <f>IF(R795=0,"",IF(NOT(ISNUMBER(G795)),"",IF(ISNUMBER(X795),G795*X795,"UNIDADE A CONFERIR")))</f>
        <v/>
      </c>
      <c r="J795" s="91" t="n"/>
      <c r="K795" s="91" t="n"/>
      <c r="L795" s="93" t="str">
        <f>IF(R795=0,"",SUMIFS('RECEBIMENTOS'!$H$6:$H$1005,'RECEBIMENTOS'!$R$6:$R$1005,A795,'RECEBIMENTOS'!$X$6:$X$1005,1))</f>
        <v/>
      </c>
      <c r="M795" s="93" t="str">
        <f>IF(R795=0,"",SUMIFS('VÍNCULOS_CDF'!$H$6:$H$1005,'VÍNCULOS_CDF'!$R$6:$R$1005,A795,'VÍNCULOS_CDF'!$V$6:$V$1005,1))</f>
        <v/>
      </c>
      <c r="N795" s="99" t="str">
        <f>IF(OR(R795=0,AA795=0,NOT(ISNUMBER(I795))),"",I795-N(L795))</f>
        <v/>
      </c>
      <c r="O795" s="100" t="str">
        <f>IF(OR(R795=0,AK795&lt;=0),"",N(M795)/AK795)</f>
        <v/>
      </c>
      <c r="P795" s="94" t="str">
        <f>IF(R795=0,"",IF(S795="","Sem MTR associado",IF(U795=0,"MTR inexistente",IF(C795="","Resíduo não identificado",IF(V795=0,"Resíduo fora do cadastro",IF(W795=0,"Quantidade inválida",IF(H795="","Unidade não informada",IF(NOT(ISNUMBER(I795)),"Unidade a conferir",IF(AND(AH795=1,K795&lt;&gt;"Sim"),"Possível duplicidade",IF(Z795=1,"MTR cancelado",IF(AC795&gt;0,"Recebimento com alerta",IF(AA795=0,"Aguardando recebimento",IF(AB795&lt;AA795,"Recebimento a conferir",IF(AM795=1,"Quantidade a revisar",IF(AF795&gt;0,"Vínculo a revisar",IF(AD795=0,"Aguardando CDF",IF(AN795=0,"Vínculo de CDF parcial",IF(AE795&lt;AD795,"CDF a conferir","Documentação conferida"))))))))))))))))))</f>
        <v/>
      </c>
      <c r="Q795" s="93" t="str">
        <f>IF(OR(R795=0,AA795=0),"",MAX(0,N(L795)-N(M795)))</f>
        <v/>
      </c>
      <c r="R795" s="96">
        <f>IF(COUNTA(B795:C795,G795:H795,J795:K795)&gt;0,1,0)</f>
        <v>0</v>
      </c>
      <c r="S795" s="96" t="str">
        <f>IF(B795="","",TRIM(LEFT(B795,FIND(" |",B795&amp;" |")-1)))</f>
        <v/>
      </c>
      <c r="T795" s="96" t="str">
        <f>IF(S795="","",IFERROR(MATCH(S795,'MTRs'!$A$6:$A$505,0),""))</f>
        <v/>
      </c>
      <c r="U795" s="96">
        <f>IF(T795="",0,IF(INDEX('MTRs'!$Z$6:$Z$505,T795)=1,1,0))</f>
        <v>0</v>
      </c>
      <c r="V795" s="96">
        <f>IF(C795="",0,IF(ISNUMBER(MATCH(C795,'CAD_RESÍDUOS'!$B$6:$B$205,0)),1,0))</f>
        <v>0</v>
      </c>
      <c r="W795" s="96">
        <f>IF(AND(ISNUMBER(G795),G795&gt;0),1,0)</f>
        <v>0</v>
      </c>
      <c r="X795" s="96" t="str">
        <f>IF(H795="","",IFERROR(IF(ISNUMBER(INDEX(cfg_fac,MATCH(H795,cfg_units,0))),IF(INDEX(cfg_fac,MATCH(H795,cfg_units,0))&gt;0,INDEX(cfg_fac,MATCH(H795,cfg_units,0)),""),""),""))</f>
        <v/>
      </c>
      <c r="Y795" s="96">
        <f>IF(AND(W795=1,ISNUMBER(I795)),1,0)</f>
        <v>0</v>
      </c>
      <c r="Z795" s="96">
        <f>IF(U795=1,INDEX('MTRs'!$AA$6:$AA$505,T795),0)</f>
        <v>0</v>
      </c>
      <c r="AA795" s="96">
        <f>IF(R795=0,0,COUNTIFS('RECEBIMENTOS'!$R$6:$R$1005,A795,'RECEBIMENTOS'!$Q$6:$Q$1005,1))</f>
        <v>0</v>
      </c>
      <c r="AB795" s="96">
        <f>IF(R795=0,0,COUNTIFS('RECEBIMENTOS'!$R$6:$R$1005,A795,'RECEBIMENTOS'!$Z$6:$Z$1005,1))</f>
        <v>0</v>
      </c>
      <c r="AC795" s="96">
        <f>IF(R795=0,0,COUNTIFS('RECEBIMENTOS'!$R$6:$R$1005,A795,'RECEBIMENTOS'!$Y$6:$Y$1005,1))</f>
        <v>0</v>
      </c>
      <c r="AD795" s="96">
        <f>IF(R795=0,0,COUNTIFS('VÍNCULOS_CDF'!$R$6:$R$1005,A795,'VÍNCULOS_CDF'!$N$6:$N$1005,1))</f>
        <v>0</v>
      </c>
      <c r="AE795" s="96">
        <f>IF(R795=0,0,COUNTIFS('VÍNCULOS_CDF'!$R$6:$R$1005,A795,'VÍNCULOS_CDF'!$AA$6:$AA$1005,1))</f>
        <v>0</v>
      </c>
      <c r="AF795" s="96">
        <f>IF(R795=0,0,COUNTIFS('VÍNCULOS_CDF'!$R$6:$R$1005,A795,'VÍNCULOS_CDF'!$Y$6:$Y$1005,1))</f>
        <v>0</v>
      </c>
      <c r="AG795" s="96" t="str">
        <f>IF(AND(R795=1,S795&lt;&gt;"",C795&lt;&gt;""),S795&amp;"|"&amp;C795&amp;"|"&amp;G795&amp;"|"&amp;H795,"")</f>
        <v/>
      </c>
      <c r="AH795" s="96">
        <f>IF(AG795="",0,IF(SUMPRODUCT(--($AG$6:$AG$1005=AG795))&gt;1,1,0))</f>
        <v>0</v>
      </c>
      <c r="AI795" s="96">
        <f>IF(R795=0,0,IF(OR(U795=0,V795=0,Y795=0,AND(AH795=1,K795&lt;&gt;"Sim")),1,0))</f>
        <v>0</v>
      </c>
      <c r="AJ795" s="96">
        <f>IF(AND(R795=1,AA795&gt;0,AB795=AA795),1,0)</f>
        <v>0</v>
      </c>
      <c r="AK795" s="96">
        <f>IF(R795=0,0,IF(AA795&gt;0,N(L795),IF(ISNUMBER(I795),I795,0)))</f>
        <v>0</v>
      </c>
      <c r="AL795" s="96">
        <f>IF(R795=0,0,IF(AND(K795&lt;&gt;"Sim",N(M795)&gt;AK795+cfg_tol),1,0))</f>
        <v>0</v>
      </c>
      <c r="AM795" s="96">
        <f>IF(R795=0,0,IF(K795="Sim",0,IF(OR(AND(AA795&gt;0,ISNUMBER(I795),ABS(I795-N(L795))&gt;cfg_tol),AL795=1),1,0)))</f>
        <v>0</v>
      </c>
      <c r="AN795" s="96">
        <f>IF(AND(R795=1,N(M795)&gt;0,OR(N(M795)&gt;=AK795-cfg_tol,K795="Sim")),1,0)</f>
        <v>0</v>
      </c>
      <c r="AO795" s="96">
        <f>IF(AND(AN795=1,AD795&gt;0,AE795=AD795,AL795=0),1,0)</f>
        <v>0</v>
      </c>
      <c r="AP795" s="96">
        <f>IF(U795=0,0,IF(AND(INDEX('MTRs'!$AX$6:$AX$505,T795)=1,Z795=0,OR(f_res="",f_res="(Todos)",C795=f_res)),1,0))</f>
        <v>0</v>
      </c>
      <c r="AQ795" s="97" t="str">
        <f>IF(U795=0,"",INDEX('MTRs'!$AZ$6:$AZ$505,T795))</f>
        <v/>
      </c>
      <c r="AR795" s="96">
        <f>IF(U795=0,0,IF(AND(INDEX('MTRs'!$BA$6:$BA$505,T795)=1,Z795=0),1,0))</f>
        <v>0</v>
      </c>
      <c r="AS795" s="96" t="str">
        <f>IF(R795=1,A795&amp;" | MTR "&amp;IF(U795=1,INDEX('MTRs'!$B$6:$B$505,T795)&amp;"","?")&amp;" | "&amp;IF(C795="","(sem resíduo)",C795),"")</f>
        <v/>
      </c>
      <c r="AT795" s="96" t="str">
        <f>IF(R795=1,COUNTIF($R$6:R795,1),"")</f>
        <v/>
      </c>
      <c r="AU795" s="96" t="str">
        <f>IF(U795=1,INDEX('MTRs'!$I$6:$I$505,T795)&amp;"","")</f>
        <v/>
      </c>
    </row>
    <row r="796">
      <c r="A796" s="89" t="inlineStr">
        <is>
          <t>IT-000791</t>
        </is>
      </c>
      <c r="B796" s="91" t="n"/>
      <c r="C796" s="91" t="n"/>
      <c r="D796" s="94" t="str">
        <f>IF(OR(R796=0,V796=0),"",INDEX('CAD_RESÍDUOS'!$E$6:$E$205,MATCH(C796,'CAD_RESÍDUOS'!$B$6:$B$205,0))&amp;"")</f>
        <v/>
      </c>
      <c r="E796" s="94" t="str">
        <f>IF(OR(R796=0,V796=0),"",INDEX('CAD_RESÍDUOS'!$C$6:$C$205,MATCH(C796,'CAD_RESÍDUOS'!$B$6:$B$205,0))&amp;"")</f>
        <v/>
      </c>
      <c r="F796" s="94" t="str">
        <f>IF(OR(R796=0,V796=0),"",INDEX('CAD_RESÍDUOS'!$G$6:$G$205,MATCH(C796,'CAD_RESÍDUOS'!$B$6:$B$205,0))&amp;"")</f>
        <v/>
      </c>
      <c r="G796" s="98" t="n"/>
      <c r="H796" s="91" t="n"/>
      <c r="I796" s="93" t="str">
        <f>IF(R796=0,"",IF(NOT(ISNUMBER(G796)),"",IF(ISNUMBER(X796),G796*X796,"UNIDADE A CONFERIR")))</f>
        <v/>
      </c>
      <c r="J796" s="91" t="n"/>
      <c r="K796" s="91" t="n"/>
      <c r="L796" s="93" t="str">
        <f>IF(R796=0,"",SUMIFS('RECEBIMENTOS'!$H$6:$H$1005,'RECEBIMENTOS'!$R$6:$R$1005,A796,'RECEBIMENTOS'!$X$6:$X$1005,1))</f>
        <v/>
      </c>
      <c r="M796" s="93" t="str">
        <f>IF(R796=0,"",SUMIFS('VÍNCULOS_CDF'!$H$6:$H$1005,'VÍNCULOS_CDF'!$R$6:$R$1005,A796,'VÍNCULOS_CDF'!$V$6:$V$1005,1))</f>
        <v/>
      </c>
      <c r="N796" s="99" t="str">
        <f>IF(OR(R796=0,AA796=0,NOT(ISNUMBER(I796))),"",I796-N(L796))</f>
        <v/>
      </c>
      <c r="O796" s="100" t="str">
        <f>IF(OR(R796=0,AK796&lt;=0),"",N(M796)/AK796)</f>
        <v/>
      </c>
      <c r="P796" s="94" t="str">
        <f>IF(R796=0,"",IF(S796="","Sem MTR associado",IF(U796=0,"MTR inexistente",IF(C796="","Resíduo não identificado",IF(V796=0,"Resíduo fora do cadastro",IF(W796=0,"Quantidade inválida",IF(H796="","Unidade não informada",IF(NOT(ISNUMBER(I796)),"Unidade a conferir",IF(AND(AH796=1,K796&lt;&gt;"Sim"),"Possível duplicidade",IF(Z796=1,"MTR cancelado",IF(AC796&gt;0,"Recebimento com alerta",IF(AA796=0,"Aguardando recebimento",IF(AB796&lt;AA796,"Recebimento a conferir",IF(AM796=1,"Quantidade a revisar",IF(AF796&gt;0,"Vínculo a revisar",IF(AD796=0,"Aguardando CDF",IF(AN796=0,"Vínculo de CDF parcial",IF(AE796&lt;AD796,"CDF a conferir","Documentação conferida"))))))))))))))))))</f>
        <v/>
      </c>
      <c r="Q796" s="93" t="str">
        <f>IF(OR(R796=0,AA796=0),"",MAX(0,N(L796)-N(M796)))</f>
        <v/>
      </c>
      <c r="R796" s="96">
        <f>IF(COUNTA(B796:C796,G796:H796,J796:K796)&gt;0,1,0)</f>
        <v>0</v>
      </c>
      <c r="S796" s="96" t="str">
        <f>IF(B796="","",TRIM(LEFT(B796,FIND(" |",B796&amp;" |")-1)))</f>
        <v/>
      </c>
      <c r="T796" s="96" t="str">
        <f>IF(S796="","",IFERROR(MATCH(S796,'MTRs'!$A$6:$A$505,0),""))</f>
        <v/>
      </c>
      <c r="U796" s="96">
        <f>IF(T796="",0,IF(INDEX('MTRs'!$Z$6:$Z$505,T796)=1,1,0))</f>
        <v>0</v>
      </c>
      <c r="V796" s="96">
        <f>IF(C796="",0,IF(ISNUMBER(MATCH(C796,'CAD_RESÍDUOS'!$B$6:$B$205,0)),1,0))</f>
        <v>0</v>
      </c>
      <c r="W796" s="96">
        <f>IF(AND(ISNUMBER(G796),G796&gt;0),1,0)</f>
        <v>0</v>
      </c>
      <c r="X796" s="96" t="str">
        <f>IF(H796="","",IFERROR(IF(ISNUMBER(INDEX(cfg_fac,MATCH(H796,cfg_units,0))),IF(INDEX(cfg_fac,MATCH(H796,cfg_units,0))&gt;0,INDEX(cfg_fac,MATCH(H796,cfg_units,0)),""),""),""))</f>
        <v/>
      </c>
      <c r="Y796" s="96">
        <f>IF(AND(W796=1,ISNUMBER(I796)),1,0)</f>
        <v>0</v>
      </c>
      <c r="Z796" s="96">
        <f>IF(U796=1,INDEX('MTRs'!$AA$6:$AA$505,T796),0)</f>
        <v>0</v>
      </c>
      <c r="AA796" s="96">
        <f>IF(R796=0,0,COUNTIFS('RECEBIMENTOS'!$R$6:$R$1005,A796,'RECEBIMENTOS'!$Q$6:$Q$1005,1))</f>
        <v>0</v>
      </c>
      <c r="AB796" s="96">
        <f>IF(R796=0,0,COUNTIFS('RECEBIMENTOS'!$R$6:$R$1005,A796,'RECEBIMENTOS'!$Z$6:$Z$1005,1))</f>
        <v>0</v>
      </c>
      <c r="AC796" s="96">
        <f>IF(R796=0,0,COUNTIFS('RECEBIMENTOS'!$R$6:$R$1005,A796,'RECEBIMENTOS'!$Y$6:$Y$1005,1))</f>
        <v>0</v>
      </c>
      <c r="AD796" s="96">
        <f>IF(R796=0,0,COUNTIFS('VÍNCULOS_CDF'!$R$6:$R$1005,A796,'VÍNCULOS_CDF'!$N$6:$N$1005,1))</f>
        <v>0</v>
      </c>
      <c r="AE796" s="96">
        <f>IF(R796=0,0,COUNTIFS('VÍNCULOS_CDF'!$R$6:$R$1005,A796,'VÍNCULOS_CDF'!$AA$6:$AA$1005,1))</f>
        <v>0</v>
      </c>
      <c r="AF796" s="96">
        <f>IF(R796=0,0,COUNTIFS('VÍNCULOS_CDF'!$R$6:$R$1005,A796,'VÍNCULOS_CDF'!$Y$6:$Y$1005,1))</f>
        <v>0</v>
      </c>
      <c r="AG796" s="96" t="str">
        <f>IF(AND(R796=1,S796&lt;&gt;"",C796&lt;&gt;""),S796&amp;"|"&amp;C796&amp;"|"&amp;G796&amp;"|"&amp;H796,"")</f>
        <v/>
      </c>
      <c r="AH796" s="96">
        <f>IF(AG796="",0,IF(SUMPRODUCT(--($AG$6:$AG$1005=AG796))&gt;1,1,0))</f>
        <v>0</v>
      </c>
      <c r="AI796" s="96">
        <f>IF(R796=0,0,IF(OR(U796=0,V796=0,Y796=0,AND(AH796=1,K796&lt;&gt;"Sim")),1,0))</f>
        <v>0</v>
      </c>
      <c r="AJ796" s="96">
        <f>IF(AND(R796=1,AA796&gt;0,AB796=AA796),1,0)</f>
        <v>0</v>
      </c>
      <c r="AK796" s="96">
        <f>IF(R796=0,0,IF(AA796&gt;0,N(L796),IF(ISNUMBER(I796),I796,0)))</f>
        <v>0</v>
      </c>
      <c r="AL796" s="96">
        <f>IF(R796=0,0,IF(AND(K796&lt;&gt;"Sim",N(M796)&gt;AK796+cfg_tol),1,0))</f>
        <v>0</v>
      </c>
      <c r="AM796" s="96">
        <f>IF(R796=0,0,IF(K796="Sim",0,IF(OR(AND(AA796&gt;0,ISNUMBER(I796),ABS(I796-N(L796))&gt;cfg_tol),AL796=1),1,0)))</f>
        <v>0</v>
      </c>
      <c r="AN796" s="96">
        <f>IF(AND(R796=1,N(M796)&gt;0,OR(N(M796)&gt;=AK796-cfg_tol,K796="Sim")),1,0)</f>
        <v>0</v>
      </c>
      <c r="AO796" s="96">
        <f>IF(AND(AN796=1,AD796&gt;0,AE796=AD796,AL796=0),1,0)</f>
        <v>0</v>
      </c>
      <c r="AP796" s="96">
        <f>IF(U796=0,0,IF(AND(INDEX('MTRs'!$AX$6:$AX$505,T796)=1,Z796=0,OR(f_res="",f_res="(Todos)",C796=f_res)),1,0))</f>
        <v>0</v>
      </c>
      <c r="AQ796" s="97" t="str">
        <f>IF(U796=0,"",INDEX('MTRs'!$AZ$6:$AZ$505,T796))</f>
        <v/>
      </c>
      <c r="AR796" s="96">
        <f>IF(U796=0,0,IF(AND(INDEX('MTRs'!$BA$6:$BA$505,T796)=1,Z796=0),1,0))</f>
        <v>0</v>
      </c>
      <c r="AS796" s="96" t="str">
        <f>IF(R796=1,A796&amp;" | MTR "&amp;IF(U796=1,INDEX('MTRs'!$B$6:$B$505,T796)&amp;"","?")&amp;" | "&amp;IF(C796="","(sem resíduo)",C796),"")</f>
        <v/>
      </c>
      <c r="AT796" s="96" t="str">
        <f>IF(R796=1,COUNTIF($R$6:R796,1),"")</f>
        <v/>
      </c>
      <c r="AU796" s="96" t="str">
        <f>IF(U796=1,INDEX('MTRs'!$I$6:$I$505,T796)&amp;"","")</f>
        <v/>
      </c>
    </row>
    <row r="797">
      <c r="A797" s="89" t="inlineStr">
        <is>
          <t>IT-000792</t>
        </is>
      </c>
      <c r="B797" s="91" t="n"/>
      <c r="C797" s="91" t="n"/>
      <c r="D797" s="94" t="str">
        <f>IF(OR(R797=0,V797=0),"",INDEX('CAD_RESÍDUOS'!$E$6:$E$205,MATCH(C797,'CAD_RESÍDUOS'!$B$6:$B$205,0))&amp;"")</f>
        <v/>
      </c>
      <c r="E797" s="94" t="str">
        <f>IF(OR(R797=0,V797=0),"",INDEX('CAD_RESÍDUOS'!$C$6:$C$205,MATCH(C797,'CAD_RESÍDUOS'!$B$6:$B$205,0))&amp;"")</f>
        <v/>
      </c>
      <c r="F797" s="94" t="str">
        <f>IF(OR(R797=0,V797=0),"",INDEX('CAD_RESÍDUOS'!$G$6:$G$205,MATCH(C797,'CAD_RESÍDUOS'!$B$6:$B$205,0))&amp;"")</f>
        <v/>
      </c>
      <c r="G797" s="98" t="n"/>
      <c r="H797" s="91" t="n"/>
      <c r="I797" s="93" t="str">
        <f>IF(R797=0,"",IF(NOT(ISNUMBER(G797)),"",IF(ISNUMBER(X797),G797*X797,"UNIDADE A CONFERIR")))</f>
        <v/>
      </c>
      <c r="J797" s="91" t="n"/>
      <c r="K797" s="91" t="n"/>
      <c r="L797" s="93" t="str">
        <f>IF(R797=0,"",SUMIFS('RECEBIMENTOS'!$H$6:$H$1005,'RECEBIMENTOS'!$R$6:$R$1005,A797,'RECEBIMENTOS'!$X$6:$X$1005,1))</f>
        <v/>
      </c>
      <c r="M797" s="93" t="str">
        <f>IF(R797=0,"",SUMIFS('VÍNCULOS_CDF'!$H$6:$H$1005,'VÍNCULOS_CDF'!$R$6:$R$1005,A797,'VÍNCULOS_CDF'!$V$6:$V$1005,1))</f>
        <v/>
      </c>
      <c r="N797" s="99" t="str">
        <f>IF(OR(R797=0,AA797=0,NOT(ISNUMBER(I797))),"",I797-N(L797))</f>
        <v/>
      </c>
      <c r="O797" s="100" t="str">
        <f>IF(OR(R797=0,AK797&lt;=0),"",N(M797)/AK797)</f>
        <v/>
      </c>
      <c r="P797" s="94" t="str">
        <f>IF(R797=0,"",IF(S797="","Sem MTR associado",IF(U797=0,"MTR inexistente",IF(C797="","Resíduo não identificado",IF(V797=0,"Resíduo fora do cadastro",IF(W797=0,"Quantidade inválida",IF(H797="","Unidade não informada",IF(NOT(ISNUMBER(I797)),"Unidade a conferir",IF(AND(AH797=1,K797&lt;&gt;"Sim"),"Possível duplicidade",IF(Z797=1,"MTR cancelado",IF(AC797&gt;0,"Recebimento com alerta",IF(AA797=0,"Aguardando recebimento",IF(AB797&lt;AA797,"Recebimento a conferir",IF(AM797=1,"Quantidade a revisar",IF(AF797&gt;0,"Vínculo a revisar",IF(AD797=0,"Aguardando CDF",IF(AN797=0,"Vínculo de CDF parcial",IF(AE797&lt;AD797,"CDF a conferir","Documentação conferida"))))))))))))))))))</f>
        <v/>
      </c>
      <c r="Q797" s="93" t="str">
        <f>IF(OR(R797=0,AA797=0),"",MAX(0,N(L797)-N(M797)))</f>
        <v/>
      </c>
      <c r="R797" s="96">
        <f>IF(COUNTA(B797:C797,G797:H797,J797:K797)&gt;0,1,0)</f>
        <v>0</v>
      </c>
      <c r="S797" s="96" t="str">
        <f>IF(B797="","",TRIM(LEFT(B797,FIND(" |",B797&amp;" |")-1)))</f>
        <v/>
      </c>
      <c r="T797" s="96" t="str">
        <f>IF(S797="","",IFERROR(MATCH(S797,'MTRs'!$A$6:$A$505,0),""))</f>
        <v/>
      </c>
      <c r="U797" s="96">
        <f>IF(T797="",0,IF(INDEX('MTRs'!$Z$6:$Z$505,T797)=1,1,0))</f>
        <v>0</v>
      </c>
      <c r="V797" s="96">
        <f>IF(C797="",0,IF(ISNUMBER(MATCH(C797,'CAD_RESÍDUOS'!$B$6:$B$205,0)),1,0))</f>
        <v>0</v>
      </c>
      <c r="W797" s="96">
        <f>IF(AND(ISNUMBER(G797),G797&gt;0),1,0)</f>
        <v>0</v>
      </c>
      <c r="X797" s="96" t="str">
        <f>IF(H797="","",IFERROR(IF(ISNUMBER(INDEX(cfg_fac,MATCH(H797,cfg_units,0))),IF(INDEX(cfg_fac,MATCH(H797,cfg_units,0))&gt;0,INDEX(cfg_fac,MATCH(H797,cfg_units,0)),""),""),""))</f>
        <v/>
      </c>
      <c r="Y797" s="96">
        <f>IF(AND(W797=1,ISNUMBER(I797)),1,0)</f>
        <v>0</v>
      </c>
      <c r="Z797" s="96">
        <f>IF(U797=1,INDEX('MTRs'!$AA$6:$AA$505,T797),0)</f>
        <v>0</v>
      </c>
      <c r="AA797" s="96">
        <f>IF(R797=0,0,COUNTIFS('RECEBIMENTOS'!$R$6:$R$1005,A797,'RECEBIMENTOS'!$Q$6:$Q$1005,1))</f>
        <v>0</v>
      </c>
      <c r="AB797" s="96">
        <f>IF(R797=0,0,COUNTIFS('RECEBIMENTOS'!$R$6:$R$1005,A797,'RECEBIMENTOS'!$Z$6:$Z$1005,1))</f>
        <v>0</v>
      </c>
      <c r="AC797" s="96">
        <f>IF(R797=0,0,COUNTIFS('RECEBIMENTOS'!$R$6:$R$1005,A797,'RECEBIMENTOS'!$Y$6:$Y$1005,1))</f>
        <v>0</v>
      </c>
      <c r="AD797" s="96">
        <f>IF(R797=0,0,COUNTIFS('VÍNCULOS_CDF'!$R$6:$R$1005,A797,'VÍNCULOS_CDF'!$N$6:$N$1005,1))</f>
        <v>0</v>
      </c>
      <c r="AE797" s="96">
        <f>IF(R797=0,0,COUNTIFS('VÍNCULOS_CDF'!$R$6:$R$1005,A797,'VÍNCULOS_CDF'!$AA$6:$AA$1005,1))</f>
        <v>0</v>
      </c>
      <c r="AF797" s="96">
        <f>IF(R797=0,0,COUNTIFS('VÍNCULOS_CDF'!$R$6:$R$1005,A797,'VÍNCULOS_CDF'!$Y$6:$Y$1005,1))</f>
        <v>0</v>
      </c>
      <c r="AG797" s="96" t="str">
        <f>IF(AND(R797=1,S797&lt;&gt;"",C797&lt;&gt;""),S797&amp;"|"&amp;C797&amp;"|"&amp;G797&amp;"|"&amp;H797,"")</f>
        <v/>
      </c>
      <c r="AH797" s="96">
        <f>IF(AG797="",0,IF(SUMPRODUCT(--($AG$6:$AG$1005=AG797))&gt;1,1,0))</f>
        <v>0</v>
      </c>
      <c r="AI797" s="96">
        <f>IF(R797=0,0,IF(OR(U797=0,V797=0,Y797=0,AND(AH797=1,K797&lt;&gt;"Sim")),1,0))</f>
        <v>0</v>
      </c>
      <c r="AJ797" s="96">
        <f>IF(AND(R797=1,AA797&gt;0,AB797=AA797),1,0)</f>
        <v>0</v>
      </c>
      <c r="AK797" s="96">
        <f>IF(R797=0,0,IF(AA797&gt;0,N(L797),IF(ISNUMBER(I797),I797,0)))</f>
        <v>0</v>
      </c>
      <c r="AL797" s="96">
        <f>IF(R797=0,0,IF(AND(K797&lt;&gt;"Sim",N(M797)&gt;AK797+cfg_tol),1,0))</f>
        <v>0</v>
      </c>
      <c r="AM797" s="96">
        <f>IF(R797=0,0,IF(K797="Sim",0,IF(OR(AND(AA797&gt;0,ISNUMBER(I797),ABS(I797-N(L797))&gt;cfg_tol),AL797=1),1,0)))</f>
        <v>0</v>
      </c>
      <c r="AN797" s="96">
        <f>IF(AND(R797=1,N(M797)&gt;0,OR(N(M797)&gt;=AK797-cfg_tol,K797="Sim")),1,0)</f>
        <v>0</v>
      </c>
      <c r="AO797" s="96">
        <f>IF(AND(AN797=1,AD797&gt;0,AE797=AD797,AL797=0),1,0)</f>
        <v>0</v>
      </c>
      <c r="AP797" s="96">
        <f>IF(U797=0,0,IF(AND(INDEX('MTRs'!$AX$6:$AX$505,T797)=1,Z797=0,OR(f_res="",f_res="(Todos)",C797=f_res)),1,0))</f>
        <v>0</v>
      </c>
      <c r="AQ797" s="97" t="str">
        <f>IF(U797=0,"",INDEX('MTRs'!$AZ$6:$AZ$505,T797))</f>
        <v/>
      </c>
      <c r="AR797" s="96">
        <f>IF(U797=0,0,IF(AND(INDEX('MTRs'!$BA$6:$BA$505,T797)=1,Z797=0),1,0))</f>
        <v>0</v>
      </c>
      <c r="AS797" s="96" t="str">
        <f>IF(R797=1,A797&amp;" | MTR "&amp;IF(U797=1,INDEX('MTRs'!$B$6:$B$505,T797)&amp;"","?")&amp;" | "&amp;IF(C797="","(sem resíduo)",C797),"")</f>
        <v/>
      </c>
      <c r="AT797" s="96" t="str">
        <f>IF(R797=1,COUNTIF($R$6:R797,1),"")</f>
        <v/>
      </c>
      <c r="AU797" s="96" t="str">
        <f>IF(U797=1,INDEX('MTRs'!$I$6:$I$505,T797)&amp;"","")</f>
        <v/>
      </c>
    </row>
    <row r="798">
      <c r="A798" s="89" t="inlineStr">
        <is>
          <t>IT-000793</t>
        </is>
      </c>
      <c r="B798" s="91" t="n"/>
      <c r="C798" s="91" t="n"/>
      <c r="D798" s="94" t="str">
        <f>IF(OR(R798=0,V798=0),"",INDEX('CAD_RESÍDUOS'!$E$6:$E$205,MATCH(C798,'CAD_RESÍDUOS'!$B$6:$B$205,0))&amp;"")</f>
        <v/>
      </c>
      <c r="E798" s="94" t="str">
        <f>IF(OR(R798=0,V798=0),"",INDEX('CAD_RESÍDUOS'!$C$6:$C$205,MATCH(C798,'CAD_RESÍDUOS'!$B$6:$B$205,0))&amp;"")</f>
        <v/>
      </c>
      <c r="F798" s="94" t="str">
        <f>IF(OR(R798=0,V798=0),"",INDEX('CAD_RESÍDUOS'!$G$6:$G$205,MATCH(C798,'CAD_RESÍDUOS'!$B$6:$B$205,0))&amp;"")</f>
        <v/>
      </c>
      <c r="G798" s="98" t="n"/>
      <c r="H798" s="91" t="n"/>
      <c r="I798" s="93" t="str">
        <f>IF(R798=0,"",IF(NOT(ISNUMBER(G798)),"",IF(ISNUMBER(X798),G798*X798,"UNIDADE A CONFERIR")))</f>
        <v/>
      </c>
      <c r="J798" s="91" t="n"/>
      <c r="K798" s="91" t="n"/>
      <c r="L798" s="93" t="str">
        <f>IF(R798=0,"",SUMIFS('RECEBIMENTOS'!$H$6:$H$1005,'RECEBIMENTOS'!$R$6:$R$1005,A798,'RECEBIMENTOS'!$X$6:$X$1005,1))</f>
        <v/>
      </c>
      <c r="M798" s="93" t="str">
        <f>IF(R798=0,"",SUMIFS('VÍNCULOS_CDF'!$H$6:$H$1005,'VÍNCULOS_CDF'!$R$6:$R$1005,A798,'VÍNCULOS_CDF'!$V$6:$V$1005,1))</f>
        <v/>
      </c>
      <c r="N798" s="99" t="str">
        <f>IF(OR(R798=0,AA798=0,NOT(ISNUMBER(I798))),"",I798-N(L798))</f>
        <v/>
      </c>
      <c r="O798" s="100" t="str">
        <f>IF(OR(R798=0,AK798&lt;=0),"",N(M798)/AK798)</f>
        <v/>
      </c>
      <c r="P798" s="94" t="str">
        <f>IF(R798=0,"",IF(S798="","Sem MTR associado",IF(U798=0,"MTR inexistente",IF(C798="","Resíduo não identificado",IF(V798=0,"Resíduo fora do cadastro",IF(W798=0,"Quantidade inválida",IF(H798="","Unidade não informada",IF(NOT(ISNUMBER(I798)),"Unidade a conferir",IF(AND(AH798=1,K798&lt;&gt;"Sim"),"Possível duplicidade",IF(Z798=1,"MTR cancelado",IF(AC798&gt;0,"Recebimento com alerta",IF(AA798=0,"Aguardando recebimento",IF(AB798&lt;AA798,"Recebimento a conferir",IF(AM798=1,"Quantidade a revisar",IF(AF798&gt;0,"Vínculo a revisar",IF(AD798=0,"Aguardando CDF",IF(AN798=0,"Vínculo de CDF parcial",IF(AE798&lt;AD798,"CDF a conferir","Documentação conferida"))))))))))))))))))</f>
        <v/>
      </c>
      <c r="Q798" s="93" t="str">
        <f>IF(OR(R798=0,AA798=0),"",MAX(0,N(L798)-N(M798)))</f>
        <v/>
      </c>
      <c r="R798" s="96">
        <f>IF(COUNTA(B798:C798,G798:H798,J798:K798)&gt;0,1,0)</f>
        <v>0</v>
      </c>
      <c r="S798" s="96" t="str">
        <f>IF(B798="","",TRIM(LEFT(B798,FIND(" |",B798&amp;" |")-1)))</f>
        <v/>
      </c>
      <c r="T798" s="96" t="str">
        <f>IF(S798="","",IFERROR(MATCH(S798,'MTRs'!$A$6:$A$505,0),""))</f>
        <v/>
      </c>
      <c r="U798" s="96">
        <f>IF(T798="",0,IF(INDEX('MTRs'!$Z$6:$Z$505,T798)=1,1,0))</f>
        <v>0</v>
      </c>
      <c r="V798" s="96">
        <f>IF(C798="",0,IF(ISNUMBER(MATCH(C798,'CAD_RESÍDUOS'!$B$6:$B$205,0)),1,0))</f>
        <v>0</v>
      </c>
      <c r="W798" s="96">
        <f>IF(AND(ISNUMBER(G798),G798&gt;0),1,0)</f>
        <v>0</v>
      </c>
      <c r="X798" s="96" t="str">
        <f>IF(H798="","",IFERROR(IF(ISNUMBER(INDEX(cfg_fac,MATCH(H798,cfg_units,0))),IF(INDEX(cfg_fac,MATCH(H798,cfg_units,0))&gt;0,INDEX(cfg_fac,MATCH(H798,cfg_units,0)),""),""),""))</f>
        <v/>
      </c>
      <c r="Y798" s="96">
        <f>IF(AND(W798=1,ISNUMBER(I798)),1,0)</f>
        <v>0</v>
      </c>
      <c r="Z798" s="96">
        <f>IF(U798=1,INDEX('MTRs'!$AA$6:$AA$505,T798),0)</f>
        <v>0</v>
      </c>
      <c r="AA798" s="96">
        <f>IF(R798=0,0,COUNTIFS('RECEBIMENTOS'!$R$6:$R$1005,A798,'RECEBIMENTOS'!$Q$6:$Q$1005,1))</f>
        <v>0</v>
      </c>
      <c r="AB798" s="96">
        <f>IF(R798=0,0,COUNTIFS('RECEBIMENTOS'!$R$6:$R$1005,A798,'RECEBIMENTOS'!$Z$6:$Z$1005,1))</f>
        <v>0</v>
      </c>
      <c r="AC798" s="96">
        <f>IF(R798=0,0,COUNTIFS('RECEBIMENTOS'!$R$6:$R$1005,A798,'RECEBIMENTOS'!$Y$6:$Y$1005,1))</f>
        <v>0</v>
      </c>
      <c r="AD798" s="96">
        <f>IF(R798=0,0,COUNTIFS('VÍNCULOS_CDF'!$R$6:$R$1005,A798,'VÍNCULOS_CDF'!$N$6:$N$1005,1))</f>
        <v>0</v>
      </c>
      <c r="AE798" s="96">
        <f>IF(R798=0,0,COUNTIFS('VÍNCULOS_CDF'!$R$6:$R$1005,A798,'VÍNCULOS_CDF'!$AA$6:$AA$1005,1))</f>
        <v>0</v>
      </c>
      <c r="AF798" s="96">
        <f>IF(R798=0,0,COUNTIFS('VÍNCULOS_CDF'!$R$6:$R$1005,A798,'VÍNCULOS_CDF'!$Y$6:$Y$1005,1))</f>
        <v>0</v>
      </c>
      <c r="AG798" s="96" t="str">
        <f>IF(AND(R798=1,S798&lt;&gt;"",C798&lt;&gt;""),S798&amp;"|"&amp;C798&amp;"|"&amp;G798&amp;"|"&amp;H798,"")</f>
        <v/>
      </c>
      <c r="AH798" s="96">
        <f>IF(AG798="",0,IF(SUMPRODUCT(--($AG$6:$AG$1005=AG798))&gt;1,1,0))</f>
        <v>0</v>
      </c>
      <c r="AI798" s="96">
        <f>IF(R798=0,0,IF(OR(U798=0,V798=0,Y798=0,AND(AH798=1,K798&lt;&gt;"Sim")),1,0))</f>
        <v>0</v>
      </c>
      <c r="AJ798" s="96">
        <f>IF(AND(R798=1,AA798&gt;0,AB798=AA798),1,0)</f>
        <v>0</v>
      </c>
      <c r="AK798" s="96">
        <f>IF(R798=0,0,IF(AA798&gt;0,N(L798),IF(ISNUMBER(I798),I798,0)))</f>
        <v>0</v>
      </c>
      <c r="AL798" s="96">
        <f>IF(R798=0,0,IF(AND(K798&lt;&gt;"Sim",N(M798)&gt;AK798+cfg_tol),1,0))</f>
        <v>0</v>
      </c>
      <c r="AM798" s="96">
        <f>IF(R798=0,0,IF(K798="Sim",0,IF(OR(AND(AA798&gt;0,ISNUMBER(I798),ABS(I798-N(L798))&gt;cfg_tol),AL798=1),1,0)))</f>
        <v>0</v>
      </c>
      <c r="AN798" s="96">
        <f>IF(AND(R798=1,N(M798)&gt;0,OR(N(M798)&gt;=AK798-cfg_tol,K798="Sim")),1,0)</f>
        <v>0</v>
      </c>
      <c r="AO798" s="96">
        <f>IF(AND(AN798=1,AD798&gt;0,AE798=AD798,AL798=0),1,0)</f>
        <v>0</v>
      </c>
      <c r="AP798" s="96">
        <f>IF(U798=0,0,IF(AND(INDEX('MTRs'!$AX$6:$AX$505,T798)=1,Z798=0,OR(f_res="",f_res="(Todos)",C798=f_res)),1,0))</f>
        <v>0</v>
      </c>
      <c r="AQ798" s="97" t="str">
        <f>IF(U798=0,"",INDEX('MTRs'!$AZ$6:$AZ$505,T798))</f>
        <v/>
      </c>
      <c r="AR798" s="96">
        <f>IF(U798=0,0,IF(AND(INDEX('MTRs'!$BA$6:$BA$505,T798)=1,Z798=0),1,0))</f>
        <v>0</v>
      </c>
      <c r="AS798" s="96" t="str">
        <f>IF(R798=1,A798&amp;" | MTR "&amp;IF(U798=1,INDEX('MTRs'!$B$6:$B$505,T798)&amp;"","?")&amp;" | "&amp;IF(C798="","(sem resíduo)",C798),"")</f>
        <v/>
      </c>
      <c r="AT798" s="96" t="str">
        <f>IF(R798=1,COUNTIF($R$6:R798,1),"")</f>
        <v/>
      </c>
      <c r="AU798" s="96" t="str">
        <f>IF(U798=1,INDEX('MTRs'!$I$6:$I$505,T798)&amp;"","")</f>
        <v/>
      </c>
    </row>
    <row r="799">
      <c r="A799" s="89" t="inlineStr">
        <is>
          <t>IT-000794</t>
        </is>
      </c>
      <c r="B799" s="91" t="n"/>
      <c r="C799" s="91" t="n"/>
      <c r="D799" s="94" t="str">
        <f>IF(OR(R799=0,V799=0),"",INDEX('CAD_RESÍDUOS'!$E$6:$E$205,MATCH(C799,'CAD_RESÍDUOS'!$B$6:$B$205,0))&amp;"")</f>
        <v/>
      </c>
      <c r="E799" s="94" t="str">
        <f>IF(OR(R799=0,V799=0),"",INDEX('CAD_RESÍDUOS'!$C$6:$C$205,MATCH(C799,'CAD_RESÍDUOS'!$B$6:$B$205,0))&amp;"")</f>
        <v/>
      </c>
      <c r="F799" s="94" t="str">
        <f>IF(OR(R799=0,V799=0),"",INDEX('CAD_RESÍDUOS'!$G$6:$G$205,MATCH(C799,'CAD_RESÍDUOS'!$B$6:$B$205,0))&amp;"")</f>
        <v/>
      </c>
      <c r="G799" s="98" t="n"/>
      <c r="H799" s="91" t="n"/>
      <c r="I799" s="93" t="str">
        <f>IF(R799=0,"",IF(NOT(ISNUMBER(G799)),"",IF(ISNUMBER(X799),G799*X799,"UNIDADE A CONFERIR")))</f>
        <v/>
      </c>
      <c r="J799" s="91" t="n"/>
      <c r="K799" s="91" t="n"/>
      <c r="L799" s="93" t="str">
        <f>IF(R799=0,"",SUMIFS('RECEBIMENTOS'!$H$6:$H$1005,'RECEBIMENTOS'!$R$6:$R$1005,A799,'RECEBIMENTOS'!$X$6:$X$1005,1))</f>
        <v/>
      </c>
      <c r="M799" s="93" t="str">
        <f>IF(R799=0,"",SUMIFS('VÍNCULOS_CDF'!$H$6:$H$1005,'VÍNCULOS_CDF'!$R$6:$R$1005,A799,'VÍNCULOS_CDF'!$V$6:$V$1005,1))</f>
        <v/>
      </c>
      <c r="N799" s="99" t="str">
        <f>IF(OR(R799=0,AA799=0,NOT(ISNUMBER(I799))),"",I799-N(L799))</f>
        <v/>
      </c>
      <c r="O799" s="100" t="str">
        <f>IF(OR(R799=0,AK799&lt;=0),"",N(M799)/AK799)</f>
        <v/>
      </c>
      <c r="P799" s="94" t="str">
        <f>IF(R799=0,"",IF(S799="","Sem MTR associado",IF(U799=0,"MTR inexistente",IF(C799="","Resíduo não identificado",IF(V799=0,"Resíduo fora do cadastro",IF(W799=0,"Quantidade inválida",IF(H799="","Unidade não informada",IF(NOT(ISNUMBER(I799)),"Unidade a conferir",IF(AND(AH799=1,K799&lt;&gt;"Sim"),"Possível duplicidade",IF(Z799=1,"MTR cancelado",IF(AC799&gt;0,"Recebimento com alerta",IF(AA799=0,"Aguardando recebimento",IF(AB799&lt;AA799,"Recebimento a conferir",IF(AM799=1,"Quantidade a revisar",IF(AF799&gt;0,"Vínculo a revisar",IF(AD799=0,"Aguardando CDF",IF(AN799=0,"Vínculo de CDF parcial",IF(AE799&lt;AD799,"CDF a conferir","Documentação conferida"))))))))))))))))))</f>
        <v/>
      </c>
      <c r="Q799" s="93" t="str">
        <f>IF(OR(R799=0,AA799=0),"",MAX(0,N(L799)-N(M799)))</f>
        <v/>
      </c>
      <c r="R799" s="96">
        <f>IF(COUNTA(B799:C799,G799:H799,J799:K799)&gt;0,1,0)</f>
        <v>0</v>
      </c>
      <c r="S799" s="96" t="str">
        <f>IF(B799="","",TRIM(LEFT(B799,FIND(" |",B799&amp;" |")-1)))</f>
        <v/>
      </c>
      <c r="T799" s="96" t="str">
        <f>IF(S799="","",IFERROR(MATCH(S799,'MTRs'!$A$6:$A$505,0),""))</f>
        <v/>
      </c>
      <c r="U799" s="96">
        <f>IF(T799="",0,IF(INDEX('MTRs'!$Z$6:$Z$505,T799)=1,1,0))</f>
        <v>0</v>
      </c>
      <c r="V799" s="96">
        <f>IF(C799="",0,IF(ISNUMBER(MATCH(C799,'CAD_RESÍDUOS'!$B$6:$B$205,0)),1,0))</f>
        <v>0</v>
      </c>
      <c r="W799" s="96">
        <f>IF(AND(ISNUMBER(G799),G799&gt;0),1,0)</f>
        <v>0</v>
      </c>
      <c r="X799" s="96" t="str">
        <f>IF(H799="","",IFERROR(IF(ISNUMBER(INDEX(cfg_fac,MATCH(H799,cfg_units,0))),IF(INDEX(cfg_fac,MATCH(H799,cfg_units,0))&gt;0,INDEX(cfg_fac,MATCH(H799,cfg_units,0)),""),""),""))</f>
        <v/>
      </c>
      <c r="Y799" s="96">
        <f>IF(AND(W799=1,ISNUMBER(I799)),1,0)</f>
        <v>0</v>
      </c>
      <c r="Z799" s="96">
        <f>IF(U799=1,INDEX('MTRs'!$AA$6:$AA$505,T799),0)</f>
        <v>0</v>
      </c>
      <c r="AA799" s="96">
        <f>IF(R799=0,0,COUNTIFS('RECEBIMENTOS'!$R$6:$R$1005,A799,'RECEBIMENTOS'!$Q$6:$Q$1005,1))</f>
        <v>0</v>
      </c>
      <c r="AB799" s="96">
        <f>IF(R799=0,0,COUNTIFS('RECEBIMENTOS'!$R$6:$R$1005,A799,'RECEBIMENTOS'!$Z$6:$Z$1005,1))</f>
        <v>0</v>
      </c>
      <c r="AC799" s="96">
        <f>IF(R799=0,0,COUNTIFS('RECEBIMENTOS'!$R$6:$R$1005,A799,'RECEBIMENTOS'!$Y$6:$Y$1005,1))</f>
        <v>0</v>
      </c>
      <c r="AD799" s="96">
        <f>IF(R799=0,0,COUNTIFS('VÍNCULOS_CDF'!$R$6:$R$1005,A799,'VÍNCULOS_CDF'!$N$6:$N$1005,1))</f>
        <v>0</v>
      </c>
      <c r="AE799" s="96">
        <f>IF(R799=0,0,COUNTIFS('VÍNCULOS_CDF'!$R$6:$R$1005,A799,'VÍNCULOS_CDF'!$AA$6:$AA$1005,1))</f>
        <v>0</v>
      </c>
      <c r="AF799" s="96">
        <f>IF(R799=0,0,COUNTIFS('VÍNCULOS_CDF'!$R$6:$R$1005,A799,'VÍNCULOS_CDF'!$Y$6:$Y$1005,1))</f>
        <v>0</v>
      </c>
      <c r="AG799" s="96" t="str">
        <f>IF(AND(R799=1,S799&lt;&gt;"",C799&lt;&gt;""),S799&amp;"|"&amp;C799&amp;"|"&amp;G799&amp;"|"&amp;H799,"")</f>
        <v/>
      </c>
      <c r="AH799" s="96">
        <f>IF(AG799="",0,IF(SUMPRODUCT(--($AG$6:$AG$1005=AG799))&gt;1,1,0))</f>
        <v>0</v>
      </c>
      <c r="AI799" s="96">
        <f>IF(R799=0,0,IF(OR(U799=0,V799=0,Y799=0,AND(AH799=1,K799&lt;&gt;"Sim")),1,0))</f>
        <v>0</v>
      </c>
      <c r="AJ799" s="96">
        <f>IF(AND(R799=1,AA799&gt;0,AB799=AA799),1,0)</f>
        <v>0</v>
      </c>
      <c r="AK799" s="96">
        <f>IF(R799=0,0,IF(AA799&gt;0,N(L799),IF(ISNUMBER(I799),I799,0)))</f>
        <v>0</v>
      </c>
      <c r="AL799" s="96">
        <f>IF(R799=0,0,IF(AND(K799&lt;&gt;"Sim",N(M799)&gt;AK799+cfg_tol),1,0))</f>
        <v>0</v>
      </c>
      <c r="AM799" s="96">
        <f>IF(R799=0,0,IF(K799="Sim",0,IF(OR(AND(AA799&gt;0,ISNUMBER(I799),ABS(I799-N(L799))&gt;cfg_tol),AL799=1),1,0)))</f>
        <v>0</v>
      </c>
      <c r="AN799" s="96">
        <f>IF(AND(R799=1,N(M799)&gt;0,OR(N(M799)&gt;=AK799-cfg_tol,K799="Sim")),1,0)</f>
        <v>0</v>
      </c>
      <c r="AO799" s="96">
        <f>IF(AND(AN799=1,AD799&gt;0,AE799=AD799,AL799=0),1,0)</f>
        <v>0</v>
      </c>
      <c r="AP799" s="96">
        <f>IF(U799=0,0,IF(AND(INDEX('MTRs'!$AX$6:$AX$505,T799)=1,Z799=0,OR(f_res="",f_res="(Todos)",C799=f_res)),1,0))</f>
        <v>0</v>
      </c>
      <c r="AQ799" s="97" t="str">
        <f>IF(U799=0,"",INDEX('MTRs'!$AZ$6:$AZ$505,T799))</f>
        <v/>
      </c>
      <c r="AR799" s="96">
        <f>IF(U799=0,0,IF(AND(INDEX('MTRs'!$BA$6:$BA$505,T799)=1,Z799=0),1,0))</f>
        <v>0</v>
      </c>
      <c r="AS799" s="96" t="str">
        <f>IF(R799=1,A799&amp;" | MTR "&amp;IF(U799=1,INDEX('MTRs'!$B$6:$B$505,T799)&amp;"","?")&amp;" | "&amp;IF(C799="","(sem resíduo)",C799),"")</f>
        <v/>
      </c>
      <c r="AT799" s="96" t="str">
        <f>IF(R799=1,COUNTIF($R$6:R799,1),"")</f>
        <v/>
      </c>
      <c r="AU799" s="96" t="str">
        <f>IF(U799=1,INDEX('MTRs'!$I$6:$I$505,T799)&amp;"","")</f>
        <v/>
      </c>
    </row>
    <row r="800">
      <c r="A800" s="89" t="inlineStr">
        <is>
          <t>IT-000795</t>
        </is>
      </c>
      <c r="B800" s="91" t="n"/>
      <c r="C800" s="91" t="n"/>
      <c r="D800" s="94" t="str">
        <f>IF(OR(R800=0,V800=0),"",INDEX('CAD_RESÍDUOS'!$E$6:$E$205,MATCH(C800,'CAD_RESÍDUOS'!$B$6:$B$205,0))&amp;"")</f>
        <v/>
      </c>
      <c r="E800" s="94" t="str">
        <f>IF(OR(R800=0,V800=0),"",INDEX('CAD_RESÍDUOS'!$C$6:$C$205,MATCH(C800,'CAD_RESÍDUOS'!$B$6:$B$205,0))&amp;"")</f>
        <v/>
      </c>
      <c r="F800" s="94" t="str">
        <f>IF(OR(R800=0,V800=0),"",INDEX('CAD_RESÍDUOS'!$G$6:$G$205,MATCH(C800,'CAD_RESÍDUOS'!$B$6:$B$205,0))&amp;"")</f>
        <v/>
      </c>
      <c r="G800" s="98" t="n"/>
      <c r="H800" s="91" t="n"/>
      <c r="I800" s="93" t="str">
        <f>IF(R800=0,"",IF(NOT(ISNUMBER(G800)),"",IF(ISNUMBER(X800),G800*X800,"UNIDADE A CONFERIR")))</f>
        <v/>
      </c>
      <c r="J800" s="91" t="n"/>
      <c r="K800" s="91" t="n"/>
      <c r="L800" s="93" t="str">
        <f>IF(R800=0,"",SUMIFS('RECEBIMENTOS'!$H$6:$H$1005,'RECEBIMENTOS'!$R$6:$R$1005,A800,'RECEBIMENTOS'!$X$6:$X$1005,1))</f>
        <v/>
      </c>
      <c r="M800" s="93" t="str">
        <f>IF(R800=0,"",SUMIFS('VÍNCULOS_CDF'!$H$6:$H$1005,'VÍNCULOS_CDF'!$R$6:$R$1005,A800,'VÍNCULOS_CDF'!$V$6:$V$1005,1))</f>
        <v/>
      </c>
      <c r="N800" s="99" t="str">
        <f>IF(OR(R800=0,AA800=0,NOT(ISNUMBER(I800))),"",I800-N(L800))</f>
        <v/>
      </c>
      <c r="O800" s="100" t="str">
        <f>IF(OR(R800=0,AK800&lt;=0),"",N(M800)/AK800)</f>
        <v/>
      </c>
      <c r="P800" s="94" t="str">
        <f>IF(R800=0,"",IF(S800="","Sem MTR associado",IF(U800=0,"MTR inexistente",IF(C800="","Resíduo não identificado",IF(V800=0,"Resíduo fora do cadastro",IF(W800=0,"Quantidade inválida",IF(H800="","Unidade não informada",IF(NOT(ISNUMBER(I800)),"Unidade a conferir",IF(AND(AH800=1,K800&lt;&gt;"Sim"),"Possível duplicidade",IF(Z800=1,"MTR cancelado",IF(AC800&gt;0,"Recebimento com alerta",IF(AA800=0,"Aguardando recebimento",IF(AB800&lt;AA800,"Recebimento a conferir",IF(AM800=1,"Quantidade a revisar",IF(AF800&gt;0,"Vínculo a revisar",IF(AD800=0,"Aguardando CDF",IF(AN800=0,"Vínculo de CDF parcial",IF(AE800&lt;AD800,"CDF a conferir","Documentação conferida"))))))))))))))))))</f>
        <v/>
      </c>
      <c r="Q800" s="93" t="str">
        <f>IF(OR(R800=0,AA800=0),"",MAX(0,N(L800)-N(M800)))</f>
        <v/>
      </c>
      <c r="R800" s="96">
        <f>IF(COUNTA(B800:C800,G800:H800,J800:K800)&gt;0,1,0)</f>
        <v>0</v>
      </c>
      <c r="S800" s="96" t="str">
        <f>IF(B800="","",TRIM(LEFT(B800,FIND(" |",B800&amp;" |")-1)))</f>
        <v/>
      </c>
      <c r="T800" s="96" t="str">
        <f>IF(S800="","",IFERROR(MATCH(S800,'MTRs'!$A$6:$A$505,0),""))</f>
        <v/>
      </c>
      <c r="U800" s="96">
        <f>IF(T800="",0,IF(INDEX('MTRs'!$Z$6:$Z$505,T800)=1,1,0))</f>
        <v>0</v>
      </c>
      <c r="V800" s="96">
        <f>IF(C800="",0,IF(ISNUMBER(MATCH(C800,'CAD_RESÍDUOS'!$B$6:$B$205,0)),1,0))</f>
        <v>0</v>
      </c>
      <c r="W800" s="96">
        <f>IF(AND(ISNUMBER(G800),G800&gt;0),1,0)</f>
        <v>0</v>
      </c>
      <c r="X800" s="96" t="str">
        <f>IF(H800="","",IFERROR(IF(ISNUMBER(INDEX(cfg_fac,MATCH(H800,cfg_units,0))),IF(INDEX(cfg_fac,MATCH(H800,cfg_units,0))&gt;0,INDEX(cfg_fac,MATCH(H800,cfg_units,0)),""),""),""))</f>
        <v/>
      </c>
      <c r="Y800" s="96">
        <f>IF(AND(W800=1,ISNUMBER(I800)),1,0)</f>
        <v>0</v>
      </c>
      <c r="Z800" s="96">
        <f>IF(U800=1,INDEX('MTRs'!$AA$6:$AA$505,T800),0)</f>
        <v>0</v>
      </c>
      <c r="AA800" s="96">
        <f>IF(R800=0,0,COUNTIFS('RECEBIMENTOS'!$R$6:$R$1005,A800,'RECEBIMENTOS'!$Q$6:$Q$1005,1))</f>
        <v>0</v>
      </c>
      <c r="AB800" s="96">
        <f>IF(R800=0,0,COUNTIFS('RECEBIMENTOS'!$R$6:$R$1005,A800,'RECEBIMENTOS'!$Z$6:$Z$1005,1))</f>
        <v>0</v>
      </c>
      <c r="AC800" s="96">
        <f>IF(R800=0,0,COUNTIFS('RECEBIMENTOS'!$R$6:$R$1005,A800,'RECEBIMENTOS'!$Y$6:$Y$1005,1))</f>
        <v>0</v>
      </c>
      <c r="AD800" s="96">
        <f>IF(R800=0,0,COUNTIFS('VÍNCULOS_CDF'!$R$6:$R$1005,A800,'VÍNCULOS_CDF'!$N$6:$N$1005,1))</f>
        <v>0</v>
      </c>
      <c r="AE800" s="96">
        <f>IF(R800=0,0,COUNTIFS('VÍNCULOS_CDF'!$R$6:$R$1005,A800,'VÍNCULOS_CDF'!$AA$6:$AA$1005,1))</f>
        <v>0</v>
      </c>
      <c r="AF800" s="96">
        <f>IF(R800=0,0,COUNTIFS('VÍNCULOS_CDF'!$R$6:$R$1005,A800,'VÍNCULOS_CDF'!$Y$6:$Y$1005,1))</f>
        <v>0</v>
      </c>
      <c r="AG800" s="96" t="str">
        <f>IF(AND(R800=1,S800&lt;&gt;"",C800&lt;&gt;""),S800&amp;"|"&amp;C800&amp;"|"&amp;G800&amp;"|"&amp;H800,"")</f>
        <v/>
      </c>
      <c r="AH800" s="96">
        <f>IF(AG800="",0,IF(SUMPRODUCT(--($AG$6:$AG$1005=AG800))&gt;1,1,0))</f>
        <v>0</v>
      </c>
      <c r="AI800" s="96">
        <f>IF(R800=0,0,IF(OR(U800=0,V800=0,Y800=0,AND(AH800=1,K800&lt;&gt;"Sim")),1,0))</f>
        <v>0</v>
      </c>
      <c r="AJ800" s="96">
        <f>IF(AND(R800=1,AA800&gt;0,AB800=AA800),1,0)</f>
        <v>0</v>
      </c>
      <c r="AK800" s="96">
        <f>IF(R800=0,0,IF(AA800&gt;0,N(L800),IF(ISNUMBER(I800),I800,0)))</f>
        <v>0</v>
      </c>
      <c r="AL800" s="96">
        <f>IF(R800=0,0,IF(AND(K800&lt;&gt;"Sim",N(M800)&gt;AK800+cfg_tol),1,0))</f>
        <v>0</v>
      </c>
      <c r="AM800" s="96">
        <f>IF(R800=0,0,IF(K800="Sim",0,IF(OR(AND(AA800&gt;0,ISNUMBER(I800),ABS(I800-N(L800))&gt;cfg_tol),AL800=1),1,0)))</f>
        <v>0</v>
      </c>
      <c r="AN800" s="96">
        <f>IF(AND(R800=1,N(M800)&gt;0,OR(N(M800)&gt;=AK800-cfg_tol,K800="Sim")),1,0)</f>
        <v>0</v>
      </c>
      <c r="AO800" s="96">
        <f>IF(AND(AN800=1,AD800&gt;0,AE800=AD800,AL800=0),1,0)</f>
        <v>0</v>
      </c>
      <c r="AP800" s="96">
        <f>IF(U800=0,0,IF(AND(INDEX('MTRs'!$AX$6:$AX$505,T800)=1,Z800=0,OR(f_res="",f_res="(Todos)",C800=f_res)),1,0))</f>
        <v>0</v>
      </c>
      <c r="AQ800" s="97" t="str">
        <f>IF(U800=0,"",INDEX('MTRs'!$AZ$6:$AZ$505,T800))</f>
        <v/>
      </c>
      <c r="AR800" s="96">
        <f>IF(U800=0,0,IF(AND(INDEX('MTRs'!$BA$6:$BA$505,T800)=1,Z800=0),1,0))</f>
        <v>0</v>
      </c>
      <c r="AS800" s="96" t="str">
        <f>IF(R800=1,A800&amp;" | MTR "&amp;IF(U800=1,INDEX('MTRs'!$B$6:$B$505,T800)&amp;"","?")&amp;" | "&amp;IF(C800="","(sem resíduo)",C800),"")</f>
        <v/>
      </c>
      <c r="AT800" s="96" t="str">
        <f>IF(R800=1,COUNTIF($R$6:R800,1),"")</f>
        <v/>
      </c>
      <c r="AU800" s="96" t="str">
        <f>IF(U800=1,INDEX('MTRs'!$I$6:$I$505,T800)&amp;"","")</f>
        <v/>
      </c>
    </row>
    <row r="801">
      <c r="A801" s="89" t="inlineStr">
        <is>
          <t>IT-000796</t>
        </is>
      </c>
      <c r="B801" s="91" t="n"/>
      <c r="C801" s="91" t="n"/>
      <c r="D801" s="94" t="str">
        <f>IF(OR(R801=0,V801=0),"",INDEX('CAD_RESÍDUOS'!$E$6:$E$205,MATCH(C801,'CAD_RESÍDUOS'!$B$6:$B$205,0))&amp;"")</f>
        <v/>
      </c>
      <c r="E801" s="94" t="str">
        <f>IF(OR(R801=0,V801=0),"",INDEX('CAD_RESÍDUOS'!$C$6:$C$205,MATCH(C801,'CAD_RESÍDUOS'!$B$6:$B$205,0))&amp;"")</f>
        <v/>
      </c>
      <c r="F801" s="94" t="str">
        <f>IF(OR(R801=0,V801=0),"",INDEX('CAD_RESÍDUOS'!$G$6:$G$205,MATCH(C801,'CAD_RESÍDUOS'!$B$6:$B$205,0))&amp;"")</f>
        <v/>
      </c>
      <c r="G801" s="98" t="n"/>
      <c r="H801" s="91" t="n"/>
      <c r="I801" s="93" t="str">
        <f>IF(R801=0,"",IF(NOT(ISNUMBER(G801)),"",IF(ISNUMBER(X801),G801*X801,"UNIDADE A CONFERIR")))</f>
        <v/>
      </c>
      <c r="J801" s="91" t="n"/>
      <c r="K801" s="91" t="n"/>
      <c r="L801" s="93" t="str">
        <f>IF(R801=0,"",SUMIFS('RECEBIMENTOS'!$H$6:$H$1005,'RECEBIMENTOS'!$R$6:$R$1005,A801,'RECEBIMENTOS'!$X$6:$X$1005,1))</f>
        <v/>
      </c>
      <c r="M801" s="93" t="str">
        <f>IF(R801=0,"",SUMIFS('VÍNCULOS_CDF'!$H$6:$H$1005,'VÍNCULOS_CDF'!$R$6:$R$1005,A801,'VÍNCULOS_CDF'!$V$6:$V$1005,1))</f>
        <v/>
      </c>
      <c r="N801" s="99" t="str">
        <f>IF(OR(R801=0,AA801=0,NOT(ISNUMBER(I801))),"",I801-N(L801))</f>
        <v/>
      </c>
      <c r="O801" s="100" t="str">
        <f>IF(OR(R801=0,AK801&lt;=0),"",N(M801)/AK801)</f>
        <v/>
      </c>
      <c r="P801" s="94" t="str">
        <f>IF(R801=0,"",IF(S801="","Sem MTR associado",IF(U801=0,"MTR inexistente",IF(C801="","Resíduo não identificado",IF(V801=0,"Resíduo fora do cadastro",IF(W801=0,"Quantidade inválida",IF(H801="","Unidade não informada",IF(NOT(ISNUMBER(I801)),"Unidade a conferir",IF(AND(AH801=1,K801&lt;&gt;"Sim"),"Possível duplicidade",IF(Z801=1,"MTR cancelado",IF(AC801&gt;0,"Recebimento com alerta",IF(AA801=0,"Aguardando recebimento",IF(AB801&lt;AA801,"Recebimento a conferir",IF(AM801=1,"Quantidade a revisar",IF(AF801&gt;0,"Vínculo a revisar",IF(AD801=0,"Aguardando CDF",IF(AN801=0,"Vínculo de CDF parcial",IF(AE801&lt;AD801,"CDF a conferir","Documentação conferida"))))))))))))))))))</f>
        <v/>
      </c>
      <c r="Q801" s="93" t="str">
        <f>IF(OR(R801=0,AA801=0),"",MAX(0,N(L801)-N(M801)))</f>
        <v/>
      </c>
      <c r="R801" s="96">
        <f>IF(COUNTA(B801:C801,G801:H801,J801:K801)&gt;0,1,0)</f>
        <v>0</v>
      </c>
      <c r="S801" s="96" t="str">
        <f>IF(B801="","",TRIM(LEFT(B801,FIND(" |",B801&amp;" |")-1)))</f>
        <v/>
      </c>
      <c r="T801" s="96" t="str">
        <f>IF(S801="","",IFERROR(MATCH(S801,'MTRs'!$A$6:$A$505,0),""))</f>
        <v/>
      </c>
      <c r="U801" s="96">
        <f>IF(T801="",0,IF(INDEX('MTRs'!$Z$6:$Z$505,T801)=1,1,0))</f>
        <v>0</v>
      </c>
      <c r="V801" s="96">
        <f>IF(C801="",0,IF(ISNUMBER(MATCH(C801,'CAD_RESÍDUOS'!$B$6:$B$205,0)),1,0))</f>
        <v>0</v>
      </c>
      <c r="W801" s="96">
        <f>IF(AND(ISNUMBER(G801),G801&gt;0),1,0)</f>
        <v>0</v>
      </c>
      <c r="X801" s="96" t="str">
        <f>IF(H801="","",IFERROR(IF(ISNUMBER(INDEX(cfg_fac,MATCH(H801,cfg_units,0))),IF(INDEX(cfg_fac,MATCH(H801,cfg_units,0))&gt;0,INDEX(cfg_fac,MATCH(H801,cfg_units,0)),""),""),""))</f>
        <v/>
      </c>
      <c r="Y801" s="96">
        <f>IF(AND(W801=1,ISNUMBER(I801)),1,0)</f>
        <v>0</v>
      </c>
      <c r="Z801" s="96">
        <f>IF(U801=1,INDEX('MTRs'!$AA$6:$AA$505,T801),0)</f>
        <v>0</v>
      </c>
      <c r="AA801" s="96">
        <f>IF(R801=0,0,COUNTIFS('RECEBIMENTOS'!$R$6:$R$1005,A801,'RECEBIMENTOS'!$Q$6:$Q$1005,1))</f>
        <v>0</v>
      </c>
      <c r="AB801" s="96">
        <f>IF(R801=0,0,COUNTIFS('RECEBIMENTOS'!$R$6:$R$1005,A801,'RECEBIMENTOS'!$Z$6:$Z$1005,1))</f>
        <v>0</v>
      </c>
      <c r="AC801" s="96">
        <f>IF(R801=0,0,COUNTIFS('RECEBIMENTOS'!$R$6:$R$1005,A801,'RECEBIMENTOS'!$Y$6:$Y$1005,1))</f>
        <v>0</v>
      </c>
      <c r="AD801" s="96">
        <f>IF(R801=0,0,COUNTIFS('VÍNCULOS_CDF'!$R$6:$R$1005,A801,'VÍNCULOS_CDF'!$N$6:$N$1005,1))</f>
        <v>0</v>
      </c>
      <c r="AE801" s="96">
        <f>IF(R801=0,0,COUNTIFS('VÍNCULOS_CDF'!$R$6:$R$1005,A801,'VÍNCULOS_CDF'!$AA$6:$AA$1005,1))</f>
        <v>0</v>
      </c>
      <c r="AF801" s="96">
        <f>IF(R801=0,0,COUNTIFS('VÍNCULOS_CDF'!$R$6:$R$1005,A801,'VÍNCULOS_CDF'!$Y$6:$Y$1005,1))</f>
        <v>0</v>
      </c>
      <c r="AG801" s="96" t="str">
        <f>IF(AND(R801=1,S801&lt;&gt;"",C801&lt;&gt;""),S801&amp;"|"&amp;C801&amp;"|"&amp;G801&amp;"|"&amp;H801,"")</f>
        <v/>
      </c>
      <c r="AH801" s="96">
        <f>IF(AG801="",0,IF(SUMPRODUCT(--($AG$6:$AG$1005=AG801))&gt;1,1,0))</f>
        <v>0</v>
      </c>
      <c r="AI801" s="96">
        <f>IF(R801=0,0,IF(OR(U801=0,V801=0,Y801=0,AND(AH801=1,K801&lt;&gt;"Sim")),1,0))</f>
        <v>0</v>
      </c>
      <c r="AJ801" s="96">
        <f>IF(AND(R801=1,AA801&gt;0,AB801=AA801),1,0)</f>
        <v>0</v>
      </c>
      <c r="AK801" s="96">
        <f>IF(R801=0,0,IF(AA801&gt;0,N(L801),IF(ISNUMBER(I801),I801,0)))</f>
        <v>0</v>
      </c>
      <c r="AL801" s="96">
        <f>IF(R801=0,0,IF(AND(K801&lt;&gt;"Sim",N(M801)&gt;AK801+cfg_tol),1,0))</f>
        <v>0</v>
      </c>
      <c r="AM801" s="96">
        <f>IF(R801=0,0,IF(K801="Sim",0,IF(OR(AND(AA801&gt;0,ISNUMBER(I801),ABS(I801-N(L801))&gt;cfg_tol),AL801=1),1,0)))</f>
        <v>0</v>
      </c>
      <c r="AN801" s="96">
        <f>IF(AND(R801=1,N(M801)&gt;0,OR(N(M801)&gt;=AK801-cfg_tol,K801="Sim")),1,0)</f>
        <v>0</v>
      </c>
      <c r="AO801" s="96">
        <f>IF(AND(AN801=1,AD801&gt;0,AE801=AD801,AL801=0),1,0)</f>
        <v>0</v>
      </c>
      <c r="AP801" s="96">
        <f>IF(U801=0,0,IF(AND(INDEX('MTRs'!$AX$6:$AX$505,T801)=1,Z801=0,OR(f_res="",f_res="(Todos)",C801=f_res)),1,0))</f>
        <v>0</v>
      </c>
      <c r="AQ801" s="97" t="str">
        <f>IF(U801=0,"",INDEX('MTRs'!$AZ$6:$AZ$505,T801))</f>
        <v/>
      </c>
      <c r="AR801" s="96">
        <f>IF(U801=0,0,IF(AND(INDEX('MTRs'!$BA$6:$BA$505,T801)=1,Z801=0),1,0))</f>
        <v>0</v>
      </c>
      <c r="AS801" s="96" t="str">
        <f>IF(R801=1,A801&amp;" | MTR "&amp;IF(U801=1,INDEX('MTRs'!$B$6:$B$505,T801)&amp;"","?")&amp;" | "&amp;IF(C801="","(sem resíduo)",C801),"")</f>
        <v/>
      </c>
      <c r="AT801" s="96" t="str">
        <f>IF(R801=1,COUNTIF($R$6:R801,1),"")</f>
        <v/>
      </c>
      <c r="AU801" s="96" t="str">
        <f>IF(U801=1,INDEX('MTRs'!$I$6:$I$505,T801)&amp;"","")</f>
        <v/>
      </c>
    </row>
    <row r="802">
      <c r="A802" s="89" t="inlineStr">
        <is>
          <t>IT-000797</t>
        </is>
      </c>
      <c r="B802" s="91" t="n"/>
      <c r="C802" s="91" t="n"/>
      <c r="D802" s="94" t="str">
        <f>IF(OR(R802=0,V802=0),"",INDEX('CAD_RESÍDUOS'!$E$6:$E$205,MATCH(C802,'CAD_RESÍDUOS'!$B$6:$B$205,0))&amp;"")</f>
        <v/>
      </c>
      <c r="E802" s="94" t="str">
        <f>IF(OR(R802=0,V802=0),"",INDEX('CAD_RESÍDUOS'!$C$6:$C$205,MATCH(C802,'CAD_RESÍDUOS'!$B$6:$B$205,0))&amp;"")</f>
        <v/>
      </c>
      <c r="F802" s="94" t="str">
        <f>IF(OR(R802=0,V802=0),"",INDEX('CAD_RESÍDUOS'!$G$6:$G$205,MATCH(C802,'CAD_RESÍDUOS'!$B$6:$B$205,0))&amp;"")</f>
        <v/>
      </c>
      <c r="G802" s="98" t="n"/>
      <c r="H802" s="91" t="n"/>
      <c r="I802" s="93" t="str">
        <f>IF(R802=0,"",IF(NOT(ISNUMBER(G802)),"",IF(ISNUMBER(X802),G802*X802,"UNIDADE A CONFERIR")))</f>
        <v/>
      </c>
      <c r="J802" s="91" t="n"/>
      <c r="K802" s="91" t="n"/>
      <c r="L802" s="93" t="str">
        <f>IF(R802=0,"",SUMIFS('RECEBIMENTOS'!$H$6:$H$1005,'RECEBIMENTOS'!$R$6:$R$1005,A802,'RECEBIMENTOS'!$X$6:$X$1005,1))</f>
        <v/>
      </c>
      <c r="M802" s="93" t="str">
        <f>IF(R802=0,"",SUMIFS('VÍNCULOS_CDF'!$H$6:$H$1005,'VÍNCULOS_CDF'!$R$6:$R$1005,A802,'VÍNCULOS_CDF'!$V$6:$V$1005,1))</f>
        <v/>
      </c>
      <c r="N802" s="99" t="str">
        <f>IF(OR(R802=0,AA802=0,NOT(ISNUMBER(I802))),"",I802-N(L802))</f>
        <v/>
      </c>
      <c r="O802" s="100" t="str">
        <f>IF(OR(R802=0,AK802&lt;=0),"",N(M802)/AK802)</f>
        <v/>
      </c>
      <c r="P802" s="94" t="str">
        <f>IF(R802=0,"",IF(S802="","Sem MTR associado",IF(U802=0,"MTR inexistente",IF(C802="","Resíduo não identificado",IF(V802=0,"Resíduo fora do cadastro",IF(W802=0,"Quantidade inválida",IF(H802="","Unidade não informada",IF(NOT(ISNUMBER(I802)),"Unidade a conferir",IF(AND(AH802=1,K802&lt;&gt;"Sim"),"Possível duplicidade",IF(Z802=1,"MTR cancelado",IF(AC802&gt;0,"Recebimento com alerta",IF(AA802=0,"Aguardando recebimento",IF(AB802&lt;AA802,"Recebimento a conferir",IF(AM802=1,"Quantidade a revisar",IF(AF802&gt;0,"Vínculo a revisar",IF(AD802=0,"Aguardando CDF",IF(AN802=0,"Vínculo de CDF parcial",IF(AE802&lt;AD802,"CDF a conferir","Documentação conferida"))))))))))))))))))</f>
        <v/>
      </c>
      <c r="Q802" s="93" t="str">
        <f>IF(OR(R802=0,AA802=0),"",MAX(0,N(L802)-N(M802)))</f>
        <v/>
      </c>
      <c r="R802" s="96">
        <f>IF(COUNTA(B802:C802,G802:H802,J802:K802)&gt;0,1,0)</f>
        <v>0</v>
      </c>
      <c r="S802" s="96" t="str">
        <f>IF(B802="","",TRIM(LEFT(B802,FIND(" |",B802&amp;" |")-1)))</f>
        <v/>
      </c>
      <c r="T802" s="96" t="str">
        <f>IF(S802="","",IFERROR(MATCH(S802,'MTRs'!$A$6:$A$505,0),""))</f>
        <v/>
      </c>
      <c r="U802" s="96">
        <f>IF(T802="",0,IF(INDEX('MTRs'!$Z$6:$Z$505,T802)=1,1,0))</f>
        <v>0</v>
      </c>
      <c r="V802" s="96">
        <f>IF(C802="",0,IF(ISNUMBER(MATCH(C802,'CAD_RESÍDUOS'!$B$6:$B$205,0)),1,0))</f>
        <v>0</v>
      </c>
      <c r="W802" s="96">
        <f>IF(AND(ISNUMBER(G802),G802&gt;0),1,0)</f>
        <v>0</v>
      </c>
      <c r="X802" s="96" t="str">
        <f>IF(H802="","",IFERROR(IF(ISNUMBER(INDEX(cfg_fac,MATCH(H802,cfg_units,0))),IF(INDEX(cfg_fac,MATCH(H802,cfg_units,0))&gt;0,INDEX(cfg_fac,MATCH(H802,cfg_units,0)),""),""),""))</f>
        <v/>
      </c>
      <c r="Y802" s="96">
        <f>IF(AND(W802=1,ISNUMBER(I802)),1,0)</f>
        <v>0</v>
      </c>
      <c r="Z802" s="96">
        <f>IF(U802=1,INDEX('MTRs'!$AA$6:$AA$505,T802),0)</f>
        <v>0</v>
      </c>
      <c r="AA802" s="96">
        <f>IF(R802=0,0,COUNTIFS('RECEBIMENTOS'!$R$6:$R$1005,A802,'RECEBIMENTOS'!$Q$6:$Q$1005,1))</f>
        <v>0</v>
      </c>
      <c r="AB802" s="96">
        <f>IF(R802=0,0,COUNTIFS('RECEBIMENTOS'!$R$6:$R$1005,A802,'RECEBIMENTOS'!$Z$6:$Z$1005,1))</f>
        <v>0</v>
      </c>
      <c r="AC802" s="96">
        <f>IF(R802=0,0,COUNTIFS('RECEBIMENTOS'!$R$6:$R$1005,A802,'RECEBIMENTOS'!$Y$6:$Y$1005,1))</f>
        <v>0</v>
      </c>
      <c r="AD802" s="96">
        <f>IF(R802=0,0,COUNTIFS('VÍNCULOS_CDF'!$R$6:$R$1005,A802,'VÍNCULOS_CDF'!$N$6:$N$1005,1))</f>
        <v>0</v>
      </c>
      <c r="AE802" s="96">
        <f>IF(R802=0,0,COUNTIFS('VÍNCULOS_CDF'!$R$6:$R$1005,A802,'VÍNCULOS_CDF'!$AA$6:$AA$1005,1))</f>
        <v>0</v>
      </c>
      <c r="AF802" s="96">
        <f>IF(R802=0,0,COUNTIFS('VÍNCULOS_CDF'!$R$6:$R$1005,A802,'VÍNCULOS_CDF'!$Y$6:$Y$1005,1))</f>
        <v>0</v>
      </c>
      <c r="AG802" s="96" t="str">
        <f>IF(AND(R802=1,S802&lt;&gt;"",C802&lt;&gt;""),S802&amp;"|"&amp;C802&amp;"|"&amp;G802&amp;"|"&amp;H802,"")</f>
        <v/>
      </c>
      <c r="AH802" s="96">
        <f>IF(AG802="",0,IF(SUMPRODUCT(--($AG$6:$AG$1005=AG802))&gt;1,1,0))</f>
        <v>0</v>
      </c>
      <c r="AI802" s="96">
        <f>IF(R802=0,0,IF(OR(U802=0,V802=0,Y802=0,AND(AH802=1,K802&lt;&gt;"Sim")),1,0))</f>
        <v>0</v>
      </c>
      <c r="AJ802" s="96">
        <f>IF(AND(R802=1,AA802&gt;0,AB802=AA802),1,0)</f>
        <v>0</v>
      </c>
      <c r="AK802" s="96">
        <f>IF(R802=0,0,IF(AA802&gt;0,N(L802),IF(ISNUMBER(I802),I802,0)))</f>
        <v>0</v>
      </c>
      <c r="AL802" s="96">
        <f>IF(R802=0,0,IF(AND(K802&lt;&gt;"Sim",N(M802)&gt;AK802+cfg_tol),1,0))</f>
        <v>0</v>
      </c>
      <c r="AM802" s="96">
        <f>IF(R802=0,0,IF(K802="Sim",0,IF(OR(AND(AA802&gt;0,ISNUMBER(I802),ABS(I802-N(L802))&gt;cfg_tol),AL802=1),1,0)))</f>
        <v>0</v>
      </c>
      <c r="AN802" s="96">
        <f>IF(AND(R802=1,N(M802)&gt;0,OR(N(M802)&gt;=AK802-cfg_tol,K802="Sim")),1,0)</f>
        <v>0</v>
      </c>
      <c r="AO802" s="96">
        <f>IF(AND(AN802=1,AD802&gt;0,AE802=AD802,AL802=0),1,0)</f>
        <v>0</v>
      </c>
      <c r="AP802" s="96">
        <f>IF(U802=0,0,IF(AND(INDEX('MTRs'!$AX$6:$AX$505,T802)=1,Z802=0,OR(f_res="",f_res="(Todos)",C802=f_res)),1,0))</f>
        <v>0</v>
      </c>
      <c r="AQ802" s="97" t="str">
        <f>IF(U802=0,"",INDEX('MTRs'!$AZ$6:$AZ$505,T802))</f>
        <v/>
      </c>
      <c r="AR802" s="96">
        <f>IF(U802=0,0,IF(AND(INDEX('MTRs'!$BA$6:$BA$505,T802)=1,Z802=0),1,0))</f>
        <v>0</v>
      </c>
      <c r="AS802" s="96" t="str">
        <f>IF(R802=1,A802&amp;" | MTR "&amp;IF(U802=1,INDEX('MTRs'!$B$6:$B$505,T802)&amp;"","?")&amp;" | "&amp;IF(C802="","(sem resíduo)",C802),"")</f>
        <v/>
      </c>
      <c r="AT802" s="96" t="str">
        <f>IF(R802=1,COUNTIF($R$6:R802,1),"")</f>
        <v/>
      </c>
      <c r="AU802" s="96" t="str">
        <f>IF(U802=1,INDEX('MTRs'!$I$6:$I$505,T802)&amp;"","")</f>
        <v/>
      </c>
    </row>
    <row r="803">
      <c r="A803" s="89" t="inlineStr">
        <is>
          <t>IT-000798</t>
        </is>
      </c>
      <c r="B803" s="91" t="n"/>
      <c r="C803" s="91" t="n"/>
      <c r="D803" s="94" t="str">
        <f>IF(OR(R803=0,V803=0),"",INDEX('CAD_RESÍDUOS'!$E$6:$E$205,MATCH(C803,'CAD_RESÍDUOS'!$B$6:$B$205,0))&amp;"")</f>
        <v/>
      </c>
      <c r="E803" s="94" t="str">
        <f>IF(OR(R803=0,V803=0),"",INDEX('CAD_RESÍDUOS'!$C$6:$C$205,MATCH(C803,'CAD_RESÍDUOS'!$B$6:$B$205,0))&amp;"")</f>
        <v/>
      </c>
      <c r="F803" s="94" t="str">
        <f>IF(OR(R803=0,V803=0),"",INDEX('CAD_RESÍDUOS'!$G$6:$G$205,MATCH(C803,'CAD_RESÍDUOS'!$B$6:$B$205,0))&amp;"")</f>
        <v/>
      </c>
      <c r="G803" s="98" t="n"/>
      <c r="H803" s="91" t="n"/>
      <c r="I803" s="93" t="str">
        <f>IF(R803=0,"",IF(NOT(ISNUMBER(G803)),"",IF(ISNUMBER(X803),G803*X803,"UNIDADE A CONFERIR")))</f>
        <v/>
      </c>
      <c r="J803" s="91" t="n"/>
      <c r="K803" s="91" t="n"/>
      <c r="L803" s="93" t="str">
        <f>IF(R803=0,"",SUMIFS('RECEBIMENTOS'!$H$6:$H$1005,'RECEBIMENTOS'!$R$6:$R$1005,A803,'RECEBIMENTOS'!$X$6:$X$1005,1))</f>
        <v/>
      </c>
      <c r="M803" s="93" t="str">
        <f>IF(R803=0,"",SUMIFS('VÍNCULOS_CDF'!$H$6:$H$1005,'VÍNCULOS_CDF'!$R$6:$R$1005,A803,'VÍNCULOS_CDF'!$V$6:$V$1005,1))</f>
        <v/>
      </c>
      <c r="N803" s="99" t="str">
        <f>IF(OR(R803=0,AA803=0,NOT(ISNUMBER(I803))),"",I803-N(L803))</f>
        <v/>
      </c>
      <c r="O803" s="100" t="str">
        <f>IF(OR(R803=0,AK803&lt;=0),"",N(M803)/AK803)</f>
        <v/>
      </c>
      <c r="P803" s="94" t="str">
        <f>IF(R803=0,"",IF(S803="","Sem MTR associado",IF(U803=0,"MTR inexistente",IF(C803="","Resíduo não identificado",IF(V803=0,"Resíduo fora do cadastro",IF(W803=0,"Quantidade inválida",IF(H803="","Unidade não informada",IF(NOT(ISNUMBER(I803)),"Unidade a conferir",IF(AND(AH803=1,K803&lt;&gt;"Sim"),"Possível duplicidade",IF(Z803=1,"MTR cancelado",IF(AC803&gt;0,"Recebimento com alerta",IF(AA803=0,"Aguardando recebimento",IF(AB803&lt;AA803,"Recebimento a conferir",IF(AM803=1,"Quantidade a revisar",IF(AF803&gt;0,"Vínculo a revisar",IF(AD803=0,"Aguardando CDF",IF(AN803=0,"Vínculo de CDF parcial",IF(AE803&lt;AD803,"CDF a conferir","Documentação conferida"))))))))))))))))))</f>
        <v/>
      </c>
      <c r="Q803" s="93" t="str">
        <f>IF(OR(R803=0,AA803=0),"",MAX(0,N(L803)-N(M803)))</f>
        <v/>
      </c>
      <c r="R803" s="96">
        <f>IF(COUNTA(B803:C803,G803:H803,J803:K803)&gt;0,1,0)</f>
        <v>0</v>
      </c>
      <c r="S803" s="96" t="str">
        <f>IF(B803="","",TRIM(LEFT(B803,FIND(" |",B803&amp;" |")-1)))</f>
        <v/>
      </c>
      <c r="T803" s="96" t="str">
        <f>IF(S803="","",IFERROR(MATCH(S803,'MTRs'!$A$6:$A$505,0),""))</f>
        <v/>
      </c>
      <c r="U803" s="96">
        <f>IF(T803="",0,IF(INDEX('MTRs'!$Z$6:$Z$505,T803)=1,1,0))</f>
        <v>0</v>
      </c>
      <c r="V803" s="96">
        <f>IF(C803="",0,IF(ISNUMBER(MATCH(C803,'CAD_RESÍDUOS'!$B$6:$B$205,0)),1,0))</f>
        <v>0</v>
      </c>
      <c r="W803" s="96">
        <f>IF(AND(ISNUMBER(G803),G803&gt;0),1,0)</f>
        <v>0</v>
      </c>
      <c r="X803" s="96" t="str">
        <f>IF(H803="","",IFERROR(IF(ISNUMBER(INDEX(cfg_fac,MATCH(H803,cfg_units,0))),IF(INDEX(cfg_fac,MATCH(H803,cfg_units,0))&gt;0,INDEX(cfg_fac,MATCH(H803,cfg_units,0)),""),""),""))</f>
        <v/>
      </c>
      <c r="Y803" s="96">
        <f>IF(AND(W803=1,ISNUMBER(I803)),1,0)</f>
        <v>0</v>
      </c>
      <c r="Z803" s="96">
        <f>IF(U803=1,INDEX('MTRs'!$AA$6:$AA$505,T803),0)</f>
        <v>0</v>
      </c>
      <c r="AA803" s="96">
        <f>IF(R803=0,0,COUNTIFS('RECEBIMENTOS'!$R$6:$R$1005,A803,'RECEBIMENTOS'!$Q$6:$Q$1005,1))</f>
        <v>0</v>
      </c>
      <c r="AB803" s="96">
        <f>IF(R803=0,0,COUNTIFS('RECEBIMENTOS'!$R$6:$R$1005,A803,'RECEBIMENTOS'!$Z$6:$Z$1005,1))</f>
        <v>0</v>
      </c>
      <c r="AC803" s="96">
        <f>IF(R803=0,0,COUNTIFS('RECEBIMENTOS'!$R$6:$R$1005,A803,'RECEBIMENTOS'!$Y$6:$Y$1005,1))</f>
        <v>0</v>
      </c>
      <c r="AD803" s="96">
        <f>IF(R803=0,0,COUNTIFS('VÍNCULOS_CDF'!$R$6:$R$1005,A803,'VÍNCULOS_CDF'!$N$6:$N$1005,1))</f>
        <v>0</v>
      </c>
      <c r="AE803" s="96">
        <f>IF(R803=0,0,COUNTIFS('VÍNCULOS_CDF'!$R$6:$R$1005,A803,'VÍNCULOS_CDF'!$AA$6:$AA$1005,1))</f>
        <v>0</v>
      </c>
      <c r="AF803" s="96">
        <f>IF(R803=0,0,COUNTIFS('VÍNCULOS_CDF'!$R$6:$R$1005,A803,'VÍNCULOS_CDF'!$Y$6:$Y$1005,1))</f>
        <v>0</v>
      </c>
      <c r="AG803" s="96" t="str">
        <f>IF(AND(R803=1,S803&lt;&gt;"",C803&lt;&gt;""),S803&amp;"|"&amp;C803&amp;"|"&amp;G803&amp;"|"&amp;H803,"")</f>
        <v/>
      </c>
      <c r="AH803" s="96">
        <f>IF(AG803="",0,IF(SUMPRODUCT(--($AG$6:$AG$1005=AG803))&gt;1,1,0))</f>
        <v>0</v>
      </c>
      <c r="AI803" s="96">
        <f>IF(R803=0,0,IF(OR(U803=0,V803=0,Y803=0,AND(AH803=1,K803&lt;&gt;"Sim")),1,0))</f>
        <v>0</v>
      </c>
      <c r="AJ803" s="96">
        <f>IF(AND(R803=1,AA803&gt;0,AB803=AA803),1,0)</f>
        <v>0</v>
      </c>
      <c r="AK803" s="96">
        <f>IF(R803=0,0,IF(AA803&gt;0,N(L803),IF(ISNUMBER(I803),I803,0)))</f>
        <v>0</v>
      </c>
      <c r="AL803" s="96">
        <f>IF(R803=0,0,IF(AND(K803&lt;&gt;"Sim",N(M803)&gt;AK803+cfg_tol),1,0))</f>
        <v>0</v>
      </c>
      <c r="AM803" s="96">
        <f>IF(R803=0,0,IF(K803="Sim",0,IF(OR(AND(AA803&gt;0,ISNUMBER(I803),ABS(I803-N(L803))&gt;cfg_tol),AL803=1),1,0)))</f>
        <v>0</v>
      </c>
      <c r="AN803" s="96">
        <f>IF(AND(R803=1,N(M803)&gt;0,OR(N(M803)&gt;=AK803-cfg_tol,K803="Sim")),1,0)</f>
        <v>0</v>
      </c>
      <c r="AO803" s="96">
        <f>IF(AND(AN803=1,AD803&gt;0,AE803=AD803,AL803=0),1,0)</f>
        <v>0</v>
      </c>
      <c r="AP803" s="96">
        <f>IF(U803=0,0,IF(AND(INDEX('MTRs'!$AX$6:$AX$505,T803)=1,Z803=0,OR(f_res="",f_res="(Todos)",C803=f_res)),1,0))</f>
        <v>0</v>
      </c>
      <c r="AQ803" s="97" t="str">
        <f>IF(U803=0,"",INDEX('MTRs'!$AZ$6:$AZ$505,T803))</f>
        <v/>
      </c>
      <c r="AR803" s="96">
        <f>IF(U803=0,0,IF(AND(INDEX('MTRs'!$BA$6:$BA$505,T803)=1,Z803=0),1,0))</f>
        <v>0</v>
      </c>
      <c r="AS803" s="96" t="str">
        <f>IF(R803=1,A803&amp;" | MTR "&amp;IF(U803=1,INDEX('MTRs'!$B$6:$B$505,T803)&amp;"","?")&amp;" | "&amp;IF(C803="","(sem resíduo)",C803),"")</f>
        <v/>
      </c>
      <c r="AT803" s="96" t="str">
        <f>IF(R803=1,COUNTIF($R$6:R803,1),"")</f>
        <v/>
      </c>
      <c r="AU803" s="96" t="str">
        <f>IF(U803=1,INDEX('MTRs'!$I$6:$I$505,T803)&amp;"","")</f>
        <v/>
      </c>
    </row>
    <row r="804">
      <c r="A804" s="89" t="inlineStr">
        <is>
          <t>IT-000799</t>
        </is>
      </c>
      <c r="B804" s="91" t="n"/>
      <c r="C804" s="91" t="n"/>
      <c r="D804" s="94" t="str">
        <f>IF(OR(R804=0,V804=0),"",INDEX('CAD_RESÍDUOS'!$E$6:$E$205,MATCH(C804,'CAD_RESÍDUOS'!$B$6:$B$205,0))&amp;"")</f>
        <v/>
      </c>
      <c r="E804" s="94" t="str">
        <f>IF(OR(R804=0,V804=0),"",INDEX('CAD_RESÍDUOS'!$C$6:$C$205,MATCH(C804,'CAD_RESÍDUOS'!$B$6:$B$205,0))&amp;"")</f>
        <v/>
      </c>
      <c r="F804" s="94" t="str">
        <f>IF(OR(R804=0,V804=0),"",INDEX('CAD_RESÍDUOS'!$G$6:$G$205,MATCH(C804,'CAD_RESÍDUOS'!$B$6:$B$205,0))&amp;"")</f>
        <v/>
      </c>
      <c r="G804" s="98" t="n"/>
      <c r="H804" s="91" t="n"/>
      <c r="I804" s="93" t="str">
        <f>IF(R804=0,"",IF(NOT(ISNUMBER(G804)),"",IF(ISNUMBER(X804),G804*X804,"UNIDADE A CONFERIR")))</f>
        <v/>
      </c>
      <c r="J804" s="91" t="n"/>
      <c r="K804" s="91" t="n"/>
      <c r="L804" s="93" t="str">
        <f>IF(R804=0,"",SUMIFS('RECEBIMENTOS'!$H$6:$H$1005,'RECEBIMENTOS'!$R$6:$R$1005,A804,'RECEBIMENTOS'!$X$6:$X$1005,1))</f>
        <v/>
      </c>
      <c r="M804" s="93" t="str">
        <f>IF(R804=0,"",SUMIFS('VÍNCULOS_CDF'!$H$6:$H$1005,'VÍNCULOS_CDF'!$R$6:$R$1005,A804,'VÍNCULOS_CDF'!$V$6:$V$1005,1))</f>
        <v/>
      </c>
      <c r="N804" s="99" t="str">
        <f>IF(OR(R804=0,AA804=0,NOT(ISNUMBER(I804))),"",I804-N(L804))</f>
        <v/>
      </c>
      <c r="O804" s="100" t="str">
        <f>IF(OR(R804=0,AK804&lt;=0),"",N(M804)/AK804)</f>
        <v/>
      </c>
      <c r="P804" s="94" t="str">
        <f>IF(R804=0,"",IF(S804="","Sem MTR associado",IF(U804=0,"MTR inexistente",IF(C804="","Resíduo não identificado",IF(V804=0,"Resíduo fora do cadastro",IF(W804=0,"Quantidade inválida",IF(H804="","Unidade não informada",IF(NOT(ISNUMBER(I804)),"Unidade a conferir",IF(AND(AH804=1,K804&lt;&gt;"Sim"),"Possível duplicidade",IF(Z804=1,"MTR cancelado",IF(AC804&gt;0,"Recebimento com alerta",IF(AA804=0,"Aguardando recebimento",IF(AB804&lt;AA804,"Recebimento a conferir",IF(AM804=1,"Quantidade a revisar",IF(AF804&gt;0,"Vínculo a revisar",IF(AD804=0,"Aguardando CDF",IF(AN804=0,"Vínculo de CDF parcial",IF(AE804&lt;AD804,"CDF a conferir","Documentação conferida"))))))))))))))))))</f>
        <v/>
      </c>
      <c r="Q804" s="93" t="str">
        <f>IF(OR(R804=0,AA804=0),"",MAX(0,N(L804)-N(M804)))</f>
        <v/>
      </c>
      <c r="R804" s="96">
        <f>IF(COUNTA(B804:C804,G804:H804,J804:K804)&gt;0,1,0)</f>
        <v>0</v>
      </c>
      <c r="S804" s="96" t="str">
        <f>IF(B804="","",TRIM(LEFT(B804,FIND(" |",B804&amp;" |")-1)))</f>
        <v/>
      </c>
      <c r="T804" s="96" t="str">
        <f>IF(S804="","",IFERROR(MATCH(S804,'MTRs'!$A$6:$A$505,0),""))</f>
        <v/>
      </c>
      <c r="U804" s="96">
        <f>IF(T804="",0,IF(INDEX('MTRs'!$Z$6:$Z$505,T804)=1,1,0))</f>
        <v>0</v>
      </c>
      <c r="V804" s="96">
        <f>IF(C804="",0,IF(ISNUMBER(MATCH(C804,'CAD_RESÍDUOS'!$B$6:$B$205,0)),1,0))</f>
        <v>0</v>
      </c>
      <c r="W804" s="96">
        <f>IF(AND(ISNUMBER(G804),G804&gt;0),1,0)</f>
        <v>0</v>
      </c>
      <c r="X804" s="96" t="str">
        <f>IF(H804="","",IFERROR(IF(ISNUMBER(INDEX(cfg_fac,MATCH(H804,cfg_units,0))),IF(INDEX(cfg_fac,MATCH(H804,cfg_units,0))&gt;0,INDEX(cfg_fac,MATCH(H804,cfg_units,0)),""),""),""))</f>
        <v/>
      </c>
      <c r="Y804" s="96">
        <f>IF(AND(W804=1,ISNUMBER(I804)),1,0)</f>
        <v>0</v>
      </c>
      <c r="Z804" s="96">
        <f>IF(U804=1,INDEX('MTRs'!$AA$6:$AA$505,T804),0)</f>
        <v>0</v>
      </c>
      <c r="AA804" s="96">
        <f>IF(R804=0,0,COUNTIFS('RECEBIMENTOS'!$R$6:$R$1005,A804,'RECEBIMENTOS'!$Q$6:$Q$1005,1))</f>
        <v>0</v>
      </c>
      <c r="AB804" s="96">
        <f>IF(R804=0,0,COUNTIFS('RECEBIMENTOS'!$R$6:$R$1005,A804,'RECEBIMENTOS'!$Z$6:$Z$1005,1))</f>
        <v>0</v>
      </c>
      <c r="AC804" s="96">
        <f>IF(R804=0,0,COUNTIFS('RECEBIMENTOS'!$R$6:$R$1005,A804,'RECEBIMENTOS'!$Y$6:$Y$1005,1))</f>
        <v>0</v>
      </c>
      <c r="AD804" s="96">
        <f>IF(R804=0,0,COUNTIFS('VÍNCULOS_CDF'!$R$6:$R$1005,A804,'VÍNCULOS_CDF'!$N$6:$N$1005,1))</f>
        <v>0</v>
      </c>
      <c r="AE804" s="96">
        <f>IF(R804=0,0,COUNTIFS('VÍNCULOS_CDF'!$R$6:$R$1005,A804,'VÍNCULOS_CDF'!$AA$6:$AA$1005,1))</f>
        <v>0</v>
      </c>
      <c r="AF804" s="96">
        <f>IF(R804=0,0,COUNTIFS('VÍNCULOS_CDF'!$R$6:$R$1005,A804,'VÍNCULOS_CDF'!$Y$6:$Y$1005,1))</f>
        <v>0</v>
      </c>
      <c r="AG804" s="96" t="str">
        <f>IF(AND(R804=1,S804&lt;&gt;"",C804&lt;&gt;""),S804&amp;"|"&amp;C804&amp;"|"&amp;G804&amp;"|"&amp;H804,"")</f>
        <v/>
      </c>
      <c r="AH804" s="96">
        <f>IF(AG804="",0,IF(SUMPRODUCT(--($AG$6:$AG$1005=AG804))&gt;1,1,0))</f>
        <v>0</v>
      </c>
      <c r="AI804" s="96">
        <f>IF(R804=0,0,IF(OR(U804=0,V804=0,Y804=0,AND(AH804=1,K804&lt;&gt;"Sim")),1,0))</f>
        <v>0</v>
      </c>
      <c r="AJ804" s="96">
        <f>IF(AND(R804=1,AA804&gt;0,AB804=AA804),1,0)</f>
        <v>0</v>
      </c>
      <c r="AK804" s="96">
        <f>IF(R804=0,0,IF(AA804&gt;0,N(L804),IF(ISNUMBER(I804),I804,0)))</f>
        <v>0</v>
      </c>
      <c r="AL804" s="96">
        <f>IF(R804=0,0,IF(AND(K804&lt;&gt;"Sim",N(M804)&gt;AK804+cfg_tol),1,0))</f>
        <v>0</v>
      </c>
      <c r="AM804" s="96">
        <f>IF(R804=0,0,IF(K804="Sim",0,IF(OR(AND(AA804&gt;0,ISNUMBER(I804),ABS(I804-N(L804))&gt;cfg_tol),AL804=1),1,0)))</f>
        <v>0</v>
      </c>
      <c r="AN804" s="96">
        <f>IF(AND(R804=1,N(M804)&gt;0,OR(N(M804)&gt;=AK804-cfg_tol,K804="Sim")),1,0)</f>
        <v>0</v>
      </c>
      <c r="AO804" s="96">
        <f>IF(AND(AN804=1,AD804&gt;0,AE804=AD804,AL804=0),1,0)</f>
        <v>0</v>
      </c>
      <c r="AP804" s="96">
        <f>IF(U804=0,0,IF(AND(INDEX('MTRs'!$AX$6:$AX$505,T804)=1,Z804=0,OR(f_res="",f_res="(Todos)",C804=f_res)),1,0))</f>
        <v>0</v>
      </c>
      <c r="AQ804" s="97" t="str">
        <f>IF(U804=0,"",INDEX('MTRs'!$AZ$6:$AZ$505,T804))</f>
        <v/>
      </c>
      <c r="AR804" s="96">
        <f>IF(U804=0,0,IF(AND(INDEX('MTRs'!$BA$6:$BA$505,T804)=1,Z804=0),1,0))</f>
        <v>0</v>
      </c>
      <c r="AS804" s="96" t="str">
        <f>IF(R804=1,A804&amp;" | MTR "&amp;IF(U804=1,INDEX('MTRs'!$B$6:$B$505,T804)&amp;"","?")&amp;" | "&amp;IF(C804="","(sem resíduo)",C804),"")</f>
        <v/>
      </c>
      <c r="AT804" s="96" t="str">
        <f>IF(R804=1,COUNTIF($R$6:R804,1),"")</f>
        <v/>
      </c>
      <c r="AU804" s="96" t="str">
        <f>IF(U804=1,INDEX('MTRs'!$I$6:$I$505,T804)&amp;"","")</f>
        <v/>
      </c>
    </row>
    <row r="805">
      <c r="A805" s="89" t="inlineStr">
        <is>
          <t>IT-000800</t>
        </is>
      </c>
      <c r="B805" s="91" t="n"/>
      <c r="C805" s="91" t="n"/>
      <c r="D805" s="94" t="str">
        <f>IF(OR(R805=0,V805=0),"",INDEX('CAD_RESÍDUOS'!$E$6:$E$205,MATCH(C805,'CAD_RESÍDUOS'!$B$6:$B$205,0))&amp;"")</f>
        <v/>
      </c>
      <c r="E805" s="94" t="str">
        <f>IF(OR(R805=0,V805=0),"",INDEX('CAD_RESÍDUOS'!$C$6:$C$205,MATCH(C805,'CAD_RESÍDUOS'!$B$6:$B$205,0))&amp;"")</f>
        <v/>
      </c>
      <c r="F805" s="94" t="str">
        <f>IF(OR(R805=0,V805=0),"",INDEX('CAD_RESÍDUOS'!$G$6:$G$205,MATCH(C805,'CAD_RESÍDUOS'!$B$6:$B$205,0))&amp;"")</f>
        <v/>
      </c>
      <c r="G805" s="98" t="n"/>
      <c r="H805" s="91" t="n"/>
      <c r="I805" s="93" t="str">
        <f>IF(R805=0,"",IF(NOT(ISNUMBER(G805)),"",IF(ISNUMBER(X805),G805*X805,"UNIDADE A CONFERIR")))</f>
        <v/>
      </c>
      <c r="J805" s="91" t="n"/>
      <c r="K805" s="91" t="n"/>
      <c r="L805" s="93" t="str">
        <f>IF(R805=0,"",SUMIFS('RECEBIMENTOS'!$H$6:$H$1005,'RECEBIMENTOS'!$R$6:$R$1005,A805,'RECEBIMENTOS'!$X$6:$X$1005,1))</f>
        <v/>
      </c>
      <c r="M805" s="93" t="str">
        <f>IF(R805=0,"",SUMIFS('VÍNCULOS_CDF'!$H$6:$H$1005,'VÍNCULOS_CDF'!$R$6:$R$1005,A805,'VÍNCULOS_CDF'!$V$6:$V$1005,1))</f>
        <v/>
      </c>
      <c r="N805" s="99" t="str">
        <f>IF(OR(R805=0,AA805=0,NOT(ISNUMBER(I805))),"",I805-N(L805))</f>
        <v/>
      </c>
      <c r="O805" s="100" t="str">
        <f>IF(OR(R805=0,AK805&lt;=0),"",N(M805)/AK805)</f>
        <v/>
      </c>
      <c r="P805" s="94" t="str">
        <f>IF(R805=0,"",IF(S805="","Sem MTR associado",IF(U805=0,"MTR inexistente",IF(C805="","Resíduo não identificado",IF(V805=0,"Resíduo fora do cadastro",IF(W805=0,"Quantidade inválida",IF(H805="","Unidade não informada",IF(NOT(ISNUMBER(I805)),"Unidade a conferir",IF(AND(AH805=1,K805&lt;&gt;"Sim"),"Possível duplicidade",IF(Z805=1,"MTR cancelado",IF(AC805&gt;0,"Recebimento com alerta",IF(AA805=0,"Aguardando recebimento",IF(AB805&lt;AA805,"Recebimento a conferir",IF(AM805=1,"Quantidade a revisar",IF(AF805&gt;0,"Vínculo a revisar",IF(AD805=0,"Aguardando CDF",IF(AN805=0,"Vínculo de CDF parcial",IF(AE805&lt;AD805,"CDF a conferir","Documentação conferida"))))))))))))))))))</f>
        <v/>
      </c>
      <c r="Q805" s="93" t="str">
        <f>IF(OR(R805=0,AA805=0),"",MAX(0,N(L805)-N(M805)))</f>
        <v/>
      </c>
      <c r="R805" s="96">
        <f>IF(COUNTA(B805:C805,G805:H805,J805:K805)&gt;0,1,0)</f>
        <v>0</v>
      </c>
      <c r="S805" s="96" t="str">
        <f>IF(B805="","",TRIM(LEFT(B805,FIND(" |",B805&amp;" |")-1)))</f>
        <v/>
      </c>
      <c r="T805" s="96" t="str">
        <f>IF(S805="","",IFERROR(MATCH(S805,'MTRs'!$A$6:$A$505,0),""))</f>
        <v/>
      </c>
      <c r="U805" s="96">
        <f>IF(T805="",0,IF(INDEX('MTRs'!$Z$6:$Z$505,T805)=1,1,0))</f>
        <v>0</v>
      </c>
      <c r="V805" s="96">
        <f>IF(C805="",0,IF(ISNUMBER(MATCH(C805,'CAD_RESÍDUOS'!$B$6:$B$205,0)),1,0))</f>
        <v>0</v>
      </c>
      <c r="W805" s="96">
        <f>IF(AND(ISNUMBER(G805),G805&gt;0),1,0)</f>
        <v>0</v>
      </c>
      <c r="X805" s="96" t="str">
        <f>IF(H805="","",IFERROR(IF(ISNUMBER(INDEX(cfg_fac,MATCH(H805,cfg_units,0))),IF(INDEX(cfg_fac,MATCH(H805,cfg_units,0))&gt;0,INDEX(cfg_fac,MATCH(H805,cfg_units,0)),""),""),""))</f>
        <v/>
      </c>
      <c r="Y805" s="96">
        <f>IF(AND(W805=1,ISNUMBER(I805)),1,0)</f>
        <v>0</v>
      </c>
      <c r="Z805" s="96">
        <f>IF(U805=1,INDEX('MTRs'!$AA$6:$AA$505,T805),0)</f>
        <v>0</v>
      </c>
      <c r="AA805" s="96">
        <f>IF(R805=0,0,COUNTIFS('RECEBIMENTOS'!$R$6:$R$1005,A805,'RECEBIMENTOS'!$Q$6:$Q$1005,1))</f>
        <v>0</v>
      </c>
      <c r="AB805" s="96">
        <f>IF(R805=0,0,COUNTIFS('RECEBIMENTOS'!$R$6:$R$1005,A805,'RECEBIMENTOS'!$Z$6:$Z$1005,1))</f>
        <v>0</v>
      </c>
      <c r="AC805" s="96">
        <f>IF(R805=0,0,COUNTIFS('RECEBIMENTOS'!$R$6:$R$1005,A805,'RECEBIMENTOS'!$Y$6:$Y$1005,1))</f>
        <v>0</v>
      </c>
      <c r="AD805" s="96">
        <f>IF(R805=0,0,COUNTIFS('VÍNCULOS_CDF'!$R$6:$R$1005,A805,'VÍNCULOS_CDF'!$N$6:$N$1005,1))</f>
        <v>0</v>
      </c>
      <c r="AE805" s="96">
        <f>IF(R805=0,0,COUNTIFS('VÍNCULOS_CDF'!$R$6:$R$1005,A805,'VÍNCULOS_CDF'!$AA$6:$AA$1005,1))</f>
        <v>0</v>
      </c>
      <c r="AF805" s="96">
        <f>IF(R805=0,0,COUNTIFS('VÍNCULOS_CDF'!$R$6:$R$1005,A805,'VÍNCULOS_CDF'!$Y$6:$Y$1005,1))</f>
        <v>0</v>
      </c>
      <c r="AG805" s="96" t="str">
        <f>IF(AND(R805=1,S805&lt;&gt;"",C805&lt;&gt;""),S805&amp;"|"&amp;C805&amp;"|"&amp;G805&amp;"|"&amp;H805,"")</f>
        <v/>
      </c>
      <c r="AH805" s="96">
        <f>IF(AG805="",0,IF(SUMPRODUCT(--($AG$6:$AG$1005=AG805))&gt;1,1,0))</f>
        <v>0</v>
      </c>
      <c r="AI805" s="96">
        <f>IF(R805=0,0,IF(OR(U805=0,V805=0,Y805=0,AND(AH805=1,K805&lt;&gt;"Sim")),1,0))</f>
        <v>0</v>
      </c>
      <c r="AJ805" s="96">
        <f>IF(AND(R805=1,AA805&gt;0,AB805=AA805),1,0)</f>
        <v>0</v>
      </c>
      <c r="AK805" s="96">
        <f>IF(R805=0,0,IF(AA805&gt;0,N(L805),IF(ISNUMBER(I805),I805,0)))</f>
        <v>0</v>
      </c>
      <c r="AL805" s="96">
        <f>IF(R805=0,0,IF(AND(K805&lt;&gt;"Sim",N(M805)&gt;AK805+cfg_tol),1,0))</f>
        <v>0</v>
      </c>
      <c r="AM805" s="96">
        <f>IF(R805=0,0,IF(K805="Sim",0,IF(OR(AND(AA805&gt;0,ISNUMBER(I805),ABS(I805-N(L805))&gt;cfg_tol),AL805=1),1,0)))</f>
        <v>0</v>
      </c>
      <c r="AN805" s="96">
        <f>IF(AND(R805=1,N(M805)&gt;0,OR(N(M805)&gt;=AK805-cfg_tol,K805="Sim")),1,0)</f>
        <v>0</v>
      </c>
      <c r="AO805" s="96">
        <f>IF(AND(AN805=1,AD805&gt;0,AE805=AD805,AL805=0),1,0)</f>
        <v>0</v>
      </c>
      <c r="AP805" s="96">
        <f>IF(U805=0,0,IF(AND(INDEX('MTRs'!$AX$6:$AX$505,T805)=1,Z805=0,OR(f_res="",f_res="(Todos)",C805=f_res)),1,0))</f>
        <v>0</v>
      </c>
      <c r="AQ805" s="97" t="str">
        <f>IF(U805=0,"",INDEX('MTRs'!$AZ$6:$AZ$505,T805))</f>
        <v/>
      </c>
      <c r="AR805" s="96">
        <f>IF(U805=0,0,IF(AND(INDEX('MTRs'!$BA$6:$BA$505,T805)=1,Z805=0),1,0))</f>
        <v>0</v>
      </c>
      <c r="AS805" s="96" t="str">
        <f>IF(R805=1,A805&amp;" | MTR "&amp;IF(U805=1,INDEX('MTRs'!$B$6:$B$505,T805)&amp;"","?")&amp;" | "&amp;IF(C805="","(sem resíduo)",C805),"")</f>
        <v/>
      </c>
      <c r="AT805" s="96" t="str">
        <f>IF(R805=1,COUNTIF($R$6:R805,1),"")</f>
        <v/>
      </c>
      <c r="AU805" s="96" t="str">
        <f>IF(U805=1,INDEX('MTRs'!$I$6:$I$505,T805)&amp;"","")</f>
        <v/>
      </c>
    </row>
    <row r="806">
      <c r="A806" s="89" t="inlineStr">
        <is>
          <t>IT-000801</t>
        </is>
      </c>
      <c r="B806" s="91" t="n"/>
      <c r="C806" s="91" t="n"/>
      <c r="D806" s="94" t="str">
        <f>IF(OR(R806=0,V806=0),"",INDEX('CAD_RESÍDUOS'!$E$6:$E$205,MATCH(C806,'CAD_RESÍDUOS'!$B$6:$B$205,0))&amp;"")</f>
        <v/>
      </c>
      <c r="E806" s="94" t="str">
        <f>IF(OR(R806=0,V806=0),"",INDEX('CAD_RESÍDUOS'!$C$6:$C$205,MATCH(C806,'CAD_RESÍDUOS'!$B$6:$B$205,0))&amp;"")</f>
        <v/>
      </c>
      <c r="F806" s="94" t="str">
        <f>IF(OR(R806=0,V806=0),"",INDEX('CAD_RESÍDUOS'!$G$6:$G$205,MATCH(C806,'CAD_RESÍDUOS'!$B$6:$B$205,0))&amp;"")</f>
        <v/>
      </c>
      <c r="G806" s="98" t="n"/>
      <c r="H806" s="91" t="n"/>
      <c r="I806" s="93" t="str">
        <f>IF(R806=0,"",IF(NOT(ISNUMBER(G806)),"",IF(ISNUMBER(X806),G806*X806,"UNIDADE A CONFERIR")))</f>
        <v/>
      </c>
      <c r="J806" s="91" t="n"/>
      <c r="K806" s="91" t="n"/>
      <c r="L806" s="93" t="str">
        <f>IF(R806=0,"",SUMIFS('RECEBIMENTOS'!$H$6:$H$1005,'RECEBIMENTOS'!$R$6:$R$1005,A806,'RECEBIMENTOS'!$X$6:$X$1005,1))</f>
        <v/>
      </c>
      <c r="M806" s="93" t="str">
        <f>IF(R806=0,"",SUMIFS('VÍNCULOS_CDF'!$H$6:$H$1005,'VÍNCULOS_CDF'!$R$6:$R$1005,A806,'VÍNCULOS_CDF'!$V$6:$V$1005,1))</f>
        <v/>
      </c>
      <c r="N806" s="99" t="str">
        <f>IF(OR(R806=0,AA806=0,NOT(ISNUMBER(I806))),"",I806-N(L806))</f>
        <v/>
      </c>
      <c r="O806" s="100" t="str">
        <f>IF(OR(R806=0,AK806&lt;=0),"",N(M806)/AK806)</f>
        <v/>
      </c>
      <c r="P806" s="94" t="str">
        <f>IF(R806=0,"",IF(S806="","Sem MTR associado",IF(U806=0,"MTR inexistente",IF(C806="","Resíduo não identificado",IF(V806=0,"Resíduo fora do cadastro",IF(W806=0,"Quantidade inválida",IF(H806="","Unidade não informada",IF(NOT(ISNUMBER(I806)),"Unidade a conferir",IF(AND(AH806=1,K806&lt;&gt;"Sim"),"Possível duplicidade",IF(Z806=1,"MTR cancelado",IF(AC806&gt;0,"Recebimento com alerta",IF(AA806=0,"Aguardando recebimento",IF(AB806&lt;AA806,"Recebimento a conferir",IF(AM806=1,"Quantidade a revisar",IF(AF806&gt;0,"Vínculo a revisar",IF(AD806=0,"Aguardando CDF",IF(AN806=0,"Vínculo de CDF parcial",IF(AE806&lt;AD806,"CDF a conferir","Documentação conferida"))))))))))))))))))</f>
        <v/>
      </c>
      <c r="Q806" s="93" t="str">
        <f>IF(OR(R806=0,AA806=0),"",MAX(0,N(L806)-N(M806)))</f>
        <v/>
      </c>
      <c r="R806" s="96">
        <f>IF(COUNTA(B806:C806,G806:H806,J806:K806)&gt;0,1,0)</f>
        <v>0</v>
      </c>
      <c r="S806" s="96" t="str">
        <f>IF(B806="","",TRIM(LEFT(B806,FIND(" |",B806&amp;" |")-1)))</f>
        <v/>
      </c>
      <c r="T806" s="96" t="str">
        <f>IF(S806="","",IFERROR(MATCH(S806,'MTRs'!$A$6:$A$505,0),""))</f>
        <v/>
      </c>
      <c r="U806" s="96">
        <f>IF(T806="",0,IF(INDEX('MTRs'!$Z$6:$Z$505,T806)=1,1,0))</f>
        <v>0</v>
      </c>
      <c r="V806" s="96">
        <f>IF(C806="",0,IF(ISNUMBER(MATCH(C806,'CAD_RESÍDUOS'!$B$6:$B$205,0)),1,0))</f>
        <v>0</v>
      </c>
      <c r="W806" s="96">
        <f>IF(AND(ISNUMBER(G806),G806&gt;0),1,0)</f>
        <v>0</v>
      </c>
      <c r="X806" s="96" t="str">
        <f>IF(H806="","",IFERROR(IF(ISNUMBER(INDEX(cfg_fac,MATCH(H806,cfg_units,0))),IF(INDEX(cfg_fac,MATCH(H806,cfg_units,0))&gt;0,INDEX(cfg_fac,MATCH(H806,cfg_units,0)),""),""),""))</f>
        <v/>
      </c>
      <c r="Y806" s="96">
        <f>IF(AND(W806=1,ISNUMBER(I806)),1,0)</f>
        <v>0</v>
      </c>
      <c r="Z806" s="96">
        <f>IF(U806=1,INDEX('MTRs'!$AA$6:$AA$505,T806),0)</f>
        <v>0</v>
      </c>
      <c r="AA806" s="96">
        <f>IF(R806=0,0,COUNTIFS('RECEBIMENTOS'!$R$6:$R$1005,A806,'RECEBIMENTOS'!$Q$6:$Q$1005,1))</f>
        <v>0</v>
      </c>
      <c r="AB806" s="96">
        <f>IF(R806=0,0,COUNTIFS('RECEBIMENTOS'!$R$6:$R$1005,A806,'RECEBIMENTOS'!$Z$6:$Z$1005,1))</f>
        <v>0</v>
      </c>
      <c r="AC806" s="96">
        <f>IF(R806=0,0,COUNTIFS('RECEBIMENTOS'!$R$6:$R$1005,A806,'RECEBIMENTOS'!$Y$6:$Y$1005,1))</f>
        <v>0</v>
      </c>
      <c r="AD806" s="96">
        <f>IF(R806=0,0,COUNTIFS('VÍNCULOS_CDF'!$R$6:$R$1005,A806,'VÍNCULOS_CDF'!$N$6:$N$1005,1))</f>
        <v>0</v>
      </c>
      <c r="AE806" s="96">
        <f>IF(R806=0,0,COUNTIFS('VÍNCULOS_CDF'!$R$6:$R$1005,A806,'VÍNCULOS_CDF'!$AA$6:$AA$1005,1))</f>
        <v>0</v>
      </c>
      <c r="AF806" s="96">
        <f>IF(R806=0,0,COUNTIFS('VÍNCULOS_CDF'!$R$6:$R$1005,A806,'VÍNCULOS_CDF'!$Y$6:$Y$1005,1))</f>
        <v>0</v>
      </c>
      <c r="AG806" s="96" t="str">
        <f>IF(AND(R806=1,S806&lt;&gt;"",C806&lt;&gt;""),S806&amp;"|"&amp;C806&amp;"|"&amp;G806&amp;"|"&amp;H806,"")</f>
        <v/>
      </c>
      <c r="AH806" s="96">
        <f>IF(AG806="",0,IF(SUMPRODUCT(--($AG$6:$AG$1005=AG806))&gt;1,1,0))</f>
        <v>0</v>
      </c>
      <c r="AI806" s="96">
        <f>IF(R806=0,0,IF(OR(U806=0,V806=0,Y806=0,AND(AH806=1,K806&lt;&gt;"Sim")),1,0))</f>
        <v>0</v>
      </c>
      <c r="AJ806" s="96">
        <f>IF(AND(R806=1,AA806&gt;0,AB806=AA806),1,0)</f>
        <v>0</v>
      </c>
      <c r="AK806" s="96">
        <f>IF(R806=0,0,IF(AA806&gt;0,N(L806),IF(ISNUMBER(I806),I806,0)))</f>
        <v>0</v>
      </c>
      <c r="AL806" s="96">
        <f>IF(R806=0,0,IF(AND(K806&lt;&gt;"Sim",N(M806)&gt;AK806+cfg_tol),1,0))</f>
        <v>0</v>
      </c>
      <c r="AM806" s="96">
        <f>IF(R806=0,0,IF(K806="Sim",0,IF(OR(AND(AA806&gt;0,ISNUMBER(I806),ABS(I806-N(L806))&gt;cfg_tol),AL806=1),1,0)))</f>
        <v>0</v>
      </c>
      <c r="AN806" s="96">
        <f>IF(AND(R806=1,N(M806)&gt;0,OR(N(M806)&gt;=AK806-cfg_tol,K806="Sim")),1,0)</f>
        <v>0</v>
      </c>
      <c r="AO806" s="96">
        <f>IF(AND(AN806=1,AD806&gt;0,AE806=AD806,AL806=0),1,0)</f>
        <v>0</v>
      </c>
      <c r="AP806" s="96">
        <f>IF(U806=0,0,IF(AND(INDEX('MTRs'!$AX$6:$AX$505,T806)=1,Z806=0,OR(f_res="",f_res="(Todos)",C806=f_res)),1,0))</f>
        <v>0</v>
      </c>
      <c r="AQ806" s="97" t="str">
        <f>IF(U806=0,"",INDEX('MTRs'!$AZ$6:$AZ$505,T806))</f>
        <v/>
      </c>
      <c r="AR806" s="96">
        <f>IF(U806=0,0,IF(AND(INDEX('MTRs'!$BA$6:$BA$505,T806)=1,Z806=0),1,0))</f>
        <v>0</v>
      </c>
      <c r="AS806" s="96" t="str">
        <f>IF(R806=1,A806&amp;" | MTR "&amp;IF(U806=1,INDEX('MTRs'!$B$6:$B$505,T806)&amp;"","?")&amp;" | "&amp;IF(C806="","(sem resíduo)",C806),"")</f>
        <v/>
      </c>
      <c r="AT806" s="96" t="str">
        <f>IF(R806=1,COUNTIF($R$6:R806,1),"")</f>
        <v/>
      </c>
      <c r="AU806" s="96" t="str">
        <f>IF(U806=1,INDEX('MTRs'!$I$6:$I$505,T806)&amp;"","")</f>
        <v/>
      </c>
    </row>
    <row r="807">
      <c r="A807" s="89" t="inlineStr">
        <is>
          <t>IT-000802</t>
        </is>
      </c>
      <c r="B807" s="91" t="n"/>
      <c r="C807" s="91" t="n"/>
      <c r="D807" s="94" t="str">
        <f>IF(OR(R807=0,V807=0),"",INDEX('CAD_RESÍDUOS'!$E$6:$E$205,MATCH(C807,'CAD_RESÍDUOS'!$B$6:$B$205,0))&amp;"")</f>
        <v/>
      </c>
      <c r="E807" s="94" t="str">
        <f>IF(OR(R807=0,V807=0),"",INDEX('CAD_RESÍDUOS'!$C$6:$C$205,MATCH(C807,'CAD_RESÍDUOS'!$B$6:$B$205,0))&amp;"")</f>
        <v/>
      </c>
      <c r="F807" s="94" t="str">
        <f>IF(OR(R807=0,V807=0),"",INDEX('CAD_RESÍDUOS'!$G$6:$G$205,MATCH(C807,'CAD_RESÍDUOS'!$B$6:$B$205,0))&amp;"")</f>
        <v/>
      </c>
      <c r="G807" s="98" t="n"/>
      <c r="H807" s="91" t="n"/>
      <c r="I807" s="93" t="str">
        <f>IF(R807=0,"",IF(NOT(ISNUMBER(G807)),"",IF(ISNUMBER(X807),G807*X807,"UNIDADE A CONFERIR")))</f>
        <v/>
      </c>
      <c r="J807" s="91" t="n"/>
      <c r="K807" s="91" t="n"/>
      <c r="L807" s="93" t="str">
        <f>IF(R807=0,"",SUMIFS('RECEBIMENTOS'!$H$6:$H$1005,'RECEBIMENTOS'!$R$6:$R$1005,A807,'RECEBIMENTOS'!$X$6:$X$1005,1))</f>
        <v/>
      </c>
      <c r="M807" s="93" t="str">
        <f>IF(R807=0,"",SUMIFS('VÍNCULOS_CDF'!$H$6:$H$1005,'VÍNCULOS_CDF'!$R$6:$R$1005,A807,'VÍNCULOS_CDF'!$V$6:$V$1005,1))</f>
        <v/>
      </c>
      <c r="N807" s="99" t="str">
        <f>IF(OR(R807=0,AA807=0,NOT(ISNUMBER(I807))),"",I807-N(L807))</f>
        <v/>
      </c>
      <c r="O807" s="100" t="str">
        <f>IF(OR(R807=0,AK807&lt;=0),"",N(M807)/AK807)</f>
        <v/>
      </c>
      <c r="P807" s="94" t="str">
        <f>IF(R807=0,"",IF(S807="","Sem MTR associado",IF(U807=0,"MTR inexistente",IF(C807="","Resíduo não identificado",IF(V807=0,"Resíduo fora do cadastro",IF(W807=0,"Quantidade inválida",IF(H807="","Unidade não informada",IF(NOT(ISNUMBER(I807)),"Unidade a conferir",IF(AND(AH807=1,K807&lt;&gt;"Sim"),"Possível duplicidade",IF(Z807=1,"MTR cancelado",IF(AC807&gt;0,"Recebimento com alerta",IF(AA807=0,"Aguardando recebimento",IF(AB807&lt;AA807,"Recebimento a conferir",IF(AM807=1,"Quantidade a revisar",IF(AF807&gt;0,"Vínculo a revisar",IF(AD807=0,"Aguardando CDF",IF(AN807=0,"Vínculo de CDF parcial",IF(AE807&lt;AD807,"CDF a conferir","Documentação conferida"))))))))))))))))))</f>
        <v/>
      </c>
      <c r="Q807" s="93" t="str">
        <f>IF(OR(R807=0,AA807=0),"",MAX(0,N(L807)-N(M807)))</f>
        <v/>
      </c>
      <c r="R807" s="96">
        <f>IF(COUNTA(B807:C807,G807:H807,J807:K807)&gt;0,1,0)</f>
        <v>0</v>
      </c>
      <c r="S807" s="96" t="str">
        <f>IF(B807="","",TRIM(LEFT(B807,FIND(" |",B807&amp;" |")-1)))</f>
        <v/>
      </c>
      <c r="T807" s="96" t="str">
        <f>IF(S807="","",IFERROR(MATCH(S807,'MTRs'!$A$6:$A$505,0),""))</f>
        <v/>
      </c>
      <c r="U807" s="96">
        <f>IF(T807="",0,IF(INDEX('MTRs'!$Z$6:$Z$505,T807)=1,1,0))</f>
        <v>0</v>
      </c>
      <c r="V807" s="96">
        <f>IF(C807="",0,IF(ISNUMBER(MATCH(C807,'CAD_RESÍDUOS'!$B$6:$B$205,0)),1,0))</f>
        <v>0</v>
      </c>
      <c r="W807" s="96">
        <f>IF(AND(ISNUMBER(G807),G807&gt;0),1,0)</f>
        <v>0</v>
      </c>
      <c r="X807" s="96" t="str">
        <f>IF(H807="","",IFERROR(IF(ISNUMBER(INDEX(cfg_fac,MATCH(H807,cfg_units,0))),IF(INDEX(cfg_fac,MATCH(H807,cfg_units,0))&gt;0,INDEX(cfg_fac,MATCH(H807,cfg_units,0)),""),""),""))</f>
        <v/>
      </c>
      <c r="Y807" s="96">
        <f>IF(AND(W807=1,ISNUMBER(I807)),1,0)</f>
        <v>0</v>
      </c>
      <c r="Z807" s="96">
        <f>IF(U807=1,INDEX('MTRs'!$AA$6:$AA$505,T807),0)</f>
        <v>0</v>
      </c>
      <c r="AA807" s="96">
        <f>IF(R807=0,0,COUNTIFS('RECEBIMENTOS'!$R$6:$R$1005,A807,'RECEBIMENTOS'!$Q$6:$Q$1005,1))</f>
        <v>0</v>
      </c>
      <c r="AB807" s="96">
        <f>IF(R807=0,0,COUNTIFS('RECEBIMENTOS'!$R$6:$R$1005,A807,'RECEBIMENTOS'!$Z$6:$Z$1005,1))</f>
        <v>0</v>
      </c>
      <c r="AC807" s="96">
        <f>IF(R807=0,0,COUNTIFS('RECEBIMENTOS'!$R$6:$R$1005,A807,'RECEBIMENTOS'!$Y$6:$Y$1005,1))</f>
        <v>0</v>
      </c>
      <c r="AD807" s="96">
        <f>IF(R807=0,0,COUNTIFS('VÍNCULOS_CDF'!$R$6:$R$1005,A807,'VÍNCULOS_CDF'!$N$6:$N$1005,1))</f>
        <v>0</v>
      </c>
      <c r="AE807" s="96">
        <f>IF(R807=0,0,COUNTIFS('VÍNCULOS_CDF'!$R$6:$R$1005,A807,'VÍNCULOS_CDF'!$AA$6:$AA$1005,1))</f>
        <v>0</v>
      </c>
      <c r="AF807" s="96">
        <f>IF(R807=0,0,COUNTIFS('VÍNCULOS_CDF'!$R$6:$R$1005,A807,'VÍNCULOS_CDF'!$Y$6:$Y$1005,1))</f>
        <v>0</v>
      </c>
      <c r="AG807" s="96" t="str">
        <f>IF(AND(R807=1,S807&lt;&gt;"",C807&lt;&gt;""),S807&amp;"|"&amp;C807&amp;"|"&amp;G807&amp;"|"&amp;H807,"")</f>
        <v/>
      </c>
      <c r="AH807" s="96">
        <f>IF(AG807="",0,IF(SUMPRODUCT(--($AG$6:$AG$1005=AG807))&gt;1,1,0))</f>
        <v>0</v>
      </c>
      <c r="AI807" s="96">
        <f>IF(R807=0,0,IF(OR(U807=0,V807=0,Y807=0,AND(AH807=1,K807&lt;&gt;"Sim")),1,0))</f>
        <v>0</v>
      </c>
      <c r="AJ807" s="96">
        <f>IF(AND(R807=1,AA807&gt;0,AB807=AA807),1,0)</f>
        <v>0</v>
      </c>
      <c r="AK807" s="96">
        <f>IF(R807=0,0,IF(AA807&gt;0,N(L807),IF(ISNUMBER(I807),I807,0)))</f>
        <v>0</v>
      </c>
      <c r="AL807" s="96">
        <f>IF(R807=0,0,IF(AND(K807&lt;&gt;"Sim",N(M807)&gt;AK807+cfg_tol),1,0))</f>
        <v>0</v>
      </c>
      <c r="AM807" s="96">
        <f>IF(R807=0,0,IF(K807="Sim",0,IF(OR(AND(AA807&gt;0,ISNUMBER(I807),ABS(I807-N(L807))&gt;cfg_tol),AL807=1),1,0)))</f>
        <v>0</v>
      </c>
      <c r="AN807" s="96">
        <f>IF(AND(R807=1,N(M807)&gt;0,OR(N(M807)&gt;=AK807-cfg_tol,K807="Sim")),1,0)</f>
        <v>0</v>
      </c>
      <c r="AO807" s="96">
        <f>IF(AND(AN807=1,AD807&gt;0,AE807=AD807,AL807=0),1,0)</f>
        <v>0</v>
      </c>
      <c r="AP807" s="96">
        <f>IF(U807=0,0,IF(AND(INDEX('MTRs'!$AX$6:$AX$505,T807)=1,Z807=0,OR(f_res="",f_res="(Todos)",C807=f_res)),1,0))</f>
        <v>0</v>
      </c>
      <c r="AQ807" s="97" t="str">
        <f>IF(U807=0,"",INDEX('MTRs'!$AZ$6:$AZ$505,T807))</f>
        <v/>
      </c>
      <c r="AR807" s="96">
        <f>IF(U807=0,0,IF(AND(INDEX('MTRs'!$BA$6:$BA$505,T807)=1,Z807=0),1,0))</f>
        <v>0</v>
      </c>
      <c r="AS807" s="96" t="str">
        <f>IF(R807=1,A807&amp;" | MTR "&amp;IF(U807=1,INDEX('MTRs'!$B$6:$B$505,T807)&amp;"","?")&amp;" | "&amp;IF(C807="","(sem resíduo)",C807),"")</f>
        <v/>
      </c>
      <c r="AT807" s="96" t="str">
        <f>IF(R807=1,COUNTIF($R$6:R807,1),"")</f>
        <v/>
      </c>
      <c r="AU807" s="96" t="str">
        <f>IF(U807=1,INDEX('MTRs'!$I$6:$I$505,T807)&amp;"","")</f>
        <v/>
      </c>
    </row>
    <row r="808">
      <c r="A808" s="89" t="inlineStr">
        <is>
          <t>IT-000803</t>
        </is>
      </c>
      <c r="B808" s="91" t="n"/>
      <c r="C808" s="91" t="n"/>
      <c r="D808" s="94" t="str">
        <f>IF(OR(R808=0,V808=0),"",INDEX('CAD_RESÍDUOS'!$E$6:$E$205,MATCH(C808,'CAD_RESÍDUOS'!$B$6:$B$205,0))&amp;"")</f>
        <v/>
      </c>
      <c r="E808" s="94" t="str">
        <f>IF(OR(R808=0,V808=0),"",INDEX('CAD_RESÍDUOS'!$C$6:$C$205,MATCH(C808,'CAD_RESÍDUOS'!$B$6:$B$205,0))&amp;"")</f>
        <v/>
      </c>
      <c r="F808" s="94" t="str">
        <f>IF(OR(R808=0,V808=0),"",INDEX('CAD_RESÍDUOS'!$G$6:$G$205,MATCH(C808,'CAD_RESÍDUOS'!$B$6:$B$205,0))&amp;"")</f>
        <v/>
      </c>
      <c r="G808" s="98" t="n"/>
      <c r="H808" s="91" t="n"/>
      <c r="I808" s="93" t="str">
        <f>IF(R808=0,"",IF(NOT(ISNUMBER(G808)),"",IF(ISNUMBER(X808),G808*X808,"UNIDADE A CONFERIR")))</f>
        <v/>
      </c>
      <c r="J808" s="91" t="n"/>
      <c r="K808" s="91" t="n"/>
      <c r="L808" s="93" t="str">
        <f>IF(R808=0,"",SUMIFS('RECEBIMENTOS'!$H$6:$H$1005,'RECEBIMENTOS'!$R$6:$R$1005,A808,'RECEBIMENTOS'!$X$6:$X$1005,1))</f>
        <v/>
      </c>
      <c r="M808" s="93" t="str">
        <f>IF(R808=0,"",SUMIFS('VÍNCULOS_CDF'!$H$6:$H$1005,'VÍNCULOS_CDF'!$R$6:$R$1005,A808,'VÍNCULOS_CDF'!$V$6:$V$1005,1))</f>
        <v/>
      </c>
      <c r="N808" s="99" t="str">
        <f>IF(OR(R808=0,AA808=0,NOT(ISNUMBER(I808))),"",I808-N(L808))</f>
        <v/>
      </c>
      <c r="O808" s="100" t="str">
        <f>IF(OR(R808=0,AK808&lt;=0),"",N(M808)/AK808)</f>
        <v/>
      </c>
      <c r="P808" s="94" t="str">
        <f>IF(R808=0,"",IF(S808="","Sem MTR associado",IF(U808=0,"MTR inexistente",IF(C808="","Resíduo não identificado",IF(V808=0,"Resíduo fora do cadastro",IF(W808=0,"Quantidade inválida",IF(H808="","Unidade não informada",IF(NOT(ISNUMBER(I808)),"Unidade a conferir",IF(AND(AH808=1,K808&lt;&gt;"Sim"),"Possível duplicidade",IF(Z808=1,"MTR cancelado",IF(AC808&gt;0,"Recebimento com alerta",IF(AA808=0,"Aguardando recebimento",IF(AB808&lt;AA808,"Recebimento a conferir",IF(AM808=1,"Quantidade a revisar",IF(AF808&gt;0,"Vínculo a revisar",IF(AD808=0,"Aguardando CDF",IF(AN808=0,"Vínculo de CDF parcial",IF(AE808&lt;AD808,"CDF a conferir","Documentação conferida"))))))))))))))))))</f>
        <v/>
      </c>
      <c r="Q808" s="93" t="str">
        <f>IF(OR(R808=0,AA808=0),"",MAX(0,N(L808)-N(M808)))</f>
        <v/>
      </c>
      <c r="R808" s="96">
        <f>IF(COUNTA(B808:C808,G808:H808,J808:K808)&gt;0,1,0)</f>
        <v>0</v>
      </c>
      <c r="S808" s="96" t="str">
        <f>IF(B808="","",TRIM(LEFT(B808,FIND(" |",B808&amp;" |")-1)))</f>
        <v/>
      </c>
      <c r="T808" s="96" t="str">
        <f>IF(S808="","",IFERROR(MATCH(S808,'MTRs'!$A$6:$A$505,0),""))</f>
        <v/>
      </c>
      <c r="U808" s="96">
        <f>IF(T808="",0,IF(INDEX('MTRs'!$Z$6:$Z$505,T808)=1,1,0))</f>
        <v>0</v>
      </c>
      <c r="V808" s="96">
        <f>IF(C808="",0,IF(ISNUMBER(MATCH(C808,'CAD_RESÍDUOS'!$B$6:$B$205,0)),1,0))</f>
        <v>0</v>
      </c>
      <c r="W808" s="96">
        <f>IF(AND(ISNUMBER(G808),G808&gt;0),1,0)</f>
        <v>0</v>
      </c>
      <c r="X808" s="96" t="str">
        <f>IF(H808="","",IFERROR(IF(ISNUMBER(INDEX(cfg_fac,MATCH(H808,cfg_units,0))),IF(INDEX(cfg_fac,MATCH(H808,cfg_units,0))&gt;0,INDEX(cfg_fac,MATCH(H808,cfg_units,0)),""),""),""))</f>
        <v/>
      </c>
      <c r="Y808" s="96">
        <f>IF(AND(W808=1,ISNUMBER(I808)),1,0)</f>
        <v>0</v>
      </c>
      <c r="Z808" s="96">
        <f>IF(U808=1,INDEX('MTRs'!$AA$6:$AA$505,T808),0)</f>
        <v>0</v>
      </c>
      <c r="AA808" s="96">
        <f>IF(R808=0,0,COUNTIFS('RECEBIMENTOS'!$R$6:$R$1005,A808,'RECEBIMENTOS'!$Q$6:$Q$1005,1))</f>
        <v>0</v>
      </c>
      <c r="AB808" s="96">
        <f>IF(R808=0,0,COUNTIFS('RECEBIMENTOS'!$R$6:$R$1005,A808,'RECEBIMENTOS'!$Z$6:$Z$1005,1))</f>
        <v>0</v>
      </c>
      <c r="AC808" s="96">
        <f>IF(R808=0,0,COUNTIFS('RECEBIMENTOS'!$R$6:$R$1005,A808,'RECEBIMENTOS'!$Y$6:$Y$1005,1))</f>
        <v>0</v>
      </c>
      <c r="AD808" s="96">
        <f>IF(R808=0,0,COUNTIFS('VÍNCULOS_CDF'!$R$6:$R$1005,A808,'VÍNCULOS_CDF'!$N$6:$N$1005,1))</f>
        <v>0</v>
      </c>
      <c r="AE808" s="96">
        <f>IF(R808=0,0,COUNTIFS('VÍNCULOS_CDF'!$R$6:$R$1005,A808,'VÍNCULOS_CDF'!$AA$6:$AA$1005,1))</f>
        <v>0</v>
      </c>
      <c r="AF808" s="96">
        <f>IF(R808=0,0,COUNTIFS('VÍNCULOS_CDF'!$R$6:$R$1005,A808,'VÍNCULOS_CDF'!$Y$6:$Y$1005,1))</f>
        <v>0</v>
      </c>
      <c r="AG808" s="96" t="str">
        <f>IF(AND(R808=1,S808&lt;&gt;"",C808&lt;&gt;""),S808&amp;"|"&amp;C808&amp;"|"&amp;G808&amp;"|"&amp;H808,"")</f>
        <v/>
      </c>
      <c r="AH808" s="96">
        <f>IF(AG808="",0,IF(SUMPRODUCT(--($AG$6:$AG$1005=AG808))&gt;1,1,0))</f>
        <v>0</v>
      </c>
      <c r="AI808" s="96">
        <f>IF(R808=0,0,IF(OR(U808=0,V808=0,Y808=0,AND(AH808=1,K808&lt;&gt;"Sim")),1,0))</f>
        <v>0</v>
      </c>
      <c r="AJ808" s="96">
        <f>IF(AND(R808=1,AA808&gt;0,AB808=AA808),1,0)</f>
        <v>0</v>
      </c>
      <c r="AK808" s="96">
        <f>IF(R808=0,0,IF(AA808&gt;0,N(L808),IF(ISNUMBER(I808),I808,0)))</f>
        <v>0</v>
      </c>
      <c r="AL808" s="96">
        <f>IF(R808=0,0,IF(AND(K808&lt;&gt;"Sim",N(M808)&gt;AK808+cfg_tol),1,0))</f>
        <v>0</v>
      </c>
      <c r="AM808" s="96">
        <f>IF(R808=0,0,IF(K808="Sim",0,IF(OR(AND(AA808&gt;0,ISNUMBER(I808),ABS(I808-N(L808))&gt;cfg_tol),AL808=1),1,0)))</f>
        <v>0</v>
      </c>
      <c r="AN808" s="96">
        <f>IF(AND(R808=1,N(M808)&gt;0,OR(N(M808)&gt;=AK808-cfg_tol,K808="Sim")),1,0)</f>
        <v>0</v>
      </c>
      <c r="AO808" s="96">
        <f>IF(AND(AN808=1,AD808&gt;0,AE808=AD808,AL808=0),1,0)</f>
        <v>0</v>
      </c>
      <c r="AP808" s="96">
        <f>IF(U808=0,0,IF(AND(INDEX('MTRs'!$AX$6:$AX$505,T808)=1,Z808=0,OR(f_res="",f_res="(Todos)",C808=f_res)),1,0))</f>
        <v>0</v>
      </c>
      <c r="AQ808" s="97" t="str">
        <f>IF(U808=0,"",INDEX('MTRs'!$AZ$6:$AZ$505,T808))</f>
        <v/>
      </c>
      <c r="AR808" s="96">
        <f>IF(U808=0,0,IF(AND(INDEX('MTRs'!$BA$6:$BA$505,T808)=1,Z808=0),1,0))</f>
        <v>0</v>
      </c>
      <c r="AS808" s="96" t="str">
        <f>IF(R808=1,A808&amp;" | MTR "&amp;IF(U808=1,INDEX('MTRs'!$B$6:$B$505,T808)&amp;"","?")&amp;" | "&amp;IF(C808="","(sem resíduo)",C808),"")</f>
        <v/>
      </c>
      <c r="AT808" s="96" t="str">
        <f>IF(R808=1,COUNTIF($R$6:R808,1),"")</f>
        <v/>
      </c>
      <c r="AU808" s="96" t="str">
        <f>IF(U808=1,INDEX('MTRs'!$I$6:$I$505,T808)&amp;"","")</f>
        <v/>
      </c>
    </row>
    <row r="809">
      <c r="A809" s="89" t="inlineStr">
        <is>
          <t>IT-000804</t>
        </is>
      </c>
      <c r="B809" s="91" t="n"/>
      <c r="C809" s="91" t="n"/>
      <c r="D809" s="94" t="str">
        <f>IF(OR(R809=0,V809=0),"",INDEX('CAD_RESÍDUOS'!$E$6:$E$205,MATCH(C809,'CAD_RESÍDUOS'!$B$6:$B$205,0))&amp;"")</f>
        <v/>
      </c>
      <c r="E809" s="94" t="str">
        <f>IF(OR(R809=0,V809=0),"",INDEX('CAD_RESÍDUOS'!$C$6:$C$205,MATCH(C809,'CAD_RESÍDUOS'!$B$6:$B$205,0))&amp;"")</f>
        <v/>
      </c>
      <c r="F809" s="94" t="str">
        <f>IF(OR(R809=0,V809=0),"",INDEX('CAD_RESÍDUOS'!$G$6:$G$205,MATCH(C809,'CAD_RESÍDUOS'!$B$6:$B$205,0))&amp;"")</f>
        <v/>
      </c>
      <c r="G809" s="98" t="n"/>
      <c r="H809" s="91" t="n"/>
      <c r="I809" s="93" t="str">
        <f>IF(R809=0,"",IF(NOT(ISNUMBER(G809)),"",IF(ISNUMBER(X809),G809*X809,"UNIDADE A CONFERIR")))</f>
        <v/>
      </c>
      <c r="J809" s="91" t="n"/>
      <c r="K809" s="91" t="n"/>
      <c r="L809" s="93" t="str">
        <f>IF(R809=0,"",SUMIFS('RECEBIMENTOS'!$H$6:$H$1005,'RECEBIMENTOS'!$R$6:$R$1005,A809,'RECEBIMENTOS'!$X$6:$X$1005,1))</f>
        <v/>
      </c>
      <c r="M809" s="93" t="str">
        <f>IF(R809=0,"",SUMIFS('VÍNCULOS_CDF'!$H$6:$H$1005,'VÍNCULOS_CDF'!$R$6:$R$1005,A809,'VÍNCULOS_CDF'!$V$6:$V$1005,1))</f>
        <v/>
      </c>
      <c r="N809" s="99" t="str">
        <f>IF(OR(R809=0,AA809=0,NOT(ISNUMBER(I809))),"",I809-N(L809))</f>
        <v/>
      </c>
      <c r="O809" s="100" t="str">
        <f>IF(OR(R809=0,AK809&lt;=0),"",N(M809)/AK809)</f>
        <v/>
      </c>
      <c r="P809" s="94" t="str">
        <f>IF(R809=0,"",IF(S809="","Sem MTR associado",IF(U809=0,"MTR inexistente",IF(C809="","Resíduo não identificado",IF(V809=0,"Resíduo fora do cadastro",IF(W809=0,"Quantidade inválida",IF(H809="","Unidade não informada",IF(NOT(ISNUMBER(I809)),"Unidade a conferir",IF(AND(AH809=1,K809&lt;&gt;"Sim"),"Possível duplicidade",IF(Z809=1,"MTR cancelado",IF(AC809&gt;0,"Recebimento com alerta",IF(AA809=0,"Aguardando recebimento",IF(AB809&lt;AA809,"Recebimento a conferir",IF(AM809=1,"Quantidade a revisar",IF(AF809&gt;0,"Vínculo a revisar",IF(AD809=0,"Aguardando CDF",IF(AN809=0,"Vínculo de CDF parcial",IF(AE809&lt;AD809,"CDF a conferir","Documentação conferida"))))))))))))))))))</f>
        <v/>
      </c>
      <c r="Q809" s="93" t="str">
        <f>IF(OR(R809=0,AA809=0),"",MAX(0,N(L809)-N(M809)))</f>
        <v/>
      </c>
      <c r="R809" s="96">
        <f>IF(COUNTA(B809:C809,G809:H809,J809:K809)&gt;0,1,0)</f>
        <v>0</v>
      </c>
      <c r="S809" s="96" t="str">
        <f>IF(B809="","",TRIM(LEFT(B809,FIND(" |",B809&amp;" |")-1)))</f>
        <v/>
      </c>
      <c r="T809" s="96" t="str">
        <f>IF(S809="","",IFERROR(MATCH(S809,'MTRs'!$A$6:$A$505,0),""))</f>
        <v/>
      </c>
      <c r="U809" s="96">
        <f>IF(T809="",0,IF(INDEX('MTRs'!$Z$6:$Z$505,T809)=1,1,0))</f>
        <v>0</v>
      </c>
      <c r="V809" s="96">
        <f>IF(C809="",0,IF(ISNUMBER(MATCH(C809,'CAD_RESÍDUOS'!$B$6:$B$205,0)),1,0))</f>
        <v>0</v>
      </c>
      <c r="W809" s="96">
        <f>IF(AND(ISNUMBER(G809),G809&gt;0),1,0)</f>
        <v>0</v>
      </c>
      <c r="X809" s="96" t="str">
        <f>IF(H809="","",IFERROR(IF(ISNUMBER(INDEX(cfg_fac,MATCH(H809,cfg_units,0))),IF(INDEX(cfg_fac,MATCH(H809,cfg_units,0))&gt;0,INDEX(cfg_fac,MATCH(H809,cfg_units,0)),""),""),""))</f>
        <v/>
      </c>
      <c r="Y809" s="96">
        <f>IF(AND(W809=1,ISNUMBER(I809)),1,0)</f>
        <v>0</v>
      </c>
      <c r="Z809" s="96">
        <f>IF(U809=1,INDEX('MTRs'!$AA$6:$AA$505,T809),0)</f>
        <v>0</v>
      </c>
      <c r="AA809" s="96">
        <f>IF(R809=0,0,COUNTIFS('RECEBIMENTOS'!$R$6:$R$1005,A809,'RECEBIMENTOS'!$Q$6:$Q$1005,1))</f>
        <v>0</v>
      </c>
      <c r="AB809" s="96">
        <f>IF(R809=0,0,COUNTIFS('RECEBIMENTOS'!$R$6:$R$1005,A809,'RECEBIMENTOS'!$Z$6:$Z$1005,1))</f>
        <v>0</v>
      </c>
      <c r="AC809" s="96">
        <f>IF(R809=0,0,COUNTIFS('RECEBIMENTOS'!$R$6:$R$1005,A809,'RECEBIMENTOS'!$Y$6:$Y$1005,1))</f>
        <v>0</v>
      </c>
      <c r="AD809" s="96">
        <f>IF(R809=0,0,COUNTIFS('VÍNCULOS_CDF'!$R$6:$R$1005,A809,'VÍNCULOS_CDF'!$N$6:$N$1005,1))</f>
        <v>0</v>
      </c>
      <c r="AE809" s="96">
        <f>IF(R809=0,0,COUNTIFS('VÍNCULOS_CDF'!$R$6:$R$1005,A809,'VÍNCULOS_CDF'!$AA$6:$AA$1005,1))</f>
        <v>0</v>
      </c>
      <c r="AF809" s="96">
        <f>IF(R809=0,0,COUNTIFS('VÍNCULOS_CDF'!$R$6:$R$1005,A809,'VÍNCULOS_CDF'!$Y$6:$Y$1005,1))</f>
        <v>0</v>
      </c>
      <c r="AG809" s="96" t="str">
        <f>IF(AND(R809=1,S809&lt;&gt;"",C809&lt;&gt;""),S809&amp;"|"&amp;C809&amp;"|"&amp;G809&amp;"|"&amp;H809,"")</f>
        <v/>
      </c>
      <c r="AH809" s="96">
        <f>IF(AG809="",0,IF(SUMPRODUCT(--($AG$6:$AG$1005=AG809))&gt;1,1,0))</f>
        <v>0</v>
      </c>
      <c r="AI809" s="96">
        <f>IF(R809=0,0,IF(OR(U809=0,V809=0,Y809=0,AND(AH809=1,K809&lt;&gt;"Sim")),1,0))</f>
        <v>0</v>
      </c>
      <c r="AJ809" s="96">
        <f>IF(AND(R809=1,AA809&gt;0,AB809=AA809),1,0)</f>
        <v>0</v>
      </c>
      <c r="AK809" s="96">
        <f>IF(R809=0,0,IF(AA809&gt;0,N(L809),IF(ISNUMBER(I809),I809,0)))</f>
        <v>0</v>
      </c>
      <c r="AL809" s="96">
        <f>IF(R809=0,0,IF(AND(K809&lt;&gt;"Sim",N(M809)&gt;AK809+cfg_tol),1,0))</f>
        <v>0</v>
      </c>
      <c r="AM809" s="96">
        <f>IF(R809=0,0,IF(K809="Sim",0,IF(OR(AND(AA809&gt;0,ISNUMBER(I809),ABS(I809-N(L809))&gt;cfg_tol),AL809=1),1,0)))</f>
        <v>0</v>
      </c>
      <c r="AN809" s="96">
        <f>IF(AND(R809=1,N(M809)&gt;0,OR(N(M809)&gt;=AK809-cfg_tol,K809="Sim")),1,0)</f>
        <v>0</v>
      </c>
      <c r="AO809" s="96">
        <f>IF(AND(AN809=1,AD809&gt;0,AE809=AD809,AL809=0),1,0)</f>
        <v>0</v>
      </c>
      <c r="AP809" s="96">
        <f>IF(U809=0,0,IF(AND(INDEX('MTRs'!$AX$6:$AX$505,T809)=1,Z809=0,OR(f_res="",f_res="(Todos)",C809=f_res)),1,0))</f>
        <v>0</v>
      </c>
      <c r="AQ809" s="97" t="str">
        <f>IF(U809=0,"",INDEX('MTRs'!$AZ$6:$AZ$505,T809))</f>
        <v/>
      </c>
      <c r="AR809" s="96">
        <f>IF(U809=0,0,IF(AND(INDEX('MTRs'!$BA$6:$BA$505,T809)=1,Z809=0),1,0))</f>
        <v>0</v>
      </c>
      <c r="AS809" s="96" t="str">
        <f>IF(R809=1,A809&amp;" | MTR "&amp;IF(U809=1,INDEX('MTRs'!$B$6:$B$505,T809)&amp;"","?")&amp;" | "&amp;IF(C809="","(sem resíduo)",C809),"")</f>
        <v/>
      </c>
      <c r="AT809" s="96" t="str">
        <f>IF(R809=1,COUNTIF($R$6:R809,1),"")</f>
        <v/>
      </c>
      <c r="AU809" s="96" t="str">
        <f>IF(U809=1,INDEX('MTRs'!$I$6:$I$505,T809)&amp;"","")</f>
        <v/>
      </c>
    </row>
    <row r="810">
      <c r="A810" s="89" t="inlineStr">
        <is>
          <t>IT-000805</t>
        </is>
      </c>
      <c r="B810" s="91" t="n"/>
      <c r="C810" s="91" t="n"/>
      <c r="D810" s="94" t="str">
        <f>IF(OR(R810=0,V810=0),"",INDEX('CAD_RESÍDUOS'!$E$6:$E$205,MATCH(C810,'CAD_RESÍDUOS'!$B$6:$B$205,0))&amp;"")</f>
        <v/>
      </c>
      <c r="E810" s="94" t="str">
        <f>IF(OR(R810=0,V810=0),"",INDEX('CAD_RESÍDUOS'!$C$6:$C$205,MATCH(C810,'CAD_RESÍDUOS'!$B$6:$B$205,0))&amp;"")</f>
        <v/>
      </c>
      <c r="F810" s="94" t="str">
        <f>IF(OR(R810=0,V810=0),"",INDEX('CAD_RESÍDUOS'!$G$6:$G$205,MATCH(C810,'CAD_RESÍDUOS'!$B$6:$B$205,0))&amp;"")</f>
        <v/>
      </c>
      <c r="G810" s="98" t="n"/>
      <c r="H810" s="91" t="n"/>
      <c r="I810" s="93" t="str">
        <f>IF(R810=0,"",IF(NOT(ISNUMBER(G810)),"",IF(ISNUMBER(X810),G810*X810,"UNIDADE A CONFERIR")))</f>
        <v/>
      </c>
      <c r="J810" s="91" t="n"/>
      <c r="K810" s="91" t="n"/>
      <c r="L810" s="93" t="str">
        <f>IF(R810=0,"",SUMIFS('RECEBIMENTOS'!$H$6:$H$1005,'RECEBIMENTOS'!$R$6:$R$1005,A810,'RECEBIMENTOS'!$X$6:$X$1005,1))</f>
        <v/>
      </c>
      <c r="M810" s="93" t="str">
        <f>IF(R810=0,"",SUMIFS('VÍNCULOS_CDF'!$H$6:$H$1005,'VÍNCULOS_CDF'!$R$6:$R$1005,A810,'VÍNCULOS_CDF'!$V$6:$V$1005,1))</f>
        <v/>
      </c>
      <c r="N810" s="99" t="str">
        <f>IF(OR(R810=0,AA810=0,NOT(ISNUMBER(I810))),"",I810-N(L810))</f>
        <v/>
      </c>
      <c r="O810" s="100" t="str">
        <f>IF(OR(R810=0,AK810&lt;=0),"",N(M810)/AK810)</f>
        <v/>
      </c>
      <c r="P810" s="94" t="str">
        <f>IF(R810=0,"",IF(S810="","Sem MTR associado",IF(U810=0,"MTR inexistente",IF(C810="","Resíduo não identificado",IF(V810=0,"Resíduo fora do cadastro",IF(W810=0,"Quantidade inválida",IF(H810="","Unidade não informada",IF(NOT(ISNUMBER(I810)),"Unidade a conferir",IF(AND(AH810=1,K810&lt;&gt;"Sim"),"Possível duplicidade",IF(Z810=1,"MTR cancelado",IF(AC810&gt;0,"Recebimento com alerta",IF(AA810=0,"Aguardando recebimento",IF(AB810&lt;AA810,"Recebimento a conferir",IF(AM810=1,"Quantidade a revisar",IF(AF810&gt;0,"Vínculo a revisar",IF(AD810=0,"Aguardando CDF",IF(AN810=0,"Vínculo de CDF parcial",IF(AE810&lt;AD810,"CDF a conferir","Documentação conferida"))))))))))))))))))</f>
        <v/>
      </c>
      <c r="Q810" s="93" t="str">
        <f>IF(OR(R810=0,AA810=0),"",MAX(0,N(L810)-N(M810)))</f>
        <v/>
      </c>
      <c r="R810" s="96">
        <f>IF(COUNTA(B810:C810,G810:H810,J810:K810)&gt;0,1,0)</f>
        <v>0</v>
      </c>
      <c r="S810" s="96" t="str">
        <f>IF(B810="","",TRIM(LEFT(B810,FIND(" |",B810&amp;" |")-1)))</f>
        <v/>
      </c>
      <c r="T810" s="96" t="str">
        <f>IF(S810="","",IFERROR(MATCH(S810,'MTRs'!$A$6:$A$505,0),""))</f>
        <v/>
      </c>
      <c r="U810" s="96">
        <f>IF(T810="",0,IF(INDEX('MTRs'!$Z$6:$Z$505,T810)=1,1,0))</f>
        <v>0</v>
      </c>
      <c r="V810" s="96">
        <f>IF(C810="",0,IF(ISNUMBER(MATCH(C810,'CAD_RESÍDUOS'!$B$6:$B$205,0)),1,0))</f>
        <v>0</v>
      </c>
      <c r="W810" s="96">
        <f>IF(AND(ISNUMBER(G810),G810&gt;0),1,0)</f>
        <v>0</v>
      </c>
      <c r="X810" s="96" t="str">
        <f>IF(H810="","",IFERROR(IF(ISNUMBER(INDEX(cfg_fac,MATCH(H810,cfg_units,0))),IF(INDEX(cfg_fac,MATCH(H810,cfg_units,0))&gt;0,INDEX(cfg_fac,MATCH(H810,cfg_units,0)),""),""),""))</f>
        <v/>
      </c>
      <c r="Y810" s="96">
        <f>IF(AND(W810=1,ISNUMBER(I810)),1,0)</f>
        <v>0</v>
      </c>
      <c r="Z810" s="96">
        <f>IF(U810=1,INDEX('MTRs'!$AA$6:$AA$505,T810),0)</f>
        <v>0</v>
      </c>
      <c r="AA810" s="96">
        <f>IF(R810=0,0,COUNTIFS('RECEBIMENTOS'!$R$6:$R$1005,A810,'RECEBIMENTOS'!$Q$6:$Q$1005,1))</f>
        <v>0</v>
      </c>
      <c r="AB810" s="96">
        <f>IF(R810=0,0,COUNTIFS('RECEBIMENTOS'!$R$6:$R$1005,A810,'RECEBIMENTOS'!$Z$6:$Z$1005,1))</f>
        <v>0</v>
      </c>
      <c r="AC810" s="96">
        <f>IF(R810=0,0,COUNTIFS('RECEBIMENTOS'!$R$6:$R$1005,A810,'RECEBIMENTOS'!$Y$6:$Y$1005,1))</f>
        <v>0</v>
      </c>
      <c r="AD810" s="96">
        <f>IF(R810=0,0,COUNTIFS('VÍNCULOS_CDF'!$R$6:$R$1005,A810,'VÍNCULOS_CDF'!$N$6:$N$1005,1))</f>
        <v>0</v>
      </c>
      <c r="AE810" s="96">
        <f>IF(R810=0,0,COUNTIFS('VÍNCULOS_CDF'!$R$6:$R$1005,A810,'VÍNCULOS_CDF'!$AA$6:$AA$1005,1))</f>
        <v>0</v>
      </c>
      <c r="AF810" s="96">
        <f>IF(R810=0,0,COUNTIFS('VÍNCULOS_CDF'!$R$6:$R$1005,A810,'VÍNCULOS_CDF'!$Y$6:$Y$1005,1))</f>
        <v>0</v>
      </c>
      <c r="AG810" s="96" t="str">
        <f>IF(AND(R810=1,S810&lt;&gt;"",C810&lt;&gt;""),S810&amp;"|"&amp;C810&amp;"|"&amp;G810&amp;"|"&amp;H810,"")</f>
        <v/>
      </c>
      <c r="AH810" s="96">
        <f>IF(AG810="",0,IF(SUMPRODUCT(--($AG$6:$AG$1005=AG810))&gt;1,1,0))</f>
        <v>0</v>
      </c>
      <c r="AI810" s="96">
        <f>IF(R810=0,0,IF(OR(U810=0,V810=0,Y810=0,AND(AH810=1,K810&lt;&gt;"Sim")),1,0))</f>
        <v>0</v>
      </c>
      <c r="AJ810" s="96">
        <f>IF(AND(R810=1,AA810&gt;0,AB810=AA810),1,0)</f>
        <v>0</v>
      </c>
      <c r="AK810" s="96">
        <f>IF(R810=0,0,IF(AA810&gt;0,N(L810),IF(ISNUMBER(I810),I810,0)))</f>
        <v>0</v>
      </c>
      <c r="AL810" s="96">
        <f>IF(R810=0,0,IF(AND(K810&lt;&gt;"Sim",N(M810)&gt;AK810+cfg_tol),1,0))</f>
        <v>0</v>
      </c>
      <c r="AM810" s="96">
        <f>IF(R810=0,0,IF(K810="Sim",0,IF(OR(AND(AA810&gt;0,ISNUMBER(I810),ABS(I810-N(L810))&gt;cfg_tol),AL810=1),1,0)))</f>
        <v>0</v>
      </c>
      <c r="AN810" s="96">
        <f>IF(AND(R810=1,N(M810)&gt;0,OR(N(M810)&gt;=AK810-cfg_tol,K810="Sim")),1,0)</f>
        <v>0</v>
      </c>
      <c r="AO810" s="96">
        <f>IF(AND(AN810=1,AD810&gt;0,AE810=AD810,AL810=0),1,0)</f>
        <v>0</v>
      </c>
      <c r="AP810" s="96">
        <f>IF(U810=0,0,IF(AND(INDEX('MTRs'!$AX$6:$AX$505,T810)=1,Z810=0,OR(f_res="",f_res="(Todos)",C810=f_res)),1,0))</f>
        <v>0</v>
      </c>
      <c r="AQ810" s="97" t="str">
        <f>IF(U810=0,"",INDEX('MTRs'!$AZ$6:$AZ$505,T810))</f>
        <v/>
      </c>
      <c r="AR810" s="96">
        <f>IF(U810=0,0,IF(AND(INDEX('MTRs'!$BA$6:$BA$505,T810)=1,Z810=0),1,0))</f>
        <v>0</v>
      </c>
      <c r="AS810" s="96" t="str">
        <f>IF(R810=1,A810&amp;" | MTR "&amp;IF(U810=1,INDEX('MTRs'!$B$6:$B$505,T810)&amp;"","?")&amp;" | "&amp;IF(C810="","(sem resíduo)",C810),"")</f>
        <v/>
      </c>
      <c r="AT810" s="96" t="str">
        <f>IF(R810=1,COUNTIF($R$6:R810,1),"")</f>
        <v/>
      </c>
      <c r="AU810" s="96" t="str">
        <f>IF(U810=1,INDEX('MTRs'!$I$6:$I$505,T810)&amp;"","")</f>
        <v/>
      </c>
    </row>
    <row r="811">
      <c r="A811" s="89" t="inlineStr">
        <is>
          <t>IT-000806</t>
        </is>
      </c>
      <c r="B811" s="91" t="n"/>
      <c r="C811" s="91" t="n"/>
      <c r="D811" s="94" t="str">
        <f>IF(OR(R811=0,V811=0),"",INDEX('CAD_RESÍDUOS'!$E$6:$E$205,MATCH(C811,'CAD_RESÍDUOS'!$B$6:$B$205,0))&amp;"")</f>
        <v/>
      </c>
      <c r="E811" s="94" t="str">
        <f>IF(OR(R811=0,V811=0),"",INDEX('CAD_RESÍDUOS'!$C$6:$C$205,MATCH(C811,'CAD_RESÍDUOS'!$B$6:$B$205,0))&amp;"")</f>
        <v/>
      </c>
      <c r="F811" s="94" t="str">
        <f>IF(OR(R811=0,V811=0),"",INDEX('CAD_RESÍDUOS'!$G$6:$G$205,MATCH(C811,'CAD_RESÍDUOS'!$B$6:$B$205,0))&amp;"")</f>
        <v/>
      </c>
      <c r="G811" s="98" t="n"/>
      <c r="H811" s="91" t="n"/>
      <c r="I811" s="93" t="str">
        <f>IF(R811=0,"",IF(NOT(ISNUMBER(G811)),"",IF(ISNUMBER(X811),G811*X811,"UNIDADE A CONFERIR")))</f>
        <v/>
      </c>
      <c r="J811" s="91" t="n"/>
      <c r="K811" s="91" t="n"/>
      <c r="L811" s="93" t="str">
        <f>IF(R811=0,"",SUMIFS('RECEBIMENTOS'!$H$6:$H$1005,'RECEBIMENTOS'!$R$6:$R$1005,A811,'RECEBIMENTOS'!$X$6:$X$1005,1))</f>
        <v/>
      </c>
      <c r="M811" s="93" t="str">
        <f>IF(R811=0,"",SUMIFS('VÍNCULOS_CDF'!$H$6:$H$1005,'VÍNCULOS_CDF'!$R$6:$R$1005,A811,'VÍNCULOS_CDF'!$V$6:$V$1005,1))</f>
        <v/>
      </c>
      <c r="N811" s="99" t="str">
        <f>IF(OR(R811=0,AA811=0,NOT(ISNUMBER(I811))),"",I811-N(L811))</f>
        <v/>
      </c>
      <c r="O811" s="100" t="str">
        <f>IF(OR(R811=0,AK811&lt;=0),"",N(M811)/AK811)</f>
        <v/>
      </c>
      <c r="P811" s="94" t="str">
        <f>IF(R811=0,"",IF(S811="","Sem MTR associado",IF(U811=0,"MTR inexistente",IF(C811="","Resíduo não identificado",IF(V811=0,"Resíduo fora do cadastro",IF(W811=0,"Quantidade inválida",IF(H811="","Unidade não informada",IF(NOT(ISNUMBER(I811)),"Unidade a conferir",IF(AND(AH811=1,K811&lt;&gt;"Sim"),"Possível duplicidade",IF(Z811=1,"MTR cancelado",IF(AC811&gt;0,"Recebimento com alerta",IF(AA811=0,"Aguardando recebimento",IF(AB811&lt;AA811,"Recebimento a conferir",IF(AM811=1,"Quantidade a revisar",IF(AF811&gt;0,"Vínculo a revisar",IF(AD811=0,"Aguardando CDF",IF(AN811=0,"Vínculo de CDF parcial",IF(AE811&lt;AD811,"CDF a conferir","Documentação conferida"))))))))))))))))))</f>
        <v/>
      </c>
      <c r="Q811" s="93" t="str">
        <f>IF(OR(R811=0,AA811=0),"",MAX(0,N(L811)-N(M811)))</f>
        <v/>
      </c>
      <c r="R811" s="96">
        <f>IF(COUNTA(B811:C811,G811:H811,J811:K811)&gt;0,1,0)</f>
        <v>0</v>
      </c>
      <c r="S811" s="96" t="str">
        <f>IF(B811="","",TRIM(LEFT(B811,FIND(" |",B811&amp;" |")-1)))</f>
        <v/>
      </c>
      <c r="T811" s="96" t="str">
        <f>IF(S811="","",IFERROR(MATCH(S811,'MTRs'!$A$6:$A$505,0),""))</f>
        <v/>
      </c>
      <c r="U811" s="96">
        <f>IF(T811="",0,IF(INDEX('MTRs'!$Z$6:$Z$505,T811)=1,1,0))</f>
        <v>0</v>
      </c>
      <c r="V811" s="96">
        <f>IF(C811="",0,IF(ISNUMBER(MATCH(C811,'CAD_RESÍDUOS'!$B$6:$B$205,0)),1,0))</f>
        <v>0</v>
      </c>
      <c r="W811" s="96">
        <f>IF(AND(ISNUMBER(G811),G811&gt;0),1,0)</f>
        <v>0</v>
      </c>
      <c r="X811" s="96" t="str">
        <f>IF(H811="","",IFERROR(IF(ISNUMBER(INDEX(cfg_fac,MATCH(H811,cfg_units,0))),IF(INDEX(cfg_fac,MATCH(H811,cfg_units,0))&gt;0,INDEX(cfg_fac,MATCH(H811,cfg_units,0)),""),""),""))</f>
        <v/>
      </c>
      <c r="Y811" s="96">
        <f>IF(AND(W811=1,ISNUMBER(I811)),1,0)</f>
        <v>0</v>
      </c>
      <c r="Z811" s="96">
        <f>IF(U811=1,INDEX('MTRs'!$AA$6:$AA$505,T811),0)</f>
        <v>0</v>
      </c>
      <c r="AA811" s="96">
        <f>IF(R811=0,0,COUNTIFS('RECEBIMENTOS'!$R$6:$R$1005,A811,'RECEBIMENTOS'!$Q$6:$Q$1005,1))</f>
        <v>0</v>
      </c>
      <c r="AB811" s="96">
        <f>IF(R811=0,0,COUNTIFS('RECEBIMENTOS'!$R$6:$R$1005,A811,'RECEBIMENTOS'!$Z$6:$Z$1005,1))</f>
        <v>0</v>
      </c>
      <c r="AC811" s="96">
        <f>IF(R811=0,0,COUNTIFS('RECEBIMENTOS'!$R$6:$R$1005,A811,'RECEBIMENTOS'!$Y$6:$Y$1005,1))</f>
        <v>0</v>
      </c>
      <c r="AD811" s="96">
        <f>IF(R811=0,0,COUNTIFS('VÍNCULOS_CDF'!$R$6:$R$1005,A811,'VÍNCULOS_CDF'!$N$6:$N$1005,1))</f>
        <v>0</v>
      </c>
      <c r="AE811" s="96">
        <f>IF(R811=0,0,COUNTIFS('VÍNCULOS_CDF'!$R$6:$R$1005,A811,'VÍNCULOS_CDF'!$AA$6:$AA$1005,1))</f>
        <v>0</v>
      </c>
      <c r="AF811" s="96">
        <f>IF(R811=0,0,COUNTIFS('VÍNCULOS_CDF'!$R$6:$R$1005,A811,'VÍNCULOS_CDF'!$Y$6:$Y$1005,1))</f>
        <v>0</v>
      </c>
      <c r="AG811" s="96" t="str">
        <f>IF(AND(R811=1,S811&lt;&gt;"",C811&lt;&gt;""),S811&amp;"|"&amp;C811&amp;"|"&amp;G811&amp;"|"&amp;H811,"")</f>
        <v/>
      </c>
      <c r="AH811" s="96">
        <f>IF(AG811="",0,IF(SUMPRODUCT(--($AG$6:$AG$1005=AG811))&gt;1,1,0))</f>
        <v>0</v>
      </c>
      <c r="AI811" s="96">
        <f>IF(R811=0,0,IF(OR(U811=0,V811=0,Y811=0,AND(AH811=1,K811&lt;&gt;"Sim")),1,0))</f>
        <v>0</v>
      </c>
      <c r="AJ811" s="96">
        <f>IF(AND(R811=1,AA811&gt;0,AB811=AA811),1,0)</f>
        <v>0</v>
      </c>
      <c r="AK811" s="96">
        <f>IF(R811=0,0,IF(AA811&gt;0,N(L811),IF(ISNUMBER(I811),I811,0)))</f>
        <v>0</v>
      </c>
      <c r="AL811" s="96">
        <f>IF(R811=0,0,IF(AND(K811&lt;&gt;"Sim",N(M811)&gt;AK811+cfg_tol),1,0))</f>
        <v>0</v>
      </c>
      <c r="AM811" s="96">
        <f>IF(R811=0,0,IF(K811="Sim",0,IF(OR(AND(AA811&gt;0,ISNUMBER(I811),ABS(I811-N(L811))&gt;cfg_tol),AL811=1),1,0)))</f>
        <v>0</v>
      </c>
      <c r="AN811" s="96">
        <f>IF(AND(R811=1,N(M811)&gt;0,OR(N(M811)&gt;=AK811-cfg_tol,K811="Sim")),1,0)</f>
        <v>0</v>
      </c>
      <c r="AO811" s="96">
        <f>IF(AND(AN811=1,AD811&gt;0,AE811=AD811,AL811=0),1,0)</f>
        <v>0</v>
      </c>
      <c r="AP811" s="96">
        <f>IF(U811=0,0,IF(AND(INDEX('MTRs'!$AX$6:$AX$505,T811)=1,Z811=0,OR(f_res="",f_res="(Todos)",C811=f_res)),1,0))</f>
        <v>0</v>
      </c>
      <c r="AQ811" s="97" t="str">
        <f>IF(U811=0,"",INDEX('MTRs'!$AZ$6:$AZ$505,T811))</f>
        <v/>
      </c>
      <c r="AR811" s="96">
        <f>IF(U811=0,0,IF(AND(INDEX('MTRs'!$BA$6:$BA$505,T811)=1,Z811=0),1,0))</f>
        <v>0</v>
      </c>
      <c r="AS811" s="96" t="str">
        <f>IF(R811=1,A811&amp;" | MTR "&amp;IF(U811=1,INDEX('MTRs'!$B$6:$B$505,T811)&amp;"","?")&amp;" | "&amp;IF(C811="","(sem resíduo)",C811),"")</f>
        <v/>
      </c>
      <c r="AT811" s="96" t="str">
        <f>IF(R811=1,COUNTIF($R$6:R811,1),"")</f>
        <v/>
      </c>
      <c r="AU811" s="96" t="str">
        <f>IF(U811=1,INDEX('MTRs'!$I$6:$I$505,T811)&amp;"","")</f>
        <v/>
      </c>
    </row>
    <row r="812">
      <c r="A812" s="89" t="inlineStr">
        <is>
          <t>IT-000807</t>
        </is>
      </c>
      <c r="B812" s="91" t="n"/>
      <c r="C812" s="91" t="n"/>
      <c r="D812" s="94" t="str">
        <f>IF(OR(R812=0,V812=0),"",INDEX('CAD_RESÍDUOS'!$E$6:$E$205,MATCH(C812,'CAD_RESÍDUOS'!$B$6:$B$205,0))&amp;"")</f>
        <v/>
      </c>
      <c r="E812" s="94" t="str">
        <f>IF(OR(R812=0,V812=0),"",INDEX('CAD_RESÍDUOS'!$C$6:$C$205,MATCH(C812,'CAD_RESÍDUOS'!$B$6:$B$205,0))&amp;"")</f>
        <v/>
      </c>
      <c r="F812" s="94" t="str">
        <f>IF(OR(R812=0,V812=0),"",INDEX('CAD_RESÍDUOS'!$G$6:$G$205,MATCH(C812,'CAD_RESÍDUOS'!$B$6:$B$205,0))&amp;"")</f>
        <v/>
      </c>
      <c r="G812" s="98" t="n"/>
      <c r="H812" s="91" t="n"/>
      <c r="I812" s="93" t="str">
        <f>IF(R812=0,"",IF(NOT(ISNUMBER(G812)),"",IF(ISNUMBER(X812),G812*X812,"UNIDADE A CONFERIR")))</f>
        <v/>
      </c>
      <c r="J812" s="91" t="n"/>
      <c r="K812" s="91" t="n"/>
      <c r="L812" s="93" t="str">
        <f>IF(R812=0,"",SUMIFS('RECEBIMENTOS'!$H$6:$H$1005,'RECEBIMENTOS'!$R$6:$R$1005,A812,'RECEBIMENTOS'!$X$6:$X$1005,1))</f>
        <v/>
      </c>
      <c r="M812" s="93" t="str">
        <f>IF(R812=0,"",SUMIFS('VÍNCULOS_CDF'!$H$6:$H$1005,'VÍNCULOS_CDF'!$R$6:$R$1005,A812,'VÍNCULOS_CDF'!$V$6:$V$1005,1))</f>
        <v/>
      </c>
      <c r="N812" s="99" t="str">
        <f>IF(OR(R812=0,AA812=0,NOT(ISNUMBER(I812))),"",I812-N(L812))</f>
        <v/>
      </c>
      <c r="O812" s="100" t="str">
        <f>IF(OR(R812=0,AK812&lt;=0),"",N(M812)/AK812)</f>
        <v/>
      </c>
      <c r="P812" s="94" t="str">
        <f>IF(R812=0,"",IF(S812="","Sem MTR associado",IF(U812=0,"MTR inexistente",IF(C812="","Resíduo não identificado",IF(V812=0,"Resíduo fora do cadastro",IF(W812=0,"Quantidade inválida",IF(H812="","Unidade não informada",IF(NOT(ISNUMBER(I812)),"Unidade a conferir",IF(AND(AH812=1,K812&lt;&gt;"Sim"),"Possível duplicidade",IF(Z812=1,"MTR cancelado",IF(AC812&gt;0,"Recebimento com alerta",IF(AA812=0,"Aguardando recebimento",IF(AB812&lt;AA812,"Recebimento a conferir",IF(AM812=1,"Quantidade a revisar",IF(AF812&gt;0,"Vínculo a revisar",IF(AD812=0,"Aguardando CDF",IF(AN812=0,"Vínculo de CDF parcial",IF(AE812&lt;AD812,"CDF a conferir","Documentação conferida"))))))))))))))))))</f>
        <v/>
      </c>
      <c r="Q812" s="93" t="str">
        <f>IF(OR(R812=0,AA812=0),"",MAX(0,N(L812)-N(M812)))</f>
        <v/>
      </c>
      <c r="R812" s="96">
        <f>IF(COUNTA(B812:C812,G812:H812,J812:K812)&gt;0,1,0)</f>
        <v>0</v>
      </c>
      <c r="S812" s="96" t="str">
        <f>IF(B812="","",TRIM(LEFT(B812,FIND(" |",B812&amp;" |")-1)))</f>
        <v/>
      </c>
      <c r="T812" s="96" t="str">
        <f>IF(S812="","",IFERROR(MATCH(S812,'MTRs'!$A$6:$A$505,0),""))</f>
        <v/>
      </c>
      <c r="U812" s="96">
        <f>IF(T812="",0,IF(INDEX('MTRs'!$Z$6:$Z$505,T812)=1,1,0))</f>
        <v>0</v>
      </c>
      <c r="V812" s="96">
        <f>IF(C812="",0,IF(ISNUMBER(MATCH(C812,'CAD_RESÍDUOS'!$B$6:$B$205,0)),1,0))</f>
        <v>0</v>
      </c>
      <c r="W812" s="96">
        <f>IF(AND(ISNUMBER(G812),G812&gt;0),1,0)</f>
        <v>0</v>
      </c>
      <c r="X812" s="96" t="str">
        <f>IF(H812="","",IFERROR(IF(ISNUMBER(INDEX(cfg_fac,MATCH(H812,cfg_units,0))),IF(INDEX(cfg_fac,MATCH(H812,cfg_units,0))&gt;0,INDEX(cfg_fac,MATCH(H812,cfg_units,0)),""),""),""))</f>
        <v/>
      </c>
      <c r="Y812" s="96">
        <f>IF(AND(W812=1,ISNUMBER(I812)),1,0)</f>
        <v>0</v>
      </c>
      <c r="Z812" s="96">
        <f>IF(U812=1,INDEX('MTRs'!$AA$6:$AA$505,T812),0)</f>
        <v>0</v>
      </c>
      <c r="AA812" s="96">
        <f>IF(R812=0,0,COUNTIFS('RECEBIMENTOS'!$R$6:$R$1005,A812,'RECEBIMENTOS'!$Q$6:$Q$1005,1))</f>
        <v>0</v>
      </c>
      <c r="AB812" s="96">
        <f>IF(R812=0,0,COUNTIFS('RECEBIMENTOS'!$R$6:$R$1005,A812,'RECEBIMENTOS'!$Z$6:$Z$1005,1))</f>
        <v>0</v>
      </c>
      <c r="AC812" s="96">
        <f>IF(R812=0,0,COUNTIFS('RECEBIMENTOS'!$R$6:$R$1005,A812,'RECEBIMENTOS'!$Y$6:$Y$1005,1))</f>
        <v>0</v>
      </c>
      <c r="AD812" s="96">
        <f>IF(R812=0,0,COUNTIFS('VÍNCULOS_CDF'!$R$6:$R$1005,A812,'VÍNCULOS_CDF'!$N$6:$N$1005,1))</f>
        <v>0</v>
      </c>
      <c r="AE812" s="96">
        <f>IF(R812=0,0,COUNTIFS('VÍNCULOS_CDF'!$R$6:$R$1005,A812,'VÍNCULOS_CDF'!$AA$6:$AA$1005,1))</f>
        <v>0</v>
      </c>
      <c r="AF812" s="96">
        <f>IF(R812=0,0,COUNTIFS('VÍNCULOS_CDF'!$R$6:$R$1005,A812,'VÍNCULOS_CDF'!$Y$6:$Y$1005,1))</f>
        <v>0</v>
      </c>
      <c r="AG812" s="96" t="str">
        <f>IF(AND(R812=1,S812&lt;&gt;"",C812&lt;&gt;""),S812&amp;"|"&amp;C812&amp;"|"&amp;G812&amp;"|"&amp;H812,"")</f>
        <v/>
      </c>
      <c r="AH812" s="96">
        <f>IF(AG812="",0,IF(SUMPRODUCT(--($AG$6:$AG$1005=AG812))&gt;1,1,0))</f>
        <v>0</v>
      </c>
      <c r="AI812" s="96">
        <f>IF(R812=0,0,IF(OR(U812=0,V812=0,Y812=0,AND(AH812=1,K812&lt;&gt;"Sim")),1,0))</f>
        <v>0</v>
      </c>
      <c r="AJ812" s="96">
        <f>IF(AND(R812=1,AA812&gt;0,AB812=AA812),1,0)</f>
        <v>0</v>
      </c>
      <c r="AK812" s="96">
        <f>IF(R812=0,0,IF(AA812&gt;0,N(L812),IF(ISNUMBER(I812),I812,0)))</f>
        <v>0</v>
      </c>
      <c r="AL812" s="96">
        <f>IF(R812=0,0,IF(AND(K812&lt;&gt;"Sim",N(M812)&gt;AK812+cfg_tol),1,0))</f>
        <v>0</v>
      </c>
      <c r="AM812" s="96">
        <f>IF(R812=0,0,IF(K812="Sim",0,IF(OR(AND(AA812&gt;0,ISNUMBER(I812),ABS(I812-N(L812))&gt;cfg_tol),AL812=1),1,0)))</f>
        <v>0</v>
      </c>
      <c r="AN812" s="96">
        <f>IF(AND(R812=1,N(M812)&gt;0,OR(N(M812)&gt;=AK812-cfg_tol,K812="Sim")),1,0)</f>
        <v>0</v>
      </c>
      <c r="AO812" s="96">
        <f>IF(AND(AN812=1,AD812&gt;0,AE812=AD812,AL812=0),1,0)</f>
        <v>0</v>
      </c>
      <c r="AP812" s="96">
        <f>IF(U812=0,0,IF(AND(INDEX('MTRs'!$AX$6:$AX$505,T812)=1,Z812=0,OR(f_res="",f_res="(Todos)",C812=f_res)),1,0))</f>
        <v>0</v>
      </c>
      <c r="AQ812" s="97" t="str">
        <f>IF(U812=0,"",INDEX('MTRs'!$AZ$6:$AZ$505,T812))</f>
        <v/>
      </c>
      <c r="AR812" s="96">
        <f>IF(U812=0,0,IF(AND(INDEX('MTRs'!$BA$6:$BA$505,T812)=1,Z812=0),1,0))</f>
        <v>0</v>
      </c>
      <c r="AS812" s="96" t="str">
        <f>IF(R812=1,A812&amp;" | MTR "&amp;IF(U812=1,INDEX('MTRs'!$B$6:$B$505,T812)&amp;"","?")&amp;" | "&amp;IF(C812="","(sem resíduo)",C812),"")</f>
        <v/>
      </c>
      <c r="AT812" s="96" t="str">
        <f>IF(R812=1,COUNTIF($R$6:R812,1),"")</f>
        <v/>
      </c>
      <c r="AU812" s="96" t="str">
        <f>IF(U812=1,INDEX('MTRs'!$I$6:$I$505,T812)&amp;"","")</f>
        <v/>
      </c>
    </row>
    <row r="813">
      <c r="A813" s="89" t="inlineStr">
        <is>
          <t>IT-000808</t>
        </is>
      </c>
      <c r="B813" s="91" t="n"/>
      <c r="C813" s="91" t="n"/>
      <c r="D813" s="94" t="str">
        <f>IF(OR(R813=0,V813=0),"",INDEX('CAD_RESÍDUOS'!$E$6:$E$205,MATCH(C813,'CAD_RESÍDUOS'!$B$6:$B$205,0))&amp;"")</f>
        <v/>
      </c>
      <c r="E813" s="94" t="str">
        <f>IF(OR(R813=0,V813=0),"",INDEX('CAD_RESÍDUOS'!$C$6:$C$205,MATCH(C813,'CAD_RESÍDUOS'!$B$6:$B$205,0))&amp;"")</f>
        <v/>
      </c>
      <c r="F813" s="94" t="str">
        <f>IF(OR(R813=0,V813=0),"",INDEX('CAD_RESÍDUOS'!$G$6:$G$205,MATCH(C813,'CAD_RESÍDUOS'!$B$6:$B$205,0))&amp;"")</f>
        <v/>
      </c>
      <c r="G813" s="98" t="n"/>
      <c r="H813" s="91" t="n"/>
      <c r="I813" s="93" t="str">
        <f>IF(R813=0,"",IF(NOT(ISNUMBER(G813)),"",IF(ISNUMBER(X813),G813*X813,"UNIDADE A CONFERIR")))</f>
        <v/>
      </c>
      <c r="J813" s="91" t="n"/>
      <c r="K813" s="91" t="n"/>
      <c r="L813" s="93" t="str">
        <f>IF(R813=0,"",SUMIFS('RECEBIMENTOS'!$H$6:$H$1005,'RECEBIMENTOS'!$R$6:$R$1005,A813,'RECEBIMENTOS'!$X$6:$X$1005,1))</f>
        <v/>
      </c>
      <c r="M813" s="93" t="str">
        <f>IF(R813=0,"",SUMIFS('VÍNCULOS_CDF'!$H$6:$H$1005,'VÍNCULOS_CDF'!$R$6:$R$1005,A813,'VÍNCULOS_CDF'!$V$6:$V$1005,1))</f>
        <v/>
      </c>
      <c r="N813" s="99" t="str">
        <f>IF(OR(R813=0,AA813=0,NOT(ISNUMBER(I813))),"",I813-N(L813))</f>
        <v/>
      </c>
      <c r="O813" s="100" t="str">
        <f>IF(OR(R813=0,AK813&lt;=0),"",N(M813)/AK813)</f>
        <v/>
      </c>
      <c r="P813" s="94" t="str">
        <f>IF(R813=0,"",IF(S813="","Sem MTR associado",IF(U813=0,"MTR inexistente",IF(C813="","Resíduo não identificado",IF(V813=0,"Resíduo fora do cadastro",IF(W813=0,"Quantidade inválida",IF(H813="","Unidade não informada",IF(NOT(ISNUMBER(I813)),"Unidade a conferir",IF(AND(AH813=1,K813&lt;&gt;"Sim"),"Possível duplicidade",IF(Z813=1,"MTR cancelado",IF(AC813&gt;0,"Recebimento com alerta",IF(AA813=0,"Aguardando recebimento",IF(AB813&lt;AA813,"Recebimento a conferir",IF(AM813=1,"Quantidade a revisar",IF(AF813&gt;0,"Vínculo a revisar",IF(AD813=0,"Aguardando CDF",IF(AN813=0,"Vínculo de CDF parcial",IF(AE813&lt;AD813,"CDF a conferir","Documentação conferida"))))))))))))))))))</f>
        <v/>
      </c>
      <c r="Q813" s="93" t="str">
        <f>IF(OR(R813=0,AA813=0),"",MAX(0,N(L813)-N(M813)))</f>
        <v/>
      </c>
      <c r="R813" s="96">
        <f>IF(COUNTA(B813:C813,G813:H813,J813:K813)&gt;0,1,0)</f>
        <v>0</v>
      </c>
      <c r="S813" s="96" t="str">
        <f>IF(B813="","",TRIM(LEFT(B813,FIND(" |",B813&amp;" |")-1)))</f>
        <v/>
      </c>
      <c r="T813" s="96" t="str">
        <f>IF(S813="","",IFERROR(MATCH(S813,'MTRs'!$A$6:$A$505,0),""))</f>
        <v/>
      </c>
      <c r="U813" s="96">
        <f>IF(T813="",0,IF(INDEX('MTRs'!$Z$6:$Z$505,T813)=1,1,0))</f>
        <v>0</v>
      </c>
      <c r="V813" s="96">
        <f>IF(C813="",0,IF(ISNUMBER(MATCH(C813,'CAD_RESÍDUOS'!$B$6:$B$205,0)),1,0))</f>
        <v>0</v>
      </c>
      <c r="W813" s="96">
        <f>IF(AND(ISNUMBER(G813),G813&gt;0),1,0)</f>
        <v>0</v>
      </c>
      <c r="X813" s="96" t="str">
        <f>IF(H813="","",IFERROR(IF(ISNUMBER(INDEX(cfg_fac,MATCH(H813,cfg_units,0))),IF(INDEX(cfg_fac,MATCH(H813,cfg_units,0))&gt;0,INDEX(cfg_fac,MATCH(H813,cfg_units,0)),""),""),""))</f>
        <v/>
      </c>
      <c r="Y813" s="96">
        <f>IF(AND(W813=1,ISNUMBER(I813)),1,0)</f>
        <v>0</v>
      </c>
      <c r="Z813" s="96">
        <f>IF(U813=1,INDEX('MTRs'!$AA$6:$AA$505,T813),0)</f>
        <v>0</v>
      </c>
      <c r="AA813" s="96">
        <f>IF(R813=0,0,COUNTIFS('RECEBIMENTOS'!$R$6:$R$1005,A813,'RECEBIMENTOS'!$Q$6:$Q$1005,1))</f>
        <v>0</v>
      </c>
      <c r="AB813" s="96">
        <f>IF(R813=0,0,COUNTIFS('RECEBIMENTOS'!$R$6:$R$1005,A813,'RECEBIMENTOS'!$Z$6:$Z$1005,1))</f>
        <v>0</v>
      </c>
      <c r="AC813" s="96">
        <f>IF(R813=0,0,COUNTIFS('RECEBIMENTOS'!$R$6:$R$1005,A813,'RECEBIMENTOS'!$Y$6:$Y$1005,1))</f>
        <v>0</v>
      </c>
      <c r="AD813" s="96">
        <f>IF(R813=0,0,COUNTIFS('VÍNCULOS_CDF'!$R$6:$R$1005,A813,'VÍNCULOS_CDF'!$N$6:$N$1005,1))</f>
        <v>0</v>
      </c>
      <c r="AE813" s="96">
        <f>IF(R813=0,0,COUNTIFS('VÍNCULOS_CDF'!$R$6:$R$1005,A813,'VÍNCULOS_CDF'!$AA$6:$AA$1005,1))</f>
        <v>0</v>
      </c>
      <c r="AF813" s="96">
        <f>IF(R813=0,0,COUNTIFS('VÍNCULOS_CDF'!$R$6:$R$1005,A813,'VÍNCULOS_CDF'!$Y$6:$Y$1005,1))</f>
        <v>0</v>
      </c>
      <c r="AG813" s="96" t="str">
        <f>IF(AND(R813=1,S813&lt;&gt;"",C813&lt;&gt;""),S813&amp;"|"&amp;C813&amp;"|"&amp;G813&amp;"|"&amp;H813,"")</f>
        <v/>
      </c>
      <c r="AH813" s="96">
        <f>IF(AG813="",0,IF(SUMPRODUCT(--($AG$6:$AG$1005=AG813))&gt;1,1,0))</f>
        <v>0</v>
      </c>
      <c r="AI813" s="96">
        <f>IF(R813=0,0,IF(OR(U813=0,V813=0,Y813=0,AND(AH813=1,K813&lt;&gt;"Sim")),1,0))</f>
        <v>0</v>
      </c>
      <c r="AJ813" s="96">
        <f>IF(AND(R813=1,AA813&gt;0,AB813=AA813),1,0)</f>
        <v>0</v>
      </c>
      <c r="AK813" s="96">
        <f>IF(R813=0,0,IF(AA813&gt;0,N(L813),IF(ISNUMBER(I813),I813,0)))</f>
        <v>0</v>
      </c>
      <c r="AL813" s="96">
        <f>IF(R813=0,0,IF(AND(K813&lt;&gt;"Sim",N(M813)&gt;AK813+cfg_tol),1,0))</f>
        <v>0</v>
      </c>
      <c r="AM813" s="96">
        <f>IF(R813=0,0,IF(K813="Sim",0,IF(OR(AND(AA813&gt;0,ISNUMBER(I813),ABS(I813-N(L813))&gt;cfg_tol),AL813=1),1,0)))</f>
        <v>0</v>
      </c>
      <c r="AN813" s="96">
        <f>IF(AND(R813=1,N(M813)&gt;0,OR(N(M813)&gt;=AK813-cfg_tol,K813="Sim")),1,0)</f>
        <v>0</v>
      </c>
      <c r="AO813" s="96">
        <f>IF(AND(AN813=1,AD813&gt;0,AE813=AD813,AL813=0),1,0)</f>
        <v>0</v>
      </c>
      <c r="AP813" s="96">
        <f>IF(U813=0,0,IF(AND(INDEX('MTRs'!$AX$6:$AX$505,T813)=1,Z813=0,OR(f_res="",f_res="(Todos)",C813=f_res)),1,0))</f>
        <v>0</v>
      </c>
      <c r="AQ813" s="97" t="str">
        <f>IF(U813=0,"",INDEX('MTRs'!$AZ$6:$AZ$505,T813))</f>
        <v/>
      </c>
      <c r="AR813" s="96">
        <f>IF(U813=0,0,IF(AND(INDEX('MTRs'!$BA$6:$BA$505,T813)=1,Z813=0),1,0))</f>
        <v>0</v>
      </c>
      <c r="AS813" s="96" t="str">
        <f>IF(R813=1,A813&amp;" | MTR "&amp;IF(U813=1,INDEX('MTRs'!$B$6:$B$505,T813)&amp;"","?")&amp;" | "&amp;IF(C813="","(sem resíduo)",C813),"")</f>
        <v/>
      </c>
      <c r="AT813" s="96" t="str">
        <f>IF(R813=1,COUNTIF($R$6:R813,1),"")</f>
        <v/>
      </c>
      <c r="AU813" s="96" t="str">
        <f>IF(U813=1,INDEX('MTRs'!$I$6:$I$505,T813)&amp;"","")</f>
        <v/>
      </c>
    </row>
    <row r="814">
      <c r="A814" s="89" t="inlineStr">
        <is>
          <t>IT-000809</t>
        </is>
      </c>
      <c r="B814" s="91" t="n"/>
      <c r="C814" s="91" t="n"/>
      <c r="D814" s="94" t="str">
        <f>IF(OR(R814=0,V814=0),"",INDEX('CAD_RESÍDUOS'!$E$6:$E$205,MATCH(C814,'CAD_RESÍDUOS'!$B$6:$B$205,0))&amp;"")</f>
        <v/>
      </c>
      <c r="E814" s="94" t="str">
        <f>IF(OR(R814=0,V814=0),"",INDEX('CAD_RESÍDUOS'!$C$6:$C$205,MATCH(C814,'CAD_RESÍDUOS'!$B$6:$B$205,0))&amp;"")</f>
        <v/>
      </c>
      <c r="F814" s="94" t="str">
        <f>IF(OR(R814=0,V814=0),"",INDEX('CAD_RESÍDUOS'!$G$6:$G$205,MATCH(C814,'CAD_RESÍDUOS'!$B$6:$B$205,0))&amp;"")</f>
        <v/>
      </c>
      <c r="G814" s="98" t="n"/>
      <c r="H814" s="91" t="n"/>
      <c r="I814" s="93" t="str">
        <f>IF(R814=0,"",IF(NOT(ISNUMBER(G814)),"",IF(ISNUMBER(X814),G814*X814,"UNIDADE A CONFERIR")))</f>
        <v/>
      </c>
      <c r="J814" s="91" t="n"/>
      <c r="K814" s="91" t="n"/>
      <c r="L814" s="93" t="str">
        <f>IF(R814=0,"",SUMIFS('RECEBIMENTOS'!$H$6:$H$1005,'RECEBIMENTOS'!$R$6:$R$1005,A814,'RECEBIMENTOS'!$X$6:$X$1005,1))</f>
        <v/>
      </c>
      <c r="M814" s="93" t="str">
        <f>IF(R814=0,"",SUMIFS('VÍNCULOS_CDF'!$H$6:$H$1005,'VÍNCULOS_CDF'!$R$6:$R$1005,A814,'VÍNCULOS_CDF'!$V$6:$V$1005,1))</f>
        <v/>
      </c>
      <c r="N814" s="99" t="str">
        <f>IF(OR(R814=0,AA814=0,NOT(ISNUMBER(I814))),"",I814-N(L814))</f>
        <v/>
      </c>
      <c r="O814" s="100" t="str">
        <f>IF(OR(R814=0,AK814&lt;=0),"",N(M814)/AK814)</f>
        <v/>
      </c>
      <c r="P814" s="94" t="str">
        <f>IF(R814=0,"",IF(S814="","Sem MTR associado",IF(U814=0,"MTR inexistente",IF(C814="","Resíduo não identificado",IF(V814=0,"Resíduo fora do cadastro",IF(W814=0,"Quantidade inválida",IF(H814="","Unidade não informada",IF(NOT(ISNUMBER(I814)),"Unidade a conferir",IF(AND(AH814=1,K814&lt;&gt;"Sim"),"Possível duplicidade",IF(Z814=1,"MTR cancelado",IF(AC814&gt;0,"Recebimento com alerta",IF(AA814=0,"Aguardando recebimento",IF(AB814&lt;AA814,"Recebimento a conferir",IF(AM814=1,"Quantidade a revisar",IF(AF814&gt;0,"Vínculo a revisar",IF(AD814=0,"Aguardando CDF",IF(AN814=0,"Vínculo de CDF parcial",IF(AE814&lt;AD814,"CDF a conferir","Documentação conferida"))))))))))))))))))</f>
        <v/>
      </c>
      <c r="Q814" s="93" t="str">
        <f>IF(OR(R814=0,AA814=0),"",MAX(0,N(L814)-N(M814)))</f>
        <v/>
      </c>
      <c r="R814" s="96">
        <f>IF(COUNTA(B814:C814,G814:H814,J814:K814)&gt;0,1,0)</f>
        <v>0</v>
      </c>
      <c r="S814" s="96" t="str">
        <f>IF(B814="","",TRIM(LEFT(B814,FIND(" |",B814&amp;" |")-1)))</f>
        <v/>
      </c>
      <c r="T814" s="96" t="str">
        <f>IF(S814="","",IFERROR(MATCH(S814,'MTRs'!$A$6:$A$505,0),""))</f>
        <v/>
      </c>
      <c r="U814" s="96">
        <f>IF(T814="",0,IF(INDEX('MTRs'!$Z$6:$Z$505,T814)=1,1,0))</f>
        <v>0</v>
      </c>
      <c r="V814" s="96">
        <f>IF(C814="",0,IF(ISNUMBER(MATCH(C814,'CAD_RESÍDUOS'!$B$6:$B$205,0)),1,0))</f>
        <v>0</v>
      </c>
      <c r="W814" s="96">
        <f>IF(AND(ISNUMBER(G814),G814&gt;0),1,0)</f>
        <v>0</v>
      </c>
      <c r="X814" s="96" t="str">
        <f>IF(H814="","",IFERROR(IF(ISNUMBER(INDEX(cfg_fac,MATCH(H814,cfg_units,0))),IF(INDEX(cfg_fac,MATCH(H814,cfg_units,0))&gt;0,INDEX(cfg_fac,MATCH(H814,cfg_units,0)),""),""),""))</f>
        <v/>
      </c>
      <c r="Y814" s="96">
        <f>IF(AND(W814=1,ISNUMBER(I814)),1,0)</f>
        <v>0</v>
      </c>
      <c r="Z814" s="96">
        <f>IF(U814=1,INDEX('MTRs'!$AA$6:$AA$505,T814),0)</f>
        <v>0</v>
      </c>
      <c r="AA814" s="96">
        <f>IF(R814=0,0,COUNTIFS('RECEBIMENTOS'!$R$6:$R$1005,A814,'RECEBIMENTOS'!$Q$6:$Q$1005,1))</f>
        <v>0</v>
      </c>
      <c r="AB814" s="96">
        <f>IF(R814=0,0,COUNTIFS('RECEBIMENTOS'!$R$6:$R$1005,A814,'RECEBIMENTOS'!$Z$6:$Z$1005,1))</f>
        <v>0</v>
      </c>
      <c r="AC814" s="96">
        <f>IF(R814=0,0,COUNTIFS('RECEBIMENTOS'!$R$6:$R$1005,A814,'RECEBIMENTOS'!$Y$6:$Y$1005,1))</f>
        <v>0</v>
      </c>
      <c r="AD814" s="96">
        <f>IF(R814=0,0,COUNTIFS('VÍNCULOS_CDF'!$R$6:$R$1005,A814,'VÍNCULOS_CDF'!$N$6:$N$1005,1))</f>
        <v>0</v>
      </c>
      <c r="AE814" s="96">
        <f>IF(R814=0,0,COUNTIFS('VÍNCULOS_CDF'!$R$6:$R$1005,A814,'VÍNCULOS_CDF'!$AA$6:$AA$1005,1))</f>
        <v>0</v>
      </c>
      <c r="AF814" s="96">
        <f>IF(R814=0,0,COUNTIFS('VÍNCULOS_CDF'!$R$6:$R$1005,A814,'VÍNCULOS_CDF'!$Y$6:$Y$1005,1))</f>
        <v>0</v>
      </c>
      <c r="AG814" s="96" t="str">
        <f>IF(AND(R814=1,S814&lt;&gt;"",C814&lt;&gt;""),S814&amp;"|"&amp;C814&amp;"|"&amp;G814&amp;"|"&amp;H814,"")</f>
        <v/>
      </c>
      <c r="AH814" s="96">
        <f>IF(AG814="",0,IF(SUMPRODUCT(--($AG$6:$AG$1005=AG814))&gt;1,1,0))</f>
        <v>0</v>
      </c>
      <c r="AI814" s="96">
        <f>IF(R814=0,0,IF(OR(U814=0,V814=0,Y814=0,AND(AH814=1,K814&lt;&gt;"Sim")),1,0))</f>
        <v>0</v>
      </c>
      <c r="AJ814" s="96">
        <f>IF(AND(R814=1,AA814&gt;0,AB814=AA814),1,0)</f>
        <v>0</v>
      </c>
      <c r="AK814" s="96">
        <f>IF(R814=0,0,IF(AA814&gt;0,N(L814),IF(ISNUMBER(I814),I814,0)))</f>
        <v>0</v>
      </c>
      <c r="AL814" s="96">
        <f>IF(R814=0,0,IF(AND(K814&lt;&gt;"Sim",N(M814)&gt;AK814+cfg_tol),1,0))</f>
        <v>0</v>
      </c>
      <c r="AM814" s="96">
        <f>IF(R814=0,0,IF(K814="Sim",0,IF(OR(AND(AA814&gt;0,ISNUMBER(I814),ABS(I814-N(L814))&gt;cfg_tol),AL814=1),1,0)))</f>
        <v>0</v>
      </c>
      <c r="AN814" s="96">
        <f>IF(AND(R814=1,N(M814)&gt;0,OR(N(M814)&gt;=AK814-cfg_tol,K814="Sim")),1,0)</f>
        <v>0</v>
      </c>
      <c r="AO814" s="96">
        <f>IF(AND(AN814=1,AD814&gt;0,AE814=AD814,AL814=0),1,0)</f>
        <v>0</v>
      </c>
      <c r="AP814" s="96">
        <f>IF(U814=0,0,IF(AND(INDEX('MTRs'!$AX$6:$AX$505,T814)=1,Z814=0,OR(f_res="",f_res="(Todos)",C814=f_res)),1,0))</f>
        <v>0</v>
      </c>
      <c r="AQ814" s="97" t="str">
        <f>IF(U814=0,"",INDEX('MTRs'!$AZ$6:$AZ$505,T814))</f>
        <v/>
      </c>
      <c r="AR814" s="96">
        <f>IF(U814=0,0,IF(AND(INDEX('MTRs'!$BA$6:$BA$505,T814)=1,Z814=0),1,0))</f>
        <v>0</v>
      </c>
      <c r="AS814" s="96" t="str">
        <f>IF(R814=1,A814&amp;" | MTR "&amp;IF(U814=1,INDEX('MTRs'!$B$6:$B$505,T814)&amp;"","?")&amp;" | "&amp;IF(C814="","(sem resíduo)",C814),"")</f>
        <v/>
      </c>
      <c r="AT814" s="96" t="str">
        <f>IF(R814=1,COUNTIF($R$6:R814,1),"")</f>
        <v/>
      </c>
      <c r="AU814" s="96" t="str">
        <f>IF(U814=1,INDEX('MTRs'!$I$6:$I$505,T814)&amp;"","")</f>
        <v/>
      </c>
    </row>
    <row r="815">
      <c r="A815" s="89" t="inlineStr">
        <is>
          <t>IT-000810</t>
        </is>
      </c>
      <c r="B815" s="91" t="n"/>
      <c r="C815" s="91" t="n"/>
      <c r="D815" s="94" t="str">
        <f>IF(OR(R815=0,V815=0),"",INDEX('CAD_RESÍDUOS'!$E$6:$E$205,MATCH(C815,'CAD_RESÍDUOS'!$B$6:$B$205,0))&amp;"")</f>
        <v/>
      </c>
      <c r="E815" s="94" t="str">
        <f>IF(OR(R815=0,V815=0),"",INDEX('CAD_RESÍDUOS'!$C$6:$C$205,MATCH(C815,'CAD_RESÍDUOS'!$B$6:$B$205,0))&amp;"")</f>
        <v/>
      </c>
      <c r="F815" s="94" t="str">
        <f>IF(OR(R815=0,V815=0),"",INDEX('CAD_RESÍDUOS'!$G$6:$G$205,MATCH(C815,'CAD_RESÍDUOS'!$B$6:$B$205,0))&amp;"")</f>
        <v/>
      </c>
      <c r="G815" s="98" t="n"/>
      <c r="H815" s="91" t="n"/>
      <c r="I815" s="93" t="str">
        <f>IF(R815=0,"",IF(NOT(ISNUMBER(G815)),"",IF(ISNUMBER(X815),G815*X815,"UNIDADE A CONFERIR")))</f>
        <v/>
      </c>
      <c r="J815" s="91" t="n"/>
      <c r="K815" s="91" t="n"/>
      <c r="L815" s="93" t="str">
        <f>IF(R815=0,"",SUMIFS('RECEBIMENTOS'!$H$6:$H$1005,'RECEBIMENTOS'!$R$6:$R$1005,A815,'RECEBIMENTOS'!$X$6:$X$1005,1))</f>
        <v/>
      </c>
      <c r="M815" s="93" t="str">
        <f>IF(R815=0,"",SUMIFS('VÍNCULOS_CDF'!$H$6:$H$1005,'VÍNCULOS_CDF'!$R$6:$R$1005,A815,'VÍNCULOS_CDF'!$V$6:$V$1005,1))</f>
        <v/>
      </c>
      <c r="N815" s="99" t="str">
        <f>IF(OR(R815=0,AA815=0,NOT(ISNUMBER(I815))),"",I815-N(L815))</f>
        <v/>
      </c>
      <c r="O815" s="100" t="str">
        <f>IF(OR(R815=0,AK815&lt;=0),"",N(M815)/AK815)</f>
        <v/>
      </c>
      <c r="P815" s="94" t="str">
        <f>IF(R815=0,"",IF(S815="","Sem MTR associado",IF(U815=0,"MTR inexistente",IF(C815="","Resíduo não identificado",IF(V815=0,"Resíduo fora do cadastro",IF(W815=0,"Quantidade inválida",IF(H815="","Unidade não informada",IF(NOT(ISNUMBER(I815)),"Unidade a conferir",IF(AND(AH815=1,K815&lt;&gt;"Sim"),"Possível duplicidade",IF(Z815=1,"MTR cancelado",IF(AC815&gt;0,"Recebimento com alerta",IF(AA815=0,"Aguardando recebimento",IF(AB815&lt;AA815,"Recebimento a conferir",IF(AM815=1,"Quantidade a revisar",IF(AF815&gt;0,"Vínculo a revisar",IF(AD815=0,"Aguardando CDF",IF(AN815=0,"Vínculo de CDF parcial",IF(AE815&lt;AD815,"CDF a conferir","Documentação conferida"))))))))))))))))))</f>
        <v/>
      </c>
      <c r="Q815" s="93" t="str">
        <f>IF(OR(R815=0,AA815=0),"",MAX(0,N(L815)-N(M815)))</f>
        <v/>
      </c>
      <c r="R815" s="96">
        <f>IF(COUNTA(B815:C815,G815:H815,J815:K815)&gt;0,1,0)</f>
        <v>0</v>
      </c>
      <c r="S815" s="96" t="str">
        <f>IF(B815="","",TRIM(LEFT(B815,FIND(" |",B815&amp;" |")-1)))</f>
        <v/>
      </c>
      <c r="T815" s="96" t="str">
        <f>IF(S815="","",IFERROR(MATCH(S815,'MTRs'!$A$6:$A$505,0),""))</f>
        <v/>
      </c>
      <c r="U815" s="96">
        <f>IF(T815="",0,IF(INDEX('MTRs'!$Z$6:$Z$505,T815)=1,1,0))</f>
        <v>0</v>
      </c>
      <c r="V815" s="96">
        <f>IF(C815="",0,IF(ISNUMBER(MATCH(C815,'CAD_RESÍDUOS'!$B$6:$B$205,0)),1,0))</f>
        <v>0</v>
      </c>
      <c r="W815" s="96">
        <f>IF(AND(ISNUMBER(G815),G815&gt;0),1,0)</f>
        <v>0</v>
      </c>
      <c r="X815" s="96" t="str">
        <f>IF(H815="","",IFERROR(IF(ISNUMBER(INDEX(cfg_fac,MATCH(H815,cfg_units,0))),IF(INDEX(cfg_fac,MATCH(H815,cfg_units,0))&gt;0,INDEX(cfg_fac,MATCH(H815,cfg_units,0)),""),""),""))</f>
        <v/>
      </c>
      <c r="Y815" s="96">
        <f>IF(AND(W815=1,ISNUMBER(I815)),1,0)</f>
        <v>0</v>
      </c>
      <c r="Z815" s="96">
        <f>IF(U815=1,INDEX('MTRs'!$AA$6:$AA$505,T815),0)</f>
        <v>0</v>
      </c>
      <c r="AA815" s="96">
        <f>IF(R815=0,0,COUNTIFS('RECEBIMENTOS'!$R$6:$R$1005,A815,'RECEBIMENTOS'!$Q$6:$Q$1005,1))</f>
        <v>0</v>
      </c>
      <c r="AB815" s="96">
        <f>IF(R815=0,0,COUNTIFS('RECEBIMENTOS'!$R$6:$R$1005,A815,'RECEBIMENTOS'!$Z$6:$Z$1005,1))</f>
        <v>0</v>
      </c>
      <c r="AC815" s="96">
        <f>IF(R815=0,0,COUNTIFS('RECEBIMENTOS'!$R$6:$R$1005,A815,'RECEBIMENTOS'!$Y$6:$Y$1005,1))</f>
        <v>0</v>
      </c>
      <c r="AD815" s="96">
        <f>IF(R815=0,0,COUNTIFS('VÍNCULOS_CDF'!$R$6:$R$1005,A815,'VÍNCULOS_CDF'!$N$6:$N$1005,1))</f>
        <v>0</v>
      </c>
      <c r="AE815" s="96">
        <f>IF(R815=0,0,COUNTIFS('VÍNCULOS_CDF'!$R$6:$R$1005,A815,'VÍNCULOS_CDF'!$AA$6:$AA$1005,1))</f>
        <v>0</v>
      </c>
      <c r="AF815" s="96">
        <f>IF(R815=0,0,COUNTIFS('VÍNCULOS_CDF'!$R$6:$R$1005,A815,'VÍNCULOS_CDF'!$Y$6:$Y$1005,1))</f>
        <v>0</v>
      </c>
      <c r="AG815" s="96" t="str">
        <f>IF(AND(R815=1,S815&lt;&gt;"",C815&lt;&gt;""),S815&amp;"|"&amp;C815&amp;"|"&amp;G815&amp;"|"&amp;H815,"")</f>
        <v/>
      </c>
      <c r="AH815" s="96">
        <f>IF(AG815="",0,IF(SUMPRODUCT(--($AG$6:$AG$1005=AG815))&gt;1,1,0))</f>
        <v>0</v>
      </c>
      <c r="AI815" s="96">
        <f>IF(R815=0,0,IF(OR(U815=0,V815=0,Y815=0,AND(AH815=1,K815&lt;&gt;"Sim")),1,0))</f>
        <v>0</v>
      </c>
      <c r="AJ815" s="96">
        <f>IF(AND(R815=1,AA815&gt;0,AB815=AA815),1,0)</f>
        <v>0</v>
      </c>
      <c r="AK815" s="96">
        <f>IF(R815=0,0,IF(AA815&gt;0,N(L815),IF(ISNUMBER(I815),I815,0)))</f>
        <v>0</v>
      </c>
      <c r="AL815" s="96">
        <f>IF(R815=0,0,IF(AND(K815&lt;&gt;"Sim",N(M815)&gt;AK815+cfg_tol),1,0))</f>
        <v>0</v>
      </c>
      <c r="AM815" s="96">
        <f>IF(R815=0,0,IF(K815="Sim",0,IF(OR(AND(AA815&gt;0,ISNUMBER(I815),ABS(I815-N(L815))&gt;cfg_tol),AL815=1),1,0)))</f>
        <v>0</v>
      </c>
      <c r="AN815" s="96">
        <f>IF(AND(R815=1,N(M815)&gt;0,OR(N(M815)&gt;=AK815-cfg_tol,K815="Sim")),1,0)</f>
        <v>0</v>
      </c>
      <c r="AO815" s="96">
        <f>IF(AND(AN815=1,AD815&gt;0,AE815=AD815,AL815=0),1,0)</f>
        <v>0</v>
      </c>
      <c r="AP815" s="96">
        <f>IF(U815=0,0,IF(AND(INDEX('MTRs'!$AX$6:$AX$505,T815)=1,Z815=0,OR(f_res="",f_res="(Todos)",C815=f_res)),1,0))</f>
        <v>0</v>
      </c>
      <c r="AQ815" s="97" t="str">
        <f>IF(U815=0,"",INDEX('MTRs'!$AZ$6:$AZ$505,T815))</f>
        <v/>
      </c>
      <c r="AR815" s="96">
        <f>IF(U815=0,0,IF(AND(INDEX('MTRs'!$BA$6:$BA$505,T815)=1,Z815=0),1,0))</f>
        <v>0</v>
      </c>
      <c r="AS815" s="96" t="str">
        <f>IF(R815=1,A815&amp;" | MTR "&amp;IF(U815=1,INDEX('MTRs'!$B$6:$B$505,T815)&amp;"","?")&amp;" | "&amp;IF(C815="","(sem resíduo)",C815),"")</f>
        <v/>
      </c>
      <c r="AT815" s="96" t="str">
        <f>IF(R815=1,COUNTIF($R$6:R815,1),"")</f>
        <v/>
      </c>
      <c r="AU815" s="96" t="str">
        <f>IF(U815=1,INDEX('MTRs'!$I$6:$I$505,T815)&amp;"","")</f>
        <v/>
      </c>
    </row>
    <row r="816">
      <c r="A816" s="89" t="inlineStr">
        <is>
          <t>IT-000811</t>
        </is>
      </c>
      <c r="B816" s="91" t="n"/>
      <c r="C816" s="91" t="n"/>
      <c r="D816" s="94" t="str">
        <f>IF(OR(R816=0,V816=0),"",INDEX('CAD_RESÍDUOS'!$E$6:$E$205,MATCH(C816,'CAD_RESÍDUOS'!$B$6:$B$205,0))&amp;"")</f>
        <v/>
      </c>
      <c r="E816" s="94" t="str">
        <f>IF(OR(R816=0,V816=0),"",INDEX('CAD_RESÍDUOS'!$C$6:$C$205,MATCH(C816,'CAD_RESÍDUOS'!$B$6:$B$205,0))&amp;"")</f>
        <v/>
      </c>
      <c r="F816" s="94" t="str">
        <f>IF(OR(R816=0,V816=0),"",INDEX('CAD_RESÍDUOS'!$G$6:$G$205,MATCH(C816,'CAD_RESÍDUOS'!$B$6:$B$205,0))&amp;"")</f>
        <v/>
      </c>
      <c r="G816" s="98" t="n"/>
      <c r="H816" s="91" t="n"/>
      <c r="I816" s="93" t="str">
        <f>IF(R816=0,"",IF(NOT(ISNUMBER(G816)),"",IF(ISNUMBER(X816),G816*X816,"UNIDADE A CONFERIR")))</f>
        <v/>
      </c>
      <c r="J816" s="91" t="n"/>
      <c r="K816" s="91" t="n"/>
      <c r="L816" s="93" t="str">
        <f>IF(R816=0,"",SUMIFS('RECEBIMENTOS'!$H$6:$H$1005,'RECEBIMENTOS'!$R$6:$R$1005,A816,'RECEBIMENTOS'!$X$6:$X$1005,1))</f>
        <v/>
      </c>
      <c r="M816" s="93" t="str">
        <f>IF(R816=0,"",SUMIFS('VÍNCULOS_CDF'!$H$6:$H$1005,'VÍNCULOS_CDF'!$R$6:$R$1005,A816,'VÍNCULOS_CDF'!$V$6:$V$1005,1))</f>
        <v/>
      </c>
      <c r="N816" s="99" t="str">
        <f>IF(OR(R816=0,AA816=0,NOT(ISNUMBER(I816))),"",I816-N(L816))</f>
        <v/>
      </c>
      <c r="O816" s="100" t="str">
        <f>IF(OR(R816=0,AK816&lt;=0),"",N(M816)/AK816)</f>
        <v/>
      </c>
      <c r="P816" s="94" t="str">
        <f>IF(R816=0,"",IF(S816="","Sem MTR associado",IF(U816=0,"MTR inexistente",IF(C816="","Resíduo não identificado",IF(V816=0,"Resíduo fora do cadastro",IF(W816=0,"Quantidade inválida",IF(H816="","Unidade não informada",IF(NOT(ISNUMBER(I816)),"Unidade a conferir",IF(AND(AH816=1,K816&lt;&gt;"Sim"),"Possível duplicidade",IF(Z816=1,"MTR cancelado",IF(AC816&gt;0,"Recebimento com alerta",IF(AA816=0,"Aguardando recebimento",IF(AB816&lt;AA816,"Recebimento a conferir",IF(AM816=1,"Quantidade a revisar",IF(AF816&gt;0,"Vínculo a revisar",IF(AD816=0,"Aguardando CDF",IF(AN816=0,"Vínculo de CDF parcial",IF(AE816&lt;AD816,"CDF a conferir","Documentação conferida"))))))))))))))))))</f>
        <v/>
      </c>
      <c r="Q816" s="93" t="str">
        <f>IF(OR(R816=0,AA816=0),"",MAX(0,N(L816)-N(M816)))</f>
        <v/>
      </c>
      <c r="R816" s="96">
        <f>IF(COUNTA(B816:C816,G816:H816,J816:K816)&gt;0,1,0)</f>
        <v>0</v>
      </c>
      <c r="S816" s="96" t="str">
        <f>IF(B816="","",TRIM(LEFT(B816,FIND(" |",B816&amp;" |")-1)))</f>
        <v/>
      </c>
      <c r="T816" s="96" t="str">
        <f>IF(S816="","",IFERROR(MATCH(S816,'MTRs'!$A$6:$A$505,0),""))</f>
        <v/>
      </c>
      <c r="U816" s="96">
        <f>IF(T816="",0,IF(INDEX('MTRs'!$Z$6:$Z$505,T816)=1,1,0))</f>
        <v>0</v>
      </c>
      <c r="V816" s="96">
        <f>IF(C816="",0,IF(ISNUMBER(MATCH(C816,'CAD_RESÍDUOS'!$B$6:$B$205,0)),1,0))</f>
        <v>0</v>
      </c>
      <c r="W816" s="96">
        <f>IF(AND(ISNUMBER(G816),G816&gt;0),1,0)</f>
        <v>0</v>
      </c>
      <c r="X816" s="96" t="str">
        <f>IF(H816="","",IFERROR(IF(ISNUMBER(INDEX(cfg_fac,MATCH(H816,cfg_units,0))),IF(INDEX(cfg_fac,MATCH(H816,cfg_units,0))&gt;0,INDEX(cfg_fac,MATCH(H816,cfg_units,0)),""),""),""))</f>
        <v/>
      </c>
      <c r="Y816" s="96">
        <f>IF(AND(W816=1,ISNUMBER(I816)),1,0)</f>
        <v>0</v>
      </c>
      <c r="Z816" s="96">
        <f>IF(U816=1,INDEX('MTRs'!$AA$6:$AA$505,T816),0)</f>
        <v>0</v>
      </c>
      <c r="AA816" s="96">
        <f>IF(R816=0,0,COUNTIFS('RECEBIMENTOS'!$R$6:$R$1005,A816,'RECEBIMENTOS'!$Q$6:$Q$1005,1))</f>
        <v>0</v>
      </c>
      <c r="AB816" s="96">
        <f>IF(R816=0,0,COUNTIFS('RECEBIMENTOS'!$R$6:$R$1005,A816,'RECEBIMENTOS'!$Z$6:$Z$1005,1))</f>
        <v>0</v>
      </c>
      <c r="AC816" s="96">
        <f>IF(R816=0,0,COUNTIFS('RECEBIMENTOS'!$R$6:$R$1005,A816,'RECEBIMENTOS'!$Y$6:$Y$1005,1))</f>
        <v>0</v>
      </c>
      <c r="AD816" s="96">
        <f>IF(R816=0,0,COUNTIFS('VÍNCULOS_CDF'!$R$6:$R$1005,A816,'VÍNCULOS_CDF'!$N$6:$N$1005,1))</f>
        <v>0</v>
      </c>
      <c r="AE816" s="96">
        <f>IF(R816=0,0,COUNTIFS('VÍNCULOS_CDF'!$R$6:$R$1005,A816,'VÍNCULOS_CDF'!$AA$6:$AA$1005,1))</f>
        <v>0</v>
      </c>
      <c r="AF816" s="96">
        <f>IF(R816=0,0,COUNTIFS('VÍNCULOS_CDF'!$R$6:$R$1005,A816,'VÍNCULOS_CDF'!$Y$6:$Y$1005,1))</f>
        <v>0</v>
      </c>
      <c r="AG816" s="96" t="str">
        <f>IF(AND(R816=1,S816&lt;&gt;"",C816&lt;&gt;""),S816&amp;"|"&amp;C816&amp;"|"&amp;G816&amp;"|"&amp;H816,"")</f>
        <v/>
      </c>
      <c r="AH816" s="96">
        <f>IF(AG816="",0,IF(SUMPRODUCT(--($AG$6:$AG$1005=AG816))&gt;1,1,0))</f>
        <v>0</v>
      </c>
      <c r="AI816" s="96">
        <f>IF(R816=0,0,IF(OR(U816=0,V816=0,Y816=0,AND(AH816=1,K816&lt;&gt;"Sim")),1,0))</f>
        <v>0</v>
      </c>
      <c r="AJ816" s="96">
        <f>IF(AND(R816=1,AA816&gt;0,AB816=AA816),1,0)</f>
        <v>0</v>
      </c>
      <c r="AK816" s="96">
        <f>IF(R816=0,0,IF(AA816&gt;0,N(L816),IF(ISNUMBER(I816),I816,0)))</f>
        <v>0</v>
      </c>
      <c r="AL816" s="96">
        <f>IF(R816=0,0,IF(AND(K816&lt;&gt;"Sim",N(M816)&gt;AK816+cfg_tol),1,0))</f>
        <v>0</v>
      </c>
      <c r="AM816" s="96">
        <f>IF(R816=0,0,IF(K816="Sim",0,IF(OR(AND(AA816&gt;0,ISNUMBER(I816),ABS(I816-N(L816))&gt;cfg_tol),AL816=1),1,0)))</f>
        <v>0</v>
      </c>
      <c r="AN816" s="96">
        <f>IF(AND(R816=1,N(M816)&gt;0,OR(N(M816)&gt;=AK816-cfg_tol,K816="Sim")),1,0)</f>
        <v>0</v>
      </c>
      <c r="AO816" s="96">
        <f>IF(AND(AN816=1,AD816&gt;0,AE816=AD816,AL816=0),1,0)</f>
        <v>0</v>
      </c>
      <c r="AP816" s="96">
        <f>IF(U816=0,0,IF(AND(INDEX('MTRs'!$AX$6:$AX$505,T816)=1,Z816=0,OR(f_res="",f_res="(Todos)",C816=f_res)),1,0))</f>
        <v>0</v>
      </c>
      <c r="AQ816" s="97" t="str">
        <f>IF(U816=0,"",INDEX('MTRs'!$AZ$6:$AZ$505,T816))</f>
        <v/>
      </c>
      <c r="AR816" s="96">
        <f>IF(U816=0,0,IF(AND(INDEX('MTRs'!$BA$6:$BA$505,T816)=1,Z816=0),1,0))</f>
        <v>0</v>
      </c>
      <c r="AS816" s="96" t="str">
        <f>IF(R816=1,A816&amp;" | MTR "&amp;IF(U816=1,INDEX('MTRs'!$B$6:$B$505,T816)&amp;"","?")&amp;" | "&amp;IF(C816="","(sem resíduo)",C816),"")</f>
        <v/>
      </c>
      <c r="AT816" s="96" t="str">
        <f>IF(R816=1,COUNTIF($R$6:R816,1),"")</f>
        <v/>
      </c>
      <c r="AU816" s="96" t="str">
        <f>IF(U816=1,INDEX('MTRs'!$I$6:$I$505,T816)&amp;"","")</f>
        <v/>
      </c>
    </row>
    <row r="817">
      <c r="A817" s="89" t="inlineStr">
        <is>
          <t>IT-000812</t>
        </is>
      </c>
      <c r="B817" s="91" t="n"/>
      <c r="C817" s="91" t="n"/>
      <c r="D817" s="94" t="str">
        <f>IF(OR(R817=0,V817=0),"",INDEX('CAD_RESÍDUOS'!$E$6:$E$205,MATCH(C817,'CAD_RESÍDUOS'!$B$6:$B$205,0))&amp;"")</f>
        <v/>
      </c>
      <c r="E817" s="94" t="str">
        <f>IF(OR(R817=0,V817=0),"",INDEX('CAD_RESÍDUOS'!$C$6:$C$205,MATCH(C817,'CAD_RESÍDUOS'!$B$6:$B$205,0))&amp;"")</f>
        <v/>
      </c>
      <c r="F817" s="94" t="str">
        <f>IF(OR(R817=0,V817=0),"",INDEX('CAD_RESÍDUOS'!$G$6:$G$205,MATCH(C817,'CAD_RESÍDUOS'!$B$6:$B$205,0))&amp;"")</f>
        <v/>
      </c>
      <c r="G817" s="98" t="n"/>
      <c r="H817" s="91" t="n"/>
      <c r="I817" s="93" t="str">
        <f>IF(R817=0,"",IF(NOT(ISNUMBER(G817)),"",IF(ISNUMBER(X817),G817*X817,"UNIDADE A CONFERIR")))</f>
        <v/>
      </c>
      <c r="J817" s="91" t="n"/>
      <c r="K817" s="91" t="n"/>
      <c r="L817" s="93" t="str">
        <f>IF(R817=0,"",SUMIFS('RECEBIMENTOS'!$H$6:$H$1005,'RECEBIMENTOS'!$R$6:$R$1005,A817,'RECEBIMENTOS'!$X$6:$X$1005,1))</f>
        <v/>
      </c>
      <c r="M817" s="93" t="str">
        <f>IF(R817=0,"",SUMIFS('VÍNCULOS_CDF'!$H$6:$H$1005,'VÍNCULOS_CDF'!$R$6:$R$1005,A817,'VÍNCULOS_CDF'!$V$6:$V$1005,1))</f>
        <v/>
      </c>
      <c r="N817" s="99" t="str">
        <f>IF(OR(R817=0,AA817=0,NOT(ISNUMBER(I817))),"",I817-N(L817))</f>
        <v/>
      </c>
      <c r="O817" s="100" t="str">
        <f>IF(OR(R817=0,AK817&lt;=0),"",N(M817)/AK817)</f>
        <v/>
      </c>
      <c r="P817" s="94" t="str">
        <f>IF(R817=0,"",IF(S817="","Sem MTR associado",IF(U817=0,"MTR inexistente",IF(C817="","Resíduo não identificado",IF(V817=0,"Resíduo fora do cadastro",IF(W817=0,"Quantidade inválida",IF(H817="","Unidade não informada",IF(NOT(ISNUMBER(I817)),"Unidade a conferir",IF(AND(AH817=1,K817&lt;&gt;"Sim"),"Possível duplicidade",IF(Z817=1,"MTR cancelado",IF(AC817&gt;0,"Recebimento com alerta",IF(AA817=0,"Aguardando recebimento",IF(AB817&lt;AA817,"Recebimento a conferir",IF(AM817=1,"Quantidade a revisar",IF(AF817&gt;0,"Vínculo a revisar",IF(AD817=0,"Aguardando CDF",IF(AN817=0,"Vínculo de CDF parcial",IF(AE817&lt;AD817,"CDF a conferir","Documentação conferida"))))))))))))))))))</f>
        <v/>
      </c>
      <c r="Q817" s="93" t="str">
        <f>IF(OR(R817=0,AA817=0),"",MAX(0,N(L817)-N(M817)))</f>
        <v/>
      </c>
      <c r="R817" s="96">
        <f>IF(COUNTA(B817:C817,G817:H817,J817:K817)&gt;0,1,0)</f>
        <v>0</v>
      </c>
      <c r="S817" s="96" t="str">
        <f>IF(B817="","",TRIM(LEFT(B817,FIND(" |",B817&amp;" |")-1)))</f>
        <v/>
      </c>
      <c r="T817" s="96" t="str">
        <f>IF(S817="","",IFERROR(MATCH(S817,'MTRs'!$A$6:$A$505,0),""))</f>
        <v/>
      </c>
      <c r="U817" s="96">
        <f>IF(T817="",0,IF(INDEX('MTRs'!$Z$6:$Z$505,T817)=1,1,0))</f>
        <v>0</v>
      </c>
      <c r="V817" s="96">
        <f>IF(C817="",0,IF(ISNUMBER(MATCH(C817,'CAD_RESÍDUOS'!$B$6:$B$205,0)),1,0))</f>
        <v>0</v>
      </c>
      <c r="W817" s="96">
        <f>IF(AND(ISNUMBER(G817),G817&gt;0),1,0)</f>
        <v>0</v>
      </c>
      <c r="X817" s="96" t="str">
        <f>IF(H817="","",IFERROR(IF(ISNUMBER(INDEX(cfg_fac,MATCH(H817,cfg_units,0))),IF(INDEX(cfg_fac,MATCH(H817,cfg_units,0))&gt;0,INDEX(cfg_fac,MATCH(H817,cfg_units,0)),""),""),""))</f>
        <v/>
      </c>
      <c r="Y817" s="96">
        <f>IF(AND(W817=1,ISNUMBER(I817)),1,0)</f>
        <v>0</v>
      </c>
      <c r="Z817" s="96">
        <f>IF(U817=1,INDEX('MTRs'!$AA$6:$AA$505,T817),0)</f>
        <v>0</v>
      </c>
      <c r="AA817" s="96">
        <f>IF(R817=0,0,COUNTIFS('RECEBIMENTOS'!$R$6:$R$1005,A817,'RECEBIMENTOS'!$Q$6:$Q$1005,1))</f>
        <v>0</v>
      </c>
      <c r="AB817" s="96">
        <f>IF(R817=0,0,COUNTIFS('RECEBIMENTOS'!$R$6:$R$1005,A817,'RECEBIMENTOS'!$Z$6:$Z$1005,1))</f>
        <v>0</v>
      </c>
      <c r="AC817" s="96">
        <f>IF(R817=0,0,COUNTIFS('RECEBIMENTOS'!$R$6:$R$1005,A817,'RECEBIMENTOS'!$Y$6:$Y$1005,1))</f>
        <v>0</v>
      </c>
      <c r="AD817" s="96">
        <f>IF(R817=0,0,COUNTIFS('VÍNCULOS_CDF'!$R$6:$R$1005,A817,'VÍNCULOS_CDF'!$N$6:$N$1005,1))</f>
        <v>0</v>
      </c>
      <c r="AE817" s="96">
        <f>IF(R817=0,0,COUNTIFS('VÍNCULOS_CDF'!$R$6:$R$1005,A817,'VÍNCULOS_CDF'!$AA$6:$AA$1005,1))</f>
        <v>0</v>
      </c>
      <c r="AF817" s="96">
        <f>IF(R817=0,0,COUNTIFS('VÍNCULOS_CDF'!$R$6:$R$1005,A817,'VÍNCULOS_CDF'!$Y$6:$Y$1005,1))</f>
        <v>0</v>
      </c>
      <c r="AG817" s="96" t="str">
        <f>IF(AND(R817=1,S817&lt;&gt;"",C817&lt;&gt;""),S817&amp;"|"&amp;C817&amp;"|"&amp;G817&amp;"|"&amp;H817,"")</f>
        <v/>
      </c>
      <c r="AH817" s="96">
        <f>IF(AG817="",0,IF(SUMPRODUCT(--($AG$6:$AG$1005=AG817))&gt;1,1,0))</f>
        <v>0</v>
      </c>
      <c r="AI817" s="96">
        <f>IF(R817=0,0,IF(OR(U817=0,V817=0,Y817=0,AND(AH817=1,K817&lt;&gt;"Sim")),1,0))</f>
        <v>0</v>
      </c>
      <c r="AJ817" s="96">
        <f>IF(AND(R817=1,AA817&gt;0,AB817=AA817),1,0)</f>
        <v>0</v>
      </c>
      <c r="AK817" s="96">
        <f>IF(R817=0,0,IF(AA817&gt;0,N(L817),IF(ISNUMBER(I817),I817,0)))</f>
        <v>0</v>
      </c>
      <c r="AL817" s="96">
        <f>IF(R817=0,0,IF(AND(K817&lt;&gt;"Sim",N(M817)&gt;AK817+cfg_tol),1,0))</f>
        <v>0</v>
      </c>
      <c r="AM817" s="96">
        <f>IF(R817=0,0,IF(K817="Sim",0,IF(OR(AND(AA817&gt;0,ISNUMBER(I817),ABS(I817-N(L817))&gt;cfg_tol),AL817=1),1,0)))</f>
        <v>0</v>
      </c>
      <c r="AN817" s="96">
        <f>IF(AND(R817=1,N(M817)&gt;0,OR(N(M817)&gt;=AK817-cfg_tol,K817="Sim")),1,0)</f>
        <v>0</v>
      </c>
      <c r="AO817" s="96">
        <f>IF(AND(AN817=1,AD817&gt;0,AE817=AD817,AL817=0),1,0)</f>
        <v>0</v>
      </c>
      <c r="AP817" s="96">
        <f>IF(U817=0,0,IF(AND(INDEX('MTRs'!$AX$6:$AX$505,T817)=1,Z817=0,OR(f_res="",f_res="(Todos)",C817=f_res)),1,0))</f>
        <v>0</v>
      </c>
      <c r="AQ817" s="97" t="str">
        <f>IF(U817=0,"",INDEX('MTRs'!$AZ$6:$AZ$505,T817))</f>
        <v/>
      </c>
      <c r="AR817" s="96">
        <f>IF(U817=0,0,IF(AND(INDEX('MTRs'!$BA$6:$BA$505,T817)=1,Z817=0),1,0))</f>
        <v>0</v>
      </c>
      <c r="AS817" s="96" t="str">
        <f>IF(R817=1,A817&amp;" | MTR "&amp;IF(U817=1,INDEX('MTRs'!$B$6:$B$505,T817)&amp;"","?")&amp;" | "&amp;IF(C817="","(sem resíduo)",C817),"")</f>
        <v/>
      </c>
      <c r="AT817" s="96" t="str">
        <f>IF(R817=1,COUNTIF($R$6:R817,1),"")</f>
        <v/>
      </c>
      <c r="AU817" s="96" t="str">
        <f>IF(U817=1,INDEX('MTRs'!$I$6:$I$505,T817)&amp;"","")</f>
        <v/>
      </c>
    </row>
    <row r="818">
      <c r="A818" s="89" t="inlineStr">
        <is>
          <t>IT-000813</t>
        </is>
      </c>
      <c r="B818" s="91" t="n"/>
      <c r="C818" s="91" t="n"/>
      <c r="D818" s="94" t="str">
        <f>IF(OR(R818=0,V818=0),"",INDEX('CAD_RESÍDUOS'!$E$6:$E$205,MATCH(C818,'CAD_RESÍDUOS'!$B$6:$B$205,0))&amp;"")</f>
        <v/>
      </c>
      <c r="E818" s="94" t="str">
        <f>IF(OR(R818=0,V818=0),"",INDEX('CAD_RESÍDUOS'!$C$6:$C$205,MATCH(C818,'CAD_RESÍDUOS'!$B$6:$B$205,0))&amp;"")</f>
        <v/>
      </c>
      <c r="F818" s="94" t="str">
        <f>IF(OR(R818=0,V818=0),"",INDEX('CAD_RESÍDUOS'!$G$6:$G$205,MATCH(C818,'CAD_RESÍDUOS'!$B$6:$B$205,0))&amp;"")</f>
        <v/>
      </c>
      <c r="G818" s="98" t="n"/>
      <c r="H818" s="91" t="n"/>
      <c r="I818" s="93" t="str">
        <f>IF(R818=0,"",IF(NOT(ISNUMBER(G818)),"",IF(ISNUMBER(X818),G818*X818,"UNIDADE A CONFERIR")))</f>
        <v/>
      </c>
      <c r="J818" s="91" t="n"/>
      <c r="K818" s="91" t="n"/>
      <c r="L818" s="93" t="str">
        <f>IF(R818=0,"",SUMIFS('RECEBIMENTOS'!$H$6:$H$1005,'RECEBIMENTOS'!$R$6:$R$1005,A818,'RECEBIMENTOS'!$X$6:$X$1005,1))</f>
        <v/>
      </c>
      <c r="M818" s="93" t="str">
        <f>IF(R818=0,"",SUMIFS('VÍNCULOS_CDF'!$H$6:$H$1005,'VÍNCULOS_CDF'!$R$6:$R$1005,A818,'VÍNCULOS_CDF'!$V$6:$V$1005,1))</f>
        <v/>
      </c>
      <c r="N818" s="99" t="str">
        <f>IF(OR(R818=0,AA818=0,NOT(ISNUMBER(I818))),"",I818-N(L818))</f>
        <v/>
      </c>
      <c r="O818" s="100" t="str">
        <f>IF(OR(R818=0,AK818&lt;=0),"",N(M818)/AK818)</f>
        <v/>
      </c>
      <c r="P818" s="94" t="str">
        <f>IF(R818=0,"",IF(S818="","Sem MTR associado",IF(U818=0,"MTR inexistente",IF(C818="","Resíduo não identificado",IF(V818=0,"Resíduo fora do cadastro",IF(W818=0,"Quantidade inválida",IF(H818="","Unidade não informada",IF(NOT(ISNUMBER(I818)),"Unidade a conferir",IF(AND(AH818=1,K818&lt;&gt;"Sim"),"Possível duplicidade",IF(Z818=1,"MTR cancelado",IF(AC818&gt;0,"Recebimento com alerta",IF(AA818=0,"Aguardando recebimento",IF(AB818&lt;AA818,"Recebimento a conferir",IF(AM818=1,"Quantidade a revisar",IF(AF818&gt;0,"Vínculo a revisar",IF(AD818=0,"Aguardando CDF",IF(AN818=0,"Vínculo de CDF parcial",IF(AE818&lt;AD818,"CDF a conferir","Documentação conferida"))))))))))))))))))</f>
        <v/>
      </c>
      <c r="Q818" s="93" t="str">
        <f>IF(OR(R818=0,AA818=0),"",MAX(0,N(L818)-N(M818)))</f>
        <v/>
      </c>
      <c r="R818" s="96">
        <f>IF(COUNTA(B818:C818,G818:H818,J818:K818)&gt;0,1,0)</f>
        <v>0</v>
      </c>
      <c r="S818" s="96" t="str">
        <f>IF(B818="","",TRIM(LEFT(B818,FIND(" |",B818&amp;" |")-1)))</f>
        <v/>
      </c>
      <c r="T818" s="96" t="str">
        <f>IF(S818="","",IFERROR(MATCH(S818,'MTRs'!$A$6:$A$505,0),""))</f>
        <v/>
      </c>
      <c r="U818" s="96">
        <f>IF(T818="",0,IF(INDEX('MTRs'!$Z$6:$Z$505,T818)=1,1,0))</f>
        <v>0</v>
      </c>
      <c r="V818" s="96">
        <f>IF(C818="",0,IF(ISNUMBER(MATCH(C818,'CAD_RESÍDUOS'!$B$6:$B$205,0)),1,0))</f>
        <v>0</v>
      </c>
      <c r="W818" s="96">
        <f>IF(AND(ISNUMBER(G818),G818&gt;0),1,0)</f>
        <v>0</v>
      </c>
      <c r="X818" s="96" t="str">
        <f>IF(H818="","",IFERROR(IF(ISNUMBER(INDEX(cfg_fac,MATCH(H818,cfg_units,0))),IF(INDEX(cfg_fac,MATCH(H818,cfg_units,0))&gt;0,INDEX(cfg_fac,MATCH(H818,cfg_units,0)),""),""),""))</f>
        <v/>
      </c>
      <c r="Y818" s="96">
        <f>IF(AND(W818=1,ISNUMBER(I818)),1,0)</f>
        <v>0</v>
      </c>
      <c r="Z818" s="96">
        <f>IF(U818=1,INDEX('MTRs'!$AA$6:$AA$505,T818),0)</f>
        <v>0</v>
      </c>
      <c r="AA818" s="96">
        <f>IF(R818=0,0,COUNTIFS('RECEBIMENTOS'!$R$6:$R$1005,A818,'RECEBIMENTOS'!$Q$6:$Q$1005,1))</f>
        <v>0</v>
      </c>
      <c r="AB818" s="96">
        <f>IF(R818=0,0,COUNTIFS('RECEBIMENTOS'!$R$6:$R$1005,A818,'RECEBIMENTOS'!$Z$6:$Z$1005,1))</f>
        <v>0</v>
      </c>
      <c r="AC818" s="96">
        <f>IF(R818=0,0,COUNTIFS('RECEBIMENTOS'!$R$6:$R$1005,A818,'RECEBIMENTOS'!$Y$6:$Y$1005,1))</f>
        <v>0</v>
      </c>
      <c r="AD818" s="96">
        <f>IF(R818=0,0,COUNTIFS('VÍNCULOS_CDF'!$R$6:$R$1005,A818,'VÍNCULOS_CDF'!$N$6:$N$1005,1))</f>
        <v>0</v>
      </c>
      <c r="AE818" s="96">
        <f>IF(R818=0,0,COUNTIFS('VÍNCULOS_CDF'!$R$6:$R$1005,A818,'VÍNCULOS_CDF'!$AA$6:$AA$1005,1))</f>
        <v>0</v>
      </c>
      <c r="AF818" s="96">
        <f>IF(R818=0,0,COUNTIFS('VÍNCULOS_CDF'!$R$6:$R$1005,A818,'VÍNCULOS_CDF'!$Y$6:$Y$1005,1))</f>
        <v>0</v>
      </c>
      <c r="AG818" s="96" t="str">
        <f>IF(AND(R818=1,S818&lt;&gt;"",C818&lt;&gt;""),S818&amp;"|"&amp;C818&amp;"|"&amp;G818&amp;"|"&amp;H818,"")</f>
        <v/>
      </c>
      <c r="AH818" s="96">
        <f>IF(AG818="",0,IF(SUMPRODUCT(--($AG$6:$AG$1005=AG818))&gt;1,1,0))</f>
        <v>0</v>
      </c>
      <c r="AI818" s="96">
        <f>IF(R818=0,0,IF(OR(U818=0,V818=0,Y818=0,AND(AH818=1,K818&lt;&gt;"Sim")),1,0))</f>
        <v>0</v>
      </c>
      <c r="AJ818" s="96">
        <f>IF(AND(R818=1,AA818&gt;0,AB818=AA818),1,0)</f>
        <v>0</v>
      </c>
      <c r="AK818" s="96">
        <f>IF(R818=0,0,IF(AA818&gt;0,N(L818),IF(ISNUMBER(I818),I818,0)))</f>
        <v>0</v>
      </c>
      <c r="AL818" s="96">
        <f>IF(R818=0,0,IF(AND(K818&lt;&gt;"Sim",N(M818)&gt;AK818+cfg_tol),1,0))</f>
        <v>0</v>
      </c>
      <c r="AM818" s="96">
        <f>IF(R818=0,0,IF(K818="Sim",0,IF(OR(AND(AA818&gt;0,ISNUMBER(I818),ABS(I818-N(L818))&gt;cfg_tol),AL818=1),1,0)))</f>
        <v>0</v>
      </c>
      <c r="AN818" s="96">
        <f>IF(AND(R818=1,N(M818)&gt;0,OR(N(M818)&gt;=AK818-cfg_tol,K818="Sim")),1,0)</f>
        <v>0</v>
      </c>
      <c r="AO818" s="96">
        <f>IF(AND(AN818=1,AD818&gt;0,AE818=AD818,AL818=0),1,0)</f>
        <v>0</v>
      </c>
      <c r="AP818" s="96">
        <f>IF(U818=0,0,IF(AND(INDEX('MTRs'!$AX$6:$AX$505,T818)=1,Z818=0,OR(f_res="",f_res="(Todos)",C818=f_res)),1,0))</f>
        <v>0</v>
      </c>
      <c r="AQ818" s="97" t="str">
        <f>IF(U818=0,"",INDEX('MTRs'!$AZ$6:$AZ$505,T818))</f>
        <v/>
      </c>
      <c r="AR818" s="96">
        <f>IF(U818=0,0,IF(AND(INDEX('MTRs'!$BA$6:$BA$505,T818)=1,Z818=0),1,0))</f>
        <v>0</v>
      </c>
      <c r="AS818" s="96" t="str">
        <f>IF(R818=1,A818&amp;" | MTR "&amp;IF(U818=1,INDEX('MTRs'!$B$6:$B$505,T818)&amp;"","?")&amp;" | "&amp;IF(C818="","(sem resíduo)",C818),"")</f>
        <v/>
      </c>
      <c r="AT818" s="96" t="str">
        <f>IF(R818=1,COUNTIF($R$6:R818,1),"")</f>
        <v/>
      </c>
      <c r="AU818" s="96" t="str">
        <f>IF(U818=1,INDEX('MTRs'!$I$6:$I$505,T818)&amp;"","")</f>
        <v/>
      </c>
    </row>
    <row r="819">
      <c r="A819" s="89" t="inlineStr">
        <is>
          <t>IT-000814</t>
        </is>
      </c>
      <c r="B819" s="91" t="n"/>
      <c r="C819" s="91" t="n"/>
      <c r="D819" s="94" t="str">
        <f>IF(OR(R819=0,V819=0),"",INDEX('CAD_RESÍDUOS'!$E$6:$E$205,MATCH(C819,'CAD_RESÍDUOS'!$B$6:$B$205,0))&amp;"")</f>
        <v/>
      </c>
      <c r="E819" s="94" t="str">
        <f>IF(OR(R819=0,V819=0),"",INDEX('CAD_RESÍDUOS'!$C$6:$C$205,MATCH(C819,'CAD_RESÍDUOS'!$B$6:$B$205,0))&amp;"")</f>
        <v/>
      </c>
      <c r="F819" s="94" t="str">
        <f>IF(OR(R819=0,V819=0),"",INDEX('CAD_RESÍDUOS'!$G$6:$G$205,MATCH(C819,'CAD_RESÍDUOS'!$B$6:$B$205,0))&amp;"")</f>
        <v/>
      </c>
      <c r="G819" s="98" t="n"/>
      <c r="H819" s="91" t="n"/>
      <c r="I819" s="93" t="str">
        <f>IF(R819=0,"",IF(NOT(ISNUMBER(G819)),"",IF(ISNUMBER(X819),G819*X819,"UNIDADE A CONFERIR")))</f>
        <v/>
      </c>
      <c r="J819" s="91" t="n"/>
      <c r="K819" s="91" t="n"/>
      <c r="L819" s="93" t="str">
        <f>IF(R819=0,"",SUMIFS('RECEBIMENTOS'!$H$6:$H$1005,'RECEBIMENTOS'!$R$6:$R$1005,A819,'RECEBIMENTOS'!$X$6:$X$1005,1))</f>
        <v/>
      </c>
      <c r="M819" s="93" t="str">
        <f>IF(R819=0,"",SUMIFS('VÍNCULOS_CDF'!$H$6:$H$1005,'VÍNCULOS_CDF'!$R$6:$R$1005,A819,'VÍNCULOS_CDF'!$V$6:$V$1005,1))</f>
        <v/>
      </c>
      <c r="N819" s="99" t="str">
        <f>IF(OR(R819=0,AA819=0,NOT(ISNUMBER(I819))),"",I819-N(L819))</f>
        <v/>
      </c>
      <c r="O819" s="100" t="str">
        <f>IF(OR(R819=0,AK819&lt;=0),"",N(M819)/AK819)</f>
        <v/>
      </c>
      <c r="P819" s="94" t="str">
        <f>IF(R819=0,"",IF(S819="","Sem MTR associado",IF(U819=0,"MTR inexistente",IF(C819="","Resíduo não identificado",IF(V819=0,"Resíduo fora do cadastro",IF(W819=0,"Quantidade inválida",IF(H819="","Unidade não informada",IF(NOT(ISNUMBER(I819)),"Unidade a conferir",IF(AND(AH819=1,K819&lt;&gt;"Sim"),"Possível duplicidade",IF(Z819=1,"MTR cancelado",IF(AC819&gt;0,"Recebimento com alerta",IF(AA819=0,"Aguardando recebimento",IF(AB819&lt;AA819,"Recebimento a conferir",IF(AM819=1,"Quantidade a revisar",IF(AF819&gt;0,"Vínculo a revisar",IF(AD819=0,"Aguardando CDF",IF(AN819=0,"Vínculo de CDF parcial",IF(AE819&lt;AD819,"CDF a conferir","Documentação conferida"))))))))))))))))))</f>
        <v/>
      </c>
      <c r="Q819" s="93" t="str">
        <f>IF(OR(R819=0,AA819=0),"",MAX(0,N(L819)-N(M819)))</f>
        <v/>
      </c>
      <c r="R819" s="96">
        <f>IF(COUNTA(B819:C819,G819:H819,J819:K819)&gt;0,1,0)</f>
        <v>0</v>
      </c>
      <c r="S819" s="96" t="str">
        <f>IF(B819="","",TRIM(LEFT(B819,FIND(" |",B819&amp;" |")-1)))</f>
        <v/>
      </c>
      <c r="T819" s="96" t="str">
        <f>IF(S819="","",IFERROR(MATCH(S819,'MTRs'!$A$6:$A$505,0),""))</f>
        <v/>
      </c>
      <c r="U819" s="96">
        <f>IF(T819="",0,IF(INDEX('MTRs'!$Z$6:$Z$505,T819)=1,1,0))</f>
        <v>0</v>
      </c>
      <c r="V819" s="96">
        <f>IF(C819="",0,IF(ISNUMBER(MATCH(C819,'CAD_RESÍDUOS'!$B$6:$B$205,0)),1,0))</f>
        <v>0</v>
      </c>
      <c r="W819" s="96">
        <f>IF(AND(ISNUMBER(G819),G819&gt;0),1,0)</f>
        <v>0</v>
      </c>
      <c r="X819" s="96" t="str">
        <f>IF(H819="","",IFERROR(IF(ISNUMBER(INDEX(cfg_fac,MATCH(H819,cfg_units,0))),IF(INDEX(cfg_fac,MATCH(H819,cfg_units,0))&gt;0,INDEX(cfg_fac,MATCH(H819,cfg_units,0)),""),""),""))</f>
        <v/>
      </c>
      <c r="Y819" s="96">
        <f>IF(AND(W819=1,ISNUMBER(I819)),1,0)</f>
        <v>0</v>
      </c>
      <c r="Z819" s="96">
        <f>IF(U819=1,INDEX('MTRs'!$AA$6:$AA$505,T819),0)</f>
        <v>0</v>
      </c>
      <c r="AA819" s="96">
        <f>IF(R819=0,0,COUNTIFS('RECEBIMENTOS'!$R$6:$R$1005,A819,'RECEBIMENTOS'!$Q$6:$Q$1005,1))</f>
        <v>0</v>
      </c>
      <c r="AB819" s="96">
        <f>IF(R819=0,0,COUNTIFS('RECEBIMENTOS'!$R$6:$R$1005,A819,'RECEBIMENTOS'!$Z$6:$Z$1005,1))</f>
        <v>0</v>
      </c>
      <c r="AC819" s="96">
        <f>IF(R819=0,0,COUNTIFS('RECEBIMENTOS'!$R$6:$R$1005,A819,'RECEBIMENTOS'!$Y$6:$Y$1005,1))</f>
        <v>0</v>
      </c>
      <c r="AD819" s="96">
        <f>IF(R819=0,0,COUNTIFS('VÍNCULOS_CDF'!$R$6:$R$1005,A819,'VÍNCULOS_CDF'!$N$6:$N$1005,1))</f>
        <v>0</v>
      </c>
      <c r="AE819" s="96">
        <f>IF(R819=0,0,COUNTIFS('VÍNCULOS_CDF'!$R$6:$R$1005,A819,'VÍNCULOS_CDF'!$AA$6:$AA$1005,1))</f>
        <v>0</v>
      </c>
      <c r="AF819" s="96">
        <f>IF(R819=0,0,COUNTIFS('VÍNCULOS_CDF'!$R$6:$R$1005,A819,'VÍNCULOS_CDF'!$Y$6:$Y$1005,1))</f>
        <v>0</v>
      </c>
      <c r="AG819" s="96" t="str">
        <f>IF(AND(R819=1,S819&lt;&gt;"",C819&lt;&gt;""),S819&amp;"|"&amp;C819&amp;"|"&amp;G819&amp;"|"&amp;H819,"")</f>
        <v/>
      </c>
      <c r="AH819" s="96">
        <f>IF(AG819="",0,IF(SUMPRODUCT(--($AG$6:$AG$1005=AG819))&gt;1,1,0))</f>
        <v>0</v>
      </c>
      <c r="AI819" s="96">
        <f>IF(R819=0,0,IF(OR(U819=0,V819=0,Y819=0,AND(AH819=1,K819&lt;&gt;"Sim")),1,0))</f>
        <v>0</v>
      </c>
      <c r="AJ819" s="96">
        <f>IF(AND(R819=1,AA819&gt;0,AB819=AA819),1,0)</f>
        <v>0</v>
      </c>
      <c r="AK819" s="96">
        <f>IF(R819=0,0,IF(AA819&gt;0,N(L819),IF(ISNUMBER(I819),I819,0)))</f>
        <v>0</v>
      </c>
      <c r="AL819" s="96">
        <f>IF(R819=0,0,IF(AND(K819&lt;&gt;"Sim",N(M819)&gt;AK819+cfg_tol),1,0))</f>
        <v>0</v>
      </c>
      <c r="AM819" s="96">
        <f>IF(R819=0,0,IF(K819="Sim",0,IF(OR(AND(AA819&gt;0,ISNUMBER(I819),ABS(I819-N(L819))&gt;cfg_tol),AL819=1),1,0)))</f>
        <v>0</v>
      </c>
      <c r="AN819" s="96">
        <f>IF(AND(R819=1,N(M819)&gt;0,OR(N(M819)&gt;=AK819-cfg_tol,K819="Sim")),1,0)</f>
        <v>0</v>
      </c>
      <c r="AO819" s="96">
        <f>IF(AND(AN819=1,AD819&gt;0,AE819=AD819,AL819=0),1,0)</f>
        <v>0</v>
      </c>
      <c r="AP819" s="96">
        <f>IF(U819=0,0,IF(AND(INDEX('MTRs'!$AX$6:$AX$505,T819)=1,Z819=0,OR(f_res="",f_res="(Todos)",C819=f_res)),1,0))</f>
        <v>0</v>
      </c>
      <c r="AQ819" s="97" t="str">
        <f>IF(U819=0,"",INDEX('MTRs'!$AZ$6:$AZ$505,T819))</f>
        <v/>
      </c>
      <c r="AR819" s="96">
        <f>IF(U819=0,0,IF(AND(INDEX('MTRs'!$BA$6:$BA$505,T819)=1,Z819=0),1,0))</f>
        <v>0</v>
      </c>
      <c r="AS819" s="96" t="str">
        <f>IF(R819=1,A819&amp;" | MTR "&amp;IF(U819=1,INDEX('MTRs'!$B$6:$B$505,T819)&amp;"","?")&amp;" | "&amp;IF(C819="","(sem resíduo)",C819),"")</f>
        <v/>
      </c>
      <c r="AT819" s="96" t="str">
        <f>IF(R819=1,COUNTIF($R$6:R819,1),"")</f>
        <v/>
      </c>
      <c r="AU819" s="96" t="str">
        <f>IF(U819=1,INDEX('MTRs'!$I$6:$I$505,T819)&amp;"","")</f>
        <v/>
      </c>
    </row>
    <row r="820">
      <c r="A820" s="89" t="inlineStr">
        <is>
          <t>IT-000815</t>
        </is>
      </c>
      <c r="B820" s="91" t="n"/>
      <c r="C820" s="91" t="n"/>
      <c r="D820" s="94" t="str">
        <f>IF(OR(R820=0,V820=0),"",INDEX('CAD_RESÍDUOS'!$E$6:$E$205,MATCH(C820,'CAD_RESÍDUOS'!$B$6:$B$205,0))&amp;"")</f>
        <v/>
      </c>
      <c r="E820" s="94" t="str">
        <f>IF(OR(R820=0,V820=0),"",INDEX('CAD_RESÍDUOS'!$C$6:$C$205,MATCH(C820,'CAD_RESÍDUOS'!$B$6:$B$205,0))&amp;"")</f>
        <v/>
      </c>
      <c r="F820" s="94" t="str">
        <f>IF(OR(R820=0,V820=0),"",INDEX('CAD_RESÍDUOS'!$G$6:$G$205,MATCH(C820,'CAD_RESÍDUOS'!$B$6:$B$205,0))&amp;"")</f>
        <v/>
      </c>
      <c r="G820" s="98" t="n"/>
      <c r="H820" s="91" t="n"/>
      <c r="I820" s="93" t="str">
        <f>IF(R820=0,"",IF(NOT(ISNUMBER(G820)),"",IF(ISNUMBER(X820),G820*X820,"UNIDADE A CONFERIR")))</f>
        <v/>
      </c>
      <c r="J820" s="91" t="n"/>
      <c r="K820" s="91" t="n"/>
      <c r="L820" s="93" t="str">
        <f>IF(R820=0,"",SUMIFS('RECEBIMENTOS'!$H$6:$H$1005,'RECEBIMENTOS'!$R$6:$R$1005,A820,'RECEBIMENTOS'!$X$6:$X$1005,1))</f>
        <v/>
      </c>
      <c r="M820" s="93" t="str">
        <f>IF(R820=0,"",SUMIFS('VÍNCULOS_CDF'!$H$6:$H$1005,'VÍNCULOS_CDF'!$R$6:$R$1005,A820,'VÍNCULOS_CDF'!$V$6:$V$1005,1))</f>
        <v/>
      </c>
      <c r="N820" s="99" t="str">
        <f>IF(OR(R820=0,AA820=0,NOT(ISNUMBER(I820))),"",I820-N(L820))</f>
        <v/>
      </c>
      <c r="O820" s="100" t="str">
        <f>IF(OR(R820=0,AK820&lt;=0),"",N(M820)/AK820)</f>
        <v/>
      </c>
      <c r="P820" s="94" t="str">
        <f>IF(R820=0,"",IF(S820="","Sem MTR associado",IF(U820=0,"MTR inexistente",IF(C820="","Resíduo não identificado",IF(V820=0,"Resíduo fora do cadastro",IF(W820=0,"Quantidade inválida",IF(H820="","Unidade não informada",IF(NOT(ISNUMBER(I820)),"Unidade a conferir",IF(AND(AH820=1,K820&lt;&gt;"Sim"),"Possível duplicidade",IF(Z820=1,"MTR cancelado",IF(AC820&gt;0,"Recebimento com alerta",IF(AA820=0,"Aguardando recebimento",IF(AB820&lt;AA820,"Recebimento a conferir",IF(AM820=1,"Quantidade a revisar",IF(AF820&gt;0,"Vínculo a revisar",IF(AD820=0,"Aguardando CDF",IF(AN820=0,"Vínculo de CDF parcial",IF(AE820&lt;AD820,"CDF a conferir","Documentação conferida"))))))))))))))))))</f>
        <v/>
      </c>
      <c r="Q820" s="93" t="str">
        <f>IF(OR(R820=0,AA820=0),"",MAX(0,N(L820)-N(M820)))</f>
        <v/>
      </c>
      <c r="R820" s="96">
        <f>IF(COUNTA(B820:C820,G820:H820,J820:K820)&gt;0,1,0)</f>
        <v>0</v>
      </c>
      <c r="S820" s="96" t="str">
        <f>IF(B820="","",TRIM(LEFT(B820,FIND(" |",B820&amp;" |")-1)))</f>
        <v/>
      </c>
      <c r="T820" s="96" t="str">
        <f>IF(S820="","",IFERROR(MATCH(S820,'MTRs'!$A$6:$A$505,0),""))</f>
        <v/>
      </c>
      <c r="U820" s="96">
        <f>IF(T820="",0,IF(INDEX('MTRs'!$Z$6:$Z$505,T820)=1,1,0))</f>
        <v>0</v>
      </c>
      <c r="V820" s="96">
        <f>IF(C820="",0,IF(ISNUMBER(MATCH(C820,'CAD_RESÍDUOS'!$B$6:$B$205,0)),1,0))</f>
        <v>0</v>
      </c>
      <c r="W820" s="96">
        <f>IF(AND(ISNUMBER(G820),G820&gt;0),1,0)</f>
        <v>0</v>
      </c>
      <c r="X820" s="96" t="str">
        <f>IF(H820="","",IFERROR(IF(ISNUMBER(INDEX(cfg_fac,MATCH(H820,cfg_units,0))),IF(INDEX(cfg_fac,MATCH(H820,cfg_units,0))&gt;0,INDEX(cfg_fac,MATCH(H820,cfg_units,0)),""),""),""))</f>
        <v/>
      </c>
      <c r="Y820" s="96">
        <f>IF(AND(W820=1,ISNUMBER(I820)),1,0)</f>
        <v>0</v>
      </c>
      <c r="Z820" s="96">
        <f>IF(U820=1,INDEX('MTRs'!$AA$6:$AA$505,T820),0)</f>
        <v>0</v>
      </c>
      <c r="AA820" s="96">
        <f>IF(R820=0,0,COUNTIFS('RECEBIMENTOS'!$R$6:$R$1005,A820,'RECEBIMENTOS'!$Q$6:$Q$1005,1))</f>
        <v>0</v>
      </c>
      <c r="AB820" s="96">
        <f>IF(R820=0,0,COUNTIFS('RECEBIMENTOS'!$R$6:$R$1005,A820,'RECEBIMENTOS'!$Z$6:$Z$1005,1))</f>
        <v>0</v>
      </c>
      <c r="AC820" s="96">
        <f>IF(R820=0,0,COUNTIFS('RECEBIMENTOS'!$R$6:$R$1005,A820,'RECEBIMENTOS'!$Y$6:$Y$1005,1))</f>
        <v>0</v>
      </c>
      <c r="AD820" s="96">
        <f>IF(R820=0,0,COUNTIFS('VÍNCULOS_CDF'!$R$6:$R$1005,A820,'VÍNCULOS_CDF'!$N$6:$N$1005,1))</f>
        <v>0</v>
      </c>
      <c r="AE820" s="96">
        <f>IF(R820=0,0,COUNTIFS('VÍNCULOS_CDF'!$R$6:$R$1005,A820,'VÍNCULOS_CDF'!$AA$6:$AA$1005,1))</f>
        <v>0</v>
      </c>
      <c r="AF820" s="96">
        <f>IF(R820=0,0,COUNTIFS('VÍNCULOS_CDF'!$R$6:$R$1005,A820,'VÍNCULOS_CDF'!$Y$6:$Y$1005,1))</f>
        <v>0</v>
      </c>
      <c r="AG820" s="96" t="str">
        <f>IF(AND(R820=1,S820&lt;&gt;"",C820&lt;&gt;""),S820&amp;"|"&amp;C820&amp;"|"&amp;G820&amp;"|"&amp;H820,"")</f>
        <v/>
      </c>
      <c r="AH820" s="96">
        <f>IF(AG820="",0,IF(SUMPRODUCT(--($AG$6:$AG$1005=AG820))&gt;1,1,0))</f>
        <v>0</v>
      </c>
      <c r="AI820" s="96">
        <f>IF(R820=0,0,IF(OR(U820=0,V820=0,Y820=0,AND(AH820=1,K820&lt;&gt;"Sim")),1,0))</f>
        <v>0</v>
      </c>
      <c r="AJ820" s="96">
        <f>IF(AND(R820=1,AA820&gt;0,AB820=AA820),1,0)</f>
        <v>0</v>
      </c>
      <c r="AK820" s="96">
        <f>IF(R820=0,0,IF(AA820&gt;0,N(L820),IF(ISNUMBER(I820),I820,0)))</f>
        <v>0</v>
      </c>
      <c r="AL820" s="96">
        <f>IF(R820=0,0,IF(AND(K820&lt;&gt;"Sim",N(M820)&gt;AK820+cfg_tol),1,0))</f>
        <v>0</v>
      </c>
      <c r="AM820" s="96">
        <f>IF(R820=0,0,IF(K820="Sim",0,IF(OR(AND(AA820&gt;0,ISNUMBER(I820),ABS(I820-N(L820))&gt;cfg_tol),AL820=1),1,0)))</f>
        <v>0</v>
      </c>
      <c r="AN820" s="96">
        <f>IF(AND(R820=1,N(M820)&gt;0,OR(N(M820)&gt;=AK820-cfg_tol,K820="Sim")),1,0)</f>
        <v>0</v>
      </c>
      <c r="AO820" s="96">
        <f>IF(AND(AN820=1,AD820&gt;0,AE820=AD820,AL820=0),1,0)</f>
        <v>0</v>
      </c>
      <c r="AP820" s="96">
        <f>IF(U820=0,0,IF(AND(INDEX('MTRs'!$AX$6:$AX$505,T820)=1,Z820=0,OR(f_res="",f_res="(Todos)",C820=f_res)),1,0))</f>
        <v>0</v>
      </c>
      <c r="AQ820" s="97" t="str">
        <f>IF(U820=0,"",INDEX('MTRs'!$AZ$6:$AZ$505,T820))</f>
        <v/>
      </c>
      <c r="AR820" s="96">
        <f>IF(U820=0,0,IF(AND(INDEX('MTRs'!$BA$6:$BA$505,T820)=1,Z820=0),1,0))</f>
        <v>0</v>
      </c>
      <c r="AS820" s="96" t="str">
        <f>IF(R820=1,A820&amp;" | MTR "&amp;IF(U820=1,INDEX('MTRs'!$B$6:$B$505,T820)&amp;"","?")&amp;" | "&amp;IF(C820="","(sem resíduo)",C820),"")</f>
        <v/>
      </c>
      <c r="AT820" s="96" t="str">
        <f>IF(R820=1,COUNTIF($R$6:R820,1),"")</f>
        <v/>
      </c>
      <c r="AU820" s="96" t="str">
        <f>IF(U820=1,INDEX('MTRs'!$I$6:$I$505,T820)&amp;"","")</f>
        <v/>
      </c>
    </row>
    <row r="821">
      <c r="A821" s="89" t="inlineStr">
        <is>
          <t>IT-000816</t>
        </is>
      </c>
      <c r="B821" s="91" t="n"/>
      <c r="C821" s="91" t="n"/>
      <c r="D821" s="94" t="str">
        <f>IF(OR(R821=0,V821=0),"",INDEX('CAD_RESÍDUOS'!$E$6:$E$205,MATCH(C821,'CAD_RESÍDUOS'!$B$6:$B$205,0))&amp;"")</f>
        <v/>
      </c>
      <c r="E821" s="94" t="str">
        <f>IF(OR(R821=0,V821=0),"",INDEX('CAD_RESÍDUOS'!$C$6:$C$205,MATCH(C821,'CAD_RESÍDUOS'!$B$6:$B$205,0))&amp;"")</f>
        <v/>
      </c>
      <c r="F821" s="94" t="str">
        <f>IF(OR(R821=0,V821=0),"",INDEX('CAD_RESÍDUOS'!$G$6:$G$205,MATCH(C821,'CAD_RESÍDUOS'!$B$6:$B$205,0))&amp;"")</f>
        <v/>
      </c>
      <c r="G821" s="98" t="n"/>
      <c r="H821" s="91" t="n"/>
      <c r="I821" s="93" t="str">
        <f>IF(R821=0,"",IF(NOT(ISNUMBER(G821)),"",IF(ISNUMBER(X821),G821*X821,"UNIDADE A CONFERIR")))</f>
        <v/>
      </c>
      <c r="J821" s="91" t="n"/>
      <c r="K821" s="91" t="n"/>
      <c r="L821" s="93" t="str">
        <f>IF(R821=0,"",SUMIFS('RECEBIMENTOS'!$H$6:$H$1005,'RECEBIMENTOS'!$R$6:$R$1005,A821,'RECEBIMENTOS'!$X$6:$X$1005,1))</f>
        <v/>
      </c>
      <c r="M821" s="93" t="str">
        <f>IF(R821=0,"",SUMIFS('VÍNCULOS_CDF'!$H$6:$H$1005,'VÍNCULOS_CDF'!$R$6:$R$1005,A821,'VÍNCULOS_CDF'!$V$6:$V$1005,1))</f>
        <v/>
      </c>
      <c r="N821" s="99" t="str">
        <f>IF(OR(R821=0,AA821=0,NOT(ISNUMBER(I821))),"",I821-N(L821))</f>
        <v/>
      </c>
      <c r="O821" s="100" t="str">
        <f>IF(OR(R821=0,AK821&lt;=0),"",N(M821)/AK821)</f>
        <v/>
      </c>
      <c r="P821" s="94" t="str">
        <f>IF(R821=0,"",IF(S821="","Sem MTR associado",IF(U821=0,"MTR inexistente",IF(C821="","Resíduo não identificado",IF(V821=0,"Resíduo fora do cadastro",IF(W821=0,"Quantidade inválida",IF(H821="","Unidade não informada",IF(NOT(ISNUMBER(I821)),"Unidade a conferir",IF(AND(AH821=1,K821&lt;&gt;"Sim"),"Possível duplicidade",IF(Z821=1,"MTR cancelado",IF(AC821&gt;0,"Recebimento com alerta",IF(AA821=0,"Aguardando recebimento",IF(AB821&lt;AA821,"Recebimento a conferir",IF(AM821=1,"Quantidade a revisar",IF(AF821&gt;0,"Vínculo a revisar",IF(AD821=0,"Aguardando CDF",IF(AN821=0,"Vínculo de CDF parcial",IF(AE821&lt;AD821,"CDF a conferir","Documentação conferida"))))))))))))))))))</f>
        <v/>
      </c>
      <c r="Q821" s="93" t="str">
        <f>IF(OR(R821=0,AA821=0),"",MAX(0,N(L821)-N(M821)))</f>
        <v/>
      </c>
      <c r="R821" s="96">
        <f>IF(COUNTA(B821:C821,G821:H821,J821:K821)&gt;0,1,0)</f>
        <v>0</v>
      </c>
      <c r="S821" s="96" t="str">
        <f>IF(B821="","",TRIM(LEFT(B821,FIND(" |",B821&amp;" |")-1)))</f>
        <v/>
      </c>
      <c r="T821" s="96" t="str">
        <f>IF(S821="","",IFERROR(MATCH(S821,'MTRs'!$A$6:$A$505,0),""))</f>
        <v/>
      </c>
      <c r="U821" s="96">
        <f>IF(T821="",0,IF(INDEX('MTRs'!$Z$6:$Z$505,T821)=1,1,0))</f>
        <v>0</v>
      </c>
      <c r="V821" s="96">
        <f>IF(C821="",0,IF(ISNUMBER(MATCH(C821,'CAD_RESÍDUOS'!$B$6:$B$205,0)),1,0))</f>
        <v>0</v>
      </c>
      <c r="W821" s="96">
        <f>IF(AND(ISNUMBER(G821),G821&gt;0),1,0)</f>
        <v>0</v>
      </c>
      <c r="X821" s="96" t="str">
        <f>IF(H821="","",IFERROR(IF(ISNUMBER(INDEX(cfg_fac,MATCH(H821,cfg_units,0))),IF(INDEX(cfg_fac,MATCH(H821,cfg_units,0))&gt;0,INDEX(cfg_fac,MATCH(H821,cfg_units,0)),""),""),""))</f>
        <v/>
      </c>
      <c r="Y821" s="96">
        <f>IF(AND(W821=1,ISNUMBER(I821)),1,0)</f>
        <v>0</v>
      </c>
      <c r="Z821" s="96">
        <f>IF(U821=1,INDEX('MTRs'!$AA$6:$AA$505,T821),0)</f>
        <v>0</v>
      </c>
      <c r="AA821" s="96">
        <f>IF(R821=0,0,COUNTIFS('RECEBIMENTOS'!$R$6:$R$1005,A821,'RECEBIMENTOS'!$Q$6:$Q$1005,1))</f>
        <v>0</v>
      </c>
      <c r="AB821" s="96">
        <f>IF(R821=0,0,COUNTIFS('RECEBIMENTOS'!$R$6:$R$1005,A821,'RECEBIMENTOS'!$Z$6:$Z$1005,1))</f>
        <v>0</v>
      </c>
      <c r="AC821" s="96">
        <f>IF(R821=0,0,COUNTIFS('RECEBIMENTOS'!$R$6:$R$1005,A821,'RECEBIMENTOS'!$Y$6:$Y$1005,1))</f>
        <v>0</v>
      </c>
      <c r="AD821" s="96">
        <f>IF(R821=0,0,COUNTIFS('VÍNCULOS_CDF'!$R$6:$R$1005,A821,'VÍNCULOS_CDF'!$N$6:$N$1005,1))</f>
        <v>0</v>
      </c>
      <c r="AE821" s="96">
        <f>IF(R821=0,0,COUNTIFS('VÍNCULOS_CDF'!$R$6:$R$1005,A821,'VÍNCULOS_CDF'!$AA$6:$AA$1005,1))</f>
        <v>0</v>
      </c>
      <c r="AF821" s="96">
        <f>IF(R821=0,0,COUNTIFS('VÍNCULOS_CDF'!$R$6:$R$1005,A821,'VÍNCULOS_CDF'!$Y$6:$Y$1005,1))</f>
        <v>0</v>
      </c>
      <c r="AG821" s="96" t="str">
        <f>IF(AND(R821=1,S821&lt;&gt;"",C821&lt;&gt;""),S821&amp;"|"&amp;C821&amp;"|"&amp;G821&amp;"|"&amp;H821,"")</f>
        <v/>
      </c>
      <c r="AH821" s="96">
        <f>IF(AG821="",0,IF(SUMPRODUCT(--($AG$6:$AG$1005=AG821))&gt;1,1,0))</f>
        <v>0</v>
      </c>
      <c r="AI821" s="96">
        <f>IF(R821=0,0,IF(OR(U821=0,V821=0,Y821=0,AND(AH821=1,K821&lt;&gt;"Sim")),1,0))</f>
        <v>0</v>
      </c>
      <c r="AJ821" s="96">
        <f>IF(AND(R821=1,AA821&gt;0,AB821=AA821),1,0)</f>
        <v>0</v>
      </c>
      <c r="AK821" s="96">
        <f>IF(R821=0,0,IF(AA821&gt;0,N(L821),IF(ISNUMBER(I821),I821,0)))</f>
        <v>0</v>
      </c>
      <c r="AL821" s="96">
        <f>IF(R821=0,0,IF(AND(K821&lt;&gt;"Sim",N(M821)&gt;AK821+cfg_tol),1,0))</f>
        <v>0</v>
      </c>
      <c r="AM821" s="96">
        <f>IF(R821=0,0,IF(K821="Sim",0,IF(OR(AND(AA821&gt;0,ISNUMBER(I821),ABS(I821-N(L821))&gt;cfg_tol),AL821=1),1,0)))</f>
        <v>0</v>
      </c>
      <c r="AN821" s="96">
        <f>IF(AND(R821=1,N(M821)&gt;0,OR(N(M821)&gt;=AK821-cfg_tol,K821="Sim")),1,0)</f>
        <v>0</v>
      </c>
      <c r="AO821" s="96">
        <f>IF(AND(AN821=1,AD821&gt;0,AE821=AD821,AL821=0),1,0)</f>
        <v>0</v>
      </c>
      <c r="AP821" s="96">
        <f>IF(U821=0,0,IF(AND(INDEX('MTRs'!$AX$6:$AX$505,T821)=1,Z821=0,OR(f_res="",f_res="(Todos)",C821=f_res)),1,0))</f>
        <v>0</v>
      </c>
      <c r="AQ821" s="97" t="str">
        <f>IF(U821=0,"",INDEX('MTRs'!$AZ$6:$AZ$505,T821))</f>
        <v/>
      </c>
      <c r="AR821" s="96">
        <f>IF(U821=0,0,IF(AND(INDEX('MTRs'!$BA$6:$BA$505,T821)=1,Z821=0),1,0))</f>
        <v>0</v>
      </c>
      <c r="AS821" s="96" t="str">
        <f>IF(R821=1,A821&amp;" | MTR "&amp;IF(U821=1,INDEX('MTRs'!$B$6:$B$505,T821)&amp;"","?")&amp;" | "&amp;IF(C821="","(sem resíduo)",C821),"")</f>
        <v/>
      </c>
      <c r="AT821" s="96" t="str">
        <f>IF(R821=1,COUNTIF($R$6:R821,1),"")</f>
        <v/>
      </c>
      <c r="AU821" s="96" t="str">
        <f>IF(U821=1,INDEX('MTRs'!$I$6:$I$505,T821)&amp;"","")</f>
        <v/>
      </c>
    </row>
    <row r="822">
      <c r="A822" s="89" t="inlineStr">
        <is>
          <t>IT-000817</t>
        </is>
      </c>
      <c r="B822" s="91" t="n"/>
      <c r="C822" s="91" t="n"/>
      <c r="D822" s="94" t="str">
        <f>IF(OR(R822=0,V822=0),"",INDEX('CAD_RESÍDUOS'!$E$6:$E$205,MATCH(C822,'CAD_RESÍDUOS'!$B$6:$B$205,0))&amp;"")</f>
        <v/>
      </c>
      <c r="E822" s="94" t="str">
        <f>IF(OR(R822=0,V822=0),"",INDEX('CAD_RESÍDUOS'!$C$6:$C$205,MATCH(C822,'CAD_RESÍDUOS'!$B$6:$B$205,0))&amp;"")</f>
        <v/>
      </c>
      <c r="F822" s="94" t="str">
        <f>IF(OR(R822=0,V822=0),"",INDEX('CAD_RESÍDUOS'!$G$6:$G$205,MATCH(C822,'CAD_RESÍDUOS'!$B$6:$B$205,0))&amp;"")</f>
        <v/>
      </c>
      <c r="G822" s="98" t="n"/>
      <c r="H822" s="91" t="n"/>
      <c r="I822" s="93" t="str">
        <f>IF(R822=0,"",IF(NOT(ISNUMBER(G822)),"",IF(ISNUMBER(X822),G822*X822,"UNIDADE A CONFERIR")))</f>
        <v/>
      </c>
      <c r="J822" s="91" t="n"/>
      <c r="K822" s="91" t="n"/>
      <c r="L822" s="93" t="str">
        <f>IF(R822=0,"",SUMIFS('RECEBIMENTOS'!$H$6:$H$1005,'RECEBIMENTOS'!$R$6:$R$1005,A822,'RECEBIMENTOS'!$X$6:$X$1005,1))</f>
        <v/>
      </c>
      <c r="M822" s="93" t="str">
        <f>IF(R822=0,"",SUMIFS('VÍNCULOS_CDF'!$H$6:$H$1005,'VÍNCULOS_CDF'!$R$6:$R$1005,A822,'VÍNCULOS_CDF'!$V$6:$V$1005,1))</f>
        <v/>
      </c>
      <c r="N822" s="99" t="str">
        <f>IF(OR(R822=0,AA822=0,NOT(ISNUMBER(I822))),"",I822-N(L822))</f>
        <v/>
      </c>
      <c r="O822" s="100" t="str">
        <f>IF(OR(R822=0,AK822&lt;=0),"",N(M822)/AK822)</f>
        <v/>
      </c>
      <c r="P822" s="94" t="str">
        <f>IF(R822=0,"",IF(S822="","Sem MTR associado",IF(U822=0,"MTR inexistente",IF(C822="","Resíduo não identificado",IF(V822=0,"Resíduo fora do cadastro",IF(W822=0,"Quantidade inválida",IF(H822="","Unidade não informada",IF(NOT(ISNUMBER(I822)),"Unidade a conferir",IF(AND(AH822=1,K822&lt;&gt;"Sim"),"Possível duplicidade",IF(Z822=1,"MTR cancelado",IF(AC822&gt;0,"Recebimento com alerta",IF(AA822=0,"Aguardando recebimento",IF(AB822&lt;AA822,"Recebimento a conferir",IF(AM822=1,"Quantidade a revisar",IF(AF822&gt;0,"Vínculo a revisar",IF(AD822=0,"Aguardando CDF",IF(AN822=0,"Vínculo de CDF parcial",IF(AE822&lt;AD822,"CDF a conferir","Documentação conferida"))))))))))))))))))</f>
        <v/>
      </c>
      <c r="Q822" s="93" t="str">
        <f>IF(OR(R822=0,AA822=0),"",MAX(0,N(L822)-N(M822)))</f>
        <v/>
      </c>
      <c r="R822" s="96">
        <f>IF(COUNTA(B822:C822,G822:H822,J822:K822)&gt;0,1,0)</f>
        <v>0</v>
      </c>
      <c r="S822" s="96" t="str">
        <f>IF(B822="","",TRIM(LEFT(B822,FIND(" |",B822&amp;" |")-1)))</f>
        <v/>
      </c>
      <c r="T822" s="96" t="str">
        <f>IF(S822="","",IFERROR(MATCH(S822,'MTRs'!$A$6:$A$505,0),""))</f>
        <v/>
      </c>
      <c r="U822" s="96">
        <f>IF(T822="",0,IF(INDEX('MTRs'!$Z$6:$Z$505,T822)=1,1,0))</f>
        <v>0</v>
      </c>
      <c r="V822" s="96">
        <f>IF(C822="",0,IF(ISNUMBER(MATCH(C822,'CAD_RESÍDUOS'!$B$6:$B$205,0)),1,0))</f>
        <v>0</v>
      </c>
      <c r="W822" s="96">
        <f>IF(AND(ISNUMBER(G822),G822&gt;0),1,0)</f>
        <v>0</v>
      </c>
      <c r="X822" s="96" t="str">
        <f>IF(H822="","",IFERROR(IF(ISNUMBER(INDEX(cfg_fac,MATCH(H822,cfg_units,0))),IF(INDEX(cfg_fac,MATCH(H822,cfg_units,0))&gt;0,INDEX(cfg_fac,MATCH(H822,cfg_units,0)),""),""),""))</f>
        <v/>
      </c>
      <c r="Y822" s="96">
        <f>IF(AND(W822=1,ISNUMBER(I822)),1,0)</f>
        <v>0</v>
      </c>
      <c r="Z822" s="96">
        <f>IF(U822=1,INDEX('MTRs'!$AA$6:$AA$505,T822),0)</f>
        <v>0</v>
      </c>
      <c r="AA822" s="96">
        <f>IF(R822=0,0,COUNTIFS('RECEBIMENTOS'!$R$6:$R$1005,A822,'RECEBIMENTOS'!$Q$6:$Q$1005,1))</f>
        <v>0</v>
      </c>
      <c r="AB822" s="96">
        <f>IF(R822=0,0,COUNTIFS('RECEBIMENTOS'!$R$6:$R$1005,A822,'RECEBIMENTOS'!$Z$6:$Z$1005,1))</f>
        <v>0</v>
      </c>
      <c r="AC822" s="96">
        <f>IF(R822=0,0,COUNTIFS('RECEBIMENTOS'!$R$6:$R$1005,A822,'RECEBIMENTOS'!$Y$6:$Y$1005,1))</f>
        <v>0</v>
      </c>
      <c r="AD822" s="96">
        <f>IF(R822=0,0,COUNTIFS('VÍNCULOS_CDF'!$R$6:$R$1005,A822,'VÍNCULOS_CDF'!$N$6:$N$1005,1))</f>
        <v>0</v>
      </c>
      <c r="AE822" s="96">
        <f>IF(R822=0,0,COUNTIFS('VÍNCULOS_CDF'!$R$6:$R$1005,A822,'VÍNCULOS_CDF'!$AA$6:$AA$1005,1))</f>
        <v>0</v>
      </c>
      <c r="AF822" s="96">
        <f>IF(R822=0,0,COUNTIFS('VÍNCULOS_CDF'!$R$6:$R$1005,A822,'VÍNCULOS_CDF'!$Y$6:$Y$1005,1))</f>
        <v>0</v>
      </c>
      <c r="AG822" s="96" t="str">
        <f>IF(AND(R822=1,S822&lt;&gt;"",C822&lt;&gt;""),S822&amp;"|"&amp;C822&amp;"|"&amp;G822&amp;"|"&amp;H822,"")</f>
        <v/>
      </c>
      <c r="AH822" s="96">
        <f>IF(AG822="",0,IF(SUMPRODUCT(--($AG$6:$AG$1005=AG822))&gt;1,1,0))</f>
        <v>0</v>
      </c>
      <c r="AI822" s="96">
        <f>IF(R822=0,0,IF(OR(U822=0,V822=0,Y822=0,AND(AH822=1,K822&lt;&gt;"Sim")),1,0))</f>
        <v>0</v>
      </c>
      <c r="AJ822" s="96">
        <f>IF(AND(R822=1,AA822&gt;0,AB822=AA822),1,0)</f>
        <v>0</v>
      </c>
      <c r="AK822" s="96">
        <f>IF(R822=0,0,IF(AA822&gt;0,N(L822),IF(ISNUMBER(I822),I822,0)))</f>
        <v>0</v>
      </c>
      <c r="AL822" s="96">
        <f>IF(R822=0,0,IF(AND(K822&lt;&gt;"Sim",N(M822)&gt;AK822+cfg_tol),1,0))</f>
        <v>0</v>
      </c>
      <c r="AM822" s="96">
        <f>IF(R822=0,0,IF(K822="Sim",0,IF(OR(AND(AA822&gt;0,ISNUMBER(I822),ABS(I822-N(L822))&gt;cfg_tol),AL822=1),1,0)))</f>
        <v>0</v>
      </c>
      <c r="AN822" s="96">
        <f>IF(AND(R822=1,N(M822)&gt;0,OR(N(M822)&gt;=AK822-cfg_tol,K822="Sim")),1,0)</f>
        <v>0</v>
      </c>
      <c r="AO822" s="96">
        <f>IF(AND(AN822=1,AD822&gt;0,AE822=AD822,AL822=0),1,0)</f>
        <v>0</v>
      </c>
      <c r="AP822" s="96">
        <f>IF(U822=0,0,IF(AND(INDEX('MTRs'!$AX$6:$AX$505,T822)=1,Z822=0,OR(f_res="",f_res="(Todos)",C822=f_res)),1,0))</f>
        <v>0</v>
      </c>
      <c r="AQ822" s="97" t="str">
        <f>IF(U822=0,"",INDEX('MTRs'!$AZ$6:$AZ$505,T822))</f>
        <v/>
      </c>
      <c r="AR822" s="96">
        <f>IF(U822=0,0,IF(AND(INDEX('MTRs'!$BA$6:$BA$505,T822)=1,Z822=0),1,0))</f>
        <v>0</v>
      </c>
      <c r="AS822" s="96" t="str">
        <f>IF(R822=1,A822&amp;" | MTR "&amp;IF(U822=1,INDEX('MTRs'!$B$6:$B$505,T822)&amp;"","?")&amp;" | "&amp;IF(C822="","(sem resíduo)",C822),"")</f>
        <v/>
      </c>
      <c r="AT822" s="96" t="str">
        <f>IF(R822=1,COUNTIF($R$6:R822,1),"")</f>
        <v/>
      </c>
      <c r="AU822" s="96" t="str">
        <f>IF(U822=1,INDEX('MTRs'!$I$6:$I$505,T822)&amp;"","")</f>
        <v/>
      </c>
    </row>
    <row r="823">
      <c r="A823" s="89" t="inlineStr">
        <is>
          <t>IT-000818</t>
        </is>
      </c>
      <c r="B823" s="91" t="n"/>
      <c r="C823" s="91" t="n"/>
      <c r="D823" s="94" t="str">
        <f>IF(OR(R823=0,V823=0),"",INDEX('CAD_RESÍDUOS'!$E$6:$E$205,MATCH(C823,'CAD_RESÍDUOS'!$B$6:$B$205,0))&amp;"")</f>
        <v/>
      </c>
      <c r="E823" s="94" t="str">
        <f>IF(OR(R823=0,V823=0),"",INDEX('CAD_RESÍDUOS'!$C$6:$C$205,MATCH(C823,'CAD_RESÍDUOS'!$B$6:$B$205,0))&amp;"")</f>
        <v/>
      </c>
      <c r="F823" s="94" t="str">
        <f>IF(OR(R823=0,V823=0),"",INDEX('CAD_RESÍDUOS'!$G$6:$G$205,MATCH(C823,'CAD_RESÍDUOS'!$B$6:$B$205,0))&amp;"")</f>
        <v/>
      </c>
      <c r="G823" s="98" t="n"/>
      <c r="H823" s="91" t="n"/>
      <c r="I823" s="93" t="str">
        <f>IF(R823=0,"",IF(NOT(ISNUMBER(G823)),"",IF(ISNUMBER(X823),G823*X823,"UNIDADE A CONFERIR")))</f>
        <v/>
      </c>
      <c r="J823" s="91" t="n"/>
      <c r="K823" s="91" t="n"/>
      <c r="L823" s="93" t="str">
        <f>IF(R823=0,"",SUMIFS('RECEBIMENTOS'!$H$6:$H$1005,'RECEBIMENTOS'!$R$6:$R$1005,A823,'RECEBIMENTOS'!$X$6:$X$1005,1))</f>
        <v/>
      </c>
      <c r="M823" s="93" t="str">
        <f>IF(R823=0,"",SUMIFS('VÍNCULOS_CDF'!$H$6:$H$1005,'VÍNCULOS_CDF'!$R$6:$R$1005,A823,'VÍNCULOS_CDF'!$V$6:$V$1005,1))</f>
        <v/>
      </c>
      <c r="N823" s="99" t="str">
        <f>IF(OR(R823=0,AA823=0,NOT(ISNUMBER(I823))),"",I823-N(L823))</f>
        <v/>
      </c>
      <c r="O823" s="100" t="str">
        <f>IF(OR(R823=0,AK823&lt;=0),"",N(M823)/AK823)</f>
        <v/>
      </c>
      <c r="P823" s="94" t="str">
        <f>IF(R823=0,"",IF(S823="","Sem MTR associado",IF(U823=0,"MTR inexistente",IF(C823="","Resíduo não identificado",IF(V823=0,"Resíduo fora do cadastro",IF(W823=0,"Quantidade inválida",IF(H823="","Unidade não informada",IF(NOT(ISNUMBER(I823)),"Unidade a conferir",IF(AND(AH823=1,K823&lt;&gt;"Sim"),"Possível duplicidade",IF(Z823=1,"MTR cancelado",IF(AC823&gt;0,"Recebimento com alerta",IF(AA823=0,"Aguardando recebimento",IF(AB823&lt;AA823,"Recebimento a conferir",IF(AM823=1,"Quantidade a revisar",IF(AF823&gt;0,"Vínculo a revisar",IF(AD823=0,"Aguardando CDF",IF(AN823=0,"Vínculo de CDF parcial",IF(AE823&lt;AD823,"CDF a conferir","Documentação conferida"))))))))))))))))))</f>
        <v/>
      </c>
      <c r="Q823" s="93" t="str">
        <f>IF(OR(R823=0,AA823=0),"",MAX(0,N(L823)-N(M823)))</f>
        <v/>
      </c>
      <c r="R823" s="96">
        <f>IF(COUNTA(B823:C823,G823:H823,J823:K823)&gt;0,1,0)</f>
        <v>0</v>
      </c>
      <c r="S823" s="96" t="str">
        <f>IF(B823="","",TRIM(LEFT(B823,FIND(" |",B823&amp;" |")-1)))</f>
        <v/>
      </c>
      <c r="T823" s="96" t="str">
        <f>IF(S823="","",IFERROR(MATCH(S823,'MTRs'!$A$6:$A$505,0),""))</f>
        <v/>
      </c>
      <c r="U823" s="96">
        <f>IF(T823="",0,IF(INDEX('MTRs'!$Z$6:$Z$505,T823)=1,1,0))</f>
        <v>0</v>
      </c>
      <c r="V823" s="96">
        <f>IF(C823="",0,IF(ISNUMBER(MATCH(C823,'CAD_RESÍDUOS'!$B$6:$B$205,0)),1,0))</f>
        <v>0</v>
      </c>
      <c r="W823" s="96">
        <f>IF(AND(ISNUMBER(G823),G823&gt;0),1,0)</f>
        <v>0</v>
      </c>
      <c r="X823" s="96" t="str">
        <f>IF(H823="","",IFERROR(IF(ISNUMBER(INDEX(cfg_fac,MATCH(H823,cfg_units,0))),IF(INDEX(cfg_fac,MATCH(H823,cfg_units,0))&gt;0,INDEX(cfg_fac,MATCH(H823,cfg_units,0)),""),""),""))</f>
        <v/>
      </c>
      <c r="Y823" s="96">
        <f>IF(AND(W823=1,ISNUMBER(I823)),1,0)</f>
        <v>0</v>
      </c>
      <c r="Z823" s="96">
        <f>IF(U823=1,INDEX('MTRs'!$AA$6:$AA$505,T823),0)</f>
        <v>0</v>
      </c>
      <c r="AA823" s="96">
        <f>IF(R823=0,0,COUNTIFS('RECEBIMENTOS'!$R$6:$R$1005,A823,'RECEBIMENTOS'!$Q$6:$Q$1005,1))</f>
        <v>0</v>
      </c>
      <c r="AB823" s="96">
        <f>IF(R823=0,0,COUNTIFS('RECEBIMENTOS'!$R$6:$R$1005,A823,'RECEBIMENTOS'!$Z$6:$Z$1005,1))</f>
        <v>0</v>
      </c>
      <c r="AC823" s="96">
        <f>IF(R823=0,0,COUNTIFS('RECEBIMENTOS'!$R$6:$R$1005,A823,'RECEBIMENTOS'!$Y$6:$Y$1005,1))</f>
        <v>0</v>
      </c>
      <c r="AD823" s="96">
        <f>IF(R823=0,0,COUNTIFS('VÍNCULOS_CDF'!$R$6:$R$1005,A823,'VÍNCULOS_CDF'!$N$6:$N$1005,1))</f>
        <v>0</v>
      </c>
      <c r="AE823" s="96">
        <f>IF(R823=0,0,COUNTIFS('VÍNCULOS_CDF'!$R$6:$R$1005,A823,'VÍNCULOS_CDF'!$AA$6:$AA$1005,1))</f>
        <v>0</v>
      </c>
      <c r="AF823" s="96">
        <f>IF(R823=0,0,COUNTIFS('VÍNCULOS_CDF'!$R$6:$R$1005,A823,'VÍNCULOS_CDF'!$Y$6:$Y$1005,1))</f>
        <v>0</v>
      </c>
      <c r="AG823" s="96" t="str">
        <f>IF(AND(R823=1,S823&lt;&gt;"",C823&lt;&gt;""),S823&amp;"|"&amp;C823&amp;"|"&amp;G823&amp;"|"&amp;H823,"")</f>
        <v/>
      </c>
      <c r="AH823" s="96">
        <f>IF(AG823="",0,IF(SUMPRODUCT(--($AG$6:$AG$1005=AG823))&gt;1,1,0))</f>
        <v>0</v>
      </c>
      <c r="AI823" s="96">
        <f>IF(R823=0,0,IF(OR(U823=0,V823=0,Y823=0,AND(AH823=1,K823&lt;&gt;"Sim")),1,0))</f>
        <v>0</v>
      </c>
      <c r="AJ823" s="96">
        <f>IF(AND(R823=1,AA823&gt;0,AB823=AA823),1,0)</f>
        <v>0</v>
      </c>
      <c r="AK823" s="96">
        <f>IF(R823=0,0,IF(AA823&gt;0,N(L823),IF(ISNUMBER(I823),I823,0)))</f>
        <v>0</v>
      </c>
      <c r="AL823" s="96">
        <f>IF(R823=0,0,IF(AND(K823&lt;&gt;"Sim",N(M823)&gt;AK823+cfg_tol),1,0))</f>
        <v>0</v>
      </c>
      <c r="AM823" s="96">
        <f>IF(R823=0,0,IF(K823="Sim",0,IF(OR(AND(AA823&gt;0,ISNUMBER(I823),ABS(I823-N(L823))&gt;cfg_tol),AL823=1),1,0)))</f>
        <v>0</v>
      </c>
      <c r="AN823" s="96">
        <f>IF(AND(R823=1,N(M823)&gt;0,OR(N(M823)&gt;=AK823-cfg_tol,K823="Sim")),1,0)</f>
        <v>0</v>
      </c>
      <c r="AO823" s="96">
        <f>IF(AND(AN823=1,AD823&gt;0,AE823=AD823,AL823=0),1,0)</f>
        <v>0</v>
      </c>
      <c r="AP823" s="96">
        <f>IF(U823=0,0,IF(AND(INDEX('MTRs'!$AX$6:$AX$505,T823)=1,Z823=0,OR(f_res="",f_res="(Todos)",C823=f_res)),1,0))</f>
        <v>0</v>
      </c>
      <c r="AQ823" s="97" t="str">
        <f>IF(U823=0,"",INDEX('MTRs'!$AZ$6:$AZ$505,T823))</f>
        <v/>
      </c>
      <c r="AR823" s="96">
        <f>IF(U823=0,0,IF(AND(INDEX('MTRs'!$BA$6:$BA$505,T823)=1,Z823=0),1,0))</f>
        <v>0</v>
      </c>
      <c r="AS823" s="96" t="str">
        <f>IF(R823=1,A823&amp;" | MTR "&amp;IF(U823=1,INDEX('MTRs'!$B$6:$B$505,T823)&amp;"","?")&amp;" | "&amp;IF(C823="","(sem resíduo)",C823),"")</f>
        <v/>
      </c>
      <c r="AT823" s="96" t="str">
        <f>IF(R823=1,COUNTIF($R$6:R823,1),"")</f>
        <v/>
      </c>
      <c r="AU823" s="96" t="str">
        <f>IF(U823=1,INDEX('MTRs'!$I$6:$I$505,T823)&amp;"","")</f>
        <v/>
      </c>
    </row>
    <row r="824">
      <c r="A824" s="89" t="inlineStr">
        <is>
          <t>IT-000819</t>
        </is>
      </c>
      <c r="B824" s="91" t="n"/>
      <c r="C824" s="91" t="n"/>
      <c r="D824" s="94" t="str">
        <f>IF(OR(R824=0,V824=0),"",INDEX('CAD_RESÍDUOS'!$E$6:$E$205,MATCH(C824,'CAD_RESÍDUOS'!$B$6:$B$205,0))&amp;"")</f>
        <v/>
      </c>
      <c r="E824" s="94" t="str">
        <f>IF(OR(R824=0,V824=0),"",INDEX('CAD_RESÍDUOS'!$C$6:$C$205,MATCH(C824,'CAD_RESÍDUOS'!$B$6:$B$205,0))&amp;"")</f>
        <v/>
      </c>
      <c r="F824" s="94" t="str">
        <f>IF(OR(R824=0,V824=0),"",INDEX('CAD_RESÍDUOS'!$G$6:$G$205,MATCH(C824,'CAD_RESÍDUOS'!$B$6:$B$205,0))&amp;"")</f>
        <v/>
      </c>
      <c r="G824" s="98" t="n"/>
      <c r="H824" s="91" t="n"/>
      <c r="I824" s="93" t="str">
        <f>IF(R824=0,"",IF(NOT(ISNUMBER(G824)),"",IF(ISNUMBER(X824),G824*X824,"UNIDADE A CONFERIR")))</f>
        <v/>
      </c>
      <c r="J824" s="91" t="n"/>
      <c r="K824" s="91" t="n"/>
      <c r="L824" s="93" t="str">
        <f>IF(R824=0,"",SUMIFS('RECEBIMENTOS'!$H$6:$H$1005,'RECEBIMENTOS'!$R$6:$R$1005,A824,'RECEBIMENTOS'!$X$6:$X$1005,1))</f>
        <v/>
      </c>
      <c r="M824" s="93" t="str">
        <f>IF(R824=0,"",SUMIFS('VÍNCULOS_CDF'!$H$6:$H$1005,'VÍNCULOS_CDF'!$R$6:$R$1005,A824,'VÍNCULOS_CDF'!$V$6:$V$1005,1))</f>
        <v/>
      </c>
      <c r="N824" s="99" t="str">
        <f>IF(OR(R824=0,AA824=0,NOT(ISNUMBER(I824))),"",I824-N(L824))</f>
        <v/>
      </c>
      <c r="O824" s="100" t="str">
        <f>IF(OR(R824=0,AK824&lt;=0),"",N(M824)/AK824)</f>
        <v/>
      </c>
      <c r="P824" s="94" t="str">
        <f>IF(R824=0,"",IF(S824="","Sem MTR associado",IF(U824=0,"MTR inexistente",IF(C824="","Resíduo não identificado",IF(V824=0,"Resíduo fora do cadastro",IF(W824=0,"Quantidade inválida",IF(H824="","Unidade não informada",IF(NOT(ISNUMBER(I824)),"Unidade a conferir",IF(AND(AH824=1,K824&lt;&gt;"Sim"),"Possível duplicidade",IF(Z824=1,"MTR cancelado",IF(AC824&gt;0,"Recebimento com alerta",IF(AA824=0,"Aguardando recebimento",IF(AB824&lt;AA824,"Recebimento a conferir",IF(AM824=1,"Quantidade a revisar",IF(AF824&gt;0,"Vínculo a revisar",IF(AD824=0,"Aguardando CDF",IF(AN824=0,"Vínculo de CDF parcial",IF(AE824&lt;AD824,"CDF a conferir","Documentação conferida"))))))))))))))))))</f>
        <v/>
      </c>
      <c r="Q824" s="93" t="str">
        <f>IF(OR(R824=0,AA824=0),"",MAX(0,N(L824)-N(M824)))</f>
        <v/>
      </c>
      <c r="R824" s="96">
        <f>IF(COUNTA(B824:C824,G824:H824,J824:K824)&gt;0,1,0)</f>
        <v>0</v>
      </c>
      <c r="S824" s="96" t="str">
        <f>IF(B824="","",TRIM(LEFT(B824,FIND(" |",B824&amp;" |")-1)))</f>
        <v/>
      </c>
      <c r="T824" s="96" t="str">
        <f>IF(S824="","",IFERROR(MATCH(S824,'MTRs'!$A$6:$A$505,0),""))</f>
        <v/>
      </c>
      <c r="U824" s="96">
        <f>IF(T824="",0,IF(INDEX('MTRs'!$Z$6:$Z$505,T824)=1,1,0))</f>
        <v>0</v>
      </c>
      <c r="V824" s="96">
        <f>IF(C824="",0,IF(ISNUMBER(MATCH(C824,'CAD_RESÍDUOS'!$B$6:$B$205,0)),1,0))</f>
        <v>0</v>
      </c>
      <c r="W824" s="96">
        <f>IF(AND(ISNUMBER(G824),G824&gt;0),1,0)</f>
        <v>0</v>
      </c>
      <c r="X824" s="96" t="str">
        <f>IF(H824="","",IFERROR(IF(ISNUMBER(INDEX(cfg_fac,MATCH(H824,cfg_units,0))),IF(INDEX(cfg_fac,MATCH(H824,cfg_units,0))&gt;0,INDEX(cfg_fac,MATCH(H824,cfg_units,0)),""),""),""))</f>
        <v/>
      </c>
      <c r="Y824" s="96">
        <f>IF(AND(W824=1,ISNUMBER(I824)),1,0)</f>
        <v>0</v>
      </c>
      <c r="Z824" s="96">
        <f>IF(U824=1,INDEX('MTRs'!$AA$6:$AA$505,T824),0)</f>
        <v>0</v>
      </c>
      <c r="AA824" s="96">
        <f>IF(R824=0,0,COUNTIFS('RECEBIMENTOS'!$R$6:$R$1005,A824,'RECEBIMENTOS'!$Q$6:$Q$1005,1))</f>
        <v>0</v>
      </c>
      <c r="AB824" s="96">
        <f>IF(R824=0,0,COUNTIFS('RECEBIMENTOS'!$R$6:$R$1005,A824,'RECEBIMENTOS'!$Z$6:$Z$1005,1))</f>
        <v>0</v>
      </c>
      <c r="AC824" s="96">
        <f>IF(R824=0,0,COUNTIFS('RECEBIMENTOS'!$R$6:$R$1005,A824,'RECEBIMENTOS'!$Y$6:$Y$1005,1))</f>
        <v>0</v>
      </c>
      <c r="AD824" s="96">
        <f>IF(R824=0,0,COUNTIFS('VÍNCULOS_CDF'!$R$6:$R$1005,A824,'VÍNCULOS_CDF'!$N$6:$N$1005,1))</f>
        <v>0</v>
      </c>
      <c r="AE824" s="96">
        <f>IF(R824=0,0,COUNTIFS('VÍNCULOS_CDF'!$R$6:$R$1005,A824,'VÍNCULOS_CDF'!$AA$6:$AA$1005,1))</f>
        <v>0</v>
      </c>
      <c r="AF824" s="96">
        <f>IF(R824=0,0,COUNTIFS('VÍNCULOS_CDF'!$R$6:$R$1005,A824,'VÍNCULOS_CDF'!$Y$6:$Y$1005,1))</f>
        <v>0</v>
      </c>
      <c r="AG824" s="96" t="str">
        <f>IF(AND(R824=1,S824&lt;&gt;"",C824&lt;&gt;""),S824&amp;"|"&amp;C824&amp;"|"&amp;G824&amp;"|"&amp;H824,"")</f>
        <v/>
      </c>
      <c r="AH824" s="96">
        <f>IF(AG824="",0,IF(SUMPRODUCT(--($AG$6:$AG$1005=AG824))&gt;1,1,0))</f>
        <v>0</v>
      </c>
      <c r="AI824" s="96">
        <f>IF(R824=0,0,IF(OR(U824=0,V824=0,Y824=0,AND(AH824=1,K824&lt;&gt;"Sim")),1,0))</f>
        <v>0</v>
      </c>
      <c r="AJ824" s="96">
        <f>IF(AND(R824=1,AA824&gt;0,AB824=AA824),1,0)</f>
        <v>0</v>
      </c>
      <c r="AK824" s="96">
        <f>IF(R824=0,0,IF(AA824&gt;0,N(L824),IF(ISNUMBER(I824),I824,0)))</f>
        <v>0</v>
      </c>
      <c r="AL824" s="96">
        <f>IF(R824=0,0,IF(AND(K824&lt;&gt;"Sim",N(M824)&gt;AK824+cfg_tol),1,0))</f>
        <v>0</v>
      </c>
      <c r="AM824" s="96">
        <f>IF(R824=0,0,IF(K824="Sim",0,IF(OR(AND(AA824&gt;0,ISNUMBER(I824),ABS(I824-N(L824))&gt;cfg_tol),AL824=1),1,0)))</f>
        <v>0</v>
      </c>
      <c r="AN824" s="96">
        <f>IF(AND(R824=1,N(M824)&gt;0,OR(N(M824)&gt;=AK824-cfg_tol,K824="Sim")),1,0)</f>
        <v>0</v>
      </c>
      <c r="AO824" s="96">
        <f>IF(AND(AN824=1,AD824&gt;0,AE824=AD824,AL824=0),1,0)</f>
        <v>0</v>
      </c>
      <c r="AP824" s="96">
        <f>IF(U824=0,0,IF(AND(INDEX('MTRs'!$AX$6:$AX$505,T824)=1,Z824=0,OR(f_res="",f_res="(Todos)",C824=f_res)),1,0))</f>
        <v>0</v>
      </c>
      <c r="AQ824" s="97" t="str">
        <f>IF(U824=0,"",INDEX('MTRs'!$AZ$6:$AZ$505,T824))</f>
        <v/>
      </c>
      <c r="AR824" s="96">
        <f>IF(U824=0,0,IF(AND(INDEX('MTRs'!$BA$6:$BA$505,T824)=1,Z824=0),1,0))</f>
        <v>0</v>
      </c>
      <c r="AS824" s="96" t="str">
        <f>IF(R824=1,A824&amp;" | MTR "&amp;IF(U824=1,INDEX('MTRs'!$B$6:$B$505,T824)&amp;"","?")&amp;" | "&amp;IF(C824="","(sem resíduo)",C824),"")</f>
        <v/>
      </c>
      <c r="AT824" s="96" t="str">
        <f>IF(R824=1,COUNTIF($R$6:R824,1),"")</f>
        <v/>
      </c>
      <c r="AU824" s="96" t="str">
        <f>IF(U824=1,INDEX('MTRs'!$I$6:$I$505,T824)&amp;"","")</f>
        <v/>
      </c>
    </row>
    <row r="825">
      <c r="A825" s="89" t="inlineStr">
        <is>
          <t>IT-000820</t>
        </is>
      </c>
      <c r="B825" s="91" t="n"/>
      <c r="C825" s="91" t="n"/>
      <c r="D825" s="94" t="str">
        <f>IF(OR(R825=0,V825=0),"",INDEX('CAD_RESÍDUOS'!$E$6:$E$205,MATCH(C825,'CAD_RESÍDUOS'!$B$6:$B$205,0))&amp;"")</f>
        <v/>
      </c>
      <c r="E825" s="94" t="str">
        <f>IF(OR(R825=0,V825=0),"",INDEX('CAD_RESÍDUOS'!$C$6:$C$205,MATCH(C825,'CAD_RESÍDUOS'!$B$6:$B$205,0))&amp;"")</f>
        <v/>
      </c>
      <c r="F825" s="94" t="str">
        <f>IF(OR(R825=0,V825=0),"",INDEX('CAD_RESÍDUOS'!$G$6:$G$205,MATCH(C825,'CAD_RESÍDUOS'!$B$6:$B$205,0))&amp;"")</f>
        <v/>
      </c>
      <c r="G825" s="98" t="n"/>
      <c r="H825" s="91" t="n"/>
      <c r="I825" s="93" t="str">
        <f>IF(R825=0,"",IF(NOT(ISNUMBER(G825)),"",IF(ISNUMBER(X825),G825*X825,"UNIDADE A CONFERIR")))</f>
        <v/>
      </c>
      <c r="J825" s="91" t="n"/>
      <c r="K825" s="91" t="n"/>
      <c r="L825" s="93" t="str">
        <f>IF(R825=0,"",SUMIFS('RECEBIMENTOS'!$H$6:$H$1005,'RECEBIMENTOS'!$R$6:$R$1005,A825,'RECEBIMENTOS'!$X$6:$X$1005,1))</f>
        <v/>
      </c>
      <c r="M825" s="93" t="str">
        <f>IF(R825=0,"",SUMIFS('VÍNCULOS_CDF'!$H$6:$H$1005,'VÍNCULOS_CDF'!$R$6:$R$1005,A825,'VÍNCULOS_CDF'!$V$6:$V$1005,1))</f>
        <v/>
      </c>
      <c r="N825" s="99" t="str">
        <f>IF(OR(R825=0,AA825=0,NOT(ISNUMBER(I825))),"",I825-N(L825))</f>
        <v/>
      </c>
      <c r="O825" s="100" t="str">
        <f>IF(OR(R825=0,AK825&lt;=0),"",N(M825)/AK825)</f>
        <v/>
      </c>
      <c r="P825" s="94" t="str">
        <f>IF(R825=0,"",IF(S825="","Sem MTR associado",IF(U825=0,"MTR inexistente",IF(C825="","Resíduo não identificado",IF(V825=0,"Resíduo fora do cadastro",IF(W825=0,"Quantidade inválida",IF(H825="","Unidade não informada",IF(NOT(ISNUMBER(I825)),"Unidade a conferir",IF(AND(AH825=1,K825&lt;&gt;"Sim"),"Possível duplicidade",IF(Z825=1,"MTR cancelado",IF(AC825&gt;0,"Recebimento com alerta",IF(AA825=0,"Aguardando recebimento",IF(AB825&lt;AA825,"Recebimento a conferir",IF(AM825=1,"Quantidade a revisar",IF(AF825&gt;0,"Vínculo a revisar",IF(AD825=0,"Aguardando CDF",IF(AN825=0,"Vínculo de CDF parcial",IF(AE825&lt;AD825,"CDF a conferir","Documentação conferida"))))))))))))))))))</f>
        <v/>
      </c>
      <c r="Q825" s="93" t="str">
        <f>IF(OR(R825=0,AA825=0),"",MAX(0,N(L825)-N(M825)))</f>
        <v/>
      </c>
      <c r="R825" s="96">
        <f>IF(COUNTA(B825:C825,G825:H825,J825:K825)&gt;0,1,0)</f>
        <v>0</v>
      </c>
      <c r="S825" s="96" t="str">
        <f>IF(B825="","",TRIM(LEFT(B825,FIND(" |",B825&amp;" |")-1)))</f>
        <v/>
      </c>
      <c r="T825" s="96" t="str">
        <f>IF(S825="","",IFERROR(MATCH(S825,'MTRs'!$A$6:$A$505,0),""))</f>
        <v/>
      </c>
      <c r="U825" s="96">
        <f>IF(T825="",0,IF(INDEX('MTRs'!$Z$6:$Z$505,T825)=1,1,0))</f>
        <v>0</v>
      </c>
      <c r="V825" s="96">
        <f>IF(C825="",0,IF(ISNUMBER(MATCH(C825,'CAD_RESÍDUOS'!$B$6:$B$205,0)),1,0))</f>
        <v>0</v>
      </c>
      <c r="W825" s="96">
        <f>IF(AND(ISNUMBER(G825),G825&gt;0),1,0)</f>
        <v>0</v>
      </c>
      <c r="X825" s="96" t="str">
        <f>IF(H825="","",IFERROR(IF(ISNUMBER(INDEX(cfg_fac,MATCH(H825,cfg_units,0))),IF(INDEX(cfg_fac,MATCH(H825,cfg_units,0))&gt;0,INDEX(cfg_fac,MATCH(H825,cfg_units,0)),""),""),""))</f>
        <v/>
      </c>
      <c r="Y825" s="96">
        <f>IF(AND(W825=1,ISNUMBER(I825)),1,0)</f>
        <v>0</v>
      </c>
      <c r="Z825" s="96">
        <f>IF(U825=1,INDEX('MTRs'!$AA$6:$AA$505,T825),0)</f>
        <v>0</v>
      </c>
      <c r="AA825" s="96">
        <f>IF(R825=0,0,COUNTIFS('RECEBIMENTOS'!$R$6:$R$1005,A825,'RECEBIMENTOS'!$Q$6:$Q$1005,1))</f>
        <v>0</v>
      </c>
      <c r="AB825" s="96">
        <f>IF(R825=0,0,COUNTIFS('RECEBIMENTOS'!$R$6:$R$1005,A825,'RECEBIMENTOS'!$Z$6:$Z$1005,1))</f>
        <v>0</v>
      </c>
      <c r="AC825" s="96">
        <f>IF(R825=0,0,COUNTIFS('RECEBIMENTOS'!$R$6:$R$1005,A825,'RECEBIMENTOS'!$Y$6:$Y$1005,1))</f>
        <v>0</v>
      </c>
      <c r="AD825" s="96">
        <f>IF(R825=0,0,COUNTIFS('VÍNCULOS_CDF'!$R$6:$R$1005,A825,'VÍNCULOS_CDF'!$N$6:$N$1005,1))</f>
        <v>0</v>
      </c>
      <c r="AE825" s="96">
        <f>IF(R825=0,0,COUNTIFS('VÍNCULOS_CDF'!$R$6:$R$1005,A825,'VÍNCULOS_CDF'!$AA$6:$AA$1005,1))</f>
        <v>0</v>
      </c>
      <c r="AF825" s="96">
        <f>IF(R825=0,0,COUNTIFS('VÍNCULOS_CDF'!$R$6:$R$1005,A825,'VÍNCULOS_CDF'!$Y$6:$Y$1005,1))</f>
        <v>0</v>
      </c>
      <c r="AG825" s="96" t="str">
        <f>IF(AND(R825=1,S825&lt;&gt;"",C825&lt;&gt;""),S825&amp;"|"&amp;C825&amp;"|"&amp;G825&amp;"|"&amp;H825,"")</f>
        <v/>
      </c>
      <c r="AH825" s="96">
        <f>IF(AG825="",0,IF(SUMPRODUCT(--($AG$6:$AG$1005=AG825))&gt;1,1,0))</f>
        <v>0</v>
      </c>
      <c r="AI825" s="96">
        <f>IF(R825=0,0,IF(OR(U825=0,V825=0,Y825=0,AND(AH825=1,K825&lt;&gt;"Sim")),1,0))</f>
        <v>0</v>
      </c>
      <c r="AJ825" s="96">
        <f>IF(AND(R825=1,AA825&gt;0,AB825=AA825),1,0)</f>
        <v>0</v>
      </c>
      <c r="AK825" s="96">
        <f>IF(R825=0,0,IF(AA825&gt;0,N(L825),IF(ISNUMBER(I825),I825,0)))</f>
        <v>0</v>
      </c>
      <c r="AL825" s="96">
        <f>IF(R825=0,0,IF(AND(K825&lt;&gt;"Sim",N(M825)&gt;AK825+cfg_tol),1,0))</f>
        <v>0</v>
      </c>
      <c r="AM825" s="96">
        <f>IF(R825=0,0,IF(K825="Sim",0,IF(OR(AND(AA825&gt;0,ISNUMBER(I825),ABS(I825-N(L825))&gt;cfg_tol),AL825=1),1,0)))</f>
        <v>0</v>
      </c>
      <c r="AN825" s="96">
        <f>IF(AND(R825=1,N(M825)&gt;0,OR(N(M825)&gt;=AK825-cfg_tol,K825="Sim")),1,0)</f>
        <v>0</v>
      </c>
      <c r="AO825" s="96">
        <f>IF(AND(AN825=1,AD825&gt;0,AE825=AD825,AL825=0),1,0)</f>
        <v>0</v>
      </c>
      <c r="AP825" s="96">
        <f>IF(U825=0,0,IF(AND(INDEX('MTRs'!$AX$6:$AX$505,T825)=1,Z825=0,OR(f_res="",f_res="(Todos)",C825=f_res)),1,0))</f>
        <v>0</v>
      </c>
      <c r="AQ825" s="97" t="str">
        <f>IF(U825=0,"",INDEX('MTRs'!$AZ$6:$AZ$505,T825))</f>
        <v/>
      </c>
      <c r="AR825" s="96">
        <f>IF(U825=0,0,IF(AND(INDEX('MTRs'!$BA$6:$BA$505,T825)=1,Z825=0),1,0))</f>
        <v>0</v>
      </c>
      <c r="AS825" s="96" t="str">
        <f>IF(R825=1,A825&amp;" | MTR "&amp;IF(U825=1,INDEX('MTRs'!$B$6:$B$505,T825)&amp;"","?")&amp;" | "&amp;IF(C825="","(sem resíduo)",C825),"")</f>
        <v/>
      </c>
      <c r="AT825" s="96" t="str">
        <f>IF(R825=1,COUNTIF($R$6:R825,1),"")</f>
        <v/>
      </c>
      <c r="AU825" s="96" t="str">
        <f>IF(U825=1,INDEX('MTRs'!$I$6:$I$505,T825)&amp;"","")</f>
        <v/>
      </c>
    </row>
    <row r="826">
      <c r="A826" s="89" t="inlineStr">
        <is>
          <t>IT-000821</t>
        </is>
      </c>
      <c r="B826" s="91" t="n"/>
      <c r="C826" s="91" t="n"/>
      <c r="D826" s="94" t="str">
        <f>IF(OR(R826=0,V826=0),"",INDEX('CAD_RESÍDUOS'!$E$6:$E$205,MATCH(C826,'CAD_RESÍDUOS'!$B$6:$B$205,0))&amp;"")</f>
        <v/>
      </c>
      <c r="E826" s="94" t="str">
        <f>IF(OR(R826=0,V826=0),"",INDEX('CAD_RESÍDUOS'!$C$6:$C$205,MATCH(C826,'CAD_RESÍDUOS'!$B$6:$B$205,0))&amp;"")</f>
        <v/>
      </c>
      <c r="F826" s="94" t="str">
        <f>IF(OR(R826=0,V826=0),"",INDEX('CAD_RESÍDUOS'!$G$6:$G$205,MATCH(C826,'CAD_RESÍDUOS'!$B$6:$B$205,0))&amp;"")</f>
        <v/>
      </c>
      <c r="G826" s="98" t="n"/>
      <c r="H826" s="91" t="n"/>
      <c r="I826" s="93" t="str">
        <f>IF(R826=0,"",IF(NOT(ISNUMBER(G826)),"",IF(ISNUMBER(X826),G826*X826,"UNIDADE A CONFERIR")))</f>
        <v/>
      </c>
      <c r="J826" s="91" t="n"/>
      <c r="K826" s="91" t="n"/>
      <c r="L826" s="93" t="str">
        <f>IF(R826=0,"",SUMIFS('RECEBIMENTOS'!$H$6:$H$1005,'RECEBIMENTOS'!$R$6:$R$1005,A826,'RECEBIMENTOS'!$X$6:$X$1005,1))</f>
        <v/>
      </c>
      <c r="M826" s="93" t="str">
        <f>IF(R826=0,"",SUMIFS('VÍNCULOS_CDF'!$H$6:$H$1005,'VÍNCULOS_CDF'!$R$6:$R$1005,A826,'VÍNCULOS_CDF'!$V$6:$V$1005,1))</f>
        <v/>
      </c>
      <c r="N826" s="99" t="str">
        <f>IF(OR(R826=0,AA826=0,NOT(ISNUMBER(I826))),"",I826-N(L826))</f>
        <v/>
      </c>
      <c r="O826" s="100" t="str">
        <f>IF(OR(R826=0,AK826&lt;=0),"",N(M826)/AK826)</f>
        <v/>
      </c>
      <c r="P826" s="94" t="str">
        <f>IF(R826=0,"",IF(S826="","Sem MTR associado",IF(U826=0,"MTR inexistente",IF(C826="","Resíduo não identificado",IF(V826=0,"Resíduo fora do cadastro",IF(W826=0,"Quantidade inválida",IF(H826="","Unidade não informada",IF(NOT(ISNUMBER(I826)),"Unidade a conferir",IF(AND(AH826=1,K826&lt;&gt;"Sim"),"Possível duplicidade",IF(Z826=1,"MTR cancelado",IF(AC826&gt;0,"Recebimento com alerta",IF(AA826=0,"Aguardando recebimento",IF(AB826&lt;AA826,"Recebimento a conferir",IF(AM826=1,"Quantidade a revisar",IF(AF826&gt;0,"Vínculo a revisar",IF(AD826=0,"Aguardando CDF",IF(AN826=0,"Vínculo de CDF parcial",IF(AE826&lt;AD826,"CDF a conferir","Documentação conferida"))))))))))))))))))</f>
        <v/>
      </c>
      <c r="Q826" s="93" t="str">
        <f>IF(OR(R826=0,AA826=0),"",MAX(0,N(L826)-N(M826)))</f>
        <v/>
      </c>
      <c r="R826" s="96">
        <f>IF(COUNTA(B826:C826,G826:H826,J826:K826)&gt;0,1,0)</f>
        <v>0</v>
      </c>
      <c r="S826" s="96" t="str">
        <f>IF(B826="","",TRIM(LEFT(B826,FIND(" |",B826&amp;" |")-1)))</f>
        <v/>
      </c>
      <c r="T826" s="96" t="str">
        <f>IF(S826="","",IFERROR(MATCH(S826,'MTRs'!$A$6:$A$505,0),""))</f>
        <v/>
      </c>
      <c r="U826" s="96">
        <f>IF(T826="",0,IF(INDEX('MTRs'!$Z$6:$Z$505,T826)=1,1,0))</f>
        <v>0</v>
      </c>
      <c r="V826" s="96">
        <f>IF(C826="",0,IF(ISNUMBER(MATCH(C826,'CAD_RESÍDUOS'!$B$6:$B$205,0)),1,0))</f>
        <v>0</v>
      </c>
      <c r="W826" s="96">
        <f>IF(AND(ISNUMBER(G826),G826&gt;0),1,0)</f>
        <v>0</v>
      </c>
      <c r="X826" s="96" t="str">
        <f>IF(H826="","",IFERROR(IF(ISNUMBER(INDEX(cfg_fac,MATCH(H826,cfg_units,0))),IF(INDEX(cfg_fac,MATCH(H826,cfg_units,0))&gt;0,INDEX(cfg_fac,MATCH(H826,cfg_units,0)),""),""),""))</f>
        <v/>
      </c>
      <c r="Y826" s="96">
        <f>IF(AND(W826=1,ISNUMBER(I826)),1,0)</f>
        <v>0</v>
      </c>
      <c r="Z826" s="96">
        <f>IF(U826=1,INDEX('MTRs'!$AA$6:$AA$505,T826),0)</f>
        <v>0</v>
      </c>
      <c r="AA826" s="96">
        <f>IF(R826=0,0,COUNTIFS('RECEBIMENTOS'!$R$6:$R$1005,A826,'RECEBIMENTOS'!$Q$6:$Q$1005,1))</f>
        <v>0</v>
      </c>
      <c r="AB826" s="96">
        <f>IF(R826=0,0,COUNTIFS('RECEBIMENTOS'!$R$6:$R$1005,A826,'RECEBIMENTOS'!$Z$6:$Z$1005,1))</f>
        <v>0</v>
      </c>
      <c r="AC826" s="96">
        <f>IF(R826=0,0,COUNTIFS('RECEBIMENTOS'!$R$6:$R$1005,A826,'RECEBIMENTOS'!$Y$6:$Y$1005,1))</f>
        <v>0</v>
      </c>
      <c r="AD826" s="96">
        <f>IF(R826=0,0,COUNTIFS('VÍNCULOS_CDF'!$R$6:$R$1005,A826,'VÍNCULOS_CDF'!$N$6:$N$1005,1))</f>
        <v>0</v>
      </c>
      <c r="AE826" s="96">
        <f>IF(R826=0,0,COUNTIFS('VÍNCULOS_CDF'!$R$6:$R$1005,A826,'VÍNCULOS_CDF'!$AA$6:$AA$1005,1))</f>
        <v>0</v>
      </c>
      <c r="AF826" s="96">
        <f>IF(R826=0,0,COUNTIFS('VÍNCULOS_CDF'!$R$6:$R$1005,A826,'VÍNCULOS_CDF'!$Y$6:$Y$1005,1))</f>
        <v>0</v>
      </c>
      <c r="AG826" s="96" t="str">
        <f>IF(AND(R826=1,S826&lt;&gt;"",C826&lt;&gt;""),S826&amp;"|"&amp;C826&amp;"|"&amp;G826&amp;"|"&amp;H826,"")</f>
        <v/>
      </c>
      <c r="AH826" s="96">
        <f>IF(AG826="",0,IF(SUMPRODUCT(--($AG$6:$AG$1005=AG826))&gt;1,1,0))</f>
        <v>0</v>
      </c>
      <c r="AI826" s="96">
        <f>IF(R826=0,0,IF(OR(U826=0,V826=0,Y826=0,AND(AH826=1,K826&lt;&gt;"Sim")),1,0))</f>
        <v>0</v>
      </c>
      <c r="AJ826" s="96">
        <f>IF(AND(R826=1,AA826&gt;0,AB826=AA826),1,0)</f>
        <v>0</v>
      </c>
      <c r="AK826" s="96">
        <f>IF(R826=0,0,IF(AA826&gt;0,N(L826),IF(ISNUMBER(I826),I826,0)))</f>
        <v>0</v>
      </c>
      <c r="AL826" s="96">
        <f>IF(R826=0,0,IF(AND(K826&lt;&gt;"Sim",N(M826)&gt;AK826+cfg_tol),1,0))</f>
        <v>0</v>
      </c>
      <c r="AM826" s="96">
        <f>IF(R826=0,0,IF(K826="Sim",0,IF(OR(AND(AA826&gt;0,ISNUMBER(I826),ABS(I826-N(L826))&gt;cfg_tol),AL826=1),1,0)))</f>
        <v>0</v>
      </c>
      <c r="AN826" s="96">
        <f>IF(AND(R826=1,N(M826)&gt;0,OR(N(M826)&gt;=AK826-cfg_tol,K826="Sim")),1,0)</f>
        <v>0</v>
      </c>
      <c r="AO826" s="96">
        <f>IF(AND(AN826=1,AD826&gt;0,AE826=AD826,AL826=0),1,0)</f>
        <v>0</v>
      </c>
      <c r="AP826" s="96">
        <f>IF(U826=0,0,IF(AND(INDEX('MTRs'!$AX$6:$AX$505,T826)=1,Z826=0,OR(f_res="",f_res="(Todos)",C826=f_res)),1,0))</f>
        <v>0</v>
      </c>
      <c r="AQ826" s="97" t="str">
        <f>IF(U826=0,"",INDEX('MTRs'!$AZ$6:$AZ$505,T826))</f>
        <v/>
      </c>
      <c r="AR826" s="96">
        <f>IF(U826=0,0,IF(AND(INDEX('MTRs'!$BA$6:$BA$505,T826)=1,Z826=0),1,0))</f>
        <v>0</v>
      </c>
      <c r="AS826" s="96" t="str">
        <f>IF(R826=1,A826&amp;" | MTR "&amp;IF(U826=1,INDEX('MTRs'!$B$6:$B$505,T826)&amp;"","?")&amp;" | "&amp;IF(C826="","(sem resíduo)",C826),"")</f>
        <v/>
      </c>
      <c r="AT826" s="96" t="str">
        <f>IF(R826=1,COUNTIF($R$6:R826,1),"")</f>
        <v/>
      </c>
      <c r="AU826" s="96" t="str">
        <f>IF(U826=1,INDEX('MTRs'!$I$6:$I$505,T826)&amp;"","")</f>
        <v/>
      </c>
    </row>
    <row r="827">
      <c r="A827" s="89" t="inlineStr">
        <is>
          <t>IT-000822</t>
        </is>
      </c>
      <c r="B827" s="91" t="n"/>
      <c r="C827" s="91" t="n"/>
      <c r="D827" s="94" t="str">
        <f>IF(OR(R827=0,V827=0),"",INDEX('CAD_RESÍDUOS'!$E$6:$E$205,MATCH(C827,'CAD_RESÍDUOS'!$B$6:$B$205,0))&amp;"")</f>
        <v/>
      </c>
      <c r="E827" s="94" t="str">
        <f>IF(OR(R827=0,V827=0),"",INDEX('CAD_RESÍDUOS'!$C$6:$C$205,MATCH(C827,'CAD_RESÍDUOS'!$B$6:$B$205,0))&amp;"")</f>
        <v/>
      </c>
      <c r="F827" s="94" t="str">
        <f>IF(OR(R827=0,V827=0),"",INDEX('CAD_RESÍDUOS'!$G$6:$G$205,MATCH(C827,'CAD_RESÍDUOS'!$B$6:$B$205,0))&amp;"")</f>
        <v/>
      </c>
      <c r="G827" s="98" t="n"/>
      <c r="H827" s="91" t="n"/>
      <c r="I827" s="93" t="str">
        <f>IF(R827=0,"",IF(NOT(ISNUMBER(G827)),"",IF(ISNUMBER(X827),G827*X827,"UNIDADE A CONFERIR")))</f>
        <v/>
      </c>
      <c r="J827" s="91" t="n"/>
      <c r="K827" s="91" t="n"/>
      <c r="L827" s="93" t="str">
        <f>IF(R827=0,"",SUMIFS('RECEBIMENTOS'!$H$6:$H$1005,'RECEBIMENTOS'!$R$6:$R$1005,A827,'RECEBIMENTOS'!$X$6:$X$1005,1))</f>
        <v/>
      </c>
      <c r="M827" s="93" t="str">
        <f>IF(R827=0,"",SUMIFS('VÍNCULOS_CDF'!$H$6:$H$1005,'VÍNCULOS_CDF'!$R$6:$R$1005,A827,'VÍNCULOS_CDF'!$V$6:$V$1005,1))</f>
        <v/>
      </c>
      <c r="N827" s="99" t="str">
        <f>IF(OR(R827=0,AA827=0,NOT(ISNUMBER(I827))),"",I827-N(L827))</f>
        <v/>
      </c>
      <c r="O827" s="100" t="str">
        <f>IF(OR(R827=0,AK827&lt;=0),"",N(M827)/AK827)</f>
        <v/>
      </c>
      <c r="P827" s="94" t="str">
        <f>IF(R827=0,"",IF(S827="","Sem MTR associado",IF(U827=0,"MTR inexistente",IF(C827="","Resíduo não identificado",IF(V827=0,"Resíduo fora do cadastro",IF(W827=0,"Quantidade inválida",IF(H827="","Unidade não informada",IF(NOT(ISNUMBER(I827)),"Unidade a conferir",IF(AND(AH827=1,K827&lt;&gt;"Sim"),"Possível duplicidade",IF(Z827=1,"MTR cancelado",IF(AC827&gt;0,"Recebimento com alerta",IF(AA827=0,"Aguardando recebimento",IF(AB827&lt;AA827,"Recebimento a conferir",IF(AM827=1,"Quantidade a revisar",IF(AF827&gt;0,"Vínculo a revisar",IF(AD827=0,"Aguardando CDF",IF(AN827=0,"Vínculo de CDF parcial",IF(AE827&lt;AD827,"CDF a conferir","Documentação conferida"))))))))))))))))))</f>
        <v/>
      </c>
      <c r="Q827" s="93" t="str">
        <f>IF(OR(R827=0,AA827=0),"",MAX(0,N(L827)-N(M827)))</f>
        <v/>
      </c>
      <c r="R827" s="96">
        <f>IF(COUNTA(B827:C827,G827:H827,J827:K827)&gt;0,1,0)</f>
        <v>0</v>
      </c>
      <c r="S827" s="96" t="str">
        <f>IF(B827="","",TRIM(LEFT(B827,FIND(" |",B827&amp;" |")-1)))</f>
        <v/>
      </c>
      <c r="T827" s="96" t="str">
        <f>IF(S827="","",IFERROR(MATCH(S827,'MTRs'!$A$6:$A$505,0),""))</f>
        <v/>
      </c>
      <c r="U827" s="96">
        <f>IF(T827="",0,IF(INDEX('MTRs'!$Z$6:$Z$505,T827)=1,1,0))</f>
        <v>0</v>
      </c>
      <c r="V827" s="96">
        <f>IF(C827="",0,IF(ISNUMBER(MATCH(C827,'CAD_RESÍDUOS'!$B$6:$B$205,0)),1,0))</f>
        <v>0</v>
      </c>
      <c r="W827" s="96">
        <f>IF(AND(ISNUMBER(G827),G827&gt;0),1,0)</f>
        <v>0</v>
      </c>
      <c r="X827" s="96" t="str">
        <f>IF(H827="","",IFERROR(IF(ISNUMBER(INDEX(cfg_fac,MATCH(H827,cfg_units,0))),IF(INDEX(cfg_fac,MATCH(H827,cfg_units,0))&gt;0,INDEX(cfg_fac,MATCH(H827,cfg_units,0)),""),""),""))</f>
        <v/>
      </c>
      <c r="Y827" s="96">
        <f>IF(AND(W827=1,ISNUMBER(I827)),1,0)</f>
        <v>0</v>
      </c>
      <c r="Z827" s="96">
        <f>IF(U827=1,INDEX('MTRs'!$AA$6:$AA$505,T827),0)</f>
        <v>0</v>
      </c>
      <c r="AA827" s="96">
        <f>IF(R827=0,0,COUNTIFS('RECEBIMENTOS'!$R$6:$R$1005,A827,'RECEBIMENTOS'!$Q$6:$Q$1005,1))</f>
        <v>0</v>
      </c>
      <c r="AB827" s="96">
        <f>IF(R827=0,0,COUNTIFS('RECEBIMENTOS'!$R$6:$R$1005,A827,'RECEBIMENTOS'!$Z$6:$Z$1005,1))</f>
        <v>0</v>
      </c>
      <c r="AC827" s="96">
        <f>IF(R827=0,0,COUNTIFS('RECEBIMENTOS'!$R$6:$R$1005,A827,'RECEBIMENTOS'!$Y$6:$Y$1005,1))</f>
        <v>0</v>
      </c>
      <c r="AD827" s="96">
        <f>IF(R827=0,0,COUNTIFS('VÍNCULOS_CDF'!$R$6:$R$1005,A827,'VÍNCULOS_CDF'!$N$6:$N$1005,1))</f>
        <v>0</v>
      </c>
      <c r="AE827" s="96">
        <f>IF(R827=0,0,COUNTIFS('VÍNCULOS_CDF'!$R$6:$R$1005,A827,'VÍNCULOS_CDF'!$AA$6:$AA$1005,1))</f>
        <v>0</v>
      </c>
      <c r="AF827" s="96">
        <f>IF(R827=0,0,COUNTIFS('VÍNCULOS_CDF'!$R$6:$R$1005,A827,'VÍNCULOS_CDF'!$Y$6:$Y$1005,1))</f>
        <v>0</v>
      </c>
      <c r="AG827" s="96" t="str">
        <f>IF(AND(R827=1,S827&lt;&gt;"",C827&lt;&gt;""),S827&amp;"|"&amp;C827&amp;"|"&amp;G827&amp;"|"&amp;H827,"")</f>
        <v/>
      </c>
      <c r="AH827" s="96">
        <f>IF(AG827="",0,IF(SUMPRODUCT(--($AG$6:$AG$1005=AG827))&gt;1,1,0))</f>
        <v>0</v>
      </c>
      <c r="AI827" s="96">
        <f>IF(R827=0,0,IF(OR(U827=0,V827=0,Y827=0,AND(AH827=1,K827&lt;&gt;"Sim")),1,0))</f>
        <v>0</v>
      </c>
      <c r="AJ827" s="96">
        <f>IF(AND(R827=1,AA827&gt;0,AB827=AA827),1,0)</f>
        <v>0</v>
      </c>
      <c r="AK827" s="96">
        <f>IF(R827=0,0,IF(AA827&gt;0,N(L827),IF(ISNUMBER(I827),I827,0)))</f>
        <v>0</v>
      </c>
      <c r="AL827" s="96">
        <f>IF(R827=0,0,IF(AND(K827&lt;&gt;"Sim",N(M827)&gt;AK827+cfg_tol),1,0))</f>
        <v>0</v>
      </c>
      <c r="AM827" s="96">
        <f>IF(R827=0,0,IF(K827="Sim",0,IF(OR(AND(AA827&gt;0,ISNUMBER(I827),ABS(I827-N(L827))&gt;cfg_tol),AL827=1),1,0)))</f>
        <v>0</v>
      </c>
      <c r="AN827" s="96">
        <f>IF(AND(R827=1,N(M827)&gt;0,OR(N(M827)&gt;=AK827-cfg_tol,K827="Sim")),1,0)</f>
        <v>0</v>
      </c>
      <c r="AO827" s="96">
        <f>IF(AND(AN827=1,AD827&gt;0,AE827=AD827,AL827=0),1,0)</f>
        <v>0</v>
      </c>
      <c r="AP827" s="96">
        <f>IF(U827=0,0,IF(AND(INDEX('MTRs'!$AX$6:$AX$505,T827)=1,Z827=0,OR(f_res="",f_res="(Todos)",C827=f_res)),1,0))</f>
        <v>0</v>
      </c>
      <c r="AQ827" s="97" t="str">
        <f>IF(U827=0,"",INDEX('MTRs'!$AZ$6:$AZ$505,T827))</f>
        <v/>
      </c>
      <c r="AR827" s="96">
        <f>IF(U827=0,0,IF(AND(INDEX('MTRs'!$BA$6:$BA$505,T827)=1,Z827=0),1,0))</f>
        <v>0</v>
      </c>
      <c r="AS827" s="96" t="str">
        <f>IF(R827=1,A827&amp;" | MTR "&amp;IF(U827=1,INDEX('MTRs'!$B$6:$B$505,T827)&amp;"","?")&amp;" | "&amp;IF(C827="","(sem resíduo)",C827),"")</f>
        <v/>
      </c>
      <c r="AT827" s="96" t="str">
        <f>IF(R827=1,COUNTIF($R$6:R827,1),"")</f>
        <v/>
      </c>
      <c r="AU827" s="96" t="str">
        <f>IF(U827=1,INDEX('MTRs'!$I$6:$I$505,T827)&amp;"","")</f>
        <v/>
      </c>
    </row>
    <row r="828">
      <c r="A828" s="89" t="inlineStr">
        <is>
          <t>IT-000823</t>
        </is>
      </c>
      <c r="B828" s="91" t="n"/>
      <c r="C828" s="91" t="n"/>
      <c r="D828" s="94" t="str">
        <f>IF(OR(R828=0,V828=0),"",INDEX('CAD_RESÍDUOS'!$E$6:$E$205,MATCH(C828,'CAD_RESÍDUOS'!$B$6:$B$205,0))&amp;"")</f>
        <v/>
      </c>
      <c r="E828" s="94" t="str">
        <f>IF(OR(R828=0,V828=0),"",INDEX('CAD_RESÍDUOS'!$C$6:$C$205,MATCH(C828,'CAD_RESÍDUOS'!$B$6:$B$205,0))&amp;"")</f>
        <v/>
      </c>
      <c r="F828" s="94" t="str">
        <f>IF(OR(R828=0,V828=0),"",INDEX('CAD_RESÍDUOS'!$G$6:$G$205,MATCH(C828,'CAD_RESÍDUOS'!$B$6:$B$205,0))&amp;"")</f>
        <v/>
      </c>
      <c r="G828" s="98" t="n"/>
      <c r="H828" s="91" t="n"/>
      <c r="I828" s="93" t="str">
        <f>IF(R828=0,"",IF(NOT(ISNUMBER(G828)),"",IF(ISNUMBER(X828),G828*X828,"UNIDADE A CONFERIR")))</f>
        <v/>
      </c>
      <c r="J828" s="91" t="n"/>
      <c r="K828" s="91" t="n"/>
      <c r="L828" s="93" t="str">
        <f>IF(R828=0,"",SUMIFS('RECEBIMENTOS'!$H$6:$H$1005,'RECEBIMENTOS'!$R$6:$R$1005,A828,'RECEBIMENTOS'!$X$6:$X$1005,1))</f>
        <v/>
      </c>
      <c r="M828" s="93" t="str">
        <f>IF(R828=0,"",SUMIFS('VÍNCULOS_CDF'!$H$6:$H$1005,'VÍNCULOS_CDF'!$R$6:$R$1005,A828,'VÍNCULOS_CDF'!$V$6:$V$1005,1))</f>
        <v/>
      </c>
      <c r="N828" s="99" t="str">
        <f>IF(OR(R828=0,AA828=0,NOT(ISNUMBER(I828))),"",I828-N(L828))</f>
        <v/>
      </c>
      <c r="O828" s="100" t="str">
        <f>IF(OR(R828=0,AK828&lt;=0),"",N(M828)/AK828)</f>
        <v/>
      </c>
      <c r="P828" s="94" t="str">
        <f>IF(R828=0,"",IF(S828="","Sem MTR associado",IF(U828=0,"MTR inexistente",IF(C828="","Resíduo não identificado",IF(V828=0,"Resíduo fora do cadastro",IF(W828=0,"Quantidade inválida",IF(H828="","Unidade não informada",IF(NOT(ISNUMBER(I828)),"Unidade a conferir",IF(AND(AH828=1,K828&lt;&gt;"Sim"),"Possível duplicidade",IF(Z828=1,"MTR cancelado",IF(AC828&gt;0,"Recebimento com alerta",IF(AA828=0,"Aguardando recebimento",IF(AB828&lt;AA828,"Recebimento a conferir",IF(AM828=1,"Quantidade a revisar",IF(AF828&gt;0,"Vínculo a revisar",IF(AD828=0,"Aguardando CDF",IF(AN828=0,"Vínculo de CDF parcial",IF(AE828&lt;AD828,"CDF a conferir","Documentação conferida"))))))))))))))))))</f>
        <v/>
      </c>
      <c r="Q828" s="93" t="str">
        <f>IF(OR(R828=0,AA828=0),"",MAX(0,N(L828)-N(M828)))</f>
        <v/>
      </c>
      <c r="R828" s="96">
        <f>IF(COUNTA(B828:C828,G828:H828,J828:K828)&gt;0,1,0)</f>
        <v>0</v>
      </c>
      <c r="S828" s="96" t="str">
        <f>IF(B828="","",TRIM(LEFT(B828,FIND(" |",B828&amp;" |")-1)))</f>
        <v/>
      </c>
      <c r="T828" s="96" t="str">
        <f>IF(S828="","",IFERROR(MATCH(S828,'MTRs'!$A$6:$A$505,0),""))</f>
        <v/>
      </c>
      <c r="U828" s="96">
        <f>IF(T828="",0,IF(INDEX('MTRs'!$Z$6:$Z$505,T828)=1,1,0))</f>
        <v>0</v>
      </c>
      <c r="V828" s="96">
        <f>IF(C828="",0,IF(ISNUMBER(MATCH(C828,'CAD_RESÍDUOS'!$B$6:$B$205,0)),1,0))</f>
        <v>0</v>
      </c>
      <c r="W828" s="96">
        <f>IF(AND(ISNUMBER(G828),G828&gt;0),1,0)</f>
        <v>0</v>
      </c>
      <c r="X828" s="96" t="str">
        <f>IF(H828="","",IFERROR(IF(ISNUMBER(INDEX(cfg_fac,MATCH(H828,cfg_units,0))),IF(INDEX(cfg_fac,MATCH(H828,cfg_units,0))&gt;0,INDEX(cfg_fac,MATCH(H828,cfg_units,0)),""),""),""))</f>
        <v/>
      </c>
      <c r="Y828" s="96">
        <f>IF(AND(W828=1,ISNUMBER(I828)),1,0)</f>
        <v>0</v>
      </c>
      <c r="Z828" s="96">
        <f>IF(U828=1,INDEX('MTRs'!$AA$6:$AA$505,T828),0)</f>
        <v>0</v>
      </c>
      <c r="AA828" s="96">
        <f>IF(R828=0,0,COUNTIFS('RECEBIMENTOS'!$R$6:$R$1005,A828,'RECEBIMENTOS'!$Q$6:$Q$1005,1))</f>
        <v>0</v>
      </c>
      <c r="AB828" s="96">
        <f>IF(R828=0,0,COUNTIFS('RECEBIMENTOS'!$R$6:$R$1005,A828,'RECEBIMENTOS'!$Z$6:$Z$1005,1))</f>
        <v>0</v>
      </c>
      <c r="AC828" s="96">
        <f>IF(R828=0,0,COUNTIFS('RECEBIMENTOS'!$R$6:$R$1005,A828,'RECEBIMENTOS'!$Y$6:$Y$1005,1))</f>
        <v>0</v>
      </c>
      <c r="AD828" s="96">
        <f>IF(R828=0,0,COUNTIFS('VÍNCULOS_CDF'!$R$6:$R$1005,A828,'VÍNCULOS_CDF'!$N$6:$N$1005,1))</f>
        <v>0</v>
      </c>
      <c r="AE828" s="96">
        <f>IF(R828=0,0,COUNTIFS('VÍNCULOS_CDF'!$R$6:$R$1005,A828,'VÍNCULOS_CDF'!$AA$6:$AA$1005,1))</f>
        <v>0</v>
      </c>
      <c r="AF828" s="96">
        <f>IF(R828=0,0,COUNTIFS('VÍNCULOS_CDF'!$R$6:$R$1005,A828,'VÍNCULOS_CDF'!$Y$6:$Y$1005,1))</f>
        <v>0</v>
      </c>
      <c r="AG828" s="96" t="str">
        <f>IF(AND(R828=1,S828&lt;&gt;"",C828&lt;&gt;""),S828&amp;"|"&amp;C828&amp;"|"&amp;G828&amp;"|"&amp;H828,"")</f>
        <v/>
      </c>
      <c r="AH828" s="96">
        <f>IF(AG828="",0,IF(SUMPRODUCT(--($AG$6:$AG$1005=AG828))&gt;1,1,0))</f>
        <v>0</v>
      </c>
      <c r="AI828" s="96">
        <f>IF(R828=0,0,IF(OR(U828=0,V828=0,Y828=0,AND(AH828=1,K828&lt;&gt;"Sim")),1,0))</f>
        <v>0</v>
      </c>
      <c r="AJ828" s="96">
        <f>IF(AND(R828=1,AA828&gt;0,AB828=AA828),1,0)</f>
        <v>0</v>
      </c>
      <c r="AK828" s="96">
        <f>IF(R828=0,0,IF(AA828&gt;0,N(L828),IF(ISNUMBER(I828),I828,0)))</f>
        <v>0</v>
      </c>
      <c r="AL828" s="96">
        <f>IF(R828=0,0,IF(AND(K828&lt;&gt;"Sim",N(M828)&gt;AK828+cfg_tol),1,0))</f>
        <v>0</v>
      </c>
      <c r="AM828" s="96">
        <f>IF(R828=0,0,IF(K828="Sim",0,IF(OR(AND(AA828&gt;0,ISNUMBER(I828),ABS(I828-N(L828))&gt;cfg_tol),AL828=1),1,0)))</f>
        <v>0</v>
      </c>
      <c r="AN828" s="96">
        <f>IF(AND(R828=1,N(M828)&gt;0,OR(N(M828)&gt;=AK828-cfg_tol,K828="Sim")),1,0)</f>
        <v>0</v>
      </c>
      <c r="AO828" s="96">
        <f>IF(AND(AN828=1,AD828&gt;0,AE828=AD828,AL828=0),1,0)</f>
        <v>0</v>
      </c>
      <c r="AP828" s="96">
        <f>IF(U828=0,0,IF(AND(INDEX('MTRs'!$AX$6:$AX$505,T828)=1,Z828=0,OR(f_res="",f_res="(Todos)",C828=f_res)),1,0))</f>
        <v>0</v>
      </c>
      <c r="AQ828" s="97" t="str">
        <f>IF(U828=0,"",INDEX('MTRs'!$AZ$6:$AZ$505,T828))</f>
        <v/>
      </c>
      <c r="AR828" s="96">
        <f>IF(U828=0,0,IF(AND(INDEX('MTRs'!$BA$6:$BA$505,T828)=1,Z828=0),1,0))</f>
        <v>0</v>
      </c>
      <c r="AS828" s="96" t="str">
        <f>IF(R828=1,A828&amp;" | MTR "&amp;IF(U828=1,INDEX('MTRs'!$B$6:$B$505,T828)&amp;"","?")&amp;" | "&amp;IF(C828="","(sem resíduo)",C828),"")</f>
        <v/>
      </c>
      <c r="AT828" s="96" t="str">
        <f>IF(R828=1,COUNTIF($R$6:R828,1),"")</f>
        <v/>
      </c>
      <c r="AU828" s="96" t="str">
        <f>IF(U828=1,INDEX('MTRs'!$I$6:$I$505,T828)&amp;"","")</f>
        <v/>
      </c>
    </row>
    <row r="829">
      <c r="A829" s="89" t="inlineStr">
        <is>
          <t>IT-000824</t>
        </is>
      </c>
      <c r="B829" s="91" t="n"/>
      <c r="C829" s="91" t="n"/>
      <c r="D829" s="94" t="str">
        <f>IF(OR(R829=0,V829=0),"",INDEX('CAD_RESÍDUOS'!$E$6:$E$205,MATCH(C829,'CAD_RESÍDUOS'!$B$6:$B$205,0))&amp;"")</f>
        <v/>
      </c>
      <c r="E829" s="94" t="str">
        <f>IF(OR(R829=0,V829=0),"",INDEX('CAD_RESÍDUOS'!$C$6:$C$205,MATCH(C829,'CAD_RESÍDUOS'!$B$6:$B$205,0))&amp;"")</f>
        <v/>
      </c>
      <c r="F829" s="94" t="str">
        <f>IF(OR(R829=0,V829=0),"",INDEX('CAD_RESÍDUOS'!$G$6:$G$205,MATCH(C829,'CAD_RESÍDUOS'!$B$6:$B$205,0))&amp;"")</f>
        <v/>
      </c>
      <c r="G829" s="98" t="n"/>
      <c r="H829" s="91" t="n"/>
      <c r="I829" s="93" t="str">
        <f>IF(R829=0,"",IF(NOT(ISNUMBER(G829)),"",IF(ISNUMBER(X829),G829*X829,"UNIDADE A CONFERIR")))</f>
        <v/>
      </c>
      <c r="J829" s="91" t="n"/>
      <c r="K829" s="91" t="n"/>
      <c r="L829" s="93" t="str">
        <f>IF(R829=0,"",SUMIFS('RECEBIMENTOS'!$H$6:$H$1005,'RECEBIMENTOS'!$R$6:$R$1005,A829,'RECEBIMENTOS'!$X$6:$X$1005,1))</f>
        <v/>
      </c>
      <c r="M829" s="93" t="str">
        <f>IF(R829=0,"",SUMIFS('VÍNCULOS_CDF'!$H$6:$H$1005,'VÍNCULOS_CDF'!$R$6:$R$1005,A829,'VÍNCULOS_CDF'!$V$6:$V$1005,1))</f>
        <v/>
      </c>
      <c r="N829" s="99" t="str">
        <f>IF(OR(R829=0,AA829=0,NOT(ISNUMBER(I829))),"",I829-N(L829))</f>
        <v/>
      </c>
      <c r="O829" s="100" t="str">
        <f>IF(OR(R829=0,AK829&lt;=0),"",N(M829)/AK829)</f>
        <v/>
      </c>
      <c r="P829" s="94" t="str">
        <f>IF(R829=0,"",IF(S829="","Sem MTR associado",IF(U829=0,"MTR inexistente",IF(C829="","Resíduo não identificado",IF(V829=0,"Resíduo fora do cadastro",IF(W829=0,"Quantidade inválida",IF(H829="","Unidade não informada",IF(NOT(ISNUMBER(I829)),"Unidade a conferir",IF(AND(AH829=1,K829&lt;&gt;"Sim"),"Possível duplicidade",IF(Z829=1,"MTR cancelado",IF(AC829&gt;0,"Recebimento com alerta",IF(AA829=0,"Aguardando recebimento",IF(AB829&lt;AA829,"Recebimento a conferir",IF(AM829=1,"Quantidade a revisar",IF(AF829&gt;0,"Vínculo a revisar",IF(AD829=0,"Aguardando CDF",IF(AN829=0,"Vínculo de CDF parcial",IF(AE829&lt;AD829,"CDF a conferir","Documentação conferida"))))))))))))))))))</f>
        <v/>
      </c>
      <c r="Q829" s="93" t="str">
        <f>IF(OR(R829=0,AA829=0),"",MAX(0,N(L829)-N(M829)))</f>
        <v/>
      </c>
      <c r="R829" s="96">
        <f>IF(COUNTA(B829:C829,G829:H829,J829:K829)&gt;0,1,0)</f>
        <v>0</v>
      </c>
      <c r="S829" s="96" t="str">
        <f>IF(B829="","",TRIM(LEFT(B829,FIND(" |",B829&amp;" |")-1)))</f>
        <v/>
      </c>
      <c r="T829" s="96" t="str">
        <f>IF(S829="","",IFERROR(MATCH(S829,'MTRs'!$A$6:$A$505,0),""))</f>
        <v/>
      </c>
      <c r="U829" s="96">
        <f>IF(T829="",0,IF(INDEX('MTRs'!$Z$6:$Z$505,T829)=1,1,0))</f>
        <v>0</v>
      </c>
      <c r="V829" s="96">
        <f>IF(C829="",0,IF(ISNUMBER(MATCH(C829,'CAD_RESÍDUOS'!$B$6:$B$205,0)),1,0))</f>
        <v>0</v>
      </c>
      <c r="W829" s="96">
        <f>IF(AND(ISNUMBER(G829),G829&gt;0),1,0)</f>
        <v>0</v>
      </c>
      <c r="X829" s="96" t="str">
        <f>IF(H829="","",IFERROR(IF(ISNUMBER(INDEX(cfg_fac,MATCH(H829,cfg_units,0))),IF(INDEX(cfg_fac,MATCH(H829,cfg_units,0))&gt;0,INDEX(cfg_fac,MATCH(H829,cfg_units,0)),""),""),""))</f>
        <v/>
      </c>
      <c r="Y829" s="96">
        <f>IF(AND(W829=1,ISNUMBER(I829)),1,0)</f>
        <v>0</v>
      </c>
      <c r="Z829" s="96">
        <f>IF(U829=1,INDEX('MTRs'!$AA$6:$AA$505,T829),0)</f>
        <v>0</v>
      </c>
      <c r="AA829" s="96">
        <f>IF(R829=0,0,COUNTIFS('RECEBIMENTOS'!$R$6:$R$1005,A829,'RECEBIMENTOS'!$Q$6:$Q$1005,1))</f>
        <v>0</v>
      </c>
      <c r="AB829" s="96">
        <f>IF(R829=0,0,COUNTIFS('RECEBIMENTOS'!$R$6:$R$1005,A829,'RECEBIMENTOS'!$Z$6:$Z$1005,1))</f>
        <v>0</v>
      </c>
      <c r="AC829" s="96">
        <f>IF(R829=0,0,COUNTIFS('RECEBIMENTOS'!$R$6:$R$1005,A829,'RECEBIMENTOS'!$Y$6:$Y$1005,1))</f>
        <v>0</v>
      </c>
      <c r="AD829" s="96">
        <f>IF(R829=0,0,COUNTIFS('VÍNCULOS_CDF'!$R$6:$R$1005,A829,'VÍNCULOS_CDF'!$N$6:$N$1005,1))</f>
        <v>0</v>
      </c>
      <c r="AE829" s="96">
        <f>IF(R829=0,0,COUNTIFS('VÍNCULOS_CDF'!$R$6:$R$1005,A829,'VÍNCULOS_CDF'!$AA$6:$AA$1005,1))</f>
        <v>0</v>
      </c>
      <c r="AF829" s="96">
        <f>IF(R829=0,0,COUNTIFS('VÍNCULOS_CDF'!$R$6:$R$1005,A829,'VÍNCULOS_CDF'!$Y$6:$Y$1005,1))</f>
        <v>0</v>
      </c>
      <c r="AG829" s="96" t="str">
        <f>IF(AND(R829=1,S829&lt;&gt;"",C829&lt;&gt;""),S829&amp;"|"&amp;C829&amp;"|"&amp;G829&amp;"|"&amp;H829,"")</f>
        <v/>
      </c>
      <c r="AH829" s="96">
        <f>IF(AG829="",0,IF(SUMPRODUCT(--($AG$6:$AG$1005=AG829))&gt;1,1,0))</f>
        <v>0</v>
      </c>
      <c r="AI829" s="96">
        <f>IF(R829=0,0,IF(OR(U829=0,V829=0,Y829=0,AND(AH829=1,K829&lt;&gt;"Sim")),1,0))</f>
        <v>0</v>
      </c>
      <c r="AJ829" s="96">
        <f>IF(AND(R829=1,AA829&gt;0,AB829=AA829),1,0)</f>
        <v>0</v>
      </c>
      <c r="AK829" s="96">
        <f>IF(R829=0,0,IF(AA829&gt;0,N(L829),IF(ISNUMBER(I829),I829,0)))</f>
        <v>0</v>
      </c>
      <c r="AL829" s="96">
        <f>IF(R829=0,0,IF(AND(K829&lt;&gt;"Sim",N(M829)&gt;AK829+cfg_tol),1,0))</f>
        <v>0</v>
      </c>
      <c r="AM829" s="96">
        <f>IF(R829=0,0,IF(K829="Sim",0,IF(OR(AND(AA829&gt;0,ISNUMBER(I829),ABS(I829-N(L829))&gt;cfg_tol),AL829=1),1,0)))</f>
        <v>0</v>
      </c>
      <c r="AN829" s="96">
        <f>IF(AND(R829=1,N(M829)&gt;0,OR(N(M829)&gt;=AK829-cfg_tol,K829="Sim")),1,0)</f>
        <v>0</v>
      </c>
      <c r="AO829" s="96">
        <f>IF(AND(AN829=1,AD829&gt;0,AE829=AD829,AL829=0),1,0)</f>
        <v>0</v>
      </c>
      <c r="AP829" s="96">
        <f>IF(U829=0,0,IF(AND(INDEX('MTRs'!$AX$6:$AX$505,T829)=1,Z829=0,OR(f_res="",f_res="(Todos)",C829=f_res)),1,0))</f>
        <v>0</v>
      </c>
      <c r="AQ829" s="97" t="str">
        <f>IF(U829=0,"",INDEX('MTRs'!$AZ$6:$AZ$505,T829))</f>
        <v/>
      </c>
      <c r="AR829" s="96">
        <f>IF(U829=0,0,IF(AND(INDEX('MTRs'!$BA$6:$BA$505,T829)=1,Z829=0),1,0))</f>
        <v>0</v>
      </c>
      <c r="AS829" s="96" t="str">
        <f>IF(R829=1,A829&amp;" | MTR "&amp;IF(U829=1,INDEX('MTRs'!$B$6:$B$505,T829)&amp;"","?")&amp;" | "&amp;IF(C829="","(sem resíduo)",C829),"")</f>
        <v/>
      </c>
      <c r="AT829" s="96" t="str">
        <f>IF(R829=1,COUNTIF($R$6:R829,1),"")</f>
        <v/>
      </c>
      <c r="AU829" s="96" t="str">
        <f>IF(U829=1,INDEX('MTRs'!$I$6:$I$505,T829)&amp;"","")</f>
        <v/>
      </c>
    </row>
    <row r="830">
      <c r="A830" s="89" t="inlineStr">
        <is>
          <t>IT-000825</t>
        </is>
      </c>
      <c r="B830" s="91" t="n"/>
      <c r="C830" s="91" t="n"/>
      <c r="D830" s="94" t="str">
        <f>IF(OR(R830=0,V830=0),"",INDEX('CAD_RESÍDUOS'!$E$6:$E$205,MATCH(C830,'CAD_RESÍDUOS'!$B$6:$B$205,0))&amp;"")</f>
        <v/>
      </c>
      <c r="E830" s="94" t="str">
        <f>IF(OR(R830=0,V830=0),"",INDEX('CAD_RESÍDUOS'!$C$6:$C$205,MATCH(C830,'CAD_RESÍDUOS'!$B$6:$B$205,0))&amp;"")</f>
        <v/>
      </c>
      <c r="F830" s="94" t="str">
        <f>IF(OR(R830=0,V830=0),"",INDEX('CAD_RESÍDUOS'!$G$6:$G$205,MATCH(C830,'CAD_RESÍDUOS'!$B$6:$B$205,0))&amp;"")</f>
        <v/>
      </c>
      <c r="G830" s="98" t="n"/>
      <c r="H830" s="91" t="n"/>
      <c r="I830" s="93" t="str">
        <f>IF(R830=0,"",IF(NOT(ISNUMBER(G830)),"",IF(ISNUMBER(X830),G830*X830,"UNIDADE A CONFERIR")))</f>
        <v/>
      </c>
      <c r="J830" s="91" t="n"/>
      <c r="K830" s="91" t="n"/>
      <c r="L830" s="93" t="str">
        <f>IF(R830=0,"",SUMIFS('RECEBIMENTOS'!$H$6:$H$1005,'RECEBIMENTOS'!$R$6:$R$1005,A830,'RECEBIMENTOS'!$X$6:$X$1005,1))</f>
        <v/>
      </c>
      <c r="M830" s="93" t="str">
        <f>IF(R830=0,"",SUMIFS('VÍNCULOS_CDF'!$H$6:$H$1005,'VÍNCULOS_CDF'!$R$6:$R$1005,A830,'VÍNCULOS_CDF'!$V$6:$V$1005,1))</f>
        <v/>
      </c>
      <c r="N830" s="99" t="str">
        <f>IF(OR(R830=0,AA830=0,NOT(ISNUMBER(I830))),"",I830-N(L830))</f>
        <v/>
      </c>
      <c r="O830" s="100" t="str">
        <f>IF(OR(R830=0,AK830&lt;=0),"",N(M830)/AK830)</f>
        <v/>
      </c>
      <c r="P830" s="94" t="str">
        <f>IF(R830=0,"",IF(S830="","Sem MTR associado",IF(U830=0,"MTR inexistente",IF(C830="","Resíduo não identificado",IF(V830=0,"Resíduo fora do cadastro",IF(W830=0,"Quantidade inválida",IF(H830="","Unidade não informada",IF(NOT(ISNUMBER(I830)),"Unidade a conferir",IF(AND(AH830=1,K830&lt;&gt;"Sim"),"Possível duplicidade",IF(Z830=1,"MTR cancelado",IF(AC830&gt;0,"Recebimento com alerta",IF(AA830=0,"Aguardando recebimento",IF(AB830&lt;AA830,"Recebimento a conferir",IF(AM830=1,"Quantidade a revisar",IF(AF830&gt;0,"Vínculo a revisar",IF(AD830=0,"Aguardando CDF",IF(AN830=0,"Vínculo de CDF parcial",IF(AE830&lt;AD830,"CDF a conferir","Documentação conferida"))))))))))))))))))</f>
        <v/>
      </c>
      <c r="Q830" s="93" t="str">
        <f>IF(OR(R830=0,AA830=0),"",MAX(0,N(L830)-N(M830)))</f>
        <v/>
      </c>
      <c r="R830" s="96">
        <f>IF(COUNTA(B830:C830,G830:H830,J830:K830)&gt;0,1,0)</f>
        <v>0</v>
      </c>
      <c r="S830" s="96" t="str">
        <f>IF(B830="","",TRIM(LEFT(B830,FIND(" |",B830&amp;" |")-1)))</f>
        <v/>
      </c>
      <c r="T830" s="96" t="str">
        <f>IF(S830="","",IFERROR(MATCH(S830,'MTRs'!$A$6:$A$505,0),""))</f>
        <v/>
      </c>
      <c r="U830" s="96">
        <f>IF(T830="",0,IF(INDEX('MTRs'!$Z$6:$Z$505,T830)=1,1,0))</f>
        <v>0</v>
      </c>
      <c r="V830" s="96">
        <f>IF(C830="",0,IF(ISNUMBER(MATCH(C830,'CAD_RESÍDUOS'!$B$6:$B$205,0)),1,0))</f>
        <v>0</v>
      </c>
      <c r="W830" s="96">
        <f>IF(AND(ISNUMBER(G830),G830&gt;0),1,0)</f>
        <v>0</v>
      </c>
      <c r="X830" s="96" t="str">
        <f>IF(H830="","",IFERROR(IF(ISNUMBER(INDEX(cfg_fac,MATCH(H830,cfg_units,0))),IF(INDEX(cfg_fac,MATCH(H830,cfg_units,0))&gt;0,INDEX(cfg_fac,MATCH(H830,cfg_units,0)),""),""),""))</f>
        <v/>
      </c>
      <c r="Y830" s="96">
        <f>IF(AND(W830=1,ISNUMBER(I830)),1,0)</f>
        <v>0</v>
      </c>
      <c r="Z830" s="96">
        <f>IF(U830=1,INDEX('MTRs'!$AA$6:$AA$505,T830),0)</f>
        <v>0</v>
      </c>
      <c r="AA830" s="96">
        <f>IF(R830=0,0,COUNTIFS('RECEBIMENTOS'!$R$6:$R$1005,A830,'RECEBIMENTOS'!$Q$6:$Q$1005,1))</f>
        <v>0</v>
      </c>
      <c r="AB830" s="96">
        <f>IF(R830=0,0,COUNTIFS('RECEBIMENTOS'!$R$6:$R$1005,A830,'RECEBIMENTOS'!$Z$6:$Z$1005,1))</f>
        <v>0</v>
      </c>
      <c r="AC830" s="96">
        <f>IF(R830=0,0,COUNTIFS('RECEBIMENTOS'!$R$6:$R$1005,A830,'RECEBIMENTOS'!$Y$6:$Y$1005,1))</f>
        <v>0</v>
      </c>
      <c r="AD830" s="96">
        <f>IF(R830=0,0,COUNTIFS('VÍNCULOS_CDF'!$R$6:$R$1005,A830,'VÍNCULOS_CDF'!$N$6:$N$1005,1))</f>
        <v>0</v>
      </c>
      <c r="AE830" s="96">
        <f>IF(R830=0,0,COUNTIFS('VÍNCULOS_CDF'!$R$6:$R$1005,A830,'VÍNCULOS_CDF'!$AA$6:$AA$1005,1))</f>
        <v>0</v>
      </c>
      <c r="AF830" s="96">
        <f>IF(R830=0,0,COUNTIFS('VÍNCULOS_CDF'!$R$6:$R$1005,A830,'VÍNCULOS_CDF'!$Y$6:$Y$1005,1))</f>
        <v>0</v>
      </c>
      <c r="AG830" s="96" t="str">
        <f>IF(AND(R830=1,S830&lt;&gt;"",C830&lt;&gt;""),S830&amp;"|"&amp;C830&amp;"|"&amp;G830&amp;"|"&amp;H830,"")</f>
        <v/>
      </c>
      <c r="AH830" s="96">
        <f>IF(AG830="",0,IF(SUMPRODUCT(--($AG$6:$AG$1005=AG830))&gt;1,1,0))</f>
        <v>0</v>
      </c>
      <c r="AI830" s="96">
        <f>IF(R830=0,0,IF(OR(U830=0,V830=0,Y830=0,AND(AH830=1,K830&lt;&gt;"Sim")),1,0))</f>
        <v>0</v>
      </c>
      <c r="AJ830" s="96">
        <f>IF(AND(R830=1,AA830&gt;0,AB830=AA830),1,0)</f>
        <v>0</v>
      </c>
      <c r="AK830" s="96">
        <f>IF(R830=0,0,IF(AA830&gt;0,N(L830),IF(ISNUMBER(I830),I830,0)))</f>
        <v>0</v>
      </c>
      <c r="AL830" s="96">
        <f>IF(R830=0,0,IF(AND(K830&lt;&gt;"Sim",N(M830)&gt;AK830+cfg_tol),1,0))</f>
        <v>0</v>
      </c>
      <c r="AM830" s="96">
        <f>IF(R830=0,0,IF(K830="Sim",0,IF(OR(AND(AA830&gt;0,ISNUMBER(I830),ABS(I830-N(L830))&gt;cfg_tol),AL830=1),1,0)))</f>
        <v>0</v>
      </c>
      <c r="AN830" s="96">
        <f>IF(AND(R830=1,N(M830)&gt;0,OR(N(M830)&gt;=AK830-cfg_tol,K830="Sim")),1,0)</f>
        <v>0</v>
      </c>
      <c r="AO830" s="96">
        <f>IF(AND(AN830=1,AD830&gt;0,AE830=AD830,AL830=0),1,0)</f>
        <v>0</v>
      </c>
      <c r="AP830" s="96">
        <f>IF(U830=0,0,IF(AND(INDEX('MTRs'!$AX$6:$AX$505,T830)=1,Z830=0,OR(f_res="",f_res="(Todos)",C830=f_res)),1,0))</f>
        <v>0</v>
      </c>
      <c r="AQ830" s="97" t="str">
        <f>IF(U830=0,"",INDEX('MTRs'!$AZ$6:$AZ$505,T830))</f>
        <v/>
      </c>
      <c r="AR830" s="96">
        <f>IF(U830=0,0,IF(AND(INDEX('MTRs'!$BA$6:$BA$505,T830)=1,Z830=0),1,0))</f>
        <v>0</v>
      </c>
      <c r="AS830" s="96" t="str">
        <f>IF(R830=1,A830&amp;" | MTR "&amp;IF(U830=1,INDEX('MTRs'!$B$6:$B$505,T830)&amp;"","?")&amp;" | "&amp;IF(C830="","(sem resíduo)",C830),"")</f>
        <v/>
      </c>
      <c r="AT830" s="96" t="str">
        <f>IF(R830=1,COUNTIF($R$6:R830,1),"")</f>
        <v/>
      </c>
      <c r="AU830" s="96" t="str">
        <f>IF(U830=1,INDEX('MTRs'!$I$6:$I$505,T830)&amp;"","")</f>
        <v/>
      </c>
    </row>
    <row r="831">
      <c r="A831" s="89" t="inlineStr">
        <is>
          <t>IT-000826</t>
        </is>
      </c>
      <c r="B831" s="91" t="n"/>
      <c r="C831" s="91" t="n"/>
      <c r="D831" s="94" t="str">
        <f>IF(OR(R831=0,V831=0),"",INDEX('CAD_RESÍDUOS'!$E$6:$E$205,MATCH(C831,'CAD_RESÍDUOS'!$B$6:$B$205,0))&amp;"")</f>
        <v/>
      </c>
      <c r="E831" s="94" t="str">
        <f>IF(OR(R831=0,V831=0),"",INDEX('CAD_RESÍDUOS'!$C$6:$C$205,MATCH(C831,'CAD_RESÍDUOS'!$B$6:$B$205,0))&amp;"")</f>
        <v/>
      </c>
      <c r="F831" s="94" t="str">
        <f>IF(OR(R831=0,V831=0),"",INDEX('CAD_RESÍDUOS'!$G$6:$G$205,MATCH(C831,'CAD_RESÍDUOS'!$B$6:$B$205,0))&amp;"")</f>
        <v/>
      </c>
      <c r="G831" s="98" t="n"/>
      <c r="H831" s="91" t="n"/>
      <c r="I831" s="93" t="str">
        <f>IF(R831=0,"",IF(NOT(ISNUMBER(G831)),"",IF(ISNUMBER(X831),G831*X831,"UNIDADE A CONFERIR")))</f>
        <v/>
      </c>
      <c r="J831" s="91" t="n"/>
      <c r="K831" s="91" t="n"/>
      <c r="L831" s="93" t="str">
        <f>IF(R831=0,"",SUMIFS('RECEBIMENTOS'!$H$6:$H$1005,'RECEBIMENTOS'!$R$6:$R$1005,A831,'RECEBIMENTOS'!$X$6:$X$1005,1))</f>
        <v/>
      </c>
      <c r="M831" s="93" t="str">
        <f>IF(R831=0,"",SUMIFS('VÍNCULOS_CDF'!$H$6:$H$1005,'VÍNCULOS_CDF'!$R$6:$R$1005,A831,'VÍNCULOS_CDF'!$V$6:$V$1005,1))</f>
        <v/>
      </c>
      <c r="N831" s="99" t="str">
        <f>IF(OR(R831=0,AA831=0,NOT(ISNUMBER(I831))),"",I831-N(L831))</f>
        <v/>
      </c>
      <c r="O831" s="100" t="str">
        <f>IF(OR(R831=0,AK831&lt;=0),"",N(M831)/AK831)</f>
        <v/>
      </c>
      <c r="P831" s="94" t="str">
        <f>IF(R831=0,"",IF(S831="","Sem MTR associado",IF(U831=0,"MTR inexistente",IF(C831="","Resíduo não identificado",IF(V831=0,"Resíduo fora do cadastro",IF(W831=0,"Quantidade inválida",IF(H831="","Unidade não informada",IF(NOT(ISNUMBER(I831)),"Unidade a conferir",IF(AND(AH831=1,K831&lt;&gt;"Sim"),"Possível duplicidade",IF(Z831=1,"MTR cancelado",IF(AC831&gt;0,"Recebimento com alerta",IF(AA831=0,"Aguardando recebimento",IF(AB831&lt;AA831,"Recebimento a conferir",IF(AM831=1,"Quantidade a revisar",IF(AF831&gt;0,"Vínculo a revisar",IF(AD831=0,"Aguardando CDF",IF(AN831=0,"Vínculo de CDF parcial",IF(AE831&lt;AD831,"CDF a conferir","Documentação conferida"))))))))))))))))))</f>
        <v/>
      </c>
      <c r="Q831" s="93" t="str">
        <f>IF(OR(R831=0,AA831=0),"",MAX(0,N(L831)-N(M831)))</f>
        <v/>
      </c>
      <c r="R831" s="96">
        <f>IF(COUNTA(B831:C831,G831:H831,J831:K831)&gt;0,1,0)</f>
        <v>0</v>
      </c>
      <c r="S831" s="96" t="str">
        <f>IF(B831="","",TRIM(LEFT(B831,FIND(" |",B831&amp;" |")-1)))</f>
        <v/>
      </c>
      <c r="T831" s="96" t="str">
        <f>IF(S831="","",IFERROR(MATCH(S831,'MTRs'!$A$6:$A$505,0),""))</f>
        <v/>
      </c>
      <c r="U831" s="96">
        <f>IF(T831="",0,IF(INDEX('MTRs'!$Z$6:$Z$505,T831)=1,1,0))</f>
        <v>0</v>
      </c>
      <c r="V831" s="96">
        <f>IF(C831="",0,IF(ISNUMBER(MATCH(C831,'CAD_RESÍDUOS'!$B$6:$B$205,0)),1,0))</f>
        <v>0</v>
      </c>
      <c r="W831" s="96">
        <f>IF(AND(ISNUMBER(G831),G831&gt;0),1,0)</f>
        <v>0</v>
      </c>
      <c r="X831" s="96" t="str">
        <f>IF(H831="","",IFERROR(IF(ISNUMBER(INDEX(cfg_fac,MATCH(H831,cfg_units,0))),IF(INDEX(cfg_fac,MATCH(H831,cfg_units,0))&gt;0,INDEX(cfg_fac,MATCH(H831,cfg_units,0)),""),""),""))</f>
        <v/>
      </c>
      <c r="Y831" s="96">
        <f>IF(AND(W831=1,ISNUMBER(I831)),1,0)</f>
        <v>0</v>
      </c>
      <c r="Z831" s="96">
        <f>IF(U831=1,INDEX('MTRs'!$AA$6:$AA$505,T831),0)</f>
        <v>0</v>
      </c>
      <c r="AA831" s="96">
        <f>IF(R831=0,0,COUNTIFS('RECEBIMENTOS'!$R$6:$R$1005,A831,'RECEBIMENTOS'!$Q$6:$Q$1005,1))</f>
        <v>0</v>
      </c>
      <c r="AB831" s="96">
        <f>IF(R831=0,0,COUNTIFS('RECEBIMENTOS'!$R$6:$R$1005,A831,'RECEBIMENTOS'!$Z$6:$Z$1005,1))</f>
        <v>0</v>
      </c>
      <c r="AC831" s="96">
        <f>IF(R831=0,0,COUNTIFS('RECEBIMENTOS'!$R$6:$R$1005,A831,'RECEBIMENTOS'!$Y$6:$Y$1005,1))</f>
        <v>0</v>
      </c>
      <c r="AD831" s="96">
        <f>IF(R831=0,0,COUNTIFS('VÍNCULOS_CDF'!$R$6:$R$1005,A831,'VÍNCULOS_CDF'!$N$6:$N$1005,1))</f>
        <v>0</v>
      </c>
      <c r="AE831" s="96">
        <f>IF(R831=0,0,COUNTIFS('VÍNCULOS_CDF'!$R$6:$R$1005,A831,'VÍNCULOS_CDF'!$AA$6:$AA$1005,1))</f>
        <v>0</v>
      </c>
      <c r="AF831" s="96">
        <f>IF(R831=0,0,COUNTIFS('VÍNCULOS_CDF'!$R$6:$R$1005,A831,'VÍNCULOS_CDF'!$Y$6:$Y$1005,1))</f>
        <v>0</v>
      </c>
      <c r="AG831" s="96" t="str">
        <f>IF(AND(R831=1,S831&lt;&gt;"",C831&lt;&gt;""),S831&amp;"|"&amp;C831&amp;"|"&amp;G831&amp;"|"&amp;H831,"")</f>
        <v/>
      </c>
      <c r="AH831" s="96">
        <f>IF(AG831="",0,IF(SUMPRODUCT(--($AG$6:$AG$1005=AG831))&gt;1,1,0))</f>
        <v>0</v>
      </c>
      <c r="AI831" s="96">
        <f>IF(R831=0,0,IF(OR(U831=0,V831=0,Y831=0,AND(AH831=1,K831&lt;&gt;"Sim")),1,0))</f>
        <v>0</v>
      </c>
      <c r="AJ831" s="96">
        <f>IF(AND(R831=1,AA831&gt;0,AB831=AA831),1,0)</f>
        <v>0</v>
      </c>
      <c r="AK831" s="96">
        <f>IF(R831=0,0,IF(AA831&gt;0,N(L831),IF(ISNUMBER(I831),I831,0)))</f>
        <v>0</v>
      </c>
      <c r="AL831" s="96">
        <f>IF(R831=0,0,IF(AND(K831&lt;&gt;"Sim",N(M831)&gt;AK831+cfg_tol),1,0))</f>
        <v>0</v>
      </c>
      <c r="AM831" s="96">
        <f>IF(R831=0,0,IF(K831="Sim",0,IF(OR(AND(AA831&gt;0,ISNUMBER(I831),ABS(I831-N(L831))&gt;cfg_tol),AL831=1),1,0)))</f>
        <v>0</v>
      </c>
      <c r="AN831" s="96">
        <f>IF(AND(R831=1,N(M831)&gt;0,OR(N(M831)&gt;=AK831-cfg_tol,K831="Sim")),1,0)</f>
        <v>0</v>
      </c>
      <c r="AO831" s="96">
        <f>IF(AND(AN831=1,AD831&gt;0,AE831=AD831,AL831=0),1,0)</f>
        <v>0</v>
      </c>
      <c r="AP831" s="96">
        <f>IF(U831=0,0,IF(AND(INDEX('MTRs'!$AX$6:$AX$505,T831)=1,Z831=0,OR(f_res="",f_res="(Todos)",C831=f_res)),1,0))</f>
        <v>0</v>
      </c>
      <c r="AQ831" s="97" t="str">
        <f>IF(U831=0,"",INDEX('MTRs'!$AZ$6:$AZ$505,T831))</f>
        <v/>
      </c>
      <c r="AR831" s="96">
        <f>IF(U831=0,0,IF(AND(INDEX('MTRs'!$BA$6:$BA$505,T831)=1,Z831=0),1,0))</f>
        <v>0</v>
      </c>
      <c r="AS831" s="96" t="str">
        <f>IF(R831=1,A831&amp;" | MTR "&amp;IF(U831=1,INDEX('MTRs'!$B$6:$B$505,T831)&amp;"","?")&amp;" | "&amp;IF(C831="","(sem resíduo)",C831),"")</f>
        <v/>
      </c>
      <c r="AT831" s="96" t="str">
        <f>IF(R831=1,COUNTIF($R$6:R831,1),"")</f>
        <v/>
      </c>
      <c r="AU831" s="96" t="str">
        <f>IF(U831=1,INDEX('MTRs'!$I$6:$I$505,T831)&amp;"","")</f>
        <v/>
      </c>
    </row>
    <row r="832">
      <c r="A832" s="89" t="inlineStr">
        <is>
          <t>IT-000827</t>
        </is>
      </c>
      <c r="B832" s="91" t="n"/>
      <c r="C832" s="91" t="n"/>
      <c r="D832" s="94" t="str">
        <f>IF(OR(R832=0,V832=0),"",INDEX('CAD_RESÍDUOS'!$E$6:$E$205,MATCH(C832,'CAD_RESÍDUOS'!$B$6:$B$205,0))&amp;"")</f>
        <v/>
      </c>
      <c r="E832" s="94" t="str">
        <f>IF(OR(R832=0,V832=0),"",INDEX('CAD_RESÍDUOS'!$C$6:$C$205,MATCH(C832,'CAD_RESÍDUOS'!$B$6:$B$205,0))&amp;"")</f>
        <v/>
      </c>
      <c r="F832" s="94" t="str">
        <f>IF(OR(R832=0,V832=0),"",INDEX('CAD_RESÍDUOS'!$G$6:$G$205,MATCH(C832,'CAD_RESÍDUOS'!$B$6:$B$205,0))&amp;"")</f>
        <v/>
      </c>
      <c r="G832" s="98" t="n"/>
      <c r="H832" s="91" t="n"/>
      <c r="I832" s="93" t="str">
        <f>IF(R832=0,"",IF(NOT(ISNUMBER(G832)),"",IF(ISNUMBER(X832),G832*X832,"UNIDADE A CONFERIR")))</f>
        <v/>
      </c>
      <c r="J832" s="91" t="n"/>
      <c r="K832" s="91" t="n"/>
      <c r="L832" s="93" t="str">
        <f>IF(R832=0,"",SUMIFS('RECEBIMENTOS'!$H$6:$H$1005,'RECEBIMENTOS'!$R$6:$R$1005,A832,'RECEBIMENTOS'!$X$6:$X$1005,1))</f>
        <v/>
      </c>
      <c r="M832" s="93" t="str">
        <f>IF(R832=0,"",SUMIFS('VÍNCULOS_CDF'!$H$6:$H$1005,'VÍNCULOS_CDF'!$R$6:$R$1005,A832,'VÍNCULOS_CDF'!$V$6:$V$1005,1))</f>
        <v/>
      </c>
      <c r="N832" s="99" t="str">
        <f>IF(OR(R832=0,AA832=0,NOT(ISNUMBER(I832))),"",I832-N(L832))</f>
        <v/>
      </c>
      <c r="O832" s="100" t="str">
        <f>IF(OR(R832=0,AK832&lt;=0),"",N(M832)/AK832)</f>
        <v/>
      </c>
      <c r="P832" s="94" t="str">
        <f>IF(R832=0,"",IF(S832="","Sem MTR associado",IF(U832=0,"MTR inexistente",IF(C832="","Resíduo não identificado",IF(V832=0,"Resíduo fora do cadastro",IF(W832=0,"Quantidade inválida",IF(H832="","Unidade não informada",IF(NOT(ISNUMBER(I832)),"Unidade a conferir",IF(AND(AH832=1,K832&lt;&gt;"Sim"),"Possível duplicidade",IF(Z832=1,"MTR cancelado",IF(AC832&gt;0,"Recebimento com alerta",IF(AA832=0,"Aguardando recebimento",IF(AB832&lt;AA832,"Recebimento a conferir",IF(AM832=1,"Quantidade a revisar",IF(AF832&gt;0,"Vínculo a revisar",IF(AD832=0,"Aguardando CDF",IF(AN832=0,"Vínculo de CDF parcial",IF(AE832&lt;AD832,"CDF a conferir","Documentação conferida"))))))))))))))))))</f>
        <v/>
      </c>
      <c r="Q832" s="93" t="str">
        <f>IF(OR(R832=0,AA832=0),"",MAX(0,N(L832)-N(M832)))</f>
        <v/>
      </c>
      <c r="R832" s="96">
        <f>IF(COUNTA(B832:C832,G832:H832,J832:K832)&gt;0,1,0)</f>
        <v>0</v>
      </c>
      <c r="S832" s="96" t="str">
        <f>IF(B832="","",TRIM(LEFT(B832,FIND(" |",B832&amp;" |")-1)))</f>
        <v/>
      </c>
      <c r="T832" s="96" t="str">
        <f>IF(S832="","",IFERROR(MATCH(S832,'MTRs'!$A$6:$A$505,0),""))</f>
        <v/>
      </c>
      <c r="U832" s="96">
        <f>IF(T832="",0,IF(INDEX('MTRs'!$Z$6:$Z$505,T832)=1,1,0))</f>
        <v>0</v>
      </c>
      <c r="V832" s="96">
        <f>IF(C832="",0,IF(ISNUMBER(MATCH(C832,'CAD_RESÍDUOS'!$B$6:$B$205,0)),1,0))</f>
        <v>0</v>
      </c>
      <c r="W832" s="96">
        <f>IF(AND(ISNUMBER(G832),G832&gt;0),1,0)</f>
        <v>0</v>
      </c>
      <c r="X832" s="96" t="str">
        <f>IF(H832="","",IFERROR(IF(ISNUMBER(INDEX(cfg_fac,MATCH(H832,cfg_units,0))),IF(INDEX(cfg_fac,MATCH(H832,cfg_units,0))&gt;0,INDEX(cfg_fac,MATCH(H832,cfg_units,0)),""),""),""))</f>
        <v/>
      </c>
      <c r="Y832" s="96">
        <f>IF(AND(W832=1,ISNUMBER(I832)),1,0)</f>
        <v>0</v>
      </c>
      <c r="Z832" s="96">
        <f>IF(U832=1,INDEX('MTRs'!$AA$6:$AA$505,T832),0)</f>
        <v>0</v>
      </c>
      <c r="AA832" s="96">
        <f>IF(R832=0,0,COUNTIFS('RECEBIMENTOS'!$R$6:$R$1005,A832,'RECEBIMENTOS'!$Q$6:$Q$1005,1))</f>
        <v>0</v>
      </c>
      <c r="AB832" s="96">
        <f>IF(R832=0,0,COUNTIFS('RECEBIMENTOS'!$R$6:$R$1005,A832,'RECEBIMENTOS'!$Z$6:$Z$1005,1))</f>
        <v>0</v>
      </c>
      <c r="AC832" s="96">
        <f>IF(R832=0,0,COUNTIFS('RECEBIMENTOS'!$R$6:$R$1005,A832,'RECEBIMENTOS'!$Y$6:$Y$1005,1))</f>
        <v>0</v>
      </c>
      <c r="AD832" s="96">
        <f>IF(R832=0,0,COUNTIFS('VÍNCULOS_CDF'!$R$6:$R$1005,A832,'VÍNCULOS_CDF'!$N$6:$N$1005,1))</f>
        <v>0</v>
      </c>
      <c r="AE832" s="96">
        <f>IF(R832=0,0,COUNTIFS('VÍNCULOS_CDF'!$R$6:$R$1005,A832,'VÍNCULOS_CDF'!$AA$6:$AA$1005,1))</f>
        <v>0</v>
      </c>
      <c r="AF832" s="96">
        <f>IF(R832=0,0,COUNTIFS('VÍNCULOS_CDF'!$R$6:$R$1005,A832,'VÍNCULOS_CDF'!$Y$6:$Y$1005,1))</f>
        <v>0</v>
      </c>
      <c r="AG832" s="96" t="str">
        <f>IF(AND(R832=1,S832&lt;&gt;"",C832&lt;&gt;""),S832&amp;"|"&amp;C832&amp;"|"&amp;G832&amp;"|"&amp;H832,"")</f>
        <v/>
      </c>
      <c r="AH832" s="96">
        <f>IF(AG832="",0,IF(SUMPRODUCT(--($AG$6:$AG$1005=AG832))&gt;1,1,0))</f>
        <v>0</v>
      </c>
      <c r="AI832" s="96">
        <f>IF(R832=0,0,IF(OR(U832=0,V832=0,Y832=0,AND(AH832=1,K832&lt;&gt;"Sim")),1,0))</f>
        <v>0</v>
      </c>
      <c r="AJ832" s="96">
        <f>IF(AND(R832=1,AA832&gt;0,AB832=AA832),1,0)</f>
        <v>0</v>
      </c>
      <c r="AK832" s="96">
        <f>IF(R832=0,0,IF(AA832&gt;0,N(L832),IF(ISNUMBER(I832),I832,0)))</f>
        <v>0</v>
      </c>
      <c r="AL832" s="96">
        <f>IF(R832=0,0,IF(AND(K832&lt;&gt;"Sim",N(M832)&gt;AK832+cfg_tol),1,0))</f>
        <v>0</v>
      </c>
      <c r="AM832" s="96">
        <f>IF(R832=0,0,IF(K832="Sim",0,IF(OR(AND(AA832&gt;0,ISNUMBER(I832),ABS(I832-N(L832))&gt;cfg_tol),AL832=1),1,0)))</f>
        <v>0</v>
      </c>
      <c r="AN832" s="96">
        <f>IF(AND(R832=1,N(M832)&gt;0,OR(N(M832)&gt;=AK832-cfg_tol,K832="Sim")),1,0)</f>
        <v>0</v>
      </c>
      <c r="AO832" s="96">
        <f>IF(AND(AN832=1,AD832&gt;0,AE832=AD832,AL832=0),1,0)</f>
        <v>0</v>
      </c>
      <c r="AP832" s="96">
        <f>IF(U832=0,0,IF(AND(INDEX('MTRs'!$AX$6:$AX$505,T832)=1,Z832=0,OR(f_res="",f_res="(Todos)",C832=f_res)),1,0))</f>
        <v>0</v>
      </c>
      <c r="AQ832" s="97" t="str">
        <f>IF(U832=0,"",INDEX('MTRs'!$AZ$6:$AZ$505,T832))</f>
        <v/>
      </c>
      <c r="AR832" s="96">
        <f>IF(U832=0,0,IF(AND(INDEX('MTRs'!$BA$6:$BA$505,T832)=1,Z832=0),1,0))</f>
        <v>0</v>
      </c>
      <c r="AS832" s="96" t="str">
        <f>IF(R832=1,A832&amp;" | MTR "&amp;IF(U832=1,INDEX('MTRs'!$B$6:$B$505,T832)&amp;"","?")&amp;" | "&amp;IF(C832="","(sem resíduo)",C832),"")</f>
        <v/>
      </c>
      <c r="AT832" s="96" t="str">
        <f>IF(R832=1,COUNTIF($R$6:R832,1),"")</f>
        <v/>
      </c>
      <c r="AU832" s="96" t="str">
        <f>IF(U832=1,INDEX('MTRs'!$I$6:$I$505,T832)&amp;"","")</f>
        <v/>
      </c>
    </row>
    <row r="833">
      <c r="A833" s="89" t="inlineStr">
        <is>
          <t>IT-000828</t>
        </is>
      </c>
      <c r="B833" s="91" t="n"/>
      <c r="C833" s="91" t="n"/>
      <c r="D833" s="94" t="str">
        <f>IF(OR(R833=0,V833=0),"",INDEX('CAD_RESÍDUOS'!$E$6:$E$205,MATCH(C833,'CAD_RESÍDUOS'!$B$6:$B$205,0))&amp;"")</f>
        <v/>
      </c>
      <c r="E833" s="94" t="str">
        <f>IF(OR(R833=0,V833=0),"",INDEX('CAD_RESÍDUOS'!$C$6:$C$205,MATCH(C833,'CAD_RESÍDUOS'!$B$6:$B$205,0))&amp;"")</f>
        <v/>
      </c>
      <c r="F833" s="94" t="str">
        <f>IF(OR(R833=0,V833=0),"",INDEX('CAD_RESÍDUOS'!$G$6:$G$205,MATCH(C833,'CAD_RESÍDUOS'!$B$6:$B$205,0))&amp;"")</f>
        <v/>
      </c>
      <c r="G833" s="98" t="n"/>
      <c r="H833" s="91" t="n"/>
      <c r="I833" s="93" t="str">
        <f>IF(R833=0,"",IF(NOT(ISNUMBER(G833)),"",IF(ISNUMBER(X833),G833*X833,"UNIDADE A CONFERIR")))</f>
        <v/>
      </c>
      <c r="J833" s="91" t="n"/>
      <c r="K833" s="91" t="n"/>
      <c r="L833" s="93" t="str">
        <f>IF(R833=0,"",SUMIFS('RECEBIMENTOS'!$H$6:$H$1005,'RECEBIMENTOS'!$R$6:$R$1005,A833,'RECEBIMENTOS'!$X$6:$X$1005,1))</f>
        <v/>
      </c>
      <c r="M833" s="93" t="str">
        <f>IF(R833=0,"",SUMIFS('VÍNCULOS_CDF'!$H$6:$H$1005,'VÍNCULOS_CDF'!$R$6:$R$1005,A833,'VÍNCULOS_CDF'!$V$6:$V$1005,1))</f>
        <v/>
      </c>
      <c r="N833" s="99" t="str">
        <f>IF(OR(R833=0,AA833=0,NOT(ISNUMBER(I833))),"",I833-N(L833))</f>
        <v/>
      </c>
      <c r="O833" s="100" t="str">
        <f>IF(OR(R833=0,AK833&lt;=0),"",N(M833)/AK833)</f>
        <v/>
      </c>
      <c r="P833" s="94" t="str">
        <f>IF(R833=0,"",IF(S833="","Sem MTR associado",IF(U833=0,"MTR inexistente",IF(C833="","Resíduo não identificado",IF(V833=0,"Resíduo fora do cadastro",IF(W833=0,"Quantidade inválida",IF(H833="","Unidade não informada",IF(NOT(ISNUMBER(I833)),"Unidade a conferir",IF(AND(AH833=1,K833&lt;&gt;"Sim"),"Possível duplicidade",IF(Z833=1,"MTR cancelado",IF(AC833&gt;0,"Recebimento com alerta",IF(AA833=0,"Aguardando recebimento",IF(AB833&lt;AA833,"Recebimento a conferir",IF(AM833=1,"Quantidade a revisar",IF(AF833&gt;0,"Vínculo a revisar",IF(AD833=0,"Aguardando CDF",IF(AN833=0,"Vínculo de CDF parcial",IF(AE833&lt;AD833,"CDF a conferir","Documentação conferida"))))))))))))))))))</f>
        <v/>
      </c>
      <c r="Q833" s="93" t="str">
        <f>IF(OR(R833=0,AA833=0),"",MAX(0,N(L833)-N(M833)))</f>
        <v/>
      </c>
      <c r="R833" s="96">
        <f>IF(COUNTA(B833:C833,G833:H833,J833:K833)&gt;0,1,0)</f>
        <v>0</v>
      </c>
      <c r="S833" s="96" t="str">
        <f>IF(B833="","",TRIM(LEFT(B833,FIND(" |",B833&amp;" |")-1)))</f>
        <v/>
      </c>
      <c r="T833" s="96" t="str">
        <f>IF(S833="","",IFERROR(MATCH(S833,'MTRs'!$A$6:$A$505,0),""))</f>
        <v/>
      </c>
      <c r="U833" s="96">
        <f>IF(T833="",0,IF(INDEX('MTRs'!$Z$6:$Z$505,T833)=1,1,0))</f>
        <v>0</v>
      </c>
      <c r="V833" s="96">
        <f>IF(C833="",0,IF(ISNUMBER(MATCH(C833,'CAD_RESÍDUOS'!$B$6:$B$205,0)),1,0))</f>
        <v>0</v>
      </c>
      <c r="W833" s="96">
        <f>IF(AND(ISNUMBER(G833),G833&gt;0),1,0)</f>
        <v>0</v>
      </c>
      <c r="X833" s="96" t="str">
        <f>IF(H833="","",IFERROR(IF(ISNUMBER(INDEX(cfg_fac,MATCH(H833,cfg_units,0))),IF(INDEX(cfg_fac,MATCH(H833,cfg_units,0))&gt;0,INDEX(cfg_fac,MATCH(H833,cfg_units,0)),""),""),""))</f>
        <v/>
      </c>
      <c r="Y833" s="96">
        <f>IF(AND(W833=1,ISNUMBER(I833)),1,0)</f>
        <v>0</v>
      </c>
      <c r="Z833" s="96">
        <f>IF(U833=1,INDEX('MTRs'!$AA$6:$AA$505,T833),0)</f>
        <v>0</v>
      </c>
      <c r="AA833" s="96">
        <f>IF(R833=0,0,COUNTIFS('RECEBIMENTOS'!$R$6:$R$1005,A833,'RECEBIMENTOS'!$Q$6:$Q$1005,1))</f>
        <v>0</v>
      </c>
      <c r="AB833" s="96">
        <f>IF(R833=0,0,COUNTIFS('RECEBIMENTOS'!$R$6:$R$1005,A833,'RECEBIMENTOS'!$Z$6:$Z$1005,1))</f>
        <v>0</v>
      </c>
      <c r="AC833" s="96">
        <f>IF(R833=0,0,COUNTIFS('RECEBIMENTOS'!$R$6:$R$1005,A833,'RECEBIMENTOS'!$Y$6:$Y$1005,1))</f>
        <v>0</v>
      </c>
      <c r="AD833" s="96">
        <f>IF(R833=0,0,COUNTIFS('VÍNCULOS_CDF'!$R$6:$R$1005,A833,'VÍNCULOS_CDF'!$N$6:$N$1005,1))</f>
        <v>0</v>
      </c>
      <c r="AE833" s="96">
        <f>IF(R833=0,0,COUNTIFS('VÍNCULOS_CDF'!$R$6:$R$1005,A833,'VÍNCULOS_CDF'!$AA$6:$AA$1005,1))</f>
        <v>0</v>
      </c>
      <c r="AF833" s="96">
        <f>IF(R833=0,0,COUNTIFS('VÍNCULOS_CDF'!$R$6:$R$1005,A833,'VÍNCULOS_CDF'!$Y$6:$Y$1005,1))</f>
        <v>0</v>
      </c>
      <c r="AG833" s="96" t="str">
        <f>IF(AND(R833=1,S833&lt;&gt;"",C833&lt;&gt;""),S833&amp;"|"&amp;C833&amp;"|"&amp;G833&amp;"|"&amp;H833,"")</f>
        <v/>
      </c>
      <c r="AH833" s="96">
        <f>IF(AG833="",0,IF(SUMPRODUCT(--($AG$6:$AG$1005=AG833))&gt;1,1,0))</f>
        <v>0</v>
      </c>
      <c r="AI833" s="96">
        <f>IF(R833=0,0,IF(OR(U833=0,V833=0,Y833=0,AND(AH833=1,K833&lt;&gt;"Sim")),1,0))</f>
        <v>0</v>
      </c>
      <c r="AJ833" s="96">
        <f>IF(AND(R833=1,AA833&gt;0,AB833=AA833),1,0)</f>
        <v>0</v>
      </c>
      <c r="AK833" s="96">
        <f>IF(R833=0,0,IF(AA833&gt;0,N(L833),IF(ISNUMBER(I833),I833,0)))</f>
        <v>0</v>
      </c>
      <c r="AL833" s="96">
        <f>IF(R833=0,0,IF(AND(K833&lt;&gt;"Sim",N(M833)&gt;AK833+cfg_tol),1,0))</f>
        <v>0</v>
      </c>
      <c r="AM833" s="96">
        <f>IF(R833=0,0,IF(K833="Sim",0,IF(OR(AND(AA833&gt;0,ISNUMBER(I833),ABS(I833-N(L833))&gt;cfg_tol),AL833=1),1,0)))</f>
        <v>0</v>
      </c>
      <c r="AN833" s="96">
        <f>IF(AND(R833=1,N(M833)&gt;0,OR(N(M833)&gt;=AK833-cfg_tol,K833="Sim")),1,0)</f>
        <v>0</v>
      </c>
      <c r="AO833" s="96">
        <f>IF(AND(AN833=1,AD833&gt;0,AE833=AD833,AL833=0),1,0)</f>
        <v>0</v>
      </c>
      <c r="AP833" s="96">
        <f>IF(U833=0,0,IF(AND(INDEX('MTRs'!$AX$6:$AX$505,T833)=1,Z833=0,OR(f_res="",f_res="(Todos)",C833=f_res)),1,0))</f>
        <v>0</v>
      </c>
      <c r="AQ833" s="97" t="str">
        <f>IF(U833=0,"",INDEX('MTRs'!$AZ$6:$AZ$505,T833))</f>
        <v/>
      </c>
      <c r="AR833" s="96">
        <f>IF(U833=0,0,IF(AND(INDEX('MTRs'!$BA$6:$BA$505,T833)=1,Z833=0),1,0))</f>
        <v>0</v>
      </c>
      <c r="AS833" s="96" t="str">
        <f>IF(R833=1,A833&amp;" | MTR "&amp;IF(U833=1,INDEX('MTRs'!$B$6:$B$505,T833)&amp;"","?")&amp;" | "&amp;IF(C833="","(sem resíduo)",C833),"")</f>
        <v/>
      </c>
      <c r="AT833" s="96" t="str">
        <f>IF(R833=1,COUNTIF($R$6:R833,1),"")</f>
        <v/>
      </c>
      <c r="AU833" s="96" t="str">
        <f>IF(U833=1,INDEX('MTRs'!$I$6:$I$505,T833)&amp;"","")</f>
        <v/>
      </c>
    </row>
    <row r="834">
      <c r="A834" s="89" t="inlineStr">
        <is>
          <t>IT-000829</t>
        </is>
      </c>
      <c r="B834" s="91" t="n"/>
      <c r="C834" s="91" t="n"/>
      <c r="D834" s="94" t="str">
        <f>IF(OR(R834=0,V834=0),"",INDEX('CAD_RESÍDUOS'!$E$6:$E$205,MATCH(C834,'CAD_RESÍDUOS'!$B$6:$B$205,0))&amp;"")</f>
        <v/>
      </c>
      <c r="E834" s="94" t="str">
        <f>IF(OR(R834=0,V834=0),"",INDEX('CAD_RESÍDUOS'!$C$6:$C$205,MATCH(C834,'CAD_RESÍDUOS'!$B$6:$B$205,0))&amp;"")</f>
        <v/>
      </c>
      <c r="F834" s="94" t="str">
        <f>IF(OR(R834=0,V834=0),"",INDEX('CAD_RESÍDUOS'!$G$6:$G$205,MATCH(C834,'CAD_RESÍDUOS'!$B$6:$B$205,0))&amp;"")</f>
        <v/>
      </c>
      <c r="G834" s="98" t="n"/>
      <c r="H834" s="91" t="n"/>
      <c r="I834" s="93" t="str">
        <f>IF(R834=0,"",IF(NOT(ISNUMBER(G834)),"",IF(ISNUMBER(X834),G834*X834,"UNIDADE A CONFERIR")))</f>
        <v/>
      </c>
      <c r="J834" s="91" t="n"/>
      <c r="K834" s="91" t="n"/>
      <c r="L834" s="93" t="str">
        <f>IF(R834=0,"",SUMIFS('RECEBIMENTOS'!$H$6:$H$1005,'RECEBIMENTOS'!$R$6:$R$1005,A834,'RECEBIMENTOS'!$X$6:$X$1005,1))</f>
        <v/>
      </c>
      <c r="M834" s="93" t="str">
        <f>IF(R834=0,"",SUMIFS('VÍNCULOS_CDF'!$H$6:$H$1005,'VÍNCULOS_CDF'!$R$6:$R$1005,A834,'VÍNCULOS_CDF'!$V$6:$V$1005,1))</f>
        <v/>
      </c>
      <c r="N834" s="99" t="str">
        <f>IF(OR(R834=0,AA834=0,NOT(ISNUMBER(I834))),"",I834-N(L834))</f>
        <v/>
      </c>
      <c r="O834" s="100" t="str">
        <f>IF(OR(R834=0,AK834&lt;=0),"",N(M834)/AK834)</f>
        <v/>
      </c>
      <c r="P834" s="94" t="str">
        <f>IF(R834=0,"",IF(S834="","Sem MTR associado",IF(U834=0,"MTR inexistente",IF(C834="","Resíduo não identificado",IF(V834=0,"Resíduo fora do cadastro",IF(W834=0,"Quantidade inválida",IF(H834="","Unidade não informada",IF(NOT(ISNUMBER(I834)),"Unidade a conferir",IF(AND(AH834=1,K834&lt;&gt;"Sim"),"Possível duplicidade",IF(Z834=1,"MTR cancelado",IF(AC834&gt;0,"Recebimento com alerta",IF(AA834=0,"Aguardando recebimento",IF(AB834&lt;AA834,"Recebimento a conferir",IF(AM834=1,"Quantidade a revisar",IF(AF834&gt;0,"Vínculo a revisar",IF(AD834=0,"Aguardando CDF",IF(AN834=0,"Vínculo de CDF parcial",IF(AE834&lt;AD834,"CDF a conferir","Documentação conferida"))))))))))))))))))</f>
        <v/>
      </c>
      <c r="Q834" s="93" t="str">
        <f>IF(OR(R834=0,AA834=0),"",MAX(0,N(L834)-N(M834)))</f>
        <v/>
      </c>
      <c r="R834" s="96">
        <f>IF(COUNTA(B834:C834,G834:H834,J834:K834)&gt;0,1,0)</f>
        <v>0</v>
      </c>
      <c r="S834" s="96" t="str">
        <f>IF(B834="","",TRIM(LEFT(B834,FIND(" |",B834&amp;" |")-1)))</f>
        <v/>
      </c>
      <c r="T834" s="96" t="str">
        <f>IF(S834="","",IFERROR(MATCH(S834,'MTRs'!$A$6:$A$505,0),""))</f>
        <v/>
      </c>
      <c r="U834" s="96">
        <f>IF(T834="",0,IF(INDEX('MTRs'!$Z$6:$Z$505,T834)=1,1,0))</f>
        <v>0</v>
      </c>
      <c r="V834" s="96">
        <f>IF(C834="",0,IF(ISNUMBER(MATCH(C834,'CAD_RESÍDUOS'!$B$6:$B$205,0)),1,0))</f>
        <v>0</v>
      </c>
      <c r="W834" s="96">
        <f>IF(AND(ISNUMBER(G834),G834&gt;0),1,0)</f>
        <v>0</v>
      </c>
      <c r="X834" s="96" t="str">
        <f>IF(H834="","",IFERROR(IF(ISNUMBER(INDEX(cfg_fac,MATCH(H834,cfg_units,0))),IF(INDEX(cfg_fac,MATCH(H834,cfg_units,0))&gt;0,INDEX(cfg_fac,MATCH(H834,cfg_units,0)),""),""),""))</f>
        <v/>
      </c>
      <c r="Y834" s="96">
        <f>IF(AND(W834=1,ISNUMBER(I834)),1,0)</f>
        <v>0</v>
      </c>
      <c r="Z834" s="96">
        <f>IF(U834=1,INDEX('MTRs'!$AA$6:$AA$505,T834),0)</f>
        <v>0</v>
      </c>
      <c r="AA834" s="96">
        <f>IF(R834=0,0,COUNTIFS('RECEBIMENTOS'!$R$6:$R$1005,A834,'RECEBIMENTOS'!$Q$6:$Q$1005,1))</f>
        <v>0</v>
      </c>
      <c r="AB834" s="96">
        <f>IF(R834=0,0,COUNTIFS('RECEBIMENTOS'!$R$6:$R$1005,A834,'RECEBIMENTOS'!$Z$6:$Z$1005,1))</f>
        <v>0</v>
      </c>
      <c r="AC834" s="96">
        <f>IF(R834=0,0,COUNTIFS('RECEBIMENTOS'!$R$6:$R$1005,A834,'RECEBIMENTOS'!$Y$6:$Y$1005,1))</f>
        <v>0</v>
      </c>
      <c r="AD834" s="96">
        <f>IF(R834=0,0,COUNTIFS('VÍNCULOS_CDF'!$R$6:$R$1005,A834,'VÍNCULOS_CDF'!$N$6:$N$1005,1))</f>
        <v>0</v>
      </c>
      <c r="AE834" s="96">
        <f>IF(R834=0,0,COUNTIFS('VÍNCULOS_CDF'!$R$6:$R$1005,A834,'VÍNCULOS_CDF'!$AA$6:$AA$1005,1))</f>
        <v>0</v>
      </c>
      <c r="AF834" s="96">
        <f>IF(R834=0,0,COUNTIFS('VÍNCULOS_CDF'!$R$6:$R$1005,A834,'VÍNCULOS_CDF'!$Y$6:$Y$1005,1))</f>
        <v>0</v>
      </c>
      <c r="AG834" s="96" t="str">
        <f>IF(AND(R834=1,S834&lt;&gt;"",C834&lt;&gt;""),S834&amp;"|"&amp;C834&amp;"|"&amp;G834&amp;"|"&amp;H834,"")</f>
        <v/>
      </c>
      <c r="AH834" s="96">
        <f>IF(AG834="",0,IF(SUMPRODUCT(--($AG$6:$AG$1005=AG834))&gt;1,1,0))</f>
        <v>0</v>
      </c>
      <c r="AI834" s="96">
        <f>IF(R834=0,0,IF(OR(U834=0,V834=0,Y834=0,AND(AH834=1,K834&lt;&gt;"Sim")),1,0))</f>
        <v>0</v>
      </c>
      <c r="AJ834" s="96">
        <f>IF(AND(R834=1,AA834&gt;0,AB834=AA834),1,0)</f>
        <v>0</v>
      </c>
      <c r="AK834" s="96">
        <f>IF(R834=0,0,IF(AA834&gt;0,N(L834),IF(ISNUMBER(I834),I834,0)))</f>
        <v>0</v>
      </c>
      <c r="AL834" s="96">
        <f>IF(R834=0,0,IF(AND(K834&lt;&gt;"Sim",N(M834)&gt;AK834+cfg_tol),1,0))</f>
        <v>0</v>
      </c>
      <c r="AM834" s="96">
        <f>IF(R834=0,0,IF(K834="Sim",0,IF(OR(AND(AA834&gt;0,ISNUMBER(I834),ABS(I834-N(L834))&gt;cfg_tol),AL834=1),1,0)))</f>
        <v>0</v>
      </c>
      <c r="AN834" s="96">
        <f>IF(AND(R834=1,N(M834)&gt;0,OR(N(M834)&gt;=AK834-cfg_tol,K834="Sim")),1,0)</f>
        <v>0</v>
      </c>
      <c r="AO834" s="96">
        <f>IF(AND(AN834=1,AD834&gt;0,AE834=AD834,AL834=0),1,0)</f>
        <v>0</v>
      </c>
      <c r="AP834" s="96">
        <f>IF(U834=0,0,IF(AND(INDEX('MTRs'!$AX$6:$AX$505,T834)=1,Z834=0,OR(f_res="",f_res="(Todos)",C834=f_res)),1,0))</f>
        <v>0</v>
      </c>
      <c r="AQ834" s="97" t="str">
        <f>IF(U834=0,"",INDEX('MTRs'!$AZ$6:$AZ$505,T834))</f>
        <v/>
      </c>
      <c r="AR834" s="96">
        <f>IF(U834=0,0,IF(AND(INDEX('MTRs'!$BA$6:$BA$505,T834)=1,Z834=0),1,0))</f>
        <v>0</v>
      </c>
      <c r="AS834" s="96" t="str">
        <f>IF(R834=1,A834&amp;" | MTR "&amp;IF(U834=1,INDEX('MTRs'!$B$6:$B$505,T834)&amp;"","?")&amp;" | "&amp;IF(C834="","(sem resíduo)",C834),"")</f>
        <v/>
      </c>
      <c r="AT834" s="96" t="str">
        <f>IF(R834=1,COUNTIF($R$6:R834,1),"")</f>
        <v/>
      </c>
      <c r="AU834" s="96" t="str">
        <f>IF(U834=1,INDEX('MTRs'!$I$6:$I$505,T834)&amp;"","")</f>
        <v/>
      </c>
    </row>
    <row r="835">
      <c r="A835" s="89" t="inlineStr">
        <is>
          <t>IT-000830</t>
        </is>
      </c>
      <c r="B835" s="91" t="n"/>
      <c r="C835" s="91" t="n"/>
      <c r="D835" s="94" t="str">
        <f>IF(OR(R835=0,V835=0),"",INDEX('CAD_RESÍDUOS'!$E$6:$E$205,MATCH(C835,'CAD_RESÍDUOS'!$B$6:$B$205,0))&amp;"")</f>
        <v/>
      </c>
      <c r="E835" s="94" t="str">
        <f>IF(OR(R835=0,V835=0),"",INDEX('CAD_RESÍDUOS'!$C$6:$C$205,MATCH(C835,'CAD_RESÍDUOS'!$B$6:$B$205,0))&amp;"")</f>
        <v/>
      </c>
      <c r="F835" s="94" t="str">
        <f>IF(OR(R835=0,V835=0),"",INDEX('CAD_RESÍDUOS'!$G$6:$G$205,MATCH(C835,'CAD_RESÍDUOS'!$B$6:$B$205,0))&amp;"")</f>
        <v/>
      </c>
      <c r="G835" s="98" t="n"/>
      <c r="H835" s="91" t="n"/>
      <c r="I835" s="93" t="str">
        <f>IF(R835=0,"",IF(NOT(ISNUMBER(G835)),"",IF(ISNUMBER(X835),G835*X835,"UNIDADE A CONFERIR")))</f>
        <v/>
      </c>
      <c r="J835" s="91" t="n"/>
      <c r="K835" s="91" t="n"/>
      <c r="L835" s="93" t="str">
        <f>IF(R835=0,"",SUMIFS('RECEBIMENTOS'!$H$6:$H$1005,'RECEBIMENTOS'!$R$6:$R$1005,A835,'RECEBIMENTOS'!$X$6:$X$1005,1))</f>
        <v/>
      </c>
      <c r="M835" s="93" t="str">
        <f>IF(R835=0,"",SUMIFS('VÍNCULOS_CDF'!$H$6:$H$1005,'VÍNCULOS_CDF'!$R$6:$R$1005,A835,'VÍNCULOS_CDF'!$V$6:$V$1005,1))</f>
        <v/>
      </c>
      <c r="N835" s="99" t="str">
        <f>IF(OR(R835=0,AA835=0,NOT(ISNUMBER(I835))),"",I835-N(L835))</f>
        <v/>
      </c>
      <c r="O835" s="100" t="str">
        <f>IF(OR(R835=0,AK835&lt;=0),"",N(M835)/AK835)</f>
        <v/>
      </c>
      <c r="P835" s="94" t="str">
        <f>IF(R835=0,"",IF(S835="","Sem MTR associado",IF(U835=0,"MTR inexistente",IF(C835="","Resíduo não identificado",IF(V835=0,"Resíduo fora do cadastro",IF(W835=0,"Quantidade inválida",IF(H835="","Unidade não informada",IF(NOT(ISNUMBER(I835)),"Unidade a conferir",IF(AND(AH835=1,K835&lt;&gt;"Sim"),"Possível duplicidade",IF(Z835=1,"MTR cancelado",IF(AC835&gt;0,"Recebimento com alerta",IF(AA835=0,"Aguardando recebimento",IF(AB835&lt;AA835,"Recebimento a conferir",IF(AM835=1,"Quantidade a revisar",IF(AF835&gt;0,"Vínculo a revisar",IF(AD835=0,"Aguardando CDF",IF(AN835=0,"Vínculo de CDF parcial",IF(AE835&lt;AD835,"CDF a conferir","Documentação conferida"))))))))))))))))))</f>
        <v/>
      </c>
      <c r="Q835" s="93" t="str">
        <f>IF(OR(R835=0,AA835=0),"",MAX(0,N(L835)-N(M835)))</f>
        <v/>
      </c>
      <c r="R835" s="96">
        <f>IF(COUNTA(B835:C835,G835:H835,J835:K835)&gt;0,1,0)</f>
        <v>0</v>
      </c>
      <c r="S835" s="96" t="str">
        <f>IF(B835="","",TRIM(LEFT(B835,FIND(" |",B835&amp;" |")-1)))</f>
        <v/>
      </c>
      <c r="T835" s="96" t="str">
        <f>IF(S835="","",IFERROR(MATCH(S835,'MTRs'!$A$6:$A$505,0),""))</f>
        <v/>
      </c>
      <c r="U835" s="96">
        <f>IF(T835="",0,IF(INDEX('MTRs'!$Z$6:$Z$505,T835)=1,1,0))</f>
        <v>0</v>
      </c>
      <c r="V835" s="96">
        <f>IF(C835="",0,IF(ISNUMBER(MATCH(C835,'CAD_RESÍDUOS'!$B$6:$B$205,0)),1,0))</f>
        <v>0</v>
      </c>
      <c r="W835" s="96">
        <f>IF(AND(ISNUMBER(G835),G835&gt;0),1,0)</f>
        <v>0</v>
      </c>
      <c r="X835" s="96" t="str">
        <f>IF(H835="","",IFERROR(IF(ISNUMBER(INDEX(cfg_fac,MATCH(H835,cfg_units,0))),IF(INDEX(cfg_fac,MATCH(H835,cfg_units,0))&gt;0,INDEX(cfg_fac,MATCH(H835,cfg_units,0)),""),""),""))</f>
        <v/>
      </c>
      <c r="Y835" s="96">
        <f>IF(AND(W835=1,ISNUMBER(I835)),1,0)</f>
        <v>0</v>
      </c>
      <c r="Z835" s="96">
        <f>IF(U835=1,INDEX('MTRs'!$AA$6:$AA$505,T835),0)</f>
        <v>0</v>
      </c>
      <c r="AA835" s="96">
        <f>IF(R835=0,0,COUNTIFS('RECEBIMENTOS'!$R$6:$R$1005,A835,'RECEBIMENTOS'!$Q$6:$Q$1005,1))</f>
        <v>0</v>
      </c>
      <c r="AB835" s="96">
        <f>IF(R835=0,0,COUNTIFS('RECEBIMENTOS'!$R$6:$R$1005,A835,'RECEBIMENTOS'!$Z$6:$Z$1005,1))</f>
        <v>0</v>
      </c>
      <c r="AC835" s="96">
        <f>IF(R835=0,0,COUNTIFS('RECEBIMENTOS'!$R$6:$R$1005,A835,'RECEBIMENTOS'!$Y$6:$Y$1005,1))</f>
        <v>0</v>
      </c>
      <c r="AD835" s="96">
        <f>IF(R835=0,0,COUNTIFS('VÍNCULOS_CDF'!$R$6:$R$1005,A835,'VÍNCULOS_CDF'!$N$6:$N$1005,1))</f>
        <v>0</v>
      </c>
      <c r="AE835" s="96">
        <f>IF(R835=0,0,COUNTIFS('VÍNCULOS_CDF'!$R$6:$R$1005,A835,'VÍNCULOS_CDF'!$AA$6:$AA$1005,1))</f>
        <v>0</v>
      </c>
      <c r="AF835" s="96">
        <f>IF(R835=0,0,COUNTIFS('VÍNCULOS_CDF'!$R$6:$R$1005,A835,'VÍNCULOS_CDF'!$Y$6:$Y$1005,1))</f>
        <v>0</v>
      </c>
      <c r="AG835" s="96" t="str">
        <f>IF(AND(R835=1,S835&lt;&gt;"",C835&lt;&gt;""),S835&amp;"|"&amp;C835&amp;"|"&amp;G835&amp;"|"&amp;H835,"")</f>
        <v/>
      </c>
      <c r="AH835" s="96">
        <f>IF(AG835="",0,IF(SUMPRODUCT(--($AG$6:$AG$1005=AG835))&gt;1,1,0))</f>
        <v>0</v>
      </c>
      <c r="AI835" s="96">
        <f>IF(R835=0,0,IF(OR(U835=0,V835=0,Y835=0,AND(AH835=1,K835&lt;&gt;"Sim")),1,0))</f>
        <v>0</v>
      </c>
      <c r="AJ835" s="96">
        <f>IF(AND(R835=1,AA835&gt;0,AB835=AA835),1,0)</f>
        <v>0</v>
      </c>
      <c r="AK835" s="96">
        <f>IF(R835=0,0,IF(AA835&gt;0,N(L835),IF(ISNUMBER(I835),I835,0)))</f>
        <v>0</v>
      </c>
      <c r="AL835" s="96">
        <f>IF(R835=0,0,IF(AND(K835&lt;&gt;"Sim",N(M835)&gt;AK835+cfg_tol),1,0))</f>
        <v>0</v>
      </c>
      <c r="AM835" s="96">
        <f>IF(R835=0,0,IF(K835="Sim",0,IF(OR(AND(AA835&gt;0,ISNUMBER(I835),ABS(I835-N(L835))&gt;cfg_tol),AL835=1),1,0)))</f>
        <v>0</v>
      </c>
      <c r="AN835" s="96">
        <f>IF(AND(R835=1,N(M835)&gt;0,OR(N(M835)&gt;=AK835-cfg_tol,K835="Sim")),1,0)</f>
        <v>0</v>
      </c>
      <c r="AO835" s="96">
        <f>IF(AND(AN835=1,AD835&gt;0,AE835=AD835,AL835=0),1,0)</f>
        <v>0</v>
      </c>
      <c r="AP835" s="96">
        <f>IF(U835=0,0,IF(AND(INDEX('MTRs'!$AX$6:$AX$505,T835)=1,Z835=0,OR(f_res="",f_res="(Todos)",C835=f_res)),1,0))</f>
        <v>0</v>
      </c>
      <c r="AQ835" s="97" t="str">
        <f>IF(U835=0,"",INDEX('MTRs'!$AZ$6:$AZ$505,T835))</f>
        <v/>
      </c>
      <c r="AR835" s="96">
        <f>IF(U835=0,0,IF(AND(INDEX('MTRs'!$BA$6:$BA$505,T835)=1,Z835=0),1,0))</f>
        <v>0</v>
      </c>
      <c r="AS835" s="96" t="str">
        <f>IF(R835=1,A835&amp;" | MTR "&amp;IF(U835=1,INDEX('MTRs'!$B$6:$B$505,T835)&amp;"","?")&amp;" | "&amp;IF(C835="","(sem resíduo)",C835),"")</f>
        <v/>
      </c>
      <c r="AT835" s="96" t="str">
        <f>IF(R835=1,COUNTIF($R$6:R835,1),"")</f>
        <v/>
      </c>
      <c r="AU835" s="96" t="str">
        <f>IF(U835=1,INDEX('MTRs'!$I$6:$I$505,T835)&amp;"","")</f>
        <v/>
      </c>
    </row>
    <row r="836">
      <c r="A836" s="89" t="inlineStr">
        <is>
          <t>IT-000831</t>
        </is>
      </c>
      <c r="B836" s="91" t="n"/>
      <c r="C836" s="91" t="n"/>
      <c r="D836" s="94" t="str">
        <f>IF(OR(R836=0,V836=0),"",INDEX('CAD_RESÍDUOS'!$E$6:$E$205,MATCH(C836,'CAD_RESÍDUOS'!$B$6:$B$205,0))&amp;"")</f>
        <v/>
      </c>
      <c r="E836" s="94" t="str">
        <f>IF(OR(R836=0,V836=0),"",INDEX('CAD_RESÍDUOS'!$C$6:$C$205,MATCH(C836,'CAD_RESÍDUOS'!$B$6:$B$205,0))&amp;"")</f>
        <v/>
      </c>
      <c r="F836" s="94" t="str">
        <f>IF(OR(R836=0,V836=0),"",INDEX('CAD_RESÍDUOS'!$G$6:$G$205,MATCH(C836,'CAD_RESÍDUOS'!$B$6:$B$205,0))&amp;"")</f>
        <v/>
      </c>
      <c r="G836" s="98" t="n"/>
      <c r="H836" s="91" t="n"/>
      <c r="I836" s="93" t="str">
        <f>IF(R836=0,"",IF(NOT(ISNUMBER(G836)),"",IF(ISNUMBER(X836),G836*X836,"UNIDADE A CONFERIR")))</f>
        <v/>
      </c>
      <c r="J836" s="91" t="n"/>
      <c r="K836" s="91" t="n"/>
      <c r="L836" s="93" t="str">
        <f>IF(R836=0,"",SUMIFS('RECEBIMENTOS'!$H$6:$H$1005,'RECEBIMENTOS'!$R$6:$R$1005,A836,'RECEBIMENTOS'!$X$6:$X$1005,1))</f>
        <v/>
      </c>
      <c r="M836" s="93" t="str">
        <f>IF(R836=0,"",SUMIFS('VÍNCULOS_CDF'!$H$6:$H$1005,'VÍNCULOS_CDF'!$R$6:$R$1005,A836,'VÍNCULOS_CDF'!$V$6:$V$1005,1))</f>
        <v/>
      </c>
      <c r="N836" s="99" t="str">
        <f>IF(OR(R836=0,AA836=0,NOT(ISNUMBER(I836))),"",I836-N(L836))</f>
        <v/>
      </c>
      <c r="O836" s="100" t="str">
        <f>IF(OR(R836=0,AK836&lt;=0),"",N(M836)/AK836)</f>
        <v/>
      </c>
      <c r="P836" s="94" t="str">
        <f>IF(R836=0,"",IF(S836="","Sem MTR associado",IF(U836=0,"MTR inexistente",IF(C836="","Resíduo não identificado",IF(V836=0,"Resíduo fora do cadastro",IF(W836=0,"Quantidade inválida",IF(H836="","Unidade não informada",IF(NOT(ISNUMBER(I836)),"Unidade a conferir",IF(AND(AH836=1,K836&lt;&gt;"Sim"),"Possível duplicidade",IF(Z836=1,"MTR cancelado",IF(AC836&gt;0,"Recebimento com alerta",IF(AA836=0,"Aguardando recebimento",IF(AB836&lt;AA836,"Recebimento a conferir",IF(AM836=1,"Quantidade a revisar",IF(AF836&gt;0,"Vínculo a revisar",IF(AD836=0,"Aguardando CDF",IF(AN836=0,"Vínculo de CDF parcial",IF(AE836&lt;AD836,"CDF a conferir","Documentação conferida"))))))))))))))))))</f>
        <v/>
      </c>
      <c r="Q836" s="93" t="str">
        <f>IF(OR(R836=0,AA836=0),"",MAX(0,N(L836)-N(M836)))</f>
        <v/>
      </c>
      <c r="R836" s="96">
        <f>IF(COUNTA(B836:C836,G836:H836,J836:K836)&gt;0,1,0)</f>
        <v>0</v>
      </c>
      <c r="S836" s="96" t="str">
        <f>IF(B836="","",TRIM(LEFT(B836,FIND(" |",B836&amp;" |")-1)))</f>
        <v/>
      </c>
      <c r="T836" s="96" t="str">
        <f>IF(S836="","",IFERROR(MATCH(S836,'MTRs'!$A$6:$A$505,0),""))</f>
        <v/>
      </c>
      <c r="U836" s="96">
        <f>IF(T836="",0,IF(INDEX('MTRs'!$Z$6:$Z$505,T836)=1,1,0))</f>
        <v>0</v>
      </c>
      <c r="V836" s="96">
        <f>IF(C836="",0,IF(ISNUMBER(MATCH(C836,'CAD_RESÍDUOS'!$B$6:$B$205,0)),1,0))</f>
        <v>0</v>
      </c>
      <c r="W836" s="96">
        <f>IF(AND(ISNUMBER(G836),G836&gt;0),1,0)</f>
        <v>0</v>
      </c>
      <c r="X836" s="96" t="str">
        <f>IF(H836="","",IFERROR(IF(ISNUMBER(INDEX(cfg_fac,MATCH(H836,cfg_units,0))),IF(INDEX(cfg_fac,MATCH(H836,cfg_units,0))&gt;0,INDEX(cfg_fac,MATCH(H836,cfg_units,0)),""),""),""))</f>
        <v/>
      </c>
      <c r="Y836" s="96">
        <f>IF(AND(W836=1,ISNUMBER(I836)),1,0)</f>
        <v>0</v>
      </c>
      <c r="Z836" s="96">
        <f>IF(U836=1,INDEX('MTRs'!$AA$6:$AA$505,T836),0)</f>
        <v>0</v>
      </c>
      <c r="AA836" s="96">
        <f>IF(R836=0,0,COUNTIFS('RECEBIMENTOS'!$R$6:$R$1005,A836,'RECEBIMENTOS'!$Q$6:$Q$1005,1))</f>
        <v>0</v>
      </c>
      <c r="AB836" s="96">
        <f>IF(R836=0,0,COUNTIFS('RECEBIMENTOS'!$R$6:$R$1005,A836,'RECEBIMENTOS'!$Z$6:$Z$1005,1))</f>
        <v>0</v>
      </c>
      <c r="AC836" s="96">
        <f>IF(R836=0,0,COUNTIFS('RECEBIMENTOS'!$R$6:$R$1005,A836,'RECEBIMENTOS'!$Y$6:$Y$1005,1))</f>
        <v>0</v>
      </c>
      <c r="AD836" s="96">
        <f>IF(R836=0,0,COUNTIFS('VÍNCULOS_CDF'!$R$6:$R$1005,A836,'VÍNCULOS_CDF'!$N$6:$N$1005,1))</f>
        <v>0</v>
      </c>
      <c r="AE836" s="96">
        <f>IF(R836=0,0,COUNTIFS('VÍNCULOS_CDF'!$R$6:$R$1005,A836,'VÍNCULOS_CDF'!$AA$6:$AA$1005,1))</f>
        <v>0</v>
      </c>
      <c r="AF836" s="96">
        <f>IF(R836=0,0,COUNTIFS('VÍNCULOS_CDF'!$R$6:$R$1005,A836,'VÍNCULOS_CDF'!$Y$6:$Y$1005,1))</f>
        <v>0</v>
      </c>
      <c r="AG836" s="96" t="str">
        <f>IF(AND(R836=1,S836&lt;&gt;"",C836&lt;&gt;""),S836&amp;"|"&amp;C836&amp;"|"&amp;G836&amp;"|"&amp;H836,"")</f>
        <v/>
      </c>
      <c r="AH836" s="96">
        <f>IF(AG836="",0,IF(SUMPRODUCT(--($AG$6:$AG$1005=AG836))&gt;1,1,0))</f>
        <v>0</v>
      </c>
      <c r="AI836" s="96">
        <f>IF(R836=0,0,IF(OR(U836=0,V836=0,Y836=0,AND(AH836=1,K836&lt;&gt;"Sim")),1,0))</f>
        <v>0</v>
      </c>
      <c r="AJ836" s="96">
        <f>IF(AND(R836=1,AA836&gt;0,AB836=AA836),1,0)</f>
        <v>0</v>
      </c>
      <c r="AK836" s="96">
        <f>IF(R836=0,0,IF(AA836&gt;0,N(L836),IF(ISNUMBER(I836),I836,0)))</f>
        <v>0</v>
      </c>
      <c r="AL836" s="96">
        <f>IF(R836=0,0,IF(AND(K836&lt;&gt;"Sim",N(M836)&gt;AK836+cfg_tol),1,0))</f>
        <v>0</v>
      </c>
      <c r="AM836" s="96">
        <f>IF(R836=0,0,IF(K836="Sim",0,IF(OR(AND(AA836&gt;0,ISNUMBER(I836),ABS(I836-N(L836))&gt;cfg_tol),AL836=1),1,0)))</f>
        <v>0</v>
      </c>
      <c r="AN836" s="96">
        <f>IF(AND(R836=1,N(M836)&gt;0,OR(N(M836)&gt;=AK836-cfg_tol,K836="Sim")),1,0)</f>
        <v>0</v>
      </c>
      <c r="AO836" s="96">
        <f>IF(AND(AN836=1,AD836&gt;0,AE836=AD836,AL836=0),1,0)</f>
        <v>0</v>
      </c>
      <c r="AP836" s="96">
        <f>IF(U836=0,0,IF(AND(INDEX('MTRs'!$AX$6:$AX$505,T836)=1,Z836=0,OR(f_res="",f_res="(Todos)",C836=f_res)),1,0))</f>
        <v>0</v>
      </c>
      <c r="AQ836" s="97" t="str">
        <f>IF(U836=0,"",INDEX('MTRs'!$AZ$6:$AZ$505,T836))</f>
        <v/>
      </c>
      <c r="AR836" s="96">
        <f>IF(U836=0,0,IF(AND(INDEX('MTRs'!$BA$6:$BA$505,T836)=1,Z836=0),1,0))</f>
        <v>0</v>
      </c>
      <c r="AS836" s="96" t="str">
        <f>IF(R836=1,A836&amp;" | MTR "&amp;IF(U836=1,INDEX('MTRs'!$B$6:$B$505,T836)&amp;"","?")&amp;" | "&amp;IF(C836="","(sem resíduo)",C836),"")</f>
        <v/>
      </c>
      <c r="AT836" s="96" t="str">
        <f>IF(R836=1,COUNTIF($R$6:R836,1),"")</f>
        <v/>
      </c>
      <c r="AU836" s="96" t="str">
        <f>IF(U836=1,INDEX('MTRs'!$I$6:$I$505,T836)&amp;"","")</f>
        <v/>
      </c>
    </row>
    <row r="837">
      <c r="A837" s="89" t="inlineStr">
        <is>
          <t>IT-000832</t>
        </is>
      </c>
      <c r="B837" s="91" t="n"/>
      <c r="C837" s="91" t="n"/>
      <c r="D837" s="94" t="str">
        <f>IF(OR(R837=0,V837=0),"",INDEX('CAD_RESÍDUOS'!$E$6:$E$205,MATCH(C837,'CAD_RESÍDUOS'!$B$6:$B$205,0))&amp;"")</f>
        <v/>
      </c>
      <c r="E837" s="94" t="str">
        <f>IF(OR(R837=0,V837=0),"",INDEX('CAD_RESÍDUOS'!$C$6:$C$205,MATCH(C837,'CAD_RESÍDUOS'!$B$6:$B$205,0))&amp;"")</f>
        <v/>
      </c>
      <c r="F837" s="94" t="str">
        <f>IF(OR(R837=0,V837=0),"",INDEX('CAD_RESÍDUOS'!$G$6:$G$205,MATCH(C837,'CAD_RESÍDUOS'!$B$6:$B$205,0))&amp;"")</f>
        <v/>
      </c>
      <c r="G837" s="98" t="n"/>
      <c r="H837" s="91" t="n"/>
      <c r="I837" s="93" t="str">
        <f>IF(R837=0,"",IF(NOT(ISNUMBER(G837)),"",IF(ISNUMBER(X837),G837*X837,"UNIDADE A CONFERIR")))</f>
        <v/>
      </c>
      <c r="J837" s="91" t="n"/>
      <c r="K837" s="91" t="n"/>
      <c r="L837" s="93" t="str">
        <f>IF(R837=0,"",SUMIFS('RECEBIMENTOS'!$H$6:$H$1005,'RECEBIMENTOS'!$R$6:$R$1005,A837,'RECEBIMENTOS'!$X$6:$X$1005,1))</f>
        <v/>
      </c>
      <c r="M837" s="93" t="str">
        <f>IF(R837=0,"",SUMIFS('VÍNCULOS_CDF'!$H$6:$H$1005,'VÍNCULOS_CDF'!$R$6:$R$1005,A837,'VÍNCULOS_CDF'!$V$6:$V$1005,1))</f>
        <v/>
      </c>
      <c r="N837" s="99" t="str">
        <f>IF(OR(R837=0,AA837=0,NOT(ISNUMBER(I837))),"",I837-N(L837))</f>
        <v/>
      </c>
      <c r="O837" s="100" t="str">
        <f>IF(OR(R837=0,AK837&lt;=0),"",N(M837)/AK837)</f>
        <v/>
      </c>
      <c r="P837" s="94" t="str">
        <f>IF(R837=0,"",IF(S837="","Sem MTR associado",IF(U837=0,"MTR inexistente",IF(C837="","Resíduo não identificado",IF(V837=0,"Resíduo fora do cadastro",IF(W837=0,"Quantidade inválida",IF(H837="","Unidade não informada",IF(NOT(ISNUMBER(I837)),"Unidade a conferir",IF(AND(AH837=1,K837&lt;&gt;"Sim"),"Possível duplicidade",IF(Z837=1,"MTR cancelado",IF(AC837&gt;0,"Recebimento com alerta",IF(AA837=0,"Aguardando recebimento",IF(AB837&lt;AA837,"Recebimento a conferir",IF(AM837=1,"Quantidade a revisar",IF(AF837&gt;0,"Vínculo a revisar",IF(AD837=0,"Aguardando CDF",IF(AN837=0,"Vínculo de CDF parcial",IF(AE837&lt;AD837,"CDF a conferir","Documentação conferida"))))))))))))))))))</f>
        <v/>
      </c>
      <c r="Q837" s="93" t="str">
        <f>IF(OR(R837=0,AA837=0),"",MAX(0,N(L837)-N(M837)))</f>
        <v/>
      </c>
      <c r="R837" s="96">
        <f>IF(COUNTA(B837:C837,G837:H837,J837:K837)&gt;0,1,0)</f>
        <v>0</v>
      </c>
      <c r="S837" s="96" t="str">
        <f>IF(B837="","",TRIM(LEFT(B837,FIND(" |",B837&amp;" |")-1)))</f>
        <v/>
      </c>
      <c r="T837" s="96" t="str">
        <f>IF(S837="","",IFERROR(MATCH(S837,'MTRs'!$A$6:$A$505,0),""))</f>
        <v/>
      </c>
      <c r="U837" s="96">
        <f>IF(T837="",0,IF(INDEX('MTRs'!$Z$6:$Z$505,T837)=1,1,0))</f>
        <v>0</v>
      </c>
      <c r="V837" s="96">
        <f>IF(C837="",0,IF(ISNUMBER(MATCH(C837,'CAD_RESÍDUOS'!$B$6:$B$205,0)),1,0))</f>
        <v>0</v>
      </c>
      <c r="W837" s="96">
        <f>IF(AND(ISNUMBER(G837),G837&gt;0),1,0)</f>
        <v>0</v>
      </c>
      <c r="X837" s="96" t="str">
        <f>IF(H837="","",IFERROR(IF(ISNUMBER(INDEX(cfg_fac,MATCH(H837,cfg_units,0))),IF(INDEX(cfg_fac,MATCH(H837,cfg_units,0))&gt;0,INDEX(cfg_fac,MATCH(H837,cfg_units,0)),""),""),""))</f>
        <v/>
      </c>
      <c r="Y837" s="96">
        <f>IF(AND(W837=1,ISNUMBER(I837)),1,0)</f>
        <v>0</v>
      </c>
      <c r="Z837" s="96">
        <f>IF(U837=1,INDEX('MTRs'!$AA$6:$AA$505,T837),0)</f>
        <v>0</v>
      </c>
      <c r="AA837" s="96">
        <f>IF(R837=0,0,COUNTIFS('RECEBIMENTOS'!$R$6:$R$1005,A837,'RECEBIMENTOS'!$Q$6:$Q$1005,1))</f>
        <v>0</v>
      </c>
      <c r="AB837" s="96">
        <f>IF(R837=0,0,COUNTIFS('RECEBIMENTOS'!$R$6:$R$1005,A837,'RECEBIMENTOS'!$Z$6:$Z$1005,1))</f>
        <v>0</v>
      </c>
      <c r="AC837" s="96">
        <f>IF(R837=0,0,COUNTIFS('RECEBIMENTOS'!$R$6:$R$1005,A837,'RECEBIMENTOS'!$Y$6:$Y$1005,1))</f>
        <v>0</v>
      </c>
      <c r="AD837" s="96">
        <f>IF(R837=0,0,COUNTIFS('VÍNCULOS_CDF'!$R$6:$R$1005,A837,'VÍNCULOS_CDF'!$N$6:$N$1005,1))</f>
        <v>0</v>
      </c>
      <c r="AE837" s="96">
        <f>IF(R837=0,0,COUNTIFS('VÍNCULOS_CDF'!$R$6:$R$1005,A837,'VÍNCULOS_CDF'!$AA$6:$AA$1005,1))</f>
        <v>0</v>
      </c>
      <c r="AF837" s="96">
        <f>IF(R837=0,0,COUNTIFS('VÍNCULOS_CDF'!$R$6:$R$1005,A837,'VÍNCULOS_CDF'!$Y$6:$Y$1005,1))</f>
        <v>0</v>
      </c>
      <c r="AG837" s="96" t="str">
        <f>IF(AND(R837=1,S837&lt;&gt;"",C837&lt;&gt;""),S837&amp;"|"&amp;C837&amp;"|"&amp;G837&amp;"|"&amp;H837,"")</f>
        <v/>
      </c>
      <c r="AH837" s="96">
        <f>IF(AG837="",0,IF(SUMPRODUCT(--($AG$6:$AG$1005=AG837))&gt;1,1,0))</f>
        <v>0</v>
      </c>
      <c r="AI837" s="96">
        <f>IF(R837=0,0,IF(OR(U837=0,V837=0,Y837=0,AND(AH837=1,K837&lt;&gt;"Sim")),1,0))</f>
        <v>0</v>
      </c>
      <c r="AJ837" s="96">
        <f>IF(AND(R837=1,AA837&gt;0,AB837=AA837),1,0)</f>
        <v>0</v>
      </c>
      <c r="AK837" s="96">
        <f>IF(R837=0,0,IF(AA837&gt;0,N(L837),IF(ISNUMBER(I837),I837,0)))</f>
        <v>0</v>
      </c>
      <c r="AL837" s="96">
        <f>IF(R837=0,0,IF(AND(K837&lt;&gt;"Sim",N(M837)&gt;AK837+cfg_tol),1,0))</f>
        <v>0</v>
      </c>
      <c r="AM837" s="96">
        <f>IF(R837=0,0,IF(K837="Sim",0,IF(OR(AND(AA837&gt;0,ISNUMBER(I837),ABS(I837-N(L837))&gt;cfg_tol),AL837=1),1,0)))</f>
        <v>0</v>
      </c>
      <c r="AN837" s="96">
        <f>IF(AND(R837=1,N(M837)&gt;0,OR(N(M837)&gt;=AK837-cfg_tol,K837="Sim")),1,0)</f>
        <v>0</v>
      </c>
      <c r="AO837" s="96">
        <f>IF(AND(AN837=1,AD837&gt;0,AE837=AD837,AL837=0),1,0)</f>
        <v>0</v>
      </c>
      <c r="AP837" s="96">
        <f>IF(U837=0,0,IF(AND(INDEX('MTRs'!$AX$6:$AX$505,T837)=1,Z837=0,OR(f_res="",f_res="(Todos)",C837=f_res)),1,0))</f>
        <v>0</v>
      </c>
      <c r="AQ837" s="97" t="str">
        <f>IF(U837=0,"",INDEX('MTRs'!$AZ$6:$AZ$505,T837))</f>
        <v/>
      </c>
      <c r="AR837" s="96">
        <f>IF(U837=0,0,IF(AND(INDEX('MTRs'!$BA$6:$BA$505,T837)=1,Z837=0),1,0))</f>
        <v>0</v>
      </c>
      <c r="AS837" s="96" t="str">
        <f>IF(R837=1,A837&amp;" | MTR "&amp;IF(U837=1,INDEX('MTRs'!$B$6:$B$505,T837)&amp;"","?")&amp;" | "&amp;IF(C837="","(sem resíduo)",C837),"")</f>
        <v/>
      </c>
      <c r="AT837" s="96" t="str">
        <f>IF(R837=1,COUNTIF($R$6:R837,1),"")</f>
        <v/>
      </c>
      <c r="AU837" s="96" t="str">
        <f>IF(U837=1,INDEX('MTRs'!$I$6:$I$505,T837)&amp;"","")</f>
        <v/>
      </c>
    </row>
    <row r="838">
      <c r="A838" s="89" t="inlineStr">
        <is>
          <t>IT-000833</t>
        </is>
      </c>
      <c r="B838" s="91" t="n"/>
      <c r="C838" s="91" t="n"/>
      <c r="D838" s="94" t="str">
        <f>IF(OR(R838=0,V838=0),"",INDEX('CAD_RESÍDUOS'!$E$6:$E$205,MATCH(C838,'CAD_RESÍDUOS'!$B$6:$B$205,0))&amp;"")</f>
        <v/>
      </c>
      <c r="E838" s="94" t="str">
        <f>IF(OR(R838=0,V838=0),"",INDEX('CAD_RESÍDUOS'!$C$6:$C$205,MATCH(C838,'CAD_RESÍDUOS'!$B$6:$B$205,0))&amp;"")</f>
        <v/>
      </c>
      <c r="F838" s="94" t="str">
        <f>IF(OR(R838=0,V838=0),"",INDEX('CAD_RESÍDUOS'!$G$6:$G$205,MATCH(C838,'CAD_RESÍDUOS'!$B$6:$B$205,0))&amp;"")</f>
        <v/>
      </c>
      <c r="G838" s="98" t="n"/>
      <c r="H838" s="91" t="n"/>
      <c r="I838" s="93" t="str">
        <f>IF(R838=0,"",IF(NOT(ISNUMBER(G838)),"",IF(ISNUMBER(X838),G838*X838,"UNIDADE A CONFERIR")))</f>
        <v/>
      </c>
      <c r="J838" s="91" t="n"/>
      <c r="K838" s="91" t="n"/>
      <c r="L838" s="93" t="str">
        <f>IF(R838=0,"",SUMIFS('RECEBIMENTOS'!$H$6:$H$1005,'RECEBIMENTOS'!$R$6:$R$1005,A838,'RECEBIMENTOS'!$X$6:$X$1005,1))</f>
        <v/>
      </c>
      <c r="M838" s="93" t="str">
        <f>IF(R838=0,"",SUMIFS('VÍNCULOS_CDF'!$H$6:$H$1005,'VÍNCULOS_CDF'!$R$6:$R$1005,A838,'VÍNCULOS_CDF'!$V$6:$V$1005,1))</f>
        <v/>
      </c>
      <c r="N838" s="99" t="str">
        <f>IF(OR(R838=0,AA838=0,NOT(ISNUMBER(I838))),"",I838-N(L838))</f>
        <v/>
      </c>
      <c r="O838" s="100" t="str">
        <f>IF(OR(R838=0,AK838&lt;=0),"",N(M838)/AK838)</f>
        <v/>
      </c>
      <c r="P838" s="94" t="str">
        <f>IF(R838=0,"",IF(S838="","Sem MTR associado",IF(U838=0,"MTR inexistente",IF(C838="","Resíduo não identificado",IF(V838=0,"Resíduo fora do cadastro",IF(W838=0,"Quantidade inválida",IF(H838="","Unidade não informada",IF(NOT(ISNUMBER(I838)),"Unidade a conferir",IF(AND(AH838=1,K838&lt;&gt;"Sim"),"Possível duplicidade",IF(Z838=1,"MTR cancelado",IF(AC838&gt;0,"Recebimento com alerta",IF(AA838=0,"Aguardando recebimento",IF(AB838&lt;AA838,"Recebimento a conferir",IF(AM838=1,"Quantidade a revisar",IF(AF838&gt;0,"Vínculo a revisar",IF(AD838=0,"Aguardando CDF",IF(AN838=0,"Vínculo de CDF parcial",IF(AE838&lt;AD838,"CDF a conferir","Documentação conferida"))))))))))))))))))</f>
        <v/>
      </c>
      <c r="Q838" s="93" t="str">
        <f>IF(OR(R838=0,AA838=0),"",MAX(0,N(L838)-N(M838)))</f>
        <v/>
      </c>
      <c r="R838" s="96">
        <f>IF(COUNTA(B838:C838,G838:H838,J838:K838)&gt;0,1,0)</f>
        <v>0</v>
      </c>
      <c r="S838" s="96" t="str">
        <f>IF(B838="","",TRIM(LEFT(B838,FIND(" |",B838&amp;" |")-1)))</f>
        <v/>
      </c>
      <c r="T838" s="96" t="str">
        <f>IF(S838="","",IFERROR(MATCH(S838,'MTRs'!$A$6:$A$505,0),""))</f>
        <v/>
      </c>
      <c r="U838" s="96">
        <f>IF(T838="",0,IF(INDEX('MTRs'!$Z$6:$Z$505,T838)=1,1,0))</f>
        <v>0</v>
      </c>
      <c r="V838" s="96">
        <f>IF(C838="",0,IF(ISNUMBER(MATCH(C838,'CAD_RESÍDUOS'!$B$6:$B$205,0)),1,0))</f>
        <v>0</v>
      </c>
      <c r="W838" s="96">
        <f>IF(AND(ISNUMBER(G838),G838&gt;0),1,0)</f>
        <v>0</v>
      </c>
      <c r="X838" s="96" t="str">
        <f>IF(H838="","",IFERROR(IF(ISNUMBER(INDEX(cfg_fac,MATCH(H838,cfg_units,0))),IF(INDEX(cfg_fac,MATCH(H838,cfg_units,0))&gt;0,INDEX(cfg_fac,MATCH(H838,cfg_units,0)),""),""),""))</f>
        <v/>
      </c>
      <c r="Y838" s="96">
        <f>IF(AND(W838=1,ISNUMBER(I838)),1,0)</f>
        <v>0</v>
      </c>
      <c r="Z838" s="96">
        <f>IF(U838=1,INDEX('MTRs'!$AA$6:$AA$505,T838),0)</f>
        <v>0</v>
      </c>
      <c r="AA838" s="96">
        <f>IF(R838=0,0,COUNTIFS('RECEBIMENTOS'!$R$6:$R$1005,A838,'RECEBIMENTOS'!$Q$6:$Q$1005,1))</f>
        <v>0</v>
      </c>
      <c r="AB838" s="96">
        <f>IF(R838=0,0,COUNTIFS('RECEBIMENTOS'!$R$6:$R$1005,A838,'RECEBIMENTOS'!$Z$6:$Z$1005,1))</f>
        <v>0</v>
      </c>
      <c r="AC838" s="96">
        <f>IF(R838=0,0,COUNTIFS('RECEBIMENTOS'!$R$6:$R$1005,A838,'RECEBIMENTOS'!$Y$6:$Y$1005,1))</f>
        <v>0</v>
      </c>
      <c r="AD838" s="96">
        <f>IF(R838=0,0,COUNTIFS('VÍNCULOS_CDF'!$R$6:$R$1005,A838,'VÍNCULOS_CDF'!$N$6:$N$1005,1))</f>
        <v>0</v>
      </c>
      <c r="AE838" s="96">
        <f>IF(R838=0,0,COUNTIFS('VÍNCULOS_CDF'!$R$6:$R$1005,A838,'VÍNCULOS_CDF'!$AA$6:$AA$1005,1))</f>
        <v>0</v>
      </c>
      <c r="AF838" s="96">
        <f>IF(R838=0,0,COUNTIFS('VÍNCULOS_CDF'!$R$6:$R$1005,A838,'VÍNCULOS_CDF'!$Y$6:$Y$1005,1))</f>
        <v>0</v>
      </c>
      <c r="AG838" s="96" t="str">
        <f>IF(AND(R838=1,S838&lt;&gt;"",C838&lt;&gt;""),S838&amp;"|"&amp;C838&amp;"|"&amp;G838&amp;"|"&amp;H838,"")</f>
        <v/>
      </c>
      <c r="AH838" s="96">
        <f>IF(AG838="",0,IF(SUMPRODUCT(--($AG$6:$AG$1005=AG838))&gt;1,1,0))</f>
        <v>0</v>
      </c>
      <c r="AI838" s="96">
        <f>IF(R838=0,0,IF(OR(U838=0,V838=0,Y838=0,AND(AH838=1,K838&lt;&gt;"Sim")),1,0))</f>
        <v>0</v>
      </c>
      <c r="AJ838" s="96">
        <f>IF(AND(R838=1,AA838&gt;0,AB838=AA838),1,0)</f>
        <v>0</v>
      </c>
      <c r="AK838" s="96">
        <f>IF(R838=0,0,IF(AA838&gt;0,N(L838),IF(ISNUMBER(I838),I838,0)))</f>
        <v>0</v>
      </c>
      <c r="AL838" s="96">
        <f>IF(R838=0,0,IF(AND(K838&lt;&gt;"Sim",N(M838)&gt;AK838+cfg_tol),1,0))</f>
        <v>0</v>
      </c>
      <c r="AM838" s="96">
        <f>IF(R838=0,0,IF(K838="Sim",0,IF(OR(AND(AA838&gt;0,ISNUMBER(I838),ABS(I838-N(L838))&gt;cfg_tol),AL838=1),1,0)))</f>
        <v>0</v>
      </c>
      <c r="AN838" s="96">
        <f>IF(AND(R838=1,N(M838)&gt;0,OR(N(M838)&gt;=AK838-cfg_tol,K838="Sim")),1,0)</f>
        <v>0</v>
      </c>
      <c r="AO838" s="96">
        <f>IF(AND(AN838=1,AD838&gt;0,AE838=AD838,AL838=0),1,0)</f>
        <v>0</v>
      </c>
      <c r="AP838" s="96">
        <f>IF(U838=0,0,IF(AND(INDEX('MTRs'!$AX$6:$AX$505,T838)=1,Z838=0,OR(f_res="",f_res="(Todos)",C838=f_res)),1,0))</f>
        <v>0</v>
      </c>
      <c r="AQ838" s="97" t="str">
        <f>IF(U838=0,"",INDEX('MTRs'!$AZ$6:$AZ$505,T838))</f>
        <v/>
      </c>
      <c r="AR838" s="96">
        <f>IF(U838=0,0,IF(AND(INDEX('MTRs'!$BA$6:$BA$505,T838)=1,Z838=0),1,0))</f>
        <v>0</v>
      </c>
      <c r="AS838" s="96" t="str">
        <f>IF(R838=1,A838&amp;" | MTR "&amp;IF(U838=1,INDEX('MTRs'!$B$6:$B$505,T838)&amp;"","?")&amp;" | "&amp;IF(C838="","(sem resíduo)",C838),"")</f>
        <v/>
      </c>
      <c r="AT838" s="96" t="str">
        <f>IF(R838=1,COUNTIF($R$6:R838,1),"")</f>
        <v/>
      </c>
      <c r="AU838" s="96" t="str">
        <f>IF(U838=1,INDEX('MTRs'!$I$6:$I$505,T838)&amp;"","")</f>
        <v/>
      </c>
    </row>
    <row r="839">
      <c r="A839" s="89" t="inlineStr">
        <is>
          <t>IT-000834</t>
        </is>
      </c>
      <c r="B839" s="91" t="n"/>
      <c r="C839" s="91" t="n"/>
      <c r="D839" s="94" t="str">
        <f>IF(OR(R839=0,V839=0),"",INDEX('CAD_RESÍDUOS'!$E$6:$E$205,MATCH(C839,'CAD_RESÍDUOS'!$B$6:$B$205,0))&amp;"")</f>
        <v/>
      </c>
      <c r="E839" s="94" t="str">
        <f>IF(OR(R839=0,V839=0),"",INDEX('CAD_RESÍDUOS'!$C$6:$C$205,MATCH(C839,'CAD_RESÍDUOS'!$B$6:$B$205,0))&amp;"")</f>
        <v/>
      </c>
      <c r="F839" s="94" t="str">
        <f>IF(OR(R839=0,V839=0),"",INDEX('CAD_RESÍDUOS'!$G$6:$G$205,MATCH(C839,'CAD_RESÍDUOS'!$B$6:$B$205,0))&amp;"")</f>
        <v/>
      </c>
      <c r="G839" s="98" t="n"/>
      <c r="H839" s="91" t="n"/>
      <c r="I839" s="93" t="str">
        <f>IF(R839=0,"",IF(NOT(ISNUMBER(G839)),"",IF(ISNUMBER(X839),G839*X839,"UNIDADE A CONFERIR")))</f>
        <v/>
      </c>
      <c r="J839" s="91" t="n"/>
      <c r="K839" s="91" t="n"/>
      <c r="L839" s="93" t="str">
        <f>IF(R839=0,"",SUMIFS('RECEBIMENTOS'!$H$6:$H$1005,'RECEBIMENTOS'!$R$6:$R$1005,A839,'RECEBIMENTOS'!$X$6:$X$1005,1))</f>
        <v/>
      </c>
      <c r="M839" s="93" t="str">
        <f>IF(R839=0,"",SUMIFS('VÍNCULOS_CDF'!$H$6:$H$1005,'VÍNCULOS_CDF'!$R$6:$R$1005,A839,'VÍNCULOS_CDF'!$V$6:$V$1005,1))</f>
        <v/>
      </c>
      <c r="N839" s="99" t="str">
        <f>IF(OR(R839=0,AA839=0,NOT(ISNUMBER(I839))),"",I839-N(L839))</f>
        <v/>
      </c>
      <c r="O839" s="100" t="str">
        <f>IF(OR(R839=0,AK839&lt;=0),"",N(M839)/AK839)</f>
        <v/>
      </c>
      <c r="P839" s="94" t="str">
        <f>IF(R839=0,"",IF(S839="","Sem MTR associado",IF(U839=0,"MTR inexistente",IF(C839="","Resíduo não identificado",IF(V839=0,"Resíduo fora do cadastro",IF(W839=0,"Quantidade inválida",IF(H839="","Unidade não informada",IF(NOT(ISNUMBER(I839)),"Unidade a conferir",IF(AND(AH839=1,K839&lt;&gt;"Sim"),"Possível duplicidade",IF(Z839=1,"MTR cancelado",IF(AC839&gt;0,"Recebimento com alerta",IF(AA839=0,"Aguardando recebimento",IF(AB839&lt;AA839,"Recebimento a conferir",IF(AM839=1,"Quantidade a revisar",IF(AF839&gt;0,"Vínculo a revisar",IF(AD839=0,"Aguardando CDF",IF(AN839=0,"Vínculo de CDF parcial",IF(AE839&lt;AD839,"CDF a conferir","Documentação conferida"))))))))))))))))))</f>
        <v/>
      </c>
      <c r="Q839" s="93" t="str">
        <f>IF(OR(R839=0,AA839=0),"",MAX(0,N(L839)-N(M839)))</f>
        <v/>
      </c>
      <c r="R839" s="96">
        <f>IF(COUNTA(B839:C839,G839:H839,J839:K839)&gt;0,1,0)</f>
        <v>0</v>
      </c>
      <c r="S839" s="96" t="str">
        <f>IF(B839="","",TRIM(LEFT(B839,FIND(" |",B839&amp;" |")-1)))</f>
        <v/>
      </c>
      <c r="T839" s="96" t="str">
        <f>IF(S839="","",IFERROR(MATCH(S839,'MTRs'!$A$6:$A$505,0),""))</f>
        <v/>
      </c>
      <c r="U839" s="96">
        <f>IF(T839="",0,IF(INDEX('MTRs'!$Z$6:$Z$505,T839)=1,1,0))</f>
        <v>0</v>
      </c>
      <c r="V839" s="96">
        <f>IF(C839="",0,IF(ISNUMBER(MATCH(C839,'CAD_RESÍDUOS'!$B$6:$B$205,0)),1,0))</f>
        <v>0</v>
      </c>
      <c r="W839" s="96">
        <f>IF(AND(ISNUMBER(G839),G839&gt;0),1,0)</f>
        <v>0</v>
      </c>
      <c r="X839" s="96" t="str">
        <f>IF(H839="","",IFERROR(IF(ISNUMBER(INDEX(cfg_fac,MATCH(H839,cfg_units,0))),IF(INDEX(cfg_fac,MATCH(H839,cfg_units,0))&gt;0,INDEX(cfg_fac,MATCH(H839,cfg_units,0)),""),""),""))</f>
        <v/>
      </c>
      <c r="Y839" s="96">
        <f>IF(AND(W839=1,ISNUMBER(I839)),1,0)</f>
        <v>0</v>
      </c>
      <c r="Z839" s="96">
        <f>IF(U839=1,INDEX('MTRs'!$AA$6:$AA$505,T839),0)</f>
        <v>0</v>
      </c>
      <c r="AA839" s="96">
        <f>IF(R839=0,0,COUNTIFS('RECEBIMENTOS'!$R$6:$R$1005,A839,'RECEBIMENTOS'!$Q$6:$Q$1005,1))</f>
        <v>0</v>
      </c>
      <c r="AB839" s="96">
        <f>IF(R839=0,0,COUNTIFS('RECEBIMENTOS'!$R$6:$R$1005,A839,'RECEBIMENTOS'!$Z$6:$Z$1005,1))</f>
        <v>0</v>
      </c>
      <c r="AC839" s="96">
        <f>IF(R839=0,0,COUNTIFS('RECEBIMENTOS'!$R$6:$R$1005,A839,'RECEBIMENTOS'!$Y$6:$Y$1005,1))</f>
        <v>0</v>
      </c>
      <c r="AD839" s="96">
        <f>IF(R839=0,0,COUNTIFS('VÍNCULOS_CDF'!$R$6:$R$1005,A839,'VÍNCULOS_CDF'!$N$6:$N$1005,1))</f>
        <v>0</v>
      </c>
      <c r="AE839" s="96">
        <f>IF(R839=0,0,COUNTIFS('VÍNCULOS_CDF'!$R$6:$R$1005,A839,'VÍNCULOS_CDF'!$AA$6:$AA$1005,1))</f>
        <v>0</v>
      </c>
      <c r="AF839" s="96">
        <f>IF(R839=0,0,COUNTIFS('VÍNCULOS_CDF'!$R$6:$R$1005,A839,'VÍNCULOS_CDF'!$Y$6:$Y$1005,1))</f>
        <v>0</v>
      </c>
      <c r="AG839" s="96" t="str">
        <f>IF(AND(R839=1,S839&lt;&gt;"",C839&lt;&gt;""),S839&amp;"|"&amp;C839&amp;"|"&amp;G839&amp;"|"&amp;H839,"")</f>
        <v/>
      </c>
      <c r="AH839" s="96">
        <f>IF(AG839="",0,IF(SUMPRODUCT(--($AG$6:$AG$1005=AG839))&gt;1,1,0))</f>
        <v>0</v>
      </c>
      <c r="AI839" s="96">
        <f>IF(R839=0,0,IF(OR(U839=0,V839=0,Y839=0,AND(AH839=1,K839&lt;&gt;"Sim")),1,0))</f>
        <v>0</v>
      </c>
      <c r="AJ839" s="96">
        <f>IF(AND(R839=1,AA839&gt;0,AB839=AA839),1,0)</f>
        <v>0</v>
      </c>
      <c r="AK839" s="96">
        <f>IF(R839=0,0,IF(AA839&gt;0,N(L839),IF(ISNUMBER(I839),I839,0)))</f>
        <v>0</v>
      </c>
      <c r="AL839" s="96">
        <f>IF(R839=0,0,IF(AND(K839&lt;&gt;"Sim",N(M839)&gt;AK839+cfg_tol),1,0))</f>
        <v>0</v>
      </c>
      <c r="AM839" s="96">
        <f>IF(R839=0,0,IF(K839="Sim",0,IF(OR(AND(AA839&gt;0,ISNUMBER(I839),ABS(I839-N(L839))&gt;cfg_tol),AL839=1),1,0)))</f>
        <v>0</v>
      </c>
      <c r="AN839" s="96">
        <f>IF(AND(R839=1,N(M839)&gt;0,OR(N(M839)&gt;=AK839-cfg_tol,K839="Sim")),1,0)</f>
        <v>0</v>
      </c>
      <c r="AO839" s="96">
        <f>IF(AND(AN839=1,AD839&gt;0,AE839=AD839,AL839=0),1,0)</f>
        <v>0</v>
      </c>
      <c r="AP839" s="96">
        <f>IF(U839=0,0,IF(AND(INDEX('MTRs'!$AX$6:$AX$505,T839)=1,Z839=0,OR(f_res="",f_res="(Todos)",C839=f_res)),1,0))</f>
        <v>0</v>
      </c>
      <c r="AQ839" s="97" t="str">
        <f>IF(U839=0,"",INDEX('MTRs'!$AZ$6:$AZ$505,T839))</f>
        <v/>
      </c>
      <c r="AR839" s="96">
        <f>IF(U839=0,0,IF(AND(INDEX('MTRs'!$BA$6:$BA$505,T839)=1,Z839=0),1,0))</f>
        <v>0</v>
      </c>
      <c r="AS839" s="96" t="str">
        <f>IF(R839=1,A839&amp;" | MTR "&amp;IF(U839=1,INDEX('MTRs'!$B$6:$B$505,T839)&amp;"","?")&amp;" | "&amp;IF(C839="","(sem resíduo)",C839),"")</f>
        <v/>
      </c>
      <c r="AT839" s="96" t="str">
        <f>IF(R839=1,COUNTIF($R$6:R839,1),"")</f>
        <v/>
      </c>
      <c r="AU839" s="96" t="str">
        <f>IF(U839=1,INDEX('MTRs'!$I$6:$I$505,T839)&amp;"","")</f>
        <v/>
      </c>
    </row>
    <row r="840">
      <c r="A840" s="89" t="inlineStr">
        <is>
          <t>IT-000835</t>
        </is>
      </c>
      <c r="B840" s="91" t="n"/>
      <c r="C840" s="91" t="n"/>
      <c r="D840" s="94" t="str">
        <f>IF(OR(R840=0,V840=0),"",INDEX('CAD_RESÍDUOS'!$E$6:$E$205,MATCH(C840,'CAD_RESÍDUOS'!$B$6:$B$205,0))&amp;"")</f>
        <v/>
      </c>
      <c r="E840" s="94" t="str">
        <f>IF(OR(R840=0,V840=0),"",INDEX('CAD_RESÍDUOS'!$C$6:$C$205,MATCH(C840,'CAD_RESÍDUOS'!$B$6:$B$205,0))&amp;"")</f>
        <v/>
      </c>
      <c r="F840" s="94" t="str">
        <f>IF(OR(R840=0,V840=0),"",INDEX('CAD_RESÍDUOS'!$G$6:$G$205,MATCH(C840,'CAD_RESÍDUOS'!$B$6:$B$205,0))&amp;"")</f>
        <v/>
      </c>
      <c r="G840" s="98" t="n"/>
      <c r="H840" s="91" t="n"/>
      <c r="I840" s="93" t="str">
        <f>IF(R840=0,"",IF(NOT(ISNUMBER(G840)),"",IF(ISNUMBER(X840),G840*X840,"UNIDADE A CONFERIR")))</f>
        <v/>
      </c>
      <c r="J840" s="91" t="n"/>
      <c r="K840" s="91" t="n"/>
      <c r="L840" s="93" t="str">
        <f>IF(R840=0,"",SUMIFS('RECEBIMENTOS'!$H$6:$H$1005,'RECEBIMENTOS'!$R$6:$R$1005,A840,'RECEBIMENTOS'!$X$6:$X$1005,1))</f>
        <v/>
      </c>
      <c r="M840" s="93" t="str">
        <f>IF(R840=0,"",SUMIFS('VÍNCULOS_CDF'!$H$6:$H$1005,'VÍNCULOS_CDF'!$R$6:$R$1005,A840,'VÍNCULOS_CDF'!$V$6:$V$1005,1))</f>
        <v/>
      </c>
      <c r="N840" s="99" t="str">
        <f>IF(OR(R840=0,AA840=0,NOT(ISNUMBER(I840))),"",I840-N(L840))</f>
        <v/>
      </c>
      <c r="O840" s="100" t="str">
        <f>IF(OR(R840=0,AK840&lt;=0),"",N(M840)/AK840)</f>
        <v/>
      </c>
      <c r="P840" s="94" t="str">
        <f>IF(R840=0,"",IF(S840="","Sem MTR associado",IF(U840=0,"MTR inexistente",IF(C840="","Resíduo não identificado",IF(V840=0,"Resíduo fora do cadastro",IF(W840=0,"Quantidade inválida",IF(H840="","Unidade não informada",IF(NOT(ISNUMBER(I840)),"Unidade a conferir",IF(AND(AH840=1,K840&lt;&gt;"Sim"),"Possível duplicidade",IF(Z840=1,"MTR cancelado",IF(AC840&gt;0,"Recebimento com alerta",IF(AA840=0,"Aguardando recebimento",IF(AB840&lt;AA840,"Recebimento a conferir",IF(AM840=1,"Quantidade a revisar",IF(AF840&gt;0,"Vínculo a revisar",IF(AD840=0,"Aguardando CDF",IF(AN840=0,"Vínculo de CDF parcial",IF(AE840&lt;AD840,"CDF a conferir","Documentação conferida"))))))))))))))))))</f>
        <v/>
      </c>
      <c r="Q840" s="93" t="str">
        <f>IF(OR(R840=0,AA840=0),"",MAX(0,N(L840)-N(M840)))</f>
        <v/>
      </c>
      <c r="R840" s="96">
        <f>IF(COUNTA(B840:C840,G840:H840,J840:K840)&gt;0,1,0)</f>
        <v>0</v>
      </c>
      <c r="S840" s="96" t="str">
        <f>IF(B840="","",TRIM(LEFT(B840,FIND(" |",B840&amp;" |")-1)))</f>
        <v/>
      </c>
      <c r="T840" s="96" t="str">
        <f>IF(S840="","",IFERROR(MATCH(S840,'MTRs'!$A$6:$A$505,0),""))</f>
        <v/>
      </c>
      <c r="U840" s="96">
        <f>IF(T840="",0,IF(INDEX('MTRs'!$Z$6:$Z$505,T840)=1,1,0))</f>
        <v>0</v>
      </c>
      <c r="V840" s="96">
        <f>IF(C840="",0,IF(ISNUMBER(MATCH(C840,'CAD_RESÍDUOS'!$B$6:$B$205,0)),1,0))</f>
        <v>0</v>
      </c>
      <c r="W840" s="96">
        <f>IF(AND(ISNUMBER(G840),G840&gt;0),1,0)</f>
        <v>0</v>
      </c>
      <c r="X840" s="96" t="str">
        <f>IF(H840="","",IFERROR(IF(ISNUMBER(INDEX(cfg_fac,MATCH(H840,cfg_units,0))),IF(INDEX(cfg_fac,MATCH(H840,cfg_units,0))&gt;0,INDEX(cfg_fac,MATCH(H840,cfg_units,0)),""),""),""))</f>
        <v/>
      </c>
      <c r="Y840" s="96">
        <f>IF(AND(W840=1,ISNUMBER(I840)),1,0)</f>
        <v>0</v>
      </c>
      <c r="Z840" s="96">
        <f>IF(U840=1,INDEX('MTRs'!$AA$6:$AA$505,T840),0)</f>
        <v>0</v>
      </c>
      <c r="AA840" s="96">
        <f>IF(R840=0,0,COUNTIFS('RECEBIMENTOS'!$R$6:$R$1005,A840,'RECEBIMENTOS'!$Q$6:$Q$1005,1))</f>
        <v>0</v>
      </c>
      <c r="AB840" s="96">
        <f>IF(R840=0,0,COUNTIFS('RECEBIMENTOS'!$R$6:$R$1005,A840,'RECEBIMENTOS'!$Z$6:$Z$1005,1))</f>
        <v>0</v>
      </c>
      <c r="AC840" s="96">
        <f>IF(R840=0,0,COUNTIFS('RECEBIMENTOS'!$R$6:$R$1005,A840,'RECEBIMENTOS'!$Y$6:$Y$1005,1))</f>
        <v>0</v>
      </c>
      <c r="AD840" s="96">
        <f>IF(R840=0,0,COUNTIFS('VÍNCULOS_CDF'!$R$6:$R$1005,A840,'VÍNCULOS_CDF'!$N$6:$N$1005,1))</f>
        <v>0</v>
      </c>
      <c r="AE840" s="96">
        <f>IF(R840=0,0,COUNTIFS('VÍNCULOS_CDF'!$R$6:$R$1005,A840,'VÍNCULOS_CDF'!$AA$6:$AA$1005,1))</f>
        <v>0</v>
      </c>
      <c r="AF840" s="96">
        <f>IF(R840=0,0,COUNTIFS('VÍNCULOS_CDF'!$R$6:$R$1005,A840,'VÍNCULOS_CDF'!$Y$6:$Y$1005,1))</f>
        <v>0</v>
      </c>
      <c r="AG840" s="96" t="str">
        <f>IF(AND(R840=1,S840&lt;&gt;"",C840&lt;&gt;""),S840&amp;"|"&amp;C840&amp;"|"&amp;G840&amp;"|"&amp;H840,"")</f>
        <v/>
      </c>
      <c r="AH840" s="96">
        <f>IF(AG840="",0,IF(SUMPRODUCT(--($AG$6:$AG$1005=AG840))&gt;1,1,0))</f>
        <v>0</v>
      </c>
      <c r="AI840" s="96">
        <f>IF(R840=0,0,IF(OR(U840=0,V840=0,Y840=0,AND(AH840=1,K840&lt;&gt;"Sim")),1,0))</f>
        <v>0</v>
      </c>
      <c r="AJ840" s="96">
        <f>IF(AND(R840=1,AA840&gt;0,AB840=AA840),1,0)</f>
        <v>0</v>
      </c>
      <c r="AK840" s="96">
        <f>IF(R840=0,0,IF(AA840&gt;0,N(L840),IF(ISNUMBER(I840),I840,0)))</f>
        <v>0</v>
      </c>
      <c r="AL840" s="96">
        <f>IF(R840=0,0,IF(AND(K840&lt;&gt;"Sim",N(M840)&gt;AK840+cfg_tol),1,0))</f>
        <v>0</v>
      </c>
      <c r="AM840" s="96">
        <f>IF(R840=0,0,IF(K840="Sim",0,IF(OR(AND(AA840&gt;0,ISNUMBER(I840),ABS(I840-N(L840))&gt;cfg_tol),AL840=1),1,0)))</f>
        <v>0</v>
      </c>
      <c r="AN840" s="96">
        <f>IF(AND(R840=1,N(M840)&gt;0,OR(N(M840)&gt;=AK840-cfg_tol,K840="Sim")),1,0)</f>
        <v>0</v>
      </c>
      <c r="AO840" s="96">
        <f>IF(AND(AN840=1,AD840&gt;0,AE840=AD840,AL840=0),1,0)</f>
        <v>0</v>
      </c>
      <c r="AP840" s="96">
        <f>IF(U840=0,0,IF(AND(INDEX('MTRs'!$AX$6:$AX$505,T840)=1,Z840=0,OR(f_res="",f_res="(Todos)",C840=f_res)),1,0))</f>
        <v>0</v>
      </c>
      <c r="AQ840" s="97" t="str">
        <f>IF(U840=0,"",INDEX('MTRs'!$AZ$6:$AZ$505,T840))</f>
        <v/>
      </c>
      <c r="AR840" s="96">
        <f>IF(U840=0,0,IF(AND(INDEX('MTRs'!$BA$6:$BA$505,T840)=1,Z840=0),1,0))</f>
        <v>0</v>
      </c>
      <c r="AS840" s="96" t="str">
        <f>IF(R840=1,A840&amp;" | MTR "&amp;IF(U840=1,INDEX('MTRs'!$B$6:$B$505,T840)&amp;"","?")&amp;" | "&amp;IF(C840="","(sem resíduo)",C840),"")</f>
        <v/>
      </c>
      <c r="AT840" s="96" t="str">
        <f>IF(R840=1,COUNTIF($R$6:R840,1),"")</f>
        <v/>
      </c>
      <c r="AU840" s="96" t="str">
        <f>IF(U840=1,INDEX('MTRs'!$I$6:$I$505,T840)&amp;"","")</f>
        <v/>
      </c>
    </row>
    <row r="841">
      <c r="A841" s="89" t="inlineStr">
        <is>
          <t>IT-000836</t>
        </is>
      </c>
      <c r="B841" s="91" t="n"/>
      <c r="C841" s="91" t="n"/>
      <c r="D841" s="94" t="str">
        <f>IF(OR(R841=0,V841=0),"",INDEX('CAD_RESÍDUOS'!$E$6:$E$205,MATCH(C841,'CAD_RESÍDUOS'!$B$6:$B$205,0))&amp;"")</f>
        <v/>
      </c>
      <c r="E841" s="94" t="str">
        <f>IF(OR(R841=0,V841=0),"",INDEX('CAD_RESÍDUOS'!$C$6:$C$205,MATCH(C841,'CAD_RESÍDUOS'!$B$6:$B$205,0))&amp;"")</f>
        <v/>
      </c>
      <c r="F841" s="94" t="str">
        <f>IF(OR(R841=0,V841=0),"",INDEX('CAD_RESÍDUOS'!$G$6:$G$205,MATCH(C841,'CAD_RESÍDUOS'!$B$6:$B$205,0))&amp;"")</f>
        <v/>
      </c>
      <c r="G841" s="98" t="n"/>
      <c r="H841" s="91" t="n"/>
      <c r="I841" s="93" t="str">
        <f>IF(R841=0,"",IF(NOT(ISNUMBER(G841)),"",IF(ISNUMBER(X841),G841*X841,"UNIDADE A CONFERIR")))</f>
        <v/>
      </c>
      <c r="J841" s="91" t="n"/>
      <c r="K841" s="91" t="n"/>
      <c r="L841" s="93" t="str">
        <f>IF(R841=0,"",SUMIFS('RECEBIMENTOS'!$H$6:$H$1005,'RECEBIMENTOS'!$R$6:$R$1005,A841,'RECEBIMENTOS'!$X$6:$X$1005,1))</f>
        <v/>
      </c>
      <c r="M841" s="93" t="str">
        <f>IF(R841=0,"",SUMIFS('VÍNCULOS_CDF'!$H$6:$H$1005,'VÍNCULOS_CDF'!$R$6:$R$1005,A841,'VÍNCULOS_CDF'!$V$6:$V$1005,1))</f>
        <v/>
      </c>
      <c r="N841" s="99" t="str">
        <f>IF(OR(R841=0,AA841=0,NOT(ISNUMBER(I841))),"",I841-N(L841))</f>
        <v/>
      </c>
      <c r="O841" s="100" t="str">
        <f>IF(OR(R841=0,AK841&lt;=0),"",N(M841)/AK841)</f>
        <v/>
      </c>
      <c r="P841" s="94" t="str">
        <f>IF(R841=0,"",IF(S841="","Sem MTR associado",IF(U841=0,"MTR inexistente",IF(C841="","Resíduo não identificado",IF(V841=0,"Resíduo fora do cadastro",IF(W841=0,"Quantidade inválida",IF(H841="","Unidade não informada",IF(NOT(ISNUMBER(I841)),"Unidade a conferir",IF(AND(AH841=1,K841&lt;&gt;"Sim"),"Possível duplicidade",IF(Z841=1,"MTR cancelado",IF(AC841&gt;0,"Recebimento com alerta",IF(AA841=0,"Aguardando recebimento",IF(AB841&lt;AA841,"Recebimento a conferir",IF(AM841=1,"Quantidade a revisar",IF(AF841&gt;0,"Vínculo a revisar",IF(AD841=0,"Aguardando CDF",IF(AN841=0,"Vínculo de CDF parcial",IF(AE841&lt;AD841,"CDF a conferir","Documentação conferida"))))))))))))))))))</f>
        <v/>
      </c>
      <c r="Q841" s="93" t="str">
        <f>IF(OR(R841=0,AA841=0),"",MAX(0,N(L841)-N(M841)))</f>
        <v/>
      </c>
      <c r="R841" s="96">
        <f>IF(COUNTA(B841:C841,G841:H841,J841:K841)&gt;0,1,0)</f>
        <v>0</v>
      </c>
      <c r="S841" s="96" t="str">
        <f>IF(B841="","",TRIM(LEFT(B841,FIND(" |",B841&amp;" |")-1)))</f>
        <v/>
      </c>
      <c r="T841" s="96" t="str">
        <f>IF(S841="","",IFERROR(MATCH(S841,'MTRs'!$A$6:$A$505,0),""))</f>
        <v/>
      </c>
      <c r="U841" s="96">
        <f>IF(T841="",0,IF(INDEX('MTRs'!$Z$6:$Z$505,T841)=1,1,0))</f>
        <v>0</v>
      </c>
      <c r="V841" s="96">
        <f>IF(C841="",0,IF(ISNUMBER(MATCH(C841,'CAD_RESÍDUOS'!$B$6:$B$205,0)),1,0))</f>
        <v>0</v>
      </c>
      <c r="W841" s="96">
        <f>IF(AND(ISNUMBER(G841),G841&gt;0),1,0)</f>
        <v>0</v>
      </c>
      <c r="X841" s="96" t="str">
        <f>IF(H841="","",IFERROR(IF(ISNUMBER(INDEX(cfg_fac,MATCH(H841,cfg_units,0))),IF(INDEX(cfg_fac,MATCH(H841,cfg_units,0))&gt;0,INDEX(cfg_fac,MATCH(H841,cfg_units,0)),""),""),""))</f>
        <v/>
      </c>
      <c r="Y841" s="96">
        <f>IF(AND(W841=1,ISNUMBER(I841)),1,0)</f>
        <v>0</v>
      </c>
      <c r="Z841" s="96">
        <f>IF(U841=1,INDEX('MTRs'!$AA$6:$AA$505,T841),0)</f>
        <v>0</v>
      </c>
      <c r="AA841" s="96">
        <f>IF(R841=0,0,COUNTIFS('RECEBIMENTOS'!$R$6:$R$1005,A841,'RECEBIMENTOS'!$Q$6:$Q$1005,1))</f>
        <v>0</v>
      </c>
      <c r="AB841" s="96">
        <f>IF(R841=0,0,COUNTIFS('RECEBIMENTOS'!$R$6:$R$1005,A841,'RECEBIMENTOS'!$Z$6:$Z$1005,1))</f>
        <v>0</v>
      </c>
      <c r="AC841" s="96">
        <f>IF(R841=0,0,COUNTIFS('RECEBIMENTOS'!$R$6:$R$1005,A841,'RECEBIMENTOS'!$Y$6:$Y$1005,1))</f>
        <v>0</v>
      </c>
      <c r="AD841" s="96">
        <f>IF(R841=0,0,COUNTIFS('VÍNCULOS_CDF'!$R$6:$R$1005,A841,'VÍNCULOS_CDF'!$N$6:$N$1005,1))</f>
        <v>0</v>
      </c>
      <c r="AE841" s="96">
        <f>IF(R841=0,0,COUNTIFS('VÍNCULOS_CDF'!$R$6:$R$1005,A841,'VÍNCULOS_CDF'!$AA$6:$AA$1005,1))</f>
        <v>0</v>
      </c>
      <c r="AF841" s="96">
        <f>IF(R841=0,0,COUNTIFS('VÍNCULOS_CDF'!$R$6:$R$1005,A841,'VÍNCULOS_CDF'!$Y$6:$Y$1005,1))</f>
        <v>0</v>
      </c>
      <c r="AG841" s="96" t="str">
        <f>IF(AND(R841=1,S841&lt;&gt;"",C841&lt;&gt;""),S841&amp;"|"&amp;C841&amp;"|"&amp;G841&amp;"|"&amp;H841,"")</f>
        <v/>
      </c>
      <c r="AH841" s="96">
        <f>IF(AG841="",0,IF(SUMPRODUCT(--($AG$6:$AG$1005=AG841))&gt;1,1,0))</f>
        <v>0</v>
      </c>
      <c r="AI841" s="96">
        <f>IF(R841=0,0,IF(OR(U841=0,V841=0,Y841=0,AND(AH841=1,K841&lt;&gt;"Sim")),1,0))</f>
        <v>0</v>
      </c>
      <c r="AJ841" s="96">
        <f>IF(AND(R841=1,AA841&gt;0,AB841=AA841),1,0)</f>
        <v>0</v>
      </c>
      <c r="AK841" s="96">
        <f>IF(R841=0,0,IF(AA841&gt;0,N(L841),IF(ISNUMBER(I841),I841,0)))</f>
        <v>0</v>
      </c>
      <c r="AL841" s="96">
        <f>IF(R841=0,0,IF(AND(K841&lt;&gt;"Sim",N(M841)&gt;AK841+cfg_tol),1,0))</f>
        <v>0</v>
      </c>
      <c r="AM841" s="96">
        <f>IF(R841=0,0,IF(K841="Sim",0,IF(OR(AND(AA841&gt;0,ISNUMBER(I841),ABS(I841-N(L841))&gt;cfg_tol),AL841=1),1,0)))</f>
        <v>0</v>
      </c>
      <c r="AN841" s="96">
        <f>IF(AND(R841=1,N(M841)&gt;0,OR(N(M841)&gt;=AK841-cfg_tol,K841="Sim")),1,0)</f>
        <v>0</v>
      </c>
      <c r="AO841" s="96">
        <f>IF(AND(AN841=1,AD841&gt;0,AE841=AD841,AL841=0),1,0)</f>
        <v>0</v>
      </c>
      <c r="AP841" s="96">
        <f>IF(U841=0,0,IF(AND(INDEX('MTRs'!$AX$6:$AX$505,T841)=1,Z841=0,OR(f_res="",f_res="(Todos)",C841=f_res)),1,0))</f>
        <v>0</v>
      </c>
      <c r="AQ841" s="97" t="str">
        <f>IF(U841=0,"",INDEX('MTRs'!$AZ$6:$AZ$505,T841))</f>
        <v/>
      </c>
      <c r="AR841" s="96">
        <f>IF(U841=0,0,IF(AND(INDEX('MTRs'!$BA$6:$BA$505,T841)=1,Z841=0),1,0))</f>
        <v>0</v>
      </c>
      <c r="AS841" s="96" t="str">
        <f>IF(R841=1,A841&amp;" | MTR "&amp;IF(U841=1,INDEX('MTRs'!$B$6:$B$505,T841)&amp;"","?")&amp;" | "&amp;IF(C841="","(sem resíduo)",C841),"")</f>
        <v/>
      </c>
      <c r="AT841" s="96" t="str">
        <f>IF(R841=1,COUNTIF($R$6:R841,1),"")</f>
        <v/>
      </c>
      <c r="AU841" s="96" t="str">
        <f>IF(U841=1,INDEX('MTRs'!$I$6:$I$505,T841)&amp;"","")</f>
        <v/>
      </c>
    </row>
    <row r="842">
      <c r="A842" s="89" t="inlineStr">
        <is>
          <t>IT-000837</t>
        </is>
      </c>
      <c r="B842" s="91" t="n"/>
      <c r="C842" s="91" t="n"/>
      <c r="D842" s="94" t="str">
        <f>IF(OR(R842=0,V842=0),"",INDEX('CAD_RESÍDUOS'!$E$6:$E$205,MATCH(C842,'CAD_RESÍDUOS'!$B$6:$B$205,0))&amp;"")</f>
        <v/>
      </c>
      <c r="E842" s="94" t="str">
        <f>IF(OR(R842=0,V842=0),"",INDEX('CAD_RESÍDUOS'!$C$6:$C$205,MATCH(C842,'CAD_RESÍDUOS'!$B$6:$B$205,0))&amp;"")</f>
        <v/>
      </c>
      <c r="F842" s="94" t="str">
        <f>IF(OR(R842=0,V842=0),"",INDEX('CAD_RESÍDUOS'!$G$6:$G$205,MATCH(C842,'CAD_RESÍDUOS'!$B$6:$B$205,0))&amp;"")</f>
        <v/>
      </c>
      <c r="G842" s="98" t="n"/>
      <c r="H842" s="91" t="n"/>
      <c r="I842" s="93" t="str">
        <f>IF(R842=0,"",IF(NOT(ISNUMBER(G842)),"",IF(ISNUMBER(X842),G842*X842,"UNIDADE A CONFERIR")))</f>
        <v/>
      </c>
      <c r="J842" s="91" t="n"/>
      <c r="K842" s="91" t="n"/>
      <c r="L842" s="93" t="str">
        <f>IF(R842=0,"",SUMIFS('RECEBIMENTOS'!$H$6:$H$1005,'RECEBIMENTOS'!$R$6:$R$1005,A842,'RECEBIMENTOS'!$X$6:$X$1005,1))</f>
        <v/>
      </c>
      <c r="M842" s="93" t="str">
        <f>IF(R842=0,"",SUMIFS('VÍNCULOS_CDF'!$H$6:$H$1005,'VÍNCULOS_CDF'!$R$6:$R$1005,A842,'VÍNCULOS_CDF'!$V$6:$V$1005,1))</f>
        <v/>
      </c>
      <c r="N842" s="99" t="str">
        <f>IF(OR(R842=0,AA842=0,NOT(ISNUMBER(I842))),"",I842-N(L842))</f>
        <v/>
      </c>
      <c r="O842" s="100" t="str">
        <f>IF(OR(R842=0,AK842&lt;=0),"",N(M842)/AK842)</f>
        <v/>
      </c>
      <c r="P842" s="94" t="str">
        <f>IF(R842=0,"",IF(S842="","Sem MTR associado",IF(U842=0,"MTR inexistente",IF(C842="","Resíduo não identificado",IF(V842=0,"Resíduo fora do cadastro",IF(W842=0,"Quantidade inválida",IF(H842="","Unidade não informada",IF(NOT(ISNUMBER(I842)),"Unidade a conferir",IF(AND(AH842=1,K842&lt;&gt;"Sim"),"Possível duplicidade",IF(Z842=1,"MTR cancelado",IF(AC842&gt;0,"Recebimento com alerta",IF(AA842=0,"Aguardando recebimento",IF(AB842&lt;AA842,"Recebimento a conferir",IF(AM842=1,"Quantidade a revisar",IF(AF842&gt;0,"Vínculo a revisar",IF(AD842=0,"Aguardando CDF",IF(AN842=0,"Vínculo de CDF parcial",IF(AE842&lt;AD842,"CDF a conferir","Documentação conferida"))))))))))))))))))</f>
        <v/>
      </c>
      <c r="Q842" s="93" t="str">
        <f>IF(OR(R842=0,AA842=0),"",MAX(0,N(L842)-N(M842)))</f>
        <v/>
      </c>
      <c r="R842" s="96">
        <f>IF(COUNTA(B842:C842,G842:H842,J842:K842)&gt;0,1,0)</f>
        <v>0</v>
      </c>
      <c r="S842" s="96" t="str">
        <f>IF(B842="","",TRIM(LEFT(B842,FIND(" |",B842&amp;" |")-1)))</f>
        <v/>
      </c>
      <c r="T842" s="96" t="str">
        <f>IF(S842="","",IFERROR(MATCH(S842,'MTRs'!$A$6:$A$505,0),""))</f>
        <v/>
      </c>
      <c r="U842" s="96">
        <f>IF(T842="",0,IF(INDEX('MTRs'!$Z$6:$Z$505,T842)=1,1,0))</f>
        <v>0</v>
      </c>
      <c r="V842" s="96">
        <f>IF(C842="",0,IF(ISNUMBER(MATCH(C842,'CAD_RESÍDUOS'!$B$6:$B$205,0)),1,0))</f>
        <v>0</v>
      </c>
      <c r="W842" s="96">
        <f>IF(AND(ISNUMBER(G842),G842&gt;0),1,0)</f>
        <v>0</v>
      </c>
      <c r="X842" s="96" t="str">
        <f>IF(H842="","",IFERROR(IF(ISNUMBER(INDEX(cfg_fac,MATCH(H842,cfg_units,0))),IF(INDEX(cfg_fac,MATCH(H842,cfg_units,0))&gt;0,INDEX(cfg_fac,MATCH(H842,cfg_units,0)),""),""),""))</f>
        <v/>
      </c>
      <c r="Y842" s="96">
        <f>IF(AND(W842=1,ISNUMBER(I842)),1,0)</f>
        <v>0</v>
      </c>
      <c r="Z842" s="96">
        <f>IF(U842=1,INDEX('MTRs'!$AA$6:$AA$505,T842),0)</f>
        <v>0</v>
      </c>
      <c r="AA842" s="96">
        <f>IF(R842=0,0,COUNTIFS('RECEBIMENTOS'!$R$6:$R$1005,A842,'RECEBIMENTOS'!$Q$6:$Q$1005,1))</f>
        <v>0</v>
      </c>
      <c r="AB842" s="96">
        <f>IF(R842=0,0,COUNTIFS('RECEBIMENTOS'!$R$6:$R$1005,A842,'RECEBIMENTOS'!$Z$6:$Z$1005,1))</f>
        <v>0</v>
      </c>
      <c r="AC842" s="96">
        <f>IF(R842=0,0,COUNTIFS('RECEBIMENTOS'!$R$6:$R$1005,A842,'RECEBIMENTOS'!$Y$6:$Y$1005,1))</f>
        <v>0</v>
      </c>
      <c r="AD842" s="96">
        <f>IF(R842=0,0,COUNTIFS('VÍNCULOS_CDF'!$R$6:$R$1005,A842,'VÍNCULOS_CDF'!$N$6:$N$1005,1))</f>
        <v>0</v>
      </c>
      <c r="AE842" s="96">
        <f>IF(R842=0,0,COUNTIFS('VÍNCULOS_CDF'!$R$6:$R$1005,A842,'VÍNCULOS_CDF'!$AA$6:$AA$1005,1))</f>
        <v>0</v>
      </c>
      <c r="AF842" s="96">
        <f>IF(R842=0,0,COUNTIFS('VÍNCULOS_CDF'!$R$6:$R$1005,A842,'VÍNCULOS_CDF'!$Y$6:$Y$1005,1))</f>
        <v>0</v>
      </c>
      <c r="AG842" s="96" t="str">
        <f>IF(AND(R842=1,S842&lt;&gt;"",C842&lt;&gt;""),S842&amp;"|"&amp;C842&amp;"|"&amp;G842&amp;"|"&amp;H842,"")</f>
        <v/>
      </c>
      <c r="AH842" s="96">
        <f>IF(AG842="",0,IF(SUMPRODUCT(--($AG$6:$AG$1005=AG842))&gt;1,1,0))</f>
        <v>0</v>
      </c>
      <c r="AI842" s="96">
        <f>IF(R842=0,0,IF(OR(U842=0,V842=0,Y842=0,AND(AH842=1,K842&lt;&gt;"Sim")),1,0))</f>
        <v>0</v>
      </c>
      <c r="AJ842" s="96">
        <f>IF(AND(R842=1,AA842&gt;0,AB842=AA842),1,0)</f>
        <v>0</v>
      </c>
      <c r="AK842" s="96">
        <f>IF(R842=0,0,IF(AA842&gt;0,N(L842),IF(ISNUMBER(I842),I842,0)))</f>
        <v>0</v>
      </c>
      <c r="AL842" s="96">
        <f>IF(R842=0,0,IF(AND(K842&lt;&gt;"Sim",N(M842)&gt;AK842+cfg_tol),1,0))</f>
        <v>0</v>
      </c>
      <c r="AM842" s="96">
        <f>IF(R842=0,0,IF(K842="Sim",0,IF(OR(AND(AA842&gt;0,ISNUMBER(I842),ABS(I842-N(L842))&gt;cfg_tol),AL842=1),1,0)))</f>
        <v>0</v>
      </c>
      <c r="AN842" s="96">
        <f>IF(AND(R842=1,N(M842)&gt;0,OR(N(M842)&gt;=AK842-cfg_tol,K842="Sim")),1,0)</f>
        <v>0</v>
      </c>
      <c r="AO842" s="96">
        <f>IF(AND(AN842=1,AD842&gt;0,AE842=AD842,AL842=0),1,0)</f>
        <v>0</v>
      </c>
      <c r="AP842" s="96">
        <f>IF(U842=0,0,IF(AND(INDEX('MTRs'!$AX$6:$AX$505,T842)=1,Z842=0,OR(f_res="",f_res="(Todos)",C842=f_res)),1,0))</f>
        <v>0</v>
      </c>
      <c r="AQ842" s="97" t="str">
        <f>IF(U842=0,"",INDEX('MTRs'!$AZ$6:$AZ$505,T842))</f>
        <v/>
      </c>
      <c r="AR842" s="96">
        <f>IF(U842=0,0,IF(AND(INDEX('MTRs'!$BA$6:$BA$505,T842)=1,Z842=0),1,0))</f>
        <v>0</v>
      </c>
      <c r="AS842" s="96" t="str">
        <f>IF(R842=1,A842&amp;" | MTR "&amp;IF(U842=1,INDEX('MTRs'!$B$6:$B$505,T842)&amp;"","?")&amp;" | "&amp;IF(C842="","(sem resíduo)",C842),"")</f>
        <v/>
      </c>
      <c r="AT842" s="96" t="str">
        <f>IF(R842=1,COUNTIF($R$6:R842,1),"")</f>
        <v/>
      </c>
      <c r="AU842" s="96" t="str">
        <f>IF(U842=1,INDEX('MTRs'!$I$6:$I$505,T842)&amp;"","")</f>
        <v/>
      </c>
    </row>
    <row r="843">
      <c r="A843" s="89" t="inlineStr">
        <is>
          <t>IT-000838</t>
        </is>
      </c>
      <c r="B843" s="91" t="n"/>
      <c r="C843" s="91" t="n"/>
      <c r="D843" s="94" t="str">
        <f>IF(OR(R843=0,V843=0),"",INDEX('CAD_RESÍDUOS'!$E$6:$E$205,MATCH(C843,'CAD_RESÍDUOS'!$B$6:$B$205,0))&amp;"")</f>
        <v/>
      </c>
      <c r="E843" s="94" t="str">
        <f>IF(OR(R843=0,V843=0),"",INDEX('CAD_RESÍDUOS'!$C$6:$C$205,MATCH(C843,'CAD_RESÍDUOS'!$B$6:$B$205,0))&amp;"")</f>
        <v/>
      </c>
      <c r="F843" s="94" t="str">
        <f>IF(OR(R843=0,V843=0),"",INDEX('CAD_RESÍDUOS'!$G$6:$G$205,MATCH(C843,'CAD_RESÍDUOS'!$B$6:$B$205,0))&amp;"")</f>
        <v/>
      </c>
      <c r="G843" s="98" t="n"/>
      <c r="H843" s="91" t="n"/>
      <c r="I843" s="93" t="str">
        <f>IF(R843=0,"",IF(NOT(ISNUMBER(G843)),"",IF(ISNUMBER(X843),G843*X843,"UNIDADE A CONFERIR")))</f>
        <v/>
      </c>
      <c r="J843" s="91" t="n"/>
      <c r="K843" s="91" t="n"/>
      <c r="L843" s="93" t="str">
        <f>IF(R843=0,"",SUMIFS('RECEBIMENTOS'!$H$6:$H$1005,'RECEBIMENTOS'!$R$6:$R$1005,A843,'RECEBIMENTOS'!$X$6:$X$1005,1))</f>
        <v/>
      </c>
      <c r="M843" s="93" t="str">
        <f>IF(R843=0,"",SUMIFS('VÍNCULOS_CDF'!$H$6:$H$1005,'VÍNCULOS_CDF'!$R$6:$R$1005,A843,'VÍNCULOS_CDF'!$V$6:$V$1005,1))</f>
        <v/>
      </c>
      <c r="N843" s="99" t="str">
        <f>IF(OR(R843=0,AA843=0,NOT(ISNUMBER(I843))),"",I843-N(L843))</f>
        <v/>
      </c>
      <c r="O843" s="100" t="str">
        <f>IF(OR(R843=0,AK843&lt;=0),"",N(M843)/AK843)</f>
        <v/>
      </c>
      <c r="P843" s="94" t="str">
        <f>IF(R843=0,"",IF(S843="","Sem MTR associado",IF(U843=0,"MTR inexistente",IF(C843="","Resíduo não identificado",IF(V843=0,"Resíduo fora do cadastro",IF(W843=0,"Quantidade inválida",IF(H843="","Unidade não informada",IF(NOT(ISNUMBER(I843)),"Unidade a conferir",IF(AND(AH843=1,K843&lt;&gt;"Sim"),"Possível duplicidade",IF(Z843=1,"MTR cancelado",IF(AC843&gt;0,"Recebimento com alerta",IF(AA843=0,"Aguardando recebimento",IF(AB843&lt;AA843,"Recebimento a conferir",IF(AM843=1,"Quantidade a revisar",IF(AF843&gt;0,"Vínculo a revisar",IF(AD843=0,"Aguardando CDF",IF(AN843=0,"Vínculo de CDF parcial",IF(AE843&lt;AD843,"CDF a conferir","Documentação conferida"))))))))))))))))))</f>
        <v/>
      </c>
      <c r="Q843" s="93" t="str">
        <f>IF(OR(R843=0,AA843=0),"",MAX(0,N(L843)-N(M843)))</f>
        <v/>
      </c>
      <c r="R843" s="96">
        <f>IF(COUNTA(B843:C843,G843:H843,J843:K843)&gt;0,1,0)</f>
        <v>0</v>
      </c>
      <c r="S843" s="96" t="str">
        <f>IF(B843="","",TRIM(LEFT(B843,FIND(" |",B843&amp;" |")-1)))</f>
        <v/>
      </c>
      <c r="T843" s="96" t="str">
        <f>IF(S843="","",IFERROR(MATCH(S843,'MTRs'!$A$6:$A$505,0),""))</f>
        <v/>
      </c>
      <c r="U843" s="96">
        <f>IF(T843="",0,IF(INDEX('MTRs'!$Z$6:$Z$505,T843)=1,1,0))</f>
        <v>0</v>
      </c>
      <c r="V843" s="96">
        <f>IF(C843="",0,IF(ISNUMBER(MATCH(C843,'CAD_RESÍDUOS'!$B$6:$B$205,0)),1,0))</f>
        <v>0</v>
      </c>
      <c r="W843" s="96">
        <f>IF(AND(ISNUMBER(G843),G843&gt;0),1,0)</f>
        <v>0</v>
      </c>
      <c r="X843" s="96" t="str">
        <f>IF(H843="","",IFERROR(IF(ISNUMBER(INDEX(cfg_fac,MATCH(H843,cfg_units,0))),IF(INDEX(cfg_fac,MATCH(H843,cfg_units,0))&gt;0,INDEX(cfg_fac,MATCH(H843,cfg_units,0)),""),""),""))</f>
        <v/>
      </c>
      <c r="Y843" s="96">
        <f>IF(AND(W843=1,ISNUMBER(I843)),1,0)</f>
        <v>0</v>
      </c>
      <c r="Z843" s="96">
        <f>IF(U843=1,INDEX('MTRs'!$AA$6:$AA$505,T843),0)</f>
        <v>0</v>
      </c>
      <c r="AA843" s="96">
        <f>IF(R843=0,0,COUNTIFS('RECEBIMENTOS'!$R$6:$R$1005,A843,'RECEBIMENTOS'!$Q$6:$Q$1005,1))</f>
        <v>0</v>
      </c>
      <c r="AB843" s="96">
        <f>IF(R843=0,0,COUNTIFS('RECEBIMENTOS'!$R$6:$R$1005,A843,'RECEBIMENTOS'!$Z$6:$Z$1005,1))</f>
        <v>0</v>
      </c>
      <c r="AC843" s="96">
        <f>IF(R843=0,0,COUNTIFS('RECEBIMENTOS'!$R$6:$R$1005,A843,'RECEBIMENTOS'!$Y$6:$Y$1005,1))</f>
        <v>0</v>
      </c>
      <c r="AD843" s="96">
        <f>IF(R843=0,0,COUNTIFS('VÍNCULOS_CDF'!$R$6:$R$1005,A843,'VÍNCULOS_CDF'!$N$6:$N$1005,1))</f>
        <v>0</v>
      </c>
      <c r="AE843" s="96">
        <f>IF(R843=0,0,COUNTIFS('VÍNCULOS_CDF'!$R$6:$R$1005,A843,'VÍNCULOS_CDF'!$AA$6:$AA$1005,1))</f>
        <v>0</v>
      </c>
      <c r="AF843" s="96">
        <f>IF(R843=0,0,COUNTIFS('VÍNCULOS_CDF'!$R$6:$R$1005,A843,'VÍNCULOS_CDF'!$Y$6:$Y$1005,1))</f>
        <v>0</v>
      </c>
      <c r="AG843" s="96" t="str">
        <f>IF(AND(R843=1,S843&lt;&gt;"",C843&lt;&gt;""),S843&amp;"|"&amp;C843&amp;"|"&amp;G843&amp;"|"&amp;H843,"")</f>
        <v/>
      </c>
      <c r="AH843" s="96">
        <f>IF(AG843="",0,IF(SUMPRODUCT(--($AG$6:$AG$1005=AG843))&gt;1,1,0))</f>
        <v>0</v>
      </c>
      <c r="AI843" s="96">
        <f>IF(R843=0,0,IF(OR(U843=0,V843=0,Y843=0,AND(AH843=1,K843&lt;&gt;"Sim")),1,0))</f>
        <v>0</v>
      </c>
      <c r="AJ843" s="96">
        <f>IF(AND(R843=1,AA843&gt;0,AB843=AA843),1,0)</f>
        <v>0</v>
      </c>
      <c r="AK843" s="96">
        <f>IF(R843=0,0,IF(AA843&gt;0,N(L843),IF(ISNUMBER(I843),I843,0)))</f>
        <v>0</v>
      </c>
      <c r="AL843" s="96">
        <f>IF(R843=0,0,IF(AND(K843&lt;&gt;"Sim",N(M843)&gt;AK843+cfg_tol),1,0))</f>
        <v>0</v>
      </c>
      <c r="AM843" s="96">
        <f>IF(R843=0,0,IF(K843="Sim",0,IF(OR(AND(AA843&gt;0,ISNUMBER(I843),ABS(I843-N(L843))&gt;cfg_tol),AL843=1),1,0)))</f>
        <v>0</v>
      </c>
      <c r="AN843" s="96">
        <f>IF(AND(R843=1,N(M843)&gt;0,OR(N(M843)&gt;=AK843-cfg_tol,K843="Sim")),1,0)</f>
        <v>0</v>
      </c>
      <c r="AO843" s="96">
        <f>IF(AND(AN843=1,AD843&gt;0,AE843=AD843,AL843=0),1,0)</f>
        <v>0</v>
      </c>
      <c r="AP843" s="96">
        <f>IF(U843=0,0,IF(AND(INDEX('MTRs'!$AX$6:$AX$505,T843)=1,Z843=0,OR(f_res="",f_res="(Todos)",C843=f_res)),1,0))</f>
        <v>0</v>
      </c>
      <c r="AQ843" s="97" t="str">
        <f>IF(U843=0,"",INDEX('MTRs'!$AZ$6:$AZ$505,T843))</f>
        <v/>
      </c>
      <c r="AR843" s="96">
        <f>IF(U843=0,0,IF(AND(INDEX('MTRs'!$BA$6:$BA$505,T843)=1,Z843=0),1,0))</f>
        <v>0</v>
      </c>
      <c r="AS843" s="96" t="str">
        <f>IF(R843=1,A843&amp;" | MTR "&amp;IF(U843=1,INDEX('MTRs'!$B$6:$B$505,T843)&amp;"","?")&amp;" | "&amp;IF(C843="","(sem resíduo)",C843),"")</f>
        <v/>
      </c>
      <c r="AT843" s="96" t="str">
        <f>IF(R843=1,COUNTIF($R$6:R843,1),"")</f>
        <v/>
      </c>
      <c r="AU843" s="96" t="str">
        <f>IF(U843=1,INDEX('MTRs'!$I$6:$I$505,T843)&amp;"","")</f>
        <v/>
      </c>
    </row>
    <row r="844">
      <c r="A844" s="89" t="inlineStr">
        <is>
          <t>IT-000839</t>
        </is>
      </c>
      <c r="B844" s="91" t="n"/>
      <c r="C844" s="91" t="n"/>
      <c r="D844" s="94" t="str">
        <f>IF(OR(R844=0,V844=0),"",INDEX('CAD_RESÍDUOS'!$E$6:$E$205,MATCH(C844,'CAD_RESÍDUOS'!$B$6:$B$205,0))&amp;"")</f>
        <v/>
      </c>
      <c r="E844" s="94" t="str">
        <f>IF(OR(R844=0,V844=0),"",INDEX('CAD_RESÍDUOS'!$C$6:$C$205,MATCH(C844,'CAD_RESÍDUOS'!$B$6:$B$205,0))&amp;"")</f>
        <v/>
      </c>
      <c r="F844" s="94" t="str">
        <f>IF(OR(R844=0,V844=0),"",INDEX('CAD_RESÍDUOS'!$G$6:$G$205,MATCH(C844,'CAD_RESÍDUOS'!$B$6:$B$205,0))&amp;"")</f>
        <v/>
      </c>
      <c r="G844" s="98" t="n"/>
      <c r="H844" s="91" t="n"/>
      <c r="I844" s="93" t="str">
        <f>IF(R844=0,"",IF(NOT(ISNUMBER(G844)),"",IF(ISNUMBER(X844),G844*X844,"UNIDADE A CONFERIR")))</f>
        <v/>
      </c>
      <c r="J844" s="91" t="n"/>
      <c r="K844" s="91" t="n"/>
      <c r="L844" s="93" t="str">
        <f>IF(R844=0,"",SUMIFS('RECEBIMENTOS'!$H$6:$H$1005,'RECEBIMENTOS'!$R$6:$R$1005,A844,'RECEBIMENTOS'!$X$6:$X$1005,1))</f>
        <v/>
      </c>
      <c r="M844" s="93" t="str">
        <f>IF(R844=0,"",SUMIFS('VÍNCULOS_CDF'!$H$6:$H$1005,'VÍNCULOS_CDF'!$R$6:$R$1005,A844,'VÍNCULOS_CDF'!$V$6:$V$1005,1))</f>
        <v/>
      </c>
      <c r="N844" s="99" t="str">
        <f>IF(OR(R844=0,AA844=0,NOT(ISNUMBER(I844))),"",I844-N(L844))</f>
        <v/>
      </c>
      <c r="O844" s="100" t="str">
        <f>IF(OR(R844=0,AK844&lt;=0),"",N(M844)/AK844)</f>
        <v/>
      </c>
      <c r="P844" s="94" t="str">
        <f>IF(R844=0,"",IF(S844="","Sem MTR associado",IF(U844=0,"MTR inexistente",IF(C844="","Resíduo não identificado",IF(V844=0,"Resíduo fora do cadastro",IF(W844=0,"Quantidade inválida",IF(H844="","Unidade não informada",IF(NOT(ISNUMBER(I844)),"Unidade a conferir",IF(AND(AH844=1,K844&lt;&gt;"Sim"),"Possível duplicidade",IF(Z844=1,"MTR cancelado",IF(AC844&gt;0,"Recebimento com alerta",IF(AA844=0,"Aguardando recebimento",IF(AB844&lt;AA844,"Recebimento a conferir",IF(AM844=1,"Quantidade a revisar",IF(AF844&gt;0,"Vínculo a revisar",IF(AD844=0,"Aguardando CDF",IF(AN844=0,"Vínculo de CDF parcial",IF(AE844&lt;AD844,"CDF a conferir","Documentação conferida"))))))))))))))))))</f>
        <v/>
      </c>
      <c r="Q844" s="93" t="str">
        <f>IF(OR(R844=0,AA844=0),"",MAX(0,N(L844)-N(M844)))</f>
        <v/>
      </c>
      <c r="R844" s="96">
        <f>IF(COUNTA(B844:C844,G844:H844,J844:K844)&gt;0,1,0)</f>
        <v>0</v>
      </c>
      <c r="S844" s="96" t="str">
        <f>IF(B844="","",TRIM(LEFT(B844,FIND(" |",B844&amp;" |")-1)))</f>
        <v/>
      </c>
      <c r="T844" s="96" t="str">
        <f>IF(S844="","",IFERROR(MATCH(S844,'MTRs'!$A$6:$A$505,0),""))</f>
        <v/>
      </c>
      <c r="U844" s="96">
        <f>IF(T844="",0,IF(INDEX('MTRs'!$Z$6:$Z$505,T844)=1,1,0))</f>
        <v>0</v>
      </c>
      <c r="V844" s="96">
        <f>IF(C844="",0,IF(ISNUMBER(MATCH(C844,'CAD_RESÍDUOS'!$B$6:$B$205,0)),1,0))</f>
        <v>0</v>
      </c>
      <c r="W844" s="96">
        <f>IF(AND(ISNUMBER(G844),G844&gt;0),1,0)</f>
        <v>0</v>
      </c>
      <c r="X844" s="96" t="str">
        <f>IF(H844="","",IFERROR(IF(ISNUMBER(INDEX(cfg_fac,MATCH(H844,cfg_units,0))),IF(INDEX(cfg_fac,MATCH(H844,cfg_units,0))&gt;0,INDEX(cfg_fac,MATCH(H844,cfg_units,0)),""),""),""))</f>
        <v/>
      </c>
      <c r="Y844" s="96">
        <f>IF(AND(W844=1,ISNUMBER(I844)),1,0)</f>
        <v>0</v>
      </c>
      <c r="Z844" s="96">
        <f>IF(U844=1,INDEX('MTRs'!$AA$6:$AA$505,T844),0)</f>
        <v>0</v>
      </c>
      <c r="AA844" s="96">
        <f>IF(R844=0,0,COUNTIFS('RECEBIMENTOS'!$R$6:$R$1005,A844,'RECEBIMENTOS'!$Q$6:$Q$1005,1))</f>
        <v>0</v>
      </c>
      <c r="AB844" s="96">
        <f>IF(R844=0,0,COUNTIFS('RECEBIMENTOS'!$R$6:$R$1005,A844,'RECEBIMENTOS'!$Z$6:$Z$1005,1))</f>
        <v>0</v>
      </c>
      <c r="AC844" s="96">
        <f>IF(R844=0,0,COUNTIFS('RECEBIMENTOS'!$R$6:$R$1005,A844,'RECEBIMENTOS'!$Y$6:$Y$1005,1))</f>
        <v>0</v>
      </c>
      <c r="AD844" s="96">
        <f>IF(R844=0,0,COUNTIFS('VÍNCULOS_CDF'!$R$6:$R$1005,A844,'VÍNCULOS_CDF'!$N$6:$N$1005,1))</f>
        <v>0</v>
      </c>
      <c r="AE844" s="96">
        <f>IF(R844=0,0,COUNTIFS('VÍNCULOS_CDF'!$R$6:$R$1005,A844,'VÍNCULOS_CDF'!$AA$6:$AA$1005,1))</f>
        <v>0</v>
      </c>
      <c r="AF844" s="96">
        <f>IF(R844=0,0,COUNTIFS('VÍNCULOS_CDF'!$R$6:$R$1005,A844,'VÍNCULOS_CDF'!$Y$6:$Y$1005,1))</f>
        <v>0</v>
      </c>
      <c r="AG844" s="96" t="str">
        <f>IF(AND(R844=1,S844&lt;&gt;"",C844&lt;&gt;""),S844&amp;"|"&amp;C844&amp;"|"&amp;G844&amp;"|"&amp;H844,"")</f>
        <v/>
      </c>
      <c r="AH844" s="96">
        <f>IF(AG844="",0,IF(SUMPRODUCT(--($AG$6:$AG$1005=AG844))&gt;1,1,0))</f>
        <v>0</v>
      </c>
      <c r="AI844" s="96">
        <f>IF(R844=0,0,IF(OR(U844=0,V844=0,Y844=0,AND(AH844=1,K844&lt;&gt;"Sim")),1,0))</f>
        <v>0</v>
      </c>
      <c r="AJ844" s="96">
        <f>IF(AND(R844=1,AA844&gt;0,AB844=AA844),1,0)</f>
        <v>0</v>
      </c>
      <c r="AK844" s="96">
        <f>IF(R844=0,0,IF(AA844&gt;0,N(L844),IF(ISNUMBER(I844),I844,0)))</f>
        <v>0</v>
      </c>
      <c r="AL844" s="96">
        <f>IF(R844=0,0,IF(AND(K844&lt;&gt;"Sim",N(M844)&gt;AK844+cfg_tol),1,0))</f>
        <v>0</v>
      </c>
      <c r="AM844" s="96">
        <f>IF(R844=0,0,IF(K844="Sim",0,IF(OR(AND(AA844&gt;0,ISNUMBER(I844),ABS(I844-N(L844))&gt;cfg_tol),AL844=1),1,0)))</f>
        <v>0</v>
      </c>
      <c r="AN844" s="96">
        <f>IF(AND(R844=1,N(M844)&gt;0,OR(N(M844)&gt;=AK844-cfg_tol,K844="Sim")),1,0)</f>
        <v>0</v>
      </c>
      <c r="AO844" s="96">
        <f>IF(AND(AN844=1,AD844&gt;0,AE844=AD844,AL844=0),1,0)</f>
        <v>0</v>
      </c>
      <c r="AP844" s="96">
        <f>IF(U844=0,0,IF(AND(INDEX('MTRs'!$AX$6:$AX$505,T844)=1,Z844=0,OR(f_res="",f_res="(Todos)",C844=f_res)),1,0))</f>
        <v>0</v>
      </c>
      <c r="AQ844" s="97" t="str">
        <f>IF(U844=0,"",INDEX('MTRs'!$AZ$6:$AZ$505,T844))</f>
        <v/>
      </c>
      <c r="AR844" s="96">
        <f>IF(U844=0,0,IF(AND(INDEX('MTRs'!$BA$6:$BA$505,T844)=1,Z844=0),1,0))</f>
        <v>0</v>
      </c>
      <c r="AS844" s="96" t="str">
        <f>IF(R844=1,A844&amp;" | MTR "&amp;IF(U844=1,INDEX('MTRs'!$B$6:$B$505,T844)&amp;"","?")&amp;" | "&amp;IF(C844="","(sem resíduo)",C844),"")</f>
        <v/>
      </c>
      <c r="AT844" s="96" t="str">
        <f>IF(R844=1,COUNTIF($R$6:R844,1),"")</f>
        <v/>
      </c>
      <c r="AU844" s="96" t="str">
        <f>IF(U844=1,INDEX('MTRs'!$I$6:$I$505,T844)&amp;"","")</f>
        <v/>
      </c>
    </row>
    <row r="845">
      <c r="A845" s="89" t="inlineStr">
        <is>
          <t>IT-000840</t>
        </is>
      </c>
      <c r="B845" s="91" t="n"/>
      <c r="C845" s="91" t="n"/>
      <c r="D845" s="94" t="str">
        <f>IF(OR(R845=0,V845=0),"",INDEX('CAD_RESÍDUOS'!$E$6:$E$205,MATCH(C845,'CAD_RESÍDUOS'!$B$6:$B$205,0))&amp;"")</f>
        <v/>
      </c>
      <c r="E845" s="94" t="str">
        <f>IF(OR(R845=0,V845=0),"",INDEX('CAD_RESÍDUOS'!$C$6:$C$205,MATCH(C845,'CAD_RESÍDUOS'!$B$6:$B$205,0))&amp;"")</f>
        <v/>
      </c>
      <c r="F845" s="94" t="str">
        <f>IF(OR(R845=0,V845=0),"",INDEX('CAD_RESÍDUOS'!$G$6:$G$205,MATCH(C845,'CAD_RESÍDUOS'!$B$6:$B$205,0))&amp;"")</f>
        <v/>
      </c>
      <c r="G845" s="98" t="n"/>
      <c r="H845" s="91" t="n"/>
      <c r="I845" s="93" t="str">
        <f>IF(R845=0,"",IF(NOT(ISNUMBER(G845)),"",IF(ISNUMBER(X845),G845*X845,"UNIDADE A CONFERIR")))</f>
        <v/>
      </c>
      <c r="J845" s="91" t="n"/>
      <c r="K845" s="91" t="n"/>
      <c r="L845" s="93" t="str">
        <f>IF(R845=0,"",SUMIFS('RECEBIMENTOS'!$H$6:$H$1005,'RECEBIMENTOS'!$R$6:$R$1005,A845,'RECEBIMENTOS'!$X$6:$X$1005,1))</f>
        <v/>
      </c>
      <c r="M845" s="93" t="str">
        <f>IF(R845=0,"",SUMIFS('VÍNCULOS_CDF'!$H$6:$H$1005,'VÍNCULOS_CDF'!$R$6:$R$1005,A845,'VÍNCULOS_CDF'!$V$6:$V$1005,1))</f>
        <v/>
      </c>
      <c r="N845" s="99" t="str">
        <f>IF(OR(R845=0,AA845=0,NOT(ISNUMBER(I845))),"",I845-N(L845))</f>
        <v/>
      </c>
      <c r="O845" s="100" t="str">
        <f>IF(OR(R845=0,AK845&lt;=0),"",N(M845)/AK845)</f>
        <v/>
      </c>
      <c r="P845" s="94" t="str">
        <f>IF(R845=0,"",IF(S845="","Sem MTR associado",IF(U845=0,"MTR inexistente",IF(C845="","Resíduo não identificado",IF(V845=0,"Resíduo fora do cadastro",IF(W845=0,"Quantidade inválida",IF(H845="","Unidade não informada",IF(NOT(ISNUMBER(I845)),"Unidade a conferir",IF(AND(AH845=1,K845&lt;&gt;"Sim"),"Possível duplicidade",IF(Z845=1,"MTR cancelado",IF(AC845&gt;0,"Recebimento com alerta",IF(AA845=0,"Aguardando recebimento",IF(AB845&lt;AA845,"Recebimento a conferir",IF(AM845=1,"Quantidade a revisar",IF(AF845&gt;0,"Vínculo a revisar",IF(AD845=0,"Aguardando CDF",IF(AN845=0,"Vínculo de CDF parcial",IF(AE845&lt;AD845,"CDF a conferir","Documentação conferida"))))))))))))))))))</f>
        <v/>
      </c>
      <c r="Q845" s="93" t="str">
        <f>IF(OR(R845=0,AA845=0),"",MAX(0,N(L845)-N(M845)))</f>
        <v/>
      </c>
      <c r="R845" s="96">
        <f>IF(COUNTA(B845:C845,G845:H845,J845:K845)&gt;0,1,0)</f>
        <v>0</v>
      </c>
      <c r="S845" s="96" t="str">
        <f>IF(B845="","",TRIM(LEFT(B845,FIND(" |",B845&amp;" |")-1)))</f>
        <v/>
      </c>
      <c r="T845" s="96" t="str">
        <f>IF(S845="","",IFERROR(MATCH(S845,'MTRs'!$A$6:$A$505,0),""))</f>
        <v/>
      </c>
      <c r="U845" s="96">
        <f>IF(T845="",0,IF(INDEX('MTRs'!$Z$6:$Z$505,T845)=1,1,0))</f>
        <v>0</v>
      </c>
      <c r="V845" s="96">
        <f>IF(C845="",0,IF(ISNUMBER(MATCH(C845,'CAD_RESÍDUOS'!$B$6:$B$205,0)),1,0))</f>
        <v>0</v>
      </c>
      <c r="W845" s="96">
        <f>IF(AND(ISNUMBER(G845),G845&gt;0),1,0)</f>
        <v>0</v>
      </c>
      <c r="X845" s="96" t="str">
        <f>IF(H845="","",IFERROR(IF(ISNUMBER(INDEX(cfg_fac,MATCH(H845,cfg_units,0))),IF(INDEX(cfg_fac,MATCH(H845,cfg_units,0))&gt;0,INDEX(cfg_fac,MATCH(H845,cfg_units,0)),""),""),""))</f>
        <v/>
      </c>
      <c r="Y845" s="96">
        <f>IF(AND(W845=1,ISNUMBER(I845)),1,0)</f>
        <v>0</v>
      </c>
      <c r="Z845" s="96">
        <f>IF(U845=1,INDEX('MTRs'!$AA$6:$AA$505,T845),0)</f>
        <v>0</v>
      </c>
      <c r="AA845" s="96">
        <f>IF(R845=0,0,COUNTIFS('RECEBIMENTOS'!$R$6:$R$1005,A845,'RECEBIMENTOS'!$Q$6:$Q$1005,1))</f>
        <v>0</v>
      </c>
      <c r="AB845" s="96">
        <f>IF(R845=0,0,COUNTIFS('RECEBIMENTOS'!$R$6:$R$1005,A845,'RECEBIMENTOS'!$Z$6:$Z$1005,1))</f>
        <v>0</v>
      </c>
      <c r="AC845" s="96">
        <f>IF(R845=0,0,COUNTIFS('RECEBIMENTOS'!$R$6:$R$1005,A845,'RECEBIMENTOS'!$Y$6:$Y$1005,1))</f>
        <v>0</v>
      </c>
      <c r="AD845" s="96">
        <f>IF(R845=0,0,COUNTIFS('VÍNCULOS_CDF'!$R$6:$R$1005,A845,'VÍNCULOS_CDF'!$N$6:$N$1005,1))</f>
        <v>0</v>
      </c>
      <c r="AE845" s="96">
        <f>IF(R845=0,0,COUNTIFS('VÍNCULOS_CDF'!$R$6:$R$1005,A845,'VÍNCULOS_CDF'!$AA$6:$AA$1005,1))</f>
        <v>0</v>
      </c>
      <c r="AF845" s="96">
        <f>IF(R845=0,0,COUNTIFS('VÍNCULOS_CDF'!$R$6:$R$1005,A845,'VÍNCULOS_CDF'!$Y$6:$Y$1005,1))</f>
        <v>0</v>
      </c>
      <c r="AG845" s="96" t="str">
        <f>IF(AND(R845=1,S845&lt;&gt;"",C845&lt;&gt;""),S845&amp;"|"&amp;C845&amp;"|"&amp;G845&amp;"|"&amp;H845,"")</f>
        <v/>
      </c>
      <c r="AH845" s="96">
        <f>IF(AG845="",0,IF(SUMPRODUCT(--($AG$6:$AG$1005=AG845))&gt;1,1,0))</f>
        <v>0</v>
      </c>
      <c r="AI845" s="96">
        <f>IF(R845=0,0,IF(OR(U845=0,V845=0,Y845=0,AND(AH845=1,K845&lt;&gt;"Sim")),1,0))</f>
        <v>0</v>
      </c>
      <c r="AJ845" s="96">
        <f>IF(AND(R845=1,AA845&gt;0,AB845=AA845),1,0)</f>
        <v>0</v>
      </c>
      <c r="AK845" s="96">
        <f>IF(R845=0,0,IF(AA845&gt;0,N(L845),IF(ISNUMBER(I845),I845,0)))</f>
        <v>0</v>
      </c>
      <c r="AL845" s="96">
        <f>IF(R845=0,0,IF(AND(K845&lt;&gt;"Sim",N(M845)&gt;AK845+cfg_tol),1,0))</f>
        <v>0</v>
      </c>
      <c r="AM845" s="96">
        <f>IF(R845=0,0,IF(K845="Sim",0,IF(OR(AND(AA845&gt;0,ISNUMBER(I845),ABS(I845-N(L845))&gt;cfg_tol),AL845=1),1,0)))</f>
        <v>0</v>
      </c>
      <c r="AN845" s="96">
        <f>IF(AND(R845=1,N(M845)&gt;0,OR(N(M845)&gt;=AK845-cfg_tol,K845="Sim")),1,0)</f>
        <v>0</v>
      </c>
      <c r="AO845" s="96">
        <f>IF(AND(AN845=1,AD845&gt;0,AE845=AD845,AL845=0),1,0)</f>
        <v>0</v>
      </c>
      <c r="AP845" s="96">
        <f>IF(U845=0,0,IF(AND(INDEX('MTRs'!$AX$6:$AX$505,T845)=1,Z845=0,OR(f_res="",f_res="(Todos)",C845=f_res)),1,0))</f>
        <v>0</v>
      </c>
      <c r="AQ845" s="97" t="str">
        <f>IF(U845=0,"",INDEX('MTRs'!$AZ$6:$AZ$505,T845))</f>
        <v/>
      </c>
      <c r="AR845" s="96">
        <f>IF(U845=0,0,IF(AND(INDEX('MTRs'!$BA$6:$BA$505,T845)=1,Z845=0),1,0))</f>
        <v>0</v>
      </c>
      <c r="AS845" s="96" t="str">
        <f>IF(R845=1,A845&amp;" | MTR "&amp;IF(U845=1,INDEX('MTRs'!$B$6:$B$505,T845)&amp;"","?")&amp;" | "&amp;IF(C845="","(sem resíduo)",C845),"")</f>
        <v/>
      </c>
      <c r="AT845" s="96" t="str">
        <f>IF(R845=1,COUNTIF($R$6:R845,1),"")</f>
        <v/>
      </c>
      <c r="AU845" s="96" t="str">
        <f>IF(U845=1,INDEX('MTRs'!$I$6:$I$505,T845)&amp;"","")</f>
        <v/>
      </c>
    </row>
    <row r="846">
      <c r="A846" s="89" t="inlineStr">
        <is>
          <t>IT-000841</t>
        </is>
      </c>
      <c r="B846" s="91" t="n"/>
      <c r="C846" s="91" t="n"/>
      <c r="D846" s="94" t="str">
        <f>IF(OR(R846=0,V846=0),"",INDEX('CAD_RESÍDUOS'!$E$6:$E$205,MATCH(C846,'CAD_RESÍDUOS'!$B$6:$B$205,0))&amp;"")</f>
        <v/>
      </c>
      <c r="E846" s="94" t="str">
        <f>IF(OR(R846=0,V846=0),"",INDEX('CAD_RESÍDUOS'!$C$6:$C$205,MATCH(C846,'CAD_RESÍDUOS'!$B$6:$B$205,0))&amp;"")</f>
        <v/>
      </c>
      <c r="F846" s="94" t="str">
        <f>IF(OR(R846=0,V846=0),"",INDEX('CAD_RESÍDUOS'!$G$6:$G$205,MATCH(C846,'CAD_RESÍDUOS'!$B$6:$B$205,0))&amp;"")</f>
        <v/>
      </c>
      <c r="G846" s="98" t="n"/>
      <c r="H846" s="91" t="n"/>
      <c r="I846" s="93" t="str">
        <f>IF(R846=0,"",IF(NOT(ISNUMBER(G846)),"",IF(ISNUMBER(X846),G846*X846,"UNIDADE A CONFERIR")))</f>
        <v/>
      </c>
      <c r="J846" s="91" t="n"/>
      <c r="K846" s="91" t="n"/>
      <c r="L846" s="93" t="str">
        <f>IF(R846=0,"",SUMIFS('RECEBIMENTOS'!$H$6:$H$1005,'RECEBIMENTOS'!$R$6:$R$1005,A846,'RECEBIMENTOS'!$X$6:$X$1005,1))</f>
        <v/>
      </c>
      <c r="M846" s="93" t="str">
        <f>IF(R846=0,"",SUMIFS('VÍNCULOS_CDF'!$H$6:$H$1005,'VÍNCULOS_CDF'!$R$6:$R$1005,A846,'VÍNCULOS_CDF'!$V$6:$V$1005,1))</f>
        <v/>
      </c>
      <c r="N846" s="99" t="str">
        <f>IF(OR(R846=0,AA846=0,NOT(ISNUMBER(I846))),"",I846-N(L846))</f>
        <v/>
      </c>
      <c r="O846" s="100" t="str">
        <f>IF(OR(R846=0,AK846&lt;=0),"",N(M846)/AK846)</f>
        <v/>
      </c>
      <c r="P846" s="94" t="str">
        <f>IF(R846=0,"",IF(S846="","Sem MTR associado",IF(U846=0,"MTR inexistente",IF(C846="","Resíduo não identificado",IF(V846=0,"Resíduo fora do cadastro",IF(W846=0,"Quantidade inválida",IF(H846="","Unidade não informada",IF(NOT(ISNUMBER(I846)),"Unidade a conferir",IF(AND(AH846=1,K846&lt;&gt;"Sim"),"Possível duplicidade",IF(Z846=1,"MTR cancelado",IF(AC846&gt;0,"Recebimento com alerta",IF(AA846=0,"Aguardando recebimento",IF(AB846&lt;AA846,"Recebimento a conferir",IF(AM846=1,"Quantidade a revisar",IF(AF846&gt;0,"Vínculo a revisar",IF(AD846=0,"Aguardando CDF",IF(AN846=0,"Vínculo de CDF parcial",IF(AE846&lt;AD846,"CDF a conferir","Documentação conferida"))))))))))))))))))</f>
        <v/>
      </c>
      <c r="Q846" s="93" t="str">
        <f>IF(OR(R846=0,AA846=0),"",MAX(0,N(L846)-N(M846)))</f>
        <v/>
      </c>
      <c r="R846" s="96">
        <f>IF(COUNTA(B846:C846,G846:H846,J846:K846)&gt;0,1,0)</f>
        <v>0</v>
      </c>
      <c r="S846" s="96" t="str">
        <f>IF(B846="","",TRIM(LEFT(B846,FIND(" |",B846&amp;" |")-1)))</f>
        <v/>
      </c>
      <c r="T846" s="96" t="str">
        <f>IF(S846="","",IFERROR(MATCH(S846,'MTRs'!$A$6:$A$505,0),""))</f>
        <v/>
      </c>
      <c r="U846" s="96">
        <f>IF(T846="",0,IF(INDEX('MTRs'!$Z$6:$Z$505,T846)=1,1,0))</f>
        <v>0</v>
      </c>
      <c r="V846" s="96">
        <f>IF(C846="",0,IF(ISNUMBER(MATCH(C846,'CAD_RESÍDUOS'!$B$6:$B$205,0)),1,0))</f>
        <v>0</v>
      </c>
      <c r="W846" s="96">
        <f>IF(AND(ISNUMBER(G846),G846&gt;0),1,0)</f>
        <v>0</v>
      </c>
      <c r="X846" s="96" t="str">
        <f>IF(H846="","",IFERROR(IF(ISNUMBER(INDEX(cfg_fac,MATCH(H846,cfg_units,0))),IF(INDEX(cfg_fac,MATCH(H846,cfg_units,0))&gt;0,INDEX(cfg_fac,MATCH(H846,cfg_units,0)),""),""),""))</f>
        <v/>
      </c>
      <c r="Y846" s="96">
        <f>IF(AND(W846=1,ISNUMBER(I846)),1,0)</f>
        <v>0</v>
      </c>
      <c r="Z846" s="96">
        <f>IF(U846=1,INDEX('MTRs'!$AA$6:$AA$505,T846),0)</f>
        <v>0</v>
      </c>
      <c r="AA846" s="96">
        <f>IF(R846=0,0,COUNTIFS('RECEBIMENTOS'!$R$6:$R$1005,A846,'RECEBIMENTOS'!$Q$6:$Q$1005,1))</f>
        <v>0</v>
      </c>
      <c r="AB846" s="96">
        <f>IF(R846=0,0,COUNTIFS('RECEBIMENTOS'!$R$6:$R$1005,A846,'RECEBIMENTOS'!$Z$6:$Z$1005,1))</f>
        <v>0</v>
      </c>
      <c r="AC846" s="96">
        <f>IF(R846=0,0,COUNTIFS('RECEBIMENTOS'!$R$6:$R$1005,A846,'RECEBIMENTOS'!$Y$6:$Y$1005,1))</f>
        <v>0</v>
      </c>
      <c r="AD846" s="96">
        <f>IF(R846=0,0,COUNTIFS('VÍNCULOS_CDF'!$R$6:$R$1005,A846,'VÍNCULOS_CDF'!$N$6:$N$1005,1))</f>
        <v>0</v>
      </c>
      <c r="AE846" s="96">
        <f>IF(R846=0,0,COUNTIFS('VÍNCULOS_CDF'!$R$6:$R$1005,A846,'VÍNCULOS_CDF'!$AA$6:$AA$1005,1))</f>
        <v>0</v>
      </c>
      <c r="AF846" s="96">
        <f>IF(R846=0,0,COUNTIFS('VÍNCULOS_CDF'!$R$6:$R$1005,A846,'VÍNCULOS_CDF'!$Y$6:$Y$1005,1))</f>
        <v>0</v>
      </c>
      <c r="AG846" s="96" t="str">
        <f>IF(AND(R846=1,S846&lt;&gt;"",C846&lt;&gt;""),S846&amp;"|"&amp;C846&amp;"|"&amp;G846&amp;"|"&amp;H846,"")</f>
        <v/>
      </c>
      <c r="AH846" s="96">
        <f>IF(AG846="",0,IF(SUMPRODUCT(--($AG$6:$AG$1005=AG846))&gt;1,1,0))</f>
        <v>0</v>
      </c>
      <c r="AI846" s="96">
        <f>IF(R846=0,0,IF(OR(U846=0,V846=0,Y846=0,AND(AH846=1,K846&lt;&gt;"Sim")),1,0))</f>
        <v>0</v>
      </c>
      <c r="AJ846" s="96">
        <f>IF(AND(R846=1,AA846&gt;0,AB846=AA846),1,0)</f>
        <v>0</v>
      </c>
      <c r="AK846" s="96">
        <f>IF(R846=0,0,IF(AA846&gt;0,N(L846),IF(ISNUMBER(I846),I846,0)))</f>
        <v>0</v>
      </c>
      <c r="AL846" s="96">
        <f>IF(R846=0,0,IF(AND(K846&lt;&gt;"Sim",N(M846)&gt;AK846+cfg_tol),1,0))</f>
        <v>0</v>
      </c>
      <c r="AM846" s="96">
        <f>IF(R846=0,0,IF(K846="Sim",0,IF(OR(AND(AA846&gt;0,ISNUMBER(I846),ABS(I846-N(L846))&gt;cfg_tol),AL846=1),1,0)))</f>
        <v>0</v>
      </c>
      <c r="AN846" s="96">
        <f>IF(AND(R846=1,N(M846)&gt;0,OR(N(M846)&gt;=AK846-cfg_tol,K846="Sim")),1,0)</f>
        <v>0</v>
      </c>
      <c r="AO846" s="96">
        <f>IF(AND(AN846=1,AD846&gt;0,AE846=AD846,AL846=0),1,0)</f>
        <v>0</v>
      </c>
      <c r="AP846" s="96">
        <f>IF(U846=0,0,IF(AND(INDEX('MTRs'!$AX$6:$AX$505,T846)=1,Z846=0,OR(f_res="",f_res="(Todos)",C846=f_res)),1,0))</f>
        <v>0</v>
      </c>
      <c r="AQ846" s="97" t="str">
        <f>IF(U846=0,"",INDEX('MTRs'!$AZ$6:$AZ$505,T846))</f>
        <v/>
      </c>
      <c r="AR846" s="96">
        <f>IF(U846=0,0,IF(AND(INDEX('MTRs'!$BA$6:$BA$505,T846)=1,Z846=0),1,0))</f>
        <v>0</v>
      </c>
      <c r="AS846" s="96" t="str">
        <f>IF(R846=1,A846&amp;" | MTR "&amp;IF(U846=1,INDEX('MTRs'!$B$6:$B$505,T846)&amp;"","?")&amp;" | "&amp;IF(C846="","(sem resíduo)",C846),"")</f>
        <v/>
      </c>
      <c r="AT846" s="96" t="str">
        <f>IF(R846=1,COUNTIF($R$6:R846,1),"")</f>
        <v/>
      </c>
      <c r="AU846" s="96" t="str">
        <f>IF(U846=1,INDEX('MTRs'!$I$6:$I$505,T846)&amp;"","")</f>
        <v/>
      </c>
    </row>
    <row r="847">
      <c r="A847" s="89" t="inlineStr">
        <is>
          <t>IT-000842</t>
        </is>
      </c>
      <c r="B847" s="91" t="n"/>
      <c r="C847" s="91" t="n"/>
      <c r="D847" s="94" t="str">
        <f>IF(OR(R847=0,V847=0),"",INDEX('CAD_RESÍDUOS'!$E$6:$E$205,MATCH(C847,'CAD_RESÍDUOS'!$B$6:$B$205,0))&amp;"")</f>
        <v/>
      </c>
      <c r="E847" s="94" t="str">
        <f>IF(OR(R847=0,V847=0),"",INDEX('CAD_RESÍDUOS'!$C$6:$C$205,MATCH(C847,'CAD_RESÍDUOS'!$B$6:$B$205,0))&amp;"")</f>
        <v/>
      </c>
      <c r="F847" s="94" t="str">
        <f>IF(OR(R847=0,V847=0),"",INDEX('CAD_RESÍDUOS'!$G$6:$G$205,MATCH(C847,'CAD_RESÍDUOS'!$B$6:$B$205,0))&amp;"")</f>
        <v/>
      </c>
      <c r="G847" s="98" t="n"/>
      <c r="H847" s="91" t="n"/>
      <c r="I847" s="93" t="str">
        <f>IF(R847=0,"",IF(NOT(ISNUMBER(G847)),"",IF(ISNUMBER(X847),G847*X847,"UNIDADE A CONFERIR")))</f>
        <v/>
      </c>
      <c r="J847" s="91" t="n"/>
      <c r="K847" s="91" t="n"/>
      <c r="L847" s="93" t="str">
        <f>IF(R847=0,"",SUMIFS('RECEBIMENTOS'!$H$6:$H$1005,'RECEBIMENTOS'!$R$6:$R$1005,A847,'RECEBIMENTOS'!$X$6:$X$1005,1))</f>
        <v/>
      </c>
      <c r="M847" s="93" t="str">
        <f>IF(R847=0,"",SUMIFS('VÍNCULOS_CDF'!$H$6:$H$1005,'VÍNCULOS_CDF'!$R$6:$R$1005,A847,'VÍNCULOS_CDF'!$V$6:$V$1005,1))</f>
        <v/>
      </c>
      <c r="N847" s="99" t="str">
        <f>IF(OR(R847=0,AA847=0,NOT(ISNUMBER(I847))),"",I847-N(L847))</f>
        <v/>
      </c>
      <c r="O847" s="100" t="str">
        <f>IF(OR(R847=0,AK847&lt;=0),"",N(M847)/AK847)</f>
        <v/>
      </c>
      <c r="P847" s="94" t="str">
        <f>IF(R847=0,"",IF(S847="","Sem MTR associado",IF(U847=0,"MTR inexistente",IF(C847="","Resíduo não identificado",IF(V847=0,"Resíduo fora do cadastro",IF(W847=0,"Quantidade inválida",IF(H847="","Unidade não informada",IF(NOT(ISNUMBER(I847)),"Unidade a conferir",IF(AND(AH847=1,K847&lt;&gt;"Sim"),"Possível duplicidade",IF(Z847=1,"MTR cancelado",IF(AC847&gt;0,"Recebimento com alerta",IF(AA847=0,"Aguardando recebimento",IF(AB847&lt;AA847,"Recebimento a conferir",IF(AM847=1,"Quantidade a revisar",IF(AF847&gt;0,"Vínculo a revisar",IF(AD847=0,"Aguardando CDF",IF(AN847=0,"Vínculo de CDF parcial",IF(AE847&lt;AD847,"CDF a conferir","Documentação conferida"))))))))))))))))))</f>
        <v/>
      </c>
      <c r="Q847" s="93" t="str">
        <f>IF(OR(R847=0,AA847=0),"",MAX(0,N(L847)-N(M847)))</f>
        <v/>
      </c>
      <c r="R847" s="96">
        <f>IF(COUNTA(B847:C847,G847:H847,J847:K847)&gt;0,1,0)</f>
        <v>0</v>
      </c>
      <c r="S847" s="96" t="str">
        <f>IF(B847="","",TRIM(LEFT(B847,FIND(" |",B847&amp;" |")-1)))</f>
        <v/>
      </c>
      <c r="T847" s="96" t="str">
        <f>IF(S847="","",IFERROR(MATCH(S847,'MTRs'!$A$6:$A$505,0),""))</f>
        <v/>
      </c>
      <c r="U847" s="96">
        <f>IF(T847="",0,IF(INDEX('MTRs'!$Z$6:$Z$505,T847)=1,1,0))</f>
        <v>0</v>
      </c>
      <c r="V847" s="96">
        <f>IF(C847="",0,IF(ISNUMBER(MATCH(C847,'CAD_RESÍDUOS'!$B$6:$B$205,0)),1,0))</f>
        <v>0</v>
      </c>
      <c r="W847" s="96">
        <f>IF(AND(ISNUMBER(G847),G847&gt;0),1,0)</f>
        <v>0</v>
      </c>
      <c r="X847" s="96" t="str">
        <f>IF(H847="","",IFERROR(IF(ISNUMBER(INDEX(cfg_fac,MATCH(H847,cfg_units,0))),IF(INDEX(cfg_fac,MATCH(H847,cfg_units,0))&gt;0,INDEX(cfg_fac,MATCH(H847,cfg_units,0)),""),""),""))</f>
        <v/>
      </c>
      <c r="Y847" s="96">
        <f>IF(AND(W847=1,ISNUMBER(I847)),1,0)</f>
        <v>0</v>
      </c>
      <c r="Z847" s="96">
        <f>IF(U847=1,INDEX('MTRs'!$AA$6:$AA$505,T847),0)</f>
        <v>0</v>
      </c>
      <c r="AA847" s="96">
        <f>IF(R847=0,0,COUNTIFS('RECEBIMENTOS'!$R$6:$R$1005,A847,'RECEBIMENTOS'!$Q$6:$Q$1005,1))</f>
        <v>0</v>
      </c>
      <c r="AB847" s="96">
        <f>IF(R847=0,0,COUNTIFS('RECEBIMENTOS'!$R$6:$R$1005,A847,'RECEBIMENTOS'!$Z$6:$Z$1005,1))</f>
        <v>0</v>
      </c>
      <c r="AC847" s="96">
        <f>IF(R847=0,0,COUNTIFS('RECEBIMENTOS'!$R$6:$R$1005,A847,'RECEBIMENTOS'!$Y$6:$Y$1005,1))</f>
        <v>0</v>
      </c>
      <c r="AD847" s="96">
        <f>IF(R847=0,0,COUNTIFS('VÍNCULOS_CDF'!$R$6:$R$1005,A847,'VÍNCULOS_CDF'!$N$6:$N$1005,1))</f>
        <v>0</v>
      </c>
      <c r="AE847" s="96">
        <f>IF(R847=0,0,COUNTIFS('VÍNCULOS_CDF'!$R$6:$R$1005,A847,'VÍNCULOS_CDF'!$AA$6:$AA$1005,1))</f>
        <v>0</v>
      </c>
      <c r="AF847" s="96">
        <f>IF(R847=0,0,COUNTIFS('VÍNCULOS_CDF'!$R$6:$R$1005,A847,'VÍNCULOS_CDF'!$Y$6:$Y$1005,1))</f>
        <v>0</v>
      </c>
      <c r="AG847" s="96" t="str">
        <f>IF(AND(R847=1,S847&lt;&gt;"",C847&lt;&gt;""),S847&amp;"|"&amp;C847&amp;"|"&amp;G847&amp;"|"&amp;H847,"")</f>
        <v/>
      </c>
      <c r="AH847" s="96">
        <f>IF(AG847="",0,IF(SUMPRODUCT(--($AG$6:$AG$1005=AG847))&gt;1,1,0))</f>
        <v>0</v>
      </c>
      <c r="AI847" s="96">
        <f>IF(R847=0,0,IF(OR(U847=0,V847=0,Y847=0,AND(AH847=1,K847&lt;&gt;"Sim")),1,0))</f>
        <v>0</v>
      </c>
      <c r="AJ847" s="96">
        <f>IF(AND(R847=1,AA847&gt;0,AB847=AA847),1,0)</f>
        <v>0</v>
      </c>
      <c r="AK847" s="96">
        <f>IF(R847=0,0,IF(AA847&gt;0,N(L847),IF(ISNUMBER(I847),I847,0)))</f>
        <v>0</v>
      </c>
      <c r="AL847" s="96">
        <f>IF(R847=0,0,IF(AND(K847&lt;&gt;"Sim",N(M847)&gt;AK847+cfg_tol),1,0))</f>
        <v>0</v>
      </c>
      <c r="AM847" s="96">
        <f>IF(R847=0,0,IF(K847="Sim",0,IF(OR(AND(AA847&gt;0,ISNUMBER(I847),ABS(I847-N(L847))&gt;cfg_tol),AL847=1),1,0)))</f>
        <v>0</v>
      </c>
      <c r="AN847" s="96">
        <f>IF(AND(R847=1,N(M847)&gt;0,OR(N(M847)&gt;=AK847-cfg_tol,K847="Sim")),1,0)</f>
        <v>0</v>
      </c>
      <c r="AO847" s="96">
        <f>IF(AND(AN847=1,AD847&gt;0,AE847=AD847,AL847=0),1,0)</f>
        <v>0</v>
      </c>
      <c r="AP847" s="96">
        <f>IF(U847=0,0,IF(AND(INDEX('MTRs'!$AX$6:$AX$505,T847)=1,Z847=0,OR(f_res="",f_res="(Todos)",C847=f_res)),1,0))</f>
        <v>0</v>
      </c>
      <c r="AQ847" s="97" t="str">
        <f>IF(U847=0,"",INDEX('MTRs'!$AZ$6:$AZ$505,T847))</f>
        <v/>
      </c>
      <c r="AR847" s="96">
        <f>IF(U847=0,0,IF(AND(INDEX('MTRs'!$BA$6:$BA$505,T847)=1,Z847=0),1,0))</f>
        <v>0</v>
      </c>
      <c r="AS847" s="96" t="str">
        <f>IF(R847=1,A847&amp;" | MTR "&amp;IF(U847=1,INDEX('MTRs'!$B$6:$B$505,T847)&amp;"","?")&amp;" | "&amp;IF(C847="","(sem resíduo)",C847),"")</f>
        <v/>
      </c>
      <c r="AT847" s="96" t="str">
        <f>IF(R847=1,COUNTIF($R$6:R847,1),"")</f>
        <v/>
      </c>
      <c r="AU847" s="96" t="str">
        <f>IF(U847=1,INDEX('MTRs'!$I$6:$I$505,T847)&amp;"","")</f>
        <v/>
      </c>
    </row>
    <row r="848">
      <c r="A848" s="89" t="inlineStr">
        <is>
          <t>IT-000843</t>
        </is>
      </c>
      <c r="B848" s="91" t="n"/>
      <c r="C848" s="91" t="n"/>
      <c r="D848" s="94" t="str">
        <f>IF(OR(R848=0,V848=0),"",INDEX('CAD_RESÍDUOS'!$E$6:$E$205,MATCH(C848,'CAD_RESÍDUOS'!$B$6:$B$205,0))&amp;"")</f>
        <v/>
      </c>
      <c r="E848" s="94" t="str">
        <f>IF(OR(R848=0,V848=0),"",INDEX('CAD_RESÍDUOS'!$C$6:$C$205,MATCH(C848,'CAD_RESÍDUOS'!$B$6:$B$205,0))&amp;"")</f>
        <v/>
      </c>
      <c r="F848" s="94" t="str">
        <f>IF(OR(R848=0,V848=0),"",INDEX('CAD_RESÍDUOS'!$G$6:$G$205,MATCH(C848,'CAD_RESÍDUOS'!$B$6:$B$205,0))&amp;"")</f>
        <v/>
      </c>
      <c r="G848" s="98" t="n"/>
      <c r="H848" s="91" t="n"/>
      <c r="I848" s="93" t="str">
        <f>IF(R848=0,"",IF(NOT(ISNUMBER(G848)),"",IF(ISNUMBER(X848),G848*X848,"UNIDADE A CONFERIR")))</f>
        <v/>
      </c>
      <c r="J848" s="91" t="n"/>
      <c r="K848" s="91" t="n"/>
      <c r="L848" s="93" t="str">
        <f>IF(R848=0,"",SUMIFS('RECEBIMENTOS'!$H$6:$H$1005,'RECEBIMENTOS'!$R$6:$R$1005,A848,'RECEBIMENTOS'!$X$6:$X$1005,1))</f>
        <v/>
      </c>
      <c r="M848" s="93" t="str">
        <f>IF(R848=0,"",SUMIFS('VÍNCULOS_CDF'!$H$6:$H$1005,'VÍNCULOS_CDF'!$R$6:$R$1005,A848,'VÍNCULOS_CDF'!$V$6:$V$1005,1))</f>
        <v/>
      </c>
      <c r="N848" s="99" t="str">
        <f>IF(OR(R848=0,AA848=0,NOT(ISNUMBER(I848))),"",I848-N(L848))</f>
        <v/>
      </c>
      <c r="O848" s="100" t="str">
        <f>IF(OR(R848=0,AK848&lt;=0),"",N(M848)/AK848)</f>
        <v/>
      </c>
      <c r="P848" s="94" t="str">
        <f>IF(R848=0,"",IF(S848="","Sem MTR associado",IF(U848=0,"MTR inexistente",IF(C848="","Resíduo não identificado",IF(V848=0,"Resíduo fora do cadastro",IF(W848=0,"Quantidade inválida",IF(H848="","Unidade não informada",IF(NOT(ISNUMBER(I848)),"Unidade a conferir",IF(AND(AH848=1,K848&lt;&gt;"Sim"),"Possível duplicidade",IF(Z848=1,"MTR cancelado",IF(AC848&gt;0,"Recebimento com alerta",IF(AA848=0,"Aguardando recebimento",IF(AB848&lt;AA848,"Recebimento a conferir",IF(AM848=1,"Quantidade a revisar",IF(AF848&gt;0,"Vínculo a revisar",IF(AD848=0,"Aguardando CDF",IF(AN848=0,"Vínculo de CDF parcial",IF(AE848&lt;AD848,"CDF a conferir","Documentação conferida"))))))))))))))))))</f>
        <v/>
      </c>
      <c r="Q848" s="93" t="str">
        <f>IF(OR(R848=0,AA848=0),"",MAX(0,N(L848)-N(M848)))</f>
        <v/>
      </c>
      <c r="R848" s="96">
        <f>IF(COUNTA(B848:C848,G848:H848,J848:K848)&gt;0,1,0)</f>
        <v>0</v>
      </c>
      <c r="S848" s="96" t="str">
        <f>IF(B848="","",TRIM(LEFT(B848,FIND(" |",B848&amp;" |")-1)))</f>
        <v/>
      </c>
      <c r="T848" s="96" t="str">
        <f>IF(S848="","",IFERROR(MATCH(S848,'MTRs'!$A$6:$A$505,0),""))</f>
        <v/>
      </c>
      <c r="U848" s="96">
        <f>IF(T848="",0,IF(INDEX('MTRs'!$Z$6:$Z$505,T848)=1,1,0))</f>
        <v>0</v>
      </c>
      <c r="V848" s="96">
        <f>IF(C848="",0,IF(ISNUMBER(MATCH(C848,'CAD_RESÍDUOS'!$B$6:$B$205,0)),1,0))</f>
        <v>0</v>
      </c>
      <c r="W848" s="96">
        <f>IF(AND(ISNUMBER(G848),G848&gt;0),1,0)</f>
        <v>0</v>
      </c>
      <c r="X848" s="96" t="str">
        <f>IF(H848="","",IFERROR(IF(ISNUMBER(INDEX(cfg_fac,MATCH(H848,cfg_units,0))),IF(INDEX(cfg_fac,MATCH(H848,cfg_units,0))&gt;0,INDEX(cfg_fac,MATCH(H848,cfg_units,0)),""),""),""))</f>
        <v/>
      </c>
      <c r="Y848" s="96">
        <f>IF(AND(W848=1,ISNUMBER(I848)),1,0)</f>
        <v>0</v>
      </c>
      <c r="Z848" s="96">
        <f>IF(U848=1,INDEX('MTRs'!$AA$6:$AA$505,T848),0)</f>
        <v>0</v>
      </c>
      <c r="AA848" s="96">
        <f>IF(R848=0,0,COUNTIFS('RECEBIMENTOS'!$R$6:$R$1005,A848,'RECEBIMENTOS'!$Q$6:$Q$1005,1))</f>
        <v>0</v>
      </c>
      <c r="AB848" s="96">
        <f>IF(R848=0,0,COUNTIFS('RECEBIMENTOS'!$R$6:$R$1005,A848,'RECEBIMENTOS'!$Z$6:$Z$1005,1))</f>
        <v>0</v>
      </c>
      <c r="AC848" s="96">
        <f>IF(R848=0,0,COUNTIFS('RECEBIMENTOS'!$R$6:$R$1005,A848,'RECEBIMENTOS'!$Y$6:$Y$1005,1))</f>
        <v>0</v>
      </c>
      <c r="AD848" s="96">
        <f>IF(R848=0,0,COUNTIFS('VÍNCULOS_CDF'!$R$6:$R$1005,A848,'VÍNCULOS_CDF'!$N$6:$N$1005,1))</f>
        <v>0</v>
      </c>
      <c r="AE848" s="96">
        <f>IF(R848=0,0,COUNTIFS('VÍNCULOS_CDF'!$R$6:$R$1005,A848,'VÍNCULOS_CDF'!$AA$6:$AA$1005,1))</f>
        <v>0</v>
      </c>
      <c r="AF848" s="96">
        <f>IF(R848=0,0,COUNTIFS('VÍNCULOS_CDF'!$R$6:$R$1005,A848,'VÍNCULOS_CDF'!$Y$6:$Y$1005,1))</f>
        <v>0</v>
      </c>
      <c r="AG848" s="96" t="str">
        <f>IF(AND(R848=1,S848&lt;&gt;"",C848&lt;&gt;""),S848&amp;"|"&amp;C848&amp;"|"&amp;G848&amp;"|"&amp;H848,"")</f>
        <v/>
      </c>
      <c r="AH848" s="96">
        <f>IF(AG848="",0,IF(SUMPRODUCT(--($AG$6:$AG$1005=AG848))&gt;1,1,0))</f>
        <v>0</v>
      </c>
      <c r="AI848" s="96">
        <f>IF(R848=0,0,IF(OR(U848=0,V848=0,Y848=0,AND(AH848=1,K848&lt;&gt;"Sim")),1,0))</f>
        <v>0</v>
      </c>
      <c r="AJ848" s="96">
        <f>IF(AND(R848=1,AA848&gt;0,AB848=AA848),1,0)</f>
        <v>0</v>
      </c>
      <c r="AK848" s="96">
        <f>IF(R848=0,0,IF(AA848&gt;0,N(L848),IF(ISNUMBER(I848),I848,0)))</f>
        <v>0</v>
      </c>
      <c r="AL848" s="96">
        <f>IF(R848=0,0,IF(AND(K848&lt;&gt;"Sim",N(M848)&gt;AK848+cfg_tol),1,0))</f>
        <v>0</v>
      </c>
      <c r="AM848" s="96">
        <f>IF(R848=0,0,IF(K848="Sim",0,IF(OR(AND(AA848&gt;0,ISNUMBER(I848),ABS(I848-N(L848))&gt;cfg_tol),AL848=1),1,0)))</f>
        <v>0</v>
      </c>
      <c r="AN848" s="96">
        <f>IF(AND(R848=1,N(M848)&gt;0,OR(N(M848)&gt;=AK848-cfg_tol,K848="Sim")),1,0)</f>
        <v>0</v>
      </c>
      <c r="AO848" s="96">
        <f>IF(AND(AN848=1,AD848&gt;0,AE848=AD848,AL848=0),1,0)</f>
        <v>0</v>
      </c>
      <c r="AP848" s="96">
        <f>IF(U848=0,0,IF(AND(INDEX('MTRs'!$AX$6:$AX$505,T848)=1,Z848=0,OR(f_res="",f_res="(Todos)",C848=f_res)),1,0))</f>
        <v>0</v>
      </c>
      <c r="AQ848" s="97" t="str">
        <f>IF(U848=0,"",INDEX('MTRs'!$AZ$6:$AZ$505,T848))</f>
        <v/>
      </c>
      <c r="AR848" s="96">
        <f>IF(U848=0,0,IF(AND(INDEX('MTRs'!$BA$6:$BA$505,T848)=1,Z848=0),1,0))</f>
        <v>0</v>
      </c>
      <c r="AS848" s="96" t="str">
        <f>IF(R848=1,A848&amp;" | MTR "&amp;IF(U848=1,INDEX('MTRs'!$B$6:$B$505,T848)&amp;"","?")&amp;" | "&amp;IF(C848="","(sem resíduo)",C848),"")</f>
        <v/>
      </c>
      <c r="AT848" s="96" t="str">
        <f>IF(R848=1,COUNTIF($R$6:R848,1),"")</f>
        <v/>
      </c>
      <c r="AU848" s="96" t="str">
        <f>IF(U848=1,INDEX('MTRs'!$I$6:$I$505,T848)&amp;"","")</f>
        <v/>
      </c>
    </row>
    <row r="849">
      <c r="A849" s="89" t="inlineStr">
        <is>
          <t>IT-000844</t>
        </is>
      </c>
      <c r="B849" s="91" t="n"/>
      <c r="C849" s="91" t="n"/>
      <c r="D849" s="94" t="str">
        <f>IF(OR(R849=0,V849=0),"",INDEX('CAD_RESÍDUOS'!$E$6:$E$205,MATCH(C849,'CAD_RESÍDUOS'!$B$6:$B$205,0))&amp;"")</f>
        <v/>
      </c>
      <c r="E849" s="94" t="str">
        <f>IF(OR(R849=0,V849=0),"",INDEX('CAD_RESÍDUOS'!$C$6:$C$205,MATCH(C849,'CAD_RESÍDUOS'!$B$6:$B$205,0))&amp;"")</f>
        <v/>
      </c>
      <c r="F849" s="94" t="str">
        <f>IF(OR(R849=0,V849=0),"",INDEX('CAD_RESÍDUOS'!$G$6:$G$205,MATCH(C849,'CAD_RESÍDUOS'!$B$6:$B$205,0))&amp;"")</f>
        <v/>
      </c>
      <c r="G849" s="98" t="n"/>
      <c r="H849" s="91" t="n"/>
      <c r="I849" s="93" t="str">
        <f>IF(R849=0,"",IF(NOT(ISNUMBER(G849)),"",IF(ISNUMBER(X849),G849*X849,"UNIDADE A CONFERIR")))</f>
        <v/>
      </c>
      <c r="J849" s="91" t="n"/>
      <c r="K849" s="91" t="n"/>
      <c r="L849" s="93" t="str">
        <f>IF(R849=0,"",SUMIFS('RECEBIMENTOS'!$H$6:$H$1005,'RECEBIMENTOS'!$R$6:$R$1005,A849,'RECEBIMENTOS'!$X$6:$X$1005,1))</f>
        <v/>
      </c>
      <c r="M849" s="93" t="str">
        <f>IF(R849=0,"",SUMIFS('VÍNCULOS_CDF'!$H$6:$H$1005,'VÍNCULOS_CDF'!$R$6:$R$1005,A849,'VÍNCULOS_CDF'!$V$6:$V$1005,1))</f>
        <v/>
      </c>
      <c r="N849" s="99" t="str">
        <f>IF(OR(R849=0,AA849=0,NOT(ISNUMBER(I849))),"",I849-N(L849))</f>
        <v/>
      </c>
      <c r="O849" s="100" t="str">
        <f>IF(OR(R849=0,AK849&lt;=0),"",N(M849)/AK849)</f>
        <v/>
      </c>
      <c r="P849" s="94" t="str">
        <f>IF(R849=0,"",IF(S849="","Sem MTR associado",IF(U849=0,"MTR inexistente",IF(C849="","Resíduo não identificado",IF(V849=0,"Resíduo fora do cadastro",IF(W849=0,"Quantidade inválida",IF(H849="","Unidade não informada",IF(NOT(ISNUMBER(I849)),"Unidade a conferir",IF(AND(AH849=1,K849&lt;&gt;"Sim"),"Possível duplicidade",IF(Z849=1,"MTR cancelado",IF(AC849&gt;0,"Recebimento com alerta",IF(AA849=0,"Aguardando recebimento",IF(AB849&lt;AA849,"Recebimento a conferir",IF(AM849=1,"Quantidade a revisar",IF(AF849&gt;0,"Vínculo a revisar",IF(AD849=0,"Aguardando CDF",IF(AN849=0,"Vínculo de CDF parcial",IF(AE849&lt;AD849,"CDF a conferir","Documentação conferida"))))))))))))))))))</f>
        <v/>
      </c>
      <c r="Q849" s="93" t="str">
        <f>IF(OR(R849=0,AA849=0),"",MAX(0,N(L849)-N(M849)))</f>
        <v/>
      </c>
      <c r="R849" s="96">
        <f>IF(COUNTA(B849:C849,G849:H849,J849:K849)&gt;0,1,0)</f>
        <v>0</v>
      </c>
      <c r="S849" s="96" t="str">
        <f>IF(B849="","",TRIM(LEFT(B849,FIND(" |",B849&amp;" |")-1)))</f>
        <v/>
      </c>
      <c r="T849" s="96" t="str">
        <f>IF(S849="","",IFERROR(MATCH(S849,'MTRs'!$A$6:$A$505,0),""))</f>
        <v/>
      </c>
      <c r="U849" s="96">
        <f>IF(T849="",0,IF(INDEX('MTRs'!$Z$6:$Z$505,T849)=1,1,0))</f>
        <v>0</v>
      </c>
      <c r="V849" s="96">
        <f>IF(C849="",0,IF(ISNUMBER(MATCH(C849,'CAD_RESÍDUOS'!$B$6:$B$205,0)),1,0))</f>
        <v>0</v>
      </c>
      <c r="W849" s="96">
        <f>IF(AND(ISNUMBER(G849),G849&gt;0),1,0)</f>
        <v>0</v>
      </c>
      <c r="X849" s="96" t="str">
        <f>IF(H849="","",IFERROR(IF(ISNUMBER(INDEX(cfg_fac,MATCH(H849,cfg_units,0))),IF(INDEX(cfg_fac,MATCH(H849,cfg_units,0))&gt;0,INDEX(cfg_fac,MATCH(H849,cfg_units,0)),""),""),""))</f>
        <v/>
      </c>
      <c r="Y849" s="96">
        <f>IF(AND(W849=1,ISNUMBER(I849)),1,0)</f>
        <v>0</v>
      </c>
      <c r="Z849" s="96">
        <f>IF(U849=1,INDEX('MTRs'!$AA$6:$AA$505,T849),0)</f>
        <v>0</v>
      </c>
      <c r="AA849" s="96">
        <f>IF(R849=0,0,COUNTIFS('RECEBIMENTOS'!$R$6:$R$1005,A849,'RECEBIMENTOS'!$Q$6:$Q$1005,1))</f>
        <v>0</v>
      </c>
      <c r="AB849" s="96">
        <f>IF(R849=0,0,COUNTIFS('RECEBIMENTOS'!$R$6:$R$1005,A849,'RECEBIMENTOS'!$Z$6:$Z$1005,1))</f>
        <v>0</v>
      </c>
      <c r="AC849" s="96">
        <f>IF(R849=0,0,COUNTIFS('RECEBIMENTOS'!$R$6:$R$1005,A849,'RECEBIMENTOS'!$Y$6:$Y$1005,1))</f>
        <v>0</v>
      </c>
      <c r="AD849" s="96">
        <f>IF(R849=0,0,COUNTIFS('VÍNCULOS_CDF'!$R$6:$R$1005,A849,'VÍNCULOS_CDF'!$N$6:$N$1005,1))</f>
        <v>0</v>
      </c>
      <c r="AE849" s="96">
        <f>IF(R849=0,0,COUNTIFS('VÍNCULOS_CDF'!$R$6:$R$1005,A849,'VÍNCULOS_CDF'!$AA$6:$AA$1005,1))</f>
        <v>0</v>
      </c>
      <c r="AF849" s="96">
        <f>IF(R849=0,0,COUNTIFS('VÍNCULOS_CDF'!$R$6:$R$1005,A849,'VÍNCULOS_CDF'!$Y$6:$Y$1005,1))</f>
        <v>0</v>
      </c>
      <c r="AG849" s="96" t="str">
        <f>IF(AND(R849=1,S849&lt;&gt;"",C849&lt;&gt;""),S849&amp;"|"&amp;C849&amp;"|"&amp;G849&amp;"|"&amp;H849,"")</f>
        <v/>
      </c>
      <c r="AH849" s="96">
        <f>IF(AG849="",0,IF(SUMPRODUCT(--($AG$6:$AG$1005=AG849))&gt;1,1,0))</f>
        <v>0</v>
      </c>
      <c r="AI849" s="96">
        <f>IF(R849=0,0,IF(OR(U849=0,V849=0,Y849=0,AND(AH849=1,K849&lt;&gt;"Sim")),1,0))</f>
        <v>0</v>
      </c>
      <c r="AJ849" s="96">
        <f>IF(AND(R849=1,AA849&gt;0,AB849=AA849),1,0)</f>
        <v>0</v>
      </c>
      <c r="AK849" s="96">
        <f>IF(R849=0,0,IF(AA849&gt;0,N(L849),IF(ISNUMBER(I849),I849,0)))</f>
        <v>0</v>
      </c>
      <c r="AL849" s="96">
        <f>IF(R849=0,0,IF(AND(K849&lt;&gt;"Sim",N(M849)&gt;AK849+cfg_tol),1,0))</f>
        <v>0</v>
      </c>
      <c r="AM849" s="96">
        <f>IF(R849=0,0,IF(K849="Sim",0,IF(OR(AND(AA849&gt;0,ISNUMBER(I849),ABS(I849-N(L849))&gt;cfg_tol),AL849=1),1,0)))</f>
        <v>0</v>
      </c>
      <c r="AN849" s="96">
        <f>IF(AND(R849=1,N(M849)&gt;0,OR(N(M849)&gt;=AK849-cfg_tol,K849="Sim")),1,0)</f>
        <v>0</v>
      </c>
      <c r="AO849" s="96">
        <f>IF(AND(AN849=1,AD849&gt;0,AE849=AD849,AL849=0),1,0)</f>
        <v>0</v>
      </c>
      <c r="AP849" s="96">
        <f>IF(U849=0,0,IF(AND(INDEX('MTRs'!$AX$6:$AX$505,T849)=1,Z849=0,OR(f_res="",f_res="(Todos)",C849=f_res)),1,0))</f>
        <v>0</v>
      </c>
      <c r="AQ849" s="97" t="str">
        <f>IF(U849=0,"",INDEX('MTRs'!$AZ$6:$AZ$505,T849))</f>
        <v/>
      </c>
      <c r="AR849" s="96">
        <f>IF(U849=0,0,IF(AND(INDEX('MTRs'!$BA$6:$BA$505,T849)=1,Z849=0),1,0))</f>
        <v>0</v>
      </c>
      <c r="AS849" s="96" t="str">
        <f>IF(R849=1,A849&amp;" | MTR "&amp;IF(U849=1,INDEX('MTRs'!$B$6:$B$505,T849)&amp;"","?")&amp;" | "&amp;IF(C849="","(sem resíduo)",C849),"")</f>
        <v/>
      </c>
      <c r="AT849" s="96" t="str">
        <f>IF(R849=1,COUNTIF($R$6:R849,1),"")</f>
        <v/>
      </c>
      <c r="AU849" s="96" t="str">
        <f>IF(U849=1,INDEX('MTRs'!$I$6:$I$505,T849)&amp;"","")</f>
        <v/>
      </c>
    </row>
    <row r="850">
      <c r="A850" s="89" t="inlineStr">
        <is>
          <t>IT-000845</t>
        </is>
      </c>
      <c r="B850" s="91" t="n"/>
      <c r="C850" s="91" t="n"/>
      <c r="D850" s="94" t="str">
        <f>IF(OR(R850=0,V850=0),"",INDEX('CAD_RESÍDUOS'!$E$6:$E$205,MATCH(C850,'CAD_RESÍDUOS'!$B$6:$B$205,0))&amp;"")</f>
        <v/>
      </c>
      <c r="E850" s="94" t="str">
        <f>IF(OR(R850=0,V850=0),"",INDEX('CAD_RESÍDUOS'!$C$6:$C$205,MATCH(C850,'CAD_RESÍDUOS'!$B$6:$B$205,0))&amp;"")</f>
        <v/>
      </c>
      <c r="F850" s="94" t="str">
        <f>IF(OR(R850=0,V850=0),"",INDEX('CAD_RESÍDUOS'!$G$6:$G$205,MATCH(C850,'CAD_RESÍDUOS'!$B$6:$B$205,0))&amp;"")</f>
        <v/>
      </c>
      <c r="G850" s="98" t="n"/>
      <c r="H850" s="91" t="n"/>
      <c r="I850" s="93" t="str">
        <f>IF(R850=0,"",IF(NOT(ISNUMBER(G850)),"",IF(ISNUMBER(X850),G850*X850,"UNIDADE A CONFERIR")))</f>
        <v/>
      </c>
      <c r="J850" s="91" t="n"/>
      <c r="K850" s="91" t="n"/>
      <c r="L850" s="93" t="str">
        <f>IF(R850=0,"",SUMIFS('RECEBIMENTOS'!$H$6:$H$1005,'RECEBIMENTOS'!$R$6:$R$1005,A850,'RECEBIMENTOS'!$X$6:$X$1005,1))</f>
        <v/>
      </c>
      <c r="M850" s="93" t="str">
        <f>IF(R850=0,"",SUMIFS('VÍNCULOS_CDF'!$H$6:$H$1005,'VÍNCULOS_CDF'!$R$6:$R$1005,A850,'VÍNCULOS_CDF'!$V$6:$V$1005,1))</f>
        <v/>
      </c>
      <c r="N850" s="99" t="str">
        <f>IF(OR(R850=0,AA850=0,NOT(ISNUMBER(I850))),"",I850-N(L850))</f>
        <v/>
      </c>
      <c r="O850" s="100" t="str">
        <f>IF(OR(R850=0,AK850&lt;=0),"",N(M850)/AK850)</f>
        <v/>
      </c>
      <c r="P850" s="94" t="str">
        <f>IF(R850=0,"",IF(S850="","Sem MTR associado",IF(U850=0,"MTR inexistente",IF(C850="","Resíduo não identificado",IF(V850=0,"Resíduo fora do cadastro",IF(W850=0,"Quantidade inválida",IF(H850="","Unidade não informada",IF(NOT(ISNUMBER(I850)),"Unidade a conferir",IF(AND(AH850=1,K850&lt;&gt;"Sim"),"Possível duplicidade",IF(Z850=1,"MTR cancelado",IF(AC850&gt;0,"Recebimento com alerta",IF(AA850=0,"Aguardando recebimento",IF(AB850&lt;AA850,"Recebimento a conferir",IF(AM850=1,"Quantidade a revisar",IF(AF850&gt;0,"Vínculo a revisar",IF(AD850=0,"Aguardando CDF",IF(AN850=0,"Vínculo de CDF parcial",IF(AE850&lt;AD850,"CDF a conferir","Documentação conferida"))))))))))))))))))</f>
        <v/>
      </c>
      <c r="Q850" s="93" t="str">
        <f>IF(OR(R850=0,AA850=0),"",MAX(0,N(L850)-N(M850)))</f>
        <v/>
      </c>
      <c r="R850" s="96">
        <f>IF(COUNTA(B850:C850,G850:H850,J850:K850)&gt;0,1,0)</f>
        <v>0</v>
      </c>
      <c r="S850" s="96" t="str">
        <f>IF(B850="","",TRIM(LEFT(B850,FIND(" |",B850&amp;" |")-1)))</f>
        <v/>
      </c>
      <c r="T850" s="96" t="str">
        <f>IF(S850="","",IFERROR(MATCH(S850,'MTRs'!$A$6:$A$505,0),""))</f>
        <v/>
      </c>
      <c r="U850" s="96">
        <f>IF(T850="",0,IF(INDEX('MTRs'!$Z$6:$Z$505,T850)=1,1,0))</f>
        <v>0</v>
      </c>
      <c r="V850" s="96">
        <f>IF(C850="",0,IF(ISNUMBER(MATCH(C850,'CAD_RESÍDUOS'!$B$6:$B$205,0)),1,0))</f>
        <v>0</v>
      </c>
      <c r="W850" s="96">
        <f>IF(AND(ISNUMBER(G850),G850&gt;0),1,0)</f>
        <v>0</v>
      </c>
      <c r="X850" s="96" t="str">
        <f>IF(H850="","",IFERROR(IF(ISNUMBER(INDEX(cfg_fac,MATCH(H850,cfg_units,0))),IF(INDEX(cfg_fac,MATCH(H850,cfg_units,0))&gt;0,INDEX(cfg_fac,MATCH(H850,cfg_units,0)),""),""),""))</f>
        <v/>
      </c>
      <c r="Y850" s="96">
        <f>IF(AND(W850=1,ISNUMBER(I850)),1,0)</f>
        <v>0</v>
      </c>
      <c r="Z850" s="96">
        <f>IF(U850=1,INDEX('MTRs'!$AA$6:$AA$505,T850),0)</f>
        <v>0</v>
      </c>
      <c r="AA850" s="96">
        <f>IF(R850=0,0,COUNTIFS('RECEBIMENTOS'!$R$6:$R$1005,A850,'RECEBIMENTOS'!$Q$6:$Q$1005,1))</f>
        <v>0</v>
      </c>
      <c r="AB850" s="96">
        <f>IF(R850=0,0,COUNTIFS('RECEBIMENTOS'!$R$6:$R$1005,A850,'RECEBIMENTOS'!$Z$6:$Z$1005,1))</f>
        <v>0</v>
      </c>
      <c r="AC850" s="96">
        <f>IF(R850=0,0,COUNTIFS('RECEBIMENTOS'!$R$6:$R$1005,A850,'RECEBIMENTOS'!$Y$6:$Y$1005,1))</f>
        <v>0</v>
      </c>
      <c r="AD850" s="96">
        <f>IF(R850=0,0,COUNTIFS('VÍNCULOS_CDF'!$R$6:$R$1005,A850,'VÍNCULOS_CDF'!$N$6:$N$1005,1))</f>
        <v>0</v>
      </c>
      <c r="AE850" s="96">
        <f>IF(R850=0,0,COUNTIFS('VÍNCULOS_CDF'!$R$6:$R$1005,A850,'VÍNCULOS_CDF'!$AA$6:$AA$1005,1))</f>
        <v>0</v>
      </c>
      <c r="AF850" s="96">
        <f>IF(R850=0,0,COUNTIFS('VÍNCULOS_CDF'!$R$6:$R$1005,A850,'VÍNCULOS_CDF'!$Y$6:$Y$1005,1))</f>
        <v>0</v>
      </c>
      <c r="AG850" s="96" t="str">
        <f>IF(AND(R850=1,S850&lt;&gt;"",C850&lt;&gt;""),S850&amp;"|"&amp;C850&amp;"|"&amp;G850&amp;"|"&amp;H850,"")</f>
        <v/>
      </c>
      <c r="AH850" s="96">
        <f>IF(AG850="",0,IF(SUMPRODUCT(--($AG$6:$AG$1005=AG850))&gt;1,1,0))</f>
        <v>0</v>
      </c>
      <c r="AI850" s="96">
        <f>IF(R850=0,0,IF(OR(U850=0,V850=0,Y850=0,AND(AH850=1,K850&lt;&gt;"Sim")),1,0))</f>
        <v>0</v>
      </c>
      <c r="AJ850" s="96">
        <f>IF(AND(R850=1,AA850&gt;0,AB850=AA850),1,0)</f>
        <v>0</v>
      </c>
      <c r="AK850" s="96">
        <f>IF(R850=0,0,IF(AA850&gt;0,N(L850),IF(ISNUMBER(I850),I850,0)))</f>
        <v>0</v>
      </c>
      <c r="AL850" s="96">
        <f>IF(R850=0,0,IF(AND(K850&lt;&gt;"Sim",N(M850)&gt;AK850+cfg_tol),1,0))</f>
        <v>0</v>
      </c>
      <c r="AM850" s="96">
        <f>IF(R850=0,0,IF(K850="Sim",0,IF(OR(AND(AA850&gt;0,ISNUMBER(I850),ABS(I850-N(L850))&gt;cfg_tol),AL850=1),1,0)))</f>
        <v>0</v>
      </c>
      <c r="AN850" s="96">
        <f>IF(AND(R850=1,N(M850)&gt;0,OR(N(M850)&gt;=AK850-cfg_tol,K850="Sim")),1,0)</f>
        <v>0</v>
      </c>
      <c r="AO850" s="96">
        <f>IF(AND(AN850=1,AD850&gt;0,AE850=AD850,AL850=0),1,0)</f>
        <v>0</v>
      </c>
      <c r="AP850" s="96">
        <f>IF(U850=0,0,IF(AND(INDEX('MTRs'!$AX$6:$AX$505,T850)=1,Z850=0,OR(f_res="",f_res="(Todos)",C850=f_res)),1,0))</f>
        <v>0</v>
      </c>
      <c r="AQ850" s="97" t="str">
        <f>IF(U850=0,"",INDEX('MTRs'!$AZ$6:$AZ$505,T850))</f>
        <v/>
      </c>
      <c r="AR850" s="96">
        <f>IF(U850=0,0,IF(AND(INDEX('MTRs'!$BA$6:$BA$505,T850)=1,Z850=0),1,0))</f>
        <v>0</v>
      </c>
      <c r="AS850" s="96" t="str">
        <f>IF(R850=1,A850&amp;" | MTR "&amp;IF(U850=1,INDEX('MTRs'!$B$6:$B$505,T850)&amp;"","?")&amp;" | "&amp;IF(C850="","(sem resíduo)",C850),"")</f>
        <v/>
      </c>
      <c r="AT850" s="96" t="str">
        <f>IF(R850=1,COUNTIF($R$6:R850,1),"")</f>
        <v/>
      </c>
      <c r="AU850" s="96" t="str">
        <f>IF(U850=1,INDEX('MTRs'!$I$6:$I$505,T850)&amp;"","")</f>
        <v/>
      </c>
    </row>
    <row r="851">
      <c r="A851" s="89" t="inlineStr">
        <is>
          <t>IT-000846</t>
        </is>
      </c>
      <c r="B851" s="91" t="n"/>
      <c r="C851" s="91" t="n"/>
      <c r="D851" s="94" t="str">
        <f>IF(OR(R851=0,V851=0),"",INDEX('CAD_RESÍDUOS'!$E$6:$E$205,MATCH(C851,'CAD_RESÍDUOS'!$B$6:$B$205,0))&amp;"")</f>
        <v/>
      </c>
      <c r="E851" s="94" t="str">
        <f>IF(OR(R851=0,V851=0),"",INDEX('CAD_RESÍDUOS'!$C$6:$C$205,MATCH(C851,'CAD_RESÍDUOS'!$B$6:$B$205,0))&amp;"")</f>
        <v/>
      </c>
      <c r="F851" s="94" t="str">
        <f>IF(OR(R851=0,V851=0),"",INDEX('CAD_RESÍDUOS'!$G$6:$G$205,MATCH(C851,'CAD_RESÍDUOS'!$B$6:$B$205,0))&amp;"")</f>
        <v/>
      </c>
      <c r="G851" s="98" t="n"/>
      <c r="H851" s="91" t="n"/>
      <c r="I851" s="93" t="str">
        <f>IF(R851=0,"",IF(NOT(ISNUMBER(G851)),"",IF(ISNUMBER(X851),G851*X851,"UNIDADE A CONFERIR")))</f>
        <v/>
      </c>
      <c r="J851" s="91" t="n"/>
      <c r="K851" s="91" t="n"/>
      <c r="L851" s="93" t="str">
        <f>IF(R851=0,"",SUMIFS('RECEBIMENTOS'!$H$6:$H$1005,'RECEBIMENTOS'!$R$6:$R$1005,A851,'RECEBIMENTOS'!$X$6:$X$1005,1))</f>
        <v/>
      </c>
      <c r="M851" s="93" t="str">
        <f>IF(R851=0,"",SUMIFS('VÍNCULOS_CDF'!$H$6:$H$1005,'VÍNCULOS_CDF'!$R$6:$R$1005,A851,'VÍNCULOS_CDF'!$V$6:$V$1005,1))</f>
        <v/>
      </c>
      <c r="N851" s="99" t="str">
        <f>IF(OR(R851=0,AA851=0,NOT(ISNUMBER(I851))),"",I851-N(L851))</f>
        <v/>
      </c>
      <c r="O851" s="100" t="str">
        <f>IF(OR(R851=0,AK851&lt;=0),"",N(M851)/AK851)</f>
        <v/>
      </c>
      <c r="P851" s="94" t="str">
        <f>IF(R851=0,"",IF(S851="","Sem MTR associado",IF(U851=0,"MTR inexistente",IF(C851="","Resíduo não identificado",IF(V851=0,"Resíduo fora do cadastro",IF(W851=0,"Quantidade inválida",IF(H851="","Unidade não informada",IF(NOT(ISNUMBER(I851)),"Unidade a conferir",IF(AND(AH851=1,K851&lt;&gt;"Sim"),"Possível duplicidade",IF(Z851=1,"MTR cancelado",IF(AC851&gt;0,"Recebimento com alerta",IF(AA851=0,"Aguardando recebimento",IF(AB851&lt;AA851,"Recebimento a conferir",IF(AM851=1,"Quantidade a revisar",IF(AF851&gt;0,"Vínculo a revisar",IF(AD851=0,"Aguardando CDF",IF(AN851=0,"Vínculo de CDF parcial",IF(AE851&lt;AD851,"CDF a conferir","Documentação conferida"))))))))))))))))))</f>
        <v/>
      </c>
      <c r="Q851" s="93" t="str">
        <f>IF(OR(R851=0,AA851=0),"",MAX(0,N(L851)-N(M851)))</f>
        <v/>
      </c>
      <c r="R851" s="96">
        <f>IF(COUNTA(B851:C851,G851:H851,J851:K851)&gt;0,1,0)</f>
        <v>0</v>
      </c>
      <c r="S851" s="96" t="str">
        <f>IF(B851="","",TRIM(LEFT(B851,FIND(" |",B851&amp;" |")-1)))</f>
        <v/>
      </c>
      <c r="T851" s="96" t="str">
        <f>IF(S851="","",IFERROR(MATCH(S851,'MTRs'!$A$6:$A$505,0),""))</f>
        <v/>
      </c>
      <c r="U851" s="96">
        <f>IF(T851="",0,IF(INDEX('MTRs'!$Z$6:$Z$505,T851)=1,1,0))</f>
        <v>0</v>
      </c>
      <c r="V851" s="96">
        <f>IF(C851="",0,IF(ISNUMBER(MATCH(C851,'CAD_RESÍDUOS'!$B$6:$B$205,0)),1,0))</f>
        <v>0</v>
      </c>
      <c r="W851" s="96">
        <f>IF(AND(ISNUMBER(G851),G851&gt;0),1,0)</f>
        <v>0</v>
      </c>
      <c r="X851" s="96" t="str">
        <f>IF(H851="","",IFERROR(IF(ISNUMBER(INDEX(cfg_fac,MATCH(H851,cfg_units,0))),IF(INDEX(cfg_fac,MATCH(H851,cfg_units,0))&gt;0,INDEX(cfg_fac,MATCH(H851,cfg_units,0)),""),""),""))</f>
        <v/>
      </c>
      <c r="Y851" s="96">
        <f>IF(AND(W851=1,ISNUMBER(I851)),1,0)</f>
        <v>0</v>
      </c>
      <c r="Z851" s="96">
        <f>IF(U851=1,INDEX('MTRs'!$AA$6:$AA$505,T851),0)</f>
        <v>0</v>
      </c>
      <c r="AA851" s="96">
        <f>IF(R851=0,0,COUNTIFS('RECEBIMENTOS'!$R$6:$R$1005,A851,'RECEBIMENTOS'!$Q$6:$Q$1005,1))</f>
        <v>0</v>
      </c>
      <c r="AB851" s="96">
        <f>IF(R851=0,0,COUNTIFS('RECEBIMENTOS'!$R$6:$R$1005,A851,'RECEBIMENTOS'!$Z$6:$Z$1005,1))</f>
        <v>0</v>
      </c>
      <c r="AC851" s="96">
        <f>IF(R851=0,0,COUNTIFS('RECEBIMENTOS'!$R$6:$R$1005,A851,'RECEBIMENTOS'!$Y$6:$Y$1005,1))</f>
        <v>0</v>
      </c>
      <c r="AD851" s="96">
        <f>IF(R851=0,0,COUNTIFS('VÍNCULOS_CDF'!$R$6:$R$1005,A851,'VÍNCULOS_CDF'!$N$6:$N$1005,1))</f>
        <v>0</v>
      </c>
      <c r="AE851" s="96">
        <f>IF(R851=0,0,COUNTIFS('VÍNCULOS_CDF'!$R$6:$R$1005,A851,'VÍNCULOS_CDF'!$AA$6:$AA$1005,1))</f>
        <v>0</v>
      </c>
      <c r="AF851" s="96">
        <f>IF(R851=0,0,COUNTIFS('VÍNCULOS_CDF'!$R$6:$R$1005,A851,'VÍNCULOS_CDF'!$Y$6:$Y$1005,1))</f>
        <v>0</v>
      </c>
      <c r="AG851" s="96" t="str">
        <f>IF(AND(R851=1,S851&lt;&gt;"",C851&lt;&gt;""),S851&amp;"|"&amp;C851&amp;"|"&amp;G851&amp;"|"&amp;H851,"")</f>
        <v/>
      </c>
      <c r="AH851" s="96">
        <f>IF(AG851="",0,IF(SUMPRODUCT(--($AG$6:$AG$1005=AG851))&gt;1,1,0))</f>
        <v>0</v>
      </c>
      <c r="AI851" s="96">
        <f>IF(R851=0,0,IF(OR(U851=0,V851=0,Y851=0,AND(AH851=1,K851&lt;&gt;"Sim")),1,0))</f>
        <v>0</v>
      </c>
      <c r="AJ851" s="96">
        <f>IF(AND(R851=1,AA851&gt;0,AB851=AA851),1,0)</f>
        <v>0</v>
      </c>
      <c r="AK851" s="96">
        <f>IF(R851=0,0,IF(AA851&gt;0,N(L851),IF(ISNUMBER(I851),I851,0)))</f>
        <v>0</v>
      </c>
      <c r="AL851" s="96">
        <f>IF(R851=0,0,IF(AND(K851&lt;&gt;"Sim",N(M851)&gt;AK851+cfg_tol),1,0))</f>
        <v>0</v>
      </c>
      <c r="AM851" s="96">
        <f>IF(R851=0,0,IF(K851="Sim",0,IF(OR(AND(AA851&gt;0,ISNUMBER(I851),ABS(I851-N(L851))&gt;cfg_tol),AL851=1),1,0)))</f>
        <v>0</v>
      </c>
      <c r="AN851" s="96">
        <f>IF(AND(R851=1,N(M851)&gt;0,OR(N(M851)&gt;=AK851-cfg_tol,K851="Sim")),1,0)</f>
        <v>0</v>
      </c>
      <c r="AO851" s="96">
        <f>IF(AND(AN851=1,AD851&gt;0,AE851=AD851,AL851=0),1,0)</f>
        <v>0</v>
      </c>
      <c r="AP851" s="96">
        <f>IF(U851=0,0,IF(AND(INDEX('MTRs'!$AX$6:$AX$505,T851)=1,Z851=0,OR(f_res="",f_res="(Todos)",C851=f_res)),1,0))</f>
        <v>0</v>
      </c>
      <c r="AQ851" s="97" t="str">
        <f>IF(U851=0,"",INDEX('MTRs'!$AZ$6:$AZ$505,T851))</f>
        <v/>
      </c>
      <c r="AR851" s="96">
        <f>IF(U851=0,0,IF(AND(INDEX('MTRs'!$BA$6:$BA$505,T851)=1,Z851=0),1,0))</f>
        <v>0</v>
      </c>
      <c r="AS851" s="96" t="str">
        <f>IF(R851=1,A851&amp;" | MTR "&amp;IF(U851=1,INDEX('MTRs'!$B$6:$B$505,T851)&amp;"","?")&amp;" | "&amp;IF(C851="","(sem resíduo)",C851),"")</f>
        <v/>
      </c>
      <c r="AT851" s="96" t="str">
        <f>IF(R851=1,COUNTIF($R$6:R851,1),"")</f>
        <v/>
      </c>
      <c r="AU851" s="96" t="str">
        <f>IF(U851=1,INDEX('MTRs'!$I$6:$I$505,T851)&amp;"","")</f>
        <v/>
      </c>
    </row>
    <row r="852">
      <c r="A852" s="89" t="inlineStr">
        <is>
          <t>IT-000847</t>
        </is>
      </c>
      <c r="B852" s="91" t="n"/>
      <c r="C852" s="91" t="n"/>
      <c r="D852" s="94" t="str">
        <f>IF(OR(R852=0,V852=0),"",INDEX('CAD_RESÍDUOS'!$E$6:$E$205,MATCH(C852,'CAD_RESÍDUOS'!$B$6:$B$205,0))&amp;"")</f>
        <v/>
      </c>
      <c r="E852" s="94" t="str">
        <f>IF(OR(R852=0,V852=0),"",INDEX('CAD_RESÍDUOS'!$C$6:$C$205,MATCH(C852,'CAD_RESÍDUOS'!$B$6:$B$205,0))&amp;"")</f>
        <v/>
      </c>
      <c r="F852" s="94" t="str">
        <f>IF(OR(R852=0,V852=0),"",INDEX('CAD_RESÍDUOS'!$G$6:$G$205,MATCH(C852,'CAD_RESÍDUOS'!$B$6:$B$205,0))&amp;"")</f>
        <v/>
      </c>
      <c r="G852" s="98" t="n"/>
      <c r="H852" s="91" t="n"/>
      <c r="I852" s="93" t="str">
        <f>IF(R852=0,"",IF(NOT(ISNUMBER(G852)),"",IF(ISNUMBER(X852),G852*X852,"UNIDADE A CONFERIR")))</f>
        <v/>
      </c>
      <c r="J852" s="91" t="n"/>
      <c r="K852" s="91" t="n"/>
      <c r="L852" s="93" t="str">
        <f>IF(R852=0,"",SUMIFS('RECEBIMENTOS'!$H$6:$H$1005,'RECEBIMENTOS'!$R$6:$R$1005,A852,'RECEBIMENTOS'!$X$6:$X$1005,1))</f>
        <v/>
      </c>
      <c r="M852" s="93" t="str">
        <f>IF(R852=0,"",SUMIFS('VÍNCULOS_CDF'!$H$6:$H$1005,'VÍNCULOS_CDF'!$R$6:$R$1005,A852,'VÍNCULOS_CDF'!$V$6:$V$1005,1))</f>
        <v/>
      </c>
      <c r="N852" s="99" t="str">
        <f>IF(OR(R852=0,AA852=0,NOT(ISNUMBER(I852))),"",I852-N(L852))</f>
        <v/>
      </c>
      <c r="O852" s="100" t="str">
        <f>IF(OR(R852=0,AK852&lt;=0),"",N(M852)/AK852)</f>
        <v/>
      </c>
      <c r="P852" s="94" t="str">
        <f>IF(R852=0,"",IF(S852="","Sem MTR associado",IF(U852=0,"MTR inexistente",IF(C852="","Resíduo não identificado",IF(V852=0,"Resíduo fora do cadastro",IF(W852=0,"Quantidade inválida",IF(H852="","Unidade não informada",IF(NOT(ISNUMBER(I852)),"Unidade a conferir",IF(AND(AH852=1,K852&lt;&gt;"Sim"),"Possível duplicidade",IF(Z852=1,"MTR cancelado",IF(AC852&gt;0,"Recebimento com alerta",IF(AA852=0,"Aguardando recebimento",IF(AB852&lt;AA852,"Recebimento a conferir",IF(AM852=1,"Quantidade a revisar",IF(AF852&gt;0,"Vínculo a revisar",IF(AD852=0,"Aguardando CDF",IF(AN852=0,"Vínculo de CDF parcial",IF(AE852&lt;AD852,"CDF a conferir","Documentação conferida"))))))))))))))))))</f>
        <v/>
      </c>
      <c r="Q852" s="93" t="str">
        <f>IF(OR(R852=0,AA852=0),"",MAX(0,N(L852)-N(M852)))</f>
        <v/>
      </c>
      <c r="R852" s="96">
        <f>IF(COUNTA(B852:C852,G852:H852,J852:K852)&gt;0,1,0)</f>
        <v>0</v>
      </c>
      <c r="S852" s="96" t="str">
        <f>IF(B852="","",TRIM(LEFT(B852,FIND(" |",B852&amp;" |")-1)))</f>
        <v/>
      </c>
      <c r="T852" s="96" t="str">
        <f>IF(S852="","",IFERROR(MATCH(S852,'MTRs'!$A$6:$A$505,0),""))</f>
        <v/>
      </c>
      <c r="U852" s="96">
        <f>IF(T852="",0,IF(INDEX('MTRs'!$Z$6:$Z$505,T852)=1,1,0))</f>
        <v>0</v>
      </c>
      <c r="V852" s="96">
        <f>IF(C852="",0,IF(ISNUMBER(MATCH(C852,'CAD_RESÍDUOS'!$B$6:$B$205,0)),1,0))</f>
        <v>0</v>
      </c>
      <c r="W852" s="96">
        <f>IF(AND(ISNUMBER(G852),G852&gt;0),1,0)</f>
        <v>0</v>
      </c>
      <c r="X852" s="96" t="str">
        <f>IF(H852="","",IFERROR(IF(ISNUMBER(INDEX(cfg_fac,MATCH(H852,cfg_units,0))),IF(INDEX(cfg_fac,MATCH(H852,cfg_units,0))&gt;0,INDEX(cfg_fac,MATCH(H852,cfg_units,0)),""),""),""))</f>
        <v/>
      </c>
      <c r="Y852" s="96">
        <f>IF(AND(W852=1,ISNUMBER(I852)),1,0)</f>
        <v>0</v>
      </c>
      <c r="Z852" s="96">
        <f>IF(U852=1,INDEX('MTRs'!$AA$6:$AA$505,T852),0)</f>
        <v>0</v>
      </c>
      <c r="AA852" s="96">
        <f>IF(R852=0,0,COUNTIFS('RECEBIMENTOS'!$R$6:$R$1005,A852,'RECEBIMENTOS'!$Q$6:$Q$1005,1))</f>
        <v>0</v>
      </c>
      <c r="AB852" s="96">
        <f>IF(R852=0,0,COUNTIFS('RECEBIMENTOS'!$R$6:$R$1005,A852,'RECEBIMENTOS'!$Z$6:$Z$1005,1))</f>
        <v>0</v>
      </c>
      <c r="AC852" s="96">
        <f>IF(R852=0,0,COUNTIFS('RECEBIMENTOS'!$R$6:$R$1005,A852,'RECEBIMENTOS'!$Y$6:$Y$1005,1))</f>
        <v>0</v>
      </c>
      <c r="AD852" s="96">
        <f>IF(R852=0,0,COUNTIFS('VÍNCULOS_CDF'!$R$6:$R$1005,A852,'VÍNCULOS_CDF'!$N$6:$N$1005,1))</f>
        <v>0</v>
      </c>
      <c r="AE852" s="96">
        <f>IF(R852=0,0,COUNTIFS('VÍNCULOS_CDF'!$R$6:$R$1005,A852,'VÍNCULOS_CDF'!$AA$6:$AA$1005,1))</f>
        <v>0</v>
      </c>
      <c r="AF852" s="96">
        <f>IF(R852=0,0,COUNTIFS('VÍNCULOS_CDF'!$R$6:$R$1005,A852,'VÍNCULOS_CDF'!$Y$6:$Y$1005,1))</f>
        <v>0</v>
      </c>
      <c r="AG852" s="96" t="str">
        <f>IF(AND(R852=1,S852&lt;&gt;"",C852&lt;&gt;""),S852&amp;"|"&amp;C852&amp;"|"&amp;G852&amp;"|"&amp;H852,"")</f>
        <v/>
      </c>
      <c r="AH852" s="96">
        <f>IF(AG852="",0,IF(SUMPRODUCT(--($AG$6:$AG$1005=AG852))&gt;1,1,0))</f>
        <v>0</v>
      </c>
      <c r="AI852" s="96">
        <f>IF(R852=0,0,IF(OR(U852=0,V852=0,Y852=0,AND(AH852=1,K852&lt;&gt;"Sim")),1,0))</f>
        <v>0</v>
      </c>
      <c r="AJ852" s="96">
        <f>IF(AND(R852=1,AA852&gt;0,AB852=AA852),1,0)</f>
        <v>0</v>
      </c>
      <c r="AK852" s="96">
        <f>IF(R852=0,0,IF(AA852&gt;0,N(L852),IF(ISNUMBER(I852),I852,0)))</f>
        <v>0</v>
      </c>
      <c r="AL852" s="96">
        <f>IF(R852=0,0,IF(AND(K852&lt;&gt;"Sim",N(M852)&gt;AK852+cfg_tol),1,0))</f>
        <v>0</v>
      </c>
      <c r="AM852" s="96">
        <f>IF(R852=0,0,IF(K852="Sim",0,IF(OR(AND(AA852&gt;0,ISNUMBER(I852),ABS(I852-N(L852))&gt;cfg_tol),AL852=1),1,0)))</f>
        <v>0</v>
      </c>
      <c r="AN852" s="96">
        <f>IF(AND(R852=1,N(M852)&gt;0,OR(N(M852)&gt;=AK852-cfg_tol,K852="Sim")),1,0)</f>
        <v>0</v>
      </c>
      <c r="AO852" s="96">
        <f>IF(AND(AN852=1,AD852&gt;0,AE852=AD852,AL852=0),1,0)</f>
        <v>0</v>
      </c>
      <c r="AP852" s="96">
        <f>IF(U852=0,0,IF(AND(INDEX('MTRs'!$AX$6:$AX$505,T852)=1,Z852=0,OR(f_res="",f_res="(Todos)",C852=f_res)),1,0))</f>
        <v>0</v>
      </c>
      <c r="AQ852" s="97" t="str">
        <f>IF(U852=0,"",INDEX('MTRs'!$AZ$6:$AZ$505,T852))</f>
        <v/>
      </c>
      <c r="AR852" s="96">
        <f>IF(U852=0,0,IF(AND(INDEX('MTRs'!$BA$6:$BA$505,T852)=1,Z852=0),1,0))</f>
        <v>0</v>
      </c>
      <c r="AS852" s="96" t="str">
        <f>IF(R852=1,A852&amp;" | MTR "&amp;IF(U852=1,INDEX('MTRs'!$B$6:$B$505,T852)&amp;"","?")&amp;" | "&amp;IF(C852="","(sem resíduo)",C852),"")</f>
        <v/>
      </c>
      <c r="AT852" s="96" t="str">
        <f>IF(R852=1,COUNTIF($R$6:R852,1),"")</f>
        <v/>
      </c>
      <c r="AU852" s="96" t="str">
        <f>IF(U852=1,INDEX('MTRs'!$I$6:$I$505,T852)&amp;"","")</f>
        <v/>
      </c>
    </row>
    <row r="853">
      <c r="A853" s="89" t="inlineStr">
        <is>
          <t>IT-000848</t>
        </is>
      </c>
      <c r="B853" s="91" t="n"/>
      <c r="C853" s="91" t="n"/>
      <c r="D853" s="94" t="str">
        <f>IF(OR(R853=0,V853=0),"",INDEX('CAD_RESÍDUOS'!$E$6:$E$205,MATCH(C853,'CAD_RESÍDUOS'!$B$6:$B$205,0))&amp;"")</f>
        <v/>
      </c>
      <c r="E853" s="94" t="str">
        <f>IF(OR(R853=0,V853=0),"",INDEX('CAD_RESÍDUOS'!$C$6:$C$205,MATCH(C853,'CAD_RESÍDUOS'!$B$6:$B$205,0))&amp;"")</f>
        <v/>
      </c>
      <c r="F853" s="94" t="str">
        <f>IF(OR(R853=0,V853=0),"",INDEX('CAD_RESÍDUOS'!$G$6:$G$205,MATCH(C853,'CAD_RESÍDUOS'!$B$6:$B$205,0))&amp;"")</f>
        <v/>
      </c>
      <c r="G853" s="98" t="n"/>
      <c r="H853" s="91" t="n"/>
      <c r="I853" s="93" t="str">
        <f>IF(R853=0,"",IF(NOT(ISNUMBER(G853)),"",IF(ISNUMBER(X853),G853*X853,"UNIDADE A CONFERIR")))</f>
        <v/>
      </c>
      <c r="J853" s="91" t="n"/>
      <c r="K853" s="91" t="n"/>
      <c r="L853" s="93" t="str">
        <f>IF(R853=0,"",SUMIFS('RECEBIMENTOS'!$H$6:$H$1005,'RECEBIMENTOS'!$R$6:$R$1005,A853,'RECEBIMENTOS'!$X$6:$X$1005,1))</f>
        <v/>
      </c>
      <c r="M853" s="93" t="str">
        <f>IF(R853=0,"",SUMIFS('VÍNCULOS_CDF'!$H$6:$H$1005,'VÍNCULOS_CDF'!$R$6:$R$1005,A853,'VÍNCULOS_CDF'!$V$6:$V$1005,1))</f>
        <v/>
      </c>
      <c r="N853" s="99" t="str">
        <f>IF(OR(R853=0,AA853=0,NOT(ISNUMBER(I853))),"",I853-N(L853))</f>
        <v/>
      </c>
      <c r="O853" s="100" t="str">
        <f>IF(OR(R853=0,AK853&lt;=0),"",N(M853)/AK853)</f>
        <v/>
      </c>
      <c r="P853" s="94" t="str">
        <f>IF(R853=0,"",IF(S853="","Sem MTR associado",IF(U853=0,"MTR inexistente",IF(C853="","Resíduo não identificado",IF(V853=0,"Resíduo fora do cadastro",IF(W853=0,"Quantidade inválida",IF(H853="","Unidade não informada",IF(NOT(ISNUMBER(I853)),"Unidade a conferir",IF(AND(AH853=1,K853&lt;&gt;"Sim"),"Possível duplicidade",IF(Z853=1,"MTR cancelado",IF(AC853&gt;0,"Recebimento com alerta",IF(AA853=0,"Aguardando recebimento",IF(AB853&lt;AA853,"Recebimento a conferir",IF(AM853=1,"Quantidade a revisar",IF(AF853&gt;0,"Vínculo a revisar",IF(AD853=0,"Aguardando CDF",IF(AN853=0,"Vínculo de CDF parcial",IF(AE853&lt;AD853,"CDF a conferir","Documentação conferida"))))))))))))))))))</f>
        <v/>
      </c>
      <c r="Q853" s="93" t="str">
        <f>IF(OR(R853=0,AA853=0),"",MAX(0,N(L853)-N(M853)))</f>
        <v/>
      </c>
      <c r="R853" s="96">
        <f>IF(COUNTA(B853:C853,G853:H853,J853:K853)&gt;0,1,0)</f>
        <v>0</v>
      </c>
      <c r="S853" s="96" t="str">
        <f>IF(B853="","",TRIM(LEFT(B853,FIND(" |",B853&amp;" |")-1)))</f>
        <v/>
      </c>
      <c r="T853" s="96" t="str">
        <f>IF(S853="","",IFERROR(MATCH(S853,'MTRs'!$A$6:$A$505,0),""))</f>
        <v/>
      </c>
      <c r="U853" s="96">
        <f>IF(T853="",0,IF(INDEX('MTRs'!$Z$6:$Z$505,T853)=1,1,0))</f>
        <v>0</v>
      </c>
      <c r="V853" s="96">
        <f>IF(C853="",0,IF(ISNUMBER(MATCH(C853,'CAD_RESÍDUOS'!$B$6:$B$205,0)),1,0))</f>
        <v>0</v>
      </c>
      <c r="W853" s="96">
        <f>IF(AND(ISNUMBER(G853),G853&gt;0),1,0)</f>
        <v>0</v>
      </c>
      <c r="X853" s="96" t="str">
        <f>IF(H853="","",IFERROR(IF(ISNUMBER(INDEX(cfg_fac,MATCH(H853,cfg_units,0))),IF(INDEX(cfg_fac,MATCH(H853,cfg_units,0))&gt;0,INDEX(cfg_fac,MATCH(H853,cfg_units,0)),""),""),""))</f>
        <v/>
      </c>
      <c r="Y853" s="96">
        <f>IF(AND(W853=1,ISNUMBER(I853)),1,0)</f>
        <v>0</v>
      </c>
      <c r="Z853" s="96">
        <f>IF(U853=1,INDEX('MTRs'!$AA$6:$AA$505,T853),0)</f>
        <v>0</v>
      </c>
      <c r="AA853" s="96">
        <f>IF(R853=0,0,COUNTIFS('RECEBIMENTOS'!$R$6:$R$1005,A853,'RECEBIMENTOS'!$Q$6:$Q$1005,1))</f>
        <v>0</v>
      </c>
      <c r="AB853" s="96">
        <f>IF(R853=0,0,COUNTIFS('RECEBIMENTOS'!$R$6:$R$1005,A853,'RECEBIMENTOS'!$Z$6:$Z$1005,1))</f>
        <v>0</v>
      </c>
      <c r="AC853" s="96">
        <f>IF(R853=0,0,COUNTIFS('RECEBIMENTOS'!$R$6:$R$1005,A853,'RECEBIMENTOS'!$Y$6:$Y$1005,1))</f>
        <v>0</v>
      </c>
      <c r="AD853" s="96">
        <f>IF(R853=0,0,COUNTIFS('VÍNCULOS_CDF'!$R$6:$R$1005,A853,'VÍNCULOS_CDF'!$N$6:$N$1005,1))</f>
        <v>0</v>
      </c>
      <c r="AE853" s="96">
        <f>IF(R853=0,0,COUNTIFS('VÍNCULOS_CDF'!$R$6:$R$1005,A853,'VÍNCULOS_CDF'!$AA$6:$AA$1005,1))</f>
        <v>0</v>
      </c>
      <c r="AF853" s="96">
        <f>IF(R853=0,0,COUNTIFS('VÍNCULOS_CDF'!$R$6:$R$1005,A853,'VÍNCULOS_CDF'!$Y$6:$Y$1005,1))</f>
        <v>0</v>
      </c>
      <c r="AG853" s="96" t="str">
        <f>IF(AND(R853=1,S853&lt;&gt;"",C853&lt;&gt;""),S853&amp;"|"&amp;C853&amp;"|"&amp;G853&amp;"|"&amp;H853,"")</f>
        <v/>
      </c>
      <c r="AH853" s="96">
        <f>IF(AG853="",0,IF(SUMPRODUCT(--($AG$6:$AG$1005=AG853))&gt;1,1,0))</f>
        <v>0</v>
      </c>
      <c r="AI853" s="96">
        <f>IF(R853=0,0,IF(OR(U853=0,V853=0,Y853=0,AND(AH853=1,K853&lt;&gt;"Sim")),1,0))</f>
        <v>0</v>
      </c>
      <c r="AJ853" s="96">
        <f>IF(AND(R853=1,AA853&gt;0,AB853=AA853),1,0)</f>
        <v>0</v>
      </c>
      <c r="AK853" s="96">
        <f>IF(R853=0,0,IF(AA853&gt;0,N(L853),IF(ISNUMBER(I853),I853,0)))</f>
        <v>0</v>
      </c>
      <c r="AL853" s="96">
        <f>IF(R853=0,0,IF(AND(K853&lt;&gt;"Sim",N(M853)&gt;AK853+cfg_tol),1,0))</f>
        <v>0</v>
      </c>
      <c r="AM853" s="96">
        <f>IF(R853=0,0,IF(K853="Sim",0,IF(OR(AND(AA853&gt;0,ISNUMBER(I853),ABS(I853-N(L853))&gt;cfg_tol),AL853=1),1,0)))</f>
        <v>0</v>
      </c>
      <c r="AN853" s="96">
        <f>IF(AND(R853=1,N(M853)&gt;0,OR(N(M853)&gt;=AK853-cfg_tol,K853="Sim")),1,0)</f>
        <v>0</v>
      </c>
      <c r="AO853" s="96">
        <f>IF(AND(AN853=1,AD853&gt;0,AE853=AD853,AL853=0),1,0)</f>
        <v>0</v>
      </c>
      <c r="AP853" s="96">
        <f>IF(U853=0,0,IF(AND(INDEX('MTRs'!$AX$6:$AX$505,T853)=1,Z853=0,OR(f_res="",f_res="(Todos)",C853=f_res)),1,0))</f>
        <v>0</v>
      </c>
      <c r="AQ853" s="97" t="str">
        <f>IF(U853=0,"",INDEX('MTRs'!$AZ$6:$AZ$505,T853))</f>
        <v/>
      </c>
      <c r="AR853" s="96">
        <f>IF(U853=0,0,IF(AND(INDEX('MTRs'!$BA$6:$BA$505,T853)=1,Z853=0),1,0))</f>
        <v>0</v>
      </c>
      <c r="AS853" s="96" t="str">
        <f>IF(R853=1,A853&amp;" | MTR "&amp;IF(U853=1,INDEX('MTRs'!$B$6:$B$505,T853)&amp;"","?")&amp;" | "&amp;IF(C853="","(sem resíduo)",C853),"")</f>
        <v/>
      </c>
      <c r="AT853" s="96" t="str">
        <f>IF(R853=1,COUNTIF($R$6:R853,1),"")</f>
        <v/>
      </c>
      <c r="AU853" s="96" t="str">
        <f>IF(U853=1,INDEX('MTRs'!$I$6:$I$505,T853)&amp;"","")</f>
        <v/>
      </c>
    </row>
    <row r="854">
      <c r="A854" s="89" t="inlineStr">
        <is>
          <t>IT-000849</t>
        </is>
      </c>
      <c r="B854" s="91" t="n"/>
      <c r="C854" s="91" t="n"/>
      <c r="D854" s="94" t="str">
        <f>IF(OR(R854=0,V854=0),"",INDEX('CAD_RESÍDUOS'!$E$6:$E$205,MATCH(C854,'CAD_RESÍDUOS'!$B$6:$B$205,0))&amp;"")</f>
        <v/>
      </c>
      <c r="E854" s="94" t="str">
        <f>IF(OR(R854=0,V854=0),"",INDEX('CAD_RESÍDUOS'!$C$6:$C$205,MATCH(C854,'CAD_RESÍDUOS'!$B$6:$B$205,0))&amp;"")</f>
        <v/>
      </c>
      <c r="F854" s="94" t="str">
        <f>IF(OR(R854=0,V854=0),"",INDEX('CAD_RESÍDUOS'!$G$6:$G$205,MATCH(C854,'CAD_RESÍDUOS'!$B$6:$B$205,0))&amp;"")</f>
        <v/>
      </c>
      <c r="G854" s="98" t="n"/>
      <c r="H854" s="91" t="n"/>
      <c r="I854" s="93" t="str">
        <f>IF(R854=0,"",IF(NOT(ISNUMBER(G854)),"",IF(ISNUMBER(X854),G854*X854,"UNIDADE A CONFERIR")))</f>
        <v/>
      </c>
      <c r="J854" s="91" t="n"/>
      <c r="K854" s="91" t="n"/>
      <c r="L854" s="93" t="str">
        <f>IF(R854=0,"",SUMIFS('RECEBIMENTOS'!$H$6:$H$1005,'RECEBIMENTOS'!$R$6:$R$1005,A854,'RECEBIMENTOS'!$X$6:$X$1005,1))</f>
        <v/>
      </c>
      <c r="M854" s="93" t="str">
        <f>IF(R854=0,"",SUMIFS('VÍNCULOS_CDF'!$H$6:$H$1005,'VÍNCULOS_CDF'!$R$6:$R$1005,A854,'VÍNCULOS_CDF'!$V$6:$V$1005,1))</f>
        <v/>
      </c>
      <c r="N854" s="99" t="str">
        <f>IF(OR(R854=0,AA854=0,NOT(ISNUMBER(I854))),"",I854-N(L854))</f>
        <v/>
      </c>
      <c r="O854" s="100" t="str">
        <f>IF(OR(R854=0,AK854&lt;=0),"",N(M854)/AK854)</f>
        <v/>
      </c>
      <c r="P854" s="94" t="str">
        <f>IF(R854=0,"",IF(S854="","Sem MTR associado",IF(U854=0,"MTR inexistente",IF(C854="","Resíduo não identificado",IF(V854=0,"Resíduo fora do cadastro",IF(W854=0,"Quantidade inválida",IF(H854="","Unidade não informada",IF(NOT(ISNUMBER(I854)),"Unidade a conferir",IF(AND(AH854=1,K854&lt;&gt;"Sim"),"Possível duplicidade",IF(Z854=1,"MTR cancelado",IF(AC854&gt;0,"Recebimento com alerta",IF(AA854=0,"Aguardando recebimento",IF(AB854&lt;AA854,"Recebimento a conferir",IF(AM854=1,"Quantidade a revisar",IF(AF854&gt;0,"Vínculo a revisar",IF(AD854=0,"Aguardando CDF",IF(AN854=0,"Vínculo de CDF parcial",IF(AE854&lt;AD854,"CDF a conferir","Documentação conferida"))))))))))))))))))</f>
        <v/>
      </c>
      <c r="Q854" s="93" t="str">
        <f>IF(OR(R854=0,AA854=0),"",MAX(0,N(L854)-N(M854)))</f>
        <v/>
      </c>
      <c r="R854" s="96">
        <f>IF(COUNTA(B854:C854,G854:H854,J854:K854)&gt;0,1,0)</f>
        <v>0</v>
      </c>
      <c r="S854" s="96" t="str">
        <f>IF(B854="","",TRIM(LEFT(B854,FIND(" |",B854&amp;" |")-1)))</f>
        <v/>
      </c>
      <c r="T854" s="96" t="str">
        <f>IF(S854="","",IFERROR(MATCH(S854,'MTRs'!$A$6:$A$505,0),""))</f>
        <v/>
      </c>
      <c r="U854" s="96">
        <f>IF(T854="",0,IF(INDEX('MTRs'!$Z$6:$Z$505,T854)=1,1,0))</f>
        <v>0</v>
      </c>
      <c r="V854" s="96">
        <f>IF(C854="",0,IF(ISNUMBER(MATCH(C854,'CAD_RESÍDUOS'!$B$6:$B$205,0)),1,0))</f>
        <v>0</v>
      </c>
      <c r="W854" s="96">
        <f>IF(AND(ISNUMBER(G854),G854&gt;0),1,0)</f>
        <v>0</v>
      </c>
      <c r="X854" s="96" t="str">
        <f>IF(H854="","",IFERROR(IF(ISNUMBER(INDEX(cfg_fac,MATCH(H854,cfg_units,0))),IF(INDEX(cfg_fac,MATCH(H854,cfg_units,0))&gt;0,INDEX(cfg_fac,MATCH(H854,cfg_units,0)),""),""),""))</f>
        <v/>
      </c>
      <c r="Y854" s="96">
        <f>IF(AND(W854=1,ISNUMBER(I854)),1,0)</f>
        <v>0</v>
      </c>
      <c r="Z854" s="96">
        <f>IF(U854=1,INDEX('MTRs'!$AA$6:$AA$505,T854),0)</f>
        <v>0</v>
      </c>
      <c r="AA854" s="96">
        <f>IF(R854=0,0,COUNTIFS('RECEBIMENTOS'!$R$6:$R$1005,A854,'RECEBIMENTOS'!$Q$6:$Q$1005,1))</f>
        <v>0</v>
      </c>
      <c r="AB854" s="96">
        <f>IF(R854=0,0,COUNTIFS('RECEBIMENTOS'!$R$6:$R$1005,A854,'RECEBIMENTOS'!$Z$6:$Z$1005,1))</f>
        <v>0</v>
      </c>
      <c r="AC854" s="96">
        <f>IF(R854=0,0,COUNTIFS('RECEBIMENTOS'!$R$6:$R$1005,A854,'RECEBIMENTOS'!$Y$6:$Y$1005,1))</f>
        <v>0</v>
      </c>
      <c r="AD854" s="96">
        <f>IF(R854=0,0,COUNTIFS('VÍNCULOS_CDF'!$R$6:$R$1005,A854,'VÍNCULOS_CDF'!$N$6:$N$1005,1))</f>
        <v>0</v>
      </c>
      <c r="AE854" s="96">
        <f>IF(R854=0,0,COUNTIFS('VÍNCULOS_CDF'!$R$6:$R$1005,A854,'VÍNCULOS_CDF'!$AA$6:$AA$1005,1))</f>
        <v>0</v>
      </c>
      <c r="AF854" s="96">
        <f>IF(R854=0,0,COUNTIFS('VÍNCULOS_CDF'!$R$6:$R$1005,A854,'VÍNCULOS_CDF'!$Y$6:$Y$1005,1))</f>
        <v>0</v>
      </c>
      <c r="AG854" s="96" t="str">
        <f>IF(AND(R854=1,S854&lt;&gt;"",C854&lt;&gt;""),S854&amp;"|"&amp;C854&amp;"|"&amp;G854&amp;"|"&amp;H854,"")</f>
        <v/>
      </c>
      <c r="AH854" s="96">
        <f>IF(AG854="",0,IF(SUMPRODUCT(--($AG$6:$AG$1005=AG854))&gt;1,1,0))</f>
        <v>0</v>
      </c>
      <c r="AI854" s="96">
        <f>IF(R854=0,0,IF(OR(U854=0,V854=0,Y854=0,AND(AH854=1,K854&lt;&gt;"Sim")),1,0))</f>
        <v>0</v>
      </c>
      <c r="AJ854" s="96">
        <f>IF(AND(R854=1,AA854&gt;0,AB854=AA854),1,0)</f>
        <v>0</v>
      </c>
      <c r="AK854" s="96">
        <f>IF(R854=0,0,IF(AA854&gt;0,N(L854),IF(ISNUMBER(I854),I854,0)))</f>
        <v>0</v>
      </c>
      <c r="AL854" s="96">
        <f>IF(R854=0,0,IF(AND(K854&lt;&gt;"Sim",N(M854)&gt;AK854+cfg_tol),1,0))</f>
        <v>0</v>
      </c>
      <c r="AM854" s="96">
        <f>IF(R854=0,0,IF(K854="Sim",0,IF(OR(AND(AA854&gt;0,ISNUMBER(I854),ABS(I854-N(L854))&gt;cfg_tol),AL854=1),1,0)))</f>
        <v>0</v>
      </c>
      <c r="AN854" s="96">
        <f>IF(AND(R854=1,N(M854)&gt;0,OR(N(M854)&gt;=AK854-cfg_tol,K854="Sim")),1,0)</f>
        <v>0</v>
      </c>
      <c r="AO854" s="96">
        <f>IF(AND(AN854=1,AD854&gt;0,AE854=AD854,AL854=0),1,0)</f>
        <v>0</v>
      </c>
      <c r="AP854" s="96">
        <f>IF(U854=0,0,IF(AND(INDEX('MTRs'!$AX$6:$AX$505,T854)=1,Z854=0,OR(f_res="",f_res="(Todos)",C854=f_res)),1,0))</f>
        <v>0</v>
      </c>
      <c r="AQ854" s="97" t="str">
        <f>IF(U854=0,"",INDEX('MTRs'!$AZ$6:$AZ$505,T854))</f>
        <v/>
      </c>
      <c r="AR854" s="96">
        <f>IF(U854=0,0,IF(AND(INDEX('MTRs'!$BA$6:$BA$505,T854)=1,Z854=0),1,0))</f>
        <v>0</v>
      </c>
      <c r="AS854" s="96" t="str">
        <f>IF(R854=1,A854&amp;" | MTR "&amp;IF(U854=1,INDEX('MTRs'!$B$6:$B$505,T854)&amp;"","?")&amp;" | "&amp;IF(C854="","(sem resíduo)",C854),"")</f>
        <v/>
      </c>
      <c r="AT854" s="96" t="str">
        <f>IF(R854=1,COUNTIF($R$6:R854,1),"")</f>
        <v/>
      </c>
      <c r="AU854" s="96" t="str">
        <f>IF(U854=1,INDEX('MTRs'!$I$6:$I$505,T854)&amp;"","")</f>
        <v/>
      </c>
    </row>
    <row r="855">
      <c r="A855" s="89" t="inlineStr">
        <is>
          <t>IT-000850</t>
        </is>
      </c>
      <c r="B855" s="91" t="n"/>
      <c r="C855" s="91" t="n"/>
      <c r="D855" s="94" t="str">
        <f>IF(OR(R855=0,V855=0),"",INDEX('CAD_RESÍDUOS'!$E$6:$E$205,MATCH(C855,'CAD_RESÍDUOS'!$B$6:$B$205,0))&amp;"")</f>
        <v/>
      </c>
      <c r="E855" s="94" t="str">
        <f>IF(OR(R855=0,V855=0),"",INDEX('CAD_RESÍDUOS'!$C$6:$C$205,MATCH(C855,'CAD_RESÍDUOS'!$B$6:$B$205,0))&amp;"")</f>
        <v/>
      </c>
      <c r="F855" s="94" t="str">
        <f>IF(OR(R855=0,V855=0),"",INDEX('CAD_RESÍDUOS'!$G$6:$G$205,MATCH(C855,'CAD_RESÍDUOS'!$B$6:$B$205,0))&amp;"")</f>
        <v/>
      </c>
      <c r="G855" s="98" t="n"/>
      <c r="H855" s="91" t="n"/>
      <c r="I855" s="93" t="str">
        <f>IF(R855=0,"",IF(NOT(ISNUMBER(G855)),"",IF(ISNUMBER(X855),G855*X855,"UNIDADE A CONFERIR")))</f>
        <v/>
      </c>
      <c r="J855" s="91" t="n"/>
      <c r="K855" s="91" t="n"/>
      <c r="L855" s="93" t="str">
        <f>IF(R855=0,"",SUMIFS('RECEBIMENTOS'!$H$6:$H$1005,'RECEBIMENTOS'!$R$6:$R$1005,A855,'RECEBIMENTOS'!$X$6:$X$1005,1))</f>
        <v/>
      </c>
      <c r="M855" s="93" t="str">
        <f>IF(R855=0,"",SUMIFS('VÍNCULOS_CDF'!$H$6:$H$1005,'VÍNCULOS_CDF'!$R$6:$R$1005,A855,'VÍNCULOS_CDF'!$V$6:$V$1005,1))</f>
        <v/>
      </c>
      <c r="N855" s="99" t="str">
        <f>IF(OR(R855=0,AA855=0,NOT(ISNUMBER(I855))),"",I855-N(L855))</f>
        <v/>
      </c>
      <c r="O855" s="100" t="str">
        <f>IF(OR(R855=0,AK855&lt;=0),"",N(M855)/AK855)</f>
        <v/>
      </c>
      <c r="P855" s="94" t="str">
        <f>IF(R855=0,"",IF(S855="","Sem MTR associado",IF(U855=0,"MTR inexistente",IF(C855="","Resíduo não identificado",IF(V855=0,"Resíduo fora do cadastro",IF(W855=0,"Quantidade inválida",IF(H855="","Unidade não informada",IF(NOT(ISNUMBER(I855)),"Unidade a conferir",IF(AND(AH855=1,K855&lt;&gt;"Sim"),"Possível duplicidade",IF(Z855=1,"MTR cancelado",IF(AC855&gt;0,"Recebimento com alerta",IF(AA855=0,"Aguardando recebimento",IF(AB855&lt;AA855,"Recebimento a conferir",IF(AM855=1,"Quantidade a revisar",IF(AF855&gt;0,"Vínculo a revisar",IF(AD855=0,"Aguardando CDF",IF(AN855=0,"Vínculo de CDF parcial",IF(AE855&lt;AD855,"CDF a conferir","Documentação conferida"))))))))))))))))))</f>
        <v/>
      </c>
      <c r="Q855" s="93" t="str">
        <f>IF(OR(R855=0,AA855=0),"",MAX(0,N(L855)-N(M855)))</f>
        <v/>
      </c>
      <c r="R855" s="96">
        <f>IF(COUNTA(B855:C855,G855:H855,J855:K855)&gt;0,1,0)</f>
        <v>0</v>
      </c>
      <c r="S855" s="96" t="str">
        <f>IF(B855="","",TRIM(LEFT(B855,FIND(" |",B855&amp;" |")-1)))</f>
        <v/>
      </c>
      <c r="T855" s="96" t="str">
        <f>IF(S855="","",IFERROR(MATCH(S855,'MTRs'!$A$6:$A$505,0),""))</f>
        <v/>
      </c>
      <c r="U855" s="96">
        <f>IF(T855="",0,IF(INDEX('MTRs'!$Z$6:$Z$505,T855)=1,1,0))</f>
        <v>0</v>
      </c>
      <c r="V855" s="96">
        <f>IF(C855="",0,IF(ISNUMBER(MATCH(C855,'CAD_RESÍDUOS'!$B$6:$B$205,0)),1,0))</f>
        <v>0</v>
      </c>
      <c r="W855" s="96">
        <f>IF(AND(ISNUMBER(G855),G855&gt;0),1,0)</f>
        <v>0</v>
      </c>
      <c r="X855" s="96" t="str">
        <f>IF(H855="","",IFERROR(IF(ISNUMBER(INDEX(cfg_fac,MATCH(H855,cfg_units,0))),IF(INDEX(cfg_fac,MATCH(H855,cfg_units,0))&gt;0,INDEX(cfg_fac,MATCH(H855,cfg_units,0)),""),""),""))</f>
        <v/>
      </c>
      <c r="Y855" s="96">
        <f>IF(AND(W855=1,ISNUMBER(I855)),1,0)</f>
        <v>0</v>
      </c>
      <c r="Z855" s="96">
        <f>IF(U855=1,INDEX('MTRs'!$AA$6:$AA$505,T855),0)</f>
        <v>0</v>
      </c>
      <c r="AA855" s="96">
        <f>IF(R855=0,0,COUNTIFS('RECEBIMENTOS'!$R$6:$R$1005,A855,'RECEBIMENTOS'!$Q$6:$Q$1005,1))</f>
        <v>0</v>
      </c>
      <c r="AB855" s="96">
        <f>IF(R855=0,0,COUNTIFS('RECEBIMENTOS'!$R$6:$R$1005,A855,'RECEBIMENTOS'!$Z$6:$Z$1005,1))</f>
        <v>0</v>
      </c>
      <c r="AC855" s="96">
        <f>IF(R855=0,0,COUNTIFS('RECEBIMENTOS'!$R$6:$R$1005,A855,'RECEBIMENTOS'!$Y$6:$Y$1005,1))</f>
        <v>0</v>
      </c>
      <c r="AD855" s="96">
        <f>IF(R855=0,0,COUNTIFS('VÍNCULOS_CDF'!$R$6:$R$1005,A855,'VÍNCULOS_CDF'!$N$6:$N$1005,1))</f>
        <v>0</v>
      </c>
      <c r="AE855" s="96">
        <f>IF(R855=0,0,COUNTIFS('VÍNCULOS_CDF'!$R$6:$R$1005,A855,'VÍNCULOS_CDF'!$AA$6:$AA$1005,1))</f>
        <v>0</v>
      </c>
      <c r="AF855" s="96">
        <f>IF(R855=0,0,COUNTIFS('VÍNCULOS_CDF'!$R$6:$R$1005,A855,'VÍNCULOS_CDF'!$Y$6:$Y$1005,1))</f>
        <v>0</v>
      </c>
      <c r="AG855" s="96" t="str">
        <f>IF(AND(R855=1,S855&lt;&gt;"",C855&lt;&gt;""),S855&amp;"|"&amp;C855&amp;"|"&amp;G855&amp;"|"&amp;H855,"")</f>
        <v/>
      </c>
      <c r="AH855" s="96">
        <f>IF(AG855="",0,IF(SUMPRODUCT(--($AG$6:$AG$1005=AG855))&gt;1,1,0))</f>
        <v>0</v>
      </c>
      <c r="AI855" s="96">
        <f>IF(R855=0,0,IF(OR(U855=0,V855=0,Y855=0,AND(AH855=1,K855&lt;&gt;"Sim")),1,0))</f>
        <v>0</v>
      </c>
      <c r="AJ855" s="96">
        <f>IF(AND(R855=1,AA855&gt;0,AB855=AA855),1,0)</f>
        <v>0</v>
      </c>
      <c r="AK855" s="96">
        <f>IF(R855=0,0,IF(AA855&gt;0,N(L855),IF(ISNUMBER(I855),I855,0)))</f>
        <v>0</v>
      </c>
      <c r="AL855" s="96">
        <f>IF(R855=0,0,IF(AND(K855&lt;&gt;"Sim",N(M855)&gt;AK855+cfg_tol),1,0))</f>
        <v>0</v>
      </c>
      <c r="AM855" s="96">
        <f>IF(R855=0,0,IF(K855="Sim",0,IF(OR(AND(AA855&gt;0,ISNUMBER(I855),ABS(I855-N(L855))&gt;cfg_tol),AL855=1),1,0)))</f>
        <v>0</v>
      </c>
      <c r="AN855" s="96">
        <f>IF(AND(R855=1,N(M855)&gt;0,OR(N(M855)&gt;=AK855-cfg_tol,K855="Sim")),1,0)</f>
        <v>0</v>
      </c>
      <c r="AO855" s="96">
        <f>IF(AND(AN855=1,AD855&gt;0,AE855=AD855,AL855=0),1,0)</f>
        <v>0</v>
      </c>
      <c r="AP855" s="96">
        <f>IF(U855=0,0,IF(AND(INDEX('MTRs'!$AX$6:$AX$505,T855)=1,Z855=0,OR(f_res="",f_res="(Todos)",C855=f_res)),1,0))</f>
        <v>0</v>
      </c>
      <c r="AQ855" s="97" t="str">
        <f>IF(U855=0,"",INDEX('MTRs'!$AZ$6:$AZ$505,T855))</f>
        <v/>
      </c>
      <c r="AR855" s="96">
        <f>IF(U855=0,0,IF(AND(INDEX('MTRs'!$BA$6:$BA$505,T855)=1,Z855=0),1,0))</f>
        <v>0</v>
      </c>
      <c r="AS855" s="96" t="str">
        <f>IF(R855=1,A855&amp;" | MTR "&amp;IF(U855=1,INDEX('MTRs'!$B$6:$B$505,T855)&amp;"","?")&amp;" | "&amp;IF(C855="","(sem resíduo)",C855),"")</f>
        <v/>
      </c>
      <c r="AT855" s="96" t="str">
        <f>IF(R855=1,COUNTIF($R$6:R855,1),"")</f>
        <v/>
      </c>
      <c r="AU855" s="96" t="str">
        <f>IF(U855=1,INDEX('MTRs'!$I$6:$I$505,T855)&amp;"","")</f>
        <v/>
      </c>
    </row>
    <row r="856">
      <c r="A856" s="89" t="inlineStr">
        <is>
          <t>IT-000851</t>
        </is>
      </c>
      <c r="B856" s="91" t="n"/>
      <c r="C856" s="91" t="n"/>
      <c r="D856" s="94" t="str">
        <f>IF(OR(R856=0,V856=0),"",INDEX('CAD_RESÍDUOS'!$E$6:$E$205,MATCH(C856,'CAD_RESÍDUOS'!$B$6:$B$205,0))&amp;"")</f>
        <v/>
      </c>
      <c r="E856" s="94" t="str">
        <f>IF(OR(R856=0,V856=0),"",INDEX('CAD_RESÍDUOS'!$C$6:$C$205,MATCH(C856,'CAD_RESÍDUOS'!$B$6:$B$205,0))&amp;"")</f>
        <v/>
      </c>
      <c r="F856" s="94" t="str">
        <f>IF(OR(R856=0,V856=0),"",INDEX('CAD_RESÍDUOS'!$G$6:$G$205,MATCH(C856,'CAD_RESÍDUOS'!$B$6:$B$205,0))&amp;"")</f>
        <v/>
      </c>
      <c r="G856" s="98" t="n"/>
      <c r="H856" s="91" t="n"/>
      <c r="I856" s="93" t="str">
        <f>IF(R856=0,"",IF(NOT(ISNUMBER(G856)),"",IF(ISNUMBER(X856),G856*X856,"UNIDADE A CONFERIR")))</f>
        <v/>
      </c>
      <c r="J856" s="91" t="n"/>
      <c r="K856" s="91" t="n"/>
      <c r="L856" s="93" t="str">
        <f>IF(R856=0,"",SUMIFS('RECEBIMENTOS'!$H$6:$H$1005,'RECEBIMENTOS'!$R$6:$R$1005,A856,'RECEBIMENTOS'!$X$6:$X$1005,1))</f>
        <v/>
      </c>
      <c r="M856" s="93" t="str">
        <f>IF(R856=0,"",SUMIFS('VÍNCULOS_CDF'!$H$6:$H$1005,'VÍNCULOS_CDF'!$R$6:$R$1005,A856,'VÍNCULOS_CDF'!$V$6:$V$1005,1))</f>
        <v/>
      </c>
      <c r="N856" s="99" t="str">
        <f>IF(OR(R856=0,AA856=0,NOT(ISNUMBER(I856))),"",I856-N(L856))</f>
        <v/>
      </c>
      <c r="O856" s="100" t="str">
        <f>IF(OR(R856=0,AK856&lt;=0),"",N(M856)/AK856)</f>
        <v/>
      </c>
      <c r="P856" s="94" t="str">
        <f>IF(R856=0,"",IF(S856="","Sem MTR associado",IF(U856=0,"MTR inexistente",IF(C856="","Resíduo não identificado",IF(V856=0,"Resíduo fora do cadastro",IF(W856=0,"Quantidade inválida",IF(H856="","Unidade não informada",IF(NOT(ISNUMBER(I856)),"Unidade a conferir",IF(AND(AH856=1,K856&lt;&gt;"Sim"),"Possível duplicidade",IF(Z856=1,"MTR cancelado",IF(AC856&gt;0,"Recebimento com alerta",IF(AA856=0,"Aguardando recebimento",IF(AB856&lt;AA856,"Recebimento a conferir",IF(AM856=1,"Quantidade a revisar",IF(AF856&gt;0,"Vínculo a revisar",IF(AD856=0,"Aguardando CDF",IF(AN856=0,"Vínculo de CDF parcial",IF(AE856&lt;AD856,"CDF a conferir","Documentação conferida"))))))))))))))))))</f>
        <v/>
      </c>
      <c r="Q856" s="93" t="str">
        <f>IF(OR(R856=0,AA856=0),"",MAX(0,N(L856)-N(M856)))</f>
        <v/>
      </c>
      <c r="R856" s="96">
        <f>IF(COUNTA(B856:C856,G856:H856,J856:K856)&gt;0,1,0)</f>
        <v>0</v>
      </c>
      <c r="S856" s="96" t="str">
        <f>IF(B856="","",TRIM(LEFT(B856,FIND(" |",B856&amp;" |")-1)))</f>
        <v/>
      </c>
      <c r="T856" s="96" t="str">
        <f>IF(S856="","",IFERROR(MATCH(S856,'MTRs'!$A$6:$A$505,0),""))</f>
        <v/>
      </c>
      <c r="U856" s="96">
        <f>IF(T856="",0,IF(INDEX('MTRs'!$Z$6:$Z$505,T856)=1,1,0))</f>
        <v>0</v>
      </c>
      <c r="V856" s="96">
        <f>IF(C856="",0,IF(ISNUMBER(MATCH(C856,'CAD_RESÍDUOS'!$B$6:$B$205,0)),1,0))</f>
        <v>0</v>
      </c>
      <c r="W856" s="96">
        <f>IF(AND(ISNUMBER(G856),G856&gt;0),1,0)</f>
        <v>0</v>
      </c>
      <c r="X856" s="96" t="str">
        <f>IF(H856="","",IFERROR(IF(ISNUMBER(INDEX(cfg_fac,MATCH(H856,cfg_units,0))),IF(INDEX(cfg_fac,MATCH(H856,cfg_units,0))&gt;0,INDEX(cfg_fac,MATCH(H856,cfg_units,0)),""),""),""))</f>
        <v/>
      </c>
      <c r="Y856" s="96">
        <f>IF(AND(W856=1,ISNUMBER(I856)),1,0)</f>
        <v>0</v>
      </c>
      <c r="Z856" s="96">
        <f>IF(U856=1,INDEX('MTRs'!$AA$6:$AA$505,T856),0)</f>
        <v>0</v>
      </c>
      <c r="AA856" s="96">
        <f>IF(R856=0,0,COUNTIFS('RECEBIMENTOS'!$R$6:$R$1005,A856,'RECEBIMENTOS'!$Q$6:$Q$1005,1))</f>
        <v>0</v>
      </c>
      <c r="AB856" s="96">
        <f>IF(R856=0,0,COUNTIFS('RECEBIMENTOS'!$R$6:$R$1005,A856,'RECEBIMENTOS'!$Z$6:$Z$1005,1))</f>
        <v>0</v>
      </c>
      <c r="AC856" s="96">
        <f>IF(R856=0,0,COUNTIFS('RECEBIMENTOS'!$R$6:$R$1005,A856,'RECEBIMENTOS'!$Y$6:$Y$1005,1))</f>
        <v>0</v>
      </c>
      <c r="AD856" s="96">
        <f>IF(R856=0,0,COUNTIFS('VÍNCULOS_CDF'!$R$6:$R$1005,A856,'VÍNCULOS_CDF'!$N$6:$N$1005,1))</f>
        <v>0</v>
      </c>
      <c r="AE856" s="96">
        <f>IF(R856=0,0,COUNTIFS('VÍNCULOS_CDF'!$R$6:$R$1005,A856,'VÍNCULOS_CDF'!$AA$6:$AA$1005,1))</f>
        <v>0</v>
      </c>
      <c r="AF856" s="96">
        <f>IF(R856=0,0,COUNTIFS('VÍNCULOS_CDF'!$R$6:$R$1005,A856,'VÍNCULOS_CDF'!$Y$6:$Y$1005,1))</f>
        <v>0</v>
      </c>
      <c r="AG856" s="96" t="str">
        <f>IF(AND(R856=1,S856&lt;&gt;"",C856&lt;&gt;""),S856&amp;"|"&amp;C856&amp;"|"&amp;G856&amp;"|"&amp;H856,"")</f>
        <v/>
      </c>
      <c r="AH856" s="96">
        <f>IF(AG856="",0,IF(SUMPRODUCT(--($AG$6:$AG$1005=AG856))&gt;1,1,0))</f>
        <v>0</v>
      </c>
      <c r="AI856" s="96">
        <f>IF(R856=0,0,IF(OR(U856=0,V856=0,Y856=0,AND(AH856=1,K856&lt;&gt;"Sim")),1,0))</f>
        <v>0</v>
      </c>
      <c r="AJ856" s="96">
        <f>IF(AND(R856=1,AA856&gt;0,AB856=AA856),1,0)</f>
        <v>0</v>
      </c>
      <c r="AK856" s="96">
        <f>IF(R856=0,0,IF(AA856&gt;0,N(L856),IF(ISNUMBER(I856),I856,0)))</f>
        <v>0</v>
      </c>
      <c r="AL856" s="96">
        <f>IF(R856=0,0,IF(AND(K856&lt;&gt;"Sim",N(M856)&gt;AK856+cfg_tol),1,0))</f>
        <v>0</v>
      </c>
      <c r="AM856" s="96">
        <f>IF(R856=0,0,IF(K856="Sim",0,IF(OR(AND(AA856&gt;0,ISNUMBER(I856),ABS(I856-N(L856))&gt;cfg_tol),AL856=1),1,0)))</f>
        <v>0</v>
      </c>
      <c r="AN856" s="96">
        <f>IF(AND(R856=1,N(M856)&gt;0,OR(N(M856)&gt;=AK856-cfg_tol,K856="Sim")),1,0)</f>
        <v>0</v>
      </c>
      <c r="AO856" s="96">
        <f>IF(AND(AN856=1,AD856&gt;0,AE856=AD856,AL856=0),1,0)</f>
        <v>0</v>
      </c>
      <c r="AP856" s="96">
        <f>IF(U856=0,0,IF(AND(INDEX('MTRs'!$AX$6:$AX$505,T856)=1,Z856=0,OR(f_res="",f_res="(Todos)",C856=f_res)),1,0))</f>
        <v>0</v>
      </c>
      <c r="AQ856" s="97" t="str">
        <f>IF(U856=0,"",INDEX('MTRs'!$AZ$6:$AZ$505,T856))</f>
        <v/>
      </c>
      <c r="AR856" s="96">
        <f>IF(U856=0,0,IF(AND(INDEX('MTRs'!$BA$6:$BA$505,T856)=1,Z856=0),1,0))</f>
        <v>0</v>
      </c>
      <c r="AS856" s="96" t="str">
        <f>IF(R856=1,A856&amp;" | MTR "&amp;IF(U856=1,INDEX('MTRs'!$B$6:$B$505,T856)&amp;"","?")&amp;" | "&amp;IF(C856="","(sem resíduo)",C856),"")</f>
        <v/>
      </c>
      <c r="AT856" s="96" t="str">
        <f>IF(R856=1,COUNTIF($R$6:R856,1),"")</f>
        <v/>
      </c>
      <c r="AU856" s="96" t="str">
        <f>IF(U856=1,INDEX('MTRs'!$I$6:$I$505,T856)&amp;"","")</f>
        <v/>
      </c>
    </row>
    <row r="857">
      <c r="A857" s="89" t="inlineStr">
        <is>
          <t>IT-000852</t>
        </is>
      </c>
      <c r="B857" s="91" t="n"/>
      <c r="C857" s="91" t="n"/>
      <c r="D857" s="94" t="str">
        <f>IF(OR(R857=0,V857=0),"",INDEX('CAD_RESÍDUOS'!$E$6:$E$205,MATCH(C857,'CAD_RESÍDUOS'!$B$6:$B$205,0))&amp;"")</f>
        <v/>
      </c>
      <c r="E857" s="94" t="str">
        <f>IF(OR(R857=0,V857=0),"",INDEX('CAD_RESÍDUOS'!$C$6:$C$205,MATCH(C857,'CAD_RESÍDUOS'!$B$6:$B$205,0))&amp;"")</f>
        <v/>
      </c>
      <c r="F857" s="94" t="str">
        <f>IF(OR(R857=0,V857=0),"",INDEX('CAD_RESÍDUOS'!$G$6:$G$205,MATCH(C857,'CAD_RESÍDUOS'!$B$6:$B$205,0))&amp;"")</f>
        <v/>
      </c>
      <c r="G857" s="98" t="n"/>
      <c r="H857" s="91" t="n"/>
      <c r="I857" s="93" t="str">
        <f>IF(R857=0,"",IF(NOT(ISNUMBER(G857)),"",IF(ISNUMBER(X857),G857*X857,"UNIDADE A CONFERIR")))</f>
        <v/>
      </c>
      <c r="J857" s="91" t="n"/>
      <c r="K857" s="91" t="n"/>
      <c r="L857" s="93" t="str">
        <f>IF(R857=0,"",SUMIFS('RECEBIMENTOS'!$H$6:$H$1005,'RECEBIMENTOS'!$R$6:$R$1005,A857,'RECEBIMENTOS'!$X$6:$X$1005,1))</f>
        <v/>
      </c>
      <c r="M857" s="93" t="str">
        <f>IF(R857=0,"",SUMIFS('VÍNCULOS_CDF'!$H$6:$H$1005,'VÍNCULOS_CDF'!$R$6:$R$1005,A857,'VÍNCULOS_CDF'!$V$6:$V$1005,1))</f>
        <v/>
      </c>
      <c r="N857" s="99" t="str">
        <f>IF(OR(R857=0,AA857=0,NOT(ISNUMBER(I857))),"",I857-N(L857))</f>
        <v/>
      </c>
      <c r="O857" s="100" t="str">
        <f>IF(OR(R857=0,AK857&lt;=0),"",N(M857)/AK857)</f>
        <v/>
      </c>
      <c r="P857" s="94" t="str">
        <f>IF(R857=0,"",IF(S857="","Sem MTR associado",IF(U857=0,"MTR inexistente",IF(C857="","Resíduo não identificado",IF(V857=0,"Resíduo fora do cadastro",IF(W857=0,"Quantidade inválida",IF(H857="","Unidade não informada",IF(NOT(ISNUMBER(I857)),"Unidade a conferir",IF(AND(AH857=1,K857&lt;&gt;"Sim"),"Possível duplicidade",IF(Z857=1,"MTR cancelado",IF(AC857&gt;0,"Recebimento com alerta",IF(AA857=0,"Aguardando recebimento",IF(AB857&lt;AA857,"Recebimento a conferir",IF(AM857=1,"Quantidade a revisar",IF(AF857&gt;0,"Vínculo a revisar",IF(AD857=0,"Aguardando CDF",IF(AN857=0,"Vínculo de CDF parcial",IF(AE857&lt;AD857,"CDF a conferir","Documentação conferida"))))))))))))))))))</f>
        <v/>
      </c>
      <c r="Q857" s="93" t="str">
        <f>IF(OR(R857=0,AA857=0),"",MAX(0,N(L857)-N(M857)))</f>
        <v/>
      </c>
      <c r="R857" s="96">
        <f>IF(COUNTA(B857:C857,G857:H857,J857:K857)&gt;0,1,0)</f>
        <v>0</v>
      </c>
      <c r="S857" s="96" t="str">
        <f>IF(B857="","",TRIM(LEFT(B857,FIND(" |",B857&amp;" |")-1)))</f>
        <v/>
      </c>
      <c r="T857" s="96" t="str">
        <f>IF(S857="","",IFERROR(MATCH(S857,'MTRs'!$A$6:$A$505,0),""))</f>
        <v/>
      </c>
      <c r="U857" s="96">
        <f>IF(T857="",0,IF(INDEX('MTRs'!$Z$6:$Z$505,T857)=1,1,0))</f>
        <v>0</v>
      </c>
      <c r="V857" s="96">
        <f>IF(C857="",0,IF(ISNUMBER(MATCH(C857,'CAD_RESÍDUOS'!$B$6:$B$205,0)),1,0))</f>
        <v>0</v>
      </c>
      <c r="W857" s="96">
        <f>IF(AND(ISNUMBER(G857),G857&gt;0),1,0)</f>
        <v>0</v>
      </c>
      <c r="X857" s="96" t="str">
        <f>IF(H857="","",IFERROR(IF(ISNUMBER(INDEX(cfg_fac,MATCH(H857,cfg_units,0))),IF(INDEX(cfg_fac,MATCH(H857,cfg_units,0))&gt;0,INDEX(cfg_fac,MATCH(H857,cfg_units,0)),""),""),""))</f>
        <v/>
      </c>
      <c r="Y857" s="96">
        <f>IF(AND(W857=1,ISNUMBER(I857)),1,0)</f>
        <v>0</v>
      </c>
      <c r="Z857" s="96">
        <f>IF(U857=1,INDEX('MTRs'!$AA$6:$AA$505,T857),0)</f>
        <v>0</v>
      </c>
      <c r="AA857" s="96">
        <f>IF(R857=0,0,COUNTIFS('RECEBIMENTOS'!$R$6:$R$1005,A857,'RECEBIMENTOS'!$Q$6:$Q$1005,1))</f>
        <v>0</v>
      </c>
      <c r="AB857" s="96">
        <f>IF(R857=0,0,COUNTIFS('RECEBIMENTOS'!$R$6:$R$1005,A857,'RECEBIMENTOS'!$Z$6:$Z$1005,1))</f>
        <v>0</v>
      </c>
      <c r="AC857" s="96">
        <f>IF(R857=0,0,COUNTIFS('RECEBIMENTOS'!$R$6:$R$1005,A857,'RECEBIMENTOS'!$Y$6:$Y$1005,1))</f>
        <v>0</v>
      </c>
      <c r="AD857" s="96">
        <f>IF(R857=0,0,COUNTIFS('VÍNCULOS_CDF'!$R$6:$R$1005,A857,'VÍNCULOS_CDF'!$N$6:$N$1005,1))</f>
        <v>0</v>
      </c>
      <c r="AE857" s="96">
        <f>IF(R857=0,0,COUNTIFS('VÍNCULOS_CDF'!$R$6:$R$1005,A857,'VÍNCULOS_CDF'!$AA$6:$AA$1005,1))</f>
        <v>0</v>
      </c>
      <c r="AF857" s="96">
        <f>IF(R857=0,0,COUNTIFS('VÍNCULOS_CDF'!$R$6:$R$1005,A857,'VÍNCULOS_CDF'!$Y$6:$Y$1005,1))</f>
        <v>0</v>
      </c>
      <c r="AG857" s="96" t="str">
        <f>IF(AND(R857=1,S857&lt;&gt;"",C857&lt;&gt;""),S857&amp;"|"&amp;C857&amp;"|"&amp;G857&amp;"|"&amp;H857,"")</f>
        <v/>
      </c>
      <c r="AH857" s="96">
        <f>IF(AG857="",0,IF(SUMPRODUCT(--($AG$6:$AG$1005=AG857))&gt;1,1,0))</f>
        <v>0</v>
      </c>
      <c r="AI857" s="96">
        <f>IF(R857=0,0,IF(OR(U857=0,V857=0,Y857=0,AND(AH857=1,K857&lt;&gt;"Sim")),1,0))</f>
        <v>0</v>
      </c>
      <c r="AJ857" s="96">
        <f>IF(AND(R857=1,AA857&gt;0,AB857=AA857),1,0)</f>
        <v>0</v>
      </c>
      <c r="AK857" s="96">
        <f>IF(R857=0,0,IF(AA857&gt;0,N(L857),IF(ISNUMBER(I857),I857,0)))</f>
        <v>0</v>
      </c>
      <c r="AL857" s="96">
        <f>IF(R857=0,0,IF(AND(K857&lt;&gt;"Sim",N(M857)&gt;AK857+cfg_tol),1,0))</f>
        <v>0</v>
      </c>
      <c r="AM857" s="96">
        <f>IF(R857=0,0,IF(K857="Sim",0,IF(OR(AND(AA857&gt;0,ISNUMBER(I857),ABS(I857-N(L857))&gt;cfg_tol),AL857=1),1,0)))</f>
        <v>0</v>
      </c>
      <c r="AN857" s="96">
        <f>IF(AND(R857=1,N(M857)&gt;0,OR(N(M857)&gt;=AK857-cfg_tol,K857="Sim")),1,0)</f>
        <v>0</v>
      </c>
      <c r="AO857" s="96">
        <f>IF(AND(AN857=1,AD857&gt;0,AE857=AD857,AL857=0),1,0)</f>
        <v>0</v>
      </c>
      <c r="AP857" s="96">
        <f>IF(U857=0,0,IF(AND(INDEX('MTRs'!$AX$6:$AX$505,T857)=1,Z857=0,OR(f_res="",f_res="(Todos)",C857=f_res)),1,0))</f>
        <v>0</v>
      </c>
      <c r="AQ857" s="97" t="str">
        <f>IF(U857=0,"",INDEX('MTRs'!$AZ$6:$AZ$505,T857))</f>
        <v/>
      </c>
      <c r="AR857" s="96">
        <f>IF(U857=0,0,IF(AND(INDEX('MTRs'!$BA$6:$BA$505,T857)=1,Z857=0),1,0))</f>
        <v>0</v>
      </c>
      <c r="AS857" s="96" t="str">
        <f>IF(R857=1,A857&amp;" | MTR "&amp;IF(U857=1,INDEX('MTRs'!$B$6:$B$505,T857)&amp;"","?")&amp;" | "&amp;IF(C857="","(sem resíduo)",C857),"")</f>
        <v/>
      </c>
      <c r="AT857" s="96" t="str">
        <f>IF(R857=1,COUNTIF($R$6:R857,1),"")</f>
        <v/>
      </c>
      <c r="AU857" s="96" t="str">
        <f>IF(U857=1,INDEX('MTRs'!$I$6:$I$505,T857)&amp;"","")</f>
        <v/>
      </c>
    </row>
    <row r="858">
      <c r="A858" s="89" t="inlineStr">
        <is>
          <t>IT-000853</t>
        </is>
      </c>
      <c r="B858" s="91" t="n"/>
      <c r="C858" s="91" t="n"/>
      <c r="D858" s="94" t="str">
        <f>IF(OR(R858=0,V858=0),"",INDEX('CAD_RESÍDUOS'!$E$6:$E$205,MATCH(C858,'CAD_RESÍDUOS'!$B$6:$B$205,0))&amp;"")</f>
        <v/>
      </c>
      <c r="E858" s="94" t="str">
        <f>IF(OR(R858=0,V858=0),"",INDEX('CAD_RESÍDUOS'!$C$6:$C$205,MATCH(C858,'CAD_RESÍDUOS'!$B$6:$B$205,0))&amp;"")</f>
        <v/>
      </c>
      <c r="F858" s="94" t="str">
        <f>IF(OR(R858=0,V858=0),"",INDEX('CAD_RESÍDUOS'!$G$6:$G$205,MATCH(C858,'CAD_RESÍDUOS'!$B$6:$B$205,0))&amp;"")</f>
        <v/>
      </c>
      <c r="G858" s="98" t="n"/>
      <c r="H858" s="91" t="n"/>
      <c r="I858" s="93" t="str">
        <f>IF(R858=0,"",IF(NOT(ISNUMBER(G858)),"",IF(ISNUMBER(X858),G858*X858,"UNIDADE A CONFERIR")))</f>
        <v/>
      </c>
      <c r="J858" s="91" t="n"/>
      <c r="K858" s="91" t="n"/>
      <c r="L858" s="93" t="str">
        <f>IF(R858=0,"",SUMIFS('RECEBIMENTOS'!$H$6:$H$1005,'RECEBIMENTOS'!$R$6:$R$1005,A858,'RECEBIMENTOS'!$X$6:$X$1005,1))</f>
        <v/>
      </c>
      <c r="M858" s="93" t="str">
        <f>IF(R858=0,"",SUMIFS('VÍNCULOS_CDF'!$H$6:$H$1005,'VÍNCULOS_CDF'!$R$6:$R$1005,A858,'VÍNCULOS_CDF'!$V$6:$V$1005,1))</f>
        <v/>
      </c>
      <c r="N858" s="99" t="str">
        <f>IF(OR(R858=0,AA858=0,NOT(ISNUMBER(I858))),"",I858-N(L858))</f>
        <v/>
      </c>
      <c r="O858" s="100" t="str">
        <f>IF(OR(R858=0,AK858&lt;=0),"",N(M858)/AK858)</f>
        <v/>
      </c>
      <c r="P858" s="94" t="str">
        <f>IF(R858=0,"",IF(S858="","Sem MTR associado",IF(U858=0,"MTR inexistente",IF(C858="","Resíduo não identificado",IF(V858=0,"Resíduo fora do cadastro",IF(W858=0,"Quantidade inválida",IF(H858="","Unidade não informada",IF(NOT(ISNUMBER(I858)),"Unidade a conferir",IF(AND(AH858=1,K858&lt;&gt;"Sim"),"Possível duplicidade",IF(Z858=1,"MTR cancelado",IF(AC858&gt;0,"Recebimento com alerta",IF(AA858=0,"Aguardando recebimento",IF(AB858&lt;AA858,"Recebimento a conferir",IF(AM858=1,"Quantidade a revisar",IF(AF858&gt;0,"Vínculo a revisar",IF(AD858=0,"Aguardando CDF",IF(AN858=0,"Vínculo de CDF parcial",IF(AE858&lt;AD858,"CDF a conferir","Documentação conferida"))))))))))))))))))</f>
        <v/>
      </c>
      <c r="Q858" s="93" t="str">
        <f>IF(OR(R858=0,AA858=0),"",MAX(0,N(L858)-N(M858)))</f>
        <v/>
      </c>
      <c r="R858" s="96">
        <f>IF(COUNTA(B858:C858,G858:H858,J858:K858)&gt;0,1,0)</f>
        <v>0</v>
      </c>
      <c r="S858" s="96" t="str">
        <f>IF(B858="","",TRIM(LEFT(B858,FIND(" |",B858&amp;" |")-1)))</f>
        <v/>
      </c>
      <c r="T858" s="96" t="str">
        <f>IF(S858="","",IFERROR(MATCH(S858,'MTRs'!$A$6:$A$505,0),""))</f>
        <v/>
      </c>
      <c r="U858" s="96">
        <f>IF(T858="",0,IF(INDEX('MTRs'!$Z$6:$Z$505,T858)=1,1,0))</f>
        <v>0</v>
      </c>
      <c r="V858" s="96">
        <f>IF(C858="",0,IF(ISNUMBER(MATCH(C858,'CAD_RESÍDUOS'!$B$6:$B$205,0)),1,0))</f>
        <v>0</v>
      </c>
      <c r="W858" s="96">
        <f>IF(AND(ISNUMBER(G858),G858&gt;0),1,0)</f>
        <v>0</v>
      </c>
      <c r="X858" s="96" t="str">
        <f>IF(H858="","",IFERROR(IF(ISNUMBER(INDEX(cfg_fac,MATCH(H858,cfg_units,0))),IF(INDEX(cfg_fac,MATCH(H858,cfg_units,0))&gt;0,INDEX(cfg_fac,MATCH(H858,cfg_units,0)),""),""),""))</f>
        <v/>
      </c>
      <c r="Y858" s="96">
        <f>IF(AND(W858=1,ISNUMBER(I858)),1,0)</f>
        <v>0</v>
      </c>
      <c r="Z858" s="96">
        <f>IF(U858=1,INDEX('MTRs'!$AA$6:$AA$505,T858),0)</f>
        <v>0</v>
      </c>
      <c r="AA858" s="96">
        <f>IF(R858=0,0,COUNTIFS('RECEBIMENTOS'!$R$6:$R$1005,A858,'RECEBIMENTOS'!$Q$6:$Q$1005,1))</f>
        <v>0</v>
      </c>
      <c r="AB858" s="96">
        <f>IF(R858=0,0,COUNTIFS('RECEBIMENTOS'!$R$6:$R$1005,A858,'RECEBIMENTOS'!$Z$6:$Z$1005,1))</f>
        <v>0</v>
      </c>
      <c r="AC858" s="96">
        <f>IF(R858=0,0,COUNTIFS('RECEBIMENTOS'!$R$6:$R$1005,A858,'RECEBIMENTOS'!$Y$6:$Y$1005,1))</f>
        <v>0</v>
      </c>
      <c r="AD858" s="96">
        <f>IF(R858=0,0,COUNTIFS('VÍNCULOS_CDF'!$R$6:$R$1005,A858,'VÍNCULOS_CDF'!$N$6:$N$1005,1))</f>
        <v>0</v>
      </c>
      <c r="AE858" s="96">
        <f>IF(R858=0,0,COUNTIFS('VÍNCULOS_CDF'!$R$6:$R$1005,A858,'VÍNCULOS_CDF'!$AA$6:$AA$1005,1))</f>
        <v>0</v>
      </c>
      <c r="AF858" s="96">
        <f>IF(R858=0,0,COUNTIFS('VÍNCULOS_CDF'!$R$6:$R$1005,A858,'VÍNCULOS_CDF'!$Y$6:$Y$1005,1))</f>
        <v>0</v>
      </c>
      <c r="AG858" s="96" t="str">
        <f>IF(AND(R858=1,S858&lt;&gt;"",C858&lt;&gt;""),S858&amp;"|"&amp;C858&amp;"|"&amp;G858&amp;"|"&amp;H858,"")</f>
        <v/>
      </c>
      <c r="AH858" s="96">
        <f>IF(AG858="",0,IF(SUMPRODUCT(--($AG$6:$AG$1005=AG858))&gt;1,1,0))</f>
        <v>0</v>
      </c>
      <c r="AI858" s="96">
        <f>IF(R858=0,0,IF(OR(U858=0,V858=0,Y858=0,AND(AH858=1,K858&lt;&gt;"Sim")),1,0))</f>
        <v>0</v>
      </c>
      <c r="AJ858" s="96">
        <f>IF(AND(R858=1,AA858&gt;0,AB858=AA858),1,0)</f>
        <v>0</v>
      </c>
      <c r="AK858" s="96">
        <f>IF(R858=0,0,IF(AA858&gt;0,N(L858),IF(ISNUMBER(I858),I858,0)))</f>
        <v>0</v>
      </c>
      <c r="AL858" s="96">
        <f>IF(R858=0,0,IF(AND(K858&lt;&gt;"Sim",N(M858)&gt;AK858+cfg_tol),1,0))</f>
        <v>0</v>
      </c>
      <c r="AM858" s="96">
        <f>IF(R858=0,0,IF(K858="Sim",0,IF(OR(AND(AA858&gt;0,ISNUMBER(I858),ABS(I858-N(L858))&gt;cfg_tol),AL858=1),1,0)))</f>
        <v>0</v>
      </c>
      <c r="AN858" s="96">
        <f>IF(AND(R858=1,N(M858)&gt;0,OR(N(M858)&gt;=AK858-cfg_tol,K858="Sim")),1,0)</f>
        <v>0</v>
      </c>
      <c r="AO858" s="96">
        <f>IF(AND(AN858=1,AD858&gt;0,AE858=AD858,AL858=0),1,0)</f>
        <v>0</v>
      </c>
      <c r="AP858" s="96">
        <f>IF(U858=0,0,IF(AND(INDEX('MTRs'!$AX$6:$AX$505,T858)=1,Z858=0,OR(f_res="",f_res="(Todos)",C858=f_res)),1,0))</f>
        <v>0</v>
      </c>
      <c r="AQ858" s="97" t="str">
        <f>IF(U858=0,"",INDEX('MTRs'!$AZ$6:$AZ$505,T858))</f>
        <v/>
      </c>
      <c r="AR858" s="96">
        <f>IF(U858=0,0,IF(AND(INDEX('MTRs'!$BA$6:$BA$505,T858)=1,Z858=0),1,0))</f>
        <v>0</v>
      </c>
      <c r="AS858" s="96" t="str">
        <f>IF(R858=1,A858&amp;" | MTR "&amp;IF(U858=1,INDEX('MTRs'!$B$6:$B$505,T858)&amp;"","?")&amp;" | "&amp;IF(C858="","(sem resíduo)",C858),"")</f>
        <v/>
      </c>
      <c r="AT858" s="96" t="str">
        <f>IF(R858=1,COUNTIF($R$6:R858,1),"")</f>
        <v/>
      </c>
      <c r="AU858" s="96" t="str">
        <f>IF(U858=1,INDEX('MTRs'!$I$6:$I$505,T858)&amp;"","")</f>
        <v/>
      </c>
    </row>
    <row r="859">
      <c r="A859" s="89" t="inlineStr">
        <is>
          <t>IT-000854</t>
        </is>
      </c>
      <c r="B859" s="91" t="n"/>
      <c r="C859" s="91" t="n"/>
      <c r="D859" s="94" t="str">
        <f>IF(OR(R859=0,V859=0),"",INDEX('CAD_RESÍDUOS'!$E$6:$E$205,MATCH(C859,'CAD_RESÍDUOS'!$B$6:$B$205,0))&amp;"")</f>
        <v/>
      </c>
      <c r="E859" s="94" t="str">
        <f>IF(OR(R859=0,V859=0),"",INDEX('CAD_RESÍDUOS'!$C$6:$C$205,MATCH(C859,'CAD_RESÍDUOS'!$B$6:$B$205,0))&amp;"")</f>
        <v/>
      </c>
      <c r="F859" s="94" t="str">
        <f>IF(OR(R859=0,V859=0),"",INDEX('CAD_RESÍDUOS'!$G$6:$G$205,MATCH(C859,'CAD_RESÍDUOS'!$B$6:$B$205,0))&amp;"")</f>
        <v/>
      </c>
      <c r="G859" s="98" t="n"/>
      <c r="H859" s="91" t="n"/>
      <c r="I859" s="93" t="str">
        <f>IF(R859=0,"",IF(NOT(ISNUMBER(G859)),"",IF(ISNUMBER(X859),G859*X859,"UNIDADE A CONFERIR")))</f>
        <v/>
      </c>
      <c r="J859" s="91" t="n"/>
      <c r="K859" s="91" t="n"/>
      <c r="L859" s="93" t="str">
        <f>IF(R859=0,"",SUMIFS('RECEBIMENTOS'!$H$6:$H$1005,'RECEBIMENTOS'!$R$6:$R$1005,A859,'RECEBIMENTOS'!$X$6:$X$1005,1))</f>
        <v/>
      </c>
      <c r="M859" s="93" t="str">
        <f>IF(R859=0,"",SUMIFS('VÍNCULOS_CDF'!$H$6:$H$1005,'VÍNCULOS_CDF'!$R$6:$R$1005,A859,'VÍNCULOS_CDF'!$V$6:$V$1005,1))</f>
        <v/>
      </c>
      <c r="N859" s="99" t="str">
        <f>IF(OR(R859=0,AA859=0,NOT(ISNUMBER(I859))),"",I859-N(L859))</f>
        <v/>
      </c>
      <c r="O859" s="100" t="str">
        <f>IF(OR(R859=0,AK859&lt;=0),"",N(M859)/AK859)</f>
        <v/>
      </c>
      <c r="P859" s="94" t="str">
        <f>IF(R859=0,"",IF(S859="","Sem MTR associado",IF(U859=0,"MTR inexistente",IF(C859="","Resíduo não identificado",IF(V859=0,"Resíduo fora do cadastro",IF(W859=0,"Quantidade inválida",IF(H859="","Unidade não informada",IF(NOT(ISNUMBER(I859)),"Unidade a conferir",IF(AND(AH859=1,K859&lt;&gt;"Sim"),"Possível duplicidade",IF(Z859=1,"MTR cancelado",IF(AC859&gt;0,"Recebimento com alerta",IF(AA859=0,"Aguardando recebimento",IF(AB859&lt;AA859,"Recebimento a conferir",IF(AM859=1,"Quantidade a revisar",IF(AF859&gt;0,"Vínculo a revisar",IF(AD859=0,"Aguardando CDF",IF(AN859=0,"Vínculo de CDF parcial",IF(AE859&lt;AD859,"CDF a conferir","Documentação conferida"))))))))))))))))))</f>
        <v/>
      </c>
      <c r="Q859" s="93" t="str">
        <f>IF(OR(R859=0,AA859=0),"",MAX(0,N(L859)-N(M859)))</f>
        <v/>
      </c>
      <c r="R859" s="96">
        <f>IF(COUNTA(B859:C859,G859:H859,J859:K859)&gt;0,1,0)</f>
        <v>0</v>
      </c>
      <c r="S859" s="96" t="str">
        <f>IF(B859="","",TRIM(LEFT(B859,FIND(" |",B859&amp;" |")-1)))</f>
        <v/>
      </c>
      <c r="T859" s="96" t="str">
        <f>IF(S859="","",IFERROR(MATCH(S859,'MTRs'!$A$6:$A$505,0),""))</f>
        <v/>
      </c>
      <c r="U859" s="96">
        <f>IF(T859="",0,IF(INDEX('MTRs'!$Z$6:$Z$505,T859)=1,1,0))</f>
        <v>0</v>
      </c>
      <c r="V859" s="96">
        <f>IF(C859="",0,IF(ISNUMBER(MATCH(C859,'CAD_RESÍDUOS'!$B$6:$B$205,0)),1,0))</f>
        <v>0</v>
      </c>
      <c r="W859" s="96">
        <f>IF(AND(ISNUMBER(G859),G859&gt;0),1,0)</f>
        <v>0</v>
      </c>
      <c r="X859" s="96" t="str">
        <f>IF(H859="","",IFERROR(IF(ISNUMBER(INDEX(cfg_fac,MATCH(H859,cfg_units,0))),IF(INDEX(cfg_fac,MATCH(H859,cfg_units,0))&gt;0,INDEX(cfg_fac,MATCH(H859,cfg_units,0)),""),""),""))</f>
        <v/>
      </c>
      <c r="Y859" s="96">
        <f>IF(AND(W859=1,ISNUMBER(I859)),1,0)</f>
        <v>0</v>
      </c>
      <c r="Z859" s="96">
        <f>IF(U859=1,INDEX('MTRs'!$AA$6:$AA$505,T859),0)</f>
        <v>0</v>
      </c>
      <c r="AA859" s="96">
        <f>IF(R859=0,0,COUNTIFS('RECEBIMENTOS'!$R$6:$R$1005,A859,'RECEBIMENTOS'!$Q$6:$Q$1005,1))</f>
        <v>0</v>
      </c>
      <c r="AB859" s="96">
        <f>IF(R859=0,0,COUNTIFS('RECEBIMENTOS'!$R$6:$R$1005,A859,'RECEBIMENTOS'!$Z$6:$Z$1005,1))</f>
        <v>0</v>
      </c>
      <c r="AC859" s="96">
        <f>IF(R859=0,0,COUNTIFS('RECEBIMENTOS'!$R$6:$R$1005,A859,'RECEBIMENTOS'!$Y$6:$Y$1005,1))</f>
        <v>0</v>
      </c>
      <c r="AD859" s="96">
        <f>IF(R859=0,0,COUNTIFS('VÍNCULOS_CDF'!$R$6:$R$1005,A859,'VÍNCULOS_CDF'!$N$6:$N$1005,1))</f>
        <v>0</v>
      </c>
      <c r="AE859" s="96">
        <f>IF(R859=0,0,COUNTIFS('VÍNCULOS_CDF'!$R$6:$R$1005,A859,'VÍNCULOS_CDF'!$AA$6:$AA$1005,1))</f>
        <v>0</v>
      </c>
      <c r="AF859" s="96">
        <f>IF(R859=0,0,COUNTIFS('VÍNCULOS_CDF'!$R$6:$R$1005,A859,'VÍNCULOS_CDF'!$Y$6:$Y$1005,1))</f>
        <v>0</v>
      </c>
      <c r="AG859" s="96" t="str">
        <f>IF(AND(R859=1,S859&lt;&gt;"",C859&lt;&gt;""),S859&amp;"|"&amp;C859&amp;"|"&amp;G859&amp;"|"&amp;H859,"")</f>
        <v/>
      </c>
      <c r="AH859" s="96">
        <f>IF(AG859="",0,IF(SUMPRODUCT(--($AG$6:$AG$1005=AG859))&gt;1,1,0))</f>
        <v>0</v>
      </c>
      <c r="AI859" s="96">
        <f>IF(R859=0,0,IF(OR(U859=0,V859=0,Y859=0,AND(AH859=1,K859&lt;&gt;"Sim")),1,0))</f>
        <v>0</v>
      </c>
      <c r="AJ859" s="96">
        <f>IF(AND(R859=1,AA859&gt;0,AB859=AA859),1,0)</f>
        <v>0</v>
      </c>
      <c r="AK859" s="96">
        <f>IF(R859=0,0,IF(AA859&gt;0,N(L859),IF(ISNUMBER(I859),I859,0)))</f>
        <v>0</v>
      </c>
      <c r="AL859" s="96">
        <f>IF(R859=0,0,IF(AND(K859&lt;&gt;"Sim",N(M859)&gt;AK859+cfg_tol),1,0))</f>
        <v>0</v>
      </c>
      <c r="AM859" s="96">
        <f>IF(R859=0,0,IF(K859="Sim",0,IF(OR(AND(AA859&gt;0,ISNUMBER(I859),ABS(I859-N(L859))&gt;cfg_tol),AL859=1),1,0)))</f>
        <v>0</v>
      </c>
      <c r="AN859" s="96">
        <f>IF(AND(R859=1,N(M859)&gt;0,OR(N(M859)&gt;=AK859-cfg_tol,K859="Sim")),1,0)</f>
        <v>0</v>
      </c>
      <c r="AO859" s="96">
        <f>IF(AND(AN859=1,AD859&gt;0,AE859=AD859,AL859=0),1,0)</f>
        <v>0</v>
      </c>
      <c r="AP859" s="96">
        <f>IF(U859=0,0,IF(AND(INDEX('MTRs'!$AX$6:$AX$505,T859)=1,Z859=0,OR(f_res="",f_res="(Todos)",C859=f_res)),1,0))</f>
        <v>0</v>
      </c>
      <c r="AQ859" s="97" t="str">
        <f>IF(U859=0,"",INDEX('MTRs'!$AZ$6:$AZ$505,T859))</f>
        <v/>
      </c>
      <c r="AR859" s="96">
        <f>IF(U859=0,0,IF(AND(INDEX('MTRs'!$BA$6:$BA$505,T859)=1,Z859=0),1,0))</f>
        <v>0</v>
      </c>
      <c r="AS859" s="96" t="str">
        <f>IF(R859=1,A859&amp;" | MTR "&amp;IF(U859=1,INDEX('MTRs'!$B$6:$B$505,T859)&amp;"","?")&amp;" | "&amp;IF(C859="","(sem resíduo)",C859),"")</f>
        <v/>
      </c>
      <c r="AT859" s="96" t="str">
        <f>IF(R859=1,COUNTIF($R$6:R859,1),"")</f>
        <v/>
      </c>
      <c r="AU859" s="96" t="str">
        <f>IF(U859=1,INDEX('MTRs'!$I$6:$I$505,T859)&amp;"","")</f>
        <v/>
      </c>
    </row>
    <row r="860">
      <c r="A860" s="89" t="inlineStr">
        <is>
          <t>IT-000855</t>
        </is>
      </c>
      <c r="B860" s="91" t="n"/>
      <c r="C860" s="91" t="n"/>
      <c r="D860" s="94" t="str">
        <f>IF(OR(R860=0,V860=0),"",INDEX('CAD_RESÍDUOS'!$E$6:$E$205,MATCH(C860,'CAD_RESÍDUOS'!$B$6:$B$205,0))&amp;"")</f>
        <v/>
      </c>
      <c r="E860" s="94" t="str">
        <f>IF(OR(R860=0,V860=0),"",INDEX('CAD_RESÍDUOS'!$C$6:$C$205,MATCH(C860,'CAD_RESÍDUOS'!$B$6:$B$205,0))&amp;"")</f>
        <v/>
      </c>
      <c r="F860" s="94" t="str">
        <f>IF(OR(R860=0,V860=0),"",INDEX('CAD_RESÍDUOS'!$G$6:$G$205,MATCH(C860,'CAD_RESÍDUOS'!$B$6:$B$205,0))&amp;"")</f>
        <v/>
      </c>
      <c r="G860" s="98" t="n"/>
      <c r="H860" s="91" t="n"/>
      <c r="I860" s="93" t="str">
        <f>IF(R860=0,"",IF(NOT(ISNUMBER(G860)),"",IF(ISNUMBER(X860),G860*X860,"UNIDADE A CONFERIR")))</f>
        <v/>
      </c>
      <c r="J860" s="91" t="n"/>
      <c r="K860" s="91" t="n"/>
      <c r="L860" s="93" t="str">
        <f>IF(R860=0,"",SUMIFS('RECEBIMENTOS'!$H$6:$H$1005,'RECEBIMENTOS'!$R$6:$R$1005,A860,'RECEBIMENTOS'!$X$6:$X$1005,1))</f>
        <v/>
      </c>
      <c r="M860" s="93" t="str">
        <f>IF(R860=0,"",SUMIFS('VÍNCULOS_CDF'!$H$6:$H$1005,'VÍNCULOS_CDF'!$R$6:$R$1005,A860,'VÍNCULOS_CDF'!$V$6:$V$1005,1))</f>
        <v/>
      </c>
      <c r="N860" s="99" t="str">
        <f>IF(OR(R860=0,AA860=0,NOT(ISNUMBER(I860))),"",I860-N(L860))</f>
        <v/>
      </c>
      <c r="O860" s="100" t="str">
        <f>IF(OR(R860=0,AK860&lt;=0),"",N(M860)/AK860)</f>
        <v/>
      </c>
      <c r="P860" s="94" t="str">
        <f>IF(R860=0,"",IF(S860="","Sem MTR associado",IF(U860=0,"MTR inexistente",IF(C860="","Resíduo não identificado",IF(V860=0,"Resíduo fora do cadastro",IF(W860=0,"Quantidade inválida",IF(H860="","Unidade não informada",IF(NOT(ISNUMBER(I860)),"Unidade a conferir",IF(AND(AH860=1,K860&lt;&gt;"Sim"),"Possível duplicidade",IF(Z860=1,"MTR cancelado",IF(AC860&gt;0,"Recebimento com alerta",IF(AA860=0,"Aguardando recebimento",IF(AB860&lt;AA860,"Recebimento a conferir",IF(AM860=1,"Quantidade a revisar",IF(AF860&gt;0,"Vínculo a revisar",IF(AD860=0,"Aguardando CDF",IF(AN860=0,"Vínculo de CDF parcial",IF(AE860&lt;AD860,"CDF a conferir","Documentação conferida"))))))))))))))))))</f>
        <v/>
      </c>
      <c r="Q860" s="93" t="str">
        <f>IF(OR(R860=0,AA860=0),"",MAX(0,N(L860)-N(M860)))</f>
        <v/>
      </c>
      <c r="R860" s="96">
        <f>IF(COUNTA(B860:C860,G860:H860,J860:K860)&gt;0,1,0)</f>
        <v>0</v>
      </c>
      <c r="S860" s="96" t="str">
        <f>IF(B860="","",TRIM(LEFT(B860,FIND(" |",B860&amp;" |")-1)))</f>
        <v/>
      </c>
      <c r="T860" s="96" t="str">
        <f>IF(S860="","",IFERROR(MATCH(S860,'MTRs'!$A$6:$A$505,0),""))</f>
        <v/>
      </c>
      <c r="U860" s="96">
        <f>IF(T860="",0,IF(INDEX('MTRs'!$Z$6:$Z$505,T860)=1,1,0))</f>
        <v>0</v>
      </c>
      <c r="V860" s="96">
        <f>IF(C860="",0,IF(ISNUMBER(MATCH(C860,'CAD_RESÍDUOS'!$B$6:$B$205,0)),1,0))</f>
        <v>0</v>
      </c>
      <c r="W860" s="96">
        <f>IF(AND(ISNUMBER(G860),G860&gt;0),1,0)</f>
        <v>0</v>
      </c>
      <c r="X860" s="96" t="str">
        <f>IF(H860="","",IFERROR(IF(ISNUMBER(INDEX(cfg_fac,MATCH(H860,cfg_units,0))),IF(INDEX(cfg_fac,MATCH(H860,cfg_units,0))&gt;0,INDEX(cfg_fac,MATCH(H860,cfg_units,0)),""),""),""))</f>
        <v/>
      </c>
      <c r="Y860" s="96">
        <f>IF(AND(W860=1,ISNUMBER(I860)),1,0)</f>
        <v>0</v>
      </c>
      <c r="Z860" s="96">
        <f>IF(U860=1,INDEX('MTRs'!$AA$6:$AA$505,T860),0)</f>
        <v>0</v>
      </c>
      <c r="AA860" s="96">
        <f>IF(R860=0,0,COUNTIFS('RECEBIMENTOS'!$R$6:$R$1005,A860,'RECEBIMENTOS'!$Q$6:$Q$1005,1))</f>
        <v>0</v>
      </c>
      <c r="AB860" s="96">
        <f>IF(R860=0,0,COUNTIFS('RECEBIMENTOS'!$R$6:$R$1005,A860,'RECEBIMENTOS'!$Z$6:$Z$1005,1))</f>
        <v>0</v>
      </c>
      <c r="AC860" s="96">
        <f>IF(R860=0,0,COUNTIFS('RECEBIMENTOS'!$R$6:$R$1005,A860,'RECEBIMENTOS'!$Y$6:$Y$1005,1))</f>
        <v>0</v>
      </c>
      <c r="AD860" s="96">
        <f>IF(R860=0,0,COUNTIFS('VÍNCULOS_CDF'!$R$6:$R$1005,A860,'VÍNCULOS_CDF'!$N$6:$N$1005,1))</f>
        <v>0</v>
      </c>
      <c r="AE860" s="96">
        <f>IF(R860=0,0,COUNTIFS('VÍNCULOS_CDF'!$R$6:$R$1005,A860,'VÍNCULOS_CDF'!$AA$6:$AA$1005,1))</f>
        <v>0</v>
      </c>
      <c r="AF860" s="96">
        <f>IF(R860=0,0,COUNTIFS('VÍNCULOS_CDF'!$R$6:$R$1005,A860,'VÍNCULOS_CDF'!$Y$6:$Y$1005,1))</f>
        <v>0</v>
      </c>
      <c r="AG860" s="96" t="str">
        <f>IF(AND(R860=1,S860&lt;&gt;"",C860&lt;&gt;""),S860&amp;"|"&amp;C860&amp;"|"&amp;G860&amp;"|"&amp;H860,"")</f>
        <v/>
      </c>
      <c r="AH860" s="96">
        <f>IF(AG860="",0,IF(SUMPRODUCT(--($AG$6:$AG$1005=AG860))&gt;1,1,0))</f>
        <v>0</v>
      </c>
      <c r="AI860" s="96">
        <f>IF(R860=0,0,IF(OR(U860=0,V860=0,Y860=0,AND(AH860=1,K860&lt;&gt;"Sim")),1,0))</f>
        <v>0</v>
      </c>
      <c r="AJ860" s="96">
        <f>IF(AND(R860=1,AA860&gt;0,AB860=AA860),1,0)</f>
        <v>0</v>
      </c>
      <c r="AK860" s="96">
        <f>IF(R860=0,0,IF(AA860&gt;0,N(L860),IF(ISNUMBER(I860),I860,0)))</f>
        <v>0</v>
      </c>
      <c r="AL860" s="96">
        <f>IF(R860=0,0,IF(AND(K860&lt;&gt;"Sim",N(M860)&gt;AK860+cfg_tol),1,0))</f>
        <v>0</v>
      </c>
      <c r="AM860" s="96">
        <f>IF(R860=0,0,IF(K860="Sim",0,IF(OR(AND(AA860&gt;0,ISNUMBER(I860),ABS(I860-N(L860))&gt;cfg_tol),AL860=1),1,0)))</f>
        <v>0</v>
      </c>
      <c r="AN860" s="96">
        <f>IF(AND(R860=1,N(M860)&gt;0,OR(N(M860)&gt;=AK860-cfg_tol,K860="Sim")),1,0)</f>
        <v>0</v>
      </c>
      <c r="AO860" s="96">
        <f>IF(AND(AN860=1,AD860&gt;0,AE860=AD860,AL860=0),1,0)</f>
        <v>0</v>
      </c>
      <c r="AP860" s="96">
        <f>IF(U860=0,0,IF(AND(INDEX('MTRs'!$AX$6:$AX$505,T860)=1,Z860=0,OR(f_res="",f_res="(Todos)",C860=f_res)),1,0))</f>
        <v>0</v>
      </c>
      <c r="AQ860" s="97" t="str">
        <f>IF(U860=0,"",INDEX('MTRs'!$AZ$6:$AZ$505,T860))</f>
        <v/>
      </c>
      <c r="AR860" s="96">
        <f>IF(U860=0,0,IF(AND(INDEX('MTRs'!$BA$6:$BA$505,T860)=1,Z860=0),1,0))</f>
        <v>0</v>
      </c>
      <c r="AS860" s="96" t="str">
        <f>IF(R860=1,A860&amp;" | MTR "&amp;IF(U860=1,INDEX('MTRs'!$B$6:$B$505,T860)&amp;"","?")&amp;" | "&amp;IF(C860="","(sem resíduo)",C860),"")</f>
        <v/>
      </c>
      <c r="AT860" s="96" t="str">
        <f>IF(R860=1,COUNTIF($R$6:R860,1),"")</f>
        <v/>
      </c>
      <c r="AU860" s="96" t="str">
        <f>IF(U860=1,INDEX('MTRs'!$I$6:$I$505,T860)&amp;"","")</f>
        <v/>
      </c>
    </row>
    <row r="861">
      <c r="A861" s="89" t="inlineStr">
        <is>
          <t>IT-000856</t>
        </is>
      </c>
      <c r="B861" s="91" t="n"/>
      <c r="C861" s="91" t="n"/>
      <c r="D861" s="94" t="str">
        <f>IF(OR(R861=0,V861=0),"",INDEX('CAD_RESÍDUOS'!$E$6:$E$205,MATCH(C861,'CAD_RESÍDUOS'!$B$6:$B$205,0))&amp;"")</f>
        <v/>
      </c>
      <c r="E861" s="94" t="str">
        <f>IF(OR(R861=0,V861=0),"",INDEX('CAD_RESÍDUOS'!$C$6:$C$205,MATCH(C861,'CAD_RESÍDUOS'!$B$6:$B$205,0))&amp;"")</f>
        <v/>
      </c>
      <c r="F861" s="94" t="str">
        <f>IF(OR(R861=0,V861=0),"",INDEX('CAD_RESÍDUOS'!$G$6:$G$205,MATCH(C861,'CAD_RESÍDUOS'!$B$6:$B$205,0))&amp;"")</f>
        <v/>
      </c>
      <c r="G861" s="98" t="n"/>
      <c r="H861" s="91" t="n"/>
      <c r="I861" s="93" t="str">
        <f>IF(R861=0,"",IF(NOT(ISNUMBER(G861)),"",IF(ISNUMBER(X861),G861*X861,"UNIDADE A CONFERIR")))</f>
        <v/>
      </c>
      <c r="J861" s="91" t="n"/>
      <c r="K861" s="91" t="n"/>
      <c r="L861" s="93" t="str">
        <f>IF(R861=0,"",SUMIFS('RECEBIMENTOS'!$H$6:$H$1005,'RECEBIMENTOS'!$R$6:$R$1005,A861,'RECEBIMENTOS'!$X$6:$X$1005,1))</f>
        <v/>
      </c>
      <c r="M861" s="93" t="str">
        <f>IF(R861=0,"",SUMIFS('VÍNCULOS_CDF'!$H$6:$H$1005,'VÍNCULOS_CDF'!$R$6:$R$1005,A861,'VÍNCULOS_CDF'!$V$6:$V$1005,1))</f>
        <v/>
      </c>
      <c r="N861" s="99" t="str">
        <f>IF(OR(R861=0,AA861=0,NOT(ISNUMBER(I861))),"",I861-N(L861))</f>
        <v/>
      </c>
      <c r="O861" s="100" t="str">
        <f>IF(OR(R861=0,AK861&lt;=0),"",N(M861)/AK861)</f>
        <v/>
      </c>
      <c r="P861" s="94" t="str">
        <f>IF(R861=0,"",IF(S861="","Sem MTR associado",IF(U861=0,"MTR inexistente",IF(C861="","Resíduo não identificado",IF(V861=0,"Resíduo fora do cadastro",IF(W861=0,"Quantidade inválida",IF(H861="","Unidade não informada",IF(NOT(ISNUMBER(I861)),"Unidade a conferir",IF(AND(AH861=1,K861&lt;&gt;"Sim"),"Possível duplicidade",IF(Z861=1,"MTR cancelado",IF(AC861&gt;0,"Recebimento com alerta",IF(AA861=0,"Aguardando recebimento",IF(AB861&lt;AA861,"Recebimento a conferir",IF(AM861=1,"Quantidade a revisar",IF(AF861&gt;0,"Vínculo a revisar",IF(AD861=0,"Aguardando CDF",IF(AN861=0,"Vínculo de CDF parcial",IF(AE861&lt;AD861,"CDF a conferir","Documentação conferida"))))))))))))))))))</f>
        <v/>
      </c>
      <c r="Q861" s="93" t="str">
        <f>IF(OR(R861=0,AA861=0),"",MAX(0,N(L861)-N(M861)))</f>
        <v/>
      </c>
      <c r="R861" s="96">
        <f>IF(COUNTA(B861:C861,G861:H861,J861:K861)&gt;0,1,0)</f>
        <v>0</v>
      </c>
      <c r="S861" s="96" t="str">
        <f>IF(B861="","",TRIM(LEFT(B861,FIND(" |",B861&amp;" |")-1)))</f>
        <v/>
      </c>
      <c r="T861" s="96" t="str">
        <f>IF(S861="","",IFERROR(MATCH(S861,'MTRs'!$A$6:$A$505,0),""))</f>
        <v/>
      </c>
      <c r="U861" s="96">
        <f>IF(T861="",0,IF(INDEX('MTRs'!$Z$6:$Z$505,T861)=1,1,0))</f>
        <v>0</v>
      </c>
      <c r="V861" s="96">
        <f>IF(C861="",0,IF(ISNUMBER(MATCH(C861,'CAD_RESÍDUOS'!$B$6:$B$205,0)),1,0))</f>
        <v>0</v>
      </c>
      <c r="W861" s="96">
        <f>IF(AND(ISNUMBER(G861),G861&gt;0),1,0)</f>
        <v>0</v>
      </c>
      <c r="X861" s="96" t="str">
        <f>IF(H861="","",IFERROR(IF(ISNUMBER(INDEX(cfg_fac,MATCH(H861,cfg_units,0))),IF(INDEX(cfg_fac,MATCH(H861,cfg_units,0))&gt;0,INDEX(cfg_fac,MATCH(H861,cfg_units,0)),""),""),""))</f>
        <v/>
      </c>
      <c r="Y861" s="96">
        <f>IF(AND(W861=1,ISNUMBER(I861)),1,0)</f>
        <v>0</v>
      </c>
      <c r="Z861" s="96">
        <f>IF(U861=1,INDEX('MTRs'!$AA$6:$AA$505,T861),0)</f>
        <v>0</v>
      </c>
      <c r="AA861" s="96">
        <f>IF(R861=0,0,COUNTIFS('RECEBIMENTOS'!$R$6:$R$1005,A861,'RECEBIMENTOS'!$Q$6:$Q$1005,1))</f>
        <v>0</v>
      </c>
      <c r="AB861" s="96">
        <f>IF(R861=0,0,COUNTIFS('RECEBIMENTOS'!$R$6:$R$1005,A861,'RECEBIMENTOS'!$Z$6:$Z$1005,1))</f>
        <v>0</v>
      </c>
      <c r="AC861" s="96">
        <f>IF(R861=0,0,COUNTIFS('RECEBIMENTOS'!$R$6:$R$1005,A861,'RECEBIMENTOS'!$Y$6:$Y$1005,1))</f>
        <v>0</v>
      </c>
      <c r="AD861" s="96">
        <f>IF(R861=0,0,COUNTIFS('VÍNCULOS_CDF'!$R$6:$R$1005,A861,'VÍNCULOS_CDF'!$N$6:$N$1005,1))</f>
        <v>0</v>
      </c>
      <c r="AE861" s="96">
        <f>IF(R861=0,0,COUNTIFS('VÍNCULOS_CDF'!$R$6:$R$1005,A861,'VÍNCULOS_CDF'!$AA$6:$AA$1005,1))</f>
        <v>0</v>
      </c>
      <c r="AF861" s="96">
        <f>IF(R861=0,0,COUNTIFS('VÍNCULOS_CDF'!$R$6:$R$1005,A861,'VÍNCULOS_CDF'!$Y$6:$Y$1005,1))</f>
        <v>0</v>
      </c>
      <c r="AG861" s="96" t="str">
        <f>IF(AND(R861=1,S861&lt;&gt;"",C861&lt;&gt;""),S861&amp;"|"&amp;C861&amp;"|"&amp;G861&amp;"|"&amp;H861,"")</f>
        <v/>
      </c>
      <c r="AH861" s="96">
        <f>IF(AG861="",0,IF(SUMPRODUCT(--($AG$6:$AG$1005=AG861))&gt;1,1,0))</f>
        <v>0</v>
      </c>
      <c r="AI861" s="96">
        <f>IF(R861=0,0,IF(OR(U861=0,V861=0,Y861=0,AND(AH861=1,K861&lt;&gt;"Sim")),1,0))</f>
        <v>0</v>
      </c>
      <c r="AJ861" s="96">
        <f>IF(AND(R861=1,AA861&gt;0,AB861=AA861),1,0)</f>
        <v>0</v>
      </c>
      <c r="AK861" s="96">
        <f>IF(R861=0,0,IF(AA861&gt;0,N(L861),IF(ISNUMBER(I861),I861,0)))</f>
        <v>0</v>
      </c>
      <c r="AL861" s="96">
        <f>IF(R861=0,0,IF(AND(K861&lt;&gt;"Sim",N(M861)&gt;AK861+cfg_tol),1,0))</f>
        <v>0</v>
      </c>
      <c r="AM861" s="96">
        <f>IF(R861=0,0,IF(K861="Sim",0,IF(OR(AND(AA861&gt;0,ISNUMBER(I861),ABS(I861-N(L861))&gt;cfg_tol),AL861=1),1,0)))</f>
        <v>0</v>
      </c>
      <c r="AN861" s="96">
        <f>IF(AND(R861=1,N(M861)&gt;0,OR(N(M861)&gt;=AK861-cfg_tol,K861="Sim")),1,0)</f>
        <v>0</v>
      </c>
      <c r="AO861" s="96">
        <f>IF(AND(AN861=1,AD861&gt;0,AE861=AD861,AL861=0),1,0)</f>
        <v>0</v>
      </c>
      <c r="AP861" s="96">
        <f>IF(U861=0,0,IF(AND(INDEX('MTRs'!$AX$6:$AX$505,T861)=1,Z861=0,OR(f_res="",f_res="(Todos)",C861=f_res)),1,0))</f>
        <v>0</v>
      </c>
      <c r="AQ861" s="97" t="str">
        <f>IF(U861=0,"",INDEX('MTRs'!$AZ$6:$AZ$505,T861))</f>
        <v/>
      </c>
      <c r="AR861" s="96">
        <f>IF(U861=0,0,IF(AND(INDEX('MTRs'!$BA$6:$BA$505,T861)=1,Z861=0),1,0))</f>
        <v>0</v>
      </c>
      <c r="AS861" s="96" t="str">
        <f>IF(R861=1,A861&amp;" | MTR "&amp;IF(U861=1,INDEX('MTRs'!$B$6:$B$505,T861)&amp;"","?")&amp;" | "&amp;IF(C861="","(sem resíduo)",C861),"")</f>
        <v/>
      </c>
      <c r="AT861" s="96" t="str">
        <f>IF(R861=1,COUNTIF($R$6:R861,1),"")</f>
        <v/>
      </c>
      <c r="AU861" s="96" t="str">
        <f>IF(U861=1,INDEX('MTRs'!$I$6:$I$505,T861)&amp;"","")</f>
        <v/>
      </c>
    </row>
    <row r="862">
      <c r="A862" s="89" t="inlineStr">
        <is>
          <t>IT-000857</t>
        </is>
      </c>
      <c r="B862" s="91" t="n"/>
      <c r="C862" s="91" t="n"/>
      <c r="D862" s="94" t="str">
        <f>IF(OR(R862=0,V862=0),"",INDEX('CAD_RESÍDUOS'!$E$6:$E$205,MATCH(C862,'CAD_RESÍDUOS'!$B$6:$B$205,0))&amp;"")</f>
        <v/>
      </c>
      <c r="E862" s="94" t="str">
        <f>IF(OR(R862=0,V862=0),"",INDEX('CAD_RESÍDUOS'!$C$6:$C$205,MATCH(C862,'CAD_RESÍDUOS'!$B$6:$B$205,0))&amp;"")</f>
        <v/>
      </c>
      <c r="F862" s="94" t="str">
        <f>IF(OR(R862=0,V862=0),"",INDEX('CAD_RESÍDUOS'!$G$6:$G$205,MATCH(C862,'CAD_RESÍDUOS'!$B$6:$B$205,0))&amp;"")</f>
        <v/>
      </c>
      <c r="G862" s="98" t="n"/>
      <c r="H862" s="91" t="n"/>
      <c r="I862" s="93" t="str">
        <f>IF(R862=0,"",IF(NOT(ISNUMBER(G862)),"",IF(ISNUMBER(X862),G862*X862,"UNIDADE A CONFERIR")))</f>
        <v/>
      </c>
      <c r="J862" s="91" t="n"/>
      <c r="K862" s="91" t="n"/>
      <c r="L862" s="93" t="str">
        <f>IF(R862=0,"",SUMIFS('RECEBIMENTOS'!$H$6:$H$1005,'RECEBIMENTOS'!$R$6:$R$1005,A862,'RECEBIMENTOS'!$X$6:$X$1005,1))</f>
        <v/>
      </c>
      <c r="M862" s="93" t="str">
        <f>IF(R862=0,"",SUMIFS('VÍNCULOS_CDF'!$H$6:$H$1005,'VÍNCULOS_CDF'!$R$6:$R$1005,A862,'VÍNCULOS_CDF'!$V$6:$V$1005,1))</f>
        <v/>
      </c>
      <c r="N862" s="99" t="str">
        <f>IF(OR(R862=0,AA862=0,NOT(ISNUMBER(I862))),"",I862-N(L862))</f>
        <v/>
      </c>
      <c r="O862" s="100" t="str">
        <f>IF(OR(R862=0,AK862&lt;=0),"",N(M862)/AK862)</f>
        <v/>
      </c>
      <c r="P862" s="94" t="str">
        <f>IF(R862=0,"",IF(S862="","Sem MTR associado",IF(U862=0,"MTR inexistente",IF(C862="","Resíduo não identificado",IF(V862=0,"Resíduo fora do cadastro",IF(W862=0,"Quantidade inválida",IF(H862="","Unidade não informada",IF(NOT(ISNUMBER(I862)),"Unidade a conferir",IF(AND(AH862=1,K862&lt;&gt;"Sim"),"Possível duplicidade",IF(Z862=1,"MTR cancelado",IF(AC862&gt;0,"Recebimento com alerta",IF(AA862=0,"Aguardando recebimento",IF(AB862&lt;AA862,"Recebimento a conferir",IF(AM862=1,"Quantidade a revisar",IF(AF862&gt;0,"Vínculo a revisar",IF(AD862=0,"Aguardando CDF",IF(AN862=0,"Vínculo de CDF parcial",IF(AE862&lt;AD862,"CDF a conferir","Documentação conferida"))))))))))))))))))</f>
        <v/>
      </c>
      <c r="Q862" s="93" t="str">
        <f>IF(OR(R862=0,AA862=0),"",MAX(0,N(L862)-N(M862)))</f>
        <v/>
      </c>
      <c r="R862" s="96">
        <f>IF(COUNTA(B862:C862,G862:H862,J862:K862)&gt;0,1,0)</f>
        <v>0</v>
      </c>
      <c r="S862" s="96" t="str">
        <f>IF(B862="","",TRIM(LEFT(B862,FIND(" |",B862&amp;" |")-1)))</f>
        <v/>
      </c>
      <c r="T862" s="96" t="str">
        <f>IF(S862="","",IFERROR(MATCH(S862,'MTRs'!$A$6:$A$505,0),""))</f>
        <v/>
      </c>
      <c r="U862" s="96">
        <f>IF(T862="",0,IF(INDEX('MTRs'!$Z$6:$Z$505,T862)=1,1,0))</f>
        <v>0</v>
      </c>
      <c r="V862" s="96">
        <f>IF(C862="",0,IF(ISNUMBER(MATCH(C862,'CAD_RESÍDUOS'!$B$6:$B$205,0)),1,0))</f>
        <v>0</v>
      </c>
      <c r="W862" s="96">
        <f>IF(AND(ISNUMBER(G862),G862&gt;0),1,0)</f>
        <v>0</v>
      </c>
      <c r="X862" s="96" t="str">
        <f>IF(H862="","",IFERROR(IF(ISNUMBER(INDEX(cfg_fac,MATCH(H862,cfg_units,0))),IF(INDEX(cfg_fac,MATCH(H862,cfg_units,0))&gt;0,INDEX(cfg_fac,MATCH(H862,cfg_units,0)),""),""),""))</f>
        <v/>
      </c>
      <c r="Y862" s="96">
        <f>IF(AND(W862=1,ISNUMBER(I862)),1,0)</f>
        <v>0</v>
      </c>
      <c r="Z862" s="96">
        <f>IF(U862=1,INDEX('MTRs'!$AA$6:$AA$505,T862),0)</f>
        <v>0</v>
      </c>
      <c r="AA862" s="96">
        <f>IF(R862=0,0,COUNTIFS('RECEBIMENTOS'!$R$6:$R$1005,A862,'RECEBIMENTOS'!$Q$6:$Q$1005,1))</f>
        <v>0</v>
      </c>
      <c r="AB862" s="96">
        <f>IF(R862=0,0,COUNTIFS('RECEBIMENTOS'!$R$6:$R$1005,A862,'RECEBIMENTOS'!$Z$6:$Z$1005,1))</f>
        <v>0</v>
      </c>
      <c r="AC862" s="96">
        <f>IF(R862=0,0,COUNTIFS('RECEBIMENTOS'!$R$6:$R$1005,A862,'RECEBIMENTOS'!$Y$6:$Y$1005,1))</f>
        <v>0</v>
      </c>
      <c r="AD862" s="96">
        <f>IF(R862=0,0,COUNTIFS('VÍNCULOS_CDF'!$R$6:$R$1005,A862,'VÍNCULOS_CDF'!$N$6:$N$1005,1))</f>
        <v>0</v>
      </c>
      <c r="AE862" s="96">
        <f>IF(R862=0,0,COUNTIFS('VÍNCULOS_CDF'!$R$6:$R$1005,A862,'VÍNCULOS_CDF'!$AA$6:$AA$1005,1))</f>
        <v>0</v>
      </c>
      <c r="AF862" s="96">
        <f>IF(R862=0,0,COUNTIFS('VÍNCULOS_CDF'!$R$6:$R$1005,A862,'VÍNCULOS_CDF'!$Y$6:$Y$1005,1))</f>
        <v>0</v>
      </c>
      <c r="AG862" s="96" t="str">
        <f>IF(AND(R862=1,S862&lt;&gt;"",C862&lt;&gt;""),S862&amp;"|"&amp;C862&amp;"|"&amp;G862&amp;"|"&amp;H862,"")</f>
        <v/>
      </c>
      <c r="AH862" s="96">
        <f>IF(AG862="",0,IF(SUMPRODUCT(--($AG$6:$AG$1005=AG862))&gt;1,1,0))</f>
        <v>0</v>
      </c>
      <c r="AI862" s="96">
        <f>IF(R862=0,0,IF(OR(U862=0,V862=0,Y862=0,AND(AH862=1,K862&lt;&gt;"Sim")),1,0))</f>
        <v>0</v>
      </c>
      <c r="AJ862" s="96">
        <f>IF(AND(R862=1,AA862&gt;0,AB862=AA862),1,0)</f>
        <v>0</v>
      </c>
      <c r="AK862" s="96">
        <f>IF(R862=0,0,IF(AA862&gt;0,N(L862),IF(ISNUMBER(I862),I862,0)))</f>
        <v>0</v>
      </c>
      <c r="AL862" s="96">
        <f>IF(R862=0,0,IF(AND(K862&lt;&gt;"Sim",N(M862)&gt;AK862+cfg_tol),1,0))</f>
        <v>0</v>
      </c>
      <c r="AM862" s="96">
        <f>IF(R862=0,0,IF(K862="Sim",0,IF(OR(AND(AA862&gt;0,ISNUMBER(I862),ABS(I862-N(L862))&gt;cfg_tol),AL862=1),1,0)))</f>
        <v>0</v>
      </c>
      <c r="AN862" s="96">
        <f>IF(AND(R862=1,N(M862)&gt;0,OR(N(M862)&gt;=AK862-cfg_tol,K862="Sim")),1,0)</f>
        <v>0</v>
      </c>
      <c r="AO862" s="96">
        <f>IF(AND(AN862=1,AD862&gt;0,AE862=AD862,AL862=0),1,0)</f>
        <v>0</v>
      </c>
      <c r="AP862" s="96">
        <f>IF(U862=0,0,IF(AND(INDEX('MTRs'!$AX$6:$AX$505,T862)=1,Z862=0,OR(f_res="",f_res="(Todos)",C862=f_res)),1,0))</f>
        <v>0</v>
      </c>
      <c r="AQ862" s="97" t="str">
        <f>IF(U862=0,"",INDEX('MTRs'!$AZ$6:$AZ$505,T862))</f>
        <v/>
      </c>
      <c r="AR862" s="96">
        <f>IF(U862=0,0,IF(AND(INDEX('MTRs'!$BA$6:$BA$505,T862)=1,Z862=0),1,0))</f>
        <v>0</v>
      </c>
      <c r="AS862" s="96" t="str">
        <f>IF(R862=1,A862&amp;" | MTR "&amp;IF(U862=1,INDEX('MTRs'!$B$6:$B$505,T862)&amp;"","?")&amp;" | "&amp;IF(C862="","(sem resíduo)",C862),"")</f>
        <v/>
      </c>
      <c r="AT862" s="96" t="str">
        <f>IF(R862=1,COUNTIF($R$6:R862,1),"")</f>
        <v/>
      </c>
      <c r="AU862" s="96" t="str">
        <f>IF(U862=1,INDEX('MTRs'!$I$6:$I$505,T862)&amp;"","")</f>
        <v/>
      </c>
    </row>
    <row r="863">
      <c r="A863" s="89" t="inlineStr">
        <is>
          <t>IT-000858</t>
        </is>
      </c>
      <c r="B863" s="91" t="n"/>
      <c r="C863" s="91" t="n"/>
      <c r="D863" s="94" t="str">
        <f>IF(OR(R863=0,V863=0),"",INDEX('CAD_RESÍDUOS'!$E$6:$E$205,MATCH(C863,'CAD_RESÍDUOS'!$B$6:$B$205,0))&amp;"")</f>
        <v/>
      </c>
      <c r="E863" s="94" t="str">
        <f>IF(OR(R863=0,V863=0),"",INDEX('CAD_RESÍDUOS'!$C$6:$C$205,MATCH(C863,'CAD_RESÍDUOS'!$B$6:$B$205,0))&amp;"")</f>
        <v/>
      </c>
      <c r="F863" s="94" t="str">
        <f>IF(OR(R863=0,V863=0),"",INDEX('CAD_RESÍDUOS'!$G$6:$G$205,MATCH(C863,'CAD_RESÍDUOS'!$B$6:$B$205,0))&amp;"")</f>
        <v/>
      </c>
      <c r="G863" s="98" t="n"/>
      <c r="H863" s="91" t="n"/>
      <c r="I863" s="93" t="str">
        <f>IF(R863=0,"",IF(NOT(ISNUMBER(G863)),"",IF(ISNUMBER(X863),G863*X863,"UNIDADE A CONFERIR")))</f>
        <v/>
      </c>
      <c r="J863" s="91" t="n"/>
      <c r="K863" s="91" t="n"/>
      <c r="L863" s="93" t="str">
        <f>IF(R863=0,"",SUMIFS('RECEBIMENTOS'!$H$6:$H$1005,'RECEBIMENTOS'!$R$6:$R$1005,A863,'RECEBIMENTOS'!$X$6:$X$1005,1))</f>
        <v/>
      </c>
      <c r="M863" s="93" t="str">
        <f>IF(R863=0,"",SUMIFS('VÍNCULOS_CDF'!$H$6:$H$1005,'VÍNCULOS_CDF'!$R$6:$R$1005,A863,'VÍNCULOS_CDF'!$V$6:$V$1005,1))</f>
        <v/>
      </c>
      <c r="N863" s="99" t="str">
        <f>IF(OR(R863=0,AA863=0,NOT(ISNUMBER(I863))),"",I863-N(L863))</f>
        <v/>
      </c>
      <c r="O863" s="100" t="str">
        <f>IF(OR(R863=0,AK863&lt;=0),"",N(M863)/AK863)</f>
        <v/>
      </c>
      <c r="P863" s="94" t="str">
        <f>IF(R863=0,"",IF(S863="","Sem MTR associado",IF(U863=0,"MTR inexistente",IF(C863="","Resíduo não identificado",IF(V863=0,"Resíduo fora do cadastro",IF(W863=0,"Quantidade inválida",IF(H863="","Unidade não informada",IF(NOT(ISNUMBER(I863)),"Unidade a conferir",IF(AND(AH863=1,K863&lt;&gt;"Sim"),"Possível duplicidade",IF(Z863=1,"MTR cancelado",IF(AC863&gt;0,"Recebimento com alerta",IF(AA863=0,"Aguardando recebimento",IF(AB863&lt;AA863,"Recebimento a conferir",IF(AM863=1,"Quantidade a revisar",IF(AF863&gt;0,"Vínculo a revisar",IF(AD863=0,"Aguardando CDF",IF(AN863=0,"Vínculo de CDF parcial",IF(AE863&lt;AD863,"CDF a conferir","Documentação conferida"))))))))))))))))))</f>
        <v/>
      </c>
      <c r="Q863" s="93" t="str">
        <f>IF(OR(R863=0,AA863=0),"",MAX(0,N(L863)-N(M863)))</f>
        <v/>
      </c>
      <c r="R863" s="96">
        <f>IF(COUNTA(B863:C863,G863:H863,J863:K863)&gt;0,1,0)</f>
        <v>0</v>
      </c>
      <c r="S863" s="96" t="str">
        <f>IF(B863="","",TRIM(LEFT(B863,FIND(" |",B863&amp;" |")-1)))</f>
        <v/>
      </c>
      <c r="T863" s="96" t="str">
        <f>IF(S863="","",IFERROR(MATCH(S863,'MTRs'!$A$6:$A$505,0),""))</f>
        <v/>
      </c>
      <c r="U863" s="96">
        <f>IF(T863="",0,IF(INDEX('MTRs'!$Z$6:$Z$505,T863)=1,1,0))</f>
        <v>0</v>
      </c>
      <c r="V863" s="96">
        <f>IF(C863="",0,IF(ISNUMBER(MATCH(C863,'CAD_RESÍDUOS'!$B$6:$B$205,0)),1,0))</f>
        <v>0</v>
      </c>
      <c r="W863" s="96">
        <f>IF(AND(ISNUMBER(G863),G863&gt;0),1,0)</f>
        <v>0</v>
      </c>
      <c r="X863" s="96" t="str">
        <f>IF(H863="","",IFERROR(IF(ISNUMBER(INDEX(cfg_fac,MATCH(H863,cfg_units,0))),IF(INDEX(cfg_fac,MATCH(H863,cfg_units,0))&gt;0,INDEX(cfg_fac,MATCH(H863,cfg_units,0)),""),""),""))</f>
        <v/>
      </c>
      <c r="Y863" s="96">
        <f>IF(AND(W863=1,ISNUMBER(I863)),1,0)</f>
        <v>0</v>
      </c>
      <c r="Z863" s="96">
        <f>IF(U863=1,INDEX('MTRs'!$AA$6:$AA$505,T863),0)</f>
        <v>0</v>
      </c>
      <c r="AA863" s="96">
        <f>IF(R863=0,0,COUNTIFS('RECEBIMENTOS'!$R$6:$R$1005,A863,'RECEBIMENTOS'!$Q$6:$Q$1005,1))</f>
        <v>0</v>
      </c>
      <c r="AB863" s="96">
        <f>IF(R863=0,0,COUNTIFS('RECEBIMENTOS'!$R$6:$R$1005,A863,'RECEBIMENTOS'!$Z$6:$Z$1005,1))</f>
        <v>0</v>
      </c>
      <c r="AC863" s="96">
        <f>IF(R863=0,0,COUNTIFS('RECEBIMENTOS'!$R$6:$R$1005,A863,'RECEBIMENTOS'!$Y$6:$Y$1005,1))</f>
        <v>0</v>
      </c>
      <c r="AD863" s="96">
        <f>IF(R863=0,0,COUNTIFS('VÍNCULOS_CDF'!$R$6:$R$1005,A863,'VÍNCULOS_CDF'!$N$6:$N$1005,1))</f>
        <v>0</v>
      </c>
      <c r="AE863" s="96">
        <f>IF(R863=0,0,COUNTIFS('VÍNCULOS_CDF'!$R$6:$R$1005,A863,'VÍNCULOS_CDF'!$AA$6:$AA$1005,1))</f>
        <v>0</v>
      </c>
      <c r="AF863" s="96">
        <f>IF(R863=0,0,COUNTIFS('VÍNCULOS_CDF'!$R$6:$R$1005,A863,'VÍNCULOS_CDF'!$Y$6:$Y$1005,1))</f>
        <v>0</v>
      </c>
      <c r="AG863" s="96" t="str">
        <f>IF(AND(R863=1,S863&lt;&gt;"",C863&lt;&gt;""),S863&amp;"|"&amp;C863&amp;"|"&amp;G863&amp;"|"&amp;H863,"")</f>
        <v/>
      </c>
      <c r="AH863" s="96">
        <f>IF(AG863="",0,IF(SUMPRODUCT(--($AG$6:$AG$1005=AG863))&gt;1,1,0))</f>
        <v>0</v>
      </c>
      <c r="AI863" s="96">
        <f>IF(R863=0,0,IF(OR(U863=0,V863=0,Y863=0,AND(AH863=1,K863&lt;&gt;"Sim")),1,0))</f>
        <v>0</v>
      </c>
      <c r="AJ863" s="96">
        <f>IF(AND(R863=1,AA863&gt;0,AB863=AA863),1,0)</f>
        <v>0</v>
      </c>
      <c r="AK863" s="96">
        <f>IF(R863=0,0,IF(AA863&gt;0,N(L863),IF(ISNUMBER(I863),I863,0)))</f>
        <v>0</v>
      </c>
      <c r="AL863" s="96">
        <f>IF(R863=0,0,IF(AND(K863&lt;&gt;"Sim",N(M863)&gt;AK863+cfg_tol),1,0))</f>
        <v>0</v>
      </c>
      <c r="AM863" s="96">
        <f>IF(R863=0,0,IF(K863="Sim",0,IF(OR(AND(AA863&gt;0,ISNUMBER(I863),ABS(I863-N(L863))&gt;cfg_tol),AL863=1),1,0)))</f>
        <v>0</v>
      </c>
      <c r="AN863" s="96">
        <f>IF(AND(R863=1,N(M863)&gt;0,OR(N(M863)&gt;=AK863-cfg_tol,K863="Sim")),1,0)</f>
        <v>0</v>
      </c>
      <c r="AO863" s="96">
        <f>IF(AND(AN863=1,AD863&gt;0,AE863=AD863,AL863=0),1,0)</f>
        <v>0</v>
      </c>
      <c r="AP863" s="96">
        <f>IF(U863=0,0,IF(AND(INDEX('MTRs'!$AX$6:$AX$505,T863)=1,Z863=0,OR(f_res="",f_res="(Todos)",C863=f_res)),1,0))</f>
        <v>0</v>
      </c>
      <c r="AQ863" s="97" t="str">
        <f>IF(U863=0,"",INDEX('MTRs'!$AZ$6:$AZ$505,T863))</f>
        <v/>
      </c>
      <c r="AR863" s="96">
        <f>IF(U863=0,0,IF(AND(INDEX('MTRs'!$BA$6:$BA$505,T863)=1,Z863=0),1,0))</f>
        <v>0</v>
      </c>
      <c r="AS863" s="96" t="str">
        <f>IF(R863=1,A863&amp;" | MTR "&amp;IF(U863=1,INDEX('MTRs'!$B$6:$B$505,T863)&amp;"","?")&amp;" | "&amp;IF(C863="","(sem resíduo)",C863),"")</f>
        <v/>
      </c>
      <c r="AT863" s="96" t="str">
        <f>IF(R863=1,COUNTIF($R$6:R863,1),"")</f>
        <v/>
      </c>
      <c r="AU863" s="96" t="str">
        <f>IF(U863=1,INDEX('MTRs'!$I$6:$I$505,T863)&amp;"","")</f>
        <v/>
      </c>
    </row>
    <row r="864">
      <c r="A864" s="89" t="inlineStr">
        <is>
          <t>IT-000859</t>
        </is>
      </c>
      <c r="B864" s="91" t="n"/>
      <c r="C864" s="91" t="n"/>
      <c r="D864" s="94" t="str">
        <f>IF(OR(R864=0,V864=0),"",INDEX('CAD_RESÍDUOS'!$E$6:$E$205,MATCH(C864,'CAD_RESÍDUOS'!$B$6:$B$205,0))&amp;"")</f>
        <v/>
      </c>
      <c r="E864" s="94" t="str">
        <f>IF(OR(R864=0,V864=0),"",INDEX('CAD_RESÍDUOS'!$C$6:$C$205,MATCH(C864,'CAD_RESÍDUOS'!$B$6:$B$205,0))&amp;"")</f>
        <v/>
      </c>
      <c r="F864" s="94" t="str">
        <f>IF(OR(R864=0,V864=0),"",INDEX('CAD_RESÍDUOS'!$G$6:$G$205,MATCH(C864,'CAD_RESÍDUOS'!$B$6:$B$205,0))&amp;"")</f>
        <v/>
      </c>
      <c r="G864" s="98" t="n"/>
      <c r="H864" s="91" t="n"/>
      <c r="I864" s="93" t="str">
        <f>IF(R864=0,"",IF(NOT(ISNUMBER(G864)),"",IF(ISNUMBER(X864),G864*X864,"UNIDADE A CONFERIR")))</f>
        <v/>
      </c>
      <c r="J864" s="91" t="n"/>
      <c r="K864" s="91" t="n"/>
      <c r="L864" s="93" t="str">
        <f>IF(R864=0,"",SUMIFS('RECEBIMENTOS'!$H$6:$H$1005,'RECEBIMENTOS'!$R$6:$R$1005,A864,'RECEBIMENTOS'!$X$6:$X$1005,1))</f>
        <v/>
      </c>
      <c r="M864" s="93" t="str">
        <f>IF(R864=0,"",SUMIFS('VÍNCULOS_CDF'!$H$6:$H$1005,'VÍNCULOS_CDF'!$R$6:$R$1005,A864,'VÍNCULOS_CDF'!$V$6:$V$1005,1))</f>
        <v/>
      </c>
      <c r="N864" s="99" t="str">
        <f>IF(OR(R864=0,AA864=0,NOT(ISNUMBER(I864))),"",I864-N(L864))</f>
        <v/>
      </c>
      <c r="O864" s="100" t="str">
        <f>IF(OR(R864=0,AK864&lt;=0),"",N(M864)/AK864)</f>
        <v/>
      </c>
      <c r="P864" s="94" t="str">
        <f>IF(R864=0,"",IF(S864="","Sem MTR associado",IF(U864=0,"MTR inexistente",IF(C864="","Resíduo não identificado",IF(V864=0,"Resíduo fora do cadastro",IF(W864=0,"Quantidade inválida",IF(H864="","Unidade não informada",IF(NOT(ISNUMBER(I864)),"Unidade a conferir",IF(AND(AH864=1,K864&lt;&gt;"Sim"),"Possível duplicidade",IF(Z864=1,"MTR cancelado",IF(AC864&gt;0,"Recebimento com alerta",IF(AA864=0,"Aguardando recebimento",IF(AB864&lt;AA864,"Recebimento a conferir",IF(AM864=1,"Quantidade a revisar",IF(AF864&gt;0,"Vínculo a revisar",IF(AD864=0,"Aguardando CDF",IF(AN864=0,"Vínculo de CDF parcial",IF(AE864&lt;AD864,"CDF a conferir","Documentação conferida"))))))))))))))))))</f>
        <v/>
      </c>
      <c r="Q864" s="93" t="str">
        <f>IF(OR(R864=0,AA864=0),"",MAX(0,N(L864)-N(M864)))</f>
        <v/>
      </c>
      <c r="R864" s="96">
        <f>IF(COUNTA(B864:C864,G864:H864,J864:K864)&gt;0,1,0)</f>
        <v>0</v>
      </c>
      <c r="S864" s="96" t="str">
        <f>IF(B864="","",TRIM(LEFT(B864,FIND(" |",B864&amp;" |")-1)))</f>
        <v/>
      </c>
      <c r="T864" s="96" t="str">
        <f>IF(S864="","",IFERROR(MATCH(S864,'MTRs'!$A$6:$A$505,0),""))</f>
        <v/>
      </c>
      <c r="U864" s="96">
        <f>IF(T864="",0,IF(INDEX('MTRs'!$Z$6:$Z$505,T864)=1,1,0))</f>
        <v>0</v>
      </c>
      <c r="V864" s="96">
        <f>IF(C864="",0,IF(ISNUMBER(MATCH(C864,'CAD_RESÍDUOS'!$B$6:$B$205,0)),1,0))</f>
        <v>0</v>
      </c>
      <c r="W864" s="96">
        <f>IF(AND(ISNUMBER(G864),G864&gt;0),1,0)</f>
        <v>0</v>
      </c>
      <c r="X864" s="96" t="str">
        <f>IF(H864="","",IFERROR(IF(ISNUMBER(INDEX(cfg_fac,MATCH(H864,cfg_units,0))),IF(INDEX(cfg_fac,MATCH(H864,cfg_units,0))&gt;0,INDEX(cfg_fac,MATCH(H864,cfg_units,0)),""),""),""))</f>
        <v/>
      </c>
      <c r="Y864" s="96">
        <f>IF(AND(W864=1,ISNUMBER(I864)),1,0)</f>
        <v>0</v>
      </c>
      <c r="Z864" s="96">
        <f>IF(U864=1,INDEX('MTRs'!$AA$6:$AA$505,T864),0)</f>
        <v>0</v>
      </c>
      <c r="AA864" s="96">
        <f>IF(R864=0,0,COUNTIFS('RECEBIMENTOS'!$R$6:$R$1005,A864,'RECEBIMENTOS'!$Q$6:$Q$1005,1))</f>
        <v>0</v>
      </c>
      <c r="AB864" s="96">
        <f>IF(R864=0,0,COUNTIFS('RECEBIMENTOS'!$R$6:$R$1005,A864,'RECEBIMENTOS'!$Z$6:$Z$1005,1))</f>
        <v>0</v>
      </c>
      <c r="AC864" s="96">
        <f>IF(R864=0,0,COUNTIFS('RECEBIMENTOS'!$R$6:$R$1005,A864,'RECEBIMENTOS'!$Y$6:$Y$1005,1))</f>
        <v>0</v>
      </c>
      <c r="AD864" s="96">
        <f>IF(R864=0,0,COUNTIFS('VÍNCULOS_CDF'!$R$6:$R$1005,A864,'VÍNCULOS_CDF'!$N$6:$N$1005,1))</f>
        <v>0</v>
      </c>
      <c r="AE864" s="96">
        <f>IF(R864=0,0,COUNTIFS('VÍNCULOS_CDF'!$R$6:$R$1005,A864,'VÍNCULOS_CDF'!$AA$6:$AA$1005,1))</f>
        <v>0</v>
      </c>
      <c r="AF864" s="96">
        <f>IF(R864=0,0,COUNTIFS('VÍNCULOS_CDF'!$R$6:$R$1005,A864,'VÍNCULOS_CDF'!$Y$6:$Y$1005,1))</f>
        <v>0</v>
      </c>
      <c r="AG864" s="96" t="str">
        <f>IF(AND(R864=1,S864&lt;&gt;"",C864&lt;&gt;""),S864&amp;"|"&amp;C864&amp;"|"&amp;G864&amp;"|"&amp;H864,"")</f>
        <v/>
      </c>
      <c r="AH864" s="96">
        <f>IF(AG864="",0,IF(SUMPRODUCT(--($AG$6:$AG$1005=AG864))&gt;1,1,0))</f>
        <v>0</v>
      </c>
      <c r="AI864" s="96">
        <f>IF(R864=0,0,IF(OR(U864=0,V864=0,Y864=0,AND(AH864=1,K864&lt;&gt;"Sim")),1,0))</f>
        <v>0</v>
      </c>
      <c r="AJ864" s="96">
        <f>IF(AND(R864=1,AA864&gt;0,AB864=AA864),1,0)</f>
        <v>0</v>
      </c>
      <c r="AK864" s="96">
        <f>IF(R864=0,0,IF(AA864&gt;0,N(L864),IF(ISNUMBER(I864),I864,0)))</f>
        <v>0</v>
      </c>
      <c r="AL864" s="96">
        <f>IF(R864=0,0,IF(AND(K864&lt;&gt;"Sim",N(M864)&gt;AK864+cfg_tol),1,0))</f>
        <v>0</v>
      </c>
      <c r="AM864" s="96">
        <f>IF(R864=0,0,IF(K864="Sim",0,IF(OR(AND(AA864&gt;0,ISNUMBER(I864),ABS(I864-N(L864))&gt;cfg_tol),AL864=1),1,0)))</f>
        <v>0</v>
      </c>
      <c r="AN864" s="96">
        <f>IF(AND(R864=1,N(M864)&gt;0,OR(N(M864)&gt;=AK864-cfg_tol,K864="Sim")),1,0)</f>
        <v>0</v>
      </c>
      <c r="AO864" s="96">
        <f>IF(AND(AN864=1,AD864&gt;0,AE864=AD864,AL864=0),1,0)</f>
        <v>0</v>
      </c>
      <c r="AP864" s="96">
        <f>IF(U864=0,0,IF(AND(INDEX('MTRs'!$AX$6:$AX$505,T864)=1,Z864=0,OR(f_res="",f_res="(Todos)",C864=f_res)),1,0))</f>
        <v>0</v>
      </c>
      <c r="AQ864" s="97" t="str">
        <f>IF(U864=0,"",INDEX('MTRs'!$AZ$6:$AZ$505,T864))</f>
        <v/>
      </c>
      <c r="AR864" s="96">
        <f>IF(U864=0,0,IF(AND(INDEX('MTRs'!$BA$6:$BA$505,T864)=1,Z864=0),1,0))</f>
        <v>0</v>
      </c>
      <c r="AS864" s="96" t="str">
        <f>IF(R864=1,A864&amp;" | MTR "&amp;IF(U864=1,INDEX('MTRs'!$B$6:$B$505,T864)&amp;"","?")&amp;" | "&amp;IF(C864="","(sem resíduo)",C864),"")</f>
        <v/>
      </c>
      <c r="AT864" s="96" t="str">
        <f>IF(R864=1,COUNTIF($R$6:R864,1),"")</f>
        <v/>
      </c>
      <c r="AU864" s="96" t="str">
        <f>IF(U864=1,INDEX('MTRs'!$I$6:$I$505,T864)&amp;"","")</f>
        <v/>
      </c>
    </row>
    <row r="865">
      <c r="A865" s="89" t="inlineStr">
        <is>
          <t>IT-000860</t>
        </is>
      </c>
      <c r="B865" s="91" t="n"/>
      <c r="C865" s="91" t="n"/>
      <c r="D865" s="94" t="str">
        <f>IF(OR(R865=0,V865=0),"",INDEX('CAD_RESÍDUOS'!$E$6:$E$205,MATCH(C865,'CAD_RESÍDUOS'!$B$6:$B$205,0))&amp;"")</f>
        <v/>
      </c>
      <c r="E865" s="94" t="str">
        <f>IF(OR(R865=0,V865=0),"",INDEX('CAD_RESÍDUOS'!$C$6:$C$205,MATCH(C865,'CAD_RESÍDUOS'!$B$6:$B$205,0))&amp;"")</f>
        <v/>
      </c>
      <c r="F865" s="94" t="str">
        <f>IF(OR(R865=0,V865=0),"",INDEX('CAD_RESÍDUOS'!$G$6:$G$205,MATCH(C865,'CAD_RESÍDUOS'!$B$6:$B$205,0))&amp;"")</f>
        <v/>
      </c>
      <c r="G865" s="98" t="n"/>
      <c r="H865" s="91" t="n"/>
      <c r="I865" s="93" t="str">
        <f>IF(R865=0,"",IF(NOT(ISNUMBER(G865)),"",IF(ISNUMBER(X865),G865*X865,"UNIDADE A CONFERIR")))</f>
        <v/>
      </c>
      <c r="J865" s="91" t="n"/>
      <c r="K865" s="91" t="n"/>
      <c r="L865" s="93" t="str">
        <f>IF(R865=0,"",SUMIFS('RECEBIMENTOS'!$H$6:$H$1005,'RECEBIMENTOS'!$R$6:$R$1005,A865,'RECEBIMENTOS'!$X$6:$X$1005,1))</f>
        <v/>
      </c>
      <c r="M865" s="93" t="str">
        <f>IF(R865=0,"",SUMIFS('VÍNCULOS_CDF'!$H$6:$H$1005,'VÍNCULOS_CDF'!$R$6:$R$1005,A865,'VÍNCULOS_CDF'!$V$6:$V$1005,1))</f>
        <v/>
      </c>
      <c r="N865" s="99" t="str">
        <f>IF(OR(R865=0,AA865=0,NOT(ISNUMBER(I865))),"",I865-N(L865))</f>
        <v/>
      </c>
      <c r="O865" s="100" t="str">
        <f>IF(OR(R865=0,AK865&lt;=0),"",N(M865)/AK865)</f>
        <v/>
      </c>
      <c r="P865" s="94" t="str">
        <f>IF(R865=0,"",IF(S865="","Sem MTR associado",IF(U865=0,"MTR inexistente",IF(C865="","Resíduo não identificado",IF(V865=0,"Resíduo fora do cadastro",IF(W865=0,"Quantidade inválida",IF(H865="","Unidade não informada",IF(NOT(ISNUMBER(I865)),"Unidade a conferir",IF(AND(AH865=1,K865&lt;&gt;"Sim"),"Possível duplicidade",IF(Z865=1,"MTR cancelado",IF(AC865&gt;0,"Recebimento com alerta",IF(AA865=0,"Aguardando recebimento",IF(AB865&lt;AA865,"Recebimento a conferir",IF(AM865=1,"Quantidade a revisar",IF(AF865&gt;0,"Vínculo a revisar",IF(AD865=0,"Aguardando CDF",IF(AN865=0,"Vínculo de CDF parcial",IF(AE865&lt;AD865,"CDF a conferir","Documentação conferida"))))))))))))))))))</f>
        <v/>
      </c>
      <c r="Q865" s="93" t="str">
        <f>IF(OR(R865=0,AA865=0),"",MAX(0,N(L865)-N(M865)))</f>
        <v/>
      </c>
      <c r="R865" s="96">
        <f>IF(COUNTA(B865:C865,G865:H865,J865:K865)&gt;0,1,0)</f>
        <v>0</v>
      </c>
      <c r="S865" s="96" t="str">
        <f>IF(B865="","",TRIM(LEFT(B865,FIND(" |",B865&amp;" |")-1)))</f>
        <v/>
      </c>
      <c r="T865" s="96" t="str">
        <f>IF(S865="","",IFERROR(MATCH(S865,'MTRs'!$A$6:$A$505,0),""))</f>
        <v/>
      </c>
      <c r="U865" s="96">
        <f>IF(T865="",0,IF(INDEX('MTRs'!$Z$6:$Z$505,T865)=1,1,0))</f>
        <v>0</v>
      </c>
      <c r="V865" s="96">
        <f>IF(C865="",0,IF(ISNUMBER(MATCH(C865,'CAD_RESÍDUOS'!$B$6:$B$205,0)),1,0))</f>
        <v>0</v>
      </c>
      <c r="W865" s="96">
        <f>IF(AND(ISNUMBER(G865),G865&gt;0),1,0)</f>
        <v>0</v>
      </c>
      <c r="X865" s="96" t="str">
        <f>IF(H865="","",IFERROR(IF(ISNUMBER(INDEX(cfg_fac,MATCH(H865,cfg_units,0))),IF(INDEX(cfg_fac,MATCH(H865,cfg_units,0))&gt;0,INDEX(cfg_fac,MATCH(H865,cfg_units,0)),""),""),""))</f>
        <v/>
      </c>
      <c r="Y865" s="96">
        <f>IF(AND(W865=1,ISNUMBER(I865)),1,0)</f>
        <v>0</v>
      </c>
      <c r="Z865" s="96">
        <f>IF(U865=1,INDEX('MTRs'!$AA$6:$AA$505,T865),0)</f>
        <v>0</v>
      </c>
      <c r="AA865" s="96">
        <f>IF(R865=0,0,COUNTIFS('RECEBIMENTOS'!$R$6:$R$1005,A865,'RECEBIMENTOS'!$Q$6:$Q$1005,1))</f>
        <v>0</v>
      </c>
      <c r="AB865" s="96">
        <f>IF(R865=0,0,COUNTIFS('RECEBIMENTOS'!$R$6:$R$1005,A865,'RECEBIMENTOS'!$Z$6:$Z$1005,1))</f>
        <v>0</v>
      </c>
      <c r="AC865" s="96">
        <f>IF(R865=0,0,COUNTIFS('RECEBIMENTOS'!$R$6:$R$1005,A865,'RECEBIMENTOS'!$Y$6:$Y$1005,1))</f>
        <v>0</v>
      </c>
      <c r="AD865" s="96">
        <f>IF(R865=0,0,COUNTIFS('VÍNCULOS_CDF'!$R$6:$R$1005,A865,'VÍNCULOS_CDF'!$N$6:$N$1005,1))</f>
        <v>0</v>
      </c>
      <c r="AE865" s="96">
        <f>IF(R865=0,0,COUNTIFS('VÍNCULOS_CDF'!$R$6:$R$1005,A865,'VÍNCULOS_CDF'!$AA$6:$AA$1005,1))</f>
        <v>0</v>
      </c>
      <c r="AF865" s="96">
        <f>IF(R865=0,0,COUNTIFS('VÍNCULOS_CDF'!$R$6:$R$1005,A865,'VÍNCULOS_CDF'!$Y$6:$Y$1005,1))</f>
        <v>0</v>
      </c>
      <c r="AG865" s="96" t="str">
        <f>IF(AND(R865=1,S865&lt;&gt;"",C865&lt;&gt;""),S865&amp;"|"&amp;C865&amp;"|"&amp;G865&amp;"|"&amp;H865,"")</f>
        <v/>
      </c>
      <c r="AH865" s="96">
        <f>IF(AG865="",0,IF(SUMPRODUCT(--($AG$6:$AG$1005=AG865))&gt;1,1,0))</f>
        <v>0</v>
      </c>
      <c r="AI865" s="96">
        <f>IF(R865=0,0,IF(OR(U865=0,V865=0,Y865=0,AND(AH865=1,K865&lt;&gt;"Sim")),1,0))</f>
        <v>0</v>
      </c>
      <c r="AJ865" s="96">
        <f>IF(AND(R865=1,AA865&gt;0,AB865=AA865),1,0)</f>
        <v>0</v>
      </c>
      <c r="AK865" s="96">
        <f>IF(R865=0,0,IF(AA865&gt;0,N(L865),IF(ISNUMBER(I865),I865,0)))</f>
        <v>0</v>
      </c>
      <c r="AL865" s="96">
        <f>IF(R865=0,0,IF(AND(K865&lt;&gt;"Sim",N(M865)&gt;AK865+cfg_tol),1,0))</f>
        <v>0</v>
      </c>
      <c r="AM865" s="96">
        <f>IF(R865=0,0,IF(K865="Sim",0,IF(OR(AND(AA865&gt;0,ISNUMBER(I865),ABS(I865-N(L865))&gt;cfg_tol),AL865=1),1,0)))</f>
        <v>0</v>
      </c>
      <c r="AN865" s="96">
        <f>IF(AND(R865=1,N(M865)&gt;0,OR(N(M865)&gt;=AK865-cfg_tol,K865="Sim")),1,0)</f>
        <v>0</v>
      </c>
      <c r="AO865" s="96">
        <f>IF(AND(AN865=1,AD865&gt;0,AE865=AD865,AL865=0),1,0)</f>
        <v>0</v>
      </c>
      <c r="AP865" s="96">
        <f>IF(U865=0,0,IF(AND(INDEX('MTRs'!$AX$6:$AX$505,T865)=1,Z865=0,OR(f_res="",f_res="(Todos)",C865=f_res)),1,0))</f>
        <v>0</v>
      </c>
      <c r="AQ865" s="97" t="str">
        <f>IF(U865=0,"",INDEX('MTRs'!$AZ$6:$AZ$505,T865))</f>
        <v/>
      </c>
      <c r="AR865" s="96">
        <f>IF(U865=0,0,IF(AND(INDEX('MTRs'!$BA$6:$BA$505,T865)=1,Z865=0),1,0))</f>
        <v>0</v>
      </c>
      <c r="AS865" s="96" t="str">
        <f>IF(R865=1,A865&amp;" | MTR "&amp;IF(U865=1,INDEX('MTRs'!$B$6:$B$505,T865)&amp;"","?")&amp;" | "&amp;IF(C865="","(sem resíduo)",C865),"")</f>
        <v/>
      </c>
      <c r="AT865" s="96" t="str">
        <f>IF(R865=1,COUNTIF($R$6:R865,1),"")</f>
        <v/>
      </c>
      <c r="AU865" s="96" t="str">
        <f>IF(U865=1,INDEX('MTRs'!$I$6:$I$505,T865)&amp;"","")</f>
        <v/>
      </c>
    </row>
    <row r="866">
      <c r="A866" s="89" t="inlineStr">
        <is>
          <t>IT-000861</t>
        </is>
      </c>
      <c r="B866" s="91" t="n"/>
      <c r="C866" s="91" t="n"/>
      <c r="D866" s="94" t="str">
        <f>IF(OR(R866=0,V866=0),"",INDEX('CAD_RESÍDUOS'!$E$6:$E$205,MATCH(C866,'CAD_RESÍDUOS'!$B$6:$B$205,0))&amp;"")</f>
        <v/>
      </c>
      <c r="E866" s="94" t="str">
        <f>IF(OR(R866=0,V866=0),"",INDEX('CAD_RESÍDUOS'!$C$6:$C$205,MATCH(C866,'CAD_RESÍDUOS'!$B$6:$B$205,0))&amp;"")</f>
        <v/>
      </c>
      <c r="F866" s="94" t="str">
        <f>IF(OR(R866=0,V866=0),"",INDEX('CAD_RESÍDUOS'!$G$6:$G$205,MATCH(C866,'CAD_RESÍDUOS'!$B$6:$B$205,0))&amp;"")</f>
        <v/>
      </c>
      <c r="G866" s="98" t="n"/>
      <c r="H866" s="91" t="n"/>
      <c r="I866" s="93" t="str">
        <f>IF(R866=0,"",IF(NOT(ISNUMBER(G866)),"",IF(ISNUMBER(X866),G866*X866,"UNIDADE A CONFERIR")))</f>
        <v/>
      </c>
      <c r="J866" s="91" t="n"/>
      <c r="K866" s="91" t="n"/>
      <c r="L866" s="93" t="str">
        <f>IF(R866=0,"",SUMIFS('RECEBIMENTOS'!$H$6:$H$1005,'RECEBIMENTOS'!$R$6:$R$1005,A866,'RECEBIMENTOS'!$X$6:$X$1005,1))</f>
        <v/>
      </c>
      <c r="M866" s="93" t="str">
        <f>IF(R866=0,"",SUMIFS('VÍNCULOS_CDF'!$H$6:$H$1005,'VÍNCULOS_CDF'!$R$6:$R$1005,A866,'VÍNCULOS_CDF'!$V$6:$V$1005,1))</f>
        <v/>
      </c>
      <c r="N866" s="99" t="str">
        <f>IF(OR(R866=0,AA866=0,NOT(ISNUMBER(I866))),"",I866-N(L866))</f>
        <v/>
      </c>
      <c r="O866" s="100" t="str">
        <f>IF(OR(R866=0,AK866&lt;=0),"",N(M866)/AK866)</f>
        <v/>
      </c>
      <c r="P866" s="94" t="str">
        <f>IF(R866=0,"",IF(S866="","Sem MTR associado",IF(U866=0,"MTR inexistente",IF(C866="","Resíduo não identificado",IF(V866=0,"Resíduo fora do cadastro",IF(W866=0,"Quantidade inválida",IF(H866="","Unidade não informada",IF(NOT(ISNUMBER(I866)),"Unidade a conferir",IF(AND(AH866=1,K866&lt;&gt;"Sim"),"Possível duplicidade",IF(Z866=1,"MTR cancelado",IF(AC866&gt;0,"Recebimento com alerta",IF(AA866=0,"Aguardando recebimento",IF(AB866&lt;AA866,"Recebimento a conferir",IF(AM866=1,"Quantidade a revisar",IF(AF866&gt;0,"Vínculo a revisar",IF(AD866=0,"Aguardando CDF",IF(AN866=0,"Vínculo de CDF parcial",IF(AE866&lt;AD866,"CDF a conferir","Documentação conferida"))))))))))))))))))</f>
        <v/>
      </c>
      <c r="Q866" s="93" t="str">
        <f>IF(OR(R866=0,AA866=0),"",MAX(0,N(L866)-N(M866)))</f>
        <v/>
      </c>
      <c r="R866" s="96">
        <f>IF(COUNTA(B866:C866,G866:H866,J866:K866)&gt;0,1,0)</f>
        <v>0</v>
      </c>
      <c r="S866" s="96" t="str">
        <f>IF(B866="","",TRIM(LEFT(B866,FIND(" |",B866&amp;" |")-1)))</f>
        <v/>
      </c>
      <c r="T866" s="96" t="str">
        <f>IF(S866="","",IFERROR(MATCH(S866,'MTRs'!$A$6:$A$505,0),""))</f>
        <v/>
      </c>
      <c r="U866" s="96">
        <f>IF(T866="",0,IF(INDEX('MTRs'!$Z$6:$Z$505,T866)=1,1,0))</f>
        <v>0</v>
      </c>
      <c r="V866" s="96">
        <f>IF(C866="",0,IF(ISNUMBER(MATCH(C866,'CAD_RESÍDUOS'!$B$6:$B$205,0)),1,0))</f>
        <v>0</v>
      </c>
      <c r="W866" s="96">
        <f>IF(AND(ISNUMBER(G866),G866&gt;0),1,0)</f>
        <v>0</v>
      </c>
      <c r="X866" s="96" t="str">
        <f>IF(H866="","",IFERROR(IF(ISNUMBER(INDEX(cfg_fac,MATCH(H866,cfg_units,0))),IF(INDEX(cfg_fac,MATCH(H866,cfg_units,0))&gt;0,INDEX(cfg_fac,MATCH(H866,cfg_units,0)),""),""),""))</f>
        <v/>
      </c>
      <c r="Y866" s="96">
        <f>IF(AND(W866=1,ISNUMBER(I866)),1,0)</f>
        <v>0</v>
      </c>
      <c r="Z866" s="96">
        <f>IF(U866=1,INDEX('MTRs'!$AA$6:$AA$505,T866),0)</f>
        <v>0</v>
      </c>
      <c r="AA866" s="96">
        <f>IF(R866=0,0,COUNTIFS('RECEBIMENTOS'!$R$6:$R$1005,A866,'RECEBIMENTOS'!$Q$6:$Q$1005,1))</f>
        <v>0</v>
      </c>
      <c r="AB866" s="96">
        <f>IF(R866=0,0,COUNTIFS('RECEBIMENTOS'!$R$6:$R$1005,A866,'RECEBIMENTOS'!$Z$6:$Z$1005,1))</f>
        <v>0</v>
      </c>
      <c r="AC866" s="96">
        <f>IF(R866=0,0,COUNTIFS('RECEBIMENTOS'!$R$6:$R$1005,A866,'RECEBIMENTOS'!$Y$6:$Y$1005,1))</f>
        <v>0</v>
      </c>
      <c r="AD866" s="96">
        <f>IF(R866=0,0,COUNTIFS('VÍNCULOS_CDF'!$R$6:$R$1005,A866,'VÍNCULOS_CDF'!$N$6:$N$1005,1))</f>
        <v>0</v>
      </c>
      <c r="AE866" s="96">
        <f>IF(R866=0,0,COUNTIFS('VÍNCULOS_CDF'!$R$6:$R$1005,A866,'VÍNCULOS_CDF'!$AA$6:$AA$1005,1))</f>
        <v>0</v>
      </c>
      <c r="AF866" s="96">
        <f>IF(R866=0,0,COUNTIFS('VÍNCULOS_CDF'!$R$6:$R$1005,A866,'VÍNCULOS_CDF'!$Y$6:$Y$1005,1))</f>
        <v>0</v>
      </c>
      <c r="AG866" s="96" t="str">
        <f>IF(AND(R866=1,S866&lt;&gt;"",C866&lt;&gt;""),S866&amp;"|"&amp;C866&amp;"|"&amp;G866&amp;"|"&amp;H866,"")</f>
        <v/>
      </c>
      <c r="AH866" s="96">
        <f>IF(AG866="",0,IF(SUMPRODUCT(--($AG$6:$AG$1005=AG866))&gt;1,1,0))</f>
        <v>0</v>
      </c>
      <c r="AI866" s="96">
        <f>IF(R866=0,0,IF(OR(U866=0,V866=0,Y866=0,AND(AH866=1,K866&lt;&gt;"Sim")),1,0))</f>
        <v>0</v>
      </c>
      <c r="AJ866" s="96">
        <f>IF(AND(R866=1,AA866&gt;0,AB866=AA866),1,0)</f>
        <v>0</v>
      </c>
      <c r="AK866" s="96">
        <f>IF(R866=0,0,IF(AA866&gt;0,N(L866),IF(ISNUMBER(I866),I866,0)))</f>
        <v>0</v>
      </c>
      <c r="AL866" s="96">
        <f>IF(R866=0,0,IF(AND(K866&lt;&gt;"Sim",N(M866)&gt;AK866+cfg_tol),1,0))</f>
        <v>0</v>
      </c>
      <c r="AM866" s="96">
        <f>IF(R866=0,0,IF(K866="Sim",0,IF(OR(AND(AA866&gt;0,ISNUMBER(I866),ABS(I866-N(L866))&gt;cfg_tol),AL866=1),1,0)))</f>
        <v>0</v>
      </c>
      <c r="AN866" s="96">
        <f>IF(AND(R866=1,N(M866)&gt;0,OR(N(M866)&gt;=AK866-cfg_tol,K866="Sim")),1,0)</f>
        <v>0</v>
      </c>
      <c r="AO866" s="96">
        <f>IF(AND(AN866=1,AD866&gt;0,AE866=AD866,AL866=0),1,0)</f>
        <v>0</v>
      </c>
      <c r="AP866" s="96">
        <f>IF(U866=0,0,IF(AND(INDEX('MTRs'!$AX$6:$AX$505,T866)=1,Z866=0,OR(f_res="",f_res="(Todos)",C866=f_res)),1,0))</f>
        <v>0</v>
      </c>
      <c r="AQ866" s="97" t="str">
        <f>IF(U866=0,"",INDEX('MTRs'!$AZ$6:$AZ$505,T866))</f>
        <v/>
      </c>
      <c r="AR866" s="96">
        <f>IF(U866=0,0,IF(AND(INDEX('MTRs'!$BA$6:$BA$505,T866)=1,Z866=0),1,0))</f>
        <v>0</v>
      </c>
      <c r="AS866" s="96" t="str">
        <f>IF(R866=1,A866&amp;" | MTR "&amp;IF(U866=1,INDEX('MTRs'!$B$6:$B$505,T866)&amp;"","?")&amp;" | "&amp;IF(C866="","(sem resíduo)",C866),"")</f>
        <v/>
      </c>
      <c r="AT866" s="96" t="str">
        <f>IF(R866=1,COUNTIF($R$6:R866,1),"")</f>
        <v/>
      </c>
      <c r="AU866" s="96" t="str">
        <f>IF(U866=1,INDEX('MTRs'!$I$6:$I$505,T866)&amp;"","")</f>
        <v/>
      </c>
    </row>
    <row r="867">
      <c r="A867" s="89" t="inlineStr">
        <is>
          <t>IT-000862</t>
        </is>
      </c>
      <c r="B867" s="91" t="n"/>
      <c r="C867" s="91" t="n"/>
      <c r="D867" s="94" t="str">
        <f>IF(OR(R867=0,V867=0),"",INDEX('CAD_RESÍDUOS'!$E$6:$E$205,MATCH(C867,'CAD_RESÍDUOS'!$B$6:$B$205,0))&amp;"")</f>
        <v/>
      </c>
      <c r="E867" s="94" t="str">
        <f>IF(OR(R867=0,V867=0),"",INDEX('CAD_RESÍDUOS'!$C$6:$C$205,MATCH(C867,'CAD_RESÍDUOS'!$B$6:$B$205,0))&amp;"")</f>
        <v/>
      </c>
      <c r="F867" s="94" t="str">
        <f>IF(OR(R867=0,V867=0),"",INDEX('CAD_RESÍDUOS'!$G$6:$G$205,MATCH(C867,'CAD_RESÍDUOS'!$B$6:$B$205,0))&amp;"")</f>
        <v/>
      </c>
      <c r="G867" s="98" t="n"/>
      <c r="H867" s="91" t="n"/>
      <c r="I867" s="93" t="str">
        <f>IF(R867=0,"",IF(NOT(ISNUMBER(G867)),"",IF(ISNUMBER(X867),G867*X867,"UNIDADE A CONFERIR")))</f>
        <v/>
      </c>
      <c r="J867" s="91" t="n"/>
      <c r="K867" s="91" t="n"/>
      <c r="L867" s="93" t="str">
        <f>IF(R867=0,"",SUMIFS('RECEBIMENTOS'!$H$6:$H$1005,'RECEBIMENTOS'!$R$6:$R$1005,A867,'RECEBIMENTOS'!$X$6:$X$1005,1))</f>
        <v/>
      </c>
      <c r="M867" s="93" t="str">
        <f>IF(R867=0,"",SUMIFS('VÍNCULOS_CDF'!$H$6:$H$1005,'VÍNCULOS_CDF'!$R$6:$R$1005,A867,'VÍNCULOS_CDF'!$V$6:$V$1005,1))</f>
        <v/>
      </c>
      <c r="N867" s="99" t="str">
        <f>IF(OR(R867=0,AA867=0,NOT(ISNUMBER(I867))),"",I867-N(L867))</f>
        <v/>
      </c>
      <c r="O867" s="100" t="str">
        <f>IF(OR(R867=0,AK867&lt;=0),"",N(M867)/AK867)</f>
        <v/>
      </c>
      <c r="P867" s="94" t="str">
        <f>IF(R867=0,"",IF(S867="","Sem MTR associado",IF(U867=0,"MTR inexistente",IF(C867="","Resíduo não identificado",IF(V867=0,"Resíduo fora do cadastro",IF(W867=0,"Quantidade inválida",IF(H867="","Unidade não informada",IF(NOT(ISNUMBER(I867)),"Unidade a conferir",IF(AND(AH867=1,K867&lt;&gt;"Sim"),"Possível duplicidade",IF(Z867=1,"MTR cancelado",IF(AC867&gt;0,"Recebimento com alerta",IF(AA867=0,"Aguardando recebimento",IF(AB867&lt;AA867,"Recebimento a conferir",IF(AM867=1,"Quantidade a revisar",IF(AF867&gt;0,"Vínculo a revisar",IF(AD867=0,"Aguardando CDF",IF(AN867=0,"Vínculo de CDF parcial",IF(AE867&lt;AD867,"CDF a conferir","Documentação conferida"))))))))))))))))))</f>
        <v/>
      </c>
      <c r="Q867" s="93" t="str">
        <f>IF(OR(R867=0,AA867=0),"",MAX(0,N(L867)-N(M867)))</f>
        <v/>
      </c>
      <c r="R867" s="96">
        <f>IF(COUNTA(B867:C867,G867:H867,J867:K867)&gt;0,1,0)</f>
        <v>0</v>
      </c>
      <c r="S867" s="96" t="str">
        <f>IF(B867="","",TRIM(LEFT(B867,FIND(" |",B867&amp;" |")-1)))</f>
        <v/>
      </c>
      <c r="T867" s="96" t="str">
        <f>IF(S867="","",IFERROR(MATCH(S867,'MTRs'!$A$6:$A$505,0),""))</f>
        <v/>
      </c>
      <c r="U867" s="96">
        <f>IF(T867="",0,IF(INDEX('MTRs'!$Z$6:$Z$505,T867)=1,1,0))</f>
        <v>0</v>
      </c>
      <c r="V867" s="96">
        <f>IF(C867="",0,IF(ISNUMBER(MATCH(C867,'CAD_RESÍDUOS'!$B$6:$B$205,0)),1,0))</f>
        <v>0</v>
      </c>
      <c r="W867" s="96">
        <f>IF(AND(ISNUMBER(G867),G867&gt;0),1,0)</f>
        <v>0</v>
      </c>
      <c r="X867" s="96" t="str">
        <f>IF(H867="","",IFERROR(IF(ISNUMBER(INDEX(cfg_fac,MATCH(H867,cfg_units,0))),IF(INDEX(cfg_fac,MATCH(H867,cfg_units,0))&gt;0,INDEX(cfg_fac,MATCH(H867,cfg_units,0)),""),""),""))</f>
        <v/>
      </c>
      <c r="Y867" s="96">
        <f>IF(AND(W867=1,ISNUMBER(I867)),1,0)</f>
        <v>0</v>
      </c>
      <c r="Z867" s="96">
        <f>IF(U867=1,INDEX('MTRs'!$AA$6:$AA$505,T867),0)</f>
        <v>0</v>
      </c>
      <c r="AA867" s="96">
        <f>IF(R867=0,0,COUNTIFS('RECEBIMENTOS'!$R$6:$R$1005,A867,'RECEBIMENTOS'!$Q$6:$Q$1005,1))</f>
        <v>0</v>
      </c>
      <c r="AB867" s="96">
        <f>IF(R867=0,0,COUNTIFS('RECEBIMENTOS'!$R$6:$R$1005,A867,'RECEBIMENTOS'!$Z$6:$Z$1005,1))</f>
        <v>0</v>
      </c>
      <c r="AC867" s="96">
        <f>IF(R867=0,0,COUNTIFS('RECEBIMENTOS'!$R$6:$R$1005,A867,'RECEBIMENTOS'!$Y$6:$Y$1005,1))</f>
        <v>0</v>
      </c>
      <c r="AD867" s="96">
        <f>IF(R867=0,0,COUNTIFS('VÍNCULOS_CDF'!$R$6:$R$1005,A867,'VÍNCULOS_CDF'!$N$6:$N$1005,1))</f>
        <v>0</v>
      </c>
      <c r="AE867" s="96">
        <f>IF(R867=0,0,COUNTIFS('VÍNCULOS_CDF'!$R$6:$R$1005,A867,'VÍNCULOS_CDF'!$AA$6:$AA$1005,1))</f>
        <v>0</v>
      </c>
      <c r="AF867" s="96">
        <f>IF(R867=0,0,COUNTIFS('VÍNCULOS_CDF'!$R$6:$R$1005,A867,'VÍNCULOS_CDF'!$Y$6:$Y$1005,1))</f>
        <v>0</v>
      </c>
      <c r="AG867" s="96" t="str">
        <f>IF(AND(R867=1,S867&lt;&gt;"",C867&lt;&gt;""),S867&amp;"|"&amp;C867&amp;"|"&amp;G867&amp;"|"&amp;H867,"")</f>
        <v/>
      </c>
      <c r="AH867" s="96">
        <f>IF(AG867="",0,IF(SUMPRODUCT(--($AG$6:$AG$1005=AG867))&gt;1,1,0))</f>
        <v>0</v>
      </c>
      <c r="AI867" s="96">
        <f>IF(R867=0,0,IF(OR(U867=0,V867=0,Y867=0,AND(AH867=1,K867&lt;&gt;"Sim")),1,0))</f>
        <v>0</v>
      </c>
      <c r="AJ867" s="96">
        <f>IF(AND(R867=1,AA867&gt;0,AB867=AA867),1,0)</f>
        <v>0</v>
      </c>
      <c r="AK867" s="96">
        <f>IF(R867=0,0,IF(AA867&gt;0,N(L867),IF(ISNUMBER(I867),I867,0)))</f>
        <v>0</v>
      </c>
      <c r="AL867" s="96">
        <f>IF(R867=0,0,IF(AND(K867&lt;&gt;"Sim",N(M867)&gt;AK867+cfg_tol),1,0))</f>
        <v>0</v>
      </c>
      <c r="AM867" s="96">
        <f>IF(R867=0,0,IF(K867="Sim",0,IF(OR(AND(AA867&gt;0,ISNUMBER(I867),ABS(I867-N(L867))&gt;cfg_tol),AL867=1),1,0)))</f>
        <v>0</v>
      </c>
      <c r="AN867" s="96">
        <f>IF(AND(R867=1,N(M867)&gt;0,OR(N(M867)&gt;=AK867-cfg_tol,K867="Sim")),1,0)</f>
        <v>0</v>
      </c>
      <c r="AO867" s="96">
        <f>IF(AND(AN867=1,AD867&gt;0,AE867=AD867,AL867=0),1,0)</f>
        <v>0</v>
      </c>
      <c r="AP867" s="96">
        <f>IF(U867=0,0,IF(AND(INDEX('MTRs'!$AX$6:$AX$505,T867)=1,Z867=0,OR(f_res="",f_res="(Todos)",C867=f_res)),1,0))</f>
        <v>0</v>
      </c>
      <c r="AQ867" s="97" t="str">
        <f>IF(U867=0,"",INDEX('MTRs'!$AZ$6:$AZ$505,T867))</f>
        <v/>
      </c>
      <c r="AR867" s="96">
        <f>IF(U867=0,0,IF(AND(INDEX('MTRs'!$BA$6:$BA$505,T867)=1,Z867=0),1,0))</f>
        <v>0</v>
      </c>
      <c r="AS867" s="96" t="str">
        <f>IF(R867=1,A867&amp;" | MTR "&amp;IF(U867=1,INDEX('MTRs'!$B$6:$B$505,T867)&amp;"","?")&amp;" | "&amp;IF(C867="","(sem resíduo)",C867),"")</f>
        <v/>
      </c>
      <c r="AT867" s="96" t="str">
        <f>IF(R867=1,COUNTIF($R$6:R867,1),"")</f>
        <v/>
      </c>
      <c r="AU867" s="96" t="str">
        <f>IF(U867=1,INDEX('MTRs'!$I$6:$I$505,T867)&amp;"","")</f>
        <v/>
      </c>
    </row>
    <row r="868">
      <c r="A868" s="89" t="inlineStr">
        <is>
          <t>IT-000863</t>
        </is>
      </c>
      <c r="B868" s="91" t="n"/>
      <c r="C868" s="91" t="n"/>
      <c r="D868" s="94" t="str">
        <f>IF(OR(R868=0,V868=0),"",INDEX('CAD_RESÍDUOS'!$E$6:$E$205,MATCH(C868,'CAD_RESÍDUOS'!$B$6:$B$205,0))&amp;"")</f>
        <v/>
      </c>
      <c r="E868" s="94" t="str">
        <f>IF(OR(R868=0,V868=0),"",INDEX('CAD_RESÍDUOS'!$C$6:$C$205,MATCH(C868,'CAD_RESÍDUOS'!$B$6:$B$205,0))&amp;"")</f>
        <v/>
      </c>
      <c r="F868" s="94" t="str">
        <f>IF(OR(R868=0,V868=0),"",INDEX('CAD_RESÍDUOS'!$G$6:$G$205,MATCH(C868,'CAD_RESÍDUOS'!$B$6:$B$205,0))&amp;"")</f>
        <v/>
      </c>
      <c r="G868" s="98" t="n"/>
      <c r="H868" s="91" t="n"/>
      <c r="I868" s="93" t="str">
        <f>IF(R868=0,"",IF(NOT(ISNUMBER(G868)),"",IF(ISNUMBER(X868),G868*X868,"UNIDADE A CONFERIR")))</f>
        <v/>
      </c>
      <c r="J868" s="91" t="n"/>
      <c r="K868" s="91" t="n"/>
      <c r="L868" s="93" t="str">
        <f>IF(R868=0,"",SUMIFS('RECEBIMENTOS'!$H$6:$H$1005,'RECEBIMENTOS'!$R$6:$R$1005,A868,'RECEBIMENTOS'!$X$6:$X$1005,1))</f>
        <v/>
      </c>
      <c r="M868" s="93" t="str">
        <f>IF(R868=0,"",SUMIFS('VÍNCULOS_CDF'!$H$6:$H$1005,'VÍNCULOS_CDF'!$R$6:$R$1005,A868,'VÍNCULOS_CDF'!$V$6:$V$1005,1))</f>
        <v/>
      </c>
      <c r="N868" s="99" t="str">
        <f>IF(OR(R868=0,AA868=0,NOT(ISNUMBER(I868))),"",I868-N(L868))</f>
        <v/>
      </c>
      <c r="O868" s="100" t="str">
        <f>IF(OR(R868=0,AK868&lt;=0),"",N(M868)/AK868)</f>
        <v/>
      </c>
      <c r="P868" s="94" t="str">
        <f>IF(R868=0,"",IF(S868="","Sem MTR associado",IF(U868=0,"MTR inexistente",IF(C868="","Resíduo não identificado",IF(V868=0,"Resíduo fora do cadastro",IF(W868=0,"Quantidade inválida",IF(H868="","Unidade não informada",IF(NOT(ISNUMBER(I868)),"Unidade a conferir",IF(AND(AH868=1,K868&lt;&gt;"Sim"),"Possível duplicidade",IF(Z868=1,"MTR cancelado",IF(AC868&gt;0,"Recebimento com alerta",IF(AA868=0,"Aguardando recebimento",IF(AB868&lt;AA868,"Recebimento a conferir",IF(AM868=1,"Quantidade a revisar",IF(AF868&gt;0,"Vínculo a revisar",IF(AD868=0,"Aguardando CDF",IF(AN868=0,"Vínculo de CDF parcial",IF(AE868&lt;AD868,"CDF a conferir","Documentação conferida"))))))))))))))))))</f>
        <v/>
      </c>
      <c r="Q868" s="93" t="str">
        <f>IF(OR(R868=0,AA868=0),"",MAX(0,N(L868)-N(M868)))</f>
        <v/>
      </c>
      <c r="R868" s="96">
        <f>IF(COUNTA(B868:C868,G868:H868,J868:K868)&gt;0,1,0)</f>
        <v>0</v>
      </c>
      <c r="S868" s="96" t="str">
        <f>IF(B868="","",TRIM(LEFT(B868,FIND(" |",B868&amp;" |")-1)))</f>
        <v/>
      </c>
      <c r="T868" s="96" t="str">
        <f>IF(S868="","",IFERROR(MATCH(S868,'MTRs'!$A$6:$A$505,0),""))</f>
        <v/>
      </c>
      <c r="U868" s="96">
        <f>IF(T868="",0,IF(INDEX('MTRs'!$Z$6:$Z$505,T868)=1,1,0))</f>
        <v>0</v>
      </c>
      <c r="V868" s="96">
        <f>IF(C868="",0,IF(ISNUMBER(MATCH(C868,'CAD_RESÍDUOS'!$B$6:$B$205,0)),1,0))</f>
        <v>0</v>
      </c>
      <c r="W868" s="96">
        <f>IF(AND(ISNUMBER(G868),G868&gt;0),1,0)</f>
        <v>0</v>
      </c>
      <c r="X868" s="96" t="str">
        <f>IF(H868="","",IFERROR(IF(ISNUMBER(INDEX(cfg_fac,MATCH(H868,cfg_units,0))),IF(INDEX(cfg_fac,MATCH(H868,cfg_units,0))&gt;0,INDEX(cfg_fac,MATCH(H868,cfg_units,0)),""),""),""))</f>
        <v/>
      </c>
      <c r="Y868" s="96">
        <f>IF(AND(W868=1,ISNUMBER(I868)),1,0)</f>
        <v>0</v>
      </c>
      <c r="Z868" s="96">
        <f>IF(U868=1,INDEX('MTRs'!$AA$6:$AA$505,T868),0)</f>
        <v>0</v>
      </c>
      <c r="AA868" s="96">
        <f>IF(R868=0,0,COUNTIFS('RECEBIMENTOS'!$R$6:$R$1005,A868,'RECEBIMENTOS'!$Q$6:$Q$1005,1))</f>
        <v>0</v>
      </c>
      <c r="AB868" s="96">
        <f>IF(R868=0,0,COUNTIFS('RECEBIMENTOS'!$R$6:$R$1005,A868,'RECEBIMENTOS'!$Z$6:$Z$1005,1))</f>
        <v>0</v>
      </c>
      <c r="AC868" s="96">
        <f>IF(R868=0,0,COUNTIFS('RECEBIMENTOS'!$R$6:$R$1005,A868,'RECEBIMENTOS'!$Y$6:$Y$1005,1))</f>
        <v>0</v>
      </c>
      <c r="AD868" s="96">
        <f>IF(R868=0,0,COUNTIFS('VÍNCULOS_CDF'!$R$6:$R$1005,A868,'VÍNCULOS_CDF'!$N$6:$N$1005,1))</f>
        <v>0</v>
      </c>
      <c r="AE868" s="96">
        <f>IF(R868=0,0,COUNTIFS('VÍNCULOS_CDF'!$R$6:$R$1005,A868,'VÍNCULOS_CDF'!$AA$6:$AA$1005,1))</f>
        <v>0</v>
      </c>
      <c r="AF868" s="96">
        <f>IF(R868=0,0,COUNTIFS('VÍNCULOS_CDF'!$R$6:$R$1005,A868,'VÍNCULOS_CDF'!$Y$6:$Y$1005,1))</f>
        <v>0</v>
      </c>
      <c r="AG868" s="96" t="str">
        <f>IF(AND(R868=1,S868&lt;&gt;"",C868&lt;&gt;""),S868&amp;"|"&amp;C868&amp;"|"&amp;G868&amp;"|"&amp;H868,"")</f>
        <v/>
      </c>
      <c r="AH868" s="96">
        <f>IF(AG868="",0,IF(SUMPRODUCT(--($AG$6:$AG$1005=AG868))&gt;1,1,0))</f>
        <v>0</v>
      </c>
      <c r="AI868" s="96">
        <f>IF(R868=0,0,IF(OR(U868=0,V868=0,Y868=0,AND(AH868=1,K868&lt;&gt;"Sim")),1,0))</f>
        <v>0</v>
      </c>
      <c r="AJ868" s="96">
        <f>IF(AND(R868=1,AA868&gt;0,AB868=AA868),1,0)</f>
        <v>0</v>
      </c>
      <c r="AK868" s="96">
        <f>IF(R868=0,0,IF(AA868&gt;0,N(L868),IF(ISNUMBER(I868),I868,0)))</f>
        <v>0</v>
      </c>
      <c r="AL868" s="96">
        <f>IF(R868=0,0,IF(AND(K868&lt;&gt;"Sim",N(M868)&gt;AK868+cfg_tol),1,0))</f>
        <v>0</v>
      </c>
      <c r="AM868" s="96">
        <f>IF(R868=0,0,IF(K868="Sim",0,IF(OR(AND(AA868&gt;0,ISNUMBER(I868),ABS(I868-N(L868))&gt;cfg_tol),AL868=1),1,0)))</f>
        <v>0</v>
      </c>
      <c r="AN868" s="96">
        <f>IF(AND(R868=1,N(M868)&gt;0,OR(N(M868)&gt;=AK868-cfg_tol,K868="Sim")),1,0)</f>
        <v>0</v>
      </c>
      <c r="AO868" s="96">
        <f>IF(AND(AN868=1,AD868&gt;0,AE868=AD868,AL868=0),1,0)</f>
        <v>0</v>
      </c>
      <c r="AP868" s="96">
        <f>IF(U868=0,0,IF(AND(INDEX('MTRs'!$AX$6:$AX$505,T868)=1,Z868=0,OR(f_res="",f_res="(Todos)",C868=f_res)),1,0))</f>
        <v>0</v>
      </c>
      <c r="AQ868" s="97" t="str">
        <f>IF(U868=0,"",INDEX('MTRs'!$AZ$6:$AZ$505,T868))</f>
        <v/>
      </c>
      <c r="AR868" s="96">
        <f>IF(U868=0,0,IF(AND(INDEX('MTRs'!$BA$6:$BA$505,T868)=1,Z868=0),1,0))</f>
        <v>0</v>
      </c>
      <c r="AS868" s="96" t="str">
        <f>IF(R868=1,A868&amp;" | MTR "&amp;IF(U868=1,INDEX('MTRs'!$B$6:$B$505,T868)&amp;"","?")&amp;" | "&amp;IF(C868="","(sem resíduo)",C868),"")</f>
        <v/>
      </c>
      <c r="AT868" s="96" t="str">
        <f>IF(R868=1,COUNTIF($R$6:R868,1),"")</f>
        <v/>
      </c>
      <c r="AU868" s="96" t="str">
        <f>IF(U868=1,INDEX('MTRs'!$I$6:$I$505,T868)&amp;"","")</f>
        <v/>
      </c>
    </row>
    <row r="869">
      <c r="A869" s="89" t="inlineStr">
        <is>
          <t>IT-000864</t>
        </is>
      </c>
      <c r="B869" s="91" t="n"/>
      <c r="C869" s="91" t="n"/>
      <c r="D869" s="94" t="str">
        <f>IF(OR(R869=0,V869=0),"",INDEX('CAD_RESÍDUOS'!$E$6:$E$205,MATCH(C869,'CAD_RESÍDUOS'!$B$6:$B$205,0))&amp;"")</f>
        <v/>
      </c>
      <c r="E869" s="94" t="str">
        <f>IF(OR(R869=0,V869=0),"",INDEX('CAD_RESÍDUOS'!$C$6:$C$205,MATCH(C869,'CAD_RESÍDUOS'!$B$6:$B$205,0))&amp;"")</f>
        <v/>
      </c>
      <c r="F869" s="94" t="str">
        <f>IF(OR(R869=0,V869=0),"",INDEX('CAD_RESÍDUOS'!$G$6:$G$205,MATCH(C869,'CAD_RESÍDUOS'!$B$6:$B$205,0))&amp;"")</f>
        <v/>
      </c>
      <c r="G869" s="98" t="n"/>
      <c r="H869" s="91" t="n"/>
      <c r="I869" s="93" t="str">
        <f>IF(R869=0,"",IF(NOT(ISNUMBER(G869)),"",IF(ISNUMBER(X869),G869*X869,"UNIDADE A CONFERIR")))</f>
        <v/>
      </c>
      <c r="J869" s="91" t="n"/>
      <c r="K869" s="91" t="n"/>
      <c r="L869" s="93" t="str">
        <f>IF(R869=0,"",SUMIFS('RECEBIMENTOS'!$H$6:$H$1005,'RECEBIMENTOS'!$R$6:$R$1005,A869,'RECEBIMENTOS'!$X$6:$X$1005,1))</f>
        <v/>
      </c>
      <c r="M869" s="93" t="str">
        <f>IF(R869=0,"",SUMIFS('VÍNCULOS_CDF'!$H$6:$H$1005,'VÍNCULOS_CDF'!$R$6:$R$1005,A869,'VÍNCULOS_CDF'!$V$6:$V$1005,1))</f>
        <v/>
      </c>
      <c r="N869" s="99" t="str">
        <f>IF(OR(R869=0,AA869=0,NOT(ISNUMBER(I869))),"",I869-N(L869))</f>
        <v/>
      </c>
      <c r="O869" s="100" t="str">
        <f>IF(OR(R869=0,AK869&lt;=0),"",N(M869)/AK869)</f>
        <v/>
      </c>
      <c r="P869" s="94" t="str">
        <f>IF(R869=0,"",IF(S869="","Sem MTR associado",IF(U869=0,"MTR inexistente",IF(C869="","Resíduo não identificado",IF(V869=0,"Resíduo fora do cadastro",IF(W869=0,"Quantidade inválida",IF(H869="","Unidade não informada",IF(NOT(ISNUMBER(I869)),"Unidade a conferir",IF(AND(AH869=1,K869&lt;&gt;"Sim"),"Possível duplicidade",IF(Z869=1,"MTR cancelado",IF(AC869&gt;0,"Recebimento com alerta",IF(AA869=0,"Aguardando recebimento",IF(AB869&lt;AA869,"Recebimento a conferir",IF(AM869=1,"Quantidade a revisar",IF(AF869&gt;0,"Vínculo a revisar",IF(AD869=0,"Aguardando CDF",IF(AN869=0,"Vínculo de CDF parcial",IF(AE869&lt;AD869,"CDF a conferir","Documentação conferida"))))))))))))))))))</f>
        <v/>
      </c>
      <c r="Q869" s="93" t="str">
        <f>IF(OR(R869=0,AA869=0),"",MAX(0,N(L869)-N(M869)))</f>
        <v/>
      </c>
      <c r="R869" s="96">
        <f>IF(COUNTA(B869:C869,G869:H869,J869:K869)&gt;0,1,0)</f>
        <v>0</v>
      </c>
      <c r="S869" s="96" t="str">
        <f>IF(B869="","",TRIM(LEFT(B869,FIND(" |",B869&amp;" |")-1)))</f>
        <v/>
      </c>
      <c r="T869" s="96" t="str">
        <f>IF(S869="","",IFERROR(MATCH(S869,'MTRs'!$A$6:$A$505,0),""))</f>
        <v/>
      </c>
      <c r="U869" s="96">
        <f>IF(T869="",0,IF(INDEX('MTRs'!$Z$6:$Z$505,T869)=1,1,0))</f>
        <v>0</v>
      </c>
      <c r="V869" s="96">
        <f>IF(C869="",0,IF(ISNUMBER(MATCH(C869,'CAD_RESÍDUOS'!$B$6:$B$205,0)),1,0))</f>
        <v>0</v>
      </c>
      <c r="W869" s="96">
        <f>IF(AND(ISNUMBER(G869),G869&gt;0),1,0)</f>
        <v>0</v>
      </c>
      <c r="X869" s="96" t="str">
        <f>IF(H869="","",IFERROR(IF(ISNUMBER(INDEX(cfg_fac,MATCH(H869,cfg_units,0))),IF(INDEX(cfg_fac,MATCH(H869,cfg_units,0))&gt;0,INDEX(cfg_fac,MATCH(H869,cfg_units,0)),""),""),""))</f>
        <v/>
      </c>
      <c r="Y869" s="96">
        <f>IF(AND(W869=1,ISNUMBER(I869)),1,0)</f>
        <v>0</v>
      </c>
      <c r="Z869" s="96">
        <f>IF(U869=1,INDEX('MTRs'!$AA$6:$AA$505,T869),0)</f>
        <v>0</v>
      </c>
      <c r="AA869" s="96">
        <f>IF(R869=0,0,COUNTIFS('RECEBIMENTOS'!$R$6:$R$1005,A869,'RECEBIMENTOS'!$Q$6:$Q$1005,1))</f>
        <v>0</v>
      </c>
      <c r="AB869" s="96">
        <f>IF(R869=0,0,COUNTIFS('RECEBIMENTOS'!$R$6:$R$1005,A869,'RECEBIMENTOS'!$Z$6:$Z$1005,1))</f>
        <v>0</v>
      </c>
      <c r="AC869" s="96">
        <f>IF(R869=0,0,COUNTIFS('RECEBIMENTOS'!$R$6:$R$1005,A869,'RECEBIMENTOS'!$Y$6:$Y$1005,1))</f>
        <v>0</v>
      </c>
      <c r="AD869" s="96">
        <f>IF(R869=0,0,COUNTIFS('VÍNCULOS_CDF'!$R$6:$R$1005,A869,'VÍNCULOS_CDF'!$N$6:$N$1005,1))</f>
        <v>0</v>
      </c>
      <c r="AE869" s="96">
        <f>IF(R869=0,0,COUNTIFS('VÍNCULOS_CDF'!$R$6:$R$1005,A869,'VÍNCULOS_CDF'!$AA$6:$AA$1005,1))</f>
        <v>0</v>
      </c>
      <c r="AF869" s="96">
        <f>IF(R869=0,0,COUNTIFS('VÍNCULOS_CDF'!$R$6:$R$1005,A869,'VÍNCULOS_CDF'!$Y$6:$Y$1005,1))</f>
        <v>0</v>
      </c>
      <c r="AG869" s="96" t="str">
        <f>IF(AND(R869=1,S869&lt;&gt;"",C869&lt;&gt;""),S869&amp;"|"&amp;C869&amp;"|"&amp;G869&amp;"|"&amp;H869,"")</f>
        <v/>
      </c>
      <c r="AH869" s="96">
        <f>IF(AG869="",0,IF(SUMPRODUCT(--($AG$6:$AG$1005=AG869))&gt;1,1,0))</f>
        <v>0</v>
      </c>
      <c r="AI869" s="96">
        <f>IF(R869=0,0,IF(OR(U869=0,V869=0,Y869=0,AND(AH869=1,K869&lt;&gt;"Sim")),1,0))</f>
        <v>0</v>
      </c>
      <c r="AJ869" s="96">
        <f>IF(AND(R869=1,AA869&gt;0,AB869=AA869),1,0)</f>
        <v>0</v>
      </c>
      <c r="AK869" s="96">
        <f>IF(R869=0,0,IF(AA869&gt;0,N(L869),IF(ISNUMBER(I869),I869,0)))</f>
        <v>0</v>
      </c>
      <c r="AL869" s="96">
        <f>IF(R869=0,0,IF(AND(K869&lt;&gt;"Sim",N(M869)&gt;AK869+cfg_tol),1,0))</f>
        <v>0</v>
      </c>
      <c r="AM869" s="96">
        <f>IF(R869=0,0,IF(K869="Sim",0,IF(OR(AND(AA869&gt;0,ISNUMBER(I869),ABS(I869-N(L869))&gt;cfg_tol),AL869=1),1,0)))</f>
        <v>0</v>
      </c>
      <c r="AN869" s="96">
        <f>IF(AND(R869=1,N(M869)&gt;0,OR(N(M869)&gt;=AK869-cfg_tol,K869="Sim")),1,0)</f>
        <v>0</v>
      </c>
      <c r="AO869" s="96">
        <f>IF(AND(AN869=1,AD869&gt;0,AE869=AD869,AL869=0),1,0)</f>
        <v>0</v>
      </c>
      <c r="AP869" s="96">
        <f>IF(U869=0,0,IF(AND(INDEX('MTRs'!$AX$6:$AX$505,T869)=1,Z869=0,OR(f_res="",f_res="(Todos)",C869=f_res)),1,0))</f>
        <v>0</v>
      </c>
      <c r="AQ869" s="97" t="str">
        <f>IF(U869=0,"",INDEX('MTRs'!$AZ$6:$AZ$505,T869))</f>
        <v/>
      </c>
      <c r="AR869" s="96">
        <f>IF(U869=0,0,IF(AND(INDEX('MTRs'!$BA$6:$BA$505,T869)=1,Z869=0),1,0))</f>
        <v>0</v>
      </c>
      <c r="AS869" s="96" t="str">
        <f>IF(R869=1,A869&amp;" | MTR "&amp;IF(U869=1,INDEX('MTRs'!$B$6:$B$505,T869)&amp;"","?")&amp;" | "&amp;IF(C869="","(sem resíduo)",C869),"")</f>
        <v/>
      </c>
      <c r="AT869" s="96" t="str">
        <f>IF(R869=1,COUNTIF($R$6:R869,1),"")</f>
        <v/>
      </c>
      <c r="AU869" s="96" t="str">
        <f>IF(U869=1,INDEX('MTRs'!$I$6:$I$505,T869)&amp;"","")</f>
        <v/>
      </c>
    </row>
    <row r="870">
      <c r="A870" s="89" t="inlineStr">
        <is>
          <t>IT-000865</t>
        </is>
      </c>
      <c r="B870" s="91" t="n"/>
      <c r="C870" s="91" t="n"/>
      <c r="D870" s="94" t="str">
        <f>IF(OR(R870=0,V870=0),"",INDEX('CAD_RESÍDUOS'!$E$6:$E$205,MATCH(C870,'CAD_RESÍDUOS'!$B$6:$B$205,0))&amp;"")</f>
        <v/>
      </c>
      <c r="E870" s="94" t="str">
        <f>IF(OR(R870=0,V870=0),"",INDEX('CAD_RESÍDUOS'!$C$6:$C$205,MATCH(C870,'CAD_RESÍDUOS'!$B$6:$B$205,0))&amp;"")</f>
        <v/>
      </c>
      <c r="F870" s="94" t="str">
        <f>IF(OR(R870=0,V870=0),"",INDEX('CAD_RESÍDUOS'!$G$6:$G$205,MATCH(C870,'CAD_RESÍDUOS'!$B$6:$B$205,0))&amp;"")</f>
        <v/>
      </c>
      <c r="G870" s="98" t="n"/>
      <c r="H870" s="91" t="n"/>
      <c r="I870" s="93" t="str">
        <f>IF(R870=0,"",IF(NOT(ISNUMBER(G870)),"",IF(ISNUMBER(X870),G870*X870,"UNIDADE A CONFERIR")))</f>
        <v/>
      </c>
      <c r="J870" s="91" t="n"/>
      <c r="K870" s="91" t="n"/>
      <c r="L870" s="93" t="str">
        <f>IF(R870=0,"",SUMIFS('RECEBIMENTOS'!$H$6:$H$1005,'RECEBIMENTOS'!$R$6:$R$1005,A870,'RECEBIMENTOS'!$X$6:$X$1005,1))</f>
        <v/>
      </c>
      <c r="M870" s="93" t="str">
        <f>IF(R870=0,"",SUMIFS('VÍNCULOS_CDF'!$H$6:$H$1005,'VÍNCULOS_CDF'!$R$6:$R$1005,A870,'VÍNCULOS_CDF'!$V$6:$V$1005,1))</f>
        <v/>
      </c>
      <c r="N870" s="99" t="str">
        <f>IF(OR(R870=0,AA870=0,NOT(ISNUMBER(I870))),"",I870-N(L870))</f>
        <v/>
      </c>
      <c r="O870" s="100" t="str">
        <f>IF(OR(R870=0,AK870&lt;=0),"",N(M870)/AK870)</f>
        <v/>
      </c>
      <c r="P870" s="94" t="str">
        <f>IF(R870=0,"",IF(S870="","Sem MTR associado",IF(U870=0,"MTR inexistente",IF(C870="","Resíduo não identificado",IF(V870=0,"Resíduo fora do cadastro",IF(W870=0,"Quantidade inválida",IF(H870="","Unidade não informada",IF(NOT(ISNUMBER(I870)),"Unidade a conferir",IF(AND(AH870=1,K870&lt;&gt;"Sim"),"Possível duplicidade",IF(Z870=1,"MTR cancelado",IF(AC870&gt;0,"Recebimento com alerta",IF(AA870=0,"Aguardando recebimento",IF(AB870&lt;AA870,"Recebimento a conferir",IF(AM870=1,"Quantidade a revisar",IF(AF870&gt;0,"Vínculo a revisar",IF(AD870=0,"Aguardando CDF",IF(AN870=0,"Vínculo de CDF parcial",IF(AE870&lt;AD870,"CDF a conferir","Documentação conferida"))))))))))))))))))</f>
        <v/>
      </c>
      <c r="Q870" s="93" t="str">
        <f>IF(OR(R870=0,AA870=0),"",MAX(0,N(L870)-N(M870)))</f>
        <v/>
      </c>
      <c r="R870" s="96">
        <f>IF(COUNTA(B870:C870,G870:H870,J870:K870)&gt;0,1,0)</f>
        <v>0</v>
      </c>
      <c r="S870" s="96" t="str">
        <f>IF(B870="","",TRIM(LEFT(B870,FIND(" |",B870&amp;" |")-1)))</f>
        <v/>
      </c>
      <c r="T870" s="96" t="str">
        <f>IF(S870="","",IFERROR(MATCH(S870,'MTRs'!$A$6:$A$505,0),""))</f>
        <v/>
      </c>
      <c r="U870" s="96">
        <f>IF(T870="",0,IF(INDEX('MTRs'!$Z$6:$Z$505,T870)=1,1,0))</f>
        <v>0</v>
      </c>
      <c r="V870" s="96">
        <f>IF(C870="",0,IF(ISNUMBER(MATCH(C870,'CAD_RESÍDUOS'!$B$6:$B$205,0)),1,0))</f>
        <v>0</v>
      </c>
      <c r="W870" s="96">
        <f>IF(AND(ISNUMBER(G870),G870&gt;0),1,0)</f>
        <v>0</v>
      </c>
      <c r="X870" s="96" t="str">
        <f>IF(H870="","",IFERROR(IF(ISNUMBER(INDEX(cfg_fac,MATCH(H870,cfg_units,0))),IF(INDEX(cfg_fac,MATCH(H870,cfg_units,0))&gt;0,INDEX(cfg_fac,MATCH(H870,cfg_units,0)),""),""),""))</f>
        <v/>
      </c>
      <c r="Y870" s="96">
        <f>IF(AND(W870=1,ISNUMBER(I870)),1,0)</f>
        <v>0</v>
      </c>
      <c r="Z870" s="96">
        <f>IF(U870=1,INDEX('MTRs'!$AA$6:$AA$505,T870),0)</f>
        <v>0</v>
      </c>
      <c r="AA870" s="96">
        <f>IF(R870=0,0,COUNTIFS('RECEBIMENTOS'!$R$6:$R$1005,A870,'RECEBIMENTOS'!$Q$6:$Q$1005,1))</f>
        <v>0</v>
      </c>
      <c r="AB870" s="96">
        <f>IF(R870=0,0,COUNTIFS('RECEBIMENTOS'!$R$6:$R$1005,A870,'RECEBIMENTOS'!$Z$6:$Z$1005,1))</f>
        <v>0</v>
      </c>
      <c r="AC870" s="96">
        <f>IF(R870=0,0,COUNTIFS('RECEBIMENTOS'!$R$6:$R$1005,A870,'RECEBIMENTOS'!$Y$6:$Y$1005,1))</f>
        <v>0</v>
      </c>
      <c r="AD870" s="96">
        <f>IF(R870=0,0,COUNTIFS('VÍNCULOS_CDF'!$R$6:$R$1005,A870,'VÍNCULOS_CDF'!$N$6:$N$1005,1))</f>
        <v>0</v>
      </c>
      <c r="AE870" s="96">
        <f>IF(R870=0,0,COUNTIFS('VÍNCULOS_CDF'!$R$6:$R$1005,A870,'VÍNCULOS_CDF'!$AA$6:$AA$1005,1))</f>
        <v>0</v>
      </c>
      <c r="AF870" s="96">
        <f>IF(R870=0,0,COUNTIFS('VÍNCULOS_CDF'!$R$6:$R$1005,A870,'VÍNCULOS_CDF'!$Y$6:$Y$1005,1))</f>
        <v>0</v>
      </c>
      <c r="AG870" s="96" t="str">
        <f>IF(AND(R870=1,S870&lt;&gt;"",C870&lt;&gt;""),S870&amp;"|"&amp;C870&amp;"|"&amp;G870&amp;"|"&amp;H870,"")</f>
        <v/>
      </c>
      <c r="AH870" s="96">
        <f>IF(AG870="",0,IF(SUMPRODUCT(--($AG$6:$AG$1005=AG870))&gt;1,1,0))</f>
        <v>0</v>
      </c>
      <c r="AI870" s="96">
        <f>IF(R870=0,0,IF(OR(U870=0,V870=0,Y870=0,AND(AH870=1,K870&lt;&gt;"Sim")),1,0))</f>
        <v>0</v>
      </c>
      <c r="AJ870" s="96">
        <f>IF(AND(R870=1,AA870&gt;0,AB870=AA870),1,0)</f>
        <v>0</v>
      </c>
      <c r="AK870" s="96">
        <f>IF(R870=0,0,IF(AA870&gt;0,N(L870),IF(ISNUMBER(I870),I870,0)))</f>
        <v>0</v>
      </c>
      <c r="AL870" s="96">
        <f>IF(R870=0,0,IF(AND(K870&lt;&gt;"Sim",N(M870)&gt;AK870+cfg_tol),1,0))</f>
        <v>0</v>
      </c>
      <c r="AM870" s="96">
        <f>IF(R870=0,0,IF(K870="Sim",0,IF(OR(AND(AA870&gt;0,ISNUMBER(I870),ABS(I870-N(L870))&gt;cfg_tol),AL870=1),1,0)))</f>
        <v>0</v>
      </c>
      <c r="AN870" s="96">
        <f>IF(AND(R870=1,N(M870)&gt;0,OR(N(M870)&gt;=AK870-cfg_tol,K870="Sim")),1,0)</f>
        <v>0</v>
      </c>
      <c r="AO870" s="96">
        <f>IF(AND(AN870=1,AD870&gt;0,AE870=AD870,AL870=0),1,0)</f>
        <v>0</v>
      </c>
      <c r="AP870" s="96">
        <f>IF(U870=0,0,IF(AND(INDEX('MTRs'!$AX$6:$AX$505,T870)=1,Z870=0,OR(f_res="",f_res="(Todos)",C870=f_res)),1,0))</f>
        <v>0</v>
      </c>
      <c r="AQ870" s="97" t="str">
        <f>IF(U870=0,"",INDEX('MTRs'!$AZ$6:$AZ$505,T870))</f>
        <v/>
      </c>
      <c r="AR870" s="96">
        <f>IF(U870=0,0,IF(AND(INDEX('MTRs'!$BA$6:$BA$505,T870)=1,Z870=0),1,0))</f>
        <v>0</v>
      </c>
      <c r="AS870" s="96" t="str">
        <f>IF(R870=1,A870&amp;" | MTR "&amp;IF(U870=1,INDEX('MTRs'!$B$6:$B$505,T870)&amp;"","?")&amp;" | "&amp;IF(C870="","(sem resíduo)",C870),"")</f>
        <v/>
      </c>
      <c r="AT870" s="96" t="str">
        <f>IF(R870=1,COUNTIF($R$6:R870,1),"")</f>
        <v/>
      </c>
      <c r="AU870" s="96" t="str">
        <f>IF(U870=1,INDEX('MTRs'!$I$6:$I$505,T870)&amp;"","")</f>
        <v/>
      </c>
    </row>
    <row r="871">
      <c r="A871" s="89" t="inlineStr">
        <is>
          <t>IT-000866</t>
        </is>
      </c>
      <c r="B871" s="91" t="n"/>
      <c r="C871" s="91" t="n"/>
      <c r="D871" s="94" t="str">
        <f>IF(OR(R871=0,V871=0),"",INDEX('CAD_RESÍDUOS'!$E$6:$E$205,MATCH(C871,'CAD_RESÍDUOS'!$B$6:$B$205,0))&amp;"")</f>
        <v/>
      </c>
      <c r="E871" s="94" t="str">
        <f>IF(OR(R871=0,V871=0),"",INDEX('CAD_RESÍDUOS'!$C$6:$C$205,MATCH(C871,'CAD_RESÍDUOS'!$B$6:$B$205,0))&amp;"")</f>
        <v/>
      </c>
      <c r="F871" s="94" t="str">
        <f>IF(OR(R871=0,V871=0),"",INDEX('CAD_RESÍDUOS'!$G$6:$G$205,MATCH(C871,'CAD_RESÍDUOS'!$B$6:$B$205,0))&amp;"")</f>
        <v/>
      </c>
      <c r="G871" s="98" t="n"/>
      <c r="H871" s="91" t="n"/>
      <c r="I871" s="93" t="str">
        <f>IF(R871=0,"",IF(NOT(ISNUMBER(G871)),"",IF(ISNUMBER(X871),G871*X871,"UNIDADE A CONFERIR")))</f>
        <v/>
      </c>
      <c r="J871" s="91" t="n"/>
      <c r="K871" s="91" t="n"/>
      <c r="L871" s="93" t="str">
        <f>IF(R871=0,"",SUMIFS('RECEBIMENTOS'!$H$6:$H$1005,'RECEBIMENTOS'!$R$6:$R$1005,A871,'RECEBIMENTOS'!$X$6:$X$1005,1))</f>
        <v/>
      </c>
      <c r="M871" s="93" t="str">
        <f>IF(R871=0,"",SUMIFS('VÍNCULOS_CDF'!$H$6:$H$1005,'VÍNCULOS_CDF'!$R$6:$R$1005,A871,'VÍNCULOS_CDF'!$V$6:$V$1005,1))</f>
        <v/>
      </c>
      <c r="N871" s="99" t="str">
        <f>IF(OR(R871=0,AA871=0,NOT(ISNUMBER(I871))),"",I871-N(L871))</f>
        <v/>
      </c>
      <c r="O871" s="100" t="str">
        <f>IF(OR(R871=0,AK871&lt;=0),"",N(M871)/AK871)</f>
        <v/>
      </c>
      <c r="P871" s="94" t="str">
        <f>IF(R871=0,"",IF(S871="","Sem MTR associado",IF(U871=0,"MTR inexistente",IF(C871="","Resíduo não identificado",IF(V871=0,"Resíduo fora do cadastro",IF(W871=0,"Quantidade inválida",IF(H871="","Unidade não informada",IF(NOT(ISNUMBER(I871)),"Unidade a conferir",IF(AND(AH871=1,K871&lt;&gt;"Sim"),"Possível duplicidade",IF(Z871=1,"MTR cancelado",IF(AC871&gt;0,"Recebimento com alerta",IF(AA871=0,"Aguardando recebimento",IF(AB871&lt;AA871,"Recebimento a conferir",IF(AM871=1,"Quantidade a revisar",IF(AF871&gt;0,"Vínculo a revisar",IF(AD871=0,"Aguardando CDF",IF(AN871=0,"Vínculo de CDF parcial",IF(AE871&lt;AD871,"CDF a conferir","Documentação conferida"))))))))))))))))))</f>
        <v/>
      </c>
      <c r="Q871" s="93" t="str">
        <f>IF(OR(R871=0,AA871=0),"",MAX(0,N(L871)-N(M871)))</f>
        <v/>
      </c>
      <c r="R871" s="96">
        <f>IF(COUNTA(B871:C871,G871:H871,J871:K871)&gt;0,1,0)</f>
        <v>0</v>
      </c>
      <c r="S871" s="96" t="str">
        <f>IF(B871="","",TRIM(LEFT(B871,FIND(" |",B871&amp;" |")-1)))</f>
        <v/>
      </c>
      <c r="T871" s="96" t="str">
        <f>IF(S871="","",IFERROR(MATCH(S871,'MTRs'!$A$6:$A$505,0),""))</f>
        <v/>
      </c>
      <c r="U871" s="96">
        <f>IF(T871="",0,IF(INDEX('MTRs'!$Z$6:$Z$505,T871)=1,1,0))</f>
        <v>0</v>
      </c>
      <c r="V871" s="96">
        <f>IF(C871="",0,IF(ISNUMBER(MATCH(C871,'CAD_RESÍDUOS'!$B$6:$B$205,0)),1,0))</f>
        <v>0</v>
      </c>
      <c r="W871" s="96">
        <f>IF(AND(ISNUMBER(G871),G871&gt;0),1,0)</f>
        <v>0</v>
      </c>
      <c r="X871" s="96" t="str">
        <f>IF(H871="","",IFERROR(IF(ISNUMBER(INDEX(cfg_fac,MATCH(H871,cfg_units,0))),IF(INDEX(cfg_fac,MATCH(H871,cfg_units,0))&gt;0,INDEX(cfg_fac,MATCH(H871,cfg_units,0)),""),""),""))</f>
        <v/>
      </c>
      <c r="Y871" s="96">
        <f>IF(AND(W871=1,ISNUMBER(I871)),1,0)</f>
        <v>0</v>
      </c>
      <c r="Z871" s="96">
        <f>IF(U871=1,INDEX('MTRs'!$AA$6:$AA$505,T871),0)</f>
        <v>0</v>
      </c>
      <c r="AA871" s="96">
        <f>IF(R871=0,0,COUNTIFS('RECEBIMENTOS'!$R$6:$R$1005,A871,'RECEBIMENTOS'!$Q$6:$Q$1005,1))</f>
        <v>0</v>
      </c>
      <c r="AB871" s="96">
        <f>IF(R871=0,0,COUNTIFS('RECEBIMENTOS'!$R$6:$R$1005,A871,'RECEBIMENTOS'!$Z$6:$Z$1005,1))</f>
        <v>0</v>
      </c>
      <c r="AC871" s="96">
        <f>IF(R871=0,0,COUNTIFS('RECEBIMENTOS'!$R$6:$R$1005,A871,'RECEBIMENTOS'!$Y$6:$Y$1005,1))</f>
        <v>0</v>
      </c>
      <c r="AD871" s="96">
        <f>IF(R871=0,0,COUNTIFS('VÍNCULOS_CDF'!$R$6:$R$1005,A871,'VÍNCULOS_CDF'!$N$6:$N$1005,1))</f>
        <v>0</v>
      </c>
      <c r="AE871" s="96">
        <f>IF(R871=0,0,COUNTIFS('VÍNCULOS_CDF'!$R$6:$R$1005,A871,'VÍNCULOS_CDF'!$AA$6:$AA$1005,1))</f>
        <v>0</v>
      </c>
      <c r="AF871" s="96">
        <f>IF(R871=0,0,COUNTIFS('VÍNCULOS_CDF'!$R$6:$R$1005,A871,'VÍNCULOS_CDF'!$Y$6:$Y$1005,1))</f>
        <v>0</v>
      </c>
      <c r="AG871" s="96" t="str">
        <f>IF(AND(R871=1,S871&lt;&gt;"",C871&lt;&gt;""),S871&amp;"|"&amp;C871&amp;"|"&amp;G871&amp;"|"&amp;H871,"")</f>
        <v/>
      </c>
      <c r="AH871" s="96">
        <f>IF(AG871="",0,IF(SUMPRODUCT(--($AG$6:$AG$1005=AG871))&gt;1,1,0))</f>
        <v>0</v>
      </c>
      <c r="AI871" s="96">
        <f>IF(R871=0,0,IF(OR(U871=0,V871=0,Y871=0,AND(AH871=1,K871&lt;&gt;"Sim")),1,0))</f>
        <v>0</v>
      </c>
      <c r="AJ871" s="96">
        <f>IF(AND(R871=1,AA871&gt;0,AB871=AA871),1,0)</f>
        <v>0</v>
      </c>
      <c r="AK871" s="96">
        <f>IF(R871=0,0,IF(AA871&gt;0,N(L871),IF(ISNUMBER(I871),I871,0)))</f>
        <v>0</v>
      </c>
      <c r="AL871" s="96">
        <f>IF(R871=0,0,IF(AND(K871&lt;&gt;"Sim",N(M871)&gt;AK871+cfg_tol),1,0))</f>
        <v>0</v>
      </c>
      <c r="AM871" s="96">
        <f>IF(R871=0,0,IF(K871="Sim",0,IF(OR(AND(AA871&gt;0,ISNUMBER(I871),ABS(I871-N(L871))&gt;cfg_tol),AL871=1),1,0)))</f>
        <v>0</v>
      </c>
      <c r="AN871" s="96">
        <f>IF(AND(R871=1,N(M871)&gt;0,OR(N(M871)&gt;=AK871-cfg_tol,K871="Sim")),1,0)</f>
        <v>0</v>
      </c>
      <c r="AO871" s="96">
        <f>IF(AND(AN871=1,AD871&gt;0,AE871=AD871,AL871=0),1,0)</f>
        <v>0</v>
      </c>
      <c r="AP871" s="96">
        <f>IF(U871=0,0,IF(AND(INDEX('MTRs'!$AX$6:$AX$505,T871)=1,Z871=0,OR(f_res="",f_res="(Todos)",C871=f_res)),1,0))</f>
        <v>0</v>
      </c>
      <c r="AQ871" s="97" t="str">
        <f>IF(U871=0,"",INDEX('MTRs'!$AZ$6:$AZ$505,T871))</f>
        <v/>
      </c>
      <c r="AR871" s="96">
        <f>IF(U871=0,0,IF(AND(INDEX('MTRs'!$BA$6:$BA$505,T871)=1,Z871=0),1,0))</f>
        <v>0</v>
      </c>
      <c r="AS871" s="96" t="str">
        <f>IF(R871=1,A871&amp;" | MTR "&amp;IF(U871=1,INDEX('MTRs'!$B$6:$B$505,T871)&amp;"","?")&amp;" | "&amp;IF(C871="","(sem resíduo)",C871),"")</f>
        <v/>
      </c>
      <c r="AT871" s="96" t="str">
        <f>IF(R871=1,COUNTIF($R$6:R871,1),"")</f>
        <v/>
      </c>
      <c r="AU871" s="96" t="str">
        <f>IF(U871=1,INDEX('MTRs'!$I$6:$I$505,T871)&amp;"","")</f>
        <v/>
      </c>
    </row>
    <row r="872">
      <c r="A872" s="89" t="inlineStr">
        <is>
          <t>IT-000867</t>
        </is>
      </c>
      <c r="B872" s="91" t="n"/>
      <c r="C872" s="91" t="n"/>
      <c r="D872" s="94" t="str">
        <f>IF(OR(R872=0,V872=0),"",INDEX('CAD_RESÍDUOS'!$E$6:$E$205,MATCH(C872,'CAD_RESÍDUOS'!$B$6:$B$205,0))&amp;"")</f>
        <v/>
      </c>
      <c r="E872" s="94" t="str">
        <f>IF(OR(R872=0,V872=0),"",INDEX('CAD_RESÍDUOS'!$C$6:$C$205,MATCH(C872,'CAD_RESÍDUOS'!$B$6:$B$205,0))&amp;"")</f>
        <v/>
      </c>
      <c r="F872" s="94" t="str">
        <f>IF(OR(R872=0,V872=0),"",INDEX('CAD_RESÍDUOS'!$G$6:$G$205,MATCH(C872,'CAD_RESÍDUOS'!$B$6:$B$205,0))&amp;"")</f>
        <v/>
      </c>
      <c r="G872" s="98" t="n"/>
      <c r="H872" s="91" t="n"/>
      <c r="I872" s="93" t="str">
        <f>IF(R872=0,"",IF(NOT(ISNUMBER(G872)),"",IF(ISNUMBER(X872),G872*X872,"UNIDADE A CONFERIR")))</f>
        <v/>
      </c>
      <c r="J872" s="91" t="n"/>
      <c r="K872" s="91" t="n"/>
      <c r="L872" s="93" t="str">
        <f>IF(R872=0,"",SUMIFS('RECEBIMENTOS'!$H$6:$H$1005,'RECEBIMENTOS'!$R$6:$R$1005,A872,'RECEBIMENTOS'!$X$6:$X$1005,1))</f>
        <v/>
      </c>
      <c r="M872" s="93" t="str">
        <f>IF(R872=0,"",SUMIFS('VÍNCULOS_CDF'!$H$6:$H$1005,'VÍNCULOS_CDF'!$R$6:$R$1005,A872,'VÍNCULOS_CDF'!$V$6:$V$1005,1))</f>
        <v/>
      </c>
      <c r="N872" s="99" t="str">
        <f>IF(OR(R872=0,AA872=0,NOT(ISNUMBER(I872))),"",I872-N(L872))</f>
        <v/>
      </c>
      <c r="O872" s="100" t="str">
        <f>IF(OR(R872=0,AK872&lt;=0),"",N(M872)/AK872)</f>
        <v/>
      </c>
      <c r="P872" s="94" t="str">
        <f>IF(R872=0,"",IF(S872="","Sem MTR associado",IF(U872=0,"MTR inexistente",IF(C872="","Resíduo não identificado",IF(V872=0,"Resíduo fora do cadastro",IF(W872=0,"Quantidade inválida",IF(H872="","Unidade não informada",IF(NOT(ISNUMBER(I872)),"Unidade a conferir",IF(AND(AH872=1,K872&lt;&gt;"Sim"),"Possível duplicidade",IF(Z872=1,"MTR cancelado",IF(AC872&gt;0,"Recebimento com alerta",IF(AA872=0,"Aguardando recebimento",IF(AB872&lt;AA872,"Recebimento a conferir",IF(AM872=1,"Quantidade a revisar",IF(AF872&gt;0,"Vínculo a revisar",IF(AD872=0,"Aguardando CDF",IF(AN872=0,"Vínculo de CDF parcial",IF(AE872&lt;AD872,"CDF a conferir","Documentação conferida"))))))))))))))))))</f>
        <v/>
      </c>
      <c r="Q872" s="93" t="str">
        <f>IF(OR(R872=0,AA872=0),"",MAX(0,N(L872)-N(M872)))</f>
        <v/>
      </c>
      <c r="R872" s="96">
        <f>IF(COUNTA(B872:C872,G872:H872,J872:K872)&gt;0,1,0)</f>
        <v>0</v>
      </c>
      <c r="S872" s="96" t="str">
        <f>IF(B872="","",TRIM(LEFT(B872,FIND(" |",B872&amp;" |")-1)))</f>
        <v/>
      </c>
      <c r="T872" s="96" t="str">
        <f>IF(S872="","",IFERROR(MATCH(S872,'MTRs'!$A$6:$A$505,0),""))</f>
        <v/>
      </c>
      <c r="U872" s="96">
        <f>IF(T872="",0,IF(INDEX('MTRs'!$Z$6:$Z$505,T872)=1,1,0))</f>
        <v>0</v>
      </c>
      <c r="V872" s="96">
        <f>IF(C872="",0,IF(ISNUMBER(MATCH(C872,'CAD_RESÍDUOS'!$B$6:$B$205,0)),1,0))</f>
        <v>0</v>
      </c>
      <c r="W872" s="96">
        <f>IF(AND(ISNUMBER(G872),G872&gt;0),1,0)</f>
        <v>0</v>
      </c>
      <c r="X872" s="96" t="str">
        <f>IF(H872="","",IFERROR(IF(ISNUMBER(INDEX(cfg_fac,MATCH(H872,cfg_units,0))),IF(INDEX(cfg_fac,MATCH(H872,cfg_units,0))&gt;0,INDEX(cfg_fac,MATCH(H872,cfg_units,0)),""),""),""))</f>
        <v/>
      </c>
      <c r="Y872" s="96">
        <f>IF(AND(W872=1,ISNUMBER(I872)),1,0)</f>
        <v>0</v>
      </c>
      <c r="Z872" s="96">
        <f>IF(U872=1,INDEX('MTRs'!$AA$6:$AA$505,T872),0)</f>
        <v>0</v>
      </c>
      <c r="AA872" s="96">
        <f>IF(R872=0,0,COUNTIFS('RECEBIMENTOS'!$R$6:$R$1005,A872,'RECEBIMENTOS'!$Q$6:$Q$1005,1))</f>
        <v>0</v>
      </c>
      <c r="AB872" s="96">
        <f>IF(R872=0,0,COUNTIFS('RECEBIMENTOS'!$R$6:$R$1005,A872,'RECEBIMENTOS'!$Z$6:$Z$1005,1))</f>
        <v>0</v>
      </c>
      <c r="AC872" s="96">
        <f>IF(R872=0,0,COUNTIFS('RECEBIMENTOS'!$R$6:$R$1005,A872,'RECEBIMENTOS'!$Y$6:$Y$1005,1))</f>
        <v>0</v>
      </c>
      <c r="AD872" s="96">
        <f>IF(R872=0,0,COUNTIFS('VÍNCULOS_CDF'!$R$6:$R$1005,A872,'VÍNCULOS_CDF'!$N$6:$N$1005,1))</f>
        <v>0</v>
      </c>
      <c r="AE872" s="96">
        <f>IF(R872=0,0,COUNTIFS('VÍNCULOS_CDF'!$R$6:$R$1005,A872,'VÍNCULOS_CDF'!$AA$6:$AA$1005,1))</f>
        <v>0</v>
      </c>
      <c r="AF872" s="96">
        <f>IF(R872=0,0,COUNTIFS('VÍNCULOS_CDF'!$R$6:$R$1005,A872,'VÍNCULOS_CDF'!$Y$6:$Y$1005,1))</f>
        <v>0</v>
      </c>
      <c r="AG872" s="96" t="str">
        <f>IF(AND(R872=1,S872&lt;&gt;"",C872&lt;&gt;""),S872&amp;"|"&amp;C872&amp;"|"&amp;G872&amp;"|"&amp;H872,"")</f>
        <v/>
      </c>
      <c r="AH872" s="96">
        <f>IF(AG872="",0,IF(SUMPRODUCT(--($AG$6:$AG$1005=AG872))&gt;1,1,0))</f>
        <v>0</v>
      </c>
      <c r="AI872" s="96">
        <f>IF(R872=0,0,IF(OR(U872=0,V872=0,Y872=0,AND(AH872=1,K872&lt;&gt;"Sim")),1,0))</f>
        <v>0</v>
      </c>
      <c r="AJ872" s="96">
        <f>IF(AND(R872=1,AA872&gt;0,AB872=AA872),1,0)</f>
        <v>0</v>
      </c>
      <c r="AK872" s="96">
        <f>IF(R872=0,0,IF(AA872&gt;0,N(L872),IF(ISNUMBER(I872),I872,0)))</f>
        <v>0</v>
      </c>
      <c r="AL872" s="96">
        <f>IF(R872=0,0,IF(AND(K872&lt;&gt;"Sim",N(M872)&gt;AK872+cfg_tol),1,0))</f>
        <v>0</v>
      </c>
      <c r="AM872" s="96">
        <f>IF(R872=0,0,IF(K872="Sim",0,IF(OR(AND(AA872&gt;0,ISNUMBER(I872),ABS(I872-N(L872))&gt;cfg_tol),AL872=1),1,0)))</f>
        <v>0</v>
      </c>
      <c r="AN872" s="96">
        <f>IF(AND(R872=1,N(M872)&gt;0,OR(N(M872)&gt;=AK872-cfg_tol,K872="Sim")),1,0)</f>
        <v>0</v>
      </c>
      <c r="AO872" s="96">
        <f>IF(AND(AN872=1,AD872&gt;0,AE872=AD872,AL872=0),1,0)</f>
        <v>0</v>
      </c>
      <c r="AP872" s="96">
        <f>IF(U872=0,0,IF(AND(INDEX('MTRs'!$AX$6:$AX$505,T872)=1,Z872=0,OR(f_res="",f_res="(Todos)",C872=f_res)),1,0))</f>
        <v>0</v>
      </c>
      <c r="AQ872" s="97" t="str">
        <f>IF(U872=0,"",INDEX('MTRs'!$AZ$6:$AZ$505,T872))</f>
        <v/>
      </c>
      <c r="AR872" s="96">
        <f>IF(U872=0,0,IF(AND(INDEX('MTRs'!$BA$6:$BA$505,T872)=1,Z872=0),1,0))</f>
        <v>0</v>
      </c>
      <c r="AS872" s="96" t="str">
        <f>IF(R872=1,A872&amp;" | MTR "&amp;IF(U872=1,INDEX('MTRs'!$B$6:$B$505,T872)&amp;"","?")&amp;" | "&amp;IF(C872="","(sem resíduo)",C872),"")</f>
        <v/>
      </c>
      <c r="AT872" s="96" t="str">
        <f>IF(R872=1,COUNTIF($R$6:R872,1),"")</f>
        <v/>
      </c>
      <c r="AU872" s="96" t="str">
        <f>IF(U872=1,INDEX('MTRs'!$I$6:$I$505,T872)&amp;"","")</f>
        <v/>
      </c>
    </row>
    <row r="873">
      <c r="A873" s="89" t="inlineStr">
        <is>
          <t>IT-000868</t>
        </is>
      </c>
      <c r="B873" s="91" t="n"/>
      <c r="C873" s="91" t="n"/>
      <c r="D873" s="94" t="str">
        <f>IF(OR(R873=0,V873=0),"",INDEX('CAD_RESÍDUOS'!$E$6:$E$205,MATCH(C873,'CAD_RESÍDUOS'!$B$6:$B$205,0))&amp;"")</f>
        <v/>
      </c>
      <c r="E873" s="94" t="str">
        <f>IF(OR(R873=0,V873=0),"",INDEX('CAD_RESÍDUOS'!$C$6:$C$205,MATCH(C873,'CAD_RESÍDUOS'!$B$6:$B$205,0))&amp;"")</f>
        <v/>
      </c>
      <c r="F873" s="94" t="str">
        <f>IF(OR(R873=0,V873=0),"",INDEX('CAD_RESÍDUOS'!$G$6:$G$205,MATCH(C873,'CAD_RESÍDUOS'!$B$6:$B$205,0))&amp;"")</f>
        <v/>
      </c>
      <c r="G873" s="98" t="n"/>
      <c r="H873" s="91" t="n"/>
      <c r="I873" s="93" t="str">
        <f>IF(R873=0,"",IF(NOT(ISNUMBER(G873)),"",IF(ISNUMBER(X873),G873*X873,"UNIDADE A CONFERIR")))</f>
        <v/>
      </c>
      <c r="J873" s="91" t="n"/>
      <c r="K873" s="91" t="n"/>
      <c r="L873" s="93" t="str">
        <f>IF(R873=0,"",SUMIFS('RECEBIMENTOS'!$H$6:$H$1005,'RECEBIMENTOS'!$R$6:$R$1005,A873,'RECEBIMENTOS'!$X$6:$X$1005,1))</f>
        <v/>
      </c>
      <c r="M873" s="93" t="str">
        <f>IF(R873=0,"",SUMIFS('VÍNCULOS_CDF'!$H$6:$H$1005,'VÍNCULOS_CDF'!$R$6:$R$1005,A873,'VÍNCULOS_CDF'!$V$6:$V$1005,1))</f>
        <v/>
      </c>
      <c r="N873" s="99" t="str">
        <f>IF(OR(R873=0,AA873=0,NOT(ISNUMBER(I873))),"",I873-N(L873))</f>
        <v/>
      </c>
      <c r="O873" s="100" t="str">
        <f>IF(OR(R873=0,AK873&lt;=0),"",N(M873)/AK873)</f>
        <v/>
      </c>
      <c r="P873" s="94" t="str">
        <f>IF(R873=0,"",IF(S873="","Sem MTR associado",IF(U873=0,"MTR inexistente",IF(C873="","Resíduo não identificado",IF(V873=0,"Resíduo fora do cadastro",IF(W873=0,"Quantidade inválida",IF(H873="","Unidade não informada",IF(NOT(ISNUMBER(I873)),"Unidade a conferir",IF(AND(AH873=1,K873&lt;&gt;"Sim"),"Possível duplicidade",IF(Z873=1,"MTR cancelado",IF(AC873&gt;0,"Recebimento com alerta",IF(AA873=0,"Aguardando recebimento",IF(AB873&lt;AA873,"Recebimento a conferir",IF(AM873=1,"Quantidade a revisar",IF(AF873&gt;0,"Vínculo a revisar",IF(AD873=0,"Aguardando CDF",IF(AN873=0,"Vínculo de CDF parcial",IF(AE873&lt;AD873,"CDF a conferir","Documentação conferida"))))))))))))))))))</f>
        <v/>
      </c>
      <c r="Q873" s="93" t="str">
        <f>IF(OR(R873=0,AA873=0),"",MAX(0,N(L873)-N(M873)))</f>
        <v/>
      </c>
      <c r="R873" s="96">
        <f>IF(COUNTA(B873:C873,G873:H873,J873:K873)&gt;0,1,0)</f>
        <v>0</v>
      </c>
      <c r="S873" s="96" t="str">
        <f>IF(B873="","",TRIM(LEFT(B873,FIND(" |",B873&amp;" |")-1)))</f>
        <v/>
      </c>
      <c r="T873" s="96" t="str">
        <f>IF(S873="","",IFERROR(MATCH(S873,'MTRs'!$A$6:$A$505,0),""))</f>
        <v/>
      </c>
      <c r="U873" s="96">
        <f>IF(T873="",0,IF(INDEX('MTRs'!$Z$6:$Z$505,T873)=1,1,0))</f>
        <v>0</v>
      </c>
      <c r="V873" s="96">
        <f>IF(C873="",0,IF(ISNUMBER(MATCH(C873,'CAD_RESÍDUOS'!$B$6:$B$205,0)),1,0))</f>
        <v>0</v>
      </c>
      <c r="W873" s="96">
        <f>IF(AND(ISNUMBER(G873),G873&gt;0),1,0)</f>
        <v>0</v>
      </c>
      <c r="X873" s="96" t="str">
        <f>IF(H873="","",IFERROR(IF(ISNUMBER(INDEX(cfg_fac,MATCH(H873,cfg_units,0))),IF(INDEX(cfg_fac,MATCH(H873,cfg_units,0))&gt;0,INDEX(cfg_fac,MATCH(H873,cfg_units,0)),""),""),""))</f>
        <v/>
      </c>
      <c r="Y873" s="96">
        <f>IF(AND(W873=1,ISNUMBER(I873)),1,0)</f>
        <v>0</v>
      </c>
      <c r="Z873" s="96">
        <f>IF(U873=1,INDEX('MTRs'!$AA$6:$AA$505,T873),0)</f>
        <v>0</v>
      </c>
      <c r="AA873" s="96">
        <f>IF(R873=0,0,COUNTIFS('RECEBIMENTOS'!$R$6:$R$1005,A873,'RECEBIMENTOS'!$Q$6:$Q$1005,1))</f>
        <v>0</v>
      </c>
      <c r="AB873" s="96">
        <f>IF(R873=0,0,COUNTIFS('RECEBIMENTOS'!$R$6:$R$1005,A873,'RECEBIMENTOS'!$Z$6:$Z$1005,1))</f>
        <v>0</v>
      </c>
      <c r="AC873" s="96">
        <f>IF(R873=0,0,COUNTIFS('RECEBIMENTOS'!$R$6:$R$1005,A873,'RECEBIMENTOS'!$Y$6:$Y$1005,1))</f>
        <v>0</v>
      </c>
      <c r="AD873" s="96">
        <f>IF(R873=0,0,COUNTIFS('VÍNCULOS_CDF'!$R$6:$R$1005,A873,'VÍNCULOS_CDF'!$N$6:$N$1005,1))</f>
        <v>0</v>
      </c>
      <c r="AE873" s="96">
        <f>IF(R873=0,0,COUNTIFS('VÍNCULOS_CDF'!$R$6:$R$1005,A873,'VÍNCULOS_CDF'!$AA$6:$AA$1005,1))</f>
        <v>0</v>
      </c>
      <c r="AF873" s="96">
        <f>IF(R873=0,0,COUNTIFS('VÍNCULOS_CDF'!$R$6:$R$1005,A873,'VÍNCULOS_CDF'!$Y$6:$Y$1005,1))</f>
        <v>0</v>
      </c>
      <c r="AG873" s="96" t="str">
        <f>IF(AND(R873=1,S873&lt;&gt;"",C873&lt;&gt;""),S873&amp;"|"&amp;C873&amp;"|"&amp;G873&amp;"|"&amp;H873,"")</f>
        <v/>
      </c>
      <c r="AH873" s="96">
        <f>IF(AG873="",0,IF(SUMPRODUCT(--($AG$6:$AG$1005=AG873))&gt;1,1,0))</f>
        <v>0</v>
      </c>
      <c r="AI873" s="96">
        <f>IF(R873=0,0,IF(OR(U873=0,V873=0,Y873=0,AND(AH873=1,K873&lt;&gt;"Sim")),1,0))</f>
        <v>0</v>
      </c>
      <c r="AJ873" s="96">
        <f>IF(AND(R873=1,AA873&gt;0,AB873=AA873),1,0)</f>
        <v>0</v>
      </c>
      <c r="AK873" s="96">
        <f>IF(R873=0,0,IF(AA873&gt;0,N(L873),IF(ISNUMBER(I873),I873,0)))</f>
        <v>0</v>
      </c>
      <c r="AL873" s="96">
        <f>IF(R873=0,0,IF(AND(K873&lt;&gt;"Sim",N(M873)&gt;AK873+cfg_tol),1,0))</f>
        <v>0</v>
      </c>
      <c r="AM873" s="96">
        <f>IF(R873=0,0,IF(K873="Sim",0,IF(OR(AND(AA873&gt;0,ISNUMBER(I873),ABS(I873-N(L873))&gt;cfg_tol),AL873=1),1,0)))</f>
        <v>0</v>
      </c>
      <c r="AN873" s="96">
        <f>IF(AND(R873=1,N(M873)&gt;0,OR(N(M873)&gt;=AK873-cfg_tol,K873="Sim")),1,0)</f>
        <v>0</v>
      </c>
      <c r="AO873" s="96">
        <f>IF(AND(AN873=1,AD873&gt;0,AE873=AD873,AL873=0),1,0)</f>
        <v>0</v>
      </c>
      <c r="AP873" s="96">
        <f>IF(U873=0,0,IF(AND(INDEX('MTRs'!$AX$6:$AX$505,T873)=1,Z873=0,OR(f_res="",f_res="(Todos)",C873=f_res)),1,0))</f>
        <v>0</v>
      </c>
      <c r="AQ873" s="97" t="str">
        <f>IF(U873=0,"",INDEX('MTRs'!$AZ$6:$AZ$505,T873))</f>
        <v/>
      </c>
      <c r="AR873" s="96">
        <f>IF(U873=0,0,IF(AND(INDEX('MTRs'!$BA$6:$BA$505,T873)=1,Z873=0),1,0))</f>
        <v>0</v>
      </c>
      <c r="AS873" s="96" t="str">
        <f>IF(R873=1,A873&amp;" | MTR "&amp;IF(U873=1,INDEX('MTRs'!$B$6:$B$505,T873)&amp;"","?")&amp;" | "&amp;IF(C873="","(sem resíduo)",C873),"")</f>
        <v/>
      </c>
      <c r="AT873" s="96" t="str">
        <f>IF(R873=1,COUNTIF($R$6:R873,1),"")</f>
        <v/>
      </c>
      <c r="AU873" s="96" t="str">
        <f>IF(U873=1,INDEX('MTRs'!$I$6:$I$505,T873)&amp;"","")</f>
        <v/>
      </c>
    </row>
    <row r="874">
      <c r="A874" s="89" t="inlineStr">
        <is>
          <t>IT-000869</t>
        </is>
      </c>
      <c r="B874" s="91" t="n"/>
      <c r="C874" s="91" t="n"/>
      <c r="D874" s="94" t="str">
        <f>IF(OR(R874=0,V874=0),"",INDEX('CAD_RESÍDUOS'!$E$6:$E$205,MATCH(C874,'CAD_RESÍDUOS'!$B$6:$B$205,0))&amp;"")</f>
        <v/>
      </c>
      <c r="E874" s="94" t="str">
        <f>IF(OR(R874=0,V874=0),"",INDEX('CAD_RESÍDUOS'!$C$6:$C$205,MATCH(C874,'CAD_RESÍDUOS'!$B$6:$B$205,0))&amp;"")</f>
        <v/>
      </c>
      <c r="F874" s="94" t="str">
        <f>IF(OR(R874=0,V874=0),"",INDEX('CAD_RESÍDUOS'!$G$6:$G$205,MATCH(C874,'CAD_RESÍDUOS'!$B$6:$B$205,0))&amp;"")</f>
        <v/>
      </c>
      <c r="G874" s="98" t="n"/>
      <c r="H874" s="91" t="n"/>
      <c r="I874" s="93" t="str">
        <f>IF(R874=0,"",IF(NOT(ISNUMBER(G874)),"",IF(ISNUMBER(X874),G874*X874,"UNIDADE A CONFERIR")))</f>
        <v/>
      </c>
      <c r="J874" s="91" t="n"/>
      <c r="K874" s="91" t="n"/>
      <c r="L874" s="93" t="str">
        <f>IF(R874=0,"",SUMIFS('RECEBIMENTOS'!$H$6:$H$1005,'RECEBIMENTOS'!$R$6:$R$1005,A874,'RECEBIMENTOS'!$X$6:$X$1005,1))</f>
        <v/>
      </c>
      <c r="M874" s="93" t="str">
        <f>IF(R874=0,"",SUMIFS('VÍNCULOS_CDF'!$H$6:$H$1005,'VÍNCULOS_CDF'!$R$6:$R$1005,A874,'VÍNCULOS_CDF'!$V$6:$V$1005,1))</f>
        <v/>
      </c>
      <c r="N874" s="99" t="str">
        <f>IF(OR(R874=0,AA874=0,NOT(ISNUMBER(I874))),"",I874-N(L874))</f>
        <v/>
      </c>
      <c r="O874" s="100" t="str">
        <f>IF(OR(R874=0,AK874&lt;=0),"",N(M874)/AK874)</f>
        <v/>
      </c>
      <c r="P874" s="94" t="str">
        <f>IF(R874=0,"",IF(S874="","Sem MTR associado",IF(U874=0,"MTR inexistente",IF(C874="","Resíduo não identificado",IF(V874=0,"Resíduo fora do cadastro",IF(W874=0,"Quantidade inválida",IF(H874="","Unidade não informada",IF(NOT(ISNUMBER(I874)),"Unidade a conferir",IF(AND(AH874=1,K874&lt;&gt;"Sim"),"Possível duplicidade",IF(Z874=1,"MTR cancelado",IF(AC874&gt;0,"Recebimento com alerta",IF(AA874=0,"Aguardando recebimento",IF(AB874&lt;AA874,"Recebimento a conferir",IF(AM874=1,"Quantidade a revisar",IF(AF874&gt;0,"Vínculo a revisar",IF(AD874=0,"Aguardando CDF",IF(AN874=0,"Vínculo de CDF parcial",IF(AE874&lt;AD874,"CDF a conferir","Documentação conferida"))))))))))))))))))</f>
        <v/>
      </c>
      <c r="Q874" s="93" t="str">
        <f>IF(OR(R874=0,AA874=0),"",MAX(0,N(L874)-N(M874)))</f>
        <v/>
      </c>
      <c r="R874" s="96">
        <f>IF(COUNTA(B874:C874,G874:H874,J874:K874)&gt;0,1,0)</f>
        <v>0</v>
      </c>
      <c r="S874" s="96" t="str">
        <f>IF(B874="","",TRIM(LEFT(B874,FIND(" |",B874&amp;" |")-1)))</f>
        <v/>
      </c>
      <c r="T874" s="96" t="str">
        <f>IF(S874="","",IFERROR(MATCH(S874,'MTRs'!$A$6:$A$505,0),""))</f>
        <v/>
      </c>
      <c r="U874" s="96">
        <f>IF(T874="",0,IF(INDEX('MTRs'!$Z$6:$Z$505,T874)=1,1,0))</f>
        <v>0</v>
      </c>
      <c r="V874" s="96">
        <f>IF(C874="",0,IF(ISNUMBER(MATCH(C874,'CAD_RESÍDUOS'!$B$6:$B$205,0)),1,0))</f>
        <v>0</v>
      </c>
      <c r="W874" s="96">
        <f>IF(AND(ISNUMBER(G874),G874&gt;0),1,0)</f>
        <v>0</v>
      </c>
      <c r="X874" s="96" t="str">
        <f>IF(H874="","",IFERROR(IF(ISNUMBER(INDEX(cfg_fac,MATCH(H874,cfg_units,0))),IF(INDEX(cfg_fac,MATCH(H874,cfg_units,0))&gt;0,INDEX(cfg_fac,MATCH(H874,cfg_units,0)),""),""),""))</f>
        <v/>
      </c>
      <c r="Y874" s="96">
        <f>IF(AND(W874=1,ISNUMBER(I874)),1,0)</f>
        <v>0</v>
      </c>
      <c r="Z874" s="96">
        <f>IF(U874=1,INDEX('MTRs'!$AA$6:$AA$505,T874),0)</f>
        <v>0</v>
      </c>
      <c r="AA874" s="96">
        <f>IF(R874=0,0,COUNTIFS('RECEBIMENTOS'!$R$6:$R$1005,A874,'RECEBIMENTOS'!$Q$6:$Q$1005,1))</f>
        <v>0</v>
      </c>
      <c r="AB874" s="96">
        <f>IF(R874=0,0,COUNTIFS('RECEBIMENTOS'!$R$6:$R$1005,A874,'RECEBIMENTOS'!$Z$6:$Z$1005,1))</f>
        <v>0</v>
      </c>
      <c r="AC874" s="96">
        <f>IF(R874=0,0,COUNTIFS('RECEBIMENTOS'!$R$6:$R$1005,A874,'RECEBIMENTOS'!$Y$6:$Y$1005,1))</f>
        <v>0</v>
      </c>
      <c r="AD874" s="96">
        <f>IF(R874=0,0,COUNTIFS('VÍNCULOS_CDF'!$R$6:$R$1005,A874,'VÍNCULOS_CDF'!$N$6:$N$1005,1))</f>
        <v>0</v>
      </c>
      <c r="AE874" s="96">
        <f>IF(R874=0,0,COUNTIFS('VÍNCULOS_CDF'!$R$6:$R$1005,A874,'VÍNCULOS_CDF'!$AA$6:$AA$1005,1))</f>
        <v>0</v>
      </c>
      <c r="AF874" s="96">
        <f>IF(R874=0,0,COUNTIFS('VÍNCULOS_CDF'!$R$6:$R$1005,A874,'VÍNCULOS_CDF'!$Y$6:$Y$1005,1))</f>
        <v>0</v>
      </c>
      <c r="AG874" s="96" t="str">
        <f>IF(AND(R874=1,S874&lt;&gt;"",C874&lt;&gt;""),S874&amp;"|"&amp;C874&amp;"|"&amp;G874&amp;"|"&amp;H874,"")</f>
        <v/>
      </c>
      <c r="AH874" s="96">
        <f>IF(AG874="",0,IF(SUMPRODUCT(--($AG$6:$AG$1005=AG874))&gt;1,1,0))</f>
        <v>0</v>
      </c>
      <c r="AI874" s="96">
        <f>IF(R874=0,0,IF(OR(U874=0,V874=0,Y874=0,AND(AH874=1,K874&lt;&gt;"Sim")),1,0))</f>
        <v>0</v>
      </c>
      <c r="AJ874" s="96">
        <f>IF(AND(R874=1,AA874&gt;0,AB874=AA874),1,0)</f>
        <v>0</v>
      </c>
      <c r="AK874" s="96">
        <f>IF(R874=0,0,IF(AA874&gt;0,N(L874),IF(ISNUMBER(I874),I874,0)))</f>
        <v>0</v>
      </c>
      <c r="AL874" s="96">
        <f>IF(R874=0,0,IF(AND(K874&lt;&gt;"Sim",N(M874)&gt;AK874+cfg_tol),1,0))</f>
        <v>0</v>
      </c>
      <c r="AM874" s="96">
        <f>IF(R874=0,0,IF(K874="Sim",0,IF(OR(AND(AA874&gt;0,ISNUMBER(I874),ABS(I874-N(L874))&gt;cfg_tol),AL874=1),1,0)))</f>
        <v>0</v>
      </c>
      <c r="AN874" s="96">
        <f>IF(AND(R874=1,N(M874)&gt;0,OR(N(M874)&gt;=AK874-cfg_tol,K874="Sim")),1,0)</f>
        <v>0</v>
      </c>
      <c r="AO874" s="96">
        <f>IF(AND(AN874=1,AD874&gt;0,AE874=AD874,AL874=0),1,0)</f>
        <v>0</v>
      </c>
      <c r="AP874" s="96">
        <f>IF(U874=0,0,IF(AND(INDEX('MTRs'!$AX$6:$AX$505,T874)=1,Z874=0,OR(f_res="",f_res="(Todos)",C874=f_res)),1,0))</f>
        <v>0</v>
      </c>
      <c r="AQ874" s="97" t="str">
        <f>IF(U874=0,"",INDEX('MTRs'!$AZ$6:$AZ$505,T874))</f>
        <v/>
      </c>
      <c r="AR874" s="96">
        <f>IF(U874=0,0,IF(AND(INDEX('MTRs'!$BA$6:$BA$505,T874)=1,Z874=0),1,0))</f>
        <v>0</v>
      </c>
      <c r="AS874" s="96" t="str">
        <f>IF(R874=1,A874&amp;" | MTR "&amp;IF(U874=1,INDEX('MTRs'!$B$6:$B$505,T874)&amp;"","?")&amp;" | "&amp;IF(C874="","(sem resíduo)",C874),"")</f>
        <v/>
      </c>
      <c r="AT874" s="96" t="str">
        <f>IF(R874=1,COUNTIF($R$6:R874,1),"")</f>
        <v/>
      </c>
      <c r="AU874" s="96" t="str">
        <f>IF(U874=1,INDEX('MTRs'!$I$6:$I$505,T874)&amp;"","")</f>
        <v/>
      </c>
    </row>
    <row r="875">
      <c r="A875" s="89" t="inlineStr">
        <is>
          <t>IT-000870</t>
        </is>
      </c>
      <c r="B875" s="91" t="n"/>
      <c r="C875" s="91" t="n"/>
      <c r="D875" s="94" t="str">
        <f>IF(OR(R875=0,V875=0),"",INDEX('CAD_RESÍDUOS'!$E$6:$E$205,MATCH(C875,'CAD_RESÍDUOS'!$B$6:$B$205,0))&amp;"")</f>
        <v/>
      </c>
      <c r="E875" s="94" t="str">
        <f>IF(OR(R875=0,V875=0),"",INDEX('CAD_RESÍDUOS'!$C$6:$C$205,MATCH(C875,'CAD_RESÍDUOS'!$B$6:$B$205,0))&amp;"")</f>
        <v/>
      </c>
      <c r="F875" s="94" t="str">
        <f>IF(OR(R875=0,V875=0),"",INDEX('CAD_RESÍDUOS'!$G$6:$G$205,MATCH(C875,'CAD_RESÍDUOS'!$B$6:$B$205,0))&amp;"")</f>
        <v/>
      </c>
      <c r="G875" s="98" t="n"/>
      <c r="H875" s="91" t="n"/>
      <c r="I875" s="93" t="str">
        <f>IF(R875=0,"",IF(NOT(ISNUMBER(G875)),"",IF(ISNUMBER(X875),G875*X875,"UNIDADE A CONFERIR")))</f>
        <v/>
      </c>
      <c r="J875" s="91" t="n"/>
      <c r="K875" s="91" t="n"/>
      <c r="L875" s="93" t="str">
        <f>IF(R875=0,"",SUMIFS('RECEBIMENTOS'!$H$6:$H$1005,'RECEBIMENTOS'!$R$6:$R$1005,A875,'RECEBIMENTOS'!$X$6:$X$1005,1))</f>
        <v/>
      </c>
      <c r="M875" s="93" t="str">
        <f>IF(R875=0,"",SUMIFS('VÍNCULOS_CDF'!$H$6:$H$1005,'VÍNCULOS_CDF'!$R$6:$R$1005,A875,'VÍNCULOS_CDF'!$V$6:$V$1005,1))</f>
        <v/>
      </c>
      <c r="N875" s="99" t="str">
        <f>IF(OR(R875=0,AA875=0,NOT(ISNUMBER(I875))),"",I875-N(L875))</f>
        <v/>
      </c>
      <c r="O875" s="100" t="str">
        <f>IF(OR(R875=0,AK875&lt;=0),"",N(M875)/AK875)</f>
        <v/>
      </c>
      <c r="P875" s="94" t="str">
        <f>IF(R875=0,"",IF(S875="","Sem MTR associado",IF(U875=0,"MTR inexistente",IF(C875="","Resíduo não identificado",IF(V875=0,"Resíduo fora do cadastro",IF(W875=0,"Quantidade inválida",IF(H875="","Unidade não informada",IF(NOT(ISNUMBER(I875)),"Unidade a conferir",IF(AND(AH875=1,K875&lt;&gt;"Sim"),"Possível duplicidade",IF(Z875=1,"MTR cancelado",IF(AC875&gt;0,"Recebimento com alerta",IF(AA875=0,"Aguardando recebimento",IF(AB875&lt;AA875,"Recebimento a conferir",IF(AM875=1,"Quantidade a revisar",IF(AF875&gt;0,"Vínculo a revisar",IF(AD875=0,"Aguardando CDF",IF(AN875=0,"Vínculo de CDF parcial",IF(AE875&lt;AD875,"CDF a conferir","Documentação conferida"))))))))))))))))))</f>
        <v/>
      </c>
      <c r="Q875" s="93" t="str">
        <f>IF(OR(R875=0,AA875=0),"",MAX(0,N(L875)-N(M875)))</f>
        <v/>
      </c>
      <c r="R875" s="96">
        <f>IF(COUNTA(B875:C875,G875:H875,J875:K875)&gt;0,1,0)</f>
        <v>0</v>
      </c>
      <c r="S875" s="96" t="str">
        <f>IF(B875="","",TRIM(LEFT(B875,FIND(" |",B875&amp;" |")-1)))</f>
        <v/>
      </c>
      <c r="T875" s="96" t="str">
        <f>IF(S875="","",IFERROR(MATCH(S875,'MTRs'!$A$6:$A$505,0),""))</f>
        <v/>
      </c>
      <c r="U875" s="96">
        <f>IF(T875="",0,IF(INDEX('MTRs'!$Z$6:$Z$505,T875)=1,1,0))</f>
        <v>0</v>
      </c>
      <c r="V875" s="96">
        <f>IF(C875="",0,IF(ISNUMBER(MATCH(C875,'CAD_RESÍDUOS'!$B$6:$B$205,0)),1,0))</f>
        <v>0</v>
      </c>
      <c r="W875" s="96">
        <f>IF(AND(ISNUMBER(G875),G875&gt;0),1,0)</f>
        <v>0</v>
      </c>
      <c r="X875" s="96" t="str">
        <f>IF(H875="","",IFERROR(IF(ISNUMBER(INDEX(cfg_fac,MATCH(H875,cfg_units,0))),IF(INDEX(cfg_fac,MATCH(H875,cfg_units,0))&gt;0,INDEX(cfg_fac,MATCH(H875,cfg_units,0)),""),""),""))</f>
        <v/>
      </c>
      <c r="Y875" s="96">
        <f>IF(AND(W875=1,ISNUMBER(I875)),1,0)</f>
        <v>0</v>
      </c>
      <c r="Z875" s="96">
        <f>IF(U875=1,INDEX('MTRs'!$AA$6:$AA$505,T875),0)</f>
        <v>0</v>
      </c>
      <c r="AA875" s="96">
        <f>IF(R875=0,0,COUNTIFS('RECEBIMENTOS'!$R$6:$R$1005,A875,'RECEBIMENTOS'!$Q$6:$Q$1005,1))</f>
        <v>0</v>
      </c>
      <c r="AB875" s="96">
        <f>IF(R875=0,0,COUNTIFS('RECEBIMENTOS'!$R$6:$R$1005,A875,'RECEBIMENTOS'!$Z$6:$Z$1005,1))</f>
        <v>0</v>
      </c>
      <c r="AC875" s="96">
        <f>IF(R875=0,0,COUNTIFS('RECEBIMENTOS'!$R$6:$R$1005,A875,'RECEBIMENTOS'!$Y$6:$Y$1005,1))</f>
        <v>0</v>
      </c>
      <c r="AD875" s="96">
        <f>IF(R875=0,0,COUNTIFS('VÍNCULOS_CDF'!$R$6:$R$1005,A875,'VÍNCULOS_CDF'!$N$6:$N$1005,1))</f>
        <v>0</v>
      </c>
      <c r="AE875" s="96">
        <f>IF(R875=0,0,COUNTIFS('VÍNCULOS_CDF'!$R$6:$R$1005,A875,'VÍNCULOS_CDF'!$AA$6:$AA$1005,1))</f>
        <v>0</v>
      </c>
      <c r="AF875" s="96">
        <f>IF(R875=0,0,COUNTIFS('VÍNCULOS_CDF'!$R$6:$R$1005,A875,'VÍNCULOS_CDF'!$Y$6:$Y$1005,1))</f>
        <v>0</v>
      </c>
      <c r="AG875" s="96" t="str">
        <f>IF(AND(R875=1,S875&lt;&gt;"",C875&lt;&gt;""),S875&amp;"|"&amp;C875&amp;"|"&amp;G875&amp;"|"&amp;H875,"")</f>
        <v/>
      </c>
      <c r="AH875" s="96">
        <f>IF(AG875="",0,IF(SUMPRODUCT(--($AG$6:$AG$1005=AG875))&gt;1,1,0))</f>
        <v>0</v>
      </c>
      <c r="AI875" s="96">
        <f>IF(R875=0,0,IF(OR(U875=0,V875=0,Y875=0,AND(AH875=1,K875&lt;&gt;"Sim")),1,0))</f>
        <v>0</v>
      </c>
      <c r="AJ875" s="96">
        <f>IF(AND(R875=1,AA875&gt;0,AB875=AA875),1,0)</f>
        <v>0</v>
      </c>
      <c r="AK875" s="96">
        <f>IF(R875=0,0,IF(AA875&gt;0,N(L875),IF(ISNUMBER(I875),I875,0)))</f>
        <v>0</v>
      </c>
      <c r="AL875" s="96">
        <f>IF(R875=0,0,IF(AND(K875&lt;&gt;"Sim",N(M875)&gt;AK875+cfg_tol),1,0))</f>
        <v>0</v>
      </c>
      <c r="AM875" s="96">
        <f>IF(R875=0,0,IF(K875="Sim",0,IF(OR(AND(AA875&gt;0,ISNUMBER(I875),ABS(I875-N(L875))&gt;cfg_tol),AL875=1),1,0)))</f>
        <v>0</v>
      </c>
      <c r="AN875" s="96">
        <f>IF(AND(R875=1,N(M875)&gt;0,OR(N(M875)&gt;=AK875-cfg_tol,K875="Sim")),1,0)</f>
        <v>0</v>
      </c>
      <c r="AO875" s="96">
        <f>IF(AND(AN875=1,AD875&gt;0,AE875=AD875,AL875=0),1,0)</f>
        <v>0</v>
      </c>
      <c r="AP875" s="96">
        <f>IF(U875=0,0,IF(AND(INDEX('MTRs'!$AX$6:$AX$505,T875)=1,Z875=0,OR(f_res="",f_res="(Todos)",C875=f_res)),1,0))</f>
        <v>0</v>
      </c>
      <c r="AQ875" s="97" t="str">
        <f>IF(U875=0,"",INDEX('MTRs'!$AZ$6:$AZ$505,T875))</f>
        <v/>
      </c>
      <c r="AR875" s="96">
        <f>IF(U875=0,0,IF(AND(INDEX('MTRs'!$BA$6:$BA$505,T875)=1,Z875=0),1,0))</f>
        <v>0</v>
      </c>
      <c r="AS875" s="96" t="str">
        <f>IF(R875=1,A875&amp;" | MTR "&amp;IF(U875=1,INDEX('MTRs'!$B$6:$B$505,T875)&amp;"","?")&amp;" | "&amp;IF(C875="","(sem resíduo)",C875),"")</f>
        <v/>
      </c>
      <c r="AT875" s="96" t="str">
        <f>IF(R875=1,COUNTIF($R$6:R875,1),"")</f>
        <v/>
      </c>
      <c r="AU875" s="96" t="str">
        <f>IF(U875=1,INDEX('MTRs'!$I$6:$I$505,T875)&amp;"","")</f>
        <v/>
      </c>
    </row>
    <row r="876">
      <c r="A876" s="89" t="inlineStr">
        <is>
          <t>IT-000871</t>
        </is>
      </c>
      <c r="B876" s="91" t="n"/>
      <c r="C876" s="91" t="n"/>
      <c r="D876" s="94" t="str">
        <f>IF(OR(R876=0,V876=0),"",INDEX('CAD_RESÍDUOS'!$E$6:$E$205,MATCH(C876,'CAD_RESÍDUOS'!$B$6:$B$205,0))&amp;"")</f>
        <v/>
      </c>
      <c r="E876" s="94" t="str">
        <f>IF(OR(R876=0,V876=0),"",INDEX('CAD_RESÍDUOS'!$C$6:$C$205,MATCH(C876,'CAD_RESÍDUOS'!$B$6:$B$205,0))&amp;"")</f>
        <v/>
      </c>
      <c r="F876" s="94" t="str">
        <f>IF(OR(R876=0,V876=0),"",INDEX('CAD_RESÍDUOS'!$G$6:$G$205,MATCH(C876,'CAD_RESÍDUOS'!$B$6:$B$205,0))&amp;"")</f>
        <v/>
      </c>
      <c r="G876" s="98" t="n"/>
      <c r="H876" s="91" t="n"/>
      <c r="I876" s="93" t="str">
        <f>IF(R876=0,"",IF(NOT(ISNUMBER(G876)),"",IF(ISNUMBER(X876),G876*X876,"UNIDADE A CONFERIR")))</f>
        <v/>
      </c>
      <c r="J876" s="91" t="n"/>
      <c r="K876" s="91" t="n"/>
      <c r="L876" s="93" t="str">
        <f>IF(R876=0,"",SUMIFS('RECEBIMENTOS'!$H$6:$H$1005,'RECEBIMENTOS'!$R$6:$R$1005,A876,'RECEBIMENTOS'!$X$6:$X$1005,1))</f>
        <v/>
      </c>
      <c r="M876" s="93" t="str">
        <f>IF(R876=0,"",SUMIFS('VÍNCULOS_CDF'!$H$6:$H$1005,'VÍNCULOS_CDF'!$R$6:$R$1005,A876,'VÍNCULOS_CDF'!$V$6:$V$1005,1))</f>
        <v/>
      </c>
      <c r="N876" s="99" t="str">
        <f>IF(OR(R876=0,AA876=0,NOT(ISNUMBER(I876))),"",I876-N(L876))</f>
        <v/>
      </c>
      <c r="O876" s="100" t="str">
        <f>IF(OR(R876=0,AK876&lt;=0),"",N(M876)/AK876)</f>
        <v/>
      </c>
      <c r="P876" s="94" t="str">
        <f>IF(R876=0,"",IF(S876="","Sem MTR associado",IF(U876=0,"MTR inexistente",IF(C876="","Resíduo não identificado",IF(V876=0,"Resíduo fora do cadastro",IF(W876=0,"Quantidade inválida",IF(H876="","Unidade não informada",IF(NOT(ISNUMBER(I876)),"Unidade a conferir",IF(AND(AH876=1,K876&lt;&gt;"Sim"),"Possível duplicidade",IF(Z876=1,"MTR cancelado",IF(AC876&gt;0,"Recebimento com alerta",IF(AA876=0,"Aguardando recebimento",IF(AB876&lt;AA876,"Recebimento a conferir",IF(AM876=1,"Quantidade a revisar",IF(AF876&gt;0,"Vínculo a revisar",IF(AD876=0,"Aguardando CDF",IF(AN876=0,"Vínculo de CDF parcial",IF(AE876&lt;AD876,"CDF a conferir","Documentação conferida"))))))))))))))))))</f>
        <v/>
      </c>
      <c r="Q876" s="93" t="str">
        <f>IF(OR(R876=0,AA876=0),"",MAX(0,N(L876)-N(M876)))</f>
        <v/>
      </c>
      <c r="R876" s="96">
        <f>IF(COUNTA(B876:C876,G876:H876,J876:K876)&gt;0,1,0)</f>
        <v>0</v>
      </c>
      <c r="S876" s="96" t="str">
        <f>IF(B876="","",TRIM(LEFT(B876,FIND(" |",B876&amp;" |")-1)))</f>
        <v/>
      </c>
      <c r="T876" s="96" t="str">
        <f>IF(S876="","",IFERROR(MATCH(S876,'MTRs'!$A$6:$A$505,0),""))</f>
        <v/>
      </c>
      <c r="U876" s="96">
        <f>IF(T876="",0,IF(INDEX('MTRs'!$Z$6:$Z$505,T876)=1,1,0))</f>
        <v>0</v>
      </c>
      <c r="V876" s="96">
        <f>IF(C876="",0,IF(ISNUMBER(MATCH(C876,'CAD_RESÍDUOS'!$B$6:$B$205,0)),1,0))</f>
        <v>0</v>
      </c>
      <c r="W876" s="96">
        <f>IF(AND(ISNUMBER(G876),G876&gt;0),1,0)</f>
        <v>0</v>
      </c>
      <c r="X876" s="96" t="str">
        <f>IF(H876="","",IFERROR(IF(ISNUMBER(INDEX(cfg_fac,MATCH(H876,cfg_units,0))),IF(INDEX(cfg_fac,MATCH(H876,cfg_units,0))&gt;0,INDEX(cfg_fac,MATCH(H876,cfg_units,0)),""),""),""))</f>
        <v/>
      </c>
      <c r="Y876" s="96">
        <f>IF(AND(W876=1,ISNUMBER(I876)),1,0)</f>
        <v>0</v>
      </c>
      <c r="Z876" s="96">
        <f>IF(U876=1,INDEX('MTRs'!$AA$6:$AA$505,T876),0)</f>
        <v>0</v>
      </c>
      <c r="AA876" s="96">
        <f>IF(R876=0,0,COUNTIFS('RECEBIMENTOS'!$R$6:$R$1005,A876,'RECEBIMENTOS'!$Q$6:$Q$1005,1))</f>
        <v>0</v>
      </c>
      <c r="AB876" s="96">
        <f>IF(R876=0,0,COUNTIFS('RECEBIMENTOS'!$R$6:$R$1005,A876,'RECEBIMENTOS'!$Z$6:$Z$1005,1))</f>
        <v>0</v>
      </c>
      <c r="AC876" s="96">
        <f>IF(R876=0,0,COUNTIFS('RECEBIMENTOS'!$R$6:$R$1005,A876,'RECEBIMENTOS'!$Y$6:$Y$1005,1))</f>
        <v>0</v>
      </c>
      <c r="AD876" s="96">
        <f>IF(R876=0,0,COUNTIFS('VÍNCULOS_CDF'!$R$6:$R$1005,A876,'VÍNCULOS_CDF'!$N$6:$N$1005,1))</f>
        <v>0</v>
      </c>
      <c r="AE876" s="96">
        <f>IF(R876=0,0,COUNTIFS('VÍNCULOS_CDF'!$R$6:$R$1005,A876,'VÍNCULOS_CDF'!$AA$6:$AA$1005,1))</f>
        <v>0</v>
      </c>
      <c r="AF876" s="96">
        <f>IF(R876=0,0,COUNTIFS('VÍNCULOS_CDF'!$R$6:$R$1005,A876,'VÍNCULOS_CDF'!$Y$6:$Y$1005,1))</f>
        <v>0</v>
      </c>
      <c r="AG876" s="96" t="str">
        <f>IF(AND(R876=1,S876&lt;&gt;"",C876&lt;&gt;""),S876&amp;"|"&amp;C876&amp;"|"&amp;G876&amp;"|"&amp;H876,"")</f>
        <v/>
      </c>
      <c r="AH876" s="96">
        <f>IF(AG876="",0,IF(SUMPRODUCT(--($AG$6:$AG$1005=AG876))&gt;1,1,0))</f>
        <v>0</v>
      </c>
      <c r="AI876" s="96">
        <f>IF(R876=0,0,IF(OR(U876=0,V876=0,Y876=0,AND(AH876=1,K876&lt;&gt;"Sim")),1,0))</f>
        <v>0</v>
      </c>
      <c r="AJ876" s="96">
        <f>IF(AND(R876=1,AA876&gt;0,AB876=AA876),1,0)</f>
        <v>0</v>
      </c>
      <c r="AK876" s="96">
        <f>IF(R876=0,0,IF(AA876&gt;0,N(L876),IF(ISNUMBER(I876),I876,0)))</f>
        <v>0</v>
      </c>
      <c r="AL876" s="96">
        <f>IF(R876=0,0,IF(AND(K876&lt;&gt;"Sim",N(M876)&gt;AK876+cfg_tol),1,0))</f>
        <v>0</v>
      </c>
      <c r="AM876" s="96">
        <f>IF(R876=0,0,IF(K876="Sim",0,IF(OR(AND(AA876&gt;0,ISNUMBER(I876),ABS(I876-N(L876))&gt;cfg_tol),AL876=1),1,0)))</f>
        <v>0</v>
      </c>
      <c r="AN876" s="96">
        <f>IF(AND(R876=1,N(M876)&gt;0,OR(N(M876)&gt;=AK876-cfg_tol,K876="Sim")),1,0)</f>
        <v>0</v>
      </c>
      <c r="AO876" s="96">
        <f>IF(AND(AN876=1,AD876&gt;0,AE876=AD876,AL876=0),1,0)</f>
        <v>0</v>
      </c>
      <c r="AP876" s="96">
        <f>IF(U876=0,0,IF(AND(INDEX('MTRs'!$AX$6:$AX$505,T876)=1,Z876=0,OR(f_res="",f_res="(Todos)",C876=f_res)),1,0))</f>
        <v>0</v>
      </c>
      <c r="AQ876" s="97" t="str">
        <f>IF(U876=0,"",INDEX('MTRs'!$AZ$6:$AZ$505,T876))</f>
        <v/>
      </c>
      <c r="AR876" s="96">
        <f>IF(U876=0,0,IF(AND(INDEX('MTRs'!$BA$6:$BA$505,T876)=1,Z876=0),1,0))</f>
        <v>0</v>
      </c>
      <c r="AS876" s="96" t="str">
        <f>IF(R876=1,A876&amp;" | MTR "&amp;IF(U876=1,INDEX('MTRs'!$B$6:$B$505,T876)&amp;"","?")&amp;" | "&amp;IF(C876="","(sem resíduo)",C876),"")</f>
        <v/>
      </c>
      <c r="AT876" s="96" t="str">
        <f>IF(R876=1,COUNTIF($R$6:R876,1),"")</f>
        <v/>
      </c>
      <c r="AU876" s="96" t="str">
        <f>IF(U876=1,INDEX('MTRs'!$I$6:$I$505,T876)&amp;"","")</f>
        <v/>
      </c>
    </row>
    <row r="877">
      <c r="A877" s="89" t="inlineStr">
        <is>
          <t>IT-000872</t>
        </is>
      </c>
      <c r="B877" s="91" t="n"/>
      <c r="C877" s="91" t="n"/>
      <c r="D877" s="94" t="str">
        <f>IF(OR(R877=0,V877=0),"",INDEX('CAD_RESÍDUOS'!$E$6:$E$205,MATCH(C877,'CAD_RESÍDUOS'!$B$6:$B$205,0))&amp;"")</f>
        <v/>
      </c>
      <c r="E877" s="94" t="str">
        <f>IF(OR(R877=0,V877=0),"",INDEX('CAD_RESÍDUOS'!$C$6:$C$205,MATCH(C877,'CAD_RESÍDUOS'!$B$6:$B$205,0))&amp;"")</f>
        <v/>
      </c>
      <c r="F877" s="94" t="str">
        <f>IF(OR(R877=0,V877=0),"",INDEX('CAD_RESÍDUOS'!$G$6:$G$205,MATCH(C877,'CAD_RESÍDUOS'!$B$6:$B$205,0))&amp;"")</f>
        <v/>
      </c>
      <c r="G877" s="98" t="n"/>
      <c r="H877" s="91" t="n"/>
      <c r="I877" s="93" t="str">
        <f>IF(R877=0,"",IF(NOT(ISNUMBER(G877)),"",IF(ISNUMBER(X877),G877*X877,"UNIDADE A CONFERIR")))</f>
        <v/>
      </c>
      <c r="J877" s="91" t="n"/>
      <c r="K877" s="91" t="n"/>
      <c r="L877" s="93" t="str">
        <f>IF(R877=0,"",SUMIFS('RECEBIMENTOS'!$H$6:$H$1005,'RECEBIMENTOS'!$R$6:$R$1005,A877,'RECEBIMENTOS'!$X$6:$X$1005,1))</f>
        <v/>
      </c>
      <c r="M877" s="93" t="str">
        <f>IF(R877=0,"",SUMIFS('VÍNCULOS_CDF'!$H$6:$H$1005,'VÍNCULOS_CDF'!$R$6:$R$1005,A877,'VÍNCULOS_CDF'!$V$6:$V$1005,1))</f>
        <v/>
      </c>
      <c r="N877" s="99" t="str">
        <f>IF(OR(R877=0,AA877=0,NOT(ISNUMBER(I877))),"",I877-N(L877))</f>
        <v/>
      </c>
      <c r="O877" s="100" t="str">
        <f>IF(OR(R877=0,AK877&lt;=0),"",N(M877)/AK877)</f>
        <v/>
      </c>
      <c r="P877" s="94" t="str">
        <f>IF(R877=0,"",IF(S877="","Sem MTR associado",IF(U877=0,"MTR inexistente",IF(C877="","Resíduo não identificado",IF(V877=0,"Resíduo fora do cadastro",IF(W877=0,"Quantidade inválida",IF(H877="","Unidade não informada",IF(NOT(ISNUMBER(I877)),"Unidade a conferir",IF(AND(AH877=1,K877&lt;&gt;"Sim"),"Possível duplicidade",IF(Z877=1,"MTR cancelado",IF(AC877&gt;0,"Recebimento com alerta",IF(AA877=0,"Aguardando recebimento",IF(AB877&lt;AA877,"Recebimento a conferir",IF(AM877=1,"Quantidade a revisar",IF(AF877&gt;0,"Vínculo a revisar",IF(AD877=0,"Aguardando CDF",IF(AN877=0,"Vínculo de CDF parcial",IF(AE877&lt;AD877,"CDF a conferir","Documentação conferida"))))))))))))))))))</f>
        <v/>
      </c>
      <c r="Q877" s="93" t="str">
        <f>IF(OR(R877=0,AA877=0),"",MAX(0,N(L877)-N(M877)))</f>
        <v/>
      </c>
      <c r="R877" s="96">
        <f>IF(COUNTA(B877:C877,G877:H877,J877:K877)&gt;0,1,0)</f>
        <v>0</v>
      </c>
      <c r="S877" s="96" t="str">
        <f>IF(B877="","",TRIM(LEFT(B877,FIND(" |",B877&amp;" |")-1)))</f>
        <v/>
      </c>
      <c r="T877" s="96" t="str">
        <f>IF(S877="","",IFERROR(MATCH(S877,'MTRs'!$A$6:$A$505,0),""))</f>
        <v/>
      </c>
      <c r="U877" s="96">
        <f>IF(T877="",0,IF(INDEX('MTRs'!$Z$6:$Z$505,T877)=1,1,0))</f>
        <v>0</v>
      </c>
      <c r="V877" s="96">
        <f>IF(C877="",0,IF(ISNUMBER(MATCH(C877,'CAD_RESÍDUOS'!$B$6:$B$205,0)),1,0))</f>
        <v>0</v>
      </c>
      <c r="W877" s="96">
        <f>IF(AND(ISNUMBER(G877),G877&gt;0),1,0)</f>
        <v>0</v>
      </c>
      <c r="X877" s="96" t="str">
        <f>IF(H877="","",IFERROR(IF(ISNUMBER(INDEX(cfg_fac,MATCH(H877,cfg_units,0))),IF(INDEX(cfg_fac,MATCH(H877,cfg_units,0))&gt;0,INDEX(cfg_fac,MATCH(H877,cfg_units,0)),""),""),""))</f>
        <v/>
      </c>
      <c r="Y877" s="96">
        <f>IF(AND(W877=1,ISNUMBER(I877)),1,0)</f>
        <v>0</v>
      </c>
      <c r="Z877" s="96">
        <f>IF(U877=1,INDEX('MTRs'!$AA$6:$AA$505,T877),0)</f>
        <v>0</v>
      </c>
      <c r="AA877" s="96">
        <f>IF(R877=0,0,COUNTIFS('RECEBIMENTOS'!$R$6:$R$1005,A877,'RECEBIMENTOS'!$Q$6:$Q$1005,1))</f>
        <v>0</v>
      </c>
      <c r="AB877" s="96">
        <f>IF(R877=0,0,COUNTIFS('RECEBIMENTOS'!$R$6:$R$1005,A877,'RECEBIMENTOS'!$Z$6:$Z$1005,1))</f>
        <v>0</v>
      </c>
      <c r="AC877" s="96">
        <f>IF(R877=0,0,COUNTIFS('RECEBIMENTOS'!$R$6:$R$1005,A877,'RECEBIMENTOS'!$Y$6:$Y$1005,1))</f>
        <v>0</v>
      </c>
      <c r="AD877" s="96">
        <f>IF(R877=0,0,COUNTIFS('VÍNCULOS_CDF'!$R$6:$R$1005,A877,'VÍNCULOS_CDF'!$N$6:$N$1005,1))</f>
        <v>0</v>
      </c>
      <c r="AE877" s="96">
        <f>IF(R877=0,0,COUNTIFS('VÍNCULOS_CDF'!$R$6:$R$1005,A877,'VÍNCULOS_CDF'!$AA$6:$AA$1005,1))</f>
        <v>0</v>
      </c>
      <c r="AF877" s="96">
        <f>IF(R877=0,0,COUNTIFS('VÍNCULOS_CDF'!$R$6:$R$1005,A877,'VÍNCULOS_CDF'!$Y$6:$Y$1005,1))</f>
        <v>0</v>
      </c>
      <c r="AG877" s="96" t="str">
        <f>IF(AND(R877=1,S877&lt;&gt;"",C877&lt;&gt;""),S877&amp;"|"&amp;C877&amp;"|"&amp;G877&amp;"|"&amp;H877,"")</f>
        <v/>
      </c>
      <c r="AH877" s="96">
        <f>IF(AG877="",0,IF(SUMPRODUCT(--($AG$6:$AG$1005=AG877))&gt;1,1,0))</f>
        <v>0</v>
      </c>
      <c r="AI877" s="96">
        <f>IF(R877=0,0,IF(OR(U877=0,V877=0,Y877=0,AND(AH877=1,K877&lt;&gt;"Sim")),1,0))</f>
        <v>0</v>
      </c>
      <c r="AJ877" s="96">
        <f>IF(AND(R877=1,AA877&gt;0,AB877=AA877),1,0)</f>
        <v>0</v>
      </c>
      <c r="AK877" s="96">
        <f>IF(R877=0,0,IF(AA877&gt;0,N(L877),IF(ISNUMBER(I877),I877,0)))</f>
        <v>0</v>
      </c>
      <c r="AL877" s="96">
        <f>IF(R877=0,0,IF(AND(K877&lt;&gt;"Sim",N(M877)&gt;AK877+cfg_tol),1,0))</f>
        <v>0</v>
      </c>
      <c r="AM877" s="96">
        <f>IF(R877=0,0,IF(K877="Sim",0,IF(OR(AND(AA877&gt;0,ISNUMBER(I877),ABS(I877-N(L877))&gt;cfg_tol),AL877=1),1,0)))</f>
        <v>0</v>
      </c>
      <c r="AN877" s="96">
        <f>IF(AND(R877=1,N(M877)&gt;0,OR(N(M877)&gt;=AK877-cfg_tol,K877="Sim")),1,0)</f>
        <v>0</v>
      </c>
      <c r="AO877" s="96">
        <f>IF(AND(AN877=1,AD877&gt;0,AE877=AD877,AL877=0),1,0)</f>
        <v>0</v>
      </c>
      <c r="AP877" s="96">
        <f>IF(U877=0,0,IF(AND(INDEX('MTRs'!$AX$6:$AX$505,T877)=1,Z877=0,OR(f_res="",f_res="(Todos)",C877=f_res)),1,0))</f>
        <v>0</v>
      </c>
      <c r="AQ877" s="97" t="str">
        <f>IF(U877=0,"",INDEX('MTRs'!$AZ$6:$AZ$505,T877))</f>
        <v/>
      </c>
      <c r="AR877" s="96">
        <f>IF(U877=0,0,IF(AND(INDEX('MTRs'!$BA$6:$BA$505,T877)=1,Z877=0),1,0))</f>
        <v>0</v>
      </c>
      <c r="AS877" s="96" t="str">
        <f>IF(R877=1,A877&amp;" | MTR "&amp;IF(U877=1,INDEX('MTRs'!$B$6:$B$505,T877)&amp;"","?")&amp;" | "&amp;IF(C877="","(sem resíduo)",C877),"")</f>
        <v/>
      </c>
      <c r="AT877" s="96" t="str">
        <f>IF(R877=1,COUNTIF($R$6:R877,1),"")</f>
        <v/>
      </c>
      <c r="AU877" s="96" t="str">
        <f>IF(U877=1,INDEX('MTRs'!$I$6:$I$505,T877)&amp;"","")</f>
        <v/>
      </c>
    </row>
    <row r="878">
      <c r="A878" s="89" t="inlineStr">
        <is>
          <t>IT-000873</t>
        </is>
      </c>
      <c r="B878" s="91" t="n"/>
      <c r="C878" s="91" t="n"/>
      <c r="D878" s="94" t="str">
        <f>IF(OR(R878=0,V878=0),"",INDEX('CAD_RESÍDUOS'!$E$6:$E$205,MATCH(C878,'CAD_RESÍDUOS'!$B$6:$B$205,0))&amp;"")</f>
        <v/>
      </c>
      <c r="E878" s="94" t="str">
        <f>IF(OR(R878=0,V878=0),"",INDEX('CAD_RESÍDUOS'!$C$6:$C$205,MATCH(C878,'CAD_RESÍDUOS'!$B$6:$B$205,0))&amp;"")</f>
        <v/>
      </c>
      <c r="F878" s="94" t="str">
        <f>IF(OR(R878=0,V878=0),"",INDEX('CAD_RESÍDUOS'!$G$6:$G$205,MATCH(C878,'CAD_RESÍDUOS'!$B$6:$B$205,0))&amp;"")</f>
        <v/>
      </c>
      <c r="G878" s="98" t="n"/>
      <c r="H878" s="91" t="n"/>
      <c r="I878" s="93" t="str">
        <f>IF(R878=0,"",IF(NOT(ISNUMBER(G878)),"",IF(ISNUMBER(X878),G878*X878,"UNIDADE A CONFERIR")))</f>
        <v/>
      </c>
      <c r="J878" s="91" t="n"/>
      <c r="K878" s="91" t="n"/>
      <c r="L878" s="93" t="str">
        <f>IF(R878=0,"",SUMIFS('RECEBIMENTOS'!$H$6:$H$1005,'RECEBIMENTOS'!$R$6:$R$1005,A878,'RECEBIMENTOS'!$X$6:$X$1005,1))</f>
        <v/>
      </c>
      <c r="M878" s="93" t="str">
        <f>IF(R878=0,"",SUMIFS('VÍNCULOS_CDF'!$H$6:$H$1005,'VÍNCULOS_CDF'!$R$6:$R$1005,A878,'VÍNCULOS_CDF'!$V$6:$V$1005,1))</f>
        <v/>
      </c>
      <c r="N878" s="99" t="str">
        <f>IF(OR(R878=0,AA878=0,NOT(ISNUMBER(I878))),"",I878-N(L878))</f>
        <v/>
      </c>
      <c r="O878" s="100" t="str">
        <f>IF(OR(R878=0,AK878&lt;=0),"",N(M878)/AK878)</f>
        <v/>
      </c>
      <c r="P878" s="94" t="str">
        <f>IF(R878=0,"",IF(S878="","Sem MTR associado",IF(U878=0,"MTR inexistente",IF(C878="","Resíduo não identificado",IF(V878=0,"Resíduo fora do cadastro",IF(W878=0,"Quantidade inválida",IF(H878="","Unidade não informada",IF(NOT(ISNUMBER(I878)),"Unidade a conferir",IF(AND(AH878=1,K878&lt;&gt;"Sim"),"Possível duplicidade",IF(Z878=1,"MTR cancelado",IF(AC878&gt;0,"Recebimento com alerta",IF(AA878=0,"Aguardando recebimento",IF(AB878&lt;AA878,"Recebimento a conferir",IF(AM878=1,"Quantidade a revisar",IF(AF878&gt;0,"Vínculo a revisar",IF(AD878=0,"Aguardando CDF",IF(AN878=0,"Vínculo de CDF parcial",IF(AE878&lt;AD878,"CDF a conferir","Documentação conferida"))))))))))))))))))</f>
        <v/>
      </c>
      <c r="Q878" s="93" t="str">
        <f>IF(OR(R878=0,AA878=0),"",MAX(0,N(L878)-N(M878)))</f>
        <v/>
      </c>
      <c r="R878" s="96">
        <f>IF(COUNTA(B878:C878,G878:H878,J878:K878)&gt;0,1,0)</f>
        <v>0</v>
      </c>
      <c r="S878" s="96" t="str">
        <f>IF(B878="","",TRIM(LEFT(B878,FIND(" |",B878&amp;" |")-1)))</f>
        <v/>
      </c>
      <c r="T878" s="96" t="str">
        <f>IF(S878="","",IFERROR(MATCH(S878,'MTRs'!$A$6:$A$505,0),""))</f>
        <v/>
      </c>
      <c r="U878" s="96">
        <f>IF(T878="",0,IF(INDEX('MTRs'!$Z$6:$Z$505,T878)=1,1,0))</f>
        <v>0</v>
      </c>
      <c r="V878" s="96">
        <f>IF(C878="",0,IF(ISNUMBER(MATCH(C878,'CAD_RESÍDUOS'!$B$6:$B$205,0)),1,0))</f>
        <v>0</v>
      </c>
      <c r="W878" s="96">
        <f>IF(AND(ISNUMBER(G878),G878&gt;0),1,0)</f>
        <v>0</v>
      </c>
      <c r="X878" s="96" t="str">
        <f>IF(H878="","",IFERROR(IF(ISNUMBER(INDEX(cfg_fac,MATCH(H878,cfg_units,0))),IF(INDEX(cfg_fac,MATCH(H878,cfg_units,0))&gt;0,INDEX(cfg_fac,MATCH(H878,cfg_units,0)),""),""),""))</f>
        <v/>
      </c>
      <c r="Y878" s="96">
        <f>IF(AND(W878=1,ISNUMBER(I878)),1,0)</f>
        <v>0</v>
      </c>
      <c r="Z878" s="96">
        <f>IF(U878=1,INDEX('MTRs'!$AA$6:$AA$505,T878),0)</f>
        <v>0</v>
      </c>
      <c r="AA878" s="96">
        <f>IF(R878=0,0,COUNTIFS('RECEBIMENTOS'!$R$6:$R$1005,A878,'RECEBIMENTOS'!$Q$6:$Q$1005,1))</f>
        <v>0</v>
      </c>
      <c r="AB878" s="96">
        <f>IF(R878=0,0,COUNTIFS('RECEBIMENTOS'!$R$6:$R$1005,A878,'RECEBIMENTOS'!$Z$6:$Z$1005,1))</f>
        <v>0</v>
      </c>
      <c r="AC878" s="96">
        <f>IF(R878=0,0,COUNTIFS('RECEBIMENTOS'!$R$6:$R$1005,A878,'RECEBIMENTOS'!$Y$6:$Y$1005,1))</f>
        <v>0</v>
      </c>
      <c r="AD878" s="96">
        <f>IF(R878=0,0,COUNTIFS('VÍNCULOS_CDF'!$R$6:$R$1005,A878,'VÍNCULOS_CDF'!$N$6:$N$1005,1))</f>
        <v>0</v>
      </c>
      <c r="AE878" s="96">
        <f>IF(R878=0,0,COUNTIFS('VÍNCULOS_CDF'!$R$6:$R$1005,A878,'VÍNCULOS_CDF'!$AA$6:$AA$1005,1))</f>
        <v>0</v>
      </c>
      <c r="AF878" s="96">
        <f>IF(R878=0,0,COUNTIFS('VÍNCULOS_CDF'!$R$6:$R$1005,A878,'VÍNCULOS_CDF'!$Y$6:$Y$1005,1))</f>
        <v>0</v>
      </c>
      <c r="AG878" s="96" t="str">
        <f>IF(AND(R878=1,S878&lt;&gt;"",C878&lt;&gt;""),S878&amp;"|"&amp;C878&amp;"|"&amp;G878&amp;"|"&amp;H878,"")</f>
        <v/>
      </c>
      <c r="AH878" s="96">
        <f>IF(AG878="",0,IF(SUMPRODUCT(--($AG$6:$AG$1005=AG878))&gt;1,1,0))</f>
        <v>0</v>
      </c>
      <c r="AI878" s="96">
        <f>IF(R878=0,0,IF(OR(U878=0,V878=0,Y878=0,AND(AH878=1,K878&lt;&gt;"Sim")),1,0))</f>
        <v>0</v>
      </c>
      <c r="AJ878" s="96">
        <f>IF(AND(R878=1,AA878&gt;0,AB878=AA878),1,0)</f>
        <v>0</v>
      </c>
      <c r="AK878" s="96">
        <f>IF(R878=0,0,IF(AA878&gt;0,N(L878),IF(ISNUMBER(I878),I878,0)))</f>
        <v>0</v>
      </c>
      <c r="AL878" s="96">
        <f>IF(R878=0,0,IF(AND(K878&lt;&gt;"Sim",N(M878)&gt;AK878+cfg_tol),1,0))</f>
        <v>0</v>
      </c>
      <c r="AM878" s="96">
        <f>IF(R878=0,0,IF(K878="Sim",0,IF(OR(AND(AA878&gt;0,ISNUMBER(I878),ABS(I878-N(L878))&gt;cfg_tol),AL878=1),1,0)))</f>
        <v>0</v>
      </c>
      <c r="AN878" s="96">
        <f>IF(AND(R878=1,N(M878)&gt;0,OR(N(M878)&gt;=AK878-cfg_tol,K878="Sim")),1,0)</f>
        <v>0</v>
      </c>
      <c r="AO878" s="96">
        <f>IF(AND(AN878=1,AD878&gt;0,AE878=AD878,AL878=0),1,0)</f>
        <v>0</v>
      </c>
      <c r="AP878" s="96">
        <f>IF(U878=0,0,IF(AND(INDEX('MTRs'!$AX$6:$AX$505,T878)=1,Z878=0,OR(f_res="",f_res="(Todos)",C878=f_res)),1,0))</f>
        <v>0</v>
      </c>
      <c r="AQ878" s="97" t="str">
        <f>IF(U878=0,"",INDEX('MTRs'!$AZ$6:$AZ$505,T878))</f>
        <v/>
      </c>
      <c r="AR878" s="96">
        <f>IF(U878=0,0,IF(AND(INDEX('MTRs'!$BA$6:$BA$505,T878)=1,Z878=0),1,0))</f>
        <v>0</v>
      </c>
      <c r="AS878" s="96" t="str">
        <f>IF(R878=1,A878&amp;" | MTR "&amp;IF(U878=1,INDEX('MTRs'!$B$6:$B$505,T878)&amp;"","?")&amp;" | "&amp;IF(C878="","(sem resíduo)",C878),"")</f>
        <v/>
      </c>
      <c r="AT878" s="96" t="str">
        <f>IF(R878=1,COUNTIF($R$6:R878,1),"")</f>
        <v/>
      </c>
      <c r="AU878" s="96" t="str">
        <f>IF(U878=1,INDEX('MTRs'!$I$6:$I$505,T878)&amp;"","")</f>
        <v/>
      </c>
    </row>
    <row r="879">
      <c r="A879" s="89" t="inlineStr">
        <is>
          <t>IT-000874</t>
        </is>
      </c>
      <c r="B879" s="91" t="n"/>
      <c r="C879" s="91" t="n"/>
      <c r="D879" s="94" t="str">
        <f>IF(OR(R879=0,V879=0),"",INDEX('CAD_RESÍDUOS'!$E$6:$E$205,MATCH(C879,'CAD_RESÍDUOS'!$B$6:$B$205,0))&amp;"")</f>
        <v/>
      </c>
      <c r="E879" s="94" t="str">
        <f>IF(OR(R879=0,V879=0),"",INDEX('CAD_RESÍDUOS'!$C$6:$C$205,MATCH(C879,'CAD_RESÍDUOS'!$B$6:$B$205,0))&amp;"")</f>
        <v/>
      </c>
      <c r="F879" s="94" t="str">
        <f>IF(OR(R879=0,V879=0),"",INDEX('CAD_RESÍDUOS'!$G$6:$G$205,MATCH(C879,'CAD_RESÍDUOS'!$B$6:$B$205,0))&amp;"")</f>
        <v/>
      </c>
      <c r="G879" s="98" t="n"/>
      <c r="H879" s="91" t="n"/>
      <c r="I879" s="93" t="str">
        <f>IF(R879=0,"",IF(NOT(ISNUMBER(G879)),"",IF(ISNUMBER(X879),G879*X879,"UNIDADE A CONFERIR")))</f>
        <v/>
      </c>
      <c r="J879" s="91" t="n"/>
      <c r="K879" s="91" t="n"/>
      <c r="L879" s="93" t="str">
        <f>IF(R879=0,"",SUMIFS('RECEBIMENTOS'!$H$6:$H$1005,'RECEBIMENTOS'!$R$6:$R$1005,A879,'RECEBIMENTOS'!$X$6:$X$1005,1))</f>
        <v/>
      </c>
      <c r="M879" s="93" t="str">
        <f>IF(R879=0,"",SUMIFS('VÍNCULOS_CDF'!$H$6:$H$1005,'VÍNCULOS_CDF'!$R$6:$R$1005,A879,'VÍNCULOS_CDF'!$V$6:$V$1005,1))</f>
        <v/>
      </c>
      <c r="N879" s="99" t="str">
        <f>IF(OR(R879=0,AA879=0,NOT(ISNUMBER(I879))),"",I879-N(L879))</f>
        <v/>
      </c>
      <c r="O879" s="100" t="str">
        <f>IF(OR(R879=0,AK879&lt;=0),"",N(M879)/AK879)</f>
        <v/>
      </c>
      <c r="P879" s="94" t="str">
        <f>IF(R879=0,"",IF(S879="","Sem MTR associado",IF(U879=0,"MTR inexistente",IF(C879="","Resíduo não identificado",IF(V879=0,"Resíduo fora do cadastro",IF(W879=0,"Quantidade inválida",IF(H879="","Unidade não informada",IF(NOT(ISNUMBER(I879)),"Unidade a conferir",IF(AND(AH879=1,K879&lt;&gt;"Sim"),"Possível duplicidade",IF(Z879=1,"MTR cancelado",IF(AC879&gt;0,"Recebimento com alerta",IF(AA879=0,"Aguardando recebimento",IF(AB879&lt;AA879,"Recebimento a conferir",IF(AM879=1,"Quantidade a revisar",IF(AF879&gt;0,"Vínculo a revisar",IF(AD879=0,"Aguardando CDF",IF(AN879=0,"Vínculo de CDF parcial",IF(AE879&lt;AD879,"CDF a conferir","Documentação conferida"))))))))))))))))))</f>
        <v/>
      </c>
      <c r="Q879" s="93" t="str">
        <f>IF(OR(R879=0,AA879=0),"",MAX(0,N(L879)-N(M879)))</f>
        <v/>
      </c>
      <c r="R879" s="96">
        <f>IF(COUNTA(B879:C879,G879:H879,J879:K879)&gt;0,1,0)</f>
        <v>0</v>
      </c>
      <c r="S879" s="96" t="str">
        <f>IF(B879="","",TRIM(LEFT(B879,FIND(" |",B879&amp;" |")-1)))</f>
        <v/>
      </c>
      <c r="T879" s="96" t="str">
        <f>IF(S879="","",IFERROR(MATCH(S879,'MTRs'!$A$6:$A$505,0),""))</f>
        <v/>
      </c>
      <c r="U879" s="96">
        <f>IF(T879="",0,IF(INDEX('MTRs'!$Z$6:$Z$505,T879)=1,1,0))</f>
        <v>0</v>
      </c>
      <c r="V879" s="96">
        <f>IF(C879="",0,IF(ISNUMBER(MATCH(C879,'CAD_RESÍDUOS'!$B$6:$B$205,0)),1,0))</f>
        <v>0</v>
      </c>
      <c r="W879" s="96">
        <f>IF(AND(ISNUMBER(G879),G879&gt;0),1,0)</f>
        <v>0</v>
      </c>
      <c r="X879" s="96" t="str">
        <f>IF(H879="","",IFERROR(IF(ISNUMBER(INDEX(cfg_fac,MATCH(H879,cfg_units,0))),IF(INDEX(cfg_fac,MATCH(H879,cfg_units,0))&gt;0,INDEX(cfg_fac,MATCH(H879,cfg_units,0)),""),""),""))</f>
        <v/>
      </c>
      <c r="Y879" s="96">
        <f>IF(AND(W879=1,ISNUMBER(I879)),1,0)</f>
        <v>0</v>
      </c>
      <c r="Z879" s="96">
        <f>IF(U879=1,INDEX('MTRs'!$AA$6:$AA$505,T879),0)</f>
        <v>0</v>
      </c>
      <c r="AA879" s="96">
        <f>IF(R879=0,0,COUNTIFS('RECEBIMENTOS'!$R$6:$R$1005,A879,'RECEBIMENTOS'!$Q$6:$Q$1005,1))</f>
        <v>0</v>
      </c>
      <c r="AB879" s="96">
        <f>IF(R879=0,0,COUNTIFS('RECEBIMENTOS'!$R$6:$R$1005,A879,'RECEBIMENTOS'!$Z$6:$Z$1005,1))</f>
        <v>0</v>
      </c>
      <c r="AC879" s="96">
        <f>IF(R879=0,0,COUNTIFS('RECEBIMENTOS'!$R$6:$R$1005,A879,'RECEBIMENTOS'!$Y$6:$Y$1005,1))</f>
        <v>0</v>
      </c>
      <c r="AD879" s="96">
        <f>IF(R879=0,0,COUNTIFS('VÍNCULOS_CDF'!$R$6:$R$1005,A879,'VÍNCULOS_CDF'!$N$6:$N$1005,1))</f>
        <v>0</v>
      </c>
      <c r="AE879" s="96">
        <f>IF(R879=0,0,COUNTIFS('VÍNCULOS_CDF'!$R$6:$R$1005,A879,'VÍNCULOS_CDF'!$AA$6:$AA$1005,1))</f>
        <v>0</v>
      </c>
      <c r="AF879" s="96">
        <f>IF(R879=0,0,COUNTIFS('VÍNCULOS_CDF'!$R$6:$R$1005,A879,'VÍNCULOS_CDF'!$Y$6:$Y$1005,1))</f>
        <v>0</v>
      </c>
      <c r="AG879" s="96" t="str">
        <f>IF(AND(R879=1,S879&lt;&gt;"",C879&lt;&gt;""),S879&amp;"|"&amp;C879&amp;"|"&amp;G879&amp;"|"&amp;H879,"")</f>
        <v/>
      </c>
      <c r="AH879" s="96">
        <f>IF(AG879="",0,IF(SUMPRODUCT(--($AG$6:$AG$1005=AG879))&gt;1,1,0))</f>
        <v>0</v>
      </c>
      <c r="AI879" s="96">
        <f>IF(R879=0,0,IF(OR(U879=0,V879=0,Y879=0,AND(AH879=1,K879&lt;&gt;"Sim")),1,0))</f>
        <v>0</v>
      </c>
      <c r="AJ879" s="96">
        <f>IF(AND(R879=1,AA879&gt;0,AB879=AA879),1,0)</f>
        <v>0</v>
      </c>
      <c r="AK879" s="96">
        <f>IF(R879=0,0,IF(AA879&gt;0,N(L879),IF(ISNUMBER(I879),I879,0)))</f>
        <v>0</v>
      </c>
      <c r="AL879" s="96">
        <f>IF(R879=0,0,IF(AND(K879&lt;&gt;"Sim",N(M879)&gt;AK879+cfg_tol),1,0))</f>
        <v>0</v>
      </c>
      <c r="AM879" s="96">
        <f>IF(R879=0,0,IF(K879="Sim",0,IF(OR(AND(AA879&gt;0,ISNUMBER(I879),ABS(I879-N(L879))&gt;cfg_tol),AL879=1),1,0)))</f>
        <v>0</v>
      </c>
      <c r="AN879" s="96">
        <f>IF(AND(R879=1,N(M879)&gt;0,OR(N(M879)&gt;=AK879-cfg_tol,K879="Sim")),1,0)</f>
        <v>0</v>
      </c>
      <c r="AO879" s="96">
        <f>IF(AND(AN879=1,AD879&gt;0,AE879=AD879,AL879=0),1,0)</f>
        <v>0</v>
      </c>
      <c r="AP879" s="96">
        <f>IF(U879=0,0,IF(AND(INDEX('MTRs'!$AX$6:$AX$505,T879)=1,Z879=0,OR(f_res="",f_res="(Todos)",C879=f_res)),1,0))</f>
        <v>0</v>
      </c>
      <c r="AQ879" s="97" t="str">
        <f>IF(U879=0,"",INDEX('MTRs'!$AZ$6:$AZ$505,T879))</f>
        <v/>
      </c>
      <c r="AR879" s="96">
        <f>IF(U879=0,0,IF(AND(INDEX('MTRs'!$BA$6:$BA$505,T879)=1,Z879=0),1,0))</f>
        <v>0</v>
      </c>
      <c r="AS879" s="96" t="str">
        <f>IF(R879=1,A879&amp;" | MTR "&amp;IF(U879=1,INDEX('MTRs'!$B$6:$B$505,T879)&amp;"","?")&amp;" | "&amp;IF(C879="","(sem resíduo)",C879),"")</f>
        <v/>
      </c>
      <c r="AT879" s="96" t="str">
        <f>IF(R879=1,COUNTIF($R$6:R879,1),"")</f>
        <v/>
      </c>
      <c r="AU879" s="96" t="str">
        <f>IF(U879=1,INDEX('MTRs'!$I$6:$I$505,T879)&amp;"","")</f>
        <v/>
      </c>
    </row>
    <row r="880">
      <c r="A880" s="89" t="inlineStr">
        <is>
          <t>IT-000875</t>
        </is>
      </c>
      <c r="B880" s="91" t="n"/>
      <c r="C880" s="91" t="n"/>
      <c r="D880" s="94" t="str">
        <f>IF(OR(R880=0,V880=0),"",INDEX('CAD_RESÍDUOS'!$E$6:$E$205,MATCH(C880,'CAD_RESÍDUOS'!$B$6:$B$205,0))&amp;"")</f>
        <v/>
      </c>
      <c r="E880" s="94" t="str">
        <f>IF(OR(R880=0,V880=0),"",INDEX('CAD_RESÍDUOS'!$C$6:$C$205,MATCH(C880,'CAD_RESÍDUOS'!$B$6:$B$205,0))&amp;"")</f>
        <v/>
      </c>
      <c r="F880" s="94" t="str">
        <f>IF(OR(R880=0,V880=0),"",INDEX('CAD_RESÍDUOS'!$G$6:$G$205,MATCH(C880,'CAD_RESÍDUOS'!$B$6:$B$205,0))&amp;"")</f>
        <v/>
      </c>
      <c r="G880" s="98" t="n"/>
      <c r="H880" s="91" t="n"/>
      <c r="I880" s="93" t="str">
        <f>IF(R880=0,"",IF(NOT(ISNUMBER(G880)),"",IF(ISNUMBER(X880),G880*X880,"UNIDADE A CONFERIR")))</f>
        <v/>
      </c>
      <c r="J880" s="91" t="n"/>
      <c r="K880" s="91" t="n"/>
      <c r="L880" s="93" t="str">
        <f>IF(R880=0,"",SUMIFS('RECEBIMENTOS'!$H$6:$H$1005,'RECEBIMENTOS'!$R$6:$R$1005,A880,'RECEBIMENTOS'!$X$6:$X$1005,1))</f>
        <v/>
      </c>
      <c r="M880" s="93" t="str">
        <f>IF(R880=0,"",SUMIFS('VÍNCULOS_CDF'!$H$6:$H$1005,'VÍNCULOS_CDF'!$R$6:$R$1005,A880,'VÍNCULOS_CDF'!$V$6:$V$1005,1))</f>
        <v/>
      </c>
      <c r="N880" s="99" t="str">
        <f>IF(OR(R880=0,AA880=0,NOT(ISNUMBER(I880))),"",I880-N(L880))</f>
        <v/>
      </c>
      <c r="O880" s="100" t="str">
        <f>IF(OR(R880=0,AK880&lt;=0),"",N(M880)/AK880)</f>
        <v/>
      </c>
      <c r="P880" s="94" t="str">
        <f>IF(R880=0,"",IF(S880="","Sem MTR associado",IF(U880=0,"MTR inexistente",IF(C880="","Resíduo não identificado",IF(V880=0,"Resíduo fora do cadastro",IF(W880=0,"Quantidade inválida",IF(H880="","Unidade não informada",IF(NOT(ISNUMBER(I880)),"Unidade a conferir",IF(AND(AH880=1,K880&lt;&gt;"Sim"),"Possível duplicidade",IF(Z880=1,"MTR cancelado",IF(AC880&gt;0,"Recebimento com alerta",IF(AA880=0,"Aguardando recebimento",IF(AB880&lt;AA880,"Recebimento a conferir",IF(AM880=1,"Quantidade a revisar",IF(AF880&gt;0,"Vínculo a revisar",IF(AD880=0,"Aguardando CDF",IF(AN880=0,"Vínculo de CDF parcial",IF(AE880&lt;AD880,"CDF a conferir","Documentação conferida"))))))))))))))))))</f>
        <v/>
      </c>
      <c r="Q880" s="93" t="str">
        <f>IF(OR(R880=0,AA880=0),"",MAX(0,N(L880)-N(M880)))</f>
        <v/>
      </c>
      <c r="R880" s="96">
        <f>IF(COUNTA(B880:C880,G880:H880,J880:K880)&gt;0,1,0)</f>
        <v>0</v>
      </c>
      <c r="S880" s="96" t="str">
        <f>IF(B880="","",TRIM(LEFT(B880,FIND(" |",B880&amp;" |")-1)))</f>
        <v/>
      </c>
      <c r="T880" s="96" t="str">
        <f>IF(S880="","",IFERROR(MATCH(S880,'MTRs'!$A$6:$A$505,0),""))</f>
        <v/>
      </c>
      <c r="U880" s="96">
        <f>IF(T880="",0,IF(INDEX('MTRs'!$Z$6:$Z$505,T880)=1,1,0))</f>
        <v>0</v>
      </c>
      <c r="V880" s="96">
        <f>IF(C880="",0,IF(ISNUMBER(MATCH(C880,'CAD_RESÍDUOS'!$B$6:$B$205,0)),1,0))</f>
        <v>0</v>
      </c>
      <c r="W880" s="96">
        <f>IF(AND(ISNUMBER(G880),G880&gt;0),1,0)</f>
        <v>0</v>
      </c>
      <c r="X880" s="96" t="str">
        <f>IF(H880="","",IFERROR(IF(ISNUMBER(INDEX(cfg_fac,MATCH(H880,cfg_units,0))),IF(INDEX(cfg_fac,MATCH(H880,cfg_units,0))&gt;0,INDEX(cfg_fac,MATCH(H880,cfg_units,0)),""),""),""))</f>
        <v/>
      </c>
      <c r="Y880" s="96">
        <f>IF(AND(W880=1,ISNUMBER(I880)),1,0)</f>
        <v>0</v>
      </c>
      <c r="Z880" s="96">
        <f>IF(U880=1,INDEX('MTRs'!$AA$6:$AA$505,T880),0)</f>
        <v>0</v>
      </c>
      <c r="AA880" s="96">
        <f>IF(R880=0,0,COUNTIFS('RECEBIMENTOS'!$R$6:$R$1005,A880,'RECEBIMENTOS'!$Q$6:$Q$1005,1))</f>
        <v>0</v>
      </c>
      <c r="AB880" s="96">
        <f>IF(R880=0,0,COUNTIFS('RECEBIMENTOS'!$R$6:$R$1005,A880,'RECEBIMENTOS'!$Z$6:$Z$1005,1))</f>
        <v>0</v>
      </c>
      <c r="AC880" s="96">
        <f>IF(R880=0,0,COUNTIFS('RECEBIMENTOS'!$R$6:$R$1005,A880,'RECEBIMENTOS'!$Y$6:$Y$1005,1))</f>
        <v>0</v>
      </c>
      <c r="AD880" s="96">
        <f>IF(R880=0,0,COUNTIFS('VÍNCULOS_CDF'!$R$6:$R$1005,A880,'VÍNCULOS_CDF'!$N$6:$N$1005,1))</f>
        <v>0</v>
      </c>
      <c r="AE880" s="96">
        <f>IF(R880=0,0,COUNTIFS('VÍNCULOS_CDF'!$R$6:$R$1005,A880,'VÍNCULOS_CDF'!$AA$6:$AA$1005,1))</f>
        <v>0</v>
      </c>
      <c r="AF880" s="96">
        <f>IF(R880=0,0,COUNTIFS('VÍNCULOS_CDF'!$R$6:$R$1005,A880,'VÍNCULOS_CDF'!$Y$6:$Y$1005,1))</f>
        <v>0</v>
      </c>
      <c r="AG880" s="96" t="str">
        <f>IF(AND(R880=1,S880&lt;&gt;"",C880&lt;&gt;""),S880&amp;"|"&amp;C880&amp;"|"&amp;G880&amp;"|"&amp;H880,"")</f>
        <v/>
      </c>
      <c r="AH880" s="96">
        <f>IF(AG880="",0,IF(SUMPRODUCT(--($AG$6:$AG$1005=AG880))&gt;1,1,0))</f>
        <v>0</v>
      </c>
      <c r="AI880" s="96">
        <f>IF(R880=0,0,IF(OR(U880=0,V880=0,Y880=0,AND(AH880=1,K880&lt;&gt;"Sim")),1,0))</f>
        <v>0</v>
      </c>
      <c r="AJ880" s="96">
        <f>IF(AND(R880=1,AA880&gt;0,AB880=AA880),1,0)</f>
        <v>0</v>
      </c>
      <c r="AK880" s="96">
        <f>IF(R880=0,0,IF(AA880&gt;0,N(L880),IF(ISNUMBER(I880),I880,0)))</f>
        <v>0</v>
      </c>
      <c r="AL880" s="96">
        <f>IF(R880=0,0,IF(AND(K880&lt;&gt;"Sim",N(M880)&gt;AK880+cfg_tol),1,0))</f>
        <v>0</v>
      </c>
      <c r="AM880" s="96">
        <f>IF(R880=0,0,IF(K880="Sim",0,IF(OR(AND(AA880&gt;0,ISNUMBER(I880),ABS(I880-N(L880))&gt;cfg_tol),AL880=1),1,0)))</f>
        <v>0</v>
      </c>
      <c r="AN880" s="96">
        <f>IF(AND(R880=1,N(M880)&gt;0,OR(N(M880)&gt;=AK880-cfg_tol,K880="Sim")),1,0)</f>
        <v>0</v>
      </c>
      <c r="AO880" s="96">
        <f>IF(AND(AN880=1,AD880&gt;0,AE880=AD880,AL880=0),1,0)</f>
        <v>0</v>
      </c>
      <c r="AP880" s="96">
        <f>IF(U880=0,0,IF(AND(INDEX('MTRs'!$AX$6:$AX$505,T880)=1,Z880=0,OR(f_res="",f_res="(Todos)",C880=f_res)),1,0))</f>
        <v>0</v>
      </c>
      <c r="AQ880" s="97" t="str">
        <f>IF(U880=0,"",INDEX('MTRs'!$AZ$6:$AZ$505,T880))</f>
        <v/>
      </c>
      <c r="AR880" s="96">
        <f>IF(U880=0,0,IF(AND(INDEX('MTRs'!$BA$6:$BA$505,T880)=1,Z880=0),1,0))</f>
        <v>0</v>
      </c>
      <c r="AS880" s="96" t="str">
        <f>IF(R880=1,A880&amp;" | MTR "&amp;IF(U880=1,INDEX('MTRs'!$B$6:$B$505,T880)&amp;"","?")&amp;" | "&amp;IF(C880="","(sem resíduo)",C880),"")</f>
        <v/>
      </c>
      <c r="AT880" s="96" t="str">
        <f>IF(R880=1,COUNTIF($R$6:R880,1),"")</f>
        <v/>
      </c>
      <c r="AU880" s="96" t="str">
        <f>IF(U880=1,INDEX('MTRs'!$I$6:$I$505,T880)&amp;"","")</f>
        <v/>
      </c>
    </row>
    <row r="881">
      <c r="A881" s="89" t="inlineStr">
        <is>
          <t>IT-000876</t>
        </is>
      </c>
      <c r="B881" s="91" t="n"/>
      <c r="C881" s="91" t="n"/>
      <c r="D881" s="94" t="str">
        <f>IF(OR(R881=0,V881=0),"",INDEX('CAD_RESÍDUOS'!$E$6:$E$205,MATCH(C881,'CAD_RESÍDUOS'!$B$6:$B$205,0))&amp;"")</f>
        <v/>
      </c>
      <c r="E881" s="94" t="str">
        <f>IF(OR(R881=0,V881=0),"",INDEX('CAD_RESÍDUOS'!$C$6:$C$205,MATCH(C881,'CAD_RESÍDUOS'!$B$6:$B$205,0))&amp;"")</f>
        <v/>
      </c>
      <c r="F881" s="94" t="str">
        <f>IF(OR(R881=0,V881=0),"",INDEX('CAD_RESÍDUOS'!$G$6:$G$205,MATCH(C881,'CAD_RESÍDUOS'!$B$6:$B$205,0))&amp;"")</f>
        <v/>
      </c>
      <c r="G881" s="98" t="n"/>
      <c r="H881" s="91" t="n"/>
      <c r="I881" s="93" t="str">
        <f>IF(R881=0,"",IF(NOT(ISNUMBER(G881)),"",IF(ISNUMBER(X881),G881*X881,"UNIDADE A CONFERIR")))</f>
        <v/>
      </c>
      <c r="J881" s="91" t="n"/>
      <c r="K881" s="91" t="n"/>
      <c r="L881" s="93" t="str">
        <f>IF(R881=0,"",SUMIFS('RECEBIMENTOS'!$H$6:$H$1005,'RECEBIMENTOS'!$R$6:$R$1005,A881,'RECEBIMENTOS'!$X$6:$X$1005,1))</f>
        <v/>
      </c>
      <c r="M881" s="93" t="str">
        <f>IF(R881=0,"",SUMIFS('VÍNCULOS_CDF'!$H$6:$H$1005,'VÍNCULOS_CDF'!$R$6:$R$1005,A881,'VÍNCULOS_CDF'!$V$6:$V$1005,1))</f>
        <v/>
      </c>
      <c r="N881" s="99" t="str">
        <f>IF(OR(R881=0,AA881=0,NOT(ISNUMBER(I881))),"",I881-N(L881))</f>
        <v/>
      </c>
      <c r="O881" s="100" t="str">
        <f>IF(OR(R881=0,AK881&lt;=0),"",N(M881)/AK881)</f>
        <v/>
      </c>
      <c r="P881" s="94" t="str">
        <f>IF(R881=0,"",IF(S881="","Sem MTR associado",IF(U881=0,"MTR inexistente",IF(C881="","Resíduo não identificado",IF(V881=0,"Resíduo fora do cadastro",IF(W881=0,"Quantidade inválida",IF(H881="","Unidade não informada",IF(NOT(ISNUMBER(I881)),"Unidade a conferir",IF(AND(AH881=1,K881&lt;&gt;"Sim"),"Possível duplicidade",IF(Z881=1,"MTR cancelado",IF(AC881&gt;0,"Recebimento com alerta",IF(AA881=0,"Aguardando recebimento",IF(AB881&lt;AA881,"Recebimento a conferir",IF(AM881=1,"Quantidade a revisar",IF(AF881&gt;0,"Vínculo a revisar",IF(AD881=0,"Aguardando CDF",IF(AN881=0,"Vínculo de CDF parcial",IF(AE881&lt;AD881,"CDF a conferir","Documentação conferida"))))))))))))))))))</f>
        <v/>
      </c>
      <c r="Q881" s="93" t="str">
        <f>IF(OR(R881=0,AA881=0),"",MAX(0,N(L881)-N(M881)))</f>
        <v/>
      </c>
      <c r="R881" s="96">
        <f>IF(COUNTA(B881:C881,G881:H881,J881:K881)&gt;0,1,0)</f>
        <v>0</v>
      </c>
      <c r="S881" s="96" t="str">
        <f>IF(B881="","",TRIM(LEFT(B881,FIND(" |",B881&amp;" |")-1)))</f>
        <v/>
      </c>
      <c r="T881" s="96" t="str">
        <f>IF(S881="","",IFERROR(MATCH(S881,'MTRs'!$A$6:$A$505,0),""))</f>
        <v/>
      </c>
      <c r="U881" s="96">
        <f>IF(T881="",0,IF(INDEX('MTRs'!$Z$6:$Z$505,T881)=1,1,0))</f>
        <v>0</v>
      </c>
      <c r="V881" s="96">
        <f>IF(C881="",0,IF(ISNUMBER(MATCH(C881,'CAD_RESÍDUOS'!$B$6:$B$205,0)),1,0))</f>
        <v>0</v>
      </c>
      <c r="W881" s="96">
        <f>IF(AND(ISNUMBER(G881),G881&gt;0),1,0)</f>
        <v>0</v>
      </c>
      <c r="X881" s="96" t="str">
        <f>IF(H881="","",IFERROR(IF(ISNUMBER(INDEX(cfg_fac,MATCH(H881,cfg_units,0))),IF(INDEX(cfg_fac,MATCH(H881,cfg_units,0))&gt;0,INDEX(cfg_fac,MATCH(H881,cfg_units,0)),""),""),""))</f>
        <v/>
      </c>
      <c r="Y881" s="96">
        <f>IF(AND(W881=1,ISNUMBER(I881)),1,0)</f>
        <v>0</v>
      </c>
      <c r="Z881" s="96">
        <f>IF(U881=1,INDEX('MTRs'!$AA$6:$AA$505,T881),0)</f>
        <v>0</v>
      </c>
      <c r="AA881" s="96">
        <f>IF(R881=0,0,COUNTIFS('RECEBIMENTOS'!$R$6:$R$1005,A881,'RECEBIMENTOS'!$Q$6:$Q$1005,1))</f>
        <v>0</v>
      </c>
      <c r="AB881" s="96">
        <f>IF(R881=0,0,COUNTIFS('RECEBIMENTOS'!$R$6:$R$1005,A881,'RECEBIMENTOS'!$Z$6:$Z$1005,1))</f>
        <v>0</v>
      </c>
      <c r="AC881" s="96">
        <f>IF(R881=0,0,COUNTIFS('RECEBIMENTOS'!$R$6:$R$1005,A881,'RECEBIMENTOS'!$Y$6:$Y$1005,1))</f>
        <v>0</v>
      </c>
      <c r="AD881" s="96">
        <f>IF(R881=0,0,COUNTIFS('VÍNCULOS_CDF'!$R$6:$R$1005,A881,'VÍNCULOS_CDF'!$N$6:$N$1005,1))</f>
        <v>0</v>
      </c>
      <c r="AE881" s="96">
        <f>IF(R881=0,0,COUNTIFS('VÍNCULOS_CDF'!$R$6:$R$1005,A881,'VÍNCULOS_CDF'!$AA$6:$AA$1005,1))</f>
        <v>0</v>
      </c>
      <c r="AF881" s="96">
        <f>IF(R881=0,0,COUNTIFS('VÍNCULOS_CDF'!$R$6:$R$1005,A881,'VÍNCULOS_CDF'!$Y$6:$Y$1005,1))</f>
        <v>0</v>
      </c>
      <c r="AG881" s="96" t="str">
        <f>IF(AND(R881=1,S881&lt;&gt;"",C881&lt;&gt;""),S881&amp;"|"&amp;C881&amp;"|"&amp;G881&amp;"|"&amp;H881,"")</f>
        <v/>
      </c>
      <c r="AH881" s="96">
        <f>IF(AG881="",0,IF(SUMPRODUCT(--($AG$6:$AG$1005=AG881))&gt;1,1,0))</f>
        <v>0</v>
      </c>
      <c r="AI881" s="96">
        <f>IF(R881=0,0,IF(OR(U881=0,V881=0,Y881=0,AND(AH881=1,K881&lt;&gt;"Sim")),1,0))</f>
        <v>0</v>
      </c>
      <c r="AJ881" s="96">
        <f>IF(AND(R881=1,AA881&gt;0,AB881=AA881),1,0)</f>
        <v>0</v>
      </c>
      <c r="AK881" s="96">
        <f>IF(R881=0,0,IF(AA881&gt;0,N(L881),IF(ISNUMBER(I881),I881,0)))</f>
        <v>0</v>
      </c>
      <c r="AL881" s="96">
        <f>IF(R881=0,0,IF(AND(K881&lt;&gt;"Sim",N(M881)&gt;AK881+cfg_tol),1,0))</f>
        <v>0</v>
      </c>
      <c r="AM881" s="96">
        <f>IF(R881=0,0,IF(K881="Sim",0,IF(OR(AND(AA881&gt;0,ISNUMBER(I881),ABS(I881-N(L881))&gt;cfg_tol),AL881=1),1,0)))</f>
        <v>0</v>
      </c>
      <c r="AN881" s="96">
        <f>IF(AND(R881=1,N(M881)&gt;0,OR(N(M881)&gt;=AK881-cfg_tol,K881="Sim")),1,0)</f>
        <v>0</v>
      </c>
      <c r="AO881" s="96">
        <f>IF(AND(AN881=1,AD881&gt;0,AE881=AD881,AL881=0),1,0)</f>
        <v>0</v>
      </c>
      <c r="AP881" s="96">
        <f>IF(U881=0,0,IF(AND(INDEX('MTRs'!$AX$6:$AX$505,T881)=1,Z881=0,OR(f_res="",f_res="(Todos)",C881=f_res)),1,0))</f>
        <v>0</v>
      </c>
      <c r="AQ881" s="97" t="str">
        <f>IF(U881=0,"",INDEX('MTRs'!$AZ$6:$AZ$505,T881))</f>
        <v/>
      </c>
      <c r="AR881" s="96">
        <f>IF(U881=0,0,IF(AND(INDEX('MTRs'!$BA$6:$BA$505,T881)=1,Z881=0),1,0))</f>
        <v>0</v>
      </c>
      <c r="AS881" s="96" t="str">
        <f>IF(R881=1,A881&amp;" | MTR "&amp;IF(U881=1,INDEX('MTRs'!$B$6:$B$505,T881)&amp;"","?")&amp;" | "&amp;IF(C881="","(sem resíduo)",C881),"")</f>
        <v/>
      </c>
      <c r="AT881" s="96" t="str">
        <f>IF(R881=1,COUNTIF($R$6:R881,1),"")</f>
        <v/>
      </c>
      <c r="AU881" s="96" t="str">
        <f>IF(U881=1,INDEX('MTRs'!$I$6:$I$505,T881)&amp;"","")</f>
        <v/>
      </c>
    </row>
    <row r="882">
      <c r="A882" s="89" t="inlineStr">
        <is>
          <t>IT-000877</t>
        </is>
      </c>
      <c r="B882" s="91" t="n"/>
      <c r="C882" s="91" t="n"/>
      <c r="D882" s="94" t="str">
        <f>IF(OR(R882=0,V882=0),"",INDEX('CAD_RESÍDUOS'!$E$6:$E$205,MATCH(C882,'CAD_RESÍDUOS'!$B$6:$B$205,0))&amp;"")</f>
        <v/>
      </c>
      <c r="E882" s="94" t="str">
        <f>IF(OR(R882=0,V882=0),"",INDEX('CAD_RESÍDUOS'!$C$6:$C$205,MATCH(C882,'CAD_RESÍDUOS'!$B$6:$B$205,0))&amp;"")</f>
        <v/>
      </c>
      <c r="F882" s="94" t="str">
        <f>IF(OR(R882=0,V882=0),"",INDEX('CAD_RESÍDUOS'!$G$6:$G$205,MATCH(C882,'CAD_RESÍDUOS'!$B$6:$B$205,0))&amp;"")</f>
        <v/>
      </c>
      <c r="G882" s="98" t="n"/>
      <c r="H882" s="91" t="n"/>
      <c r="I882" s="93" t="str">
        <f>IF(R882=0,"",IF(NOT(ISNUMBER(G882)),"",IF(ISNUMBER(X882),G882*X882,"UNIDADE A CONFERIR")))</f>
        <v/>
      </c>
      <c r="J882" s="91" t="n"/>
      <c r="K882" s="91" t="n"/>
      <c r="L882" s="93" t="str">
        <f>IF(R882=0,"",SUMIFS('RECEBIMENTOS'!$H$6:$H$1005,'RECEBIMENTOS'!$R$6:$R$1005,A882,'RECEBIMENTOS'!$X$6:$X$1005,1))</f>
        <v/>
      </c>
      <c r="M882" s="93" t="str">
        <f>IF(R882=0,"",SUMIFS('VÍNCULOS_CDF'!$H$6:$H$1005,'VÍNCULOS_CDF'!$R$6:$R$1005,A882,'VÍNCULOS_CDF'!$V$6:$V$1005,1))</f>
        <v/>
      </c>
      <c r="N882" s="99" t="str">
        <f>IF(OR(R882=0,AA882=0,NOT(ISNUMBER(I882))),"",I882-N(L882))</f>
        <v/>
      </c>
      <c r="O882" s="100" t="str">
        <f>IF(OR(R882=0,AK882&lt;=0),"",N(M882)/AK882)</f>
        <v/>
      </c>
      <c r="P882" s="94" t="str">
        <f>IF(R882=0,"",IF(S882="","Sem MTR associado",IF(U882=0,"MTR inexistente",IF(C882="","Resíduo não identificado",IF(V882=0,"Resíduo fora do cadastro",IF(W882=0,"Quantidade inválida",IF(H882="","Unidade não informada",IF(NOT(ISNUMBER(I882)),"Unidade a conferir",IF(AND(AH882=1,K882&lt;&gt;"Sim"),"Possível duplicidade",IF(Z882=1,"MTR cancelado",IF(AC882&gt;0,"Recebimento com alerta",IF(AA882=0,"Aguardando recebimento",IF(AB882&lt;AA882,"Recebimento a conferir",IF(AM882=1,"Quantidade a revisar",IF(AF882&gt;0,"Vínculo a revisar",IF(AD882=0,"Aguardando CDF",IF(AN882=0,"Vínculo de CDF parcial",IF(AE882&lt;AD882,"CDF a conferir","Documentação conferida"))))))))))))))))))</f>
        <v/>
      </c>
      <c r="Q882" s="93" t="str">
        <f>IF(OR(R882=0,AA882=0),"",MAX(0,N(L882)-N(M882)))</f>
        <v/>
      </c>
      <c r="R882" s="96">
        <f>IF(COUNTA(B882:C882,G882:H882,J882:K882)&gt;0,1,0)</f>
        <v>0</v>
      </c>
      <c r="S882" s="96" t="str">
        <f>IF(B882="","",TRIM(LEFT(B882,FIND(" |",B882&amp;" |")-1)))</f>
        <v/>
      </c>
      <c r="T882" s="96" t="str">
        <f>IF(S882="","",IFERROR(MATCH(S882,'MTRs'!$A$6:$A$505,0),""))</f>
        <v/>
      </c>
      <c r="U882" s="96">
        <f>IF(T882="",0,IF(INDEX('MTRs'!$Z$6:$Z$505,T882)=1,1,0))</f>
        <v>0</v>
      </c>
      <c r="V882" s="96">
        <f>IF(C882="",0,IF(ISNUMBER(MATCH(C882,'CAD_RESÍDUOS'!$B$6:$B$205,0)),1,0))</f>
        <v>0</v>
      </c>
      <c r="W882" s="96">
        <f>IF(AND(ISNUMBER(G882),G882&gt;0),1,0)</f>
        <v>0</v>
      </c>
      <c r="X882" s="96" t="str">
        <f>IF(H882="","",IFERROR(IF(ISNUMBER(INDEX(cfg_fac,MATCH(H882,cfg_units,0))),IF(INDEX(cfg_fac,MATCH(H882,cfg_units,0))&gt;0,INDEX(cfg_fac,MATCH(H882,cfg_units,0)),""),""),""))</f>
        <v/>
      </c>
      <c r="Y882" s="96">
        <f>IF(AND(W882=1,ISNUMBER(I882)),1,0)</f>
        <v>0</v>
      </c>
      <c r="Z882" s="96">
        <f>IF(U882=1,INDEX('MTRs'!$AA$6:$AA$505,T882),0)</f>
        <v>0</v>
      </c>
      <c r="AA882" s="96">
        <f>IF(R882=0,0,COUNTIFS('RECEBIMENTOS'!$R$6:$R$1005,A882,'RECEBIMENTOS'!$Q$6:$Q$1005,1))</f>
        <v>0</v>
      </c>
      <c r="AB882" s="96">
        <f>IF(R882=0,0,COUNTIFS('RECEBIMENTOS'!$R$6:$R$1005,A882,'RECEBIMENTOS'!$Z$6:$Z$1005,1))</f>
        <v>0</v>
      </c>
      <c r="AC882" s="96">
        <f>IF(R882=0,0,COUNTIFS('RECEBIMENTOS'!$R$6:$R$1005,A882,'RECEBIMENTOS'!$Y$6:$Y$1005,1))</f>
        <v>0</v>
      </c>
      <c r="AD882" s="96">
        <f>IF(R882=0,0,COUNTIFS('VÍNCULOS_CDF'!$R$6:$R$1005,A882,'VÍNCULOS_CDF'!$N$6:$N$1005,1))</f>
        <v>0</v>
      </c>
      <c r="AE882" s="96">
        <f>IF(R882=0,0,COUNTIFS('VÍNCULOS_CDF'!$R$6:$R$1005,A882,'VÍNCULOS_CDF'!$AA$6:$AA$1005,1))</f>
        <v>0</v>
      </c>
      <c r="AF882" s="96">
        <f>IF(R882=0,0,COUNTIFS('VÍNCULOS_CDF'!$R$6:$R$1005,A882,'VÍNCULOS_CDF'!$Y$6:$Y$1005,1))</f>
        <v>0</v>
      </c>
      <c r="AG882" s="96" t="str">
        <f>IF(AND(R882=1,S882&lt;&gt;"",C882&lt;&gt;""),S882&amp;"|"&amp;C882&amp;"|"&amp;G882&amp;"|"&amp;H882,"")</f>
        <v/>
      </c>
      <c r="AH882" s="96">
        <f>IF(AG882="",0,IF(SUMPRODUCT(--($AG$6:$AG$1005=AG882))&gt;1,1,0))</f>
        <v>0</v>
      </c>
      <c r="AI882" s="96">
        <f>IF(R882=0,0,IF(OR(U882=0,V882=0,Y882=0,AND(AH882=1,K882&lt;&gt;"Sim")),1,0))</f>
        <v>0</v>
      </c>
      <c r="AJ882" s="96">
        <f>IF(AND(R882=1,AA882&gt;0,AB882=AA882),1,0)</f>
        <v>0</v>
      </c>
      <c r="AK882" s="96">
        <f>IF(R882=0,0,IF(AA882&gt;0,N(L882),IF(ISNUMBER(I882),I882,0)))</f>
        <v>0</v>
      </c>
      <c r="AL882" s="96">
        <f>IF(R882=0,0,IF(AND(K882&lt;&gt;"Sim",N(M882)&gt;AK882+cfg_tol),1,0))</f>
        <v>0</v>
      </c>
      <c r="AM882" s="96">
        <f>IF(R882=0,0,IF(K882="Sim",0,IF(OR(AND(AA882&gt;0,ISNUMBER(I882),ABS(I882-N(L882))&gt;cfg_tol),AL882=1),1,0)))</f>
        <v>0</v>
      </c>
      <c r="AN882" s="96">
        <f>IF(AND(R882=1,N(M882)&gt;0,OR(N(M882)&gt;=AK882-cfg_tol,K882="Sim")),1,0)</f>
        <v>0</v>
      </c>
      <c r="AO882" s="96">
        <f>IF(AND(AN882=1,AD882&gt;0,AE882=AD882,AL882=0),1,0)</f>
        <v>0</v>
      </c>
      <c r="AP882" s="96">
        <f>IF(U882=0,0,IF(AND(INDEX('MTRs'!$AX$6:$AX$505,T882)=1,Z882=0,OR(f_res="",f_res="(Todos)",C882=f_res)),1,0))</f>
        <v>0</v>
      </c>
      <c r="AQ882" s="97" t="str">
        <f>IF(U882=0,"",INDEX('MTRs'!$AZ$6:$AZ$505,T882))</f>
        <v/>
      </c>
      <c r="AR882" s="96">
        <f>IF(U882=0,0,IF(AND(INDEX('MTRs'!$BA$6:$BA$505,T882)=1,Z882=0),1,0))</f>
        <v>0</v>
      </c>
      <c r="AS882" s="96" t="str">
        <f>IF(R882=1,A882&amp;" | MTR "&amp;IF(U882=1,INDEX('MTRs'!$B$6:$B$505,T882)&amp;"","?")&amp;" | "&amp;IF(C882="","(sem resíduo)",C882),"")</f>
        <v/>
      </c>
      <c r="AT882" s="96" t="str">
        <f>IF(R882=1,COUNTIF($R$6:R882,1),"")</f>
        <v/>
      </c>
      <c r="AU882" s="96" t="str">
        <f>IF(U882=1,INDEX('MTRs'!$I$6:$I$505,T882)&amp;"","")</f>
        <v/>
      </c>
    </row>
    <row r="883">
      <c r="A883" s="89" t="inlineStr">
        <is>
          <t>IT-000878</t>
        </is>
      </c>
      <c r="B883" s="91" t="n"/>
      <c r="C883" s="91" t="n"/>
      <c r="D883" s="94" t="str">
        <f>IF(OR(R883=0,V883=0),"",INDEX('CAD_RESÍDUOS'!$E$6:$E$205,MATCH(C883,'CAD_RESÍDUOS'!$B$6:$B$205,0))&amp;"")</f>
        <v/>
      </c>
      <c r="E883" s="94" t="str">
        <f>IF(OR(R883=0,V883=0),"",INDEX('CAD_RESÍDUOS'!$C$6:$C$205,MATCH(C883,'CAD_RESÍDUOS'!$B$6:$B$205,0))&amp;"")</f>
        <v/>
      </c>
      <c r="F883" s="94" t="str">
        <f>IF(OR(R883=0,V883=0),"",INDEX('CAD_RESÍDUOS'!$G$6:$G$205,MATCH(C883,'CAD_RESÍDUOS'!$B$6:$B$205,0))&amp;"")</f>
        <v/>
      </c>
      <c r="G883" s="98" t="n"/>
      <c r="H883" s="91" t="n"/>
      <c r="I883" s="93" t="str">
        <f>IF(R883=0,"",IF(NOT(ISNUMBER(G883)),"",IF(ISNUMBER(X883),G883*X883,"UNIDADE A CONFERIR")))</f>
        <v/>
      </c>
      <c r="J883" s="91" t="n"/>
      <c r="K883" s="91" t="n"/>
      <c r="L883" s="93" t="str">
        <f>IF(R883=0,"",SUMIFS('RECEBIMENTOS'!$H$6:$H$1005,'RECEBIMENTOS'!$R$6:$R$1005,A883,'RECEBIMENTOS'!$X$6:$X$1005,1))</f>
        <v/>
      </c>
      <c r="M883" s="93" t="str">
        <f>IF(R883=0,"",SUMIFS('VÍNCULOS_CDF'!$H$6:$H$1005,'VÍNCULOS_CDF'!$R$6:$R$1005,A883,'VÍNCULOS_CDF'!$V$6:$V$1005,1))</f>
        <v/>
      </c>
      <c r="N883" s="99" t="str">
        <f>IF(OR(R883=0,AA883=0,NOT(ISNUMBER(I883))),"",I883-N(L883))</f>
        <v/>
      </c>
      <c r="O883" s="100" t="str">
        <f>IF(OR(R883=0,AK883&lt;=0),"",N(M883)/AK883)</f>
        <v/>
      </c>
      <c r="P883" s="94" t="str">
        <f>IF(R883=0,"",IF(S883="","Sem MTR associado",IF(U883=0,"MTR inexistente",IF(C883="","Resíduo não identificado",IF(V883=0,"Resíduo fora do cadastro",IF(W883=0,"Quantidade inválida",IF(H883="","Unidade não informada",IF(NOT(ISNUMBER(I883)),"Unidade a conferir",IF(AND(AH883=1,K883&lt;&gt;"Sim"),"Possível duplicidade",IF(Z883=1,"MTR cancelado",IF(AC883&gt;0,"Recebimento com alerta",IF(AA883=0,"Aguardando recebimento",IF(AB883&lt;AA883,"Recebimento a conferir",IF(AM883=1,"Quantidade a revisar",IF(AF883&gt;0,"Vínculo a revisar",IF(AD883=0,"Aguardando CDF",IF(AN883=0,"Vínculo de CDF parcial",IF(AE883&lt;AD883,"CDF a conferir","Documentação conferida"))))))))))))))))))</f>
        <v/>
      </c>
      <c r="Q883" s="93" t="str">
        <f>IF(OR(R883=0,AA883=0),"",MAX(0,N(L883)-N(M883)))</f>
        <v/>
      </c>
      <c r="R883" s="96">
        <f>IF(COUNTA(B883:C883,G883:H883,J883:K883)&gt;0,1,0)</f>
        <v>0</v>
      </c>
      <c r="S883" s="96" t="str">
        <f>IF(B883="","",TRIM(LEFT(B883,FIND(" |",B883&amp;" |")-1)))</f>
        <v/>
      </c>
      <c r="T883" s="96" t="str">
        <f>IF(S883="","",IFERROR(MATCH(S883,'MTRs'!$A$6:$A$505,0),""))</f>
        <v/>
      </c>
      <c r="U883" s="96">
        <f>IF(T883="",0,IF(INDEX('MTRs'!$Z$6:$Z$505,T883)=1,1,0))</f>
        <v>0</v>
      </c>
      <c r="V883" s="96">
        <f>IF(C883="",0,IF(ISNUMBER(MATCH(C883,'CAD_RESÍDUOS'!$B$6:$B$205,0)),1,0))</f>
        <v>0</v>
      </c>
      <c r="W883" s="96">
        <f>IF(AND(ISNUMBER(G883),G883&gt;0),1,0)</f>
        <v>0</v>
      </c>
      <c r="X883" s="96" t="str">
        <f>IF(H883="","",IFERROR(IF(ISNUMBER(INDEX(cfg_fac,MATCH(H883,cfg_units,0))),IF(INDEX(cfg_fac,MATCH(H883,cfg_units,0))&gt;0,INDEX(cfg_fac,MATCH(H883,cfg_units,0)),""),""),""))</f>
        <v/>
      </c>
      <c r="Y883" s="96">
        <f>IF(AND(W883=1,ISNUMBER(I883)),1,0)</f>
        <v>0</v>
      </c>
      <c r="Z883" s="96">
        <f>IF(U883=1,INDEX('MTRs'!$AA$6:$AA$505,T883),0)</f>
        <v>0</v>
      </c>
      <c r="AA883" s="96">
        <f>IF(R883=0,0,COUNTIFS('RECEBIMENTOS'!$R$6:$R$1005,A883,'RECEBIMENTOS'!$Q$6:$Q$1005,1))</f>
        <v>0</v>
      </c>
      <c r="AB883" s="96">
        <f>IF(R883=0,0,COUNTIFS('RECEBIMENTOS'!$R$6:$R$1005,A883,'RECEBIMENTOS'!$Z$6:$Z$1005,1))</f>
        <v>0</v>
      </c>
      <c r="AC883" s="96">
        <f>IF(R883=0,0,COUNTIFS('RECEBIMENTOS'!$R$6:$R$1005,A883,'RECEBIMENTOS'!$Y$6:$Y$1005,1))</f>
        <v>0</v>
      </c>
      <c r="AD883" s="96">
        <f>IF(R883=0,0,COUNTIFS('VÍNCULOS_CDF'!$R$6:$R$1005,A883,'VÍNCULOS_CDF'!$N$6:$N$1005,1))</f>
        <v>0</v>
      </c>
      <c r="AE883" s="96">
        <f>IF(R883=0,0,COUNTIFS('VÍNCULOS_CDF'!$R$6:$R$1005,A883,'VÍNCULOS_CDF'!$AA$6:$AA$1005,1))</f>
        <v>0</v>
      </c>
      <c r="AF883" s="96">
        <f>IF(R883=0,0,COUNTIFS('VÍNCULOS_CDF'!$R$6:$R$1005,A883,'VÍNCULOS_CDF'!$Y$6:$Y$1005,1))</f>
        <v>0</v>
      </c>
      <c r="AG883" s="96" t="str">
        <f>IF(AND(R883=1,S883&lt;&gt;"",C883&lt;&gt;""),S883&amp;"|"&amp;C883&amp;"|"&amp;G883&amp;"|"&amp;H883,"")</f>
        <v/>
      </c>
      <c r="AH883" s="96">
        <f>IF(AG883="",0,IF(SUMPRODUCT(--($AG$6:$AG$1005=AG883))&gt;1,1,0))</f>
        <v>0</v>
      </c>
      <c r="AI883" s="96">
        <f>IF(R883=0,0,IF(OR(U883=0,V883=0,Y883=0,AND(AH883=1,K883&lt;&gt;"Sim")),1,0))</f>
        <v>0</v>
      </c>
      <c r="AJ883" s="96">
        <f>IF(AND(R883=1,AA883&gt;0,AB883=AA883),1,0)</f>
        <v>0</v>
      </c>
      <c r="AK883" s="96">
        <f>IF(R883=0,0,IF(AA883&gt;0,N(L883),IF(ISNUMBER(I883),I883,0)))</f>
        <v>0</v>
      </c>
      <c r="AL883" s="96">
        <f>IF(R883=0,0,IF(AND(K883&lt;&gt;"Sim",N(M883)&gt;AK883+cfg_tol),1,0))</f>
        <v>0</v>
      </c>
      <c r="AM883" s="96">
        <f>IF(R883=0,0,IF(K883="Sim",0,IF(OR(AND(AA883&gt;0,ISNUMBER(I883),ABS(I883-N(L883))&gt;cfg_tol),AL883=1),1,0)))</f>
        <v>0</v>
      </c>
      <c r="AN883" s="96">
        <f>IF(AND(R883=1,N(M883)&gt;0,OR(N(M883)&gt;=AK883-cfg_tol,K883="Sim")),1,0)</f>
        <v>0</v>
      </c>
      <c r="AO883" s="96">
        <f>IF(AND(AN883=1,AD883&gt;0,AE883=AD883,AL883=0),1,0)</f>
        <v>0</v>
      </c>
      <c r="AP883" s="96">
        <f>IF(U883=0,0,IF(AND(INDEX('MTRs'!$AX$6:$AX$505,T883)=1,Z883=0,OR(f_res="",f_res="(Todos)",C883=f_res)),1,0))</f>
        <v>0</v>
      </c>
      <c r="AQ883" s="97" t="str">
        <f>IF(U883=0,"",INDEX('MTRs'!$AZ$6:$AZ$505,T883))</f>
        <v/>
      </c>
      <c r="AR883" s="96">
        <f>IF(U883=0,0,IF(AND(INDEX('MTRs'!$BA$6:$BA$505,T883)=1,Z883=0),1,0))</f>
        <v>0</v>
      </c>
      <c r="AS883" s="96" t="str">
        <f>IF(R883=1,A883&amp;" | MTR "&amp;IF(U883=1,INDEX('MTRs'!$B$6:$B$505,T883)&amp;"","?")&amp;" | "&amp;IF(C883="","(sem resíduo)",C883),"")</f>
        <v/>
      </c>
      <c r="AT883" s="96" t="str">
        <f>IF(R883=1,COUNTIF($R$6:R883,1),"")</f>
        <v/>
      </c>
      <c r="AU883" s="96" t="str">
        <f>IF(U883=1,INDEX('MTRs'!$I$6:$I$505,T883)&amp;"","")</f>
        <v/>
      </c>
    </row>
    <row r="884">
      <c r="A884" s="89" t="inlineStr">
        <is>
          <t>IT-000879</t>
        </is>
      </c>
      <c r="B884" s="91" t="n"/>
      <c r="C884" s="91" t="n"/>
      <c r="D884" s="94" t="str">
        <f>IF(OR(R884=0,V884=0),"",INDEX('CAD_RESÍDUOS'!$E$6:$E$205,MATCH(C884,'CAD_RESÍDUOS'!$B$6:$B$205,0))&amp;"")</f>
        <v/>
      </c>
      <c r="E884" s="94" t="str">
        <f>IF(OR(R884=0,V884=0),"",INDEX('CAD_RESÍDUOS'!$C$6:$C$205,MATCH(C884,'CAD_RESÍDUOS'!$B$6:$B$205,0))&amp;"")</f>
        <v/>
      </c>
      <c r="F884" s="94" t="str">
        <f>IF(OR(R884=0,V884=0),"",INDEX('CAD_RESÍDUOS'!$G$6:$G$205,MATCH(C884,'CAD_RESÍDUOS'!$B$6:$B$205,0))&amp;"")</f>
        <v/>
      </c>
      <c r="G884" s="98" t="n"/>
      <c r="H884" s="91" t="n"/>
      <c r="I884" s="93" t="str">
        <f>IF(R884=0,"",IF(NOT(ISNUMBER(G884)),"",IF(ISNUMBER(X884),G884*X884,"UNIDADE A CONFERIR")))</f>
        <v/>
      </c>
      <c r="J884" s="91" t="n"/>
      <c r="K884" s="91" t="n"/>
      <c r="L884" s="93" t="str">
        <f>IF(R884=0,"",SUMIFS('RECEBIMENTOS'!$H$6:$H$1005,'RECEBIMENTOS'!$R$6:$R$1005,A884,'RECEBIMENTOS'!$X$6:$X$1005,1))</f>
        <v/>
      </c>
      <c r="M884" s="93" t="str">
        <f>IF(R884=0,"",SUMIFS('VÍNCULOS_CDF'!$H$6:$H$1005,'VÍNCULOS_CDF'!$R$6:$R$1005,A884,'VÍNCULOS_CDF'!$V$6:$V$1005,1))</f>
        <v/>
      </c>
      <c r="N884" s="99" t="str">
        <f>IF(OR(R884=0,AA884=0,NOT(ISNUMBER(I884))),"",I884-N(L884))</f>
        <v/>
      </c>
      <c r="O884" s="100" t="str">
        <f>IF(OR(R884=0,AK884&lt;=0),"",N(M884)/AK884)</f>
        <v/>
      </c>
      <c r="P884" s="94" t="str">
        <f>IF(R884=0,"",IF(S884="","Sem MTR associado",IF(U884=0,"MTR inexistente",IF(C884="","Resíduo não identificado",IF(V884=0,"Resíduo fora do cadastro",IF(W884=0,"Quantidade inválida",IF(H884="","Unidade não informada",IF(NOT(ISNUMBER(I884)),"Unidade a conferir",IF(AND(AH884=1,K884&lt;&gt;"Sim"),"Possível duplicidade",IF(Z884=1,"MTR cancelado",IF(AC884&gt;0,"Recebimento com alerta",IF(AA884=0,"Aguardando recebimento",IF(AB884&lt;AA884,"Recebimento a conferir",IF(AM884=1,"Quantidade a revisar",IF(AF884&gt;0,"Vínculo a revisar",IF(AD884=0,"Aguardando CDF",IF(AN884=0,"Vínculo de CDF parcial",IF(AE884&lt;AD884,"CDF a conferir","Documentação conferida"))))))))))))))))))</f>
        <v/>
      </c>
      <c r="Q884" s="93" t="str">
        <f>IF(OR(R884=0,AA884=0),"",MAX(0,N(L884)-N(M884)))</f>
        <v/>
      </c>
      <c r="R884" s="96">
        <f>IF(COUNTA(B884:C884,G884:H884,J884:K884)&gt;0,1,0)</f>
        <v>0</v>
      </c>
      <c r="S884" s="96" t="str">
        <f>IF(B884="","",TRIM(LEFT(B884,FIND(" |",B884&amp;" |")-1)))</f>
        <v/>
      </c>
      <c r="T884" s="96" t="str">
        <f>IF(S884="","",IFERROR(MATCH(S884,'MTRs'!$A$6:$A$505,0),""))</f>
        <v/>
      </c>
      <c r="U884" s="96">
        <f>IF(T884="",0,IF(INDEX('MTRs'!$Z$6:$Z$505,T884)=1,1,0))</f>
        <v>0</v>
      </c>
      <c r="V884" s="96">
        <f>IF(C884="",0,IF(ISNUMBER(MATCH(C884,'CAD_RESÍDUOS'!$B$6:$B$205,0)),1,0))</f>
        <v>0</v>
      </c>
      <c r="W884" s="96">
        <f>IF(AND(ISNUMBER(G884),G884&gt;0),1,0)</f>
        <v>0</v>
      </c>
      <c r="X884" s="96" t="str">
        <f>IF(H884="","",IFERROR(IF(ISNUMBER(INDEX(cfg_fac,MATCH(H884,cfg_units,0))),IF(INDEX(cfg_fac,MATCH(H884,cfg_units,0))&gt;0,INDEX(cfg_fac,MATCH(H884,cfg_units,0)),""),""),""))</f>
        <v/>
      </c>
      <c r="Y884" s="96">
        <f>IF(AND(W884=1,ISNUMBER(I884)),1,0)</f>
        <v>0</v>
      </c>
      <c r="Z884" s="96">
        <f>IF(U884=1,INDEX('MTRs'!$AA$6:$AA$505,T884),0)</f>
        <v>0</v>
      </c>
      <c r="AA884" s="96">
        <f>IF(R884=0,0,COUNTIFS('RECEBIMENTOS'!$R$6:$R$1005,A884,'RECEBIMENTOS'!$Q$6:$Q$1005,1))</f>
        <v>0</v>
      </c>
      <c r="AB884" s="96">
        <f>IF(R884=0,0,COUNTIFS('RECEBIMENTOS'!$R$6:$R$1005,A884,'RECEBIMENTOS'!$Z$6:$Z$1005,1))</f>
        <v>0</v>
      </c>
      <c r="AC884" s="96">
        <f>IF(R884=0,0,COUNTIFS('RECEBIMENTOS'!$R$6:$R$1005,A884,'RECEBIMENTOS'!$Y$6:$Y$1005,1))</f>
        <v>0</v>
      </c>
      <c r="AD884" s="96">
        <f>IF(R884=0,0,COUNTIFS('VÍNCULOS_CDF'!$R$6:$R$1005,A884,'VÍNCULOS_CDF'!$N$6:$N$1005,1))</f>
        <v>0</v>
      </c>
      <c r="AE884" s="96">
        <f>IF(R884=0,0,COUNTIFS('VÍNCULOS_CDF'!$R$6:$R$1005,A884,'VÍNCULOS_CDF'!$AA$6:$AA$1005,1))</f>
        <v>0</v>
      </c>
      <c r="AF884" s="96">
        <f>IF(R884=0,0,COUNTIFS('VÍNCULOS_CDF'!$R$6:$R$1005,A884,'VÍNCULOS_CDF'!$Y$6:$Y$1005,1))</f>
        <v>0</v>
      </c>
      <c r="AG884" s="96" t="str">
        <f>IF(AND(R884=1,S884&lt;&gt;"",C884&lt;&gt;""),S884&amp;"|"&amp;C884&amp;"|"&amp;G884&amp;"|"&amp;H884,"")</f>
        <v/>
      </c>
      <c r="AH884" s="96">
        <f>IF(AG884="",0,IF(SUMPRODUCT(--($AG$6:$AG$1005=AG884))&gt;1,1,0))</f>
        <v>0</v>
      </c>
      <c r="AI884" s="96">
        <f>IF(R884=0,0,IF(OR(U884=0,V884=0,Y884=0,AND(AH884=1,K884&lt;&gt;"Sim")),1,0))</f>
        <v>0</v>
      </c>
      <c r="AJ884" s="96">
        <f>IF(AND(R884=1,AA884&gt;0,AB884=AA884),1,0)</f>
        <v>0</v>
      </c>
      <c r="AK884" s="96">
        <f>IF(R884=0,0,IF(AA884&gt;0,N(L884),IF(ISNUMBER(I884),I884,0)))</f>
        <v>0</v>
      </c>
      <c r="AL884" s="96">
        <f>IF(R884=0,0,IF(AND(K884&lt;&gt;"Sim",N(M884)&gt;AK884+cfg_tol),1,0))</f>
        <v>0</v>
      </c>
      <c r="AM884" s="96">
        <f>IF(R884=0,0,IF(K884="Sim",0,IF(OR(AND(AA884&gt;0,ISNUMBER(I884),ABS(I884-N(L884))&gt;cfg_tol),AL884=1),1,0)))</f>
        <v>0</v>
      </c>
      <c r="AN884" s="96">
        <f>IF(AND(R884=1,N(M884)&gt;0,OR(N(M884)&gt;=AK884-cfg_tol,K884="Sim")),1,0)</f>
        <v>0</v>
      </c>
      <c r="AO884" s="96">
        <f>IF(AND(AN884=1,AD884&gt;0,AE884=AD884,AL884=0),1,0)</f>
        <v>0</v>
      </c>
      <c r="AP884" s="96">
        <f>IF(U884=0,0,IF(AND(INDEX('MTRs'!$AX$6:$AX$505,T884)=1,Z884=0,OR(f_res="",f_res="(Todos)",C884=f_res)),1,0))</f>
        <v>0</v>
      </c>
      <c r="AQ884" s="97" t="str">
        <f>IF(U884=0,"",INDEX('MTRs'!$AZ$6:$AZ$505,T884))</f>
        <v/>
      </c>
      <c r="AR884" s="96">
        <f>IF(U884=0,0,IF(AND(INDEX('MTRs'!$BA$6:$BA$505,T884)=1,Z884=0),1,0))</f>
        <v>0</v>
      </c>
      <c r="AS884" s="96" t="str">
        <f>IF(R884=1,A884&amp;" | MTR "&amp;IF(U884=1,INDEX('MTRs'!$B$6:$B$505,T884)&amp;"","?")&amp;" | "&amp;IF(C884="","(sem resíduo)",C884),"")</f>
        <v/>
      </c>
      <c r="AT884" s="96" t="str">
        <f>IF(R884=1,COUNTIF($R$6:R884,1),"")</f>
        <v/>
      </c>
      <c r="AU884" s="96" t="str">
        <f>IF(U884=1,INDEX('MTRs'!$I$6:$I$505,T884)&amp;"","")</f>
        <v/>
      </c>
    </row>
    <row r="885">
      <c r="A885" s="89" t="inlineStr">
        <is>
          <t>IT-000880</t>
        </is>
      </c>
      <c r="B885" s="91" t="n"/>
      <c r="C885" s="91" t="n"/>
      <c r="D885" s="94" t="str">
        <f>IF(OR(R885=0,V885=0),"",INDEX('CAD_RESÍDUOS'!$E$6:$E$205,MATCH(C885,'CAD_RESÍDUOS'!$B$6:$B$205,0))&amp;"")</f>
        <v/>
      </c>
      <c r="E885" s="94" t="str">
        <f>IF(OR(R885=0,V885=0),"",INDEX('CAD_RESÍDUOS'!$C$6:$C$205,MATCH(C885,'CAD_RESÍDUOS'!$B$6:$B$205,0))&amp;"")</f>
        <v/>
      </c>
      <c r="F885" s="94" t="str">
        <f>IF(OR(R885=0,V885=0),"",INDEX('CAD_RESÍDUOS'!$G$6:$G$205,MATCH(C885,'CAD_RESÍDUOS'!$B$6:$B$205,0))&amp;"")</f>
        <v/>
      </c>
      <c r="G885" s="98" t="n"/>
      <c r="H885" s="91" t="n"/>
      <c r="I885" s="93" t="str">
        <f>IF(R885=0,"",IF(NOT(ISNUMBER(G885)),"",IF(ISNUMBER(X885),G885*X885,"UNIDADE A CONFERIR")))</f>
        <v/>
      </c>
      <c r="J885" s="91" t="n"/>
      <c r="K885" s="91" t="n"/>
      <c r="L885" s="93" t="str">
        <f>IF(R885=0,"",SUMIFS('RECEBIMENTOS'!$H$6:$H$1005,'RECEBIMENTOS'!$R$6:$R$1005,A885,'RECEBIMENTOS'!$X$6:$X$1005,1))</f>
        <v/>
      </c>
      <c r="M885" s="93" t="str">
        <f>IF(R885=0,"",SUMIFS('VÍNCULOS_CDF'!$H$6:$H$1005,'VÍNCULOS_CDF'!$R$6:$R$1005,A885,'VÍNCULOS_CDF'!$V$6:$V$1005,1))</f>
        <v/>
      </c>
      <c r="N885" s="99" t="str">
        <f>IF(OR(R885=0,AA885=0,NOT(ISNUMBER(I885))),"",I885-N(L885))</f>
        <v/>
      </c>
      <c r="O885" s="100" t="str">
        <f>IF(OR(R885=0,AK885&lt;=0),"",N(M885)/AK885)</f>
        <v/>
      </c>
      <c r="P885" s="94" t="str">
        <f>IF(R885=0,"",IF(S885="","Sem MTR associado",IF(U885=0,"MTR inexistente",IF(C885="","Resíduo não identificado",IF(V885=0,"Resíduo fora do cadastro",IF(W885=0,"Quantidade inválida",IF(H885="","Unidade não informada",IF(NOT(ISNUMBER(I885)),"Unidade a conferir",IF(AND(AH885=1,K885&lt;&gt;"Sim"),"Possível duplicidade",IF(Z885=1,"MTR cancelado",IF(AC885&gt;0,"Recebimento com alerta",IF(AA885=0,"Aguardando recebimento",IF(AB885&lt;AA885,"Recebimento a conferir",IF(AM885=1,"Quantidade a revisar",IF(AF885&gt;0,"Vínculo a revisar",IF(AD885=0,"Aguardando CDF",IF(AN885=0,"Vínculo de CDF parcial",IF(AE885&lt;AD885,"CDF a conferir","Documentação conferida"))))))))))))))))))</f>
        <v/>
      </c>
      <c r="Q885" s="93" t="str">
        <f>IF(OR(R885=0,AA885=0),"",MAX(0,N(L885)-N(M885)))</f>
        <v/>
      </c>
      <c r="R885" s="96">
        <f>IF(COUNTA(B885:C885,G885:H885,J885:K885)&gt;0,1,0)</f>
        <v>0</v>
      </c>
      <c r="S885" s="96" t="str">
        <f>IF(B885="","",TRIM(LEFT(B885,FIND(" |",B885&amp;" |")-1)))</f>
        <v/>
      </c>
      <c r="T885" s="96" t="str">
        <f>IF(S885="","",IFERROR(MATCH(S885,'MTRs'!$A$6:$A$505,0),""))</f>
        <v/>
      </c>
      <c r="U885" s="96">
        <f>IF(T885="",0,IF(INDEX('MTRs'!$Z$6:$Z$505,T885)=1,1,0))</f>
        <v>0</v>
      </c>
      <c r="V885" s="96">
        <f>IF(C885="",0,IF(ISNUMBER(MATCH(C885,'CAD_RESÍDUOS'!$B$6:$B$205,0)),1,0))</f>
        <v>0</v>
      </c>
      <c r="W885" s="96">
        <f>IF(AND(ISNUMBER(G885),G885&gt;0),1,0)</f>
        <v>0</v>
      </c>
      <c r="X885" s="96" t="str">
        <f>IF(H885="","",IFERROR(IF(ISNUMBER(INDEX(cfg_fac,MATCH(H885,cfg_units,0))),IF(INDEX(cfg_fac,MATCH(H885,cfg_units,0))&gt;0,INDEX(cfg_fac,MATCH(H885,cfg_units,0)),""),""),""))</f>
        <v/>
      </c>
      <c r="Y885" s="96">
        <f>IF(AND(W885=1,ISNUMBER(I885)),1,0)</f>
        <v>0</v>
      </c>
      <c r="Z885" s="96">
        <f>IF(U885=1,INDEX('MTRs'!$AA$6:$AA$505,T885),0)</f>
        <v>0</v>
      </c>
      <c r="AA885" s="96">
        <f>IF(R885=0,0,COUNTIFS('RECEBIMENTOS'!$R$6:$R$1005,A885,'RECEBIMENTOS'!$Q$6:$Q$1005,1))</f>
        <v>0</v>
      </c>
      <c r="AB885" s="96">
        <f>IF(R885=0,0,COUNTIFS('RECEBIMENTOS'!$R$6:$R$1005,A885,'RECEBIMENTOS'!$Z$6:$Z$1005,1))</f>
        <v>0</v>
      </c>
      <c r="AC885" s="96">
        <f>IF(R885=0,0,COUNTIFS('RECEBIMENTOS'!$R$6:$R$1005,A885,'RECEBIMENTOS'!$Y$6:$Y$1005,1))</f>
        <v>0</v>
      </c>
      <c r="AD885" s="96">
        <f>IF(R885=0,0,COUNTIFS('VÍNCULOS_CDF'!$R$6:$R$1005,A885,'VÍNCULOS_CDF'!$N$6:$N$1005,1))</f>
        <v>0</v>
      </c>
      <c r="AE885" s="96">
        <f>IF(R885=0,0,COUNTIFS('VÍNCULOS_CDF'!$R$6:$R$1005,A885,'VÍNCULOS_CDF'!$AA$6:$AA$1005,1))</f>
        <v>0</v>
      </c>
      <c r="AF885" s="96">
        <f>IF(R885=0,0,COUNTIFS('VÍNCULOS_CDF'!$R$6:$R$1005,A885,'VÍNCULOS_CDF'!$Y$6:$Y$1005,1))</f>
        <v>0</v>
      </c>
      <c r="AG885" s="96" t="str">
        <f>IF(AND(R885=1,S885&lt;&gt;"",C885&lt;&gt;""),S885&amp;"|"&amp;C885&amp;"|"&amp;G885&amp;"|"&amp;H885,"")</f>
        <v/>
      </c>
      <c r="AH885" s="96">
        <f>IF(AG885="",0,IF(SUMPRODUCT(--($AG$6:$AG$1005=AG885))&gt;1,1,0))</f>
        <v>0</v>
      </c>
      <c r="AI885" s="96">
        <f>IF(R885=0,0,IF(OR(U885=0,V885=0,Y885=0,AND(AH885=1,K885&lt;&gt;"Sim")),1,0))</f>
        <v>0</v>
      </c>
      <c r="AJ885" s="96">
        <f>IF(AND(R885=1,AA885&gt;0,AB885=AA885),1,0)</f>
        <v>0</v>
      </c>
      <c r="AK885" s="96">
        <f>IF(R885=0,0,IF(AA885&gt;0,N(L885),IF(ISNUMBER(I885),I885,0)))</f>
        <v>0</v>
      </c>
      <c r="AL885" s="96">
        <f>IF(R885=0,0,IF(AND(K885&lt;&gt;"Sim",N(M885)&gt;AK885+cfg_tol),1,0))</f>
        <v>0</v>
      </c>
      <c r="AM885" s="96">
        <f>IF(R885=0,0,IF(K885="Sim",0,IF(OR(AND(AA885&gt;0,ISNUMBER(I885),ABS(I885-N(L885))&gt;cfg_tol),AL885=1),1,0)))</f>
        <v>0</v>
      </c>
      <c r="AN885" s="96">
        <f>IF(AND(R885=1,N(M885)&gt;0,OR(N(M885)&gt;=AK885-cfg_tol,K885="Sim")),1,0)</f>
        <v>0</v>
      </c>
      <c r="AO885" s="96">
        <f>IF(AND(AN885=1,AD885&gt;0,AE885=AD885,AL885=0),1,0)</f>
        <v>0</v>
      </c>
      <c r="AP885" s="96">
        <f>IF(U885=0,0,IF(AND(INDEX('MTRs'!$AX$6:$AX$505,T885)=1,Z885=0,OR(f_res="",f_res="(Todos)",C885=f_res)),1,0))</f>
        <v>0</v>
      </c>
      <c r="AQ885" s="97" t="str">
        <f>IF(U885=0,"",INDEX('MTRs'!$AZ$6:$AZ$505,T885))</f>
        <v/>
      </c>
      <c r="AR885" s="96">
        <f>IF(U885=0,0,IF(AND(INDEX('MTRs'!$BA$6:$BA$505,T885)=1,Z885=0),1,0))</f>
        <v>0</v>
      </c>
      <c r="AS885" s="96" t="str">
        <f>IF(R885=1,A885&amp;" | MTR "&amp;IF(U885=1,INDEX('MTRs'!$B$6:$B$505,T885)&amp;"","?")&amp;" | "&amp;IF(C885="","(sem resíduo)",C885),"")</f>
        <v/>
      </c>
      <c r="AT885" s="96" t="str">
        <f>IF(R885=1,COUNTIF($R$6:R885,1),"")</f>
        <v/>
      </c>
      <c r="AU885" s="96" t="str">
        <f>IF(U885=1,INDEX('MTRs'!$I$6:$I$505,T885)&amp;"","")</f>
        <v/>
      </c>
    </row>
    <row r="886">
      <c r="A886" s="89" t="inlineStr">
        <is>
          <t>IT-000881</t>
        </is>
      </c>
      <c r="B886" s="91" t="n"/>
      <c r="C886" s="91" t="n"/>
      <c r="D886" s="94" t="str">
        <f>IF(OR(R886=0,V886=0),"",INDEX('CAD_RESÍDUOS'!$E$6:$E$205,MATCH(C886,'CAD_RESÍDUOS'!$B$6:$B$205,0))&amp;"")</f>
        <v/>
      </c>
      <c r="E886" s="94" t="str">
        <f>IF(OR(R886=0,V886=0),"",INDEX('CAD_RESÍDUOS'!$C$6:$C$205,MATCH(C886,'CAD_RESÍDUOS'!$B$6:$B$205,0))&amp;"")</f>
        <v/>
      </c>
      <c r="F886" s="94" t="str">
        <f>IF(OR(R886=0,V886=0),"",INDEX('CAD_RESÍDUOS'!$G$6:$G$205,MATCH(C886,'CAD_RESÍDUOS'!$B$6:$B$205,0))&amp;"")</f>
        <v/>
      </c>
      <c r="G886" s="98" t="n"/>
      <c r="H886" s="91" t="n"/>
      <c r="I886" s="93" t="str">
        <f>IF(R886=0,"",IF(NOT(ISNUMBER(G886)),"",IF(ISNUMBER(X886),G886*X886,"UNIDADE A CONFERIR")))</f>
        <v/>
      </c>
      <c r="J886" s="91" t="n"/>
      <c r="K886" s="91" t="n"/>
      <c r="L886" s="93" t="str">
        <f>IF(R886=0,"",SUMIFS('RECEBIMENTOS'!$H$6:$H$1005,'RECEBIMENTOS'!$R$6:$R$1005,A886,'RECEBIMENTOS'!$X$6:$X$1005,1))</f>
        <v/>
      </c>
      <c r="M886" s="93" t="str">
        <f>IF(R886=0,"",SUMIFS('VÍNCULOS_CDF'!$H$6:$H$1005,'VÍNCULOS_CDF'!$R$6:$R$1005,A886,'VÍNCULOS_CDF'!$V$6:$V$1005,1))</f>
        <v/>
      </c>
      <c r="N886" s="99" t="str">
        <f>IF(OR(R886=0,AA886=0,NOT(ISNUMBER(I886))),"",I886-N(L886))</f>
        <v/>
      </c>
      <c r="O886" s="100" t="str">
        <f>IF(OR(R886=0,AK886&lt;=0),"",N(M886)/AK886)</f>
        <v/>
      </c>
      <c r="P886" s="94" t="str">
        <f>IF(R886=0,"",IF(S886="","Sem MTR associado",IF(U886=0,"MTR inexistente",IF(C886="","Resíduo não identificado",IF(V886=0,"Resíduo fora do cadastro",IF(W886=0,"Quantidade inválida",IF(H886="","Unidade não informada",IF(NOT(ISNUMBER(I886)),"Unidade a conferir",IF(AND(AH886=1,K886&lt;&gt;"Sim"),"Possível duplicidade",IF(Z886=1,"MTR cancelado",IF(AC886&gt;0,"Recebimento com alerta",IF(AA886=0,"Aguardando recebimento",IF(AB886&lt;AA886,"Recebimento a conferir",IF(AM886=1,"Quantidade a revisar",IF(AF886&gt;0,"Vínculo a revisar",IF(AD886=0,"Aguardando CDF",IF(AN886=0,"Vínculo de CDF parcial",IF(AE886&lt;AD886,"CDF a conferir","Documentação conferida"))))))))))))))))))</f>
        <v/>
      </c>
      <c r="Q886" s="93" t="str">
        <f>IF(OR(R886=0,AA886=0),"",MAX(0,N(L886)-N(M886)))</f>
        <v/>
      </c>
      <c r="R886" s="96">
        <f>IF(COUNTA(B886:C886,G886:H886,J886:K886)&gt;0,1,0)</f>
        <v>0</v>
      </c>
      <c r="S886" s="96" t="str">
        <f>IF(B886="","",TRIM(LEFT(B886,FIND(" |",B886&amp;" |")-1)))</f>
        <v/>
      </c>
      <c r="T886" s="96" t="str">
        <f>IF(S886="","",IFERROR(MATCH(S886,'MTRs'!$A$6:$A$505,0),""))</f>
        <v/>
      </c>
      <c r="U886" s="96">
        <f>IF(T886="",0,IF(INDEX('MTRs'!$Z$6:$Z$505,T886)=1,1,0))</f>
        <v>0</v>
      </c>
      <c r="V886" s="96">
        <f>IF(C886="",0,IF(ISNUMBER(MATCH(C886,'CAD_RESÍDUOS'!$B$6:$B$205,0)),1,0))</f>
        <v>0</v>
      </c>
      <c r="W886" s="96">
        <f>IF(AND(ISNUMBER(G886),G886&gt;0),1,0)</f>
        <v>0</v>
      </c>
      <c r="X886" s="96" t="str">
        <f>IF(H886="","",IFERROR(IF(ISNUMBER(INDEX(cfg_fac,MATCH(H886,cfg_units,0))),IF(INDEX(cfg_fac,MATCH(H886,cfg_units,0))&gt;0,INDEX(cfg_fac,MATCH(H886,cfg_units,0)),""),""),""))</f>
        <v/>
      </c>
      <c r="Y886" s="96">
        <f>IF(AND(W886=1,ISNUMBER(I886)),1,0)</f>
        <v>0</v>
      </c>
      <c r="Z886" s="96">
        <f>IF(U886=1,INDEX('MTRs'!$AA$6:$AA$505,T886),0)</f>
        <v>0</v>
      </c>
      <c r="AA886" s="96">
        <f>IF(R886=0,0,COUNTIFS('RECEBIMENTOS'!$R$6:$R$1005,A886,'RECEBIMENTOS'!$Q$6:$Q$1005,1))</f>
        <v>0</v>
      </c>
      <c r="AB886" s="96">
        <f>IF(R886=0,0,COUNTIFS('RECEBIMENTOS'!$R$6:$R$1005,A886,'RECEBIMENTOS'!$Z$6:$Z$1005,1))</f>
        <v>0</v>
      </c>
      <c r="AC886" s="96">
        <f>IF(R886=0,0,COUNTIFS('RECEBIMENTOS'!$R$6:$R$1005,A886,'RECEBIMENTOS'!$Y$6:$Y$1005,1))</f>
        <v>0</v>
      </c>
      <c r="AD886" s="96">
        <f>IF(R886=0,0,COUNTIFS('VÍNCULOS_CDF'!$R$6:$R$1005,A886,'VÍNCULOS_CDF'!$N$6:$N$1005,1))</f>
        <v>0</v>
      </c>
      <c r="AE886" s="96">
        <f>IF(R886=0,0,COUNTIFS('VÍNCULOS_CDF'!$R$6:$R$1005,A886,'VÍNCULOS_CDF'!$AA$6:$AA$1005,1))</f>
        <v>0</v>
      </c>
      <c r="AF886" s="96">
        <f>IF(R886=0,0,COUNTIFS('VÍNCULOS_CDF'!$R$6:$R$1005,A886,'VÍNCULOS_CDF'!$Y$6:$Y$1005,1))</f>
        <v>0</v>
      </c>
      <c r="AG886" s="96" t="str">
        <f>IF(AND(R886=1,S886&lt;&gt;"",C886&lt;&gt;""),S886&amp;"|"&amp;C886&amp;"|"&amp;G886&amp;"|"&amp;H886,"")</f>
        <v/>
      </c>
      <c r="AH886" s="96">
        <f>IF(AG886="",0,IF(SUMPRODUCT(--($AG$6:$AG$1005=AG886))&gt;1,1,0))</f>
        <v>0</v>
      </c>
      <c r="AI886" s="96">
        <f>IF(R886=0,0,IF(OR(U886=0,V886=0,Y886=0,AND(AH886=1,K886&lt;&gt;"Sim")),1,0))</f>
        <v>0</v>
      </c>
      <c r="AJ886" s="96">
        <f>IF(AND(R886=1,AA886&gt;0,AB886=AA886),1,0)</f>
        <v>0</v>
      </c>
      <c r="AK886" s="96">
        <f>IF(R886=0,0,IF(AA886&gt;0,N(L886),IF(ISNUMBER(I886),I886,0)))</f>
        <v>0</v>
      </c>
      <c r="AL886" s="96">
        <f>IF(R886=0,0,IF(AND(K886&lt;&gt;"Sim",N(M886)&gt;AK886+cfg_tol),1,0))</f>
        <v>0</v>
      </c>
      <c r="AM886" s="96">
        <f>IF(R886=0,0,IF(K886="Sim",0,IF(OR(AND(AA886&gt;0,ISNUMBER(I886),ABS(I886-N(L886))&gt;cfg_tol),AL886=1),1,0)))</f>
        <v>0</v>
      </c>
      <c r="AN886" s="96">
        <f>IF(AND(R886=1,N(M886)&gt;0,OR(N(M886)&gt;=AK886-cfg_tol,K886="Sim")),1,0)</f>
        <v>0</v>
      </c>
      <c r="AO886" s="96">
        <f>IF(AND(AN886=1,AD886&gt;0,AE886=AD886,AL886=0),1,0)</f>
        <v>0</v>
      </c>
      <c r="AP886" s="96">
        <f>IF(U886=0,0,IF(AND(INDEX('MTRs'!$AX$6:$AX$505,T886)=1,Z886=0,OR(f_res="",f_res="(Todos)",C886=f_res)),1,0))</f>
        <v>0</v>
      </c>
      <c r="AQ886" s="97" t="str">
        <f>IF(U886=0,"",INDEX('MTRs'!$AZ$6:$AZ$505,T886))</f>
        <v/>
      </c>
      <c r="AR886" s="96">
        <f>IF(U886=0,0,IF(AND(INDEX('MTRs'!$BA$6:$BA$505,T886)=1,Z886=0),1,0))</f>
        <v>0</v>
      </c>
      <c r="AS886" s="96" t="str">
        <f>IF(R886=1,A886&amp;" | MTR "&amp;IF(U886=1,INDEX('MTRs'!$B$6:$B$505,T886)&amp;"","?")&amp;" | "&amp;IF(C886="","(sem resíduo)",C886),"")</f>
        <v/>
      </c>
      <c r="AT886" s="96" t="str">
        <f>IF(R886=1,COUNTIF($R$6:R886,1),"")</f>
        <v/>
      </c>
      <c r="AU886" s="96" t="str">
        <f>IF(U886=1,INDEX('MTRs'!$I$6:$I$505,T886)&amp;"","")</f>
        <v/>
      </c>
    </row>
    <row r="887">
      <c r="A887" s="89" t="inlineStr">
        <is>
          <t>IT-000882</t>
        </is>
      </c>
      <c r="B887" s="91" t="n"/>
      <c r="C887" s="91" t="n"/>
      <c r="D887" s="94" t="str">
        <f>IF(OR(R887=0,V887=0),"",INDEX('CAD_RESÍDUOS'!$E$6:$E$205,MATCH(C887,'CAD_RESÍDUOS'!$B$6:$B$205,0))&amp;"")</f>
        <v/>
      </c>
      <c r="E887" s="94" t="str">
        <f>IF(OR(R887=0,V887=0),"",INDEX('CAD_RESÍDUOS'!$C$6:$C$205,MATCH(C887,'CAD_RESÍDUOS'!$B$6:$B$205,0))&amp;"")</f>
        <v/>
      </c>
      <c r="F887" s="94" t="str">
        <f>IF(OR(R887=0,V887=0),"",INDEX('CAD_RESÍDUOS'!$G$6:$G$205,MATCH(C887,'CAD_RESÍDUOS'!$B$6:$B$205,0))&amp;"")</f>
        <v/>
      </c>
      <c r="G887" s="98" t="n"/>
      <c r="H887" s="91" t="n"/>
      <c r="I887" s="93" t="str">
        <f>IF(R887=0,"",IF(NOT(ISNUMBER(G887)),"",IF(ISNUMBER(X887),G887*X887,"UNIDADE A CONFERIR")))</f>
        <v/>
      </c>
      <c r="J887" s="91" t="n"/>
      <c r="K887" s="91" t="n"/>
      <c r="L887" s="93" t="str">
        <f>IF(R887=0,"",SUMIFS('RECEBIMENTOS'!$H$6:$H$1005,'RECEBIMENTOS'!$R$6:$R$1005,A887,'RECEBIMENTOS'!$X$6:$X$1005,1))</f>
        <v/>
      </c>
      <c r="M887" s="93" t="str">
        <f>IF(R887=0,"",SUMIFS('VÍNCULOS_CDF'!$H$6:$H$1005,'VÍNCULOS_CDF'!$R$6:$R$1005,A887,'VÍNCULOS_CDF'!$V$6:$V$1005,1))</f>
        <v/>
      </c>
      <c r="N887" s="99" t="str">
        <f>IF(OR(R887=0,AA887=0,NOT(ISNUMBER(I887))),"",I887-N(L887))</f>
        <v/>
      </c>
      <c r="O887" s="100" t="str">
        <f>IF(OR(R887=0,AK887&lt;=0),"",N(M887)/AK887)</f>
        <v/>
      </c>
      <c r="P887" s="94" t="str">
        <f>IF(R887=0,"",IF(S887="","Sem MTR associado",IF(U887=0,"MTR inexistente",IF(C887="","Resíduo não identificado",IF(V887=0,"Resíduo fora do cadastro",IF(W887=0,"Quantidade inválida",IF(H887="","Unidade não informada",IF(NOT(ISNUMBER(I887)),"Unidade a conferir",IF(AND(AH887=1,K887&lt;&gt;"Sim"),"Possível duplicidade",IF(Z887=1,"MTR cancelado",IF(AC887&gt;0,"Recebimento com alerta",IF(AA887=0,"Aguardando recebimento",IF(AB887&lt;AA887,"Recebimento a conferir",IF(AM887=1,"Quantidade a revisar",IF(AF887&gt;0,"Vínculo a revisar",IF(AD887=0,"Aguardando CDF",IF(AN887=0,"Vínculo de CDF parcial",IF(AE887&lt;AD887,"CDF a conferir","Documentação conferida"))))))))))))))))))</f>
        <v/>
      </c>
      <c r="Q887" s="93" t="str">
        <f>IF(OR(R887=0,AA887=0),"",MAX(0,N(L887)-N(M887)))</f>
        <v/>
      </c>
      <c r="R887" s="96">
        <f>IF(COUNTA(B887:C887,G887:H887,J887:K887)&gt;0,1,0)</f>
        <v>0</v>
      </c>
      <c r="S887" s="96" t="str">
        <f>IF(B887="","",TRIM(LEFT(B887,FIND(" |",B887&amp;" |")-1)))</f>
        <v/>
      </c>
      <c r="T887" s="96" t="str">
        <f>IF(S887="","",IFERROR(MATCH(S887,'MTRs'!$A$6:$A$505,0),""))</f>
        <v/>
      </c>
      <c r="U887" s="96">
        <f>IF(T887="",0,IF(INDEX('MTRs'!$Z$6:$Z$505,T887)=1,1,0))</f>
        <v>0</v>
      </c>
      <c r="V887" s="96">
        <f>IF(C887="",0,IF(ISNUMBER(MATCH(C887,'CAD_RESÍDUOS'!$B$6:$B$205,0)),1,0))</f>
        <v>0</v>
      </c>
      <c r="W887" s="96">
        <f>IF(AND(ISNUMBER(G887),G887&gt;0),1,0)</f>
        <v>0</v>
      </c>
      <c r="X887" s="96" t="str">
        <f>IF(H887="","",IFERROR(IF(ISNUMBER(INDEX(cfg_fac,MATCH(H887,cfg_units,0))),IF(INDEX(cfg_fac,MATCH(H887,cfg_units,0))&gt;0,INDEX(cfg_fac,MATCH(H887,cfg_units,0)),""),""),""))</f>
        <v/>
      </c>
      <c r="Y887" s="96">
        <f>IF(AND(W887=1,ISNUMBER(I887)),1,0)</f>
        <v>0</v>
      </c>
      <c r="Z887" s="96">
        <f>IF(U887=1,INDEX('MTRs'!$AA$6:$AA$505,T887),0)</f>
        <v>0</v>
      </c>
      <c r="AA887" s="96">
        <f>IF(R887=0,0,COUNTIFS('RECEBIMENTOS'!$R$6:$R$1005,A887,'RECEBIMENTOS'!$Q$6:$Q$1005,1))</f>
        <v>0</v>
      </c>
      <c r="AB887" s="96">
        <f>IF(R887=0,0,COUNTIFS('RECEBIMENTOS'!$R$6:$R$1005,A887,'RECEBIMENTOS'!$Z$6:$Z$1005,1))</f>
        <v>0</v>
      </c>
      <c r="AC887" s="96">
        <f>IF(R887=0,0,COUNTIFS('RECEBIMENTOS'!$R$6:$R$1005,A887,'RECEBIMENTOS'!$Y$6:$Y$1005,1))</f>
        <v>0</v>
      </c>
      <c r="AD887" s="96">
        <f>IF(R887=0,0,COUNTIFS('VÍNCULOS_CDF'!$R$6:$R$1005,A887,'VÍNCULOS_CDF'!$N$6:$N$1005,1))</f>
        <v>0</v>
      </c>
      <c r="AE887" s="96">
        <f>IF(R887=0,0,COUNTIFS('VÍNCULOS_CDF'!$R$6:$R$1005,A887,'VÍNCULOS_CDF'!$AA$6:$AA$1005,1))</f>
        <v>0</v>
      </c>
      <c r="AF887" s="96">
        <f>IF(R887=0,0,COUNTIFS('VÍNCULOS_CDF'!$R$6:$R$1005,A887,'VÍNCULOS_CDF'!$Y$6:$Y$1005,1))</f>
        <v>0</v>
      </c>
      <c r="AG887" s="96" t="str">
        <f>IF(AND(R887=1,S887&lt;&gt;"",C887&lt;&gt;""),S887&amp;"|"&amp;C887&amp;"|"&amp;G887&amp;"|"&amp;H887,"")</f>
        <v/>
      </c>
      <c r="AH887" s="96">
        <f>IF(AG887="",0,IF(SUMPRODUCT(--($AG$6:$AG$1005=AG887))&gt;1,1,0))</f>
        <v>0</v>
      </c>
      <c r="AI887" s="96">
        <f>IF(R887=0,0,IF(OR(U887=0,V887=0,Y887=0,AND(AH887=1,K887&lt;&gt;"Sim")),1,0))</f>
        <v>0</v>
      </c>
      <c r="AJ887" s="96">
        <f>IF(AND(R887=1,AA887&gt;0,AB887=AA887),1,0)</f>
        <v>0</v>
      </c>
      <c r="AK887" s="96">
        <f>IF(R887=0,0,IF(AA887&gt;0,N(L887),IF(ISNUMBER(I887),I887,0)))</f>
        <v>0</v>
      </c>
      <c r="AL887" s="96">
        <f>IF(R887=0,0,IF(AND(K887&lt;&gt;"Sim",N(M887)&gt;AK887+cfg_tol),1,0))</f>
        <v>0</v>
      </c>
      <c r="AM887" s="96">
        <f>IF(R887=0,0,IF(K887="Sim",0,IF(OR(AND(AA887&gt;0,ISNUMBER(I887),ABS(I887-N(L887))&gt;cfg_tol),AL887=1),1,0)))</f>
        <v>0</v>
      </c>
      <c r="AN887" s="96">
        <f>IF(AND(R887=1,N(M887)&gt;0,OR(N(M887)&gt;=AK887-cfg_tol,K887="Sim")),1,0)</f>
        <v>0</v>
      </c>
      <c r="AO887" s="96">
        <f>IF(AND(AN887=1,AD887&gt;0,AE887=AD887,AL887=0),1,0)</f>
        <v>0</v>
      </c>
      <c r="AP887" s="96">
        <f>IF(U887=0,0,IF(AND(INDEX('MTRs'!$AX$6:$AX$505,T887)=1,Z887=0,OR(f_res="",f_res="(Todos)",C887=f_res)),1,0))</f>
        <v>0</v>
      </c>
      <c r="AQ887" s="97" t="str">
        <f>IF(U887=0,"",INDEX('MTRs'!$AZ$6:$AZ$505,T887))</f>
        <v/>
      </c>
      <c r="AR887" s="96">
        <f>IF(U887=0,0,IF(AND(INDEX('MTRs'!$BA$6:$BA$505,T887)=1,Z887=0),1,0))</f>
        <v>0</v>
      </c>
      <c r="AS887" s="96" t="str">
        <f>IF(R887=1,A887&amp;" | MTR "&amp;IF(U887=1,INDEX('MTRs'!$B$6:$B$505,T887)&amp;"","?")&amp;" | "&amp;IF(C887="","(sem resíduo)",C887),"")</f>
        <v/>
      </c>
      <c r="AT887" s="96" t="str">
        <f>IF(R887=1,COUNTIF($R$6:R887,1),"")</f>
        <v/>
      </c>
      <c r="AU887" s="96" t="str">
        <f>IF(U887=1,INDEX('MTRs'!$I$6:$I$505,T887)&amp;"","")</f>
        <v/>
      </c>
    </row>
    <row r="888">
      <c r="A888" s="89" t="inlineStr">
        <is>
          <t>IT-000883</t>
        </is>
      </c>
      <c r="B888" s="91" t="n"/>
      <c r="C888" s="91" t="n"/>
      <c r="D888" s="94" t="str">
        <f>IF(OR(R888=0,V888=0),"",INDEX('CAD_RESÍDUOS'!$E$6:$E$205,MATCH(C888,'CAD_RESÍDUOS'!$B$6:$B$205,0))&amp;"")</f>
        <v/>
      </c>
      <c r="E888" s="94" t="str">
        <f>IF(OR(R888=0,V888=0),"",INDEX('CAD_RESÍDUOS'!$C$6:$C$205,MATCH(C888,'CAD_RESÍDUOS'!$B$6:$B$205,0))&amp;"")</f>
        <v/>
      </c>
      <c r="F888" s="94" t="str">
        <f>IF(OR(R888=0,V888=0),"",INDEX('CAD_RESÍDUOS'!$G$6:$G$205,MATCH(C888,'CAD_RESÍDUOS'!$B$6:$B$205,0))&amp;"")</f>
        <v/>
      </c>
      <c r="G888" s="98" t="n"/>
      <c r="H888" s="91" t="n"/>
      <c r="I888" s="93" t="str">
        <f>IF(R888=0,"",IF(NOT(ISNUMBER(G888)),"",IF(ISNUMBER(X888),G888*X888,"UNIDADE A CONFERIR")))</f>
        <v/>
      </c>
      <c r="J888" s="91" t="n"/>
      <c r="K888" s="91" t="n"/>
      <c r="L888" s="93" t="str">
        <f>IF(R888=0,"",SUMIFS('RECEBIMENTOS'!$H$6:$H$1005,'RECEBIMENTOS'!$R$6:$R$1005,A888,'RECEBIMENTOS'!$X$6:$X$1005,1))</f>
        <v/>
      </c>
      <c r="M888" s="93" t="str">
        <f>IF(R888=0,"",SUMIFS('VÍNCULOS_CDF'!$H$6:$H$1005,'VÍNCULOS_CDF'!$R$6:$R$1005,A888,'VÍNCULOS_CDF'!$V$6:$V$1005,1))</f>
        <v/>
      </c>
      <c r="N888" s="99" t="str">
        <f>IF(OR(R888=0,AA888=0,NOT(ISNUMBER(I888))),"",I888-N(L888))</f>
        <v/>
      </c>
      <c r="O888" s="100" t="str">
        <f>IF(OR(R888=0,AK888&lt;=0),"",N(M888)/AK888)</f>
        <v/>
      </c>
      <c r="P888" s="94" t="str">
        <f>IF(R888=0,"",IF(S888="","Sem MTR associado",IF(U888=0,"MTR inexistente",IF(C888="","Resíduo não identificado",IF(V888=0,"Resíduo fora do cadastro",IF(W888=0,"Quantidade inválida",IF(H888="","Unidade não informada",IF(NOT(ISNUMBER(I888)),"Unidade a conferir",IF(AND(AH888=1,K888&lt;&gt;"Sim"),"Possível duplicidade",IF(Z888=1,"MTR cancelado",IF(AC888&gt;0,"Recebimento com alerta",IF(AA888=0,"Aguardando recebimento",IF(AB888&lt;AA888,"Recebimento a conferir",IF(AM888=1,"Quantidade a revisar",IF(AF888&gt;0,"Vínculo a revisar",IF(AD888=0,"Aguardando CDF",IF(AN888=0,"Vínculo de CDF parcial",IF(AE888&lt;AD888,"CDF a conferir","Documentação conferida"))))))))))))))))))</f>
        <v/>
      </c>
      <c r="Q888" s="93" t="str">
        <f>IF(OR(R888=0,AA888=0),"",MAX(0,N(L888)-N(M888)))</f>
        <v/>
      </c>
      <c r="R888" s="96">
        <f>IF(COUNTA(B888:C888,G888:H888,J888:K888)&gt;0,1,0)</f>
        <v>0</v>
      </c>
      <c r="S888" s="96" t="str">
        <f>IF(B888="","",TRIM(LEFT(B888,FIND(" |",B888&amp;" |")-1)))</f>
        <v/>
      </c>
      <c r="T888" s="96" t="str">
        <f>IF(S888="","",IFERROR(MATCH(S888,'MTRs'!$A$6:$A$505,0),""))</f>
        <v/>
      </c>
      <c r="U888" s="96">
        <f>IF(T888="",0,IF(INDEX('MTRs'!$Z$6:$Z$505,T888)=1,1,0))</f>
        <v>0</v>
      </c>
      <c r="V888" s="96">
        <f>IF(C888="",0,IF(ISNUMBER(MATCH(C888,'CAD_RESÍDUOS'!$B$6:$B$205,0)),1,0))</f>
        <v>0</v>
      </c>
      <c r="W888" s="96">
        <f>IF(AND(ISNUMBER(G888),G888&gt;0),1,0)</f>
        <v>0</v>
      </c>
      <c r="X888" s="96" t="str">
        <f>IF(H888="","",IFERROR(IF(ISNUMBER(INDEX(cfg_fac,MATCH(H888,cfg_units,0))),IF(INDEX(cfg_fac,MATCH(H888,cfg_units,0))&gt;0,INDEX(cfg_fac,MATCH(H888,cfg_units,0)),""),""),""))</f>
        <v/>
      </c>
      <c r="Y888" s="96">
        <f>IF(AND(W888=1,ISNUMBER(I888)),1,0)</f>
        <v>0</v>
      </c>
      <c r="Z888" s="96">
        <f>IF(U888=1,INDEX('MTRs'!$AA$6:$AA$505,T888),0)</f>
        <v>0</v>
      </c>
      <c r="AA888" s="96">
        <f>IF(R888=0,0,COUNTIFS('RECEBIMENTOS'!$R$6:$R$1005,A888,'RECEBIMENTOS'!$Q$6:$Q$1005,1))</f>
        <v>0</v>
      </c>
      <c r="AB888" s="96">
        <f>IF(R888=0,0,COUNTIFS('RECEBIMENTOS'!$R$6:$R$1005,A888,'RECEBIMENTOS'!$Z$6:$Z$1005,1))</f>
        <v>0</v>
      </c>
      <c r="AC888" s="96">
        <f>IF(R888=0,0,COUNTIFS('RECEBIMENTOS'!$R$6:$R$1005,A888,'RECEBIMENTOS'!$Y$6:$Y$1005,1))</f>
        <v>0</v>
      </c>
      <c r="AD888" s="96">
        <f>IF(R888=0,0,COUNTIFS('VÍNCULOS_CDF'!$R$6:$R$1005,A888,'VÍNCULOS_CDF'!$N$6:$N$1005,1))</f>
        <v>0</v>
      </c>
      <c r="AE888" s="96">
        <f>IF(R888=0,0,COUNTIFS('VÍNCULOS_CDF'!$R$6:$R$1005,A888,'VÍNCULOS_CDF'!$AA$6:$AA$1005,1))</f>
        <v>0</v>
      </c>
      <c r="AF888" s="96">
        <f>IF(R888=0,0,COUNTIFS('VÍNCULOS_CDF'!$R$6:$R$1005,A888,'VÍNCULOS_CDF'!$Y$6:$Y$1005,1))</f>
        <v>0</v>
      </c>
      <c r="AG888" s="96" t="str">
        <f>IF(AND(R888=1,S888&lt;&gt;"",C888&lt;&gt;""),S888&amp;"|"&amp;C888&amp;"|"&amp;G888&amp;"|"&amp;H888,"")</f>
        <v/>
      </c>
      <c r="AH888" s="96">
        <f>IF(AG888="",0,IF(SUMPRODUCT(--($AG$6:$AG$1005=AG888))&gt;1,1,0))</f>
        <v>0</v>
      </c>
      <c r="AI888" s="96">
        <f>IF(R888=0,0,IF(OR(U888=0,V888=0,Y888=0,AND(AH888=1,K888&lt;&gt;"Sim")),1,0))</f>
        <v>0</v>
      </c>
      <c r="AJ888" s="96">
        <f>IF(AND(R888=1,AA888&gt;0,AB888=AA888),1,0)</f>
        <v>0</v>
      </c>
      <c r="AK888" s="96">
        <f>IF(R888=0,0,IF(AA888&gt;0,N(L888),IF(ISNUMBER(I888),I888,0)))</f>
        <v>0</v>
      </c>
      <c r="AL888" s="96">
        <f>IF(R888=0,0,IF(AND(K888&lt;&gt;"Sim",N(M888)&gt;AK888+cfg_tol),1,0))</f>
        <v>0</v>
      </c>
      <c r="AM888" s="96">
        <f>IF(R888=0,0,IF(K888="Sim",0,IF(OR(AND(AA888&gt;0,ISNUMBER(I888),ABS(I888-N(L888))&gt;cfg_tol),AL888=1),1,0)))</f>
        <v>0</v>
      </c>
      <c r="AN888" s="96">
        <f>IF(AND(R888=1,N(M888)&gt;0,OR(N(M888)&gt;=AK888-cfg_tol,K888="Sim")),1,0)</f>
        <v>0</v>
      </c>
      <c r="AO888" s="96">
        <f>IF(AND(AN888=1,AD888&gt;0,AE888=AD888,AL888=0),1,0)</f>
        <v>0</v>
      </c>
      <c r="AP888" s="96">
        <f>IF(U888=0,0,IF(AND(INDEX('MTRs'!$AX$6:$AX$505,T888)=1,Z888=0,OR(f_res="",f_res="(Todos)",C888=f_res)),1,0))</f>
        <v>0</v>
      </c>
      <c r="AQ888" s="97" t="str">
        <f>IF(U888=0,"",INDEX('MTRs'!$AZ$6:$AZ$505,T888))</f>
        <v/>
      </c>
      <c r="AR888" s="96">
        <f>IF(U888=0,0,IF(AND(INDEX('MTRs'!$BA$6:$BA$505,T888)=1,Z888=0),1,0))</f>
        <v>0</v>
      </c>
      <c r="AS888" s="96" t="str">
        <f>IF(R888=1,A888&amp;" | MTR "&amp;IF(U888=1,INDEX('MTRs'!$B$6:$B$505,T888)&amp;"","?")&amp;" | "&amp;IF(C888="","(sem resíduo)",C888),"")</f>
        <v/>
      </c>
      <c r="AT888" s="96" t="str">
        <f>IF(R888=1,COUNTIF($R$6:R888,1),"")</f>
        <v/>
      </c>
      <c r="AU888" s="96" t="str">
        <f>IF(U888=1,INDEX('MTRs'!$I$6:$I$505,T888)&amp;"","")</f>
        <v/>
      </c>
    </row>
    <row r="889">
      <c r="A889" s="89" t="inlineStr">
        <is>
          <t>IT-000884</t>
        </is>
      </c>
      <c r="B889" s="91" t="n"/>
      <c r="C889" s="91" t="n"/>
      <c r="D889" s="94" t="str">
        <f>IF(OR(R889=0,V889=0),"",INDEX('CAD_RESÍDUOS'!$E$6:$E$205,MATCH(C889,'CAD_RESÍDUOS'!$B$6:$B$205,0))&amp;"")</f>
        <v/>
      </c>
      <c r="E889" s="94" t="str">
        <f>IF(OR(R889=0,V889=0),"",INDEX('CAD_RESÍDUOS'!$C$6:$C$205,MATCH(C889,'CAD_RESÍDUOS'!$B$6:$B$205,0))&amp;"")</f>
        <v/>
      </c>
      <c r="F889" s="94" t="str">
        <f>IF(OR(R889=0,V889=0),"",INDEX('CAD_RESÍDUOS'!$G$6:$G$205,MATCH(C889,'CAD_RESÍDUOS'!$B$6:$B$205,0))&amp;"")</f>
        <v/>
      </c>
      <c r="G889" s="98" t="n"/>
      <c r="H889" s="91" t="n"/>
      <c r="I889" s="93" t="str">
        <f>IF(R889=0,"",IF(NOT(ISNUMBER(G889)),"",IF(ISNUMBER(X889),G889*X889,"UNIDADE A CONFERIR")))</f>
        <v/>
      </c>
      <c r="J889" s="91" t="n"/>
      <c r="K889" s="91" t="n"/>
      <c r="L889" s="93" t="str">
        <f>IF(R889=0,"",SUMIFS('RECEBIMENTOS'!$H$6:$H$1005,'RECEBIMENTOS'!$R$6:$R$1005,A889,'RECEBIMENTOS'!$X$6:$X$1005,1))</f>
        <v/>
      </c>
      <c r="M889" s="93" t="str">
        <f>IF(R889=0,"",SUMIFS('VÍNCULOS_CDF'!$H$6:$H$1005,'VÍNCULOS_CDF'!$R$6:$R$1005,A889,'VÍNCULOS_CDF'!$V$6:$V$1005,1))</f>
        <v/>
      </c>
      <c r="N889" s="99" t="str">
        <f>IF(OR(R889=0,AA889=0,NOT(ISNUMBER(I889))),"",I889-N(L889))</f>
        <v/>
      </c>
      <c r="O889" s="100" t="str">
        <f>IF(OR(R889=0,AK889&lt;=0),"",N(M889)/AK889)</f>
        <v/>
      </c>
      <c r="P889" s="94" t="str">
        <f>IF(R889=0,"",IF(S889="","Sem MTR associado",IF(U889=0,"MTR inexistente",IF(C889="","Resíduo não identificado",IF(V889=0,"Resíduo fora do cadastro",IF(W889=0,"Quantidade inválida",IF(H889="","Unidade não informada",IF(NOT(ISNUMBER(I889)),"Unidade a conferir",IF(AND(AH889=1,K889&lt;&gt;"Sim"),"Possível duplicidade",IF(Z889=1,"MTR cancelado",IF(AC889&gt;0,"Recebimento com alerta",IF(AA889=0,"Aguardando recebimento",IF(AB889&lt;AA889,"Recebimento a conferir",IF(AM889=1,"Quantidade a revisar",IF(AF889&gt;0,"Vínculo a revisar",IF(AD889=0,"Aguardando CDF",IF(AN889=0,"Vínculo de CDF parcial",IF(AE889&lt;AD889,"CDF a conferir","Documentação conferida"))))))))))))))))))</f>
        <v/>
      </c>
      <c r="Q889" s="93" t="str">
        <f>IF(OR(R889=0,AA889=0),"",MAX(0,N(L889)-N(M889)))</f>
        <v/>
      </c>
      <c r="R889" s="96">
        <f>IF(COUNTA(B889:C889,G889:H889,J889:K889)&gt;0,1,0)</f>
        <v>0</v>
      </c>
      <c r="S889" s="96" t="str">
        <f>IF(B889="","",TRIM(LEFT(B889,FIND(" |",B889&amp;" |")-1)))</f>
        <v/>
      </c>
      <c r="T889" s="96" t="str">
        <f>IF(S889="","",IFERROR(MATCH(S889,'MTRs'!$A$6:$A$505,0),""))</f>
        <v/>
      </c>
      <c r="U889" s="96">
        <f>IF(T889="",0,IF(INDEX('MTRs'!$Z$6:$Z$505,T889)=1,1,0))</f>
        <v>0</v>
      </c>
      <c r="V889" s="96">
        <f>IF(C889="",0,IF(ISNUMBER(MATCH(C889,'CAD_RESÍDUOS'!$B$6:$B$205,0)),1,0))</f>
        <v>0</v>
      </c>
      <c r="W889" s="96">
        <f>IF(AND(ISNUMBER(G889),G889&gt;0),1,0)</f>
        <v>0</v>
      </c>
      <c r="X889" s="96" t="str">
        <f>IF(H889="","",IFERROR(IF(ISNUMBER(INDEX(cfg_fac,MATCH(H889,cfg_units,0))),IF(INDEX(cfg_fac,MATCH(H889,cfg_units,0))&gt;0,INDEX(cfg_fac,MATCH(H889,cfg_units,0)),""),""),""))</f>
        <v/>
      </c>
      <c r="Y889" s="96">
        <f>IF(AND(W889=1,ISNUMBER(I889)),1,0)</f>
        <v>0</v>
      </c>
      <c r="Z889" s="96">
        <f>IF(U889=1,INDEX('MTRs'!$AA$6:$AA$505,T889),0)</f>
        <v>0</v>
      </c>
      <c r="AA889" s="96">
        <f>IF(R889=0,0,COUNTIFS('RECEBIMENTOS'!$R$6:$R$1005,A889,'RECEBIMENTOS'!$Q$6:$Q$1005,1))</f>
        <v>0</v>
      </c>
      <c r="AB889" s="96">
        <f>IF(R889=0,0,COUNTIFS('RECEBIMENTOS'!$R$6:$R$1005,A889,'RECEBIMENTOS'!$Z$6:$Z$1005,1))</f>
        <v>0</v>
      </c>
      <c r="AC889" s="96">
        <f>IF(R889=0,0,COUNTIFS('RECEBIMENTOS'!$R$6:$R$1005,A889,'RECEBIMENTOS'!$Y$6:$Y$1005,1))</f>
        <v>0</v>
      </c>
      <c r="AD889" s="96">
        <f>IF(R889=0,0,COUNTIFS('VÍNCULOS_CDF'!$R$6:$R$1005,A889,'VÍNCULOS_CDF'!$N$6:$N$1005,1))</f>
        <v>0</v>
      </c>
      <c r="AE889" s="96">
        <f>IF(R889=0,0,COUNTIFS('VÍNCULOS_CDF'!$R$6:$R$1005,A889,'VÍNCULOS_CDF'!$AA$6:$AA$1005,1))</f>
        <v>0</v>
      </c>
      <c r="AF889" s="96">
        <f>IF(R889=0,0,COUNTIFS('VÍNCULOS_CDF'!$R$6:$R$1005,A889,'VÍNCULOS_CDF'!$Y$6:$Y$1005,1))</f>
        <v>0</v>
      </c>
      <c r="AG889" s="96" t="str">
        <f>IF(AND(R889=1,S889&lt;&gt;"",C889&lt;&gt;""),S889&amp;"|"&amp;C889&amp;"|"&amp;G889&amp;"|"&amp;H889,"")</f>
        <v/>
      </c>
      <c r="AH889" s="96">
        <f>IF(AG889="",0,IF(SUMPRODUCT(--($AG$6:$AG$1005=AG889))&gt;1,1,0))</f>
        <v>0</v>
      </c>
      <c r="AI889" s="96">
        <f>IF(R889=0,0,IF(OR(U889=0,V889=0,Y889=0,AND(AH889=1,K889&lt;&gt;"Sim")),1,0))</f>
        <v>0</v>
      </c>
      <c r="AJ889" s="96">
        <f>IF(AND(R889=1,AA889&gt;0,AB889=AA889),1,0)</f>
        <v>0</v>
      </c>
      <c r="AK889" s="96">
        <f>IF(R889=0,0,IF(AA889&gt;0,N(L889),IF(ISNUMBER(I889),I889,0)))</f>
        <v>0</v>
      </c>
      <c r="AL889" s="96">
        <f>IF(R889=0,0,IF(AND(K889&lt;&gt;"Sim",N(M889)&gt;AK889+cfg_tol),1,0))</f>
        <v>0</v>
      </c>
      <c r="AM889" s="96">
        <f>IF(R889=0,0,IF(K889="Sim",0,IF(OR(AND(AA889&gt;0,ISNUMBER(I889),ABS(I889-N(L889))&gt;cfg_tol),AL889=1),1,0)))</f>
        <v>0</v>
      </c>
      <c r="AN889" s="96">
        <f>IF(AND(R889=1,N(M889)&gt;0,OR(N(M889)&gt;=AK889-cfg_tol,K889="Sim")),1,0)</f>
        <v>0</v>
      </c>
      <c r="AO889" s="96">
        <f>IF(AND(AN889=1,AD889&gt;0,AE889=AD889,AL889=0),1,0)</f>
        <v>0</v>
      </c>
      <c r="AP889" s="96">
        <f>IF(U889=0,0,IF(AND(INDEX('MTRs'!$AX$6:$AX$505,T889)=1,Z889=0,OR(f_res="",f_res="(Todos)",C889=f_res)),1,0))</f>
        <v>0</v>
      </c>
      <c r="AQ889" s="97" t="str">
        <f>IF(U889=0,"",INDEX('MTRs'!$AZ$6:$AZ$505,T889))</f>
        <v/>
      </c>
      <c r="AR889" s="96">
        <f>IF(U889=0,0,IF(AND(INDEX('MTRs'!$BA$6:$BA$505,T889)=1,Z889=0),1,0))</f>
        <v>0</v>
      </c>
      <c r="AS889" s="96" t="str">
        <f>IF(R889=1,A889&amp;" | MTR "&amp;IF(U889=1,INDEX('MTRs'!$B$6:$B$505,T889)&amp;"","?")&amp;" | "&amp;IF(C889="","(sem resíduo)",C889),"")</f>
        <v/>
      </c>
      <c r="AT889" s="96" t="str">
        <f>IF(R889=1,COUNTIF($R$6:R889,1),"")</f>
        <v/>
      </c>
      <c r="AU889" s="96" t="str">
        <f>IF(U889=1,INDEX('MTRs'!$I$6:$I$505,T889)&amp;"","")</f>
        <v/>
      </c>
    </row>
    <row r="890">
      <c r="A890" s="89" t="inlineStr">
        <is>
          <t>IT-000885</t>
        </is>
      </c>
      <c r="B890" s="91" t="n"/>
      <c r="C890" s="91" t="n"/>
      <c r="D890" s="94" t="str">
        <f>IF(OR(R890=0,V890=0),"",INDEX('CAD_RESÍDUOS'!$E$6:$E$205,MATCH(C890,'CAD_RESÍDUOS'!$B$6:$B$205,0))&amp;"")</f>
        <v/>
      </c>
      <c r="E890" s="94" t="str">
        <f>IF(OR(R890=0,V890=0),"",INDEX('CAD_RESÍDUOS'!$C$6:$C$205,MATCH(C890,'CAD_RESÍDUOS'!$B$6:$B$205,0))&amp;"")</f>
        <v/>
      </c>
      <c r="F890" s="94" t="str">
        <f>IF(OR(R890=0,V890=0),"",INDEX('CAD_RESÍDUOS'!$G$6:$G$205,MATCH(C890,'CAD_RESÍDUOS'!$B$6:$B$205,0))&amp;"")</f>
        <v/>
      </c>
      <c r="G890" s="98" t="n"/>
      <c r="H890" s="91" t="n"/>
      <c r="I890" s="93" t="str">
        <f>IF(R890=0,"",IF(NOT(ISNUMBER(G890)),"",IF(ISNUMBER(X890),G890*X890,"UNIDADE A CONFERIR")))</f>
        <v/>
      </c>
      <c r="J890" s="91" t="n"/>
      <c r="K890" s="91" t="n"/>
      <c r="L890" s="93" t="str">
        <f>IF(R890=0,"",SUMIFS('RECEBIMENTOS'!$H$6:$H$1005,'RECEBIMENTOS'!$R$6:$R$1005,A890,'RECEBIMENTOS'!$X$6:$X$1005,1))</f>
        <v/>
      </c>
      <c r="M890" s="93" t="str">
        <f>IF(R890=0,"",SUMIFS('VÍNCULOS_CDF'!$H$6:$H$1005,'VÍNCULOS_CDF'!$R$6:$R$1005,A890,'VÍNCULOS_CDF'!$V$6:$V$1005,1))</f>
        <v/>
      </c>
      <c r="N890" s="99" t="str">
        <f>IF(OR(R890=0,AA890=0,NOT(ISNUMBER(I890))),"",I890-N(L890))</f>
        <v/>
      </c>
      <c r="O890" s="100" t="str">
        <f>IF(OR(R890=0,AK890&lt;=0),"",N(M890)/AK890)</f>
        <v/>
      </c>
      <c r="P890" s="94" t="str">
        <f>IF(R890=0,"",IF(S890="","Sem MTR associado",IF(U890=0,"MTR inexistente",IF(C890="","Resíduo não identificado",IF(V890=0,"Resíduo fora do cadastro",IF(W890=0,"Quantidade inválida",IF(H890="","Unidade não informada",IF(NOT(ISNUMBER(I890)),"Unidade a conferir",IF(AND(AH890=1,K890&lt;&gt;"Sim"),"Possível duplicidade",IF(Z890=1,"MTR cancelado",IF(AC890&gt;0,"Recebimento com alerta",IF(AA890=0,"Aguardando recebimento",IF(AB890&lt;AA890,"Recebimento a conferir",IF(AM890=1,"Quantidade a revisar",IF(AF890&gt;0,"Vínculo a revisar",IF(AD890=0,"Aguardando CDF",IF(AN890=0,"Vínculo de CDF parcial",IF(AE890&lt;AD890,"CDF a conferir","Documentação conferida"))))))))))))))))))</f>
        <v/>
      </c>
      <c r="Q890" s="93" t="str">
        <f>IF(OR(R890=0,AA890=0),"",MAX(0,N(L890)-N(M890)))</f>
        <v/>
      </c>
      <c r="R890" s="96">
        <f>IF(COUNTA(B890:C890,G890:H890,J890:K890)&gt;0,1,0)</f>
        <v>0</v>
      </c>
      <c r="S890" s="96" t="str">
        <f>IF(B890="","",TRIM(LEFT(B890,FIND(" |",B890&amp;" |")-1)))</f>
        <v/>
      </c>
      <c r="T890" s="96" t="str">
        <f>IF(S890="","",IFERROR(MATCH(S890,'MTRs'!$A$6:$A$505,0),""))</f>
        <v/>
      </c>
      <c r="U890" s="96">
        <f>IF(T890="",0,IF(INDEX('MTRs'!$Z$6:$Z$505,T890)=1,1,0))</f>
        <v>0</v>
      </c>
      <c r="V890" s="96">
        <f>IF(C890="",0,IF(ISNUMBER(MATCH(C890,'CAD_RESÍDUOS'!$B$6:$B$205,0)),1,0))</f>
        <v>0</v>
      </c>
      <c r="W890" s="96">
        <f>IF(AND(ISNUMBER(G890),G890&gt;0),1,0)</f>
        <v>0</v>
      </c>
      <c r="X890" s="96" t="str">
        <f>IF(H890="","",IFERROR(IF(ISNUMBER(INDEX(cfg_fac,MATCH(H890,cfg_units,0))),IF(INDEX(cfg_fac,MATCH(H890,cfg_units,0))&gt;0,INDEX(cfg_fac,MATCH(H890,cfg_units,0)),""),""),""))</f>
        <v/>
      </c>
      <c r="Y890" s="96">
        <f>IF(AND(W890=1,ISNUMBER(I890)),1,0)</f>
        <v>0</v>
      </c>
      <c r="Z890" s="96">
        <f>IF(U890=1,INDEX('MTRs'!$AA$6:$AA$505,T890),0)</f>
        <v>0</v>
      </c>
      <c r="AA890" s="96">
        <f>IF(R890=0,0,COUNTIFS('RECEBIMENTOS'!$R$6:$R$1005,A890,'RECEBIMENTOS'!$Q$6:$Q$1005,1))</f>
        <v>0</v>
      </c>
      <c r="AB890" s="96">
        <f>IF(R890=0,0,COUNTIFS('RECEBIMENTOS'!$R$6:$R$1005,A890,'RECEBIMENTOS'!$Z$6:$Z$1005,1))</f>
        <v>0</v>
      </c>
      <c r="AC890" s="96">
        <f>IF(R890=0,0,COUNTIFS('RECEBIMENTOS'!$R$6:$R$1005,A890,'RECEBIMENTOS'!$Y$6:$Y$1005,1))</f>
        <v>0</v>
      </c>
      <c r="AD890" s="96">
        <f>IF(R890=0,0,COUNTIFS('VÍNCULOS_CDF'!$R$6:$R$1005,A890,'VÍNCULOS_CDF'!$N$6:$N$1005,1))</f>
        <v>0</v>
      </c>
      <c r="AE890" s="96">
        <f>IF(R890=0,0,COUNTIFS('VÍNCULOS_CDF'!$R$6:$R$1005,A890,'VÍNCULOS_CDF'!$AA$6:$AA$1005,1))</f>
        <v>0</v>
      </c>
      <c r="AF890" s="96">
        <f>IF(R890=0,0,COUNTIFS('VÍNCULOS_CDF'!$R$6:$R$1005,A890,'VÍNCULOS_CDF'!$Y$6:$Y$1005,1))</f>
        <v>0</v>
      </c>
      <c r="AG890" s="96" t="str">
        <f>IF(AND(R890=1,S890&lt;&gt;"",C890&lt;&gt;""),S890&amp;"|"&amp;C890&amp;"|"&amp;G890&amp;"|"&amp;H890,"")</f>
        <v/>
      </c>
      <c r="AH890" s="96">
        <f>IF(AG890="",0,IF(SUMPRODUCT(--($AG$6:$AG$1005=AG890))&gt;1,1,0))</f>
        <v>0</v>
      </c>
      <c r="AI890" s="96">
        <f>IF(R890=0,0,IF(OR(U890=0,V890=0,Y890=0,AND(AH890=1,K890&lt;&gt;"Sim")),1,0))</f>
        <v>0</v>
      </c>
      <c r="AJ890" s="96">
        <f>IF(AND(R890=1,AA890&gt;0,AB890=AA890),1,0)</f>
        <v>0</v>
      </c>
      <c r="AK890" s="96">
        <f>IF(R890=0,0,IF(AA890&gt;0,N(L890),IF(ISNUMBER(I890),I890,0)))</f>
        <v>0</v>
      </c>
      <c r="AL890" s="96">
        <f>IF(R890=0,0,IF(AND(K890&lt;&gt;"Sim",N(M890)&gt;AK890+cfg_tol),1,0))</f>
        <v>0</v>
      </c>
      <c r="AM890" s="96">
        <f>IF(R890=0,0,IF(K890="Sim",0,IF(OR(AND(AA890&gt;0,ISNUMBER(I890),ABS(I890-N(L890))&gt;cfg_tol),AL890=1),1,0)))</f>
        <v>0</v>
      </c>
      <c r="AN890" s="96">
        <f>IF(AND(R890=1,N(M890)&gt;0,OR(N(M890)&gt;=AK890-cfg_tol,K890="Sim")),1,0)</f>
        <v>0</v>
      </c>
      <c r="AO890" s="96">
        <f>IF(AND(AN890=1,AD890&gt;0,AE890=AD890,AL890=0),1,0)</f>
        <v>0</v>
      </c>
      <c r="AP890" s="96">
        <f>IF(U890=0,0,IF(AND(INDEX('MTRs'!$AX$6:$AX$505,T890)=1,Z890=0,OR(f_res="",f_res="(Todos)",C890=f_res)),1,0))</f>
        <v>0</v>
      </c>
      <c r="AQ890" s="97" t="str">
        <f>IF(U890=0,"",INDEX('MTRs'!$AZ$6:$AZ$505,T890))</f>
        <v/>
      </c>
      <c r="AR890" s="96">
        <f>IF(U890=0,0,IF(AND(INDEX('MTRs'!$BA$6:$BA$505,T890)=1,Z890=0),1,0))</f>
        <v>0</v>
      </c>
      <c r="AS890" s="96" t="str">
        <f>IF(R890=1,A890&amp;" | MTR "&amp;IF(U890=1,INDEX('MTRs'!$B$6:$B$505,T890)&amp;"","?")&amp;" | "&amp;IF(C890="","(sem resíduo)",C890),"")</f>
        <v/>
      </c>
      <c r="AT890" s="96" t="str">
        <f>IF(R890=1,COUNTIF($R$6:R890,1),"")</f>
        <v/>
      </c>
      <c r="AU890" s="96" t="str">
        <f>IF(U890=1,INDEX('MTRs'!$I$6:$I$505,T890)&amp;"","")</f>
        <v/>
      </c>
    </row>
    <row r="891">
      <c r="A891" s="89" t="inlineStr">
        <is>
          <t>IT-000886</t>
        </is>
      </c>
      <c r="B891" s="91" t="n"/>
      <c r="C891" s="91" t="n"/>
      <c r="D891" s="94" t="str">
        <f>IF(OR(R891=0,V891=0),"",INDEX('CAD_RESÍDUOS'!$E$6:$E$205,MATCH(C891,'CAD_RESÍDUOS'!$B$6:$B$205,0))&amp;"")</f>
        <v/>
      </c>
      <c r="E891" s="94" t="str">
        <f>IF(OR(R891=0,V891=0),"",INDEX('CAD_RESÍDUOS'!$C$6:$C$205,MATCH(C891,'CAD_RESÍDUOS'!$B$6:$B$205,0))&amp;"")</f>
        <v/>
      </c>
      <c r="F891" s="94" t="str">
        <f>IF(OR(R891=0,V891=0),"",INDEX('CAD_RESÍDUOS'!$G$6:$G$205,MATCH(C891,'CAD_RESÍDUOS'!$B$6:$B$205,0))&amp;"")</f>
        <v/>
      </c>
      <c r="G891" s="98" t="n"/>
      <c r="H891" s="91" t="n"/>
      <c r="I891" s="93" t="str">
        <f>IF(R891=0,"",IF(NOT(ISNUMBER(G891)),"",IF(ISNUMBER(X891),G891*X891,"UNIDADE A CONFERIR")))</f>
        <v/>
      </c>
      <c r="J891" s="91" t="n"/>
      <c r="K891" s="91" t="n"/>
      <c r="L891" s="93" t="str">
        <f>IF(R891=0,"",SUMIFS('RECEBIMENTOS'!$H$6:$H$1005,'RECEBIMENTOS'!$R$6:$R$1005,A891,'RECEBIMENTOS'!$X$6:$X$1005,1))</f>
        <v/>
      </c>
      <c r="M891" s="93" t="str">
        <f>IF(R891=0,"",SUMIFS('VÍNCULOS_CDF'!$H$6:$H$1005,'VÍNCULOS_CDF'!$R$6:$R$1005,A891,'VÍNCULOS_CDF'!$V$6:$V$1005,1))</f>
        <v/>
      </c>
      <c r="N891" s="99" t="str">
        <f>IF(OR(R891=0,AA891=0,NOT(ISNUMBER(I891))),"",I891-N(L891))</f>
        <v/>
      </c>
      <c r="O891" s="100" t="str">
        <f>IF(OR(R891=0,AK891&lt;=0),"",N(M891)/AK891)</f>
        <v/>
      </c>
      <c r="P891" s="94" t="str">
        <f>IF(R891=0,"",IF(S891="","Sem MTR associado",IF(U891=0,"MTR inexistente",IF(C891="","Resíduo não identificado",IF(V891=0,"Resíduo fora do cadastro",IF(W891=0,"Quantidade inválida",IF(H891="","Unidade não informada",IF(NOT(ISNUMBER(I891)),"Unidade a conferir",IF(AND(AH891=1,K891&lt;&gt;"Sim"),"Possível duplicidade",IF(Z891=1,"MTR cancelado",IF(AC891&gt;0,"Recebimento com alerta",IF(AA891=0,"Aguardando recebimento",IF(AB891&lt;AA891,"Recebimento a conferir",IF(AM891=1,"Quantidade a revisar",IF(AF891&gt;0,"Vínculo a revisar",IF(AD891=0,"Aguardando CDF",IF(AN891=0,"Vínculo de CDF parcial",IF(AE891&lt;AD891,"CDF a conferir","Documentação conferida"))))))))))))))))))</f>
        <v/>
      </c>
      <c r="Q891" s="93" t="str">
        <f>IF(OR(R891=0,AA891=0),"",MAX(0,N(L891)-N(M891)))</f>
        <v/>
      </c>
      <c r="R891" s="96">
        <f>IF(COUNTA(B891:C891,G891:H891,J891:K891)&gt;0,1,0)</f>
        <v>0</v>
      </c>
      <c r="S891" s="96" t="str">
        <f>IF(B891="","",TRIM(LEFT(B891,FIND(" |",B891&amp;" |")-1)))</f>
        <v/>
      </c>
      <c r="T891" s="96" t="str">
        <f>IF(S891="","",IFERROR(MATCH(S891,'MTRs'!$A$6:$A$505,0),""))</f>
        <v/>
      </c>
      <c r="U891" s="96">
        <f>IF(T891="",0,IF(INDEX('MTRs'!$Z$6:$Z$505,T891)=1,1,0))</f>
        <v>0</v>
      </c>
      <c r="V891" s="96">
        <f>IF(C891="",0,IF(ISNUMBER(MATCH(C891,'CAD_RESÍDUOS'!$B$6:$B$205,0)),1,0))</f>
        <v>0</v>
      </c>
      <c r="W891" s="96">
        <f>IF(AND(ISNUMBER(G891),G891&gt;0),1,0)</f>
        <v>0</v>
      </c>
      <c r="X891" s="96" t="str">
        <f>IF(H891="","",IFERROR(IF(ISNUMBER(INDEX(cfg_fac,MATCH(H891,cfg_units,0))),IF(INDEX(cfg_fac,MATCH(H891,cfg_units,0))&gt;0,INDEX(cfg_fac,MATCH(H891,cfg_units,0)),""),""),""))</f>
        <v/>
      </c>
      <c r="Y891" s="96">
        <f>IF(AND(W891=1,ISNUMBER(I891)),1,0)</f>
        <v>0</v>
      </c>
      <c r="Z891" s="96">
        <f>IF(U891=1,INDEX('MTRs'!$AA$6:$AA$505,T891),0)</f>
        <v>0</v>
      </c>
      <c r="AA891" s="96">
        <f>IF(R891=0,0,COUNTIFS('RECEBIMENTOS'!$R$6:$R$1005,A891,'RECEBIMENTOS'!$Q$6:$Q$1005,1))</f>
        <v>0</v>
      </c>
      <c r="AB891" s="96">
        <f>IF(R891=0,0,COUNTIFS('RECEBIMENTOS'!$R$6:$R$1005,A891,'RECEBIMENTOS'!$Z$6:$Z$1005,1))</f>
        <v>0</v>
      </c>
      <c r="AC891" s="96">
        <f>IF(R891=0,0,COUNTIFS('RECEBIMENTOS'!$R$6:$R$1005,A891,'RECEBIMENTOS'!$Y$6:$Y$1005,1))</f>
        <v>0</v>
      </c>
      <c r="AD891" s="96">
        <f>IF(R891=0,0,COUNTIFS('VÍNCULOS_CDF'!$R$6:$R$1005,A891,'VÍNCULOS_CDF'!$N$6:$N$1005,1))</f>
        <v>0</v>
      </c>
      <c r="AE891" s="96">
        <f>IF(R891=0,0,COUNTIFS('VÍNCULOS_CDF'!$R$6:$R$1005,A891,'VÍNCULOS_CDF'!$AA$6:$AA$1005,1))</f>
        <v>0</v>
      </c>
      <c r="AF891" s="96">
        <f>IF(R891=0,0,COUNTIFS('VÍNCULOS_CDF'!$R$6:$R$1005,A891,'VÍNCULOS_CDF'!$Y$6:$Y$1005,1))</f>
        <v>0</v>
      </c>
      <c r="AG891" s="96" t="str">
        <f>IF(AND(R891=1,S891&lt;&gt;"",C891&lt;&gt;""),S891&amp;"|"&amp;C891&amp;"|"&amp;G891&amp;"|"&amp;H891,"")</f>
        <v/>
      </c>
      <c r="AH891" s="96">
        <f>IF(AG891="",0,IF(SUMPRODUCT(--($AG$6:$AG$1005=AG891))&gt;1,1,0))</f>
        <v>0</v>
      </c>
      <c r="AI891" s="96">
        <f>IF(R891=0,0,IF(OR(U891=0,V891=0,Y891=0,AND(AH891=1,K891&lt;&gt;"Sim")),1,0))</f>
        <v>0</v>
      </c>
      <c r="AJ891" s="96">
        <f>IF(AND(R891=1,AA891&gt;0,AB891=AA891),1,0)</f>
        <v>0</v>
      </c>
      <c r="AK891" s="96">
        <f>IF(R891=0,0,IF(AA891&gt;0,N(L891),IF(ISNUMBER(I891),I891,0)))</f>
        <v>0</v>
      </c>
      <c r="AL891" s="96">
        <f>IF(R891=0,0,IF(AND(K891&lt;&gt;"Sim",N(M891)&gt;AK891+cfg_tol),1,0))</f>
        <v>0</v>
      </c>
      <c r="AM891" s="96">
        <f>IF(R891=0,0,IF(K891="Sim",0,IF(OR(AND(AA891&gt;0,ISNUMBER(I891),ABS(I891-N(L891))&gt;cfg_tol),AL891=1),1,0)))</f>
        <v>0</v>
      </c>
      <c r="AN891" s="96">
        <f>IF(AND(R891=1,N(M891)&gt;0,OR(N(M891)&gt;=AK891-cfg_tol,K891="Sim")),1,0)</f>
        <v>0</v>
      </c>
      <c r="AO891" s="96">
        <f>IF(AND(AN891=1,AD891&gt;0,AE891=AD891,AL891=0),1,0)</f>
        <v>0</v>
      </c>
      <c r="AP891" s="96">
        <f>IF(U891=0,0,IF(AND(INDEX('MTRs'!$AX$6:$AX$505,T891)=1,Z891=0,OR(f_res="",f_res="(Todos)",C891=f_res)),1,0))</f>
        <v>0</v>
      </c>
      <c r="AQ891" s="97" t="str">
        <f>IF(U891=0,"",INDEX('MTRs'!$AZ$6:$AZ$505,T891))</f>
        <v/>
      </c>
      <c r="AR891" s="96">
        <f>IF(U891=0,0,IF(AND(INDEX('MTRs'!$BA$6:$BA$505,T891)=1,Z891=0),1,0))</f>
        <v>0</v>
      </c>
      <c r="AS891" s="96" t="str">
        <f>IF(R891=1,A891&amp;" | MTR "&amp;IF(U891=1,INDEX('MTRs'!$B$6:$B$505,T891)&amp;"","?")&amp;" | "&amp;IF(C891="","(sem resíduo)",C891),"")</f>
        <v/>
      </c>
      <c r="AT891" s="96" t="str">
        <f>IF(R891=1,COUNTIF($R$6:R891,1),"")</f>
        <v/>
      </c>
      <c r="AU891" s="96" t="str">
        <f>IF(U891=1,INDEX('MTRs'!$I$6:$I$505,T891)&amp;"","")</f>
        <v/>
      </c>
    </row>
    <row r="892">
      <c r="A892" s="89" t="inlineStr">
        <is>
          <t>IT-000887</t>
        </is>
      </c>
      <c r="B892" s="91" t="n"/>
      <c r="C892" s="91" t="n"/>
      <c r="D892" s="94" t="str">
        <f>IF(OR(R892=0,V892=0),"",INDEX('CAD_RESÍDUOS'!$E$6:$E$205,MATCH(C892,'CAD_RESÍDUOS'!$B$6:$B$205,0))&amp;"")</f>
        <v/>
      </c>
      <c r="E892" s="94" t="str">
        <f>IF(OR(R892=0,V892=0),"",INDEX('CAD_RESÍDUOS'!$C$6:$C$205,MATCH(C892,'CAD_RESÍDUOS'!$B$6:$B$205,0))&amp;"")</f>
        <v/>
      </c>
      <c r="F892" s="94" t="str">
        <f>IF(OR(R892=0,V892=0),"",INDEX('CAD_RESÍDUOS'!$G$6:$G$205,MATCH(C892,'CAD_RESÍDUOS'!$B$6:$B$205,0))&amp;"")</f>
        <v/>
      </c>
      <c r="G892" s="98" t="n"/>
      <c r="H892" s="91" t="n"/>
      <c r="I892" s="93" t="str">
        <f>IF(R892=0,"",IF(NOT(ISNUMBER(G892)),"",IF(ISNUMBER(X892),G892*X892,"UNIDADE A CONFERIR")))</f>
        <v/>
      </c>
      <c r="J892" s="91" t="n"/>
      <c r="K892" s="91" t="n"/>
      <c r="L892" s="93" t="str">
        <f>IF(R892=0,"",SUMIFS('RECEBIMENTOS'!$H$6:$H$1005,'RECEBIMENTOS'!$R$6:$R$1005,A892,'RECEBIMENTOS'!$X$6:$X$1005,1))</f>
        <v/>
      </c>
      <c r="M892" s="93" t="str">
        <f>IF(R892=0,"",SUMIFS('VÍNCULOS_CDF'!$H$6:$H$1005,'VÍNCULOS_CDF'!$R$6:$R$1005,A892,'VÍNCULOS_CDF'!$V$6:$V$1005,1))</f>
        <v/>
      </c>
      <c r="N892" s="99" t="str">
        <f>IF(OR(R892=0,AA892=0,NOT(ISNUMBER(I892))),"",I892-N(L892))</f>
        <v/>
      </c>
      <c r="O892" s="100" t="str">
        <f>IF(OR(R892=0,AK892&lt;=0),"",N(M892)/AK892)</f>
        <v/>
      </c>
      <c r="P892" s="94" t="str">
        <f>IF(R892=0,"",IF(S892="","Sem MTR associado",IF(U892=0,"MTR inexistente",IF(C892="","Resíduo não identificado",IF(V892=0,"Resíduo fora do cadastro",IF(W892=0,"Quantidade inválida",IF(H892="","Unidade não informada",IF(NOT(ISNUMBER(I892)),"Unidade a conferir",IF(AND(AH892=1,K892&lt;&gt;"Sim"),"Possível duplicidade",IF(Z892=1,"MTR cancelado",IF(AC892&gt;0,"Recebimento com alerta",IF(AA892=0,"Aguardando recebimento",IF(AB892&lt;AA892,"Recebimento a conferir",IF(AM892=1,"Quantidade a revisar",IF(AF892&gt;0,"Vínculo a revisar",IF(AD892=0,"Aguardando CDF",IF(AN892=0,"Vínculo de CDF parcial",IF(AE892&lt;AD892,"CDF a conferir","Documentação conferida"))))))))))))))))))</f>
        <v/>
      </c>
      <c r="Q892" s="93" t="str">
        <f>IF(OR(R892=0,AA892=0),"",MAX(0,N(L892)-N(M892)))</f>
        <v/>
      </c>
      <c r="R892" s="96">
        <f>IF(COUNTA(B892:C892,G892:H892,J892:K892)&gt;0,1,0)</f>
        <v>0</v>
      </c>
      <c r="S892" s="96" t="str">
        <f>IF(B892="","",TRIM(LEFT(B892,FIND(" |",B892&amp;" |")-1)))</f>
        <v/>
      </c>
      <c r="T892" s="96" t="str">
        <f>IF(S892="","",IFERROR(MATCH(S892,'MTRs'!$A$6:$A$505,0),""))</f>
        <v/>
      </c>
      <c r="U892" s="96">
        <f>IF(T892="",0,IF(INDEX('MTRs'!$Z$6:$Z$505,T892)=1,1,0))</f>
        <v>0</v>
      </c>
      <c r="V892" s="96">
        <f>IF(C892="",0,IF(ISNUMBER(MATCH(C892,'CAD_RESÍDUOS'!$B$6:$B$205,0)),1,0))</f>
        <v>0</v>
      </c>
      <c r="W892" s="96">
        <f>IF(AND(ISNUMBER(G892),G892&gt;0),1,0)</f>
        <v>0</v>
      </c>
      <c r="X892" s="96" t="str">
        <f>IF(H892="","",IFERROR(IF(ISNUMBER(INDEX(cfg_fac,MATCH(H892,cfg_units,0))),IF(INDEX(cfg_fac,MATCH(H892,cfg_units,0))&gt;0,INDEX(cfg_fac,MATCH(H892,cfg_units,0)),""),""),""))</f>
        <v/>
      </c>
      <c r="Y892" s="96">
        <f>IF(AND(W892=1,ISNUMBER(I892)),1,0)</f>
        <v>0</v>
      </c>
      <c r="Z892" s="96">
        <f>IF(U892=1,INDEX('MTRs'!$AA$6:$AA$505,T892),0)</f>
        <v>0</v>
      </c>
      <c r="AA892" s="96">
        <f>IF(R892=0,0,COUNTIFS('RECEBIMENTOS'!$R$6:$R$1005,A892,'RECEBIMENTOS'!$Q$6:$Q$1005,1))</f>
        <v>0</v>
      </c>
      <c r="AB892" s="96">
        <f>IF(R892=0,0,COUNTIFS('RECEBIMENTOS'!$R$6:$R$1005,A892,'RECEBIMENTOS'!$Z$6:$Z$1005,1))</f>
        <v>0</v>
      </c>
      <c r="AC892" s="96">
        <f>IF(R892=0,0,COUNTIFS('RECEBIMENTOS'!$R$6:$R$1005,A892,'RECEBIMENTOS'!$Y$6:$Y$1005,1))</f>
        <v>0</v>
      </c>
      <c r="AD892" s="96">
        <f>IF(R892=0,0,COUNTIFS('VÍNCULOS_CDF'!$R$6:$R$1005,A892,'VÍNCULOS_CDF'!$N$6:$N$1005,1))</f>
        <v>0</v>
      </c>
      <c r="AE892" s="96">
        <f>IF(R892=0,0,COUNTIFS('VÍNCULOS_CDF'!$R$6:$R$1005,A892,'VÍNCULOS_CDF'!$AA$6:$AA$1005,1))</f>
        <v>0</v>
      </c>
      <c r="AF892" s="96">
        <f>IF(R892=0,0,COUNTIFS('VÍNCULOS_CDF'!$R$6:$R$1005,A892,'VÍNCULOS_CDF'!$Y$6:$Y$1005,1))</f>
        <v>0</v>
      </c>
      <c r="AG892" s="96" t="str">
        <f>IF(AND(R892=1,S892&lt;&gt;"",C892&lt;&gt;""),S892&amp;"|"&amp;C892&amp;"|"&amp;G892&amp;"|"&amp;H892,"")</f>
        <v/>
      </c>
      <c r="AH892" s="96">
        <f>IF(AG892="",0,IF(SUMPRODUCT(--($AG$6:$AG$1005=AG892))&gt;1,1,0))</f>
        <v>0</v>
      </c>
      <c r="AI892" s="96">
        <f>IF(R892=0,0,IF(OR(U892=0,V892=0,Y892=0,AND(AH892=1,K892&lt;&gt;"Sim")),1,0))</f>
        <v>0</v>
      </c>
      <c r="AJ892" s="96">
        <f>IF(AND(R892=1,AA892&gt;0,AB892=AA892),1,0)</f>
        <v>0</v>
      </c>
      <c r="AK892" s="96">
        <f>IF(R892=0,0,IF(AA892&gt;0,N(L892),IF(ISNUMBER(I892),I892,0)))</f>
        <v>0</v>
      </c>
      <c r="AL892" s="96">
        <f>IF(R892=0,0,IF(AND(K892&lt;&gt;"Sim",N(M892)&gt;AK892+cfg_tol),1,0))</f>
        <v>0</v>
      </c>
      <c r="AM892" s="96">
        <f>IF(R892=0,0,IF(K892="Sim",0,IF(OR(AND(AA892&gt;0,ISNUMBER(I892),ABS(I892-N(L892))&gt;cfg_tol),AL892=1),1,0)))</f>
        <v>0</v>
      </c>
      <c r="AN892" s="96">
        <f>IF(AND(R892=1,N(M892)&gt;0,OR(N(M892)&gt;=AK892-cfg_tol,K892="Sim")),1,0)</f>
        <v>0</v>
      </c>
      <c r="AO892" s="96">
        <f>IF(AND(AN892=1,AD892&gt;0,AE892=AD892,AL892=0),1,0)</f>
        <v>0</v>
      </c>
      <c r="AP892" s="96">
        <f>IF(U892=0,0,IF(AND(INDEX('MTRs'!$AX$6:$AX$505,T892)=1,Z892=0,OR(f_res="",f_res="(Todos)",C892=f_res)),1,0))</f>
        <v>0</v>
      </c>
      <c r="AQ892" s="97" t="str">
        <f>IF(U892=0,"",INDEX('MTRs'!$AZ$6:$AZ$505,T892))</f>
        <v/>
      </c>
      <c r="AR892" s="96">
        <f>IF(U892=0,0,IF(AND(INDEX('MTRs'!$BA$6:$BA$505,T892)=1,Z892=0),1,0))</f>
        <v>0</v>
      </c>
      <c r="AS892" s="96" t="str">
        <f>IF(R892=1,A892&amp;" | MTR "&amp;IF(U892=1,INDEX('MTRs'!$B$6:$B$505,T892)&amp;"","?")&amp;" | "&amp;IF(C892="","(sem resíduo)",C892),"")</f>
        <v/>
      </c>
      <c r="AT892" s="96" t="str">
        <f>IF(R892=1,COUNTIF($R$6:R892,1),"")</f>
        <v/>
      </c>
      <c r="AU892" s="96" t="str">
        <f>IF(U892=1,INDEX('MTRs'!$I$6:$I$505,T892)&amp;"","")</f>
        <v/>
      </c>
    </row>
    <row r="893">
      <c r="A893" s="89" t="inlineStr">
        <is>
          <t>IT-000888</t>
        </is>
      </c>
      <c r="B893" s="91" t="n"/>
      <c r="C893" s="91" t="n"/>
      <c r="D893" s="94" t="str">
        <f>IF(OR(R893=0,V893=0),"",INDEX('CAD_RESÍDUOS'!$E$6:$E$205,MATCH(C893,'CAD_RESÍDUOS'!$B$6:$B$205,0))&amp;"")</f>
        <v/>
      </c>
      <c r="E893" s="94" t="str">
        <f>IF(OR(R893=0,V893=0),"",INDEX('CAD_RESÍDUOS'!$C$6:$C$205,MATCH(C893,'CAD_RESÍDUOS'!$B$6:$B$205,0))&amp;"")</f>
        <v/>
      </c>
      <c r="F893" s="94" t="str">
        <f>IF(OR(R893=0,V893=0),"",INDEX('CAD_RESÍDUOS'!$G$6:$G$205,MATCH(C893,'CAD_RESÍDUOS'!$B$6:$B$205,0))&amp;"")</f>
        <v/>
      </c>
      <c r="G893" s="98" t="n"/>
      <c r="H893" s="91" t="n"/>
      <c r="I893" s="93" t="str">
        <f>IF(R893=0,"",IF(NOT(ISNUMBER(G893)),"",IF(ISNUMBER(X893),G893*X893,"UNIDADE A CONFERIR")))</f>
        <v/>
      </c>
      <c r="J893" s="91" t="n"/>
      <c r="K893" s="91" t="n"/>
      <c r="L893" s="93" t="str">
        <f>IF(R893=0,"",SUMIFS('RECEBIMENTOS'!$H$6:$H$1005,'RECEBIMENTOS'!$R$6:$R$1005,A893,'RECEBIMENTOS'!$X$6:$X$1005,1))</f>
        <v/>
      </c>
      <c r="M893" s="93" t="str">
        <f>IF(R893=0,"",SUMIFS('VÍNCULOS_CDF'!$H$6:$H$1005,'VÍNCULOS_CDF'!$R$6:$R$1005,A893,'VÍNCULOS_CDF'!$V$6:$V$1005,1))</f>
        <v/>
      </c>
      <c r="N893" s="99" t="str">
        <f>IF(OR(R893=0,AA893=0,NOT(ISNUMBER(I893))),"",I893-N(L893))</f>
        <v/>
      </c>
      <c r="O893" s="100" t="str">
        <f>IF(OR(R893=0,AK893&lt;=0),"",N(M893)/AK893)</f>
        <v/>
      </c>
      <c r="P893" s="94" t="str">
        <f>IF(R893=0,"",IF(S893="","Sem MTR associado",IF(U893=0,"MTR inexistente",IF(C893="","Resíduo não identificado",IF(V893=0,"Resíduo fora do cadastro",IF(W893=0,"Quantidade inválida",IF(H893="","Unidade não informada",IF(NOT(ISNUMBER(I893)),"Unidade a conferir",IF(AND(AH893=1,K893&lt;&gt;"Sim"),"Possível duplicidade",IF(Z893=1,"MTR cancelado",IF(AC893&gt;0,"Recebimento com alerta",IF(AA893=0,"Aguardando recebimento",IF(AB893&lt;AA893,"Recebimento a conferir",IF(AM893=1,"Quantidade a revisar",IF(AF893&gt;0,"Vínculo a revisar",IF(AD893=0,"Aguardando CDF",IF(AN893=0,"Vínculo de CDF parcial",IF(AE893&lt;AD893,"CDF a conferir","Documentação conferida"))))))))))))))))))</f>
        <v/>
      </c>
      <c r="Q893" s="93" t="str">
        <f>IF(OR(R893=0,AA893=0),"",MAX(0,N(L893)-N(M893)))</f>
        <v/>
      </c>
      <c r="R893" s="96">
        <f>IF(COUNTA(B893:C893,G893:H893,J893:K893)&gt;0,1,0)</f>
        <v>0</v>
      </c>
      <c r="S893" s="96" t="str">
        <f>IF(B893="","",TRIM(LEFT(B893,FIND(" |",B893&amp;" |")-1)))</f>
        <v/>
      </c>
      <c r="T893" s="96" t="str">
        <f>IF(S893="","",IFERROR(MATCH(S893,'MTRs'!$A$6:$A$505,0),""))</f>
        <v/>
      </c>
      <c r="U893" s="96">
        <f>IF(T893="",0,IF(INDEX('MTRs'!$Z$6:$Z$505,T893)=1,1,0))</f>
        <v>0</v>
      </c>
      <c r="V893" s="96">
        <f>IF(C893="",0,IF(ISNUMBER(MATCH(C893,'CAD_RESÍDUOS'!$B$6:$B$205,0)),1,0))</f>
        <v>0</v>
      </c>
      <c r="W893" s="96">
        <f>IF(AND(ISNUMBER(G893),G893&gt;0),1,0)</f>
        <v>0</v>
      </c>
      <c r="X893" s="96" t="str">
        <f>IF(H893="","",IFERROR(IF(ISNUMBER(INDEX(cfg_fac,MATCH(H893,cfg_units,0))),IF(INDEX(cfg_fac,MATCH(H893,cfg_units,0))&gt;0,INDEX(cfg_fac,MATCH(H893,cfg_units,0)),""),""),""))</f>
        <v/>
      </c>
      <c r="Y893" s="96">
        <f>IF(AND(W893=1,ISNUMBER(I893)),1,0)</f>
        <v>0</v>
      </c>
      <c r="Z893" s="96">
        <f>IF(U893=1,INDEX('MTRs'!$AA$6:$AA$505,T893),0)</f>
        <v>0</v>
      </c>
      <c r="AA893" s="96">
        <f>IF(R893=0,0,COUNTIFS('RECEBIMENTOS'!$R$6:$R$1005,A893,'RECEBIMENTOS'!$Q$6:$Q$1005,1))</f>
        <v>0</v>
      </c>
      <c r="AB893" s="96">
        <f>IF(R893=0,0,COUNTIFS('RECEBIMENTOS'!$R$6:$R$1005,A893,'RECEBIMENTOS'!$Z$6:$Z$1005,1))</f>
        <v>0</v>
      </c>
      <c r="AC893" s="96">
        <f>IF(R893=0,0,COUNTIFS('RECEBIMENTOS'!$R$6:$R$1005,A893,'RECEBIMENTOS'!$Y$6:$Y$1005,1))</f>
        <v>0</v>
      </c>
      <c r="AD893" s="96">
        <f>IF(R893=0,0,COUNTIFS('VÍNCULOS_CDF'!$R$6:$R$1005,A893,'VÍNCULOS_CDF'!$N$6:$N$1005,1))</f>
        <v>0</v>
      </c>
      <c r="AE893" s="96">
        <f>IF(R893=0,0,COUNTIFS('VÍNCULOS_CDF'!$R$6:$R$1005,A893,'VÍNCULOS_CDF'!$AA$6:$AA$1005,1))</f>
        <v>0</v>
      </c>
      <c r="AF893" s="96">
        <f>IF(R893=0,0,COUNTIFS('VÍNCULOS_CDF'!$R$6:$R$1005,A893,'VÍNCULOS_CDF'!$Y$6:$Y$1005,1))</f>
        <v>0</v>
      </c>
      <c r="AG893" s="96" t="str">
        <f>IF(AND(R893=1,S893&lt;&gt;"",C893&lt;&gt;""),S893&amp;"|"&amp;C893&amp;"|"&amp;G893&amp;"|"&amp;H893,"")</f>
        <v/>
      </c>
      <c r="AH893" s="96">
        <f>IF(AG893="",0,IF(SUMPRODUCT(--($AG$6:$AG$1005=AG893))&gt;1,1,0))</f>
        <v>0</v>
      </c>
      <c r="AI893" s="96">
        <f>IF(R893=0,0,IF(OR(U893=0,V893=0,Y893=0,AND(AH893=1,K893&lt;&gt;"Sim")),1,0))</f>
        <v>0</v>
      </c>
      <c r="AJ893" s="96">
        <f>IF(AND(R893=1,AA893&gt;0,AB893=AA893),1,0)</f>
        <v>0</v>
      </c>
      <c r="AK893" s="96">
        <f>IF(R893=0,0,IF(AA893&gt;0,N(L893),IF(ISNUMBER(I893),I893,0)))</f>
        <v>0</v>
      </c>
      <c r="AL893" s="96">
        <f>IF(R893=0,0,IF(AND(K893&lt;&gt;"Sim",N(M893)&gt;AK893+cfg_tol),1,0))</f>
        <v>0</v>
      </c>
      <c r="AM893" s="96">
        <f>IF(R893=0,0,IF(K893="Sim",0,IF(OR(AND(AA893&gt;0,ISNUMBER(I893),ABS(I893-N(L893))&gt;cfg_tol),AL893=1),1,0)))</f>
        <v>0</v>
      </c>
      <c r="AN893" s="96">
        <f>IF(AND(R893=1,N(M893)&gt;0,OR(N(M893)&gt;=AK893-cfg_tol,K893="Sim")),1,0)</f>
        <v>0</v>
      </c>
      <c r="AO893" s="96">
        <f>IF(AND(AN893=1,AD893&gt;0,AE893=AD893,AL893=0),1,0)</f>
        <v>0</v>
      </c>
      <c r="AP893" s="96">
        <f>IF(U893=0,0,IF(AND(INDEX('MTRs'!$AX$6:$AX$505,T893)=1,Z893=0,OR(f_res="",f_res="(Todos)",C893=f_res)),1,0))</f>
        <v>0</v>
      </c>
      <c r="AQ893" s="97" t="str">
        <f>IF(U893=0,"",INDEX('MTRs'!$AZ$6:$AZ$505,T893))</f>
        <v/>
      </c>
      <c r="AR893" s="96">
        <f>IF(U893=0,0,IF(AND(INDEX('MTRs'!$BA$6:$BA$505,T893)=1,Z893=0),1,0))</f>
        <v>0</v>
      </c>
      <c r="AS893" s="96" t="str">
        <f>IF(R893=1,A893&amp;" | MTR "&amp;IF(U893=1,INDEX('MTRs'!$B$6:$B$505,T893)&amp;"","?")&amp;" | "&amp;IF(C893="","(sem resíduo)",C893),"")</f>
        <v/>
      </c>
      <c r="AT893" s="96" t="str">
        <f>IF(R893=1,COUNTIF($R$6:R893,1),"")</f>
        <v/>
      </c>
      <c r="AU893" s="96" t="str">
        <f>IF(U893=1,INDEX('MTRs'!$I$6:$I$505,T893)&amp;"","")</f>
        <v/>
      </c>
    </row>
    <row r="894">
      <c r="A894" s="89" t="inlineStr">
        <is>
          <t>IT-000889</t>
        </is>
      </c>
      <c r="B894" s="91" t="n"/>
      <c r="C894" s="91" t="n"/>
      <c r="D894" s="94" t="str">
        <f>IF(OR(R894=0,V894=0),"",INDEX('CAD_RESÍDUOS'!$E$6:$E$205,MATCH(C894,'CAD_RESÍDUOS'!$B$6:$B$205,0))&amp;"")</f>
        <v/>
      </c>
      <c r="E894" s="94" t="str">
        <f>IF(OR(R894=0,V894=0),"",INDEX('CAD_RESÍDUOS'!$C$6:$C$205,MATCH(C894,'CAD_RESÍDUOS'!$B$6:$B$205,0))&amp;"")</f>
        <v/>
      </c>
      <c r="F894" s="94" t="str">
        <f>IF(OR(R894=0,V894=0),"",INDEX('CAD_RESÍDUOS'!$G$6:$G$205,MATCH(C894,'CAD_RESÍDUOS'!$B$6:$B$205,0))&amp;"")</f>
        <v/>
      </c>
      <c r="G894" s="98" t="n"/>
      <c r="H894" s="91" t="n"/>
      <c r="I894" s="93" t="str">
        <f>IF(R894=0,"",IF(NOT(ISNUMBER(G894)),"",IF(ISNUMBER(X894),G894*X894,"UNIDADE A CONFERIR")))</f>
        <v/>
      </c>
      <c r="J894" s="91" t="n"/>
      <c r="K894" s="91" t="n"/>
      <c r="L894" s="93" t="str">
        <f>IF(R894=0,"",SUMIFS('RECEBIMENTOS'!$H$6:$H$1005,'RECEBIMENTOS'!$R$6:$R$1005,A894,'RECEBIMENTOS'!$X$6:$X$1005,1))</f>
        <v/>
      </c>
      <c r="M894" s="93" t="str">
        <f>IF(R894=0,"",SUMIFS('VÍNCULOS_CDF'!$H$6:$H$1005,'VÍNCULOS_CDF'!$R$6:$R$1005,A894,'VÍNCULOS_CDF'!$V$6:$V$1005,1))</f>
        <v/>
      </c>
      <c r="N894" s="99" t="str">
        <f>IF(OR(R894=0,AA894=0,NOT(ISNUMBER(I894))),"",I894-N(L894))</f>
        <v/>
      </c>
      <c r="O894" s="100" t="str">
        <f>IF(OR(R894=0,AK894&lt;=0),"",N(M894)/AK894)</f>
        <v/>
      </c>
      <c r="P894" s="94" t="str">
        <f>IF(R894=0,"",IF(S894="","Sem MTR associado",IF(U894=0,"MTR inexistente",IF(C894="","Resíduo não identificado",IF(V894=0,"Resíduo fora do cadastro",IF(W894=0,"Quantidade inválida",IF(H894="","Unidade não informada",IF(NOT(ISNUMBER(I894)),"Unidade a conferir",IF(AND(AH894=1,K894&lt;&gt;"Sim"),"Possível duplicidade",IF(Z894=1,"MTR cancelado",IF(AC894&gt;0,"Recebimento com alerta",IF(AA894=0,"Aguardando recebimento",IF(AB894&lt;AA894,"Recebimento a conferir",IF(AM894=1,"Quantidade a revisar",IF(AF894&gt;0,"Vínculo a revisar",IF(AD894=0,"Aguardando CDF",IF(AN894=0,"Vínculo de CDF parcial",IF(AE894&lt;AD894,"CDF a conferir","Documentação conferida"))))))))))))))))))</f>
        <v/>
      </c>
      <c r="Q894" s="93" t="str">
        <f>IF(OR(R894=0,AA894=0),"",MAX(0,N(L894)-N(M894)))</f>
        <v/>
      </c>
      <c r="R894" s="96">
        <f>IF(COUNTA(B894:C894,G894:H894,J894:K894)&gt;0,1,0)</f>
        <v>0</v>
      </c>
      <c r="S894" s="96" t="str">
        <f>IF(B894="","",TRIM(LEFT(B894,FIND(" |",B894&amp;" |")-1)))</f>
        <v/>
      </c>
      <c r="T894" s="96" t="str">
        <f>IF(S894="","",IFERROR(MATCH(S894,'MTRs'!$A$6:$A$505,0),""))</f>
        <v/>
      </c>
      <c r="U894" s="96">
        <f>IF(T894="",0,IF(INDEX('MTRs'!$Z$6:$Z$505,T894)=1,1,0))</f>
        <v>0</v>
      </c>
      <c r="V894" s="96">
        <f>IF(C894="",0,IF(ISNUMBER(MATCH(C894,'CAD_RESÍDUOS'!$B$6:$B$205,0)),1,0))</f>
        <v>0</v>
      </c>
      <c r="W894" s="96">
        <f>IF(AND(ISNUMBER(G894),G894&gt;0),1,0)</f>
        <v>0</v>
      </c>
      <c r="X894" s="96" t="str">
        <f>IF(H894="","",IFERROR(IF(ISNUMBER(INDEX(cfg_fac,MATCH(H894,cfg_units,0))),IF(INDEX(cfg_fac,MATCH(H894,cfg_units,0))&gt;0,INDEX(cfg_fac,MATCH(H894,cfg_units,0)),""),""),""))</f>
        <v/>
      </c>
      <c r="Y894" s="96">
        <f>IF(AND(W894=1,ISNUMBER(I894)),1,0)</f>
        <v>0</v>
      </c>
      <c r="Z894" s="96">
        <f>IF(U894=1,INDEX('MTRs'!$AA$6:$AA$505,T894),0)</f>
        <v>0</v>
      </c>
      <c r="AA894" s="96">
        <f>IF(R894=0,0,COUNTIFS('RECEBIMENTOS'!$R$6:$R$1005,A894,'RECEBIMENTOS'!$Q$6:$Q$1005,1))</f>
        <v>0</v>
      </c>
      <c r="AB894" s="96">
        <f>IF(R894=0,0,COUNTIFS('RECEBIMENTOS'!$R$6:$R$1005,A894,'RECEBIMENTOS'!$Z$6:$Z$1005,1))</f>
        <v>0</v>
      </c>
      <c r="AC894" s="96">
        <f>IF(R894=0,0,COUNTIFS('RECEBIMENTOS'!$R$6:$R$1005,A894,'RECEBIMENTOS'!$Y$6:$Y$1005,1))</f>
        <v>0</v>
      </c>
      <c r="AD894" s="96">
        <f>IF(R894=0,0,COUNTIFS('VÍNCULOS_CDF'!$R$6:$R$1005,A894,'VÍNCULOS_CDF'!$N$6:$N$1005,1))</f>
        <v>0</v>
      </c>
      <c r="AE894" s="96">
        <f>IF(R894=0,0,COUNTIFS('VÍNCULOS_CDF'!$R$6:$R$1005,A894,'VÍNCULOS_CDF'!$AA$6:$AA$1005,1))</f>
        <v>0</v>
      </c>
      <c r="AF894" s="96">
        <f>IF(R894=0,0,COUNTIFS('VÍNCULOS_CDF'!$R$6:$R$1005,A894,'VÍNCULOS_CDF'!$Y$6:$Y$1005,1))</f>
        <v>0</v>
      </c>
      <c r="AG894" s="96" t="str">
        <f>IF(AND(R894=1,S894&lt;&gt;"",C894&lt;&gt;""),S894&amp;"|"&amp;C894&amp;"|"&amp;G894&amp;"|"&amp;H894,"")</f>
        <v/>
      </c>
      <c r="AH894" s="96">
        <f>IF(AG894="",0,IF(SUMPRODUCT(--($AG$6:$AG$1005=AG894))&gt;1,1,0))</f>
        <v>0</v>
      </c>
      <c r="AI894" s="96">
        <f>IF(R894=0,0,IF(OR(U894=0,V894=0,Y894=0,AND(AH894=1,K894&lt;&gt;"Sim")),1,0))</f>
        <v>0</v>
      </c>
      <c r="AJ894" s="96">
        <f>IF(AND(R894=1,AA894&gt;0,AB894=AA894),1,0)</f>
        <v>0</v>
      </c>
      <c r="AK894" s="96">
        <f>IF(R894=0,0,IF(AA894&gt;0,N(L894),IF(ISNUMBER(I894),I894,0)))</f>
        <v>0</v>
      </c>
      <c r="AL894" s="96">
        <f>IF(R894=0,0,IF(AND(K894&lt;&gt;"Sim",N(M894)&gt;AK894+cfg_tol),1,0))</f>
        <v>0</v>
      </c>
      <c r="AM894" s="96">
        <f>IF(R894=0,0,IF(K894="Sim",0,IF(OR(AND(AA894&gt;0,ISNUMBER(I894),ABS(I894-N(L894))&gt;cfg_tol),AL894=1),1,0)))</f>
        <v>0</v>
      </c>
      <c r="AN894" s="96">
        <f>IF(AND(R894=1,N(M894)&gt;0,OR(N(M894)&gt;=AK894-cfg_tol,K894="Sim")),1,0)</f>
        <v>0</v>
      </c>
      <c r="AO894" s="96">
        <f>IF(AND(AN894=1,AD894&gt;0,AE894=AD894,AL894=0),1,0)</f>
        <v>0</v>
      </c>
      <c r="AP894" s="96">
        <f>IF(U894=0,0,IF(AND(INDEX('MTRs'!$AX$6:$AX$505,T894)=1,Z894=0,OR(f_res="",f_res="(Todos)",C894=f_res)),1,0))</f>
        <v>0</v>
      </c>
      <c r="AQ894" s="97" t="str">
        <f>IF(U894=0,"",INDEX('MTRs'!$AZ$6:$AZ$505,T894))</f>
        <v/>
      </c>
      <c r="AR894" s="96">
        <f>IF(U894=0,0,IF(AND(INDEX('MTRs'!$BA$6:$BA$505,T894)=1,Z894=0),1,0))</f>
        <v>0</v>
      </c>
      <c r="AS894" s="96" t="str">
        <f>IF(R894=1,A894&amp;" | MTR "&amp;IF(U894=1,INDEX('MTRs'!$B$6:$B$505,T894)&amp;"","?")&amp;" | "&amp;IF(C894="","(sem resíduo)",C894),"")</f>
        <v/>
      </c>
      <c r="AT894" s="96" t="str">
        <f>IF(R894=1,COUNTIF($R$6:R894,1),"")</f>
        <v/>
      </c>
      <c r="AU894" s="96" t="str">
        <f>IF(U894=1,INDEX('MTRs'!$I$6:$I$505,T894)&amp;"","")</f>
        <v/>
      </c>
    </row>
    <row r="895">
      <c r="A895" s="89" t="inlineStr">
        <is>
          <t>IT-000890</t>
        </is>
      </c>
      <c r="B895" s="91" t="n"/>
      <c r="C895" s="91" t="n"/>
      <c r="D895" s="94" t="str">
        <f>IF(OR(R895=0,V895=0),"",INDEX('CAD_RESÍDUOS'!$E$6:$E$205,MATCH(C895,'CAD_RESÍDUOS'!$B$6:$B$205,0))&amp;"")</f>
        <v/>
      </c>
      <c r="E895" s="94" t="str">
        <f>IF(OR(R895=0,V895=0),"",INDEX('CAD_RESÍDUOS'!$C$6:$C$205,MATCH(C895,'CAD_RESÍDUOS'!$B$6:$B$205,0))&amp;"")</f>
        <v/>
      </c>
      <c r="F895" s="94" t="str">
        <f>IF(OR(R895=0,V895=0),"",INDEX('CAD_RESÍDUOS'!$G$6:$G$205,MATCH(C895,'CAD_RESÍDUOS'!$B$6:$B$205,0))&amp;"")</f>
        <v/>
      </c>
      <c r="G895" s="98" t="n"/>
      <c r="H895" s="91" t="n"/>
      <c r="I895" s="93" t="str">
        <f>IF(R895=0,"",IF(NOT(ISNUMBER(G895)),"",IF(ISNUMBER(X895),G895*X895,"UNIDADE A CONFERIR")))</f>
        <v/>
      </c>
      <c r="J895" s="91" t="n"/>
      <c r="K895" s="91" t="n"/>
      <c r="L895" s="93" t="str">
        <f>IF(R895=0,"",SUMIFS('RECEBIMENTOS'!$H$6:$H$1005,'RECEBIMENTOS'!$R$6:$R$1005,A895,'RECEBIMENTOS'!$X$6:$X$1005,1))</f>
        <v/>
      </c>
      <c r="M895" s="93" t="str">
        <f>IF(R895=0,"",SUMIFS('VÍNCULOS_CDF'!$H$6:$H$1005,'VÍNCULOS_CDF'!$R$6:$R$1005,A895,'VÍNCULOS_CDF'!$V$6:$V$1005,1))</f>
        <v/>
      </c>
      <c r="N895" s="99" t="str">
        <f>IF(OR(R895=0,AA895=0,NOT(ISNUMBER(I895))),"",I895-N(L895))</f>
        <v/>
      </c>
      <c r="O895" s="100" t="str">
        <f>IF(OR(R895=0,AK895&lt;=0),"",N(M895)/AK895)</f>
        <v/>
      </c>
      <c r="P895" s="94" t="str">
        <f>IF(R895=0,"",IF(S895="","Sem MTR associado",IF(U895=0,"MTR inexistente",IF(C895="","Resíduo não identificado",IF(V895=0,"Resíduo fora do cadastro",IF(W895=0,"Quantidade inválida",IF(H895="","Unidade não informada",IF(NOT(ISNUMBER(I895)),"Unidade a conferir",IF(AND(AH895=1,K895&lt;&gt;"Sim"),"Possível duplicidade",IF(Z895=1,"MTR cancelado",IF(AC895&gt;0,"Recebimento com alerta",IF(AA895=0,"Aguardando recebimento",IF(AB895&lt;AA895,"Recebimento a conferir",IF(AM895=1,"Quantidade a revisar",IF(AF895&gt;0,"Vínculo a revisar",IF(AD895=0,"Aguardando CDF",IF(AN895=0,"Vínculo de CDF parcial",IF(AE895&lt;AD895,"CDF a conferir","Documentação conferida"))))))))))))))))))</f>
        <v/>
      </c>
      <c r="Q895" s="93" t="str">
        <f>IF(OR(R895=0,AA895=0),"",MAX(0,N(L895)-N(M895)))</f>
        <v/>
      </c>
      <c r="R895" s="96">
        <f>IF(COUNTA(B895:C895,G895:H895,J895:K895)&gt;0,1,0)</f>
        <v>0</v>
      </c>
      <c r="S895" s="96" t="str">
        <f>IF(B895="","",TRIM(LEFT(B895,FIND(" |",B895&amp;" |")-1)))</f>
        <v/>
      </c>
      <c r="T895" s="96" t="str">
        <f>IF(S895="","",IFERROR(MATCH(S895,'MTRs'!$A$6:$A$505,0),""))</f>
        <v/>
      </c>
      <c r="U895" s="96">
        <f>IF(T895="",0,IF(INDEX('MTRs'!$Z$6:$Z$505,T895)=1,1,0))</f>
        <v>0</v>
      </c>
      <c r="V895" s="96">
        <f>IF(C895="",0,IF(ISNUMBER(MATCH(C895,'CAD_RESÍDUOS'!$B$6:$B$205,0)),1,0))</f>
        <v>0</v>
      </c>
      <c r="W895" s="96">
        <f>IF(AND(ISNUMBER(G895),G895&gt;0),1,0)</f>
        <v>0</v>
      </c>
      <c r="X895" s="96" t="str">
        <f>IF(H895="","",IFERROR(IF(ISNUMBER(INDEX(cfg_fac,MATCH(H895,cfg_units,0))),IF(INDEX(cfg_fac,MATCH(H895,cfg_units,0))&gt;0,INDEX(cfg_fac,MATCH(H895,cfg_units,0)),""),""),""))</f>
        <v/>
      </c>
      <c r="Y895" s="96">
        <f>IF(AND(W895=1,ISNUMBER(I895)),1,0)</f>
        <v>0</v>
      </c>
      <c r="Z895" s="96">
        <f>IF(U895=1,INDEX('MTRs'!$AA$6:$AA$505,T895),0)</f>
        <v>0</v>
      </c>
      <c r="AA895" s="96">
        <f>IF(R895=0,0,COUNTIFS('RECEBIMENTOS'!$R$6:$R$1005,A895,'RECEBIMENTOS'!$Q$6:$Q$1005,1))</f>
        <v>0</v>
      </c>
      <c r="AB895" s="96">
        <f>IF(R895=0,0,COUNTIFS('RECEBIMENTOS'!$R$6:$R$1005,A895,'RECEBIMENTOS'!$Z$6:$Z$1005,1))</f>
        <v>0</v>
      </c>
      <c r="AC895" s="96">
        <f>IF(R895=0,0,COUNTIFS('RECEBIMENTOS'!$R$6:$R$1005,A895,'RECEBIMENTOS'!$Y$6:$Y$1005,1))</f>
        <v>0</v>
      </c>
      <c r="AD895" s="96">
        <f>IF(R895=0,0,COUNTIFS('VÍNCULOS_CDF'!$R$6:$R$1005,A895,'VÍNCULOS_CDF'!$N$6:$N$1005,1))</f>
        <v>0</v>
      </c>
      <c r="AE895" s="96">
        <f>IF(R895=0,0,COUNTIFS('VÍNCULOS_CDF'!$R$6:$R$1005,A895,'VÍNCULOS_CDF'!$AA$6:$AA$1005,1))</f>
        <v>0</v>
      </c>
      <c r="AF895" s="96">
        <f>IF(R895=0,0,COUNTIFS('VÍNCULOS_CDF'!$R$6:$R$1005,A895,'VÍNCULOS_CDF'!$Y$6:$Y$1005,1))</f>
        <v>0</v>
      </c>
      <c r="AG895" s="96" t="str">
        <f>IF(AND(R895=1,S895&lt;&gt;"",C895&lt;&gt;""),S895&amp;"|"&amp;C895&amp;"|"&amp;G895&amp;"|"&amp;H895,"")</f>
        <v/>
      </c>
      <c r="AH895" s="96">
        <f>IF(AG895="",0,IF(SUMPRODUCT(--($AG$6:$AG$1005=AG895))&gt;1,1,0))</f>
        <v>0</v>
      </c>
      <c r="AI895" s="96">
        <f>IF(R895=0,0,IF(OR(U895=0,V895=0,Y895=0,AND(AH895=1,K895&lt;&gt;"Sim")),1,0))</f>
        <v>0</v>
      </c>
      <c r="AJ895" s="96">
        <f>IF(AND(R895=1,AA895&gt;0,AB895=AA895),1,0)</f>
        <v>0</v>
      </c>
      <c r="AK895" s="96">
        <f>IF(R895=0,0,IF(AA895&gt;0,N(L895),IF(ISNUMBER(I895),I895,0)))</f>
        <v>0</v>
      </c>
      <c r="AL895" s="96">
        <f>IF(R895=0,0,IF(AND(K895&lt;&gt;"Sim",N(M895)&gt;AK895+cfg_tol),1,0))</f>
        <v>0</v>
      </c>
      <c r="AM895" s="96">
        <f>IF(R895=0,0,IF(K895="Sim",0,IF(OR(AND(AA895&gt;0,ISNUMBER(I895),ABS(I895-N(L895))&gt;cfg_tol),AL895=1),1,0)))</f>
        <v>0</v>
      </c>
      <c r="AN895" s="96">
        <f>IF(AND(R895=1,N(M895)&gt;0,OR(N(M895)&gt;=AK895-cfg_tol,K895="Sim")),1,0)</f>
        <v>0</v>
      </c>
      <c r="AO895" s="96">
        <f>IF(AND(AN895=1,AD895&gt;0,AE895=AD895,AL895=0),1,0)</f>
        <v>0</v>
      </c>
      <c r="AP895" s="96">
        <f>IF(U895=0,0,IF(AND(INDEX('MTRs'!$AX$6:$AX$505,T895)=1,Z895=0,OR(f_res="",f_res="(Todos)",C895=f_res)),1,0))</f>
        <v>0</v>
      </c>
      <c r="AQ895" s="97" t="str">
        <f>IF(U895=0,"",INDEX('MTRs'!$AZ$6:$AZ$505,T895))</f>
        <v/>
      </c>
      <c r="AR895" s="96">
        <f>IF(U895=0,0,IF(AND(INDEX('MTRs'!$BA$6:$BA$505,T895)=1,Z895=0),1,0))</f>
        <v>0</v>
      </c>
      <c r="AS895" s="96" t="str">
        <f>IF(R895=1,A895&amp;" | MTR "&amp;IF(U895=1,INDEX('MTRs'!$B$6:$B$505,T895)&amp;"","?")&amp;" | "&amp;IF(C895="","(sem resíduo)",C895),"")</f>
        <v/>
      </c>
      <c r="AT895" s="96" t="str">
        <f>IF(R895=1,COUNTIF($R$6:R895,1),"")</f>
        <v/>
      </c>
      <c r="AU895" s="96" t="str">
        <f>IF(U895=1,INDEX('MTRs'!$I$6:$I$505,T895)&amp;"","")</f>
        <v/>
      </c>
    </row>
    <row r="896">
      <c r="A896" s="89" t="inlineStr">
        <is>
          <t>IT-000891</t>
        </is>
      </c>
      <c r="B896" s="91" t="n"/>
      <c r="C896" s="91" t="n"/>
      <c r="D896" s="94" t="str">
        <f>IF(OR(R896=0,V896=0),"",INDEX('CAD_RESÍDUOS'!$E$6:$E$205,MATCH(C896,'CAD_RESÍDUOS'!$B$6:$B$205,0))&amp;"")</f>
        <v/>
      </c>
      <c r="E896" s="94" t="str">
        <f>IF(OR(R896=0,V896=0),"",INDEX('CAD_RESÍDUOS'!$C$6:$C$205,MATCH(C896,'CAD_RESÍDUOS'!$B$6:$B$205,0))&amp;"")</f>
        <v/>
      </c>
      <c r="F896" s="94" t="str">
        <f>IF(OR(R896=0,V896=0),"",INDEX('CAD_RESÍDUOS'!$G$6:$G$205,MATCH(C896,'CAD_RESÍDUOS'!$B$6:$B$205,0))&amp;"")</f>
        <v/>
      </c>
      <c r="G896" s="98" t="n"/>
      <c r="H896" s="91" t="n"/>
      <c r="I896" s="93" t="str">
        <f>IF(R896=0,"",IF(NOT(ISNUMBER(G896)),"",IF(ISNUMBER(X896),G896*X896,"UNIDADE A CONFERIR")))</f>
        <v/>
      </c>
      <c r="J896" s="91" t="n"/>
      <c r="K896" s="91" t="n"/>
      <c r="L896" s="93" t="str">
        <f>IF(R896=0,"",SUMIFS('RECEBIMENTOS'!$H$6:$H$1005,'RECEBIMENTOS'!$R$6:$R$1005,A896,'RECEBIMENTOS'!$X$6:$X$1005,1))</f>
        <v/>
      </c>
      <c r="M896" s="93" t="str">
        <f>IF(R896=0,"",SUMIFS('VÍNCULOS_CDF'!$H$6:$H$1005,'VÍNCULOS_CDF'!$R$6:$R$1005,A896,'VÍNCULOS_CDF'!$V$6:$V$1005,1))</f>
        <v/>
      </c>
      <c r="N896" s="99" t="str">
        <f>IF(OR(R896=0,AA896=0,NOT(ISNUMBER(I896))),"",I896-N(L896))</f>
        <v/>
      </c>
      <c r="O896" s="100" t="str">
        <f>IF(OR(R896=0,AK896&lt;=0),"",N(M896)/AK896)</f>
        <v/>
      </c>
      <c r="P896" s="94" t="str">
        <f>IF(R896=0,"",IF(S896="","Sem MTR associado",IF(U896=0,"MTR inexistente",IF(C896="","Resíduo não identificado",IF(V896=0,"Resíduo fora do cadastro",IF(W896=0,"Quantidade inválida",IF(H896="","Unidade não informada",IF(NOT(ISNUMBER(I896)),"Unidade a conferir",IF(AND(AH896=1,K896&lt;&gt;"Sim"),"Possível duplicidade",IF(Z896=1,"MTR cancelado",IF(AC896&gt;0,"Recebimento com alerta",IF(AA896=0,"Aguardando recebimento",IF(AB896&lt;AA896,"Recebimento a conferir",IF(AM896=1,"Quantidade a revisar",IF(AF896&gt;0,"Vínculo a revisar",IF(AD896=0,"Aguardando CDF",IF(AN896=0,"Vínculo de CDF parcial",IF(AE896&lt;AD896,"CDF a conferir","Documentação conferida"))))))))))))))))))</f>
        <v/>
      </c>
      <c r="Q896" s="93" t="str">
        <f>IF(OR(R896=0,AA896=0),"",MAX(0,N(L896)-N(M896)))</f>
        <v/>
      </c>
      <c r="R896" s="96">
        <f>IF(COUNTA(B896:C896,G896:H896,J896:K896)&gt;0,1,0)</f>
        <v>0</v>
      </c>
      <c r="S896" s="96" t="str">
        <f>IF(B896="","",TRIM(LEFT(B896,FIND(" |",B896&amp;" |")-1)))</f>
        <v/>
      </c>
      <c r="T896" s="96" t="str">
        <f>IF(S896="","",IFERROR(MATCH(S896,'MTRs'!$A$6:$A$505,0),""))</f>
        <v/>
      </c>
      <c r="U896" s="96">
        <f>IF(T896="",0,IF(INDEX('MTRs'!$Z$6:$Z$505,T896)=1,1,0))</f>
        <v>0</v>
      </c>
      <c r="V896" s="96">
        <f>IF(C896="",0,IF(ISNUMBER(MATCH(C896,'CAD_RESÍDUOS'!$B$6:$B$205,0)),1,0))</f>
        <v>0</v>
      </c>
      <c r="W896" s="96">
        <f>IF(AND(ISNUMBER(G896),G896&gt;0),1,0)</f>
        <v>0</v>
      </c>
      <c r="X896" s="96" t="str">
        <f>IF(H896="","",IFERROR(IF(ISNUMBER(INDEX(cfg_fac,MATCH(H896,cfg_units,0))),IF(INDEX(cfg_fac,MATCH(H896,cfg_units,0))&gt;0,INDEX(cfg_fac,MATCH(H896,cfg_units,0)),""),""),""))</f>
        <v/>
      </c>
      <c r="Y896" s="96">
        <f>IF(AND(W896=1,ISNUMBER(I896)),1,0)</f>
        <v>0</v>
      </c>
      <c r="Z896" s="96">
        <f>IF(U896=1,INDEX('MTRs'!$AA$6:$AA$505,T896),0)</f>
        <v>0</v>
      </c>
      <c r="AA896" s="96">
        <f>IF(R896=0,0,COUNTIFS('RECEBIMENTOS'!$R$6:$R$1005,A896,'RECEBIMENTOS'!$Q$6:$Q$1005,1))</f>
        <v>0</v>
      </c>
      <c r="AB896" s="96">
        <f>IF(R896=0,0,COUNTIFS('RECEBIMENTOS'!$R$6:$R$1005,A896,'RECEBIMENTOS'!$Z$6:$Z$1005,1))</f>
        <v>0</v>
      </c>
      <c r="AC896" s="96">
        <f>IF(R896=0,0,COUNTIFS('RECEBIMENTOS'!$R$6:$R$1005,A896,'RECEBIMENTOS'!$Y$6:$Y$1005,1))</f>
        <v>0</v>
      </c>
      <c r="AD896" s="96">
        <f>IF(R896=0,0,COUNTIFS('VÍNCULOS_CDF'!$R$6:$R$1005,A896,'VÍNCULOS_CDF'!$N$6:$N$1005,1))</f>
        <v>0</v>
      </c>
      <c r="AE896" s="96">
        <f>IF(R896=0,0,COUNTIFS('VÍNCULOS_CDF'!$R$6:$R$1005,A896,'VÍNCULOS_CDF'!$AA$6:$AA$1005,1))</f>
        <v>0</v>
      </c>
      <c r="AF896" s="96">
        <f>IF(R896=0,0,COUNTIFS('VÍNCULOS_CDF'!$R$6:$R$1005,A896,'VÍNCULOS_CDF'!$Y$6:$Y$1005,1))</f>
        <v>0</v>
      </c>
      <c r="AG896" s="96" t="str">
        <f>IF(AND(R896=1,S896&lt;&gt;"",C896&lt;&gt;""),S896&amp;"|"&amp;C896&amp;"|"&amp;G896&amp;"|"&amp;H896,"")</f>
        <v/>
      </c>
      <c r="AH896" s="96">
        <f>IF(AG896="",0,IF(SUMPRODUCT(--($AG$6:$AG$1005=AG896))&gt;1,1,0))</f>
        <v>0</v>
      </c>
      <c r="AI896" s="96">
        <f>IF(R896=0,0,IF(OR(U896=0,V896=0,Y896=0,AND(AH896=1,K896&lt;&gt;"Sim")),1,0))</f>
        <v>0</v>
      </c>
      <c r="AJ896" s="96">
        <f>IF(AND(R896=1,AA896&gt;0,AB896=AA896),1,0)</f>
        <v>0</v>
      </c>
      <c r="AK896" s="96">
        <f>IF(R896=0,0,IF(AA896&gt;0,N(L896),IF(ISNUMBER(I896),I896,0)))</f>
        <v>0</v>
      </c>
      <c r="AL896" s="96">
        <f>IF(R896=0,0,IF(AND(K896&lt;&gt;"Sim",N(M896)&gt;AK896+cfg_tol),1,0))</f>
        <v>0</v>
      </c>
      <c r="AM896" s="96">
        <f>IF(R896=0,0,IF(K896="Sim",0,IF(OR(AND(AA896&gt;0,ISNUMBER(I896),ABS(I896-N(L896))&gt;cfg_tol),AL896=1),1,0)))</f>
        <v>0</v>
      </c>
      <c r="AN896" s="96">
        <f>IF(AND(R896=1,N(M896)&gt;0,OR(N(M896)&gt;=AK896-cfg_tol,K896="Sim")),1,0)</f>
        <v>0</v>
      </c>
      <c r="AO896" s="96">
        <f>IF(AND(AN896=1,AD896&gt;0,AE896=AD896,AL896=0),1,0)</f>
        <v>0</v>
      </c>
      <c r="AP896" s="96">
        <f>IF(U896=0,0,IF(AND(INDEX('MTRs'!$AX$6:$AX$505,T896)=1,Z896=0,OR(f_res="",f_res="(Todos)",C896=f_res)),1,0))</f>
        <v>0</v>
      </c>
      <c r="AQ896" s="97" t="str">
        <f>IF(U896=0,"",INDEX('MTRs'!$AZ$6:$AZ$505,T896))</f>
        <v/>
      </c>
      <c r="AR896" s="96">
        <f>IF(U896=0,0,IF(AND(INDEX('MTRs'!$BA$6:$BA$505,T896)=1,Z896=0),1,0))</f>
        <v>0</v>
      </c>
      <c r="AS896" s="96" t="str">
        <f>IF(R896=1,A896&amp;" | MTR "&amp;IF(U896=1,INDEX('MTRs'!$B$6:$B$505,T896)&amp;"","?")&amp;" | "&amp;IF(C896="","(sem resíduo)",C896),"")</f>
        <v/>
      </c>
      <c r="AT896" s="96" t="str">
        <f>IF(R896=1,COUNTIF($R$6:R896,1),"")</f>
        <v/>
      </c>
      <c r="AU896" s="96" t="str">
        <f>IF(U896=1,INDEX('MTRs'!$I$6:$I$505,T896)&amp;"","")</f>
        <v/>
      </c>
    </row>
    <row r="897">
      <c r="A897" s="89" t="inlineStr">
        <is>
          <t>IT-000892</t>
        </is>
      </c>
      <c r="B897" s="91" t="n"/>
      <c r="C897" s="91" t="n"/>
      <c r="D897" s="94" t="str">
        <f>IF(OR(R897=0,V897=0),"",INDEX('CAD_RESÍDUOS'!$E$6:$E$205,MATCH(C897,'CAD_RESÍDUOS'!$B$6:$B$205,0))&amp;"")</f>
        <v/>
      </c>
      <c r="E897" s="94" t="str">
        <f>IF(OR(R897=0,V897=0),"",INDEX('CAD_RESÍDUOS'!$C$6:$C$205,MATCH(C897,'CAD_RESÍDUOS'!$B$6:$B$205,0))&amp;"")</f>
        <v/>
      </c>
      <c r="F897" s="94" t="str">
        <f>IF(OR(R897=0,V897=0),"",INDEX('CAD_RESÍDUOS'!$G$6:$G$205,MATCH(C897,'CAD_RESÍDUOS'!$B$6:$B$205,0))&amp;"")</f>
        <v/>
      </c>
      <c r="G897" s="98" t="n"/>
      <c r="H897" s="91" t="n"/>
      <c r="I897" s="93" t="str">
        <f>IF(R897=0,"",IF(NOT(ISNUMBER(G897)),"",IF(ISNUMBER(X897),G897*X897,"UNIDADE A CONFERIR")))</f>
        <v/>
      </c>
      <c r="J897" s="91" t="n"/>
      <c r="K897" s="91" t="n"/>
      <c r="L897" s="93" t="str">
        <f>IF(R897=0,"",SUMIFS('RECEBIMENTOS'!$H$6:$H$1005,'RECEBIMENTOS'!$R$6:$R$1005,A897,'RECEBIMENTOS'!$X$6:$X$1005,1))</f>
        <v/>
      </c>
      <c r="M897" s="93" t="str">
        <f>IF(R897=0,"",SUMIFS('VÍNCULOS_CDF'!$H$6:$H$1005,'VÍNCULOS_CDF'!$R$6:$R$1005,A897,'VÍNCULOS_CDF'!$V$6:$V$1005,1))</f>
        <v/>
      </c>
      <c r="N897" s="99" t="str">
        <f>IF(OR(R897=0,AA897=0,NOT(ISNUMBER(I897))),"",I897-N(L897))</f>
        <v/>
      </c>
      <c r="O897" s="100" t="str">
        <f>IF(OR(R897=0,AK897&lt;=0),"",N(M897)/AK897)</f>
        <v/>
      </c>
      <c r="P897" s="94" t="str">
        <f>IF(R897=0,"",IF(S897="","Sem MTR associado",IF(U897=0,"MTR inexistente",IF(C897="","Resíduo não identificado",IF(V897=0,"Resíduo fora do cadastro",IF(W897=0,"Quantidade inválida",IF(H897="","Unidade não informada",IF(NOT(ISNUMBER(I897)),"Unidade a conferir",IF(AND(AH897=1,K897&lt;&gt;"Sim"),"Possível duplicidade",IF(Z897=1,"MTR cancelado",IF(AC897&gt;0,"Recebimento com alerta",IF(AA897=0,"Aguardando recebimento",IF(AB897&lt;AA897,"Recebimento a conferir",IF(AM897=1,"Quantidade a revisar",IF(AF897&gt;0,"Vínculo a revisar",IF(AD897=0,"Aguardando CDF",IF(AN897=0,"Vínculo de CDF parcial",IF(AE897&lt;AD897,"CDF a conferir","Documentação conferida"))))))))))))))))))</f>
        <v/>
      </c>
      <c r="Q897" s="93" t="str">
        <f>IF(OR(R897=0,AA897=0),"",MAX(0,N(L897)-N(M897)))</f>
        <v/>
      </c>
      <c r="R897" s="96">
        <f>IF(COUNTA(B897:C897,G897:H897,J897:K897)&gt;0,1,0)</f>
        <v>0</v>
      </c>
      <c r="S897" s="96" t="str">
        <f>IF(B897="","",TRIM(LEFT(B897,FIND(" |",B897&amp;" |")-1)))</f>
        <v/>
      </c>
      <c r="T897" s="96" t="str">
        <f>IF(S897="","",IFERROR(MATCH(S897,'MTRs'!$A$6:$A$505,0),""))</f>
        <v/>
      </c>
      <c r="U897" s="96">
        <f>IF(T897="",0,IF(INDEX('MTRs'!$Z$6:$Z$505,T897)=1,1,0))</f>
        <v>0</v>
      </c>
      <c r="V897" s="96">
        <f>IF(C897="",0,IF(ISNUMBER(MATCH(C897,'CAD_RESÍDUOS'!$B$6:$B$205,0)),1,0))</f>
        <v>0</v>
      </c>
      <c r="W897" s="96">
        <f>IF(AND(ISNUMBER(G897),G897&gt;0),1,0)</f>
        <v>0</v>
      </c>
      <c r="X897" s="96" t="str">
        <f>IF(H897="","",IFERROR(IF(ISNUMBER(INDEX(cfg_fac,MATCH(H897,cfg_units,0))),IF(INDEX(cfg_fac,MATCH(H897,cfg_units,0))&gt;0,INDEX(cfg_fac,MATCH(H897,cfg_units,0)),""),""),""))</f>
        <v/>
      </c>
      <c r="Y897" s="96">
        <f>IF(AND(W897=1,ISNUMBER(I897)),1,0)</f>
        <v>0</v>
      </c>
      <c r="Z897" s="96">
        <f>IF(U897=1,INDEX('MTRs'!$AA$6:$AA$505,T897),0)</f>
        <v>0</v>
      </c>
      <c r="AA897" s="96">
        <f>IF(R897=0,0,COUNTIFS('RECEBIMENTOS'!$R$6:$R$1005,A897,'RECEBIMENTOS'!$Q$6:$Q$1005,1))</f>
        <v>0</v>
      </c>
      <c r="AB897" s="96">
        <f>IF(R897=0,0,COUNTIFS('RECEBIMENTOS'!$R$6:$R$1005,A897,'RECEBIMENTOS'!$Z$6:$Z$1005,1))</f>
        <v>0</v>
      </c>
      <c r="AC897" s="96">
        <f>IF(R897=0,0,COUNTIFS('RECEBIMENTOS'!$R$6:$R$1005,A897,'RECEBIMENTOS'!$Y$6:$Y$1005,1))</f>
        <v>0</v>
      </c>
      <c r="AD897" s="96">
        <f>IF(R897=0,0,COUNTIFS('VÍNCULOS_CDF'!$R$6:$R$1005,A897,'VÍNCULOS_CDF'!$N$6:$N$1005,1))</f>
        <v>0</v>
      </c>
      <c r="AE897" s="96">
        <f>IF(R897=0,0,COUNTIFS('VÍNCULOS_CDF'!$R$6:$R$1005,A897,'VÍNCULOS_CDF'!$AA$6:$AA$1005,1))</f>
        <v>0</v>
      </c>
      <c r="AF897" s="96">
        <f>IF(R897=0,0,COUNTIFS('VÍNCULOS_CDF'!$R$6:$R$1005,A897,'VÍNCULOS_CDF'!$Y$6:$Y$1005,1))</f>
        <v>0</v>
      </c>
      <c r="AG897" s="96" t="str">
        <f>IF(AND(R897=1,S897&lt;&gt;"",C897&lt;&gt;""),S897&amp;"|"&amp;C897&amp;"|"&amp;G897&amp;"|"&amp;H897,"")</f>
        <v/>
      </c>
      <c r="AH897" s="96">
        <f>IF(AG897="",0,IF(SUMPRODUCT(--($AG$6:$AG$1005=AG897))&gt;1,1,0))</f>
        <v>0</v>
      </c>
      <c r="AI897" s="96">
        <f>IF(R897=0,0,IF(OR(U897=0,V897=0,Y897=0,AND(AH897=1,K897&lt;&gt;"Sim")),1,0))</f>
        <v>0</v>
      </c>
      <c r="AJ897" s="96">
        <f>IF(AND(R897=1,AA897&gt;0,AB897=AA897),1,0)</f>
        <v>0</v>
      </c>
      <c r="AK897" s="96">
        <f>IF(R897=0,0,IF(AA897&gt;0,N(L897),IF(ISNUMBER(I897),I897,0)))</f>
        <v>0</v>
      </c>
      <c r="AL897" s="96">
        <f>IF(R897=0,0,IF(AND(K897&lt;&gt;"Sim",N(M897)&gt;AK897+cfg_tol),1,0))</f>
        <v>0</v>
      </c>
      <c r="AM897" s="96">
        <f>IF(R897=0,0,IF(K897="Sim",0,IF(OR(AND(AA897&gt;0,ISNUMBER(I897),ABS(I897-N(L897))&gt;cfg_tol),AL897=1),1,0)))</f>
        <v>0</v>
      </c>
      <c r="AN897" s="96">
        <f>IF(AND(R897=1,N(M897)&gt;0,OR(N(M897)&gt;=AK897-cfg_tol,K897="Sim")),1,0)</f>
        <v>0</v>
      </c>
      <c r="AO897" s="96">
        <f>IF(AND(AN897=1,AD897&gt;0,AE897=AD897,AL897=0),1,0)</f>
        <v>0</v>
      </c>
      <c r="AP897" s="96">
        <f>IF(U897=0,0,IF(AND(INDEX('MTRs'!$AX$6:$AX$505,T897)=1,Z897=0,OR(f_res="",f_res="(Todos)",C897=f_res)),1,0))</f>
        <v>0</v>
      </c>
      <c r="AQ897" s="97" t="str">
        <f>IF(U897=0,"",INDEX('MTRs'!$AZ$6:$AZ$505,T897))</f>
        <v/>
      </c>
      <c r="AR897" s="96">
        <f>IF(U897=0,0,IF(AND(INDEX('MTRs'!$BA$6:$BA$505,T897)=1,Z897=0),1,0))</f>
        <v>0</v>
      </c>
      <c r="AS897" s="96" t="str">
        <f>IF(R897=1,A897&amp;" | MTR "&amp;IF(U897=1,INDEX('MTRs'!$B$6:$B$505,T897)&amp;"","?")&amp;" | "&amp;IF(C897="","(sem resíduo)",C897),"")</f>
        <v/>
      </c>
      <c r="AT897" s="96" t="str">
        <f>IF(R897=1,COUNTIF($R$6:R897,1),"")</f>
        <v/>
      </c>
      <c r="AU897" s="96" t="str">
        <f>IF(U897=1,INDEX('MTRs'!$I$6:$I$505,T897)&amp;"","")</f>
        <v/>
      </c>
    </row>
    <row r="898">
      <c r="A898" s="89" t="inlineStr">
        <is>
          <t>IT-000893</t>
        </is>
      </c>
      <c r="B898" s="91" t="n"/>
      <c r="C898" s="91" t="n"/>
      <c r="D898" s="94" t="str">
        <f>IF(OR(R898=0,V898=0),"",INDEX('CAD_RESÍDUOS'!$E$6:$E$205,MATCH(C898,'CAD_RESÍDUOS'!$B$6:$B$205,0))&amp;"")</f>
        <v/>
      </c>
      <c r="E898" s="94" t="str">
        <f>IF(OR(R898=0,V898=0),"",INDEX('CAD_RESÍDUOS'!$C$6:$C$205,MATCH(C898,'CAD_RESÍDUOS'!$B$6:$B$205,0))&amp;"")</f>
        <v/>
      </c>
      <c r="F898" s="94" t="str">
        <f>IF(OR(R898=0,V898=0),"",INDEX('CAD_RESÍDUOS'!$G$6:$G$205,MATCH(C898,'CAD_RESÍDUOS'!$B$6:$B$205,0))&amp;"")</f>
        <v/>
      </c>
      <c r="G898" s="98" t="n"/>
      <c r="H898" s="91" t="n"/>
      <c r="I898" s="93" t="str">
        <f>IF(R898=0,"",IF(NOT(ISNUMBER(G898)),"",IF(ISNUMBER(X898),G898*X898,"UNIDADE A CONFERIR")))</f>
        <v/>
      </c>
      <c r="J898" s="91" t="n"/>
      <c r="K898" s="91" t="n"/>
      <c r="L898" s="93" t="str">
        <f>IF(R898=0,"",SUMIFS('RECEBIMENTOS'!$H$6:$H$1005,'RECEBIMENTOS'!$R$6:$R$1005,A898,'RECEBIMENTOS'!$X$6:$X$1005,1))</f>
        <v/>
      </c>
      <c r="M898" s="93" t="str">
        <f>IF(R898=0,"",SUMIFS('VÍNCULOS_CDF'!$H$6:$H$1005,'VÍNCULOS_CDF'!$R$6:$R$1005,A898,'VÍNCULOS_CDF'!$V$6:$V$1005,1))</f>
        <v/>
      </c>
      <c r="N898" s="99" t="str">
        <f>IF(OR(R898=0,AA898=0,NOT(ISNUMBER(I898))),"",I898-N(L898))</f>
        <v/>
      </c>
      <c r="O898" s="100" t="str">
        <f>IF(OR(R898=0,AK898&lt;=0),"",N(M898)/AK898)</f>
        <v/>
      </c>
      <c r="P898" s="94" t="str">
        <f>IF(R898=0,"",IF(S898="","Sem MTR associado",IF(U898=0,"MTR inexistente",IF(C898="","Resíduo não identificado",IF(V898=0,"Resíduo fora do cadastro",IF(W898=0,"Quantidade inválida",IF(H898="","Unidade não informada",IF(NOT(ISNUMBER(I898)),"Unidade a conferir",IF(AND(AH898=1,K898&lt;&gt;"Sim"),"Possível duplicidade",IF(Z898=1,"MTR cancelado",IF(AC898&gt;0,"Recebimento com alerta",IF(AA898=0,"Aguardando recebimento",IF(AB898&lt;AA898,"Recebimento a conferir",IF(AM898=1,"Quantidade a revisar",IF(AF898&gt;0,"Vínculo a revisar",IF(AD898=0,"Aguardando CDF",IF(AN898=0,"Vínculo de CDF parcial",IF(AE898&lt;AD898,"CDF a conferir","Documentação conferida"))))))))))))))))))</f>
        <v/>
      </c>
      <c r="Q898" s="93" t="str">
        <f>IF(OR(R898=0,AA898=0),"",MAX(0,N(L898)-N(M898)))</f>
        <v/>
      </c>
      <c r="R898" s="96">
        <f>IF(COUNTA(B898:C898,G898:H898,J898:K898)&gt;0,1,0)</f>
        <v>0</v>
      </c>
      <c r="S898" s="96" t="str">
        <f>IF(B898="","",TRIM(LEFT(B898,FIND(" |",B898&amp;" |")-1)))</f>
        <v/>
      </c>
      <c r="T898" s="96" t="str">
        <f>IF(S898="","",IFERROR(MATCH(S898,'MTRs'!$A$6:$A$505,0),""))</f>
        <v/>
      </c>
      <c r="U898" s="96">
        <f>IF(T898="",0,IF(INDEX('MTRs'!$Z$6:$Z$505,T898)=1,1,0))</f>
        <v>0</v>
      </c>
      <c r="V898" s="96">
        <f>IF(C898="",0,IF(ISNUMBER(MATCH(C898,'CAD_RESÍDUOS'!$B$6:$B$205,0)),1,0))</f>
        <v>0</v>
      </c>
      <c r="W898" s="96">
        <f>IF(AND(ISNUMBER(G898),G898&gt;0),1,0)</f>
        <v>0</v>
      </c>
      <c r="X898" s="96" t="str">
        <f>IF(H898="","",IFERROR(IF(ISNUMBER(INDEX(cfg_fac,MATCH(H898,cfg_units,0))),IF(INDEX(cfg_fac,MATCH(H898,cfg_units,0))&gt;0,INDEX(cfg_fac,MATCH(H898,cfg_units,0)),""),""),""))</f>
        <v/>
      </c>
      <c r="Y898" s="96">
        <f>IF(AND(W898=1,ISNUMBER(I898)),1,0)</f>
        <v>0</v>
      </c>
      <c r="Z898" s="96">
        <f>IF(U898=1,INDEX('MTRs'!$AA$6:$AA$505,T898),0)</f>
        <v>0</v>
      </c>
      <c r="AA898" s="96">
        <f>IF(R898=0,0,COUNTIFS('RECEBIMENTOS'!$R$6:$R$1005,A898,'RECEBIMENTOS'!$Q$6:$Q$1005,1))</f>
        <v>0</v>
      </c>
      <c r="AB898" s="96">
        <f>IF(R898=0,0,COUNTIFS('RECEBIMENTOS'!$R$6:$R$1005,A898,'RECEBIMENTOS'!$Z$6:$Z$1005,1))</f>
        <v>0</v>
      </c>
      <c r="AC898" s="96">
        <f>IF(R898=0,0,COUNTIFS('RECEBIMENTOS'!$R$6:$R$1005,A898,'RECEBIMENTOS'!$Y$6:$Y$1005,1))</f>
        <v>0</v>
      </c>
      <c r="AD898" s="96">
        <f>IF(R898=0,0,COUNTIFS('VÍNCULOS_CDF'!$R$6:$R$1005,A898,'VÍNCULOS_CDF'!$N$6:$N$1005,1))</f>
        <v>0</v>
      </c>
      <c r="AE898" s="96">
        <f>IF(R898=0,0,COUNTIFS('VÍNCULOS_CDF'!$R$6:$R$1005,A898,'VÍNCULOS_CDF'!$AA$6:$AA$1005,1))</f>
        <v>0</v>
      </c>
      <c r="AF898" s="96">
        <f>IF(R898=0,0,COUNTIFS('VÍNCULOS_CDF'!$R$6:$R$1005,A898,'VÍNCULOS_CDF'!$Y$6:$Y$1005,1))</f>
        <v>0</v>
      </c>
      <c r="AG898" s="96" t="str">
        <f>IF(AND(R898=1,S898&lt;&gt;"",C898&lt;&gt;""),S898&amp;"|"&amp;C898&amp;"|"&amp;G898&amp;"|"&amp;H898,"")</f>
        <v/>
      </c>
      <c r="AH898" s="96">
        <f>IF(AG898="",0,IF(SUMPRODUCT(--($AG$6:$AG$1005=AG898))&gt;1,1,0))</f>
        <v>0</v>
      </c>
      <c r="AI898" s="96">
        <f>IF(R898=0,0,IF(OR(U898=0,V898=0,Y898=0,AND(AH898=1,K898&lt;&gt;"Sim")),1,0))</f>
        <v>0</v>
      </c>
      <c r="AJ898" s="96">
        <f>IF(AND(R898=1,AA898&gt;0,AB898=AA898),1,0)</f>
        <v>0</v>
      </c>
      <c r="AK898" s="96">
        <f>IF(R898=0,0,IF(AA898&gt;0,N(L898),IF(ISNUMBER(I898),I898,0)))</f>
        <v>0</v>
      </c>
      <c r="AL898" s="96">
        <f>IF(R898=0,0,IF(AND(K898&lt;&gt;"Sim",N(M898)&gt;AK898+cfg_tol),1,0))</f>
        <v>0</v>
      </c>
      <c r="AM898" s="96">
        <f>IF(R898=0,0,IF(K898="Sim",0,IF(OR(AND(AA898&gt;0,ISNUMBER(I898),ABS(I898-N(L898))&gt;cfg_tol),AL898=1),1,0)))</f>
        <v>0</v>
      </c>
      <c r="AN898" s="96">
        <f>IF(AND(R898=1,N(M898)&gt;0,OR(N(M898)&gt;=AK898-cfg_tol,K898="Sim")),1,0)</f>
        <v>0</v>
      </c>
      <c r="AO898" s="96">
        <f>IF(AND(AN898=1,AD898&gt;0,AE898=AD898,AL898=0),1,0)</f>
        <v>0</v>
      </c>
      <c r="AP898" s="96">
        <f>IF(U898=0,0,IF(AND(INDEX('MTRs'!$AX$6:$AX$505,T898)=1,Z898=0,OR(f_res="",f_res="(Todos)",C898=f_res)),1,0))</f>
        <v>0</v>
      </c>
      <c r="AQ898" s="97" t="str">
        <f>IF(U898=0,"",INDEX('MTRs'!$AZ$6:$AZ$505,T898))</f>
        <v/>
      </c>
      <c r="AR898" s="96">
        <f>IF(U898=0,0,IF(AND(INDEX('MTRs'!$BA$6:$BA$505,T898)=1,Z898=0),1,0))</f>
        <v>0</v>
      </c>
      <c r="AS898" s="96" t="str">
        <f>IF(R898=1,A898&amp;" | MTR "&amp;IF(U898=1,INDEX('MTRs'!$B$6:$B$505,T898)&amp;"","?")&amp;" | "&amp;IF(C898="","(sem resíduo)",C898),"")</f>
        <v/>
      </c>
      <c r="AT898" s="96" t="str">
        <f>IF(R898=1,COUNTIF($R$6:R898,1),"")</f>
        <v/>
      </c>
      <c r="AU898" s="96" t="str">
        <f>IF(U898=1,INDEX('MTRs'!$I$6:$I$505,T898)&amp;"","")</f>
        <v/>
      </c>
    </row>
    <row r="899">
      <c r="A899" s="89" t="inlineStr">
        <is>
          <t>IT-000894</t>
        </is>
      </c>
      <c r="B899" s="91" t="n"/>
      <c r="C899" s="91" t="n"/>
      <c r="D899" s="94" t="str">
        <f>IF(OR(R899=0,V899=0),"",INDEX('CAD_RESÍDUOS'!$E$6:$E$205,MATCH(C899,'CAD_RESÍDUOS'!$B$6:$B$205,0))&amp;"")</f>
        <v/>
      </c>
      <c r="E899" s="94" t="str">
        <f>IF(OR(R899=0,V899=0),"",INDEX('CAD_RESÍDUOS'!$C$6:$C$205,MATCH(C899,'CAD_RESÍDUOS'!$B$6:$B$205,0))&amp;"")</f>
        <v/>
      </c>
      <c r="F899" s="94" t="str">
        <f>IF(OR(R899=0,V899=0),"",INDEX('CAD_RESÍDUOS'!$G$6:$G$205,MATCH(C899,'CAD_RESÍDUOS'!$B$6:$B$205,0))&amp;"")</f>
        <v/>
      </c>
      <c r="G899" s="98" t="n"/>
      <c r="H899" s="91" t="n"/>
      <c r="I899" s="93" t="str">
        <f>IF(R899=0,"",IF(NOT(ISNUMBER(G899)),"",IF(ISNUMBER(X899),G899*X899,"UNIDADE A CONFERIR")))</f>
        <v/>
      </c>
      <c r="J899" s="91" t="n"/>
      <c r="K899" s="91" t="n"/>
      <c r="L899" s="93" t="str">
        <f>IF(R899=0,"",SUMIFS('RECEBIMENTOS'!$H$6:$H$1005,'RECEBIMENTOS'!$R$6:$R$1005,A899,'RECEBIMENTOS'!$X$6:$X$1005,1))</f>
        <v/>
      </c>
      <c r="M899" s="93" t="str">
        <f>IF(R899=0,"",SUMIFS('VÍNCULOS_CDF'!$H$6:$H$1005,'VÍNCULOS_CDF'!$R$6:$R$1005,A899,'VÍNCULOS_CDF'!$V$6:$V$1005,1))</f>
        <v/>
      </c>
      <c r="N899" s="99" t="str">
        <f>IF(OR(R899=0,AA899=0,NOT(ISNUMBER(I899))),"",I899-N(L899))</f>
        <v/>
      </c>
      <c r="O899" s="100" t="str">
        <f>IF(OR(R899=0,AK899&lt;=0),"",N(M899)/AK899)</f>
        <v/>
      </c>
      <c r="P899" s="94" t="str">
        <f>IF(R899=0,"",IF(S899="","Sem MTR associado",IF(U899=0,"MTR inexistente",IF(C899="","Resíduo não identificado",IF(V899=0,"Resíduo fora do cadastro",IF(W899=0,"Quantidade inválida",IF(H899="","Unidade não informada",IF(NOT(ISNUMBER(I899)),"Unidade a conferir",IF(AND(AH899=1,K899&lt;&gt;"Sim"),"Possível duplicidade",IF(Z899=1,"MTR cancelado",IF(AC899&gt;0,"Recebimento com alerta",IF(AA899=0,"Aguardando recebimento",IF(AB899&lt;AA899,"Recebimento a conferir",IF(AM899=1,"Quantidade a revisar",IF(AF899&gt;0,"Vínculo a revisar",IF(AD899=0,"Aguardando CDF",IF(AN899=0,"Vínculo de CDF parcial",IF(AE899&lt;AD899,"CDF a conferir","Documentação conferida"))))))))))))))))))</f>
        <v/>
      </c>
      <c r="Q899" s="93" t="str">
        <f>IF(OR(R899=0,AA899=0),"",MAX(0,N(L899)-N(M899)))</f>
        <v/>
      </c>
      <c r="R899" s="96">
        <f>IF(COUNTA(B899:C899,G899:H899,J899:K899)&gt;0,1,0)</f>
        <v>0</v>
      </c>
      <c r="S899" s="96" t="str">
        <f>IF(B899="","",TRIM(LEFT(B899,FIND(" |",B899&amp;" |")-1)))</f>
        <v/>
      </c>
      <c r="T899" s="96" t="str">
        <f>IF(S899="","",IFERROR(MATCH(S899,'MTRs'!$A$6:$A$505,0),""))</f>
        <v/>
      </c>
      <c r="U899" s="96">
        <f>IF(T899="",0,IF(INDEX('MTRs'!$Z$6:$Z$505,T899)=1,1,0))</f>
        <v>0</v>
      </c>
      <c r="V899" s="96">
        <f>IF(C899="",0,IF(ISNUMBER(MATCH(C899,'CAD_RESÍDUOS'!$B$6:$B$205,0)),1,0))</f>
        <v>0</v>
      </c>
      <c r="W899" s="96">
        <f>IF(AND(ISNUMBER(G899),G899&gt;0),1,0)</f>
        <v>0</v>
      </c>
      <c r="X899" s="96" t="str">
        <f>IF(H899="","",IFERROR(IF(ISNUMBER(INDEX(cfg_fac,MATCH(H899,cfg_units,0))),IF(INDEX(cfg_fac,MATCH(H899,cfg_units,0))&gt;0,INDEX(cfg_fac,MATCH(H899,cfg_units,0)),""),""),""))</f>
        <v/>
      </c>
      <c r="Y899" s="96">
        <f>IF(AND(W899=1,ISNUMBER(I899)),1,0)</f>
        <v>0</v>
      </c>
      <c r="Z899" s="96">
        <f>IF(U899=1,INDEX('MTRs'!$AA$6:$AA$505,T899),0)</f>
        <v>0</v>
      </c>
      <c r="AA899" s="96">
        <f>IF(R899=0,0,COUNTIFS('RECEBIMENTOS'!$R$6:$R$1005,A899,'RECEBIMENTOS'!$Q$6:$Q$1005,1))</f>
        <v>0</v>
      </c>
      <c r="AB899" s="96">
        <f>IF(R899=0,0,COUNTIFS('RECEBIMENTOS'!$R$6:$R$1005,A899,'RECEBIMENTOS'!$Z$6:$Z$1005,1))</f>
        <v>0</v>
      </c>
      <c r="AC899" s="96">
        <f>IF(R899=0,0,COUNTIFS('RECEBIMENTOS'!$R$6:$R$1005,A899,'RECEBIMENTOS'!$Y$6:$Y$1005,1))</f>
        <v>0</v>
      </c>
      <c r="AD899" s="96">
        <f>IF(R899=0,0,COUNTIFS('VÍNCULOS_CDF'!$R$6:$R$1005,A899,'VÍNCULOS_CDF'!$N$6:$N$1005,1))</f>
        <v>0</v>
      </c>
      <c r="AE899" s="96">
        <f>IF(R899=0,0,COUNTIFS('VÍNCULOS_CDF'!$R$6:$R$1005,A899,'VÍNCULOS_CDF'!$AA$6:$AA$1005,1))</f>
        <v>0</v>
      </c>
      <c r="AF899" s="96">
        <f>IF(R899=0,0,COUNTIFS('VÍNCULOS_CDF'!$R$6:$R$1005,A899,'VÍNCULOS_CDF'!$Y$6:$Y$1005,1))</f>
        <v>0</v>
      </c>
      <c r="AG899" s="96" t="str">
        <f>IF(AND(R899=1,S899&lt;&gt;"",C899&lt;&gt;""),S899&amp;"|"&amp;C899&amp;"|"&amp;G899&amp;"|"&amp;H899,"")</f>
        <v/>
      </c>
      <c r="AH899" s="96">
        <f>IF(AG899="",0,IF(SUMPRODUCT(--($AG$6:$AG$1005=AG899))&gt;1,1,0))</f>
        <v>0</v>
      </c>
      <c r="AI899" s="96">
        <f>IF(R899=0,0,IF(OR(U899=0,V899=0,Y899=0,AND(AH899=1,K899&lt;&gt;"Sim")),1,0))</f>
        <v>0</v>
      </c>
      <c r="AJ899" s="96">
        <f>IF(AND(R899=1,AA899&gt;0,AB899=AA899),1,0)</f>
        <v>0</v>
      </c>
      <c r="AK899" s="96">
        <f>IF(R899=0,0,IF(AA899&gt;0,N(L899),IF(ISNUMBER(I899),I899,0)))</f>
        <v>0</v>
      </c>
      <c r="AL899" s="96">
        <f>IF(R899=0,0,IF(AND(K899&lt;&gt;"Sim",N(M899)&gt;AK899+cfg_tol),1,0))</f>
        <v>0</v>
      </c>
      <c r="AM899" s="96">
        <f>IF(R899=0,0,IF(K899="Sim",0,IF(OR(AND(AA899&gt;0,ISNUMBER(I899),ABS(I899-N(L899))&gt;cfg_tol),AL899=1),1,0)))</f>
        <v>0</v>
      </c>
      <c r="AN899" s="96">
        <f>IF(AND(R899=1,N(M899)&gt;0,OR(N(M899)&gt;=AK899-cfg_tol,K899="Sim")),1,0)</f>
        <v>0</v>
      </c>
      <c r="AO899" s="96">
        <f>IF(AND(AN899=1,AD899&gt;0,AE899=AD899,AL899=0),1,0)</f>
        <v>0</v>
      </c>
      <c r="AP899" s="96">
        <f>IF(U899=0,0,IF(AND(INDEX('MTRs'!$AX$6:$AX$505,T899)=1,Z899=0,OR(f_res="",f_res="(Todos)",C899=f_res)),1,0))</f>
        <v>0</v>
      </c>
      <c r="AQ899" s="97" t="str">
        <f>IF(U899=0,"",INDEX('MTRs'!$AZ$6:$AZ$505,T899))</f>
        <v/>
      </c>
      <c r="AR899" s="96">
        <f>IF(U899=0,0,IF(AND(INDEX('MTRs'!$BA$6:$BA$505,T899)=1,Z899=0),1,0))</f>
        <v>0</v>
      </c>
      <c r="AS899" s="96" t="str">
        <f>IF(R899=1,A899&amp;" | MTR "&amp;IF(U899=1,INDEX('MTRs'!$B$6:$B$505,T899)&amp;"","?")&amp;" | "&amp;IF(C899="","(sem resíduo)",C899),"")</f>
        <v/>
      </c>
      <c r="AT899" s="96" t="str">
        <f>IF(R899=1,COUNTIF($R$6:R899,1),"")</f>
        <v/>
      </c>
      <c r="AU899" s="96" t="str">
        <f>IF(U899=1,INDEX('MTRs'!$I$6:$I$505,T899)&amp;"","")</f>
        <v/>
      </c>
    </row>
    <row r="900">
      <c r="A900" s="89" t="inlineStr">
        <is>
          <t>IT-000895</t>
        </is>
      </c>
      <c r="B900" s="91" t="n"/>
      <c r="C900" s="91" t="n"/>
      <c r="D900" s="94" t="str">
        <f>IF(OR(R900=0,V900=0),"",INDEX('CAD_RESÍDUOS'!$E$6:$E$205,MATCH(C900,'CAD_RESÍDUOS'!$B$6:$B$205,0))&amp;"")</f>
        <v/>
      </c>
      <c r="E900" s="94" t="str">
        <f>IF(OR(R900=0,V900=0),"",INDEX('CAD_RESÍDUOS'!$C$6:$C$205,MATCH(C900,'CAD_RESÍDUOS'!$B$6:$B$205,0))&amp;"")</f>
        <v/>
      </c>
      <c r="F900" s="94" t="str">
        <f>IF(OR(R900=0,V900=0),"",INDEX('CAD_RESÍDUOS'!$G$6:$G$205,MATCH(C900,'CAD_RESÍDUOS'!$B$6:$B$205,0))&amp;"")</f>
        <v/>
      </c>
      <c r="G900" s="98" t="n"/>
      <c r="H900" s="91" t="n"/>
      <c r="I900" s="93" t="str">
        <f>IF(R900=0,"",IF(NOT(ISNUMBER(G900)),"",IF(ISNUMBER(X900),G900*X900,"UNIDADE A CONFERIR")))</f>
        <v/>
      </c>
      <c r="J900" s="91" t="n"/>
      <c r="K900" s="91" t="n"/>
      <c r="L900" s="93" t="str">
        <f>IF(R900=0,"",SUMIFS('RECEBIMENTOS'!$H$6:$H$1005,'RECEBIMENTOS'!$R$6:$R$1005,A900,'RECEBIMENTOS'!$X$6:$X$1005,1))</f>
        <v/>
      </c>
      <c r="M900" s="93" t="str">
        <f>IF(R900=0,"",SUMIFS('VÍNCULOS_CDF'!$H$6:$H$1005,'VÍNCULOS_CDF'!$R$6:$R$1005,A900,'VÍNCULOS_CDF'!$V$6:$V$1005,1))</f>
        <v/>
      </c>
      <c r="N900" s="99" t="str">
        <f>IF(OR(R900=0,AA900=0,NOT(ISNUMBER(I900))),"",I900-N(L900))</f>
        <v/>
      </c>
      <c r="O900" s="100" t="str">
        <f>IF(OR(R900=0,AK900&lt;=0),"",N(M900)/AK900)</f>
        <v/>
      </c>
      <c r="P900" s="94" t="str">
        <f>IF(R900=0,"",IF(S900="","Sem MTR associado",IF(U900=0,"MTR inexistente",IF(C900="","Resíduo não identificado",IF(V900=0,"Resíduo fora do cadastro",IF(W900=0,"Quantidade inválida",IF(H900="","Unidade não informada",IF(NOT(ISNUMBER(I900)),"Unidade a conferir",IF(AND(AH900=1,K900&lt;&gt;"Sim"),"Possível duplicidade",IF(Z900=1,"MTR cancelado",IF(AC900&gt;0,"Recebimento com alerta",IF(AA900=0,"Aguardando recebimento",IF(AB900&lt;AA900,"Recebimento a conferir",IF(AM900=1,"Quantidade a revisar",IF(AF900&gt;0,"Vínculo a revisar",IF(AD900=0,"Aguardando CDF",IF(AN900=0,"Vínculo de CDF parcial",IF(AE900&lt;AD900,"CDF a conferir","Documentação conferida"))))))))))))))))))</f>
        <v/>
      </c>
      <c r="Q900" s="93" t="str">
        <f>IF(OR(R900=0,AA900=0),"",MAX(0,N(L900)-N(M900)))</f>
        <v/>
      </c>
      <c r="R900" s="96">
        <f>IF(COUNTA(B900:C900,G900:H900,J900:K900)&gt;0,1,0)</f>
        <v>0</v>
      </c>
      <c r="S900" s="96" t="str">
        <f>IF(B900="","",TRIM(LEFT(B900,FIND(" |",B900&amp;" |")-1)))</f>
        <v/>
      </c>
      <c r="T900" s="96" t="str">
        <f>IF(S900="","",IFERROR(MATCH(S900,'MTRs'!$A$6:$A$505,0),""))</f>
        <v/>
      </c>
      <c r="U900" s="96">
        <f>IF(T900="",0,IF(INDEX('MTRs'!$Z$6:$Z$505,T900)=1,1,0))</f>
        <v>0</v>
      </c>
      <c r="V900" s="96">
        <f>IF(C900="",0,IF(ISNUMBER(MATCH(C900,'CAD_RESÍDUOS'!$B$6:$B$205,0)),1,0))</f>
        <v>0</v>
      </c>
      <c r="W900" s="96">
        <f>IF(AND(ISNUMBER(G900),G900&gt;0),1,0)</f>
        <v>0</v>
      </c>
      <c r="X900" s="96" t="str">
        <f>IF(H900="","",IFERROR(IF(ISNUMBER(INDEX(cfg_fac,MATCH(H900,cfg_units,0))),IF(INDEX(cfg_fac,MATCH(H900,cfg_units,0))&gt;0,INDEX(cfg_fac,MATCH(H900,cfg_units,0)),""),""),""))</f>
        <v/>
      </c>
      <c r="Y900" s="96">
        <f>IF(AND(W900=1,ISNUMBER(I900)),1,0)</f>
        <v>0</v>
      </c>
      <c r="Z900" s="96">
        <f>IF(U900=1,INDEX('MTRs'!$AA$6:$AA$505,T900),0)</f>
        <v>0</v>
      </c>
      <c r="AA900" s="96">
        <f>IF(R900=0,0,COUNTIFS('RECEBIMENTOS'!$R$6:$R$1005,A900,'RECEBIMENTOS'!$Q$6:$Q$1005,1))</f>
        <v>0</v>
      </c>
      <c r="AB900" s="96">
        <f>IF(R900=0,0,COUNTIFS('RECEBIMENTOS'!$R$6:$R$1005,A900,'RECEBIMENTOS'!$Z$6:$Z$1005,1))</f>
        <v>0</v>
      </c>
      <c r="AC900" s="96">
        <f>IF(R900=0,0,COUNTIFS('RECEBIMENTOS'!$R$6:$R$1005,A900,'RECEBIMENTOS'!$Y$6:$Y$1005,1))</f>
        <v>0</v>
      </c>
      <c r="AD900" s="96">
        <f>IF(R900=0,0,COUNTIFS('VÍNCULOS_CDF'!$R$6:$R$1005,A900,'VÍNCULOS_CDF'!$N$6:$N$1005,1))</f>
        <v>0</v>
      </c>
      <c r="AE900" s="96">
        <f>IF(R900=0,0,COUNTIFS('VÍNCULOS_CDF'!$R$6:$R$1005,A900,'VÍNCULOS_CDF'!$AA$6:$AA$1005,1))</f>
        <v>0</v>
      </c>
      <c r="AF900" s="96">
        <f>IF(R900=0,0,COUNTIFS('VÍNCULOS_CDF'!$R$6:$R$1005,A900,'VÍNCULOS_CDF'!$Y$6:$Y$1005,1))</f>
        <v>0</v>
      </c>
      <c r="AG900" s="96" t="str">
        <f>IF(AND(R900=1,S900&lt;&gt;"",C900&lt;&gt;""),S900&amp;"|"&amp;C900&amp;"|"&amp;G900&amp;"|"&amp;H900,"")</f>
        <v/>
      </c>
      <c r="AH900" s="96">
        <f>IF(AG900="",0,IF(SUMPRODUCT(--($AG$6:$AG$1005=AG900))&gt;1,1,0))</f>
        <v>0</v>
      </c>
      <c r="AI900" s="96">
        <f>IF(R900=0,0,IF(OR(U900=0,V900=0,Y900=0,AND(AH900=1,K900&lt;&gt;"Sim")),1,0))</f>
        <v>0</v>
      </c>
      <c r="AJ900" s="96">
        <f>IF(AND(R900=1,AA900&gt;0,AB900=AA900),1,0)</f>
        <v>0</v>
      </c>
      <c r="AK900" s="96">
        <f>IF(R900=0,0,IF(AA900&gt;0,N(L900),IF(ISNUMBER(I900),I900,0)))</f>
        <v>0</v>
      </c>
      <c r="AL900" s="96">
        <f>IF(R900=0,0,IF(AND(K900&lt;&gt;"Sim",N(M900)&gt;AK900+cfg_tol),1,0))</f>
        <v>0</v>
      </c>
      <c r="AM900" s="96">
        <f>IF(R900=0,0,IF(K900="Sim",0,IF(OR(AND(AA900&gt;0,ISNUMBER(I900),ABS(I900-N(L900))&gt;cfg_tol),AL900=1),1,0)))</f>
        <v>0</v>
      </c>
      <c r="AN900" s="96">
        <f>IF(AND(R900=1,N(M900)&gt;0,OR(N(M900)&gt;=AK900-cfg_tol,K900="Sim")),1,0)</f>
        <v>0</v>
      </c>
      <c r="AO900" s="96">
        <f>IF(AND(AN900=1,AD900&gt;0,AE900=AD900,AL900=0),1,0)</f>
        <v>0</v>
      </c>
      <c r="AP900" s="96">
        <f>IF(U900=0,0,IF(AND(INDEX('MTRs'!$AX$6:$AX$505,T900)=1,Z900=0,OR(f_res="",f_res="(Todos)",C900=f_res)),1,0))</f>
        <v>0</v>
      </c>
      <c r="AQ900" s="97" t="str">
        <f>IF(U900=0,"",INDEX('MTRs'!$AZ$6:$AZ$505,T900))</f>
        <v/>
      </c>
      <c r="AR900" s="96">
        <f>IF(U900=0,0,IF(AND(INDEX('MTRs'!$BA$6:$BA$505,T900)=1,Z900=0),1,0))</f>
        <v>0</v>
      </c>
      <c r="AS900" s="96" t="str">
        <f>IF(R900=1,A900&amp;" | MTR "&amp;IF(U900=1,INDEX('MTRs'!$B$6:$B$505,T900)&amp;"","?")&amp;" | "&amp;IF(C900="","(sem resíduo)",C900),"")</f>
        <v/>
      </c>
      <c r="AT900" s="96" t="str">
        <f>IF(R900=1,COUNTIF($R$6:R900,1),"")</f>
        <v/>
      </c>
      <c r="AU900" s="96" t="str">
        <f>IF(U900=1,INDEX('MTRs'!$I$6:$I$505,T900)&amp;"","")</f>
        <v/>
      </c>
    </row>
    <row r="901">
      <c r="A901" s="89" t="inlineStr">
        <is>
          <t>IT-000896</t>
        </is>
      </c>
      <c r="B901" s="91" t="n"/>
      <c r="C901" s="91" t="n"/>
      <c r="D901" s="94" t="str">
        <f>IF(OR(R901=0,V901=0),"",INDEX('CAD_RESÍDUOS'!$E$6:$E$205,MATCH(C901,'CAD_RESÍDUOS'!$B$6:$B$205,0))&amp;"")</f>
        <v/>
      </c>
      <c r="E901" s="94" t="str">
        <f>IF(OR(R901=0,V901=0),"",INDEX('CAD_RESÍDUOS'!$C$6:$C$205,MATCH(C901,'CAD_RESÍDUOS'!$B$6:$B$205,0))&amp;"")</f>
        <v/>
      </c>
      <c r="F901" s="94" t="str">
        <f>IF(OR(R901=0,V901=0),"",INDEX('CAD_RESÍDUOS'!$G$6:$G$205,MATCH(C901,'CAD_RESÍDUOS'!$B$6:$B$205,0))&amp;"")</f>
        <v/>
      </c>
      <c r="G901" s="98" t="n"/>
      <c r="H901" s="91" t="n"/>
      <c r="I901" s="93" t="str">
        <f>IF(R901=0,"",IF(NOT(ISNUMBER(G901)),"",IF(ISNUMBER(X901),G901*X901,"UNIDADE A CONFERIR")))</f>
        <v/>
      </c>
      <c r="J901" s="91" t="n"/>
      <c r="K901" s="91" t="n"/>
      <c r="L901" s="93" t="str">
        <f>IF(R901=0,"",SUMIFS('RECEBIMENTOS'!$H$6:$H$1005,'RECEBIMENTOS'!$R$6:$R$1005,A901,'RECEBIMENTOS'!$X$6:$X$1005,1))</f>
        <v/>
      </c>
      <c r="M901" s="93" t="str">
        <f>IF(R901=0,"",SUMIFS('VÍNCULOS_CDF'!$H$6:$H$1005,'VÍNCULOS_CDF'!$R$6:$R$1005,A901,'VÍNCULOS_CDF'!$V$6:$V$1005,1))</f>
        <v/>
      </c>
      <c r="N901" s="99" t="str">
        <f>IF(OR(R901=0,AA901=0,NOT(ISNUMBER(I901))),"",I901-N(L901))</f>
        <v/>
      </c>
      <c r="O901" s="100" t="str">
        <f>IF(OR(R901=0,AK901&lt;=0),"",N(M901)/AK901)</f>
        <v/>
      </c>
      <c r="P901" s="94" t="str">
        <f>IF(R901=0,"",IF(S901="","Sem MTR associado",IF(U901=0,"MTR inexistente",IF(C901="","Resíduo não identificado",IF(V901=0,"Resíduo fora do cadastro",IF(W901=0,"Quantidade inválida",IF(H901="","Unidade não informada",IF(NOT(ISNUMBER(I901)),"Unidade a conferir",IF(AND(AH901=1,K901&lt;&gt;"Sim"),"Possível duplicidade",IF(Z901=1,"MTR cancelado",IF(AC901&gt;0,"Recebimento com alerta",IF(AA901=0,"Aguardando recebimento",IF(AB901&lt;AA901,"Recebimento a conferir",IF(AM901=1,"Quantidade a revisar",IF(AF901&gt;0,"Vínculo a revisar",IF(AD901=0,"Aguardando CDF",IF(AN901=0,"Vínculo de CDF parcial",IF(AE901&lt;AD901,"CDF a conferir","Documentação conferida"))))))))))))))))))</f>
        <v/>
      </c>
      <c r="Q901" s="93" t="str">
        <f>IF(OR(R901=0,AA901=0),"",MAX(0,N(L901)-N(M901)))</f>
        <v/>
      </c>
      <c r="R901" s="96">
        <f>IF(COUNTA(B901:C901,G901:H901,J901:K901)&gt;0,1,0)</f>
        <v>0</v>
      </c>
      <c r="S901" s="96" t="str">
        <f>IF(B901="","",TRIM(LEFT(B901,FIND(" |",B901&amp;" |")-1)))</f>
        <v/>
      </c>
      <c r="T901" s="96" t="str">
        <f>IF(S901="","",IFERROR(MATCH(S901,'MTRs'!$A$6:$A$505,0),""))</f>
        <v/>
      </c>
      <c r="U901" s="96">
        <f>IF(T901="",0,IF(INDEX('MTRs'!$Z$6:$Z$505,T901)=1,1,0))</f>
        <v>0</v>
      </c>
      <c r="V901" s="96">
        <f>IF(C901="",0,IF(ISNUMBER(MATCH(C901,'CAD_RESÍDUOS'!$B$6:$B$205,0)),1,0))</f>
        <v>0</v>
      </c>
      <c r="W901" s="96">
        <f>IF(AND(ISNUMBER(G901),G901&gt;0),1,0)</f>
        <v>0</v>
      </c>
      <c r="X901" s="96" t="str">
        <f>IF(H901="","",IFERROR(IF(ISNUMBER(INDEX(cfg_fac,MATCH(H901,cfg_units,0))),IF(INDEX(cfg_fac,MATCH(H901,cfg_units,0))&gt;0,INDEX(cfg_fac,MATCH(H901,cfg_units,0)),""),""),""))</f>
        <v/>
      </c>
      <c r="Y901" s="96">
        <f>IF(AND(W901=1,ISNUMBER(I901)),1,0)</f>
        <v>0</v>
      </c>
      <c r="Z901" s="96">
        <f>IF(U901=1,INDEX('MTRs'!$AA$6:$AA$505,T901),0)</f>
        <v>0</v>
      </c>
      <c r="AA901" s="96">
        <f>IF(R901=0,0,COUNTIFS('RECEBIMENTOS'!$R$6:$R$1005,A901,'RECEBIMENTOS'!$Q$6:$Q$1005,1))</f>
        <v>0</v>
      </c>
      <c r="AB901" s="96">
        <f>IF(R901=0,0,COUNTIFS('RECEBIMENTOS'!$R$6:$R$1005,A901,'RECEBIMENTOS'!$Z$6:$Z$1005,1))</f>
        <v>0</v>
      </c>
      <c r="AC901" s="96">
        <f>IF(R901=0,0,COUNTIFS('RECEBIMENTOS'!$R$6:$R$1005,A901,'RECEBIMENTOS'!$Y$6:$Y$1005,1))</f>
        <v>0</v>
      </c>
      <c r="AD901" s="96">
        <f>IF(R901=0,0,COUNTIFS('VÍNCULOS_CDF'!$R$6:$R$1005,A901,'VÍNCULOS_CDF'!$N$6:$N$1005,1))</f>
        <v>0</v>
      </c>
      <c r="AE901" s="96">
        <f>IF(R901=0,0,COUNTIFS('VÍNCULOS_CDF'!$R$6:$R$1005,A901,'VÍNCULOS_CDF'!$AA$6:$AA$1005,1))</f>
        <v>0</v>
      </c>
      <c r="AF901" s="96">
        <f>IF(R901=0,0,COUNTIFS('VÍNCULOS_CDF'!$R$6:$R$1005,A901,'VÍNCULOS_CDF'!$Y$6:$Y$1005,1))</f>
        <v>0</v>
      </c>
      <c r="AG901" s="96" t="str">
        <f>IF(AND(R901=1,S901&lt;&gt;"",C901&lt;&gt;""),S901&amp;"|"&amp;C901&amp;"|"&amp;G901&amp;"|"&amp;H901,"")</f>
        <v/>
      </c>
      <c r="AH901" s="96">
        <f>IF(AG901="",0,IF(SUMPRODUCT(--($AG$6:$AG$1005=AG901))&gt;1,1,0))</f>
        <v>0</v>
      </c>
      <c r="AI901" s="96">
        <f>IF(R901=0,0,IF(OR(U901=0,V901=0,Y901=0,AND(AH901=1,K901&lt;&gt;"Sim")),1,0))</f>
        <v>0</v>
      </c>
      <c r="AJ901" s="96">
        <f>IF(AND(R901=1,AA901&gt;0,AB901=AA901),1,0)</f>
        <v>0</v>
      </c>
      <c r="AK901" s="96">
        <f>IF(R901=0,0,IF(AA901&gt;0,N(L901),IF(ISNUMBER(I901),I901,0)))</f>
        <v>0</v>
      </c>
      <c r="AL901" s="96">
        <f>IF(R901=0,0,IF(AND(K901&lt;&gt;"Sim",N(M901)&gt;AK901+cfg_tol),1,0))</f>
        <v>0</v>
      </c>
      <c r="AM901" s="96">
        <f>IF(R901=0,0,IF(K901="Sim",0,IF(OR(AND(AA901&gt;0,ISNUMBER(I901),ABS(I901-N(L901))&gt;cfg_tol),AL901=1),1,0)))</f>
        <v>0</v>
      </c>
      <c r="AN901" s="96">
        <f>IF(AND(R901=1,N(M901)&gt;0,OR(N(M901)&gt;=AK901-cfg_tol,K901="Sim")),1,0)</f>
        <v>0</v>
      </c>
      <c r="AO901" s="96">
        <f>IF(AND(AN901=1,AD901&gt;0,AE901=AD901,AL901=0),1,0)</f>
        <v>0</v>
      </c>
      <c r="AP901" s="96">
        <f>IF(U901=0,0,IF(AND(INDEX('MTRs'!$AX$6:$AX$505,T901)=1,Z901=0,OR(f_res="",f_res="(Todos)",C901=f_res)),1,0))</f>
        <v>0</v>
      </c>
      <c r="AQ901" s="97" t="str">
        <f>IF(U901=0,"",INDEX('MTRs'!$AZ$6:$AZ$505,T901))</f>
        <v/>
      </c>
      <c r="AR901" s="96">
        <f>IF(U901=0,0,IF(AND(INDEX('MTRs'!$BA$6:$BA$505,T901)=1,Z901=0),1,0))</f>
        <v>0</v>
      </c>
      <c r="AS901" s="96" t="str">
        <f>IF(R901=1,A901&amp;" | MTR "&amp;IF(U901=1,INDEX('MTRs'!$B$6:$B$505,T901)&amp;"","?")&amp;" | "&amp;IF(C901="","(sem resíduo)",C901),"")</f>
        <v/>
      </c>
      <c r="AT901" s="96" t="str">
        <f>IF(R901=1,COUNTIF($R$6:R901,1),"")</f>
        <v/>
      </c>
      <c r="AU901" s="96" t="str">
        <f>IF(U901=1,INDEX('MTRs'!$I$6:$I$505,T901)&amp;"","")</f>
        <v/>
      </c>
    </row>
    <row r="902">
      <c r="A902" s="89" t="inlineStr">
        <is>
          <t>IT-000897</t>
        </is>
      </c>
      <c r="B902" s="91" t="n"/>
      <c r="C902" s="91" t="n"/>
      <c r="D902" s="94" t="str">
        <f>IF(OR(R902=0,V902=0),"",INDEX('CAD_RESÍDUOS'!$E$6:$E$205,MATCH(C902,'CAD_RESÍDUOS'!$B$6:$B$205,0))&amp;"")</f>
        <v/>
      </c>
      <c r="E902" s="94" t="str">
        <f>IF(OR(R902=0,V902=0),"",INDEX('CAD_RESÍDUOS'!$C$6:$C$205,MATCH(C902,'CAD_RESÍDUOS'!$B$6:$B$205,0))&amp;"")</f>
        <v/>
      </c>
      <c r="F902" s="94" t="str">
        <f>IF(OR(R902=0,V902=0),"",INDEX('CAD_RESÍDUOS'!$G$6:$G$205,MATCH(C902,'CAD_RESÍDUOS'!$B$6:$B$205,0))&amp;"")</f>
        <v/>
      </c>
      <c r="G902" s="98" t="n"/>
      <c r="H902" s="91" t="n"/>
      <c r="I902" s="93" t="str">
        <f>IF(R902=0,"",IF(NOT(ISNUMBER(G902)),"",IF(ISNUMBER(X902),G902*X902,"UNIDADE A CONFERIR")))</f>
        <v/>
      </c>
      <c r="J902" s="91" t="n"/>
      <c r="K902" s="91" t="n"/>
      <c r="L902" s="93" t="str">
        <f>IF(R902=0,"",SUMIFS('RECEBIMENTOS'!$H$6:$H$1005,'RECEBIMENTOS'!$R$6:$R$1005,A902,'RECEBIMENTOS'!$X$6:$X$1005,1))</f>
        <v/>
      </c>
      <c r="M902" s="93" t="str">
        <f>IF(R902=0,"",SUMIFS('VÍNCULOS_CDF'!$H$6:$H$1005,'VÍNCULOS_CDF'!$R$6:$R$1005,A902,'VÍNCULOS_CDF'!$V$6:$V$1005,1))</f>
        <v/>
      </c>
      <c r="N902" s="99" t="str">
        <f>IF(OR(R902=0,AA902=0,NOT(ISNUMBER(I902))),"",I902-N(L902))</f>
        <v/>
      </c>
      <c r="O902" s="100" t="str">
        <f>IF(OR(R902=0,AK902&lt;=0),"",N(M902)/AK902)</f>
        <v/>
      </c>
      <c r="P902" s="94" t="str">
        <f>IF(R902=0,"",IF(S902="","Sem MTR associado",IF(U902=0,"MTR inexistente",IF(C902="","Resíduo não identificado",IF(V902=0,"Resíduo fora do cadastro",IF(W902=0,"Quantidade inválida",IF(H902="","Unidade não informada",IF(NOT(ISNUMBER(I902)),"Unidade a conferir",IF(AND(AH902=1,K902&lt;&gt;"Sim"),"Possível duplicidade",IF(Z902=1,"MTR cancelado",IF(AC902&gt;0,"Recebimento com alerta",IF(AA902=0,"Aguardando recebimento",IF(AB902&lt;AA902,"Recebimento a conferir",IF(AM902=1,"Quantidade a revisar",IF(AF902&gt;0,"Vínculo a revisar",IF(AD902=0,"Aguardando CDF",IF(AN902=0,"Vínculo de CDF parcial",IF(AE902&lt;AD902,"CDF a conferir","Documentação conferida"))))))))))))))))))</f>
        <v/>
      </c>
      <c r="Q902" s="93" t="str">
        <f>IF(OR(R902=0,AA902=0),"",MAX(0,N(L902)-N(M902)))</f>
        <v/>
      </c>
      <c r="R902" s="96">
        <f>IF(COUNTA(B902:C902,G902:H902,J902:K902)&gt;0,1,0)</f>
        <v>0</v>
      </c>
      <c r="S902" s="96" t="str">
        <f>IF(B902="","",TRIM(LEFT(B902,FIND(" |",B902&amp;" |")-1)))</f>
        <v/>
      </c>
      <c r="T902" s="96" t="str">
        <f>IF(S902="","",IFERROR(MATCH(S902,'MTRs'!$A$6:$A$505,0),""))</f>
        <v/>
      </c>
      <c r="U902" s="96">
        <f>IF(T902="",0,IF(INDEX('MTRs'!$Z$6:$Z$505,T902)=1,1,0))</f>
        <v>0</v>
      </c>
      <c r="V902" s="96">
        <f>IF(C902="",0,IF(ISNUMBER(MATCH(C902,'CAD_RESÍDUOS'!$B$6:$B$205,0)),1,0))</f>
        <v>0</v>
      </c>
      <c r="W902" s="96">
        <f>IF(AND(ISNUMBER(G902),G902&gt;0),1,0)</f>
        <v>0</v>
      </c>
      <c r="X902" s="96" t="str">
        <f>IF(H902="","",IFERROR(IF(ISNUMBER(INDEX(cfg_fac,MATCH(H902,cfg_units,0))),IF(INDEX(cfg_fac,MATCH(H902,cfg_units,0))&gt;0,INDEX(cfg_fac,MATCH(H902,cfg_units,0)),""),""),""))</f>
        <v/>
      </c>
      <c r="Y902" s="96">
        <f>IF(AND(W902=1,ISNUMBER(I902)),1,0)</f>
        <v>0</v>
      </c>
      <c r="Z902" s="96">
        <f>IF(U902=1,INDEX('MTRs'!$AA$6:$AA$505,T902),0)</f>
        <v>0</v>
      </c>
      <c r="AA902" s="96">
        <f>IF(R902=0,0,COUNTIFS('RECEBIMENTOS'!$R$6:$R$1005,A902,'RECEBIMENTOS'!$Q$6:$Q$1005,1))</f>
        <v>0</v>
      </c>
      <c r="AB902" s="96">
        <f>IF(R902=0,0,COUNTIFS('RECEBIMENTOS'!$R$6:$R$1005,A902,'RECEBIMENTOS'!$Z$6:$Z$1005,1))</f>
        <v>0</v>
      </c>
      <c r="AC902" s="96">
        <f>IF(R902=0,0,COUNTIFS('RECEBIMENTOS'!$R$6:$R$1005,A902,'RECEBIMENTOS'!$Y$6:$Y$1005,1))</f>
        <v>0</v>
      </c>
      <c r="AD902" s="96">
        <f>IF(R902=0,0,COUNTIFS('VÍNCULOS_CDF'!$R$6:$R$1005,A902,'VÍNCULOS_CDF'!$N$6:$N$1005,1))</f>
        <v>0</v>
      </c>
      <c r="AE902" s="96">
        <f>IF(R902=0,0,COUNTIFS('VÍNCULOS_CDF'!$R$6:$R$1005,A902,'VÍNCULOS_CDF'!$AA$6:$AA$1005,1))</f>
        <v>0</v>
      </c>
      <c r="AF902" s="96">
        <f>IF(R902=0,0,COUNTIFS('VÍNCULOS_CDF'!$R$6:$R$1005,A902,'VÍNCULOS_CDF'!$Y$6:$Y$1005,1))</f>
        <v>0</v>
      </c>
      <c r="AG902" s="96" t="str">
        <f>IF(AND(R902=1,S902&lt;&gt;"",C902&lt;&gt;""),S902&amp;"|"&amp;C902&amp;"|"&amp;G902&amp;"|"&amp;H902,"")</f>
        <v/>
      </c>
      <c r="AH902" s="96">
        <f>IF(AG902="",0,IF(SUMPRODUCT(--($AG$6:$AG$1005=AG902))&gt;1,1,0))</f>
        <v>0</v>
      </c>
      <c r="AI902" s="96">
        <f>IF(R902=0,0,IF(OR(U902=0,V902=0,Y902=0,AND(AH902=1,K902&lt;&gt;"Sim")),1,0))</f>
        <v>0</v>
      </c>
      <c r="AJ902" s="96">
        <f>IF(AND(R902=1,AA902&gt;0,AB902=AA902),1,0)</f>
        <v>0</v>
      </c>
      <c r="AK902" s="96">
        <f>IF(R902=0,0,IF(AA902&gt;0,N(L902),IF(ISNUMBER(I902),I902,0)))</f>
        <v>0</v>
      </c>
      <c r="AL902" s="96">
        <f>IF(R902=0,0,IF(AND(K902&lt;&gt;"Sim",N(M902)&gt;AK902+cfg_tol),1,0))</f>
        <v>0</v>
      </c>
      <c r="AM902" s="96">
        <f>IF(R902=0,0,IF(K902="Sim",0,IF(OR(AND(AA902&gt;0,ISNUMBER(I902),ABS(I902-N(L902))&gt;cfg_tol),AL902=1),1,0)))</f>
        <v>0</v>
      </c>
      <c r="AN902" s="96">
        <f>IF(AND(R902=1,N(M902)&gt;0,OR(N(M902)&gt;=AK902-cfg_tol,K902="Sim")),1,0)</f>
        <v>0</v>
      </c>
      <c r="AO902" s="96">
        <f>IF(AND(AN902=1,AD902&gt;0,AE902=AD902,AL902=0),1,0)</f>
        <v>0</v>
      </c>
      <c r="AP902" s="96">
        <f>IF(U902=0,0,IF(AND(INDEX('MTRs'!$AX$6:$AX$505,T902)=1,Z902=0,OR(f_res="",f_res="(Todos)",C902=f_res)),1,0))</f>
        <v>0</v>
      </c>
      <c r="AQ902" s="97" t="str">
        <f>IF(U902=0,"",INDEX('MTRs'!$AZ$6:$AZ$505,T902))</f>
        <v/>
      </c>
      <c r="AR902" s="96">
        <f>IF(U902=0,0,IF(AND(INDEX('MTRs'!$BA$6:$BA$505,T902)=1,Z902=0),1,0))</f>
        <v>0</v>
      </c>
      <c r="AS902" s="96" t="str">
        <f>IF(R902=1,A902&amp;" | MTR "&amp;IF(U902=1,INDEX('MTRs'!$B$6:$B$505,T902)&amp;"","?")&amp;" | "&amp;IF(C902="","(sem resíduo)",C902),"")</f>
        <v/>
      </c>
      <c r="AT902" s="96" t="str">
        <f>IF(R902=1,COUNTIF($R$6:R902,1),"")</f>
        <v/>
      </c>
      <c r="AU902" s="96" t="str">
        <f>IF(U902=1,INDEX('MTRs'!$I$6:$I$505,T902)&amp;"","")</f>
        <v/>
      </c>
    </row>
    <row r="903">
      <c r="A903" s="89" t="inlineStr">
        <is>
          <t>IT-000898</t>
        </is>
      </c>
      <c r="B903" s="91" t="n"/>
      <c r="C903" s="91" t="n"/>
      <c r="D903" s="94" t="str">
        <f>IF(OR(R903=0,V903=0),"",INDEX('CAD_RESÍDUOS'!$E$6:$E$205,MATCH(C903,'CAD_RESÍDUOS'!$B$6:$B$205,0))&amp;"")</f>
        <v/>
      </c>
      <c r="E903" s="94" t="str">
        <f>IF(OR(R903=0,V903=0),"",INDEX('CAD_RESÍDUOS'!$C$6:$C$205,MATCH(C903,'CAD_RESÍDUOS'!$B$6:$B$205,0))&amp;"")</f>
        <v/>
      </c>
      <c r="F903" s="94" t="str">
        <f>IF(OR(R903=0,V903=0),"",INDEX('CAD_RESÍDUOS'!$G$6:$G$205,MATCH(C903,'CAD_RESÍDUOS'!$B$6:$B$205,0))&amp;"")</f>
        <v/>
      </c>
      <c r="G903" s="98" t="n"/>
      <c r="H903" s="91" t="n"/>
      <c r="I903" s="93" t="str">
        <f>IF(R903=0,"",IF(NOT(ISNUMBER(G903)),"",IF(ISNUMBER(X903),G903*X903,"UNIDADE A CONFERIR")))</f>
        <v/>
      </c>
      <c r="J903" s="91" t="n"/>
      <c r="K903" s="91" t="n"/>
      <c r="L903" s="93" t="str">
        <f>IF(R903=0,"",SUMIFS('RECEBIMENTOS'!$H$6:$H$1005,'RECEBIMENTOS'!$R$6:$R$1005,A903,'RECEBIMENTOS'!$X$6:$X$1005,1))</f>
        <v/>
      </c>
      <c r="M903" s="93" t="str">
        <f>IF(R903=0,"",SUMIFS('VÍNCULOS_CDF'!$H$6:$H$1005,'VÍNCULOS_CDF'!$R$6:$R$1005,A903,'VÍNCULOS_CDF'!$V$6:$V$1005,1))</f>
        <v/>
      </c>
      <c r="N903" s="99" t="str">
        <f>IF(OR(R903=0,AA903=0,NOT(ISNUMBER(I903))),"",I903-N(L903))</f>
        <v/>
      </c>
      <c r="O903" s="100" t="str">
        <f>IF(OR(R903=0,AK903&lt;=0),"",N(M903)/AK903)</f>
        <v/>
      </c>
      <c r="P903" s="94" t="str">
        <f>IF(R903=0,"",IF(S903="","Sem MTR associado",IF(U903=0,"MTR inexistente",IF(C903="","Resíduo não identificado",IF(V903=0,"Resíduo fora do cadastro",IF(W903=0,"Quantidade inválida",IF(H903="","Unidade não informada",IF(NOT(ISNUMBER(I903)),"Unidade a conferir",IF(AND(AH903=1,K903&lt;&gt;"Sim"),"Possível duplicidade",IF(Z903=1,"MTR cancelado",IF(AC903&gt;0,"Recebimento com alerta",IF(AA903=0,"Aguardando recebimento",IF(AB903&lt;AA903,"Recebimento a conferir",IF(AM903=1,"Quantidade a revisar",IF(AF903&gt;0,"Vínculo a revisar",IF(AD903=0,"Aguardando CDF",IF(AN903=0,"Vínculo de CDF parcial",IF(AE903&lt;AD903,"CDF a conferir","Documentação conferida"))))))))))))))))))</f>
        <v/>
      </c>
      <c r="Q903" s="93" t="str">
        <f>IF(OR(R903=0,AA903=0),"",MAX(0,N(L903)-N(M903)))</f>
        <v/>
      </c>
      <c r="R903" s="96">
        <f>IF(COUNTA(B903:C903,G903:H903,J903:K903)&gt;0,1,0)</f>
        <v>0</v>
      </c>
      <c r="S903" s="96" t="str">
        <f>IF(B903="","",TRIM(LEFT(B903,FIND(" |",B903&amp;" |")-1)))</f>
        <v/>
      </c>
      <c r="T903" s="96" t="str">
        <f>IF(S903="","",IFERROR(MATCH(S903,'MTRs'!$A$6:$A$505,0),""))</f>
        <v/>
      </c>
      <c r="U903" s="96">
        <f>IF(T903="",0,IF(INDEX('MTRs'!$Z$6:$Z$505,T903)=1,1,0))</f>
        <v>0</v>
      </c>
      <c r="V903" s="96">
        <f>IF(C903="",0,IF(ISNUMBER(MATCH(C903,'CAD_RESÍDUOS'!$B$6:$B$205,0)),1,0))</f>
        <v>0</v>
      </c>
      <c r="W903" s="96">
        <f>IF(AND(ISNUMBER(G903),G903&gt;0),1,0)</f>
        <v>0</v>
      </c>
      <c r="X903" s="96" t="str">
        <f>IF(H903="","",IFERROR(IF(ISNUMBER(INDEX(cfg_fac,MATCH(H903,cfg_units,0))),IF(INDEX(cfg_fac,MATCH(H903,cfg_units,0))&gt;0,INDEX(cfg_fac,MATCH(H903,cfg_units,0)),""),""),""))</f>
        <v/>
      </c>
      <c r="Y903" s="96">
        <f>IF(AND(W903=1,ISNUMBER(I903)),1,0)</f>
        <v>0</v>
      </c>
      <c r="Z903" s="96">
        <f>IF(U903=1,INDEX('MTRs'!$AA$6:$AA$505,T903),0)</f>
        <v>0</v>
      </c>
      <c r="AA903" s="96">
        <f>IF(R903=0,0,COUNTIFS('RECEBIMENTOS'!$R$6:$R$1005,A903,'RECEBIMENTOS'!$Q$6:$Q$1005,1))</f>
        <v>0</v>
      </c>
      <c r="AB903" s="96">
        <f>IF(R903=0,0,COUNTIFS('RECEBIMENTOS'!$R$6:$R$1005,A903,'RECEBIMENTOS'!$Z$6:$Z$1005,1))</f>
        <v>0</v>
      </c>
      <c r="AC903" s="96">
        <f>IF(R903=0,0,COUNTIFS('RECEBIMENTOS'!$R$6:$R$1005,A903,'RECEBIMENTOS'!$Y$6:$Y$1005,1))</f>
        <v>0</v>
      </c>
      <c r="AD903" s="96">
        <f>IF(R903=0,0,COUNTIFS('VÍNCULOS_CDF'!$R$6:$R$1005,A903,'VÍNCULOS_CDF'!$N$6:$N$1005,1))</f>
        <v>0</v>
      </c>
      <c r="AE903" s="96">
        <f>IF(R903=0,0,COUNTIFS('VÍNCULOS_CDF'!$R$6:$R$1005,A903,'VÍNCULOS_CDF'!$AA$6:$AA$1005,1))</f>
        <v>0</v>
      </c>
      <c r="AF903" s="96">
        <f>IF(R903=0,0,COUNTIFS('VÍNCULOS_CDF'!$R$6:$R$1005,A903,'VÍNCULOS_CDF'!$Y$6:$Y$1005,1))</f>
        <v>0</v>
      </c>
      <c r="AG903" s="96" t="str">
        <f>IF(AND(R903=1,S903&lt;&gt;"",C903&lt;&gt;""),S903&amp;"|"&amp;C903&amp;"|"&amp;G903&amp;"|"&amp;H903,"")</f>
        <v/>
      </c>
      <c r="AH903" s="96">
        <f>IF(AG903="",0,IF(SUMPRODUCT(--($AG$6:$AG$1005=AG903))&gt;1,1,0))</f>
        <v>0</v>
      </c>
      <c r="AI903" s="96">
        <f>IF(R903=0,0,IF(OR(U903=0,V903=0,Y903=0,AND(AH903=1,K903&lt;&gt;"Sim")),1,0))</f>
        <v>0</v>
      </c>
      <c r="AJ903" s="96">
        <f>IF(AND(R903=1,AA903&gt;0,AB903=AA903),1,0)</f>
        <v>0</v>
      </c>
      <c r="AK903" s="96">
        <f>IF(R903=0,0,IF(AA903&gt;0,N(L903),IF(ISNUMBER(I903),I903,0)))</f>
        <v>0</v>
      </c>
      <c r="AL903" s="96">
        <f>IF(R903=0,0,IF(AND(K903&lt;&gt;"Sim",N(M903)&gt;AK903+cfg_tol),1,0))</f>
        <v>0</v>
      </c>
      <c r="AM903" s="96">
        <f>IF(R903=0,0,IF(K903="Sim",0,IF(OR(AND(AA903&gt;0,ISNUMBER(I903),ABS(I903-N(L903))&gt;cfg_tol),AL903=1),1,0)))</f>
        <v>0</v>
      </c>
      <c r="AN903" s="96">
        <f>IF(AND(R903=1,N(M903)&gt;0,OR(N(M903)&gt;=AK903-cfg_tol,K903="Sim")),1,0)</f>
        <v>0</v>
      </c>
      <c r="AO903" s="96">
        <f>IF(AND(AN903=1,AD903&gt;0,AE903=AD903,AL903=0),1,0)</f>
        <v>0</v>
      </c>
      <c r="AP903" s="96">
        <f>IF(U903=0,0,IF(AND(INDEX('MTRs'!$AX$6:$AX$505,T903)=1,Z903=0,OR(f_res="",f_res="(Todos)",C903=f_res)),1,0))</f>
        <v>0</v>
      </c>
      <c r="AQ903" s="97" t="str">
        <f>IF(U903=0,"",INDEX('MTRs'!$AZ$6:$AZ$505,T903))</f>
        <v/>
      </c>
      <c r="AR903" s="96">
        <f>IF(U903=0,0,IF(AND(INDEX('MTRs'!$BA$6:$BA$505,T903)=1,Z903=0),1,0))</f>
        <v>0</v>
      </c>
      <c r="AS903" s="96" t="str">
        <f>IF(R903=1,A903&amp;" | MTR "&amp;IF(U903=1,INDEX('MTRs'!$B$6:$B$505,T903)&amp;"","?")&amp;" | "&amp;IF(C903="","(sem resíduo)",C903),"")</f>
        <v/>
      </c>
      <c r="AT903" s="96" t="str">
        <f>IF(R903=1,COUNTIF($R$6:R903,1),"")</f>
        <v/>
      </c>
      <c r="AU903" s="96" t="str">
        <f>IF(U903=1,INDEX('MTRs'!$I$6:$I$505,T903)&amp;"","")</f>
        <v/>
      </c>
    </row>
    <row r="904">
      <c r="A904" s="89" t="inlineStr">
        <is>
          <t>IT-000899</t>
        </is>
      </c>
      <c r="B904" s="91" t="n"/>
      <c r="C904" s="91" t="n"/>
      <c r="D904" s="94" t="str">
        <f>IF(OR(R904=0,V904=0),"",INDEX('CAD_RESÍDUOS'!$E$6:$E$205,MATCH(C904,'CAD_RESÍDUOS'!$B$6:$B$205,0))&amp;"")</f>
        <v/>
      </c>
      <c r="E904" s="94" t="str">
        <f>IF(OR(R904=0,V904=0),"",INDEX('CAD_RESÍDUOS'!$C$6:$C$205,MATCH(C904,'CAD_RESÍDUOS'!$B$6:$B$205,0))&amp;"")</f>
        <v/>
      </c>
      <c r="F904" s="94" t="str">
        <f>IF(OR(R904=0,V904=0),"",INDEX('CAD_RESÍDUOS'!$G$6:$G$205,MATCH(C904,'CAD_RESÍDUOS'!$B$6:$B$205,0))&amp;"")</f>
        <v/>
      </c>
      <c r="G904" s="98" t="n"/>
      <c r="H904" s="91" t="n"/>
      <c r="I904" s="93" t="str">
        <f>IF(R904=0,"",IF(NOT(ISNUMBER(G904)),"",IF(ISNUMBER(X904),G904*X904,"UNIDADE A CONFERIR")))</f>
        <v/>
      </c>
      <c r="J904" s="91" t="n"/>
      <c r="K904" s="91" t="n"/>
      <c r="L904" s="93" t="str">
        <f>IF(R904=0,"",SUMIFS('RECEBIMENTOS'!$H$6:$H$1005,'RECEBIMENTOS'!$R$6:$R$1005,A904,'RECEBIMENTOS'!$X$6:$X$1005,1))</f>
        <v/>
      </c>
      <c r="M904" s="93" t="str">
        <f>IF(R904=0,"",SUMIFS('VÍNCULOS_CDF'!$H$6:$H$1005,'VÍNCULOS_CDF'!$R$6:$R$1005,A904,'VÍNCULOS_CDF'!$V$6:$V$1005,1))</f>
        <v/>
      </c>
      <c r="N904" s="99" t="str">
        <f>IF(OR(R904=0,AA904=0,NOT(ISNUMBER(I904))),"",I904-N(L904))</f>
        <v/>
      </c>
      <c r="O904" s="100" t="str">
        <f>IF(OR(R904=0,AK904&lt;=0),"",N(M904)/AK904)</f>
        <v/>
      </c>
      <c r="P904" s="94" t="str">
        <f>IF(R904=0,"",IF(S904="","Sem MTR associado",IF(U904=0,"MTR inexistente",IF(C904="","Resíduo não identificado",IF(V904=0,"Resíduo fora do cadastro",IF(W904=0,"Quantidade inválida",IF(H904="","Unidade não informada",IF(NOT(ISNUMBER(I904)),"Unidade a conferir",IF(AND(AH904=1,K904&lt;&gt;"Sim"),"Possível duplicidade",IF(Z904=1,"MTR cancelado",IF(AC904&gt;0,"Recebimento com alerta",IF(AA904=0,"Aguardando recebimento",IF(AB904&lt;AA904,"Recebimento a conferir",IF(AM904=1,"Quantidade a revisar",IF(AF904&gt;0,"Vínculo a revisar",IF(AD904=0,"Aguardando CDF",IF(AN904=0,"Vínculo de CDF parcial",IF(AE904&lt;AD904,"CDF a conferir","Documentação conferida"))))))))))))))))))</f>
        <v/>
      </c>
      <c r="Q904" s="93" t="str">
        <f>IF(OR(R904=0,AA904=0),"",MAX(0,N(L904)-N(M904)))</f>
        <v/>
      </c>
      <c r="R904" s="96">
        <f>IF(COUNTA(B904:C904,G904:H904,J904:K904)&gt;0,1,0)</f>
        <v>0</v>
      </c>
      <c r="S904" s="96" t="str">
        <f>IF(B904="","",TRIM(LEFT(B904,FIND(" |",B904&amp;" |")-1)))</f>
        <v/>
      </c>
      <c r="T904" s="96" t="str">
        <f>IF(S904="","",IFERROR(MATCH(S904,'MTRs'!$A$6:$A$505,0),""))</f>
        <v/>
      </c>
      <c r="U904" s="96">
        <f>IF(T904="",0,IF(INDEX('MTRs'!$Z$6:$Z$505,T904)=1,1,0))</f>
        <v>0</v>
      </c>
      <c r="V904" s="96">
        <f>IF(C904="",0,IF(ISNUMBER(MATCH(C904,'CAD_RESÍDUOS'!$B$6:$B$205,0)),1,0))</f>
        <v>0</v>
      </c>
      <c r="W904" s="96">
        <f>IF(AND(ISNUMBER(G904),G904&gt;0),1,0)</f>
        <v>0</v>
      </c>
      <c r="X904" s="96" t="str">
        <f>IF(H904="","",IFERROR(IF(ISNUMBER(INDEX(cfg_fac,MATCH(H904,cfg_units,0))),IF(INDEX(cfg_fac,MATCH(H904,cfg_units,0))&gt;0,INDEX(cfg_fac,MATCH(H904,cfg_units,0)),""),""),""))</f>
        <v/>
      </c>
      <c r="Y904" s="96">
        <f>IF(AND(W904=1,ISNUMBER(I904)),1,0)</f>
        <v>0</v>
      </c>
      <c r="Z904" s="96">
        <f>IF(U904=1,INDEX('MTRs'!$AA$6:$AA$505,T904),0)</f>
        <v>0</v>
      </c>
      <c r="AA904" s="96">
        <f>IF(R904=0,0,COUNTIFS('RECEBIMENTOS'!$R$6:$R$1005,A904,'RECEBIMENTOS'!$Q$6:$Q$1005,1))</f>
        <v>0</v>
      </c>
      <c r="AB904" s="96">
        <f>IF(R904=0,0,COUNTIFS('RECEBIMENTOS'!$R$6:$R$1005,A904,'RECEBIMENTOS'!$Z$6:$Z$1005,1))</f>
        <v>0</v>
      </c>
      <c r="AC904" s="96">
        <f>IF(R904=0,0,COUNTIFS('RECEBIMENTOS'!$R$6:$R$1005,A904,'RECEBIMENTOS'!$Y$6:$Y$1005,1))</f>
        <v>0</v>
      </c>
      <c r="AD904" s="96">
        <f>IF(R904=0,0,COUNTIFS('VÍNCULOS_CDF'!$R$6:$R$1005,A904,'VÍNCULOS_CDF'!$N$6:$N$1005,1))</f>
        <v>0</v>
      </c>
      <c r="AE904" s="96">
        <f>IF(R904=0,0,COUNTIFS('VÍNCULOS_CDF'!$R$6:$R$1005,A904,'VÍNCULOS_CDF'!$AA$6:$AA$1005,1))</f>
        <v>0</v>
      </c>
      <c r="AF904" s="96">
        <f>IF(R904=0,0,COUNTIFS('VÍNCULOS_CDF'!$R$6:$R$1005,A904,'VÍNCULOS_CDF'!$Y$6:$Y$1005,1))</f>
        <v>0</v>
      </c>
      <c r="AG904" s="96" t="str">
        <f>IF(AND(R904=1,S904&lt;&gt;"",C904&lt;&gt;""),S904&amp;"|"&amp;C904&amp;"|"&amp;G904&amp;"|"&amp;H904,"")</f>
        <v/>
      </c>
      <c r="AH904" s="96">
        <f>IF(AG904="",0,IF(SUMPRODUCT(--($AG$6:$AG$1005=AG904))&gt;1,1,0))</f>
        <v>0</v>
      </c>
      <c r="AI904" s="96">
        <f>IF(R904=0,0,IF(OR(U904=0,V904=0,Y904=0,AND(AH904=1,K904&lt;&gt;"Sim")),1,0))</f>
        <v>0</v>
      </c>
      <c r="AJ904" s="96">
        <f>IF(AND(R904=1,AA904&gt;0,AB904=AA904),1,0)</f>
        <v>0</v>
      </c>
      <c r="AK904" s="96">
        <f>IF(R904=0,0,IF(AA904&gt;0,N(L904),IF(ISNUMBER(I904),I904,0)))</f>
        <v>0</v>
      </c>
      <c r="AL904" s="96">
        <f>IF(R904=0,0,IF(AND(K904&lt;&gt;"Sim",N(M904)&gt;AK904+cfg_tol),1,0))</f>
        <v>0</v>
      </c>
      <c r="AM904" s="96">
        <f>IF(R904=0,0,IF(K904="Sim",0,IF(OR(AND(AA904&gt;0,ISNUMBER(I904),ABS(I904-N(L904))&gt;cfg_tol),AL904=1),1,0)))</f>
        <v>0</v>
      </c>
      <c r="AN904" s="96">
        <f>IF(AND(R904=1,N(M904)&gt;0,OR(N(M904)&gt;=AK904-cfg_tol,K904="Sim")),1,0)</f>
        <v>0</v>
      </c>
      <c r="AO904" s="96">
        <f>IF(AND(AN904=1,AD904&gt;0,AE904=AD904,AL904=0),1,0)</f>
        <v>0</v>
      </c>
      <c r="AP904" s="96">
        <f>IF(U904=0,0,IF(AND(INDEX('MTRs'!$AX$6:$AX$505,T904)=1,Z904=0,OR(f_res="",f_res="(Todos)",C904=f_res)),1,0))</f>
        <v>0</v>
      </c>
      <c r="AQ904" s="97" t="str">
        <f>IF(U904=0,"",INDEX('MTRs'!$AZ$6:$AZ$505,T904))</f>
        <v/>
      </c>
      <c r="AR904" s="96">
        <f>IF(U904=0,0,IF(AND(INDEX('MTRs'!$BA$6:$BA$505,T904)=1,Z904=0),1,0))</f>
        <v>0</v>
      </c>
      <c r="AS904" s="96" t="str">
        <f>IF(R904=1,A904&amp;" | MTR "&amp;IF(U904=1,INDEX('MTRs'!$B$6:$B$505,T904)&amp;"","?")&amp;" | "&amp;IF(C904="","(sem resíduo)",C904),"")</f>
        <v/>
      </c>
      <c r="AT904" s="96" t="str">
        <f>IF(R904=1,COUNTIF($R$6:R904,1),"")</f>
        <v/>
      </c>
      <c r="AU904" s="96" t="str">
        <f>IF(U904=1,INDEX('MTRs'!$I$6:$I$505,T904)&amp;"","")</f>
        <v/>
      </c>
    </row>
    <row r="905">
      <c r="A905" s="89" t="inlineStr">
        <is>
          <t>IT-000900</t>
        </is>
      </c>
      <c r="B905" s="91" t="n"/>
      <c r="C905" s="91" t="n"/>
      <c r="D905" s="94" t="str">
        <f>IF(OR(R905=0,V905=0),"",INDEX('CAD_RESÍDUOS'!$E$6:$E$205,MATCH(C905,'CAD_RESÍDUOS'!$B$6:$B$205,0))&amp;"")</f>
        <v/>
      </c>
      <c r="E905" s="94" t="str">
        <f>IF(OR(R905=0,V905=0),"",INDEX('CAD_RESÍDUOS'!$C$6:$C$205,MATCH(C905,'CAD_RESÍDUOS'!$B$6:$B$205,0))&amp;"")</f>
        <v/>
      </c>
      <c r="F905" s="94" t="str">
        <f>IF(OR(R905=0,V905=0),"",INDEX('CAD_RESÍDUOS'!$G$6:$G$205,MATCH(C905,'CAD_RESÍDUOS'!$B$6:$B$205,0))&amp;"")</f>
        <v/>
      </c>
      <c r="G905" s="98" t="n"/>
      <c r="H905" s="91" t="n"/>
      <c r="I905" s="93" t="str">
        <f>IF(R905=0,"",IF(NOT(ISNUMBER(G905)),"",IF(ISNUMBER(X905),G905*X905,"UNIDADE A CONFERIR")))</f>
        <v/>
      </c>
      <c r="J905" s="91" t="n"/>
      <c r="K905" s="91" t="n"/>
      <c r="L905" s="93" t="str">
        <f>IF(R905=0,"",SUMIFS('RECEBIMENTOS'!$H$6:$H$1005,'RECEBIMENTOS'!$R$6:$R$1005,A905,'RECEBIMENTOS'!$X$6:$X$1005,1))</f>
        <v/>
      </c>
      <c r="M905" s="93" t="str">
        <f>IF(R905=0,"",SUMIFS('VÍNCULOS_CDF'!$H$6:$H$1005,'VÍNCULOS_CDF'!$R$6:$R$1005,A905,'VÍNCULOS_CDF'!$V$6:$V$1005,1))</f>
        <v/>
      </c>
      <c r="N905" s="99" t="str">
        <f>IF(OR(R905=0,AA905=0,NOT(ISNUMBER(I905))),"",I905-N(L905))</f>
        <v/>
      </c>
      <c r="O905" s="100" t="str">
        <f>IF(OR(R905=0,AK905&lt;=0),"",N(M905)/AK905)</f>
        <v/>
      </c>
      <c r="P905" s="94" t="str">
        <f>IF(R905=0,"",IF(S905="","Sem MTR associado",IF(U905=0,"MTR inexistente",IF(C905="","Resíduo não identificado",IF(V905=0,"Resíduo fora do cadastro",IF(W905=0,"Quantidade inválida",IF(H905="","Unidade não informada",IF(NOT(ISNUMBER(I905)),"Unidade a conferir",IF(AND(AH905=1,K905&lt;&gt;"Sim"),"Possível duplicidade",IF(Z905=1,"MTR cancelado",IF(AC905&gt;0,"Recebimento com alerta",IF(AA905=0,"Aguardando recebimento",IF(AB905&lt;AA905,"Recebimento a conferir",IF(AM905=1,"Quantidade a revisar",IF(AF905&gt;0,"Vínculo a revisar",IF(AD905=0,"Aguardando CDF",IF(AN905=0,"Vínculo de CDF parcial",IF(AE905&lt;AD905,"CDF a conferir","Documentação conferida"))))))))))))))))))</f>
        <v/>
      </c>
      <c r="Q905" s="93" t="str">
        <f>IF(OR(R905=0,AA905=0),"",MAX(0,N(L905)-N(M905)))</f>
        <v/>
      </c>
      <c r="R905" s="96">
        <f>IF(COUNTA(B905:C905,G905:H905,J905:K905)&gt;0,1,0)</f>
        <v>0</v>
      </c>
      <c r="S905" s="96" t="str">
        <f>IF(B905="","",TRIM(LEFT(B905,FIND(" |",B905&amp;" |")-1)))</f>
        <v/>
      </c>
      <c r="T905" s="96" t="str">
        <f>IF(S905="","",IFERROR(MATCH(S905,'MTRs'!$A$6:$A$505,0),""))</f>
        <v/>
      </c>
      <c r="U905" s="96">
        <f>IF(T905="",0,IF(INDEX('MTRs'!$Z$6:$Z$505,T905)=1,1,0))</f>
        <v>0</v>
      </c>
      <c r="V905" s="96">
        <f>IF(C905="",0,IF(ISNUMBER(MATCH(C905,'CAD_RESÍDUOS'!$B$6:$B$205,0)),1,0))</f>
        <v>0</v>
      </c>
      <c r="W905" s="96">
        <f>IF(AND(ISNUMBER(G905),G905&gt;0),1,0)</f>
        <v>0</v>
      </c>
      <c r="X905" s="96" t="str">
        <f>IF(H905="","",IFERROR(IF(ISNUMBER(INDEX(cfg_fac,MATCH(H905,cfg_units,0))),IF(INDEX(cfg_fac,MATCH(H905,cfg_units,0))&gt;0,INDEX(cfg_fac,MATCH(H905,cfg_units,0)),""),""),""))</f>
        <v/>
      </c>
      <c r="Y905" s="96">
        <f>IF(AND(W905=1,ISNUMBER(I905)),1,0)</f>
        <v>0</v>
      </c>
      <c r="Z905" s="96">
        <f>IF(U905=1,INDEX('MTRs'!$AA$6:$AA$505,T905),0)</f>
        <v>0</v>
      </c>
      <c r="AA905" s="96">
        <f>IF(R905=0,0,COUNTIFS('RECEBIMENTOS'!$R$6:$R$1005,A905,'RECEBIMENTOS'!$Q$6:$Q$1005,1))</f>
        <v>0</v>
      </c>
      <c r="AB905" s="96">
        <f>IF(R905=0,0,COUNTIFS('RECEBIMENTOS'!$R$6:$R$1005,A905,'RECEBIMENTOS'!$Z$6:$Z$1005,1))</f>
        <v>0</v>
      </c>
      <c r="AC905" s="96">
        <f>IF(R905=0,0,COUNTIFS('RECEBIMENTOS'!$R$6:$R$1005,A905,'RECEBIMENTOS'!$Y$6:$Y$1005,1))</f>
        <v>0</v>
      </c>
      <c r="AD905" s="96">
        <f>IF(R905=0,0,COUNTIFS('VÍNCULOS_CDF'!$R$6:$R$1005,A905,'VÍNCULOS_CDF'!$N$6:$N$1005,1))</f>
        <v>0</v>
      </c>
      <c r="AE905" s="96">
        <f>IF(R905=0,0,COUNTIFS('VÍNCULOS_CDF'!$R$6:$R$1005,A905,'VÍNCULOS_CDF'!$AA$6:$AA$1005,1))</f>
        <v>0</v>
      </c>
      <c r="AF905" s="96">
        <f>IF(R905=0,0,COUNTIFS('VÍNCULOS_CDF'!$R$6:$R$1005,A905,'VÍNCULOS_CDF'!$Y$6:$Y$1005,1))</f>
        <v>0</v>
      </c>
      <c r="AG905" s="96" t="str">
        <f>IF(AND(R905=1,S905&lt;&gt;"",C905&lt;&gt;""),S905&amp;"|"&amp;C905&amp;"|"&amp;G905&amp;"|"&amp;H905,"")</f>
        <v/>
      </c>
      <c r="AH905" s="96">
        <f>IF(AG905="",0,IF(SUMPRODUCT(--($AG$6:$AG$1005=AG905))&gt;1,1,0))</f>
        <v>0</v>
      </c>
      <c r="AI905" s="96">
        <f>IF(R905=0,0,IF(OR(U905=0,V905=0,Y905=0,AND(AH905=1,K905&lt;&gt;"Sim")),1,0))</f>
        <v>0</v>
      </c>
      <c r="AJ905" s="96">
        <f>IF(AND(R905=1,AA905&gt;0,AB905=AA905),1,0)</f>
        <v>0</v>
      </c>
      <c r="AK905" s="96">
        <f>IF(R905=0,0,IF(AA905&gt;0,N(L905),IF(ISNUMBER(I905),I905,0)))</f>
        <v>0</v>
      </c>
      <c r="AL905" s="96">
        <f>IF(R905=0,0,IF(AND(K905&lt;&gt;"Sim",N(M905)&gt;AK905+cfg_tol),1,0))</f>
        <v>0</v>
      </c>
      <c r="AM905" s="96">
        <f>IF(R905=0,0,IF(K905="Sim",0,IF(OR(AND(AA905&gt;0,ISNUMBER(I905),ABS(I905-N(L905))&gt;cfg_tol),AL905=1),1,0)))</f>
        <v>0</v>
      </c>
      <c r="AN905" s="96">
        <f>IF(AND(R905=1,N(M905)&gt;0,OR(N(M905)&gt;=AK905-cfg_tol,K905="Sim")),1,0)</f>
        <v>0</v>
      </c>
      <c r="AO905" s="96">
        <f>IF(AND(AN905=1,AD905&gt;0,AE905=AD905,AL905=0),1,0)</f>
        <v>0</v>
      </c>
      <c r="AP905" s="96">
        <f>IF(U905=0,0,IF(AND(INDEX('MTRs'!$AX$6:$AX$505,T905)=1,Z905=0,OR(f_res="",f_res="(Todos)",C905=f_res)),1,0))</f>
        <v>0</v>
      </c>
      <c r="AQ905" s="97" t="str">
        <f>IF(U905=0,"",INDEX('MTRs'!$AZ$6:$AZ$505,T905))</f>
        <v/>
      </c>
      <c r="AR905" s="96">
        <f>IF(U905=0,0,IF(AND(INDEX('MTRs'!$BA$6:$BA$505,T905)=1,Z905=0),1,0))</f>
        <v>0</v>
      </c>
      <c r="AS905" s="96" t="str">
        <f>IF(R905=1,A905&amp;" | MTR "&amp;IF(U905=1,INDEX('MTRs'!$B$6:$B$505,T905)&amp;"","?")&amp;" | "&amp;IF(C905="","(sem resíduo)",C905),"")</f>
        <v/>
      </c>
      <c r="AT905" s="96" t="str">
        <f>IF(R905=1,COUNTIF($R$6:R905,1),"")</f>
        <v/>
      </c>
      <c r="AU905" s="96" t="str">
        <f>IF(U905=1,INDEX('MTRs'!$I$6:$I$505,T905)&amp;"","")</f>
        <v/>
      </c>
    </row>
    <row r="906">
      <c r="A906" s="89" t="inlineStr">
        <is>
          <t>IT-000901</t>
        </is>
      </c>
      <c r="B906" s="91" t="n"/>
      <c r="C906" s="91" t="n"/>
      <c r="D906" s="94" t="str">
        <f>IF(OR(R906=0,V906=0),"",INDEX('CAD_RESÍDUOS'!$E$6:$E$205,MATCH(C906,'CAD_RESÍDUOS'!$B$6:$B$205,0))&amp;"")</f>
        <v/>
      </c>
      <c r="E906" s="94" t="str">
        <f>IF(OR(R906=0,V906=0),"",INDEX('CAD_RESÍDUOS'!$C$6:$C$205,MATCH(C906,'CAD_RESÍDUOS'!$B$6:$B$205,0))&amp;"")</f>
        <v/>
      </c>
      <c r="F906" s="94" t="str">
        <f>IF(OR(R906=0,V906=0),"",INDEX('CAD_RESÍDUOS'!$G$6:$G$205,MATCH(C906,'CAD_RESÍDUOS'!$B$6:$B$205,0))&amp;"")</f>
        <v/>
      </c>
      <c r="G906" s="98" t="n"/>
      <c r="H906" s="91" t="n"/>
      <c r="I906" s="93" t="str">
        <f>IF(R906=0,"",IF(NOT(ISNUMBER(G906)),"",IF(ISNUMBER(X906),G906*X906,"UNIDADE A CONFERIR")))</f>
        <v/>
      </c>
      <c r="J906" s="91" t="n"/>
      <c r="K906" s="91" t="n"/>
      <c r="L906" s="93" t="str">
        <f>IF(R906=0,"",SUMIFS('RECEBIMENTOS'!$H$6:$H$1005,'RECEBIMENTOS'!$R$6:$R$1005,A906,'RECEBIMENTOS'!$X$6:$X$1005,1))</f>
        <v/>
      </c>
      <c r="M906" s="93" t="str">
        <f>IF(R906=0,"",SUMIFS('VÍNCULOS_CDF'!$H$6:$H$1005,'VÍNCULOS_CDF'!$R$6:$R$1005,A906,'VÍNCULOS_CDF'!$V$6:$V$1005,1))</f>
        <v/>
      </c>
      <c r="N906" s="99" t="str">
        <f>IF(OR(R906=0,AA906=0,NOT(ISNUMBER(I906))),"",I906-N(L906))</f>
        <v/>
      </c>
      <c r="O906" s="100" t="str">
        <f>IF(OR(R906=0,AK906&lt;=0),"",N(M906)/AK906)</f>
        <v/>
      </c>
      <c r="P906" s="94" t="str">
        <f>IF(R906=0,"",IF(S906="","Sem MTR associado",IF(U906=0,"MTR inexistente",IF(C906="","Resíduo não identificado",IF(V906=0,"Resíduo fora do cadastro",IF(W906=0,"Quantidade inválida",IF(H906="","Unidade não informada",IF(NOT(ISNUMBER(I906)),"Unidade a conferir",IF(AND(AH906=1,K906&lt;&gt;"Sim"),"Possível duplicidade",IF(Z906=1,"MTR cancelado",IF(AC906&gt;0,"Recebimento com alerta",IF(AA906=0,"Aguardando recebimento",IF(AB906&lt;AA906,"Recebimento a conferir",IF(AM906=1,"Quantidade a revisar",IF(AF906&gt;0,"Vínculo a revisar",IF(AD906=0,"Aguardando CDF",IF(AN906=0,"Vínculo de CDF parcial",IF(AE906&lt;AD906,"CDF a conferir","Documentação conferida"))))))))))))))))))</f>
        <v/>
      </c>
      <c r="Q906" s="93" t="str">
        <f>IF(OR(R906=0,AA906=0),"",MAX(0,N(L906)-N(M906)))</f>
        <v/>
      </c>
      <c r="R906" s="96">
        <f>IF(COUNTA(B906:C906,G906:H906,J906:K906)&gt;0,1,0)</f>
        <v>0</v>
      </c>
      <c r="S906" s="96" t="str">
        <f>IF(B906="","",TRIM(LEFT(B906,FIND(" |",B906&amp;" |")-1)))</f>
        <v/>
      </c>
      <c r="T906" s="96" t="str">
        <f>IF(S906="","",IFERROR(MATCH(S906,'MTRs'!$A$6:$A$505,0),""))</f>
        <v/>
      </c>
      <c r="U906" s="96">
        <f>IF(T906="",0,IF(INDEX('MTRs'!$Z$6:$Z$505,T906)=1,1,0))</f>
        <v>0</v>
      </c>
      <c r="V906" s="96">
        <f>IF(C906="",0,IF(ISNUMBER(MATCH(C906,'CAD_RESÍDUOS'!$B$6:$B$205,0)),1,0))</f>
        <v>0</v>
      </c>
      <c r="W906" s="96">
        <f>IF(AND(ISNUMBER(G906),G906&gt;0),1,0)</f>
        <v>0</v>
      </c>
      <c r="X906" s="96" t="str">
        <f>IF(H906="","",IFERROR(IF(ISNUMBER(INDEX(cfg_fac,MATCH(H906,cfg_units,0))),IF(INDEX(cfg_fac,MATCH(H906,cfg_units,0))&gt;0,INDEX(cfg_fac,MATCH(H906,cfg_units,0)),""),""),""))</f>
        <v/>
      </c>
      <c r="Y906" s="96">
        <f>IF(AND(W906=1,ISNUMBER(I906)),1,0)</f>
        <v>0</v>
      </c>
      <c r="Z906" s="96">
        <f>IF(U906=1,INDEX('MTRs'!$AA$6:$AA$505,T906),0)</f>
        <v>0</v>
      </c>
      <c r="AA906" s="96">
        <f>IF(R906=0,0,COUNTIFS('RECEBIMENTOS'!$R$6:$R$1005,A906,'RECEBIMENTOS'!$Q$6:$Q$1005,1))</f>
        <v>0</v>
      </c>
      <c r="AB906" s="96">
        <f>IF(R906=0,0,COUNTIFS('RECEBIMENTOS'!$R$6:$R$1005,A906,'RECEBIMENTOS'!$Z$6:$Z$1005,1))</f>
        <v>0</v>
      </c>
      <c r="AC906" s="96">
        <f>IF(R906=0,0,COUNTIFS('RECEBIMENTOS'!$R$6:$R$1005,A906,'RECEBIMENTOS'!$Y$6:$Y$1005,1))</f>
        <v>0</v>
      </c>
      <c r="AD906" s="96">
        <f>IF(R906=0,0,COUNTIFS('VÍNCULOS_CDF'!$R$6:$R$1005,A906,'VÍNCULOS_CDF'!$N$6:$N$1005,1))</f>
        <v>0</v>
      </c>
      <c r="AE906" s="96">
        <f>IF(R906=0,0,COUNTIFS('VÍNCULOS_CDF'!$R$6:$R$1005,A906,'VÍNCULOS_CDF'!$AA$6:$AA$1005,1))</f>
        <v>0</v>
      </c>
      <c r="AF906" s="96">
        <f>IF(R906=0,0,COUNTIFS('VÍNCULOS_CDF'!$R$6:$R$1005,A906,'VÍNCULOS_CDF'!$Y$6:$Y$1005,1))</f>
        <v>0</v>
      </c>
      <c r="AG906" s="96" t="str">
        <f>IF(AND(R906=1,S906&lt;&gt;"",C906&lt;&gt;""),S906&amp;"|"&amp;C906&amp;"|"&amp;G906&amp;"|"&amp;H906,"")</f>
        <v/>
      </c>
      <c r="AH906" s="96">
        <f>IF(AG906="",0,IF(SUMPRODUCT(--($AG$6:$AG$1005=AG906))&gt;1,1,0))</f>
        <v>0</v>
      </c>
      <c r="AI906" s="96">
        <f>IF(R906=0,0,IF(OR(U906=0,V906=0,Y906=0,AND(AH906=1,K906&lt;&gt;"Sim")),1,0))</f>
        <v>0</v>
      </c>
      <c r="AJ906" s="96">
        <f>IF(AND(R906=1,AA906&gt;0,AB906=AA906),1,0)</f>
        <v>0</v>
      </c>
      <c r="AK906" s="96">
        <f>IF(R906=0,0,IF(AA906&gt;0,N(L906),IF(ISNUMBER(I906),I906,0)))</f>
        <v>0</v>
      </c>
      <c r="AL906" s="96">
        <f>IF(R906=0,0,IF(AND(K906&lt;&gt;"Sim",N(M906)&gt;AK906+cfg_tol),1,0))</f>
        <v>0</v>
      </c>
      <c r="AM906" s="96">
        <f>IF(R906=0,0,IF(K906="Sim",0,IF(OR(AND(AA906&gt;0,ISNUMBER(I906),ABS(I906-N(L906))&gt;cfg_tol),AL906=1),1,0)))</f>
        <v>0</v>
      </c>
      <c r="AN906" s="96">
        <f>IF(AND(R906=1,N(M906)&gt;0,OR(N(M906)&gt;=AK906-cfg_tol,K906="Sim")),1,0)</f>
        <v>0</v>
      </c>
      <c r="AO906" s="96">
        <f>IF(AND(AN906=1,AD906&gt;0,AE906=AD906,AL906=0),1,0)</f>
        <v>0</v>
      </c>
      <c r="AP906" s="96">
        <f>IF(U906=0,0,IF(AND(INDEX('MTRs'!$AX$6:$AX$505,T906)=1,Z906=0,OR(f_res="",f_res="(Todos)",C906=f_res)),1,0))</f>
        <v>0</v>
      </c>
      <c r="AQ906" s="97" t="str">
        <f>IF(U906=0,"",INDEX('MTRs'!$AZ$6:$AZ$505,T906))</f>
        <v/>
      </c>
      <c r="AR906" s="96">
        <f>IF(U906=0,0,IF(AND(INDEX('MTRs'!$BA$6:$BA$505,T906)=1,Z906=0),1,0))</f>
        <v>0</v>
      </c>
      <c r="AS906" s="96" t="str">
        <f>IF(R906=1,A906&amp;" | MTR "&amp;IF(U906=1,INDEX('MTRs'!$B$6:$B$505,T906)&amp;"","?")&amp;" | "&amp;IF(C906="","(sem resíduo)",C906),"")</f>
        <v/>
      </c>
      <c r="AT906" s="96" t="str">
        <f>IF(R906=1,COUNTIF($R$6:R906,1),"")</f>
        <v/>
      </c>
      <c r="AU906" s="96" t="str">
        <f>IF(U906=1,INDEX('MTRs'!$I$6:$I$505,T906)&amp;"","")</f>
        <v/>
      </c>
    </row>
    <row r="907">
      <c r="A907" s="89" t="inlineStr">
        <is>
          <t>IT-000902</t>
        </is>
      </c>
      <c r="B907" s="91" t="n"/>
      <c r="C907" s="91" t="n"/>
      <c r="D907" s="94" t="str">
        <f>IF(OR(R907=0,V907=0),"",INDEX('CAD_RESÍDUOS'!$E$6:$E$205,MATCH(C907,'CAD_RESÍDUOS'!$B$6:$B$205,0))&amp;"")</f>
        <v/>
      </c>
      <c r="E907" s="94" t="str">
        <f>IF(OR(R907=0,V907=0),"",INDEX('CAD_RESÍDUOS'!$C$6:$C$205,MATCH(C907,'CAD_RESÍDUOS'!$B$6:$B$205,0))&amp;"")</f>
        <v/>
      </c>
      <c r="F907" s="94" t="str">
        <f>IF(OR(R907=0,V907=0),"",INDEX('CAD_RESÍDUOS'!$G$6:$G$205,MATCH(C907,'CAD_RESÍDUOS'!$B$6:$B$205,0))&amp;"")</f>
        <v/>
      </c>
      <c r="G907" s="98" t="n"/>
      <c r="H907" s="91" t="n"/>
      <c r="I907" s="93" t="str">
        <f>IF(R907=0,"",IF(NOT(ISNUMBER(G907)),"",IF(ISNUMBER(X907),G907*X907,"UNIDADE A CONFERIR")))</f>
        <v/>
      </c>
      <c r="J907" s="91" t="n"/>
      <c r="K907" s="91" t="n"/>
      <c r="L907" s="93" t="str">
        <f>IF(R907=0,"",SUMIFS('RECEBIMENTOS'!$H$6:$H$1005,'RECEBIMENTOS'!$R$6:$R$1005,A907,'RECEBIMENTOS'!$X$6:$X$1005,1))</f>
        <v/>
      </c>
      <c r="M907" s="93" t="str">
        <f>IF(R907=0,"",SUMIFS('VÍNCULOS_CDF'!$H$6:$H$1005,'VÍNCULOS_CDF'!$R$6:$R$1005,A907,'VÍNCULOS_CDF'!$V$6:$V$1005,1))</f>
        <v/>
      </c>
      <c r="N907" s="99" t="str">
        <f>IF(OR(R907=0,AA907=0,NOT(ISNUMBER(I907))),"",I907-N(L907))</f>
        <v/>
      </c>
      <c r="O907" s="100" t="str">
        <f>IF(OR(R907=0,AK907&lt;=0),"",N(M907)/AK907)</f>
        <v/>
      </c>
      <c r="P907" s="94" t="str">
        <f>IF(R907=0,"",IF(S907="","Sem MTR associado",IF(U907=0,"MTR inexistente",IF(C907="","Resíduo não identificado",IF(V907=0,"Resíduo fora do cadastro",IF(W907=0,"Quantidade inválida",IF(H907="","Unidade não informada",IF(NOT(ISNUMBER(I907)),"Unidade a conferir",IF(AND(AH907=1,K907&lt;&gt;"Sim"),"Possível duplicidade",IF(Z907=1,"MTR cancelado",IF(AC907&gt;0,"Recebimento com alerta",IF(AA907=0,"Aguardando recebimento",IF(AB907&lt;AA907,"Recebimento a conferir",IF(AM907=1,"Quantidade a revisar",IF(AF907&gt;0,"Vínculo a revisar",IF(AD907=0,"Aguardando CDF",IF(AN907=0,"Vínculo de CDF parcial",IF(AE907&lt;AD907,"CDF a conferir","Documentação conferida"))))))))))))))))))</f>
        <v/>
      </c>
      <c r="Q907" s="93" t="str">
        <f>IF(OR(R907=0,AA907=0),"",MAX(0,N(L907)-N(M907)))</f>
        <v/>
      </c>
      <c r="R907" s="96">
        <f>IF(COUNTA(B907:C907,G907:H907,J907:K907)&gt;0,1,0)</f>
        <v>0</v>
      </c>
      <c r="S907" s="96" t="str">
        <f>IF(B907="","",TRIM(LEFT(B907,FIND(" |",B907&amp;" |")-1)))</f>
        <v/>
      </c>
      <c r="T907" s="96" t="str">
        <f>IF(S907="","",IFERROR(MATCH(S907,'MTRs'!$A$6:$A$505,0),""))</f>
        <v/>
      </c>
      <c r="U907" s="96">
        <f>IF(T907="",0,IF(INDEX('MTRs'!$Z$6:$Z$505,T907)=1,1,0))</f>
        <v>0</v>
      </c>
      <c r="V907" s="96">
        <f>IF(C907="",0,IF(ISNUMBER(MATCH(C907,'CAD_RESÍDUOS'!$B$6:$B$205,0)),1,0))</f>
        <v>0</v>
      </c>
      <c r="W907" s="96">
        <f>IF(AND(ISNUMBER(G907),G907&gt;0),1,0)</f>
        <v>0</v>
      </c>
      <c r="X907" s="96" t="str">
        <f>IF(H907="","",IFERROR(IF(ISNUMBER(INDEX(cfg_fac,MATCH(H907,cfg_units,0))),IF(INDEX(cfg_fac,MATCH(H907,cfg_units,0))&gt;0,INDEX(cfg_fac,MATCH(H907,cfg_units,0)),""),""),""))</f>
        <v/>
      </c>
      <c r="Y907" s="96">
        <f>IF(AND(W907=1,ISNUMBER(I907)),1,0)</f>
        <v>0</v>
      </c>
      <c r="Z907" s="96">
        <f>IF(U907=1,INDEX('MTRs'!$AA$6:$AA$505,T907),0)</f>
        <v>0</v>
      </c>
      <c r="AA907" s="96">
        <f>IF(R907=0,0,COUNTIFS('RECEBIMENTOS'!$R$6:$R$1005,A907,'RECEBIMENTOS'!$Q$6:$Q$1005,1))</f>
        <v>0</v>
      </c>
      <c r="AB907" s="96">
        <f>IF(R907=0,0,COUNTIFS('RECEBIMENTOS'!$R$6:$R$1005,A907,'RECEBIMENTOS'!$Z$6:$Z$1005,1))</f>
        <v>0</v>
      </c>
      <c r="AC907" s="96">
        <f>IF(R907=0,0,COUNTIFS('RECEBIMENTOS'!$R$6:$R$1005,A907,'RECEBIMENTOS'!$Y$6:$Y$1005,1))</f>
        <v>0</v>
      </c>
      <c r="AD907" s="96">
        <f>IF(R907=0,0,COUNTIFS('VÍNCULOS_CDF'!$R$6:$R$1005,A907,'VÍNCULOS_CDF'!$N$6:$N$1005,1))</f>
        <v>0</v>
      </c>
      <c r="AE907" s="96">
        <f>IF(R907=0,0,COUNTIFS('VÍNCULOS_CDF'!$R$6:$R$1005,A907,'VÍNCULOS_CDF'!$AA$6:$AA$1005,1))</f>
        <v>0</v>
      </c>
      <c r="AF907" s="96">
        <f>IF(R907=0,0,COUNTIFS('VÍNCULOS_CDF'!$R$6:$R$1005,A907,'VÍNCULOS_CDF'!$Y$6:$Y$1005,1))</f>
        <v>0</v>
      </c>
      <c r="AG907" s="96" t="str">
        <f>IF(AND(R907=1,S907&lt;&gt;"",C907&lt;&gt;""),S907&amp;"|"&amp;C907&amp;"|"&amp;G907&amp;"|"&amp;H907,"")</f>
        <v/>
      </c>
      <c r="AH907" s="96">
        <f>IF(AG907="",0,IF(SUMPRODUCT(--($AG$6:$AG$1005=AG907))&gt;1,1,0))</f>
        <v>0</v>
      </c>
      <c r="AI907" s="96">
        <f>IF(R907=0,0,IF(OR(U907=0,V907=0,Y907=0,AND(AH907=1,K907&lt;&gt;"Sim")),1,0))</f>
        <v>0</v>
      </c>
      <c r="AJ907" s="96">
        <f>IF(AND(R907=1,AA907&gt;0,AB907=AA907),1,0)</f>
        <v>0</v>
      </c>
      <c r="AK907" s="96">
        <f>IF(R907=0,0,IF(AA907&gt;0,N(L907),IF(ISNUMBER(I907),I907,0)))</f>
        <v>0</v>
      </c>
      <c r="AL907" s="96">
        <f>IF(R907=0,0,IF(AND(K907&lt;&gt;"Sim",N(M907)&gt;AK907+cfg_tol),1,0))</f>
        <v>0</v>
      </c>
      <c r="AM907" s="96">
        <f>IF(R907=0,0,IF(K907="Sim",0,IF(OR(AND(AA907&gt;0,ISNUMBER(I907),ABS(I907-N(L907))&gt;cfg_tol),AL907=1),1,0)))</f>
        <v>0</v>
      </c>
      <c r="AN907" s="96">
        <f>IF(AND(R907=1,N(M907)&gt;0,OR(N(M907)&gt;=AK907-cfg_tol,K907="Sim")),1,0)</f>
        <v>0</v>
      </c>
      <c r="AO907" s="96">
        <f>IF(AND(AN907=1,AD907&gt;0,AE907=AD907,AL907=0),1,0)</f>
        <v>0</v>
      </c>
      <c r="AP907" s="96">
        <f>IF(U907=0,0,IF(AND(INDEX('MTRs'!$AX$6:$AX$505,T907)=1,Z907=0,OR(f_res="",f_res="(Todos)",C907=f_res)),1,0))</f>
        <v>0</v>
      </c>
      <c r="AQ907" s="97" t="str">
        <f>IF(U907=0,"",INDEX('MTRs'!$AZ$6:$AZ$505,T907))</f>
        <v/>
      </c>
      <c r="AR907" s="96">
        <f>IF(U907=0,0,IF(AND(INDEX('MTRs'!$BA$6:$BA$505,T907)=1,Z907=0),1,0))</f>
        <v>0</v>
      </c>
      <c r="AS907" s="96" t="str">
        <f>IF(R907=1,A907&amp;" | MTR "&amp;IF(U907=1,INDEX('MTRs'!$B$6:$B$505,T907)&amp;"","?")&amp;" | "&amp;IF(C907="","(sem resíduo)",C907),"")</f>
        <v/>
      </c>
      <c r="AT907" s="96" t="str">
        <f>IF(R907=1,COUNTIF($R$6:R907,1),"")</f>
        <v/>
      </c>
      <c r="AU907" s="96" t="str">
        <f>IF(U907=1,INDEX('MTRs'!$I$6:$I$505,T907)&amp;"","")</f>
        <v/>
      </c>
    </row>
    <row r="908">
      <c r="A908" s="89" t="inlineStr">
        <is>
          <t>IT-000903</t>
        </is>
      </c>
      <c r="B908" s="91" t="n"/>
      <c r="C908" s="91" t="n"/>
      <c r="D908" s="94" t="str">
        <f>IF(OR(R908=0,V908=0),"",INDEX('CAD_RESÍDUOS'!$E$6:$E$205,MATCH(C908,'CAD_RESÍDUOS'!$B$6:$B$205,0))&amp;"")</f>
        <v/>
      </c>
      <c r="E908" s="94" t="str">
        <f>IF(OR(R908=0,V908=0),"",INDEX('CAD_RESÍDUOS'!$C$6:$C$205,MATCH(C908,'CAD_RESÍDUOS'!$B$6:$B$205,0))&amp;"")</f>
        <v/>
      </c>
      <c r="F908" s="94" t="str">
        <f>IF(OR(R908=0,V908=0),"",INDEX('CAD_RESÍDUOS'!$G$6:$G$205,MATCH(C908,'CAD_RESÍDUOS'!$B$6:$B$205,0))&amp;"")</f>
        <v/>
      </c>
      <c r="G908" s="98" t="n"/>
      <c r="H908" s="91" t="n"/>
      <c r="I908" s="93" t="str">
        <f>IF(R908=0,"",IF(NOT(ISNUMBER(G908)),"",IF(ISNUMBER(X908),G908*X908,"UNIDADE A CONFERIR")))</f>
        <v/>
      </c>
      <c r="J908" s="91" t="n"/>
      <c r="K908" s="91" t="n"/>
      <c r="L908" s="93" t="str">
        <f>IF(R908=0,"",SUMIFS('RECEBIMENTOS'!$H$6:$H$1005,'RECEBIMENTOS'!$R$6:$R$1005,A908,'RECEBIMENTOS'!$X$6:$X$1005,1))</f>
        <v/>
      </c>
      <c r="M908" s="93" t="str">
        <f>IF(R908=0,"",SUMIFS('VÍNCULOS_CDF'!$H$6:$H$1005,'VÍNCULOS_CDF'!$R$6:$R$1005,A908,'VÍNCULOS_CDF'!$V$6:$V$1005,1))</f>
        <v/>
      </c>
      <c r="N908" s="99" t="str">
        <f>IF(OR(R908=0,AA908=0,NOT(ISNUMBER(I908))),"",I908-N(L908))</f>
        <v/>
      </c>
      <c r="O908" s="100" t="str">
        <f>IF(OR(R908=0,AK908&lt;=0),"",N(M908)/AK908)</f>
        <v/>
      </c>
      <c r="P908" s="94" t="str">
        <f>IF(R908=0,"",IF(S908="","Sem MTR associado",IF(U908=0,"MTR inexistente",IF(C908="","Resíduo não identificado",IF(V908=0,"Resíduo fora do cadastro",IF(W908=0,"Quantidade inválida",IF(H908="","Unidade não informada",IF(NOT(ISNUMBER(I908)),"Unidade a conferir",IF(AND(AH908=1,K908&lt;&gt;"Sim"),"Possível duplicidade",IF(Z908=1,"MTR cancelado",IF(AC908&gt;0,"Recebimento com alerta",IF(AA908=0,"Aguardando recebimento",IF(AB908&lt;AA908,"Recebimento a conferir",IF(AM908=1,"Quantidade a revisar",IF(AF908&gt;0,"Vínculo a revisar",IF(AD908=0,"Aguardando CDF",IF(AN908=0,"Vínculo de CDF parcial",IF(AE908&lt;AD908,"CDF a conferir","Documentação conferida"))))))))))))))))))</f>
        <v/>
      </c>
      <c r="Q908" s="93" t="str">
        <f>IF(OR(R908=0,AA908=0),"",MAX(0,N(L908)-N(M908)))</f>
        <v/>
      </c>
      <c r="R908" s="96">
        <f>IF(COUNTA(B908:C908,G908:H908,J908:K908)&gt;0,1,0)</f>
        <v>0</v>
      </c>
      <c r="S908" s="96" t="str">
        <f>IF(B908="","",TRIM(LEFT(B908,FIND(" |",B908&amp;" |")-1)))</f>
        <v/>
      </c>
      <c r="T908" s="96" t="str">
        <f>IF(S908="","",IFERROR(MATCH(S908,'MTRs'!$A$6:$A$505,0),""))</f>
        <v/>
      </c>
      <c r="U908" s="96">
        <f>IF(T908="",0,IF(INDEX('MTRs'!$Z$6:$Z$505,T908)=1,1,0))</f>
        <v>0</v>
      </c>
      <c r="V908" s="96">
        <f>IF(C908="",0,IF(ISNUMBER(MATCH(C908,'CAD_RESÍDUOS'!$B$6:$B$205,0)),1,0))</f>
        <v>0</v>
      </c>
      <c r="W908" s="96">
        <f>IF(AND(ISNUMBER(G908),G908&gt;0),1,0)</f>
        <v>0</v>
      </c>
      <c r="X908" s="96" t="str">
        <f>IF(H908="","",IFERROR(IF(ISNUMBER(INDEX(cfg_fac,MATCH(H908,cfg_units,0))),IF(INDEX(cfg_fac,MATCH(H908,cfg_units,0))&gt;0,INDEX(cfg_fac,MATCH(H908,cfg_units,0)),""),""),""))</f>
        <v/>
      </c>
      <c r="Y908" s="96">
        <f>IF(AND(W908=1,ISNUMBER(I908)),1,0)</f>
        <v>0</v>
      </c>
      <c r="Z908" s="96">
        <f>IF(U908=1,INDEX('MTRs'!$AA$6:$AA$505,T908),0)</f>
        <v>0</v>
      </c>
      <c r="AA908" s="96">
        <f>IF(R908=0,0,COUNTIFS('RECEBIMENTOS'!$R$6:$R$1005,A908,'RECEBIMENTOS'!$Q$6:$Q$1005,1))</f>
        <v>0</v>
      </c>
      <c r="AB908" s="96">
        <f>IF(R908=0,0,COUNTIFS('RECEBIMENTOS'!$R$6:$R$1005,A908,'RECEBIMENTOS'!$Z$6:$Z$1005,1))</f>
        <v>0</v>
      </c>
      <c r="AC908" s="96">
        <f>IF(R908=0,0,COUNTIFS('RECEBIMENTOS'!$R$6:$R$1005,A908,'RECEBIMENTOS'!$Y$6:$Y$1005,1))</f>
        <v>0</v>
      </c>
      <c r="AD908" s="96">
        <f>IF(R908=0,0,COUNTIFS('VÍNCULOS_CDF'!$R$6:$R$1005,A908,'VÍNCULOS_CDF'!$N$6:$N$1005,1))</f>
        <v>0</v>
      </c>
      <c r="AE908" s="96">
        <f>IF(R908=0,0,COUNTIFS('VÍNCULOS_CDF'!$R$6:$R$1005,A908,'VÍNCULOS_CDF'!$AA$6:$AA$1005,1))</f>
        <v>0</v>
      </c>
      <c r="AF908" s="96">
        <f>IF(R908=0,0,COUNTIFS('VÍNCULOS_CDF'!$R$6:$R$1005,A908,'VÍNCULOS_CDF'!$Y$6:$Y$1005,1))</f>
        <v>0</v>
      </c>
      <c r="AG908" s="96" t="str">
        <f>IF(AND(R908=1,S908&lt;&gt;"",C908&lt;&gt;""),S908&amp;"|"&amp;C908&amp;"|"&amp;G908&amp;"|"&amp;H908,"")</f>
        <v/>
      </c>
      <c r="AH908" s="96">
        <f>IF(AG908="",0,IF(SUMPRODUCT(--($AG$6:$AG$1005=AG908))&gt;1,1,0))</f>
        <v>0</v>
      </c>
      <c r="AI908" s="96">
        <f>IF(R908=0,0,IF(OR(U908=0,V908=0,Y908=0,AND(AH908=1,K908&lt;&gt;"Sim")),1,0))</f>
        <v>0</v>
      </c>
      <c r="AJ908" s="96">
        <f>IF(AND(R908=1,AA908&gt;0,AB908=AA908),1,0)</f>
        <v>0</v>
      </c>
      <c r="AK908" s="96">
        <f>IF(R908=0,0,IF(AA908&gt;0,N(L908),IF(ISNUMBER(I908),I908,0)))</f>
        <v>0</v>
      </c>
      <c r="AL908" s="96">
        <f>IF(R908=0,0,IF(AND(K908&lt;&gt;"Sim",N(M908)&gt;AK908+cfg_tol),1,0))</f>
        <v>0</v>
      </c>
      <c r="AM908" s="96">
        <f>IF(R908=0,0,IF(K908="Sim",0,IF(OR(AND(AA908&gt;0,ISNUMBER(I908),ABS(I908-N(L908))&gt;cfg_tol),AL908=1),1,0)))</f>
        <v>0</v>
      </c>
      <c r="AN908" s="96">
        <f>IF(AND(R908=1,N(M908)&gt;0,OR(N(M908)&gt;=AK908-cfg_tol,K908="Sim")),1,0)</f>
        <v>0</v>
      </c>
      <c r="AO908" s="96">
        <f>IF(AND(AN908=1,AD908&gt;0,AE908=AD908,AL908=0),1,0)</f>
        <v>0</v>
      </c>
      <c r="AP908" s="96">
        <f>IF(U908=0,0,IF(AND(INDEX('MTRs'!$AX$6:$AX$505,T908)=1,Z908=0,OR(f_res="",f_res="(Todos)",C908=f_res)),1,0))</f>
        <v>0</v>
      </c>
      <c r="AQ908" s="97" t="str">
        <f>IF(U908=0,"",INDEX('MTRs'!$AZ$6:$AZ$505,T908))</f>
        <v/>
      </c>
      <c r="AR908" s="96">
        <f>IF(U908=0,0,IF(AND(INDEX('MTRs'!$BA$6:$BA$505,T908)=1,Z908=0),1,0))</f>
        <v>0</v>
      </c>
      <c r="AS908" s="96" t="str">
        <f>IF(R908=1,A908&amp;" | MTR "&amp;IF(U908=1,INDEX('MTRs'!$B$6:$B$505,T908)&amp;"","?")&amp;" | "&amp;IF(C908="","(sem resíduo)",C908),"")</f>
        <v/>
      </c>
      <c r="AT908" s="96" t="str">
        <f>IF(R908=1,COUNTIF($R$6:R908,1),"")</f>
        <v/>
      </c>
      <c r="AU908" s="96" t="str">
        <f>IF(U908=1,INDEX('MTRs'!$I$6:$I$505,T908)&amp;"","")</f>
        <v/>
      </c>
    </row>
    <row r="909">
      <c r="A909" s="89" t="inlineStr">
        <is>
          <t>IT-000904</t>
        </is>
      </c>
      <c r="B909" s="91" t="n"/>
      <c r="C909" s="91" t="n"/>
      <c r="D909" s="94" t="str">
        <f>IF(OR(R909=0,V909=0),"",INDEX('CAD_RESÍDUOS'!$E$6:$E$205,MATCH(C909,'CAD_RESÍDUOS'!$B$6:$B$205,0))&amp;"")</f>
        <v/>
      </c>
      <c r="E909" s="94" t="str">
        <f>IF(OR(R909=0,V909=0),"",INDEX('CAD_RESÍDUOS'!$C$6:$C$205,MATCH(C909,'CAD_RESÍDUOS'!$B$6:$B$205,0))&amp;"")</f>
        <v/>
      </c>
      <c r="F909" s="94" t="str">
        <f>IF(OR(R909=0,V909=0),"",INDEX('CAD_RESÍDUOS'!$G$6:$G$205,MATCH(C909,'CAD_RESÍDUOS'!$B$6:$B$205,0))&amp;"")</f>
        <v/>
      </c>
      <c r="G909" s="98" t="n"/>
      <c r="H909" s="91" t="n"/>
      <c r="I909" s="93" t="str">
        <f>IF(R909=0,"",IF(NOT(ISNUMBER(G909)),"",IF(ISNUMBER(X909),G909*X909,"UNIDADE A CONFERIR")))</f>
        <v/>
      </c>
      <c r="J909" s="91" t="n"/>
      <c r="K909" s="91" t="n"/>
      <c r="L909" s="93" t="str">
        <f>IF(R909=0,"",SUMIFS('RECEBIMENTOS'!$H$6:$H$1005,'RECEBIMENTOS'!$R$6:$R$1005,A909,'RECEBIMENTOS'!$X$6:$X$1005,1))</f>
        <v/>
      </c>
      <c r="M909" s="93" t="str">
        <f>IF(R909=0,"",SUMIFS('VÍNCULOS_CDF'!$H$6:$H$1005,'VÍNCULOS_CDF'!$R$6:$R$1005,A909,'VÍNCULOS_CDF'!$V$6:$V$1005,1))</f>
        <v/>
      </c>
      <c r="N909" s="99" t="str">
        <f>IF(OR(R909=0,AA909=0,NOT(ISNUMBER(I909))),"",I909-N(L909))</f>
        <v/>
      </c>
      <c r="O909" s="100" t="str">
        <f>IF(OR(R909=0,AK909&lt;=0),"",N(M909)/AK909)</f>
        <v/>
      </c>
      <c r="P909" s="94" t="str">
        <f>IF(R909=0,"",IF(S909="","Sem MTR associado",IF(U909=0,"MTR inexistente",IF(C909="","Resíduo não identificado",IF(V909=0,"Resíduo fora do cadastro",IF(W909=0,"Quantidade inválida",IF(H909="","Unidade não informada",IF(NOT(ISNUMBER(I909)),"Unidade a conferir",IF(AND(AH909=1,K909&lt;&gt;"Sim"),"Possível duplicidade",IF(Z909=1,"MTR cancelado",IF(AC909&gt;0,"Recebimento com alerta",IF(AA909=0,"Aguardando recebimento",IF(AB909&lt;AA909,"Recebimento a conferir",IF(AM909=1,"Quantidade a revisar",IF(AF909&gt;0,"Vínculo a revisar",IF(AD909=0,"Aguardando CDF",IF(AN909=0,"Vínculo de CDF parcial",IF(AE909&lt;AD909,"CDF a conferir","Documentação conferida"))))))))))))))))))</f>
        <v/>
      </c>
      <c r="Q909" s="93" t="str">
        <f>IF(OR(R909=0,AA909=0),"",MAX(0,N(L909)-N(M909)))</f>
        <v/>
      </c>
      <c r="R909" s="96">
        <f>IF(COUNTA(B909:C909,G909:H909,J909:K909)&gt;0,1,0)</f>
        <v>0</v>
      </c>
      <c r="S909" s="96" t="str">
        <f>IF(B909="","",TRIM(LEFT(B909,FIND(" |",B909&amp;" |")-1)))</f>
        <v/>
      </c>
      <c r="T909" s="96" t="str">
        <f>IF(S909="","",IFERROR(MATCH(S909,'MTRs'!$A$6:$A$505,0),""))</f>
        <v/>
      </c>
      <c r="U909" s="96">
        <f>IF(T909="",0,IF(INDEX('MTRs'!$Z$6:$Z$505,T909)=1,1,0))</f>
        <v>0</v>
      </c>
      <c r="V909" s="96">
        <f>IF(C909="",0,IF(ISNUMBER(MATCH(C909,'CAD_RESÍDUOS'!$B$6:$B$205,0)),1,0))</f>
        <v>0</v>
      </c>
      <c r="W909" s="96">
        <f>IF(AND(ISNUMBER(G909),G909&gt;0),1,0)</f>
        <v>0</v>
      </c>
      <c r="X909" s="96" t="str">
        <f>IF(H909="","",IFERROR(IF(ISNUMBER(INDEX(cfg_fac,MATCH(H909,cfg_units,0))),IF(INDEX(cfg_fac,MATCH(H909,cfg_units,0))&gt;0,INDEX(cfg_fac,MATCH(H909,cfg_units,0)),""),""),""))</f>
        <v/>
      </c>
      <c r="Y909" s="96">
        <f>IF(AND(W909=1,ISNUMBER(I909)),1,0)</f>
        <v>0</v>
      </c>
      <c r="Z909" s="96">
        <f>IF(U909=1,INDEX('MTRs'!$AA$6:$AA$505,T909),0)</f>
        <v>0</v>
      </c>
      <c r="AA909" s="96">
        <f>IF(R909=0,0,COUNTIFS('RECEBIMENTOS'!$R$6:$R$1005,A909,'RECEBIMENTOS'!$Q$6:$Q$1005,1))</f>
        <v>0</v>
      </c>
      <c r="AB909" s="96">
        <f>IF(R909=0,0,COUNTIFS('RECEBIMENTOS'!$R$6:$R$1005,A909,'RECEBIMENTOS'!$Z$6:$Z$1005,1))</f>
        <v>0</v>
      </c>
      <c r="AC909" s="96">
        <f>IF(R909=0,0,COUNTIFS('RECEBIMENTOS'!$R$6:$R$1005,A909,'RECEBIMENTOS'!$Y$6:$Y$1005,1))</f>
        <v>0</v>
      </c>
      <c r="AD909" s="96">
        <f>IF(R909=0,0,COUNTIFS('VÍNCULOS_CDF'!$R$6:$R$1005,A909,'VÍNCULOS_CDF'!$N$6:$N$1005,1))</f>
        <v>0</v>
      </c>
      <c r="AE909" s="96">
        <f>IF(R909=0,0,COUNTIFS('VÍNCULOS_CDF'!$R$6:$R$1005,A909,'VÍNCULOS_CDF'!$AA$6:$AA$1005,1))</f>
        <v>0</v>
      </c>
      <c r="AF909" s="96">
        <f>IF(R909=0,0,COUNTIFS('VÍNCULOS_CDF'!$R$6:$R$1005,A909,'VÍNCULOS_CDF'!$Y$6:$Y$1005,1))</f>
        <v>0</v>
      </c>
      <c r="AG909" s="96" t="str">
        <f>IF(AND(R909=1,S909&lt;&gt;"",C909&lt;&gt;""),S909&amp;"|"&amp;C909&amp;"|"&amp;G909&amp;"|"&amp;H909,"")</f>
        <v/>
      </c>
      <c r="AH909" s="96">
        <f>IF(AG909="",0,IF(SUMPRODUCT(--($AG$6:$AG$1005=AG909))&gt;1,1,0))</f>
        <v>0</v>
      </c>
      <c r="AI909" s="96">
        <f>IF(R909=0,0,IF(OR(U909=0,V909=0,Y909=0,AND(AH909=1,K909&lt;&gt;"Sim")),1,0))</f>
        <v>0</v>
      </c>
      <c r="AJ909" s="96">
        <f>IF(AND(R909=1,AA909&gt;0,AB909=AA909),1,0)</f>
        <v>0</v>
      </c>
      <c r="AK909" s="96">
        <f>IF(R909=0,0,IF(AA909&gt;0,N(L909),IF(ISNUMBER(I909),I909,0)))</f>
        <v>0</v>
      </c>
      <c r="AL909" s="96">
        <f>IF(R909=0,0,IF(AND(K909&lt;&gt;"Sim",N(M909)&gt;AK909+cfg_tol),1,0))</f>
        <v>0</v>
      </c>
      <c r="AM909" s="96">
        <f>IF(R909=0,0,IF(K909="Sim",0,IF(OR(AND(AA909&gt;0,ISNUMBER(I909),ABS(I909-N(L909))&gt;cfg_tol),AL909=1),1,0)))</f>
        <v>0</v>
      </c>
      <c r="AN909" s="96">
        <f>IF(AND(R909=1,N(M909)&gt;0,OR(N(M909)&gt;=AK909-cfg_tol,K909="Sim")),1,0)</f>
        <v>0</v>
      </c>
      <c r="AO909" s="96">
        <f>IF(AND(AN909=1,AD909&gt;0,AE909=AD909,AL909=0),1,0)</f>
        <v>0</v>
      </c>
      <c r="AP909" s="96">
        <f>IF(U909=0,0,IF(AND(INDEX('MTRs'!$AX$6:$AX$505,T909)=1,Z909=0,OR(f_res="",f_res="(Todos)",C909=f_res)),1,0))</f>
        <v>0</v>
      </c>
      <c r="AQ909" s="97" t="str">
        <f>IF(U909=0,"",INDEX('MTRs'!$AZ$6:$AZ$505,T909))</f>
        <v/>
      </c>
      <c r="AR909" s="96">
        <f>IF(U909=0,0,IF(AND(INDEX('MTRs'!$BA$6:$BA$505,T909)=1,Z909=0),1,0))</f>
        <v>0</v>
      </c>
      <c r="AS909" s="96" t="str">
        <f>IF(R909=1,A909&amp;" | MTR "&amp;IF(U909=1,INDEX('MTRs'!$B$6:$B$505,T909)&amp;"","?")&amp;" | "&amp;IF(C909="","(sem resíduo)",C909),"")</f>
        <v/>
      </c>
      <c r="AT909" s="96" t="str">
        <f>IF(R909=1,COUNTIF($R$6:R909,1),"")</f>
        <v/>
      </c>
      <c r="AU909" s="96" t="str">
        <f>IF(U909=1,INDEX('MTRs'!$I$6:$I$505,T909)&amp;"","")</f>
        <v/>
      </c>
    </row>
    <row r="910">
      <c r="A910" s="89" t="inlineStr">
        <is>
          <t>IT-000905</t>
        </is>
      </c>
      <c r="B910" s="91" t="n"/>
      <c r="C910" s="91" t="n"/>
      <c r="D910" s="94" t="str">
        <f>IF(OR(R910=0,V910=0),"",INDEX('CAD_RESÍDUOS'!$E$6:$E$205,MATCH(C910,'CAD_RESÍDUOS'!$B$6:$B$205,0))&amp;"")</f>
        <v/>
      </c>
      <c r="E910" s="94" t="str">
        <f>IF(OR(R910=0,V910=0),"",INDEX('CAD_RESÍDUOS'!$C$6:$C$205,MATCH(C910,'CAD_RESÍDUOS'!$B$6:$B$205,0))&amp;"")</f>
        <v/>
      </c>
      <c r="F910" s="94" t="str">
        <f>IF(OR(R910=0,V910=0),"",INDEX('CAD_RESÍDUOS'!$G$6:$G$205,MATCH(C910,'CAD_RESÍDUOS'!$B$6:$B$205,0))&amp;"")</f>
        <v/>
      </c>
      <c r="G910" s="98" t="n"/>
      <c r="H910" s="91" t="n"/>
      <c r="I910" s="93" t="str">
        <f>IF(R910=0,"",IF(NOT(ISNUMBER(G910)),"",IF(ISNUMBER(X910),G910*X910,"UNIDADE A CONFERIR")))</f>
        <v/>
      </c>
      <c r="J910" s="91" t="n"/>
      <c r="K910" s="91" t="n"/>
      <c r="L910" s="93" t="str">
        <f>IF(R910=0,"",SUMIFS('RECEBIMENTOS'!$H$6:$H$1005,'RECEBIMENTOS'!$R$6:$R$1005,A910,'RECEBIMENTOS'!$X$6:$X$1005,1))</f>
        <v/>
      </c>
      <c r="M910" s="93" t="str">
        <f>IF(R910=0,"",SUMIFS('VÍNCULOS_CDF'!$H$6:$H$1005,'VÍNCULOS_CDF'!$R$6:$R$1005,A910,'VÍNCULOS_CDF'!$V$6:$V$1005,1))</f>
        <v/>
      </c>
      <c r="N910" s="99" t="str">
        <f>IF(OR(R910=0,AA910=0,NOT(ISNUMBER(I910))),"",I910-N(L910))</f>
        <v/>
      </c>
      <c r="O910" s="100" t="str">
        <f>IF(OR(R910=0,AK910&lt;=0),"",N(M910)/AK910)</f>
        <v/>
      </c>
      <c r="P910" s="94" t="str">
        <f>IF(R910=0,"",IF(S910="","Sem MTR associado",IF(U910=0,"MTR inexistente",IF(C910="","Resíduo não identificado",IF(V910=0,"Resíduo fora do cadastro",IF(W910=0,"Quantidade inválida",IF(H910="","Unidade não informada",IF(NOT(ISNUMBER(I910)),"Unidade a conferir",IF(AND(AH910=1,K910&lt;&gt;"Sim"),"Possível duplicidade",IF(Z910=1,"MTR cancelado",IF(AC910&gt;0,"Recebimento com alerta",IF(AA910=0,"Aguardando recebimento",IF(AB910&lt;AA910,"Recebimento a conferir",IF(AM910=1,"Quantidade a revisar",IF(AF910&gt;0,"Vínculo a revisar",IF(AD910=0,"Aguardando CDF",IF(AN910=0,"Vínculo de CDF parcial",IF(AE910&lt;AD910,"CDF a conferir","Documentação conferida"))))))))))))))))))</f>
        <v/>
      </c>
      <c r="Q910" s="93" t="str">
        <f>IF(OR(R910=0,AA910=0),"",MAX(0,N(L910)-N(M910)))</f>
        <v/>
      </c>
      <c r="R910" s="96">
        <f>IF(COUNTA(B910:C910,G910:H910,J910:K910)&gt;0,1,0)</f>
        <v>0</v>
      </c>
      <c r="S910" s="96" t="str">
        <f>IF(B910="","",TRIM(LEFT(B910,FIND(" |",B910&amp;" |")-1)))</f>
        <v/>
      </c>
      <c r="T910" s="96" t="str">
        <f>IF(S910="","",IFERROR(MATCH(S910,'MTRs'!$A$6:$A$505,0),""))</f>
        <v/>
      </c>
      <c r="U910" s="96">
        <f>IF(T910="",0,IF(INDEX('MTRs'!$Z$6:$Z$505,T910)=1,1,0))</f>
        <v>0</v>
      </c>
      <c r="V910" s="96">
        <f>IF(C910="",0,IF(ISNUMBER(MATCH(C910,'CAD_RESÍDUOS'!$B$6:$B$205,0)),1,0))</f>
        <v>0</v>
      </c>
      <c r="W910" s="96">
        <f>IF(AND(ISNUMBER(G910),G910&gt;0),1,0)</f>
        <v>0</v>
      </c>
      <c r="X910" s="96" t="str">
        <f>IF(H910="","",IFERROR(IF(ISNUMBER(INDEX(cfg_fac,MATCH(H910,cfg_units,0))),IF(INDEX(cfg_fac,MATCH(H910,cfg_units,0))&gt;0,INDEX(cfg_fac,MATCH(H910,cfg_units,0)),""),""),""))</f>
        <v/>
      </c>
      <c r="Y910" s="96">
        <f>IF(AND(W910=1,ISNUMBER(I910)),1,0)</f>
        <v>0</v>
      </c>
      <c r="Z910" s="96">
        <f>IF(U910=1,INDEX('MTRs'!$AA$6:$AA$505,T910),0)</f>
        <v>0</v>
      </c>
      <c r="AA910" s="96">
        <f>IF(R910=0,0,COUNTIFS('RECEBIMENTOS'!$R$6:$R$1005,A910,'RECEBIMENTOS'!$Q$6:$Q$1005,1))</f>
        <v>0</v>
      </c>
      <c r="AB910" s="96">
        <f>IF(R910=0,0,COUNTIFS('RECEBIMENTOS'!$R$6:$R$1005,A910,'RECEBIMENTOS'!$Z$6:$Z$1005,1))</f>
        <v>0</v>
      </c>
      <c r="AC910" s="96">
        <f>IF(R910=0,0,COUNTIFS('RECEBIMENTOS'!$R$6:$R$1005,A910,'RECEBIMENTOS'!$Y$6:$Y$1005,1))</f>
        <v>0</v>
      </c>
      <c r="AD910" s="96">
        <f>IF(R910=0,0,COUNTIFS('VÍNCULOS_CDF'!$R$6:$R$1005,A910,'VÍNCULOS_CDF'!$N$6:$N$1005,1))</f>
        <v>0</v>
      </c>
      <c r="AE910" s="96">
        <f>IF(R910=0,0,COUNTIFS('VÍNCULOS_CDF'!$R$6:$R$1005,A910,'VÍNCULOS_CDF'!$AA$6:$AA$1005,1))</f>
        <v>0</v>
      </c>
      <c r="AF910" s="96">
        <f>IF(R910=0,0,COUNTIFS('VÍNCULOS_CDF'!$R$6:$R$1005,A910,'VÍNCULOS_CDF'!$Y$6:$Y$1005,1))</f>
        <v>0</v>
      </c>
      <c r="AG910" s="96" t="str">
        <f>IF(AND(R910=1,S910&lt;&gt;"",C910&lt;&gt;""),S910&amp;"|"&amp;C910&amp;"|"&amp;G910&amp;"|"&amp;H910,"")</f>
        <v/>
      </c>
      <c r="AH910" s="96">
        <f>IF(AG910="",0,IF(SUMPRODUCT(--($AG$6:$AG$1005=AG910))&gt;1,1,0))</f>
        <v>0</v>
      </c>
      <c r="AI910" s="96">
        <f>IF(R910=0,0,IF(OR(U910=0,V910=0,Y910=0,AND(AH910=1,K910&lt;&gt;"Sim")),1,0))</f>
        <v>0</v>
      </c>
      <c r="AJ910" s="96">
        <f>IF(AND(R910=1,AA910&gt;0,AB910=AA910),1,0)</f>
        <v>0</v>
      </c>
      <c r="AK910" s="96">
        <f>IF(R910=0,0,IF(AA910&gt;0,N(L910),IF(ISNUMBER(I910),I910,0)))</f>
        <v>0</v>
      </c>
      <c r="AL910" s="96">
        <f>IF(R910=0,0,IF(AND(K910&lt;&gt;"Sim",N(M910)&gt;AK910+cfg_tol),1,0))</f>
        <v>0</v>
      </c>
      <c r="AM910" s="96">
        <f>IF(R910=0,0,IF(K910="Sim",0,IF(OR(AND(AA910&gt;0,ISNUMBER(I910),ABS(I910-N(L910))&gt;cfg_tol),AL910=1),1,0)))</f>
        <v>0</v>
      </c>
      <c r="AN910" s="96">
        <f>IF(AND(R910=1,N(M910)&gt;0,OR(N(M910)&gt;=AK910-cfg_tol,K910="Sim")),1,0)</f>
        <v>0</v>
      </c>
      <c r="AO910" s="96">
        <f>IF(AND(AN910=1,AD910&gt;0,AE910=AD910,AL910=0),1,0)</f>
        <v>0</v>
      </c>
      <c r="AP910" s="96">
        <f>IF(U910=0,0,IF(AND(INDEX('MTRs'!$AX$6:$AX$505,T910)=1,Z910=0,OR(f_res="",f_res="(Todos)",C910=f_res)),1,0))</f>
        <v>0</v>
      </c>
      <c r="AQ910" s="97" t="str">
        <f>IF(U910=0,"",INDEX('MTRs'!$AZ$6:$AZ$505,T910))</f>
        <v/>
      </c>
      <c r="AR910" s="96">
        <f>IF(U910=0,0,IF(AND(INDEX('MTRs'!$BA$6:$BA$505,T910)=1,Z910=0),1,0))</f>
        <v>0</v>
      </c>
      <c r="AS910" s="96" t="str">
        <f>IF(R910=1,A910&amp;" | MTR "&amp;IF(U910=1,INDEX('MTRs'!$B$6:$B$505,T910)&amp;"","?")&amp;" | "&amp;IF(C910="","(sem resíduo)",C910),"")</f>
        <v/>
      </c>
      <c r="AT910" s="96" t="str">
        <f>IF(R910=1,COUNTIF($R$6:R910,1),"")</f>
        <v/>
      </c>
      <c r="AU910" s="96" t="str">
        <f>IF(U910=1,INDEX('MTRs'!$I$6:$I$505,T910)&amp;"","")</f>
        <v/>
      </c>
    </row>
    <row r="911">
      <c r="A911" s="89" t="inlineStr">
        <is>
          <t>IT-000906</t>
        </is>
      </c>
      <c r="B911" s="91" t="n"/>
      <c r="C911" s="91" t="n"/>
      <c r="D911" s="94" t="str">
        <f>IF(OR(R911=0,V911=0),"",INDEX('CAD_RESÍDUOS'!$E$6:$E$205,MATCH(C911,'CAD_RESÍDUOS'!$B$6:$B$205,0))&amp;"")</f>
        <v/>
      </c>
      <c r="E911" s="94" t="str">
        <f>IF(OR(R911=0,V911=0),"",INDEX('CAD_RESÍDUOS'!$C$6:$C$205,MATCH(C911,'CAD_RESÍDUOS'!$B$6:$B$205,0))&amp;"")</f>
        <v/>
      </c>
      <c r="F911" s="94" t="str">
        <f>IF(OR(R911=0,V911=0),"",INDEX('CAD_RESÍDUOS'!$G$6:$G$205,MATCH(C911,'CAD_RESÍDUOS'!$B$6:$B$205,0))&amp;"")</f>
        <v/>
      </c>
      <c r="G911" s="98" t="n"/>
      <c r="H911" s="91" t="n"/>
      <c r="I911" s="93" t="str">
        <f>IF(R911=0,"",IF(NOT(ISNUMBER(G911)),"",IF(ISNUMBER(X911),G911*X911,"UNIDADE A CONFERIR")))</f>
        <v/>
      </c>
      <c r="J911" s="91" t="n"/>
      <c r="K911" s="91" t="n"/>
      <c r="L911" s="93" t="str">
        <f>IF(R911=0,"",SUMIFS('RECEBIMENTOS'!$H$6:$H$1005,'RECEBIMENTOS'!$R$6:$R$1005,A911,'RECEBIMENTOS'!$X$6:$X$1005,1))</f>
        <v/>
      </c>
      <c r="M911" s="93" t="str">
        <f>IF(R911=0,"",SUMIFS('VÍNCULOS_CDF'!$H$6:$H$1005,'VÍNCULOS_CDF'!$R$6:$R$1005,A911,'VÍNCULOS_CDF'!$V$6:$V$1005,1))</f>
        <v/>
      </c>
      <c r="N911" s="99" t="str">
        <f>IF(OR(R911=0,AA911=0,NOT(ISNUMBER(I911))),"",I911-N(L911))</f>
        <v/>
      </c>
      <c r="O911" s="100" t="str">
        <f>IF(OR(R911=0,AK911&lt;=0),"",N(M911)/AK911)</f>
        <v/>
      </c>
      <c r="P911" s="94" t="str">
        <f>IF(R911=0,"",IF(S911="","Sem MTR associado",IF(U911=0,"MTR inexistente",IF(C911="","Resíduo não identificado",IF(V911=0,"Resíduo fora do cadastro",IF(W911=0,"Quantidade inválida",IF(H911="","Unidade não informada",IF(NOT(ISNUMBER(I911)),"Unidade a conferir",IF(AND(AH911=1,K911&lt;&gt;"Sim"),"Possível duplicidade",IF(Z911=1,"MTR cancelado",IF(AC911&gt;0,"Recebimento com alerta",IF(AA911=0,"Aguardando recebimento",IF(AB911&lt;AA911,"Recebimento a conferir",IF(AM911=1,"Quantidade a revisar",IF(AF911&gt;0,"Vínculo a revisar",IF(AD911=0,"Aguardando CDF",IF(AN911=0,"Vínculo de CDF parcial",IF(AE911&lt;AD911,"CDF a conferir","Documentação conferida"))))))))))))))))))</f>
        <v/>
      </c>
      <c r="Q911" s="93" t="str">
        <f>IF(OR(R911=0,AA911=0),"",MAX(0,N(L911)-N(M911)))</f>
        <v/>
      </c>
      <c r="R911" s="96">
        <f>IF(COUNTA(B911:C911,G911:H911,J911:K911)&gt;0,1,0)</f>
        <v>0</v>
      </c>
      <c r="S911" s="96" t="str">
        <f>IF(B911="","",TRIM(LEFT(B911,FIND(" |",B911&amp;" |")-1)))</f>
        <v/>
      </c>
      <c r="T911" s="96" t="str">
        <f>IF(S911="","",IFERROR(MATCH(S911,'MTRs'!$A$6:$A$505,0),""))</f>
        <v/>
      </c>
      <c r="U911" s="96">
        <f>IF(T911="",0,IF(INDEX('MTRs'!$Z$6:$Z$505,T911)=1,1,0))</f>
        <v>0</v>
      </c>
      <c r="V911" s="96">
        <f>IF(C911="",0,IF(ISNUMBER(MATCH(C911,'CAD_RESÍDUOS'!$B$6:$B$205,0)),1,0))</f>
        <v>0</v>
      </c>
      <c r="W911" s="96">
        <f>IF(AND(ISNUMBER(G911),G911&gt;0),1,0)</f>
        <v>0</v>
      </c>
      <c r="X911" s="96" t="str">
        <f>IF(H911="","",IFERROR(IF(ISNUMBER(INDEX(cfg_fac,MATCH(H911,cfg_units,0))),IF(INDEX(cfg_fac,MATCH(H911,cfg_units,0))&gt;0,INDEX(cfg_fac,MATCH(H911,cfg_units,0)),""),""),""))</f>
        <v/>
      </c>
      <c r="Y911" s="96">
        <f>IF(AND(W911=1,ISNUMBER(I911)),1,0)</f>
        <v>0</v>
      </c>
      <c r="Z911" s="96">
        <f>IF(U911=1,INDEX('MTRs'!$AA$6:$AA$505,T911),0)</f>
        <v>0</v>
      </c>
      <c r="AA911" s="96">
        <f>IF(R911=0,0,COUNTIFS('RECEBIMENTOS'!$R$6:$R$1005,A911,'RECEBIMENTOS'!$Q$6:$Q$1005,1))</f>
        <v>0</v>
      </c>
      <c r="AB911" s="96">
        <f>IF(R911=0,0,COUNTIFS('RECEBIMENTOS'!$R$6:$R$1005,A911,'RECEBIMENTOS'!$Z$6:$Z$1005,1))</f>
        <v>0</v>
      </c>
      <c r="AC911" s="96">
        <f>IF(R911=0,0,COUNTIFS('RECEBIMENTOS'!$R$6:$R$1005,A911,'RECEBIMENTOS'!$Y$6:$Y$1005,1))</f>
        <v>0</v>
      </c>
      <c r="AD911" s="96">
        <f>IF(R911=0,0,COUNTIFS('VÍNCULOS_CDF'!$R$6:$R$1005,A911,'VÍNCULOS_CDF'!$N$6:$N$1005,1))</f>
        <v>0</v>
      </c>
      <c r="AE911" s="96">
        <f>IF(R911=0,0,COUNTIFS('VÍNCULOS_CDF'!$R$6:$R$1005,A911,'VÍNCULOS_CDF'!$AA$6:$AA$1005,1))</f>
        <v>0</v>
      </c>
      <c r="AF911" s="96">
        <f>IF(R911=0,0,COUNTIFS('VÍNCULOS_CDF'!$R$6:$R$1005,A911,'VÍNCULOS_CDF'!$Y$6:$Y$1005,1))</f>
        <v>0</v>
      </c>
      <c r="AG911" s="96" t="str">
        <f>IF(AND(R911=1,S911&lt;&gt;"",C911&lt;&gt;""),S911&amp;"|"&amp;C911&amp;"|"&amp;G911&amp;"|"&amp;H911,"")</f>
        <v/>
      </c>
      <c r="AH911" s="96">
        <f>IF(AG911="",0,IF(SUMPRODUCT(--($AG$6:$AG$1005=AG911))&gt;1,1,0))</f>
        <v>0</v>
      </c>
      <c r="AI911" s="96">
        <f>IF(R911=0,0,IF(OR(U911=0,V911=0,Y911=0,AND(AH911=1,K911&lt;&gt;"Sim")),1,0))</f>
        <v>0</v>
      </c>
      <c r="AJ911" s="96">
        <f>IF(AND(R911=1,AA911&gt;0,AB911=AA911),1,0)</f>
        <v>0</v>
      </c>
      <c r="AK911" s="96">
        <f>IF(R911=0,0,IF(AA911&gt;0,N(L911),IF(ISNUMBER(I911),I911,0)))</f>
        <v>0</v>
      </c>
      <c r="AL911" s="96">
        <f>IF(R911=0,0,IF(AND(K911&lt;&gt;"Sim",N(M911)&gt;AK911+cfg_tol),1,0))</f>
        <v>0</v>
      </c>
      <c r="AM911" s="96">
        <f>IF(R911=0,0,IF(K911="Sim",0,IF(OR(AND(AA911&gt;0,ISNUMBER(I911),ABS(I911-N(L911))&gt;cfg_tol),AL911=1),1,0)))</f>
        <v>0</v>
      </c>
      <c r="AN911" s="96">
        <f>IF(AND(R911=1,N(M911)&gt;0,OR(N(M911)&gt;=AK911-cfg_tol,K911="Sim")),1,0)</f>
        <v>0</v>
      </c>
      <c r="AO911" s="96">
        <f>IF(AND(AN911=1,AD911&gt;0,AE911=AD911,AL911=0),1,0)</f>
        <v>0</v>
      </c>
      <c r="AP911" s="96">
        <f>IF(U911=0,0,IF(AND(INDEX('MTRs'!$AX$6:$AX$505,T911)=1,Z911=0,OR(f_res="",f_res="(Todos)",C911=f_res)),1,0))</f>
        <v>0</v>
      </c>
      <c r="AQ911" s="97" t="str">
        <f>IF(U911=0,"",INDEX('MTRs'!$AZ$6:$AZ$505,T911))</f>
        <v/>
      </c>
      <c r="AR911" s="96">
        <f>IF(U911=0,0,IF(AND(INDEX('MTRs'!$BA$6:$BA$505,T911)=1,Z911=0),1,0))</f>
        <v>0</v>
      </c>
      <c r="AS911" s="96" t="str">
        <f>IF(R911=1,A911&amp;" | MTR "&amp;IF(U911=1,INDEX('MTRs'!$B$6:$B$505,T911)&amp;"","?")&amp;" | "&amp;IF(C911="","(sem resíduo)",C911),"")</f>
        <v/>
      </c>
      <c r="AT911" s="96" t="str">
        <f>IF(R911=1,COUNTIF($R$6:R911,1),"")</f>
        <v/>
      </c>
      <c r="AU911" s="96" t="str">
        <f>IF(U911=1,INDEX('MTRs'!$I$6:$I$505,T911)&amp;"","")</f>
        <v/>
      </c>
    </row>
    <row r="912">
      <c r="A912" s="89" t="inlineStr">
        <is>
          <t>IT-000907</t>
        </is>
      </c>
      <c r="B912" s="91" t="n"/>
      <c r="C912" s="91" t="n"/>
      <c r="D912" s="94" t="str">
        <f>IF(OR(R912=0,V912=0),"",INDEX('CAD_RESÍDUOS'!$E$6:$E$205,MATCH(C912,'CAD_RESÍDUOS'!$B$6:$B$205,0))&amp;"")</f>
        <v/>
      </c>
      <c r="E912" s="94" t="str">
        <f>IF(OR(R912=0,V912=0),"",INDEX('CAD_RESÍDUOS'!$C$6:$C$205,MATCH(C912,'CAD_RESÍDUOS'!$B$6:$B$205,0))&amp;"")</f>
        <v/>
      </c>
      <c r="F912" s="94" t="str">
        <f>IF(OR(R912=0,V912=0),"",INDEX('CAD_RESÍDUOS'!$G$6:$G$205,MATCH(C912,'CAD_RESÍDUOS'!$B$6:$B$205,0))&amp;"")</f>
        <v/>
      </c>
      <c r="G912" s="98" t="n"/>
      <c r="H912" s="91" t="n"/>
      <c r="I912" s="93" t="str">
        <f>IF(R912=0,"",IF(NOT(ISNUMBER(G912)),"",IF(ISNUMBER(X912),G912*X912,"UNIDADE A CONFERIR")))</f>
        <v/>
      </c>
      <c r="J912" s="91" t="n"/>
      <c r="K912" s="91" t="n"/>
      <c r="L912" s="93" t="str">
        <f>IF(R912=0,"",SUMIFS('RECEBIMENTOS'!$H$6:$H$1005,'RECEBIMENTOS'!$R$6:$R$1005,A912,'RECEBIMENTOS'!$X$6:$X$1005,1))</f>
        <v/>
      </c>
      <c r="M912" s="93" t="str">
        <f>IF(R912=0,"",SUMIFS('VÍNCULOS_CDF'!$H$6:$H$1005,'VÍNCULOS_CDF'!$R$6:$R$1005,A912,'VÍNCULOS_CDF'!$V$6:$V$1005,1))</f>
        <v/>
      </c>
      <c r="N912" s="99" t="str">
        <f>IF(OR(R912=0,AA912=0,NOT(ISNUMBER(I912))),"",I912-N(L912))</f>
        <v/>
      </c>
      <c r="O912" s="100" t="str">
        <f>IF(OR(R912=0,AK912&lt;=0),"",N(M912)/AK912)</f>
        <v/>
      </c>
      <c r="P912" s="94" t="str">
        <f>IF(R912=0,"",IF(S912="","Sem MTR associado",IF(U912=0,"MTR inexistente",IF(C912="","Resíduo não identificado",IF(V912=0,"Resíduo fora do cadastro",IF(W912=0,"Quantidade inválida",IF(H912="","Unidade não informada",IF(NOT(ISNUMBER(I912)),"Unidade a conferir",IF(AND(AH912=1,K912&lt;&gt;"Sim"),"Possível duplicidade",IF(Z912=1,"MTR cancelado",IF(AC912&gt;0,"Recebimento com alerta",IF(AA912=0,"Aguardando recebimento",IF(AB912&lt;AA912,"Recebimento a conferir",IF(AM912=1,"Quantidade a revisar",IF(AF912&gt;0,"Vínculo a revisar",IF(AD912=0,"Aguardando CDF",IF(AN912=0,"Vínculo de CDF parcial",IF(AE912&lt;AD912,"CDF a conferir","Documentação conferida"))))))))))))))))))</f>
        <v/>
      </c>
      <c r="Q912" s="93" t="str">
        <f>IF(OR(R912=0,AA912=0),"",MAX(0,N(L912)-N(M912)))</f>
        <v/>
      </c>
      <c r="R912" s="96">
        <f>IF(COUNTA(B912:C912,G912:H912,J912:K912)&gt;0,1,0)</f>
        <v>0</v>
      </c>
      <c r="S912" s="96" t="str">
        <f>IF(B912="","",TRIM(LEFT(B912,FIND(" |",B912&amp;" |")-1)))</f>
        <v/>
      </c>
      <c r="T912" s="96" t="str">
        <f>IF(S912="","",IFERROR(MATCH(S912,'MTRs'!$A$6:$A$505,0),""))</f>
        <v/>
      </c>
      <c r="U912" s="96">
        <f>IF(T912="",0,IF(INDEX('MTRs'!$Z$6:$Z$505,T912)=1,1,0))</f>
        <v>0</v>
      </c>
      <c r="V912" s="96">
        <f>IF(C912="",0,IF(ISNUMBER(MATCH(C912,'CAD_RESÍDUOS'!$B$6:$B$205,0)),1,0))</f>
        <v>0</v>
      </c>
      <c r="W912" s="96">
        <f>IF(AND(ISNUMBER(G912),G912&gt;0),1,0)</f>
        <v>0</v>
      </c>
      <c r="X912" s="96" t="str">
        <f>IF(H912="","",IFERROR(IF(ISNUMBER(INDEX(cfg_fac,MATCH(H912,cfg_units,0))),IF(INDEX(cfg_fac,MATCH(H912,cfg_units,0))&gt;0,INDEX(cfg_fac,MATCH(H912,cfg_units,0)),""),""),""))</f>
        <v/>
      </c>
      <c r="Y912" s="96">
        <f>IF(AND(W912=1,ISNUMBER(I912)),1,0)</f>
        <v>0</v>
      </c>
      <c r="Z912" s="96">
        <f>IF(U912=1,INDEX('MTRs'!$AA$6:$AA$505,T912),0)</f>
        <v>0</v>
      </c>
      <c r="AA912" s="96">
        <f>IF(R912=0,0,COUNTIFS('RECEBIMENTOS'!$R$6:$R$1005,A912,'RECEBIMENTOS'!$Q$6:$Q$1005,1))</f>
        <v>0</v>
      </c>
      <c r="AB912" s="96">
        <f>IF(R912=0,0,COUNTIFS('RECEBIMENTOS'!$R$6:$R$1005,A912,'RECEBIMENTOS'!$Z$6:$Z$1005,1))</f>
        <v>0</v>
      </c>
      <c r="AC912" s="96">
        <f>IF(R912=0,0,COUNTIFS('RECEBIMENTOS'!$R$6:$R$1005,A912,'RECEBIMENTOS'!$Y$6:$Y$1005,1))</f>
        <v>0</v>
      </c>
      <c r="AD912" s="96">
        <f>IF(R912=0,0,COUNTIFS('VÍNCULOS_CDF'!$R$6:$R$1005,A912,'VÍNCULOS_CDF'!$N$6:$N$1005,1))</f>
        <v>0</v>
      </c>
      <c r="AE912" s="96">
        <f>IF(R912=0,0,COUNTIFS('VÍNCULOS_CDF'!$R$6:$R$1005,A912,'VÍNCULOS_CDF'!$AA$6:$AA$1005,1))</f>
        <v>0</v>
      </c>
      <c r="AF912" s="96">
        <f>IF(R912=0,0,COUNTIFS('VÍNCULOS_CDF'!$R$6:$R$1005,A912,'VÍNCULOS_CDF'!$Y$6:$Y$1005,1))</f>
        <v>0</v>
      </c>
      <c r="AG912" s="96" t="str">
        <f>IF(AND(R912=1,S912&lt;&gt;"",C912&lt;&gt;""),S912&amp;"|"&amp;C912&amp;"|"&amp;G912&amp;"|"&amp;H912,"")</f>
        <v/>
      </c>
      <c r="AH912" s="96">
        <f>IF(AG912="",0,IF(SUMPRODUCT(--($AG$6:$AG$1005=AG912))&gt;1,1,0))</f>
        <v>0</v>
      </c>
      <c r="AI912" s="96">
        <f>IF(R912=0,0,IF(OR(U912=0,V912=0,Y912=0,AND(AH912=1,K912&lt;&gt;"Sim")),1,0))</f>
        <v>0</v>
      </c>
      <c r="AJ912" s="96">
        <f>IF(AND(R912=1,AA912&gt;0,AB912=AA912),1,0)</f>
        <v>0</v>
      </c>
      <c r="AK912" s="96">
        <f>IF(R912=0,0,IF(AA912&gt;0,N(L912),IF(ISNUMBER(I912),I912,0)))</f>
        <v>0</v>
      </c>
      <c r="AL912" s="96">
        <f>IF(R912=0,0,IF(AND(K912&lt;&gt;"Sim",N(M912)&gt;AK912+cfg_tol),1,0))</f>
        <v>0</v>
      </c>
      <c r="AM912" s="96">
        <f>IF(R912=0,0,IF(K912="Sim",0,IF(OR(AND(AA912&gt;0,ISNUMBER(I912),ABS(I912-N(L912))&gt;cfg_tol),AL912=1),1,0)))</f>
        <v>0</v>
      </c>
      <c r="AN912" s="96">
        <f>IF(AND(R912=1,N(M912)&gt;0,OR(N(M912)&gt;=AK912-cfg_tol,K912="Sim")),1,0)</f>
        <v>0</v>
      </c>
      <c r="AO912" s="96">
        <f>IF(AND(AN912=1,AD912&gt;0,AE912=AD912,AL912=0),1,0)</f>
        <v>0</v>
      </c>
      <c r="AP912" s="96">
        <f>IF(U912=0,0,IF(AND(INDEX('MTRs'!$AX$6:$AX$505,T912)=1,Z912=0,OR(f_res="",f_res="(Todos)",C912=f_res)),1,0))</f>
        <v>0</v>
      </c>
      <c r="AQ912" s="97" t="str">
        <f>IF(U912=0,"",INDEX('MTRs'!$AZ$6:$AZ$505,T912))</f>
        <v/>
      </c>
      <c r="AR912" s="96">
        <f>IF(U912=0,0,IF(AND(INDEX('MTRs'!$BA$6:$BA$505,T912)=1,Z912=0),1,0))</f>
        <v>0</v>
      </c>
      <c r="AS912" s="96" t="str">
        <f>IF(R912=1,A912&amp;" | MTR "&amp;IF(U912=1,INDEX('MTRs'!$B$6:$B$505,T912)&amp;"","?")&amp;" | "&amp;IF(C912="","(sem resíduo)",C912),"")</f>
        <v/>
      </c>
      <c r="AT912" s="96" t="str">
        <f>IF(R912=1,COUNTIF($R$6:R912,1),"")</f>
        <v/>
      </c>
      <c r="AU912" s="96" t="str">
        <f>IF(U912=1,INDEX('MTRs'!$I$6:$I$505,T912)&amp;"","")</f>
        <v/>
      </c>
    </row>
    <row r="913">
      <c r="A913" s="89" t="inlineStr">
        <is>
          <t>IT-000908</t>
        </is>
      </c>
      <c r="B913" s="91" t="n"/>
      <c r="C913" s="91" t="n"/>
      <c r="D913" s="94" t="str">
        <f>IF(OR(R913=0,V913=0),"",INDEX('CAD_RESÍDUOS'!$E$6:$E$205,MATCH(C913,'CAD_RESÍDUOS'!$B$6:$B$205,0))&amp;"")</f>
        <v/>
      </c>
      <c r="E913" s="94" t="str">
        <f>IF(OR(R913=0,V913=0),"",INDEX('CAD_RESÍDUOS'!$C$6:$C$205,MATCH(C913,'CAD_RESÍDUOS'!$B$6:$B$205,0))&amp;"")</f>
        <v/>
      </c>
      <c r="F913" s="94" t="str">
        <f>IF(OR(R913=0,V913=0),"",INDEX('CAD_RESÍDUOS'!$G$6:$G$205,MATCH(C913,'CAD_RESÍDUOS'!$B$6:$B$205,0))&amp;"")</f>
        <v/>
      </c>
      <c r="G913" s="98" t="n"/>
      <c r="H913" s="91" t="n"/>
      <c r="I913" s="93" t="str">
        <f>IF(R913=0,"",IF(NOT(ISNUMBER(G913)),"",IF(ISNUMBER(X913),G913*X913,"UNIDADE A CONFERIR")))</f>
        <v/>
      </c>
      <c r="J913" s="91" t="n"/>
      <c r="K913" s="91" t="n"/>
      <c r="L913" s="93" t="str">
        <f>IF(R913=0,"",SUMIFS('RECEBIMENTOS'!$H$6:$H$1005,'RECEBIMENTOS'!$R$6:$R$1005,A913,'RECEBIMENTOS'!$X$6:$X$1005,1))</f>
        <v/>
      </c>
      <c r="M913" s="93" t="str">
        <f>IF(R913=0,"",SUMIFS('VÍNCULOS_CDF'!$H$6:$H$1005,'VÍNCULOS_CDF'!$R$6:$R$1005,A913,'VÍNCULOS_CDF'!$V$6:$V$1005,1))</f>
        <v/>
      </c>
      <c r="N913" s="99" t="str">
        <f>IF(OR(R913=0,AA913=0,NOT(ISNUMBER(I913))),"",I913-N(L913))</f>
        <v/>
      </c>
      <c r="O913" s="100" t="str">
        <f>IF(OR(R913=0,AK913&lt;=0),"",N(M913)/AK913)</f>
        <v/>
      </c>
      <c r="P913" s="94" t="str">
        <f>IF(R913=0,"",IF(S913="","Sem MTR associado",IF(U913=0,"MTR inexistente",IF(C913="","Resíduo não identificado",IF(V913=0,"Resíduo fora do cadastro",IF(W913=0,"Quantidade inválida",IF(H913="","Unidade não informada",IF(NOT(ISNUMBER(I913)),"Unidade a conferir",IF(AND(AH913=1,K913&lt;&gt;"Sim"),"Possível duplicidade",IF(Z913=1,"MTR cancelado",IF(AC913&gt;0,"Recebimento com alerta",IF(AA913=0,"Aguardando recebimento",IF(AB913&lt;AA913,"Recebimento a conferir",IF(AM913=1,"Quantidade a revisar",IF(AF913&gt;0,"Vínculo a revisar",IF(AD913=0,"Aguardando CDF",IF(AN913=0,"Vínculo de CDF parcial",IF(AE913&lt;AD913,"CDF a conferir","Documentação conferida"))))))))))))))))))</f>
        <v/>
      </c>
      <c r="Q913" s="93" t="str">
        <f>IF(OR(R913=0,AA913=0),"",MAX(0,N(L913)-N(M913)))</f>
        <v/>
      </c>
      <c r="R913" s="96">
        <f>IF(COUNTA(B913:C913,G913:H913,J913:K913)&gt;0,1,0)</f>
        <v>0</v>
      </c>
      <c r="S913" s="96" t="str">
        <f>IF(B913="","",TRIM(LEFT(B913,FIND(" |",B913&amp;" |")-1)))</f>
        <v/>
      </c>
      <c r="T913" s="96" t="str">
        <f>IF(S913="","",IFERROR(MATCH(S913,'MTRs'!$A$6:$A$505,0),""))</f>
        <v/>
      </c>
      <c r="U913" s="96">
        <f>IF(T913="",0,IF(INDEX('MTRs'!$Z$6:$Z$505,T913)=1,1,0))</f>
        <v>0</v>
      </c>
      <c r="V913" s="96">
        <f>IF(C913="",0,IF(ISNUMBER(MATCH(C913,'CAD_RESÍDUOS'!$B$6:$B$205,0)),1,0))</f>
        <v>0</v>
      </c>
      <c r="W913" s="96">
        <f>IF(AND(ISNUMBER(G913),G913&gt;0),1,0)</f>
        <v>0</v>
      </c>
      <c r="X913" s="96" t="str">
        <f>IF(H913="","",IFERROR(IF(ISNUMBER(INDEX(cfg_fac,MATCH(H913,cfg_units,0))),IF(INDEX(cfg_fac,MATCH(H913,cfg_units,0))&gt;0,INDEX(cfg_fac,MATCH(H913,cfg_units,0)),""),""),""))</f>
        <v/>
      </c>
      <c r="Y913" s="96">
        <f>IF(AND(W913=1,ISNUMBER(I913)),1,0)</f>
        <v>0</v>
      </c>
      <c r="Z913" s="96">
        <f>IF(U913=1,INDEX('MTRs'!$AA$6:$AA$505,T913),0)</f>
        <v>0</v>
      </c>
      <c r="AA913" s="96">
        <f>IF(R913=0,0,COUNTIFS('RECEBIMENTOS'!$R$6:$R$1005,A913,'RECEBIMENTOS'!$Q$6:$Q$1005,1))</f>
        <v>0</v>
      </c>
      <c r="AB913" s="96">
        <f>IF(R913=0,0,COUNTIFS('RECEBIMENTOS'!$R$6:$R$1005,A913,'RECEBIMENTOS'!$Z$6:$Z$1005,1))</f>
        <v>0</v>
      </c>
      <c r="AC913" s="96">
        <f>IF(R913=0,0,COUNTIFS('RECEBIMENTOS'!$R$6:$R$1005,A913,'RECEBIMENTOS'!$Y$6:$Y$1005,1))</f>
        <v>0</v>
      </c>
      <c r="AD913" s="96">
        <f>IF(R913=0,0,COUNTIFS('VÍNCULOS_CDF'!$R$6:$R$1005,A913,'VÍNCULOS_CDF'!$N$6:$N$1005,1))</f>
        <v>0</v>
      </c>
      <c r="AE913" s="96">
        <f>IF(R913=0,0,COUNTIFS('VÍNCULOS_CDF'!$R$6:$R$1005,A913,'VÍNCULOS_CDF'!$AA$6:$AA$1005,1))</f>
        <v>0</v>
      </c>
      <c r="AF913" s="96">
        <f>IF(R913=0,0,COUNTIFS('VÍNCULOS_CDF'!$R$6:$R$1005,A913,'VÍNCULOS_CDF'!$Y$6:$Y$1005,1))</f>
        <v>0</v>
      </c>
      <c r="AG913" s="96" t="str">
        <f>IF(AND(R913=1,S913&lt;&gt;"",C913&lt;&gt;""),S913&amp;"|"&amp;C913&amp;"|"&amp;G913&amp;"|"&amp;H913,"")</f>
        <v/>
      </c>
      <c r="AH913" s="96">
        <f>IF(AG913="",0,IF(SUMPRODUCT(--($AG$6:$AG$1005=AG913))&gt;1,1,0))</f>
        <v>0</v>
      </c>
      <c r="AI913" s="96">
        <f>IF(R913=0,0,IF(OR(U913=0,V913=0,Y913=0,AND(AH913=1,K913&lt;&gt;"Sim")),1,0))</f>
        <v>0</v>
      </c>
      <c r="AJ913" s="96">
        <f>IF(AND(R913=1,AA913&gt;0,AB913=AA913),1,0)</f>
        <v>0</v>
      </c>
      <c r="AK913" s="96">
        <f>IF(R913=0,0,IF(AA913&gt;0,N(L913),IF(ISNUMBER(I913),I913,0)))</f>
        <v>0</v>
      </c>
      <c r="AL913" s="96">
        <f>IF(R913=0,0,IF(AND(K913&lt;&gt;"Sim",N(M913)&gt;AK913+cfg_tol),1,0))</f>
        <v>0</v>
      </c>
      <c r="AM913" s="96">
        <f>IF(R913=0,0,IF(K913="Sim",0,IF(OR(AND(AA913&gt;0,ISNUMBER(I913),ABS(I913-N(L913))&gt;cfg_tol),AL913=1),1,0)))</f>
        <v>0</v>
      </c>
      <c r="AN913" s="96">
        <f>IF(AND(R913=1,N(M913)&gt;0,OR(N(M913)&gt;=AK913-cfg_tol,K913="Sim")),1,0)</f>
        <v>0</v>
      </c>
      <c r="AO913" s="96">
        <f>IF(AND(AN913=1,AD913&gt;0,AE913=AD913,AL913=0),1,0)</f>
        <v>0</v>
      </c>
      <c r="AP913" s="96">
        <f>IF(U913=0,0,IF(AND(INDEX('MTRs'!$AX$6:$AX$505,T913)=1,Z913=0,OR(f_res="",f_res="(Todos)",C913=f_res)),1,0))</f>
        <v>0</v>
      </c>
      <c r="AQ913" s="97" t="str">
        <f>IF(U913=0,"",INDEX('MTRs'!$AZ$6:$AZ$505,T913))</f>
        <v/>
      </c>
      <c r="AR913" s="96">
        <f>IF(U913=0,0,IF(AND(INDEX('MTRs'!$BA$6:$BA$505,T913)=1,Z913=0),1,0))</f>
        <v>0</v>
      </c>
      <c r="AS913" s="96" t="str">
        <f>IF(R913=1,A913&amp;" | MTR "&amp;IF(U913=1,INDEX('MTRs'!$B$6:$B$505,T913)&amp;"","?")&amp;" | "&amp;IF(C913="","(sem resíduo)",C913),"")</f>
        <v/>
      </c>
      <c r="AT913" s="96" t="str">
        <f>IF(R913=1,COUNTIF($R$6:R913,1),"")</f>
        <v/>
      </c>
      <c r="AU913" s="96" t="str">
        <f>IF(U913=1,INDEX('MTRs'!$I$6:$I$505,T913)&amp;"","")</f>
        <v/>
      </c>
    </row>
    <row r="914">
      <c r="A914" s="89" t="inlineStr">
        <is>
          <t>IT-000909</t>
        </is>
      </c>
      <c r="B914" s="91" t="n"/>
      <c r="C914" s="91" t="n"/>
      <c r="D914" s="94" t="str">
        <f>IF(OR(R914=0,V914=0),"",INDEX('CAD_RESÍDUOS'!$E$6:$E$205,MATCH(C914,'CAD_RESÍDUOS'!$B$6:$B$205,0))&amp;"")</f>
        <v/>
      </c>
      <c r="E914" s="94" t="str">
        <f>IF(OR(R914=0,V914=0),"",INDEX('CAD_RESÍDUOS'!$C$6:$C$205,MATCH(C914,'CAD_RESÍDUOS'!$B$6:$B$205,0))&amp;"")</f>
        <v/>
      </c>
      <c r="F914" s="94" t="str">
        <f>IF(OR(R914=0,V914=0),"",INDEX('CAD_RESÍDUOS'!$G$6:$G$205,MATCH(C914,'CAD_RESÍDUOS'!$B$6:$B$205,0))&amp;"")</f>
        <v/>
      </c>
      <c r="G914" s="98" t="n"/>
      <c r="H914" s="91" t="n"/>
      <c r="I914" s="93" t="str">
        <f>IF(R914=0,"",IF(NOT(ISNUMBER(G914)),"",IF(ISNUMBER(X914),G914*X914,"UNIDADE A CONFERIR")))</f>
        <v/>
      </c>
      <c r="J914" s="91" t="n"/>
      <c r="K914" s="91" t="n"/>
      <c r="L914" s="93" t="str">
        <f>IF(R914=0,"",SUMIFS('RECEBIMENTOS'!$H$6:$H$1005,'RECEBIMENTOS'!$R$6:$R$1005,A914,'RECEBIMENTOS'!$X$6:$X$1005,1))</f>
        <v/>
      </c>
      <c r="M914" s="93" t="str">
        <f>IF(R914=0,"",SUMIFS('VÍNCULOS_CDF'!$H$6:$H$1005,'VÍNCULOS_CDF'!$R$6:$R$1005,A914,'VÍNCULOS_CDF'!$V$6:$V$1005,1))</f>
        <v/>
      </c>
      <c r="N914" s="99" t="str">
        <f>IF(OR(R914=0,AA914=0,NOT(ISNUMBER(I914))),"",I914-N(L914))</f>
        <v/>
      </c>
      <c r="O914" s="100" t="str">
        <f>IF(OR(R914=0,AK914&lt;=0),"",N(M914)/AK914)</f>
        <v/>
      </c>
      <c r="P914" s="94" t="str">
        <f>IF(R914=0,"",IF(S914="","Sem MTR associado",IF(U914=0,"MTR inexistente",IF(C914="","Resíduo não identificado",IF(V914=0,"Resíduo fora do cadastro",IF(W914=0,"Quantidade inválida",IF(H914="","Unidade não informada",IF(NOT(ISNUMBER(I914)),"Unidade a conferir",IF(AND(AH914=1,K914&lt;&gt;"Sim"),"Possível duplicidade",IF(Z914=1,"MTR cancelado",IF(AC914&gt;0,"Recebimento com alerta",IF(AA914=0,"Aguardando recebimento",IF(AB914&lt;AA914,"Recebimento a conferir",IF(AM914=1,"Quantidade a revisar",IF(AF914&gt;0,"Vínculo a revisar",IF(AD914=0,"Aguardando CDF",IF(AN914=0,"Vínculo de CDF parcial",IF(AE914&lt;AD914,"CDF a conferir","Documentação conferida"))))))))))))))))))</f>
        <v/>
      </c>
      <c r="Q914" s="93" t="str">
        <f>IF(OR(R914=0,AA914=0),"",MAX(0,N(L914)-N(M914)))</f>
        <v/>
      </c>
      <c r="R914" s="96">
        <f>IF(COUNTA(B914:C914,G914:H914,J914:K914)&gt;0,1,0)</f>
        <v>0</v>
      </c>
      <c r="S914" s="96" t="str">
        <f>IF(B914="","",TRIM(LEFT(B914,FIND(" |",B914&amp;" |")-1)))</f>
        <v/>
      </c>
      <c r="T914" s="96" t="str">
        <f>IF(S914="","",IFERROR(MATCH(S914,'MTRs'!$A$6:$A$505,0),""))</f>
        <v/>
      </c>
      <c r="U914" s="96">
        <f>IF(T914="",0,IF(INDEX('MTRs'!$Z$6:$Z$505,T914)=1,1,0))</f>
        <v>0</v>
      </c>
      <c r="V914" s="96">
        <f>IF(C914="",0,IF(ISNUMBER(MATCH(C914,'CAD_RESÍDUOS'!$B$6:$B$205,0)),1,0))</f>
        <v>0</v>
      </c>
      <c r="W914" s="96">
        <f>IF(AND(ISNUMBER(G914),G914&gt;0),1,0)</f>
        <v>0</v>
      </c>
      <c r="X914" s="96" t="str">
        <f>IF(H914="","",IFERROR(IF(ISNUMBER(INDEX(cfg_fac,MATCH(H914,cfg_units,0))),IF(INDEX(cfg_fac,MATCH(H914,cfg_units,0))&gt;0,INDEX(cfg_fac,MATCH(H914,cfg_units,0)),""),""),""))</f>
        <v/>
      </c>
      <c r="Y914" s="96">
        <f>IF(AND(W914=1,ISNUMBER(I914)),1,0)</f>
        <v>0</v>
      </c>
      <c r="Z914" s="96">
        <f>IF(U914=1,INDEX('MTRs'!$AA$6:$AA$505,T914),0)</f>
        <v>0</v>
      </c>
      <c r="AA914" s="96">
        <f>IF(R914=0,0,COUNTIFS('RECEBIMENTOS'!$R$6:$R$1005,A914,'RECEBIMENTOS'!$Q$6:$Q$1005,1))</f>
        <v>0</v>
      </c>
      <c r="AB914" s="96">
        <f>IF(R914=0,0,COUNTIFS('RECEBIMENTOS'!$R$6:$R$1005,A914,'RECEBIMENTOS'!$Z$6:$Z$1005,1))</f>
        <v>0</v>
      </c>
      <c r="AC914" s="96">
        <f>IF(R914=0,0,COUNTIFS('RECEBIMENTOS'!$R$6:$R$1005,A914,'RECEBIMENTOS'!$Y$6:$Y$1005,1))</f>
        <v>0</v>
      </c>
      <c r="AD914" s="96">
        <f>IF(R914=0,0,COUNTIFS('VÍNCULOS_CDF'!$R$6:$R$1005,A914,'VÍNCULOS_CDF'!$N$6:$N$1005,1))</f>
        <v>0</v>
      </c>
      <c r="AE914" s="96">
        <f>IF(R914=0,0,COUNTIFS('VÍNCULOS_CDF'!$R$6:$R$1005,A914,'VÍNCULOS_CDF'!$AA$6:$AA$1005,1))</f>
        <v>0</v>
      </c>
      <c r="AF914" s="96">
        <f>IF(R914=0,0,COUNTIFS('VÍNCULOS_CDF'!$R$6:$R$1005,A914,'VÍNCULOS_CDF'!$Y$6:$Y$1005,1))</f>
        <v>0</v>
      </c>
      <c r="AG914" s="96" t="str">
        <f>IF(AND(R914=1,S914&lt;&gt;"",C914&lt;&gt;""),S914&amp;"|"&amp;C914&amp;"|"&amp;G914&amp;"|"&amp;H914,"")</f>
        <v/>
      </c>
      <c r="AH914" s="96">
        <f>IF(AG914="",0,IF(SUMPRODUCT(--($AG$6:$AG$1005=AG914))&gt;1,1,0))</f>
        <v>0</v>
      </c>
      <c r="AI914" s="96">
        <f>IF(R914=0,0,IF(OR(U914=0,V914=0,Y914=0,AND(AH914=1,K914&lt;&gt;"Sim")),1,0))</f>
        <v>0</v>
      </c>
      <c r="AJ914" s="96">
        <f>IF(AND(R914=1,AA914&gt;0,AB914=AA914),1,0)</f>
        <v>0</v>
      </c>
      <c r="AK914" s="96">
        <f>IF(R914=0,0,IF(AA914&gt;0,N(L914),IF(ISNUMBER(I914),I914,0)))</f>
        <v>0</v>
      </c>
      <c r="AL914" s="96">
        <f>IF(R914=0,0,IF(AND(K914&lt;&gt;"Sim",N(M914)&gt;AK914+cfg_tol),1,0))</f>
        <v>0</v>
      </c>
      <c r="AM914" s="96">
        <f>IF(R914=0,0,IF(K914="Sim",0,IF(OR(AND(AA914&gt;0,ISNUMBER(I914),ABS(I914-N(L914))&gt;cfg_tol),AL914=1),1,0)))</f>
        <v>0</v>
      </c>
      <c r="AN914" s="96">
        <f>IF(AND(R914=1,N(M914)&gt;0,OR(N(M914)&gt;=AK914-cfg_tol,K914="Sim")),1,0)</f>
        <v>0</v>
      </c>
      <c r="AO914" s="96">
        <f>IF(AND(AN914=1,AD914&gt;0,AE914=AD914,AL914=0),1,0)</f>
        <v>0</v>
      </c>
      <c r="AP914" s="96">
        <f>IF(U914=0,0,IF(AND(INDEX('MTRs'!$AX$6:$AX$505,T914)=1,Z914=0,OR(f_res="",f_res="(Todos)",C914=f_res)),1,0))</f>
        <v>0</v>
      </c>
      <c r="AQ914" s="97" t="str">
        <f>IF(U914=0,"",INDEX('MTRs'!$AZ$6:$AZ$505,T914))</f>
        <v/>
      </c>
      <c r="AR914" s="96">
        <f>IF(U914=0,0,IF(AND(INDEX('MTRs'!$BA$6:$BA$505,T914)=1,Z914=0),1,0))</f>
        <v>0</v>
      </c>
      <c r="AS914" s="96" t="str">
        <f>IF(R914=1,A914&amp;" | MTR "&amp;IF(U914=1,INDEX('MTRs'!$B$6:$B$505,T914)&amp;"","?")&amp;" | "&amp;IF(C914="","(sem resíduo)",C914),"")</f>
        <v/>
      </c>
      <c r="AT914" s="96" t="str">
        <f>IF(R914=1,COUNTIF($R$6:R914,1),"")</f>
        <v/>
      </c>
      <c r="AU914" s="96" t="str">
        <f>IF(U914=1,INDEX('MTRs'!$I$6:$I$505,T914)&amp;"","")</f>
        <v/>
      </c>
    </row>
    <row r="915">
      <c r="A915" s="89" t="inlineStr">
        <is>
          <t>IT-000910</t>
        </is>
      </c>
      <c r="B915" s="91" t="n"/>
      <c r="C915" s="91" t="n"/>
      <c r="D915" s="94" t="str">
        <f>IF(OR(R915=0,V915=0),"",INDEX('CAD_RESÍDUOS'!$E$6:$E$205,MATCH(C915,'CAD_RESÍDUOS'!$B$6:$B$205,0))&amp;"")</f>
        <v/>
      </c>
      <c r="E915" s="94" t="str">
        <f>IF(OR(R915=0,V915=0),"",INDEX('CAD_RESÍDUOS'!$C$6:$C$205,MATCH(C915,'CAD_RESÍDUOS'!$B$6:$B$205,0))&amp;"")</f>
        <v/>
      </c>
      <c r="F915" s="94" t="str">
        <f>IF(OR(R915=0,V915=0),"",INDEX('CAD_RESÍDUOS'!$G$6:$G$205,MATCH(C915,'CAD_RESÍDUOS'!$B$6:$B$205,0))&amp;"")</f>
        <v/>
      </c>
      <c r="G915" s="98" t="n"/>
      <c r="H915" s="91" t="n"/>
      <c r="I915" s="93" t="str">
        <f>IF(R915=0,"",IF(NOT(ISNUMBER(G915)),"",IF(ISNUMBER(X915),G915*X915,"UNIDADE A CONFERIR")))</f>
        <v/>
      </c>
      <c r="J915" s="91" t="n"/>
      <c r="K915" s="91" t="n"/>
      <c r="L915" s="93" t="str">
        <f>IF(R915=0,"",SUMIFS('RECEBIMENTOS'!$H$6:$H$1005,'RECEBIMENTOS'!$R$6:$R$1005,A915,'RECEBIMENTOS'!$X$6:$X$1005,1))</f>
        <v/>
      </c>
      <c r="M915" s="93" t="str">
        <f>IF(R915=0,"",SUMIFS('VÍNCULOS_CDF'!$H$6:$H$1005,'VÍNCULOS_CDF'!$R$6:$R$1005,A915,'VÍNCULOS_CDF'!$V$6:$V$1005,1))</f>
        <v/>
      </c>
      <c r="N915" s="99" t="str">
        <f>IF(OR(R915=0,AA915=0,NOT(ISNUMBER(I915))),"",I915-N(L915))</f>
        <v/>
      </c>
      <c r="O915" s="100" t="str">
        <f>IF(OR(R915=0,AK915&lt;=0),"",N(M915)/AK915)</f>
        <v/>
      </c>
      <c r="P915" s="94" t="str">
        <f>IF(R915=0,"",IF(S915="","Sem MTR associado",IF(U915=0,"MTR inexistente",IF(C915="","Resíduo não identificado",IF(V915=0,"Resíduo fora do cadastro",IF(W915=0,"Quantidade inválida",IF(H915="","Unidade não informada",IF(NOT(ISNUMBER(I915)),"Unidade a conferir",IF(AND(AH915=1,K915&lt;&gt;"Sim"),"Possível duplicidade",IF(Z915=1,"MTR cancelado",IF(AC915&gt;0,"Recebimento com alerta",IF(AA915=0,"Aguardando recebimento",IF(AB915&lt;AA915,"Recebimento a conferir",IF(AM915=1,"Quantidade a revisar",IF(AF915&gt;0,"Vínculo a revisar",IF(AD915=0,"Aguardando CDF",IF(AN915=0,"Vínculo de CDF parcial",IF(AE915&lt;AD915,"CDF a conferir","Documentação conferida"))))))))))))))))))</f>
        <v/>
      </c>
      <c r="Q915" s="93" t="str">
        <f>IF(OR(R915=0,AA915=0),"",MAX(0,N(L915)-N(M915)))</f>
        <v/>
      </c>
      <c r="R915" s="96">
        <f>IF(COUNTA(B915:C915,G915:H915,J915:K915)&gt;0,1,0)</f>
        <v>0</v>
      </c>
      <c r="S915" s="96" t="str">
        <f>IF(B915="","",TRIM(LEFT(B915,FIND(" |",B915&amp;" |")-1)))</f>
        <v/>
      </c>
      <c r="T915" s="96" t="str">
        <f>IF(S915="","",IFERROR(MATCH(S915,'MTRs'!$A$6:$A$505,0),""))</f>
        <v/>
      </c>
      <c r="U915" s="96">
        <f>IF(T915="",0,IF(INDEX('MTRs'!$Z$6:$Z$505,T915)=1,1,0))</f>
        <v>0</v>
      </c>
      <c r="V915" s="96">
        <f>IF(C915="",0,IF(ISNUMBER(MATCH(C915,'CAD_RESÍDUOS'!$B$6:$B$205,0)),1,0))</f>
        <v>0</v>
      </c>
      <c r="W915" s="96">
        <f>IF(AND(ISNUMBER(G915),G915&gt;0),1,0)</f>
        <v>0</v>
      </c>
      <c r="X915" s="96" t="str">
        <f>IF(H915="","",IFERROR(IF(ISNUMBER(INDEX(cfg_fac,MATCH(H915,cfg_units,0))),IF(INDEX(cfg_fac,MATCH(H915,cfg_units,0))&gt;0,INDEX(cfg_fac,MATCH(H915,cfg_units,0)),""),""),""))</f>
        <v/>
      </c>
      <c r="Y915" s="96">
        <f>IF(AND(W915=1,ISNUMBER(I915)),1,0)</f>
        <v>0</v>
      </c>
      <c r="Z915" s="96">
        <f>IF(U915=1,INDEX('MTRs'!$AA$6:$AA$505,T915),0)</f>
        <v>0</v>
      </c>
      <c r="AA915" s="96">
        <f>IF(R915=0,0,COUNTIFS('RECEBIMENTOS'!$R$6:$R$1005,A915,'RECEBIMENTOS'!$Q$6:$Q$1005,1))</f>
        <v>0</v>
      </c>
      <c r="AB915" s="96">
        <f>IF(R915=0,0,COUNTIFS('RECEBIMENTOS'!$R$6:$R$1005,A915,'RECEBIMENTOS'!$Z$6:$Z$1005,1))</f>
        <v>0</v>
      </c>
      <c r="AC915" s="96">
        <f>IF(R915=0,0,COUNTIFS('RECEBIMENTOS'!$R$6:$R$1005,A915,'RECEBIMENTOS'!$Y$6:$Y$1005,1))</f>
        <v>0</v>
      </c>
      <c r="AD915" s="96">
        <f>IF(R915=0,0,COUNTIFS('VÍNCULOS_CDF'!$R$6:$R$1005,A915,'VÍNCULOS_CDF'!$N$6:$N$1005,1))</f>
        <v>0</v>
      </c>
      <c r="AE915" s="96">
        <f>IF(R915=0,0,COUNTIFS('VÍNCULOS_CDF'!$R$6:$R$1005,A915,'VÍNCULOS_CDF'!$AA$6:$AA$1005,1))</f>
        <v>0</v>
      </c>
      <c r="AF915" s="96">
        <f>IF(R915=0,0,COUNTIFS('VÍNCULOS_CDF'!$R$6:$R$1005,A915,'VÍNCULOS_CDF'!$Y$6:$Y$1005,1))</f>
        <v>0</v>
      </c>
      <c r="AG915" s="96" t="str">
        <f>IF(AND(R915=1,S915&lt;&gt;"",C915&lt;&gt;""),S915&amp;"|"&amp;C915&amp;"|"&amp;G915&amp;"|"&amp;H915,"")</f>
        <v/>
      </c>
      <c r="AH915" s="96">
        <f>IF(AG915="",0,IF(SUMPRODUCT(--($AG$6:$AG$1005=AG915))&gt;1,1,0))</f>
        <v>0</v>
      </c>
      <c r="AI915" s="96">
        <f>IF(R915=0,0,IF(OR(U915=0,V915=0,Y915=0,AND(AH915=1,K915&lt;&gt;"Sim")),1,0))</f>
        <v>0</v>
      </c>
      <c r="AJ915" s="96">
        <f>IF(AND(R915=1,AA915&gt;0,AB915=AA915),1,0)</f>
        <v>0</v>
      </c>
      <c r="AK915" s="96">
        <f>IF(R915=0,0,IF(AA915&gt;0,N(L915),IF(ISNUMBER(I915),I915,0)))</f>
        <v>0</v>
      </c>
      <c r="AL915" s="96">
        <f>IF(R915=0,0,IF(AND(K915&lt;&gt;"Sim",N(M915)&gt;AK915+cfg_tol),1,0))</f>
        <v>0</v>
      </c>
      <c r="AM915" s="96">
        <f>IF(R915=0,0,IF(K915="Sim",0,IF(OR(AND(AA915&gt;0,ISNUMBER(I915),ABS(I915-N(L915))&gt;cfg_tol),AL915=1),1,0)))</f>
        <v>0</v>
      </c>
      <c r="AN915" s="96">
        <f>IF(AND(R915=1,N(M915)&gt;0,OR(N(M915)&gt;=AK915-cfg_tol,K915="Sim")),1,0)</f>
        <v>0</v>
      </c>
      <c r="AO915" s="96">
        <f>IF(AND(AN915=1,AD915&gt;0,AE915=AD915,AL915=0),1,0)</f>
        <v>0</v>
      </c>
      <c r="AP915" s="96">
        <f>IF(U915=0,0,IF(AND(INDEX('MTRs'!$AX$6:$AX$505,T915)=1,Z915=0,OR(f_res="",f_res="(Todos)",C915=f_res)),1,0))</f>
        <v>0</v>
      </c>
      <c r="AQ915" s="97" t="str">
        <f>IF(U915=0,"",INDEX('MTRs'!$AZ$6:$AZ$505,T915))</f>
        <v/>
      </c>
      <c r="AR915" s="96">
        <f>IF(U915=0,0,IF(AND(INDEX('MTRs'!$BA$6:$BA$505,T915)=1,Z915=0),1,0))</f>
        <v>0</v>
      </c>
      <c r="AS915" s="96" t="str">
        <f>IF(R915=1,A915&amp;" | MTR "&amp;IF(U915=1,INDEX('MTRs'!$B$6:$B$505,T915)&amp;"","?")&amp;" | "&amp;IF(C915="","(sem resíduo)",C915),"")</f>
        <v/>
      </c>
      <c r="AT915" s="96" t="str">
        <f>IF(R915=1,COUNTIF($R$6:R915,1),"")</f>
        <v/>
      </c>
      <c r="AU915" s="96" t="str">
        <f>IF(U915=1,INDEX('MTRs'!$I$6:$I$505,T915)&amp;"","")</f>
        <v/>
      </c>
    </row>
    <row r="916">
      <c r="A916" s="89" t="inlineStr">
        <is>
          <t>IT-000911</t>
        </is>
      </c>
      <c r="B916" s="91" t="n"/>
      <c r="C916" s="91" t="n"/>
      <c r="D916" s="94" t="str">
        <f>IF(OR(R916=0,V916=0),"",INDEX('CAD_RESÍDUOS'!$E$6:$E$205,MATCH(C916,'CAD_RESÍDUOS'!$B$6:$B$205,0))&amp;"")</f>
        <v/>
      </c>
      <c r="E916" s="94" t="str">
        <f>IF(OR(R916=0,V916=0),"",INDEX('CAD_RESÍDUOS'!$C$6:$C$205,MATCH(C916,'CAD_RESÍDUOS'!$B$6:$B$205,0))&amp;"")</f>
        <v/>
      </c>
      <c r="F916" s="94" t="str">
        <f>IF(OR(R916=0,V916=0),"",INDEX('CAD_RESÍDUOS'!$G$6:$G$205,MATCH(C916,'CAD_RESÍDUOS'!$B$6:$B$205,0))&amp;"")</f>
        <v/>
      </c>
      <c r="G916" s="98" t="n"/>
      <c r="H916" s="91" t="n"/>
      <c r="I916" s="93" t="str">
        <f>IF(R916=0,"",IF(NOT(ISNUMBER(G916)),"",IF(ISNUMBER(X916),G916*X916,"UNIDADE A CONFERIR")))</f>
        <v/>
      </c>
      <c r="J916" s="91" t="n"/>
      <c r="K916" s="91" t="n"/>
      <c r="L916" s="93" t="str">
        <f>IF(R916=0,"",SUMIFS('RECEBIMENTOS'!$H$6:$H$1005,'RECEBIMENTOS'!$R$6:$R$1005,A916,'RECEBIMENTOS'!$X$6:$X$1005,1))</f>
        <v/>
      </c>
      <c r="M916" s="93" t="str">
        <f>IF(R916=0,"",SUMIFS('VÍNCULOS_CDF'!$H$6:$H$1005,'VÍNCULOS_CDF'!$R$6:$R$1005,A916,'VÍNCULOS_CDF'!$V$6:$V$1005,1))</f>
        <v/>
      </c>
      <c r="N916" s="99" t="str">
        <f>IF(OR(R916=0,AA916=0,NOT(ISNUMBER(I916))),"",I916-N(L916))</f>
        <v/>
      </c>
      <c r="O916" s="100" t="str">
        <f>IF(OR(R916=0,AK916&lt;=0),"",N(M916)/AK916)</f>
        <v/>
      </c>
      <c r="P916" s="94" t="str">
        <f>IF(R916=0,"",IF(S916="","Sem MTR associado",IF(U916=0,"MTR inexistente",IF(C916="","Resíduo não identificado",IF(V916=0,"Resíduo fora do cadastro",IF(W916=0,"Quantidade inválida",IF(H916="","Unidade não informada",IF(NOT(ISNUMBER(I916)),"Unidade a conferir",IF(AND(AH916=1,K916&lt;&gt;"Sim"),"Possível duplicidade",IF(Z916=1,"MTR cancelado",IF(AC916&gt;0,"Recebimento com alerta",IF(AA916=0,"Aguardando recebimento",IF(AB916&lt;AA916,"Recebimento a conferir",IF(AM916=1,"Quantidade a revisar",IF(AF916&gt;0,"Vínculo a revisar",IF(AD916=0,"Aguardando CDF",IF(AN916=0,"Vínculo de CDF parcial",IF(AE916&lt;AD916,"CDF a conferir","Documentação conferida"))))))))))))))))))</f>
        <v/>
      </c>
      <c r="Q916" s="93" t="str">
        <f>IF(OR(R916=0,AA916=0),"",MAX(0,N(L916)-N(M916)))</f>
        <v/>
      </c>
      <c r="R916" s="96">
        <f>IF(COUNTA(B916:C916,G916:H916,J916:K916)&gt;0,1,0)</f>
        <v>0</v>
      </c>
      <c r="S916" s="96" t="str">
        <f>IF(B916="","",TRIM(LEFT(B916,FIND(" |",B916&amp;" |")-1)))</f>
        <v/>
      </c>
      <c r="T916" s="96" t="str">
        <f>IF(S916="","",IFERROR(MATCH(S916,'MTRs'!$A$6:$A$505,0),""))</f>
        <v/>
      </c>
      <c r="U916" s="96">
        <f>IF(T916="",0,IF(INDEX('MTRs'!$Z$6:$Z$505,T916)=1,1,0))</f>
        <v>0</v>
      </c>
      <c r="V916" s="96">
        <f>IF(C916="",0,IF(ISNUMBER(MATCH(C916,'CAD_RESÍDUOS'!$B$6:$B$205,0)),1,0))</f>
        <v>0</v>
      </c>
      <c r="W916" s="96">
        <f>IF(AND(ISNUMBER(G916),G916&gt;0),1,0)</f>
        <v>0</v>
      </c>
      <c r="X916" s="96" t="str">
        <f>IF(H916="","",IFERROR(IF(ISNUMBER(INDEX(cfg_fac,MATCH(H916,cfg_units,0))),IF(INDEX(cfg_fac,MATCH(H916,cfg_units,0))&gt;0,INDEX(cfg_fac,MATCH(H916,cfg_units,0)),""),""),""))</f>
        <v/>
      </c>
      <c r="Y916" s="96">
        <f>IF(AND(W916=1,ISNUMBER(I916)),1,0)</f>
        <v>0</v>
      </c>
      <c r="Z916" s="96">
        <f>IF(U916=1,INDEX('MTRs'!$AA$6:$AA$505,T916),0)</f>
        <v>0</v>
      </c>
      <c r="AA916" s="96">
        <f>IF(R916=0,0,COUNTIFS('RECEBIMENTOS'!$R$6:$R$1005,A916,'RECEBIMENTOS'!$Q$6:$Q$1005,1))</f>
        <v>0</v>
      </c>
      <c r="AB916" s="96">
        <f>IF(R916=0,0,COUNTIFS('RECEBIMENTOS'!$R$6:$R$1005,A916,'RECEBIMENTOS'!$Z$6:$Z$1005,1))</f>
        <v>0</v>
      </c>
      <c r="AC916" s="96">
        <f>IF(R916=0,0,COUNTIFS('RECEBIMENTOS'!$R$6:$R$1005,A916,'RECEBIMENTOS'!$Y$6:$Y$1005,1))</f>
        <v>0</v>
      </c>
      <c r="AD916" s="96">
        <f>IF(R916=0,0,COUNTIFS('VÍNCULOS_CDF'!$R$6:$R$1005,A916,'VÍNCULOS_CDF'!$N$6:$N$1005,1))</f>
        <v>0</v>
      </c>
      <c r="AE916" s="96">
        <f>IF(R916=0,0,COUNTIFS('VÍNCULOS_CDF'!$R$6:$R$1005,A916,'VÍNCULOS_CDF'!$AA$6:$AA$1005,1))</f>
        <v>0</v>
      </c>
      <c r="AF916" s="96">
        <f>IF(R916=0,0,COUNTIFS('VÍNCULOS_CDF'!$R$6:$R$1005,A916,'VÍNCULOS_CDF'!$Y$6:$Y$1005,1))</f>
        <v>0</v>
      </c>
      <c r="AG916" s="96" t="str">
        <f>IF(AND(R916=1,S916&lt;&gt;"",C916&lt;&gt;""),S916&amp;"|"&amp;C916&amp;"|"&amp;G916&amp;"|"&amp;H916,"")</f>
        <v/>
      </c>
      <c r="AH916" s="96">
        <f>IF(AG916="",0,IF(SUMPRODUCT(--($AG$6:$AG$1005=AG916))&gt;1,1,0))</f>
        <v>0</v>
      </c>
      <c r="AI916" s="96">
        <f>IF(R916=0,0,IF(OR(U916=0,V916=0,Y916=0,AND(AH916=1,K916&lt;&gt;"Sim")),1,0))</f>
        <v>0</v>
      </c>
      <c r="AJ916" s="96">
        <f>IF(AND(R916=1,AA916&gt;0,AB916=AA916),1,0)</f>
        <v>0</v>
      </c>
      <c r="AK916" s="96">
        <f>IF(R916=0,0,IF(AA916&gt;0,N(L916),IF(ISNUMBER(I916),I916,0)))</f>
        <v>0</v>
      </c>
      <c r="AL916" s="96">
        <f>IF(R916=0,0,IF(AND(K916&lt;&gt;"Sim",N(M916)&gt;AK916+cfg_tol),1,0))</f>
        <v>0</v>
      </c>
      <c r="AM916" s="96">
        <f>IF(R916=0,0,IF(K916="Sim",0,IF(OR(AND(AA916&gt;0,ISNUMBER(I916),ABS(I916-N(L916))&gt;cfg_tol),AL916=1),1,0)))</f>
        <v>0</v>
      </c>
      <c r="AN916" s="96">
        <f>IF(AND(R916=1,N(M916)&gt;0,OR(N(M916)&gt;=AK916-cfg_tol,K916="Sim")),1,0)</f>
        <v>0</v>
      </c>
      <c r="AO916" s="96">
        <f>IF(AND(AN916=1,AD916&gt;0,AE916=AD916,AL916=0),1,0)</f>
        <v>0</v>
      </c>
      <c r="AP916" s="96">
        <f>IF(U916=0,0,IF(AND(INDEX('MTRs'!$AX$6:$AX$505,T916)=1,Z916=0,OR(f_res="",f_res="(Todos)",C916=f_res)),1,0))</f>
        <v>0</v>
      </c>
      <c r="AQ916" s="97" t="str">
        <f>IF(U916=0,"",INDEX('MTRs'!$AZ$6:$AZ$505,T916))</f>
        <v/>
      </c>
      <c r="AR916" s="96">
        <f>IF(U916=0,0,IF(AND(INDEX('MTRs'!$BA$6:$BA$505,T916)=1,Z916=0),1,0))</f>
        <v>0</v>
      </c>
      <c r="AS916" s="96" t="str">
        <f>IF(R916=1,A916&amp;" | MTR "&amp;IF(U916=1,INDEX('MTRs'!$B$6:$B$505,T916)&amp;"","?")&amp;" | "&amp;IF(C916="","(sem resíduo)",C916),"")</f>
        <v/>
      </c>
      <c r="AT916" s="96" t="str">
        <f>IF(R916=1,COUNTIF($R$6:R916,1),"")</f>
        <v/>
      </c>
      <c r="AU916" s="96" t="str">
        <f>IF(U916=1,INDEX('MTRs'!$I$6:$I$505,T916)&amp;"","")</f>
        <v/>
      </c>
    </row>
    <row r="917">
      <c r="A917" s="89" t="inlineStr">
        <is>
          <t>IT-000912</t>
        </is>
      </c>
      <c r="B917" s="91" t="n"/>
      <c r="C917" s="91" t="n"/>
      <c r="D917" s="94" t="str">
        <f>IF(OR(R917=0,V917=0),"",INDEX('CAD_RESÍDUOS'!$E$6:$E$205,MATCH(C917,'CAD_RESÍDUOS'!$B$6:$B$205,0))&amp;"")</f>
        <v/>
      </c>
      <c r="E917" s="94" t="str">
        <f>IF(OR(R917=0,V917=0),"",INDEX('CAD_RESÍDUOS'!$C$6:$C$205,MATCH(C917,'CAD_RESÍDUOS'!$B$6:$B$205,0))&amp;"")</f>
        <v/>
      </c>
      <c r="F917" s="94" t="str">
        <f>IF(OR(R917=0,V917=0),"",INDEX('CAD_RESÍDUOS'!$G$6:$G$205,MATCH(C917,'CAD_RESÍDUOS'!$B$6:$B$205,0))&amp;"")</f>
        <v/>
      </c>
      <c r="G917" s="98" t="n"/>
      <c r="H917" s="91" t="n"/>
      <c r="I917" s="93" t="str">
        <f>IF(R917=0,"",IF(NOT(ISNUMBER(G917)),"",IF(ISNUMBER(X917),G917*X917,"UNIDADE A CONFERIR")))</f>
        <v/>
      </c>
      <c r="J917" s="91" t="n"/>
      <c r="K917" s="91" t="n"/>
      <c r="L917" s="93" t="str">
        <f>IF(R917=0,"",SUMIFS('RECEBIMENTOS'!$H$6:$H$1005,'RECEBIMENTOS'!$R$6:$R$1005,A917,'RECEBIMENTOS'!$X$6:$X$1005,1))</f>
        <v/>
      </c>
      <c r="M917" s="93" t="str">
        <f>IF(R917=0,"",SUMIFS('VÍNCULOS_CDF'!$H$6:$H$1005,'VÍNCULOS_CDF'!$R$6:$R$1005,A917,'VÍNCULOS_CDF'!$V$6:$V$1005,1))</f>
        <v/>
      </c>
      <c r="N917" s="99" t="str">
        <f>IF(OR(R917=0,AA917=0,NOT(ISNUMBER(I917))),"",I917-N(L917))</f>
        <v/>
      </c>
      <c r="O917" s="100" t="str">
        <f>IF(OR(R917=0,AK917&lt;=0),"",N(M917)/AK917)</f>
        <v/>
      </c>
      <c r="P917" s="94" t="str">
        <f>IF(R917=0,"",IF(S917="","Sem MTR associado",IF(U917=0,"MTR inexistente",IF(C917="","Resíduo não identificado",IF(V917=0,"Resíduo fora do cadastro",IF(W917=0,"Quantidade inválida",IF(H917="","Unidade não informada",IF(NOT(ISNUMBER(I917)),"Unidade a conferir",IF(AND(AH917=1,K917&lt;&gt;"Sim"),"Possível duplicidade",IF(Z917=1,"MTR cancelado",IF(AC917&gt;0,"Recebimento com alerta",IF(AA917=0,"Aguardando recebimento",IF(AB917&lt;AA917,"Recebimento a conferir",IF(AM917=1,"Quantidade a revisar",IF(AF917&gt;0,"Vínculo a revisar",IF(AD917=0,"Aguardando CDF",IF(AN917=0,"Vínculo de CDF parcial",IF(AE917&lt;AD917,"CDF a conferir","Documentação conferida"))))))))))))))))))</f>
        <v/>
      </c>
      <c r="Q917" s="93" t="str">
        <f>IF(OR(R917=0,AA917=0),"",MAX(0,N(L917)-N(M917)))</f>
        <v/>
      </c>
      <c r="R917" s="96">
        <f>IF(COUNTA(B917:C917,G917:H917,J917:K917)&gt;0,1,0)</f>
        <v>0</v>
      </c>
      <c r="S917" s="96" t="str">
        <f>IF(B917="","",TRIM(LEFT(B917,FIND(" |",B917&amp;" |")-1)))</f>
        <v/>
      </c>
      <c r="T917" s="96" t="str">
        <f>IF(S917="","",IFERROR(MATCH(S917,'MTRs'!$A$6:$A$505,0),""))</f>
        <v/>
      </c>
      <c r="U917" s="96">
        <f>IF(T917="",0,IF(INDEX('MTRs'!$Z$6:$Z$505,T917)=1,1,0))</f>
        <v>0</v>
      </c>
      <c r="V917" s="96">
        <f>IF(C917="",0,IF(ISNUMBER(MATCH(C917,'CAD_RESÍDUOS'!$B$6:$B$205,0)),1,0))</f>
        <v>0</v>
      </c>
      <c r="W917" s="96">
        <f>IF(AND(ISNUMBER(G917),G917&gt;0),1,0)</f>
        <v>0</v>
      </c>
      <c r="X917" s="96" t="str">
        <f>IF(H917="","",IFERROR(IF(ISNUMBER(INDEX(cfg_fac,MATCH(H917,cfg_units,0))),IF(INDEX(cfg_fac,MATCH(H917,cfg_units,0))&gt;0,INDEX(cfg_fac,MATCH(H917,cfg_units,0)),""),""),""))</f>
        <v/>
      </c>
      <c r="Y917" s="96">
        <f>IF(AND(W917=1,ISNUMBER(I917)),1,0)</f>
        <v>0</v>
      </c>
      <c r="Z917" s="96">
        <f>IF(U917=1,INDEX('MTRs'!$AA$6:$AA$505,T917),0)</f>
        <v>0</v>
      </c>
      <c r="AA917" s="96">
        <f>IF(R917=0,0,COUNTIFS('RECEBIMENTOS'!$R$6:$R$1005,A917,'RECEBIMENTOS'!$Q$6:$Q$1005,1))</f>
        <v>0</v>
      </c>
      <c r="AB917" s="96">
        <f>IF(R917=0,0,COUNTIFS('RECEBIMENTOS'!$R$6:$R$1005,A917,'RECEBIMENTOS'!$Z$6:$Z$1005,1))</f>
        <v>0</v>
      </c>
      <c r="AC917" s="96">
        <f>IF(R917=0,0,COUNTIFS('RECEBIMENTOS'!$R$6:$R$1005,A917,'RECEBIMENTOS'!$Y$6:$Y$1005,1))</f>
        <v>0</v>
      </c>
      <c r="AD917" s="96">
        <f>IF(R917=0,0,COUNTIFS('VÍNCULOS_CDF'!$R$6:$R$1005,A917,'VÍNCULOS_CDF'!$N$6:$N$1005,1))</f>
        <v>0</v>
      </c>
      <c r="AE917" s="96">
        <f>IF(R917=0,0,COUNTIFS('VÍNCULOS_CDF'!$R$6:$R$1005,A917,'VÍNCULOS_CDF'!$AA$6:$AA$1005,1))</f>
        <v>0</v>
      </c>
      <c r="AF917" s="96">
        <f>IF(R917=0,0,COUNTIFS('VÍNCULOS_CDF'!$R$6:$R$1005,A917,'VÍNCULOS_CDF'!$Y$6:$Y$1005,1))</f>
        <v>0</v>
      </c>
      <c r="AG917" s="96" t="str">
        <f>IF(AND(R917=1,S917&lt;&gt;"",C917&lt;&gt;""),S917&amp;"|"&amp;C917&amp;"|"&amp;G917&amp;"|"&amp;H917,"")</f>
        <v/>
      </c>
      <c r="AH917" s="96">
        <f>IF(AG917="",0,IF(SUMPRODUCT(--($AG$6:$AG$1005=AG917))&gt;1,1,0))</f>
        <v>0</v>
      </c>
      <c r="AI917" s="96">
        <f>IF(R917=0,0,IF(OR(U917=0,V917=0,Y917=0,AND(AH917=1,K917&lt;&gt;"Sim")),1,0))</f>
        <v>0</v>
      </c>
      <c r="AJ917" s="96">
        <f>IF(AND(R917=1,AA917&gt;0,AB917=AA917),1,0)</f>
        <v>0</v>
      </c>
      <c r="AK917" s="96">
        <f>IF(R917=0,0,IF(AA917&gt;0,N(L917),IF(ISNUMBER(I917),I917,0)))</f>
        <v>0</v>
      </c>
      <c r="AL917" s="96">
        <f>IF(R917=0,0,IF(AND(K917&lt;&gt;"Sim",N(M917)&gt;AK917+cfg_tol),1,0))</f>
        <v>0</v>
      </c>
      <c r="AM917" s="96">
        <f>IF(R917=0,0,IF(K917="Sim",0,IF(OR(AND(AA917&gt;0,ISNUMBER(I917),ABS(I917-N(L917))&gt;cfg_tol),AL917=1),1,0)))</f>
        <v>0</v>
      </c>
      <c r="AN917" s="96">
        <f>IF(AND(R917=1,N(M917)&gt;0,OR(N(M917)&gt;=AK917-cfg_tol,K917="Sim")),1,0)</f>
        <v>0</v>
      </c>
      <c r="AO917" s="96">
        <f>IF(AND(AN917=1,AD917&gt;0,AE917=AD917,AL917=0),1,0)</f>
        <v>0</v>
      </c>
      <c r="AP917" s="96">
        <f>IF(U917=0,0,IF(AND(INDEX('MTRs'!$AX$6:$AX$505,T917)=1,Z917=0,OR(f_res="",f_res="(Todos)",C917=f_res)),1,0))</f>
        <v>0</v>
      </c>
      <c r="AQ917" s="97" t="str">
        <f>IF(U917=0,"",INDEX('MTRs'!$AZ$6:$AZ$505,T917))</f>
        <v/>
      </c>
      <c r="AR917" s="96">
        <f>IF(U917=0,0,IF(AND(INDEX('MTRs'!$BA$6:$BA$505,T917)=1,Z917=0),1,0))</f>
        <v>0</v>
      </c>
      <c r="AS917" s="96" t="str">
        <f>IF(R917=1,A917&amp;" | MTR "&amp;IF(U917=1,INDEX('MTRs'!$B$6:$B$505,T917)&amp;"","?")&amp;" | "&amp;IF(C917="","(sem resíduo)",C917),"")</f>
        <v/>
      </c>
      <c r="AT917" s="96" t="str">
        <f>IF(R917=1,COUNTIF($R$6:R917,1),"")</f>
        <v/>
      </c>
      <c r="AU917" s="96" t="str">
        <f>IF(U917=1,INDEX('MTRs'!$I$6:$I$505,T917)&amp;"","")</f>
        <v/>
      </c>
    </row>
    <row r="918">
      <c r="A918" s="89" t="inlineStr">
        <is>
          <t>IT-000913</t>
        </is>
      </c>
      <c r="B918" s="91" t="n"/>
      <c r="C918" s="91" t="n"/>
      <c r="D918" s="94" t="str">
        <f>IF(OR(R918=0,V918=0),"",INDEX('CAD_RESÍDUOS'!$E$6:$E$205,MATCH(C918,'CAD_RESÍDUOS'!$B$6:$B$205,0))&amp;"")</f>
        <v/>
      </c>
      <c r="E918" s="94" t="str">
        <f>IF(OR(R918=0,V918=0),"",INDEX('CAD_RESÍDUOS'!$C$6:$C$205,MATCH(C918,'CAD_RESÍDUOS'!$B$6:$B$205,0))&amp;"")</f>
        <v/>
      </c>
      <c r="F918" s="94" t="str">
        <f>IF(OR(R918=0,V918=0),"",INDEX('CAD_RESÍDUOS'!$G$6:$G$205,MATCH(C918,'CAD_RESÍDUOS'!$B$6:$B$205,0))&amp;"")</f>
        <v/>
      </c>
      <c r="G918" s="98" t="n"/>
      <c r="H918" s="91" t="n"/>
      <c r="I918" s="93" t="str">
        <f>IF(R918=0,"",IF(NOT(ISNUMBER(G918)),"",IF(ISNUMBER(X918),G918*X918,"UNIDADE A CONFERIR")))</f>
        <v/>
      </c>
      <c r="J918" s="91" t="n"/>
      <c r="K918" s="91" t="n"/>
      <c r="L918" s="93" t="str">
        <f>IF(R918=0,"",SUMIFS('RECEBIMENTOS'!$H$6:$H$1005,'RECEBIMENTOS'!$R$6:$R$1005,A918,'RECEBIMENTOS'!$X$6:$X$1005,1))</f>
        <v/>
      </c>
      <c r="M918" s="93" t="str">
        <f>IF(R918=0,"",SUMIFS('VÍNCULOS_CDF'!$H$6:$H$1005,'VÍNCULOS_CDF'!$R$6:$R$1005,A918,'VÍNCULOS_CDF'!$V$6:$V$1005,1))</f>
        <v/>
      </c>
      <c r="N918" s="99" t="str">
        <f>IF(OR(R918=0,AA918=0,NOT(ISNUMBER(I918))),"",I918-N(L918))</f>
        <v/>
      </c>
      <c r="O918" s="100" t="str">
        <f>IF(OR(R918=0,AK918&lt;=0),"",N(M918)/AK918)</f>
        <v/>
      </c>
      <c r="P918" s="94" t="str">
        <f>IF(R918=0,"",IF(S918="","Sem MTR associado",IF(U918=0,"MTR inexistente",IF(C918="","Resíduo não identificado",IF(V918=0,"Resíduo fora do cadastro",IF(W918=0,"Quantidade inválida",IF(H918="","Unidade não informada",IF(NOT(ISNUMBER(I918)),"Unidade a conferir",IF(AND(AH918=1,K918&lt;&gt;"Sim"),"Possível duplicidade",IF(Z918=1,"MTR cancelado",IF(AC918&gt;0,"Recebimento com alerta",IF(AA918=0,"Aguardando recebimento",IF(AB918&lt;AA918,"Recebimento a conferir",IF(AM918=1,"Quantidade a revisar",IF(AF918&gt;0,"Vínculo a revisar",IF(AD918=0,"Aguardando CDF",IF(AN918=0,"Vínculo de CDF parcial",IF(AE918&lt;AD918,"CDF a conferir","Documentação conferida"))))))))))))))))))</f>
        <v/>
      </c>
      <c r="Q918" s="93" t="str">
        <f>IF(OR(R918=0,AA918=0),"",MAX(0,N(L918)-N(M918)))</f>
        <v/>
      </c>
      <c r="R918" s="96">
        <f>IF(COUNTA(B918:C918,G918:H918,J918:K918)&gt;0,1,0)</f>
        <v>0</v>
      </c>
      <c r="S918" s="96" t="str">
        <f>IF(B918="","",TRIM(LEFT(B918,FIND(" |",B918&amp;" |")-1)))</f>
        <v/>
      </c>
      <c r="T918" s="96" t="str">
        <f>IF(S918="","",IFERROR(MATCH(S918,'MTRs'!$A$6:$A$505,0),""))</f>
        <v/>
      </c>
      <c r="U918" s="96">
        <f>IF(T918="",0,IF(INDEX('MTRs'!$Z$6:$Z$505,T918)=1,1,0))</f>
        <v>0</v>
      </c>
      <c r="V918" s="96">
        <f>IF(C918="",0,IF(ISNUMBER(MATCH(C918,'CAD_RESÍDUOS'!$B$6:$B$205,0)),1,0))</f>
        <v>0</v>
      </c>
      <c r="W918" s="96">
        <f>IF(AND(ISNUMBER(G918),G918&gt;0),1,0)</f>
        <v>0</v>
      </c>
      <c r="X918" s="96" t="str">
        <f>IF(H918="","",IFERROR(IF(ISNUMBER(INDEX(cfg_fac,MATCH(H918,cfg_units,0))),IF(INDEX(cfg_fac,MATCH(H918,cfg_units,0))&gt;0,INDEX(cfg_fac,MATCH(H918,cfg_units,0)),""),""),""))</f>
        <v/>
      </c>
      <c r="Y918" s="96">
        <f>IF(AND(W918=1,ISNUMBER(I918)),1,0)</f>
        <v>0</v>
      </c>
      <c r="Z918" s="96">
        <f>IF(U918=1,INDEX('MTRs'!$AA$6:$AA$505,T918),0)</f>
        <v>0</v>
      </c>
      <c r="AA918" s="96">
        <f>IF(R918=0,0,COUNTIFS('RECEBIMENTOS'!$R$6:$R$1005,A918,'RECEBIMENTOS'!$Q$6:$Q$1005,1))</f>
        <v>0</v>
      </c>
      <c r="AB918" s="96">
        <f>IF(R918=0,0,COUNTIFS('RECEBIMENTOS'!$R$6:$R$1005,A918,'RECEBIMENTOS'!$Z$6:$Z$1005,1))</f>
        <v>0</v>
      </c>
      <c r="AC918" s="96">
        <f>IF(R918=0,0,COUNTIFS('RECEBIMENTOS'!$R$6:$R$1005,A918,'RECEBIMENTOS'!$Y$6:$Y$1005,1))</f>
        <v>0</v>
      </c>
      <c r="AD918" s="96">
        <f>IF(R918=0,0,COUNTIFS('VÍNCULOS_CDF'!$R$6:$R$1005,A918,'VÍNCULOS_CDF'!$N$6:$N$1005,1))</f>
        <v>0</v>
      </c>
      <c r="AE918" s="96">
        <f>IF(R918=0,0,COUNTIFS('VÍNCULOS_CDF'!$R$6:$R$1005,A918,'VÍNCULOS_CDF'!$AA$6:$AA$1005,1))</f>
        <v>0</v>
      </c>
      <c r="AF918" s="96">
        <f>IF(R918=0,0,COUNTIFS('VÍNCULOS_CDF'!$R$6:$R$1005,A918,'VÍNCULOS_CDF'!$Y$6:$Y$1005,1))</f>
        <v>0</v>
      </c>
      <c r="AG918" s="96" t="str">
        <f>IF(AND(R918=1,S918&lt;&gt;"",C918&lt;&gt;""),S918&amp;"|"&amp;C918&amp;"|"&amp;G918&amp;"|"&amp;H918,"")</f>
        <v/>
      </c>
      <c r="AH918" s="96">
        <f>IF(AG918="",0,IF(SUMPRODUCT(--($AG$6:$AG$1005=AG918))&gt;1,1,0))</f>
        <v>0</v>
      </c>
      <c r="AI918" s="96">
        <f>IF(R918=0,0,IF(OR(U918=0,V918=0,Y918=0,AND(AH918=1,K918&lt;&gt;"Sim")),1,0))</f>
        <v>0</v>
      </c>
      <c r="AJ918" s="96">
        <f>IF(AND(R918=1,AA918&gt;0,AB918=AA918),1,0)</f>
        <v>0</v>
      </c>
      <c r="AK918" s="96">
        <f>IF(R918=0,0,IF(AA918&gt;0,N(L918),IF(ISNUMBER(I918),I918,0)))</f>
        <v>0</v>
      </c>
      <c r="AL918" s="96">
        <f>IF(R918=0,0,IF(AND(K918&lt;&gt;"Sim",N(M918)&gt;AK918+cfg_tol),1,0))</f>
        <v>0</v>
      </c>
      <c r="AM918" s="96">
        <f>IF(R918=0,0,IF(K918="Sim",0,IF(OR(AND(AA918&gt;0,ISNUMBER(I918),ABS(I918-N(L918))&gt;cfg_tol),AL918=1),1,0)))</f>
        <v>0</v>
      </c>
      <c r="AN918" s="96">
        <f>IF(AND(R918=1,N(M918)&gt;0,OR(N(M918)&gt;=AK918-cfg_tol,K918="Sim")),1,0)</f>
        <v>0</v>
      </c>
      <c r="AO918" s="96">
        <f>IF(AND(AN918=1,AD918&gt;0,AE918=AD918,AL918=0),1,0)</f>
        <v>0</v>
      </c>
      <c r="AP918" s="96">
        <f>IF(U918=0,0,IF(AND(INDEX('MTRs'!$AX$6:$AX$505,T918)=1,Z918=0,OR(f_res="",f_res="(Todos)",C918=f_res)),1,0))</f>
        <v>0</v>
      </c>
      <c r="AQ918" s="97" t="str">
        <f>IF(U918=0,"",INDEX('MTRs'!$AZ$6:$AZ$505,T918))</f>
        <v/>
      </c>
      <c r="AR918" s="96">
        <f>IF(U918=0,0,IF(AND(INDEX('MTRs'!$BA$6:$BA$505,T918)=1,Z918=0),1,0))</f>
        <v>0</v>
      </c>
      <c r="AS918" s="96" t="str">
        <f>IF(R918=1,A918&amp;" | MTR "&amp;IF(U918=1,INDEX('MTRs'!$B$6:$B$505,T918)&amp;"","?")&amp;" | "&amp;IF(C918="","(sem resíduo)",C918),"")</f>
        <v/>
      </c>
      <c r="AT918" s="96" t="str">
        <f>IF(R918=1,COUNTIF($R$6:R918,1),"")</f>
        <v/>
      </c>
      <c r="AU918" s="96" t="str">
        <f>IF(U918=1,INDEX('MTRs'!$I$6:$I$505,T918)&amp;"","")</f>
        <v/>
      </c>
    </row>
    <row r="919">
      <c r="A919" s="89" t="inlineStr">
        <is>
          <t>IT-000914</t>
        </is>
      </c>
      <c r="B919" s="91" t="n"/>
      <c r="C919" s="91" t="n"/>
      <c r="D919" s="94" t="str">
        <f>IF(OR(R919=0,V919=0),"",INDEX('CAD_RESÍDUOS'!$E$6:$E$205,MATCH(C919,'CAD_RESÍDUOS'!$B$6:$B$205,0))&amp;"")</f>
        <v/>
      </c>
      <c r="E919" s="94" t="str">
        <f>IF(OR(R919=0,V919=0),"",INDEX('CAD_RESÍDUOS'!$C$6:$C$205,MATCH(C919,'CAD_RESÍDUOS'!$B$6:$B$205,0))&amp;"")</f>
        <v/>
      </c>
      <c r="F919" s="94" t="str">
        <f>IF(OR(R919=0,V919=0),"",INDEX('CAD_RESÍDUOS'!$G$6:$G$205,MATCH(C919,'CAD_RESÍDUOS'!$B$6:$B$205,0))&amp;"")</f>
        <v/>
      </c>
      <c r="G919" s="98" t="n"/>
      <c r="H919" s="91" t="n"/>
      <c r="I919" s="93" t="str">
        <f>IF(R919=0,"",IF(NOT(ISNUMBER(G919)),"",IF(ISNUMBER(X919),G919*X919,"UNIDADE A CONFERIR")))</f>
        <v/>
      </c>
      <c r="J919" s="91" t="n"/>
      <c r="K919" s="91" t="n"/>
      <c r="L919" s="93" t="str">
        <f>IF(R919=0,"",SUMIFS('RECEBIMENTOS'!$H$6:$H$1005,'RECEBIMENTOS'!$R$6:$R$1005,A919,'RECEBIMENTOS'!$X$6:$X$1005,1))</f>
        <v/>
      </c>
      <c r="M919" s="93" t="str">
        <f>IF(R919=0,"",SUMIFS('VÍNCULOS_CDF'!$H$6:$H$1005,'VÍNCULOS_CDF'!$R$6:$R$1005,A919,'VÍNCULOS_CDF'!$V$6:$V$1005,1))</f>
        <v/>
      </c>
      <c r="N919" s="99" t="str">
        <f>IF(OR(R919=0,AA919=0,NOT(ISNUMBER(I919))),"",I919-N(L919))</f>
        <v/>
      </c>
      <c r="O919" s="100" t="str">
        <f>IF(OR(R919=0,AK919&lt;=0),"",N(M919)/AK919)</f>
        <v/>
      </c>
      <c r="P919" s="94" t="str">
        <f>IF(R919=0,"",IF(S919="","Sem MTR associado",IF(U919=0,"MTR inexistente",IF(C919="","Resíduo não identificado",IF(V919=0,"Resíduo fora do cadastro",IF(W919=0,"Quantidade inválida",IF(H919="","Unidade não informada",IF(NOT(ISNUMBER(I919)),"Unidade a conferir",IF(AND(AH919=1,K919&lt;&gt;"Sim"),"Possível duplicidade",IF(Z919=1,"MTR cancelado",IF(AC919&gt;0,"Recebimento com alerta",IF(AA919=0,"Aguardando recebimento",IF(AB919&lt;AA919,"Recebimento a conferir",IF(AM919=1,"Quantidade a revisar",IF(AF919&gt;0,"Vínculo a revisar",IF(AD919=0,"Aguardando CDF",IF(AN919=0,"Vínculo de CDF parcial",IF(AE919&lt;AD919,"CDF a conferir","Documentação conferida"))))))))))))))))))</f>
        <v/>
      </c>
      <c r="Q919" s="93" t="str">
        <f>IF(OR(R919=0,AA919=0),"",MAX(0,N(L919)-N(M919)))</f>
        <v/>
      </c>
      <c r="R919" s="96">
        <f>IF(COUNTA(B919:C919,G919:H919,J919:K919)&gt;0,1,0)</f>
        <v>0</v>
      </c>
      <c r="S919" s="96" t="str">
        <f>IF(B919="","",TRIM(LEFT(B919,FIND(" |",B919&amp;" |")-1)))</f>
        <v/>
      </c>
      <c r="T919" s="96" t="str">
        <f>IF(S919="","",IFERROR(MATCH(S919,'MTRs'!$A$6:$A$505,0),""))</f>
        <v/>
      </c>
      <c r="U919" s="96">
        <f>IF(T919="",0,IF(INDEX('MTRs'!$Z$6:$Z$505,T919)=1,1,0))</f>
        <v>0</v>
      </c>
      <c r="V919" s="96">
        <f>IF(C919="",0,IF(ISNUMBER(MATCH(C919,'CAD_RESÍDUOS'!$B$6:$B$205,0)),1,0))</f>
        <v>0</v>
      </c>
      <c r="W919" s="96">
        <f>IF(AND(ISNUMBER(G919),G919&gt;0),1,0)</f>
        <v>0</v>
      </c>
      <c r="X919" s="96" t="str">
        <f>IF(H919="","",IFERROR(IF(ISNUMBER(INDEX(cfg_fac,MATCH(H919,cfg_units,0))),IF(INDEX(cfg_fac,MATCH(H919,cfg_units,0))&gt;0,INDEX(cfg_fac,MATCH(H919,cfg_units,0)),""),""),""))</f>
        <v/>
      </c>
      <c r="Y919" s="96">
        <f>IF(AND(W919=1,ISNUMBER(I919)),1,0)</f>
        <v>0</v>
      </c>
      <c r="Z919" s="96">
        <f>IF(U919=1,INDEX('MTRs'!$AA$6:$AA$505,T919),0)</f>
        <v>0</v>
      </c>
      <c r="AA919" s="96">
        <f>IF(R919=0,0,COUNTIFS('RECEBIMENTOS'!$R$6:$R$1005,A919,'RECEBIMENTOS'!$Q$6:$Q$1005,1))</f>
        <v>0</v>
      </c>
      <c r="AB919" s="96">
        <f>IF(R919=0,0,COUNTIFS('RECEBIMENTOS'!$R$6:$R$1005,A919,'RECEBIMENTOS'!$Z$6:$Z$1005,1))</f>
        <v>0</v>
      </c>
      <c r="AC919" s="96">
        <f>IF(R919=0,0,COUNTIFS('RECEBIMENTOS'!$R$6:$R$1005,A919,'RECEBIMENTOS'!$Y$6:$Y$1005,1))</f>
        <v>0</v>
      </c>
      <c r="AD919" s="96">
        <f>IF(R919=0,0,COUNTIFS('VÍNCULOS_CDF'!$R$6:$R$1005,A919,'VÍNCULOS_CDF'!$N$6:$N$1005,1))</f>
        <v>0</v>
      </c>
      <c r="AE919" s="96">
        <f>IF(R919=0,0,COUNTIFS('VÍNCULOS_CDF'!$R$6:$R$1005,A919,'VÍNCULOS_CDF'!$AA$6:$AA$1005,1))</f>
        <v>0</v>
      </c>
      <c r="AF919" s="96">
        <f>IF(R919=0,0,COUNTIFS('VÍNCULOS_CDF'!$R$6:$R$1005,A919,'VÍNCULOS_CDF'!$Y$6:$Y$1005,1))</f>
        <v>0</v>
      </c>
      <c r="AG919" s="96" t="str">
        <f>IF(AND(R919=1,S919&lt;&gt;"",C919&lt;&gt;""),S919&amp;"|"&amp;C919&amp;"|"&amp;G919&amp;"|"&amp;H919,"")</f>
        <v/>
      </c>
      <c r="AH919" s="96">
        <f>IF(AG919="",0,IF(SUMPRODUCT(--($AG$6:$AG$1005=AG919))&gt;1,1,0))</f>
        <v>0</v>
      </c>
      <c r="AI919" s="96">
        <f>IF(R919=0,0,IF(OR(U919=0,V919=0,Y919=0,AND(AH919=1,K919&lt;&gt;"Sim")),1,0))</f>
        <v>0</v>
      </c>
      <c r="AJ919" s="96">
        <f>IF(AND(R919=1,AA919&gt;0,AB919=AA919),1,0)</f>
        <v>0</v>
      </c>
      <c r="AK919" s="96">
        <f>IF(R919=0,0,IF(AA919&gt;0,N(L919),IF(ISNUMBER(I919),I919,0)))</f>
        <v>0</v>
      </c>
      <c r="AL919" s="96">
        <f>IF(R919=0,0,IF(AND(K919&lt;&gt;"Sim",N(M919)&gt;AK919+cfg_tol),1,0))</f>
        <v>0</v>
      </c>
      <c r="AM919" s="96">
        <f>IF(R919=0,0,IF(K919="Sim",0,IF(OR(AND(AA919&gt;0,ISNUMBER(I919),ABS(I919-N(L919))&gt;cfg_tol),AL919=1),1,0)))</f>
        <v>0</v>
      </c>
      <c r="AN919" s="96">
        <f>IF(AND(R919=1,N(M919)&gt;0,OR(N(M919)&gt;=AK919-cfg_tol,K919="Sim")),1,0)</f>
        <v>0</v>
      </c>
      <c r="AO919" s="96">
        <f>IF(AND(AN919=1,AD919&gt;0,AE919=AD919,AL919=0),1,0)</f>
        <v>0</v>
      </c>
      <c r="AP919" s="96">
        <f>IF(U919=0,0,IF(AND(INDEX('MTRs'!$AX$6:$AX$505,T919)=1,Z919=0,OR(f_res="",f_res="(Todos)",C919=f_res)),1,0))</f>
        <v>0</v>
      </c>
      <c r="AQ919" s="97" t="str">
        <f>IF(U919=0,"",INDEX('MTRs'!$AZ$6:$AZ$505,T919))</f>
        <v/>
      </c>
      <c r="AR919" s="96">
        <f>IF(U919=0,0,IF(AND(INDEX('MTRs'!$BA$6:$BA$505,T919)=1,Z919=0),1,0))</f>
        <v>0</v>
      </c>
      <c r="AS919" s="96" t="str">
        <f>IF(R919=1,A919&amp;" | MTR "&amp;IF(U919=1,INDEX('MTRs'!$B$6:$B$505,T919)&amp;"","?")&amp;" | "&amp;IF(C919="","(sem resíduo)",C919),"")</f>
        <v/>
      </c>
      <c r="AT919" s="96" t="str">
        <f>IF(R919=1,COUNTIF($R$6:R919,1),"")</f>
        <v/>
      </c>
      <c r="AU919" s="96" t="str">
        <f>IF(U919=1,INDEX('MTRs'!$I$6:$I$505,T919)&amp;"","")</f>
        <v/>
      </c>
    </row>
    <row r="920">
      <c r="A920" s="89" t="inlineStr">
        <is>
          <t>IT-000915</t>
        </is>
      </c>
      <c r="B920" s="91" t="n"/>
      <c r="C920" s="91" t="n"/>
      <c r="D920" s="94" t="str">
        <f>IF(OR(R920=0,V920=0),"",INDEX('CAD_RESÍDUOS'!$E$6:$E$205,MATCH(C920,'CAD_RESÍDUOS'!$B$6:$B$205,0))&amp;"")</f>
        <v/>
      </c>
      <c r="E920" s="94" t="str">
        <f>IF(OR(R920=0,V920=0),"",INDEX('CAD_RESÍDUOS'!$C$6:$C$205,MATCH(C920,'CAD_RESÍDUOS'!$B$6:$B$205,0))&amp;"")</f>
        <v/>
      </c>
      <c r="F920" s="94" t="str">
        <f>IF(OR(R920=0,V920=0),"",INDEX('CAD_RESÍDUOS'!$G$6:$G$205,MATCH(C920,'CAD_RESÍDUOS'!$B$6:$B$205,0))&amp;"")</f>
        <v/>
      </c>
      <c r="G920" s="98" t="n"/>
      <c r="H920" s="91" t="n"/>
      <c r="I920" s="93" t="str">
        <f>IF(R920=0,"",IF(NOT(ISNUMBER(G920)),"",IF(ISNUMBER(X920),G920*X920,"UNIDADE A CONFERIR")))</f>
        <v/>
      </c>
      <c r="J920" s="91" t="n"/>
      <c r="K920" s="91" t="n"/>
      <c r="L920" s="93" t="str">
        <f>IF(R920=0,"",SUMIFS('RECEBIMENTOS'!$H$6:$H$1005,'RECEBIMENTOS'!$R$6:$R$1005,A920,'RECEBIMENTOS'!$X$6:$X$1005,1))</f>
        <v/>
      </c>
      <c r="M920" s="93" t="str">
        <f>IF(R920=0,"",SUMIFS('VÍNCULOS_CDF'!$H$6:$H$1005,'VÍNCULOS_CDF'!$R$6:$R$1005,A920,'VÍNCULOS_CDF'!$V$6:$V$1005,1))</f>
        <v/>
      </c>
      <c r="N920" s="99" t="str">
        <f>IF(OR(R920=0,AA920=0,NOT(ISNUMBER(I920))),"",I920-N(L920))</f>
        <v/>
      </c>
      <c r="O920" s="100" t="str">
        <f>IF(OR(R920=0,AK920&lt;=0),"",N(M920)/AK920)</f>
        <v/>
      </c>
      <c r="P920" s="94" t="str">
        <f>IF(R920=0,"",IF(S920="","Sem MTR associado",IF(U920=0,"MTR inexistente",IF(C920="","Resíduo não identificado",IF(V920=0,"Resíduo fora do cadastro",IF(W920=0,"Quantidade inválida",IF(H920="","Unidade não informada",IF(NOT(ISNUMBER(I920)),"Unidade a conferir",IF(AND(AH920=1,K920&lt;&gt;"Sim"),"Possível duplicidade",IF(Z920=1,"MTR cancelado",IF(AC920&gt;0,"Recebimento com alerta",IF(AA920=0,"Aguardando recebimento",IF(AB920&lt;AA920,"Recebimento a conferir",IF(AM920=1,"Quantidade a revisar",IF(AF920&gt;0,"Vínculo a revisar",IF(AD920=0,"Aguardando CDF",IF(AN920=0,"Vínculo de CDF parcial",IF(AE920&lt;AD920,"CDF a conferir","Documentação conferida"))))))))))))))))))</f>
        <v/>
      </c>
      <c r="Q920" s="93" t="str">
        <f>IF(OR(R920=0,AA920=0),"",MAX(0,N(L920)-N(M920)))</f>
        <v/>
      </c>
      <c r="R920" s="96">
        <f>IF(COUNTA(B920:C920,G920:H920,J920:K920)&gt;0,1,0)</f>
        <v>0</v>
      </c>
      <c r="S920" s="96" t="str">
        <f>IF(B920="","",TRIM(LEFT(B920,FIND(" |",B920&amp;" |")-1)))</f>
        <v/>
      </c>
      <c r="T920" s="96" t="str">
        <f>IF(S920="","",IFERROR(MATCH(S920,'MTRs'!$A$6:$A$505,0),""))</f>
        <v/>
      </c>
      <c r="U920" s="96">
        <f>IF(T920="",0,IF(INDEX('MTRs'!$Z$6:$Z$505,T920)=1,1,0))</f>
        <v>0</v>
      </c>
      <c r="V920" s="96">
        <f>IF(C920="",0,IF(ISNUMBER(MATCH(C920,'CAD_RESÍDUOS'!$B$6:$B$205,0)),1,0))</f>
        <v>0</v>
      </c>
      <c r="W920" s="96">
        <f>IF(AND(ISNUMBER(G920),G920&gt;0),1,0)</f>
        <v>0</v>
      </c>
      <c r="X920" s="96" t="str">
        <f>IF(H920="","",IFERROR(IF(ISNUMBER(INDEX(cfg_fac,MATCH(H920,cfg_units,0))),IF(INDEX(cfg_fac,MATCH(H920,cfg_units,0))&gt;0,INDEX(cfg_fac,MATCH(H920,cfg_units,0)),""),""),""))</f>
        <v/>
      </c>
      <c r="Y920" s="96">
        <f>IF(AND(W920=1,ISNUMBER(I920)),1,0)</f>
        <v>0</v>
      </c>
      <c r="Z920" s="96">
        <f>IF(U920=1,INDEX('MTRs'!$AA$6:$AA$505,T920),0)</f>
        <v>0</v>
      </c>
      <c r="AA920" s="96">
        <f>IF(R920=0,0,COUNTIFS('RECEBIMENTOS'!$R$6:$R$1005,A920,'RECEBIMENTOS'!$Q$6:$Q$1005,1))</f>
        <v>0</v>
      </c>
      <c r="AB920" s="96">
        <f>IF(R920=0,0,COUNTIFS('RECEBIMENTOS'!$R$6:$R$1005,A920,'RECEBIMENTOS'!$Z$6:$Z$1005,1))</f>
        <v>0</v>
      </c>
      <c r="AC920" s="96">
        <f>IF(R920=0,0,COUNTIFS('RECEBIMENTOS'!$R$6:$R$1005,A920,'RECEBIMENTOS'!$Y$6:$Y$1005,1))</f>
        <v>0</v>
      </c>
      <c r="AD920" s="96">
        <f>IF(R920=0,0,COUNTIFS('VÍNCULOS_CDF'!$R$6:$R$1005,A920,'VÍNCULOS_CDF'!$N$6:$N$1005,1))</f>
        <v>0</v>
      </c>
      <c r="AE920" s="96">
        <f>IF(R920=0,0,COUNTIFS('VÍNCULOS_CDF'!$R$6:$R$1005,A920,'VÍNCULOS_CDF'!$AA$6:$AA$1005,1))</f>
        <v>0</v>
      </c>
      <c r="AF920" s="96">
        <f>IF(R920=0,0,COUNTIFS('VÍNCULOS_CDF'!$R$6:$R$1005,A920,'VÍNCULOS_CDF'!$Y$6:$Y$1005,1))</f>
        <v>0</v>
      </c>
      <c r="AG920" s="96" t="str">
        <f>IF(AND(R920=1,S920&lt;&gt;"",C920&lt;&gt;""),S920&amp;"|"&amp;C920&amp;"|"&amp;G920&amp;"|"&amp;H920,"")</f>
        <v/>
      </c>
      <c r="AH920" s="96">
        <f>IF(AG920="",0,IF(SUMPRODUCT(--($AG$6:$AG$1005=AG920))&gt;1,1,0))</f>
        <v>0</v>
      </c>
      <c r="AI920" s="96">
        <f>IF(R920=0,0,IF(OR(U920=0,V920=0,Y920=0,AND(AH920=1,K920&lt;&gt;"Sim")),1,0))</f>
        <v>0</v>
      </c>
      <c r="AJ920" s="96">
        <f>IF(AND(R920=1,AA920&gt;0,AB920=AA920),1,0)</f>
        <v>0</v>
      </c>
      <c r="AK920" s="96">
        <f>IF(R920=0,0,IF(AA920&gt;0,N(L920),IF(ISNUMBER(I920),I920,0)))</f>
        <v>0</v>
      </c>
      <c r="AL920" s="96">
        <f>IF(R920=0,0,IF(AND(K920&lt;&gt;"Sim",N(M920)&gt;AK920+cfg_tol),1,0))</f>
        <v>0</v>
      </c>
      <c r="AM920" s="96">
        <f>IF(R920=0,0,IF(K920="Sim",0,IF(OR(AND(AA920&gt;0,ISNUMBER(I920),ABS(I920-N(L920))&gt;cfg_tol),AL920=1),1,0)))</f>
        <v>0</v>
      </c>
      <c r="AN920" s="96">
        <f>IF(AND(R920=1,N(M920)&gt;0,OR(N(M920)&gt;=AK920-cfg_tol,K920="Sim")),1,0)</f>
        <v>0</v>
      </c>
      <c r="AO920" s="96">
        <f>IF(AND(AN920=1,AD920&gt;0,AE920=AD920,AL920=0),1,0)</f>
        <v>0</v>
      </c>
      <c r="AP920" s="96">
        <f>IF(U920=0,0,IF(AND(INDEX('MTRs'!$AX$6:$AX$505,T920)=1,Z920=0,OR(f_res="",f_res="(Todos)",C920=f_res)),1,0))</f>
        <v>0</v>
      </c>
      <c r="AQ920" s="97" t="str">
        <f>IF(U920=0,"",INDEX('MTRs'!$AZ$6:$AZ$505,T920))</f>
        <v/>
      </c>
      <c r="AR920" s="96">
        <f>IF(U920=0,0,IF(AND(INDEX('MTRs'!$BA$6:$BA$505,T920)=1,Z920=0),1,0))</f>
        <v>0</v>
      </c>
      <c r="AS920" s="96" t="str">
        <f>IF(R920=1,A920&amp;" | MTR "&amp;IF(U920=1,INDEX('MTRs'!$B$6:$B$505,T920)&amp;"","?")&amp;" | "&amp;IF(C920="","(sem resíduo)",C920),"")</f>
        <v/>
      </c>
      <c r="AT920" s="96" t="str">
        <f>IF(R920=1,COUNTIF($R$6:R920,1),"")</f>
        <v/>
      </c>
      <c r="AU920" s="96" t="str">
        <f>IF(U920=1,INDEX('MTRs'!$I$6:$I$505,T920)&amp;"","")</f>
        <v/>
      </c>
    </row>
    <row r="921">
      <c r="A921" s="89" t="inlineStr">
        <is>
          <t>IT-000916</t>
        </is>
      </c>
      <c r="B921" s="91" t="n"/>
      <c r="C921" s="91" t="n"/>
      <c r="D921" s="94" t="str">
        <f>IF(OR(R921=0,V921=0),"",INDEX('CAD_RESÍDUOS'!$E$6:$E$205,MATCH(C921,'CAD_RESÍDUOS'!$B$6:$B$205,0))&amp;"")</f>
        <v/>
      </c>
      <c r="E921" s="94" t="str">
        <f>IF(OR(R921=0,V921=0),"",INDEX('CAD_RESÍDUOS'!$C$6:$C$205,MATCH(C921,'CAD_RESÍDUOS'!$B$6:$B$205,0))&amp;"")</f>
        <v/>
      </c>
      <c r="F921" s="94" t="str">
        <f>IF(OR(R921=0,V921=0),"",INDEX('CAD_RESÍDUOS'!$G$6:$G$205,MATCH(C921,'CAD_RESÍDUOS'!$B$6:$B$205,0))&amp;"")</f>
        <v/>
      </c>
      <c r="G921" s="98" t="n"/>
      <c r="H921" s="91" t="n"/>
      <c r="I921" s="93" t="str">
        <f>IF(R921=0,"",IF(NOT(ISNUMBER(G921)),"",IF(ISNUMBER(X921),G921*X921,"UNIDADE A CONFERIR")))</f>
        <v/>
      </c>
      <c r="J921" s="91" t="n"/>
      <c r="K921" s="91" t="n"/>
      <c r="L921" s="93" t="str">
        <f>IF(R921=0,"",SUMIFS('RECEBIMENTOS'!$H$6:$H$1005,'RECEBIMENTOS'!$R$6:$R$1005,A921,'RECEBIMENTOS'!$X$6:$X$1005,1))</f>
        <v/>
      </c>
      <c r="M921" s="93" t="str">
        <f>IF(R921=0,"",SUMIFS('VÍNCULOS_CDF'!$H$6:$H$1005,'VÍNCULOS_CDF'!$R$6:$R$1005,A921,'VÍNCULOS_CDF'!$V$6:$V$1005,1))</f>
        <v/>
      </c>
      <c r="N921" s="99" t="str">
        <f>IF(OR(R921=0,AA921=0,NOT(ISNUMBER(I921))),"",I921-N(L921))</f>
        <v/>
      </c>
      <c r="O921" s="100" t="str">
        <f>IF(OR(R921=0,AK921&lt;=0),"",N(M921)/AK921)</f>
        <v/>
      </c>
      <c r="P921" s="94" t="str">
        <f>IF(R921=0,"",IF(S921="","Sem MTR associado",IF(U921=0,"MTR inexistente",IF(C921="","Resíduo não identificado",IF(V921=0,"Resíduo fora do cadastro",IF(W921=0,"Quantidade inválida",IF(H921="","Unidade não informada",IF(NOT(ISNUMBER(I921)),"Unidade a conferir",IF(AND(AH921=1,K921&lt;&gt;"Sim"),"Possível duplicidade",IF(Z921=1,"MTR cancelado",IF(AC921&gt;0,"Recebimento com alerta",IF(AA921=0,"Aguardando recebimento",IF(AB921&lt;AA921,"Recebimento a conferir",IF(AM921=1,"Quantidade a revisar",IF(AF921&gt;0,"Vínculo a revisar",IF(AD921=0,"Aguardando CDF",IF(AN921=0,"Vínculo de CDF parcial",IF(AE921&lt;AD921,"CDF a conferir","Documentação conferida"))))))))))))))))))</f>
        <v/>
      </c>
      <c r="Q921" s="93" t="str">
        <f>IF(OR(R921=0,AA921=0),"",MAX(0,N(L921)-N(M921)))</f>
        <v/>
      </c>
      <c r="R921" s="96">
        <f>IF(COUNTA(B921:C921,G921:H921,J921:K921)&gt;0,1,0)</f>
        <v>0</v>
      </c>
      <c r="S921" s="96" t="str">
        <f>IF(B921="","",TRIM(LEFT(B921,FIND(" |",B921&amp;" |")-1)))</f>
        <v/>
      </c>
      <c r="T921" s="96" t="str">
        <f>IF(S921="","",IFERROR(MATCH(S921,'MTRs'!$A$6:$A$505,0),""))</f>
        <v/>
      </c>
      <c r="U921" s="96">
        <f>IF(T921="",0,IF(INDEX('MTRs'!$Z$6:$Z$505,T921)=1,1,0))</f>
        <v>0</v>
      </c>
      <c r="V921" s="96">
        <f>IF(C921="",0,IF(ISNUMBER(MATCH(C921,'CAD_RESÍDUOS'!$B$6:$B$205,0)),1,0))</f>
        <v>0</v>
      </c>
      <c r="W921" s="96">
        <f>IF(AND(ISNUMBER(G921),G921&gt;0),1,0)</f>
        <v>0</v>
      </c>
      <c r="X921" s="96" t="str">
        <f>IF(H921="","",IFERROR(IF(ISNUMBER(INDEX(cfg_fac,MATCH(H921,cfg_units,0))),IF(INDEX(cfg_fac,MATCH(H921,cfg_units,0))&gt;0,INDEX(cfg_fac,MATCH(H921,cfg_units,0)),""),""),""))</f>
        <v/>
      </c>
      <c r="Y921" s="96">
        <f>IF(AND(W921=1,ISNUMBER(I921)),1,0)</f>
        <v>0</v>
      </c>
      <c r="Z921" s="96">
        <f>IF(U921=1,INDEX('MTRs'!$AA$6:$AA$505,T921),0)</f>
        <v>0</v>
      </c>
      <c r="AA921" s="96">
        <f>IF(R921=0,0,COUNTIFS('RECEBIMENTOS'!$R$6:$R$1005,A921,'RECEBIMENTOS'!$Q$6:$Q$1005,1))</f>
        <v>0</v>
      </c>
      <c r="AB921" s="96">
        <f>IF(R921=0,0,COUNTIFS('RECEBIMENTOS'!$R$6:$R$1005,A921,'RECEBIMENTOS'!$Z$6:$Z$1005,1))</f>
        <v>0</v>
      </c>
      <c r="AC921" s="96">
        <f>IF(R921=0,0,COUNTIFS('RECEBIMENTOS'!$R$6:$R$1005,A921,'RECEBIMENTOS'!$Y$6:$Y$1005,1))</f>
        <v>0</v>
      </c>
      <c r="AD921" s="96">
        <f>IF(R921=0,0,COUNTIFS('VÍNCULOS_CDF'!$R$6:$R$1005,A921,'VÍNCULOS_CDF'!$N$6:$N$1005,1))</f>
        <v>0</v>
      </c>
      <c r="AE921" s="96">
        <f>IF(R921=0,0,COUNTIFS('VÍNCULOS_CDF'!$R$6:$R$1005,A921,'VÍNCULOS_CDF'!$AA$6:$AA$1005,1))</f>
        <v>0</v>
      </c>
      <c r="AF921" s="96">
        <f>IF(R921=0,0,COUNTIFS('VÍNCULOS_CDF'!$R$6:$R$1005,A921,'VÍNCULOS_CDF'!$Y$6:$Y$1005,1))</f>
        <v>0</v>
      </c>
      <c r="AG921" s="96" t="str">
        <f>IF(AND(R921=1,S921&lt;&gt;"",C921&lt;&gt;""),S921&amp;"|"&amp;C921&amp;"|"&amp;G921&amp;"|"&amp;H921,"")</f>
        <v/>
      </c>
      <c r="AH921" s="96">
        <f>IF(AG921="",0,IF(SUMPRODUCT(--($AG$6:$AG$1005=AG921))&gt;1,1,0))</f>
        <v>0</v>
      </c>
      <c r="AI921" s="96">
        <f>IF(R921=0,0,IF(OR(U921=0,V921=0,Y921=0,AND(AH921=1,K921&lt;&gt;"Sim")),1,0))</f>
        <v>0</v>
      </c>
      <c r="AJ921" s="96">
        <f>IF(AND(R921=1,AA921&gt;0,AB921=AA921),1,0)</f>
        <v>0</v>
      </c>
      <c r="AK921" s="96">
        <f>IF(R921=0,0,IF(AA921&gt;0,N(L921),IF(ISNUMBER(I921),I921,0)))</f>
        <v>0</v>
      </c>
      <c r="AL921" s="96">
        <f>IF(R921=0,0,IF(AND(K921&lt;&gt;"Sim",N(M921)&gt;AK921+cfg_tol),1,0))</f>
        <v>0</v>
      </c>
      <c r="AM921" s="96">
        <f>IF(R921=0,0,IF(K921="Sim",0,IF(OR(AND(AA921&gt;0,ISNUMBER(I921),ABS(I921-N(L921))&gt;cfg_tol),AL921=1),1,0)))</f>
        <v>0</v>
      </c>
      <c r="AN921" s="96">
        <f>IF(AND(R921=1,N(M921)&gt;0,OR(N(M921)&gt;=AK921-cfg_tol,K921="Sim")),1,0)</f>
        <v>0</v>
      </c>
      <c r="AO921" s="96">
        <f>IF(AND(AN921=1,AD921&gt;0,AE921=AD921,AL921=0),1,0)</f>
        <v>0</v>
      </c>
      <c r="AP921" s="96">
        <f>IF(U921=0,0,IF(AND(INDEX('MTRs'!$AX$6:$AX$505,T921)=1,Z921=0,OR(f_res="",f_res="(Todos)",C921=f_res)),1,0))</f>
        <v>0</v>
      </c>
      <c r="AQ921" s="97" t="str">
        <f>IF(U921=0,"",INDEX('MTRs'!$AZ$6:$AZ$505,T921))</f>
        <v/>
      </c>
      <c r="AR921" s="96">
        <f>IF(U921=0,0,IF(AND(INDEX('MTRs'!$BA$6:$BA$505,T921)=1,Z921=0),1,0))</f>
        <v>0</v>
      </c>
      <c r="AS921" s="96" t="str">
        <f>IF(R921=1,A921&amp;" | MTR "&amp;IF(U921=1,INDEX('MTRs'!$B$6:$B$505,T921)&amp;"","?")&amp;" | "&amp;IF(C921="","(sem resíduo)",C921),"")</f>
        <v/>
      </c>
      <c r="AT921" s="96" t="str">
        <f>IF(R921=1,COUNTIF($R$6:R921,1),"")</f>
        <v/>
      </c>
      <c r="AU921" s="96" t="str">
        <f>IF(U921=1,INDEX('MTRs'!$I$6:$I$505,T921)&amp;"","")</f>
        <v/>
      </c>
    </row>
    <row r="922">
      <c r="A922" s="89" t="inlineStr">
        <is>
          <t>IT-000917</t>
        </is>
      </c>
      <c r="B922" s="91" t="n"/>
      <c r="C922" s="91" t="n"/>
      <c r="D922" s="94" t="str">
        <f>IF(OR(R922=0,V922=0),"",INDEX('CAD_RESÍDUOS'!$E$6:$E$205,MATCH(C922,'CAD_RESÍDUOS'!$B$6:$B$205,0))&amp;"")</f>
        <v/>
      </c>
      <c r="E922" s="94" t="str">
        <f>IF(OR(R922=0,V922=0),"",INDEX('CAD_RESÍDUOS'!$C$6:$C$205,MATCH(C922,'CAD_RESÍDUOS'!$B$6:$B$205,0))&amp;"")</f>
        <v/>
      </c>
      <c r="F922" s="94" t="str">
        <f>IF(OR(R922=0,V922=0),"",INDEX('CAD_RESÍDUOS'!$G$6:$G$205,MATCH(C922,'CAD_RESÍDUOS'!$B$6:$B$205,0))&amp;"")</f>
        <v/>
      </c>
      <c r="G922" s="98" t="n"/>
      <c r="H922" s="91" t="n"/>
      <c r="I922" s="93" t="str">
        <f>IF(R922=0,"",IF(NOT(ISNUMBER(G922)),"",IF(ISNUMBER(X922),G922*X922,"UNIDADE A CONFERIR")))</f>
        <v/>
      </c>
      <c r="J922" s="91" t="n"/>
      <c r="K922" s="91" t="n"/>
      <c r="L922" s="93" t="str">
        <f>IF(R922=0,"",SUMIFS('RECEBIMENTOS'!$H$6:$H$1005,'RECEBIMENTOS'!$R$6:$R$1005,A922,'RECEBIMENTOS'!$X$6:$X$1005,1))</f>
        <v/>
      </c>
      <c r="M922" s="93" t="str">
        <f>IF(R922=0,"",SUMIFS('VÍNCULOS_CDF'!$H$6:$H$1005,'VÍNCULOS_CDF'!$R$6:$R$1005,A922,'VÍNCULOS_CDF'!$V$6:$V$1005,1))</f>
        <v/>
      </c>
      <c r="N922" s="99" t="str">
        <f>IF(OR(R922=0,AA922=0,NOT(ISNUMBER(I922))),"",I922-N(L922))</f>
        <v/>
      </c>
      <c r="O922" s="100" t="str">
        <f>IF(OR(R922=0,AK922&lt;=0),"",N(M922)/AK922)</f>
        <v/>
      </c>
      <c r="P922" s="94" t="str">
        <f>IF(R922=0,"",IF(S922="","Sem MTR associado",IF(U922=0,"MTR inexistente",IF(C922="","Resíduo não identificado",IF(V922=0,"Resíduo fora do cadastro",IF(W922=0,"Quantidade inválida",IF(H922="","Unidade não informada",IF(NOT(ISNUMBER(I922)),"Unidade a conferir",IF(AND(AH922=1,K922&lt;&gt;"Sim"),"Possível duplicidade",IF(Z922=1,"MTR cancelado",IF(AC922&gt;0,"Recebimento com alerta",IF(AA922=0,"Aguardando recebimento",IF(AB922&lt;AA922,"Recebimento a conferir",IF(AM922=1,"Quantidade a revisar",IF(AF922&gt;0,"Vínculo a revisar",IF(AD922=0,"Aguardando CDF",IF(AN922=0,"Vínculo de CDF parcial",IF(AE922&lt;AD922,"CDF a conferir","Documentação conferida"))))))))))))))))))</f>
        <v/>
      </c>
      <c r="Q922" s="93" t="str">
        <f>IF(OR(R922=0,AA922=0),"",MAX(0,N(L922)-N(M922)))</f>
        <v/>
      </c>
      <c r="R922" s="96">
        <f>IF(COUNTA(B922:C922,G922:H922,J922:K922)&gt;0,1,0)</f>
        <v>0</v>
      </c>
      <c r="S922" s="96" t="str">
        <f>IF(B922="","",TRIM(LEFT(B922,FIND(" |",B922&amp;" |")-1)))</f>
        <v/>
      </c>
      <c r="T922" s="96" t="str">
        <f>IF(S922="","",IFERROR(MATCH(S922,'MTRs'!$A$6:$A$505,0),""))</f>
        <v/>
      </c>
      <c r="U922" s="96">
        <f>IF(T922="",0,IF(INDEX('MTRs'!$Z$6:$Z$505,T922)=1,1,0))</f>
        <v>0</v>
      </c>
      <c r="V922" s="96">
        <f>IF(C922="",0,IF(ISNUMBER(MATCH(C922,'CAD_RESÍDUOS'!$B$6:$B$205,0)),1,0))</f>
        <v>0</v>
      </c>
      <c r="W922" s="96">
        <f>IF(AND(ISNUMBER(G922),G922&gt;0),1,0)</f>
        <v>0</v>
      </c>
      <c r="X922" s="96" t="str">
        <f>IF(H922="","",IFERROR(IF(ISNUMBER(INDEX(cfg_fac,MATCH(H922,cfg_units,0))),IF(INDEX(cfg_fac,MATCH(H922,cfg_units,0))&gt;0,INDEX(cfg_fac,MATCH(H922,cfg_units,0)),""),""),""))</f>
        <v/>
      </c>
      <c r="Y922" s="96">
        <f>IF(AND(W922=1,ISNUMBER(I922)),1,0)</f>
        <v>0</v>
      </c>
      <c r="Z922" s="96">
        <f>IF(U922=1,INDEX('MTRs'!$AA$6:$AA$505,T922),0)</f>
        <v>0</v>
      </c>
      <c r="AA922" s="96">
        <f>IF(R922=0,0,COUNTIFS('RECEBIMENTOS'!$R$6:$R$1005,A922,'RECEBIMENTOS'!$Q$6:$Q$1005,1))</f>
        <v>0</v>
      </c>
      <c r="AB922" s="96">
        <f>IF(R922=0,0,COUNTIFS('RECEBIMENTOS'!$R$6:$R$1005,A922,'RECEBIMENTOS'!$Z$6:$Z$1005,1))</f>
        <v>0</v>
      </c>
      <c r="AC922" s="96">
        <f>IF(R922=0,0,COUNTIFS('RECEBIMENTOS'!$R$6:$R$1005,A922,'RECEBIMENTOS'!$Y$6:$Y$1005,1))</f>
        <v>0</v>
      </c>
      <c r="AD922" s="96">
        <f>IF(R922=0,0,COUNTIFS('VÍNCULOS_CDF'!$R$6:$R$1005,A922,'VÍNCULOS_CDF'!$N$6:$N$1005,1))</f>
        <v>0</v>
      </c>
      <c r="AE922" s="96">
        <f>IF(R922=0,0,COUNTIFS('VÍNCULOS_CDF'!$R$6:$R$1005,A922,'VÍNCULOS_CDF'!$AA$6:$AA$1005,1))</f>
        <v>0</v>
      </c>
      <c r="AF922" s="96">
        <f>IF(R922=0,0,COUNTIFS('VÍNCULOS_CDF'!$R$6:$R$1005,A922,'VÍNCULOS_CDF'!$Y$6:$Y$1005,1))</f>
        <v>0</v>
      </c>
      <c r="AG922" s="96" t="str">
        <f>IF(AND(R922=1,S922&lt;&gt;"",C922&lt;&gt;""),S922&amp;"|"&amp;C922&amp;"|"&amp;G922&amp;"|"&amp;H922,"")</f>
        <v/>
      </c>
      <c r="AH922" s="96">
        <f>IF(AG922="",0,IF(SUMPRODUCT(--($AG$6:$AG$1005=AG922))&gt;1,1,0))</f>
        <v>0</v>
      </c>
      <c r="AI922" s="96">
        <f>IF(R922=0,0,IF(OR(U922=0,V922=0,Y922=0,AND(AH922=1,K922&lt;&gt;"Sim")),1,0))</f>
        <v>0</v>
      </c>
      <c r="AJ922" s="96">
        <f>IF(AND(R922=1,AA922&gt;0,AB922=AA922),1,0)</f>
        <v>0</v>
      </c>
      <c r="AK922" s="96">
        <f>IF(R922=0,0,IF(AA922&gt;0,N(L922),IF(ISNUMBER(I922),I922,0)))</f>
        <v>0</v>
      </c>
      <c r="AL922" s="96">
        <f>IF(R922=0,0,IF(AND(K922&lt;&gt;"Sim",N(M922)&gt;AK922+cfg_tol),1,0))</f>
        <v>0</v>
      </c>
      <c r="AM922" s="96">
        <f>IF(R922=0,0,IF(K922="Sim",0,IF(OR(AND(AA922&gt;0,ISNUMBER(I922),ABS(I922-N(L922))&gt;cfg_tol),AL922=1),1,0)))</f>
        <v>0</v>
      </c>
      <c r="AN922" s="96">
        <f>IF(AND(R922=1,N(M922)&gt;0,OR(N(M922)&gt;=AK922-cfg_tol,K922="Sim")),1,0)</f>
        <v>0</v>
      </c>
      <c r="AO922" s="96">
        <f>IF(AND(AN922=1,AD922&gt;0,AE922=AD922,AL922=0),1,0)</f>
        <v>0</v>
      </c>
      <c r="AP922" s="96">
        <f>IF(U922=0,0,IF(AND(INDEX('MTRs'!$AX$6:$AX$505,T922)=1,Z922=0,OR(f_res="",f_res="(Todos)",C922=f_res)),1,0))</f>
        <v>0</v>
      </c>
      <c r="AQ922" s="97" t="str">
        <f>IF(U922=0,"",INDEX('MTRs'!$AZ$6:$AZ$505,T922))</f>
        <v/>
      </c>
      <c r="AR922" s="96">
        <f>IF(U922=0,0,IF(AND(INDEX('MTRs'!$BA$6:$BA$505,T922)=1,Z922=0),1,0))</f>
        <v>0</v>
      </c>
      <c r="AS922" s="96" t="str">
        <f>IF(R922=1,A922&amp;" | MTR "&amp;IF(U922=1,INDEX('MTRs'!$B$6:$B$505,T922)&amp;"","?")&amp;" | "&amp;IF(C922="","(sem resíduo)",C922),"")</f>
        <v/>
      </c>
      <c r="AT922" s="96" t="str">
        <f>IF(R922=1,COUNTIF($R$6:R922,1),"")</f>
        <v/>
      </c>
      <c r="AU922" s="96" t="str">
        <f>IF(U922=1,INDEX('MTRs'!$I$6:$I$505,T922)&amp;"","")</f>
        <v/>
      </c>
    </row>
    <row r="923">
      <c r="A923" s="89" t="inlineStr">
        <is>
          <t>IT-000918</t>
        </is>
      </c>
      <c r="B923" s="91" t="n"/>
      <c r="C923" s="91" t="n"/>
      <c r="D923" s="94" t="str">
        <f>IF(OR(R923=0,V923=0),"",INDEX('CAD_RESÍDUOS'!$E$6:$E$205,MATCH(C923,'CAD_RESÍDUOS'!$B$6:$B$205,0))&amp;"")</f>
        <v/>
      </c>
      <c r="E923" s="94" t="str">
        <f>IF(OR(R923=0,V923=0),"",INDEX('CAD_RESÍDUOS'!$C$6:$C$205,MATCH(C923,'CAD_RESÍDUOS'!$B$6:$B$205,0))&amp;"")</f>
        <v/>
      </c>
      <c r="F923" s="94" t="str">
        <f>IF(OR(R923=0,V923=0),"",INDEX('CAD_RESÍDUOS'!$G$6:$G$205,MATCH(C923,'CAD_RESÍDUOS'!$B$6:$B$205,0))&amp;"")</f>
        <v/>
      </c>
      <c r="G923" s="98" t="n"/>
      <c r="H923" s="91" t="n"/>
      <c r="I923" s="93" t="str">
        <f>IF(R923=0,"",IF(NOT(ISNUMBER(G923)),"",IF(ISNUMBER(X923),G923*X923,"UNIDADE A CONFERIR")))</f>
        <v/>
      </c>
      <c r="J923" s="91" t="n"/>
      <c r="K923" s="91" t="n"/>
      <c r="L923" s="93" t="str">
        <f>IF(R923=0,"",SUMIFS('RECEBIMENTOS'!$H$6:$H$1005,'RECEBIMENTOS'!$R$6:$R$1005,A923,'RECEBIMENTOS'!$X$6:$X$1005,1))</f>
        <v/>
      </c>
      <c r="M923" s="93" t="str">
        <f>IF(R923=0,"",SUMIFS('VÍNCULOS_CDF'!$H$6:$H$1005,'VÍNCULOS_CDF'!$R$6:$R$1005,A923,'VÍNCULOS_CDF'!$V$6:$V$1005,1))</f>
        <v/>
      </c>
      <c r="N923" s="99" t="str">
        <f>IF(OR(R923=0,AA923=0,NOT(ISNUMBER(I923))),"",I923-N(L923))</f>
        <v/>
      </c>
      <c r="O923" s="100" t="str">
        <f>IF(OR(R923=0,AK923&lt;=0),"",N(M923)/AK923)</f>
        <v/>
      </c>
      <c r="P923" s="94" t="str">
        <f>IF(R923=0,"",IF(S923="","Sem MTR associado",IF(U923=0,"MTR inexistente",IF(C923="","Resíduo não identificado",IF(V923=0,"Resíduo fora do cadastro",IF(W923=0,"Quantidade inválida",IF(H923="","Unidade não informada",IF(NOT(ISNUMBER(I923)),"Unidade a conferir",IF(AND(AH923=1,K923&lt;&gt;"Sim"),"Possível duplicidade",IF(Z923=1,"MTR cancelado",IF(AC923&gt;0,"Recebimento com alerta",IF(AA923=0,"Aguardando recebimento",IF(AB923&lt;AA923,"Recebimento a conferir",IF(AM923=1,"Quantidade a revisar",IF(AF923&gt;0,"Vínculo a revisar",IF(AD923=0,"Aguardando CDF",IF(AN923=0,"Vínculo de CDF parcial",IF(AE923&lt;AD923,"CDF a conferir","Documentação conferida"))))))))))))))))))</f>
        <v/>
      </c>
      <c r="Q923" s="93" t="str">
        <f>IF(OR(R923=0,AA923=0),"",MAX(0,N(L923)-N(M923)))</f>
        <v/>
      </c>
      <c r="R923" s="96">
        <f>IF(COUNTA(B923:C923,G923:H923,J923:K923)&gt;0,1,0)</f>
        <v>0</v>
      </c>
      <c r="S923" s="96" t="str">
        <f>IF(B923="","",TRIM(LEFT(B923,FIND(" |",B923&amp;" |")-1)))</f>
        <v/>
      </c>
      <c r="T923" s="96" t="str">
        <f>IF(S923="","",IFERROR(MATCH(S923,'MTRs'!$A$6:$A$505,0),""))</f>
        <v/>
      </c>
      <c r="U923" s="96">
        <f>IF(T923="",0,IF(INDEX('MTRs'!$Z$6:$Z$505,T923)=1,1,0))</f>
        <v>0</v>
      </c>
      <c r="V923" s="96">
        <f>IF(C923="",0,IF(ISNUMBER(MATCH(C923,'CAD_RESÍDUOS'!$B$6:$B$205,0)),1,0))</f>
        <v>0</v>
      </c>
      <c r="W923" s="96">
        <f>IF(AND(ISNUMBER(G923),G923&gt;0),1,0)</f>
        <v>0</v>
      </c>
      <c r="X923" s="96" t="str">
        <f>IF(H923="","",IFERROR(IF(ISNUMBER(INDEX(cfg_fac,MATCH(H923,cfg_units,0))),IF(INDEX(cfg_fac,MATCH(H923,cfg_units,0))&gt;0,INDEX(cfg_fac,MATCH(H923,cfg_units,0)),""),""),""))</f>
        <v/>
      </c>
      <c r="Y923" s="96">
        <f>IF(AND(W923=1,ISNUMBER(I923)),1,0)</f>
        <v>0</v>
      </c>
      <c r="Z923" s="96">
        <f>IF(U923=1,INDEX('MTRs'!$AA$6:$AA$505,T923),0)</f>
        <v>0</v>
      </c>
      <c r="AA923" s="96">
        <f>IF(R923=0,0,COUNTIFS('RECEBIMENTOS'!$R$6:$R$1005,A923,'RECEBIMENTOS'!$Q$6:$Q$1005,1))</f>
        <v>0</v>
      </c>
      <c r="AB923" s="96">
        <f>IF(R923=0,0,COUNTIFS('RECEBIMENTOS'!$R$6:$R$1005,A923,'RECEBIMENTOS'!$Z$6:$Z$1005,1))</f>
        <v>0</v>
      </c>
      <c r="AC923" s="96">
        <f>IF(R923=0,0,COUNTIFS('RECEBIMENTOS'!$R$6:$R$1005,A923,'RECEBIMENTOS'!$Y$6:$Y$1005,1))</f>
        <v>0</v>
      </c>
      <c r="AD923" s="96">
        <f>IF(R923=0,0,COUNTIFS('VÍNCULOS_CDF'!$R$6:$R$1005,A923,'VÍNCULOS_CDF'!$N$6:$N$1005,1))</f>
        <v>0</v>
      </c>
      <c r="AE923" s="96">
        <f>IF(R923=0,0,COUNTIFS('VÍNCULOS_CDF'!$R$6:$R$1005,A923,'VÍNCULOS_CDF'!$AA$6:$AA$1005,1))</f>
        <v>0</v>
      </c>
      <c r="AF923" s="96">
        <f>IF(R923=0,0,COUNTIFS('VÍNCULOS_CDF'!$R$6:$R$1005,A923,'VÍNCULOS_CDF'!$Y$6:$Y$1005,1))</f>
        <v>0</v>
      </c>
      <c r="AG923" s="96" t="str">
        <f>IF(AND(R923=1,S923&lt;&gt;"",C923&lt;&gt;""),S923&amp;"|"&amp;C923&amp;"|"&amp;G923&amp;"|"&amp;H923,"")</f>
        <v/>
      </c>
      <c r="AH923" s="96">
        <f>IF(AG923="",0,IF(SUMPRODUCT(--($AG$6:$AG$1005=AG923))&gt;1,1,0))</f>
        <v>0</v>
      </c>
      <c r="AI923" s="96">
        <f>IF(R923=0,0,IF(OR(U923=0,V923=0,Y923=0,AND(AH923=1,K923&lt;&gt;"Sim")),1,0))</f>
        <v>0</v>
      </c>
      <c r="AJ923" s="96">
        <f>IF(AND(R923=1,AA923&gt;0,AB923=AA923),1,0)</f>
        <v>0</v>
      </c>
      <c r="AK923" s="96">
        <f>IF(R923=0,0,IF(AA923&gt;0,N(L923),IF(ISNUMBER(I923),I923,0)))</f>
        <v>0</v>
      </c>
      <c r="AL923" s="96">
        <f>IF(R923=0,0,IF(AND(K923&lt;&gt;"Sim",N(M923)&gt;AK923+cfg_tol),1,0))</f>
        <v>0</v>
      </c>
      <c r="AM923" s="96">
        <f>IF(R923=0,0,IF(K923="Sim",0,IF(OR(AND(AA923&gt;0,ISNUMBER(I923),ABS(I923-N(L923))&gt;cfg_tol),AL923=1),1,0)))</f>
        <v>0</v>
      </c>
      <c r="AN923" s="96">
        <f>IF(AND(R923=1,N(M923)&gt;0,OR(N(M923)&gt;=AK923-cfg_tol,K923="Sim")),1,0)</f>
        <v>0</v>
      </c>
      <c r="AO923" s="96">
        <f>IF(AND(AN923=1,AD923&gt;0,AE923=AD923,AL923=0),1,0)</f>
        <v>0</v>
      </c>
      <c r="AP923" s="96">
        <f>IF(U923=0,0,IF(AND(INDEX('MTRs'!$AX$6:$AX$505,T923)=1,Z923=0,OR(f_res="",f_res="(Todos)",C923=f_res)),1,0))</f>
        <v>0</v>
      </c>
      <c r="AQ923" s="97" t="str">
        <f>IF(U923=0,"",INDEX('MTRs'!$AZ$6:$AZ$505,T923))</f>
        <v/>
      </c>
      <c r="AR923" s="96">
        <f>IF(U923=0,0,IF(AND(INDEX('MTRs'!$BA$6:$BA$505,T923)=1,Z923=0),1,0))</f>
        <v>0</v>
      </c>
      <c r="AS923" s="96" t="str">
        <f>IF(R923=1,A923&amp;" | MTR "&amp;IF(U923=1,INDEX('MTRs'!$B$6:$B$505,T923)&amp;"","?")&amp;" | "&amp;IF(C923="","(sem resíduo)",C923),"")</f>
        <v/>
      </c>
      <c r="AT923" s="96" t="str">
        <f>IF(R923=1,COUNTIF($R$6:R923,1),"")</f>
        <v/>
      </c>
      <c r="AU923" s="96" t="str">
        <f>IF(U923=1,INDEX('MTRs'!$I$6:$I$505,T923)&amp;"","")</f>
        <v/>
      </c>
    </row>
    <row r="924">
      <c r="A924" s="89" t="inlineStr">
        <is>
          <t>IT-000919</t>
        </is>
      </c>
      <c r="B924" s="91" t="n"/>
      <c r="C924" s="91" t="n"/>
      <c r="D924" s="94" t="str">
        <f>IF(OR(R924=0,V924=0),"",INDEX('CAD_RESÍDUOS'!$E$6:$E$205,MATCH(C924,'CAD_RESÍDUOS'!$B$6:$B$205,0))&amp;"")</f>
        <v/>
      </c>
      <c r="E924" s="94" t="str">
        <f>IF(OR(R924=0,V924=0),"",INDEX('CAD_RESÍDUOS'!$C$6:$C$205,MATCH(C924,'CAD_RESÍDUOS'!$B$6:$B$205,0))&amp;"")</f>
        <v/>
      </c>
      <c r="F924" s="94" t="str">
        <f>IF(OR(R924=0,V924=0),"",INDEX('CAD_RESÍDUOS'!$G$6:$G$205,MATCH(C924,'CAD_RESÍDUOS'!$B$6:$B$205,0))&amp;"")</f>
        <v/>
      </c>
      <c r="G924" s="98" t="n"/>
      <c r="H924" s="91" t="n"/>
      <c r="I924" s="93" t="str">
        <f>IF(R924=0,"",IF(NOT(ISNUMBER(G924)),"",IF(ISNUMBER(X924),G924*X924,"UNIDADE A CONFERIR")))</f>
        <v/>
      </c>
      <c r="J924" s="91" t="n"/>
      <c r="K924" s="91" t="n"/>
      <c r="L924" s="93" t="str">
        <f>IF(R924=0,"",SUMIFS('RECEBIMENTOS'!$H$6:$H$1005,'RECEBIMENTOS'!$R$6:$R$1005,A924,'RECEBIMENTOS'!$X$6:$X$1005,1))</f>
        <v/>
      </c>
      <c r="M924" s="93" t="str">
        <f>IF(R924=0,"",SUMIFS('VÍNCULOS_CDF'!$H$6:$H$1005,'VÍNCULOS_CDF'!$R$6:$R$1005,A924,'VÍNCULOS_CDF'!$V$6:$V$1005,1))</f>
        <v/>
      </c>
      <c r="N924" s="99" t="str">
        <f>IF(OR(R924=0,AA924=0,NOT(ISNUMBER(I924))),"",I924-N(L924))</f>
        <v/>
      </c>
      <c r="O924" s="100" t="str">
        <f>IF(OR(R924=0,AK924&lt;=0),"",N(M924)/AK924)</f>
        <v/>
      </c>
      <c r="P924" s="94" t="str">
        <f>IF(R924=0,"",IF(S924="","Sem MTR associado",IF(U924=0,"MTR inexistente",IF(C924="","Resíduo não identificado",IF(V924=0,"Resíduo fora do cadastro",IF(W924=0,"Quantidade inválida",IF(H924="","Unidade não informada",IF(NOT(ISNUMBER(I924)),"Unidade a conferir",IF(AND(AH924=1,K924&lt;&gt;"Sim"),"Possível duplicidade",IF(Z924=1,"MTR cancelado",IF(AC924&gt;0,"Recebimento com alerta",IF(AA924=0,"Aguardando recebimento",IF(AB924&lt;AA924,"Recebimento a conferir",IF(AM924=1,"Quantidade a revisar",IF(AF924&gt;0,"Vínculo a revisar",IF(AD924=0,"Aguardando CDF",IF(AN924=0,"Vínculo de CDF parcial",IF(AE924&lt;AD924,"CDF a conferir","Documentação conferida"))))))))))))))))))</f>
        <v/>
      </c>
      <c r="Q924" s="93" t="str">
        <f>IF(OR(R924=0,AA924=0),"",MAX(0,N(L924)-N(M924)))</f>
        <v/>
      </c>
      <c r="R924" s="96">
        <f>IF(COUNTA(B924:C924,G924:H924,J924:K924)&gt;0,1,0)</f>
        <v>0</v>
      </c>
      <c r="S924" s="96" t="str">
        <f>IF(B924="","",TRIM(LEFT(B924,FIND(" |",B924&amp;" |")-1)))</f>
        <v/>
      </c>
      <c r="T924" s="96" t="str">
        <f>IF(S924="","",IFERROR(MATCH(S924,'MTRs'!$A$6:$A$505,0),""))</f>
        <v/>
      </c>
      <c r="U924" s="96">
        <f>IF(T924="",0,IF(INDEX('MTRs'!$Z$6:$Z$505,T924)=1,1,0))</f>
        <v>0</v>
      </c>
      <c r="V924" s="96">
        <f>IF(C924="",0,IF(ISNUMBER(MATCH(C924,'CAD_RESÍDUOS'!$B$6:$B$205,0)),1,0))</f>
        <v>0</v>
      </c>
      <c r="W924" s="96">
        <f>IF(AND(ISNUMBER(G924),G924&gt;0),1,0)</f>
        <v>0</v>
      </c>
      <c r="X924" s="96" t="str">
        <f>IF(H924="","",IFERROR(IF(ISNUMBER(INDEX(cfg_fac,MATCH(H924,cfg_units,0))),IF(INDEX(cfg_fac,MATCH(H924,cfg_units,0))&gt;0,INDEX(cfg_fac,MATCH(H924,cfg_units,0)),""),""),""))</f>
        <v/>
      </c>
      <c r="Y924" s="96">
        <f>IF(AND(W924=1,ISNUMBER(I924)),1,0)</f>
        <v>0</v>
      </c>
      <c r="Z924" s="96">
        <f>IF(U924=1,INDEX('MTRs'!$AA$6:$AA$505,T924),0)</f>
        <v>0</v>
      </c>
      <c r="AA924" s="96">
        <f>IF(R924=0,0,COUNTIFS('RECEBIMENTOS'!$R$6:$R$1005,A924,'RECEBIMENTOS'!$Q$6:$Q$1005,1))</f>
        <v>0</v>
      </c>
      <c r="AB924" s="96">
        <f>IF(R924=0,0,COUNTIFS('RECEBIMENTOS'!$R$6:$R$1005,A924,'RECEBIMENTOS'!$Z$6:$Z$1005,1))</f>
        <v>0</v>
      </c>
      <c r="AC924" s="96">
        <f>IF(R924=0,0,COUNTIFS('RECEBIMENTOS'!$R$6:$R$1005,A924,'RECEBIMENTOS'!$Y$6:$Y$1005,1))</f>
        <v>0</v>
      </c>
      <c r="AD924" s="96">
        <f>IF(R924=0,0,COUNTIFS('VÍNCULOS_CDF'!$R$6:$R$1005,A924,'VÍNCULOS_CDF'!$N$6:$N$1005,1))</f>
        <v>0</v>
      </c>
      <c r="AE924" s="96">
        <f>IF(R924=0,0,COUNTIFS('VÍNCULOS_CDF'!$R$6:$R$1005,A924,'VÍNCULOS_CDF'!$AA$6:$AA$1005,1))</f>
        <v>0</v>
      </c>
      <c r="AF924" s="96">
        <f>IF(R924=0,0,COUNTIFS('VÍNCULOS_CDF'!$R$6:$R$1005,A924,'VÍNCULOS_CDF'!$Y$6:$Y$1005,1))</f>
        <v>0</v>
      </c>
      <c r="AG924" s="96" t="str">
        <f>IF(AND(R924=1,S924&lt;&gt;"",C924&lt;&gt;""),S924&amp;"|"&amp;C924&amp;"|"&amp;G924&amp;"|"&amp;H924,"")</f>
        <v/>
      </c>
      <c r="AH924" s="96">
        <f>IF(AG924="",0,IF(SUMPRODUCT(--($AG$6:$AG$1005=AG924))&gt;1,1,0))</f>
        <v>0</v>
      </c>
      <c r="AI924" s="96">
        <f>IF(R924=0,0,IF(OR(U924=0,V924=0,Y924=0,AND(AH924=1,K924&lt;&gt;"Sim")),1,0))</f>
        <v>0</v>
      </c>
      <c r="AJ924" s="96">
        <f>IF(AND(R924=1,AA924&gt;0,AB924=AA924),1,0)</f>
        <v>0</v>
      </c>
      <c r="AK924" s="96">
        <f>IF(R924=0,0,IF(AA924&gt;0,N(L924),IF(ISNUMBER(I924),I924,0)))</f>
        <v>0</v>
      </c>
      <c r="AL924" s="96">
        <f>IF(R924=0,0,IF(AND(K924&lt;&gt;"Sim",N(M924)&gt;AK924+cfg_tol),1,0))</f>
        <v>0</v>
      </c>
      <c r="AM924" s="96">
        <f>IF(R924=0,0,IF(K924="Sim",0,IF(OR(AND(AA924&gt;0,ISNUMBER(I924),ABS(I924-N(L924))&gt;cfg_tol),AL924=1),1,0)))</f>
        <v>0</v>
      </c>
      <c r="AN924" s="96">
        <f>IF(AND(R924=1,N(M924)&gt;0,OR(N(M924)&gt;=AK924-cfg_tol,K924="Sim")),1,0)</f>
        <v>0</v>
      </c>
      <c r="AO924" s="96">
        <f>IF(AND(AN924=1,AD924&gt;0,AE924=AD924,AL924=0),1,0)</f>
        <v>0</v>
      </c>
      <c r="AP924" s="96">
        <f>IF(U924=0,0,IF(AND(INDEX('MTRs'!$AX$6:$AX$505,T924)=1,Z924=0,OR(f_res="",f_res="(Todos)",C924=f_res)),1,0))</f>
        <v>0</v>
      </c>
      <c r="AQ924" s="97" t="str">
        <f>IF(U924=0,"",INDEX('MTRs'!$AZ$6:$AZ$505,T924))</f>
        <v/>
      </c>
      <c r="AR924" s="96">
        <f>IF(U924=0,0,IF(AND(INDEX('MTRs'!$BA$6:$BA$505,T924)=1,Z924=0),1,0))</f>
        <v>0</v>
      </c>
      <c r="AS924" s="96" t="str">
        <f>IF(R924=1,A924&amp;" | MTR "&amp;IF(U924=1,INDEX('MTRs'!$B$6:$B$505,T924)&amp;"","?")&amp;" | "&amp;IF(C924="","(sem resíduo)",C924),"")</f>
        <v/>
      </c>
      <c r="AT924" s="96" t="str">
        <f>IF(R924=1,COUNTIF($R$6:R924,1),"")</f>
        <v/>
      </c>
      <c r="AU924" s="96" t="str">
        <f>IF(U924=1,INDEX('MTRs'!$I$6:$I$505,T924)&amp;"","")</f>
        <v/>
      </c>
    </row>
    <row r="925">
      <c r="A925" s="89" t="inlineStr">
        <is>
          <t>IT-000920</t>
        </is>
      </c>
      <c r="B925" s="91" t="n"/>
      <c r="C925" s="91" t="n"/>
      <c r="D925" s="94" t="str">
        <f>IF(OR(R925=0,V925=0),"",INDEX('CAD_RESÍDUOS'!$E$6:$E$205,MATCH(C925,'CAD_RESÍDUOS'!$B$6:$B$205,0))&amp;"")</f>
        <v/>
      </c>
      <c r="E925" s="94" t="str">
        <f>IF(OR(R925=0,V925=0),"",INDEX('CAD_RESÍDUOS'!$C$6:$C$205,MATCH(C925,'CAD_RESÍDUOS'!$B$6:$B$205,0))&amp;"")</f>
        <v/>
      </c>
      <c r="F925" s="94" t="str">
        <f>IF(OR(R925=0,V925=0),"",INDEX('CAD_RESÍDUOS'!$G$6:$G$205,MATCH(C925,'CAD_RESÍDUOS'!$B$6:$B$205,0))&amp;"")</f>
        <v/>
      </c>
      <c r="G925" s="98" t="n"/>
      <c r="H925" s="91" t="n"/>
      <c r="I925" s="93" t="str">
        <f>IF(R925=0,"",IF(NOT(ISNUMBER(G925)),"",IF(ISNUMBER(X925),G925*X925,"UNIDADE A CONFERIR")))</f>
        <v/>
      </c>
      <c r="J925" s="91" t="n"/>
      <c r="K925" s="91" t="n"/>
      <c r="L925" s="93" t="str">
        <f>IF(R925=0,"",SUMIFS('RECEBIMENTOS'!$H$6:$H$1005,'RECEBIMENTOS'!$R$6:$R$1005,A925,'RECEBIMENTOS'!$X$6:$X$1005,1))</f>
        <v/>
      </c>
      <c r="M925" s="93" t="str">
        <f>IF(R925=0,"",SUMIFS('VÍNCULOS_CDF'!$H$6:$H$1005,'VÍNCULOS_CDF'!$R$6:$R$1005,A925,'VÍNCULOS_CDF'!$V$6:$V$1005,1))</f>
        <v/>
      </c>
      <c r="N925" s="99" t="str">
        <f>IF(OR(R925=0,AA925=0,NOT(ISNUMBER(I925))),"",I925-N(L925))</f>
        <v/>
      </c>
      <c r="O925" s="100" t="str">
        <f>IF(OR(R925=0,AK925&lt;=0),"",N(M925)/AK925)</f>
        <v/>
      </c>
      <c r="P925" s="94" t="str">
        <f>IF(R925=0,"",IF(S925="","Sem MTR associado",IF(U925=0,"MTR inexistente",IF(C925="","Resíduo não identificado",IF(V925=0,"Resíduo fora do cadastro",IF(W925=0,"Quantidade inválida",IF(H925="","Unidade não informada",IF(NOT(ISNUMBER(I925)),"Unidade a conferir",IF(AND(AH925=1,K925&lt;&gt;"Sim"),"Possível duplicidade",IF(Z925=1,"MTR cancelado",IF(AC925&gt;0,"Recebimento com alerta",IF(AA925=0,"Aguardando recebimento",IF(AB925&lt;AA925,"Recebimento a conferir",IF(AM925=1,"Quantidade a revisar",IF(AF925&gt;0,"Vínculo a revisar",IF(AD925=0,"Aguardando CDF",IF(AN925=0,"Vínculo de CDF parcial",IF(AE925&lt;AD925,"CDF a conferir","Documentação conferida"))))))))))))))))))</f>
        <v/>
      </c>
      <c r="Q925" s="93" t="str">
        <f>IF(OR(R925=0,AA925=0),"",MAX(0,N(L925)-N(M925)))</f>
        <v/>
      </c>
      <c r="R925" s="96">
        <f>IF(COUNTA(B925:C925,G925:H925,J925:K925)&gt;0,1,0)</f>
        <v>0</v>
      </c>
      <c r="S925" s="96" t="str">
        <f>IF(B925="","",TRIM(LEFT(B925,FIND(" |",B925&amp;" |")-1)))</f>
        <v/>
      </c>
      <c r="T925" s="96" t="str">
        <f>IF(S925="","",IFERROR(MATCH(S925,'MTRs'!$A$6:$A$505,0),""))</f>
        <v/>
      </c>
      <c r="U925" s="96">
        <f>IF(T925="",0,IF(INDEX('MTRs'!$Z$6:$Z$505,T925)=1,1,0))</f>
        <v>0</v>
      </c>
      <c r="V925" s="96">
        <f>IF(C925="",0,IF(ISNUMBER(MATCH(C925,'CAD_RESÍDUOS'!$B$6:$B$205,0)),1,0))</f>
        <v>0</v>
      </c>
      <c r="W925" s="96">
        <f>IF(AND(ISNUMBER(G925),G925&gt;0),1,0)</f>
        <v>0</v>
      </c>
      <c r="X925" s="96" t="str">
        <f>IF(H925="","",IFERROR(IF(ISNUMBER(INDEX(cfg_fac,MATCH(H925,cfg_units,0))),IF(INDEX(cfg_fac,MATCH(H925,cfg_units,0))&gt;0,INDEX(cfg_fac,MATCH(H925,cfg_units,0)),""),""),""))</f>
        <v/>
      </c>
      <c r="Y925" s="96">
        <f>IF(AND(W925=1,ISNUMBER(I925)),1,0)</f>
        <v>0</v>
      </c>
      <c r="Z925" s="96">
        <f>IF(U925=1,INDEX('MTRs'!$AA$6:$AA$505,T925),0)</f>
        <v>0</v>
      </c>
      <c r="AA925" s="96">
        <f>IF(R925=0,0,COUNTIFS('RECEBIMENTOS'!$R$6:$R$1005,A925,'RECEBIMENTOS'!$Q$6:$Q$1005,1))</f>
        <v>0</v>
      </c>
      <c r="AB925" s="96">
        <f>IF(R925=0,0,COUNTIFS('RECEBIMENTOS'!$R$6:$R$1005,A925,'RECEBIMENTOS'!$Z$6:$Z$1005,1))</f>
        <v>0</v>
      </c>
      <c r="AC925" s="96">
        <f>IF(R925=0,0,COUNTIFS('RECEBIMENTOS'!$R$6:$R$1005,A925,'RECEBIMENTOS'!$Y$6:$Y$1005,1))</f>
        <v>0</v>
      </c>
      <c r="AD925" s="96">
        <f>IF(R925=0,0,COUNTIFS('VÍNCULOS_CDF'!$R$6:$R$1005,A925,'VÍNCULOS_CDF'!$N$6:$N$1005,1))</f>
        <v>0</v>
      </c>
      <c r="AE925" s="96">
        <f>IF(R925=0,0,COUNTIFS('VÍNCULOS_CDF'!$R$6:$R$1005,A925,'VÍNCULOS_CDF'!$AA$6:$AA$1005,1))</f>
        <v>0</v>
      </c>
      <c r="AF925" s="96">
        <f>IF(R925=0,0,COUNTIFS('VÍNCULOS_CDF'!$R$6:$R$1005,A925,'VÍNCULOS_CDF'!$Y$6:$Y$1005,1))</f>
        <v>0</v>
      </c>
      <c r="AG925" s="96" t="str">
        <f>IF(AND(R925=1,S925&lt;&gt;"",C925&lt;&gt;""),S925&amp;"|"&amp;C925&amp;"|"&amp;G925&amp;"|"&amp;H925,"")</f>
        <v/>
      </c>
      <c r="AH925" s="96">
        <f>IF(AG925="",0,IF(SUMPRODUCT(--($AG$6:$AG$1005=AG925))&gt;1,1,0))</f>
        <v>0</v>
      </c>
      <c r="AI925" s="96">
        <f>IF(R925=0,0,IF(OR(U925=0,V925=0,Y925=0,AND(AH925=1,K925&lt;&gt;"Sim")),1,0))</f>
        <v>0</v>
      </c>
      <c r="AJ925" s="96">
        <f>IF(AND(R925=1,AA925&gt;0,AB925=AA925),1,0)</f>
        <v>0</v>
      </c>
      <c r="AK925" s="96">
        <f>IF(R925=0,0,IF(AA925&gt;0,N(L925),IF(ISNUMBER(I925),I925,0)))</f>
        <v>0</v>
      </c>
      <c r="AL925" s="96">
        <f>IF(R925=0,0,IF(AND(K925&lt;&gt;"Sim",N(M925)&gt;AK925+cfg_tol),1,0))</f>
        <v>0</v>
      </c>
      <c r="AM925" s="96">
        <f>IF(R925=0,0,IF(K925="Sim",0,IF(OR(AND(AA925&gt;0,ISNUMBER(I925),ABS(I925-N(L925))&gt;cfg_tol),AL925=1),1,0)))</f>
        <v>0</v>
      </c>
      <c r="AN925" s="96">
        <f>IF(AND(R925=1,N(M925)&gt;0,OR(N(M925)&gt;=AK925-cfg_tol,K925="Sim")),1,0)</f>
        <v>0</v>
      </c>
      <c r="AO925" s="96">
        <f>IF(AND(AN925=1,AD925&gt;0,AE925=AD925,AL925=0),1,0)</f>
        <v>0</v>
      </c>
      <c r="AP925" s="96">
        <f>IF(U925=0,0,IF(AND(INDEX('MTRs'!$AX$6:$AX$505,T925)=1,Z925=0,OR(f_res="",f_res="(Todos)",C925=f_res)),1,0))</f>
        <v>0</v>
      </c>
      <c r="AQ925" s="97" t="str">
        <f>IF(U925=0,"",INDEX('MTRs'!$AZ$6:$AZ$505,T925))</f>
        <v/>
      </c>
      <c r="AR925" s="96">
        <f>IF(U925=0,0,IF(AND(INDEX('MTRs'!$BA$6:$BA$505,T925)=1,Z925=0),1,0))</f>
        <v>0</v>
      </c>
      <c r="AS925" s="96" t="str">
        <f>IF(R925=1,A925&amp;" | MTR "&amp;IF(U925=1,INDEX('MTRs'!$B$6:$B$505,T925)&amp;"","?")&amp;" | "&amp;IF(C925="","(sem resíduo)",C925),"")</f>
        <v/>
      </c>
      <c r="AT925" s="96" t="str">
        <f>IF(R925=1,COUNTIF($R$6:R925,1),"")</f>
        <v/>
      </c>
      <c r="AU925" s="96" t="str">
        <f>IF(U925=1,INDEX('MTRs'!$I$6:$I$505,T925)&amp;"","")</f>
        <v/>
      </c>
    </row>
    <row r="926">
      <c r="A926" s="89" t="inlineStr">
        <is>
          <t>IT-000921</t>
        </is>
      </c>
      <c r="B926" s="91" t="n"/>
      <c r="C926" s="91" t="n"/>
      <c r="D926" s="94" t="str">
        <f>IF(OR(R926=0,V926=0),"",INDEX('CAD_RESÍDUOS'!$E$6:$E$205,MATCH(C926,'CAD_RESÍDUOS'!$B$6:$B$205,0))&amp;"")</f>
        <v/>
      </c>
      <c r="E926" s="94" t="str">
        <f>IF(OR(R926=0,V926=0),"",INDEX('CAD_RESÍDUOS'!$C$6:$C$205,MATCH(C926,'CAD_RESÍDUOS'!$B$6:$B$205,0))&amp;"")</f>
        <v/>
      </c>
      <c r="F926" s="94" t="str">
        <f>IF(OR(R926=0,V926=0),"",INDEX('CAD_RESÍDUOS'!$G$6:$G$205,MATCH(C926,'CAD_RESÍDUOS'!$B$6:$B$205,0))&amp;"")</f>
        <v/>
      </c>
      <c r="G926" s="98" t="n"/>
      <c r="H926" s="91" t="n"/>
      <c r="I926" s="93" t="str">
        <f>IF(R926=0,"",IF(NOT(ISNUMBER(G926)),"",IF(ISNUMBER(X926),G926*X926,"UNIDADE A CONFERIR")))</f>
        <v/>
      </c>
      <c r="J926" s="91" t="n"/>
      <c r="K926" s="91" t="n"/>
      <c r="L926" s="93" t="str">
        <f>IF(R926=0,"",SUMIFS('RECEBIMENTOS'!$H$6:$H$1005,'RECEBIMENTOS'!$R$6:$R$1005,A926,'RECEBIMENTOS'!$X$6:$X$1005,1))</f>
        <v/>
      </c>
      <c r="M926" s="93" t="str">
        <f>IF(R926=0,"",SUMIFS('VÍNCULOS_CDF'!$H$6:$H$1005,'VÍNCULOS_CDF'!$R$6:$R$1005,A926,'VÍNCULOS_CDF'!$V$6:$V$1005,1))</f>
        <v/>
      </c>
      <c r="N926" s="99" t="str">
        <f>IF(OR(R926=0,AA926=0,NOT(ISNUMBER(I926))),"",I926-N(L926))</f>
        <v/>
      </c>
      <c r="O926" s="100" t="str">
        <f>IF(OR(R926=0,AK926&lt;=0),"",N(M926)/AK926)</f>
        <v/>
      </c>
      <c r="P926" s="94" t="str">
        <f>IF(R926=0,"",IF(S926="","Sem MTR associado",IF(U926=0,"MTR inexistente",IF(C926="","Resíduo não identificado",IF(V926=0,"Resíduo fora do cadastro",IF(W926=0,"Quantidade inválida",IF(H926="","Unidade não informada",IF(NOT(ISNUMBER(I926)),"Unidade a conferir",IF(AND(AH926=1,K926&lt;&gt;"Sim"),"Possível duplicidade",IF(Z926=1,"MTR cancelado",IF(AC926&gt;0,"Recebimento com alerta",IF(AA926=0,"Aguardando recebimento",IF(AB926&lt;AA926,"Recebimento a conferir",IF(AM926=1,"Quantidade a revisar",IF(AF926&gt;0,"Vínculo a revisar",IF(AD926=0,"Aguardando CDF",IF(AN926=0,"Vínculo de CDF parcial",IF(AE926&lt;AD926,"CDF a conferir","Documentação conferida"))))))))))))))))))</f>
        <v/>
      </c>
      <c r="Q926" s="93" t="str">
        <f>IF(OR(R926=0,AA926=0),"",MAX(0,N(L926)-N(M926)))</f>
        <v/>
      </c>
      <c r="R926" s="96">
        <f>IF(COUNTA(B926:C926,G926:H926,J926:K926)&gt;0,1,0)</f>
        <v>0</v>
      </c>
      <c r="S926" s="96" t="str">
        <f>IF(B926="","",TRIM(LEFT(B926,FIND(" |",B926&amp;" |")-1)))</f>
        <v/>
      </c>
      <c r="T926" s="96" t="str">
        <f>IF(S926="","",IFERROR(MATCH(S926,'MTRs'!$A$6:$A$505,0),""))</f>
        <v/>
      </c>
      <c r="U926" s="96">
        <f>IF(T926="",0,IF(INDEX('MTRs'!$Z$6:$Z$505,T926)=1,1,0))</f>
        <v>0</v>
      </c>
      <c r="V926" s="96">
        <f>IF(C926="",0,IF(ISNUMBER(MATCH(C926,'CAD_RESÍDUOS'!$B$6:$B$205,0)),1,0))</f>
        <v>0</v>
      </c>
      <c r="W926" s="96">
        <f>IF(AND(ISNUMBER(G926),G926&gt;0),1,0)</f>
        <v>0</v>
      </c>
      <c r="X926" s="96" t="str">
        <f>IF(H926="","",IFERROR(IF(ISNUMBER(INDEX(cfg_fac,MATCH(H926,cfg_units,0))),IF(INDEX(cfg_fac,MATCH(H926,cfg_units,0))&gt;0,INDEX(cfg_fac,MATCH(H926,cfg_units,0)),""),""),""))</f>
        <v/>
      </c>
      <c r="Y926" s="96">
        <f>IF(AND(W926=1,ISNUMBER(I926)),1,0)</f>
        <v>0</v>
      </c>
      <c r="Z926" s="96">
        <f>IF(U926=1,INDEX('MTRs'!$AA$6:$AA$505,T926),0)</f>
        <v>0</v>
      </c>
      <c r="AA926" s="96">
        <f>IF(R926=0,0,COUNTIFS('RECEBIMENTOS'!$R$6:$R$1005,A926,'RECEBIMENTOS'!$Q$6:$Q$1005,1))</f>
        <v>0</v>
      </c>
      <c r="AB926" s="96">
        <f>IF(R926=0,0,COUNTIFS('RECEBIMENTOS'!$R$6:$R$1005,A926,'RECEBIMENTOS'!$Z$6:$Z$1005,1))</f>
        <v>0</v>
      </c>
      <c r="AC926" s="96">
        <f>IF(R926=0,0,COUNTIFS('RECEBIMENTOS'!$R$6:$R$1005,A926,'RECEBIMENTOS'!$Y$6:$Y$1005,1))</f>
        <v>0</v>
      </c>
      <c r="AD926" s="96">
        <f>IF(R926=0,0,COUNTIFS('VÍNCULOS_CDF'!$R$6:$R$1005,A926,'VÍNCULOS_CDF'!$N$6:$N$1005,1))</f>
        <v>0</v>
      </c>
      <c r="AE926" s="96">
        <f>IF(R926=0,0,COUNTIFS('VÍNCULOS_CDF'!$R$6:$R$1005,A926,'VÍNCULOS_CDF'!$AA$6:$AA$1005,1))</f>
        <v>0</v>
      </c>
      <c r="AF926" s="96">
        <f>IF(R926=0,0,COUNTIFS('VÍNCULOS_CDF'!$R$6:$R$1005,A926,'VÍNCULOS_CDF'!$Y$6:$Y$1005,1))</f>
        <v>0</v>
      </c>
      <c r="AG926" s="96" t="str">
        <f>IF(AND(R926=1,S926&lt;&gt;"",C926&lt;&gt;""),S926&amp;"|"&amp;C926&amp;"|"&amp;G926&amp;"|"&amp;H926,"")</f>
        <v/>
      </c>
      <c r="AH926" s="96">
        <f>IF(AG926="",0,IF(SUMPRODUCT(--($AG$6:$AG$1005=AG926))&gt;1,1,0))</f>
        <v>0</v>
      </c>
      <c r="AI926" s="96">
        <f>IF(R926=0,0,IF(OR(U926=0,V926=0,Y926=0,AND(AH926=1,K926&lt;&gt;"Sim")),1,0))</f>
        <v>0</v>
      </c>
      <c r="AJ926" s="96">
        <f>IF(AND(R926=1,AA926&gt;0,AB926=AA926),1,0)</f>
        <v>0</v>
      </c>
      <c r="AK926" s="96">
        <f>IF(R926=0,0,IF(AA926&gt;0,N(L926),IF(ISNUMBER(I926),I926,0)))</f>
        <v>0</v>
      </c>
      <c r="AL926" s="96">
        <f>IF(R926=0,0,IF(AND(K926&lt;&gt;"Sim",N(M926)&gt;AK926+cfg_tol),1,0))</f>
        <v>0</v>
      </c>
      <c r="AM926" s="96">
        <f>IF(R926=0,0,IF(K926="Sim",0,IF(OR(AND(AA926&gt;0,ISNUMBER(I926),ABS(I926-N(L926))&gt;cfg_tol),AL926=1),1,0)))</f>
        <v>0</v>
      </c>
      <c r="AN926" s="96">
        <f>IF(AND(R926=1,N(M926)&gt;0,OR(N(M926)&gt;=AK926-cfg_tol,K926="Sim")),1,0)</f>
        <v>0</v>
      </c>
      <c r="AO926" s="96">
        <f>IF(AND(AN926=1,AD926&gt;0,AE926=AD926,AL926=0),1,0)</f>
        <v>0</v>
      </c>
      <c r="AP926" s="96">
        <f>IF(U926=0,0,IF(AND(INDEX('MTRs'!$AX$6:$AX$505,T926)=1,Z926=0,OR(f_res="",f_res="(Todos)",C926=f_res)),1,0))</f>
        <v>0</v>
      </c>
      <c r="AQ926" s="97" t="str">
        <f>IF(U926=0,"",INDEX('MTRs'!$AZ$6:$AZ$505,T926))</f>
        <v/>
      </c>
      <c r="AR926" s="96">
        <f>IF(U926=0,0,IF(AND(INDEX('MTRs'!$BA$6:$BA$505,T926)=1,Z926=0),1,0))</f>
        <v>0</v>
      </c>
      <c r="AS926" s="96" t="str">
        <f>IF(R926=1,A926&amp;" | MTR "&amp;IF(U926=1,INDEX('MTRs'!$B$6:$B$505,T926)&amp;"","?")&amp;" | "&amp;IF(C926="","(sem resíduo)",C926),"")</f>
        <v/>
      </c>
      <c r="AT926" s="96" t="str">
        <f>IF(R926=1,COUNTIF($R$6:R926,1),"")</f>
        <v/>
      </c>
      <c r="AU926" s="96" t="str">
        <f>IF(U926=1,INDEX('MTRs'!$I$6:$I$505,T926)&amp;"","")</f>
        <v/>
      </c>
    </row>
    <row r="927">
      <c r="A927" s="89" t="inlineStr">
        <is>
          <t>IT-000922</t>
        </is>
      </c>
      <c r="B927" s="91" t="n"/>
      <c r="C927" s="91" t="n"/>
      <c r="D927" s="94" t="str">
        <f>IF(OR(R927=0,V927=0),"",INDEX('CAD_RESÍDUOS'!$E$6:$E$205,MATCH(C927,'CAD_RESÍDUOS'!$B$6:$B$205,0))&amp;"")</f>
        <v/>
      </c>
      <c r="E927" s="94" t="str">
        <f>IF(OR(R927=0,V927=0),"",INDEX('CAD_RESÍDUOS'!$C$6:$C$205,MATCH(C927,'CAD_RESÍDUOS'!$B$6:$B$205,0))&amp;"")</f>
        <v/>
      </c>
      <c r="F927" s="94" t="str">
        <f>IF(OR(R927=0,V927=0),"",INDEX('CAD_RESÍDUOS'!$G$6:$G$205,MATCH(C927,'CAD_RESÍDUOS'!$B$6:$B$205,0))&amp;"")</f>
        <v/>
      </c>
      <c r="G927" s="98" t="n"/>
      <c r="H927" s="91" t="n"/>
      <c r="I927" s="93" t="str">
        <f>IF(R927=0,"",IF(NOT(ISNUMBER(G927)),"",IF(ISNUMBER(X927),G927*X927,"UNIDADE A CONFERIR")))</f>
        <v/>
      </c>
      <c r="J927" s="91" t="n"/>
      <c r="K927" s="91" t="n"/>
      <c r="L927" s="93" t="str">
        <f>IF(R927=0,"",SUMIFS('RECEBIMENTOS'!$H$6:$H$1005,'RECEBIMENTOS'!$R$6:$R$1005,A927,'RECEBIMENTOS'!$X$6:$X$1005,1))</f>
        <v/>
      </c>
      <c r="M927" s="93" t="str">
        <f>IF(R927=0,"",SUMIFS('VÍNCULOS_CDF'!$H$6:$H$1005,'VÍNCULOS_CDF'!$R$6:$R$1005,A927,'VÍNCULOS_CDF'!$V$6:$V$1005,1))</f>
        <v/>
      </c>
      <c r="N927" s="99" t="str">
        <f>IF(OR(R927=0,AA927=0,NOT(ISNUMBER(I927))),"",I927-N(L927))</f>
        <v/>
      </c>
      <c r="O927" s="100" t="str">
        <f>IF(OR(R927=0,AK927&lt;=0),"",N(M927)/AK927)</f>
        <v/>
      </c>
      <c r="P927" s="94" t="str">
        <f>IF(R927=0,"",IF(S927="","Sem MTR associado",IF(U927=0,"MTR inexistente",IF(C927="","Resíduo não identificado",IF(V927=0,"Resíduo fora do cadastro",IF(W927=0,"Quantidade inválida",IF(H927="","Unidade não informada",IF(NOT(ISNUMBER(I927)),"Unidade a conferir",IF(AND(AH927=1,K927&lt;&gt;"Sim"),"Possível duplicidade",IF(Z927=1,"MTR cancelado",IF(AC927&gt;0,"Recebimento com alerta",IF(AA927=0,"Aguardando recebimento",IF(AB927&lt;AA927,"Recebimento a conferir",IF(AM927=1,"Quantidade a revisar",IF(AF927&gt;0,"Vínculo a revisar",IF(AD927=0,"Aguardando CDF",IF(AN927=0,"Vínculo de CDF parcial",IF(AE927&lt;AD927,"CDF a conferir","Documentação conferida"))))))))))))))))))</f>
        <v/>
      </c>
      <c r="Q927" s="93" t="str">
        <f>IF(OR(R927=0,AA927=0),"",MAX(0,N(L927)-N(M927)))</f>
        <v/>
      </c>
      <c r="R927" s="96">
        <f>IF(COUNTA(B927:C927,G927:H927,J927:K927)&gt;0,1,0)</f>
        <v>0</v>
      </c>
      <c r="S927" s="96" t="str">
        <f>IF(B927="","",TRIM(LEFT(B927,FIND(" |",B927&amp;" |")-1)))</f>
        <v/>
      </c>
      <c r="T927" s="96" t="str">
        <f>IF(S927="","",IFERROR(MATCH(S927,'MTRs'!$A$6:$A$505,0),""))</f>
        <v/>
      </c>
      <c r="U927" s="96">
        <f>IF(T927="",0,IF(INDEX('MTRs'!$Z$6:$Z$505,T927)=1,1,0))</f>
        <v>0</v>
      </c>
      <c r="V927" s="96">
        <f>IF(C927="",0,IF(ISNUMBER(MATCH(C927,'CAD_RESÍDUOS'!$B$6:$B$205,0)),1,0))</f>
        <v>0</v>
      </c>
      <c r="W927" s="96">
        <f>IF(AND(ISNUMBER(G927),G927&gt;0),1,0)</f>
        <v>0</v>
      </c>
      <c r="X927" s="96" t="str">
        <f>IF(H927="","",IFERROR(IF(ISNUMBER(INDEX(cfg_fac,MATCH(H927,cfg_units,0))),IF(INDEX(cfg_fac,MATCH(H927,cfg_units,0))&gt;0,INDEX(cfg_fac,MATCH(H927,cfg_units,0)),""),""),""))</f>
        <v/>
      </c>
      <c r="Y927" s="96">
        <f>IF(AND(W927=1,ISNUMBER(I927)),1,0)</f>
        <v>0</v>
      </c>
      <c r="Z927" s="96">
        <f>IF(U927=1,INDEX('MTRs'!$AA$6:$AA$505,T927),0)</f>
        <v>0</v>
      </c>
      <c r="AA927" s="96">
        <f>IF(R927=0,0,COUNTIFS('RECEBIMENTOS'!$R$6:$R$1005,A927,'RECEBIMENTOS'!$Q$6:$Q$1005,1))</f>
        <v>0</v>
      </c>
      <c r="AB927" s="96">
        <f>IF(R927=0,0,COUNTIFS('RECEBIMENTOS'!$R$6:$R$1005,A927,'RECEBIMENTOS'!$Z$6:$Z$1005,1))</f>
        <v>0</v>
      </c>
      <c r="AC927" s="96">
        <f>IF(R927=0,0,COUNTIFS('RECEBIMENTOS'!$R$6:$R$1005,A927,'RECEBIMENTOS'!$Y$6:$Y$1005,1))</f>
        <v>0</v>
      </c>
      <c r="AD927" s="96">
        <f>IF(R927=0,0,COUNTIFS('VÍNCULOS_CDF'!$R$6:$R$1005,A927,'VÍNCULOS_CDF'!$N$6:$N$1005,1))</f>
        <v>0</v>
      </c>
      <c r="AE927" s="96">
        <f>IF(R927=0,0,COUNTIFS('VÍNCULOS_CDF'!$R$6:$R$1005,A927,'VÍNCULOS_CDF'!$AA$6:$AA$1005,1))</f>
        <v>0</v>
      </c>
      <c r="AF927" s="96">
        <f>IF(R927=0,0,COUNTIFS('VÍNCULOS_CDF'!$R$6:$R$1005,A927,'VÍNCULOS_CDF'!$Y$6:$Y$1005,1))</f>
        <v>0</v>
      </c>
      <c r="AG927" s="96" t="str">
        <f>IF(AND(R927=1,S927&lt;&gt;"",C927&lt;&gt;""),S927&amp;"|"&amp;C927&amp;"|"&amp;G927&amp;"|"&amp;H927,"")</f>
        <v/>
      </c>
      <c r="AH927" s="96">
        <f>IF(AG927="",0,IF(SUMPRODUCT(--($AG$6:$AG$1005=AG927))&gt;1,1,0))</f>
        <v>0</v>
      </c>
      <c r="AI927" s="96">
        <f>IF(R927=0,0,IF(OR(U927=0,V927=0,Y927=0,AND(AH927=1,K927&lt;&gt;"Sim")),1,0))</f>
        <v>0</v>
      </c>
      <c r="AJ927" s="96">
        <f>IF(AND(R927=1,AA927&gt;0,AB927=AA927),1,0)</f>
        <v>0</v>
      </c>
      <c r="AK927" s="96">
        <f>IF(R927=0,0,IF(AA927&gt;0,N(L927),IF(ISNUMBER(I927),I927,0)))</f>
        <v>0</v>
      </c>
      <c r="AL927" s="96">
        <f>IF(R927=0,0,IF(AND(K927&lt;&gt;"Sim",N(M927)&gt;AK927+cfg_tol),1,0))</f>
        <v>0</v>
      </c>
      <c r="AM927" s="96">
        <f>IF(R927=0,0,IF(K927="Sim",0,IF(OR(AND(AA927&gt;0,ISNUMBER(I927),ABS(I927-N(L927))&gt;cfg_tol),AL927=1),1,0)))</f>
        <v>0</v>
      </c>
      <c r="AN927" s="96">
        <f>IF(AND(R927=1,N(M927)&gt;0,OR(N(M927)&gt;=AK927-cfg_tol,K927="Sim")),1,0)</f>
        <v>0</v>
      </c>
      <c r="AO927" s="96">
        <f>IF(AND(AN927=1,AD927&gt;0,AE927=AD927,AL927=0),1,0)</f>
        <v>0</v>
      </c>
      <c r="AP927" s="96">
        <f>IF(U927=0,0,IF(AND(INDEX('MTRs'!$AX$6:$AX$505,T927)=1,Z927=0,OR(f_res="",f_res="(Todos)",C927=f_res)),1,0))</f>
        <v>0</v>
      </c>
      <c r="AQ927" s="97" t="str">
        <f>IF(U927=0,"",INDEX('MTRs'!$AZ$6:$AZ$505,T927))</f>
        <v/>
      </c>
      <c r="AR927" s="96">
        <f>IF(U927=0,0,IF(AND(INDEX('MTRs'!$BA$6:$BA$505,T927)=1,Z927=0),1,0))</f>
        <v>0</v>
      </c>
      <c r="AS927" s="96" t="str">
        <f>IF(R927=1,A927&amp;" | MTR "&amp;IF(U927=1,INDEX('MTRs'!$B$6:$B$505,T927)&amp;"","?")&amp;" | "&amp;IF(C927="","(sem resíduo)",C927),"")</f>
        <v/>
      </c>
      <c r="AT927" s="96" t="str">
        <f>IF(R927=1,COUNTIF($R$6:R927,1),"")</f>
        <v/>
      </c>
      <c r="AU927" s="96" t="str">
        <f>IF(U927=1,INDEX('MTRs'!$I$6:$I$505,T927)&amp;"","")</f>
        <v/>
      </c>
    </row>
    <row r="928">
      <c r="A928" s="89" t="inlineStr">
        <is>
          <t>IT-000923</t>
        </is>
      </c>
      <c r="B928" s="91" t="n"/>
      <c r="C928" s="91" t="n"/>
      <c r="D928" s="94" t="str">
        <f>IF(OR(R928=0,V928=0),"",INDEX('CAD_RESÍDUOS'!$E$6:$E$205,MATCH(C928,'CAD_RESÍDUOS'!$B$6:$B$205,0))&amp;"")</f>
        <v/>
      </c>
      <c r="E928" s="94" t="str">
        <f>IF(OR(R928=0,V928=0),"",INDEX('CAD_RESÍDUOS'!$C$6:$C$205,MATCH(C928,'CAD_RESÍDUOS'!$B$6:$B$205,0))&amp;"")</f>
        <v/>
      </c>
      <c r="F928" s="94" t="str">
        <f>IF(OR(R928=0,V928=0),"",INDEX('CAD_RESÍDUOS'!$G$6:$G$205,MATCH(C928,'CAD_RESÍDUOS'!$B$6:$B$205,0))&amp;"")</f>
        <v/>
      </c>
      <c r="G928" s="98" t="n"/>
      <c r="H928" s="91" t="n"/>
      <c r="I928" s="93" t="str">
        <f>IF(R928=0,"",IF(NOT(ISNUMBER(G928)),"",IF(ISNUMBER(X928),G928*X928,"UNIDADE A CONFERIR")))</f>
        <v/>
      </c>
      <c r="J928" s="91" t="n"/>
      <c r="K928" s="91" t="n"/>
      <c r="L928" s="93" t="str">
        <f>IF(R928=0,"",SUMIFS('RECEBIMENTOS'!$H$6:$H$1005,'RECEBIMENTOS'!$R$6:$R$1005,A928,'RECEBIMENTOS'!$X$6:$X$1005,1))</f>
        <v/>
      </c>
      <c r="M928" s="93" t="str">
        <f>IF(R928=0,"",SUMIFS('VÍNCULOS_CDF'!$H$6:$H$1005,'VÍNCULOS_CDF'!$R$6:$R$1005,A928,'VÍNCULOS_CDF'!$V$6:$V$1005,1))</f>
        <v/>
      </c>
      <c r="N928" s="99" t="str">
        <f>IF(OR(R928=0,AA928=0,NOT(ISNUMBER(I928))),"",I928-N(L928))</f>
        <v/>
      </c>
      <c r="O928" s="100" t="str">
        <f>IF(OR(R928=0,AK928&lt;=0),"",N(M928)/AK928)</f>
        <v/>
      </c>
      <c r="P928" s="94" t="str">
        <f>IF(R928=0,"",IF(S928="","Sem MTR associado",IF(U928=0,"MTR inexistente",IF(C928="","Resíduo não identificado",IF(V928=0,"Resíduo fora do cadastro",IF(W928=0,"Quantidade inválida",IF(H928="","Unidade não informada",IF(NOT(ISNUMBER(I928)),"Unidade a conferir",IF(AND(AH928=1,K928&lt;&gt;"Sim"),"Possível duplicidade",IF(Z928=1,"MTR cancelado",IF(AC928&gt;0,"Recebimento com alerta",IF(AA928=0,"Aguardando recebimento",IF(AB928&lt;AA928,"Recebimento a conferir",IF(AM928=1,"Quantidade a revisar",IF(AF928&gt;0,"Vínculo a revisar",IF(AD928=0,"Aguardando CDF",IF(AN928=0,"Vínculo de CDF parcial",IF(AE928&lt;AD928,"CDF a conferir","Documentação conferida"))))))))))))))))))</f>
        <v/>
      </c>
      <c r="Q928" s="93" t="str">
        <f>IF(OR(R928=0,AA928=0),"",MAX(0,N(L928)-N(M928)))</f>
        <v/>
      </c>
      <c r="R928" s="96">
        <f>IF(COUNTA(B928:C928,G928:H928,J928:K928)&gt;0,1,0)</f>
        <v>0</v>
      </c>
      <c r="S928" s="96" t="str">
        <f>IF(B928="","",TRIM(LEFT(B928,FIND(" |",B928&amp;" |")-1)))</f>
        <v/>
      </c>
      <c r="T928" s="96" t="str">
        <f>IF(S928="","",IFERROR(MATCH(S928,'MTRs'!$A$6:$A$505,0),""))</f>
        <v/>
      </c>
      <c r="U928" s="96">
        <f>IF(T928="",0,IF(INDEX('MTRs'!$Z$6:$Z$505,T928)=1,1,0))</f>
        <v>0</v>
      </c>
      <c r="V928" s="96">
        <f>IF(C928="",0,IF(ISNUMBER(MATCH(C928,'CAD_RESÍDUOS'!$B$6:$B$205,0)),1,0))</f>
        <v>0</v>
      </c>
      <c r="W928" s="96">
        <f>IF(AND(ISNUMBER(G928),G928&gt;0),1,0)</f>
        <v>0</v>
      </c>
      <c r="X928" s="96" t="str">
        <f>IF(H928="","",IFERROR(IF(ISNUMBER(INDEX(cfg_fac,MATCH(H928,cfg_units,0))),IF(INDEX(cfg_fac,MATCH(H928,cfg_units,0))&gt;0,INDEX(cfg_fac,MATCH(H928,cfg_units,0)),""),""),""))</f>
        <v/>
      </c>
      <c r="Y928" s="96">
        <f>IF(AND(W928=1,ISNUMBER(I928)),1,0)</f>
        <v>0</v>
      </c>
      <c r="Z928" s="96">
        <f>IF(U928=1,INDEX('MTRs'!$AA$6:$AA$505,T928),0)</f>
        <v>0</v>
      </c>
      <c r="AA928" s="96">
        <f>IF(R928=0,0,COUNTIFS('RECEBIMENTOS'!$R$6:$R$1005,A928,'RECEBIMENTOS'!$Q$6:$Q$1005,1))</f>
        <v>0</v>
      </c>
      <c r="AB928" s="96">
        <f>IF(R928=0,0,COUNTIFS('RECEBIMENTOS'!$R$6:$R$1005,A928,'RECEBIMENTOS'!$Z$6:$Z$1005,1))</f>
        <v>0</v>
      </c>
      <c r="AC928" s="96">
        <f>IF(R928=0,0,COUNTIFS('RECEBIMENTOS'!$R$6:$R$1005,A928,'RECEBIMENTOS'!$Y$6:$Y$1005,1))</f>
        <v>0</v>
      </c>
      <c r="AD928" s="96">
        <f>IF(R928=0,0,COUNTIFS('VÍNCULOS_CDF'!$R$6:$R$1005,A928,'VÍNCULOS_CDF'!$N$6:$N$1005,1))</f>
        <v>0</v>
      </c>
      <c r="AE928" s="96">
        <f>IF(R928=0,0,COUNTIFS('VÍNCULOS_CDF'!$R$6:$R$1005,A928,'VÍNCULOS_CDF'!$AA$6:$AA$1005,1))</f>
        <v>0</v>
      </c>
      <c r="AF928" s="96">
        <f>IF(R928=0,0,COUNTIFS('VÍNCULOS_CDF'!$R$6:$R$1005,A928,'VÍNCULOS_CDF'!$Y$6:$Y$1005,1))</f>
        <v>0</v>
      </c>
      <c r="AG928" s="96" t="str">
        <f>IF(AND(R928=1,S928&lt;&gt;"",C928&lt;&gt;""),S928&amp;"|"&amp;C928&amp;"|"&amp;G928&amp;"|"&amp;H928,"")</f>
        <v/>
      </c>
      <c r="AH928" s="96">
        <f>IF(AG928="",0,IF(SUMPRODUCT(--($AG$6:$AG$1005=AG928))&gt;1,1,0))</f>
        <v>0</v>
      </c>
      <c r="AI928" s="96">
        <f>IF(R928=0,0,IF(OR(U928=0,V928=0,Y928=0,AND(AH928=1,K928&lt;&gt;"Sim")),1,0))</f>
        <v>0</v>
      </c>
      <c r="AJ928" s="96">
        <f>IF(AND(R928=1,AA928&gt;0,AB928=AA928),1,0)</f>
        <v>0</v>
      </c>
      <c r="AK928" s="96">
        <f>IF(R928=0,0,IF(AA928&gt;0,N(L928),IF(ISNUMBER(I928),I928,0)))</f>
        <v>0</v>
      </c>
      <c r="AL928" s="96">
        <f>IF(R928=0,0,IF(AND(K928&lt;&gt;"Sim",N(M928)&gt;AK928+cfg_tol),1,0))</f>
        <v>0</v>
      </c>
      <c r="AM928" s="96">
        <f>IF(R928=0,0,IF(K928="Sim",0,IF(OR(AND(AA928&gt;0,ISNUMBER(I928),ABS(I928-N(L928))&gt;cfg_tol),AL928=1),1,0)))</f>
        <v>0</v>
      </c>
      <c r="AN928" s="96">
        <f>IF(AND(R928=1,N(M928)&gt;0,OR(N(M928)&gt;=AK928-cfg_tol,K928="Sim")),1,0)</f>
        <v>0</v>
      </c>
      <c r="AO928" s="96">
        <f>IF(AND(AN928=1,AD928&gt;0,AE928=AD928,AL928=0),1,0)</f>
        <v>0</v>
      </c>
      <c r="AP928" s="96">
        <f>IF(U928=0,0,IF(AND(INDEX('MTRs'!$AX$6:$AX$505,T928)=1,Z928=0,OR(f_res="",f_res="(Todos)",C928=f_res)),1,0))</f>
        <v>0</v>
      </c>
      <c r="AQ928" s="97" t="str">
        <f>IF(U928=0,"",INDEX('MTRs'!$AZ$6:$AZ$505,T928))</f>
        <v/>
      </c>
      <c r="AR928" s="96">
        <f>IF(U928=0,0,IF(AND(INDEX('MTRs'!$BA$6:$BA$505,T928)=1,Z928=0),1,0))</f>
        <v>0</v>
      </c>
      <c r="AS928" s="96" t="str">
        <f>IF(R928=1,A928&amp;" | MTR "&amp;IF(U928=1,INDEX('MTRs'!$B$6:$B$505,T928)&amp;"","?")&amp;" | "&amp;IF(C928="","(sem resíduo)",C928),"")</f>
        <v/>
      </c>
      <c r="AT928" s="96" t="str">
        <f>IF(R928=1,COUNTIF($R$6:R928,1),"")</f>
        <v/>
      </c>
      <c r="AU928" s="96" t="str">
        <f>IF(U928=1,INDEX('MTRs'!$I$6:$I$505,T928)&amp;"","")</f>
        <v/>
      </c>
    </row>
    <row r="929">
      <c r="A929" s="89" t="inlineStr">
        <is>
          <t>IT-000924</t>
        </is>
      </c>
      <c r="B929" s="91" t="n"/>
      <c r="C929" s="91" t="n"/>
      <c r="D929" s="94" t="str">
        <f>IF(OR(R929=0,V929=0),"",INDEX('CAD_RESÍDUOS'!$E$6:$E$205,MATCH(C929,'CAD_RESÍDUOS'!$B$6:$B$205,0))&amp;"")</f>
        <v/>
      </c>
      <c r="E929" s="94" t="str">
        <f>IF(OR(R929=0,V929=0),"",INDEX('CAD_RESÍDUOS'!$C$6:$C$205,MATCH(C929,'CAD_RESÍDUOS'!$B$6:$B$205,0))&amp;"")</f>
        <v/>
      </c>
      <c r="F929" s="94" t="str">
        <f>IF(OR(R929=0,V929=0),"",INDEX('CAD_RESÍDUOS'!$G$6:$G$205,MATCH(C929,'CAD_RESÍDUOS'!$B$6:$B$205,0))&amp;"")</f>
        <v/>
      </c>
      <c r="G929" s="98" t="n"/>
      <c r="H929" s="91" t="n"/>
      <c r="I929" s="93" t="str">
        <f>IF(R929=0,"",IF(NOT(ISNUMBER(G929)),"",IF(ISNUMBER(X929),G929*X929,"UNIDADE A CONFERIR")))</f>
        <v/>
      </c>
      <c r="J929" s="91" t="n"/>
      <c r="K929" s="91" t="n"/>
      <c r="L929" s="93" t="str">
        <f>IF(R929=0,"",SUMIFS('RECEBIMENTOS'!$H$6:$H$1005,'RECEBIMENTOS'!$R$6:$R$1005,A929,'RECEBIMENTOS'!$X$6:$X$1005,1))</f>
        <v/>
      </c>
      <c r="M929" s="93" t="str">
        <f>IF(R929=0,"",SUMIFS('VÍNCULOS_CDF'!$H$6:$H$1005,'VÍNCULOS_CDF'!$R$6:$R$1005,A929,'VÍNCULOS_CDF'!$V$6:$V$1005,1))</f>
        <v/>
      </c>
      <c r="N929" s="99" t="str">
        <f>IF(OR(R929=0,AA929=0,NOT(ISNUMBER(I929))),"",I929-N(L929))</f>
        <v/>
      </c>
      <c r="O929" s="100" t="str">
        <f>IF(OR(R929=0,AK929&lt;=0),"",N(M929)/AK929)</f>
        <v/>
      </c>
      <c r="P929" s="94" t="str">
        <f>IF(R929=0,"",IF(S929="","Sem MTR associado",IF(U929=0,"MTR inexistente",IF(C929="","Resíduo não identificado",IF(V929=0,"Resíduo fora do cadastro",IF(W929=0,"Quantidade inválida",IF(H929="","Unidade não informada",IF(NOT(ISNUMBER(I929)),"Unidade a conferir",IF(AND(AH929=1,K929&lt;&gt;"Sim"),"Possível duplicidade",IF(Z929=1,"MTR cancelado",IF(AC929&gt;0,"Recebimento com alerta",IF(AA929=0,"Aguardando recebimento",IF(AB929&lt;AA929,"Recebimento a conferir",IF(AM929=1,"Quantidade a revisar",IF(AF929&gt;0,"Vínculo a revisar",IF(AD929=0,"Aguardando CDF",IF(AN929=0,"Vínculo de CDF parcial",IF(AE929&lt;AD929,"CDF a conferir","Documentação conferida"))))))))))))))))))</f>
        <v/>
      </c>
      <c r="Q929" s="93" t="str">
        <f>IF(OR(R929=0,AA929=0),"",MAX(0,N(L929)-N(M929)))</f>
        <v/>
      </c>
      <c r="R929" s="96">
        <f>IF(COUNTA(B929:C929,G929:H929,J929:K929)&gt;0,1,0)</f>
        <v>0</v>
      </c>
      <c r="S929" s="96" t="str">
        <f>IF(B929="","",TRIM(LEFT(B929,FIND(" |",B929&amp;" |")-1)))</f>
        <v/>
      </c>
      <c r="T929" s="96" t="str">
        <f>IF(S929="","",IFERROR(MATCH(S929,'MTRs'!$A$6:$A$505,0),""))</f>
        <v/>
      </c>
      <c r="U929" s="96">
        <f>IF(T929="",0,IF(INDEX('MTRs'!$Z$6:$Z$505,T929)=1,1,0))</f>
        <v>0</v>
      </c>
      <c r="V929" s="96">
        <f>IF(C929="",0,IF(ISNUMBER(MATCH(C929,'CAD_RESÍDUOS'!$B$6:$B$205,0)),1,0))</f>
        <v>0</v>
      </c>
      <c r="W929" s="96">
        <f>IF(AND(ISNUMBER(G929),G929&gt;0),1,0)</f>
        <v>0</v>
      </c>
      <c r="X929" s="96" t="str">
        <f>IF(H929="","",IFERROR(IF(ISNUMBER(INDEX(cfg_fac,MATCH(H929,cfg_units,0))),IF(INDEX(cfg_fac,MATCH(H929,cfg_units,0))&gt;0,INDEX(cfg_fac,MATCH(H929,cfg_units,0)),""),""),""))</f>
        <v/>
      </c>
      <c r="Y929" s="96">
        <f>IF(AND(W929=1,ISNUMBER(I929)),1,0)</f>
        <v>0</v>
      </c>
      <c r="Z929" s="96">
        <f>IF(U929=1,INDEX('MTRs'!$AA$6:$AA$505,T929),0)</f>
        <v>0</v>
      </c>
      <c r="AA929" s="96">
        <f>IF(R929=0,0,COUNTIFS('RECEBIMENTOS'!$R$6:$R$1005,A929,'RECEBIMENTOS'!$Q$6:$Q$1005,1))</f>
        <v>0</v>
      </c>
      <c r="AB929" s="96">
        <f>IF(R929=0,0,COUNTIFS('RECEBIMENTOS'!$R$6:$R$1005,A929,'RECEBIMENTOS'!$Z$6:$Z$1005,1))</f>
        <v>0</v>
      </c>
      <c r="AC929" s="96">
        <f>IF(R929=0,0,COUNTIFS('RECEBIMENTOS'!$R$6:$R$1005,A929,'RECEBIMENTOS'!$Y$6:$Y$1005,1))</f>
        <v>0</v>
      </c>
      <c r="AD929" s="96">
        <f>IF(R929=0,0,COUNTIFS('VÍNCULOS_CDF'!$R$6:$R$1005,A929,'VÍNCULOS_CDF'!$N$6:$N$1005,1))</f>
        <v>0</v>
      </c>
      <c r="AE929" s="96">
        <f>IF(R929=0,0,COUNTIFS('VÍNCULOS_CDF'!$R$6:$R$1005,A929,'VÍNCULOS_CDF'!$AA$6:$AA$1005,1))</f>
        <v>0</v>
      </c>
      <c r="AF929" s="96">
        <f>IF(R929=0,0,COUNTIFS('VÍNCULOS_CDF'!$R$6:$R$1005,A929,'VÍNCULOS_CDF'!$Y$6:$Y$1005,1))</f>
        <v>0</v>
      </c>
      <c r="AG929" s="96" t="str">
        <f>IF(AND(R929=1,S929&lt;&gt;"",C929&lt;&gt;""),S929&amp;"|"&amp;C929&amp;"|"&amp;G929&amp;"|"&amp;H929,"")</f>
        <v/>
      </c>
      <c r="AH929" s="96">
        <f>IF(AG929="",0,IF(SUMPRODUCT(--($AG$6:$AG$1005=AG929))&gt;1,1,0))</f>
        <v>0</v>
      </c>
      <c r="AI929" s="96">
        <f>IF(R929=0,0,IF(OR(U929=0,V929=0,Y929=0,AND(AH929=1,K929&lt;&gt;"Sim")),1,0))</f>
        <v>0</v>
      </c>
      <c r="AJ929" s="96">
        <f>IF(AND(R929=1,AA929&gt;0,AB929=AA929),1,0)</f>
        <v>0</v>
      </c>
      <c r="AK929" s="96">
        <f>IF(R929=0,0,IF(AA929&gt;0,N(L929),IF(ISNUMBER(I929),I929,0)))</f>
        <v>0</v>
      </c>
      <c r="AL929" s="96">
        <f>IF(R929=0,0,IF(AND(K929&lt;&gt;"Sim",N(M929)&gt;AK929+cfg_tol),1,0))</f>
        <v>0</v>
      </c>
      <c r="AM929" s="96">
        <f>IF(R929=0,0,IF(K929="Sim",0,IF(OR(AND(AA929&gt;0,ISNUMBER(I929),ABS(I929-N(L929))&gt;cfg_tol),AL929=1),1,0)))</f>
        <v>0</v>
      </c>
      <c r="AN929" s="96">
        <f>IF(AND(R929=1,N(M929)&gt;0,OR(N(M929)&gt;=AK929-cfg_tol,K929="Sim")),1,0)</f>
        <v>0</v>
      </c>
      <c r="AO929" s="96">
        <f>IF(AND(AN929=1,AD929&gt;0,AE929=AD929,AL929=0),1,0)</f>
        <v>0</v>
      </c>
      <c r="AP929" s="96">
        <f>IF(U929=0,0,IF(AND(INDEX('MTRs'!$AX$6:$AX$505,T929)=1,Z929=0,OR(f_res="",f_res="(Todos)",C929=f_res)),1,0))</f>
        <v>0</v>
      </c>
      <c r="AQ929" s="97" t="str">
        <f>IF(U929=0,"",INDEX('MTRs'!$AZ$6:$AZ$505,T929))</f>
        <v/>
      </c>
      <c r="AR929" s="96">
        <f>IF(U929=0,0,IF(AND(INDEX('MTRs'!$BA$6:$BA$505,T929)=1,Z929=0),1,0))</f>
        <v>0</v>
      </c>
      <c r="AS929" s="96" t="str">
        <f>IF(R929=1,A929&amp;" | MTR "&amp;IF(U929=1,INDEX('MTRs'!$B$6:$B$505,T929)&amp;"","?")&amp;" | "&amp;IF(C929="","(sem resíduo)",C929),"")</f>
        <v/>
      </c>
      <c r="AT929" s="96" t="str">
        <f>IF(R929=1,COUNTIF($R$6:R929,1),"")</f>
        <v/>
      </c>
      <c r="AU929" s="96" t="str">
        <f>IF(U929=1,INDEX('MTRs'!$I$6:$I$505,T929)&amp;"","")</f>
        <v/>
      </c>
    </row>
    <row r="930">
      <c r="A930" s="89" t="inlineStr">
        <is>
          <t>IT-000925</t>
        </is>
      </c>
      <c r="B930" s="91" t="n"/>
      <c r="C930" s="91" t="n"/>
      <c r="D930" s="94" t="str">
        <f>IF(OR(R930=0,V930=0),"",INDEX('CAD_RESÍDUOS'!$E$6:$E$205,MATCH(C930,'CAD_RESÍDUOS'!$B$6:$B$205,0))&amp;"")</f>
        <v/>
      </c>
      <c r="E930" s="94" t="str">
        <f>IF(OR(R930=0,V930=0),"",INDEX('CAD_RESÍDUOS'!$C$6:$C$205,MATCH(C930,'CAD_RESÍDUOS'!$B$6:$B$205,0))&amp;"")</f>
        <v/>
      </c>
      <c r="F930" s="94" t="str">
        <f>IF(OR(R930=0,V930=0),"",INDEX('CAD_RESÍDUOS'!$G$6:$G$205,MATCH(C930,'CAD_RESÍDUOS'!$B$6:$B$205,0))&amp;"")</f>
        <v/>
      </c>
      <c r="G930" s="98" t="n"/>
      <c r="H930" s="91" t="n"/>
      <c r="I930" s="93" t="str">
        <f>IF(R930=0,"",IF(NOT(ISNUMBER(G930)),"",IF(ISNUMBER(X930),G930*X930,"UNIDADE A CONFERIR")))</f>
        <v/>
      </c>
      <c r="J930" s="91" t="n"/>
      <c r="K930" s="91" t="n"/>
      <c r="L930" s="93" t="str">
        <f>IF(R930=0,"",SUMIFS('RECEBIMENTOS'!$H$6:$H$1005,'RECEBIMENTOS'!$R$6:$R$1005,A930,'RECEBIMENTOS'!$X$6:$X$1005,1))</f>
        <v/>
      </c>
      <c r="M930" s="93" t="str">
        <f>IF(R930=0,"",SUMIFS('VÍNCULOS_CDF'!$H$6:$H$1005,'VÍNCULOS_CDF'!$R$6:$R$1005,A930,'VÍNCULOS_CDF'!$V$6:$V$1005,1))</f>
        <v/>
      </c>
      <c r="N930" s="99" t="str">
        <f>IF(OR(R930=0,AA930=0,NOT(ISNUMBER(I930))),"",I930-N(L930))</f>
        <v/>
      </c>
      <c r="O930" s="100" t="str">
        <f>IF(OR(R930=0,AK930&lt;=0),"",N(M930)/AK930)</f>
        <v/>
      </c>
      <c r="P930" s="94" t="str">
        <f>IF(R930=0,"",IF(S930="","Sem MTR associado",IF(U930=0,"MTR inexistente",IF(C930="","Resíduo não identificado",IF(V930=0,"Resíduo fora do cadastro",IF(W930=0,"Quantidade inválida",IF(H930="","Unidade não informada",IF(NOT(ISNUMBER(I930)),"Unidade a conferir",IF(AND(AH930=1,K930&lt;&gt;"Sim"),"Possível duplicidade",IF(Z930=1,"MTR cancelado",IF(AC930&gt;0,"Recebimento com alerta",IF(AA930=0,"Aguardando recebimento",IF(AB930&lt;AA930,"Recebimento a conferir",IF(AM930=1,"Quantidade a revisar",IF(AF930&gt;0,"Vínculo a revisar",IF(AD930=0,"Aguardando CDF",IF(AN930=0,"Vínculo de CDF parcial",IF(AE930&lt;AD930,"CDF a conferir","Documentação conferida"))))))))))))))))))</f>
        <v/>
      </c>
      <c r="Q930" s="93" t="str">
        <f>IF(OR(R930=0,AA930=0),"",MAX(0,N(L930)-N(M930)))</f>
        <v/>
      </c>
      <c r="R930" s="96">
        <f>IF(COUNTA(B930:C930,G930:H930,J930:K930)&gt;0,1,0)</f>
        <v>0</v>
      </c>
      <c r="S930" s="96" t="str">
        <f>IF(B930="","",TRIM(LEFT(B930,FIND(" |",B930&amp;" |")-1)))</f>
        <v/>
      </c>
      <c r="T930" s="96" t="str">
        <f>IF(S930="","",IFERROR(MATCH(S930,'MTRs'!$A$6:$A$505,0),""))</f>
        <v/>
      </c>
      <c r="U930" s="96">
        <f>IF(T930="",0,IF(INDEX('MTRs'!$Z$6:$Z$505,T930)=1,1,0))</f>
        <v>0</v>
      </c>
      <c r="V930" s="96">
        <f>IF(C930="",0,IF(ISNUMBER(MATCH(C930,'CAD_RESÍDUOS'!$B$6:$B$205,0)),1,0))</f>
        <v>0</v>
      </c>
      <c r="W930" s="96">
        <f>IF(AND(ISNUMBER(G930),G930&gt;0),1,0)</f>
        <v>0</v>
      </c>
      <c r="X930" s="96" t="str">
        <f>IF(H930="","",IFERROR(IF(ISNUMBER(INDEX(cfg_fac,MATCH(H930,cfg_units,0))),IF(INDEX(cfg_fac,MATCH(H930,cfg_units,0))&gt;0,INDEX(cfg_fac,MATCH(H930,cfg_units,0)),""),""),""))</f>
        <v/>
      </c>
      <c r="Y930" s="96">
        <f>IF(AND(W930=1,ISNUMBER(I930)),1,0)</f>
        <v>0</v>
      </c>
      <c r="Z930" s="96">
        <f>IF(U930=1,INDEX('MTRs'!$AA$6:$AA$505,T930),0)</f>
        <v>0</v>
      </c>
      <c r="AA930" s="96">
        <f>IF(R930=0,0,COUNTIFS('RECEBIMENTOS'!$R$6:$R$1005,A930,'RECEBIMENTOS'!$Q$6:$Q$1005,1))</f>
        <v>0</v>
      </c>
      <c r="AB930" s="96">
        <f>IF(R930=0,0,COUNTIFS('RECEBIMENTOS'!$R$6:$R$1005,A930,'RECEBIMENTOS'!$Z$6:$Z$1005,1))</f>
        <v>0</v>
      </c>
      <c r="AC930" s="96">
        <f>IF(R930=0,0,COUNTIFS('RECEBIMENTOS'!$R$6:$R$1005,A930,'RECEBIMENTOS'!$Y$6:$Y$1005,1))</f>
        <v>0</v>
      </c>
      <c r="AD930" s="96">
        <f>IF(R930=0,0,COUNTIFS('VÍNCULOS_CDF'!$R$6:$R$1005,A930,'VÍNCULOS_CDF'!$N$6:$N$1005,1))</f>
        <v>0</v>
      </c>
      <c r="AE930" s="96">
        <f>IF(R930=0,0,COUNTIFS('VÍNCULOS_CDF'!$R$6:$R$1005,A930,'VÍNCULOS_CDF'!$AA$6:$AA$1005,1))</f>
        <v>0</v>
      </c>
      <c r="AF930" s="96">
        <f>IF(R930=0,0,COUNTIFS('VÍNCULOS_CDF'!$R$6:$R$1005,A930,'VÍNCULOS_CDF'!$Y$6:$Y$1005,1))</f>
        <v>0</v>
      </c>
      <c r="AG930" s="96" t="str">
        <f>IF(AND(R930=1,S930&lt;&gt;"",C930&lt;&gt;""),S930&amp;"|"&amp;C930&amp;"|"&amp;G930&amp;"|"&amp;H930,"")</f>
        <v/>
      </c>
      <c r="AH930" s="96">
        <f>IF(AG930="",0,IF(SUMPRODUCT(--($AG$6:$AG$1005=AG930))&gt;1,1,0))</f>
        <v>0</v>
      </c>
      <c r="AI930" s="96">
        <f>IF(R930=0,0,IF(OR(U930=0,V930=0,Y930=0,AND(AH930=1,K930&lt;&gt;"Sim")),1,0))</f>
        <v>0</v>
      </c>
      <c r="AJ930" s="96">
        <f>IF(AND(R930=1,AA930&gt;0,AB930=AA930),1,0)</f>
        <v>0</v>
      </c>
      <c r="AK930" s="96">
        <f>IF(R930=0,0,IF(AA930&gt;0,N(L930),IF(ISNUMBER(I930),I930,0)))</f>
        <v>0</v>
      </c>
      <c r="AL930" s="96">
        <f>IF(R930=0,0,IF(AND(K930&lt;&gt;"Sim",N(M930)&gt;AK930+cfg_tol),1,0))</f>
        <v>0</v>
      </c>
      <c r="AM930" s="96">
        <f>IF(R930=0,0,IF(K930="Sim",0,IF(OR(AND(AA930&gt;0,ISNUMBER(I930),ABS(I930-N(L930))&gt;cfg_tol),AL930=1),1,0)))</f>
        <v>0</v>
      </c>
      <c r="AN930" s="96">
        <f>IF(AND(R930=1,N(M930)&gt;0,OR(N(M930)&gt;=AK930-cfg_tol,K930="Sim")),1,0)</f>
        <v>0</v>
      </c>
      <c r="AO930" s="96">
        <f>IF(AND(AN930=1,AD930&gt;0,AE930=AD930,AL930=0),1,0)</f>
        <v>0</v>
      </c>
      <c r="AP930" s="96">
        <f>IF(U930=0,0,IF(AND(INDEX('MTRs'!$AX$6:$AX$505,T930)=1,Z930=0,OR(f_res="",f_res="(Todos)",C930=f_res)),1,0))</f>
        <v>0</v>
      </c>
      <c r="AQ930" s="97" t="str">
        <f>IF(U930=0,"",INDEX('MTRs'!$AZ$6:$AZ$505,T930))</f>
        <v/>
      </c>
      <c r="AR930" s="96">
        <f>IF(U930=0,0,IF(AND(INDEX('MTRs'!$BA$6:$BA$505,T930)=1,Z930=0),1,0))</f>
        <v>0</v>
      </c>
      <c r="AS930" s="96" t="str">
        <f>IF(R930=1,A930&amp;" | MTR "&amp;IF(U930=1,INDEX('MTRs'!$B$6:$B$505,T930)&amp;"","?")&amp;" | "&amp;IF(C930="","(sem resíduo)",C930),"")</f>
        <v/>
      </c>
      <c r="AT930" s="96" t="str">
        <f>IF(R930=1,COUNTIF($R$6:R930,1),"")</f>
        <v/>
      </c>
      <c r="AU930" s="96" t="str">
        <f>IF(U930=1,INDEX('MTRs'!$I$6:$I$505,T930)&amp;"","")</f>
        <v/>
      </c>
    </row>
    <row r="931">
      <c r="A931" s="89" t="inlineStr">
        <is>
          <t>IT-000926</t>
        </is>
      </c>
      <c r="B931" s="91" t="n"/>
      <c r="C931" s="91" t="n"/>
      <c r="D931" s="94" t="str">
        <f>IF(OR(R931=0,V931=0),"",INDEX('CAD_RESÍDUOS'!$E$6:$E$205,MATCH(C931,'CAD_RESÍDUOS'!$B$6:$B$205,0))&amp;"")</f>
        <v/>
      </c>
      <c r="E931" s="94" t="str">
        <f>IF(OR(R931=0,V931=0),"",INDEX('CAD_RESÍDUOS'!$C$6:$C$205,MATCH(C931,'CAD_RESÍDUOS'!$B$6:$B$205,0))&amp;"")</f>
        <v/>
      </c>
      <c r="F931" s="94" t="str">
        <f>IF(OR(R931=0,V931=0),"",INDEX('CAD_RESÍDUOS'!$G$6:$G$205,MATCH(C931,'CAD_RESÍDUOS'!$B$6:$B$205,0))&amp;"")</f>
        <v/>
      </c>
      <c r="G931" s="98" t="n"/>
      <c r="H931" s="91" t="n"/>
      <c r="I931" s="93" t="str">
        <f>IF(R931=0,"",IF(NOT(ISNUMBER(G931)),"",IF(ISNUMBER(X931),G931*X931,"UNIDADE A CONFERIR")))</f>
        <v/>
      </c>
      <c r="J931" s="91" t="n"/>
      <c r="K931" s="91" t="n"/>
      <c r="L931" s="93" t="str">
        <f>IF(R931=0,"",SUMIFS('RECEBIMENTOS'!$H$6:$H$1005,'RECEBIMENTOS'!$R$6:$R$1005,A931,'RECEBIMENTOS'!$X$6:$X$1005,1))</f>
        <v/>
      </c>
      <c r="M931" s="93" t="str">
        <f>IF(R931=0,"",SUMIFS('VÍNCULOS_CDF'!$H$6:$H$1005,'VÍNCULOS_CDF'!$R$6:$R$1005,A931,'VÍNCULOS_CDF'!$V$6:$V$1005,1))</f>
        <v/>
      </c>
      <c r="N931" s="99" t="str">
        <f>IF(OR(R931=0,AA931=0,NOT(ISNUMBER(I931))),"",I931-N(L931))</f>
        <v/>
      </c>
      <c r="O931" s="100" t="str">
        <f>IF(OR(R931=0,AK931&lt;=0),"",N(M931)/AK931)</f>
        <v/>
      </c>
      <c r="P931" s="94" t="str">
        <f>IF(R931=0,"",IF(S931="","Sem MTR associado",IF(U931=0,"MTR inexistente",IF(C931="","Resíduo não identificado",IF(V931=0,"Resíduo fora do cadastro",IF(W931=0,"Quantidade inválida",IF(H931="","Unidade não informada",IF(NOT(ISNUMBER(I931)),"Unidade a conferir",IF(AND(AH931=1,K931&lt;&gt;"Sim"),"Possível duplicidade",IF(Z931=1,"MTR cancelado",IF(AC931&gt;0,"Recebimento com alerta",IF(AA931=0,"Aguardando recebimento",IF(AB931&lt;AA931,"Recebimento a conferir",IF(AM931=1,"Quantidade a revisar",IF(AF931&gt;0,"Vínculo a revisar",IF(AD931=0,"Aguardando CDF",IF(AN931=0,"Vínculo de CDF parcial",IF(AE931&lt;AD931,"CDF a conferir","Documentação conferida"))))))))))))))))))</f>
        <v/>
      </c>
      <c r="Q931" s="93" t="str">
        <f>IF(OR(R931=0,AA931=0),"",MAX(0,N(L931)-N(M931)))</f>
        <v/>
      </c>
      <c r="R931" s="96">
        <f>IF(COUNTA(B931:C931,G931:H931,J931:K931)&gt;0,1,0)</f>
        <v>0</v>
      </c>
      <c r="S931" s="96" t="str">
        <f>IF(B931="","",TRIM(LEFT(B931,FIND(" |",B931&amp;" |")-1)))</f>
        <v/>
      </c>
      <c r="T931" s="96" t="str">
        <f>IF(S931="","",IFERROR(MATCH(S931,'MTRs'!$A$6:$A$505,0),""))</f>
        <v/>
      </c>
      <c r="U931" s="96">
        <f>IF(T931="",0,IF(INDEX('MTRs'!$Z$6:$Z$505,T931)=1,1,0))</f>
        <v>0</v>
      </c>
      <c r="V931" s="96">
        <f>IF(C931="",0,IF(ISNUMBER(MATCH(C931,'CAD_RESÍDUOS'!$B$6:$B$205,0)),1,0))</f>
        <v>0</v>
      </c>
      <c r="W931" s="96">
        <f>IF(AND(ISNUMBER(G931),G931&gt;0),1,0)</f>
        <v>0</v>
      </c>
      <c r="X931" s="96" t="str">
        <f>IF(H931="","",IFERROR(IF(ISNUMBER(INDEX(cfg_fac,MATCH(H931,cfg_units,0))),IF(INDEX(cfg_fac,MATCH(H931,cfg_units,0))&gt;0,INDEX(cfg_fac,MATCH(H931,cfg_units,0)),""),""),""))</f>
        <v/>
      </c>
      <c r="Y931" s="96">
        <f>IF(AND(W931=1,ISNUMBER(I931)),1,0)</f>
        <v>0</v>
      </c>
      <c r="Z931" s="96">
        <f>IF(U931=1,INDEX('MTRs'!$AA$6:$AA$505,T931),0)</f>
        <v>0</v>
      </c>
      <c r="AA931" s="96">
        <f>IF(R931=0,0,COUNTIFS('RECEBIMENTOS'!$R$6:$R$1005,A931,'RECEBIMENTOS'!$Q$6:$Q$1005,1))</f>
        <v>0</v>
      </c>
      <c r="AB931" s="96">
        <f>IF(R931=0,0,COUNTIFS('RECEBIMENTOS'!$R$6:$R$1005,A931,'RECEBIMENTOS'!$Z$6:$Z$1005,1))</f>
        <v>0</v>
      </c>
      <c r="AC931" s="96">
        <f>IF(R931=0,0,COUNTIFS('RECEBIMENTOS'!$R$6:$R$1005,A931,'RECEBIMENTOS'!$Y$6:$Y$1005,1))</f>
        <v>0</v>
      </c>
      <c r="AD931" s="96">
        <f>IF(R931=0,0,COUNTIFS('VÍNCULOS_CDF'!$R$6:$R$1005,A931,'VÍNCULOS_CDF'!$N$6:$N$1005,1))</f>
        <v>0</v>
      </c>
      <c r="AE931" s="96">
        <f>IF(R931=0,0,COUNTIFS('VÍNCULOS_CDF'!$R$6:$R$1005,A931,'VÍNCULOS_CDF'!$AA$6:$AA$1005,1))</f>
        <v>0</v>
      </c>
      <c r="AF931" s="96">
        <f>IF(R931=0,0,COUNTIFS('VÍNCULOS_CDF'!$R$6:$R$1005,A931,'VÍNCULOS_CDF'!$Y$6:$Y$1005,1))</f>
        <v>0</v>
      </c>
      <c r="AG931" s="96" t="str">
        <f>IF(AND(R931=1,S931&lt;&gt;"",C931&lt;&gt;""),S931&amp;"|"&amp;C931&amp;"|"&amp;G931&amp;"|"&amp;H931,"")</f>
        <v/>
      </c>
      <c r="AH931" s="96">
        <f>IF(AG931="",0,IF(SUMPRODUCT(--($AG$6:$AG$1005=AG931))&gt;1,1,0))</f>
        <v>0</v>
      </c>
      <c r="AI931" s="96">
        <f>IF(R931=0,0,IF(OR(U931=0,V931=0,Y931=0,AND(AH931=1,K931&lt;&gt;"Sim")),1,0))</f>
        <v>0</v>
      </c>
      <c r="AJ931" s="96">
        <f>IF(AND(R931=1,AA931&gt;0,AB931=AA931),1,0)</f>
        <v>0</v>
      </c>
      <c r="AK931" s="96">
        <f>IF(R931=0,0,IF(AA931&gt;0,N(L931),IF(ISNUMBER(I931),I931,0)))</f>
        <v>0</v>
      </c>
      <c r="AL931" s="96">
        <f>IF(R931=0,0,IF(AND(K931&lt;&gt;"Sim",N(M931)&gt;AK931+cfg_tol),1,0))</f>
        <v>0</v>
      </c>
      <c r="AM931" s="96">
        <f>IF(R931=0,0,IF(K931="Sim",0,IF(OR(AND(AA931&gt;0,ISNUMBER(I931),ABS(I931-N(L931))&gt;cfg_tol),AL931=1),1,0)))</f>
        <v>0</v>
      </c>
      <c r="AN931" s="96">
        <f>IF(AND(R931=1,N(M931)&gt;0,OR(N(M931)&gt;=AK931-cfg_tol,K931="Sim")),1,0)</f>
        <v>0</v>
      </c>
      <c r="AO931" s="96">
        <f>IF(AND(AN931=1,AD931&gt;0,AE931=AD931,AL931=0),1,0)</f>
        <v>0</v>
      </c>
      <c r="AP931" s="96">
        <f>IF(U931=0,0,IF(AND(INDEX('MTRs'!$AX$6:$AX$505,T931)=1,Z931=0,OR(f_res="",f_res="(Todos)",C931=f_res)),1,0))</f>
        <v>0</v>
      </c>
      <c r="AQ931" s="97" t="str">
        <f>IF(U931=0,"",INDEX('MTRs'!$AZ$6:$AZ$505,T931))</f>
        <v/>
      </c>
      <c r="AR931" s="96">
        <f>IF(U931=0,0,IF(AND(INDEX('MTRs'!$BA$6:$BA$505,T931)=1,Z931=0),1,0))</f>
        <v>0</v>
      </c>
      <c r="AS931" s="96" t="str">
        <f>IF(R931=1,A931&amp;" | MTR "&amp;IF(U931=1,INDEX('MTRs'!$B$6:$B$505,T931)&amp;"","?")&amp;" | "&amp;IF(C931="","(sem resíduo)",C931),"")</f>
        <v/>
      </c>
      <c r="AT931" s="96" t="str">
        <f>IF(R931=1,COUNTIF($R$6:R931,1),"")</f>
        <v/>
      </c>
      <c r="AU931" s="96" t="str">
        <f>IF(U931=1,INDEX('MTRs'!$I$6:$I$505,T931)&amp;"","")</f>
        <v/>
      </c>
    </row>
    <row r="932">
      <c r="A932" s="89" t="inlineStr">
        <is>
          <t>IT-000927</t>
        </is>
      </c>
      <c r="B932" s="91" t="n"/>
      <c r="C932" s="91" t="n"/>
      <c r="D932" s="94" t="str">
        <f>IF(OR(R932=0,V932=0),"",INDEX('CAD_RESÍDUOS'!$E$6:$E$205,MATCH(C932,'CAD_RESÍDUOS'!$B$6:$B$205,0))&amp;"")</f>
        <v/>
      </c>
      <c r="E932" s="94" t="str">
        <f>IF(OR(R932=0,V932=0),"",INDEX('CAD_RESÍDUOS'!$C$6:$C$205,MATCH(C932,'CAD_RESÍDUOS'!$B$6:$B$205,0))&amp;"")</f>
        <v/>
      </c>
      <c r="F932" s="94" t="str">
        <f>IF(OR(R932=0,V932=0),"",INDEX('CAD_RESÍDUOS'!$G$6:$G$205,MATCH(C932,'CAD_RESÍDUOS'!$B$6:$B$205,0))&amp;"")</f>
        <v/>
      </c>
      <c r="G932" s="98" t="n"/>
      <c r="H932" s="91" t="n"/>
      <c r="I932" s="93" t="str">
        <f>IF(R932=0,"",IF(NOT(ISNUMBER(G932)),"",IF(ISNUMBER(X932),G932*X932,"UNIDADE A CONFERIR")))</f>
        <v/>
      </c>
      <c r="J932" s="91" t="n"/>
      <c r="K932" s="91" t="n"/>
      <c r="L932" s="93" t="str">
        <f>IF(R932=0,"",SUMIFS('RECEBIMENTOS'!$H$6:$H$1005,'RECEBIMENTOS'!$R$6:$R$1005,A932,'RECEBIMENTOS'!$X$6:$X$1005,1))</f>
        <v/>
      </c>
      <c r="M932" s="93" t="str">
        <f>IF(R932=0,"",SUMIFS('VÍNCULOS_CDF'!$H$6:$H$1005,'VÍNCULOS_CDF'!$R$6:$R$1005,A932,'VÍNCULOS_CDF'!$V$6:$V$1005,1))</f>
        <v/>
      </c>
      <c r="N932" s="99" t="str">
        <f>IF(OR(R932=0,AA932=0,NOT(ISNUMBER(I932))),"",I932-N(L932))</f>
        <v/>
      </c>
      <c r="O932" s="100" t="str">
        <f>IF(OR(R932=0,AK932&lt;=0),"",N(M932)/AK932)</f>
        <v/>
      </c>
      <c r="P932" s="94" t="str">
        <f>IF(R932=0,"",IF(S932="","Sem MTR associado",IF(U932=0,"MTR inexistente",IF(C932="","Resíduo não identificado",IF(V932=0,"Resíduo fora do cadastro",IF(W932=0,"Quantidade inválida",IF(H932="","Unidade não informada",IF(NOT(ISNUMBER(I932)),"Unidade a conferir",IF(AND(AH932=1,K932&lt;&gt;"Sim"),"Possível duplicidade",IF(Z932=1,"MTR cancelado",IF(AC932&gt;0,"Recebimento com alerta",IF(AA932=0,"Aguardando recebimento",IF(AB932&lt;AA932,"Recebimento a conferir",IF(AM932=1,"Quantidade a revisar",IF(AF932&gt;0,"Vínculo a revisar",IF(AD932=0,"Aguardando CDF",IF(AN932=0,"Vínculo de CDF parcial",IF(AE932&lt;AD932,"CDF a conferir","Documentação conferida"))))))))))))))))))</f>
        <v/>
      </c>
      <c r="Q932" s="93" t="str">
        <f>IF(OR(R932=0,AA932=0),"",MAX(0,N(L932)-N(M932)))</f>
        <v/>
      </c>
      <c r="R932" s="96">
        <f>IF(COUNTA(B932:C932,G932:H932,J932:K932)&gt;0,1,0)</f>
        <v>0</v>
      </c>
      <c r="S932" s="96" t="str">
        <f>IF(B932="","",TRIM(LEFT(B932,FIND(" |",B932&amp;" |")-1)))</f>
        <v/>
      </c>
      <c r="T932" s="96" t="str">
        <f>IF(S932="","",IFERROR(MATCH(S932,'MTRs'!$A$6:$A$505,0),""))</f>
        <v/>
      </c>
      <c r="U932" s="96">
        <f>IF(T932="",0,IF(INDEX('MTRs'!$Z$6:$Z$505,T932)=1,1,0))</f>
        <v>0</v>
      </c>
      <c r="V932" s="96">
        <f>IF(C932="",0,IF(ISNUMBER(MATCH(C932,'CAD_RESÍDUOS'!$B$6:$B$205,0)),1,0))</f>
        <v>0</v>
      </c>
      <c r="W932" s="96">
        <f>IF(AND(ISNUMBER(G932),G932&gt;0),1,0)</f>
        <v>0</v>
      </c>
      <c r="X932" s="96" t="str">
        <f>IF(H932="","",IFERROR(IF(ISNUMBER(INDEX(cfg_fac,MATCH(H932,cfg_units,0))),IF(INDEX(cfg_fac,MATCH(H932,cfg_units,0))&gt;0,INDEX(cfg_fac,MATCH(H932,cfg_units,0)),""),""),""))</f>
        <v/>
      </c>
      <c r="Y932" s="96">
        <f>IF(AND(W932=1,ISNUMBER(I932)),1,0)</f>
        <v>0</v>
      </c>
      <c r="Z932" s="96">
        <f>IF(U932=1,INDEX('MTRs'!$AA$6:$AA$505,T932),0)</f>
        <v>0</v>
      </c>
      <c r="AA932" s="96">
        <f>IF(R932=0,0,COUNTIFS('RECEBIMENTOS'!$R$6:$R$1005,A932,'RECEBIMENTOS'!$Q$6:$Q$1005,1))</f>
        <v>0</v>
      </c>
      <c r="AB932" s="96">
        <f>IF(R932=0,0,COUNTIFS('RECEBIMENTOS'!$R$6:$R$1005,A932,'RECEBIMENTOS'!$Z$6:$Z$1005,1))</f>
        <v>0</v>
      </c>
      <c r="AC932" s="96">
        <f>IF(R932=0,0,COUNTIFS('RECEBIMENTOS'!$R$6:$R$1005,A932,'RECEBIMENTOS'!$Y$6:$Y$1005,1))</f>
        <v>0</v>
      </c>
      <c r="AD932" s="96">
        <f>IF(R932=0,0,COUNTIFS('VÍNCULOS_CDF'!$R$6:$R$1005,A932,'VÍNCULOS_CDF'!$N$6:$N$1005,1))</f>
        <v>0</v>
      </c>
      <c r="AE932" s="96">
        <f>IF(R932=0,0,COUNTIFS('VÍNCULOS_CDF'!$R$6:$R$1005,A932,'VÍNCULOS_CDF'!$AA$6:$AA$1005,1))</f>
        <v>0</v>
      </c>
      <c r="AF932" s="96">
        <f>IF(R932=0,0,COUNTIFS('VÍNCULOS_CDF'!$R$6:$R$1005,A932,'VÍNCULOS_CDF'!$Y$6:$Y$1005,1))</f>
        <v>0</v>
      </c>
      <c r="AG932" s="96" t="str">
        <f>IF(AND(R932=1,S932&lt;&gt;"",C932&lt;&gt;""),S932&amp;"|"&amp;C932&amp;"|"&amp;G932&amp;"|"&amp;H932,"")</f>
        <v/>
      </c>
      <c r="AH932" s="96">
        <f>IF(AG932="",0,IF(SUMPRODUCT(--($AG$6:$AG$1005=AG932))&gt;1,1,0))</f>
        <v>0</v>
      </c>
      <c r="AI932" s="96">
        <f>IF(R932=0,0,IF(OR(U932=0,V932=0,Y932=0,AND(AH932=1,K932&lt;&gt;"Sim")),1,0))</f>
        <v>0</v>
      </c>
      <c r="AJ932" s="96">
        <f>IF(AND(R932=1,AA932&gt;0,AB932=AA932),1,0)</f>
        <v>0</v>
      </c>
      <c r="AK932" s="96">
        <f>IF(R932=0,0,IF(AA932&gt;0,N(L932),IF(ISNUMBER(I932),I932,0)))</f>
        <v>0</v>
      </c>
      <c r="AL932" s="96">
        <f>IF(R932=0,0,IF(AND(K932&lt;&gt;"Sim",N(M932)&gt;AK932+cfg_tol),1,0))</f>
        <v>0</v>
      </c>
      <c r="AM932" s="96">
        <f>IF(R932=0,0,IF(K932="Sim",0,IF(OR(AND(AA932&gt;0,ISNUMBER(I932),ABS(I932-N(L932))&gt;cfg_tol),AL932=1),1,0)))</f>
        <v>0</v>
      </c>
      <c r="AN932" s="96">
        <f>IF(AND(R932=1,N(M932)&gt;0,OR(N(M932)&gt;=AK932-cfg_tol,K932="Sim")),1,0)</f>
        <v>0</v>
      </c>
      <c r="AO932" s="96">
        <f>IF(AND(AN932=1,AD932&gt;0,AE932=AD932,AL932=0),1,0)</f>
        <v>0</v>
      </c>
      <c r="AP932" s="96">
        <f>IF(U932=0,0,IF(AND(INDEX('MTRs'!$AX$6:$AX$505,T932)=1,Z932=0,OR(f_res="",f_res="(Todos)",C932=f_res)),1,0))</f>
        <v>0</v>
      </c>
      <c r="AQ932" s="97" t="str">
        <f>IF(U932=0,"",INDEX('MTRs'!$AZ$6:$AZ$505,T932))</f>
        <v/>
      </c>
      <c r="AR932" s="96">
        <f>IF(U932=0,0,IF(AND(INDEX('MTRs'!$BA$6:$BA$505,T932)=1,Z932=0),1,0))</f>
        <v>0</v>
      </c>
      <c r="AS932" s="96" t="str">
        <f>IF(R932=1,A932&amp;" | MTR "&amp;IF(U932=1,INDEX('MTRs'!$B$6:$B$505,T932)&amp;"","?")&amp;" | "&amp;IF(C932="","(sem resíduo)",C932),"")</f>
        <v/>
      </c>
      <c r="AT932" s="96" t="str">
        <f>IF(R932=1,COUNTIF($R$6:R932,1),"")</f>
        <v/>
      </c>
      <c r="AU932" s="96" t="str">
        <f>IF(U932=1,INDEX('MTRs'!$I$6:$I$505,T932)&amp;"","")</f>
        <v/>
      </c>
    </row>
    <row r="933">
      <c r="A933" s="89" t="inlineStr">
        <is>
          <t>IT-000928</t>
        </is>
      </c>
      <c r="B933" s="91" t="n"/>
      <c r="C933" s="91" t="n"/>
      <c r="D933" s="94" t="str">
        <f>IF(OR(R933=0,V933=0),"",INDEX('CAD_RESÍDUOS'!$E$6:$E$205,MATCH(C933,'CAD_RESÍDUOS'!$B$6:$B$205,0))&amp;"")</f>
        <v/>
      </c>
      <c r="E933" s="94" t="str">
        <f>IF(OR(R933=0,V933=0),"",INDEX('CAD_RESÍDUOS'!$C$6:$C$205,MATCH(C933,'CAD_RESÍDUOS'!$B$6:$B$205,0))&amp;"")</f>
        <v/>
      </c>
      <c r="F933" s="94" t="str">
        <f>IF(OR(R933=0,V933=0),"",INDEX('CAD_RESÍDUOS'!$G$6:$G$205,MATCH(C933,'CAD_RESÍDUOS'!$B$6:$B$205,0))&amp;"")</f>
        <v/>
      </c>
      <c r="G933" s="98" t="n"/>
      <c r="H933" s="91" t="n"/>
      <c r="I933" s="93" t="str">
        <f>IF(R933=0,"",IF(NOT(ISNUMBER(G933)),"",IF(ISNUMBER(X933),G933*X933,"UNIDADE A CONFERIR")))</f>
        <v/>
      </c>
      <c r="J933" s="91" t="n"/>
      <c r="K933" s="91" t="n"/>
      <c r="L933" s="93" t="str">
        <f>IF(R933=0,"",SUMIFS('RECEBIMENTOS'!$H$6:$H$1005,'RECEBIMENTOS'!$R$6:$R$1005,A933,'RECEBIMENTOS'!$X$6:$X$1005,1))</f>
        <v/>
      </c>
      <c r="M933" s="93" t="str">
        <f>IF(R933=0,"",SUMIFS('VÍNCULOS_CDF'!$H$6:$H$1005,'VÍNCULOS_CDF'!$R$6:$R$1005,A933,'VÍNCULOS_CDF'!$V$6:$V$1005,1))</f>
        <v/>
      </c>
      <c r="N933" s="99" t="str">
        <f>IF(OR(R933=0,AA933=0,NOT(ISNUMBER(I933))),"",I933-N(L933))</f>
        <v/>
      </c>
      <c r="O933" s="100" t="str">
        <f>IF(OR(R933=0,AK933&lt;=0),"",N(M933)/AK933)</f>
        <v/>
      </c>
      <c r="P933" s="94" t="str">
        <f>IF(R933=0,"",IF(S933="","Sem MTR associado",IF(U933=0,"MTR inexistente",IF(C933="","Resíduo não identificado",IF(V933=0,"Resíduo fora do cadastro",IF(W933=0,"Quantidade inválida",IF(H933="","Unidade não informada",IF(NOT(ISNUMBER(I933)),"Unidade a conferir",IF(AND(AH933=1,K933&lt;&gt;"Sim"),"Possível duplicidade",IF(Z933=1,"MTR cancelado",IF(AC933&gt;0,"Recebimento com alerta",IF(AA933=0,"Aguardando recebimento",IF(AB933&lt;AA933,"Recebimento a conferir",IF(AM933=1,"Quantidade a revisar",IF(AF933&gt;0,"Vínculo a revisar",IF(AD933=0,"Aguardando CDF",IF(AN933=0,"Vínculo de CDF parcial",IF(AE933&lt;AD933,"CDF a conferir","Documentação conferida"))))))))))))))))))</f>
        <v/>
      </c>
      <c r="Q933" s="93" t="str">
        <f>IF(OR(R933=0,AA933=0),"",MAX(0,N(L933)-N(M933)))</f>
        <v/>
      </c>
      <c r="R933" s="96">
        <f>IF(COUNTA(B933:C933,G933:H933,J933:K933)&gt;0,1,0)</f>
        <v>0</v>
      </c>
      <c r="S933" s="96" t="str">
        <f>IF(B933="","",TRIM(LEFT(B933,FIND(" |",B933&amp;" |")-1)))</f>
        <v/>
      </c>
      <c r="T933" s="96" t="str">
        <f>IF(S933="","",IFERROR(MATCH(S933,'MTRs'!$A$6:$A$505,0),""))</f>
        <v/>
      </c>
      <c r="U933" s="96">
        <f>IF(T933="",0,IF(INDEX('MTRs'!$Z$6:$Z$505,T933)=1,1,0))</f>
        <v>0</v>
      </c>
      <c r="V933" s="96">
        <f>IF(C933="",0,IF(ISNUMBER(MATCH(C933,'CAD_RESÍDUOS'!$B$6:$B$205,0)),1,0))</f>
        <v>0</v>
      </c>
      <c r="W933" s="96">
        <f>IF(AND(ISNUMBER(G933),G933&gt;0),1,0)</f>
        <v>0</v>
      </c>
      <c r="X933" s="96" t="str">
        <f>IF(H933="","",IFERROR(IF(ISNUMBER(INDEX(cfg_fac,MATCH(H933,cfg_units,0))),IF(INDEX(cfg_fac,MATCH(H933,cfg_units,0))&gt;0,INDEX(cfg_fac,MATCH(H933,cfg_units,0)),""),""),""))</f>
        <v/>
      </c>
      <c r="Y933" s="96">
        <f>IF(AND(W933=1,ISNUMBER(I933)),1,0)</f>
        <v>0</v>
      </c>
      <c r="Z933" s="96">
        <f>IF(U933=1,INDEX('MTRs'!$AA$6:$AA$505,T933),0)</f>
        <v>0</v>
      </c>
      <c r="AA933" s="96">
        <f>IF(R933=0,0,COUNTIFS('RECEBIMENTOS'!$R$6:$R$1005,A933,'RECEBIMENTOS'!$Q$6:$Q$1005,1))</f>
        <v>0</v>
      </c>
      <c r="AB933" s="96">
        <f>IF(R933=0,0,COUNTIFS('RECEBIMENTOS'!$R$6:$R$1005,A933,'RECEBIMENTOS'!$Z$6:$Z$1005,1))</f>
        <v>0</v>
      </c>
      <c r="AC933" s="96">
        <f>IF(R933=0,0,COUNTIFS('RECEBIMENTOS'!$R$6:$R$1005,A933,'RECEBIMENTOS'!$Y$6:$Y$1005,1))</f>
        <v>0</v>
      </c>
      <c r="AD933" s="96">
        <f>IF(R933=0,0,COUNTIFS('VÍNCULOS_CDF'!$R$6:$R$1005,A933,'VÍNCULOS_CDF'!$N$6:$N$1005,1))</f>
        <v>0</v>
      </c>
      <c r="AE933" s="96">
        <f>IF(R933=0,0,COUNTIFS('VÍNCULOS_CDF'!$R$6:$R$1005,A933,'VÍNCULOS_CDF'!$AA$6:$AA$1005,1))</f>
        <v>0</v>
      </c>
      <c r="AF933" s="96">
        <f>IF(R933=0,0,COUNTIFS('VÍNCULOS_CDF'!$R$6:$R$1005,A933,'VÍNCULOS_CDF'!$Y$6:$Y$1005,1))</f>
        <v>0</v>
      </c>
      <c r="AG933" s="96" t="str">
        <f>IF(AND(R933=1,S933&lt;&gt;"",C933&lt;&gt;""),S933&amp;"|"&amp;C933&amp;"|"&amp;G933&amp;"|"&amp;H933,"")</f>
        <v/>
      </c>
      <c r="AH933" s="96">
        <f>IF(AG933="",0,IF(SUMPRODUCT(--($AG$6:$AG$1005=AG933))&gt;1,1,0))</f>
        <v>0</v>
      </c>
      <c r="AI933" s="96">
        <f>IF(R933=0,0,IF(OR(U933=0,V933=0,Y933=0,AND(AH933=1,K933&lt;&gt;"Sim")),1,0))</f>
        <v>0</v>
      </c>
      <c r="AJ933" s="96">
        <f>IF(AND(R933=1,AA933&gt;0,AB933=AA933),1,0)</f>
        <v>0</v>
      </c>
      <c r="AK933" s="96">
        <f>IF(R933=0,0,IF(AA933&gt;0,N(L933),IF(ISNUMBER(I933),I933,0)))</f>
        <v>0</v>
      </c>
      <c r="AL933" s="96">
        <f>IF(R933=0,0,IF(AND(K933&lt;&gt;"Sim",N(M933)&gt;AK933+cfg_tol),1,0))</f>
        <v>0</v>
      </c>
      <c r="AM933" s="96">
        <f>IF(R933=0,0,IF(K933="Sim",0,IF(OR(AND(AA933&gt;0,ISNUMBER(I933),ABS(I933-N(L933))&gt;cfg_tol),AL933=1),1,0)))</f>
        <v>0</v>
      </c>
      <c r="AN933" s="96">
        <f>IF(AND(R933=1,N(M933)&gt;0,OR(N(M933)&gt;=AK933-cfg_tol,K933="Sim")),1,0)</f>
        <v>0</v>
      </c>
      <c r="AO933" s="96">
        <f>IF(AND(AN933=1,AD933&gt;0,AE933=AD933,AL933=0),1,0)</f>
        <v>0</v>
      </c>
      <c r="AP933" s="96">
        <f>IF(U933=0,0,IF(AND(INDEX('MTRs'!$AX$6:$AX$505,T933)=1,Z933=0,OR(f_res="",f_res="(Todos)",C933=f_res)),1,0))</f>
        <v>0</v>
      </c>
      <c r="AQ933" s="97" t="str">
        <f>IF(U933=0,"",INDEX('MTRs'!$AZ$6:$AZ$505,T933))</f>
        <v/>
      </c>
      <c r="AR933" s="96">
        <f>IF(U933=0,0,IF(AND(INDEX('MTRs'!$BA$6:$BA$505,T933)=1,Z933=0),1,0))</f>
        <v>0</v>
      </c>
      <c r="AS933" s="96" t="str">
        <f>IF(R933=1,A933&amp;" | MTR "&amp;IF(U933=1,INDEX('MTRs'!$B$6:$B$505,T933)&amp;"","?")&amp;" | "&amp;IF(C933="","(sem resíduo)",C933),"")</f>
        <v/>
      </c>
      <c r="AT933" s="96" t="str">
        <f>IF(R933=1,COUNTIF($R$6:R933,1),"")</f>
        <v/>
      </c>
      <c r="AU933" s="96" t="str">
        <f>IF(U933=1,INDEX('MTRs'!$I$6:$I$505,T933)&amp;"","")</f>
        <v/>
      </c>
    </row>
    <row r="934">
      <c r="A934" s="89" t="inlineStr">
        <is>
          <t>IT-000929</t>
        </is>
      </c>
      <c r="B934" s="91" t="n"/>
      <c r="C934" s="91" t="n"/>
      <c r="D934" s="94" t="str">
        <f>IF(OR(R934=0,V934=0),"",INDEX('CAD_RESÍDUOS'!$E$6:$E$205,MATCH(C934,'CAD_RESÍDUOS'!$B$6:$B$205,0))&amp;"")</f>
        <v/>
      </c>
      <c r="E934" s="94" t="str">
        <f>IF(OR(R934=0,V934=0),"",INDEX('CAD_RESÍDUOS'!$C$6:$C$205,MATCH(C934,'CAD_RESÍDUOS'!$B$6:$B$205,0))&amp;"")</f>
        <v/>
      </c>
      <c r="F934" s="94" t="str">
        <f>IF(OR(R934=0,V934=0),"",INDEX('CAD_RESÍDUOS'!$G$6:$G$205,MATCH(C934,'CAD_RESÍDUOS'!$B$6:$B$205,0))&amp;"")</f>
        <v/>
      </c>
      <c r="G934" s="98" t="n"/>
      <c r="H934" s="91" t="n"/>
      <c r="I934" s="93" t="str">
        <f>IF(R934=0,"",IF(NOT(ISNUMBER(G934)),"",IF(ISNUMBER(X934),G934*X934,"UNIDADE A CONFERIR")))</f>
        <v/>
      </c>
      <c r="J934" s="91" t="n"/>
      <c r="K934" s="91" t="n"/>
      <c r="L934" s="93" t="str">
        <f>IF(R934=0,"",SUMIFS('RECEBIMENTOS'!$H$6:$H$1005,'RECEBIMENTOS'!$R$6:$R$1005,A934,'RECEBIMENTOS'!$X$6:$X$1005,1))</f>
        <v/>
      </c>
      <c r="M934" s="93" t="str">
        <f>IF(R934=0,"",SUMIFS('VÍNCULOS_CDF'!$H$6:$H$1005,'VÍNCULOS_CDF'!$R$6:$R$1005,A934,'VÍNCULOS_CDF'!$V$6:$V$1005,1))</f>
        <v/>
      </c>
      <c r="N934" s="99" t="str">
        <f>IF(OR(R934=0,AA934=0,NOT(ISNUMBER(I934))),"",I934-N(L934))</f>
        <v/>
      </c>
      <c r="O934" s="100" t="str">
        <f>IF(OR(R934=0,AK934&lt;=0),"",N(M934)/AK934)</f>
        <v/>
      </c>
      <c r="P934" s="94" t="str">
        <f>IF(R934=0,"",IF(S934="","Sem MTR associado",IF(U934=0,"MTR inexistente",IF(C934="","Resíduo não identificado",IF(V934=0,"Resíduo fora do cadastro",IF(W934=0,"Quantidade inválida",IF(H934="","Unidade não informada",IF(NOT(ISNUMBER(I934)),"Unidade a conferir",IF(AND(AH934=1,K934&lt;&gt;"Sim"),"Possível duplicidade",IF(Z934=1,"MTR cancelado",IF(AC934&gt;0,"Recebimento com alerta",IF(AA934=0,"Aguardando recebimento",IF(AB934&lt;AA934,"Recebimento a conferir",IF(AM934=1,"Quantidade a revisar",IF(AF934&gt;0,"Vínculo a revisar",IF(AD934=0,"Aguardando CDF",IF(AN934=0,"Vínculo de CDF parcial",IF(AE934&lt;AD934,"CDF a conferir","Documentação conferida"))))))))))))))))))</f>
        <v/>
      </c>
      <c r="Q934" s="93" t="str">
        <f>IF(OR(R934=0,AA934=0),"",MAX(0,N(L934)-N(M934)))</f>
        <v/>
      </c>
      <c r="R934" s="96">
        <f>IF(COUNTA(B934:C934,G934:H934,J934:K934)&gt;0,1,0)</f>
        <v>0</v>
      </c>
      <c r="S934" s="96" t="str">
        <f>IF(B934="","",TRIM(LEFT(B934,FIND(" |",B934&amp;" |")-1)))</f>
        <v/>
      </c>
      <c r="T934" s="96" t="str">
        <f>IF(S934="","",IFERROR(MATCH(S934,'MTRs'!$A$6:$A$505,0),""))</f>
        <v/>
      </c>
      <c r="U934" s="96">
        <f>IF(T934="",0,IF(INDEX('MTRs'!$Z$6:$Z$505,T934)=1,1,0))</f>
        <v>0</v>
      </c>
      <c r="V934" s="96">
        <f>IF(C934="",0,IF(ISNUMBER(MATCH(C934,'CAD_RESÍDUOS'!$B$6:$B$205,0)),1,0))</f>
        <v>0</v>
      </c>
      <c r="W934" s="96">
        <f>IF(AND(ISNUMBER(G934),G934&gt;0),1,0)</f>
        <v>0</v>
      </c>
      <c r="X934" s="96" t="str">
        <f>IF(H934="","",IFERROR(IF(ISNUMBER(INDEX(cfg_fac,MATCH(H934,cfg_units,0))),IF(INDEX(cfg_fac,MATCH(H934,cfg_units,0))&gt;0,INDEX(cfg_fac,MATCH(H934,cfg_units,0)),""),""),""))</f>
        <v/>
      </c>
      <c r="Y934" s="96">
        <f>IF(AND(W934=1,ISNUMBER(I934)),1,0)</f>
        <v>0</v>
      </c>
      <c r="Z934" s="96">
        <f>IF(U934=1,INDEX('MTRs'!$AA$6:$AA$505,T934),0)</f>
        <v>0</v>
      </c>
      <c r="AA934" s="96">
        <f>IF(R934=0,0,COUNTIFS('RECEBIMENTOS'!$R$6:$R$1005,A934,'RECEBIMENTOS'!$Q$6:$Q$1005,1))</f>
        <v>0</v>
      </c>
      <c r="AB934" s="96">
        <f>IF(R934=0,0,COUNTIFS('RECEBIMENTOS'!$R$6:$R$1005,A934,'RECEBIMENTOS'!$Z$6:$Z$1005,1))</f>
        <v>0</v>
      </c>
      <c r="AC934" s="96">
        <f>IF(R934=0,0,COUNTIFS('RECEBIMENTOS'!$R$6:$R$1005,A934,'RECEBIMENTOS'!$Y$6:$Y$1005,1))</f>
        <v>0</v>
      </c>
      <c r="AD934" s="96">
        <f>IF(R934=0,0,COUNTIFS('VÍNCULOS_CDF'!$R$6:$R$1005,A934,'VÍNCULOS_CDF'!$N$6:$N$1005,1))</f>
        <v>0</v>
      </c>
      <c r="AE934" s="96">
        <f>IF(R934=0,0,COUNTIFS('VÍNCULOS_CDF'!$R$6:$R$1005,A934,'VÍNCULOS_CDF'!$AA$6:$AA$1005,1))</f>
        <v>0</v>
      </c>
      <c r="AF934" s="96">
        <f>IF(R934=0,0,COUNTIFS('VÍNCULOS_CDF'!$R$6:$R$1005,A934,'VÍNCULOS_CDF'!$Y$6:$Y$1005,1))</f>
        <v>0</v>
      </c>
      <c r="AG934" s="96" t="str">
        <f>IF(AND(R934=1,S934&lt;&gt;"",C934&lt;&gt;""),S934&amp;"|"&amp;C934&amp;"|"&amp;G934&amp;"|"&amp;H934,"")</f>
        <v/>
      </c>
      <c r="AH934" s="96">
        <f>IF(AG934="",0,IF(SUMPRODUCT(--($AG$6:$AG$1005=AG934))&gt;1,1,0))</f>
        <v>0</v>
      </c>
      <c r="AI934" s="96">
        <f>IF(R934=0,0,IF(OR(U934=0,V934=0,Y934=0,AND(AH934=1,K934&lt;&gt;"Sim")),1,0))</f>
        <v>0</v>
      </c>
      <c r="AJ934" s="96">
        <f>IF(AND(R934=1,AA934&gt;0,AB934=AA934),1,0)</f>
        <v>0</v>
      </c>
      <c r="AK934" s="96">
        <f>IF(R934=0,0,IF(AA934&gt;0,N(L934),IF(ISNUMBER(I934),I934,0)))</f>
        <v>0</v>
      </c>
      <c r="AL934" s="96">
        <f>IF(R934=0,0,IF(AND(K934&lt;&gt;"Sim",N(M934)&gt;AK934+cfg_tol),1,0))</f>
        <v>0</v>
      </c>
      <c r="AM934" s="96">
        <f>IF(R934=0,0,IF(K934="Sim",0,IF(OR(AND(AA934&gt;0,ISNUMBER(I934),ABS(I934-N(L934))&gt;cfg_tol),AL934=1),1,0)))</f>
        <v>0</v>
      </c>
      <c r="AN934" s="96">
        <f>IF(AND(R934=1,N(M934)&gt;0,OR(N(M934)&gt;=AK934-cfg_tol,K934="Sim")),1,0)</f>
        <v>0</v>
      </c>
      <c r="AO934" s="96">
        <f>IF(AND(AN934=1,AD934&gt;0,AE934=AD934,AL934=0),1,0)</f>
        <v>0</v>
      </c>
      <c r="AP934" s="96">
        <f>IF(U934=0,0,IF(AND(INDEX('MTRs'!$AX$6:$AX$505,T934)=1,Z934=0,OR(f_res="",f_res="(Todos)",C934=f_res)),1,0))</f>
        <v>0</v>
      </c>
      <c r="AQ934" s="97" t="str">
        <f>IF(U934=0,"",INDEX('MTRs'!$AZ$6:$AZ$505,T934))</f>
        <v/>
      </c>
      <c r="AR934" s="96">
        <f>IF(U934=0,0,IF(AND(INDEX('MTRs'!$BA$6:$BA$505,T934)=1,Z934=0),1,0))</f>
        <v>0</v>
      </c>
      <c r="AS934" s="96" t="str">
        <f>IF(R934=1,A934&amp;" | MTR "&amp;IF(U934=1,INDEX('MTRs'!$B$6:$B$505,T934)&amp;"","?")&amp;" | "&amp;IF(C934="","(sem resíduo)",C934),"")</f>
        <v/>
      </c>
      <c r="AT934" s="96" t="str">
        <f>IF(R934=1,COUNTIF($R$6:R934,1),"")</f>
        <v/>
      </c>
      <c r="AU934" s="96" t="str">
        <f>IF(U934=1,INDEX('MTRs'!$I$6:$I$505,T934)&amp;"","")</f>
        <v/>
      </c>
    </row>
    <row r="935">
      <c r="A935" s="89" t="inlineStr">
        <is>
          <t>IT-000930</t>
        </is>
      </c>
      <c r="B935" s="91" t="n"/>
      <c r="C935" s="91" t="n"/>
      <c r="D935" s="94" t="str">
        <f>IF(OR(R935=0,V935=0),"",INDEX('CAD_RESÍDUOS'!$E$6:$E$205,MATCH(C935,'CAD_RESÍDUOS'!$B$6:$B$205,0))&amp;"")</f>
        <v/>
      </c>
      <c r="E935" s="94" t="str">
        <f>IF(OR(R935=0,V935=0),"",INDEX('CAD_RESÍDUOS'!$C$6:$C$205,MATCH(C935,'CAD_RESÍDUOS'!$B$6:$B$205,0))&amp;"")</f>
        <v/>
      </c>
      <c r="F935" s="94" t="str">
        <f>IF(OR(R935=0,V935=0),"",INDEX('CAD_RESÍDUOS'!$G$6:$G$205,MATCH(C935,'CAD_RESÍDUOS'!$B$6:$B$205,0))&amp;"")</f>
        <v/>
      </c>
      <c r="G935" s="98" t="n"/>
      <c r="H935" s="91" t="n"/>
      <c r="I935" s="93" t="str">
        <f>IF(R935=0,"",IF(NOT(ISNUMBER(G935)),"",IF(ISNUMBER(X935),G935*X935,"UNIDADE A CONFERIR")))</f>
        <v/>
      </c>
      <c r="J935" s="91" t="n"/>
      <c r="K935" s="91" t="n"/>
      <c r="L935" s="93" t="str">
        <f>IF(R935=0,"",SUMIFS('RECEBIMENTOS'!$H$6:$H$1005,'RECEBIMENTOS'!$R$6:$R$1005,A935,'RECEBIMENTOS'!$X$6:$X$1005,1))</f>
        <v/>
      </c>
      <c r="M935" s="93" t="str">
        <f>IF(R935=0,"",SUMIFS('VÍNCULOS_CDF'!$H$6:$H$1005,'VÍNCULOS_CDF'!$R$6:$R$1005,A935,'VÍNCULOS_CDF'!$V$6:$V$1005,1))</f>
        <v/>
      </c>
      <c r="N935" s="99" t="str">
        <f>IF(OR(R935=0,AA935=0,NOT(ISNUMBER(I935))),"",I935-N(L935))</f>
        <v/>
      </c>
      <c r="O935" s="100" t="str">
        <f>IF(OR(R935=0,AK935&lt;=0),"",N(M935)/AK935)</f>
        <v/>
      </c>
      <c r="P935" s="94" t="str">
        <f>IF(R935=0,"",IF(S935="","Sem MTR associado",IF(U935=0,"MTR inexistente",IF(C935="","Resíduo não identificado",IF(V935=0,"Resíduo fora do cadastro",IF(W935=0,"Quantidade inválida",IF(H935="","Unidade não informada",IF(NOT(ISNUMBER(I935)),"Unidade a conferir",IF(AND(AH935=1,K935&lt;&gt;"Sim"),"Possível duplicidade",IF(Z935=1,"MTR cancelado",IF(AC935&gt;0,"Recebimento com alerta",IF(AA935=0,"Aguardando recebimento",IF(AB935&lt;AA935,"Recebimento a conferir",IF(AM935=1,"Quantidade a revisar",IF(AF935&gt;0,"Vínculo a revisar",IF(AD935=0,"Aguardando CDF",IF(AN935=0,"Vínculo de CDF parcial",IF(AE935&lt;AD935,"CDF a conferir","Documentação conferida"))))))))))))))))))</f>
        <v/>
      </c>
      <c r="Q935" s="93" t="str">
        <f>IF(OR(R935=0,AA935=0),"",MAX(0,N(L935)-N(M935)))</f>
        <v/>
      </c>
      <c r="R935" s="96">
        <f>IF(COUNTA(B935:C935,G935:H935,J935:K935)&gt;0,1,0)</f>
        <v>0</v>
      </c>
      <c r="S935" s="96" t="str">
        <f>IF(B935="","",TRIM(LEFT(B935,FIND(" |",B935&amp;" |")-1)))</f>
        <v/>
      </c>
      <c r="T935" s="96" t="str">
        <f>IF(S935="","",IFERROR(MATCH(S935,'MTRs'!$A$6:$A$505,0),""))</f>
        <v/>
      </c>
      <c r="U935" s="96">
        <f>IF(T935="",0,IF(INDEX('MTRs'!$Z$6:$Z$505,T935)=1,1,0))</f>
        <v>0</v>
      </c>
      <c r="V935" s="96">
        <f>IF(C935="",0,IF(ISNUMBER(MATCH(C935,'CAD_RESÍDUOS'!$B$6:$B$205,0)),1,0))</f>
        <v>0</v>
      </c>
      <c r="W935" s="96">
        <f>IF(AND(ISNUMBER(G935),G935&gt;0),1,0)</f>
        <v>0</v>
      </c>
      <c r="X935" s="96" t="str">
        <f>IF(H935="","",IFERROR(IF(ISNUMBER(INDEX(cfg_fac,MATCH(H935,cfg_units,0))),IF(INDEX(cfg_fac,MATCH(H935,cfg_units,0))&gt;0,INDEX(cfg_fac,MATCH(H935,cfg_units,0)),""),""),""))</f>
        <v/>
      </c>
      <c r="Y935" s="96">
        <f>IF(AND(W935=1,ISNUMBER(I935)),1,0)</f>
        <v>0</v>
      </c>
      <c r="Z935" s="96">
        <f>IF(U935=1,INDEX('MTRs'!$AA$6:$AA$505,T935),0)</f>
        <v>0</v>
      </c>
      <c r="AA935" s="96">
        <f>IF(R935=0,0,COUNTIFS('RECEBIMENTOS'!$R$6:$R$1005,A935,'RECEBIMENTOS'!$Q$6:$Q$1005,1))</f>
        <v>0</v>
      </c>
      <c r="AB935" s="96">
        <f>IF(R935=0,0,COUNTIFS('RECEBIMENTOS'!$R$6:$R$1005,A935,'RECEBIMENTOS'!$Z$6:$Z$1005,1))</f>
        <v>0</v>
      </c>
      <c r="AC935" s="96">
        <f>IF(R935=0,0,COUNTIFS('RECEBIMENTOS'!$R$6:$R$1005,A935,'RECEBIMENTOS'!$Y$6:$Y$1005,1))</f>
        <v>0</v>
      </c>
      <c r="AD935" s="96">
        <f>IF(R935=0,0,COUNTIFS('VÍNCULOS_CDF'!$R$6:$R$1005,A935,'VÍNCULOS_CDF'!$N$6:$N$1005,1))</f>
        <v>0</v>
      </c>
      <c r="AE935" s="96">
        <f>IF(R935=0,0,COUNTIFS('VÍNCULOS_CDF'!$R$6:$R$1005,A935,'VÍNCULOS_CDF'!$AA$6:$AA$1005,1))</f>
        <v>0</v>
      </c>
      <c r="AF935" s="96">
        <f>IF(R935=0,0,COUNTIFS('VÍNCULOS_CDF'!$R$6:$R$1005,A935,'VÍNCULOS_CDF'!$Y$6:$Y$1005,1))</f>
        <v>0</v>
      </c>
      <c r="AG935" s="96" t="str">
        <f>IF(AND(R935=1,S935&lt;&gt;"",C935&lt;&gt;""),S935&amp;"|"&amp;C935&amp;"|"&amp;G935&amp;"|"&amp;H935,"")</f>
        <v/>
      </c>
      <c r="AH935" s="96">
        <f>IF(AG935="",0,IF(SUMPRODUCT(--($AG$6:$AG$1005=AG935))&gt;1,1,0))</f>
        <v>0</v>
      </c>
      <c r="AI935" s="96">
        <f>IF(R935=0,0,IF(OR(U935=0,V935=0,Y935=0,AND(AH935=1,K935&lt;&gt;"Sim")),1,0))</f>
        <v>0</v>
      </c>
      <c r="AJ935" s="96">
        <f>IF(AND(R935=1,AA935&gt;0,AB935=AA935),1,0)</f>
        <v>0</v>
      </c>
      <c r="AK935" s="96">
        <f>IF(R935=0,0,IF(AA935&gt;0,N(L935),IF(ISNUMBER(I935),I935,0)))</f>
        <v>0</v>
      </c>
      <c r="AL935" s="96">
        <f>IF(R935=0,0,IF(AND(K935&lt;&gt;"Sim",N(M935)&gt;AK935+cfg_tol),1,0))</f>
        <v>0</v>
      </c>
      <c r="AM935" s="96">
        <f>IF(R935=0,0,IF(K935="Sim",0,IF(OR(AND(AA935&gt;0,ISNUMBER(I935),ABS(I935-N(L935))&gt;cfg_tol),AL935=1),1,0)))</f>
        <v>0</v>
      </c>
      <c r="AN935" s="96">
        <f>IF(AND(R935=1,N(M935)&gt;0,OR(N(M935)&gt;=AK935-cfg_tol,K935="Sim")),1,0)</f>
        <v>0</v>
      </c>
      <c r="AO935" s="96">
        <f>IF(AND(AN935=1,AD935&gt;0,AE935=AD935,AL935=0),1,0)</f>
        <v>0</v>
      </c>
      <c r="AP935" s="96">
        <f>IF(U935=0,0,IF(AND(INDEX('MTRs'!$AX$6:$AX$505,T935)=1,Z935=0,OR(f_res="",f_res="(Todos)",C935=f_res)),1,0))</f>
        <v>0</v>
      </c>
      <c r="AQ935" s="97" t="str">
        <f>IF(U935=0,"",INDEX('MTRs'!$AZ$6:$AZ$505,T935))</f>
        <v/>
      </c>
      <c r="AR935" s="96">
        <f>IF(U935=0,0,IF(AND(INDEX('MTRs'!$BA$6:$BA$505,T935)=1,Z935=0),1,0))</f>
        <v>0</v>
      </c>
      <c r="AS935" s="96" t="str">
        <f>IF(R935=1,A935&amp;" | MTR "&amp;IF(U935=1,INDEX('MTRs'!$B$6:$B$505,T935)&amp;"","?")&amp;" | "&amp;IF(C935="","(sem resíduo)",C935),"")</f>
        <v/>
      </c>
      <c r="AT935" s="96" t="str">
        <f>IF(R935=1,COUNTIF($R$6:R935,1),"")</f>
        <v/>
      </c>
      <c r="AU935" s="96" t="str">
        <f>IF(U935=1,INDEX('MTRs'!$I$6:$I$505,T935)&amp;"","")</f>
        <v/>
      </c>
    </row>
    <row r="936">
      <c r="A936" s="89" t="inlineStr">
        <is>
          <t>IT-000931</t>
        </is>
      </c>
      <c r="B936" s="91" t="n"/>
      <c r="C936" s="91" t="n"/>
      <c r="D936" s="94" t="str">
        <f>IF(OR(R936=0,V936=0),"",INDEX('CAD_RESÍDUOS'!$E$6:$E$205,MATCH(C936,'CAD_RESÍDUOS'!$B$6:$B$205,0))&amp;"")</f>
        <v/>
      </c>
      <c r="E936" s="94" t="str">
        <f>IF(OR(R936=0,V936=0),"",INDEX('CAD_RESÍDUOS'!$C$6:$C$205,MATCH(C936,'CAD_RESÍDUOS'!$B$6:$B$205,0))&amp;"")</f>
        <v/>
      </c>
      <c r="F936" s="94" t="str">
        <f>IF(OR(R936=0,V936=0),"",INDEX('CAD_RESÍDUOS'!$G$6:$G$205,MATCH(C936,'CAD_RESÍDUOS'!$B$6:$B$205,0))&amp;"")</f>
        <v/>
      </c>
      <c r="G936" s="98" t="n"/>
      <c r="H936" s="91" t="n"/>
      <c r="I936" s="93" t="str">
        <f>IF(R936=0,"",IF(NOT(ISNUMBER(G936)),"",IF(ISNUMBER(X936),G936*X936,"UNIDADE A CONFERIR")))</f>
        <v/>
      </c>
      <c r="J936" s="91" t="n"/>
      <c r="K936" s="91" t="n"/>
      <c r="L936" s="93" t="str">
        <f>IF(R936=0,"",SUMIFS('RECEBIMENTOS'!$H$6:$H$1005,'RECEBIMENTOS'!$R$6:$R$1005,A936,'RECEBIMENTOS'!$X$6:$X$1005,1))</f>
        <v/>
      </c>
      <c r="M936" s="93" t="str">
        <f>IF(R936=0,"",SUMIFS('VÍNCULOS_CDF'!$H$6:$H$1005,'VÍNCULOS_CDF'!$R$6:$R$1005,A936,'VÍNCULOS_CDF'!$V$6:$V$1005,1))</f>
        <v/>
      </c>
      <c r="N936" s="99" t="str">
        <f>IF(OR(R936=0,AA936=0,NOT(ISNUMBER(I936))),"",I936-N(L936))</f>
        <v/>
      </c>
      <c r="O936" s="100" t="str">
        <f>IF(OR(R936=0,AK936&lt;=0),"",N(M936)/AK936)</f>
        <v/>
      </c>
      <c r="P936" s="94" t="str">
        <f>IF(R936=0,"",IF(S936="","Sem MTR associado",IF(U936=0,"MTR inexistente",IF(C936="","Resíduo não identificado",IF(V936=0,"Resíduo fora do cadastro",IF(W936=0,"Quantidade inválida",IF(H936="","Unidade não informada",IF(NOT(ISNUMBER(I936)),"Unidade a conferir",IF(AND(AH936=1,K936&lt;&gt;"Sim"),"Possível duplicidade",IF(Z936=1,"MTR cancelado",IF(AC936&gt;0,"Recebimento com alerta",IF(AA936=0,"Aguardando recebimento",IF(AB936&lt;AA936,"Recebimento a conferir",IF(AM936=1,"Quantidade a revisar",IF(AF936&gt;0,"Vínculo a revisar",IF(AD936=0,"Aguardando CDF",IF(AN936=0,"Vínculo de CDF parcial",IF(AE936&lt;AD936,"CDF a conferir","Documentação conferida"))))))))))))))))))</f>
        <v/>
      </c>
      <c r="Q936" s="93" t="str">
        <f>IF(OR(R936=0,AA936=0),"",MAX(0,N(L936)-N(M936)))</f>
        <v/>
      </c>
      <c r="R936" s="96">
        <f>IF(COUNTA(B936:C936,G936:H936,J936:K936)&gt;0,1,0)</f>
        <v>0</v>
      </c>
      <c r="S936" s="96" t="str">
        <f>IF(B936="","",TRIM(LEFT(B936,FIND(" |",B936&amp;" |")-1)))</f>
        <v/>
      </c>
      <c r="T936" s="96" t="str">
        <f>IF(S936="","",IFERROR(MATCH(S936,'MTRs'!$A$6:$A$505,0),""))</f>
        <v/>
      </c>
      <c r="U936" s="96">
        <f>IF(T936="",0,IF(INDEX('MTRs'!$Z$6:$Z$505,T936)=1,1,0))</f>
        <v>0</v>
      </c>
      <c r="V936" s="96">
        <f>IF(C936="",0,IF(ISNUMBER(MATCH(C936,'CAD_RESÍDUOS'!$B$6:$B$205,0)),1,0))</f>
        <v>0</v>
      </c>
      <c r="W936" s="96">
        <f>IF(AND(ISNUMBER(G936),G936&gt;0),1,0)</f>
        <v>0</v>
      </c>
      <c r="X936" s="96" t="str">
        <f>IF(H936="","",IFERROR(IF(ISNUMBER(INDEX(cfg_fac,MATCH(H936,cfg_units,0))),IF(INDEX(cfg_fac,MATCH(H936,cfg_units,0))&gt;0,INDEX(cfg_fac,MATCH(H936,cfg_units,0)),""),""),""))</f>
        <v/>
      </c>
      <c r="Y936" s="96">
        <f>IF(AND(W936=1,ISNUMBER(I936)),1,0)</f>
        <v>0</v>
      </c>
      <c r="Z936" s="96">
        <f>IF(U936=1,INDEX('MTRs'!$AA$6:$AA$505,T936),0)</f>
        <v>0</v>
      </c>
      <c r="AA936" s="96">
        <f>IF(R936=0,0,COUNTIFS('RECEBIMENTOS'!$R$6:$R$1005,A936,'RECEBIMENTOS'!$Q$6:$Q$1005,1))</f>
        <v>0</v>
      </c>
      <c r="AB936" s="96">
        <f>IF(R936=0,0,COUNTIFS('RECEBIMENTOS'!$R$6:$R$1005,A936,'RECEBIMENTOS'!$Z$6:$Z$1005,1))</f>
        <v>0</v>
      </c>
      <c r="AC936" s="96">
        <f>IF(R936=0,0,COUNTIFS('RECEBIMENTOS'!$R$6:$R$1005,A936,'RECEBIMENTOS'!$Y$6:$Y$1005,1))</f>
        <v>0</v>
      </c>
      <c r="AD936" s="96">
        <f>IF(R936=0,0,COUNTIFS('VÍNCULOS_CDF'!$R$6:$R$1005,A936,'VÍNCULOS_CDF'!$N$6:$N$1005,1))</f>
        <v>0</v>
      </c>
      <c r="AE936" s="96">
        <f>IF(R936=0,0,COUNTIFS('VÍNCULOS_CDF'!$R$6:$R$1005,A936,'VÍNCULOS_CDF'!$AA$6:$AA$1005,1))</f>
        <v>0</v>
      </c>
      <c r="AF936" s="96">
        <f>IF(R936=0,0,COUNTIFS('VÍNCULOS_CDF'!$R$6:$R$1005,A936,'VÍNCULOS_CDF'!$Y$6:$Y$1005,1))</f>
        <v>0</v>
      </c>
      <c r="AG936" s="96" t="str">
        <f>IF(AND(R936=1,S936&lt;&gt;"",C936&lt;&gt;""),S936&amp;"|"&amp;C936&amp;"|"&amp;G936&amp;"|"&amp;H936,"")</f>
        <v/>
      </c>
      <c r="AH936" s="96">
        <f>IF(AG936="",0,IF(SUMPRODUCT(--($AG$6:$AG$1005=AG936))&gt;1,1,0))</f>
        <v>0</v>
      </c>
      <c r="AI936" s="96">
        <f>IF(R936=0,0,IF(OR(U936=0,V936=0,Y936=0,AND(AH936=1,K936&lt;&gt;"Sim")),1,0))</f>
        <v>0</v>
      </c>
      <c r="AJ936" s="96">
        <f>IF(AND(R936=1,AA936&gt;0,AB936=AA936),1,0)</f>
        <v>0</v>
      </c>
      <c r="AK936" s="96">
        <f>IF(R936=0,0,IF(AA936&gt;0,N(L936),IF(ISNUMBER(I936),I936,0)))</f>
        <v>0</v>
      </c>
      <c r="AL936" s="96">
        <f>IF(R936=0,0,IF(AND(K936&lt;&gt;"Sim",N(M936)&gt;AK936+cfg_tol),1,0))</f>
        <v>0</v>
      </c>
      <c r="AM936" s="96">
        <f>IF(R936=0,0,IF(K936="Sim",0,IF(OR(AND(AA936&gt;0,ISNUMBER(I936),ABS(I936-N(L936))&gt;cfg_tol),AL936=1),1,0)))</f>
        <v>0</v>
      </c>
      <c r="AN936" s="96">
        <f>IF(AND(R936=1,N(M936)&gt;0,OR(N(M936)&gt;=AK936-cfg_tol,K936="Sim")),1,0)</f>
        <v>0</v>
      </c>
      <c r="AO936" s="96">
        <f>IF(AND(AN936=1,AD936&gt;0,AE936=AD936,AL936=0),1,0)</f>
        <v>0</v>
      </c>
      <c r="AP936" s="96">
        <f>IF(U936=0,0,IF(AND(INDEX('MTRs'!$AX$6:$AX$505,T936)=1,Z936=0,OR(f_res="",f_res="(Todos)",C936=f_res)),1,0))</f>
        <v>0</v>
      </c>
      <c r="AQ936" s="97" t="str">
        <f>IF(U936=0,"",INDEX('MTRs'!$AZ$6:$AZ$505,T936))</f>
        <v/>
      </c>
      <c r="AR936" s="96">
        <f>IF(U936=0,0,IF(AND(INDEX('MTRs'!$BA$6:$BA$505,T936)=1,Z936=0),1,0))</f>
        <v>0</v>
      </c>
      <c r="AS936" s="96" t="str">
        <f>IF(R936=1,A936&amp;" | MTR "&amp;IF(U936=1,INDEX('MTRs'!$B$6:$B$505,T936)&amp;"","?")&amp;" | "&amp;IF(C936="","(sem resíduo)",C936),"")</f>
        <v/>
      </c>
      <c r="AT936" s="96" t="str">
        <f>IF(R936=1,COUNTIF($R$6:R936,1),"")</f>
        <v/>
      </c>
      <c r="AU936" s="96" t="str">
        <f>IF(U936=1,INDEX('MTRs'!$I$6:$I$505,T936)&amp;"","")</f>
        <v/>
      </c>
    </row>
    <row r="937">
      <c r="A937" s="89" t="inlineStr">
        <is>
          <t>IT-000932</t>
        </is>
      </c>
      <c r="B937" s="91" t="n"/>
      <c r="C937" s="91" t="n"/>
      <c r="D937" s="94" t="str">
        <f>IF(OR(R937=0,V937=0),"",INDEX('CAD_RESÍDUOS'!$E$6:$E$205,MATCH(C937,'CAD_RESÍDUOS'!$B$6:$B$205,0))&amp;"")</f>
        <v/>
      </c>
      <c r="E937" s="94" t="str">
        <f>IF(OR(R937=0,V937=0),"",INDEX('CAD_RESÍDUOS'!$C$6:$C$205,MATCH(C937,'CAD_RESÍDUOS'!$B$6:$B$205,0))&amp;"")</f>
        <v/>
      </c>
      <c r="F937" s="94" t="str">
        <f>IF(OR(R937=0,V937=0),"",INDEX('CAD_RESÍDUOS'!$G$6:$G$205,MATCH(C937,'CAD_RESÍDUOS'!$B$6:$B$205,0))&amp;"")</f>
        <v/>
      </c>
      <c r="G937" s="98" t="n"/>
      <c r="H937" s="91" t="n"/>
      <c r="I937" s="93" t="str">
        <f>IF(R937=0,"",IF(NOT(ISNUMBER(G937)),"",IF(ISNUMBER(X937),G937*X937,"UNIDADE A CONFERIR")))</f>
        <v/>
      </c>
      <c r="J937" s="91" t="n"/>
      <c r="K937" s="91" t="n"/>
      <c r="L937" s="93" t="str">
        <f>IF(R937=0,"",SUMIFS('RECEBIMENTOS'!$H$6:$H$1005,'RECEBIMENTOS'!$R$6:$R$1005,A937,'RECEBIMENTOS'!$X$6:$X$1005,1))</f>
        <v/>
      </c>
      <c r="M937" s="93" t="str">
        <f>IF(R937=0,"",SUMIFS('VÍNCULOS_CDF'!$H$6:$H$1005,'VÍNCULOS_CDF'!$R$6:$R$1005,A937,'VÍNCULOS_CDF'!$V$6:$V$1005,1))</f>
        <v/>
      </c>
      <c r="N937" s="99" t="str">
        <f>IF(OR(R937=0,AA937=0,NOT(ISNUMBER(I937))),"",I937-N(L937))</f>
        <v/>
      </c>
      <c r="O937" s="100" t="str">
        <f>IF(OR(R937=0,AK937&lt;=0),"",N(M937)/AK937)</f>
        <v/>
      </c>
      <c r="P937" s="94" t="str">
        <f>IF(R937=0,"",IF(S937="","Sem MTR associado",IF(U937=0,"MTR inexistente",IF(C937="","Resíduo não identificado",IF(V937=0,"Resíduo fora do cadastro",IF(W937=0,"Quantidade inválida",IF(H937="","Unidade não informada",IF(NOT(ISNUMBER(I937)),"Unidade a conferir",IF(AND(AH937=1,K937&lt;&gt;"Sim"),"Possível duplicidade",IF(Z937=1,"MTR cancelado",IF(AC937&gt;0,"Recebimento com alerta",IF(AA937=0,"Aguardando recebimento",IF(AB937&lt;AA937,"Recebimento a conferir",IF(AM937=1,"Quantidade a revisar",IF(AF937&gt;0,"Vínculo a revisar",IF(AD937=0,"Aguardando CDF",IF(AN937=0,"Vínculo de CDF parcial",IF(AE937&lt;AD937,"CDF a conferir","Documentação conferida"))))))))))))))))))</f>
        <v/>
      </c>
      <c r="Q937" s="93" t="str">
        <f>IF(OR(R937=0,AA937=0),"",MAX(0,N(L937)-N(M937)))</f>
        <v/>
      </c>
      <c r="R937" s="96">
        <f>IF(COUNTA(B937:C937,G937:H937,J937:K937)&gt;0,1,0)</f>
        <v>0</v>
      </c>
      <c r="S937" s="96" t="str">
        <f>IF(B937="","",TRIM(LEFT(B937,FIND(" |",B937&amp;" |")-1)))</f>
        <v/>
      </c>
      <c r="T937" s="96" t="str">
        <f>IF(S937="","",IFERROR(MATCH(S937,'MTRs'!$A$6:$A$505,0),""))</f>
        <v/>
      </c>
      <c r="U937" s="96">
        <f>IF(T937="",0,IF(INDEX('MTRs'!$Z$6:$Z$505,T937)=1,1,0))</f>
        <v>0</v>
      </c>
      <c r="V937" s="96">
        <f>IF(C937="",0,IF(ISNUMBER(MATCH(C937,'CAD_RESÍDUOS'!$B$6:$B$205,0)),1,0))</f>
        <v>0</v>
      </c>
      <c r="W937" s="96">
        <f>IF(AND(ISNUMBER(G937),G937&gt;0),1,0)</f>
        <v>0</v>
      </c>
      <c r="X937" s="96" t="str">
        <f>IF(H937="","",IFERROR(IF(ISNUMBER(INDEX(cfg_fac,MATCH(H937,cfg_units,0))),IF(INDEX(cfg_fac,MATCH(H937,cfg_units,0))&gt;0,INDEX(cfg_fac,MATCH(H937,cfg_units,0)),""),""),""))</f>
        <v/>
      </c>
      <c r="Y937" s="96">
        <f>IF(AND(W937=1,ISNUMBER(I937)),1,0)</f>
        <v>0</v>
      </c>
      <c r="Z937" s="96">
        <f>IF(U937=1,INDEX('MTRs'!$AA$6:$AA$505,T937),0)</f>
        <v>0</v>
      </c>
      <c r="AA937" s="96">
        <f>IF(R937=0,0,COUNTIFS('RECEBIMENTOS'!$R$6:$R$1005,A937,'RECEBIMENTOS'!$Q$6:$Q$1005,1))</f>
        <v>0</v>
      </c>
      <c r="AB937" s="96">
        <f>IF(R937=0,0,COUNTIFS('RECEBIMENTOS'!$R$6:$R$1005,A937,'RECEBIMENTOS'!$Z$6:$Z$1005,1))</f>
        <v>0</v>
      </c>
      <c r="AC937" s="96">
        <f>IF(R937=0,0,COUNTIFS('RECEBIMENTOS'!$R$6:$R$1005,A937,'RECEBIMENTOS'!$Y$6:$Y$1005,1))</f>
        <v>0</v>
      </c>
      <c r="AD937" s="96">
        <f>IF(R937=0,0,COUNTIFS('VÍNCULOS_CDF'!$R$6:$R$1005,A937,'VÍNCULOS_CDF'!$N$6:$N$1005,1))</f>
        <v>0</v>
      </c>
      <c r="AE937" s="96">
        <f>IF(R937=0,0,COUNTIFS('VÍNCULOS_CDF'!$R$6:$R$1005,A937,'VÍNCULOS_CDF'!$AA$6:$AA$1005,1))</f>
        <v>0</v>
      </c>
      <c r="AF937" s="96">
        <f>IF(R937=0,0,COUNTIFS('VÍNCULOS_CDF'!$R$6:$R$1005,A937,'VÍNCULOS_CDF'!$Y$6:$Y$1005,1))</f>
        <v>0</v>
      </c>
      <c r="AG937" s="96" t="str">
        <f>IF(AND(R937=1,S937&lt;&gt;"",C937&lt;&gt;""),S937&amp;"|"&amp;C937&amp;"|"&amp;G937&amp;"|"&amp;H937,"")</f>
        <v/>
      </c>
      <c r="AH937" s="96">
        <f>IF(AG937="",0,IF(SUMPRODUCT(--($AG$6:$AG$1005=AG937))&gt;1,1,0))</f>
        <v>0</v>
      </c>
      <c r="AI937" s="96">
        <f>IF(R937=0,0,IF(OR(U937=0,V937=0,Y937=0,AND(AH937=1,K937&lt;&gt;"Sim")),1,0))</f>
        <v>0</v>
      </c>
      <c r="AJ937" s="96">
        <f>IF(AND(R937=1,AA937&gt;0,AB937=AA937),1,0)</f>
        <v>0</v>
      </c>
      <c r="AK937" s="96">
        <f>IF(R937=0,0,IF(AA937&gt;0,N(L937),IF(ISNUMBER(I937),I937,0)))</f>
        <v>0</v>
      </c>
      <c r="AL937" s="96">
        <f>IF(R937=0,0,IF(AND(K937&lt;&gt;"Sim",N(M937)&gt;AK937+cfg_tol),1,0))</f>
        <v>0</v>
      </c>
      <c r="AM937" s="96">
        <f>IF(R937=0,0,IF(K937="Sim",0,IF(OR(AND(AA937&gt;0,ISNUMBER(I937),ABS(I937-N(L937))&gt;cfg_tol),AL937=1),1,0)))</f>
        <v>0</v>
      </c>
      <c r="AN937" s="96">
        <f>IF(AND(R937=1,N(M937)&gt;0,OR(N(M937)&gt;=AK937-cfg_tol,K937="Sim")),1,0)</f>
        <v>0</v>
      </c>
      <c r="AO937" s="96">
        <f>IF(AND(AN937=1,AD937&gt;0,AE937=AD937,AL937=0),1,0)</f>
        <v>0</v>
      </c>
      <c r="AP937" s="96">
        <f>IF(U937=0,0,IF(AND(INDEX('MTRs'!$AX$6:$AX$505,T937)=1,Z937=0,OR(f_res="",f_res="(Todos)",C937=f_res)),1,0))</f>
        <v>0</v>
      </c>
      <c r="AQ937" s="97" t="str">
        <f>IF(U937=0,"",INDEX('MTRs'!$AZ$6:$AZ$505,T937))</f>
        <v/>
      </c>
      <c r="AR937" s="96">
        <f>IF(U937=0,0,IF(AND(INDEX('MTRs'!$BA$6:$BA$505,T937)=1,Z937=0),1,0))</f>
        <v>0</v>
      </c>
      <c r="AS937" s="96" t="str">
        <f>IF(R937=1,A937&amp;" | MTR "&amp;IF(U937=1,INDEX('MTRs'!$B$6:$B$505,T937)&amp;"","?")&amp;" | "&amp;IF(C937="","(sem resíduo)",C937),"")</f>
        <v/>
      </c>
      <c r="AT937" s="96" t="str">
        <f>IF(R937=1,COUNTIF($R$6:R937,1),"")</f>
        <v/>
      </c>
      <c r="AU937" s="96" t="str">
        <f>IF(U937=1,INDEX('MTRs'!$I$6:$I$505,T937)&amp;"","")</f>
        <v/>
      </c>
    </row>
    <row r="938">
      <c r="A938" s="89" t="inlineStr">
        <is>
          <t>IT-000933</t>
        </is>
      </c>
      <c r="B938" s="91" t="n"/>
      <c r="C938" s="91" t="n"/>
      <c r="D938" s="94" t="str">
        <f>IF(OR(R938=0,V938=0),"",INDEX('CAD_RESÍDUOS'!$E$6:$E$205,MATCH(C938,'CAD_RESÍDUOS'!$B$6:$B$205,0))&amp;"")</f>
        <v/>
      </c>
      <c r="E938" s="94" t="str">
        <f>IF(OR(R938=0,V938=0),"",INDEX('CAD_RESÍDUOS'!$C$6:$C$205,MATCH(C938,'CAD_RESÍDUOS'!$B$6:$B$205,0))&amp;"")</f>
        <v/>
      </c>
      <c r="F938" s="94" t="str">
        <f>IF(OR(R938=0,V938=0),"",INDEX('CAD_RESÍDUOS'!$G$6:$G$205,MATCH(C938,'CAD_RESÍDUOS'!$B$6:$B$205,0))&amp;"")</f>
        <v/>
      </c>
      <c r="G938" s="98" t="n"/>
      <c r="H938" s="91" t="n"/>
      <c r="I938" s="93" t="str">
        <f>IF(R938=0,"",IF(NOT(ISNUMBER(G938)),"",IF(ISNUMBER(X938),G938*X938,"UNIDADE A CONFERIR")))</f>
        <v/>
      </c>
      <c r="J938" s="91" t="n"/>
      <c r="K938" s="91" t="n"/>
      <c r="L938" s="93" t="str">
        <f>IF(R938=0,"",SUMIFS('RECEBIMENTOS'!$H$6:$H$1005,'RECEBIMENTOS'!$R$6:$R$1005,A938,'RECEBIMENTOS'!$X$6:$X$1005,1))</f>
        <v/>
      </c>
      <c r="M938" s="93" t="str">
        <f>IF(R938=0,"",SUMIFS('VÍNCULOS_CDF'!$H$6:$H$1005,'VÍNCULOS_CDF'!$R$6:$R$1005,A938,'VÍNCULOS_CDF'!$V$6:$V$1005,1))</f>
        <v/>
      </c>
      <c r="N938" s="99" t="str">
        <f>IF(OR(R938=0,AA938=0,NOT(ISNUMBER(I938))),"",I938-N(L938))</f>
        <v/>
      </c>
      <c r="O938" s="100" t="str">
        <f>IF(OR(R938=0,AK938&lt;=0),"",N(M938)/AK938)</f>
        <v/>
      </c>
      <c r="P938" s="94" t="str">
        <f>IF(R938=0,"",IF(S938="","Sem MTR associado",IF(U938=0,"MTR inexistente",IF(C938="","Resíduo não identificado",IF(V938=0,"Resíduo fora do cadastro",IF(W938=0,"Quantidade inválida",IF(H938="","Unidade não informada",IF(NOT(ISNUMBER(I938)),"Unidade a conferir",IF(AND(AH938=1,K938&lt;&gt;"Sim"),"Possível duplicidade",IF(Z938=1,"MTR cancelado",IF(AC938&gt;0,"Recebimento com alerta",IF(AA938=0,"Aguardando recebimento",IF(AB938&lt;AA938,"Recebimento a conferir",IF(AM938=1,"Quantidade a revisar",IF(AF938&gt;0,"Vínculo a revisar",IF(AD938=0,"Aguardando CDF",IF(AN938=0,"Vínculo de CDF parcial",IF(AE938&lt;AD938,"CDF a conferir","Documentação conferida"))))))))))))))))))</f>
        <v/>
      </c>
      <c r="Q938" s="93" t="str">
        <f>IF(OR(R938=0,AA938=0),"",MAX(0,N(L938)-N(M938)))</f>
        <v/>
      </c>
      <c r="R938" s="96">
        <f>IF(COUNTA(B938:C938,G938:H938,J938:K938)&gt;0,1,0)</f>
        <v>0</v>
      </c>
      <c r="S938" s="96" t="str">
        <f>IF(B938="","",TRIM(LEFT(B938,FIND(" |",B938&amp;" |")-1)))</f>
        <v/>
      </c>
      <c r="T938" s="96" t="str">
        <f>IF(S938="","",IFERROR(MATCH(S938,'MTRs'!$A$6:$A$505,0),""))</f>
        <v/>
      </c>
      <c r="U938" s="96">
        <f>IF(T938="",0,IF(INDEX('MTRs'!$Z$6:$Z$505,T938)=1,1,0))</f>
        <v>0</v>
      </c>
      <c r="V938" s="96">
        <f>IF(C938="",0,IF(ISNUMBER(MATCH(C938,'CAD_RESÍDUOS'!$B$6:$B$205,0)),1,0))</f>
        <v>0</v>
      </c>
      <c r="W938" s="96">
        <f>IF(AND(ISNUMBER(G938),G938&gt;0),1,0)</f>
        <v>0</v>
      </c>
      <c r="X938" s="96" t="str">
        <f>IF(H938="","",IFERROR(IF(ISNUMBER(INDEX(cfg_fac,MATCH(H938,cfg_units,0))),IF(INDEX(cfg_fac,MATCH(H938,cfg_units,0))&gt;0,INDEX(cfg_fac,MATCH(H938,cfg_units,0)),""),""),""))</f>
        <v/>
      </c>
      <c r="Y938" s="96">
        <f>IF(AND(W938=1,ISNUMBER(I938)),1,0)</f>
        <v>0</v>
      </c>
      <c r="Z938" s="96">
        <f>IF(U938=1,INDEX('MTRs'!$AA$6:$AA$505,T938),0)</f>
        <v>0</v>
      </c>
      <c r="AA938" s="96">
        <f>IF(R938=0,0,COUNTIFS('RECEBIMENTOS'!$R$6:$R$1005,A938,'RECEBIMENTOS'!$Q$6:$Q$1005,1))</f>
        <v>0</v>
      </c>
      <c r="AB938" s="96">
        <f>IF(R938=0,0,COUNTIFS('RECEBIMENTOS'!$R$6:$R$1005,A938,'RECEBIMENTOS'!$Z$6:$Z$1005,1))</f>
        <v>0</v>
      </c>
      <c r="AC938" s="96">
        <f>IF(R938=0,0,COUNTIFS('RECEBIMENTOS'!$R$6:$R$1005,A938,'RECEBIMENTOS'!$Y$6:$Y$1005,1))</f>
        <v>0</v>
      </c>
      <c r="AD938" s="96">
        <f>IF(R938=0,0,COUNTIFS('VÍNCULOS_CDF'!$R$6:$R$1005,A938,'VÍNCULOS_CDF'!$N$6:$N$1005,1))</f>
        <v>0</v>
      </c>
      <c r="AE938" s="96">
        <f>IF(R938=0,0,COUNTIFS('VÍNCULOS_CDF'!$R$6:$R$1005,A938,'VÍNCULOS_CDF'!$AA$6:$AA$1005,1))</f>
        <v>0</v>
      </c>
      <c r="AF938" s="96">
        <f>IF(R938=0,0,COUNTIFS('VÍNCULOS_CDF'!$R$6:$R$1005,A938,'VÍNCULOS_CDF'!$Y$6:$Y$1005,1))</f>
        <v>0</v>
      </c>
      <c r="AG938" s="96" t="str">
        <f>IF(AND(R938=1,S938&lt;&gt;"",C938&lt;&gt;""),S938&amp;"|"&amp;C938&amp;"|"&amp;G938&amp;"|"&amp;H938,"")</f>
        <v/>
      </c>
      <c r="AH938" s="96">
        <f>IF(AG938="",0,IF(SUMPRODUCT(--($AG$6:$AG$1005=AG938))&gt;1,1,0))</f>
        <v>0</v>
      </c>
      <c r="AI938" s="96">
        <f>IF(R938=0,0,IF(OR(U938=0,V938=0,Y938=0,AND(AH938=1,K938&lt;&gt;"Sim")),1,0))</f>
        <v>0</v>
      </c>
      <c r="AJ938" s="96">
        <f>IF(AND(R938=1,AA938&gt;0,AB938=AA938),1,0)</f>
        <v>0</v>
      </c>
      <c r="AK938" s="96">
        <f>IF(R938=0,0,IF(AA938&gt;0,N(L938),IF(ISNUMBER(I938),I938,0)))</f>
        <v>0</v>
      </c>
      <c r="AL938" s="96">
        <f>IF(R938=0,0,IF(AND(K938&lt;&gt;"Sim",N(M938)&gt;AK938+cfg_tol),1,0))</f>
        <v>0</v>
      </c>
      <c r="AM938" s="96">
        <f>IF(R938=0,0,IF(K938="Sim",0,IF(OR(AND(AA938&gt;0,ISNUMBER(I938),ABS(I938-N(L938))&gt;cfg_tol),AL938=1),1,0)))</f>
        <v>0</v>
      </c>
      <c r="AN938" s="96">
        <f>IF(AND(R938=1,N(M938)&gt;0,OR(N(M938)&gt;=AK938-cfg_tol,K938="Sim")),1,0)</f>
        <v>0</v>
      </c>
      <c r="AO938" s="96">
        <f>IF(AND(AN938=1,AD938&gt;0,AE938=AD938,AL938=0),1,0)</f>
        <v>0</v>
      </c>
      <c r="AP938" s="96">
        <f>IF(U938=0,0,IF(AND(INDEX('MTRs'!$AX$6:$AX$505,T938)=1,Z938=0,OR(f_res="",f_res="(Todos)",C938=f_res)),1,0))</f>
        <v>0</v>
      </c>
      <c r="AQ938" s="97" t="str">
        <f>IF(U938=0,"",INDEX('MTRs'!$AZ$6:$AZ$505,T938))</f>
        <v/>
      </c>
      <c r="AR938" s="96">
        <f>IF(U938=0,0,IF(AND(INDEX('MTRs'!$BA$6:$BA$505,T938)=1,Z938=0),1,0))</f>
        <v>0</v>
      </c>
      <c r="AS938" s="96" t="str">
        <f>IF(R938=1,A938&amp;" | MTR "&amp;IF(U938=1,INDEX('MTRs'!$B$6:$B$505,T938)&amp;"","?")&amp;" | "&amp;IF(C938="","(sem resíduo)",C938),"")</f>
        <v/>
      </c>
      <c r="AT938" s="96" t="str">
        <f>IF(R938=1,COUNTIF($R$6:R938,1),"")</f>
        <v/>
      </c>
      <c r="AU938" s="96" t="str">
        <f>IF(U938=1,INDEX('MTRs'!$I$6:$I$505,T938)&amp;"","")</f>
        <v/>
      </c>
    </row>
    <row r="939">
      <c r="A939" s="89" t="inlineStr">
        <is>
          <t>IT-000934</t>
        </is>
      </c>
      <c r="B939" s="91" t="n"/>
      <c r="C939" s="91" t="n"/>
      <c r="D939" s="94" t="str">
        <f>IF(OR(R939=0,V939=0),"",INDEX('CAD_RESÍDUOS'!$E$6:$E$205,MATCH(C939,'CAD_RESÍDUOS'!$B$6:$B$205,0))&amp;"")</f>
        <v/>
      </c>
      <c r="E939" s="94" t="str">
        <f>IF(OR(R939=0,V939=0),"",INDEX('CAD_RESÍDUOS'!$C$6:$C$205,MATCH(C939,'CAD_RESÍDUOS'!$B$6:$B$205,0))&amp;"")</f>
        <v/>
      </c>
      <c r="F939" s="94" t="str">
        <f>IF(OR(R939=0,V939=0),"",INDEX('CAD_RESÍDUOS'!$G$6:$G$205,MATCH(C939,'CAD_RESÍDUOS'!$B$6:$B$205,0))&amp;"")</f>
        <v/>
      </c>
      <c r="G939" s="98" t="n"/>
      <c r="H939" s="91" t="n"/>
      <c r="I939" s="93" t="str">
        <f>IF(R939=0,"",IF(NOT(ISNUMBER(G939)),"",IF(ISNUMBER(X939),G939*X939,"UNIDADE A CONFERIR")))</f>
        <v/>
      </c>
      <c r="J939" s="91" t="n"/>
      <c r="K939" s="91" t="n"/>
      <c r="L939" s="93" t="str">
        <f>IF(R939=0,"",SUMIFS('RECEBIMENTOS'!$H$6:$H$1005,'RECEBIMENTOS'!$R$6:$R$1005,A939,'RECEBIMENTOS'!$X$6:$X$1005,1))</f>
        <v/>
      </c>
      <c r="M939" s="93" t="str">
        <f>IF(R939=0,"",SUMIFS('VÍNCULOS_CDF'!$H$6:$H$1005,'VÍNCULOS_CDF'!$R$6:$R$1005,A939,'VÍNCULOS_CDF'!$V$6:$V$1005,1))</f>
        <v/>
      </c>
      <c r="N939" s="99" t="str">
        <f>IF(OR(R939=0,AA939=0,NOT(ISNUMBER(I939))),"",I939-N(L939))</f>
        <v/>
      </c>
      <c r="O939" s="100" t="str">
        <f>IF(OR(R939=0,AK939&lt;=0),"",N(M939)/AK939)</f>
        <v/>
      </c>
      <c r="P939" s="94" t="str">
        <f>IF(R939=0,"",IF(S939="","Sem MTR associado",IF(U939=0,"MTR inexistente",IF(C939="","Resíduo não identificado",IF(V939=0,"Resíduo fora do cadastro",IF(W939=0,"Quantidade inválida",IF(H939="","Unidade não informada",IF(NOT(ISNUMBER(I939)),"Unidade a conferir",IF(AND(AH939=1,K939&lt;&gt;"Sim"),"Possível duplicidade",IF(Z939=1,"MTR cancelado",IF(AC939&gt;0,"Recebimento com alerta",IF(AA939=0,"Aguardando recebimento",IF(AB939&lt;AA939,"Recebimento a conferir",IF(AM939=1,"Quantidade a revisar",IF(AF939&gt;0,"Vínculo a revisar",IF(AD939=0,"Aguardando CDF",IF(AN939=0,"Vínculo de CDF parcial",IF(AE939&lt;AD939,"CDF a conferir","Documentação conferida"))))))))))))))))))</f>
        <v/>
      </c>
      <c r="Q939" s="93" t="str">
        <f>IF(OR(R939=0,AA939=0),"",MAX(0,N(L939)-N(M939)))</f>
        <v/>
      </c>
      <c r="R939" s="96">
        <f>IF(COUNTA(B939:C939,G939:H939,J939:K939)&gt;0,1,0)</f>
        <v>0</v>
      </c>
      <c r="S939" s="96" t="str">
        <f>IF(B939="","",TRIM(LEFT(B939,FIND(" |",B939&amp;" |")-1)))</f>
        <v/>
      </c>
      <c r="T939" s="96" t="str">
        <f>IF(S939="","",IFERROR(MATCH(S939,'MTRs'!$A$6:$A$505,0),""))</f>
        <v/>
      </c>
      <c r="U939" s="96">
        <f>IF(T939="",0,IF(INDEX('MTRs'!$Z$6:$Z$505,T939)=1,1,0))</f>
        <v>0</v>
      </c>
      <c r="V939" s="96">
        <f>IF(C939="",0,IF(ISNUMBER(MATCH(C939,'CAD_RESÍDUOS'!$B$6:$B$205,0)),1,0))</f>
        <v>0</v>
      </c>
      <c r="W939" s="96">
        <f>IF(AND(ISNUMBER(G939),G939&gt;0),1,0)</f>
        <v>0</v>
      </c>
      <c r="X939" s="96" t="str">
        <f>IF(H939="","",IFERROR(IF(ISNUMBER(INDEX(cfg_fac,MATCH(H939,cfg_units,0))),IF(INDEX(cfg_fac,MATCH(H939,cfg_units,0))&gt;0,INDEX(cfg_fac,MATCH(H939,cfg_units,0)),""),""),""))</f>
        <v/>
      </c>
      <c r="Y939" s="96">
        <f>IF(AND(W939=1,ISNUMBER(I939)),1,0)</f>
        <v>0</v>
      </c>
      <c r="Z939" s="96">
        <f>IF(U939=1,INDEX('MTRs'!$AA$6:$AA$505,T939),0)</f>
        <v>0</v>
      </c>
      <c r="AA939" s="96">
        <f>IF(R939=0,0,COUNTIFS('RECEBIMENTOS'!$R$6:$R$1005,A939,'RECEBIMENTOS'!$Q$6:$Q$1005,1))</f>
        <v>0</v>
      </c>
      <c r="AB939" s="96">
        <f>IF(R939=0,0,COUNTIFS('RECEBIMENTOS'!$R$6:$R$1005,A939,'RECEBIMENTOS'!$Z$6:$Z$1005,1))</f>
        <v>0</v>
      </c>
      <c r="AC939" s="96">
        <f>IF(R939=0,0,COUNTIFS('RECEBIMENTOS'!$R$6:$R$1005,A939,'RECEBIMENTOS'!$Y$6:$Y$1005,1))</f>
        <v>0</v>
      </c>
      <c r="AD939" s="96">
        <f>IF(R939=0,0,COUNTIFS('VÍNCULOS_CDF'!$R$6:$R$1005,A939,'VÍNCULOS_CDF'!$N$6:$N$1005,1))</f>
        <v>0</v>
      </c>
      <c r="AE939" s="96">
        <f>IF(R939=0,0,COUNTIFS('VÍNCULOS_CDF'!$R$6:$R$1005,A939,'VÍNCULOS_CDF'!$AA$6:$AA$1005,1))</f>
        <v>0</v>
      </c>
      <c r="AF939" s="96">
        <f>IF(R939=0,0,COUNTIFS('VÍNCULOS_CDF'!$R$6:$R$1005,A939,'VÍNCULOS_CDF'!$Y$6:$Y$1005,1))</f>
        <v>0</v>
      </c>
      <c r="AG939" s="96" t="str">
        <f>IF(AND(R939=1,S939&lt;&gt;"",C939&lt;&gt;""),S939&amp;"|"&amp;C939&amp;"|"&amp;G939&amp;"|"&amp;H939,"")</f>
        <v/>
      </c>
      <c r="AH939" s="96">
        <f>IF(AG939="",0,IF(SUMPRODUCT(--($AG$6:$AG$1005=AG939))&gt;1,1,0))</f>
        <v>0</v>
      </c>
      <c r="AI939" s="96">
        <f>IF(R939=0,0,IF(OR(U939=0,V939=0,Y939=0,AND(AH939=1,K939&lt;&gt;"Sim")),1,0))</f>
        <v>0</v>
      </c>
      <c r="AJ939" s="96">
        <f>IF(AND(R939=1,AA939&gt;0,AB939=AA939),1,0)</f>
        <v>0</v>
      </c>
      <c r="AK939" s="96">
        <f>IF(R939=0,0,IF(AA939&gt;0,N(L939),IF(ISNUMBER(I939),I939,0)))</f>
        <v>0</v>
      </c>
      <c r="AL939" s="96">
        <f>IF(R939=0,0,IF(AND(K939&lt;&gt;"Sim",N(M939)&gt;AK939+cfg_tol),1,0))</f>
        <v>0</v>
      </c>
      <c r="AM939" s="96">
        <f>IF(R939=0,0,IF(K939="Sim",0,IF(OR(AND(AA939&gt;0,ISNUMBER(I939),ABS(I939-N(L939))&gt;cfg_tol),AL939=1),1,0)))</f>
        <v>0</v>
      </c>
      <c r="AN939" s="96">
        <f>IF(AND(R939=1,N(M939)&gt;0,OR(N(M939)&gt;=AK939-cfg_tol,K939="Sim")),1,0)</f>
        <v>0</v>
      </c>
      <c r="AO939" s="96">
        <f>IF(AND(AN939=1,AD939&gt;0,AE939=AD939,AL939=0),1,0)</f>
        <v>0</v>
      </c>
      <c r="AP939" s="96">
        <f>IF(U939=0,0,IF(AND(INDEX('MTRs'!$AX$6:$AX$505,T939)=1,Z939=0,OR(f_res="",f_res="(Todos)",C939=f_res)),1,0))</f>
        <v>0</v>
      </c>
      <c r="AQ939" s="97" t="str">
        <f>IF(U939=0,"",INDEX('MTRs'!$AZ$6:$AZ$505,T939))</f>
        <v/>
      </c>
      <c r="AR939" s="96">
        <f>IF(U939=0,0,IF(AND(INDEX('MTRs'!$BA$6:$BA$505,T939)=1,Z939=0),1,0))</f>
        <v>0</v>
      </c>
      <c r="AS939" s="96" t="str">
        <f>IF(R939=1,A939&amp;" | MTR "&amp;IF(U939=1,INDEX('MTRs'!$B$6:$B$505,T939)&amp;"","?")&amp;" | "&amp;IF(C939="","(sem resíduo)",C939),"")</f>
        <v/>
      </c>
      <c r="AT939" s="96" t="str">
        <f>IF(R939=1,COUNTIF($R$6:R939,1),"")</f>
        <v/>
      </c>
      <c r="AU939" s="96" t="str">
        <f>IF(U939=1,INDEX('MTRs'!$I$6:$I$505,T939)&amp;"","")</f>
        <v/>
      </c>
    </row>
    <row r="940">
      <c r="A940" s="89" t="inlineStr">
        <is>
          <t>IT-000935</t>
        </is>
      </c>
      <c r="B940" s="91" t="n"/>
      <c r="C940" s="91" t="n"/>
      <c r="D940" s="94" t="str">
        <f>IF(OR(R940=0,V940=0),"",INDEX('CAD_RESÍDUOS'!$E$6:$E$205,MATCH(C940,'CAD_RESÍDUOS'!$B$6:$B$205,0))&amp;"")</f>
        <v/>
      </c>
      <c r="E940" s="94" t="str">
        <f>IF(OR(R940=0,V940=0),"",INDEX('CAD_RESÍDUOS'!$C$6:$C$205,MATCH(C940,'CAD_RESÍDUOS'!$B$6:$B$205,0))&amp;"")</f>
        <v/>
      </c>
      <c r="F940" s="94" t="str">
        <f>IF(OR(R940=0,V940=0),"",INDEX('CAD_RESÍDUOS'!$G$6:$G$205,MATCH(C940,'CAD_RESÍDUOS'!$B$6:$B$205,0))&amp;"")</f>
        <v/>
      </c>
      <c r="G940" s="98" t="n"/>
      <c r="H940" s="91" t="n"/>
      <c r="I940" s="93" t="str">
        <f>IF(R940=0,"",IF(NOT(ISNUMBER(G940)),"",IF(ISNUMBER(X940),G940*X940,"UNIDADE A CONFERIR")))</f>
        <v/>
      </c>
      <c r="J940" s="91" t="n"/>
      <c r="K940" s="91" t="n"/>
      <c r="L940" s="93" t="str">
        <f>IF(R940=0,"",SUMIFS('RECEBIMENTOS'!$H$6:$H$1005,'RECEBIMENTOS'!$R$6:$R$1005,A940,'RECEBIMENTOS'!$X$6:$X$1005,1))</f>
        <v/>
      </c>
      <c r="M940" s="93" t="str">
        <f>IF(R940=0,"",SUMIFS('VÍNCULOS_CDF'!$H$6:$H$1005,'VÍNCULOS_CDF'!$R$6:$R$1005,A940,'VÍNCULOS_CDF'!$V$6:$V$1005,1))</f>
        <v/>
      </c>
      <c r="N940" s="99" t="str">
        <f>IF(OR(R940=0,AA940=0,NOT(ISNUMBER(I940))),"",I940-N(L940))</f>
        <v/>
      </c>
      <c r="O940" s="100" t="str">
        <f>IF(OR(R940=0,AK940&lt;=0),"",N(M940)/AK940)</f>
        <v/>
      </c>
      <c r="P940" s="94" t="str">
        <f>IF(R940=0,"",IF(S940="","Sem MTR associado",IF(U940=0,"MTR inexistente",IF(C940="","Resíduo não identificado",IF(V940=0,"Resíduo fora do cadastro",IF(W940=0,"Quantidade inválida",IF(H940="","Unidade não informada",IF(NOT(ISNUMBER(I940)),"Unidade a conferir",IF(AND(AH940=1,K940&lt;&gt;"Sim"),"Possível duplicidade",IF(Z940=1,"MTR cancelado",IF(AC940&gt;0,"Recebimento com alerta",IF(AA940=0,"Aguardando recebimento",IF(AB940&lt;AA940,"Recebimento a conferir",IF(AM940=1,"Quantidade a revisar",IF(AF940&gt;0,"Vínculo a revisar",IF(AD940=0,"Aguardando CDF",IF(AN940=0,"Vínculo de CDF parcial",IF(AE940&lt;AD940,"CDF a conferir","Documentação conferida"))))))))))))))))))</f>
        <v/>
      </c>
      <c r="Q940" s="93" t="str">
        <f>IF(OR(R940=0,AA940=0),"",MAX(0,N(L940)-N(M940)))</f>
        <v/>
      </c>
      <c r="R940" s="96">
        <f>IF(COUNTA(B940:C940,G940:H940,J940:K940)&gt;0,1,0)</f>
        <v>0</v>
      </c>
      <c r="S940" s="96" t="str">
        <f>IF(B940="","",TRIM(LEFT(B940,FIND(" |",B940&amp;" |")-1)))</f>
        <v/>
      </c>
      <c r="T940" s="96" t="str">
        <f>IF(S940="","",IFERROR(MATCH(S940,'MTRs'!$A$6:$A$505,0),""))</f>
        <v/>
      </c>
      <c r="U940" s="96">
        <f>IF(T940="",0,IF(INDEX('MTRs'!$Z$6:$Z$505,T940)=1,1,0))</f>
        <v>0</v>
      </c>
      <c r="V940" s="96">
        <f>IF(C940="",0,IF(ISNUMBER(MATCH(C940,'CAD_RESÍDUOS'!$B$6:$B$205,0)),1,0))</f>
        <v>0</v>
      </c>
      <c r="W940" s="96">
        <f>IF(AND(ISNUMBER(G940),G940&gt;0),1,0)</f>
        <v>0</v>
      </c>
      <c r="X940" s="96" t="str">
        <f>IF(H940="","",IFERROR(IF(ISNUMBER(INDEX(cfg_fac,MATCH(H940,cfg_units,0))),IF(INDEX(cfg_fac,MATCH(H940,cfg_units,0))&gt;0,INDEX(cfg_fac,MATCH(H940,cfg_units,0)),""),""),""))</f>
        <v/>
      </c>
      <c r="Y940" s="96">
        <f>IF(AND(W940=1,ISNUMBER(I940)),1,0)</f>
        <v>0</v>
      </c>
      <c r="Z940" s="96">
        <f>IF(U940=1,INDEX('MTRs'!$AA$6:$AA$505,T940),0)</f>
        <v>0</v>
      </c>
      <c r="AA940" s="96">
        <f>IF(R940=0,0,COUNTIFS('RECEBIMENTOS'!$R$6:$R$1005,A940,'RECEBIMENTOS'!$Q$6:$Q$1005,1))</f>
        <v>0</v>
      </c>
      <c r="AB940" s="96">
        <f>IF(R940=0,0,COUNTIFS('RECEBIMENTOS'!$R$6:$R$1005,A940,'RECEBIMENTOS'!$Z$6:$Z$1005,1))</f>
        <v>0</v>
      </c>
      <c r="AC940" s="96">
        <f>IF(R940=0,0,COUNTIFS('RECEBIMENTOS'!$R$6:$R$1005,A940,'RECEBIMENTOS'!$Y$6:$Y$1005,1))</f>
        <v>0</v>
      </c>
      <c r="AD940" s="96">
        <f>IF(R940=0,0,COUNTIFS('VÍNCULOS_CDF'!$R$6:$R$1005,A940,'VÍNCULOS_CDF'!$N$6:$N$1005,1))</f>
        <v>0</v>
      </c>
      <c r="AE940" s="96">
        <f>IF(R940=0,0,COUNTIFS('VÍNCULOS_CDF'!$R$6:$R$1005,A940,'VÍNCULOS_CDF'!$AA$6:$AA$1005,1))</f>
        <v>0</v>
      </c>
      <c r="AF940" s="96">
        <f>IF(R940=0,0,COUNTIFS('VÍNCULOS_CDF'!$R$6:$R$1005,A940,'VÍNCULOS_CDF'!$Y$6:$Y$1005,1))</f>
        <v>0</v>
      </c>
      <c r="AG940" s="96" t="str">
        <f>IF(AND(R940=1,S940&lt;&gt;"",C940&lt;&gt;""),S940&amp;"|"&amp;C940&amp;"|"&amp;G940&amp;"|"&amp;H940,"")</f>
        <v/>
      </c>
      <c r="AH940" s="96">
        <f>IF(AG940="",0,IF(SUMPRODUCT(--($AG$6:$AG$1005=AG940))&gt;1,1,0))</f>
        <v>0</v>
      </c>
      <c r="AI940" s="96">
        <f>IF(R940=0,0,IF(OR(U940=0,V940=0,Y940=0,AND(AH940=1,K940&lt;&gt;"Sim")),1,0))</f>
        <v>0</v>
      </c>
      <c r="AJ940" s="96">
        <f>IF(AND(R940=1,AA940&gt;0,AB940=AA940),1,0)</f>
        <v>0</v>
      </c>
      <c r="AK940" s="96">
        <f>IF(R940=0,0,IF(AA940&gt;0,N(L940),IF(ISNUMBER(I940),I940,0)))</f>
        <v>0</v>
      </c>
      <c r="AL940" s="96">
        <f>IF(R940=0,0,IF(AND(K940&lt;&gt;"Sim",N(M940)&gt;AK940+cfg_tol),1,0))</f>
        <v>0</v>
      </c>
      <c r="AM940" s="96">
        <f>IF(R940=0,0,IF(K940="Sim",0,IF(OR(AND(AA940&gt;0,ISNUMBER(I940),ABS(I940-N(L940))&gt;cfg_tol),AL940=1),1,0)))</f>
        <v>0</v>
      </c>
      <c r="AN940" s="96">
        <f>IF(AND(R940=1,N(M940)&gt;0,OR(N(M940)&gt;=AK940-cfg_tol,K940="Sim")),1,0)</f>
        <v>0</v>
      </c>
      <c r="AO940" s="96">
        <f>IF(AND(AN940=1,AD940&gt;0,AE940=AD940,AL940=0),1,0)</f>
        <v>0</v>
      </c>
      <c r="AP940" s="96">
        <f>IF(U940=0,0,IF(AND(INDEX('MTRs'!$AX$6:$AX$505,T940)=1,Z940=0,OR(f_res="",f_res="(Todos)",C940=f_res)),1,0))</f>
        <v>0</v>
      </c>
      <c r="AQ940" s="97" t="str">
        <f>IF(U940=0,"",INDEX('MTRs'!$AZ$6:$AZ$505,T940))</f>
        <v/>
      </c>
      <c r="AR940" s="96">
        <f>IF(U940=0,0,IF(AND(INDEX('MTRs'!$BA$6:$BA$505,T940)=1,Z940=0),1,0))</f>
        <v>0</v>
      </c>
      <c r="AS940" s="96" t="str">
        <f>IF(R940=1,A940&amp;" | MTR "&amp;IF(U940=1,INDEX('MTRs'!$B$6:$B$505,T940)&amp;"","?")&amp;" | "&amp;IF(C940="","(sem resíduo)",C940),"")</f>
        <v/>
      </c>
      <c r="AT940" s="96" t="str">
        <f>IF(R940=1,COUNTIF($R$6:R940,1),"")</f>
        <v/>
      </c>
      <c r="AU940" s="96" t="str">
        <f>IF(U940=1,INDEX('MTRs'!$I$6:$I$505,T940)&amp;"","")</f>
        <v/>
      </c>
    </row>
    <row r="941">
      <c r="A941" s="89" t="inlineStr">
        <is>
          <t>IT-000936</t>
        </is>
      </c>
      <c r="B941" s="91" t="n"/>
      <c r="C941" s="91" t="n"/>
      <c r="D941" s="94" t="str">
        <f>IF(OR(R941=0,V941=0),"",INDEX('CAD_RESÍDUOS'!$E$6:$E$205,MATCH(C941,'CAD_RESÍDUOS'!$B$6:$B$205,0))&amp;"")</f>
        <v/>
      </c>
      <c r="E941" s="94" t="str">
        <f>IF(OR(R941=0,V941=0),"",INDEX('CAD_RESÍDUOS'!$C$6:$C$205,MATCH(C941,'CAD_RESÍDUOS'!$B$6:$B$205,0))&amp;"")</f>
        <v/>
      </c>
      <c r="F941" s="94" t="str">
        <f>IF(OR(R941=0,V941=0),"",INDEX('CAD_RESÍDUOS'!$G$6:$G$205,MATCH(C941,'CAD_RESÍDUOS'!$B$6:$B$205,0))&amp;"")</f>
        <v/>
      </c>
      <c r="G941" s="98" t="n"/>
      <c r="H941" s="91" t="n"/>
      <c r="I941" s="93" t="str">
        <f>IF(R941=0,"",IF(NOT(ISNUMBER(G941)),"",IF(ISNUMBER(X941),G941*X941,"UNIDADE A CONFERIR")))</f>
        <v/>
      </c>
      <c r="J941" s="91" t="n"/>
      <c r="K941" s="91" t="n"/>
      <c r="L941" s="93" t="str">
        <f>IF(R941=0,"",SUMIFS('RECEBIMENTOS'!$H$6:$H$1005,'RECEBIMENTOS'!$R$6:$R$1005,A941,'RECEBIMENTOS'!$X$6:$X$1005,1))</f>
        <v/>
      </c>
      <c r="M941" s="93" t="str">
        <f>IF(R941=0,"",SUMIFS('VÍNCULOS_CDF'!$H$6:$H$1005,'VÍNCULOS_CDF'!$R$6:$R$1005,A941,'VÍNCULOS_CDF'!$V$6:$V$1005,1))</f>
        <v/>
      </c>
      <c r="N941" s="99" t="str">
        <f>IF(OR(R941=0,AA941=0,NOT(ISNUMBER(I941))),"",I941-N(L941))</f>
        <v/>
      </c>
      <c r="O941" s="100" t="str">
        <f>IF(OR(R941=0,AK941&lt;=0),"",N(M941)/AK941)</f>
        <v/>
      </c>
      <c r="P941" s="94" t="str">
        <f>IF(R941=0,"",IF(S941="","Sem MTR associado",IF(U941=0,"MTR inexistente",IF(C941="","Resíduo não identificado",IF(V941=0,"Resíduo fora do cadastro",IF(W941=0,"Quantidade inválida",IF(H941="","Unidade não informada",IF(NOT(ISNUMBER(I941)),"Unidade a conferir",IF(AND(AH941=1,K941&lt;&gt;"Sim"),"Possível duplicidade",IF(Z941=1,"MTR cancelado",IF(AC941&gt;0,"Recebimento com alerta",IF(AA941=0,"Aguardando recebimento",IF(AB941&lt;AA941,"Recebimento a conferir",IF(AM941=1,"Quantidade a revisar",IF(AF941&gt;0,"Vínculo a revisar",IF(AD941=0,"Aguardando CDF",IF(AN941=0,"Vínculo de CDF parcial",IF(AE941&lt;AD941,"CDF a conferir","Documentação conferida"))))))))))))))))))</f>
        <v/>
      </c>
      <c r="Q941" s="93" t="str">
        <f>IF(OR(R941=0,AA941=0),"",MAX(0,N(L941)-N(M941)))</f>
        <v/>
      </c>
      <c r="R941" s="96">
        <f>IF(COUNTA(B941:C941,G941:H941,J941:K941)&gt;0,1,0)</f>
        <v>0</v>
      </c>
      <c r="S941" s="96" t="str">
        <f>IF(B941="","",TRIM(LEFT(B941,FIND(" |",B941&amp;" |")-1)))</f>
        <v/>
      </c>
      <c r="T941" s="96" t="str">
        <f>IF(S941="","",IFERROR(MATCH(S941,'MTRs'!$A$6:$A$505,0),""))</f>
        <v/>
      </c>
      <c r="U941" s="96">
        <f>IF(T941="",0,IF(INDEX('MTRs'!$Z$6:$Z$505,T941)=1,1,0))</f>
        <v>0</v>
      </c>
      <c r="V941" s="96">
        <f>IF(C941="",0,IF(ISNUMBER(MATCH(C941,'CAD_RESÍDUOS'!$B$6:$B$205,0)),1,0))</f>
        <v>0</v>
      </c>
      <c r="W941" s="96">
        <f>IF(AND(ISNUMBER(G941),G941&gt;0),1,0)</f>
        <v>0</v>
      </c>
      <c r="X941" s="96" t="str">
        <f>IF(H941="","",IFERROR(IF(ISNUMBER(INDEX(cfg_fac,MATCH(H941,cfg_units,0))),IF(INDEX(cfg_fac,MATCH(H941,cfg_units,0))&gt;0,INDEX(cfg_fac,MATCH(H941,cfg_units,0)),""),""),""))</f>
        <v/>
      </c>
      <c r="Y941" s="96">
        <f>IF(AND(W941=1,ISNUMBER(I941)),1,0)</f>
        <v>0</v>
      </c>
      <c r="Z941" s="96">
        <f>IF(U941=1,INDEX('MTRs'!$AA$6:$AA$505,T941),0)</f>
        <v>0</v>
      </c>
      <c r="AA941" s="96">
        <f>IF(R941=0,0,COUNTIFS('RECEBIMENTOS'!$R$6:$R$1005,A941,'RECEBIMENTOS'!$Q$6:$Q$1005,1))</f>
        <v>0</v>
      </c>
      <c r="AB941" s="96">
        <f>IF(R941=0,0,COUNTIFS('RECEBIMENTOS'!$R$6:$R$1005,A941,'RECEBIMENTOS'!$Z$6:$Z$1005,1))</f>
        <v>0</v>
      </c>
      <c r="AC941" s="96">
        <f>IF(R941=0,0,COUNTIFS('RECEBIMENTOS'!$R$6:$R$1005,A941,'RECEBIMENTOS'!$Y$6:$Y$1005,1))</f>
        <v>0</v>
      </c>
      <c r="AD941" s="96">
        <f>IF(R941=0,0,COUNTIFS('VÍNCULOS_CDF'!$R$6:$R$1005,A941,'VÍNCULOS_CDF'!$N$6:$N$1005,1))</f>
        <v>0</v>
      </c>
      <c r="AE941" s="96">
        <f>IF(R941=0,0,COUNTIFS('VÍNCULOS_CDF'!$R$6:$R$1005,A941,'VÍNCULOS_CDF'!$AA$6:$AA$1005,1))</f>
        <v>0</v>
      </c>
      <c r="AF941" s="96">
        <f>IF(R941=0,0,COUNTIFS('VÍNCULOS_CDF'!$R$6:$R$1005,A941,'VÍNCULOS_CDF'!$Y$6:$Y$1005,1))</f>
        <v>0</v>
      </c>
      <c r="AG941" s="96" t="str">
        <f>IF(AND(R941=1,S941&lt;&gt;"",C941&lt;&gt;""),S941&amp;"|"&amp;C941&amp;"|"&amp;G941&amp;"|"&amp;H941,"")</f>
        <v/>
      </c>
      <c r="AH941" s="96">
        <f>IF(AG941="",0,IF(SUMPRODUCT(--($AG$6:$AG$1005=AG941))&gt;1,1,0))</f>
        <v>0</v>
      </c>
      <c r="AI941" s="96">
        <f>IF(R941=0,0,IF(OR(U941=0,V941=0,Y941=0,AND(AH941=1,K941&lt;&gt;"Sim")),1,0))</f>
        <v>0</v>
      </c>
      <c r="AJ941" s="96">
        <f>IF(AND(R941=1,AA941&gt;0,AB941=AA941),1,0)</f>
        <v>0</v>
      </c>
      <c r="AK941" s="96">
        <f>IF(R941=0,0,IF(AA941&gt;0,N(L941),IF(ISNUMBER(I941),I941,0)))</f>
        <v>0</v>
      </c>
      <c r="AL941" s="96">
        <f>IF(R941=0,0,IF(AND(K941&lt;&gt;"Sim",N(M941)&gt;AK941+cfg_tol),1,0))</f>
        <v>0</v>
      </c>
      <c r="AM941" s="96">
        <f>IF(R941=0,0,IF(K941="Sim",0,IF(OR(AND(AA941&gt;0,ISNUMBER(I941),ABS(I941-N(L941))&gt;cfg_tol),AL941=1),1,0)))</f>
        <v>0</v>
      </c>
      <c r="AN941" s="96">
        <f>IF(AND(R941=1,N(M941)&gt;0,OR(N(M941)&gt;=AK941-cfg_tol,K941="Sim")),1,0)</f>
        <v>0</v>
      </c>
      <c r="AO941" s="96">
        <f>IF(AND(AN941=1,AD941&gt;0,AE941=AD941,AL941=0),1,0)</f>
        <v>0</v>
      </c>
      <c r="AP941" s="96">
        <f>IF(U941=0,0,IF(AND(INDEX('MTRs'!$AX$6:$AX$505,T941)=1,Z941=0,OR(f_res="",f_res="(Todos)",C941=f_res)),1,0))</f>
        <v>0</v>
      </c>
      <c r="AQ941" s="97" t="str">
        <f>IF(U941=0,"",INDEX('MTRs'!$AZ$6:$AZ$505,T941))</f>
        <v/>
      </c>
      <c r="AR941" s="96">
        <f>IF(U941=0,0,IF(AND(INDEX('MTRs'!$BA$6:$BA$505,T941)=1,Z941=0),1,0))</f>
        <v>0</v>
      </c>
      <c r="AS941" s="96" t="str">
        <f>IF(R941=1,A941&amp;" | MTR "&amp;IF(U941=1,INDEX('MTRs'!$B$6:$B$505,T941)&amp;"","?")&amp;" | "&amp;IF(C941="","(sem resíduo)",C941),"")</f>
        <v/>
      </c>
      <c r="AT941" s="96" t="str">
        <f>IF(R941=1,COUNTIF($R$6:R941,1),"")</f>
        <v/>
      </c>
      <c r="AU941" s="96" t="str">
        <f>IF(U941=1,INDEX('MTRs'!$I$6:$I$505,T941)&amp;"","")</f>
        <v/>
      </c>
    </row>
    <row r="942">
      <c r="A942" s="89" t="inlineStr">
        <is>
          <t>IT-000937</t>
        </is>
      </c>
      <c r="B942" s="91" t="n"/>
      <c r="C942" s="91" t="n"/>
      <c r="D942" s="94" t="str">
        <f>IF(OR(R942=0,V942=0),"",INDEX('CAD_RESÍDUOS'!$E$6:$E$205,MATCH(C942,'CAD_RESÍDUOS'!$B$6:$B$205,0))&amp;"")</f>
        <v/>
      </c>
      <c r="E942" s="94" t="str">
        <f>IF(OR(R942=0,V942=0),"",INDEX('CAD_RESÍDUOS'!$C$6:$C$205,MATCH(C942,'CAD_RESÍDUOS'!$B$6:$B$205,0))&amp;"")</f>
        <v/>
      </c>
      <c r="F942" s="94" t="str">
        <f>IF(OR(R942=0,V942=0),"",INDEX('CAD_RESÍDUOS'!$G$6:$G$205,MATCH(C942,'CAD_RESÍDUOS'!$B$6:$B$205,0))&amp;"")</f>
        <v/>
      </c>
      <c r="G942" s="98" t="n"/>
      <c r="H942" s="91" t="n"/>
      <c r="I942" s="93" t="str">
        <f>IF(R942=0,"",IF(NOT(ISNUMBER(G942)),"",IF(ISNUMBER(X942),G942*X942,"UNIDADE A CONFERIR")))</f>
        <v/>
      </c>
      <c r="J942" s="91" t="n"/>
      <c r="K942" s="91" t="n"/>
      <c r="L942" s="93" t="str">
        <f>IF(R942=0,"",SUMIFS('RECEBIMENTOS'!$H$6:$H$1005,'RECEBIMENTOS'!$R$6:$R$1005,A942,'RECEBIMENTOS'!$X$6:$X$1005,1))</f>
        <v/>
      </c>
      <c r="M942" s="93" t="str">
        <f>IF(R942=0,"",SUMIFS('VÍNCULOS_CDF'!$H$6:$H$1005,'VÍNCULOS_CDF'!$R$6:$R$1005,A942,'VÍNCULOS_CDF'!$V$6:$V$1005,1))</f>
        <v/>
      </c>
      <c r="N942" s="99" t="str">
        <f>IF(OR(R942=0,AA942=0,NOT(ISNUMBER(I942))),"",I942-N(L942))</f>
        <v/>
      </c>
      <c r="O942" s="100" t="str">
        <f>IF(OR(R942=0,AK942&lt;=0),"",N(M942)/AK942)</f>
        <v/>
      </c>
      <c r="P942" s="94" t="str">
        <f>IF(R942=0,"",IF(S942="","Sem MTR associado",IF(U942=0,"MTR inexistente",IF(C942="","Resíduo não identificado",IF(V942=0,"Resíduo fora do cadastro",IF(W942=0,"Quantidade inválida",IF(H942="","Unidade não informada",IF(NOT(ISNUMBER(I942)),"Unidade a conferir",IF(AND(AH942=1,K942&lt;&gt;"Sim"),"Possível duplicidade",IF(Z942=1,"MTR cancelado",IF(AC942&gt;0,"Recebimento com alerta",IF(AA942=0,"Aguardando recebimento",IF(AB942&lt;AA942,"Recebimento a conferir",IF(AM942=1,"Quantidade a revisar",IF(AF942&gt;0,"Vínculo a revisar",IF(AD942=0,"Aguardando CDF",IF(AN942=0,"Vínculo de CDF parcial",IF(AE942&lt;AD942,"CDF a conferir","Documentação conferida"))))))))))))))))))</f>
        <v/>
      </c>
      <c r="Q942" s="93" t="str">
        <f>IF(OR(R942=0,AA942=0),"",MAX(0,N(L942)-N(M942)))</f>
        <v/>
      </c>
      <c r="R942" s="96">
        <f>IF(COUNTA(B942:C942,G942:H942,J942:K942)&gt;0,1,0)</f>
        <v>0</v>
      </c>
      <c r="S942" s="96" t="str">
        <f>IF(B942="","",TRIM(LEFT(B942,FIND(" |",B942&amp;" |")-1)))</f>
        <v/>
      </c>
      <c r="T942" s="96" t="str">
        <f>IF(S942="","",IFERROR(MATCH(S942,'MTRs'!$A$6:$A$505,0),""))</f>
        <v/>
      </c>
      <c r="U942" s="96">
        <f>IF(T942="",0,IF(INDEX('MTRs'!$Z$6:$Z$505,T942)=1,1,0))</f>
        <v>0</v>
      </c>
      <c r="V942" s="96">
        <f>IF(C942="",0,IF(ISNUMBER(MATCH(C942,'CAD_RESÍDUOS'!$B$6:$B$205,0)),1,0))</f>
        <v>0</v>
      </c>
      <c r="W942" s="96">
        <f>IF(AND(ISNUMBER(G942),G942&gt;0),1,0)</f>
        <v>0</v>
      </c>
      <c r="X942" s="96" t="str">
        <f>IF(H942="","",IFERROR(IF(ISNUMBER(INDEX(cfg_fac,MATCH(H942,cfg_units,0))),IF(INDEX(cfg_fac,MATCH(H942,cfg_units,0))&gt;0,INDEX(cfg_fac,MATCH(H942,cfg_units,0)),""),""),""))</f>
        <v/>
      </c>
      <c r="Y942" s="96">
        <f>IF(AND(W942=1,ISNUMBER(I942)),1,0)</f>
        <v>0</v>
      </c>
      <c r="Z942" s="96">
        <f>IF(U942=1,INDEX('MTRs'!$AA$6:$AA$505,T942),0)</f>
        <v>0</v>
      </c>
      <c r="AA942" s="96">
        <f>IF(R942=0,0,COUNTIFS('RECEBIMENTOS'!$R$6:$R$1005,A942,'RECEBIMENTOS'!$Q$6:$Q$1005,1))</f>
        <v>0</v>
      </c>
      <c r="AB942" s="96">
        <f>IF(R942=0,0,COUNTIFS('RECEBIMENTOS'!$R$6:$R$1005,A942,'RECEBIMENTOS'!$Z$6:$Z$1005,1))</f>
        <v>0</v>
      </c>
      <c r="AC942" s="96">
        <f>IF(R942=0,0,COUNTIFS('RECEBIMENTOS'!$R$6:$R$1005,A942,'RECEBIMENTOS'!$Y$6:$Y$1005,1))</f>
        <v>0</v>
      </c>
      <c r="AD942" s="96">
        <f>IF(R942=0,0,COUNTIFS('VÍNCULOS_CDF'!$R$6:$R$1005,A942,'VÍNCULOS_CDF'!$N$6:$N$1005,1))</f>
        <v>0</v>
      </c>
      <c r="AE942" s="96">
        <f>IF(R942=0,0,COUNTIFS('VÍNCULOS_CDF'!$R$6:$R$1005,A942,'VÍNCULOS_CDF'!$AA$6:$AA$1005,1))</f>
        <v>0</v>
      </c>
      <c r="AF942" s="96">
        <f>IF(R942=0,0,COUNTIFS('VÍNCULOS_CDF'!$R$6:$R$1005,A942,'VÍNCULOS_CDF'!$Y$6:$Y$1005,1))</f>
        <v>0</v>
      </c>
      <c r="AG942" s="96" t="str">
        <f>IF(AND(R942=1,S942&lt;&gt;"",C942&lt;&gt;""),S942&amp;"|"&amp;C942&amp;"|"&amp;G942&amp;"|"&amp;H942,"")</f>
        <v/>
      </c>
      <c r="AH942" s="96">
        <f>IF(AG942="",0,IF(SUMPRODUCT(--($AG$6:$AG$1005=AG942))&gt;1,1,0))</f>
        <v>0</v>
      </c>
      <c r="AI942" s="96">
        <f>IF(R942=0,0,IF(OR(U942=0,V942=0,Y942=0,AND(AH942=1,K942&lt;&gt;"Sim")),1,0))</f>
        <v>0</v>
      </c>
      <c r="AJ942" s="96">
        <f>IF(AND(R942=1,AA942&gt;0,AB942=AA942),1,0)</f>
        <v>0</v>
      </c>
      <c r="AK942" s="96">
        <f>IF(R942=0,0,IF(AA942&gt;0,N(L942),IF(ISNUMBER(I942),I942,0)))</f>
        <v>0</v>
      </c>
      <c r="AL942" s="96">
        <f>IF(R942=0,0,IF(AND(K942&lt;&gt;"Sim",N(M942)&gt;AK942+cfg_tol),1,0))</f>
        <v>0</v>
      </c>
      <c r="AM942" s="96">
        <f>IF(R942=0,0,IF(K942="Sim",0,IF(OR(AND(AA942&gt;0,ISNUMBER(I942),ABS(I942-N(L942))&gt;cfg_tol),AL942=1),1,0)))</f>
        <v>0</v>
      </c>
      <c r="AN942" s="96">
        <f>IF(AND(R942=1,N(M942)&gt;0,OR(N(M942)&gt;=AK942-cfg_tol,K942="Sim")),1,0)</f>
        <v>0</v>
      </c>
      <c r="AO942" s="96">
        <f>IF(AND(AN942=1,AD942&gt;0,AE942=AD942,AL942=0),1,0)</f>
        <v>0</v>
      </c>
      <c r="AP942" s="96">
        <f>IF(U942=0,0,IF(AND(INDEX('MTRs'!$AX$6:$AX$505,T942)=1,Z942=0,OR(f_res="",f_res="(Todos)",C942=f_res)),1,0))</f>
        <v>0</v>
      </c>
      <c r="AQ942" s="97" t="str">
        <f>IF(U942=0,"",INDEX('MTRs'!$AZ$6:$AZ$505,T942))</f>
        <v/>
      </c>
      <c r="AR942" s="96">
        <f>IF(U942=0,0,IF(AND(INDEX('MTRs'!$BA$6:$BA$505,T942)=1,Z942=0),1,0))</f>
        <v>0</v>
      </c>
      <c r="AS942" s="96" t="str">
        <f>IF(R942=1,A942&amp;" | MTR "&amp;IF(U942=1,INDEX('MTRs'!$B$6:$B$505,T942)&amp;"","?")&amp;" | "&amp;IF(C942="","(sem resíduo)",C942),"")</f>
        <v/>
      </c>
      <c r="AT942" s="96" t="str">
        <f>IF(R942=1,COUNTIF($R$6:R942,1),"")</f>
        <v/>
      </c>
      <c r="AU942" s="96" t="str">
        <f>IF(U942=1,INDEX('MTRs'!$I$6:$I$505,T942)&amp;"","")</f>
        <v/>
      </c>
    </row>
    <row r="943">
      <c r="A943" s="89" t="inlineStr">
        <is>
          <t>IT-000938</t>
        </is>
      </c>
      <c r="B943" s="91" t="n"/>
      <c r="C943" s="91" t="n"/>
      <c r="D943" s="94" t="str">
        <f>IF(OR(R943=0,V943=0),"",INDEX('CAD_RESÍDUOS'!$E$6:$E$205,MATCH(C943,'CAD_RESÍDUOS'!$B$6:$B$205,0))&amp;"")</f>
        <v/>
      </c>
      <c r="E943" s="94" t="str">
        <f>IF(OR(R943=0,V943=0),"",INDEX('CAD_RESÍDUOS'!$C$6:$C$205,MATCH(C943,'CAD_RESÍDUOS'!$B$6:$B$205,0))&amp;"")</f>
        <v/>
      </c>
      <c r="F943" s="94" t="str">
        <f>IF(OR(R943=0,V943=0),"",INDEX('CAD_RESÍDUOS'!$G$6:$G$205,MATCH(C943,'CAD_RESÍDUOS'!$B$6:$B$205,0))&amp;"")</f>
        <v/>
      </c>
      <c r="G943" s="98" t="n"/>
      <c r="H943" s="91" t="n"/>
      <c r="I943" s="93" t="str">
        <f>IF(R943=0,"",IF(NOT(ISNUMBER(G943)),"",IF(ISNUMBER(X943),G943*X943,"UNIDADE A CONFERIR")))</f>
        <v/>
      </c>
      <c r="J943" s="91" t="n"/>
      <c r="K943" s="91" t="n"/>
      <c r="L943" s="93" t="str">
        <f>IF(R943=0,"",SUMIFS('RECEBIMENTOS'!$H$6:$H$1005,'RECEBIMENTOS'!$R$6:$R$1005,A943,'RECEBIMENTOS'!$X$6:$X$1005,1))</f>
        <v/>
      </c>
      <c r="M943" s="93" t="str">
        <f>IF(R943=0,"",SUMIFS('VÍNCULOS_CDF'!$H$6:$H$1005,'VÍNCULOS_CDF'!$R$6:$R$1005,A943,'VÍNCULOS_CDF'!$V$6:$V$1005,1))</f>
        <v/>
      </c>
      <c r="N943" s="99" t="str">
        <f>IF(OR(R943=0,AA943=0,NOT(ISNUMBER(I943))),"",I943-N(L943))</f>
        <v/>
      </c>
      <c r="O943" s="100" t="str">
        <f>IF(OR(R943=0,AK943&lt;=0),"",N(M943)/AK943)</f>
        <v/>
      </c>
      <c r="P943" s="94" t="str">
        <f>IF(R943=0,"",IF(S943="","Sem MTR associado",IF(U943=0,"MTR inexistente",IF(C943="","Resíduo não identificado",IF(V943=0,"Resíduo fora do cadastro",IF(W943=0,"Quantidade inválida",IF(H943="","Unidade não informada",IF(NOT(ISNUMBER(I943)),"Unidade a conferir",IF(AND(AH943=1,K943&lt;&gt;"Sim"),"Possível duplicidade",IF(Z943=1,"MTR cancelado",IF(AC943&gt;0,"Recebimento com alerta",IF(AA943=0,"Aguardando recebimento",IF(AB943&lt;AA943,"Recebimento a conferir",IF(AM943=1,"Quantidade a revisar",IF(AF943&gt;0,"Vínculo a revisar",IF(AD943=0,"Aguardando CDF",IF(AN943=0,"Vínculo de CDF parcial",IF(AE943&lt;AD943,"CDF a conferir","Documentação conferida"))))))))))))))))))</f>
        <v/>
      </c>
      <c r="Q943" s="93" t="str">
        <f>IF(OR(R943=0,AA943=0),"",MAX(0,N(L943)-N(M943)))</f>
        <v/>
      </c>
      <c r="R943" s="96">
        <f>IF(COUNTA(B943:C943,G943:H943,J943:K943)&gt;0,1,0)</f>
        <v>0</v>
      </c>
      <c r="S943" s="96" t="str">
        <f>IF(B943="","",TRIM(LEFT(B943,FIND(" |",B943&amp;" |")-1)))</f>
        <v/>
      </c>
      <c r="T943" s="96" t="str">
        <f>IF(S943="","",IFERROR(MATCH(S943,'MTRs'!$A$6:$A$505,0),""))</f>
        <v/>
      </c>
      <c r="U943" s="96">
        <f>IF(T943="",0,IF(INDEX('MTRs'!$Z$6:$Z$505,T943)=1,1,0))</f>
        <v>0</v>
      </c>
      <c r="V943" s="96">
        <f>IF(C943="",0,IF(ISNUMBER(MATCH(C943,'CAD_RESÍDUOS'!$B$6:$B$205,0)),1,0))</f>
        <v>0</v>
      </c>
      <c r="W943" s="96">
        <f>IF(AND(ISNUMBER(G943),G943&gt;0),1,0)</f>
        <v>0</v>
      </c>
      <c r="X943" s="96" t="str">
        <f>IF(H943="","",IFERROR(IF(ISNUMBER(INDEX(cfg_fac,MATCH(H943,cfg_units,0))),IF(INDEX(cfg_fac,MATCH(H943,cfg_units,0))&gt;0,INDEX(cfg_fac,MATCH(H943,cfg_units,0)),""),""),""))</f>
        <v/>
      </c>
      <c r="Y943" s="96">
        <f>IF(AND(W943=1,ISNUMBER(I943)),1,0)</f>
        <v>0</v>
      </c>
      <c r="Z943" s="96">
        <f>IF(U943=1,INDEX('MTRs'!$AA$6:$AA$505,T943),0)</f>
        <v>0</v>
      </c>
      <c r="AA943" s="96">
        <f>IF(R943=0,0,COUNTIFS('RECEBIMENTOS'!$R$6:$R$1005,A943,'RECEBIMENTOS'!$Q$6:$Q$1005,1))</f>
        <v>0</v>
      </c>
      <c r="AB943" s="96">
        <f>IF(R943=0,0,COUNTIFS('RECEBIMENTOS'!$R$6:$R$1005,A943,'RECEBIMENTOS'!$Z$6:$Z$1005,1))</f>
        <v>0</v>
      </c>
      <c r="AC943" s="96">
        <f>IF(R943=0,0,COUNTIFS('RECEBIMENTOS'!$R$6:$R$1005,A943,'RECEBIMENTOS'!$Y$6:$Y$1005,1))</f>
        <v>0</v>
      </c>
      <c r="AD943" s="96">
        <f>IF(R943=0,0,COUNTIFS('VÍNCULOS_CDF'!$R$6:$R$1005,A943,'VÍNCULOS_CDF'!$N$6:$N$1005,1))</f>
        <v>0</v>
      </c>
      <c r="AE943" s="96">
        <f>IF(R943=0,0,COUNTIFS('VÍNCULOS_CDF'!$R$6:$R$1005,A943,'VÍNCULOS_CDF'!$AA$6:$AA$1005,1))</f>
        <v>0</v>
      </c>
      <c r="AF943" s="96">
        <f>IF(R943=0,0,COUNTIFS('VÍNCULOS_CDF'!$R$6:$R$1005,A943,'VÍNCULOS_CDF'!$Y$6:$Y$1005,1))</f>
        <v>0</v>
      </c>
      <c r="AG943" s="96" t="str">
        <f>IF(AND(R943=1,S943&lt;&gt;"",C943&lt;&gt;""),S943&amp;"|"&amp;C943&amp;"|"&amp;G943&amp;"|"&amp;H943,"")</f>
        <v/>
      </c>
      <c r="AH943" s="96">
        <f>IF(AG943="",0,IF(SUMPRODUCT(--($AG$6:$AG$1005=AG943))&gt;1,1,0))</f>
        <v>0</v>
      </c>
      <c r="AI943" s="96">
        <f>IF(R943=0,0,IF(OR(U943=0,V943=0,Y943=0,AND(AH943=1,K943&lt;&gt;"Sim")),1,0))</f>
        <v>0</v>
      </c>
      <c r="AJ943" s="96">
        <f>IF(AND(R943=1,AA943&gt;0,AB943=AA943),1,0)</f>
        <v>0</v>
      </c>
      <c r="AK943" s="96">
        <f>IF(R943=0,0,IF(AA943&gt;0,N(L943),IF(ISNUMBER(I943),I943,0)))</f>
        <v>0</v>
      </c>
      <c r="AL943" s="96">
        <f>IF(R943=0,0,IF(AND(K943&lt;&gt;"Sim",N(M943)&gt;AK943+cfg_tol),1,0))</f>
        <v>0</v>
      </c>
      <c r="AM943" s="96">
        <f>IF(R943=0,0,IF(K943="Sim",0,IF(OR(AND(AA943&gt;0,ISNUMBER(I943),ABS(I943-N(L943))&gt;cfg_tol),AL943=1),1,0)))</f>
        <v>0</v>
      </c>
      <c r="AN943" s="96">
        <f>IF(AND(R943=1,N(M943)&gt;0,OR(N(M943)&gt;=AK943-cfg_tol,K943="Sim")),1,0)</f>
        <v>0</v>
      </c>
      <c r="AO943" s="96">
        <f>IF(AND(AN943=1,AD943&gt;0,AE943=AD943,AL943=0),1,0)</f>
        <v>0</v>
      </c>
      <c r="AP943" s="96">
        <f>IF(U943=0,0,IF(AND(INDEX('MTRs'!$AX$6:$AX$505,T943)=1,Z943=0,OR(f_res="",f_res="(Todos)",C943=f_res)),1,0))</f>
        <v>0</v>
      </c>
      <c r="AQ943" s="97" t="str">
        <f>IF(U943=0,"",INDEX('MTRs'!$AZ$6:$AZ$505,T943))</f>
        <v/>
      </c>
      <c r="AR943" s="96">
        <f>IF(U943=0,0,IF(AND(INDEX('MTRs'!$BA$6:$BA$505,T943)=1,Z943=0),1,0))</f>
        <v>0</v>
      </c>
      <c r="AS943" s="96" t="str">
        <f>IF(R943=1,A943&amp;" | MTR "&amp;IF(U943=1,INDEX('MTRs'!$B$6:$B$505,T943)&amp;"","?")&amp;" | "&amp;IF(C943="","(sem resíduo)",C943),"")</f>
        <v/>
      </c>
      <c r="AT943" s="96" t="str">
        <f>IF(R943=1,COUNTIF($R$6:R943,1),"")</f>
        <v/>
      </c>
      <c r="AU943" s="96" t="str">
        <f>IF(U943=1,INDEX('MTRs'!$I$6:$I$505,T943)&amp;"","")</f>
        <v/>
      </c>
    </row>
    <row r="944">
      <c r="A944" s="89" t="inlineStr">
        <is>
          <t>IT-000939</t>
        </is>
      </c>
      <c r="B944" s="91" t="n"/>
      <c r="C944" s="91" t="n"/>
      <c r="D944" s="94" t="str">
        <f>IF(OR(R944=0,V944=0),"",INDEX('CAD_RESÍDUOS'!$E$6:$E$205,MATCH(C944,'CAD_RESÍDUOS'!$B$6:$B$205,0))&amp;"")</f>
        <v/>
      </c>
      <c r="E944" s="94" t="str">
        <f>IF(OR(R944=0,V944=0),"",INDEX('CAD_RESÍDUOS'!$C$6:$C$205,MATCH(C944,'CAD_RESÍDUOS'!$B$6:$B$205,0))&amp;"")</f>
        <v/>
      </c>
      <c r="F944" s="94" t="str">
        <f>IF(OR(R944=0,V944=0),"",INDEX('CAD_RESÍDUOS'!$G$6:$G$205,MATCH(C944,'CAD_RESÍDUOS'!$B$6:$B$205,0))&amp;"")</f>
        <v/>
      </c>
      <c r="G944" s="98" t="n"/>
      <c r="H944" s="91" t="n"/>
      <c r="I944" s="93" t="str">
        <f>IF(R944=0,"",IF(NOT(ISNUMBER(G944)),"",IF(ISNUMBER(X944),G944*X944,"UNIDADE A CONFERIR")))</f>
        <v/>
      </c>
      <c r="J944" s="91" t="n"/>
      <c r="K944" s="91" t="n"/>
      <c r="L944" s="93" t="str">
        <f>IF(R944=0,"",SUMIFS('RECEBIMENTOS'!$H$6:$H$1005,'RECEBIMENTOS'!$R$6:$R$1005,A944,'RECEBIMENTOS'!$X$6:$X$1005,1))</f>
        <v/>
      </c>
      <c r="M944" s="93" t="str">
        <f>IF(R944=0,"",SUMIFS('VÍNCULOS_CDF'!$H$6:$H$1005,'VÍNCULOS_CDF'!$R$6:$R$1005,A944,'VÍNCULOS_CDF'!$V$6:$V$1005,1))</f>
        <v/>
      </c>
      <c r="N944" s="99" t="str">
        <f>IF(OR(R944=0,AA944=0,NOT(ISNUMBER(I944))),"",I944-N(L944))</f>
        <v/>
      </c>
      <c r="O944" s="100" t="str">
        <f>IF(OR(R944=0,AK944&lt;=0),"",N(M944)/AK944)</f>
        <v/>
      </c>
      <c r="P944" s="94" t="str">
        <f>IF(R944=0,"",IF(S944="","Sem MTR associado",IF(U944=0,"MTR inexistente",IF(C944="","Resíduo não identificado",IF(V944=0,"Resíduo fora do cadastro",IF(W944=0,"Quantidade inválida",IF(H944="","Unidade não informada",IF(NOT(ISNUMBER(I944)),"Unidade a conferir",IF(AND(AH944=1,K944&lt;&gt;"Sim"),"Possível duplicidade",IF(Z944=1,"MTR cancelado",IF(AC944&gt;0,"Recebimento com alerta",IF(AA944=0,"Aguardando recebimento",IF(AB944&lt;AA944,"Recebimento a conferir",IF(AM944=1,"Quantidade a revisar",IF(AF944&gt;0,"Vínculo a revisar",IF(AD944=0,"Aguardando CDF",IF(AN944=0,"Vínculo de CDF parcial",IF(AE944&lt;AD944,"CDF a conferir","Documentação conferida"))))))))))))))))))</f>
        <v/>
      </c>
      <c r="Q944" s="93" t="str">
        <f>IF(OR(R944=0,AA944=0),"",MAX(0,N(L944)-N(M944)))</f>
        <v/>
      </c>
      <c r="R944" s="96">
        <f>IF(COUNTA(B944:C944,G944:H944,J944:K944)&gt;0,1,0)</f>
        <v>0</v>
      </c>
      <c r="S944" s="96" t="str">
        <f>IF(B944="","",TRIM(LEFT(B944,FIND(" |",B944&amp;" |")-1)))</f>
        <v/>
      </c>
      <c r="T944" s="96" t="str">
        <f>IF(S944="","",IFERROR(MATCH(S944,'MTRs'!$A$6:$A$505,0),""))</f>
        <v/>
      </c>
      <c r="U944" s="96">
        <f>IF(T944="",0,IF(INDEX('MTRs'!$Z$6:$Z$505,T944)=1,1,0))</f>
        <v>0</v>
      </c>
      <c r="V944" s="96">
        <f>IF(C944="",0,IF(ISNUMBER(MATCH(C944,'CAD_RESÍDUOS'!$B$6:$B$205,0)),1,0))</f>
        <v>0</v>
      </c>
      <c r="W944" s="96">
        <f>IF(AND(ISNUMBER(G944),G944&gt;0),1,0)</f>
        <v>0</v>
      </c>
      <c r="X944" s="96" t="str">
        <f>IF(H944="","",IFERROR(IF(ISNUMBER(INDEX(cfg_fac,MATCH(H944,cfg_units,0))),IF(INDEX(cfg_fac,MATCH(H944,cfg_units,0))&gt;0,INDEX(cfg_fac,MATCH(H944,cfg_units,0)),""),""),""))</f>
        <v/>
      </c>
      <c r="Y944" s="96">
        <f>IF(AND(W944=1,ISNUMBER(I944)),1,0)</f>
        <v>0</v>
      </c>
      <c r="Z944" s="96">
        <f>IF(U944=1,INDEX('MTRs'!$AA$6:$AA$505,T944),0)</f>
        <v>0</v>
      </c>
      <c r="AA944" s="96">
        <f>IF(R944=0,0,COUNTIFS('RECEBIMENTOS'!$R$6:$R$1005,A944,'RECEBIMENTOS'!$Q$6:$Q$1005,1))</f>
        <v>0</v>
      </c>
      <c r="AB944" s="96">
        <f>IF(R944=0,0,COUNTIFS('RECEBIMENTOS'!$R$6:$R$1005,A944,'RECEBIMENTOS'!$Z$6:$Z$1005,1))</f>
        <v>0</v>
      </c>
      <c r="AC944" s="96">
        <f>IF(R944=0,0,COUNTIFS('RECEBIMENTOS'!$R$6:$R$1005,A944,'RECEBIMENTOS'!$Y$6:$Y$1005,1))</f>
        <v>0</v>
      </c>
      <c r="AD944" s="96">
        <f>IF(R944=0,0,COUNTIFS('VÍNCULOS_CDF'!$R$6:$R$1005,A944,'VÍNCULOS_CDF'!$N$6:$N$1005,1))</f>
        <v>0</v>
      </c>
      <c r="AE944" s="96">
        <f>IF(R944=0,0,COUNTIFS('VÍNCULOS_CDF'!$R$6:$R$1005,A944,'VÍNCULOS_CDF'!$AA$6:$AA$1005,1))</f>
        <v>0</v>
      </c>
      <c r="AF944" s="96">
        <f>IF(R944=0,0,COUNTIFS('VÍNCULOS_CDF'!$R$6:$R$1005,A944,'VÍNCULOS_CDF'!$Y$6:$Y$1005,1))</f>
        <v>0</v>
      </c>
      <c r="AG944" s="96" t="str">
        <f>IF(AND(R944=1,S944&lt;&gt;"",C944&lt;&gt;""),S944&amp;"|"&amp;C944&amp;"|"&amp;G944&amp;"|"&amp;H944,"")</f>
        <v/>
      </c>
      <c r="AH944" s="96">
        <f>IF(AG944="",0,IF(SUMPRODUCT(--($AG$6:$AG$1005=AG944))&gt;1,1,0))</f>
        <v>0</v>
      </c>
      <c r="AI944" s="96">
        <f>IF(R944=0,0,IF(OR(U944=0,V944=0,Y944=0,AND(AH944=1,K944&lt;&gt;"Sim")),1,0))</f>
        <v>0</v>
      </c>
      <c r="AJ944" s="96">
        <f>IF(AND(R944=1,AA944&gt;0,AB944=AA944),1,0)</f>
        <v>0</v>
      </c>
      <c r="AK944" s="96">
        <f>IF(R944=0,0,IF(AA944&gt;0,N(L944),IF(ISNUMBER(I944),I944,0)))</f>
        <v>0</v>
      </c>
      <c r="AL944" s="96">
        <f>IF(R944=0,0,IF(AND(K944&lt;&gt;"Sim",N(M944)&gt;AK944+cfg_tol),1,0))</f>
        <v>0</v>
      </c>
      <c r="AM944" s="96">
        <f>IF(R944=0,0,IF(K944="Sim",0,IF(OR(AND(AA944&gt;0,ISNUMBER(I944),ABS(I944-N(L944))&gt;cfg_tol),AL944=1),1,0)))</f>
        <v>0</v>
      </c>
      <c r="AN944" s="96">
        <f>IF(AND(R944=1,N(M944)&gt;0,OR(N(M944)&gt;=AK944-cfg_tol,K944="Sim")),1,0)</f>
        <v>0</v>
      </c>
      <c r="AO944" s="96">
        <f>IF(AND(AN944=1,AD944&gt;0,AE944=AD944,AL944=0),1,0)</f>
        <v>0</v>
      </c>
      <c r="AP944" s="96">
        <f>IF(U944=0,0,IF(AND(INDEX('MTRs'!$AX$6:$AX$505,T944)=1,Z944=0,OR(f_res="",f_res="(Todos)",C944=f_res)),1,0))</f>
        <v>0</v>
      </c>
      <c r="AQ944" s="97" t="str">
        <f>IF(U944=0,"",INDEX('MTRs'!$AZ$6:$AZ$505,T944))</f>
        <v/>
      </c>
      <c r="AR944" s="96">
        <f>IF(U944=0,0,IF(AND(INDEX('MTRs'!$BA$6:$BA$505,T944)=1,Z944=0),1,0))</f>
        <v>0</v>
      </c>
      <c r="AS944" s="96" t="str">
        <f>IF(R944=1,A944&amp;" | MTR "&amp;IF(U944=1,INDEX('MTRs'!$B$6:$B$505,T944)&amp;"","?")&amp;" | "&amp;IF(C944="","(sem resíduo)",C944),"")</f>
        <v/>
      </c>
      <c r="AT944" s="96" t="str">
        <f>IF(R944=1,COUNTIF($R$6:R944,1),"")</f>
        <v/>
      </c>
      <c r="AU944" s="96" t="str">
        <f>IF(U944=1,INDEX('MTRs'!$I$6:$I$505,T944)&amp;"","")</f>
        <v/>
      </c>
    </row>
    <row r="945">
      <c r="A945" s="89" t="inlineStr">
        <is>
          <t>IT-000940</t>
        </is>
      </c>
      <c r="B945" s="91" t="n"/>
      <c r="C945" s="91" t="n"/>
      <c r="D945" s="94" t="str">
        <f>IF(OR(R945=0,V945=0),"",INDEX('CAD_RESÍDUOS'!$E$6:$E$205,MATCH(C945,'CAD_RESÍDUOS'!$B$6:$B$205,0))&amp;"")</f>
        <v/>
      </c>
      <c r="E945" s="94" t="str">
        <f>IF(OR(R945=0,V945=0),"",INDEX('CAD_RESÍDUOS'!$C$6:$C$205,MATCH(C945,'CAD_RESÍDUOS'!$B$6:$B$205,0))&amp;"")</f>
        <v/>
      </c>
      <c r="F945" s="94" t="str">
        <f>IF(OR(R945=0,V945=0),"",INDEX('CAD_RESÍDUOS'!$G$6:$G$205,MATCH(C945,'CAD_RESÍDUOS'!$B$6:$B$205,0))&amp;"")</f>
        <v/>
      </c>
      <c r="G945" s="98" t="n"/>
      <c r="H945" s="91" t="n"/>
      <c r="I945" s="93" t="str">
        <f>IF(R945=0,"",IF(NOT(ISNUMBER(G945)),"",IF(ISNUMBER(X945),G945*X945,"UNIDADE A CONFERIR")))</f>
        <v/>
      </c>
      <c r="J945" s="91" t="n"/>
      <c r="K945" s="91" t="n"/>
      <c r="L945" s="93" t="str">
        <f>IF(R945=0,"",SUMIFS('RECEBIMENTOS'!$H$6:$H$1005,'RECEBIMENTOS'!$R$6:$R$1005,A945,'RECEBIMENTOS'!$X$6:$X$1005,1))</f>
        <v/>
      </c>
      <c r="M945" s="93" t="str">
        <f>IF(R945=0,"",SUMIFS('VÍNCULOS_CDF'!$H$6:$H$1005,'VÍNCULOS_CDF'!$R$6:$R$1005,A945,'VÍNCULOS_CDF'!$V$6:$V$1005,1))</f>
        <v/>
      </c>
      <c r="N945" s="99" t="str">
        <f>IF(OR(R945=0,AA945=0,NOT(ISNUMBER(I945))),"",I945-N(L945))</f>
        <v/>
      </c>
      <c r="O945" s="100" t="str">
        <f>IF(OR(R945=0,AK945&lt;=0),"",N(M945)/AK945)</f>
        <v/>
      </c>
      <c r="P945" s="94" t="str">
        <f>IF(R945=0,"",IF(S945="","Sem MTR associado",IF(U945=0,"MTR inexistente",IF(C945="","Resíduo não identificado",IF(V945=0,"Resíduo fora do cadastro",IF(W945=0,"Quantidade inválida",IF(H945="","Unidade não informada",IF(NOT(ISNUMBER(I945)),"Unidade a conferir",IF(AND(AH945=1,K945&lt;&gt;"Sim"),"Possível duplicidade",IF(Z945=1,"MTR cancelado",IF(AC945&gt;0,"Recebimento com alerta",IF(AA945=0,"Aguardando recebimento",IF(AB945&lt;AA945,"Recebimento a conferir",IF(AM945=1,"Quantidade a revisar",IF(AF945&gt;0,"Vínculo a revisar",IF(AD945=0,"Aguardando CDF",IF(AN945=0,"Vínculo de CDF parcial",IF(AE945&lt;AD945,"CDF a conferir","Documentação conferida"))))))))))))))))))</f>
        <v/>
      </c>
      <c r="Q945" s="93" t="str">
        <f>IF(OR(R945=0,AA945=0),"",MAX(0,N(L945)-N(M945)))</f>
        <v/>
      </c>
      <c r="R945" s="96">
        <f>IF(COUNTA(B945:C945,G945:H945,J945:K945)&gt;0,1,0)</f>
        <v>0</v>
      </c>
      <c r="S945" s="96" t="str">
        <f>IF(B945="","",TRIM(LEFT(B945,FIND(" |",B945&amp;" |")-1)))</f>
        <v/>
      </c>
      <c r="T945" s="96" t="str">
        <f>IF(S945="","",IFERROR(MATCH(S945,'MTRs'!$A$6:$A$505,0),""))</f>
        <v/>
      </c>
      <c r="U945" s="96">
        <f>IF(T945="",0,IF(INDEX('MTRs'!$Z$6:$Z$505,T945)=1,1,0))</f>
        <v>0</v>
      </c>
      <c r="V945" s="96">
        <f>IF(C945="",0,IF(ISNUMBER(MATCH(C945,'CAD_RESÍDUOS'!$B$6:$B$205,0)),1,0))</f>
        <v>0</v>
      </c>
      <c r="W945" s="96">
        <f>IF(AND(ISNUMBER(G945),G945&gt;0),1,0)</f>
        <v>0</v>
      </c>
      <c r="X945" s="96" t="str">
        <f>IF(H945="","",IFERROR(IF(ISNUMBER(INDEX(cfg_fac,MATCH(H945,cfg_units,0))),IF(INDEX(cfg_fac,MATCH(H945,cfg_units,0))&gt;0,INDEX(cfg_fac,MATCH(H945,cfg_units,0)),""),""),""))</f>
        <v/>
      </c>
      <c r="Y945" s="96">
        <f>IF(AND(W945=1,ISNUMBER(I945)),1,0)</f>
        <v>0</v>
      </c>
      <c r="Z945" s="96">
        <f>IF(U945=1,INDEX('MTRs'!$AA$6:$AA$505,T945),0)</f>
        <v>0</v>
      </c>
      <c r="AA945" s="96">
        <f>IF(R945=0,0,COUNTIFS('RECEBIMENTOS'!$R$6:$R$1005,A945,'RECEBIMENTOS'!$Q$6:$Q$1005,1))</f>
        <v>0</v>
      </c>
      <c r="AB945" s="96">
        <f>IF(R945=0,0,COUNTIFS('RECEBIMENTOS'!$R$6:$R$1005,A945,'RECEBIMENTOS'!$Z$6:$Z$1005,1))</f>
        <v>0</v>
      </c>
      <c r="AC945" s="96">
        <f>IF(R945=0,0,COUNTIFS('RECEBIMENTOS'!$R$6:$R$1005,A945,'RECEBIMENTOS'!$Y$6:$Y$1005,1))</f>
        <v>0</v>
      </c>
      <c r="AD945" s="96">
        <f>IF(R945=0,0,COUNTIFS('VÍNCULOS_CDF'!$R$6:$R$1005,A945,'VÍNCULOS_CDF'!$N$6:$N$1005,1))</f>
        <v>0</v>
      </c>
      <c r="AE945" s="96">
        <f>IF(R945=0,0,COUNTIFS('VÍNCULOS_CDF'!$R$6:$R$1005,A945,'VÍNCULOS_CDF'!$AA$6:$AA$1005,1))</f>
        <v>0</v>
      </c>
      <c r="AF945" s="96">
        <f>IF(R945=0,0,COUNTIFS('VÍNCULOS_CDF'!$R$6:$R$1005,A945,'VÍNCULOS_CDF'!$Y$6:$Y$1005,1))</f>
        <v>0</v>
      </c>
      <c r="AG945" s="96" t="str">
        <f>IF(AND(R945=1,S945&lt;&gt;"",C945&lt;&gt;""),S945&amp;"|"&amp;C945&amp;"|"&amp;G945&amp;"|"&amp;H945,"")</f>
        <v/>
      </c>
      <c r="AH945" s="96">
        <f>IF(AG945="",0,IF(SUMPRODUCT(--($AG$6:$AG$1005=AG945))&gt;1,1,0))</f>
        <v>0</v>
      </c>
      <c r="AI945" s="96">
        <f>IF(R945=0,0,IF(OR(U945=0,V945=0,Y945=0,AND(AH945=1,K945&lt;&gt;"Sim")),1,0))</f>
        <v>0</v>
      </c>
      <c r="AJ945" s="96">
        <f>IF(AND(R945=1,AA945&gt;0,AB945=AA945),1,0)</f>
        <v>0</v>
      </c>
      <c r="AK945" s="96">
        <f>IF(R945=0,0,IF(AA945&gt;0,N(L945),IF(ISNUMBER(I945),I945,0)))</f>
        <v>0</v>
      </c>
      <c r="AL945" s="96">
        <f>IF(R945=0,0,IF(AND(K945&lt;&gt;"Sim",N(M945)&gt;AK945+cfg_tol),1,0))</f>
        <v>0</v>
      </c>
      <c r="AM945" s="96">
        <f>IF(R945=0,0,IF(K945="Sim",0,IF(OR(AND(AA945&gt;0,ISNUMBER(I945),ABS(I945-N(L945))&gt;cfg_tol),AL945=1),1,0)))</f>
        <v>0</v>
      </c>
      <c r="AN945" s="96">
        <f>IF(AND(R945=1,N(M945)&gt;0,OR(N(M945)&gt;=AK945-cfg_tol,K945="Sim")),1,0)</f>
        <v>0</v>
      </c>
      <c r="AO945" s="96">
        <f>IF(AND(AN945=1,AD945&gt;0,AE945=AD945,AL945=0),1,0)</f>
        <v>0</v>
      </c>
      <c r="AP945" s="96">
        <f>IF(U945=0,0,IF(AND(INDEX('MTRs'!$AX$6:$AX$505,T945)=1,Z945=0,OR(f_res="",f_res="(Todos)",C945=f_res)),1,0))</f>
        <v>0</v>
      </c>
      <c r="AQ945" s="97" t="str">
        <f>IF(U945=0,"",INDEX('MTRs'!$AZ$6:$AZ$505,T945))</f>
        <v/>
      </c>
      <c r="AR945" s="96">
        <f>IF(U945=0,0,IF(AND(INDEX('MTRs'!$BA$6:$BA$505,T945)=1,Z945=0),1,0))</f>
        <v>0</v>
      </c>
      <c r="AS945" s="96" t="str">
        <f>IF(R945=1,A945&amp;" | MTR "&amp;IF(U945=1,INDEX('MTRs'!$B$6:$B$505,T945)&amp;"","?")&amp;" | "&amp;IF(C945="","(sem resíduo)",C945),"")</f>
        <v/>
      </c>
      <c r="AT945" s="96" t="str">
        <f>IF(R945=1,COUNTIF($R$6:R945,1),"")</f>
        <v/>
      </c>
      <c r="AU945" s="96" t="str">
        <f>IF(U945=1,INDEX('MTRs'!$I$6:$I$505,T945)&amp;"","")</f>
        <v/>
      </c>
    </row>
    <row r="946">
      <c r="A946" s="89" t="inlineStr">
        <is>
          <t>IT-000941</t>
        </is>
      </c>
      <c r="B946" s="91" t="n"/>
      <c r="C946" s="91" t="n"/>
      <c r="D946" s="94" t="str">
        <f>IF(OR(R946=0,V946=0),"",INDEX('CAD_RESÍDUOS'!$E$6:$E$205,MATCH(C946,'CAD_RESÍDUOS'!$B$6:$B$205,0))&amp;"")</f>
        <v/>
      </c>
      <c r="E946" s="94" t="str">
        <f>IF(OR(R946=0,V946=0),"",INDEX('CAD_RESÍDUOS'!$C$6:$C$205,MATCH(C946,'CAD_RESÍDUOS'!$B$6:$B$205,0))&amp;"")</f>
        <v/>
      </c>
      <c r="F946" s="94" t="str">
        <f>IF(OR(R946=0,V946=0),"",INDEX('CAD_RESÍDUOS'!$G$6:$G$205,MATCH(C946,'CAD_RESÍDUOS'!$B$6:$B$205,0))&amp;"")</f>
        <v/>
      </c>
      <c r="G946" s="98" t="n"/>
      <c r="H946" s="91" t="n"/>
      <c r="I946" s="93" t="str">
        <f>IF(R946=0,"",IF(NOT(ISNUMBER(G946)),"",IF(ISNUMBER(X946),G946*X946,"UNIDADE A CONFERIR")))</f>
        <v/>
      </c>
      <c r="J946" s="91" t="n"/>
      <c r="K946" s="91" t="n"/>
      <c r="L946" s="93" t="str">
        <f>IF(R946=0,"",SUMIFS('RECEBIMENTOS'!$H$6:$H$1005,'RECEBIMENTOS'!$R$6:$R$1005,A946,'RECEBIMENTOS'!$X$6:$X$1005,1))</f>
        <v/>
      </c>
      <c r="M946" s="93" t="str">
        <f>IF(R946=0,"",SUMIFS('VÍNCULOS_CDF'!$H$6:$H$1005,'VÍNCULOS_CDF'!$R$6:$R$1005,A946,'VÍNCULOS_CDF'!$V$6:$V$1005,1))</f>
        <v/>
      </c>
      <c r="N946" s="99" t="str">
        <f>IF(OR(R946=0,AA946=0,NOT(ISNUMBER(I946))),"",I946-N(L946))</f>
        <v/>
      </c>
      <c r="O946" s="100" t="str">
        <f>IF(OR(R946=0,AK946&lt;=0),"",N(M946)/AK946)</f>
        <v/>
      </c>
      <c r="P946" s="94" t="str">
        <f>IF(R946=0,"",IF(S946="","Sem MTR associado",IF(U946=0,"MTR inexistente",IF(C946="","Resíduo não identificado",IF(V946=0,"Resíduo fora do cadastro",IF(W946=0,"Quantidade inválida",IF(H946="","Unidade não informada",IF(NOT(ISNUMBER(I946)),"Unidade a conferir",IF(AND(AH946=1,K946&lt;&gt;"Sim"),"Possível duplicidade",IF(Z946=1,"MTR cancelado",IF(AC946&gt;0,"Recebimento com alerta",IF(AA946=0,"Aguardando recebimento",IF(AB946&lt;AA946,"Recebimento a conferir",IF(AM946=1,"Quantidade a revisar",IF(AF946&gt;0,"Vínculo a revisar",IF(AD946=0,"Aguardando CDF",IF(AN946=0,"Vínculo de CDF parcial",IF(AE946&lt;AD946,"CDF a conferir","Documentação conferida"))))))))))))))))))</f>
        <v/>
      </c>
      <c r="Q946" s="93" t="str">
        <f>IF(OR(R946=0,AA946=0),"",MAX(0,N(L946)-N(M946)))</f>
        <v/>
      </c>
      <c r="R946" s="96">
        <f>IF(COUNTA(B946:C946,G946:H946,J946:K946)&gt;0,1,0)</f>
        <v>0</v>
      </c>
      <c r="S946" s="96" t="str">
        <f>IF(B946="","",TRIM(LEFT(B946,FIND(" |",B946&amp;" |")-1)))</f>
        <v/>
      </c>
      <c r="T946" s="96" t="str">
        <f>IF(S946="","",IFERROR(MATCH(S946,'MTRs'!$A$6:$A$505,0),""))</f>
        <v/>
      </c>
      <c r="U946" s="96">
        <f>IF(T946="",0,IF(INDEX('MTRs'!$Z$6:$Z$505,T946)=1,1,0))</f>
        <v>0</v>
      </c>
      <c r="V946" s="96">
        <f>IF(C946="",0,IF(ISNUMBER(MATCH(C946,'CAD_RESÍDUOS'!$B$6:$B$205,0)),1,0))</f>
        <v>0</v>
      </c>
      <c r="W946" s="96">
        <f>IF(AND(ISNUMBER(G946),G946&gt;0),1,0)</f>
        <v>0</v>
      </c>
      <c r="X946" s="96" t="str">
        <f>IF(H946="","",IFERROR(IF(ISNUMBER(INDEX(cfg_fac,MATCH(H946,cfg_units,0))),IF(INDEX(cfg_fac,MATCH(H946,cfg_units,0))&gt;0,INDEX(cfg_fac,MATCH(H946,cfg_units,0)),""),""),""))</f>
        <v/>
      </c>
      <c r="Y946" s="96">
        <f>IF(AND(W946=1,ISNUMBER(I946)),1,0)</f>
        <v>0</v>
      </c>
      <c r="Z946" s="96">
        <f>IF(U946=1,INDEX('MTRs'!$AA$6:$AA$505,T946),0)</f>
        <v>0</v>
      </c>
      <c r="AA946" s="96">
        <f>IF(R946=0,0,COUNTIFS('RECEBIMENTOS'!$R$6:$R$1005,A946,'RECEBIMENTOS'!$Q$6:$Q$1005,1))</f>
        <v>0</v>
      </c>
      <c r="AB946" s="96">
        <f>IF(R946=0,0,COUNTIFS('RECEBIMENTOS'!$R$6:$R$1005,A946,'RECEBIMENTOS'!$Z$6:$Z$1005,1))</f>
        <v>0</v>
      </c>
      <c r="AC946" s="96">
        <f>IF(R946=0,0,COUNTIFS('RECEBIMENTOS'!$R$6:$R$1005,A946,'RECEBIMENTOS'!$Y$6:$Y$1005,1))</f>
        <v>0</v>
      </c>
      <c r="AD946" s="96">
        <f>IF(R946=0,0,COUNTIFS('VÍNCULOS_CDF'!$R$6:$R$1005,A946,'VÍNCULOS_CDF'!$N$6:$N$1005,1))</f>
        <v>0</v>
      </c>
      <c r="AE946" s="96">
        <f>IF(R946=0,0,COUNTIFS('VÍNCULOS_CDF'!$R$6:$R$1005,A946,'VÍNCULOS_CDF'!$AA$6:$AA$1005,1))</f>
        <v>0</v>
      </c>
      <c r="AF946" s="96">
        <f>IF(R946=0,0,COUNTIFS('VÍNCULOS_CDF'!$R$6:$R$1005,A946,'VÍNCULOS_CDF'!$Y$6:$Y$1005,1))</f>
        <v>0</v>
      </c>
      <c r="AG946" s="96" t="str">
        <f>IF(AND(R946=1,S946&lt;&gt;"",C946&lt;&gt;""),S946&amp;"|"&amp;C946&amp;"|"&amp;G946&amp;"|"&amp;H946,"")</f>
        <v/>
      </c>
      <c r="AH946" s="96">
        <f>IF(AG946="",0,IF(SUMPRODUCT(--($AG$6:$AG$1005=AG946))&gt;1,1,0))</f>
        <v>0</v>
      </c>
      <c r="AI946" s="96">
        <f>IF(R946=0,0,IF(OR(U946=0,V946=0,Y946=0,AND(AH946=1,K946&lt;&gt;"Sim")),1,0))</f>
        <v>0</v>
      </c>
      <c r="AJ946" s="96">
        <f>IF(AND(R946=1,AA946&gt;0,AB946=AA946),1,0)</f>
        <v>0</v>
      </c>
      <c r="AK946" s="96">
        <f>IF(R946=0,0,IF(AA946&gt;0,N(L946),IF(ISNUMBER(I946),I946,0)))</f>
        <v>0</v>
      </c>
      <c r="AL946" s="96">
        <f>IF(R946=0,0,IF(AND(K946&lt;&gt;"Sim",N(M946)&gt;AK946+cfg_tol),1,0))</f>
        <v>0</v>
      </c>
      <c r="AM946" s="96">
        <f>IF(R946=0,0,IF(K946="Sim",0,IF(OR(AND(AA946&gt;0,ISNUMBER(I946),ABS(I946-N(L946))&gt;cfg_tol),AL946=1),1,0)))</f>
        <v>0</v>
      </c>
      <c r="AN946" s="96">
        <f>IF(AND(R946=1,N(M946)&gt;0,OR(N(M946)&gt;=AK946-cfg_tol,K946="Sim")),1,0)</f>
        <v>0</v>
      </c>
      <c r="AO946" s="96">
        <f>IF(AND(AN946=1,AD946&gt;0,AE946=AD946,AL946=0),1,0)</f>
        <v>0</v>
      </c>
      <c r="AP946" s="96">
        <f>IF(U946=0,0,IF(AND(INDEX('MTRs'!$AX$6:$AX$505,T946)=1,Z946=0,OR(f_res="",f_res="(Todos)",C946=f_res)),1,0))</f>
        <v>0</v>
      </c>
      <c r="AQ946" s="97" t="str">
        <f>IF(U946=0,"",INDEX('MTRs'!$AZ$6:$AZ$505,T946))</f>
        <v/>
      </c>
      <c r="AR946" s="96">
        <f>IF(U946=0,0,IF(AND(INDEX('MTRs'!$BA$6:$BA$505,T946)=1,Z946=0),1,0))</f>
        <v>0</v>
      </c>
      <c r="AS946" s="96" t="str">
        <f>IF(R946=1,A946&amp;" | MTR "&amp;IF(U946=1,INDEX('MTRs'!$B$6:$B$505,T946)&amp;"","?")&amp;" | "&amp;IF(C946="","(sem resíduo)",C946),"")</f>
        <v/>
      </c>
      <c r="AT946" s="96" t="str">
        <f>IF(R946=1,COUNTIF($R$6:R946,1),"")</f>
        <v/>
      </c>
      <c r="AU946" s="96" t="str">
        <f>IF(U946=1,INDEX('MTRs'!$I$6:$I$505,T946)&amp;"","")</f>
        <v/>
      </c>
    </row>
    <row r="947">
      <c r="A947" s="89" t="inlineStr">
        <is>
          <t>IT-000942</t>
        </is>
      </c>
      <c r="B947" s="91" t="n"/>
      <c r="C947" s="91" t="n"/>
      <c r="D947" s="94" t="str">
        <f>IF(OR(R947=0,V947=0),"",INDEX('CAD_RESÍDUOS'!$E$6:$E$205,MATCH(C947,'CAD_RESÍDUOS'!$B$6:$B$205,0))&amp;"")</f>
        <v/>
      </c>
      <c r="E947" s="94" t="str">
        <f>IF(OR(R947=0,V947=0),"",INDEX('CAD_RESÍDUOS'!$C$6:$C$205,MATCH(C947,'CAD_RESÍDUOS'!$B$6:$B$205,0))&amp;"")</f>
        <v/>
      </c>
      <c r="F947" s="94" t="str">
        <f>IF(OR(R947=0,V947=0),"",INDEX('CAD_RESÍDUOS'!$G$6:$G$205,MATCH(C947,'CAD_RESÍDUOS'!$B$6:$B$205,0))&amp;"")</f>
        <v/>
      </c>
      <c r="G947" s="98" t="n"/>
      <c r="H947" s="91" t="n"/>
      <c r="I947" s="93" t="str">
        <f>IF(R947=0,"",IF(NOT(ISNUMBER(G947)),"",IF(ISNUMBER(X947),G947*X947,"UNIDADE A CONFERIR")))</f>
        <v/>
      </c>
      <c r="J947" s="91" t="n"/>
      <c r="K947" s="91" t="n"/>
      <c r="L947" s="93" t="str">
        <f>IF(R947=0,"",SUMIFS('RECEBIMENTOS'!$H$6:$H$1005,'RECEBIMENTOS'!$R$6:$R$1005,A947,'RECEBIMENTOS'!$X$6:$X$1005,1))</f>
        <v/>
      </c>
      <c r="M947" s="93" t="str">
        <f>IF(R947=0,"",SUMIFS('VÍNCULOS_CDF'!$H$6:$H$1005,'VÍNCULOS_CDF'!$R$6:$R$1005,A947,'VÍNCULOS_CDF'!$V$6:$V$1005,1))</f>
        <v/>
      </c>
      <c r="N947" s="99" t="str">
        <f>IF(OR(R947=0,AA947=0,NOT(ISNUMBER(I947))),"",I947-N(L947))</f>
        <v/>
      </c>
      <c r="O947" s="100" t="str">
        <f>IF(OR(R947=0,AK947&lt;=0),"",N(M947)/AK947)</f>
        <v/>
      </c>
      <c r="P947" s="94" t="str">
        <f>IF(R947=0,"",IF(S947="","Sem MTR associado",IF(U947=0,"MTR inexistente",IF(C947="","Resíduo não identificado",IF(V947=0,"Resíduo fora do cadastro",IF(W947=0,"Quantidade inválida",IF(H947="","Unidade não informada",IF(NOT(ISNUMBER(I947)),"Unidade a conferir",IF(AND(AH947=1,K947&lt;&gt;"Sim"),"Possível duplicidade",IF(Z947=1,"MTR cancelado",IF(AC947&gt;0,"Recebimento com alerta",IF(AA947=0,"Aguardando recebimento",IF(AB947&lt;AA947,"Recebimento a conferir",IF(AM947=1,"Quantidade a revisar",IF(AF947&gt;0,"Vínculo a revisar",IF(AD947=0,"Aguardando CDF",IF(AN947=0,"Vínculo de CDF parcial",IF(AE947&lt;AD947,"CDF a conferir","Documentação conferida"))))))))))))))))))</f>
        <v/>
      </c>
      <c r="Q947" s="93" t="str">
        <f>IF(OR(R947=0,AA947=0),"",MAX(0,N(L947)-N(M947)))</f>
        <v/>
      </c>
      <c r="R947" s="96">
        <f>IF(COUNTA(B947:C947,G947:H947,J947:K947)&gt;0,1,0)</f>
        <v>0</v>
      </c>
      <c r="S947" s="96" t="str">
        <f>IF(B947="","",TRIM(LEFT(B947,FIND(" |",B947&amp;" |")-1)))</f>
        <v/>
      </c>
      <c r="T947" s="96" t="str">
        <f>IF(S947="","",IFERROR(MATCH(S947,'MTRs'!$A$6:$A$505,0),""))</f>
        <v/>
      </c>
      <c r="U947" s="96">
        <f>IF(T947="",0,IF(INDEX('MTRs'!$Z$6:$Z$505,T947)=1,1,0))</f>
        <v>0</v>
      </c>
      <c r="V947" s="96">
        <f>IF(C947="",0,IF(ISNUMBER(MATCH(C947,'CAD_RESÍDUOS'!$B$6:$B$205,0)),1,0))</f>
        <v>0</v>
      </c>
      <c r="W947" s="96">
        <f>IF(AND(ISNUMBER(G947),G947&gt;0),1,0)</f>
        <v>0</v>
      </c>
      <c r="X947" s="96" t="str">
        <f>IF(H947="","",IFERROR(IF(ISNUMBER(INDEX(cfg_fac,MATCH(H947,cfg_units,0))),IF(INDEX(cfg_fac,MATCH(H947,cfg_units,0))&gt;0,INDEX(cfg_fac,MATCH(H947,cfg_units,0)),""),""),""))</f>
        <v/>
      </c>
      <c r="Y947" s="96">
        <f>IF(AND(W947=1,ISNUMBER(I947)),1,0)</f>
        <v>0</v>
      </c>
      <c r="Z947" s="96">
        <f>IF(U947=1,INDEX('MTRs'!$AA$6:$AA$505,T947),0)</f>
        <v>0</v>
      </c>
      <c r="AA947" s="96">
        <f>IF(R947=0,0,COUNTIFS('RECEBIMENTOS'!$R$6:$R$1005,A947,'RECEBIMENTOS'!$Q$6:$Q$1005,1))</f>
        <v>0</v>
      </c>
      <c r="AB947" s="96">
        <f>IF(R947=0,0,COUNTIFS('RECEBIMENTOS'!$R$6:$R$1005,A947,'RECEBIMENTOS'!$Z$6:$Z$1005,1))</f>
        <v>0</v>
      </c>
      <c r="AC947" s="96">
        <f>IF(R947=0,0,COUNTIFS('RECEBIMENTOS'!$R$6:$R$1005,A947,'RECEBIMENTOS'!$Y$6:$Y$1005,1))</f>
        <v>0</v>
      </c>
      <c r="AD947" s="96">
        <f>IF(R947=0,0,COUNTIFS('VÍNCULOS_CDF'!$R$6:$R$1005,A947,'VÍNCULOS_CDF'!$N$6:$N$1005,1))</f>
        <v>0</v>
      </c>
      <c r="AE947" s="96">
        <f>IF(R947=0,0,COUNTIFS('VÍNCULOS_CDF'!$R$6:$R$1005,A947,'VÍNCULOS_CDF'!$AA$6:$AA$1005,1))</f>
        <v>0</v>
      </c>
      <c r="AF947" s="96">
        <f>IF(R947=0,0,COUNTIFS('VÍNCULOS_CDF'!$R$6:$R$1005,A947,'VÍNCULOS_CDF'!$Y$6:$Y$1005,1))</f>
        <v>0</v>
      </c>
      <c r="AG947" s="96" t="str">
        <f>IF(AND(R947=1,S947&lt;&gt;"",C947&lt;&gt;""),S947&amp;"|"&amp;C947&amp;"|"&amp;G947&amp;"|"&amp;H947,"")</f>
        <v/>
      </c>
      <c r="AH947" s="96">
        <f>IF(AG947="",0,IF(SUMPRODUCT(--($AG$6:$AG$1005=AG947))&gt;1,1,0))</f>
        <v>0</v>
      </c>
      <c r="AI947" s="96">
        <f>IF(R947=0,0,IF(OR(U947=0,V947=0,Y947=0,AND(AH947=1,K947&lt;&gt;"Sim")),1,0))</f>
        <v>0</v>
      </c>
      <c r="AJ947" s="96">
        <f>IF(AND(R947=1,AA947&gt;0,AB947=AA947),1,0)</f>
        <v>0</v>
      </c>
      <c r="AK947" s="96">
        <f>IF(R947=0,0,IF(AA947&gt;0,N(L947),IF(ISNUMBER(I947),I947,0)))</f>
        <v>0</v>
      </c>
      <c r="AL947" s="96">
        <f>IF(R947=0,0,IF(AND(K947&lt;&gt;"Sim",N(M947)&gt;AK947+cfg_tol),1,0))</f>
        <v>0</v>
      </c>
      <c r="AM947" s="96">
        <f>IF(R947=0,0,IF(K947="Sim",0,IF(OR(AND(AA947&gt;0,ISNUMBER(I947),ABS(I947-N(L947))&gt;cfg_tol),AL947=1),1,0)))</f>
        <v>0</v>
      </c>
      <c r="AN947" s="96">
        <f>IF(AND(R947=1,N(M947)&gt;0,OR(N(M947)&gt;=AK947-cfg_tol,K947="Sim")),1,0)</f>
        <v>0</v>
      </c>
      <c r="AO947" s="96">
        <f>IF(AND(AN947=1,AD947&gt;0,AE947=AD947,AL947=0),1,0)</f>
        <v>0</v>
      </c>
      <c r="AP947" s="96">
        <f>IF(U947=0,0,IF(AND(INDEX('MTRs'!$AX$6:$AX$505,T947)=1,Z947=0,OR(f_res="",f_res="(Todos)",C947=f_res)),1,0))</f>
        <v>0</v>
      </c>
      <c r="AQ947" s="97" t="str">
        <f>IF(U947=0,"",INDEX('MTRs'!$AZ$6:$AZ$505,T947))</f>
        <v/>
      </c>
      <c r="AR947" s="96">
        <f>IF(U947=0,0,IF(AND(INDEX('MTRs'!$BA$6:$BA$505,T947)=1,Z947=0),1,0))</f>
        <v>0</v>
      </c>
      <c r="AS947" s="96" t="str">
        <f>IF(R947=1,A947&amp;" | MTR "&amp;IF(U947=1,INDEX('MTRs'!$B$6:$B$505,T947)&amp;"","?")&amp;" | "&amp;IF(C947="","(sem resíduo)",C947),"")</f>
        <v/>
      </c>
      <c r="AT947" s="96" t="str">
        <f>IF(R947=1,COUNTIF($R$6:R947,1),"")</f>
        <v/>
      </c>
      <c r="AU947" s="96" t="str">
        <f>IF(U947=1,INDEX('MTRs'!$I$6:$I$505,T947)&amp;"","")</f>
        <v/>
      </c>
    </row>
    <row r="948">
      <c r="A948" s="89" t="inlineStr">
        <is>
          <t>IT-000943</t>
        </is>
      </c>
      <c r="B948" s="91" t="n"/>
      <c r="C948" s="91" t="n"/>
      <c r="D948" s="94" t="str">
        <f>IF(OR(R948=0,V948=0),"",INDEX('CAD_RESÍDUOS'!$E$6:$E$205,MATCH(C948,'CAD_RESÍDUOS'!$B$6:$B$205,0))&amp;"")</f>
        <v/>
      </c>
      <c r="E948" s="94" t="str">
        <f>IF(OR(R948=0,V948=0),"",INDEX('CAD_RESÍDUOS'!$C$6:$C$205,MATCH(C948,'CAD_RESÍDUOS'!$B$6:$B$205,0))&amp;"")</f>
        <v/>
      </c>
      <c r="F948" s="94" t="str">
        <f>IF(OR(R948=0,V948=0),"",INDEX('CAD_RESÍDUOS'!$G$6:$G$205,MATCH(C948,'CAD_RESÍDUOS'!$B$6:$B$205,0))&amp;"")</f>
        <v/>
      </c>
      <c r="G948" s="98" t="n"/>
      <c r="H948" s="91" t="n"/>
      <c r="I948" s="93" t="str">
        <f>IF(R948=0,"",IF(NOT(ISNUMBER(G948)),"",IF(ISNUMBER(X948),G948*X948,"UNIDADE A CONFERIR")))</f>
        <v/>
      </c>
      <c r="J948" s="91" t="n"/>
      <c r="K948" s="91" t="n"/>
      <c r="L948" s="93" t="str">
        <f>IF(R948=0,"",SUMIFS('RECEBIMENTOS'!$H$6:$H$1005,'RECEBIMENTOS'!$R$6:$R$1005,A948,'RECEBIMENTOS'!$X$6:$X$1005,1))</f>
        <v/>
      </c>
      <c r="M948" s="93" t="str">
        <f>IF(R948=0,"",SUMIFS('VÍNCULOS_CDF'!$H$6:$H$1005,'VÍNCULOS_CDF'!$R$6:$R$1005,A948,'VÍNCULOS_CDF'!$V$6:$V$1005,1))</f>
        <v/>
      </c>
      <c r="N948" s="99" t="str">
        <f>IF(OR(R948=0,AA948=0,NOT(ISNUMBER(I948))),"",I948-N(L948))</f>
        <v/>
      </c>
      <c r="O948" s="100" t="str">
        <f>IF(OR(R948=0,AK948&lt;=0),"",N(M948)/AK948)</f>
        <v/>
      </c>
      <c r="P948" s="94" t="str">
        <f>IF(R948=0,"",IF(S948="","Sem MTR associado",IF(U948=0,"MTR inexistente",IF(C948="","Resíduo não identificado",IF(V948=0,"Resíduo fora do cadastro",IF(W948=0,"Quantidade inválida",IF(H948="","Unidade não informada",IF(NOT(ISNUMBER(I948)),"Unidade a conferir",IF(AND(AH948=1,K948&lt;&gt;"Sim"),"Possível duplicidade",IF(Z948=1,"MTR cancelado",IF(AC948&gt;0,"Recebimento com alerta",IF(AA948=0,"Aguardando recebimento",IF(AB948&lt;AA948,"Recebimento a conferir",IF(AM948=1,"Quantidade a revisar",IF(AF948&gt;0,"Vínculo a revisar",IF(AD948=0,"Aguardando CDF",IF(AN948=0,"Vínculo de CDF parcial",IF(AE948&lt;AD948,"CDF a conferir","Documentação conferida"))))))))))))))))))</f>
        <v/>
      </c>
      <c r="Q948" s="93" t="str">
        <f>IF(OR(R948=0,AA948=0),"",MAX(0,N(L948)-N(M948)))</f>
        <v/>
      </c>
      <c r="R948" s="96">
        <f>IF(COUNTA(B948:C948,G948:H948,J948:K948)&gt;0,1,0)</f>
        <v>0</v>
      </c>
      <c r="S948" s="96" t="str">
        <f>IF(B948="","",TRIM(LEFT(B948,FIND(" |",B948&amp;" |")-1)))</f>
        <v/>
      </c>
      <c r="T948" s="96" t="str">
        <f>IF(S948="","",IFERROR(MATCH(S948,'MTRs'!$A$6:$A$505,0),""))</f>
        <v/>
      </c>
      <c r="U948" s="96">
        <f>IF(T948="",0,IF(INDEX('MTRs'!$Z$6:$Z$505,T948)=1,1,0))</f>
        <v>0</v>
      </c>
      <c r="V948" s="96">
        <f>IF(C948="",0,IF(ISNUMBER(MATCH(C948,'CAD_RESÍDUOS'!$B$6:$B$205,0)),1,0))</f>
        <v>0</v>
      </c>
      <c r="W948" s="96">
        <f>IF(AND(ISNUMBER(G948),G948&gt;0),1,0)</f>
        <v>0</v>
      </c>
      <c r="X948" s="96" t="str">
        <f>IF(H948="","",IFERROR(IF(ISNUMBER(INDEX(cfg_fac,MATCH(H948,cfg_units,0))),IF(INDEX(cfg_fac,MATCH(H948,cfg_units,0))&gt;0,INDEX(cfg_fac,MATCH(H948,cfg_units,0)),""),""),""))</f>
        <v/>
      </c>
      <c r="Y948" s="96">
        <f>IF(AND(W948=1,ISNUMBER(I948)),1,0)</f>
        <v>0</v>
      </c>
      <c r="Z948" s="96">
        <f>IF(U948=1,INDEX('MTRs'!$AA$6:$AA$505,T948),0)</f>
        <v>0</v>
      </c>
      <c r="AA948" s="96">
        <f>IF(R948=0,0,COUNTIFS('RECEBIMENTOS'!$R$6:$R$1005,A948,'RECEBIMENTOS'!$Q$6:$Q$1005,1))</f>
        <v>0</v>
      </c>
      <c r="AB948" s="96">
        <f>IF(R948=0,0,COUNTIFS('RECEBIMENTOS'!$R$6:$R$1005,A948,'RECEBIMENTOS'!$Z$6:$Z$1005,1))</f>
        <v>0</v>
      </c>
      <c r="AC948" s="96">
        <f>IF(R948=0,0,COUNTIFS('RECEBIMENTOS'!$R$6:$R$1005,A948,'RECEBIMENTOS'!$Y$6:$Y$1005,1))</f>
        <v>0</v>
      </c>
      <c r="AD948" s="96">
        <f>IF(R948=0,0,COUNTIFS('VÍNCULOS_CDF'!$R$6:$R$1005,A948,'VÍNCULOS_CDF'!$N$6:$N$1005,1))</f>
        <v>0</v>
      </c>
      <c r="AE948" s="96">
        <f>IF(R948=0,0,COUNTIFS('VÍNCULOS_CDF'!$R$6:$R$1005,A948,'VÍNCULOS_CDF'!$AA$6:$AA$1005,1))</f>
        <v>0</v>
      </c>
      <c r="AF948" s="96">
        <f>IF(R948=0,0,COUNTIFS('VÍNCULOS_CDF'!$R$6:$R$1005,A948,'VÍNCULOS_CDF'!$Y$6:$Y$1005,1))</f>
        <v>0</v>
      </c>
      <c r="AG948" s="96" t="str">
        <f>IF(AND(R948=1,S948&lt;&gt;"",C948&lt;&gt;""),S948&amp;"|"&amp;C948&amp;"|"&amp;G948&amp;"|"&amp;H948,"")</f>
        <v/>
      </c>
      <c r="AH948" s="96">
        <f>IF(AG948="",0,IF(SUMPRODUCT(--($AG$6:$AG$1005=AG948))&gt;1,1,0))</f>
        <v>0</v>
      </c>
      <c r="AI948" s="96">
        <f>IF(R948=0,0,IF(OR(U948=0,V948=0,Y948=0,AND(AH948=1,K948&lt;&gt;"Sim")),1,0))</f>
        <v>0</v>
      </c>
      <c r="AJ948" s="96">
        <f>IF(AND(R948=1,AA948&gt;0,AB948=AA948),1,0)</f>
        <v>0</v>
      </c>
      <c r="AK948" s="96">
        <f>IF(R948=0,0,IF(AA948&gt;0,N(L948),IF(ISNUMBER(I948),I948,0)))</f>
        <v>0</v>
      </c>
      <c r="AL948" s="96">
        <f>IF(R948=0,0,IF(AND(K948&lt;&gt;"Sim",N(M948)&gt;AK948+cfg_tol),1,0))</f>
        <v>0</v>
      </c>
      <c r="AM948" s="96">
        <f>IF(R948=0,0,IF(K948="Sim",0,IF(OR(AND(AA948&gt;0,ISNUMBER(I948),ABS(I948-N(L948))&gt;cfg_tol),AL948=1),1,0)))</f>
        <v>0</v>
      </c>
      <c r="AN948" s="96">
        <f>IF(AND(R948=1,N(M948)&gt;0,OR(N(M948)&gt;=AK948-cfg_tol,K948="Sim")),1,0)</f>
        <v>0</v>
      </c>
      <c r="AO948" s="96">
        <f>IF(AND(AN948=1,AD948&gt;0,AE948=AD948,AL948=0),1,0)</f>
        <v>0</v>
      </c>
      <c r="AP948" s="96">
        <f>IF(U948=0,0,IF(AND(INDEX('MTRs'!$AX$6:$AX$505,T948)=1,Z948=0,OR(f_res="",f_res="(Todos)",C948=f_res)),1,0))</f>
        <v>0</v>
      </c>
      <c r="AQ948" s="97" t="str">
        <f>IF(U948=0,"",INDEX('MTRs'!$AZ$6:$AZ$505,T948))</f>
        <v/>
      </c>
      <c r="AR948" s="96">
        <f>IF(U948=0,0,IF(AND(INDEX('MTRs'!$BA$6:$BA$505,T948)=1,Z948=0),1,0))</f>
        <v>0</v>
      </c>
      <c r="AS948" s="96" t="str">
        <f>IF(R948=1,A948&amp;" | MTR "&amp;IF(U948=1,INDEX('MTRs'!$B$6:$B$505,T948)&amp;"","?")&amp;" | "&amp;IF(C948="","(sem resíduo)",C948),"")</f>
        <v/>
      </c>
      <c r="AT948" s="96" t="str">
        <f>IF(R948=1,COUNTIF($R$6:R948,1),"")</f>
        <v/>
      </c>
      <c r="AU948" s="96" t="str">
        <f>IF(U948=1,INDEX('MTRs'!$I$6:$I$505,T948)&amp;"","")</f>
        <v/>
      </c>
    </row>
    <row r="949">
      <c r="A949" s="89" t="inlineStr">
        <is>
          <t>IT-000944</t>
        </is>
      </c>
      <c r="B949" s="91" t="n"/>
      <c r="C949" s="91" t="n"/>
      <c r="D949" s="94" t="str">
        <f>IF(OR(R949=0,V949=0),"",INDEX('CAD_RESÍDUOS'!$E$6:$E$205,MATCH(C949,'CAD_RESÍDUOS'!$B$6:$B$205,0))&amp;"")</f>
        <v/>
      </c>
      <c r="E949" s="94" t="str">
        <f>IF(OR(R949=0,V949=0),"",INDEX('CAD_RESÍDUOS'!$C$6:$C$205,MATCH(C949,'CAD_RESÍDUOS'!$B$6:$B$205,0))&amp;"")</f>
        <v/>
      </c>
      <c r="F949" s="94" t="str">
        <f>IF(OR(R949=0,V949=0),"",INDEX('CAD_RESÍDUOS'!$G$6:$G$205,MATCH(C949,'CAD_RESÍDUOS'!$B$6:$B$205,0))&amp;"")</f>
        <v/>
      </c>
      <c r="G949" s="98" t="n"/>
      <c r="H949" s="91" t="n"/>
      <c r="I949" s="93" t="str">
        <f>IF(R949=0,"",IF(NOT(ISNUMBER(G949)),"",IF(ISNUMBER(X949),G949*X949,"UNIDADE A CONFERIR")))</f>
        <v/>
      </c>
      <c r="J949" s="91" t="n"/>
      <c r="K949" s="91" t="n"/>
      <c r="L949" s="93" t="str">
        <f>IF(R949=0,"",SUMIFS('RECEBIMENTOS'!$H$6:$H$1005,'RECEBIMENTOS'!$R$6:$R$1005,A949,'RECEBIMENTOS'!$X$6:$X$1005,1))</f>
        <v/>
      </c>
      <c r="M949" s="93" t="str">
        <f>IF(R949=0,"",SUMIFS('VÍNCULOS_CDF'!$H$6:$H$1005,'VÍNCULOS_CDF'!$R$6:$R$1005,A949,'VÍNCULOS_CDF'!$V$6:$V$1005,1))</f>
        <v/>
      </c>
      <c r="N949" s="99" t="str">
        <f>IF(OR(R949=0,AA949=0,NOT(ISNUMBER(I949))),"",I949-N(L949))</f>
        <v/>
      </c>
      <c r="O949" s="100" t="str">
        <f>IF(OR(R949=0,AK949&lt;=0),"",N(M949)/AK949)</f>
        <v/>
      </c>
      <c r="P949" s="94" t="str">
        <f>IF(R949=0,"",IF(S949="","Sem MTR associado",IF(U949=0,"MTR inexistente",IF(C949="","Resíduo não identificado",IF(V949=0,"Resíduo fora do cadastro",IF(W949=0,"Quantidade inválida",IF(H949="","Unidade não informada",IF(NOT(ISNUMBER(I949)),"Unidade a conferir",IF(AND(AH949=1,K949&lt;&gt;"Sim"),"Possível duplicidade",IF(Z949=1,"MTR cancelado",IF(AC949&gt;0,"Recebimento com alerta",IF(AA949=0,"Aguardando recebimento",IF(AB949&lt;AA949,"Recebimento a conferir",IF(AM949=1,"Quantidade a revisar",IF(AF949&gt;0,"Vínculo a revisar",IF(AD949=0,"Aguardando CDF",IF(AN949=0,"Vínculo de CDF parcial",IF(AE949&lt;AD949,"CDF a conferir","Documentação conferida"))))))))))))))))))</f>
        <v/>
      </c>
      <c r="Q949" s="93" t="str">
        <f>IF(OR(R949=0,AA949=0),"",MAX(0,N(L949)-N(M949)))</f>
        <v/>
      </c>
      <c r="R949" s="96">
        <f>IF(COUNTA(B949:C949,G949:H949,J949:K949)&gt;0,1,0)</f>
        <v>0</v>
      </c>
      <c r="S949" s="96" t="str">
        <f>IF(B949="","",TRIM(LEFT(B949,FIND(" |",B949&amp;" |")-1)))</f>
        <v/>
      </c>
      <c r="T949" s="96" t="str">
        <f>IF(S949="","",IFERROR(MATCH(S949,'MTRs'!$A$6:$A$505,0),""))</f>
        <v/>
      </c>
      <c r="U949" s="96">
        <f>IF(T949="",0,IF(INDEX('MTRs'!$Z$6:$Z$505,T949)=1,1,0))</f>
        <v>0</v>
      </c>
      <c r="V949" s="96">
        <f>IF(C949="",0,IF(ISNUMBER(MATCH(C949,'CAD_RESÍDUOS'!$B$6:$B$205,0)),1,0))</f>
        <v>0</v>
      </c>
      <c r="W949" s="96">
        <f>IF(AND(ISNUMBER(G949),G949&gt;0),1,0)</f>
        <v>0</v>
      </c>
      <c r="X949" s="96" t="str">
        <f>IF(H949="","",IFERROR(IF(ISNUMBER(INDEX(cfg_fac,MATCH(H949,cfg_units,0))),IF(INDEX(cfg_fac,MATCH(H949,cfg_units,0))&gt;0,INDEX(cfg_fac,MATCH(H949,cfg_units,0)),""),""),""))</f>
        <v/>
      </c>
      <c r="Y949" s="96">
        <f>IF(AND(W949=1,ISNUMBER(I949)),1,0)</f>
        <v>0</v>
      </c>
      <c r="Z949" s="96">
        <f>IF(U949=1,INDEX('MTRs'!$AA$6:$AA$505,T949),0)</f>
        <v>0</v>
      </c>
      <c r="AA949" s="96">
        <f>IF(R949=0,0,COUNTIFS('RECEBIMENTOS'!$R$6:$R$1005,A949,'RECEBIMENTOS'!$Q$6:$Q$1005,1))</f>
        <v>0</v>
      </c>
      <c r="AB949" s="96">
        <f>IF(R949=0,0,COUNTIFS('RECEBIMENTOS'!$R$6:$R$1005,A949,'RECEBIMENTOS'!$Z$6:$Z$1005,1))</f>
        <v>0</v>
      </c>
      <c r="AC949" s="96">
        <f>IF(R949=0,0,COUNTIFS('RECEBIMENTOS'!$R$6:$R$1005,A949,'RECEBIMENTOS'!$Y$6:$Y$1005,1))</f>
        <v>0</v>
      </c>
      <c r="AD949" s="96">
        <f>IF(R949=0,0,COUNTIFS('VÍNCULOS_CDF'!$R$6:$R$1005,A949,'VÍNCULOS_CDF'!$N$6:$N$1005,1))</f>
        <v>0</v>
      </c>
      <c r="AE949" s="96">
        <f>IF(R949=0,0,COUNTIFS('VÍNCULOS_CDF'!$R$6:$R$1005,A949,'VÍNCULOS_CDF'!$AA$6:$AA$1005,1))</f>
        <v>0</v>
      </c>
      <c r="AF949" s="96">
        <f>IF(R949=0,0,COUNTIFS('VÍNCULOS_CDF'!$R$6:$R$1005,A949,'VÍNCULOS_CDF'!$Y$6:$Y$1005,1))</f>
        <v>0</v>
      </c>
      <c r="AG949" s="96" t="str">
        <f>IF(AND(R949=1,S949&lt;&gt;"",C949&lt;&gt;""),S949&amp;"|"&amp;C949&amp;"|"&amp;G949&amp;"|"&amp;H949,"")</f>
        <v/>
      </c>
      <c r="AH949" s="96">
        <f>IF(AG949="",0,IF(SUMPRODUCT(--($AG$6:$AG$1005=AG949))&gt;1,1,0))</f>
        <v>0</v>
      </c>
      <c r="AI949" s="96">
        <f>IF(R949=0,0,IF(OR(U949=0,V949=0,Y949=0,AND(AH949=1,K949&lt;&gt;"Sim")),1,0))</f>
        <v>0</v>
      </c>
      <c r="AJ949" s="96">
        <f>IF(AND(R949=1,AA949&gt;0,AB949=AA949),1,0)</f>
        <v>0</v>
      </c>
      <c r="AK949" s="96">
        <f>IF(R949=0,0,IF(AA949&gt;0,N(L949),IF(ISNUMBER(I949),I949,0)))</f>
        <v>0</v>
      </c>
      <c r="AL949" s="96">
        <f>IF(R949=0,0,IF(AND(K949&lt;&gt;"Sim",N(M949)&gt;AK949+cfg_tol),1,0))</f>
        <v>0</v>
      </c>
      <c r="AM949" s="96">
        <f>IF(R949=0,0,IF(K949="Sim",0,IF(OR(AND(AA949&gt;0,ISNUMBER(I949),ABS(I949-N(L949))&gt;cfg_tol),AL949=1),1,0)))</f>
        <v>0</v>
      </c>
      <c r="AN949" s="96">
        <f>IF(AND(R949=1,N(M949)&gt;0,OR(N(M949)&gt;=AK949-cfg_tol,K949="Sim")),1,0)</f>
        <v>0</v>
      </c>
      <c r="AO949" s="96">
        <f>IF(AND(AN949=1,AD949&gt;0,AE949=AD949,AL949=0),1,0)</f>
        <v>0</v>
      </c>
      <c r="AP949" s="96">
        <f>IF(U949=0,0,IF(AND(INDEX('MTRs'!$AX$6:$AX$505,T949)=1,Z949=0,OR(f_res="",f_res="(Todos)",C949=f_res)),1,0))</f>
        <v>0</v>
      </c>
      <c r="AQ949" s="97" t="str">
        <f>IF(U949=0,"",INDEX('MTRs'!$AZ$6:$AZ$505,T949))</f>
        <v/>
      </c>
      <c r="AR949" s="96">
        <f>IF(U949=0,0,IF(AND(INDEX('MTRs'!$BA$6:$BA$505,T949)=1,Z949=0),1,0))</f>
        <v>0</v>
      </c>
      <c r="AS949" s="96" t="str">
        <f>IF(R949=1,A949&amp;" | MTR "&amp;IF(U949=1,INDEX('MTRs'!$B$6:$B$505,T949)&amp;"","?")&amp;" | "&amp;IF(C949="","(sem resíduo)",C949),"")</f>
        <v/>
      </c>
      <c r="AT949" s="96" t="str">
        <f>IF(R949=1,COUNTIF($R$6:R949,1),"")</f>
        <v/>
      </c>
      <c r="AU949" s="96" t="str">
        <f>IF(U949=1,INDEX('MTRs'!$I$6:$I$505,T949)&amp;"","")</f>
        <v/>
      </c>
    </row>
    <row r="950">
      <c r="A950" s="89" t="inlineStr">
        <is>
          <t>IT-000945</t>
        </is>
      </c>
      <c r="B950" s="91" t="n"/>
      <c r="C950" s="91" t="n"/>
      <c r="D950" s="94" t="str">
        <f>IF(OR(R950=0,V950=0),"",INDEX('CAD_RESÍDUOS'!$E$6:$E$205,MATCH(C950,'CAD_RESÍDUOS'!$B$6:$B$205,0))&amp;"")</f>
        <v/>
      </c>
      <c r="E950" s="94" t="str">
        <f>IF(OR(R950=0,V950=0),"",INDEX('CAD_RESÍDUOS'!$C$6:$C$205,MATCH(C950,'CAD_RESÍDUOS'!$B$6:$B$205,0))&amp;"")</f>
        <v/>
      </c>
      <c r="F950" s="94" t="str">
        <f>IF(OR(R950=0,V950=0),"",INDEX('CAD_RESÍDUOS'!$G$6:$G$205,MATCH(C950,'CAD_RESÍDUOS'!$B$6:$B$205,0))&amp;"")</f>
        <v/>
      </c>
      <c r="G950" s="98" t="n"/>
      <c r="H950" s="91" t="n"/>
      <c r="I950" s="93" t="str">
        <f>IF(R950=0,"",IF(NOT(ISNUMBER(G950)),"",IF(ISNUMBER(X950),G950*X950,"UNIDADE A CONFERIR")))</f>
        <v/>
      </c>
      <c r="J950" s="91" t="n"/>
      <c r="K950" s="91" t="n"/>
      <c r="L950" s="93" t="str">
        <f>IF(R950=0,"",SUMIFS('RECEBIMENTOS'!$H$6:$H$1005,'RECEBIMENTOS'!$R$6:$R$1005,A950,'RECEBIMENTOS'!$X$6:$X$1005,1))</f>
        <v/>
      </c>
      <c r="M950" s="93" t="str">
        <f>IF(R950=0,"",SUMIFS('VÍNCULOS_CDF'!$H$6:$H$1005,'VÍNCULOS_CDF'!$R$6:$R$1005,A950,'VÍNCULOS_CDF'!$V$6:$V$1005,1))</f>
        <v/>
      </c>
      <c r="N950" s="99" t="str">
        <f>IF(OR(R950=0,AA950=0,NOT(ISNUMBER(I950))),"",I950-N(L950))</f>
        <v/>
      </c>
      <c r="O950" s="100" t="str">
        <f>IF(OR(R950=0,AK950&lt;=0),"",N(M950)/AK950)</f>
        <v/>
      </c>
      <c r="P950" s="94" t="str">
        <f>IF(R950=0,"",IF(S950="","Sem MTR associado",IF(U950=0,"MTR inexistente",IF(C950="","Resíduo não identificado",IF(V950=0,"Resíduo fora do cadastro",IF(W950=0,"Quantidade inválida",IF(H950="","Unidade não informada",IF(NOT(ISNUMBER(I950)),"Unidade a conferir",IF(AND(AH950=1,K950&lt;&gt;"Sim"),"Possível duplicidade",IF(Z950=1,"MTR cancelado",IF(AC950&gt;0,"Recebimento com alerta",IF(AA950=0,"Aguardando recebimento",IF(AB950&lt;AA950,"Recebimento a conferir",IF(AM950=1,"Quantidade a revisar",IF(AF950&gt;0,"Vínculo a revisar",IF(AD950=0,"Aguardando CDF",IF(AN950=0,"Vínculo de CDF parcial",IF(AE950&lt;AD950,"CDF a conferir","Documentação conferida"))))))))))))))))))</f>
        <v/>
      </c>
      <c r="Q950" s="93" t="str">
        <f>IF(OR(R950=0,AA950=0),"",MAX(0,N(L950)-N(M950)))</f>
        <v/>
      </c>
      <c r="R950" s="96">
        <f>IF(COUNTA(B950:C950,G950:H950,J950:K950)&gt;0,1,0)</f>
        <v>0</v>
      </c>
      <c r="S950" s="96" t="str">
        <f>IF(B950="","",TRIM(LEFT(B950,FIND(" |",B950&amp;" |")-1)))</f>
        <v/>
      </c>
      <c r="T950" s="96" t="str">
        <f>IF(S950="","",IFERROR(MATCH(S950,'MTRs'!$A$6:$A$505,0),""))</f>
        <v/>
      </c>
      <c r="U950" s="96">
        <f>IF(T950="",0,IF(INDEX('MTRs'!$Z$6:$Z$505,T950)=1,1,0))</f>
        <v>0</v>
      </c>
      <c r="V950" s="96">
        <f>IF(C950="",0,IF(ISNUMBER(MATCH(C950,'CAD_RESÍDUOS'!$B$6:$B$205,0)),1,0))</f>
        <v>0</v>
      </c>
      <c r="W950" s="96">
        <f>IF(AND(ISNUMBER(G950),G950&gt;0),1,0)</f>
        <v>0</v>
      </c>
      <c r="X950" s="96" t="str">
        <f>IF(H950="","",IFERROR(IF(ISNUMBER(INDEX(cfg_fac,MATCH(H950,cfg_units,0))),IF(INDEX(cfg_fac,MATCH(H950,cfg_units,0))&gt;0,INDEX(cfg_fac,MATCH(H950,cfg_units,0)),""),""),""))</f>
        <v/>
      </c>
      <c r="Y950" s="96">
        <f>IF(AND(W950=1,ISNUMBER(I950)),1,0)</f>
        <v>0</v>
      </c>
      <c r="Z950" s="96">
        <f>IF(U950=1,INDEX('MTRs'!$AA$6:$AA$505,T950),0)</f>
        <v>0</v>
      </c>
      <c r="AA950" s="96">
        <f>IF(R950=0,0,COUNTIFS('RECEBIMENTOS'!$R$6:$R$1005,A950,'RECEBIMENTOS'!$Q$6:$Q$1005,1))</f>
        <v>0</v>
      </c>
      <c r="AB950" s="96">
        <f>IF(R950=0,0,COUNTIFS('RECEBIMENTOS'!$R$6:$R$1005,A950,'RECEBIMENTOS'!$Z$6:$Z$1005,1))</f>
        <v>0</v>
      </c>
      <c r="AC950" s="96">
        <f>IF(R950=0,0,COUNTIFS('RECEBIMENTOS'!$R$6:$R$1005,A950,'RECEBIMENTOS'!$Y$6:$Y$1005,1))</f>
        <v>0</v>
      </c>
      <c r="AD950" s="96">
        <f>IF(R950=0,0,COUNTIFS('VÍNCULOS_CDF'!$R$6:$R$1005,A950,'VÍNCULOS_CDF'!$N$6:$N$1005,1))</f>
        <v>0</v>
      </c>
      <c r="AE950" s="96">
        <f>IF(R950=0,0,COUNTIFS('VÍNCULOS_CDF'!$R$6:$R$1005,A950,'VÍNCULOS_CDF'!$AA$6:$AA$1005,1))</f>
        <v>0</v>
      </c>
      <c r="AF950" s="96">
        <f>IF(R950=0,0,COUNTIFS('VÍNCULOS_CDF'!$R$6:$R$1005,A950,'VÍNCULOS_CDF'!$Y$6:$Y$1005,1))</f>
        <v>0</v>
      </c>
      <c r="AG950" s="96" t="str">
        <f>IF(AND(R950=1,S950&lt;&gt;"",C950&lt;&gt;""),S950&amp;"|"&amp;C950&amp;"|"&amp;G950&amp;"|"&amp;H950,"")</f>
        <v/>
      </c>
      <c r="AH950" s="96">
        <f>IF(AG950="",0,IF(SUMPRODUCT(--($AG$6:$AG$1005=AG950))&gt;1,1,0))</f>
        <v>0</v>
      </c>
      <c r="AI950" s="96">
        <f>IF(R950=0,0,IF(OR(U950=0,V950=0,Y950=0,AND(AH950=1,K950&lt;&gt;"Sim")),1,0))</f>
        <v>0</v>
      </c>
      <c r="AJ950" s="96">
        <f>IF(AND(R950=1,AA950&gt;0,AB950=AA950),1,0)</f>
        <v>0</v>
      </c>
      <c r="AK950" s="96">
        <f>IF(R950=0,0,IF(AA950&gt;0,N(L950),IF(ISNUMBER(I950),I950,0)))</f>
        <v>0</v>
      </c>
      <c r="AL950" s="96">
        <f>IF(R950=0,0,IF(AND(K950&lt;&gt;"Sim",N(M950)&gt;AK950+cfg_tol),1,0))</f>
        <v>0</v>
      </c>
      <c r="AM950" s="96">
        <f>IF(R950=0,0,IF(K950="Sim",0,IF(OR(AND(AA950&gt;0,ISNUMBER(I950),ABS(I950-N(L950))&gt;cfg_tol),AL950=1),1,0)))</f>
        <v>0</v>
      </c>
      <c r="AN950" s="96">
        <f>IF(AND(R950=1,N(M950)&gt;0,OR(N(M950)&gt;=AK950-cfg_tol,K950="Sim")),1,0)</f>
        <v>0</v>
      </c>
      <c r="AO950" s="96">
        <f>IF(AND(AN950=1,AD950&gt;0,AE950=AD950,AL950=0),1,0)</f>
        <v>0</v>
      </c>
      <c r="AP950" s="96">
        <f>IF(U950=0,0,IF(AND(INDEX('MTRs'!$AX$6:$AX$505,T950)=1,Z950=0,OR(f_res="",f_res="(Todos)",C950=f_res)),1,0))</f>
        <v>0</v>
      </c>
      <c r="AQ950" s="97" t="str">
        <f>IF(U950=0,"",INDEX('MTRs'!$AZ$6:$AZ$505,T950))</f>
        <v/>
      </c>
      <c r="AR950" s="96">
        <f>IF(U950=0,0,IF(AND(INDEX('MTRs'!$BA$6:$BA$505,T950)=1,Z950=0),1,0))</f>
        <v>0</v>
      </c>
      <c r="AS950" s="96" t="str">
        <f>IF(R950=1,A950&amp;" | MTR "&amp;IF(U950=1,INDEX('MTRs'!$B$6:$B$505,T950)&amp;"","?")&amp;" | "&amp;IF(C950="","(sem resíduo)",C950),"")</f>
        <v/>
      </c>
      <c r="AT950" s="96" t="str">
        <f>IF(R950=1,COUNTIF($R$6:R950,1),"")</f>
        <v/>
      </c>
      <c r="AU950" s="96" t="str">
        <f>IF(U950=1,INDEX('MTRs'!$I$6:$I$505,T950)&amp;"","")</f>
        <v/>
      </c>
    </row>
    <row r="951">
      <c r="A951" s="89" t="inlineStr">
        <is>
          <t>IT-000946</t>
        </is>
      </c>
      <c r="B951" s="91" t="n"/>
      <c r="C951" s="91" t="n"/>
      <c r="D951" s="94" t="str">
        <f>IF(OR(R951=0,V951=0),"",INDEX('CAD_RESÍDUOS'!$E$6:$E$205,MATCH(C951,'CAD_RESÍDUOS'!$B$6:$B$205,0))&amp;"")</f>
        <v/>
      </c>
      <c r="E951" s="94" t="str">
        <f>IF(OR(R951=0,V951=0),"",INDEX('CAD_RESÍDUOS'!$C$6:$C$205,MATCH(C951,'CAD_RESÍDUOS'!$B$6:$B$205,0))&amp;"")</f>
        <v/>
      </c>
      <c r="F951" s="94" t="str">
        <f>IF(OR(R951=0,V951=0),"",INDEX('CAD_RESÍDUOS'!$G$6:$G$205,MATCH(C951,'CAD_RESÍDUOS'!$B$6:$B$205,0))&amp;"")</f>
        <v/>
      </c>
      <c r="G951" s="98" t="n"/>
      <c r="H951" s="91" t="n"/>
      <c r="I951" s="93" t="str">
        <f>IF(R951=0,"",IF(NOT(ISNUMBER(G951)),"",IF(ISNUMBER(X951),G951*X951,"UNIDADE A CONFERIR")))</f>
        <v/>
      </c>
      <c r="J951" s="91" t="n"/>
      <c r="K951" s="91" t="n"/>
      <c r="L951" s="93" t="str">
        <f>IF(R951=0,"",SUMIFS('RECEBIMENTOS'!$H$6:$H$1005,'RECEBIMENTOS'!$R$6:$R$1005,A951,'RECEBIMENTOS'!$X$6:$X$1005,1))</f>
        <v/>
      </c>
      <c r="M951" s="93" t="str">
        <f>IF(R951=0,"",SUMIFS('VÍNCULOS_CDF'!$H$6:$H$1005,'VÍNCULOS_CDF'!$R$6:$R$1005,A951,'VÍNCULOS_CDF'!$V$6:$V$1005,1))</f>
        <v/>
      </c>
      <c r="N951" s="99" t="str">
        <f>IF(OR(R951=0,AA951=0,NOT(ISNUMBER(I951))),"",I951-N(L951))</f>
        <v/>
      </c>
      <c r="O951" s="100" t="str">
        <f>IF(OR(R951=0,AK951&lt;=0),"",N(M951)/AK951)</f>
        <v/>
      </c>
      <c r="P951" s="94" t="str">
        <f>IF(R951=0,"",IF(S951="","Sem MTR associado",IF(U951=0,"MTR inexistente",IF(C951="","Resíduo não identificado",IF(V951=0,"Resíduo fora do cadastro",IF(W951=0,"Quantidade inválida",IF(H951="","Unidade não informada",IF(NOT(ISNUMBER(I951)),"Unidade a conferir",IF(AND(AH951=1,K951&lt;&gt;"Sim"),"Possível duplicidade",IF(Z951=1,"MTR cancelado",IF(AC951&gt;0,"Recebimento com alerta",IF(AA951=0,"Aguardando recebimento",IF(AB951&lt;AA951,"Recebimento a conferir",IF(AM951=1,"Quantidade a revisar",IF(AF951&gt;0,"Vínculo a revisar",IF(AD951=0,"Aguardando CDF",IF(AN951=0,"Vínculo de CDF parcial",IF(AE951&lt;AD951,"CDF a conferir","Documentação conferida"))))))))))))))))))</f>
        <v/>
      </c>
      <c r="Q951" s="93" t="str">
        <f>IF(OR(R951=0,AA951=0),"",MAX(0,N(L951)-N(M951)))</f>
        <v/>
      </c>
      <c r="R951" s="96">
        <f>IF(COUNTA(B951:C951,G951:H951,J951:K951)&gt;0,1,0)</f>
        <v>0</v>
      </c>
      <c r="S951" s="96" t="str">
        <f>IF(B951="","",TRIM(LEFT(B951,FIND(" |",B951&amp;" |")-1)))</f>
        <v/>
      </c>
      <c r="T951" s="96" t="str">
        <f>IF(S951="","",IFERROR(MATCH(S951,'MTRs'!$A$6:$A$505,0),""))</f>
        <v/>
      </c>
      <c r="U951" s="96">
        <f>IF(T951="",0,IF(INDEX('MTRs'!$Z$6:$Z$505,T951)=1,1,0))</f>
        <v>0</v>
      </c>
      <c r="V951" s="96">
        <f>IF(C951="",0,IF(ISNUMBER(MATCH(C951,'CAD_RESÍDUOS'!$B$6:$B$205,0)),1,0))</f>
        <v>0</v>
      </c>
      <c r="W951" s="96">
        <f>IF(AND(ISNUMBER(G951),G951&gt;0),1,0)</f>
        <v>0</v>
      </c>
      <c r="X951" s="96" t="str">
        <f>IF(H951="","",IFERROR(IF(ISNUMBER(INDEX(cfg_fac,MATCH(H951,cfg_units,0))),IF(INDEX(cfg_fac,MATCH(H951,cfg_units,0))&gt;0,INDEX(cfg_fac,MATCH(H951,cfg_units,0)),""),""),""))</f>
        <v/>
      </c>
      <c r="Y951" s="96">
        <f>IF(AND(W951=1,ISNUMBER(I951)),1,0)</f>
        <v>0</v>
      </c>
      <c r="Z951" s="96">
        <f>IF(U951=1,INDEX('MTRs'!$AA$6:$AA$505,T951),0)</f>
        <v>0</v>
      </c>
      <c r="AA951" s="96">
        <f>IF(R951=0,0,COUNTIFS('RECEBIMENTOS'!$R$6:$R$1005,A951,'RECEBIMENTOS'!$Q$6:$Q$1005,1))</f>
        <v>0</v>
      </c>
      <c r="AB951" s="96">
        <f>IF(R951=0,0,COUNTIFS('RECEBIMENTOS'!$R$6:$R$1005,A951,'RECEBIMENTOS'!$Z$6:$Z$1005,1))</f>
        <v>0</v>
      </c>
      <c r="AC951" s="96">
        <f>IF(R951=0,0,COUNTIFS('RECEBIMENTOS'!$R$6:$R$1005,A951,'RECEBIMENTOS'!$Y$6:$Y$1005,1))</f>
        <v>0</v>
      </c>
      <c r="AD951" s="96">
        <f>IF(R951=0,0,COUNTIFS('VÍNCULOS_CDF'!$R$6:$R$1005,A951,'VÍNCULOS_CDF'!$N$6:$N$1005,1))</f>
        <v>0</v>
      </c>
      <c r="AE951" s="96">
        <f>IF(R951=0,0,COUNTIFS('VÍNCULOS_CDF'!$R$6:$R$1005,A951,'VÍNCULOS_CDF'!$AA$6:$AA$1005,1))</f>
        <v>0</v>
      </c>
      <c r="AF951" s="96">
        <f>IF(R951=0,0,COUNTIFS('VÍNCULOS_CDF'!$R$6:$R$1005,A951,'VÍNCULOS_CDF'!$Y$6:$Y$1005,1))</f>
        <v>0</v>
      </c>
      <c r="AG951" s="96" t="str">
        <f>IF(AND(R951=1,S951&lt;&gt;"",C951&lt;&gt;""),S951&amp;"|"&amp;C951&amp;"|"&amp;G951&amp;"|"&amp;H951,"")</f>
        <v/>
      </c>
      <c r="AH951" s="96">
        <f>IF(AG951="",0,IF(SUMPRODUCT(--($AG$6:$AG$1005=AG951))&gt;1,1,0))</f>
        <v>0</v>
      </c>
      <c r="AI951" s="96">
        <f>IF(R951=0,0,IF(OR(U951=0,V951=0,Y951=0,AND(AH951=1,K951&lt;&gt;"Sim")),1,0))</f>
        <v>0</v>
      </c>
      <c r="AJ951" s="96">
        <f>IF(AND(R951=1,AA951&gt;0,AB951=AA951),1,0)</f>
        <v>0</v>
      </c>
      <c r="AK951" s="96">
        <f>IF(R951=0,0,IF(AA951&gt;0,N(L951),IF(ISNUMBER(I951),I951,0)))</f>
        <v>0</v>
      </c>
      <c r="AL951" s="96">
        <f>IF(R951=0,0,IF(AND(K951&lt;&gt;"Sim",N(M951)&gt;AK951+cfg_tol),1,0))</f>
        <v>0</v>
      </c>
      <c r="AM951" s="96">
        <f>IF(R951=0,0,IF(K951="Sim",0,IF(OR(AND(AA951&gt;0,ISNUMBER(I951),ABS(I951-N(L951))&gt;cfg_tol),AL951=1),1,0)))</f>
        <v>0</v>
      </c>
      <c r="AN951" s="96">
        <f>IF(AND(R951=1,N(M951)&gt;0,OR(N(M951)&gt;=AK951-cfg_tol,K951="Sim")),1,0)</f>
        <v>0</v>
      </c>
      <c r="AO951" s="96">
        <f>IF(AND(AN951=1,AD951&gt;0,AE951=AD951,AL951=0),1,0)</f>
        <v>0</v>
      </c>
      <c r="AP951" s="96">
        <f>IF(U951=0,0,IF(AND(INDEX('MTRs'!$AX$6:$AX$505,T951)=1,Z951=0,OR(f_res="",f_res="(Todos)",C951=f_res)),1,0))</f>
        <v>0</v>
      </c>
      <c r="AQ951" s="97" t="str">
        <f>IF(U951=0,"",INDEX('MTRs'!$AZ$6:$AZ$505,T951))</f>
        <v/>
      </c>
      <c r="AR951" s="96">
        <f>IF(U951=0,0,IF(AND(INDEX('MTRs'!$BA$6:$BA$505,T951)=1,Z951=0),1,0))</f>
        <v>0</v>
      </c>
      <c r="AS951" s="96" t="str">
        <f>IF(R951=1,A951&amp;" | MTR "&amp;IF(U951=1,INDEX('MTRs'!$B$6:$B$505,T951)&amp;"","?")&amp;" | "&amp;IF(C951="","(sem resíduo)",C951),"")</f>
        <v/>
      </c>
      <c r="AT951" s="96" t="str">
        <f>IF(R951=1,COUNTIF($R$6:R951,1),"")</f>
        <v/>
      </c>
      <c r="AU951" s="96" t="str">
        <f>IF(U951=1,INDEX('MTRs'!$I$6:$I$505,T951)&amp;"","")</f>
        <v/>
      </c>
    </row>
    <row r="952">
      <c r="A952" s="89" t="inlineStr">
        <is>
          <t>IT-000947</t>
        </is>
      </c>
      <c r="B952" s="91" t="n"/>
      <c r="C952" s="91" t="n"/>
      <c r="D952" s="94" t="str">
        <f>IF(OR(R952=0,V952=0),"",INDEX('CAD_RESÍDUOS'!$E$6:$E$205,MATCH(C952,'CAD_RESÍDUOS'!$B$6:$B$205,0))&amp;"")</f>
        <v/>
      </c>
      <c r="E952" s="94" t="str">
        <f>IF(OR(R952=0,V952=0),"",INDEX('CAD_RESÍDUOS'!$C$6:$C$205,MATCH(C952,'CAD_RESÍDUOS'!$B$6:$B$205,0))&amp;"")</f>
        <v/>
      </c>
      <c r="F952" s="94" t="str">
        <f>IF(OR(R952=0,V952=0),"",INDEX('CAD_RESÍDUOS'!$G$6:$G$205,MATCH(C952,'CAD_RESÍDUOS'!$B$6:$B$205,0))&amp;"")</f>
        <v/>
      </c>
      <c r="G952" s="98" t="n"/>
      <c r="H952" s="91" t="n"/>
      <c r="I952" s="93" t="str">
        <f>IF(R952=0,"",IF(NOT(ISNUMBER(G952)),"",IF(ISNUMBER(X952),G952*X952,"UNIDADE A CONFERIR")))</f>
        <v/>
      </c>
      <c r="J952" s="91" t="n"/>
      <c r="K952" s="91" t="n"/>
      <c r="L952" s="93" t="str">
        <f>IF(R952=0,"",SUMIFS('RECEBIMENTOS'!$H$6:$H$1005,'RECEBIMENTOS'!$R$6:$R$1005,A952,'RECEBIMENTOS'!$X$6:$X$1005,1))</f>
        <v/>
      </c>
      <c r="M952" s="93" t="str">
        <f>IF(R952=0,"",SUMIFS('VÍNCULOS_CDF'!$H$6:$H$1005,'VÍNCULOS_CDF'!$R$6:$R$1005,A952,'VÍNCULOS_CDF'!$V$6:$V$1005,1))</f>
        <v/>
      </c>
      <c r="N952" s="99" t="str">
        <f>IF(OR(R952=0,AA952=0,NOT(ISNUMBER(I952))),"",I952-N(L952))</f>
        <v/>
      </c>
      <c r="O952" s="100" t="str">
        <f>IF(OR(R952=0,AK952&lt;=0),"",N(M952)/AK952)</f>
        <v/>
      </c>
      <c r="P952" s="94" t="str">
        <f>IF(R952=0,"",IF(S952="","Sem MTR associado",IF(U952=0,"MTR inexistente",IF(C952="","Resíduo não identificado",IF(V952=0,"Resíduo fora do cadastro",IF(W952=0,"Quantidade inválida",IF(H952="","Unidade não informada",IF(NOT(ISNUMBER(I952)),"Unidade a conferir",IF(AND(AH952=1,K952&lt;&gt;"Sim"),"Possível duplicidade",IF(Z952=1,"MTR cancelado",IF(AC952&gt;0,"Recebimento com alerta",IF(AA952=0,"Aguardando recebimento",IF(AB952&lt;AA952,"Recebimento a conferir",IF(AM952=1,"Quantidade a revisar",IF(AF952&gt;0,"Vínculo a revisar",IF(AD952=0,"Aguardando CDF",IF(AN952=0,"Vínculo de CDF parcial",IF(AE952&lt;AD952,"CDF a conferir","Documentação conferida"))))))))))))))))))</f>
        <v/>
      </c>
      <c r="Q952" s="93" t="str">
        <f>IF(OR(R952=0,AA952=0),"",MAX(0,N(L952)-N(M952)))</f>
        <v/>
      </c>
      <c r="R952" s="96">
        <f>IF(COUNTA(B952:C952,G952:H952,J952:K952)&gt;0,1,0)</f>
        <v>0</v>
      </c>
      <c r="S952" s="96" t="str">
        <f>IF(B952="","",TRIM(LEFT(B952,FIND(" |",B952&amp;" |")-1)))</f>
        <v/>
      </c>
      <c r="T952" s="96" t="str">
        <f>IF(S952="","",IFERROR(MATCH(S952,'MTRs'!$A$6:$A$505,0),""))</f>
        <v/>
      </c>
      <c r="U952" s="96">
        <f>IF(T952="",0,IF(INDEX('MTRs'!$Z$6:$Z$505,T952)=1,1,0))</f>
        <v>0</v>
      </c>
      <c r="V952" s="96">
        <f>IF(C952="",0,IF(ISNUMBER(MATCH(C952,'CAD_RESÍDUOS'!$B$6:$B$205,0)),1,0))</f>
        <v>0</v>
      </c>
      <c r="W952" s="96">
        <f>IF(AND(ISNUMBER(G952),G952&gt;0),1,0)</f>
        <v>0</v>
      </c>
      <c r="X952" s="96" t="str">
        <f>IF(H952="","",IFERROR(IF(ISNUMBER(INDEX(cfg_fac,MATCH(H952,cfg_units,0))),IF(INDEX(cfg_fac,MATCH(H952,cfg_units,0))&gt;0,INDEX(cfg_fac,MATCH(H952,cfg_units,0)),""),""),""))</f>
        <v/>
      </c>
      <c r="Y952" s="96">
        <f>IF(AND(W952=1,ISNUMBER(I952)),1,0)</f>
        <v>0</v>
      </c>
      <c r="Z952" s="96">
        <f>IF(U952=1,INDEX('MTRs'!$AA$6:$AA$505,T952),0)</f>
        <v>0</v>
      </c>
      <c r="AA952" s="96">
        <f>IF(R952=0,0,COUNTIFS('RECEBIMENTOS'!$R$6:$R$1005,A952,'RECEBIMENTOS'!$Q$6:$Q$1005,1))</f>
        <v>0</v>
      </c>
      <c r="AB952" s="96">
        <f>IF(R952=0,0,COUNTIFS('RECEBIMENTOS'!$R$6:$R$1005,A952,'RECEBIMENTOS'!$Z$6:$Z$1005,1))</f>
        <v>0</v>
      </c>
      <c r="AC952" s="96">
        <f>IF(R952=0,0,COUNTIFS('RECEBIMENTOS'!$R$6:$R$1005,A952,'RECEBIMENTOS'!$Y$6:$Y$1005,1))</f>
        <v>0</v>
      </c>
      <c r="AD952" s="96">
        <f>IF(R952=0,0,COUNTIFS('VÍNCULOS_CDF'!$R$6:$R$1005,A952,'VÍNCULOS_CDF'!$N$6:$N$1005,1))</f>
        <v>0</v>
      </c>
      <c r="AE952" s="96">
        <f>IF(R952=0,0,COUNTIFS('VÍNCULOS_CDF'!$R$6:$R$1005,A952,'VÍNCULOS_CDF'!$AA$6:$AA$1005,1))</f>
        <v>0</v>
      </c>
      <c r="AF952" s="96">
        <f>IF(R952=0,0,COUNTIFS('VÍNCULOS_CDF'!$R$6:$R$1005,A952,'VÍNCULOS_CDF'!$Y$6:$Y$1005,1))</f>
        <v>0</v>
      </c>
      <c r="AG952" s="96" t="str">
        <f>IF(AND(R952=1,S952&lt;&gt;"",C952&lt;&gt;""),S952&amp;"|"&amp;C952&amp;"|"&amp;G952&amp;"|"&amp;H952,"")</f>
        <v/>
      </c>
      <c r="AH952" s="96">
        <f>IF(AG952="",0,IF(SUMPRODUCT(--($AG$6:$AG$1005=AG952))&gt;1,1,0))</f>
        <v>0</v>
      </c>
      <c r="AI952" s="96">
        <f>IF(R952=0,0,IF(OR(U952=0,V952=0,Y952=0,AND(AH952=1,K952&lt;&gt;"Sim")),1,0))</f>
        <v>0</v>
      </c>
      <c r="AJ952" s="96">
        <f>IF(AND(R952=1,AA952&gt;0,AB952=AA952),1,0)</f>
        <v>0</v>
      </c>
      <c r="AK952" s="96">
        <f>IF(R952=0,0,IF(AA952&gt;0,N(L952),IF(ISNUMBER(I952),I952,0)))</f>
        <v>0</v>
      </c>
      <c r="AL952" s="96">
        <f>IF(R952=0,0,IF(AND(K952&lt;&gt;"Sim",N(M952)&gt;AK952+cfg_tol),1,0))</f>
        <v>0</v>
      </c>
      <c r="AM952" s="96">
        <f>IF(R952=0,0,IF(K952="Sim",0,IF(OR(AND(AA952&gt;0,ISNUMBER(I952),ABS(I952-N(L952))&gt;cfg_tol),AL952=1),1,0)))</f>
        <v>0</v>
      </c>
      <c r="AN952" s="96">
        <f>IF(AND(R952=1,N(M952)&gt;0,OR(N(M952)&gt;=AK952-cfg_tol,K952="Sim")),1,0)</f>
        <v>0</v>
      </c>
      <c r="AO952" s="96">
        <f>IF(AND(AN952=1,AD952&gt;0,AE952=AD952,AL952=0),1,0)</f>
        <v>0</v>
      </c>
      <c r="AP952" s="96">
        <f>IF(U952=0,0,IF(AND(INDEX('MTRs'!$AX$6:$AX$505,T952)=1,Z952=0,OR(f_res="",f_res="(Todos)",C952=f_res)),1,0))</f>
        <v>0</v>
      </c>
      <c r="AQ952" s="97" t="str">
        <f>IF(U952=0,"",INDEX('MTRs'!$AZ$6:$AZ$505,T952))</f>
        <v/>
      </c>
      <c r="AR952" s="96">
        <f>IF(U952=0,0,IF(AND(INDEX('MTRs'!$BA$6:$BA$505,T952)=1,Z952=0),1,0))</f>
        <v>0</v>
      </c>
      <c r="AS952" s="96" t="str">
        <f>IF(R952=1,A952&amp;" | MTR "&amp;IF(U952=1,INDEX('MTRs'!$B$6:$B$505,T952)&amp;"","?")&amp;" | "&amp;IF(C952="","(sem resíduo)",C952),"")</f>
        <v/>
      </c>
      <c r="AT952" s="96" t="str">
        <f>IF(R952=1,COUNTIF($R$6:R952,1),"")</f>
        <v/>
      </c>
      <c r="AU952" s="96" t="str">
        <f>IF(U952=1,INDEX('MTRs'!$I$6:$I$505,T952)&amp;"","")</f>
        <v/>
      </c>
    </row>
    <row r="953">
      <c r="A953" s="89" t="inlineStr">
        <is>
          <t>IT-000948</t>
        </is>
      </c>
      <c r="B953" s="91" t="n"/>
      <c r="C953" s="91" t="n"/>
      <c r="D953" s="94" t="str">
        <f>IF(OR(R953=0,V953=0),"",INDEX('CAD_RESÍDUOS'!$E$6:$E$205,MATCH(C953,'CAD_RESÍDUOS'!$B$6:$B$205,0))&amp;"")</f>
        <v/>
      </c>
      <c r="E953" s="94" t="str">
        <f>IF(OR(R953=0,V953=0),"",INDEX('CAD_RESÍDUOS'!$C$6:$C$205,MATCH(C953,'CAD_RESÍDUOS'!$B$6:$B$205,0))&amp;"")</f>
        <v/>
      </c>
      <c r="F953" s="94" t="str">
        <f>IF(OR(R953=0,V953=0),"",INDEX('CAD_RESÍDUOS'!$G$6:$G$205,MATCH(C953,'CAD_RESÍDUOS'!$B$6:$B$205,0))&amp;"")</f>
        <v/>
      </c>
      <c r="G953" s="98" t="n"/>
      <c r="H953" s="91" t="n"/>
      <c r="I953" s="93" t="str">
        <f>IF(R953=0,"",IF(NOT(ISNUMBER(G953)),"",IF(ISNUMBER(X953),G953*X953,"UNIDADE A CONFERIR")))</f>
        <v/>
      </c>
      <c r="J953" s="91" t="n"/>
      <c r="K953" s="91" t="n"/>
      <c r="L953" s="93" t="str">
        <f>IF(R953=0,"",SUMIFS('RECEBIMENTOS'!$H$6:$H$1005,'RECEBIMENTOS'!$R$6:$R$1005,A953,'RECEBIMENTOS'!$X$6:$X$1005,1))</f>
        <v/>
      </c>
      <c r="M953" s="93" t="str">
        <f>IF(R953=0,"",SUMIFS('VÍNCULOS_CDF'!$H$6:$H$1005,'VÍNCULOS_CDF'!$R$6:$R$1005,A953,'VÍNCULOS_CDF'!$V$6:$V$1005,1))</f>
        <v/>
      </c>
      <c r="N953" s="99" t="str">
        <f>IF(OR(R953=0,AA953=0,NOT(ISNUMBER(I953))),"",I953-N(L953))</f>
        <v/>
      </c>
      <c r="O953" s="100" t="str">
        <f>IF(OR(R953=0,AK953&lt;=0),"",N(M953)/AK953)</f>
        <v/>
      </c>
      <c r="P953" s="94" t="str">
        <f>IF(R953=0,"",IF(S953="","Sem MTR associado",IF(U953=0,"MTR inexistente",IF(C953="","Resíduo não identificado",IF(V953=0,"Resíduo fora do cadastro",IF(W953=0,"Quantidade inválida",IF(H953="","Unidade não informada",IF(NOT(ISNUMBER(I953)),"Unidade a conferir",IF(AND(AH953=1,K953&lt;&gt;"Sim"),"Possível duplicidade",IF(Z953=1,"MTR cancelado",IF(AC953&gt;0,"Recebimento com alerta",IF(AA953=0,"Aguardando recebimento",IF(AB953&lt;AA953,"Recebimento a conferir",IF(AM953=1,"Quantidade a revisar",IF(AF953&gt;0,"Vínculo a revisar",IF(AD953=0,"Aguardando CDF",IF(AN953=0,"Vínculo de CDF parcial",IF(AE953&lt;AD953,"CDF a conferir","Documentação conferida"))))))))))))))))))</f>
        <v/>
      </c>
      <c r="Q953" s="93" t="str">
        <f>IF(OR(R953=0,AA953=0),"",MAX(0,N(L953)-N(M953)))</f>
        <v/>
      </c>
      <c r="R953" s="96">
        <f>IF(COUNTA(B953:C953,G953:H953,J953:K953)&gt;0,1,0)</f>
        <v>0</v>
      </c>
      <c r="S953" s="96" t="str">
        <f>IF(B953="","",TRIM(LEFT(B953,FIND(" |",B953&amp;" |")-1)))</f>
        <v/>
      </c>
      <c r="T953" s="96" t="str">
        <f>IF(S953="","",IFERROR(MATCH(S953,'MTRs'!$A$6:$A$505,0),""))</f>
        <v/>
      </c>
      <c r="U953" s="96">
        <f>IF(T953="",0,IF(INDEX('MTRs'!$Z$6:$Z$505,T953)=1,1,0))</f>
        <v>0</v>
      </c>
      <c r="V953" s="96">
        <f>IF(C953="",0,IF(ISNUMBER(MATCH(C953,'CAD_RESÍDUOS'!$B$6:$B$205,0)),1,0))</f>
        <v>0</v>
      </c>
      <c r="W953" s="96">
        <f>IF(AND(ISNUMBER(G953),G953&gt;0),1,0)</f>
        <v>0</v>
      </c>
      <c r="X953" s="96" t="str">
        <f>IF(H953="","",IFERROR(IF(ISNUMBER(INDEX(cfg_fac,MATCH(H953,cfg_units,0))),IF(INDEX(cfg_fac,MATCH(H953,cfg_units,0))&gt;0,INDEX(cfg_fac,MATCH(H953,cfg_units,0)),""),""),""))</f>
        <v/>
      </c>
      <c r="Y953" s="96">
        <f>IF(AND(W953=1,ISNUMBER(I953)),1,0)</f>
        <v>0</v>
      </c>
      <c r="Z953" s="96">
        <f>IF(U953=1,INDEX('MTRs'!$AA$6:$AA$505,T953),0)</f>
        <v>0</v>
      </c>
      <c r="AA953" s="96">
        <f>IF(R953=0,0,COUNTIFS('RECEBIMENTOS'!$R$6:$R$1005,A953,'RECEBIMENTOS'!$Q$6:$Q$1005,1))</f>
        <v>0</v>
      </c>
      <c r="AB953" s="96">
        <f>IF(R953=0,0,COUNTIFS('RECEBIMENTOS'!$R$6:$R$1005,A953,'RECEBIMENTOS'!$Z$6:$Z$1005,1))</f>
        <v>0</v>
      </c>
      <c r="AC953" s="96">
        <f>IF(R953=0,0,COUNTIFS('RECEBIMENTOS'!$R$6:$R$1005,A953,'RECEBIMENTOS'!$Y$6:$Y$1005,1))</f>
        <v>0</v>
      </c>
      <c r="AD953" s="96">
        <f>IF(R953=0,0,COUNTIFS('VÍNCULOS_CDF'!$R$6:$R$1005,A953,'VÍNCULOS_CDF'!$N$6:$N$1005,1))</f>
        <v>0</v>
      </c>
      <c r="AE953" s="96">
        <f>IF(R953=0,0,COUNTIFS('VÍNCULOS_CDF'!$R$6:$R$1005,A953,'VÍNCULOS_CDF'!$AA$6:$AA$1005,1))</f>
        <v>0</v>
      </c>
      <c r="AF953" s="96">
        <f>IF(R953=0,0,COUNTIFS('VÍNCULOS_CDF'!$R$6:$R$1005,A953,'VÍNCULOS_CDF'!$Y$6:$Y$1005,1))</f>
        <v>0</v>
      </c>
      <c r="AG953" s="96" t="str">
        <f>IF(AND(R953=1,S953&lt;&gt;"",C953&lt;&gt;""),S953&amp;"|"&amp;C953&amp;"|"&amp;G953&amp;"|"&amp;H953,"")</f>
        <v/>
      </c>
      <c r="AH953" s="96">
        <f>IF(AG953="",0,IF(SUMPRODUCT(--($AG$6:$AG$1005=AG953))&gt;1,1,0))</f>
        <v>0</v>
      </c>
      <c r="AI953" s="96">
        <f>IF(R953=0,0,IF(OR(U953=0,V953=0,Y953=0,AND(AH953=1,K953&lt;&gt;"Sim")),1,0))</f>
        <v>0</v>
      </c>
      <c r="AJ953" s="96">
        <f>IF(AND(R953=1,AA953&gt;0,AB953=AA953),1,0)</f>
        <v>0</v>
      </c>
      <c r="AK953" s="96">
        <f>IF(R953=0,0,IF(AA953&gt;0,N(L953),IF(ISNUMBER(I953),I953,0)))</f>
        <v>0</v>
      </c>
      <c r="AL953" s="96">
        <f>IF(R953=0,0,IF(AND(K953&lt;&gt;"Sim",N(M953)&gt;AK953+cfg_tol),1,0))</f>
        <v>0</v>
      </c>
      <c r="AM953" s="96">
        <f>IF(R953=0,0,IF(K953="Sim",0,IF(OR(AND(AA953&gt;0,ISNUMBER(I953),ABS(I953-N(L953))&gt;cfg_tol),AL953=1),1,0)))</f>
        <v>0</v>
      </c>
      <c r="AN953" s="96">
        <f>IF(AND(R953=1,N(M953)&gt;0,OR(N(M953)&gt;=AK953-cfg_tol,K953="Sim")),1,0)</f>
        <v>0</v>
      </c>
      <c r="AO953" s="96">
        <f>IF(AND(AN953=1,AD953&gt;0,AE953=AD953,AL953=0),1,0)</f>
        <v>0</v>
      </c>
      <c r="AP953" s="96">
        <f>IF(U953=0,0,IF(AND(INDEX('MTRs'!$AX$6:$AX$505,T953)=1,Z953=0,OR(f_res="",f_res="(Todos)",C953=f_res)),1,0))</f>
        <v>0</v>
      </c>
      <c r="AQ953" s="97" t="str">
        <f>IF(U953=0,"",INDEX('MTRs'!$AZ$6:$AZ$505,T953))</f>
        <v/>
      </c>
      <c r="AR953" s="96">
        <f>IF(U953=0,0,IF(AND(INDEX('MTRs'!$BA$6:$BA$505,T953)=1,Z953=0),1,0))</f>
        <v>0</v>
      </c>
      <c r="AS953" s="96" t="str">
        <f>IF(R953=1,A953&amp;" | MTR "&amp;IF(U953=1,INDEX('MTRs'!$B$6:$B$505,T953)&amp;"","?")&amp;" | "&amp;IF(C953="","(sem resíduo)",C953),"")</f>
        <v/>
      </c>
      <c r="AT953" s="96" t="str">
        <f>IF(R953=1,COUNTIF($R$6:R953,1),"")</f>
        <v/>
      </c>
      <c r="AU953" s="96" t="str">
        <f>IF(U953=1,INDEX('MTRs'!$I$6:$I$505,T953)&amp;"","")</f>
        <v/>
      </c>
    </row>
    <row r="954">
      <c r="A954" s="89" t="inlineStr">
        <is>
          <t>IT-000949</t>
        </is>
      </c>
      <c r="B954" s="91" t="n"/>
      <c r="C954" s="91" t="n"/>
      <c r="D954" s="94" t="str">
        <f>IF(OR(R954=0,V954=0),"",INDEX('CAD_RESÍDUOS'!$E$6:$E$205,MATCH(C954,'CAD_RESÍDUOS'!$B$6:$B$205,0))&amp;"")</f>
        <v/>
      </c>
      <c r="E954" s="94" t="str">
        <f>IF(OR(R954=0,V954=0),"",INDEX('CAD_RESÍDUOS'!$C$6:$C$205,MATCH(C954,'CAD_RESÍDUOS'!$B$6:$B$205,0))&amp;"")</f>
        <v/>
      </c>
      <c r="F954" s="94" t="str">
        <f>IF(OR(R954=0,V954=0),"",INDEX('CAD_RESÍDUOS'!$G$6:$G$205,MATCH(C954,'CAD_RESÍDUOS'!$B$6:$B$205,0))&amp;"")</f>
        <v/>
      </c>
      <c r="G954" s="98" t="n"/>
      <c r="H954" s="91" t="n"/>
      <c r="I954" s="93" t="str">
        <f>IF(R954=0,"",IF(NOT(ISNUMBER(G954)),"",IF(ISNUMBER(X954),G954*X954,"UNIDADE A CONFERIR")))</f>
        <v/>
      </c>
      <c r="J954" s="91" t="n"/>
      <c r="K954" s="91" t="n"/>
      <c r="L954" s="93" t="str">
        <f>IF(R954=0,"",SUMIFS('RECEBIMENTOS'!$H$6:$H$1005,'RECEBIMENTOS'!$R$6:$R$1005,A954,'RECEBIMENTOS'!$X$6:$X$1005,1))</f>
        <v/>
      </c>
      <c r="M954" s="93" t="str">
        <f>IF(R954=0,"",SUMIFS('VÍNCULOS_CDF'!$H$6:$H$1005,'VÍNCULOS_CDF'!$R$6:$R$1005,A954,'VÍNCULOS_CDF'!$V$6:$V$1005,1))</f>
        <v/>
      </c>
      <c r="N954" s="99" t="str">
        <f>IF(OR(R954=0,AA954=0,NOT(ISNUMBER(I954))),"",I954-N(L954))</f>
        <v/>
      </c>
      <c r="O954" s="100" t="str">
        <f>IF(OR(R954=0,AK954&lt;=0),"",N(M954)/AK954)</f>
        <v/>
      </c>
      <c r="P954" s="94" t="str">
        <f>IF(R954=0,"",IF(S954="","Sem MTR associado",IF(U954=0,"MTR inexistente",IF(C954="","Resíduo não identificado",IF(V954=0,"Resíduo fora do cadastro",IF(W954=0,"Quantidade inválida",IF(H954="","Unidade não informada",IF(NOT(ISNUMBER(I954)),"Unidade a conferir",IF(AND(AH954=1,K954&lt;&gt;"Sim"),"Possível duplicidade",IF(Z954=1,"MTR cancelado",IF(AC954&gt;0,"Recebimento com alerta",IF(AA954=0,"Aguardando recebimento",IF(AB954&lt;AA954,"Recebimento a conferir",IF(AM954=1,"Quantidade a revisar",IF(AF954&gt;0,"Vínculo a revisar",IF(AD954=0,"Aguardando CDF",IF(AN954=0,"Vínculo de CDF parcial",IF(AE954&lt;AD954,"CDF a conferir","Documentação conferida"))))))))))))))))))</f>
        <v/>
      </c>
      <c r="Q954" s="93" t="str">
        <f>IF(OR(R954=0,AA954=0),"",MAX(0,N(L954)-N(M954)))</f>
        <v/>
      </c>
      <c r="R954" s="96">
        <f>IF(COUNTA(B954:C954,G954:H954,J954:K954)&gt;0,1,0)</f>
        <v>0</v>
      </c>
      <c r="S954" s="96" t="str">
        <f>IF(B954="","",TRIM(LEFT(B954,FIND(" |",B954&amp;" |")-1)))</f>
        <v/>
      </c>
      <c r="T954" s="96" t="str">
        <f>IF(S954="","",IFERROR(MATCH(S954,'MTRs'!$A$6:$A$505,0),""))</f>
        <v/>
      </c>
      <c r="U954" s="96">
        <f>IF(T954="",0,IF(INDEX('MTRs'!$Z$6:$Z$505,T954)=1,1,0))</f>
        <v>0</v>
      </c>
      <c r="V954" s="96">
        <f>IF(C954="",0,IF(ISNUMBER(MATCH(C954,'CAD_RESÍDUOS'!$B$6:$B$205,0)),1,0))</f>
        <v>0</v>
      </c>
      <c r="W954" s="96">
        <f>IF(AND(ISNUMBER(G954),G954&gt;0),1,0)</f>
        <v>0</v>
      </c>
      <c r="X954" s="96" t="str">
        <f>IF(H954="","",IFERROR(IF(ISNUMBER(INDEX(cfg_fac,MATCH(H954,cfg_units,0))),IF(INDEX(cfg_fac,MATCH(H954,cfg_units,0))&gt;0,INDEX(cfg_fac,MATCH(H954,cfg_units,0)),""),""),""))</f>
        <v/>
      </c>
      <c r="Y954" s="96">
        <f>IF(AND(W954=1,ISNUMBER(I954)),1,0)</f>
        <v>0</v>
      </c>
      <c r="Z954" s="96">
        <f>IF(U954=1,INDEX('MTRs'!$AA$6:$AA$505,T954),0)</f>
        <v>0</v>
      </c>
      <c r="AA954" s="96">
        <f>IF(R954=0,0,COUNTIFS('RECEBIMENTOS'!$R$6:$R$1005,A954,'RECEBIMENTOS'!$Q$6:$Q$1005,1))</f>
        <v>0</v>
      </c>
      <c r="AB954" s="96">
        <f>IF(R954=0,0,COUNTIFS('RECEBIMENTOS'!$R$6:$R$1005,A954,'RECEBIMENTOS'!$Z$6:$Z$1005,1))</f>
        <v>0</v>
      </c>
      <c r="AC954" s="96">
        <f>IF(R954=0,0,COUNTIFS('RECEBIMENTOS'!$R$6:$R$1005,A954,'RECEBIMENTOS'!$Y$6:$Y$1005,1))</f>
        <v>0</v>
      </c>
      <c r="AD954" s="96">
        <f>IF(R954=0,0,COUNTIFS('VÍNCULOS_CDF'!$R$6:$R$1005,A954,'VÍNCULOS_CDF'!$N$6:$N$1005,1))</f>
        <v>0</v>
      </c>
      <c r="AE954" s="96">
        <f>IF(R954=0,0,COUNTIFS('VÍNCULOS_CDF'!$R$6:$R$1005,A954,'VÍNCULOS_CDF'!$AA$6:$AA$1005,1))</f>
        <v>0</v>
      </c>
      <c r="AF954" s="96">
        <f>IF(R954=0,0,COUNTIFS('VÍNCULOS_CDF'!$R$6:$R$1005,A954,'VÍNCULOS_CDF'!$Y$6:$Y$1005,1))</f>
        <v>0</v>
      </c>
      <c r="AG954" s="96" t="str">
        <f>IF(AND(R954=1,S954&lt;&gt;"",C954&lt;&gt;""),S954&amp;"|"&amp;C954&amp;"|"&amp;G954&amp;"|"&amp;H954,"")</f>
        <v/>
      </c>
      <c r="AH954" s="96">
        <f>IF(AG954="",0,IF(SUMPRODUCT(--($AG$6:$AG$1005=AG954))&gt;1,1,0))</f>
        <v>0</v>
      </c>
      <c r="AI954" s="96">
        <f>IF(R954=0,0,IF(OR(U954=0,V954=0,Y954=0,AND(AH954=1,K954&lt;&gt;"Sim")),1,0))</f>
        <v>0</v>
      </c>
      <c r="AJ954" s="96">
        <f>IF(AND(R954=1,AA954&gt;0,AB954=AA954),1,0)</f>
        <v>0</v>
      </c>
      <c r="AK954" s="96">
        <f>IF(R954=0,0,IF(AA954&gt;0,N(L954),IF(ISNUMBER(I954),I954,0)))</f>
        <v>0</v>
      </c>
      <c r="AL954" s="96">
        <f>IF(R954=0,0,IF(AND(K954&lt;&gt;"Sim",N(M954)&gt;AK954+cfg_tol),1,0))</f>
        <v>0</v>
      </c>
      <c r="AM954" s="96">
        <f>IF(R954=0,0,IF(K954="Sim",0,IF(OR(AND(AA954&gt;0,ISNUMBER(I954),ABS(I954-N(L954))&gt;cfg_tol),AL954=1),1,0)))</f>
        <v>0</v>
      </c>
      <c r="AN954" s="96">
        <f>IF(AND(R954=1,N(M954)&gt;0,OR(N(M954)&gt;=AK954-cfg_tol,K954="Sim")),1,0)</f>
        <v>0</v>
      </c>
      <c r="AO954" s="96">
        <f>IF(AND(AN954=1,AD954&gt;0,AE954=AD954,AL954=0),1,0)</f>
        <v>0</v>
      </c>
      <c r="AP954" s="96">
        <f>IF(U954=0,0,IF(AND(INDEX('MTRs'!$AX$6:$AX$505,T954)=1,Z954=0,OR(f_res="",f_res="(Todos)",C954=f_res)),1,0))</f>
        <v>0</v>
      </c>
      <c r="AQ954" s="97" t="str">
        <f>IF(U954=0,"",INDEX('MTRs'!$AZ$6:$AZ$505,T954))</f>
        <v/>
      </c>
      <c r="AR954" s="96">
        <f>IF(U954=0,0,IF(AND(INDEX('MTRs'!$BA$6:$BA$505,T954)=1,Z954=0),1,0))</f>
        <v>0</v>
      </c>
      <c r="AS954" s="96" t="str">
        <f>IF(R954=1,A954&amp;" | MTR "&amp;IF(U954=1,INDEX('MTRs'!$B$6:$B$505,T954)&amp;"","?")&amp;" | "&amp;IF(C954="","(sem resíduo)",C954),"")</f>
        <v/>
      </c>
      <c r="AT954" s="96" t="str">
        <f>IF(R954=1,COUNTIF($R$6:R954,1),"")</f>
        <v/>
      </c>
      <c r="AU954" s="96" t="str">
        <f>IF(U954=1,INDEX('MTRs'!$I$6:$I$505,T954)&amp;"","")</f>
        <v/>
      </c>
    </row>
    <row r="955">
      <c r="A955" s="89" t="inlineStr">
        <is>
          <t>IT-000950</t>
        </is>
      </c>
      <c r="B955" s="91" t="n"/>
      <c r="C955" s="91" t="n"/>
      <c r="D955" s="94" t="str">
        <f>IF(OR(R955=0,V955=0),"",INDEX('CAD_RESÍDUOS'!$E$6:$E$205,MATCH(C955,'CAD_RESÍDUOS'!$B$6:$B$205,0))&amp;"")</f>
        <v/>
      </c>
      <c r="E955" s="94" t="str">
        <f>IF(OR(R955=0,V955=0),"",INDEX('CAD_RESÍDUOS'!$C$6:$C$205,MATCH(C955,'CAD_RESÍDUOS'!$B$6:$B$205,0))&amp;"")</f>
        <v/>
      </c>
      <c r="F955" s="94" t="str">
        <f>IF(OR(R955=0,V955=0),"",INDEX('CAD_RESÍDUOS'!$G$6:$G$205,MATCH(C955,'CAD_RESÍDUOS'!$B$6:$B$205,0))&amp;"")</f>
        <v/>
      </c>
      <c r="G955" s="98" t="n"/>
      <c r="H955" s="91" t="n"/>
      <c r="I955" s="93" t="str">
        <f>IF(R955=0,"",IF(NOT(ISNUMBER(G955)),"",IF(ISNUMBER(X955),G955*X955,"UNIDADE A CONFERIR")))</f>
        <v/>
      </c>
      <c r="J955" s="91" t="n"/>
      <c r="K955" s="91" t="n"/>
      <c r="L955" s="93" t="str">
        <f>IF(R955=0,"",SUMIFS('RECEBIMENTOS'!$H$6:$H$1005,'RECEBIMENTOS'!$R$6:$R$1005,A955,'RECEBIMENTOS'!$X$6:$X$1005,1))</f>
        <v/>
      </c>
      <c r="M955" s="93" t="str">
        <f>IF(R955=0,"",SUMIFS('VÍNCULOS_CDF'!$H$6:$H$1005,'VÍNCULOS_CDF'!$R$6:$R$1005,A955,'VÍNCULOS_CDF'!$V$6:$V$1005,1))</f>
        <v/>
      </c>
      <c r="N955" s="99" t="str">
        <f>IF(OR(R955=0,AA955=0,NOT(ISNUMBER(I955))),"",I955-N(L955))</f>
        <v/>
      </c>
      <c r="O955" s="100" t="str">
        <f>IF(OR(R955=0,AK955&lt;=0),"",N(M955)/AK955)</f>
        <v/>
      </c>
      <c r="P955" s="94" t="str">
        <f>IF(R955=0,"",IF(S955="","Sem MTR associado",IF(U955=0,"MTR inexistente",IF(C955="","Resíduo não identificado",IF(V955=0,"Resíduo fora do cadastro",IF(W955=0,"Quantidade inválida",IF(H955="","Unidade não informada",IF(NOT(ISNUMBER(I955)),"Unidade a conferir",IF(AND(AH955=1,K955&lt;&gt;"Sim"),"Possível duplicidade",IF(Z955=1,"MTR cancelado",IF(AC955&gt;0,"Recebimento com alerta",IF(AA955=0,"Aguardando recebimento",IF(AB955&lt;AA955,"Recebimento a conferir",IF(AM955=1,"Quantidade a revisar",IF(AF955&gt;0,"Vínculo a revisar",IF(AD955=0,"Aguardando CDF",IF(AN955=0,"Vínculo de CDF parcial",IF(AE955&lt;AD955,"CDF a conferir","Documentação conferida"))))))))))))))))))</f>
        <v/>
      </c>
      <c r="Q955" s="93" t="str">
        <f>IF(OR(R955=0,AA955=0),"",MAX(0,N(L955)-N(M955)))</f>
        <v/>
      </c>
      <c r="R955" s="96">
        <f>IF(COUNTA(B955:C955,G955:H955,J955:K955)&gt;0,1,0)</f>
        <v>0</v>
      </c>
      <c r="S955" s="96" t="str">
        <f>IF(B955="","",TRIM(LEFT(B955,FIND(" |",B955&amp;" |")-1)))</f>
        <v/>
      </c>
      <c r="T955" s="96" t="str">
        <f>IF(S955="","",IFERROR(MATCH(S955,'MTRs'!$A$6:$A$505,0),""))</f>
        <v/>
      </c>
      <c r="U955" s="96">
        <f>IF(T955="",0,IF(INDEX('MTRs'!$Z$6:$Z$505,T955)=1,1,0))</f>
        <v>0</v>
      </c>
      <c r="V955" s="96">
        <f>IF(C955="",0,IF(ISNUMBER(MATCH(C955,'CAD_RESÍDUOS'!$B$6:$B$205,0)),1,0))</f>
        <v>0</v>
      </c>
      <c r="W955" s="96">
        <f>IF(AND(ISNUMBER(G955),G955&gt;0),1,0)</f>
        <v>0</v>
      </c>
      <c r="X955" s="96" t="str">
        <f>IF(H955="","",IFERROR(IF(ISNUMBER(INDEX(cfg_fac,MATCH(H955,cfg_units,0))),IF(INDEX(cfg_fac,MATCH(H955,cfg_units,0))&gt;0,INDEX(cfg_fac,MATCH(H955,cfg_units,0)),""),""),""))</f>
        <v/>
      </c>
      <c r="Y955" s="96">
        <f>IF(AND(W955=1,ISNUMBER(I955)),1,0)</f>
        <v>0</v>
      </c>
      <c r="Z955" s="96">
        <f>IF(U955=1,INDEX('MTRs'!$AA$6:$AA$505,T955),0)</f>
        <v>0</v>
      </c>
      <c r="AA955" s="96">
        <f>IF(R955=0,0,COUNTIFS('RECEBIMENTOS'!$R$6:$R$1005,A955,'RECEBIMENTOS'!$Q$6:$Q$1005,1))</f>
        <v>0</v>
      </c>
      <c r="AB955" s="96">
        <f>IF(R955=0,0,COUNTIFS('RECEBIMENTOS'!$R$6:$R$1005,A955,'RECEBIMENTOS'!$Z$6:$Z$1005,1))</f>
        <v>0</v>
      </c>
      <c r="AC955" s="96">
        <f>IF(R955=0,0,COUNTIFS('RECEBIMENTOS'!$R$6:$R$1005,A955,'RECEBIMENTOS'!$Y$6:$Y$1005,1))</f>
        <v>0</v>
      </c>
      <c r="AD955" s="96">
        <f>IF(R955=0,0,COUNTIFS('VÍNCULOS_CDF'!$R$6:$R$1005,A955,'VÍNCULOS_CDF'!$N$6:$N$1005,1))</f>
        <v>0</v>
      </c>
      <c r="AE955" s="96">
        <f>IF(R955=0,0,COUNTIFS('VÍNCULOS_CDF'!$R$6:$R$1005,A955,'VÍNCULOS_CDF'!$AA$6:$AA$1005,1))</f>
        <v>0</v>
      </c>
      <c r="AF955" s="96">
        <f>IF(R955=0,0,COUNTIFS('VÍNCULOS_CDF'!$R$6:$R$1005,A955,'VÍNCULOS_CDF'!$Y$6:$Y$1005,1))</f>
        <v>0</v>
      </c>
      <c r="AG955" s="96" t="str">
        <f>IF(AND(R955=1,S955&lt;&gt;"",C955&lt;&gt;""),S955&amp;"|"&amp;C955&amp;"|"&amp;G955&amp;"|"&amp;H955,"")</f>
        <v/>
      </c>
      <c r="AH955" s="96">
        <f>IF(AG955="",0,IF(SUMPRODUCT(--($AG$6:$AG$1005=AG955))&gt;1,1,0))</f>
        <v>0</v>
      </c>
      <c r="AI955" s="96">
        <f>IF(R955=0,0,IF(OR(U955=0,V955=0,Y955=0,AND(AH955=1,K955&lt;&gt;"Sim")),1,0))</f>
        <v>0</v>
      </c>
      <c r="AJ955" s="96">
        <f>IF(AND(R955=1,AA955&gt;0,AB955=AA955),1,0)</f>
        <v>0</v>
      </c>
      <c r="AK955" s="96">
        <f>IF(R955=0,0,IF(AA955&gt;0,N(L955),IF(ISNUMBER(I955),I955,0)))</f>
        <v>0</v>
      </c>
      <c r="AL955" s="96">
        <f>IF(R955=0,0,IF(AND(K955&lt;&gt;"Sim",N(M955)&gt;AK955+cfg_tol),1,0))</f>
        <v>0</v>
      </c>
      <c r="AM955" s="96">
        <f>IF(R955=0,0,IF(K955="Sim",0,IF(OR(AND(AA955&gt;0,ISNUMBER(I955),ABS(I955-N(L955))&gt;cfg_tol),AL955=1),1,0)))</f>
        <v>0</v>
      </c>
      <c r="AN955" s="96">
        <f>IF(AND(R955=1,N(M955)&gt;0,OR(N(M955)&gt;=AK955-cfg_tol,K955="Sim")),1,0)</f>
        <v>0</v>
      </c>
      <c r="AO955" s="96">
        <f>IF(AND(AN955=1,AD955&gt;0,AE955=AD955,AL955=0),1,0)</f>
        <v>0</v>
      </c>
      <c r="AP955" s="96">
        <f>IF(U955=0,0,IF(AND(INDEX('MTRs'!$AX$6:$AX$505,T955)=1,Z955=0,OR(f_res="",f_res="(Todos)",C955=f_res)),1,0))</f>
        <v>0</v>
      </c>
      <c r="AQ955" s="97" t="str">
        <f>IF(U955=0,"",INDEX('MTRs'!$AZ$6:$AZ$505,T955))</f>
        <v/>
      </c>
      <c r="AR955" s="96">
        <f>IF(U955=0,0,IF(AND(INDEX('MTRs'!$BA$6:$BA$505,T955)=1,Z955=0),1,0))</f>
        <v>0</v>
      </c>
      <c r="AS955" s="96" t="str">
        <f>IF(R955=1,A955&amp;" | MTR "&amp;IF(U955=1,INDEX('MTRs'!$B$6:$B$505,T955)&amp;"","?")&amp;" | "&amp;IF(C955="","(sem resíduo)",C955),"")</f>
        <v/>
      </c>
      <c r="AT955" s="96" t="str">
        <f>IF(R955=1,COUNTIF($R$6:R955,1),"")</f>
        <v/>
      </c>
      <c r="AU955" s="96" t="str">
        <f>IF(U955=1,INDEX('MTRs'!$I$6:$I$505,T955)&amp;"","")</f>
        <v/>
      </c>
    </row>
    <row r="956">
      <c r="A956" s="89" t="inlineStr">
        <is>
          <t>IT-000951</t>
        </is>
      </c>
      <c r="B956" s="91" t="n"/>
      <c r="C956" s="91" t="n"/>
      <c r="D956" s="94" t="str">
        <f>IF(OR(R956=0,V956=0),"",INDEX('CAD_RESÍDUOS'!$E$6:$E$205,MATCH(C956,'CAD_RESÍDUOS'!$B$6:$B$205,0))&amp;"")</f>
        <v/>
      </c>
      <c r="E956" s="94" t="str">
        <f>IF(OR(R956=0,V956=0),"",INDEX('CAD_RESÍDUOS'!$C$6:$C$205,MATCH(C956,'CAD_RESÍDUOS'!$B$6:$B$205,0))&amp;"")</f>
        <v/>
      </c>
      <c r="F956" s="94" t="str">
        <f>IF(OR(R956=0,V956=0),"",INDEX('CAD_RESÍDUOS'!$G$6:$G$205,MATCH(C956,'CAD_RESÍDUOS'!$B$6:$B$205,0))&amp;"")</f>
        <v/>
      </c>
      <c r="G956" s="98" t="n"/>
      <c r="H956" s="91" t="n"/>
      <c r="I956" s="93" t="str">
        <f>IF(R956=0,"",IF(NOT(ISNUMBER(G956)),"",IF(ISNUMBER(X956),G956*X956,"UNIDADE A CONFERIR")))</f>
        <v/>
      </c>
      <c r="J956" s="91" t="n"/>
      <c r="K956" s="91" t="n"/>
      <c r="L956" s="93" t="str">
        <f>IF(R956=0,"",SUMIFS('RECEBIMENTOS'!$H$6:$H$1005,'RECEBIMENTOS'!$R$6:$R$1005,A956,'RECEBIMENTOS'!$X$6:$X$1005,1))</f>
        <v/>
      </c>
      <c r="M956" s="93" t="str">
        <f>IF(R956=0,"",SUMIFS('VÍNCULOS_CDF'!$H$6:$H$1005,'VÍNCULOS_CDF'!$R$6:$R$1005,A956,'VÍNCULOS_CDF'!$V$6:$V$1005,1))</f>
        <v/>
      </c>
      <c r="N956" s="99" t="str">
        <f>IF(OR(R956=0,AA956=0,NOT(ISNUMBER(I956))),"",I956-N(L956))</f>
        <v/>
      </c>
      <c r="O956" s="100" t="str">
        <f>IF(OR(R956=0,AK956&lt;=0),"",N(M956)/AK956)</f>
        <v/>
      </c>
      <c r="P956" s="94" t="str">
        <f>IF(R956=0,"",IF(S956="","Sem MTR associado",IF(U956=0,"MTR inexistente",IF(C956="","Resíduo não identificado",IF(V956=0,"Resíduo fora do cadastro",IF(W956=0,"Quantidade inválida",IF(H956="","Unidade não informada",IF(NOT(ISNUMBER(I956)),"Unidade a conferir",IF(AND(AH956=1,K956&lt;&gt;"Sim"),"Possível duplicidade",IF(Z956=1,"MTR cancelado",IF(AC956&gt;0,"Recebimento com alerta",IF(AA956=0,"Aguardando recebimento",IF(AB956&lt;AA956,"Recebimento a conferir",IF(AM956=1,"Quantidade a revisar",IF(AF956&gt;0,"Vínculo a revisar",IF(AD956=0,"Aguardando CDF",IF(AN956=0,"Vínculo de CDF parcial",IF(AE956&lt;AD956,"CDF a conferir","Documentação conferida"))))))))))))))))))</f>
        <v/>
      </c>
      <c r="Q956" s="93" t="str">
        <f>IF(OR(R956=0,AA956=0),"",MAX(0,N(L956)-N(M956)))</f>
        <v/>
      </c>
      <c r="R956" s="96">
        <f>IF(COUNTA(B956:C956,G956:H956,J956:K956)&gt;0,1,0)</f>
        <v>0</v>
      </c>
      <c r="S956" s="96" t="str">
        <f>IF(B956="","",TRIM(LEFT(B956,FIND(" |",B956&amp;" |")-1)))</f>
        <v/>
      </c>
      <c r="T956" s="96" t="str">
        <f>IF(S956="","",IFERROR(MATCH(S956,'MTRs'!$A$6:$A$505,0),""))</f>
        <v/>
      </c>
      <c r="U956" s="96">
        <f>IF(T956="",0,IF(INDEX('MTRs'!$Z$6:$Z$505,T956)=1,1,0))</f>
        <v>0</v>
      </c>
      <c r="V956" s="96">
        <f>IF(C956="",0,IF(ISNUMBER(MATCH(C956,'CAD_RESÍDUOS'!$B$6:$B$205,0)),1,0))</f>
        <v>0</v>
      </c>
      <c r="W956" s="96">
        <f>IF(AND(ISNUMBER(G956),G956&gt;0),1,0)</f>
        <v>0</v>
      </c>
      <c r="X956" s="96" t="str">
        <f>IF(H956="","",IFERROR(IF(ISNUMBER(INDEX(cfg_fac,MATCH(H956,cfg_units,0))),IF(INDEX(cfg_fac,MATCH(H956,cfg_units,0))&gt;0,INDEX(cfg_fac,MATCH(H956,cfg_units,0)),""),""),""))</f>
        <v/>
      </c>
      <c r="Y956" s="96">
        <f>IF(AND(W956=1,ISNUMBER(I956)),1,0)</f>
        <v>0</v>
      </c>
      <c r="Z956" s="96">
        <f>IF(U956=1,INDEX('MTRs'!$AA$6:$AA$505,T956),0)</f>
        <v>0</v>
      </c>
      <c r="AA956" s="96">
        <f>IF(R956=0,0,COUNTIFS('RECEBIMENTOS'!$R$6:$R$1005,A956,'RECEBIMENTOS'!$Q$6:$Q$1005,1))</f>
        <v>0</v>
      </c>
      <c r="AB956" s="96">
        <f>IF(R956=0,0,COUNTIFS('RECEBIMENTOS'!$R$6:$R$1005,A956,'RECEBIMENTOS'!$Z$6:$Z$1005,1))</f>
        <v>0</v>
      </c>
      <c r="AC956" s="96">
        <f>IF(R956=0,0,COUNTIFS('RECEBIMENTOS'!$R$6:$R$1005,A956,'RECEBIMENTOS'!$Y$6:$Y$1005,1))</f>
        <v>0</v>
      </c>
      <c r="AD956" s="96">
        <f>IF(R956=0,0,COUNTIFS('VÍNCULOS_CDF'!$R$6:$R$1005,A956,'VÍNCULOS_CDF'!$N$6:$N$1005,1))</f>
        <v>0</v>
      </c>
      <c r="AE956" s="96">
        <f>IF(R956=0,0,COUNTIFS('VÍNCULOS_CDF'!$R$6:$R$1005,A956,'VÍNCULOS_CDF'!$AA$6:$AA$1005,1))</f>
        <v>0</v>
      </c>
      <c r="AF956" s="96">
        <f>IF(R956=0,0,COUNTIFS('VÍNCULOS_CDF'!$R$6:$R$1005,A956,'VÍNCULOS_CDF'!$Y$6:$Y$1005,1))</f>
        <v>0</v>
      </c>
      <c r="AG956" s="96" t="str">
        <f>IF(AND(R956=1,S956&lt;&gt;"",C956&lt;&gt;""),S956&amp;"|"&amp;C956&amp;"|"&amp;G956&amp;"|"&amp;H956,"")</f>
        <v/>
      </c>
      <c r="AH956" s="96">
        <f>IF(AG956="",0,IF(SUMPRODUCT(--($AG$6:$AG$1005=AG956))&gt;1,1,0))</f>
        <v>0</v>
      </c>
      <c r="AI956" s="96">
        <f>IF(R956=0,0,IF(OR(U956=0,V956=0,Y956=0,AND(AH956=1,K956&lt;&gt;"Sim")),1,0))</f>
        <v>0</v>
      </c>
      <c r="AJ956" s="96">
        <f>IF(AND(R956=1,AA956&gt;0,AB956=AA956),1,0)</f>
        <v>0</v>
      </c>
      <c r="AK956" s="96">
        <f>IF(R956=0,0,IF(AA956&gt;0,N(L956),IF(ISNUMBER(I956),I956,0)))</f>
        <v>0</v>
      </c>
      <c r="AL956" s="96">
        <f>IF(R956=0,0,IF(AND(K956&lt;&gt;"Sim",N(M956)&gt;AK956+cfg_tol),1,0))</f>
        <v>0</v>
      </c>
      <c r="AM956" s="96">
        <f>IF(R956=0,0,IF(K956="Sim",0,IF(OR(AND(AA956&gt;0,ISNUMBER(I956),ABS(I956-N(L956))&gt;cfg_tol),AL956=1),1,0)))</f>
        <v>0</v>
      </c>
      <c r="AN956" s="96">
        <f>IF(AND(R956=1,N(M956)&gt;0,OR(N(M956)&gt;=AK956-cfg_tol,K956="Sim")),1,0)</f>
        <v>0</v>
      </c>
      <c r="AO956" s="96">
        <f>IF(AND(AN956=1,AD956&gt;0,AE956=AD956,AL956=0),1,0)</f>
        <v>0</v>
      </c>
      <c r="AP956" s="96">
        <f>IF(U956=0,0,IF(AND(INDEX('MTRs'!$AX$6:$AX$505,T956)=1,Z956=0,OR(f_res="",f_res="(Todos)",C956=f_res)),1,0))</f>
        <v>0</v>
      </c>
      <c r="AQ956" s="97" t="str">
        <f>IF(U956=0,"",INDEX('MTRs'!$AZ$6:$AZ$505,T956))</f>
        <v/>
      </c>
      <c r="AR956" s="96">
        <f>IF(U956=0,0,IF(AND(INDEX('MTRs'!$BA$6:$BA$505,T956)=1,Z956=0),1,0))</f>
        <v>0</v>
      </c>
      <c r="AS956" s="96" t="str">
        <f>IF(R956=1,A956&amp;" | MTR "&amp;IF(U956=1,INDEX('MTRs'!$B$6:$B$505,T956)&amp;"","?")&amp;" | "&amp;IF(C956="","(sem resíduo)",C956),"")</f>
        <v/>
      </c>
      <c r="AT956" s="96" t="str">
        <f>IF(R956=1,COUNTIF($R$6:R956,1),"")</f>
        <v/>
      </c>
      <c r="AU956" s="96" t="str">
        <f>IF(U956=1,INDEX('MTRs'!$I$6:$I$505,T956)&amp;"","")</f>
        <v/>
      </c>
    </row>
    <row r="957">
      <c r="A957" s="89" t="inlineStr">
        <is>
          <t>IT-000952</t>
        </is>
      </c>
      <c r="B957" s="91" t="n"/>
      <c r="C957" s="91" t="n"/>
      <c r="D957" s="94" t="str">
        <f>IF(OR(R957=0,V957=0),"",INDEX('CAD_RESÍDUOS'!$E$6:$E$205,MATCH(C957,'CAD_RESÍDUOS'!$B$6:$B$205,0))&amp;"")</f>
        <v/>
      </c>
      <c r="E957" s="94" t="str">
        <f>IF(OR(R957=0,V957=0),"",INDEX('CAD_RESÍDUOS'!$C$6:$C$205,MATCH(C957,'CAD_RESÍDUOS'!$B$6:$B$205,0))&amp;"")</f>
        <v/>
      </c>
      <c r="F957" s="94" t="str">
        <f>IF(OR(R957=0,V957=0),"",INDEX('CAD_RESÍDUOS'!$G$6:$G$205,MATCH(C957,'CAD_RESÍDUOS'!$B$6:$B$205,0))&amp;"")</f>
        <v/>
      </c>
      <c r="G957" s="98" t="n"/>
      <c r="H957" s="91" t="n"/>
      <c r="I957" s="93" t="str">
        <f>IF(R957=0,"",IF(NOT(ISNUMBER(G957)),"",IF(ISNUMBER(X957),G957*X957,"UNIDADE A CONFERIR")))</f>
        <v/>
      </c>
      <c r="J957" s="91" t="n"/>
      <c r="K957" s="91" t="n"/>
      <c r="L957" s="93" t="str">
        <f>IF(R957=0,"",SUMIFS('RECEBIMENTOS'!$H$6:$H$1005,'RECEBIMENTOS'!$R$6:$R$1005,A957,'RECEBIMENTOS'!$X$6:$X$1005,1))</f>
        <v/>
      </c>
      <c r="M957" s="93" t="str">
        <f>IF(R957=0,"",SUMIFS('VÍNCULOS_CDF'!$H$6:$H$1005,'VÍNCULOS_CDF'!$R$6:$R$1005,A957,'VÍNCULOS_CDF'!$V$6:$V$1005,1))</f>
        <v/>
      </c>
      <c r="N957" s="99" t="str">
        <f>IF(OR(R957=0,AA957=0,NOT(ISNUMBER(I957))),"",I957-N(L957))</f>
        <v/>
      </c>
      <c r="O957" s="100" t="str">
        <f>IF(OR(R957=0,AK957&lt;=0),"",N(M957)/AK957)</f>
        <v/>
      </c>
      <c r="P957" s="94" t="str">
        <f>IF(R957=0,"",IF(S957="","Sem MTR associado",IF(U957=0,"MTR inexistente",IF(C957="","Resíduo não identificado",IF(V957=0,"Resíduo fora do cadastro",IF(W957=0,"Quantidade inválida",IF(H957="","Unidade não informada",IF(NOT(ISNUMBER(I957)),"Unidade a conferir",IF(AND(AH957=1,K957&lt;&gt;"Sim"),"Possível duplicidade",IF(Z957=1,"MTR cancelado",IF(AC957&gt;0,"Recebimento com alerta",IF(AA957=0,"Aguardando recebimento",IF(AB957&lt;AA957,"Recebimento a conferir",IF(AM957=1,"Quantidade a revisar",IF(AF957&gt;0,"Vínculo a revisar",IF(AD957=0,"Aguardando CDF",IF(AN957=0,"Vínculo de CDF parcial",IF(AE957&lt;AD957,"CDF a conferir","Documentação conferida"))))))))))))))))))</f>
        <v/>
      </c>
      <c r="Q957" s="93" t="str">
        <f>IF(OR(R957=0,AA957=0),"",MAX(0,N(L957)-N(M957)))</f>
        <v/>
      </c>
      <c r="R957" s="96">
        <f>IF(COUNTA(B957:C957,G957:H957,J957:K957)&gt;0,1,0)</f>
        <v>0</v>
      </c>
      <c r="S957" s="96" t="str">
        <f>IF(B957="","",TRIM(LEFT(B957,FIND(" |",B957&amp;" |")-1)))</f>
        <v/>
      </c>
      <c r="T957" s="96" t="str">
        <f>IF(S957="","",IFERROR(MATCH(S957,'MTRs'!$A$6:$A$505,0),""))</f>
        <v/>
      </c>
      <c r="U957" s="96">
        <f>IF(T957="",0,IF(INDEX('MTRs'!$Z$6:$Z$505,T957)=1,1,0))</f>
        <v>0</v>
      </c>
      <c r="V957" s="96">
        <f>IF(C957="",0,IF(ISNUMBER(MATCH(C957,'CAD_RESÍDUOS'!$B$6:$B$205,0)),1,0))</f>
        <v>0</v>
      </c>
      <c r="W957" s="96">
        <f>IF(AND(ISNUMBER(G957),G957&gt;0),1,0)</f>
        <v>0</v>
      </c>
      <c r="X957" s="96" t="str">
        <f>IF(H957="","",IFERROR(IF(ISNUMBER(INDEX(cfg_fac,MATCH(H957,cfg_units,0))),IF(INDEX(cfg_fac,MATCH(H957,cfg_units,0))&gt;0,INDEX(cfg_fac,MATCH(H957,cfg_units,0)),""),""),""))</f>
        <v/>
      </c>
      <c r="Y957" s="96">
        <f>IF(AND(W957=1,ISNUMBER(I957)),1,0)</f>
        <v>0</v>
      </c>
      <c r="Z957" s="96">
        <f>IF(U957=1,INDEX('MTRs'!$AA$6:$AA$505,T957),0)</f>
        <v>0</v>
      </c>
      <c r="AA957" s="96">
        <f>IF(R957=0,0,COUNTIFS('RECEBIMENTOS'!$R$6:$R$1005,A957,'RECEBIMENTOS'!$Q$6:$Q$1005,1))</f>
        <v>0</v>
      </c>
      <c r="AB957" s="96">
        <f>IF(R957=0,0,COUNTIFS('RECEBIMENTOS'!$R$6:$R$1005,A957,'RECEBIMENTOS'!$Z$6:$Z$1005,1))</f>
        <v>0</v>
      </c>
      <c r="AC957" s="96">
        <f>IF(R957=0,0,COUNTIFS('RECEBIMENTOS'!$R$6:$R$1005,A957,'RECEBIMENTOS'!$Y$6:$Y$1005,1))</f>
        <v>0</v>
      </c>
      <c r="AD957" s="96">
        <f>IF(R957=0,0,COUNTIFS('VÍNCULOS_CDF'!$R$6:$R$1005,A957,'VÍNCULOS_CDF'!$N$6:$N$1005,1))</f>
        <v>0</v>
      </c>
      <c r="AE957" s="96">
        <f>IF(R957=0,0,COUNTIFS('VÍNCULOS_CDF'!$R$6:$R$1005,A957,'VÍNCULOS_CDF'!$AA$6:$AA$1005,1))</f>
        <v>0</v>
      </c>
      <c r="AF957" s="96">
        <f>IF(R957=0,0,COUNTIFS('VÍNCULOS_CDF'!$R$6:$R$1005,A957,'VÍNCULOS_CDF'!$Y$6:$Y$1005,1))</f>
        <v>0</v>
      </c>
      <c r="AG957" s="96" t="str">
        <f>IF(AND(R957=1,S957&lt;&gt;"",C957&lt;&gt;""),S957&amp;"|"&amp;C957&amp;"|"&amp;G957&amp;"|"&amp;H957,"")</f>
        <v/>
      </c>
      <c r="AH957" s="96">
        <f>IF(AG957="",0,IF(SUMPRODUCT(--($AG$6:$AG$1005=AG957))&gt;1,1,0))</f>
        <v>0</v>
      </c>
      <c r="AI957" s="96">
        <f>IF(R957=0,0,IF(OR(U957=0,V957=0,Y957=0,AND(AH957=1,K957&lt;&gt;"Sim")),1,0))</f>
        <v>0</v>
      </c>
      <c r="AJ957" s="96">
        <f>IF(AND(R957=1,AA957&gt;0,AB957=AA957),1,0)</f>
        <v>0</v>
      </c>
      <c r="AK957" s="96">
        <f>IF(R957=0,0,IF(AA957&gt;0,N(L957),IF(ISNUMBER(I957),I957,0)))</f>
        <v>0</v>
      </c>
      <c r="AL957" s="96">
        <f>IF(R957=0,0,IF(AND(K957&lt;&gt;"Sim",N(M957)&gt;AK957+cfg_tol),1,0))</f>
        <v>0</v>
      </c>
      <c r="AM957" s="96">
        <f>IF(R957=0,0,IF(K957="Sim",0,IF(OR(AND(AA957&gt;0,ISNUMBER(I957),ABS(I957-N(L957))&gt;cfg_tol),AL957=1),1,0)))</f>
        <v>0</v>
      </c>
      <c r="AN957" s="96">
        <f>IF(AND(R957=1,N(M957)&gt;0,OR(N(M957)&gt;=AK957-cfg_tol,K957="Sim")),1,0)</f>
        <v>0</v>
      </c>
      <c r="AO957" s="96">
        <f>IF(AND(AN957=1,AD957&gt;0,AE957=AD957,AL957=0),1,0)</f>
        <v>0</v>
      </c>
      <c r="AP957" s="96">
        <f>IF(U957=0,0,IF(AND(INDEX('MTRs'!$AX$6:$AX$505,T957)=1,Z957=0,OR(f_res="",f_res="(Todos)",C957=f_res)),1,0))</f>
        <v>0</v>
      </c>
      <c r="AQ957" s="97" t="str">
        <f>IF(U957=0,"",INDEX('MTRs'!$AZ$6:$AZ$505,T957))</f>
        <v/>
      </c>
      <c r="AR957" s="96">
        <f>IF(U957=0,0,IF(AND(INDEX('MTRs'!$BA$6:$BA$505,T957)=1,Z957=0),1,0))</f>
        <v>0</v>
      </c>
      <c r="AS957" s="96" t="str">
        <f>IF(R957=1,A957&amp;" | MTR "&amp;IF(U957=1,INDEX('MTRs'!$B$6:$B$505,T957)&amp;"","?")&amp;" | "&amp;IF(C957="","(sem resíduo)",C957),"")</f>
        <v/>
      </c>
      <c r="AT957" s="96" t="str">
        <f>IF(R957=1,COUNTIF($R$6:R957,1),"")</f>
        <v/>
      </c>
      <c r="AU957" s="96" t="str">
        <f>IF(U957=1,INDEX('MTRs'!$I$6:$I$505,T957)&amp;"","")</f>
        <v/>
      </c>
    </row>
    <row r="958">
      <c r="A958" s="89" t="inlineStr">
        <is>
          <t>IT-000953</t>
        </is>
      </c>
      <c r="B958" s="91" t="n"/>
      <c r="C958" s="91" t="n"/>
      <c r="D958" s="94" t="str">
        <f>IF(OR(R958=0,V958=0),"",INDEX('CAD_RESÍDUOS'!$E$6:$E$205,MATCH(C958,'CAD_RESÍDUOS'!$B$6:$B$205,0))&amp;"")</f>
        <v/>
      </c>
      <c r="E958" s="94" t="str">
        <f>IF(OR(R958=0,V958=0),"",INDEX('CAD_RESÍDUOS'!$C$6:$C$205,MATCH(C958,'CAD_RESÍDUOS'!$B$6:$B$205,0))&amp;"")</f>
        <v/>
      </c>
      <c r="F958" s="94" t="str">
        <f>IF(OR(R958=0,V958=0),"",INDEX('CAD_RESÍDUOS'!$G$6:$G$205,MATCH(C958,'CAD_RESÍDUOS'!$B$6:$B$205,0))&amp;"")</f>
        <v/>
      </c>
      <c r="G958" s="98" t="n"/>
      <c r="H958" s="91" t="n"/>
      <c r="I958" s="93" t="str">
        <f>IF(R958=0,"",IF(NOT(ISNUMBER(G958)),"",IF(ISNUMBER(X958),G958*X958,"UNIDADE A CONFERIR")))</f>
        <v/>
      </c>
      <c r="J958" s="91" t="n"/>
      <c r="K958" s="91" t="n"/>
      <c r="L958" s="93" t="str">
        <f>IF(R958=0,"",SUMIFS('RECEBIMENTOS'!$H$6:$H$1005,'RECEBIMENTOS'!$R$6:$R$1005,A958,'RECEBIMENTOS'!$X$6:$X$1005,1))</f>
        <v/>
      </c>
      <c r="M958" s="93" t="str">
        <f>IF(R958=0,"",SUMIFS('VÍNCULOS_CDF'!$H$6:$H$1005,'VÍNCULOS_CDF'!$R$6:$R$1005,A958,'VÍNCULOS_CDF'!$V$6:$V$1005,1))</f>
        <v/>
      </c>
      <c r="N958" s="99" t="str">
        <f>IF(OR(R958=0,AA958=0,NOT(ISNUMBER(I958))),"",I958-N(L958))</f>
        <v/>
      </c>
      <c r="O958" s="100" t="str">
        <f>IF(OR(R958=0,AK958&lt;=0),"",N(M958)/AK958)</f>
        <v/>
      </c>
      <c r="P958" s="94" t="str">
        <f>IF(R958=0,"",IF(S958="","Sem MTR associado",IF(U958=0,"MTR inexistente",IF(C958="","Resíduo não identificado",IF(V958=0,"Resíduo fora do cadastro",IF(W958=0,"Quantidade inválida",IF(H958="","Unidade não informada",IF(NOT(ISNUMBER(I958)),"Unidade a conferir",IF(AND(AH958=1,K958&lt;&gt;"Sim"),"Possível duplicidade",IF(Z958=1,"MTR cancelado",IF(AC958&gt;0,"Recebimento com alerta",IF(AA958=0,"Aguardando recebimento",IF(AB958&lt;AA958,"Recebimento a conferir",IF(AM958=1,"Quantidade a revisar",IF(AF958&gt;0,"Vínculo a revisar",IF(AD958=0,"Aguardando CDF",IF(AN958=0,"Vínculo de CDF parcial",IF(AE958&lt;AD958,"CDF a conferir","Documentação conferida"))))))))))))))))))</f>
        <v/>
      </c>
      <c r="Q958" s="93" t="str">
        <f>IF(OR(R958=0,AA958=0),"",MAX(0,N(L958)-N(M958)))</f>
        <v/>
      </c>
      <c r="R958" s="96">
        <f>IF(COUNTA(B958:C958,G958:H958,J958:K958)&gt;0,1,0)</f>
        <v>0</v>
      </c>
      <c r="S958" s="96" t="str">
        <f>IF(B958="","",TRIM(LEFT(B958,FIND(" |",B958&amp;" |")-1)))</f>
        <v/>
      </c>
      <c r="T958" s="96" t="str">
        <f>IF(S958="","",IFERROR(MATCH(S958,'MTRs'!$A$6:$A$505,0),""))</f>
        <v/>
      </c>
      <c r="U958" s="96">
        <f>IF(T958="",0,IF(INDEX('MTRs'!$Z$6:$Z$505,T958)=1,1,0))</f>
        <v>0</v>
      </c>
      <c r="V958" s="96">
        <f>IF(C958="",0,IF(ISNUMBER(MATCH(C958,'CAD_RESÍDUOS'!$B$6:$B$205,0)),1,0))</f>
        <v>0</v>
      </c>
      <c r="W958" s="96">
        <f>IF(AND(ISNUMBER(G958),G958&gt;0),1,0)</f>
        <v>0</v>
      </c>
      <c r="X958" s="96" t="str">
        <f>IF(H958="","",IFERROR(IF(ISNUMBER(INDEX(cfg_fac,MATCH(H958,cfg_units,0))),IF(INDEX(cfg_fac,MATCH(H958,cfg_units,0))&gt;0,INDEX(cfg_fac,MATCH(H958,cfg_units,0)),""),""),""))</f>
        <v/>
      </c>
      <c r="Y958" s="96">
        <f>IF(AND(W958=1,ISNUMBER(I958)),1,0)</f>
        <v>0</v>
      </c>
      <c r="Z958" s="96">
        <f>IF(U958=1,INDEX('MTRs'!$AA$6:$AA$505,T958),0)</f>
        <v>0</v>
      </c>
      <c r="AA958" s="96">
        <f>IF(R958=0,0,COUNTIFS('RECEBIMENTOS'!$R$6:$R$1005,A958,'RECEBIMENTOS'!$Q$6:$Q$1005,1))</f>
        <v>0</v>
      </c>
      <c r="AB958" s="96">
        <f>IF(R958=0,0,COUNTIFS('RECEBIMENTOS'!$R$6:$R$1005,A958,'RECEBIMENTOS'!$Z$6:$Z$1005,1))</f>
        <v>0</v>
      </c>
      <c r="AC958" s="96">
        <f>IF(R958=0,0,COUNTIFS('RECEBIMENTOS'!$R$6:$R$1005,A958,'RECEBIMENTOS'!$Y$6:$Y$1005,1))</f>
        <v>0</v>
      </c>
      <c r="AD958" s="96">
        <f>IF(R958=0,0,COUNTIFS('VÍNCULOS_CDF'!$R$6:$R$1005,A958,'VÍNCULOS_CDF'!$N$6:$N$1005,1))</f>
        <v>0</v>
      </c>
      <c r="AE958" s="96">
        <f>IF(R958=0,0,COUNTIFS('VÍNCULOS_CDF'!$R$6:$R$1005,A958,'VÍNCULOS_CDF'!$AA$6:$AA$1005,1))</f>
        <v>0</v>
      </c>
      <c r="AF958" s="96">
        <f>IF(R958=0,0,COUNTIFS('VÍNCULOS_CDF'!$R$6:$R$1005,A958,'VÍNCULOS_CDF'!$Y$6:$Y$1005,1))</f>
        <v>0</v>
      </c>
      <c r="AG958" s="96" t="str">
        <f>IF(AND(R958=1,S958&lt;&gt;"",C958&lt;&gt;""),S958&amp;"|"&amp;C958&amp;"|"&amp;G958&amp;"|"&amp;H958,"")</f>
        <v/>
      </c>
      <c r="AH958" s="96">
        <f>IF(AG958="",0,IF(SUMPRODUCT(--($AG$6:$AG$1005=AG958))&gt;1,1,0))</f>
        <v>0</v>
      </c>
      <c r="AI958" s="96">
        <f>IF(R958=0,0,IF(OR(U958=0,V958=0,Y958=0,AND(AH958=1,K958&lt;&gt;"Sim")),1,0))</f>
        <v>0</v>
      </c>
      <c r="AJ958" s="96">
        <f>IF(AND(R958=1,AA958&gt;0,AB958=AA958),1,0)</f>
        <v>0</v>
      </c>
      <c r="AK958" s="96">
        <f>IF(R958=0,0,IF(AA958&gt;0,N(L958),IF(ISNUMBER(I958),I958,0)))</f>
        <v>0</v>
      </c>
      <c r="AL958" s="96">
        <f>IF(R958=0,0,IF(AND(K958&lt;&gt;"Sim",N(M958)&gt;AK958+cfg_tol),1,0))</f>
        <v>0</v>
      </c>
      <c r="AM958" s="96">
        <f>IF(R958=0,0,IF(K958="Sim",0,IF(OR(AND(AA958&gt;0,ISNUMBER(I958),ABS(I958-N(L958))&gt;cfg_tol),AL958=1),1,0)))</f>
        <v>0</v>
      </c>
      <c r="AN958" s="96">
        <f>IF(AND(R958=1,N(M958)&gt;0,OR(N(M958)&gt;=AK958-cfg_tol,K958="Sim")),1,0)</f>
        <v>0</v>
      </c>
      <c r="AO958" s="96">
        <f>IF(AND(AN958=1,AD958&gt;0,AE958=AD958,AL958=0),1,0)</f>
        <v>0</v>
      </c>
      <c r="AP958" s="96">
        <f>IF(U958=0,0,IF(AND(INDEX('MTRs'!$AX$6:$AX$505,T958)=1,Z958=0,OR(f_res="",f_res="(Todos)",C958=f_res)),1,0))</f>
        <v>0</v>
      </c>
      <c r="AQ958" s="97" t="str">
        <f>IF(U958=0,"",INDEX('MTRs'!$AZ$6:$AZ$505,T958))</f>
        <v/>
      </c>
      <c r="AR958" s="96">
        <f>IF(U958=0,0,IF(AND(INDEX('MTRs'!$BA$6:$BA$505,T958)=1,Z958=0),1,0))</f>
        <v>0</v>
      </c>
      <c r="AS958" s="96" t="str">
        <f>IF(R958=1,A958&amp;" | MTR "&amp;IF(U958=1,INDEX('MTRs'!$B$6:$B$505,T958)&amp;"","?")&amp;" | "&amp;IF(C958="","(sem resíduo)",C958),"")</f>
        <v/>
      </c>
      <c r="AT958" s="96" t="str">
        <f>IF(R958=1,COUNTIF($R$6:R958,1),"")</f>
        <v/>
      </c>
      <c r="AU958" s="96" t="str">
        <f>IF(U958=1,INDEX('MTRs'!$I$6:$I$505,T958)&amp;"","")</f>
        <v/>
      </c>
    </row>
    <row r="959">
      <c r="A959" s="89" t="inlineStr">
        <is>
          <t>IT-000954</t>
        </is>
      </c>
      <c r="B959" s="91" t="n"/>
      <c r="C959" s="91" t="n"/>
      <c r="D959" s="94" t="str">
        <f>IF(OR(R959=0,V959=0),"",INDEX('CAD_RESÍDUOS'!$E$6:$E$205,MATCH(C959,'CAD_RESÍDUOS'!$B$6:$B$205,0))&amp;"")</f>
        <v/>
      </c>
      <c r="E959" s="94" t="str">
        <f>IF(OR(R959=0,V959=0),"",INDEX('CAD_RESÍDUOS'!$C$6:$C$205,MATCH(C959,'CAD_RESÍDUOS'!$B$6:$B$205,0))&amp;"")</f>
        <v/>
      </c>
      <c r="F959" s="94" t="str">
        <f>IF(OR(R959=0,V959=0),"",INDEX('CAD_RESÍDUOS'!$G$6:$G$205,MATCH(C959,'CAD_RESÍDUOS'!$B$6:$B$205,0))&amp;"")</f>
        <v/>
      </c>
      <c r="G959" s="98" t="n"/>
      <c r="H959" s="91" t="n"/>
      <c r="I959" s="93" t="str">
        <f>IF(R959=0,"",IF(NOT(ISNUMBER(G959)),"",IF(ISNUMBER(X959),G959*X959,"UNIDADE A CONFERIR")))</f>
        <v/>
      </c>
      <c r="J959" s="91" t="n"/>
      <c r="K959" s="91" t="n"/>
      <c r="L959" s="93" t="str">
        <f>IF(R959=0,"",SUMIFS('RECEBIMENTOS'!$H$6:$H$1005,'RECEBIMENTOS'!$R$6:$R$1005,A959,'RECEBIMENTOS'!$X$6:$X$1005,1))</f>
        <v/>
      </c>
      <c r="M959" s="93" t="str">
        <f>IF(R959=0,"",SUMIFS('VÍNCULOS_CDF'!$H$6:$H$1005,'VÍNCULOS_CDF'!$R$6:$R$1005,A959,'VÍNCULOS_CDF'!$V$6:$V$1005,1))</f>
        <v/>
      </c>
      <c r="N959" s="99" t="str">
        <f>IF(OR(R959=0,AA959=0,NOT(ISNUMBER(I959))),"",I959-N(L959))</f>
        <v/>
      </c>
      <c r="O959" s="100" t="str">
        <f>IF(OR(R959=0,AK959&lt;=0),"",N(M959)/AK959)</f>
        <v/>
      </c>
      <c r="P959" s="94" t="str">
        <f>IF(R959=0,"",IF(S959="","Sem MTR associado",IF(U959=0,"MTR inexistente",IF(C959="","Resíduo não identificado",IF(V959=0,"Resíduo fora do cadastro",IF(W959=0,"Quantidade inválida",IF(H959="","Unidade não informada",IF(NOT(ISNUMBER(I959)),"Unidade a conferir",IF(AND(AH959=1,K959&lt;&gt;"Sim"),"Possível duplicidade",IF(Z959=1,"MTR cancelado",IF(AC959&gt;0,"Recebimento com alerta",IF(AA959=0,"Aguardando recebimento",IF(AB959&lt;AA959,"Recebimento a conferir",IF(AM959=1,"Quantidade a revisar",IF(AF959&gt;0,"Vínculo a revisar",IF(AD959=0,"Aguardando CDF",IF(AN959=0,"Vínculo de CDF parcial",IF(AE959&lt;AD959,"CDF a conferir","Documentação conferida"))))))))))))))))))</f>
        <v/>
      </c>
      <c r="Q959" s="93" t="str">
        <f>IF(OR(R959=0,AA959=0),"",MAX(0,N(L959)-N(M959)))</f>
        <v/>
      </c>
      <c r="R959" s="96">
        <f>IF(COUNTA(B959:C959,G959:H959,J959:K959)&gt;0,1,0)</f>
        <v>0</v>
      </c>
      <c r="S959" s="96" t="str">
        <f>IF(B959="","",TRIM(LEFT(B959,FIND(" |",B959&amp;" |")-1)))</f>
        <v/>
      </c>
      <c r="T959" s="96" t="str">
        <f>IF(S959="","",IFERROR(MATCH(S959,'MTRs'!$A$6:$A$505,0),""))</f>
        <v/>
      </c>
      <c r="U959" s="96">
        <f>IF(T959="",0,IF(INDEX('MTRs'!$Z$6:$Z$505,T959)=1,1,0))</f>
        <v>0</v>
      </c>
      <c r="V959" s="96">
        <f>IF(C959="",0,IF(ISNUMBER(MATCH(C959,'CAD_RESÍDUOS'!$B$6:$B$205,0)),1,0))</f>
        <v>0</v>
      </c>
      <c r="W959" s="96">
        <f>IF(AND(ISNUMBER(G959),G959&gt;0),1,0)</f>
        <v>0</v>
      </c>
      <c r="X959" s="96" t="str">
        <f>IF(H959="","",IFERROR(IF(ISNUMBER(INDEX(cfg_fac,MATCH(H959,cfg_units,0))),IF(INDEX(cfg_fac,MATCH(H959,cfg_units,0))&gt;0,INDEX(cfg_fac,MATCH(H959,cfg_units,0)),""),""),""))</f>
        <v/>
      </c>
      <c r="Y959" s="96">
        <f>IF(AND(W959=1,ISNUMBER(I959)),1,0)</f>
        <v>0</v>
      </c>
      <c r="Z959" s="96">
        <f>IF(U959=1,INDEX('MTRs'!$AA$6:$AA$505,T959),0)</f>
        <v>0</v>
      </c>
      <c r="AA959" s="96">
        <f>IF(R959=0,0,COUNTIFS('RECEBIMENTOS'!$R$6:$R$1005,A959,'RECEBIMENTOS'!$Q$6:$Q$1005,1))</f>
        <v>0</v>
      </c>
      <c r="AB959" s="96">
        <f>IF(R959=0,0,COUNTIFS('RECEBIMENTOS'!$R$6:$R$1005,A959,'RECEBIMENTOS'!$Z$6:$Z$1005,1))</f>
        <v>0</v>
      </c>
      <c r="AC959" s="96">
        <f>IF(R959=0,0,COUNTIFS('RECEBIMENTOS'!$R$6:$R$1005,A959,'RECEBIMENTOS'!$Y$6:$Y$1005,1))</f>
        <v>0</v>
      </c>
      <c r="AD959" s="96">
        <f>IF(R959=0,0,COUNTIFS('VÍNCULOS_CDF'!$R$6:$R$1005,A959,'VÍNCULOS_CDF'!$N$6:$N$1005,1))</f>
        <v>0</v>
      </c>
      <c r="AE959" s="96">
        <f>IF(R959=0,0,COUNTIFS('VÍNCULOS_CDF'!$R$6:$R$1005,A959,'VÍNCULOS_CDF'!$AA$6:$AA$1005,1))</f>
        <v>0</v>
      </c>
      <c r="AF959" s="96">
        <f>IF(R959=0,0,COUNTIFS('VÍNCULOS_CDF'!$R$6:$R$1005,A959,'VÍNCULOS_CDF'!$Y$6:$Y$1005,1))</f>
        <v>0</v>
      </c>
      <c r="AG959" s="96" t="str">
        <f>IF(AND(R959=1,S959&lt;&gt;"",C959&lt;&gt;""),S959&amp;"|"&amp;C959&amp;"|"&amp;G959&amp;"|"&amp;H959,"")</f>
        <v/>
      </c>
      <c r="AH959" s="96">
        <f>IF(AG959="",0,IF(SUMPRODUCT(--($AG$6:$AG$1005=AG959))&gt;1,1,0))</f>
        <v>0</v>
      </c>
      <c r="AI959" s="96">
        <f>IF(R959=0,0,IF(OR(U959=0,V959=0,Y959=0,AND(AH959=1,K959&lt;&gt;"Sim")),1,0))</f>
        <v>0</v>
      </c>
      <c r="AJ959" s="96">
        <f>IF(AND(R959=1,AA959&gt;0,AB959=AA959),1,0)</f>
        <v>0</v>
      </c>
      <c r="AK959" s="96">
        <f>IF(R959=0,0,IF(AA959&gt;0,N(L959),IF(ISNUMBER(I959),I959,0)))</f>
        <v>0</v>
      </c>
      <c r="AL959" s="96">
        <f>IF(R959=0,0,IF(AND(K959&lt;&gt;"Sim",N(M959)&gt;AK959+cfg_tol),1,0))</f>
        <v>0</v>
      </c>
      <c r="AM959" s="96">
        <f>IF(R959=0,0,IF(K959="Sim",0,IF(OR(AND(AA959&gt;0,ISNUMBER(I959),ABS(I959-N(L959))&gt;cfg_tol),AL959=1),1,0)))</f>
        <v>0</v>
      </c>
      <c r="AN959" s="96">
        <f>IF(AND(R959=1,N(M959)&gt;0,OR(N(M959)&gt;=AK959-cfg_tol,K959="Sim")),1,0)</f>
        <v>0</v>
      </c>
      <c r="AO959" s="96">
        <f>IF(AND(AN959=1,AD959&gt;0,AE959=AD959,AL959=0),1,0)</f>
        <v>0</v>
      </c>
      <c r="AP959" s="96">
        <f>IF(U959=0,0,IF(AND(INDEX('MTRs'!$AX$6:$AX$505,T959)=1,Z959=0,OR(f_res="",f_res="(Todos)",C959=f_res)),1,0))</f>
        <v>0</v>
      </c>
      <c r="AQ959" s="97" t="str">
        <f>IF(U959=0,"",INDEX('MTRs'!$AZ$6:$AZ$505,T959))</f>
        <v/>
      </c>
      <c r="AR959" s="96">
        <f>IF(U959=0,0,IF(AND(INDEX('MTRs'!$BA$6:$BA$505,T959)=1,Z959=0),1,0))</f>
        <v>0</v>
      </c>
      <c r="AS959" s="96" t="str">
        <f>IF(R959=1,A959&amp;" | MTR "&amp;IF(U959=1,INDEX('MTRs'!$B$6:$B$505,T959)&amp;"","?")&amp;" | "&amp;IF(C959="","(sem resíduo)",C959),"")</f>
        <v/>
      </c>
      <c r="AT959" s="96" t="str">
        <f>IF(R959=1,COUNTIF($R$6:R959,1),"")</f>
        <v/>
      </c>
      <c r="AU959" s="96" t="str">
        <f>IF(U959=1,INDEX('MTRs'!$I$6:$I$505,T959)&amp;"","")</f>
        <v/>
      </c>
    </row>
    <row r="960">
      <c r="A960" s="89" t="inlineStr">
        <is>
          <t>IT-000955</t>
        </is>
      </c>
      <c r="B960" s="91" t="n"/>
      <c r="C960" s="91" t="n"/>
      <c r="D960" s="94" t="str">
        <f>IF(OR(R960=0,V960=0),"",INDEX('CAD_RESÍDUOS'!$E$6:$E$205,MATCH(C960,'CAD_RESÍDUOS'!$B$6:$B$205,0))&amp;"")</f>
        <v/>
      </c>
      <c r="E960" s="94" t="str">
        <f>IF(OR(R960=0,V960=0),"",INDEX('CAD_RESÍDUOS'!$C$6:$C$205,MATCH(C960,'CAD_RESÍDUOS'!$B$6:$B$205,0))&amp;"")</f>
        <v/>
      </c>
      <c r="F960" s="94" t="str">
        <f>IF(OR(R960=0,V960=0),"",INDEX('CAD_RESÍDUOS'!$G$6:$G$205,MATCH(C960,'CAD_RESÍDUOS'!$B$6:$B$205,0))&amp;"")</f>
        <v/>
      </c>
      <c r="G960" s="98" t="n"/>
      <c r="H960" s="91" t="n"/>
      <c r="I960" s="93" t="str">
        <f>IF(R960=0,"",IF(NOT(ISNUMBER(G960)),"",IF(ISNUMBER(X960),G960*X960,"UNIDADE A CONFERIR")))</f>
        <v/>
      </c>
      <c r="J960" s="91" t="n"/>
      <c r="K960" s="91" t="n"/>
      <c r="L960" s="93" t="str">
        <f>IF(R960=0,"",SUMIFS('RECEBIMENTOS'!$H$6:$H$1005,'RECEBIMENTOS'!$R$6:$R$1005,A960,'RECEBIMENTOS'!$X$6:$X$1005,1))</f>
        <v/>
      </c>
      <c r="M960" s="93" t="str">
        <f>IF(R960=0,"",SUMIFS('VÍNCULOS_CDF'!$H$6:$H$1005,'VÍNCULOS_CDF'!$R$6:$R$1005,A960,'VÍNCULOS_CDF'!$V$6:$V$1005,1))</f>
        <v/>
      </c>
      <c r="N960" s="99" t="str">
        <f>IF(OR(R960=0,AA960=0,NOT(ISNUMBER(I960))),"",I960-N(L960))</f>
        <v/>
      </c>
      <c r="O960" s="100" t="str">
        <f>IF(OR(R960=0,AK960&lt;=0),"",N(M960)/AK960)</f>
        <v/>
      </c>
      <c r="P960" s="94" t="str">
        <f>IF(R960=0,"",IF(S960="","Sem MTR associado",IF(U960=0,"MTR inexistente",IF(C960="","Resíduo não identificado",IF(V960=0,"Resíduo fora do cadastro",IF(W960=0,"Quantidade inválida",IF(H960="","Unidade não informada",IF(NOT(ISNUMBER(I960)),"Unidade a conferir",IF(AND(AH960=1,K960&lt;&gt;"Sim"),"Possível duplicidade",IF(Z960=1,"MTR cancelado",IF(AC960&gt;0,"Recebimento com alerta",IF(AA960=0,"Aguardando recebimento",IF(AB960&lt;AA960,"Recebimento a conferir",IF(AM960=1,"Quantidade a revisar",IF(AF960&gt;0,"Vínculo a revisar",IF(AD960=0,"Aguardando CDF",IF(AN960=0,"Vínculo de CDF parcial",IF(AE960&lt;AD960,"CDF a conferir","Documentação conferida"))))))))))))))))))</f>
        <v/>
      </c>
      <c r="Q960" s="93" t="str">
        <f>IF(OR(R960=0,AA960=0),"",MAX(0,N(L960)-N(M960)))</f>
        <v/>
      </c>
      <c r="R960" s="96">
        <f>IF(COUNTA(B960:C960,G960:H960,J960:K960)&gt;0,1,0)</f>
        <v>0</v>
      </c>
      <c r="S960" s="96" t="str">
        <f>IF(B960="","",TRIM(LEFT(B960,FIND(" |",B960&amp;" |")-1)))</f>
        <v/>
      </c>
      <c r="T960" s="96" t="str">
        <f>IF(S960="","",IFERROR(MATCH(S960,'MTRs'!$A$6:$A$505,0),""))</f>
        <v/>
      </c>
      <c r="U960" s="96">
        <f>IF(T960="",0,IF(INDEX('MTRs'!$Z$6:$Z$505,T960)=1,1,0))</f>
        <v>0</v>
      </c>
      <c r="V960" s="96">
        <f>IF(C960="",0,IF(ISNUMBER(MATCH(C960,'CAD_RESÍDUOS'!$B$6:$B$205,0)),1,0))</f>
        <v>0</v>
      </c>
      <c r="W960" s="96">
        <f>IF(AND(ISNUMBER(G960),G960&gt;0),1,0)</f>
        <v>0</v>
      </c>
      <c r="X960" s="96" t="str">
        <f>IF(H960="","",IFERROR(IF(ISNUMBER(INDEX(cfg_fac,MATCH(H960,cfg_units,0))),IF(INDEX(cfg_fac,MATCH(H960,cfg_units,0))&gt;0,INDEX(cfg_fac,MATCH(H960,cfg_units,0)),""),""),""))</f>
        <v/>
      </c>
      <c r="Y960" s="96">
        <f>IF(AND(W960=1,ISNUMBER(I960)),1,0)</f>
        <v>0</v>
      </c>
      <c r="Z960" s="96">
        <f>IF(U960=1,INDEX('MTRs'!$AA$6:$AA$505,T960),0)</f>
        <v>0</v>
      </c>
      <c r="AA960" s="96">
        <f>IF(R960=0,0,COUNTIFS('RECEBIMENTOS'!$R$6:$R$1005,A960,'RECEBIMENTOS'!$Q$6:$Q$1005,1))</f>
        <v>0</v>
      </c>
      <c r="AB960" s="96">
        <f>IF(R960=0,0,COUNTIFS('RECEBIMENTOS'!$R$6:$R$1005,A960,'RECEBIMENTOS'!$Z$6:$Z$1005,1))</f>
        <v>0</v>
      </c>
      <c r="AC960" s="96">
        <f>IF(R960=0,0,COUNTIFS('RECEBIMENTOS'!$R$6:$R$1005,A960,'RECEBIMENTOS'!$Y$6:$Y$1005,1))</f>
        <v>0</v>
      </c>
      <c r="AD960" s="96">
        <f>IF(R960=0,0,COUNTIFS('VÍNCULOS_CDF'!$R$6:$R$1005,A960,'VÍNCULOS_CDF'!$N$6:$N$1005,1))</f>
        <v>0</v>
      </c>
      <c r="AE960" s="96">
        <f>IF(R960=0,0,COUNTIFS('VÍNCULOS_CDF'!$R$6:$R$1005,A960,'VÍNCULOS_CDF'!$AA$6:$AA$1005,1))</f>
        <v>0</v>
      </c>
      <c r="AF960" s="96">
        <f>IF(R960=0,0,COUNTIFS('VÍNCULOS_CDF'!$R$6:$R$1005,A960,'VÍNCULOS_CDF'!$Y$6:$Y$1005,1))</f>
        <v>0</v>
      </c>
      <c r="AG960" s="96" t="str">
        <f>IF(AND(R960=1,S960&lt;&gt;"",C960&lt;&gt;""),S960&amp;"|"&amp;C960&amp;"|"&amp;G960&amp;"|"&amp;H960,"")</f>
        <v/>
      </c>
      <c r="AH960" s="96">
        <f>IF(AG960="",0,IF(SUMPRODUCT(--($AG$6:$AG$1005=AG960))&gt;1,1,0))</f>
        <v>0</v>
      </c>
      <c r="AI960" s="96">
        <f>IF(R960=0,0,IF(OR(U960=0,V960=0,Y960=0,AND(AH960=1,K960&lt;&gt;"Sim")),1,0))</f>
        <v>0</v>
      </c>
      <c r="AJ960" s="96">
        <f>IF(AND(R960=1,AA960&gt;0,AB960=AA960),1,0)</f>
        <v>0</v>
      </c>
      <c r="AK960" s="96">
        <f>IF(R960=0,0,IF(AA960&gt;0,N(L960),IF(ISNUMBER(I960),I960,0)))</f>
        <v>0</v>
      </c>
      <c r="AL960" s="96">
        <f>IF(R960=0,0,IF(AND(K960&lt;&gt;"Sim",N(M960)&gt;AK960+cfg_tol),1,0))</f>
        <v>0</v>
      </c>
      <c r="AM960" s="96">
        <f>IF(R960=0,0,IF(K960="Sim",0,IF(OR(AND(AA960&gt;0,ISNUMBER(I960),ABS(I960-N(L960))&gt;cfg_tol),AL960=1),1,0)))</f>
        <v>0</v>
      </c>
      <c r="AN960" s="96">
        <f>IF(AND(R960=1,N(M960)&gt;0,OR(N(M960)&gt;=AK960-cfg_tol,K960="Sim")),1,0)</f>
        <v>0</v>
      </c>
      <c r="AO960" s="96">
        <f>IF(AND(AN960=1,AD960&gt;0,AE960=AD960,AL960=0),1,0)</f>
        <v>0</v>
      </c>
      <c r="AP960" s="96">
        <f>IF(U960=0,0,IF(AND(INDEX('MTRs'!$AX$6:$AX$505,T960)=1,Z960=0,OR(f_res="",f_res="(Todos)",C960=f_res)),1,0))</f>
        <v>0</v>
      </c>
      <c r="AQ960" s="97" t="str">
        <f>IF(U960=0,"",INDEX('MTRs'!$AZ$6:$AZ$505,T960))</f>
        <v/>
      </c>
      <c r="AR960" s="96">
        <f>IF(U960=0,0,IF(AND(INDEX('MTRs'!$BA$6:$BA$505,T960)=1,Z960=0),1,0))</f>
        <v>0</v>
      </c>
      <c r="AS960" s="96" t="str">
        <f>IF(R960=1,A960&amp;" | MTR "&amp;IF(U960=1,INDEX('MTRs'!$B$6:$B$505,T960)&amp;"","?")&amp;" | "&amp;IF(C960="","(sem resíduo)",C960),"")</f>
        <v/>
      </c>
      <c r="AT960" s="96" t="str">
        <f>IF(R960=1,COUNTIF($R$6:R960,1),"")</f>
        <v/>
      </c>
      <c r="AU960" s="96" t="str">
        <f>IF(U960=1,INDEX('MTRs'!$I$6:$I$505,T960)&amp;"","")</f>
        <v/>
      </c>
    </row>
    <row r="961">
      <c r="A961" s="89" t="inlineStr">
        <is>
          <t>IT-000956</t>
        </is>
      </c>
      <c r="B961" s="91" t="n"/>
      <c r="C961" s="91" t="n"/>
      <c r="D961" s="94" t="str">
        <f>IF(OR(R961=0,V961=0),"",INDEX('CAD_RESÍDUOS'!$E$6:$E$205,MATCH(C961,'CAD_RESÍDUOS'!$B$6:$B$205,0))&amp;"")</f>
        <v/>
      </c>
      <c r="E961" s="94" t="str">
        <f>IF(OR(R961=0,V961=0),"",INDEX('CAD_RESÍDUOS'!$C$6:$C$205,MATCH(C961,'CAD_RESÍDUOS'!$B$6:$B$205,0))&amp;"")</f>
        <v/>
      </c>
      <c r="F961" s="94" t="str">
        <f>IF(OR(R961=0,V961=0),"",INDEX('CAD_RESÍDUOS'!$G$6:$G$205,MATCH(C961,'CAD_RESÍDUOS'!$B$6:$B$205,0))&amp;"")</f>
        <v/>
      </c>
      <c r="G961" s="98" t="n"/>
      <c r="H961" s="91" t="n"/>
      <c r="I961" s="93" t="str">
        <f>IF(R961=0,"",IF(NOT(ISNUMBER(G961)),"",IF(ISNUMBER(X961),G961*X961,"UNIDADE A CONFERIR")))</f>
        <v/>
      </c>
      <c r="J961" s="91" t="n"/>
      <c r="K961" s="91" t="n"/>
      <c r="L961" s="93" t="str">
        <f>IF(R961=0,"",SUMIFS('RECEBIMENTOS'!$H$6:$H$1005,'RECEBIMENTOS'!$R$6:$R$1005,A961,'RECEBIMENTOS'!$X$6:$X$1005,1))</f>
        <v/>
      </c>
      <c r="M961" s="93" t="str">
        <f>IF(R961=0,"",SUMIFS('VÍNCULOS_CDF'!$H$6:$H$1005,'VÍNCULOS_CDF'!$R$6:$R$1005,A961,'VÍNCULOS_CDF'!$V$6:$V$1005,1))</f>
        <v/>
      </c>
      <c r="N961" s="99" t="str">
        <f>IF(OR(R961=0,AA961=0,NOT(ISNUMBER(I961))),"",I961-N(L961))</f>
        <v/>
      </c>
      <c r="O961" s="100" t="str">
        <f>IF(OR(R961=0,AK961&lt;=0),"",N(M961)/AK961)</f>
        <v/>
      </c>
      <c r="P961" s="94" t="str">
        <f>IF(R961=0,"",IF(S961="","Sem MTR associado",IF(U961=0,"MTR inexistente",IF(C961="","Resíduo não identificado",IF(V961=0,"Resíduo fora do cadastro",IF(W961=0,"Quantidade inválida",IF(H961="","Unidade não informada",IF(NOT(ISNUMBER(I961)),"Unidade a conferir",IF(AND(AH961=1,K961&lt;&gt;"Sim"),"Possível duplicidade",IF(Z961=1,"MTR cancelado",IF(AC961&gt;0,"Recebimento com alerta",IF(AA961=0,"Aguardando recebimento",IF(AB961&lt;AA961,"Recebimento a conferir",IF(AM961=1,"Quantidade a revisar",IF(AF961&gt;0,"Vínculo a revisar",IF(AD961=0,"Aguardando CDF",IF(AN961=0,"Vínculo de CDF parcial",IF(AE961&lt;AD961,"CDF a conferir","Documentação conferida"))))))))))))))))))</f>
        <v/>
      </c>
      <c r="Q961" s="93" t="str">
        <f>IF(OR(R961=0,AA961=0),"",MAX(0,N(L961)-N(M961)))</f>
        <v/>
      </c>
      <c r="R961" s="96">
        <f>IF(COUNTA(B961:C961,G961:H961,J961:K961)&gt;0,1,0)</f>
        <v>0</v>
      </c>
      <c r="S961" s="96" t="str">
        <f>IF(B961="","",TRIM(LEFT(B961,FIND(" |",B961&amp;" |")-1)))</f>
        <v/>
      </c>
      <c r="T961" s="96" t="str">
        <f>IF(S961="","",IFERROR(MATCH(S961,'MTRs'!$A$6:$A$505,0),""))</f>
        <v/>
      </c>
      <c r="U961" s="96">
        <f>IF(T961="",0,IF(INDEX('MTRs'!$Z$6:$Z$505,T961)=1,1,0))</f>
        <v>0</v>
      </c>
      <c r="V961" s="96">
        <f>IF(C961="",0,IF(ISNUMBER(MATCH(C961,'CAD_RESÍDUOS'!$B$6:$B$205,0)),1,0))</f>
        <v>0</v>
      </c>
      <c r="W961" s="96">
        <f>IF(AND(ISNUMBER(G961),G961&gt;0),1,0)</f>
        <v>0</v>
      </c>
      <c r="X961" s="96" t="str">
        <f>IF(H961="","",IFERROR(IF(ISNUMBER(INDEX(cfg_fac,MATCH(H961,cfg_units,0))),IF(INDEX(cfg_fac,MATCH(H961,cfg_units,0))&gt;0,INDEX(cfg_fac,MATCH(H961,cfg_units,0)),""),""),""))</f>
        <v/>
      </c>
      <c r="Y961" s="96">
        <f>IF(AND(W961=1,ISNUMBER(I961)),1,0)</f>
        <v>0</v>
      </c>
      <c r="Z961" s="96">
        <f>IF(U961=1,INDEX('MTRs'!$AA$6:$AA$505,T961),0)</f>
        <v>0</v>
      </c>
      <c r="AA961" s="96">
        <f>IF(R961=0,0,COUNTIFS('RECEBIMENTOS'!$R$6:$R$1005,A961,'RECEBIMENTOS'!$Q$6:$Q$1005,1))</f>
        <v>0</v>
      </c>
      <c r="AB961" s="96">
        <f>IF(R961=0,0,COUNTIFS('RECEBIMENTOS'!$R$6:$R$1005,A961,'RECEBIMENTOS'!$Z$6:$Z$1005,1))</f>
        <v>0</v>
      </c>
      <c r="AC961" s="96">
        <f>IF(R961=0,0,COUNTIFS('RECEBIMENTOS'!$R$6:$R$1005,A961,'RECEBIMENTOS'!$Y$6:$Y$1005,1))</f>
        <v>0</v>
      </c>
      <c r="AD961" s="96">
        <f>IF(R961=0,0,COUNTIFS('VÍNCULOS_CDF'!$R$6:$R$1005,A961,'VÍNCULOS_CDF'!$N$6:$N$1005,1))</f>
        <v>0</v>
      </c>
      <c r="AE961" s="96">
        <f>IF(R961=0,0,COUNTIFS('VÍNCULOS_CDF'!$R$6:$R$1005,A961,'VÍNCULOS_CDF'!$AA$6:$AA$1005,1))</f>
        <v>0</v>
      </c>
      <c r="AF961" s="96">
        <f>IF(R961=0,0,COUNTIFS('VÍNCULOS_CDF'!$R$6:$R$1005,A961,'VÍNCULOS_CDF'!$Y$6:$Y$1005,1))</f>
        <v>0</v>
      </c>
      <c r="AG961" s="96" t="str">
        <f>IF(AND(R961=1,S961&lt;&gt;"",C961&lt;&gt;""),S961&amp;"|"&amp;C961&amp;"|"&amp;G961&amp;"|"&amp;H961,"")</f>
        <v/>
      </c>
      <c r="AH961" s="96">
        <f>IF(AG961="",0,IF(SUMPRODUCT(--($AG$6:$AG$1005=AG961))&gt;1,1,0))</f>
        <v>0</v>
      </c>
      <c r="AI961" s="96">
        <f>IF(R961=0,0,IF(OR(U961=0,V961=0,Y961=0,AND(AH961=1,K961&lt;&gt;"Sim")),1,0))</f>
        <v>0</v>
      </c>
      <c r="AJ961" s="96">
        <f>IF(AND(R961=1,AA961&gt;0,AB961=AA961),1,0)</f>
        <v>0</v>
      </c>
      <c r="AK961" s="96">
        <f>IF(R961=0,0,IF(AA961&gt;0,N(L961),IF(ISNUMBER(I961),I961,0)))</f>
        <v>0</v>
      </c>
      <c r="AL961" s="96">
        <f>IF(R961=0,0,IF(AND(K961&lt;&gt;"Sim",N(M961)&gt;AK961+cfg_tol),1,0))</f>
        <v>0</v>
      </c>
      <c r="AM961" s="96">
        <f>IF(R961=0,0,IF(K961="Sim",0,IF(OR(AND(AA961&gt;0,ISNUMBER(I961),ABS(I961-N(L961))&gt;cfg_tol),AL961=1),1,0)))</f>
        <v>0</v>
      </c>
      <c r="AN961" s="96">
        <f>IF(AND(R961=1,N(M961)&gt;0,OR(N(M961)&gt;=AK961-cfg_tol,K961="Sim")),1,0)</f>
        <v>0</v>
      </c>
      <c r="AO961" s="96">
        <f>IF(AND(AN961=1,AD961&gt;0,AE961=AD961,AL961=0),1,0)</f>
        <v>0</v>
      </c>
      <c r="AP961" s="96">
        <f>IF(U961=0,0,IF(AND(INDEX('MTRs'!$AX$6:$AX$505,T961)=1,Z961=0,OR(f_res="",f_res="(Todos)",C961=f_res)),1,0))</f>
        <v>0</v>
      </c>
      <c r="AQ961" s="97" t="str">
        <f>IF(U961=0,"",INDEX('MTRs'!$AZ$6:$AZ$505,T961))</f>
        <v/>
      </c>
      <c r="AR961" s="96">
        <f>IF(U961=0,0,IF(AND(INDEX('MTRs'!$BA$6:$BA$505,T961)=1,Z961=0),1,0))</f>
        <v>0</v>
      </c>
      <c r="AS961" s="96" t="str">
        <f>IF(R961=1,A961&amp;" | MTR "&amp;IF(U961=1,INDEX('MTRs'!$B$6:$B$505,T961)&amp;"","?")&amp;" | "&amp;IF(C961="","(sem resíduo)",C961),"")</f>
        <v/>
      </c>
      <c r="AT961" s="96" t="str">
        <f>IF(R961=1,COUNTIF($R$6:R961,1),"")</f>
        <v/>
      </c>
      <c r="AU961" s="96" t="str">
        <f>IF(U961=1,INDEX('MTRs'!$I$6:$I$505,T961)&amp;"","")</f>
        <v/>
      </c>
    </row>
    <row r="962">
      <c r="A962" s="89" t="inlineStr">
        <is>
          <t>IT-000957</t>
        </is>
      </c>
      <c r="B962" s="91" t="n"/>
      <c r="C962" s="91" t="n"/>
      <c r="D962" s="94" t="str">
        <f>IF(OR(R962=0,V962=0),"",INDEX('CAD_RESÍDUOS'!$E$6:$E$205,MATCH(C962,'CAD_RESÍDUOS'!$B$6:$B$205,0))&amp;"")</f>
        <v/>
      </c>
      <c r="E962" s="94" t="str">
        <f>IF(OR(R962=0,V962=0),"",INDEX('CAD_RESÍDUOS'!$C$6:$C$205,MATCH(C962,'CAD_RESÍDUOS'!$B$6:$B$205,0))&amp;"")</f>
        <v/>
      </c>
      <c r="F962" s="94" t="str">
        <f>IF(OR(R962=0,V962=0),"",INDEX('CAD_RESÍDUOS'!$G$6:$G$205,MATCH(C962,'CAD_RESÍDUOS'!$B$6:$B$205,0))&amp;"")</f>
        <v/>
      </c>
      <c r="G962" s="98" t="n"/>
      <c r="H962" s="91" t="n"/>
      <c r="I962" s="93" t="str">
        <f>IF(R962=0,"",IF(NOT(ISNUMBER(G962)),"",IF(ISNUMBER(X962),G962*X962,"UNIDADE A CONFERIR")))</f>
        <v/>
      </c>
      <c r="J962" s="91" t="n"/>
      <c r="K962" s="91" t="n"/>
      <c r="L962" s="93" t="str">
        <f>IF(R962=0,"",SUMIFS('RECEBIMENTOS'!$H$6:$H$1005,'RECEBIMENTOS'!$R$6:$R$1005,A962,'RECEBIMENTOS'!$X$6:$X$1005,1))</f>
        <v/>
      </c>
      <c r="M962" s="93" t="str">
        <f>IF(R962=0,"",SUMIFS('VÍNCULOS_CDF'!$H$6:$H$1005,'VÍNCULOS_CDF'!$R$6:$R$1005,A962,'VÍNCULOS_CDF'!$V$6:$V$1005,1))</f>
        <v/>
      </c>
      <c r="N962" s="99" t="str">
        <f>IF(OR(R962=0,AA962=0,NOT(ISNUMBER(I962))),"",I962-N(L962))</f>
        <v/>
      </c>
      <c r="O962" s="100" t="str">
        <f>IF(OR(R962=0,AK962&lt;=0),"",N(M962)/AK962)</f>
        <v/>
      </c>
      <c r="P962" s="94" t="str">
        <f>IF(R962=0,"",IF(S962="","Sem MTR associado",IF(U962=0,"MTR inexistente",IF(C962="","Resíduo não identificado",IF(V962=0,"Resíduo fora do cadastro",IF(W962=0,"Quantidade inválida",IF(H962="","Unidade não informada",IF(NOT(ISNUMBER(I962)),"Unidade a conferir",IF(AND(AH962=1,K962&lt;&gt;"Sim"),"Possível duplicidade",IF(Z962=1,"MTR cancelado",IF(AC962&gt;0,"Recebimento com alerta",IF(AA962=0,"Aguardando recebimento",IF(AB962&lt;AA962,"Recebimento a conferir",IF(AM962=1,"Quantidade a revisar",IF(AF962&gt;0,"Vínculo a revisar",IF(AD962=0,"Aguardando CDF",IF(AN962=0,"Vínculo de CDF parcial",IF(AE962&lt;AD962,"CDF a conferir","Documentação conferida"))))))))))))))))))</f>
        <v/>
      </c>
      <c r="Q962" s="93" t="str">
        <f>IF(OR(R962=0,AA962=0),"",MAX(0,N(L962)-N(M962)))</f>
        <v/>
      </c>
      <c r="R962" s="96">
        <f>IF(COUNTA(B962:C962,G962:H962,J962:K962)&gt;0,1,0)</f>
        <v>0</v>
      </c>
      <c r="S962" s="96" t="str">
        <f>IF(B962="","",TRIM(LEFT(B962,FIND(" |",B962&amp;" |")-1)))</f>
        <v/>
      </c>
      <c r="T962" s="96" t="str">
        <f>IF(S962="","",IFERROR(MATCH(S962,'MTRs'!$A$6:$A$505,0),""))</f>
        <v/>
      </c>
      <c r="U962" s="96">
        <f>IF(T962="",0,IF(INDEX('MTRs'!$Z$6:$Z$505,T962)=1,1,0))</f>
        <v>0</v>
      </c>
      <c r="V962" s="96">
        <f>IF(C962="",0,IF(ISNUMBER(MATCH(C962,'CAD_RESÍDUOS'!$B$6:$B$205,0)),1,0))</f>
        <v>0</v>
      </c>
      <c r="W962" s="96">
        <f>IF(AND(ISNUMBER(G962),G962&gt;0),1,0)</f>
        <v>0</v>
      </c>
      <c r="X962" s="96" t="str">
        <f>IF(H962="","",IFERROR(IF(ISNUMBER(INDEX(cfg_fac,MATCH(H962,cfg_units,0))),IF(INDEX(cfg_fac,MATCH(H962,cfg_units,0))&gt;0,INDEX(cfg_fac,MATCH(H962,cfg_units,0)),""),""),""))</f>
        <v/>
      </c>
      <c r="Y962" s="96">
        <f>IF(AND(W962=1,ISNUMBER(I962)),1,0)</f>
        <v>0</v>
      </c>
      <c r="Z962" s="96">
        <f>IF(U962=1,INDEX('MTRs'!$AA$6:$AA$505,T962),0)</f>
        <v>0</v>
      </c>
      <c r="AA962" s="96">
        <f>IF(R962=0,0,COUNTIFS('RECEBIMENTOS'!$R$6:$R$1005,A962,'RECEBIMENTOS'!$Q$6:$Q$1005,1))</f>
        <v>0</v>
      </c>
      <c r="AB962" s="96">
        <f>IF(R962=0,0,COUNTIFS('RECEBIMENTOS'!$R$6:$R$1005,A962,'RECEBIMENTOS'!$Z$6:$Z$1005,1))</f>
        <v>0</v>
      </c>
      <c r="AC962" s="96">
        <f>IF(R962=0,0,COUNTIFS('RECEBIMENTOS'!$R$6:$R$1005,A962,'RECEBIMENTOS'!$Y$6:$Y$1005,1))</f>
        <v>0</v>
      </c>
      <c r="AD962" s="96">
        <f>IF(R962=0,0,COUNTIFS('VÍNCULOS_CDF'!$R$6:$R$1005,A962,'VÍNCULOS_CDF'!$N$6:$N$1005,1))</f>
        <v>0</v>
      </c>
      <c r="AE962" s="96">
        <f>IF(R962=0,0,COUNTIFS('VÍNCULOS_CDF'!$R$6:$R$1005,A962,'VÍNCULOS_CDF'!$AA$6:$AA$1005,1))</f>
        <v>0</v>
      </c>
      <c r="AF962" s="96">
        <f>IF(R962=0,0,COUNTIFS('VÍNCULOS_CDF'!$R$6:$R$1005,A962,'VÍNCULOS_CDF'!$Y$6:$Y$1005,1))</f>
        <v>0</v>
      </c>
      <c r="AG962" s="96" t="str">
        <f>IF(AND(R962=1,S962&lt;&gt;"",C962&lt;&gt;""),S962&amp;"|"&amp;C962&amp;"|"&amp;G962&amp;"|"&amp;H962,"")</f>
        <v/>
      </c>
      <c r="AH962" s="96">
        <f>IF(AG962="",0,IF(SUMPRODUCT(--($AG$6:$AG$1005=AG962))&gt;1,1,0))</f>
        <v>0</v>
      </c>
      <c r="AI962" s="96">
        <f>IF(R962=0,0,IF(OR(U962=0,V962=0,Y962=0,AND(AH962=1,K962&lt;&gt;"Sim")),1,0))</f>
        <v>0</v>
      </c>
      <c r="AJ962" s="96">
        <f>IF(AND(R962=1,AA962&gt;0,AB962=AA962),1,0)</f>
        <v>0</v>
      </c>
      <c r="AK962" s="96">
        <f>IF(R962=0,0,IF(AA962&gt;0,N(L962),IF(ISNUMBER(I962),I962,0)))</f>
        <v>0</v>
      </c>
      <c r="AL962" s="96">
        <f>IF(R962=0,0,IF(AND(K962&lt;&gt;"Sim",N(M962)&gt;AK962+cfg_tol),1,0))</f>
        <v>0</v>
      </c>
      <c r="AM962" s="96">
        <f>IF(R962=0,0,IF(K962="Sim",0,IF(OR(AND(AA962&gt;0,ISNUMBER(I962),ABS(I962-N(L962))&gt;cfg_tol),AL962=1),1,0)))</f>
        <v>0</v>
      </c>
      <c r="AN962" s="96">
        <f>IF(AND(R962=1,N(M962)&gt;0,OR(N(M962)&gt;=AK962-cfg_tol,K962="Sim")),1,0)</f>
        <v>0</v>
      </c>
      <c r="AO962" s="96">
        <f>IF(AND(AN962=1,AD962&gt;0,AE962=AD962,AL962=0),1,0)</f>
        <v>0</v>
      </c>
      <c r="AP962" s="96">
        <f>IF(U962=0,0,IF(AND(INDEX('MTRs'!$AX$6:$AX$505,T962)=1,Z962=0,OR(f_res="",f_res="(Todos)",C962=f_res)),1,0))</f>
        <v>0</v>
      </c>
      <c r="AQ962" s="97" t="str">
        <f>IF(U962=0,"",INDEX('MTRs'!$AZ$6:$AZ$505,T962))</f>
        <v/>
      </c>
      <c r="AR962" s="96">
        <f>IF(U962=0,0,IF(AND(INDEX('MTRs'!$BA$6:$BA$505,T962)=1,Z962=0),1,0))</f>
        <v>0</v>
      </c>
      <c r="AS962" s="96" t="str">
        <f>IF(R962=1,A962&amp;" | MTR "&amp;IF(U962=1,INDEX('MTRs'!$B$6:$B$505,T962)&amp;"","?")&amp;" | "&amp;IF(C962="","(sem resíduo)",C962),"")</f>
        <v/>
      </c>
      <c r="AT962" s="96" t="str">
        <f>IF(R962=1,COUNTIF($R$6:R962,1),"")</f>
        <v/>
      </c>
      <c r="AU962" s="96" t="str">
        <f>IF(U962=1,INDEX('MTRs'!$I$6:$I$505,T962)&amp;"","")</f>
        <v/>
      </c>
    </row>
    <row r="963">
      <c r="A963" s="89" t="inlineStr">
        <is>
          <t>IT-000958</t>
        </is>
      </c>
      <c r="B963" s="91" t="n"/>
      <c r="C963" s="91" t="n"/>
      <c r="D963" s="94" t="str">
        <f>IF(OR(R963=0,V963=0),"",INDEX('CAD_RESÍDUOS'!$E$6:$E$205,MATCH(C963,'CAD_RESÍDUOS'!$B$6:$B$205,0))&amp;"")</f>
        <v/>
      </c>
      <c r="E963" s="94" t="str">
        <f>IF(OR(R963=0,V963=0),"",INDEX('CAD_RESÍDUOS'!$C$6:$C$205,MATCH(C963,'CAD_RESÍDUOS'!$B$6:$B$205,0))&amp;"")</f>
        <v/>
      </c>
      <c r="F963" s="94" t="str">
        <f>IF(OR(R963=0,V963=0),"",INDEX('CAD_RESÍDUOS'!$G$6:$G$205,MATCH(C963,'CAD_RESÍDUOS'!$B$6:$B$205,0))&amp;"")</f>
        <v/>
      </c>
      <c r="G963" s="98" t="n"/>
      <c r="H963" s="91" t="n"/>
      <c r="I963" s="93" t="str">
        <f>IF(R963=0,"",IF(NOT(ISNUMBER(G963)),"",IF(ISNUMBER(X963),G963*X963,"UNIDADE A CONFERIR")))</f>
        <v/>
      </c>
      <c r="J963" s="91" t="n"/>
      <c r="K963" s="91" t="n"/>
      <c r="L963" s="93" t="str">
        <f>IF(R963=0,"",SUMIFS('RECEBIMENTOS'!$H$6:$H$1005,'RECEBIMENTOS'!$R$6:$R$1005,A963,'RECEBIMENTOS'!$X$6:$X$1005,1))</f>
        <v/>
      </c>
      <c r="M963" s="93" t="str">
        <f>IF(R963=0,"",SUMIFS('VÍNCULOS_CDF'!$H$6:$H$1005,'VÍNCULOS_CDF'!$R$6:$R$1005,A963,'VÍNCULOS_CDF'!$V$6:$V$1005,1))</f>
        <v/>
      </c>
      <c r="N963" s="99" t="str">
        <f>IF(OR(R963=0,AA963=0,NOT(ISNUMBER(I963))),"",I963-N(L963))</f>
        <v/>
      </c>
      <c r="O963" s="100" t="str">
        <f>IF(OR(R963=0,AK963&lt;=0),"",N(M963)/AK963)</f>
        <v/>
      </c>
      <c r="P963" s="94" t="str">
        <f>IF(R963=0,"",IF(S963="","Sem MTR associado",IF(U963=0,"MTR inexistente",IF(C963="","Resíduo não identificado",IF(V963=0,"Resíduo fora do cadastro",IF(W963=0,"Quantidade inválida",IF(H963="","Unidade não informada",IF(NOT(ISNUMBER(I963)),"Unidade a conferir",IF(AND(AH963=1,K963&lt;&gt;"Sim"),"Possível duplicidade",IF(Z963=1,"MTR cancelado",IF(AC963&gt;0,"Recebimento com alerta",IF(AA963=0,"Aguardando recebimento",IF(AB963&lt;AA963,"Recebimento a conferir",IF(AM963=1,"Quantidade a revisar",IF(AF963&gt;0,"Vínculo a revisar",IF(AD963=0,"Aguardando CDF",IF(AN963=0,"Vínculo de CDF parcial",IF(AE963&lt;AD963,"CDF a conferir","Documentação conferida"))))))))))))))))))</f>
        <v/>
      </c>
      <c r="Q963" s="93" t="str">
        <f>IF(OR(R963=0,AA963=0),"",MAX(0,N(L963)-N(M963)))</f>
        <v/>
      </c>
      <c r="R963" s="96">
        <f>IF(COUNTA(B963:C963,G963:H963,J963:K963)&gt;0,1,0)</f>
        <v>0</v>
      </c>
      <c r="S963" s="96" t="str">
        <f>IF(B963="","",TRIM(LEFT(B963,FIND(" |",B963&amp;" |")-1)))</f>
        <v/>
      </c>
      <c r="T963" s="96" t="str">
        <f>IF(S963="","",IFERROR(MATCH(S963,'MTRs'!$A$6:$A$505,0),""))</f>
        <v/>
      </c>
      <c r="U963" s="96">
        <f>IF(T963="",0,IF(INDEX('MTRs'!$Z$6:$Z$505,T963)=1,1,0))</f>
        <v>0</v>
      </c>
      <c r="V963" s="96">
        <f>IF(C963="",0,IF(ISNUMBER(MATCH(C963,'CAD_RESÍDUOS'!$B$6:$B$205,0)),1,0))</f>
        <v>0</v>
      </c>
      <c r="W963" s="96">
        <f>IF(AND(ISNUMBER(G963),G963&gt;0),1,0)</f>
        <v>0</v>
      </c>
      <c r="X963" s="96" t="str">
        <f>IF(H963="","",IFERROR(IF(ISNUMBER(INDEX(cfg_fac,MATCH(H963,cfg_units,0))),IF(INDEX(cfg_fac,MATCH(H963,cfg_units,0))&gt;0,INDEX(cfg_fac,MATCH(H963,cfg_units,0)),""),""),""))</f>
        <v/>
      </c>
      <c r="Y963" s="96">
        <f>IF(AND(W963=1,ISNUMBER(I963)),1,0)</f>
        <v>0</v>
      </c>
      <c r="Z963" s="96">
        <f>IF(U963=1,INDEX('MTRs'!$AA$6:$AA$505,T963),0)</f>
        <v>0</v>
      </c>
      <c r="AA963" s="96">
        <f>IF(R963=0,0,COUNTIFS('RECEBIMENTOS'!$R$6:$R$1005,A963,'RECEBIMENTOS'!$Q$6:$Q$1005,1))</f>
        <v>0</v>
      </c>
      <c r="AB963" s="96">
        <f>IF(R963=0,0,COUNTIFS('RECEBIMENTOS'!$R$6:$R$1005,A963,'RECEBIMENTOS'!$Z$6:$Z$1005,1))</f>
        <v>0</v>
      </c>
      <c r="AC963" s="96">
        <f>IF(R963=0,0,COUNTIFS('RECEBIMENTOS'!$R$6:$R$1005,A963,'RECEBIMENTOS'!$Y$6:$Y$1005,1))</f>
        <v>0</v>
      </c>
      <c r="AD963" s="96">
        <f>IF(R963=0,0,COUNTIFS('VÍNCULOS_CDF'!$R$6:$R$1005,A963,'VÍNCULOS_CDF'!$N$6:$N$1005,1))</f>
        <v>0</v>
      </c>
      <c r="AE963" s="96">
        <f>IF(R963=0,0,COUNTIFS('VÍNCULOS_CDF'!$R$6:$R$1005,A963,'VÍNCULOS_CDF'!$AA$6:$AA$1005,1))</f>
        <v>0</v>
      </c>
      <c r="AF963" s="96">
        <f>IF(R963=0,0,COUNTIFS('VÍNCULOS_CDF'!$R$6:$R$1005,A963,'VÍNCULOS_CDF'!$Y$6:$Y$1005,1))</f>
        <v>0</v>
      </c>
      <c r="AG963" s="96" t="str">
        <f>IF(AND(R963=1,S963&lt;&gt;"",C963&lt;&gt;""),S963&amp;"|"&amp;C963&amp;"|"&amp;G963&amp;"|"&amp;H963,"")</f>
        <v/>
      </c>
      <c r="AH963" s="96">
        <f>IF(AG963="",0,IF(SUMPRODUCT(--($AG$6:$AG$1005=AG963))&gt;1,1,0))</f>
        <v>0</v>
      </c>
      <c r="AI963" s="96">
        <f>IF(R963=0,0,IF(OR(U963=0,V963=0,Y963=0,AND(AH963=1,K963&lt;&gt;"Sim")),1,0))</f>
        <v>0</v>
      </c>
      <c r="AJ963" s="96">
        <f>IF(AND(R963=1,AA963&gt;0,AB963=AA963),1,0)</f>
        <v>0</v>
      </c>
      <c r="AK963" s="96">
        <f>IF(R963=0,0,IF(AA963&gt;0,N(L963),IF(ISNUMBER(I963),I963,0)))</f>
        <v>0</v>
      </c>
      <c r="AL963" s="96">
        <f>IF(R963=0,0,IF(AND(K963&lt;&gt;"Sim",N(M963)&gt;AK963+cfg_tol),1,0))</f>
        <v>0</v>
      </c>
      <c r="AM963" s="96">
        <f>IF(R963=0,0,IF(K963="Sim",0,IF(OR(AND(AA963&gt;0,ISNUMBER(I963),ABS(I963-N(L963))&gt;cfg_tol),AL963=1),1,0)))</f>
        <v>0</v>
      </c>
      <c r="AN963" s="96">
        <f>IF(AND(R963=1,N(M963)&gt;0,OR(N(M963)&gt;=AK963-cfg_tol,K963="Sim")),1,0)</f>
        <v>0</v>
      </c>
      <c r="AO963" s="96">
        <f>IF(AND(AN963=1,AD963&gt;0,AE963=AD963,AL963=0),1,0)</f>
        <v>0</v>
      </c>
      <c r="AP963" s="96">
        <f>IF(U963=0,0,IF(AND(INDEX('MTRs'!$AX$6:$AX$505,T963)=1,Z963=0,OR(f_res="",f_res="(Todos)",C963=f_res)),1,0))</f>
        <v>0</v>
      </c>
      <c r="AQ963" s="97" t="str">
        <f>IF(U963=0,"",INDEX('MTRs'!$AZ$6:$AZ$505,T963))</f>
        <v/>
      </c>
      <c r="AR963" s="96">
        <f>IF(U963=0,0,IF(AND(INDEX('MTRs'!$BA$6:$BA$505,T963)=1,Z963=0),1,0))</f>
        <v>0</v>
      </c>
      <c r="AS963" s="96" t="str">
        <f>IF(R963=1,A963&amp;" | MTR "&amp;IF(U963=1,INDEX('MTRs'!$B$6:$B$505,T963)&amp;"","?")&amp;" | "&amp;IF(C963="","(sem resíduo)",C963),"")</f>
        <v/>
      </c>
      <c r="AT963" s="96" t="str">
        <f>IF(R963=1,COUNTIF($R$6:R963,1),"")</f>
        <v/>
      </c>
      <c r="AU963" s="96" t="str">
        <f>IF(U963=1,INDEX('MTRs'!$I$6:$I$505,T963)&amp;"","")</f>
        <v/>
      </c>
    </row>
    <row r="964">
      <c r="A964" s="89" t="inlineStr">
        <is>
          <t>IT-000959</t>
        </is>
      </c>
      <c r="B964" s="91" t="n"/>
      <c r="C964" s="91" t="n"/>
      <c r="D964" s="94" t="str">
        <f>IF(OR(R964=0,V964=0),"",INDEX('CAD_RESÍDUOS'!$E$6:$E$205,MATCH(C964,'CAD_RESÍDUOS'!$B$6:$B$205,0))&amp;"")</f>
        <v/>
      </c>
      <c r="E964" s="94" t="str">
        <f>IF(OR(R964=0,V964=0),"",INDEX('CAD_RESÍDUOS'!$C$6:$C$205,MATCH(C964,'CAD_RESÍDUOS'!$B$6:$B$205,0))&amp;"")</f>
        <v/>
      </c>
      <c r="F964" s="94" t="str">
        <f>IF(OR(R964=0,V964=0),"",INDEX('CAD_RESÍDUOS'!$G$6:$G$205,MATCH(C964,'CAD_RESÍDUOS'!$B$6:$B$205,0))&amp;"")</f>
        <v/>
      </c>
      <c r="G964" s="98" t="n"/>
      <c r="H964" s="91" t="n"/>
      <c r="I964" s="93" t="str">
        <f>IF(R964=0,"",IF(NOT(ISNUMBER(G964)),"",IF(ISNUMBER(X964),G964*X964,"UNIDADE A CONFERIR")))</f>
        <v/>
      </c>
      <c r="J964" s="91" t="n"/>
      <c r="K964" s="91" t="n"/>
      <c r="L964" s="93" t="str">
        <f>IF(R964=0,"",SUMIFS('RECEBIMENTOS'!$H$6:$H$1005,'RECEBIMENTOS'!$R$6:$R$1005,A964,'RECEBIMENTOS'!$X$6:$X$1005,1))</f>
        <v/>
      </c>
      <c r="M964" s="93" t="str">
        <f>IF(R964=0,"",SUMIFS('VÍNCULOS_CDF'!$H$6:$H$1005,'VÍNCULOS_CDF'!$R$6:$R$1005,A964,'VÍNCULOS_CDF'!$V$6:$V$1005,1))</f>
        <v/>
      </c>
      <c r="N964" s="99" t="str">
        <f>IF(OR(R964=0,AA964=0,NOT(ISNUMBER(I964))),"",I964-N(L964))</f>
        <v/>
      </c>
      <c r="O964" s="100" t="str">
        <f>IF(OR(R964=0,AK964&lt;=0),"",N(M964)/AK964)</f>
        <v/>
      </c>
      <c r="P964" s="94" t="str">
        <f>IF(R964=0,"",IF(S964="","Sem MTR associado",IF(U964=0,"MTR inexistente",IF(C964="","Resíduo não identificado",IF(V964=0,"Resíduo fora do cadastro",IF(W964=0,"Quantidade inválida",IF(H964="","Unidade não informada",IF(NOT(ISNUMBER(I964)),"Unidade a conferir",IF(AND(AH964=1,K964&lt;&gt;"Sim"),"Possível duplicidade",IF(Z964=1,"MTR cancelado",IF(AC964&gt;0,"Recebimento com alerta",IF(AA964=0,"Aguardando recebimento",IF(AB964&lt;AA964,"Recebimento a conferir",IF(AM964=1,"Quantidade a revisar",IF(AF964&gt;0,"Vínculo a revisar",IF(AD964=0,"Aguardando CDF",IF(AN964=0,"Vínculo de CDF parcial",IF(AE964&lt;AD964,"CDF a conferir","Documentação conferida"))))))))))))))))))</f>
        <v/>
      </c>
      <c r="Q964" s="93" t="str">
        <f>IF(OR(R964=0,AA964=0),"",MAX(0,N(L964)-N(M964)))</f>
        <v/>
      </c>
      <c r="R964" s="96">
        <f>IF(COUNTA(B964:C964,G964:H964,J964:K964)&gt;0,1,0)</f>
        <v>0</v>
      </c>
      <c r="S964" s="96" t="str">
        <f>IF(B964="","",TRIM(LEFT(B964,FIND(" |",B964&amp;" |")-1)))</f>
        <v/>
      </c>
      <c r="T964" s="96" t="str">
        <f>IF(S964="","",IFERROR(MATCH(S964,'MTRs'!$A$6:$A$505,0),""))</f>
        <v/>
      </c>
      <c r="U964" s="96">
        <f>IF(T964="",0,IF(INDEX('MTRs'!$Z$6:$Z$505,T964)=1,1,0))</f>
        <v>0</v>
      </c>
      <c r="V964" s="96">
        <f>IF(C964="",0,IF(ISNUMBER(MATCH(C964,'CAD_RESÍDUOS'!$B$6:$B$205,0)),1,0))</f>
        <v>0</v>
      </c>
      <c r="W964" s="96">
        <f>IF(AND(ISNUMBER(G964),G964&gt;0),1,0)</f>
        <v>0</v>
      </c>
      <c r="X964" s="96" t="str">
        <f>IF(H964="","",IFERROR(IF(ISNUMBER(INDEX(cfg_fac,MATCH(H964,cfg_units,0))),IF(INDEX(cfg_fac,MATCH(H964,cfg_units,0))&gt;0,INDEX(cfg_fac,MATCH(H964,cfg_units,0)),""),""),""))</f>
        <v/>
      </c>
      <c r="Y964" s="96">
        <f>IF(AND(W964=1,ISNUMBER(I964)),1,0)</f>
        <v>0</v>
      </c>
      <c r="Z964" s="96">
        <f>IF(U964=1,INDEX('MTRs'!$AA$6:$AA$505,T964),0)</f>
        <v>0</v>
      </c>
      <c r="AA964" s="96">
        <f>IF(R964=0,0,COUNTIFS('RECEBIMENTOS'!$R$6:$R$1005,A964,'RECEBIMENTOS'!$Q$6:$Q$1005,1))</f>
        <v>0</v>
      </c>
      <c r="AB964" s="96">
        <f>IF(R964=0,0,COUNTIFS('RECEBIMENTOS'!$R$6:$R$1005,A964,'RECEBIMENTOS'!$Z$6:$Z$1005,1))</f>
        <v>0</v>
      </c>
      <c r="AC964" s="96">
        <f>IF(R964=0,0,COUNTIFS('RECEBIMENTOS'!$R$6:$R$1005,A964,'RECEBIMENTOS'!$Y$6:$Y$1005,1))</f>
        <v>0</v>
      </c>
      <c r="AD964" s="96">
        <f>IF(R964=0,0,COUNTIFS('VÍNCULOS_CDF'!$R$6:$R$1005,A964,'VÍNCULOS_CDF'!$N$6:$N$1005,1))</f>
        <v>0</v>
      </c>
      <c r="AE964" s="96">
        <f>IF(R964=0,0,COUNTIFS('VÍNCULOS_CDF'!$R$6:$R$1005,A964,'VÍNCULOS_CDF'!$AA$6:$AA$1005,1))</f>
        <v>0</v>
      </c>
      <c r="AF964" s="96">
        <f>IF(R964=0,0,COUNTIFS('VÍNCULOS_CDF'!$R$6:$R$1005,A964,'VÍNCULOS_CDF'!$Y$6:$Y$1005,1))</f>
        <v>0</v>
      </c>
      <c r="AG964" s="96" t="str">
        <f>IF(AND(R964=1,S964&lt;&gt;"",C964&lt;&gt;""),S964&amp;"|"&amp;C964&amp;"|"&amp;G964&amp;"|"&amp;H964,"")</f>
        <v/>
      </c>
      <c r="AH964" s="96">
        <f>IF(AG964="",0,IF(SUMPRODUCT(--($AG$6:$AG$1005=AG964))&gt;1,1,0))</f>
        <v>0</v>
      </c>
      <c r="AI964" s="96">
        <f>IF(R964=0,0,IF(OR(U964=0,V964=0,Y964=0,AND(AH964=1,K964&lt;&gt;"Sim")),1,0))</f>
        <v>0</v>
      </c>
      <c r="AJ964" s="96">
        <f>IF(AND(R964=1,AA964&gt;0,AB964=AA964),1,0)</f>
        <v>0</v>
      </c>
      <c r="AK964" s="96">
        <f>IF(R964=0,0,IF(AA964&gt;0,N(L964),IF(ISNUMBER(I964),I964,0)))</f>
        <v>0</v>
      </c>
      <c r="AL964" s="96">
        <f>IF(R964=0,0,IF(AND(K964&lt;&gt;"Sim",N(M964)&gt;AK964+cfg_tol),1,0))</f>
        <v>0</v>
      </c>
      <c r="AM964" s="96">
        <f>IF(R964=0,0,IF(K964="Sim",0,IF(OR(AND(AA964&gt;0,ISNUMBER(I964),ABS(I964-N(L964))&gt;cfg_tol),AL964=1),1,0)))</f>
        <v>0</v>
      </c>
      <c r="AN964" s="96">
        <f>IF(AND(R964=1,N(M964)&gt;0,OR(N(M964)&gt;=AK964-cfg_tol,K964="Sim")),1,0)</f>
        <v>0</v>
      </c>
      <c r="AO964" s="96">
        <f>IF(AND(AN964=1,AD964&gt;0,AE964=AD964,AL964=0),1,0)</f>
        <v>0</v>
      </c>
      <c r="AP964" s="96">
        <f>IF(U964=0,0,IF(AND(INDEX('MTRs'!$AX$6:$AX$505,T964)=1,Z964=0,OR(f_res="",f_res="(Todos)",C964=f_res)),1,0))</f>
        <v>0</v>
      </c>
      <c r="AQ964" s="97" t="str">
        <f>IF(U964=0,"",INDEX('MTRs'!$AZ$6:$AZ$505,T964))</f>
        <v/>
      </c>
      <c r="AR964" s="96">
        <f>IF(U964=0,0,IF(AND(INDEX('MTRs'!$BA$6:$BA$505,T964)=1,Z964=0),1,0))</f>
        <v>0</v>
      </c>
      <c r="AS964" s="96" t="str">
        <f>IF(R964=1,A964&amp;" | MTR "&amp;IF(U964=1,INDEX('MTRs'!$B$6:$B$505,T964)&amp;"","?")&amp;" | "&amp;IF(C964="","(sem resíduo)",C964),"")</f>
        <v/>
      </c>
      <c r="AT964" s="96" t="str">
        <f>IF(R964=1,COUNTIF($R$6:R964,1),"")</f>
        <v/>
      </c>
      <c r="AU964" s="96" t="str">
        <f>IF(U964=1,INDEX('MTRs'!$I$6:$I$505,T964)&amp;"","")</f>
        <v/>
      </c>
    </row>
    <row r="965">
      <c r="A965" s="89" t="inlineStr">
        <is>
          <t>IT-000960</t>
        </is>
      </c>
      <c r="B965" s="91" t="n"/>
      <c r="C965" s="91" t="n"/>
      <c r="D965" s="94" t="str">
        <f>IF(OR(R965=0,V965=0),"",INDEX('CAD_RESÍDUOS'!$E$6:$E$205,MATCH(C965,'CAD_RESÍDUOS'!$B$6:$B$205,0))&amp;"")</f>
        <v/>
      </c>
      <c r="E965" s="94" t="str">
        <f>IF(OR(R965=0,V965=0),"",INDEX('CAD_RESÍDUOS'!$C$6:$C$205,MATCH(C965,'CAD_RESÍDUOS'!$B$6:$B$205,0))&amp;"")</f>
        <v/>
      </c>
      <c r="F965" s="94" t="str">
        <f>IF(OR(R965=0,V965=0),"",INDEX('CAD_RESÍDUOS'!$G$6:$G$205,MATCH(C965,'CAD_RESÍDUOS'!$B$6:$B$205,0))&amp;"")</f>
        <v/>
      </c>
      <c r="G965" s="98" t="n"/>
      <c r="H965" s="91" t="n"/>
      <c r="I965" s="93" t="str">
        <f>IF(R965=0,"",IF(NOT(ISNUMBER(G965)),"",IF(ISNUMBER(X965),G965*X965,"UNIDADE A CONFERIR")))</f>
        <v/>
      </c>
      <c r="J965" s="91" t="n"/>
      <c r="K965" s="91" t="n"/>
      <c r="L965" s="93" t="str">
        <f>IF(R965=0,"",SUMIFS('RECEBIMENTOS'!$H$6:$H$1005,'RECEBIMENTOS'!$R$6:$R$1005,A965,'RECEBIMENTOS'!$X$6:$X$1005,1))</f>
        <v/>
      </c>
      <c r="M965" s="93" t="str">
        <f>IF(R965=0,"",SUMIFS('VÍNCULOS_CDF'!$H$6:$H$1005,'VÍNCULOS_CDF'!$R$6:$R$1005,A965,'VÍNCULOS_CDF'!$V$6:$V$1005,1))</f>
        <v/>
      </c>
      <c r="N965" s="99" t="str">
        <f>IF(OR(R965=0,AA965=0,NOT(ISNUMBER(I965))),"",I965-N(L965))</f>
        <v/>
      </c>
      <c r="O965" s="100" t="str">
        <f>IF(OR(R965=0,AK965&lt;=0),"",N(M965)/AK965)</f>
        <v/>
      </c>
      <c r="P965" s="94" t="str">
        <f>IF(R965=0,"",IF(S965="","Sem MTR associado",IF(U965=0,"MTR inexistente",IF(C965="","Resíduo não identificado",IF(V965=0,"Resíduo fora do cadastro",IF(W965=0,"Quantidade inválida",IF(H965="","Unidade não informada",IF(NOT(ISNUMBER(I965)),"Unidade a conferir",IF(AND(AH965=1,K965&lt;&gt;"Sim"),"Possível duplicidade",IF(Z965=1,"MTR cancelado",IF(AC965&gt;0,"Recebimento com alerta",IF(AA965=0,"Aguardando recebimento",IF(AB965&lt;AA965,"Recebimento a conferir",IF(AM965=1,"Quantidade a revisar",IF(AF965&gt;0,"Vínculo a revisar",IF(AD965=0,"Aguardando CDF",IF(AN965=0,"Vínculo de CDF parcial",IF(AE965&lt;AD965,"CDF a conferir","Documentação conferida"))))))))))))))))))</f>
        <v/>
      </c>
      <c r="Q965" s="93" t="str">
        <f>IF(OR(R965=0,AA965=0),"",MAX(0,N(L965)-N(M965)))</f>
        <v/>
      </c>
      <c r="R965" s="96">
        <f>IF(COUNTA(B965:C965,G965:H965,J965:K965)&gt;0,1,0)</f>
        <v>0</v>
      </c>
      <c r="S965" s="96" t="str">
        <f>IF(B965="","",TRIM(LEFT(B965,FIND(" |",B965&amp;" |")-1)))</f>
        <v/>
      </c>
      <c r="T965" s="96" t="str">
        <f>IF(S965="","",IFERROR(MATCH(S965,'MTRs'!$A$6:$A$505,0),""))</f>
        <v/>
      </c>
      <c r="U965" s="96">
        <f>IF(T965="",0,IF(INDEX('MTRs'!$Z$6:$Z$505,T965)=1,1,0))</f>
        <v>0</v>
      </c>
      <c r="V965" s="96">
        <f>IF(C965="",0,IF(ISNUMBER(MATCH(C965,'CAD_RESÍDUOS'!$B$6:$B$205,0)),1,0))</f>
        <v>0</v>
      </c>
      <c r="W965" s="96">
        <f>IF(AND(ISNUMBER(G965),G965&gt;0),1,0)</f>
        <v>0</v>
      </c>
      <c r="X965" s="96" t="str">
        <f>IF(H965="","",IFERROR(IF(ISNUMBER(INDEX(cfg_fac,MATCH(H965,cfg_units,0))),IF(INDEX(cfg_fac,MATCH(H965,cfg_units,0))&gt;0,INDEX(cfg_fac,MATCH(H965,cfg_units,0)),""),""),""))</f>
        <v/>
      </c>
      <c r="Y965" s="96">
        <f>IF(AND(W965=1,ISNUMBER(I965)),1,0)</f>
        <v>0</v>
      </c>
      <c r="Z965" s="96">
        <f>IF(U965=1,INDEX('MTRs'!$AA$6:$AA$505,T965),0)</f>
        <v>0</v>
      </c>
      <c r="AA965" s="96">
        <f>IF(R965=0,0,COUNTIFS('RECEBIMENTOS'!$R$6:$R$1005,A965,'RECEBIMENTOS'!$Q$6:$Q$1005,1))</f>
        <v>0</v>
      </c>
      <c r="AB965" s="96">
        <f>IF(R965=0,0,COUNTIFS('RECEBIMENTOS'!$R$6:$R$1005,A965,'RECEBIMENTOS'!$Z$6:$Z$1005,1))</f>
        <v>0</v>
      </c>
      <c r="AC965" s="96">
        <f>IF(R965=0,0,COUNTIFS('RECEBIMENTOS'!$R$6:$R$1005,A965,'RECEBIMENTOS'!$Y$6:$Y$1005,1))</f>
        <v>0</v>
      </c>
      <c r="AD965" s="96">
        <f>IF(R965=0,0,COUNTIFS('VÍNCULOS_CDF'!$R$6:$R$1005,A965,'VÍNCULOS_CDF'!$N$6:$N$1005,1))</f>
        <v>0</v>
      </c>
      <c r="AE965" s="96">
        <f>IF(R965=0,0,COUNTIFS('VÍNCULOS_CDF'!$R$6:$R$1005,A965,'VÍNCULOS_CDF'!$AA$6:$AA$1005,1))</f>
        <v>0</v>
      </c>
      <c r="AF965" s="96">
        <f>IF(R965=0,0,COUNTIFS('VÍNCULOS_CDF'!$R$6:$R$1005,A965,'VÍNCULOS_CDF'!$Y$6:$Y$1005,1))</f>
        <v>0</v>
      </c>
      <c r="AG965" s="96" t="str">
        <f>IF(AND(R965=1,S965&lt;&gt;"",C965&lt;&gt;""),S965&amp;"|"&amp;C965&amp;"|"&amp;G965&amp;"|"&amp;H965,"")</f>
        <v/>
      </c>
      <c r="AH965" s="96">
        <f>IF(AG965="",0,IF(SUMPRODUCT(--($AG$6:$AG$1005=AG965))&gt;1,1,0))</f>
        <v>0</v>
      </c>
      <c r="AI965" s="96">
        <f>IF(R965=0,0,IF(OR(U965=0,V965=0,Y965=0,AND(AH965=1,K965&lt;&gt;"Sim")),1,0))</f>
        <v>0</v>
      </c>
      <c r="AJ965" s="96">
        <f>IF(AND(R965=1,AA965&gt;0,AB965=AA965),1,0)</f>
        <v>0</v>
      </c>
      <c r="AK965" s="96">
        <f>IF(R965=0,0,IF(AA965&gt;0,N(L965),IF(ISNUMBER(I965),I965,0)))</f>
        <v>0</v>
      </c>
      <c r="AL965" s="96">
        <f>IF(R965=0,0,IF(AND(K965&lt;&gt;"Sim",N(M965)&gt;AK965+cfg_tol),1,0))</f>
        <v>0</v>
      </c>
      <c r="AM965" s="96">
        <f>IF(R965=0,0,IF(K965="Sim",0,IF(OR(AND(AA965&gt;0,ISNUMBER(I965),ABS(I965-N(L965))&gt;cfg_tol),AL965=1),1,0)))</f>
        <v>0</v>
      </c>
      <c r="AN965" s="96">
        <f>IF(AND(R965=1,N(M965)&gt;0,OR(N(M965)&gt;=AK965-cfg_tol,K965="Sim")),1,0)</f>
        <v>0</v>
      </c>
      <c r="AO965" s="96">
        <f>IF(AND(AN965=1,AD965&gt;0,AE965=AD965,AL965=0),1,0)</f>
        <v>0</v>
      </c>
      <c r="AP965" s="96">
        <f>IF(U965=0,0,IF(AND(INDEX('MTRs'!$AX$6:$AX$505,T965)=1,Z965=0,OR(f_res="",f_res="(Todos)",C965=f_res)),1,0))</f>
        <v>0</v>
      </c>
      <c r="AQ965" s="97" t="str">
        <f>IF(U965=0,"",INDEX('MTRs'!$AZ$6:$AZ$505,T965))</f>
        <v/>
      </c>
      <c r="AR965" s="96">
        <f>IF(U965=0,0,IF(AND(INDEX('MTRs'!$BA$6:$BA$505,T965)=1,Z965=0),1,0))</f>
        <v>0</v>
      </c>
      <c r="AS965" s="96" t="str">
        <f>IF(R965=1,A965&amp;" | MTR "&amp;IF(U965=1,INDEX('MTRs'!$B$6:$B$505,T965)&amp;"","?")&amp;" | "&amp;IF(C965="","(sem resíduo)",C965),"")</f>
        <v/>
      </c>
      <c r="AT965" s="96" t="str">
        <f>IF(R965=1,COUNTIF($R$6:R965,1),"")</f>
        <v/>
      </c>
      <c r="AU965" s="96" t="str">
        <f>IF(U965=1,INDEX('MTRs'!$I$6:$I$505,T965)&amp;"","")</f>
        <v/>
      </c>
    </row>
    <row r="966">
      <c r="A966" s="89" t="inlineStr">
        <is>
          <t>IT-000961</t>
        </is>
      </c>
      <c r="B966" s="91" t="n"/>
      <c r="C966" s="91" t="n"/>
      <c r="D966" s="94" t="str">
        <f>IF(OR(R966=0,V966=0),"",INDEX('CAD_RESÍDUOS'!$E$6:$E$205,MATCH(C966,'CAD_RESÍDUOS'!$B$6:$B$205,0))&amp;"")</f>
        <v/>
      </c>
      <c r="E966" s="94" t="str">
        <f>IF(OR(R966=0,V966=0),"",INDEX('CAD_RESÍDUOS'!$C$6:$C$205,MATCH(C966,'CAD_RESÍDUOS'!$B$6:$B$205,0))&amp;"")</f>
        <v/>
      </c>
      <c r="F966" s="94" t="str">
        <f>IF(OR(R966=0,V966=0),"",INDEX('CAD_RESÍDUOS'!$G$6:$G$205,MATCH(C966,'CAD_RESÍDUOS'!$B$6:$B$205,0))&amp;"")</f>
        <v/>
      </c>
      <c r="G966" s="98" t="n"/>
      <c r="H966" s="91" t="n"/>
      <c r="I966" s="93" t="str">
        <f>IF(R966=0,"",IF(NOT(ISNUMBER(G966)),"",IF(ISNUMBER(X966),G966*X966,"UNIDADE A CONFERIR")))</f>
        <v/>
      </c>
      <c r="J966" s="91" t="n"/>
      <c r="K966" s="91" t="n"/>
      <c r="L966" s="93" t="str">
        <f>IF(R966=0,"",SUMIFS('RECEBIMENTOS'!$H$6:$H$1005,'RECEBIMENTOS'!$R$6:$R$1005,A966,'RECEBIMENTOS'!$X$6:$X$1005,1))</f>
        <v/>
      </c>
      <c r="M966" s="93" t="str">
        <f>IF(R966=0,"",SUMIFS('VÍNCULOS_CDF'!$H$6:$H$1005,'VÍNCULOS_CDF'!$R$6:$R$1005,A966,'VÍNCULOS_CDF'!$V$6:$V$1005,1))</f>
        <v/>
      </c>
      <c r="N966" s="99" t="str">
        <f>IF(OR(R966=0,AA966=0,NOT(ISNUMBER(I966))),"",I966-N(L966))</f>
        <v/>
      </c>
      <c r="O966" s="100" t="str">
        <f>IF(OR(R966=0,AK966&lt;=0),"",N(M966)/AK966)</f>
        <v/>
      </c>
      <c r="P966" s="94" t="str">
        <f>IF(R966=0,"",IF(S966="","Sem MTR associado",IF(U966=0,"MTR inexistente",IF(C966="","Resíduo não identificado",IF(V966=0,"Resíduo fora do cadastro",IF(W966=0,"Quantidade inválida",IF(H966="","Unidade não informada",IF(NOT(ISNUMBER(I966)),"Unidade a conferir",IF(AND(AH966=1,K966&lt;&gt;"Sim"),"Possível duplicidade",IF(Z966=1,"MTR cancelado",IF(AC966&gt;0,"Recebimento com alerta",IF(AA966=0,"Aguardando recebimento",IF(AB966&lt;AA966,"Recebimento a conferir",IF(AM966=1,"Quantidade a revisar",IF(AF966&gt;0,"Vínculo a revisar",IF(AD966=0,"Aguardando CDF",IF(AN966=0,"Vínculo de CDF parcial",IF(AE966&lt;AD966,"CDF a conferir","Documentação conferida"))))))))))))))))))</f>
        <v/>
      </c>
      <c r="Q966" s="93" t="str">
        <f>IF(OR(R966=0,AA966=0),"",MAX(0,N(L966)-N(M966)))</f>
        <v/>
      </c>
      <c r="R966" s="96">
        <f>IF(COUNTA(B966:C966,G966:H966,J966:K966)&gt;0,1,0)</f>
        <v>0</v>
      </c>
      <c r="S966" s="96" t="str">
        <f>IF(B966="","",TRIM(LEFT(B966,FIND(" |",B966&amp;" |")-1)))</f>
        <v/>
      </c>
      <c r="T966" s="96" t="str">
        <f>IF(S966="","",IFERROR(MATCH(S966,'MTRs'!$A$6:$A$505,0),""))</f>
        <v/>
      </c>
      <c r="U966" s="96">
        <f>IF(T966="",0,IF(INDEX('MTRs'!$Z$6:$Z$505,T966)=1,1,0))</f>
        <v>0</v>
      </c>
      <c r="V966" s="96">
        <f>IF(C966="",0,IF(ISNUMBER(MATCH(C966,'CAD_RESÍDUOS'!$B$6:$B$205,0)),1,0))</f>
        <v>0</v>
      </c>
      <c r="W966" s="96">
        <f>IF(AND(ISNUMBER(G966),G966&gt;0),1,0)</f>
        <v>0</v>
      </c>
      <c r="X966" s="96" t="str">
        <f>IF(H966="","",IFERROR(IF(ISNUMBER(INDEX(cfg_fac,MATCH(H966,cfg_units,0))),IF(INDEX(cfg_fac,MATCH(H966,cfg_units,0))&gt;0,INDEX(cfg_fac,MATCH(H966,cfg_units,0)),""),""),""))</f>
        <v/>
      </c>
      <c r="Y966" s="96">
        <f>IF(AND(W966=1,ISNUMBER(I966)),1,0)</f>
        <v>0</v>
      </c>
      <c r="Z966" s="96">
        <f>IF(U966=1,INDEX('MTRs'!$AA$6:$AA$505,T966),0)</f>
        <v>0</v>
      </c>
      <c r="AA966" s="96">
        <f>IF(R966=0,0,COUNTIFS('RECEBIMENTOS'!$R$6:$R$1005,A966,'RECEBIMENTOS'!$Q$6:$Q$1005,1))</f>
        <v>0</v>
      </c>
      <c r="AB966" s="96">
        <f>IF(R966=0,0,COUNTIFS('RECEBIMENTOS'!$R$6:$R$1005,A966,'RECEBIMENTOS'!$Z$6:$Z$1005,1))</f>
        <v>0</v>
      </c>
      <c r="AC966" s="96">
        <f>IF(R966=0,0,COUNTIFS('RECEBIMENTOS'!$R$6:$R$1005,A966,'RECEBIMENTOS'!$Y$6:$Y$1005,1))</f>
        <v>0</v>
      </c>
      <c r="AD966" s="96">
        <f>IF(R966=0,0,COUNTIFS('VÍNCULOS_CDF'!$R$6:$R$1005,A966,'VÍNCULOS_CDF'!$N$6:$N$1005,1))</f>
        <v>0</v>
      </c>
      <c r="AE966" s="96">
        <f>IF(R966=0,0,COUNTIFS('VÍNCULOS_CDF'!$R$6:$R$1005,A966,'VÍNCULOS_CDF'!$AA$6:$AA$1005,1))</f>
        <v>0</v>
      </c>
      <c r="AF966" s="96">
        <f>IF(R966=0,0,COUNTIFS('VÍNCULOS_CDF'!$R$6:$R$1005,A966,'VÍNCULOS_CDF'!$Y$6:$Y$1005,1))</f>
        <v>0</v>
      </c>
      <c r="AG966" s="96" t="str">
        <f>IF(AND(R966=1,S966&lt;&gt;"",C966&lt;&gt;""),S966&amp;"|"&amp;C966&amp;"|"&amp;G966&amp;"|"&amp;H966,"")</f>
        <v/>
      </c>
      <c r="AH966" s="96">
        <f>IF(AG966="",0,IF(SUMPRODUCT(--($AG$6:$AG$1005=AG966))&gt;1,1,0))</f>
        <v>0</v>
      </c>
      <c r="AI966" s="96">
        <f>IF(R966=0,0,IF(OR(U966=0,V966=0,Y966=0,AND(AH966=1,K966&lt;&gt;"Sim")),1,0))</f>
        <v>0</v>
      </c>
      <c r="AJ966" s="96">
        <f>IF(AND(R966=1,AA966&gt;0,AB966=AA966),1,0)</f>
        <v>0</v>
      </c>
      <c r="AK966" s="96">
        <f>IF(R966=0,0,IF(AA966&gt;0,N(L966),IF(ISNUMBER(I966),I966,0)))</f>
        <v>0</v>
      </c>
      <c r="AL966" s="96">
        <f>IF(R966=0,0,IF(AND(K966&lt;&gt;"Sim",N(M966)&gt;AK966+cfg_tol),1,0))</f>
        <v>0</v>
      </c>
      <c r="AM966" s="96">
        <f>IF(R966=0,0,IF(K966="Sim",0,IF(OR(AND(AA966&gt;0,ISNUMBER(I966),ABS(I966-N(L966))&gt;cfg_tol),AL966=1),1,0)))</f>
        <v>0</v>
      </c>
      <c r="AN966" s="96">
        <f>IF(AND(R966=1,N(M966)&gt;0,OR(N(M966)&gt;=AK966-cfg_tol,K966="Sim")),1,0)</f>
        <v>0</v>
      </c>
      <c r="AO966" s="96">
        <f>IF(AND(AN966=1,AD966&gt;0,AE966=AD966,AL966=0),1,0)</f>
        <v>0</v>
      </c>
      <c r="AP966" s="96">
        <f>IF(U966=0,0,IF(AND(INDEX('MTRs'!$AX$6:$AX$505,T966)=1,Z966=0,OR(f_res="",f_res="(Todos)",C966=f_res)),1,0))</f>
        <v>0</v>
      </c>
      <c r="AQ966" s="97" t="str">
        <f>IF(U966=0,"",INDEX('MTRs'!$AZ$6:$AZ$505,T966))</f>
        <v/>
      </c>
      <c r="AR966" s="96">
        <f>IF(U966=0,0,IF(AND(INDEX('MTRs'!$BA$6:$BA$505,T966)=1,Z966=0),1,0))</f>
        <v>0</v>
      </c>
      <c r="AS966" s="96" t="str">
        <f>IF(R966=1,A966&amp;" | MTR "&amp;IF(U966=1,INDEX('MTRs'!$B$6:$B$505,T966)&amp;"","?")&amp;" | "&amp;IF(C966="","(sem resíduo)",C966),"")</f>
        <v/>
      </c>
      <c r="AT966" s="96" t="str">
        <f>IF(R966=1,COUNTIF($R$6:R966,1),"")</f>
        <v/>
      </c>
      <c r="AU966" s="96" t="str">
        <f>IF(U966=1,INDEX('MTRs'!$I$6:$I$505,T966)&amp;"","")</f>
        <v/>
      </c>
    </row>
    <row r="967">
      <c r="A967" s="89" t="inlineStr">
        <is>
          <t>IT-000962</t>
        </is>
      </c>
      <c r="B967" s="91" t="n"/>
      <c r="C967" s="91" t="n"/>
      <c r="D967" s="94" t="str">
        <f>IF(OR(R967=0,V967=0),"",INDEX('CAD_RESÍDUOS'!$E$6:$E$205,MATCH(C967,'CAD_RESÍDUOS'!$B$6:$B$205,0))&amp;"")</f>
        <v/>
      </c>
      <c r="E967" s="94" t="str">
        <f>IF(OR(R967=0,V967=0),"",INDEX('CAD_RESÍDUOS'!$C$6:$C$205,MATCH(C967,'CAD_RESÍDUOS'!$B$6:$B$205,0))&amp;"")</f>
        <v/>
      </c>
      <c r="F967" s="94" t="str">
        <f>IF(OR(R967=0,V967=0),"",INDEX('CAD_RESÍDUOS'!$G$6:$G$205,MATCH(C967,'CAD_RESÍDUOS'!$B$6:$B$205,0))&amp;"")</f>
        <v/>
      </c>
      <c r="G967" s="98" t="n"/>
      <c r="H967" s="91" t="n"/>
      <c r="I967" s="93" t="str">
        <f>IF(R967=0,"",IF(NOT(ISNUMBER(G967)),"",IF(ISNUMBER(X967),G967*X967,"UNIDADE A CONFERIR")))</f>
        <v/>
      </c>
      <c r="J967" s="91" t="n"/>
      <c r="K967" s="91" t="n"/>
      <c r="L967" s="93" t="str">
        <f>IF(R967=0,"",SUMIFS('RECEBIMENTOS'!$H$6:$H$1005,'RECEBIMENTOS'!$R$6:$R$1005,A967,'RECEBIMENTOS'!$X$6:$X$1005,1))</f>
        <v/>
      </c>
      <c r="M967" s="93" t="str">
        <f>IF(R967=0,"",SUMIFS('VÍNCULOS_CDF'!$H$6:$H$1005,'VÍNCULOS_CDF'!$R$6:$R$1005,A967,'VÍNCULOS_CDF'!$V$6:$V$1005,1))</f>
        <v/>
      </c>
      <c r="N967" s="99" t="str">
        <f>IF(OR(R967=0,AA967=0,NOT(ISNUMBER(I967))),"",I967-N(L967))</f>
        <v/>
      </c>
      <c r="O967" s="100" t="str">
        <f>IF(OR(R967=0,AK967&lt;=0),"",N(M967)/AK967)</f>
        <v/>
      </c>
      <c r="P967" s="94" t="str">
        <f>IF(R967=0,"",IF(S967="","Sem MTR associado",IF(U967=0,"MTR inexistente",IF(C967="","Resíduo não identificado",IF(V967=0,"Resíduo fora do cadastro",IF(W967=0,"Quantidade inválida",IF(H967="","Unidade não informada",IF(NOT(ISNUMBER(I967)),"Unidade a conferir",IF(AND(AH967=1,K967&lt;&gt;"Sim"),"Possível duplicidade",IF(Z967=1,"MTR cancelado",IF(AC967&gt;0,"Recebimento com alerta",IF(AA967=0,"Aguardando recebimento",IF(AB967&lt;AA967,"Recebimento a conferir",IF(AM967=1,"Quantidade a revisar",IF(AF967&gt;0,"Vínculo a revisar",IF(AD967=0,"Aguardando CDF",IF(AN967=0,"Vínculo de CDF parcial",IF(AE967&lt;AD967,"CDF a conferir","Documentação conferida"))))))))))))))))))</f>
        <v/>
      </c>
      <c r="Q967" s="93" t="str">
        <f>IF(OR(R967=0,AA967=0),"",MAX(0,N(L967)-N(M967)))</f>
        <v/>
      </c>
      <c r="R967" s="96">
        <f>IF(COUNTA(B967:C967,G967:H967,J967:K967)&gt;0,1,0)</f>
        <v>0</v>
      </c>
      <c r="S967" s="96" t="str">
        <f>IF(B967="","",TRIM(LEFT(B967,FIND(" |",B967&amp;" |")-1)))</f>
        <v/>
      </c>
      <c r="T967" s="96" t="str">
        <f>IF(S967="","",IFERROR(MATCH(S967,'MTRs'!$A$6:$A$505,0),""))</f>
        <v/>
      </c>
      <c r="U967" s="96">
        <f>IF(T967="",0,IF(INDEX('MTRs'!$Z$6:$Z$505,T967)=1,1,0))</f>
        <v>0</v>
      </c>
      <c r="V967" s="96">
        <f>IF(C967="",0,IF(ISNUMBER(MATCH(C967,'CAD_RESÍDUOS'!$B$6:$B$205,0)),1,0))</f>
        <v>0</v>
      </c>
      <c r="W967" s="96">
        <f>IF(AND(ISNUMBER(G967),G967&gt;0),1,0)</f>
        <v>0</v>
      </c>
      <c r="X967" s="96" t="str">
        <f>IF(H967="","",IFERROR(IF(ISNUMBER(INDEX(cfg_fac,MATCH(H967,cfg_units,0))),IF(INDEX(cfg_fac,MATCH(H967,cfg_units,0))&gt;0,INDEX(cfg_fac,MATCH(H967,cfg_units,0)),""),""),""))</f>
        <v/>
      </c>
      <c r="Y967" s="96">
        <f>IF(AND(W967=1,ISNUMBER(I967)),1,0)</f>
        <v>0</v>
      </c>
      <c r="Z967" s="96">
        <f>IF(U967=1,INDEX('MTRs'!$AA$6:$AA$505,T967),0)</f>
        <v>0</v>
      </c>
      <c r="AA967" s="96">
        <f>IF(R967=0,0,COUNTIFS('RECEBIMENTOS'!$R$6:$R$1005,A967,'RECEBIMENTOS'!$Q$6:$Q$1005,1))</f>
        <v>0</v>
      </c>
      <c r="AB967" s="96">
        <f>IF(R967=0,0,COUNTIFS('RECEBIMENTOS'!$R$6:$R$1005,A967,'RECEBIMENTOS'!$Z$6:$Z$1005,1))</f>
        <v>0</v>
      </c>
      <c r="AC967" s="96">
        <f>IF(R967=0,0,COUNTIFS('RECEBIMENTOS'!$R$6:$R$1005,A967,'RECEBIMENTOS'!$Y$6:$Y$1005,1))</f>
        <v>0</v>
      </c>
      <c r="AD967" s="96">
        <f>IF(R967=0,0,COUNTIFS('VÍNCULOS_CDF'!$R$6:$R$1005,A967,'VÍNCULOS_CDF'!$N$6:$N$1005,1))</f>
        <v>0</v>
      </c>
      <c r="AE967" s="96">
        <f>IF(R967=0,0,COUNTIFS('VÍNCULOS_CDF'!$R$6:$R$1005,A967,'VÍNCULOS_CDF'!$AA$6:$AA$1005,1))</f>
        <v>0</v>
      </c>
      <c r="AF967" s="96">
        <f>IF(R967=0,0,COUNTIFS('VÍNCULOS_CDF'!$R$6:$R$1005,A967,'VÍNCULOS_CDF'!$Y$6:$Y$1005,1))</f>
        <v>0</v>
      </c>
      <c r="AG967" s="96" t="str">
        <f>IF(AND(R967=1,S967&lt;&gt;"",C967&lt;&gt;""),S967&amp;"|"&amp;C967&amp;"|"&amp;G967&amp;"|"&amp;H967,"")</f>
        <v/>
      </c>
      <c r="AH967" s="96">
        <f>IF(AG967="",0,IF(SUMPRODUCT(--($AG$6:$AG$1005=AG967))&gt;1,1,0))</f>
        <v>0</v>
      </c>
      <c r="AI967" s="96">
        <f>IF(R967=0,0,IF(OR(U967=0,V967=0,Y967=0,AND(AH967=1,K967&lt;&gt;"Sim")),1,0))</f>
        <v>0</v>
      </c>
      <c r="AJ967" s="96">
        <f>IF(AND(R967=1,AA967&gt;0,AB967=AA967),1,0)</f>
        <v>0</v>
      </c>
      <c r="AK967" s="96">
        <f>IF(R967=0,0,IF(AA967&gt;0,N(L967),IF(ISNUMBER(I967),I967,0)))</f>
        <v>0</v>
      </c>
      <c r="AL967" s="96">
        <f>IF(R967=0,0,IF(AND(K967&lt;&gt;"Sim",N(M967)&gt;AK967+cfg_tol),1,0))</f>
        <v>0</v>
      </c>
      <c r="AM967" s="96">
        <f>IF(R967=0,0,IF(K967="Sim",0,IF(OR(AND(AA967&gt;0,ISNUMBER(I967),ABS(I967-N(L967))&gt;cfg_tol),AL967=1),1,0)))</f>
        <v>0</v>
      </c>
      <c r="AN967" s="96">
        <f>IF(AND(R967=1,N(M967)&gt;0,OR(N(M967)&gt;=AK967-cfg_tol,K967="Sim")),1,0)</f>
        <v>0</v>
      </c>
      <c r="AO967" s="96">
        <f>IF(AND(AN967=1,AD967&gt;0,AE967=AD967,AL967=0),1,0)</f>
        <v>0</v>
      </c>
      <c r="AP967" s="96">
        <f>IF(U967=0,0,IF(AND(INDEX('MTRs'!$AX$6:$AX$505,T967)=1,Z967=0,OR(f_res="",f_res="(Todos)",C967=f_res)),1,0))</f>
        <v>0</v>
      </c>
      <c r="AQ967" s="97" t="str">
        <f>IF(U967=0,"",INDEX('MTRs'!$AZ$6:$AZ$505,T967))</f>
        <v/>
      </c>
      <c r="AR967" s="96">
        <f>IF(U967=0,0,IF(AND(INDEX('MTRs'!$BA$6:$BA$505,T967)=1,Z967=0),1,0))</f>
        <v>0</v>
      </c>
      <c r="AS967" s="96" t="str">
        <f>IF(R967=1,A967&amp;" | MTR "&amp;IF(U967=1,INDEX('MTRs'!$B$6:$B$505,T967)&amp;"","?")&amp;" | "&amp;IF(C967="","(sem resíduo)",C967),"")</f>
        <v/>
      </c>
      <c r="AT967" s="96" t="str">
        <f>IF(R967=1,COUNTIF($R$6:R967,1),"")</f>
        <v/>
      </c>
      <c r="AU967" s="96" t="str">
        <f>IF(U967=1,INDEX('MTRs'!$I$6:$I$505,T967)&amp;"","")</f>
        <v/>
      </c>
    </row>
    <row r="968">
      <c r="A968" s="89" t="inlineStr">
        <is>
          <t>IT-000963</t>
        </is>
      </c>
      <c r="B968" s="91" t="n"/>
      <c r="C968" s="91" t="n"/>
      <c r="D968" s="94" t="str">
        <f>IF(OR(R968=0,V968=0),"",INDEX('CAD_RESÍDUOS'!$E$6:$E$205,MATCH(C968,'CAD_RESÍDUOS'!$B$6:$B$205,0))&amp;"")</f>
        <v/>
      </c>
      <c r="E968" s="94" t="str">
        <f>IF(OR(R968=0,V968=0),"",INDEX('CAD_RESÍDUOS'!$C$6:$C$205,MATCH(C968,'CAD_RESÍDUOS'!$B$6:$B$205,0))&amp;"")</f>
        <v/>
      </c>
      <c r="F968" s="94" t="str">
        <f>IF(OR(R968=0,V968=0),"",INDEX('CAD_RESÍDUOS'!$G$6:$G$205,MATCH(C968,'CAD_RESÍDUOS'!$B$6:$B$205,0))&amp;"")</f>
        <v/>
      </c>
      <c r="G968" s="98" t="n"/>
      <c r="H968" s="91" t="n"/>
      <c r="I968" s="93" t="str">
        <f>IF(R968=0,"",IF(NOT(ISNUMBER(G968)),"",IF(ISNUMBER(X968),G968*X968,"UNIDADE A CONFERIR")))</f>
        <v/>
      </c>
      <c r="J968" s="91" t="n"/>
      <c r="K968" s="91" t="n"/>
      <c r="L968" s="93" t="str">
        <f>IF(R968=0,"",SUMIFS('RECEBIMENTOS'!$H$6:$H$1005,'RECEBIMENTOS'!$R$6:$R$1005,A968,'RECEBIMENTOS'!$X$6:$X$1005,1))</f>
        <v/>
      </c>
      <c r="M968" s="93" t="str">
        <f>IF(R968=0,"",SUMIFS('VÍNCULOS_CDF'!$H$6:$H$1005,'VÍNCULOS_CDF'!$R$6:$R$1005,A968,'VÍNCULOS_CDF'!$V$6:$V$1005,1))</f>
        <v/>
      </c>
      <c r="N968" s="99" t="str">
        <f>IF(OR(R968=0,AA968=0,NOT(ISNUMBER(I968))),"",I968-N(L968))</f>
        <v/>
      </c>
      <c r="O968" s="100" t="str">
        <f>IF(OR(R968=0,AK968&lt;=0),"",N(M968)/AK968)</f>
        <v/>
      </c>
      <c r="P968" s="94" t="str">
        <f>IF(R968=0,"",IF(S968="","Sem MTR associado",IF(U968=0,"MTR inexistente",IF(C968="","Resíduo não identificado",IF(V968=0,"Resíduo fora do cadastro",IF(W968=0,"Quantidade inválida",IF(H968="","Unidade não informada",IF(NOT(ISNUMBER(I968)),"Unidade a conferir",IF(AND(AH968=1,K968&lt;&gt;"Sim"),"Possível duplicidade",IF(Z968=1,"MTR cancelado",IF(AC968&gt;0,"Recebimento com alerta",IF(AA968=0,"Aguardando recebimento",IF(AB968&lt;AA968,"Recebimento a conferir",IF(AM968=1,"Quantidade a revisar",IF(AF968&gt;0,"Vínculo a revisar",IF(AD968=0,"Aguardando CDF",IF(AN968=0,"Vínculo de CDF parcial",IF(AE968&lt;AD968,"CDF a conferir","Documentação conferida"))))))))))))))))))</f>
        <v/>
      </c>
      <c r="Q968" s="93" t="str">
        <f>IF(OR(R968=0,AA968=0),"",MAX(0,N(L968)-N(M968)))</f>
        <v/>
      </c>
      <c r="R968" s="96">
        <f>IF(COUNTA(B968:C968,G968:H968,J968:K968)&gt;0,1,0)</f>
        <v>0</v>
      </c>
      <c r="S968" s="96" t="str">
        <f>IF(B968="","",TRIM(LEFT(B968,FIND(" |",B968&amp;" |")-1)))</f>
        <v/>
      </c>
      <c r="T968" s="96" t="str">
        <f>IF(S968="","",IFERROR(MATCH(S968,'MTRs'!$A$6:$A$505,0),""))</f>
        <v/>
      </c>
      <c r="U968" s="96">
        <f>IF(T968="",0,IF(INDEX('MTRs'!$Z$6:$Z$505,T968)=1,1,0))</f>
        <v>0</v>
      </c>
      <c r="V968" s="96">
        <f>IF(C968="",0,IF(ISNUMBER(MATCH(C968,'CAD_RESÍDUOS'!$B$6:$B$205,0)),1,0))</f>
        <v>0</v>
      </c>
      <c r="W968" s="96">
        <f>IF(AND(ISNUMBER(G968),G968&gt;0),1,0)</f>
        <v>0</v>
      </c>
      <c r="X968" s="96" t="str">
        <f>IF(H968="","",IFERROR(IF(ISNUMBER(INDEX(cfg_fac,MATCH(H968,cfg_units,0))),IF(INDEX(cfg_fac,MATCH(H968,cfg_units,0))&gt;0,INDEX(cfg_fac,MATCH(H968,cfg_units,0)),""),""),""))</f>
        <v/>
      </c>
      <c r="Y968" s="96">
        <f>IF(AND(W968=1,ISNUMBER(I968)),1,0)</f>
        <v>0</v>
      </c>
      <c r="Z968" s="96">
        <f>IF(U968=1,INDEX('MTRs'!$AA$6:$AA$505,T968),0)</f>
        <v>0</v>
      </c>
      <c r="AA968" s="96">
        <f>IF(R968=0,0,COUNTIFS('RECEBIMENTOS'!$R$6:$R$1005,A968,'RECEBIMENTOS'!$Q$6:$Q$1005,1))</f>
        <v>0</v>
      </c>
      <c r="AB968" s="96">
        <f>IF(R968=0,0,COUNTIFS('RECEBIMENTOS'!$R$6:$R$1005,A968,'RECEBIMENTOS'!$Z$6:$Z$1005,1))</f>
        <v>0</v>
      </c>
      <c r="AC968" s="96">
        <f>IF(R968=0,0,COUNTIFS('RECEBIMENTOS'!$R$6:$R$1005,A968,'RECEBIMENTOS'!$Y$6:$Y$1005,1))</f>
        <v>0</v>
      </c>
      <c r="AD968" s="96">
        <f>IF(R968=0,0,COUNTIFS('VÍNCULOS_CDF'!$R$6:$R$1005,A968,'VÍNCULOS_CDF'!$N$6:$N$1005,1))</f>
        <v>0</v>
      </c>
      <c r="AE968" s="96">
        <f>IF(R968=0,0,COUNTIFS('VÍNCULOS_CDF'!$R$6:$R$1005,A968,'VÍNCULOS_CDF'!$AA$6:$AA$1005,1))</f>
        <v>0</v>
      </c>
      <c r="AF968" s="96">
        <f>IF(R968=0,0,COUNTIFS('VÍNCULOS_CDF'!$R$6:$R$1005,A968,'VÍNCULOS_CDF'!$Y$6:$Y$1005,1))</f>
        <v>0</v>
      </c>
      <c r="AG968" s="96" t="str">
        <f>IF(AND(R968=1,S968&lt;&gt;"",C968&lt;&gt;""),S968&amp;"|"&amp;C968&amp;"|"&amp;G968&amp;"|"&amp;H968,"")</f>
        <v/>
      </c>
      <c r="AH968" s="96">
        <f>IF(AG968="",0,IF(SUMPRODUCT(--($AG$6:$AG$1005=AG968))&gt;1,1,0))</f>
        <v>0</v>
      </c>
      <c r="AI968" s="96">
        <f>IF(R968=0,0,IF(OR(U968=0,V968=0,Y968=0,AND(AH968=1,K968&lt;&gt;"Sim")),1,0))</f>
        <v>0</v>
      </c>
      <c r="AJ968" s="96">
        <f>IF(AND(R968=1,AA968&gt;0,AB968=AA968),1,0)</f>
        <v>0</v>
      </c>
      <c r="AK968" s="96">
        <f>IF(R968=0,0,IF(AA968&gt;0,N(L968),IF(ISNUMBER(I968),I968,0)))</f>
        <v>0</v>
      </c>
      <c r="AL968" s="96">
        <f>IF(R968=0,0,IF(AND(K968&lt;&gt;"Sim",N(M968)&gt;AK968+cfg_tol),1,0))</f>
        <v>0</v>
      </c>
      <c r="AM968" s="96">
        <f>IF(R968=0,0,IF(K968="Sim",0,IF(OR(AND(AA968&gt;0,ISNUMBER(I968),ABS(I968-N(L968))&gt;cfg_tol),AL968=1),1,0)))</f>
        <v>0</v>
      </c>
      <c r="AN968" s="96">
        <f>IF(AND(R968=1,N(M968)&gt;0,OR(N(M968)&gt;=AK968-cfg_tol,K968="Sim")),1,0)</f>
        <v>0</v>
      </c>
      <c r="AO968" s="96">
        <f>IF(AND(AN968=1,AD968&gt;0,AE968=AD968,AL968=0),1,0)</f>
        <v>0</v>
      </c>
      <c r="AP968" s="96">
        <f>IF(U968=0,0,IF(AND(INDEX('MTRs'!$AX$6:$AX$505,T968)=1,Z968=0,OR(f_res="",f_res="(Todos)",C968=f_res)),1,0))</f>
        <v>0</v>
      </c>
      <c r="AQ968" s="97" t="str">
        <f>IF(U968=0,"",INDEX('MTRs'!$AZ$6:$AZ$505,T968))</f>
        <v/>
      </c>
      <c r="AR968" s="96">
        <f>IF(U968=0,0,IF(AND(INDEX('MTRs'!$BA$6:$BA$505,T968)=1,Z968=0),1,0))</f>
        <v>0</v>
      </c>
      <c r="AS968" s="96" t="str">
        <f>IF(R968=1,A968&amp;" | MTR "&amp;IF(U968=1,INDEX('MTRs'!$B$6:$B$505,T968)&amp;"","?")&amp;" | "&amp;IF(C968="","(sem resíduo)",C968),"")</f>
        <v/>
      </c>
      <c r="AT968" s="96" t="str">
        <f>IF(R968=1,COUNTIF($R$6:R968,1),"")</f>
        <v/>
      </c>
      <c r="AU968" s="96" t="str">
        <f>IF(U968=1,INDEX('MTRs'!$I$6:$I$505,T968)&amp;"","")</f>
        <v/>
      </c>
    </row>
    <row r="969">
      <c r="A969" s="89" t="inlineStr">
        <is>
          <t>IT-000964</t>
        </is>
      </c>
      <c r="B969" s="91" t="n"/>
      <c r="C969" s="91" t="n"/>
      <c r="D969" s="94" t="str">
        <f>IF(OR(R969=0,V969=0),"",INDEX('CAD_RESÍDUOS'!$E$6:$E$205,MATCH(C969,'CAD_RESÍDUOS'!$B$6:$B$205,0))&amp;"")</f>
        <v/>
      </c>
      <c r="E969" s="94" t="str">
        <f>IF(OR(R969=0,V969=0),"",INDEX('CAD_RESÍDUOS'!$C$6:$C$205,MATCH(C969,'CAD_RESÍDUOS'!$B$6:$B$205,0))&amp;"")</f>
        <v/>
      </c>
      <c r="F969" s="94" t="str">
        <f>IF(OR(R969=0,V969=0),"",INDEX('CAD_RESÍDUOS'!$G$6:$G$205,MATCH(C969,'CAD_RESÍDUOS'!$B$6:$B$205,0))&amp;"")</f>
        <v/>
      </c>
      <c r="G969" s="98" t="n"/>
      <c r="H969" s="91" t="n"/>
      <c r="I969" s="93" t="str">
        <f>IF(R969=0,"",IF(NOT(ISNUMBER(G969)),"",IF(ISNUMBER(X969),G969*X969,"UNIDADE A CONFERIR")))</f>
        <v/>
      </c>
      <c r="J969" s="91" t="n"/>
      <c r="K969" s="91" t="n"/>
      <c r="L969" s="93" t="str">
        <f>IF(R969=0,"",SUMIFS('RECEBIMENTOS'!$H$6:$H$1005,'RECEBIMENTOS'!$R$6:$R$1005,A969,'RECEBIMENTOS'!$X$6:$X$1005,1))</f>
        <v/>
      </c>
      <c r="M969" s="93" t="str">
        <f>IF(R969=0,"",SUMIFS('VÍNCULOS_CDF'!$H$6:$H$1005,'VÍNCULOS_CDF'!$R$6:$R$1005,A969,'VÍNCULOS_CDF'!$V$6:$V$1005,1))</f>
        <v/>
      </c>
      <c r="N969" s="99" t="str">
        <f>IF(OR(R969=0,AA969=0,NOT(ISNUMBER(I969))),"",I969-N(L969))</f>
        <v/>
      </c>
      <c r="O969" s="100" t="str">
        <f>IF(OR(R969=0,AK969&lt;=0),"",N(M969)/AK969)</f>
        <v/>
      </c>
      <c r="P969" s="94" t="str">
        <f>IF(R969=0,"",IF(S969="","Sem MTR associado",IF(U969=0,"MTR inexistente",IF(C969="","Resíduo não identificado",IF(V969=0,"Resíduo fora do cadastro",IF(W969=0,"Quantidade inválida",IF(H969="","Unidade não informada",IF(NOT(ISNUMBER(I969)),"Unidade a conferir",IF(AND(AH969=1,K969&lt;&gt;"Sim"),"Possível duplicidade",IF(Z969=1,"MTR cancelado",IF(AC969&gt;0,"Recebimento com alerta",IF(AA969=0,"Aguardando recebimento",IF(AB969&lt;AA969,"Recebimento a conferir",IF(AM969=1,"Quantidade a revisar",IF(AF969&gt;0,"Vínculo a revisar",IF(AD969=0,"Aguardando CDF",IF(AN969=0,"Vínculo de CDF parcial",IF(AE969&lt;AD969,"CDF a conferir","Documentação conferida"))))))))))))))))))</f>
        <v/>
      </c>
      <c r="Q969" s="93" t="str">
        <f>IF(OR(R969=0,AA969=0),"",MAX(0,N(L969)-N(M969)))</f>
        <v/>
      </c>
      <c r="R969" s="96">
        <f>IF(COUNTA(B969:C969,G969:H969,J969:K969)&gt;0,1,0)</f>
        <v>0</v>
      </c>
      <c r="S969" s="96" t="str">
        <f>IF(B969="","",TRIM(LEFT(B969,FIND(" |",B969&amp;" |")-1)))</f>
        <v/>
      </c>
      <c r="T969" s="96" t="str">
        <f>IF(S969="","",IFERROR(MATCH(S969,'MTRs'!$A$6:$A$505,0),""))</f>
        <v/>
      </c>
      <c r="U969" s="96">
        <f>IF(T969="",0,IF(INDEX('MTRs'!$Z$6:$Z$505,T969)=1,1,0))</f>
        <v>0</v>
      </c>
      <c r="V969" s="96">
        <f>IF(C969="",0,IF(ISNUMBER(MATCH(C969,'CAD_RESÍDUOS'!$B$6:$B$205,0)),1,0))</f>
        <v>0</v>
      </c>
      <c r="W969" s="96">
        <f>IF(AND(ISNUMBER(G969),G969&gt;0),1,0)</f>
        <v>0</v>
      </c>
      <c r="X969" s="96" t="str">
        <f>IF(H969="","",IFERROR(IF(ISNUMBER(INDEX(cfg_fac,MATCH(H969,cfg_units,0))),IF(INDEX(cfg_fac,MATCH(H969,cfg_units,0))&gt;0,INDEX(cfg_fac,MATCH(H969,cfg_units,0)),""),""),""))</f>
        <v/>
      </c>
      <c r="Y969" s="96">
        <f>IF(AND(W969=1,ISNUMBER(I969)),1,0)</f>
        <v>0</v>
      </c>
      <c r="Z969" s="96">
        <f>IF(U969=1,INDEX('MTRs'!$AA$6:$AA$505,T969),0)</f>
        <v>0</v>
      </c>
      <c r="AA969" s="96">
        <f>IF(R969=0,0,COUNTIFS('RECEBIMENTOS'!$R$6:$R$1005,A969,'RECEBIMENTOS'!$Q$6:$Q$1005,1))</f>
        <v>0</v>
      </c>
      <c r="AB969" s="96">
        <f>IF(R969=0,0,COUNTIFS('RECEBIMENTOS'!$R$6:$R$1005,A969,'RECEBIMENTOS'!$Z$6:$Z$1005,1))</f>
        <v>0</v>
      </c>
      <c r="AC969" s="96">
        <f>IF(R969=0,0,COUNTIFS('RECEBIMENTOS'!$R$6:$R$1005,A969,'RECEBIMENTOS'!$Y$6:$Y$1005,1))</f>
        <v>0</v>
      </c>
      <c r="AD969" s="96">
        <f>IF(R969=0,0,COUNTIFS('VÍNCULOS_CDF'!$R$6:$R$1005,A969,'VÍNCULOS_CDF'!$N$6:$N$1005,1))</f>
        <v>0</v>
      </c>
      <c r="AE969" s="96">
        <f>IF(R969=0,0,COUNTIFS('VÍNCULOS_CDF'!$R$6:$R$1005,A969,'VÍNCULOS_CDF'!$AA$6:$AA$1005,1))</f>
        <v>0</v>
      </c>
      <c r="AF969" s="96">
        <f>IF(R969=0,0,COUNTIFS('VÍNCULOS_CDF'!$R$6:$R$1005,A969,'VÍNCULOS_CDF'!$Y$6:$Y$1005,1))</f>
        <v>0</v>
      </c>
      <c r="AG969" s="96" t="str">
        <f>IF(AND(R969=1,S969&lt;&gt;"",C969&lt;&gt;""),S969&amp;"|"&amp;C969&amp;"|"&amp;G969&amp;"|"&amp;H969,"")</f>
        <v/>
      </c>
      <c r="AH969" s="96">
        <f>IF(AG969="",0,IF(SUMPRODUCT(--($AG$6:$AG$1005=AG969))&gt;1,1,0))</f>
        <v>0</v>
      </c>
      <c r="AI969" s="96">
        <f>IF(R969=0,0,IF(OR(U969=0,V969=0,Y969=0,AND(AH969=1,K969&lt;&gt;"Sim")),1,0))</f>
        <v>0</v>
      </c>
      <c r="AJ969" s="96">
        <f>IF(AND(R969=1,AA969&gt;0,AB969=AA969),1,0)</f>
        <v>0</v>
      </c>
      <c r="AK969" s="96">
        <f>IF(R969=0,0,IF(AA969&gt;0,N(L969),IF(ISNUMBER(I969),I969,0)))</f>
        <v>0</v>
      </c>
      <c r="AL969" s="96">
        <f>IF(R969=0,0,IF(AND(K969&lt;&gt;"Sim",N(M969)&gt;AK969+cfg_tol),1,0))</f>
        <v>0</v>
      </c>
      <c r="AM969" s="96">
        <f>IF(R969=0,0,IF(K969="Sim",0,IF(OR(AND(AA969&gt;0,ISNUMBER(I969),ABS(I969-N(L969))&gt;cfg_tol),AL969=1),1,0)))</f>
        <v>0</v>
      </c>
      <c r="AN969" s="96">
        <f>IF(AND(R969=1,N(M969)&gt;0,OR(N(M969)&gt;=AK969-cfg_tol,K969="Sim")),1,0)</f>
        <v>0</v>
      </c>
      <c r="AO969" s="96">
        <f>IF(AND(AN969=1,AD969&gt;0,AE969=AD969,AL969=0),1,0)</f>
        <v>0</v>
      </c>
      <c r="AP969" s="96">
        <f>IF(U969=0,0,IF(AND(INDEX('MTRs'!$AX$6:$AX$505,T969)=1,Z969=0,OR(f_res="",f_res="(Todos)",C969=f_res)),1,0))</f>
        <v>0</v>
      </c>
      <c r="AQ969" s="97" t="str">
        <f>IF(U969=0,"",INDEX('MTRs'!$AZ$6:$AZ$505,T969))</f>
        <v/>
      </c>
      <c r="AR969" s="96">
        <f>IF(U969=0,0,IF(AND(INDEX('MTRs'!$BA$6:$BA$505,T969)=1,Z969=0),1,0))</f>
        <v>0</v>
      </c>
      <c r="AS969" s="96" t="str">
        <f>IF(R969=1,A969&amp;" | MTR "&amp;IF(U969=1,INDEX('MTRs'!$B$6:$B$505,T969)&amp;"","?")&amp;" | "&amp;IF(C969="","(sem resíduo)",C969),"")</f>
        <v/>
      </c>
      <c r="AT969" s="96" t="str">
        <f>IF(R969=1,COUNTIF($R$6:R969,1),"")</f>
        <v/>
      </c>
      <c r="AU969" s="96" t="str">
        <f>IF(U969=1,INDEX('MTRs'!$I$6:$I$505,T969)&amp;"","")</f>
        <v/>
      </c>
    </row>
    <row r="970">
      <c r="A970" s="89" t="inlineStr">
        <is>
          <t>IT-000965</t>
        </is>
      </c>
      <c r="B970" s="91" t="n"/>
      <c r="C970" s="91" t="n"/>
      <c r="D970" s="94" t="str">
        <f>IF(OR(R970=0,V970=0),"",INDEX('CAD_RESÍDUOS'!$E$6:$E$205,MATCH(C970,'CAD_RESÍDUOS'!$B$6:$B$205,0))&amp;"")</f>
        <v/>
      </c>
      <c r="E970" s="94" t="str">
        <f>IF(OR(R970=0,V970=0),"",INDEX('CAD_RESÍDUOS'!$C$6:$C$205,MATCH(C970,'CAD_RESÍDUOS'!$B$6:$B$205,0))&amp;"")</f>
        <v/>
      </c>
      <c r="F970" s="94" t="str">
        <f>IF(OR(R970=0,V970=0),"",INDEX('CAD_RESÍDUOS'!$G$6:$G$205,MATCH(C970,'CAD_RESÍDUOS'!$B$6:$B$205,0))&amp;"")</f>
        <v/>
      </c>
      <c r="G970" s="98" t="n"/>
      <c r="H970" s="91" t="n"/>
      <c r="I970" s="93" t="str">
        <f>IF(R970=0,"",IF(NOT(ISNUMBER(G970)),"",IF(ISNUMBER(X970),G970*X970,"UNIDADE A CONFERIR")))</f>
        <v/>
      </c>
      <c r="J970" s="91" t="n"/>
      <c r="K970" s="91" t="n"/>
      <c r="L970" s="93" t="str">
        <f>IF(R970=0,"",SUMIFS('RECEBIMENTOS'!$H$6:$H$1005,'RECEBIMENTOS'!$R$6:$R$1005,A970,'RECEBIMENTOS'!$X$6:$X$1005,1))</f>
        <v/>
      </c>
      <c r="M970" s="93" t="str">
        <f>IF(R970=0,"",SUMIFS('VÍNCULOS_CDF'!$H$6:$H$1005,'VÍNCULOS_CDF'!$R$6:$R$1005,A970,'VÍNCULOS_CDF'!$V$6:$V$1005,1))</f>
        <v/>
      </c>
      <c r="N970" s="99" t="str">
        <f>IF(OR(R970=0,AA970=0,NOT(ISNUMBER(I970))),"",I970-N(L970))</f>
        <v/>
      </c>
      <c r="O970" s="100" t="str">
        <f>IF(OR(R970=0,AK970&lt;=0),"",N(M970)/AK970)</f>
        <v/>
      </c>
      <c r="P970" s="94" t="str">
        <f>IF(R970=0,"",IF(S970="","Sem MTR associado",IF(U970=0,"MTR inexistente",IF(C970="","Resíduo não identificado",IF(V970=0,"Resíduo fora do cadastro",IF(W970=0,"Quantidade inválida",IF(H970="","Unidade não informada",IF(NOT(ISNUMBER(I970)),"Unidade a conferir",IF(AND(AH970=1,K970&lt;&gt;"Sim"),"Possível duplicidade",IF(Z970=1,"MTR cancelado",IF(AC970&gt;0,"Recebimento com alerta",IF(AA970=0,"Aguardando recebimento",IF(AB970&lt;AA970,"Recebimento a conferir",IF(AM970=1,"Quantidade a revisar",IF(AF970&gt;0,"Vínculo a revisar",IF(AD970=0,"Aguardando CDF",IF(AN970=0,"Vínculo de CDF parcial",IF(AE970&lt;AD970,"CDF a conferir","Documentação conferida"))))))))))))))))))</f>
        <v/>
      </c>
      <c r="Q970" s="93" t="str">
        <f>IF(OR(R970=0,AA970=0),"",MAX(0,N(L970)-N(M970)))</f>
        <v/>
      </c>
      <c r="R970" s="96">
        <f>IF(COUNTA(B970:C970,G970:H970,J970:K970)&gt;0,1,0)</f>
        <v>0</v>
      </c>
      <c r="S970" s="96" t="str">
        <f>IF(B970="","",TRIM(LEFT(B970,FIND(" |",B970&amp;" |")-1)))</f>
        <v/>
      </c>
      <c r="T970" s="96" t="str">
        <f>IF(S970="","",IFERROR(MATCH(S970,'MTRs'!$A$6:$A$505,0),""))</f>
        <v/>
      </c>
      <c r="U970" s="96">
        <f>IF(T970="",0,IF(INDEX('MTRs'!$Z$6:$Z$505,T970)=1,1,0))</f>
        <v>0</v>
      </c>
      <c r="V970" s="96">
        <f>IF(C970="",0,IF(ISNUMBER(MATCH(C970,'CAD_RESÍDUOS'!$B$6:$B$205,0)),1,0))</f>
        <v>0</v>
      </c>
      <c r="W970" s="96">
        <f>IF(AND(ISNUMBER(G970),G970&gt;0),1,0)</f>
        <v>0</v>
      </c>
      <c r="X970" s="96" t="str">
        <f>IF(H970="","",IFERROR(IF(ISNUMBER(INDEX(cfg_fac,MATCH(H970,cfg_units,0))),IF(INDEX(cfg_fac,MATCH(H970,cfg_units,0))&gt;0,INDEX(cfg_fac,MATCH(H970,cfg_units,0)),""),""),""))</f>
        <v/>
      </c>
      <c r="Y970" s="96">
        <f>IF(AND(W970=1,ISNUMBER(I970)),1,0)</f>
        <v>0</v>
      </c>
      <c r="Z970" s="96">
        <f>IF(U970=1,INDEX('MTRs'!$AA$6:$AA$505,T970),0)</f>
        <v>0</v>
      </c>
      <c r="AA970" s="96">
        <f>IF(R970=0,0,COUNTIFS('RECEBIMENTOS'!$R$6:$R$1005,A970,'RECEBIMENTOS'!$Q$6:$Q$1005,1))</f>
        <v>0</v>
      </c>
      <c r="AB970" s="96">
        <f>IF(R970=0,0,COUNTIFS('RECEBIMENTOS'!$R$6:$R$1005,A970,'RECEBIMENTOS'!$Z$6:$Z$1005,1))</f>
        <v>0</v>
      </c>
      <c r="AC970" s="96">
        <f>IF(R970=0,0,COUNTIFS('RECEBIMENTOS'!$R$6:$R$1005,A970,'RECEBIMENTOS'!$Y$6:$Y$1005,1))</f>
        <v>0</v>
      </c>
      <c r="AD970" s="96">
        <f>IF(R970=0,0,COUNTIFS('VÍNCULOS_CDF'!$R$6:$R$1005,A970,'VÍNCULOS_CDF'!$N$6:$N$1005,1))</f>
        <v>0</v>
      </c>
      <c r="AE970" s="96">
        <f>IF(R970=0,0,COUNTIFS('VÍNCULOS_CDF'!$R$6:$R$1005,A970,'VÍNCULOS_CDF'!$AA$6:$AA$1005,1))</f>
        <v>0</v>
      </c>
      <c r="AF970" s="96">
        <f>IF(R970=0,0,COUNTIFS('VÍNCULOS_CDF'!$R$6:$R$1005,A970,'VÍNCULOS_CDF'!$Y$6:$Y$1005,1))</f>
        <v>0</v>
      </c>
      <c r="AG970" s="96" t="str">
        <f>IF(AND(R970=1,S970&lt;&gt;"",C970&lt;&gt;""),S970&amp;"|"&amp;C970&amp;"|"&amp;G970&amp;"|"&amp;H970,"")</f>
        <v/>
      </c>
      <c r="AH970" s="96">
        <f>IF(AG970="",0,IF(SUMPRODUCT(--($AG$6:$AG$1005=AG970))&gt;1,1,0))</f>
        <v>0</v>
      </c>
      <c r="AI970" s="96">
        <f>IF(R970=0,0,IF(OR(U970=0,V970=0,Y970=0,AND(AH970=1,K970&lt;&gt;"Sim")),1,0))</f>
        <v>0</v>
      </c>
      <c r="AJ970" s="96">
        <f>IF(AND(R970=1,AA970&gt;0,AB970=AA970),1,0)</f>
        <v>0</v>
      </c>
      <c r="AK970" s="96">
        <f>IF(R970=0,0,IF(AA970&gt;0,N(L970),IF(ISNUMBER(I970),I970,0)))</f>
        <v>0</v>
      </c>
      <c r="AL970" s="96">
        <f>IF(R970=0,0,IF(AND(K970&lt;&gt;"Sim",N(M970)&gt;AK970+cfg_tol),1,0))</f>
        <v>0</v>
      </c>
      <c r="AM970" s="96">
        <f>IF(R970=0,0,IF(K970="Sim",0,IF(OR(AND(AA970&gt;0,ISNUMBER(I970),ABS(I970-N(L970))&gt;cfg_tol),AL970=1),1,0)))</f>
        <v>0</v>
      </c>
      <c r="AN970" s="96">
        <f>IF(AND(R970=1,N(M970)&gt;0,OR(N(M970)&gt;=AK970-cfg_tol,K970="Sim")),1,0)</f>
        <v>0</v>
      </c>
      <c r="AO970" s="96">
        <f>IF(AND(AN970=1,AD970&gt;0,AE970=AD970,AL970=0),1,0)</f>
        <v>0</v>
      </c>
      <c r="AP970" s="96">
        <f>IF(U970=0,0,IF(AND(INDEX('MTRs'!$AX$6:$AX$505,T970)=1,Z970=0,OR(f_res="",f_res="(Todos)",C970=f_res)),1,0))</f>
        <v>0</v>
      </c>
      <c r="AQ970" s="97" t="str">
        <f>IF(U970=0,"",INDEX('MTRs'!$AZ$6:$AZ$505,T970))</f>
        <v/>
      </c>
      <c r="AR970" s="96">
        <f>IF(U970=0,0,IF(AND(INDEX('MTRs'!$BA$6:$BA$505,T970)=1,Z970=0),1,0))</f>
        <v>0</v>
      </c>
      <c r="AS970" s="96" t="str">
        <f>IF(R970=1,A970&amp;" | MTR "&amp;IF(U970=1,INDEX('MTRs'!$B$6:$B$505,T970)&amp;"","?")&amp;" | "&amp;IF(C970="","(sem resíduo)",C970),"")</f>
        <v/>
      </c>
      <c r="AT970" s="96" t="str">
        <f>IF(R970=1,COUNTIF($R$6:R970,1),"")</f>
        <v/>
      </c>
      <c r="AU970" s="96" t="str">
        <f>IF(U970=1,INDEX('MTRs'!$I$6:$I$505,T970)&amp;"","")</f>
        <v/>
      </c>
    </row>
    <row r="971">
      <c r="A971" s="89" t="inlineStr">
        <is>
          <t>IT-000966</t>
        </is>
      </c>
      <c r="B971" s="91" t="n"/>
      <c r="C971" s="91" t="n"/>
      <c r="D971" s="94" t="str">
        <f>IF(OR(R971=0,V971=0),"",INDEX('CAD_RESÍDUOS'!$E$6:$E$205,MATCH(C971,'CAD_RESÍDUOS'!$B$6:$B$205,0))&amp;"")</f>
        <v/>
      </c>
      <c r="E971" s="94" t="str">
        <f>IF(OR(R971=0,V971=0),"",INDEX('CAD_RESÍDUOS'!$C$6:$C$205,MATCH(C971,'CAD_RESÍDUOS'!$B$6:$B$205,0))&amp;"")</f>
        <v/>
      </c>
      <c r="F971" s="94" t="str">
        <f>IF(OR(R971=0,V971=0),"",INDEX('CAD_RESÍDUOS'!$G$6:$G$205,MATCH(C971,'CAD_RESÍDUOS'!$B$6:$B$205,0))&amp;"")</f>
        <v/>
      </c>
      <c r="G971" s="98" t="n"/>
      <c r="H971" s="91" t="n"/>
      <c r="I971" s="93" t="str">
        <f>IF(R971=0,"",IF(NOT(ISNUMBER(G971)),"",IF(ISNUMBER(X971),G971*X971,"UNIDADE A CONFERIR")))</f>
        <v/>
      </c>
      <c r="J971" s="91" t="n"/>
      <c r="K971" s="91" t="n"/>
      <c r="L971" s="93" t="str">
        <f>IF(R971=0,"",SUMIFS('RECEBIMENTOS'!$H$6:$H$1005,'RECEBIMENTOS'!$R$6:$R$1005,A971,'RECEBIMENTOS'!$X$6:$X$1005,1))</f>
        <v/>
      </c>
      <c r="M971" s="93" t="str">
        <f>IF(R971=0,"",SUMIFS('VÍNCULOS_CDF'!$H$6:$H$1005,'VÍNCULOS_CDF'!$R$6:$R$1005,A971,'VÍNCULOS_CDF'!$V$6:$V$1005,1))</f>
        <v/>
      </c>
      <c r="N971" s="99" t="str">
        <f>IF(OR(R971=0,AA971=0,NOT(ISNUMBER(I971))),"",I971-N(L971))</f>
        <v/>
      </c>
      <c r="O971" s="100" t="str">
        <f>IF(OR(R971=0,AK971&lt;=0),"",N(M971)/AK971)</f>
        <v/>
      </c>
      <c r="P971" s="94" t="str">
        <f>IF(R971=0,"",IF(S971="","Sem MTR associado",IF(U971=0,"MTR inexistente",IF(C971="","Resíduo não identificado",IF(V971=0,"Resíduo fora do cadastro",IF(W971=0,"Quantidade inválida",IF(H971="","Unidade não informada",IF(NOT(ISNUMBER(I971)),"Unidade a conferir",IF(AND(AH971=1,K971&lt;&gt;"Sim"),"Possível duplicidade",IF(Z971=1,"MTR cancelado",IF(AC971&gt;0,"Recebimento com alerta",IF(AA971=0,"Aguardando recebimento",IF(AB971&lt;AA971,"Recebimento a conferir",IF(AM971=1,"Quantidade a revisar",IF(AF971&gt;0,"Vínculo a revisar",IF(AD971=0,"Aguardando CDF",IF(AN971=0,"Vínculo de CDF parcial",IF(AE971&lt;AD971,"CDF a conferir","Documentação conferida"))))))))))))))))))</f>
        <v/>
      </c>
      <c r="Q971" s="93" t="str">
        <f>IF(OR(R971=0,AA971=0),"",MAX(0,N(L971)-N(M971)))</f>
        <v/>
      </c>
      <c r="R971" s="96">
        <f>IF(COUNTA(B971:C971,G971:H971,J971:K971)&gt;0,1,0)</f>
        <v>0</v>
      </c>
      <c r="S971" s="96" t="str">
        <f>IF(B971="","",TRIM(LEFT(B971,FIND(" |",B971&amp;" |")-1)))</f>
        <v/>
      </c>
      <c r="T971" s="96" t="str">
        <f>IF(S971="","",IFERROR(MATCH(S971,'MTRs'!$A$6:$A$505,0),""))</f>
        <v/>
      </c>
      <c r="U971" s="96">
        <f>IF(T971="",0,IF(INDEX('MTRs'!$Z$6:$Z$505,T971)=1,1,0))</f>
        <v>0</v>
      </c>
      <c r="V971" s="96">
        <f>IF(C971="",0,IF(ISNUMBER(MATCH(C971,'CAD_RESÍDUOS'!$B$6:$B$205,0)),1,0))</f>
        <v>0</v>
      </c>
      <c r="W971" s="96">
        <f>IF(AND(ISNUMBER(G971),G971&gt;0),1,0)</f>
        <v>0</v>
      </c>
      <c r="X971" s="96" t="str">
        <f>IF(H971="","",IFERROR(IF(ISNUMBER(INDEX(cfg_fac,MATCH(H971,cfg_units,0))),IF(INDEX(cfg_fac,MATCH(H971,cfg_units,0))&gt;0,INDEX(cfg_fac,MATCH(H971,cfg_units,0)),""),""),""))</f>
        <v/>
      </c>
      <c r="Y971" s="96">
        <f>IF(AND(W971=1,ISNUMBER(I971)),1,0)</f>
        <v>0</v>
      </c>
      <c r="Z971" s="96">
        <f>IF(U971=1,INDEX('MTRs'!$AA$6:$AA$505,T971),0)</f>
        <v>0</v>
      </c>
      <c r="AA971" s="96">
        <f>IF(R971=0,0,COUNTIFS('RECEBIMENTOS'!$R$6:$R$1005,A971,'RECEBIMENTOS'!$Q$6:$Q$1005,1))</f>
        <v>0</v>
      </c>
      <c r="AB971" s="96">
        <f>IF(R971=0,0,COUNTIFS('RECEBIMENTOS'!$R$6:$R$1005,A971,'RECEBIMENTOS'!$Z$6:$Z$1005,1))</f>
        <v>0</v>
      </c>
      <c r="AC971" s="96">
        <f>IF(R971=0,0,COUNTIFS('RECEBIMENTOS'!$R$6:$R$1005,A971,'RECEBIMENTOS'!$Y$6:$Y$1005,1))</f>
        <v>0</v>
      </c>
      <c r="AD971" s="96">
        <f>IF(R971=0,0,COUNTIFS('VÍNCULOS_CDF'!$R$6:$R$1005,A971,'VÍNCULOS_CDF'!$N$6:$N$1005,1))</f>
        <v>0</v>
      </c>
      <c r="AE971" s="96">
        <f>IF(R971=0,0,COUNTIFS('VÍNCULOS_CDF'!$R$6:$R$1005,A971,'VÍNCULOS_CDF'!$AA$6:$AA$1005,1))</f>
        <v>0</v>
      </c>
      <c r="AF971" s="96">
        <f>IF(R971=0,0,COUNTIFS('VÍNCULOS_CDF'!$R$6:$R$1005,A971,'VÍNCULOS_CDF'!$Y$6:$Y$1005,1))</f>
        <v>0</v>
      </c>
      <c r="AG971" s="96" t="str">
        <f>IF(AND(R971=1,S971&lt;&gt;"",C971&lt;&gt;""),S971&amp;"|"&amp;C971&amp;"|"&amp;G971&amp;"|"&amp;H971,"")</f>
        <v/>
      </c>
      <c r="AH971" s="96">
        <f>IF(AG971="",0,IF(SUMPRODUCT(--($AG$6:$AG$1005=AG971))&gt;1,1,0))</f>
        <v>0</v>
      </c>
      <c r="AI971" s="96">
        <f>IF(R971=0,0,IF(OR(U971=0,V971=0,Y971=0,AND(AH971=1,K971&lt;&gt;"Sim")),1,0))</f>
        <v>0</v>
      </c>
      <c r="AJ971" s="96">
        <f>IF(AND(R971=1,AA971&gt;0,AB971=AA971),1,0)</f>
        <v>0</v>
      </c>
      <c r="AK971" s="96">
        <f>IF(R971=0,0,IF(AA971&gt;0,N(L971),IF(ISNUMBER(I971),I971,0)))</f>
        <v>0</v>
      </c>
      <c r="AL971" s="96">
        <f>IF(R971=0,0,IF(AND(K971&lt;&gt;"Sim",N(M971)&gt;AK971+cfg_tol),1,0))</f>
        <v>0</v>
      </c>
      <c r="AM971" s="96">
        <f>IF(R971=0,0,IF(K971="Sim",0,IF(OR(AND(AA971&gt;0,ISNUMBER(I971),ABS(I971-N(L971))&gt;cfg_tol),AL971=1),1,0)))</f>
        <v>0</v>
      </c>
      <c r="AN971" s="96">
        <f>IF(AND(R971=1,N(M971)&gt;0,OR(N(M971)&gt;=AK971-cfg_tol,K971="Sim")),1,0)</f>
        <v>0</v>
      </c>
      <c r="AO971" s="96">
        <f>IF(AND(AN971=1,AD971&gt;0,AE971=AD971,AL971=0),1,0)</f>
        <v>0</v>
      </c>
      <c r="AP971" s="96">
        <f>IF(U971=0,0,IF(AND(INDEX('MTRs'!$AX$6:$AX$505,T971)=1,Z971=0,OR(f_res="",f_res="(Todos)",C971=f_res)),1,0))</f>
        <v>0</v>
      </c>
      <c r="AQ971" s="97" t="str">
        <f>IF(U971=0,"",INDEX('MTRs'!$AZ$6:$AZ$505,T971))</f>
        <v/>
      </c>
      <c r="AR971" s="96">
        <f>IF(U971=0,0,IF(AND(INDEX('MTRs'!$BA$6:$BA$505,T971)=1,Z971=0),1,0))</f>
        <v>0</v>
      </c>
      <c r="AS971" s="96" t="str">
        <f>IF(R971=1,A971&amp;" | MTR "&amp;IF(U971=1,INDEX('MTRs'!$B$6:$B$505,T971)&amp;"","?")&amp;" | "&amp;IF(C971="","(sem resíduo)",C971),"")</f>
        <v/>
      </c>
      <c r="AT971" s="96" t="str">
        <f>IF(R971=1,COUNTIF($R$6:R971,1),"")</f>
        <v/>
      </c>
      <c r="AU971" s="96" t="str">
        <f>IF(U971=1,INDEX('MTRs'!$I$6:$I$505,T971)&amp;"","")</f>
        <v/>
      </c>
    </row>
    <row r="972">
      <c r="A972" s="89" t="inlineStr">
        <is>
          <t>IT-000967</t>
        </is>
      </c>
      <c r="B972" s="91" t="n"/>
      <c r="C972" s="91" t="n"/>
      <c r="D972" s="94" t="str">
        <f>IF(OR(R972=0,V972=0),"",INDEX('CAD_RESÍDUOS'!$E$6:$E$205,MATCH(C972,'CAD_RESÍDUOS'!$B$6:$B$205,0))&amp;"")</f>
        <v/>
      </c>
      <c r="E972" s="94" t="str">
        <f>IF(OR(R972=0,V972=0),"",INDEX('CAD_RESÍDUOS'!$C$6:$C$205,MATCH(C972,'CAD_RESÍDUOS'!$B$6:$B$205,0))&amp;"")</f>
        <v/>
      </c>
      <c r="F972" s="94" t="str">
        <f>IF(OR(R972=0,V972=0),"",INDEX('CAD_RESÍDUOS'!$G$6:$G$205,MATCH(C972,'CAD_RESÍDUOS'!$B$6:$B$205,0))&amp;"")</f>
        <v/>
      </c>
      <c r="G972" s="98" t="n"/>
      <c r="H972" s="91" t="n"/>
      <c r="I972" s="93" t="str">
        <f>IF(R972=0,"",IF(NOT(ISNUMBER(G972)),"",IF(ISNUMBER(X972),G972*X972,"UNIDADE A CONFERIR")))</f>
        <v/>
      </c>
      <c r="J972" s="91" t="n"/>
      <c r="K972" s="91" t="n"/>
      <c r="L972" s="93" t="str">
        <f>IF(R972=0,"",SUMIFS('RECEBIMENTOS'!$H$6:$H$1005,'RECEBIMENTOS'!$R$6:$R$1005,A972,'RECEBIMENTOS'!$X$6:$X$1005,1))</f>
        <v/>
      </c>
      <c r="M972" s="93" t="str">
        <f>IF(R972=0,"",SUMIFS('VÍNCULOS_CDF'!$H$6:$H$1005,'VÍNCULOS_CDF'!$R$6:$R$1005,A972,'VÍNCULOS_CDF'!$V$6:$V$1005,1))</f>
        <v/>
      </c>
      <c r="N972" s="99" t="str">
        <f>IF(OR(R972=0,AA972=0,NOT(ISNUMBER(I972))),"",I972-N(L972))</f>
        <v/>
      </c>
      <c r="O972" s="100" t="str">
        <f>IF(OR(R972=0,AK972&lt;=0),"",N(M972)/AK972)</f>
        <v/>
      </c>
      <c r="P972" s="94" t="str">
        <f>IF(R972=0,"",IF(S972="","Sem MTR associado",IF(U972=0,"MTR inexistente",IF(C972="","Resíduo não identificado",IF(V972=0,"Resíduo fora do cadastro",IF(W972=0,"Quantidade inválida",IF(H972="","Unidade não informada",IF(NOT(ISNUMBER(I972)),"Unidade a conferir",IF(AND(AH972=1,K972&lt;&gt;"Sim"),"Possível duplicidade",IF(Z972=1,"MTR cancelado",IF(AC972&gt;0,"Recebimento com alerta",IF(AA972=0,"Aguardando recebimento",IF(AB972&lt;AA972,"Recebimento a conferir",IF(AM972=1,"Quantidade a revisar",IF(AF972&gt;0,"Vínculo a revisar",IF(AD972=0,"Aguardando CDF",IF(AN972=0,"Vínculo de CDF parcial",IF(AE972&lt;AD972,"CDF a conferir","Documentação conferida"))))))))))))))))))</f>
        <v/>
      </c>
      <c r="Q972" s="93" t="str">
        <f>IF(OR(R972=0,AA972=0),"",MAX(0,N(L972)-N(M972)))</f>
        <v/>
      </c>
      <c r="R972" s="96">
        <f>IF(COUNTA(B972:C972,G972:H972,J972:K972)&gt;0,1,0)</f>
        <v>0</v>
      </c>
      <c r="S972" s="96" t="str">
        <f>IF(B972="","",TRIM(LEFT(B972,FIND(" |",B972&amp;" |")-1)))</f>
        <v/>
      </c>
      <c r="T972" s="96" t="str">
        <f>IF(S972="","",IFERROR(MATCH(S972,'MTRs'!$A$6:$A$505,0),""))</f>
        <v/>
      </c>
      <c r="U972" s="96">
        <f>IF(T972="",0,IF(INDEX('MTRs'!$Z$6:$Z$505,T972)=1,1,0))</f>
        <v>0</v>
      </c>
      <c r="V972" s="96">
        <f>IF(C972="",0,IF(ISNUMBER(MATCH(C972,'CAD_RESÍDUOS'!$B$6:$B$205,0)),1,0))</f>
        <v>0</v>
      </c>
      <c r="W972" s="96">
        <f>IF(AND(ISNUMBER(G972),G972&gt;0),1,0)</f>
        <v>0</v>
      </c>
      <c r="X972" s="96" t="str">
        <f>IF(H972="","",IFERROR(IF(ISNUMBER(INDEX(cfg_fac,MATCH(H972,cfg_units,0))),IF(INDEX(cfg_fac,MATCH(H972,cfg_units,0))&gt;0,INDEX(cfg_fac,MATCH(H972,cfg_units,0)),""),""),""))</f>
        <v/>
      </c>
      <c r="Y972" s="96">
        <f>IF(AND(W972=1,ISNUMBER(I972)),1,0)</f>
        <v>0</v>
      </c>
      <c r="Z972" s="96">
        <f>IF(U972=1,INDEX('MTRs'!$AA$6:$AA$505,T972),0)</f>
        <v>0</v>
      </c>
      <c r="AA972" s="96">
        <f>IF(R972=0,0,COUNTIFS('RECEBIMENTOS'!$R$6:$R$1005,A972,'RECEBIMENTOS'!$Q$6:$Q$1005,1))</f>
        <v>0</v>
      </c>
      <c r="AB972" s="96">
        <f>IF(R972=0,0,COUNTIFS('RECEBIMENTOS'!$R$6:$R$1005,A972,'RECEBIMENTOS'!$Z$6:$Z$1005,1))</f>
        <v>0</v>
      </c>
      <c r="AC972" s="96">
        <f>IF(R972=0,0,COUNTIFS('RECEBIMENTOS'!$R$6:$R$1005,A972,'RECEBIMENTOS'!$Y$6:$Y$1005,1))</f>
        <v>0</v>
      </c>
      <c r="AD972" s="96">
        <f>IF(R972=0,0,COUNTIFS('VÍNCULOS_CDF'!$R$6:$R$1005,A972,'VÍNCULOS_CDF'!$N$6:$N$1005,1))</f>
        <v>0</v>
      </c>
      <c r="AE972" s="96">
        <f>IF(R972=0,0,COUNTIFS('VÍNCULOS_CDF'!$R$6:$R$1005,A972,'VÍNCULOS_CDF'!$AA$6:$AA$1005,1))</f>
        <v>0</v>
      </c>
      <c r="AF972" s="96">
        <f>IF(R972=0,0,COUNTIFS('VÍNCULOS_CDF'!$R$6:$R$1005,A972,'VÍNCULOS_CDF'!$Y$6:$Y$1005,1))</f>
        <v>0</v>
      </c>
      <c r="AG972" s="96" t="str">
        <f>IF(AND(R972=1,S972&lt;&gt;"",C972&lt;&gt;""),S972&amp;"|"&amp;C972&amp;"|"&amp;G972&amp;"|"&amp;H972,"")</f>
        <v/>
      </c>
      <c r="AH972" s="96">
        <f>IF(AG972="",0,IF(SUMPRODUCT(--($AG$6:$AG$1005=AG972))&gt;1,1,0))</f>
        <v>0</v>
      </c>
      <c r="AI972" s="96">
        <f>IF(R972=0,0,IF(OR(U972=0,V972=0,Y972=0,AND(AH972=1,K972&lt;&gt;"Sim")),1,0))</f>
        <v>0</v>
      </c>
      <c r="AJ972" s="96">
        <f>IF(AND(R972=1,AA972&gt;0,AB972=AA972),1,0)</f>
        <v>0</v>
      </c>
      <c r="AK972" s="96">
        <f>IF(R972=0,0,IF(AA972&gt;0,N(L972),IF(ISNUMBER(I972),I972,0)))</f>
        <v>0</v>
      </c>
      <c r="AL972" s="96">
        <f>IF(R972=0,0,IF(AND(K972&lt;&gt;"Sim",N(M972)&gt;AK972+cfg_tol),1,0))</f>
        <v>0</v>
      </c>
      <c r="AM972" s="96">
        <f>IF(R972=0,0,IF(K972="Sim",0,IF(OR(AND(AA972&gt;0,ISNUMBER(I972),ABS(I972-N(L972))&gt;cfg_tol),AL972=1),1,0)))</f>
        <v>0</v>
      </c>
      <c r="AN972" s="96">
        <f>IF(AND(R972=1,N(M972)&gt;0,OR(N(M972)&gt;=AK972-cfg_tol,K972="Sim")),1,0)</f>
        <v>0</v>
      </c>
      <c r="AO972" s="96">
        <f>IF(AND(AN972=1,AD972&gt;0,AE972=AD972,AL972=0),1,0)</f>
        <v>0</v>
      </c>
      <c r="AP972" s="96">
        <f>IF(U972=0,0,IF(AND(INDEX('MTRs'!$AX$6:$AX$505,T972)=1,Z972=0,OR(f_res="",f_res="(Todos)",C972=f_res)),1,0))</f>
        <v>0</v>
      </c>
      <c r="AQ972" s="97" t="str">
        <f>IF(U972=0,"",INDEX('MTRs'!$AZ$6:$AZ$505,T972))</f>
        <v/>
      </c>
      <c r="AR972" s="96">
        <f>IF(U972=0,0,IF(AND(INDEX('MTRs'!$BA$6:$BA$505,T972)=1,Z972=0),1,0))</f>
        <v>0</v>
      </c>
      <c r="AS972" s="96" t="str">
        <f>IF(R972=1,A972&amp;" | MTR "&amp;IF(U972=1,INDEX('MTRs'!$B$6:$B$505,T972)&amp;"","?")&amp;" | "&amp;IF(C972="","(sem resíduo)",C972),"")</f>
        <v/>
      </c>
      <c r="AT972" s="96" t="str">
        <f>IF(R972=1,COUNTIF($R$6:R972,1),"")</f>
        <v/>
      </c>
      <c r="AU972" s="96" t="str">
        <f>IF(U972=1,INDEX('MTRs'!$I$6:$I$505,T972)&amp;"","")</f>
        <v/>
      </c>
    </row>
    <row r="973">
      <c r="A973" s="89" t="inlineStr">
        <is>
          <t>IT-000968</t>
        </is>
      </c>
      <c r="B973" s="91" t="n"/>
      <c r="C973" s="91" t="n"/>
      <c r="D973" s="94" t="str">
        <f>IF(OR(R973=0,V973=0),"",INDEX('CAD_RESÍDUOS'!$E$6:$E$205,MATCH(C973,'CAD_RESÍDUOS'!$B$6:$B$205,0))&amp;"")</f>
        <v/>
      </c>
      <c r="E973" s="94" t="str">
        <f>IF(OR(R973=0,V973=0),"",INDEX('CAD_RESÍDUOS'!$C$6:$C$205,MATCH(C973,'CAD_RESÍDUOS'!$B$6:$B$205,0))&amp;"")</f>
        <v/>
      </c>
      <c r="F973" s="94" t="str">
        <f>IF(OR(R973=0,V973=0),"",INDEX('CAD_RESÍDUOS'!$G$6:$G$205,MATCH(C973,'CAD_RESÍDUOS'!$B$6:$B$205,0))&amp;"")</f>
        <v/>
      </c>
      <c r="G973" s="98" t="n"/>
      <c r="H973" s="91" t="n"/>
      <c r="I973" s="93" t="str">
        <f>IF(R973=0,"",IF(NOT(ISNUMBER(G973)),"",IF(ISNUMBER(X973),G973*X973,"UNIDADE A CONFERIR")))</f>
        <v/>
      </c>
      <c r="J973" s="91" t="n"/>
      <c r="K973" s="91" t="n"/>
      <c r="L973" s="93" t="str">
        <f>IF(R973=0,"",SUMIFS('RECEBIMENTOS'!$H$6:$H$1005,'RECEBIMENTOS'!$R$6:$R$1005,A973,'RECEBIMENTOS'!$X$6:$X$1005,1))</f>
        <v/>
      </c>
      <c r="M973" s="93" t="str">
        <f>IF(R973=0,"",SUMIFS('VÍNCULOS_CDF'!$H$6:$H$1005,'VÍNCULOS_CDF'!$R$6:$R$1005,A973,'VÍNCULOS_CDF'!$V$6:$V$1005,1))</f>
        <v/>
      </c>
      <c r="N973" s="99" t="str">
        <f>IF(OR(R973=0,AA973=0,NOT(ISNUMBER(I973))),"",I973-N(L973))</f>
        <v/>
      </c>
      <c r="O973" s="100" t="str">
        <f>IF(OR(R973=0,AK973&lt;=0),"",N(M973)/AK973)</f>
        <v/>
      </c>
      <c r="P973" s="94" t="str">
        <f>IF(R973=0,"",IF(S973="","Sem MTR associado",IF(U973=0,"MTR inexistente",IF(C973="","Resíduo não identificado",IF(V973=0,"Resíduo fora do cadastro",IF(W973=0,"Quantidade inválida",IF(H973="","Unidade não informada",IF(NOT(ISNUMBER(I973)),"Unidade a conferir",IF(AND(AH973=1,K973&lt;&gt;"Sim"),"Possível duplicidade",IF(Z973=1,"MTR cancelado",IF(AC973&gt;0,"Recebimento com alerta",IF(AA973=0,"Aguardando recebimento",IF(AB973&lt;AA973,"Recebimento a conferir",IF(AM973=1,"Quantidade a revisar",IF(AF973&gt;0,"Vínculo a revisar",IF(AD973=0,"Aguardando CDF",IF(AN973=0,"Vínculo de CDF parcial",IF(AE973&lt;AD973,"CDF a conferir","Documentação conferida"))))))))))))))))))</f>
        <v/>
      </c>
      <c r="Q973" s="93" t="str">
        <f>IF(OR(R973=0,AA973=0),"",MAX(0,N(L973)-N(M973)))</f>
        <v/>
      </c>
      <c r="R973" s="96">
        <f>IF(COUNTA(B973:C973,G973:H973,J973:K973)&gt;0,1,0)</f>
        <v>0</v>
      </c>
      <c r="S973" s="96" t="str">
        <f>IF(B973="","",TRIM(LEFT(B973,FIND(" |",B973&amp;" |")-1)))</f>
        <v/>
      </c>
      <c r="T973" s="96" t="str">
        <f>IF(S973="","",IFERROR(MATCH(S973,'MTRs'!$A$6:$A$505,0),""))</f>
        <v/>
      </c>
      <c r="U973" s="96">
        <f>IF(T973="",0,IF(INDEX('MTRs'!$Z$6:$Z$505,T973)=1,1,0))</f>
        <v>0</v>
      </c>
      <c r="V973" s="96">
        <f>IF(C973="",0,IF(ISNUMBER(MATCH(C973,'CAD_RESÍDUOS'!$B$6:$B$205,0)),1,0))</f>
        <v>0</v>
      </c>
      <c r="W973" s="96">
        <f>IF(AND(ISNUMBER(G973),G973&gt;0),1,0)</f>
        <v>0</v>
      </c>
      <c r="X973" s="96" t="str">
        <f>IF(H973="","",IFERROR(IF(ISNUMBER(INDEX(cfg_fac,MATCH(H973,cfg_units,0))),IF(INDEX(cfg_fac,MATCH(H973,cfg_units,0))&gt;0,INDEX(cfg_fac,MATCH(H973,cfg_units,0)),""),""),""))</f>
        <v/>
      </c>
      <c r="Y973" s="96">
        <f>IF(AND(W973=1,ISNUMBER(I973)),1,0)</f>
        <v>0</v>
      </c>
      <c r="Z973" s="96">
        <f>IF(U973=1,INDEX('MTRs'!$AA$6:$AA$505,T973),0)</f>
        <v>0</v>
      </c>
      <c r="AA973" s="96">
        <f>IF(R973=0,0,COUNTIFS('RECEBIMENTOS'!$R$6:$R$1005,A973,'RECEBIMENTOS'!$Q$6:$Q$1005,1))</f>
        <v>0</v>
      </c>
      <c r="AB973" s="96">
        <f>IF(R973=0,0,COUNTIFS('RECEBIMENTOS'!$R$6:$R$1005,A973,'RECEBIMENTOS'!$Z$6:$Z$1005,1))</f>
        <v>0</v>
      </c>
      <c r="AC973" s="96">
        <f>IF(R973=0,0,COUNTIFS('RECEBIMENTOS'!$R$6:$R$1005,A973,'RECEBIMENTOS'!$Y$6:$Y$1005,1))</f>
        <v>0</v>
      </c>
      <c r="AD973" s="96">
        <f>IF(R973=0,0,COUNTIFS('VÍNCULOS_CDF'!$R$6:$R$1005,A973,'VÍNCULOS_CDF'!$N$6:$N$1005,1))</f>
        <v>0</v>
      </c>
      <c r="AE973" s="96">
        <f>IF(R973=0,0,COUNTIFS('VÍNCULOS_CDF'!$R$6:$R$1005,A973,'VÍNCULOS_CDF'!$AA$6:$AA$1005,1))</f>
        <v>0</v>
      </c>
      <c r="AF973" s="96">
        <f>IF(R973=0,0,COUNTIFS('VÍNCULOS_CDF'!$R$6:$R$1005,A973,'VÍNCULOS_CDF'!$Y$6:$Y$1005,1))</f>
        <v>0</v>
      </c>
      <c r="AG973" s="96" t="str">
        <f>IF(AND(R973=1,S973&lt;&gt;"",C973&lt;&gt;""),S973&amp;"|"&amp;C973&amp;"|"&amp;G973&amp;"|"&amp;H973,"")</f>
        <v/>
      </c>
      <c r="AH973" s="96">
        <f>IF(AG973="",0,IF(SUMPRODUCT(--($AG$6:$AG$1005=AG973))&gt;1,1,0))</f>
        <v>0</v>
      </c>
      <c r="AI973" s="96">
        <f>IF(R973=0,0,IF(OR(U973=0,V973=0,Y973=0,AND(AH973=1,K973&lt;&gt;"Sim")),1,0))</f>
        <v>0</v>
      </c>
      <c r="AJ973" s="96">
        <f>IF(AND(R973=1,AA973&gt;0,AB973=AA973),1,0)</f>
        <v>0</v>
      </c>
      <c r="AK973" s="96">
        <f>IF(R973=0,0,IF(AA973&gt;0,N(L973),IF(ISNUMBER(I973),I973,0)))</f>
        <v>0</v>
      </c>
      <c r="AL973" s="96">
        <f>IF(R973=0,0,IF(AND(K973&lt;&gt;"Sim",N(M973)&gt;AK973+cfg_tol),1,0))</f>
        <v>0</v>
      </c>
      <c r="AM973" s="96">
        <f>IF(R973=0,0,IF(K973="Sim",0,IF(OR(AND(AA973&gt;0,ISNUMBER(I973),ABS(I973-N(L973))&gt;cfg_tol),AL973=1),1,0)))</f>
        <v>0</v>
      </c>
      <c r="AN973" s="96">
        <f>IF(AND(R973=1,N(M973)&gt;0,OR(N(M973)&gt;=AK973-cfg_tol,K973="Sim")),1,0)</f>
        <v>0</v>
      </c>
      <c r="AO973" s="96">
        <f>IF(AND(AN973=1,AD973&gt;0,AE973=AD973,AL973=0),1,0)</f>
        <v>0</v>
      </c>
      <c r="AP973" s="96">
        <f>IF(U973=0,0,IF(AND(INDEX('MTRs'!$AX$6:$AX$505,T973)=1,Z973=0,OR(f_res="",f_res="(Todos)",C973=f_res)),1,0))</f>
        <v>0</v>
      </c>
      <c r="AQ973" s="97" t="str">
        <f>IF(U973=0,"",INDEX('MTRs'!$AZ$6:$AZ$505,T973))</f>
        <v/>
      </c>
      <c r="AR973" s="96">
        <f>IF(U973=0,0,IF(AND(INDEX('MTRs'!$BA$6:$BA$505,T973)=1,Z973=0),1,0))</f>
        <v>0</v>
      </c>
      <c r="AS973" s="96" t="str">
        <f>IF(R973=1,A973&amp;" | MTR "&amp;IF(U973=1,INDEX('MTRs'!$B$6:$B$505,T973)&amp;"","?")&amp;" | "&amp;IF(C973="","(sem resíduo)",C973),"")</f>
        <v/>
      </c>
      <c r="AT973" s="96" t="str">
        <f>IF(R973=1,COUNTIF($R$6:R973,1),"")</f>
        <v/>
      </c>
      <c r="AU973" s="96" t="str">
        <f>IF(U973=1,INDEX('MTRs'!$I$6:$I$505,T973)&amp;"","")</f>
        <v/>
      </c>
    </row>
    <row r="974">
      <c r="A974" s="89" t="inlineStr">
        <is>
          <t>IT-000969</t>
        </is>
      </c>
      <c r="B974" s="91" t="n"/>
      <c r="C974" s="91" t="n"/>
      <c r="D974" s="94" t="str">
        <f>IF(OR(R974=0,V974=0),"",INDEX('CAD_RESÍDUOS'!$E$6:$E$205,MATCH(C974,'CAD_RESÍDUOS'!$B$6:$B$205,0))&amp;"")</f>
        <v/>
      </c>
      <c r="E974" s="94" t="str">
        <f>IF(OR(R974=0,V974=0),"",INDEX('CAD_RESÍDUOS'!$C$6:$C$205,MATCH(C974,'CAD_RESÍDUOS'!$B$6:$B$205,0))&amp;"")</f>
        <v/>
      </c>
      <c r="F974" s="94" t="str">
        <f>IF(OR(R974=0,V974=0),"",INDEX('CAD_RESÍDUOS'!$G$6:$G$205,MATCH(C974,'CAD_RESÍDUOS'!$B$6:$B$205,0))&amp;"")</f>
        <v/>
      </c>
      <c r="G974" s="98" t="n"/>
      <c r="H974" s="91" t="n"/>
      <c r="I974" s="93" t="str">
        <f>IF(R974=0,"",IF(NOT(ISNUMBER(G974)),"",IF(ISNUMBER(X974),G974*X974,"UNIDADE A CONFERIR")))</f>
        <v/>
      </c>
      <c r="J974" s="91" t="n"/>
      <c r="K974" s="91" t="n"/>
      <c r="L974" s="93" t="str">
        <f>IF(R974=0,"",SUMIFS('RECEBIMENTOS'!$H$6:$H$1005,'RECEBIMENTOS'!$R$6:$R$1005,A974,'RECEBIMENTOS'!$X$6:$X$1005,1))</f>
        <v/>
      </c>
      <c r="M974" s="93" t="str">
        <f>IF(R974=0,"",SUMIFS('VÍNCULOS_CDF'!$H$6:$H$1005,'VÍNCULOS_CDF'!$R$6:$R$1005,A974,'VÍNCULOS_CDF'!$V$6:$V$1005,1))</f>
        <v/>
      </c>
      <c r="N974" s="99" t="str">
        <f>IF(OR(R974=0,AA974=0,NOT(ISNUMBER(I974))),"",I974-N(L974))</f>
        <v/>
      </c>
      <c r="O974" s="100" t="str">
        <f>IF(OR(R974=0,AK974&lt;=0),"",N(M974)/AK974)</f>
        <v/>
      </c>
      <c r="P974" s="94" t="str">
        <f>IF(R974=0,"",IF(S974="","Sem MTR associado",IF(U974=0,"MTR inexistente",IF(C974="","Resíduo não identificado",IF(V974=0,"Resíduo fora do cadastro",IF(W974=0,"Quantidade inválida",IF(H974="","Unidade não informada",IF(NOT(ISNUMBER(I974)),"Unidade a conferir",IF(AND(AH974=1,K974&lt;&gt;"Sim"),"Possível duplicidade",IF(Z974=1,"MTR cancelado",IF(AC974&gt;0,"Recebimento com alerta",IF(AA974=0,"Aguardando recebimento",IF(AB974&lt;AA974,"Recebimento a conferir",IF(AM974=1,"Quantidade a revisar",IF(AF974&gt;0,"Vínculo a revisar",IF(AD974=0,"Aguardando CDF",IF(AN974=0,"Vínculo de CDF parcial",IF(AE974&lt;AD974,"CDF a conferir","Documentação conferida"))))))))))))))))))</f>
        <v/>
      </c>
      <c r="Q974" s="93" t="str">
        <f>IF(OR(R974=0,AA974=0),"",MAX(0,N(L974)-N(M974)))</f>
        <v/>
      </c>
      <c r="R974" s="96">
        <f>IF(COUNTA(B974:C974,G974:H974,J974:K974)&gt;0,1,0)</f>
        <v>0</v>
      </c>
      <c r="S974" s="96" t="str">
        <f>IF(B974="","",TRIM(LEFT(B974,FIND(" |",B974&amp;" |")-1)))</f>
        <v/>
      </c>
      <c r="T974" s="96" t="str">
        <f>IF(S974="","",IFERROR(MATCH(S974,'MTRs'!$A$6:$A$505,0),""))</f>
        <v/>
      </c>
      <c r="U974" s="96">
        <f>IF(T974="",0,IF(INDEX('MTRs'!$Z$6:$Z$505,T974)=1,1,0))</f>
        <v>0</v>
      </c>
      <c r="V974" s="96">
        <f>IF(C974="",0,IF(ISNUMBER(MATCH(C974,'CAD_RESÍDUOS'!$B$6:$B$205,0)),1,0))</f>
        <v>0</v>
      </c>
      <c r="W974" s="96">
        <f>IF(AND(ISNUMBER(G974),G974&gt;0),1,0)</f>
        <v>0</v>
      </c>
      <c r="X974" s="96" t="str">
        <f>IF(H974="","",IFERROR(IF(ISNUMBER(INDEX(cfg_fac,MATCH(H974,cfg_units,0))),IF(INDEX(cfg_fac,MATCH(H974,cfg_units,0))&gt;0,INDEX(cfg_fac,MATCH(H974,cfg_units,0)),""),""),""))</f>
        <v/>
      </c>
      <c r="Y974" s="96">
        <f>IF(AND(W974=1,ISNUMBER(I974)),1,0)</f>
        <v>0</v>
      </c>
      <c r="Z974" s="96">
        <f>IF(U974=1,INDEX('MTRs'!$AA$6:$AA$505,T974),0)</f>
        <v>0</v>
      </c>
      <c r="AA974" s="96">
        <f>IF(R974=0,0,COUNTIFS('RECEBIMENTOS'!$R$6:$R$1005,A974,'RECEBIMENTOS'!$Q$6:$Q$1005,1))</f>
        <v>0</v>
      </c>
      <c r="AB974" s="96">
        <f>IF(R974=0,0,COUNTIFS('RECEBIMENTOS'!$R$6:$R$1005,A974,'RECEBIMENTOS'!$Z$6:$Z$1005,1))</f>
        <v>0</v>
      </c>
      <c r="AC974" s="96">
        <f>IF(R974=0,0,COUNTIFS('RECEBIMENTOS'!$R$6:$R$1005,A974,'RECEBIMENTOS'!$Y$6:$Y$1005,1))</f>
        <v>0</v>
      </c>
      <c r="AD974" s="96">
        <f>IF(R974=0,0,COUNTIFS('VÍNCULOS_CDF'!$R$6:$R$1005,A974,'VÍNCULOS_CDF'!$N$6:$N$1005,1))</f>
        <v>0</v>
      </c>
      <c r="AE974" s="96">
        <f>IF(R974=0,0,COUNTIFS('VÍNCULOS_CDF'!$R$6:$R$1005,A974,'VÍNCULOS_CDF'!$AA$6:$AA$1005,1))</f>
        <v>0</v>
      </c>
      <c r="AF974" s="96">
        <f>IF(R974=0,0,COUNTIFS('VÍNCULOS_CDF'!$R$6:$R$1005,A974,'VÍNCULOS_CDF'!$Y$6:$Y$1005,1))</f>
        <v>0</v>
      </c>
      <c r="AG974" s="96" t="str">
        <f>IF(AND(R974=1,S974&lt;&gt;"",C974&lt;&gt;""),S974&amp;"|"&amp;C974&amp;"|"&amp;G974&amp;"|"&amp;H974,"")</f>
        <v/>
      </c>
      <c r="AH974" s="96">
        <f>IF(AG974="",0,IF(SUMPRODUCT(--($AG$6:$AG$1005=AG974))&gt;1,1,0))</f>
        <v>0</v>
      </c>
      <c r="AI974" s="96">
        <f>IF(R974=0,0,IF(OR(U974=0,V974=0,Y974=0,AND(AH974=1,K974&lt;&gt;"Sim")),1,0))</f>
        <v>0</v>
      </c>
      <c r="AJ974" s="96">
        <f>IF(AND(R974=1,AA974&gt;0,AB974=AA974),1,0)</f>
        <v>0</v>
      </c>
      <c r="AK974" s="96">
        <f>IF(R974=0,0,IF(AA974&gt;0,N(L974),IF(ISNUMBER(I974),I974,0)))</f>
        <v>0</v>
      </c>
      <c r="AL974" s="96">
        <f>IF(R974=0,0,IF(AND(K974&lt;&gt;"Sim",N(M974)&gt;AK974+cfg_tol),1,0))</f>
        <v>0</v>
      </c>
      <c r="AM974" s="96">
        <f>IF(R974=0,0,IF(K974="Sim",0,IF(OR(AND(AA974&gt;0,ISNUMBER(I974),ABS(I974-N(L974))&gt;cfg_tol),AL974=1),1,0)))</f>
        <v>0</v>
      </c>
      <c r="AN974" s="96">
        <f>IF(AND(R974=1,N(M974)&gt;0,OR(N(M974)&gt;=AK974-cfg_tol,K974="Sim")),1,0)</f>
        <v>0</v>
      </c>
      <c r="AO974" s="96">
        <f>IF(AND(AN974=1,AD974&gt;0,AE974=AD974,AL974=0),1,0)</f>
        <v>0</v>
      </c>
      <c r="AP974" s="96">
        <f>IF(U974=0,0,IF(AND(INDEX('MTRs'!$AX$6:$AX$505,T974)=1,Z974=0,OR(f_res="",f_res="(Todos)",C974=f_res)),1,0))</f>
        <v>0</v>
      </c>
      <c r="AQ974" s="97" t="str">
        <f>IF(U974=0,"",INDEX('MTRs'!$AZ$6:$AZ$505,T974))</f>
        <v/>
      </c>
      <c r="AR974" s="96">
        <f>IF(U974=0,0,IF(AND(INDEX('MTRs'!$BA$6:$BA$505,T974)=1,Z974=0),1,0))</f>
        <v>0</v>
      </c>
      <c r="AS974" s="96" t="str">
        <f>IF(R974=1,A974&amp;" | MTR "&amp;IF(U974=1,INDEX('MTRs'!$B$6:$B$505,T974)&amp;"","?")&amp;" | "&amp;IF(C974="","(sem resíduo)",C974),"")</f>
        <v/>
      </c>
      <c r="AT974" s="96" t="str">
        <f>IF(R974=1,COUNTIF($R$6:R974,1),"")</f>
        <v/>
      </c>
      <c r="AU974" s="96" t="str">
        <f>IF(U974=1,INDEX('MTRs'!$I$6:$I$505,T974)&amp;"","")</f>
        <v/>
      </c>
    </row>
    <row r="975">
      <c r="A975" s="89" t="inlineStr">
        <is>
          <t>IT-000970</t>
        </is>
      </c>
      <c r="B975" s="91" t="n"/>
      <c r="C975" s="91" t="n"/>
      <c r="D975" s="94" t="str">
        <f>IF(OR(R975=0,V975=0),"",INDEX('CAD_RESÍDUOS'!$E$6:$E$205,MATCH(C975,'CAD_RESÍDUOS'!$B$6:$B$205,0))&amp;"")</f>
        <v/>
      </c>
      <c r="E975" s="94" t="str">
        <f>IF(OR(R975=0,V975=0),"",INDEX('CAD_RESÍDUOS'!$C$6:$C$205,MATCH(C975,'CAD_RESÍDUOS'!$B$6:$B$205,0))&amp;"")</f>
        <v/>
      </c>
      <c r="F975" s="94" t="str">
        <f>IF(OR(R975=0,V975=0),"",INDEX('CAD_RESÍDUOS'!$G$6:$G$205,MATCH(C975,'CAD_RESÍDUOS'!$B$6:$B$205,0))&amp;"")</f>
        <v/>
      </c>
      <c r="G975" s="98" t="n"/>
      <c r="H975" s="91" t="n"/>
      <c r="I975" s="93" t="str">
        <f>IF(R975=0,"",IF(NOT(ISNUMBER(G975)),"",IF(ISNUMBER(X975),G975*X975,"UNIDADE A CONFERIR")))</f>
        <v/>
      </c>
      <c r="J975" s="91" t="n"/>
      <c r="K975" s="91" t="n"/>
      <c r="L975" s="93" t="str">
        <f>IF(R975=0,"",SUMIFS('RECEBIMENTOS'!$H$6:$H$1005,'RECEBIMENTOS'!$R$6:$R$1005,A975,'RECEBIMENTOS'!$X$6:$X$1005,1))</f>
        <v/>
      </c>
      <c r="M975" s="93" t="str">
        <f>IF(R975=0,"",SUMIFS('VÍNCULOS_CDF'!$H$6:$H$1005,'VÍNCULOS_CDF'!$R$6:$R$1005,A975,'VÍNCULOS_CDF'!$V$6:$V$1005,1))</f>
        <v/>
      </c>
      <c r="N975" s="99" t="str">
        <f>IF(OR(R975=0,AA975=0,NOT(ISNUMBER(I975))),"",I975-N(L975))</f>
        <v/>
      </c>
      <c r="O975" s="100" t="str">
        <f>IF(OR(R975=0,AK975&lt;=0),"",N(M975)/AK975)</f>
        <v/>
      </c>
      <c r="P975" s="94" t="str">
        <f>IF(R975=0,"",IF(S975="","Sem MTR associado",IF(U975=0,"MTR inexistente",IF(C975="","Resíduo não identificado",IF(V975=0,"Resíduo fora do cadastro",IF(W975=0,"Quantidade inválida",IF(H975="","Unidade não informada",IF(NOT(ISNUMBER(I975)),"Unidade a conferir",IF(AND(AH975=1,K975&lt;&gt;"Sim"),"Possível duplicidade",IF(Z975=1,"MTR cancelado",IF(AC975&gt;0,"Recebimento com alerta",IF(AA975=0,"Aguardando recebimento",IF(AB975&lt;AA975,"Recebimento a conferir",IF(AM975=1,"Quantidade a revisar",IF(AF975&gt;0,"Vínculo a revisar",IF(AD975=0,"Aguardando CDF",IF(AN975=0,"Vínculo de CDF parcial",IF(AE975&lt;AD975,"CDF a conferir","Documentação conferida"))))))))))))))))))</f>
        <v/>
      </c>
      <c r="Q975" s="93" t="str">
        <f>IF(OR(R975=0,AA975=0),"",MAX(0,N(L975)-N(M975)))</f>
        <v/>
      </c>
      <c r="R975" s="96">
        <f>IF(COUNTA(B975:C975,G975:H975,J975:K975)&gt;0,1,0)</f>
        <v>0</v>
      </c>
      <c r="S975" s="96" t="str">
        <f>IF(B975="","",TRIM(LEFT(B975,FIND(" |",B975&amp;" |")-1)))</f>
        <v/>
      </c>
      <c r="T975" s="96" t="str">
        <f>IF(S975="","",IFERROR(MATCH(S975,'MTRs'!$A$6:$A$505,0),""))</f>
        <v/>
      </c>
      <c r="U975" s="96">
        <f>IF(T975="",0,IF(INDEX('MTRs'!$Z$6:$Z$505,T975)=1,1,0))</f>
        <v>0</v>
      </c>
      <c r="V975" s="96">
        <f>IF(C975="",0,IF(ISNUMBER(MATCH(C975,'CAD_RESÍDUOS'!$B$6:$B$205,0)),1,0))</f>
        <v>0</v>
      </c>
      <c r="W975" s="96">
        <f>IF(AND(ISNUMBER(G975),G975&gt;0),1,0)</f>
        <v>0</v>
      </c>
      <c r="X975" s="96" t="str">
        <f>IF(H975="","",IFERROR(IF(ISNUMBER(INDEX(cfg_fac,MATCH(H975,cfg_units,0))),IF(INDEX(cfg_fac,MATCH(H975,cfg_units,0))&gt;0,INDEX(cfg_fac,MATCH(H975,cfg_units,0)),""),""),""))</f>
        <v/>
      </c>
      <c r="Y975" s="96">
        <f>IF(AND(W975=1,ISNUMBER(I975)),1,0)</f>
        <v>0</v>
      </c>
      <c r="Z975" s="96">
        <f>IF(U975=1,INDEX('MTRs'!$AA$6:$AA$505,T975),0)</f>
        <v>0</v>
      </c>
      <c r="AA975" s="96">
        <f>IF(R975=0,0,COUNTIFS('RECEBIMENTOS'!$R$6:$R$1005,A975,'RECEBIMENTOS'!$Q$6:$Q$1005,1))</f>
        <v>0</v>
      </c>
      <c r="AB975" s="96">
        <f>IF(R975=0,0,COUNTIFS('RECEBIMENTOS'!$R$6:$R$1005,A975,'RECEBIMENTOS'!$Z$6:$Z$1005,1))</f>
        <v>0</v>
      </c>
      <c r="AC975" s="96">
        <f>IF(R975=0,0,COUNTIFS('RECEBIMENTOS'!$R$6:$R$1005,A975,'RECEBIMENTOS'!$Y$6:$Y$1005,1))</f>
        <v>0</v>
      </c>
      <c r="AD975" s="96">
        <f>IF(R975=0,0,COUNTIFS('VÍNCULOS_CDF'!$R$6:$R$1005,A975,'VÍNCULOS_CDF'!$N$6:$N$1005,1))</f>
        <v>0</v>
      </c>
      <c r="AE975" s="96">
        <f>IF(R975=0,0,COUNTIFS('VÍNCULOS_CDF'!$R$6:$R$1005,A975,'VÍNCULOS_CDF'!$AA$6:$AA$1005,1))</f>
        <v>0</v>
      </c>
      <c r="AF975" s="96">
        <f>IF(R975=0,0,COUNTIFS('VÍNCULOS_CDF'!$R$6:$R$1005,A975,'VÍNCULOS_CDF'!$Y$6:$Y$1005,1))</f>
        <v>0</v>
      </c>
      <c r="AG975" s="96" t="str">
        <f>IF(AND(R975=1,S975&lt;&gt;"",C975&lt;&gt;""),S975&amp;"|"&amp;C975&amp;"|"&amp;G975&amp;"|"&amp;H975,"")</f>
        <v/>
      </c>
      <c r="AH975" s="96">
        <f>IF(AG975="",0,IF(SUMPRODUCT(--($AG$6:$AG$1005=AG975))&gt;1,1,0))</f>
        <v>0</v>
      </c>
      <c r="AI975" s="96">
        <f>IF(R975=0,0,IF(OR(U975=0,V975=0,Y975=0,AND(AH975=1,K975&lt;&gt;"Sim")),1,0))</f>
        <v>0</v>
      </c>
      <c r="AJ975" s="96">
        <f>IF(AND(R975=1,AA975&gt;0,AB975=AA975),1,0)</f>
        <v>0</v>
      </c>
      <c r="AK975" s="96">
        <f>IF(R975=0,0,IF(AA975&gt;0,N(L975),IF(ISNUMBER(I975),I975,0)))</f>
        <v>0</v>
      </c>
      <c r="AL975" s="96">
        <f>IF(R975=0,0,IF(AND(K975&lt;&gt;"Sim",N(M975)&gt;AK975+cfg_tol),1,0))</f>
        <v>0</v>
      </c>
      <c r="AM975" s="96">
        <f>IF(R975=0,0,IF(K975="Sim",0,IF(OR(AND(AA975&gt;0,ISNUMBER(I975),ABS(I975-N(L975))&gt;cfg_tol),AL975=1),1,0)))</f>
        <v>0</v>
      </c>
      <c r="AN975" s="96">
        <f>IF(AND(R975=1,N(M975)&gt;0,OR(N(M975)&gt;=AK975-cfg_tol,K975="Sim")),1,0)</f>
        <v>0</v>
      </c>
      <c r="AO975" s="96">
        <f>IF(AND(AN975=1,AD975&gt;0,AE975=AD975,AL975=0),1,0)</f>
        <v>0</v>
      </c>
      <c r="AP975" s="96">
        <f>IF(U975=0,0,IF(AND(INDEX('MTRs'!$AX$6:$AX$505,T975)=1,Z975=0,OR(f_res="",f_res="(Todos)",C975=f_res)),1,0))</f>
        <v>0</v>
      </c>
      <c r="AQ975" s="97" t="str">
        <f>IF(U975=0,"",INDEX('MTRs'!$AZ$6:$AZ$505,T975))</f>
        <v/>
      </c>
      <c r="AR975" s="96">
        <f>IF(U975=0,0,IF(AND(INDEX('MTRs'!$BA$6:$BA$505,T975)=1,Z975=0),1,0))</f>
        <v>0</v>
      </c>
      <c r="AS975" s="96" t="str">
        <f>IF(R975=1,A975&amp;" | MTR "&amp;IF(U975=1,INDEX('MTRs'!$B$6:$B$505,T975)&amp;"","?")&amp;" | "&amp;IF(C975="","(sem resíduo)",C975),"")</f>
        <v/>
      </c>
      <c r="AT975" s="96" t="str">
        <f>IF(R975=1,COUNTIF($R$6:R975,1),"")</f>
        <v/>
      </c>
      <c r="AU975" s="96" t="str">
        <f>IF(U975=1,INDEX('MTRs'!$I$6:$I$505,T975)&amp;"","")</f>
        <v/>
      </c>
    </row>
    <row r="976">
      <c r="A976" s="89" t="inlineStr">
        <is>
          <t>IT-000971</t>
        </is>
      </c>
      <c r="B976" s="91" t="n"/>
      <c r="C976" s="91" t="n"/>
      <c r="D976" s="94" t="str">
        <f>IF(OR(R976=0,V976=0),"",INDEX('CAD_RESÍDUOS'!$E$6:$E$205,MATCH(C976,'CAD_RESÍDUOS'!$B$6:$B$205,0))&amp;"")</f>
        <v/>
      </c>
      <c r="E976" s="94" t="str">
        <f>IF(OR(R976=0,V976=0),"",INDEX('CAD_RESÍDUOS'!$C$6:$C$205,MATCH(C976,'CAD_RESÍDUOS'!$B$6:$B$205,0))&amp;"")</f>
        <v/>
      </c>
      <c r="F976" s="94" t="str">
        <f>IF(OR(R976=0,V976=0),"",INDEX('CAD_RESÍDUOS'!$G$6:$G$205,MATCH(C976,'CAD_RESÍDUOS'!$B$6:$B$205,0))&amp;"")</f>
        <v/>
      </c>
      <c r="G976" s="98" t="n"/>
      <c r="H976" s="91" t="n"/>
      <c r="I976" s="93" t="str">
        <f>IF(R976=0,"",IF(NOT(ISNUMBER(G976)),"",IF(ISNUMBER(X976),G976*X976,"UNIDADE A CONFERIR")))</f>
        <v/>
      </c>
      <c r="J976" s="91" t="n"/>
      <c r="K976" s="91" t="n"/>
      <c r="L976" s="93" t="str">
        <f>IF(R976=0,"",SUMIFS('RECEBIMENTOS'!$H$6:$H$1005,'RECEBIMENTOS'!$R$6:$R$1005,A976,'RECEBIMENTOS'!$X$6:$X$1005,1))</f>
        <v/>
      </c>
      <c r="M976" s="93" t="str">
        <f>IF(R976=0,"",SUMIFS('VÍNCULOS_CDF'!$H$6:$H$1005,'VÍNCULOS_CDF'!$R$6:$R$1005,A976,'VÍNCULOS_CDF'!$V$6:$V$1005,1))</f>
        <v/>
      </c>
      <c r="N976" s="99" t="str">
        <f>IF(OR(R976=0,AA976=0,NOT(ISNUMBER(I976))),"",I976-N(L976))</f>
        <v/>
      </c>
      <c r="O976" s="100" t="str">
        <f>IF(OR(R976=0,AK976&lt;=0),"",N(M976)/AK976)</f>
        <v/>
      </c>
      <c r="P976" s="94" t="str">
        <f>IF(R976=0,"",IF(S976="","Sem MTR associado",IF(U976=0,"MTR inexistente",IF(C976="","Resíduo não identificado",IF(V976=0,"Resíduo fora do cadastro",IF(W976=0,"Quantidade inválida",IF(H976="","Unidade não informada",IF(NOT(ISNUMBER(I976)),"Unidade a conferir",IF(AND(AH976=1,K976&lt;&gt;"Sim"),"Possível duplicidade",IF(Z976=1,"MTR cancelado",IF(AC976&gt;0,"Recebimento com alerta",IF(AA976=0,"Aguardando recebimento",IF(AB976&lt;AA976,"Recebimento a conferir",IF(AM976=1,"Quantidade a revisar",IF(AF976&gt;0,"Vínculo a revisar",IF(AD976=0,"Aguardando CDF",IF(AN976=0,"Vínculo de CDF parcial",IF(AE976&lt;AD976,"CDF a conferir","Documentação conferida"))))))))))))))))))</f>
        <v/>
      </c>
      <c r="Q976" s="93" t="str">
        <f>IF(OR(R976=0,AA976=0),"",MAX(0,N(L976)-N(M976)))</f>
        <v/>
      </c>
      <c r="R976" s="96">
        <f>IF(COUNTA(B976:C976,G976:H976,J976:K976)&gt;0,1,0)</f>
        <v>0</v>
      </c>
      <c r="S976" s="96" t="str">
        <f>IF(B976="","",TRIM(LEFT(B976,FIND(" |",B976&amp;" |")-1)))</f>
        <v/>
      </c>
      <c r="T976" s="96" t="str">
        <f>IF(S976="","",IFERROR(MATCH(S976,'MTRs'!$A$6:$A$505,0),""))</f>
        <v/>
      </c>
      <c r="U976" s="96">
        <f>IF(T976="",0,IF(INDEX('MTRs'!$Z$6:$Z$505,T976)=1,1,0))</f>
        <v>0</v>
      </c>
      <c r="V976" s="96">
        <f>IF(C976="",0,IF(ISNUMBER(MATCH(C976,'CAD_RESÍDUOS'!$B$6:$B$205,0)),1,0))</f>
        <v>0</v>
      </c>
      <c r="W976" s="96">
        <f>IF(AND(ISNUMBER(G976),G976&gt;0),1,0)</f>
        <v>0</v>
      </c>
      <c r="X976" s="96" t="str">
        <f>IF(H976="","",IFERROR(IF(ISNUMBER(INDEX(cfg_fac,MATCH(H976,cfg_units,0))),IF(INDEX(cfg_fac,MATCH(H976,cfg_units,0))&gt;0,INDEX(cfg_fac,MATCH(H976,cfg_units,0)),""),""),""))</f>
        <v/>
      </c>
      <c r="Y976" s="96">
        <f>IF(AND(W976=1,ISNUMBER(I976)),1,0)</f>
        <v>0</v>
      </c>
      <c r="Z976" s="96">
        <f>IF(U976=1,INDEX('MTRs'!$AA$6:$AA$505,T976),0)</f>
        <v>0</v>
      </c>
      <c r="AA976" s="96">
        <f>IF(R976=0,0,COUNTIFS('RECEBIMENTOS'!$R$6:$R$1005,A976,'RECEBIMENTOS'!$Q$6:$Q$1005,1))</f>
        <v>0</v>
      </c>
      <c r="AB976" s="96">
        <f>IF(R976=0,0,COUNTIFS('RECEBIMENTOS'!$R$6:$R$1005,A976,'RECEBIMENTOS'!$Z$6:$Z$1005,1))</f>
        <v>0</v>
      </c>
      <c r="AC976" s="96">
        <f>IF(R976=0,0,COUNTIFS('RECEBIMENTOS'!$R$6:$R$1005,A976,'RECEBIMENTOS'!$Y$6:$Y$1005,1))</f>
        <v>0</v>
      </c>
      <c r="AD976" s="96">
        <f>IF(R976=0,0,COUNTIFS('VÍNCULOS_CDF'!$R$6:$R$1005,A976,'VÍNCULOS_CDF'!$N$6:$N$1005,1))</f>
        <v>0</v>
      </c>
      <c r="AE976" s="96">
        <f>IF(R976=0,0,COUNTIFS('VÍNCULOS_CDF'!$R$6:$R$1005,A976,'VÍNCULOS_CDF'!$AA$6:$AA$1005,1))</f>
        <v>0</v>
      </c>
      <c r="AF976" s="96">
        <f>IF(R976=0,0,COUNTIFS('VÍNCULOS_CDF'!$R$6:$R$1005,A976,'VÍNCULOS_CDF'!$Y$6:$Y$1005,1))</f>
        <v>0</v>
      </c>
      <c r="AG976" s="96" t="str">
        <f>IF(AND(R976=1,S976&lt;&gt;"",C976&lt;&gt;""),S976&amp;"|"&amp;C976&amp;"|"&amp;G976&amp;"|"&amp;H976,"")</f>
        <v/>
      </c>
      <c r="AH976" s="96">
        <f>IF(AG976="",0,IF(SUMPRODUCT(--($AG$6:$AG$1005=AG976))&gt;1,1,0))</f>
        <v>0</v>
      </c>
      <c r="AI976" s="96">
        <f>IF(R976=0,0,IF(OR(U976=0,V976=0,Y976=0,AND(AH976=1,K976&lt;&gt;"Sim")),1,0))</f>
        <v>0</v>
      </c>
      <c r="AJ976" s="96">
        <f>IF(AND(R976=1,AA976&gt;0,AB976=AA976),1,0)</f>
        <v>0</v>
      </c>
      <c r="AK976" s="96">
        <f>IF(R976=0,0,IF(AA976&gt;0,N(L976),IF(ISNUMBER(I976),I976,0)))</f>
        <v>0</v>
      </c>
      <c r="AL976" s="96">
        <f>IF(R976=0,0,IF(AND(K976&lt;&gt;"Sim",N(M976)&gt;AK976+cfg_tol),1,0))</f>
        <v>0</v>
      </c>
      <c r="AM976" s="96">
        <f>IF(R976=0,0,IF(K976="Sim",0,IF(OR(AND(AA976&gt;0,ISNUMBER(I976),ABS(I976-N(L976))&gt;cfg_tol),AL976=1),1,0)))</f>
        <v>0</v>
      </c>
      <c r="AN976" s="96">
        <f>IF(AND(R976=1,N(M976)&gt;0,OR(N(M976)&gt;=AK976-cfg_tol,K976="Sim")),1,0)</f>
        <v>0</v>
      </c>
      <c r="AO976" s="96">
        <f>IF(AND(AN976=1,AD976&gt;0,AE976=AD976,AL976=0),1,0)</f>
        <v>0</v>
      </c>
      <c r="AP976" s="96">
        <f>IF(U976=0,0,IF(AND(INDEX('MTRs'!$AX$6:$AX$505,T976)=1,Z976=0,OR(f_res="",f_res="(Todos)",C976=f_res)),1,0))</f>
        <v>0</v>
      </c>
      <c r="AQ976" s="97" t="str">
        <f>IF(U976=0,"",INDEX('MTRs'!$AZ$6:$AZ$505,T976))</f>
        <v/>
      </c>
      <c r="AR976" s="96">
        <f>IF(U976=0,0,IF(AND(INDEX('MTRs'!$BA$6:$BA$505,T976)=1,Z976=0),1,0))</f>
        <v>0</v>
      </c>
      <c r="AS976" s="96" t="str">
        <f>IF(R976=1,A976&amp;" | MTR "&amp;IF(U976=1,INDEX('MTRs'!$B$6:$B$505,T976)&amp;"","?")&amp;" | "&amp;IF(C976="","(sem resíduo)",C976),"")</f>
        <v/>
      </c>
      <c r="AT976" s="96" t="str">
        <f>IF(R976=1,COUNTIF($R$6:R976,1),"")</f>
        <v/>
      </c>
      <c r="AU976" s="96" t="str">
        <f>IF(U976=1,INDEX('MTRs'!$I$6:$I$505,T976)&amp;"","")</f>
        <v/>
      </c>
    </row>
    <row r="977">
      <c r="A977" s="89" t="inlineStr">
        <is>
          <t>IT-000972</t>
        </is>
      </c>
      <c r="B977" s="91" t="n"/>
      <c r="C977" s="91" t="n"/>
      <c r="D977" s="94" t="str">
        <f>IF(OR(R977=0,V977=0),"",INDEX('CAD_RESÍDUOS'!$E$6:$E$205,MATCH(C977,'CAD_RESÍDUOS'!$B$6:$B$205,0))&amp;"")</f>
        <v/>
      </c>
      <c r="E977" s="94" t="str">
        <f>IF(OR(R977=0,V977=0),"",INDEX('CAD_RESÍDUOS'!$C$6:$C$205,MATCH(C977,'CAD_RESÍDUOS'!$B$6:$B$205,0))&amp;"")</f>
        <v/>
      </c>
      <c r="F977" s="94" t="str">
        <f>IF(OR(R977=0,V977=0),"",INDEX('CAD_RESÍDUOS'!$G$6:$G$205,MATCH(C977,'CAD_RESÍDUOS'!$B$6:$B$205,0))&amp;"")</f>
        <v/>
      </c>
      <c r="G977" s="98" t="n"/>
      <c r="H977" s="91" t="n"/>
      <c r="I977" s="93" t="str">
        <f>IF(R977=0,"",IF(NOT(ISNUMBER(G977)),"",IF(ISNUMBER(X977),G977*X977,"UNIDADE A CONFERIR")))</f>
        <v/>
      </c>
      <c r="J977" s="91" t="n"/>
      <c r="K977" s="91" t="n"/>
      <c r="L977" s="93" t="str">
        <f>IF(R977=0,"",SUMIFS('RECEBIMENTOS'!$H$6:$H$1005,'RECEBIMENTOS'!$R$6:$R$1005,A977,'RECEBIMENTOS'!$X$6:$X$1005,1))</f>
        <v/>
      </c>
      <c r="M977" s="93" t="str">
        <f>IF(R977=0,"",SUMIFS('VÍNCULOS_CDF'!$H$6:$H$1005,'VÍNCULOS_CDF'!$R$6:$R$1005,A977,'VÍNCULOS_CDF'!$V$6:$V$1005,1))</f>
        <v/>
      </c>
      <c r="N977" s="99" t="str">
        <f>IF(OR(R977=0,AA977=0,NOT(ISNUMBER(I977))),"",I977-N(L977))</f>
        <v/>
      </c>
      <c r="O977" s="100" t="str">
        <f>IF(OR(R977=0,AK977&lt;=0),"",N(M977)/AK977)</f>
        <v/>
      </c>
      <c r="P977" s="94" t="str">
        <f>IF(R977=0,"",IF(S977="","Sem MTR associado",IF(U977=0,"MTR inexistente",IF(C977="","Resíduo não identificado",IF(V977=0,"Resíduo fora do cadastro",IF(W977=0,"Quantidade inválida",IF(H977="","Unidade não informada",IF(NOT(ISNUMBER(I977)),"Unidade a conferir",IF(AND(AH977=1,K977&lt;&gt;"Sim"),"Possível duplicidade",IF(Z977=1,"MTR cancelado",IF(AC977&gt;0,"Recebimento com alerta",IF(AA977=0,"Aguardando recebimento",IF(AB977&lt;AA977,"Recebimento a conferir",IF(AM977=1,"Quantidade a revisar",IF(AF977&gt;0,"Vínculo a revisar",IF(AD977=0,"Aguardando CDF",IF(AN977=0,"Vínculo de CDF parcial",IF(AE977&lt;AD977,"CDF a conferir","Documentação conferida"))))))))))))))))))</f>
        <v/>
      </c>
      <c r="Q977" s="93" t="str">
        <f>IF(OR(R977=0,AA977=0),"",MAX(0,N(L977)-N(M977)))</f>
        <v/>
      </c>
      <c r="R977" s="96">
        <f>IF(COUNTA(B977:C977,G977:H977,J977:K977)&gt;0,1,0)</f>
        <v>0</v>
      </c>
      <c r="S977" s="96" t="str">
        <f>IF(B977="","",TRIM(LEFT(B977,FIND(" |",B977&amp;" |")-1)))</f>
        <v/>
      </c>
      <c r="T977" s="96" t="str">
        <f>IF(S977="","",IFERROR(MATCH(S977,'MTRs'!$A$6:$A$505,0),""))</f>
        <v/>
      </c>
      <c r="U977" s="96">
        <f>IF(T977="",0,IF(INDEX('MTRs'!$Z$6:$Z$505,T977)=1,1,0))</f>
        <v>0</v>
      </c>
      <c r="V977" s="96">
        <f>IF(C977="",0,IF(ISNUMBER(MATCH(C977,'CAD_RESÍDUOS'!$B$6:$B$205,0)),1,0))</f>
        <v>0</v>
      </c>
      <c r="W977" s="96">
        <f>IF(AND(ISNUMBER(G977),G977&gt;0),1,0)</f>
        <v>0</v>
      </c>
      <c r="X977" s="96" t="str">
        <f>IF(H977="","",IFERROR(IF(ISNUMBER(INDEX(cfg_fac,MATCH(H977,cfg_units,0))),IF(INDEX(cfg_fac,MATCH(H977,cfg_units,0))&gt;0,INDEX(cfg_fac,MATCH(H977,cfg_units,0)),""),""),""))</f>
        <v/>
      </c>
      <c r="Y977" s="96">
        <f>IF(AND(W977=1,ISNUMBER(I977)),1,0)</f>
        <v>0</v>
      </c>
      <c r="Z977" s="96">
        <f>IF(U977=1,INDEX('MTRs'!$AA$6:$AA$505,T977),0)</f>
        <v>0</v>
      </c>
      <c r="AA977" s="96">
        <f>IF(R977=0,0,COUNTIFS('RECEBIMENTOS'!$R$6:$R$1005,A977,'RECEBIMENTOS'!$Q$6:$Q$1005,1))</f>
        <v>0</v>
      </c>
      <c r="AB977" s="96">
        <f>IF(R977=0,0,COUNTIFS('RECEBIMENTOS'!$R$6:$R$1005,A977,'RECEBIMENTOS'!$Z$6:$Z$1005,1))</f>
        <v>0</v>
      </c>
      <c r="AC977" s="96">
        <f>IF(R977=0,0,COUNTIFS('RECEBIMENTOS'!$R$6:$R$1005,A977,'RECEBIMENTOS'!$Y$6:$Y$1005,1))</f>
        <v>0</v>
      </c>
      <c r="AD977" s="96">
        <f>IF(R977=0,0,COUNTIFS('VÍNCULOS_CDF'!$R$6:$R$1005,A977,'VÍNCULOS_CDF'!$N$6:$N$1005,1))</f>
        <v>0</v>
      </c>
      <c r="AE977" s="96">
        <f>IF(R977=0,0,COUNTIFS('VÍNCULOS_CDF'!$R$6:$R$1005,A977,'VÍNCULOS_CDF'!$AA$6:$AA$1005,1))</f>
        <v>0</v>
      </c>
      <c r="AF977" s="96">
        <f>IF(R977=0,0,COUNTIFS('VÍNCULOS_CDF'!$R$6:$R$1005,A977,'VÍNCULOS_CDF'!$Y$6:$Y$1005,1))</f>
        <v>0</v>
      </c>
      <c r="AG977" s="96" t="str">
        <f>IF(AND(R977=1,S977&lt;&gt;"",C977&lt;&gt;""),S977&amp;"|"&amp;C977&amp;"|"&amp;G977&amp;"|"&amp;H977,"")</f>
        <v/>
      </c>
      <c r="AH977" s="96">
        <f>IF(AG977="",0,IF(SUMPRODUCT(--($AG$6:$AG$1005=AG977))&gt;1,1,0))</f>
        <v>0</v>
      </c>
      <c r="AI977" s="96">
        <f>IF(R977=0,0,IF(OR(U977=0,V977=0,Y977=0,AND(AH977=1,K977&lt;&gt;"Sim")),1,0))</f>
        <v>0</v>
      </c>
      <c r="AJ977" s="96">
        <f>IF(AND(R977=1,AA977&gt;0,AB977=AA977),1,0)</f>
        <v>0</v>
      </c>
      <c r="AK977" s="96">
        <f>IF(R977=0,0,IF(AA977&gt;0,N(L977),IF(ISNUMBER(I977),I977,0)))</f>
        <v>0</v>
      </c>
      <c r="AL977" s="96">
        <f>IF(R977=0,0,IF(AND(K977&lt;&gt;"Sim",N(M977)&gt;AK977+cfg_tol),1,0))</f>
        <v>0</v>
      </c>
      <c r="AM977" s="96">
        <f>IF(R977=0,0,IF(K977="Sim",0,IF(OR(AND(AA977&gt;0,ISNUMBER(I977),ABS(I977-N(L977))&gt;cfg_tol),AL977=1),1,0)))</f>
        <v>0</v>
      </c>
      <c r="AN977" s="96">
        <f>IF(AND(R977=1,N(M977)&gt;0,OR(N(M977)&gt;=AK977-cfg_tol,K977="Sim")),1,0)</f>
        <v>0</v>
      </c>
      <c r="AO977" s="96">
        <f>IF(AND(AN977=1,AD977&gt;0,AE977=AD977,AL977=0),1,0)</f>
        <v>0</v>
      </c>
      <c r="AP977" s="96">
        <f>IF(U977=0,0,IF(AND(INDEX('MTRs'!$AX$6:$AX$505,T977)=1,Z977=0,OR(f_res="",f_res="(Todos)",C977=f_res)),1,0))</f>
        <v>0</v>
      </c>
      <c r="AQ977" s="97" t="str">
        <f>IF(U977=0,"",INDEX('MTRs'!$AZ$6:$AZ$505,T977))</f>
        <v/>
      </c>
      <c r="AR977" s="96">
        <f>IF(U977=0,0,IF(AND(INDEX('MTRs'!$BA$6:$BA$505,T977)=1,Z977=0),1,0))</f>
        <v>0</v>
      </c>
      <c r="AS977" s="96" t="str">
        <f>IF(R977=1,A977&amp;" | MTR "&amp;IF(U977=1,INDEX('MTRs'!$B$6:$B$505,T977)&amp;"","?")&amp;" | "&amp;IF(C977="","(sem resíduo)",C977),"")</f>
        <v/>
      </c>
      <c r="AT977" s="96" t="str">
        <f>IF(R977=1,COUNTIF($R$6:R977,1),"")</f>
        <v/>
      </c>
      <c r="AU977" s="96" t="str">
        <f>IF(U977=1,INDEX('MTRs'!$I$6:$I$505,T977)&amp;"","")</f>
        <v/>
      </c>
    </row>
    <row r="978">
      <c r="A978" s="89" t="inlineStr">
        <is>
          <t>IT-000973</t>
        </is>
      </c>
      <c r="B978" s="91" t="n"/>
      <c r="C978" s="91" t="n"/>
      <c r="D978" s="94" t="str">
        <f>IF(OR(R978=0,V978=0),"",INDEX('CAD_RESÍDUOS'!$E$6:$E$205,MATCH(C978,'CAD_RESÍDUOS'!$B$6:$B$205,0))&amp;"")</f>
        <v/>
      </c>
      <c r="E978" s="94" t="str">
        <f>IF(OR(R978=0,V978=0),"",INDEX('CAD_RESÍDUOS'!$C$6:$C$205,MATCH(C978,'CAD_RESÍDUOS'!$B$6:$B$205,0))&amp;"")</f>
        <v/>
      </c>
      <c r="F978" s="94" t="str">
        <f>IF(OR(R978=0,V978=0),"",INDEX('CAD_RESÍDUOS'!$G$6:$G$205,MATCH(C978,'CAD_RESÍDUOS'!$B$6:$B$205,0))&amp;"")</f>
        <v/>
      </c>
      <c r="G978" s="98" t="n"/>
      <c r="H978" s="91" t="n"/>
      <c r="I978" s="93" t="str">
        <f>IF(R978=0,"",IF(NOT(ISNUMBER(G978)),"",IF(ISNUMBER(X978),G978*X978,"UNIDADE A CONFERIR")))</f>
        <v/>
      </c>
      <c r="J978" s="91" t="n"/>
      <c r="K978" s="91" t="n"/>
      <c r="L978" s="93" t="str">
        <f>IF(R978=0,"",SUMIFS('RECEBIMENTOS'!$H$6:$H$1005,'RECEBIMENTOS'!$R$6:$R$1005,A978,'RECEBIMENTOS'!$X$6:$X$1005,1))</f>
        <v/>
      </c>
      <c r="M978" s="93" t="str">
        <f>IF(R978=0,"",SUMIFS('VÍNCULOS_CDF'!$H$6:$H$1005,'VÍNCULOS_CDF'!$R$6:$R$1005,A978,'VÍNCULOS_CDF'!$V$6:$V$1005,1))</f>
        <v/>
      </c>
      <c r="N978" s="99" t="str">
        <f>IF(OR(R978=0,AA978=0,NOT(ISNUMBER(I978))),"",I978-N(L978))</f>
        <v/>
      </c>
      <c r="O978" s="100" t="str">
        <f>IF(OR(R978=0,AK978&lt;=0),"",N(M978)/AK978)</f>
        <v/>
      </c>
      <c r="P978" s="94" t="str">
        <f>IF(R978=0,"",IF(S978="","Sem MTR associado",IF(U978=0,"MTR inexistente",IF(C978="","Resíduo não identificado",IF(V978=0,"Resíduo fora do cadastro",IF(W978=0,"Quantidade inválida",IF(H978="","Unidade não informada",IF(NOT(ISNUMBER(I978)),"Unidade a conferir",IF(AND(AH978=1,K978&lt;&gt;"Sim"),"Possível duplicidade",IF(Z978=1,"MTR cancelado",IF(AC978&gt;0,"Recebimento com alerta",IF(AA978=0,"Aguardando recebimento",IF(AB978&lt;AA978,"Recebimento a conferir",IF(AM978=1,"Quantidade a revisar",IF(AF978&gt;0,"Vínculo a revisar",IF(AD978=0,"Aguardando CDF",IF(AN978=0,"Vínculo de CDF parcial",IF(AE978&lt;AD978,"CDF a conferir","Documentação conferida"))))))))))))))))))</f>
        <v/>
      </c>
      <c r="Q978" s="93" t="str">
        <f>IF(OR(R978=0,AA978=0),"",MAX(0,N(L978)-N(M978)))</f>
        <v/>
      </c>
      <c r="R978" s="96">
        <f>IF(COUNTA(B978:C978,G978:H978,J978:K978)&gt;0,1,0)</f>
        <v>0</v>
      </c>
      <c r="S978" s="96" t="str">
        <f>IF(B978="","",TRIM(LEFT(B978,FIND(" |",B978&amp;" |")-1)))</f>
        <v/>
      </c>
      <c r="T978" s="96" t="str">
        <f>IF(S978="","",IFERROR(MATCH(S978,'MTRs'!$A$6:$A$505,0),""))</f>
        <v/>
      </c>
      <c r="U978" s="96">
        <f>IF(T978="",0,IF(INDEX('MTRs'!$Z$6:$Z$505,T978)=1,1,0))</f>
        <v>0</v>
      </c>
      <c r="V978" s="96">
        <f>IF(C978="",0,IF(ISNUMBER(MATCH(C978,'CAD_RESÍDUOS'!$B$6:$B$205,0)),1,0))</f>
        <v>0</v>
      </c>
      <c r="W978" s="96">
        <f>IF(AND(ISNUMBER(G978),G978&gt;0),1,0)</f>
        <v>0</v>
      </c>
      <c r="X978" s="96" t="str">
        <f>IF(H978="","",IFERROR(IF(ISNUMBER(INDEX(cfg_fac,MATCH(H978,cfg_units,0))),IF(INDEX(cfg_fac,MATCH(H978,cfg_units,0))&gt;0,INDEX(cfg_fac,MATCH(H978,cfg_units,0)),""),""),""))</f>
        <v/>
      </c>
      <c r="Y978" s="96">
        <f>IF(AND(W978=1,ISNUMBER(I978)),1,0)</f>
        <v>0</v>
      </c>
      <c r="Z978" s="96">
        <f>IF(U978=1,INDEX('MTRs'!$AA$6:$AA$505,T978),0)</f>
        <v>0</v>
      </c>
      <c r="AA978" s="96">
        <f>IF(R978=0,0,COUNTIFS('RECEBIMENTOS'!$R$6:$R$1005,A978,'RECEBIMENTOS'!$Q$6:$Q$1005,1))</f>
        <v>0</v>
      </c>
      <c r="AB978" s="96">
        <f>IF(R978=0,0,COUNTIFS('RECEBIMENTOS'!$R$6:$R$1005,A978,'RECEBIMENTOS'!$Z$6:$Z$1005,1))</f>
        <v>0</v>
      </c>
      <c r="AC978" s="96">
        <f>IF(R978=0,0,COUNTIFS('RECEBIMENTOS'!$R$6:$R$1005,A978,'RECEBIMENTOS'!$Y$6:$Y$1005,1))</f>
        <v>0</v>
      </c>
      <c r="AD978" s="96">
        <f>IF(R978=0,0,COUNTIFS('VÍNCULOS_CDF'!$R$6:$R$1005,A978,'VÍNCULOS_CDF'!$N$6:$N$1005,1))</f>
        <v>0</v>
      </c>
      <c r="AE978" s="96">
        <f>IF(R978=0,0,COUNTIFS('VÍNCULOS_CDF'!$R$6:$R$1005,A978,'VÍNCULOS_CDF'!$AA$6:$AA$1005,1))</f>
        <v>0</v>
      </c>
      <c r="AF978" s="96">
        <f>IF(R978=0,0,COUNTIFS('VÍNCULOS_CDF'!$R$6:$R$1005,A978,'VÍNCULOS_CDF'!$Y$6:$Y$1005,1))</f>
        <v>0</v>
      </c>
      <c r="AG978" s="96" t="str">
        <f>IF(AND(R978=1,S978&lt;&gt;"",C978&lt;&gt;""),S978&amp;"|"&amp;C978&amp;"|"&amp;G978&amp;"|"&amp;H978,"")</f>
        <v/>
      </c>
      <c r="AH978" s="96">
        <f>IF(AG978="",0,IF(SUMPRODUCT(--($AG$6:$AG$1005=AG978))&gt;1,1,0))</f>
        <v>0</v>
      </c>
      <c r="AI978" s="96">
        <f>IF(R978=0,0,IF(OR(U978=0,V978=0,Y978=0,AND(AH978=1,K978&lt;&gt;"Sim")),1,0))</f>
        <v>0</v>
      </c>
      <c r="AJ978" s="96">
        <f>IF(AND(R978=1,AA978&gt;0,AB978=AA978),1,0)</f>
        <v>0</v>
      </c>
      <c r="AK978" s="96">
        <f>IF(R978=0,0,IF(AA978&gt;0,N(L978),IF(ISNUMBER(I978),I978,0)))</f>
        <v>0</v>
      </c>
      <c r="AL978" s="96">
        <f>IF(R978=0,0,IF(AND(K978&lt;&gt;"Sim",N(M978)&gt;AK978+cfg_tol),1,0))</f>
        <v>0</v>
      </c>
      <c r="AM978" s="96">
        <f>IF(R978=0,0,IF(K978="Sim",0,IF(OR(AND(AA978&gt;0,ISNUMBER(I978),ABS(I978-N(L978))&gt;cfg_tol),AL978=1),1,0)))</f>
        <v>0</v>
      </c>
      <c r="AN978" s="96">
        <f>IF(AND(R978=1,N(M978)&gt;0,OR(N(M978)&gt;=AK978-cfg_tol,K978="Sim")),1,0)</f>
        <v>0</v>
      </c>
      <c r="AO978" s="96">
        <f>IF(AND(AN978=1,AD978&gt;0,AE978=AD978,AL978=0),1,0)</f>
        <v>0</v>
      </c>
      <c r="AP978" s="96">
        <f>IF(U978=0,0,IF(AND(INDEX('MTRs'!$AX$6:$AX$505,T978)=1,Z978=0,OR(f_res="",f_res="(Todos)",C978=f_res)),1,0))</f>
        <v>0</v>
      </c>
      <c r="AQ978" s="97" t="str">
        <f>IF(U978=0,"",INDEX('MTRs'!$AZ$6:$AZ$505,T978))</f>
        <v/>
      </c>
      <c r="AR978" s="96">
        <f>IF(U978=0,0,IF(AND(INDEX('MTRs'!$BA$6:$BA$505,T978)=1,Z978=0),1,0))</f>
        <v>0</v>
      </c>
      <c r="AS978" s="96" t="str">
        <f>IF(R978=1,A978&amp;" | MTR "&amp;IF(U978=1,INDEX('MTRs'!$B$6:$B$505,T978)&amp;"","?")&amp;" | "&amp;IF(C978="","(sem resíduo)",C978),"")</f>
        <v/>
      </c>
      <c r="AT978" s="96" t="str">
        <f>IF(R978=1,COUNTIF($R$6:R978,1),"")</f>
        <v/>
      </c>
      <c r="AU978" s="96" t="str">
        <f>IF(U978=1,INDEX('MTRs'!$I$6:$I$505,T978)&amp;"","")</f>
        <v/>
      </c>
    </row>
    <row r="979">
      <c r="A979" s="89" t="inlineStr">
        <is>
          <t>IT-000974</t>
        </is>
      </c>
      <c r="B979" s="91" t="n"/>
      <c r="C979" s="91" t="n"/>
      <c r="D979" s="94" t="str">
        <f>IF(OR(R979=0,V979=0),"",INDEX('CAD_RESÍDUOS'!$E$6:$E$205,MATCH(C979,'CAD_RESÍDUOS'!$B$6:$B$205,0))&amp;"")</f>
        <v/>
      </c>
      <c r="E979" s="94" t="str">
        <f>IF(OR(R979=0,V979=0),"",INDEX('CAD_RESÍDUOS'!$C$6:$C$205,MATCH(C979,'CAD_RESÍDUOS'!$B$6:$B$205,0))&amp;"")</f>
        <v/>
      </c>
      <c r="F979" s="94" t="str">
        <f>IF(OR(R979=0,V979=0),"",INDEX('CAD_RESÍDUOS'!$G$6:$G$205,MATCH(C979,'CAD_RESÍDUOS'!$B$6:$B$205,0))&amp;"")</f>
        <v/>
      </c>
      <c r="G979" s="98" t="n"/>
      <c r="H979" s="91" t="n"/>
      <c r="I979" s="93" t="str">
        <f>IF(R979=0,"",IF(NOT(ISNUMBER(G979)),"",IF(ISNUMBER(X979),G979*X979,"UNIDADE A CONFERIR")))</f>
        <v/>
      </c>
      <c r="J979" s="91" t="n"/>
      <c r="K979" s="91" t="n"/>
      <c r="L979" s="93" t="str">
        <f>IF(R979=0,"",SUMIFS('RECEBIMENTOS'!$H$6:$H$1005,'RECEBIMENTOS'!$R$6:$R$1005,A979,'RECEBIMENTOS'!$X$6:$X$1005,1))</f>
        <v/>
      </c>
      <c r="M979" s="93" t="str">
        <f>IF(R979=0,"",SUMIFS('VÍNCULOS_CDF'!$H$6:$H$1005,'VÍNCULOS_CDF'!$R$6:$R$1005,A979,'VÍNCULOS_CDF'!$V$6:$V$1005,1))</f>
        <v/>
      </c>
      <c r="N979" s="99" t="str">
        <f>IF(OR(R979=0,AA979=0,NOT(ISNUMBER(I979))),"",I979-N(L979))</f>
        <v/>
      </c>
      <c r="O979" s="100" t="str">
        <f>IF(OR(R979=0,AK979&lt;=0),"",N(M979)/AK979)</f>
        <v/>
      </c>
      <c r="P979" s="94" t="str">
        <f>IF(R979=0,"",IF(S979="","Sem MTR associado",IF(U979=0,"MTR inexistente",IF(C979="","Resíduo não identificado",IF(V979=0,"Resíduo fora do cadastro",IF(W979=0,"Quantidade inválida",IF(H979="","Unidade não informada",IF(NOT(ISNUMBER(I979)),"Unidade a conferir",IF(AND(AH979=1,K979&lt;&gt;"Sim"),"Possível duplicidade",IF(Z979=1,"MTR cancelado",IF(AC979&gt;0,"Recebimento com alerta",IF(AA979=0,"Aguardando recebimento",IF(AB979&lt;AA979,"Recebimento a conferir",IF(AM979=1,"Quantidade a revisar",IF(AF979&gt;0,"Vínculo a revisar",IF(AD979=0,"Aguardando CDF",IF(AN979=0,"Vínculo de CDF parcial",IF(AE979&lt;AD979,"CDF a conferir","Documentação conferida"))))))))))))))))))</f>
        <v/>
      </c>
      <c r="Q979" s="93" t="str">
        <f>IF(OR(R979=0,AA979=0),"",MAX(0,N(L979)-N(M979)))</f>
        <v/>
      </c>
      <c r="R979" s="96">
        <f>IF(COUNTA(B979:C979,G979:H979,J979:K979)&gt;0,1,0)</f>
        <v>0</v>
      </c>
      <c r="S979" s="96" t="str">
        <f>IF(B979="","",TRIM(LEFT(B979,FIND(" |",B979&amp;" |")-1)))</f>
        <v/>
      </c>
      <c r="T979" s="96" t="str">
        <f>IF(S979="","",IFERROR(MATCH(S979,'MTRs'!$A$6:$A$505,0),""))</f>
        <v/>
      </c>
      <c r="U979" s="96">
        <f>IF(T979="",0,IF(INDEX('MTRs'!$Z$6:$Z$505,T979)=1,1,0))</f>
        <v>0</v>
      </c>
      <c r="V979" s="96">
        <f>IF(C979="",0,IF(ISNUMBER(MATCH(C979,'CAD_RESÍDUOS'!$B$6:$B$205,0)),1,0))</f>
        <v>0</v>
      </c>
      <c r="W979" s="96">
        <f>IF(AND(ISNUMBER(G979),G979&gt;0),1,0)</f>
        <v>0</v>
      </c>
      <c r="X979" s="96" t="str">
        <f>IF(H979="","",IFERROR(IF(ISNUMBER(INDEX(cfg_fac,MATCH(H979,cfg_units,0))),IF(INDEX(cfg_fac,MATCH(H979,cfg_units,0))&gt;0,INDEX(cfg_fac,MATCH(H979,cfg_units,0)),""),""),""))</f>
        <v/>
      </c>
      <c r="Y979" s="96">
        <f>IF(AND(W979=1,ISNUMBER(I979)),1,0)</f>
        <v>0</v>
      </c>
      <c r="Z979" s="96">
        <f>IF(U979=1,INDEX('MTRs'!$AA$6:$AA$505,T979),0)</f>
        <v>0</v>
      </c>
      <c r="AA979" s="96">
        <f>IF(R979=0,0,COUNTIFS('RECEBIMENTOS'!$R$6:$R$1005,A979,'RECEBIMENTOS'!$Q$6:$Q$1005,1))</f>
        <v>0</v>
      </c>
      <c r="AB979" s="96">
        <f>IF(R979=0,0,COUNTIFS('RECEBIMENTOS'!$R$6:$R$1005,A979,'RECEBIMENTOS'!$Z$6:$Z$1005,1))</f>
        <v>0</v>
      </c>
      <c r="AC979" s="96">
        <f>IF(R979=0,0,COUNTIFS('RECEBIMENTOS'!$R$6:$R$1005,A979,'RECEBIMENTOS'!$Y$6:$Y$1005,1))</f>
        <v>0</v>
      </c>
      <c r="AD979" s="96">
        <f>IF(R979=0,0,COUNTIFS('VÍNCULOS_CDF'!$R$6:$R$1005,A979,'VÍNCULOS_CDF'!$N$6:$N$1005,1))</f>
        <v>0</v>
      </c>
      <c r="AE979" s="96">
        <f>IF(R979=0,0,COUNTIFS('VÍNCULOS_CDF'!$R$6:$R$1005,A979,'VÍNCULOS_CDF'!$AA$6:$AA$1005,1))</f>
        <v>0</v>
      </c>
      <c r="AF979" s="96">
        <f>IF(R979=0,0,COUNTIFS('VÍNCULOS_CDF'!$R$6:$R$1005,A979,'VÍNCULOS_CDF'!$Y$6:$Y$1005,1))</f>
        <v>0</v>
      </c>
      <c r="AG979" s="96" t="str">
        <f>IF(AND(R979=1,S979&lt;&gt;"",C979&lt;&gt;""),S979&amp;"|"&amp;C979&amp;"|"&amp;G979&amp;"|"&amp;H979,"")</f>
        <v/>
      </c>
      <c r="AH979" s="96">
        <f>IF(AG979="",0,IF(SUMPRODUCT(--($AG$6:$AG$1005=AG979))&gt;1,1,0))</f>
        <v>0</v>
      </c>
      <c r="AI979" s="96">
        <f>IF(R979=0,0,IF(OR(U979=0,V979=0,Y979=0,AND(AH979=1,K979&lt;&gt;"Sim")),1,0))</f>
        <v>0</v>
      </c>
      <c r="AJ979" s="96">
        <f>IF(AND(R979=1,AA979&gt;0,AB979=AA979),1,0)</f>
        <v>0</v>
      </c>
      <c r="AK979" s="96">
        <f>IF(R979=0,0,IF(AA979&gt;0,N(L979),IF(ISNUMBER(I979),I979,0)))</f>
        <v>0</v>
      </c>
      <c r="AL979" s="96">
        <f>IF(R979=0,0,IF(AND(K979&lt;&gt;"Sim",N(M979)&gt;AK979+cfg_tol),1,0))</f>
        <v>0</v>
      </c>
      <c r="AM979" s="96">
        <f>IF(R979=0,0,IF(K979="Sim",0,IF(OR(AND(AA979&gt;0,ISNUMBER(I979),ABS(I979-N(L979))&gt;cfg_tol),AL979=1),1,0)))</f>
        <v>0</v>
      </c>
      <c r="AN979" s="96">
        <f>IF(AND(R979=1,N(M979)&gt;0,OR(N(M979)&gt;=AK979-cfg_tol,K979="Sim")),1,0)</f>
        <v>0</v>
      </c>
      <c r="AO979" s="96">
        <f>IF(AND(AN979=1,AD979&gt;0,AE979=AD979,AL979=0),1,0)</f>
        <v>0</v>
      </c>
      <c r="AP979" s="96">
        <f>IF(U979=0,0,IF(AND(INDEX('MTRs'!$AX$6:$AX$505,T979)=1,Z979=0,OR(f_res="",f_res="(Todos)",C979=f_res)),1,0))</f>
        <v>0</v>
      </c>
      <c r="AQ979" s="97" t="str">
        <f>IF(U979=0,"",INDEX('MTRs'!$AZ$6:$AZ$505,T979))</f>
        <v/>
      </c>
      <c r="AR979" s="96">
        <f>IF(U979=0,0,IF(AND(INDEX('MTRs'!$BA$6:$BA$505,T979)=1,Z979=0),1,0))</f>
        <v>0</v>
      </c>
      <c r="AS979" s="96" t="str">
        <f>IF(R979=1,A979&amp;" | MTR "&amp;IF(U979=1,INDEX('MTRs'!$B$6:$B$505,T979)&amp;"","?")&amp;" | "&amp;IF(C979="","(sem resíduo)",C979),"")</f>
        <v/>
      </c>
      <c r="AT979" s="96" t="str">
        <f>IF(R979=1,COUNTIF($R$6:R979,1),"")</f>
        <v/>
      </c>
      <c r="AU979" s="96" t="str">
        <f>IF(U979=1,INDEX('MTRs'!$I$6:$I$505,T979)&amp;"","")</f>
        <v/>
      </c>
    </row>
    <row r="980">
      <c r="A980" s="89" t="inlineStr">
        <is>
          <t>IT-000975</t>
        </is>
      </c>
      <c r="B980" s="91" t="n"/>
      <c r="C980" s="91" t="n"/>
      <c r="D980" s="94" t="str">
        <f>IF(OR(R980=0,V980=0),"",INDEX('CAD_RESÍDUOS'!$E$6:$E$205,MATCH(C980,'CAD_RESÍDUOS'!$B$6:$B$205,0))&amp;"")</f>
        <v/>
      </c>
      <c r="E980" s="94" t="str">
        <f>IF(OR(R980=0,V980=0),"",INDEX('CAD_RESÍDUOS'!$C$6:$C$205,MATCH(C980,'CAD_RESÍDUOS'!$B$6:$B$205,0))&amp;"")</f>
        <v/>
      </c>
      <c r="F980" s="94" t="str">
        <f>IF(OR(R980=0,V980=0),"",INDEX('CAD_RESÍDUOS'!$G$6:$G$205,MATCH(C980,'CAD_RESÍDUOS'!$B$6:$B$205,0))&amp;"")</f>
        <v/>
      </c>
      <c r="G980" s="98" t="n"/>
      <c r="H980" s="91" t="n"/>
      <c r="I980" s="93" t="str">
        <f>IF(R980=0,"",IF(NOT(ISNUMBER(G980)),"",IF(ISNUMBER(X980),G980*X980,"UNIDADE A CONFERIR")))</f>
        <v/>
      </c>
      <c r="J980" s="91" t="n"/>
      <c r="K980" s="91" t="n"/>
      <c r="L980" s="93" t="str">
        <f>IF(R980=0,"",SUMIFS('RECEBIMENTOS'!$H$6:$H$1005,'RECEBIMENTOS'!$R$6:$R$1005,A980,'RECEBIMENTOS'!$X$6:$X$1005,1))</f>
        <v/>
      </c>
      <c r="M980" s="93" t="str">
        <f>IF(R980=0,"",SUMIFS('VÍNCULOS_CDF'!$H$6:$H$1005,'VÍNCULOS_CDF'!$R$6:$R$1005,A980,'VÍNCULOS_CDF'!$V$6:$V$1005,1))</f>
        <v/>
      </c>
      <c r="N980" s="99" t="str">
        <f>IF(OR(R980=0,AA980=0,NOT(ISNUMBER(I980))),"",I980-N(L980))</f>
        <v/>
      </c>
      <c r="O980" s="100" t="str">
        <f>IF(OR(R980=0,AK980&lt;=0),"",N(M980)/AK980)</f>
        <v/>
      </c>
      <c r="P980" s="94" t="str">
        <f>IF(R980=0,"",IF(S980="","Sem MTR associado",IF(U980=0,"MTR inexistente",IF(C980="","Resíduo não identificado",IF(V980=0,"Resíduo fora do cadastro",IF(W980=0,"Quantidade inválida",IF(H980="","Unidade não informada",IF(NOT(ISNUMBER(I980)),"Unidade a conferir",IF(AND(AH980=1,K980&lt;&gt;"Sim"),"Possível duplicidade",IF(Z980=1,"MTR cancelado",IF(AC980&gt;0,"Recebimento com alerta",IF(AA980=0,"Aguardando recebimento",IF(AB980&lt;AA980,"Recebimento a conferir",IF(AM980=1,"Quantidade a revisar",IF(AF980&gt;0,"Vínculo a revisar",IF(AD980=0,"Aguardando CDF",IF(AN980=0,"Vínculo de CDF parcial",IF(AE980&lt;AD980,"CDF a conferir","Documentação conferida"))))))))))))))))))</f>
        <v/>
      </c>
      <c r="Q980" s="93" t="str">
        <f>IF(OR(R980=0,AA980=0),"",MAX(0,N(L980)-N(M980)))</f>
        <v/>
      </c>
      <c r="R980" s="96">
        <f>IF(COUNTA(B980:C980,G980:H980,J980:K980)&gt;0,1,0)</f>
        <v>0</v>
      </c>
      <c r="S980" s="96" t="str">
        <f>IF(B980="","",TRIM(LEFT(B980,FIND(" |",B980&amp;" |")-1)))</f>
        <v/>
      </c>
      <c r="T980" s="96" t="str">
        <f>IF(S980="","",IFERROR(MATCH(S980,'MTRs'!$A$6:$A$505,0),""))</f>
        <v/>
      </c>
      <c r="U980" s="96">
        <f>IF(T980="",0,IF(INDEX('MTRs'!$Z$6:$Z$505,T980)=1,1,0))</f>
        <v>0</v>
      </c>
      <c r="V980" s="96">
        <f>IF(C980="",0,IF(ISNUMBER(MATCH(C980,'CAD_RESÍDUOS'!$B$6:$B$205,0)),1,0))</f>
        <v>0</v>
      </c>
      <c r="W980" s="96">
        <f>IF(AND(ISNUMBER(G980),G980&gt;0),1,0)</f>
        <v>0</v>
      </c>
      <c r="X980" s="96" t="str">
        <f>IF(H980="","",IFERROR(IF(ISNUMBER(INDEX(cfg_fac,MATCH(H980,cfg_units,0))),IF(INDEX(cfg_fac,MATCH(H980,cfg_units,0))&gt;0,INDEX(cfg_fac,MATCH(H980,cfg_units,0)),""),""),""))</f>
        <v/>
      </c>
      <c r="Y980" s="96">
        <f>IF(AND(W980=1,ISNUMBER(I980)),1,0)</f>
        <v>0</v>
      </c>
      <c r="Z980" s="96">
        <f>IF(U980=1,INDEX('MTRs'!$AA$6:$AA$505,T980),0)</f>
        <v>0</v>
      </c>
      <c r="AA980" s="96">
        <f>IF(R980=0,0,COUNTIFS('RECEBIMENTOS'!$R$6:$R$1005,A980,'RECEBIMENTOS'!$Q$6:$Q$1005,1))</f>
        <v>0</v>
      </c>
      <c r="AB980" s="96">
        <f>IF(R980=0,0,COUNTIFS('RECEBIMENTOS'!$R$6:$R$1005,A980,'RECEBIMENTOS'!$Z$6:$Z$1005,1))</f>
        <v>0</v>
      </c>
      <c r="AC980" s="96">
        <f>IF(R980=0,0,COUNTIFS('RECEBIMENTOS'!$R$6:$R$1005,A980,'RECEBIMENTOS'!$Y$6:$Y$1005,1))</f>
        <v>0</v>
      </c>
      <c r="AD980" s="96">
        <f>IF(R980=0,0,COUNTIFS('VÍNCULOS_CDF'!$R$6:$R$1005,A980,'VÍNCULOS_CDF'!$N$6:$N$1005,1))</f>
        <v>0</v>
      </c>
      <c r="AE980" s="96">
        <f>IF(R980=0,0,COUNTIFS('VÍNCULOS_CDF'!$R$6:$R$1005,A980,'VÍNCULOS_CDF'!$AA$6:$AA$1005,1))</f>
        <v>0</v>
      </c>
      <c r="AF980" s="96">
        <f>IF(R980=0,0,COUNTIFS('VÍNCULOS_CDF'!$R$6:$R$1005,A980,'VÍNCULOS_CDF'!$Y$6:$Y$1005,1))</f>
        <v>0</v>
      </c>
      <c r="AG980" s="96" t="str">
        <f>IF(AND(R980=1,S980&lt;&gt;"",C980&lt;&gt;""),S980&amp;"|"&amp;C980&amp;"|"&amp;G980&amp;"|"&amp;H980,"")</f>
        <v/>
      </c>
      <c r="AH980" s="96">
        <f>IF(AG980="",0,IF(SUMPRODUCT(--($AG$6:$AG$1005=AG980))&gt;1,1,0))</f>
        <v>0</v>
      </c>
      <c r="AI980" s="96">
        <f>IF(R980=0,0,IF(OR(U980=0,V980=0,Y980=0,AND(AH980=1,K980&lt;&gt;"Sim")),1,0))</f>
        <v>0</v>
      </c>
      <c r="AJ980" s="96">
        <f>IF(AND(R980=1,AA980&gt;0,AB980=AA980),1,0)</f>
        <v>0</v>
      </c>
      <c r="AK980" s="96">
        <f>IF(R980=0,0,IF(AA980&gt;0,N(L980),IF(ISNUMBER(I980),I980,0)))</f>
        <v>0</v>
      </c>
      <c r="AL980" s="96">
        <f>IF(R980=0,0,IF(AND(K980&lt;&gt;"Sim",N(M980)&gt;AK980+cfg_tol),1,0))</f>
        <v>0</v>
      </c>
      <c r="AM980" s="96">
        <f>IF(R980=0,0,IF(K980="Sim",0,IF(OR(AND(AA980&gt;0,ISNUMBER(I980),ABS(I980-N(L980))&gt;cfg_tol),AL980=1),1,0)))</f>
        <v>0</v>
      </c>
      <c r="AN980" s="96">
        <f>IF(AND(R980=1,N(M980)&gt;0,OR(N(M980)&gt;=AK980-cfg_tol,K980="Sim")),1,0)</f>
        <v>0</v>
      </c>
      <c r="AO980" s="96">
        <f>IF(AND(AN980=1,AD980&gt;0,AE980=AD980,AL980=0),1,0)</f>
        <v>0</v>
      </c>
      <c r="AP980" s="96">
        <f>IF(U980=0,0,IF(AND(INDEX('MTRs'!$AX$6:$AX$505,T980)=1,Z980=0,OR(f_res="",f_res="(Todos)",C980=f_res)),1,0))</f>
        <v>0</v>
      </c>
      <c r="AQ980" s="97" t="str">
        <f>IF(U980=0,"",INDEX('MTRs'!$AZ$6:$AZ$505,T980))</f>
        <v/>
      </c>
      <c r="AR980" s="96">
        <f>IF(U980=0,0,IF(AND(INDEX('MTRs'!$BA$6:$BA$505,T980)=1,Z980=0),1,0))</f>
        <v>0</v>
      </c>
      <c r="AS980" s="96" t="str">
        <f>IF(R980=1,A980&amp;" | MTR "&amp;IF(U980=1,INDEX('MTRs'!$B$6:$B$505,T980)&amp;"","?")&amp;" | "&amp;IF(C980="","(sem resíduo)",C980),"")</f>
        <v/>
      </c>
      <c r="AT980" s="96" t="str">
        <f>IF(R980=1,COUNTIF($R$6:R980,1),"")</f>
        <v/>
      </c>
      <c r="AU980" s="96" t="str">
        <f>IF(U980=1,INDEX('MTRs'!$I$6:$I$505,T980)&amp;"","")</f>
        <v/>
      </c>
    </row>
    <row r="981">
      <c r="A981" s="89" t="inlineStr">
        <is>
          <t>IT-000976</t>
        </is>
      </c>
      <c r="B981" s="91" t="n"/>
      <c r="C981" s="91" t="n"/>
      <c r="D981" s="94" t="str">
        <f>IF(OR(R981=0,V981=0),"",INDEX('CAD_RESÍDUOS'!$E$6:$E$205,MATCH(C981,'CAD_RESÍDUOS'!$B$6:$B$205,0))&amp;"")</f>
        <v/>
      </c>
      <c r="E981" s="94" t="str">
        <f>IF(OR(R981=0,V981=0),"",INDEX('CAD_RESÍDUOS'!$C$6:$C$205,MATCH(C981,'CAD_RESÍDUOS'!$B$6:$B$205,0))&amp;"")</f>
        <v/>
      </c>
      <c r="F981" s="94" t="str">
        <f>IF(OR(R981=0,V981=0),"",INDEX('CAD_RESÍDUOS'!$G$6:$G$205,MATCH(C981,'CAD_RESÍDUOS'!$B$6:$B$205,0))&amp;"")</f>
        <v/>
      </c>
      <c r="G981" s="98" t="n"/>
      <c r="H981" s="91" t="n"/>
      <c r="I981" s="93" t="str">
        <f>IF(R981=0,"",IF(NOT(ISNUMBER(G981)),"",IF(ISNUMBER(X981),G981*X981,"UNIDADE A CONFERIR")))</f>
        <v/>
      </c>
      <c r="J981" s="91" t="n"/>
      <c r="K981" s="91" t="n"/>
      <c r="L981" s="93" t="str">
        <f>IF(R981=0,"",SUMIFS('RECEBIMENTOS'!$H$6:$H$1005,'RECEBIMENTOS'!$R$6:$R$1005,A981,'RECEBIMENTOS'!$X$6:$X$1005,1))</f>
        <v/>
      </c>
      <c r="M981" s="93" t="str">
        <f>IF(R981=0,"",SUMIFS('VÍNCULOS_CDF'!$H$6:$H$1005,'VÍNCULOS_CDF'!$R$6:$R$1005,A981,'VÍNCULOS_CDF'!$V$6:$V$1005,1))</f>
        <v/>
      </c>
      <c r="N981" s="99" t="str">
        <f>IF(OR(R981=0,AA981=0,NOT(ISNUMBER(I981))),"",I981-N(L981))</f>
        <v/>
      </c>
      <c r="O981" s="100" t="str">
        <f>IF(OR(R981=0,AK981&lt;=0),"",N(M981)/AK981)</f>
        <v/>
      </c>
      <c r="P981" s="94" t="str">
        <f>IF(R981=0,"",IF(S981="","Sem MTR associado",IF(U981=0,"MTR inexistente",IF(C981="","Resíduo não identificado",IF(V981=0,"Resíduo fora do cadastro",IF(W981=0,"Quantidade inválida",IF(H981="","Unidade não informada",IF(NOT(ISNUMBER(I981)),"Unidade a conferir",IF(AND(AH981=1,K981&lt;&gt;"Sim"),"Possível duplicidade",IF(Z981=1,"MTR cancelado",IF(AC981&gt;0,"Recebimento com alerta",IF(AA981=0,"Aguardando recebimento",IF(AB981&lt;AA981,"Recebimento a conferir",IF(AM981=1,"Quantidade a revisar",IF(AF981&gt;0,"Vínculo a revisar",IF(AD981=0,"Aguardando CDF",IF(AN981=0,"Vínculo de CDF parcial",IF(AE981&lt;AD981,"CDF a conferir","Documentação conferida"))))))))))))))))))</f>
        <v/>
      </c>
      <c r="Q981" s="93" t="str">
        <f>IF(OR(R981=0,AA981=0),"",MAX(0,N(L981)-N(M981)))</f>
        <v/>
      </c>
      <c r="R981" s="96">
        <f>IF(COUNTA(B981:C981,G981:H981,J981:K981)&gt;0,1,0)</f>
        <v>0</v>
      </c>
      <c r="S981" s="96" t="str">
        <f>IF(B981="","",TRIM(LEFT(B981,FIND(" |",B981&amp;" |")-1)))</f>
        <v/>
      </c>
      <c r="T981" s="96" t="str">
        <f>IF(S981="","",IFERROR(MATCH(S981,'MTRs'!$A$6:$A$505,0),""))</f>
        <v/>
      </c>
      <c r="U981" s="96">
        <f>IF(T981="",0,IF(INDEX('MTRs'!$Z$6:$Z$505,T981)=1,1,0))</f>
        <v>0</v>
      </c>
      <c r="V981" s="96">
        <f>IF(C981="",0,IF(ISNUMBER(MATCH(C981,'CAD_RESÍDUOS'!$B$6:$B$205,0)),1,0))</f>
        <v>0</v>
      </c>
      <c r="W981" s="96">
        <f>IF(AND(ISNUMBER(G981),G981&gt;0),1,0)</f>
        <v>0</v>
      </c>
      <c r="X981" s="96" t="str">
        <f>IF(H981="","",IFERROR(IF(ISNUMBER(INDEX(cfg_fac,MATCH(H981,cfg_units,0))),IF(INDEX(cfg_fac,MATCH(H981,cfg_units,0))&gt;0,INDEX(cfg_fac,MATCH(H981,cfg_units,0)),""),""),""))</f>
        <v/>
      </c>
      <c r="Y981" s="96">
        <f>IF(AND(W981=1,ISNUMBER(I981)),1,0)</f>
        <v>0</v>
      </c>
      <c r="Z981" s="96">
        <f>IF(U981=1,INDEX('MTRs'!$AA$6:$AA$505,T981),0)</f>
        <v>0</v>
      </c>
      <c r="AA981" s="96">
        <f>IF(R981=0,0,COUNTIFS('RECEBIMENTOS'!$R$6:$R$1005,A981,'RECEBIMENTOS'!$Q$6:$Q$1005,1))</f>
        <v>0</v>
      </c>
      <c r="AB981" s="96">
        <f>IF(R981=0,0,COUNTIFS('RECEBIMENTOS'!$R$6:$R$1005,A981,'RECEBIMENTOS'!$Z$6:$Z$1005,1))</f>
        <v>0</v>
      </c>
      <c r="AC981" s="96">
        <f>IF(R981=0,0,COUNTIFS('RECEBIMENTOS'!$R$6:$R$1005,A981,'RECEBIMENTOS'!$Y$6:$Y$1005,1))</f>
        <v>0</v>
      </c>
      <c r="AD981" s="96">
        <f>IF(R981=0,0,COUNTIFS('VÍNCULOS_CDF'!$R$6:$R$1005,A981,'VÍNCULOS_CDF'!$N$6:$N$1005,1))</f>
        <v>0</v>
      </c>
      <c r="AE981" s="96">
        <f>IF(R981=0,0,COUNTIFS('VÍNCULOS_CDF'!$R$6:$R$1005,A981,'VÍNCULOS_CDF'!$AA$6:$AA$1005,1))</f>
        <v>0</v>
      </c>
      <c r="AF981" s="96">
        <f>IF(R981=0,0,COUNTIFS('VÍNCULOS_CDF'!$R$6:$R$1005,A981,'VÍNCULOS_CDF'!$Y$6:$Y$1005,1))</f>
        <v>0</v>
      </c>
      <c r="AG981" s="96" t="str">
        <f>IF(AND(R981=1,S981&lt;&gt;"",C981&lt;&gt;""),S981&amp;"|"&amp;C981&amp;"|"&amp;G981&amp;"|"&amp;H981,"")</f>
        <v/>
      </c>
      <c r="AH981" s="96">
        <f>IF(AG981="",0,IF(SUMPRODUCT(--($AG$6:$AG$1005=AG981))&gt;1,1,0))</f>
        <v>0</v>
      </c>
      <c r="AI981" s="96">
        <f>IF(R981=0,0,IF(OR(U981=0,V981=0,Y981=0,AND(AH981=1,K981&lt;&gt;"Sim")),1,0))</f>
        <v>0</v>
      </c>
      <c r="AJ981" s="96">
        <f>IF(AND(R981=1,AA981&gt;0,AB981=AA981),1,0)</f>
        <v>0</v>
      </c>
      <c r="AK981" s="96">
        <f>IF(R981=0,0,IF(AA981&gt;0,N(L981),IF(ISNUMBER(I981),I981,0)))</f>
        <v>0</v>
      </c>
      <c r="AL981" s="96">
        <f>IF(R981=0,0,IF(AND(K981&lt;&gt;"Sim",N(M981)&gt;AK981+cfg_tol),1,0))</f>
        <v>0</v>
      </c>
      <c r="AM981" s="96">
        <f>IF(R981=0,0,IF(K981="Sim",0,IF(OR(AND(AA981&gt;0,ISNUMBER(I981),ABS(I981-N(L981))&gt;cfg_tol),AL981=1),1,0)))</f>
        <v>0</v>
      </c>
      <c r="AN981" s="96">
        <f>IF(AND(R981=1,N(M981)&gt;0,OR(N(M981)&gt;=AK981-cfg_tol,K981="Sim")),1,0)</f>
        <v>0</v>
      </c>
      <c r="AO981" s="96">
        <f>IF(AND(AN981=1,AD981&gt;0,AE981=AD981,AL981=0),1,0)</f>
        <v>0</v>
      </c>
      <c r="AP981" s="96">
        <f>IF(U981=0,0,IF(AND(INDEX('MTRs'!$AX$6:$AX$505,T981)=1,Z981=0,OR(f_res="",f_res="(Todos)",C981=f_res)),1,0))</f>
        <v>0</v>
      </c>
      <c r="AQ981" s="97" t="str">
        <f>IF(U981=0,"",INDEX('MTRs'!$AZ$6:$AZ$505,T981))</f>
        <v/>
      </c>
      <c r="AR981" s="96">
        <f>IF(U981=0,0,IF(AND(INDEX('MTRs'!$BA$6:$BA$505,T981)=1,Z981=0),1,0))</f>
        <v>0</v>
      </c>
      <c r="AS981" s="96" t="str">
        <f>IF(R981=1,A981&amp;" | MTR "&amp;IF(U981=1,INDEX('MTRs'!$B$6:$B$505,T981)&amp;"","?")&amp;" | "&amp;IF(C981="","(sem resíduo)",C981),"")</f>
        <v/>
      </c>
      <c r="AT981" s="96" t="str">
        <f>IF(R981=1,COUNTIF($R$6:R981,1),"")</f>
        <v/>
      </c>
      <c r="AU981" s="96" t="str">
        <f>IF(U981=1,INDEX('MTRs'!$I$6:$I$505,T981)&amp;"","")</f>
        <v/>
      </c>
    </row>
    <row r="982">
      <c r="A982" s="89" t="inlineStr">
        <is>
          <t>IT-000977</t>
        </is>
      </c>
      <c r="B982" s="91" t="n"/>
      <c r="C982" s="91" t="n"/>
      <c r="D982" s="94" t="str">
        <f>IF(OR(R982=0,V982=0),"",INDEX('CAD_RESÍDUOS'!$E$6:$E$205,MATCH(C982,'CAD_RESÍDUOS'!$B$6:$B$205,0))&amp;"")</f>
        <v/>
      </c>
      <c r="E982" s="94" t="str">
        <f>IF(OR(R982=0,V982=0),"",INDEX('CAD_RESÍDUOS'!$C$6:$C$205,MATCH(C982,'CAD_RESÍDUOS'!$B$6:$B$205,0))&amp;"")</f>
        <v/>
      </c>
      <c r="F982" s="94" t="str">
        <f>IF(OR(R982=0,V982=0),"",INDEX('CAD_RESÍDUOS'!$G$6:$G$205,MATCH(C982,'CAD_RESÍDUOS'!$B$6:$B$205,0))&amp;"")</f>
        <v/>
      </c>
      <c r="G982" s="98" t="n"/>
      <c r="H982" s="91" t="n"/>
      <c r="I982" s="93" t="str">
        <f>IF(R982=0,"",IF(NOT(ISNUMBER(G982)),"",IF(ISNUMBER(X982),G982*X982,"UNIDADE A CONFERIR")))</f>
        <v/>
      </c>
      <c r="J982" s="91" t="n"/>
      <c r="K982" s="91" t="n"/>
      <c r="L982" s="93" t="str">
        <f>IF(R982=0,"",SUMIFS('RECEBIMENTOS'!$H$6:$H$1005,'RECEBIMENTOS'!$R$6:$R$1005,A982,'RECEBIMENTOS'!$X$6:$X$1005,1))</f>
        <v/>
      </c>
      <c r="M982" s="93" t="str">
        <f>IF(R982=0,"",SUMIFS('VÍNCULOS_CDF'!$H$6:$H$1005,'VÍNCULOS_CDF'!$R$6:$R$1005,A982,'VÍNCULOS_CDF'!$V$6:$V$1005,1))</f>
        <v/>
      </c>
      <c r="N982" s="99" t="str">
        <f>IF(OR(R982=0,AA982=0,NOT(ISNUMBER(I982))),"",I982-N(L982))</f>
        <v/>
      </c>
      <c r="O982" s="100" t="str">
        <f>IF(OR(R982=0,AK982&lt;=0),"",N(M982)/AK982)</f>
        <v/>
      </c>
      <c r="P982" s="94" t="str">
        <f>IF(R982=0,"",IF(S982="","Sem MTR associado",IF(U982=0,"MTR inexistente",IF(C982="","Resíduo não identificado",IF(V982=0,"Resíduo fora do cadastro",IF(W982=0,"Quantidade inválida",IF(H982="","Unidade não informada",IF(NOT(ISNUMBER(I982)),"Unidade a conferir",IF(AND(AH982=1,K982&lt;&gt;"Sim"),"Possível duplicidade",IF(Z982=1,"MTR cancelado",IF(AC982&gt;0,"Recebimento com alerta",IF(AA982=0,"Aguardando recebimento",IF(AB982&lt;AA982,"Recebimento a conferir",IF(AM982=1,"Quantidade a revisar",IF(AF982&gt;0,"Vínculo a revisar",IF(AD982=0,"Aguardando CDF",IF(AN982=0,"Vínculo de CDF parcial",IF(AE982&lt;AD982,"CDF a conferir","Documentação conferida"))))))))))))))))))</f>
        <v/>
      </c>
      <c r="Q982" s="93" t="str">
        <f>IF(OR(R982=0,AA982=0),"",MAX(0,N(L982)-N(M982)))</f>
        <v/>
      </c>
      <c r="R982" s="96">
        <f>IF(COUNTA(B982:C982,G982:H982,J982:K982)&gt;0,1,0)</f>
        <v>0</v>
      </c>
      <c r="S982" s="96" t="str">
        <f>IF(B982="","",TRIM(LEFT(B982,FIND(" |",B982&amp;" |")-1)))</f>
        <v/>
      </c>
      <c r="T982" s="96" t="str">
        <f>IF(S982="","",IFERROR(MATCH(S982,'MTRs'!$A$6:$A$505,0),""))</f>
        <v/>
      </c>
      <c r="U982" s="96">
        <f>IF(T982="",0,IF(INDEX('MTRs'!$Z$6:$Z$505,T982)=1,1,0))</f>
        <v>0</v>
      </c>
      <c r="V982" s="96">
        <f>IF(C982="",0,IF(ISNUMBER(MATCH(C982,'CAD_RESÍDUOS'!$B$6:$B$205,0)),1,0))</f>
        <v>0</v>
      </c>
      <c r="W982" s="96">
        <f>IF(AND(ISNUMBER(G982),G982&gt;0),1,0)</f>
        <v>0</v>
      </c>
      <c r="X982" s="96" t="str">
        <f>IF(H982="","",IFERROR(IF(ISNUMBER(INDEX(cfg_fac,MATCH(H982,cfg_units,0))),IF(INDEX(cfg_fac,MATCH(H982,cfg_units,0))&gt;0,INDEX(cfg_fac,MATCH(H982,cfg_units,0)),""),""),""))</f>
        <v/>
      </c>
      <c r="Y982" s="96">
        <f>IF(AND(W982=1,ISNUMBER(I982)),1,0)</f>
        <v>0</v>
      </c>
      <c r="Z982" s="96">
        <f>IF(U982=1,INDEX('MTRs'!$AA$6:$AA$505,T982),0)</f>
        <v>0</v>
      </c>
      <c r="AA982" s="96">
        <f>IF(R982=0,0,COUNTIFS('RECEBIMENTOS'!$R$6:$R$1005,A982,'RECEBIMENTOS'!$Q$6:$Q$1005,1))</f>
        <v>0</v>
      </c>
      <c r="AB982" s="96">
        <f>IF(R982=0,0,COUNTIFS('RECEBIMENTOS'!$R$6:$R$1005,A982,'RECEBIMENTOS'!$Z$6:$Z$1005,1))</f>
        <v>0</v>
      </c>
      <c r="AC982" s="96">
        <f>IF(R982=0,0,COUNTIFS('RECEBIMENTOS'!$R$6:$R$1005,A982,'RECEBIMENTOS'!$Y$6:$Y$1005,1))</f>
        <v>0</v>
      </c>
      <c r="AD982" s="96">
        <f>IF(R982=0,0,COUNTIFS('VÍNCULOS_CDF'!$R$6:$R$1005,A982,'VÍNCULOS_CDF'!$N$6:$N$1005,1))</f>
        <v>0</v>
      </c>
      <c r="AE982" s="96">
        <f>IF(R982=0,0,COUNTIFS('VÍNCULOS_CDF'!$R$6:$R$1005,A982,'VÍNCULOS_CDF'!$AA$6:$AA$1005,1))</f>
        <v>0</v>
      </c>
      <c r="AF982" s="96">
        <f>IF(R982=0,0,COUNTIFS('VÍNCULOS_CDF'!$R$6:$R$1005,A982,'VÍNCULOS_CDF'!$Y$6:$Y$1005,1))</f>
        <v>0</v>
      </c>
      <c r="AG982" s="96" t="str">
        <f>IF(AND(R982=1,S982&lt;&gt;"",C982&lt;&gt;""),S982&amp;"|"&amp;C982&amp;"|"&amp;G982&amp;"|"&amp;H982,"")</f>
        <v/>
      </c>
      <c r="AH982" s="96">
        <f>IF(AG982="",0,IF(SUMPRODUCT(--($AG$6:$AG$1005=AG982))&gt;1,1,0))</f>
        <v>0</v>
      </c>
      <c r="AI982" s="96">
        <f>IF(R982=0,0,IF(OR(U982=0,V982=0,Y982=0,AND(AH982=1,K982&lt;&gt;"Sim")),1,0))</f>
        <v>0</v>
      </c>
      <c r="AJ982" s="96">
        <f>IF(AND(R982=1,AA982&gt;0,AB982=AA982),1,0)</f>
        <v>0</v>
      </c>
      <c r="AK982" s="96">
        <f>IF(R982=0,0,IF(AA982&gt;0,N(L982),IF(ISNUMBER(I982),I982,0)))</f>
        <v>0</v>
      </c>
      <c r="AL982" s="96">
        <f>IF(R982=0,0,IF(AND(K982&lt;&gt;"Sim",N(M982)&gt;AK982+cfg_tol),1,0))</f>
        <v>0</v>
      </c>
      <c r="AM982" s="96">
        <f>IF(R982=0,0,IF(K982="Sim",0,IF(OR(AND(AA982&gt;0,ISNUMBER(I982),ABS(I982-N(L982))&gt;cfg_tol),AL982=1),1,0)))</f>
        <v>0</v>
      </c>
      <c r="AN982" s="96">
        <f>IF(AND(R982=1,N(M982)&gt;0,OR(N(M982)&gt;=AK982-cfg_tol,K982="Sim")),1,0)</f>
        <v>0</v>
      </c>
      <c r="AO982" s="96">
        <f>IF(AND(AN982=1,AD982&gt;0,AE982=AD982,AL982=0),1,0)</f>
        <v>0</v>
      </c>
      <c r="AP982" s="96">
        <f>IF(U982=0,0,IF(AND(INDEX('MTRs'!$AX$6:$AX$505,T982)=1,Z982=0,OR(f_res="",f_res="(Todos)",C982=f_res)),1,0))</f>
        <v>0</v>
      </c>
      <c r="AQ982" s="97" t="str">
        <f>IF(U982=0,"",INDEX('MTRs'!$AZ$6:$AZ$505,T982))</f>
        <v/>
      </c>
      <c r="AR982" s="96">
        <f>IF(U982=0,0,IF(AND(INDEX('MTRs'!$BA$6:$BA$505,T982)=1,Z982=0),1,0))</f>
        <v>0</v>
      </c>
      <c r="AS982" s="96" t="str">
        <f>IF(R982=1,A982&amp;" | MTR "&amp;IF(U982=1,INDEX('MTRs'!$B$6:$B$505,T982)&amp;"","?")&amp;" | "&amp;IF(C982="","(sem resíduo)",C982),"")</f>
        <v/>
      </c>
      <c r="AT982" s="96" t="str">
        <f>IF(R982=1,COUNTIF($R$6:R982,1),"")</f>
        <v/>
      </c>
      <c r="AU982" s="96" t="str">
        <f>IF(U982=1,INDEX('MTRs'!$I$6:$I$505,T982)&amp;"","")</f>
        <v/>
      </c>
    </row>
    <row r="983">
      <c r="A983" s="89" t="inlineStr">
        <is>
          <t>IT-000978</t>
        </is>
      </c>
      <c r="B983" s="91" t="n"/>
      <c r="C983" s="91" t="n"/>
      <c r="D983" s="94" t="str">
        <f>IF(OR(R983=0,V983=0),"",INDEX('CAD_RESÍDUOS'!$E$6:$E$205,MATCH(C983,'CAD_RESÍDUOS'!$B$6:$B$205,0))&amp;"")</f>
        <v/>
      </c>
      <c r="E983" s="94" t="str">
        <f>IF(OR(R983=0,V983=0),"",INDEX('CAD_RESÍDUOS'!$C$6:$C$205,MATCH(C983,'CAD_RESÍDUOS'!$B$6:$B$205,0))&amp;"")</f>
        <v/>
      </c>
      <c r="F983" s="94" t="str">
        <f>IF(OR(R983=0,V983=0),"",INDEX('CAD_RESÍDUOS'!$G$6:$G$205,MATCH(C983,'CAD_RESÍDUOS'!$B$6:$B$205,0))&amp;"")</f>
        <v/>
      </c>
      <c r="G983" s="98" t="n"/>
      <c r="H983" s="91" t="n"/>
      <c r="I983" s="93" t="str">
        <f>IF(R983=0,"",IF(NOT(ISNUMBER(G983)),"",IF(ISNUMBER(X983),G983*X983,"UNIDADE A CONFERIR")))</f>
        <v/>
      </c>
      <c r="J983" s="91" t="n"/>
      <c r="K983" s="91" t="n"/>
      <c r="L983" s="93" t="str">
        <f>IF(R983=0,"",SUMIFS('RECEBIMENTOS'!$H$6:$H$1005,'RECEBIMENTOS'!$R$6:$R$1005,A983,'RECEBIMENTOS'!$X$6:$X$1005,1))</f>
        <v/>
      </c>
      <c r="M983" s="93" t="str">
        <f>IF(R983=0,"",SUMIFS('VÍNCULOS_CDF'!$H$6:$H$1005,'VÍNCULOS_CDF'!$R$6:$R$1005,A983,'VÍNCULOS_CDF'!$V$6:$V$1005,1))</f>
        <v/>
      </c>
      <c r="N983" s="99" t="str">
        <f>IF(OR(R983=0,AA983=0,NOT(ISNUMBER(I983))),"",I983-N(L983))</f>
        <v/>
      </c>
      <c r="O983" s="100" t="str">
        <f>IF(OR(R983=0,AK983&lt;=0),"",N(M983)/AK983)</f>
        <v/>
      </c>
      <c r="P983" s="94" t="str">
        <f>IF(R983=0,"",IF(S983="","Sem MTR associado",IF(U983=0,"MTR inexistente",IF(C983="","Resíduo não identificado",IF(V983=0,"Resíduo fora do cadastro",IF(W983=0,"Quantidade inválida",IF(H983="","Unidade não informada",IF(NOT(ISNUMBER(I983)),"Unidade a conferir",IF(AND(AH983=1,K983&lt;&gt;"Sim"),"Possível duplicidade",IF(Z983=1,"MTR cancelado",IF(AC983&gt;0,"Recebimento com alerta",IF(AA983=0,"Aguardando recebimento",IF(AB983&lt;AA983,"Recebimento a conferir",IF(AM983=1,"Quantidade a revisar",IF(AF983&gt;0,"Vínculo a revisar",IF(AD983=0,"Aguardando CDF",IF(AN983=0,"Vínculo de CDF parcial",IF(AE983&lt;AD983,"CDF a conferir","Documentação conferida"))))))))))))))))))</f>
        <v/>
      </c>
      <c r="Q983" s="93" t="str">
        <f>IF(OR(R983=0,AA983=0),"",MAX(0,N(L983)-N(M983)))</f>
        <v/>
      </c>
      <c r="R983" s="96">
        <f>IF(COUNTA(B983:C983,G983:H983,J983:K983)&gt;0,1,0)</f>
        <v>0</v>
      </c>
      <c r="S983" s="96" t="str">
        <f>IF(B983="","",TRIM(LEFT(B983,FIND(" |",B983&amp;" |")-1)))</f>
        <v/>
      </c>
      <c r="T983" s="96" t="str">
        <f>IF(S983="","",IFERROR(MATCH(S983,'MTRs'!$A$6:$A$505,0),""))</f>
        <v/>
      </c>
      <c r="U983" s="96">
        <f>IF(T983="",0,IF(INDEX('MTRs'!$Z$6:$Z$505,T983)=1,1,0))</f>
        <v>0</v>
      </c>
      <c r="V983" s="96">
        <f>IF(C983="",0,IF(ISNUMBER(MATCH(C983,'CAD_RESÍDUOS'!$B$6:$B$205,0)),1,0))</f>
        <v>0</v>
      </c>
      <c r="W983" s="96">
        <f>IF(AND(ISNUMBER(G983),G983&gt;0),1,0)</f>
        <v>0</v>
      </c>
      <c r="X983" s="96" t="str">
        <f>IF(H983="","",IFERROR(IF(ISNUMBER(INDEX(cfg_fac,MATCH(H983,cfg_units,0))),IF(INDEX(cfg_fac,MATCH(H983,cfg_units,0))&gt;0,INDEX(cfg_fac,MATCH(H983,cfg_units,0)),""),""),""))</f>
        <v/>
      </c>
      <c r="Y983" s="96">
        <f>IF(AND(W983=1,ISNUMBER(I983)),1,0)</f>
        <v>0</v>
      </c>
      <c r="Z983" s="96">
        <f>IF(U983=1,INDEX('MTRs'!$AA$6:$AA$505,T983),0)</f>
        <v>0</v>
      </c>
      <c r="AA983" s="96">
        <f>IF(R983=0,0,COUNTIFS('RECEBIMENTOS'!$R$6:$R$1005,A983,'RECEBIMENTOS'!$Q$6:$Q$1005,1))</f>
        <v>0</v>
      </c>
      <c r="AB983" s="96">
        <f>IF(R983=0,0,COUNTIFS('RECEBIMENTOS'!$R$6:$R$1005,A983,'RECEBIMENTOS'!$Z$6:$Z$1005,1))</f>
        <v>0</v>
      </c>
      <c r="AC983" s="96">
        <f>IF(R983=0,0,COUNTIFS('RECEBIMENTOS'!$R$6:$R$1005,A983,'RECEBIMENTOS'!$Y$6:$Y$1005,1))</f>
        <v>0</v>
      </c>
      <c r="AD983" s="96">
        <f>IF(R983=0,0,COUNTIFS('VÍNCULOS_CDF'!$R$6:$R$1005,A983,'VÍNCULOS_CDF'!$N$6:$N$1005,1))</f>
        <v>0</v>
      </c>
      <c r="AE983" s="96">
        <f>IF(R983=0,0,COUNTIFS('VÍNCULOS_CDF'!$R$6:$R$1005,A983,'VÍNCULOS_CDF'!$AA$6:$AA$1005,1))</f>
        <v>0</v>
      </c>
      <c r="AF983" s="96">
        <f>IF(R983=0,0,COUNTIFS('VÍNCULOS_CDF'!$R$6:$R$1005,A983,'VÍNCULOS_CDF'!$Y$6:$Y$1005,1))</f>
        <v>0</v>
      </c>
      <c r="AG983" s="96" t="str">
        <f>IF(AND(R983=1,S983&lt;&gt;"",C983&lt;&gt;""),S983&amp;"|"&amp;C983&amp;"|"&amp;G983&amp;"|"&amp;H983,"")</f>
        <v/>
      </c>
      <c r="AH983" s="96">
        <f>IF(AG983="",0,IF(SUMPRODUCT(--($AG$6:$AG$1005=AG983))&gt;1,1,0))</f>
        <v>0</v>
      </c>
      <c r="AI983" s="96">
        <f>IF(R983=0,0,IF(OR(U983=0,V983=0,Y983=0,AND(AH983=1,K983&lt;&gt;"Sim")),1,0))</f>
        <v>0</v>
      </c>
      <c r="AJ983" s="96">
        <f>IF(AND(R983=1,AA983&gt;0,AB983=AA983),1,0)</f>
        <v>0</v>
      </c>
      <c r="AK983" s="96">
        <f>IF(R983=0,0,IF(AA983&gt;0,N(L983),IF(ISNUMBER(I983),I983,0)))</f>
        <v>0</v>
      </c>
      <c r="AL983" s="96">
        <f>IF(R983=0,0,IF(AND(K983&lt;&gt;"Sim",N(M983)&gt;AK983+cfg_tol),1,0))</f>
        <v>0</v>
      </c>
      <c r="AM983" s="96">
        <f>IF(R983=0,0,IF(K983="Sim",0,IF(OR(AND(AA983&gt;0,ISNUMBER(I983),ABS(I983-N(L983))&gt;cfg_tol),AL983=1),1,0)))</f>
        <v>0</v>
      </c>
      <c r="AN983" s="96">
        <f>IF(AND(R983=1,N(M983)&gt;0,OR(N(M983)&gt;=AK983-cfg_tol,K983="Sim")),1,0)</f>
        <v>0</v>
      </c>
      <c r="AO983" s="96">
        <f>IF(AND(AN983=1,AD983&gt;0,AE983=AD983,AL983=0),1,0)</f>
        <v>0</v>
      </c>
      <c r="AP983" s="96">
        <f>IF(U983=0,0,IF(AND(INDEX('MTRs'!$AX$6:$AX$505,T983)=1,Z983=0,OR(f_res="",f_res="(Todos)",C983=f_res)),1,0))</f>
        <v>0</v>
      </c>
      <c r="AQ983" s="97" t="str">
        <f>IF(U983=0,"",INDEX('MTRs'!$AZ$6:$AZ$505,T983))</f>
        <v/>
      </c>
      <c r="AR983" s="96">
        <f>IF(U983=0,0,IF(AND(INDEX('MTRs'!$BA$6:$BA$505,T983)=1,Z983=0),1,0))</f>
        <v>0</v>
      </c>
      <c r="AS983" s="96" t="str">
        <f>IF(R983=1,A983&amp;" | MTR "&amp;IF(U983=1,INDEX('MTRs'!$B$6:$B$505,T983)&amp;"","?")&amp;" | "&amp;IF(C983="","(sem resíduo)",C983),"")</f>
        <v/>
      </c>
      <c r="AT983" s="96" t="str">
        <f>IF(R983=1,COUNTIF($R$6:R983,1),"")</f>
        <v/>
      </c>
      <c r="AU983" s="96" t="str">
        <f>IF(U983=1,INDEX('MTRs'!$I$6:$I$505,T983)&amp;"","")</f>
        <v/>
      </c>
    </row>
    <row r="984">
      <c r="A984" s="89" t="inlineStr">
        <is>
          <t>IT-000979</t>
        </is>
      </c>
      <c r="B984" s="91" t="n"/>
      <c r="C984" s="91" t="n"/>
      <c r="D984" s="94" t="str">
        <f>IF(OR(R984=0,V984=0),"",INDEX('CAD_RESÍDUOS'!$E$6:$E$205,MATCH(C984,'CAD_RESÍDUOS'!$B$6:$B$205,0))&amp;"")</f>
        <v/>
      </c>
      <c r="E984" s="94" t="str">
        <f>IF(OR(R984=0,V984=0),"",INDEX('CAD_RESÍDUOS'!$C$6:$C$205,MATCH(C984,'CAD_RESÍDUOS'!$B$6:$B$205,0))&amp;"")</f>
        <v/>
      </c>
      <c r="F984" s="94" t="str">
        <f>IF(OR(R984=0,V984=0),"",INDEX('CAD_RESÍDUOS'!$G$6:$G$205,MATCH(C984,'CAD_RESÍDUOS'!$B$6:$B$205,0))&amp;"")</f>
        <v/>
      </c>
      <c r="G984" s="98" t="n"/>
      <c r="H984" s="91" t="n"/>
      <c r="I984" s="93" t="str">
        <f>IF(R984=0,"",IF(NOT(ISNUMBER(G984)),"",IF(ISNUMBER(X984),G984*X984,"UNIDADE A CONFERIR")))</f>
        <v/>
      </c>
      <c r="J984" s="91" t="n"/>
      <c r="K984" s="91" t="n"/>
      <c r="L984" s="93" t="str">
        <f>IF(R984=0,"",SUMIFS('RECEBIMENTOS'!$H$6:$H$1005,'RECEBIMENTOS'!$R$6:$R$1005,A984,'RECEBIMENTOS'!$X$6:$X$1005,1))</f>
        <v/>
      </c>
      <c r="M984" s="93" t="str">
        <f>IF(R984=0,"",SUMIFS('VÍNCULOS_CDF'!$H$6:$H$1005,'VÍNCULOS_CDF'!$R$6:$R$1005,A984,'VÍNCULOS_CDF'!$V$6:$V$1005,1))</f>
        <v/>
      </c>
      <c r="N984" s="99" t="str">
        <f>IF(OR(R984=0,AA984=0,NOT(ISNUMBER(I984))),"",I984-N(L984))</f>
        <v/>
      </c>
      <c r="O984" s="100" t="str">
        <f>IF(OR(R984=0,AK984&lt;=0),"",N(M984)/AK984)</f>
        <v/>
      </c>
      <c r="P984" s="94" t="str">
        <f>IF(R984=0,"",IF(S984="","Sem MTR associado",IF(U984=0,"MTR inexistente",IF(C984="","Resíduo não identificado",IF(V984=0,"Resíduo fora do cadastro",IF(W984=0,"Quantidade inválida",IF(H984="","Unidade não informada",IF(NOT(ISNUMBER(I984)),"Unidade a conferir",IF(AND(AH984=1,K984&lt;&gt;"Sim"),"Possível duplicidade",IF(Z984=1,"MTR cancelado",IF(AC984&gt;0,"Recebimento com alerta",IF(AA984=0,"Aguardando recebimento",IF(AB984&lt;AA984,"Recebimento a conferir",IF(AM984=1,"Quantidade a revisar",IF(AF984&gt;0,"Vínculo a revisar",IF(AD984=0,"Aguardando CDF",IF(AN984=0,"Vínculo de CDF parcial",IF(AE984&lt;AD984,"CDF a conferir","Documentação conferida"))))))))))))))))))</f>
        <v/>
      </c>
      <c r="Q984" s="93" t="str">
        <f>IF(OR(R984=0,AA984=0),"",MAX(0,N(L984)-N(M984)))</f>
        <v/>
      </c>
      <c r="R984" s="96">
        <f>IF(COUNTA(B984:C984,G984:H984,J984:K984)&gt;0,1,0)</f>
        <v>0</v>
      </c>
      <c r="S984" s="96" t="str">
        <f>IF(B984="","",TRIM(LEFT(B984,FIND(" |",B984&amp;" |")-1)))</f>
        <v/>
      </c>
      <c r="T984" s="96" t="str">
        <f>IF(S984="","",IFERROR(MATCH(S984,'MTRs'!$A$6:$A$505,0),""))</f>
        <v/>
      </c>
      <c r="U984" s="96">
        <f>IF(T984="",0,IF(INDEX('MTRs'!$Z$6:$Z$505,T984)=1,1,0))</f>
        <v>0</v>
      </c>
      <c r="V984" s="96">
        <f>IF(C984="",0,IF(ISNUMBER(MATCH(C984,'CAD_RESÍDUOS'!$B$6:$B$205,0)),1,0))</f>
        <v>0</v>
      </c>
      <c r="W984" s="96">
        <f>IF(AND(ISNUMBER(G984),G984&gt;0),1,0)</f>
        <v>0</v>
      </c>
      <c r="X984" s="96" t="str">
        <f>IF(H984="","",IFERROR(IF(ISNUMBER(INDEX(cfg_fac,MATCH(H984,cfg_units,0))),IF(INDEX(cfg_fac,MATCH(H984,cfg_units,0))&gt;0,INDEX(cfg_fac,MATCH(H984,cfg_units,0)),""),""),""))</f>
        <v/>
      </c>
      <c r="Y984" s="96">
        <f>IF(AND(W984=1,ISNUMBER(I984)),1,0)</f>
        <v>0</v>
      </c>
      <c r="Z984" s="96">
        <f>IF(U984=1,INDEX('MTRs'!$AA$6:$AA$505,T984),0)</f>
        <v>0</v>
      </c>
      <c r="AA984" s="96">
        <f>IF(R984=0,0,COUNTIFS('RECEBIMENTOS'!$R$6:$R$1005,A984,'RECEBIMENTOS'!$Q$6:$Q$1005,1))</f>
        <v>0</v>
      </c>
      <c r="AB984" s="96">
        <f>IF(R984=0,0,COUNTIFS('RECEBIMENTOS'!$R$6:$R$1005,A984,'RECEBIMENTOS'!$Z$6:$Z$1005,1))</f>
        <v>0</v>
      </c>
      <c r="AC984" s="96">
        <f>IF(R984=0,0,COUNTIFS('RECEBIMENTOS'!$R$6:$R$1005,A984,'RECEBIMENTOS'!$Y$6:$Y$1005,1))</f>
        <v>0</v>
      </c>
      <c r="AD984" s="96">
        <f>IF(R984=0,0,COUNTIFS('VÍNCULOS_CDF'!$R$6:$R$1005,A984,'VÍNCULOS_CDF'!$N$6:$N$1005,1))</f>
        <v>0</v>
      </c>
      <c r="AE984" s="96">
        <f>IF(R984=0,0,COUNTIFS('VÍNCULOS_CDF'!$R$6:$R$1005,A984,'VÍNCULOS_CDF'!$AA$6:$AA$1005,1))</f>
        <v>0</v>
      </c>
      <c r="AF984" s="96">
        <f>IF(R984=0,0,COUNTIFS('VÍNCULOS_CDF'!$R$6:$R$1005,A984,'VÍNCULOS_CDF'!$Y$6:$Y$1005,1))</f>
        <v>0</v>
      </c>
      <c r="AG984" s="96" t="str">
        <f>IF(AND(R984=1,S984&lt;&gt;"",C984&lt;&gt;""),S984&amp;"|"&amp;C984&amp;"|"&amp;G984&amp;"|"&amp;H984,"")</f>
        <v/>
      </c>
      <c r="AH984" s="96">
        <f>IF(AG984="",0,IF(SUMPRODUCT(--($AG$6:$AG$1005=AG984))&gt;1,1,0))</f>
        <v>0</v>
      </c>
      <c r="AI984" s="96">
        <f>IF(R984=0,0,IF(OR(U984=0,V984=0,Y984=0,AND(AH984=1,K984&lt;&gt;"Sim")),1,0))</f>
        <v>0</v>
      </c>
      <c r="AJ984" s="96">
        <f>IF(AND(R984=1,AA984&gt;0,AB984=AA984),1,0)</f>
        <v>0</v>
      </c>
      <c r="AK984" s="96">
        <f>IF(R984=0,0,IF(AA984&gt;0,N(L984),IF(ISNUMBER(I984),I984,0)))</f>
        <v>0</v>
      </c>
      <c r="AL984" s="96">
        <f>IF(R984=0,0,IF(AND(K984&lt;&gt;"Sim",N(M984)&gt;AK984+cfg_tol),1,0))</f>
        <v>0</v>
      </c>
      <c r="AM984" s="96">
        <f>IF(R984=0,0,IF(K984="Sim",0,IF(OR(AND(AA984&gt;0,ISNUMBER(I984),ABS(I984-N(L984))&gt;cfg_tol),AL984=1),1,0)))</f>
        <v>0</v>
      </c>
      <c r="AN984" s="96">
        <f>IF(AND(R984=1,N(M984)&gt;0,OR(N(M984)&gt;=AK984-cfg_tol,K984="Sim")),1,0)</f>
        <v>0</v>
      </c>
      <c r="AO984" s="96">
        <f>IF(AND(AN984=1,AD984&gt;0,AE984=AD984,AL984=0),1,0)</f>
        <v>0</v>
      </c>
      <c r="AP984" s="96">
        <f>IF(U984=0,0,IF(AND(INDEX('MTRs'!$AX$6:$AX$505,T984)=1,Z984=0,OR(f_res="",f_res="(Todos)",C984=f_res)),1,0))</f>
        <v>0</v>
      </c>
      <c r="AQ984" s="97" t="str">
        <f>IF(U984=0,"",INDEX('MTRs'!$AZ$6:$AZ$505,T984))</f>
        <v/>
      </c>
      <c r="AR984" s="96">
        <f>IF(U984=0,0,IF(AND(INDEX('MTRs'!$BA$6:$BA$505,T984)=1,Z984=0),1,0))</f>
        <v>0</v>
      </c>
      <c r="AS984" s="96" t="str">
        <f>IF(R984=1,A984&amp;" | MTR "&amp;IF(U984=1,INDEX('MTRs'!$B$6:$B$505,T984)&amp;"","?")&amp;" | "&amp;IF(C984="","(sem resíduo)",C984),"")</f>
        <v/>
      </c>
      <c r="AT984" s="96" t="str">
        <f>IF(R984=1,COUNTIF($R$6:R984,1),"")</f>
        <v/>
      </c>
      <c r="AU984" s="96" t="str">
        <f>IF(U984=1,INDEX('MTRs'!$I$6:$I$505,T984)&amp;"","")</f>
        <v/>
      </c>
    </row>
    <row r="985">
      <c r="A985" s="89" t="inlineStr">
        <is>
          <t>IT-000980</t>
        </is>
      </c>
      <c r="B985" s="91" t="n"/>
      <c r="C985" s="91" t="n"/>
      <c r="D985" s="94" t="str">
        <f>IF(OR(R985=0,V985=0),"",INDEX('CAD_RESÍDUOS'!$E$6:$E$205,MATCH(C985,'CAD_RESÍDUOS'!$B$6:$B$205,0))&amp;"")</f>
        <v/>
      </c>
      <c r="E985" s="94" t="str">
        <f>IF(OR(R985=0,V985=0),"",INDEX('CAD_RESÍDUOS'!$C$6:$C$205,MATCH(C985,'CAD_RESÍDUOS'!$B$6:$B$205,0))&amp;"")</f>
        <v/>
      </c>
      <c r="F985" s="94" t="str">
        <f>IF(OR(R985=0,V985=0),"",INDEX('CAD_RESÍDUOS'!$G$6:$G$205,MATCH(C985,'CAD_RESÍDUOS'!$B$6:$B$205,0))&amp;"")</f>
        <v/>
      </c>
      <c r="G985" s="98" t="n"/>
      <c r="H985" s="91" t="n"/>
      <c r="I985" s="93" t="str">
        <f>IF(R985=0,"",IF(NOT(ISNUMBER(G985)),"",IF(ISNUMBER(X985),G985*X985,"UNIDADE A CONFERIR")))</f>
        <v/>
      </c>
      <c r="J985" s="91" t="n"/>
      <c r="K985" s="91" t="n"/>
      <c r="L985" s="93" t="str">
        <f>IF(R985=0,"",SUMIFS('RECEBIMENTOS'!$H$6:$H$1005,'RECEBIMENTOS'!$R$6:$R$1005,A985,'RECEBIMENTOS'!$X$6:$X$1005,1))</f>
        <v/>
      </c>
      <c r="M985" s="93" t="str">
        <f>IF(R985=0,"",SUMIFS('VÍNCULOS_CDF'!$H$6:$H$1005,'VÍNCULOS_CDF'!$R$6:$R$1005,A985,'VÍNCULOS_CDF'!$V$6:$V$1005,1))</f>
        <v/>
      </c>
      <c r="N985" s="99" t="str">
        <f>IF(OR(R985=0,AA985=0,NOT(ISNUMBER(I985))),"",I985-N(L985))</f>
        <v/>
      </c>
      <c r="O985" s="100" t="str">
        <f>IF(OR(R985=0,AK985&lt;=0),"",N(M985)/AK985)</f>
        <v/>
      </c>
      <c r="P985" s="94" t="str">
        <f>IF(R985=0,"",IF(S985="","Sem MTR associado",IF(U985=0,"MTR inexistente",IF(C985="","Resíduo não identificado",IF(V985=0,"Resíduo fora do cadastro",IF(W985=0,"Quantidade inválida",IF(H985="","Unidade não informada",IF(NOT(ISNUMBER(I985)),"Unidade a conferir",IF(AND(AH985=1,K985&lt;&gt;"Sim"),"Possível duplicidade",IF(Z985=1,"MTR cancelado",IF(AC985&gt;0,"Recebimento com alerta",IF(AA985=0,"Aguardando recebimento",IF(AB985&lt;AA985,"Recebimento a conferir",IF(AM985=1,"Quantidade a revisar",IF(AF985&gt;0,"Vínculo a revisar",IF(AD985=0,"Aguardando CDF",IF(AN985=0,"Vínculo de CDF parcial",IF(AE985&lt;AD985,"CDF a conferir","Documentação conferida"))))))))))))))))))</f>
        <v/>
      </c>
      <c r="Q985" s="93" t="str">
        <f>IF(OR(R985=0,AA985=0),"",MAX(0,N(L985)-N(M985)))</f>
        <v/>
      </c>
      <c r="R985" s="96">
        <f>IF(COUNTA(B985:C985,G985:H985,J985:K985)&gt;0,1,0)</f>
        <v>0</v>
      </c>
      <c r="S985" s="96" t="str">
        <f>IF(B985="","",TRIM(LEFT(B985,FIND(" |",B985&amp;" |")-1)))</f>
        <v/>
      </c>
      <c r="T985" s="96" t="str">
        <f>IF(S985="","",IFERROR(MATCH(S985,'MTRs'!$A$6:$A$505,0),""))</f>
        <v/>
      </c>
      <c r="U985" s="96">
        <f>IF(T985="",0,IF(INDEX('MTRs'!$Z$6:$Z$505,T985)=1,1,0))</f>
        <v>0</v>
      </c>
      <c r="V985" s="96">
        <f>IF(C985="",0,IF(ISNUMBER(MATCH(C985,'CAD_RESÍDUOS'!$B$6:$B$205,0)),1,0))</f>
        <v>0</v>
      </c>
      <c r="W985" s="96">
        <f>IF(AND(ISNUMBER(G985),G985&gt;0),1,0)</f>
        <v>0</v>
      </c>
      <c r="X985" s="96" t="str">
        <f>IF(H985="","",IFERROR(IF(ISNUMBER(INDEX(cfg_fac,MATCH(H985,cfg_units,0))),IF(INDEX(cfg_fac,MATCH(H985,cfg_units,0))&gt;0,INDEX(cfg_fac,MATCH(H985,cfg_units,0)),""),""),""))</f>
        <v/>
      </c>
      <c r="Y985" s="96">
        <f>IF(AND(W985=1,ISNUMBER(I985)),1,0)</f>
        <v>0</v>
      </c>
      <c r="Z985" s="96">
        <f>IF(U985=1,INDEX('MTRs'!$AA$6:$AA$505,T985),0)</f>
        <v>0</v>
      </c>
      <c r="AA985" s="96">
        <f>IF(R985=0,0,COUNTIFS('RECEBIMENTOS'!$R$6:$R$1005,A985,'RECEBIMENTOS'!$Q$6:$Q$1005,1))</f>
        <v>0</v>
      </c>
      <c r="AB985" s="96">
        <f>IF(R985=0,0,COUNTIFS('RECEBIMENTOS'!$R$6:$R$1005,A985,'RECEBIMENTOS'!$Z$6:$Z$1005,1))</f>
        <v>0</v>
      </c>
      <c r="AC985" s="96">
        <f>IF(R985=0,0,COUNTIFS('RECEBIMENTOS'!$R$6:$R$1005,A985,'RECEBIMENTOS'!$Y$6:$Y$1005,1))</f>
        <v>0</v>
      </c>
      <c r="AD985" s="96">
        <f>IF(R985=0,0,COUNTIFS('VÍNCULOS_CDF'!$R$6:$R$1005,A985,'VÍNCULOS_CDF'!$N$6:$N$1005,1))</f>
        <v>0</v>
      </c>
      <c r="AE985" s="96">
        <f>IF(R985=0,0,COUNTIFS('VÍNCULOS_CDF'!$R$6:$R$1005,A985,'VÍNCULOS_CDF'!$AA$6:$AA$1005,1))</f>
        <v>0</v>
      </c>
      <c r="AF985" s="96">
        <f>IF(R985=0,0,COUNTIFS('VÍNCULOS_CDF'!$R$6:$R$1005,A985,'VÍNCULOS_CDF'!$Y$6:$Y$1005,1))</f>
        <v>0</v>
      </c>
      <c r="AG985" s="96" t="str">
        <f>IF(AND(R985=1,S985&lt;&gt;"",C985&lt;&gt;""),S985&amp;"|"&amp;C985&amp;"|"&amp;G985&amp;"|"&amp;H985,"")</f>
        <v/>
      </c>
      <c r="AH985" s="96">
        <f>IF(AG985="",0,IF(SUMPRODUCT(--($AG$6:$AG$1005=AG985))&gt;1,1,0))</f>
        <v>0</v>
      </c>
      <c r="AI985" s="96">
        <f>IF(R985=0,0,IF(OR(U985=0,V985=0,Y985=0,AND(AH985=1,K985&lt;&gt;"Sim")),1,0))</f>
        <v>0</v>
      </c>
      <c r="AJ985" s="96">
        <f>IF(AND(R985=1,AA985&gt;0,AB985=AA985),1,0)</f>
        <v>0</v>
      </c>
      <c r="AK985" s="96">
        <f>IF(R985=0,0,IF(AA985&gt;0,N(L985),IF(ISNUMBER(I985),I985,0)))</f>
        <v>0</v>
      </c>
      <c r="AL985" s="96">
        <f>IF(R985=0,0,IF(AND(K985&lt;&gt;"Sim",N(M985)&gt;AK985+cfg_tol),1,0))</f>
        <v>0</v>
      </c>
      <c r="AM985" s="96">
        <f>IF(R985=0,0,IF(K985="Sim",0,IF(OR(AND(AA985&gt;0,ISNUMBER(I985),ABS(I985-N(L985))&gt;cfg_tol),AL985=1),1,0)))</f>
        <v>0</v>
      </c>
      <c r="AN985" s="96">
        <f>IF(AND(R985=1,N(M985)&gt;0,OR(N(M985)&gt;=AK985-cfg_tol,K985="Sim")),1,0)</f>
        <v>0</v>
      </c>
      <c r="AO985" s="96">
        <f>IF(AND(AN985=1,AD985&gt;0,AE985=AD985,AL985=0),1,0)</f>
        <v>0</v>
      </c>
      <c r="AP985" s="96">
        <f>IF(U985=0,0,IF(AND(INDEX('MTRs'!$AX$6:$AX$505,T985)=1,Z985=0,OR(f_res="",f_res="(Todos)",C985=f_res)),1,0))</f>
        <v>0</v>
      </c>
      <c r="AQ985" s="97" t="str">
        <f>IF(U985=0,"",INDEX('MTRs'!$AZ$6:$AZ$505,T985))</f>
        <v/>
      </c>
      <c r="AR985" s="96">
        <f>IF(U985=0,0,IF(AND(INDEX('MTRs'!$BA$6:$BA$505,T985)=1,Z985=0),1,0))</f>
        <v>0</v>
      </c>
      <c r="AS985" s="96" t="str">
        <f>IF(R985=1,A985&amp;" | MTR "&amp;IF(U985=1,INDEX('MTRs'!$B$6:$B$505,T985)&amp;"","?")&amp;" | "&amp;IF(C985="","(sem resíduo)",C985),"")</f>
        <v/>
      </c>
      <c r="AT985" s="96" t="str">
        <f>IF(R985=1,COUNTIF($R$6:R985,1),"")</f>
        <v/>
      </c>
      <c r="AU985" s="96" t="str">
        <f>IF(U985=1,INDEX('MTRs'!$I$6:$I$505,T985)&amp;"","")</f>
        <v/>
      </c>
    </row>
    <row r="986">
      <c r="A986" s="89" t="inlineStr">
        <is>
          <t>IT-000981</t>
        </is>
      </c>
      <c r="B986" s="91" t="n"/>
      <c r="C986" s="91" t="n"/>
      <c r="D986" s="94" t="str">
        <f>IF(OR(R986=0,V986=0),"",INDEX('CAD_RESÍDUOS'!$E$6:$E$205,MATCH(C986,'CAD_RESÍDUOS'!$B$6:$B$205,0))&amp;"")</f>
        <v/>
      </c>
      <c r="E986" s="94" t="str">
        <f>IF(OR(R986=0,V986=0),"",INDEX('CAD_RESÍDUOS'!$C$6:$C$205,MATCH(C986,'CAD_RESÍDUOS'!$B$6:$B$205,0))&amp;"")</f>
        <v/>
      </c>
      <c r="F986" s="94" t="str">
        <f>IF(OR(R986=0,V986=0),"",INDEX('CAD_RESÍDUOS'!$G$6:$G$205,MATCH(C986,'CAD_RESÍDUOS'!$B$6:$B$205,0))&amp;"")</f>
        <v/>
      </c>
      <c r="G986" s="98" t="n"/>
      <c r="H986" s="91" t="n"/>
      <c r="I986" s="93" t="str">
        <f>IF(R986=0,"",IF(NOT(ISNUMBER(G986)),"",IF(ISNUMBER(X986),G986*X986,"UNIDADE A CONFERIR")))</f>
        <v/>
      </c>
      <c r="J986" s="91" t="n"/>
      <c r="K986" s="91" t="n"/>
      <c r="L986" s="93" t="str">
        <f>IF(R986=0,"",SUMIFS('RECEBIMENTOS'!$H$6:$H$1005,'RECEBIMENTOS'!$R$6:$R$1005,A986,'RECEBIMENTOS'!$X$6:$X$1005,1))</f>
        <v/>
      </c>
      <c r="M986" s="93" t="str">
        <f>IF(R986=0,"",SUMIFS('VÍNCULOS_CDF'!$H$6:$H$1005,'VÍNCULOS_CDF'!$R$6:$R$1005,A986,'VÍNCULOS_CDF'!$V$6:$V$1005,1))</f>
        <v/>
      </c>
      <c r="N986" s="99" t="str">
        <f>IF(OR(R986=0,AA986=0,NOT(ISNUMBER(I986))),"",I986-N(L986))</f>
        <v/>
      </c>
      <c r="O986" s="100" t="str">
        <f>IF(OR(R986=0,AK986&lt;=0),"",N(M986)/AK986)</f>
        <v/>
      </c>
      <c r="P986" s="94" t="str">
        <f>IF(R986=0,"",IF(S986="","Sem MTR associado",IF(U986=0,"MTR inexistente",IF(C986="","Resíduo não identificado",IF(V986=0,"Resíduo fora do cadastro",IF(W986=0,"Quantidade inválida",IF(H986="","Unidade não informada",IF(NOT(ISNUMBER(I986)),"Unidade a conferir",IF(AND(AH986=1,K986&lt;&gt;"Sim"),"Possível duplicidade",IF(Z986=1,"MTR cancelado",IF(AC986&gt;0,"Recebimento com alerta",IF(AA986=0,"Aguardando recebimento",IF(AB986&lt;AA986,"Recebimento a conferir",IF(AM986=1,"Quantidade a revisar",IF(AF986&gt;0,"Vínculo a revisar",IF(AD986=0,"Aguardando CDF",IF(AN986=0,"Vínculo de CDF parcial",IF(AE986&lt;AD986,"CDF a conferir","Documentação conferida"))))))))))))))))))</f>
        <v/>
      </c>
      <c r="Q986" s="93" t="str">
        <f>IF(OR(R986=0,AA986=0),"",MAX(0,N(L986)-N(M986)))</f>
        <v/>
      </c>
      <c r="R986" s="96">
        <f>IF(COUNTA(B986:C986,G986:H986,J986:K986)&gt;0,1,0)</f>
        <v>0</v>
      </c>
      <c r="S986" s="96" t="str">
        <f>IF(B986="","",TRIM(LEFT(B986,FIND(" |",B986&amp;" |")-1)))</f>
        <v/>
      </c>
      <c r="T986" s="96" t="str">
        <f>IF(S986="","",IFERROR(MATCH(S986,'MTRs'!$A$6:$A$505,0),""))</f>
        <v/>
      </c>
      <c r="U986" s="96">
        <f>IF(T986="",0,IF(INDEX('MTRs'!$Z$6:$Z$505,T986)=1,1,0))</f>
        <v>0</v>
      </c>
      <c r="V986" s="96">
        <f>IF(C986="",0,IF(ISNUMBER(MATCH(C986,'CAD_RESÍDUOS'!$B$6:$B$205,0)),1,0))</f>
        <v>0</v>
      </c>
      <c r="W986" s="96">
        <f>IF(AND(ISNUMBER(G986),G986&gt;0),1,0)</f>
        <v>0</v>
      </c>
      <c r="X986" s="96" t="str">
        <f>IF(H986="","",IFERROR(IF(ISNUMBER(INDEX(cfg_fac,MATCH(H986,cfg_units,0))),IF(INDEX(cfg_fac,MATCH(H986,cfg_units,0))&gt;0,INDEX(cfg_fac,MATCH(H986,cfg_units,0)),""),""),""))</f>
        <v/>
      </c>
      <c r="Y986" s="96">
        <f>IF(AND(W986=1,ISNUMBER(I986)),1,0)</f>
        <v>0</v>
      </c>
      <c r="Z986" s="96">
        <f>IF(U986=1,INDEX('MTRs'!$AA$6:$AA$505,T986),0)</f>
        <v>0</v>
      </c>
      <c r="AA986" s="96">
        <f>IF(R986=0,0,COUNTIFS('RECEBIMENTOS'!$R$6:$R$1005,A986,'RECEBIMENTOS'!$Q$6:$Q$1005,1))</f>
        <v>0</v>
      </c>
      <c r="AB986" s="96">
        <f>IF(R986=0,0,COUNTIFS('RECEBIMENTOS'!$R$6:$R$1005,A986,'RECEBIMENTOS'!$Z$6:$Z$1005,1))</f>
        <v>0</v>
      </c>
      <c r="AC986" s="96">
        <f>IF(R986=0,0,COUNTIFS('RECEBIMENTOS'!$R$6:$R$1005,A986,'RECEBIMENTOS'!$Y$6:$Y$1005,1))</f>
        <v>0</v>
      </c>
      <c r="AD986" s="96">
        <f>IF(R986=0,0,COUNTIFS('VÍNCULOS_CDF'!$R$6:$R$1005,A986,'VÍNCULOS_CDF'!$N$6:$N$1005,1))</f>
        <v>0</v>
      </c>
      <c r="AE986" s="96">
        <f>IF(R986=0,0,COUNTIFS('VÍNCULOS_CDF'!$R$6:$R$1005,A986,'VÍNCULOS_CDF'!$AA$6:$AA$1005,1))</f>
        <v>0</v>
      </c>
      <c r="AF986" s="96">
        <f>IF(R986=0,0,COUNTIFS('VÍNCULOS_CDF'!$R$6:$R$1005,A986,'VÍNCULOS_CDF'!$Y$6:$Y$1005,1))</f>
        <v>0</v>
      </c>
      <c r="AG986" s="96" t="str">
        <f>IF(AND(R986=1,S986&lt;&gt;"",C986&lt;&gt;""),S986&amp;"|"&amp;C986&amp;"|"&amp;G986&amp;"|"&amp;H986,"")</f>
        <v/>
      </c>
      <c r="AH986" s="96">
        <f>IF(AG986="",0,IF(SUMPRODUCT(--($AG$6:$AG$1005=AG986))&gt;1,1,0))</f>
        <v>0</v>
      </c>
      <c r="AI986" s="96">
        <f>IF(R986=0,0,IF(OR(U986=0,V986=0,Y986=0,AND(AH986=1,K986&lt;&gt;"Sim")),1,0))</f>
        <v>0</v>
      </c>
      <c r="AJ986" s="96">
        <f>IF(AND(R986=1,AA986&gt;0,AB986=AA986),1,0)</f>
        <v>0</v>
      </c>
      <c r="AK986" s="96">
        <f>IF(R986=0,0,IF(AA986&gt;0,N(L986),IF(ISNUMBER(I986),I986,0)))</f>
        <v>0</v>
      </c>
      <c r="AL986" s="96">
        <f>IF(R986=0,0,IF(AND(K986&lt;&gt;"Sim",N(M986)&gt;AK986+cfg_tol),1,0))</f>
        <v>0</v>
      </c>
      <c r="AM986" s="96">
        <f>IF(R986=0,0,IF(K986="Sim",0,IF(OR(AND(AA986&gt;0,ISNUMBER(I986),ABS(I986-N(L986))&gt;cfg_tol),AL986=1),1,0)))</f>
        <v>0</v>
      </c>
      <c r="AN986" s="96">
        <f>IF(AND(R986=1,N(M986)&gt;0,OR(N(M986)&gt;=AK986-cfg_tol,K986="Sim")),1,0)</f>
        <v>0</v>
      </c>
      <c r="AO986" s="96">
        <f>IF(AND(AN986=1,AD986&gt;0,AE986=AD986,AL986=0),1,0)</f>
        <v>0</v>
      </c>
      <c r="AP986" s="96">
        <f>IF(U986=0,0,IF(AND(INDEX('MTRs'!$AX$6:$AX$505,T986)=1,Z986=0,OR(f_res="",f_res="(Todos)",C986=f_res)),1,0))</f>
        <v>0</v>
      </c>
      <c r="AQ986" s="97" t="str">
        <f>IF(U986=0,"",INDEX('MTRs'!$AZ$6:$AZ$505,T986))</f>
        <v/>
      </c>
      <c r="AR986" s="96">
        <f>IF(U986=0,0,IF(AND(INDEX('MTRs'!$BA$6:$BA$505,T986)=1,Z986=0),1,0))</f>
        <v>0</v>
      </c>
      <c r="AS986" s="96" t="str">
        <f>IF(R986=1,A986&amp;" | MTR "&amp;IF(U986=1,INDEX('MTRs'!$B$6:$B$505,T986)&amp;"","?")&amp;" | "&amp;IF(C986="","(sem resíduo)",C986),"")</f>
        <v/>
      </c>
      <c r="AT986" s="96" t="str">
        <f>IF(R986=1,COUNTIF($R$6:R986,1),"")</f>
        <v/>
      </c>
      <c r="AU986" s="96" t="str">
        <f>IF(U986=1,INDEX('MTRs'!$I$6:$I$505,T986)&amp;"","")</f>
        <v/>
      </c>
    </row>
    <row r="987">
      <c r="A987" s="89" t="inlineStr">
        <is>
          <t>IT-000982</t>
        </is>
      </c>
      <c r="B987" s="91" t="n"/>
      <c r="C987" s="91" t="n"/>
      <c r="D987" s="94" t="str">
        <f>IF(OR(R987=0,V987=0),"",INDEX('CAD_RESÍDUOS'!$E$6:$E$205,MATCH(C987,'CAD_RESÍDUOS'!$B$6:$B$205,0))&amp;"")</f>
        <v/>
      </c>
      <c r="E987" s="94" t="str">
        <f>IF(OR(R987=0,V987=0),"",INDEX('CAD_RESÍDUOS'!$C$6:$C$205,MATCH(C987,'CAD_RESÍDUOS'!$B$6:$B$205,0))&amp;"")</f>
        <v/>
      </c>
      <c r="F987" s="94" t="str">
        <f>IF(OR(R987=0,V987=0),"",INDEX('CAD_RESÍDUOS'!$G$6:$G$205,MATCH(C987,'CAD_RESÍDUOS'!$B$6:$B$205,0))&amp;"")</f>
        <v/>
      </c>
      <c r="G987" s="98" t="n"/>
      <c r="H987" s="91" t="n"/>
      <c r="I987" s="93" t="str">
        <f>IF(R987=0,"",IF(NOT(ISNUMBER(G987)),"",IF(ISNUMBER(X987),G987*X987,"UNIDADE A CONFERIR")))</f>
        <v/>
      </c>
      <c r="J987" s="91" t="n"/>
      <c r="K987" s="91" t="n"/>
      <c r="L987" s="93" t="str">
        <f>IF(R987=0,"",SUMIFS('RECEBIMENTOS'!$H$6:$H$1005,'RECEBIMENTOS'!$R$6:$R$1005,A987,'RECEBIMENTOS'!$X$6:$X$1005,1))</f>
        <v/>
      </c>
      <c r="M987" s="93" t="str">
        <f>IF(R987=0,"",SUMIFS('VÍNCULOS_CDF'!$H$6:$H$1005,'VÍNCULOS_CDF'!$R$6:$R$1005,A987,'VÍNCULOS_CDF'!$V$6:$V$1005,1))</f>
        <v/>
      </c>
      <c r="N987" s="99" t="str">
        <f>IF(OR(R987=0,AA987=0,NOT(ISNUMBER(I987))),"",I987-N(L987))</f>
        <v/>
      </c>
      <c r="O987" s="100" t="str">
        <f>IF(OR(R987=0,AK987&lt;=0),"",N(M987)/AK987)</f>
        <v/>
      </c>
      <c r="P987" s="94" t="str">
        <f>IF(R987=0,"",IF(S987="","Sem MTR associado",IF(U987=0,"MTR inexistente",IF(C987="","Resíduo não identificado",IF(V987=0,"Resíduo fora do cadastro",IF(W987=0,"Quantidade inválida",IF(H987="","Unidade não informada",IF(NOT(ISNUMBER(I987)),"Unidade a conferir",IF(AND(AH987=1,K987&lt;&gt;"Sim"),"Possível duplicidade",IF(Z987=1,"MTR cancelado",IF(AC987&gt;0,"Recebimento com alerta",IF(AA987=0,"Aguardando recebimento",IF(AB987&lt;AA987,"Recebimento a conferir",IF(AM987=1,"Quantidade a revisar",IF(AF987&gt;0,"Vínculo a revisar",IF(AD987=0,"Aguardando CDF",IF(AN987=0,"Vínculo de CDF parcial",IF(AE987&lt;AD987,"CDF a conferir","Documentação conferida"))))))))))))))))))</f>
        <v/>
      </c>
      <c r="Q987" s="93" t="str">
        <f>IF(OR(R987=0,AA987=0),"",MAX(0,N(L987)-N(M987)))</f>
        <v/>
      </c>
      <c r="R987" s="96">
        <f>IF(COUNTA(B987:C987,G987:H987,J987:K987)&gt;0,1,0)</f>
        <v>0</v>
      </c>
      <c r="S987" s="96" t="str">
        <f>IF(B987="","",TRIM(LEFT(B987,FIND(" |",B987&amp;" |")-1)))</f>
        <v/>
      </c>
      <c r="T987" s="96" t="str">
        <f>IF(S987="","",IFERROR(MATCH(S987,'MTRs'!$A$6:$A$505,0),""))</f>
        <v/>
      </c>
      <c r="U987" s="96">
        <f>IF(T987="",0,IF(INDEX('MTRs'!$Z$6:$Z$505,T987)=1,1,0))</f>
        <v>0</v>
      </c>
      <c r="V987" s="96">
        <f>IF(C987="",0,IF(ISNUMBER(MATCH(C987,'CAD_RESÍDUOS'!$B$6:$B$205,0)),1,0))</f>
        <v>0</v>
      </c>
      <c r="W987" s="96">
        <f>IF(AND(ISNUMBER(G987),G987&gt;0),1,0)</f>
        <v>0</v>
      </c>
      <c r="X987" s="96" t="str">
        <f>IF(H987="","",IFERROR(IF(ISNUMBER(INDEX(cfg_fac,MATCH(H987,cfg_units,0))),IF(INDEX(cfg_fac,MATCH(H987,cfg_units,0))&gt;0,INDEX(cfg_fac,MATCH(H987,cfg_units,0)),""),""),""))</f>
        <v/>
      </c>
      <c r="Y987" s="96">
        <f>IF(AND(W987=1,ISNUMBER(I987)),1,0)</f>
        <v>0</v>
      </c>
      <c r="Z987" s="96">
        <f>IF(U987=1,INDEX('MTRs'!$AA$6:$AA$505,T987),0)</f>
        <v>0</v>
      </c>
      <c r="AA987" s="96">
        <f>IF(R987=0,0,COUNTIFS('RECEBIMENTOS'!$R$6:$R$1005,A987,'RECEBIMENTOS'!$Q$6:$Q$1005,1))</f>
        <v>0</v>
      </c>
      <c r="AB987" s="96">
        <f>IF(R987=0,0,COUNTIFS('RECEBIMENTOS'!$R$6:$R$1005,A987,'RECEBIMENTOS'!$Z$6:$Z$1005,1))</f>
        <v>0</v>
      </c>
      <c r="AC987" s="96">
        <f>IF(R987=0,0,COUNTIFS('RECEBIMENTOS'!$R$6:$R$1005,A987,'RECEBIMENTOS'!$Y$6:$Y$1005,1))</f>
        <v>0</v>
      </c>
      <c r="AD987" s="96">
        <f>IF(R987=0,0,COUNTIFS('VÍNCULOS_CDF'!$R$6:$R$1005,A987,'VÍNCULOS_CDF'!$N$6:$N$1005,1))</f>
        <v>0</v>
      </c>
      <c r="AE987" s="96">
        <f>IF(R987=0,0,COUNTIFS('VÍNCULOS_CDF'!$R$6:$R$1005,A987,'VÍNCULOS_CDF'!$AA$6:$AA$1005,1))</f>
        <v>0</v>
      </c>
      <c r="AF987" s="96">
        <f>IF(R987=0,0,COUNTIFS('VÍNCULOS_CDF'!$R$6:$R$1005,A987,'VÍNCULOS_CDF'!$Y$6:$Y$1005,1))</f>
        <v>0</v>
      </c>
      <c r="AG987" s="96" t="str">
        <f>IF(AND(R987=1,S987&lt;&gt;"",C987&lt;&gt;""),S987&amp;"|"&amp;C987&amp;"|"&amp;G987&amp;"|"&amp;H987,"")</f>
        <v/>
      </c>
      <c r="AH987" s="96">
        <f>IF(AG987="",0,IF(SUMPRODUCT(--($AG$6:$AG$1005=AG987))&gt;1,1,0))</f>
        <v>0</v>
      </c>
      <c r="AI987" s="96">
        <f>IF(R987=0,0,IF(OR(U987=0,V987=0,Y987=0,AND(AH987=1,K987&lt;&gt;"Sim")),1,0))</f>
        <v>0</v>
      </c>
      <c r="AJ987" s="96">
        <f>IF(AND(R987=1,AA987&gt;0,AB987=AA987),1,0)</f>
        <v>0</v>
      </c>
      <c r="AK987" s="96">
        <f>IF(R987=0,0,IF(AA987&gt;0,N(L987),IF(ISNUMBER(I987),I987,0)))</f>
        <v>0</v>
      </c>
      <c r="AL987" s="96">
        <f>IF(R987=0,0,IF(AND(K987&lt;&gt;"Sim",N(M987)&gt;AK987+cfg_tol),1,0))</f>
        <v>0</v>
      </c>
      <c r="AM987" s="96">
        <f>IF(R987=0,0,IF(K987="Sim",0,IF(OR(AND(AA987&gt;0,ISNUMBER(I987),ABS(I987-N(L987))&gt;cfg_tol),AL987=1),1,0)))</f>
        <v>0</v>
      </c>
      <c r="AN987" s="96">
        <f>IF(AND(R987=1,N(M987)&gt;0,OR(N(M987)&gt;=AK987-cfg_tol,K987="Sim")),1,0)</f>
        <v>0</v>
      </c>
      <c r="AO987" s="96">
        <f>IF(AND(AN987=1,AD987&gt;0,AE987=AD987,AL987=0),1,0)</f>
        <v>0</v>
      </c>
      <c r="AP987" s="96">
        <f>IF(U987=0,0,IF(AND(INDEX('MTRs'!$AX$6:$AX$505,T987)=1,Z987=0,OR(f_res="",f_res="(Todos)",C987=f_res)),1,0))</f>
        <v>0</v>
      </c>
      <c r="AQ987" s="97" t="str">
        <f>IF(U987=0,"",INDEX('MTRs'!$AZ$6:$AZ$505,T987))</f>
        <v/>
      </c>
      <c r="AR987" s="96">
        <f>IF(U987=0,0,IF(AND(INDEX('MTRs'!$BA$6:$BA$505,T987)=1,Z987=0),1,0))</f>
        <v>0</v>
      </c>
      <c r="AS987" s="96" t="str">
        <f>IF(R987=1,A987&amp;" | MTR "&amp;IF(U987=1,INDEX('MTRs'!$B$6:$B$505,T987)&amp;"","?")&amp;" | "&amp;IF(C987="","(sem resíduo)",C987),"")</f>
        <v/>
      </c>
      <c r="AT987" s="96" t="str">
        <f>IF(R987=1,COUNTIF($R$6:R987,1),"")</f>
        <v/>
      </c>
      <c r="AU987" s="96" t="str">
        <f>IF(U987=1,INDEX('MTRs'!$I$6:$I$505,T987)&amp;"","")</f>
        <v/>
      </c>
    </row>
    <row r="988">
      <c r="A988" s="89" t="inlineStr">
        <is>
          <t>IT-000983</t>
        </is>
      </c>
      <c r="B988" s="91" t="n"/>
      <c r="C988" s="91" t="n"/>
      <c r="D988" s="94" t="str">
        <f>IF(OR(R988=0,V988=0),"",INDEX('CAD_RESÍDUOS'!$E$6:$E$205,MATCH(C988,'CAD_RESÍDUOS'!$B$6:$B$205,0))&amp;"")</f>
        <v/>
      </c>
      <c r="E988" s="94" t="str">
        <f>IF(OR(R988=0,V988=0),"",INDEX('CAD_RESÍDUOS'!$C$6:$C$205,MATCH(C988,'CAD_RESÍDUOS'!$B$6:$B$205,0))&amp;"")</f>
        <v/>
      </c>
      <c r="F988" s="94" t="str">
        <f>IF(OR(R988=0,V988=0),"",INDEX('CAD_RESÍDUOS'!$G$6:$G$205,MATCH(C988,'CAD_RESÍDUOS'!$B$6:$B$205,0))&amp;"")</f>
        <v/>
      </c>
      <c r="G988" s="98" t="n"/>
      <c r="H988" s="91" t="n"/>
      <c r="I988" s="93" t="str">
        <f>IF(R988=0,"",IF(NOT(ISNUMBER(G988)),"",IF(ISNUMBER(X988),G988*X988,"UNIDADE A CONFERIR")))</f>
        <v/>
      </c>
      <c r="J988" s="91" t="n"/>
      <c r="K988" s="91" t="n"/>
      <c r="L988" s="93" t="str">
        <f>IF(R988=0,"",SUMIFS('RECEBIMENTOS'!$H$6:$H$1005,'RECEBIMENTOS'!$R$6:$R$1005,A988,'RECEBIMENTOS'!$X$6:$X$1005,1))</f>
        <v/>
      </c>
      <c r="M988" s="93" t="str">
        <f>IF(R988=0,"",SUMIFS('VÍNCULOS_CDF'!$H$6:$H$1005,'VÍNCULOS_CDF'!$R$6:$R$1005,A988,'VÍNCULOS_CDF'!$V$6:$V$1005,1))</f>
        <v/>
      </c>
      <c r="N988" s="99" t="str">
        <f>IF(OR(R988=0,AA988=0,NOT(ISNUMBER(I988))),"",I988-N(L988))</f>
        <v/>
      </c>
      <c r="O988" s="100" t="str">
        <f>IF(OR(R988=0,AK988&lt;=0),"",N(M988)/AK988)</f>
        <v/>
      </c>
      <c r="P988" s="94" t="str">
        <f>IF(R988=0,"",IF(S988="","Sem MTR associado",IF(U988=0,"MTR inexistente",IF(C988="","Resíduo não identificado",IF(V988=0,"Resíduo fora do cadastro",IF(W988=0,"Quantidade inválida",IF(H988="","Unidade não informada",IF(NOT(ISNUMBER(I988)),"Unidade a conferir",IF(AND(AH988=1,K988&lt;&gt;"Sim"),"Possível duplicidade",IF(Z988=1,"MTR cancelado",IF(AC988&gt;0,"Recebimento com alerta",IF(AA988=0,"Aguardando recebimento",IF(AB988&lt;AA988,"Recebimento a conferir",IF(AM988=1,"Quantidade a revisar",IF(AF988&gt;0,"Vínculo a revisar",IF(AD988=0,"Aguardando CDF",IF(AN988=0,"Vínculo de CDF parcial",IF(AE988&lt;AD988,"CDF a conferir","Documentação conferida"))))))))))))))))))</f>
        <v/>
      </c>
      <c r="Q988" s="93" t="str">
        <f>IF(OR(R988=0,AA988=0),"",MAX(0,N(L988)-N(M988)))</f>
        <v/>
      </c>
      <c r="R988" s="96">
        <f>IF(COUNTA(B988:C988,G988:H988,J988:K988)&gt;0,1,0)</f>
        <v>0</v>
      </c>
      <c r="S988" s="96" t="str">
        <f>IF(B988="","",TRIM(LEFT(B988,FIND(" |",B988&amp;" |")-1)))</f>
        <v/>
      </c>
      <c r="T988" s="96" t="str">
        <f>IF(S988="","",IFERROR(MATCH(S988,'MTRs'!$A$6:$A$505,0),""))</f>
        <v/>
      </c>
      <c r="U988" s="96">
        <f>IF(T988="",0,IF(INDEX('MTRs'!$Z$6:$Z$505,T988)=1,1,0))</f>
        <v>0</v>
      </c>
      <c r="V988" s="96">
        <f>IF(C988="",0,IF(ISNUMBER(MATCH(C988,'CAD_RESÍDUOS'!$B$6:$B$205,0)),1,0))</f>
        <v>0</v>
      </c>
      <c r="W988" s="96">
        <f>IF(AND(ISNUMBER(G988),G988&gt;0),1,0)</f>
        <v>0</v>
      </c>
      <c r="X988" s="96" t="str">
        <f>IF(H988="","",IFERROR(IF(ISNUMBER(INDEX(cfg_fac,MATCH(H988,cfg_units,0))),IF(INDEX(cfg_fac,MATCH(H988,cfg_units,0))&gt;0,INDEX(cfg_fac,MATCH(H988,cfg_units,0)),""),""),""))</f>
        <v/>
      </c>
      <c r="Y988" s="96">
        <f>IF(AND(W988=1,ISNUMBER(I988)),1,0)</f>
        <v>0</v>
      </c>
      <c r="Z988" s="96">
        <f>IF(U988=1,INDEX('MTRs'!$AA$6:$AA$505,T988),0)</f>
        <v>0</v>
      </c>
      <c r="AA988" s="96">
        <f>IF(R988=0,0,COUNTIFS('RECEBIMENTOS'!$R$6:$R$1005,A988,'RECEBIMENTOS'!$Q$6:$Q$1005,1))</f>
        <v>0</v>
      </c>
      <c r="AB988" s="96">
        <f>IF(R988=0,0,COUNTIFS('RECEBIMENTOS'!$R$6:$R$1005,A988,'RECEBIMENTOS'!$Z$6:$Z$1005,1))</f>
        <v>0</v>
      </c>
      <c r="AC988" s="96">
        <f>IF(R988=0,0,COUNTIFS('RECEBIMENTOS'!$R$6:$R$1005,A988,'RECEBIMENTOS'!$Y$6:$Y$1005,1))</f>
        <v>0</v>
      </c>
      <c r="AD988" s="96">
        <f>IF(R988=0,0,COUNTIFS('VÍNCULOS_CDF'!$R$6:$R$1005,A988,'VÍNCULOS_CDF'!$N$6:$N$1005,1))</f>
        <v>0</v>
      </c>
      <c r="AE988" s="96">
        <f>IF(R988=0,0,COUNTIFS('VÍNCULOS_CDF'!$R$6:$R$1005,A988,'VÍNCULOS_CDF'!$AA$6:$AA$1005,1))</f>
        <v>0</v>
      </c>
      <c r="AF988" s="96">
        <f>IF(R988=0,0,COUNTIFS('VÍNCULOS_CDF'!$R$6:$R$1005,A988,'VÍNCULOS_CDF'!$Y$6:$Y$1005,1))</f>
        <v>0</v>
      </c>
      <c r="AG988" s="96" t="str">
        <f>IF(AND(R988=1,S988&lt;&gt;"",C988&lt;&gt;""),S988&amp;"|"&amp;C988&amp;"|"&amp;G988&amp;"|"&amp;H988,"")</f>
        <v/>
      </c>
      <c r="AH988" s="96">
        <f>IF(AG988="",0,IF(SUMPRODUCT(--($AG$6:$AG$1005=AG988))&gt;1,1,0))</f>
        <v>0</v>
      </c>
      <c r="AI988" s="96">
        <f>IF(R988=0,0,IF(OR(U988=0,V988=0,Y988=0,AND(AH988=1,K988&lt;&gt;"Sim")),1,0))</f>
        <v>0</v>
      </c>
      <c r="AJ988" s="96">
        <f>IF(AND(R988=1,AA988&gt;0,AB988=AA988),1,0)</f>
        <v>0</v>
      </c>
      <c r="AK988" s="96">
        <f>IF(R988=0,0,IF(AA988&gt;0,N(L988),IF(ISNUMBER(I988),I988,0)))</f>
        <v>0</v>
      </c>
      <c r="AL988" s="96">
        <f>IF(R988=0,0,IF(AND(K988&lt;&gt;"Sim",N(M988)&gt;AK988+cfg_tol),1,0))</f>
        <v>0</v>
      </c>
      <c r="AM988" s="96">
        <f>IF(R988=0,0,IF(K988="Sim",0,IF(OR(AND(AA988&gt;0,ISNUMBER(I988),ABS(I988-N(L988))&gt;cfg_tol),AL988=1),1,0)))</f>
        <v>0</v>
      </c>
      <c r="AN988" s="96">
        <f>IF(AND(R988=1,N(M988)&gt;0,OR(N(M988)&gt;=AK988-cfg_tol,K988="Sim")),1,0)</f>
        <v>0</v>
      </c>
      <c r="AO988" s="96">
        <f>IF(AND(AN988=1,AD988&gt;0,AE988=AD988,AL988=0),1,0)</f>
        <v>0</v>
      </c>
      <c r="AP988" s="96">
        <f>IF(U988=0,0,IF(AND(INDEX('MTRs'!$AX$6:$AX$505,T988)=1,Z988=0,OR(f_res="",f_res="(Todos)",C988=f_res)),1,0))</f>
        <v>0</v>
      </c>
      <c r="AQ988" s="97" t="str">
        <f>IF(U988=0,"",INDEX('MTRs'!$AZ$6:$AZ$505,T988))</f>
        <v/>
      </c>
      <c r="AR988" s="96">
        <f>IF(U988=0,0,IF(AND(INDEX('MTRs'!$BA$6:$BA$505,T988)=1,Z988=0),1,0))</f>
        <v>0</v>
      </c>
      <c r="AS988" s="96" t="str">
        <f>IF(R988=1,A988&amp;" | MTR "&amp;IF(U988=1,INDEX('MTRs'!$B$6:$B$505,T988)&amp;"","?")&amp;" | "&amp;IF(C988="","(sem resíduo)",C988),"")</f>
        <v/>
      </c>
      <c r="AT988" s="96" t="str">
        <f>IF(R988=1,COUNTIF($R$6:R988,1),"")</f>
        <v/>
      </c>
      <c r="AU988" s="96" t="str">
        <f>IF(U988=1,INDEX('MTRs'!$I$6:$I$505,T988)&amp;"","")</f>
        <v/>
      </c>
    </row>
    <row r="989">
      <c r="A989" s="89" t="inlineStr">
        <is>
          <t>IT-000984</t>
        </is>
      </c>
      <c r="B989" s="91" t="n"/>
      <c r="C989" s="91" t="n"/>
      <c r="D989" s="94" t="str">
        <f>IF(OR(R989=0,V989=0),"",INDEX('CAD_RESÍDUOS'!$E$6:$E$205,MATCH(C989,'CAD_RESÍDUOS'!$B$6:$B$205,0))&amp;"")</f>
        <v/>
      </c>
      <c r="E989" s="94" t="str">
        <f>IF(OR(R989=0,V989=0),"",INDEX('CAD_RESÍDUOS'!$C$6:$C$205,MATCH(C989,'CAD_RESÍDUOS'!$B$6:$B$205,0))&amp;"")</f>
        <v/>
      </c>
      <c r="F989" s="94" t="str">
        <f>IF(OR(R989=0,V989=0),"",INDEX('CAD_RESÍDUOS'!$G$6:$G$205,MATCH(C989,'CAD_RESÍDUOS'!$B$6:$B$205,0))&amp;"")</f>
        <v/>
      </c>
      <c r="G989" s="98" t="n"/>
      <c r="H989" s="91" t="n"/>
      <c r="I989" s="93" t="str">
        <f>IF(R989=0,"",IF(NOT(ISNUMBER(G989)),"",IF(ISNUMBER(X989),G989*X989,"UNIDADE A CONFERIR")))</f>
        <v/>
      </c>
      <c r="J989" s="91" t="n"/>
      <c r="K989" s="91" t="n"/>
      <c r="L989" s="93" t="str">
        <f>IF(R989=0,"",SUMIFS('RECEBIMENTOS'!$H$6:$H$1005,'RECEBIMENTOS'!$R$6:$R$1005,A989,'RECEBIMENTOS'!$X$6:$X$1005,1))</f>
        <v/>
      </c>
      <c r="M989" s="93" t="str">
        <f>IF(R989=0,"",SUMIFS('VÍNCULOS_CDF'!$H$6:$H$1005,'VÍNCULOS_CDF'!$R$6:$R$1005,A989,'VÍNCULOS_CDF'!$V$6:$V$1005,1))</f>
        <v/>
      </c>
      <c r="N989" s="99" t="str">
        <f>IF(OR(R989=0,AA989=0,NOT(ISNUMBER(I989))),"",I989-N(L989))</f>
        <v/>
      </c>
      <c r="O989" s="100" t="str">
        <f>IF(OR(R989=0,AK989&lt;=0),"",N(M989)/AK989)</f>
        <v/>
      </c>
      <c r="P989" s="94" t="str">
        <f>IF(R989=0,"",IF(S989="","Sem MTR associado",IF(U989=0,"MTR inexistente",IF(C989="","Resíduo não identificado",IF(V989=0,"Resíduo fora do cadastro",IF(W989=0,"Quantidade inválida",IF(H989="","Unidade não informada",IF(NOT(ISNUMBER(I989)),"Unidade a conferir",IF(AND(AH989=1,K989&lt;&gt;"Sim"),"Possível duplicidade",IF(Z989=1,"MTR cancelado",IF(AC989&gt;0,"Recebimento com alerta",IF(AA989=0,"Aguardando recebimento",IF(AB989&lt;AA989,"Recebimento a conferir",IF(AM989=1,"Quantidade a revisar",IF(AF989&gt;0,"Vínculo a revisar",IF(AD989=0,"Aguardando CDF",IF(AN989=0,"Vínculo de CDF parcial",IF(AE989&lt;AD989,"CDF a conferir","Documentação conferida"))))))))))))))))))</f>
        <v/>
      </c>
      <c r="Q989" s="93" t="str">
        <f>IF(OR(R989=0,AA989=0),"",MAX(0,N(L989)-N(M989)))</f>
        <v/>
      </c>
      <c r="R989" s="96">
        <f>IF(COUNTA(B989:C989,G989:H989,J989:K989)&gt;0,1,0)</f>
        <v>0</v>
      </c>
      <c r="S989" s="96" t="str">
        <f>IF(B989="","",TRIM(LEFT(B989,FIND(" |",B989&amp;" |")-1)))</f>
        <v/>
      </c>
      <c r="T989" s="96" t="str">
        <f>IF(S989="","",IFERROR(MATCH(S989,'MTRs'!$A$6:$A$505,0),""))</f>
        <v/>
      </c>
      <c r="U989" s="96">
        <f>IF(T989="",0,IF(INDEX('MTRs'!$Z$6:$Z$505,T989)=1,1,0))</f>
        <v>0</v>
      </c>
      <c r="V989" s="96">
        <f>IF(C989="",0,IF(ISNUMBER(MATCH(C989,'CAD_RESÍDUOS'!$B$6:$B$205,0)),1,0))</f>
        <v>0</v>
      </c>
      <c r="W989" s="96">
        <f>IF(AND(ISNUMBER(G989),G989&gt;0),1,0)</f>
        <v>0</v>
      </c>
      <c r="X989" s="96" t="str">
        <f>IF(H989="","",IFERROR(IF(ISNUMBER(INDEX(cfg_fac,MATCH(H989,cfg_units,0))),IF(INDEX(cfg_fac,MATCH(H989,cfg_units,0))&gt;0,INDEX(cfg_fac,MATCH(H989,cfg_units,0)),""),""),""))</f>
        <v/>
      </c>
      <c r="Y989" s="96">
        <f>IF(AND(W989=1,ISNUMBER(I989)),1,0)</f>
        <v>0</v>
      </c>
      <c r="Z989" s="96">
        <f>IF(U989=1,INDEX('MTRs'!$AA$6:$AA$505,T989),0)</f>
        <v>0</v>
      </c>
      <c r="AA989" s="96">
        <f>IF(R989=0,0,COUNTIFS('RECEBIMENTOS'!$R$6:$R$1005,A989,'RECEBIMENTOS'!$Q$6:$Q$1005,1))</f>
        <v>0</v>
      </c>
      <c r="AB989" s="96">
        <f>IF(R989=0,0,COUNTIFS('RECEBIMENTOS'!$R$6:$R$1005,A989,'RECEBIMENTOS'!$Z$6:$Z$1005,1))</f>
        <v>0</v>
      </c>
      <c r="AC989" s="96">
        <f>IF(R989=0,0,COUNTIFS('RECEBIMENTOS'!$R$6:$R$1005,A989,'RECEBIMENTOS'!$Y$6:$Y$1005,1))</f>
        <v>0</v>
      </c>
      <c r="AD989" s="96">
        <f>IF(R989=0,0,COUNTIFS('VÍNCULOS_CDF'!$R$6:$R$1005,A989,'VÍNCULOS_CDF'!$N$6:$N$1005,1))</f>
        <v>0</v>
      </c>
      <c r="AE989" s="96">
        <f>IF(R989=0,0,COUNTIFS('VÍNCULOS_CDF'!$R$6:$R$1005,A989,'VÍNCULOS_CDF'!$AA$6:$AA$1005,1))</f>
        <v>0</v>
      </c>
      <c r="AF989" s="96">
        <f>IF(R989=0,0,COUNTIFS('VÍNCULOS_CDF'!$R$6:$R$1005,A989,'VÍNCULOS_CDF'!$Y$6:$Y$1005,1))</f>
        <v>0</v>
      </c>
      <c r="AG989" s="96" t="str">
        <f>IF(AND(R989=1,S989&lt;&gt;"",C989&lt;&gt;""),S989&amp;"|"&amp;C989&amp;"|"&amp;G989&amp;"|"&amp;H989,"")</f>
        <v/>
      </c>
      <c r="AH989" s="96">
        <f>IF(AG989="",0,IF(SUMPRODUCT(--($AG$6:$AG$1005=AG989))&gt;1,1,0))</f>
        <v>0</v>
      </c>
      <c r="AI989" s="96">
        <f>IF(R989=0,0,IF(OR(U989=0,V989=0,Y989=0,AND(AH989=1,K989&lt;&gt;"Sim")),1,0))</f>
        <v>0</v>
      </c>
      <c r="AJ989" s="96">
        <f>IF(AND(R989=1,AA989&gt;0,AB989=AA989),1,0)</f>
        <v>0</v>
      </c>
      <c r="AK989" s="96">
        <f>IF(R989=0,0,IF(AA989&gt;0,N(L989),IF(ISNUMBER(I989),I989,0)))</f>
        <v>0</v>
      </c>
      <c r="AL989" s="96">
        <f>IF(R989=0,0,IF(AND(K989&lt;&gt;"Sim",N(M989)&gt;AK989+cfg_tol),1,0))</f>
        <v>0</v>
      </c>
      <c r="AM989" s="96">
        <f>IF(R989=0,0,IF(K989="Sim",0,IF(OR(AND(AA989&gt;0,ISNUMBER(I989),ABS(I989-N(L989))&gt;cfg_tol),AL989=1),1,0)))</f>
        <v>0</v>
      </c>
      <c r="AN989" s="96">
        <f>IF(AND(R989=1,N(M989)&gt;0,OR(N(M989)&gt;=AK989-cfg_tol,K989="Sim")),1,0)</f>
        <v>0</v>
      </c>
      <c r="AO989" s="96">
        <f>IF(AND(AN989=1,AD989&gt;0,AE989=AD989,AL989=0),1,0)</f>
        <v>0</v>
      </c>
      <c r="AP989" s="96">
        <f>IF(U989=0,0,IF(AND(INDEX('MTRs'!$AX$6:$AX$505,T989)=1,Z989=0,OR(f_res="",f_res="(Todos)",C989=f_res)),1,0))</f>
        <v>0</v>
      </c>
      <c r="AQ989" s="97" t="str">
        <f>IF(U989=0,"",INDEX('MTRs'!$AZ$6:$AZ$505,T989))</f>
        <v/>
      </c>
      <c r="AR989" s="96">
        <f>IF(U989=0,0,IF(AND(INDEX('MTRs'!$BA$6:$BA$505,T989)=1,Z989=0),1,0))</f>
        <v>0</v>
      </c>
      <c r="AS989" s="96" t="str">
        <f>IF(R989=1,A989&amp;" | MTR "&amp;IF(U989=1,INDEX('MTRs'!$B$6:$B$505,T989)&amp;"","?")&amp;" | "&amp;IF(C989="","(sem resíduo)",C989),"")</f>
        <v/>
      </c>
      <c r="AT989" s="96" t="str">
        <f>IF(R989=1,COUNTIF($R$6:R989,1),"")</f>
        <v/>
      </c>
      <c r="AU989" s="96" t="str">
        <f>IF(U989=1,INDEX('MTRs'!$I$6:$I$505,T989)&amp;"","")</f>
        <v/>
      </c>
    </row>
    <row r="990">
      <c r="A990" s="89" t="inlineStr">
        <is>
          <t>IT-000985</t>
        </is>
      </c>
      <c r="B990" s="91" t="n"/>
      <c r="C990" s="91" t="n"/>
      <c r="D990" s="94" t="str">
        <f>IF(OR(R990=0,V990=0),"",INDEX('CAD_RESÍDUOS'!$E$6:$E$205,MATCH(C990,'CAD_RESÍDUOS'!$B$6:$B$205,0))&amp;"")</f>
        <v/>
      </c>
      <c r="E990" s="94" t="str">
        <f>IF(OR(R990=0,V990=0),"",INDEX('CAD_RESÍDUOS'!$C$6:$C$205,MATCH(C990,'CAD_RESÍDUOS'!$B$6:$B$205,0))&amp;"")</f>
        <v/>
      </c>
      <c r="F990" s="94" t="str">
        <f>IF(OR(R990=0,V990=0),"",INDEX('CAD_RESÍDUOS'!$G$6:$G$205,MATCH(C990,'CAD_RESÍDUOS'!$B$6:$B$205,0))&amp;"")</f>
        <v/>
      </c>
      <c r="G990" s="98" t="n"/>
      <c r="H990" s="91" t="n"/>
      <c r="I990" s="93" t="str">
        <f>IF(R990=0,"",IF(NOT(ISNUMBER(G990)),"",IF(ISNUMBER(X990),G990*X990,"UNIDADE A CONFERIR")))</f>
        <v/>
      </c>
      <c r="J990" s="91" t="n"/>
      <c r="K990" s="91" t="n"/>
      <c r="L990" s="93" t="str">
        <f>IF(R990=0,"",SUMIFS('RECEBIMENTOS'!$H$6:$H$1005,'RECEBIMENTOS'!$R$6:$R$1005,A990,'RECEBIMENTOS'!$X$6:$X$1005,1))</f>
        <v/>
      </c>
      <c r="M990" s="93" t="str">
        <f>IF(R990=0,"",SUMIFS('VÍNCULOS_CDF'!$H$6:$H$1005,'VÍNCULOS_CDF'!$R$6:$R$1005,A990,'VÍNCULOS_CDF'!$V$6:$V$1005,1))</f>
        <v/>
      </c>
      <c r="N990" s="99" t="str">
        <f>IF(OR(R990=0,AA990=0,NOT(ISNUMBER(I990))),"",I990-N(L990))</f>
        <v/>
      </c>
      <c r="O990" s="100" t="str">
        <f>IF(OR(R990=0,AK990&lt;=0),"",N(M990)/AK990)</f>
        <v/>
      </c>
      <c r="P990" s="94" t="str">
        <f>IF(R990=0,"",IF(S990="","Sem MTR associado",IF(U990=0,"MTR inexistente",IF(C990="","Resíduo não identificado",IF(V990=0,"Resíduo fora do cadastro",IF(W990=0,"Quantidade inválida",IF(H990="","Unidade não informada",IF(NOT(ISNUMBER(I990)),"Unidade a conferir",IF(AND(AH990=1,K990&lt;&gt;"Sim"),"Possível duplicidade",IF(Z990=1,"MTR cancelado",IF(AC990&gt;0,"Recebimento com alerta",IF(AA990=0,"Aguardando recebimento",IF(AB990&lt;AA990,"Recebimento a conferir",IF(AM990=1,"Quantidade a revisar",IF(AF990&gt;0,"Vínculo a revisar",IF(AD990=0,"Aguardando CDF",IF(AN990=0,"Vínculo de CDF parcial",IF(AE990&lt;AD990,"CDF a conferir","Documentação conferida"))))))))))))))))))</f>
        <v/>
      </c>
      <c r="Q990" s="93" t="str">
        <f>IF(OR(R990=0,AA990=0),"",MAX(0,N(L990)-N(M990)))</f>
        <v/>
      </c>
      <c r="R990" s="96">
        <f>IF(COUNTA(B990:C990,G990:H990,J990:K990)&gt;0,1,0)</f>
        <v>0</v>
      </c>
      <c r="S990" s="96" t="str">
        <f>IF(B990="","",TRIM(LEFT(B990,FIND(" |",B990&amp;" |")-1)))</f>
        <v/>
      </c>
      <c r="T990" s="96" t="str">
        <f>IF(S990="","",IFERROR(MATCH(S990,'MTRs'!$A$6:$A$505,0),""))</f>
        <v/>
      </c>
      <c r="U990" s="96">
        <f>IF(T990="",0,IF(INDEX('MTRs'!$Z$6:$Z$505,T990)=1,1,0))</f>
        <v>0</v>
      </c>
      <c r="V990" s="96">
        <f>IF(C990="",0,IF(ISNUMBER(MATCH(C990,'CAD_RESÍDUOS'!$B$6:$B$205,0)),1,0))</f>
        <v>0</v>
      </c>
      <c r="W990" s="96">
        <f>IF(AND(ISNUMBER(G990),G990&gt;0),1,0)</f>
        <v>0</v>
      </c>
      <c r="X990" s="96" t="str">
        <f>IF(H990="","",IFERROR(IF(ISNUMBER(INDEX(cfg_fac,MATCH(H990,cfg_units,0))),IF(INDEX(cfg_fac,MATCH(H990,cfg_units,0))&gt;0,INDEX(cfg_fac,MATCH(H990,cfg_units,0)),""),""),""))</f>
        <v/>
      </c>
      <c r="Y990" s="96">
        <f>IF(AND(W990=1,ISNUMBER(I990)),1,0)</f>
        <v>0</v>
      </c>
      <c r="Z990" s="96">
        <f>IF(U990=1,INDEX('MTRs'!$AA$6:$AA$505,T990),0)</f>
        <v>0</v>
      </c>
      <c r="AA990" s="96">
        <f>IF(R990=0,0,COUNTIFS('RECEBIMENTOS'!$R$6:$R$1005,A990,'RECEBIMENTOS'!$Q$6:$Q$1005,1))</f>
        <v>0</v>
      </c>
      <c r="AB990" s="96">
        <f>IF(R990=0,0,COUNTIFS('RECEBIMENTOS'!$R$6:$R$1005,A990,'RECEBIMENTOS'!$Z$6:$Z$1005,1))</f>
        <v>0</v>
      </c>
      <c r="AC990" s="96">
        <f>IF(R990=0,0,COUNTIFS('RECEBIMENTOS'!$R$6:$R$1005,A990,'RECEBIMENTOS'!$Y$6:$Y$1005,1))</f>
        <v>0</v>
      </c>
      <c r="AD990" s="96">
        <f>IF(R990=0,0,COUNTIFS('VÍNCULOS_CDF'!$R$6:$R$1005,A990,'VÍNCULOS_CDF'!$N$6:$N$1005,1))</f>
        <v>0</v>
      </c>
      <c r="AE990" s="96">
        <f>IF(R990=0,0,COUNTIFS('VÍNCULOS_CDF'!$R$6:$R$1005,A990,'VÍNCULOS_CDF'!$AA$6:$AA$1005,1))</f>
        <v>0</v>
      </c>
      <c r="AF990" s="96">
        <f>IF(R990=0,0,COUNTIFS('VÍNCULOS_CDF'!$R$6:$R$1005,A990,'VÍNCULOS_CDF'!$Y$6:$Y$1005,1))</f>
        <v>0</v>
      </c>
      <c r="AG990" s="96" t="str">
        <f>IF(AND(R990=1,S990&lt;&gt;"",C990&lt;&gt;""),S990&amp;"|"&amp;C990&amp;"|"&amp;G990&amp;"|"&amp;H990,"")</f>
        <v/>
      </c>
      <c r="AH990" s="96">
        <f>IF(AG990="",0,IF(SUMPRODUCT(--($AG$6:$AG$1005=AG990))&gt;1,1,0))</f>
        <v>0</v>
      </c>
      <c r="AI990" s="96">
        <f>IF(R990=0,0,IF(OR(U990=0,V990=0,Y990=0,AND(AH990=1,K990&lt;&gt;"Sim")),1,0))</f>
        <v>0</v>
      </c>
      <c r="AJ990" s="96">
        <f>IF(AND(R990=1,AA990&gt;0,AB990=AA990),1,0)</f>
        <v>0</v>
      </c>
      <c r="AK990" s="96">
        <f>IF(R990=0,0,IF(AA990&gt;0,N(L990),IF(ISNUMBER(I990),I990,0)))</f>
        <v>0</v>
      </c>
      <c r="AL990" s="96">
        <f>IF(R990=0,0,IF(AND(K990&lt;&gt;"Sim",N(M990)&gt;AK990+cfg_tol),1,0))</f>
        <v>0</v>
      </c>
      <c r="AM990" s="96">
        <f>IF(R990=0,0,IF(K990="Sim",0,IF(OR(AND(AA990&gt;0,ISNUMBER(I990),ABS(I990-N(L990))&gt;cfg_tol),AL990=1),1,0)))</f>
        <v>0</v>
      </c>
      <c r="AN990" s="96">
        <f>IF(AND(R990=1,N(M990)&gt;0,OR(N(M990)&gt;=AK990-cfg_tol,K990="Sim")),1,0)</f>
        <v>0</v>
      </c>
      <c r="AO990" s="96">
        <f>IF(AND(AN990=1,AD990&gt;0,AE990=AD990,AL990=0),1,0)</f>
        <v>0</v>
      </c>
      <c r="AP990" s="96">
        <f>IF(U990=0,0,IF(AND(INDEX('MTRs'!$AX$6:$AX$505,T990)=1,Z990=0,OR(f_res="",f_res="(Todos)",C990=f_res)),1,0))</f>
        <v>0</v>
      </c>
      <c r="AQ990" s="97" t="str">
        <f>IF(U990=0,"",INDEX('MTRs'!$AZ$6:$AZ$505,T990))</f>
        <v/>
      </c>
      <c r="AR990" s="96">
        <f>IF(U990=0,0,IF(AND(INDEX('MTRs'!$BA$6:$BA$505,T990)=1,Z990=0),1,0))</f>
        <v>0</v>
      </c>
      <c r="AS990" s="96" t="str">
        <f>IF(R990=1,A990&amp;" | MTR "&amp;IF(U990=1,INDEX('MTRs'!$B$6:$B$505,T990)&amp;"","?")&amp;" | "&amp;IF(C990="","(sem resíduo)",C990),"")</f>
        <v/>
      </c>
      <c r="AT990" s="96" t="str">
        <f>IF(R990=1,COUNTIF($R$6:R990,1),"")</f>
        <v/>
      </c>
      <c r="AU990" s="96" t="str">
        <f>IF(U990=1,INDEX('MTRs'!$I$6:$I$505,T990)&amp;"","")</f>
        <v/>
      </c>
    </row>
    <row r="991">
      <c r="A991" s="89" t="inlineStr">
        <is>
          <t>IT-000986</t>
        </is>
      </c>
      <c r="B991" s="91" t="n"/>
      <c r="C991" s="91" t="n"/>
      <c r="D991" s="94" t="str">
        <f>IF(OR(R991=0,V991=0),"",INDEX('CAD_RESÍDUOS'!$E$6:$E$205,MATCH(C991,'CAD_RESÍDUOS'!$B$6:$B$205,0))&amp;"")</f>
        <v/>
      </c>
      <c r="E991" s="94" t="str">
        <f>IF(OR(R991=0,V991=0),"",INDEX('CAD_RESÍDUOS'!$C$6:$C$205,MATCH(C991,'CAD_RESÍDUOS'!$B$6:$B$205,0))&amp;"")</f>
        <v/>
      </c>
      <c r="F991" s="94" t="str">
        <f>IF(OR(R991=0,V991=0),"",INDEX('CAD_RESÍDUOS'!$G$6:$G$205,MATCH(C991,'CAD_RESÍDUOS'!$B$6:$B$205,0))&amp;"")</f>
        <v/>
      </c>
      <c r="G991" s="98" t="n"/>
      <c r="H991" s="91" t="n"/>
      <c r="I991" s="93" t="str">
        <f>IF(R991=0,"",IF(NOT(ISNUMBER(G991)),"",IF(ISNUMBER(X991),G991*X991,"UNIDADE A CONFERIR")))</f>
        <v/>
      </c>
      <c r="J991" s="91" t="n"/>
      <c r="K991" s="91" t="n"/>
      <c r="L991" s="93" t="str">
        <f>IF(R991=0,"",SUMIFS('RECEBIMENTOS'!$H$6:$H$1005,'RECEBIMENTOS'!$R$6:$R$1005,A991,'RECEBIMENTOS'!$X$6:$X$1005,1))</f>
        <v/>
      </c>
      <c r="M991" s="93" t="str">
        <f>IF(R991=0,"",SUMIFS('VÍNCULOS_CDF'!$H$6:$H$1005,'VÍNCULOS_CDF'!$R$6:$R$1005,A991,'VÍNCULOS_CDF'!$V$6:$V$1005,1))</f>
        <v/>
      </c>
      <c r="N991" s="99" t="str">
        <f>IF(OR(R991=0,AA991=0,NOT(ISNUMBER(I991))),"",I991-N(L991))</f>
        <v/>
      </c>
      <c r="O991" s="100" t="str">
        <f>IF(OR(R991=0,AK991&lt;=0),"",N(M991)/AK991)</f>
        <v/>
      </c>
      <c r="P991" s="94" t="str">
        <f>IF(R991=0,"",IF(S991="","Sem MTR associado",IF(U991=0,"MTR inexistente",IF(C991="","Resíduo não identificado",IF(V991=0,"Resíduo fora do cadastro",IF(W991=0,"Quantidade inválida",IF(H991="","Unidade não informada",IF(NOT(ISNUMBER(I991)),"Unidade a conferir",IF(AND(AH991=1,K991&lt;&gt;"Sim"),"Possível duplicidade",IF(Z991=1,"MTR cancelado",IF(AC991&gt;0,"Recebimento com alerta",IF(AA991=0,"Aguardando recebimento",IF(AB991&lt;AA991,"Recebimento a conferir",IF(AM991=1,"Quantidade a revisar",IF(AF991&gt;0,"Vínculo a revisar",IF(AD991=0,"Aguardando CDF",IF(AN991=0,"Vínculo de CDF parcial",IF(AE991&lt;AD991,"CDF a conferir","Documentação conferida"))))))))))))))))))</f>
        <v/>
      </c>
      <c r="Q991" s="93" t="str">
        <f>IF(OR(R991=0,AA991=0),"",MAX(0,N(L991)-N(M991)))</f>
        <v/>
      </c>
      <c r="R991" s="96">
        <f>IF(COUNTA(B991:C991,G991:H991,J991:K991)&gt;0,1,0)</f>
        <v>0</v>
      </c>
      <c r="S991" s="96" t="str">
        <f>IF(B991="","",TRIM(LEFT(B991,FIND(" |",B991&amp;" |")-1)))</f>
        <v/>
      </c>
      <c r="T991" s="96" t="str">
        <f>IF(S991="","",IFERROR(MATCH(S991,'MTRs'!$A$6:$A$505,0),""))</f>
        <v/>
      </c>
      <c r="U991" s="96">
        <f>IF(T991="",0,IF(INDEX('MTRs'!$Z$6:$Z$505,T991)=1,1,0))</f>
        <v>0</v>
      </c>
      <c r="V991" s="96">
        <f>IF(C991="",0,IF(ISNUMBER(MATCH(C991,'CAD_RESÍDUOS'!$B$6:$B$205,0)),1,0))</f>
        <v>0</v>
      </c>
      <c r="W991" s="96">
        <f>IF(AND(ISNUMBER(G991),G991&gt;0),1,0)</f>
        <v>0</v>
      </c>
      <c r="X991" s="96" t="str">
        <f>IF(H991="","",IFERROR(IF(ISNUMBER(INDEX(cfg_fac,MATCH(H991,cfg_units,0))),IF(INDEX(cfg_fac,MATCH(H991,cfg_units,0))&gt;0,INDEX(cfg_fac,MATCH(H991,cfg_units,0)),""),""),""))</f>
        <v/>
      </c>
      <c r="Y991" s="96">
        <f>IF(AND(W991=1,ISNUMBER(I991)),1,0)</f>
        <v>0</v>
      </c>
      <c r="Z991" s="96">
        <f>IF(U991=1,INDEX('MTRs'!$AA$6:$AA$505,T991),0)</f>
        <v>0</v>
      </c>
      <c r="AA991" s="96">
        <f>IF(R991=0,0,COUNTIFS('RECEBIMENTOS'!$R$6:$R$1005,A991,'RECEBIMENTOS'!$Q$6:$Q$1005,1))</f>
        <v>0</v>
      </c>
      <c r="AB991" s="96">
        <f>IF(R991=0,0,COUNTIFS('RECEBIMENTOS'!$R$6:$R$1005,A991,'RECEBIMENTOS'!$Z$6:$Z$1005,1))</f>
        <v>0</v>
      </c>
      <c r="AC991" s="96">
        <f>IF(R991=0,0,COUNTIFS('RECEBIMENTOS'!$R$6:$R$1005,A991,'RECEBIMENTOS'!$Y$6:$Y$1005,1))</f>
        <v>0</v>
      </c>
      <c r="AD991" s="96">
        <f>IF(R991=0,0,COUNTIFS('VÍNCULOS_CDF'!$R$6:$R$1005,A991,'VÍNCULOS_CDF'!$N$6:$N$1005,1))</f>
        <v>0</v>
      </c>
      <c r="AE991" s="96">
        <f>IF(R991=0,0,COUNTIFS('VÍNCULOS_CDF'!$R$6:$R$1005,A991,'VÍNCULOS_CDF'!$AA$6:$AA$1005,1))</f>
        <v>0</v>
      </c>
      <c r="AF991" s="96">
        <f>IF(R991=0,0,COUNTIFS('VÍNCULOS_CDF'!$R$6:$R$1005,A991,'VÍNCULOS_CDF'!$Y$6:$Y$1005,1))</f>
        <v>0</v>
      </c>
      <c r="AG991" s="96" t="str">
        <f>IF(AND(R991=1,S991&lt;&gt;"",C991&lt;&gt;""),S991&amp;"|"&amp;C991&amp;"|"&amp;G991&amp;"|"&amp;H991,"")</f>
        <v/>
      </c>
      <c r="AH991" s="96">
        <f>IF(AG991="",0,IF(SUMPRODUCT(--($AG$6:$AG$1005=AG991))&gt;1,1,0))</f>
        <v>0</v>
      </c>
      <c r="AI991" s="96">
        <f>IF(R991=0,0,IF(OR(U991=0,V991=0,Y991=0,AND(AH991=1,K991&lt;&gt;"Sim")),1,0))</f>
        <v>0</v>
      </c>
      <c r="AJ991" s="96">
        <f>IF(AND(R991=1,AA991&gt;0,AB991=AA991),1,0)</f>
        <v>0</v>
      </c>
      <c r="AK991" s="96">
        <f>IF(R991=0,0,IF(AA991&gt;0,N(L991),IF(ISNUMBER(I991),I991,0)))</f>
        <v>0</v>
      </c>
      <c r="AL991" s="96">
        <f>IF(R991=0,0,IF(AND(K991&lt;&gt;"Sim",N(M991)&gt;AK991+cfg_tol),1,0))</f>
        <v>0</v>
      </c>
      <c r="AM991" s="96">
        <f>IF(R991=0,0,IF(K991="Sim",0,IF(OR(AND(AA991&gt;0,ISNUMBER(I991),ABS(I991-N(L991))&gt;cfg_tol),AL991=1),1,0)))</f>
        <v>0</v>
      </c>
      <c r="AN991" s="96">
        <f>IF(AND(R991=1,N(M991)&gt;0,OR(N(M991)&gt;=AK991-cfg_tol,K991="Sim")),1,0)</f>
        <v>0</v>
      </c>
      <c r="AO991" s="96">
        <f>IF(AND(AN991=1,AD991&gt;0,AE991=AD991,AL991=0),1,0)</f>
        <v>0</v>
      </c>
      <c r="AP991" s="96">
        <f>IF(U991=0,0,IF(AND(INDEX('MTRs'!$AX$6:$AX$505,T991)=1,Z991=0,OR(f_res="",f_res="(Todos)",C991=f_res)),1,0))</f>
        <v>0</v>
      </c>
      <c r="AQ991" s="97" t="str">
        <f>IF(U991=0,"",INDEX('MTRs'!$AZ$6:$AZ$505,T991))</f>
        <v/>
      </c>
      <c r="AR991" s="96">
        <f>IF(U991=0,0,IF(AND(INDEX('MTRs'!$BA$6:$BA$505,T991)=1,Z991=0),1,0))</f>
        <v>0</v>
      </c>
      <c r="AS991" s="96" t="str">
        <f>IF(R991=1,A991&amp;" | MTR "&amp;IF(U991=1,INDEX('MTRs'!$B$6:$B$505,T991)&amp;"","?")&amp;" | "&amp;IF(C991="","(sem resíduo)",C991),"")</f>
        <v/>
      </c>
      <c r="AT991" s="96" t="str">
        <f>IF(R991=1,COUNTIF($R$6:R991,1),"")</f>
        <v/>
      </c>
      <c r="AU991" s="96" t="str">
        <f>IF(U991=1,INDEX('MTRs'!$I$6:$I$505,T991)&amp;"","")</f>
        <v/>
      </c>
    </row>
    <row r="992">
      <c r="A992" s="89" t="inlineStr">
        <is>
          <t>IT-000987</t>
        </is>
      </c>
      <c r="B992" s="91" t="n"/>
      <c r="C992" s="91" t="n"/>
      <c r="D992" s="94" t="str">
        <f>IF(OR(R992=0,V992=0),"",INDEX('CAD_RESÍDUOS'!$E$6:$E$205,MATCH(C992,'CAD_RESÍDUOS'!$B$6:$B$205,0))&amp;"")</f>
        <v/>
      </c>
      <c r="E992" s="94" t="str">
        <f>IF(OR(R992=0,V992=0),"",INDEX('CAD_RESÍDUOS'!$C$6:$C$205,MATCH(C992,'CAD_RESÍDUOS'!$B$6:$B$205,0))&amp;"")</f>
        <v/>
      </c>
      <c r="F992" s="94" t="str">
        <f>IF(OR(R992=0,V992=0),"",INDEX('CAD_RESÍDUOS'!$G$6:$G$205,MATCH(C992,'CAD_RESÍDUOS'!$B$6:$B$205,0))&amp;"")</f>
        <v/>
      </c>
      <c r="G992" s="98" t="n"/>
      <c r="H992" s="91" t="n"/>
      <c r="I992" s="93" t="str">
        <f>IF(R992=0,"",IF(NOT(ISNUMBER(G992)),"",IF(ISNUMBER(X992),G992*X992,"UNIDADE A CONFERIR")))</f>
        <v/>
      </c>
      <c r="J992" s="91" t="n"/>
      <c r="K992" s="91" t="n"/>
      <c r="L992" s="93" t="str">
        <f>IF(R992=0,"",SUMIFS('RECEBIMENTOS'!$H$6:$H$1005,'RECEBIMENTOS'!$R$6:$R$1005,A992,'RECEBIMENTOS'!$X$6:$X$1005,1))</f>
        <v/>
      </c>
      <c r="M992" s="93" t="str">
        <f>IF(R992=0,"",SUMIFS('VÍNCULOS_CDF'!$H$6:$H$1005,'VÍNCULOS_CDF'!$R$6:$R$1005,A992,'VÍNCULOS_CDF'!$V$6:$V$1005,1))</f>
        <v/>
      </c>
      <c r="N992" s="99" t="str">
        <f>IF(OR(R992=0,AA992=0,NOT(ISNUMBER(I992))),"",I992-N(L992))</f>
        <v/>
      </c>
      <c r="O992" s="100" t="str">
        <f>IF(OR(R992=0,AK992&lt;=0),"",N(M992)/AK992)</f>
        <v/>
      </c>
      <c r="P992" s="94" t="str">
        <f>IF(R992=0,"",IF(S992="","Sem MTR associado",IF(U992=0,"MTR inexistente",IF(C992="","Resíduo não identificado",IF(V992=0,"Resíduo fora do cadastro",IF(W992=0,"Quantidade inválida",IF(H992="","Unidade não informada",IF(NOT(ISNUMBER(I992)),"Unidade a conferir",IF(AND(AH992=1,K992&lt;&gt;"Sim"),"Possível duplicidade",IF(Z992=1,"MTR cancelado",IF(AC992&gt;0,"Recebimento com alerta",IF(AA992=0,"Aguardando recebimento",IF(AB992&lt;AA992,"Recebimento a conferir",IF(AM992=1,"Quantidade a revisar",IF(AF992&gt;0,"Vínculo a revisar",IF(AD992=0,"Aguardando CDF",IF(AN992=0,"Vínculo de CDF parcial",IF(AE992&lt;AD992,"CDF a conferir","Documentação conferida"))))))))))))))))))</f>
        <v/>
      </c>
      <c r="Q992" s="93" t="str">
        <f>IF(OR(R992=0,AA992=0),"",MAX(0,N(L992)-N(M992)))</f>
        <v/>
      </c>
      <c r="R992" s="96">
        <f>IF(COUNTA(B992:C992,G992:H992,J992:K992)&gt;0,1,0)</f>
        <v>0</v>
      </c>
      <c r="S992" s="96" t="str">
        <f>IF(B992="","",TRIM(LEFT(B992,FIND(" |",B992&amp;" |")-1)))</f>
        <v/>
      </c>
      <c r="T992" s="96" t="str">
        <f>IF(S992="","",IFERROR(MATCH(S992,'MTRs'!$A$6:$A$505,0),""))</f>
        <v/>
      </c>
      <c r="U992" s="96">
        <f>IF(T992="",0,IF(INDEX('MTRs'!$Z$6:$Z$505,T992)=1,1,0))</f>
        <v>0</v>
      </c>
      <c r="V992" s="96">
        <f>IF(C992="",0,IF(ISNUMBER(MATCH(C992,'CAD_RESÍDUOS'!$B$6:$B$205,0)),1,0))</f>
        <v>0</v>
      </c>
      <c r="W992" s="96">
        <f>IF(AND(ISNUMBER(G992),G992&gt;0),1,0)</f>
        <v>0</v>
      </c>
      <c r="X992" s="96" t="str">
        <f>IF(H992="","",IFERROR(IF(ISNUMBER(INDEX(cfg_fac,MATCH(H992,cfg_units,0))),IF(INDEX(cfg_fac,MATCH(H992,cfg_units,0))&gt;0,INDEX(cfg_fac,MATCH(H992,cfg_units,0)),""),""),""))</f>
        <v/>
      </c>
      <c r="Y992" s="96">
        <f>IF(AND(W992=1,ISNUMBER(I992)),1,0)</f>
        <v>0</v>
      </c>
      <c r="Z992" s="96">
        <f>IF(U992=1,INDEX('MTRs'!$AA$6:$AA$505,T992),0)</f>
        <v>0</v>
      </c>
      <c r="AA992" s="96">
        <f>IF(R992=0,0,COUNTIFS('RECEBIMENTOS'!$R$6:$R$1005,A992,'RECEBIMENTOS'!$Q$6:$Q$1005,1))</f>
        <v>0</v>
      </c>
      <c r="AB992" s="96">
        <f>IF(R992=0,0,COUNTIFS('RECEBIMENTOS'!$R$6:$R$1005,A992,'RECEBIMENTOS'!$Z$6:$Z$1005,1))</f>
        <v>0</v>
      </c>
      <c r="AC992" s="96">
        <f>IF(R992=0,0,COUNTIFS('RECEBIMENTOS'!$R$6:$R$1005,A992,'RECEBIMENTOS'!$Y$6:$Y$1005,1))</f>
        <v>0</v>
      </c>
      <c r="AD992" s="96">
        <f>IF(R992=0,0,COUNTIFS('VÍNCULOS_CDF'!$R$6:$R$1005,A992,'VÍNCULOS_CDF'!$N$6:$N$1005,1))</f>
        <v>0</v>
      </c>
      <c r="AE992" s="96">
        <f>IF(R992=0,0,COUNTIFS('VÍNCULOS_CDF'!$R$6:$R$1005,A992,'VÍNCULOS_CDF'!$AA$6:$AA$1005,1))</f>
        <v>0</v>
      </c>
      <c r="AF992" s="96">
        <f>IF(R992=0,0,COUNTIFS('VÍNCULOS_CDF'!$R$6:$R$1005,A992,'VÍNCULOS_CDF'!$Y$6:$Y$1005,1))</f>
        <v>0</v>
      </c>
      <c r="AG992" s="96" t="str">
        <f>IF(AND(R992=1,S992&lt;&gt;"",C992&lt;&gt;""),S992&amp;"|"&amp;C992&amp;"|"&amp;G992&amp;"|"&amp;H992,"")</f>
        <v/>
      </c>
      <c r="AH992" s="96">
        <f>IF(AG992="",0,IF(SUMPRODUCT(--($AG$6:$AG$1005=AG992))&gt;1,1,0))</f>
        <v>0</v>
      </c>
      <c r="AI992" s="96">
        <f>IF(R992=0,0,IF(OR(U992=0,V992=0,Y992=0,AND(AH992=1,K992&lt;&gt;"Sim")),1,0))</f>
        <v>0</v>
      </c>
      <c r="AJ992" s="96">
        <f>IF(AND(R992=1,AA992&gt;0,AB992=AA992),1,0)</f>
        <v>0</v>
      </c>
      <c r="AK992" s="96">
        <f>IF(R992=0,0,IF(AA992&gt;0,N(L992),IF(ISNUMBER(I992),I992,0)))</f>
        <v>0</v>
      </c>
      <c r="AL992" s="96">
        <f>IF(R992=0,0,IF(AND(K992&lt;&gt;"Sim",N(M992)&gt;AK992+cfg_tol),1,0))</f>
        <v>0</v>
      </c>
      <c r="AM992" s="96">
        <f>IF(R992=0,0,IF(K992="Sim",0,IF(OR(AND(AA992&gt;0,ISNUMBER(I992),ABS(I992-N(L992))&gt;cfg_tol),AL992=1),1,0)))</f>
        <v>0</v>
      </c>
      <c r="AN992" s="96">
        <f>IF(AND(R992=1,N(M992)&gt;0,OR(N(M992)&gt;=AK992-cfg_tol,K992="Sim")),1,0)</f>
        <v>0</v>
      </c>
      <c r="AO992" s="96">
        <f>IF(AND(AN992=1,AD992&gt;0,AE992=AD992,AL992=0),1,0)</f>
        <v>0</v>
      </c>
      <c r="AP992" s="96">
        <f>IF(U992=0,0,IF(AND(INDEX('MTRs'!$AX$6:$AX$505,T992)=1,Z992=0,OR(f_res="",f_res="(Todos)",C992=f_res)),1,0))</f>
        <v>0</v>
      </c>
      <c r="AQ992" s="97" t="str">
        <f>IF(U992=0,"",INDEX('MTRs'!$AZ$6:$AZ$505,T992))</f>
        <v/>
      </c>
      <c r="AR992" s="96">
        <f>IF(U992=0,0,IF(AND(INDEX('MTRs'!$BA$6:$BA$505,T992)=1,Z992=0),1,0))</f>
        <v>0</v>
      </c>
      <c r="AS992" s="96" t="str">
        <f>IF(R992=1,A992&amp;" | MTR "&amp;IF(U992=1,INDEX('MTRs'!$B$6:$B$505,T992)&amp;"","?")&amp;" | "&amp;IF(C992="","(sem resíduo)",C992),"")</f>
        <v/>
      </c>
      <c r="AT992" s="96" t="str">
        <f>IF(R992=1,COUNTIF($R$6:R992,1),"")</f>
        <v/>
      </c>
      <c r="AU992" s="96" t="str">
        <f>IF(U992=1,INDEX('MTRs'!$I$6:$I$505,T992)&amp;"","")</f>
        <v/>
      </c>
    </row>
    <row r="993">
      <c r="A993" s="89" t="inlineStr">
        <is>
          <t>IT-000988</t>
        </is>
      </c>
      <c r="B993" s="91" t="n"/>
      <c r="C993" s="91" t="n"/>
      <c r="D993" s="94" t="str">
        <f>IF(OR(R993=0,V993=0),"",INDEX('CAD_RESÍDUOS'!$E$6:$E$205,MATCH(C993,'CAD_RESÍDUOS'!$B$6:$B$205,0))&amp;"")</f>
        <v/>
      </c>
      <c r="E993" s="94" t="str">
        <f>IF(OR(R993=0,V993=0),"",INDEX('CAD_RESÍDUOS'!$C$6:$C$205,MATCH(C993,'CAD_RESÍDUOS'!$B$6:$B$205,0))&amp;"")</f>
        <v/>
      </c>
      <c r="F993" s="94" t="str">
        <f>IF(OR(R993=0,V993=0),"",INDEX('CAD_RESÍDUOS'!$G$6:$G$205,MATCH(C993,'CAD_RESÍDUOS'!$B$6:$B$205,0))&amp;"")</f>
        <v/>
      </c>
      <c r="G993" s="98" t="n"/>
      <c r="H993" s="91" t="n"/>
      <c r="I993" s="93" t="str">
        <f>IF(R993=0,"",IF(NOT(ISNUMBER(G993)),"",IF(ISNUMBER(X993),G993*X993,"UNIDADE A CONFERIR")))</f>
        <v/>
      </c>
      <c r="J993" s="91" t="n"/>
      <c r="K993" s="91" t="n"/>
      <c r="L993" s="93" t="str">
        <f>IF(R993=0,"",SUMIFS('RECEBIMENTOS'!$H$6:$H$1005,'RECEBIMENTOS'!$R$6:$R$1005,A993,'RECEBIMENTOS'!$X$6:$X$1005,1))</f>
        <v/>
      </c>
      <c r="M993" s="93" t="str">
        <f>IF(R993=0,"",SUMIFS('VÍNCULOS_CDF'!$H$6:$H$1005,'VÍNCULOS_CDF'!$R$6:$R$1005,A993,'VÍNCULOS_CDF'!$V$6:$V$1005,1))</f>
        <v/>
      </c>
      <c r="N993" s="99" t="str">
        <f>IF(OR(R993=0,AA993=0,NOT(ISNUMBER(I993))),"",I993-N(L993))</f>
        <v/>
      </c>
      <c r="O993" s="100" t="str">
        <f>IF(OR(R993=0,AK993&lt;=0),"",N(M993)/AK993)</f>
        <v/>
      </c>
      <c r="P993" s="94" t="str">
        <f>IF(R993=0,"",IF(S993="","Sem MTR associado",IF(U993=0,"MTR inexistente",IF(C993="","Resíduo não identificado",IF(V993=0,"Resíduo fora do cadastro",IF(W993=0,"Quantidade inválida",IF(H993="","Unidade não informada",IF(NOT(ISNUMBER(I993)),"Unidade a conferir",IF(AND(AH993=1,K993&lt;&gt;"Sim"),"Possível duplicidade",IF(Z993=1,"MTR cancelado",IF(AC993&gt;0,"Recebimento com alerta",IF(AA993=0,"Aguardando recebimento",IF(AB993&lt;AA993,"Recebimento a conferir",IF(AM993=1,"Quantidade a revisar",IF(AF993&gt;0,"Vínculo a revisar",IF(AD993=0,"Aguardando CDF",IF(AN993=0,"Vínculo de CDF parcial",IF(AE993&lt;AD993,"CDF a conferir","Documentação conferida"))))))))))))))))))</f>
        <v/>
      </c>
      <c r="Q993" s="93" t="str">
        <f>IF(OR(R993=0,AA993=0),"",MAX(0,N(L993)-N(M993)))</f>
        <v/>
      </c>
      <c r="R993" s="96">
        <f>IF(COUNTA(B993:C993,G993:H993,J993:K993)&gt;0,1,0)</f>
        <v>0</v>
      </c>
      <c r="S993" s="96" t="str">
        <f>IF(B993="","",TRIM(LEFT(B993,FIND(" |",B993&amp;" |")-1)))</f>
        <v/>
      </c>
      <c r="T993" s="96" t="str">
        <f>IF(S993="","",IFERROR(MATCH(S993,'MTRs'!$A$6:$A$505,0),""))</f>
        <v/>
      </c>
      <c r="U993" s="96">
        <f>IF(T993="",0,IF(INDEX('MTRs'!$Z$6:$Z$505,T993)=1,1,0))</f>
        <v>0</v>
      </c>
      <c r="V993" s="96">
        <f>IF(C993="",0,IF(ISNUMBER(MATCH(C993,'CAD_RESÍDUOS'!$B$6:$B$205,0)),1,0))</f>
        <v>0</v>
      </c>
      <c r="W993" s="96">
        <f>IF(AND(ISNUMBER(G993),G993&gt;0),1,0)</f>
        <v>0</v>
      </c>
      <c r="X993" s="96" t="str">
        <f>IF(H993="","",IFERROR(IF(ISNUMBER(INDEX(cfg_fac,MATCH(H993,cfg_units,0))),IF(INDEX(cfg_fac,MATCH(H993,cfg_units,0))&gt;0,INDEX(cfg_fac,MATCH(H993,cfg_units,0)),""),""),""))</f>
        <v/>
      </c>
      <c r="Y993" s="96">
        <f>IF(AND(W993=1,ISNUMBER(I993)),1,0)</f>
        <v>0</v>
      </c>
      <c r="Z993" s="96">
        <f>IF(U993=1,INDEX('MTRs'!$AA$6:$AA$505,T993),0)</f>
        <v>0</v>
      </c>
      <c r="AA993" s="96">
        <f>IF(R993=0,0,COUNTIFS('RECEBIMENTOS'!$R$6:$R$1005,A993,'RECEBIMENTOS'!$Q$6:$Q$1005,1))</f>
        <v>0</v>
      </c>
      <c r="AB993" s="96">
        <f>IF(R993=0,0,COUNTIFS('RECEBIMENTOS'!$R$6:$R$1005,A993,'RECEBIMENTOS'!$Z$6:$Z$1005,1))</f>
        <v>0</v>
      </c>
      <c r="AC993" s="96">
        <f>IF(R993=0,0,COUNTIFS('RECEBIMENTOS'!$R$6:$R$1005,A993,'RECEBIMENTOS'!$Y$6:$Y$1005,1))</f>
        <v>0</v>
      </c>
      <c r="AD993" s="96">
        <f>IF(R993=0,0,COUNTIFS('VÍNCULOS_CDF'!$R$6:$R$1005,A993,'VÍNCULOS_CDF'!$N$6:$N$1005,1))</f>
        <v>0</v>
      </c>
      <c r="AE993" s="96">
        <f>IF(R993=0,0,COUNTIFS('VÍNCULOS_CDF'!$R$6:$R$1005,A993,'VÍNCULOS_CDF'!$AA$6:$AA$1005,1))</f>
        <v>0</v>
      </c>
      <c r="AF993" s="96">
        <f>IF(R993=0,0,COUNTIFS('VÍNCULOS_CDF'!$R$6:$R$1005,A993,'VÍNCULOS_CDF'!$Y$6:$Y$1005,1))</f>
        <v>0</v>
      </c>
      <c r="AG993" s="96" t="str">
        <f>IF(AND(R993=1,S993&lt;&gt;"",C993&lt;&gt;""),S993&amp;"|"&amp;C993&amp;"|"&amp;G993&amp;"|"&amp;H993,"")</f>
        <v/>
      </c>
      <c r="AH993" s="96">
        <f>IF(AG993="",0,IF(SUMPRODUCT(--($AG$6:$AG$1005=AG993))&gt;1,1,0))</f>
        <v>0</v>
      </c>
      <c r="AI993" s="96">
        <f>IF(R993=0,0,IF(OR(U993=0,V993=0,Y993=0,AND(AH993=1,K993&lt;&gt;"Sim")),1,0))</f>
        <v>0</v>
      </c>
      <c r="AJ993" s="96">
        <f>IF(AND(R993=1,AA993&gt;0,AB993=AA993),1,0)</f>
        <v>0</v>
      </c>
      <c r="AK993" s="96">
        <f>IF(R993=0,0,IF(AA993&gt;0,N(L993),IF(ISNUMBER(I993),I993,0)))</f>
        <v>0</v>
      </c>
      <c r="AL993" s="96">
        <f>IF(R993=0,0,IF(AND(K993&lt;&gt;"Sim",N(M993)&gt;AK993+cfg_tol),1,0))</f>
        <v>0</v>
      </c>
      <c r="AM993" s="96">
        <f>IF(R993=0,0,IF(K993="Sim",0,IF(OR(AND(AA993&gt;0,ISNUMBER(I993),ABS(I993-N(L993))&gt;cfg_tol),AL993=1),1,0)))</f>
        <v>0</v>
      </c>
      <c r="AN993" s="96">
        <f>IF(AND(R993=1,N(M993)&gt;0,OR(N(M993)&gt;=AK993-cfg_tol,K993="Sim")),1,0)</f>
        <v>0</v>
      </c>
      <c r="AO993" s="96">
        <f>IF(AND(AN993=1,AD993&gt;0,AE993=AD993,AL993=0),1,0)</f>
        <v>0</v>
      </c>
      <c r="AP993" s="96">
        <f>IF(U993=0,0,IF(AND(INDEX('MTRs'!$AX$6:$AX$505,T993)=1,Z993=0,OR(f_res="",f_res="(Todos)",C993=f_res)),1,0))</f>
        <v>0</v>
      </c>
      <c r="AQ993" s="97" t="str">
        <f>IF(U993=0,"",INDEX('MTRs'!$AZ$6:$AZ$505,T993))</f>
        <v/>
      </c>
      <c r="AR993" s="96">
        <f>IF(U993=0,0,IF(AND(INDEX('MTRs'!$BA$6:$BA$505,T993)=1,Z993=0),1,0))</f>
        <v>0</v>
      </c>
      <c r="AS993" s="96" t="str">
        <f>IF(R993=1,A993&amp;" | MTR "&amp;IF(U993=1,INDEX('MTRs'!$B$6:$B$505,T993)&amp;"","?")&amp;" | "&amp;IF(C993="","(sem resíduo)",C993),"")</f>
        <v/>
      </c>
      <c r="AT993" s="96" t="str">
        <f>IF(R993=1,COUNTIF($R$6:R993,1),"")</f>
        <v/>
      </c>
      <c r="AU993" s="96" t="str">
        <f>IF(U993=1,INDEX('MTRs'!$I$6:$I$505,T993)&amp;"","")</f>
        <v/>
      </c>
    </row>
    <row r="994">
      <c r="A994" s="89" t="inlineStr">
        <is>
          <t>IT-000989</t>
        </is>
      </c>
      <c r="B994" s="91" t="n"/>
      <c r="C994" s="91" t="n"/>
      <c r="D994" s="94" t="str">
        <f>IF(OR(R994=0,V994=0),"",INDEX('CAD_RESÍDUOS'!$E$6:$E$205,MATCH(C994,'CAD_RESÍDUOS'!$B$6:$B$205,0))&amp;"")</f>
        <v/>
      </c>
      <c r="E994" s="94" t="str">
        <f>IF(OR(R994=0,V994=0),"",INDEX('CAD_RESÍDUOS'!$C$6:$C$205,MATCH(C994,'CAD_RESÍDUOS'!$B$6:$B$205,0))&amp;"")</f>
        <v/>
      </c>
      <c r="F994" s="94" t="str">
        <f>IF(OR(R994=0,V994=0),"",INDEX('CAD_RESÍDUOS'!$G$6:$G$205,MATCH(C994,'CAD_RESÍDUOS'!$B$6:$B$205,0))&amp;"")</f>
        <v/>
      </c>
      <c r="G994" s="98" t="n"/>
      <c r="H994" s="91" t="n"/>
      <c r="I994" s="93" t="str">
        <f>IF(R994=0,"",IF(NOT(ISNUMBER(G994)),"",IF(ISNUMBER(X994),G994*X994,"UNIDADE A CONFERIR")))</f>
        <v/>
      </c>
      <c r="J994" s="91" t="n"/>
      <c r="K994" s="91" t="n"/>
      <c r="L994" s="93" t="str">
        <f>IF(R994=0,"",SUMIFS('RECEBIMENTOS'!$H$6:$H$1005,'RECEBIMENTOS'!$R$6:$R$1005,A994,'RECEBIMENTOS'!$X$6:$X$1005,1))</f>
        <v/>
      </c>
      <c r="M994" s="93" t="str">
        <f>IF(R994=0,"",SUMIFS('VÍNCULOS_CDF'!$H$6:$H$1005,'VÍNCULOS_CDF'!$R$6:$R$1005,A994,'VÍNCULOS_CDF'!$V$6:$V$1005,1))</f>
        <v/>
      </c>
      <c r="N994" s="99" t="str">
        <f>IF(OR(R994=0,AA994=0,NOT(ISNUMBER(I994))),"",I994-N(L994))</f>
        <v/>
      </c>
      <c r="O994" s="100" t="str">
        <f>IF(OR(R994=0,AK994&lt;=0),"",N(M994)/AK994)</f>
        <v/>
      </c>
      <c r="P994" s="94" t="str">
        <f>IF(R994=0,"",IF(S994="","Sem MTR associado",IF(U994=0,"MTR inexistente",IF(C994="","Resíduo não identificado",IF(V994=0,"Resíduo fora do cadastro",IF(W994=0,"Quantidade inválida",IF(H994="","Unidade não informada",IF(NOT(ISNUMBER(I994)),"Unidade a conferir",IF(AND(AH994=1,K994&lt;&gt;"Sim"),"Possível duplicidade",IF(Z994=1,"MTR cancelado",IF(AC994&gt;0,"Recebimento com alerta",IF(AA994=0,"Aguardando recebimento",IF(AB994&lt;AA994,"Recebimento a conferir",IF(AM994=1,"Quantidade a revisar",IF(AF994&gt;0,"Vínculo a revisar",IF(AD994=0,"Aguardando CDF",IF(AN994=0,"Vínculo de CDF parcial",IF(AE994&lt;AD994,"CDF a conferir","Documentação conferida"))))))))))))))))))</f>
        <v/>
      </c>
      <c r="Q994" s="93" t="str">
        <f>IF(OR(R994=0,AA994=0),"",MAX(0,N(L994)-N(M994)))</f>
        <v/>
      </c>
      <c r="R994" s="96">
        <f>IF(COUNTA(B994:C994,G994:H994,J994:K994)&gt;0,1,0)</f>
        <v>0</v>
      </c>
      <c r="S994" s="96" t="str">
        <f>IF(B994="","",TRIM(LEFT(B994,FIND(" |",B994&amp;" |")-1)))</f>
        <v/>
      </c>
      <c r="T994" s="96" t="str">
        <f>IF(S994="","",IFERROR(MATCH(S994,'MTRs'!$A$6:$A$505,0),""))</f>
        <v/>
      </c>
      <c r="U994" s="96">
        <f>IF(T994="",0,IF(INDEX('MTRs'!$Z$6:$Z$505,T994)=1,1,0))</f>
        <v>0</v>
      </c>
      <c r="V994" s="96">
        <f>IF(C994="",0,IF(ISNUMBER(MATCH(C994,'CAD_RESÍDUOS'!$B$6:$B$205,0)),1,0))</f>
        <v>0</v>
      </c>
      <c r="W994" s="96">
        <f>IF(AND(ISNUMBER(G994),G994&gt;0),1,0)</f>
        <v>0</v>
      </c>
      <c r="X994" s="96" t="str">
        <f>IF(H994="","",IFERROR(IF(ISNUMBER(INDEX(cfg_fac,MATCH(H994,cfg_units,0))),IF(INDEX(cfg_fac,MATCH(H994,cfg_units,0))&gt;0,INDEX(cfg_fac,MATCH(H994,cfg_units,0)),""),""),""))</f>
        <v/>
      </c>
      <c r="Y994" s="96">
        <f>IF(AND(W994=1,ISNUMBER(I994)),1,0)</f>
        <v>0</v>
      </c>
      <c r="Z994" s="96">
        <f>IF(U994=1,INDEX('MTRs'!$AA$6:$AA$505,T994),0)</f>
        <v>0</v>
      </c>
      <c r="AA994" s="96">
        <f>IF(R994=0,0,COUNTIFS('RECEBIMENTOS'!$R$6:$R$1005,A994,'RECEBIMENTOS'!$Q$6:$Q$1005,1))</f>
        <v>0</v>
      </c>
      <c r="AB994" s="96">
        <f>IF(R994=0,0,COUNTIFS('RECEBIMENTOS'!$R$6:$R$1005,A994,'RECEBIMENTOS'!$Z$6:$Z$1005,1))</f>
        <v>0</v>
      </c>
      <c r="AC994" s="96">
        <f>IF(R994=0,0,COUNTIFS('RECEBIMENTOS'!$R$6:$R$1005,A994,'RECEBIMENTOS'!$Y$6:$Y$1005,1))</f>
        <v>0</v>
      </c>
      <c r="AD994" s="96">
        <f>IF(R994=0,0,COUNTIFS('VÍNCULOS_CDF'!$R$6:$R$1005,A994,'VÍNCULOS_CDF'!$N$6:$N$1005,1))</f>
        <v>0</v>
      </c>
      <c r="AE994" s="96">
        <f>IF(R994=0,0,COUNTIFS('VÍNCULOS_CDF'!$R$6:$R$1005,A994,'VÍNCULOS_CDF'!$AA$6:$AA$1005,1))</f>
        <v>0</v>
      </c>
      <c r="AF994" s="96">
        <f>IF(R994=0,0,COUNTIFS('VÍNCULOS_CDF'!$R$6:$R$1005,A994,'VÍNCULOS_CDF'!$Y$6:$Y$1005,1))</f>
        <v>0</v>
      </c>
      <c r="AG994" s="96" t="str">
        <f>IF(AND(R994=1,S994&lt;&gt;"",C994&lt;&gt;""),S994&amp;"|"&amp;C994&amp;"|"&amp;G994&amp;"|"&amp;H994,"")</f>
        <v/>
      </c>
      <c r="AH994" s="96">
        <f>IF(AG994="",0,IF(SUMPRODUCT(--($AG$6:$AG$1005=AG994))&gt;1,1,0))</f>
        <v>0</v>
      </c>
      <c r="AI994" s="96">
        <f>IF(R994=0,0,IF(OR(U994=0,V994=0,Y994=0,AND(AH994=1,K994&lt;&gt;"Sim")),1,0))</f>
        <v>0</v>
      </c>
      <c r="AJ994" s="96">
        <f>IF(AND(R994=1,AA994&gt;0,AB994=AA994),1,0)</f>
        <v>0</v>
      </c>
      <c r="AK994" s="96">
        <f>IF(R994=0,0,IF(AA994&gt;0,N(L994),IF(ISNUMBER(I994),I994,0)))</f>
        <v>0</v>
      </c>
      <c r="AL994" s="96">
        <f>IF(R994=0,0,IF(AND(K994&lt;&gt;"Sim",N(M994)&gt;AK994+cfg_tol),1,0))</f>
        <v>0</v>
      </c>
      <c r="AM994" s="96">
        <f>IF(R994=0,0,IF(K994="Sim",0,IF(OR(AND(AA994&gt;0,ISNUMBER(I994),ABS(I994-N(L994))&gt;cfg_tol),AL994=1),1,0)))</f>
        <v>0</v>
      </c>
      <c r="AN994" s="96">
        <f>IF(AND(R994=1,N(M994)&gt;0,OR(N(M994)&gt;=AK994-cfg_tol,K994="Sim")),1,0)</f>
        <v>0</v>
      </c>
      <c r="AO994" s="96">
        <f>IF(AND(AN994=1,AD994&gt;0,AE994=AD994,AL994=0),1,0)</f>
        <v>0</v>
      </c>
      <c r="AP994" s="96">
        <f>IF(U994=0,0,IF(AND(INDEX('MTRs'!$AX$6:$AX$505,T994)=1,Z994=0,OR(f_res="",f_res="(Todos)",C994=f_res)),1,0))</f>
        <v>0</v>
      </c>
      <c r="AQ994" s="97" t="str">
        <f>IF(U994=0,"",INDEX('MTRs'!$AZ$6:$AZ$505,T994))</f>
        <v/>
      </c>
      <c r="AR994" s="96">
        <f>IF(U994=0,0,IF(AND(INDEX('MTRs'!$BA$6:$BA$505,T994)=1,Z994=0),1,0))</f>
        <v>0</v>
      </c>
      <c r="AS994" s="96" t="str">
        <f>IF(R994=1,A994&amp;" | MTR "&amp;IF(U994=1,INDEX('MTRs'!$B$6:$B$505,T994)&amp;"","?")&amp;" | "&amp;IF(C994="","(sem resíduo)",C994),"")</f>
        <v/>
      </c>
      <c r="AT994" s="96" t="str">
        <f>IF(R994=1,COUNTIF($R$6:R994,1),"")</f>
        <v/>
      </c>
      <c r="AU994" s="96" t="str">
        <f>IF(U994=1,INDEX('MTRs'!$I$6:$I$505,T994)&amp;"","")</f>
        <v/>
      </c>
    </row>
    <row r="995">
      <c r="A995" s="89" t="inlineStr">
        <is>
          <t>IT-000990</t>
        </is>
      </c>
      <c r="B995" s="91" t="n"/>
      <c r="C995" s="91" t="n"/>
      <c r="D995" s="94" t="str">
        <f>IF(OR(R995=0,V995=0),"",INDEX('CAD_RESÍDUOS'!$E$6:$E$205,MATCH(C995,'CAD_RESÍDUOS'!$B$6:$B$205,0))&amp;"")</f>
        <v/>
      </c>
      <c r="E995" s="94" t="str">
        <f>IF(OR(R995=0,V995=0),"",INDEX('CAD_RESÍDUOS'!$C$6:$C$205,MATCH(C995,'CAD_RESÍDUOS'!$B$6:$B$205,0))&amp;"")</f>
        <v/>
      </c>
      <c r="F995" s="94" t="str">
        <f>IF(OR(R995=0,V995=0),"",INDEX('CAD_RESÍDUOS'!$G$6:$G$205,MATCH(C995,'CAD_RESÍDUOS'!$B$6:$B$205,0))&amp;"")</f>
        <v/>
      </c>
      <c r="G995" s="98" t="n"/>
      <c r="H995" s="91" t="n"/>
      <c r="I995" s="93" t="str">
        <f>IF(R995=0,"",IF(NOT(ISNUMBER(G995)),"",IF(ISNUMBER(X995),G995*X995,"UNIDADE A CONFERIR")))</f>
        <v/>
      </c>
      <c r="J995" s="91" t="n"/>
      <c r="K995" s="91" t="n"/>
      <c r="L995" s="93" t="str">
        <f>IF(R995=0,"",SUMIFS('RECEBIMENTOS'!$H$6:$H$1005,'RECEBIMENTOS'!$R$6:$R$1005,A995,'RECEBIMENTOS'!$X$6:$X$1005,1))</f>
        <v/>
      </c>
      <c r="M995" s="93" t="str">
        <f>IF(R995=0,"",SUMIFS('VÍNCULOS_CDF'!$H$6:$H$1005,'VÍNCULOS_CDF'!$R$6:$R$1005,A995,'VÍNCULOS_CDF'!$V$6:$V$1005,1))</f>
        <v/>
      </c>
      <c r="N995" s="99" t="str">
        <f>IF(OR(R995=0,AA995=0,NOT(ISNUMBER(I995))),"",I995-N(L995))</f>
        <v/>
      </c>
      <c r="O995" s="100" t="str">
        <f>IF(OR(R995=0,AK995&lt;=0),"",N(M995)/AK995)</f>
        <v/>
      </c>
      <c r="P995" s="94" t="str">
        <f>IF(R995=0,"",IF(S995="","Sem MTR associado",IF(U995=0,"MTR inexistente",IF(C995="","Resíduo não identificado",IF(V995=0,"Resíduo fora do cadastro",IF(W995=0,"Quantidade inválida",IF(H995="","Unidade não informada",IF(NOT(ISNUMBER(I995)),"Unidade a conferir",IF(AND(AH995=1,K995&lt;&gt;"Sim"),"Possível duplicidade",IF(Z995=1,"MTR cancelado",IF(AC995&gt;0,"Recebimento com alerta",IF(AA995=0,"Aguardando recebimento",IF(AB995&lt;AA995,"Recebimento a conferir",IF(AM995=1,"Quantidade a revisar",IF(AF995&gt;0,"Vínculo a revisar",IF(AD995=0,"Aguardando CDF",IF(AN995=0,"Vínculo de CDF parcial",IF(AE995&lt;AD995,"CDF a conferir","Documentação conferida"))))))))))))))))))</f>
        <v/>
      </c>
      <c r="Q995" s="93" t="str">
        <f>IF(OR(R995=0,AA995=0),"",MAX(0,N(L995)-N(M995)))</f>
        <v/>
      </c>
      <c r="R995" s="96">
        <f>IF(COUNTA(B995:C995,G995:H995,J995:K995)&gt;0,1,0)</f>
        <v>0</v>
      </c>
      <c r="S995" s="96" t="str">
        <f>IF(B995="","",TRIM(LEFT(B995,FIND(" |",B995&amp;" |")-1)))</f>
        <v/>
      </c>
      <c r="T995" s="96" t="str">
        <f>IF(S995="","",IFERROR(MATCH(S995,'MTRs'!$A$6:$A$505,0),""))</f>
        <v/>
      </c>
      <c r="U995" s="96">
        <f>IF(T995="",0,IF(INDEX('MTRs'!$Z$6:$Z$505,T995)=1,1,0))</f>
        <v>0</v>
      </c>
      <c r="V995" s="96">
        <f>IF(C995="",0,IF(ISNUMBER(MATCH(C995,'CAD_RESÍDUOS'!$B$6:$B$205,0)),1,0))</f>
        <v>0</v>
      </c>
      <c r="W995" s="96">
        <f>IF(AND(ISNUMBER(G995),G995&gt;0),1,0)</f>
        <v>0</v>
      </c>
      <c r="X995" s="96" t="str">
        <f>IF(H995="","",IFERROR(IF(ISNUMBER(INDEX(cfg_fac,MATCH(H995,cfg_units,0))),IF(INDEX(cfg_fac,MATCH(H995,cfg_units,0))&gt;0,INDEX(cfg_fac,MATCH(H995,cfg_units,0)),""),""),""))</f>
        <v/>
      </c>
      <c r="Y995" s="96">
        <f>IF(AND(W995=1,ISNUMBER(I995)),1,0)</f>
        <v>0</v>
      </c>
      <c r="Z995" s="96">
        <f>IF(U995=1,INDEX('MTRs'!$AA$6:$AA$505,T995),0)</f>
        <v>0</v>
      </c>
      <c r="AA995" s="96">
        <f>IF(R995=0,0,COUNTIFS('RECEBIMENTOS'!$R$6:$R$1005,A995,'RECEBIMENTOS'!$Q$6:$Q$1005,1))</f>
        <v>0</v>
      </c>
      <c r="AB995" s="96">
        <f>IF(R995=0,0,COUNTIFS('RECEBIMENTOS'!$R$6:$R$1005,A995,'RECEBIMENTOS'!$Z$6:$Z$1005,1))</f>
        <v>0</v>
      </c>
      <c r="AC995" s="96">
        <f>IF(R995=0,0,COUNTIFS('RECEBIMENTOS'!$R$6:$R$1005,A995,'RECEBIMENTOS'!$Y$6:$Y$1005,1))</f>
        <v>0</v>
      </c>
      <c r="AD995" s="96">
        <f>IF(R995=0,0,COUNTIFS('VÍNCULOS_CDF'!$R$6:$R$1005,A995,'VÍNCULOS_CDF'!$N$6:$N$1005,1))</f>
        <v>0</v>
      </c>
      <c r="AE995" s="96">
        <f>IF(R995=0,0,COUNTIFS('VÍNCULOS_CDF'!$R$6:$R$1005,A995,'VÍNCULOS_CDF'!$AA$6:$AA$1005,1))</f>
        <v>0</v>
      </c>
      <c r="AF995" s="96">
        <f>IF(R995=0,0,COUNTIFS('VÍNCULOS_CDF'!$R$6:$R$1005,A995,'VÍNCULOS_CDF'!$Y$6:$Y$1005,1))</f>
        <v>0</v>
      </c>
      <c r="AG995" s="96" t="str">
        <f>IF(AND(R995=1,S995&lt;&gt;"",C995&lt;&gt;""),S995&amp;"|"&amp;C995&amp;"|"&amp;G995&amp;"|"&amp;H995,"")</f>
        <v/>
      </c>
      <c r="AH995" s="96">
        <f>IF(AG995="",0,IF(SUMPRODUCT(--($AG$6:$AG$1005=AG995))&gt;1,1,0))</f>
        <v>0</v>
      </c>
      <c r="AI995" s="96">
        <f>IF(R995=0,0,IF(OR(U995=0,V995=0,Y995=0,AND(AH995=1,K995&lt;&gt;"Sim")),1,0))</f>
        <v>0</v>
      </c>
      <c r="AJ995" s="96">
        <f>IF(AND(R995=1,AA995&gt;0,AB995=AA995),1,0)</f>
        <v>0</v>
      </c>
      <c r="AK995" s="96">
        <f>IF(R995=0,0,IF(AA995&gt;0,N(L995),IF(ISNUMBER(I995),I995,0)))</f>
        <v>0</v>
      </c>
      <c r="AL995" s="96">
        <f>IF(R995=0,0,IF(AND(K995&lt;&gt;"Sim",N(M995)&gt;AK995+cfg_tol),1,0))</f>
        <v>0</v>
      </c>
      <c r="AM995" s="96">
        <f>IF(R995=0,0,IF(K995="Sim",0,IF(OR(AND(AA995&gt;0,ISNUMBER(I995),ABS(I995-N(L995))&gt;cfg_tol),AL995=1),1,0)))</f>
        <v>0</v>
      </c>
      <c r="AN995" s="96">
        <f>IF(AND(R995=1,N(M995)&gt;0,OR(N(M995)&gt;=AK995-cfg_tol,K995="Sim")),1,0)</f>
        <v>0</v>
      </c>
      <c r="AO995" s="96">
        <f>IF(AND(AN995=1,AD995&gt;0,AE995=AD995,AL995=0),1,0)</f>
        <v>0</v>
      </c>
      <c r="AP995" s="96">
        <f>IF(U995=0,0,IF(AND(INDEX('MTRs'!$AX$6:$AX$505,T995)=1,Z995=0,OR(f_res="",f_res="(Todos)",C995=f_res)),1,0))</f>
        <v>0</v>
      </c>
      <c r="AQ995" s="97" t="str">
        <f>IF(U995=0,"",INDEX('MTRs'!$AZ$6:$AZ$505,T995))</f>
        <v/>
      </c>
      <c r="AR995" s="96">
        <f>IF(U995=0,0,IF(AND(INDEX('MTRs'!$BA$6:$BA$505,T995)=1,Z995=0),1,0))</f>
        <v>0</v>
      </c>
      <c r="AS995" s="96" t="str">
        <f>IF(R995=1,A995&amp;" | MTR "&amp;IF(U995=1,INDEX('MTRs'!$B$6:$B$505,T995)&amp;"","?")&amp;" | "&amp;IF(C995="","(sem resíduo)",C995),"")</f>
        <v/>
      </c>
      <c r="AT995" s="96" t="str">
        <f>IF(R995=1,COUNTIF($R$6:R995,1),"")</f>
        <v/>
      </c>
      <c r="AU995" s="96" t="str">
        <f>IF(U995=1,INDEX('MTRs'!$I$6:$I$505,T995)&amp;"","")</f>
        <v/>
      </c>
    </row>
    <row r="996">
      <c r="A996" s="89" t="inlineStr">
        <is>
          <t>IT-000991</t>
        </is>
      </c>
      <c r="B996" s="91" t="n"/>
      <c r="C996" s="91" t="n"/>
      <c r="D996" s="94" t="str">
        <f>IF(OR(R996=0,V996=0),"",INDEX('CAD_RESÍDUOS'!$E$6:$E$205,MATCH(C996,'CAD_RESÍDUOS'!$B$6:$B$205,0))&amp;"")</f>
        <v/>
      </c>
      <c r="E996" s="94" t="str">
        <f>IF(OR(R996=0,V996=0),"",INDEX('CAD_RESÍDUOS'!$C$6:$C$205,MATCH(C996,'CAD_RESÍDUOS'!$B$6:$B$205,0))&amp;"")</f>
        <v/>
      </c>
      <c r="F996" s="94" t="str">
        <f>IF(OR(R996=0,V996=0),"",INDEX('CAD_RESÍDUOS'!$G$6:$G$205,MATCH(C996,'CAD_RESÍDUOS'!$B$6:$B$205,0))&amp;"")</f>
        <v/>
      </c>
      <c r="G996" s="98" t="n"/>
      <c r="H996" s="91" t="n"/>
      <c r="I996" s="93" t="str">
        <f>IF(R996=0,"",IF(NOT(ISNUMBER(G996)),"",IF(ISNUMBER(X996),G996*X996,"UNIDADE A CONFERIR")))</f>
        <v/>
      </c>
      <c r="J996" s="91" t="n"/>
      <c r="K996" s="91" t="n"/>
      <c r="L996" s="93" t="str">
        <f>IF(R996=0,"",SUMIFS('RECEBIMENTOS'!$H$6:$H$1005,'RECEBIMENTOS'!$R$6:$R$1005,A996,'RECEBIMENTOS'!$X$6:$X$1005,1))</f>
        <v/>
      </c>
      <c r="M996" s="93" t="str">
        <f>IF(R996=0,"",SUMIFS('VÍNCULOS_CDF'!$H$6:$H$1005,'VÍNCULOS_CDF'!$R$6:$R$1005,A996,'VÍNCULOS_CDF'!$V$6:$V$1005,1))</f>
        <v/>
      </c>
      <c r="N996" s="99" t="str">
        <f>IF(OR(R996=0,AA996=0,NOT(ISNUMBER(I996))),"",I996-N(L996))</f>
        <v/>
      </c>
      <c r="O996" s="100" t="str">
        <f>IF(OR(R996=0,AK996&lt;=0),"",N(M996)/AK996)</f>
        <v/>
      </c>
      <c r="P996" s="94" t="str">
        <f>IF(R996=0,"",IF(S996="","Sem MTR associado",IF(U996=0,"MTR inexistente",IF(C996="","Resíduo não identificado",IF(V996=0,"Resíduo fora do cadastro",IF(W996=0,"Quantidade inválida",IF(H996="","Unidade não informada",IF(NOT(ISNUMBER(I996)),"Unidade a conferir",IF(AND(AH996=1,K996&lt;&gt;"Sim"),"Possível duplicidade",IF(Z996=1,"MTR cancelado",IF(AC996&gt;0,"Recebimento com alerta",IF(AA996=0,"Aguardando recebimento",IF(AB996&lt;AA996,"Recebimento a conferir",IF(AM996=1,"Quantidade a revisar",IF(AF996&gt;0,"Vínculo a revisar",IF(AD996=0,"Aguardando CDF",IF(AN996=0,"Vínculo de CDF parcial",IF(AE996&lt;AD996,"CDF a conferir","Documentação conferida"))))))))))))))))))</f>
        <v/>
      </c>
      <c r="Q996" s="93" t="str">
        <f>IF(OR(R996=0,AA996=0),"",MAX(0,N(L996)-N(M996)))</f>
        <v/>
      </c>
      <c r="R996" s="96">
        <f>IF(COUNTA(B996:C996,G996:H996,J996:K996)&gt;0,1,0)</f>
        <v>0</v>
      </c>
      <c r="S996" s="96" t="str">
        <f>IF(B996="","",TRIM(LEFT(B996,FIND(" |",B996&amp;" |")-1)))</f>
        <v/>
      </c>
      <c r="T996" s="96" t="str">
        <f>IF(S996="","",IFERROR(MATCH(S996,'MTRs'!$A$6:$A$505,0),""))</f>
        <v/>
      </c>
      <c r="U996" s="96">
        <f>IF(T996="",0,IF(INDEX('MTRs'!$Z$6:$Z$505,T996)=1,1,0))</f>
        <v>0</v>
      </c>
      <c r="V996" s="96">
        <f>IF(C996="",0,IF(ISNUMBER(MATCH(C996,'CAD_RESÍDUOS'!$B$6:$B$205,0)),1,0))</f>
        <v>0</v>
      </c>
      <c r="W996" s="96">
        <f>IF(AND(ISNUMBER(G996),G996&gt;0),1,0)</f>
        <v>0</v>
      </c>
      <c r="X996" s="96" t="str">
        <f>IF(H996="","",IFERROR(IF(ISNUMBER(INDEX(cfg_fac,MATCH(H996,cfg_units,0))),IF(INDEX(cfg_fac,MATCH(H996,cfg_units,0))&gt;0,INDEX(cfg_fac,MATCH(H996,cfg_units,0)),""),""),""))</f>
        <v/>
      </c>
      <c r="Y996" s="96">
        <f>IF(AND(W996=1,ISNUMBER(I996)),1,0)</f>
        <v>0</v>
      </c>
      <c r="Z996" s="96">
        <f>IF(U996=1,INDEX('MTRs'!$AA$6:$AA$505,T996),0)</f>
        <v>0</v>
      </c>
      <c r="AA996" s="96">
        <f>IF(R996=0,0,COUNTIFS('RECEBIMENTOS'!$R$6:$R$1005,A996,'RECEBIMENTOS'!$Q$6:$Q$1005,1))</f>
        <v>0</v>
      </c>
      <c r="AB996" s="96">
        <f>IF(R996=0,0,COUNTIFS('RECEBIMENTOS'!$R$6:$R$1005,A996,'RECEBIMENTOS'!$Z$6:$Z$1005,1))</f>
        <v>0</v>
      </c>
      <c r="AC996" s="96">
        <f>IF(R996=0,0,COUNTIFS('RECEBIMENTOS'!$R$6:$R$1005,A996,'RECEBIMENTOS'!$Y$6:$Y$1005,1))</f>
        <v>0</v>
      </c>
      <c r="AD996" s="96">
        <f>IF(R996=0,0,COUNTIFS('VÍNCULOS_CDF'!$R$6:$R$1005,A996,'VÍNCULOS_CDF'!$N$6:$N$1005,1))</f>
        <v>0</v>
      </c>
      <c r="AE996" s="96">
        <f>IF(R996=0,0,COUNTIFS('VÍNCULOS_CDF'!$R$6:$R$1005,A996,'VÍNCULOS_CDF'!$AA$6:$AA$1005,1))</f>
        <v>0</v>
      </c>
      <c r="AF996" s="96">
        <f>IF(R996=0,0,COUNTIFS('VÍNCULOS_CDF'!$R$6:$R$1005,A996,'VÍNCULOS_CDF'!$Y$6:$Y$1005,1))</f>
        <v>0</v>
      </c>
      <c r="AG996" s="96" t="str">
        <f>IF(AND(R996=1,S996&lt;&gt;"",C996&lt;&gt;""),S996&amp;"|"&amp;C996&amp;"|"&amp;G996&amp;"|"&amp;H996,"")</f>
        <v/>
      </c>
      <c r="AH996" s="96">
        <f>IF(AG996="",0,IF(SUMPRODUCT(--($AG$6:$AG$1005=AG996))&gt;1,1,0))</f>
        <v>0</v>
      </c>
      <c r="AI996" s="96">
        <f>IF(R996=0,0,IF(OR(U996=0,V996=0,Y996=0,AND(AH996=1,K996&lt;&gt;"Sim")),1,0))</f>
        <v>0</v>
      </c>
      <c r="AJ996" s="96">
        <f>IF(AND(R996=1,AA996&gt;0,AB996=AA996),1,0)</f>
        <v>0</v>
      </c>
      <c r="AK996" s="96">
        <f>IF(R996=0,0,IF(AA996&gt;0,N(L996),IF(ISNUMBER(I996),I996,0)))</f>
        <v>0</v>
      </c>
      <c r="AL996" s="96">
        <f>IF(R996=0,0,IF(AND(K996&lt;&gt;"Sim",N(M996)&gt;AK996+cfg_tol),1,0))</f>
        <v>0</v>
      </c>
      <c r="AM996" s="96">
        <f>IF(R996=0,0,IF(K996="Sim",0,IF(OR(AND(AA996&gt;0,ISNUMBER(I996),ABS(I996-N(L996))&gt;cfg_tol),AL996=1),1,0)))</f>
        <v>0</v>
      </c>
      <c r="AN996" s="96">
        <f>IF(AND(R996=1,N(M996)&gt;0,OR(N(M996)&gt;=AK996-cfg_tol,K996="Sim")),1,0)</f>
        <v>0</v>
      </c>
      <c r="AO996" s="96">
        <f>IF(AND(AN996=1,AD996&gt;0,AE996=AD996,AL996=0),1,0)</f>
        <v>0</v>
      </c>
      <c r="AP996" s="96">
        <f>IF(U996=0,0,IF(AND(INDEX('MTRs'!$AX$6:$AX$505,T996)=1,Z996=0,OR(f_res="",f_res="(Todos)",C996=f_res)),1,0))</f>
        <v>0</v>
      </c>
      <c r="AQ996" s="97" t="str">
        <f>IF(U996=0,"",INDEX('MTRs'!$AZ$6:$AZ$505,T996))</f>
        <v/>
      </c>
      <c r="AR996" s="96">
        <f>IF(U996=0,0,IF(AND(INDEX('MTRs'!$BA$6:$BA$505,T996)=1,Z996=0),1,0))</f>
        <v>0</v>
      </c>
      <c r="AS996" s="96" t="str">
        <f>IF(R996=1,A996&amp;" | MTR "&amp;IF(U996=1,INDEX('MTRs'!$B$6:$B$505,T996)&amp;"","?")&amp;" | "&amp;IF(C996="","(sem resíduo)",C996),"")</f>
        <v/>
      </c>
      <c r="AT996" s="96" t="str">
        <f>IF(R996=1,COUNTIF($R$6:R996,1),"")</f>
        <v/>
      </c>
      <c r="AU996" s="96" t="str">
        <f>IF(U996=1,INDEX('MTRs'!$I$6:$I$505,T996)&amp;"","")</f>
        <v/>
      </c>
    </row>
    <row r="997">
      <c r="A997" s="89" t="inlineStr">
        <is>
          <t>IT-000992</t>
        </is>
      </c>
      <c r="B997" s="91" t="n"/>
      <c r="C997" s="91" t="n"/>
      <c r="D997" s="94" t="str">
        <f>IF(OR(R997=0,V997=0),"",INDEX('CAD_RESÍDUOS'!$E$6:$E$205,MATCH(C997,'CAD_RESÍDUOS'!$B$6:$B$205,0))&amp;"")</f>
        <v/>
      </c>
      <c r="E997" s="94" t="str">
        <f>IF(OR(R997=0,V997=0),"",INDEX('CAD_RESÍDUOS'!$C$6:$C$205,MATCH(C997,'CAD_RESÍDUOS'!$B$6:$B$205,0))&amp;"")</f>
        <v/>
      </c>
      <c r="F997" s="94" t="str">
        <f>IF(OR(R997=0,V997=0),"",INDEX('CAD_RESÍDUOS'!$G$6:$G$205,MATCH(C997,'CAD_RESÍDUOS'!$B$6:$B$205,0))&amp;"")</f>
        <v/>
      </c>
      <c r="G997" s="98" t="n"/>
      <c r="H997" s="91" t="n"/>
      <c r="I997" s="93" t="str">
        <f>IF(R997=0,"",IF(NOT(ISNUMBER(G997)),"",IF(ISNUMBER(X997),G997*X997,"UNIDADE A CONFERIR")))</f>
        <v/>
      </c>
      <c r="J997" s="91" t="n"/>
      <c r="K997" s="91" t="n"/>
      <c r="L997" s="93" t="str">
        <f>IF(R997=0,"",SUMIFS('RECEBIMENTOS'!$H$6:$H$1005,'RECEBIMENTOS'!$R$6:$R$1005,A997,'RECEBIMENTOS'!$X$6:$X$1005,1))</f>
        <v/>
      </c>
      <c r="M997" s="93" t="str">
        <f>IF(R997=0,"",SUMIFS('VÍNCULOS_CDF'!$H$6:$H$1005,'VÍNCULOS_CDF'!$R$6:$R$1005,A997,'VÍNCULOS_CDF'!$V$6:$V$1005,1))</f>
        <v/>
      </c>
      <c r="N997" s="99" t="str">
        <f>IF(OR(R997=0,AA997=0,NOT(ISNUMBER(I997))),"",I997-N(L997))</f>
        <v/>
      </c>
      <c r="O997" s="100" t="str">
        <f>IF(OR(R997=0,AK997&lt;=0),"",N(M997)/AK997)</f>
        <v/>
      </c>
      <c r="P997" s="94" t="str">
        <f>IF(R997=0,"",IF(S997="","Sem MTR associado",IF(U997=0,"MTR inexistente",IF(C997="","Resíduo não identificado",IF(V997=0,"Resíduo fora do cadastro",IF(W997=0,"Quantidade inválida",IF(H997="","Unidade não informada",IF(NOT(ISNUMBER(I997)),"Unidade a conferir",IF(AND(AH997=1,K997&lt;&gt;"Sim"),"Possível duplicidade",IF(Z997=1,"MTR cancelado",IF(AC997&gt;0,"Recebimento com alerta",IF(AA997=0,"Aguardando recebimento",IF(AB997&lt;AA997,"Recebimento a conferir",IF(AM997=1,"Quantidade a revisar",IF(AF997&gt;0,"Vínculo a revisar",IF(AD997=0,"Aguardando CDF",IF(AN997=0,"Vínculo de CDF parcial",IF(AE997&lt;AD997,"CDF a conferir","Documentação conferida"))))))))))))))))))</f>
        <v/>
      </c>
      <c r="Q997" s="93" t="str">
        <f>IF(OR(R997=0,AA997=0),"",MAX(0,N(L997)-N(M997)))</f>
        <v/>
      </c>
      <c r="R997" s="96">
        <f>IF(COUNTA(B997:C997,G997:H997,J997:K997)&gt;0,1,0)</f>
        <v>0</v>
      </c>
      <c r="S997" s="96" t="str">
        <f>IF(B997="","",TRIM(LEFT(B997,FIND(" |",B997&amp;" |")-1)))</f>
        <v/>
      </c>
      <c r="T997" s="96" t="str">
        <f>IF(S997="","",IFERROR(MATCH(S997,'MTRs'!$A$6:$A$505,0),""))</f>
        <v/>
      </c>
      <c r="U997" s="96">
        <f>IF(T997="",0,IF(INDEX('MTRs'!$Z$6:$Z$505,T997)=1,1,0))</f>
        <v>0</v>
      </c>
      <c r="V997" s="96">
        <f>IF(C997="",0,IF(ISNUMBER(MATCH(C997,'CAD_RESÍDUOS'!$B$6:$B$205,0)),1,0))</f>
        <v>0</v>
      </c>
      <c r="W997" s="96">
        <f>IF(AND(ISNUMBER(G997),G997&gt;0),1,0)</f>
        <v>0</v>
      </c>
      <c r="X997" s="96" t="str">
        <f>IF(H997="","",IFERROR(IF(ISNUMBER(INDEX(cfg_fac,MATCH(H997,cfg_units,0))),IF(INDEX(cfg_fac,MATCH(H997,cfg_units,0))&gt;0,INDEX(cfg_fac,MATCH(H997,cfg_units,0)),""),""),""))</f>
        <v/>
      </c>
      <c r="Y997" s="96">
        <f>IF(AND(W997=1,ISNUMBER(I997)),1,0)</f>
        <v>0</v>
      </c>
      <c r="Z997" s="96">
        <f>IF(U997=1,INDEX('MTRs'!$AA$6:$AA$505,T997),0)</f>
        <v>0</v>
      </c>
      <c r="AA997" s="96">
        <f>IF(R997=0,0,COUNTIFS('RECEBIMENTOS'!$R$6:$R$1005,A997,'RECEBIMENTOS'!$Q$6:$Q$1005,1))</f>
        <v>0</v>
      </c>
      <c r="AB997" s="96">
        <f>IF(R997=0,0,COUNTIFS('RECEBIMENTOS'!$R$6:$R$1005,A997,'RECEBIMENTOS'!$Z$6:$Z$1005,1))</f>
        <v>0</v>
      </c>
      <c r="AC997" s="96">
        <f>IF(R997=0,0,COUNTIFS('RECEBIMENTOS'!$R$6:$R$1005,A997,'RECEBIMENTOS'!$Y$6:$Y$1005,1))</f>
        <v>0</v>
      </c>
      <c r="AD997" s="96">
        <f>IF(R997=0,0,COUNTIFS('VÍNCULOS_CDF'!$R$6:$R$1005,A997,'VÍNCULOS_CDF'!$N$6:$N$1005,1))</f>
        <v>0</v>
      </c>
      <c r="AE997" s="96">
        <f>IF(R997=0,0,COUNTIFS('VÍNCULOS_CDF'!$R$6:$R$1005,A997,'VÍNCULOS_CDF'!$AA$6:$AA$1005,1))</f>
        <v>0</v>
      </c>
      <c r="AF997" s="96">
        <f>IF(R997=0,0,COUNTIFS('VÍNCULOS_CDF'!$R$6:$R$1005,A997,'VÍNCULOS_CDF'!$Y$6:$Y$1005,1))</f>
        <v>0</v>
      </c>
      <c r="AG997" s="96" t="str">
        <f>IF(AND(R997=1,S997&lt;&gt;"",C997&lt;&gt;""),S997&amp;"|"&amp;C997&amp;"|"&amp;G997&amp;"|"&amp;H997,"")</f>
        <v/>
      </c>
      <c r="AH997" s="96">
        <f>IF(AG997="",0,IF(SUMPRODUCT(--($AG$6:$AG$1005=AG997))&gt;1,1,0))</f>
        <v>0</v>
      </c>
      <c r="AI997" s="96">
        <f>IF(R997=0,0,IF(OR(U997=0,V997=0,Y997=0,AND(AH997=1,K997&lt;&gt;"Sim")),1,0))</f>
        <v>0</v>
      </c>
      <c r="AJ997" s="96">
        <f>IF(AND(R997=1,AA997&gt;0,AB997=AA997),1,0)</f>
        <v>0</v>
      </c>
      <c r="AK997" s="96">
        <f>IF(R997=0,0,IF(AA997&gt;0,N(L997),IF(ISNUMBER(I997),I997,0)))</f>
        <v>0</v>
      </c>
      <c r="AL997" s="96">
        <f>IF(R997=0,0,IF(AND(K997&lt;&gt;"Sim",N(M997)&gt;AK997+cfg_tol),1,0))</f>
        <v>0</v>
      </c>
      <c r="AM997" s="96">
        <f>IF(R997=0,0,IF(K997="Sim",0,IF(OR(AND(AA997&gt;0,ISNUMBER(I997),ABS(I997-N(L997))&gt;cfg_tol),AL997=1),1,0)))</f>
        <v>0</v>
      </c>
      <c r="AN997" s="96">
        <f>IF(AND(R997=1,N(M997)&gt;0,OR(N(M997)&gt;=AK997-cfg_tol,K997="Sim")),1,0)</f>
        <v>0</v>
      </c>
      <c r="AO997" s="96">
        <f>IF(AND(AN997=1,AD997&gt;0,AE997=AD997,AL997=0),1,0)</f>
        <v>0</v>
      </c>
      <c r="AP997" s="96">
        <f>IF(U997=0,0,IF(AND(INDEX('MTRs'!$AX$6:$AX$505,T997)=1,Z997=0,OR(f_res="",f_res="(Todos)",C997=f_res)),1,0))</f>
        <v>0</v>
      </c>
      <c r="AQ997" s="97" t="str">
        <f>IF(U997=0,"",INDEX('MTRs'!$AZ$6:$AZ$505,T997))</f>
        <v/>
      </c>
      <c r="AR997" s="96">
        <f>IF(U997=0,0,IF(AND(INDEX('MTRs'!$BA$6:$BA$505,T997)=1,Z997=0),1,0))</f>
        <v>0</v>
      </c>
      <c r="AS997" s="96" t="str">
        <f>IF(R997=1,A997&amp;" | MTR "&amp;IF(U997=1,INDEX('MTRs'!$B$6:$B$505,T997)&amp;"","?")&amp;" | "&amp;IF(C997="","(sem resíduo)",C997),"")</f>
        <v/>
      </c>
      <c r="AT997" s="96" t="str">
        <f>IF(R997=1,COUNTIF($R$6:R997,1),"")</f>
        <v/>
      </c>
      <c r="AU997" s="96" t="str">
        <f>IF(U997=1,INDEX('MTRs'!$I$6:$I$505,T997)&amp;"","")</f>
        <v/>
      </c>
    </row>
    <row r="998">
      <c r="A998" s="89" t="inlineStr">
        <is>
          <t>IT-000993</t>
        </is>
      </c>
      <c r="B998" s="91" t="n"/>
      <c r="C998" s="91" t="n"/>
      <c r="D998" s="94" t="str">
        <f>IF(OR(R998=0,V998=0),"",INDEX('CAD_RESÍDUOS'!$E$6:$E$205,MATCH(C998,'CAD_RESÍDUOS'!$B$6:$B$205,0))&amp;"")</f>
        <v/>
      </c>
      <c r="E998" s="94" t="str">
        <f>IF(OR(R998=0,V998=0),"",INDEX('CAD_RESÍDUOS'!$C$6:$C$205,MATCH(C998,'CAD_RESÍDUOS'!$B$6:$B$205,0))&amp;"")</f>
        <v/>
      </c>
      <c r="F998" s="94" t="str">
        <f>IF(OR(R998=0,V998=0),"",INDEX('CAD_RESÍDUOS'!$G$6:$G$205,MATCH(C998,'CAD_RESÍDUOS'!$B$6:$B$205,0))&amp;"")</f>
        <v/>
      </c>
      <c r="G998" s="98" t="n"/>
      <c r="H998" s="91" t="n"/>
      <c r="I998" s="93" t="str">
        <f>IF(R998=0,"",IF(NOT(ISNUMBER(G998)),"",IF(ISNUMBER(X998),G998*X998,"UNIDADE A CONFERIR")))</f>
        <v/>
      </c>
      <c r="J998" s="91" t="n"/>
      <c r="K998" s="91" t="n"/>
      <c r="L998" s="93" t="str">
        <f>IF(R998=0,"",SUMIFS('RECEBIMENTOS'!$H$6:$H$1005,'RECEBIMENTOS'!$R$6:$R$1005,A998,'RECEBIMENTOS'!$X$6:$X$1005,1))</f>
        <v/>
      </c>
      <c r="M998" s="93" t="str">
        <f>IF(R998=0,"",SUMIFS('VÍNCULOS_CDF'!$H$6:$H$1005,'VÍNCULOS_CDF'!$R$6:$R$1005,A998,'VÍNCULOS_CDF'!$V$6:$V$1005,1))</f>
        <v/>
      </c>
      <c r="N998" s="99" t="str">
        <f>IF(OR(R998=0,AA998=0,NOT(ISNUMBER(I998))),"",I998-N(L998))</f>
        <v/>
      </c>
      <c r="O998" s="100" t="str">
        <f>IF(OR(R998=0,AK998&lt;=0),"",N(M998)/AK998)</f>
        <v/>
      </c>
      <c r="P998" s="94" t="str">
        <f>IF(R998=0,"",IF(S998="","Sem MTR associado",IF(U998=0,"MTR inexistente",IF(C998="","Resíduo não identificado",IF(V998=0,"Resíduo fora do cadastro",IF(W998=0,"Quantidade inválida",IF(H998="","Unidade não informada",IF(NOT(ISNUMBER(I998)),"Unidade a conferir",IF(AND(AH998=1,K998&lt;&gt;"Sim"),"Possível duplicidade",IF(Z998=1,"MTR cancelado",IF(AC998&gt;0,"Recebimento com alerta",IF(AA998=0,"Aguardando recebimento",IF(AB998&lt;AA998,"Recebimento a conferir",IF(AM998=1,"Quantidade a revisar",IF(AF998&gt;0,"Vínculo a revisar",IF(AD998=0,"Aguardando CDF",IF(AN998=0,"Vínculo de CDF parcial",IF(AE998&lt;AD998,"CDF a conferir","Documentação conferida"))))))))))))))))))</f>
        <v/>
      </c>
      <c r="Q998" s="93" t="str">
        <f>IF(OR(R998=0,AA998=0),"",MAX(0,N(L998)-N(M998)))</f>
        <v/>
      </c>
      <c r="R998" s="96">
        <f>IF(COUNTA(B998:C998,G998:H998,J998:K998)&gt;0,1,0)</f>
        <v>0</v>
      </c>
      <c r="S998" s="96" t="str">
        <f>IF(B998="","",TRIM(LEFT(B998,FIND(" |",B998&amp;" |")-1)))</f>
        <v/>
      </c>
      <c r="T998" s="96" t="str">
        <f>IF(S998="","",IFERROR(MATCH(S998,'MTRs'!$A$6:$A$505,0),""))</f>
        <v/>
      </c>
      <c r="U998" s="96">
        <f>IF(T998="",0,IF(INDEX('MTRs'!$Z$6:$Z$505,T998)=1,1,0))</f>
        <v>0</v>
      </c>
      <c r="V998" s="96">
        <f>IF(C998="",0,IF(ISNUMBER(MATCH(C998,'CAD_RESÍDUOS'!$B$6:$B$205,0)),1,0))</f>
        <v>0</v>
      </c>
      <c r="W998" s="96">
        <f>IF(AND(ISNUMBER(G998),G998&gt;0),1,0)</f>
        <v>0</v>
      </c>
      <c r="X998" s="96" t="str">
        <f>IF(H998="","",IFERROR(IF(ISNUMBER(INDEX(cfg_fac,MATCH(H998,cfg_units,0))),IF(INDEX(cfg_fac,MATCH(H998,cfg_units,0))&gt;0,INDEX(cfg_fac,MATCH(H998,cfg_units,0)),""),""),""))</f>
        <v/>
      </c>
      <c r="Y998" s="96">
        <f>IF(AND(W998=1,ISNUMBER(I998)),1,0)</f>
        <v>0</v>
      </c>
      <c r="Z998" s="96">
        <f>IF(U998=1,INDEX('MTRs'!$AA$6:$AA$505,T998),0)</f>
        <v>0</v>
      </c>
      <c r="AA998" s="96">
        <f>IF(R998=0,0,COUNTIFS('RECEBIMENTOS'!$R$6:$R$1005,A998,'RECEBIMENTOS'!$Q$6:$Q$1005,1))</f>
        <v>0</v>
      </c>
      <c r="AB998" s="96">
        <f>IF(R998=0,0,COUNTIFS('RECEBIMENTOS'!$R$6:$R$1005,A998,'RECEBIMENTOS'!$Z$6:$Z$1005,1))</f>
        <v>0</v>
      </c>
      <c r="AC998" s="96">
        <f>IF(R998=0,0,COUNTIFS('RECEBIMENTOS'!$R$6:$R$1005,A998,'RECEBIMENTOS'!$Y$6:$Y$1005,1))</f>
        <v>0</v>
      </c>
      <c r="AD998" s="96">
        <f>IF(R998=0,0,COUNTIFS('VÍNCULOS_CDF'!$R$6:$R$1005,A998,'VÍNCULOS_CDF'!$N$6:$N$1005,1))</f>
        <v>0</v>
      </c>
      <c r="AE998" s="96">
        <f>IF(R998=0,0,COUNTIFS('VÍNCULOS_CDF'!$R$6:$R$1005,A998,'VÍNCULOS_CDF'!$AA$6:$AA$1005,1))</f>
        <v>0</v>
      </c>
      <c r="AF998" s="96">
        <f>IF(R998=0,0,COUNTIFS('VÍNCULOS_CDF'!$R$6:$R$1005,A998,'VÍNCULOS_CDF'!$Y$6:$Y$1005,1))</f>
        <v>0</v>
      </c>
      <c r="AG998" s="96" t="str">
        <f>IF(AND(R998=1,S998&lt;&gt;"",C998&lt;&gt;""),S998&amp;"|"&amp;C998&amp;"|"&amp;G998&amp;"|"&amp;H998,"")</f>
        <v/>
      </c>
      <c r="AH998" s="96">
        <f>IF(AG998="",0,IF(SUMPRODUCT(--($AG$6:$AG$1005=AG998))&gt;1,1,0))</f>
        <v>0</v>
      </c>
      <c r="AI998" s="96">
        <f>IF(R998=0,0,IF(OR(U998=0,V998=0,Y998=0,AND(AH998=1,K998&lt;&gt;"Sim")),1,0))</f>
        <v>0</v>
      </c>
      <c r="AJ998" s="96">
        <f>IF(AND(R998=1,AA998&gt;0,AB998=AA998),1,0)</f>
        <v>0</v>
      </c>
      <c r="AK998" s="96">
        <f>IF(R998=0,0,IF(AA998&gt;0,N(L998),IF(ISNUMBER(I998),I998,0)))</f>
        <v>0</v>
      </c>
      <c r="AL998" s="96">
        <f>IF(R998=0,0,IF(AND(K998&lt;&gt;"Sim",N(M998)&gt;AK998+cfg_tol),1,0))</f>
        <v>0</v>
      </c>
      <c r="AM998" s="96">
        <f>IF(R998=0,0,IF(K998="Sim",0,IF(OR(AND(AA998&gt;0,ISNUMBER(I998),ABS(I998-N(L998))&gt;cfg_tol),AL998=1),1,0)))</f>
        <v>0</v>
      </c>
      <c r="AN998" s="96">
        <f>IF(AND(R998=1,N(M998)&gt;0,OR(N(M998)&gt;=AK998-cfg_tol,K998="Sim")),1,0)</f>
        <v>0</v>
      </c>
      <c r="AO998" s="96">
        <f>IF(AND(AN998=1,AD998&gt;0,AE998=AD998,AL998=0),1,0)</f>
        <v>0</v>
      </c>
      <c r="AP998" s="96">
        <f>IF(U998=0,0,IF(AND(INDEX('MTRs'!$AX$6:$AX$505,T998)=1,Z998=0,OR(f_res="",f_res="(Todos)",C998=f_res)),1,0))</f>
        <v>0</v>
      </c>
      <c r="AQ998" s="97" t="str">
        <f>IF(U998=0,"",INDEX('MTRs'!$AZ$6:$AZ$505,T998))</f>
        <v/>
      </c>
      <c r="AR998" s="96">
        <f>IF(U998=0,0,IF(AND(INDEX('MTRs'!$BA$6:$BA$505,T998)=1,Z998=0),1,0))</f>
        <v>0</v>
      </c>
      <c r="AS998" s="96" t="str">
        <f>IF(R998=1,A998&amp;" | MTR "&amp;IF(U998=1,INDEX('MTRs'!$B$6:$B$505,T998)&amp;"","?")&amp;" | "&amp;IF(C998="","(sem resíduo)",C998),"")</f>
        <v/>
      </c>
      <c r="AT998" s="96" t="str">
        <f>IF(R998=1,COUNTIF($R$6:R998,1),"")</f>
        <v/>
      </c>
      <c r="AU998" s="96" t="str">
        <f>IF(U998=1,INDEX('MTRs'!$I$6:$I$505,T998)&amp;"","")</f>
        <v/>
      </c>
    </row>
    <row r="999">
      <c r="A999" s="89" t="inlineStr">
        <is>
          <t>IT-000994</t>
        </is>
      </c>
      <c r="B999" s="91" t="n"/>
      <c r="C999" s="91" t="n"/>
      <c r="D999" s="94" t="str">
        <f>IF(OR(R999=0,V999=0),"",INDEX('CAD_RESÍDUOS'!$E$6:$E$205,MATCH(C999,'CAD_RESÍDUOS'!$B$6:$B$205,0))&amp;"")</f>
        <v/>
      </c>
      <c r="E999" s="94" t="str">
        <f>IF(OR(R999=0,V999=0),"",INDEX('CAD_RESÍDUOS'!$C$6:$C$205,MATCH(C999,'CAD_RESÍDUOS'!$B$6:$B$205,0))&amp;"")</f>
        <v/>
      </c>
      <c r="F999" s="94" t="str">
        <f>IF(OR(R999=0,V999=0),"",INDEX('CAD_RESÍDUOS'!$G$6:$G$205,MATCH(C999,'CAD_RESÍDUOS'!$B$6:$B$205,0))&amp;"")</f>
        <v/>
      </c>
      <c r="G999" s="98" t="n"/>
      <c r="H999" s="91" t="n"/>
      <c r="I999" s="93" t="str">
        <f>IF(R999=0,"",IF(NOT(ISNUMBER(G999)),"",IF(ISNUMBER(X999),G999*X999,"UNIDADE A CONFERIR")))</f>
        <v/>
      </c>
      <c r="J999" s="91" t="n"/>
      <c r="K999" s="91" t="n"/>
      <c r="L999" s="93" t="str">
        <f>IF(R999=0,"",SUMIFS('RECEBIMENTOS'!$H$6:$H$1005,'RECEBIMENTOS'!$R$6:$R$1005,A999,'RECEBIMENTOS'!$X$6:$X$1005,1))</f>
        <v/>
      </c>
      <c r="M999" s="93" t="str">
        <f>IF(R999=0,"",SUMIFS('VÍNCULOS_CDF'!$H$6:$H$1005,'VÍNCULOS_CDF'!$R$6:$R$1005,A999,'VÍNCULOS_CDF'!$V$6:$V$1005,1))</f>
        <v/>
      </c>
      <c r="N999" s="99" t="str">
        <f>IF(OR(R999=0,AA999=0,NOT(ISNUMBER(I999))),"",I999-N(L999))</f>
        <v/>
      </c>
      <c r="O999" s="100" t="str">
        <f>IF(OR(R999=0,AK999&lt;=0),"",N(M999)/AK999)</f>
        <v/>
      </c>
      <c r="P999" s="94" t="str">
        <f>IF(R999=0,"",IF(S999="","Sem MTR associado",IF(U999=0,"MTR inexistente",IF(C999="","Resíduo não identificado",IF(V999=0,"Resíduo fora do cadastro",IF(W999=0,"Quantidade inválida",IF(H999="","Unidade não informada",IF(NOT(ISNUMBER(I999)),"Unidade a conferir",IF(AND(AH999=1,K999&lt;&gt;"Sim"),"Possível duplicidade",IF(Z999=1,"MTR cancelado",IF(AC999&gt;0,"Recebimento com alerta",IF(AA999=0,"Aguardando recebimento",IF(AB999&lt;AA999,"Recebimento a conferir",IF(AM999=1,"Quantidade a revisar",IF(AF999&gt;0,"Vínculo a revisar",IF(AD999=0,"Aguardando CDF",IF(AN999=0,"Vínculo de CDF parcial",IF(AE999&lt;AD999,"CDF a conferir","Documentação conferida"))))))))))))))))))</f>
        <v/>
      </c>
      <c r="Q999" s="93" t="str">
        <f>IF(OR(R999=0,AA999=0),"",MAX(0,N(L999)-N(M999)))</f>
        <v/>
      </c>
      <c r="R999" s="96">
        <f>IF(COUNTA(B999:C999,G999:H999,J999:K999)&gt;0,1,0)</f>
        <v>0</v>
      </c>
      <c r="S999" s="96" t="str">
        <f>IF(B999="","",TRIM(LEFT(B999,FIND(" |",B999&amp;" |")-1)))</f>
        <v/>
      </c>
      <c r="T999" s="96" t="str">
        <f>IF(S999="","",IFERROR(MATCH(S999,'MTRs'!$A$6:$A$505,0),""))</f>
        <v/>
      </c>
      <c r="U999" s="96">
        <f>IF(T999="",0,IF(INDEX('MTRs'!$Z$6:$Z$505,T999)=1,1,0))</f>
        <v>0</v>
      </c>
      <c r="V999" s="96">
        <f>IF(C999="",0,IF(ISNUMBER(MATCH(C999,'CAD_RESÍDUOS'!$B$6:$B$205,0)),1,0))</f>
        <v>0</v>
      </c>
      <c r="W999" s="96">
        <f>IF(AND(ISNUMBER(G999),G999&gt;0),1,0)</f>
        <v>0</v>
      </c>
      <c r="X999" s="96" t="str">
        <f>IF(H999="","",IFERROR(IF(ISNUMBER(INDEX(cfg_fac,MATCH(H999,cfg_units,0))),IF(INDEX(cfg_fac,MATCH(H999,cfg_units,0))&gt;0,INDEX(cfg_fac,MATCH(H999,cfg_units,0)),""),""),""))</f>
        <v/>
      </c>
      <c r="Y999" s="96">
        <f>IF(AND(W999=1,ISNUMBER(I999)),1,0)</f>
        <v>0</v>
      </c>
      <c r="Z999" s="96">
        <f>IF(U999=1,INDEX('MTRs'!$AA$6:$AA$505,T999),0)</f>
        <v>0</v>
      </c>
      <c r="AA999" s="96">
        <f>IF(R999=0,0,COUNTIFS('RECEBIMENTOS'!$R$6:$R$1005,A999,'RECEBIMENTOS'!$Q$6:$Q$1005,1))</f>
        <v>0</v>
      </c>
      <c r="AB999" s="96">
        <f>IF(R999=0,0,COUNTIFS('RECEBIMENTOS'!$R$6:$R$1005,A999,'RECEBIMENTOS'!$Z$6:$Z$1005,1))</f>
        <v>0</v>
      </c>
      <c r="AC999" s="96">
        <f>IF(R999=0,0,COUNTIFS('RECEBIMENTOS'!$R$6:$R$1005,A999,'RECEBIMENTOS'!$Y$6:$Y$1005,1))</f>
        <v>0</v>
      </c>
      <c r="AD999" s="96">
        <f>IF(R999=0,0,COUNTIFS('VÍNCULOS_CDF'!$R$6:$R$1005,A999,'VÍNCULOS_CDF'!$N$6:$N$1005,1))</f>
        <v>0</v>
      </c>
      <c r="AE999" s="96">
        <f>IF(R999=0,0,COUNTIFS('VÍNCULOS_CDF'!$R$6:$R$1005,A999,'VÍNCULOS_CDF'!$AA$6:$AA$1005,1))</f>
        <v>0</v>
      </c>
      <c r="AF999" s="96">
        <f>IF(R999=0,0,COUNTIFS('VÍNCULOS_CDF'!$R$6:$R$1005,A999,'VÍNCULOS_CDF'!$Y$6:$Y$1005,1))</f>
        <v>0</v>
      </c>
      <c r="AG999" s="96" t="str">
        <f>IF(AND(R999=1,S999&lt;&gt;"",C999&lt;&gt;""),S999&amp;"|"&amp;C999&amp;"|"&amp;G999&amp;"|"&amp;H999,"")</f>
        <v/>
      </c>
      <c r="AH999" s="96">
        <f>IF(AG999="",0,IF(SUMPRODUCT(--($AG$6:$AG$1005=AG999))&gt;1,1,0))</f>
        <v>0</v>
      </c>
      <c r="AI999" s="96">
        <f>IF(R999=0,0,IF(OR(U999=0,V999=0,Y999=0,AND(AH999=1,K999&lt;&gt;"Sim")),1,0))</f>
        <v>0</v>
      </c>
      <c r="AJ999" s="96">
        <f>IF(AND(R999=1,AA999&gt;0,AB999=AA999),1,0)</f>
        <v>0</v>
      </c>
      <c r="AK999" s="96">
        <f>IF(R999=0,0,IF(AA999&gt;0,N(L999),IF(ISNUMBER(I999),I999,0)))</f>
        <v>0</v>
      </c>
      <c r="AL999" s="96">
        <f>IF(R999=0,0,IF(AND(K999&lt;&gt;"Sim",N(M999)&gt;AK999+cfg_tol),1,0))</f>
        <v>0</v>
      </c>
      <c r="AM999" s="96">
        <f>IF(R999=0,0,IF(K999="Sim",0,IF(OR(AND(AA999&gt;0,ISNUMBER(I999),ABS(I999-N(L999))&gt;cfg_tol),AL999=1),1,0)))</f>
        <v>0</v>
      </c>
      <c r="AN999" s="96">
        <f>IF(AND(R999=1,N(M999)&gt;0,OR(N(M999)&gt;=AK999-cfg_tol,K999="Sim")),1,0)</f>
        <v>0</v>
      </c>
      <c r="AO999" s="96">
        <f>IF(AND(AN999=1,AD999&gt;0,AE999=AD999,AL999=0),1,0)</f>
        <v>0</v>
      </c>
      <c r="AP999" s="96">
        <f>IF(U999=0,0,IF(AND(INDEX('MTRs'!$AX$6:$AX$505,T999)=1,Z999=0,OR(f_res="",f_res="(Todos)",C999=f_res)),1,0))</f>
        <v>0</v>
      </c>
      <c r="AQ999" s="97" t="str">
        <f>IF(U999=0,"",INDEX('MTRs'!$AZ$6:$AZ$505,T999))</f>
        <v/>
      </c>
      <c r="AR999" s="96">
        <f>IF(U999=0,0,IF(AND(INDEX('MTRs'!$BA$6:$BA$505,T999)=1,Z999=0),1,0))</f>
        <v>0</v>
      </c>
      <c r="AS999" s="96" t="str">
        <f>IF(R999=1,A999&amp;" | MTR "&amp;IF(U999=1,INDEX('MTRs'!$B$6:$B$505,T999)&amp;"","?")&amp;" | "&amp;IF(C999="","(sem resíduo)",C999),"")</f>
        <v/>
      </c>
      <c r="AT999" s="96" t="str">
        <f>IF(R999=1,COUNTIF($R$6:R999,1),"")</f>
        <v/>
      </c>
      <c r="AU999" s="96" t="str">
        <f>IF(U999=1,INDEX('MTRs'!$I$6:$I$505,T999)&amp;"","")</f>
        <v/>
      </c>
    </row>
    <row r="1000">
      <c r="A1000" s="89" t="inlineStr">
        <is>
          <t>IT-000995</t>
        </is>
      </c>
      <c r="B1000" s="91" t="n"/>
      <c r="C1000" s="91" t="n"/>
      <c r="D1000" s="94" t="str">
        <f>IF(OR(R1000=0,V1000=0),"",INDEX('CAD_RESÍDUOS'!$E$6:$E$205,MATCH(C1000,'CAD_RESÍDUOS'!$B$6:$B$205,0))&amp;"")</f>
        <v/>
      </c>
      <c r="E1000" s="94" t="str">
        <f>IF(OR(R1000=0,V1000=0),"",INDEX('CAD_RESÍDUOS'!$C$6:$C$205,MATCH(C1000,'CAD_RESÍDUOS'!$B$6:$B$205,0))&amp;"")</f>
        <v/>
      </c>
      <c r="F1000" s="94" t="str">
        <f>IF(OR(R1000=0,V1000=0),"",INDEX('CAD_RESÍDUOS'!$G$6:$G$205,MATCH(C1000,'CAD_RESÍDUOS'!$B$6:$B$205,0))&amp;"")</f>
        <v/>
      </c>
      <c r="G1000" s="98" t="n"/>
      <c r="H1000" s="91" t="n"/>
      <c r="I1000" s="93" t="str">
        <f>IF(R1000=0,"",IF(NOT(ISNUMBER(G1000)),"",IF(ISNUMBER(X1000),G1000*X1000,"UNIDADE A CONFERIR")))</f>
        <v/>
      </c>
      <c r="J1000" s="91" t="n"/>
      <c r="K1000" s="91" t="n"/>
      <c r="L1000" s="93" t="str">
        <f>IF(R1000=0,"",SUMIFS('RECEBIMENTOS'!$H$6:$H$1005,'RECEBIMENTOS'!$R$6:$R$1005,A1000,'RECEBIMENTOS'!$X$6:$X$1005,1))</f>
        <v/>
      </c>
      <c r="M1000" s="93" t="str">
        <f>IF(R1000=0,"",SUMIFS('VÍNCULOS_CDF'!$H$6:$H$1005,'VÍNCULOS_CDF'!$R$6:$R$1005,A1000,'VÍNCULOS_CDF'!$V$6:$V$1005,1))</f>
        <v/>
      </c>
      <c r="N1000" s="99" t="str">
        <f>IF(OR(R1000=0,AA1000=0,NOT(ISNUMBER(I1000))),"",I1000-N(L1000))</f>
        <v/>
      </c>
      <c r="O1000" s="100" t="str">
        <f>IF(OR(R1000=0,AK1000&lt;=0),"",N(M1000)/AK1000)</f>
        <v/>
      </c>
      <c r="P1000" s="94" t="str">
        <f>IF(R1000=0,"",IF(S1000="","Sem MTR associado",IF(U1000=0,"MTR inexistente",IF(C1000="","Resíduo não identificado",IF(V1000=0,"Resíduo fora do cadastro",IF(W1000=0,"Quantidade inválida",IF(H1000="","Unidade não informada",IF(NOT(ISNUMBER(I1000)),"Unidade a conferir",IF(AND(AH1000=1,K1000&lt;&gt;"Sim"),"Possível duplicidade",IF(Z1000=1,"MTR cancelado",IF(AC1000&gt;0,"Recebimento com alerta",IF(AA1000=0,"Aguardando recebimento",IF(AB1000&lt;AA1000,"Recebimento a conferir",IF(AM1000=1,"Quantidade a revisar",IF(AF1000&gt;0,"Vínculo a revisar",IF(AD1000=0,"Aguardando CDF",IF(AN1000=0,"Vínculo de CDF parcial",IF(AE1000&lt;AD1000,"CDF a conferir","Documentação conferida"))))))))))))))))))</f>
        <v/>
      </c>
      <c r="Q1000" s="93" t="str">
        <f>IF(OR(R1000=0,AA1000=0),"",MAX(0,N(L1000)-N(M1000)))</f>
        <v/>
      </c>
      <c r="R1000" s="96">
        <f>IF(COUNTA(B1000:C1000,G1000:H1000,J1000:K1000)&gt;0,1,0)</f>
        <v>0</v>
      </c>
      <c r="S1000" s="96" t="str">
        <f>IF(B1000="","",TRIM(LEFT(B1000,FIND(" |",B1000&amp;" |")-1)))</f>
        <v/>
      </c>
      <c r="T1000" s="96" t="str">
        <f>IF(S1000="","",IFERROR(MATCH(S1000,'MTRs'!$A$6:$A$505,0),""))</f>
        <v/>
      </c>
      <c r="U1000" s="96">
        <f>IF(T1000="",0,IF(INDEX('MTRs'!$Z$6:$Z$505,T1000)=1,1,0))</f>
        <v>0</v>
      </c>
      <c r="V1000" s="96">
        <f>IF(C1000="",0,IF(ISNUMBER(MATCH(C1000,'CAD_RESÍDUOS'!$B$6:$B$205,0)),1,0))</f>
        <v>0</v>
      </c>
      <c r="W1000" s="96">
        <f>IF(AND(ISNUMBER(G1000),G1000&gt;0),1,0)</f>
        <v>0</v>
      </c>
      <c r="X1000" s="96" t="str">
        <f>IF(H1000="","",IFERROR(IF(ISNUMBER(INDEX(cfg_fac,MATCH(H1000,cfg_units,0))),IF(INDEX(cfg_fac,MATCH(H1000,cfg_units,0))&gt;0,INDEX(cfg_fac,MATCH(H1000,cfg_units,0)),""),""),""))</f>
        <v/>
      </c>
      <c r="Y1000" s="96">
        <f>IF(AND(W1000=1,ISNUMBER(I1000)),1,0)</f>
        <v>0</v>
      </c>
      <c r="Z1000" s="96">
        <f>IF(U1000=1,INDEX('MTRs'!$AA$6:$AA$505,T1000),0)</f>
        <v>0</v>
      </c>
      <c r="AA1000" s="96">
        <f>IF(R1000=0,0,COUNTIFS('RECEBIMENTOS'!$R$6:$R$1005,A1000,'RECEBIMENTOS'!$Q$6:$Q$1005,1))</f>
        <v>0</v>
      </c>
      <c r="AB1000" s="96">
        <f>IF(R1000=0,0,COUNTIFS('RECEBIMENTOS'!$R$6:$R$1005,A1000,'RECEBIMENTOS'!$Z$6:$Z$1005,1))</f>
        <v>0</v>
      </c>
      <c r="AC1000" s="96">
        <f>IF(R1000=0,0,COUNTIFS('RECEBIMENTOS'!$R$6:$R$1005,A1000,'RECEBIMENTOS'!$Y$6:$Y$1005,1))</f>
        <v>0</v>
      </c>
      <c r="AD1000" s="96">
        <f>IF(R1000=0,0,COUNTIFS('VÍNCULOS_CDF'!$R$6:$R$1005,A1000,'VÍNCULOS_CDF'!$N$6:$N$1005,1))</f>
        <v>0</v>
      </c>
      <c r="AE1000" s="96">
        <f>IF(R1000=0,0,COUNTIFS('VÍNCULOS_CDF'!$R$6:$R$1005,A1000,'VÍNCULOS_CDF'!$AA$6:$AA$1005,1))</f>
        <v>0</v>
      </c>
      <c r="AF1000" s="96">
        <f>IF(R1000=0,0,COUNTIFS('VÍNCULOS_CDF'!$R$6:$R$1005,A1000,'VÍNCULOS_CDF'!$Y$6:$Y$1005,1))</f>
        <v>0</v>
      </c>
      <c r="AG1000" s="96" t="str">
        <f>IF(AND(R1000=1,S1000&lt;&gt;"",C1000&lt;&gt;""),S1000&amp;"|"&amp;C1000&amp;"|"&amp;G1000&amp;"|"&amp;H1000,"")</f>
        <v/>
      </c>
      <c r="AH1000" s="96">
        <f>IF(AG1000="",0,IF(SUMPRODUCT(--($AG$6:$AG$1005=AG1000))&gt;1,1,0))</f>
        <v>0</v>
      </c>
      <c r="AI1000" s="96">
        <f>IF(R1000=0,0,IF(OR(U1000=0,V1000=0,Y1000=0,AND(AH1000=1,K1000&lt;&gt;"Sim")),1,0))</f>
        <v>0</v>
      </c>
      <c r="AJ1000" s="96">
        <f>IF(AND(R1000=1,AA1000&gt;0,AB1000=AA1000),1,0)</f>
        <v>0</v>
      </c>
      <c r="AK1000" s="96">
        <f>IF(R1000=0,0,IF(AA1000&gt;0,N(L1000),IF(ISNUMBER(I1000),I1000,0)))</f>
        <v>0</v>
      </c>
      <c r="AL1000" s="96">
        <f>IF(R1000=0,0,IF(AND(K1000&lt;&gt;"Sim",N(M1000)&gt;AK1000+cfg_tol),1,0))</f>
        <v>0</v>
      </c>
      <c r="AM1000" s="96">
        <f>IF(R1000=0,0,IF(K1000="Sim",0,IF(OR(AND(AA1000&gt;0,ISNUMBER(I1000),ABS(I1000-N(L1000))&gt;cfg_tol),AL1000=1),1,0)))</f>
        <v>0</v>
      </c>
      <c r="AN1000" s="96">
        <f>IF(AND(R1000=1,N(M1000)&gt;0,OR(N(M1000)&gt;=AK1000-cfg_tol,K1000="Sim")),1,0)</f>
        <v>0</v>
      </c>
      <c r="AO1000" s="96">
        <f>IF(AND(AN1000=1,AD1000&gt;0,AE1000=AD1000,AL1000=0),1,0)</f>
        <v>0</v>
      </c>
      <c r="AP1000" s="96">
        <f>IF(U1000=0,0,IF(AND(INDEX('MTRs'!$AX$6:$AX$505,T1000)=1,Z1000=0,OR(f_res="",f_res="(Todos)",C1000=f_res)),1,0))</f>
        <v>0</v>
      </c>
      <c r="AQ1000" s="97" t="str">
        <f>IF(U1000=0,"",INDEX('MTRs'!$AZ$6:$AZ$505,T1000))</f>
        <v/>
      </c>
      <c r="AR1000" s="96">
        <f>IF(U1000=0,0,IF(AND(INDEX('MTRs'!$BA$6:$BA$505,T1000)=1,Z1000=0),1,0))</f>
        <v>0</v>
      </c>
      <c r="AS1000" s="96" t="str">
        <f>IF(R1000=1,A1000&amp;" | MTR "&amp;IF(U1000=1,INDEX('MTRs'!$B$6:$B$505,T1000)&amp;"","?")&amp;" | "&amp;IF(C1000="","(sem resíduo)",C1000),"")</f>
        <v/>
      </c>
      <c r="AT1000" s="96" t="str">
        <f>IF(R1000=1,COUNTIF($R$6:R1000,1),"")</f>
        <v/>
      </c>
      <c r="AU1000" s="96" t="str">
        <f>IF(U1000=1,INDEX('MTRs'!$I$6:$I$505,T1000)&amp;"","")</f>
        <v/>
      </c>
    </row>
    <row r="1001">
      <c r="A1001" s="89" t="inlineStr">
        <is>
          <t>IT-000996</t>
        </is>
      </c>
      <c r="B1001" s="91" t="n"/>
      <c r="C1001" s="91" t="n"/>
      <c r="D1001" s="94" t="str">
        <f>IF(OR(R1001=0,V1001=0),"",INDEX('CAD_RESÍDUOS'!$E$6:$E$205,MATCH(C1001,'CAD_RESÍDUOS'!$B$6:$B$205,0))&amp;"")</f>
        <v/>
      </c>
      <c r="E1001" s="94" t="str">
        <f>IF(OR(R1001=0,V1001=0),"",INDEX('CAD_RESÍDUOS'!$C$6:$C$205,MATCH(C1001,'CAD_RESÍDUOS'!$B$6:$B$205,0))&amp;"")</f>
        <v/>
      </c>
      <c r="F1001" s="94" t="str">
        <f>IF(OR(R1001=0,V1001=0),"",INDEX('CAD_RESÍDUOS'!$G$6:$G$205,MATCH(C1001,'CAD_RESÍDUOS'!$B$6:$B$205,0))&amp;"")</f>
        <v/>
      </c>
      <c r="G1001" s="98" t="n"/>
      <c r="H1001" s="91" t="n"/>
      <c r="I1001" s="93" t="str">
        <f>IF(R1001=0,"",IF(NOT(ISNUMBER(G1001)),"",IF(ISNUMBER(X1001),G1001*X1001,"UNIDADE A CONFERIR")))</f>
        <v/>
      </c>
      <c r="J1001" s="91" t="n"/>
      <c r="K1001" s="91" t="n"/>
      <c r="L1001" s="93" t="str">
        <f>IF(R1001=0,"",SUMIFS('RECEBIMENTOS'!$H$6:$H$1005,'RECEBIMENTOS'!$R$6:$R$1005,A1001,'RECEBIMENTOS'!$X$6:$X$1005,1))</f>
        <v/>
      </c>
      <c r="M1001" s="93" t="str">
        <f>IF(R1001=0,"",SUMIFS('VÍNCULOS_CDF'!$H$6:$H$1005,'VÍNCULOS_CDF'!$R$6:$R$1005,A1001,'VÍNCULOS_CDF'!$V$6:$V$1005,1))</f>
        <v/>
      </c>
      <c r="N1001" s="99" t="str">
        <f>IF(OR(R1001=0,AA1001=0,NOT(ISNUMBER(I1001))),"",I1001-N(L1001))</f>
        <v/>
      </c>
      <c r="O1001" s="100" t="str">
        <f>IF(OR(R1001=0,AK1001&lt;=0),"",N(M1001)/AK1001)</f>
        <v/>
      </c>
      <c r="P1001" s="94" t="str">
        <f>IF(R1001=0,"",IF(S1001="","Sem MTR associado",IF(U1001=0,"MTR inexistente",IF(C1001="","Resíduo não identificado",IF(V1001=0,"Resíduo fora do cadastro",IF(W1001=0,"Quantidade inválida",IF(H1001="","Unidade não informada",IF(NOT(ISNUMBER(I1001)),"Unidade a conferir",IF(AND(AH1001=1,K1001&lt;&gt;"Sim"),"Possível duplicidade",IF(Z1001=1,"MTR cancelado",IF(AC1001&gt;0,"Recebimento com alerta",IF(AA1001=0,"Aguardando recebimento",IF(AB1001&lt;AA1001,"Recebimento a conferir",IF(AM1001=1,"Quantidade a revisar",IF(AF1001&gt;0,"Vínculo a revisar",IF(AD1001=0,"Aguardando CDF",IF(AN1001=0,"Vínculo de CDF parcial",IF(AE1001&lt;AD1001,"CDF a conferir","Documentação conferida"))))))))))))))))))</f>
        <v/>
      </c>
      <c r="Q1001" s="93" t="str">
        <f>IF(OR(R1001=0,AA1001=0),"",MAX(0,N(L1001)-N(M1001)))</f>
        <v/>
      </c>
      <c r="R1001" s="96">
        <f>IF(COUNTA(B1001:C1001,G1001:H1001,J1001:K1001)&gt;0,1,0)</f>
        <v>0</v>
      </c>
      <c r="S1001" s="96" t="str">
        <f>IF(B1001="","",TRIM(LEFT(B1001,FIND(" |",B1001&amp;" |")-1)))</f>
        <v/>
      </c>
      <c r="T1001" s="96" t="str">
        <f>IF(S1001="","",IFERROR(MATCH(S1001,'MTRs'!$A$6:$A$505,0),""))</f>
        <v/>
      </c>
      <c r="U1001" s="96">
        <f>IF(T1001="",0,IF(INDEX('MTRs'!$Z$6:$Z$505,T1001)=1,1,0))</f>
        <v>0</v>
      </c>
      <c r="V1001" s="96">
        <f>IF(C1001="",0,IF(ISNUMBER(MATCH(C1001,'CAD_RESÍDUOS'!$B$6:$B$205,0)),1,0))</f>
        <v>0</v>
      </c>
      <c r="W1001" s="96">
        <f>IF(AND(ISNUMBER(G1001),G1001&gt;0),1,0)</f>
        <v>0</v>
      </c>
      <c r="X1001" s="96" t="str">
        <f>IF(H1001="","",IFERROR(IF(ISNUMBER(INDEX(cfg_fac,MATCH(H1001,cfg_units,0))),IF(INDEX(cfg_fac,MATCH(H1001,cfg_units,0))&gt;0,INDEX(cfg_fac,MATCH(H1001,cfg_units,0)),""),""),""))</f>
        <v/>
      </c>
      <c r="Y1001" s="96">
        <f>IF(AND(W1001=1,ISNUMBER(I1001)),1,0)</f>
        <v>0</v>
      </c>
      <c r="Z1001" s="96">
        <f>IF(U1001=1,INDEX('MTRs'!$AA$6:$AA$505,T1001),0)</f>
        <v>0</v>
      </c>
      <c r="AA1001" s="96">
        <f>IF(R1001=0,0,COUNTIFS('RECEBIMENTOS'!$R$6:$R$1005,A1001,'RECEBIMENTOS'!$Q$6:$Q$1005,1))</f>
        <v>0</v>
      </c>
      <c r="AB1001" s="96">
        <f>IF(R1001=0,0,COUNTIFS('RECEBIMENTOS'!$R$6:$R$1005,A1001,'RECEBIMENTOS'!$Z$6:$Z$1005,1))</f>
        <v>0</v>
      </c>
      <c r="AC1001" s="96">
        <f>IF(R1001=0,0,COUNTIFS('RECEBIMENTOS'!$R$6:$R$1005,A1001,'RECEBIMENTOS'!$Y$6:$Y$1005,1))</f>
        <v>0</v>
      </c>
      <c r="AD1001" s="96">
        <f>IF(R1001=0,0,COUNTIFS('VÍNCULOS_CDF'!$R$6:$R$1005,A1001,'VÍNCULOS_CDF'!$N$6:$N$1005,1))</f>
        <v>0</v>
      </c>
      <c r="AE1001" s="96">
        <f>IF(R1001=0,0,COUNTIFS('VÍNCULOS_CDF'!$R$6:$R$1005,A1001,'VÍNCULOS_CDF'!$AA$6:$AA$1005,1))</f>
        <v>0</v>
      </c>
      <c r="AF1001" s="96">
        <f>IF(R1001=0,0,COUNTIFS('VÍNCULOS_CDF'!$R$6:$R$1005,A1001,'VÍNCULOS_CDF'!$Y$6:$Y$1005,1))</f>
        <v>0</v>
      </c>
      <c r="AG1001" s="96" t="str">
        <f>IF(AND(R1001=1,S1001&lt;&gt;"",C1001&lt;&gt;""),S1001&amp;"|"&amp;C1001&amp;"|"&amp;G1001&amp;"|"&amp;H1001,"")</f>
        <v/>
      </c>
      <c r="AH1001" s="96">
        <f>IF(AG1001="",0,IF(SUMPRODUCT(--($AG$6:$AG$1005=AG1001))&gt;1,1,0))</f>
        <v>0</v>
      </c>
      <c r="AI1001" s="96">
        <f>IF(R1001=0,0,IF(OR(U1001=0,V1001=0,Y1001=0,AND(AH1001=1,K1001&lt;&gt;"Sim")),1,0))</f>
        <v>0</v>
      </c>
      <c r="AJ1001" s="96">
        <f>IF(AND(R1001=1,AA1001&gt;0,AB1001=AA1001),1,0)</f>
        <v>0</v>
      </c>
      <c r="AK1001" s="96">
        <f>IF(R1001=0,0,IF(AA1001&gt;0,N(L1001),IF(ISNUMBER(I1001),I1001,0)))</f>
        <v>0</v>
      </c>
      <c r="AL1001" s="96">
        <f>IF(R1001=0,0,IF(AND(K1001&lt;&gt;"Sim",N(M1001)&gt;AK1001+cfg_tol),1,0))</f>
        <v>0</v>
      </c>
      <c r="AM1001" s="96">
        <f>IF(R1001=0,0,IF(K1001="Sim",0,IF(OR(AND(AA1001&gt;0,ISNUMBER(I1001),ABS(I1001-N(L1001))&gt;cfg_tol),AL1001=1),1,0)))</f>
        <v>0</v>
      </c>
      <c r="AN1001" s="96">
        <f>IF(AND(R1001=1,N(M1001)&gt;0,OR(N(M1001)&gt;=AK1001-cfg_tol,K1001="Sim")),1,0)</f>
        <v>0</v>
      </c>
      <c r="AO1001" s="96">
        <f>IF(AND(AN1001=1,AD1001&gt;0,AE1001=AD1001,AL1001=0),1,0)</f>
        <v>0</v>
      </c>
      <c r="AP1001" s="96">
        <f>IF(U1001=0,0,IF(AND(INDEX('MTRs'!$AX$6:$AX$505,T1001)=1,Z1001=0,OR(f_res="",f_res="(Todos)",C1001=f_res)),1,0))</f>
        <v>0</v>
      </c>
      <c r="AQ1001" s="97" t="str">
        <f>IF(U1001=0,"",INDEX('MTRs'!$AZ$6:$AZ$505,T1001))</f>
        <v/>
      </c>
      <c r="AR1001" s="96">
        <f>IF(U1001=0,0,IF(AND(INDEX('MTRs'!$BA$6:$BA$505,T1001)=1,Z1001=0),1,0))</f>
        <v>0</v>
      </c>
      <c r="AS1001" s="96" t="str">
        <f>IF(R1001=1,A1001&amp;" | MTR "&amp;IF(U1001=1,INDEX('MTRs'!$B$6:$B$505,T1001)&amp;"","?")&amp;" | "&amp;IF(C1001="","(sem resíduo)",C1001),"")</f>
        <v/>
      </c>
      <c r="AT1001" s="96" t="str">
        <f>IF(R1001=1,COUNTIF($R$6:R1001,1),"")</f>
        <v/>
      </c>
      <c r="AU1001" s="96" t="str">
        <f>IF(U1001=1,INDEX('MTRs'!$I$6:$I$505,T1001)&amp;"","")</f>
        <v/>
      </c>
    </row>
    <row r="1002">
      <c r="A1002" s="89" t="inlineStr">
        <is>
          <t>IT-000997</t>
        </is>
      </c>
      <c r="B1002" s="91" t="n"/>
      <c r="C1002" s="91" t="n"/>
      <c r="D1002" s="94" t="str">
        <f>IF(OR(R1002=0,V1002=0),"",INDEX('CAD_RESÍDUOS'!$E$6:$E$205,MATCH(C1002,'CAD_RESÍDUOS'!$B$6:$B$205,0))&amp;"")</f>
        <v/>
      </c>
      <c r="E1002" s="94" t="str">
        <f>IF(OR(R1002=0,V1002=0),"",INDEX('CAD_RESÍDUOS'!$C$6:$C$205,MATCH(C1002,'CAD_RESÍDUOS'!$B$6:$B$205,0))&amp;"")</f>
        <v/>
      </c>
      <c r="F1002" s="94" t="str">
        <f>IF(OR(R1002=0,V1002=0),"",INDEX('CAD_RESÍDUOS'!$G$6:$G$205,MATCH(C1002,'CAD_RESÍDUOS'!$B$6:$B$205,0))&amp;"")</f>
        <v/>
      </c>
      <c r="G1002" s="98" t="n"/>
      <c r="H1002" s="91" t="n"/>
      <c r="I1002" s="93" t="str">
        <f>IF(R1002=0,"",IF(NOT(ISNUMBER(G1002)),"",IF(ISNUMBER(X1002),G1002*X1002,"UNIDADE A CONFERIR")))</f>
        <v/>
      </c>
      <c r="J1002" s="91" t="n"/>
      <c r="K1002" s="91" t="n"/>
      <c r="L1002" s="93" t="str">
        <f>IF(R1002=0,"",SUMIFS('RECEBIMENTOS'!$H$6:$H$1005,'RECEBIMENTOS'!$R$6:$R$1005,A1002,'RECEBIMENTOS'!$X$6:$X$1005,1))</f>
        <v/>
      </c>
      <c r="M1002" s="93" t="str">
        <f>IF(R1002=0,"",SUMIFS('VÍNCULOS_CDF'!$H$6:$H$1005,'VÍNCULOS_CDF'!$R$6:$R$1005,A1002,'VÍNCULOS_CDF'!$V$6:$V$1005,1))</f>
        <v/>
      </c>
      <c r="N1002" s="99" t="str">
        <f>IF(OR(R1002=0,AA1002=0,NOT(ISNUMBER(I1002))),"",I1002-N(L1002))</f>
        <v/>
      </c>
      <c r="O1002" s="100" t="str">
        <f>IF(OR(R1002=0,AK1002&lt;=0),"",N(M1002)/AK1002)</f>
        <v/>
      </c>
      <c r="P1002" s="94" t="str">
        <f>IF(R1002=0,"",IF(S1002="","Sem MTR associado",IF(U1002=0,"MTR inexistente",IF(C1002="","Resíduo não identificado",IF(V1002=0,"Resíduo fora do cadastro",IF(W1002=0,"Quantidade inválida",IF(H1002="","Unidade não informada",IF(NOT(ISNUMBER(I1002)),"Unidade a conferir",IF(AND(AH1002=1,K1002&lt;&gt;"Sim"),"Possível duplicidade",IF(Z1002=1,"MTR cancelado",IF(AC1002&gt;0,"Recebimento com alerta",IF(AA1002=0,"Aguardando recebimento",IF(AB1002&lt;AA1002,"Recebimento a conferir",IF(AM1002=1,"Quantidade a revisar",IF(AF1002&gt;0,"Vínculo a revisar",IF(AD1002=0,"Aguardando CDF",IF(AN1002=0,"Vínculo de CDF parcial",IF(AE1002&lt;AD1002,"CDF a conferir","Documentação conferida"))))))))))))))))))</f>
        <v/>
      </c>
      <c r="Q1002" s="93" t="str">
        <f>IF(OR(R1002=0,AA1002=0),"",MAX(0,N(L1002)-N(M1002)))</f>
        <v/>
      </c>
      <c r="R1002" s="96">
        <f>IF(COUNTA(B1002:C1002,G1002:H1002,J1002:K1002)&gt;0,1,0)</f>
        <v>0</v>
      </c>
      <c r="S1002" s="96" t="str">
        <f>IF(B1002="","",TRIM(LEFT(B1002,FIND(" |",B1002&amp;" |")-1)))</f>
        <v/>
      </c>
      <c r="T1002" s="96" t="str">
        <f>IF(S1002="","",IFERROR(MATCH(S1002,'MTRs'!$A$6:$A$505,0),""))</f>
        <v/>
      </c>
      <c r="U1002" s="96">
        <f>IF(T1002="",0,IF(INDEX('MTRs'!$Z$6:$Z$505,T1002)=1,1,0))</f>
        <v>0</v>
      </c>
      <c r="V1002" s="96">
        <f>IF(C1002="",0,IF(ISNUMBER(MATCH(C1002,'CAD_RESÍDUOS'!$B$6:$B$205,0)),1,0))</f>
        <v>0</v>
      </c>
      <c r="W1002" s="96">
        <f>IF(AND(ISNUMBER(G1002),G1002&gt;0),1,0)</f>
        <v>0</v>
      </c>
      <c r="X1002" s="96" t="str">
        <f>IF(H1002="","",IFERROR(IF(ISNUMBER(INDEX(cfg_fac,MATCH(H1002,cfg_units,0))),IF(INDEX(cfg_fac,MATCH(H1002,cfg_units,0))&gt;0,INDEX(cfg_fac,MATCH(H1002,cfg_units,0)),""),""),""))</f>
        <v/>
      </c>
      <c r="Y1002" s="96">
        <f>IF(AND(W1002=1,ISNUMBER(I1002)),1,0)</f>
        <v>0</v>
      </c>
      <c r="Z1002" s="96">
        <f>IF(U1002=1,INDEX('MTRs'!$AA$6:$AA$505,T1002),0)</f>
        <v>0</v>
      </c>
      <c r="AA1002" s="96">
        <f>IF(R1002=0,0,COUNTIFS('RECEBIMENTOS'!$R$6:$R$1005,A1002,'RECEBIMENTOS'!$Q$6:$Q$1005,1))</f>
        <v>0</v>
      </c>
      <c r="AB1002" s="96">
        <f>IF(R1002=0,0,COUNTIFS('RECEBIMENTOS'!$R$6:$R$1005,A1002,'RECEBIMENTOS'!$Z$6:$Z$1005,1))</f>
        <v>0</v>
      </c>
      <c r="AC1002" s="96">
        <f>IF(R1002=0,0,COUNTIFS('RECEBIMENTOS'!$R$6:$R$1005,A1002,'RECEBIMENTOS'!$Y$6:$Y$1005,1))</f>
        <v>0</v>
      </c>
      <c r="AD1002" s="96">
        <f>IF(R1002=0,0,COUNTIFS('VÍNCULOS_CDF'!$R$6:$R$1005,A1002,'VÍNCULOS_CDF'!$N$6:$N$1005,1))</f>
        <v>0</v>
      </c>
      <c r="AE1002" s="96">
        <f>IF(R1002=0,0,COUNTIFS('VÍNCULOS_CDF'!$R$6:$R$1005,A1002,'VÍNCULOS_CDF'!$AA$6:$AA$1005,1))</f>
        <v>0</v>
      </c>
      <c r="AF1002" s="96">
        <f>IF(R1002=0,0,COUNTIFS('VÍNCULOS_CDF'!$R$6:$R$1005,A1002,'VÍNCULOS_CDF'!$Y$6:$Y$1005,1))</f>
        <v>0</v>
      </c>
      <c r="AG1002" s="96" t="str">
        <f>IF(AND(R1002=1,S1002&lt;&gt;"",C1002&lt;&gt;""),S1002&amp;"|"&amp;C1002&amp;"|"&amp;G1002&amp;"|"&amp;H1002,"")</f>
        <v/>
      </c>
      <c r="AH1002" s="96">
        <f>IF(AG1002="",0,IF(SUMPRODUCT(--($AG$6:$AG$1005=AG1002))&gt;1,1,0))</f>
        <v>0</v>
      </c>
      <c r="AI1002" s="96">
        <f>IF(R1002=0,0,IF(OR(U1002=0,V1002=0,Y1002=0,AND(AH1002=1,K1002&lt;&gt;"Sim")),1,0))</f>
        <v>0</v>
      </c>
      <c r="AJ1002" s="96">
        <f>IF(AND(R1002=1,AA1002&gt;0,AB1002=AA1002),1,0)</f>
        <v>0</v>
      </c>
      <c r="AK1002" s="96">
        <f>IF(R1002=0,0,IF(AA1002&gt;0,N(L1002),IF(ISNUMBER(I1002),I1002,0)))</f>
        <v>0</v>
      </c>
      <c r="AL1002" s="96">
        <f>IF(R1002=0,0,IF(AND(K1002&lt;&gt;"Sim",N(M1002)&gt;AK1002+cfg_tol),1,0))</f>
        <v>0</v>
      </c>
      <c r="AM1002" s="96">
        <f>IF(R1002=0,0,IF(K1002="Sim",0,IF(OR(AND(AA1002&gt;0,ISNUMBER(I1002),ABS(I1002-N(L1002))&gt;cfg_tol),AL1002=1),1,0)))</f>
        <v>0</v>
      </c>
      <c r="AN1002" s="96">
        <f>IF(AND(R1002=1,N(M1002)&gt;0,OR(N(M1002)&gt;=AK1002-cfg_tol,K1002="Sim")),1,0)</f>
        <v>0</v>
      </c>
      <c r="AO1002" s="96">
        <f>IF(AND(AN1002=1,AD1002&gt;0,AE1002=AD1002,AL1002=0),1,0)</f>
        <v>0</v>
      </c>
      <c r="AP1002" s="96">
        <f>IF(U1002=0,0,IF(AND(INDEX('MTRs'!$AX$6:$AX$505,T1002)=1,Z1002=0,OR(f_res="",f_res="(Todos)",C1002=f_res)),1,0))</f>
        <v>0</v>
      </c>
      <c r="AQ1002" s="97" t="str">
        <f>IF(U1002=0,"",INDEX('MTRs'!$AZ$6:$AZ$505,T1002))</f>
        <v/>
      </c>
      <c r="AR1002" s="96">
        <f>IF(U1002=0,0,IF(AND(INDEX('MTRs'!$BA$6:$BA$505,T1002)=1,Z1002=0),1,0))</f>
        <v>0</v>
      </c>
      <c r="AS1002" s="96" t="str">
        <f>IF(R1002=1,A1002&amp;" | MTR "&amp;IF(U1002=1,INDEX('MTRs'!$B$6:$B$505,T1002)&amp;"","?")&amp;" | "&amp;IF(C1002="","(sem resíduo)",C1002),"")</f>
        <v/>
      </c>
      <c r="AT1002" s="96" t="str">
        <f>IF(R1002=1,COUNTIF($R$6:R1002,1),"")</f>
        <v/>
      </c>
      <c r="AU1002" s="96" t="str">
        <f>IF(U1002=1,INDEX('MTRs'!$I$6:$I$505,T1002)&amp;"","")</f>
        <v/>
      </c>
    </row>
    <row r="1003">
      <c r="A1003" s="89" t="inlineStr">
        <is>
          <t>IT-000998</t>
        </is>
      </c>
      <c r="B1003" s="91" t="n"/>
      <c r="C1003" s="91" t="n"/>
      <c r="D1003" s="94" t="str">
        <f>IF(OR(R1003=0,V1003=0),"",INDEX('CAD_RESÍDUOS'!$E$6:$E$205,MATCH(C1003,'CAD_RESÍDUOS'!$B$6:$B$205,0))&amp;"")</f>
        <v/>
      </c>
      <c r="E1003" s="94" t="str">
        <f>IF(OR(R1003=0,V1003=0),"",INDEX('CAD_RESÍDUOS'!$C$6:$C$205,MATCH(C1003,'CAD_RESÍDUOS'!$B$6:$B$205,0))&amp;"")</f>
        <v/>
      </c>
      <c r="F1003" s="94" t="str">
        <f>IF(OR(R1003=0,V1003=0),"",INDEX('CAD_RESÍDUOS'!$G$6:$G$205,MATCH(C1003,'CAD_RESÍDUOS'!$B$6:$B$205,0))&amp;"")</f>
        <v/>
      </c>
      <c r="G1003" s="98" t="n"/>
      <c r="H1003" s="91" t="n"/>
      <c r="I1003" s="93" t="str">
        <f>IF(R1003=0,"",IF(NOT(ISNUMBER(G1003)),"",IF(ISNUMBER(X1003),G1003*X1003,"UNIDADE A CONFERIR")))</f>
        <v/>
      </c>
      <c r="J1003" s="91" t="n"/>
      <c r="K1003" s="91" t="n"/>
      <c r="L1003" s="93" t="str">
        <f>IF(R1003=0,"",SUMIFS('RECEBIMENTOS'!$H$6:$H$1005,'RECEBIMENTOS'!$R$6:$R$1005,A1003,'RECEBIMENTOS'!$X$6:$X$1005,1))</f>
        <v/>
      </c>
      <c r="M1003" s="93" t="str">
        <f>IF(R1003=0,"",SUMIFS('VÍNCULOS_CDF'!$H$6:$H$1005,'VÍNCULOS_CDF'!$R$6:$R$1005,A1003,'VÍNCULOS_CDF'!$V$6:$V$1005,1))</f>
        <v/>
      </c>
      <c r="N1003" s="99" t="str">
        <f>IF(OR(R1003=0,AA1003=0,NOT(ISNUMBER(I1003))),"",I1003-N(L1003))</f>
        <v/>
      </c>
      <c r="O1003" s="100" t="str">
        <f>IF(OR(R1003=0,AK1003&lt;=0),"",N(M1003)/AK1003)</f>
        <v/>
      </c>
      <c r="P1003" s="94" t="str">
        <f>IF(R1003=0,"",IF(S1003="","Sem MTR associado",IF(U1003=0,"MTR inexistente",IF(C1003="","Resíduo não identificado",IF(V1003=0,"Resíduo fora do cadastro",IF(W1003=0,"Quantidade inválida",IF(H1003="","Unidade não informada",IF(NOT(ISNUMBER(I1003)),"Unidade a conferir",IF(AND(AH1003=1,K1003&lt;&gt;"Sim"),"Possível duplicidade",IF(Z1003=1,"MTR cancelado",IF(AC1003&gt;0,"Recebimento com alerta",IF(AA1003=0,"Aguardando recebimento",IF(AB1003&lt;AA1003,"Recebimento a conferir",IF(AM1003=1,"Quantidade a revisar",IF(AF1003&gt;0,"Vínculo a revisar",IF(AD1003=0,"Aguardando CDF",IF(AN1003=0,"Vínculo de CDF parcial",IF(AE1003&lt;AD1003,"CDF a conferir","Documentação conferida"))))))))))))))))))</f>
        <v/>
      </c>
      <c r="Q1003" s="93" t="str">
        <f>IF(OR(R1003=0,AA1003=0),"",MAX(0,N(L1003)-N(M1003)))</f>
        <v/>
      </c>
      <c r="R1003" s="96">
        <f>IF(COUNTA(B1003:C1003,G1003:H1003,J1003:K1003)&gt;0,1,0)</f>
        <v>0</v>
      </c>
      <c r="S1003" s="96" t="str">
        <f>IF(B1003="","",TRIM(LEFT(B1003,FIND(" |",B1003&amp;" |")-1)))</f>
        <v/>
      </c>
      <c r="T1003" s="96" t="str">
        <f>IF(S1003="","",IFERROR(MATCH(S1003,'MTRs'!$A$6:$A$505,0),""))</f>
        <v/>
      </c>
      <c r="U1003" s="96">
        <f>IF(T1003="",0,IF(INDEX('MTRs'!$Z$6:$Z$505,T1003)=1,1,0))</f>
        <v>0</v>
      </c>
      <c r="V1003" s="96">
        <f>IF(C1003="",0,IF(ISNUMBER(MATCH(C1003,'CAD_RESÍDUOS'!$B$6:$B$205,0)),1,0))</f>
        <v>0</v>
      </c>
      <c r="W1003" s="96">
        <f>IF(AND(ISNUMBER(G1003),G1003&gt;0),1,0)</f>
        <v>0</v>
      </c>
      <c r="X1003" s="96" t="str">
        <f>IF(H1003="","",IFERROR(IF(ISNUMBER(INDEX(cfg_fac,MATCH(H1003,cfg_units,0))),IF(INDEX(cfg_fac,MATCH(H1003,cfg_units,0))&gt;0,INDEX(cfg_fac,MATCH(H1003,cfg_units,0)),""),""),""))</f>
        <v/>
      </c>
      <c r="Y1003" s="96">
        <f>IF(AND(W1003=1,ISNUMBER(I1003)),1,0)</f>
        <v>0</v>
      </c>
      <c r="Z1003" s="96">
        <f>IF(U1003=1,INDEX('MTRs'!$AA$6:$AA$505,T1003),0)</f>
        <v>0</v>
      </c>
      <c r="AA1003" s="96">
        <f>IF(R1003=0,0,COUNTIFS('RECEBIMENTOS'!$R$6:$R$1005,A1003,'RECEBIMENTOS'!$Q$6:$Q$1005,1))</f>
        <v>0</v>
      </c>
      <c r="AB1003" s="96">
        <f>IF(R1003=0,0,COUNTIFS('RECEBIMENTOS'!$R$6:$R$1005,A1003,'RECEBIMENTOS'!$Z$6:$Z$1005,1))</f>
        <v>0</v>
      </c>
      <c r="AC1003" s="96">
        <f>IF(R1003=0,0,COUNTIFS('RECEBIMENTOS'!$R$6:$R$1005,A1003,'RECEBIMENTOS'!$Y$6:$Y$1005,1))</f>
        <v>0</v>
      </c>
      <c r="AD1003" s="96">
        <f>IF(R1003=0,0,COUNTIFS('VÍNCULOS_CDF'!$R$6:$R$1005,A1003,'VÍNCULOS_CDF'!$N$6:$N$1005,1))</f>
        <v>0</v>
      </c>
      <c r="AE1003" s="96">
        <f>IF(R1003=0,0,COUNTIFS('VÍNCULOS_CDF'!$R$6:$R$1005,A1003,'VÍNCULOS_CDF'!$AA$6:$AA$1005,1))</f>
        <v>0</v>
      </c>
      <c r="AF1003" s="96">
        <f>IF(R1003=0,0,COUNTIFS('VÍNCULOS_CDF'!$R$6:$R$1005,A1003,'VÍNCULOS_CDF'!$Y$6:$Y$1005,1))</f>
        <v>0</v>
      </c>
      <c r="AG1003" s="96" t="str">
        <f>IF(AND(R1003=1,S1003&lt;&gt;"",C1003&lt;&gt;""),S1003&amp;"|"&amp;C1003&amp;"|"&amp;G1003&amp;"|"&amp;H1003,"")</f>
        <v/>
      </c>
      <c r="AH1003" s="96">
        <f>IF(AG1003="",0,IF(SUMPRODUCT(--($AG$6:$AG$1005=AG1003))&gt;1,1,0))</f>
        <v>0</v>
      </c>
      <c r="AI1003" s="96">
        <f>IF(R1003=0,0,IF(OR(U1003=0,V1003=0,Y1003=0,AND(AH1003=1,K1003&lt;&gt;"Sim")),1,0))</f>
        <v>0</v>
      </c>
      <c r="AJ1003" s="96">
        <f>IF(AND(R1003=1,AA1003&gt;0,AB1003=AA1003),1,0)</f>
        <v>0</v>
      </c>
      <c r="AK1003" s="96">
        <f>IF(R1003=0,0,IF(AA1003&gt;0,N(L1003),IF(ISNUMBER(I1003),I1003,0)))</f>
        <v>0</v>
      </c>
      <c r="AL1003" s="96">
        <f>IF(R1003=0,0,IF(AND(K1003&lt;&gt;"Sim",N(M1003)&gt;AK1003+cfg_tol),1,0))</f>
        <v>0</v>
      </c>
      <c r="AM1003" s="96">
        <f>IF(R1003=0,0,IF(K1003="Sim",0,IF(OR(AND(AA1003&gt;0,ISNUMBER(I1003),ABS(I1003-N(L1003))&gt;cfg_tol),AL1003=1),1,0)))</f>
        <v>0</v>
      </c>
      <c r="AN1003" s="96">
        <f>IF(AND(R1003=1,N(M1003)&gt;0,OR(N(M1003)&gt;=AK1003-cfg_tol,K1003="Sim")),1,0)</f>
        <v>0</v>
      </c>
      <c r="AO1003" s="96">
        <f>IF(AND(AN1003=1,AD1003&gt;0,AE1003=AD1003,AL1003=0),1,0)</f>
        <v>0</v>
      </c>
      <c r="AP1003" s="96">
        <f>IF(U1003=0,0,IF(AND(INDEX('MTRs'!$AX$6:$AX$505,T1003)=1,Z1003=0,OR(f_res="",f_res="(Todos)",C1003=f_res)),1,0))</f>
        <v>0</v>
      </c>
      <c r="AQ1003" s="97" t="str">
        <f>IF(U1003=0,"",INDEX('MTRs'!$AZ$6:$AZ$505,T1003))</f>
        <v/>
      </c>
      <c r="AR1003" s="96">
        <f>IF(U1003=0,0,IF(AND(INDEX('MTRs'!$BA$6:$BA$505,T1003)=1,Z1003=0),1,0))</f>
        <v>0</v>
      </c>
      <c r="AS1003" s="96" t="str">
        <f>IF(R1003=1,A1003&amp;" | MTR "&amp;IF(U1003=1,INDEX('MTRs'!$B$6:$B$505,T1003)&amp;"","?")&amp;" | "&amp;IF(C1003="","(sem resíduo)",C1003),"")</f>
        <v/>
      </c>
      <c r="AT1003" s="96" t="str">
        <f>IF(R1003=1,COUNTIF($R$6:R1003,1),"")</f>
        <v/>
      </c>
      <c r="AU1003" s="96" t="str">
        <f>IF(U1003=1,INDEX('MTRs'!$I$6:$I$505,T1003)&amp;"","")</f>
        <v/>
      </c>
    </row>
    <row r="1004">
      <c r="A1004" s="89" t="inlineStr">
        <is>
          <t>IT-000999</t>
        </is>
      </c>
      <c r="B1004" s="91" t="n"/>
      <c r="C1004" s="91" t="n"/>
      <c r="D1004" s="94" t="str">
        <f>IF(OR(R1004=0,V1004=0),"",INDEX('CAD_RESÍDUOS'!$E$6:$E$205,MATCH(C1004,'CAD_RESÍDUOS'!$B$6:$B$205,0))&amp;"")</f>
        <v/>
      </c>
      <c r="E1004" s="94" t="str">
        <f>IF(OR(R1004=0,V1004=0),"",INDEX('CAD_RESÍDUOS'!$C$6:$C$205,MATCH(C1004,'CAD_RESÍDUOS'!$B$6:$B$205,0))&amp;"")</f>
        <v/>
      </c>
      <c r="F1004" s="94" t="str">
        <f>IF(OR(R1004=0,V1004=0),"",INDEX('CAD_RESÍDUOS'!$G$6:$G$205,MATCH(C1004,'CAD_RESÍDUOS'!$B$6:$B$205,0))&amp;"")</f>
        <v/>
      </c>
      <c r="G1004" s="98" t="n"/>
      <c r="H1004" s="91" t="n"/>
      <c r="I1004" s="93" t="str">
        <f>IF(R1004=0,"",IF(NOT(ISNUMBER(G1004)),"",IF(ISNUMBER(X1004),G1004*X1004,"UNIDADE A CONFERIR")))</f>
        <v/>
      </c>
      <c r="J1004" s="91" t="n"/>
      <c r="K1004" s="91" t="n"/>
      <c r="L1004" s="93" t="str">
        <f>IF(R1004=0,"",SUMIFS('RECEBIMENTOS'!$H$6:$H$1005,'RECEBIMENTOS'!$R$6:$R$1005,A1004,'RECEBIMENTOS'!$X$6:$X$1005,1))</f>
        <v/>
      </c>
      <c r="M1004" s="93" t="str">
        <f>IF(R1004=0,"",SUMIFS('VÍNCULOS_CDF'!$H$6:$H$1005,'VÍNCULOS_CDF'!$R$6:$R$1005,A1004,'VÍNCULOS_CDF'!$V$6:$V$1005,1))</f>
        <v/>
      </c>
      <c r="N1004" s="99" t="str">
        <f>IF(OR(R1004=0,AA1004=0,NOT(ISNUMBER(I1004))),"",I1004-N(L1004))</f>
        <v/>
      </c>
      <c r="O1004" s="100" t="str">
        <f>IF(OR(R1004=0,AK1004&lt;=0),"",N(M1004)/AK1004)</f>
        <v/>
      </c>
      <c r="P1004" s="94" t="str">
        <f>IF(R1004=0,"",IF(S1004="","Sem MTR associado",IF(U1004=0,"MTR inexistente",IF(C1004="","Resíduo não identificado",IF(V1004=0,"Resíduo fora do cadastro",IF(W1004=0,"Quantidade inválida",IF(H1004="","Unidade não informada",IF(NOT(ISNUMBER(I1004)),"Unidade a conferir",IF(AND(AH1004=1,K1004&lt;&gt;"Sim"),"Possível duplicidade",IF(Z1004=1,"MTR cancelado",IF(AC1004&gt;0,"Recebimento com alerta",IF(AA1004=0,"Aguardando recebimento",IF(AB1004&lt;AA1004,"Recebimento a conferir",IF(AM1004=1,"Quantidade a revisar",IF(AF1004&gt;0,"Vínculo a revisar",IF(AD1004=0,"Aguardando CDF",IF(AN1004=0,"Vínculo de CDF parcial",IF(AE1004&lt;AD1004,"CDF a conferir","Documentação conferida"))))))))))))))))))</f>
        <v/>
      </c>
      <c r="Q1004" s="93" t="str">
        <f>IF(OR(R1004=0,AA1004=0),"",MAX(0,N(L1004)-N(M1004)))</f>
        <v/>
      </c>
      <c r="R1004" s="96">
        <f>IF(COUNTA(B1004:C1004,G1004:H1004,J1004:K1004)&gt;0,1,0)</f>
        <v>0</v>
      </c>
      <c r="S1004" s="96" t="str">
        <f>IF(B1004="","",TRIM(LEFT(B1004,FIND(" |",B1004&amp;" |")-1)))</f>
        <v/>
      </c>
      <c r="T1004" s="96" t="str">
        <f>IF(S1004="","",IFERROR(MATCH(S1004,'MTRs'!$A$6:$A$505,0),""))</f>
        <v/>
      </c>
      <c r="U1004" s="96">
        <f>IF(T1004="",0,IF(INDEX('MTRs'!$Z$6:$Z$505,T1004)=1,1,0))</f>
        <v>0</v>
      </c>
      <c r="V1004" s="96">
        <f>IF(C1004="",0,IF(ISNUMBER(MATCH(C1004,'CAD_RESÍDUOS'!$B$6:$B$205,0)),1,0))</f>
        <v>0</v>
      </c>
      <c r="W1004" s="96">
        <f>IF(AND(ISNUMBER(G1004),G1004&gt;0),1,0)</f>
        <v>0</v>
      </c>
      <c r="X1004" s="96" t="str">
        <f>IF(H1004="","",IFERROR(IF(ISNUMBER(INDEX(cfg_fac,MATCH(H1004,cfg_units,0))),IF(INDEX(cfg_fac,MATCH(H1004,cfg_units,0))&gt;0,INDEX(cfg_fac,MATCH(H1004,cfg_units,0)),""),""),""))</f>
        <v/>
      </c>
      <c r="Y1004" s="96">
        <f>IF(AND(W1004=1,ISNUMBER(I1004)),1,0)</f>
        <v>0</v>
      </c>
      <c r="Z1004" s="96">
        <f>IF(U1004=1,INDEX('MTRs'!$AA$6:$AA$505,T1004),0)</f>
        <v>0</v>
      </c>
      <c r="AA1004" s="96">
        <f>IF(R1004=0,0,COUNTIFS('RECEBIMENTOS'!$R$6:$R$1005,A1004,'RECEBIMENTOS'!$Q$6:$Q$1005,1))</f>
        <v>0</v>
      </c>
      <c r="AB1004" s="96">
        <f>IF(R1004=0,0,COUNTIFS('RECEBIMENTOS'!$R$6:$R$1005,A1004,'RECEBIMENTOS'!$Z$6:$Z$1005,1))</f>
        <v>0</v>
      </c>
      <c r="AC1004" s="96">
        <f>IF(R1004=0,0,COUNTIFS('RECEBIMENTOS'!$R$6:$R$1005,A1004,'RECEBIMENTOS'!$Y$6:$Y$1005,1))</f>
        <v>0</v>
      </c>
      <c r="AD1004" s="96">
        <f>IF(R1004=0,0,COUNTIFS('VÍNCULOS_CDF'!$R$6:$R$1005,A1004,'VÍNCULOS_CDF'!$N$6:$N$1005,1))</f>
        <v>0</v>
      </c>
      <c r="AE1004" s="96">
        <f>IF(R1004=0,0,COUNTIFS('VÍNCULOS_CDF'!$R$6:$R$1005,A1004,'VÍNCULOS_CDF'!$AA$6:$AA$1005,1))</f>
        <v>0</v>
      </c>
      <c r="AF1004" s="96">
        <f>IF(R1004=0,0,COUNTIFS('VÍNCULOS_CDF'!$R$6:$R$1005,A1004,'VÍNCULOS_CDF'!$Y$6:$Y$1005,1))</f>
        <v>0</v>
      </c>
      <c r="AG1004" s="96" t="str">
        <f>IF(AND(R1004=1,S1004&lt;&gt;"",C1004&lt;&gt;""),S1004&amp;"|"&amp;C1004&amp;"|"&amp;G1004&amp;"|"&amp;H1004,"")</f>
        <v/>
      </c>
      <c r="AH1004" s="96">
        <f>IF(AG1004="",0,IF(SUMPRODUCT(--($AG$6:$AG$1005=AG1004))&gt;1,1,0))</f>
        <v>0</v>
      </c>
      <c r="AI1004" s="96">
        <f>IF(R1004=0,0,IF(OR(U1004=0,V1004=0,Y1004=0,AND(AH1004=1,K1004&lt;&gt;"Sim")),1,0))</f>
        <v>0</v>
      </c>
      <c r="AJ1004" s="96">
        <f>IF(AND(R1004=1,AA1004&gt;0,AB1004=AA1004),1,0)</f>
        <v>0</v>
      </c>
      <c r="AK1004" s="96">
        <f>IF(R1004=0,0,IF(AA1004&gt;0,N(L1004),IF(ISNUMBER(I1004),I1004,0)))</f>
        <v>0</v>
      </c>
      <c r="AL1004" s="96">
        <f>IF(R1004=0,0,IF(AND(K1004&lt;&gt;"Sim",N(M1004)&gt;AK1004+cfg_tol),1,0))</f>
        <v>0</v>
      </c>
      <c r="AM1004" s="96">
        <f>IF(R1004=0,0,IF(K1004="Sim",0,IF(OR(AND(AA1004&gt;0,ISNUMBER(I1004),ABS(I1004-N(L1004))&gt;cfg_tol),AL1004=1),1,0)))</f>
        <v>0</v>
      </c>
      <c r="AN1004" s="96">
        <f>IF(AND(R1004=1,N(M1004)&gt;0,OR(N(M1004)&gt;=AK1004-cfg_tol,K1004="Sim")),1,0)</f>
        <v>0</v>
      </c>
      <c r="AO1004" s="96">
        <f>IF(AND(AN1004=1,AD1004&gt;0,AE1004=AD1004,AL1004=0),1,0)</f>
        <v>0</v>
      </c>
      <c r="AP1004" s="96">
        <f>IF(U1004=0,0,IF(AND(INDEX('MTRs'!$AX$6:$AX$505,T1004)=1,Z1004=0,OR(f_res="",f_res="(Todos)",C1004=f_res)),1,0))</f>
        <v>0</v>
      </c>
      <c r="AQ1004" s="97" t="str">
        <f>IF(U1004=0,"",INDEX('MTRs'!$AZ$6:$AZ$505,T1004))</f>
        <v/>
      </c>
      <c r="AR1004" s="96">
        <f>IF(U1004=0,0,IF(AND(INDEX('MTRs'!$BA$6:$BA$505,T1004)=1,Z1004=0),1,0))</f>
        <v>0</v>
      </c>
      <c r="AS1004" s="96" t="str">
        <f>IF(R1004=1,A1004&amp;" | MTR "&amp;IF(U1004=1,INDEX('MTRs'!$B$6:$B$505,T1004)&amp;"","?")&amp;" | "&amp;IF(C1004="","(sem resíduo)",C1004),"")</f>
        <v/>
      </c>
      <c r="AT1004" s="96" t="str">
        <f>IF(R1004=1,COUNTIF($R$6:R1004,1),"")</f>
        <v/>
      </c>
      <c r="AU1004" s="96" t="str">
        <f>IF(U1004=1,INDEX('MTRs'!$I$6:$I$505,T1004)&amp;"","")</f>
        <v/>
      </c>
    </row>
    <row r="1005">
      <c r="A1005" s="89" t="inlineStr">
        <is>
          <t>IT-001000</t>
        </is>
      </c>
      <c r="B1005" s="91" t="n"/>
      <c r="C1005" s="91" t="n"/>
      <c r="D1005" s="94" t="str">
        <f>IF(OR(R1005=0,V1005=0),"",INDEX('CAD_RESÍDUOS'!$E$6:$E$205,MATCH(C1005,'CAD_RESÍDUOS'!$B$6:$B$205,0))&amp;"")</f>
        <v/>
      </c>
      <c r="E1005" s="94" t="str">
        <f>IF(OR(R1005=0,V1005=0),"",INDEX('CAD_RESÍDUOS'!$C$6:$C$205,MATCH(C1005,'CAD_RESÍDUOS'!$B$6:$B$205,0))&amp;"")</f>
        <v/>
      </c>
      <c r="F1005" s="94" t="str">
        <f>IF(OR(R1005=0,V1005=0),"",INDEX('CAD_RESÍDUOS'!$G$6:$G$205,MATCH(C1005,'CAD_RESÍDUOS'!$B$6:$B$205,0))&amp;"")</f>
        <v/>
      </c>
      <c r="G1005" s="98" t="n"/>
      <c r="H1005" s="91" t="n"/>
      <c r="I1005" s="93" t="str">
        <f>IF(R1005=0,"",IF(NOT(ISNUMBER(G1005)),"",IF(ISNUMBER(X1005),G1005*X1005,"UNIDADE A CONFERIR")))</f>
        <v/>
      </c>
      <c r="J1005" s="91" t="n"/>
      <c r="K1005" s="91" t="n"/>
      <c r="L1005" s="93" t="str">
        <f>IF(R1005=0,"",SUMIFS('RECEBIMENTOS'!$H$6:$H$1005,'RECEBIMENTOS'!$R$6:$R$1005,A1005,'RECEBIMENTOS'!$X$6:$X$1005,1))</f>
        <v/>
      </c>
      <c r="M1005" s="93" t="str">
        <f>IF(R1005=0,"",SUMIFS('VÍNCULOS_CDF'!$H$6:$H$1005,'VÍNCULOS_CDF'!$R$6:$R$1005,A1005,'VÍNCULOS_CDF'!$V$6:$V$1005,1))</f>
        <v/>
      </c>
      <c r="N1005" s="99" t="str">
        <f>IF(OR(R1005=0,AA1005=0,NOT(ISNUMBER(I1005))),"",I1005-N(L1005))</f>
        <v/>
      </c>
      <c r="O1005" s="100" t="str">
        <f>IF(OR(R1005=0,AK1005&lt;=0),"",N(M1005)/AK1005)</f>
        <v/>
      </c>
      <c r="P1005" s="94" t="str">
        <f>IF(R1005=0,"",IF(S1005="","Sem MTR associado",IF(U1005=0,"MTR inexistente",IF(C1005="","Resíduo não identificado",IF(V1005=0,"Resíduo fora do cadastro",IF(W1005=0,"Quantidade inválida",IF(H1005="","Unidade não informada",IF(NOT(ISNUMBER(I1005)),"Unidade a conferir",IF(AND(AH1005=1,K1005&lt;&gt;"Sim"),"Possível duplicidade",IF(Z1005=1,"MTR cancelado",IF(AC1005&gt;0,"Recebimento com alerta",IF(AA1005=0,"Aguardando recebimento",IF(AB1005&lt;AA1005,"Recebimento a conferir",IF(AM1005=1,"Quantidade a revisar",IF(AF1005&gt;0,"Vínculo a revisar",IF(AD1005=0,"Aguardando CDF",IF(AN1005=0,"Vínculo de CDF parcial",IF(AE1005&lt;AD1005,"CDF a conferir","Documentação conferida"))))))))))))))))))</f>
        <v/>
      </c>
      <c r="Q1005" s="93" t="str">
        <f>IF(OR(R1005=0,AA1005=0),"",MAX(0,N(L1005)-N(M1005)))</f>
        <v/>
      </c>
      <c r="R1005" s="96">
        <f>IF(COUNTA(B1005:C1005,G1005:H1005,J1005:K1005)&gt;0,1,0)</f>
        <v>0</v>
      </c>
      <c r="S1005" s="96" t="str">
        <f>IF(B1005="","",TRIM(LEFT(B1005,FIND(" |",B1005&amp;" |")-1)))</f>
        <v/>
      </c>
      <c r="T1005" s="96" t="str">
        <f>IF(S1005="","",IFERROR(MATCH(S1005,'MTRs'!$A$6:$A$505,0),""))</f>
        <v/>
      </c>
      <c r="U1005" s="96">
        <f>IF(T1005="",0,IF(INDEX('MTRs'!$Z$6:$Z$505,T1005)=1,1,0))</f>
        <v>0</v>
      </c>
      <c r="V1005" s="96">
        <f>IF(C1005="",0,IF(ISNUMBER(MATCH(C1005,'CAD_RESÍDUOS'!$B$6:$B$205,0)),1,0))</f>
        <v>0</v>
      </c>
      <c r="W1005" s="96">
        <f>IF(AND(ISNUMBER(G1005),G1005&gt;0),1,0)</f>
        <v>0</v>
      </c>
      <c r="X1005" s="96" t="str">
        <f>IF(H1005="","",IFERROR(IF(ISNUMBER(INDEX(cfg_fac,MATCH(H1005,cfg_units,0))),IF(INDEX(cfg_fac,MATCH(H1005,cfg_units,0))&gt;0,INDEX(cfg_fac,MATCH(H1005,cfg_units,0)),""),""),""))</f>
        <v/>
      </c>
      <c r="Y1005" s="96">
        <f>IF(AND(W1005=1,ISNUMBER(I1005)),1,0)</f>
        <v>0</v>
      </c>
      <c r="Z1005" s="96">
        <f>IF(U1005=1,INDEX('MTRs'!$AA$6:$AA$505,T1005),0)</f>
        <v>0</v>
      </c>
      <c r="AA1005" s="96">
        <f>IF(R1005=0,0,COUNTIFS('RECEBIMENTOS'!$R$6:$R$1005,A1005,'RECEBIMENTOS'!$Q$6:$Q$1005,1))</f>
        <v>0</v>
      </c>
      <c r="AB1005" s="96">
        <f>IF(R1005=0,0,COUNTIFS('RECEBIMENTOS'!$R$6:$R$1005,A1005,'RECEBIMENTOS'!$Z$6:$Z$1005,1))</f>
        <v>0</v>
      </c>
      <c r="AC1005" s="96">
        <f>IF(R1005=0,0,COUNTIFS('RECEBIMENTOS'!$R$6:$R$1005,A1005,'RECEBIMENTOS'!$Y$6:$Y$1005,1))</f>
        <v>0</v>
      </c>
      <c r="AD1005" s="96">
        <f>IF(R1005=0,0,COUNTIFS('VÍNCULOS_CDF'!$R$6:$R$1005,A1005,'VÍNCULOS_CDF'!$N$6:$N$1005,1))</f>
        <v>0</v>
      </c>
      <c r="AE1005" s="96">
        <f>IF(R1005=0,0,COUNTIFS('VÍNCULOS_CDF'!$R$6:$R$1005,A1005,'VÍNCULOS_CDF'!$AA$6:$AA$1005,1))</f>
        <v>0</v>
      </c>
      <c r="AF1005" s="96">
        <f>IF(R1005=0,0,COUNTIFS('VÍNCULOS_CDF'!$R$6:$R$1005,A1005,'VÍNCULOS_CDF'!$Y$6:$Y$1005,1))</f>
        <v>0</v>
      </c>
      <c r="AG1005" s="96" t="str">
        <f>IF(AND(R1005=1,S1005&lt;&gt;"",C1005&lt;&gt;""),S1005&amp;"|"&amp;C1005&amp;"|"&amp;G1005&amp;"|"&amp;H1005,"")</f>
        <v/>
      </c>
      <c r="AH1005" s="96">
        <f>IF(AG1005="",0,IF(SUMPRODUCT(--($AG$6:$AG$1005=AG1005))&gt;1,1,0))</f>
        <v>0</v>
      </c>
      <c r="AI1005" s="96">
        <f>IF(R1005=0,0,IF(OR(U1005=0,V1005=0,Y1005=0,AND(AH1005=1,K1005&lt;&gt;"Sim")),1,0))</f>
        <v>0</v>
      </c>
      <c r="AJ1005" s="96">
        <f>IF(AND(R1005=1,AA1005&gt;0,AB1005=AA1005),1,0)</f>
        <v>0</v>
      </c>
      <c r="AK1005" s="96">
        <f>IF(R1005=0,0,IF(AA1005&gt;0,N(L1005),IF(ISNUMBER(I1005),I1005,0)))</f>
        <v>0</v>
      </c>
      <c r="AL1005" s="96">
        <f>IF(R1005=0,0,IF(AND(K1005&lt;&gt;"Sim",N(M1005)&gt;AK1005+cfg_tol),1,0))</f>
        <v>0</v>
      </c>
      <c r="AM1005" s="96">
        <f>IF(R1005=0,0,IF(K1005="Sim",0,IF(OR(AND(AA1005&gt;0,ISNUMBER(I1005),ABS(I1005-N(L1005))&gt;cfg_tol),AL1005=1),1,0)))</f>
        <v>0</v>
      </c>
      <c r="AN1005" s="96">
        <f>IF(AND(R1005=1,N(M1005)&gt;0,OR(N(M1005)&gt;=AK1005-cfg_tol,K1005="Sim")),1,0)</f>
        <v>0</v>
      </c>
      <c r="AO1005" s="96">
        <f>IF(AND(AN1005=1,AD1005&gt;0,AE1005=AD1005,AL1005=0),1,0)</f>
        <v>0</v>
      </c>
      <c r="AP1005" s="96">
        <f>IF(U1005=0,0,IF(AND(INDEX('MTRs'!$AX$6:$AX$505,T1005)=1,Z1005=0,OR(f_res="",f_res="(Todos)",C1005=f_res)),1,0))</f>
        <v>0</v>
      </c>
      <c r="AQ1005" s="97" t="str">
        <f>IF(U1005=0,"",INDEX('MTRs'!$AZ$6:$AZ$505,T1005))</f>
        <v/>
      </c>
      <c r="AR1005" s="96">
        <f>IF(U1005=0,0,IF(AND(INDEX('MTRs'!$BA$6:$BA$505,T1005)=1,Z1005=0),1,0))</f>
        <v>0</v>
      </c>
      <c r="AS1005" s="96" t="str">
        <f>IF(R1005=1,A1005&amp;" | MTR "&amp;IF(U1005=1,INDEX('MTRs'!$B$6:$B$505,T1005)&amp;"","?")&amp;" | "&amp;IF(C1005="","(sem resíduo)",C1005),"")</f>
        <v/>
      </c>
      <c r="AT1005" s="96" t="str">
        <f>IF(R1005=1,COUNTIF($R$6:R1005,1),"")</f>
        <v/>
      </c>
      <c r="AU1005" s="96" t="str">
        <f>IF(U1005=1,INDEX('MTRs'!$I$6:$I$505,T1005)&amp;"","")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Q2"/>
    <mergeCell ref="A1:Q1"/>
  </mergeCells>
  <conditionalFormatting sqref="P6:P1005">
    <cfRule type="expression" priority="1" dxfId="0" stopIfTrue="1">
      <formula>OR(ISNUMBER(SEARCH("Cancelado",P6)),ISNUMBER(SEARCH("cancelado",P6)))</formula>
    </cfRule>
    <cfRule type="expression" priority="2" dxfId="1" stopIfTrue="1">
      <formula>OR(ISNUMBER(SEARCH("revisar",P6)),ISNUMBER(SEARCH("REVISAR",P6)),ISNUMBER(SEARCH("incompleto",P6)),ISNUMBER(SEARCH("INCOMPLETO",P6)),ISNUMBER(SEARCH("inexistente",P6)),ISNUMBER(SEARCH("inválid",P6)),ISNUMBER(SEARCH("não informad",P6)),ISNUMBER(SEARCH("fora do cadastro",P6)),ISNUMBER(SEARCH("duplicidade",P6)),ISNUMBER(SEARCH("DUPLICIDADE",P6)),ISNUMBER(SEARCH("UNIDADE A CONFERIR",P6)),ISNUMBER(SEARCH("Unidade a conferir",P6)),ISNUMBER(SEARCH("sem evidência",P6)),ISNUMBER(SEARCH("anterior à emissão",P6)),ISNUMBER(SEARCH("não positiva",P6)),ISNUMBER(SEARCH("não identificado",P6)),ISNUMBER(SEARCH("Sem MTR",P6)),ISNUMBER(SEARCH("Necessita",P6)),ISNUMBER(SEARCH("incompletas",P6)),ISNUMBER(SEARCH("Nome repetido",P6)),ISNUMBER(SEARCH("Informe",P6)),ISNUMBER(SEARCH("vencida",P6)))</formula>
    </cfRule>
    <cfRule type="expression" priority="3" dxfId="2" stopIfTrue="1">
      <formula>OR(ISNUMBER(SEARCH("a conferir",P6)),ISNUMBER(SEARCH("A CONFERIR",P6)),ISNUMBER(SEARCH("Aguardando conferência",P6)),ISNUMBER(SEARCH("Localizado",P6)),ISNUMBER(SEARCH("ver diferença",P6)),ISNUMBER(SEARCH("analisado",P6)),ISNUMBER(SEARCH("Data futura",P6)),ISNUMBER(SEARCH("Não calculável",P6)))</formula>
    </cfRule>
    <cfRule type="expression" priority="4" dxfId="3" stopIfTrue="1">
      <formula>OR(ISNUMBER(SEARCH("Aguardando",P6)),ISNUMBER(SEARCH("parcial",P6)),ISNUMBER(SEARCH("Cadastrado",P6)),ISNUMBER(SEARCH("NÃO CONFIRMADO",P6)),ISNUMBER(SEARCH("NÃO LOCALIZADO",P6)),ISNUMBER(SEARCH("VÍNCULO INCOMPLETO",P6)))</formula>
    </cfRule>
    <cfRule type="expression" priority="5" dxfId="4" stopIfTrue="1">
      <formula>OR(EXACT(P6,"OK"),ISNUMBER(SEARCH("conferida",P6)),ISNUMBER(SEARCH("Conferido",P6)),ISNUMBER(SEARCH("Nenhuma",P6)))</formula>
    </cfRule>
  </conditionalFormatting>
  <conditionalFormatting sqref="D6:D1005">
    <cfRule type="expression" priority="6" dxfId="0" stopIfTrue="1">
      <formula>OR(ISNUMBER(SEARCH("Cancelado",D6)),ISNUMBER(SEARCH("cancelado",D6)))</formula>
    </cfRule>
    <cfRule type="expression" priority="7" dxfId="1" stopIfTrue="1">
      <formula>OR(ISNUMBER(SEARCH("revisar",D6)),ISNUMBER(SEARCH("REVISAR",D6)),ISNUMBER(SEARCH("incompleto",D6)),ISNUMBER(SEARCH("INCOMPLETO",D6)),ISNUMBER(SEARCH("inexistente",D6)),ISNUMBER(SEARCH("inválid",D6)),ISNUMBER(SEARCH("não informad",D6)),ISNUMBER(SEARCH("fora do cadastro",D6)),ISNUMBER(SEARCH("duplicidade",D6)),ISNUMBER(SEARCH("DUPLICIDADE",D6)),ISNUMBER(SEARCH("UNIDADE A CONFERIR",D6)),ISNUMBER(SEARCH("Unidade a conferir",D6)),ISNUMBER(SEARCH("sem evidência",D6)),ISNUMBER(SEARCH("anterior à emissão",D6)),ISNUMBER(SEARCH("não positiva",D6)),ISNUMBER(SEARCH("não identificado",D6)),ISNUMBER(SEARCH("Sem MTR",D6)),ISNUMBER(SEARCH("Necessita",D6)),ISNUMBER(SEARCH("incompletas",D6)),ISNUMBER(SEARCH("Nome repetido",D6)),ISNUMBER(SEARCH("Informe",D6)),ISNUMBER(SEARCH("vencida",D6)))</formula>
    </cfRule>
    <cfRule type="expression" priority="8" dxfId="2" stopIfTrue="1">
      <formula>OR(ISNUMBER(SEARCH("a conferir",D6)),ISNUMBER(SEARCH("A CONFERIR",D6)),ISNUMBER(SEARCH("Aguardando conferência",D6)),ISNUMBER(SEARCH("Localizado",D6)),ISNUMBER(SEARCH("ver diferença",D6)),ISNUMBER(SEARCH("analisado",D6)),ISNUMBER(SEARCH("Data futura",D6)),ISNUMBER(SEARCH("Não calculável",D6)))</formula>
    </cfRule>
    <cfRule type="expression" priority="9" dxfId="3" stopIfTrue="1">
      <formula>OR(ISNUMBER(SEARCH("Aguardando",D6)),ISNUMBER(SEARCH("parcial",D6)),ISNUMBER(SEARCH("Cadastrado",D6)),ISNUMBER(SEARCH("NÃO CONFIRMADO",D6)),ISNUMBER(SEARCH("NÃO LOCALIZADO",D6)),ISNUMBER(SEARCH("VÍNCULO INCOMPLETO",D6)))</formula>
    </cfRule>
    <cfRule type="expression" priority="10" dxfId="4" stopIfTrue="1">
      <formula>OR(EXACT(D6,"OK"),ISNUMBER(SEARCH("conferida",D6)),ISNUMBER(SEARCH("Conferido",D6)),ISNUMBER(SEARCH("Nenhuma",D6)))</formula>
    </cfRule>
  </conditionalFormatting>
  <conditionalFormatting sqref="G6:G1005">
    <cfRule type="expression" priority="11" dxfId="7">
      <formula>AND($R6=1,$W6=0)</formula>
    </cfRule>
  </conditionalFormatting>
  <conditionalFormatting sqref="I6:I1005">
    <cfRule type="expression" priority="12" dxfId="0" stopIfTrue="1">
      <formula>OR(ISNUMBER(SEARCH("Cancelado",I6)),ISNUMBER(SEARCH("cancelado",I6)))</formula>
    </cfRule>
    <cfRule type="expression" priority="13" dxfId="1" stopIfTrue="1">
      <formula>OR(ISNUMBER(SEARCH("revisar",I6)),ISNUMBER(SEARCH("REVISAR",I6)),ISNUMBER(SEARCH("incompleto",I6)),ISNUMBER(SEARCH("INCOMPLETO",I6)),ISNUMBER(SEARCH("inexistente",I6)),ISNUMBER(SEARCH("inválid",I6)),ISNUMBER(SEARCH("não informad",I6)),ISNUMBER(SEARCH("fora do cadastro",I6)),ISNUMBER(SEARCH("duplicidade",I6)),ISNUMBER(SEARCH("DUPLICIDADE",I6)),ISNUMBER(SEARCH("UNIDADE A CONFERIR",I6)),ISNUMBER(SEARCH("Unidade a conferir",I6)),ISNUMBER(SEARCH("sem evidência",I6)),ISNUMBER(SEARCH("anterior à emissão",I6)),ISNUMBER(SEARCH("não positiva",I6)),ISNUMBER(SEARCH("não identificado",I6)),ISNUMBER(SEARCH("Sem MTR",I6)),ISNUMBER(SEARCH("Necessita",I6)),ISNUMBER(SEARCH("incompletas",I6)),ISNUMBER(SEARCH("Nome repetido",I6)),ISNUMBER(SEARCH("Informe",I6)),ISNUMBER(SEARCH("vencida",I6)))</formula>
    </cfRule>
    <cfRule type="expression" priority="14" dxfId="2" stopIfTrue="1">
      <formula>OR(ISNUMBER(SEARCH("a conferir",I6)),ISNUMBER(SEARCH("A CONFERIR",I6)),ISNUMBER(SEARCH("Aguardando conferência",I6)),ISNUMBER(SEARCH("Localizado",I6)),ISNUMBER(SEARCH("ver diferença",I6)),ISNUMBER(SEARCH("analisado",I6)),ISNUMBER(SEARCH("Data futura",I6)),ISNUMBER(SEARCH("Não calculável",I6)))</formula>
    </cfRule>
    <cfRule type="expression" priority="15" dxfId="3" stopIfTrue="1">
      <formula>OR(ISNUMBER(SEARCH("Aguardando",I6)),ISNUMBER(SEARCH("parcial",I6)),ISNUMBER(SEARCH("Cadastrado",I6)),ISNUMBER(SEARCH("NÃO CONFIRMADO",I6)),ISNUMBER(SEARCH("NÃO LOCALIZADO",I6)),ISNUMBER(SEARCH("VÍNCULO INCOMPLETO",I6)))</formula>
    </cfRule>
    <cfRule type="expression" priority="16" dxfId="4" stopIfTrue="1">
      <formula>OR(EXACT(I6,"OK"),ISNUMBER(SEARCH("conferida",I6)),ISNUMBER(SEARCH("Conferido",I6)),ISNUMBER(SEARCH("Nenhuma",I6)))</formula>
    </cfRule>
  </conditionalFormatting>
  <conditionalFormatting sqref="B6:B1005 C6:C1005 G6:G1005 H6:H1005 J6:J1005 K6:K1005">
    <cfRule type="expression" priority="17" dxfId="5">
      <formula>MOD(ROW(),2)=0</formula>
    </cfRule>
  </conditionalFormatting>
  <conditionalFormatting sqref="D6:D1005 E6:E1005 F6:F1005 I6:I1005 L6:L1005 M6:M1005 N6:N1005 O6:O1005 P6:P1005 Q6:Q1005">
    <cfRule type="expression" priority="18" dxfId="6">
      <formula>MOD(ROW(),2)=0</formula>
    </cfRule>
  </conditionalFormatting>
  <dataValidations count="5">
    <dataValidation sqref="B6:B1005" showDropDown="0" showInputMessage="0" showErrorMessage="1" allowBlank="1" errorTitle="Valor fora da lista" error="Valor fora da lista. Confira o cadastro ou ajuste a lista em CONFIGURAÇÕES." type="list" errorStyle="warning">
      <formula1>=lst_mtr</formula1>
    </dataValidation>
    <dataValidation sqref="C6:C1005" showDropDown="0" showInputMessage="0" showErrorMessage="1" allowBlank="1" errorTitle="Valor fora da lista" error="Valor fora da lista. Confira o cadastro ou ajuste a lista em CONFIGURAÇÕES." type="list" errorStyle="warning">
      <formula1>=lst_res</formula1>
    </dataValidation>
    <dataValidation sqref="G6:G1005" showDropDown="0" showInputMessage="0" showErrorMessage="1" allowBlank="1" errorTitle="Quantidade" error="A quantidade deve ser um número maior que zero." type="decimal" errorStyle="warning" operator="greaterThan">
      <formula1>0</formula1>
    </dataValidation>
    <dataValidation sqref="H6:H1005" showDropDown="0" showInputMessage="0" showErrorMessage="1" allowBlank="1" errorTitle="Valor fora da lista" error="Valor fora da lista. Confira o cadastro ou ajuste a lista em CONFIGURAÇÕES." type="list" errorStyle="warning">
      <formula1>=lst_un</formula1>
    </dataValidation>
    <dataValidation sqref="K6:K1005" showDropDown="0" showInputMessage="0" showErrorMessage="1" allowBlank="1" errorTitle="Valor fora da lista" error="Valor fora da lista. Confira o cadastro ou ajuste a lista em CONFIGURAÇÕES." type="list" errorStyle="warning">
      <formula1>=lst_simnao</formula1>
    </dataValidation>
  </dataValidations>
  <hyperlinks>
    <hyperlink ref="A3" location="'INÍCIO'!A1"/>
    <hyperlink ref="B3" location="'PAINEL'!A1"/>
    <hyperlink ref="C3" location="'PENDÊNCIAS'!A1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766A9"/>
    <outlinePr summaryBelow="1" summaryRight="1"/>
    <pageSetUpPr fitToPage="1"/>
  </sheetPr>
  <dimension ref="A1:AB1005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36" customWidth="1" min="3" max="3"/>
    <col width="26" customWidth="1" min="4" max="4"/>
    <col width="13" customWidth="1" min="5" max="5"/>
    <col width="12" customWidth="1" min="6" max="6"/>
    <col width="9" customWidth="1" min="7" max="7"/>
    <col width="14" customWidth="1" min="8" max="8"/>
    <col width="18" customWidth="1" min="9" max="9"/>
    <col width="12" customWidth="1" min="10" max="10"/>
    <col width="12" customWidth="1" min="11" max="11"/>
    <col width="26" customWidth="1" min="12" max="12"/>
    <col width="28" customWidth="1" min="13" max="13"/>
    <col width="18" customWidth="1" min="14" max="14"/>
    <col width="26" customWidth="1" min="15" max="15"/>
    <col width="30" customWidth="1" min="16" max="16"/>
    <col hidden="1" width="6" customWidth="1" min="17" max="17"/>
    <col hidden="1" width="6" customWidth="1" min="18" max="18"/>
    <col hidden="1" width="6" customWidth="1" min="19" max="19"/>
    <col hidden="1" width="6" customWidth="1" min="20" max="20"/>
    <col hidden="1" width="6" customWidth="1" min="21" max="21"/>
    <col hidden="1" width="6" customWidth="1" min="22" max="22"/>
    <col hidden="1" width="6" customWidth="1" min="23" max="23"/>
    <col hidden="1" width="6" customWidth="1" min="24" max="24"/>
    <col hidden="1" width="6" customWidth="1" min="25" max="25"/>
    <col hidden="1" width="6" customWidth="1" min="26" max="26"/>
    <col hidden="1" width="6" customWidth="1" min="27" max="27"/>
    <col hidden="1" width="6" customWidth="1" min="28" max="28"/>
  </cols>
  <sheetData>
    <row r="1" ht="34" customHeight="1">
      <c r="A1" s="79" t="inlineStr">
        <is>
          <t>CONTROLE DE RECEBIMENTOS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79" t="n"/>
      <c r="K1" s="79" t="n"/>
      <c r="L1" s="79" t="n"/>
      <c r="M1" s="79" t="n"/>
      <c r="N1" s="79" t="n"/>
      <c r="O1" s="79" t="n"/>
      <c r="P1" s="79" t="n"/>
    </row>
    <row r="2" ht="30" customHeight="1">
      <c r="A2" s="80" t="inlineStr">
        <is>
          <t>Cada linha é um registro de recebimento de um item de resíduo.  O recebimento só conta como confirmado com RECEBIMENTO CONFERIDO? = Sim e um documento ou link de evidência informado. Data preenchida sozinha não confirma nada.</t>
        </is>
      </c>
      <c r="B2" s="80" t="n"/>
      <c r="C2" s="80" t="n"/>
      <c r="D2" s="80" t="n"/>
      <c r="E2" s="80" t="n"/>
      <c r="F2" s="80" t="n"/>
      <c r="G2" s="80" t="n"/>
      <c r="H2" s="80" t="n"/>
      <c r="I2" s="80" t="n"/>
      <c r="J2" s="80" t="n"/>
      <c r="K2" s="80" t="n"/>
      <c r="L2" s="80" t="n"/>
      <c r="M2" s="80" t="n"/>
      <c r="N2" s="80" t="n"/>
      <c r="O2" s="80" t="n"/>
      <c r="P2" s="80" t="n"/>
    </row>
    <row r="3" ht="20" customHeight="1">
      <c r="A3" s="81" t="inlineStr">
        <is>
          <t>◀ INÍCIO</t>
        </is>
      </c>
      <c r="B3" s="81" t="inlineStr">
        <is>
          <t>PAINEL</t>
        </is>
      </c>
      <c r="C3" s="81" t="inlineStr">
        <is>
          <t>PENDÊNCIAS</t>
        </is>
      </c>
      <c r="D3" s="82" t="inlineStr">
        <is>
          <t>Azul-claro = preencher   |   Cinza = automático   |   Linhas prontas: 1.000 registros</t>
        </is>
      </c>
    </row>
    <row r="4">
      <c r="A4" s="83" t="inlineStr">
        <is>
          <t>ID FIXO</t>
        </is>
      </c>
      <c r="B4" s="85" t="inlineStr">
        <is>
          <t>AUTOMÁTICO</t>
        </is>
      </c>
      <c r="C4" s="84" t="inlineStr">
        <is>
          <t>PREENCHER</t>
        </is>
      </c>
      <c r="D4" s="85" t="inlineStr">
        <is>
          <t>AUTOMÁTICO</t>
        </is>
      </c>
      <c r="E4" s="84" t="inlineStr">
        <is>
          <t>PREENCHER</t>
        </is>
      </c>
      <c r="F4" s="84" t="inlineStr">
        <is>
          <t>PREENCHER</t>
        </is>
      </c>
      <c r="G4" s="84" t="inlineStr">
        <is>
          <t>PREENCHER</t>
        </is>
      </c>
      <c r="H4" s="85" t="inlineStr">
        <is>
          <t>AUTOMÁTICO</t>
        </is>
      </c>
      <c r="I4" s="84" t="inlineStr">
        <is>
          <t>PREENCHER</t>
        </is>
      </c>
      <c r="J4" s="84" t="inlineStr">
        <is>
          <t>PREENCHER</t>
        </is>
      </c>
      <c r="K4" s="84" t="inlineStr">
        <is>
          <t>PREENCHER</t>
        </is>
      </c>
      <c r="L4" s="84" t="inlineStr">
        <is>
          <t>PREENCHER</t>
        </is>
      </c>
      <c r="M4" s="84" t="inlineStr">
        <is>
          <t>PREENCHER</t>
        </is>
      </c>
      <c r="N4" s="84" t="inlineStr">
        <is>
          <t>PREENCHER</t>
        </is>
      </c>
      <c r="O4" s="84" t="inlineStr">
        <is>
          <t>PREENCHER</t>
        </is>
      </c>
      <c r="P4" s="85" t="inlineStr">
        <is>
          <t>AUTOMÁTICO</t>
        </is>
      </c>
    </row>
    <row r="5" ht="46" customHeight="1">
      <c r="A5" s="86" t="inlineStr">
        <is>
          <t>ID interno do recebimento</t>
        </is>
      </c>
      <c r="B5" s="87" t="inlineStr">
        <is>
          <t>ID do MTR</t>
        </is>
      </c>
      <c r="C5" s="86" t="inlineStr">
        <is>
          <t>ID do item de resíduo</t>
        </is>
      </c>
      <c r="D5" s="87" t="inlineStr">
        <is>
          <t>Unidade destinatária</t>
        </is>
      </c>
      <c r="E5" s="86" t="inlineStr">
        <is>
          <t>Data de recebimento informada</t>
        </is>
      </c>
      <c r="F5" s="86" t="inlineStr">
        <is>
          <t>Quantidade recebida</t>
        </is>
      </c>
      <c r="G5" s="86" t="inlineStr">
        <is>
          <t>Unidade de medida</t>
        </is>
      </c>
      <c r="H5" s="87" t="inlineStr">
        <is>
          <t>Quantidade convertida (kg)</t>
        </is>
      </c>
      <c r="I5" s="86" t="inlineStr">
        <is>
          <t>Situação informada no sistema</t>
        </is>
      </c>
      <c r="J5" s="86" t="inlineStr">
        <is>
          <t>Recebimento conferido?</t>
        </is>
      </c>
      <c r="K5" s="86" t="inlineStr">
        <is>
          <t>Data da conferência</t>
        </is>
      </c>
      <c r="L5" s="86" t="inlineStr">
        <is>
          <t>Documento ou evidência consultada</t>
        </is>
      </c>
      <c r="M5" s="86" t="inlineStr">
        <is>
          <t>Link ou caminho do registro</t>
        </is>
      </c>
      <c r="N5" s="86" t="inlineStr">
        <is>
          <t>Responsável pela conferência</t>
        </is>
      </c>
      <c r="O5" s="86" t="inlineStr">
        <is>
          <t>Observações</t>
        </is>
      </c>
      <c r="P5" s="87" t="inlineStr">
        <is>
          <t>Alerta do recebimento</t>
        </is>
      </c>
      <c r="Q5" s="88" t="inlineStr">
        <is>
          <t>aux registro ativo</t>
        </is>
      </c>
      <c r="R5" s="88" t="inlineStr">
        <is>
          <t>aux id item</t>
        </is>
      </c>
      <c r="S5" s="88" t="inlineStr">
        <is>
          <t>aux linha item</t>
        </is>
      </c>
      <c r="T5" s="88" t="inlineStr">
        <is>
          <t>aux item válido</t>
        </is>
      </c>
      <c r="U5" s="88" t="inlineStr">
        <is>
          <t>aux linha mtr</t>
        </is>
      </c>
      <c r="V5" s="88" t="inlineStr">
        <is>
          <t>aux emissão do mtr</t>
        </is>
      </c>
      <c r="W5" s="88" t="inlineStr">
        <is>
          <t>aux fator kg</t>
        </is>
      </c>
      <c r="X5" s="88" t="inlineStr">
        <is>
          <t>aux quantidade válida</t>
        </is>
      </c>
      <c r="Y5" s="88" t="inlineStr">
        <is>
          <t>aux alerta</t>
        </is>
      </c>
      <c r="Z5" s="88" t="inlineStr">
        <is>
          <t>aux conferido válido</t>
        </is>
      </c>
      <c r="AA5" s="88" t="inlineStr">
        <is>
          <t>aux filtro relatórios</t>
        </is>
      </c>
      <c r="AB5" s="88" t="inlineStr">
        <is>
          <t>aux ordem relatório 03</t>
        </is>
      </c>
    </row>
    <row r="6">
      <c r="A6" s="89" t="inlineStr">
        <is>
          <t>REC-000001</t>
        </is>
      </c>
      <c r="B6" s="94" t="str">
        <f>IF(T6=1,INDEX('ITENS_MTR'!$S$6:$S$1005,S6)&amp;"","")</f>
        <v/>
      </c>
      <c r="C6" s="91" t="n"/>
      <c r="D6" s="94" t="str">
        <f>IF(N(U6)&gt;0,INDEX('MTRs'!$I$6:$I$505,U6)&amp;"","")</f>
        <v/>
      </c>
      <c r="E6" s="92" t="n"/>
      <c r="F6" s="98" t="n"/>
      <c r="G6" s="91" t="n"/>
      <c r="H6" s="93" t="str">
        <f>IF(Q6=0,"",IF(NOT(ISNUMBER(F6)),"",IF(ISNUMBER(W6),F6*W6,"UNIDADE A CONFERIR")))</f>
        <v/>
      </c>
      <c r="I6" s="91" t="n"/>
      <c r="J6" s="91" t="n"/>
      <c r="K6" s="92" t="n"/>
      <c r="L6" s="91" t="n"/>
      <c r="M6" s="91" t="n"/>
      <c r="N6" s="91" t="n"/>
      <c r="O6" s="91" t="n"/>
      <c r="P6" s="94" t="str">
        <f>IF(Q6=0,"",IF(C6="","Item de resíduo não informado",IF(T6=0,"Item inexistente (referência inválida)",IF(NOT(ISNUMBER(F6)),"Quantidade não informada",IF(F6&lt;=0,"Quantidade não positiva",IF(G6="","Unidade não informada",IF(NOT(ISNUMBER(H6)),"Unidade a conferir",IF(NOT(ISNUMBER(E6)),"Data de recebimento não informada",IF(AND(ISNUMBER(V6),N(V6)&gt;0,E6&lt;N(V6)),"Data anterior à emissão do MTR",IF(AND(J6="Sim",L6="",M6=""),"Conferido sem evidência identificada",IF(J6&lt;&gt;"Sim","Aguardando conferência",IF(INDEX('ITENS_MTR'!$AM$6:$AM$1005,S6)=1,"Conferido (ver diferença no item)","Conferido"))))))))))))</f>
        <v/>
      </c>
      <c r="Q6" s="96">
        <f>IF(COUNTA(C6,E6:G6,I6:O6)&gt;0,1,0)</f>
        <v>0</v>
      </c>
      <c r="R6" s="96" t="str">
        <f>IF(C6="","",TRIM(LEFT(C6,FIND(" |",C6&amp;" |")-1)))</f>
        <v/>
      </c>
      <c r="S6" s="96" t="str">
        <f>IF(R6="","",IFERROR(MATCH(R6,'ITENS_MTR'!$A$6:$A$1005,0),""))</f>
        <v/>
      </c>
      <c r="T6" s="96">
        <f>IF(S6="",0,IF(INDEX('ITENS_MTR'!$R$6:$R$1005,S6)=1,1,0))</f>
        <v>0</v>
      </c>
      <c r="U6" s="96" t="str">
        <f>IF(T6=1,INDEX('ITENS_MTR'!$T$6:$T$1005,S6),"")</f>
        <v/>
      </c>
      <c r="V6" s="97" t="str">
        <f>IF(N(U6)&gt;0,INDEX('MTRs'!$E$6:$E$505,U6),"")</f>
        <v/>
      </c>
      <c r="W6" s="96" t="str">
        <f>IF(G6="","",IFERROR(IF(ISNUMBER(INDEX(cfg_fac,MATCH(G6,cfg_units,0))),IF(INDEX(cfg_fac,MATCH(G6,cfg_units,0))&gt;0,INDEX(cfg_fac,MATCH(G6,cfg_units,0)),""),""),""))</f>
        <v/>
      </c>
      <c r="X6" s="96">
        <f>IF(AND(ISNUMBER(F6),ISNUMBER(H6)),IF(H6&gt;0,1,0),0)</f>
        <v>0</v>
      </c>
      <c r="Y6" s="96">
        <f>IF(Q6=0,0,IF(OR(T6=0,X6=0,NOT(ISNUMBER(E6)),AND(J6="Sim",L6="",M6=""),AND(ISNUMBER(E6),ISNUMBER(V6),N(V6)&gt;0,E6&lt;N(V6))),1,0))</f>
        <v>0</v>
      </c>
      <c r="Z6" s="96">
        <f>IF(AND(Q6=1,T6=1,X6=1,J6="Sim",OR(L6&lt;&gt;"",M6&lt;&gt;"")),1,0)</f>
        <v>0</v>
      </c>
      <c r="AA6" s="96">
        <f>IF(Q6=0,0,IF(AND(OR(r_ini="",AND(ISNUMBER(E6),E6&gt;=r_ini)),OR(r_fim="",AND(ISNUMBER(E6),E6&lt;=r_fim)),OR(r_un="",r_un="(Todas)",IF(N(U6)&gt;0,INDEX('MTRs'!$G$6:$G$505,U6),"")=r_un),OR(r_de="",r_de="(Todos)",D6=r_de)),1,0))</f>
        <v>0</v>
      </c>
      <c r="AB6" s="96" t="str">
        <f>IF(AA6=1,COUNTIF($AA$6:AA6,1),"")</f>
        <v/>
      </c>
    </row>
    <row r="7">
      <c r="A7" s="89" t="inlineStr">
        <is>
          <t>REC-000002</t>
        </is>
      </c>
      <c r="B7" s="94" t="str">
        <f>IF(T7=1,INDEX('ITENS_MTR'!$S$6:$S$1005,S7)&amp;"","")</f>
        <v/>
      </c>
      <c r="C7" s="91" t="n"/>
      <c r="D7" s="94" t="str">
        <f>IF(N(U7)&gt;0,INDEX('MTRs'!$I$6:$I$505,U7)&amp;"","")</f>
        <v/>
      </c>
      <c r="E7" s="92" t="n"/>
      <c r="F7" s="98" t="n"/>
      <c r="G7" s="91" t="n"/>
      <c r="H7" s="93" t="str">
        <f>IF(Q7=0,"",IF(NOT(ISNUMBER(F7)),"",IF(ISNUMBER(W7),F7*W7,"UNIDADE A CONFERIR")))</f>
        <v/>
      </c>
      <c r="I7" s="91" t="n"/>
      <c r="J7" s="91" t="n"/>
      <c r="K7" s="92" t="n"/>
      <c r="L7" s="91" t="n"/>
      <c r="M7" s="91" t="n"/>
      <c r="N7" s="91" t="n"/>
      <c r="O7" s="91" t="n"/>
      <c r="P7" s="94" t="str">
        <f>IF(Q7=0,"",IF(C7="","Item de resíduo não informado",IF(T7=0,"Item inexistente (referência inválida)",IF(NOT(ISNUMBER(F7)),"Quantidade não informada",IF(F7&lt;=0,"Quantidade não positiva",IF(G7="","Unidade não informada",IF(NOT(ISNUMBER(H7)),"Unidade a conferir",IF(NOT(ISNUMBER(E7)),"Data de recebimento não informada",IF(AND(ISNUMBER(V7),N(V7)&gt;0,E7&lt;N(V7)),"Data anterior à emissão do MTR",IF(AND(J7="Sim",L7="",M7=""),"Conferido sem evidência identificada",IF(J7&lt;&gt;"Sim","Aguardando conferência",IF(INDEX('ITENS_MTR'!$AM$6:$AM$1005,S7)=1,"Conferido (ver diferença no item)","Conferido"))))))))))))</f>
        <v/>
      </c>
      <c r="Q7" s="96">
        <f>IF(COUNTA(C7,E7:G7,I7:O7)&gt;0,1,0)</f>
        <v>0</v>
      </c>
      <c r="R7" s="96" t="str">
        <f>IF(C7="","",TRIM(LEFT(C7,FIND(" |",C7&amp;" |")-1)))</f>
        <v/>
      </c>
      <c r="S7" s="96" t="str">
        <f>IF(R7="","",IFERROR(MATCH(R7,'ITENS_MTR'!$A$6:$A$1005,0),""))</f>
        <v/>
      </c>
      <c r="T7" s="96">
        <f>IF(S7="",0,IF(INDEX('ITENS_MTR'!$R$6:$R$1005,S7)=1,1,0))</f>
        <v>0</v>
      </c>
      <c r="U7" s="96" t="str">
        <f>IF(T7=1,INDEX('ITENS_MTR'!$T$6:$T$1005,S7),"")</f>
        <v/>
      </c>
      <c r="V7" s="97" t="str">
        <f>IF(N(U7)&gt;0,INDEX('MTRs'!$E$6:$E$505,U7),"")</f>
        <v/>
      </c>
      <c r="W7" s="96" t="str">
        <f>IF(G7="","",IFERROR(IF(ISNUMBER(INDEX(cfg_fac,MATCH(G7,cfg_units,0))),IF(INDEX(cfg_fac,MATCH(G7,cfg_units,0))&gt;0,INDEX(cfg_fac,MATCH(G7,cfg_units,0)),""),""),""))</f>
        <v/>
      </c>
      <c r="X7" s="96">
        <f>IF(AND(ISNUMBER(F7),ISNUMBER(H7)),IF(H7&gt;0,1,0),0)</f>
        <v>0</v>
      </c>
      <c r="Y7" s="96">
        <f>IF(Q7=0,0,IF(OR(T7=0,X7=0,NOT(ISNUMBER(E7)),AND(J7="Sim",L7="",M7=""),AND(ISNUMBER(E7),ISNUMBER(V7),N(V7)&gt;0,E7&lt;N(V7))),1,0))</f>
        <v>0</v>
      </c>
      <c r="Z7" s="96">
        <f>IF(AND(Q7=1,T7=1,X7=1,J7="Sim",OR(L7&lt;&gt;"",M7&lt;&gt;"")),1,0)</f>
        <v>0</v>
      </c>
      <c r="AA7" s="96">
        <f>IF(Q7=0,0,IF(AND(OR(r_ini="",AND(ISNUMBER(E7),E7&gt;=r_ini)),OR(r_fim="",AND(ISNUMBER(E7),E7&lt;=r_fim)),OR(r_un="",r_un="(Todas)",IF(N(U7)&gt;0,INDEX('MTRs'!$G$6:$G$505,U7),"")=r_un),OR(r_de="",r_de="(Todos)",D7=r_de)),1,0))</f>
        <v>0</v>
      </c>
      <c r="AB7" s="96" t="str">
        <f>IF(AA7=1,COUNTIF($AA$6:AA7,1),"")</f>
        <v/>
      </c>
    </row>
    <row r="8">
      <c r="A8" s="89" t="inlineStr">
        <is>
          <t>REC-000003</t>
        </is>
      </c>
      <c r="B8" s="94" t="str">
        <f>IF(T8=1,INDEX('ITENS_MTR'!$S$6:$S$1005,S8)&amp;"","")</f>
        <v/>
      </c>
      <c r="C8" s="91" t="n"/>
      <c r="D8" s="94" t="str">
        <f>IF(N(U8)&gt;0,INDEX('MTRs'!$I$6:$I$505,U8)&amp;"","")</f>
        <v/>
      </c>
      <c r="E8" s="92" t="n"/>
      <c r="F8" s="98" t="n"/>
      <c r="G8" s="91" t="n"/>
      <c r="H8" s="93" t="str">
        <f>IF(Q8=0,"",IF(NOT(ISNUMBER(F8)),"",IF(ISNUMBER(W8),F8*W8,"UNIDADE A CONFERIR")))</f>
        <v/>
      </c>
      <c r="I8" s="91" t="n"/>
      <c r="J8" s="91" t="n"/>
      <c r="K8" s="92" t="n"/>
      <c r="L8" s="91" t="n"/>
      <c r="M8" s="91" t="n"/>
      <c r="N8" s="91" t="n"/>
      <c r="O8" s="91" t="n"/>
      <c r="P8" s="94" t="str">
        <f>IF(Q8=0,"",IF(C8="","Item de resíduo não informado",IF(T8=0,"Item inexistente (referência inválida)",IF(NOT(ISNUMBER(F8)),"Quantidade não informada",IF(F8&lt;=0,"Quantidade não positiva",IF(G8="","Unidade não informada",IF(NOT(ISNUMBER(H8)),"Unidade a conferir",IF(NOT(ISNUMBER(E8)),"Data de recebimento não informada",IF(AND(ISNUMBER(V8),N(V8)&gt;0,E8&lt;N(V8)),"Data anterior à emissão do MTR",IF(AND(J8="Sim",L8="",M8=""),"Conferido sem evidência identificada",IF(J8&lt;&gt;"Sim","Aguardando conferência",IF(INDEX('ITENS_MTR'!$AM$6:$AM$1005,S8)=1,"Conferido (ver diferença no item)","Conferido"))))))))))))</f>
        <v/>
      </c>
      <c r="Q8" s="96">
        <f>IF(COUNTA(C8,E8:G8,I8:O8)&gt;0,1,0)</f>
        <v>0</v>
      </c>
      <c r="R8" s="96" t="str">
        <f>IF(C8="","",TRIM(LEFT(C8,FIND(" |",C8&amp;" |")-1)))</f>
        <v/>
      </c>
      <c r="S8" s="96" t="str">
        <f>IF(R8="","",IFERROR(MATCH(R8,'ITENS_MTR'!$A$6:$A$1005,0),""))</f>
        <v/>
      </c>
      <c r="T8" s="96">
        <f>IF(S8="",0,IF(INDEX('ITENS_MTR'!$R$6:$R$1005,S8)=1,1,0))</f>
        <v>0</v>
      </c>
      <c r="U8" s="96" t="str">
        <f>IF(T8=1,INDEX('ITENS_MTR'!$T$6:$T$1005,S8),"")</f>
        <v/>
      </c>
      <c r="V8" s="97" t="str">
        <f>IF(N(U8)&gt;0,INDEX('MTRs'!$E$6:$E$505,U8),"")</f>
        <v/>
      </c>
      <c r="W8" s="96" t="str">
        <f>IF(G8="","",IFERROR(IF(ISNUMBER(INDEX(cfg_fac,MATCH(G8,cfg_units,0))),IF(INDEX(cfg_fac,MATCH(G8,cfg_units,0))&gt;0,INDEX(cfg_fac,MATCH(G8,cfg_units,0)),""),""),""))</f>
        <v/>
      </c>
      <c r="X8" s="96">
        <f>IF(AND(ISNUMBER(F8),ISNUMBER(H8)),IF(H8&gt;0,1,0),0)</f>
        <v>0</v>
      </c>
      <c r="Y8" s="96">
        <f>IF(Q8=0,0,IF(OR(T8=0,X8=0,NOT(ISNUMBER(E8)),AND(J8="Sim",L8="",M8=""),AND(ISNUMBER(E8),ISNUMBER(V8),N(V8)&gt;0,E8&lt;N(V8))),1,0))</f>
        <v>0</v>
      </c>
      <c r="Z8" s="96">
        <f>IF(AND(Q8=1,T8=1,X8=1,J8="Sim",OR(L8&lt;&gt;"",M8&lt;&gt;"")),1,0)</f>
        <v>0</v>
      </c>
      <c r="AA8" s="96">
        <f>IF(Q8=0,0,IF(AND(OR(r_ini="",AND(ISNUMBER(E8),E8&gt;=r_ini)),OR(r_fim="",AND(ISNUMBER(E8),E8&lt;=r_fim)),OR(r_un="",r_un="(Todas)",IF(N(U8)&gt;0,INDEX('MTRs'!$G$6:$G$505,U8),"")=r_un),OR(r_de="",r_de="(Todos)",D8=r_de)),1,0))</f>
        <v>0</v>
      </c>
      <c r="AB8" s="96" t="str">
        <f>IF(AA8=1,COUNTIF($AA$6:AA8,1),"")</f>
        <v/>
      </c>
    </row>
    <row r="9">
      <c r="A9" s="89" t="inlineStr">
        <is>
          <t>REC-000004</t>
        </is>
      </c>
      <c r="B9" s="94" t="str">
        <f>IF(T9=1,INDEX('ITENS_MTR'!$S$6:$S$1005,S9)&amp;"","")</f>
        <v/>
      </c>
      <c r="C9" s="91" t="n"/>
      <c r="D9" s="94" t="str">
        <f>IF(N(U9)&gt;0,INDEX('MTRs'!$I$6:$I$505,U9)&amp;"","")</f>
        <v/>
      </c>
      <c r="E9" s="92" t="n"/>
      <c r="F9" s="98" t="n"/>
      <c r="G9" s="91" t="n"/>
      <c r="H9" s="93" t="str">
        <f>IF(Q9=0,"",IF(NOT(ISNUMBER(F9)),"",IF(ISNUMBER(W9),F9*W9,"UNIDADE A CONFERIR")))</f>
        <v/>
      </c>
      <c r="I9" s="91" t="n"/>
      <c r="J9" s="91" t="n"/>
      <c r="K9" s="92" t="n"/>
      <c r="L9" s="91" t="n"/>
      <c r="M9" s="91" t="n"/>
      <c r="N9" s="91" t="n"/>
      <c r="O9" s="91" t="n"/>
      <c r="P9" s="94" t="str">
        <f>IF(Q9=0,"",IF(C9="","Item de resíduo não informado",IF(T9=0,"Item inexistente (referência inválida)",IF(NOT(ISNUMBER(F9)),"Quantidade não informada",IF(F9&lt;=0,"Quantidade não positiva",IF(G9="","Unidade não informada",IF(NOT(ISNUMBER(H9)),"Unidade a conferir",IF(NOT(ISNUMBER(E9)),"Data de recebimento não informada",IF(AND(ISNUMBER(V9),N(V9)&gt;0,E9&lt;N(V9)),"Data anterior à emissão do MTR",IF(AND(J9="Sim",L9="",M9=""),"Conferido sem evidência identificada",IF(J9&lt;&gt;"Sim","Aguardando conferência",IF(INDEX('ITENS_MTR'!$AM$6:$AM$1005,S9)=1,"Conferido (ver diferença no item)","Conferido"))))))))))))</f>
        <v/>
      </c>
      <c r="Q9" s="96">
        <f>IF(COUNTA(C9,E9:G9,I9:O9)&gt;0,1,0)</f>
        <v>0</v>
      </c>
      <c r="R9" s="96" t="str">
        <f>IF(C9="","",TRIM(LEFT(C9,FIND(" |",C9&amp;" |")-1)))</f>
        <v/>
      </c>
      <c r="S9" s="96" t="str">
        <f>IF(R9="","",IFERROR(MATCH(R9,'ITENS_MTR'!$A$6:$A$1005,0),""))</f>
        <v/>
      </c>
      <c r="T9" s="96">
        <f>IF(S9="",0,IF(INDEX('ITENS_MTR'!$R$6:$R$1005,S9)=1,1,0))</f>
        <v>0</v>
      </c>
      <c r="U9" s="96" t="str">
        <f>IF(T9=1,INDEX('ITENS_MTR'!$T$6:$T$1005,S9),"")</f>
        <v/>
      </c>
      <c r="V9" s="97" t="str">
        <f>IF(N(U9)&gt;0,INDEX('MTRs'!$E$6:$E$505,U9),"")</f>
        <v/>
      </c>
      <c r="W9" s="96" t="str">
        <f>IF(G9="","",IFERROR(IF(ISNUMBER(INDEX(cfg_fac,MATCH(G9,cfg_units,0))),IF(INDEX(cfg_fac,MATCH(G9,cfg_units,0))&gt;0,INDEX(cfg_fac,MATCH(G9,cfg_units,0)),""),""),""))</f>
        <v/>
      </c>
      <c r="X9" s="96">
        <f>IF(AND(ISNUMBER(F9),ISNUMBER(H9)),IF(H9&gt;0,1,0),0)</f>
        <v>0</v>
      </c>
      <c r="Y9" s="96">
        <f>IF(Q9=0,0,IF(OR(T9=0,X9=0,NOT(ISNUMBER(E9)),AND(J9="Sim",L9="",M9=""),AND(ISNUMBER(E9),ISNUMBER(V9),N(V9)&gt;0,E9&lt;N(V9))),1,0))</f>
        <v>0</v>
      </c>
      <c r="Z9" s="96">
        <f>IF(AND(Q9=1,T9=1,X9=1,J9="Sim",OR(L9&lt;&gt;"",M9&lt;&gt;"")),1,0)</f>
        <v>0</v>
      </c>
      <c r="AA9" s="96">
        <f>IF(Q9=0,0,IF(AND(OR(r_ini="",AND(ISNUMBER(E9),E9&gt;=r_ini)),OR(r_fim="",AND(ISNUMBER(E9),E9&lt;=r_fim)),OR(r_un="",r_un="(Todas)",IF(N(U9)&gt;0,INDEX('MTRs'!$G$6:$G$505,U9),"")=r_un),OR(r_de="",r_de="(Todos)",D9=r_de)),1,0))</f>
        <v>0</v>
      </c>
      <c r="AB9" s="96" t="str">
        <f>IF(AA9=1,COUNTIF($AA$6:AA9,1),"")</f>
        <v/>
      </c>
    </row>
    <row r="10">
      <c r="A10" s="89" t="inlineStr">
        <is>
          <t>REC-000005</t>
        </is>
      </c>
      <c r="B10" s="94" t="str">
        <f>IF(T10=1,INDEX('ITENS_MTR'!$S$6:$S$1005,S10)&amp;"","")</f>
        <v/>
      </c>
      <c r="C10" s="91" t="n"/>
      <c r="D10" s="94" t="str">
        <f>IF(N(U10)&gt;0,INDEX('MTRs'!$I$6:$I$505,U10)&amp;"","")</f>
        <v/>
      </c>
      <c r="E10" s="92" t="n"/>
      <c r="F10" s="98" t="n"/>
      <c r="G10" s="91" t="n"/>
      <c r="H10" s="93" t="str">
        <f>IF(Q10=0,"",IF(NOT(ISNUMBER(F10)),"",IF(ISNUMBER(W10),F10*W10,"UNIDADE A CONFERIR")))</f>
        <v/>
      </c>
      <c r="I10" s="91" t="n"/>
      <c r="J10" s="91" t="n"/>
      <c r="K10" s="92" t="n"/>
      <c r="L10" s="91" t="n"/>
      <c r="M10" s="91" t="n"/>
      <c r="N10" s="91" t="n"/>
      <c r="O10" s="91" t="n"/>
      <c r="P10" s="94" t="str">
        <f>IF(Q10=0,"",IF(C10="","Item de resíduo não informado",IF(T10=0,"Item inexistente (referência inválida)",IF(NOT(ISNUMBER(F10)),"Quantidade não informada",IF(F10&lt;=0,"Quantidade não positiva",IF(G10="","Unidade não informada",IF(NOT(ISNUMBER(H10)),"Unidade a conferir",IF(NOT(ISNUMBER(E10)),"Data de recebimento não informada",IF(AND(ISNUMBER(V10),N(V10)&gt;0,E10&lt;N(V10)),"Data anterior à emissão do MTR",IF(AND(J10="Sim",L10="",M10=""),"Conferido sem evidência identificada",IF(J10&lt;&gt;"Sim","Aguardando conferência",IF(INDEX('ITENS_MTR'!$AM$6:$AM$1005,S10)=1,"Conferido (ver diferença no item)","Conferido"))))))))))))</f>
        <v/>
      </c>
      <c r="Q10" s="96">
        <f>IF(COUNTA(C10,E10:G10,I10:O10)&gt;0,1,0)</f>
        <v>0</v>
      </c>
      <c r="R10" s="96" t="str">
        <f>IF(C10="","",TRIM(LEFT(C10,FIND(" |",C10&amp;" |")-1)))</f>
        <v/>
      </c>
      <c r="S10" s="96" t="str">
        <f>IF(R10="","",IFERROR(MATCH(R10,'ITENS_MTR'!$A$6:$A$1005,0),""))</f>
        <v/>
      </c>
      <c r="T10" s="96">
        <f>IF(S10="",0,IF(INDEX('ITENS_MTR'!$R$6:$R$1005,S10)=1,1,0))</f>
        <v>0</v>
      </c>
      <c r="U10" s="96" t="str">
        <f>IF(T10=1,INDEX('ITENS_MTR'!$T$6:$T$1005,S10),"")</f>
        <v/>
      </c>
      <c r="V10" s="97" t="str">
        <f>IF(N(U10)&gt;0,INDEX('MTRs'!$E$6:$E$505,U10),"")</f>
        <v/>
      </c>
      <c r="W10" s="96" t="str">
        <f>IF(G10="","",IFERROR(IF(ISNUMBER(INDEX(cfg_fac,MATCH(G10,cfg_units,0))),IF(INDEX(cfg_fac,MATCH(G10,cfg_units,0))&gt;0,INDEX(cfg_fac,MATCH(G10,cfg_units,0)),""),""),""))</f>
        <v/>
      </c>
      <c r="X10" s="96">
        <f>IF(AND(ISNUMBER(F10),ISNUMBER(H10)),IF(H10&gt;0,1,0),0)</f>
        <v>0</v>
      </c>
      <c r="Y10" s="96">
        <f>IF(Q10=0,0,IF(OR(T10=0,X10=0,NOT(ISNUMBER(E10)),AND(J10="Sim",L10="",M10=""),AND(ISNUMBER(E10),ISNUMBER(V10),N(V10)&gt;0,E10&lt;N(V10))),1,0))</f>
        <v>0</v>
      </c>
      <c r="Z10" s="96">
        <f>IF(AND(Q10=1,T10=1,X10=1,J10="Sim",OR(L10&lt;&gt;"",M10&lt;&gt;"")),1,0)</f>
        <v>0</v>
      </c>
      <c r="AA10" s="96">
        <f>IF(Q10=0,0,IF(AND(OR(r_ini="",AND(ISNUMBER(E10),E10&gt;=r_ini)),OR(r_fim="",AND(ISNUMBER(E10),E10&lt;=r_fim)),OR(r_un="",r_un="(Todas)",IF(N(U10)&gt;0,INDEX('MTRs'!$G$6:$G$505,U10),"")=r_un),OR(r_de="",r_de="(Todos)",D10=r_de)),1,0))</f>
        <v>0</v>
      </c>
      <c r="AB10" s="96" t="str">
        <f>IF(AA10=1,COUNTIF($AA$6:AA10,1),"")</f>
        <v/>
      </c>
    </row>
    <row r="11">
      <c r="A11" s="89" t="inlineStr">
        <is>
          <t>REC-000006</t>
        </is>
      </c>
      <c r="B11" s="94" t="str">
        <f>IF(T11=1,INDEX('ITENS_MTR'!$S$6:$S$1005,S11)&amp;"","")</f>
        <v/>
      </c>
      <c r="C11" s="91" t="n"/>
      <c r="D11" s="94" t="str">
        <f>IF(N(U11)&gt;0,INDEX('MTRs'!$I$6:$I$505,U11)&amp;"","")</f>
        <v/>
      </c>
      <c r="E11" s="92" t="n"/>
      <c r="F11" s="98" t="n"/>
      <c r="G11" s="91" t="n"/>
      <c r="H11" s="93" t="str">
        <f>IF(Q11=0,"",IF(NOT(ISNUMBER(F11)),"",IF(ISNUMBER(W11),F11*W11,"UNIDADE A CONFERIR")))</f>
        <v/>
      </c>
      <c r="I11" s="91" t="n"/>
      <c r="J11" s="91" t="n"/>
      <c r="K11" s="92" t="n"/>
      <c r="L11" s="91" t="n"/>
      <c r="M11" s="91" t="n"/>
      <c r="N11" s="91" t="n"/>
      <c r="O11" s="91" t="n"/>
      <c r="P11" s="94" t="str">
        <f>IF(Q11=0,"",IF(C11="","Item de resíduo não informado",IF(T11=0,"Item inexistente (referência inválida)",IF(NOT(ISNUMBER(F11)),"Quantidade não informada",IF(F11&lt;=0,"Quantidade não positiva",IF(G11="","Unidade não informada",IF(NOT(ISNUMBER(H11)),"Unidade a conferir",IF(NOT(ISNUMBER(E11)),"Data de recebimento não informada",IF(AND(ISNUMBER(V11),N(V11)&gt;0,E11&lt;N(V11)),"Data anterior à emissão do MTR",IF(AND(J11="Sim",L11="",M11=""),"Conferido sem evidência identificada",IF(J11&lt;&gt;"Sim","Aguardando conferência",IF(INDEX('ITENS_MTR'!$AM$6:$AM$1005,S11)=1,"Conferido (ver diferença no item)","Conferido"))))))))))))</f>
        <v/>
      </c>
      <c r="Q11" s="96">
        <f>IF(COUNTA(C11,E11:G11,I11:O11)&gt;0,1,0)</f>
        <v>0</v>
      </c>
      <c r="R11" s="96" t="str">
        <f>IF(C11="","",TRIM(LEFT(C11,FIND(" |",C11&amp;" |")-1)))</f>
        <v/>
      </c>
      <c r="S11" s="96" t="str">
        <f>IF(R11="","",IFERROR(MATCH(R11,'ITENS_MTR'!$A$6:$A$1005,0),""))</f>
        <v/>
      </c>
      <c r="T11" s="96">
        <f>IF(S11="",0,IF(INDEX('ITENS_MTR'!$R$6:$R$1005,S11)=1,1,0))</f>
        <v>0</v>
      </c>
      <c r="U11" s="96" t="str">
        <f>IF(T11=1,INDEX('ITENS_MTR'!$T$6:$T$1005,S11),"")</f>
        <v/>
      </c>
      <c r="V11" s="97" t="str">
        <f>IF(N(U11)&gt;0,INDEX('MTRs'!$E$6:$E$505,U11),"")</f>
        <v/>
      </c>
      <c r="W11" s="96" t="str">
        <f>IF(G11="","",IFERROR(IF(ISNUMBER(INDEX(cfg_fac,MATCH(G11,cfg_units,0))),IF(INDEX(cfg_fac,MATCH(G11,cfg_units,0))&gt;0,INDEX(cfg_fac,MATCH(G11,cfg_units,0)),""),""),""))</f>
        <v/>
      </c>
      <c r="X11" s="96">
        <f>IF(AND(ISNUMBER(F11),ISNUMBER(H11)),IF(H11&gt;0,1,0),0)</f>
        <v>0</v>
      </c>
      <c r="Y11" s="96">
        <f>IF(Q11=0,0,IF(OR(T11=0,X11=0,NOT(ISNUMBER(E11)),AND(J11="Sim",L11="",M11=""),AND(ISNUMBER(E11),ISNUMBER(V11),N(V11)&gt;0,E11&lt;N(V11))),1,0))</f>
        <v>0</v>
      </c>
      <c r="Z11" s="96">
        <f>IF(AND(Q11=1,T11=1,X11=1,J11="Sim",OR(L11&lt;&gt;"",M11&lt;&gt;"")),1,0)</f>
        <v>0</v>
      </c>
      <c r="AA11" s="96">
        <f>IF(Q11=0,0,IF(AND(OR(r_ini="",AND(ISNUMBER(E11),E11&gt;=r_ini)),OR(r_fim="",AND(ISNUMBER(E11),E11&lt;=r_fim)),OR(r_un="",r_un="(Todas)",IF(N(U11)&gt;0,INDEX('MTRs'!$G$6:$G$505,U11),"")=r_un),OR(r_de="",r_de="(Todos)",D11=r_de)),1,0))</f>
        <v>0</v>
      </c>
      <c r="AB11" s="96" t="str">
        <f>IF(AA11=1,COUNTIF($AA$6:AA11,1),"")</f>
        <v/>
      </c>
    </row>
    <row r="12">
      <c r="A12" s="89" t="inlineStr">
        <is>
          <t>REC-000007</t>
        </is>
      </c>
      <c r="B12" s="94" t="str">
        <f>IF(T12=1,INDEX('ITENS_MTR'!$S$6:$S$1005,S12)&amp;"","")</f>
        <v/>
      </c>
      <c r="C12" s="91" t="n"/>
      <c r="D12" s="94" t="str">
        <f>IF(N(U12)&gt;0,INDEX('MTRs'!$I$6:$I$505,U12)&amp;"","")</f>
        <v/>
      </c>
      <c r="E12" s="92" t="n"/>
      <c r="F12" s="98" t="n"/>
      <c r="G12" s="91" t="n"/>
      <c r="H12" s="93" t="str">
        <f>IF(Q12=0,"",IF(NOT(ISNUMBER(F12)),"",IF(ISNUMBER(W12),F12*W12,"UNIDADE A CONFERIR")))</f>
        <v/>
      </c>
      <c r="I12" s="91" t="n"/>
      <c r="J12" s="91" t="n"/>
      <c r="K12" s="92" t="n"/>
      <c r="L12" s="91" t="n"/>
      <c r="M12" s="91" t="n"/>
      <c r="N12" s="91" t="n"/>
      <c r="O12" s="91" t="n"/>
      <c r="P12" s="94" t="str">
        <f>IF(Q12=0,"",IF(C12="","Item de resíduo não informado",IF(T12=0,"Item inexistente (referência inválida)",IF(NOT(ISNUMBER(F12)),"Quantidade não informada",IF(F12&lt;=0,"Quantidade não positiva",IF(G12="","Unidade não informada",IF(NOT(ISNUMBER(H12)),"Unidade a conferir",IF(NOT(ISNUMBER(E12)),"Data de recebimento não informada",IF(AND(ISNUMBER(V12),N(V12)&gt;0,E12&lt;N(V12)),"Data anterior à emissão do MTR",IF(AND(J12="Sim",L12="",M12=""),"Conferido sem evidência identificada",IF(J12&lt;&gt;"Sim","Aguardando conferência",IF(INDEX('ITENS_MTR'!$AM$6:$AM$1005,S12)=1,"Conferido (ver diferença no item)","Conferido"))))))))))))</f>
        <v/>
      </c>
      <c r="Q12" s="96">
        <f>IF(COUNTA(C12,E12:G12,I12:O12)&gt;0,1,0)</f>
        <v>0</v>
      </c>
      <c r="R12" s="96" t="str">
        <f>IF(C12="","",TRIM(LEFT(C12,FIND(" |",C12&amp;" |")-1)))</f>
        <v/>
      </c>
      <c r="S12" s="96" t="str">
        <f>IF(R12="","",IFERROR(MATCH(R12,'ITENS_MTR'!$A$6:$A$1005,0),""))</f>
        <v/>
      </c>
      <c r="T12" s="96">
        <f>IF(S12="",0,IF(INDEX('ITENS_MTR'!$R$6:$R$1005,S12)=1,1,0))</f>
        <v>0</v>
      </c>
      <c r="U12" s="96" t="str">
        <f>IF(T12=1,INDEX('ITENS_MTR'!$T$6:$T$1005,S12),"")</f>
        <v/>
      </c>
      <c r="V12" s="97" t="str">
        <f>IF(N(U12)&gt;0,INDEX('MTRs'!$E$6:$E$505,U12),"")</f>
        <v/>
      </c>
      <c r="W12" s="96" t="str">
        <f>IF(G12="","",IFERROR(IF(ISNUMBER(INDEX(cfg_fac,MATCH(G12,cfg_units,0))),IF(INDEX(cfg_fac,MATCH(G12,cfg_units,0))&gt;0,INDEX(cfg_fac,MATCH(G12,cfg_units,0)),""),""),""))</f>
        <v/>
      </c>
      <c r="X12" s="96">
        <f>IF(AND(ISNUMBER(F12),ISNUMBER(H12)),IF(H12&gt;0,1,0),0)</f>
        <v>0</v>
      </c>
      <c r="Y12" s="96">
        <f>IF(Q12=0,0,IF(OR(T12=0,X12=0,NOT(ISNUMBER(E12)),AND(J12="Sim",L12="",M12=""),AND(ISNUMBER(E12),ISNUMBER(V12),N(V12)&gt;0,E12&lt;N(V12))),1,0))</f>
        <v>0</v>
      </c>
      <c r="Z12" s="96">
        <f>IF(AND(Q12=1,T12=1,X12=1,J12="Sim",OR(L12&lt;&gt;"",M12&lt;&gt;"")),1,0)</f>
        <v>0</v>
      </c>
      <c r="AA12" s="96">
        <f>IF(Q12=0,0,IF(AND(OR(r_ini="",AND(ISNUMBER(E12),E12&gt;=r_ini)),OR(r_fim="",AND(ISNUMBER(E12),E12&lt;=r_fim)),OR(r_un="",r_un="(Todas)",IF(N(U12)&gt;0,INDEX('MTRs'!$G$6:$G$505,U12),"")=r_un),OR(r_de="",r_de="(Todos)",D12=r_de)),1,0))</f>
        <v>0</v>
      </c>
      <c r="AB12" s="96" t="str">
        <f>IF(AA12=1,COUNTIF($AA$6:AA12,1),"")</f>
        <v/>
      </c>
    </row>
    <row r="13">
      <c r="A13" s="89" t="inlineStr">
        <is>
          <t>REC-000008</t>
        </is>
      </c>
      <c r="B13" s="94" t="str">
        <f>IF(T13=1,INDEX('ITENS_MTR'!$S$6:$S$1005,S13)&amp;"","")</f>
        <v/>
      </c>
      <c r="C13" s="91" t="n"/>
      <c r="D13" s="94" t="str">
        <f>IF(N(U13)&gt;0,INDEX('MTRs'!$I$6:$I$505,U13)&amp;"","")</f>
        <v/>
      </c>
      <c r="E13" s="92" t="n"/>
      <c r="F13" s="98" t="n"/>
      <c r="G13" s="91" t="n"/>
      <c r="H13" s="93" t="str">
        <f>IF(Q13=0,"",IF(NOT(ISNUMBER(F13)),"",IF(ISNUMBER(W13),F13*W13,"UNIDADE A CONFERIR")))</f>
        <v/>
      </c>
      <c r="I13" s="91" t="n"/>
      <c r="J13" s="91" t="n"/>
      <c r="K13" s="92" t="n"/>
      <c r="L13" s="91" t="n"/>
      <c r="M13" s="91" t="n"/>
      <c r="N13" s="91" t="n"/>
      <c r="O13" s="91" t="n"/>
      <c r="P13" s="94" t="str">
        <f>IF(Q13=0,"",IF(C13="","Item de resíduo não informado",IF(T13=0,"Item inexistente (referência inválida)",IF(NOT(ISNUMBER(F13)),"Quantidade não informada",IF(F13&lt;=0,"Quantidade não positiva",IF(G13="","Unidade não informada",IF(NOT(ISNUMBER(H13)),"Unidade a conferir",IF(NOT(ISNUMBER(E13)),"Data de recebimento não informada",IF(AND(ISNUMBER(V13),N(V13)&gt;0,E13&lt;N(V13)),"Data anterior à emissão do MTR",IF(AND(J13="Sim",L13="",M13=""),"Conferido sem evidência identificada",IF(J13&lt;&gt;"Sim","Aguardando conferência",IF(INDEX('ITENS_MTR'!$AM$6:$AM$1005,S13)=1,"Conferido (ver diferença no item)","Conferido"))))))))))))</f>
        <v/>
      </c>
      <c r="Q13" s="96">
        <f>IF(COUNTA(C13,E13:G13,I13:O13)&gt;0,1,0)</f>
        <v>0</v>
      </c>
      <c r="R13" s="96" t="str">
        <f>IF(C13="","",TRIM(LEFT(C13,FIND(" |",C13&amp;" |")-1)))</f>
        <v/>
      </c>
      <c r="S13" s="96" t="str">
        <f>IF(R13="","",IFERROR(MATCH(R13,'ITENS_MTR'!$A$6:$A$1005,0),""))</f>
        <v/>
      </c>
      <c r="T13" s="96">
        <f>IF(S13="",0,IF(INDEX('ITENS_MTR'!$R$6:$R$1005,S13)=1,1,0))</f>
        <v>0</v>
      </c>
      <c r="U13" s="96" t="str">
        <f>IF(T13=1,INDEX('ITENS_MTR'!$T$6:$T$1005,S13),"")</f>
        <v/>
      </c>
      <c r="V13" s="97" t="str">
        <f>IF(N(U13)&gt;0,INDEX('MTRs'!$E$6:$E$505,U13),"")</f>
        <v/>
      </c>
      <c r="W13" s="96" t="str">
        <f>IF(G13="","",IFERROR(IF(ISNUMBER(INDEX(cfg_fac,MATCH(G13,cfg_units,0))),IF(INDEX(cfg_fac,MATCH(G13,cfg_units,0))&gt;0,INDEX(cfg_fac,MATCH(G13,cfg_units,0)),""),""),""))</f>
        <v/>
      </c>
      <c r="X13" s="96">
        <f>IF(AND(ISNUMBER(F13),ISNUMBER(H13)),IF(H13&gt;0,1,0),0)</f>
        <v>0</v>
      </c>
      <c r="Y13" s="96">
        <f>IF(Q13=0,0,IF(OR(T13=0,X13=0,NOT(ISNUMBER(E13)),AND(J13="Sim",L13="",M13=""),AND(ISNUMBER(E13),ISNUMBER(V13),N(V13)&gt;0,E13&lt;N(V13))),1,0))</f>
        <v>0</v>
      </c>
      <c r="Z13" s="96">
        <f>IF(AND(Q13=1,T13=1,X13=1,J13="Sim",OR(L13&lt;&gt;"",M13&lt;&gt;"")),1,0)</f>
        <v>0</v>
      </c>
      <c r="AA13" s="96">
        <f>IF(Q13=0,0,IF(AND(OR(r_ini="",AND(ISNUMBER(E13),E13&gt;=r_ini)),OR(r_fim="",AND(ISNUMBER(E13),E13&lt;=r_fim)),OR(r_un="",r_un="(Todas)",IF(N(U13)&gt;0,INDEX('MTRs'!$G$6:$G$505,U13),"")=r_un),OR(r_de="",r_de="(Todos)",D13=r_de)),1,0))</f>
        <v>0</v>
      </c>
      <c r="AB13" s="96" t="str">
        <f>IF(AA13=1,COUNTIF($AA$6:AA13,1),"")</f>
        <v/>
      </c>
    </row>
    <row r="14">
      <c r="A14" s="89" t="inlineStr">
        <is>
          <t>REC-000009</t>
        </is>
      </c>
      <c r="B14" s="94" t="str">
        <f>IF(T14=1,INDEX('ITENS_MTR'!$S$6:$S$1005,S14)&amp;"","")</f>
        <v/>
      </c>
      <c r="C14" s="91" t="n"/>
      <c r="D14" s="94" t="str">
        <f>IF(N(U14)&gt;0,INDEX('MTRs'!$I$6:$I$505,U14)&amp;"","")</f>
        <v/>
      </c>
      <c r="E14" s="92" t="n"/>
      <c r="F14" s="98" t="n"/>
      <c r="G14" s="91" t="n"/>
      <c r="H14" s="93" t="str">
        <f>IF(Q14=0,"",IF(NOT(ISNUMBER(F14)),"",IF(ISNUMBER(W14),F14*W14,"UNIDADE A CONFERIR")))</f>
        <v/>
      </c>
      <c r="I14" s="91" t="n"/>
      <c r="J14" s="91" t="n"/>
      <c r="K14" s="92" t="n"/>
      <c r="L14" s="91" t="n"/>
      <c r="M14" s="91" t="n"/>
      <c r="N14" s="91" t="n"/>
      <c r="O14" s="91" t="n"/>
      <c r="P14" s="94" t="str">
        <f>IF(Q14=0,"",IF(C14="","Item de resíduo não informado",IF(T14=0,"Item inexistente (referência inválida)",IF(NOT(ISNUMBER(F14)),"Quantidade não informada",IF(F14&lt;=0,"Quantidade não positiva",IF(G14="","Unidade não informada",IF(NOT(ISNUMBER(H14)),"Unidade a conferir",IF(NOT(ISNUMBER(E14)),"Data de recebimento não informada",IF(AND(ISNUMBER(V14),N(V14)&gt;0,E14&lt;N(V14)),"Data anterior à emissão do MTR",IF(AND(J14="Sim",L14="",M14=""),"Conferido sem evidência identificada",IF(J14&lt;&gt;"Sim","Aguardando conferência",IF(INDEX('ITENS_MTR'!$AM$6:$AM$1005,S14)=1,"Conferido (ver diferença no item)","Conferido"))))))))))))</f>
        <v/>
      </c>
      <c r="Q14" s="96">
        <f>IF(COUNTA(C14,E14:G14,I14:O14)&gt;0,1,0)</f>
        <v>0</v>
      </c>
      <c r="R14" s="96" t="str">
        <f>IF(C14="","",TRIM(LEFT(C14,FIND(" |",C14&amp;" |")-1)))</f>
        <v/>
      </c>
      <c r="S14" s="96" t="str">
        <f>IF(R14="","",IFERROR(MATCH(R14,'ITENS_MTR'!$A$6:$A$1005,0),""))</f>
        <v/>
      </c>
      <c r="T14" s="96">
        <f>IF(S14="",0,IF(INDEX('ITENS_MTR'!$R$6:$R$1005,S14)=1,1,0))</f>
        <v>0</v>
      </c>
      <c r="U14" s="96" t="str">
        <f>IF(T14=1,INDEX('ITENS_MTR'!$T$6:$T$1005,S14),"")</f>
        <v/>
      </c>
      <c r="V14" s="97" t="str">
        <f>IF(N(U14)&gt;0,INDEX('MTRs'!$E$6:$E$505,U14),"")</f>
        <v/>
      </c>
      <c r="W14" s="96" t="str">
        <f>IF(G14="","",IFERROR(IF(ISNUMBER(INDEX(cfg_fac,MATCH(G14,cfg_units,0))),IF(INDEX(cfg_fac,MATCH(G14,cfg_units,0))&gt;0,INDEX(cfg_fac,MATCH(G14,cfg_units,0)),""),""),""))</f>
        <v/>
      </c>
      <c r="X14" s="96">
        <f>IF(AND(ISNUMBER(F14),ISNUMBER(H14)),IF(H14&gt;0,1,0),0)</f>
        <v>0</v>
      </c>
      <c r="Y14" s="96">
        <f>IF(Q14=0,0,IF(OR(T14=0,X14=0,NOT(ISNUMBER(E14)),AND(J14="Sim",L14="",M14=""),AND(ISNUMBER(E14),ISNUMBER(V14),N(V14)&gt;0,E14&lt;N(V14))),1,0))</f>
        <v>0</v>
      </c>
      <c r="Z14" s="96">
        <f>IF(AND(Q14=1,T14=1,X14=1,J14="Sim",OR(L14&lt;&gt;"",M14&lt;&gt;"")),1,0)</f>
        <v>0</v>
      </c>
      <c r="AA14" s="96">
        <f>IF(Q14=0,0,IF(AND(OR(r_ini="",AND(ISNUMBER(E14),E14&gt;=r_ini)),OR(r_fim="",AND(ISNUMBER(E14),E14&lt;=r_fim)),OR(r_un="",r_un="(Todas)",IF(N(U14)&gt;0,INDEX('MTRs'!$G$6:$G$505,U14),"")=r_un),OR(r_de="",r_de="(Todos)",D14=r_de)),1,0))</f>
        <v>0</v>
      </c>
      <c r="AB14" s="96" t="str">
        <f>IF(AA14=1,COUNTIF($AA$6:AA14,1),"")</f>
        <v/>
      </c>
    </row>
    <row r="15">
      <c r="A15" s="89" t="inlineStr">
        <is>
          <t>REC-000010</t>
        </is>
      </c>
      <c r="B15" s="94" t="str">
        <f>IF(T15=1,INDEX('ITENS_MTR'!$S$6:$S$1005,S15)&amp;"","")</f>
        <v/>
      </c>
      <c r="C15" s="91" t="n"/>
      <c r="D15" s="94" t="str">
        <f>IF(N(U15)&gt;0,INDEX('MTRs'!$I$6:$I$505,U15)&amp;"","")</f>
        <v/>
      </c>
      <c r="E15" s="92" t="n"/>
      <c r="F15" s="98" t="n"/>
      <c r="G15" s="91" t="n"/>
      <c r="H15" s="93" t="str">
        <f>IF(Q15=0,"",IF(NOT(ISNUMBER(F15)),"",IF(ISNUMBER(W15),F15*W15,"UNIDADE A CONFERIR")))</f>
        <v/>
      </c>
      <c r="I15" s="91" t="n"/>
      <c r="J15" s="91" t="n"/>
      <c r="K15" s="92" t="n"/>
      <c r="L15" s="91" t="n"/>
      <c r="M15" s="91" t="n"/>
      <c r="N15" s="91" t="n"/>
      <c r="O15" s="91" t="n"/>
      <c r="P15" s="94" t="str">
        <f>IF(Q15=0,"",IF(C15="","Item de resíduo não informado",IF(T15=0,"Item inexistente (referência inválida)",IF(NOT(ISNUMBER(F15)),"Quantidade não informada",IF(F15&lt;=0,"Quantidade não positiva",IF(G15="","Unidade não informada",IF(NOT(ISNUMBER(H15)),"Unidade a conferir",IF(NOT(ISNUMBER(E15)),"Data de recebimento não informada",IF(AND(ISNUMBER(V15),N(V15)&gt;0,E15&lt;N(V15)),"Data anterior à emissão do MTR",IF(AND(J15="Sim",L15="",M15=""),"Conferido sem evidência identificada",IF(J15&lt;&gt;"Sim","Aguardando conferência",IF(INDEX('ITENS_MTR'!$AM$6:$AM$1005,S15)=1,"Conferido (ver diferença no item)","Conferido"))))))))))))</f>
        <v/>
      </c>
      <c r="Q15" s="96">
        <f>IF(COUNTA(C15,E15:G15,I15:O15)&gt;0,1,0)</f>
        <v>0</v>
      </c>
      <c r="R15" s="96" t="str">
        <f>IF(C15="","",TRIM(LEFT(C15,FIND(" |",C15&amp;" |")-1)))</f>
        <v/>
      </c>
      <c r="S15" s="96" t="str">
        <f>IF(R15="","",IFERROR(MATCH(R15,'ITENS_MTR'!$A$6:$A$1005,0),""))</f>
        <v/>
      </c>
      <c r="T15" s="96">
        <f>IF(S15="",0,IF(INDEX('ITENS_MTR'!$R$6:$R$1005,S15)=1,1,0))</f>
        <v>0</v>
      </c>
      <c r="U15" s="96" t="str">
        <f>IF(T15=1,INDEX('ITENS_MTR'!$T$6:$T$1005,S15),"")</f>
        <v/>
      </c>
      <c r="V15" s="97" t="str">
        <f>IF(N(U15)&gt;0,INDEX('MTRs'!$E$6:$E$505,U15),"")</f>
        <v/>
      </c>
      <c r="W15" s="96" t="str">
        <f>IF(G15="","",IFERROR(IF(ISNUMBER(INDEX(cfg_fac,MATCH(G15,cfg_units,0))),IF(INDEX(cfg_fac,MATCH(G15,cfg_units,0))&gt;0,INDEX(cfg_fac,MATCH(G15,cfg_units,0)),""),""),""))</f>
        <v/>
      </c>
      <c r="X15" s="96">
        <f>IF(AND(ISNUMBER(F15),ISNUMBER(H15)),IF(H15&gt;0,1,0),0)</f>
        <v>0</v>
      </c>
      <c r="Y15" s="96">
        <f>IF(Q15=0,0,IF(OR(T15=0,X15=0,NOT(ISNUMBER(E15)),AND(J15="Sim",L15="",M15=""),AND(ISNUMBER(E15),ISNUMBER(V15),N(V15)&gt;0,E15&lt;N(V15))),1,0))</f>
        <v>0</v>
      </c>
      <c r="Z15" s="96">
        <f>IF(AND(Q15=1,T15=1,X15=1,J15="Sim",OR(L15&lt;&gt;"",M15&lt;&gt;"")),1,0)</f>
        <v>0</v>
      </c>
      <c r="AA15" s="96">
        <f>IF(Q15=0,0,IF(AND(OR(r_ini="",AND(ISNUMBER(E15),E15&gt;=r_ini)),OR(r_fim="",AND(ISNUMBER(E15),E15&lt;=r_fim)),OR(r_un="",r_un="(Todas)",IF(N(U15)&gt;0,INDEX('MTRs'!$G$6:$G$505,U15),"")=r_un),OR(r_de="",r_de="(Todos)",D15=r_de)),1,0))</f>
        <v>0</v>
      </c>
      <c r="AB15" s="96" t="str">
        <f>IF(AA15=1,COUNTIF($AA$6:AA15,1),"")</f>
        <v/>
      </c>
    </row>
    <row r="16">
      <c r="A16" s="89" t="inlineStr">
        <is>
          <t>REC-000011</t>
        </is>
      </c>
      <c r="B16" s="94" t="str">
        <f>IF(T16=1,INDEX('ITENS_MTR'!$S$6:$S$1005,S16)&amp;"","")</f>
        <v/>
      </c>
      <c r="C16" s="91" t="n"/>
      <c r="D16" s="94" t="str">
        <f>IF(N(U16)&gt;0,INDEX('MTRs'!$I$6:$I$505,U16)&amp;"","")</f>
        <v/>
      </c>
      <c r="E16" s="92" t="n"/>
      <c r="F16" s="98" t="n"/>
      <c r="G16" s="91" t="n"/>
      <c r="H16" s="93" t="str">
        <f>IF(Q16=0,"",IF(NOT(ISNUMBER(F16)),"",IF(ISNUMBER(W16),F16*W16,"UNIDADE A CONFERIR")))</f>
        <v/>
      </c>
      <c r="I16" s="91" t="n"/>
      <c r="J16" s="91" t="n"/>
      <c r="K16" s="92" t="n"/>
      <c r="L16" s="91" t="n"/>
      <c r="M16" s="91" t="n"/>
      <c r="N16" s="91" t="n"/>
      <c r="O16" s="91" t="n"/>
      <c r="P16" s="94" t="str">
        <f>IF(Q16=0,"",IF(C16="","Item de resíduo não informado",IF(T16=0,"Item inexistente (referência inválida)",IF(NOT(ISNUMBER(F16)),"Quantidade não informada",IF(F16&lt;=0,"Quantidade não positiva",IF(G16="","Unidade não informada",IF(NOT(ISNUMBER(H16)),"Unidade a conferir",IF(NOT(ISNUMBER(E16)),"Data de recebimento não informada",IF(AND(ISNUMBER(V16),N(V16)&gt;0,E16&lt;N(V16)),"Data anterior à emissão do MTR",IF(AND(J16="Sim",L16="",M16=""),"Conferido sem evidência identificada",IF(J16&lt;&gt;"Sim","Aguardando conferência",IF(INDEX('ITENS_MTR'!$AM$6:$AM$1005,S16)=1,"Conferido (ver diferença no item)","Conferido"))))))))))))</f>
        <v/>
      </c>
      <c r="Q16" s="96">
        <f>IF(COUNTA(C16,E16:G16,I16:O16)&gt;0,1,0)</f>
        <v>0</v>
      </c>
      <c r="R16" s="96" t="str">
        <f>IF(C16="","",TRIM(LEFT(C16,FIND(" |",C16&amp;" |")-1)))</f>
        <v/>
      </c>
      <c r="S16" s="96" t="str">
        <f>IF(R16="","",IFERROR(MATCH(R16,'ITENS_MTR'!$A$6:$A$1005,0),""))</f>
        <v/>
      </c>
      <c r="T16" s="96">
        <f>IF(S16="",0,IF(INDEX('ITENS_MTR'!$R$6:$R$1005,S16)=1,1,0))</f>
        <v>0</v>
      </c>
      <c r="U16" s="96" t="str">
        <f>IF(T16=1,INDEX('ITENS_MTR'!$T$6:$T$1005,S16),"")</f>
        <v/>
      </c>
      <c r="V16" s="97" t="str">
        <f>IF(N(U16)&gt;0,INDEX('MTRs'!$E$6:$E$505,U16),"")</f>
        <v/>
      </c>
      <c r="W16" s="96" t="str">
        <f>IF(G16="","",IFERROR(IF(ISNUMBER(INDEX(cfg_fac,MATCH(G16,cfg_units,0))),IF(INDEX(cfg_fac,MATCH(G16,cfg_units,0))&gt;0,INDEX(cfg_fac,MATCH(G16,cfg_units,0)),""),""),""))</f>
        <v/>
      </c>
      <c r="X16" s="96">
        <f>IF(AND(ISNUMBER(F16),ISNUMBER(H16)),IF(H16&gt;0,1,0),0)</f>
        <v>0</v>
      </c>
      <c r="Y16" s="96">
        <f>IF(Q16=0,0,IF(OR(T16=0,X16=0,NOT(ISNUMBER(E16)),AND(J16="Sim",L16="",M16=""),AND(ISNUMBER(E16),ISNUMBER(V16),N(V16)&gt;0,E16&lt;N(V16))),1,0))</f>
        <v>0</v>
      </c>
      <c r="Z16" s="96">
        <f>IF(AND(Q16=1,T16=1,X16=1,J16="Sim",OR(L16&lt;&gt;"",M16&lt;&gt;"")),1,0)</f>
        <v>0</v>
      </c>
      <c r="AA16" s="96">
        <f>IF(Q16=0,0,IF(AND(OR(r_ini="",AND(ISNUMBER(E16),E16&gt;=r_ini)),OR(r_fim="",AND(ISNUMBER(E16),E16&lt;=r_fim)),OR(r_un="",r_un="(Todas)",IF(N(U16)&gt;0,INDEX('MTRs'!$G$6:$G$505,U16),"")=r_un),OR(r_de="",r_de="(Todos)",D16=r_de)),1,0))</f>
        <v>0</v>
      </c>
      <c r="AB16" s="96" t="str">
        <f>IF(AA16=1,COUNTIF($AA$6:AA16,1),"")</f>
        <v/>
      </c>
    </row>
    <row r="17">
      <c r="A17" s="89" t="inlineStr">
        <is>
          <t>REC-000012</t>
        </is>
      </c>
      <c r="B17" s="94" t="str">
        <f>IF(T17=1,INDEX('ITENS_MTR'!$S$6:$S$1005,S17)&amp;"","")</f>
        <v/>
      </c>
      <c r="C17" s="91" t="n"/>
      <c r="D17" s="94" t="str">
        <f>IF(N(U17)&gt;0,INDEX('MTRs'!$I$6:$I$505,U17)&amp;"","")</f>
        <v/>
      </c>
      <c r="E17" s="92" t="n"/>
      <c r="F17" s="98" t="n"/>
      <c r="G17" s="91" t="n"/>
      <c r="H17" s="93" t="str">
        <f>IF(Q17=0,"",IF(NOT(ISNUMBER(F17)),"",IF(ISNUMBER(W17),F17*W17,"UNIDADE A CONFERIR")))</f>
        <v/>
      </c>
      <c r="I17" s="91" t="n"/>
      <c r="J17" s="91" t="n"/>
      <c r="K17" s="92" t="n"/>
      <c r="L17" s="91" t="n"/>
      <c r="M17" s="91" t="n"/>
      <c r="N17" s="91" t="n"/>
      <c r="O17" s="91" t="n"/>
      <c r="P17" s="94" t="str">
        <f>IF(Q17=0,"",IF(C17="","Item de resíduo não informado",IF(T17=0,"Item inexistente (referência inválida)",IF(NOT(ISNUMBER(F17)),"Quantidade não informada",IF(F17&lt;=0,"Quantidade não positiva",IF(G17="","Unidade não informada",IF(NOT(ISNUMBER(H17)),"Unidade a conferir",IF(NOT(ISNUMBER(E17)),"Data de recebimento não informada",IF(AND(ISNUMBER(V17),N(V17)&gt;0,E17&lt;N(V17)),"Data anterior à emissão do MTR",IF(AND(J17="Sim",L17="",M17=""),"Conferido sem evidência identificada",IF(J17&lt;&gt;"Sim","Aguardando conferência",IF(INDEX('ITENS_MTR'!$AM$6:$AM$1005,S17)=1,"Conferido (ver diferença no item)","Conferido"))))))))))))</f>
        <v/>
      </c>
      <c r="Q17" s="96">
        <f>IF(COUNTA(C17,E17:G17,I17:O17)&gt;0,1,0)</f>
        <v>0</v>
      </c>
      <c r="R17" s="96" t="str">
        <f>IF(C17="","",TRIM(LEFT(C17,FIND(" |",C17&amp;" |")-1)))</f>
        <v/>
      </c>
      <c r="S17" s="96" t="str">
        <f>IF(R17="","",IFERROR(MATCH(R17,'ITENS_MTR'!$A$6:$A$1005,0),""))</f>
        <v/>
      </c>
      <c r="T17" s="96">
        <f>IF(S17="",0,IF(INDEX('ITENS_MTR'!$R$6:$R$1005,S17)=1,1,0))</f>
        <v>0</v>
      </c>
      <c r="U17" s="96" t="str">
        <f>IF(T17=1,INDEX('ITENS_MTR'!$T$6:$T$1005,S17),"")</f>
        <v/>
      </c>
      <c r="V17" s="97" t="str">
        <f>IF(N(U17)&gt;0,INDEX('MTRs'!$E$6:$E$505,U17),"")</f>
        <v/>
      </c>
      <c r="W17" s="96" t="str">
        <f>IF(G17="","",IFERROR(IF(ISNUMBER(INDEX(cfg_fac,MATCH(G17,cfg_units,0))),IF(INDEX(cfg_fac,MATCH(G17,cfg_units,0))&gt;0,INDEX(cfg_fac,MATCH(G17,cfg_units,0)),""),""),""))</f>
        <v/>
      </c>
      <c r="X17" s="96">
        <f>IF(AND(ISNUMBER(F17),ISNUMBER(H17)),IF(H17&gt;0,1,0),0)</f>
        <v>0</v>
      </c>
      <c r="Y17" s="96">
        <f>IF(Q17=0,0,IF(OR(T17=0,X17=0,NOT(ISNUMBER(E17)),AND(J17="Sim",L17="",M17=""),AND(ISNUMBER(E17),ISNUMBER(V17),N(V17)&gt;0,E17&lt;N(V17))),1,0))</f>
        <v>0</v>
      </c>
      <c r="Z17" s="96">
        <f>IF(AND(Q17=1,T17=1,X17=1,J17="Sim",OR(L17&lt;&gt;"",M17&lt;&gt;"")),1,0)</f>
        <v>0</v>
      </c>
      <c r="AA17" s="96">
        <f>IF(Q17=0,0,IF(AND(OR(r_ini="",AND(ISNUMBER(E17),E17&gt;=r_ini)),OR(r_fim="",AND(ISNUMBER(E17),E17&lt;=r_fim)),OR(r_un="",r_un="(Todas)",IF(N(U17)&gt;0,INDEX('MTRs'!$G$6:$G$505,U17),"")=r_un),OR(r_de="",r_de="(Todos)",D17=r_de)),1,0))</f>
        <v>0</v>
      </c>
      <c r="AB17" s="96" t="str">
        <f>IF(AA17=1,COUNTIF($AA$6:AA17,1),"")</f>
        <v/>
      </c>
    </row>
    <row r="18">
      <c r="A18" s="89" t="inlineStr">
        <is>
          <t>REC-000013</t>
        </is>
      </c>
      <c r="B18" s="94" t="str">
        <f>IF(T18=1,INDEX('ITENS_MTR'!$S$6:$S$1005,S18)&amp;"","")</f>
        <v/>
      </c>
      <c r="C18" s="91" t="n"/>
      <c r="D18" s="94" t="str">
        <f>IF(N(U18)&gt;0,INDEX('MTRs'!$I$6:$I$505,U18)&amp;"","")</f>
        <v/>
      </c>
      <c r="E18" s="92" t="n"/>
      <c r="F18" s="98" t="n"/>
      <c r="G18" s="91" t="n"/>
      <c r="H18" s="93" t="str">
        <f>IF(Q18=0,"",IF(NOT(ISNUMBER(F18)),"",IF(ISNUMBER(W18),F18*W18,"UNIDADE A CONFERIR")))</f>
        <v/>
      </c>
      <c r="I18" s="91" t="n"/>
      <c r="J18" s="91" t="n"/>
      <c r="K18" s="92" t="n"/>
      <c r="L18" s="91" t="n"/>
      <c r="M18" s="91" t="n"/>
      <c r="N18" s="91" t="n"/>
      <c r="O18" s="91" t="n"/>
      <c r="P18" s="94" t="str">
        <f>IF(Q18=0,"",IF(C18="","Item de resíduo não informado",IF(T18=0,"Item inexistente (referência inválida)",IF(NOT(ISNUMBER(F18)),"Quantidade não informada",IF(F18&lt;=0,"Quantidade não positiva",IF(G18="","Unidade não informada",IF(NOT(ISNUMBER(H18)),"Unidade a conferir",IF(NOT(ISNUMBER(E18)),"Data de recebimento não informada",IF(AND(ISNUMBER(V18),N(V18)&gt;0,E18&lt;N(V18)),"Data anterior à emissão do MTR",IF(AND(J18="Sim",L18="",M18=""),"Conferido sem evidência identificada",IF(J18&lt;&gt;"Sim","Aguardando conferência",IF(INDEX('ITENS_MTR'!$AM$6:$AM$1005,S18)=1,"Conferido (ver diferença no item)","Conferido"))))))))))))</f>
        <v/>
      </c>
      <c r="Q18" s="96">
        <f>IF(COUNTA(C18,E18:G18,I18:O18)&gt;0,1,0)</f>
        <v>0</v>
      </c>
      <c r="R18" s="96" t="str">
        <f>IF(C18="","",TRIM(LEFT(C18,FIND(" |",C18&amp;" |")-1)))</f>
        <v/>
      </c>
      <c r="S18" s="96" t="str">
        <f>IF(R18="","",IFERROR(MATCH(R18,'ITENS_MTR'!$A$6:$A$1005,0),""))</f>
        <v/>
      </c>
      <c r="T18" s="96">
        <f>IF(S18="",0,IF(INDEX('ITENS_MTR'!$R$6:$R$1005,S18)=1,1,0))</f>
        <v>0</v>
      </c>
      <c r="U18" s="96" t="str">
        <f>IF(T18=1,INDEX('ITENS_MTR'!$T$6:$T$1005,S18),"")</f>
        <v/>
      </c>
      <c r="V18" s="97" t="str">
        <f>IF(N(U18)&gt;0,INDEX('MTRs'!$E$6:$E$505,U18),"")</f>
        <v/>
      </c>
      <c r="W18" s="96" t="str">
        <f>IF(G18="","",IFERROR(IF(ISNUMBER(INDEX(cfg_fac,MATCH(G18,cfg_units,0))),IF(INDEX(cfg_fac,MATCH(G18,cfg_units,0))&gt;0,INDEX(cfg_fac,MATCH(G18,cfg_units,0)),""),""),""))</f>
        <v/>
      </c>
      <c r="X18" s="96">
        <f>IF(AND(ISNUMBER(F18),ISNUMBER(H18)),IF(H18&gt;0,1,0),0)</f>
        <v>0</v>
      </c>
      <c r="Y18" s="96">
        <f>IF(Q18=0,0,IF(OR(T18=0,X18=0,NOT(ISNUMBER(E18)),AND(J18="Sim",L18="",M18=""),AND(ISNUMBER(E18),ISNUMBER(V18),N(V18)&gt;0,E18&lt;N(V18))),1,0))</f>
        <v>0</v>
      </c>
      <c r="Z18" s="96">
        <f>IF(AND(Q18=1,T18=1,X18=1,J18="Sim",OR(L18&lt;&gt;"",M18&lt;&gt;"")),1,0)</f>
        <v>0</v>
      </c>
      <c r="AA18" s="96">
        <f>IF(Q18=0,0,IF(AND(OR(r_ini="",AND(ISNUMBER(E18),E18&gt;=r_ini)),OR(r_fim="",AND(ISNUMBER(E18),E18&lt;=r_fim)),OR(r_un="",r_un="(Todas)",IF(N(U18)&gt;0,INDEX('MTRs'!$G$6:$G$505,U18),"")=r_un),OR(r_de="",r_de="(Todos)",D18=r_de)),1,0))</f>
        <v>0</v>
      </c>
      <c r="AB18" s="96" t="str">
        <f>IF(AA18=1,COUNTIF($AA$6:AA18,1),"")</f>
        <v/>
      </c>
    </row>
    <row r="19">
      <c r="A19" s="89" t="inlineStr">
        <is>
          <t>REC-000014</t>
        </is>
      </c>
      <c r="B19" s="94" t="str">
        <f>IF(T19=1,INDEX('ITENS_MTR'!$S$6:$S$1005,S19)&amp;"","")</f>
        <v/>
      </c>
      <c r="C19" s="91" t="n"/>
      <c r="D19" s="94" t="str">
        <f>IF(N(U19)&gt;0,INDEX('MTRs'!$I$6:$I$505,U19)&amp;"","")</f>
        <v/>
      </c>
      <c r="E19" s="92" t="n"/>
      <c r="F19" s="98" t="n"/>
      <c r="G19" s="91" t="n"/>
      <c r="H19" s="93" t="str">
        <f>IF(Q19=0,"",IF(NOT(ISNUMBER(F19)),"",IF(ISNUMBER(W19),F19*W19,"UNIDADE A CONFERIR")))</f>
        <v/>
      </c>
      <c r="I19" s="91" t="n"/>
      <c r="J19" s="91" t="n"/>
      <c r="K19" s="92" t="n"/>
      <c r="L19" s="91" t="n"/>
      <c r="M19" s="91" t="n"/>
      <c r="N19" s="91" t="n"/>
      <c r="O19" s="91" t="n"/>
      <c r="P19" s="94" t="str">
        <f>IF(Q19=0,"",IF(C19="","Item de resíduo não informado",IF(T19=0,"Item inexistente (referência inválida)",IF(NOT(ISNUMBER(F19)),"Quantidade não informada",IF(F19&lt;=0,"Quantidade não positiva",IF(G19="","Unidade não informada",IF(NOT(ISNUMBER(H19)),"Unidade a conferir",IF(NOT(ISNUMBER(E19)),"Data de recebimento não informada",IF(AND(ISNUMBER(V19),N(V19)&gt;0,E19&lt;N(V19)),"Data anterior à emissão do MTR",IF(AND(J19="Sim",L19="",M19=""),"Conferido sem evidência identificada",IF(J19&lt;&gt;"Sim","Aguardando conferência",IF(INDEX('ITENS_MTR'!$AM$6:$AM$1005,S19)=1,"Conferido (ver diferença no item)","Conferido"))))))))))))</f>
        <v/>
      </c>
      <c r="Q19" s="96">
        <f>IF(COUNTA(C19,E19:G19,I19:O19)&gt;0,1,0)</f>
        <v>0</v>
      </c>
      <c r="R19" s="96" t="str">
        <f>IF(C19="","",TRIM(LEFT(C19,FIND(" |",C19&amp;" |")-1)))</f>
        <v/>
      </c>
      <c r="S19" s="96" t="str">
        <f>IF(R19="","",IFERROR(MATCH(R19,'ITENS_MTR'!$A$6:$A$1005,0),""))</f>
        <v/>
      </c>
      <c r="T19" s="96">
        <f>IF(S19="",0,IF(INDEX('ITENS_MTR'!$R$6:$R$1005,S19)=1,1,0))</f>
        <v>0</v>
      </c>
      <c r="U19" s="96" t="str">
        <f>IF(T19=1,INDEX('ITENS_MTR'!$T$6:$T$1005,S19),"")</f>
        <v/>
      </c>
      <c r="V19" s="97" t="str">
        <f>IF(N(U19)&gt;0,INDEX('MTRs'!$E$6:$E$505,U19),"")</f>
        <v/>
      </c>
      <c r="W19" s="96" t="str">
        <f>IF(G19="","",IFERROR(IF(ISNUMBER(INDEX(cfg_fac,MATCH(G19,cfg_units,0))),IF(INDEX(cfg_fac,MATCH(G19,cfg_units,0))&gt;0,INDEX(cfg_fac,MATCH(G19,cfg_units,0)),""),""),""))</f>
        <v/>
      </c>
      <c r="X19" s="96">
        <f>IF(AND(ISNUMBER(F19),ISNUMBER(H19)),IF(H19&gt;0,1,0),0)</f>
        <v>0</v>
      </c>
      <c r="Y19" s="96">
        <f>IF(Q19=0,0,IF(OR(T19=0,X19=0,NOT(ISNUMBER(E19)),AND(J19="Sim",L19="",M19=""),AND(ISNUMBER(E19),ISNUMBER(V19),N(V19)&gt;0,E19&lt;N(V19))),1,0))</f>
        <v>0</v>
      </c>
      <c r="Z19" s="96">
        <f>IF(AND(Q19=1,T19=1,X19=1,J19="Sim",OR(L19&lt;&gt;"",M19&lt;&gt;"")),1,0)</f>
        <v>0</v>
      </c>
      <c r="AA19" s="96">
        <f>IF(Q19=0,0,IF(AND(OR(r_ini="",AND(ISNUMBER(E19),E19&gt;=r_ini)),OR(r_fim="",AND(ISNUMBER(E19),E19&lt;=r_fim)),OR(r_un="",r_un="(Todas)",IF(N(U19)&gt;0,INDEX('MTRs'!$G$6:$G$505,U19),"")=r_un),OR(r_de="",r_de="(Todos)",D19=r_de)),1,0))</f>
        <v>0</v>
      </c>
      <c r="AB19" s="96" t="str">
        <f>IF(AA19=1,COUNTIF($AA$6:AA19,1),"")</f>
        <v/>
      </c>
    </row>
    <row r="20">
      <c r="A20" s="89" t="inlineStr">
        <is>
          <t>REC-000015</t>
        </is>
      </c>
      <c r="B20" s="94" t="str">
        <f>IF(T20=1,INDEX('ITENS_MTR'!$S$6:$S$1005,S20)&amp;"","")</f>
        <v/>
      </c>
      <c r="C20" s="91" t="n"/>
      <c r="D20" s="94" t="str">
        <f>IF(N(U20)&gt;0,INDEX('MTRs'!$I$6:$I$505,U20)&amp;"","")</f>
        <v/>
      </c>
      <c r="E20" s="92" t="n"/>
      <c r="F20" s="98" t="n"/>
      <c r="G20" s="91" t="n"/>
      <c r="H20" s="93" t="str">
        <f>IF(Q20=0,"",IF(NOT(ISNUMBER(F20)),"",IF(ISNUMBER(W20),F20*W20,"UNIDADE A CONFERIR")))</f>
        <v/>
      </c>
      <c r="I20" s="91" t="n"/>
      <c r="J20" s="91" t="n"/>
      <c r="K20" s="92" t="n"/>
      <c r="L20" s="91" t="n"/>
      <c r="M20" s="91" t="n"/>
      <c r="N20" s="91" t="n"/>
      <c r="O20" s="91" t="n"/>
      <c r="P20" s="94" t="str">
        <f>IF(Q20=0,"",IF(C20="","Item de resíduo não informado",IF(T20=0,"Item inexistente (referência inválida)",IF(NOT(ISNUMBER(F20)),"Quantidade não informada",IF(F20&lt;=0,"Quantidade não positiva",IF(G20="","Unidade não informada",IF(NOT(ISNUMBER(H20)),"Unidade a conferir",IF(NOT(ISNUMBER(E20)),"Data de recebimento não informada",IF(AND(ISNUMBER(V20),N(V20)&gt;0,E20&lt;N(V20)),"Data anterior à emissão do MTR",IF(AND(J20="Sim",L20="",M20=""),"Conferido sem evidência identificada",IF(J20&lt;&gt;"Sim","Aguardando conferência",IF(INDEX('ITENS_MTR'!$AM$6:$AM$1005,S20)=1,"Conferido (ver diferença no item)","Conferido"))))))))))))</f>
        <v/>
      </c>
      <c r="Q20" s="96">
        <f>IF(COUNTA(C20,E20:G20,I20:O20)&gt;0,1,0)</f>
        <v>0</v>
      </c>
      <c r="R20" s="96" t="str">
        <f>IF(C20="","",TRIM(LEFT(C20,FIND(" |",C20&amp;" |")-1)))</f>
        <v/>
      </c>
      <c r="S20" s="96" t="str">
        <f>IF(R20="","",IFERROR(MATCH(R20,'ITENS_MTR'!$A$6:$A$1005,0),""))</f>
        <v/>
      </c>
      <c r="T20" s="96">
        <f>IF(S20="",0,IF(INDEX('ITENS_MTR'!$R$6:$R$1005,S20)=1,1,0))</f>
        <v>0</v>
      </c>
      <c r="U20" s="96" t="str">
        <f>IF(T20=1,INDEX('ITENS_MTR'!$T$6:$T$1005,S20),"")</f>
        <v/>
      </c>
      <c r="V20" s="97" t="str">
        <f>IF(N(U20)&gt;0,INDEX('MTRs'!$E$6:$E$505,U20),"")</f>
        <v/>
      </c>
      <c r="W20" s="96" t="str">
        <f>IF(G20="","",IFERROR(IF(ISNUMBER(INDEX(cfg_fac,MATCH(G20,cfg_units,0))),IF(INDEX(cfg_fac,MATCH(G20,cfg_units,0))&gt;0,INDEX(cfg_fac,MATCH(G20,cfg_units,0)),""),""),""))</f>
        <v/>
      </c>
      <c r="X20" s="96">
        <f>IF(AND(ISNUMBER(F20),ISNUMBER(H20)),IF(H20&gt;0,1,0),0)</f>
        <v>0</v>
      </c>
      <c r="Y20" s="96">
        <f>IF(Q20=0,0,IF(OR(T20=0,X20=0,NOT(ISNUMBER(E20)),AND(J20="Sim",L20="",M20=""),AND(ISNUMBER(E20),ISNUMBER(V20),N(V20)&gt;0,E20&lt;N(V20))),1,0))</f>
        <v>0</v>
      </c>
      <c r="Z20" s="96">
        <f>IF(AND(Q20=1,T20=1,X20=1,J20="Sim",OR(L20&lt;&gt;"",M20&lt;&gt;"")),1,0)</f>
        <v>0</v>
      </c>
      <c r="AA20" s="96">
        <f>IF(Q20=0,0,IF(AND(OR(r_ini="",AND(ISNUMBER(E20),E20&gt;=r_ini)),OR(r_fim="",AND(ISNUMBER(E20),E20&lt;=r_fim)),OR(r_un="",r_un="(Todas)",IF(N(U20)&gt;0,INDEX('MTRs'!$G$6:$G$505,U20),"")=r_un),OR(r_de="",r_de="(Todos)",D20=r_de)),1,0))</f>
        <v>0</v>
      </c>
      <c r="AB20" s="96" t="str">
        <f>IF(AA20=1,COUNTIF($AA$6:AA20,1),"")</f>
        <v/>
      </c>
    </row>
    <row r="21">
      <c r="A21" s="89" t="inlineStr">
        <is>
          <t>REC-000016</t>
        </is>
      </c>
      <c r="B21" s="94" t="str">
        <f>IF(T21=1,INDEX('ITENS_MTR'!$S$6:$S$1005,S21)&amp;"","")</f>
        <v/>
      </c>
      <c r="C21" s="91" t="n"/>
      <c r="D21" s="94" t="str">
        <f>IF(N(U21)&gt;0,INDEX('MTRs'!$I$6:$I$505,U21)&amp;"","")</f>
        <v/>
      </c>
      <c r="E21" s="92" t="n"/>
      <c r="F21" s="98" t="n"/>
      <c r="G21" s="91" t="n"/>
      <c r="H21" s="93" t="str">
        <f>IF(Q21=0,"",IF(NOT(ISNUMBER(F21)),"",IF(ISNUMBER(W21),F21*W21,"UNIDADE A CONFERIR")))</f>
        <v/>
      </c>
      <c r="I21" s="91" t="n"/>
      <c r="J21" s="91" t="n"/>
      <c r="K21" s="92" t="n"/>
      <c r="L21" s="91" t="n"/>
      <c r="M21" s="91" t="n"/>
      <c r="N21" s="91" t="n"/>
      <c r="O21" s="91" t="n"/>
      <c r="P21" s="94" t="str">
        <f>IF(Q21=0,"",IF(C21="","Item de resíduo não informado",IF(T21=0,"Item inexistente (referência inválida)",IF(NOT(ISNUMBER(F21)),"Quantidade não informada",IF(F21&lt;=0,"Quantidade não positiva",IF(G21="","Unidade não informada",IF(NOT(ISNUMBER(H21)),"Unidade a conferir",IF(NOT(ISNUMBER(E21)),"Data de recebimento não informada",IF(AND(ISNUMBER(V21),N(V21)&gt;0,E21&lt;N(V21)),"Data anterior à emissão do MTR",IF(AND(J21="Sim",L21="",M21=""),"Conferido sem evidência identificada",IF(J21&lt;&gt;"Sim","Aguardando conferência",IF(INDEX('ITENS_MTR'!$AM$6:$AM$1005,S21)=1,"Conferido (ver diferença no item)","Conferido"))))))))))))</f>
        <v/>
      </c>
      <c r="Q21" s="96">
        <f>IF(COUNTA(C21,E21:G21,I21:O21)&gt;0,1,0)</f>
        <v>0</v>
      </c>
      <c r="R21" s="96" t="str">
        <f>IF(C21="","",TRIM(LEFT(C21,FIND(" |",C21&amp;" |")-1)))</f>
        <v/>
      </c>
      <c r="S21" s="96" t="str">
        <f>IF(R21="","",IFERROR(MATCH(R21,'ITENS_MTR'!$A$6:$A$1005,0),""))</f>
        <v/>
      </c>
      <c r="T21" s="96">
        <f>IF(S21="",0,IF(INDEX('ITENS_MTR'!$R$6:$R$1005,S21)=1,1,0))</f>
        <v>0</v>
      </c>
      <c r="U21" s="96" t="str">
        <f>IF(T21=1,INDEX('ITENS_MTR'!$T$6:$T$1005,S21),"")</f>
        <v/>
      </c>
      <c r="V21" s="97" t="str">
        <f>IF(N(U21)&gt;0,INDEX('MTRs'!$E$6:$E$505,U21),"")</f>
        <v/>
      </c>
      <c r="W21" s="96" t="str">
        <f>IF(G21="","",IFERROR(IF(ISNUMBER(INDEX(cfg_fac,MATCH(G21,cfg_units,0))),IF(INDEX(cfg_fac,MATCH(G21,cfg_units,0))&gt;0,INDEX(cfg_fac,MATCH(G21,cfg_units,0)),""),""),""))</f>
        <v/>
      </c>
      <c r="X21" s="96">
        <f>IF(AND(ISNUMBER(F21),ISNUMBER(H21)),IF(H21&gt;0,1,0),0)</f>
        <v>0</v>
      </c>
      <c r="Y21" s="96">
        <f>IF(Q21=0,0,IF(OR(T21=0,X21=0,NOT(ISNUMBER(E21)),AND(J21="Sim",L21="",M21=""),AND(ISNUMBER(E21),ISNUMBER(V21),N(V21)&gt;0,E21&lt;N(V21))),1,0))</f>
        <v>0</v>
      </c>
      <c r="Z21" s="96">
        <f>IF(AND(Q21=1,T21=1,X21=1,J21="Sim",OR(L21&lt;&gt;"",M21&lt;&gt;"")),1,0)</f>
        <v>0</v>
      </c>
      <c r="AA21" s="96">
        <f>IF(Q21=0,0,IF(AND(OR(r_ini="",AND(ISNUMBER(E21),E21&gt;=r_ini)),OR(r_fim="",AND(ISNUMBER(E21),E21&lt;=r_fim)),OR(r_un="",r_un="(Todas)",IF(N(U21)&gt;0,INDEX('MTRs'!$G$6:$G$505,U21),"")=r_un),OR(r_de="",r_de="(Todos)",D21=r_de)),1,0))</f>
        <v>0</v>
      </c>
      <c r="AB21" s="96" t="str">
        <f>IF(AA21=1,COUNTIF($AA$6:AA21,1),"")</f>
        <v/>
      </c>
    </row>
    <row r="22">
      <c r="A22" s="89" t="inlineStr">
        <is>
          <t>REC-000017</t>
        </is>
      </c>
      <c r="B22" s="94" t="str">
        <f>IF(T22=1,INDEX('ITENS_MTR'!$S$6:$S$1005,S22)&amp;"","")</f>
        <v/>
      </c>
      <c r="C22" s="91" t="n"/>
      <c r="D22" s="94" t="str">
        <f>IF(N(U22)&gt;0,INDEX('MTRs'!$I$6:$I$505,U22)&amp;"","")</f>
        <v/>
      </c>
      <c r="E22" s="92" t="n"/>
      <c r="F22" s="98" t="n"/>
      <c r="G22" s="91" t="n"/>
      <c r="H22" s="93" t="str">
        <f>IF(Q22=0,"",IF(NOT(ISNUMBER(F22)),"",IF(ISNUMBER(W22),F22*W22,"UNIDADE A CONFERIR")))</f>
        <v/>
      </c>
      <c r="I22" s="91" t="n"/>
      <c r="J22" s="91" t="n"/>
      <c r="K22" s="92" t="n"/>
      <c r="L22" s="91" t="n"/>
      <c r="M22" s="91" t="n"/>
      <c r="N22" s="91" t="n"/>
      <c r="O22" s="91" t="n"/>
      <c r="P22" s="94" t="str">
        <f>IF(Q22=0,"",IF(C22="","Item de resíduo não informado",IF(T22=0,"Item inexistente (referência inválida)",IF(NOT(ISNUMBER(F22)),"Quantidade não informada",IF(F22&lt;=0,"Quantidade não positiva",IF(G22="","Unidade não informada",IF(NOT(ISNUMBER(H22)),"Unidade a conferir",IF(NOT(ISNUMBER(E22)),"Data de recebimento não informada",IF(AND(ISNUMBER(V22),N(V22)&gt;0,E22&lt;N(V22)),"Data anterior à emissão do MTR",IF(AND(J22="Sim",L22="",M22=""),"Conferido sem evidência identificada",IF(J22&lt;&gt;"Sim","Aguardando conferência",IF(INDEX('ITENS_MTR'!$AM$6:$AM$1005,S22)=1,"Conferido (ver diferença no item)","Conferido"))))))))))))</f>
        <v/>
      </c>
      <c r="Q22" s="96">
        <f>IF(COUNTA(C22,E22:G22,I22:O22)&gt;0,1,0)</f>
        <v>0</v>
      </c>
      <c r="R22" s="96" t="str">
        <f>IF(C22="","",TRIM(LEFT(C22,FIND(" |",C22&amp;" |")-1)))</f>
        <v/>
      </c>
      <c r="S22" s="96" t="str">
        <f>IF(R22="","",IFERROR(MATCH(R22,'ITENS_MTR'!$A$6:$A$1005,0),""))</f>
        <v/>
      </c>
      <c r="T22" s="96">
        <f>IF(S22="",0,IF(INDEX('ITENS_MTR'!$R$6:$R$1005,S22)=1,1,0))</f>
        <v>0</v>
      </c>
      <c r="U22" s="96" t="str">
        <f>IF(T22=1,INDEX('ITENS_MTR'!$T$6:$T$1005,S22),"")</f>
        <v/>
      </c>
      <c r="V22" s="97" t="str">
        <f>IF(N(U22)&gt;0,INDEX('MTRs'!$E$6:$E$505,U22),"")</f>
        <v/>
      </c>
      <c r="W22" s="96" t="str">
        <f>IF(G22="","",IFERROR(IF(ISNUMBER(INDEX(cfg_fac,MATCH(G22,cfg_units,0))),IF(INDEX(cfg_fac,MATCH(G22,cfg_units,0))&gt;0,INDEX(cfg_fac,MATCH(G22,cfg_units,0)),""),""),""))</f>
        <v/>
      </c>
      <c r="X22" s="96">
        <f>IF(AND(ISNUMBER(F22),ISNUMBER(H22)),IF(H22&gt;0,1,0),0)</f>
        <v>0</v>
      </c>
      <c r="Y22" s="96">
        <f>IF(Q22=0,0,IF(OR(T22=0,X22=0,NOT(ISNUMBER(E22)),AND(J22="Sim",L22="",M22=""),AND(ISNUMBER(E22),ISNUMBER(V22),N(V22)&gt;0,E22&lt;N(V22))),1,0))</f>
        <v>0</v>
      </c>
      <c r="Z22" s="96">
        <f>IF(AND(Q22=1,T22=1,X22=1,J22="Sim",OR(L22&lt;&gt;"",M22&lt;&gt;"")),1,0)</f>
        <v>0</v>
      </c>
      <c r="AA22" s="96">
        <f>IF(Q22=0,0,IF(AND(OR(r_ini="",AND(ISNUMBER(E22),E22&gt;=r_ini)),OR(r_fim="",AND(ISNUMBER(E22),E22&lt;=r_fim)),OR(r_un="",r_un="(Todas)",IF(N(U22)&gt;0,INDEX('MTRs'!$G$6:$G$505,U22),"")=r_un),OR(r_de="",r_de="(Todos)",D22=r_de)),1,0))</f>
        <v>0</v>
      </c>
      <c r="AB22" s="96" t="str">
        <f>IF(AA22=1,COUNTIF($AA$6:AA22,1),"")</f>
        <v/>
      </c>
    </row>
    <row r="23">
      <c r="A23" s="89" t="inlineStr">
        <is>
          <t>REC-000018</t>
        </is>
      </c>
      <c r="B23" s="94" t="str">
        <f>IF(T23=1,INDEX('ITENS_MTR'!$S$6:$S$1005,S23)&amp;"","")</f>
        <v/>
      </c>
      <c r="C23" s="91" t="n"/>
      <c r="D23" s="94" t="str">
        <f>IF(N(U23)&gt;0,INDEX('MTRs'!$I$6:$I$505,U23)&amp;"","")</f>
        <v/>
      </c>
      <c r="E23" s="92" t="n"/>
      <c r="F23" s="98" t="n"/>
      <c r="G23" s="91" t="n"/>
      <c r="H23" s="93" t="str">
        <f>IF(Q23=0,"",IF(NOT(ISNUMBER(F23)),"",IF(ISNUMBER(W23),F23*W23,"UNIDADE A CONFERIR")))</f>
        <v/>
      </c>
      <c r="I23" s="91" t="n"/>
      <c r="J23" s="91" t="n"/>
      <c r="K23" s="92" t="n"/>
      <c r="L23" s="91" t="n"/>
      <c r="M23" s="91" t="n"/>
      <c r="N23" s="91" t="n"/>
      <c r="O23" s="91" t="n"/>
      <c r="P23" s="94" t="str">
        <f>IF(Q23=0,"",IF(C23="","Item de resíduo não informado",IF(T23=0,"Item inexistente (referência inválida)",IF(NOT(ISNUMBER(F23)),"Quantidade não informada",IF(F23&lt;=0,"Quantidade não positiva",IF(G23="","Unidade não informada",IF(NOT(ISNUMBER(H23)),"Unidade a conferir",IF(NOT(ISNUMBER(E23)),"Data de recebimento não informada",IF(AND(ISNUMBER(V23),N(V23)&gt;0,E23&lt;N(V23)),"Data anterior à emissão do MTR",IF(AND(J23="Sim",L23="",M23=""),"Conferido sem evidência identificada",IF(J23&lt;&gt;"Sim","Aguardando conferência",IF(INDEX('ITENS_MTR'!$AM$6:$AM$1005,S23)=1,"Conferido (ver diferença no item)","Conferido"))))))))))))</f>
        <v/>
      </c>
      <c r="Q23" s="96">
        <f>IF(COUNTA(C23,E23:G23,I23:O23)&gt;0,1,0)</f>
        <v>0</v>
      </c>
      <c r="R23" s="96" t="str">
        <f>IF(C23="","",TRIM(LEFT(C23,FIND(" |",C23&amp;" |")-1)))</f>
        <v/>
      </c>
      <c r="S23" s="96" t="str">
        <f>IF(R23="","",IFERROR(MATCH(R23,'ITENS_MTR'!$A$6:$A$1005,0),""))</f>
        <v/>
      </c>
      <c r="T23" s="96">
        <f>IF(S23="",0,IF(INDEX('ITENS_MTR'!$R$6:$R$1005,S23)=1,1,0))</f>
        <v>0</v>
      </c>
      <c r="U23" s="96" t="str">
        <f>IF(T23=1,INDEX('ITENS_MTR'!$T$6:$T$1005,S23),"")</f>
        <v/>
      </c>
      <c r="V23" s="97" t="str">
        <f>IF(N(U23)&gt;0,INDEX('MTRs'!$E$6:$E$505,U23),"")</f>
        <v/>
      </c>
      <c r="W23" s="96" t="str">
        <f>IF(G23="","",IFERROR(IF(ISNUMBER(INDEX(cfg_fac,MATCH(G23,cfg_units,0))),IF(INDEX(cfg_fac,MATCH(G23,cfg_units,0))&gt;0,INDEX(cfg_fac,MATCH(G23,cfg_units,0)),""),""),""))</f>
        <v/>
      </c>
      <c r="X23" s="96">
        <f>IF(AND(ISNUMBER(F23),ISNUMBER(H23)),IF(H23&gt;0,1,0),0)</f>
        <v>0</v>
      </c>
      <c r="Y23" s="96">
        <f>IF(Q23=0,0,IF(OR(T23=0,X23=0,NOT(ISNUMBER(E23)),AND(J23="Sim",L23="",M23=""),AND(ISNUMBER(E23),ISNUMBER(V23),N(V23)&gt;0,E23&lt;N(V23))),1,0))</f>
        <v>0</v>
      </c>
      <c r="Z23" s="96">
        <f>IF(AND(Q23=1,T23=1,X23=1,J23="Sim",OR(L23&lt;&gt;"",M23&lt;&gt;"")),1,0)</f>
        <v>0</v>
      </c>
      <c r="AA23" s="96">
        <f>IF(Q23=0,0,IF(AND(OR(r_ini="",AND(ISNUMBER(E23),E23&gt;=r_ini)),OR(r_fim="",AND(ISNUMBER(E23),E23&lt;=r_fim)),OR(r_un="",r_un="(Todas)",IF(N(U23)&gt;0,INDEX('MTRs'!$G$6:$G$505,U23),"")=r_un),OR(r_de="",r_de="(Todos)",D23=r_de)),1,0))</f>
        <v>0</v>
      </c>
      <c r="AB23" s="96" t="str">
        <f>IF(AA23=1,COUNTIF($AA$6:AA23,1),"")</f>
        <v/>
      </c>
    </row>
    <row r="24">
      <c r="A24" s="89" t="inlineStr">
        <is>
          <t>REC-000019</t>
        </is>
      </c>
      <c r="B24" s="94" t="str">
        <f>IF(T24=1,INDEX('ITENS_MTR'!$S$6:$S$1005,S24)&amp;"","")</f>
        <v/>
      </c>
      <c r="C24" s="91" t="n"/>
      <c r="D24" s="94" t="str">
        <f>IF(N(U24)&gt;0,INDEX('MTRs'!$I$6:$I$505,U24)&amp;"","")</f>
        <v/>
      </c>
      <c r="E24" s="92" t="n"/>
      <c r="F24" s="98" t="n"/>
      <c r="G24" s="91" t="n"/>
      <c r="H24" s="93" t="str">
        <f>IF(Q24=0,"",IF(NOT(ISNUMBER(F24)),"",IF(ISNUMBER(W24),F24*W24,"UNIDADE A CONFERIR")))</f>
        <v/>
      </c>
      <c r="I24" s="91" t="n"/>
      <c r="J24" s="91" t="n"/>
      <c r="K24" s="92" t="n"/>
      <c r="L24" s="91" t="n"/>
      <c r="M24" s="91" t="n"/>
      <c r="N24" s="91" t="n"/>
      <c r="O24" s="91" t="n"/>
      <c r="P24" s="94" t="str">
        <f>IF(Q24=0,"",IF(C24="","Item de resíduo não informado",IF(T24=0,"Item inexistente (referência inválida)",IF(NOT(ISNUMBER(F24)),"Quantidade não informada",IF(F24&lt;=0,"Quantidade não positiva",IF(G24="","Unidade não informada",IF(NOT(ISNUMBER(H24)),"Unidade a conferir",IF(NOT(ISNUMBER(E24)),"Data de recebimento não informada",IF(AND(ISNUMBER(V24),N(V24)&gt;0,E24&lt;N(V24)),"Data anterior à emissão do MTR",IF(AND(J24="Sim",L24="",M24=""),"Conferido sem evidência identificada",IF(J24&lt;&gt;"Sim","Aguardando conferência",IF(INDEX('ITENS_MTR'!$AM$6:$AM$1005,S24)=1,"Conferido (ver diferença no item)","Conferido"))))))))))))</f>
        <v/>
      </c>
      <c r="Q24" s="96">
        <f>IF(COUNTA(C24,E24:G24,I24:O24)&gt;0,1,0)</f>
        <v>0</v>
      </c>
      <c r="R24" s="96" t="str">
        <f>IF(C24="","",TRIM(LEFT(C24,FIND(" |",C24&amp;" |")-1)))</f>
        <v/>
      </c>
      <c r="S24" s="96" t="str">
        <f>IF(R24="","",IFERROR(MATCH(R24,'ITENS_MTR'!$A$6:$A$1005,0),""))</f>
        <v/>
      </c>
      <c r="T24" s="96">
        <f>IF(S24="",0,IF(INDEX('ITENS_MTR'!$R$6:$R$1005,S24)=1,1,0))</f>
        <v>0</v>
      </c>
      <c r="U24" s="96" t="str">
        <f>IF(T24=1,INDEX('ITENS_MTR'!$T$6:$T$1005,S24),"")</f>
        <v/>
      </c>
      <c r="V24" s="97" t="str">
        <f>IF(N(U24)&gt;0,INDEX('MTRs'!$E$6:$E$505,U24),"")</f>
        <v/>
      </c>
      <c r="W24" s="96" t="str">
        <f>IF(G24="","",IFERROR(IF(ISNUMBER(INDEX(cfg_fac,MATCH(G24,cfg_units,0))),IF(INDEX(cfg_fac,MATCH(G24,cfg_units,0))&gt;0,INDEX(cfg_fac,MATCH(G24,cfg_units,0)),""),""),""))</f>
        <v/>
      </c>
      <c r="X24" s="96">
        <f>IF(AND(ISNUMBER(F24),ISNUMBER(H24)),IF(H24&gt;0,1,0),0)</f>
        <v>0</v>
      </c>
      <c r="Y24" s="96">
        <f>IF(Q24=0,0,IF(OR(T24=0,X24=0,NOT(ISNUMBER(E24)),AND(J24="Sim",L24="",M24=""),AND(ISNUMBER(E24),ISNUMBER(V24),N(V24)&gt;0,E24&lt;N(V24))),1,0))</f>
        <v>0</v>
      </c>
      <c r="Z24" s="96">
        <f>IF(AND(Q24=1,T24=1,X24=1,J24="Sim",OR(L24&lt;&gt;"",M24&lt;&gt;"")),1,0)</f>
        <v>0</v>
      </c>
      <c r="AA24" s="96">
        <f>IF(Q24=0,0,IF(AND(OR(r_ini="",AND(ISNUMBER(E24),E24&gt;=r_ini)),OR(r_fim="",AND(ISNUMBER(E24),E24&lt;=r_fim)),OR(r_un="",r_un="(Todas)",IF(N(U24)&gt;0,INDEX('MTRs'!$G$6:$G$505,U24),"")=r_un),OR(r_de="",r_de="(Todos)",D24=r_de)),1,0))</f>
        <v>0</v>
      </c>
      <c r="AB24" s="96" t="str">
        <f>IF(AA24=1,COUNTIF($AA$6:AA24,1),"")</f>
        <v/>
      </c>
    </row>
    <row r="25">
      <c r="A25" s="89" t="inlineStr">
        <is>
          <t>REC-000020</t>
        </is>
      </c>
      <c r="B25" s="94" t="str">
        <f>IF(T25=1,INDEX('ITENS_MTR'!$S$6:$S$1005,S25)&amp;"","")</f>
        <v/>
      </c>
      <c r="C25" s="91" t="n"/>
      <c r="D25" s="94" t="str">
        <f>IF(N(U25)&gt;0,INDEX('MTRs'!$I$6:$I$505,U25)&amp;"","")</f>
        <v/>
      </c>
      <c r="E25" s="92" t="n"/>
      <c r="F25" s="98" t="n"/>
      <c r="G25" s="91" t="n"/>
      <c r="H25" s="93" t="str">
        <f>IF(Q25=0,"",IF(NOT(ISNUMBER(F25)),"",IF(ISNUMBER(W25),F25*W25,"UNIDADE A CONFERIR")))</f>
        <v/>
      </c>
      <c r="I25" s="91" t="n"/>
      <c r="J25" s="91" t="n"/>
      <c r="K25" s="92" t="n"/>
      <c r="L25" s="91" t="n"/>
      <c r="M25" s="91" t="n"/>
      <c r="N25" s="91" t="n"/>
      <c r="O25" s="91" t="n"/>
      <c r="P25" s="94" t="str">
        <f>IF(Q25=0,"",IF(C25="","Item de resíduo não informado",IF(T25=0,"Item inexistente (referência inválida)",IF(NOT(ISNUMBER(F25)),"Quantidade não informada",IF(F25&lt;=0,"Quantidade não positiva",IF(G25="","Unidade não informada",IF(NOT(ISNUMBER(H25)),"Unidade a conferir",IF(NOT(ISNUMBER(E25)),"Data de recebimento não informada",IF(AND(ISNUMBER(V25),N(V25)&gt;0,E25&lt;N(V25)),"Data anterior à emissão do MTR",IF(AND(J25="Sim",L25="",M25=""),"Conferido sem evidência identificada",IF(J25&lt;&gt;"Sim","Aguardando conferência",IF(INDEX('ITENS_MTR'!$AM$6:$AM$1005,S25)=1,"Conferido (ver diferença no item)","Conferido"))))))))))))</f>
        <v/>
      </c>
      <c r="Q25" s="96">
        <f>IF(COUNTA(C25,E25:G25,I25:O25)&gt;0,1,0)</f>
        <v>0</v>
      </c>
      <c r="R25" s="96" t="str">
        <f>IF(C25="","",TRIM(LEFT(C25,FIND(" |",C25&amp;" |")-1)))</f>
        <v/>
      </c>
      <c r="S25" s="96" t="str">
        <f>IF(R25="","",IFERROR(MATCH(R25,'ITENS_MTR'!$A$6:$A$1005,0),""))</f>
        <v/>
      </c>
      <c r="T25" s="96">
        <f>IF(S25="",0,IF(INDEX('ITENS_MTR'!$R$6:$R$1005,S25)=1,1,0))</f>
        <v>0</v>
      </c>
      <c r="U25" s="96" t="str">
        <f>IF(T25=1,INDEX('ITENS_MTR'!$T$6:$T$1005,S25),"")</f>
        <v/>
      </c>
      <c r="V25" s="97" t="str">
        <f>IF(N(U25)&gt;0,INDEX('MTRs'!$E$6:$E$505,U25),"")</f>
        <v/>
      </c>
      <c r="W25" s="96" t="str">
        <f>IF(G25="","",IFERROR(IF(ISNUMBER(INDEX(cfg_fac,MATCH(G25,cfg_units,0))),IF(INDEX(cfg_fac,MATCH(G25,cfg_units,0))&gt;0,INDEX(cfg_fac,MATCH(G25,cfg_units,0)),""),""),""))</f>
        <v/>
      </c>
      <c r="X25" s="96">
        <f>IF(AND(ISNUMBER(F25),ISNUMBER(H25)),IF(H25&gt;0,1,0),0)</f>
        <v>0</v>
      </c>
      <c r="Y25" s="96">
        <f>IF(Q25=0,0,IF(OR(T25=0,X25=0,NOT(ISNUMBER(E25)),AND(J25="Sim",L25="",M25=""),AND(ISNUMBER(E25),ISNUMBER(V25),N(V25)&gt;0,E25&lt;N(V25))),1,0))</f>
        <v>0</v>
      </c>
      <c r="Z25" s="96">
        <f>IF(AND(Q25=1,T25=1,X25=1,J25="Sim",OR(L25&lt;&gt;"",M25&lt;&gt;"")),1,0)</f>
        <v>0</v>
      </c>
      <c r="AA25" s="96">
        <f>IF(Q25=0,0,IF(AND(OR(r_ini="",AND(ISNUMBER(E25),E25&gt;=r_ini)),OR(r_fim="",AND(ISNUMBER(E25),E25&lt;=r_fim)),OR(r_un="",r_un="(Todas)",IF(N(U25)&gt;0,INDEX('MTRs'!$G$6:$G$505,U25),"")=r_un),OR(r_de="",r_de="(Todos)",D25=r_de)),1,0))</f>
        <v>0</v>
      </c>
      <c r="AB25" s="96" t="str">
        <f>IF(AA25=1,COUNTIF($AA$6:AA25,1),"")</f>
        <v/>
      </c>
    </row>
    <row r="26">
      <c r="A26" s="89" t="inlineStr">
        <is>
          <t>REC-000021</t>
        </is>
      </c>
      <c r="B26" s="94" t="str">
        <f>IF(T26=1,INDEX('ITENS_MTR'!$S$6:$S$1005,S26)&amp;"","")</f>
        <v/>
      </c>
      <c r="C26" s="91" t="n"/>
      <c r="D26" s="94" t="str">
        <f>IF(N(U26)&gt;0,INDEX('MTRs'!$I$6:$I$505,U26)&amp;"","")</f>
        <v/>
      </c>
      <c r="E26" s="92" t="n"/>
      <c r="F26" s="98" t="n"/>
      <c r="G26" s="91" t="n"/>
      <c r="H26" s="93" t="str">
        <f>IF(Q26=0,"",IF(NOT(ISNUMBER(F26)),"",IF(ISNUMBER(W26),F26*W26,"UNIDADE A CONFERIR")))</f>
        <v/>
      </c>
      <c r="I26" s="91" t="n"/>
      <c r="J26" s="91" t="n"/>
      <c r="K26" s="92" t="n"/>
      <c r="L26" s="91" t="n"/>
      <c r="M26" s="91" t="n"/>
      <c r="N26" s="91" t="n"/>
      <c r="O26" s="91" t="n"/>
      <c r="P26" s="94" t="str">
        <f>IF(Q26=0,"",IF(C26="","Item de resíduo não informado",IF(T26=0,"Item inexistente (referência inválida)",IF(NOT(ISNUMBER(F26)),"Quantidade não informada",IF(F26&lt;=0,"Quantidade não positiva",IF(G26="","Unidade não informada",IF(NOT(ISNUMBER(H26)),"Unidade a conferir",IF(NOT(ISNUMBER(E26)),"Data de recebimento não informada",IF(AND(ISNUMBER(V26),N(V26)&gt;0,E26&lt;N(V26)),"Data anterior à emissão do MTR",IF(AND(J26="Sim",L26="",M26=""),"Conferido sem evidência identificada",IF(J26&lt;&gt;"Sim","Aguardando conferência",IF(INDEX('ITENS_MTR'!$AM$6:$AM$1005,S26)=1,"Conferido (ver diferença no item)","Conferido"))))))))))))</f>
        <v/>
      </c>
      <c r="Q26" s="96">
        <f>IF(COUNTA(C26,E26:G26,I26:O26)&gt;0,1,0)</f>
        <v>0</v>
      </c>
      <c r="R26" s="96" t="str">
        <f>IF(C26="","",TRIM(LEFT(C26,FIND(" |",C26&amp;" |")-1)))</f>
        <v/>
      </c>
      <c r="S26" s="96" t="str">
        <f>IF(R26="","",IFERROR(MATCH(R26,'ITENS_MTR'!$A$6:$A$1005,0),""))</f>
        <v/>
      </c>
      <c r="T26" s="96">
        <f>IF(S26="",0,IF(INDEX('ITENS_MTR'!$R$6:$R$1005,S26)=1,1,0))</f>
        <v>0</v>
      </c>
      <c r="U26" s="96" t="str">
        <f>IF(T26=1,INDEX('ITENS_MTR'!$T$6:$T$1005,S26),"")</f>
        <v/>
      </c>
      <c r="V26" s="97" t="str">
        <f>IF(N(U26)&gt;0,INDEX('MTRs'!$E$6:$E$505,U26),"")</f>
        <v/>
      </c>
      <c r="W26" s="96" t="str">
        <f>IF(G26="","",IFERROR(IF(ISNUMBER(INDEX(cfg_fac,MATCH(G26,cfg_units,0))),IF(INDEX(cfg_fac,MATCH(G26,cfg_units,0))&gt;0,INDEX(cfg_fac,MATCH(G26,cfg_units,0)),""),""),""))</f>
        <v/>
      </c>
      <c r="X26" s="96">
        <f>IF(AND(ISNUMBER(F26),ISNUMBER(H26)),IF(H26&gt;0,1,0),0)</f>
        <v>0</v>
      </c>
      <c r="Y26" s="96">
        <f>IF(Q26=0,0,IF(OR(T26=0,X26=0,NOT(ISNUMBER(E26)),AND(J26="Sim",L26="",M26=""),AND(ISNUMBER(E26),ISNUMBER(V26),N(V26)&gt;0,E26&lt;N(V26))),1,0))</f>
        <v>0</v>
      </c>
      <c r="Z26" s="96">
        <f>IF(AND(Q26=1,T26=1,X26=1,J26="Sim",OR(L26&lt;&gt;"",M26&lt;&gt;"")),1,0)</f>
        <v>0</v>
      </c>
      <c r="AA26" s="96">
        <f>IF(Q26=0,0,IF(AND(OR(r_ini="",AND(ISNUMBER(E26),E26&gt;=r_ini)),OR(r_fim="",AND(ISNUMBER(E26),E26&lt;=r_fim)),OR(r_un="",r_un="(Todas)",IF(N(U26)&gt;0,INDEX('MTRs'!$G$6:$G$505,U26),"")=r_un),OR(r_de="",r_de="(Todos)",D26=r_de)),1,0))</f>
        <v>0</v>
      </c>
      <c r="AB26" s="96" t="str">
        <f>IF(AA26=1,COUNTIF($AA$6:AA26,1),"")</f>
        <v/>
      </c>
    </row>
    <row r="27">
      <c r="A27" s="89" t="inlineStr">
        <is>
          <t>REC-000022</t>
        </is>
      </c>
      <c r="B27" s="94" t="str">
        <f>IF(T27=1,INDEX('ITENS_MTR'!$S$6:$S$1005,S27)&amp;"","")</f>
        <v/>
      </c>
      <c r="C27" s="91" t="n"/>
      <c r="D27" s="94" t="str">
        <f>IF(N(U27)&gt;0,INDEX('MTRs'!$I$6:$I$505,U27)&amp;"","")</f>
        <v/>
      </c>
      <c r="E27" s="92" t="n"/>
      <c r="F27" s="98" t="n"/>
      <c r="G27" s="91" t="n"/>
      <c r="H27" s="93" t="str">
        <f>IF(Q27=0,"",IF(NOT(ISNUMBER(F27)),"",IF(ISNUMBER(W27),F27*W27,"UNIDADE A CONFERIR")))</f>
        <v/>
      </c>
      <c r="I27" s="91" t="n"/>
      <c r="J27" s="91" t="n"/>
      <c r="K27" s="92" t="n"/>
      <c r="L27" s="91" t="n"/>
      <c r="M27" s="91" t="n"/>
      <c r="N27" s="91" t="n"/>
      <c r="O27" s="91" t="n"/>
      <c r="P27" s="94" t="str">
        <f>IF(Q27=0,"",IF(C27="","Item de resíduo não informado",IF(T27=0,"Item inexistente (referência inválida)",IF(NOT(ISNUMBER(F27)),"Quantidade não informada",IF(F27&lt;=0,"Quantidade não positiva",IF(G27="","Unidade não informada",IF(NOT(ISNUMBER(H27)),"Unidade a conferir",IF(NOT(ISNUMBER(E27)),"Data de recebimento não informada",IF(AND(ISNUMBER(V27),N(V27)&gt;0,E27&lt;N(V27)),"Data anterior à emissão do MTR",IF(AND(J27="Sim",L27="",M27=""),"Conferido sem evidência identificada",IF(J27&lt;&gt;"Sim","Aguardando conferência",IF(INDEX('ITENS_MTR'!$AM$6:$AM$1005,S27)=1,"Conferido (ver diferença no item)","Conferido"))))))))))))</f>
        <v/>
      </c>
      <c r="Q27" s="96">
        <f>IF(COUNTA(C27,E27:G27,I27:O27)&gt;0,1,0)</f>
        <v>0</v>
      </c>
      <c r="R27" s="96" t="str">
        <f>IF(C27="","",TRIM(LEFT(C27,FIND(" |",C27&amp;" |")-1)))</f>
        <v/>
      </c>
      <c r="S27" s="96" t="str">
        <f>IF(R27="","",IFERROR(MATCH(R27,'ITENS_MTR'!$A$6:$A$1005,0),""))</f>
        <v/>
      </c>
      <c r="T27" s="96">
        <f>IF(S27="",0,IF(INDEX('ITENS_MTR'!$R$6:$R$1005,S27)=1,1,0))</f>
        <v>0</v>
      </c>
      <c r="U27" s="96" t="str">
        <f>IF(T27=1,INDEX('ITENS_MTR'!$T$6:$T$1005,S27),"")</f>
        <v/>
      </c>
      <c r="V27" s="97" t="str">
        <f>IF(N(U27)&gt;0,INDEX('MTRs'!$E$6:$E$505,U27),"")</f>
        <v/>
      </c>
      <c r="W27" s="96" t="str">
        <f>IF(G27="","",IFERROR(IF(ISNUMBER(INDEX(cfg_fac,MATCH(G27,cfg_units,0))),IF(INDEX(cfg_fac,MATCH(G27,cfg_units,0))&gt;0,INDEX(cfg_fac,MATCH(G27,cfg_units,0)),""),""),""))</f>
        <v/>
      </c>
      <c r="X27" s="96">
        <f>IF(AND(ISNUMBER(F27),ISNUMBER(H27)),IF(H27&gt;0,1,0),0)</f>
        <v>0</v>
      </c>
      <c r="Y27" s="96">
        <f>IF(Q27=0,0,IF(OR(T27=0,X27=0,NOT(ISNUMBER(E27)),AND(J27="Sim",L27="",M27=""),AND(ISNUMBER(E27),ISNUMBER(V27),N(V27)&gt;0,E27&lt;N(V27))),1,0))</f>
        <v>0</v>
      </c>
      <c r="Z27" s="96">
        <f>IF(AND(Q27=1,T27=1,X27=1,J27="Sim",OR(L27&lt;&gt;"",M27&lt;&gt;"")),1,0)</f>
        <v>0</v>
      </c>
      <c r="AA27" s="96">
        <f>IF(Q27=0,0,IF(AND(OR(r_ini="",AND(ISNUMBER(E27),E27&gt;=r_ini)),OR(r_fim="",AND(ISNUMBER(E27),E27&lt;=r_fim)),OR(r_un="",r_un="(Todas)",IF(N(U27)&gt;0,INDEX('MTRs'!$G$6:$G$505,U27),"")=r_un),OR(r_de="",r_de="(Todos)",D27=r_de)),1,0))</f>
        <v>0</v>
      </c>
      <c r="AB27" s="96" t="str">
        <f>IF(AA27=1,COUNTIF($AA$6:AA27,1),"")</f>
        <v/>
      </c>
    </row>
    <row r="28">
      <c r="A28" s="89" t="inlineStr">
        <is>
          <t>REC-000023</t>
        </is>
      </c>
      <c r="B28" s="94" t="str">
        <f>IF(T28=1,INDEX('ITENS_MTR'!$S$6:$S$1005,S28)&amp;"","")</f>
        <v/>
      </c>
      <c r="C28" s="91" t="n"/>
      <c r="D28" s="94" t="str">
        <f>IF(N(U28)&gt;0,INDEX('MTRs'!$I$6:$I$505,U28)&amp;"","")</f>
        <v/>
      </c>
      <c r="E28" s="92" t="n"/>
      <c r="F28" s="98" t="n"/>
      <c r="G28" s="91" t="n"/>
      <c r="H28" s="93" t="str">
        <f>IF(Q28=0,"",IF(NOT(ISNUMBER(F28)),"",IF(ISNUMBER(W28),F28*W28,"UNIDADE A CONFERIR")))</f>
        <v/>
      </c>
      <c r="I28" s="91" t="n"/>
      <c r="J28" s="91" t="n"/>
      <c r="K28" s="92" t="n"/>
      <c r="L28" s="91" t="n"/>
      <c r="M28" s="91" t="n"/>
      <c r="N28" s="91" t="n"/>
      <c r="O28" s="91" t="n"/>
      <c r="P28" s="94" t="str">
        <f>IF(Q28=0,"",IF(C28="","Item de resíduo não informado",IF(T28=0,"Item inexistente (referência inválida)",IF(NOT(ISNUMBER(F28)),"Quantidade não informada",IF(F28&lt;=0,"Quantidade não positiva",IF(G28="","Unidade não informada",IF(NOT(ISNUMBER(H28)),"Unidade a conferir",IF(NOT(ISNUMBER(E28)),"Data de recebimento não informada",IF(AND(ISNUMBER(V28),N(V28)&gt;0,E28&lt;N(V28)),"Data anterior à emissão do MTR",IF(AND(J28="Sim",L28="",M28=""),"Conferido sem evidência identificada",IF(J28&lt;&gt;"Sim","Aguardando conferência",IF(INDEX('ITENS_MTR'!$AM$6:$AM$1005,S28)=1,"Conferido (ver diferença no item)","Conferido"))))))))))))</f>
        <v/>
      </c>
      <c r="Q28" s="96">
        <f>IF(COUNTA(C28,E28:G28,I28:O28)&gt;0,1,0)</f>
        <v>0</v>
      </c>
      <c r="R28" s="96" t="str">
        <f>IF(C28="","",TRIM(LEFT(C28,FIND(" |",C28&amp;" |")-1)))</f>
        <v/>
      </c>
      <c r="S28" s="96" t="str">
        <f>IF(R28="","",IFERROR(MATCH(R28,'ITENS_MTR'!$A$6:$A$1005,0),""))</f>
        <v/>
      </c>
      <c r="T28" s="96">
        <f>IF(S28="",0,IF(INDEX('ITENS_MTR'!$R$6:$R$1005,S28)=1,1,0))</f>
        <v>0</v>
      </c>
      <c r="U28" s="96" t="str">
        <f>IF(T28=1,INDEX('ITENS_MTR'!$T$6:$T$1005,S28),"")</f>
        <v/>
      </c>
      <c r="V28" s="97" t="str">
        <f>IF(N(U28)&gt;0,INDEX('MTRs'!$E$6:$E$505,U28),"")</f>
        <v/>
      </c>
      <c r="W28" s="96" t="str">
        <f>IF(G28="","",IFERROR(IF(ISNUMBER(INDEX(cfg_fac,MATCH(G28,cfg_units,0))),IF(INDEX(cfg_fac,MATCH(G28,cfg_units,0))&gt;0,INDEX(cfg_fac,MATCH(G28,cfg_units,0)),""),""),""))</f>
        <v/>
      </c>
      <c r="X28" s="96">
        <f>IF(AND(ISNUMBER(F28),ISNUMBER(H28)),IF(H28&gt;0,1,0),0)</f>
        <v>0</v>
      </c>
      <c r="Y28" s="96">
        <f>IF(Q28=0,0,IF(OR(T28=0,X28=0,NOT(ISNUMBER(E28)),AND(J28="Sim",L28="",M28=""),AND(ISNUMBER(E28),ISNUMBER(V28),N(V28)&gt;0,E28&lt;N(V28))),1,0))</f>
        <v>0</v>
      </c>
      <c r="Z28" s="96">
        <f>IF(AND(Q28=1,T28=1,X28=1,J28="Sim",OR(L28&lt;&gt;"",M28&lt;&gt;"")),1,0)</f>
        <v>0</v>
      </c>
      <c r="AA28" s="96">
        <f>IF(Q28=0,0,IF(AND(OR(r_ini="",AND(ISNUMBER(E28),E28&gt;=r_ini)),OR(r_fim="",AND(ISNUMBER(E28),E28&lt;=r_fim)),OR(r_un="",r_un="(Todas)",IF(N(U28)&gt;0,INDEX('MTRs'!$G$6:$G$505,U28),"")=r_un),OR(r_de="",r_de="(Todos)",D28=r_de)),1,0))</f>
        <v>0</v>
      </c>
      <c r="AB28" s="96" t="str">
        <f>IF(AA28=1,COUNTIF($AA$6:AA28,1),"")</f>
        <v/>
      </c>
    </row>
    <row r="29">
      <c r="A29" s="89" t="inlineStr">
        <is>
          <t>REC-000024</t>
        </is>
      </c>
      <c r="B29" s="94" t="str">
        <f>IF(T29=1,INDEX('ITENS_MTR'!$S$6:$S$1005,S29)&amp;"","")</f>
        <v/>
      </c>
      <c r="C29" s="91" t="n"/>
      <c r="D29" s="94" t="str">
        <f>IF(N(U29)&gt;0,INDEX('MTRs'!$I$6:$I$505,U29)&amp;"","")</f>
        <v/>
      </c>
      <c r="E29" s="92" t="n"/>
      <c r="F29" s="98" t="n"/>
      <c r="G29" s="91" t="n"/>
      <c r="H29" s="93" t="str">
        <f>IF(Q29=0,"",IF(NOT(ISNUMBER(F29)),"",IF(ISNUMBER(W29),F29*W29,"UNIDADE A CONFERIR")))</f>
        <v/>
      </c>
      <c r="I29" s="91" t="n"/>
      <c r="J29" s="91" t="n"/>
      <c r="K29" s="92" t="n"/>
      <c r="L29" s="91" t="n"/>
      <c r="M29" s="91" t="n"/>
      <c r="N29" s="91" t="n"/>
      <c r="O29" s="91" t="n"/>
      <c r="P29" s="94" t="str">
        <f>IF(Q29=0,"",IF(C29="","Item de resíduo não informado",IF(T29=0,"Item inexistente (referência inválida)",IF(NOT(ISNUMBER(F29)),"Quantidade não informada",IF(F29&lt;=0,"Quantidade não positiva",IF(G29="","Unidade não informada",IF(NOT(ISNUMBER(H29)),"Unidade a conferir",IF(NOT(ISNUMBER(E29)),"Data de recebimento não informada",IF(AND(ISNUMBER(V29),N(V29)&gt;0,E29&lt;N(V29)),"Data anterior à emissão do MTR",IF(AND(J29="Sim",L29="",M29=""),"Conferido sem evidência identificada",IF(J29&lt;&gt;"Sim","Aguardando conferência",IF(INDEX('ITENS_MTR'!$AM$6:$AM$1005,S29)=1,"Conferido (ver diferença no item)","Conferido"))))))))))))</f>
        <v/>
      </c>
      <c r="Q29" s="96">
        <f>IF(COUNTA(C29,E29:G29,I29:O29)&gt;0,1,0)</f>
        <v>0</v>
      </c>
      <c r="R29" s="96" t="str">
        <f>IF(C29="","",TRIM(LEFT(C29,FIND(" |",C29&amp;" |")-1)))</f>
        <v/>
      </c>
      <c r="S29" s="96" t="str">
        <f>IF(R29="","",IFERROR(MATCH(R29,'ITENS_MTR'!$A$6:$A$1005,0),""))</f>
        <v/>
      </c>
      <c r="T29" s="96">
        <f>IF(S29="",0,IF(INDEX('ITENS_MTR'!$R$6:$R$1005,S29)=1,1,0))</f>
        <v>0</v>
      </c>
      <c r="U29" s="96" t="str">
        <f>IF(T29=1,INDEX('ITENS_MTR'!$T$6:$T$1005,S29),"")</f>
        <v/>
      </c>
      <c r="V29" s="97" t="str">
        <f>IF(N(U29)&gt;0,INDEX('MTRs'!$E$6:$E$505,U29),"")</f>
        <v/>
      </c>
      <c r="W29" s="96" t="str">
        <f>IF(G29="","",IFERROR(IF(ISNUMBER(INDEX(cfg_fac,MATCH(G29,cfg_units,0))),IF(INDEX(cfg_fac,MATCH(G29,cfg_units,0))&gt;0,INDEX(cfg_fac,MATCH(G29,cfg_units,0)),""),""),""))</f>
        <v/>
      </c>
      <c r="X29" s="96">
        <f>IF(AND(ISNUMBER(F29),ISNUMBER(H29)),IF(H29&gt;0,1,0),0)</f>
        <v>0</v>
      </c>
      <c r="Y29" s="96">
        <f>IF(Q29=0,0,IF(OR(T29=0,X29=0,NOT(ISNUMBER(E29)),AND(J29="Sim",L29="",M29=""),AND(ISNUMBER(E29),ISNUMBER(V29),N(V29)&gt;0,E29&lt;N(V29))),1,0))</f>
        <v>0</v>
      </c>
      <c r="Z29" s="96">
        <f>IF(AND(Q29=1,T29=1,X29=1,J29="Sim",OR(L29&lt;&gt;"",M29&lt;&gt;"")),1,0)</f>
        <v>0</v>
      </c>
      <c r="AA29" s="96">
        <f>IF(Q29=0,0,IF(AND(OR(r_ini="",AND(ISNUMBER(E29),E29&gt;=r_ini)),OR(r_fim="",AND(ISNUMBER(E29),E29&lt;=r_fim)),OR(r_un="",r_un="(Todas)",IF(N(U29)&gt;0,INDEX('MTRs'!$G$6:$G$505,U29),"")=r_un),OR(r_de="",r_de="(Todos)",D29=r_de)),1,0))</f>
        <v>0</v>
      </c>
      <c r="AB29" s="96" t="str">
        <f>IF(AA29=1,COUNTIF($AA$6:AA29,1),"")</f>
        <v/>
      </c>
    </row>
    <row r="30">
      <c r="A30" s="89" t="inlineStr">
        <is>
          <t>REC-000025</t>
        </is>
      </c>
      <c r="B30" s="94" t="str">
        <f>IF(T30=1,INDEX('ITENS_MTR'!$S$6:$S$1005,S30)&amp;"","")</f>
        <v/>
      </c>
      <c r="C30" s="91" t="n"/>
      <c r="D30" s="94" t="str">
        <f>IF(N(U30)&gt;0,INDEX('MTRs'!$I$6:$I$505,U30)&amp;"","")</f>
        <v/>
      </c>
      <c r="E30" s="92" t="n"/>
      <c r="F30" s="98" t="n"/>
      <c r="G30" s="91" t="n"/>
      <c r="H30" s="93" t="str">
        <f>IF(Q30=0,"",IF(NOT(ISNUMBER(F30)),"",IF(ISNUMBER(W30),F30*W30,"UNIDADE A CONFERIR")))</f>
        <v/>
      </c>
      <c r="I30" s="91" t="n"/>
      <c r="J30" s="91" t="n"/>
      <c r="K30" s="92" t="n"/>
      <c r="L30" s="91" t="n"/>
      <c r="M30" s="91" t="n"/>
      <c r="N30" s="91" t="n"/>
      <c r="O30" s="91" t="n"/>
      <c r="P30" s="94" t="str">
        <f>IF(Q30=0,"",IF(C30="","Item de resíduo não informado",IF(T30=0,"Item inexistente (referência inválida)",IF(NOT(ISNUMBER(F30)),"Quantidade não informada",IF(F30&lt;=0,"Quantidade não positiva",IF(G30="","Unidade não informada",IF(NOT(ISNUMBER(H30)),"Unidade a conferir",IF(NOT(ISNUMBER(E30)),"Data de recebimento não informada",IF(AND(ISNUMBER(V30),N(V30)&gt;0,E30&lt;N(V30)),"Data anterior à emissão do MTR",IF(AND(J30="Sim",L30="",M30=""),"Conferido sem evidência identificada",IF(J30&lt;&gt;"Sim","Aguardando conferência",IF(INDEX('ITENS_MTR'!$AM$6:$AM$1005,S30)=1,"Conferido (ver diferença no item)","Conferido"))))))))))))</f>
        <v/>
      </c>
      <c r="Q30" s="96">
        <f>IF(COUNTA(C30,E30:G30,I30:O30)&gt;0,1,0)</f>
        <v>0</v>
      </c>
      <c r="R30" s="96" t="str">
        <f>IF(C30="","",TRIM(LEFT(C30,FIND(" |",C30&amp;" |")-1)))</f>
        <v/>
      </c>
      <c r="S30" s="96" t="str">
        <f>IF(R30="","",IFERROR(MATCH(R30,'ITENS_MTR'!$A$6:$A$1005,0),""))</f>
        <v/>
      </c>
      <c r="T30" s="96">
        <f>IF(S30="",0,IF(INDEX('ITENS_MTR'!$R$6:$R$1005,S30)=1,1,0))</f>
        <v>0</v>
      </c>
      <c r="U30" s="96" t="str">
        <f>IF(T30=1,INDEX('ITENS_MTR'!$T$6:$T$1005,S30),"")</f>
        <v/>
      </c>
      <c r="V30" s="97" t="str">
        <f>IF(N(U30)&gt;0,INDEX('MTRs'!$E$6:$E$505,U30),"")</f>
        <v/>
      </c>
      <c r="W30" s="96" t="str">
        <f>IF(G30="","",IFERROR(IF(ISNUMBER(INDEX(cfg_fac,MATCH(G30,cfg_units,0))),IF(INDEX(cfg_fac,MATCH(G30,cfg_units,0))&gt;0,INDEX(cfg_fac,MATCH(G30,cfg_units,0)),""),""),""))</f>
        <v/>
      </c>
      <c r="X30" s="96">
        <f>IF(AND(ISNUMBER(F30),ISNUMBER(H30)),IF(H30&gt;0,1,0),0)</f>
        <v>0</v>
      </c>
      <c r="Y30" s="96">
        <f>IF(Q30=0,0,IF(OR(T30=0,X30=0,NOT(ISNUMBER(E30)),AND(J30="Sim",L30="",M30=""),AND(ISNUMBER(E30),ISNUMBER(V30),N(V30)&gt;0,E30&lt;N(V30))),1,0))</f>
        <v>0</v>
      </c>
      <c r="Z30" s="96">
        <f>IF(AND(Q30=1,T30=1,X30=1,J30="Sim",OR(L30&lt;&gt;"",M30&lt;&gt;"")),1,0)</f>
        <v>0</v>
      </c>
      <c r="AA30" s="96">
        <f>IF(Q30=0,0,IF(AND(OR(r_ini="",AND(ISNUMBER(E30),E30&gt;=r_ini)),OR(r_fim="",AND(ISNUMBER(E30),E30&lt;=r_fim)),OR(r_un="",r_un="(Todas)",IF(N(U30)&gt;0,INDEX('MTRs'!$G$6:$G$505,U30),"")=r_un),OR(r_de="",r_de="(Todos)",D30=r_de)),1,0))</f>
        <v>0</v>
      </c>
      <c r="AB30" s="96" t="str">
        <f>IF(AA30=1,COUNTIF($AA$6:AA30,1),"")</f>
        <v/>
      </c>
    </row>
    <row r="31">
      <c r="A31" s="89" t="inlineStr">
        <is>
          <t>REC-000026</t>
        </is>
      </c>
      <c r="B31" s="94" t="str">
        <f>IF(T31=1,INDEX('ITENS_MTR'!$S$6:$S$1005,S31)&amp;"","")</f>
        <v/>
      </c>
      <c r="C31" s="91" t="n"/>
      <c r="D31" s="94" t="str">
        <f>IF(N(U31)&gt;0,INDEX('MTRs'!$I$6:$I$505,U31)&amp;"","")</f>
        <v/>
      </c>
      <c r="E31" s="92" t="n"/>
      <c r="F31" s="98" t="n"/>
      <c r="G31" s="91" t="n"/>
      <c r="H31" s="93" t="str">
        <f>IF(Q31=0,"",IF(NOT(ISNUMBER(F31)),"",IF(ISNUMBER(W31),F31*W31,"UNIDADE A CONFERIR")))</f>
        <v/>
      </c>
      <c r="I31" s="91" t="n"/>
      <c r="J31" s="91" t="n"/>
      <c r="K31" s="92" t="n"/>
      <c r="L31" s="91" t="n"/>
      <c r="M31" s="91" t="n"/>
      <c r="N31" s="91" t="n"/>
      <c r="O31" s="91" t="n"/>
      <c r="P31" s="94" t="str">
        <f>IF(Q31=0,"",IF(C31="","Item de resíduo não informado",IF(T31=0,"Item inexistente (referência inválida)",IF(NOT(ISNUMBER(F31)),"Quantidade não informada",IF(F31&lt;=0,"Quantidade não positiva",IF(G31="","Unidade não informada",IF(NOT(ISNUMBER(H31)),"Unidade a conferir",IF(NOT(ISNUMBER(E31)),"Data de recebimento não informada",IF(AND(ISNUMBER(V31),N(V31)&gt;0,E31&lt;N(V31)),"Data anterior à emissão do MTR",IF(AND(J31="Sim",L31="",M31=""),"Conferido sem evidência identificada",IF(J31&lt;&gt;"Sim","Aguardando conferência",IF(INDEX('ITENS_MTR'!$AM$6:$AM$1005,S31)=1,"Conferido (ver diferença no item)","Conferido"))))))))))))</f>
        <v/>
      </c>
      <c r="Q31" s="96">
        <f>IF(COUNTA(C31,E31:G31,I31:O31)&gt;0,1,0)</f>
        <v>0</v>
      </c>
      <c r="R31" s="96" t="str">
        <f>IF(C31="","",TRIM(LEFT(C31,FIND(" |",C31&amp;" |")-1)))</f>
        <v/>
      </c>
      <c r="S31" s="96" t="str">
        <f>IF(R31="","",IFERROR(MATCH(R31,'ITENS_MTR'!$A$6:$A$1005,0),""))</f>
        <v/>
      </c>
      <c r="T31" s="96">
        <f>IF(S31="",0,IF(INDEX('ITENS_MTR'!$R$6:$R$1005,S31)=1,1,0))</f>
        <v>0</v>
      </c>
      <c r="U31" s="96" t="str">
        <f>IF(T31=1,INDEX('ITENS_MTR'!$T$6:$T$1005,S31),"")</f>
        <v/>
      </c>
      <c r="V31" s="97" t="str">
        <f>IF(N(U31)&gt;0,INDEX('MTRs'!$E$6:$E$505,U31),"")</f>
        <v/>
      </c>
      <c r="W31" s="96" t="str">
        <f>IF(G31="","",IFERROR(IF(ISNUMBER(INDEX(cfg_fac,MATCH(G31,cfg_units,0))),IF(INDEX(cfg_fac,MATCH(G31,cfg_units,0))&gt;0,INDEX(cfg_fac,MATCH(G31,cfg_units,0)),""),""),""))</f>
        <v/>
      </c>
      <c r="X31" s="96">
        <f>IF(AND(ISNUMBER(F31),ISNUMBER(H31)),IF(H31&gt;0,1,0),0)</f>
        <v>0</v>
      </c>
      <c r="Y31" s="96">
        <f>IF(Q31=0,0,IF(OR(T31=0,X31=0,NOT(ISNUMBER(E31)),AND(J31="Sim",L31="",M31=""),AND(ISNUMBER(E31),ISNUMBER(V31),N(V31)&gt;0,E31&lt;N(V31))),1,0))</f>
        <v>0</v>
      </c>
      <c r="Z31" s="96">
        <f>IF(AND(Q31=1,T31=1,X31=1,J31="Sim",OR(L31&lt;&gt;"",M31&lt;&gt;"")),1,0)</f>
        <v>0</v>
      </c>
      <c r="AA31" s="96">
        <f>IF(Q31=0,0,IF(AND(OR(r_ini="",AND(ISNUMBER(E31),E31&gt;=r_ini)),OR(r_fim="",AND(ISNUMBER(E31),E31&lt;=r_fim)),OR(r_un="",r_un="(Todas)",IF(N(U31)&gt;0,INDEX('MTRs'!$G$6:$G$505,U31),"")=r_un),OR(r_de="",r_de="(Todos)",D31=r_de)),1,0))</f>
        <v>0</v>
      </c>
      <c r="AB31" s="96" t="str">
        <f>IF(AA31=1,COUNTIF($AA$6:AA31,1),"")</f>
        <v/>
      </c>
    </row>
    <row r="32">
      <c r="A32" s="89" t="inlineStr">
        <is>
          <t>REC-000027</t>
        </is>
      </c>
      <c r="B32" s="94" t="str">
        <f>IF(T32=1,INDEX('ITENS_MTR'!$S$6:$S$1005,S32)&amp;"","")</f>
        <v/>
      </c>
      <c r="C32" s="91" t="n"/>
      <c r="D32" s="94" t="str">
        <f>IF(N(U32)&gt;0,INDEX('MTRs'!$I$6:$I$505,U32)&amp;"","")</f>
        <v/>
      </c>
      <c r="E32" s="92" t="n"/>
      <c r="F32" s="98" t="n"/>
      <c r="G32" s="91" t="n"/>
      <c r="H32" s="93" t="str">
        <f>IF(Q32=0,"",IF(NOT(ISNUMBER(F32)),"",IF(ISNUMBER(W32),F32*W32,"UNIDADE A CONFERIR")))</f>
        <v/>
      </c>
      <c r="I32" s="91" t="n"/>
      <c r="J32" s="91" t="n"/>
      <c r="K32" s="92" t="n"/>
      <c r="L32" s="91" t="n"/>
      <c r="M32" s="91" t="n"/>
      <c r="N32" s="91" t="n"/>
      <c r="O32" s="91" t="n"/>
      <c r="P32" s="94" t="str">
        <f>IF(Q32=0,"",IF(C32="","Item de resíduo não informado",IF(T32=0,"Item inexistente (referência inválida)",IF(NOT(ISNUMBER(F32)),"Quantidade não informada",IF(F32&lt;=0,"Quantidade não positiva",IF(G32="","Unidade não informada",IF(NOT(ISNUMBER(H32)),"Unidade a conferir",IF(NOT(ISNUMBER(E32)),"Data de recebimento não informada",IF(AND(ISNUMBER(V32),N(V32)&gt;0,E32&lt;N(V32)),"Data anterior à emissão do MTR",IF(AND(J32="Sim",L32="",M32=""),"Conferido sem evidência identificada",IF(J32&lt;&gt;"Sim","Aguardando conferência",IF(INDEX('ITENS_MTR'!$AM$6:$AM$1005,S32)=1,"Conferido (ver diferença no item)","Conferido"))))))))))))</f>
        <v/>
      </c>
      <c r="Q32" s="96">
        <f>IF(COUNTA(C32,E32:G32,I32:O32)&gt;0,1,0)</f>
        <v>0</v>
      </c>
      <c r="R32" s="96" t="str">
        <f>IF(C32="","",TRIM(LEFT(C32,FIND(" |",C32&amp;" |")-1)))</f>
        <v/>
      </c>
      <c r="S32" s="96" t="str">
        <f>IF(R32="","",IFERROR(MATCH(R32,'ITENS_MTR'!$A$6:$A$1005,0),""))</f>
        <v/>
      </c>
      <c r="T32" s="96">
        <f>IF(S32="",0,IF(INDEX('ITENS_MTR'!$R$6:$R$1005,S32)=1,1,0))</f>
        <v>0</v>
      </c>
      <c r="U32" s="96" t="str">
        <f>IF(T32=1,INDEX('ITENS_MTR'!$T$6:$T$1005,S32),"")</f>
        <v/>
      </c>
      <c r="V32" s="97" t="str">
        <f>IF(N(U32)&gt;0,INDEX('MTRs'!$E$6:$E$505,U32),"")</f>
        <v/>
      </c>
      <c r="W32" s="96" t="str">
        <f>IF(G32="","",IFERROR(IF(ISNUMBER(INDEX(cfg_fac,MATCH(G32,cfg_units,0))),IF(INDEX(cfg_fac,MATCH(G32,cfg_units,0))&gt;0,INDEX(cfg_fac,MATCH(G32,cfg_units,0)),""),""),""))</f>
        <v/>
      </c>
      <c r="X32" s="96">
        <f>IF(AND(ISNUMBER(F32),ISNUMBER(H32)),IF(H32&gt;0,1,0),0)</f>
        <v>0</v>
      </c>
      <c r="Y32" s="96">
        <f>IF(Q32=0,0,IF(OR(T32=0,X32=0,NOT(ISNUMBER(E32)),AND(J32="Sim",L32="",M32=""),AND(ISNUMBER(E32),ISNUMBER(V32),N(V32)&gt;0,E32&lt;N(V32))),1,0))</f>
        <v>0</v>
      </c>
      <c r="Z32" s="96">
        <f>IF(AND(Q32=1,T32=1,X32=1,J32="Sim",OR(L32&lt;&gt;"",M32&lt;&gt;"")),1,0)</f>
        <v>0</v>
      </c>
      <c r="AA32" s="96">
        <f>IF(Q32=0,0,IF(AND(OR(r_ini="",AND(ISNUMBER(E32),E32&gt;=r_ini)),OR(r_fim="",AND(ISNUMBER(E32),E32&lt;=r_fim)),OR(r_un="",r_un="(Todas)",IF(N(U32)&gt;0,INDEX('MTRs'!$G$6:$G$505,U32),"")=r_un),OR(r_de="",r_de="(Todos)",D32=r_de)),1,0))</f>
        <v>0</v>
      </c>
      <c r="AB32" s="96" t="str">
        <f>IF(AA32=1,COUNTIF($AA$6:AA32,1),"")</f>
        <v/>
      </c>
    </row>
    <row r="33">
      <c r="A33" s="89" t="inlineStr">
        <is>
          <t>REC-000028</t>
        </is>
      </c>
      <c r="B33" s="94" t="str">
        <f>IF(T33=1,INDEX('ITENS_MTR'!$S$6:$S$1005,S33)&amp;"","")</f>
        <v/>
      </c>
      <c r="C33" s="91" t="n"/>
      <c r="D33" s="94" t="str">
        <f>IF(N(U33)&gt;0,INDEX('MTRs'!$I$6:$I$505,U33)&amp;"","")</f>
        <v/>
      </c>
      <c r="E33" s="92" t="n"/>
      <c r="F33" s="98" t="n"/>
      <c r="G33" s="91" t="n"/>
      <c r="H33" s="93" t="str">
        <f>IF(Q33=0,"",IF(NOT(ISNUMBER(F33)),"",IF(ISNUMBER(W33),F33*W33,"UNIDADE A CONFERIR")))</f>
        <v/>
      </c>
      <c r="I33" s="91" t="n"/>
      <c r="J33" s="91" t="n"/>
      <c r="K33" s="92" t="n"/>
      <c r="L33" s="91" t="n"/>
      <c r="M33" s="91" t="n"/>
      <c r="N33" s="91" t="n"/>
      <c r="O33" s="91" t="n"/>
      <c r="P33" s="94" t="str">
        <f>IF(Q33=0,"",IF(C33="","Item de resíduo não informado",IF(T33=0,"Item inexistente (referência inválida)",IF(NOT(ISNUMBER(F33)),"Quantidade não informada",IF(F33&lt;=0,"Quantidade não positiva",IF(G33="","Unidade não informada",IF(NOT(ISNUMBER(H33)),"Unidade a conferir",IF(NOT(ISNUMBER(E33)),"Data de recebimento não informada",IF(AND(ISNUMBER(V33),N(V33)&gt;0,E33&lt;N(V33)),"Data anterior à emissão do MTR",IF(AND(J33="Sim",L33="",M33=""),"Conferido sem evidência identificada",IF(J33&lt;&gt;"Sim","Aguardando conferência",IF(INDEX('ITENS_MTR'!$AM$6:$AM$1005,S33)=1,"Conferido (ver diferença no item)","Conferido"))))))))))))</f>
        <v/>
      </c>
      <c r="Q33" s="96">
        <f>IF(COUNTA(C33,E33:G33,I33:O33)&gt;0,1,0)</f>
        <v>0</v>
      </c>
      <c r="R33" s="96" t="str">
        <f>IF(C33="","",TRIM(LEFT(C33,FIND(" |",C33&amp;" |")-1)))</f>
        <v/>
      </c>
      <c r="S33" s="96" t="str">
        <f>IF(R33="","",IFERROR(MATCH(R33,'ITENS_MTR'!$A$6:$A$1005,0),""))</f>
        <v/>
      </c>
      <c r="T33" s="96">
        <f>IF(S33="",0,IF(INDEX('ITENS_MTR'!$R$6:$R$1005,S33)=1,1,0))</f>
        <v>0</v>
      </c>
      <c r="U33" s="96" t="str">
        <f>IF(T33=1,INDEX('ITENS_MTR'!$T$6:$T$1005,S33),"")</f>
        <v/>
      </c>
      <c r="V33" s="97" t="str">
        <f>IF(N(U33)&gt;0,INDEX('MTRs'!$E$6:$E$505,U33),"")</f>
        <v/>
      </c>
      <c r="W33" s="96" t="str">
        <f>IF(G33="","",IFERROR(IF(ISNUMBER(INDEX(cfg_fac,MATCH(G33,cfg_units,0))),IF(INDEX(cfg_fac,MATCH(G33,cfg_units,0))&gt;0,INDEX(cfg_fac,MATCH(G33,cfg_units,0)),""),""),""))</f>
        <v/>
      </c>
      <c r="X33" s="96">
        <f>IF(AND(ISNUMBER(F33),ISNUMBER(H33)),IF(H33&gt;0,1,0),0)</f>
        <v>0</v>
      </c>
      <c r="Y33" s="96">
        <f>IF(Q33=0,0,IF(OR(T33=0,X33=0,NOT(ISNUMBER(E33)),AND(J33="Sim",L33="",M33=""),AND(ISNUMBER(E33),ISNUMBER(V33),N(V33)&gt;0,E33&lt;N(V33))),1,0))</f>
        <v>0</v>
      </c>
      <c r="Z33" s="96">
        <f>IF(AND(Q33=1,T33=1,X33=1,J33="Sim",OR(L33&lt;&gt;"",M33&lt;&gt;"")),1,0)</f>
        <v>0</v>
      </c>
      <c r="AA33" s="96">
        <f>IF(Q33=0,0,IF(AND(OR(r_ini="",AND(ISNUMBER(E33),E33&gt;=r_ini)),OR(r_fim="",AND(ISNUMBER(E33),E33&lt;=r_fim)),OR(r_un="",r_un="(Todas)",IF(N(U33)&gt;0,INDEX('MTRs'!$G$6:$G$505,U33),"")=r_un),OR(r_de="",r_de="(Todos)",D33=r_de)),1,0))</f>
        <v>0</v>
      </c>
      <c r="AB33" s="96" t="str">
        <f>IF(AA33=1,COUNTIF($AA$6:AA33,1),"")</f>
        <v/>
      </c>
    </row>
    <row r="34">
      <c r="A34" s="89" t="inlineStr">
        <is>
          <t>REC-000029</t>
        </is>
      </c>
      <c r="B34" s="94" t="str">
        <f>IF(T34=1,INDEX('ITENS_MTR'!$S$6:$S$1005,S34)&amp;"","")</f>
        <v/>
      </c>
      <c r="C34" s="91" t="n"/>
      <c r="D34" s="94" t="str">
        <f>IF(N(U34)&gt;0,INDEX('MTRs'!$I$6:$I$505,U34)&amp;"","")</f>
        <v/>
      </c>
      <c r="E34" s="92" t="n"/>
      <c r="F34" s="98" t="n"/>
      <c r="G34" s="91" t="n"/>
      <c r="H34" s="93" t="str">
        <f>IF(Q34=0,"",IF(NOT(ISNUMBER(F34)),"",IF(ISNUMBER(W34),F34*W34,"UNIDADE A CONFERIR")))</f>
        <v/>
      </c>
      <c r="I34" s="91" t="n"/>
      <c r="J34" s="91" t="n"/>
      <c r="K34" s="92" t="n"/>
      <c r="L34" s="91" t="n"/>
      <c r="M34" s="91" t="n"/>
      <c r="N34" s="91" t="n"/>
      <c r="O34" s="91" t="n"/>
      <c r="P34" s="94" t="str">
        <f>IF(Q34=0,"",IF(C34="","Item de resíduo não informado",IF(T34=0,"Item inexistente (referência inválida)",IF(NOT(ISNUMBER(F34)),"Quantidade não informada",IF(F34&lt;=0,"Quantidade não positiva",IF(G34="","Unidade não informada",IF(NOT(ISNUMBER(H34)),"Unidade a conferir",IF(NOT(ISNUMBER(E34)),"Data de recebimento não informada",IF(AND(ISNUMBER(V34),N(V34)&gt;0,E34&lt;N(V34)),"Data anterior à emissão do MTR",IF(AND(J34="Sim",L34="",M34=""),"Conferido sem evidência identificada",IF(J34&lt;&gt;"Sim","Aguardando conferência",IF(INDEX('ITENS_MTR'!$AM$6:$AM$1005,S34)=1,"Conferido (ver diferença no item)","Conferido"))))))))))))</f>
        <v/>
      </c>
      <c r="Q34" s="96">
        <f>IF(COUNTA(C34,E34:G34,I34:O34)&gt;0,1,0)</f>
        <v>0</v>
      </c>
      <c r="R34" s="96" t="str">
        <f>IF(C34="","",TRIM(LEFT(C34,FIND(" |",C34&amp;" |")-1)))</f>
        <v/>
      </c>
      <c r="S34" s="96" t="str">
        <f>IF(R34="","",IFERROR(MATCH(R34,'ITENS_MTR'!$A$6:$A$1005,0),""))</f>
        <v/>
      </c>
      <c r="T34" s="96">
        <f>IF(S34="",0,IF(INDEX('ITENS_MTR'!$R$6:$R$1005,S34)=1,1,0))</f>
        <v>0</v>
      </c>
      <c r="U34" s="96" t="str">
        <f>IF(T34=1,INDEX('ITENS_MTR'!$T$6:$T$1005,S34),"")</f>
        <v/>
      </c>
      <c r="V34" s="97" t="str">
        <f>IF(N(U34)&gt;0,INDEX('MTRs'!$E$6:$E$505,U34),"")</f>
        <v/>
      </c>
      <c r="W34" s="96" t="str">
        <f>IF(G34="","",IFERROR(IF(ISNUMBER(INDEX(cfg_fac,MATCH(G34,cfg_units,0))),IF(INDEX(cfg_fac,MATCH(G34,cfg_units,0))&gt;0,INDEX(cfg_fac,MATCH(G34,cfg_units,0)),""),""),""))</f>
        <v/>
      </c>
      <c r="X34" s="96">
        <f>IF(AND(ISNUMBER(F34),ISNUMBER(H34)),IF(H34&gt;0,1,0),0)</f>
        <v>0</v>
      </c>
      <c r="Y34" s="96">
        <f>IF(Q34=0,0,IF(OR(T34=0,X34=0,NOT(ISNUMBER(E34)),AND(J34="Sim",L34="",M34=""),AND(ISNUMBER(E34),ISNUMBER(V34),N(V34)&gt;0,E34&lt;N(V34))),1,0))</f>
        <v>0</v>
      </c>
      <c r="Z34" s="96">
        <f>IF(AND(Q34=1,T34=1,X34=1,J34="Sim",OR(L34&lt;&gt;"",M34&lt;&gt;"")),1,0)</f>
        <v>0</v>
      </c>
      <c r="AA34" s="96">
        <f>IF(Q34=0,0,IF(AND(OR(r_ini="",AND(ISNUMBER(E34),E34&gt;=r_ini)),OR(r_fim="",AND(ISNUMBER(E34),E34&lt;=r_fim)),OR(r_un="",r_un="(Todas)",IF(N(U34)&gt;0,INDEX('MTRs'!$G$6:$G$505,U34),"")=r_un),OR(r_de="",r_de="(Todos)",D34=r_de)),1,0))</f>
        <v>0</v>
      </c>
      <c r="AB34" s="96" t="str">
        <f>IF(AA34=1,COUNTIF($AA$6:AA34,1),"")</f>
        <v/>
      </c>
    </row>
    <row r="35">
      <c r="A35" s="89" t="inlineStr">
        <is>
          <t>REC-000030</t>
        </is>
      </c>
      <c r="B35" s="94" t="str">
        <f>IF(T35=1,INDEX('ITENS_MTR'!$S$6:$S$1005,S35)&amp;"","")</f>
        <v/>
      </c>
      <c r="C35" s="91" t="n"/>
      <c r="D35" s="94" t="str">
        <f>IF(N(U35)&gt;0,INDEX('MTRs'!$I$6:$I$505,U35)&amp;"","")</f>
        <v/>
      </c>
      <c r="E35" s="92" t="n"/>
      <c r="F35" s="98" t="n"/>
      <c r="G35" s="91" t="n"/>
      <c r="H35" s="93" t="str">
        <f>IF(Q35=0,"",IF(NOT(ISNUMBER(F35)),"",IF(ISNUMBER(W35),F35*W35,"UNIDADE A CONFERIR")))</f>
        <v/>
      </c>
      <c r="I35" s="91" t="n"/>
      <c r="J35" s="91" t="n"/>
      <c r="K35" s="92" t="n"/>
      <c r="L35" s="91" t="n"/>
      <c r="M35" s="91" t="n"/>
      <c r="N35" s="91" t="n"/>
      <c r="O35" s="91" t="n"/>
      <c r="P35" s="94" t="str">
        <f>IF(Q35=0,"",IF(C35="","Item de resíduo não informado",IF(T35=0,"Item inexistente (referência inválida)",IF(NOT(ISNUMBER(F35)),"Quantidade não informada",IF(F35&lt;=0,"Quantidade não positiva",IF(G35="","Unidade não informada",IF(NOT(ISNUMBER(H35)),"Unidade a conferir",IF(NOT(ISNUMBER(E35)),"Data de recebimento não informada",IF(AND(ISNUMBER(V35),N(V35)&gt;0,E35&lt;N(V35)),"Data anterior à emissão do MTR",IF(AND(J35="Sim",L35="",M35=""),"Conferido sem evidência identificada",IF(J35&lt;&gt;"Sim","Aguardando conferência",IF(INDEX('ITENS_MTR'!$AM$6:$AM$1005,S35)=1,"Conferido (ver diferença no item)","Conferido"))))))))))))</f>
        <v/>
      </c>
      <c r="Q35" s="96">
        <f>IF(COUNTA(C35,E35:G35,I35:O35)&gt;0,1,0)</f>
        <v>0</v>
      </c>
      <c r="R35" s="96" t="str">
        <f>IF(C35="","",TRIM(LEFT(C35,FIND(" |",C35&amp;" |")-1)))</f>
        <v/>
      </c>
      <c r="S35" s="96" t="str">
        <f>IF(R35="","",IFERROR(MATCH(R35,'ITENS_MTR'!$A$6:$A$1005,0),""))</f>
        <v/>
      </c>
      <c r="T35" s="96">
        <f>IF(S35="",0,IF(INDEX('ITENS_MTR'!$R$6:$R$1005,S35)=1,1,0))</f>
        <v>0</v>
      </c>
      <c r="U35" s="96" t="str">
        <f>IF(T35=1,INDEX('ITENS_MTR'!$T$6:$T$1005,S35),"")</f>
        <v/>
      </c>
      <c r="V35" s="97" t="str">
        <f>IF(N(U35)&gt;0,INDEX('MTRs'!$E$6:$E$505,U35),"")</f>
        <v/>
      </c>
      <c r="W35" s="96" t="str">
        <f>IF(G35="","",IFERROR(IF(ISNUMBER(INDEX(cfg_fac,MATCH(G35,cfg_units,0))),IF(INDEX(cfg_fac,MATCH(G35,cfg_units,0))&gt;0,INDEX(cfg_fac,MATCH(G35,cfg_units,0)),""),""),""))</f>
        <v/>
      </c>
      <c r="X35" s="96">
        <f>IF(AND(ISNUMBER(F35),ISNUMBER(H35)),IF(H35&gt;0,1,0),0)</f>
        <v>0</v>
      </c>
      <c r="Y35" s="96">
        <f>IF(Q35=0,0,IF(OR(T35=0,X35=0,NOT(ISNUMBER(E35)),AND(J35="Sim",L35="",M35=""),AND(ISNUMBER(E35),ISNUMBER(V35),N(V35)&gt;0,E35&lt;N(V35))),1,0))</f>
        <v>0</v>
      </c>
      <c r="Z35" s="96">
        <f>IF(AND(Q35=1,T35=1,X35=1,J35="Sim",OR(L35&lt;&gt;"",M35&lt;&gt;"")),1,0)</f>
        <v>0</v>
      </c>
      <c r="AA35" s="96">
        <f>IF(Q35=0,0,IF(AND(OR(r_ini="",AND(ISNUMBER(E35),E35&gt;=r_ini)),OR(r_fim="",AND(ISNUMBER(E35),E35&lt;=r_fim)),OR(r_un="",r_un="(Todas)",IF(N(U35)&gt;0,INDEX('MTRs'!$G$6:$G$505,U35),"")=r_un),OR(r_de="",r_de="(Todos)",D35=r_de)),1,0))</f>
        <v>0</v>
      </c>
      <c r="AB35" s="96" t="str">
        <f>IF(AA35=1,COUNTIF($AA$6:AA35,1),"")</f>
        <v/>
      </c>
    </row>
    <row r="36">
      <c r="A36" s="89" t="inlineStr">
        <is>
          <t>REC-000031</t>
        </is>
      </c>
      <c r="B36" s="94" t="str">
        <f>IF(T36=1,INDEX('ITENS_MTR'!$S$6:$S$1005,S36)&amp;"","")</f>
        <v/>
      </c>
      <c r="C36" s="91" t="n"/>
      <c r="D36" s="94" t="str">
        <f>IF(N(U36)&gt;0,INDEX('MTRs'!$I$6:$I$505,U36)&amp;"","")</f>
        <v/>
      </c>
      <c r="E36" s="92" t="n"/>
      <c r="F36" s="98" t="n"/>
      <c r="G36" s="91" t="n"/>
      <c r="H36" s="93" t="str">
        <f>IF(Q36=0,"",IF(NOT(ISNUMBER(F36)),"",IF(ISNUMBER(W36),F36*W36,"UNIDADE A CONFERIR")))</f>
        <v/>
      </c>
      <c r="I36" s="91" t="n"/>
      <c r="J36" s="91" t="n"/>
      <c r="K36" s="92" t="n"/>
      <c r="L36" s="91" t="n"/>
      <c r="M36" s="91" t="n"/>
      <c r="N36" s="91" t="n"/>
      <c r="O36" s="91" t="n"/>
      <c r="P36" s="94" t="str">
        <f>IF(Q36=0,"",IF(C36="","Item de resíduo não informado",IF(T36=0,"Item inexistente (referência inválida)",IF(NOT(ISNUMBER(F36)),"Quantidade não informada",IF(F36&lt;=0,"Quantidade não positiva",IF(G36="","Unidade não informada",IF(NOT(ISNUMBER(H36)),"Unidade a conferir",IF(NOT(ISNUMBER(E36)),"Data de recebimento não informada",IF(AND(ISNUMBER(V36),N(V36)&gt;0,E36&lt;N(V36)),"Data anterior à emissão do MTR",IF(AND(J36="Sim",L36="",M36=""),"Conferido sem evidência identificada",IF(J36&lt;&gt;"Sim","Aguardando conferência",IF(INDEX('ITENS_MTR'!$AM$6:$AM$1005,S36)=1,"Conferido (ver diferença no item)","Conferido"))))))))))))</f>
        <v/>
      </c>
      <c r="Q36" s="96">
        <f>IF(COUNTA(C36,E36:G36,I36:O36)&gt;0,1,0)</f>
        <v>0</v>
      </c>
      <c r="R36" s="96" t="str">
        <f>IF(C36="","",TRIM(LEFT(C36,FIND(" |",C36&amp;" |")-1)))</f>
        <v/>
      </c>
      <c r="S36" s="96" t="str">
        <f>IF(R36="","",IFERROR(MATCH(R36,'ITENS_MTR'!$A$6:$A$1005,0),""))</f>
        <v/>
      </c>
      <c r="T36" s="96">
        <f>IF(S36="",0,IF(INDEX('ITENS_MTR'!$R$6:$R$1005,S36)=1,1,0))</f>
        <v>0</v>
      </c>
      <c r="U36" s="96" t="str">
        <f>IF(T36=1,INDEX('ITENS_MTR'!$T$6:$T$1005,S36),"")</f>
        <v/>
      </c>
      <c r="V36" s="97" t="str">
        <f>IF(N(U36)&gt;0,INDEX('MTRs'!$E$6:$E$505,U36),"")</f>
        <v/>
      </c>
      <c r="W36" s="96" t="str">
        <f>IF(G36="","",IFERROR(IF(ISNUMBER(INDEX(cfg_fac,MATCH(G36,cfg_units,0))),IF(INDEX(cfg_fac,MATCH(G36,cfg_units,0))&gt;0,INDEX(cfg_fac,MATCH(G36,cfg_units,0)),""),""),""))</f>
        <v/>
      </c>
      <c r="X36" s="96">
        <f>IF(AND(ISNUMBER(F36),ISNUMBER(H36)),IF(H36&gt;0,1,0),0)</f>
        <v>0</v>
      </c>
      <c r="Y36" s="96">
        <f>IF(Q36=0,0,IF(OR(T36=0,X36=0,NOT(ISNUMBER(E36)),AND(J36="Sim",L36="",M36=""),AND(ISNUMBER(E36),ISNUMBER(V36),N(V36)&gt;0,E36&lt;N(V36))),1,0))</f>
        <v>0</v>
      </c>
      <c r="Z36" s="96">
        <f>IF(AND(Q36=1,T36=1,X36=1,J36="Sim",OR(L36&lt;&gt;"",M36&lt;&gt;"")),1,0)</f>
        <v>0</v>
      </c>
      <c r="AA36" s="96">
        <f>IF(Q36=0,0,IF(AND(OR(r_ini="",AND(ISNUMBER(E36),E36&gt;=r_ini)),OR(r_fim="",AND(ISNUMBER(E36),E36&lt;=r_fim)),OR(r_un="",r_un="(Todas)",IF(N(U36)&gt;0,INDEX('MTRs'!$G$6:$G$505,U36),"")=r_un),OR(r_de="",r_de="(Todos)",D36=r_de)),1,0))</f>
        <v>0</v>
      </c>
      <c r="AB36" s="96" t="str">
        <f>IF(AA36=1,COUNTIF($AA$6:AA36,1),"")</f>
        <v/>
      </c>
    </row>
    <row r="37">
      <c r="A37" s="89" t="inlineStr">
        <is>
          <t>REC-000032</t>
        </is>
      </c>
      <c r="B37" s="94" t="str">
        <f>IF(T37=1,INDEX('ITENS_MTR'!$S$6:$S$1005,S37)&amp;"","")</f>
        <v/>
      </c>
      <c r="C37" s="91" t="n"/>
      <c r="D37" s="94" t="str">
        <f>IF(N(U37)&gt;0,INDEX('MTRs'!$I$6:$I$505,U37)&amp;"","")</f>
        <v/>
      </c>
      <c r="E37" s="92" t="n"/>
      <c r="F37" s="98" t="n"/>
      <c r="G37" s="91" t="n"/>
      <c r="H37" s="93" t="str">
        <f>IF(Q37=0,"",IF(NOT(ISNUMBER(F37)),"",IF(ISNUMBER(W37),F37*W37,"UNIDADE A CONFERIR")))</f>
        <v/>
      </c>
      <c r="I37" s="91" t="n"/>
      <c r="J37" s="91" t="n"/>
      <c r="K37" s="92" t="n"/>
      <c r="L37" s="91" t="n"/>
      <c r="M37" s="91" t="n"/>
      <c r="N37" s="91" t="n"/>
      <c r="O37" s="91" t="n"/>
      <c r="P37" s="94" t="str">
        <f>IF(Q37=0,"",IF(C37="","Item de resíduo não informado",IF(T37=0,"Item inexistente (referência inválida)",IF(NOT(ISNUMBER(F37)),"Quantidade não informada",IF(F37&lt;=0,"Quantidade não positiva",IF(G37="","Unidade não informada",IF(NOT(ISNUMBER(H37)),"Unidade a conferir",IF(NOT(ISNUMBER(E37)),"Data de recebimento não informada",IF(AND(ISNUMBER(V37),N(V37)&gt;0,E37&lt;N(V37)),"Data anterior à emissão do MTR",IF(AND(J37="Sim",L37="",M37=""),"Conferido sem evidência identificada",IF(J37&lt;&gt;"Sim","Aguardando conferência",IF(INDEX('ITENS_MTR'!$AM$6:$AM$1005,S37)=1,"Conferido (ver diferença no item)","Conferido"))))))))))))</f>
        <v/>
      </c>
      <c r="Q37" s="96">
        <f>IF(COUNTA(C37,E37:G37,I37:O37)&gt;0,1,0)</f>
        <v>0</v>
      </c>
      <c r="R37" s="96" t="str">
        <f>IF(C37="","",TRIM(LEFT(C37,FIND(" |",C37&amp;" |")-1)))</f>
        <v/>
      </c>
      <c r="S37" s="96" t="str">
        <f>IF(R37="","",IFERROR(MATCH(R37,'ITENS_MTR'!$A$6:$A$1005,0),""))</f>
        <v/>
      </c>
      <c r="T37" s="96">
        <f>IF(S37="",0,IF(INDEX('ITENS_MTR'!$R$6:$R$1005,S37)=1,1,0))</f>
        <v>0</v>
      </c>
      <c r="U37" s="96" t="str">
        <f>IF(T37=1,INDEX('ITENS_MTR'!$T$6:$T$1005,S37),"")</f>
        <v/>
      </c>
      <c r="V37" s="97" t="str">
        <f>IF(N(U37)&gt;0,INDEX('MTRs'!$E$6:$E$505,U37),"")</f>
        <v/>
      </c>
      <c r="W37" s="96" t="str">
        <f>IF(G37="","",IFERROR(IF(ISNUMBER(INDEX(cfg_fac,MATCH(G37,cfg_units,0))),IF(INDEX(cfg_fac,MATCH(G37,cfg_units,0))&gt;0,INDEX(cfg_fac,MATCH(G37,cfg_units,0)),""),""),""))</f>
        <v/>
      </c>
      <c r="X37" s="96">
        <f>IF(AND(ISNUMBER(F37),ISNUMBER(H37)),IF(H37&gt;0,1,0),0)</f>
        <v>0</v>
      </c>
      <c r="Y37" s="96">
        <f>IF(Q37=0,0,IF(OR(T37=0,X37=0,NOT(ISNUMBER(E37)),AND(J37="Sim",L37="",M37=""),AND(ISNUMBER(E37),ISNUMBER(V37),N(V37)&gt;0,E37&lt;N(V37))),1,0))</f>
        <v>0</v>
      </c>
      <c r="Z37" s="96">
        <f>IF(AND(Q37=1,T37=1,X37=1,J37="Sim",OR(L37&lt;&gt;"",M37&lt;&gt;"")),1,0)</f>
        <v>0</v>
      </c>
      <c r="AA37" s="96">
        <f>IF(Q37=0,0,IF(AND(OR(r_ini="",AND(ISNUMBER(E37),E37&gt;=r_ini)),OR(r_fim="",AND(ISNUMBER(E37),E37&lt;=r_fim)),OR(r_un="",r_un="(Todas)",IF(N(U37)&gt;0,INDEX('MTRs'!$G$6:$G$505,U37),"")=r_un),OR(r_de="",r_de="(Todos)",D37=r_de)),1,0))</f>
        <v>0</v>
      </c>
      <c r="AB37" s="96" t="str">
        <f>IF(AA37=1,COUNTIF($AA$6:AA37,1),"")</f>
        <v/>
      </c>
    </row>
    <row r="38">
      <c r="A38" s="89" t="inlineStr">
        <is>
          <t>REC-000033</t>
        </is>
      </c>
      <c r="B38" s="94" t="str">
        <f>IF(T38=1,INDEX('ITENS_MTR'!$S$6:$S$1005,S38)&amp;"","")</f>
        <v/>
      </c>
      <c r="C38" s="91" t="n"/>
      <c r="D38" s="94" t="str">
        <f>IF(N(U38)&gt;0,INDEX('MTRs'!$I$6:$I$505,U38)&amp;"","")</f>
        <v/>
      </c>
      <c r="E38" s="92" t="n"/>
      <c r="F38" s="98" t="n"/>
      <c r="G38" s="91" t="n"/>
      <c r="H38" s="93" t="str">
        <f>IF(Q38=0,"",IF(NOT(ISNUMBER(F38)),"",IF(ISNUMBER(W38),F38*W38,"UNIDADE A CONFERIR")))</f>
        <v/>
      </c>
      <c r="I38" s="91" t="n"/>
      <c r="J38" s="91" t="n"/>
      <c r="K38" s="92" t="n"/>
      <c r="L38" s="91" t="n"/>
      <c r="M38" s="91" t="n"/>
      <c r="N38" s="91" t="n"/>
      <c r="O38" s="91" t="n"/>
      <c r="P38" s="94" t="str">
        <f>IF(Q38=0,"",IF(C38="","Item de resíduo não informado",IF(T38=0,"Item inexistente (referência inválida)",IF(NOT(ISNUMBER(F38)),"Quantidade não informada",IF(F38&lt;=0,"Quantidade não positiva",IF(G38="","Unidade não informada",IF(NOT(ISNUMBER(H38)),"Unidade a conferir",IF(NOT(ISNUMBER(E38)),"Data de recebimento não informada",IF(AND(ISNUMBER(V38),N(V38)&gt;0,E38&lt;N(V38)),"Data anterior à emissão do MTR",IF(AND(J38="Sim",L38="",M38=""),"Conferido sem evidência identificada",IF(J38&lt;&gt;"Sim","Aguardando conferência",IF(INDEX('ITENS_MTR'!$AM$6:$AM$1005,S38)=1,"Conferido (ver diferença no item)","Conferido"))))))))))))</f>
        <v/>
      </c>
      <c r="Q38" s="96">
        <f>IF(COUNTA(C38,E38:G38,I38:O38)&gt;0,1,0)</f>
        <v>0</v>
      </c>
      <c r="R38" s="96" t="str">
        <f>IF(C38="","",TRIM(LEFT(C38,FIND(" |",C38&amp;" |")-1)))</f>
        <v/>
      </c>
      <c r="S38" s="96" t="str">
        <f>IF(R38="","",IFERROR(MATCH(R38,'ITENS_MTR'!$A$6:$A$1005,0),""))</f>
        <v/>
      </c>
      <c r="T38" s="96">
        <f>IF(S38="",0,IF(INDEX('ITENS_MTR'!$R$6:$R$1005,S38)=1,1,0))</f>
        <v>0</v>
      </c>
      <c r="U38" s="96" t="str">
        <f>IF(T38=1,INDEX('ITENS_MTR'!$T$6:$T$1005,S38),"")</f>
        <v/>
      </c>
      <c r="V38" s="97" t="str">
        <f>IF(N(U38)&gt;0,INDEX('MTRs'!$E$6:$E$505,U38),"")</f>
        <v/>
      </c>
      <c r="W38" s="96" t="str">
        <f>IF(G38="","",IFERROR(IF(ISNUMBER(INDEX(cfg_fac,MATCH(G38,cfg_units,0))),IF(INDEX(cfg_fac,MATCH(G38,cfg_units,0))&gt;0,INDEX(cfg_fac,MATCH(G38,cfg_units,0)),""),""),""))</f>
        <v/>
      </c>
      <c r="X38" s="96">
        <f>IF(AND(ISNUMBER(F38),ISNUMBER(H38)),IF(H38&gt;0,1,0),0)</f>
        <v>0</v>
      </c>
      <c r="Y38" s="96">
        <f>IF(Q38=0,0,IF(OR(T38=0,X38=0,NOT(ISNUMBER(E38)),AND(J38="Sim",L38="",M38=""),AND(ISNUMBER(E38),ISNUMBER(V38),N(V38)&gt;0,E38&lt;N(V38))),1,0))</f>
        <v>0</v>
      </c>
      <c r="Z38" s="96">
        <f>IF(AND(Q38=1,T38=1,X38=1,J38="Sim",OR(L38&lt;&gt;"",M38&lt;&gt;"")),1,0)</f>
        <v>0</v>
      </c>
      <c r="AA38" s="96">
        <f>IF(Q38=0,0,IF(AND(OR(r_ini="",AND(ISNUMBER(E38),E38&gt;=r_ini)),OR(r_fim="",AND(ISNUMBER(E38),E38&lt;=r_fim)),OR(r_un="",r_un="(Todas)",IF(N(U38)&gt;0,INDEX('MTRs'!$G$6:$G$505,U38),"")=r_un),OR(r_de="",r_de="(Todos)",D38=r_de)),1,0))</f>
        <v>0</v>
      </c>
      <c r="AB38" s="96" t="str">
        <f>IF(AA38=1,COUNTIF($AA$6:AA38,1),"")</f>
        <v/>
      </c>
    </row>
    <row r="39">
      <c r="A39" s="89" t="inlineStr">
        <is>
          <t>REC-000034</t>
        </is>
      </c>
      <c r="B39" s="94" t="str">
        <f>IF(T39=1,INDEX('ITENS_MTR'!$S$6:$S$1005,S39)&amp;"","")</f>
        <v/>
      </c>
      <c r="C39" s="91" t="n"/>
      <c r="D39" s="94" t="str">
        <f>IF(N(U39)&gt;0,INDEX('MTRs'!$I$6:$I$505,U39)&amp;"","")</f>
        <v/>
      </c>
      <c r="E39" s="92" t="n"/>
      <c r="F39" s="98" t="n"/>
      <c r="G39" s="91" t="n"/>
      <c r="H39" s="93" t="str">
        <f>IF(Q39=0,"",IF(NOT(ISNUMBER(F39)),"",IF(ISNUMBER(W39),F39*W39,"UNIDADE A CONFERIR")))</f>
        <v/>
      </c>
      <c r="I39" s="91" t="n"/>
      <c r="J39" s="91" t="n"/>
      <c r="K39" s="92" t="n"/>
      <c r="L39" s="91" t="n"/>
      <c r="M39" s="91" t="n"/>
      <c r="N39" s="91" t="n"/>
      <c r="O39" s="91" t="n"/>
      <c r="P39" s="94" t="str">
        <f>IF(Q39=0,"",IF(C39="","Item de resíduo não informado",IF(T39=0,"Item inexistente (referência inválida)",IF(NOT(ISNUMBER(F39)),"Quantidade não informada",IF(F39&lt;=0,"Quantidade não positiva",IF(G39="","Unidade não informada",IF(NOT(ISNUMBER(H39)),"Unidade a conferir",IF(NOT(ISNUMBER(E39)),"Data de recebimento não informada",IF(AND(ISNUMBER(V39),N(V39)&gt;0,E39&lt;N(V39)),"Data anterior à emissão do MTR",IF(AND(J39="Sim",L39="",M39=""),"Conferido sem evidência identificada",IF(J39&lt;&gt;"Sim","Aguardando conferência",IF(INDEX('ITENS_MTR'!$AM$6:$AM$1005,S39)=1,"Conferido (ver diferença no item)","Conferido"))))))))))))</f>
        <v/>
      </c>
      <c r="Q39" s="96">
        <f>IF(COUNTA(C39,E39:G39,I39:O39)&gt;0,1,0)</f>
        <v>0</v>
      </c>
      <c r="R39" s="96" t="str">
        <f>IF(C39="","",TRIM(LEFT(C39,FIND(" |",C39&amp;" |")-1)))</f>
        <v/>
      </c>
      <c r="S39" s="96" t="str">
        <f>IF(R39="","",IFERROR(MATCH(R39,'ITENS_MTR'!$A$6:$A$1005,0),""))</f>
        <v/>
      </c>
      <c r="T39" s="96">
        <f>IF(S39="",0,IF(INDEX('ITENS_MTR'!$R$6:$R$1005,S39)=1,1,0))</f>
        <v>0</v>
      </c>
      <c r="U39" s="96" t="str">
        <f>IF(T39=1,INDEX('ITENS_MTR'!$T$6:$T$1005,S39),"")</f>
        <v/>
      </c>
      <c r="V39" s="97" t="str">
        <f>IF(N(U39)&gt;0,INDEX('MTRs'!$E$6:$E$505,U39),"")</f>
        <v/>
      </c>
      <c r="W39" s="96" t="str">
        <f>IF(G39="","",IFERROR(IF(ISNUMBER(INDEX(cfg_fac,MATCH(G39,cfg_units,0))),IF(INDEX(cfg_fac,MATCH(G39,cfg_units,0))&gt;0,INDEX(cfg_fac,MATCH(G39,cfg_units,0)),""),""),""))</f>
        <v/>
      </c>
      <c r="X39" s="96">
        <f>IF(AND(ISNUMBER(F39),ISNUMBER(H39)),IF(H39&gt;0,1,0),0)</f>
        <v>0</v>
      </c>
      <c r="Y39" s="96">
        <f>IF(Q39=0,0,IF(OR(T39=0,X39=0,NOT(ISNUMBER(E39)),AND(J39="Sim",L39="",M39=""),AND(ISNUMBER(E39),ISNUMBER(V39),N(V39)&gt;0,E39&lt;N(V39))),1,0))</f>
        <v>0</v>
      </c>
      <c r="Z39" s="96">
        <f>IF(AND(Q39=1,T39=1,X39=1,J39="Sim",OR(L39&lt;&gt;"",M39&lt;&gt;"")),1,0)</f>
        <v>0</v>
      </c>
      <c r="AA39" s="96">
        <f>IF(Q39=0,0,IF(AND(OR(r_ini="",AND(ISNUMBER(E39),E39&gt;=r_ini)),OR(r_fim="",AND(ISNUMBER(E39),E39&lt;=r_fim)),OR(r_un="",r_un="(Todas)",IF(N(U39)&gt;0,INDEX('MTRs'!$G$6:$G$505,U39),"")=r_un),OR(r_de="",r_de="(Todos)",D39=r_de)),1,0))</f>
        <v>0</v>
      </c>
      <c r="AB39" s="96" t="str">
        <f>IF(AA39=1,COUNTIF($AA$6:AA39,1),"")</f>
        <v/>
      </c>
    </row>
    <row r="40">
      <c r="A40" s="89" t="inlineStr">
        <is>
          <t>REC-000035</t>
        </is>
      </c>
      <c r="B40" s="94" t="str">
        <f>IF(T40=1,INDEX('ITENS_MTR'!$S$6:$S$1005,S40)&amp;"","")</f>
        <v/>
      </c>
      <c r="C40" s="91" t="n"/>
      <c r="D40" s="94" t="str">
        <f>IF(N(U40)&gt;0,INDEX('MTRs'!$I$6:$I$505,U40)&amp;"","")</f>
        <v/>
      </c>
      <c r="E40" s="92" t="n"/>
      <c r="F40" s="98" t="n"/>
      <c r="G40" s="91" t="n"/>
      <c r="H40" s="93" t="str">
        <f>IF(Q40=0,"",IF(NOT(ISNUMBER(F40)),"",IF(ISNUMBER(W40),F40*W40,"UNIDADE A CONFERIR")))</f>
        <v/>
      </c>
      <c r="I40" s="91" t="n"/>
      <c r="J40" s="91" t="n"/>
      <c r="K40" s="92" t="n"/>
      <c r="L40" s="91" t="n"/>
      <c r="M40" s="91" t="n"/>
      <c r="N40" s="91" t="n"/>
      <c r="O40" s="91" t="n"/>
      <c r="P40" s="94" t="str">
        <f>IF(Q40=0,"",IF(C40="","Item de resíduo não informado",IF(T40=0,"Item inexistente (referência inválida)",IF(NOT(ISNUMBER(F40)),"Quantidade não informada",IF(F40&lt;=0,"Quantidade não positiva",IF(G40="","Unidade não informada",IF(NOT(ISNUMBER(H40)),"Unidade a conferir",IF(NOT(ISNUMBER(E40)),"Data de recebimento não informada",IF(AND(ISNUMBER(V40),N(V40)&gt;0,E40&lt;N(V40)),"Data anterior à emissão do MTR",IF(AND(J40="Sim",L40="",M40=""),"Conferido sem evidência identificada",IF(J40&lt;&gt;"Sim","Aguardando conferência",IF(INDEX('ITENS_MTR'!$AM$6:$AM$1005,S40)=1,"Conferido (ver diferença no item)","Conferido"))))))))))))</f>
        <v/>
      </c>
      <c r="Q40" s="96">
        <f>IF(COUNTA(C40,E40:G40,I40:O40)&gt;0,1,0)</f>
        <v>0</v>
      </c>
      <c r="R40" s="96" t="str">
        <f>IF(C40="","",TRIM(LEFT(C40,FIND(" |",C40&amp;" |")-1)))</f>
        <v/>
      </c>
      <c r="S40" s="96" t="str">
        <f>IF(R40="","",IFERROR(MATCH(R40,'ITENS_MTR'!$A$6:$A$1005,0),""))</f>
        <v/>
      </c>
      <c r="T40" s="96">
        <f>IF(S40="",0,IF(INDEX('ITENS_MTR'!$R$6:$R$1005,S40)=1,1,0))</f>
        <v>0</v>
      </c>
      <c r="U40" s="96" t="str">
        <f>IF(T40=1,INDEX('ITENS_MTR'!$T$6:$T$1005,S40),"")</f>
        <v/>
      </c>
      <c r="V40" s="97" t="str">
        <f>IF(N(U40)&gt;0,INDEX('MTRs'!$E$6:$E$505,U40),"")</f>
        <v/>
      </c>
      <c r="W40" s="96" t="str">
        <f>IF(G40="","",IFERROR(IF(ISNUMBER(INDEX(cfg_fac,MATCH(G40,cfg_units,0))),IF(INDEX(cfg_fac,MATCH(G40,cfg_units,0))&gt;0,INDEX(cfg_fac,MATCH(G40,cfg_units,0)),""),""),""))</f>
        <v/>
      </c>
      <c r="X40" s="96">
        <f>IF(AND(ISNUMBER(F40),ISNUMBER(H40)),IF(H40&gt;0,1,0),0)</f>
        <v>0</v>
      </c>
      <c r="Y40" s="96">
        <f>IF(Q40=0,0,IF(OR(T40=0,X40=0,NOT(ISNUMBER(E40)),AND(J40="Sim",L40="",M40=""),AND(ISNUMBER(E40),ISNUMBER(V40),N(V40)&gt;0,E40&lt;N(V40))),1,0))</f>
        <v>0</v>
      </c>
      <c r="Z40" s="96">
        <f>IF(AND(Q40=1,T40=1,X40=1,J40="Sim",OR(L40&lt;&gt;"",M40&lt;&gt;"")),1,0)</f>
        <v>0</v>
      </c>
      <c r="AA40" s="96">
        <f>IF(Q40=0,0,IF(AND(OR(r_ini="",AND(ISNUMBER(E40),E40&gt;=r_ini)),OR(r_fim="",AND(ISNUMBER(E40),E40&lt;=r_fim)),OR(r_un="",r_un="(Todas)",IF(N(U40)&gt;0,INDEX('MTRs'!$G$6:$G$505,U40),"")=r_un),OR(r_de="",r_de="(Todos)",D40=r_de)),1,0))</f>
        <v>0</v>
      </c>
      <c r="AB40" s="96" t="str">
        <f>IF(AA40=1,COUNTIF($AA$6:AA40,1),"")</f>
        <v/>
      </c>
    </row>
    <row r="41">
      <c r="A41" s="89" t="inlineStr">
        <is>
          <t>REC-000036</t>
        </is>
      </c>
      <c r="B41" s="94" t="str">
        <f>IF(T41=1,INDEX('ITENS_MTR'!$S$6:$S$1005,S41)&amp;"","")</f>
        <v/>
      </c>
      <c r="C41" s="91" t="n"/>
      <c r="D41" s="94" t="str">
        <f>IF(N(U41)&gt;0,INDEX('MTRs'!$I$6:$I$505,U41)&amp;"","")</f>
        <v/>
      </c>
      <c r="E41" s="92" t="n"/>
      <c r="F41" s="98" t="n"/>
      <c r="G41" s="91" t="n"/>
      <c r="H41" s="93" t="str">
        <f>IF(Q41=0,"",IF(NOT(ISNUMBER(F41)),"",IF(ISNUMBER(W41),F41*W41,"UNIDADE A CONFERIR")))</f>
        <v/>
      </c>
      <c r="I41" s="91" t="n"/>
      <c r="J41" s="91" t="n"/>
      <c r="K41" s="92" t="n"/>
      <c r="L41" s="91" t="n"/>
      <c r="M41" s="91" t="n"/>
      <c r="N41" s="91" t="n"/>
      <c r="O41" s="91" t="n"/>
      <c r="P41" s="94" t="str">
        <f>IF(Q41=0,"",IF(C41="","Item de resíduo não informado",IF(T41=0,"Item inexistente (referência inválida)",IF(NOT(ISNUMBER(F41)),"Quantidade não informada",IF(F41&lt;=0,"Quantidade não positiva",IF(G41="","Unidade não informada",IF(NOT(ISNUMBER(H41)),"Unidade a conferir",IF(NOT(ISNUMBER(E41)),"Data de recebimento não informada",IF(AND(ISNUMBER(V41),N(V41)&gt;0,E41&lt;N(V41)),"Data anterior à emissão do MTR",IF(AND(J41="Sim",L41="",M41=""),"Conferido sem evidência identificada",IF(J41&lt;&gt;"Sim","Aguardando conferência",IF(INDEX('ITENS_MTR'!$AM$6:$AM$1005,S41)=1,"Conferido (ver diferença no item)","Conferido"))))))))))))</f>
        <v/>
      </c>
      <c r="Q41" s="96">
        <f>IF(COUNTA(C41,E41:G41,I41:O41)&gt;0,1,0)</f>
        <v>0</v>
      </c>
      <c r="R41" s="96" t="str">
        <f>IF(C41="","",TRIM(LEFT(C41,FIND(" |",C41&amp;" |")-1)))</f>
        <v/>
      </c>
      <c r="S41" s="96" t="str">
        <f>IF(R41="","",IFERROR(MATCH(R41,'ITENS_MTR'!$A$6:$A$1005,0),""))</f>
        <v/>
      </c>
      <c r="T41" s="96">
        <f>IF(S41="",0,IF(INDEX('ITENS_MTR'!$R$6:$R$1005,S41)=1,1,0))</f>
        <v>0</v>
      </c>
      <c r="U41" s="96" t="str">
        <f>IF(T41=1,INDEX('ITENS_MTR'!$T$6:$T$1005,S41),"")</f>
        <v/>
      </c>
      <c r="V41" s="97" t="str">
        <f>IF(N(U41)&gt;0,INDEX('MTRs'!$E$6:$E$505,U41),"")</f>
        <v/>
      </c>
      <c r="W41" s="96" t="str">
        <f>IF(G41="","",IFERROR(IF(ISNUMBER(INDEX(cfg_fac,MATCH(G41,cfg_units,0))),IF(INDEX(cfg_fac,MATCH(G41,cfg_units,0))&gt;0,INDEX(cfg_fac,MATCH(G41,cfg_units,0)),""),""),""))</f>
        <v/>
      </c>
      <c r="X41" s="96">
        <f>IF(AND(ISNUMBER(F41),ISNUMBER(H41)),IF(H41&gt;0,1,0),0)</f>
        <v>0</v>
      </c>
      <c r="Y41" s="96">
        <f>IF(Q41=0,0,IF(OR(T41=0,X41=0,NOT(ISNUMBER(E41)),AND(J41="Sim",L41="",M41=""),AND(ISNUMBER(E41),ISNUMBER(V41),N(V41)&gt;0,E41&lt;N(V41))),1,0))</f>
        <v>0</v>
      </c>
      <c r="Z41" s="96">
        <f>IF(AND(Q41=1,T41=1,X41=1,J41="Sim",OR(L41&lt;&gt;"",M41&lt;&gt;"")),1,0)</f>
        <v>0</v>
      </c>
      <c r="AA41" s="96">
        <f>IF(Q41=0,0,IF(AND(OR(r_ini="",AND(ISNUMBER(E41),E41&gt;=r_ini)),OR(r_fim="",AND(ISNUMBER(E41),E41&lt;=r_fim)),OR(r_un="",r_un="(Todas)",IF(N(U41)&gt;0,INDEX('MTRs'!$G$6:$G$505,U41),"")=r_un),OR(r_de="",r_de="(Todos)",D41=r_de)),1,0))</f>
        <v>0</v>
      </c>
      <c r="AB41" s="96" t="str">
        <f>IF(AA41=1,COUNTIF($AA$6:AA41,1),"")</f>
        <v/>
      </c>
    </row>
    <row r="42">
      <c r="A42" s="89" t="inlineStr">
        <is>
          <t>REC-000037</t>
        </is>
      </c>
      <c r="B42" s="94" t="str">
        <f>IF(T42=1,INDEX('ITENS_MTR'!$S$6:$S$1005,S42)&amp;"","")</f>
        <v/>
      </c>
      <c r="C42" s="91" t="n"/>
      <c r="D42" s="94" t="str">
        <f>IF(N(U42)&gt;0,INDEX('MTRs'!$I$6:$I$505,U42)&amp;"","")</f>
        <v/>
      </c>
      <c r="E42" s="92" t="n"/>
      <c r="F42" s="98" t="n"/>
      <c r="G42" s="91" t="n"/>
      <c r="H42" s="93" t="str">
        <f>IF(Q42=0,"",IF(NOT(ISNUMBER(F42)),"",IF(ISNUMBER(W42),F42*W42,"UNIDADE A CONFERIR")))</f>
        <v/>
      </c>
      <c r="I42" s="91" t="n"/>
      <c r="J42" s="91" t="n"/>
      <c r="K42" s="92" t="n"/>
      <c r="L42" s="91" t="n"/>
      <c r="M42" s="91" t="n"/>
      <c r="N42" s="91" t="n"/>
      <c r="O42" s="91" t="n"/>
      <c r="P42" s="94" t="str">
        <f>IF(Q42=0,"",IF(C42="","Item de resíduo não informado",IF(T42=0,"Item inexistente (referência inválida)",IF(NOT(ISNUMBER(F42)),"Quantidade não informada",IF(F42&lt;=0,"Quantidade não positiva",IF(G42="","Unidade não informada",IF(NOT(ISNUMBER(H42)),"Unidade a conferir",IF(NOT(ISNUMBER(E42)),"Data de recebimento não informada",IF(AND(ISNUMBER(V42),N(V42)&gt;0,E42&lt;N(V42)),"Data anterior à emissão do MTR",IF(AND(J42="Sim",L42="",M42=""),"Conferido sem evidência identificada",IF(J42&lt;&gt;"Sim","Aguardando conferência",IF(INDEX('ITENS_MTR'!$AM$6:$AM$1005,S42)=1,"Conferido (ver diferença no item)","Conferido"))))))))))))</f>
        <v/>
      </c>
      <c r="Q42" s="96">
        <f>IF(COUNTA(C42,E42:G42,I42:O42)&gt;0,1,0)</f>
        <v>0</v>
      </c>
      <c r="R42" s="96" t="str">
        <f>IF(C42="","",TRIM(LEFT(C42,FIND(" |",C42&amp;" |")-1)))</f>
        <v/>
      </c>
      <c r="S42" s="96" t="str">
        <f>IF(R42="","",IFERROR(MATCH(R42,'ITENS_MTR'!$A$6:$A$1005,0),""))</f>
        <v/>
      </c>
      <c r="T42" s="96">
        <f>IF(S42="",0,IF(INDEX('ITENS_MTR'!$R$6:$R$1005,S42)=1,1,0))</f>
        <v>0</v>
      </c>
      <c r="U42" s="96" t="str">
        <f>IF(T42=1,INDEX('ITENS_MTR'!$T$6:$T$1005,S42),"")</f>
        <v/>
      </c>
      <c r="V42" s="97" t="str">
        <f>IF(N(U42)&gt;0,INDEX('MTRs'!$E$6:$E$505,U42),"")</f>
        <v/>
      </c>
      <c r="W42" s="96" t="str">
        <f>IF(G42="","",IFERROR(IF(ISNUMBER(INDEX(cfg_fac,MATCH(G42,cfg_units,0))),IF(INDEX(cfg_fac,MATCH(G42,cfg_units,0))&gt;0,INDEX(cfg_fac,MATCH(G42,cfg_units,0)),""),""),""))</f>
        <v/>
      </c>
      <c r="X42" s="96">
        <f>IF(AND(ISNUMBER(F42),ISNUMBER(H42)),IF(H42&gt;0,1,0),0)</f>
        <v>0</v>
      </c>
      <c r="Y42" s="96">
        <f>IF(Q42=0,0,IF(OR(T42=0,X42=0,NOT(ISNUMBER(E42)),AND(J42="Sim",L42="",M42=""),AND(ISNUMBER(E42),ISNUMBER(V42),N(V42)&gt;0,E42&lt;N(V42))),1,0))</f>
        <v>0</v>
      </c>
      <c r="Z42" s="96">
        <f>IF(AND(Q42=1,T42=1,X42=1,J42="Sim",OR(L42&lt;&gt;"",M42&lt;&gt;"")),1,0)</f>
        <v>0</v>
      </c>
      <c r="AA42" s="96">
        <f>IF(Q42=0,0,IF(AND(OR(r_ini="",AND(ISNUMBER(E42),E42&gt;=r_ini)),OR(r_fim="",AND(ISNUMBER(E42),E42&lt;=r_fim)),OR(r_un="",r_un="(Todas)",IF(N(U42)&gt;0,INDEX('MTRs'!$G$6:$G$505,U42),"")=r_un),OR(r_de="",r_de="(Todos)",D42=r_de)),1,0))</f>
        <v>0</v>
      </c>
      <c r="AB42" s="96" t="str">
        <f>IF(AA42=1,COUNTIF($AA$6:AA42,1),"")</f>
        <v/>
      </c>
    </row>
    <row r="43">
      <c r="A43" s="89" t="inlineStr">
        <is>
          <t>REC-000038</t>
        </is>
      </c>
      <c r="B43" s="94" t="str">
        <f>IF(T43=1,INDEX('ITENS_MTR'!$S$6:$S$1005,S43)&amp;"","")</f>
        <v/>
      </c>
      <c r="C43" s="91" t="n"/>
      <c r="D43" s="94" t="str">
        <f>IF(N(U43)&gt;0,INDEX('MTRs'!$I$6:$I$505,U43)&amp;"","")</f>
        <v/>
      </c>
      <c r="E43" s="92" t="n"/>
      <c r="F43" s="98" t="n"/>
      <c r="G43" s="91" t="n"/>
      <c r="H43" s="93" t="str">
        <f>IF(Q43=0,"",IF(NOT(ISNUMBER(F43)),"",IF(ISNUMBER(W43),F43*W43,"UNIDADE A CONFERIR")))</f>
        <v/>
      </c>
      <c r="I43" s="91" t="n"/>
      <c r="J43" s="91" t="n"/>
      <c r="K43" s="92" t="n"/>
      <c r="L43" s="91" t="n"/>
      <c r="M43" s="91" t="n"/>
      <c r="N43" s="91" t="n"/>
      <c r="O43" s="91" t="n"/>
      <c r="P43" s="94" t="str">
        <f>IF(Q43=0,"",IF(C43="","Item de resíduo não informado",IF(T43=0,"Item inexistente (referência inválida)",IF(NOT(ISNUMBER(F43)),"Quantidade não informada",IF(F43&lt;=0,"Quantidade não positiva",IF(G43="","Unidade não informada",IF(NOT(ISNUMBER(H43)),"Unidade a conferir",IF(NOT(ISNUMBER(E43)),"Data de recebimento não informada",IF(AND(ISNUMBER(V43),N(V43)&gt;0,E43&lt;N(V43)),"Data anterior à emissão do MTR",IF(AND(J43="Sim",L43="",M43=""),"Conferido sem evidência identificada",IF(J43&lt;&gt;"Sim","Aguardando conferência",IF(INDEX('ITENS_MTR'!$AM$6:$AM$1005,S43)=1,"Conferido (ver diferença no item)","Conferido"))))))))))))</f>
        <v/>
      </c>
      <c r="Q43" s="96">
        <f>IF(COUNTA(C43,E43:G43,I43:O43)&gt;0,1,0)</f>
        <v>0</v>
      </c>
      <c r="R43" s="96" t="str">
        <f>IF(C43="","",TRIM(LEFT(C43,FIND(" |",C43&amp;" |")-1)))</f>
        <v/>
      </c>
      <c r="S43" s="96" t="str">
        <f>IF(R43="","",IFERROR(MATCH(R43,'ITENS_MTR'!$A$6:$A$1005,0),""))</f>
        <v/>
      </c>
      <c r="T43" s="96">
        <f>IF(S43="",0,IF(INDEX('ITENS_MTR'!$R$6:$R$1005,S43)=1,1,0))</f>
        <v>0</v>
      </c>
      <c r="U43" s="96" t="str">
        <f>IF(T43=1,INDEX('ITENS_MTR'!$T$6:$T$1005,S43),"")</f>
        <v/>
      </c>
      <c r="V43" s="97" t="str">
        <f>IF(N(U43)&gt;0,INDEX('MTRs'!$E$6:$E$505,U43),"")</f>
        <v/>
      </c>
      <c r="W43" s="96" t="str">
        <f>IF(G43="","",IFERROR(IF(ISNUMBER(INDEX(cfg_fac,MATCH(G43,cfg_units,0))),IF(INDEX(cfg_fac,MATCH(G43,cfg_units,0))&gt;0,INDEX(cfg_fac,MATCH(G43,cfg_units,0)),""),""),""))</f>
        <v/>
      </c>
      <c r="X43" s="96">
        <f>IF(AND(ISNUMBER(F43),ISNUMBER(H43)),IF(H43&gt;0,1,0),0)</f>
        <v>0</v>
      </c>
      <c r="Y43" s="96">
        <f>IF(Q43=0,0,IF(OR(T43=0,X43=0,NOT(ISNUMBER(E43)),AND(J43="Sim",L43="",M43=""),AND(ISNUMBER(E43),ISNUMBER(V43),N(V43)&gt;0,E43&lt;N(V43))),1,0))</f>
        <v>0</v>
      </c>
      <c r="Z43" s="96">
        <f>IF(AND(Q43=1,T43=1,X43=1,J43="Sim",OR(L43&lt;&gt;"",M43&lt;&gt;"")),1,0)</f>
        <v>0</v>
      </c>
      <c r="AA43" s="96">
        <f>IF(Q43=0,0,IF(AND(OR(r_ini="",AND(ISNUMBER(E43),E43&gt;=r_ini)),OR(r_fim="",AND(ISNUMBER(E43),E43&lt;=r_fim)),OR(r_un="",r_un="(Todas)",IF(N(U43)&gt;0,INDEX('MTRs'!$G$6:$G$505,U43),"")=r_un),OR(r_de="",r_de="(Todos)",D43=r_de)),1,0))</f>
        <v>0</v>
      </c>
      <c r="AB43" s="96" t="str">
        <f>IF(AA43=1,COUNTIF($AA$6:AA43,1),"")</f>
        <v/>
      </c>
    </row>
    <row r="44">
      <c r="A44" s="89" t="inlineStr">
        <is>
          <t>REC-000039</t>
        </is>
      </c>
      <c r="B44" s="94" t="str">
        <f>IF(T44=1,INDEX('ITENS_MTR'!$S$6:$S$1005,S44)&amp;"","")</f>
        <v/>
      </c>
      <c r="C44" s="91" t="n"/>
      <c r="D44" s="94" t="str">
        <f>IF(N(U44)&gt;0,INDEX('MTRs'!$I$6:$I$505,U44)&amp;"","")</f>
        <v/>
      </c>
      <c r="E44" s="92" t="n"/>
      <c r="F44" s="98" t="n"/>
      <c r="G44" s="91" t="n"/>
      <c r="H44" s="93" t="str">
        <f>IF(Q44=0,"",IF(NOT(ISNUMBER(F44)),"",IF(ISNUMBER(W44),F44*W44,"UNIDADE A CONFERIR")))</f>
        <v/>
      </c>
      <c r="I44" s="91" t="n"/>
      <c r="J44" s="91" t="n"/>
      <c r="K44" s="92" t="n"/>
      <c r="L44" s="91" t="n"/>
      <c r="M44" s="91" t="n"/>
      <c r="N44" s="91" t="n"/>
      <c r="O44" s="91" t="n"/>
      <c r="P44" s="94" t="str">
        <f>IF(Q44=0,"",IF(C44="","Item de resíduo não informado",IF(T44=0,"Item inexistente (referência inválida)",IF(NOT(ISNUMBER(F44)),"Quantidade não informada",IF(F44&lt;=0,"Quantidade não positiva",IF(G44="","Unidade não informada",IF(NOT(ISNUMBER(H44)),"Unidade a conferir",IF(NOT(ISNUMBER(E44)),"Data de recebimento não informada",IF(AND(ISNUMBER(V44),N(V44)&gt;0,E44&lt;N(V44)),"Data anterior à emissão do MTR",IF(AND(J44="Sim",L44="",M44=""),"Conferido sem evidência identificada",IF(J44&lt;&gt;"Sim","Aguardando conferência",IF(INDEX('ITENS_MTR'!$AM$6:$AM$1005,S44)=1,"Conferido (ver diferença no item)","Conferido"))))))))))))</f>
        <v/>
      </c>
      <c r="Q44" s="96">
        <f>IF(COUNTA(C44,E44:G44,I44:O44)&gt;0,1,0)</f>
        <v>0</v>
      </c>
      <c r="R44" s="96" t="str">
        <f>IF(C44="","",TRIM(LEFT(C44,FIND(" |",C44&amp;" |")-1)))</f>
        <v/>
      </c>
      <c r="S44" s="96" t="str">
        <f>IF(R44="","",IFERROR(MATCH(R44,'ITENS_MTR'!$A$6:$A$1005,0),""))</f>
        <v/>
      </c>
      <c r="T44" s="96">
        <f>IF(S44="",0,IF(INDEX('ITENS_MTR'!$R$6:$R$1005,S44)=1,1,0))</f>
        <v>0</v>
      </c>
      <c r="U44" s="96" t="str">
        <f>IF(T44=1,INDEX('ITENS_MTR'!$T$6:$T$1005,S44),"")</f>
        <v/>
      </c>
      <c r="V44" s="97" t="str">
        <f>IF(N(U44)&gt;0,INDEX('MTRs'!$E$6:$E$505,U44),"")</f>
        <v/>
      </c>
      <c r="W44" s="96" t="str">
        <f>IF(G44="","",IFERROR(IF(ISNUMBER(INDEX(cfg_fac,MATCH(G44,cfg_units,0))),IF(INDEX(cfg_fac,MATCH(G44,cfg_units,0))&gt;0,INDEX(cfg_fac,MATCH(G44,cfg_units,0)),""),""),""))</f>
        <v/>
      </c>
      <c r="X44" s="96">
        <f>IF(AND(ISNUMBER(F44),ISNUMBER(H44)),IF(H44&gt;0,1,0),0)</f>
        <v>0</v>
      </c>
      <c r="Y44" s="96">
        <f>IF(Q44=0,0,IF(OR(T44=0,X44=0,NOT(ISNUMBER(E44)),AND(J44="Sim",L44="",M44=""),AND(ISNUMBER(E44),ISNUMBER(V44),N(V44)&gt;0,E44&lt;N(V44))),1,0))</f>
        <v>0</v>
      </c>
      <c r="Z44" s="96">
        <f>IF(AND(Q44=1,T44=1,X44=1,J44="Sim",OR(L44&lt;&gt;"",M44&lt;&gt;"")),1,0)</f>
        <v>0</v>
      </c>
      <c r="AA44" s="96">
        <f>IF(Q44=0,0,IF(AND(OR(r_ini="",AND(ISNUMBER(E44),E44&gt;=r_ini)),OR(r_fim="",AND(ISNUMBER(E44),E44&lt;=r_fim)),OR(r_un="",r_un="(Todas)",IF(N(U44)&gt;0,INDEX('MTRs'!$G$6:$G$505,U44),"")=r_un),OR(r_de="",r_de="(Todos)",D44=r_de)),1,0))</f>
        <v>0</v>
      </c>
      <c r="AB44" s="96" t="str">
        <f>IF(AA44=1,COUNTIF($AA$6:AA44,1),"")</f>
        <v/>
      </c>
    </row>
    <row r="45">
      <c r="A45" s="89" t="inlineStr">
        <is>
          <t>REC-000040</t>
        </is>
      </c>
      <c r="B45" s="94" t="str">
        <f>IF(T45=1,INDEX('ITENS_MTR'!$S$6:$S$1005,S45)&amp;"","")</f>
        <v/>
      </c>
      <c r="C45" s="91" t="n"/>
      <c r="D45" s="94" t="str">
        <f>IF(N(U45)&gt;0,INDEX('MTRs'!$I$6:$I$505,U45)&amp;"","")</f>
        <v/>
      </c>
      <c r="E45" s="92" t="n"/>
      <c r="F45" s="98" t="n"/>
      <c r="G45" s="91" t="n"/>
      <c r="H45" s="93" t="str">
        <f>IF(Q45=0,"",IF(NOT(ISNUMBER(F45)),"",IF(ISNUMBER(W45),F45*W45,"UNIDADE A CONFERIR")))</f>
        <v/>
      </c>
      <c r="I45" s="91" t="n"/>
      <c r="J45" s="91" t="n"/>
      <c r="K45" s="92" t="n"/>
      <c r="L45" s="91" t="n"/>
      <c r="M45" s="91" t="n"/>
      <c r="N45" s="91" t="n"/>
      <c r="O45" s="91" t="n"/>
      <c r="P45" s="94" t="str">
        <f>IF(Q45=0,"",IF(C45="","Item de resíduo não informado",IF(T45=0,"Item inexistente (referência inválida)",IF(NOT(ISNUMBER(F45)),"Quantidade não informada",IF(F45&lt;=0,"Quantidade não positiva",IF(G45="","Unidade não informada",IF(NOT(ISNUMBER(H45)),"Unidade a conferir",IF(NOT(ISNUMBER(E45)),"Data de recebimento não informada",IF(AND(ISNUMBER(V45),N(V45)&gt;0,E45&lt;N(V45)),"Data anterior à emissão do MTR",IF(AND(J45="Sim",L45="",M45=""),"Conferido sem evidência identificada",IF(J45&lt;&gt;"Sim","Aguardando conferência",IF(INDEX('ITENS_MTR'!$AM$6:$AM$1005,S45)=1,"Conferido (ver diferença no item)","Conferido"))))))))))))</f>
        <v/>
      </c>
      <c r="Q45" s="96">
        <f>IF(COUNTA(C45,E45:G45,I45:O45)&gt;0,1,0)</f>
        <v>0</v>
      </c>
      <c r="R45" s="96" t="str">
        <f>IF(C45="","",TRIM(LEFT(C45,FIND(" |",C45&amp;" |")-1)))</f>
        <v/>
      </c>
      <c r="S45" s="96" t="str">
        <f>IF(R45="","",IFERROR(MATCH(R45,'ITENS_MTR'!$A$6:$A$1005,0),""))</f>
        <v/>
      </c>
      <c r="T45" s="96">
        <f>IF(S45="",0,IF(INDEX('ITENS_MTR'!$R$6:$R$1005,S45)=1,1,0))</f>
        <v>0</v>
      </c>
      <c r="U45" s="96" t="str">
        <f>IF(T45=1,INDEX('ITENS_MTR'!$T$6:$T$1005,S45),"")</f>
        <v/>
      </c>
      <c r="V45" s="97" t="str">
        <f>IF(N(U45)&gt;0,INDEX('MTRs'!$E$6:$E$505,U45),"")</f>
        <v/>
      </c>
      <c r="W45" s="96" t="str">
        <f>IF(G45="","",IFERROR(IF(ISNUMBER(INDEX(cfg_fac,MATCH(G45,cfg_units,0))),IF(INDEX(cfg_fac,MATCH(G45,cfg_units,0))&gt;0,INDEX(cfg_fac,MATCH(G45,cfg_units,0)),""),""),""))</f>
        <v/>
      </c>
      <c r="X45" s="96">
        <f>IF(AND(ISNUMBER(F45),ISNUMBER(H45)),IF(H45&gt;0,1,0),0)</f>
        <v>0</v>
      </c>
      <c r="Y45" s="96">
        <f>IF(Q45=0,0,IF(OR(T45=0,X45=0,NOT(ISNUMBER(E45)),AND(J45="Sim",L45="",M45=""),AND(ISNUMBER(E45),ISNUMBER(V45),N(V45)&gt;0,E45&lt;N(V45))),1,0))</f>
        <v>0</v>
      </c>
      <c r="Z45" s="96">
        <f>IF(AND(Q45=1,T45=1,X45=1,J45="Sim",OR(L45&lt;&gt;"",M45&lt;&gt;"")),1,0)</f>
        <v>0</v>
      </c>
      <c r="AA45" s="96">
        <f>IF(Q45=0,0,IF(AND(OR(r_ini="",AND(ISNUMBER(E45),E45&gt;=r_ini)),OR(r_fim="",AND(ISNUMBER(E45),E45&lt;=r_fim)),OR(r_un="",r_un="(Todas)",IF(N(U45)&gt;0,INDEX('MTRs'!$G$6:$G$505,U45),"")=r_un),OR(r_de="",r_de="(Todos)",D45=r_de)),1,0))</f>
        <v>0</v>
      </c>
      <c r="AB45" s="96" t="str">
        <f>IF(AA45=1,COUNTIF($AA$6:AA45,1),"")</f>
        <v/>
      </c>
    </row>
    <row r="46">
      <c r="A46" s="89" t="inlineStr">
        <is>
          <t>REC-000041</t>
        </is>
      </c>
      <c r="B46" s="94" t="str">
        <f>IF(T46=1,INDEX('ITENS_MTR'!$S$6:$S$1005,S46)&amp;"","")</f>
        <v/>
      </c>
      <c r="C46" s="91" t="n"/>
      <c r="D46" s="94" t="str">
        <f>IF(N(U46)&gt;0,INDEX('MTRs'!$I$6:$I$505,U46)&amp;"","")</f>
        <v/>
      </c>
      <c r="E46" s="92" t="n"/>
      <c r="F46" s="98" t="n"/>
      <c r="G46" s="91" t="n"/>
      <c r="H46" s="93" t="str">
        <f>IF(Q46=0,"",IF(NOT(ISNUMBER(F46)),"",IF(ISNUMBER(W46),F46*W46,"UNIDADE A CONFERIR")))</f>
        <v/>
      </c>
      <c r="I46" s="91" t="n"/>
      <c r="J46" s="91" t="n"/>
      <c r="K46" s="92" t="n"/>
      <c r="L46" s="91" t="n"/>
      <c r="M46" s="91" t="n"/>
      <c r="N46" s="91" t="n"/>
      <c r="O46" s="91" t="n"/>
      <c r="P46" s="94" t="str">
        <f>IF(Q46=0,"",IF(C46="","Item de resíduo não informado",IF(T46=0,"Item inexistente (referência inválida)",IF(NOT(ISNUMBER(F46)),"Quantidade não informada",IF(F46&lt;=0,"Quantidade não positiva",IF(G46="","Unidade não informada",IF(NOT(ISNUMBER(H46)),"Unidade a conferir",IF(NOT(ISNUMBER(E46)),"Data de recebimento não informada",IF(AND(ISNUMBER(V46),N(V46)&gt;0,E46&lt;N(V46)),"Data anterior à emissão do MTR",IF(AND(J46="Sim",L46="",M46=""),"Conferido sem evidência identificada",IF(J46&lt;&gt;"Sim","Aguardando conferência",IF(INDEX('ITENS_MTR'!$AM$6:$AM$1005,S46)=1,"Conferido (ver diferença no item)","Conferido"))))))))))))</f>
        <v/>
      </c>
      <c r="Q46" s="96">
        <f>IF(COUNTA(C46,E46:G46,I46:O46)&gt;0,1,0)</f>
        <v>0</v>
      </c>
      <c r="R46" s="96" t="str">
        <f>IF(C46="","",TRIM(LEFT(C46,FIND(" |",C46&amp;" |")-1)))</f>
        <v/>
      </c>
      <c r="S46" s="96" t="str">
        <f>IF(R46="","",IFERROR(MATCH(R46,'ITENS_MTR'!$A$6:$A$1005,0),""))</f>
        <v/>
      </c>
      <c r="T46" s="96">
        <f>IF(S46="",0,IF(INDEX('ITENS_MTR'!$R$6:$R$1005,S46)=1,1,0))</f>
        <v>0</v>
      </c>
      <c r="U46" s="96" t="str">
        <f>IF(T46=1,INDEX('ITENS_MTR'!$T$6:$T$1005,S46),"")</f>
        <v/>
      </c>
      <c r="V46" s="97" t="str">
        <f>IF(N(U46)&gt;0,INDEX('MTRs'!$E$6:$E$505,U46),"")</f>
        <v/>
      </c>
      <c r="W46" s="96" t="str">
        <f>IF(G46="","",IFERROR(IF(ISNUMBER(INDEX(cfg_fac,MATCH(G46,cfg_units,0))),IF(INDEX(cfg_fac,MATCH(G46,cfg_units,0))&gt;0,INDEX(cfg_fac,MATCH(G46,cfg_units,0)),""),""),""))</f>
        <v/>
      </c>
      <c r="X46" s="96">
        <f>IF(AND(ISNUMBER(F46),ISNUMBER(H46)),IF(H46&gt;0,1,0),0)</f>
        <v>0</v>
      </c>
      <c r="Y46" s="96">
        <f>IF(Q46=0,0,IF(OR(T46=0,X46=0,NOT(ISNUMBER(E46)),AND(J46="Sim",L46="",M46=""),AND(ISNUMBER(E46),ISNUMBER(V46),N(V46)&gt;0,E46&lt;N(V46))),1,0))</f>
        <v>0</v>
      </c>
      <c r="Z46" s="96">
        <f>IF(AND(Q46=1,T46=1,X46=1,J46="Sim",OR(L46&lt;&gt;"",M46&lt;&gt;"")),1,0)</f>
        <v>0</v>
      </c>
      <c r="AA46" s="96">
        <f>IF(Q46=0,0,IF(AND(OR(r_ini="",AND(ISNUMBER(E46),E46&gt;=r_ini)),OR(r_fim="",AND(ISNUMBER(E46),E46&lt;=r_fim)),OR(r_un="",r_un="(Todas)",IF(N(U46)&gt;0,INDEX('MTRs'!$G$6:$G$505,U46),"")=r_un),OR(r_de="",r_de="(Todos)",D46=r_de)),1,0))</f>
        <v>0</v>
      </c>
      <c r="AB46" s="96" t="str">
        <f>IF(AA46=1,COUNTIF($AA$6:AA46,1),"")</f>
        <v/>
      </c>
    </row>
    <row r="47">
      <c r="A47" s="89" t="inlineStr">
        <is>
          <t>REC-000042</t>
        </is>
      </c>
      <c r="B47" s="94" t="str">
        <f>IF(T47=1,INDEX('ITENS_MTR'!$S$6:$S$1005,S47)&amp;"","")</f>
        <v/>
      </c>
      <c r="C47" s="91" t="n"/>
      <c r="D47" s="94" t="str">
        <f>IF(N(U47)&gt;0,INDEX('MTRs'!$I$6:$I$505,U47)&amp;"","")</f>
        <v/>
      </c>
      <c r="E47" s="92" t="n"/>
      <c r="F47" s="98" t="n"/>
      <c r="G47" s="91" t="n"/>
      <c r="H47" s="93" t="str">
        <f>IF(Q47=0,"",IF(NOT(ISNUMBER(F47)),"",IF(ISNUMBER(W47),F47*W47,"UNIDADE A CONFERIR")))</f>
        <v/>
      </c>
      <c r="I47" s="91" t="n"/>
      <c r="J47" s="91" t="n"/>
      <c r="K47" s="92" t="n"/>
      <c r="L47" s="91" t="n"/>
      <c r="M47" s="91" t="n"/>
      <c r="N47" s="91" t="n"/>
      <c r="O47" s="91" t="n"/>
      <c r="P47" s="94" t="str">
        <f>IF(Q47=0,"",IF(C47="","Item de resíduo não informado",IF(T47=0,"Item inexistente (referência inválida)",IF(NOT(ISNUMBER(F47)),"Quantidade não informada",IF(F47&lt;=0,"Quantidade não positiva",IF(G47="","Unidade não informada",IF(NOT(ISNUMBER(H47)),"Unidade a conferir",IF(NOT(ISNUMBER(E47)),"Data de recebimento não informada",IF(AND(ISNUMBER(V47),N(V47)&gt;0,E47&lt;N(V47)),"Data anterior à emissão do MTR",IF(AND(J47="Sim",L47="",M47=""),"Conferido sem evidência identificada",IF(J47&lt;&gt;"Sim","Aguardando conferência",IF(INDEX('ITENS_MTR'!$AM$6:$AM$1005,S47)=1,"Conferido (ver diferença no item)","Conferido"))))))))))))</f>
        <v/>
      </c>
      <c r="Q47" s="96">
        <f>IF(COUNTA(C47,E47:G47,I47:O47)&gt;0,1,0)</f>
        <v>0</v>
      </c>
      <c r="R47" s="96" t="str">
        <f>IF(C47="","",TRIM(LEFT(C47,FIND(" |",C47&amp;" |")-1)))</f>
        <v/>
      </c>
      <c r="S47" s="96" t="str">
        <f>IF(R47="","",IFERROR(MATCH(R47,'ITENS_MTR'!$A$6:$A$1005,0),""))</f>
        <v/>
      </c>
      <c r="T47" s="96">
        <f>IF(S47="",0,IF(INDEX('ITENS_MTR'!$R$6:$R$1005,S47)=1,1,0))</f>
        <v>0</v>
      </c>
      <c r="U47" s="96" t="str">
        <f>IF(T47=1,INDEX('ITENS_MTR'!$T$6:$T$1005,S47),"")</f>
        <v/>
      </c>
      <c r="V47" s="97" t="str">
        <f>IF(N(U47)&gt;0,INDEX('MTRs'!$E$6:$E$505,U47),"")</f>
        <v/>
      </c>
      <c r="W47" s="96" t="str">
        <f>IF(G47="","",IFERROR(IF(ISNUMBER(INDEX(cfg_fac,MATCH(G47,cfg_units,0))),IF(INDEX(cfg_fac,MATCH(G47,cfg_units,0))&gt;0,INDEX(cfg_fac,MATCH(G47,cfg_units,0)),""),""),""))</f>
        <v/>
      </c>
      <c r="X47" s="96">
        <f>IF(AND(ISNUMBER(F47),ISNUMBER(H47)),IF(H47&gt;0,1,0),0)</f>
        <v>0</v>
      </c>
      <c r="Y47" s="96">
        <f>IF(Q47=0,0,IF(OR(T47=0,X47=0,NOT(ISNUMBER(E47)),AND(J47="Sim",L47="",M47=""),AND(ISNUMBER(E47),ISNUMBER(V47),N(V47)&gt;0,E47&lt;N(V47))),1,0))</f>
        <v>0</v>
      </c>
      <c r="Z47" s="96">
        <f>IF(AND(Q47=1,T47=1,X47=1,J47="Sim",OR(L47&lt;&gt;"",M47&lt;&gt;"")),1,0)</f>
        <v>0</v>
      </c>
      <c r="AA47" s="96">
        <f>IF(Q47=0,0,IF(AND(OR(r_ini="",AND(ISNUMBER(E47),E47&gt;=r_ini)),OR(r_fim="",AND(ISNUMBER(E47),E47&lt;=r_fim)),OR(r_un="",r_un="(Todas)",IF(N(U47)&gt;0,INDEX('MTRs'!$G$6:$G$505,U47),"")=r_un),OR(r_de="",r_de="(Todos)",D47=r_de)),1,0))</f>
        <v>0</v>
      </c>
      <c r="AB47" s="96" t="str">
        <f>IF(AA47=1,COUNTIF($AA$6:AA47,1),"")</f>
        <v/>
      </c>
    </row>
    <row r="48">
      <c r="A48" s="89" t="inlineStr">
        <is>
          <t>REC-000043</t>
        </is>
      </c>
      <c r="B48" s="94" t="str">
        <f>IF(T48=1,INDEX('ITENS_MTR'!$S$6:$S$1005,S48)&amp;"","")</f>
        <v/>
      </c>
      <c r="C48" s="91" t="n"/>
      <c r="D48" s="94" t="str">
        <f>IF(N(U48)&gt;0,INDEX('MTRs'!$I$6:$I$505,U48)&amp;"","")</f>
        <v/>
      </c>
      <c r="E48" s="92" t="n"/>
      <c r="F48" s="98" t="n"/>
      <c r="G48" s="91" t="n"/>
      <c r="H48" s="93" t="str">
        <f>IF(Q48=0,"",IF(NOT(ISNUMBER(F48)),"",IF(ISNUMBER(W48),F48*W48,"UNIDADE A CONFERIR")))</f>
        <v/>
      </c>
      <c r="I48" s="91" t="n"/>
      <c r="J48" s="91" t="n"/>
      <c r="K48" s="92" t="n"/>
      <c r="L48" s="91" t="n"/>
      <c r="M48" s="91" t="n"/>
      <c r="N48" s="91" t="n"/>
      <c r="O48" s="91" t="n"/>
      <c r="P48" s="94" t="str">
        <f>IF(Q48=0,"",IF(C48="","Item de resíduo não informado",IF(T48=0,"Item inexistente (referência inválida)",IF(NOT(ISNUMBER(F48)),"Quantidade não informada",IF(F48&lt;=0,"Quantidade não positiva",IF(G48="","Unidade não informada",IF(NOT(ISNUMBER(H48)),"Unidade a conferir",IF(NOT(ISNUMBER(E48)),"Data de recebimento não informada",IF(AND(ISNUMBER(V48),N(V48)&gt;0,E48&lt;N(V48)),"Data anterior à emissão do MTR",IF(AND(J48="Sim",L48="",M48=""),"Conferido sem evidência identificada",IF(J48&lt;&gt;"Sim","Aguardando conferência",IF(INDEX('ITENS_MTR'!$AM$6:$AM$1005,S48)=1,"Conferido (ver diferença no item)","Conferido"))))))))))))</f>
        <v/>
      </c>
      <c r="Q48" s="96">
        <f>IF(COUNTA(C48,E48:G48,I48:O48)&gt;0,1,0)</f>
        <v>0</v>
      </c>
      <c r="R48" s="96" t="str">
        <f>IF(C48="","",TRIM(LEFT(C48,FIND(" |",C48&amp;" |")-1)))</f>
        <v/>
      </c>
      <c r="S48" s="96" t="str">
        <f>IF(R48="","",IFERROR(MATCH(R48,'ITENS_MTR'!$A$6:$A$1005,0),""))</f>
        <v/>
      </c>
      <c r="T48" s="96">
        <f>IF(S48="",0,IF(INDEX('ITENS_MTR'!$R$6:$R$1005,S48)=1,1,0))</f>
        <v>0</v>
      </c>
      <c r="U48" s="96" t="str">
        <f>IF(T48=1,INDEX('ITENS_MTR'!$T$6:$T$1005,S48),"")</f>
        <v/>
      </c>
      <c r="V48" s="97" t="str">
        <f>IF(N(U48)&gt;0,INDEX('MTRs'!$E$6:$E$505,U48),"")</f>
        <v/>
      </c>
      <c r="W48" s="96" t="str">
        <f>IF(G48="","",IFERROR(IF(ISNUMBER(INDEX(cfg_fac,MATCH(G48,cfg_units,0))),IF(INDEX(cfg_fac,MATCH(G48,cfg_units,0))&gt;0,INDEX(cfg_fac,MATCH(G48,cfg_units,0)),""),""),""))</f>
        <v/>
      </c>
      <c r="X48" s="96">
        <f>IF(AND(ISNUMBER(F48),ISNUMBER(H48)),IF(H48&gt;0,1,0),0)</f>
        <v>0</v>
      </c>
      <c r="Y48" s="96">
        <f>IF(Q48=0,0,IF(OR(T48=0,X48=0,NOT(ISNUMBER(E48)),AND(J48="Sim",L48="",M48=""),AND(ISNUMBER(E48),ISNUMBER(V48),N(V48)&gt;0,E48&lt;N(V48))),1,0))</f>
        <v>0</v>
      </c>
      <c r="Z48" s="96">
        <f>IF(AND(Q48=1,T48=1,X48=1,J48="Sim",OR(L48&lt;&gt;"",M48&lt;&gt;"")),1,0)</f>
        <v>0</v>
      </c>
      <c r="AA48" s="96">
        <f>IF(Q48=0,0,IF(AND(OR(r_ini="",AND(ISNUMBER(E48),E48&gt;=r_ini)),OR(r_fim="",AND(ISNUMBER(E48),E48&lt;=r_fim)),OR(r_un="",r_un="(Todas)",IF(N(U48)&gt;0,INDEX('MTRs'!$G$6:$G$505,U48),"")=r_un),OR(r_de="",r_de="(Todos)",D48=r_de)),1,0))</f>
        <v>0</v>
      </c>
      <c r="AB48" s="96" t="str">
        <f>IF(AA48=1,COUNTIF($AA$6:AA48,1),"")</f>
        <v/>
      </c>
    </row>
    <row r="49">
      <c r="A49" s="89" t="inlineStr">
        <is>
          <t>REC-000044</t>
        </is>
      </c>
      <c r="B49" s="94" t="str">
        <f>IF(T49=1,INDEX('ITENS_MTR'!$S$6:$S$1005,S49)&amp;"","")</f>
        <v/>
      </c>
      <c r="C49" s="91" t="n"/>
      <c r="D49" s="94" t="str">
        <f>IF(N(U49)&gt;0,INDEX('MTRs'!$I$6:$I$505,U49)&amp;"","")</f>
        <v/>
      </c>
      <c r="E49" s="92" t="n"/>
      <c r="F49" s="98" t="n"/>
      <c r="G49" s="91" t="n"/>
      <c r="H49" s="93" t="str">
        <f>IF(Q49=0,"",IF(NOT(ISNUMBER(F49)),"",IF(ISNUMBER(W49),F49*W49,"UNIDADE A CONFERIR")))</f>
        <v/>
      </c>
      <c r="I49" s="91" t="n"/>
      <c r="J49" s="91" t="n"/>
      <c r="K49" s="92" t="n"/>
      <c r="L49" s="91" t="n"/>
      <c r="M49" s="91" t="n"/>
      <c r="N49" s="91" t="n"/>
      <c r="O49" s="91" t="n"/>
      <c r="P49" s="94" t="str">
        <f>IF(Q49=0,"",IF(C49="","Item de resíduo não informado",IF(T49=0,"Item inexistente (referência inválida)",IF(NOT(ISNUMBER(F49)),"Quantidade não informada",IF(F49&lt;=0,"Quantidade não positiva",IF(G49="","Unidade não informada",IF(NOT(ISNUMBER(H49)),"Unidade a conferir",IF(NOT(ISNUMBER(E49)),"Data de recebimento não informada",IF(AND(ISNUMBER(V49),N(V49)&gt;0,E49&lt;N(V49)),"Data anterior à emissão do MTR",IF(AND(J49="Sim",L49="",M49=""),"Conferido sem evidência identificada",IF(J49&lt;&gt;"Sim","Aguardando conferência",IF(INDEX('ITENS_MTR'!$AM$6:$AM$1005,S49)=1,"Conferido (ver diferença no item)","Conferido"))))))))))))</f>
        <v/>
      </c>
      <c r="Q49" s="96">
        <f>IF(COUNTA(C49,E49:G49,I49:O49)&gt;0,1,0)</f>
        <v>0</v>
      </c>
      <c r="R49" s="96" t="str">
        <f>IF(C49="","",TRIM(LEFT(C49,FIND(" |",C49&amp;" |")-1)))</f>
        <v/>
      </c>
      <c r="S49" s="96" t="str">
        <f>IF(R49="","",IFERROR(MATCH(R49,'ITENS_MTR'!$A$6:$A$1005,0),""))</f>
        <v/>
      </c>
      <c r="T49" s="96">
        <f>IF(S49="",0,IF(INDEX('ITENS_MTR'!$R$6:$R$1005,S49)=1,1,0))</f>
        <v>0</v>
      </c>
      <c r="U49" s="96" t="str">
        <f>IF(T49=1,INDEX('ITENS_MTR'!$T$6:$T$1005,S49),"")</f>
        <v/>
      </c>
      <c r="V49" s="97" t="str">
        <f>IF(N(U49)&gt;0,INDEX('MTRs'!$E$6:$E$505,U49),"")</f>
        <v/>
      </c>
      <c r="W49" s="96" t="str">
        <f>IF(G49="","",IFERROR(IF(ISNUMBER(INDEX(cfg_fac,MATCH(G49,cfg_units,0))),IF(INDEX(cfg_fac,MATCH(G49,cfg_units,0))&gt;0,INDEX(cfg_fac,MATCH(G49,cfg_units,0)),""),""),""))</f>
        <v/>
      </c>
      <c r="X49" s="96">
        <f>IF(AND(ISNUMBER(F49),ISNUMBER(H49)),IF(H49&gt;0,1,0),0)</f>
        <v>0</v>
      </c>
      <c r="Y49" s="96">
        <f>IF(Q49=0,0,IF(OR(T49=0,X49=0,NOT(ISNUMBER(E49)),AND(J49="Sim",L49="",M49=""),AND(ISNUMBER(E49),ISNUMBER(V49),N(V49)&gt;0,E49&lt;N(V49))),1,0))</f>
        <v>0</v>
      </c>
      <c r="Z49" s="96">
        <f>IF(AND(Q49=1,T49=1,X49=1,J49="Sim",OR(L49&lt;&gt;"",M49&lt;&gt;"")),1,0)</f>
        <v>0</v>
      </c>
      <c r="AA49" s="96">
        <f>IF(Q49=0,0,IF(AND(OR(r_ini="",AND(ISNUMBER(E49),E49&gt;=r_ini)),OR(r_fim="",AND(ISNUMBER(E49),E49&lt;=r_fim)),OR(r_un="",r_un="(Todas)",IF(N(U49)&gt;0,INDEX('MTRs'!$G$6:$G$505,U49),"")=r_un),OR(r_de="",r_de="(Todos)",D49=r_de)),1,0))</f>
        <v>0</v>
      </c>
      <c r="AB49" s="96" t="str">
        <f>IF(AA49=1,COUNTIF($AA$6:AA49,1),"")</f>
        <v/>
      </c>
    </row>
    <row r="50">
      <c r="A50" s="89" t="inlineStr">
        <is>
          <t>REC-000045</t>
        </is>
      </c>
      <c r="B50" s="94" t="str">
        <f>IF(T50=1,INDEX('ITENS_MTR'!$S$6:$S$1005,S50)&amp;"","")</f>
        <v/>
      </c>
      <c r="C50" s="91" t="n"/>
      <c r="D50" s="94" t="str">
        <f>IF(N(U50)&gt;0,INDEX('MTRs'!$I$6:$I$505,U50)&amp;"","")</f>
        <v/>
      </c>
      <c r="E50" s="92" t="n"/>
      <c r="F50" s="98" t="n"/>
      <c r="G50" s="91" t="n"/>
      <c r="H50" s="93" t="str">
        <f>IF(Q50=0,"",IF(NOT(ISNUMBER(F50)),"",IF(ISNUMBER(W50),F50*W50,"UNIDADE A CONFERIR")))</f>
        <v/>
      </c>
      <c r="I50" s="91" t="n"/>
      <c r="J50" s="91" t="n"/>
      <c r="K50" s="92" t="n"/>
      <c r="L50" s="91" t="n"/>
      <c r="M50" s="91" t="n"/>
      <c r="N50" s="91" t="n"/>
      <c r="O50" s="91" t="n"/>
      <c r="P50" s="94" t="str">
        <f>IF(Q50=0,"",IF(C50="","Item de resíduo não informado",IF(T50=0,"Item inexistente (referência inválida)",IF(NOT(ISNUMBER(F50)),"Quantidade não informada",IF(F50&lt;=0,"Quantidade não positiva",IF(G50="","Unidade não informada",IF(NOT(ISNUMBER(H50)),"Unidade a conferir",IF(NOT(ISNUMBER(E50)),"Data de recebimento não informada",IF(AND(ISNUMBER(V50),N(V50)&gt;0,E50&lt;N(V50)),"Data anterior à emissão do MTR",IF(AND(J50="Sim",L50="",M50=""),"Conferido sem evidência identificada",IF(J50&lt;&gt;"Sim","Aguardando conferência",IF(INDEX('ITENS_MTR'!$AM$6:$AM$1005,S50)=1,"Conferido (ver diferença no item)","Conferido"))))))))))))</f>
        <v/>
      </c>
      <c r="Q50" s="96">
        <f>IF(COUNTA(C50,E50:G50,I50:O50)&gt;0,1,0)</f>
        <v>0</v>
      </c>
      <c r="R50" s="96" t="str">
        <f>IF(C50="","",TRIM(LEFT(C50,FIND(" |",C50&amp;" |")-1)))</f>
        <v/>
      </c>
      <c r="S50" s="96" t="str">
        <f>IF(R50="","",IFERROR(MATCH(R50,'ITENS_MTR'!$A$6:$A$1005,0),""))</f>
        <v/>
      </c>
      <c r="T50" s="96">
        <f>IF(S50="",0,IF(INDEX('ITENS_MTR'!$R$6:$R$1005,S50)=1,1,0))</f>
        <v>0</v>
      </c>
      <c r="U50" s="96" t="str">
        <f>IF(T50=1,INDEX('ITENS_MTR'!$T$6:$T$1005,S50),"")</f>
        <v/>
      </c>
      <c r="V50" s="97" t="str">
        <f>IF(N(U50)&gt;0,INDEX('MTRs'!$E$6:$E$505,U50),"")</f>
        <v/>
      </c>
      <c r="W50" s="96" t="str">
        <f>IF(G50="","",IFERROR(IF(ISNUMBER(INDEX(cfg_fac,MATCH(G50,cfg_units,0))),IF(INDEX(cfg_fac,MATCH(G50,cfg_units,0))&gt;0,INDEX(cfg_fac,MATCH(G50,cfg_units,0)),""),""),""))</f>
        <v/>
      </c>
      <c r="X50" s="96">
        <f>IF(AND(ISNUMBER(F50),ISNUMBER(H50)),IF(H50&gt;0,1,0),0)</f>
        <v>0</v>
      </c>
      <c r="Y50" s="96">
        <f>IF(Q50=0,0,IF(OR(T50=0,X50=0,NOT(ISNUMBER(E50)),AND(J50="Sim",L50="",M50=""),AND(ISNUMBER(E50),ISNUMBER(V50),N(V50)&gt;0,E50&lt;N(V50))),1,0))</f>
        <v>0</v>
      </c>
      <c r="Z50" s="96">
        <f>IF(AND(Q50=1,T50=1,X50=1,J50="Sim",OR(L50&lt;&gt;"",M50&lt;&gt;"")),1,0)</f>
        <v>0</v>
      </c>
      <c r="AA50" s="96">
        <f>IF(Q50=0,0,IF(AND(OR(r_ini="",AND(ISNUMBER(E50),E50&gt;=r_ini)),OR(r_fim="",AND(ISNUMBER(E50),E50&lt;=r_fim)),OR(r_un="",r_un="(Todas)",IF(N(U50)&gt;0,INDEX('MTRs'!$G$6:$G$505,U50),"")=r_un),OR(r_de="",r_de="(Todos)",D50=r_de)),1,0))</f>
        <v>0</v>
      </c>
      <c r="AB50" s="96" t="str">
        <f>IF(AA50=1,COUNTIF($AA$6:AA50,1),"")</f>
        <v/>
      </c>
    </row>
    <row r="51">
      <c r="A51" s="89" t="inlineStr">
        <is>
          <t>REC-000046</t>
        </is>
      </c>
      <c r="B51" s="94" t="str">
        <f>IF(T51=1,INDEX('ITENS_MTR'!$S$6:$S$1005,S51)&amp;"","")</f>
        <v/>
      </c>
      <c r="C51" s="91" t="n"/>
      <c r="D51" s="94" t="str">
        <f>IF(N(U51)&gt;0,INDEX('MTRs'!$I$6:$I$505,U51)&amp;"","")</f>
        <v/>
      </c>
      <c r="E51" s="92" t="n"/>
      <c r="F51" s="98" t="n"/>
      <c r="G51" s="91" t="n"/>
      <c r="H51" s="93" t="str">
        <f>IF(Q51=0,"",IF(NOT(ISNUMBER(F51)),"",IF(ISNUMBER(W51),F51*W51,"UNIDADE A CONFERIR")))</f>
        <v/>
      </c>
      <c r="I51" s="91" t="n"/>
      <c r="J51" s="91" t="n"/>
      <c r="K51" s="92" t="n"/>
      <c r="L51" s="91" t="n"/>
      <c r="M51" s="91" t="n"/>
      <c r="N51" s="91" t="n"/>
      <c r="O51" s="91" t="n"/>
      <c r="P51" s="94" t="str">
        <f>IF(Q51=0,"",IF(C51="","Item de resíduo não informado",IF(T51=0,"Item inexistente (referência inválida)",IF(NOT(ISNUMBER(F51)),"Quantidade não informada",IF(F51&lt;=0,"Quantidade não positiva",IF(G51="","Unidade não informada",IF(NOT(ISNUMBER(H51)),"Unidade a conferir",IF(NOT(ISNUMBER(E51)),"Data de recebimento não informada",IF(AND(ISNUMBER(V51),N(V51)&gt;0,E51&lt;N(V51)),"Data anterior à emissão do MTR",IF(AND(J51="Sim",L51="",M51=""),"Conferido sem evidência identificada",IF(J51&lt;&gt;"Sim","Aguardando conferência",IF(INDEX('ITENS_MTR'!$AM$6:$AM$1005,S51)=1,"Conferido (ver diferença no item)","Conferido"))))))))))))</f>
        <v/>
      </c>
      <c r="Q51" s="96">
        <f>IF(COUNTA(C51,E51:G51,I51:O51)&gt;0,1,0)</f>
        <v>0</v>
      </c>
      <c r="R51" s="96" t="str">
        <f>IF(C51="","",TRIM(LEFT(C51,FIND(" |",C51&amp;" |")-1)))</f>
        <v/>
      </c>
      <c r="S51" s="96" t="str">
        <f>IF(R51="","",IFERROR(MATCH(R51,'ITENS_MTR'!$A$6:$A$1005,0),""))</f>
        <v/>
      </c>
      <c r="T51" s="96">
        <f>IF(S51="",0,IF(INDEX('ITENS_MTR'!$R$6:$R$1005,S51)=1,1,0))</f>
        <v>0</v>
      </c>
      <c r="U51" s="96" t="str">
        <f>IF(T51=1,INDEX('ITENS_MTR'!$T$6:$T$1005,S51),"")</f>
        <v/>
      </c>
      <c r="V51" s="97" t="str">
        <f>IF(N(U51)&gt;0,INDEX('MTRs'!$E$6:$E$505,U51),"")</f>
        <v/>
      </c>
      <c r="W51" s="96" t="str">
        <f>IF(G51="","",IFERROR(IF(ISNUMBER(INDEX(cfg_fac,MATCH(G51,cfg_units,0))),IF(INDEX(cfg_fac,MATCH(G51,cfg_units,0))&gt;0,INDEX(cfg_fac,MATCH(G51,cfg_units,0)),""),""),""))</f>
        <v/>
      </c>
      <c r="X51" s="96">
        <f>IF(AND(ISNUMBER(F51),ISNUMBER(H51)),IF(H51&gt;0,1,0),0)</f>
        <v>0</v>
      </c>
      <c r="Y51" s="96">
        <f>IF(Q51=0,0,IF(OR(T51=0,X51=0,NOT(ISNUMBER(E51)),AND(J51="Sim",L51="",M51=""),AND(ISNUMBER(E51),ISNUMBER(V51),N(V51)&gt;0,E51&lt;N(V51))),1,0))</f>
        <v>0</v>
      </c>
      <c r="Z51" s="96">
        <f>IF(AND(Q51=1,T51=1,X51=1,J51="Sim",OR(L51&lt;&gt;"",M51&lt;&gt;"")),1,0)</f>
        <v>0</v>
      </c>
      <c r="AA51" s="96">
        <f>IF(Q51=0,0,IF(AND(OR(r_ini="",AND(ISNUMBER(E51),E51&gt;=r_ini)),OR(r_fim="",AND(ISNUMBER(E51),E51&lt;=r_fim)),OR(r_un="",r_un="(Todas)",IF(N(U51)&gt;0,INDEX('MTRs'!$G$6:$G$505,U51),"")=r_un),OR(r_de="",r_de="(Todos)",D51=r_de)),1,0))</f>
        <v>0</v>
      </c>
      <c r="AB51" s="96" t="str">
        <f>IF(AA51=1,COUNTIF($AA$6:AA51,1),"")</f>
        <v/>
      </c>
    </row>
    <row r="52">
      <c r="A52" s="89" t="inlineStr">
        <is>
          <t>REC-000047</t>
        </is>
      </c>
      <c r="B52" s="94" t="str">
        <f>IF(T52=1,INDEX('ITENS_MTR'!$S$6:$S$1005,S52)&amp;"","")</f>
        <v/>
      </c>
      <c r="C52" s="91" t="n"/>
      <c r="D52" s="94" t="str">
        <f>IF(N(U52)&gt;0,INDEX('MTRs'!$I$6:$I$505,U52)&amp;"","")</f>
        <v/>
      </c>
      <c r="E52" s="92" t="n"/>
      <c r="F52" s="98" t="n"/>
      <c r="G52" s="91" t="n"/>
      <c r="H52" s="93" t="str">
        <f>IF(Q52=0,"",IF(NOT(ISNUMBER(F52)),"",IF(ISNUMBER(W52),F52*W52,"UNIDADE A CONFERIR")))</f>
        <v/>
      </c>
      <c r="I52" s="91" t="n"/>
      <c r="J52" s="91" t="n"/>
      <c r="K52" s="92" t="n"/>
      <c r="L52" s="91" t="n"/>
      <c r="M52" s="91" t="n"/>
      <c r="N52" s="91" t="n"/>
      <c r="O52" s="91" t="n"/>
      <c r="P52" s="94" t="str">
        <f>IF(Q52=0,"",IF(C52="","Item de resíduo não informado",IF(T52=0,"Item inexistente (referência inválida)",IF(NOT(ISNUMBER(F52)),"Quantidade não informada",IF(F52&lt;=0,"Quantidade não positiva",IF(G52="","Unidade não informada",IF(NOT(ISNUMBER(H52)),"Unidade a conferir",IF(NOT(ISNUMBER(E52)),"Data de recebimento não informada",IF(AND(ISNUMBER(V52),N(V52)&gt;0,E52&lt;N(V52)),"Data anterior à emissão do MTR",IF(AND(J52="Sim",L52="",M52=""),"Conferido sem evidência identificada",IF(J52&lt;&gt;"Sim","Aguardando conferência",IF(INDEX('ITENS_MTR'!$AM$6:$AM$1005,S52)=1,"Conferido (ver diferença no item)","Conferido"))))))))))))</f>
        <v/>
      </c>
      <c r="Q52" s="96">
        <f>IF(COUNTA(C52,E52:G52,I52:O52)&gt;0,1,0)</f>
        <v>0</v>
      </c>
      <c r="R52" s="96" t="str">
        <f>IF(C52="","",TRIM(LEFT(C52,FIND(" |",C52&amp;" |")-1)))</f>
        <v/>
      </c>
      <c r="S52" s="96" t="str">
        <f>IF(R52="","",IFERROR(MATCH(R52,'ITENS_MTR'!$A$6:$A$1005,0),""))</f>
        <v/>
      </c>
      <c r="T52" s="96">
        <f>IF(S52="",0,IF(INDEX('ITENS_MTR'!$R$6:$R$1005,S52)=1,1,0))</f>
        <v>0</v>
      </c>
      <c r="U52" s="96" t="str">
        <f>IF(T52=1,INDEX('ITENS_MTR'!$T$6:$T$1005,S52),"")</f>
        <v/>
      </c>
      <c r="V52" s="97" t="str">
        <f>IF(N(U52)&gt;0,INDEX('MTRs'!$E$6:$E$505,U52),"")</f>
        <v/>
      </c>
      <c r="W52" s="96" t="str">
        <f>IF(G52="","",IFERROR(IF(ISNUMBER(INDEX(cfg_fac,MATCH(G52,cfg_units,0))),IF(INDEX(cfg_fac,MATCH(G52,cfg_units,0))&gt;0,INDEX(cfg_fac,MATCH(G52,cfg_units,0)),""),""),""))</f>
        <v/>
      </c>
      <c r="X52" s="96">
        <f>IF(AND(ISNUMBER(F52),ISNUMBER(H52)),IF(H52&gt;0,1,0),0)</f>
        <v>0</v>
      </c>
      <c r="Y52" s="96">
        <f>IF(Q52=0,0,IF(OR(T52=0,X52=0,NOT(ISNUMBER(E52)),AND(J52="Sim",L52="",M52=""),AND(ISNUMBER(E52),ISNUMBER(V52),N(V52)&gt;0,E52&lt;N(V52))),1,0))</f>
        <v>0</v>
      </c>
      <c r="Z52" s="96">
        <f>IF(AND(Q52=1,T52=1,X52=1,J52="Sim",OR(L52&lt;&gt;"",M52&lt;&gt;"")),1,0)</f>
        <v>0</v>
      </c>
      <c r="AA52" s="96">
        <f>IF(Q52=0,0,IF(AND(OR(r_ini="",AND(ISNUMBER(E52),E52&gt;=r_ini)),OR(r_fim="",AND(ISNUMBER(E52),E52&lt;=r_fim)),OR(r_un="",r_un="(Todas)",IF(N(U52)&gt;0,INDEX('MTRs'!$G$6:$G$505,U52),"")=r_un),OR(r_de="",r_de="(Todos)",D52=r_de)),1,0))</f>
        <v>0</v>
      </c>
      <c r="AB52" s="96" t="str">
        <f>IF(AA52=1,COUNTIF($AA$6:AA52,1),"")</f>
        <v/>
      </c>
    </row>
    <row r="53">
      <c r="A53" s="89" t="inlineStr">
        <is>
          <t>REC-000048</t>
        </is>
      </c>
      <c r="B53" s="94" t="str">
        <f>IF(T53=1,INDEX('ITENS_MTR'!$S$6:$S$1005,S53)&amp;"","")</f>
        <v/>
      </c>
      <c r="C53" s="91" t="n"/>
      <c r="D53" s="94" t="str">
        <f>IF(N(U53)&gt;0,INDEX('MTRs'!$I$6:$I$505,U53)&amp;"","")</f>
        <v/>
      </c>
      <c r="E53" s="92" t="n"/>
      <c r="F53" s="98" t="n"/>
      <c r="G53" s="91" t="n"/>
      <c r="H53" s="93" t="str">
        <f>IF(Q53=0,"",IF(NOT(ISNUMBER(F53)),"",IF(ISNUMBER(W53),F53*W53,"UNIDADE A CONFERIR")))</f>
        <v/>
      </c>
      <c r="I53" s="91" t="n"/>
      <c r="J53" s="91" t="n"/>
      <c r="K53" s="92" t="n"/>
      <c r="L53" s="91" t="n"/>
      <c r="M53" s="91" t="n"/>
      <c r="N53" s="91" t="n"/>
      <c r="O53" s="91" t="n"/>
      <c r="P53" s="94" t="str">
        <f>IF(Q53=0,"",IF(C53="","Item de resíduo não informado",IF(T53=0,"Item inexistente (referência inválida)",IF(NOT(ISNUMBER(F53)),"Quantidade não informada",IF(F53&lt;=0,"Quantidade não positiva",IF(G53="","Unidade não informada",IF(NOT(ISNUMBER(H53)),"Unidade a conferir",IF(NOT(ISNUMBER(E53)),"Data de recebimento não informada",IF(AND(ISNUMBER(V53),N(V53)&gt;0,E53&lt;N(V53)),"Data anterior à emissão do MTR",IF(AND(J53="Sim",L53="",M53=""),"Conferido sem evidência identificada",IF(J53&lt;&gt;"Sim","Aguardando conferência",IF(INDEX('ITENS_MTR'!$AM$6:$AM$1005,S53)=1,"Conferido (ver diferença no item)","Conferido"))))))))))))</f>
        <v/>
      </c>
      <c r="Q53" s="96">
        <f>IF(COUNTA(C53,E53:G53,I53:O53)&gt;0,1,0)</f>
        <v>0</v>
      </c>
      <c r="R53" s="96" t="str">
        <f>IF(C53="","",TRIM(LEFT(C53,FIND(" |",C53&amp;" |")-1)))</f>
        <v/>
      </c>
      <c r="S53" s="96" t="str">
        <f>IF(R53="","",IFERROR(MATCH(R53,'ITENS_MTR'!$A$6:$A$1005,0),""))</f>
        <v/>
      </c>
      <c r="T53" s="96">
        <f>IF(S53="",0,IF(INDEX('ITENS_MTR'!$R$6:$R$1005,S53)=1,1,0))</f>
        <v>0</v>
      </c>
      <c r="U53" s="96" t="str">
        <f>IF(T53=1,INDEX('ITENS_MTR'!$T$6:$T$1005,S53),"")</f>
        <v/>
      </c>
      <c r="V53" s="97" t="str">
        <f>IF(N(U53)&gt;0,INDEX('MTRs'!$E$6:$E$505,U53),"")</f>
        <v/>
      </c>
      <c r="W53" s="96" t="str">
        <f>IF(G53="","",IFERROR(IF(ISNUMBER(INDEX(cfg_fac,MATCH(G53,cfg_units,0))),IF(INDEX(cfg_fac,MATCH(G53,cfg_units,0))&gt;0,INDEX(cfg_fac,MATCH(G53,cfg_units,0)),""),""),""))</f>
        <v/>
      </c>
      <c r="X53" s="96">
        <f>IF(AND(ISNUMBER(F53),ISNUMBER(H53)),IF(H53&gt;0,1,0),0)</f>
        <v>0</v>
      </c>
      <c r="Y53" s="96">
        <f>IF(Q53=0,0,IF(OR(T53=0,X53=0,NOT(ISNUMBER(E53)),AND(J53="Sim",L53="",M53=""),AND(ISNUMBER(E53),ISNUMBER(V53),N(V53)&gt;0,E53&lt;N(V53))),1,0))</f>
        <v>0</v>
      </c>
      <c r="Z53" s="96">
        <f>IF(AND(Q53=1,T53=1,X53=1,J53="Sim",OR(L53&lt;&gt;"",M53&lt;&gt;"")),1,0)</f>
        <v>0</v>
      </c>
      <c r="AA53" s="96">
        <f>IF(Q53=0,0,IF(AND(OR(r_ini="",AND(ISNUMBER(E53),E53&gt;=r_ini)),OR(r_fim="",AND(ISNUMBER(E53),E53&lt;=r_fim)),OR(r_un="",r_un="(Todas)",IF(N(U53)&gt;0,INDEX('MTRs'!$G$6:$G$505,U53),"")=r_un),OR(r_de="",r_de="(Todos)",D53=r_de)),1,0))</f>
        <v>0</v>
      </c>
      <c r="AB53" s="96" t="str">
        <f>IF(AA53=1,COUNTIF($AA$6:AA53,1),"")</f>
        <v/>
      </c>
    </row>
    <row r="54">
      <c r="A54" s="89" t="inlineStr">
        <is>
          <t>REC-000049</t>
        </is>
      </c>
      <c r="B54" s="94" t="str">
        <f>IF(T54=1,INDEX('ITENS_MTR'!$S$6:$S$1005,S54)&amp;"","")</f>
        <v/>
      </c>
      <c r="C54" s="91" t="n"/>
      <c r="D54" s="94" t="str">
        <f>IF(N(U54)&gt;0,INDEX('MTRs'!$I$6:$I$505,U54)&amp;"","")</f>
        <v/>
      </c>
      <c r="E54" s="92" t="n"/>
      <c r="F54" s="98" t="n"/>
      <c r="G54" s="91" t="n"/>
      <c r="H54" s="93" t="str">
        <f>IF(Q54=0,"",IF(NOT(ISNUMBER(F54)),"",IF(ISNUMBER(W54),F54*W54,"UNIDADE A CONFERIR")))</f>
        <v/>
      </c>
      <c r="I54" s="91" t="n"/>
      <c r="J54" s="91" t="n"/>
      <c r="K54" s="92" t="n"/>
      <c r="L54" s="91" t="n"/>
      <c r="M54" s="91" t="n"/>
      <c r="N54" s="91" t="n"/>
      <c r="O54" s="91" t="n"/>
      <c r="P54" s="94" t="str">
        <f>IF(Q54=0,"",IF(C54="","Item de resíduo não informado",IF(T54=0,"Item inexistente (referência inválida)",IF(NOT(ISNUMBER(F54)),"Quantidade não informada",IF(F54&lt;=0,"Quantidade não positiva",IF(G54="","Unidade não informada",IF(NOT(ISNUMBER(H54)),"Unidade a conferir",IF(NOT(ISNUMBER(E54)),"Data de recebimento não informada",IF(AND(ISNUMBER(V54),N(V54)&gt;0,E54&lt;N(V54)),"Data anterior à emissão do MTR",IF(AND(J54="Sim",L54="",M54=""),"Conferido sem evidência identificada",IF(J54&lt;&gt;"Sim","Aguardando conferência",IF(INDEX('ITENS_MTR'!$AM$6:$AM$1005,S54)=1,"Conferido (ver diferença no item)","Conferido"))))))))))))</f>
        <v/>
      </c>
      <c r="Q54" s="96">
        <f>IF(COUNTA(C54,E54:G54,I54:O54)&gt;0,1,0)</f>
        <v>0</v>
      </c>
      <c r="R54" s="96" t="str">
        <f>IF(C54="","",TRIM(LEFT(C54,FIND(" |",C54&amp;" |")-1)))</f>
        <v/>
      </c>
      <c r="S54" s="96" t="str">
        <f>IF(R54="","",IFERROR(MATCH(R54,'ITENS_MTR'!$A$6:$A$1005,0),""))</f>
        <v/>
      </c>
      <c r="T54" s="96">
        <f>IF(S54="",0,IF(INDEX('ITENS_MTR'!$R$6:$R$1005,S54)=1,1,0))</f>
        <v>0</v>
      </c>
      <c r="U54" s="96" t="str">
        <f>IF(T54=1,INDEX('ITENS_MTR'!$T$6:$T$1005,S54),"")</f>
        <v/>
      </c>
      <c r="V54" s="97" t="str">
        <f>IF(N(U54)&gt;0,INDEX('MTRs'!$E$6:$E$505,U54),"")</f>
        <v/>
      </c>
      <c r="W54" s="96" t="str">
        <f>IF(G54="","",IFERROR(IF(ISNUMBER(INDEX(cfg_fac,MATCH(G54,cfg_units,0))),IF(INDEX(cfg_fac,MATCH(G54,cfg_units,0))&gt;0,INDEX(cfg_fac,MATCH(G54,cfg_units,0)),""),""),""))</f>
        <v/>
      </c>
      <c r="X54" s="96">
        <f>IF(AND(ISNUMBER(F54),ISNUMBER(H54)),IF(H54&gt;0,1,0),0)</f>
        <v>0</v>
      </c>
      <c r="Y54" s="96">
        <f>IF(Q54=0,0,IF(OR(T54=0,X54=0,NOT(ISNUMBER(E54)),AND(J54="Sim",L54="",M54=""),AND(ISNUMBER(E54),ISNUMBER(V54),N(V54)&gt;0,E54&lt;N(V54))),1,0))</f>
        <v>0</v>
      </c>
      <c r="Z54" s="96">
        <f>IF(AND(Q54=1,T54=1,X54=1,J54="Sim",OR(L54&lt;&gt;"",M54&lt;&gt;"")),1,0)</f>
        <v>0</v>
      </c>
      <c r="AA54" s="96">
        <f>IF(Q54=0,0,IF(AND(OR(r_ini="",AND(ISNUMBER(E54),E54&gt;=r_ini)),OR(r_fim="",AND(ISNUMBER(E54),E54&lt;=r_fim)),OR(r_un="",r_un="(Todas)",IF(N(U54)&gt;0,INDEX('MTRs'!$G$6:$G$505,U54),"")=r_un),OR(r_de="",r_de="(Todos)",D54=r_de)),1,0))</f>
        <v>0</v>
      </c>
      <c r="AB54" s="96" t="str">
        <f>IF(AA54=1,COUNTIF($AA$6:AA54,1),"")</f>
        <v/>
      </c>
    </row>
    <row r="55">
      <c r="A55" s="89" t="inlineStr">
        <is>
          <t>REC-000050</t>
        </is>
      </c>
      <c r="B55" s="94" t="str">
        <f>IF(T55=1,INDEX('ITENS_MTR'!$S$6:$S$1005,S55)&amp;"","")</f>
        <v/>
      </c>
      <c r="C55" s="91" t="n"/>
      <c r="D55" s="94" t="str">
        <f>IF(N(U55)&gt;0,INDEX('MTRs'!$I$6:$I$505,U55)&amp;"","")</f>
        <v/>
      </c>
      <c r="E55" s="92" t="n"/>
      <c r="F55" s="98" t="n"/>
      <c r="G55" s="91" t="n"/>
      <c r="H55" s="93" t="str">
        <f>IF(Q55=0,"",IF(NOT(ISNUMBER(F55)),"",IF(ISNUMBER(W55),F55*W55,"UNIDADE A CONFERIR")))</f>
        <v/>
      </c>
      <c r="I55" s="91" t="n"/>
      <c r="J55" s="91" t="n"/>
      <c r="K55" s="92" t="n"/>
      <c r="L55" s="91" t="n"/>
      <c r="M55" s="91" t="n"/>
      <c r="N55" s="91" t="n"/>
      <c r="O55" s="91" t="n"/>
      <c r="P55" s="94" t="str">
        <f>IF(Q55=0,"",IF(C55="","Item de resíduo não informado",IF(T55=0,"Item inexistente (referência inválida)",IF(NOT(ISNUMBER(F55)),"Quantidade não informada",IF(F55&lt;=0,"Quantidade não positiva",IF(G55="","Unidade não informada",IF(NOT(ISNUMBER(H55)),"Unidade a conferir",IF(NOT(ISNUMBER(E55)),"Data de recebimento não informada",IF(AND(ISNUMBER(V55),N(V55)&gt;0,E55&lt;N(V55)),"Data anterior à emissão do MTR",IF(AND(J55="Sim",L55="",M55=""),"Conferido sem evidência identificada",IF(J55&lt;&gt;"Sim","Aguardando conferência",IF(INDEX('ITENS_MTR'!$AM$6:$AM$1005,S55)=1,"Conferido (ver diferença no item)","Conferido"))))))))))))</f>
        <v/>
      </c>
      <c r="Q55" s="96">
        <f>IF(COUNTA(C55,E55:G55,I55:O55)&gt;0,1,0)</f>
        <v>0</v>
      </c>
      <c r="R55" s="96" t="str">
        <f>IF(C55="","",TRIM(LEFT(C55,FIND(" |",C55&amp;" |")-1)))</f>
        <v/>
      </c>
      <c r="S55" s="96" t="str">
        <f>IF(R55="","",IFERROR(MATCH(R55,'ITENS_MTR'!$A$6:$A$1005,0),""))</f>
        <v/>
      </c>
      <c r="T55" s="96">
        <f>IF(S55="",0,IF(INDEX('ITENS_MTR'!$R$6:$R$1005,S55)=1,1,0))</f>
        <v>0</v>
      </c>
      <c r="U55" s="96" t="str">
        <f>IF(T55=1,INDEX('ITENS_MTR'!$T$6:$T$1005,S55),"")</f>
        <v/>
      </c>
      <c r="V55" s="97" t="str">
        <f>IF(N(U55)&gt;0,INDEX('MTRs'!$E$6:$E$505,U55),"")</f>
        <v/>
      </c>
      <c r="W55" s="96" t="str">
        <f>IF(G55="","",IFERROR(IF(ISNUMBER(INDEX(cfg_fac,MATCH(G55,cfg_units,0))),IF(INDEX(cfg_fac,MATCH(G55,cfg_units,0))&gt;0,INDEX(cfg_fac,MATCH(G55,cfg_units,0)),""),""),""))</f>
        <v/>
      </c>
      <c r="X55" s="96">
        <f>IF(AND(ISNUMBER(F55),ISNUMBER(H55)),IF(H55&gt;0,1,0),0)</f>
        <v>0</v>
      </c>
      <c r="Y55" s="96">
        <f>IF(Q55=0,0,IF(OR(T55=0,X55=0,NOT(ISNUMBER(E55)),AND(J55="Sim",L55="",M55=""),AND(ISNUMBER(E55),ISNUMBER(V55),N(V55)&gt;0,E55&lt;N(V55))),1,0))</f>
        <v>0</v>
      </c>
      <c r="Z55" s="96">
        <f>IF(AND(Q55=1,T55=1,X55=1,J55="Sim",OR(L55&lt;&gt;"",M55&lt;&gt;"")),1,0)</f>
        <v>0</v>
      </c>
      <c r="AA55" s="96">
        <f>IF(Q55=0,0,IF(AND(OR(r_ini="",AND(ISNUMBER(E55),E55&gt;=r_ini)),OR(r_fim="",AND(ISNUMBER(E55),E55&lt;=r_fim)),OR(r_un="",r_un="(Todas)",IF(N(U55)&gt;0,INDEX('MTRs'!$G$6:$G$505,U55),"")=r_un),OR(r_de="",r_de="(Todos)",D55=r_de)),1,0))</f>
        <v>0</v>
      </c>
      <c r="AB55" s="96" t="str">
        <f>IF(AA55=1,COUNTIF($AA$6:AA55,1),"")</f>
        <v/>
      </c>
    </row>
    <row r="56">
      <c r="A56" s="89" t="inlineStr">
        <is>
          <t>REC-000051</t>
        </is>
      </c>
      <c r="B56" s="94" t="str">
        <f>IF(T56=1,INDEX('ITENS_MTR'!$S$6:$S$1005,S56)&amp;"","")</f>
        <v/>
      </c>
      <c r="C56" s="91" t="n"/>
      <c r="D56" s="94" t="str">
        <f>IF(N(U56)&gt;0,INDEX('MTRs'!$I$6:$I$505,U56)&amp;"","")</f>
        <v/>
      </c>
      <c r="E56" s="92" t="n"/>
      <c r="F56" s="98" t="n"/>
      <c r="G56" s="91" t="n"/>
      <c r="H56" s="93" t="str">
        <f>IF(Q56=0,"",IF(NOT(ISNUMBER(F56)),"",IF(ISNUMBER(W56),F56*W56,"UNIDADE A CONFERIR")))</f>
        <v/>
      </c>
      <c r="I56" s="91" t="n"/>
      <c r="J56" s="91" t="n"/>
      <c r="K56" s="92" t="n"/>
      <c r="L56" s="91" t="n"/>
      <c r="M56" s="91" t="n"/>
      <c r="N56" s="91" t="n"/>
      <c r="O56" s="91" t="n"/>
      <c r="P56" s="94" t="str">
        <f>IF(Q56=0,"",IF(C56="","Item de resíduo não informado",IF(T56=0,"Item inexistente (referência inválida)",IF(NOT(ISNUMBER(F56)),"Quantidade não informada",IF(F56&lt;=0,"Quantidade não positiva",IF(G56="","Unidade não informada",IF(NOT(ISNUMBER(H56)),"Unidade a conferir",IF(NOT(ISNUMBER(E56)),"Data de recebimento não informada",IF(AND(ISNUMBER(V56),N(V56)&gt;0,E56&lt;N(V56)),"Data anterior à emissão do MTR",IF(AND(J56="Sim",L56="",M56=""),"Conferido sem evidência identificada",IF(J56&lt;&gt;"Sim","Aguardando conferência",IF(INDEX('ITENS_MTR'!$AM$6:$AM$1005,S56)=1,"Conferido (ver diferença no item)","Conferido"))))))))))))</f>
        <v/>
      </c>
      <c r="Q56" s="96">
        <f>IF(COUNTA(C56,E56:G56,I56:O56)&gt;0,1,0)</f>
        <v>0</v>
      </c>
      <c r="R56" s="96" t="str">
        <f>IF(C56="","",TRIM(LEFT(C56,FIND(" |",C56&amp;" |")-1)))</f>
        <v/>
      </c>
      <c r="S56" s="96" t="str">
        <f>IF(R56="","",IFERROR(MATCH(R56,'ITENS_MTR'!$A$6:$A$1005,0),""))</f>
        <v/>
      </c>
      <c r="T56" s="96">
        <f>IF(S56="",0,IF(INDEX('ITENS_MTR'!$R$6:$R$1005,S56)=1,1,0))</f>
        <v>0</v>
      </c>
      <c r="U56" s="96" t="str">
        <f>IF(T56=1,INDEX('ITENS_MTR'!$T$6:$T$1005,S56),"")</f>
        <v/>
      </c>
      <c r="V56" s="97" t="str">
        <f>IF(N(U56)&gt;0,INDEX('MTRs'!$E$6:$E$505,U56),"")</f>
        <v/>
      </c>
      <c r="W56" s="96" t="str">
        <f>IF(G56="","",IFERROR(IF(ISNUMBER(INDEX(cfg_fac,MATCH(G56,cfg_units,0))),IF(INDEX(cfg_fac,MATCH(G56,cfg_units,0))&gt;0,INDEX(cfg_fac,MATCH(G56,cfg_units,0)),""),""),""))</f>
        <v/>
      </c>
      <c r="X56" s="96">
        <f>IF(AND(ISNUMBER(F56),ISNUMBER(H56)),IF(H56&gt;0,1,0),0)</f>
        <v>0</v>
      </c>
      <c r="Y56" s="96">
        <f>IF(Q56=0,0,IF(OR(T56=0,X56=0,NOT(ISNUMBER(E56)),AND(J56="Sim",L56="",M56=""),AND(ISNUMBER(E56),ISNUMBER(V56),N(V56)&gt;0,E56&lt;N(V56))),1,0))</f>
        <v>0</v>
      </c>
      <c r="Z56" s="96">
        <f>IF(AND(Q56=1,T56=1,X56=1,J56="Sim",OR(L56&lt;&gt;"",M56&lt;&gt;"")),1,0)</f>
        <v>0</v>
      </c>
      <c r="AA56" s="96">
        <f>IF(Q56=0,0,IF(AND(OR(r_ini="",AND(ISNUMBER(E56),E56&gt;=r_ini)),OR(r_fim="",AND(ISNUMBER(E56),E56&lt;=r_fim)),OR(r_un="",r_un="(Todas)",IF(N(U56)&gt;0,INDEX('MTRs'!$G$6:$G$505,U56),"")=r_un),OR(r_de="",r_de="(Todos)",D56=r_de)),1,0))</f>
        <v>0</v>
      </c>
      <c r="AB56" s="96" t="str">
        <f>IF(AA56=1,COUNTIF($AA$6:AA56,1),"")</f>
        <v/>
      </c>
    </row>
    <row r="57">
      <c r="A57" s="89" t="inlineStr">
        <is>
          <t>REC-000052</t>
        </is>
      </c>
      <c r="B57" s="94" t="str">
        <f>IF(T57=1,INDEX('ITENS_MTR'!$S$6:$S$1005,S57)&amp;"","")</f>
        <v/>
      </c>
      <c r="C57" s="91" t="n"/>
      <c r="D57" s="94" t="str">
        <f>IF(N(U57)&gt;0,INDEX('MTRs'!$I$6:$I$505,U57)&amp;"","")</f>
        <v/>
      </c>
      <c r="E57" s="92" t="n"/>
      <c r="F57" s="98" t="n"/>
      <c r="G57" s="91" t="n"/>
      <c r="H57" s="93" t="str">
        <f>IF(Q57=0,"",IF(NOT(ISNUMBER(F57)),"",IF(ISNUMBER(W57),F57*W57,"UNIDADE A CONFERIR")))</f>
        <v/>
      </c>
      <c r="I57" s="91" t="n"/>
      <c r="J57" s="91" t="n"/>
      <c r="K57" s="92" t="n"/>
      <c r="L57" s="91" t="n"/>
      <c r="M57" s="91" t="n"/>
      <c r="N57" s="91" t="n"/>
      <c r="O57" s="91" t="n"/>
      <c r="P57" s="94" t="str">
        <f>IF(Q57=0,"",IF(C57="","Item de resíduo não informado",IF(T57=0,"Item inexistente (referência inválida)",IF(NOT(ISNUMBER(F57)),"Quantidade não informada",IF(F57&lt;=0,"Quantidade não positiva",IF(G57="","Unidade não informada",IF(NOT(ISNUMBER(H57)),"Unidade a conferir",IF(NOT(ISNUMBER(E57)),"Data de recebimento não informada",IF(AND(ISNUMBER(V57),N(V57)&gt;0,E57&lt;N(V57)),"Data anterior à emissão do MTR",IF(AND(J57="Sim",L57="",M57=""),"Conferido sem evidência identificada",IF(J57&lt;&gt;"Sim","Aguardando conferência",IF(INDEX('ITENS_MTR'!$AM$6:$AM$1005,S57)=1,"Conferido (ver diferença no item)","Conferido"))))))))))))</f>
        <v/>
      </c>
      <c r="Q57" s="96">
        <f>IF(COUNTA(C57,E57:G57,I57:O57)&gt;0,1,0)</f>
        <v>0</v>
      </c>
      <c r="R57" s="96" t="str">
        <f>IF(C57="","",TRIM(LEFT(C57,FIND(" |",C57&amp;" |")-1)))</f>
        <v/>
      </c>
      <c r="S57" s="96" t="str">
        <f>IF(R57="","",IFERROR(MATCH(R57,'ITENS_MTR'!$A$6:$A$1005,0),""))</f>
        <v/>
      </c>
      <c r="T57" s="96">
        <f>IF(S57="",0,IF(INDEX('ITENS_MTR'!$R$6:$R$1005,S57)=1,1,0))</f>
        <v>0</v>
      </c>
      <c r="U57" s="96" t="str">
        <f>IF(T57=1,INDEX('ITENS_MTR'!$T$6:$T$1005,S57),"")</f>
        <v/>
      </c>
      <c r="V57" s="97" t="str">
        <f>IF(N(U57)&gt;0,INDEX('MTRs'!$E$6:$E$505,U57),"")</f>
        <v/>
      </c>
      <c r="W57" s="96" t="str">
        <f>IF(G57="","",IFERROR(IF(ISNUMBER(INDEX(cfg_fac,MATCH(G57,cfg_units,0))),IF(INDEX(cfg_fac,MATCH(G57,cfg_units,0))&gt;0,INDEX(cfg_fac,MATCH(G57,cfg_units,0)),""),""),""))</f>
        <v/>
      </c>
      <c r="X57" s="96">
        <f>IF(AND(ISNUMBER(F57),ISNUMBER(H57)),IF(H57&gt;0,1,0),0)</f>
        <v>0</v>
      </c>
      <c r="Y57" s="96">
        <f>IF(Q57=0,0,IF(OR(T57=0,X57=0,NOT(ISNUMBER(E57)),AND(J57="Sim",L57="",M57=""),AND(ISNUMBER(E57),ISNUMBER(V57),N(V57)&gt;0,E57&lt;N(V57))),1,0))</f>
        <v>0</v>
      </c>
      <c r="Z57" s="96">
        <f>IF(AND(Q57=1,T57=1,X57=1,J57="Sim",OR(L57&lt;&gt;"",M57&lt;&gt;"")),1,0)</f>
        <v>0</v>
      </c>
      <c r="AA57" s="96">
        <f>IF(Q57=0,0,IF(AND(OR(r_ini="",AND(ISNUMBER(E57),E57&gt;=r_ini)),OR(r_fim="",AND(ISNUMBER(E57),E57&lt;=r_fim)),OR(r_un="",r_un="(Todas)",IF(N(U57)&gt;0,INDEX('MTRs'!$G$6:$G$505,U57),"")=r_un),OR(r_de="",r_de="(Todos)",D57=r_de)),1,0))</f>
        <v>0</v>
      </c>
      <c r="AB57" s="96" t="str">
        <f>IF(AA57=1,COUNTIF($AA$6:AA57,1),"")</f>
        <v/>
      </c>
    </row>
    <row r="58">
      <c r="A58" s="89" t="inlineStr">
        <is>
          <t>REC-000053</t>
        </is>
      </c>
      <c r="B58" s="94" t="str">
        <f>IF(T58=1,INDEX('ITENS_MTR'!$S$6:$S$1005,S58)&amp;"","")</f>
        <v/>
      </c>
      <c r="C58" s="91" t="n"/>
      <c r="D58" s="94" t="str">
        <f>IF(N(U58)&gt;0,INDEX('MTRs'!$I$6:$I$505,U58)&amp;"","")</f>
        <v/>
      </c>
      <c r="E58" s="92" t="n"/>
      <c r="F58" s="98" t="n"/>
      <c r="G58" s="91" t="n"/>
      <c r="H58" s="93" t="str">
        <f>IF(Q58=0,"",IF(NOT(ISNUMBER(F58)),"",IF(ISNUMBER(W58),F58*W58,"UNIDADE A CONFERIR")))</f>
        <v/>
      </c>
      <c r="I58" s="91" t="n"/>
      <c r="J58" s="91" t="n"/>
      <c r="K58" s="92" t="n"/>
      <c r="L58" s="91" t="n"/>
      <c r="M58" s="91" t="n"/>
      <c r="N58" s="91" t="n"/>
      <c r="O58" s="91" t="n"/>
      <c r="P58" s="94" t="str">
        <f>IF(Q58=0,"",IF(C58="","Item de resíduo não informado",IF(T58=0,"Item inexistente (referência inválida)",IF(NOT(ISNUMBER(F58)),"Quantidade não informada",IF(F58&lt;=0,"Quantidade não positiva",IF(G58="","Unidade não informada",IF(NOT(ISNUMBER(H58)),"Unidade a conferir",IF(NOT(ISNUMBER(E58)),"Data de recebimento não informada",IF(AND(ISNUMBER(V58),N(V58)&gt;0,E58&lt;N(V58)),"Data anterior à emissão do MTR",IF(AND(J58="Sim",L58="",M58=""),"Conferido sem evidência identificada",IF(J58&lt;&gt;"Sim","Aguardando conferência",IF(INDEX('ITENS_MTR'!$AM$6:$AM$1005,S58)=1,"Conferido (ver diferença no item)","Conferido"))))))))))))</f>
        <v/>
      </c>
      <c r="Q58" s="96">
        <f>IF(COUNTA(C58,E58:G58,I58:O58)&gt;0,1,0)</f>
        <v>0</v>
      </c>
      <c r="R58" s="96" t="str">
        <f>IF(C58="","",TRIM(LEFT(C58,FIND(" |",C58&amp;" |")-1)))</f>
        <v/>
      </c>
      <c r="S58" s="96" t="str">
        <f>IF(R58="","",IFERROR(MATCH(R58,'ITENS_MTR'!$A$6:$A$1005,0),""))</f>
        <v/>
      </c>
      <c r="T58" s="96">
        <f>IF(S58="",0,IF(INDEX('ITENS_MTR'!$R$6:$R$1005,S58)=1,1,0))</f>
        <v>0</v>
      </c>
      <c r="U58" s="96" t="str">
        <f>IF(T58=1,INDEX('ITENS_MTR'!$T$6:$T$1005,S58),"")</f>
        <v/>
      </c>
      <c r="V58" s="97" t="str">
        <f>IF(N(U58)&gt;0,INDEX('MTRs'!$E$6:$E$505,U58),"")</f>
        <v/>
      </c>
      <c r="W58" s="96" t="str">
        <f>IF(G58="","",IFERROR(IF(ISNUMBER(INDEX(cfg_fac,MATCH(G58,cfg_units,0))),IF(INDEX(cfg_fac,MATCH(G58,cfg_units,0))&gt;0,INDEX(cfg_fac,MATCH(G58,cfg_units,0)),""),""),""))</f>
        <v/>
      </c>
      <c r="X58" s="96">
        <f>IF(AND(ISNUMBER(F58),ISNUMBER(H58)),IF(H58&gt;0,1,0),0)</f>
        <v>0</v>
      </c>
      <c r="Y58" s="96">
        <f>IF(Q58=0,0,IF(OR(T58=0,X58=0,NOT(ISNUMBER(E58)),AND(J58="Sim",L58="",M58=""),AND(ISNUMBER(E58),ISNUMBER(V58),N(V58)&gt;0,E58&lt;N(V58))),1,0))</f>
        <v>0</v>
      </c>
      <c r="Z58" s="96">
        <f>IF(AND(Q58=1,T58=1,X58=1,J58="Sim",OR(L58&lt;&gt;"",M58&lt;&gt;"")),1,0)</f>
        <v>0</v>
      </c>
      <c r="AA58" s="96">
        <f>IF(Q58=0,0,IF(AND(OR(r_ini="",AND(ISNUMBER(E58),E58&gt;=r_ini)),OR(r_fim="",AND(ISNUMBER(E58),E58&lt;=r_fim)),OR(r_un="",r_un="(Todas)",IF(N(U58)&gt;0,INDEX('MTRs'!$G$6:$G$505,U58),"")=r_un),OR(r_de="",r_de="(Todos)",D58=r_de)),1,0))</f>
        <v>0</v>
      </c>
      <c r="AB58" s="96" t="str">
        <f>IF(AA58=1,COUNTIF($AA$6:AA58,1),"")</f>
        <v/>
      </c>
    </row>
    <row r="59">
      <c r="A59" s="89" t="inlineStr">
        <is>
          <t>REC-000054</t>
        </is>
      </c>
      <c r="B59" s="94" t="str">
        <f>IF(T59=1,INDEX('ITENS_MTR'!$S$6:$S$1005,S59)&amp;"","")</f>
        <v/>
      </c>
      <c r="C59" s="91" t="n"/>
      <c r="D59" s="94" t="str">
        <f>IF(N(U59)&gt;0,INDEX('MTRs'!$I$6:$I$505,U59)&amp;"","")</f>
        <v/>
      </c>
      <c r="E59" s="92" t="n"/>
      <c r="F59" s="98" t="n"/>
      <c r="G59" s="91" t="n"/>
      <c r="H59" s="93" t="str">
        <f>IF(Q59=0,"",IF(NOT(ISNUMBER(F59)),"",IF(ISNUMBER(W59),F59*W59,"UNIDADE A CONFERIR")))</f>
        <v/>
      </c>
      <c r="I59" s="91" t="n"/>
      <c r="J59" s="91" t="n"/>
      <c r="K59" s="92" t="n"/>
      <c r="L59" s="91" t="n"/>
      <c r="M59" s="91" t="n"/>
      <c r="N59" s="91" t="n"/>
      <c r="O59" s="91" t="n"/>
      <c r="P59" s="94" t="str">
        <f>IF(Q59=0,"",IF(C59="","Item de resíduo não informado",IF(T59=0,"Item inexistente (referência inválida)",IF(NOT(ISNUMBER(F59)),"Quantidade não informada",IF(F59&lt;=0,"Quantidade não positiva",IF(G59="","Unidade não informada",IF(NOT(ISNUMBER(H59)),"Unidade a conferir",IF(NOT(ISNUMBER(E59)),"Data de recebimento não informada",IF(AND(ISNUMBER(V59),N(V59)&gt;0,E59&lt;N(V59)),"Data anterior à emissão do MTR",IF(AND(J59="Sim",L59="",M59=""),"Conferido sem evidência identificada",IF(J59&lt;&gt;"Sim","Aguardando conferência",IF(INDEX('ITENS_MTR'!$AM$6:$AM$1005,S59)=1,"Conferido (ver diferença no item)","Conferido"))))))))))))</f>
        <v/>
      </c>
      <c r="Q59" s="96">
        <f>IF(COUNTA(C59,E59:G59,I59:O59)&gt;0,1,0)</f>
        <v>0</v>
      </c>
      <c r="R59" s="96" t="str">
        <f>IF(C59="","",TRIM(LEFT(C59,FIND(" |",C59&amp;" |")-1)))</f>
        <v/>
      </c>
      <c r="S59" s="96" t="str">
        <f>IF(R59="","",IFERROR(MATCH(R59,'ITENS_MTR'!$A$6:$A$1005,0),""))</f>
        <v/>
      </c>
      <c r="T59" s="96">
        <f>IF(S59="",0,IF(INDEX('ITENS_MTR'!$R$6:$R$1005,S59)=1,1,0))</f>
        <v>0</v>
      </c>
      <c r="U59" s="96" t="str">
        <f>IF(T59=1,INDEX('ITENS_MTR'!$T$6:$T$1005,S59),"")</f>
        <v/>
      </c>
      <c r="V59" s="97" t="str">
        <f>IF(N(U59)&gt;0,INDEX('MTRs'!$E$6:$E$505,U59),"")</f>
        <v/>
      </c>
      <c r="W59" s="96" t="str">
        <f>IF(G59="","",IFERROR(IF(ISNUMBER(INDEX(cfg_fac,MATCH(G59,cfg_units,0))),IF(INDEX(cfg_fac,MATCH(G59,cfg_units,0))&gt;0,INDEX(cfg_fac,MATCH(G59,cfg_units,0)),""),""),""))</f>
        <v/>
      </c>
      <c r="X59" s="96">
        <f>IF(AND(ISNUMBER(F59),ISNUMBER(H59)),IF(H59&gt;0,1,0),0)</f>
        <v>0</v>
      </c>
      <c r="Y59" s="96">
        <f>IF(Q59=0,0,IF(OR(T59=0,X59=0,NOT(ISNUMBER(E59)),AND(J59="Sim",L59="",M59=""),AND(ISNUMBER(E59),ISNUMBER(V59),N(V59)&gt;0,E59&lt;N(V59))),1,0))</f>
        <v>0</v>
      </c>
      <c r="Z59" s="96">
        <f>IF(AND(Q59=1,T59=1,X59=1,J59="Sim",OR(L59&lt;&gt;"",M59&lt;&gt;"")),1,0)</f>
        <v>0</v>
      </c>
      <c r="AA59" s="96">
        <f>IF(Q59=0,0,IF(AND(OR(r_ini="",AND(ISNUMBER(E59),E59&gt;=r_ini)),OR(r_fim="",AND(ISNUMBER(E59),E59&lt;=r_fim)),OR(r_un="",r_un="(Todas)",IF(N(U59)&gt;0,INDEX('MTRs'!$G$6:$G$505,U59),"")=r_un),OR(r_de="",r_de="(Todos)",D59=r_de)),1,0))</f>
        <v>0</v>
      </c>
      <c r="AB59" s="96" t="str">
        <f>IF(AA59=1,COUNTIF($AA$6:AA59,1),"")</f>
        <v/>
      </c>
    </row>
    <row r="60">
      <c r="A60" s="89" t="inlineStr">
        <is>
          <t>REC-000055</t>
        </is>
      </c>
      <c r="B60" s="94" t="str">
        <f>IF(T60=1,INDEX('ITENS_MTR'!$S$6:$S$1005,S60)&amp;"","")</f>
        <v/>
      </c>
      <c r="C60" s="91" t="n"/>
      <c r="D60" s="94" t="str">
        <f>IF(N(U60)&gt;0,INDEX('MTRs'!$I$6:$I$505,U60)&amp;"","")</f>
        <v/>
      </c>
      <c r="E60" s="92" t="n"/>
      <c r="F60" s="98" t="n"/>
      <c r="G60" s="91" t="n"/>
      <c r="H60" s="93" t="str">
        <f>IF(Q60=0,"",IF(NOT(ISNUMBER(F60)),"",IF(ISNUMBER(W60),F60*W60,"UNIDADE A CONFERIR")))</f>
        <v/>
      </c>
      <c r="I60" s="91" t="n"/>
      <c r="J60" s="91" t="n"/>
      <c r="K60" s="92" t="n"/>
      <c r="L60" s="91" t="n"/>
      <c r="M60" s="91" t="n"/>
      <c r="N60" s="91" t="n"/>
      <c r="O60" s="91" t="n"/>
      <c r="P60" s="94" t="str">
        <f>IF(Q60=0,"",IF(C60="","Item de resíduo não informado",IF(T60=0,"Item inexistente (referência inválida)",IF(NOT(ISNUMBER(F60)),"Quantidade não informada",IF(F60&lt;=0,"Quantidade não positiva",IF(G60="","Unidade não informada",IF(NOT(ISNUMBER(H60)),"Unidade a conferir",IF(NOT(ISNUMBER(E60)),"Data de recebimento não informada",IF(AND(ISNUMBER(V60),N(V60)&gt;0,E60&lt;N(V60)),"Data anterior à emissão do MTR",IF(AND(J60="Sim",L60="",M60=""),"Conferido sem evidência identificada",IF(J60&lt;&gt;"Sim","Aguardando conferência",IF(INDEX('ITENS_MTR'!$AM$6:$AM$1005,S60)=1,"Conferido (ver diferença no item)","Conferido"))))))))))))</f>
        <v/>
      </c>
      <c r="Q60" s="96">
        <f>IF(COUNTA(C60,E60:G60,I60:O60)&gt;0,1,0)</f>
        <v>0</v>
      </c>
      <c r="R60" s="96" t="str">
        <f>IF(C60="","",TRIM(LEFT(C60,FIND(" |",C60&amp;" |")-1)))</f>
        <v/>
      </c>
      <c r="S60" s="96" t="str">
        <f>IF(R60="","",IFERROR(MATCH(R60,'ITENS_MTR'!$A$6:$A$1005,0),""))</f>
        <v/>
      </c>
      <c r="T60" s="96">
        <f>IF(S60="",0,IF(INDEX('ITENS_MTR'!$R$6:$R$1005,S60)=1,1,0))</f>
        <v>0</v>
      </c>
      <c r="U60" s="96" t="str">
        <f>IF(T60=1,INDEX('ITENS_MTR'!$T$6:$T$1005,S60),"")</f>
        <v/>
      </c>
      <c r="V60" s="97" t="str">
        <f>IF(N(U60)&gt;0,INDEX('MTRs'!$E$6:$E$505,U60),"")</f>
        <v/>
      </c>
      <c r="W60" s="96" t="str">
        <f>IF(G60="","",IFERROR(IF(ISNUMBER(INDEX(cfg_fac,MATCH(G60,cfg_units,0))),IF(INDEX(cfg_fac,MATCH(G60,cfg_units,0))&gt;0,INDEX(cfg_fac,MATCH(G60,cfg_units,0)),""),""),""))</f>
        <v/>
      </c>
      <c r="X60" s="96">
        <f>IF(AND(ISNUMBER(F60),ISNUMBER(H60)),IF(H60&gt;0,1,0),0)</f>
        <v>0</v>
      </c>
      <c r="Y60" s="96">
        <f>IF(Q60=0,0,IF(OR(T60=0,X60=0,NOT(ISNUMBER(E60)),AND(J60="Sim",L60="",M60=""),AND(ISNUMBER(E60),ISNUMBER(V60),N(V60)&gt;0,E60&lt;N(V60))),1,0))</f>
        <v>0</v>
      </c>
      <c r="Z60" s="96">
        <f>IF(AND(Q60=1,T60=1,X60=1,J60="Sim",OR(L60&lt;&gt;"",M60&lt;&gt;"")),1,0)</f>
        <v>0</v>
      </c>
      <c r="AA60" s="96">
        <f>IF(Q60=0,0,IF(AND(OR(r_ini="",AND(ISNUMBER(E60),E60&gt;=r_ini)),OR(r_fim="",AND(ISNUMBER(E60),E60&lt;=r_fim)),OR(r_un="",r_un="(Todas)",IF(N(U60)&gt;0,INDEX('MTRs'!$G$6:$G$505,U60),"")=r_un),OR(r_de="",r_de="(Todos)",D60=r_de)),1,0))</f>
        <v>0</v>
      </c>
      <c r="AB60" s="96" t="str">
        <f>IF(AA60=1,COUNTIF($AA$6:AA60,1),"")</f>
        <v/>
      </c>
    </row>
    <row r="61">
      <c r="A61" s="89" t="inlineStr">
        <is>
          <t>REC-000056</t>
        </is>
      </c>
      <c r="B61" s="94" t="str">
        <f>IF(T61=1,INDEX('ITENS_MTR'!$S$6:$S$1005,S61)&amp;"","")</f>
        <v/>
      </c>
      <c r="C61" s="91" t="n"/>
      <c r="D61" s="94" t="str">
        <f>IF(N(U61)&gt;0,INDEX('MTRs'!$I$6:$I$505,U61)&amp;"","")</f>
        <v/>
      </c>
      <c r="E61" s="92" t="n"/>
      <c r="F61" s="98" t="n"/>
      <c r="G61" s="91" t="n"/>
      <c r="H61" s="93" t="str">
        <f>IF(Q61=0,"",IF(NOT(ISNUMBER(F61)),"",IF(ISNUMBER(W61),F61*W61,"UNIDADE A CONFERIR")))</f>
        <v/>
      </c>
      <c r="I61" s="91" t="n"/>
      <c r="J61" s="91" t="n"/>
      <c r="K61" s="92" t="n"/>
      <c r="L61" s="91" t="n"/>
      <c r="M61" s="91" t="n"/>
      <c r="N61" s="91" t="n"/>
      <c r="O61" s="91" t="n"/>
      <c r="P61" s="94" t="str">
        <f>IF(Q61=0,"",IF(C61="","Item de resíduo não informado",IF(T61=0,"Item inexistente (referência inválida)",IF(NOT(ISNUMBER(F61)),"Quantidade não informada",IF(F61&lt;=0,"Quantidade não positiva",IF(G61="","Unidade não informada",IF(NOT(ISNUMBER(H61)),"Unidade a conferir",IF(NOT(ISNUMBER(E61)),"Data de recebimento não informada",IF(AND(ISNUMBER(V61),N(V61)&gt;0,E61&lt;N(V61)),"Data anterior à emissão do MTR",IF(AND(J61="Sim",L61="",M61=""),"Conferido sem evidência identificada",IF(J61&lt;&gt;"Sim","Aguardando conferência",IF(INDEX('ITENS_MTR'!$AM$6:$AM$1005,S61)=1,"Conferido (ver diferença no item)","Conferido"))))))))))))</f>
        <v/>
      </c>
      <c r="Q61" s="96">
        <f>IF(COUNTA(C61,E61:G61,I61:O61)&gt;0,1,0)</f>
        <v>0</v>
      </c>
      <c r="R61" s="96" t="str">
        <f>IF(C61="","",TRIM(LEFT(C61,FIND(" |",C61&amp;" |")-1)))</f>
        <v/>
      </c>
      <c r="S61" s="96" t="str">
        <f>IF(R61="","",IFERROR(MATCH(R61,'ITENS_MTR'!$A$6:$A$1005,0),""))</f>
        <v/>
      </c>
      <c r="T61" s="96">
        <f>IF(S61="",0,IF(INDEX('ITENS_MTR'!$R$6:$R$1005,S61)=1,1,0))</f>
        <v>0</v>
      </c>
      <c r="U61" s="96" t="str">
        <f>IF(T61=1,INDEX('ITENS_MTR'!$T$6:$T$1005,S61),"")</f>
        <v/>
      </c>
      <c r="V61" s="97" t="str">
        <f>IF(N(U61)&gt;0,INDEX('MTRs'!$E$6:$E$505,U61),"")</f>
        <v/>
      </c>
      <c r="W61" s="96" t="str">
        <f>IF(G61="","",IFERROR(IF(ISNUMBER(INDEX(cfg_fac,MATCH(G61,cfg_units,0))),IF(INDEX(cfg_fac,MATCH(G61,cfg_units,0))&gt;0,INDEX(cfg_fac,MATCH(G61,cfg_units,0)),""),""),""))</f>
        <v/>
      </c>
      <c r="X61" s="96">
        <f>IF(AND(ISNUMBER(F61),ISNUMBER(H61)),IF(H61&gt;0,1,0),0)</f>
        <v>0</v>
      </c>
      <c r="Y61" s="96">
        <f>IF(Q61=0,0,IF(OR(T61=0,X61=0,NOT(ISNUMBER(E61)),AND(J61="Sim",L61="",M61=""),AND(ISNUMBER(E61),ISNUMBER(V61),N(V61)&gt;0,E61&lt;N(V61))),1,0))</f>
        <v>0</v>
      </c>
      <c r="Z61" s="96">
        <f>IF(AND(Q61=1,T61=1,X61=1,J61="Sim",OR(L61&lt;&gt;"",M61&lt;&gt;"")),1,0)</f>
        <v>0</v>
      </c>
      <c r="AA61" s="96">
        <f>IF(Q61=0,0,IF(AND(OR(r_ini="",AND(ISNUMBER(E61),E61&gt;=r_ini)),OR(r_fim="",AND(ISNUMBER(E61),E61&lt;=r_fim)),OR(r_un="",r_un="(Todas)",IF(N(U61)&gt;0,INDEX('MTRs'!$G$6:$G$505,U61),"")=r_un),OR(r_de="",r_de="(Todos)",D61=r_de)),1,0))</f>
        <v>0</v>
      </c>
      <c r="AB61" s="96" t="str">
        <f>IF(AA61=1,COUNTIF($AA$6:AA61,1),"")</f>
        <v/>
      </c>
    </row>
    <row r="62">
      <c r="A62" s="89" t="inlineStr">
        <is>
          <t>REC-000057</t>
        </is>
      </c>
      <c r="B62" s="94" t="str">
        <f>IF(T62=1,INDEX('ITENS_MTR'!$S$6:$S$1005,S62)&amp;"","")</f>
        <v/>
      </c>
      <c r="C62" s="91" t="n"/>
      <c r="D62" s="94" t="str">
        <f>IF(N(U62)&gt;0,INDEX('MTRs'!$I$6:$I$505,U62)&amp;"","")</f>
        <v/>
      </c>
      <c r="E62" s="92" t="n"/>
      <c r="F62" s="98" t="n"/>
      <c r="G62" s="91" t="n"/>
      <c r="H62" s="93" t="str">
        <f>IF(Q62=0,"",IF(NOT(ISNUMBER(F62)),"",IF(ISNUMBER(W62),F62*W62,"UNIDADE A CONFERIR")))</f>
        <v/>
      </c>
      <c r="I62" s="91" t="n"/>
      <c r="J62" s="91" t="n"/>
      <c r="K62" s="92" t="n"/>
      <c r="L62" s="91" t="n"/>
      <c r="M62" s="91" t="n"/>
      <c r="N62" s="91" t="n"/>
      <c r="O62" s="91" t="n"/>
      <c r="P62" s="94" t="str">
        <f>IF(Q62=0,"",IF(C62="","Item de resíduo não informado",IF(T62=0,"Item inexistente (referência inválida)",IF(NOT(ISNUMBER(F62)),"Quantidade não informada",IF(F62&lt;=0,"Quantidade não positiva",IF(G62="","Unidade não informada",IF(NOT(ISNUMBER(H62)),"Unidade a conferir",IF(NOT(ISNUMBER(E62)),"Data de recebimento não informada",IF(AND(ISNUMBER(V62),N(V62)&gt;0,E62&lt;N(V62)),"Data anterior à emissão do MTR",IF(AND(J62="Sim",L62="",M62=""),"Conferido sem evidência identificada",IF(J62&lt;&gt;"Sim","Aguardando conferência",IF(INDEX('ITENS_MTR'!$AM$6:$AM$1005,S62)=1,"Conferido (ver diferença no item)","Conferido"))))))))))))</f>
        <v/>
      </c>
      <c r="Q62" s="96">
        <f>IF(COUNTA(C62,E62:G62,I62:O62)&gt;0,1,0)</f>
        <v>0</v>
      </c>
      <c r="R62" s="96" t="str">
        <f>IF(C62="","",TRIM(LEFT(C62,FIND(" |",C62&amp;" |")-1)))</f>
        <v/>
      </c>
      <c r="S62" s="96" t="str">
        <f>IF(R62="","",IFERROR(MATCH(R62,'ITENS_MTR'!$A$6:$A$1005,0),""))</f>
        <v/>
      </c>
      <c r="T62" s="96">
        <f>IF(S62="",0,IF(INDEX('ITENS_MTR'!$R$6:$R$1005,S62)=1,1,0))</f>
        <v>0</v>
      </c>
      <c r="U62" s="96" t="str">
        <f>IF(T62=1,INDEX('ITENS_MTR'!$T$6:$T$1005,S62),"")</f>
        <v/>
      </c>
      <c r="V62" s="97" t="str">
        <f>IF(N(U62)&gt;0,INDEX('MTRs'!$E$6:$E$505,U62),"")</f>
        <v/>
      </c>
      <c r="W62" s="96" t="str">
        <f>IF(G62="","",IFERROR(IF(ISNUMBER(INDEX(cfg_fac,MATCH(G62,cfg_units,0))),IF(INDEX(cfg_fac,MATCH(G62,cfg_units,0))&gt;0,INDEX(cfg_fac,MATCH(G62,cfg_units,0)),""),""),""))</f>
        <v/>
      </c>
      <c r="X62" s="96">
        <f>IF(AND(ISNUMBER(F62),ISNUMBER(H62)),IF(H62&gt;0,1,0),0)</f>
        <v>0</v>
      </c>
      <c r="Y62" s="96">
        <f>IF(Q62=0,0,IF(OR(T62=0,X62=0,NOT(ISNUMBER(E62)),AND(J62="Sim",L62="",M62=""),AND(ISNUMBER(E62),ISNUMBER(V62),N(V62)&gt;0,E62&lt;N(V62))),1,0))</f>
        <v>0</v>
      </c>
      <c r="Z62" s="96">
        <f>IF(AND(Q62=1,T62=1,X62=1,J62="Sim",OR(L62&lt;&gt;"",M62&lt;&gt;"")),1,0)</f>
        <v>0</v>
      </c>
      <c r="AA62" s="96">
        <f>IF(Q62=0,0,IF(AND(OR(r_ini="",AND(ISNUMBER(E62),E62&gt;=r_ini)),OR(r_fim="",AND(ISNUMBER(E62),E62&lt;=r_fim)),OR(r_un="",r_un="(Todas)",IF(N(U62)&gt;0,INDEX('MTRs'!$G$6:$G$505,U62),"")=r_un),OR(r_de="",r_de="(Todos)",D62=r_de)),1,0))</f>
        <v>0</v>
      </c>
      <c r="AB62" s="96" t="str">
        <f>IF(AA62=1,COUNTIF($AA$6:AA62,1),"")</f>
        <v/>
      </c>
    </row>
    <row r="63">
      <c r="A63" s="89" t="inlineStr">
        <is>
          <t>REC-000058</t>
        </is>
      </c>
      <c r="B63" s="94" t="str">
        <f>IF(T63=1,INDEX('ITENS_MTR'!$S$6:$S$1005,S63)&amp;"","")</f>
        <v/>
      </c>
      <c r="C63" s="91" t="n"/>
      <c r="D63" s="94" t="str">
        <f>IF(N(U63)&gt;0,INDEX('MTRs'!$I$6:$I$505,U63)&amp;"","")</f>
        <v/>
      </c>
      <c r="E63" s="92" t="n"/>
      <c r="F63" s="98" t="n"/>
      <c r="G63" s="91" t="n"/>
      <c r="H63" s="93" t="str">
        <f>IF(Q63=0,"",IF(NOT(ISNUMBER(F63)),"",IF(ISNUMBER(W63),F63*W63,"UNIDADE A CONFERIR")))</f>
        <v/>
      </c>
      <c r="I63" s="91" t="n"/>
      <c r="J63" s="91" t="n"/>
      <c r="K63" s="92" t="n"/>
      <c r="L63" s="91" t="n"/>
      <c r="M63" s="91" t="n"/>
      <c r="N63" s="91" t="n"/>
      <c r="O63" s="91" t="n"/>
      <c r="P63" s="94" t="str">
        <f>IF(Q63=0,"",IF(C63="","Item de resíduo não informado",IF(T63=0,"Item inexistente (referência inválida)",IF(NOT(ISNUMBER(F63)),"Quantidade não informada",IF(F63&lt;=0,"Quantidade não positiva",IF(G63="","Unidade não informada",IF(NOT(ISNUMBER(H63)),"Unidade a conferir",IF(NOT(ISNUMBER(E63)),"Data de recebimento não informada",IF(AND(ISNUMBER(V63),N(V63)&gt;0,E63&lt;N(V63)),"Data anterior à emissão do MTR",IF(AND(J63="Sim",L63="",M63=""),"Conferido sem evidência identificada",IF(J63&lt;&gt;"Sim","Aguardando conferência",IF(INDEX('ITENS_MTR'!$AM$6:$AM$1005,S63)=1,"Conferido (ver diferença no item)","Conferido"))))))))))))</f>
        <v/>
      </c>
      <c r="Q63" s="96">
        <f>IF(COUNTA(C63,E63:G63,I63:O63)&gt;0,1,0)</f>
        <v>0</v>
      </c>
      <c r="R63" s="96" t="str">
        <f>IF(C63="","",TRIM(LEFT(C63,FIND(" |",C63&amp;" |")-1)))</f>
        <v/>
      </c>
      <c r="S63" s="96" t="str">
        <f>IF(R63="","",IFERROR(MATCH(R63,'ITENS_MTR'!$A$6:$A$1005,0),""))</f>
        <v/>
      </c>
      <c r="T63" s="96">
        <f>IF(S63="",0,IF(INDEX('ITENS_MTR'!$R$6:$R$1005,S63)=1,1,0))</f>
        <v>0</v>
      </c>
      <c r="U63" s="96" t="str">
        <f>IF(T63=1,INDEX('ITENS_MTR'!$T$6:$T$1005,S63),"")</f>
        <v/>
      </c>
      <c r="V63" s="97" t="str">
        <f>IF(N(U63)&gt;0,INDEX('MTRs'!$E$6:$E$505,U63),"")</f>
        <v/>
      </c>
      <c r="W63" s="96" t="str">
        <f>IF(G63="","",IFERROR(IF(ISNUMBER(INDEX(cfg_fac,MATCH(G63,cfg_units,0))),IF(INDEX(cfg_fac,MATCH(G63,cfg_units,0))&gt;0,INDEX(cfg_fac,MATCH(G63,cfg_units,0)),""),""),""))</f>
        <v/>
      </c>
      <c r="X63" s="96">
        <f>IF(AND(ISNUMBER(F63),ISNUMBER(H63)),IF(H63&gt;0,1,0),0)</f>
        <v>0</v>
      </c>
      <c r="Y63" s="96">
        <f>IF(Q63=0,0,IF(OR(T63=0,X63=0,NOT(ISNUMBER(E63)),AND(J63="Sim",L63="",M63=""),AND(ISNUMBER(E63),ISNUMBER(V63),N(V63)&gt;0,E63&lt;N(V63))),1,0))</f>
        <v>0</v>
      </c>
      <c r="Z63" s="96">
        <f>IF(AND(Q63=1,T63=1,X63=1,J63="Sim",OR(L63&lt;&gt;"",M63&lt;&gt;"")),1,0)</f>
        <v>0</v>
      </c>
      <c r="AA63" s="96">
        <f>IF(Q63=0,0,IF(AND(OR(r_ini="",AND(ISNUMBER(E63),E63&gt;=r_ini)),OR(r_fim="",AND(ISNUMBER(E63),E63&lt;=r_fim)),OR(r_un="",r_un="(Todas)",IF(N(U63)&gt;0,INDEX('MTRs'!$G$6:$G$505,U63),"")=r_un),OR(r_de="",r_de="(Todos)",D63=r_de)),1,0))</f>
        <v>0</v>
      </c>
      <c r="AB63" s="96" t="str">
        <f>IF(AA63=1,COUNTIF($AA$6:AA63,1),"")</f>
        <v/>
      </c>
    </row>
    <row r="64">
      <c r="A64" s="89" t="inlineStr">
        <is>
          <t>REC-000059</t>
        </is>
      </c>
      <c r="B64" s="94" t="str">
        <f>IF(T64=1,INDEX('ITENS_MTR'!$S$6:$S$1005,S64)&amp;"","")</f>
        <v/>
      </c>
      <c r="C64" s="91" t="n"/>
      <c r="D64" s="94" t="str">
        <f>IF(N(U64)&gt;0,INDEX('MTRs'!$I$6:$I$505,U64)&amp;"","")</f>
        <v/>
      </c>
      <c r="E64" s="92" t="n"/>
      <c r="F64" s="98" t="n"/>
      <c r="G64" s="91" t="n"/>
      <c r="H64" s="93" t="str">
        <f>IF(Q64=0,"",IF(NOT(ISNUMBER(F64)),"",IF(ISNUMBER(W64),F64*W64,"UNIDADE A CONFERIR")))</f>
        <v/>
      </c>
      <c r="I64" s="91" t="n"/>
      <c r="J64" s="91" t="n"/>
      <c r="K64" s="92" t="n"/>
      <c r="L64" s="91" t="n"/>
      <c r="M64" s="91" t="n"/>
      <c r="N64" s="91" t="n"/>
      <c r="O64" s="91" t="n"/>
      <c r="P64" s="94" t="str">
        <f>IF(Q64=0,"",IF(C64="","Item de resíduo não informado",IF(T64=0,"Item inexistente (referência inválida)",IF(NOT(ISNUMBER(F64)),"Quantidade não informada",IF(F64&lt;=0,"Quantidade não positiva",IF(G64="","Unidade não informada",IF(NOT(ISNUMBER(H64)),"Unidade a conferir",IF(NOT(ISNUMBER(E64)),"Data de recebimento não informada",IF(AND(ISNUMBER(V64),N(V64)&gt;0,E64&lt;N(V64)),"Data anterior à emissão do MTR",IF(AND(J64="Sim",L64="",M64=""),"Conferido sem evidência identificada",IF(J64&lt;&gt;"Sim","Aguardando conferência",IF(INDEX('ITENS_MTR'!$AM$6:$AM$1005,S64)=1,"Conferido (ver diferença no item)","Conferido"))))))))))))</f>
        <v/>
      </c>
      <c r="Q64" s="96">
        <f>IF(COUNTA(C64,E64:G64,I64:O64)&gt;0,1,0)</f>
        <v>0</v>
      </c>
      <c r="R64" s="96" t="str">
        <f>IF(C64="","",TRIM(LEFT(C64,FIND(" |",C64&amp;" |")-1)))</f>
        <v/>
      </c>
      <c r="S64" s="96" t="str">
        <f>IF(R64="","",IFERROR(MATCH(R64,'ITENS_MTR'!$A$6:$A$1005,0),""))</f>
        <v/>
      </c>
      <c r="T64" s="96">
        <f>IF(S64="",0,IF(INDEX('ITENS_MTR'!$R$6:$R$1005,S64)=1,1,0))</f>
        <v>0</v>
      </c>
      <c r="U64" s="96" t="str">
        <f>IF(T64=1,INDEX('ITENS_MTR'!$T$6:$T$1005,S64),"")</f>
        <v/>
      </c>
      <c r="V64" s="97" t="str">
        <f>IF(N(U64)&gt;0,INDEX('MTRs'!$E$6:$E$505,U64),"")</f>
        <v/>
      </c>
      <c r="W64" s="96" t="str">
        <f>IF(G64="","",IFERROR(IF(ISNUMBER(INDEX(cfg_fac,MATCH(G64,cfg_units,0))),IF(INDEX(cfg_fac,MATCH(G64,cfg_units,0))&gt;0,INDEX(cfg_fac,MATCH(G64,cfg_units,0)),""),""),""))</f>
        <v/>
      </c>
      <c r="X64" s="96">
        <f>IF(AND(ISNUMBER(F64),ISNUMBER(H64)),IF(H64&gt;0,1,0),0)</f>
        <v>0</v>
      </c>
      <c r="Y64" s="96">
        <f>IF(Q64=0,0,IF(OR(T64=0,X64=0,NOT(ISNUMBER(E64)),AND(J64="Sim",L64="",M64=""),AND(ISNUMBER(E64),ISNUMBER(V64),N(V64)&gt;0,E64&lt;N(V64))),1,0))</f>
        <v>0</v>
      </c>
      <c r="Z64" s="96">
        <f>IF(AND(Q64=1,T64=1,X64=1,J64="Sim",OR(L64&lt;&gt;"",M64&lt;&gt;"")),1,0)</f>
        <v>0</v>
      </c>
      <c r="AA64" s="96">
        <f>IF(Q64=0,0,IF(AND(OR(r_ini="",AND(ISNUMBER(E64),E64&gt;=r_ini)),OR(r_fim="",AND(ISNUMBER(E64),E64&lt;=r_fim)),OR(r_un="",r_un="(Todas)",IF(N(U64)&gt;0,INDEX('MTRs'!$G$6:$G$505,U64),"")=r_un),OR(r_de="",r_de="(Todos)",D64=r_de)),1,0))</f>
        <v>0</v>
      </c>
      <c r="AB64" s="96" t="str">
        <f>IF(AA64=1,COUNTIF($AA$6:AA64,1),"")</f>
        <v/>
      </c>
    </row>
    <row r="65">
      <c r="A65" s="89" t="inlineStr">
        <is>
          <t>REC-000060</t>
        </is>
      </c>
      <c r="B65" s="94" t="str">
        <f>IF(T65=1,INDEX('ITENS_MTR'!$S$6:$S$1005,S65)&amp;"","")</f>
        <v/>
      </c>
      <c r="C65" s="91" t="n"/>
      <c r="D65" s="94" t="str">
        <f>IF(N(U65)&gt;0,INDEX('MTRs'!$I$6:$I$505,U65)&amp;"","")</f>
        <v/>
      </c>
      <c r="E65" s="92" t="n"/>
      <c r="F65" s="98" t="n"/>
      <c r="G65" s="91" t="n"/>
      <c r="H65" s="93" t="str">
        <f>IF(Q65=0,"",IF(NOT(ISNUMBER(F65)),"",IF(ISNUMBER(W65),F65*W65,"UNIDADE A CONFERIR")))</f>
        <v/>
      </c>
      <c r="I65" s="91" t="n"/>
      <c r="J65" s="91" t="n"/>
      <c r="K65" s="92" t="n"/>
      <c r="L65" s="91" t="n"/>
      <c r="M65" s="91" t="n"/>
      <c r="N65" s="91" t="n"/>
      <c r="O65" s="91" t="n"/>
      <c r="P65" s="94" t="str">
        <f>IF(Q65=0,"",IF(C65="","Item de resíduo não informado",IF(T65=0,"Item inexistente (referência inválida)",IF(NOT(ISNUMBER(F65)),"Quantidade não informada",IF(F65&lt;=0,"Quantidade não positiva",IF(G65="","Unidade não informada",IF(NOT(ISNUMBER(H65)),"Unidade a conferir",IF(NOT(ISNUMBER(E65)),"Data de recebimento não informada",IF(AND(ISNUMBER(V65),N(V65)&gt;0,E65&lt;N(V65)),"Data anterior à emissão do MTR",IF(AND(J65="Sim",L65="",M65=""),"Conferido sem evidência identificada",IF(J65&lt;&gt;"Sim","Aguardando conferência",IF(INDEX('ITENS_MTR'!$AM$6:$AM$1005,S65)=1,"Conferido (ver diferença no item)","Conferido"))))))))))))</f>
        <v/>
      </c>
      <c r="Q65" s="96">
        <f>IF(COUNTA(C65,E65:G65,I65:O65)&gt;0,1,0)</f>
        <v>0</v>
      </c>
      <c r="R65" s="96" t="str">
        <f>IF(C65="","",TRIM(LEFT(C65,FIND(" |",C65&amp;" |")-1)))</f>
        <v/>
      </c>
      <c r="S65" s="96" t="str">
        <f>IF(R65="","",IFERROR(MATCH(R65,'ITENS_MTR'!$A$6:$A$1005,0),""))</f>
        <v/>
      </c>
      <c r="T65" s="96">
        <f>IF(S65="",0,IF(INDEX('ITENS_MTR'!$R$6:$R$1005,S65)=1,1,0))</f>
        <v>0</v>
      </c>
      <c r="U65" s="96" t="str">
        <f>IF(T65=1,INDEX('ITENS_MTR'!$T$6:$T$1005,S65),"")</f>
        <v/>
      </c>
      <c r="V65" s="97" t="str">
        <f>IF(N(U65)&gt;0,INDEX('MTRs'!$E$6:$E$505,U65),"")</f>
        <v/>
      </c>
      <c r="W65" s="96" t="str">
        <f>IF(G65="","",IFERROR(IF(ISNUMBER(INDEX(cfg_fac,MATCH(G65,cfg_units,0))),IF(INDEX(cfg_fac,MATCH(G65,cfg_units,0))&gt;0,INDEX(cfg_fac,MATCH(G65,cfg_units,0)),""),""),""))</f>
        <v/>
      </c>
      <c r="X65" s="96">
        <f>IF(AND(ISNUMBER(F65),ISNUMBER(H65)),IF(H65&gt;0,1,0),0)</f>
        <v>0</v>
      </c>
      <c r="Y65" s="96">
        <f>IF(Q65=0,0,IF(OR(T65=0,X65=0,NOT(ISNUMBER(E65)),AND(J65="Sim",L65="",M65=""),AND(ISNUMBER(E65),ISNUMBER(V65),N(V65)&gt;0,E65&lt;N(V65))),1,0))</f>
        <v>0</v>
      </c>
      <c r="Z65" s="96">
        <f>IF(AND(Q65=1,T65=1,X65=1,J65="Sim",OR(L65&lt;&gt;"",M65&lt;&gt;"")),1,0)</f>
        <v>0</v>
      </c>
      <c r="AA65" s="96">
        <f>IF(Q65=0,0,IF(AND(OR(r_ini="",AND(ISNUMBER(E65),E65&gt;=r_ini)),OR(r_fim="",AND(ISNUMBER(E65),E65&lt;=r_fim)),OR(r_un="",r_un="(Todas)",IF(N(U65)&gt;0,INDEX('MTRs'!$G$6:$G$505,U65),"")=r_un),OR(r_de="",r_de="(Todos)",D65=r_de)),1,0))</f>
        <v>0</v>
      </c>
      <c r="AB65" s="96" t="str">
        <f>IF(AA65=1,COUNTIF($AA$6:AA65,1),"")</f>
        <v/>
      </c>
    </row>
    <row r="66">
      <c r="A66" s="89" t="inlineStr">
        <is>
          <t>REC-000061</t>
        </is>
      </c>
      <c r="B66" s="94" t="str">
        <f>IF(T66=1,INDEX('ITENS_MTR'!$S$6:$S$1005,S66)&amp;"","")</f>
        <v/>
      </c>
      <c r="C66" s="91" t="n"/>
      <c r="D66" s="94" t="str">
        <f>IF(N(U66)&gt;0,INDEX('MTRs'!$I$6:$I$505,U66)&amp;"","")</f>
        <v/>
      </c>
      <c r="E66" s="92" t="n"/>
      <c r="F66" s="98" t="n"/>
      <c r="G66" s="91" t="n"/>
      <c r="H66" s="93" t="str">
        <f>IF(Q66=0,"",IF(NOT(ISNUMBER(F66)),"",IF(ISNUMBER(W66),F66*W66,"UNIDADE A CONFERIR")))</f>
        <v/>
      </c>
      <c r="I66" s="91" t="n"/>
      <c r="J66" s="91" t="n"/>
      <c r="K66" s="92" t="n"/>
      <c r="L66" s="91" t="n"/>
      <c r="M66" s="91" t="n"/>
      <c r="N66" s="91" t="n"/>
      <c r="O66" s="91" t="n"/>
      <c r="P66" s="94" t="str">
        <f>IF(Q66=0,"",IF(C66="","Item de resíduo não informado",IF(T66=0,"Item inexistente (referência inválida)",IF(NOT(ISNUMBER(F66)),"Quantidade não informada",IF(F66&lt;=0,"Quantidade não positiva",IF(G66="","Unidade não informada",IF(NOT(ISNUMBER(H66)),"Unidade a conferir",IF(NOT(ISNUMBER(E66)),"Data de recebimento não informada",IF(AND(ISNUMBER(V66),N(V66)&gt;0,E66&lt;N(V66)),"Data anterior à emissão do MTR",IF(AND(J66="Sim",L66="",M66=""),"Conferido sem evidência identificada",IF(J66&lt;&gt;"Sim","Aguardando conferência",IF(INDEX('ITENS_MTR'!$AM$6:$AM$1005,S66)=1,"Conferido (ver diferença no item)","Conferido"))))))))))))</f>
        <v/>
      </c>
      <c r="Q66" s="96">
        <f>IF(COUNTA(C66,E66:G66,I66:O66)&gt;0,1,0)</f>
        <v>0</v>
      </c>
      <c r="R66" s="96" t="str">
        <f>IF(C66="","",TRIM(LEFT(C66,FIND(" |",C66&amp;" |")-1)))</f>
        <v/>
      </c>
      <c r="S66" s="96" t="str">
        <f>IF(R66="","",IFERROR(MATCH(R66,'ITENS_MTR'!$A$6:$A$1005,0),""))</f>
        <v/>
      </c>
      <c r="T66" s="96">
        <f>IF(S66="",0,IF(INDEX('ITENS_MTR'!$R$6:$R$1005,S66)=1,1,0))</f>
        <v>0</v>
      </c>
      <c r="U66" s="96" t="str">
        <f>IF(T66=1,INDEX('ITENS_MTR'!$T$6:$T$1005,S66),"")</f>
        <v/>
      </c>
      <c r="V66" s="97" t="str">
        <f>IF(N(U66)&gt;0,INDEX('MTRs'!$E$6:$E$505,U66),"")</f>
        <v/>
      </c>
      <c r="W66" s="96" t="str">
        <f>IF(G66="","",IFERROR(IF(ISNUMBER(INDEX(cfg_fac,MATCH(G66,cfg_units,0))),IF(INDEX(cfg_fac,MATCH(G66,cfg_units,0))&gt;0,INDEX(cfg_fac,MATCH(G66,cfg_units,0)),""),""),""))</f>
        <v/>
      </c>
      <c r="X66" s="96">
        <f>IF(AND(ISNUMBER(F66),ISNUMBER(H66)),IF(H66&gt;0,1,0),0)</f>
        <v>0</v>
      </c>
      <c r="Y66" s="96">
        <f>IF(Q66=0,0,IF(OR(T66=0,X66=0,NOT(ISNUMBER(E66)),AND(J66="Sim",L66="",M66=""),AND(ISNUMBER(E66),ISNUMBER(V66),N(V66)&gt;0,E66&lt;N(V66))),1,0))</f>
        <v>0</v>
      </c>
      <c r="Z66" s="96">
        <f>IF(AND(Q66=1,T66=1,X66=1,J66="Sim",OR(L66&lt;&gt;"",M66&lt;&gt;"")),1,0)</f>
        <v>0</v>
      </c>
      <c r="AA66" s="96">
        <f>IF(Q66=0,0,IF(AND(OR(r_ini="",AND(ISNUMBER(E66),E66&gt;=r_ini)),OR(r_fim="",AND(ISNUMBER(E66),E66&lt;=r_fim)),OR(r_un="",r_un="(Todas)",IF(N(U66)&gt;0,INDEX('MTRs'!$G$6:$G$505,U66),"")=r_un),OR(r_de="",r_de="(Todos)",D66=r_de)),1,0))</f>
        <v>0</v>
      </c>
      <c r="AB66" s="96" t="str">
        <f>IF(AA66=1,COUNTIF($AA$6:AA66,1),"")</f>
        <v/>
      </c>
    </row>
    <row r="67">
      <c r="A67" s="89" t="inlineStr">
        <is>
          <t>REC-000062</t>
        </is>
      </c>
      <c r="B67" s="94" t="str">
        <f>IF(T67=1,INDEX('ITENS_MTR'!$S$6:$S$1005,S67)&amp;"","")</f>
        <v/>
      </c>
      <c r="C67" s="91" t="n"/>
      <c r="D67" s="94" t="str">
        <f>IF(N(U67)&gt;0,INDEX('MTRs'!$I$6:$I$505,U67)&amp;"","")</f>
        <v/>
      </c>
      <c r="E67" s="92" t="n"/>
      <c r="F67" s="98" t="n"/>
      <c r="G67" s="91" t="n"/>
      <c r="H67" s="93" t="str">
        <f>IF(Q67=0,"",IF(NOT(ISNUMBER(F67)),"",IF(ISNUMBER(W67),F67*W67,"UNIDADE A CONFERIR")))</f>
        <v/>
      </c>
      <c r="I67" s="91" t="n"/>
      <c r="J67" s="91" t="n"/>
      <c r="K67" s="92" t="n"/>
      <c r="L67" s="91" t="n"/>
      <c r="M67" s="91" t="n"/>
      <c r="N67" s="91" t="n"/>
      <c r="O67" s="91" t="n"/>
      <c r="P67" s="94" t="str">
        <f>IF(Q67=0,"",IF(C67="","Item de resíduo não informado",IF(T67=0,"Item inexistente (referência inválida)",IF(NOT(ISNUMBER(F67)),"Quantidade não informada",IF(F67&lt;=0,"Quantidade não positiva",IF(G67="","Unidade não informada",IF(NOT(ISNUMBER(H67)),"Unidade a conferir",IF(NOT(ISNUMBER(E67)),"Data de recebimento não informada",IF(AND(ISNUMBER(V67),N(V67)&gt;0,E67&lt;N(V67)),"Data anterior à emissão do MTR",IF(AND(J67="Sim",L67="",M67=""),"Conferido sem evidência identificada",IF(J67&lt;&gt;"Sim","Aguardando conferência",IF(INDEX('ITENS_MTR'!$AM$6:$AM$1005,S67)=1,"Conferido (ver diferença no item)","Conferido"))))))))))))</f>
        <v/>
      </c>
      <c r="Q67" s="96">
        <f>IF(COUNTA(C67,E67:G67,I67:O67)&gt;0,1,0)</f>
        <v>0</v>
      </c>
      <c r="R67" s="96" t="str">
        <f>IF(C67="","",TRIM(LEFT(C67,FIND(" |",C67&amp;" |")-1)))</f>
        <v/>
      </c>
      <c r="S67" s="96" t="str">
        <f>IF(R67="","",IFERROR(MATCH(R67,'ITENS_MTR'!$A$6:$A$1005,0),""))</f>
        <v/>
      </c>
      <c r="T67" s="96">
        <f>IF(S67="",0,IF(INDEX('ITENS_MTR'!$R$6:$R$1005,S67)=1,1,0))</f>
        <v>0</v>
      </c>
      <c r="U67" s="96" t="str">
        <f>IF(T67=1,INDEX('ITENS_MTR'!$T$6:$T$1005,S67),"")</f>
        <v/>
      </c>
      <c r="V67" s="97" t="str">
        <f>IF(N(U67)&gt;0,INDEX('MTRs'!$E$6:$E$505,U67),"")</f>
        <v/>
      </c>
      <c r="W67" s="96" t="str">
        <f>IF(G67="","",IFERROR(IF(ISNUMBER(INDEX(cfg_fac,MATCH(G67,cfg_units,0))),IF(INDEX(cfg_fac,MATCH(G67,cfg_units,0))&gt;0,INDEX(cfg_fac,MATCH(G67,cfg_units,0)),""),""),""))</f>
        <v/>
      </c>
      <c r="X67" s="96">
        <f>IF(AND(ISNUMBER(F67),ISNUMBER(H67)),IF(H67&gt;0,1,0),0)</f>
        <v>0</v>
      </c>
      <c r="Y67" s="96">
        <f>IF(Q67=0,0,IF(OR(T67=0,X67=0,NOT(ISNUMBER(E67)),AND(J67="Sim",L67="",M67=""),AND(ISNUMBER(E67),ISNUMBER(V67),N(V67)&gt;0,E67&lt;N(V67))),1,0))</f>
        <v>0</v>
      </c>
      <c r="Z67" s="96">
        <f>IF(AND(Q67=1,T67=1,X67=1,J67="Sim",OR(L67&lt;&gt;"",M67&lt;&gt;"")),1,0)</f>
        <v>0</v>
      </c>
      <c r="AA67" s="96">
        <f>IF(Q67=0,0,IF(AND(OR(r_ini="",AND(ISNUMBER(E67),E67&gt;=r_ini)),OR(r_fim="",AND(ISNUMBER(E67),E67&lt;=r_fim)),OR(r_un="",r_un="(Todas)",IF(N(U67)&gt;0,INDEX('MTRs'!$G$6:$G$505,U67),"")=r_un),OR(r_de="",r_de="(Todos)",D67=r_de)),1,0))</f>
        <v>0</v>
      </c>
      <c r="AB67" s="96" t="str">
        <f>IF(AA67=1,COUNTIF($AA$6:AA67,1),"")</f>
        <v/>
      </c>
    </row>
    <row r="68">
      <c r="A68" s="89" t="inlineStr">
        <is>
          <t>REC-000063</t>
        </is>
      </c>
      <c r="B68" s="94" t="str">
        <f>IF(T68=1,INDEX('ITENS_MTR'!$S$6:$S$1005,S68)&amp;"","")</f>
        <v/>
      </c>
      <c r="C68" s="91" t="n"/>
      <c r="D68" s="94" t="str">
        <f>IF(N(U68)&gt;0,INDEX('MTRs'!$I$6:$I$505,U68)&amp;"","")</f>
        <v/>
      </c>
      <c r="E68" s="92" t="n"/>
      <c r="F68" s="98" t="n"/>
      <c r="G68" s="91" t="n"/>
      <c r="H68" s="93" t="str">
        <f>IF(Q68=0,"",IF(NOT(ISNUMBER(F68)),"",IF(ISNUMBER(W68),F68*W68,"UNIDADE A CONFERIR")))</f>
        <v/>
      </c>
      <c r="I68" s="91" t="n"/>
      <c r="J68" s="91" t="n"/>
      <c r="K68" s="92" t="n"/>
      <c r="L68" s="91" t="n"/>
      <c r="M68" s="91" t="n"/>
      <c r="N68" s="91" t="n"/>
      <c r="O68" s="91" t="n"/>
      <c r="P68" s="94" t="str">
        <f>IF(Q68=0,"",IF(C68="","Item de resíduo não informado",IF(T68=0,"Item inexistente (referência inválida)",IF(NOT(ISNUMBER(F68)),"Quantidade não informada",IF(F68&lt;=0,"Quantidade não positiva",IF(G68="","Unidade não informada",IF(NOT(ISNUMBER(H68)),"Unidade a conferir",IF(NOT(ISNUMBER(E68)),"Data de recebimento não informada",IF(AND(ISNUMBER(V68),N(V68)&gt;0,E68&lt;N(V68)),"Data anterior à emissão do MTR",IF(AND(J68="Sim",L68="",M68=""),"Conferido sem evidência identificada",IF(J68&lt;&gt;"Sim","Aguardando conferência",IF(INDEX('ITENS_MTR'!$AM$6:$AM$1005,S68)=1,"Conferido (ver diferença no item)","Conferido"))))))))))))</f>
        <v/>
      </c>
      <c r="Q68" s="96">
        <f>IF(COUNTA(C68,E68:G68,I68:O68)&gt;0,1,0)</f>
        <v>0</v>
      </c>
      <c r="R68" s="96" t="str">
        <f>IF(C68="","",TRIM(LEFT(C68,FIND(" |",C68&amp;" |")-1)))</f>
        <v/>
      </c>
      <c r="S68" s="96" t="str">
        <f>IF(R68="","",IFERROR(MATCH(R68,'ITENS_MTR'!$A$6:$A$1005,0),""))</f>
        <v/>
      </c>
      <c r="T68" s="96">
        <f>IF(S68="",0,IF(INDEX('ITENS_MTR'!$R$6:$R$1005,S68)=1,1,0))</f>
        <v>0</v>
      </c>
      <c r="U68" s="96" t="str">
        <f>IF(T68=1,INDEX('ITENS_MTR'!$T$6:$T$1005,S68),"")</f>
        <v/>
      </c>
      <c r="V68" s="97" t="str">
        <f>IF(N(U68)&gt;0,INDEX('MTRs'!$E$6:$E$505,U68),"")</f>
        <v/>
      </c>
      <c r="W68" s="96" t="str">
        <f>IF(G68="","",IFERROR(IF(ISNUMBER(INDEX(cfg_fac,MATCH(G68,cfg_units,0))),IF(INDEX(cfg_fac,MATCH(G68,cfg_units,0))&gt;0,INDEX(cfg_fac,MATCH(G68,cfg_units,0)),""),""),""))</f>
        <v/>
      </c>
      <c r="X68" s="96">
        <f>IF(AND(ISNUMBER(F68),ISNUMBER(H68)),IF(H68&gt;0,1,0),0)</f>
        <v>0</v>
      </c>
      <c r="Y68" s="96">
        <f>IF(Q68=0,0,IF(OR(T68=0,X68=0,NOT(ISNUMBER(E68)),AND(J68="Sim",L68="",M68=""),AND(ISNUMBER(E68),ISNUMBER(V68),N(V68)&gt;0,E68&lt;N(V68))),1,0))</f>
        <v>0</v>
      </c>
      <c r="Z68" s="96">
        <f>IF(AND(Q68=1,T68=1,X68=1,J68="Sim",OR(L68&lt;&gt;"",M68&lt;&gt;"")),1,0)</f>
        <v>0</v>
      </c>
      <c r="AA68" s="96">
        <f>IF(Q68=0,0,IF(AND(OR(r_ini="",AND(ISNUMBER(E68),E68&gt;=r_ini)),OR(r_fim="",AND(ISNUMBER(E68),E68&lt;=r_fim)),OR(r_un="",r_un="(Todas)",IF(N(U68)&gt;0,INDEX('MTRs'!$G$6:$G$505,U68),"")=r_un),OR(r_de="",r_de="(Todos)",D68=r_de)),1,0))</f>
        <v>0</v>
      </c>
      <c r="AB68" s="96" t="str">
        <f>IF(AA68=1,COUNTIF($AA$6:AA68,1),"")</f>
        <v/>
      </c>
    </row>
    <row r="69">
      <c r="A69" s="89" t="inlineStr">
        <is>
          <t>REC-000064</t>
        </is>
      </c>
      <c r="B69" s="94" t="str">
        <f>IF(T69=1,INDEX('ITENS_MTR'!$S$6:$S$1005,S69)&amp;"","")</f>
        <v/>
      </c>
      <c r="C69" s="91" t="n"/>
      <c r="D69" s="94" t="str">
        <f>IF(N(U69)&gt;0,INDEX('MTRs'!$I$6:$I$505,U69)&amp;"","")</f>
        <v/>
      </c>
      <c r="E69" s="92" t="n"/>
      <c r="F69" s="98" t="n"/>
      <c r="G69" s="91" t="n"/>
      <c r="H69" s="93" t="str">
        <f>IF(Q69=0,"",IF(NOT(ISNUMBER(F69)),"",IF(ISNUMBER(W69),F69*W69,"UNIDADE A CONFERIR")))</f>
        <v/>
      </c>
      <c r="I69" s="91" t="n"/>
      <c r="J69" s="91" t="n"/>
      <c r="K69" s="92" t="n"/>
      <c r="L69" s="91" t="n"/>
      <c r="M69" s="91" t="n"/>
      <c r="N69" s="91" t="n"/>
      <c r="O69" s="91" t="n"/>
      <c r="P69" s="94" t="str">
        <f>IF(Q69=0,"",IF(C69="","Item de resíduo não informado",IF(T69=0,"Item inexistente (referência inválida)",IF(NOT(ISNUMBER(F69)),"Quantidade não informada",IF(F69&lt;=0,"Quantidade não positiva",IF(G69="","Unidade não informada",IF(NOT(ISNUMBER(H69)),"Unidade a conferir",IF(NOT(ISNUMBER(E69)),"Data de recebimento não informada",IF(AND(ISNUMBER(V69),N(V69)&gt;0,E69&lt;N(V69)),"Data anterior à emissão do MTR",IF(AND(J69="Sim",L69="",M69=""),"Conferido sem evidência identificada",IF(J69&lt;&gt;"Sim","Aguardando conferência",IF(INDEX('ITENS_MTR'!$AM$6:$AM$1005,S69)=1,"Conferido (ver diferença no item)","Conferido"))))))))))))</f>
        <v/>
      </c>
      <c r="Q69" s="96">
        <f>IF(COUNTA(C69,E69:G69,I69:O69)&gt;0,1,0)</f>
        <v>0</v>
      </c>
      <c r="R69" s="96" t="str">
        <f>IF(C69="","",TRIM(LEFT(C69,FIND(" |",C69&amp;" |")-1)))</f>
        <v/>
      </c>
      <c r="S69" s="96" t="str">
        <f>IF(R69="","",IFERROR(MATCH(R69,'ITENS_MTR'!$A$6:$A$1005,0),""))</f>
        <v/>
      </c>
      <c r="T69" s="96">
        <f>IF(S69="",0,IF(INDEX('ITENS_MTR'!$R$6:$R$1005,S69)=1,1,0))</f>
        <v>0</v>
      </c>
      <c r="U69" s="96" t="str">
        <f>IF(T69=1,INDEX('ITENS_MTR'!$T$6:$T$1005,S69),"")</f>
        <v/>
      </c>
      <c r="V69" s="97" t="str">
        <f>IF(N(U69)&gt;0,INDEX('MTRs'!$E$6:$E$505,U69),"")</f>
        <v/>
      </c>
      <c r="W69" s="96" t="str">
        <f>IF(G69="","",IFERROR(IF(ISNUMBER(INDEX(cfg_fac,MATCH(G69,cfg_units,0))),IF(INDEX(cfg_fac,MATCH(G69,cfg_units,0))&gt;0,INDEX(cfg_fac,MATCH(G69,cfg_units,0)),""),""),""))</f>
        <v/>
      </c>
      <c r="X69" s="96">
        <f>IF(AND(ISNUMBER(F69),ISNUMBER(H69)),IF(H69&gt;0,1,0),0)</f>
        <v>0</v>
      </c>
      <c r="Y69" s="96">
        <f>IF(Q69=0,0,IF(OR(T69=0,X69=0,NOT(ISNUMBER(E69)),AND(J69="Sim",L69="",M69=""),AND(ISNUMBER(E69),ISNUMBER(V69),N(V69)&gt;0,E69&lt;N(V69))),1,0))</f>
        <v>0</v>
      </c>
      <c r="Z69" s="96">
        <f>IF(AND(Q69=1,T69=1,X69=1,J69="Sim",OR(L69&lt;&gt;"",M69&lt;&gt;"")),1,0)</f>
        <v>0</v>
      </c>
      <c r="AA69" s="96">
        <f>IF(Q69=0,0,IF(AND(OR(r_ini="",AND(ISNUMBER(E69),E69&gt;=r_ini)),OR(r_fim="",AND(ISNUMBER(E69),E69&lt;=r_fim)),OR(r_un="",r_un="(Todas)",IF(N(U69)&gt;0,INDEX('MTRs'!$G$6:$G$505,U69),"")=r_un),OR(r_de="",r_de="(Todos)",D69=r_de)),1,0))</f>
        <v>0</v>
      </c>
      <c r="AB69" s="96" t="str">
        <f>IF(AA69=1,COUNTIF($AA$6:AA69,1),"")</f>
        <v/>
      </c>
    </row>
    <row r="70">
      <c r="A70" s="89" t="inlineStr">
        <is>
          <t>REC-000065</t>
        </is>
      </c>
      <c r="B70" s="94" t="str">
        <f>IF(T70=1,INDEX('ITENS_MTR'!$S$6:$S$1005,S70)&amp;"","")</f>
        <v/>
      </c>
      <c r="C70" s="91" t="n"/>
      <c r="D70" s="94" t="str">
        <f>IF(N(U70)&gt;0,INDEX('MTRs'!$I$6:$I$505,U70)&amp;"","")</f>
        <v/>
      </c>
      <c r="E70" s="92" t="n"/>
      <c r="F70" s="98" t="n"/>
      <c r="G70" s="91" t="n"/>
      <c r="H70" s="93" t="str">
        <f>IF(Q70=0,"",IF(NOT(ISNUMBER(F70)),"",IF(ISNUMBER(W70),F70*W70,"UNIDADE A CONFERIR")))</f>
        <v/>
      </c>
      <c r="I70" s="91" t="n"/>
      <c r="J70" s="91" t="n"/>
      <c r="K70" s="92" t="n"/>
      <c r="L70" s="91" t="n"/>
      <c r="M70" s="91" t="n"/>
      <c r="N70" s="91" t="n"/>
      <c r="O70" s="91" t="n"/>
      <c r="P70" s="94" t="str">
        <f>IF(Q70=0,"",IF(C70="","Item de resíduo não informado",IF(T70=0,"Item inexistente (referência inválida)",IF(NOT(ISNUMBER(F70)),"Quantidade não informada",IF(F70&lt;=0,"Quantidade não positiva",IF(G70="","Unidade não informada",IF(NOT(ISNUMBER(H70)),"Unidade a conferir",IF(NOT(ISNUMBER(E70)),"Data de recebimento não informada",IF(AND(ISNUMBER(V70),N(V70)&gt;0,E70&lt;N(V70)),"Data anterior à emissão do MTR",IF(AND(J70="Sim",L70="",M70=""),"Conferido sem evidência identificada",IF(J70&lt;&gt;"Sim","Aguardando conferência",IF(INDEX('ITENS_MTR'!$AM$6:$AM$1005,S70)=1,"Conferido (ver diferença no item)","Conferido"))))))))))))</f>
        <v/>
      </c>
      <c r="Q70" s="96">
        <f>IF(COUNTA(C70,E70:G70,I70:O70)&gt;0,1,0)</f>
        <v>0</v>
      </c>
      <c r="R70" s="96" t="str">
        <f>IF(C70="","",TRIM(LEFT(C70,FIND(" |",C70&amp;" |")-1)))</f>
        <v/>
      </c>
      <c r="S70" s="96" t="str">
        <f>IF(R70="","",IFERROR(MATCH(R70,'ITENS_MTR'!$A$6:$A$1005,0),""))</f>
        <v/>
      </c>
      <c r="T70" s="96">
        <f>IF(S70="",0,IF(INDEX('ITENS_MTR'!$R$6:$R$1005,S70)=1,1,0))</f>
        <v>0</v>
      </c>
      <c r="U70" s="96" t="str">
        <f>IF(T70=1,INDEX('ITENS_MTR'!$T$6:$T$1005,S70),"")</f>
        <v/>
      </c>
      <c r="V70" s="97" t="str">
        <f>IF(N(U70)&gt;0,INDEX('MTRs'!$E$6:$E$505,U70),"")</f>
        <v/>
      </c>
      <c r="W70" s="96" t="str">
        <f>IF(G70="","",IFERROR(IF(ISNUMBER(INDEX(cfg_fac,MATCH(G70,cfg_units,0))),IF(INDEX(cfg_fac,MATCH(G70,cfg_units,0))&gt;0,INDEX(cfg_fac,MATCH(G70,cfg_units,0)),""),""),""))</f>
        <v/>
      </c>
      <c r="X70" s="96">
        <f>IF(AND(ISNUMBER(F70),ISNUMBER(H70)),IF(H70&gt;0,1,0),0)</f>
        <v>0</v>
      </c>
      <c r="Y70" s="96">
        <f>IF(Q70=0,0,IF(OR(T70=0,X70=0,NOT(ISNUMBER(E70)),AND(J70="Sim",L70="",M70=""),AND(ISNUMBER(E70),ISNUMBER(V70),N(V70)&gt;0,E70&lt;N(V70))),1,0))</f>
        <v>0</v>
      </c>
      <c r="Z70" s="96">
        <f>IF(AND(Q70=1,T70=1,X70=1,J70="Sim",OR(L70&lt;&gt;"",M70&lt;&gt;"")),1,0)</f>
        <v>0</v>
      </c>
      <c r="AA70" s="96">
        <f>IF(Q70=0,0,IF(AND(OR(r_ini="",AND(ISNUMBER(E70),E70&gt;=r_ini)),OR(r_fim="",AND(ISNUMBER(E70),E70&lt;=r_fim)),OR(r_un="",r_un="(Todas)",IF(N(U70)&gt;0,INDEX('MTRs'!$G$6:$G$505,U70),"")=r_un),OR(r_de="",r_de="(Todos)",D70=r_de)),1,0))</f>
        <v>0</v>
      </c>
      <c r="AB70" s="96" t="str">
        <f>IF(AA70=1,COUNTIF($AA$6:AA70,1),"")</f>
        <v/>
      </c>
    </row>
    <row r="71">
      <c r="A71" s="89" t="inlineStr">
        <is>
          <t>REC-000066</t>
        </is>
      </c>
      <c r="B71" s="94" t="str">
        <f>IF(T71=1,INDEX('ITENS_MTR'!$S$6:$S$1005,S71)&amp;"","")</f>
        <v/>
      </c>
      <c r="C71" s="91" t="n"/>
      <c r="D71" s="94" t="str">
        <f>IF(N(U71)&gt;0,INDEX('MTRs'!$I$6:$I$505,U71)&amp;"","")</f>
        <v/>
      </c>
      <c r="E71" s="92" t="n"/>
      <c r="F71" s="98" t="n"/>
      <c r="G71" s="91" t="n"/>
      <c r="H71" s="93" t="str">
        <f>IF(Q71=0,"",IF(NOT(ISNUMBER(F71)),"",IF(ISNUMBER(W71),F71*W71,"UNIDADE A CONFERIR")))</f>
        <v/>
      </c>
      <c r="I71" s="91" t="n"/>
      <c r="J71" s="91" t="n"/>
      <c r="K71" s="92" t="n"/>
      <c r="L71" s="91" t="n"/>
      <c r="M71" s="91" t="n"/>
      <c r="N71" s="91" t="n"/>
      <c r="O71" s="91" t="n"/>
      <c r="P71" s="94" t="str">
        <f>IF(Q71=0,"",IF(C71="","Item de resíduo não informado",IF(T71=0,"Item inexistente (referência inválida)",IF(NOT(ISNUMBER(F71)),"Quantidade não informada",IF(F71&lt;=0,"Quantidade não positiva",IF(G71="","Unidade não informada",IF(NOT(ISNUMBER(H71)),"Unidade a conferir",IF(NOT(ISNUMBER(E71)),"Data de recebimento não informada",IF(AND(ISNUMBER(V71),N(V71)&gt;0,E71&lt;N(V71)),"Data anterior à emissão do MTR",IF(AND(J71="Sim",L71="",M71=""),"Conferido sem evidência identificada",IF(J71&lt;&gt;"Sim","Aguardando conferência",IF(INDEX('ITENS_MTR'!$AM$6:$AM$1005,S71)=1,"Conferido (ver diferença no item)","Conferido"))))))))))))</f>
        <v/>
      </c>
      <c r="Q71" s="96">
        <f>IF(COUNTA(C71,E71:G71,I71:O71)&gt;0,1,0)</f>
        <v>0</v>
      </c>
      <c r="R71" s="96" t="str">
        <f>IF(C71="","",TRIM(LEFT(C71,FIND(" |",C71&amp;" |")-1)))</f>
        <v/>
      </c>
      <c r="S71" s="96" t="str">
        <f>IF(R71="","",IFERROR(MATCH(R71,'ITENS_MTR'!$A$6:$A$1005,0),""))</f>
        <v/>
      </c>
      <c r="T71" s="96">
        <f>IF(S71="",0,IF(INDEX('ITENS_MTR'!$R$6:$R$1005,S71)=1,1,0))</f>
        <v>0</v>
      </c>
      <c r="U71" s="96" t="str">
        <f>IF(T71=1,INDEX('ITENS_MTR'!$T$6:$T$1005,S71),"")</f>
        <v/>
      </c>
      <c r="V71" s="97" t="str">
        <f>IF(N(U71)&gt;0,INDEX('MTRs'!$E$6:$E$505,U71),"")</f>
        <v/>
      </c>
      <c r="W71" s="96" t="str">
        <f>IF(G71="","",IFERROR(IF(ISNUMBER(INDEX(cfg_fac,MATCH(G71,cfg_units,0))),IF(INDEX(cfg_fac,MATCH(G71,cfg_units,0))&gt;0,INDEX(cfg_fac,MATCH(G71,cfg_units,0)),""),""),""))</f>
        <v/>
      </c>
      <c r="X71" s="96">
        <f>IF(AND(ISNUMBER(F71),ISNUMBER(H71)),IF(H71&gt;0,1,0),0)</f>
        <v>0</v>
      </c>
      <c r="Y71" s="96">
        <f>IF(Q71=0,0,IF(OR(T71=0,X71=0,NOT(ISNUMBER(E71)),AND(J71="Sim",L71="",M71=""),AND(ISNUMBER(E71),ISNUMBER(V71),N(V71)&gt;0,E71&lt;N(V71))),1,0))</f>
        <v>0</v>
      </c>
      <c r="Z71" s="96">
        <f>IF(AND(Q71=1,T71=1,X71=1,J71="Sim",OR(L71&lt;&gt;"",M71&lt;&gt;"")),1,0)</f>
        <v>0</v>
      </c>
      <c r="AA71" s="96">
        <f>IF(Q71=0,0,IF(AND(OR(r_ini="",AND(ISNUMBER(E71),E71&gt;=r_ini)),OR(r_fim="",AND(ISNUMBER(E71),E71&lt;=r_fim)),OR(r_un="",r_un="(Todas)",IF(N(U71)&gt;0,INDEX('MTRs'!$G$6:$G$505,U71),"")=r_un),OR(r_de="",r_de="(Todos)",D71=r_de)),1,0))</f>
        <v>0</v>
      </c>
      <c r="AB71" s="96" t="str">
        <f>IF(AA71=1,COUNTIF($AA$6:AA71,1),"")</f>
        <v/>
      </c>
    </row>
    <row r="72">
      <c r="A72" s="89" t="inlineStr">
        <is>
          <t>REC-000067</t>
        </is>
      </c>
      <c r="B72" s="94" t="str">
        <f>IF(T72=1,INDEX('ITENS_MTR'!$S$6:$S$1005,S72)&amp;"","")</f>
        <v/>
      </c>
      <c r="C72" s="91" t="n"/>
      <c r="D72" s="94" t="str">
        <f>IF(N(U72)&gt;0,INDEX('MTRs'!$I$6:$I$505,U72)&amp;"","")</f>
        <v/>
      </c>
      <c r="E72" s="92" t="n"/>
      <c r="F72" s="98" t="n"/>
      <c r="G72" s="91" t="n"/>
      <c r="H72" s="93" t="str">
        <f>IF(Q72=0,"",IF(NOT(ISNUMBER(F72)),"",IF(ISNUMBER(W72),F72*W72,"UNIDADE A CONFERIR")))</f>
        <v/>
      </c>
      <c r="I72" s="91" t="n"/>
      <c r="J72" s="91" t="n"/>
      <c r="K72" s="92" t="n"/>
      <c r="L72" s="91" t="n"/>
      <c r="M72" s="91" t="n"/>
      <c r="N72" s="91" t="n"/>
      <c r="O72" s="91" t="n"/>
      <c r="P72" s="94" t="str">
        <f>IF(Q72=0,"",IF(C72="","Item de resíduo não informado",IF(T72=0,"Item inexistente (referência inválida)",IF(NOT(ISNUMBER(F72)),"Quantidade não informada",IF(F72&lt;=0,"Quantidade não positiva",IF(G72="","Unidade não informada",IF(NOT(ISNUMBER(H72)),"Unidade a conferir",IF(NOT(ISNUMBER(E72)),"Data de recebimento não informada",IF(AND(ISNUMBER(V72),N(V72)&gt;0,E72&lt;N(V72)),"Data anterior à emissão do MTR",IF(AND(J72="Sim",L72="",M72=""),"Conferido sem evidência identificada",IF(J72&lt;&gt;"Sim","Aguardando conferência",IF(INDEX('ITENS_MTR'!$AM$6:$AM$1005,S72)=1,"Conferido (ver diferença no item)","Conferido"))))))))))))</f>
        <v/>
      </c>
      <c r="Q72" s="96">
        <f>IF(COUNTA(C72,E72:G72,I72:O72)&gt;0,1,0)</f>
        <v>0</v>
      </c>
      <c r="R72" s="96" t="str">
        <f>IF(C72="","",TRIM(LEFT(C72,FIND(" |",C72&amp;" |")-1)))</f>
        <v/>
      </c>
      <c r="S72" s="96" t="str">
        <f>IF(R72="","",IFERROR(MATCH(R72,'ITENS_MTR'!$A$6:$A$1005,0),""))</f>
        <v/>
      </c>
      <c r="T72" s="96">
        <f>IF(S72="",0,IF(INDEX('ITENS_MTR'!$R$6:$R$1005,S72)=1,1,0))</f>
        <v>0</v>
      </c>
      <c r="U72" s="96" t="str">
        <f>IF(T72=1,INDEX('ITENS_MTR'!$T$6:$T$1005,S72),"")</f>
        <v/>
      </c>
      <c r="V72" s="97" t="str">
        <f>IF(N(U72)&gt;0,INDEX('MTRs'!$E$6:$E$505,U72),"")</f>
        <v/>
      </c>
      <c r="W72" s="96" t="str">
        <f>IF(G72="","",IFERROR(IF(ISNUMBER(INDEX(cfg_fac,MATCH(G72,cfg_units,0))),IF(INDEX(cfg_fac,MATCH(G72,cfg_units,0))&gt;0,INDEX(cfg_fac,MATCH(G72,cfg_units,0)),""),""),""))</f>
        <v/>
      </c>
      <c r="X72" s="96">
        <f>IF(AND(ISNUMBER(F72),ISNUMBER(H72)),IF(H72&gt;0,1,0),0)</f>
        <v>0</v>
      </c>
      <c r="Y72" s="96">
        <f>IF(Q72=0,0,IF(OR(T72=0,X72=0,NOT(ISNUMBER(E72)),AND(J72="Sim",L72="",M72=""),AND(ISNUMBER(E72),ISNUMBER(V72),N(V72)&gt;0,E72&lt;N(V72))),1,0))</f>
        <v>0</v>
      </c>
      <c r="Z72" s="96">
        <f>IF(AND(Q72=1,T72=1,X72=1,J72="Sim",OR(L72&lt;&gt;"",M72&lt;&gt;"")),1,0)</f>
        <v>0</v>
      </c>
      <c r="AA72" s="96">
        <f>IF(Q72=0,0,IF(AND(OR(r_ini="",AND(ISNUMBER(E72),E72&gt;=r_ini)),OR(r_fim="",AND(ISNUMBER(E72),E72&lt;=r_fim)),OR(r_un="",r_un="(Todas)",IF(N(U72)&gt;0,INDEX('MTRs'!$G$6:$G$505,U72),"")=r_un),OR(r_de="",r_de="(Todos)",D72=r_de)),1,0))</f>
        <v>0</v>
      </c>
      <c r="AB72" s="96" t="str">
        <f>IF(AA72=1,COUNTIF($AA$6:AA72,1),"")</f>
        <v/>
      </c>
    </row>
    <row r="73">
      <c r="A73" s="89" t="inlineStr">
        <is>
          <t>REC-000068</t>
        </is>
      </c>
      <c r="B73" s="94" t="str">
        <f>IF(T73=1,INDEX('ITENS_MTR'!$S$6:$S$1005,S73)&amp;"","")</f>
        <v/>
      </c>
      <c r="C73" s="91" t="n"/>
      <c r="D73" s="94" t="str">
        <f>IF(N(U73)&gt;0,INDEX('MTRs'!$I$6:$I$505,U73)&amp;"","")</f>
        <v/>
      </c>
      <c r="E73" s="92" t="n"/>
      <c r="F73" s="98" t="n"/>
      <c r="G73" s="91" t="n"/>
      <c r="H73" s="93" t="str">
        <f>IF(Q73=0,"",IF(NOT(ISNUMBER(F73)),"",IF(ISNUMBER(W73),F73*W73,"UNIDADE A CONFERIR")))</f>
        <v/>
      </c>
      <c r="I73" s="91" t="n"/>
      <c r="J73" s="91" t="n"/>
      <c r="K73" s="92" t="n"/>
      <c r="L73" s="91" t="n"/>
      <c r="M73" s="91" t="n"/>
      <c r="N73" s="91" t="n"/>
      <c r="O73" s="91" t="n"/>
      <c r="P73" s="94" t="str">
        <f>IF(Q73=0,"",IF(C73="","Item de resíduo não informado",IF(T73=0,"Item inexistente (referência inválida)",IF(NOT(ISNUMBER(F73)),"Quantidade não informada",IF(F73&lt;=0,"Quantidade não positiva",IF(G73="","Unidade não informada",IF(NOT(ISNUMBER(H73)),"Unidade a conferir",IF(NOT(ISNUMBER(E73)),"Data de recebimento não informada",IF(AND(ISNUMBER(V73),N(V73)&gt;0,E73&lt;N(V73)),"Data anterior à emissão do MTR",IF(AND(J73="Sim",L73="",M73=""),"Conferido sem evidência identificada",IF(J73&lt;&gt;"Sim","Aguardando conferência",IF(INDEX('ITENS_MTR'!$AM$6:$AM$1005,S73)=1,"Conferido (ver diferença no item)","Conferido"))))))))))))</f>
        <v/>
      </c>
      <c r="Q73" s="96">
        <f>IF(COUNTA(C73,E73:G73,I73:O73)&gt;0,1,0)</f>
        <v>0</v>
      </c>
      <c r="R73" s="96" t="str">
        <f>IF(C73="","",TRIM(LEFT(C73,FIND(" |",C73&amp;" |")-1)))</f>
        <v/>
      </c>
      <c r="S73" s="96" t="str">
        <f>IF(R73="","",IFERROR(MATCH(R73,'ITENS_MTR'!$A$6:$A$1005,0),""))</f>
        <v/>
      </c>
      <c r="T73" s="96">
        <f>IF(S73="",0,IF(INDEX('ITENS_MTR'!$R$6:$R$1005,S73)=1,1,0))</f>
        <v>0</v>
      </c>
      <c r="U73" s="96" t="str">
        <f>IF(T73=1,INDEX('ITENS_MTR'!$T$6:$T$1005,S73),"")</f>
        <v/>
      </c>
      <c r="V73" s="97" t="str">
        <f>IF(N(U73)&gt;0,INDEX('MTRs'!$E$6:$E$505,U73),"")</f>
        <v/>
      </c>
      <c r="W73" s="96" t="str">
        <f>IF(G73="","",IFERROR(IF(ISNUMBER(INDEX(cfg_fac,MATCH(G73,cfg_units,0))),IF(INDEX(cfg_fac,MATCH(G73,cfg_units,0))&gt;0,INDEX(cfg_fac,MATCH(G73,cfg_units,0)),""),""),""))</f>
        <v/>
      </c>
      <c r="X73" s="96">
        <f>IF(AND(ISNUMBER(F73),ISNUMBER(H73)),IF(H73&gt;0,1,0),0)</f>
        <v>0</v>
      </c>
      <c r="Y73" s="96">
        <f>IF(Q73=0,0,IF(OR(T73=0,X73=0,NOT(ISNUMBER(E73)),AND(J73="Sim",L73="",M73=""),AND(ISNUMBER(E73),ISNUMBER(V73),N(V73)&gt;0,E73&lt;N(V73))),1,0))</f>
        <v>0</v>
      </c>
      <c r="Z73" s="96">
        <f>IF(AND(Q73=1,T73=1,X73=1,J73="Sim",OR(L73&lt;&gt;"",M73&lt;&gt;"")),1,0)</f>
        <v>0</v>
      </c>
      <c r="AA73" s="96">
        <f>IF(Q73=0,0,IF(AND(OR(r_ini="",AND(ISNUMBER(E73),E73&gt;=r_ini)),OR(r_fim="",AND(ISNUMBER(E73),E73&lt;=r_fim)),OR(r_un="",r_un="(Todas)",IF(N(U73)&gt;0,INDEX('MTRs'!$G$6:$G$505,U73),"")=r_un),OR(r_de="",r_de="(Todos)",D73=r_de)),1,0))</f>
        <v>0</v>
      </c>
      <c r="AB73" s="96" t="str">
        <f>IF(AA73=1,COUNTIF($AA$6:AA73,1),"")</f>
        <v/>
      </c>
    </row>
    <row r="74">
      <c r="A74" s="89" t="inlineStr">
        <is>
          <t>REC-000069</t>
        </is>
      </c>
      <c r="B74" s="94" t="str">
        <f>IF(T74=1,INDEX('ITENS_MTR'!$S$6:$S$1005,S74)&amp;"","")</f>
        <v/>
      </c>
      <c r="C74" s="91" t="n"/>
      <c r="D74" s="94" t="str">
        <f>IF(N(U74)&gt;0,INDEX('MTRs'!$I$6:$I$505,U74)&amp;"","")</f>
        <v/>
      </c>
      <c r="E74" s="92" t="n"/>
      <c r="F74" s="98" t="n"/>
      <c r="G74" s="91" t="n"/>
      <c r="H74" s="93" t="str">
        <f>IF(Q74=0,"",IF(NOT(ISNUMBER(F74)),"",IF(ISNUMBER(W74),F74*W74,"UNIDADE A CONFERIR")))</f>
        <v/>
      </c>
      <c r="I74" s="91" t="n"/>
      <c r="J74" s="91" t="n"/>
      <c r="K74" s="92" t="n"/>
      <c r="L74" s="91" t="n"/>
      <c r="M74" s="91" t="n"/>
      <c r="N74" s="91" t="n"/>
      <c r="O74" s="91" t="n"/>
      <c r="P74" s="94" t="str">
        <f>IF(Q74=0,"",IF(C74="","Item de resíduo não informado",IF(T74=0,"Item inexistente (referência inválida)",IF(NOT(ISNUMBER(F74)),"Quantidade não informada",IF(F74&lt;=0,"Quantidade não positiva",IF(G74="","Unidade não informada",IF(NOT(ISNUMBER(H74)),"Unidade a conferir",IF(NOT(ISNUMBER(E74)),"Data de recebimento não informada",IF(AND(ISNUMBER(V74),N(V74)&gt;0,E74&lt;N(V74)),"Data anterior à emissão do MTR",IF(AND(J74="Sim",L74="",M74=""),"Conferido sem evidência identificada",IF(J74&lt;&gt;"Sim","Aguardando conferência",IF(INDEX('ITENS_MTR'!$AM$6:$AM$1005,S74)=1,"Conferido (ver diferença no item)","Conferido"))))))))))))</f>
        <v/>
      </c>
      <c r="Q74" s="96">
        <f>IF(COUNTA(C74,E74:G74,I74:O74)&gt;0,1,0)</f>
        <v>0</v>
      </c>
      <c r="R74" s="96" t="str">
        <f>IF(C74="","",TRIM(LEFT(C74,FIND(" |",C74&amp;" |")-1)))</f>
        <v/>
      </c>
      <c r="S74" s="96" t="str">
        <f>IF(R74="","",IFERROR(MATCH(R74,'ITENS_MTR'!$A$6:$A$1005,0),""))</f>
        <v/>
      </c>
      <c r="T74" s="96">
        <f>IF(S74="",0,IF(INDEX('ITENS_MTR'!$R$6:$R$1005,S74)=1,1,0))</f>
        <v>0</v>
      </c>
      <c r="U74" s="96" t="str">
        <f>IF(T74=1,INDEX('ITENS_MTR'!$T$6:$T$1005,S74),"")</f>
        <v/>
      </c>
      <c r="V74" s="97" t="str">
        <f>IF(N(U74)&gt;0,INDEX('MTRs'!$E$6:$E$505,U74),"")</f>
        <v/>
      </c>
      <c r="W74" s="96" t="str">
        <f>IF(G74="","",IFERROR(IF(ISNUMBER(INDEX(cfg_fac,MATCH(G74,cfg_units,0))),IF(INDEX(cfg_fac,MATCH(G74,cfg_units,0))&gt;0,INDEX(cfg_fac,MATCH(G74,cfg_units,0)),""),""),""))</f>
        <v/>
      </c>
      <c r="X74" s="96">
        <f>IF(AND(ISNUMBER(F74),ISNUMBER(H74)),IF(H74&gt;0,1,0),0)</f>
        <v>0</v>
      </c>
      <c r="Y74" s="96">
        <f>IF(Q74=0,0,IF(OR(T74=0,X74=0,NOT(ISNUMBER(E74)),AND(J74="Sim",L74="",M74=""),AND(ISNUMBER(E74),ISNUMBER(V74),N(V74)&gt;0,E74&lt;N(V74))),1,0))</f>
        <v>0</v>
      </c>
      <c r="Z74" s="96">
        <f>IF(AND(Q74=1,T74=1,X74=1,J74="Sim",OR(L74&lt;&gt;"",M74&lt;&gt;"")),1,0)</f>
        <v>0</v>
      </c>
      <c r="AA74" s="96">
        <f>IF(Q74=0,0,IF(AND(OR(r_ini="",AND(ISNUMBER(E74),E74&gt;=r_ini)),OR(r_fim="",AND(ISNUMBER(E74),E74&lt;=r_fim)),OR(r_un="",r_un="(Todas)",IF(N(U74)&gt;0,INDEX('MTRs'!$G$6:$G$505,U74),"")=r_un),OR(r_de="",r_de="(Todos)",D74=r_de)),1,0))</f>
        <v>0</v>
      </c>
      <c r="AB74" s="96" t="str">
        <f>IF(AA74=1,COUNTIF($AA$6:AA74,1),"")</f>
        <v/>
      </c>
    </row>
    <row r="75">
      <c r="A75" s="89" t="inlineStr">
        <is>
          <t>REC-000070</t>
        </is>
      </c>
      <c r="B75" s="94" t="str">
        <f>IF(T75=1,INDEX('ITENS_MTR'!$S$6:$S$1005,S75)&amp;"","")</f>
        <v/>
      </c>
      <c r="C75" s="91" t="n"/>
      <c r="D75" s="94" t="str">
        <f>IF(N(U75)&gt;0,INDEX('MTRs'!$I$6:$I$505,U75)&amp;"","")</f>
        <v/>
      </c>
      <c r="E75" s="92" t="n"/>
      <c r="F75" s="98" t="n"/>
      <c r="G75" s="91" t="n"/>
      <c r="H75" s="93" t="str">
        <f>IF(Q75=0,"",IF(NOT(ISNUMBER(F75)),"",IF(ISNUMBER(W75),F75*W75,"UNIDADE A CONFERIR")))</f>
        <v/>
      </c>
      <c r="I75" s="91" t="n"/>
      <c r="J75" s="91" t="n"/>
      <c r="K75" s="92" t="n"/>
      <c r="L75" s="91" t="n"/>
      <c r="M75" s="91" t="n"/>
      <c r="N75" s="91" t="n"/>
      <c r="O75" s="91" t="n"/>
      <c r="P75" s="94" t="str">
        <f>IF(Q75=0,"",IF(C75="","Item de resíduo não informado",IF(T75=0,"Item inexistente (referência inválida)",IF(NOT(ISNUMBER(F75)),"Quantidade não informada",IF(F75&lt;=0,"Quantidade não positiva",IF(G75="","Unidade não informada",IF(NOT(ISNUMBER(H75)),"Unidade a conferir",IF(NOT(ISNUMBER(E75)),"Data de recebimento não informada",IF(AND(ISNUMBER(V75),N(V75)&gt;0,E75&lt;N(V75)),"Data anterior à emissão do MTR",IF(AND(J75="Sim",L75="",M75=""),"Conferido sem evidência identificada",IF(J75&lt;&gt;"Sim","Aguardando conferência",IF(INDEX('ITENS_MTR'!$AM$6:$AM$1005,S75)=1,"Conferido (ver diferença no item)","Conferido"))))))))))))</f>
        <v/>
      </c>
      <c r="Q75" s="96">
        <f>IF(COUNTA(C75,E75:G75,I75:O75)&gt;0,1,0)</f>
        <v>0</v>
      </c>
      <c r="R75" s="96" t="str">
        <f>IF(C75="","",TRIM(LEFT(C75,FIND(" |",C75&amp;" |")-1)))</f>
        <v/>
      </c>
      <c r="S75" s="96" t="str">
        <f>IF(R75="","",IFERROR(MATCH(R75,'ITENS_MTR'!$A$6:$A$1005,0),""))</f>
        <v/>
      </c>
      <c r="T75" s="96">
        <f>IF(S75="",0,IF(INDEX('ITENS_MTR'!$R$6:$R$1005,S75)=1,1,0))</f>
        <v>0</v>
      </c>
      <c r="U75" s="96" t="str">
        <f>IF(T75=1,INDEX('ITENS_MTR'!$T$6:$T$1005,S75),"")</f>
        <v/>
      </c>
      <c r="V75" s="97" t="str">
        <f>IF(N(U75)&gt;0,INDEX('MTRs'!$E$6:$E$505,U75),"")</f>
        <v/>
      </c>
      <c r="W75" s="96" t="str">
        <f>IF(G75="","",IFERROR(IF(ISNUMBER(INDEX(cfg_fac,MATCH(G75,cfg_units,0))),IF(INDEX(cfg_fac,MATCH(G75,cfg_units,0))&gt;0,INDEX(cfg_fac,MATCH(G75,cfg_units,0)),""),""),""))</f>
        <v/>
      </c>
      <c r="X75" s="96">
        <f>IF(AND(ISNUMBER(F75),ISNUMBER(H75)),IF(H75&gt;0,1,0),0)</f>
        <v>0</v>
      </c>
      <c r="Y75" s="96">
        <f>IF(Q75=0,0,IF(OR(T75=0,X75=0,NOT(ISNUMBER(E75)),AND(J75="Sim",L75="",M75=""),AND(ISNUMBER(E75),ISNUMBER(V75),N(V75)&gt;0,E75&lt;N(V75))),1,0))</f>
        <v>0</v>
      </c>
      <c r="Z75" s="96">
        <f>IF(AND(Q75=1,T75=1,X75=1,J75="Sim",OR(L75&lt;&gt;"",M75&lt;&gt;"")),1,0)</f>
        <v>0</v>
      </c>
      <c r="AA75" s="96">
        <f>IF(Q75=0,0,IF(AND(OR(r_ini="",AND(ISNUMBER(E75),E75&gt;=r_ini)),OR(r_fim="",AND(ISNUMBER(E75),E75&lt;=r_fim)),OR(r_un="",r_un="(Todas)",IF(N(U75)&gt;0,INDEX('MTRs'!$G$6:$G$505,U75),"")=r_un),OR(r_de="",r_de="(Todos)",D75=r_de)),1,0))</f>
        <v>0</v>
      </c>
      <c r="AB75" s="96" t="str">
        <f>IF(AA75=1,COUNTIF($AA$6:AA75,1),"")</f>
        <v/>
      </c>
    </row>
    <row r="76">
      <c r="A76" s="89" t="inlineStr">
        <is>
          <t>REC-000071</t>
        </is>
      </c>
      <c r="B76" s="94" t="str">
        <f>IF(T76=1,INDEX('ITENS_MTR'!$S$6:$S$1005,S76)&amp;"","")</f>
        <v/>
      </c>
      <c r="C76" s="91" t="n"/>
      <c r="D76" s="94" t="str">
        <f>IF(N(U76)&gt;0,INDEX('MTRs'!$I$6:$I$505,U76)&amp;"","")</f>
        <v/>
      </c>
      <c r="E76" s="92" t="n"/>
      <c r="F76" s="98" t="n"/>
      <c r="G76" s="91" t="n"/>
      <c r="H76" s="93" t="str">
        <f>IF(Q76=0,"",IF(NOT(ISNUMBER(F76)),"",IF(ISNUMBER(W76),F76*W76,"UNIDADE A CONFERIR")))</f>
        <v/>
      </c>
      <c r="I76" s="91" t="n"/>
      <c r="J76" s="91" t="n"/>
      <c r="K76" s="92" t="n"/>
      <c r="L76" s="91" t="n"/>
      <c r="M76" s="91" t="n"/>
      <c r="N76" s="91" t="n"/>
      <c r="O76" s="91" t="n"/>
      <c r="P76" s="94" t="str">
        <f>IF(Q76=0,"",IF(C76="","Item de resíduo não informado",IF(T76=0,"Item inexistente (referência inválida)",IF(NOT(ISNUMBER(F76)),"Quantidade não informada",IF(F76&lt;=0,"Quantidade não positiva",IF(G76="","Unidade não informada",IF(NOT(ISNUMBER(H76)),"Unidade a conferir",IF(NOT(ISNUMBER(E76)),"Data de recebimento não informada",IF(AND(ISNUMBER(V76),N(V76)&gt;0,E76&lt;N(V76)),"Data anterior à emissão do MTR",IF(AND(J76="Sim",L76="",M76=""),"Conferido sem evidência identificada",IF(J76&lt;&gt;"Sim","Aguardando conferência",IF(INDEX('ITENS_MTR'!$AM$6:$AM$1005,S76)=1,"Conferido (ver diferença no item)","Conferido"))))))))))))</f>
        <v/>
      </c>
      <c r="Q76" s="96">
        <f>IF(COUNTA(C76,E76:G76,I76:O76)&gt;0,1,0)</f>
        <v>0</v>
      </c>
      <c r="R76" s="96" t="str">
        <f>IF(C76="","",TRIM(LEFT(C76,FIND(" |",C76&amp;" |")-1)))</f>
        <v/>
      </c>
      <c r="S76" s="96" t="str">
        <f>IF(R76="","",IFERROR(MATCH(R76,'ITENS_MTR'!$A$6:$A$1005,0),""))</f>
        <v/>
      </c>
      <c r="T76" s="96">
        <f>IF(S76="",0,IF(INDEX('ITENS_MTR'!$R$6:$R$1005,S76)=1,1,0))</f>
        <v>0</v>
      </c>
      <c r="U76" s="96" t="str">
        <f>IF(T76=1,INDEX('ITENS_MTR'!$T$6:$T$1005,S76),"")</f>
        <v/>
      </c>
      <c r="V76" s="97" t="str">
        <f>IF(N(U76)&gt;0,INDEX('MTRs'!$E$6:$E$505,U76),"")</f>
        <v/>
      </c>
      <c r="W76" s="96" t="str">
        <f>IF(G76="","",IFERROR(IF(ISNUMBER(INDEX(cfg_fac,MATCH(G76,cfg_units,0))),IF(INDEX(cfg_fac,MATCH(G76,cfg_units,0))&gt;0,INDEX(cfg_fac,MATCH(G76,cfg_units,0)),""),""),""))</f>
        <v/>
      </c>
      <c r="X76" s="96">
        <f>IF(AND(ISNUMBER(F76),ISNUMBER(H76)),IF(H76&gt;0,1,0),0)</f>
        <v>0</v>
      </c>
      <c r="Y76" s="96">
        <f>IF(Q76=0,0,IF(OR(T76=0,X76=0,NOT(ISNUMBER(E76)),AND(J76="Sim",L76="",M76=""),AND(ISNUMBER(E76),ISNUMBER(V76),N(V76)&gt;0,E76&lt;N(V76))),1,0))</f>
        <v>0</v>
      </c>
      <c r="Z76" s="96">
        <f>IF(AND(Q76=1,T76=1,X76=1,J76="Sim",OR(L76&lt;&gt;"",M76&lt;&gt;"")),1,0)</f>
        <v>0</v>
      </c>
      <c r="AA76" s="96">
        <f>IF(Q76=0,0,IF(AND(OR(r_ini="",AND(ISNUMBER(E76),E76&gt;=r_ini)),OR(r_fim="",AND(ISNUMBER(E76),E76&lt;=r_fim)),OR(r_un="",r_un="(Todas)",IF(N(U76)&gt;0,INDEX('MTRs'!$G$6:$G$505,U76),"")=r_un),OR(r_de="",r_de="(Todos)",D76=r_de)),1,0))</f>
        <v>0</v>
      </c>
      <c r="AB76" s="96" t="str">
        <f>IF(AA76=1,COUNTIF($AA$6:AA76,1),"")</f>
        <v/>
      </c>
    </row>
    <row r="77">
      <c r="A77" s="89" t="inlineStr">
        <is>
          <t>REC-000072</t>
        </is>
      </c>
      <c r="B77" s="94" t="str">
        <f>IF(T77=1,INDEX('ITENS_MTR'!$S$6:$S$1005,S77)&amp;"","")</f>
        <v/>
      </c>
      <c r="C77" s="91" t="n"/>
      <c r="D77" s="94" t="str">
        <f>IF(N(U77)&gt;0,INDEX('MTRs'!$I$6:$I$505,U77)&amp;"","")</f>
        <v/>
      </c>
      <c r="E77" s="92" t="n"/>
      <c r="F77" s="98" t="n"/>
      <c r="G77" s="91" t="n"/>
      <c r="H77" s="93" t="str">
        <f>IF(Q77=0,"",IF(NOT(ISNUMBER(F77)),"",IF(ISNUMBER(W77),F77*W77,"UNIDADE A CONFERIR")))</f>
        <v/>
      </c>
      <c r="I77" s="91" t="n"/>
      <c r="J77" s="91" t="n"/>
      <c r="K77" s="92" t="n"/>
      <c r="L77" s="91" t="n"/>
      <c r="M77" s="91" t="n"/>
      <c r="N77" s="91" t="n"/>
      <c r="O77" s="91" t="n"/>
      <c r="P77" s="94" t="str">
        <f>IF(Q77=0,"",IF(C77="","Item de resíduo não informado",IF(T77=0,"Item inexistente (referência inválida)",IF(NOT(ISNUMBER(F77)),"Quantidade não informada",IF(F77&lt;=0,"Quantidade não positiva",IF(G77="","Unidade não informada",IF(NOT(ISNUMBER(H77)),"Unidade a conferir",IF(NOT(ISNUMBER(E77)),"Data de recebimento não informada",IF(AND(ISNUMBER(V77),N(V77)&gt;0,E77&lt;N(V77)),"Data anterior à emissão do MTR",IF(AND(J77="Sim",L77="",M77=""),"Conferido sem evidência identificada",IF(J77&lt;&gt;"Sim","Aguardando conferência",IF(INDEX('ITENS_MTR'!$AM$6:$AM$1005,S77)=1,"Conferido (ver diferença no item)","Conferido"))))))))))))</f>
        <v/>
      </c>
      <c r="Q77" s="96">
        <f>IF(COUNTA(C77,E77:G77,I77:O77)&gt;0,1,0)</f>
        <v>0</v>
      </c>
      <c r="R77" s="96" t="str">
        <f>IF(C77="","",TRIM(LEFT(C77,FIND(" |",C77&amp;" |")-1)))</f>
        <v/>
      </c>
      <c r="S77" s="96" t="str">
        <f>IF(R77="","",IFERROR(MATCH(R77,'ITENS_MTR'!$A$6:$A$1005,0),""))</f>
        <v/>
      </c>
      <c r="T77" s="96">
        <f>IF(S77="",0,IF(INDEX('ITENS_MTR'!$R$6:$R$1005,S77)=1,1,0))</f>
        <v>0</v>
      </c>
      <c r="U77" s="96" t="str">
        <f>IF(T77=1,INDEX('ITENS_MTR'!$T$6:$T$1005,S77),"")</f>
        <v/>
      </c>
      <c r="V77" s="97" t="str">
        <f>IF(N(U77)&gt;0,INDEX('MTRs'!$E$6:$E$505,U77),"")</f>
        <v/>
      </c>
      <c r="W77" s="96" t="str">
        <f>IF(G77="","",IFERROR(IF(ISNUMBER(INDEX(cfg_fac,MATCH(G77,cfg_units,0))),IF(INDEX(cfg_fac,MATCH(G77,cfg_units,0))&gt;0,INDEX(cfg_fac,MATCH(G77,cfg_units,0)),""),""),""))</f>
        <v/>
      </c>
      <c r="X77" s="96">
        <f>IF(AND(ISNUMBER(F77),ISNUMBER(H77)),IF(H77&gt;0,1,0),0)</f>
        <v>0</v>
      </c>
      <c r="Y77" s="96">
        <f>IF(Q77=0,0,IF(OR(T77=0,X77=0,NOT(ISNUMBER(E77)),AND(J77="Sim",L77="",M77=""),AND(ISNUMBER(E77),ISNUMBER(V77),N(V77)&gt;0,E77&lt;N(V77))),1,0))</f>
        <v>0</v>
      </c>
      <c r="Z77" s="96">
        <f>IF(AND(Q77=1,T77=1,X77=1,J77="Sim",OR(L77&lt;&gt;"",M77&lt;&gt;"")),1,0)</f>
        <v>0</v>
      </c>
      <c r="AA77" s="96">
        <f>IF(Q77=0,0,IF(AND(OR(r_ini="",AND(ISNUMBER(E77),E77&gt;=r_ini)),OR(r_fim="",AND(ISNUMBER(E77),E77&lt;=r_fim)),OR(r_un="",r_un="(Todas)",IF(N(U77)&gt;0,INDEX('MTRs'!$G$6:$G$505,U77),"")=r_un),OR(r_de="",r_de="(Todos)",D77=r_de)),1,0))</f>
        <v>0</v>
      </c>
      <c r="AB77" s="96" t="str">
        <f>IF(AA77=1,COUNTIF($AA$6:AA77,1),"")</f>
        <v/>
      </c>
    </row>
    <row r="78">
      <c r="A78" s="89" t="inlineStr">
        <is>
          <t>REC-000073</t>
        </is>
      </c>
      <c r="B78" s="94" t="str">
        <f>IF(T78=1,INDEX('ITENS_MTR'!$S$6:$S$1005,S78)&amp;"","")</f>
        <v/>
      </c>
      <c r="C78" s="91" t="n"/>
      <c r="D78" s="94" t="str">
        <f>IF(N(U78)&gt;0,INDEX('MTRs'!$I$6:$I$505,U78)&amp;"","")</f>
        <v/>
      </c>
      <c r="E78" s="92" t="n"/>
      <c r="F78" s="98" t="n"/>
      <c r="G78" s="91" t="n"/>
      <c r="H78" s="93" t="str">
        <f>IF(Q78=0,"",IF(NOT(ISNUMBER(F78)),"",IF(ISNUMBER(W78),F78*W78,"UNIDADE A CONFERIR")))</f>
        <v/>
      </c>
      <c r="I78" s="91" t="n"/>
      <c r="J78" s="91" t="n"/>
      <c r="K78" s="92" t="n"/>
      <c r="L78" s="91" t="n"/>
      <c r="M78" s="91" t="n"/>
      <c r="N78" s="91" t="n"/>
      <c r="O78" s="91" t="n"/>
      <c r="P78" s="94" t="str">
        <f>IF(Q78=0,"",IF(C78="","Item de resíduo não informado",IF(T78=0,"Item inexistente (referência inválida)",IF(NOT(ISNUMBER(F78)),"Quantidade não informada",IF(F78&lt;=0,"Quantidade não positiva",IF(G78="","Unidade não informada",IF(NOT(ISNUMBER(H78)),"Unidade a conferir",IF(NOT(ISNUMBER(E78)),"Data de recebimento não informada",IF(AND(ISNUMBER(V78),N(V78)&gt;0,E78&lt;N(V78)),"Data anterior à emissão do MTR",IF(AND(J78="Sim",L78="",M78=""),"Conferido sem evidência identificada",IF(J78&lt;&gt;"Sim","Aguardando conferência",IF(INDEX('ITENS_MTR'!$AM$6:$AM$1005,S78)=1,"Conferido (ver diferença no item)","Conferido"))))))))))))</f>
        <v/>
      </c>
      <c r="Q78" s="96">
        <f>IF(COUNTA(C78,E78:G78,I78:O78)&gt;0,1,0)</f>
        <v>0</v>
      </c>
      <c r="R78" s="96" t="str">
        <f>IF(C78="","",TRIM(LEFT(C78,FIND(" |",C78&amp;" |")-1)))</f>
        <v/>
      </c>
      <c r="S78" s="96" t="str">
        <f>IF(R78="","",IFERROR(MATCH(R78,'ITENS_MTR'!$A$6:$A$1005,0),""))</f>
        <v/>
      </c>
      <c r="T78" s="96">
        <f>IF(S78="",0,IF(INDEX('ITENS_MTR'!$R$6:$R$1005,S78)=1,1,0))</f>
        <v>0</v>
      </c>
      <c r="U78" s="96" t="str">
        <f>IF(T78=1,INDEX('ITENS_MTR'!$T$6:$T$1005,S78),"")</f>
        <v/>
      </c>
      <c r="V78" s="97" t="str">
        <f>IF(N(U78)&gt;0,INDEX('MTRs'!$E$6:$E$505,U78),"")</f>
        <v/>
      </c>
      <c r="W78" s="96" t="str">
        <f>IF(G78="","",IFERROR(IF(ISNUMBER(INDEX(cfg_fac,MATCH(G78,cfg_units,0))),IF(INDEX(cfg_fac,MATCH(G78,cfg_units,0))&gt;0,INDEX(cfg_fac,MATCH(G78,cfg_units,0)),""),""),""))</f>
        <v/>
      </c>
      <c r="X78" s="96">
        <f>IF(AND(ISNUMBER(F78),ISNUMBER(H78)),IF(H78&gt;0,1,0),0)</f>
        <v>0</v>
      </c>
      <c r="Y78" s="96">
        <f>IF(Q78=0,0,IF(OR(T78=0,X78=0,NOT(ISNUMBER(E78)),AND(J78="Sim",L78="",M78=""),AND(ISNUMBER(E78),ISNUMBER(V78),N(V78)&gt;0,E78&lt;N(V78))),1,0))</f>
        <v>0</v>
      </c>
      <c r="Z78" s="96">
        <f>IF(AND(Q78=1,T78=1,X78=1,J78="Sim",OR(L78&lt;&gt;"",M78&lt;&gt;"")),1,0)</f>
        <v>0</v>
      </c>
      <c r="AA78" s="96">
        <f>IF(Q78=0,0,IF(AND(OR(r_ini="",AND(ISNUMBER(E78),E78&gt;=r_ini)),OR(r_fim="",AND(ISNUMBER(E78),E78&lt;=r_fim)),OR(r_un="",r_un="(Todas)",IF(N(U78)&gt;0,INDEX('MTRs'!$G$6:$G$505,U78),"")=r_un),OR(r_de="",r_de="(Todos)",D78=r_de)),1,0))</f>
        <v>0</v>
      </c>
      <c r="AB78" s="96" t="str">
        <f>IF(AA78=1,COUNTIF($AA$6:AA78,1),"")</f>
        <v/>
      </c>
    </row>
    <row r="79">
      <c r="A79" s="89" t="inlineStr">
        <is>
          <t>REC-000074</t>
        </is>
      </c>
      <c r="B79" s="94" t="str">
        <f>IF(T79=1,INDEX('ITENS_MTR'!$S$6:$S$1005,S79)&amp;"","")</f>
        <v/>
      </c>
      <c r="C79" s="91" t="n"/>
      <c r="D79" s="94" t="str">
        <f>IF(N(U79)&gt;0,INDEX('MTRs'!$I$6:$I$505,U79)&amp;"","")</f>
        <v/>
      </c>
      <c r="E79" s="92" t="n"/>
      <c r="F79" s="98" t="n"/>
      <c r="G79" s="91" t="n"/>
      <c r="H79" s="93" t="str">
        <f>IF(Q79=0,"",IF(NOT(ISNUMBER(F79)),"",IF(ISNUMBER(W79),F79*W79,"UNIDADE A CONFERIR")))</f>
        <v/>
      </c>
      <c r="I79" s="91" t="n"/>
      <c r="J79" s="91" t="n"/>
      <c r="K79" s="92" t="n"/>
      <c r="L79" s="91" t="n"/>
      <c r="M79" s="91" t="n"/>
      <c r="N79" s="91" t="n"/>
      <c r="O79" s="91" t="n"/>
      <c r="P79" s="94" t="str">
        <f>IF(Q79=0,"",IF(C79="","Item de resíduo não informado",IF(T79=0,"Item inexistente (referência inválida)",IF(NOT(ISNUMBER(F79)),"Quantidade não informada",IF(F79&lt;=0,"Quantidade não positiva",IF(G79="","Unidade não informada",IF(NOT(ISNUMBER(H79)),"Unidade a conferir",IF(NOT(ISNUMBER(E79)),"Data de recebimento não informada",IF(AND(ISNUMBER(V79),N(V79)&gt;0,E79&lt;N(V79)),"Data anterior à emissão do MTR",IF(AND(J79="Sim",L79="",M79=""),"Conferido sem evidência identificada",IF(J79&lt;&gt;"Sim","Aguardando conferência",IF(INDEX('ITENS_MTR'!$AM$6:$AM$1005,S79)=1,"Conferido (ver diferença no item)","Conferido"))))))))))))</f>
        <v/>
      </c>
      <c r="Q79" s="96">
        <f>IF(COUNTA(C79,E79:G79,I79:O79)&gt;0,1,0)</f>
        <v>0</v>
      </c>
      <c r="R79" s="96" t="str">
        <f>IF(C79="","",TRIM(LEFT(C79,FIND(" |",C79&amp;" |")-1)))</f>
        <v/>
      </c>
      <c r="S79" s="96" t="str">
        <f>IF(R79="","",IFERROR(MATCH(R79,'ITENS_MTR'!$A$6:$A$1005,0),""))</f>
        <v/>
      </c>
      <c r="T79" s="96">
        <f>IF(S79="",0,IF(INDEX('ITENS_MTR'!$R$6:$R$1005,S79)=1,1,0))</f>
        <v>0</v>
      </c>
      <c r="U79" s="96" t="str">
        <f>IF(T79=1,INDEX('ITENS_MTR'!$T$6:$T$1005,S79),"")</f>
        <v/>
      </c>
      <c r="V79" s="97" t="str">
        <f>IF(N(U79)&gt;0,INDEX('MTRs'!$E$6:$E$505,U79),"")</f>
        <v/>
      </c>
      <c r="W79" s="96" t="str">
        <f>IF(G79="","",IFERROR(IF(ISNUMBER(INDEX(cfg_fac,MATCH(G79,cfg_units,0))),IF(INDEX(cfg_fac,MATCH(G79,cfg_units,0))&gt;0,INDEX(cfg_fac,MATCH(G79,cfg_units,0)),""),""),""))</f>
        <v/>
      </c>
      <c r="X79" s="96">
        <f>IF(AND(ISNUMBER(F79),ISNUMBER(H79)),IF(H79&gt;0,1,0),0)</f>
        <v>0</v>
      </c>
      <c r="Y79" s="96">
        <f>IF(Q79=0,0,IF(OR(T79=0,X79=0,NOT(ISNUMBER(E79)),AND(J79="Sim",L79="",M79=""),AND(ISNUMBER(E79),ISNUMBER(V79),N(V79)&gt;0,E79&lt;N(V79))),1,0))</f>
        <v>0</v>
      </c>
      <c r="Z79" s="96">
        <f>IF(AND(Q79=1,T79=1,X79=1,J79="Sim",OR(L79&lt;&gt;"",M79&lt;&gt;"")),1,0)</f>
        <v>0</v>
      </c>
      <c r="AA79" s="96">
        <f>IF(Q79=0,0,IF(AND(OR(r_ini="",AND(ISNUMBER(E79),E79&gt;=r_ini)),OR(r_fim="",AND(ISNUMBER(E79),E79&lt;=r_fim)),OR(r_un="",r_un="(Todas)",IF(N(U79)&gt;0,INDEX('MTRs'!$G$6:$G$505,U79),"")=r_un),OR(r_de="",r_de="(Todos)",D79=r_de)),1,0))</f>
        <v>0</v>
      </c>
      <c r="AB79" s="96" t="str">
        <f>IF(AA79=1,COUNTIF($AA$6:AA79,1),"")</f>
        <v/>
      </c>
    </row>
    <row r="80">
      <c r="A80" s="89" t="inlineStr">
        <is>
          <t>REC-000075</t>
        </is>
      </c>
      <c r="B80" s="94" t="str">
        <f>IF(T80=1,INDEX('ITENS_MTR'!$S$6:$S$1005,S80)&amp;"","")</f>
        <v/>
      </c>
      <c r="C80" s="91" t="n"/>
      <c r="D80" s="94" t="str">
        <f>IF(N(U80)&gt;0,INDEX('MTRs'!$I$6:$I$505,U80)&amp;"","")</f>
        <v/>
      </c>
      <c r="E80" s="92" t="n"/>
      <c r="F80" s="98" t="n"/>
      <c r="G80" s="91" t="n"/>
      <c r="H80" s="93" t="str">
        <f>IF(Q80=0,"",IF(NOT(ISNUMBER(F80)),"",IF(ISNUMBER(W80),F80*W80,"UNIDADE A CONFERIR")))</f>
        <v/>
      </c>
      <c r="I80" s="91" t="n"/>
      <c r="J80" s="91" t="n"/>
      <c r="K80" s="92" t="n"/>
      <c r="L80" s="91" t="n"/>
      <c r="M80" s="91" t="n"/>
      <c r="N80" s="91" t="n"/>
      <c r="O80" s="91" t="n"/>
      <c r="P80" s="94" t="str">
        <f>IF(Q80=0,"",IF(C80="","Item de resíduo não informado",IF(T80=0,"Item inexistente (referência inválida)",IF(NOT(ISNUMBER(F80)),"Quantidade não informada",IF(F80&lt;=0,"Quantidade não positiva",IF(G80="","Unidade não informada",IF(NOT(ISNUMBER(H80)),"Unidade a conferir",IF(NOT(ISNUMBER(E80)),"Data de recebimento não informada",IF(AND(ISNUMBER(V80),N(V80)&gt;0,E80&lt;N(V80)),"Data anterior à emissão do MTR",IF(AND(J80="Sim",L80="",M80=""),"Conferido sem evidência identificada",IF(J80&lt;&gt;"Sim","Aguardando conferência",IF(INDEX('ITENS_MTR'!$AM$6:$AM$1005,S80)=1,"Conferido (ver diferença no item)","Conferido"))))))))))))</f>
        <v/>
      </c>
      <c r="Q80" s="96">
        <f>IF(COUNTA(C80,E80:G80,I80:O80)&gt;0,1,0)</f>
        <v>0</v>
      </c>
      <c r="R80" s="96" t="str">
        <f>IF(C80="","",TRIM(LEFT(C80,FIND(" |",C80&amp;" |")-1)))</f>
        <v/>
      </c>
      <c r="S80" s="96" t="str">
        <f>IF(R80="","",IFERROR(MATCH(R80,'ITENS_MTR'!$A$6:$A$1005,0),""))</f>
        <v/>
      </c>
      <c r="T80" s="96">
        <f>IF(S80="",0,IF(INDEX('ITENS_MTR'!$R$6:$R$1005,S80)=1,1,0))</f>
        <v>0</v>
      </c>
      <c r="U80" s="96" t="str">
        <f>IF(T80=1,INDEX('ITENS_MTR'!$T$6:$T$1005,S80),"")</f>
        <v/>
      </c>
      <c r="V80" s="97" t="str">
        <f>IF(N(U80)&gt;0,INDEX('MTRs'!$E$6:$E$505,U80),"")</f>
        <v/>
      </c>
      <c r="W80" s="96" t="str">
        <f>IF(G80="","",IFERROR(IF(ISNUMBER(INDEX(cfg_fac,MATCH(G80,cfg_units,0))),IF(INDEX(cfg_fac,MATCH(G80,cfg_units,0))&gt;0,INDEX(cfg_fac,MATCH(G80,cfg_units,0)),""),""),""))</f>
        <v/>
      </c>
      <c r="X80" s="96">
        <f>IF(AND(ISNUMBER(F80),ISNUMBER(H80)),IF(H80&gt;0,1,0),0)</f>
        <v>0</v>
      </c>
      <c r="Y80" s="96">
        <f>IF(Q80=0,0,IF(OR(T80=0,X80=0,NOT(ISNUMBER(E80)),AND(J80="Sim",L80="",M80=""),AND(ISNUMBER(E80),ISNUMBER(V80),N(V80)&gt;0,E80&lt;N(V80))),1,0))</f>
        <v>0</v>
      </c>
      <c r="Z80" s="96">
        <f>IF(AND(Q80=1,T80=1,X80=1,J80="Sim",OR(L80&lt;&gt;"",M80&lt;&gt;"")),1,0)</f>
        <v>0</v>
      </c>
      <c r="AA80" s="96">
        <f>IF(Q80=0,0,IF(AND(OR(r_ini="",AND(ISNUMBER(E80),E80&gt;=r_ini)),OR(r_fim="",AND(ISNUMBER(E80),E80&lt;=r_fim)),OR(r_un="",r_un="(Todas)",IF(N(U80)&gt;0,INDEX('MTRs'!$G$6:$G$505,U80),"")=r_un),OR(r_de="",r_de="(Todos)",D80=r_de)),1,0))</f>
        <v>0</v>
      </c>
      <c r="AB80" s="96" t="str">
        <f>IF(AA80=1,COUNTIF($AA$6:AA80,1),"")</f>
        <v/>
      </c>
    </row>
    <row r="81">
      <c r="A81" s="89" t="inlineStr">
        <is>
          <t>REC-000076</t>
        </is>
      </c>
      <c r="B81" s="94" t="str">
        <f>IF(T81=1,INDEX('ITENS_MTR'!$S$6:$S$1005,S81)&amp;"","")</f>
        <v/>
      </c>
      <c r="C81" s="91" t="n"/>
      <c r="D81" s="94" t="str">
        <f>IF(N(U81)&gt;0,INDEX('MTRs'!$I$6:$I$505,U81)&amp;"","")</f>
        <v/>
      </c>
      <c r="E81" s="92" t="n"/>
      <c r="F81" s="98" t="n"/>
      <c r="G81" s="91" t="n"/>
      <c r="H81" s="93" t="str">
        <f>IF(Q81=0,"",IF(NOT(ISNUMBER(F81)),"",IF(ISNUMBER(W81),F81*W81,"UNIDADE A CONFERIR")))</f>
        <v/>
      </c>
      <c r="I81" s="91" t="n"/>
      <c r="J81" s="91" t="n"/>
      <c r="K81" s="92" t="n"/>
      <c r="L81" s="91" t="n"/>
      <c r="M81" s="91" t="n"/>
      <c r="N81" s="91" t="n"/>
      <c r="O81" s="91" t="n"/>
      <c r="P81" s="94" t="str">
        <f>IF(Q81=0,"",IF(C81="","Item de resíduo não informado",IF(T81=0,"Item inexistente (referência inválida)",IF(NOT(ISNUMBER(F81)),"Quantidade não informada",IF(F81&lt;=0,"Quantidade não positiva",IF(G81="","Unidade não informada",IF(NOT(ISNUMBER(H81)),"Unidade a conferir",IF(NOT(ISNUMBER(E81)),"Data de recebimento não informada",IF(AND(ISNUMBER(V81),N(V81)&gt;0,E81&lt;N(V81)),"Data anterior à emissão do MTR",IF(AND(J81="Sim",L81="",M81=""),"Conferido sem evidência identificada",IF(J81&lt;&gt;"Sim","Aguardando conferência",IF(INDEX('ITENS_MTR'!$AM$6:$AM$1005,S81)=1,"Conferido (ver diferença no item)","Conferido"))))))))))))</f>
        <v/>
      </c>
      <c r="Q81" s="96">
        <f>IF(COUNTA(C81,E81:G81,I81:O81)&gt;0,1,0)</f>
        <v>0</v>
      </c>
      <c r="R81" s="96" t="str">
        <f>IF(C81="","",TRIM(LEFT(C81,FIND(" |",C81&amp;" |")-1)))</f>
        <v/>
      </c>
      <c r="S81" s="96" t="str">
        <f>IF(R81="","",IFERROR(MATCH(R81,'ITENS_MTR'!$A$6:$A$1005,0),""))</f>
        <v/>
      </c>
      <c r="T81" s="96">
        <f>IF(S81="",0,IF(INDEX('ITENS_MTR'!$R$6:$R$1005,S81)=1,1,0))</f>
        <v>0</v>
      </c>
      <c r="U81" s="96" t="str">
        <f>IF(T81=1,INDEX('ITENS_MTR'!$T$6:$T$1005,S81),"")</f>
        <v/>
      </c>
      <c r="V81" s="97" t="str">
        <f>IF(N(U81)&gt;0,INDEX('MTRs'!$E$6:$E$505,U81),"")</f>
        <v/>
      </c>
      <c r="W81" s="96" t="str">
        <f>IF(G81="","",IFERROR(IF(ISNUMBER(INDEX(cfg_fac,MATCH(G81,cfg_units,0))),IF(INDEX(cfg_fac,MATCH(G81,cfg_units,0))&gt;0,INDEX(cfg_fac,MATCH(G81,cfg_units,0)),""),""),""))</f>
        <v/>
      </c>
      <c r="X81" s="96">
        <f>IF(AND(ISNUMBER(F81),ISNUMBER(H81)),IF(H81&gt;0,1,0),0)</f>
        <v>0</v>
      </c>
      <c r="Y81" s="96">
        <f>IF(Q81=0,0,IF(OR(T81=0,X81=0,NOT(ISNUMBER(E81)),AND(J81="Sim",L81="",M81=""),AND(ISNUMBER(E81),ISNUMBER(V81),N(V81)&gt;0,E81&lt;N(V81))),1,0))</f>
        <v>0</v>
      </c>
      <c r="Z81" s="96">
        <f>IF(AND(Q81=1,T81=1,X81=1,J81="Sim",OR(L81&lt;&gt;"",M81&lt;&gt;"")),1,0)</f>
        <v>0</v>
      </c>
      <c r="AA81" s="96">
        <f>IF(Q81=0,0,IF(AND(OR(r_ini="",AND(ISNUMBER(E81),E81&gt;=r_ini)),OR(r_fim="",AND(ISNUMBER(E81),E81&lt;=r_fim)),OR(r_un="",r_un="(Todas)",IF(N(U81)&gt;0,INDEX('MTRs'!$G$6:$G$505,U81),"")=r_un),OR(r_de="",r_de="(Todos)",D81=r_de)),1,0))</f>
        <v>0</v>
      </c>
      <c r="AB81" s="96" t="str">
        <f>IF(AA81=1,COUNTIF($AA$6:AA81,1),"")</f>
        <v/>
      </c>
    </row>
    <row r="82">
      <c r="A82" s="89" t="inlineStr">
        <is>
          <t>REC-000077</t>
        </is>
      </c>
      <c r="B82" s="94" t="str">
        <f>IF(T82=1,INDEX('ITENS_MTR'!$S$6:$S$1005,S82)&amp;"","")</f>
        <v/>
      </c>
      <c r="C82" s="91" t="n"/>
      <c r="D82" s="94" t="str">
        <f>IF(N(U82)&gt;0,INDEX('MTRs'!$I$6:$I$505,U82)&amp;"","")</f>
        <v/>
      </c>
      <c r="E82" s="92" t="n"/>
      <c r="F82" s="98" t="n"/>
      <c r="G82" s="91" t="n"/>
      <c r="H82" s="93" t="str">
        <f>IF(Q82=0,"",IF(NOT(ISNUMBER(F82)),"",IF(ISNUMBER(W82),F82*W82,"UNIDADE A CONFERIR")))</f>
        <v/>
      </c>
      <c r="I82" s="91" t="n"/>
      <c r="J82" s="91" t="n"/>
      <c r="K82" s="92" t="n"/>
      <c r="L82" s="91" t="n"/>
      <c r="M82" s="91" t="n"/>
      <c r="N82" s="91" t="n"/>
      <c r="O82" s="91" t="n"/>
      <c r="P82" s="94" t="str">
        <f>IF(Q82=0,"",IF(C82="","Item de resíduo não informado",IF(T82=0,"Item inexistente (referência inválida)",IF(NOT(ISNUMBER(F82)),"Quantidade não informada",IF(F82&lt;=0,"Quantidade não positiva",IF(G82="","Unidade não informada",IF(NOT(ISNUMBER(H82)),"Unidade a conferir",IF(NOT(ISNUMBER(E82)),"Data de recebimento não informada",IF(AND(ISNUMBER(V82),N(V82)&gt;0,E82&lt;N(V82)),"Data anterior à emissão do MTR",IF(AND(J82="Sim",L82="",M82=""),"Conferido sem evidência identificada",IF(J82&lt;&gt;"Sim","Aguardando conferência",IF(INDEX('ITENS_MTR'!$AM$6:$AM$1005,S82)=1,"Conferido (ver diferença no item)","Conferido"))))))))))))</f>
        <v/>
      </c>
      <c r="Q82" s="96">
        <f>IF(COUNTA(C82,E82:G82,I82:O82)&gt;0,1,0)</f>
        <v>0</v>
      </c>
      <c r="R82" s="96" t="str">
        <f>IF(C82="","",TRIM(LEFT(C82,FIND(" |",C82&amp;" |")-1)))</f>
        <v/>
      </c>
      <c r="S82" s="96" t="str">
        <f>IF(R82="","",IFERROR(MATCH(R82,'ITENS_MTR'!$A$6:$A$1005,0),""))</f>
        <v/>
      </c>
      <c r="T82" s="96">
        <f>IF(S82="",0,IF(INDEX('ITENS_MTR'!$R$6:$R$1005,S82)=1,1,0))</f>
        <v>0</v>
      </c>
      <c r="U82" s="96" t="str">
        <f>IF(T82=1,INDEX('ITENS_MTR'!$T$6:$T$1005,S82),"")</f>
        <v/>
      </c>
      <c r="V82" s="97" t="str">
        <f>IF(N(U82)&gt;0,INDEX('MTRs'!$E$6:$E$505,U82),"")</f>
        <v/>
      </c>
      <c r="W82" s="96" t="str">
        <f>IF(G82="","",IFERROR(IF(ISNUMBER(INDEX(cfg_fac,MATCH(G82,cfg_units,0))),IF(INDEX(cfg_fac,MATCH(G82,cfg_units,0))&gt;0,INDEX(cfg_fac,MATCH(G82,cfg_units,0)),""),""),""))</f>
        <v/>
      </c>
      <c r="X82" s="96">
        <f>IF(AND(ISNUMBER(F82),ISNUMBER(H82)),IF(H82&gt;0,1,0),0)</f>
        <v>0</v>
      </c>
      <c r="Y82" s="96">
        <f>IF(Q82=0,0,IF(OR(T82=0,X82=0,NOT(ISNUMBER(E82)),AND(J82="Sim",L82="",M82=""),AND(ISNUMBER(E82),ISNUMBER(V82),N(V82)&gt;0,E82&lt;N(V82))),1,0))</f>
        <v>0</v>
      </c>
      <c r="Z82" s="96">
        <f>IF(AND(Q82=1,T82=1,X82=1,J82="Sim",OR(L82&lt;&gt;"",M82&lt;&gt;"")),1,0)</f>
        <v>0</v>
      </c>
      <c r="AA82" s="96">
        <f>IF(Q82=0,0,IF(AND(OR(r_ini="",AND(ISNUMBER(E82),E82&gt;=r_ini)),OR(r_fim="",AND(ISNUMBER(E82),E82&lt;=r_fim)),OR(r_un="",r_un="(Todas)",IF(N(U82)&gt;0,INDEX('MTRs'!$G$6:$G$505,U82),"")=r_un),OR(r_de="",r_de="(Todos)",D82=r_de)),1,0))</f>
        <v>0</v>
      </c>
      <c r="AB82" s="96" t="str">
        <f>IF(AA82=1,COUNTIF($AA$6:AA82,1),"")</f>
        <v/>
      </c>
    </row>
    <row r="83">
      <c r="A83" s="89" t="inlineStr">
        <is>
          <t>REC-000078</t>
        </is>
      </c>
      <c r="B83" s="94" t="str">
        <f>IF(T83=1,INDEX('ITENS_MTR'!$S$6:$S$1005,S83)&amp;"","")</f>
        <v/>
      </c>
      <c r="C83" s="91" t="n"/>
      <c r="D83" s="94" t="str">
        <f>IF(N(U83)&gt;0,INDEX('MTRs'!$I$6:$I$505,U83)&amp;"","")</f>
        <v/>
      </c>
      <c r="E83" s="92" t="n"/>
      <c r="F83" s="98" t="n"/>
      <c r="G83" s="91" t="n"/>
      <c r="H83" s="93" t="str">
        <f>IF(Q83=0,"",IF(NOT(ISNUMBER(F83)),"",IF(ISNUMBER(W83),F83*W83,"UNIDADE A CONFERIR")))</f>
        <v/>
      </c>
      <c r="I83" s="91" t="n"/>
      <c r="J83" s="91" t="n"/>
      <c r="K83" s="92" t="n"/>
      <c r="L83" s="91" t="n"/>
      <c r="M83" s="91" t="n"/>
      <c r="N83" s="91" t="n"/>
      <c r="O83" s="91" t="n"/>
      <c r="P83" s="94" t="str">
        <f>IF(Q83=0,"",IF(C83="","Item de resíduo não informado",IF(T83=0,"Item inexistente (referência inválida)",IF(NOT(ISNUMBER(F83)),"Quantidade não informada",IF(F83&lt;=0,"Quantidade não positiva",IF(G83="","Unidade não informada",IF(NOT(ISNUMBER(H83)),"Unidade a conferir",IF(NOT(ISNUMBER(E83)),"Data de recebimento não informada",IF(AND(ISNUMBER(V83),N(V83)&gt;0,E83&lt;N(V83)),"Data anterior à emissão do MTR",IF(AND(J83="Sim",L83="",M83=""),"Conferido sem evidência identificada",IF(J83&lt;&gt;"Sim","Aguardando conferência",IF(INDEX('ITENS_MTR'!$AM$6:$AM$1005,S83)=1,"Conferido (ver diferença no item)","Conferido"))))))))))))</f>
        <v/>
      </c>
      <c r="Q83" s="96">
        <f>IF(COUNTA(C83,E83:G83,I83:O83)&gt;0,1,0)</f>
        <v>0</v>
      </c>
      <c r="R83" s="96" t="str">
        <f>IF(C83="","",TRIM(LEFT(C83,FIND(" |",C83&amp;" |")-1)))</f>
        <v/>
      </c>
      <c r="S83" s="96" t="str">
        <f>IF(R83="","",IFERROR(MATCH(R83,'ITENS_MTR'!$A$6:$A$1005,0),""))</f>
        <v/>
      </c>
      <c r="T83" s="96">
        <f>IF(S83="",0,IF(INDEX('ITENS_MTR'!$R$6:$R$1005,S83)=1,1,0))</f>
        <v>0</v>
      </c>
      <c r="U83" s="96" t="str">
        <f>IF(T83=1,INDEX('ITENS_MTR'!$T$6:$T$1005,S83),"")</f>
        <v/>
      </c>
      <c r="V83" s="97" t="str">
        <f>IF(N(U83)&gt;0,INDEX('MTRs'!$E$6:$E$505,U83),"")</f>
        <v/>
      </c>
      <c r="W83" s="96" t="str">
        <f>IF(G83="","",IFERROR(IF(ISNUMBER(INDEX(cfg_fac,MATCH(G83,cfg_units,0))),IF(INDEX(cfg_fac,MATCH(G83,cfg_units,0))&gt;0,INDEX(cfg_fac,MATCH(G83,cfg_units,0)),""),""),""))</f>
        <v/>
      </c>
      <c r="X83" s="96">
        <f>IF(AND(ISNUMBER(F83),ISNUMBER(H83)),IF(H83&gt;0,1,0),0)</f>
        <v>0</v>
      </c>
      <c r="Y83" s="96">
        <f>IF(Q83=0,0,IF(OR(T83=0,X83=0,NOT(ISNUMBER(E83)),AND(J83="Sim",L83="",M83=""),AND(ISNUMBER(E83),ISNUMBER(V83),N(V83)&gt;0,E83&lt;N(V83))),1,0))</f>
        <v>0</v>
      </c>
      <c r="Z83" s="96">
        <f>IF(AND(Q83=1,T83=1,X83=1,J83="Sim",OR(L83&lt;&gt;"",M83&lt;&gt;"")),1,0)</f>
        <v>0</v>
      </c>
      <c r="AA83" s="96">
        <f>IF(Q83=0,0,IF(AND(OR(r_ini="",AND(ISNUMBER(E83),E83&gt;=r_ini)),OR(r_fim="",AND(ISNUMBER(E83),E83&lt;=r_fim)),OR(r_un="",r_un="(Todas)",IF(N(U83)&gt;0,INDEX('MTRs'!$G$6:$G$505,U83),"")=r_un),OR(r_de="",r_de="(Todos)",D83=r_de)),1,0))</f>
        <v>0</v>
      </c>
      <c r="AB83" s="96" t="str">
        <f>IF(AA83=1,COUNTIF($AA$6:AA83,1),"")</f>
        <v/>
      </c>
    </row>
    <row r="84">
      <c r="A84" s="89" t="inlineStr">
        <is>
          <t>REC-000079</t>
        </is>
      </c>
      <c r="B84" s="94" t="str">
        <f>IF(T84=1,INDEX('ITENS_MTR'!$S$6:$S$1005,S84)&amp;"","")</f>
        <v/>
      </c>
      <c r="C84" s="91" t="n"/>
      <c r="D84" s="94" t="str">
        <f>IF(N(U84)&gt;0,INDEX('MTRs'!$I$6:$I$505,U84)&amp;"","")</f>
        <v/>
      </c>
      <c r="E84" s="92" t="n"/>
      <c r="F84" s="98" t="n"/>
      <c r="G84" s="91" t="n"/>
      <c r="H84" s="93" t="str">
        <f>IF(Q84=0,"",IF(NOT(ISNUMBER(F84)),"",IF(ISNUMBER(W84),F84*W84,"UNIDADE A CONFERIR")))</f>
        <v/>
      </c>
      <c r="I84" s="91" t="n"/>
      <c r="J84" s="91" t="n"/>
      <c r="K84" s="92" t="n"/>
      <c r="L84" s="91" t="n"/>
      <c r="M84" s="91" t="n"/>
      <c r="N84" s="91" t="n"/>
      <c r="O84" s="91" t="n"/>
      <c r="P84" s="94" t="str">
        <f>IF(Q84=0,"",IF(C84="","Item de resíduo não informado",IF(T84=0,"Item inexistente (referência inválida)",IF(NOT(ISNUMBER(F84)),"Quantidade não informada",IF(F84&lt;=0,"Quantidade não positiva",IF(G84="","Unidade não informada",IF(NOT(ISNUMBER(H84)),"Unidade a conferir",IF(NOT(ISNUMBER(E84)),"Data de recebimento não informada",IF(AND(ISNUMBER(V84),N(V84)&gt;0,E84&lt;N(V84)),"Data anterior à emissão do MTR",IF(AND(J84="Sim",L84="",M84=""),"Conferido sem evidência identificada",IF(J84&lt;&gt;"Sim","Aguardando conferência",IF(INDEX('ITENS_MTR'!$AM$6:$AM$1005,S84)=1,"Conferido (ver diferença no item)","Conferido"))))))))))))</f>
        <v/>
      </c>
      <c r="Q84" s="96">
        <f>IF(COUNTA(C84,E84:G84,I84:O84)&gt;0,1,0)</f>
        <v>0</v>
      </c>
      <c r="R84" s="96" t="str">
        <f>IF(C84="","",TRIM(LEFT(C84,FIND(" |",C84&amp;" |")-1)))</f>
        <v/>
      </c>
      <c r="S84" s="96" t="str">
        <f>IF(R84="","",IFERROR(MATCH(R84,'ITENS_MTR'!$A$6:$A$1005,0),""))</f>
        <v/>
      </c>
      <c r="T84" s="96">
        <f>IF(S84="",0,IF(INDEX('ITENS_MTR'!$R$6:$R$1005,S84)=1,1,0))</f>
        <v>0</v>
      </c>
      <c r="U84" s="96" t="str">
        <f>IF(T84=1,INDEX('ITENS_MTR'!$T$6:$T$1005,S84),"")</f>
        <v/>
      </c>
      <c r="V84" s="97" t="str">
        <f>IF(N(U84)&gt;0,INDEX('MTRs'!$E$6:$E$505,U84),"")</f>
        <v/>
      </c>
      <c r="W84" s="96" t="str">
        <f>IF(G84="","",IFERROR(IF(ISNUMBER(INDEX(cfg_fac,MATCH(G84,cfg_units,0))),IF(INDEX(cfg_fac,MATCH(G84,cfg_units,0))&gt;0,INDEX(cfg_fac,MATCH(G84,cfg_units,0)),""),""),""))</f>
        <v/>
      </c>
      <c r="X84" s="96">
        <f>IF(AND(ISNUMBER(F84),ISNUMBER(H84)),IF(H84&gt;0,1,0),0)</f>
        <v>0</v>
      </c>
      <c r="Y84" s="96">
        <f>IF(Q84=0,0,IF(OR(T84=0,X84=0,NOT(ISNUMBER(E84)),AND(J84="Sim",L84="",M84=""),AND(ISNUMBER(E84),ISNUMBER(V84),N(V84)&gt;0,E84&lt;N(V84))),1,0))</f>
        <v>0</v>
      </c>
      <c r="Z84" s="96">
        <f>IF(AND(Q84=1,T84=1,X84=1,J84="Sim",OR(L84&lt;&gt;"",M84&lt;&gt;"")),1,0)</f>
        <v>0</v>
      </c>
      <c r="AA84" s="96">
        <f>IF(Q84=0,0,IF(AND(OR(r_ini="",AND(ISNUMBER(E84),E84&gt;=r_ini)),OR(r_fim="",AND(ISNUMBER(E84),E84&lt;=r_fim)),OR(r_un="",r_un="(Todas)",IF(N(U84)&gt;0,INDEX('MTRs'!$G$6:$G$505,U84),"")=r_un),OR(r_de="",r_de="(Todos)",D84=r_de)),1,0))</f>
        <v>0</v>
      </c>
      <c r="AB84" s="96" t="str">
        <f>IF(AA84=1,COUNTIF($AA$6:AA84,1),"")</f>
        <v/>
      </c>
    </row>
    <row r="85">
      <c r="A85" s="89" t="inlineStr">
        <is>
          <t>REC-000080</t>
        </is>
      </c>
      <c r="B85" s="94" t="str">
        <f>IF(T85=1,INDEX('ITENS_MTR'!$S$6:$S$1005,S85)&amp;"","")</f>
        <v/>
      </c>
      <c r="C85" s="91" t="n"/>
      <c r="D85" s="94" t="str">
        <f>IF(N(U85)&gt;0,INDEX('MTRs'!$I$6:$I$505,U85)&amp;"","")</f>
        <v/>
      </c>
      <c r="E85" s="92" t="n"/>
      <c r="F85" s="98" t="n"/>
      <c r="G85" s="91" t="n"/>
      <c r="H85" s="93" t="str">
        <f>IF(Q85=0,"",IF(NOT(ISNUMBER(F85)),"",IF(ISNUMBER(W85),F85*W85,"UNIDADE A CONFERIR")))</f>
        <v/>
      </c>
      <c r="I85" s="91" t="n"/>
      <c r="J85" s="91" t="n"/>
      <c r="K85" s="92" t="n"/>
      <c r="L85" s="91" t="n"/>
      <c r="M85" s="91" t="n"/>
      <c r="N85" s="91" t="n"/>
      <c r="O85" s="91" t="n"/>
      <c r="P85" s="94" t="str">
        <f>IF(Q85=0,"",IF(C85="","Item de resíduo não informado",IF(T85=0,"Item inexistente (referência inválida)",IF(NOT(ISNUMBER(F85)),"Quantidade não informada",IF(F85&lt;=0,"Quantidade não positiva",IF(G85="","Unidade não informada",IF(NOT(ISNUMBER(H85)),"Unidade a conferir",IF(NOT(ISNUMBER(E85)),"Data de recebimento não informada",IF(AND(ISNUMBER(V85),N(V85)&gt;0,E85&lt;N(V85)),"Data anterior à emissão do MTR",IF(AND(J85="Sim",L85="",M85=""),"Conferido sem evidência identificada",IF(J85&lt;&gt;"Sim","Aguardando conferência",IF(INDEX('ITENS_MTR'!$AM$6:$AM$1005,S85)=1,"Conferido (ver diferença no item)","Conferido"))))))))))))</f>
        <v/>
      </c>
      <c r="Q85" s="96">
        <f>IF(COUNTA(C85,E85:G85,I85:O85)&gt;0,1,0)</f>
        <v>0</v>
      </c>
      <c r="R85" s="96" t="str">
        <f>IF(C85="","",TRIM(LEFT(C85,FIND(" |",C85&amp;" |")-1)))</f>
        <v/>
      </c>
      <c r="S85" s="96" t="str">
        <f>IF(R85="","",IFERROR(MATCH(R85,'ITENS_MTR'!$A$6:$A$1005,0),""))</f>
        <v/>
      </c>
      <c r="T85" s="96">
        <f>IF(S85="",0,IF(INDEX('ITENS_MTR'!$R$6:$R$1005,S85)=1,1,0))</f>
        <v>0</v>
      </c>
      <c r="U85" s="96" t="str">
        <f>IF(T85=1,INDEX('ITENS_MTR'!$T$6:$T$1005,S85),"")</f>
        <v/>
      </c>
      <c r="V85" s="97" t="str">
        <f>IF(N(U85)&gt;0,INDEX('MTRs'!$E$6:$E$505,U85),"")</f>
        <v/>
      </c>
      <c r="W85" s="96" t="str">
        <f>IF(G85="","",IFERROR(IF(ISNUMBER(INDEX(cfg_fac,MATCH(G85,cfg_units,0))),IF(INDEX(cfg_fac,MATCH(G85,cfg_units,0))&gt;0,INDEX(cfg_fac,MATCH(G85,cfg_units,0)),""),""),""))</f>
        <v/>
      </c>
      <c r="X85" s="96">
        <f>IF(AND(ISNUMBER(F85),ISNUMBER(H85)),IF(H85&gt;0,1,0),0)</f>
        <v>0</v>
      </c>
      <c r="Y85" s="96">
        <f>IF(Q85=0,0,IF(OR(T85=0,X85=0,NOT(ISNUMBER(E85)),AND(J85="Sim",L85="",M85=""),AND(ISNUMBER(E85),ISNUMBER(V85),N(V85)&gt;0,E85&lt;N(V85))),1,0))</f>
        <v>0</v>
      </c>
      <c r="Z85" s="96">
        <f>IF(AND(Q85=1,T85=1,X85=1,J85="Sim",OR(L85&lt;&gt;"",M85&lt;&gt;"")),1,0)</f>
        <v>0</v>
      </c>
      <c r="AA85" s="96">
        <f>IF(Q85=0,0,IF(AND(OR(r_ini="",AND(ISNUMBER(E85),E85&gt;=r_ini)),OR(r_fim="",AND(ISNUMBER(E85),E85&lt;=r_fim)),OR(r_un="",r_un="(Todas)",IF(N(U85)&gt;0,INDEX('MTRs'!$G$6:$G$505,U85),"")=r_un),OR(r_de="",r_de="(Todos)",D85=r_de)),1,0))</f>
        <v>0</v>
      </c>
      <c r="AB85" s="96" t="str">
        <f>IF(AA85=1,COUNTIF($AA$6:AA85,1),"")</f>
        <v/>
      </c>
    </row>
    <row r="86">
      <c r="A86" s="89" t="inlineStr">
        <is>
          <t>REC-000081</t>
        </is>
      </c>
      <c r="B86" s="94" t="str">
        <f>IF(T86=1,INDEX('ITENS_MTR'!$S$6:$S$1005,S86)&amp;"","")</f>
        <v/>
      </c>
      <c r="C86" s="91" t="n"/>
      <c r="D86" s="94" t="str">
        <f>IF(N(U86)&gt;0,INDEX('MTRs'!$I$6:$I$505,U86)&amp;"","")</f>
        <v/>
      </c>
      <c r="E86" s="92" t="n"/>
      <c r="F86" s="98" t="n"/>
      <c r="G86" s="91" t="n"/>
      <c r="H86" s="93" t="str">
        <f>IF(Q86=0,"",IF(NOT(ISNUMBER(F86)),"",IF(ISNUMBER(W86),F86*W86,"UNIDADE A CONFERIR")))</f>
        <v/>
      </c>
      <c r="I86" s="91" t="n"/>
      <c r="J86" s="91" t="n"/>
      <c r="K86" s="92" t="n"/>
      <c r="L86" s="91" t="n"/>
      <c r="M86" s="91" t="n"/>
      <c r="N86" s="91" t="n"/>
      <c r="O86" s="91" t="n"/>
      <c r="P86" s="94" t="str">
        <f>IF(Q86=0,"",IF(C86="","Item de resíduo não informado",IF(T86=0,"Item inexistente (referência inválida)",IF(NOT(ISNUMBER(F86)),"Quantidade não informada",IF(F86&lt;=0,"Quantidade não positiva",IF(G86="","Unidade não informada",IF(NOT(ISNUMBER(H86)),"Unidade a conferir",IF(NOT(ISNUMBER(E86)),"Data de recebimento não informada",IF(AND(ISNUMBER(V86),N(V86)&gt;0,E86&lt;N(V86)),"Data anterior à emissão do MTR",IF(AND(J86="Sim",L86="",M86=""),"Conferido sem evidência identificada",IF(J86&lt;&gt;"Sim","Aguardando conferência",IF(INDEX('ITENS_MTR'!$AM$6:$AM$1005,S86)=1,"Conferido (ver diferença no item)","Conferido"))))))))))))</f>
        <v/>
      </c>
      <c r="Q86" s="96">
        <f>IF(COUNTA(C86,E86:G86,I86:O86)&gt;0,1,0)</f>
        <v>0</v>
      </c>
      <c r="R86" s="96" t="str">
        <f>IF(C86="","",TRIM(LEFT(C86,FIND(" |",C86&amp;" |")-1)))</f>
        <v/>
      </c>
      <c r="S86" s="96" t="str">
        <f>IF(R86="","",IFERROR(MATCH(R86,'ITENS_MTR'!$A$6:$A$1005,0),""))</f>
        <v/>
      </c>
      <c r="T86" s="96">
        <f>IF(S86="",0,IF(INDEX('ITENS_MTR'!$R$6:$R$1005,S86)=1,1,0))</f>
        <v>0</v>
      </c>
      <c r="U86" s="96" t="str">
        <f>IF(T86=1,INDEX('ITENS_MTR'!$T$6:$T$1005,S86),"")</f>
        <v/>
      </c>
      <c r="V86" s="97" t="str">
        <f>IF(N(U86)&gt;0,INDEX('MTRs'!$E$6:$E$505,U86),"")</f>
        <v/>
      </c>
      <c r="W86" s="96" t="str">
        <f>IF(G86="","",IFERROR(IF(ISNUMBER(INDEX(cfg_fac,MATCH(G86,cfg_units,0))),IF(INDEX(cfg_fac,MATCH(G86,cfg_units,0))&gt;0,INDEX(cfg_fac,MATCH(G86,cfg_units,0)),""),""),""))</f>
        <v/>
      </c>
      <c r="X86" s="96">
        <f>IF(AND(ISNUMBER(F86),ISNUMBER(H86)),IF(H86&gt;0,1,0),0)</f>
        <v>0</v>
      </c>
      <c r="Y86" s="96">
        <f>IF(Q86=0,0,IF(OR(T86=0,X86=0,NOT(ISNUMBER(E86)),AND(J86="Sim",L86="",M86=""),AND(ISNUMBER(E86),ISNUMBER(V86),N(V86)&gt;0,E86&lt;N(V86))),1,0))</f>
        <v>0</v>
      </c>
      <c r="Z86" s="96">
        <f>IF(AND(Q86=1,T86=1,X86=1,J86="Sim",OR(L86&lt;&gt;"",M86&lt;&gt;"")),1,0)</f>
        <v>0</v>
      </c>
      <c r="AA86" s="96">
        <f>IF(Q86=0,0,IF(AND(OR(r_ini="",AND(ISNUMBER(E86),E86&gt;=r_ini)),OR(r_fim="",AND(ISNUMBER(E86),E86&lt;=r_fim)),OR(r_un="",r_un="(Todas)",IF(N(U86)&gt;0,INDEX('MTRs'!$G$6:$G$505,U86),"")=r_un),OR(r_de="",r_de="(Todos)",D86=r_de)),1,0))</f>
        <v>0</v>
      </c>
      <c r="AB86" s="96" t="str">
        <f>IF(AA86=1,COUNTIF($AA$6:AA86,1),"")</f>
        <v/>
      </c>
    </row>
    <row r="87">
      <c r="A87" s="89" t="inlineStr">
        <is>
          <t>REC-000082</t>
        </is>
      </c>
      <c r="B87" s="94" t="str">
        <f>IF(T87=1,INDEX('ITENS_MTR'!$S$6:$S$1005,S87)&amp;"","")</f>
        <v/>
      </c>
      <c r="C87" s="91" t="n"/>
      <c r="D87" s="94" t="str">
        <f>IF(N(U87)&gt;0,INDEX('MTRs'!$I$6:$I$505,U87)&amp;"","")</f>
        <v/>
      </c>
      <c r="E87" s="92" t="n"/>
      <c r="F87" s="98" t="n"/>
      <c r="G87" s="91" t="n"/>
      <c r="H87" s="93" t="str">
        <f>IF(Q87=0,"",IF(NOT(ISNUMBER(F87)),"",IF(ISNUMBER(W87),F87*W87,"UNIDADE A CONFERIR")))</f>
        <v/>
      </c>
      <c r="I87" s="91" t="n"/>
      <c r="J87" s="91" t="n"/>
      <c r="K87" s="92" t="n"/>
      <c r="L87" s="91" t="n"/>
      <c r="M87" s="91" t="n"/>
      <c r="N87" s="91" t="n"/>
      <c r="O87" s="91" t="n"/>
      <c r="P87" s="94" t="str">
        <f>IF(Q87=0,"",IF(C87="","Item de resíduo não informado",IF(T87=0,"Item inexistente (referência inválida)",IF(NOT(ISNUMBER(F87)),"Quantidade não informada",IF(F87&lt;=0,"Quantidade não positiva",IF(G87="","Unidade não informada",IF(NOT(ISNUMBER(H87)),"Unidade a conferir",IF(NOT(ISNUMBER(E87)),"Data de recebimento não informada",IF(AND(ISNUMBER(V87),N(V87)&gt;0,E87&lt;N(V87)),"Data anterior à emissão do MTR",IF(AND(J87="Sim",L87="",M87=""),"Conferido sem evidência identificada",IF(J87&lt;&gt;"Sim","Aguardando conferência",IF(INDEX('ITENS_MTR'!$AM$6:$AM$1005,S87)=1,"Conferido (ver diferença no item)","Conferido"))))))))))))</f>
        <v/>
      </c>
      <c r="Q87" s="96">
        <f>IF(COUNTA(C87,E87:G87,I87:O87)&gt;0,1,0)</f>
        <v>0</v>
      </c>
      <c r="R87" s="96" t="str">
        <f>IF(C87="","",TRIM(LEFT(C87,FIND(" |",C87&amp;" |")-1)))</f>
        <v/>
      </c>
      <c r="S87" s="96" t="str">
        <f>IF(R87="","",IFERROR(MATCH(R87,'ITENS_MTR'!$A$6:$A$1005,0),""))</f>
        <v/>
      </c>
      <c r="T87" s="96">
        <f>IF(S87="",0,IF(INDEX('ITENS_MTR'!$R$6:$R$1005,S87)=1,1,0))</f>
        <v>0</v>
      </c>
      <c r="U87" s="96" t="str">
        <f>IF(T87=1,INDEX('ITENS_MTR'!$T$6:$T$1005,S87),"")</f>
        <v/>
      </c>
      <c r="V87" s="97" t="str">
        <f>IF(N(U87)&gt;0,INDEX('MTRs'!$E$6:$E$505,U87),"")</f>
        <v/>
      </c>
      <c r="W87" s="96" t="str">
        <f>IF(G87="","",IFERROR(IF(ISNUMBER(INDEX(cfg_fac,MATCH(G87,cfg_units,0))),IF(INDEX(cfg_fac,MATCH(G87,cfg_units,0))&gt;0,INDEX(cfg_fac,MATCH(G87,cfg_units,0)),""),""),""))</f>
        <v/>
      </c>
      <c r="X87" s="96">
        <f>IF(AND(ISNUMBER(F87),ISNUMBER(H87)),IF(H87&gt;0,1,0),0)</f>
        <v>0</v>
      </c>
      <c r="Y87" s="96">
        <f>IF(Q87=0,0,IF(OR(T87=0,X87=0,NOT(ISNUMBER(E87)),AND(J87="Sim",L87="",M87=""),AND(ISNUMBER(E87),ISNUMBER(V87),N(V87)&gt;0,E87&lt;N(V87))),1,0))</f>
        <v>0</v>
      </c>
      <c r="Z87" s="96">
        <f>IF(AND(Q87=1,T87=1,X87=1,J87="Sim",OR(L87&lt;&gt;"",M87&lt;&gt;"")),1,0)</f>
        <v>0</v>
      </c>
      <c r="AA87" s="96">
        <f>IF(Q87=0,0,IF(AND(OR(r_ini="",AND(ISNUMBER(E87),E87&gt;=r_ini)),OR(r_fim="",AND(ISNUMBER(E87),E87&lt;=r_fim)),OR(r_un="",r_un="(Todas)",IF(N(U87)&gt;0,INDEX('MTRs'!$G$6:$G$505,U87),"")=r_un),OR(r_de="",r_de="(Todos)",D87=r_de)),1,0))</f>
        <v>0</v>
      </c>
      <c r="AB87" s="96" t="str">
        <f>IF(AA87=1,COUNTIF($AA$6:AA87,1),"")</f>
        <v/>
      </c>
    </row>
    <row r="88">
      <c r="A88" s="89" t="inlineStr">
        <is>
          <t>REC-000083</t>
        </is>
      </c>
      <c r="B88" s="94" t="str">
        <f>IF(T88=1,INDEX('ITENS_MTR'!$S$6:$S$1005,S88)&amp;"","")</f>
        <v/>
      </c>
      <c r="C88" s="91" t="n"/>
      <c r="D88" s="94" t="str">
        <f>IF(N(U88)&gt;0,INDEX('MTRs'!$I$6:$I$505,U88)&amp;"","")</f>
        <v/>
      </c>
      <c r="E88" s="92" t="n"/>
      <c r="F88" s="98" t="n"/>
      <c r="G88" s="91" t="n"/>
      <c r="H88" s="93" t="str">
        <f>IF(Q88=0,"",IF(NOT(ISNUMBER(F88)),"",IF(ISNUMBER(W88),F88*W88,"UNIDADE A CONFERIR")))</f>
        <v/>
      </c>
      <c r="I88" s="91" t="n"/>
      <c r="J88" s="91" t="n"/>
      <c r="K88" s="92" t="n"/>
      <c r="L88" s="91" t="n"/>
      <c r="M88" s="91" t="n"/>
      <c r="N88" s="91" t="n"/>
      <c r="O88" s="91" t="n"/>
      <c r="P88" s="94" t="str">
        <f>IF(Q88=0,"",IF(C88="","Item de resíduo não informado",IF(T88=0,"Item inexistente (referência inválida)",IF(NOT(ISNUMBER(F88)),"Quantidade não informada",IF(F88&lt;=0,"Quantidade não positiva",IF(G88="","Unidade não informada",IF(NOT(ISNUMBER(H88)),"Unidade a conferir",IF(NOT(ISNUMBER(E88)),"Data de recebimento não informada",IF(AND(ISNUMBER(V88),N(V88)&gt;0,E88&lt;N(V88)),"Data anterior à emissão do MTR",IF(AND(J88="Sim",L88="",M88=""),"Conferido sem evidência identificada",IF(J88&lt;&gt;"Sim","Aguardando conferência",IF(INDEX('ITENS_MTR'!$AM$6:$AM$1005,S88)=1,"Conferido (ver diferença no item)","Conferido"))))))))))))</f>
        <v/>
      </c>
      <c r="Q88" s="96">
        <f>IF(COUNTA(C88,E88:G88,I88:O88)&gt;0,1,0)</f>
        <v>0</v>
      </c>
      <c r="R88" s="96" t="str">
        <f>IF(C88="","",TRIM(LEFT(C88,FIND(" |",C88&amp;" |")-1)))</f>
        <v/>
      </c>
      <c r="S88" s="96" t="str">
        <f>IF(R88="","",IFERROR(MATCH(R88,'ITENS_MTR'!$A$6:$A$1005,0),""))</f>
        <v/>
      </c>
      <c r="T88" s="96">
        <f>IF(S88="",0,IF(INDEX('ITENS_MTR'!$R$6:$R$1005,S88)=1,1,0))</f>
        <v>0</v>
      </c>
      <c r="U88" s="96" t="str">
        <f>IF(T88=1,INDEX('ITENS_MTR'!$T$6:$T$1005,S88),"")</f>
        <v/>
      </c>
      <c r="V88" s="97" t="str">
        <f>IF(N(U88)&gt;0,INDEX('MTRs'!$E$6:$E$505,U88),"")</f>
        <v/>
      </c>
      <c r="W88" s="96" t="str">
        <f>IF(G88="","",IFERROR(IF(ISNUMBER(INDEX(cfg_fac,MATCH(G88,cfg_units,0))),IF(INDEX(cfg_fac,MATCH(G88,cfg_units,0))&gt;0,INDEX(cfg_fac,MATCH(G88,cfg_units,0)),""),""),""))</f>
        <v/>
      </c>
      <c r="X88" s="96">
        <f>IF(AND(ISNUMBER(F88),ISNUMBER(H88)),IF(H88&gt;0,1,0),0)</f>
        <v>0</v>
      </c>
      <c r="Y88" s="96">
        <f>IF(Q88=0,0,IF(OR(T88=0,X88=0,NOT(ISNUMBER(E88)),AND(J88="Sim",L88="",M88=""),AND(ISNUMBER(E88),ISNUMBER(V88),N(V88)&gt;0,E88&lt;N(V88))),1,0))</f>
        <v>0</v>
      </c>
      <c r="Z88" s="96">
        <f>IF(AND(Q88=1,T88=1,X88=1,J88="Sim",OR(L88&lt;&gt;"",M88&lt;&gt;"")),1,0)</f>
        <v>0</v>
      </c>
      <c r="AA88" s="96">
        <f>IF(Q88=0,0,IF(AND(OR(r_ini="",AND(ISNUMBER(E88),E88&gt;=r_ini)),OR(r_fim="",AND(ISNUMBER(E88),E88&lt;=r_fim)),OR(r_un="",r_un="(Todas)",IF(N(U88)&gt;0,INDEX('MTRs'!$G$6:$G$505,U88),"")=r_un),OR(r_de="",r_de="(Todos)",D88=r_de)),1,0))</f>
        <v>0</v>
      </c>
      <c r="AB88" s="96" t="str">
        <f>IF(AA88=1,COUNTIF($AA$6:AA88,1),"")</f>
        <v/>
      </c>
    </row>
    <row r="89">
      <c r="A89" s="89" t="inlineStr">
        <is>
          <t>REC-000084</t>
        </is>
      </c>
      <c r="B89" s="94" t="str">
        <f>IF(T89=1,INDEX('ITENS_MTR'!$S$6:$S$1005,S89)&amp;"","")</f>
        <v/>
      </c>
      <c r="C89" s="91" t="n"/>
      <c r="D89" s="94" t="str">
        <f>IF(N(U89)&gt;0,INDEX('MTRs'!$I$6:$I$505,U89)&amp;"","")</f>
        <v/>
      </c>
      <c r="E89" s="92" t="n"/>
      <c r="F89" s="98" t="n"/>
      <c r="G89" s="91" t="n"/>
      <c r="H89" s="93" t="str">
        <f>IF(Q89=0,"",IF(NOT(ISNUMBER(F89)),"",IF(ISNUMBER(W89),F89*W89,"UNIDADE A CONFERIR")))</f>
        <v/>
      </c>
      <c r="I89" s="91" t="n"/>
      <c r="J89" s="91" t="n"/>
      <c r="K89" s="92" t="n"/>
      <c r="L89" s="91" t="n"/>
      <c r="M89" s="91" t="n"/>
      <c r="N89" s="91" t="n"/>
      <c r="O89" s="91" t="n"/>
      <c r="P89" s="94" t="str">
        <f>IF(Q89=0,"",IF(C89="","Item de resíduo não informado",IF(T89=0,"Item inexistente (referência inválida)",IF(NOT(ISNUMBER(F89)),"Quantidade não informada",IF(F89&lt;=0,"Quantidade não positiva",IF(G89="","Unidade não informada",IF(NOT(ISNUMBER(H89)),"Unidade a conferir",IF(NOT(ISNUMBER(E89)),"Data de recebimento não informada",IF(AND(ISNUMBER(V89),N(V89)&gt;0,E89&lt;N(V89)),"Data anterior à emissão do MTR",IF(AND(J89="Sim",L89="",M89=""),"Conferido sem evidência identificada",IF(J89&lt;&gt;"Sim","Aguardando conferência",IF(INDEX('ITENS_MTR'!$AM$6:$AM$1005,S89)=1,"Conferido (ver diferença no item)","Conferido"))))))))))))</f>
        <v/>
      </c>
      <c r="Q89" s="96">
        <f>IF(COUNTA(C89,E89:G89,I89:O89)&gt;0,1,0)</f>
        <v>0</v>
      </c>
      <c r="R89" s="96" t="str">
        <f>IF(C89="","",TRIM(LEFT(C89,FIND(" |",C89&amp;" |")-1)))</f>
        <v/>
      </c>
      <c r="S89" s="96" t="str">
        <f>IF(R89="","",IFERROR(MATCH(R89,'ITENS_MTR'!$A$6:$A$1005,0),""))</f>
        <v/>
      </c>
      <c r="T89" s="96">
        <f>IF(S89="",0,IF(INDEX('ITENS_MTR'!$R$6:$R$1005,S89)=1,1,0))</f>
        <v>0</v>
      </c>
      <c r="U89" s="96" t="str">
        <f>IF(T89=1,INDEX('ITENS_MTR'!$T$6:$T$1005,S89),"")</f>
        <v/>
      </c>
      <c r="V89" s="97" t="str">
        <f>IF(N(U89)&gt;0,INDEX('MTRs'!$E$6:$E$505,U89),"")</f>
        <v/>
      </c>
      <c r="W89" s="96" t="str">
        <f>IF(G89="","",IFERROR(IF(ISNUMBER(INDEX(cfg_fac,MATCH(G89,cfg_units,0))),IF(INDEX(cfg_fac,MATCH(G89,cfg_units,0))&gt;0,INDEX(cfg_fac,MATCH(G89,cfg_units,0)),""),""),""))</f>
        <v/>
      </c>
      <c r="X89" s="96">
        <f>IF(AND(ISNUMBER(F89),ISNUMBER(H89)),IF(H89&gt;0,1,0),0)</f>
        <v>0</v>
      </c>
      <c r="Y89" s="96">
        <f>IF(Q89=0,0,IF(OR(T89=0,X89=0,NOT(ISNUMBER(E89)),AND(J89="Sim",L89="",M89=""),AND(ISNUMBER(E89),ISNUMBER(V89),N(V89)&gt;0,E89&lt;N(V89))),1,0))</f>
        <v>0</v>
      </c>
      <c r="Z89" s="96">
        <f>IF(AND(Q89=1,T89=1,X89=1,J89="Sim",OR(L89&lt;&gt;"",M89&lt;&gt;"")),1,0)</f>
        <v>0</v>
      </c>
      <c r="AA89" s="96">
        <f>IF(Q89=0,0,IF(AND(OR(r_ini="",AND(ISNUMBER(E89),E89&gt;=r_ini)),OR(r_fim="",AND(ISNUMBER(E89),E89&lt;=r_fim)),OR(r_un="",r_un="(Todas)",IF(N(U89)&gt;0,INDEX('MTRs'!$G$6:$G$505,U89),"")=r_un),OR(r_de="",r_de="(Todos)",D89=r_de)),1,0))</f>
        <v>0</v>
      </c>
      <c r="AB89" s="96" t="str">
        <f>IF(AA89=1,COUNTIF($AA$6:AA89,1),"")</f>
        <v/>
      </c>
    </row>
    <row r="90">
      <c r="A90" s="89" t="inlineStr">
        <is>
          <t>REC-000085</t>
        </is>
      </c>
      <c r="B90" s="94" t="str">
        <f>IF(T90=1,INDEX('ITENS_MTR'!$S$6:$S$1005,S90)&amp;"","")</f>
        <v/>
      </c>
      <c r="C90" s="91" t="n"/>
      <c r="D90" s="94" t="str">
        <f>IF(N(U90)&gt;0,INDEX('MTRs'!$I$6:$I$505,U90)&amp;"","")</f>
        <v/>
      </c>
      <c r="E90" s="92" t="n"/>
      <c r="F90" s="98" t="n"/>
      <c r="G90" s="91" t="n"/>
      <c r="H90" s="93" t="str">
        <f>IF(Q90=0,"",IF(NOT(ISNUMBER(F90)),"",IF(ISNUMBER(W90),F90*W90,"UNIDADE A CONFERIR")))</f>
        <v/>
      </c>
      <c r="I90" s="91" t="n"/>
      <c r="J90" s="91" t="n"/>
      <c r="K90" s="92" t="n"/>
      <c r="L90" s="91" t="n"/>
      <c r="M90" s="91" t="n"/>
      <c r="N90" s="91" t="n"/>
      <c r="O90" s="91" t="n"/>
      <c r="P90" s="94" t="str">
        <f>IF(Q90=0,"",IF(C90="","Item de resíduo não informado",IF(T90=0,"Item inexistente (referência inválida)",IF(NOT(ISNUMBER(F90)),"Quantidade não informada",IF(F90&lt;=0,"Quantidade não positiva",IF(G90="","Unidade não informada",IF(NOT(ISNUMBER(H90)),"Unidade a conferir",IF(NOT(ISNUMBER(E90)),"Data de recebimento não informada",IF(AND(ISNUMBER(V90),N(V90)&gt;0,E90&lt;N(V90)),"Data anterior à emissão do MTR",IF(AND(J90="Sim",L90="",M90=""),"Conferido sem evidência identificada",IF(J90&lt;&gt;"Sim","Aguardando conferência",IF(INDEX('ITENS_MTR'!$AM$6:$AM$1005,S90)=1,"Conferido (ver diferença no item)","Conferido"))))))))))))</f>
        <v/>
      </c>
      <c r="Q90" s="96">
        <f>IF(COUNTA(C90,E90:G90,I90:O90)&gt;0,1,0)</f>
        <v>0</v>
      </c>
      <c r="R90" s="96" t="str">
        <f>IF(C90="","",TRIM(LEFT(C90,FIND(" |",C90&amp;" |")-1)))</f>
        <v/>
      </c>
      <c r="S90" s="96" t="str">
        <f>IF(R90="","",IFERROR(MATCH(R90,'ITENS_MTR'!$A$6:$A$1005,0),""))</f>
        <v/>
      </c>
      <c r="T90" s="96">
        <f>IF(S90="",0,IF(INDEX('ITENS_MTR'!$R$6:$R$1005,S90)=1,1,0))</f>
        <v>0</v>
      </c>
      <c r="U90" s="96" t="str">
        <f>IF(T90=1,INDEX('ITENS_MTR'!$T$6:$T$1005,S90),"")</f>
        <v/>
      </c>
      <c r="V90" s="97" t="str">
        <f>IF(N(U90)&gt;0,INDEX('MTRs'!$E$6:$E$505,U90),"")</f>
        <v/>
      </c>
      <c r="W90" s="96" t="str">
        <f>IF(G90="","",IFERROR(IF(ISNUMBER(INDEX(cfg_fac,MATCH(G90,cfg_units,0))),IF(INDEX(cfg_fac,MATCH(G90,cfg_units,0))&gt;0,INDEX(cfg_fac,MATCH(G90,cfg_units,0)),""),""),""))</f>
        <v/>
      </c>
      <c r="X90" s="96">
        <f>IF(AND(ISNUMBER(F90),ISNUMBER(H90)),IF(H90&gt;0,1,0),0)</f>
        <v>0</v>
      </c>
      <c r="Y90" s="96">
        <f>IF(Q90=0,0,IF(OR(T90=0,X90=0,NOT(ISNUMBER(E90)),AND(J90="Sim",L90="",M90=""),AND(ISNUMBER(E90),ISNUMBER(V90),N(V90)&gt;0,E90&lt;N(V90))),1,0))</f>
        <v>0</v>
      </c>
      <c r="Z90" s="96">
        <f>IF(AND(Q90=1,T90=1,X90=1,J90="Sim",OR(L90&lt;&gt;"",M90&lt;&gt;"")),1,0)</f>
        <v>0</v>
      </c>
      <c r="AA90" s="96">
        <f>IF(Q90=0,0,IF(AND(OR(r_ini="",AND(ISNUMBER(E90),E90&gt;=r_ini)),OR(r_fim="",AND(ISNUMBER(E90),E90&lt;=r_fim)),OR(r_un="",r_un="(Todas)",IF(N(U90)&gt;0,INDEX('MTRs'!$G$6:$G$505,U90),"")=r_un),OR(r_de="",r_de="(Todos)",D90=r_de)),1,0))</f>
        <v>0</v>
      </c>
      <c r="AB90" s="96" t="str">
        <f>IF(AA90=1,COUNTIF($AA$6:AA90,1),"")</f>
        <v/>
      </c>
    </row>
    <row r="91">
      <c r="A91" s="89" t="inlineStr">
        <is>
          <t>REC-000086</t>
        </is>
      </c>
      <c r="B91" s="94" t="str">
        <f>IF(T91=1,INDEX('ITENS_MTR'!$S$6:$S$1005,S91)&amp;"","")</f>
        <v/>
      </c>
      <c r="C91" s="91" t="n"/>
      <c r="D91" s="94" t="str">
        <f>IF(N(U91)&gt;0,INDEX('MTRs'!$I$6:$I$505,U91)&amp;"","")</f>
        <v/>
      </c>
      <c r="E91" s="92" t="n"/>
      <c r="F91" s="98" t="n"/>
      <c r="G91" s="91" t="n"/>
      <c r="H91" s="93" t="str">
        <f>IF(Q91=0,"",IF(NOT(ISNUMBER(F91)),"",IF(ISNUMBER(W91),F91*W91,"UNIDADE A CONFERIR")))</f>
        <v/>
      </c>
      <c r="I91" s="91" t="n"/>
      <c r="J91" s="91" t="n"/>
      <c r="K91" s="92" t="n"/>
      <c r="L91" s="91" t="n"/>
      <c r="M91" s="91" t="n"/>
      <c r="N91" s="91" t="n"/>
      <c r="O91" s="91" t="n"/>
      <c r="P91" s="94" t="str">
        <f>IF(Q91=0,"",IF(C91="","Item de resíduo não informado",IF(T91=0,"Item inexistente (referência inválida)",IF(NOT(ISNUMBER(F91)),"Quantidade não informada",IF(F91&lt;=0,"Quantidade não positiva",IF(G91="","Unidade não informada",IF(NOT(ISNUMBER(H91)),"Unidade a conferir",IF(NOT(ISNUMBER(E91)),"Data de recebimento não informada",IF(AND(ISNUMBER(V91),N(V91)&gt;0,E91&lt;N(V91)),"Data anterior à emissão do MTR",IF(AND(J91="Sim",L91="",M91=""),"Conferido sem evidência identificada",IF(J91&lt;&gt;"Sim","Aguardando conferência",IF(INDEX('ITENS_MTR'!$AM$6:$AM$1005,S91)=1,"Conferido (ver diferença no item)","Conferido"))))))))))))</f>
        <v/>
      </c>
      <c r="Q91" s="96">
        <f>IF(COUNTA(C91,E91:G91,I91:O91)&gt;0,1,0)</f>
        <v>0</v>
      </c>
      <c r="R91" s="96" t="str">
        <f>IF(C91="","",TRIM(LEFT(C91,FIND(" |",C91&amp;" |")-1)))</f>
        <v/>
      </c>
      <c r="S91" s="96" t="str">
        <f>IF(R91="","",IFERROR(MATCH(R91,'ITENS_MTR'!$A$6:$A$1005,0),""))</f>
        <v/>
      </c>
      <c r="T91" s="96">
        <f>IF(S91="",0,IF(INDEX('ITENS_MTR'!$R$6:$R$1005,S91)=1,1,0))</f>
        <v>0</v>
      </c>
      <c r="U91" s="96" t="str">
        <f>IF(T91=1,INDEX('ITENS_MTR'!$T$6:$T$1005,S91),"")</f>
        <v/>
      </c>
      <c r="V91" s="97" t="str">
        <f>IF(N(U91)&gt;0,INDEX('MTRs'!$E$6:$E$505,U91),"")</f>
        <v/>
      </c>
      <c r="W91" s="96" t="str">
        <f>IF(G91="","",IFERROR(IF(ISNUMBER(INDEX(cfg_fac,MATCH(G91,cfg_units,0))),IF(INDEX(cfg_fac,MATCH(G91,cfg_units,0))&gt;0,INDEX(cfg_fac,MATCH(G91,cfg_units,0)),""),""),""))</f>
        <v/>
      </c>
      <c r="X91" s="96">
        <f>IF(AND(ISNUMBER(F91),ISNUMBER(H91)),IF(H91&gt;0,1,0),0)</f>
        <v>0</v>
      </c>
      <c r="Y91" s="96">
        <f>IF(Q91=0,0,IF(OR(T91=0,X91=0,NOT(ISNUMBER(E91)),AND(J91="Sim",L91="",M91=""),AND(ISNUMBER(E91),ISNUMBER(V91),N(V91)&gt;0,E91&lt;N(V91))),1,0))</f>
        <v>0</v>
      </c>
      <c r="Z91" s="96">
        <f>IF(AND(Q91=1,T91=1,X91=1,J91="Sim",OR(L91&lt;&gt;"",M91&lt;&gt;"")),1,0)</f>
        <v>0</v>
      </c>
      <c r="AA91" s="96">
        <f>IF(Q91=0,0,IF(AND(OR(r_ini="",AND(ISNUMBER(E91),E91&gt;=r_ini)),OR(r_fim="",AND(ISNUMBER(E91),E91&lt;=r_fim)),OR(r_un="",r_un="(Todas)",IF(N(U91)&gt;0,INDEX('MTRs'!$G$6:$G$505,U91),"")=r_un),OR(r_de="",r_de="(Todos)",D91=r_de)),1,0))</f>
        <v>0</v>
      </c>
      <c r="AB91" s="96" t="str">
        <f>IF(AA91=1,COUNTIF($AA$6:AA91,1),"")</f>
        <v/>
      </c>
    </row>
    <row r="92">
      <c r="A92" s="89" t="inlineStr">
        <is>
          <t>REC-000087</t>
        </is>
      </c>
      <c r="B92" s="94" t="str">
        <f>IF(T92=1,INDEX('ITENS_MTR'!$S$6:$S$1005,S92)&amp;"","")</f>
        <v/>
      </c>
      <c r="C92" s="91" t="n"/>
      <c r="D92" s="94" t="str">
        <f>IF(N(U92)&gt;0,INDEX('MTRs'!$I$6:$I$505,U92)&amp;"","")</f>
        <v/>
      </c>
      <c r="E92" s="92" t="n"/>
      <c r="F92" s="98" t="n"/>
      <c r="G92" s="91" t="n"/>
      <c r="H92" s="93" t="str">
        <f>IF(Q92=0,"",IF(NOT(ISNUMBER(F92)),"",IF(ISNUMBER(W92),F92*W92,"UNIDADE A CONFERIR")))</f>
        <v/>
      </c>
      <c r="I92" s="91" t="n"/>
      <c r="J92" s="91" t="n"/>
      <c r="K92" s="92" t="n"/>
      <c r="L92" s="91" t="n"/>
      <c r="M92" s="91" t="n"/>
      <c r="N92" s="91" t="n"/>
      <c r="O92" s="91" t="n"/>
      <c r="P92" s="94" t="str">
        <f>IF(Q92=0,"",IF(C92="","Item de resíduo não informado",IF(T92=0,"Item inexistente (referência inválida)",IF(NOT(ISNUMBER(F92)),"Quantidade não informada",IF(F92&lt;=0,"Quantidade não positiva",IF(G92="","Unidade não informada",IF(NOT(ISNUMBER(H92)),"Unidade a conferir",IF(NOT(ISNUMBER(E92)),"Data de recebimento não informada",IF(AND(ISNUMBER(V92),N(V92)&gt;0,E92&lt;N(V92)),"Data anterior à emissão do MTR",IF(AND(J92="Sim",L92="",M92=""),"Conferido sem evidência identificada",IF(J92&lt;&gt;"Sim","Aguardando conferência",IF(INDEX('ITENS_MTR'!$AM$6:$AM$1005,S92)=1,"Conferido (ver diferença no item)","Conferido"))))))))))))</f>
        <v/>
      </c>
      <c r="Q92" s="96">
        <f>IF(COUNTA(C92,E92:G92,I92:O92)&gt;0,1,0)</f>
        <v>0</v>
      </c>
      <c r="R92" s="96" t="str">
        <f>IF(C92="","",TRIM(LEFT(C92,FIND(" |",C92&amp;" |")-1)))</f>
        <v/>
      </c>
      <c r="S92" s="96" t="str">
        <f>IF(R92="","",IFERROR(MATCH(R92,'ITENS_MTR'!$A$6:$A$1005,0),""))</f>
        <v/>
      </c>
      <c r="T92" s="96">
        <f>IF(S92="",0,IF(INDEX('ITENS_MTR'!$R$6:$R$1005,S92)=1,1,0))</f>
        <v>0</v>
      </c>
      <c r="U92" s="96" t="str">
        <f>IF(T92=1,INDEX('ITENS_MTR'!$T$6:$T$1005,S92),"")</f>
        <v/>
      </c>
      <c r="V92" s="97" t="str">
        <f>IF(N(U92)&gt;0,INDEX('MTRs'!$E$6:$E$505,U92),"")</f>
        <v/>
      </c>
      <c r="W92" s="96" t="str">
        <f>IF(G92="","",IFERROR(IF(ISNUMBER(INDEX(cfg_fac,MATCH(G92,cfg_units,0))),IF(INDEX(cfg_fac,MATCH(G92,cfg_units,0))&gt;0,INDEX(cfg_fac,MATCH(G92,cfg_units,0)),""),""),""))</f>
        <v/>
      </c>
      <c r="X92" s="96">
        <f>IF(AND(ISNUMBER(F92),ISNUMBER(H92)),IF(H92&gt;0,1,0),0)</f>
        <v>0</v>
      </c>
      <c r="Y92" s="96">
        <f>IF(Q92=0,0,IF(OR(T92=0,X92=0,NOT(ISNUMBER(E92)),AND(J92="Sim",L92="",M92=""),AND(ISNUMBER(E92),ISNUMBER(V92),N(V92)&gt;0,E92&lt;N(V92))),1,0))</f>
        <v>0</v>
      </c>
      <c r="Z92" s="96">
        <f>IF(AND(Q92=1,T92=1,X92=1,J92="Sim",OR(L92&lt;&gt;"",M92&lt;&gt;"")),1,0)</f>
        <v>0</v>
      </c>
      <c r="AA92" s="96">
        <f>IF(Q92=0,0,IF(AND(OR(r_ini="",AND(ISNUMBER(E92),E92&gt;=r_ini)),OR(r_fim="",AND(ISNUMBER(E92),E92&lt;=r_fim)),OR(r_un="",r_un="(Todas)",IF(N(U92)&gt;0,INDEX('MTRs'!$G$6:$G$505,U92),"")=r_un),OR(r_de="",r_de="(Todos)",D92=r_de)),1,0))</f>
        <v>0</v>
      </c>
      <c r="AB92" s="96" t="str">
        <f>IF(AA92=1,COUNTIF($AA$6:AA92,1),"")</f>
        <v/>
      </c>
    </row>
    <row r="93">
      <c r="A93" s="89" t="inlineStr">
        <is>
          <t>REC-000088</t>
        </is>
      </c>
      <c r="B93" s="94" t="str">
        <f>IF(T93=1,INDEX('ITENS_MTR'!$S$6:$S$1005,S93)&amp;"","")</f>
        <v/>
      </c>
      <c r="C93" s="91" t="n"/>
      <c r="D93" s="94" t="str">
        <f>IF(N(U93)&gt;0,INDEX('MTRs'!$I$6:$I$505,U93)&amp;"","")</f>
        <v/>
      </c>
      <c r="E93" s="92" t="n"/>
      <c r="F93" s="98" t="n"/>
      <c r="G93" s="91" t="n"/>
      <c r="H93" s="93" t="str">
        <f>IF(Q93=0,"",IF(NOT(ISNUMBER(F93)),"",IF(ISNUMBER(W93),F93*W93,"UNIDADE A CONFERIR")))</f>
        <v/>
      </c>
      <c r="I93" s="91" t="n"/>
      <c r="J93" s="91" t="n"/>
      <c r="K93" s="92" t="n"/>
      <c r="L93" s="91" t="n"/>
      <c r="M93" s="91" t="n"/>
      <c r="N93" s="91" t="n"/>
      <c r="O93" s="91" t="n"/>
      <c r="P93" s="94" t="str">
        <f>IF(Q93=0,"",IF(C93="","Item de resíduo não informado",IF(T93=0,"Item inexistente (referência inválida)",IF(NOT(ISNUMBER(F93)),"Quantidade não informada",IF(F93&lt;=0,"Quantidade não positiva",IF(G93="","Unidade não informada",IF(NOT(ISNUMBER(H93)),"Unidade a conferir",IF(NOT(ISNUMBER(E93)),"Data de recebimento não informada",IF(AND(ISNUMBER(V93),N(V93)&gt;0,E93&lt;N(V93)),"Data anterior à emissão do MTR",IF(AND(J93="Sim",L93="",M93=""),"Conferido sem evidência identificada",IF(J93&lt;&gt;"Sim","Aguardando conferência",IF(INDEX('ITENS_MTR'!$AM$6:$AM$1005,S93)=1,"Conferido (ver diferença no item)","Conferido"))))))))))))</f>
        <v/>
      </c>
      <c r="Q93" s="96">
        <f>IF(COUNTA(C93,E93:G93,I93:O93)&gt;0,1,0)</f>
        <v>0</v>
      </c>
      <c r="R93" s="96" t="str">
        <f>IF(C93="","",TRIM(LEFT(C93,FIND(" |",C93&amp;" |")-1)))</f>
        <v/>
      </c>
      <c r="S93" s="96" t="str">
        <f>IF(R93="","",IFERROR(MATCH(R93,'ITENS_MTR'!$A$6:$A$1005,0),""))</f>
        <v/>
      </c>
      <c r="T93" s="96">
        <f>IF(S93="",0,IF(INDEX('ITENS_MTR'!$R$6:$R$1005,S93)=1,1,0))</f>
        <v>0</v>
      </c>
      <c r="U93" s="96" t="str">
        <f>IF(T93=1,INDEX('ITENS_MTR'!$T$6:$T$1005,S93),"")</f>
        <v/>
      </c>
      <c r="V93" s="97" t="str">
        <f>IF(N(U93)&gt;0,INDEX('MTRs'!$E$6:$E$505,U93),"")</f>
        <v/>
      </c>
      <c r="W93" s="96" t="str">
        <f>IF(G93="","",IFERROR(IF(ISNUMBER(INDEX(cfg_fac,MATCH(G93,cfg_units,0))),IF(INDEX(cfg_fac,MATCH(G93,cfg_units,0))&gt;0,INDEX(cfg_fac,MATCH(G93,cfg_units,0)),""),""),""))</f>
        <v/>
      </c>
      <c r="X93" s="96">
        <f>IF(AND(ISNUMBER(F93),ISNUMBER(H93)),IF(H93&gt;0,1,0),0)</f>
        <v>0</v>
      </c>
      <c r="Y93" s="96">
        <f>IF(Q93=0,0,IF(OR(T93=0,X93=0,NOT(ISNUMBER(E93)),AND(J93="Sim",L93="",M93=""),AND(ISNUMBER(E93),ISNUMBER(V93),N(V93)&gt;0,E93&lt;N(V93))),1,0))</f>
        <v>0</v>
      </c>
      <c r="Z93" s="96">
        <f>IF(AND(Q93=1,T93=1,X93=1,J93="Sim",OR(L93&lt;&gt;"",M93&lt;&gt;"")),1,0)</f>
        <v>0</v>
      </c>
      <c r="AA93" s="96">
        <f>IF(Q93=0,0,IF(AND(OR(r_ini="",AND(ISNUMBER(E93),E93&gt;=r_ini)),OR(r_fim="",AND(ISNUMBER(E93),E93&lt;=r_fim)),OR(r_un="",r_un="(Todas)",IF(N(U93)&gt;0,INDEX('MTRs'!$G$6:$G$505,U93),"")=r_un),OR(r_de="",r_de="(Todos)",D93=r_de)),1,0))</f>
        <v>0</v>
      </c>
      <c r="AB93" s="96" t="str">
        <f>IF(AA93=1,COUNTIF($AA$6:AA93,1),"")</f>
        <v/>
      </c>
    </row>
    <row r="94">
      <c r="A94" s="89" t="inlineStr">
        <is>
          <t>REC-000089</t>
        </is>
      </c>
      <c r="B94" s="94" t="str">
        <f>IF(T94=1,INDEX('ITENS_MTR'!$S$6:$S$1005,S94)&amp;"","")</f>
        <v/>
      </c>
      <c r="C94" s="91" t="n"/>
      <c r="D94" s="94" t="str">
        <f>IF(N(U94)&gt;0,INDEX('MTRs'!$I$6:$I$505,U94)&amp;"","")</f>
        <v/>
      </c>
      <c r="E94" s="92" t="n"/>
      <c r="F94" s="98" t="n"/>
      <c r="G94" s="91" t="n"/>
      <c r="H94" s="93" t="str">
        <f>IF(Q94=0,"",IF(NOT(ISNUMBER(F94)),"",IF(ISNUMBER(W94),F94*W94,"UNIDADE A CONFERIR")))</f>
        <v/>
      </c>
      <c r="I94" s="91" t="n"/>
      <c r="J94" s="91" t="n"/>
      <c r="K94" s="92" t="n"/>
      <c r="L94" s="91" t="n"/>
      <c r="M94" s="91" t="n"/>
      <c r="N94" s="91" t="n"/>
      <c r="O94" s="91" t="n"/>
      <c r="P94" s="94" t="str">
        <f>IF(Q94=0,"",IF(C94="","Item de resíduo não informado",IF(T94=0,"Item inexistente (referência inválida)",IF(NOT(ISNUMBER(F94)),"Quantidade não informada",IF(F94&lt;=0,"Quantidade não positiva",IF(G94="","Unidade não informada",IF(NOT(ISNUMBER(H94)),"Unidade a conferir",IF(NOT(ISNUMBER(E94)),"Data de recebimento não informada",IF(AND(ISNUMBER(V94),N(V94)&gt;0,E94&lt;N(V94)),"Data anterior à emissão do MTR",IF(AND(J94="Sim",L94="",M94=""),"Conferido sem evidência identificada",IF(J94&lt;&gt;"Sim","Aguardando conferência",IF(INDEX('ITENS_MTR'!$AM$6:$AM$1005,S94)=1,"Conferido (ver diferença no item)","Conferido"))))))))))))</f>
        <v/>
      </c>
      <c r="Q94" s="96">
        <f>IF(COUNTA(C94,E94:G94,I94:O94)&gt;0,1,0)</f>
        <v>0</v>
      </c>
      <c r="R94" s="96" t="str">
        <f>IF(C94="","",TRIM(LEFT(C94,FIND(" |",C94&amp;" |")-1)))</f>
        <v/>
      </c>
      <c r="S94" s="96" t="str">
        <f>IF(R94="","",IFERROR(MATCH(R94,'ITENS_MTR'!$A$6:$A$1005,0),""))</f>
        <v/>
      </c>
      <c r="T94" s="96">
        <f>IF(S94="",0,IF(INDEX('ITENS_MTR'!$R$6:$R$1005,S94)=1,1,0))</f>
        <v>0</v>
      </c>
      <c r="U94" s="96" t="str">
        <f>IF(T94=1,INDEX('ITENS_MTR'!$T$6:$T$1005,S94),"")</f>
        <v/>
      </c>
      <c r="V94" s="97" t="str">
        <f>IF(N(U94)&gt;0,INDEX('MTRs'!$E$6:$E$505,U94),"")</f>
        <v/>
      </c>
      <c r="W94" s="96" t="str">
        <f>IF(G94="","",IFERROR(IF(ISNUMBER(INDEX(cfg_fac,MATCH(G94,cfg_units,0))),IF(INDEX(cfg_fac,MATCH(G94,cfg_units,0))&gt;0,INDEX(cfg_fac,MATCH(G94,cfg_units,0)),""),""),""))</f>
        <v/>
      </c>
      <c r="X94" s="96">
        <f>IF(AND(ISNUMBER(F94),ISNUMBER(H94)),IF(H94&gt;0,1,0),0)</f>
        <v>0</v>
      </c>
      <c r="Y94" s="96">
        <f>IF(Q94=0,0,IF(OR(T94=0,X94=0,NOT(ISNUMBER(E94)),AND(J94="Sim",L94="",M94=""),AND(ISNUMBER(E94),ISNUMBER(V94),N(V94)&gt;0,E94&lt;N(V94))),1,0))</f>
        <v>0</v>
      </c>
      <c r="Z94" s="96">
        <f>IF(AND(Q94=1,T94=1,X94=1,J94="Sim",OR(L94&lt;&gt;"",M94&lt;&gt;"")),1,0)</f>
        <v>0</v>
      </c>
      <c r="AA94" s="96">
        <f>IF(Q94=0,0,IF(AND(OR(r_ini="",AND(ISNUMBER(E94),E94&gt;=r_ini)),OR(r_fim="",AND(ISNUMBER(E94),E94&lt;=r_fim)),OR(r_un="",r_un="(Todas)",IF(N(U94)&gt;0,INDEX('MTRs'!$G$6:$G$505,U94),"")=r_un),OR(r_de="",r_de="(Todos)",D94=r_de)),1,0))</f>
        <v>0</v>
      </c>
      <c r="AB94" s="96" t="str">
        <f>IF(AA94=1,COUNTIF($AA$6:AA94,1),"")</f>
        <v/>
      </c>
    </row>
    <row r="95">
      <c r="A95" s="89" t="inlineStr">
        <is>
          <t>REC-000090</t>
        </is>
      </c>
      <c r="B95" s="94" t="str">
        <f>IF(T95=1,INDEX('ITENS_MTR'!$S$6:$S$1005,S95)&amp;"","")</f>
        <v/>
      </c>
      <c r="C95" s="91" t="n"/>
      <c r="D95" s="94" t="str">
        <f>IF(N(U95)&gt;0,INDEX('MTRs'!$I$6:$I$505,U95)&amp;"","")</f>
        <v/>
      </c>
      <c r="E95" s="92" t="n"/>
      <c r="F95" s="98" t="n"/>
      <c r="G95" s="91" t="n"/>
      <c r="H95" s="93" t="str">
        <f>IF(Q95=0,"",IF(NOT(ISNUMBER(F95)),"",IF(ISNUMBER(W95),F95*W95,"UNIDADE A CONFERIR")))</f>
        <v/>
      </c>
      <c r="I95" s="91" t="n"/>
      <c r="J95" s="91" t="n"/>
      <c r="K95" s="92" t="n"/>
      <c r="L95" s="91" t="n"/>
      <c r="M95" s="91" t="n"/>
      <c r="N95" s="91" t="n"/>
      <c r="O95" s="91" t="n"/>
      <c r="P95" s="94" t="str">
        <f>IF(Q95=0,"",IF(C95="","Item de resíduo não informado",IF(T95=0,"Item inexistente (referência inválida)",IF(NOT(ISNUMBER(F95)),"Quantidade não informada",IF(F95&lt;=0,"Quantidade não positiva",IF(G95="","Unidade não informada",IF(NOT(ISNUMBER(H95)),"Unidade a conferir",IF(NOT(ISNUMBER(E95)),"Data de recebimento não informada",IF(AND(ISNUMBER(V95),N(V95)&gt;0,E95&lt;N(V95)),"Data anterior à emissão do MTR",IF(AND(J95="Sim",L95="",M95=""),"Conferido sem evidência identificada",IF(J95&lt;&gt;"Sim","Aguardando conferência",IF(INDEX('ITENS_MTR'!$AM$6:$AM$1005,S95)=1,"Conferido (ver diferença no item)","Conferido"))))))))))))</f>
        <v/>
      </c>
      <c r="Q95" s="96">
        <f>IF(COUNTA(C95,E95:G95,I95:O95)&gt;0,1,0)</f>
        <v>0</v>
      </c>
      <c r="R95" s="96" t="str">
        <f>IF(C95="","",TRIM(LEFT(C95,FIND(" |",C95&amp;" |")-1)))</f>
        <v/>
      </c>
      <c r="S95" s="96" t="str">
        <f>IF(R95="","",IFERROR(MATCH(R95,'ITENS_MTR'!$A$6:$A$1005,0),""))</f>
        <v/>
      </c>
      <c r="T95" s="96">
        <f>IF(S95="",0,IF(INDEX('ITENS_MTR'!$R$6:$R$1005,S95)=1,1,0))</f>
        <v>0</v>
      </c>
      <c r="U95" s="96" t="str">
        <f>IF(T95=1,INDEX('ITENS_MTR'!$T$6:$T$1005,S95),"")</f>
        <v/>
      </c>
      <c r="V95" s="97" t="str">
        <f>IF(N(U95)&gt;0,INDEX('MTRs'!$E$6:$E$505,U95),"")</f>
        <v/>
      </c>
      <c r="W95" s="96" t="str">
        <f>IF(G95="","",IFERROR(IF(ISNUMBER(INDEX(cfg_fac,MATCH(G95,cfg_units,0))),IF(INDEX(cfg_fac,MATCH(G95,cfg_units,0))&gt;0,INDEX(cfg_fac,MATCH(G95,cfg_units,0)),""),""),""))</f>
        <v/>
      </c>
      <c r="X95" s="96">
        <f>IF(AND(ISNUMBER(F95),ISNUMBER(H95)),IF(H95&gt;0,1,0),0)</f>
        <v>0</v>
      </c>
      <c r="Y95" s="96">
        <f>IF(Q95=0,0,IF(OR(T95=0,X95=0,NOT(ISNUMBER(E95)),AND(J95="Sim",L95="",M95=""),AND(ISNUMBER(E95),ISNUMBER(V95),N(V95)&gt;0,E95&lt;N(V95))),1,0))</f>
        <v>0</v>
      </c>
      <c r="Z95" s="96">
        <f>IF(AND(Q95=1,T95=1,X95=1,J95="Sim",OR(L95&lt;&gt;"",M95&lt;&gt;"")),1,0)</f>
        <v>0</v>
      </c>
      <c r="AA95" s="96">
        <f>IF(Q95=0,0,IF(AND(OR(r_ini="",AND(ISNUMBER(E95),E95&gt;=r_ini)),OR(r_fim="",AND(ISNUMBER(E95),E95&lt;=r_fim)),OR(r_un="",r_un="(Todas)",IF(N(U95)&gt;0,INDEX('MTRs'!$G$6:$G$505,U95),"")=r_un),OR(r_de="",r_de="(Todos)",D95=r_de)),1,0))</f>
        <v>0</v>
      </c>
      <c r="AB95" s="96" t="str">
        <f>IF(AA95=1,COUNTIF($AA$6:AA95,1),"")</f>
        <v/>
      </c>
    </row>
    <row r="96">
      <c r="A96" s="89" t="inlineStr">
        <is>
          <t>REC-000091</t>
        </is>
      </c>
      <c r="B96" s="94" t="str">
        <f>IF(T96=1,INDEX('ITENS_MTR'!$S$6:$S$1005,S96)&amp;"","")</f>
        <v/>
      </c>
      <c r="C96" s="91" t="n"/>
      <c r="D96" s="94" t="str">
        <f>IF(N(U96)&gt;0,INDEX('MTRs'!$I$6:$I$505,U96)&amp;"","")</f>
        <v/>
      </c>
      <c r="E96" s="92" t="n"/>
      <c r="F96" s="98" t="n"/>
      <c r="G96" s="91" t="n"/>
      <c r="H96" s="93" t="str">
        <f>IF(Q96=0,"",IF(NOT(ISNUMBER(F96)),"",IF(ISNUMBER(W96),F96*W96,"UNIDADE A CONFERIR")))</f>
        <v/>
      </c>
      <c r="I96" s="91" t="n"/>
      <c r="J96" s="91" t="n"/>
      <c r="K96" s="92" t="n"/>
      <c r="L96" s="91" t="n"/>
      <c r="M96" s="91" t="n"/>
      <c r="N96" s="91" t="n"/>
      <c r="O96" s="91" t="n"/>
      <c r="P96" s="94" t="str">
        <f>IF(Q96=0,"",IF(C96="","Item de resíduo não informado",IF(T96=0,"Item inexistente (referência inválida)",IF(NOT(ISNUMBER(F96)),"Quantidade não informada",IF(F96&lt;=0,"Quantidade não positiva",IF(G96="","Unidade não informada",IF(NOT(ISNUMBER(H96)),"Unidade a conferir",IF(NOT(ISNUMBER(E96)),"Data de recebimento não informada",IF(AND(ISNUMBER(V96),N(V96)&gt;0,E96&lt;N(V96)),"Data anterior à emissão do MTR",IF(AND(J96="Sim",L96="",M96=""),"Conferido sem evidência identificada",IF(J96&lt;&gt;"Sim","Aguardando conferência",IF(INDEX('ITENS_MTR'!$AM$6:$AM$1005,S96)=1,"Conferido (ver diferença no item)","Conferido"))))))))))))</f>
        <v/>
      </c>
      <c r="Q96" s="96">
        <f>IF(COUNTA(C96,E96:G96,I96:O96)&gt;0,1,0)</f>
        <v>0</v>
      </c>
      <c r="R96" s="96" t="str">
        <f>IF(C96="","",TRIM(LEFT(C96,FIND(" |",C96&amp;" |")-1)))</f>
        <v/>
      </c>
      <c r="S96" s="96" t="str">
        <f>IF(R96="","",IFERROR(MATCH(R96,'ITENS_MTR'!$A$6:$A$1005,0),""))</f>
        <v/>
      </c>
      <c r="T96" s="96">
        <f>IF(S96="",0,IF(INDEX('ITENS_MTR'!$R$6:$R$1005,S96)=1,1,0))</f>
        <v>0</v>
      </c>
      <c r="U96" s="96" t="str">
        <f>IF(T96=1,INDEX('ITENS_MTR'!$T$6:$T$1005,S96),"")</f>
        <v/>
      </c>
      <c r="V96" s="97" t="str">
        <f>IF(N(U96)&gt;0,INDEX('MTRs'!$E$6:$E$505,U96),"")</f>
        <v/>
      </c>
      <c r="W96" s="96" t="str">
        <f>IF(G96="","",IFERROR(IF(ISNUMBER(INDEX(cfg_fac,MATCH(G96,cfg_units,0))),IF(INDEX(cfg_fac,MATCH(G96,cfg_units,0))&gt;0,INDEX(cfg_fac,MATCH(G96,cfg_units,0)),""),""),""))</f>
        <v/>
      </c>
      <c r="X96" s="96">
        <f>IF(AND(ISNUMBER(F96),ISNUMBER(H96)),IF(H96&gt;0,1,0),0)</f>
        <v>0</v>
      </c>
      <c r="Y96" s="96">
        <f>IF(Q96=0,0,IF(OR(T96=0,X96=0,NOT(ISNUMBER(E96)),AND(J96="Sim",L96="",M96=""),AND(ISNUMBER(E96),ISNUMBER(V96),N(V96)&gt;0,E96&lt;N(V96))),1,0))</f>
        <v>0</v>
      </c>
      <c r="Z96" s="96">
        <f>IF(AND(Q96=1,T96=1,X96=1,J96="Sim",OR(L96&lt;&gt;"",M96&lt;&gt;"")),1,0)</f>
        <v>0</v>
      </c>
      <c r="AA96" s="96">
        <f>IF(Q96=0,0,IF(AND(OR(r_ini="",AND(ISNUMBER(E96),E96&gt;=r_ini)),OR(r_fim="",AND(ISNUMBER(E96),E96&lt;=r_fim)),OR(r_un="",r_un="(Todas)",IF(N(U96)&gt;0,INDEX('MTRs'!$G$6:$G$505,U96),"")=r_un),OR(r_de="",r_de="(Todos)",D96=r_de)),1,0))</f>
        <v>0</v>
      </c>
      <c r="AB96" s="96" t="str">
        <f>IF(AA96=1,COUNTIF($AA$6:AA96,1),"")</f>
        <v/>
      </c>
    </row>
    <row r="97">
      <c r="A97" s="89" t="inlineStr">
        <is>
          <t>REC-000092</t>
        </is>
      </c>
      <c r="B97" s="94" t="str">
        <f>IF(T97=1,INDEX('ITENS_MTR'!$S$6:$S$1005,S97)&amp;"","")</f>
        <v/>
      </c>
      <c r="C97" s="91" t="n"/>
      <c r="D97" s="94" t="str">
        <f>IF(N(U97)&gt;0,INDEX('MTRs'!$I$6:$I$505,U97)&amp;"","")</f>
        <v/>
      </c>
      <c r="E97" s="92" t="n"/>
      <c r="F97" s="98" t="n"/>
      <c r="G97" s="91" t="n"/>
      <c r="H97" s="93" t="str">
        <f>IF(Q97=0,"",IF(NOT(ISNUMBER(F97)),"",IF(ISNUMBER(W97),F97*W97,"UNIDADE A CONFERIR")))</f>
        <v/>
      </c>
      <c r="I97" s="91" t="n"/>
      <c r="J97" s="91" t="n"/>
      <c r="K97" s="92" t="n"/>
      <c r="L97" s="91" t="n"/>
      <c r="M97" s="91" t="n"/>
      <c r="N97" s="91" t="n"/>
      <c r="O97" s="91" t="n"/>
      <c r="P97" s="94" t="str">
        <f>IF(Q97=0,"",IF(C97="","Item de resíduo não informado",IF(T97=0,"Item inexistente (referência inválida)",IF(NOT(ISNUMBER(F97)),"Quantidade não informada",IF(F97&lt;=0,"Quantidade não positiva",IF(G97="","Unidade não informada",IF(NOT(ISNUMBER(H97)),"Unidade a conferir",IF(NOT(ISNUMBER(E97)),"Data de recebimento não informada",IF(AND(ISNUMBER(V97),N(V97)&gt;0,E97&lt;N(V97)),"Data anterior à emissão do MTR",IF(AND(J97="Sim",L97="",M97=""),"Conferido sem evidência identificada",IF(J97&lt;&gt;"Sim","Aguardando conferência",IF(INDEX('ITENS_MTR'!$AM$6:$AM$1005,S97)=1,"Conferido (ver diferença no item)","Conferido"))))))))))))</f>
        <v/>
      </c>
      <c r="Q97" s="96">
        <f>IF(COUNTA(C97,E97:G97,I97:O97)&gt;0,1,0)</f>
        <v>0</v>
      </c>
      <c r="R97" s="96" t="str">
        <f>IF(C97="","",TRIM(LEFT(C97,FIND(" |",C97&amp;" |")-1)))</f>
        <v/>
      </c>
      <c r="S97" s="96" t="str">
        <f>IF(R97="","",IFERROR(MATCH(R97,'ITENS_MTR'!$A$6:$A$1005,0),""))</f>
        <v/>
      </c>
      <c r="T97" s="96">
        <f>IF(S97="",0,IF(INDEX('ITENS_MTR'!$R$6:$R$1005,S97)=1,1,0))</f>
        <v>0</v>
      </c>
      <c r="U97" s="96" t="str">
        <f>IF(T97=1,INDEX('ITENS_MTR'!$T$6:$T$1005,S97),"")</f>
        <v/>
      </c>
      <c r="V97" s="97" t="str">
        <f>IF(N(U97)&gt;0,INDEX('MTRs'!$E$6:$E$505,U97),"")</f>
        <v/>
      </c>
      <c r="W97" s="96" t="str">
        <f>IF(G97="","",IFERROR(IF(ISNUMBER(INDEX(cfg_fac,MATCH(G97,cfg_units,0))),IF(INDEX(cfg_fac,MATCH(G97,cfg_units,0))&gt;0,INDEX(cfg_fac,MATCH(G97,cfg_units,0)),""),""),""))</f>
        <v/>
      </c>
      <c r="X97" s="96">
        <f>IF(AND(ISNUMBER(F97),ISNUMBER(H97)),IF(H97&gt;0,1,0),0)</f>
        <v>0</v>
      </c>
      <c r="Y97" s="96">
        <f>IF(Q97=0,0,IF(OR(T97=0,X97=0,NOT(ISNUMBER(E97)),AND(J97="Sim",L97="",M97=""),AND(ISNUMBER(E97),ISNUMBER(V97),N(V97)&gt;0,E97&lt;N(V97))),1,0))</f>
        <v>0</v>
      </c>
      <c r="Z97" s="96">
        <f>IF(AND(Q97=1,T97=1,X97=1,J97="Sim",OR(L97&lt;&gt;"",M97&lt;&gt;"")),1,0)</f>
        <v>0</v>
      </c>
      <c r="AA97" s="96">
        <f>IF(Q97=0,0,IF(AND(OR(r_ini="",AND(ISNUMBER(E97),E97&gt;=r_ini)),OR(r_fim="",AND(ISNUMBER(E97),E97&lt;=r_fim)),OR(r_un="",r_un="(Todas)",IF(N(U97)&gt;0,INDEX('MTRs'!$G$6:$G$505,U97),"")=r_un),OR(r_de="",r_de="(Todos)",D97=r_de)),1,0))</f>
        <v>0</v>
      </c>
      <c r="AB97" s="96" t="str">
        <f>IF(AA97=1,COUNTIF($AA$6:AA97,1),"")</f>
        <v/>
      </c>
    </row>
    <row r="98">
      <c r="A98" s="89" t="inlineStr">
        <is>
          <t>REC-000093</t>
        </is>
      </c>
      <c r="B98" s="94" t="str">
        <f>IF(T98=1,INDEX('ITENS_MTR'!$S$6:$S$1005,S98)&amp;"","")</f>
        <v/>
      </c>
      <c r="C98" s="91" t="n"/>
      <c r="D98" s="94" t="str">
        <f>IF(N(U98)&gt;0,INDEX('MTRs'!$I$6:$I$505,U98)&amp;"","")</f>
        <v/>
      </c>
      <c r="E98" s="92" t="n"/>
      <c r="F98" s="98" t="n"/>
      <c r="G98" s="91" t="n"/>
      <c r="H98" s="93" t="str">
        <f>IF(Q98=0,"",IF(NOT(ISNUMBER(F98)),"",IF(ISNUMBER(W98),F98*W98,"UNIDADE A CONFERIR")))</f>
        <v/>
      </c>
      <c r="I98" s="91" t="n"/>
      <c r="J98" s="91" t="n"/>
      <c r="K98" s="92" t="n"/>
      <c r="L98" s="91" t="n"/>
      <c r="M98" s="91" t="n"/>
      <c r="N98" s="91" t="n"/>
      <c r="O98" s="91" t="n"/>
      <c r="P98" s="94" t="str">
        <f>IF(Q98=0,"",IF(C98="","Item de resíduo não informado",IF(T98=0,"Item inexistente (referência inválida)",IF(NOT(ISNUMBER(F98)),"Quantidade não informada",IF(F98&lt;=0,"Quantidade não positiva",IF(G98="","Unidade não informada",IF(NOT(ISNUMBER(H98)),"Unidade a conferir",IF(NOT(ISNUMBER(E98)),"Data de recebimento não informada",IF(AND(ISNUMBER(V98),N(V98)&gt;0,E98&lt;N(V98)),"Data anterior à emissão do MTR",IF(AND(J98="Sim",L98="",M98=""),"Conferido sem evidência identificada",IF(J98&lt;&gt;"Sim","Aguardando conferência",IF(INDEX('ITENS_MTR'!$AM$6:$AM$1005,S98)=1,"Conferido (ver diferença no item)","Conferido"))))))))))))</f>
        <v/>
      </c>
      <c r="Q98" s="96">
        <f>IF(COUNTA(C98,E98:G98,I98:O98)&gt;0,1,0)</f>
        <v>0</v>
      </c>
      <c r="R98" s="96" t="str">
        <f>IF(C98="","",TRIM(LEFT(C98,FIND(" |",C98&amp;" |")-1)))</f>
        <v/>
      </c>
      <c r="S98" s="96" t="str">
        <f>IF(R98="","",IFERROR(MATCH(R98,'ITENS_MTR'!$A$6:$A$1005,0),""))</f>
        <v/>
      </c>
      <c r="T98" s="96">
        <f>IF(S98="",0,IF(INDEX('ITENS_MTR'!$R$6:$R$1005,S98)=1,1,0))</f>
        <v>0</v>
      </c>
      <c r="U98" s="96" t="str">
        <f>IF(T98=1,INDEX('ITENS_MTR'!$T$6:$T$1005,S98),"")</f>
        <v/>
      </c>
      <c r="V98" s="97" t="str">
        <f>IF(N(U98)&gt;0,INDEX('MTRs'!$E$6:$E$505,U98),"")</f>
        <v/>
      </c>
      <c r="W98" s="96" t="str">
        <f>IF(G98="","",IFERROR(IF(ISNUMBER(INDEX(cfg_fac,MATCH(G98,cfg_units,0))),IF(INDEX(cfg_fac,MATCH(G98,cfg_units,0))&gt;0,INDEX(cfg_fac,MATCH(G98,cfg_units,0)),""),""),""))</f>
        <v/>
      </c>
      <c r="X98" s="96">
        <f>IF(AND(ISNUMBER(F98),ISNUMBER(H98)),IF(H98&gt;0,1,0),0)</f>
        <v>0</v>
      </c>
      <c r="Y98" s="96">
        <f>IF(Q98=0,0,IF(OR(T98=0,X98=0,NOT(ISNUMBER(E98)),AND(J98="Sim",L98="",M98=""),AND(ISNUMBER(E98),ISNUMBER(V98),N(V98)&gt;0,E98&lt;N(V98))),1,0))</f>
        <v>0</v>
      </c>
      <c r="Z98" s="96">
        <f>IF(AND(Q98=1,T98=1,X98=1,J98="Sim",OR(L98&lt;&gt;"",M98&lt;&gt;"")),1,0)</f>
        <v>0</v>
      </c>
      <c r="AA98" s="96">
        <f>IF(Q98=0,0,IF(AND(OR(r_ini="",AND(ISNUMBER(E98),E98&gt;=r_ini)),OR(r_fim="",AND(ISNUMBER(E98),E98&lt;=r_fim)),OR(r_un="",r_un="(Todas)",IF(N(U98)&gt;0,INDEX('MTRs'!$G$6:$G$505,U98),"")=r_un),OR(r_de="",r_de="(Todos)",D98=r_de)),1,0))</f>
        <v>0</v>
      </c>
      <c r="AB98" s="96" t="str">
        <f>IF(AA98=1,COUNTIF($AA$6:AA98,1),"")</f>
        <v/>
      </c>
    </row>
    <row r="99">
      <c r="A99" s="89" t="inlineStr">
        <is>
          <t>REC-000094</t>
        </is>
      </c>
      <c r="B99" s="94" t="str">
        <f>IF(T99=1,INDEX('ITENS_MTR'!$S$6:$S$1005,S99)&amp;"","")</f>
        <v/>
      </c>
      <c r="C99" s="91" t="n"/>
      <c r="D99" s="94" t="str">
        <f>IF(N(U99)&gt;0,INDEX('MTRs'!$I$6:$I$505,U99)&amp;"","")</f>
        <v/>
      </c>
      <c r="E99" s="92" t="n"/>
      <c r="F99" s="98" t="n"/>
      <c r="G99" s="91" t="n"/>
      <c r="H99" s="93" t="str">
        <f>IF(Q99=0,"",IF(NOT(ISNUMBER(F99)),"",IF(ISNUMBER(W99),F99*W99,"UNIDADE A CONFERIR")))</f>
        <v/>
      </c>
      <c r="I99" s="91" t="n"/>
      <c r="J99" s="91" t="n"/>
      <c r="K99" s="92" t="n"/>
      <c r="L99" s="91" t="n"/>
      <c r="M99" s="91" t="n"/>
      <c r="N99" s="91" t="n"/>
      <c r="O99" s="91" t="n"/>
      <c r="P99" s="94" t="str">
        <f>IF(Q99=0,"",IF(C99="","Item de resíduo não informado",IF(T99=0,"Item inexistente (referência inválida)",IF(NOT(ISNUMBER(F99)),"Quantidade não informada",IF(F99&lt;=0,"Quantidade não positiva",IF(G99="","Unidade não informada",IF(NOT(ISNUMBER(H99)),"Unidade a conferir",IF(NOT(ISNUMBER(E99)),"Data de recebimento não informada",IF(AND(ISNUMBER(V99),N(V99)&gt;0,E99&lt;N(V99)),"Data anterior à emissão do MTR",IF(AND(J99="Sim",L99="",M99=""),"Conferido sem evidência identificada",IF(J99&lt;&gt;"Sim","Aguardando conferência",IF(INDEX('ITENS_MTR'!$AM$6:$AM$1005,S99)=1,"Conferido (ver diferença no item)","Conferido"))))))))))))</f>
        <v/>
      </c>
      <c r="Q99" s="96">
        <f>IF(COUNTA(C99,E99:G99,I99:O99)&gt;0,1,0)</f>
        <v>0</v>
      </c>
      <c r="R99" s="96" t="str">
        <f>IF(C99="","",TRIM(LEFT(C99,FIND(" |",C99&amp;" |")-1)))</f>
        <v/>
      </c>
      <c r="S99" s="96" t="str">
        <f>IF(R99="","",IFERROR(MATCH(R99,'ITENS_MTR'!$A$6:$A$1005,0),""))</f>
        <v/>
      </c>
      <c r="T99" s="96">
        <f>IF(S99="",0,IF(INDEX('ITENS_MTR'!$R$6:$R$1005,S99)=1,1,0))</f>
        <v>0</v>
      </c>
      <c r="U99" s="96" t="str">
        <f>IF(T99=1,INDEX('ITENS_MTR'!$T$6:$T$1005,S99),"")</f>
        <v/>
      </c>
      <c r="V99" s="97" t="str">
        <f>IF(N(U99)&gt;0,INDEX('MTRs'!$E$6:$E$505,U99),"")</f>
        <v/>
      </c>
      <c r="W99" s="96" t="str">
        <f>IF(G99="","",IFERROR(IF(ISNUMBER(INDEX(cfg_fac,MATCH(G99,cfg_units,0))),IF(INDEX(cfg_fac,MATCH(G99,cfg_units,0))&gt;0,INDEX(cfg_fac,MATCH(G99,cfg_units,0)),""),""),""))</f>
        <v/>
      </c>
      <c r="X99" s="96">
        <f>IF(AND(ISNUMBER(F99),ISNUMBER(H99)),IF(H99&gt;0,1,0),0)</f>
        <v>0</v>
      </c>
      <c r="Y99" s="96">
        <f>IF(Q99=0,0,IF(OR(T99=0,X99=0,NOT(ISNUMBER(E99)),AND(J99="Sim",L99="",M99=""),AND(ISNUMBER(E99),ISNUMBER(V99),N(V99)&gt;0,E99&lt;N(V99))),1,0))</f>
        <v>0</v>
      </c>
      <c r="Z99" s="96">
        <f>IF(AND(Q99=1,T99=1,X99=1,J99="Sim",OR(L99&lt;&gt;"",M99&lt;&gt;"")),1,0)</f>
        <v>0</v>
      </c>
      <c r="AA99" s="96">
        <f>IF(Q99=0,0,IF(AND(OR(r_ini="",AND(ISNUMBER(E99),E99&gt;=r_ini)),OR(r_fim="",AND(ISNUMBER(E99),E99&lt;=r_fim)),OR(r_un="",r_un="(Todas)",IF(N(U99)&gt;0,INDEX('MTRs'!$G$6:$G$505,U99),"")=r_un),OR(r_de="",r_de="(Todos)",D99=r_de)),1,0))</f>
        <v>0</v>
      </c>
      <c r="AB99" s="96" t="str">
        <f>IF(AA99=1,COUNTIF($AA$6:AA99,1),"")</f>
        <v/>
      </c>
    </row>
    <row r="100">
      <c r="A100" s="89" t="inlineStr">
        <is>
          <t>REC-000095</t>
        </is>
      </c>
      <c r="B100" s="94" t="str">
        <f>IF(T100=1,INDEX('ITENS_MTR'!$S$6:$S$1005,S100)&amp;"","")</f>
        <v/>
      </c>
      <c r="C100" s="91" t="n"/>
      <c r="D100" s="94" t="str">
        <f>IF(N(U100)&gt;0,INDEX('MTRs'!$I$6:$I$505,U100)&amp;"","")</f>
        <v/>
      </c>
      <c r="E100" s="92" t="n"/>
      <c r="F100" s="98" t="n"/>
      <c r="G100" s="91" t="n"/>
      <c r="H100" s="93" t="str">
        <f>IF(Q100=0,"",IF(NOT(ISNUMBER(F100)),"",IF(ISNUMBER(W100),F100*W100,"UNIDADE A CONFERIR")))</f>
        <v/>
      </c>
      <c r="I100" s="91" t="n"/>
      <c r="J100" s="91" t="n"/>
      <c r="K100" s="92" t="n"/>
      <c r="L100" s="91" t="n"/>
      <c r="M100" s="91" t="n"/>
      <c r="N100" s="91" t="n"/>
      <c r="O100" s="91" t="n"/>
      <c r="P100" s="94" t="str">
        <f>IF(Q100=0,"",IF(C100="","Item de resíduo não informado",IF(T100=0,"Item inexistente (referência inválida)",IF(NOT(ISNUMBER(F100)),"Quantidade não informada",IF(F100&lt;=0,"Quantidade não positiva",IF(G100="","Unidade não informada",IF(NOT(ISNUMBER(H100)),"Unidade a conferir",IF(NOT(ISNUMBER(E100)),"Data de recebimento não informada",IF(AND(ISNUMBER(V100),N(V100)&gt;0,E100&lt;N(V100)),"Data anterior à emissão do MTR",IF(AND(J100="Sim",L100="",M100=""),"Conferido sem evidência identificada",IF(J100&lt;&gt;"Sim","Aguardando conferência",IF(INDEX('ITENS_MTR'!$AM$6:$AM$1005,S100)=1,"Conferido (ver diferença no item)","Conferido"))))))))))))</f>
        <v/>
      </c>
      <c r="Q100" s="96">
        <f>IF(COUNTA(C100,E100:G100,I100:O100)&gt;0,1,0)</f>
        <v>0</v>
      </c>
      <c r="R100" s="96" t="str">
        <f>IF(C100="","",TRIM(LEFT(C100,FIND(" |",C100&amp;" |")-1)))</f>
        <v/>
      </c>
      <c r="S100" s="96" t="str">
        <f>IF(R100="","",IFERROR(MATCH(R100,'ITENS_MTR'!$A$6:$A$1005,0),""))</f>
        <v/>
      </c>
      <c r="T100" s="96">
        <f>IF(S100="",0,IF(INDEX('ITENS_MTR'!$R$6:$R$1005,S100)=1,1,0))</f>
        <v>0</v>
      </c>
      <c r="U100" s="96" t="str">
        <f>IF(T100=1,INDEX('ITENS_MTR'!$T$6:$T$1005,S100),"")</f>
        <v/>
      </c>
      <c r="V100" s="97" t="str">
        <f>IF(N(U100)&gt;0,INDEX('MTRs'!$E$6:$E$505,U100),"")</f>
        <v/>
      </c>
      <c r="W100" s="96" t="str">
        <f>IF(G100="","",IFERROR(IF(ISNUMBER(INDEX(cfg_fac,MATCH(G100,cfg_units,0))),IF(INDEX(cfg_fac,MATCH(G100,cfg_units,0))&gt;0,INDEX(cfg_fac,MATCH(G100,cfg_units,0)),""),""),""))</f>
        <v/>
      </c>
      <c r="X100" s="96">
        <f>IF(AND(ISNUMBER(F100),ISNUMBER(H100)),IF(H100&gt;0,1,0),0)</f>
        <v>0</v>
      </c>
      <c r="Y100" s="96">
        <f>IF(Q100=0,0,IF(OR(T100=0,X100=0,NOT(ISNUMBER(E100)),AND(J100="Sim",L100="",M100=""),AND(ISNUMBER(E100),ISNUMBER(V100),N(V100)&gt;0,E100&lt;N(V100))),1,0))</f>
        <v>0</v>
      </c>
      <c r="Z100" s="96">
        <f>IF(AND(Q100=1,T100=1,X100=1,J100="Sim",OR(L100&lt;&gt;"",M100&lt;&gt;"")),1,0)</f>
        <v>0</v>
      </c>
      <c r="AA100" s="96">
        <f>IF(Q100=0,0,IF(AND(OR(r_ini="",AND(ISNUMBER(E100),E100&gt;=r_ini)),OR(r_fim="",AND(ISNUMBER(E100),E100&lt;=r_fim)),OR(r_un="",r_un="(Todas)",IF(N(U100)&gt;0,INDEX('MTRs'!$G$6:$G$505,U100),"")=r_un),OR(r_de="",r_de="(Todos)",D100=r_de)),1,0))</f>
        <v>0</v>
      </c>
      <c r="AB100" s="96" t="str">
        <f>IF(AA100=1,COUNTIF($AA$6:AA100,1),"")</f>
        <v/>
      </c>
    </row>
    <row r="101">
      <c r="A101" s="89" t="inlineStr">
        <is>
          <t>REC-000096</t>
        </is>
      </c>
      <c r="B101" s="94" t="str">
        <f>IF(T101=1,INDEX('ITENS_MTR'!$S$6:$S$1005,S101)&amp;"","")</f>
        <v/>
      </c>
      <c r="C101" s="91" t="n"/>
      <c r="D101" s="94" t="str">
        <f>IF(N(U101)&gt;0,INDEX('MTRs'!$I$6:$I$505,U101)&amp;"","")</f>
        <v/>
      </c>
      <c r="E101" s="92" t="n"/>
      <c r="F101" s="98" t="n"/>
      <c r="G101" s="91" t="n"/>
      <c r="H101" s="93" t="str">
        <f>IF(Q101=0,"",IF(NOT(ISNUMBER(F101)),"",IF(ISNUMBER(W101),F101*W101,"UNIDADE A CONFERIR")))</f>
        <v/>
      </c>
      <c r="I101" s="91" t="n"/>
      <c r="J101" s="91" t="n"/>
      <c r="K101" s="92" t="n"/>
      <c r="L101" s="91" t="n"/>
      <c r="M101" s="91" t="n"/>
      <c r="N101" s="91" t="n"/>
      <c r="O101" s="91" t="n"/>
      <c r="P101" s="94" t="str">
        <f>IF(Q101=0,"",IF(C101="","Item de resíduo não informado",IF(T101=0,"Item inexistente (referência inválida)",IF(NOT(ISNUMBER(F101)),"Quantidade não informada",IF(F101&lt;=0,"Quantidade não positiva",IF(G101="","Unidade não informada",IF(NOT(ISNUMBER(H101)),"Unidade a conferir",IF(NOT(ISNUMBER(E101)),"Data de recebimento não informada",IF(AND(ISNUMBER(V101),N(V101)&gt;0,E101&lt;N(V101)),"Data anterior à emissão do MTR",IF(AND(J101="Sim",L101="",M101=""),"Conferido sem evidência identificada",IF(J101&lt;&gt;"Sim","Aguardando conferência",IF(INDEX('ITENS_MTR'!$AM$6:$AM$1005,S101)=1,"Conferido (ver diferença no item)","Conferido"))))))))))))</f>
        <v/>
      </c>
      <c r="Q101" s="96">
        <f>IF(COUNTA(C101,E101:G101,I101:O101)&gt;0,1,0)</f>
        <v>0</v>
      </c>
      <c r="R101" s="96" t="str">
        <f>IF(C101="","",TRIM(LEFT(C101,FIND(" |",C101&amp;" |")-1)))</f>
        <v/>
      </c>
      <c r="S101" s="96" t="str">
        <f>IF(R101="","",IFERROR(MATCH(R101,'ITENS_MTR'!$A$6:$A$1005,0),""))</f>
        <v/>
      </c>
      <c r="T101" s="96">
        <f>IF(S101="",0,IF(INDEX('ITENS_MTR'!$R$6:$R$1005,S101)=1,1,0))</f>
        <v>0</v>
      </c>
      <c r="U101" s="96" t="str">
        <f>IF(T101=1,INDEX('ITENS_MTR'!$T$6:$T$1005,S101),"")</f>
        <v/>
      </c>
      <c r="V101" s="97" t="str">
        <f>IF(N(U101)&gt;0,INDEX('MTRs'!$E$6:$E$505,U101),"")</f>
        <v/>
      </c>
      <c r="W101" s="96" t="str">
        <f>IF(G101="","",IFERROR(IF(ISNUMBER(INDEX(cfg_fac,MATCH(G101,cfg_units,0))),IF(INDEX(cfg_fac,MATCH(G101,cfg_units,0))&gt;0,INDEX(cfg_fac,MATCH(G101,cfg_units,0)),""),""),""))</f>
        <v/>
      </c>
      <c r="X101" s="96">
        <f>IF(AND(ISNUMBER(F101),ISNUMBER(H101)),IF(H101&gt;0,1,0),0)</f>
        <v>0</v>
      </c>
      <c r="Y101" s="96">
        <f>IF(Q101=0,0,IF(OR(T101=0,X101=0,NOT(ISNUMBER(E101)),AND(J101="Sim",L101="",M101=""),AND(ISNUMBER(E101),ISNUMBER(V101),N(V101)&gt;0,E101&lt;N(V101))),1,0))</f>
        <v>0</v>
      </c>
      <c r="Z101" s="96">
        <f>IF(AND(Q101=1,T101=1,X101=1,J101="Sim",OR(L101&lt;&gt;"",M101&lt;&gt;"")),1,0)</f>
        <v>0</v>
      </c>
      <c r="AA101" s="96">
        <f>IF(Q101=0,0,IF(AND(OR(r_ini="",AND(ISNUMBER(E101),E101&gt;=r_ini)),OR(r_fim="",AND(ISNUMBER(E101),E101&lt;=r_fim)),OR(r_un="",r_un="(Todas)",IF(N(U101)&gt;0,INDEX('MTRs'!$G$6:$G$505,U101),"")=r_un),OR(r_de="",r_de="(Todos)",D101=r_de)),1,0))</f>
        <v>0</v>
      </c>
      <c r="AB101" s="96" t="str">
        <f>IF(AA101=1,COUNTIF($AA$6:AA101,1),"")</f>
        <v/>
      </c>
    </row>
    <row r="102">
      <c r="A102" s="89" t="inlineStr">
        <is>
          <t>REC-000097</t>
        </is>
      </c>
      <c r="B102" s="94" t="str">
        <f>IF(T102=1,INDEX('ITENS_MTR'!$S$6:$S$1005,S102)&amp;"","")</f>
        <v/>
      </c>
      <c r="C102" s="91" t="n"/>
      <c r="D102" s="94" t="str">
        <f>IF(N(U102)&gt;0,INDEX('MTRs'!$I$6:$I$505,U102)&amp;"","")</f>
        <v/>
      </c>
      <c r="E102" s="92" t="n"/>
      <c r="F102" s="98" t="n"/>
      <c r="G102" s="91" t="n"/>
      <c r="H102" s="93" t="str">
        <f>IF(Q102=0,"",IF(NOT(ISNUMBER(F102)),"",IF(ISNUMBER(W102),F102*W102,"UNIDADE A CONFERIR")))</f>
        <v/>
      </c>
      <c r="I102" s="91" t="n"/>
      <c r="J102" s="91" t="n"/>
      <c r="K102" s="92" t="n"/>
      <c r="L102" s="91" t="n"/>
      <c r="M102" s="91" t="n"/>
      <c r="N102" s="91" t="n"/>
      <c r="O102" s="91" t="n"/>
      <c r="P102" s="94" t="str">
        <f>IF(Q102=0,"",IF(C102="","Item de resíduo não informado",IF(T102=0,"Item inexistente (referência inválida)",IF(NOT(ISNUMBER(F102)),"Quantidade não informada",IF(F102&lt;=0,"Quantidade não positiva",IF(G102="","Unidade não informada",IF(NOT(ISNUMBER(H102)),"Unidade a conferir",IF(NOT(ISNUMBER(E102)),"Data de recebimento não informada",IF(AND(ISNUMBER(V102),N(V102)&gt;0,E102&lt;N(V102)),"Data anterior à emissão do MTR",IF(AND(J102="Sim",L102="",M102=""),"Conferido sem evidência identificada",IF(J102&lt;&gt;"Sim","Aguardando conferência",IF(INDEX('ITENS_MTR'!$AM$6:$AM$1005,S102)=1,"Conferido (ver diferença no item)","Conferido"))))))))))))</f>
        <v/>
      </c>
      <c r="Q102" s="96">
        <f>IF(COUNTA(C102,E102:G102,I102:O102)&gt;0,1,0)</f>
        <v>0</v>
      </c>
      <c r="R102" s="96" t="str">
        <f>IF(C102="","",TRIM(LEFT(C102,FIND(" |",C102&amp;" |")-1)))</f>
        <v/>
      </c>
      <c r="S102" s="96" t="str">
        <f>IF(R102="","",IFERROR(MATCH(R102,'ITENS_MTR'!$A$6:$A$1005,0),""))</f>
        <v/>
      </c>
      <c r="T102" s="96">
        <f>IF(S102="",0,IF(INDEX('ITENS_MTR'!$R$6:$R$1005,S102)=1,1,0))</f>
        <v>0</v>
      </c>
      <c r="U102" s="96" t="str">
        <f>IF(T102=1,INDEX('ITENS_MTR'!$T$6:$T$1005,S102),"")</f>
        <v/>
      </c>
      <c r="V102" s="97" t="str">
        <f>IF(N(U102)&gt;0,INDEX('MTRs'!$E$6:$E$505,U102),"")</f>
        <v/>
      </c>
      <c r="W102" s="96" t="str">
        <f>IF(G102="","",IFERROR(IF(ISNUMBER(INDEX(cfg_fac,MATCH(G102,cfg_units,0))),IF(INDEX(cfg_fac,MATCH(G102,cfg_units,0))&gt;0,INDEX(cfg_fac,MATCH(G102,cfg_units,0)),""),""),""))</f>
        <v/>
      </c>
      <c r="X102" s="96">
        <f>IF(AND(ISNUMBER(F102),ISNUMBER(H102)),IF(H102&gt;0,1,0),0)</f>
        <v>0</v>
      </c>
      <c r="Y102" s="96">
        <f>IF(Q102=0,0,IF(OR(T102=0,X102=0,NOT(ISNUMBER(E102)),AND(J102="Sim",L102="",M102=""),AND(ISNUMBER(E102),ISNUMBER(V102),N(V102)&gt;0,E102&lt;N(V102))),1,0))</f>
        <v>0</v>
      </c>
      <c r="Z102" s="96">
        <f>IF(AND(Q102=1,T102=1,X102=1,J102="Sim",OR(L102&lt;&gt;"",M102&lt;&gt;"")),1,0)</f>
        <v>0</v>
      </c>
      <c r="AA102" s="96">
        <f>IF(Q102=0,0,IF(AND(OR(r_ini="",AND(ISNUMBER(E102),E102&gt;=r_ini)),OR(r_fim="",AND(ISNUMBER(E102),E102&lt;=r_fim)),OR(r_un="",r_un="(Todas)",IF(N(U102)&gt;0,INDEX('MTRs'!$G$6:$G$505,U102),"")=r_un),OR(r_de="",r_de="(Todos)",D102=r_de)),1,0))</f>
        <v>0</v>
      </c>
      <c r="AB102" s="96" t="str">
        <f>IF(AA102=1,COUNTIF($AA$6:AA102,1),"")</f>
        <v/>
      </c>
    </row>
    <row r="103">
      <c r="A103" s="89" t="inlineStr">
        <is>
          <t>REC-000098</t>
        </is>
      </c>
      <c r="B103" s="94" t="str">
        <f>IF(T103=1,INDEX('ITENS_MTR'!$S$6:$S$1005,S103)&amp;"","")</f>
        <v/>
      </c>
      <c r="C103" s="91" t="n"/>
      <c r="D103" s="94" t="str">
        <f>IF(N(U103)&gt;0,INDEX('MTRs'!$I$6:$I$505,U103)&amp;"","")</f>
        <v/>
      </c>
      <c r="E103" s="92" t="n"/>
      <c r="F103" s="98" t="n"/>
      <c r="G103" s="91" t="n"/>
      <c r="H103" s="93" t="str">
        <f>IF(Q103=0,"",IF(NOT(ISNUMBER(F103)),"",IF(ISNUMBER(W103),F103*W103,"UNIDADE A CONFERIR")))</f>
        <v/>
      </c>
      <c r="I103" s="91" t="n"/>
      <c r="J103" s="91" t="n"/>
      <c r="K103" s="92" t="n"/>
      <c r="L103" s="91" t="n"/>
      <c r="M103" s="91" t="n"/>
      <c r="N103" s="91" t="n"/>
      <c r="O103" s="91" t="n"/>
      <c r="P103" s="94" t="str">
        <f>IF(Q103=0,"",IF(C103="","Item de resíduo não informado",IF(T103=0,"Item inexistente (referência inválida)",IF(NOT(ISNUMBER(F103)),"Quantidade não informada",IF(F103&lt;=0,"Quantidade não positiva",IF(G103="","Unidade não informada",IF(NOT(ISNUMBER(H103)),"Unidade a conferir",IF(NOT(ISNUMBER(E103)),"Data de recebimento não informada",IF(AND(ISNUMBER(V103),N(V103)&gt;0,E103&lt;N(V103)),"Data anterior à emissão do MTR",IF(AND(J103="Sim",L103="",M103=""),"Conferido sem evidência identificada",IF(J103&lt;&gt;"Sim","Aguardando conferência",IF(INDEX('ITENS_MTR'!$AM$6:$AM$1005,S103)=1,"Conferido (ver diferença no item)","Conferido"))))))))))))</f>
        <v/>
      </c>
      <c r="Q103" s="96">
        <f>IF(COUNTA(C103,E103:G103,I103:O103)&gt;0,1,0)</f>
        <v>0</v>
      </c>
      <c r="R103" s="96" t="str">
        <f>IF(C103="","",TRIM(LEFT(C103,FIND(" |",C103&amp;" |")-1)))</f>
        <v/>
      </c>
      <c r="S103" s="96" t="str">
        <f>IF(R103="","",IFERROR(MATCH(R103,'ITENS_MTR'!$A$6:$A$1005,0),""))</f>
        <v/>
      </c>
      <c r="T103" s="96">
        <f>IF(S103="",0,IF(INDEX('ITENS_MTR'!$R$6:$R$1005,S103)=1,1,0))</f>
        <v>0</v>
      </c>
      <c r="U103" s="96" t="str">
        <f>IF(T103=1,INDEX('ITENS_MTR'!$T$6:$T$1005,S103),"")</f>
        <v/>
      </c>
      <c r="V103" s="97" t="str">
        <f>IF(N(U103)&gt;0,INDEX('MTRs'!$E$6:$E$505,U103),"")</f>
        <v/>
      </c>
      <c r="W103" s="96" t="str">
        <f>IF(G103="","",IFERROR(IF(ISNUMBER(INDEX(cfg_fac,MATCH(G103,cfg_units,0))),IF(INDEX(cfg_fac,MATCH(G103,cfg_units,0))&gt;0,INDEX(cfg_fac,MATCH(G103,cfg_units,0)),""),""),""))</f>
        <v/>
      </c>
      <c r="X103" s="96">
        <f>IF(AND(ISNUMBER(F103),ISNUMBER(H103)),IF(H103&gt;0,1,0),0)</f>
        <v>0</v>
      </c>
      <c r="Y103" s="96">
        <f>IF(Q103=0,0,IF(OR(T103=0,X103=0,NOT(ISNUMBER(E103)),AND(J103="Sim",L103="",M103=""),AND(ISNUMBER(E103),ISNUMBER(V103),N(V103)&gt;0,E103&lt;N(V103))),1,0))</f>
        <v>0</v>
      </c>
      <c r="Z103" s="96">
        <f>IF(AND(Q103=1,T103=1,X103=1,J103="Sim",OR(L103&lt;&gt;"",M103&lt;&gt;"")),1,0)</f>
        <v>0</v>
      </c>
      <c r="AA103" s="96">
        <f>IF(Q103=0,0,IF(AND(OR(r_ini="",AND(ISNUMBER(E103),E103&gt;=r_ini)),OR(r_fim="",AND(ISNUMBER(E103),E103&lt;=r_fim)),OR(r_un="",r_un="(Todas)",IF(N(U103)&gt;0,INDEX('MTRs'!$G$6:$G$505,U103),"")=r_un),OR(r_de="",r_de="(Todos)",D103=r_de)),1,0))</f>
        <v>0</v>
      </c>
      <c r="AB103" s="96" t="str">
        <f>IF(AA103=1,COUNTIF($AA$6:AA103,1),"")</f>
        <v/>
      </c>
    </row>
    <row r="104">
      <c r="A104" s="89" t="inlineStr">
        <is>
          <t>REC-000099</t>
        </is>
      </c>
      <c r="B104" s="94" t="str">
        <f>IF(T104=1,INDEX('ITENS_MTR'!$S$6:$S$1005,S104)&amp;"","")</f>
        <v/>
      </c>
      <c r="C104" s="91" t="n"/>
      <c r="D104" s="94" t="str">
        <f>IF(N(U104)&gt;0,INDEX('MTRs'!$I$6:$I$505,U104)&amp;"","")</f>
        <v/>
      </c>
      <c r="E104" s="92" t="n"/>
      <c r="F104" s="98" t="n"/>
      <c r="G104" s="91" t="n"/>
      <c r="H104" s="93" t="str">
        <f>IF(Q104=0,"",IF(NOT(ISNUMBER(F104)),"",IF(ISNUMBER(W104),F104*W104,"UNIDADE A CONFERIR")))</f>
        <v/>
      </c>
      <c r="I104" s="91" t="n"/>
      <c r="J104" s="91" t="n"/>
      <c r="K104" s="92" t="n"/>
      <c r="L104" s="91" t="n"/>
      <c r="M104" s="91" t="n"/>
      <c r="N104" s="91" t="n"/>
      <c r="O104" s="91" t="n"/>
      <c r="P104" s="94" t="str">
        <f>IF(Q104=0,"",IF(C104="","Item de resíduo não informado",IF(T104=0,"Item inexistente (referência inválida)",IF(NOT(ISNUMBER(F104)),"Quantidade não informada",IF(F104&lt;=0,"Quantidade não positiva",IF(G104="","Unidade não informada",IF(NOT(ISNUMBER(H104)),"Unidade a conferir",IF(NOT(ISNUMBER(E104)),"Data de recebimento não informada",IF(AND(ISNUMBER(V104),N(V104)&gt;0,E104&lt;N(V104)),"Data anterior à emissão do MTR",IF(AND(J104="Sim",L104="",M104=""),"Conferido sem evidência identificada",IF(J104&lt;&gt;"Sim","Aguardando conferência",IF(INDEX('ITENS_MTR'!$AM$6:$AM$1005,S104)=1,"Conferido (ver diferença no item)","Conferido"))))))))))))</f>
        <v/>
      </c>
      <c r="Q104" s="96">
        <f>IF(COUNTA(C104,E104:G104,I104:O104)&gt;0,1,0)</f>
        <v>0</v>
      </c>
      <c r="R104" s="96" t="str">
        <f>IF(C104="","",TRIM(LEFT(C104,FIND(" |",C104&amp;" |")-1)))</f>
        <v/>
      </c>
      <c r="S104" s="96" t="str">
        <f>IF(R104="","",IFERROR(MATCH(R104,'ITENS_MTR'!$A$6:$A$1005,0),""))</f>
        <v/>
      </c>
      <c r="T104" s="96">
        <f>IF(S104="",0,IF(INDEX('ITENS_MTR'!$R$6:$R$1005,S104)=1,1,0))</f>
        <v>0</v>
      </c>
      <c r="U104" s="96" t="str">
        <f>IF(T104=1,INDEX('ITENS_MTR'!$T$6:$T$1005,S104),"")</f>
        <v/>
      </c>
      <c r="V104" s="97" t="str">
        <f>IF(N(U104)&gt;0,INDEX('MTRs'!$E$6:$E$505,U104),"")</f>
        <v/>
      </c>
      <c r="W104" s="96" t="str">
        <f>IF(G104="","",IFERROR(IF(ISNUMBER(INDEX(cfg_fac,MATCH(G104,cfg_units,0))),IF(INDEX(cfg_fac,MATCH(G104,cfg_units,0))&gt;0,INDEX(cfg_fac,MATCH(G104,cfg_units,0)),""),""),""))</f>
        <v/>
      </c>
      <c r="X104" s="96">
        <f>IF(AND(ISNUMBER(F104),ISNUMBER(H104)),IF(H104&gt;0,1,0),0)</f>
        <v>0</v>
      </c>
      <c r="Y104" s="96">
        <f>IF(Q104=0,0,IF(OR(T104=0,X104=0,NOT(ISNUMBER(E104)),AND(J104="Sim",L104="",M104=""),AND(ISNUMBER(E104),ISNUMBER(V104),N(V104)&gt;0,E104&lt;N(V104))),1,0))</f>
        <v>0</v>
      </c>
      <c r="Z104" s="96">
        <f>IF(AND(Q104=1,T104=1,X104=1,J104="Sim",OR(L104&lt;&gt;"",M104&lt;&gt;"")),1,0)</f>
        <v>0</v>
      </c>
      <c r="AA104" s="96">
        <f>IF(Q104=0,0,IF(AND(OR(r_ini="",AND(ISNUMBER(E104),E104&gt;=r_ini)),OR(r_fim="",AND(ISNUMBER(E104),E104&lt;=r_fim)),OR(r_un="",r_un="(Todas)",IF(N(U104)&gt;0,INDEX('MTRs'!$G$6:$G$505,U104),"")=r_un),OR(r_de="",r_de="(Todos)",D104=r_de)),1,0))</f>
        <v>0</v>
      </c>
      <c r="AB104" s="96" t="str">
        <f>IF(AA104=1,COUNTIF($AA$6:AA104,1),"")</f>
        <v/>
      </c>
    </row>
    <row r="105">
      <c r="A105" s="89" t="inlineStr">
        <is>
          <t>REC-000100</t>
        </is>
      </c>
      <c r="B105" s="94" t="str">
        <f>IF(T105=1,INDEX('ITENS_MTR'!$S$6:$S$1005,S105)&amp;"","")</f>
        <v/>
      </c>
      <c r="C105" s="91" t="n"/>
      <c r="D105" s="94" t="str">
        <f>IF(N(U105)&gt;0,INDEX('MTRs'!$I$6:$I$505,U105)&amp;"","")</f>
        <v/>
      </c>
      <c r="E105" s="92" t="n"/>
      <c r="F105" s="98" t="n"/>
      <c r="G105" s="91" t="n"/>
      <c r="H105" s="93" t="str">
        <f>IF(Q105=0,"",IF(NOT(ISNUMBER(F105)),"",IF(ISNUMBER(W105),F105*W105,"UNIDADE A CONFERIR")))</f>
        <v/>
      </c>
      <c r="I105" s="91" t="n"/>
      <c r="J105" s="91" t="n"/>
      <c r="K105" s="92" t="n"/>
      <c r="L105" s="91" t="n"/>
      <c r="M105" s="91" t="n"/>
      <c r="N105" s="91" t="n"/>
      <c r="O105" s="91" t="n"/>
      <c r="P105" s="94" t="str">
        <f>IF(Q105=0,"",IF(C105="","Item de resíduo não informado",IF(T105=0,"Item inexistente (referência inválida)",IF(NOT(ISNUMBER(F105)),"Quantidade não informada",IF(F105&lt;=0,"Quantidade não positiva",IF(G105="","Unidade não informada",IF(NOT(ISNUMBER(H105)),"Unidade a conferir",IF(NOT(ISNUMBER(E105)),"Data de recebimento não informada",IF(AND(ISNUMBER(V105),N(V105)&gt;0,E105&lt;N(V105)),"Data anterior à emissão do MTR",IF(AND(J105="Sim",L105="",M105=""),"Conferido sem evidência identificada",IF(J105&lt;&gt;"Sim","Aguardando conferência",IF(INDEX('ITENS_MTR'!$AM$6:$AM$1005,S105)=1,"Conferido (ver diferença no item)","Conferido"))))))))))))</f>
        <v/>
      </c>
      <c r="Q105" s="96">
        <f>IF(COUNTA(C105,E105:G105,I105:O105)&gt;0,1,0)</f>
        <v>0</v>
      </c>
      <c r="R105" s="96" t="str">
        <f>IF(C105="","",TRIM(LEFT(C105,FIND(" |",C105&amp;" |")-1)))</f>
        <v/>
      </c>
      <c r="S105" s="96" t="str">
        <f>IF(R105="","",IFERROR(MATCH(R105,'ITENS_MTR'!$A$6:$A$1005,0),""))</f>
        <v/>
      </c>
      <c r="T105" s="96">
        <f>IF(S105="",0,IF(INDEX('ITENS_MTR'!$R$6:$R$1005,S105)=1,1,0))</f>
        <v>0</v>
      </c>
      <c r="U105" s="96" t="str">
        <f>IF(T105=1,INDEX('ITENS_MTR'!$T$6:$T$1005,S105),"")</f>
        <v/>
      </c>
      <c r="V105" s="97" t="str">
        <f>IF(N(U105)&gt;0,INDEX('MTRs'!$E$6:$E$505,U105),"")</f>
        <v/>
      </c>
      <c r="W105" s="96" t="str">
        <f>IF(G105="","",IFERROR(IF(ISNUMBER(INDEX(cfg_fac,MATCH(G105,cfg_units,0))),IF(INDEX(cfg_fac,MATCH(G105,cfg_units,0))&gt;0,INDEX(cfg_fac,MATCH(G105,cfg_units,0)),""),""),""))</f>
        <v/>
      </c>
      <c r="X105" s="96">
        <f>IF(AND(ISNUMBER(F105),ISNUMBER(H105)),IF(H105&gt;0,1,0),0)</f>
        <v>0</v>
      </c>
      <c r="Y105" s="96">
        <f>IF(Q105=0,0,IF(OR(T105=0,X105=0,NOT(ISNUMBER(E105)),AND(J105="Sim",L105="",M105=""),AND(ISNUMBER(E105),ISNUMBER(V105),N(V105)&gt;0,E105&lt;N(V105))),1,0))</f>
        <v>0</v>
      </c>
      <c r="Z105" s="96">
        <f>IF(AND(Q105=1,T105=1,X105=1,J105="Sim",OR(L105&lt;&gt;"",M105&lt;&gt;"")),1,0)</f>
        <v>0</v>
      </c>
      <c r="AA105" s="96">
        <f>IF(Q105=0,0,IF(AND(OR(r_ini="",AND(ISNUMBER(E105),E105&gt;=r_ini)),OR(r_fim="",AND(ISNUMBER(E105),E105&lt;=r_fim)),OR(r_un="",r_un="(Todas)",IF(N(U105)&gt;0,INDEX('MTRs'!$G$6:$G$505,U105),"")=r_un),OR(r_de="",r_de="(Todos)",D105=r_de)),1,0))</f>
        <v>0</v>
      </c>
      <c r="AB105" s="96" t="str">
        <f>IF(AA105=1,COUNTIF($AA$6:AA105,1),"")</f>
        <v/>
      </c>
    </row>
    <row r="106">
      <c r="A106" s="89" t="inlineStr">
        <is>
          <t>REC-000101</t>
        </is>
      </c>
      <c r="B106" s="94" t="str">
        <f>IF(T106=1,INDEX('ITENS_MTR'!$S$6:$S$1005,S106)&amp;"","")</f>
        <v/>
      </c>
      <c r="C106" s="91" t="n"/>
      <c r="D106" s="94" t="str">
        <f>IF(N(U106)&gt;0,INDEX('MTRs'!$I$6:$I$505,U106)&amp;"","")</f>
        <v/>
      </c>
      <c r="E106" s="92" t="n"/>
      <c r="F106" s="98" t="n"/>
      <c r="G106" s="91" t="n"/>
      <c r="H106" s="93" t="str">
        <f>IF(Q106=0,"",IF(NOT(ISNUMBER(F106)),"",IF(ISNUMBER(W106),F106*W106,"UNIDADE A CONFERIR")))</f>
        <v/>
      </c>
      <c r="I106" s="91" t="n"/>
      <c r="J106" s="91" t="n"/>
      <c r="K106" s="92" t="n"/>
      <c r="L106" s="91" t="n"/>
      <c r="M106" s="91" t="n"/>
      <c r="N106" s="91" t="n"/>
      <c r="O106" s="91" t="n"/>
      <c r="P106" s="94" t="str">
        <f>IF(Q106=0,"",IF(C106="","Item de resíduo não informado",IF(T106=0,"Item inexistente (referência inválida)",IF(NOT(ISNUMBER(F106)),"Quantidade não informada",IF(F106&lt;=0,"Quantidade não positiva",IF(G106="","Unidade não informada",IF(NOT(ISNUMBER(H106)),"Unidade a conferir",IF(NOT(ISNUMBER(E106)),"Data de recebimento não informada",IF(AND(ISNUMBER(V106),N(V106)&gt;0,E106&lt;N(V106)),"Data anterior à emissão do MTR",IF(AND(J106="Sim",L106="",M106=""),"Conferido sem evidência identificada",IF(J106&lt;&gt;"Sim","Aguardando conferência",IF(INDEX('ITENS_MTR'!$AM$6:$AM$1005,S106)=1,"Conferido (ver diferença no item)","Conferido"))))))))))))</f>
        <v/>
      </c>
      <c r="Q106" s="96">
        <f>IF(COUNTA(C106,E106:G106,I106:O106)&gt;0,1,0)</f>
        <v>0</v>
      </c>
      <c r="R106" s="96" t="str">
        <f>IF(C106="","",TRIM(LEFT(C106,FIND(" |",C106&amp;" |")-1)))</f>
        <v/>
      </c>
      <c r="S106" s="96" t="str">
        <f>IF(R106="","",IFERROR(MATCH(R106,'ITENS_MTR'!$A$6:$A$1005,0),""))</f>
        <v/>
      </c>
      <c r="T106" s="96">
        <f>IF(S106="",0,IF(INDEX('ITENS_MTR'!$R$6:$R$1005,S106)=1,1,0))</f>
        <v>0</v>
      </c>
      <c r="U106" s="96" t="str">
        <f>IF(T106=1,INDEX('ITENS_MTR'!$T$6:$T$1005,S106),"")</f>
        <v/>
      </c>
      <c r="V106" s="97" t="str">
        <f>IF(N(U106)&gt;0,INDEX('MTRs'!$E$6:$E$505,U106),"")</f>
        <v/>
      </c>
      <c r="W106" s="96" t="str">
        <f>IF(G106="","",IFERROR(IF(ISNUMBER(INDEX(cfg_fac,MATCH(G106,cfg_units,0))),IF(INDEX(cfg_fac,MATCH(G106,cfg_units,0))&gt;0,INDEX(cfg_fac,MATCH(G106,cfg_units,0)),""),""),""))</f>
        <v/>
      </c>
      <c r="X106" s="96">
        <f>IF(AND(ISNUMBER(F106),ISNUMBER(H106)),IF(H106&gt;0,1,0),0)</f>
        <v>0</v>
      </c>
      <c r="Y106" s="96">
        <f>IF(Q106=0,0,IF(OR(T106=0,X106=0,NOT(ISNUMBER(E106)),AND(J106="Sim",L106="",M106=""),AND(ISNUMBER(E106),ISNUMBER(V106),N(V106)&gt;0,E106&lt;N(V106))),1,0))</f>
        <v>0</v>
      </c>
      <c r="Z106" s="96">
        <f>IF(AND(Q106=1,T106=1,X106=1,J106="Sim",OR(L106&lt;&gt;"",M106&lt;&gt;"")),1,0)</f>
        <v>0</v>
      </c>
      <c r="AA106" s="96">
        <f>IF(Q106=0,0,IF(AND(OR(r_ini="",AND(ISNUMBER(E106),E106&gt;=r_ini)),OR(r_fim="",AND(ISNUMBER(E106),E106&lt;=r_fim)),OR(r_un="",r_un="(Todas)",IF(N(U106)&gt;0,INDEX('MTRs'!$G$6:$G$505,U106),"")=r_un),OR(r_de="",r_de="(Todos)",D106=r_de)),1,0))</f>
        <v>0</v>
      </c>
      <c r="AB106" s="96" t="str">
        <f>IF(AA106=1,COUNTIF($AA$6:AA106,1),"")</f>
        <v/>
      </c>
    </row>
    <row r="107">
      <c r="A107" s="89" t="inlineStr">
        <is>
          <t>REC-000102</t>
        </is>
      </c>
      <c r="B107" s="94" t="str">
        <f>IF(T107=1,INDEX('ITENS_MTR'!$S$6:$S$1005,S107)&amp;"","")</f>
        <v/>
      </c>
      <c r="C107" s="91" t="n"/>
      <c r="D107" s="94" t="str">
        <f>IF(N(U107)&gt;0,INDEX('MTRs'!$I$6:$I$505,U107)&amp;"","")</f>
        <v/>
      </c>
      <c r="E107" s="92" t="n"/>
      <c r="F107" s="98" t="n"/>
      <c r="G107" s="91" t="n"/>
      <c r="H107" s="93" t="str">
        <f>IF(Q107=0,"",IF(NOT(ISNUMBER(F107)),"",IF(ISNUMBER(W107),F107*W107,"UNIDADE A CONFERIR")))</f>
        <v/>
      </c>
      <c r="I107" s="91" t="n"/>
      <c r="J107" s="91" t="n"/>
      <c r="K107" s="92" t="n"/>
      <c r="L107" s="91" t="n"/>
      <c r="M107" s="91" t="n"/>
      <c r="N107" s="91" t="n"/>
      <c r="O107" s="91" t="n"/>
      <c r="P107" s="94" t="str">
        <f>IF(Q107=0,"",IF(C107="","Item de resíduo não informado",IF(T107=0,"Item inexistente (referência inválida)",IF(NOT(ISNUMBER(F107)),"Quantidade não informada",IF(F107&lt;=0,"Quantidade não positiva",IF(G107="","Unidade não informada",IF(NOT(ISNUMBER(H107)),"Unidade a conferir",IF(NOT(ISNUMBER(E107)),"Data de recebimento não informada",IF(AND(ISNUMBER(V107),N(V107)&gt;0,E107&lt;N(V107)),"Data anterior à emissão do MTR",IF(AND(J107="Sim",L107="",M107=""),"Conferido sem evidência identificada",IF(J107&lt;&gt;"Sim","Aguardando conferência",IF(INDEX('ITENS_MTR'!$AM$6:$AM$1005,S107)=1,"Conferido (ver diferença no item)","Conferido"))))))))))))</f>
        <v/>
      </c>
      <c r="Q107" s="96">
        <f>IF(COUNTA(C107,E107:G107,I107:O107)&gt;0,1,0)</f>
        <v>0</v>
      </c>
      <c r="R107" s="96" t="str">
        <f>IF(C107="","",TRIM(LEFT(C107,FIND(" |",C107&amp;" |")-1)))</f>
        <v/>
      </c>
      <c r="S107" s="96" t="str">
        <f>IF(R107="","",IFERROR(MATCH(R107,'ITENS_MTR'!$A$6:$A$1005,0),""))</f>
        <v/>
      </c>
      <c r="T107" s="96">
        <f>IF(S107="",0,IF(INDEX('ITENS_MTR'!$R$6:$R$1005,S107)=1,1,0))</f>
        <v>0</v>
      </c>
      <c r="U107" s="96" t="str">
        <f>IF(T107=1,INDEX('ITENS_MTR'!$T$6:$T$1005,S107),"")</f>
        <v/>
      </c>
      <c r="V107" s="97" t="str">
        <f>IF(N(U107)&gt;0,INDEX('MTRs'!$E$6:$E$505,U107),"")</f>
        <v/>
      </c>
      <c r="W107" s="96" t="str">
        <f>IF(G107="","",IFERROR(IF(ISNUMBER(INDEX(cfg_fac,MATCH(G107,cfg_units,0))),IF(INDEX(cfg_fac,MATCH(G107,cfg_units,0))&gt;0,INDEX(cfg_fac,MATCH(G107,cfg_units,0)),""),""),""))</f>
        <v/>
      </c>
      <c r="X107" s="96">
        <f>IF(AND(ISNUMBER(F107),ISNUMBER(H107)),IF(H107&gt;0,1,0),0)</f>
        <v>0</v>
      </c>
      <c r="Y107" s="96">
        <f>IF(Q107=0,0,IF(OR(T107=0,X107=0,NOT(ISNUMBER(E107)),AND(J107="Sim",L107="",M107=""),AND(ISNUMBER(E107),ISNUMBER(V107),N(V107)&gt;0,E107&lt;N(V107))),1,0))</f>
        <v>0</v>
      </c>
      <c r="Z107" s="96">
        <f>IF(AND(Q107=1,T107=1,X107=1,J107="Sim",OR(L107&lt;&gt;"",M107&lt;&gt;"")),1,0)</f>
        <v>0</v>
      </c>
      <c r="AA107" s="96">
        <f>IF(Q107=0,0,IF(AND(OR(r_ini="",AND(ISNUMBER(E107),E107&gt;=r_ini)),OR(r_fim="",AND(ISNUMBER(E107),E107&lt;=r_fim)),OR(r_un="",r_un="(Todas)",IF(N(U107)&gt;0,INDEX('MTRs'!$G$6:$G$505,U107),"")=r_un),OR(r_de="",r_de="(Todos)",D107=r_de)),1,0))</f>
        <v>0</v>
      </c>
      <c r="AB107" s="96" t="str">
        <f>IF(AA107=1,COUNTIF($AA$6:AA107,1),"")</f>
        <v/>
      </c>
    </row>
    <row r="108">
      <c r="A108" s="89" t="inlineStr">
        <is>
          <t>REC-000103</t>
        </is>
      </c>
      <c r="B108" s="94" t="str">
        <f>IF(T108=1,INDEX('ITENS_MTR'!$S$6:$S$1005,S108)&amp;"","")</f>
        <v/>
      </c>
      <c r="C108" s="91" t="n"/>
      <c r="D108" s="94" t="str">
        <f>IF(N(U108)&gt;0,INDEX('MTRs'!$I$6:$I$505,U108)&amp;"","")</f>
        <v/>
      </c>
      <c r="E108" s="92" t="n"/>
      <c r="F108" s="98" t="n"/>
      <c r="G108" s="91" t="n"/>
      <c r="H108" s="93" t="str">
        <f>IF(Q108=0,"",IF(NOT(ISNUMBER(F108)),"",IF(ISNUMBER(W108),F108*W108,"UNIDADE A CONFERIR")))</f>
        <v/>
      </c>
      <c r="I108" s="91" t="n"/>
      <c r="J108" s="91" t="n"/>
      <c r="K108" s="92" t="n"/>
      <c r="L108" s="91" t="n"/>
      <c r="M108" s="91" t="n"/>
      <c r="N108" s="91" t="n"/>
      <c r="O108" s="91" t="n"/>
      <c r="P108" s="94" t="str">
        <f>IF(Q108=0,"",IF(C108="","Item de resíduo não informado",IF(T108=0,"Item inexistente (referência inválida)",IF(NOT(ISNUMBER(F108)),"Quantidade não informada",IF(F108&lt;=0,"Quantidade não positiva",IF(G108="","Unidade não informada",IF(NOT(ISNUMBER(H108)),"Unidade a conferir",IF(NOT(ISNUMBER(E108)),"Data de recebimento não informada",IF(AND(ISNUMBER(V108),N(V108)&gt;0,E108&lt;N(V108)),"Data anterior à emissão do MTR",IF(AND(J108="Sim",L108="",M108=""),"Conferido sem evidência identificada",IF(J108&lt;&gt;"Sim","Aguardando conferência",IF(INDEX('ITENS_MTR'!$AM$6:$AM$1005,S108)=1,"Conferido (ver diferença no item)","Conferido"))))))))))))</f>
        <v/>
      </c>
      <c r="Q108" s="96">
        <f>IF(COUNTA(C108,E108:G108,I108:O108)&gt;0,1,0)</f>
        <v>0</v>
      </c>
      <c r="R108" s="96" t="str">
        <f>IF(C108="","",TRIM(LEFT(C108,FIND(" |",C108&amp;" |")-1)))</f>
        <v/>
      </c>
      <c r="S108" s="96" t="str">
        <f>IF(R108="","",IFERROR(MATCH(R108,'ITENS_MTR'!$A$6:$A$1005,0),""))</f>
        <v/>
      </c>
      <c r="T108" s="96">
        <f>IF(S108="",0,IF(INDEX('ITENS_MTR'!$R$6:$R$1005,S108)=1,1,0))</f>
        <v>0</v>
      </c>
      <c r="U108" s="96" t="str">
        <f>IF(T108=1,INDEX('ITENS_MTR'!$T$6:$T$1005,S108),"")</f>
        <v/>
      </c>
      <c r="V108" s="97" t="str">
        <f>IF(N(U108)&gt;0,INDEX('MTRs'!$E$6:$E$505,U108),"")</f>
        <v/>
      </c>
      <c r="W108" s="96" t="str">
        <f>IF(G108="","",IFERROR(IF(ISNUMBER(INDEX(cfg_fac,MATCH(G108,cfg_units,0))),IF(INDEX(cfg_fac,MATCH(G108,cfg_units,0))&gt;0,INDEX(cfg_fac,MATCH(G108,cfg_units,0)),""),""),""))</f>
        <v/>
      </c>
      <c r="X108" s="96">
        <f>IF(AND(ISNUMBER(F108),ISNUMBER(H108)),IF(H108&gt;0,1,0),0)</f>
        <v>0</v>
      </c>
      <c r="Y108" s="96">
        <f>IF(Q108=0,0,IF(OR(T108=0,X108=0,NOT(ISNUMBER(E108)),AND(J108="Sim",L108="",M108=""),AND(ISNUMBER(E108),ISNUMBER(V108),N(V108)&gt;0,E108&lt;N(V108))),1,0))</f>
        <v>0</v>
      </c>
      <c r="Z108" s="96">
        <f>IF(AND(Q108=1,T108=1,X108=1,J108="Sim",OR(L108&lt;&gt;"",M108&lt;&gt;"")),1,0)</f>
        <v>0</v>
      </c>
      <c r="AA108" s="96">
        <f>IF(Q108=0,0,IF(AND(OR(r_ini="",AND(ISNUMBER(E108),E108&gt;=r_ini)),OR(r_fim="",AND(ISNUMBER(E108),E108&lt;=r_fim)),OR(r_un="",r_un="(Todas)",IF(N(U108)&gt;0,INDEX('MTRs'!$G$6:$G$505,U108),"")=r_un),OR(r_de="",r_de="(Todos)",D108=r_de)),1,0))</f>
        <v>0</v>
      </c>
      <c r="AB108" s="96" t="str">
        <f>IF(AA108=1,COUNTIF($AA$6:AA108,1),"")</f>
        <v/>
      </c>
    </row>
    <row r="109">
      <c r="A109" s="89" t="inlineStr">
        <is>
          <t>REC-000104</t>
        </is>
      </c>
      <c r="B109" s="94" t="str">
        <f>IF(T109=1,INDEX('ITENS_MTR'!$S$6:$S$1005,S109)&amp;"","")</f>
        <v/>
      </c>
      <c r="C109" s="91" t="n"/>
      <c r="D109" s="94" t="str">
        <f>IF(N(U109)&gt;0,INDEX('MTRs'!$I$6:$I$505,U109)&amp;"","")</f>
        <v/>
      </c>
      <c r="E109" s="92" t="n"/>
      <c r="F109" s="98" t="n"/>
      <c r="G109" s="91" t="n"/>
      <c r="H109" s="93" t="str">
        <f>IF(Q109=0,"",IF(NOT(ISNUMBER(F109)),"",IF(ISNUMBER(W109),F109*W109,"UNIDADE A CONFERIR")))</f>
        <v/>
      </c>
      <c r="I109" s="91" t="n"/>
      <c r="J109" s="91" t="n"/>
      <c r="K109" s="92" t="n"/>
      <c r="L109" s="91" t="n"/>
      <c r="M109" s="91" t="n"/>
      <c r="N109" s="91" t="n"/>
      <c r="O109" s="91" t="n"/>
      <c r="P109" s="94" t="str">
        <f>IF(Q109=0,"",IF(C109="","Item de resíduo não informado",IF(T109=0,"Item inexistente (referência inválida)",IF(NOT(ISNUMBER(F109)),"Quantidade não informada",IF(F109&lt;=0,"Quantidade não positiva",IF(G109="","Unidade não informada",IF(NOT(ISNUMBER(H109)),"Unidade a conferir",IF(NOT(ISNUMBER(E109)),"Data de recebimento não informada",IF(AND(ISNUMBER(V109),N(V109)&gt;0,E109&lt;N(V109)),"Data anterior à emissão do MTR",IF(AND(J109="Sim",L109="",M109=""),"Conferido sem evidência identificada",IF(J109&lt;&gt;"Sim","Aguardando conferência",IF(INDEX('ITENS_MTR'!$AM$6:$AM$1005,S109)=1,"Conferido (ver diferença no item)","Conferido"))))))))))))</f>
        <v/>
      </c>
      <c r="Q109" s="96">
        <f>IF(COUNTA(C109,E109:G109,I109:O109)&gt;0,1,0)</f>
        <v>0</v>
      </c>
      <c r="R109" s="96" t="str">
        <f>IF(C109="","",TRIM(LEFT(C109,FIND(" |",C109&amp;" |")-1)))</f>
        <v/>
      </c>
      <c r="S109" s="96" t="str">
        <f>IF(R109="","",IFERROR(MATCH(R109,'ITENS_MTR'!$A$6:$A$1005,0),""))</f>
        <v/>
      </c>
      <c r="T109" s="96">
        <f>IF(S109="",0,IF(INDEX('ITENS_MTR'!$R$6:$R$1005,S109)=1,1,0))</f>
        <v>0</v>
      </c>
      <c r="U109" s="96" t="str">
        <f>IF(T109=1,INDEX('ITENS_MTR'!$T$6:$T$1005,S109),"")</f>
        <v/>
      </c>
      <c r="V109" s="97" t="str">
        <f>IF(N(U109)&gt;0,INDEX('MTRs'!$E$6:$E$505,U109),"")</f>
        <v/>
      </c>
      <c r="W109" s="96" t="str">
        <f>IF(G109="","",IFERROR(IF(ISNUMBER(INDEX(cfg_fac,MATCH(G109,cfg_units,0))),IF(INDEX(cfg_fac,MATCH(G109,cfg_units,0))&gt;0,INDEX(cfg_fac,MATCH(G109,cfg_units,0)),""),""),""))</f>
        <v/>
      </c>
      <c r="X109" s="96">
        <f>IF(AND(ISNUMBER(F109),ISNUMBER(H109)),IF(H109&gt;0,1,0),0)</f>
        <v>0</v>
      </c>
      <c r="Y109" s="96">
        <f>IF(Q109=0,0,IF(OR(T109=0,X109=0,NOT(ISNUMBER(E109)),AND(J109="Sim",L109="",M109=""),AND(ISNUMBER(E109),ISNUMBER(V109),N(V109)&gt;0,E109&lt;N(V109))),1,0))</f>
        <v>0</v>
      </c>
      <c r="Z109" s="96">
        <f>IF(AND(Q109=1,T109=1,X109=1,J109="Sim",OR(L109&lt;&gt;"",M109&lt;&gt;"")),1,0)</f>
        <v>0</v>
      </c>
      <c r="AA109" s="96">
        <f>IF(Q109=0,0,IF(AND(OR(r_ini="",AND(ISNUMBER(E109),E109&gt;=r_ini)),OR(r_fim="",AND(ISNUMBER(E109),E109&lt;=r_fim)),OR(r_un="",r_un="(Todas)",IF(N(U109)&gt;0,INDEX('MTRs'!$G$6:$G$505,U109),"")=r_un),OR(r_de="",r_de="(Todos)",D109=r_de)),1,0))</f>
        <v>0</v>
      </c>
      <c r="AB109" s="96" t="str">
        <f>IF(AA109=1,COUNTIF($AA$6:AA109,1),"")</f>
        <v/>
      </c>
    </row>
    <row r="110">
      <c r="A110" s="89" t="inlineStr">
        <is>
          <t>REC-000105</t>
        </is>
      </c>
      <c r="B110" s="94" t="str">
        <f>IF(T110=1,INDEX('ITENS_MTR'!$S$6:$S$1005,S110)&amp;"","")</f>
        <v/>
      </c>
      <c r="C110" s="91" t="n"/>
      <c r="D110" s="94" t="str">
        <f>IF(N(U110)&gt;0,INDEX('MTRs'!$I$6:$I$505,U110)&amp;"","")</f>
        <v/>
      </c>
      <c r="E110" s="92" t="n"/>
      <c r="F110" s="98" t="n"/>
      <c r="G110" s="91" t="n"/>
      <c r="H110" s="93" t="str">
        <f>IF(Q110=0,"",IF(NOT(ISNUMBER(F110)),"",IF(ISNUMBER(W110),F110*W110,"UNIDADE A CONFERIR")))</f>
        <v/>
      </c>
      <c r="I110" s="91" t="n"/>
      <c r="J110" s="91" t="n"/>
      <c r="K110" s="92" t="n"/>
      <c r="L110" s="91" t="n"/>
      <c r="M110" s="91" t="n"/>
      <c r="N110" s="91" t="n"/>
      <c r="O110" s="91" t="n"/>
      <c r="P110" s="94" t="str">
        <f>IF(Q110=0,"",IF(C110="","Item de resíduo não informado",IF(T110=0,"Item inexistente (referência inválida)",IF(NOT(ISNUMBER(F110)),"Quantidade não informada",IF(F110&lt;=0,"Quantidade não positiva",IF(G110="","Unidade não informada",IF(NOT(ISNUMBER(H110)),"Unidade a conferir",IF(NOT(ISNUMBER(E110)),"Data de recebimento não informada",IF(AND(ISNUMBER(V110),N(V110)&gt;0,E110&lt;N(V110)),"Data anterior à emissão do MTR",IF(AND(J110="Sim",L110="",M110=""),"Conferido sem evidência identificada",IF(J110&lt;&gt;"Sim","Aguardando conferência",IF(INDEX('ITENS_MTR'!$AM$6:$AM$1005,S110)=1,"Conferido (ver diferença no item)","Conferido"))))))))))))</f>
        <v/>
      </c>
      <c r="Q110" s="96">
        <f>IF(COUNTA(C110,E110:G110,I110:O110)&gt;0,1,0)</f>
        <v>0</v>
      </c>
      <c r="R110" s="96" t="str">
        <f>IF(C110="","",TRIM(LEFT(C110,FIND(" |",C110&amp;" |")-1)))</f>
        <v/>
      </c>
      <c r="S110" s="96" t="str">
        <f>IF(R110="","",IFERROR(MATCH(R110,'ITENS_MTR'!$A$6:$A$1005,0),""))</f>
        <v/>
      </c>
      <c r="T110" s="96">
        <f>IF(S110="",0,IF(INDEX('ITENS_MTR'!$R$6:$R$1005,S110)=1,1,0))</f>
        <v>0</v>
      </c>
      <c r="U110" s="96" t="str">
        <f>IF(T110=1,INDEX('ITENS_MTR'!$T$6:$T$1005,S110),"")</f>
        <v/>
      </c>
      <c r="V110" s="97" t="str">
        <f>IF(N(U110)&gt;0,INDEX('MTRs'!$E$6:$E$505,U110),"")</f>
        <v/>
      </c>
      <c r="W110" s="96" t="str">
        <f>IF(G110="","",IFERROR(IF(ISNUMBER(INDEX(cfg_fac,MATCH(G110,cfg_units,0))),IF(INDEX(cfg_fac,MATCH(G110,cfg_units,0))&gt;0,INDEX(cfg_fac,MATCH(G110,cfg_units,0)),""),""),""))</f>
        <v/>
      </c>
      <c r="X110" s="96">
        <f>IF(AND(ISNUMBER(F110),ISNUMBER(H110)),IF(H110&gt;0,1,0),0)</f>
        <v>0</v>
      </c>
      <c r="Y110" s="96">
        <f>IF(Q110=0,0,IF(OR(T110=0,X110=0,NOT(ISNUMBER(E110)),AND(J110="Sim",L110="",M110=""),AND(ISNUMBER(E110),ISNUMBER(V110),N(V110)&gt;0,E110&lt;N(V110))),1,0))</f>
        <v>0</v>
      </c>
      <c r="Z110" s="96">
        <f>IF(AND(Q110=1,T110=1,X110=1,J110="Sim",OR(L110&lt;&gt;"",M110&lt;&gt;"")),1,0)</f>
        <v>0</v>
      </c>
      <c r="AA110" s="96">
        <f>IF(Q110=0,0,IF(AND(OR(r_ini="",AND(ISNUMBER(E110),E110&gt;=r_ini)),OR(r_fim="",AND(ISNUMBER(E110),E110&lt;=r_fim)),OR(r_un="",r_un="(Todas)",IF(N(U110)&gt;0,INDEX('MTRs'!$G$6:$G$505,U110),"")=r_un),OR(r_de="",r_de="(Todos)",D110=r_de)),1,0))</f>
        <v>0</v>
      </c>
      <c r="AB110" s="96" t="str">
        <f>IF(AA110=1,COUNTIF($AA$6:AA110,1),"")</f>
        <v/>
      </c>
    </row>
    <row r="111">
      <c r="A111" s="89" t="inlineStr">
        <is>
          <t>REC-000106</t>
        </is>
      </c>
      <c r="B111" s="94" t="str">
        <f>IF(T111=1,INDEX('ITENS_MTR'!$S$6:$S$1005,S111)&amp;"","")</f>
        <v/>
      </c>
      <c r="C111" s="91" t="n"/>
      <c r="D111" s="94" t="str">
        <f>IF(N(U111)&gt;0,INDEX('MTRs'!$I$6:$I$505,U111)&amp;"","")</f>
        <v/>
      </c>
      <c r="E111" s="92" t="n"/>
      <c r="F111" s="98" t="n"/>
      <c r="G111" s="91" t="n"/>
      <c r="H111" s="93" t="str">
        <f>IF(Q111=0,"",IF(NOT(ISNUMBER(F111)),"",IF(ISNUMBER(W111),F111*W111,"UNIDADE A CONFERIR")))</f>
        <v/>
      </c>
      <c r="I111" s="91" t="n"/>
      <c r="J111" s="91" t="n"/>
      <c r="K111" s="92" t="n"/>
      <c r="L111" s="91" t="n"/>
      <c r="M111" s="91" t="n"/>
      <c r="N111" s="91" t="n"/>
      <c r="O111" s="91" t="n"/>
      <c r="P111" s="94" t="str">
        <f>IF(Q111=0,"",IF(C111="","Item de resíduo não informado",IF(T111=0,"Item inexistente (referência inválida)",IF(NOT(ISNUMBER(F111)),"Quantidade não informada",IF(F111&lt;=0,"Quantidade não positiva",IF(G111="","Unidade não informada",IF(NOT(ISNUMBER(H111)),"Unidade a conferir",IF(NOT(ISNUMBER(E111)),"Data de recebimento não informada",IF(AND(ISNUMBER(V111),N(V111)&gt;0,E111&lt;N(V111)),"Data anterior à emissão do MTR",IF(AND(J111="Sim",L111="",M111=""),"Conferido sem evidência identificada",IF(J111&lt;&gt;"Sim","Aguardando conferência",IF(INDEX('ITENS_MTR'!$AM$6:$AM$1005,S111)=1,"Conferido (ver diferença no item)","Conferido"))))))))))))</f>
        <v/>
      </c>
      <c r="Q111" s="96">
        <f>IF(COUNTA(C111,E111:G111,I111:O111)&gt;0,1,0)</f>
        <v>0</v>
      </c>
      <c r="R111" s="96" t="str">
        <f>IF(C111="","",TRIM(LEFT(C111,FIND(" |",C111&amp;" |")-1)))</f>
        <v/>
      </c>
      <c r="S111" s="96" t="str">
        <f>IF(R111="","",IFERROR(MATCH(R111,'ITENS_MTR'!$A$6:$A$1005,0),""))</f>
        <v/>
      </c>
      <c r="T111" s="96">
        <f>IF(S111="",0,IF(INDEX('ITENS_MTR'!$R$6:$R$1005,S111)=1,1,0))</f>
        <v>0</v>
      </c>
      <c r="U111" s="96" t="str">
        <f>IF(T111=1,INDEX('ITENS_MTR'!$T$6:$T$1005,S111),"")</f>
        <v/>
      </c>
      <c r="V111" s="97" t="str">
        <f>IF(N(U111)&gt;0,INDEX('MTRs'!$E$6:$E$505,U111),"")</f>
        <v/>
      </c>
      <c r="W111" s="96" t="str">
        <f>IF(G111="","",IFERROR(IF(ISNUMBER(INDEX(cfg_fac,MATCH(G111,cfg_units,0))),IF(INDEX(cfg_fac,MATCH(G111,cfg_units,0))&gt;0,INDEX(cfg_fac,MATCH(G111,cfg_units,0)),""),""),""))</f>
        <v/>
      </c>
      <c r="X111" s="96">
        <f>IF(AND(ISNUMBER(F111),ISNUMBER(H111)),IF(H111&gt;0,1,0),0)</f>
        <v>0</v>
      </c>
      <c r="Y111" s="96">
        <f>IF(Q111=0,0,IF(OR(T111=0,X111=0,NOT(ISNUMBER(E111)),AND(J111="Sim",L111="",M111=""),AND(ISNUMBER(E111),ISNUMBER(V111),N(V111)&gt;0,E111&lt;N(V111))),1,0))</f>
        <v>0</v>
      </c>
      <c r="Z111" s="96">
        <f>IF(AND(Q111=1,T111=1,X111=1,J111="Sim",OR(L111&lt;&gt;"",M111&lt;&gt;"")),1,0)</f>
        <v>0</v>
      </c>
      <c r="AA111" s="96">
        <f>IF(Q111=0,0,IF(AND(OR(r_ini="",AND(ISNUMBER(E111),E111&gt;=r_ini)),OR(r_fim="",AND(ISNUMBER(E111),E111&lt;=r_fim)),OR(r_un="",r_un="(Todas)",IF(N(U111)&gt;0,INDEX('MTRs'!$G$6:$G$505,U111),"")=r_un),OR(r_de="",r_de="(Todos)",D111=r_de)),1,0))</f>
        <v>0</v>
      </c>
      <c r="AB111" s="96" t="str">
        <f>IF(AA111=1,COUNTIF($AA$6:AA111,1),"")</f>
        <v/>
      </c>
    </row>
    <row r="112">
      <c r="A112" s="89" t="inlineStr">
        <is>
          <t>REC-000107</t>
        </is>
      </c>
      <c r="B112" s="94" t="str">
        <f>IF(T112=1,INDEX('ITENS_MTR'!$S$6:$S$1005,S112)&amp;"","")</f>
        <v/>
      </c>
      <c r="C112" s="91" t="n"/>
      <c r="D112" s="94" t="str">
        <f>IF(N(U112)&gt;0,INDEX('MTRs'!$I$6:$I$505,U112)&amp;"","")</f>
        <v/>
      </c>
      <c r="E112" s="92" t="n"/>
      <c r="F112" s="98" t="n"/>
      <c r="G112" s="91" t="n"/>
      <c r="H112" s="93" t="str">
        <f>IF(Q112=0,"",IF(NOT(ISNUMBER(F112)),"",IF(ISNUMBER(W112),F112*W112,"UNIDADE A CONFERIR")))</f>
        <v/>
      </c>
      <c r="I112" s="91" t="n"/>
      <c r="J112" s="91" t="n"/>
      <c r="K112" s="92" t="n"/>
      <c r="L112" s="91" t="n"/>
      <c r="M112" s="91" t="n"/>
      <c r="N112" s="91" t="n"/>
      <c r="O112" s="91" t="n"/>
      <c r="P112" s="94" t="str">
        <f>IF(Q112=0,"",IF(C112="","Item de resíduo não informado",IF(T112=0,"Item inexistente (referência inválida)",IF(NOT(ISNUMBER(F112)),"Quantidade não informada",IF(F112&lt;=0,"Quantidade não positiva",IF(G112="","Unidade não informada",IF(NOT(ISNUMBER(H112)),"Unidade a conferir",IF(NOT(ISNUMBER(E112)),"Data de recebimento não informada",IF(AND(ISNUMBER(V112),N(V112)&gt;0,E112&lt;N(V112)),"Data anterior à emissão do MTR",IF(AND(J112="Sim",L112="",M112=""),"Conferido sem evidência identificada",IF(J112&lt;&gt;"Sim","Aguardando conferência",IF(INDEX('ITENS_MTR'!$AM$6:$AM$1005,S112)=1,"Conferido (ver diferença no item)","Conferido"))))))))))))</f>
        <v/>
      </c>
      <c r="Q112" s="96">
        <f>IF(COUNTA(C112,E112:G112,I112:O112)&gt;0,1,0)</f>
        <v>0</v>
      </c>
      <c r="R112" s="96" t="str">
        <f>IF(C112="","",TRIM(LEFT(C112,FIND(" |",C112&amp;" |")-1)))</f>
        <v/>
      </c>
      <c r="S112" s="96" t="str">
        <f>IF(R112="","",IFERROR(MATCH(R112,'ITENS_MTR'!$A$6:$A$1005,0),""))</f>
        <v/>
      </c>
      <c r="T112" s="96">
        <f>IF(S112="",0,IF(INDEX('ITENS_MTR'!$R$6:$R$1005,S112)=1,1,0))</f>
        <v>0</v>
      </c>
      <c r="U112" s="96" t="str">
        <f>IF(T112=1,INDEX('ITENS_MTR'!$T$6:$T$1005,S112),"")</f>
        <v/>
      </c>
      <c r="V112" s="97" t="str">
        <f>IF(N(U112)&gt;0,INDEX('MTRs'!$E$6:$E$505,U112),"")</f>
        <v/>
      </c>
      <c r="W112" s="96" t="str">
        <f>IF(G112="","",IFERROR(IF(ISNUMBER(INDEX(cfg_fac,MATCH(G112,cfg_units,0))),IF(INDEX(cfg_fac,MATCH(G112,cfg_units,0))&gt;0,INDEX(cfg_fac,MATCH(G112,cfg_units,0)),""),""),""))</f>
        <v/>
      </c>
      <c r="X112" s="96">
        <f>IF(AND(ISNUMBER(F112),ISNUMBER(H112)),IF(H112&gt;0,1,0),0)</f>
        <v>0</v>
      </c>
      <c r="Y112" s="96">
        <f>IF(Q112=0,0,IF(OR(T112=0,X112=0,NOT(ISNUMBER(E112)),AND(J112="Sim",L112="",M112=""),AND(ISNUMBER(E112),ISNUMBER(V112),N(V112)&gt;0,E112&lt;N(V112))),1,0))</f>
        <v>0</v>
      </c>
      <c r="Z112" s="96">
        <f>IF(AND(Q112=1,T112=1,X112=1,J112="Sim",OR(L112&lt;&gt;"",M112&lt;&gt;"")),1,0)</f>
        <v>0</v>
      </c>
      <c r="AA112" s="96">
        <f>IF(Q112=0,0,IF(AND(OR(r_ini="",AND(ISNUMBER(E112),E112&gt;=r_ini)),OR(r_fim="",AND(ISNUMBER(E112),E112&lt;=r_fim)),OR(r_un="",r_un="(Todas)",IF(N(U112)&gt;0,INDEX('MTRs'!$G$6:$G$505,U112),"")=r_un),OR(r_de="",r_de="(Todos)",D112=r_de)),1,0))</f>
        <v>0</v>
      </c>
      <c r="AB112" s="96" t="str">
        <f>IF(AA112=1,COUNTIF($AA$6:AA112,1),"")</f>
        <v/>
      </c>
    </row>
    <row r="113">
      <c r="A113" s="89" t="inlineStr">
        <is>
          <t>REC-000108</t>
        </is>
      </c>
      <c r="B113" s="94" t="str">
        <f>IF(T113=1,INDEX('ITENS_MTR'!$S$6:$S$1005,S113)&amp;"","")</f>
        <v/>
      </c>
      <c r="C113" s="91" t="n"/>
      <c r="D113" s="94" t="str">
        <f>IF(N(U113)&gt;0,INDEX('MTRs'!$I$6:$I$505,U113)&amp;"","")</f>
        <v/>
      </c>
      <c r="E113" s="92" t="n"/>
      <c r="F113" s="98" t="n"/>
      <c r="G113" s="91" t="n"/>
      <c r="H113" s="93" t="str">
        <f>IF(Q113=0,"",IF(NOT(ISNUMBER(F113)),"",IF(ISNUMBER(W113),F113*W113,"UNIDADE A CONFERIR")))</f>
        <v/>
      </c>
      <c r="I113" s="91" t="n"/>
      <c r="J113" s="91" t="n"/>
      <c r="K113" s="92" t="n"/>
      <c r="L113" s="91" t="n"/>
      <c r="M113" s="91" t="n"/>
      <c r="N113" s="91" t="n"/>
      <c r="O113" s="91" t="n"/>
      <c r="P113" s="94" t="str">
        <f>IF(Q113=0,"",IF(C113="","Item de resíduo não informado",IF(T113=0,"Item inexistente (referência inválida)",IF(NOT(ISNUMBER(F113)),"Quantidade não informada",IF(F113&lt;=0,"Quantidade não positiva",IF(G113="","Unidade não informada",IF(NOT(ISNUMBER(H113)),"Unidade a conferir",IF(NOT(ISNUMBER(E113)),"Data de recebimento não informada",IF(AND(ISNUMBER(V113),N(V113)&gt;0,E113&lt;N(V113)),"Data anterior à emissão do MTR",IF(AND(J113="Sim",L113="",M113=""),"Conferido sem evidência identificada",IF(J113&lt;&gt;"Sim","Aguardando conferência",IF(INDEX('ITENS_MTR'!$AM$6:$AM$1005,S113)=1,"Conferido (ver diferença no item)","Conferido"))))))))))))</f>
        <v/>
      </c>
      <c r="Q113" s="96">
        <f>IF(COUNTA(C113,E113:G113,I113:O113)&gt;0,1,0)</f>
        <v>0</v>
      </c>
      <c r="R113" s="96" t="str">
        <f>IF(C113="","",TRIM(LEFT(C113,FIND(" |",C113&amp;" |")-1)))</f>
        <v/>
      </c>
      <c r="S113" s="96" t="str">
        <f>IF(R113="","",IFERROR(MATCH(R113,'ITENS_MTR'!$A$6:$A$1005,0),""))</f>
        <v/>
      </c>
      <c r="T113" s="96">
        <f>IF(S113="",0,IF(INDEX('ITENS_MTR'!$R$6:$R$1005,S113)=1,1,0))</f>
        <v>0</v>
      </c>
      <c r="U113" s="96" t="str">
        <f>IF(T113=1,INDEX('ITENS_MTR'!$T$6:$T$1005,S113),"")</f>
        <v/>
      </c>
      <c r="V113" s="97" t="str">
        <f>IF(N(U113)&gt;0,INDEX('MTRs'!$E$6:$E$505,U113),"")</f>
        <v/>
      </c>
      <c r="W113" s="96" t="str">
        <f>IF(G113="","",IFERROR(IF(ISNUMBER(INDEX(cfg_fac,MATCH(G113,cfg_units,0))),IF(INDEX(cfg_fac,MATCH(G113,cfg_units,0))&gt;0,INDEX(cfg_fac,MATCH(G113,cfg_units,0)),""),""),""))</f>
        <v/>
      </c>
      <c r="X113" s="96">
        <f>IF(AND(ISNUMBER(F113),ISNUMBER(H113)),IF(H113&gt;0,1,0),0)</f>
        <v>0</v>
      </c>
      <c r="Y113" s="96">
        <f>IF(Q113=0,0,IF(OR(T113=0,X113=0,NOT(ISNUMBER(E113)),AND(J113="Sim",L113="",M113=""),AND(ISNUMBER(E113),ISNUMBER(V113),N(V113)&gt;0,E113&lt;N(V113))),1,0))</f>
        <v>0</v>
      </c>
      <c r="Z113" s="96">
        <f>IF(AND(Q113=1,T113=1,X113=1,J113="Sim",OR(L113&lt;&gt;"",M113&lt;&gt;"")),1,0)</f>
        <v>0</v>
      </c>
      <c r="AA113" s="96">
        <f>IF(Q113=0,0,IF(AND(OR(r_ini="",AND(ISNUMBER(E113),E113&gt;=r_ini)),OR(r_fim="",AND(ISNUMBER(E113),E113&lt;=r_fim)),OR(r_un="",r_un="(Todas)",IF(N(U113)&gt;0,INDEX('MTRs'!$G$6:$G$505,U113),"")=r_un),OR(r_de="",r_de="(Todos)",D113=r_de)),1,0))</f>
        <v>0</v>
      </c>
      <c r="AB113" s="96" t="str">
        <f>IF(AA113=1,COUNTIF($AA$6:AA113,1),"")</f>
        <v/>
      </c>
    </row>
    <row r="114">
      <c r="A114" s="89" t="inlineStr">
        <is>
          <t>REC-000109</t>
        </is>
      </c>
      <c r="B114" s="94" t="str">
        <f>IF(T114=1,INDEX('ITENS_MTR'!$S$6:$S$1005,S114)&amp;"","")</f>
        <v/>
      </c>
      <c r="C114" s="91" t="n"/>
      <c r="D114" s="94" t="str">
        <f>IF(N(U114)&gt;0,INDEX('MTRs'!$I$6:$I$505,U114)&amp;"","")</f>
        <v/>
      </c>
      <c r="E114" s="92" t="n"/>
      <c r="F114" s="98" t="n"/>
      <c r="G114" s="91" t="n"/>
      <c r="H114" s="93" t="str">
        <f>IF(Q114=0,"",IF(NOT(ISNUMBER(F114)),"",IF(ISNUMBER(W114),F114*W114,"UNIDADE A CONFERIR")))</f>
        <v/>
      </c>
      <c r="I114" s="91" t="n"/>
      <c r="J114" s="91" t="n"/>
      <c r="K114" s="92" t="n"/>
      <c r="L114" s="91" t="n"/>
      <c r="M114" s="91" t="n"/>
      <c r="N114" s="91" t="n"/>
      <c r="O114" s="91" t="n"/>
      <c r="P114" s="94" t="str">
        <f>IF(Q114=0,"",IF(C114="","Item de resíduo não informado",IF(T114=0,"Item inexistente (referência inválida)",IF(NOT(ISNUMBER(F114)),"Quantidade não informada",IF(F114&lt;=0,"Quantidade não positiva",IF(G114="","Unidade não informada",IF(NOT(ISNUMBER(H114)),"Unidade a conferir",IF(NOT(ISNUMBER(E114)),"Data de recebimento não informada",IF(AND(ISNUMBER(V114),N(V114)&gt;0,E114&lt;N(V114)),"Data anterior à emissão do MTR",IF(AND(J114="Sim",L114="",M114=""),"Conferido sem evidência identificada",IF(J114&lt;&gt;"Sim","Aguardando conferência",IF(INDEX('ITENS_MTR'!$AM$6:$AM$1005,S114)=1,"Conferido (ver diferença no item)","Conferido"))))))))))))</f>
        <v/>
      </c>
      <c r="Q114" s="96">
        <f>IF(COUNTA(C114,E114:G114,I114:O114)&gt;0,1,0)</f>
        <v>0</v>
      </c>
      <c r="R114" s="96" t="str">
        <f>IF(C114="","",TRIM(LEFT(C114,FIND(" |",C114&amp;" |")-1)))</f>
        <v/>
      </c>
      <c r="S114" s="96" t="str">
        <f>IF(R114="","",IFERROR(MATCH(R114,'ITENS_MTR'!$A$6:$A$1005,0),""))</f>
        <v/>
      </c>
      <c r="T114" s="96">
        <f>IF(S114="",0,IF(INDEX('ITENS_MTR'!$R$6:$R$1005,S114)=1,1,0))</f>
        <v>0</v>
      </c>
      <c r="U114" s="96" t="str">
        <f>IF(T114=1,INDEX('ITENS_MTR'!$T$6:$T$1005,S114),"")</f>
        <v/>
      </c>
      <c r="V114" s="97" t="str">
        <f>IF(N(U114)&gt;0,INDEX('MTRs'!$E$6:$E$505,U114),"")</f>
        <v/>
      </c>
      <c r="W114" s="96" t="str">
        <f>IF(G114="","",IFERROR(IF(ISNUMBER(INDEX(cfg_fac,MATCH(G114,cfg_units,0))),IF(INDEX(cfg_fac,MATCH(G114,cfg_units,0))&gt;0,INDEX(cfg_fac,MATCH(G114,cfg_units,0)),""),""),""))</f>
        <v/>
      </c>
      <c r="X114" s="96">
        <f>IF(AND(ISNUMBER(F114),ISNUMBER(H114)),IF(H114&gt;0,1,0),0)</f>
        <v>0</v>
      </c>
      <c r="Y114" s="96">
        <f>IF(Q114=0,0,IF(OR(T114=0,X114=0,NOT(ISNUMBER(E114)),AND(J114="Sim",L114="",M114=""),AND(ISNUMBER(E114),ISNUMBER(V114),N(V114)&gt;0,E114&lt;N(V114))),1,0))</f>
        <v>0</v>
      </c>
      <c r="Z114" s="96">
        <f>IF(AND(Q114=1,T114=1,X114=1,J114="Sim",OR(L114&lt;&gt;"",M114&lt;&gt;"")),1,0)</f>
        <v>0</v>
      </c>
      <c r="AA114" s="96">
        <f>IF(Q114=0,0,IF(AND(OR(r_ini="",AND(ISNUMBER(E114),E114&gt;=r_ini)),OR(r_fim="",AND(ISNUMBER(E114),E114&lt;=r_fim)),OR(r_un="",r_un="(Todas)",IF(N(U114)&gt;0,INDEX('MTRs'!$G$6:$G$505,U114),"")=r_un),OR(r_de="",r_de="(Todos)",D114=r_de)),1,0))</f>
        <v>0</v>
      </c>
      <c r="AB114" s="96" t="str">
        <f>IF(AA114=1,COUNTIF($AA$6:AA114,1),"")</f>
        <v/>
      </c>
    </row>
    <row r="115">
      <c r="A115" s="89" t="inlineStr">
        <is>
          <t>REC-000110</t>
        </is>
      </c>
      <c r="B115" s="94" t="str">
        <f>IF(T115=1,INDEX('ITENS_MTR'!$S$6:$S$1005,S115)&amp;"","")</f>
        <v/>
      </c>
      <c r="C115" s="91" t="n"/>
      <c r="D115" s="94" t="str">
        <f>IF(N(U115)&gt;0,INDEX('MTRs'!$I$6:$I$505,U115)&amp;"","")</f>
        <v/>
      </c>
      <c r="E115" s="92" t="n"/>
      <c r="F115" s="98" t="n"/>
      <c r="G115" s="91" t="n"/>
      <c r="H115" s="93" t="str">
        <f>IF(Q115=0,"",IF(NOT(ISNUMBER(F115)),"",IF(ISNUMBER(W115),F115*W115,"UNIDADE A CONFERIR")))</f>
        <v/>
      </c>
      <c r="I115" s="91" t="n"/>
      <c r="J115" s="91" t="n"/>
      <c r="K115" s="92" t="n"/>
      <c r="L115" s="91" t="n"/>
      <c r="M115" s="91" t="n"/>
      <c r="N115" s="91" t="n"/>
      <c r="O115" s="91" t="n"/>
      <c r="P115" s="94" t="str">
        <f>IF(Q115=0,"",IF(C115="","Item de resíduo não informado",IF(T115=0,"Item inexistente (referência inválida)",IF(NOT(ISNUMBER(F115)),"Quantidade não informada",IF(F115&lt;=0,"Quantidade não positiva",IF(G115="","Unidade não informada",IF(NOT(ISNUMBER(H115)),"Unidade a conferir",IF(NOT(ISNUMBER(E115)),"Data de recebimento não informada",IF(AND(ISNUMBER(V115),N(V115)&gt;0,E115&lt;N(V115)),"Data anterior à emissão do MTR",IF(AND(J115="Sim",L115="",M115=""),"Conferido sem evidência identificada",IF(J115&lt;&gt;"Sim","Aguardando conferência",IF(INDEX('ITENS_MTR'!$AM$6:$AM$1005,S115)=1,"Conferido (ver diferença no item)","Conferido"))))))))))))</f>
        <v/>
      </c>
      <c r="Q115" s="96">
        <f>IF(COUNTA(C115,E115:G115,I115:O115)&gt;0,1,0)</f>
        <v>0</v>
      </c>
      <c r="R115" s="96" t="str">
        <f>IF(C115="","",TRIM(LEFT(C115,FIND(" |",C115&amp;" |")-1)))</f>
        <v/>
      </c>
      <c r="S115" s="96" t="str">
        <f>IF(R115="","",IFERROR(MATCH(R115,'ITENS_MTR'!$A$6:$A$1005,0),""))</f>
        <v/>
      </c>
      <c r="T115" s="96">
        <f>IF(S115="",0,IF(INDEX('ITENS_MTR'!$R$6:$R$1005,S115)=1,1,0))</f>
        <v>0</v>
      </c>
      <c r="U115" s="96" t="str">
        <f>IF(T115=1,INDEX('ITENS_MTR'!$T$6:$T$1005,S115),"")</f>
        <v/>
      </c>
      <c r="V115" s="97" t="str">
        <f>IF(N(U115)&gt;0,INDEX('MTRs'!$E$6:$E$505,U115),"")</f>
        <v/>
      </c>
      <c r="W115" s="96" t="str">
        <f>IF(G115="","",IFERROR(IF(ISNUMBER(INDEX(cfg_fac,MATCH(G115,cfg_units,0))),IF(INDEX(cfg_fac,MATCH(G115,cfg_units,0))&gt;0,INDEX(cfg_fac,MATCH(G115,cfg_units,0)),""),""),""))</f>
        <v/>
      </c>
      <c r="X115" s="96">
        <f>IF(AND(ISNUMBER(F115),ISNUMBER(H115)),IF(H115&gt;0,1,0),0)</f>
        <v>0</v>
      </c>
      <c r="Y115" s="96">
        <f>IF(Q115=0,0,IF(OR(T115=0,X115=0,NOT(ISNUMBER(E115)),AND(J115="Sim",L115="",M115=""),AND(ISNUMBER(E115),ISNUMBER(V115),N(V115)&gt;0,E115&lt;N(V115))),1,0))</f>
        <v>0</v>
      </c>
      <c r="Z115" s="96">
        <f>IF(AND(Q115=1,T115=1,X115=1,J115="Sim",OR(L115&lt;&gt;"",M115&lt;&gt;"")),1,0)</f>
        <v>0</v>
      </c>
      <c r="AA115" s="96">
        <f>IF(Q115=0,0,IF(AND(OR(r_ini="",AND(ISNUMBER(E115),E115&gt;=r_ini)),OR(r_fim="",AND(ISNUMBER(E115),E115&lt;=r_fim)),OR(r_un="",r_un="(Todas)",IF(N(U115)&gt;0,INDEX('MTRs'!$G$6:$G$505,U115),"")=r_un),OR(r_de="",r_de="(Todos)",D115=r_de)),1,0))</f>
        <v>0</v>
      </c>
      <c r="AB115" s="96" t="str">
        <f>IF(AA115=1,COUNTIF($AA$6:AA115,1),"")</f>
        <v/>
      </c>
    </row>
    <row r="116">
      <c r="A116" s="89" t="inlineStr">
        <is>
          <t>REC-000111</t>
        </is>
      </c>
      <c r="B116" s="94" t="str">
        <f>IF(T116=1,INDEX('ITENS_MTR'!$S$6:$S$1005,S116)&amp;"","")</f>
        <v/>
      </c>
      <c r="C116" s="91" t="n"/>
      <c r="D116" s="94" t="str">
        <f>IF(N(U116)&gt;0,INDEX('MTRs'!$I$6:$I$505,U116)&amp;"","")</f>
        <v/>
      </c>
      <c r="E116" s="92" t="n"/>
      <c r="F116" s="98" t="n"/>
      <c r="G116" s="91" t="n"/>
      <c r="H116" s="93" t="str">
        <f>IF(Q116=0,"",IF(NOT(ISNUMBER(F116)),"",IF(ISNUMBER(W116),F116*W116,"UNIDADE A CONFERIR")))</f>
        <v/>
      </c>
      <c r="I116" s="91" t="n"/>
      <c r="J116" s="91" t="n"/>
      <c r="K116" s="92" t="n"/>
      <c r="L116" s="91" t="n"/>
      <c r="M116" s="91" t="n"/>
      <c r="N116" s="91" t="n"/>
      <c r="O116" s="91" t="n"/>
      <c r="P116" s="94" t="str">
        <f>IF(Q116=0,"",IF(C116="","Item de resíduo não informado",IF(T116=0,"Item inexistente (referência inválida)",IF(NOT(ISNUMBER(F116)),"Quantidade não informada",IF(F116&lt;=0,"Quantidade não positiva",IF(G116="","Unidade não informada",IF(NOT(ISNUMBER(H116)),"Unidade a conferir",IF(NOT(ISNUMBER(E116)),"Data de recebimento não informada",IF(AND(ISNUMBER(V116),N(V116)&gt;0,E116&lt;N(V116)),"Data anterior à emissão do MTR",IF(AND(J116="Sim",L116="",M116=""),"Conferido sem evidência identificada",IF(J116&lt;&gt;"Sim","Aguardando conferência",IF(INDEX('ITENS_MTR'!$AM$6:$AM$1005,S116)=1,"Conferido (ver diferença no item)","Conferido"))))))))))))</f>
        <v/>
      </c>
      <c r="Q116" s="96">
        <f>IF(COUNTA(C116,E116:G116,I116:O116)&gt;0,1,0)</f>
        <v>0</v>
      </c>
      <c r="R116" s="96" t="str">
        <f>IF(C116="","",TRIM(LEFT(C116,FIND(" |",C116&amp;" |")-1)))</f>
        <v/>
      </c>
      <c r="S116" s="96" t="str">
        <f>IF(R116="","",IFERROR(MATCH(R116,'ITENS_MTR'!$A$6:$A$1005,0),""))</f>
        <v/>
      </c>
      <c r="T116" s="96">
        <f>IF(S116="",0,IF(INDEX('ITENS_MTR'!$R$6:$R$1005,S116)=1,1,0))</f>
        <v>0</v>
      </c>
      <c r="U116" s="96" t="str">
        <f>IF(T116=1,INDEX('ITENS_MTR'!$T$6:$T$1005,S116),"")</f>
        <v/>
      </c>
      <c r="V116" s="97" t="str">
        <f>IF(N(U116)&gt;0,INDEX('MTRs'!$E$6:$E$505,U116),"")</f>
        <v/>
      </c>
      <c r="W116" s="96" t="str">
        <f>IF(G116="","",IFERROR(IF(ISNUMBER(INDEX(cfg_fac,MATCH(G116,cfg_units,0))),IF(INDEX(cfg_fac,MATCH(G116,cfg_units,0))&gt;0,INDEX(cfg_fac,MATCH(G116,cfg_units,0)),""),""),""))</f>
        <v/>
      </c>
      <c r="X116" s="96">
        <f>IF(AND(ISNUMBER(F116),ISNUMBER(H116)),IF(H116&gt;0,1,0),0)</f>
        <v>0</v>
      </c>
      <c r="Y116" s="96">
        <f>IF(Q116=0,0,IF(OR(T116=0,X116=0,NOT(ISNUMBER(E116)),AND(J116="Sim",L116="",M116=""),AND(ISNUMBER(E116),ISNUMBER(V116),N(V116)&gt;0,E116&lt;N(V116))),1,0))</f>
        <v>0</v>
      </c>
      <c r="Z116" s="96">
        <f>IF(AND(Q116=1,T116=1,X116=1,J116="Sim",OR(L116&lt;&gt;"",M116&lt;&gt;"")),1,0)</f>
        <v>0</v>
      </c>
      <c r="AA116" s="96">
        <f>IF(Q116=0,0,IF(AND(OR(r_ini="",AND(ISNUMBER(E116),E116&gt;=r_ini)),OR(r_fim="",AND(ISNUMBER(E116),E116&lt;=r_fim)),OR(r_un="",r_un="(Todas)",IF(N(U116)&gt;0,INDEX('MTRs'!$G$6:$G$505,U116),"")=r_un),OR(r_de="",r_de="(Todos)",D116=r_de)),1,0))</f>
        <v>0</v>
      </c>
      <c r="AB116" s="96" t="str">
        <f>IF(AA116=1,COUNTIF($AA$6:AA116,1),"")</f>
        <v/>
      </c>
    </row>
    <row r="117">
      <c r="A117" s="89" t="inlineStr">
        <is>
          <t>REC-000112</t>
        </is>
      </c>
      <c r="B117" s="94" t="str">
        <f>IF(T117=1,INDEX('ITENS_MTR'!$S$6:$S$1005,S117)&amp;"","")</f>
        <v/>
      </c>
      <c r="C117" s="91" t="n"/>
      <c r="D117" s="94" t="str">
        <f>IF(N(U117)&gt;0,INDEX('MTRs'!$I$6:$I$505,U117)&amp;"","")</f>
        <v/>
      </c>
      <c r="E117" s="92" t="n"/>
      <c r="F117" s="98" t="n"/>
      <c r="G117" s="91" t="n"/>
      <c r="H117" s="93" t="str">
        <f>IF(Q117=0,"",IF(NOT(ISNUMBER(F117)),"",IF(ISNUMBER(W117),F117*W117,"UNIDADE A CONFERIR")))</f>
        <v/>
      </c>
      <c r="I117" s="91" t="n"/>
      <c r="J117" s="91" t="n"/>
      <c r="K117" s="92" t="n"/>
      <c r="L117" s="91" t="n"/>
      <c r="M117" s="91" t="n"/>
      <c r="N117" s="91" t="n"/>
      <c r="O117" s="91" t="n"/>
      <c r="P117" s="94" t="str">
        <f>IF(Q117=0,"",IF(C117="","Item de resíduo não informado",IF(T117=0,"Item inexistente (referência inválida)",IF(NOT(ISNUMBER(F117)),"Quantidade não informada",IF(F117&lt;=0,"Quantidade não positiva",IF(G117="","Unidade não informada",IF(NOT(ISNUMBER(H117)),"Unidade a conferir",IF(NOT(ISNUMBER(E117)),"Data de recebimento não informada",IF(AND(ISNUMBER(V117),N(V117)&gt;0,E117&lt;N(V117)),"Data anterior à emissão do MTR",IF(AND(J117="Sim",L117="",M117=""),"Conferido sem evidência identificada",IF(J117&lt;&gt;"Sim","Aguardando conferência",IF(INDEX('ITENS_MTR'!$AM$6:$AM$1005,S117)=1,"Conferido (ver diferença no item)","Conferido"))))))))))))</f>
        <v/>
      </c>
      <c r="Q117" s="96">
        <f>IF(COUNTA(C117,E117:G117,I117:O117)&gt;0,1,0)</f>
        <v>0</v>
      </c>
      <c r="R117" s="96" t="str">
        <f>IF(C117="","",TRIM(LEFT(C117,FIND(" |",C117&amp;" |")-1)))</f>
        <v/>
      </c>
      <c r="S117" s="96" t="str">
        <f>IF(R117="","",IFERROR(MATCH(R117,'ITENS_MTR'!$A$6:$A$1005,0),""))</f>
        <v/>
      </c>
      <c r="T117" s="96">
        <f>IF(S117="",0,IF(INDEX('ITENS_MTR'!$R$6:$R$1005,S117)=1,1,0))</f>
        <v>0</v>
      </c>
      <c r="U117" s="96" t="str">
        <f>IF(T117=1,INDEX('ITENS_MTR'!$T$6:$T$1005,S117),"")</f>
        <v/>
      </c>
      <c r="V117" s="97" t="str">
        <f>IF(N(U117)&gt;0,INDEX('MTRs'!$E$6:$E$505,U117),"")</f>
        <v/>
      </c>
      <c r="W117" s="96" t="str">
        <f>IF(G117="","",IFERROR(IF(ISNUMBER(INDEX(cfg_fac,MATCH(G117,cfg_units,0))),IF(INDEX(cfg_fac,MATCH(G117,cfg_units,0))&gt;0,INDEX(cfg_fac,MATCH(G117,cfg_units,0)),""),""),""))</f>
        <v/>
      </c>
      <c r="X117" s="96">
        <f>IF(AND(ISNUMBER(F117),ISNUMBER(H117)),IF(H117&gt;0,1,0),0)</f>
        <v>0</v>
      </c>
      <c r="Y117" s="96">
        <f>IF(Q117=0,0,IF(OR(T117=0,X117=0,NOT(ISNUMBER(E117)),AND(J117="Sim",L117="",M117=""),AND(ISNUMBER(E117),ISNUMBER(V117),N(V117)&gt;0,E117&lt;N(V117))),1,0))</f>
        <v>0</v>
      </c>
      <c r="Z117" s="96">
        <f>IF(AND(Q117=1,T117=1,X117=1,J117="Sim",OR(L117&lt;&gt;"",M117&lt;&gt;"")),1,0)</f>
        <v>0</v>
      </c>
      <c r="AA117" s="96">
        <f>IF(Q117=0,0,IF(AND(OR(r_ini="",AND(ISNUMBER(E117),E117&gt;=r_ini)),OR(r_fim="",AND(ISNUMBER(E117),E117&lt;=r_fim)),OR(r_un="",r_un="(Todas)",IF(N(U117)&gt;0,INDEX('MTRs'!$G$6:$G$505,U117),"")=r_un),OR(r_de="",r_de="(Todos)",D117=r_de)),1,0))</f>
        <v>0</v>
      </c>
      <c r="AB117" s="96" t="str">
        <f>IF(AA117=1,COUNTIF($AA$6:AA117,1),"")</f>
        <v/>
      </c>
    </row>
    <row r="118">
      <c r="A118" s="89" t="inlineStr">
        <is>
          <t>REC-000113</t>
        </is>
      </c>
      <c r="B118" s="94" t="str">
        <f>IF(T118=1,INDEX('ITENS_MTR'!$S$6:$S$1005,S118)&amp;"","")</f>
        <v/>
      </c>
      <c r="C118" s="91" t="n"/>
      <c r="D118" s="94" t="str">
        <f>IF(N(U118)&gt;0,INDEX('MTRs'!$I$6:$I$505,U118)&amp;"","")</f>
        <v/>
      </c>
      <c r="E118" s="92" t="n"/>
      <c r="F118" s="98" t="n"/>
      <c r="G118" s="91" t="n"/>
      <c r="H118" s="93" t="str">
        <f>IF(Q118=0,"",IF(NOT(ISNUMBER(F118)),"",IF(ISNUMBER(W118),F118*W118,"UNIDADE A CONFERIR")))</f>
        <v/>
      </c>
      <c r="I118" s="91" t="n"/>
      <c r="J118" s="91" t="n"/>
      <c r="K118" s="92" t="n"/>
      <c r="L118" s="91" t="n"/>
      <c r="M118" s="91" t="n"/>
      <c r="N118" s="91" t="n"/>
      <c r="O118" s="91" t="n"/>
      <c r="P118" s="94" t="str">
        <f>IF(Q118=0,"",IF(C118="","Item de resíduo não informado",IF(T118=0,"Item inexistente (referência inválida)",IF(NOT(ISNUMBER(F118)),"Quantidade não informada",IF(F118&lt;=0,"Quantidade não positiva",IF(G118="","Unidade não informada",IF(NOT(ISNUMBER(H118)),"Unidade a conferir",IF(NOT(ISNUMBER(E118)),"Data de recebimento não informada",IF(AND(ISNUMBER(V118),N(V118)&gt;0,E118&lt;N(V118)),"Data anterior à emissão do MTR",IF(AND(J118="Sim",L118="",M118=""),"Conferido sem evidência identificada",IF(J118&lt;&gt;"Sim","Aguardando conferência",IF(INDEX('ITENS_MTR'!$AM$6:$AM$1005,S118)=1,"Conferido (ver diferença no item)","Conferido"))))))))))))</f>
        <v/>
      </c>
      <c r="Q118" s="96">
        <f>IF(COUNTA(C118,E118:G118,I118:O118)&gt;0,1,0)</f>
        <v>0</v>
      </c>
      <c r="R118" s="96" t="str">
        <f>IF(C118="","",TRIM(LEFT(C118,FIND(" |",C118&amp;" |")-1)))</f>
        <v/>
      </c>
      <c r="S118" s="96" t="str">
        <f>IF(R118="","",IFERROR(MATCH(R118,'ITENS_MTR'!$A$6:$A$1005,0),""))</f>
        <v/>
      </c>
      <c r="T118" s="96">
        <f>IF(S118="",0,IF(INDEX('ITENS_MTR'!$R$6:$R$1005,S118)=1,1,0))</f>
        <v>0</v>
      </c>
      <c r="U118" s="96" t="str">
        <f>IF(T118=1,INDEX('ITENS_MTR'!$T$6:$T$1005,S118),"")</f>
        <v/>
      </c>
      <c r="V118" s="97" t="str">
        <f>IF(N(U118)&gt;0,INDEX('MTRs'!$E$6:$E$505,U118),"")</f>
        <v/>
      </c>
      <c r="W118" s="96" t="str">
        <f>IF(G118="","",IFERROR(IF(ISNUMBER(INDEX(cfg_fac,MATCH(G118,cfg_units,0))),IF(INDEX(cfg_fac,MATCH(G118,cfg_units,0))&gt;0,INDEX(cfg_fac,MATCH(G118,cfg_units,0)),""),""),""))</f>
        <v/>
      </c>
      <c r="X118" s="96">
        <f>IF(AND(ISNUMBER(F118),ISNUMBER(H118)),IF(H118&gt;0,1,0),0)</f>
        <v>0</v>
      </c>
      <c r="Y118" s="96">
        <f>IF(Q118=0,0,IF(OR(T118=0,X118=0,NOT(ISNUMBER(E118)),AND(J118="Sim",L118="",M118=""),AND(ISNUMBER(E118),ISNUMBER(V118),N(V118)&gt;0,E118&lt;N(V118))),1,0))</f>
        <v>0</v>
      </c>
      <c r="Z118" s="96">
        <f>IF(AND(Q118=1,T118=1,X118=1,J118="Sim",OR(L118&lt;&gt;"",M118&lt;&gt;"")),1,0)</f>
        <v>0</v>
      </c>
      <c r="AA118" s="96">
        <f>IF(Q118=0,0,IF(AND(OR(r_ini="",AND(ISNUMBER(E118),E118&gt;=r_ini)),OR(r_fim="",AND(ISNUMBER(E118),E118&lt;=r_fim)),OR(r_un="",r_un="(Todas)",IF(N(U118)&gt;0,INDEX('MTRs'!$G$6:$G$505,U118),"")=r_un),OR(r_de="",r_de="(Todos)",D118=r_de)),1,0))</f>
        <v>0</v>
      </c>
      <c r="AB118" s="96" t="str">
        <f>IF(AA118=1,COUNTIF($AA$6:AA118,1),"")</f>
        <v/>
      </c>
    </row>
    <row r="119">
      <c r="A119" s="89" t="inlineStr">
        <is>
          <t>REC-000114</t>
        </is>
      </c>
      <c r="B119" s="94" t="str">
        <f>IF(T119=1,INDEX('ITENS_MTR'!$S$6:$S$1005,S119)&amp;"","")</f>
        <v/>
      </c>
      <c r="C119" s="91" t="n"/>
      <c r="D119" s="94" t="str">
        <f>IF(N(U119)&gt;0,INDEX('MTRs'!$I$6:$I$505,U119)&amp;"","")</f>
        <v/>
      </c>
      <c r="E119" s="92" t="n"/>
      <c r="F119" s="98" t="n"/>
      <c r="G119" s="91" t="n"/>
      <c r="H119" s="93" t="str">
        <f>IF(Q119=0,"",IF(NOT(ISNUMBER(F119)),"",IF(ISNUMBER(W119),F119*W119,"UNIDADE A CONFERIR")))</f>
        <v/>
      </c>
      <c r="I119" s="91" t="n"/>
      <c r="J119" s="91" t="n"/>
      <c r="K119" s="92" t="n"/>
      <c r="L119" s="91" t="n"/>
      <c r="M119" s="91" t="n"/>
      <c r="N119" s="91" t="n"/>
      <c r="O119" s="91" t="n"/>
      <c r="P119" s="94" t="str">
        <f>IF(Q119=0,"",IF(C119="","Item de resíduo não informado",IF(T119=0,"Item inexistente (referência inválida)",IF(NOT(ISNUMBER(F119)),"Quantidade não informada",IF(F119&lt;=0,"Quantidade não positiva",IF(G119="","Unidade não informada",IF(NOT(ISNUMBER(H119)),"Unidade a conferir",IF(NOT(ISNUMBER(E119)),"Data de recebimento não informada",IF(AND(ISNUMBER(V119),N(V119)&gt;0,E119&lt;N(V119)),"Data anterior à emissão do MTR",IF(AND(J119="Sim",L119="",M119=""),"Conferido sem evidência identificada",IF(J119&lt;&gt;"Sim","Aguardando conferência",IF(INDEX('ITENS_MTR'!$AM$6:$AM$1005,S119)=1,"Conferido (ver diferença no item)","Conferido"))))))))))))</f>
        <v/>
      </c>
      <c r="Q119" s="96">
        <f>IF(COUNTA(C119,E119:G119,I119:O119)&gt;0,1,0)</f>
        <v>0</v>
      </c>
      <c r="R119" s="96" t="str">
        <f>IF(C119="","",TRIM(LEFT(C119,FIND(" |",C119&amp;" |")-1)))</f>
        <v/>
      </c>
      <c r="S119" s="96" t="str">
        <f>IF(R119="","",IFERROR(MATCH(R119,'ITENS_MTR'!$A$6:$A$1005,0),""))</f>
        <v/>
      </c>
      <c r="T119" s="96">
        <f>IF(S119="",0,IF(INDEX('ITENS_MTR'!$R$6:$R$1005,S119)=1,1,0))</f>
        <v>0</v>
      </c>
      <c r="U119" s="96" t="str">
        <f>IF(T119=1,INDEX('ITENS_MTR'!$T$6:$T$1005,S119),"")</f>
        <v/>
      </c>
      <c r="V119" s="97" t="str">
        <f>IF(N(U119)&gt;0,INDEX('MTRs'!$E$6:$E$505,U119),"")</f>
        <v/>
      </c>
      <c r="W119" s="96" t="str">
        <f>IF(G119="","",IFERROR(IF(ISNUMBER(INDEX(cfg_fac,MATCH(G119,cfg_units,0))),IF(INDEX(cfg_fac,MATCH(G119,cfg_units,0))&gt;0,INDEX(cfg_fac,MATCH(G119,cfg_units,0)),""),""),""))</f>
        <v/>
      </c>
      <c r="X119" s="96">
        <f>IF(AND(ISNUMBER(F119),ISNUMBER(H119)),IF(H119&gt;0,1,0),0)</f>
        <v>0</v>
      </c>
      <c r="Y119" s="96">
        <f>IF(Q119=0,0,IF(OR(T119=0,X119=0,NOT(ISNUMBER(E119)),AND(J119="Sim",L119="",M119=""),AND(ISNUMBER(E119),ISNUMBER(V119),N(V119)&gt;0,E119&lt;N(V119))),1,0))</f>
        <v>0</v>
      </c>
      <c r="Z119" s="96">
        <f>IF(AND(Q119=1,T119=1,X119=1,J119="Sim",OR(L119&lt;&gt;"",M119&lt;&gt;"")),1,0)</f>
        <v>0</v>
      </c>
      <c r="AA119" s="96">
        <f>IF(Q119=0,0,IF(AND(OR(r_ini="",AND(ISNUMBER(E119),E119&gt;=r_ini)),OR(r_fim="",AND(ISNUMBER(E119),E119&lt;=r_fim)),OR(r_un="",r_un="(Todas)",IF(N(U119)&gt;0,INDEX('MTRs'!$G$6:$G$505,U119),"")=r_un),OR(r_de="",r_de="(Todos)",D119=r_de)),1,0))</f>
        <v>0</v>
      </c>
      <c r="AB119" s="96" t="str">
        <f>IF(AA119=1,COUNTIF($AA$6:AA119,1),"")</f>
        <v/>
      </c>
    </row>
    <row r="120">
      <c r="A120" s="89" t="inlineStr">
        <is>
          <t>REC-000115</t>
        </is>
      </c>
      <c r="B120" s="94" t="str">
        <f>IF(T120=1,INDEX('ITENS_MTR'!$S$6:$S$1005,S120)&amp;"","")</f>
        <v/>
      </c>
      <c r="C120" s="91" t="n"/>
      <c r="D120" s="94" t="str">
        <f>IF(N(U120)&gt;0,INDEX('MTRs'!$I$6:$I$505,U120)&amp;"","")</f>
        <v/>
      </c>
      <c r="E120" s="92" t="n"/>
      <c r="F120" s="98" t="n"/>
      <c r="G120" s="91" t="n"/>
      <c r="H120" s="93" t="str">
        <f>IF(Q120=0,"",IF(NOT(ISNUMBER(F120)),"",IF(ISNUMBER(W120),F120*W120,"UNIDADE A CONFERIR")))</f>
        <v/>
      </c>
      <c r="I120" s="91" t="n"/>
      <c r="J120" s="91" t="n"/>
      <c r="K120" s="92" t="n"/>
      <c r="L120" s="91" t="n"/>
      <c r="M120" s="91" t="n"/>
      <c r="N120" s="91" t="n"/>
      <c r="O120" s="91" t="n"/>
      <c r="P120" s="94" t="str">
        <f>IF(Q120=0,"",IF(C120="","Item de resíduo não informado",IF(T120=0,"Item inexistente (referência inválida)",IF(NOT(ISNUMBER(F120)),"Quantidade não informada",IF(F120&lt;=0,"Quantidade não positiva",IF(G120="","Unidade não informada",IF(NOT(ISNUMBER(H120)),"Unidade a conferir",IF(NOT(ISNUMBER(E120)),"Data de recebimento não informada",IF(AND(ISNUMBER(V120),N(V120)&gt;0,E120&lt;N(V120)),"Data anterior à emissão do MTR",IF(AND(J120="Sim",L120="",M120=""),"Conferido sem evidência identificada",IF(J120&lt;&gt;"Sim","Aguardando conferência",IF(INDEX('ITENS_MTR'!$AM$6:$AM$1005,S120)=1,"Conferido (ver diferença no item)","Conferido"))))))))))))</f>
        <v/>
      </c>
      <c r="Q120" s="96">
        <f>IF(COUNTA(C120,E120:G120,I120:O120)&gt;0,1,0)</f>
        <v>0</v>
      </c>
      <c r="R120" s="96" t="str">
        <f>IF(C120="","",TRIM(LEFT(C120,FIND(" |",C120&amp;" |")-1)))</f>
        <v/>
      </c>
      <c r="S120" s="96" t="str">
        <f>IF(R120="","",IFERROR(MATCH(R120,'ITENS_MTR'!$A$6:$A$1005,0),""))</f>
        <v/>
      </c>
      <c r="T120" s="96">
        <f>IF(S120="",0,IF(INDEX('ITENS_MTR'!$R$6:$R$1005,S120)=1,1,0))</f>
        <v>0</v>
      </c>
      <c r="U120" s="96" t="str">
        <f>IF(T120=1,INDEX('ITENS_MTR'!$T$6:$T$1005,S120),"")</f>
        <v/>
      </c>
      <c r="V120" s="97" t="str">
        <f>IF(N(U120)&gt;0,INDEX('MTRs'!$E$6:$E$505,U120),"")</f>
        <v/>
      </c>
      <c r="W120" s="96" t="str">
        <f>IF(G120="","",IFERROR(IF(ISNUMBER(INDEX(cfg_fac,MATCH(G120,cfg_units,0))),IF(INDEX(cfg_fac,MATCH(G120,cfg_units,0))&gt;0,INDEX(cfg_fac,MATCH(G120,cfg_units,0)),""),""),""))</f>
        <v/>
      </c>
      <c r="X120" s="96">
        <f>IF(AND(ISNUMBER(F120),ISNUMBER(H120)),IF(H120&gt;0,1,0),0)</f>
        <v>0</v>
      </c>
      <c r="Y120" s="96">
        <f>IF(Q120=0,0,IF(OR(T120=0,X120=0,NOT(ISNUMBER(E120)),AND(J120="Sim",L120="",M120=""),AND(ISNUMBER(E120),ISNUMBER(V120),N(V120)&gt;0,E120&lt;N(V120))),1,0))</f>
        <v>0</v>
      </c>
      <c r="Z120" s="96">
        <f>IF(AND(Q120=1,T120=1,X120=1,J120="Sim",OR(L120&lt;&gt;"",M120&lt;&gt;"")),1,0)</f>
        <v>0</v>
      </c>
      <c r="AA120" s="96">
        <f>IF(Q120=0,0,IF(AND(OR(r_ini="",AND(ISNUMBER(E120),E120&gt;=r_ini)),OR(r_fim="",AND(ISNUMBER(E120),E120&lt;=r_fim)),OR(r_un="",r_un="(Todas)",IF(N(U120)&gt;0,INDEX('MTRs'!$G$6:$G$505,U120),"")=r_un),OR(r_de="",r_de="(Todos)",D120=r_de)),1,0))</f>
        <v>0</v>
      </c>
      <c r="AB120" s="96" t="str">
        <f>IF(AA120=1,COUNTIF($AA$6:AA120,1),"")</f>
        <v/>
      </c>
    </row>
    <row r="121">
      <c r="A121" s="89" t="inlineStr">
        <is>
          <t>REC-000116</t>
        </is>
      </c>
      <c r="B121" s="94" t="str">
        <f>IF(T121=1,INDEX('ITENS_MTR'!$S$6:$S$1005,S121)&amp;"","")</f>
        <v/>
      </c>
      <c r="C121" s="91" t="n"/>
      <c r="D121" s="94" t="str">
        <f>IF(N(U121)&gt;0,INDEX('MTRs'!$I$6:$I$505,U121)&amp;"","")</f>
        <v/>
      </c>
      <c r="E121" s="92" t="n"/>
      <c r="F121" s="98" t="n"/>
      <c r="G121" s="91" t="n"/>
      <c r="H121" s="93" t="str">
        <f>IF(Q121=0,"",IF(NOT(ISNUMBER(F121)),"",IF(ISNUMBER(W121),F121*W121,"UNIDADE A CONFERIR")))</f>
        <v/>
      </c>
      <c r="I121" s="91" t="n"/>
      <c r="J121" s="91" t="n"/>
      <c r="K121" s="92" t="n"/>
      <c r="L121" s="91" t="n"/>
      <c r="M121" s="91" t="n"/>
      <c r="N121" s="91" t="n"/>
      <c r="O121" s="91" t="n"/>
      <c r="P121" s="94" t="str">
        <f>IF(Q121=0,"",IF(C121="","Item de resíduo não informado",IF(T121=0,"Item inexistente (referência inválida)",IF(NOT(ISNUMBER(F121)),"Quantidade não informada",IF(F121&lt;=0,"Quantidade não positiva",IF(G121="","Unidade não informada",IF(NOT(ISNUMBER(H121)),"Unidade a conferir",IF(NOT(ISNUMBER(E121)),"Data de recebimento não informada",IF(AND(ISNUMBER(V121),N(V121)&gt;0,E121&lt;N(V121)),"Data anterior à emissão do MTR",IF(AND(J121="Sim",L121="",M121=""),"Conferido sem evidência identificada",IF(J121&lt;&gt;"Sim","Aguardando conferência",IF(INDEX('ITENS_MTR'!$AM$6:$AM$1005,S121)=1,"Conferido (ver diferença no item)","Conferido"))))))))))))</f>
        <v/>
      </c>
      <c r="Q121" s="96">
        <f>IF(COUNTA(C121,E121:G121,I121:O121)&gt;0,1,0)</f>
        <v>0</v>
      </c>
      <c r="R121" s="96" t="str">
        <f>IF(C121="","",TRIM(LEFT(C121,FIND(" |",C121&amp;" |")-1)))</f>
        <v/>
      </c>
      <c r="S121" s="96" t="str">
        <f>IF(R121="","",IFERROR(MATCH(R121,'ITENS_MTR'!$A$6:$A$1005,0),""))</f>
        <v/>
      </c>
      <c r="T121" s="96">
        <f>IF(S121="",0,IF(INDEX('ITENS_MTR'!$R$6:$R$1005,S121)=1,1,0))</f>
        <v>0</v>
      </c>
      <c r="U121" s="96" t="str">
        <f>IF(T121=1,INDEX('ITENS_MTR'!$T$6:$T$1005,S121),"")</f>
        <v/>
      </c>
      <c r="V121" s="97" t="str">
        <f>IF(N(U121)&gt;0,INDEX('MTRs'!$E$6:$E$505,U121),"")</f>
        <v/>
      </c>
      <c r="W121" s="96" t="str">
        <f>IF(G121="","",IFERROR(IF(ISNUMBER(INDEX(cfg_fac,MATCH(G121,cfg_units,0))),IF(INDEX(cfg_fac,MATCH(G121,cfg_units,0))&gt;0,INDEX(cfg_fac,MATCH(G121,cfg_units,0)),""),""),""))</f>
        <v/>
      </c>
      <c r="X121" s="96">
        <f>IF(AND(ISNUMBER(F121),ISNUMBER(H121)),IF(H121&gt;0,1,0),0)</f>
        <v>0</v>
      </c>
      <c r="Y121" s="96">
        <f>IF(Q121=0,0,IF(OR(T121=0,X121=0,NOT(ISNUMBER(E121)),AND(J121="Sim",L121="",M121=""),AND(ISNUMBER(E121),ISNUMBER(V121),N(V121)&gt;0,E121&lt;N(V121))),1,0))</f>
        <v>0</v>
      </c>
      <c r="Z121" s="96">
        <f>IF(AND(Q121=1,T121=1,X121=1,J121="Sim",OR(L121&lt;&gt;"",M121&lt;&gt;"")),1,0)</f>
        <v>0</v>
      </c>
      <c r="AA121" s="96">
        <f>IF(Q121=0,0,IF(AND(OR(r_ini="",AND(ISNUMBER(E121),E121&gt;=r_ini)),OR(r_fim="",AND(ISNUMBER(E121),E121&lt;=r_fim)),OR(r_un="",r_un="(Todas)",IF(N(U121)&gt;0,INDEX('MTRs'!$G$6:$G$505,U121),"")=r_un),OR(r_de="",r_de="(Todos)",D121=r_de)),1,0))</f>
        <v>0</v>
      </c>
      <c r="AB121" s="96" t="str">
        <f>IF(AA121=1,COUNTIF($AA$6:AA121,1),"")</f>
        <v/>
      </c>
    </row>
    <row r="122">
      <c r="A122" s="89" t="inlineStr">
        <is>
          <t>REC-000117</t>
        </is>
      </c>
      <c r="B122" s="94" t="str">
        <f>IF(T122=1,INDEX('ITENS_MTR'!$S$6:$S$1005,S122)&amp;"","")</f>
        <v/>
      </c>
      <c r="C122" s="91" t="n"/>
      <c r="D122" s="94" t="str">
        <f>IF(N(U122)&gt;0,INDEX('MTRs'!$I$6:$I$505,U122)&amp;"","")</f>
        <v/>
      </c>
      <c r="E122" s="92" t="n"/>
      <c r="F122" s="98" t="n"/>
      <c r="G122" s="91" t="n"/>
      <c r="H122" s="93" t="str">
        <f>IF(Q122=0,"",IF(NOT(ISNUMBER(F122)),"",IF(ISNUMBER(W122),F122*W122,"UNIDADE A CONFERIR")))</f>
        <v/>
      </c>
      <c r="I122" s="91" t="n"/>
      <c r="J122" s="91" t="n"/>
      <c r="K122" s="92" t="n"/>
      <c r="L122" s="91" t="n"/>
      <c r="M122" s="91" t="n"/>
      <c r="N122" s="91" t="n"/>
      <c r="O122" s="91" t="n"/>
      <c r="P122" s="94" t="str">
        <f>IF(Q122=0,"",IF(C122="","Item de resíduo não informado",IF(T122=0,"Item inexistente (referência inválida)",IF(NOT(ISNUMBER(F122)),"Quantidade não informada",IF(F122&lt;=0,"Quantidade não positiva",IF(G122="","Unidade não informada",IF(NOT(ISNUMBER(H122)),"Unidade a conferir",IF(NOT(ISNUMBER(E122)),"Data de recebimento não informada",IF(AND(ISNUMBER(V122),N(V122)&gt;0,E122&lt;N(V122)),"Data anterior à emissão do MTR",IF(AND(J122="Sim",L122="",M122=""),"Conferido sem evidência identificada",IF(J122&lt;&gt;"Sim","Aguardando conferência",IF(INDEX('ITENS_MTR'!$AM$6:$AM$1005,S122)=1,"Conferido (ver diferença no item)","Conferido"))))))))))))</f>
        <v/>
      </c>
      <c r="Q122" s="96">
        <f>IF(COUNTA(C122,E122:G122,I122:O122)&gt;0,1,0)</f>
        <v>0</v>
      </c>
      <c r="R122" s="96" t="str">
        <f>IF(C122="","",TRIM(LEFT(C122,FIND(" |",C122&amp;" |")-1)))</f>
        <v/>
      </c>
      <c r="S122" s="96" t="str">
        <f>IF(R122="","",IFERROR(MATCH(R122,'ITENS_MTR'!$A$6:$A$1005,0),""))</f>
        <v/>
      </c>
      <c r="T122" s="96">
        <f>IF(S122="",0,IF(INDEX('ITENS_MTR'!$R$6:$R$1005,S122)=1,1,0))</f>
        <v>0</v>
      </c>
      <c r="U122" s="96" t="str">
        <f>IF(T122=1,INDEX('ITENS_MTR'!$T$6:$T$1005,S122),"")</f>
        <v/>
      </c>
      <c r="V122" s="97" t="str">
        <f>IF(N(U122)&gt;0,INDEX('MTRs'!$E$6:$E$505,U122),"")</f>
        <v/>
      </c>
      <c r="W122" s="96" t="str">
        <f>IF(G122="","",IFERROR(IF(ISNUMBER(INDEX(cfg_fac,MATCH(G122,cfg_units,0))),IF(INDEX(cfg_fac,MATCH(G122,cfg_units,0))&gt;0,INDEX(cfg_fac,MATCH(G122,cfg_units,0)),""),""),""))</f>
        <v/>
      </c>
      <c r="X122" s="96">
        <f>IF(AND(ISNUMBER(F122),ISNUMBER(H122)),IF(H122&gt;0,1,0),0)</f>
        <v>0</v>
      </c>
      <c r="Y122" s="96">
        <f>IF(Q122=0,0,IF(OR(T122=0,X122=0,NOT(ISNUMBER(E122)),AND(J122="Sim",L122="",M122=""),AND(ISNUMBER(E122),ISNUMBER(V122),N(V122)&gt;0,E122&lt;N(V122))),1,0))</f>
        <v>0</v>
      </c>
      <c r="Z122" s="96">
        <f>IF(AND(Q122=1,T122=1,X122=1,J122="Sim",OR(L122&lt;&gt;"",M122&lt;&gt;"")),1,0)</f>
        <v>0</v>
      </c>
      <c r="AA122" s="96">
        <f>IF(Q122=0,0,IF(AND(OR(r_ini="",AND(ISNUMBER(E122),E122&gt;=r_ini)),OR(r_fim="",AND(ISNUMBER(E122),E122&lt;=r_fim)),OR(r_un="",r_un="(Todas)",IF(N(U122)&gt;0,INDEX('MTRs'!$G$6:$G$505,U122),"")=r_un),OR(r_de="",r_de="(Todos)",D122=r_de)),1,0))</f>
        <v>0</v>
      </c>
      <c r="AB122" s="96" t="str">
        <f>IF(AA122=1,COUNTIF($AA$6:AA122,1),"")</f>
        <v/>
      </c>
    </row>
    <row r="123">
      <c r="A123" s="89" t="inlineStr">
        <is>
          <t>REC-000118</t>
        </is>
      </c>
      <c r="B123" s="94" t="str">
        <f>IF(T123=1,INDEX('ITENS_MTR'!$S$6:$S$1005,S123)&amp;"","")</f>
        <v/>
      </c>
      <c r="C123" s="91" t="n"/>
      <c r="D123" s="94" t="str">
        <f>IF(N(U123)&gt;0,INDEX('MTRs'!$I$6:$I$505,U123)&amp;"","")</f>
        <v/>
      </c>
      <c r="E123" s="92" t="n"/>
      <c r="F123" s="98" t="n"/>
      <c r="G123" s="91" t="n"/>
      <c r="H123" s="93" t="str">
        <f>IF(Q123=0,"",IF(NOT(ISNUMBER(F123)),"",IF(ISNUMBER(W123),F123*W123,"UNIDADE A CONFERIR")))</f>
        <v/>
      </c>
      <c r="I123" s="91" t="n"/>
      <c r="J123" s="91" t="n"/>
      <c r="K123" s="92" t="n"/>
      <c r="L123" s="91" t="n"/>
      <c r="M123" s="91" t="n"/>
      <c r="N123" s="91" t="n"/>
      <c r="O123" s="91" t="n"/>
      <c r="P123" s="94" t="str">
        <f>IF(Q123=0,"",IF(C123="","Item de resíduo não informado",IF(T123=0,"Item inexistente (referência inválida)",IF(NOT(ISNUMBER(F123)),"Quantidade não informada",IF(F123&lt;=0,"Quantidade não positiva",IF(G123="","Unidade não informada",IF(NOT(ISNUMBER(H123)),"Unidade a conferir",IF(NOT(ISNUMBER(E123)),"Data de recebimento não informada",IF(AND(ISNUMBER(V123),N(V123)&gt;0,E123&lt;N(V123)),"Data anterior à emissão do MTR",IF(AND(J123="Sim",L123="",M123=""),"Conferido sem evidência identificada",IF(J123&lt;&gt;"Sim","Aguardando conferência",IF(INDEX('ITENS_MTR'!$AM$6:$AM$1005,S123)=1,"Conferido (ver diferença no item)","Conferido"))))))))))))</f>
        <v/>
      </c>
      <c r="Q123" s="96">
        <f>IF(COUNTA(C123,E123:G123,I123:O123)&gt;0,1,0)</f>
        <v>0</v>
      </c>
      <c r="R123" s="96" t="str">
        <f>IF(C123="","",TRIM(LEFT(C123,FIND(" |",C123&amp;" |")-1)))</f>
        <v/>
      </c>
      <c r="S123" s="96" t="str">
        <f>IF(R123="","",IFERROR(MATCH(R123,'ITENS_MTR'!$A$6:$A$1005,0),""))</f>
        <v/>
      </c>
      <c r="T123" s="96">
        <f>IF(S123="",0,IF(INDEX('ITENS_MTR'!$R$6:$R$1005,S123)=1,1,0))</f>
        <v>0</v>
      </c>
      <c r="U123" s="96" t="str">
        <f>IF(T123=1,INDEX('ITENS_MTR'!$T$6:$T$1005,S123),"")</f>
        <v/>
      </c>
      <c r="V123" s="97" t="str">
        <f>IF(N(U123)&gt;0,INDEX('MTRs'!$E$6:$E$505,U123),"")</f>
        <v/>
      </c>
      <c r="W123" s="96" t="str">
        <f>IF(G123="","",IFERROR(IF(ISNUMBER(INDEX(cfg_fac,MATCH(G123,cfg_units,0))),IF(INDEX(cfg_fac,MATCH(G123,cfg_units,0))&gt;0,INDEX(cfg_fac,MATCH(G123,cfg_units,0)),""),""),""))</f>
        <v/>
      </c>
      <c r="X123" s="96">
        <f>IF(AND(ISNUMBER(F123),ISNUMBER(H123)),IF(H123&gt;0,1,0),0)</f>
        <v>0</v>
      </c>
      <c r="Y123" s="96">
        <f>IF(Q123=0,0,IF(OR(T123=0,X123=0,NOT(ISNUMBER(E123)),AND(J123="Sim",L123="",M123=""),AND(ISNUMBER(E123),ISNUMBER(V123),N(V123)&gt;0,E123&lt;N(V123))),1,0))</f>
        <v>0</v>
      </c>
      <c r="Z123" s="96">
        <f>IF(AND(Q123=1,T123=1,X123=1,J123="Sim",OR(L123&lt;&gt;"",M123&lt;&gt;"")),1,0)</f>
        <v>0</v>
      </c>
      <c r="AA123" s="96">
        <f>IF(Q123=0,0,IF(AND(OR(r_ini="",AND(ISNUMBER(E123),E123&gt;=r_ini)),OR(r_fim="",AND(ISNUMBER(E123),E123&lt;=r_fim)),OR(r_un="",r_un="(Todas)",IF(N(U123)&gt;0,INDEX('MTRs'!$G$6:$G$505,U123),"")=r_un),OR(r_de="",r_de="(Todos)",D123=r_de)),1,0))</f>
        <v>0</v>
      </c>
      <c r="AB123" s="96" t="str">
        <f>IF(AA123=1,COUNTIF($AA$6:AA123,1),"")</f>
        <v/>
      </c>
    </row>
    <row r="124">
      <c r="A124" s="89" t="inlineStr">
        <is>
          <t>REC-000119</t>
        </is>
      </c>
      <c r="B124" s="94" t="str">
        <f>IF(T124=1,INDEX('ITENS_MTR'!$S$6:$S$1005,S124)&amp;"","")</f>
        <v/>
      </c>
      <c r="C124" s="91" t="n"/>
      <c r="D124" s="94" t="str">
        <f>IF(N(U124)&gt;0,INDEX('MTRs'!$I$6:$I$505,U124)&amp;"","")</f>
        <v/>
      </c>
      <c r="E124" s="92" t="n"/>
      <c r="F124" s="98" t="n"/>
      <c r="G124" s="91" t="n"/>
      <c r="H124" s="93" t="str">
        <f>IF(Q124=0,"",IF(NOT(ISNUMBER(F124)),"",IF(ISNUMBER(W124),F124*W124,"UNIDADE A CONFERIR")))</f>
        <v/>
      </c>
      <c r="I124" s="91" t="n"/>
      <c r="J124" s="91" t="n"/>
      <c r="K124" s="92" t="n"/>
      <c r="L124" s="91" t="n"/>
      <c r="M124" s="91" t="n"/>
      <c r="N124" s="91" t="n"/>
      <c r="O124" s="91" t="n"/>
      <c r="P124" s="94" t="str">
        <f>IF(Q124=0,"",IF(C124="","Item de resíduo não informado",IF(T124=0,"Item inexistente (referência inválida)",IF(NOT(ISNUMBER(F124)),"Quantidade não informada",IF(F124&lt;=0,"Quantidade não positiva",IF(G124="","Unidade não informada",IF(NOT(ISNUMBER(H124)),"Unidade a conferir",IF(NOT(ISNUMBER(E124)),"Data de recebimento não informada",IF(AND(ISNUMBER(V124),N(V124)&gt;0,E124&lt;N(V124)),"Data anterior à emissão do MTR",IF(AND(J124="Sim",L124="",M124=""),"Conferido sem evidência identificada",IF(J124&lt;&gt;"Sim","Aguardando conferência",IF(INDEX('ITENS_MTR'!$AM$6:$AM$1005,S124)=1,"Conferido (ver diferença no item)","Conferido"))))))))))))</f>
        <v/>
      </c>
      <c r="Q124" s="96">
        <f>IF(COUNTA(C124,E124:G124,I124:O124)&gt;0,1,0)</f>
        <v>0</v>
      </c>
      <c r="R124" s="96" t="str">
        <f>IF(C124="","",TRIM(LEFT(C124,FIND(" |",C124&amp;" |")-1)))</f>
        <v/>
      </c>
      <c r="S124" s="96" t="str">
        <f>IF(R124="","",IFERROR(MATCH(R124,'ITENS_MTR'!$A$6:$A$1005,0),""))</f>
        <v/>
      </c>
      <c r="T124" s="96">
        <f>IF(S124="",0,IF(INDEX('ITENS_MTR'!$R$6:$R$1005,S124)=1,1,0))</f>
        <v>0</v>
      </c>
      <c r="U124" s="96" t="str">
        <f>IF(T124=1,INDEX('ITENS_MTR'!$T$6:$T$1005,S124),"")</f>
        <v/>
      </c>
      <c r="V124" s="97" t="str">
        <f>IF(N(U124)&gt;0,INDEX('MTRs'!$E$6:$E$505,U124),"")</f>
        <v/>
      </c>
      <c r="W124" s="96" t="str">
        <f>IF(G124="","",IFERROR(IF(ISNUMBER(INDEX(cfg_fac,MATCH(G124,cfg_units,0))),IF(INDEX(cfg_fac,MATCH(G124,cfg_units,0))&gt;0,INDEX(cfg_fac,MATCH(G124,cfg_units,0)),""),""),""))</f>
        <v/>
      </c>
      <c r="X124" s="96">
        <f>IF(AND(ISNUMBER(F124),ISNUMBER(H124)),IF(H124&gt;0,1,0),0)</f>
        <v>0</v>
      </c>
      <c r="Y124" s="96">
        <f>IF(Q124=0,0,IF(OR(T124=0,X124=0,NOT(ISNUMBER(E124)),AND(J124="Sim",L124="",M124=""),AND(ISNUMBER(E124),ISNUMBER(V124),N(V124)&gt;0,E124&lt;N(V124))),1,0))</f>
        <v>0</v>
      </c>
      <c r="Z124" s="96">
        <f>IF(AND(Q124=1,T124=1,X124=1,J124="Sim",OR(L124&lt;&gt;"",M124&lt;&gt;"")),1,0)</f>
        <v>0</v>
      </c>
      <c r="AA124" s="96">
        <f>IF(Q124=0,0,IF(AND(OR(r_ini="",AND(ISNUMBER(E124),E124&gt;=r_ini)),OR(r_fim="",AND(ISNUMBER(E124),E124&lt;=r_fim)),OR(r_un="",r_un="(Todas)",IF(N(U124)&gt;0,INDEX('MTRs'!$G$6:$G$505,U124),"")=r_un),OR(r_de="",r_de="(Todos)",D124=r_de)),1,0))</f>
        <v>0</v>
      </c>
      <c r="AB124" s="96" t="str">
        <f>IF(AA124=1,COUNTIF($AA$6:AA124,1),"")</f>
        <v/>
      </c>
    </row>
    <row r="125">
      <c r="A125" s="89" t="inlineStr">
        <is>
          <t>REC-000120</t>
        </is>
      </c>
      <c r="B125" s="94" t="str">
        <f>IF(T125=1,INDEX('ITENS_MTR'!$S$6:$S$1005,S125)&amp;"","")</f>
        <v/>
      </c>
      <c r="C125" s="91" t="n"/>
      <c r="D125" s="94" t="str">
        <f>IF(N(U125)&gt;0,INDEX('MTRs'!$I$6:$I$505,U125)&amp;"","")</f>
        <v/>
      </c>
      <c r="E125" s="92" t="n"/>
      <c r="F125" s="98" t="n"/>
      <c r="G125" s="91" t="n"/>
      <c r="H125" s="93" t="str">
        <f>IF(Q125=0,"",IF(NOT(ISNUMBER(F125)),"",IF(ISNUMBER(W125),F125*W125,"UNIDADE A CONFERIR")))</f>
        <v/>
      </c>
      <c r="I125" s="91" t="n"/>
      <c r="J125" s="91" t="n"/>
      <c r="K125" s="92" t="n"/>
      <c r="L125" s="91" t="n"/>
      <c r="M125" s="91" t="n"/>
      <c r="N125" s="91" t="n"/>
      <c r="O125" s="91" t="n"/>
      <c r="P125" s="94" t="str">
        <f>IF(Q125=0,"",IF(C125="","Item de resíduo não informado",IF(T125=0,"Item inexistente (referência inválida)",IF(NOT(ISNUMBER(F125)),"Quantidade não informada",IF(F125&lt;=0,"Quantidade não positiva",IF(G125="","Unidade não informada",IF(NOT(ISNUMBER(H125)),"Unidade a conferir",IF(NOT(ISNUMBER(E125)),"Data de recebimento não informada",IF(AND(ISNUMBER(V125),N(V125)&gt;0,E125&lt;N(V125)),"Data anterior à emissão do MTR",IF(AND(J125="Sim",L125="",M125=""),"Conferido sem evidência identificada",IF(J125&lt;&gt;"Sim","Aguardando conferência",IF(INDEX('ITENS_MTR'!$AM$6:$AM$1005,S125)=1,"Conferido (ver diferença no item)","Conferido"))))))))))))</f>
        <v/>
      </c>
      <c r="Q125" s="96">
        <f>IF(COUNTA(C125,E125:G125,I125:O125)&gt;0,1,0)</f>
        <v>0</v>
      </c>
      <c r="R125" s="96" t="str">
        <f>IF(C125="","",TRIM(LEFT(C125,FIND(" |",C125&amp;" |")-1)))</f>
        <v/>
      </c>
      <c r="S125" s="96" t="str">
        <f>IF(R125="","",IFERROR(MATCH(R125,'ITENS_MTR'!$A$6:$A$1005,0),""))</f>
        <v/>
      </c>
      <c r="T125" s="96">
        <f>IF(S125="",0,IF(INDEX('ITENS_MTR'!$R$6:$R$1005,S125)=1,1,0))</f>
        <v>0</v>
      </c>
      <c r="U125" s="96" t="str">
        <f>IF(T125=1,INDEX('ITENS_MTR'!$T$6:$T$1005,S125),"")</f>
        <v/>
      </c>
      <c r="V125" s="97" t="str">
        <f>IF(N(U125)&gt;0,INDEX('MTRs'!$E$6:$E$505,U125),"")</f>
        <v/>
      </c>
      <c r="W125" s="96" t="str">
        <f>IF(G125="","",IFERROR(IF(ISNUMBER(INDEX(cfg_fac,MATCH(G125,cfg_units,0))),IF(INDEX(cfg_fac,MATCH(G125,cfg_units,0))&gt;0,INDEX(cfg_fac,MATCH(G125,cfg_units,0)),""),""),""))</f>
        <v/>
      </c>
      <c r="X125" s="96">
        <f>IF(AND(ISNUMBER(F125),ISNUMBER(H125)),IF(H125&gt;0,1,0),0)</f>
        <v>0</v>
      </c>
      <c r="Y125" s="96">
        <f>IF(Q125=0,0,IF(OR(T125=0,X125=0,NOT(ISNUMBER(E125)),AND(J125="Sim",L125="",M125=""),AND(ISNUMBER(E125),ISNUMBER(V125),N(V125)&gt;0,E125&lt;N(V125))),1,0))</f>
        <v>0</v>
      </c>
      <c r="Z125" s="96">
        <f>IF(AND(Q125=1,T125=1,X125=1,J125="Sim",OR(L125&lt;&gt;"",M125&lt;&gt;"")),1,0)</f>
        <v>0</v>
      </c>
      <c r="AA125" s="96">
        <f>IF(Q125=0,0,IF(AND(OR(r_ini="",AND(ISNUMBER(E125),E125&gt;=r_ini)),OR(r_fim="",AND(ISNUMBER(E125),E125&lt;=r_fim)),OR(r_un="",r_un="(Todas)",IF(N(U125)&gt;0,INDEX('MTRs'!$G$6:$G$505,U125),"")=r_un),OR(r_de="",r_de="(Todos)",D125=r_de)),1,0))</f>
        <v>0</v>
      </c>
      <c r="AB125" s="96" t="str">
        <f>IF(AA125=1,COUNTIF($AA$6:AA125,1),"")</f>
        <v/>
      </c>
    </row>
    <row r="126">
      <c r="A126" s="89" t="inlineStr">
        <is>
          <t>REC-000121</t>
        </is>
      </c>
      <c r="B126" s="94" t="str">
        <f>IF(T126=1,INDEX('ITENS_MTR'!$S$6:$S$1005,S126)&amp;"","")</f>
        <v/>
      </c>
      <c r="C126" s="91" t="n"/>
      <c r="D126" s="94" t="str">
        <f>IF(N(U126)&gt;0,INDEX('MTRs'!$I$6:$I$505,U126)&amp;"","")</f>
        <v/>
      </c>
      <c r="E126" s="92" t="n"/>
      <c r="F126" s="98" t="n"/>
      <c r="G126" s="91" t="n"/>
      <c r="H126" s="93" t="str">
        <f>IF(Q126=0,"",IF(NOT(ISNUMBER(F126)),"",IF(ISNUMBER(W126),F126*W126,"UNIDADE A CONFERIR")))</f>
        <v/>
      </c>
      <c r="I126" s="91" t="n"/>
      <c r="J126" s="91" t="n"/>
      <c r="K126" s="92" t="n"/>
      <c r="L126" s="91" t="n"/>
      <c r="M126" s="91" t="n"/>
      <c r="N126" s="91" t="n"/>
      <c r="O126" s="91" t="n"/>
      <c r="P126" s="94" t="str">
        <f>IF(Q126=0,"",IF(C126="","Item de resíduo não informado",IF(T126=0,"Item inexistente (referência inválida)",IF(NOT(ISNUMBER(F126)),"Quantidade não informada",IF(F126&lt;=0,"Quantidade não positiva",IF(G126="","Unidade não informada",IF(NOT(ISNUMBER(H126)),"Unidade a conferir",IF(NOT(ISNUMBER(E126)),"Data de recebimento não informada",IF(AND(ISNUMBER(V126),N(V126)&gt;0,E126&lt;N(V126)),"Data anterior à emissão do MTR",IF(AND(J126="Sim",L126="",M126=""),"Conferido sem evidência identificada",IF(J126&lt;&gt;"Sim","Aguardando conferência",IF(INDEX('ITENS_MTR'!$AM$6:$AM$1005,S126)=1,"Conferido (ver diferença no item)","Conferido"))))))))))))</f>
        <v/>
      </c>
      <c r="Q126" s="96">
        <f>IF(COUNTA(C126,E126:G126,I126:O126)&gt;0,1,0)</f>
        <v>0</v>
      </c>
      <c r="R126" s="96" t="str">
        <f>IF(C126="","",TRIM(LEFT(C126,FIND(" |",C126&amp;" |")-1)))</f>
        <v/>
      </c>
      <c r="S126" s="96" t="str">
        <f>IF(R126="","",IFERROR(MATCH(R126,'ITENS_MTR'!$A$6:$A$1005,0),""))</f>
        <v/>
      </c>
      <c r="T126" s="96">
        <f>IF(S126="",0,IF(INDEX('ITENS_MTR'!$R$6:$R$1005,S126)=1,1,0))</f>
        <v>0</v>
      </c>
      <c r="U126" s="96" t="str">
        <f>IF(T126=1,INDEX('ITENS_MTR'!$T$6:$T$1005,S126),"")</f>
        <v/>
      </c>
      <c r="V126" s="97" t="str">
        <f>IF(N(U126)&gt;0,INDEX('MTRs'!$E$6:$E$505,U126),"")</f>
        <v/>
      </c>
      <c r="W126" s="96" t="str">
        <f>IF(G126="","",IFERROR(IF(ISNUMBER(INDEX(cfg_fac,MATCH(G126,cfg_units,0))),IF(INDEX(cfg_fac,MATCH(G126,cfg_units,0))&gt;0,INDEX(cfg_fac,MATCH(G126,cfg_units,0)),""),""),""))</f>
        <v/>
      </c>
      <c r="X126" s="96">
        <f>IF(AND(ISNUMBER(F126),ISNUMBER(H126)),IF(H126&gt;0,1,0),0)</f>
        <v>0</v>
      </c>
      <c r="Y126" s="96">
        <f>IF(Q126=0,0,IF(OR(T126=0,X126=0,NOT(ISNUMBER(E126)),AND(J126="Sim",L126="",M126=""),AND(ISNUMBER(E126),ISNUMBER(V126),N(V126)&gt;0,E126&lt;N(V126))),1,0))</f>
        <v>0</v>
      </c>
      <c r="Z126" s="96">
        <f>IF(AND(Q126=1,T126=1,X126=1,J126="Sim",OR(L126&lt;&gt;"",M126&lt;&gt;"")),1,0)</f>
        <v>0</v>
      </c>
      <c r="AA126" s="96">
        <f>IF(Q126=0,0,IF(AND(OR(r_ini="",AND(ISNUMBER(E126),E126&gt;=r_ini)),OR(r_fim="",AND(ISNUMBER(E126),E126&lt;=r_fim)),OR(r_un="",r_un="(Todas)",IF(N(U126)&gt;0,INDEX('MTRs'!$G$6:$G$505,U126),"")=r_un),OR(r_de="",r_de="(Todos)",D126=r_de)),1,0))</f>
        <v>0</v>
      </c>
      <c r="AB126" s="96" t="str">
        <f>IF(AA126=1,COUNTIF($AA$6:AA126,1),"")</f>
        <v/>
      </c>
    </row>
    <row r="127">
      <c r="A127" s="89" t="inlineStr">
        <is>
          <t>REC-000122</t>
        </is>
      </c>
      <c r="B127" s="94" t="str">
        <f>IF(T127=1,INDEX('ITENS_MTR'!$S$6:$S$1005,S127)&amp;"","")</f>
        <v/>
      </c>
      <c r="C127" s="91" t="n"/>
      <c r="D127" s="94" t="str">
        <f>IF(N(U127)&gt;0,INDEX('MTRs'!$I$6:$I$505,U127)&amp;"","")</f>
        <v/>
      </c>
      <c r="E127" s="92" t="n"/>
      <c r="F127" s="98" t="n"/>
      <c r="G127" s="91" t="n"/>
      <c r="H127" s="93" t="str">
        <f>IF(Q127=0,"",IF(NOT(ISNUMBER(F127)),"",IF(ISNUMBER(W127),F127*W127,"UNIDADE A CONFERIR")))</f>
        <v/>
      </c>
      <c r="I127" s="91" t="n"/>
      <c r="J127" s="91" t="n"/>
      <c r="K127" s="92" t="n"/>
      <c r="L127" s="91" t="n"/>
      <c r="M127" s="91" t="n"/>
      <c r="N127" s="91" t="n"/>
      <c r="O127" s="91" t="n"/>
      <c r="P127" s="94" t="str">
        <f>IF(Q127=0,"",IF(C127="","Item de resíduo não informado",IF(T127=0,"Item inexistente (referência inválida)",IF(NOT(ISNUMBER(F127)),"Quantidade não informada",IF(F127&lt;=0,"Quantidade não positiva",IF(G127="","Unidade não informada",IF(NOT(ISNUMBER(H127)),"Unidade a conferir",IF(NOT(ISNUMBER(E127)),"Data de recebimento não informada",IF(AND(ISNUMBER(V127),N(V127)&gt;0,E127&lt;N(V127)),"Data anterior à emissão do MTR",IF(AND(J127="Sim",L127="",M127=""),"Conferido sem evidência identificada",IF(J127&lt;&gt;"Sim","Aguardando conferência",IF(INDEX('ITENS_MTR'!$AM$6:$AM$1005,S127)=1,"Conferido (ver diferença no item)","Conferido"))))))))))))</f>
        <v/>
      </c>
      <c r="Q127" s="96">
        <f>IF(COUNTA(C127,E127:G127,I127:O127)&gt;0,1,0)</f>
        <v>0</v>
      </c>
      <c r="R127" s="96" t="str">
        <f>IF(C127="","",TRIM(LEFT(C127,FIND(" |",C127&amp;" |")-1)))</f>
        <v/>
      </c>
      <c r="S127" s="96" t="str">
        <f>IF(R127="","",IFERROR(MATCH(R127,'ITENS_MTR'!$A$6:$A$1005,0),""))</f>
        <v/>
      </c>
      <c r="T127" s="96">
        <f>IF(S127="",0,IF(INDEX('ITENS_MTR'!$R$6:$R$1005,S127)=1,1,0))</f>
        <v>0</v>
      </c>
      <c r="U127" s="96" t="str">
        <f>IF(T127=1,INDEX('ITENS_MTR'!$T$6:$T$1005,S127),"")</f>
        <v/>
      </c>
      <c r="V127" s="97" t="str">
        <f>IF(N(U127)&gt;0,INDEX('MTRs'!$E$6:$E$505,U127),"")</f>
        <v/>
      </c>
      <c r="W127" s="96" t="str">
        <f>IF(G127="","",IFERROR(IF(ISNUMBER(INDEX(cfg_fac,MATCH(G127,cfg_units,0))),IF(INDEX(cfg_fac,MATCH(G127,cfg_units,0))&gt;0,INDEX(cfg_fac,MATCH(G127,cfg_units,0)),""),""),""))</f>
        <v/>
      </c>
      <c r="X127" s="96">
        <f>IF(AND(ISNUMBER(F127),ISNUMBER(H127)),IF(H127&gt;0,1,0),0)</f>
        <v>0</v>
      </c>
      <c r="Y127" s="96">
        <f>IF(Q127=0,0,IF(OR(T127=0,X127=0,NOT(ISNUMBER(E127)),AND(J127="Sim",L127="",M127=""),AND(ISNUMBER(E127),ISNUMBER(V127),N(V127)&gt;0,E127&lt;N(V127))),1,0))</f>
        <v>0</v>
      </c>
      <c r="Z127" s="96">
        <f>IF(AND(Q127=1,T127=1,X127=1,J127="Sim",OR(L127&lt;&gt;"",M127&lt;&gt;"")),1,0)</f>
        <v>0</v>
      </c>
      <c r="AA127" s="96">
        <f>IF(Q127=0,0,IF(AND(OR(r_ini="",AND(ISNUMBER(E127),E127&gt;=r_ini)),OR(r_fim="",AND(ISNUMBER(E127),E127&lt;=r_fim)),OR(r_un="",r_un="(Todas)",IF(N(U127)&gt;0,INDEX('MTRs'!$G$6:$G$505,U127),"")=r_un),OR(r_de="",r_de="(Todos)",D127=r_de)),1,0))</f>
        <v>0</v>
      </c>
      <c r="AB127" s="96" t="str">
        <f>IF(AA127=1,COUNTIF($AA$6:AA127,1),"")</f>
        <v/>
      </c>
    </row>
    <row r="128">
      <c r="A128" s="89" t="inlineStr">
        <is>
          <t>REC-000123</t>
        </is>
      </c>
      <c r="B128" s="94" t="str">
        <f>IF(T128=1,INDEX('ITENS_MTR'!$S$6:$S$1005,S128)&amp;"","")</f>
        <v/>
      </c>
      <c r="C128" s="91" t="n"/>
      <c r="D128" s="94" t="str">
        <f>IF(N(U128)&gt;0,INDEX('MTRs'!$I$6:$I$505,U128)&amp;"","")</f>
        <v/>
      </c>
      <c r="E128" s="92" t="n"/>
      <c r="F128" s="98" t="n"/>
      <c r="G128" s="91" t="n"/>
      <c r="H128" s="93" t="str">
        <f>IF(Q128=0,"",IF(NOT(ISNUMBER(F128)),"",IF(ISNUMBER(W128),F128*W128,"UNIDADE A CONFERIR")))</f>
        <v/>
      </c>
      <c r="I128" s="91" t="n"/>
      <c r="J128" s="91" t="n"/>
      <c r="K128" s="92" t="n"/>
      <c r="L128" s="91" t="n"/>
      <c r="M128" s="91" t="n"/>
      <c r="N128" s="91" t="n"/>
      <c r="O128" s="91" t="n"/>
      <c r="P128" s="94" t="str">
        <f>IF(Q128=0,"",IF(C128="","Item de resíduo não informado",IF(T128=0,"Item inexistente (referência inválida)",IF(NOT(ISNUMBER(F128)),"Quantidade não informada",IF(F128&lt;=0,"Quantidade não positiva",IF(G128="","Unidade não informada",IF(NOT(ISNUMBER(H128)),"Unidade a conferir",IF(NOT(ISNUMBER(E128)),"Data de recebimento não informada",IF(AND(ISNUMBER(V128),N(V128)&gt;0,E128&lt;N(V128)),"Data anterior à emissão do MTR",IF(AND(J128="Sim",L128="",M128=""),"Conferido sem evidência identificada",IF(J128&lt;&gt;"Sim","Aguardando conferência",IF(INDEX('ITENS_MTR'!$AM$6:$AM$1005,S128)=1,"Conferido (ver diferença no item)","Conferido"))))))))))))</f>
        <v/>
      </c>
      <c r="Q128" s="96">
        <f>IF(COUNTA(C128,E128:G128,I128:O128)&gt;0,1,0)</f>
        <v>0</v>
      </c>
      <c r="R128" s="96" t="str">
        <f>IF(C128="","",TRIM(LEFT(C128,FIND(" |",C128&amp;" |")-1)))</f>
        <v/>
      </c>
      <c r="S128" s="96" t="str">
        <f>IF(R128="","",IFERROR(MATCH(R128,'ITENS_MTR'!$A$6:$A$1005,0),""))</f>
        <v/>
      </c>
      <c r="T128" s="96">
        <f>IF(S128="",0,IF(INDEX('ITENS_MTR'!$R$6:$R$1005,S128)=1,1,0))</f>
        <v>0</v>
      </c>
      <c r="U128" s="96" t="str">
        <f>IF(T128=1,INDEX('ITENS_MTR'!$T$6:$T$1005,S128),"")</f>
        <v/>
      </c>
      <c r="V128" s="97" t="str">
        <f>IF(N(U128)&gt;0,INDEX('MTRs'!$E$6:$E$505,U128),"")</f>
        <v/>
      </c>
      <c r="W128" s="96" t="str">
        <f>IF(G128="","",IFERROR(IF(ISNUMBER(INDEX(cfg_fac,MATCH(G128,cfg_units,0))),IF(INDEX(cfg_fac,MATCH(G128,cfg_units,0))&gt;0,INDEX(cfg_fac,MATCH(G128,cfg_units,0)),""),""),""))</f>
        <v/>
      </c>
      <c r="X128" s="96">
        <f>IF(AND(ISNUMBER(F128),ISNUMBER(H128)),IF(H128&gt;0,1,0),0)</f>
        <v>0</v>
      </c>
      <c r="Y128" s="96">
        <f>IF(Q128=0,0,IF(OR(T128=0,X128=0,NOT(ISNUMBER(E128)),AND(J128="Sim",L128="",M128=""),AND(ISNUMBER(E128),ISNUMBER(V128),N(V128)&gt;0,E128&lt;N(V128))),1,0))</f>
        <v>0</v>
      </c>
      <c r="Z128" s="96">
        <f>IF(AND(Q128=1,T128=1,X128=1,J128="Sim",OR(L128&lt;&gt;"",M128&lt;&gt;"")),1,0)</f>
        <v>0</v>
      </c>
      <c r="AA128" s="96">
        <f>IF(Q128=0,0,IF(AND(OR(r_ini="",AND(ISNUMBER(E128),E128&gt;=r_ini)),OR(r_fim="",AND(ISNUMBER(E128),E128&lt;=r_fim)),OR(r_un="",r_un="(Todas)",IF(N(U128)&gt;0,INDEX('MTRs'!$G$6:$G$505,U128),"")=r_un),OR(r_de="",r_de="(Todos)",D128=r_de)),1,0))</f>
        <v>0</v>
      </c>
      <c r="AB128" s="96" t="str">
        <f>IF(AA128=1,COUNTIF($AA$6:AA128,1),"")</f>
        <v/>
      </c>
    </row>
    <row r="129">
      <c r="A129" s="89" t="inlineStr">
        <is>
          <t>REC-000124</t>
        </is>
      </c>
      <c r="B129" s="94" t="str">
        <f>IF(T129=1,INDEX('ITENS_MTR'!$S$6:$S$1005,S129)&amp;"","")</f>
        <v/>
      </c>
      <c r="C129" s="91" t="n"/>
      <c r="D129" s="94" t="str">
        <f>IF(N(U129)&gt;0,INDEX('MTRs'!$I$6:$I$505,U129)&amp;"","")</f>
        <v/>
      </c>
      <c r="E129" s="92" t="n"/>
      <c r="F129" s="98" t="n"/>
      <c r="G129" s="91" t="n"/>
      <c r="H129" s="93" t="str">
        <f>IF(Q129=0,"",IF(NOT(ISNUMBER(F129)),"",IF(ISNUMBER(W129),F129*W129,"UNIDADE A CONFERIR")))</f>
        <v/>
      </c>
      <c r="I129" s="91" t="n"/>
      <c r="J129" s="91" t="n"/>
      <c r="K129" s="92" t="n"/>
      <c r="L129" s="91" t="n"/>
      <c r="M129" s="91" t="n"/>
      <c r="N129" s="91" t="n"/>
      <c r="O129" s="91" t="n"/>
      <c r="P129" s="94" t="str">
        <f>IF(Q129=0,"",IF(C129="","Item de resíduo não informado",IF(T129=0,"Item inexistente (referência inválida)",IF(NOT(ISNUMBER(F129)),"Quantidade não informada",IF(F129&lt;=0,"Quantidade não positiva",IF(G129="","Unidade não informada",IF(NOT(ISNUMBER(H129)),"Unidade a conferir",IF(NOT(ISNUMBER(E129)),"Data de recebimento não informada",IF(AND(ISNUMBER(V129),N(V129)&gt;0,E129&lt;N(V129)),"Data anterior à emissão do MTR",IF(AND(J129="Sim",L129="",M129=""),"Conferido sem evidência identificada",IF(J129&lt;&gt;"Sim","Aguardando conferência",IF(INDEX('ITENS_MTR'!$AM$6:$AM$1005,S129)=1,"Conferido (ver diferença no item)","Conferido"))))))))))))</f>
        <v/>
      </c>
      <c r="Q129" s="96">
        <f>IF(COUNTA(C129,E129:G129,I129:O129)&gt;0,1,0)</f>
        <v>0</v>
      </c>
      <c r="R129" s="96" t="str">
        <f>IF(C129="","",TRIM(LEFT(C129,FIND(" |",C129&amp;" |")-1)))</f>
        <v/>
      </c>
      <c r="S129" s="96" t="str">
        <f>IF(R129="","",IFERROR(MATCH(R129,'ITENS_MTR'!$A$6:$A$1005,0),""))</f>
        <v/>
      </c>
      <c r="T129" s="96">
        <f>IF(S129="",0,IF(INDEX('ITENS_MTR'!$R$6:$R$1005,S129)=1,1,0))</f>
        <v>0</v>
      </c>
      <c r="U129" s="96" t="str">
        <f>IF(T129=1,INDEX('ITENS_MTR'!$T$6:$T$1005,S129),"")</f>
        <v/>
      </c>
      <c r="V129" s="97" t="str">
        <f>IF(N(U129)&gt;0,INDEX('MTRs'!$E$6:$E$505,U129),"")</f>
        <v/>
      </c>
      <c r="W129" s="96" t="str">
        <f>IF(G129="","",IFERROR(IF(ISNUMBER(INDEX(cfg_fac,MATCH(G129,cfg_units,0))),IF(INDEX(cfg_fac,MATCH(G129,cfg_units,0))&gt;0,INDEX(cfg_fac,MATCH(G129,cfg_units,0)),""),""),""))</f>
        <v/>
      </c>
      <c r="X129" s="96">
        <f>IF(AND(ISNUMBER(F129),ISNUMBER(H129)),IF(H129&gt;0,1,0),0)</f>
        <v>0</v>
      </c>
      <c r="Y129" s="96">
        <f>IF(Q129=0,0,IF(OR(T129=0,X129=0,NOT(ISNUMBER(E129)),AND(J129="Sim",L129="",M129=""),AND(ISNUMBER(E129),ISNUMBER(V129),N(V129)&gt;0,E129&lt;N(V129))),1,0))</f>
        <v>0</v>
      </c>
      <c r="Z129" s="96">
        <f>IF(AND(Q129=1,T129=1,X129=1,J129="Sim",OR(L129&lt;&gt;"",M129&lt;&gt;"")),1,0)</f>
        <v>0</v>
      </c>
      <c r="AA129" s="96">
        <f>IF(Q129=0,0,IF(AND(OR(r_ini="",AND(ISNUMBER(E129),E129&gt;=r_ini)),OR(r_fim="",AND(ISNUMBER(E129),E129&lt;=r_fim)),OR(r_un="",r_un="(Todas)",IF(N(U129)&gt;0,INDEX('MTRs'!$G$6:$G$505,U129),"")=r_un),OR(r_de="",r_de="(Todos)",D129=r_de)),1,0))</f>
        <v>0</v>
      </c>
      <c r="AB129" s="96" t="str">
        <f>IF(AA129=1,COUNTIF($AA$6:AA129,1),"")</f>
        <v/>
      </c>
    </row>
    <row r="130">
      <c r="A130" s="89" t="inlineStr">
        <is>
          <t>REC-000125</t>
        </is>
      </c>
      <c r="B130" s="94" t="str">
        <f>IF(T130=1,INDEX('ITENS_MTR'!$S$6:$S$1005,S130)&amp;"","")</f>
        <v/>
      </c>
      <c r="C130" s="91" t="n"/>
      <c r="D130" s="94" t="str">
        <f>IF(N(U130)&gt;0,INDEX('MTRs'!$I$6:$I$505,U130)&amp;"","")</f>
        <v/>
      </c>
      <c r="E130" s="92" t="n"/>
      <c r="F130" s="98" t="n"/>
      <c r="G130" s="91" t="n"/>
      <c r="H130" s="93" t="str">
        <f>IF(Q130=0,"",IF(NOT(ISNUMBER(F130)),"",IF(ISNUMBER(W130),F130*W130,"UNIDADE A CONFERIR")))</f>
        <v/>
      </c>
      <c r="I130" s="91" t="n"/>
      <c r="J130" s="91" t="n"/>
      <c r="K130" s="92" t="n"/>
      <c r="L130" s="91" t="n"/>
      <c r="M130" s="91" t="n"/>
      <c r="N130" s="91" t="n"/>
      <c r="O130" s="91" t="n"/>
      <c r="P130" s="94" t="str">
        <f>IF(Q130=0,"",IF(C130="","Item de resíduo não informado",IF(T130=0,"Item inexistente (referência inválida)",IF(NOT(ISNUMBER(F130)),"Quantidade não informada",IF(F130&lt;=0,"Quantidade não positiva",IF(G130="","Unidade não informada",IF(NOT(ISNUMBER(H130)),"Unidade a conferir",IF(NOT(ISNUMBER(E130)),"Data de recebimento não informada",IF(AND(ISNUMBER(V130),N(V130)&gt;0,E130&lt;N(V130)),"Data anterior à emissão do MTR",IF(AND(J130="Sim",L130="",M130=""),"Conferido sem evidência identificada",IF(J130&lt;&gt;"Sim","Aguardando conferência",IF(INDEX('ITENS_MTR'!$AM$6:$AM$1005,S130)=1,"Conferido (ver diferença no item)","Conferido"))))))))))))</f>
        <v/>
      </c>
      <c r="Q130" s="96">
        <f>IF(COUNTA(C130,E130:G130,I130:O130)&gt;0,1,0)</f>
        <v>0</v>
      </c>
      <c r="R130" s="96" t="str">
        <f>IF(C130="","",TRIM(LEFT(C130,FIND(" |",C130&amp;" |")-1)))</f>
        <v/>
      </c>
      <c r="S130" s="96" t="str">
        <f>IF(R130="","",IFERROR(MATCH(R130,'ITENS_MTR'!$A$6:$A$1005,0),""))</f>
        <v/>
      </c>
      <c r="T130" s="96">
        <f>IF(S130="",0,IF(INDEX('ITENS_MTR'!$R$6:$R$1005,S130)=1,1,0))</f>
        <v>0</v>
      </c>
      <c r="U130" s="96" t="str">
        <f>IF(T130=1,INDEX('ITENS_MTR'!$T$6:$T$1005,S130),"")</f>
        <v/>
      </c>
      <c r="V130" s="97" t="str">
        <f>IF(N(U130)&gt;0,INDEX('MTRs'!$E$6:$E$505,U130),"")</f>
        <v/>
      </c>
      <c r="W130" s="96" t="str">
        <f>IF(G130="","",IFERROR(IF(ISNUMBER(INDEX(cfg_fac,MATCH(G130,cfg_units,0))),IF(INDEX(cfg_fac,MATCH(G130,cfg_units,0))&gt;0,INDEX(cfg_fac,MATCH(G130,cfg_units,0)),""),""),""))</f>
        <v/>
      </c>
      <c r="X130" s="96">
        <f>IF(AND(ISNUMBER(F130),ISNUMBER(H130)),IF(H130&gt;0,1,0),0)</f>
        <v>0</v>
      </c>
      <c r="Y130" s="96">
        <f>IF(Q130=0,0,IF(OR(T130=0,X130=0,NOT(ISNUMBER(E130)),AND(J130="Sim",L130="",M130=""),AND(ISNUMBER(E130),ISNUMBER(V130),N(V130)&gt;0,E130&lt;N(V130))),1,0))</f>
        <v>0</v>
      </c>
      <c r="Z130" s="96">
        <f>IF(AND(Q130=1,T130=1,X130=1,J130="Sim",OR(L130&lt;&gt;"",M130&lt;&gt;"")),1,0)</f>
        <v>0</v>
      </c>
      <c r="AA130" s="96">
        <f>IF(Q130=0,0,IF(AND(OR(r_ini="",AND(ISNUMBER(E130),E130&gt;=r_ini)),OR(r_fim="",AND(ISNUMBER(E130),E130&lt;=r_fim)),OR(r_un="",r_un="(Todas)",IF(N(U130)&gt;0,INDEX('MTRs'!$G$6:$G$505,U130),"")=r_un),OR(r_de="",r_de="(Todos)",D130=r_de)),1,0))</f>
        <v>0</v>
      </c>
      <c r="AB130" s="96" t="str">
        <f>IF(AA130=1,COUNTIF($AA$6:AA130,1),"")</f>
        <v/>
      </c>
    </row>
    <row r="131">
      <c r="A131" s="89" t="inlineStr">
        <is>
          <t>REC-000126</t>
        </is>
      </c>
      <c r="B131" s="94" t="str">
        <f>IF(T131=1,INDEX('ITENS_MTR'!$S$6:$S$1005,S131)&amp;"","")</f>
        <v/>
      </c>
      <c r="C131" s="91" t="n"/>
      <c r="D131" s="94" t="str">
        <f>IF(N(U131)&gt;0,INDEX('MTRs'!$I$6:$I$505,U131)&amp;"","")</f>
        <v/>
      </c>
      <c r="E131" s="92" t="n"/>
      <c r="F131" s="98" t="n"/>
      <c r="G131" s="91" t="n"/>
      <c r="H131" s="93" t="str">
        <f>IF(Q131=0,"",IF(NOT(ISNUMBER(F131)),"",IF(ISNUMBER(W131),F131*W131,"UNIDADE A CONFERIR")))</f>
        <v/>
      </c>
      <c r="I131" s="91" t="n"/>
      <c r="J131" s="91" t="n"/>
      <c r="K131" s="92" t="n"/>
      <c r="L131" s="91" t="n"/>
      <c r="M131" s="91" t="n"/>
      <c r="N131" s="91" t="n"/>
      <c r="O131" s="91" t="n"/>
      <c r="P131" s="94" t="str">
        <f>IF(Q131=0,"",IF(C131="","Item de resíduo não informado",IF(T131=0,"Item inexistente (referência inválida)",IF(NOT(ISNUMBER(F131)),"Quantidade não informada",IF(F131&lt;=0,"Quantidade não positiva",IF(G131="","Unidade não informada",IF(NOT(ISNUMBER(H131)),"Unidade a conferir",IF(NOT(ISNUMBER(E131)),"Data de recebimento não informada",IF(AND(ISNUMBER(V131),N(V131)&gt;0,E131&lt;N(V131)),"Data anterior à emissão do MTR",IF(AND(J131="Sim",L131="",M131=""),"Conferido sem evidência identificada",IF(J131&lt;&gt;"Sim","Aguardando conferência",IF(INDEX('ITENS_MTR'!$AM$6:$AM$1005,S131)=1,"Conferido (ver diferença no item)","Conferido"))))))))))))</f>
        <v/>
      </c>
      <c r="Q131" s="96">
        <f>IF(COUNTA(C131,E131:G131,I131:O131)&gt;0,1,0)</f>
        <v>0</v>
      </c>
      <c r="R131" s="96" t="str">
        <f>IF(C131="","",TRIM(LEFT(C131,FIND(" |",C131&amp;" |")-1)))</f>
        <v/>
      </c>
      <c r="S131" s="96" t="str">
        <f>IF(R131="","",IFERROR(MATCH(R131,'ITENS_MTR'!$A$6:$A$1005,0),""))</f>
        <v/>
      </c>
      <c r="T131" s="96">
        <f>IF(S131="",0,IF(INDEX('ITENS_MTR'!$R$6:$R$1005,S131)=1,1,0))</f>
        <v>0</v>
      </c>
      <c r="U131" s="96" t="str">
        <f>IF(T131=1,INDEX('ITENS_MTR'!$T$6:$T$1005,S131),"")</f>
        <v/>
      </c>
      <c r="V131" s="97" t="str">
        <f>IF(N(U131)&gt;0,INDEX('MTRs'!$E$6:$E$505,U131),"")</f>
        <v/>
      </c>
      <c r="W131" s="96" t="str">
        <f>IF(G131="","",IFERROR(IF(ISNUMBER(INDEX(cfg_fac,MATCH(G131,cfg_units,0))),IF(INDEX(cfg_fac,MATCH(G131,cfg_units,0))&gt;0,INDEX(cfg_fac,MATCH(G131,cfg_units,0)),""),""),""))</f>
        <v/>
      </c>
      <c r="X131" s="96">
        <f>IF(AND(ISNUMBER(F131),ISNUMBER(H131)),IF(H131&gt;0,1,0),0)</f>
        <v>0</v>
      </c>
      <c r="Y131" s="96">
        <f>IF(Q131=0,0,IF(OR(T131=0,X131=0,NOT(ISNUMBER(E131)),AND(J131="Sim",L131="",M131=""),AND(ISNUMBER(E131),ISNUMBER(V131),N(V131)&gt;0,E131&lt;N(V131))),1,0))</f>
        <v>0</v>
      </c>
      <c r="Z131" s="96">
        <f>IF(AND(Q131=1,T131=1,X131=1,J131="Sim",OR(L131&lt;&gt;"",M131&lt;&gt;"")),1,0)</f>
        <v>0</v>
      </c>
      <c r="AA131" s="96">
        <f>IF(Q131=0,0,IF(AND(OR(r_ini="",AND(ISNUMBER(E131),E131&gt;=r_ini)),OR(r_fim="",AND(ISNUMBER(E131),E131&lt;=r_fim)),OR(r_un="",r_un="(Todas)",IF(N(U131)&gt;0,INDEX('MTRs'!$G$6:$G$505,U131),"")=r_un),OR(r_de="",r_de="(Todos)",D131=r_de)),1,0))</f>
        <v>0</v>
      </c>
      <c r="AB131" s="96" t="str">
        <f>IF(AA131=1,COUNTIF($AA$6:AA131,1),"")</f>
        <v/>
      </c>
    </row>
    <row r="132">
      <c r="A132" s="89" t="inlineStr">
        <is>
          <t>REC-000127</t>
        </is>
      </c>
      <c r="B132" s="94" t="str">
        <f>IF(T132=1,INDEX('ITENS_MTR'!$S$6:$S$1005,S132)&amp;"","")</f>
        <v/>
      </c>
      <c r="C132" s="91" t="n"/>
      <c r="D132" s="94" t="str">
        <f>IF(N(U132)&gt;0,INDEX('MTRs'!$I$6:$I$505,U132)&amp;"","")</f>
        <v/>
      </c>
      <c r="E132" s="92" t="n"/>
      <c r="F132" s="98" t="n"/>
      <c r="G132" s="91" t="n"/>
      <c r="H132" s="93" t="str">
        <f>IF(Q132=0,"",IF(NOT(ISNUMBER(F132)),"",IF(ISNUMBER(W132),F132*W132,"UNIDADE A CONFERIR")))</f>
        <v/>
      </c>
      <c r="I132" s="91" t="n"/>
      <c r="J132" s="91" t="n"/>
      <c r="K132" s="92" t="n"/>
      <c r="L132" s="91" t="n"/>
      <c r="M132" s="91" t="n"/>
      <c r="N132" s="91" t="n"/>
      <c r="O132" s="91" t="n"/>
      <c r="P132" s="94" t="str">
        <f>IF(Q132=0,"",IF(C132="","Item de resíduo não informado",IF(T132=0,"Item inexistente (referência inválida)",IF(NOT(ISNUMBER(F132)),"Quantidade não informada",IF(F132&lt;=0,"Quantidade não positiva",IF(G132="","Unidade não informada",IF(NOT(ISNUMBER(H132)),"Unidade a conferir",IF(NOT(ISNUMBER(E132)),"Data de recebimento não informada",IF(AND(ISNUMBER(V132),N(V132)&gt;0,E132&lt;N(V132)),"Data anterior à emissão do MTR",IF(AND(J132="Sim",L132="",M132=""),"Conferido sem evidência identificada",IF(J132&lt;&gt;"Sim","Aguardando conferência",IF(INDEX('ITENS_MTR'!$AM$6:$AM$1005,S132)=1,"Conferido (ver diferença no item)","Conferido"))))))))))))</f>
        <v/>
      </c>
      <c r="Q132" s="96">
        <f>IF(COUNTA(C132,E132:G132,I132:O132)&gt;0,1,0)</f>
        <v>0</v>
      </c>
      <c r="R132" s="96" t="str">
        <f>IF(C132="","",TRIM(LEFT(C132,FIND(" |",C132&amp;" |")-1)))</f>
        <v/>
      </c>
      <c r="S132" s="96" t="str">
        <f>IF(R132="","",IFERROR(MATCH(R132,'ITENS_MTR'!$A$6:$A$1005,0),""))</f>
        <v/>
      </c>
      <c r="T132" s="96">
        <f>IF(S132="",0,IF(INDEX('ITENS_MTR'!$R$6:$R$1005,S132)=1,1,0))</f>
        <v>0</v>
      </c>
      <c r="U132" s="96" t="str">
        <f>IF(T132=1,INDEX('ITENS_MTR'!$T$6:$T$1005,S132),"")</f>
        <v/>
      </c>
      <c r="V132" s="97" t="str">
        <f>IF(N(U132)&gt;0,INDEX('MTRs'!$E$6:$E$505,U132),"")</f>
        <v/>
      </c>
      <c r="W132" s="96" t="str">
        <f>IF(G132="","",IFERROR(IF(ISNUMBER(INDEX(cfg_fac,MATCH(G132,cfg_units,0))),IF(INDEX(cfg_fac,MATCH(G132,cfg_units,0))&gt;0,INDEX(cfg_fac,MATCH(G132,cfg_units,0)),""),""),""))</f>
        <v/>
      </c>
      <c r="X132" s="96">
        <f>IF(AND(ISNUMBER(F132),ISNUMBER(H132)),IF(H132&gt;0,1,0),0)</f>
        <v>0</v>
      </c>
      <c r="Y132" s="96">
        <f>IF(Q132=0,0,IF(OR(T132=0,X132=0,NOT(ISNUMBER(E132)),AND(J132="Sim",L132="",M132=""),AND(ISNUMBER(E132),ISNUMBER(V132),N(V132)&gt;0,E132&lt;N(V132))),1,0))</f>
        <v>0</v>
      </c>
      <c r="Z132" s="96">
        <f>IF(AND(Q132=1,T132=1,X132=1,J132="Sim",OR(L132&lt;&gt;"",M132&lt;&gt;"")),1,0)</f>
        <v>0</v>
      </c>
      <c r="AA132" s="96">
        <f>IF(Q132=0,0,IF(AND(OR(r_ini="",AND(ISNUMBER(E132),E132&gt;=r_ini)),OR(r_fim="",AND(ISNUMBER(E132),E132&lt;=r_fim)),OR(r_un="",r_un="(Todas)",IF(N(U132)&gt;0,INDEX('MTRs'!$G$6:$G$505,U132),"")=r_un),OR(r_de="",r_de="(Todos)",D132=r_de)),1,0))</f>
        <v>0</v>
      </c>
      <c r="AB132" s="96" t="str">
        <f>IF(AA132=1,COUNTIF($AA$6:AA132,1),"")</f>
        <v/>
      </c>
    </row>
    <row r="133">
      <c r="A133" s="89" t="inlineStr">
        <is>
          <t>REC-000128</t>
        </is>
      </c>
      <c r="B133" s="94" t="str">
        <f>IF(T133=1,INDEX('ITENS_MTR'!$S$6:$S$1005,S133)&amp;"","")</f>
        <v/>
      </c>
      <c r="C133" s="91" t="n"/>
      <c r="D133" s="94" t="str">
        <f>IF(N(U133)&gt;0,INDEX('MTRs'!$I$6:$I$505,U133)&amp;"","")</f>
        <v/>
      </c>
      <c r="E133" s="92" t="n"/>
      <c r="F133" s="98" t="n"/>
      <c r="G133" s="91" t="n"/>
      <c r="H133" s="93" t="str">
        <f>IF(Q133=0,"",IF(NOT(ISNUMBER(F133)),"",IF(ISNUMBER(W133),F133*W133,"UNIDADE A CONFERIR")))</f>
        <v/>
      </c>
      <c r="I133" s="91" t="n"/>
      <c r="J133" s="91" t="n"/>
      <c r="K133" s="92" t="n"/>
      <c r="L133" s="91" t="n"/>
      <c r="M133" s="91" t="n"/>
      <c r="N133" s="91" t="n"/>
      <c r="O133" s="91" t="n"/>
      <c r="P133" s="94" t="str">
        <f>IF(Q133=0,"",IF(C133="","Item de resíduo não informado",IF(T133=0,"Item inexistente (referência inválida)",IF(NOT(ISNUMBER(F133)),"Quantidade não informada",IF(F133&lt;=0,"Quantidade não positiva",IF(G133="","Unidade não informada",IF(NOT(ISNUMBER(H133)),"Unidade a conferir",IF(NOT(ISNUMBER(E133)),"Data de recebimento não informada",IF(AND(ISNUMBER(V133),N(V133)&gt;0,E133&lt;N(V133)),"Data anterior à emissão do MTR",IF(AND(J133="Sim",L133="",M133=""),"Conferido sem evidência identificada",IF(J133&lt;&gt;"Sim","Aguardando conferência",IF(INDEX('ITENS_MTR'!$AM$6:$AM$1005,S133)=1,"Conferido (ver diferença no item)","Conferido"))))))))))))</f>
        <v/>
      </c>
      <c r="Q133" s="96">
        <f>IF(COUNTA(C133,E133:G133,I133:O133)&gt;0,1,0)</f>
        <v>0</v>
      </c>
      <c r="R133" s="96" t="str">
        <f>IF(C133="","",TRIM(LEFT(C133,FIND(" |",C133&amp;" |")-1)))</f>
        <v/>
      </c>
      <c r="S133" s="96" t="str">
        <f>IF(R133="","",IFERROR(MATCH(R133,'ITENS_MTR'!$A$6:$A$1005,0),""))</f>
        <v/>
      </c>
      <c r="T133" s="96">
        <f>IF(S133="",0,IF(INDEX('ITENS_MTR'!$R$6:$R$1005,S133)=1,1,0))</f>
        <v>0</v>
      </c>
      <c r="U133" s="96" t="str">
        <f>IF(T133=1,INDEX('ITENS_MTR'!$T$6:$T$1005,S133),"")</f>
        <v/>
      </c>
      <c r="V133" s="97" t="str">
        <f>IF(N(U133)&gt;0,INDEX('MTRs'!$E$6:$E$505,U133),"")</f>
        <v/>
      </c>
      <c r="W133" s="96" t="str">
        <f>IF(G133="","",IFERROR(IF(ISNUMBER(INDEX(cfg_fac,MATCH(G133,cfg_units,0))),IF(INDEX(cfg_fac,MATCH(G133,cfg_units,0))&gt;0,INDEX(cfg_fac,MATCH(G133,cfg_units,0)),""),""),""))</f>
        <v/>
      </c>
      <c r="X133" s="96">
        <f>IF(AND(ISNUMBER(F133),ISNUMBER(H133)),IF(H133&gt;0,1,0),0)</f>
        <v>0</v>
      </c>
      <c r="Y133" s="96">
        <f>IF(Q133=0,0,IF(OR(T133=0,X133=0,NOT(ISNUMBER(E133)),AND(J133="Sim",L133="",M133=""),AND(ISNUMBER(E133),ISNUMBER(V133),N(V133)&gt;0,E133&lt;N(V133))),1,0))</f>
        <v>0</v>
      </c>
      <c r="Z133" s="96">
        <f>IF(AND(Q133=1,T133=1,X133=1,J133="Sim",OR(L133&lt;&gt;"",M133&lt;&gt;"")),1,0)</f>
        <v>0</v>
      </c>
      <c r="AA133" s="96">
        <f>IF(Q133=0,0,IF(AND(OR(r_ini="",AND(ISNUMBER(E133),E133&gt;=r_ini)),OR(r_fim="",AND(ISNUMBER(E133),E133&lt;=r_fim)),OR(r_un="",r_un="(Todas)",IF(N(U133)&gt;0,INDEX('MTRs'!$G$6:$G$505,U133),"")=r_un),OR(r_de="",r_de="(Todos)",D133=r_de)),1,0))</f>
        <v>0</v>
      </c>
      <c r="AB133" s="96" t="str">
        <f>IF(AA133=1,COUNTIF($AA$6:AA133,1),"")</f>
        <v/>
      </c>
    </row>
    <row r="134">
      <c r="A134" s="89" t="inlineStr">
        <is>
          <t>REC-000129</t>
        </is>
      </c>
      <c r="B134" s="94" t="str">
        <f>IF(T134=1,INDEX('ITENS_MTR'!$S$6:$S$1005,S134)&amp;"","")</f>
        <v/>
      </c>
      <c r="C134" s="91" t="n"/>
      <c r="D134" s="94" t="str">
        <f>IF(N(U134)&gt;0,INDEX('MTRs'!$I$6:$I$505,U134)&amp;"","")</f>
        <v/>
      </c>
      <c r="E134" s="92" t="n"/>
      <c r="F134" s="98" t="n"/>
      <c r="G134" s="91" t="n"/>
      <c r="H134" s="93" t="str">
        <f>IF(Q134=0,"",IF(NOT(ISNUMBER(F134)),"",IF(ISNUMBER(W134),F134*W134,"UNIDADE A CONFERIR")))</f>
        <v/>
      </c>
      <c r="I134" s="91" t="n"/>
      <c r="J134" s="91" t="n"/>
      <c r="K134" s="92" t="n"/>
      <c r="L134" s="91" t="n"/>
      <c r="M134" s="91" t="n"/>
      <c r="N134" s="91" t="n"/>
      <c r="O134" s="91" t="n"/>
      <c r="P134" s="94" t="str">
        <f>IF(Q134=0,"",IF(C134="","Item de resíduo não informado",IF(T134=0,"Item inexistente (referência inválida)",IF(NOT(ISNUMBER(F134)),"Quantidade não informada",IF(F134&lt;=0,"Quantidade não positiva",IF(G134="","Unidade não informada",IF(NOT(ISNUMBER(H134)),"Unidade a conferir",IF(NOT(ISNUMBER(E134)),"Data de recebimento não informada",IF(AND(ISNUMBER(V134),N(V134)&gt;0,E134&lt;N(V134)),"Data anterior à emissão do MTR",IF(AND(J134="Sim",L134="",M134=""),"Conferido sem evidência identificada",IF(J134&lt;&gt;"Sim","Aguardando conferência",IF(INDEX('ITENS_MTR'!$AM$6:$AM$1005,S134)=1,"Conferido (ver diferença no item)","Conferido"))))))))))))</f>
        <v/>
      </c>
      <c r="Q134" s="96">
        <f>IF(COUNTA(C134,E134:G134,I134:O134)&gt;0,1,0)</f>
        <v>0</v>
      </c>
      <c r="R134" s="96" t="str">
        <f>IF(C134="","",TRIM(LEFT(C134,FIND(" |",C134&amp;" |")-1)))</f>
        <v/>
      </c>
      <c r="S134" s="96" t="str">
        <f>IF(R134="","",IFERROR(MATCH(R134,'ITENS_MTR'!$A$6:$A$1005,0),""))</f>
        <v/>
      </c>
      <c r="T134" s="96">
        <f>IF(S134="",0,IF(INDEX('ITENS_MTR'!$R$6:$R$1005,S134)=1,1,0))</f>
        <v>0</v>
      </c>
      <c r="U134" s="96" t="str">
        <f>IF(T134=1,INDEX('ITENS_MTR'!$T$6:$T$1005,S134),"")</f>
        <v/>
      </c>
      <c r="V134" s="97" t="str">
        <f>IF(N(U134)&gt;0,INDEX('MTRs'!$E$6:$E$505,U134),"")</f>
        <v/>
      </c>
      <c r="W134" s="96" t="str">
        <f>IF(G134="","",IFERROR(IF(ISNUMBER(INDEX(cfg_fac,MATCH(G134,cfg_units,0))),IF(INDEX(cfg_fac,MATCH(G134,cfg_units,0))&gt;0,INDEX(cfg_fac,MATCH(G134,cfg_units,0)),""),""),""))</f>
        <v/>
      </c>
      <c r="X134" s="96">
        <f>IF(AND(ISNUMBER(F134),ISNUMBER(H134)),IF(H134&gt;0,1,0),0)</f>
        <v>0</v>
      </c>
      <c r="Y134" s="96">
        <f>IF(Q134=0,0,IF(OR(T134=0,X134=0,NOT(ISNUMBER(E134)),AND(J134="Sim",L134="",M134=""),AND(ISNUMBER(E134),ISNUMBER(V134),N(V134)&gt;0,E134&lt;N(V134))),1,0))</f>
        <v>0</v>
      </c>
      <c r="Z134" s="96">
        <f>IF(AND(Q134=1,T134=1,X134=1,J134="Sim",OR(L134&lt;&gt;"",M134&lt;&gt;"")),1,0)</f>
        <v>0</v>
      </c>
      <c r="AA134" s="96">
        <f>IF(Q134=0,0,IF(AND(OR(r_ini="",AND(ISNUMBER(E134),E134&gt;=r_ini)),OR(r_fim="",AND(ISNUMBER(E134),E134&lt;=r_fim)),OR(r_un="",r_un="(Todas)",IF(N(U134)&gt;0,INDEX('MTRs'!$G$6:$G$505,U134),"")=r_un),OR(r_de="",r_de="(Todos)",D134=r_de)),1,0))</f>
        <v>0</v>
      </c>
      <c r="AB134" s="96" t="str">
        <f>IF(AA134=1,COUNTIF($AA$6:AA134,1),"")</f>
        <v/>
      </c>
    </row>
    <row r="135">
      <c r="A135" s="89" t="inlineStr">
        <is>
          <t>REC-000130</t>
        </is>
      </c>
      <c r="B135" s="94" t="str">
        <f>IF(T135=1,INDEX('ITENS_MTR'!$S$6:$S$1005,S135)&amp;"","")</f>
        <v/>
      </c>
      <c r="C135" s="91" t="n"/>
      <c r="D135" s="94" t="str">
        <f>IF(N(U135)&gt;0,INDEX('MTRs'!$I$6:$I$505,U135)&amp;"","")</f>
        <v/>
      </c>
      <c r="E135" s="92" t="n"/>
      <c r="F135" s="98" t="n"/>
      <c r="G135" s="91" t="n"/>
      <c r="H135" s="93" t="str">
        <f>IF(Q135=0,"",IF(NOT(ISNUMBER(F135)),"",IF(ISNUMBER(W135),F135*W135,"UNIDADE A CONFERIR")))</f>
        <v/>
      </c>
      <c r="I135" s="91" t="n"/>
      <c r="J135" s="91" t="n"/>
      <c r="K135" s="92" t="n"/>
      <c r="L135" s="91" t="n"/>
      <c r="M135" s="91" t="n"/>
      <c r="N135" s="91" t="n"/>
      <c r="O135" s="91" t="n"/>
      <c r="P135" s="94" t="str">
        <f>IF(Q135=0,"",IF(C135="","Item de resíduo não informado",IF(T135=0,"Item inexistente (referência inválida)",IF(NOT(ISNUMBER(F135)),"Quantidade não informada",IF(F135&lt;=0,"Quantidade não positiva",IF(G135="","Unidade não informada",IF(NOT(ISNUMBER(H135)),"Unidade a conferir",IF(NOT(ISNUMBER(E135)),"Data de recebimento não informada",IF(AND(ISNUMBER(V135),N(V135)&gt;0,E135&lt;N(V135)),"Data anterior à emissão do MTR",IF(AND(J135="Sim",L135="",M135=""),"Conferido sem evidência identificada",IF(J135&lt;&gt;"Sim","Aguardando conferência",IF(INDEX('ITENS_MTR'!$AM$6:$AM$1005,S135)=1,"Conferido (ver diferença no item)","Conferido"))))))))))))</f>
        <v/>
      </c>
      <c r="Q135" s="96">
        <f>IF(COUNTA(C135,E135:G135,I135:O135)&gt;0,1,0)</f>
        <v>0</v>
      </c>
      <c r="R135" s="96" t="str">
        <f>IF(C135="","",TRIM(LEFT(C135,FIND(" |",C135&amp;" |")-1)))</f>
        <v/>
      </c>
      <c r="S135" s="96" t="str">
        <f>IF(R135="","",IFERROR(MATCH(R135,'ITENS_MTR'!$A$6:$A$1005,0),""))</f>
        <v/>
      </c>
      <c r="T135" s="96">
        <f>IF(S135="",0,IF(INDEX('ITENS_MTR'!$R$6:$R$1005,S135)=1,1,0))</f>
        <v>0</v>
      </c>
      <c r="U135" s="96" t="str">
        <f>IF(T135=1,INDEX('ITENS_MTR'!$T$6:$T$1005,S135),"")</f>
        <v/>
      </c>
      <c r="V135" s="97" t="str">
        <f>IF(N(U135)&gt;0,INDEX('MTRs'!$E$6:$E$505,U135),"")</f>
        <v/>
      </c>
      <c r="W135" s="96" t="str">
        <f>IF(G135="","",IFERROR(IF(ISNUMBER(INDEX(cfg_fac,MATCH(G135,cfg_units,0))),IF(INDEX(cfg_fac,MATCH(G135,cfg_units,0))&gt;0,INDEX(cfg_fac,MATCH(G135,cfg_units,0)),""),""),""))</f>
        <v/>
      </c>
      <c r="X135" s="96">
        <f>IF(AND(ISNUMBER(F135),ISNUMBER(H135)),IF(H135&gt;0,1,0),0)</f>
        <v>0</v>
      </c>
      <c r="Y135" s="96">
        <f>IF(Q135=0,0,IF(OR(T135=0,X135=0,NOT(ISNUMBER(E135)),AND(J135="Sim",L135="",M135=""),AND(ISNUMBER(E135),ISNUMBER(V135),N(V135)&gt;0,E135&lt;N(V135))),1,0))</f>
        <v>0</v>
      </c>
      <c r="Z135" s="96">
        <f>IF(AND(Q135=1,T135=1,X135=1,J135="Sim",OR(L135&lt;&gt;"",M135&lt;&gt;"")),1,0)</f>
        <v>0</v>
      </c>
      <c r="AA135" s="96">
        <f>IF(Q135=0,0,IF(AND(OR(r_ini="",AND(ISNUMBER(E135),E135&gt;=r_ini)),OR(r_fim="",AND(ISNUMBER(E135),E135&lt;=r_fim)),OR(r_un="",r_un="(Todas)",IF(N(U135)&gt;0,INDEX('MTRs'!$G$6:$G$505,U135),"")=r_un),OR(r_de="",r_de="(Todos)",D135=r_de)),1,0))</f>
        <v>0</v>
      </c>
      <c r="AB135" s="96" t="str">
        <f>IF(AA135=1,COUNTIF($AA$6:AA135,1),"")</f>
        <v/>
      </c>
    </row>
    <row r="136">
      <c r="A136" s="89" t="inlineStr">
        <is>
          <t>REC-000131</t>
        </is>
      </c>
      <c r="B136" s="94" t="str">
        <f>IF(T136=1,INDEX('ITENS_MTR'!$S$6:$S$1005,S136)&amp;"","")</f>
        <v/>
      </c>
      <c r="C136" s="91" t="n"/>
      <c r="D136" s="94" t="str">
        <f>IF(N(U136)&gt;0,INDEX('MTRs'!$I$6:$I$505,U136)&amp;"","")</f>
        <v/>
      </c>
      <c r="E136" s="92" t="n"/>
      <c r="F136" s="98" t="n"/>
      <c r="G136" s="91" t="n"/>
      <c r="H136" s="93" t="str">
        <f>IF(Q136=0,"",IF(NOT(ISNUMBER(F136)),"",IF(ISNUMBER(W136),F136*W136,"UNIDADE A CONFERIR")))</f>
        <v/>
      </c>
      <c r="I136" s="91" t="n"/>
      <c r="J136" s="91" t="n"/>
      <c r="K136" s="92" t="n"/>
      <c r="L136" s="91" t="n"/>
      <c r="M136" s="91" t="n"/>
      <c r="N136" s="91" t="n"/>
      <c r="O136" s="91" t="n"/>
      <c r="P136" s="94" t="str">
        <f>IF(Q136=0,"",IF(C136="","Item de resíduo não informado",IF(T136=0,"Item inexistente (referência inválida)",IF(NOT(ISNUMBER(F136)),"Quantidade não informada",IF(F136&lt;=0,"Quantidade não positiva",IF(G136="","Unidade não informada",IF(NOT(ISNUMBER(H136)),"Unidade a conferir",IF(NOT(ISNUMBER(E136)),"Data de recebimento não informada",IF(AND(ISNUMBER(V136),N(V136)&gt;0,E136&lt;N(V136)),"Data anterior à emissão do MTR",IF(AND(J136="Sim",L136="",M136=""),"Conferido sem evidência identificada",IF(J136&lt;&gt;"Sim","Aguardando conferência",IF(INDEX('ITENS_MTR'!$AM$6:$AM$1005,S136)=1,"Conferido (ver diferença no item)","Conferido"))))))))))))</f>
        <v/>
      </c>
      <c r="Q136" s="96">
        <f>IF(COUNTA(C136,E136:G136,I136:O136)&gt;0,1,0)</f>
        <v>0</v>
      </c>
      <c r="R136" s="96" t="str">
        <f>IF(C136="","",TRIM(LEFT(C136,FIND(" |",C136&amp;" |")-1)))</f>
        <v/>
      </c>
      <c r="S136" s="96" t="str">
        <f>IF(R136="","",IFERROR(MATCH(R136,'ITENS_MTR'!$A$6:$A$1005,0),""))</f>
        <v/>
      </c>
      <c r="T136" s="96">
        <f>IF(S136="",0,IF(INDEX('ITENS_MTR'!$R$6:$R$1005,S136)=1,1,0))</f>
        <v>0</v>
      </c>
      <c r="U136" s="96" t="str">
        <f>IF(T136=1,INDEX('ITENS_MTR'!$T$6:$T$1005,S136),"")</f>
        <v/>
      </c>
      <c r="V136" s="97" t="str">
        <f>IF(N(U136)&gt;0,INDEX('MTRs'!$E$6:$E$505,U136),"")</f>
        <v/>
      </c>
      <c r="W136" s="96" t="str">
        <f>IF(G136="","",IFERROR(IF(ISNUMBER(INDEX(cfg_fac,MATCH(G136,cfg_units,0))),IF(INDEX(cfg_fac,MATCH(G136,cfg_units,0))&gt;0,INDEX(cfg_fac,MATCH(G136,cfg_units,0)),""),""),""))</f>
        <v/>
      </c>
      <c r="X136" s="96">
        <f>IF(AND(ISNUMBER(F136),ISNUMBER(H136)),IF(H136&gt;0,1,0),0)</f>
        <v>0</v>
      </c>
      <c r="Y136" s="96">
        <f>IF(Q136=0,0,IF(OR(T136=0,X136=0,NOT(ISNUMBER(E136)),AND(J136="Sim",L136="",M136=""),AND(ISNUMBER(E136),ISNUMBER(V136),N(V136)&gt;0,E136&lt;N(V136))),1,0))</f>
        <v>0</v>
      </c>
      <c r="Z136" s="96">
        <f>IF(AND(Q136=1,T136=1,X136=1,J136="Sim",OR(L136&lt;&gt;"",M136&lt;&gt;"")),1,0)</f>
        <v>0</v>
      </c>
      <c r="AA136" s="96">
        <f>IF(Q136=0,0,IF(AND(OR(r_ini="",AND(ISNUMBER(E136),E136&gt;=r_ini)),OR(r_fim="",AND(ISNUMBER(E136),E136&lt;=r_fim)),OR(r_un="",r_un="(Todas)",IF(N(U136)&gt;0,INDEX('MTRs'!$G$6:$G$505,U136),"")=r_un),OR(r_de="",r_de="(Todos)",D136=r_de)),1,0))</f>
        <v>0</v>
      </c>
      <c r="AB136" s="96" t="str">
        <f>IF(AA136=1,COUNTIF($AA$6:AA136,1),"")</f>
        <v/>
      </c>
    </row>
    <row r="137">
      <c r="A137" s="89" t="inlineStr">
        <is>
          <t>REC-000132</t>
        </is>
      </c>
      <c r="B137" s="94" t="str">
        <f>IF(T137=1,INDEX('ITENS_MTR'!$S$6:$S$1005,S137)&amp;"","")</f>
        <v/>
      </c>
      <c r="C137" s="91" t="n"/>
      <c r="D137" s="94" t="str">
        <f>IF(N(U137)&gt;0,INDEX('MTRs'!$I$6:$I$505,U137)&amp;"","")</f>
        <v/>
      </c>
      <c r="E137" s="92" t="n"/>
      <c r="F137" s="98" t="n"/>
      <c r="G137" s="91" t="n"/>
      <c r="H137" s="93" t="str">
        <f>IF(Q137=0,"",IF(NOT(ISNUMBER(F137)),"",IF(ISNUMBER(W137),F137*W137,"UNIDADE A CONFERIR")))</f>
        <v/>
      </c>
      <c r="I137" s="91" t="n"/>
      <c r="J137" s="91" t="n"/>
      <c r="K137" s="92" t="n"/>
      <c r="L137" s="91" t="n"/>
      <c r="M137" s="91" t="n"/>
      <c r="N137" s="91" t="n"/>
      <c r="O137" s="91" t="n"/>
      <c r="P137" s="94" t="str">
        <f>IF(Q137=0,"",IF(C137="","Item de resíduo não informado",IF(T137=0,"Item inexistente (referência inválida)",IF(NOT(ISNUMBER(F137)),"Quantidade não informada",IF(F137&lt;=0,"Quantidade não positiva",IF(G137="","Unidade não informada",IF(NOT(ISNUMBER(H137)),"Unidade a conferir",IF(NOT(ISNUMBER(E137)),"Data de recebimento não informada",IF(AND(ISNUMBER(V137),N(V137)&gt;0,E137&lt;N(V137)),"Data anterior à emissão do MTR",IF(AND(J137="Sim",L137="",M137=""),"Conferido sem evidência identificada",IF(J137&lt;&gt;"Sim","Aguardando conferência",IF(INDEX('ITENS_MTR'!$AM$6:$AM$1005,S137)=1,"Conferido (ver diferença no item)","Conferido"))))))))))))</f>
        <v/>
      </c>
      <c r="Q137" s="96">
        <f>IF(COUNTA(C137,E137:G137,I137:O137)&gt;0,1,0)</f>
        <v>0</v>
      </c>
      <c r="R137" s="96" t="str">
        <f>IF(C137="","",TRIM(LEFT(C137,FIND(" |",C137&amp;" |")-1)))</f>
        <v/>
      </c>
      <c r="S137" s="96" t="str">
        <f>IF(R137="","",IFERROR(MATCH(R137,'ITENS_MTR'!$A$6:$A$1005,0),""))</f>
        <v/>
      </c>
      <c r="T137" s="96">
        <f>IF(S137="",0,IF(INDEX('ITENS_MTR'!$R$6:$R$1005,S137)=1,1,0))</f>
        <v>0</v>
      </c>
      <c r="U137" s="96" t="str">
        <f>IF(T137=1,INDEX('ITENS_MTR'!$T$6:$T$1005,S137),"")</f>
        <v/>
      </c>
      <c r="V137" s="97" t="str">
        <f>IF(N(U137)&gt;0,INDEX('MTRs'!$E$6:$E$505,U137),"")</f>
        <v/>
      </c>
      <c r="W137" s="96" t="str">
        <f>IF(G137="","",IFERROR(IF(ISNUMBER(INDEX(cfg_fac,MATCH(G137,cfg_units,0))),IF(INDEX(cfg_fac,MATCH(G137,cfg_units,0))&gt;0,INDEX(cfg_fac,MATCH(G137,cfg_units,0)),""),""),""))</f>
        <v/>
      </c>
      <c r="X137" s="96">
        <f>IF(AND(ISNUMBER(F137),ISNUMBER(H137)),IF(H137&gt;0,1,0),0)</f>
        <v>0</v>
      </c>
      <c r="Y137" s="96">
        <f>IF(Q137=0,0,IF(OR(T137=0,X137=0,NOT(ISNUMBER(E137)),AND(J137="Sim",L137="",M137=""),AND(ISNUMBER(E137),ISNUMBER(V137),N(V137)&gt;0,E137&lt;N(V137))),1,0))</f>
        <v>0</v>
      </c>
      <c r="Z137" s="96">
        <f>IF(AND(Q137=1,T137=1,X137=1,J137="Sim",OR(L137&lt;&gt;"",M137&lt;&gt;"")),1,0)</f>
        <v>0</v>
      </c>
      <c r="AA137" s="96">
        <f>IF(Q137=0,0,IF(AND(OR(r_ini="",AND(ISNUMBER(E137),E137&gt;=r_ini)),OR(r_fim="",AND(ISNUMBER(E137),E137&lt;=r_fim)),OR(r_un="",r_un="(Todas)",IF(N(U137)&gt;0,INDEX('MTRs'!$G$6:$G$505,U137),"")=r_un),OR(r_de="",r_de="(Todos)",D137=r_de)),1,0))</f>
        <v>0</v>
      </c>
      <c r="AB137" s="96" t="str">
        <f>IF(AA137=1,COUNTIF($AA$6:AA137,1),"")</f>
        <v/>
      </c>
    </row>
    <row r="138">
      <c r="A138" s="89" t="inlineStr">
        <is>
          <t>REC-000133</t>
        </is>
      </c>
      <c r="B138" s="94" t="str">
        <f>IF(T138=1,INDEX('ITENS_MTR'!$S$6:$S$1005,S138)&amp;"","")</f>
        <v/>
      </c>
      <c r="C138" s="91" t="n"/>
      <c r="D138" s="94" t="str">
        <f>IF(N(U138)&gt;0,INDEX('MTRs'!$I$6:$I$505,U138)&amp;"","")</f>
        <v/>
      </c>
      <c r="E138" s="92" t="n"/>
      <c r="F138" s="98" t="n"/>
      <c r="G138" s="91" t="n"/>
      <c r="H138" s="93" t="str">
        <f>IF(Q138=0,"",IF(NOT(ISNUMBER(F138)),"",IF(ISNUMBER(W138),F138*W138,"UNIDADE A CONFERIR")))</f>
        <v/>
      </c>
      <c r="I138" s="91" t="n"/>
      <c r="J138" s="91" t="n"/>
      <c r="K138" s="92" t="n"/>
      <c r="L138" s="91" t="n"/>
      <c r="M138" s="91" t="n"/>
      <c r="N138" s="91" t="n"/>
      <c r="O138" s="91" t="n"/>
      <c r="P138" s="94" t="str">
        <f>IF(Q138=0,"",IF(C138="","Item de resíduo não informado",IF(T138=0,"Item inexistente (referência inválida)",IF(NOT(ISNUMBER(F138)),"Quantidade não informada",IF(F138&lt;=0,"Quantidade não positiva",IF(G138="","Unidade não informada",IF(NOT(ISNUMBER(H138)),"Unidade a conferir",IF(NOT(ISNUMBER(E138)),"Data de recebimento não informada",IF(AND(ISNUMBER(V138),N(V138)&gt;0,E138&lt;N(V138)),"Data anterior à emissão do MTR",IF(AND(J138="Sim",L138="",M138=""),"Conferido sem evidência identificada",IF(J138&lt;&gt;"Sim","Aguardando conferência",IF(INDEX('ITENS_MTR'!$AM$6:$AM$1005,S138)=1,"Conferido (ver diferença no item)","Conferido"))))))))))))</f>
        <v/>
      </c>
      <c r="Q138" s="96">
        <f>IF(COUNTA(C138,E138:G138,I138:O138)&gt;0,1,0)</f>
        <v>0</v>
      </c>
      <c r="R138" s="96" t="str">
        <f>IF(C138="","",TRIM(LEFT(C138,FIND(" |",C138&amp;" |")-1)))</f>
        <v/>
      </c>
      <c r="S138" s="96" t="str">
        <f>IF(R138="","",IFERROR(MATCH(R138,'ITENS_MTR'!$A$6:$A$1005,0),""))</f>
        <v/>
      </c>
      <c r="T138" s="96">
        <f>IF(S138="",0,IF(INDEX('ITENS_MTR'!$R$6:$R$1005,S138)=1,1,0))</f>
        <v>0</v>
      </c>
      <c r="U138" s="96" t="str">
        <f>IF(T138=1,INDEX('ITENS_MTR'!$T$6:$T$1005,S138),"")</f>
        <v/>
      </c>
      <c r="V138" s="97" t="str">
        <f>IF(N(U138)&gt;0,INDEX('MTRs'!$E$6:$E$505,U138),"")</f>
        <v/>
      </c>
      <c r="W138" s="96" t="str">
        <f>IF(G138="","",IFERROR(IF(ISNUMBER(INDEX(cfg_fac,MATCH(G138,cfg_units,0))),IF(INDEX(cfg_fac,MATCH(G138,cfg_units,0))&gt;0,INDEX(cfg_fac,MATCH(G138,cfg_units,0)),""),""),""))</f>
        <v/>
      </c>
      <c r="X138" s="96">
        <f>IF(AND(ISNUMBER(F138),ISNUMBER(H138)),IF(H138&gt;0,1,0),0)</f>
        <v>0</v>
      </c>
      <c r="Y138" s="96">
        <f>IF(Q138=0,0,IF(OR(T138=0,X138=0,NOT(ISNUMBER(E138)),AND(J138="Sim",L138="",M138=""),AND(ISNUMBER(E138),ISNUMBER(V138),N(V138)&gt;0,E138&lt;N(V138))),1,0))</f>
        <v>0</v>
      </c>
      <c r="Z138" s="96">
        <f>IF(AND(Q138=1,T138=1,X138=1,J138="Sim",OR(L138&lt;&gt;"",M138&lt;&gt;"")),1,0)</f>
        <v>0</v>
      </c>
      <c r="AA138" s="96">
        <f>IF(Q138=0,0,IF(AND(OR(r_ini="",AND(ISNUMBER(E138),E138&gt;=r_ini)),OR(r_fim="",AND(ISNUMBER(E138),E138&lt;=r_fim)),OR(r_un="",r_un="(Todas)",IF(N(U138)&gt;0,INDEX('MTRs'!$G$6:$G$505,U138),"")=r_un),OR(r_de="",r_de="(Todos)",D138=r_de)),1,0))</f>
        <v>0</v>
      </c>
      <c r="AB138" s="96" t="str">
        <f>IF(AA138=1,COUNTIF($AA$6:AA138,1),"")</f>
        <v/>
      </c>
    </row>
    <row r="139">
      <c r="A139" s="89" t="inlineStr">
        <is>
          <t>REC-000134</t>
        </is>
      </c>
      <c r="B139" s="94" t="str">
        <f>IF(T139=1,INDEX('ITENS_MTR'!$S$6:$S$1005,S139)&amp;"","")</f>
        <v/>
      </c>
      <c r="C139" s="91" t="n"/>
      <c r="D139" s="94" t="str">
        <f>IF(N(U139)&gt;0,INDEX('MTRs'!$I$6:$I$505,U139)&amp;"","")</f>
        <v/>
      </c>
      <c r="E139" s="92" t="n"/>
      <c r="F139" s="98" t="n"/>
      <c r="G139" s="91" t="n"/>
      <c r="H139" s="93" t="str">
        <f>IF(Q139=0,"",IF(NOT(ISNUMBER(F139)),"",IF(ISNUMBER(W139),F139*W139,"UNIDADE A CONFERIR")))</f>
        <v/>
      </c>
      <c r="I139" s="91" t="n"/>
      <c r="J139" s="91" t="n"/>
      <c r="K139" s="92" t="n"/>
      <c r="L139" s="91" t="n"/>
      <c r="M139" s="91" t="n"/>
      <c r="N139" s="91" t="n"/>
      <c r="O139" s="91" t="n"/>
      <c r="P139" s="94" t="str">
        <f>IF(Q139=0,"",IF(C139="","Item de resíduo não informado",IF(T139=0,"Item inexistente (referência inválida)",IF(NOT(ISNUMBER(F139)),"Quantidade não informada",IF(F139&lt;=0,"Quantidade não positiva",IF(G139="","Unidade não informada",IF(NOT(ISNUMBER(H139)),"Unidade a conferir",IF(NOT(ISNUMBER(E139)),"Data de recebimento não informada",IF(AND(ISNUMBER(V139),N(V139)&gt;0,E139&lt;N(V139)),"Data anterior à emissão do MTR",IF(AND(J139="Sim",L139="",M139=""),"Conferido sem evidência identificada",IF(J139&lt;&gt;"Sim","Aguardando conferência",IF(INDEX('ITENS_MTR'!$AM$6:$AM$1005,S139)=1,"Conferido (ver diferença no item)","Conferido"))))))))))))</f>
        <v/>
      </c>
      <c r="Q139" s="96">
        <f>IF(COUNTA(C139,E139:G139,I139:O139)&gt;0,1,0)</f>
        <v>0</v>
      </c>
      <c r="R139" s="96" t="str">
        <f>IF(C139="","",TRIM(LEFT(C139,FIND(" |",C139&amp;" |")-1)))</f>
        <v/>
      </c>
      <c r="S139" s="96" t="str">
        <f>IF(R139="","",IFERROR(MATCH(R139,'ITENS_MTR'!$A$6:$A$1005,0),""))</f>
        <v/>
      </c>
      <c r="T139" s="96">
        <f>IF(S139="",0,IF(INDEX('ITENS_MTR'!$R$6:$R$1005,S139)=1,1,0))</f>
        <v>0</v>
      </c>
      <c r="U139" s="96" t="str">
        <f>IF(T139=1,INDEX('ITENS_MTR'!$T$6:$T$1005,S139),"")</f>
        <v/>
      </c>
      <c r="V139" s="97" t="str">
        <f>IF(N(U139)&gt;0,INDEX('MTRs'!$E$6:$E$505,U139),"")</f>
        <v/>
      </c>
      <c r="W139" s="96" t="str">
        <f>IF(G139="","",IFERROR(IF(ISNUMBER(INDEX(cfg_fac,MATCH(G139,cfg_units,0))),IF(INDEX(cfg_fac,MATCH(G139,cfg_units,0))&gt;0,INDEX(cfg_fac,MATCH(G139,cfg_units,0)),""),""),""))</f>
        <v/>
      </c>
      <c r="X139" s="96">
        <f>IF(AND(ISNUMBER(F139),ISNUMBER(H139)),IF(H139&gt;0,1,0),0)</f>
        <v>0</v>
      </c>
      <c r="Y139" s="96">
        <f>IF(Q139=0,0,IF(OR(T139=0,X139=0,NOT(ISNUMBER(E139)),AND(J139="Sim",L139="",M139=""),AND(ISNUMBER(E139),ISNUMBER(V139),N(V139)&gt;0,E139&lt;N(V139))),1,0))</f>
        <v>0</v>
      </c>
      <c r="Z139" s="96">
        <f>IF(AND(Q139=1,T139=1,X139=1,J139="Sim",OR(L139&lt;&gt;"",M139&lt;&gt;"")),1,0)</f>
        <v>0</v>
      </c>
      <c r="AA139" s="96">
        <f>IF(Q139=0,0,IF(AND(OR(r_ini="",AND(ISNUMBER(E139),E139&gt;=r_ini)),OR(r_fim="",AND(ISNUMBER(E139),E139&lt;=r_fim)),OR(r_un="",r_un="(Todas)",IF(N(U139)&gt;0,INDEX('MTRs'!$G$6:$G$505,U139),"")=r_un),OR(r_de="",r_de="(Todos)",D139=r_de)),1,0))</f>
        <v>0</v>
      </c>
      <c r="AB139" s="96" t="str">
        <f>IF(AA139=1,COUNTIF($AA$6:AA139,1),"")</f>
        <v/>
      </c>
    </row>
    <row r="140">
      <c r="A140" s="89" t="inlineStr">
        <is>
          <t>REC-000135</t>
        </is>
      </c>
      <c r="B140" s="94" t="str">
        <f>IF(T140=1,INDEX('ITENS_MTR'!$S$6:$S$1005,S140)&amp;"","")</f>
        <v/>
      </c>
      <c r="C140" s="91" t="n"/>
      <c r="D140" s="94" t="str">
        <f>IF(N(U140)&gt;0,INDEX('MTRs'!$I$6:$I$505,U140)&amp;"","")</f>
        <v/>
      </c>
      <c r="E140" s="92" t="n"/>
      <c r="F140" s="98" t="n"/>
      <c r="G140" s="91" t="n"/>
      <c r="H140" s="93" t="str">
        <f>IF(Q140=0,"",IF(NOT(ISNUMBER(F140)),"",IF(ISNUMBER(W140),F140*W140,"UNIDADE A CONFERIR")))</f>
        <v/>
      </c>
      <c r="I140" s="91" t="n"/>
      <c r="J140" s="91" t="n"/>
      <c r="K140" s="92" t="n"/>
      <c r="L140" s="91" t="n"/>
      <c r="M140" s="91" t="n"/>
      <c r="N140" s="91" t="n"/>
      <c r="O140" s="91" t="n"/>
      <c r="P140" s="94" t="str">
        <f>IF(Q140=0,"",IF(C140="","Item de resíduo não informado",IF(T140=0,"Item inexistente (referência inválida)",IF(NOT(ISNUMBER(F140)),"Quantidade não informada",IF(F140&lt;=0,"Quantidade não positiva",IF(G140="","Unidade não informada",IF(NOT(ISNUMBER(H140)),"Unidade a conferir",IF(NOT(ISNUMBER(E140)),"Data de recebimento não informada",IF(AND(ISNUMBER(V140),N(V140)&gt;0,E140&lt;N(V140)),"Data anterior à emissão do MTR",IF(AND(J140="Sim",L140="",M140=""),"Conferido sem evidência identificada",IF(J140&lt;&gt;"Sim","Aguardando conferência",IF(INDEX('ITENS_MTR'!$AM$6:$AM$1005,S140)=1,"Conferido (ver diferença no item)","Conferido"))))))))))))</f>
        <v/>
      </c>
      <c r="Q140" s="96">
        <f>IF(COUNTA(C140,E140:G140,I140:O140)&gt;0,1,0)</f>
        <v>0</v>
      </c>
      <c r="R140" s="96" t="str">
        <f>IF(C140="","",TRIM(LEFT(C140,FIND(" |",C140&amp;" |")-1)))</f>
        <v/>
      </c>
      <c r="S140" s="96" t="str">
        <f>IF(R140="","",IFERROR(MATCH(R140,'ITENS_MTR'!$A$6:$A$1005,0),""))</f>
        <v/>
      </c>
      <c r="T140" s="96">
        <f>IF(S140="",0,IF(INDEX('ITENS_MTR'!$R$6:$R$1005,S140)=1,1,0))</f>
        <v>0</v>
      </c>
      <c r="U140" s="96" t="str">
        <f>IF(T140=1,INDEX('ITENS_MTR'!$T$6:$T$1005,S140),"")</f>
        <v/>
      </c>
      <c r="V140" s="97" t="str">
        <f>IF(N(U140)&gt;0,INDEX('MTRs'!$E$6:$E$505,U140),"")</f>
        <v/>
      </c>
      <c r="W140" s="96" t="str">
        <f>IF(G140="","",IFERROR(IF(ISNUMBER(INDEX(cfg_fac,MATCH(G140,cfg_units,0))),IF(INDEX(cfg_fac,MATCH(G140,cfg_units,0))&gt;0,INDEX(cfg_fac,MATCH(G140,cfg_units,0)),""),""),""))</f>
        <v/>
      </c>
      <c r="X140" s="96">
        <f>IF(AND(ISNUMBER(F140),ISNUMBER(H140)),IF(H140&gt;0,1,0),0)</f>
        <v>0</v>
      </c>
      <c r="Y140" s="96">
        <f>IF(Q140=0,0,IF(OR(T140=0,X140=0,NOT(ISNUMBER(E140)),AND(J140="Sim",L140="",M140=""),AND(ISNUMBER(E140),ISNUMBER(V140),N(V140)&gt;0,E140&lt;N(V140))),1,0))</f>
        <v>0</v>
      </c>
      <c r="Z140" s="96">
        <f>IF(AND(Q140=1,T140=1,X140=1,J140="Sim",OR(L140&lt;&gt;"",M140&lt;&gt;"")),1,0)</f>
        <v>0</v>
      </c>
      <c r="AA140" s="96">
        <f>IF(Q140=0,0,IF(AND(OR(r_ini="",AND(ISNUMBER(E140),E140&gt;=r_ini)),OR(r_fim="",AND(ISNUMBER(E140),E140&lt;=r_fim)),OR(r_un="",r_un="(Todas)",IF(N(U140)&gt;0,INDEX('MTRs'!$G$6:$G$505,U140),"")=r_un),OR(r_de="",r_de="(Todos)",D140=r_de)),1,0))</f>
        <v>0</v>
      </c>
      <c r="AB140" s="96" t="str">
        <f>IF(AA140=1,COUNTIF($AA$6:AA140,1),"")</f>
        <v/>
      </c>
    </row>
    <row r="141">
      <c r="A141" s="89" t="inlineStr">
        <is>
          <t>REC-000136</t>
        </is>
      </c>
      <c r="B141" s="94" t="str">
        <f>IF(T141=1,INDEX('ITENS_MTR'!$S$6:$S$1005,S141)&amp;"","")</f>
        <v/>
      </c>
      <c r="C141" s="91" t="n"/>
      <c r="D141" s="94" t="str">
        <f>IF(N(U141)&gt;0,INDEX('MTRs'!$I$6:$I$505,U141)&amp;"","")</f>
        <v/>
      </c>
      <c r="E141" s="92" t="n"/>
      <c r="F141" s="98" t="n"/>
      <c r="G141" s="91" t="n"/>
      <c r="H141" s="93" t="str">
        <f>IF(Q141=0,"",IF(NOT(ISNUMBER(F141)),"",IF(ISNUMBER(W141),F141*W141,"UNIDADE A CONFERIR")))</f>
        <v/>
      </c>
      <c r="I141" s="91" t="n"/>
      <c r="J141" s="91" t="n"/>
      <c r="K141" s="92" t="n"/>
      <c r="L141" s="91" t="n"/>
      <c r="M141" s="91" t="n"/>
      <c r="N141" s="91" t="n"/>
      <c r="O141" s="91" t="n"/>
      <c r="P141" s="94" t="str">
        <f>IF(Q141=0,"",IF(C141="","Item de resíduo não informado",IF(T141=0,"Item inexistente (referência inválida)",IF(NOT(ISNUMBER(F141)),"Quantidade não informada",IF(F141&lt;=0,"Quantidade não positiva",IF(G141="","Unidade não informada",IF(NOT(ISNUMBER(H141)),"Unidade a conferir",IF(NOT(ISNUMBER(E141)),"Data de recebimento não informada",IF(AND(ISNUMBER(V141),N(V141)&gt;0,E141&lt;N(V141)),"Data anterior à emissão do MTR",IF(AND(J141="Sim",L141="",M141=""),"Conferido sem evidência identificada",IF(J141&lt;&gt;"Sim","Aguardando conferência",IF(INDEX('ITENS_MTR'!$AM$6:$AM$1005,S141)=1,"Conferido (ver diferença no item)","Conferido"))))))))))))</f>
        <v/>
      </c>
      <c r="Q141" s="96">
        <f>IF(COUNTA(C141,E141:G141,I141:O141)&gt;0,1,0)</f>
        <v>0</v>
      </c>
      <c r="R141" s="96" t="str">
        <f>IF(C141="","",TRIM(LEFT(C141,FIND(" |",C141&amp;" |")-1)))</f>
        <v/>
      </c>
      <c r="S141" s="96" t="str">
        <f>IF(R141="","",IFERROR(MATCH(R141,'ITENS_MTR'!$A$6:$A$1005,0),""))</f>
        <v/>
      </c>
      <c r="T141" s="96">
        <f>IF(S141="",0,IF(INDEX('ITENS_MTR'!$R$6:$R$1005,S141)=1,1,0))</f>
        <v>0</v>
      </c>
      <c r="U141" s="96" t="str">
        <f>IF(T141=1,INDEX('ITENS_MTR'!$T$6:$T$1005,S141),"")</f>
        <v/>
      </c>
      <c r="V141" s="97" t="str">
        <f>IF(N(U141)&gt;0,INDEX('MTRs'!$E$6:$E$505,U141),"")</f>
        <v/>
      </c>
      <c r="W141" s="96" t="str">
        <f>IF(G141="","",IFERROR(IF(ISNUMBER(INDEX(cfg_fac,MATCH(G141,cfg_units,0))),IF(INDEX(cfg_fac,MATCH(G141,cfg_units,0))&gt;0,INDEX(cfg_fac,MATCH(G141,cfg_units,0)),""),""),""))</f>
        <v/>
      </c>
      <c r="X141" s="96">
        <f>IF(AND(ISNUMBER(F141),ISNUMBER(H141)),IF(H141&gt;0,1,0),0)</f>
        <v>0</v>
      </c>
      <c r="Y141" s="96">
        <f>IF(Q141=0,0,IF(OR(T141=0,X141=0,NOT(ISNUMBER(E141)),AND(J141="Sim",L141="",M141=""),AND(ISNUMBER(E141),ISNUMBER(V141),N(V141)&gt;0,E141&lt;N(V141))),1,0))</f>
        <v>0</v>
      </c>
      <c r="Z141" s="96">
        <f>IF(AND(Q141=1,T141=1,X141=1,J141="Sim",OR(L141&lt;&gt;"",M141&lt;&gt;"")),1,0)</f>
        <v>0</v>
      </c>
      <c r="AA141" s="96">
        <f>IF(Q141=0,0,IF(AND(OR(r_ini="",AND(ISNUMBER(E141),E141&gt;=r_ini)),OR(r_fim="",AND(ISNUMBER(E141),E141&lt;=r_fim)),OR(r_un="",r_un="(Todas)",IF(N(U141)&gt;0,INDEX('MTRs'!$G$6:$G$505,U141),"")=r_un),OR(r_de="",r_de="(Todos)",D141=r_de)),1,0))</f>
        <v>0</v>
      </c>
      <c r="AB141" s="96" t="str">
        <f>IF(AA141=1,COUNTIF($AA$6:AA141,1),"")</f>
        <v/>
      </c>
    </row>
    <row r="142">
      <c r="A142" s="89" t="inlineStr">
        <is>
          <t>REC-000137</t>
        </is>
      </c>
      <c r="B142" s="94" t="str">
        <f>IF(T142=1,INDEX('ITENS_MTR'!$S$6:$S$1005,S142)&amp;"","")</f>
        <v/>
      </c>
      <c r="C142" s="91" t="n"/>
      <c r="D142" s="94" t="str">
        <f>IF(N(U142)&gt;0,INDEX('MTRs'!$I$6:$I$505,U142)&amp;"","")</f>
        <v/>
      </c>
      <c r="E142" s="92" t="n"/>
      <c r="F142" s="98" t="n"/>
      <c r="G142" s="91" t="n"/>
      <c r="H142" s="93" t="str">
        <f>IF(Q142=0,"",IF(NOT(ISNUMBER(F142)),"",IF(ISNUMBER(W142),F142*W142,"UNIDADE A CONFERIR")))</f>
        <v/>
      </c>
      <c r="I142" s="91" t="n"/>
      <c r="J142" s="91" t="n"/>
      <c r="K142" s="92" t="n"/>
      <c r="L142" s="91" t="n"/>
      <c r="M142" s="91" t="n"/>
      <c r="N142" s="91" t="n"/>
      <c r="O142" s="91" t="n"/>
      <c r="P142" s="94" t="str">
        <f>IF(Q142=0,"",IF(C142="","Item de resíduo não informado",IF(T142=0,"Item inexistente (referência inválida)",IF(NOT(ISNUMBER(F142)),"Quantidade não informada",IF(F142&lt;=0,"Quantidade não positiva",IF(G142="","Unidade não informada",IF(NOT(ISNUMBER(H142)),"Unidade a conferir",IF(NOT(ISNUMBER(E142)),"Data de recebimento não informada",IF(AND(ISNUMBER(V142),N(V142)&gt;0,E142&lt;N(V142)),"Data anterior à emissão do MTR",IF(AND(J142="Sim",L142="",M142=""),"Conferido sem evidência identificada",IF(J142&lt;&gt;"Sim","Aguardando conferência",IF(INDEX('ITENS_MTR'!$AM$6:$AM$1005,S142)=1,"Conferido (ver diferença no item)","Conferido"))))))))))))</f>
        <v/>
      </c>
      <c r="Q142" s="96">
        <f>IF(COUNTA(C142,E142:G142,I142:O142)&gt;0,1,0)</f>
        <v>0</v>
      </c>
      <c r="R142" s="96" t="str">
        <f>IF(C142="","",TRIM(LEFT(C142,FIND(" |",C142&amp;" |")-1)))</f>
        <v/>
      </c>
      <c r="S142" s="96" t="str">
        <f>IF(R142="","",IFERROR(MATCH(R142,'ITENS_MTR'!$A$6:$A$1005,0),""))</f>
        <v/>
      </c>
      <c r="T142" s="96">
        <f>IF(S142="",0,IF(INDEX('ITENS_MTR'!$R$6:$R$1005,S142)=1,1,0))</f>
        <v>0</v>
      </c>
      <c r="U142" s="96" t="str">
        <f>IF(T142=1,INDEX('ITENS_MTR'!$T$6:$T$1005,S142),"")</f>
        <v/>
      </c>
      <c r="V142" s="97" t="str">
        <f>IF(N(U142)&gt;0,INDEX('MTRs'!$E$6:$E$505,U142),"")</f>
        <v/>
      </c>
      <c r="W142" s="96" t="str">
        <f>IF(G142="","",IFERROR(IF(ISNUMBER(INDEX(cfg_fac,MATCH(G142,cfg_units,0))),IF(INDEX(cfg_fac,MATCH(G142,cfg_units,0))&gt;0,INDEX(cfg_fac,MATCH(G142,cfg_units,0)),""),""),""))</f>
        <v/>
      </c>
      <c r="X142" s="96">
        <f>IF(AND(ISNUMBER(F142),ISNUMBER(H142)),IF(H142&gt;0,1,0),0)</f>
        <v>0</v>
      </c>
      <c r="Y142" s="96">
        <f>IF(Q142=0,0,IF(OR(T142=0,X142=0,NOT(ISNUMBER(E142)),AND(J142="Sim",L142="",M142=""),AND(ISNUMBER(E142),ISNUMBER(V142),N(V142)&gt;0,E142&lt;N(V142))),1,0))</f>
        <v>0</v>
      </c>
      <c r="Z142" s="96">
        <f>IF(AND(Q142=1,T142=1,X142=1,J142="Sim",OR(L142&lt;&gt;"",M142&lt;&gt;"")),1,0)</f>
        <v>0</v>
      </c>
      <c r="AA142" s="96">
        <f>IF(Q142=0,0,IF(AND(OR(r_ini="",AND(ISNUMBER(E142),E142&gt;=r_ini)),OR(r_fim="",AND(ISNUMBER(E142),E142&lt;=r_fim)),OR(r_un="",r_un="(Todas)",IF(N(U142)&gt;0,INDEX('MTRs'!$G$6:$G$505,U142),"")=r_un),OR(r_de="",r_de="(Todos)",D142=r_de)),1,0))</f>
        <v>0</v>
      </c>
      <c r="AB142" s="96" t="str">
        <f>IF(AA142=1,COUNTIF($AA$6:AA142,1),"")</f>
        <v/>
      </c>
    </row>
    <row r="143">
      <c r="A143" s="89" t="inlineStr">
        <is>
          <t>REC-000138</t>
        </is>
      </c>
      <c r="B143" s="94" t="str">
        <f>IF(T143=1,INDEX('ITENS_MTR'!$S$6:$S$1005,S143)&amp;"","")</f>
        <v/>
      </c>
      <c r="C143" s="91" t="n"/>
      <c r="D143" s="94" t="str">
        <f>IF(N(U143)&gt;0,INDEX('MTRs'!$I$6:$I$505,U143)&amp;"","")</f>
        <v/>
      </c>
      <c r="E143" s="92" t="n"/>
      <c r="F143" s="98" t="n"/>
      <c r="G143" s="91" t="n"/>
      <c r="H143" s="93" t="str">
        <f>IF(Q143=0,"",IF(NOT(ISNUMBER(F143)),"",IF(ISNUMBER(W143),F143*W143,"UNIDADE A CONFERIR")))</f>
        <v/>
      </c>
      <c r="I143" s="91" t="n"/>
      <c r="J143" s="91" t="n"/>
      <c r="K143" s="92" t="n"/>
      <c r="L143" s="91" t="n"/>
      <c r="M143" s="91" t="n"/>
      <c r="N143" s="91" t="n"/>
      <c r="O143" s="91" t="n"/>
      <c r="P143" s="94" t="str">
        <f>IF(Q143=0,"",IF(C143="","Item de resíduo não informado",IF(T143=0,"Item inexistente (referência inválida)",IF(NOT(ISNUMBER(F143)),"Quantidade não informada",IF(F143&lt;=0,"Quantidade não positiva",IF(G143="","Unidade não informada",IF(NOT(ISNUMBER(H143)),"Unidade a conferir",IF(NOT(ISNUMBER(E143)),"Data de recebimento não informada",IF(AND(ISNUMBER(V143),N(V143)&gt;0,E143&lt;N(V143)),"Data anterior à emissão do MTR",IF(AND(J143="Sim",L143="",M143=""),"Conferido sem evidência identificada",IF(J143&lt;&gt;"Sim","Aguardando conferência",IF(INDEX('ITENS_MTR'!$AM$6:$AM$1005,S143)=1,"Conferido (ver diferença no item)","Conferido"))))))))))))</f>
        <v/>
      </c>
      <c r="Q143" s="96">
        <f>IF(COUNTA(C143,E143:G143,I143:O143)&gt;0,1,0)</f>
        <v>0</v>
      </c>
      <c r="R143" s="96" t="str">
        <f>IF(C143="","",TRIM(LEFT(C143,FIND(" |",C143&amp;" |")-1)))</f>
        <v/>
      </c>
      <c r="S143" s="96" t="str">
        <f>IF(R143="","",IFERROR(MATCH(R143,'ITENS_MTR'!$A$6:$A$1005,0),""))</f>
        <v/>
      </c>
      <c r="T143" s="96">
        <f>IF(S143="",0,IF(INDEX('ITENS_MTR'!$R$6:$R$1005,S143)=1,1,0))</f>
        <v>0</v>
      </c>
      <c r="U143" s="96" t="str">
        <f>IF(T143=1,INDEX('ITENS_MTR'!$T$6:$T$1005,S143),"")</f>
        <v/>
      </c>
      <c r="V143" s="97" t="str">
        <f>IF(N(U143)&gt;0,INDEX('MTRs'!$E$6:$E$505,U143),"")</f>
        <v/>
      </c>
      <c r="W143" s="96" t="str">
        <f>IF(G143="","",IFERROR(IF(ISNUMBER(INDEX(cfg_fac,MATCH(G143,cfg_units,0))),IF(INDEX(cfg_fac,MATCH(G143,cfg_units,0))&gt;0,INDEX(cfg_fac,MATCH(G143,cfg_units,0)),""),""),""))</f>
        <v/>
      </c>
      <c r="X143" s="96">
        <f>IF(AND(ISNUMBER(F143),ISNUMBER(H143)),IF(H143&gt;0,1,0),0)</f>
        <v>0</v>
      </c>
      <c r="Y143" s="96">
        <f>IF(Q143=0,0,IF(OR(T143=0,X143=0,NOT(ISNUMBER(E143)),AND(J143="Sim",L143="",M143=""),AND(ISNUMBER(E143),ISNUMBER(V143),N(V143)&gt;0,E143&lt;N(V143))),1,0))</f>
        <v>0</v>
      </c>
      <c r="Z143" s="96">
        <f>IF(AND(Q143=1,T143=1,X143=1,J143="Sim",OR(L143&lt;&gt;"",M143&lt;&gt;"")),1,0)</f>
        <v>0</v>
      </c>
      <c r="AA143" s="96">
        <f>IF(Q143=0,0,IF(AND(OR(r_ini="",AND(ISNUMBER(E143),E143&gt;=r_ini)),OR(r_fim="",AND(ISNUMBER(E143),E143&lt;=r_fim)),OR(r_un="",r_un="(Todas)",IF(N(U143)&gt;0,INDEX('MTRs'!$G$6:$G$505,U143),"")=r_un),OR(r_de="",r_de="(Todos)",D143=r_de)),1,0))</f>
        <v>0</v>
      </c>
      <c r="AB143" s="96" t="str">
        <f>IF(AA143=1,COUNTIF($AA$6:AA143,1),"")</f>
        <v/>
      </c>
    </row>
    <row r="144">
      <c r="A144" s="89" t="inlineStr">
        <is>
          <t>REC-000139</t>
        </is>
      </c>
      <c r="B144" s="94" t="str">
        <f>IF(T144=1,INDEX('ITENS_MTR'!$S$6:$S$1005,S144)&amp;"","")</f>
        <v/>
      </c>
      <c r="C144" s="91" t="n"/>
      <c r="D144" s="94" t="str">
        <f>IF(N(U144)&gt;0,INDEX('MTRs'!$I$6:$I$505,U144)&amp;"","")</f>
        <v/>
      </c>
      <c r="E144" s="92" t="n"/>
      <c r="F144" s="98" t="n"/>
      <c r="G144" s="91" t="n"/>
      <c r="H144" s="93" t="str">
        <f>IF(Q144=0,"",IF(NOT(ISNUMBER(F144)),"",IF(ISNUMBER(W144),F144*W144,"UNIDADE A CONFERIR")))</f>
        <v/>
      </c>
      <c r="I144" s="91" t="n"/>
      <c r="J144" s="91" t="n"/>
      <c r="K144" s="92" t="n"/>
      <c r="L144" s="91" t="n"/>
      <c r="M144" s="91" t="n"/>
      <c r="N144" s="91" t="n"/>
      <c r="O144" s="91" t="n"/>
      <c r="P144" s="94" t="str">
        <f>IF(Q144=0,"",IF(C144="","Item de resíduo não informado",IF(T144=0,"Item inexistente (referência inválida)",IF(NOT(ISNUMBER(F144)),"Quantidade não informada",IF(F144&lt;=0,"Quantidade não positiva",IF(G144="","Unidade não informada",IF(NOT(ISNUMBER(H144)),"Unidade a conferir",IF(NOT(ISNUMBER(E144)),"Data de recebimento não informada",IF(AND(ISNUMBER(V144),N(V144)&gt;0,E144&lt;N(V144)),"Data anterior à emissão do MTR",IF(AND(J144="Sim",L144="",M144=""),"Conferido sem evidência identificada",IF(J144&lt;&gt;"Sim","Aguardando conferência",IF(INDEX('ITENS_MTR'!$AM$6:$AM$1005,S144)=1,"Conferido (ver diferença no item)","Conferido"))))))))))))</f>
        <v/>
      </c>
      <c r="Q144" s="96">
        <f>IF(COUNTA(C144,E144:G144,I144:O144)&gt;0,1,0)</f>
        <v>0</v>
      </c>
      <c r="R144" s="96" t="str">
        <f>IF(C144="","",TRIM(LEFT(C144,FIND(" |",C144&amp;" |")-1)))</f>
        <v/>
      </c>
      <c r="S144" s="96" t="str">
        <f>IF(R144="","",IFERROR(MATCH(R144,'ITENS_MTR'!$A$6:$A$1005,0),""))</f>
        <v/>
      </c>
      <c r="T144" s="96">
        <f>IF(S144="",0,IF(INDEX('ITENS_MTR'!$R$6:$R$1005,S144)=1,1,0))</f>
        <v>0</v>
      </c>
      <c r="U144" s="96" t="str">
        <f>IF(T144=1,INDEX('ITENS_MTR'!$T$6:$T$1005,S144),"")</f>
        <v/>
      </c>
      <c r="V144" s="97" t="str">
        <f>IF(N(U144)&gt;0,INDEX('MTRs'!$E$6:$E$505,U144),"")</f>
        <v/>
      </c>
      <c r="W144" s="96" t="str">
        <f>IF(G144="","",IFERROR(IF(ISNUMBER(INDEX(cfg_fac,MATCH(G144,cfg_units,0))),IF(INDEX(cfg_fac,MATCH(G144,cfg_units,0))&gt;0,INDEX(cfg_fac,MATCH(G144,cfg_units,0)),""),""),""))</f>
        <v/>
      </c>
      <c r="X144" s="96">
        <f>IF(AND(ISNUMBER(F144),ISNUMBER(H144)),IF(H144&gt;0,1,0),0)</f>
        <v>0</v>
      </c>
      <c r="Y144" s="96">
        <f>IF(Q144=0,0,IF(OR(T144=0,X144=0,NOT(ISNUMBER(E144)),AND(J144="Sim",L144="",M144=""),AND(ISNUMBER(E144),ISNUMBER(V144),N(V144)&gt;0,E144&lt;N(V144))),1,0))</f>
        <v>0</v>
      </c>
      <c r="Z144" s="96">
        <f>IF(AND(Q144=1,T144=1,X144=1,J144="Sim",OR(L144&lt;&gt;"",M144&lt;&gt;"")),1,0)</f>
        <v>0</v>
      </c>
      <c r="AA144" s="96">
        <f>IF(Q144=0,0,IF(AND(OR(r_ini="",AND(ISNUMBER(E144),E144&gt;=r_ini)),OR(r_fim="",AND(ISNUMBER(E144),E144&lt;=r_fim)),OR(r_un="",r_un="(Todas)",IF(N(U144)&gt;0,INDEX('MTRs'!$G$6:$G$505,U144),"")=r_un),OR(r_de="",r_de="(Todos)",D144=r_de)),1,0))</f>
        <v>0</v>
      </c>
      <c r="AB144" s="96" t="str">
        <f>IF(AA144=1,COUNTIF($AA$6:AA144,1),"")</f>
        <v/>
      </c>
    </row>
    <row r="145">
      <c r="A145" s="89" t="inlineStr">
        <is>
          <t>REC-000140</t>
        </is>
      </c>
      <c r="B145" s="94" t="str">
        <f>IF(T145=1,INDEX('ITENS_MTR'!$S$6:$S$1005,S145)&amp;"","")</f>
        <v/>
      </c>
      <c r="C145" s="91" t="n"/>
      <c r="D145" s="94" t="str">
        <f>IF(N(U145)&gt;0,INDEX('MTRs'!$I$6:$I$505,U145)&amp;"","")</f>
        <v/>
      </c>
      <c r="E145" s="92" t="n"/>
      <c r="F145" s="98" t="n"/>
      <c r="G145" s="91" t="n"/>
      <c r="H145" s="93" t="str">
        <f>IF(Q145=0,"",IF(NOT(ISNUMBER(F145)),"",IF(ISNUMBER(W145),F145*W145,"UNIDADE A CONFERIR")))</f>
        <v/>
      </c>
      <c r="I145" s="91" t="n"/>
      <c r="J145" s="91" t="n"/>
      <c r="K145" s="92" t="n"/>
      <c r="L145" s="91" t="n"/>
      <c r="M145" s="91" t="n"/>
      <c r="N145" s="91" t="n"/>
      <c r="O145" s="91" t="n"/>
      <c r="P145" s="94" t="str">
        <f>IF(Q145=0,"",IF(C145="","Item de resíduo não informado",IF(T145=0,"Item inexistente (referência inválida)",IF(NOT(ISNUMBER(F145)),"Quantidade não informada",IF(F145&lt;=0,"Quantidade não positiva",IF(G145="","Unidade não informada",IF(NOT(ISNUMBER(H145)),"Unidade a conferir",IF(NOT(ISNUMBER(E145)),"Data de recebimento não informada",IF(AND(ISNUMBER(V145),N(V145)&gt;0,E145&lt;N(V145)),"Data anterior à emissão do MTR",IF(AND(J145="Sim",L145="",M145=""),"Conferido sem evidência identificada",IF(J145&lt;&gt;"Sim","Aguardando conferência",IF(INDEX('ITENS_MTR'!$AM$6:$AM$1005,S145)=1,"Conferido (ver diferença no item)","Conferido"))))))))))))</f>
        <v/>
      </c>
      <c r="Q145" s="96">
        <f>IF(COUNTA(C145,E145:G145,I145:O145)&gt;0,1,0)</f>
        <v>0</v>
      </c>
      <c r="R145" s="96" t="str">
        <f>IF(C145="","",TRIM(LEFT(C145,FIND(" |",C145&amp;" |")-1)))</f>
        <v/>
      </c>
      <c r="S145" s="96" t="str">
        <f>IF(R145="","",IFERROR(MATCH(R145,'ITENS_MTR'!$A$6:$A$1005,0),""))</f>
        <v/>
      </c>
      <c r="T145" s="96">
        <f>IF(S145="",0,IF(INDEX('ITENS_MTR'!$R$6:$R$1005,S145)=1,1,0))</f>
        <v>0</v>
      </c>
      <c r="U145" s="96" t="str">
        <f>IF(T145=1,INDEX('ITENS_MTR'!$T$6:$T$1005,S145),"")</f>
        <v/>
      </c>
      <c r="V145" s="97" t="str">
        <f>IF(N(U145)&gt;0,INDEX('MTRs'!$E$6:$E$505,U145),"")</f>
        <v/>
      </c>
      <c r="W145" s="96" t="str">
        <f>IF(G145="","",IFERROR(IF(ISNUMBER(INDEX(cfg_fac,MATCH(G145,cfg_units,0))),IF(INDEX(cfg_fac,MATCH(G145,cfg_units,0))&gt;0,INDEX(cfg_fac,MATCH(G145,cfg_units,0)),""),""),""))</f>
        <v/>
      </c>
      <c r="X145" s="96">
        <f>IF(AND(ISNUMBER(F145),ISNUMBER(H145)),IF(H145&gt;0,1,0),0)</f>
        <v>0</v>
      </c>
      <c r="Y145" s="96">
        <f>IF(Q145=0,0,IF(OR(T145=0,X145=0,NOT(ISNUMBER(E145)),AND(J145="Sim",L145="",M145=""),AND(ISNUMBER(E145),ISNUMBER(V145),N(V145)&gt;0,E145&lt;N(V145))),1,0))</f>
        <v>0</v>
      </c>
      <c r="Z145" s="96">
        <f>IF(AND(Q145=1,T145=1,X145=1,J145="Sim",OR(L145&lt;&gt;"",M145&lt;&gt;"")),1,0)</f>
        <v>0</v>
      </c>
      <c r="AA145" s="96">
        <f>IF(Q145=0,0,IF(AND(OR(r_ini="",AND(ISNUMBER(E145),E145&gt;=r_ini)),OR(r_fim="",AND(ISNUMBER(E145),E145&lt;=r_fim)),OR(r_un="",r_un="(Todas)",IF(N(U145)&gt;0,INDEX('MTRs'!$G$6:$G$505,U145),"")=r_un),OR(r_de="",r_de="(Todos)",D145=r_de)),1,0))</f>
        <v>0</v>
      </c>
      <c r="AB145" s="96" t="str">
        <f>IF(AA145=1,COUNTIF($AA$6:AA145,1),"")</f>
        <v/>
      </c>
    </row>
    <row r="146">
      <c r="A146" s="89" t="inlineStr">
        <is>
          <t>REC-000141</t>
        </is>
      </c>
      <c r="B146" s="94" t="str">
        <f>IF(T146=1,INDEX('ITENS_MTR'!$S$6:$S$1005,S146)&amp;"","")</f>
        <v/>
      </c>
      <c r="C146" s="91" t="n"/>
      <c r="D146" s="94" t="str">
        <f>IF(N(U146)&gt;0,INDEX('MTRs'!$I$6:$I$505,U146)&amp;"","")</f>
        <v/>
      </c>
      <c r="E146" s="92" t="n"/>
      <c r="F146" s="98" t="n"/>
      <c r="G146" s="91" t="n"/>
      <c r="H146" s="93" t="str">
        <f>IF(Q146=0,"",IF(NOT(ISNUMBER(F146)),"",IF(ISNUMBER(W146),F146*W146,"UNIDADE A CONFERIR")))</f>
        <v/>
      </c>
      <c r="I146" s="91" t="n"/>
      <c r="J146" s="91" t="n"/>
      <c r="K146" s="92" t="n"/>
      <c r="L146" s="91" t="n"/>
      <c r="M146" s="91" t="n"/>
      <c r="N146" s="91" t="n"/>
      <c r="O146" s="91" t="n"/>
      <c r="P146" s="94" t="str">
        <f>IF(Q146=0,"",IF(C146="","Item de resíduo não informado",IF(T146=0,"Item inexistente (referência inválida)",IF(NOT(ISNUMBER(F146)),"Quantidade não informada",IF(F146&lt;=0,"Quantidade não positiva",IF(G146="","Unidade não informada",IF(NOT(ISNUMBER(H146)),"Unidade a conferir",IF(NOT(ISNUMBER(E146)),"Data de recebimento não informada",IF(AND(ISNUMBER(V146),N(V146)&gt;0,E146&lt;N(V146)),"Data anterior à emissão do MTR",IF(AND(J146="Sim",L146="",M146=""),"Conferido sem evidência identificada",IF(J146&lt;&gt;"Sim","Aguardando conferência",IF(INDEX('ITENS_MTR'!$AM$6:$AM$1005,S146)=1,"Conferido (ver diferença no item)","Conferido"))))))))))))</f>
        <v/>
      </c>
      <c r="Q146" s="96">
        <f>IF(COUNTA(C146,E146:G146,I146:O146)&gt;0,1,0)</f>
        <v>0</v>
      </c>
      <c r="R146" s="96" t="str">
        <f>IF(C146="","",TRIM(LEFT(C146,FIND(" |",C146&amp;" |")-1)))</f>
        <v/>
      </c>
      <c r="S146" s="96" t="str">
        <f>IF(R146="","",IFERROR(MATCH(R146,'ITENS_MTR'!$A$6:$A$1005,0),""))</f>
        <v/>
      </c>
      <c r="T146" s="96">
        <f>IF(S146="",0,IF(INDEX('ITENS_MTR'!$R$6:$R$1005,S146)=1,1,0))</f>
        <v>0</v>
      </c>
      <c r="U146" s="96" t="str">
        <f>IF(T146=1,INDEX('ITENS_MTR'!$T$6:$T$1005,S146),"")</f>
        <v/>
      </c>
      <c r="V146" s="97" t="str">
        <f>IF(N(U146)&gt;0,INDEX('MTRs'!$E$6:$E$505,U146),"")</f>
        <v/>
      </c>
      <c r="W146" s="96" t="str">
        <f>IF(G146="","",IFERROR(IF(ISNUMBER(INDEX(cfg_fac,MATCH(G146,cfg_units,0))),IF(INDEX(cfg_fac,MATCH(G146,cfg_units,0))&gt;0,INDEX(cfg_fac,MATCH(G146,cfg_units,0)),""),""),""))</f>
        <v/>
      </c>
      <c r="X146" s="96">
        <f>IF(AND(ISNUMBER(F146),ISNUMBER(H146)),IF(H146&gt;0,1,0),0)</f>
        <v>0</v>
      </c>
      <c r="Y146" s="96">
        <f>IF(Q146=0,0,IF(OR(T146=0,X146=0,NOT(ISNUMBER(E146)),AND(J146="Sim",L146="",M146=""),AND(ISNUMBER(E146),ISNUMBER(V146),N(V146)&gt;0,E146&lt;N(V146))),1,0))</f>
        <v>0</v>
      </c>
      <c r="Z146" s="96">
        <f>IF(AND(Q146=1,T146=1,X146=1,J146="Sim",OR(L146&lt;&gt;"",M146&lt;&gt;"")),1,0)</f>
        <v>0</v>
      </c>
      <c r="AA146" s="96">
        <f>IF(Q146=0,0,IF(AND(OR(r_ini="",AND(ISNUMBER(E146),E146&gt;=r_ini)),OR(r_fim="",AND(ISNUMBER(E146),E146&lt;=r_fim)),OR(r_un="",r_un="(Todas)",IF(N(U146)&gt;0,INDEX('MTRs'!$G$6:$G$505,U146),"")=r_un),OR(r_de="",r_de="(Todos)",D146=r_de)),1,0))</f>
        <v>0</v>
      </c>
      <c r="AB146" s="96" t="str">
        <f>IF(AA146=1,COUNTIF($AA$6:AA146,1),"")</f>
        <v/>
      </c>
    </row>
    <row r="147">
      <c r="A147" s="89" t="inlineStr">
        <is>
          <t>REC-000142</t>
        </is>
      </c>
      <c r="B147" s="94" t="str">
        <f>IF(T147=1,INDEX('ITENS_MTR'!$S$6:$S$1005,S147)&amp;"","")</f>
        <v/>
      </c>
      <c r="C147" s="91" t="n"/>
      <c r="D147" s="94" t="str">
        <f>IF(N(U147)&gt;0,INDEX('MTRs'!$I$6:$I$505,U147)&amp;"","")</f>
        <v/>
      </c>
      <c r="E147" s="92" t="n"/>
      <c r="F147" s="98" t="n"/>
      <c r="G147" s="91" t="n"/>
      <c r="H147" s="93" t="str">
        <f>IF(Q147=0,"",IF(NOT(ISNUMBER(F147)),"",IF(ISNUMBER(W147),F147*W147,"UNIDADE A CONFERIR")))</f>
        <v/>
      </c>
      <c r="I147" s="91" t="n"/>
      <c r="J147" s="91" t="n"/>
      <c r="K147" s="92" t="n"/>
      <c r="L147" s="91" t="n"/>
      <c r="M147" s="91" t="n"/>
      <c r="N147" s="91" t="n"/>
      <c r="O147" s="91" t="n"/>
      <c r="P147" s="94" t="str">
        <f>IF(Q147=0,"",IF(C147="","Item de resíduo não informado",IF(T147=0,"Item inexistente (referência inválida)",IF(NOT(ISNUMBER(F147)),"Quantidade não informada",IF(F147&lt;=0,"Quantidade não positiva",IF(G147="","Unidade não informada",IF(NOT(ISNUMBER(H147)),"Unidade a conferir",IF(NOT(ISNUMBER(E147)),"Data de recebimento não informada",IF(AND(ISNUMBER(V147),N(V147)&gt;0,E147&lt;N(V147)),"Data anterior à emissão do MTR",IF(AND(J147="Sim",L147="",M147=""),"Conferido sem evidência identificada",IF(J147&lt;&gt;"Sim","Aguardando conferência",IF(INDEX('ITENS_MTR'!$AM$6:$AM$1005,S147)=1,"Conferido (ver diferença no item)","Conferido"))))))))))))</f>
        <v/>
      </c>
      <c r="Q147" s="96">
        <f>IF(COUNTA(C147,E147:G147,I147:O147)&gt;0,1,0)</f>
        <v>0</v>
      </c>
      <c r="R147" s="96" t="str">
        <f>IF(C147="","",TRIM(LEFT(C147,FIND(" |",C147&amp;" |")-1)))</f>
        <v/>
      </c>
      <c r="S147" s="96" t="str">
        <f>IF(R147="","",IFERROR(MATCH(R147,'ITENS_MTR'!$A$6:$A$1005,0),""))</f>
        <v/>
      </c>
      <c r="T147" s="96">
        <f>IF(S147="",0,IF(INDEX('ITENS_MTR'!$R$6:$R$1005,S147)=1,1,0))</f>
        <v>0</v>
      </c>
      <c r="U147" s="96" t="str">
        <f>IF(T147=1,INDEX('ITENS_MTR'!$T$6:$T$1005,S147),"")</f>
        <v/>
      </c>
      <c r="V147" s="97" t="str">
        <f>IF(N(U147)&gt;0,INDEX('MTRs'!$E$6:$E$505,U147),"")</f>
        <v/>
      </c>
      <c r="W147" s="96" t="str">
        <f>IF(G147="","",IFERROR(IF(ISNUMBER(INDEX(cfg_fac,MATCH(G147,cfg_units,0))),IF(INDEX(cfg_fac,MATCH(G147,cfg_units,0))&gt;0,INDEX(cfg_fac,MATCH(G147,cfg_units,0)),""),""),""))</f>
        <v/>
      </c>
      <c r="X147" s="96">
        <f>IF(AND(ISNUMBER(F147),ISNUMBER(H147)),IF(H147&gt;0,1,0),0)</f>
        <v>0</v>
      </c>
      <c r="Y147" s="96">
        <f>IF(Q147=0,0,IF(OR(T147=0,X147=0,NOT(ISNUMBER(E147)),AND(J147="Sim",L147="",M147=""),AND(ISNUMBER(E147),ISNUMBER(V147),N(V147)&gt;0,E147&lt;N(V147))),1,0))</f>
        <v>0</v>
      </c>
      <c r="Z147" s="96">
        <f>IF(AND(Q147=1,T147=1,X147=1,J147="Sim",OR(L147&lt;&gt;"",M147&lt;&gt;"")),1,0)</f>
        <v>0</v>
      </c>
      <c r="AA147" s="96">
        <f>IF(Q147=0,0,IF(AND(OR(r_ini="",AND(ISNUMBER(E147),E147&gt;=r_ini)),OR(r_fim="",AND(ISNUMBER(E147),E147&lt;=r_fim)),OR(r_un="",r_un="(Todas)",IF(N(U147)&gt;0,INDEX('MTRs'!$G$6:$G$505,U147),"")=r_un),OR(r_de="",r_de="(Todos)",D147=r_de)),1,0))</f>
        <v>0</v>
      </c>
      <c r="AB147" s="96" t="str">
        <f>IF(AA147=1,COUNTIF($AA$6:AA147,1),"")</f>
        <v/>
      </c>
    </row>
    <row r="148">
      <c r="A148" s="89" t="inlineStr">
        <is>
          <t>REC-000143</t>
        </is>
      </c>
      <c r="B148" s="94" t="str">
        <f>IF(T148=1,INDEX('ITENS_MTR'!$S$6:$S$1005,S148)&amp;"","")</f>
        <v/>
      </c>
      <c r="C148" s="91" t="n"/>
      <c r="D148" s="94" t="str">
        <f>IF(N(U148)&gt;0,INDEX('MTRs'!$I$6:$I$505,U148)&amp;"","")</f>
        <v/>
      </c>
      <c r="E148" s="92" t="n"/>
      <c r="F148" s="98" t="n"/>
      <c r="G148" s="91" t="n"/>
      <c r="H148" s="93" t="str">
        <f>IF(Q148=0,"",IF(NOT(ISNUMBER(F148)),"",IF(ISNUMBER(W148),F148*W148,"UNIDADE A CONFERIR")))</f>
        <v/>
      </c>
      <c r="I148" s="91" t="n"/>
      <c r="J148" s="91" t="n"/>
      <c r="K148" s="92" t="n"/>
      <c r="L148" s="91" t="n"/>
      <c r="M148" s="91" t="n"/>
      <c r="N148" s="91" t="n"/>
      <c r="O148" s="91" t="n"/>
      <c r="P148" s="94" t="str">
        <f>IF(Q148=0,"",IF(C148="","Item de resíduo não informado",IF(T148=0,"Item inexistente (referência inválida)",IF(NOT(ISNUMBER(F148)),"Quantidade não informada",IF(F148&lt;=0,"Quantidade não positiva",IF(G148="","Unidade não informada",IF(NOT(ISNUMBER(H148)),"Unidade a conferir",IF(NOT(ISNUMBER(E148)),"Data de recebimento não informada",IF(AND(ISNUMBER(V148),N(V148)&gt;0,E148&lt;N(V148)),"Data anterior à emissão do MTR",IF(AND(J148="Sim",L148="",M148=""),"Conferido sem evidência identificada",IF(J148&lt;&gt;"Sim","Aguardando conferência",IF(INDEX('ITENS_MTR'!$AM$6:$AM$1005,S148)=1,"Conferido (ver diferença no item)","Conferido"))))))))))))</f>
        <v/>
      </c>
      <c r="Q148" s="96">
        <f>IF(COUNTA(C148,E148:G148,I148:O148)&gt;0,1,0)</f>
        <v>0</v>
      </c>
      <c r="R148" s="96" t="str">
        <f>IF(C148="","",TRIM(LEFT(C148,FIND(" |",C148&amp;" |")-1)))</f>
        <v/>
      </c>
      <c r="S148" s="96" t="str">
        <f>IF(R148="","",IFERROR(MATCH(R148,'ITENS_MTR'!$A$6:$A$1005,0),""))</f>
        <v/>
      </c>
      <c r="T148" s="96">
        <f>IF(S148="",0,IF(INDEX('ITENS_MTR'!$R$6:$R$1005,S148)=1,1,0))</f>
        <v>0</v>
      </c>
      <c r="U148" s="96" t="str">
        <f>IF(T148=1,INDEX('ITENS_MTR'!$T$6:$T$1005,S148),"")</f>
        <v/>
      </c>
      <c r="V148" s="97" t="str">
        <f>IF(N(U148)&gt;0,INDEX('MTRs'!$E$6:$E$505,U148),"")</f>
        <v/>
      </c>
      <c r="W148" s="96" t="str">
        <f>IF(G148="","",IFERROR(IF(ISNUMBER(INDEX(cfg_fac,MATCH(G148,cfg_units,0))),IF(INDEX(cfg_fac,MATCH(G148,cfg_units,0))&gt;0,INDEX(cfg_fac,MATCH(G148,cfg_units,0)),""),""),""))</f>
        <v/>
      </c>
      <c r="X148" s="96">
        <f>IF(AND(ISNUMBER(F148),ISNUMBER(H148)),IF(H148&gt;0,1,0),0)</f>
        <v>0</v>
      </c>
      <c r="Y148" s="96">
        <f>IF(Q148=0,0,IF(OR(T148=0,X148=0,NOT(ISNUMBER(E148)),AND(J148="Sim",L148="",M148=""),AND(ISNUMBER(E148),ISNUMBER(V148),N(V148)&gt;0,E148&lt;N(V148))),1,0))</f>
        <v>0</v>
      </c>
      <c r="Z148" s="96">
        <f>IF(AND(Q148=1,T148=1,X148=1,J148="Sim",OR(L148&lt;&gt;"",M148&lt;&gt;"")),1,0)</f>
        <v>0</v>
      </c>
      <c r="AA148" s="96">
        <f>IF(Q148=0,0,IF(AND(OR(r_ini="",AND(ISNUMBER(E148),E148&gt;=r_ini)),OR(r_fim="",AND(ISNUMBER(E148),E148&lt;=r_fim)),OR(r_un="",r_un="(Todas)",IF(N(U148)&gt;0,INDEX('MTRs'!$G$6:$G$505,U148),"")=r_un),OR(r_de="",r_de="(Todos)",D148=r_de)),1,0))</f>
        <v>0</v>
      </c>
      <c r="AB148" s="96" t="str">
        <f>IF(AA148=1,COUNTIF($AA$6:AA148,1),"")</f>
        <v/>
      </c>
    </row>
    <row r="149">
      <c r="A149" s="89" t="inlineStr">
        <is>
          <t>REC-000144</t>
        </is>
      </c>
      <c r="B149" s="94" t="str">
        <f>IF(T149=1,INDEX('ITENS_MTR'!$S$6:$S$1005,S149)&amp;"","")</f>
        <v/>
      </c>
      <c r="C149" s="91" t="n"/>
      <c r="D149" s="94" t="str">
        <f>IF(N(U149)&gt;0,INDEX('MTRs'!$I$6:$I$505,U149)&amp;"","")</f>
        <v/>
      </c>
      <c r="E149" s="92" t="n"/>
      <c r="F149" s="98" t="n"/>
      <c r="G149" s="91" t="n"/>
      <c r="H149" s="93" t="str">
        <f>IF(Q149=0,"",IF(NOT(ISNUMBER(F149)),"",IF(ISNUMBER(W149),F149*W149,"UNIDADE A CONFERIR")))</f>
        <v/>
      </c>
      <c r="I149" s="91" t="n"/>
      <c r="J149" s="91" t="n"/>
      <c r="K149" s="92" t="n"/>
      <c r="L149" s="91" t="n"/>
      <c r="M149" s="91" t="n"/>
      <c r="N149" s="91" t="n"/>
      <c r="O149" s="91" t="n"/>
      <c r="P149" s="94" t="str">
        <f>IF(Q149=0,"",IF(C149="","Item de resíduo não informado",IF(T149=0,"Item inexistente (referência inválida)",IF(NOT(ISNUMBER(F149)),"Quantidade não informada",IF(F149&lt;=0,"Quantidade não positiva",IF(G149="","Unidade não informada",IF(NOT(ISNUMBER(H149)),"Unidade a conferir",IF(NOT(ISNUMBER(E149)),"Data de recebimento não informada",IF(AND(ISNUMBER(V149),N(V149)&gt;0,E149&lt;N(V149)),"Data anterior à emissão do MTR",IF(AND(J149="Sim",L149="",M149=""),"Conferido sem evidência identificada",IF(J149&lt;&gt;"Sim","Aguardando conferência",IF(INDEX('ITENS_MTR'!$AM$6:$AM$1005,S149)=1,"Conferido (ver diferença no item)","Conferido"))))))))))))</f>
        <v/>
      </c>
      <c r="Q149" s="96">
        <f>IF(COUNTA(C149,E149:G149,I149:O149)&gt;0,1,0)</f>
        <v>0</v>
      </c>
      <c r="R149" s="96" t="str">
        <f>IF(C149="","",TRIM(LEFT(C149,FIND(" |",C149&amp;" |")-1)))</f>
        <v/>
      </c>
      <c r="S149" s="96" t="str">
        <f>IF(R149="","",IFERROR(MATCH(R149,'ITENS_MTR'!$A$6:$A$1005,0),""))</f>
        <v/>
      </c>
      <c r="T149" s="96">
        <f>IF(S149="",0,IF(INDEX('ITENS_MTR'!$R$6:$R$1005,S149)=1,1,0))</f>
        <v>0</v>
      </c>
      <c r="U149" s="96" t="str">
        <f>IF(T149=1,INDEX('ITENS_MTR'!$T$6:$T$1005,S149),"")</f>
        <v/>
      </c>
      <c r="V149" s="97" t="str">
        <f>IF(N(U149)&gt;0,INDEX('MTRs'!$E$6:$E$505,U149),"")</f>
        <v/>
      </c>
      <c r="W149" s="96" t="str">
        <f>IF(G149="","",IFERROR(IF(ISNUMBER(INDEX(cfg_fac,MATCH(G149,cfg_units,0))),IF(INDEX(cfg_fac,MATCH(G149,cfg_units,0))&gt;0,INDEX(cfg_fac,MATCH(G149,cfg_units,0)),""),""),""))</f>
        <v/>
      </c>
      <c r="X149" s="96">
        <f>IF(AND(ISNUMBER(F149),ISNUMBER(H149)),IF(H149&gt;0,1,0),0)</f>
        <v>0</v>
      </c>
      <c r="Y149" s="96">
        <f>IF(Q149=0,0,IF(OR(T149=0,X149=0,NOT(ISNUMBER(E149)),AND(J149="Sim",L149="",M149=""),AND(ISNUMBER(E149),ISNUMBER(V149),N(V149)&gt;0,E149&lt;N(V149))),1,0))</f>
        <v>0</v>
      </c>
      <c r="Z149" s="96">
        <f>IF(AND(Q149=1,T149=1,X149=1,J149="Sim",OR(L149&lt;&gt;"",M149&lt;&gt;"")),1,0)</f>
        <v>0</v>
      </c>
      <c r="AA149" s="96">
        <f>IF(Q149=0,0,IF(AND(OR(r_ini="",AND(ISNUMBER(E149),E149&gt;=r_ini)),OR(r_fim="",AND(ISNUMBER(E149),E149&lt;=r_fim)),OR(r_un="",r_un="(Todas)",IF(N(U149)&gt;0,INDEX('MTRs'!$G$6:$G$505,U149),"")=r_un),OR(r_de="",r_de="(Todos)",D149=r_de)),1,0))</f>
        <v>0</v>
      </c>
      <c r="AB149" s="96" t="str">
        <f>IF(AA149=1,COUNTIF($AA$6:AA149,1),"")</f>
        <v/>
      </c>
    </row>
    <row r="150">
      <c r="A150" s="89" t="inlineStr">
        <is>
          <t>REC-000145</t>
        </is>
      </c>
      <c r="B150" s="94" t="str">
        <f>IF(T150=1,INDEX('ITENS_MTR'!$S$6:$S$1005,S150)&amp;"","")</f>
        <v/>
      </c>
      <c r="C150" s="91" t="n"/>
      <c r="D150" s="94" t="str">
        <f>IF(N(U150)&gt;0,INDEX('MTRs'!$I$6:$I$505,U150)&amp;"","")</f>
        <v/>
      </c>
      <c r="E150" s="92" t="n"/>
      <c r="F150" s="98" t="n"/>
      <c r="G150" s="91" t="n"/>
      <c r="H150" s="93" t="str">
        <f>IF(Q150=0,"",IF(NOT(ISNUMBER(F150)),"",IF(ISNUMBER(W150),F150*W150,"UNIDADE A CONFERIR")))</f>
        <v/>
      </c>
      <c r="I150" s="91" t="n"/>
      <c r="J150" s="91" t="n"/>
      <c r="K150" s="92" t="n"/>
      <c r="L150" s="91" t="n"/>
      <c r="M150" s="91" t="n"/>
      <c r="N150" s="91" t="n"/>
      <c r="O150" s="91" t="n"/>
      <c r="P150" s="94" t="str">
        <f>IF(Q150=0,"",IF(C150="","Item de resíduo não informado",IF(T150=0,"Item inexistente (referência inválida)",IF(NOT(ISNUMBER(F150)),"Quantidade não informada",IF(F150&lt;=0,"Quantidade não positiva",IF(G150="","Unidade não informada",IF(NOT(ISNUMBER(H150)),"Unidade a conferir",IF(NOT(ISNUMBER(E150)),"Data de recebimento não informada",IF(AND(ISNUMBER(V150),N(V150)&gt;0,E150&lt;N(V150)),"Data anterior à emissão do MTR",IF(AND(J150="Sim",L150="",M150=""),"Conferido sem evidência identificada",IF(J150&lt;&gt;"Sim","Aguardando conferência",IF(INDEX('ITENS_MTR'!$AM$6:$AM$1005,S150)=1,"Conferido (ver diferença no item)","Conferido"))))))))))))</f>
        <v/>
      </c>
      <c r="Q150" s="96">
        <f>IF(COUNTA(C150,E150:G150,I150:O150)&gt;0,1,0)</f>
        <v>0</v>
      </c>
      <c r="R150" s="96" t="str">
        <f>IF(C150="","",TRIM(LEFT(C150,FIND(" |",C150&amp;" |")-1)))</f>
        <v/>
      </c>
      <c r="S150" s="96" t="str">
        <f>IF(R150="","",IFERROR(MATCH(R150,'ITENS_MTR'!$A$6:$A$1005,0),""))</f>
        <v/>
      </c>
      <c r="T150" s="96">
        <f>IF(S150="",0,IF(INDEX('ITENS_MTR'!$R$6:$R$1005,S150)=1,1,0))</f>
        <v>0</v>
      </c>
      <c r="U150" s="96" t="str">
        <f>IF(T150=1,INDEX('ITENS_MTR'!$T$6:$T$1005,S150),"")</f>
        <v/>
      </c>
      <c r="V150" s="97" t="str">
        <f>IF(N(U150)&gt;0,INDEX('MTRs'!$E$6:$E$505,U150),"")</f>
        <v/>
      </c>
      <c r="W150" s="96" t="str">
        <f>IF(G150="","",IFERROR(IF(ISNUMBER(INDEX(cfg_fac,MATCH(G150,cfg_units,0))),IF(INDEX(cfg_fac,MATCH(G150,cfg_units,0))&gt;0,INDEX(cfg_fac,MATCH(G150,cfg_units,0)),""),""),""))</f>
        <v/>
      </c>
      <c r="X150" s="96">
        <f>IF(AND(ISNUMBER(F150),ISNUMBER(H150)),IF(H150&gt;0,1,0),0)</f>
        <v>0</v>
      </c>
      <c r="Y150" s="96">
        <f>IF(Q150=0,0,IF(OR(T150=0,X150=0,NOT(ISNUMBER(E150)),AND(J150="Sim",L150="",M150=""),AND(ISNUMBER(E150),ISNUMBER(V150),N(V150)&gt;0,E150&lt;N(V150))),1,0))</f>
        <v>0</v>
      </c>
      <c r="Z150" s="96">
        <f>IF(AND(Q150=1,T150=1,X150=1,J150="Sim",OR(L150&lt;&gt;"",M150&lt;&gt;"")),1,0)</f>
        <v>0</v>
      </c>
      <c r="AA150" s="96">
        <f>IF(Q150=0,0,IF(AND(OR(r_ini="",AND(ISNUMBER(E150),E150&gt;=r_ini)),OR(r_fim="",AND(ISNUMBER(E150),E150&lt;=r_fim)),OR(r_un="",r_un="(Todas)",IF(N(U150)&gt;0,INDEX('MTRs'!$G$6:$G$505,U150),"")=r_un),OR(r_de="",r_de="(Todos)",D150=r_de)),1,0))</f>
        <v>0</v>
      </c>
      <c r="AB150" s="96" t="str">
        <f>IF(AA150=1,COUNTIF($AA$6:AA150,1),"")</f>
        <v/>
      </c>
    </row>
    <row r="151">
      <c r="A151" s="89" t="inlineStr">
        <is>
          <t>REC-000146</t>
        </is>
      </c>
      <c r="B151" s="94" t="str">
        <f>IF(T151=1,INDEX('ITENS_MTR'!$S$6:$S$1005,S151)&amp;"","")</f>
        <v/>
      </c>
      <c r="C151" s="91" t="n"/>
      <c r="D151" s="94" t="str">
        <f>IF(N(U151)&gt;0,INDEX('MTRs'!$I$6:$I$505,U151)&amp;"","")</f>
        <v/>
      </c>
      <c r="E151" s="92" t="n"/>
      <c r="F151" s="98" t="n"/>
      <c r="G151" s="91" t="n"/>
      <c r="H151" s="93" t="str">
        <f>IF(Q151=0,"",IF(NOT(ISNUMBER(F151)),"",IF(ISNUMBER(W151),F151*W151,"UNIDADE A CONFERIR")))</f>
        <v/>
      </c>
      <c r="I151" s="91" t="n"/>
      <c r="J151" s="91" t="n"/>
      <c r="K151" s="92" t="n"/>
      <c r="L151" s="91" t="n"/>
      <c r="M151" s="91" t="n"/>
      <c r="N151" s="91" t="n"/>
      <c r="O151" s="91" t="n"/>
      <c r="P151" s="94" t="str">
        <f>IF(Q151=0,"",IF(C151="","Item de resíduo não informado",IF(T151=0,"Item inexistente (referência inválida)",IF(NOT(ISNUMBER(F151)),"Quantidade não informada",IF(F151&lt;=0,"Quantidade não positiva",IF(G151="","Unidade não informada",IF(NOT(ISNUMBER(H151)),"Unidade a conferir",IF(NOT(ISNUMBER(E151)),"Data de recebimento não informada",IF(AND(ISNUMBER(V151),N(V151)&gt;0,E151&lt;N(V151)),"Data anterior à emissão do MTR",IF(AND(J151="Sim",L151="",M151=""),"Conferido sem evidência identificada",IF(J151&lt;&gt;"Sim","Aguardando conferência",IF(INDEX('ITENS_MTR'!$AM$6:$AM$1005,S151)=1,"Conferido (ver diferença no item)","Conferido"))))))))))))</f>
        <v/>
      </c>
      <c r="Q151" s="96">
        <f>IF(COUNTA(C151,E151:G151,I151:O151)&gt;0,1,0)</f>
        <v>0</v>
      </c>
      <c r="R151" s="96" t="str">
        <f>IF(C151="","",TRIM(LEFT(C151,FIND(" |",C151&amp;" |")-1)))</f>
        <v/>
      </c>
      <c r="S151" s="96" t="str">
        <f>IF(R151="","",IFERROR(MATCH(R151,'ITENS_MTR'!$A$6:$A$1005,0),""))</f>
        <v/>
      </c>
      <c r="T151" s="96">
        <f>IF(S151="",0,IF(INDEX('ITENS_MTR'!$R$6:$R$1005,S151)=1,1,0))</f>
        <v>0</v>
      </c>
      <c r="U151" s="96" t="str">
        <f>IF(T151=1,INDEX('ITENS_MTR'!$T$6:$T$1005,S151),"")</f>
        <v/>
      </c>
      <c r="V151" s="97" t="str">
        <f>IF(N(U151)&gt;0,INDEX('MTRs'!$E$6:$E$505,U151),"")</f>
        <v/>
      </c>
      <c r="W151" s="96" t="str">
        <f>IF(G151="","",IFERROR(IF(ISNUMBER(INDEX(cfg_fac,MATCH(G151,cfg_units,0))),IF(INDEX(cfg_fac,MATCH(G151,cfg_units,0))&gt;0,INDEX(cfg_fac,MATCH(G151,cfg_units,0)),""),""),""))</f>
        <v/>
      </c>
      <c r="X151" s="96">
        <f>IF(AND(ISNUMBER(F151),ISNUMBER(H151)),IF(H151&gt;0,1,0),0)</f>
        <v>0</v>
      </c>
      <c r="Y151" s="96">
        <f>IF(Q151=0,0,IF(OR(T151=0,X151=0,NOT(ISNUMBER(E151)),AND(J151="Sim",L151="",M151=""),AND(ISNUMBER(E151),ISNUMBER(V151),N(V151)&gt;0,E151&lt;N(V151))),1,0))</f>
        <v>0</v>
      </c>
      <c r="Z151" s="96">
        <f>IF(AND(Q151=1,T151=1,X151=1,J151="Sim",OR(L151&lt;&gt;"",M151&lt;&gt;"")),1,0)</f>
        <v>0</v>
      </c>
      <c r="AA151" s="96">
        <f>IF(Q151=0,0,IF(AND(OR(r_ini="",AND(ISNUMBER(E151),E151&gt;=r_ini)),OR(r_fim="",AND(ISNUMBER(E151),E151&lt;=r_fim)),OR(r_un="",r_un="(Todas)",IF(N(U151)&gt;0,INDEX('MTRs'!$G$6:$G$505,U151),"")=r_un),OR(r_de="",r_de="(Todos)",D151=r_de)),1,0))</f>
        <v>0</v>
      </c>
      <c r="AB151" s="96" t="str">
        <f>IF(AA151=1,COUNTIF($AA$6:AA151,1),"")</f>
        <v/>
      </c>
    </row>
    <row r="152">
      <c r="A152" s="89" t="inlineStr">
        <is>
          <t>REC-000147</t>
        </is>
      </c>
      <c r="B152" s="94" t="str">
        <f>IF(T152=1,INDEX('ITENS_MTR'!$S$6:$S$1005,S152)&amp;"","")</f>
        <v/>
      </c>
      <c r="C152" s="91" t="n"/>
      <c r="D152" s="94" t="str">
        <f>IF(N(U152)&gt;0,INDEX('MTRs'!$I$6:$I$505,U152)&amp;"","")</f>
        <v/>
      </c>
      <c r="E152" s="92" t="n"/>
      <c r="F152" s="98" t="n"/>
      <c r="G152" s="91" t="n"/>
      <c r="H152" s="93" t="str">
        <f>IF(Q152=0,"",IF(NOT(ISNUMBER(F152)),"",IF(ISNUMBER(W152),F152*W152,"UNIDADE A CONFERIR")))</f>
        <v/>
      </c>
      <c r="I152" s="91" t="n"/>
      <c r="J152" s="91" t="n"/>
      <c r="K152" s="92" t="n"/>
      <c r="L152" s="91" t="n"/>
      <c r="M152" s="91" t="n"/>
      <c r="N152" s="91" t="n"/>
      <c r="O152" s="91" t="n"/>
      <c r="P152" s="94" t="str">
        <f>IF(Q152=0,"",IF(C152="","Item de resíduo não informado",IF(T152=0,"Item inexistente (referência inválida)",IF(NOT(ISNUMBER(F152)),"Quantidade não informada",IF(F152&lt;=0,"Quantidade não positiva",IF(G152="","Unidade não informada",IF(NOT(ISNUMBER(H152)),"Unidade a conferir",IF(NOT(ISNUMBER(E152)),"Data de recebimento não informada",IF(AND(ISNUMBER(V152),N(V152)&gt;0,E152&lt;N(V152)),"Data anterior à emissão do MTR",IF(AND(J152="Sim",L152="",M152=""),"Conferido sem evidência identificada",IF(J152&lt;&gt;"Sim","Aguardando conferência",IF(INDEX('ITENS_MTR'!$AM$6:$AM$1005,S152)=1,"Conferido (ver diferença no item)","Conferido"))))))))))))</f>
        <v/>
      </c>
      <c r="Q152" s="96">
        <f>IF(COUNTA(C152,E152:G152,I152:O152)&gt;0,1,0)</f>
        <v>0</v>
      </c>
      <c r="R152" s="96" t="str">
        <f>IF(C152="","",TRIM(LEFT(C152,FIND(" |",C152&amp;" |")-1)))</f>
        <v/>
      </c>
      <c r="S152" s="96" t="str">
        <f>IF(R152="","",IFERROR(MATCH(R152,'ITENS_MTR'!$A$6:$A$1005,0),""))</f>
        <v/>
      </c>
      <c r="T152" s="96">
        <f>IF(S152="",0,IF(INDEX('ITENS_MTR'!$R$6:$R$1005,S152)=1,1,0))</f>
        <v>0</v>
      </c>
      <c r="U152" s="96" t="str">
        <f>IF(T152=1,INDEX('ITENS_MTR'!$T$6:$T$1005,S152),"")</f>
        <v/>
      </c>
      <c r="V152" s="97" t="str">
        <f>IF(N(U152)&gt;0,INDEX('MTRs'!$E$6:$E$505,U152),"")</f>
        <v/>
      </c>
      <c r="W152" s="96" t="str">
        <f>IF(G152="","",IFERROR(IF(ISNUMBER(INDEX(cfg_fac,MATCH(G152,cfg_units,0))),IF(INDEX(cfg_fac,MATCH(G152,cfg_units,0))&gt;0,INDEX(cfg_fac,MATCH(G152,cfg_units,0)),""),""),""))</f>
        <v/>
      </c>
      <c r="X152" s="96">
        <f>IF(AND(ISNUMBER(F152),ISNUMBER(H152)),IF(H152&gt;0,1,0),0)</f>
        <v>0</v>
      </c>
      <c r="Y152" s="96">
        <f>IF(Q152=0,0,IF(OR(T152=0,X152=0,NOT(ISNUMBER(E152)),AND(J152="Sim",L152="",M152=""),AND(ISNUMBER(E152),ISNUMBER(V152),N(V152)&gt;0,E152&lt;N(V152))),1,0))</f>
        <v>0</v>
      </c>
      <c r="Z152" s="96">
        <f>IF(AND(Q152=1,T152=1,X152=1,J152="Sim",OR(L152&lt;&gt;"",M152&lt;&gt;"")),1,0)</f>
        <v>0</v>
      </c>
      <c r="AA152" s="96">
        <f>IF(Q152=0,0,IF(AND(OR(r_ini="",AND(ISNUMBER(E152),E152&gt;=r_ini)),OR(r_fim="",AND(ISNUMBER(E152),E152&lt;=r_fim)),OR(r_un="",r_un="(Todas)",IF(N(U152)&gt;0,INDEX('MTRs'!$G$6:$G$505,U152),"")=r_un),OR(r_de="",r_de="(Todos)",D152=r_de)),1,0))</f>
        <v>0</v>
      </c>
      <c r="AB152" s="96" t="str">
        <f>IF(AA152=1,COUNTIF($AA$6:AA152,1),"")</f>
        <v/>
      </c>
    </row>
    <row r="153">
      <c r="A153" s="89" t="inlineStr">
        <is>
          <t>REC-000148</t>
        </is>
      </c>
      <c r="B153" s="94" t="str">
        <f>IF(T153=1,INDEX('ITENS_MTR'!$S$6:$S$1005,S153)&amp;"","")</f>
        <v/>
      </c>
      <c r="C153" s="91" t="n"/>
      <c r="D153" s="94" t="str">
        <f>IF(N(U153)&gt;0,INDEX('MTRs'!$I$6:$I$505,U153)&amp;"","")</f>
        <v/>
      </c>
      <c r="E153" s="92" t="n"/>
      <c r="F153" s="98" t="n"/>
      <c r="G153" s="91" t="n"/>
      <c r="H153" s="93" t="str">
        <f>IF(Q153=0,"",IF(NOT(ISNUMBER(F153)),"",IF(ISNUMBER(W153),F153*W153,"UNIDADE A CONFERIR")))</f>
        <v/>
      </c>
      <c r="I153" s="91" t="n"/>
      <c r="J153" s="91" t="n"/>
      <c r="K153" s="92" t="n"/>
      <c r="L153" s="91" t="n"/>
      <c r="M153" s="91" t="n"/>
      <c r="N153" s="91" t="n"/>
      <c r="O153" s="91" t="n"/>
      <c r="P153" s="94" t="str">
        <f>IF(Q153=0,"",IF(C153="","Item de resíduo não informado",IF(T153=0,"Item inexistente (referência inválida)",IF(NOT(ISNUMBER(F153)),"Quantidade não informada",IF(F153&lt;=0,"Quantidade não positiva",IF(G153="","Unidade não informada",IF(NOT(ISNUMBER(H153)),"Unidade a conferir",IF(NOT(ISNUMBER(E153)),"Data de recebimento não informada",IF(AND(ISNUMBER(V153),N(V153)&gt;0,E153&lt;N(V153)),"Data anterior à emissão do MTR",IF(AND(J153="Sim",L153="",M153=""),"Conferido sem evidência identificada",IF(J153&lt;&gt;"Sim","Aguardando conferência",IF(INDEX('ITENS_MTR'!$AM$6:$AM$1005,S153)=1,"Conferido (ver diferença no item)","Conferido"))))))))))))</f>
        <v/>
      </c>
      <c r="Q153" s="96">
        <f>IF(COUNTA(C153,E153:G153,I153:O153)&gt;0,1,0)</f>
        <v>0</v>
      </c>
      <c r="R153" s="96" t="str">
        <f>IF(C153="","",TRIM(LEFT(C153,FIND(" |",C153&amp;" |")-1)))</f>
        <v/>
      </c>
      <c r="S153" s="96" t="str">
        <f>IF(R153="","",IFERROR(MATCH(R153,'ITENS_MTR'!$A$6:$A$1005,0),""))</f>
        <v/>
      </c>
      <c r="T153" s="96">
        <f>IF(S153="",0,IF(INDEX('ITENS_MTR'!$R$6:$R$1005,S153)=1,1,0))</f>
        <v>0</v>
      </c>
      <c r="U153" s="96" t="str">
        <f>IF(T153=1,INDEX('ITENS_MTR'!$T$6:$T$1005,S153),"")</f>
        <v/>
      </c>
      <c r="V153" s="97" t="str">
        <f>IF(N(U153)&gt;0,INDEX('MTRs'!$E$6:$E$505,U153),"")</f>
        <v/>
      </c>
      <c r="W153" s="96" t="str">
        <f>IF(G153="","",IFERROR(IF(ISNUMBER(INDEX(cfg_fac,MATCH(G153,cfg_units,0))),IF(INDEX(cfg_fac,MATCH(G153,cfg_units,0))&gt;0,INDEX(cfg_fac,MATCH(G153,cfg_units,0)),""),""),""))</f>
        <v/>
      </c>
      <c r="X153" s="96">
        <f>IF(AND(ISNUMBER(F153),ISNUMBER(H153)),IF(H153&gt;0,1,0),0)</f>
        <v>0</v>
      </c>
      <c r="Y153" s="96">
        <f>IF(Q153=0,0,IF(OR(T153=0,X153=0,NOT(ISNUMBER(E153)),AND(J153="Sim",L153="",M153=""),AND(ISNUMBER(E153),ISNUMBER(V153),N(V153)&gt;0,E153&lt;N(V153))),1,0))</f>
        <v>0</v>
      </c>
      <c r="Z153" s="96">
        <f>IF(AND(Q153=1,T153=1,X153=1,J153="Sim",OR(L153&lt;&gt;"",M153&lt;&gt;"")),1,0)</f>
        <v>0</v>
      </c>
      <c r="AA153" s="96">
        <f>IF(Q153=0,0,IF(AND(OR(r_ini="",AND(ISNUMBER(E153),E153&gt;=r_ini)),OR(r_fim="",AND(ISNUMBER(E153),E153&lt;=r_fim)),OR(r_un="",r_un="(Todas)",IF(N(U153)&gt;0,INDEX('MTRs'!$G$6:$G$505,U153),"")=r_un),OR(r_de="",r_de="(Todos)",D153=r_de)),1,0))</f>
        <v>0</v>
      </c>
      <c r="AB153" s="96" t="str">
        <f>IF(AA153=1,COUNTIF($AA$6:AA153,1),"")</f>
        <v/>
      </c>
    </row>
    <row r="154">
      <c r="A154" s="89" t="inlineStr">
        <is>
          <t>REC-000149</t>
        </is>
      </c>
      <c r="B154" s="94" t="str">
        <f>IF(T154=1,INDEX('ITENS_MTR'!$S$6:$S$1005,S154)&amp;"","")</f>
        <v/>
      </c>
      <c r="C154" s="91" t="n"/>
      <c r="D154" s="94" t="str">
        <f>IF(N(U154)&gt;0,INDEX('MTRs'!$I$6:$I$505,U154)&amp;"","")</f>
        <v/>
      </c>
      <c r="E154" s="92" t="n"/>
      <c r="F154" s="98" t="n"/>
      <c r="G154" s="91" t="n"/>
      <c r="H154" s="93" t="str">
        <f>IF(Q154=0,"",IF(NOT(ISNUMBER(F154)),"",IF(ISNUMBER(W154),F154*W154,"UNIDADE A CONFERIR")))</f>
        <v/>
      </c>
      <c r="I154" s="91" t="n"/>
      <c r="J154" s="91" t="n"/>
      <c r="K154" s="92" t="n"/>
      <c r="L154" s="91" t="n"/>
      <c r="M154" s="91" t="n"/>
      <c r="N154" s="91" t="n"/>
      <c r="O154" s="91" t="n"/>
      <c r="P154" s="94" t="str">
        <f>IF(Q154=0,"",IF(C154="","Item de resíduo não informado",IF(T154=0,"Item inexistente (referência inválida)",IF(NOT(ISNUMBER(F154)),"Quantidade não informada",IF(F154&lt;=0,"Quantidade não positiva",IF(G154="","Unidade não informada",IF(NOT(ISNUMBER(H154)),"Unidade a conferir",IF(NOT(ISNUMBER(E154)),"Data de recebimento não informada",IF(AND(ISNUMBER(V154),N(V154)&gt;0,E154&lt;N(V154)),"Data anterior à emissão do MTR",IF(AND(J154="Sim",L154="",M154=""),"Conferido sem evidência identificada",IF(J154&lt;&gt;"Sim","Aguardando conferência",IF(INDEX('ITENS_MTR'!$AM$6:$AM$1005,S154)=1,"Conferido (ver diferença no item)","Conferido"))))))))))))</f>
        <v/>
      </c>
      <c r="Q154" s="96">
        <f>IF(COUNTA(C154,E154:G154,I154:O154)&gt;0,1,0)</f>
        <v>0</v>
      </c>
      <c r="R154" s="96" t="str">
        <f>IF(C154="","",TRIM(LEFT(C154,FIND(" |",C154&amp;" |")-1)))</f>
        <v/>
      </c>
      <c r="S154" s="96" t="str">
        <f>IF(R154="","",IFERROR(MATCH(R154,'ITENS_MTR'!$A$6:$A$1005,0),""))</f>
        <v/>
      </c>
      <c r="T154" s="96">
        <f>IF(S154="",0,IF(INDEX('ITENS_MTR'!$R$6:$R$1005,S154)=1,1,0))</f>
        <v>0</v>
      </c>
      <c r="U154" s="96" t="str">
        <f>IF(T154=1,INDEX('ITENS_MTR'!$T$6:$T$1005,S154),"")</f>
        <v/>
      </c>
      <c r="V154" s="97" t="str">
        <f>IF(N(U154)&gt;0,INDEX('MTRs'!$E$6:$E$505,U154),"")</f>
        <v/>
      </c>
      <c r="W154" s="96" t="str">
        <f>IF(G154="","",IFERROR(IF(ISNUMBER(INDEX(cfg_fac,MATCH(G154,cfg_units,0))),IF(INDEX(cfg_fac,MATCH(G154,cfg_units,0))&gt;0,INDEX(cfg_fac,MATCH(G154,cfg_units,0)),""),""),""))</f>
        <v/>
      </c>
      <c r="X154" s="96">
        <f>IF(AND(ISNUMBER(F154),ISNUMBER(H154)),IF(H154&gt;0,1,0),0)</f>
        <v>0</v>
      </c>
      <c r="Y154" s="96">
        <f>IF(Q154=0,0,IF(OR(T154=0,X154=0,NOT(ISNUMBER(E154)),AND(J154="Sim",L154="",M154=""),AND(ISNUMBER(E154),ISNUMBER(V154),N(V154)&gt;0,E154&lt;N(V154))),1,0))</f>
        <v>0</v>
      </c>
      <c r="Z154" s="96">
        <f>IF(AND(Q154=1,T154=1,X154=1,J154="Sim",OR(L154&lt;&gt;"",M154&lt;&gt;"")),1,0)</f>
        <v>0</v>
      </c>
      <c r="AA154" s="96">
        <f>IF(Q154=0,0,IF(AND(OR(r_ini="",AND(ISNUMBER(E154),E154&gt;=r_ini)),OR(r_fim="",AND(ISNUMBER(E154),E154&lt;=r_fim)),OR(r_un="",r_un="(Todas)",IF(N(U154)&gt;0,INDEX('MTRs'!$G$6:$G$505,U154),"")=r_un),OR(r_de="",r_de="(Todos)",D154=r_de)),1,0))</f>
        <v>0</v>
      </c>
      <c r="AB154" s="96" t="str">
        <f>IF(AA154=1,COUNTIF($AA$6:AA154,1),"")</f>
        <v/>
      </c>
    </row>
    <row r="155">
      <c r="A155" s="89" t="inlineStr">
        <is>
          <t>REC-000150</t>
        </is>
      </c>
      <c r="B155" s="94" t="str">
        <f>IF(T155=1,INDEX('ITENS_MTR'!$S$6:$S$1005,S155)&amp;"","")</f>
        <v/>
      </c>
      <c r="C155" s="91" t="n"/>
      <c r="D155" s="94" t="str">
        <f>IF(N(U155)&gt;0,INDEX('MTRs'!$I$6:$I$505,U155)&amp;"","")</f>
        <v/>
      </c>
      <c r="E155" s="92" t="n"/>
      <c r="F155" s="98" t="n"/>
      <c r="G155" s="91" t="n"/>
      <c r="H155" s="93" t="str">
        <f>IF(Q155=0,"",IF(NOT(ISNUMBER(F155)),"",IF(ISNUMBER(W155),F155*W155,"UNIDADE A CONFERIR")))</f>
        <v/>
      </c>
      <c r="I155" s="91" t="n"/>
      <c r="J155" s="91" t="n"/>
      <c r="K155" s="92" t="n"/>
      <c r="L155" s="91" t="n"/>
      <c r="M155" s="91" t="n"/>
      <c r="N155" s="91" t="n"/>
      <c r="O155" s="91" t="n"/>
      <c r="P155" s="94" t="str">
        <f>IF(Q155=0,"",IF(C155="","Item de resíduo não informado",IF(T155=0,"Item inexistente (referência inválida)",IF(NOT(ISNUMBER(F155)),"Quantidade não informada",IF(F155&lt;=0,"Quantidade não positiva",IF(G155="","Unidade não informada",IF(NOT(ISNUMBER(H155)),"Unidade a conferir",IF(NOT(ISNUMBER(E155)),"Data de recebimento não informada",IF(AND(ISNUMBER(V155),N(V155)&gt;0,E155&lt;N(V155)),"Data anterior à emissão do MTR",IF(AND(J155="Sim",L155="",M155=""),"Conferido sem evidência identificada",IF(J155&lt;&gt;"Sim","Aguardando conferência",IF(INDEX('ITENS_MTR'!$AM$6:$AM$1005,S155)=1,"Conferido (ver diferença no item)","Conferido"))))))))))))</f>
        <v/>
      </c>
      <c r="Q155" s="96">
        <f>IF(COUNTA(C155,E155:G155,I155:O155)&gt;0,1,0)</f>
        <v>0</v>
      </c>
      <c r="R155" s="96" t="str">
        <f>IF(C155="","",TRIM(LEFT(C155,FIND(" |",C155&amp;" |")-1)))</f>
        <v/>
      </c>
      <c r="S155" s="96" t="str">
        <f>IF(R155="","",IFERROR(MATCH(R155,'ITENS_MTR'!$A$6:$A$1005,0),""))</f>
        <v/>
      </c>
      <c r="T155" s="96">
        <f>IF(S155="",0,IF(INDEX('ITENS_MTR'!$R$6:$R$1005,S155)=1,1,0))</f>
        <v>0</v>
      </c>
      <c r="U155" s="96" t="str">
        <f>IF(T155=1,INDEX('ITENS_MTR'!$T$6:$T$1005,S155),"")</f>
        <v/>
      </c>
      <c r="V155" s="97" t="str">
        <f>IF(N(U155)&gt;0,INDEX('MTRs'!$E$6:$E$505,U155),"")</f>
        <v/>
      </c>
      <c r="W155" s="96" t="str">
        <f>IF(G155="","",IFERROR(IF(ISNUMBER(INDEX(cfg_fac,MATCH(G155,cfg_units,0))),IF(INDEX(cfg_fac,MATCH(G155,cfg_units,0))&gt;0,INDEX(cfg_fac,MATCH(G155,cfg_units,0)),""),""),""))</f>
        <v/>
      </c>
      <c r="X155" s="96">
        <f>IF(AND(ISNUMBER(F155),ISNUMBER(H155)),IF(H155&gt;0,1,0),0)</f>
        <v>0</v>
      </c>
      <c r="Y155" s="96">
        <f>IF(Q155=0,0,IF(OR(T155=0,X155=0,NOT(ISNUMBER(E155)),AND(J155="Sim",L155="",M155=""),AND(ISNUMBER(E155),ISNUMBER(V155),N(V155)&gt;0,E155&lt;N(V155))),1,0))</f>
        <v>0</v>
      </c>
      <c r="Z155" s="96">
        <f>IF(AND(Q155=1,T155=1,X155=1,J155="Sim",OR(L155&lt;&gt;"",M155&lt;&gt;"")),1,0)</f>
        <v>0</v>
      </c>
      <c r="AA155" s="96">
        <f>IF(Q155=0,0,IF(AND(OR(r_ini="",AND(ISNUMBER(E155),E155&gt;=r_ini)),OR(r_fim="",AND(ISNUMBER(E155),E155&lt;=r_fim)),OR(r_un="",r_un="(Todas)",IF(N(U155)&gt;0,INDEX('MTRs'!$G$6:$G$505,U155),"")=r_un),OR(r_de="",r_de="(Todos)",D155=r_de)),1,0))</f>
        <v>0</v>
      </c>
      <c r="AB155" s="96" t="str">
        <f>IF(AA155=1,COUNTIF($AA$6:AA155,1),"")</f>
        <v/>
      </c>
    </row>
    <row r="156">
      <c r="A156" s="89" t="inlineStr">
        <is>
          <t>REC-000151</t>
        </is>
      </c>
      <c r="B156" s="94" t="str">
        <f>IF(T156=1,INDEX('ITENS_MTR'!$S$6:$S$1005,S156)&amp;"","")</f>
        <v/>
      </c>
      <c r="C156" s="91" t="n"/>
      <c r="D156" s="94" t="str">
        <f>IF(N(U156)&gt;0,INDEX('MTRs'!$I$6:$I$505,U156)&amp;"","")</f>
        <v/>
      </c>
      <c r="E156" s="92" t="n"/>
      <c r="F156" s="98" t="n"/>
      <c r="G156" s="91" t="n"/>
      <c r="H156" s="93" t="str">
        <f>IF(Q156=0,"",IF(NOT(ISNUMBER(F156)),"",IF(ISNUMBER(W156),F156*W156,"UNIDADE A CONFERIR")))</f>
        <v/>
      </c>
      <c r="I156" s="91" t="n"/>
      <c r="J156" s="91" t="n"/>
      <c r="K156" s="92" t="n"/>
      <c r="L156" s="91" t="n"/>
      <c r="M156" s="91" t="n"/>
      <c r="N156" s="91" t="n"/>
      <c r="O156" s="91" t="n"/>
      <c r="P156" s="94" t="str">
        <f>IF(Q156=0,"",IF(C156="","Item de resíduo não informado",IF(T156=0,"Item inexistente (referência inválida)",IF(NOT(ISNUMBER(F156)),"Quantidade não informada",IF(F156&lt;=0,"Quantidade não positiva",IF(G156="","Unidade não informada",IF(NOT(ISNUMBER(H156)),"Unidade a conferir",IF(NOT(ISNUMBER(E156)),"Data de recebimento não informada",IF(AND(ISNUMBER(V156),N(V156)&gt;0,E156&lt;N(V156)),"Data anterior à emissão do MTR",IF(AND(J156="Sim",L156="",M156=""),"Conferido sem evidência identificada",IF(J156&lt;&gt;"Sim","Aguardando conferência",IF(INDEX('ITENS_MTR'!$AM$6:$AM$1005,S156)=1,"Conferido (ver diferença no item)","Conferido"))))))))))))</f>
        <v/>
      </c>
      <c r="Q156" s="96">
        <f>IF(COUNTA(C156,E156:G156,I156:O156)&gt;0,1,0)</f>
        <v>0</v>
      </c>
      <c r="R156" s="96" t="str">
        <f>IF(C156="","",TRIM(LEFT(C156,FIND(" |",C156&amp;" |")-1)))</f>
        <v/>
      </c>
      <c r="S156" s="96" t="str">
        <f>IF(R156="","",IFERROR(MATCH(R156,'ITENS_MTR'!$A$6:$A$1005,0),""))</f>
        <v/>
      </c>
      <c r="T156" s="96">
        <f>IF(S156="",0,IF(INDEX('ITENS_MTR'!$R$6:$R$1005,S156)=1,1,0))</f>
        <v>0</v>
      </c>
      <c r="U156" s="96" t="str">
        <f>IF(T156=1,INDEX('ITENS_MTR'!$T$6:$T$1005,S156),"")</f>
        <v/>
      </c>
      <c r="V156" s="97" t="str">
        <f>IF(N(U156)&gt;0,INDEX('MTRs'!$E$6:$E$505,U156),"")</f>
        <v/>
      </c>
      <c r="W156" s="96" t="str">
        <f>IF(G156="","",IFERROR(IF(ISNUMBER(INDEX(cfg_fac,MATCH(G156,cfg_units,0))),IF(INDEX(cfg_fac,MATCH(G156,cfg_units,0))&gt;0,INDEX(cfg_fac,MATCH(G156,cfg_units,0)),""),""),""))</f>
        <v/>
      </c>
      <c r="X156" s="96">
        <f>IF(AND(ISNUMBER(F156),ISNUMBER(H156)),IF(H156&gt;0,1,0),0)</f>
        <v>0</v>
      </c>
      <c r="Y156" s="96">
        <f>IF(Q156=0,0,IF(OR(T156=0,X156=0,NOT(ISNUMBER(E156)),AND(J156="Sim",L156="",M156=""),AND(ISNUMBER(E156),ISNUMBER(V156),N(V156)&gt;0,E156&lt;N(V156))),1,0))</f>
        <v>0</v>
      </c>
      <c r="Z156" s="96">
        <f>IF(AND(Q156=1,T156=1,X156=1,J156="Sim",OR(L156&lt;&gt;"",M156&lt;&gt;"")),1,0)</f>
        <v>0</v>
      </c>
      <c r="AA156" s="96">
        <f>IF(Q156=0,0,IF(AND(OR(r_ini="",AND(ISNUMBER(E156),E156&gt;=r_ini)),OR(r_fim="",AND(ISNUMBER(E156),E156&lt;=r_fim)),OR(r_un="",r_un="(Todas)",IF(N(U156)&gt;0,INDEX('MTRs'!$G$6:$G$505,U156),"")=r_un),OR(r_de="",r_de="(Todos)",D156=r_de)),1,0))</f>
        <v>0</v>
      </c>
      <c r="AB156" s="96" t="str">
        <f>IF(AA156=1,COUNTIF($AA$6:AA156,1),"")</f>
        <v/>
      </c>
    </row>
    <row r="157">
      <c r="A157" s="89" t="inlineStr">
        <is>
          <t>REC-000152</t>
        </is>
      </c>
      <c r="B157" s="94" t="str">
        <f>IF(T157=1,INDEX('ITENS_MTR'!$S$6:$S$1005,S157)&amp;"","")</f>
        <v/>
      </c>
      <c r="C157" s="91" t="n"/>
      <c r="D157" s="94" t="str">
        <f>IF(N(U157)&gt;0,INDEX('MTRs'!$I$6:$I$505,U157)&amp;"","")</f>
        <v/>
      </c>
      <c r="E157" s="92" t="n"/>
      <c r="F157" s="98" t="n"/>
      <c r="G157" s="91" t="n"/>
      <c r="H157" s="93" t="str">
        <f>IF(Q157=0,"",IF(NOT(ISNUMBER(F157)),"",IF(ISNUMBER(W157),F157*W157,"UNIDADE A CONFERIR")))</f>
        <v/>
      </c>
      <c r="I157" s="91" t="n"/>
      <c r="J157" s="91" t="n"/>
      <c r="K157" s="92" t="n"/>
      <c r="L157" s="91" t="n"/>
      <c r="M157" s="91" t="n"/>
      <c r="N157" s="91" t="n"/>
      <c r="O157" s="91" t="n"/>
      <c r="P157" s="94" t="str">
        <f>IF(Q157=0,"",IF(C157="","Item de resíduo não informado",IF(T157=0,"Item inexistente (referência inválida)",IF(NOT(ISNUMBER(F157)),"Quantidade não informada",IF(F157&lt;=0,"Quantidade não positiva",IF(G157="","Unidade não informada",IF(NOT(ISNUMBER(H157)),"Unidade a conferir",IF(NOT(ISNUMBER(E157)),"Data de recebimento não informada",IF(AND(ISNUMBER(V157),N(V157)&gt;0,E157&lt;N(V157)),"Data anterior à emissão do MTR",IF(AND(J157="Sim",L157="",M157=""),"Conferido sem evidência identificada",IF(J157&lt;&gt;"Sim","Aguardando conferência",IF(INDEX('ITENS_MTR'!$AM$6:$AM$1005,S157)=1,"Conferido (ver diferença no item)","Conferido"))))))))))))</f>
        <v/>
      </c>
      <c r="Q157" s="96">
        <f>IF(COUNTA(C157,E157:G157,I157:O157)&gt;0,1,0)</f>
        <v>0</v>
      </c>
      <c r="R157" s="96" t="str">
        <f>IF(C157="","",TRIM(LEFT(C157,FIND(" |",C157&amp;" |")-1)))</f>
        <v/>
      </c>
      <c r="S157" s="96" t="str">
        <f>IF(R157="","",IFERROR(MATCH(R157,'ITENS_MTR'!$A$6:$A$1005,0),""))</f>
        <v/>
      </c>
      <c r="T157" s="96">
        <f>IF(S157="",0,IF(INDEX('ITENS_MTR'!$R$6:$R$1005,S157)=1,1,0))</f>
        <v>0</v>
      </c>
      <c r="U157" s="96" t="str">
        <f>IF(T157=1,INDEX('ITENS_MTR'!$T$6:$T$1005,S157),"")</f>
        <v/>
      </c>
      <c r="V157" s="97" t="str">
        <f>IF(N(U157)&gt;0,INDEX('MTRs'!$E$6:$E$505,U157),"")</f>
        <v/>
      </c>
      <c r="W157" s="96" t="str">
        <f>IF(G157="","",IFERROR(IF(ISNUMBER(INDEX(cfg_fac,MATCH(G157,cfg_units,0))),IF(INDEX(cfg_fac,MATCH(G157,cfg_units,0))&gt;0,INDEX(cfg_fac,MATCH(G157,cfg_units,0)),""),""),""))</f>
        <v/>
      </c>
      <c r="X157" s="96">
        <f>IF(AND(ISNUMBER(F157),ISNUMBER(H157)),IF(H157&gt;0,1,0),0)</f>
        <v>0</v>
      </c>
      <c r="Y157" s="96">
        <f>IF(Q157=0,0,IF(OR(T157=0,X157=0,NOT(ISNUMBER(E157)),AND(J157="Sim",L157="",M157=""),AND(ISNUMBER(E157),ISNUMBER(V157),N(V157)&gt;0,E157&lt;N(V157))),1,0))</f>
        <v>0</v>
      </c>
      <c r="Z157" s="96">
        <f>IF(AND(Q157=1,T157=1,X157=1,J157="Sim",OR(L157&lt;&gt;"",M157&lt;&gt;"")),1,0)</f>
        <v>0</v>
      </c>
      <c r="AA157" s="96">
        <f>IF(Q157=0,0,IF(AND(OR(r_ini="",AND(ISNUMBER(E157),E157&gt;=r_ini)),OR(r_fim="",AND(ISNUMBER(E157),E157&lt;=r_fim)),OR(r_un="",r_un="(Todas)",IF(N(U157)&gt;0,INDEX('MTRs'!$G$6:$G$505,U157),"")=r_un),OR(r_de="",r_de="(Todos)",D157=r_de)),1,0))</f>
        <v>0</v>
      </c>
      <c r="AB157" s="96" t="str">
        <f>IF(AA157=1,COUNTIF($AA$6:AA157,1),"")</f>
        <v/>
      </c>
    </row>
    <row r="158">
      <c r="A158" s="89" t="inlineStr">
        <is>
          <t>REC-000153</t>
        </is>
      </c>
      <c r="B158" s="94" t="str">
        <f>IF(T158=1,INDEX('ITENS_MTR'!$S$6:$S$1005,S158)&amp;"","")</f>
        <v/>
      </c>
      <c r="C158" s="91" t="n"/>
      <c r="D158" s="94" t="str">
        <f>IF(N(U158)&gt;0,INDEX('MTRs'!$I$6:$I$505,U158)&amp;"","")</f>
        <v/>
      </c>
      <c r="E158" s="92" t="n"/>
      <c r="F158" s="98" t="n"/>
      <c r="G158" s="91" t="n"/>
      <c r="H158" s="93" t="str">
        <f>IF(Q158=0,"",IF(NOT(ISNUMBER(F158)),"",IF(ISNUMBER(W158),F158*W158,"UNIDADE A CONFERIR")))</f>
        <v/>
      </c>
      <c r="I158" s="91" t="n"/>
      <c r="J158" s="91" t="n"/>
      <c r="K158" s="92" t="n"/>
      <c r="L158" s="91" t="n"/>
      <c r="M158" s="91" t="n"/>
      <c r="N158" s="91" t="n"/>
      <c r="O158" s="91" t="n"/>
      <c r="P158" s="94" t="str">
        <f>IF(Q158=0,"",IF(C158="","Item de resíduo não informado",IF(T158=0,"Item inexistente (referência inválida)",IF(NOT(ISNUMBER(F158)),"Quantidade não informada",IF(F158&lt;=0,"Quantidade não positiva",IF(G158="","Unidade não informada",IF(NOT(ISNUMBER(H158)),"Unidade a conferir",IF(NOT(ISNUMBER(E158)),"Data de recebimento não informada",IF(AND(ISNUMBER(V158),N(V158)&gt;0,E158&lt;N(V158)),"Data anterior à emissão do MTR",IF(AND(J158="Sim",L158="",M158=""),"Conferido sem evidência identificada",IF(J158&lt;&gt;"Sim","Aguardando conferência",IF(INDEX('ITENS_MTR'!$AM$6:$AM$1005,S158)=1,"Conferido (ver diferença no item)","Conferido"))))))))))))</f>
        <v/>
      </c>
      <c r="Q158" s="96">
        <f>IF(COUNTA(C158,E158:G158,I158:O158)&gt;0,1,0)</f>
        <v>0</v>
      </c>
      <c r="R158" s="96" t="str">
        <f>IF(C158="","",TRIM(LEFT(C158,FIND(" |",C158&amp;" |")-1)))</f>
        <v/>
      </c>
      <c r="S158" s="96" t="str">
        <f>IF(R158="","",IFERROR(MATCH(R158,'ITENS_MTR'!$A$6:$A$1005,0),""))</f>
        <v/>
      </c>
      <c r="T158" s="96">
        <f>IF(S158="",0,IF(INDEX('ITENS_MTR'!$R$6:$R$1005,S158)=1,1,0))</f>
        <v>0</v>
      </c>
      <c r="U158" s="96" t="str">
        <f>IF(T158=1,INDEX('ITENS_MTR'!$T$6:$T$1005,S158),"")</f>
        <v/>
      </c>
      <c r="V158" s="97" t="str">
        <f>IF(N(U158)&gt;0,INDEX('MTRs'!$E$6:$E$505,U158),"")</f>
        <v/>
      </c>
      <c r="W158" s="96" t="str">
        <f>IF(G158="","",IFERROR(IF(ISNUMBER(INDEX(cfg_fac,MATCH(G158,cfg_units,0))),IF(INDEX(cfg_fac,MATCH(G158,cfg_units,0))&gt;0,INDEX(cfg_fac,MATCH(G158,cfg_units,0)),""),""),""))</f>
        <v/>
      </c>
      <c r="X158" s="96">
        <f>IF(AND(ISNUMBER(F158),ISNUMBER(H158)),IF(H158&gt;0,1,0),0)</f>
        <v>0</v>
      </c>
      <c r="Y158" s="96">
        <f>IF(Q158=0,0,IF(OR(T158=0,X158=0,NOT(ISNUMBER(E158)),AND(J158="Sim",L158="",M158=""),AND(ISNUMBER(E158),ISNUMBER(V158),N(V158)&gt;0,E158&lt;N(V158))),1,0))</f>
        <v>0</v>
      </c>
      <c r="Z158" s="96">
        <f>IF(AND(Q158=1,T158=1,X158=1,J158="Sim",OR(L158&lt;&gt;"",M158&lt;&gt;"")),1,0)</f>
        <v>0</v>
      </c>
      <c r="AA158" s="96">
        <f>IF(Q158=0,0,IF(AND(OR(r_ini="",AND(ISNUMBER(E158),E158&gt;=r_ini)),OR(r_fim="",AND(ISNUMBER(E158),E158&lt;=r_fim)),OR(r_un="",r_un="(Todas)",IF(N(U158)&gt;0,INDEX('MTRs'!$G$6:$G$505,U158),"")=r_un),OR(r_de="",r_de="(Todos)",D158=r_de)),1,0))</f>
        <v>0</v>
      </c>
      <c r="AB158" s="96" t="str">
        <f>IF(AA158=1,COUNTIF($AA$6:AA158,1),"")</f>
        <v/>
      </c>
    </row>
    <row r="159">
      <c r="A159" s="89" t="inlineStr">
        <is>
          <t>REC-000154</t>
        </is>
      </c>
      <c r="B159" s="94" t="str">
        <f>IF(T159=1,INDEX('ITENS_MTR'!$S$6:$S$1005,S159)&amp;"","")</f>
        <v/>
      </c>
      <c r="C159" s="91" t="n"/>
      <c r="D159" s="94" t="str">
        <f>IF(N(U159)&gt;0,INDEX('MTRs'!$I$6:$I$505,U159)&amp;"","")</f>
        <v/>
      </c>
      <c r="E159" s="92" t="n"/>
      <c r="F159" s="98" t="n"/>
      <c r="G159" s="91" t="n"/>
      <c r="H159" s="93" t="str">
        <f>IF(Q159=0,"",IF(NOT(ISNUMBER(F159)),"",IF(ISNUMBER(W159),F159*W159,"UNIDADE A CONFERIR")))</f>
        <v/>
      </c>
      <c r="I159" s="91" t="n"/>
      <c r="J159" s="91" t="n"/>
      <c r="K159" s="92" t="n"/>
      <c r="L159" s="91" t="n"/>
      <c r="M159" s="91" t="n"/>
      <c r="N159" s="91" t="n"/>
      <c r="O159" s="91" t="n"/>
      <c r="P159" s="94" t="str">
        <f>IF(Q159=0,"",IF(C159="","Item de resíduo não informado",IF(T159=0,"Item inexistente (referência inválida)",IF(NOT(ISNUMBER(F159)),"Quantidade não informada",IF(F159&lt;=0,"Quantidade não positiva",IF(G159="","Unidade não informada",IF(NOT(ISNUMBER(H159)),"Unidade a conferir",IF(NOT(ISNUMBER(E159)),"Data de recebimento não informada",IF(AND(ISNUMBER(V159),N(V159)&gt;0,E159&lt;N(V159)),"Data anterior à emissão do MTR",IF(AND(J159="Sim",L159="",M159=""),"Conferido sem evidência identificada",IF(J159&lt;&gt;"Sim","Aguardando conferência",IF(INDEX('ITENS_MTR'!$AM$6:$AM$1005,S159)=1,"Conferido (ver diferença no item)","Conferido"))))))))))))</f>
        <v/>
      </c>
      <c r="Q159" s="96">
        <f>IF(COUNTA(C159,E159:G159,I159:O159)&gt;0,1,0)</f>
        <v>0</v>
      </c>
      <c r="R159" s="96" t="str">
        <f>IF(C159="","",TRIM(LEFT(C159,FIND(" |",C159&amp;" |")-1)))</f>
        <v/>
      </c>
      <c r="S159" s="96" t="str">
        <f>IF(R159="","",IFERROR(MATCH(R159,'ITENS_MTR'!$A$6:$A$1005,0),""))</f>
        <v/>
      </c>
      <c r="T159" s="96">
        <f>IF(S159="",0,IF(INDEX('ITENS_MTR'!$R$6:$R$1005,S159)=1,1,0))</f>
        <v>0</v>
      </c>
      <c r="U159" s="96" t="str">
        <f>IF(T159=1,INDEX('ITENS_MTR'!$T$6:$T$1005,S159),"")</f>
        <v/>
      </c>
      <c r="V159" s="97" t="str">
        <f>IF(N(U159)&gt;0,INDEX('MTRs'!$E$6:$E$505,U159),"")</f>
        <v/>
      </c>
      <c r="W159" s="96" t="str">
        <f>IF(G159="","",IFERROR(IF(ISNUMBER(INDEX(cfg_fac,MATCH(G159,cfg_units,0))),IF(INDEX(cfg_fac,MATCH(G159,cfg_units,0))&gt;0,INDEX(cfg_fac,MATCH(G159,cfg_units,0)),""),""),""))</f>
        <v/>
      </c>
      <c r="X159" s="96">
        <f>IF(AND(ISNUMBER(F159),ISNUMBER(H159)),IF(H159&gt;0,1,0),0)</f>
        <v>0</v>
      </c>
      <c r="Y159" s="96">
        <f>IF(Q159=0,0,IF(OR(T159=0,X159=0,NOT(ISNUMBER(E159)),AND(J159="Sim",L159="",M159=""),AND(ISNUMBER(E159),ISNUMBER(V159),N(V159)&gt;0,E159&lt;N(V159))),1,0))</f>
        <v>0</v>
      </c>
      <c r="Z159" s="96">
        <f>IF(AND(Q159=1,T159=1,X159=1,J159="Sim",OR(L159&lt;&gt;"",M159&lt;&gt;"")),1,0)</f>
        <v>0</v>
      </c>
      <c r="AA159" s="96">
        <f>IF(Q159=0,0,IF(AND(OR(r_ini="",AND(ISNUMBER(E159),E159&gt;=r_ini)),OR(r_fim="",AND(ISNUMBER(E159),E159&lt;=r_fim)),OR(r_un="",r_un="(Todas)",IF(N(U159)&gt;0,INDEX('MTRs'!$G$6:$G$505,U159),"")=r_un),OR(r_de="",r_de="(Todos)",D159=r_de)),1,0))</f>
        <v>0</v>
      </c>
      <c r="AB159" s="96" t="str">
        <f>IF(AA159=1,COUNTIF($AA$6:AA159,1),"")</f>
        <v/>
      </c>
    </row>
    <row r="160">
      <c r="A160" s="89" t="inlineStr">
        <is>
          <t>REC-000155</t>
        </is>
      </c>
      <c r="B160" s="94" t="str">
        <f>IF(T160=1,INDEX('ITENS_MTR'!$S$6:$S$1005,S160)&amp;"","")</f>
        <v/>
      </c>
      <c r="C160" s="91" t="n"/>
      <c r="D160" s="94" t="str">
        <f>IF(N(U160)&gt;0,INDEX('MTRs'!$I$6:$I$505,U160)&amp;"","")</f>
        <v/>
      </c>
      <c r="E160" s="92" t="n"/>
      <c r="F160" s="98" t="n"/>
      <c r="G160" s="91" t="n"/>
      <c r="H160" s="93" t="str">
        <f>IF(Q160=0,"",IF(NOT(ISNUMBER(F160)),"",IF(ISNUMBER(W160),F160*W160,"UNIDADE A CONFERIR")))</f>
        <v/>
      </c>
      <c r="I160" s="91" t="n"/>
      <c r="J160" s="91" t="n"/>
      <c r="K160" s="92" t="n"/>
      <c r="L160" s="91" t="n"/>
      <c r="M160" s="91" t="n"/>
      <c r="N160" s="91" t="n"/>
      <c r="O160" s="91" t="n"/>
      <c r="P160" s="94" t="str">
        <f>IF(Q160=0,"",IF(C160="","Item de resíduo não informado",IF(T160=0,"Item inexistente (referência inválida)",IF(NOT(ISNUMBER(F160)),"Quantidade não informada",IF(F160&lt;=0,"Quantidade não positiva",IF(G160="","Unidade não informada",IF(NOT(ISNUMBER(H160)),"Unidade a conferir",IF(NOT(ISNUMBER(E160)),"Data de recebimento não informada",IF(AND(ISNUMBER(V160),N(V160)&gt;0,E160&lt;N(V160)),"Data anterior à emissão do MTR",IF(AND(J160="Sim",L160="",M160=""),"Conferido sem evidência identificada",IF(J160&lt;&gt;"Sim","Aguardando conferência",IF(INDEX('ITENS_MTR'!$AM$6:$AM$1005,S160)=1,"Conferido (ver diferença no item)","Conferido"))))))))))))</f>
        <v/>
      </c>
      <c r="Q160" s="96">
        <f>IF(COUNTA(C160,E160:G160,I160:O160)&gt;0,1,0)</f>
        <v>0</v>
      </c>
      <c r="R160" s="96" t="str">
        <f>IF(C160="","",TRIM(LEFT(C160,FIND(" |",C160&amp;" |")-1)))</f>
        <v/>
      </c>
      <c r="S160" s="96" t="str">
        <f>IF(R160="","",IFERROR(MATCH(R160,'ITENS_MTR'!$A$6:$A$1005,0),""))</f>
        <v/>
      </c>
      <c r="T160" s="96">
        <f>IF(S160="",0,IF(INDEX('ITENS_MTR'!$R$6:$R$1005,S160)=1,1,0))</f>
        <v>0</v>
      </c>
      <c r="U160" s="96" t="str">
        <f>IF(T160=1,INDEX('ITENS_MTR'!$T$6:$T$1005,S160),"")</f>
        <v/>
      </c>
      <c r="V160" s="97" t="str">
        <f>IF(N(U160)&gt;0,INDEX('MTRs'!$E$6:$E$505,U160),"")</f>
        <v/>
      </c>
      <c r="W160" s="96" t="str">
        <f>IF(G160="","",IFERROR(IF(ISNUMBER(INDEX(cfg_fac,MATCH(G160,cfg_units,0))),IF(INDEX(cfg_fac,MATCH(G160,cfg_units,0))&gt;0,INDEX(cfg_fac,MATCH(G160,cfg_units,0)),""),""),""))</f>
        <v/>
      </c>
      <c r="X160" s="96">
        <f>IF(AND(ISNUMBER(F160),ISNUMBER(H160)),IF(H160&gt;0,1,0),0)</f>
        <v>0</v>
      </c>
      <c r="Y160" s="96">
        <f>IF(Q160=0,0,IF(OR(T160=0,X160=0,NOT(ISNUMBER(E160)),AND(J160="Sim",L160="",M160=""),AND(ISNUMBER(E160),ISNUMBER(V160),N(V160)&gt;0,E160&lt;N(V160))),1,0))</f>
        <v>0</v>
      </c>
      <c r="Z160" s="96">
        <f>IF(AND(Q160=1,T160=1,X160=1,J160="Sim",OR(L160&lt;&gt;"",M160&lt;&gt;"")),1,0)</f>
        <v>0</v>
      </c>
      <c r="AA160" s="96">
        <f>IF(Q160=0,0,IF(AND(OR(r_ini="",AND(ISNUMBER(E160),E160&gt;=r_ini)),OR(r_fim="",AND(ISNUMBER(E160),E160&lt;=r_fim)),OR(r_un="",r_un="(Todas)",IF(N(U160)&gt;0,INDEX('MTRs'!$G$6:$G$505,U160),"")=r_un),OR(r_de="",r_de="(Todos)",D160=r_de)),1,0))</f>
        <v>0</v>
      </c>
      <c r="AB160" s="96" t="str">
        <f>IF(AA160=1,COUNTIF($AA$6:AA160,1),"")</f>
        <v/>
      </c>
    </row>
    <row r="161">
      <c r="A161" s="89" t="inlineStr">
        <is>
          <t>REC-000156</t>
        </is>
      </c>
      <c r="B161" s="94" t="str">
        <f>IF(T161=1,INDEX('ITENS_MTR'!$S$6:$S$1005,S161)&amp;"","")</f>
        <v/>
      </c>
      <c r="C161" s="91" t="n"/>
      <c r="D161" s="94" t="str">
        <f>IF(N(U161)&gt;0,INDEX('MTRs'!$I$6:$I$505,U161)&amp;"","")</f>
        <v/>
      </c>
      <c r="E161" s="92" t="n"/>
      <c r="F161" s="98" t="n"/>
      <c r="G161" s="91" t="n"/>
      <c r="H161" s="93" t="str">
        <f>IF(Q161=0,"",IF(NOT(ISNUMBER(F161)),"",IF(ISNUMBER(W161),F161*W161,"UNIDADE A CONFERIR")))</f>
        <v/>
      </c>
      <c r="I161" s="91" t="n"/>
      <c r="J161" s="91" t="n"/>
      <c r="K161" s="92" t="n"/>
      <c r="L161" s="91" t="n"/>
      <c r="M161" s="91" t="n"/>
      <c r="N161" s="91" t="n"/>
      <c r="O161" s="91" t="n"/>
      <c r="P161" s="94" t="str">
        <f>IF(Q161=0,"",IF(C161="","Item de resíduo não informado",IF(T161=0,"Item inexistente (referência inválida)",IF(NOT(ISNUMBER(F161)),"Quantidade não informada",IF(F161&lt;=0,"Quantidade não positiva",IF(G161="","Unidade não informada",IF(NOT(ISNUMBER(H161)),"Unidade a conferir",IF(NOT(ISNUMBER(E161)),"Data de recebimento não informada",IF(AND(ISNUMBER(V161),N(V161)&gt;0,E161&lt;N(V161)),"Data anterior à emissão do MTR",IF(AND(J161="Sim",L161="",M161=""),"Conferido sem evidência identificada",IF(J161&lt;&gt;"Sim","Aguardando conferência",IF(INDEX('ITENS_MTR'!$AM$6:$AM$1005,S161)=1,"Conferido (ver diferença no item)","Conferido"))))))))))))</f>
        <v/>
      </c>
      <c r="Q161" s="96">
        <f>IF(COUNTA(C161,E161:G161,I161:O161)&gt;0,1,0)</f>
        <v>0</v>
      </c>
      <c r="R161" s="96" t="str">
        <f>IF(C161="","",TRIM(LEFT(C161,FIND(" |",C161&amp;" |")-1)))</f>
        <v/>
      </c>
      <c r="S161" s="96" t="str">
        <f>IF(R161="","",IFERROR(MATCH(R161,'ITENS_MTR'!$A$6:$A$1005,0),""))</f>
        <v/>
      </c>
      <c r="T161" s="96">
        <f>IF(S161="",0,IF(INDEX('ITENS_MTR'!$R$6:$R$1005,S161)=1,1,0))</f>
        <v>0</v>
      </c>
      <c r="U161" s="96" t="str">
        <f>IF(T161=1,INDEX('ITENS_MTR'!$T$6:$T$1005,S161),"")</f>
        <v/>
      </c>
      <c r="V161" s="97" t="str">
        <f>IF(N(U161)&gt;0,INDEX('MTRs'!$E$6:$E$505,U161),"")</f>
        <v/>
      </c>
      <c r="W161" s="96" t="str">
        <f>IF(G161="","",IFERROR(IF(ISNUMBER(INDEX(cfg_fac,MATCH(G161,cfg_units,0))),IF(INDEX(cfg_fac,MATCH(G161,cfg_units,0))&gt;0,INDEX(cfg_fac,MATCH(G161,cfg_units,0)),""),""),""))</f>
        <v/>
      </c>
      <c r="X161" s="96">
        <f>IF(AND(ISNUMBER(F161),ISNUMBER(H161)),IF(H161&gt;0,1,0),0)</f>
        <v>0</v>
      </c>
      <c r="Y161" s="96">
        <f>IF(Q161=0,0,IF(OR(T161=0,X161=0,NOT(ISNUMBER(E161)),AND(J161="Sim",L161="",M161=""),AND(ISNUMBER(E161),ISNUMBER(V161),N(V161)&gt;0,E161&lt;N(V161))),1,0))</f>
        <v>0</v>
      </c>
      <c r="Z161" s="96">
        <f>IF(AND(Q161=1,T161=1,X161=1,J161="Sim",OR(L161&lt;&gt;"",M161&lt;&gt;"")),1,0)</f>
        <v>0</v>
      </c>
      <c r="AA161" s="96">
        <f>IF(Q161=0,0,IF(AND(OR(r_ini="",AND(ISNUMBER(E161),E161&gt;=r_ini)),OR(r_fim="",AND(ISNUMBER(E161),E161&lt;=r_fim)),OR(r_un="",r_un="(Todas)",IF(N(U161)&gt;0,INDEX('MTRs'!$G$6:$G$505,U161),"")=r_un),OR(r_de="",r_de="(Todos)",D161=r_de)),1,0))</f>
        <v>0</v>
      </c>
      <c r="AB161" s="96" t="str">
        <f>IF(AA161=1,COUNTIF($AA$6:AA161,1),"")</f>
        <v/>
      </c>
    </row>
    <row r="162">
      <c r="A162" s="89" t="inlineStr">
        <is>
          <t>REC-000157</t>
        </is>
      </c>
      <c r="B162" s="94" t="str">
        <f>IF(T162=1,INDEX('ITENS_MTR'!$S$6:$S$1005,S162)&amp;"","")</f>
        <v/>
      </c>
      <c r="C162" s="91" t="n"/>
      <c r="D162" s="94" t="str">
        <f>IF(N(U162)&gt;0,INDEX('MTRs'!$I$6:$I$505,U162)&amp;"","")</f>
        <v/>
      </c>
      <c r="E162" s="92" t="n"/>
      <c r="F162" s="98" t="n"/>
      <c r="G162" s="91" t="n"/>
      <c r="H162" s="93" t="str">
        <f>IF(Q162=0,"",IF(NOT(ISNUMBER(F162)),"",IF(ISNUMBER(W162),F162*W162,"UNIDADE A CONFERIR")))</f>
        <v/>
      </c>
      <c r="I162" s="91" t="n"/>
      <c r="J162" s="91" t="n"/>
      <c r="K162" s="92" t="n"/>
      <c r="L162" s="91" t="n"/>
      <c r="M162" s="91" t="n"/>
      <c r="N162" s="91" t="n"/>
      <c r="O162" s="91" t="n"/>
      <c r="P162" s="94" t="str">
        <f>IF(Q162=0,"",IF(C162="","Item de resíduo não informado",IF(T162=0,"Item inexistente (referência inválida)",IF(NOT(ISNUMBER(F162)),"Quantidade não informada",IF(F162&lt;=0,"Quantidade não positiva",IF(G162="","Unidade não informada",IF(NOT(ISNUMBER(H162)),"Unidade a conferir",IF(NOT(ISNUMBER(E162)),"Data de recebimento não informada",IF(AND(ISNUMBER(V162),N(V162)&gt;0,E162&lt;N(V162)),"Data anterior à emissão do MTR",IF(AND(J162="Sim",L162="",M162=""),"Conferido sem evidência identificada",IF(J162&lt;&gt;"Sim","Aguardando conferência",IF(INDEX('ITENS_MTR'!$AM$6:$AM$1005,S162)=1,"Conferido (ver diferença no item)","Conferido"))))))))))))</f>
        <v/>
      </c>
      <c r="Q162" s="96">
        <f>IF(COUNTA(C162,E162:G162,I162:O162)&gt;0,1,0)</f>
        <v>0</v>
      </c>
      <c r="R162" s="96" t="str">
        <f>IF(C162="","",TRIM(LEFT(C162,FIND(" |",C162&amp;" |")-1)))</f>
        <v/>
      </c>
      <c r="S162" s="96" t="str">
        <f>IF(R162="","",IFERROR(MATCH(R162,'ITENS_MTR'!$A$6:$A$1005,0),""))</f>
        <v/>
      </c>
      <c r="T162" s="96">
        <f>IF(S162="",0,IF(INDEX('ITENS_MTR'!$R$6:$R$1005,S162)=1,1,0))</f>
        <v>0</v>
      </c>
      <c r="U162" s="96" t="str">
        <f>IF(T162=1,INDEX('ITENS_MTR'!$T$6:$T$1005,S162),"")</f>
        <v/>
      </c>
      <c r="V162" s="97" t="str">
        <f>IF(N(U162)&gt;0,INDEX('MTRs'!$E$6:$E$505,U162),"")</f>
        <v/>
      </c>
      <c r="W162" s="96" t="str">
        <f>IF(G162="","",IFERROR(IF(ISNUMBER(INDEX(cfg_fac,MATCH(G162,cfg_units,0))),IF(INDEX(cfg_fac,MATCH(G162,cfg_units,0))&gt;0,INDEX(cfg_fac,MATCH(G162,cfg_units,0)),""),""),""))</f>
        <v/>
      </c>
      <c r="X162" s="96">
        <f>IF(AND(ISNUMBER(F162),ISNUMBER(H162)),IF(H162&gt;0,1,0),0)</f>
        <v>0</v>
      </c>
      <c r="Y162" s="96">
        <f>IF(Q162=0,0,IF(OR(T162=0,X162=0,NOT(ISNUMBER(E162)),AND(J162="Sim",L162="",M162=""),AND(ISNUMBER(E162),ISNUMBER(V162),N(V162)&gt;0,E162&lt;N(V162))),1,0))</f>
        <v>0</v>
      </c>
      <c r="Z162" s="96">
        <f>IF(AND(Q162=1,T162=1,X162=1,J162="Sim",OR(L162&lt;&gt;"",M162&lt;&gt;"")),1,0)</f>
        <v>0</v>
      </c>
      <c r="AA162" s="96">
        <f>IF(Q162=0,0,IF(AND(OR(r_ini="",AND(ISNUMBER(E162),E162&gt;=r_ini)),OR(r_fim="",AND(ISNUMBER(E162),E162&lt;=r_fim)),OR(r_un="",r_un="(Todas)",IF(N(U162)&gt;0,INDEX('MTRs'!$G$6:$G$505,U162),"")=r_un),OR(r_de="",r_de="(Todos)",D162=r_de)),1,0))</f>
        <v>0</v>
      </c>
      <c r="AB162" s="96" t="str">
        <f>IF(AA162=1,COUNTIF($AA$6:AA162,1),"")</f>
        <v/>
      </c>
    </row>
    <row r="163">
      <c r="A163" s="89" t="inlineStr">
        <is>
          <t>REC-000158</t>
        </is>
      </c>
      <c r="B163" s="94" t="str">
        <f>IF(T163=1,INDEX('ITENS_MTR'!$S$6:$S$1005,S163)&amp;"","")</f>
        <v/>
      </c>
      <c r="C163" s="91" t="n"/>
      <c r="D163" s="94" t="str">
        <f>IF(N(U163)&gt;0,INDEX('MTRs'!$I$6:$I$505,U163)&amp;"","")</f>
        <v/>
      </c>
      <c r="E163" s="92" t="n"/>
      <c r="F163" s="98" t="n"/>
      <c r="G163" s="91" t="n"/>
      <c r="H163" s="93" t="str">
        <f>IF(Q163=0,"",IF(NOT(ISNUMBER(F163)),"",IF(ISNUMBER(W163),F163*W163,"UNIDADE A CONFERIR")))</f>
        <v/>
      </c>
      <c r="I163" s="91" t="n"/>
      <c r="J163" s="91" t="n"/>
      <c r="K163" s="92" t="n"/>
      <c r="L163" s="91" t="n"/>
      <c r="M163" s="91" t="n"/>
      <c r="N163" s="91" t="n"/>
      <c r="O163" s="91" t="n"/>
      <c r="P163" s="94" t="str">
        <f>IF(Q163=0,"",IF(C163="","Item de resíduo não informado",IF(T163=0,"Item inexistente (referência inválida)",IF(NOT(ISNUMBER(F163)),"Quantidade não informada",IF(F163&lt;=0,"Quantidade não positiva",IF(G163="","Unidade não informada",IF(NOT(ISNUMBER(H163)),"Unidade a conferir",IF(NOT(ISNUMBER(E163)),"Data de recebimento não informada",IF(AND(ISNUMBER(V163),N(V163)&gt;0,E163&lt;N(V163)),"Data anterior à emissão do MTR",IF(AND(J163="Sim",L163="",M163=""),"Conferido sem evidência identificada",IF(J163&lt;&gt;"Sim","Aguardando conferência",IF(INDEX('ITENS_MTR'!$AM$6:$AM$1005,S163)=1,"Conferido (ver diferença no item)","Conferido"))))))))))))</f>
        <v/>
      </c>
      <c r="Q163" s="96">
        <f>IF(COUNTA(C163,E163:G163,I163:O163)&gt;0,1,0)</f>
        <v>0</v>
      </c>
      <c r="R163" s="96" t="str">
        <f>IF(C163="","",TRIM(LEFT(C163,FIND(" |",C163&amp;" |")-1)))</f>
        <v/>
      </c>
      <c r="S163" s="96" t="str">
        <f>IF(R163="","",IFERROR(MATCH(R163,'ITENS_MTR'!$A$6:$A$1005,0),""))</f>
        <v/>
      </c>
      <c r="T163" s="96">
        <f>IF(S163="",0,IF(INDEX('ITENS_MTR'!$R$6:$R$1005,S163)=1,1,0))</f>
        <v>0</v>
      </c>
      <c r="U163" s="96" t="str">
        <f>IF(T163=1,INDEX('ITENS_MTR'!$T$6:$T$1005,S163),"")</f>
        <v/>
      </c>
      <c r="V163" s="97" t="str">
        <f>IF(N(U163)&gt;0,INDEX('MTRs'!$E$6:$E$505,U163),"")</f>
        <v/>
      </c>
      <c r="W163" s="96" t="str">
        <f>IF(G163="","",IFERROR(IF(ISNUMBER(INDEX(cfg_fac,MATCH(G163,cfg_units,0))),IF(INDEX(cfg_fac,MATCH(G163,cfg_units,0))&gt;0,INDEX(cfg_fac,MATCH(G163,cfg_units,0)),""),""),""))</f>
        <v/>
      </c>
      <c r="X163" s="96">
        <f>IF(AND(ISNUMBER(F163),ISNUMBER(H163)),IF(H163&gt;0,1,0),0)</f>
        <v>0</v>
      </c>
      <c r="Y163" s="96">
        <f>IF(Q163=0,0,IF(OR(T163=0,X163=0,NOT(ISNUMBER(E163)),AND(J163="Sim",L163="",M163=""),AND(ISNUMBER(E163),ISNUMBER(V163),N(V163)&gt;0,E163&lt;N(V163))),1,0))</f>
        <v>0</v>
      </c>
      <c r="Z163" s="96">
        <f>IF(AND(Q163=1,T163=1,X163=1,J163="Sim",OR(L163&lt;&gt;"",M163&lt;&gt;"")),1,0)</f>
        <v>0</v>
      </c>
      <c r="AA163" s="96">
        <f>IF(Q163=0,0,IF(AND(OR(r_ini="",AND(ISNUMBER(E163),E163&gt;=r_ini)),OR(r_fim="",AND(ISNUMBER(E163),E163&lt;=r_fim)),OR(r_un="",r_un="(Todas)",IF(N(U163)&gt;0,INDEX('MTRs'!$G$6:$G$505,U163),"")=r_un),OR(r_de="",r_de="(Todos)",D163=r_de)),1,0))</f>
        <v>0</v>
      </c>
      <c r="AB163" s="96" t="str">
        <f>IF(AA163=1,COUNTIF($AA$6:AA163,1),"")</f>
        <v/>
      </c>
    </row>
    <row r="164">
      <c r="A164" s="89" t="inlineStr">
        <is>
          <t>REC-000159</t>
        </is>
      </c>
      <c r="B164" s="94" t="str">
        <f>IF(T164=1,INDEX('ITENS_MTR'!$S$6:$S$1005,S164)&amp;"","")</f>
        <v/>
      </c>
      <c r="C164" s="91" t="n"/>
      <c r="D164" s="94" t="str">
        <f>IF(N(U164)&gt;0,INDEX('MTRs'!$I$6:$I$505,U164)&amp;"","")</f>
        <v/>
      </c>
      <c r="E164" s="92" t="n"/>
      <c r="F164" s="98" t="n"/>
      <c r="G164" s="91" t="n"/>
      <c r="H164" s="93" t="str">
        <f>IF(Q164=0,"",IF(NOT(ISNUMBER(F164)),"",IF(ISNUMBER(W164),F164*W164,"UNIDADE A CONFERIR")))</f>
        <v/>
      </c>
      <c r="I164" s="91" t="n"/>
      <c r="J164" s="91" t="n"/>
      <c r="K164" s="92" t="n"/>
      <c r="L164" s="91" t="n"/>
      <c r="M164" s="91" t="n"/>
      <c r="N164" s="91" t="n"/>
      <c r="O164" s="91" t="n"/>
      <c r="P164" s="94" t="str">
        <f>IF(Q164=0,"",IF(C164="","Item de resíduo não informado",IF(T164=0,"Item inexistente (referência inválida)",IF(NOT(ISNUMBER(F164)),"Quantidade não informada",IF(F164&lt;=0,"Quantidade não positiva",IF(G164="","Unidade não informada",IF(NOT(ISNUMBER(H164)),"Unidade a conferir",IF(NOT(ISNUMBER(E164)),"Data de recebimento não informada",IF(AND(ISNUMBER(V164),N(V164)&gt;0,E164&lt;N(V164)),"Data anterior à emissão do MTR",IF(AND(J164="Sim",L164="",M164=""),"Conferido sem evidência identificada",IF(J164&lt;&gt;"Sim","Aguardando conferência",IF(INDEX('ITENS_MTR'!$AM$6:$AM$1005,S164)=1,"Conferido (ver diferença no item)","Conferido"))))))))))))</f>
        <v/>
      </c>
      <c r="Q164" s="96">
        <f>IF(COUNTA(C164,E164:G164,I164:O164)&gt;0,1,0)</f>
        <v>0</v>
      </c>
      <c r="R164" s="96" t="str">
        <f>IF(C164="","",TRIM(LEFT(C164,FIND(" |",C164&amp;" |")-1)))</f>
        <v/>
      </c>
      <c r="S164" s="96" t="str">
        <f>IF(R164="","",IFERROR(MATCH(R164,'ITENS_MTR'!$A$6:$A$1005,0),""))</f>
        <v/>
      </c>
      <c r="T164" s="96">
        <f>IF(S164="",0,IF(INDEX('ITENS_MTR'!$R$6:$R$1005,S164)=1,1,0))</f>
        <v>0</v>
      </c>
      <c r="U164" s="96" t="str">
        <f>IF(T164=1,INDEX('ITENS_MTR'!$T$6:$T$1005,S164),"")</f>
        <v/>
      </c>
      <c r="V164" s="97" t="str">
        <f>IF(N(U164)&gt;0,INDEX('MTRs'!$E$6:$E$505,U164),"")</f>
        <v/>
      </c>
      <c r="W164" s="96" t="str">
        <f>IF(G164="","",IFERROR(IF(ISNUMBER(INDEX(cfg_fac,MATCH(G164,cfg_units,0))),IF(INDEX(cfg_fac,MATCH(G164,cfg_units,0))&gt;0,INDEX(cfg_fac,MATCH(G164,cfg_units,0)),""),""),""))</f>
        <v/>
      </c>
      <c r="X164" s="96">
        <f>IF(AND(ISNUMBER(F164),ISNUMBER(H164)),IF(H164&gt;0,1,0),0)</f>
        <v>0</v>
      </c>
      <c r="Y164" s="96">
        <f>IF(Q164=0,0,IF(OR(T164=0,X164=0,NOT(ISNUMBER(E164)),AND(J164="Sim",L164="",M164=""),AND(ISNUMBER(E164),ISNUMBER(V164),N(V164)&gt;0,E164&lt;N(V164))),1,0))</f>
        <v>0</v>
      </c>
      <c r="Z164" s="96">
        <f>IF(AND(Q164=1,T164=1,X164=1,J164="Sim",OR(L164&lt;&gt;"",M164&lt;&gt;"")),1,0)</f>
        <v>0</v>
      </c>
      <c r="AA164" s="96">
        <f>IF(Q164=0,0,IF(AND(OR(r_ini="",AND(ISNUMBER(E164),E164&gt;=r_ini)),OR(r_fim="",AND(ISNUMBER(E164),E164&lt;=r_fim)),OR(r_un="",r_un="(Todas)",IF(N(U164)&gt;0,INDEX('MTRs'!$G$6:$G$505,U164),"")=r_un),OR(r_de="",r_de="(Todos)",D164=r_de)),1,0))</f>
        <v>0</v>
      </c>
      <c r="AB164" s="96" t="str">
        <f>IF(AA164=1,COUNTIF($AA$6:AA164,1),"")</f>
        <v/>
      </c>
    </row>
    <row r="165">
      <c r="A165" s="89" t="inlineStr">
        <is>
          <t>REC-000160</t>
        </is>
      </c>
      <c r="B165" s="94" t="str">
        <f>IF(T165=1,INDEX('ITENS_MTR'!$S$6:$S$1005,S165)&amp;"","")</f>
        <v/>
      </c>
      <c r="C165" s="91" t="n"/>
      <c r="D165" s="94" t="str">
        <f>IF(N(U165)&gt;0,INDEX('MTRs'!$I$6:$I$505,U165)&amp;"","")</f>
        <v/>
      </c>
      <c r="E165" s="92" t="n"/>
      <c r="F165" s="98" t="n"/>
      <c r="G165" s="91" t="n"/>
      <c r="H165" s="93" t="str">
        <f>IF(Q165=0,"",IF(NOT(ISNUMBER(F165)),"",IF(ISNUMBER(W165),F165*W165,"UNIDADE A CONFERIR")))</f>
        <v/>
      </c>
      <c r="I165" s="91" t="n"/>
      <c r="J165" s="91" t="n"/>
      <c r="K165" s="92" t="n"/>
      <c r="L165" s="91" t="n"/>
      <c r="M165" s="91" t="n"/>
      <c r="N165" s="91" t="n"/>
      <c r="O165" s="91" t="n"/>
      <c r="P165" s="94" t="str">
        <f>IF(Q165=0,"",IF(C165="","Item de resíduo não informado",IF(T165=0,"Item inexistente (referência inválida)",IF(NOT(ISNUMBER(F165)),"Quantidade não informada",IF(F165&lt;=0,"Quantidade não positiva",IF(G165="","Unidade não informada",IF(NOT(ISNUMBER(H165)),"Unidade a conferir",IF(NOT(ISNUMBER(E165)),"Data de recebimento não informada",IF(AND(ISNUMBER(V165),N(V165)&gt;0,E165&lt;N(V165)),"Data anterior à emissão do MTR",IF(AND(J165="Sim",L165="",M165=""),"Conferido sem evidência identificada",IF(J165&lt;&gt;"Sim","Aguardando conferência",IF(INDEX('ITENS_MTR'!$AM$6:$AM$1005,S165)=1,"Conferido (ver diferença no item)","Conferido"))))))))))))</f>
        <v/>
      </c>
      <c r="Q165" s="96">
        <f>IF(COUNTA(C165,E165:G165,I165:O165)&gt;0,1,0)</f>
        <v>0</v>
      </c>
      <c r="R165" s="96" t="str">
        <f>IF(C165="","",TRIM(LEFT(C165,FIND(" |",C165&amp;" |")-1)))</f>
        <v/>
      </c>
      <c r="S165" s="96" t="str">
        <f>IF(R165="","",IFERROR(MATCH(R165,'ITENS_MTR'!$A$6:$A$1005,0),""))</f>
        <v/>
      </c>
      <c r="T165" s="96">
        <f>IF(S165="",0,IF(INDEX('ITENS_MTR'!$R$6:$R$1005,S165)=1,1,0))</f>
        <v>0</v>
      </c>
      <c r="U165" s="96" t="str">
        <f>IF(T165=1,INDEX('ITENS_MTR'!$T$6:$T$1005,S165),"")</f>
        <v/>
      </c>
      <c r="V165" s="97" t="str">
        <f>IF(N(U165)&gt;0,INDEX('MTRs'!$E$6:$E$505,U165),"")</f>
        <v/>
      </c>
      <c r="W165" s="96" t="str">
        <f>IF(G165="","",IFERROR(IF(ISNUMBER(INDEX(cfg_fac,MATCH(G165,cfg_units,0))),IF(INDEX(cfg_fac,MATCH(G165,cfg_units,0))&gt;0,INDEX(cfg_fac,MATCH(G165,cfg_units,0)),""),""),""))</f>
        <v/>
      </c>
      <c r="X165" s="96">
        <f>IF(AND(ISNUMBER(F165),ISNUMBER(H165)),IF(H165&gt;0,1,0),0)</f>
        <v>0</v>
      </c>
      <c r="Y165" s="96">
        <f>IF(Q165=0,0,IF(OR(T165=0,X165=0,NOT(ISNUMBER(E165)),AND(J165="Sim",L165="",M165=""),AND(ISNUMBER(E165),ISNUMBER(V165),N(V165)&gt;0,E165&lt;N(V165))),1,0))</f>
        <v>0</v>
      </c>
      <c r="Z165" s="96">
        <f>IF(AND(Q165=1,T165=1,X165=1,J165="Sim",OR(L165&lt;&gt;"",M165&lt;&gt;"")),1,0)</f>
        <v>0</v>
      </c>
      <c r="AA165" s="96">
        <f>IF(Q165=0,0,IF(AND(OR(r_ini="",AND(ISNUMBER(E165),E165&gt;=r_ini)),OR(r_fim="",AND(ISNUMBER(E165),E165&lt;=r_fim)),OR(r_un="",r_un="(Todas)",IF(N(U165)&gt;0,INDEX('MTRs'!$G$6:$G$505,U165),"")=r_un),OR(r_de="",r_de="(Todos)",D165=r_de)),1,0))</f>
        <v>0</v>
      </c>
      <c r="AB165" s="96" t="str">
        <f>IF(AA165=1,COUNTIF($AA$6:AA165,1),"")</f>
        <v/>
      </c>
    </row>
    <row r="166">
      <c r="A166" s="89" t="inlineStr">
        <is>
          <t>REC-000161</t>
        </is>
      </c>
      <c r="B166" s="94" t="str">
        <f>IF(T166=1,INDEX('ITENS_MTR'!$S$6:$S$1005,S166)&amp;"","")</f>
        <v/>
      </c>
      <c r="C166" s="91" t="n"/>
      <c r="D166" s="94" t="str">
        <f>IF(N(U166)&gt;0,INDEX('MTRs'!$I$6:$I$505,U166)&amp;"","")</f>
        <v/>
      </c>
      <c r="E166" s="92" t="n"/>
      <c r="F166" s="98" t="n"/>
      <c r="G166" s="91" t="n"/>
      <c r="H166" s="93" t="str">
        <f>IF(Q166=0,"",IF(NOT(ISNUMBER(F166)),"",IF(ISNUMBER(W166),F166*W166,"UNIDADE A CONFERIR")))</f>
        <v/>
      </c>
      <c r="I166" s="91" t="n"/>
      <c r="J166" s="91" t="n"/>
      <c r="K166" s="92" t="n"/>
      <c r="L166" s="91" t="n"/>
      <c r="M166" s="91" t="n"/>
      <c r="N166" s="91" t="n"/>
      <c r="O166" s="91" t="n"/>
      <c r="P166" s="94" t="str">
        <f>IF(Q166=0,"",IF(C166="","Item de resíduo não informado",IF(T166=0,"Item inexistente (referência inválida)",IF(NOT(ISNUMBER(F166)),"Quantidade não informada",IF(F166&lt;=0,"Quantidade não positiva",IF(G166="","Unidade não informada",IF(NOT(ISNUMBER(H166)),"Unidade a conferir",IF(NOT(ISNUMBER(E166)),"Data de recebimento não informada",IF(AND(ISNUMBER(V166),N(V166)&gt;0,E166&lt;N(V166)),"Data anterior à emissão do MTR",IF(AND(J166="Sim",L166="",M166=""),"Conferido sem evidência identificada",IF(J166&lt;&gt;"Sim","Aguardando conferência",IF(INDEX('ITENS_MTR'!$AM$6:$AM$1005,S166)=1,"Conferido (ver diferença no item)","Conferido"))))))))))))</f>
        <v/>
      </c>
      <c r="Q166" s="96">
        <f>IF(COUNTA(C166,E166:G166,I166:O166)&gt;0,1,0)</f>
        <v>0</v>
      </c>
      <c r="R166" s="96" t="str">
        <f>IF(C166="","",TRIM(LEFT(C166,FIND(" |",C166&amp;" |")-1)))</f>
        <v/>
      </c>
      <c r="S166" s="96" t="str">
        <f>IF(R166="","",IFERROR(MATCH(R166,'ITENS_MTR'!$A$6:$A$1005,0),""))</f>
        <v/>
      </c>
      <c r="T166" s="96">
        <f>IF(S166="",0,IF(INDEX('ITENS_MTR'!$R$6:$R$1005,S166)=1,1,0))</f>
        <v>0</v>
      </c>
      <c r="U166" s="96" t="str">
        <f>IF(T166=1,INDEX('ITENS_MTR'!$T$6:$T$1005,S166),"")</f>
        <v/>
      </c>
      <c r="V166" s="97" t="str">
        <f>IF(N(U166)&gt;0,INDEX('MTRs'!$E$6:$E$505,U166),"")</f>
        <v/>
      </c>
      <c r="W166" s="96" t="str">
        <f>IF(G166="","",IFERROR(IF(ISNUMBER(INDEX(cfg_fac,MATCH(G166,cfg_units,0))),IF(INDEX(cfg_fac,MATCH(G166,cfg_units,0))&gt;0,INDEX(cfg_fac,MATCH(G166,cfg_units,0)),""),""),""))</f>
        <v/>
      </c>
      <c r="X166" s="96">
        <f>IF(AND(ISNUMBER(F166),ISNUMBER(H166)),IF(H166&gt;0,1,0),0)</f>
        <v>0</v>
      </c>
      <c r="Y166" s="96">
        <f>IF(Q166=0,0,IF(OR(T166=0,X166=0,NOT(ISNUMBER(E166)),AND(J166="Sim",L166="",M166=""),AND(ISNUMBER(E166),ISNUMBER(V166),N(V166)&gt;0,E166&lt;N(V166))),1,0))</f>
        <v>0</v>
      </c>
      <c r="Z166" s="96">
        <f>IF(AND(Q166=1,T166=1,X166=1,J166="Sim",OR(L166&lt;&gt;"",M166&lt;&gt;"")),1,0)</f>
        <v>0</v>
      </c>
      <c r="AA166" s="96">
        <f>IF(Q166=0,0,IF(AND(OR(r_ini="",AND(ISNUMBER(E166),E166&gt;=r_ini)),OR(r_fim="",AND(ISNUMBER(E166),E166&lt;=r_fim)),OR(r_un="",r_un="(Todas)",IF(N(U166)&gt;0,INDEX('MTRs'!$G$6:$G$505,U166),"")=r_un),OR(r_de="",r_de="(Todos)",D166=r_de)),1,0))</f>
        <v>0</v>
      </c>
      <c r="AB166" s="96" t="str">
        <f>IF(AA166=1,COUNTIF($AA$6:AA166,1),"")</f>
        <v/>
      </c>
    </row>
    <row r="167">
      <c r="A167" s="89" t="inlineStr">
        <is>
          <t>REC-000162</t>
        </is>
      </c>
      <c r="B167" s="94" t="str">
        <f>IF(T167=1,INDEX('ITENS_MTR'!$S$6:$S$1005,S167)&amp;"","")</f>
        <v/>
      </c>
      <c r="C167" s="91" t="n"/>
      <c r="D167" s="94" t="str">
        <f>IF(N(U167)&gt;0,INDEX('MTRs'!$I$6:$I$505,U167)&amp;"","")</f>
        <v/>
      </c>
      <c r="E167" s="92" t="n"/>
      <c r="F167" s="98" t="n"/>
      <c r="G167" s="91" t="n"/>
      <c r="H167" s="93" t="str">
        <f>IF(Q167=0,"",IF(NOT(ISNUMBER(F167)),"",IF(ISNUMBER(W167),F167*W167,"UNIDADE A CONFERIR")))</f>
        <v/>
      </c>
      <c r="I167" s="91" t="n"/>
      <c r="J167" s="91" t="n"/>
      <c r="K167" s="92" t="n"/>
      <c r="L167" s="91" t="n"/>
      <c r="M167" s="91" t="n"/>
      <c r="N167" s="91" t="n"/>
      <c r="O167" s="91" t="n"/>
      <c r="P167" s="94" t="str">
        <f>IF(Q167=0,"",IF(C167="","Item de resíduo não informado",IF(T167=0,"Item inexistente (referência inválida)",IF(NOT(ISNUMBER(F167)),"Quantidade não informada",IF(F167&lt;=0,"Quantidade não positiva",IF(G167="","Unidade não informada",IF(NOT(ISNUMBER(H167)),"Unidade a conferir",IF(NOT(ISNUMBER(E167)),"Data de recebimento não informada",IF(AND(ISNUMBER(V167),N(V167)&gt;0,E167&lt;N(V167)),"Data anterior à emissão do MTR",IF(AND(J167="Sim",L167="",M167=""),"Conferido sem evidência identificada",IF(J167&lt;&gt;"Sim","Aguardando conferência",IF(INDEX('ITENS_MTR'!$AM$6:$AM$1005,S167)=1,"Conferido (ver diferença no item)","Conferido"))))))))))))</f>
        <v/>
      </c>
      <c r="Q167" s="96">
        <f>IF(COUNTA(C167,E167:G167,I167:O167)&gt;0,1,0)</f>
        <v>0</v>
      </c>
      <c r="R167" s="96" t="str">
        <f>IF(C167="","",TRIM(LEFT(C167,FIND(" |",C167&amp;" |")-1)))</f>
        <v/>
      </c>
      <c r="S167" s="96" t="str">
        <f>IF(R167="","",IFERROR(MATCH(R167,'ITENS_MTR'!$A$6:$A$1005,0),""))</f>
        <v/>
      </c>
      <c r="T167" s="96">
        <f>IF(S167="",0,IF(INDEX('ITENS_MTR'!$R$6:$R$1005,S167)=1,1,0))</f>
        <v>0</v>
      </c>
      <c r="U167" s="96" t="str">
        <f>IF(T167=1,INDEX('ITENS_MTR'!$T$6:$T$1005,S167),"")</f>
        <v/>
      </c>
      <c r="V167" s="97" t="str">
        <f>IF(N(U167)&gt;0,INDEX('MTRs'!$E$6:$E$505,U167),"")</f>
        <v/>
      </c>
      <c r="W167" s="96" t="str">
        <f>IF(G167="","",IFERROR(IF(ISNUMBER(INDEX(cfg_fac,MATCH(G167,cfg_units,0))),IF(INDEX(cfg_fac,MATCH(G167,cfg_units,0))&gt;0,INDEX(cfg_fac,MATCH(G167,cfg_units,0)),""),""),""))</f>
        <v/>
      </c>
      <c r="X167" s="96">
        <f>IF(AND(ISNUMBER(F167),ISNUMBER(H167)),IF(H167&gt;0,1,0),0)</f>
        <v>0</v>
      </c>
      <c r="Y167" s="96">
        <f>IF(Q167=0,0,IF(OR(T167=0,X167=0,NOT(ISNUMBER(E167)),AND(J167="Sim",L167="",M167=""),AND(ISNUMBER(E167),ISNUMBER(V167),N(V167)&gt;0,E167&lt;N(V167))),1,0))</f>
        <v>0</v>
      </c>
      <c r="Z167" s="96">
        <f>IF(AND(Q167=1,T167=1,X167=1,J167="Sim",OR(L167&lt;&gt;"",M167&lt;&gt;"")),1,0)</f>
        <v>0</v>
      </c>
      <c r="AA167" s="96">
        <f>IF(Q167=0,0,IF(AND(OR(r_ini="",AND(ISNUMBER(E167),E167&gt;=r_ini)),OR(r_fim="",AND(ISNUMBER(E167),E167&lt;=r_fim)),OR(r_un="",r_un="(Todas)",IF(N(U167)&gt;0,INDEX('MTRs'!$G$6:$G$505,U167),"")=r_un),OR(r_de="",r_de="(Todos)",D167=r_de)),1,0))</f>
        <v>0</v>
      </c>
      <c r="AB167" s="96" t="str">
        <f>IF(AA167=1,COUNTIF($AA$6:AA167,1),"")</f>
        <v/>
      </c>
    </row>
    <row r="168">
      <c r="A168" s="89" t="inlineStr">
        <is>
          <t>REC-000163</t>
        </is>
      </c>
      <c r="B168" s="94" t="str">
        <f>IF(T168=1,INDEX('ITENS_MTR'!$S$6:$S$1005,S168)&amp;"","")</f>
        <v/>
      </c>
      <c r="C168" s="91" t="n"/>
      <c r="D168" s="94" t="str">
        <f>IF(N(U168)&gt;0,INDEX('MTRs'!$I$6:$I$505,U168)&amp;"","")</f>
        <v/>
      </c>
      <c r="E168" s="92" t="n"/>
      <c r="F168" s="98" t="n"/>
      <c r="G168" s="91" t="n"/>
      <c r="H168" s="93" t="str">
        <f>IF(Q168=0,"",IF(NOT(ISNUMBER(F168)),"",IF(ISNUMBER(W168),F168*W168,"UNIDADE A CONFERIR")))</f>
        <v/>
      </c>
      <c r="I168" s="91" t="n"/>
      <c r="J168" s="91" t="n"/>
      <c r="K168" s="92" t="n"/>
      <c r="L168" s="91" t="n"/>
      <c r="M168" s="91" t="n"/>
      <c r="N168" s="91" t="n"/>
      <c r="O168" s="91" t="n"/>
      <c r="P168" s="94" t="str">
        <f>IF(Q168=0,"",IF(C168="","Item de resíduo não informado",IF(T168=0,"Item inexistente (referência inválida)",IF(NOT(ISNUMBER(F168)),"Quantidade não informada",IF(F168&lt;=0,"Quantidade não positiva",IF(G168="","Unidade não informada",IF(NOT(ISNUMBER(H168)),"Unidade a conferir",IF(NOT(ISNUMBER(E168)),"Data de recebimento não informada",IF(AND(ISNUMBER(V168),N(V168)&gt;0,E168&lt;N(V168)),"Data anterior à emissão do MTR",IF(AND(J168="Sim",L168="",M168=""),"Conferido sem evidência identificada",IF(J168&lt;&gt;"Sim","Aguardando conferência",IF(INDEX('ITENS_MTR'!$AM$6:$AM$1005,S168)=1,"Conferido (ver diferença no item)","Conferido"))))))))))))</f>
        <v/>
      </c>
      <c r="Q168" s="96">
        <f>IF(COUNTA(C168,E168:G168,I168:O168)&gt;0,1,0)</f>
        <v>0</v>
      </c>
      <c r="R168" s="96" t="str">
        <f>IF(C168="","",TRIM(LEFT(C168,FIND(" |",C168&amp;" |")-1)))</f>
        <v/>
      </c>
      <c r="S168" s="96" t="str">
        <f>IF(R168="","",IFERROR(MATCH(R168,'ITENS_MTR'!$A$6:$A$1005,0),""))</f>
        <v/>
      </c>
      <c r="T168" s="96">
        <f>IF(S168="",0,IF(INDEX('ITENS_MTR'!$R$6:$R$1005,S168)=1,1,0))</f>
        <v>0</v>
      </c>
      <c r="U168" s="96" t="str">
        <f>IF(T168=1,INDEX('ITENS_MTR'!$T$6:$T$1005,S168),"")</f>
        <v/>
      </c>
      <c r="V168" s="97" t="str">
        <f>IF(N(U168)&gt;0,INDEX('MTRs'!$E$6:$E$505,U168),"")</f>
        <v/>
      </c>
      <c r="W168" s="96" t="str">
        <f>IF(G168="","",IFERROR(IF(ISNUMBER(INDEX(cfg_fac,MATCH(G168,cfg_units,0))),IF(INDEX(cfg_fac,MATCH(G168,cfg_units,0))&gt;0,INDEX(cfg_fac,MATCH(G168,cfg_units,0)),""),""),""))</f>
        <v/>
      </c>
      <c r="X168" s="96">
        <f>IF(AND(ISNUMBER(F168),ISNUMBER(H168)),IF(H168&gt;0,1,0),0)</f>
        <v>0</v>
      </c>
      <c r="Y168" s="96">
        <f>IF(Q168=0,0,IF(OR(T168=0,X168=0,NOT(ISNUMBER(E168)),AND(J168="Sim",L168="",M168=""),AND(ISNUMBER(E168),ISNUMBER(V168),N(V168)&gt;0,E168&lt;N(V168))),1,0))</f>
        <v>0</v>
      </c>
      <c r="Z168" s="96">
        <f>IF(AND(Q168=1,T168=1,X168=1,J168="Sim",OR(L168&lt;&gt;"",M168&lt;&gt;"")),1,0)</f>
        <v>0</v>
      </c>
      <c r="AA168" s="96">
        <f>IF(Q168=0,0,IF(AND(OR(r_ini="",AND(ISNUMBER(E168),E168&gt;=r_ini)),OR(r_fim="",AND(ISNUMBER(E168),E168&lt;=r_fim)),OR(r_un="",r_un="(Todas)",IF(N(U168)&gt;0,INDEX('MTRs'!$G$6:$G$505,U168),"")=r_un),OR(r_de="",r_de="(Todos)",D168=r_de)),1,0))</f>
        <v>0</v>
      </c>
      <c r="AB168" s="96" t="str">
        <f>IF(AA168=1,COUNTIF($AA$6:AA168,1),"")</f>
        <v/>
      </c>
    </row>
    <row r="169">
      <c r="A169" s="89" t="inlineStr">
        <is>
          <t>REC-000164</t>
        </is>
      </c>
      <c r="B169" s="94" t="str">
        <f>IF(T169=1,INDEX('ITENS_MTR'!$S$6:$S$1005,S169)&amp;"","")</f>
        <v/>
      </c>
      <c r="C169" s="91" t="n"/>
      <c r="D169" s="94" t="str">
        <f>IF(N(U169)&gt;0,INDEX('MTRs'!$I$6:$I$505,U169)&amp;"","")</f>
        <v/>
      </c>
      <c r="E169" s="92" t="n"/>
      <c r="F169" s="98" t="n"/>
      <c r="G169" s="91" t="n"/>
      <c r="H169" s="93" t="str">
        <f>IF(Q169=0,"",IF(NOT(ISNUMBER(F169)),"",IF(ISNUMBER(W169),F169*W169,"UNIDADE A CONFERIR")))</f>
        <v/>
      </c>
      <c r="I169" s="91" t="n"/>
      <c r="J169" s="91" t="n"/>
      <c r="K169" s="92" t="n"/>
      <c r="L169" s="91" t="n"/>
      <c r="M169" s="91" t="n"/>
      <c r="N169" s="91" t="n"/>
      <c r="O169" s="91" t="n"/>
      <c r="P169" s="94" t="str">
        <f>IF(Q169=0,"",IF(C169="","Item de resíduo não informado",IF(T169=0,"Item inexistente (referência inválida)",IF(NOT(ISNUMBER(F169)),"Quantidade não informada",IF(F169&lt;=0,"Quantidade não positiva",IF(G169="","Unidade não informada",IF(NOT(ISNUMBER(H169)),"Unidade a conferir",IF(NOT(ISNUMBER(E169)),"Data de recebimento não informada",IF(AND(ISNUMBER(V169),N(V169)&gt;0,E169&lt;N(V169)),"Data anterior à emissão do MTR",IF(AND(J169="Sim",L169="",M169=""),"Conferido sem evidência identificada",IF(J169&lt;&gt;"Sim","Aguardando conferência",IF(INDEX('ITENS_MTR'!$AM$6:$AM$1005,S169)=1,"Conferido (ver diferença no item)","Conferido"))))))))))))</f>
        <v/>
      </c>
      <c r="Q169" s="96">
        <f>IF(COUNTA(C169,E169:G169,I169:O169)&gt;0,1,0)</f>
        <v>0</v>
      </c>
      <c r="R169" s="96" t="str">
        <f>IF(C169="","",TRIM(LEFT(C169,FIND(" |",C169&amp;" |")-1)))</f>
        <v/>
      </c>
      <c r="S169" s="96" t="str">
        <f>IF(R169="","",IFERROR(MATCH(R169,'ITENS_MTR'!$A$6:$A$1005,0),""))</f>
        <v/>
      </c>
      <c r="T169" s="96">
        <f>IF(S169="",0,IF(INDEX('ITENS_MTR'!$R$6:$R$1005,S169)=1,1,0))</f>
        <v>0</v>
      </c>
      <c r="U169" s="96" t="str">
        <f>IF(T169=1,INDEX('ITENS_MTR'!$T$6:$T$1005,S169),"")</f>
        <v/>
      </c>
      <c r="V169" s="97" t="str">
        <f>IF(N(U169)&gt;0,INDEX('MTRs'!$E$6:$E$505,U169),"")</f>
        <v/>
      </c>
      <c r="W169" s="96" t="str">
        <f>IF(G169="","",IFERROR(IF(ISNUMBER(INDEX(cfg_fac,MATCH(G169,cfg_units,0))),IF(INDEX(cfg_fac,MATCH(G169,cfg_units,0))&gt;0,INDEX(cfg_fac,MATCH(G169,cfg_units,0)),""),""),""))</f>
        <v/>
      </c>
      <c r="X169" s="96">
        <f>IF(AND(ISNUMBER(F169),ISNUMBER(H169)),IF(H169&gt;0,1,0),0)</f>
        <v>0</v>
      </c>
      <c r="Y169" s="96">
        <f>IF(Q169=0,0,IF(OR(T169=0,X169=0,NOT(ISNUMBER(E169)),AND(J169="Sim",L169="",M169=""),AND(ISNUMBER(E169),ISNUMBER(V169),N(V169)&gt;0,E169&lt;N(V169))),1,0))</f>
        <v>0</v>
      </c>
      <c r="Z169" s="96">
        <f>IF(AND(Q169=1,T169=1,X169=1,J169="Sim",OR(L169&lt;&gt;"",M169&lt;&gt;"")),1,0)</f>
        <v>0</v>
      </c>
      <c r="AA169" s="96">
        <f>IF(Q169=0,0,IF(AND(OR(r_ini="",AND(ISNUMBER(E169),E169&gt;=r_ini)),OR(r_fim="",AND(ISNUMBER(E169),E169&lt;=r_fim)),OR(r_un="",r_un="(Todas)",IF(N(U169)&gt;0,INDEX('MTRs'!$G$6:$G$505,U169),"")=r_un),OR(r_de="",r_de="(Todos)",D169=r_de)),1,0))</f>
        <v>0</v>
      </c>
      <c r="AB169" s="96" t="str">
        <f>IF(AA169=1,COUNTIF($AA$6:AA169,1),"")</f>
        <v/>
      </c>
    </row>
    <row r="170">
      <c r="A170" s="89" t="inlineStr">
        <is>
          <t>REC-000165</t>
        </is>
      </c>
      <c r="B170" s="94" t="str">
        <f>IF(T170=1,INDEX('ITENS_MTR'!$S$6:$S$1005,S170)&amp;"","")</f>
        <v/>
      </c>
      <c r="C170" s="91" t="n"/>
      <c r="D170" s="94" t="str">
        <f>IF(N(U170)&gt;0,INDEX('MTRs'!$I$6:$I$505,U170)&amp;"","")</f>
        <v/>
      </c>
      <c r="E170" s="92" t="n"/>
      <c r="F170" s="98" t="n"/>
      <c r="G170" s="91" t="n"/>
      <c r="H170" s="93" t="str">
        <f>IF(Q170=0,"",IF(NOT(ISNUMBER(F170)),"",IF(ISNUMBER(W170),F170*W170,"UNIDADE A CONFERIR")))</f>
        <v/>
      </c>
      <c r="I170" s="91" t="n"/>
      <c r="J170" s="91" t="n"/>
      <c r="K170" s="92" t="n"/>
      <c r="L170" s="91" t="n"/>
      <c r="M170" s="91" t="n"/>
      <c r="N170" s="91" t="n"/>
      <c r="O170" s="91" t="n"/>
      <c r="P170" s="94" t="str">
        <f>IF(Q170=0,"",IF(C170="","Item de resíduo não informado",IF(T170=0,"Item inexistente (referência inválida)",IF(NOT(ISNUMBER(F170)),"Quantidade não informada",IF(F170&lt;=0,"Quantidade não positiva",IF(G170="","Unidade não informada",IF(NOT(ISNUMBER(H170)),"Unidade a conferir",IF(NOT(ISNUMBER(E170)),"Data de recebimento não informada",IF(AND(ISNUMBER(V170),N(V170)&gt;0,E170&lt;N(V170)),"Data anterior à emissão do MTR",IF(AND(J170="Sim",L170="",M170=""),"Conferido sem evidência identificada",IF(J170&lt;&gt;"Sim","Aguardando conferência",IF(INDEX('ITENS_MTR'!$AM$6:$AM$1005,S170)=1,"Conferido (ver diferença no item)","Conferido"))))))))))))</f>
        <v/>
      </c>
      <c r="Q170" s="96">
        <f>IF(COUNTA(C170,E170:G170,I170:O170)&gt;0,1,0)</f>
        <v>0</v>
      </c>
      <c r="R170" s="96" t="str">
        <f>IF(C170="","",TRIM(LEFT(C170,FIND(" |",C170&amp;" |")-1)))</f>
        <v/>
      </c>
      <c r="S170" s="96" t="str">
        <f>IF(R170="","",IFERROR(MATCH(R170,'ITENS_MTR'!$A$6:$A$1005,0),""))</f>
        <v/>
      </c>
      <c r="T170" s="96">
        <f>IF(S170="",0,IF(INDEX('ITENS_MTR'!$R$6:$R$1005,S170)=1,1,0))</f>
        <v>0</v>
      </c>
      <c r="U170" s="96" t="str">
        <f>IF(T170=1,INDEX('ITENS_MTR'!$T$6:$T$1005,S170),"")</f>
        <v/>
      </c>
      <c r="V170" s="97" t="str">
        <f>IF(N(U170)&gt;0,INDEX('MTRs'!$E$6:$E$505,U170),"")</f>
        <v/>
      </c>
      <c r="W170" s="96" t="str">
        <f>IF(G170="","",IFERROR(IF(ISNUMBER(INDEX(cfg_fac,MATCH(G170,cfg_units,0))),IF(INDEX(cfg_fac,MATCH(G170,cfg_units,0))&gt;0,INDEX(cfg_fac,MATCH(G170,cfg_units,0)),""),""),""))</f>
        <v/>
      </c>
      <c r="X170" s="96">
        <f>IF(AND(ISNUMBER(F170),ISNUMBER(H170)),IF(H170&gt;0,1,0),0)</f>
        <v>0</v>
      </c>
      <c r="Y170" s="96">
        <f>IF(Q170=0,0,IF(OR(T170=0,X170=0,NOT(ISNUMBER(E170)),AND(J170="Sim",L170="",M170=""),AND(ISNUMBER(E170),ISNUMBER(V170),N(V170)&gt;0,E170&lt;N(V170))),1,0))</f>
        <v>0</v>
      </c>
      <c r="Z170" s="96">
        <f>IF(AND(Q170=1,T170=1,X170=1,J170="Sim",OR(L170&lt;&gt;"",M170&lt;&gt;"")),1,0)</f>
        <v>0</v>
      </c>
      <c r="AA170" s="96">
        <f>IF(Q170=0,0,IF(AND(OR(r_ini="",AND(ISNUMBER(E170),E170&gt;=r_ini)),OR(r_fim="",AND(ISNUMBER(E170),E170&lt;=r_fim)),OR(r_un="",r_un="(Todas)",IF(N(U170)&gt;0,INDEX('MTRs'!$G$6:$G$505,U170),"")=r_un),OR(r_de="",r_de="(Todos)",D170=r_de)),1,0))</f>
        <v>0</v>
      </c>
      <c r="AB170" s="96" t="str">
        <f>IF(AA170=1,COUNTIF($AA$6:AA170,1),"")</f>
        <v/>
      </c>
    </row>
    <row r="171">
      <c r="A171" s="89" t="inlineStr">
        <is>
          <t>REC-000166</t>
        </is>
      </c>
      <c r="B171" s="94" t="str">
        <f>IF(T171=1,INDEX('ITENS_MTR'!$S$6:$S$1005,S171)&amp;"","")</f>
        <v/>
      </c>
      <c r="C171" s="91" t="n"/>
      <c r="D171" s="94" t="str">
        <f>IF(N(U171)&gt;0,INDEX('MTRs'!$I$6:$I$505,U171)&amp;"","")</f>
        <v/>
      </c>
      <c r="E171" s="92" t="n"/>
      <c r="F171" s="98" t="n"/>
      <c r="G171" s="91" t="n"/>
      <c r="H171" s="93" t="str">
        <f>IF(Q171=0,"",IF(NOT(ISNUMBER(F171)),"",IF(ISNUMBER(W171),F171*W171,"UNIDADE A CONFERIR")))</f>
        <v/>
      </c>
      <c r="I171" s="91" t="n"/>
      <c r="J171" s="91" t="n"/>
      <c r="K171" s="92" t="n"/>
      <c r="L171" s="91" t="n"/>
      <c r="M171" s="91" t="n"/>
      <c r="N171" s="91" t="n"/>
      <c r="O171" s="91" t="n"/>
      <c r="P171" s="94" t="str">
        <f>IF(Q171=0,"",IF(C171="","Item de resíduo não informado",IF(T171=0,"Item inexistente (referência inválida)",IF(NOT(ISNUMBER(F171)),"Quantidade não informada",IF(F171&lt;=0,"Quantidade não positiva",IF(G171="","Unidade não informada",IF(NOT(ISNUMBER(H171)),"Unidade a conferir",IF(NOT(ISNUMBER(E171)),"Data de recebimento não informada",IF(AND(ISNUMBER(V171),N(V171)&gt;0,E171&lt;N(V171)),"Data anterior à emissão do MTR",IF(AND(J171="Sim",L171="",M171=""),"Conferido sem evidência identificada",IF(J171&lt;&gt;"Sim","Aguardando conferência",IF(INDEX('ITENS_MTR'!$AM$6:$AM$1005,S171)=1,"Conferido (ver diferença no item)","Conferido"))))))))))))</f>
        <v/>
      </c>
      <c r="Q171" s="96">
        <f>IF(COUNTA(C171,E171:G171,I171:O171)&gt;0,1,0)</f>
        <v>0</v>
      </c>
      <c r="R171" s="96" t="str">
        <f>IF(C171="","",TRIM(LEFT(C171,FIND(" |",C171&amp;" |")-1)))</f>
        <v/>
      </c>
      <c r="S171" s="96" t="str">
        <f>IF(R171="","",IFERROR(MATCH(R171,'ITENS_MTR'!$A$6:$A$1005,0),""))</f>
        <v/>
      </c>
      <c r="T171" s="96">
        <f>IF(S171="",0,IF(INDEX('ITENS_MTR'!$R$6:$R$1005,S171)=1,1,0))</f>
        <v>0</v>
      </c>
      <c r="U171" s="96" t="str">
        <f>IF(T171=1,INDEX('ITENS_MTR'!$T$6:$T$1005,S171),"")</f>
        <v/>
      </c>
      <c r="V171" s="97" t="str">
        <f>IF(N(U171)&gt;0,INDEX('MTRs'!$E$6:$E$505,U171),"")</f>
        <v/>
      </c>
      <c r="W171" s="96" t="str">
        <f>IF(G171="","",IFERROR(IF(ISNUMBER(INDEX(cfg_fac,MATCH(G171,cfg_units,0))),IF(INDEX(cfg_fac,MATCH(G171,cfg_units,0))&gt;0,INDEX(cfg_fac,MATCH(G171,cfg_units,0)),""),""),""))</f>
        <v/>
      </c>
      <c r="X171" s="96">
        <f>IF(AND(ISNUMBER(F171),ISNUMBER(H171)),IF(H171&gt;0,1,0),0)</f>
        <v>0</v>
      </c>
      <c r="Y171" s="96">
        <f>IF(Q171=0,0,IF(OR(T171=0,X171=0,NOT(ISNUMBER(E171)),AND(J171="Sim",L171="",M171=""),AND(ISNUMBER(E171),ISNUMBER(V171),N(V171)&gt;0,E171&lt;N(V171))),1,0))</f>
        <v>0</v>
      </c>
      <c r="Z171" s="96">
        <f>IF(AND(Q171=1,T171=1,X171=1,J171="Sim",OR(L171&lt;&gt;"",M171&lt;&gt;"")),1,0)</f>
        <v>0</v>
      </c>
      <c r="AA171" s="96">
        <f>IF(Q171=0,0,IF(AND(OR(r_ini="",AND(ISNUMBER(E171),E171&gt;=r_ini)),OR(r_fim="",AND(ISNUMBER(E171),E171&lt;=r_fim)),OR(r_un="",r_un="(Todas)",IF(N(U171)&gt;0,INDEX('MTRs'!$G$6:$G$505,U171),"")=r_un),OR(r_de="",r_de="(Todos)",D171=r_de)),1,0))</f>
        <v>0</v>
      </c>
      <c r="AB171" s="96" t="str">
        <f>IF(AA171=1,COUNTIF($AA$6:AA171,1),"")</f>
        <v/>
      </c>
    </row>
    <row r="172">
      <c r="A172" s="89" t="inlineStr">
        <is>
          <t>REC-000167</t>
        </is>
      </c>
      <c r="B172" s="94" t="str">
        <f>IF(T172=1,INDEX('ITENS_MTR'!$S$6:$S$1005,S172)&amp;"","")</f>
        <v/>
      </c>
      <c r="C172" s="91" t="n"/>
      <c r="D172" s="94" t="str">
        <f>IF(N(U172)&gt;0,INDEX('MTRs'!$I$6:$I$505,U172)&amp;"","")</f>
        <v/>
      </c>
      <c r="E172" s="92" t="n"/>
      <c r="F172" s="98" t="n"/>
      <c r="G172" s="91" t="n"/>
      <c r="H172" s="93" t="str">
        <f>IF(Q172=0,"",IF(NOT(ISNUMBER(F172)),"",IF(ISNUMBER(W172),F172*W172,"UNIDADE A CONFERIR")))</f>
        <v/>
      </c>
      <c r="I172" s="91" t="n"/>
      <c r="J172" s="91" t="n"/>
      <c r="K172" s="92" t="n"/>
      <c r="L172" s="91" t="n"/>
      <c r="M172" s="91" t="n"/>
      <c r="N172" s="91" t="n"/>
      <c r="O172" s="91" t="n"/>
      <c r="P172" s="94" t="str">
        <f>IF(Q172=0,"",IF(C172="","Item de resíduo não informado",IF(T172=0,"Item inexistente (referência inválida)",IF(NOT(ISNUMBER(F172)),"Quantidade não informada",IF(F172&lt;=0,"Quantidade não positiva",IF(G172="","Unidade não informada",IF(NOT(ISNUMBER(H172)),"Unidade a conferir",IF(NOT(ISNUMBER(E172)),"Data de recebimento não informada",IF(AND(ISNUMBER(V172),N(V172)&gt;0,E172&lt;N(V172)),"Data anterior à emissão do MTR",IF(AND(J172="Sim",L172="",M172=""),"Conferido sem evidência identificada",IF(J172&lt;&gt;"Sim","Aguardando conferência",IF(INDEX('ITENS_MTR'!$AM$6:$AM$1005,S172)=1,"Conferido (ver diferença no item)","Conferido"))))))))))))</f>
        <v/>
      </c>
      <c r="Q172" s="96">
        <f>IF(COUNTA(C172,E172:G172,I172:O172)&gt;0,1,0)</f>
        <v>0</v>
      </c>
      <c r="R172" s="96" t="str">
        <f>IF(C172="","",TRIM(LEFT(C172,FIND(" |",C172&amp;" |")-1)))</f>
        <v/>
      </c>
      <c r="S172" s="96" t="str">
        <f>IF(R172="","",IFERROR(MATCH(R172,'ITENS_MTR'!$A$6:$A$1005,0),""))</f>
        <v/>
      </c>
      <c r="T172" s="96">
        <f>IF(S172="",0,IF(INDEX('ITENS_MTR'!$R$6:$R$1005,S172)=1,1,0))</f>
        <v>0</v>
      </c>
      <c r="U172" s="96" t="str">
        <f>IF(T172=1,INDEX('ITENS_MTR'!$T$6:$T$1005,S172),"")</f>
        <v/>
      </c>
      <c r="V172" s="97" t="str">
        <f>IF(N(U172)&gt;0,INDEX('MTRs'!$E$6:$E$505,U172),"")</f>
        <v/>
      </c>
      <c r="W172" s="96" t="str">
        <f>IF(G172="","",IFERROR(IF(ISNUMBER(INDEX(cfg_fac,MATCH(G172,cfg_units,0))),IF(INDEX(cfg_fac,MATCH(G172,cfg_units,0))&gt;0,INDEX(cfg_fac,MATCH(G172,cfg_units,0)),""),""),""))</f>
        <v/>
      </c>
      <c r="X172" s="96">
        <f>IF(AND(ISNUMBER(F172),ISNUMBER(H172)),IF(H172&gt;0,1,0),0)</f>
        <v>0</v>
      </c>
      <c r="Y172" s="96">
        <f>IF(Q172=0,0,IF(OR(T172=0,X172=0,NOT(ISNUMBER(E172)),AND(J172="Sim",L172="",M172=""),AND(ISNUMBER(E172),ISNUMBER(V172),N(V172)&gt;0,E172&lt;N(V172))),1,0))</f>
        <v>0</v>
      </c>
      <c r="Z172" s="96">
        <f>IF(AND(Q172=1,T172=1,X172=1,J172="Sim",OR(L172&lt;&gt;"",M172&lt;&gt;"")),1,0)</f>
        <v>0</v>
      </c>
      <c r="AA172" s="96">
        <f>IF(Q172=0,0,IF(AND(OR(r_ini="",AND(ISNUMBER(E172),E172&gt;=r_ini)),OR(r_fim="",AND(ISNUMBER(E172),E172&lt;=r_fim)),OR(r_un="",r_un="(Todas)",IF(N(U172)&gt;0,INDEX('MTRs'!$G$6:$G$505,U172),"")=r_un),OR(r_de="",r_de="(Todos)",D172=r_de)),1,0))</f>
        <v>0</v>
      </c>
      <c r="AB172" s="96" t="str">
        <f>IF(AA172=1,COUNTIF($AA$6:AA172,1),"")</f>
        <v/>
      </c>
    </row>
    <row r="173">
      <c r="A173" s="89" t="inlineStr">
        <is>
          <t>REC-000168</t>
        </is>
      </c>
      <c r="B173" s="94" t="str">
        <f>IF(T173=1,INDEX('ITENS_MTR'!$S$6:$S$1005,S173)&amp;"","")</f>
        <v/>
      </c>
      <c r="C173" s="91" t="n"/>
      <c r="D173" s="94" t="str">
        <f>IF(N(U173)&gt;0,INDEX('MTRs'!$I$6:$I$505,U173)&amp;"","")</f>
        <v/>
      </c>
      <c r="E173" s="92" t="n"/>
      <c r="F173" s="98" t="n"/>
      <c r="G173" s="91" t="n"/>
      <c r="H173" s="93" t="str">
        <f>IF(Q173=0,"",IF(NOT(ISNUMBER(F173)),"",IF(ISNUMBER(W173),F173*W173,"UNIDADE A CONFERIR")))</f>
        <v/>
      </c>
      <c r="I173" s="91" t="n"/>
      <c r="J173" s="91" t="n"/>
      <c r="K173" s="92" t="n"/>
      <c r="L173" s="91" t="n"/>
      <c r="M173" s="91" t="n"/>
      <c r="N173" s="91" t="n"/>
      <c r="O173" s="91" t="n"/>
      <c r="P173" s="94" t="str">
        <f>IF(Q173=0,"",IF(C173="","Item de resíduo não informado",IF(T173=0,"Item inexistente (referência inválida)",IF(NOT(ISNUMBER(F173)),"Quantidade não informada",IF(F173&lt;=0,"Quantidade não positiva",IF(G173="","Unidade não informada",IF(NOT(ISNUMBER(H173)),"Unidade a conferir",IF(NOT(ISNUMBER(E173)),"Data de recebimento não informada",IF(AND(ISNUMBER(V173),N(V173)&gt;0,E173&lt;N(V173)),"Data anterior à emissão do MTR",IF(AND(J173="Sim",L173="",M173=""),"Conferido sem evidência identificada",IF(J173&lt;&gt;"Sim","Aguardando conferência",IF(INDEX('ITENS_MTR'!$AM$6:$AM$1005,S173)=1,"Conferido (ver diferença no item)","Conferido"))))))))))))</f>
        <v/>
      </c>
      <c r="Q173" s="96">
        <f>IF(COUNTA(C173,E173:G173,I173:O173)&gt;0,1,0)</f>
        <v>0</v>
      </c>
      <c r="R173" s="96" t="str">
        <f>IF(C173="","",TRIM(LEFT(C173,FIND(" |",C173&amp;" |")-1)))</f>
        <v/>
      </c>
      <c r="S173" s="96" t="str">
        <f>IF(R173="","",IFERROR(MATCH(R173,'ITENS_MTR'!$A$6:$A$1005,0),""))</f>
        <v/>
      </c>
      <c r="T173" s="96">
        <f>IF(S173="",0,IF(INDEX('ITENS_MTR'!$R$6:$R$1005,S173)=1,1,0))</f>
        <v>0</v>
      </c>
      <c r="U173" s="96" t="str">
        <f>IF(T173=1,INDEX('ITENS_MTR'!$T$6:$T$1005,S173),"")</f>
        <v/>
      </c>
      <c r="V173" s="97" t="str">
        <f>IF(N(U173)&gt;0,INDEX('MTRs'!$E$6:$E$505,U173),"")</f>
        <v/>
      </c>
      <c r="W173" s="96" t="str">
        <f>IF(G173="","",IFERROR(IF(ISNUMBER(INDEX(cfg_fac,MATCH(G173,cfg_units,0))),IF(INDEX(cfg_fac,MATCH(G173,cfg_units,0))&gt;0,INDEX(cfg_fac,MATCH(G173,cfg_units,0)),""),""),""))</f>
        <v/>
      </c>
      <c r="X173" s="96">
        <f>IF(AND(ISNUMBER(F173),ISNUMBER(H173)),IF(H173&gt;0,1,0),0)</f>
        <v>0</v>
      </c>
      <c r="Y173" s="96">
        <f>IF(Q173=0,0,IF(OR(T173=0,X173=0,NOT(ISNUMBER(E173)),AND(J173="Sim",L173="",M173=""),AND(ISNUMBER(E173),ISNUMBER(V173),N(V173)&gt;0,E173&lt;N(V173))),1,0))</f>
        <v>0</v>
      </c>
      <c r="Z173" s="96">
        <f>IF(AND(Q173=1,T173=1,X173=1,J173="Sim",OR(L173&lt;&gt;"",M173&lt;&gt;"")),1,0)</f>
        <v>0</v>
      </c>
      <c r="AA173" s="96">
        <f>IF(Q173=0,0,IF(AND(OR(r_ini="",AND(ISNUMBER(E173),E173&gt;=r_ini)),OR(r_fim="",AND(ISNUMBER(E173),E173&lt;=r_fim)),OR(r_un="",r_un="(Todas)",IF(N(U173)&gt;0,INDEX('MTRs'!$G$6:$G$505,U173),"")=r_un),OR(r_de="",r_de="(Todos)",D173=r_de)),1,0))</f>
        <v>0</v>
      </c>
      <c r="AB173" s="96" t="str">
        <f>IF(AA173=1,COUNTIF($AA$6:AA173,1),"")</f>
        <v/>
      </c>
    </row>
    <row r="174">
      <c r="A174" s="89" t="inlineStr">
        <is>
          <t>REC-000169</t>
        </is>
      </c>
      <c r="B174" s="94" t="str">
        <f>IF(T174=1,INDEX('ITENS_MTR'!$S$6:$S$1005,S174)&amp;"","")</f>
        <v/>
      </c>
      <c r="C174" s="91" t="n"/>
      <c r="D174" s="94" t="str">
        <f>IF(N(U174)&gt;0,INDEX('MTRs'!$I$6:$I$505,U174)&amp;"","")</f>
        <v/>
      </c>
      <c r="E174" s="92" t="n"/>
      <c r="F174" s="98" t="n"/>
      <c r="G174" s="91" t="n"/>
      <c r="H174" s="93" t="str">
        <f>IF(Q174=0,"",IF(NOT(ISNUMBER(F174)),"",IF(ISNUMBER(W174),F174*W174,"UNIDADE A CONFERIR")))</f>
        <v/>
      </c>
      <c r="I174" s="91" t="n"/>
      <c r="J174" s="91" t="n"/>
      <c r="K174" s="92" t="n"/>
      <c r="L174" s="91" t="n"/>
      <c r="M174" s="91" t="n"/>
      <c r="N174" s="91" t="n"/>
      <c r="O174" s="91" t="n"/>
      <c r="P174" s="94" t="str">
        <f>IF(Q174=0,"",IF(C174="","Item de resíduo não informado",IF(T174=0,"Item inexistente (referência inválida)",IF(NOT(ISNUMBER(F174)),"Quantidade não informada",IF(F174&lt;=0,"Quantidade não positiva",IF(G174="","Unidade não informada",IF(NOT(ISNUMBER(H174)),"Unidade a conferir",IF(NOT(ISNUMBER(E174)),"Data de recebimento não informada",IF(AND(ISNUMBER(V174),N(V174)&gt;0,E174&lt;N(V174)),"Data anterior à emissão do MTR",IF(AND(J174="Sim",L174="",M174=""),"Conferido sem evidência identificada",IF(J174&lt;&gt;"Sim","Aguardando conferência",IF(INDEX('ITENS_MTR'!$AM$6:$AM$1005,S174)=1,"Conferido (ver diferença no item)","Conferido"))))))))))))</f>
        <v/>
      </c>
      <c r="Q174" s="96">
        <f>IF(COUNTA(C174,E174:G174,I174:O174)&gt;0,1,0)</f>
        <v>0</v>
      </c>
      <c r="R174" s="96" t="str">
        <f>IF(C174="","",TRIM(LEFT(C174,FIND(" |",C174&amp;" |")-1)))</f>
        <v/>
      </c>
      <c r="S174" s="96" t="str">
        <f>IF(R174="","",IFERROR(MATCH(R174,'ITENS_MTR'!$A$6:$A$1005,0),""))</f>
        <v/>
      </c>
      <c r="T174" s="96">
        <f>IF(S174="",0,IF(INDEX('ITENS_MTR'!$R$6:$R$1005,S174)=1,1,0))</f>
        <v>0</v>
      </c>
      <c r="U174" s="96" t="str">
        <f>IF(T174=1,INDEX('ITENS_MTR'!$T$6:$T$1005,S174),"")</f>
        <v/>
      </c>
      <c r="V174" s="97" t="str">
        <f>IF(N(U174)&gt;0,INDEX('MTRs'!$E$6:$E$505,U174),"")</f>
        <v/>
      </c>
      <c r="W174" s="96" t="str">
        <f>IF(G174="","",IFERROR(IF(ISNUMBER(INDEX(cfg_fac,MATCH(G174,cfg_units,0))),IF(INDEX(cfg_fac,MATCH(G174,cfg_units,0))&gt;0,INDEX(cfg_fac,MATCH(G174,cfg_units,0)),""),""),""))</f>
        <v/>
      </c>
      <c r="X174" s="96">
        <f>IF(AND(ISNUMBER(F174),ISNUMBER(H174)),IF(H174&gt;0,1,0),0)</f>
        <v>0</v>
      </c>
      <c r="Y174" s="96">
        <f>IF(Q174=0,0,IF(OR(T174=0,X174=0,NOT(ISNUMBER(E174)),AND(J174="Sim",L174="",M174=""),AND(ISNUMBER(E174),ISNUMBER(V174),N(V174)&gt;0,E174&lt;N(V174))),1,0))</f>
        <v>0</v>
      </c>
      <c r="Z174" s="96">
        <f>IF(AND(Q174=1,T174=1,X174=1,J174="Sim",OR(L174&lt;&gt;"",M174&lt;&gt;"")),1,0)</f>
        <v>0</v>
      </c>
      <c r="AA174" s="96">
        <f>IF(Q174=0,0,IF(AND(OR(r_ini="",AND(ISNUMBER(E174),E174&gt;=r_ini)),OR(r_fim="",AND(ISNUMBER(E174),E174&lt;=r_fim)),OR(r_un="",r_un="(Todas)",IF(N(U174)&gt;0,INDEX('MTRs'!$G$6:$G$505,U174),"")=r_un),OR(r_de="",r_de="(Todos)",D174=r_de)),1,0))</f>
        <v>0</v>
      </c>
      <c r="AB174" s="96" t="str">
        <f>IF(AA174=1,COUNTIF($AA$6:AA174,1),"")</f>
        <v/>
      </c>
    </row>
    <row r="175">
      <c r="A175" s="89" t="inlineStr">
        <is>
          <t>REC-000170</t>
        </is>
      </c>
      <c r="B175" s="94" t="str">
        <f>IF(T175=1,INDEX('ITENS_MTR'!$S$6:$S$1005,S175)&amp;"","")</f>
        <v/>
      </c>
      <c r="C175" s="91" t="n"/>
      <c r="D175" s="94" t="str">
        <f>IF(N(U175)&gt;0,INDEX('MTRs'!$I$6:$I$505,U175)&amp;"","")</f>
        <v/>
      </c>
      <c r="E175" s="92" t="n"/>
      <c r="F175" s="98" t="n"/>
      <c r="G175" s="91" t="n"/>
      <c r="H175" s="93" t="str">
        <f>IF(Q175=0,"",IF(NOT(ISNUMBER(F175)),"",IF(ISNUMBER(W175),F175*W175,"UNIDADE A CONFERIR")))</f>
        <v/>
      </c>
      <c r="I175" s="91" t="n"/>
      <c r="J175" s="91" t="n"/>
      <c r="K175" s="92" t="n"/>
      <c r="L175" s="91" t="n"/>
      <c r="M175" s="91" t="n"/>
      <c r="N175" s="91" t="n"/>
      <c r="O175" s="91" t="n"/>
      <c r="P175" s="94" t="str">
        <f>IF(Q175=0,"",IF(C175="","Item de resíduo não informado",IF(T175=0,"Item inexistente (referência inválida)",IF(NOT(ISNUMBER(F175)),"Quantidade não informada",IF(F175&lt;=0,"Quantidade não positiva",IF(G175="","Unidade não informada",IF(NOT(ISNUMBER(H175)),"Unidade a conferir",IF(NOT(ISNUMBER(E175)),"Data de recebimento não informada",IF(AND(ISNUMBER(V175),N(V175)&gt;0,E175&lt;N(V175)),"Data anterior à emissão do MTR",IF(AND(J175="Sim",L175="",M175=""),"Conferido sem evidência identificada",IF(J175&lt;&gt;"Sim","Aguardando conferência",IF(INDEX('ITENS_MTR'!$AM$6:$AM$1005,S175)=1,"Conferido (ver diferença no item)","Conferido"))))))))))))</f>
        <v/>
      </c>
      <c r="Q175" s="96">
        <f>IF(COUNTA(C175,E175:G175,I175:O175)&gt;0,1,0)</f>
        <v>0</v>
      </c>
      <c r="R175" s="96" t="str">
        <f>IF(C175="","",TRIM(LEFT(C175,FIND(" |",C175&amp;" |")-1)))</f>
        <v/>
      </c>
      <c r="S175" s="96" t="str">
        <f>IF(R175="","",IFERROR(MATCH(R175,'ITENS_MTR'!$A$6:$A$1005,0),""))</f>
        <v/>
      </c>
      <c r="T175" s="96">
        <f>IF(S175="",0,IF(INDEX('ITENS_MTR'!$R$6:$R$1005,S175)=1,1,0))</f>
        <v>0</v>
      </c>
      <c r="U175" s="96" t="str">
        <f>IF(T175=1,INDEX('ITENS_MTR'!$T$6:$T$1005,S175),"")</f>
        <v/>
      </c>
      <c r="V175" s="97" t="str">
        <f>IF(N(U175)&gt;0,INDEX('MTRs'!$E$6:$E$505,U175),"")</f>
        <v/>
      </c>
      <c r="W175" s="96" t="str">
        <f>IF(G175="","",IFERROR(IF(ISNUMBER(INDEX(cfg_fac,MATCH(G175,cfg_units,0))),IF(INDEX(cfg_fac,MATCH(G175,cfg_units,0))&gt;0,INDEX(cfg_fac,MATCH(G175,cfg_units,0)),""),""),""))</f>
        <v/>
      </c>
      <c r="X175" s="96">
        <f>IF(AND(ISNUMBER(F175),ISNUMBER(H175)),IF(H175&gt;0,1,0),0)</f>
        <v>0</v>
      </c>
      <c r="Y175" s="96">
        <f>IF(Q175=0,0,IF(OR(T175=0,X175=0,NOT(ISNUMBER(E175)),AND(J175="Sim",L175="",M175=""),AND(ISNUMBER(E175),ISNUMBER(V175),N(V175)&gt;0,E175&lt;N(V175))),1,0))</f>
        <v>0</v>
      </c>
      <c r="Z175" s="96">
        <f>IF(AND(Q175=1,T175=1,X175=1,J175="Sim",OR(L175&lt;&gt;"",M175&lt;&gt;"")),1,0)</f>
        <v>0</v>
      </c>
      <c r="AA175" s="96">
        <f>IF(Q175=0,0,IF(AND(OR(r_ini="",AND(ISNUMBER(E175),E175&gt;=r_ini)),OR(r_fim="",AND(ISNUMBER(E175),E175&lt;=r_fim)),OR(r_un="",r_un="(Todas)",IF(N(U175)&gt;0,INDEX('MTRs'!$G$6:$G$505,U175),"")=r_un),OR(r_de="",r_de="(Todos)",D175=r_de)),1,0))</f>
        <v>0</v>
      </c>
      <c r="AB175" s="96" t="str">
        <f>IF(AA175=1,COUNTIF($AA$6:AA175,1),"")</f>
        <v/>
      </c>
    </row>
    <row r="176">
      <c r="A176" s="89" t="inlineStr">
        <is>
          <t>REC-000171</t>
        </is>
      </c>
      <c r="B176" s="94" t="str">
        <f>IF(T176=1,INDEX('ITENS_MTR'!$S$6:$S$1005,S176)&amp;"","")</f>
        <v/>
      </c>
      <c r="C176" s="91" t="n"/>
      <c r="D176" s="94" t="str">
        <f>IF(N(U176)&gt;0,INDEX('MTRs'!$I$6:$I$505,U176)&amp;"","")</f>
        <v/>
      </c>
      <c r="E176" s="92" t="n"/>
      <c r="F176" s="98" t="n"/>
      <c r="G176" s="91" t="n"/>
      <c r="H176" s="93" t="str">
        <f>IF(Q176=0,"",IF(NOT(ISNUMBER(F176)),"",IF(ISNUMBER(W176),F176*W176,"UNIDADE A CONFERIR")))</f>
        <v/>
      </c>
      <c r="I176" s="91" t="n"/>
      <c r="J176" s="91" t="n"/>
      <c r="K176" s="92" t="n"/>
      <c r="L176" s="91" t="n"/>
      <c r="M176" s="91" t="n"/>
      <c r="N176" s="91" t="n"/>
      <c r="O176" s="91" t="n"/>
      <c r="P176" s="94" t="str">
        <f>IF(Q176=0,"",IF(C176="","Item de resíduo não informado",IF(T176=0,"Item inexistente (referência inválida)",IF(NOT(ISNUMBER(F176)),"Quantidade não informada",IF(F176&lt;=0,"Quantidade não positiva",IF(G176="","Unidade não informada",IF(NOT(ISNUMBER(H176)),"Unidade a conferir",IF(NOT(ISNUMBER(E176)),"Data de recebimento não informada",IF(AND(ISNUMBER(V176),N(V176)&gt;0,E176&lt;N(V176)),"Data anterior à emissão do MTR",IF(AND(J176="Sim",L176="",M176=""),"Conferido sem evidência identificada",IF(J176&lt;&gt;"Sim","Aguardando conferência",IF(INDEX('ITENS_MTR'!$AM$6:$AM$1005,S176)=1,"Conferido (ver diferença no item)","Conferido"))))))))))))</f>
        <v/>
      </c>
      <c r="Q176" s="96">
        <f>IF(COUNTA(C176,E176:G176,I176:O176)&gt;0,1,0)</f>
        <v>0</v>
      </c>
      <c r="R176" s="96" t="str">
        <f>IF(C176="","",TRIM(LEFT(C176,FIND(" |",C176&amp;" |")-1)))</f>
        <v/>
      </c>
      <c r="S176" s="96" t="str">
        <f>IF(R176="","",IFERROR(MATCH(R176,'ITENS_MTR'!$A$6:$A$1005,0),""))</f>
        <v/>
      </c>
      <c r="T176" s="96">
        <f>IF(S176="",0,IF(INDEX('ITENS_MTR'!$R$6:$R$1005,S176)=1,1,0))</f>
        <v>0</v>
      </c>
      <c r="U176" s="96" t="str">
        <f>IF(T176=1,INDEX('ITENS_MTR'!$T$6:$T$1005,S176),"")</f>
        <v/>
      </c>
      <c r="V176" s="97" t="str">
        <f>IF(N(U176)&gt;0,INDEX('MTRs'!$E$6:$E$505,U176),"")</f>
        <v/>
      </c>
      <c r="W176" s="96" t="str">
        <f>IF(G176="","",IFERROR(IF(ISNUMBER(INDEX(cfg_fac,MATCH(G176,cfg_units,0))),IF(INDEX(cfg_fac,MATCH(G176,cfg_units,0))&gt;0,INDEX(cfg_fac,MATCH(G176,cfg_units,0)),""),""),""))</f>
        <v/>
      </c>
      <c r="X176" s="96">
        <f>IF(AND(ISNUMBER(F176),ISNUMBER(H176)),IF(H176&gt;0,1,0),0)</f>
        <v>0</v>
      </c>
      <c r="Y176" s="96">
        <f>IF(Q176=0,0,IF(OR(T176=0,X176=0,NOT(ISNUMBER(E176)),AND(J176="Sim",L176="",M176=""),AND(ISNUMBER(E176),ISNUMBER(V176),N(V176)&gt;0,E176&lt;N(V176))),1,0))</f>
        <v>0</v>
      </c>
      <c r="Z176" s="96">
        <f>IF(AND(Q176=1,T176=1,X176=1,J176="Sim",OR(L176&lt;&gt;"",M176&lt;&gt;"")),1,0)</f>
        <v>0</v>
      </c>
      <c r="AA176" s="96">
        <f>IF(Q176=0,0,IF(AND(OR(r_ini="",AND(ISNUMBER(E176),E176&gt;=r_ini)),OR(r_fim="",AND(ISNUMBER(E176),E176&lt;=r_fim)),OR(r_un="",r_un="(Todas)",IF(N(U176)&gt;0,INDEX('MTRs'!$G$6:$G$505,U176),"")=r_un),OR(r_de="",r_de="(Todos)",D176=r_de)),1,0))</f>
        <v>0</v>
      </c>
      <c r="AB176" s="96" t="str">
        <f>IF(AA176=1,COUNTIF($AA$6:AA176,1),"")</f>
        <v/>
      </c>
    </row>
    <row r="177">
      <c r="A177" s="89" t="inlineStr">
        <is>
          <t>REC-000172</t>
        </is>
      </c>
      <c r="B177" s="94" t="str">
        <f>IF(T177=1,INDEX('ITENS_MTR'!$S$6:$S$1005,S177)&amp;"","")</f>
        <v/>
      </c>
      <c r="C177" s="91" t="n"/>
      <c r="D177" s="94" t="str">
        <f>IF(N(U177)&gt;0,INDEX('MTRs'!$I$6:$I$505,U177)&amp;"","")</f>
        <v/>
      </c>
      <c r="E177" s="92" t="n"/>
      <c r="F177" s="98" t="n"/>
      <c r="G177" s="91" t="n"/>
      <c r="H177" s="93" t="str">
        <f>IF(Q177=0,"",IF(NOT(ISNUMBER(F177)),"",IF(ISNUMBER(W177),F177*W177,"UNIDADE A CONFERIR")))</f>
        <v/>
      </c>
      <c r="I177" s="91" t="n"/>
      <c r="J177" s="91" t="n"/>
      <c r="K177" s="92" t="n"/>
      <c r="L177" s="91" t="n"/>
      <c r="M177" s="91" t="n"/>
      <c r="N177" s="91" t="n"/>
      <c r="O177" s="91" t="n"/>
      <c r="P177" s="94" t="str">
        <f>IF(Q177=0,"",IF(C177="","Item de resíduo não informado",IF(T177=0,"Item inexistente (referência inválida)",IF(NOT(ISNUMBER(F177)),"Quantidade não informada",IF(F177&lt;=0,"Quantidade não positiva",IF(G177="","Unidade não informada",IF(NOT(ISNUMBER(H177)),"Unidade a conferir",IF(NOT(ISNUMBER(E177)),"Data de recebimento não informada",IF(AND(ISNUMBER(V177),N(V177)&gt;0,E177&lt;N(V177)),"Data anterior à emissão do MTR",IF(AND(J177="Sim",L177="",M177=""),"Conferido sem evidência identificada",IF(J177&lt;&gt;"Sim","Aguardando conferência",IF(INDEX('ITENS_MTR'!$AM$6:$AM$1005,S177)=1,"Conferido (ver diferença no item)","Conferido"))))))))))))</f>
        <v/>
      </c>
      <c r="Q177" s="96">
        <f>IF(COUNTA(C177,E177:G177,I177:O177)&gt;0,1,0)</f>
        <v>0</v>
      </c>
      <c r="R177" s="96" t="str">
        <f>IF(C177="","",TRIM(LEFT(C177,FIND(" |",C177&amp;" |")-1)))</f>
        <v/>
      </c>
      <c r="S177" s="96" t="str">
        <f>IF(R177="","",IFERROR(MATCH(R177,'ITENS_MTR'!$A$6:$A$1005,0),""))</f>
        <v/>
      </c>
      <c r="T177" s="96">
        <f>IF(S177="",0,IF(INDEX('ITENS_MTR'!$R$6:$R$1005,S177)=1,1,0))</f>
        <v>0</v>
      </c>
      <c r="U177" s="96" t="str">
        <f>IF(T177=1,INDEX('ITENS_MTR'!$T$6:$T$1005,S177),"")</f>
        <v/>
      </c>
      <c r="V177" s="97" t="str">
        <f>IF(N(U177)&gt;0,INDEX('MTRs'!$E$6:$E$505,U177),"")</f>
        <v/>
      </c>
      <c r="W177" s="96" t="str">
        <f>IF(G177="","",IFERROR(IF(ISNUMBER(INDEX(cfg_fac,MATCH(G177,cfg_units,0))),IF(INDEX(cfg_fac,MATCH(G177,cfg_units,0))&gt;0,INDEX(cfg_fac,MATCH(G177,cfg_units,0)),""),""),""))</f>
        <v/>
      </c>
      <c r="X177" s="96">
        <f>IF(AND(ISNUMBER(F177),ISNUMBER(H177)),IF(H177&gt;0,1,0),0)</f>
        <v>0</v>
      </c>
      <c r="Y177" s="96">
        <f>IF(Q177=0,0,IF(OR(T177=0,X177=0,NOT(ISNUMBER(E177)),AND(J177="Sim",L177="",M177=""),AND(ISNUMBER(E177),ISNUMBER(V177),N(V177)&gt;0,E177&lt;N(V177))),1,0))</f>
        <v>0</v>
      </c>
      <c r="Z177" s="96">
        <f>IF(AND(Q177=1,T177=1,X177=1,J177="Sim",OR(L177&lt;&gt;"",M177&lt;&gt;"")),1,0)</f>
        <v>0</v>
      </c>
      <c r="AA177" s="96">
        <f>IF(Q177=0,0,IF(AND(OR(r_ini="",AND(ISNUMBER(E177),E177&gt;=r_ini)),OR(r_fim="",AND(ISNUMBER(E177),E177&lt;=r_fim)),OR(r_un="",r_un="(Todas)",IF(N(U177)&gt;0,INDEX('MTRs'!$G$6:$G$505,U177),"")=r_un),OR(r_de="",r_de="(Todos)",D177=r_de)),1,0))</f>
        <v>0</v>
      </c>
      <c r="AB177" s="96" t="str">
        <f>IF(AA177=1,COUNTIF($AA$6:AA177,1),"")</f>
        <v/>
      </c>
    </row>
    <row r="178">
      <c r="A178" s="89" t="inlineStr">
        <is>
          <t>REC-000173</t>
        </is>
      </c>
      <c r="B178" s="94" t="str">
        <f>IF(T178=1,INDEX('ITENS_MTR'!$S$6:$S$1005,S178)&amp;"","")</f>
        <v/>
      </c>
      <c r="C178" s="91" t="n"/>
      <c r="D178" s="94" t="str">
        <f>IF(N(U178)&gt;0,INDEX('MTRs'!$I$6:$I$505,U178)&amp;"","")</f>
        <v/>
      </c>
      <c r="E178" s="92" t="n"/>
      <c r="F178" s="98" t="n"/>
      <c r="G178" s="91" t="n"/>
      <c r="H178" s="93" t="str">
        <f>IF(Q178=0,"",IF(NOT(ISNUMBER(F178)),"",IF(ISNUMBER(W178),F178*W178,"UNIDADE A CONFERIR")))</f>
        <v/>
      </c>
      <c r="I178" s="91" t="n"/>
      <c r="J178" s="91" t="n"/>
      <c r="K178" s="92" t="n"/>
      <c r="L178" s="91" t="n"/>
      <c r="M178" s="91" t="n"/>
      <c r="N178" s="91" t="n"/>
      <c r="O178" s="91" t="n"/>
      <c r="P178" s="94" t="str">
        <f>IF(Q178=0,"",IF(C178="","Item de resíduo não informado",IF(T178=0,"Item inexistente (referência inválida)",IF(NOT(ISNUMBER(F178)),"Quantidade não informada",IF(F178&lt;=0,"Quantidade não positiva",IF(G178="","Unidade não informada",IF(NOT(ISNUMBER(H178)),"Unidade a conferir",IF(NOT(ISNUMBER(E178)),"Data de recebimento não informada",IF(AND(ISNUMBER(V178),N(V178)&gt;0,E178&lt;N(V178)),"Data anterior à emissão do MTR",IF(AND(J178="Sim",L178="",M178=""),"Conferido sem evidência identificada",IF(J178&lt;&gt;"Sim","Aguardando conferência",IF(INDEX('ITENS_MTR'!$AM$6:$AM$1005,S178)=1,"Conferido (ver diferença no item)","Conferido"))))))))))))</f>
        <v/>
      </c>
      <c r="Q178" s="96">
        <f>IF(COUNTA(C178,E178:G178,I178:O178)&gt;0,1,0)</f>
        <v>0</v>
      </c>
      <c r="R178" s="96" t="str">
        <f>IF(C178="","",TRIM(LEFT(C178,FIND(" |",C178&amp;" |")-1)))</f>
        <v/>
      </c>
      <c r="S178" s="96" t="str">
        <f>IF(R178="","",IFERROR(MATCH(R178,'ITENS_MTR'!$A$6:$A$1005,0),""))</f>
        <v/>
      </c>
      <c r="T178" s="96">
        <f>IF(S178="",0,IF(INDEX('ITENS_MTR'!$R$6:$R$1005,S178)=1,1,0))</f>
        <v>0</v>
      </c>
      <c r="U178" s="96" t="str">
        <f>IF(T178=1,INDEX('ITENS_MTR'!$T$6:$T$1005,S178),"")</f>
        <v/>
      </c>
      <c r="V178" s="97" t="str">
        <f>IF(N(U178)&gt;0,INDEX('MTRs'!$E$6:$E$505,U178),"")</f>
        <v/>
      </c>
      <c r="W178" s="96" t="str">
        <f>IF(G178="","",IFERROR(IF(ISNUMBER(INDEX(cfg_fac,MATCH(G178,cfg_units,0))),IF(INDEX(cfg_fac,MATCH(G178,cfg_units,0))&gt;0,INDEX(cfg_fac,MATCH(G178,cfg_units,0)),""),""),""))</f>
        <v/>
      </c>
      <c r="X178" s="96">
        <f>IF(AND(ISNUMBER(F178),ISNUMBER(H178)),IF(H178&gt;0,1,0),0)</f>
        <v>0</v>
      </c>
      <c r="Y178" s="96">
        <f>IF(Q178=0,0,IF(OR(T178=0,X178=0,NOT(ISNUMBER(E178)),AND(J178="Sim",L178="",M178=""),AND(ISNUMBER(E178),ISNUMBER(V178),N(V178)&gt;0,E178&lt;N(V178))),1,0))</f>
        <v>0</v>
      </c>
      <c r="Z178" s="96">
        <f>IF(AND(Q178=1,T178=1,X178=1,J178="Sim",OR(L178&lt;&gt;"",M178&lt;&gt;"")),1,0)</f>
        <v>0</v>
      </c>
      <c r="AA178" s="96">
        <f>IF(Q178=0,0,IF(AND(OR(r_ini="",AND(ISNUMBER(E178),E178&gt;=r_ini)),OR(r_fim="",AND(ISNUMBER(E178),E178&lt;=r_fim)),OR(r_un="",r_un="(Todas)",IF(N(U178)&gt;0,INDEX('MTRs'!$G$6:$G$505,U178),"")=r_un),OR(r_de="",r_de="(Todos)",D178=r_de)),1,0))</f>
        <v>0</v>
      </c>
      <c r="AB178" s="96" t="str">
        <f>IF(AA178=1,COUNTIF($AA$6:AA178,1),"")</f>
        <v/>
      </c>
    </row>
    <row r="179">
      <c r="A179" s="89" t="inlineStr">
        <is>
          <t>REC-000174</t>
        </is>
      </c>
      <c r="B179" s="94" t="str">
        <f>IF(T179=1,INDEX('ITENS_MTR'!$S$6:$S$1005,S179)&amp;"","")</f>
        <v/>
      </c>
      <c r="C179" s="91" t="n"/>
      <c r="D179" s="94" t="str">
        <f>IF(N(U179)&gt;0,INDEX('MTRs'!$I$6:$I$505,U179)&amp;"","")</f>
        <v/>
      </c>
      <c r="E179" s="92" t="n"/>
      <c r="F179" s="98" t="n"/>
      <c r="G179" s="91" t="n"/>
      <c r="H179" s="93" t="str">
        <f>IF(Q179=0,"",IF(NOT(ISNUMBER(F179)),"",IF(ISNUMBER(W179),F179*W179,"UNIDADE A CONFERIR")))</f>
        <v/>
      </c>
      <c r="I179" s="91" t="n"/>
      <c r="J179" s="91" t="n"/>
      <c r="K179" s="92" t="n"/>
      <c r="L179" s="91" t="n"/>
      <c r="M179" s="91" t="n"/>
      <c r="N179" s="91" t="n"/>
      <c r="O179" s="91" t="n"/>
      <c r="P179" s="94" t="str">
        <f>IF(Q179=0,"",IF(C179="","Item de resíduo não informado",IF(T179=0,"Item inexistente (referência inválida)",IF(NOT(ISNUMBER(F179)),"Quantidade não informada",IF(F179&lt;=0,"Quantidade não positiva",IF(G179="","Unidade não informada",IF(NOT(ISNUMBER(H179)),"Unidade a conferir",IF(NOT(ISNUMBER(E179)),"Data de recebimento não informada",IF(AND(ISNUMBER(V179),N(V179)&gt;0,E179&lt;N(V179)),"Data anterior à emissão do MTR",IF(AND(J179="Sim",L179="",M179=""),"Conferido sem evidência identificada",IF(J179&lt;&gt;"Sim","Aguardando conferência",IF(INDEX('ITENS_MTR'!$AM$6:$AM$1005,S179)=1,"Conferido (ver diferença no item)","Conferido"))))))))))))</f>
        <v/>
      </c>
      <c r="Q179" s="96">
        <f>IF(COUNTA(C179,E179:G179,I179:O179)&gt;0,1,0)</f>
        <v>0</v>
      </c>
      <c r="R179" s="96" t="str">
        <f>IF(C179="","",TRIM(LEFT(C179,FIND(" |",C179&amp;" |")-1)))</f>
        <v/>
      </c>
      <c r="S179" s="96" t="str">
        <f>IF(R179="","",IFERROR(MATCH(R179,'ITENS_MTR'!$A$6:$A$1005,0),""))</f>
        <v/>
      </c>
      <c r="T179" s="96">
        <f>IF(S179="",0,IF(INDEX('ITENS_MTR'!$R$6:$R$1005,S179)=1,1,0))</f>
        <v>0</v>
      </c>
      <c r="U179" s="96" t="str">
        <f>IF(T179=1,INDEX('ITENS_MTR'!$T$6:$T$1005,S179),"")</f>
        <v/>
      </c>
      <c r="V179" s="97" t="str">
        <f>IF(N(U179)&gt;0,INDEX('MTRs'!$E$6:$E$505,U179),"")</f>
        <v/>
      </c>
      <c r="W179" s="96" t="str">
        <f>IF(G179="","",IFERROR(IF(ISNUMBER(INDEX(cfg_fac,MATCH(G179,cfg_units,0))),IF(INDEX(cfg_fac,MATCH(G179,cfg_units,0))&gt;0,INDEX(cfg_fac,MATCH(G179,cfg_units,0)),""),""),""))</f>
        <v/>
      </c>
      <c r="X179" s="96">
        <f>IF(AND(ISNUMBER(F179),ISNUMBER(H179)),IF(H179&gt;0,1,0),0)</f>
        <v>0</v>
      </c>
      <c r="Y179" s="96">
        <f>IF(Q179=0,0,IF(OR(T179=0,X179=0,NOT(ISNUMBER(E179)),AND(J179="Sim",L179="",M179=""),AND(ISNUMBER(E179),ISNUMBER(V179),N(V179)&gt;0,E179&lt;N(V179))),1,0))</f>
        <v>0</v>
      </c>
      <c r="Z179" s="96">
        <f>IF(AND(Q179=1,T179=1,X179=1,J179="Sim",OR(L179&lt;&gt;"",M179&lt;&gt;"")),1,0)</f>
        <v>0</v>
      </c>
      <c r="AA179" s="96">
        <f>IF(Q179=0,0,IF(AND(OR(r_ini="",AND(ISNUMBER(E179),E179&gt;=r_ini)),OR(r_fim="",AND(ISNUMBER(E179),E179&lt;=r_fim)),OR(r_un="",r_un="(Todas)",IF(N(U179)&gt;0,INDEX('MTRs'!$G$6:$G$505,U179),"")=r_un),OR(r_de="",r_de="(Todos)",D179=r_de)),1,0))</f>
        <v>0</v>
      </c>
      <c r="AB179" s="96" t="str">
        <f>IF(AA179=1,COUNTIF($AA$6:AA179,1),"")</f>
        <v/>
      </c>
    </row>
    <row r="180">
      <c r="A180" s="89" t="inlineStr">
        <is>
          <t>REC-000175</t>
        </is>
      </c>
      <c r="B180" s="94" t="str">
        <f>IF(T180=1,INDEX('ITENS_MTR'!$S$6:$S$1005,S180)&amp;"","")</f>
        <v/>
      </c>
      <c r="C180" s="91" t="n"/>
      <c r="D180" s="94" t="str">
        <f>IF(N(U180)&gt;0,INDEX('MTRs'!$I$6:$I$505,U180)&amp;"","")</f>
        <v/>
      </c>
      <c r="E180" s="92" t="n"/>
      <c r="F180" s="98" t="n"/>
      <c r="G180" s="91" t="n"/>
      <c r="H180" s="93" t="str">
        <f>IF(Q180=0,"",IF(NOT(ISNUMBER(F180)),"",IF(ISNUMBER(W180),F180*W180,"UNIDADE A CONFERIR")))</f>
        <v/>
      </c>
      <c r="I180" s="91" t="n"/>
      <c r="J180" s="91" t="n"/>
      <c r="K180" s="92" t="n"/>
      <c r="L180" s="91" t="n"/>
      <c r="M180" s="91" t="n"/>
      <c r="N180" s="91" t="n"/>
      <c r="O180" s="91" t="n"/>
      <c r="P180" s="94" t="str">
        <f>IF(Q180=0,"",IF(C180="","Item de resíduo não informado",IF(T180=0,"Item inexistente (referência inválida)",IF(NOT(ISNUMBER(F180)),"Quantidade não informada",IF(F180&lt;=0,"Quantidade não positiva",IF(G180="","Unidade não informada",IF(NOT(ISNUMBER(H180)),"Unidade a conferir",IF(NOT(ISNUMBER(E180)),"Data de recebimento não informada",IF(AND(ISNUMBER(V180),N(V180)&gt;0,E180&lt;N(V180)),"Data anterior à emissão do MTR",IF(AND(J180="Sim",L180="",M180=""),"Conferido sem evidência identificada",IF(J180&lt;&gt;"Sim","Aguardando conferência",IF(INDEX('ITENS_MTR'!$AM$6:$AM$1005,S180)=1,"Conferido (ver diferença no item)","Conferido"))))))))))))</f>
        <v/>
      </c>
      <c r="Q180" s="96">
        <f>IF(COUNTA(C180,E180:G180,I180:O180)&gt;0,1,0)</f>
        <v>0</v>
      </c>
      <c r="R180" s="96" t="str">
        <f>IF(C180="","",TRIM(LEFT(C180,FIND(" |",C180&amp;" |")-1)))</f>
        <v/>
      </c>
      <c r="S180" s="96" t="str">
        <f>IF(R180="","",IFERROR(MATCH(R180,'ITENS_MTR'!$A$6:$A$1005,0),""))</f>
        <v/>
      </c>
      <c r="T180" s="96">
        <f>IF(S180="",0,IF(INDEX('ITENS_MTR'!$R$6:$R$1005,S180)=1,1,0))</f>
        <v>0</v>
      </c>
      <c r="U180" s="96" t="str">
        <f>IF(T180=1,INDEX('ITENS_MTR'!$T$6:$T$1005,S180),"")</f>
        <v/>
      </c>
      <c r="V180" s="97" t="str">
        <f>IF(N(U180)&gt;0,INDEX('MTRs'!$E$6:$E$505,U180),"")</f>
        <v/>
      </c>
      <c r="W180" s="96" t="str">
        <f>IF(G180="","",IFERROR(IF(ISNUMBER(INDEX(cfg_fac,MATCH(G180,cfg_units,0))),IF(INDEX(cfg_fac,MATCH(G180,cfg_units,0))&gt;0,INDEX(cfg_fac,MATCH(G180,cfg_units,0)),""),""),""))</f>
        <v/>
      </c>
      <c r="X180" s="96">
        <f>IF(AND(ISNUMBER(F180),ISNUMBER(H180)),IF(H180&gt;0,1,0),0)</f>
        <v>0</v>
      </c>
      <c r="Y180" s="96">
        <f>IF(Q180=0,0,IF(OR(T180=0,X180=0,NOT(ISNUMBER(E180)),AND(J180="Sim",L180="",M180=""),AND(ISNUMBER(E180),ISNUMBER(V180),N(V180)&gt;0,E180&lt;N(V180))),1,0))</f>
        <v>0</v>
      </c>
      <c r="Z180" s="96">
        <f>IF(AND(Q180=1,T180=1,X180=1,J180="Sim",OR(L180&lt;&gt;"",M180&lt;&gt;"")),1,0)</f>
        <v>0</v>
      </c>
      <c r="AA180" s="96">
        <f>IF(Q180=0,0,IF(AND(OR(r_ini="",AND(ISNUMBER(E180),E180&gt;=r_ini)),OR(r_fim="",AND(ISNUMBER(E180),E180&lt;=r_fim)),OR(r_un="",r_un="(Todas)",IF(N(U180)&gt;0,INDEX('MTRs'!$G$6:$G$505,U180),"")=r_un),OR(r_de="",r_de="(Todos)",D180=r_de)),1,0))</f>
        <v>0</v>
      </c>
      <c r="AB180" s="96" t="str">
        <f>IF(AA180=1,COUNTIF($AA$6:AA180,1),"")</f>
        <v/>
      </c>
    </row>
    <row r="181">
      <c r="A181" s="89" t="inlineStr">
        <is>
          <t>REC-000176</t>
        </is>
      </c>
      <c r="B181" s="94" t="str">
        <f>IF(T181=1,INDEX('ITENS_MTR'!$S$6:$S$1005,S181)&amp;"","")</f>
        <v/>
      </c>
      <c r="C181" s="91" t="n"/>
      <c r="D181" s="94" t="str">
        <f>IF(N(U181)&gt;0,INDEX('MTRs'!$I$6:$I$505,U181)&amp;"","")</f>
        <v/>
      </c>
      <c r="E181" s="92" t="n"/>
      <c r="F181" s="98" t="n"/>
      <c r="G181" s="91" t="n"/>
      <c r="H181" s="93" t="str">
        <f>IF(Q181=0,"",IF(NOT(ISNUMBER(F181)),"",IF(ISNUMBER(W181),F181*W181,"UNIDADE A CONFERIR")))</f>
        <v/>
      </c>
      <c r="I181" s="91" t="n"/>
      <c r="J181" s="91" t="n"/>
      <c r="K181" s="92" t="n"/>
      <c r="L181" s="91" t="n"/>
      <c r="M181" s="91" t="n"/>
      <c r="N181" s="91" t="n"/>
      <c r="O181" s="91" t="n"/>
      <c r="P181" s="94" t="str">
        <f>IF(Q181=0,"",IF(C181="","Item de resíduo não informado",IF(T181=0,"Item inexistente (referência inválida)",IF(NOT(ISNUMBER(F181)),"Quantidade não informada",IF(F181&lt;=0,"Quantidade não positiva",IF(G181="","Unidade não informada",IF(NOT(ISNUMBER(H181)),"Unidade a conferir",IF(NOT(ISNUMBER(E181)),"Data de recebimento não informada",IF(AND(ISNUMBER(V181),N(V181)&gt;0,E181&lt;N(V181)),"Data anterior à emissão do MTR",IF(AND(J181="Sim",L181="",M181=""),"Conferido sem evidência identificada",IF(J181&lt;&gt;"Sim","Aguardando conferência",IF(INDEX('ITENS_MTR'!$AM$6:$AM$1005,S181)=1,"Conferido (ver diferença no item)","Conferido"))))))))))))</f>
        <v/>
      </c>
      <c r="Q181" s="96">
        <f>IF(COUNTA(C181,E181:G181,I181:O181)&gt;0,1,0)</f>
        <v>0</v>
      </c>
      <c r="R181" s="96" t="str">
        <f>IF(C181="","",TRIM(LEFT(C181,FIND(" |",C181&amp;" |")-1)))</f>
        <v/>
      </c>
      <c r="S181" s="96" t="str">
        <f>IF(R181="","",IFERROR(MATCH(R181,'ITENS_MTR'!$A$6:$A$1005,0),""))</f>
        <v/>
      </c>
      <c r="T181" s="96">
        <f>IF(S181="",0,IF(INDEX('ITENS_MTR'!$R$6:$R$1005,S181)=1,1,0))</f>
        <v>0</v>
      </c>
      <c r="U181" s="96" t="str">
        <f>IF(T181=1,INDEX('ITENS_MTR'!$T$6:$T$1005,S181),"")</f>
        <v/>
      </c>
      <c r="V181" s="97" t="str">
        <f>IF(N(U181)&gt;0,INDEX('MTRs'!$E$6:$E$505,U181),"")</f>
        <v/>
      </c>
      <c r="W181" s="96" t="str">
        <f>IF(G181="","",IFERROR(IF(ISNUMBER(INDEX(cfg_fac,MATCH(G181,cfg_units,0))),IF(INDEX(cfg_fac,MATCH(G181,cfg_units,0))&gt;0,INDEX(cfg_fac,MATCH(G181,cfg_units,0)),""),""),""))</f>
        <v/>
      </c>
      <c r="X181" s="96">
        <f>IF(AND(ISNUMBER(F181),ISNUMBER(H181)),IF(H181&gt;0,1,0),0)</f>
        <v>0</v>
      </c>
      <c r="Y181" s="96">
        <f>IF(Q181=0,0,IF(OR(T181=0,X181=0,NOT(ISNUMBER(E181)),AND(J181="Sim",L181="",M181=""),AND(ISNUMBER(E181),ISNUMBER(V181),N(V181)&gt;0,E181&lt;N(V181))),1,0))</f>
        <v>0</v>
      </c>
      <c r="Z181" s="96">
        <f>IF(AND(Q181=1,T181=1,X181=1,J181="Sim",OR(L181&lt;&gt;"",M181&lt;&gt;"")),1,0)</f>
        <v>0</v>
      </c>
      <c r="AA181" s="96">
        <f>IF(Q181=0,0,IF(AND(OR(r_ini="",AND(ISNUMBER(E181),E181&gt;=r_ini)),OR(r_fim="",AND(ISNUMBER(E181),E181&lt;=r_fim)),OR(r_un="",r_un="(Todas)",IF(N(U181)&gt;0,INDEX('MTRs'!$G$6:$G$505,U181),"")=r_un),OR(r_de="",r_de="(Todos)",D181=r_de)),1,0))</f>
        <v>0</v>
      </c>
      <c r="AB181" s="96" t="str">
        <f>IF(AA181=1,COUNTIF($AA$6:AA181,1),"")</f>
        <v/>
      </c>
    </row>
    <row r="182">
      <c r="A182" s="89" t="inlineStr">
        <is>
          <t>REC-000177</t>
        </is>
      </c>
      <c r="B182" s="94" t="str">
        <f>IF(T182=1,INDEX('ITENS_MTR'!$S$6:$S$1005,S182)&amp;"","")</f>
        <v/>
      </c>
      <c r="C182" s="91" t="n"/>
      <c r="D182" s="94" t="str">
        <f>IF(N(U182)&gt;0,INDEX('MTRs'!$I$6:$I$505,U182)&amp;"","")</f>
        <v/>
      </c>
      <c r="E182" s="92" t="n"/>
      <c r="F182" s="98" t="n"/>
      <c r="G182" s="91" t="n"/>
      <c r="H182" s="93" t="str">
        <f>IF(Q182=0,"",IF(NOT(ISNUMBER(F182)),"",IF(ISNUMBER(W182),F182*W182,"UNIDADE A CONFERIR")))</f>
        <v/>
      </c>
      <c r="I182" s="91" t="n"/>
      <c r="J182" s="91" t="n"/>
      <c r="K182" s="92" t="n"/>
      <c r="L182" s="91" t="n"/>
      <c r="M182" s="91" t="n"/>
      <c r="N182" s="91" t="n"/>
      <c r="O182" s="91" t="n"/>
      <c r="P182" s="94" t="str">
        <f>IF(Q182=0,"",IF(C182="","Item de resíduo não informado",IF(T182=0,"Item inexistente (referência inválida)",IF(NOT(ISNUMBER(F182)),"Quantidade não informada",IF(F182&lt;=0,"Quantidade não positiva",IF(G182="","Unidade não informada",IF(NOT(ISNUMBER(H182)),"Unidade a conferir",IF(NOT(ISNUMBER(E182)),"Data de recebimento não informada",IF(AND(ISNUMBER(V182),N(V182)&gt;0,E182&lt;N(V182)),"Data anterior à emissão do MTR",IF(AND(J182="Sim",L182="",M182=""),"Conferido sem evidência identificada",IF(J182&lt;&gt;"Sim","Aguardando conferência",IF(INDEX('ITENS_MTR'!$AM$6:$AM$1005,S182)=1,"Conferido (ver diferença no item)","Conferido"))))))))))))</f>
        <v/>
      </c>
      <c r="Q182" s="96">
        <f>IF(COUNTA(C182,E182:G182,I182:O182)&gt;0,1,0)</f>
        <v>0</v>
      </c>
      <c r="R182" s="96" t="str">
        <f>IF(C182="","",TRIM(LEFT(C182,FIND(" |",C182&amp;" |")-1)))</f>
        <v/>
      </c>
      <c r="S182" s="96" t="str">
        <f>IF(R182="","",IFERROR(MATCH(R182,'ITENS_MTR'!$A$6:$A$1005,0),""))</f>
        <v/>
      </c>
      <c r="T182" s="96">
        <f>IF(S182="",0,IF(INDEX('ITENS_MTR'!$R$6:$R$1005,S182)=1,1,0))</f>
        <v>0</v>
      </c>
      <c r="U182" s="96" t="str">
        <f>IF(T182=1,INDEX('ITENS_MTR'!$T$6:$T$1005,S182),"")</f>
        <v/>
      </c>
      <c r="V182" s="97" t="str">
        <f>IF(N(U182)&gt;0,INDEX('MTRs'!$E$6:$E$505,U182),"")</f>
        <v/>
      </c>
      <c r="W182" s="96" t="str">
        <f>IF(G182="","",IFERROR(IF(ISNUMBER(INDEX(cfg_fac,MATCH(G182,cfg_units,0))),IF(INDEX(cfg_fac,MATCH(G182,cfg_units,0))&gt;0,INDEX(cfg_fac,MATCH(G182,cfg_units,0)),""),""),""))</f>
        <v/>
      </c>
      <c r="X182" s="96">
        <f>IF(AND(ISNUMBER(F182),ISNUMBER(H182)),IF(H182&gt;0,1,0),0)</f>
        <v>0</v>
      </c>
      <c r="Y182" s="96">
        <f>IF(Q182=0,0,IF(OR(T182=0,X182=0,NOT(ISNUMBER(E182)),AND(J182="Sim",L182="",M182=""),AND(ISNUMBER(E182),ISNUMBER(V182),N(V182)&gt;0,E182&lt;N(V182))),1,0))</f>
        <v>0</v>
      </c>
      <c r="Z182" s="96">
        <f>IF(AND(Q182=1,T182=1,X182=1,J182="Sim",OR(L182&lt;&gt;"",M182&lt;&gt;"")),1,0)</f>
        <v>0</v>
      </c>
      <c r="AA182" s="96">
        <f>IF(Q182=0,0,IF(AND(OR(r_ini="",AND(ISNUMBER(E182),E182&gt;=r_ini)),OR(r_fim="",AND(ISNUMBER(E182),E182&lt;=r_fim)),OR(r_un="",r_un="(Todas)",IF(N(U182)&gt;0,INDEX('MTRs'!$G$6:$G$505,U182),"")=r_un),OR(r_de="",r_de="(Todos)",D182=r_de)),1,0))</f>
        <v>0</v>
      </c>
      <c r="AB182" s="96" t="str">
        <f>IF(AA182=1,COUNTIF($AA$6:AA182,1),"")</f>
        <v/>
      </c>
    </row>
    <row r="183">
      <c r="A183" s="89" t="inlineStr">
        <is>
          <t>REC-000178</t>
        </is>
      </c>
      <c r="B183" s="94" t="str">
        <f>IF(T183=1,INDEX('ITENS_MTR'!$S$6:$S$1005,S183)&amp;"","")</f>
        <v/>
      </c>
      <c r="C183" s="91" t="n"/>
      <c r="D183" s="94" t="str">
        <f>IF(N(U183)&gt;0,INDEX('MTRs'!$I$6:$I$505,U183)&amp;"","")</f>
        <v/>
      </c>
      <c r="E183" s="92" t="n"/>
      <c r="F183" s="98" t="n"/>
      <c r="G183" s="91" t="n"/>
      <c r="H183" s="93" t="str">
        <f>IF(Q183=0,"",IF(NOT(ISNUMBER(F183)),"",IF(ISNUMBER(W183),F183*W183,"UNIDADE A CONFERIR")))</f>
        <v/>
      </c>
      <c r="I183" s="91" t="n"/>
      <c r="J183" s="91" t="n"/>
      <c r="K183" s="92" t="n"/>
      <c r="L183" s="91" t="n"/>
      <c r="M183" s="91" t="n"/>
      <c r="N183" s="91" t="n"/>
      <c r="O183" s="91" t="n"/>
      <c r="P183" s="94" t="str">
        <f>IF(Q183=0,"",IF(C183="","Item de resíduo não informado",IF(T183=0,"Item inexistente (referência inválida)",IF(NOT(ISNUMBER(F183)),"Quantidade não informada",IF(F183&lt;=0,"Quantidade não positiva",IF(G183="","Unidade não informada",IF(NOT(ISNUMBER(H183)),"Unidade a conferir",IF(NOT(ISNUMBER(E183)),"Data de recebimento não informada",IF(AND(ISNUMBER(V183),N(V183)&gt;0,E183&lt;N(V183)),"Data anterior à emissão do MTR",IF(AND(J183="Sim",L183="",M183=""),"Conferido sem evidência identificada",IF(J183&lt;&gt;"Sim","Aguardando conferência",IF(INDEX('ITENS_MTR'!$AM$6:$AM$1005,S183)=1,"Conferido (ver diferença no item)","Conferido"))))))))))))</f>
        <v/>
      </c>
      <c r="Q183" s="96">
        <f>IF(COUNTA(C183,E183:G183,I183:O183)&gt;0,1,0)</f>
        <v>0</v>
      </c>
      <c r="R183" s="96" t="str">
        <f>IF(C183="","",TRIM(LEFT(C183,FIND(" |",C183&amp;" |")-1)))</f>
        <v/>
      </c>
      <c r="S183" s="96" t="str">
        <f>IF(R183="","",IFERROR(MATCH(R183,'ITENS_MTR'!$A$6:$A$1005,0),""))</f>
        <v/>
      </c>
      <c r="T183" s="96">
        <f>IF(S183="",0,IF(INDEX('ITENS_MTR'!$R$6:$R$1005,S183)=1,1,0))</f>
        <v>0</v>
      </c>
      <c r="U183" s="96" t="str">
        <f>IF(T183=1,INDEX('ITENS_MTR'!$T$6:$T$1005,S183),"")</f>
        <v/>
      </c>
      <c r="V183" s="97" t="str">
        <f>IF(N(U183)&gt;0,INDEX('MTRs'!$E$6:$E$505,U183),"")</f>
        <v/>
      </c>
      <c r="W183" s="96" t="str">
        <f>IF(G183="","",IFERROR(IF(ISNUMBER(INDEX(cfg_fac,MATCH(G183,cfg_units,0))),IF(INDEX(cfg_fac,MATCH(G183,cfg_units,0))&gt;0,INDEX(cfg_fac,MATCH(G183,cfg_units,0)),""),""),""))</f>
        <v/>
      </c>
      <c r="X183" s="96">
        <f>IF(AND(ISNUMBER(F183),ISNUMBER(H183)),IF(H183&gt;0,1,0),0)</f>
        <v>0</v>
      </c>
      <c r="Y183" s="96">
        <f>IF(Q183=0,0,IF(OR(T183=0,X183=0,NOT(ISNUMBER(E183)),AND(J183="Sim",L183="",M183=""),AND(ISNUMBER(E183),ISNUMBER(V183),N(V183)&gt;0,E183&lt;N(V183))),1,0))</f>
        <v>0</v>
      </c>
      <c r="Z183" s="96">
        <f>IF(AND(Q183=1,T183=1,X183=1,J183="Sim",OR(L183&lt;&gt;"",M183&lt;&gt;"")),1,0)</f>
        <v>0</v>
      </c>
      <c r="AA183" s="96">
        <f>IF(Q183=0,0,IF(AND(OR(r_ini="",AND(ISNUMBER(E183),E183&gt;=r_ini)),OR(r_fim="",AND(ISNUMBER(E183),E183&lt;=r_fim)),OR(r_un="",r_un="(Todas)",IF(N(U183)&gt;0,INDEX('MTRs'!$G$6:$G$505,U183),"")=r_un),OR(r_de="",r_de="(Todos)",D183=r_de)),1,0))</f>
        <v>0</v>
      </c>
      <c r="AB183" s="96" t="str">
        <f>IF(AA183=1,COUNTIF($AA$6:AA183,1),"")</f>
        <v/>
      </c>
    </row>
    <row r="184">
      <c r="A184" s="89" t="inlineStr">
        <is>
          <t>REC-000179</t>
        </is>
      </c>
      <c r="B184" s="94" t="str">
        <f>IF(T184=1,INDEX('ITENS_MTR'!$S$6:$S$1005,S184)&amp;"","")</f>
        <v/>
      </c>
      <c r="C184" s="91" t="n"/>
      <c r="D184" s="94" t="str">
        <f>IF(N(U184)&gt;0,INDEX('MTRs'!$I$6:$I$505,U184)&amp;"","")</f>
        <v/>
      </c>
      <c r="E184" s="92" t="n"/>
      <c r="F184" s="98" t="n"/>
      <c r="G184" s="91" t="n"/>
      <c r="H184" s="93" t="str">
        <f>IF(Q184=0,"",IF(NOT(ISNUMBER(F184)),"",IF(ISNUMBER(W184),F184*W184,"UNIDADE A CONFERIR")))</f>
        <v/>
      </c>
      <c r="I184" s="91" t="n"/>
      <c r="J184" s="91" t="n"/>
      <c r="K184" s="92" t="n"/>
      <c r="L184" s="91" t="n"/>
      <c r="M184" s="91" t="n"/>
      <c r="N184" s="91" t="n"/>
      <c r="O184" s="91" t="n"/>
      <c r="P184" s="94" t="str">
        <f>IF(Q184=0,"",IF(C184="","Item de resíduo não informado",IF(T184=0,"Item inexistente (referência inválida)",IF(NOT(ISNUMBER(F184)),"Quantidade não informada",IF(F184&lt;=0,"Quantidade não positiva",IF(G184="","Unidade não informada",IF(NOT(ISNUMBER(H184)),"Unidade a conferir",IF(NOT(ISNUMBER(E184)),"Data de recebimento não informada",IF(AND(ISNUMBER(V184),N(V184)&gt;0,E184&lt;N(V184)),"Data anterior à emissão do MTR",IF(AND(J184="Sim",L184="",M184=""),"Conferido sem evidência identificada",IF(J184&lt;&gt;"Sim","Aguardando conferência",IF(INDEX('ITENS_MTR'!$AM$6:$AM$1005,S184)=1,"Conferido (ver diferença no item)","Conferido"))))))))))))</f>
        <v/>
      </c>
      <c r="Q184" s="96">
        <f>IF(COUNTA(C184,E184:G184,I184:O184)&gt;0,1,0)</f>
        <v>0</v>
      </c>
      <c r="R184" s="96" t="str">
        <f>IF(C184="","",TRIM(LEFT(C184,FIND(" |",C184&amp;" |")-1)))</f>
        <v/>
      </c>
      <c r="S184" s="96" t="str">
        <f>IF(R184="","",IFERROR(MATCH(R184,'ITENS_MTR'!$A$6:$A$1005,0),""))</f>
        <v/>
      </c>
      <c r="T184" s="96">
        <f>IF(S184="",0,IF(INDEX('ITENS_MTR'!$R$6:$R$1005,S184)=1,1,0))</f>
        <v>0</v>
      </c>
      <c r="U184" s="96" t="str">
        <f>IF(T184=1,INDEX('ITENS_MTR'!$T$6:$T$1005,S184),"")</f>
        <v/>
      </c>
      <c r="V184" s="97" t="str">
        <f>IF(N(U184)&gt;0,INDEX('MTRs'!$E$6:$E$505,U184),"")</f>
        <v/>
      </c>
      <c r="W184" s="96" t="str">
        <f>IF(G184="","",IFERROR(IF(ISNUMBER(INDEX(cfg_fac,MATCH(G184,cfg_units,0))),IF(INDEX(cfg_fac,MATCH(G184,cfg_units,0))&gt;0,INDEX(cfg_fac,MATCH(G184,cfg_units,0)),""),""),""))</f>
        <v/>
      </c>
      <c r="X184" s="96">
        <f>IF(AND(ISNUMBER(F184),ISNUMBER(H184)),IF(H184&gt;0,1,0),0)</f>
        <v>0</v>
      </c>
      <c r="Y184" s="96">
        <f>IF(Q184=0,0,IF(OR(T184=0,X184=0,NOT(ISNUMBER(E184)),AND(J184="Sim",L184="",M184=""),AND(ISNUMBER(E184),ISNUMBER(V184),N(V184)&gt;0,E184&lt;N(V184))),1,0))</f>
        <v>0</v>
      </c>
      <c r="Z184" s="96">
        <f>IF(AND(Q184=1,T184=1,X184=1,J184="Sim",OR(L184&lt;&gt;"",M184&lt;&gt;"")),1,0)</f>
        <v>0</v>
      </c>
      <c r="AA184" s="96">
        <f>IF(Q184=0,0,IF(AND(OR(r_ini="",AND(ISNUMBER(E184),E184&gt;=r_ini)),OR(r_fim="",AND(ISNUMBER(E184),E184&lt;=r_fim)),OR(r_un="",r_un="(Todas)",IF(N(U184)&gt;0,INDEX('MTRs'!$G$6:$G$505,U184),"")=r_un),OR(r_de="",r_de="(Todos)",D184=r_de)),1,0))</f>
        <v>0</v>
      </c>
      <c r="AB184" s="96" t="str">
        <f>IF(AA184=1,COUNTIF($AA$6:AA184,1),"")</f>
        <v/>
      </c>
    </row>
    <row r="185">
      <c r="A185" s="89" t="inlineStr">
        <is>
          <t>REC-000180</t>
        </is>
      </c>
      <c r="B185" s="94" t="str">
        <f>IF(T185=1,INDEX('ITENS_MTR'!$S$6:$S$1005,S185)&amp;"","")</f>
        <v/>
      </c>
      <c r="C185" s="91" t="n"/>
      <c r="D185" s="94" t="str">
        <f>IF(N(U185)&gt;0,INDEX('MTRs'!$I$6:$I$505,U185)&amp;"","")</f>
        <v/>
      </c>
      <c r="E185" s="92" t="n"/>
      <c r="F185" s="98" t="n"/>
      <c r="G185" s="91" t="n"/>
      <c r="H185" s="93" t="str">
        <f>IF(Q185=0,"",IF(NOT(ISNUMBER(F185)),"",IF(ISNUMBER(W185),F185*W185,"UNIDADE A CONFERIR")))</f>
        <v/>
      </c>
      <c r="I185" s="91" t="n"/>
      <c r="J185" s="91" t="n"/>
      <c r="K185" s="92" t="n"/>
      <c r="L185" s="91" t="n"/>
      <c r="M185" s="91" t="n"/>
      <c r="N185" s="91" t="n"/>
      <c r="O185" s="91" t="n"/>
      <c r="P185" s="94" t="str">
        <f>IF(Q185=0,"",IF(C185="","Item de resíduo não informado",IF(T185=0,"Item inexistente (referência inválida)",IF(NOT(ISNUMBER(F185)),"Quantidade não informada",IF(F185&lt;=0,"Quantidade não positiva",IF(G185="","Unidade não informada",IF(NOT(ISNUMBER(H185)),"Unidade a conferir",IF(NOT(ISNUMBER(E185)),"Data de recebimento não informada",IF(AND(ISNUMBER(V185),N(V185)&gt;0,E185&lt;N(V185)),"Data anterior à emissão do MTR",IF(AND(J185="Sim",L185="",M185=""),"Conferido sem evidência identificada",IF(J185&lt;&gt;"Sim","Aguardando conferência",IF(INDEX('ITENS_MTR'!$AM$6:$AM$1005,S185)=1,"Conferido (ver diferença no item)","Conferido"))))))))))))</f>
        <v/>
      </c>
      <c r="Q185" s="96">
        <f>IF(COUNTA(C185,E185:G185,I185:O185)&gt;0,1,0)</f>
        <v>0</v>
      </c>
      <c r="R185" s="96" t="str">
        <f>IF(C185="","",TRIM(LEFT(C185,FIND(" |",C185&amp;" |")-1)))</f>
        <v/>
      </c>
      <c r="S185" s="96" t="str">
        <f>IF(R185="","",IFERROR(MATCH(R185,'ITENS_MTR'!$A$6:$A$1005,0),""))</f>
        <v/>
      </c>
      <c r="T185" s="96">
        <f>IF(S185="",0,IF(INDEX('ITENS_MTR'!$R$6:$R$1005,S185)=1,1,0))</f>
        <v>0</v>
      </c>
      <c r="U185" s="96" t="str">
        <f>IF(T185=1,INDEX('ITENS_MTR'!$T$6:$T$1005,S185),"")</f>
        <v/>
      </c>
      <c r="V185" s="97" t="str">
        <f>IF(N(U185)&gt;0,INDEX('MTRs'!$E$6:$E$505,U185),"")</f>
        <v/>
      </c>
      <c r="W185" s="96" t="str">
        <f>IF(G185="","",IFERROR(IF(ISNUMBER(INDEX(cfg_fac,MATCH(G185,cfg_units,0))),IF(INDEX(cfg_fac,MATCH(G185,cfg_units,0))&gt;0,INDEX(cfg_fac,MATCH(G185,cfg_units,0)),""),""),""))</f>
        <v/>
      </c>
      <c r="X185" s="96">
        <f>IF(AND(ISNUMBER(F185),ISNUMBER(H185)),IF(H185&gt;0,1,0),0)</f>
        <v>0</v>
      </c>
      <c r="Y185" s="96">
        <f>IF(Q185=0,0,IF(OR(T185=0,X185=0,NOT(ISNUMBER(E185)),AND(J185="Sim",L185="",M185=""),AND(ISNUMBER(E185),ISNUMBER(V185),N(V185)&gt;0,E185&lt;N(V185))),1,0))</f>
        <v>0</v>
      </c>
      <c r="Z185" s="96">
        <f>IF(AND(Q185=1,T185=1,X185=1,J185="Sim",OR(L185&lt;&gt;"",M185&lt;&gt;"")),1,0)</f>
        <v>0</v>
      </c>
      <c r="AA185" s="96">
        <f>IF(Q185=0,0,IF(AND(OR(r_ini="",AND(ISNUMBER(E185),E185&gt;=r_ini)),OR(r_fim="",AND(ISNUMBER(E185),E185&lt;=r_fim)),OR(r_un="",r_un="(Todas)",IF(N(U185)&gt;0,INDEX('MTRs'!$G$6:$G$505,U185),"")=r_un),OR(r_de="",r_de="(Todos)",D185=r_de)),1,0))</f>
        <v>0</v>
      </c>
      <c r="AB185" s="96" t="str">
        <f>IF(AA185=1,COUNTIF($AA$6:AA185,1),"")</f>
        <v/>
      </c>
    </row>
    <row r="186">
      <c r="A186" s="89" t="inlineStr">
        <is>
          <t>REC-000181</t>
        </is>
      </c>
      <c r="B186" s="94" t="str">
        <f>IF(T186=1,INDEX('ITENS_MTR'!$S$6:$S$1005,S186)&amp;"","")</f>
        <v/>
      </c>
      <c r="C186" s="91" t="n"/>
      <c r="D186" s="94" t="str">
        <f>IF(N(U186)&gt;0,INDEX('MTRs'!$I$6:$I$505,U186)&amp;"","")</f>
        <v/>
      </c>
      <c r="E186" s="92" t="n"/>
      <c r="F186" s="98" t="n"/>
      <c r="G186" s="91" t="n"/>
      <c r="H186" s="93" t="str">
        <f>IF(Q186=0,"",IF(NOT(ISNUMBER(F186)),"",IF(ISNUMBER(W186),F186*W186,"UNIDADE A CONFERIR")))</f>
        <v/>
      </c>
      <c r="I186" s="91" t="n"/>
      <c r="J186" s="91" t="n"/>
      <c r="K186" s="92" t="n"/>
      <c r="L186" s="91" t="n"/>
      <c r="M186" s="91" t="n"/>
      <c r="N186" s="91" t="n"/>
      <c r="O186" s="91" t="n"/>
      <c r="P186" s="94" t="str">
        <f>IF(Q186=0,"",IF(C186="","Item de resíduo não informado",IF(T186=0,"Item inexistente (referência inválida)",IF(NOT(ISNUMBER(F186)),"Quantidade não informada",IF(F186&lt;=0,"Quantidade não positiva",IF(G186="","Unidade não informada",IF(NOT(ISNUMBER(H186)),"Unidade a conferir",IF(NOT(ISNUMBER(E186)),"Data de recebimento não informada",IF(AND(ISNUMBER(V186),N(V186)&gt;0,E186&lt;N(V186)),"Data anterior à emissão do MTR",IF(AND(J186="Sim",L186="",M186=""),"Conferido sem evidência identificada",IF(J186&lt;&gt;"Sim","Aguardando conferência",IF(INDEX('ITENS_MTR'!$AM$6:$AM$1005,S186)=1,"Conferido (ver diferença no item)","Conferido"))))))))))))</f>
        <v/>
      </c>
      <c r="Q186" s="96">
        <f>IF(COUNTA(C186,E186:G186,I186:O186)&gt;0,1,0)</f>
        <v>0</v>
      </c>
      <c r="R186" s="96" t="str">
        <f>IF(C186="","",TRIM(LEFT(C186,FIND(" |",C186&amp;" |")-1)))</f>
        <v/>
      </c>
      <c r="S186" s="96" t="str">
        <f>IF(R186="","",IFERROR(MATCH(R186,'ITENS_MTR'!$A$6:$A$1005,0),""))</f>
        <v/>
      </c>
      <c r="T186" s="96">
        <f>IF(S186="",0,IF(INDEX('ITENS_MTR'!$R$6:$R$1005,S186)=1,1,0))</f>
        <v>0</v>
      </c>
      <c r="U186" s="96" t="str">
        <f>IF(T186=1,INDEX('ITENS_MTR'!$T$6:$T$1005,S186),"")</f>
        <v/>
      </c>
      <c r="V186" s="97" t="str">
        <f>IF(N(U186)&gt;0,INDEX('MTRs'!$E$6:$E$505,U186),"")</f>
        <v/>
      </c>
      <c r="W186" s="96" t="str">
        <f>IF(G186="","",IFERROR(IF(ISNUMBER(INDEX(cfg_fac,MATCH(G186,cfg_units,0))),IF(INDEX(cfg_fac,MATCH(G186,cfg_units,0))&gt;0,INDEX(cfg_fac,MATCH(G186,cfg_units,0)),""),""),""))</f>
        <v/>
      </c>
      <c r="X186" s="96">
        <f>IF(AND(ISNUMBER(F186),ISNUMBER(H186)),IF(H186&gt;0,1,0),0)</f>
        <v>0</v>
      </c>
      <c r="Y186" s="96">
        <f>IF(Q186=0,0,IF(OR(T186=0,X186=0,NOT(ISNUMBER(E186)),AND(J186="Sim",L186="",M186=""),AND(ISNUMBER(E186),ISNUMBER(V186),N(V186)&gt;0,E186&lt;N(V186))),1,0))</f>
        <v>0</v>
      </c>
      <c r="Z186" s="96">
        <f>IF(AND(Q186=1,T186=1,X186=1,J186="Sim",OR(L186&lt;&gt;"",M186&lt;&gt;"")),1,0)</f>
        <v>0</v>
      </c>
      <c r="AA186" s="96">
        <f>IF(Q186=0,0,IF(AND(OR(r_ini="",AND(ISNUMBER(E186),E186&gt;=r_ini)),OR(r_fim="",AND(ISNUMBER(E186),E186&lt;=r_fim)),OR(r_un="",r_un="(Todas)",IF(N(U186)&gt;0,INDEX('MTRs'!$G$6:$G$505,U186),"")=r_un),OR(r_de="",r_de="(Todos)",D186=r_de)),1,0))</f>
        <v>0</v>
      </c>
      <c r="AB186" s="96" t="str">
        <f>IF(AA186=1,COUNTIF($AA$6:AA186,1),"")</f>
        <v/>
      </c>
    </row>
    <row r="187">
      <c r="A187" s="89" t="inlineStr">
        <is>
          <t>REC-000182</t>
        </is>
      </c>
      <c r="B187" s="94" t="str">
        <f>IF(T187=1,INDEX('ITENS_MTR'!$S$6:$S$1005,S187)&amp;"","")</f>
        <v/>
      </c>
      <c r="C187" s="91" t="n"/>
      <c r="D187" s="94" t="str">
        <f>IF(N(U187)&gt;0,INDEX('MTRs'!$I$6:$I$505,U187)&amp;"","")</f>
        <v/>
      </c>
      <c r="E187" s="92" t="n"/>
      <c r="F187" s="98" t="n"/>
      <c r="G187" s="91" t="n"/>
      <c r="H187" s="93" t="str">
        <f>IF(Q187=0,"",IF(NOT(ISNUMBER(F187)),"",IF(ISNUMBER(W187),F187*W187,"UNIDADE A CONFERIR")))</f>
        <v/>
      </c>
      <c r="I187" s="91" t="n"/>
      <c r="J187" s="91" t="n"/>
      <c r="K187" s="92" t="n"/>
      <c r="L187" s="91" t="n"/>
      <c r="M187" s="91" t="n"/>
      <c r="N187" s="91" t="n"/>
      <c r="O187" s="91" t="n"/>
      <c r="P187" s="94" t="str">
        <f>IF(Q187=0,"",IF(C187="","Item de resíduo não informado",IF(T187=0,"Item inexistente (referência inválida)",IF(NOT(ISNUMBER(F187)),"Quantidade não informada",IF(F187&lt;=0,"Quantidade não positiva",IF(G187="","Unidade não informada",IF(NOT(ISNUMBER(H187)),"Unidade a conferir",IF(NOT(ISNUMBER(E187)),"Data de recebimento não informada",IF(AND(ISNUMBER(V187),N(V187)&gt;0,E187&lt;N(V187)),"Data anterior à emissão do MTR",IF(AND(J187="Sim",L187="",M187=""),"Conferido sem evidência identificada",IF(J187&lt;&gt;"Sim","Aguardando conferência",IF(INDEX('ITENS_MTR'!$AM$6:$AM$1005,S187)=1,"Conferido (ver diferença no item)","Conferido"))))))))))))</f>
        <v/>
      </c>
      <c r="Q187" s="96">
        <f>IF(COUNTA(C187,E187:G187,I187:O187)&gt;0,1,0)</f>
        <v>0</v>
      </c>
      <c r="R187" s="96" t="str">
        <f>IF(C187="","",TRIM(LEFT(C187,FIND(" |",C187&amp;" |")-1)))</f>
        <v/>
      </c>
      <c r="S187" s="96" t="str">
        <f>IF(R187="","",IFERROR(MATCH(R187,'ITENS_MTR'!$A$6:$A$1005,0),""))</f>
        <v/>
      </c>
      <c r="T187" s="96">
        <f>IF(S187="",0,IF(INDEX('ITENS_MTR'!$R$6:$R$1005,S187)=1,1,0))</f>
        <v>0</v>
      </c>
      <c r="U187" s="96" t="str">
        <f>IF(T187=1,INDEX('ITENS_MTR'!$T$6:$T$1005,S187),"")</f>
        <v/>
      </c>
      <c r="V187" s="97" t="str">
        <f>IF(N(U187)&gt;0,INDEX('MTRs'!$E$6:$E$505,U187),"")</f>
        <v/>
      </c>
      <c r="W187" s="96" t="str">
        <f>IF(G187="","",IFERROR(IF(ISNUMBER(INDEX(cfg_fac,MATCH(G187,cfg_units,0))),IF(INDEX(cfg_fac,MATCH(G187,cfg_units,0))&gt;0,INDEX(cfg_fac,MATCH(G187,cfg_units,0)),""),""),""))</f>
        <v/>
      </c>
      <c r="X187" s="96">
        <f>IF(AND(ISNUMBER(F187),ISNUMBER(H187)),IF(H187&gt;0,1,0),0)</f>
        <v>0</v>
      </c>
      <c r="Y187" s="96">
        <f>IF(Q187=0,0,IF(OR(T187=0,X187=0,NOT(ISNUMBER(E187)),AND(J187="Sim",L187="",M187=""),AND(ISNUMBER(E187),ISNUMBER(V187),N(V187)&gt;0,E187&lt;N(V187))),1,0))</f>
        <v>0</v>
      </c>
      <c r="Z187" s="96">
        <f>IF(AND(Q187=1,T187=1,X187=1,J187="Sim",OR(L187&lt;&gt;"",M187&lt;&gt;"")),1,0)</f>
        <v>0</v>
      </c>
      <c r="AA187" s="96">
        <f>IF(Q187=0,0,IF(AND(OR(r_ini="",AND(ISNUMBER(E187),E187&gt;=r_ini)),OR(r_fim="",AND(ISNUMBER(E187),E187&lt;=r_fim)),OR(r_un="",r_un="(Todas)",IF(N(U187)&gt;0,INDEX('MTRs'!$G$6:$G$505,U187),"")=r_un),OR(r_de="",r_de="(Todos)",D187=r_de)),1,0))</f>
        <v>0</v>
      </c>
      <c r="AB187" s="96" t="str">
        <f>IF(AA187=1,COUNTIF($AA$6:AA187,1),"")</f>
        <v/>
      </c>
    </row>
    <row r="188">
      <c r="A188" s="89" t="inlineStr">
        <is>
          <t>REC-000183</t>
        </is>
      </c>
      <c r="B188" s="94" t="str">
        <f>IF(T188=1,INDEX('ITENS_MTR'!$S$6:$S$1005,S188)&amp;"","")</f>
        <v/>
      </c>
      <c r="C188" s="91" t="n"/>
      <c r="D188" s="94" t="str">
        <f>IF(N(U188)&gt;0,INDEX('MTRs'!$I$6:$I$505,U188)&amp;"","")</f>
        <v/>
      </c>
      <c r="E188" s="92" t="n"/>
      <c r="F188" s="98" t="n"/>
      <c r="G188" s="91" t="n"/>
      <c r="H188" s="93" t="str">
        <f>IF(Q188=0,"",IF(NOT(ISNUMBER(F188)),"",IF(ISNUMBER(W188),F188*W188,"UNIDADE A CONFERIR")))</f>
        <v/>
      </c>
      <c r="I188" s="91" t="n"/>
      <c r="J188" s="91" t="n"/>
      <c r="K188" s="92" t="n"/>
      <c r="L188" s="91" t="n"/>
      <c r="M188" s="91" t="n"/>
      <c r="N188" s="91" t="n"/>
      <c r="O188" s="91" t="n"/>
      <c r="P188" s="94" t="str">
        <f>IF(Q188=0,"",IF(C188="","Item de resíduo não informado",IF(T188=0,"Item inexistente (referência inválida)",IF(NOT(ISNUMBER(F188)),"Quantidade não informada",IF(F188&lt;=0,"Quantidade não positiva",IF(G188="","Unidade não informada",IF(NOT(ISNUMBER(H188)),"Unidade a conferir",IF(NOT(ISNUMBER(E188)),"Data de recebimento não informada",IF(AND(ISNUMBER(V188),N(V188)&gt;0,E188&lt;N(V188)),"Data anterior à emissão do MTR",IF(AND(J188="Sim",L188="",M188=""),"Conferido sem evidência identificada",IF(J188&lt;&gt;"Sim","Aguardando conferência",IF(INDEX('ITENS_MTR'!$AM$6:$AM$1005,S188)=1,"Conferido (ver diferença no item)","Conferido"))))))))))))</f>
        <v/>
      </c>
      <c r="Q188" s="96">
        <f>IF(COUNTA(C188,E188:G188,I188:O188)&gt;0,1,0)</f>
        <v>0</v>
      </c>
      <c r="R188" s="96" t="str">
        <f>IF(C188="","",TRIM(LEFT(C188,FIND(" |",C188&amp;" |")-1)))</f>
        <v/>
      </c>
      <c r="S188" s="96" t="str">
        <f>IF(R188="","",IFERROR(MATCH(R188,'ITENS_MTR'!$A$6:$A$1005,0),""))</f>
        <v/>
      </c>
      <c r="T188" s="96">
        <f>IF(S188="",0,IF(INDEX('ITENS_MTR'!$R$6:$R$1005,S188)=1,1,0))</f>
        <v>0</v>
      </c>
      <c r="U188" s="96" t="str">
        <f>IF(T188=1,INDEX('ITENS_MTR'!$T$6:$T$1005,S188),"")</f>
        <v/>
      </c>
      <c r="V188" s="97" t="str">
        <f>IF(N(U188)&gt;0,INDEX('MTRs'!$E$6:$E$505,U188),"")</f>
        <v/>
      </c>
      <c r="W188" s="96" t="str">
        <f>IF(G188="","",IFERROR(IF(ISNUMBER(INDEX(cfg_fac,MATCH(G188,cfg_units,0))),IF(INDEX(cfg_fac,MATCH(G188,cfg_units,0))&gt;0,INDEX(cfg_fac,MATCH(G188,cfg_units,0)),""),""),""))</f>
        <v/>
      </c>
      <c r="X188" s="96">
        <f>IF(AND(ISNUMBER(F188),ISNUMBER(H188)),IF(H188&gt;0,1,0),0)</f>
        <v>0</v>
      </c>
      <c r="Y188" s="96">
        <f>IF(Q188=0,0,IF(OR(T188=0,X188=0,NOT(ISNUMBER(E188)),AND(J188="Sim",L188="",M188=""),AND(ISNUMBER(E188),ISNUMBER(V188),N(V188)&gt;0,E188&lt;N(V188))),1,0))</f>
        <v>0</v>
      </c>
      <c r="Z188" s="96">
        <f>IF(AND(Q188=1,T188=1,X188=1,J188="Sim",OR(L188&lt;&gt;"",M188&lt;&gt;"")),1,0)</f>
        <v>0</v>
      </c>
      <c r="AA188" s="96">
        <f>IF(Q188=0,0,IF(AND(OR(r_ini="",AND(ISNUMBER(E188),E188&gt;=r_ini)),OR(r_fim="",AND(ISNUMBER(E188),E188&lt;=r_fim)),OR(r_un="",r_un="(Todas)",IF(N(U188)&gt;0,INDEX('MTRs'!$G$6:$G$505,U188),"")=r_un),OR(r_de="",r_de="(Todos)",D188=r_de)),1,0))</f>
        <v>0</v>
      </c>
      <c r="AB188" s="96" t="str">
        <f>IF(AA188=1,COUNTIF($AA$6:AA188,1),"")</f>
        <v/>
      </c>
    </row>
    <row r="189">
      <c r="A189" s="89" t="inlineStr">
        <is>
          <t>REC-000184</t>
        </is>
      </c>
      <c r="B189" s="94" t="str">
        <f>IF(T189=1,INDEX('ITENS_MTR'!$S$6:$S$1005,S189)&amp;"","")</f>
        <v/>
      </c>
      <c r="C189" s="91" t="n"/>
      <c r="D189" s="94" t="str">
        <f>IF(N(U189)&gt;0,INDEX('MTRs'!$I$6:$I$505,U189)&amp;"","")</f>
        <v/>
      </c>
      <c r="E189" s="92" t="n"/>
      <c r="F189" s="98" t="n"/>
      <c r="G189" s="91" t="n"/>
      <c r="H189" s="93" t="str">
        <f>IF(Q189=0,"",IF(NOT(ISNUMBER(F189)),"",IF(ISNUMBER(W189),F189*W189,"UNIDADE A CONFERIR")))</f>
        <v/>
      </c>
      <c r="I189" s="91" t="n"/>
      <c r="J189" s="91" t="n"/>
      <c r="K189" s="92" t="n"/>
      <c r="L189" s="91" t="n"/>
      <c r="M189" s="91" t="n"/>
      <c r="N189" s="91" t="n"/>
      <c r="O189" s="91" t="n"/>
      <c r="P189" s="94" t="str">
        <f>IF(Q189=0,"",IF(C189="","Item de resíduo não informado",IF(T189=0,"Item inexistente (referência inválida)",IF(NOT(ISNUMBER(F189)),"Quantidade não informada",IF(F189&lt;=0,"Quantidade não positiva",IF(G189="","Unidade não informada",IF(NOT(ISNUMBER(H189)),"Unidade a conferir",IF(NOT(ISNUMBER(E189)),"Data de recebimento não informada",IF(AND(ISNUMBER(V189),N(V189)&gt;0,E189&lt;N(V189)),"Data anterior à emissão do MTR",IF(AND(J189="Sim",L189="",M189=""),"Conferido sem evidência identificada",IF(J189&lt;&gt;"Sim","Aguardando conferência",IF(INDEX('ITENS_MTR'!$AM$6:$AM$1005,S189)=1,"Conferido (ver diferença no item)","Conferido"))))))))))))</f>
        <v/>
      </c>
      <c r="Q189" s="96">
        <f>IF(COUNTA(C189,E189:G189,I189:O189)&gt;0,1,0)</f>
        <v>0</v>
      </c>
      <c r="R189" s="96" t="str">
        <f>IF(C189="","",TRIM(LEFT(C189,FIND(" |",C189&amp;" |")-1)))</f>
        <v/>
      </c>
      <c r="S189" s="96" t="str">
        <f>IF(R189="","",IFERROR(MATCH(R189,'ITENS_MTR'!$A$6:$A$1005,0),""))</f>
        <v/>
      </c>
      <c r="T189" s="96">
        <f>IF(S189="",0,IF(INDEX('ITENS_MTR'!$R$6:$R$1005,S189)=1,1,0))</f>
        <v>0</v>
      </c>
      <c r="U189" s="96" t="str">
        <f>IF(T189=1,INDEX('ITENS_MTR'!$T$6:$T$1005,S189),"")</f>
        <v/>
      </c>
      <c r="V189" s="97" t="str">
        <f>IF(N(U189)&gt;0,INDEX('MTRs'!$E$6:$E$505,U189),"")</f>
        <v/>
      </c>
      <c r="W189" s="96" t="str">
        <f>IF(G189="","",IFERROR(IF(ISNUMBER(INDEX(cfg_fac,MATCH(G189,cfg_units,0))),IF(INDEX(cfg_fac,MATCH(G189,cfg_units,0))&gt;0,INDEX(cfg_fac,MATCH(G189,cfg_units,0)),""),""),""))</f>
        <v/>
      </c>
      <c r="X189" s="96">
        <f>IF(AND(ISNUMBER(F189),ISNUMBER(H189)),IF(H189&gt;0,1,0),0)</f>
        <v>0</v>
      </c>
      <c r="Y189" s="96">
        <f>IF(Q189=0,0,IF(OR(T189=0,X189=0,NOT(ISNUMBER(E189)),AND(J189="Sim",L189="",M189=""),AND(ISNUMBER(E189),ISNUMBER(V189),N(V189)&gt;0,E189&lt;N(V189))),1,0))</f>
        <v>0</v>
      </c>
      <c r="Z189" s="96">
        <f>IF(AND(Q189=1,T189=1,X189=1,J189="Sim",OR(L189&lt;&gt;"",M189&lt;&gt;"")),1,0)</f>
        <v>0</v>
      </c>
      <c r="AA189" s="96">
        <f>IF(Q189=0,0,IF(AND(OR(r_ini="",AND(ISNUMBER(E189),E189&gt;=r_ini)),OR(r_fim="",AND(ISNUMBER(E189),E189&lt;=r_fim)),OR(r_un="",r_un="(Todas)",IF(N(U189)&gt;0,INDEX('MTRs'!$G$6:$G$505,U189),"")=r_un),OR(r_de="",r_de="(Todos)",D189=r_de)),1,0))</f>
        <v>0</v>
      </c>
      <c r="AB189" s="96" t="str">
        <f>IF(AA189=1,COUNTIF($AA$6:AA189,1),"")</f>
        <v/>
      </c>
    </row>
    <row r="190">
      <c r="A190" s="89" t="inlineStr">
        <is>
          <t>REC-000185</t>
        </is>
      </c>
      <c r="B190" s="94" t="str">
        <f>IF(T190=1,INDEX('ITENS_MTR'!$S$6:$S$1005,S190)&amp;"","")</f>
        <v/>
      </c>
      <c r="C190" s="91" t="n"/>
      <c r="D190" s="94" t="str">
        <f>IF(N(U190)&gt;0,INDEX('MTRs'!$I$6:$I$505,U190)&amp;"","")</f>
        <v/>
      </c>
      <c r="E190" s="92" t="n"/>
      <c r="F190" s="98" t="n"/>
      <c r="G190" s="91" t="n"/>
      <c r="H190" s="93" t="str">
        <f>IF(Q190=0,"",IF(NOT(ISNUMBER(F190)),"",IF(ISNUMBER(W190),F190*W190,"UNIDADE A CONFERIR")))</f>
        <v/>
      </c>
      <c r="I190" s="91" t="n"/>
      <c r="J190" s="91" t="n"/>
      <c r="K190" s="92" t="n"/>
      <c r="L190" s="91" t="n"/>
      <c r="M190" s="91" t="n"/>
      <c r="N190" s="91" t="n"/>
      <c r="O190" s="91" t="n"/>
      <c r="P190" s="94" t="str">
        <f>IF(Q190=0,"",IF(C190="","Item de resíduo não informado",IF(T190=0,"Item inexistente (referência inválida)",IF(NOT(ISNUMBER(F190)),"Quantidade não informada",IF(F190&lt;=0,"Quantidade não positiva",IF(G190="","Unidade não informada",IF(NOT(ISNUMBER(H190)),"Unidade a conferir",IF(NOT(ISNUMBER(E190)),"Data de recebimento não informada",IF(AND(ISNUMBER(V190),N(V190)&gt;0,E190&lt;N(V190)),"Data anterior à emissão do MTR",IF(AND(J190="Sim",L190="",M190=""),"Conferido sem evidência identificada",IF(J190&lt;&gt;"Sim","Aguardando conferência",IF(INDEX('ITENS_MTR'!$AM$6:$AM$1005,S190)=1,"Conferido (ver diferença no item)","Conferido"))))))))))))</f>
        <v/>
      </c>
      <c r="Q190" s="96">
        <f>IF(COUNTA(C190,E190:G190,I190:O190)&gt;0,1,0)</f>
        <v>0</v>
      </c>
      <c r="R190" s="96" t="str">
        <f>IF(C190="","",TRIM(LEFT(C190,FIND(" |",C190&amp;" |")-1)))</f>
        <v/>
      </c>
      <c r="S190" s="96" t="str">
        <f>IF(R190="","",IFERROR(MATCH(R190,'ITENS_MTR'!$A$6:$A$1005,0),""))</f>
        <v/>
      </c>
      <c r="T190" s="96">
        <f>IF(S190="",0,IF(INDEX('ITENS_MTR'!$R$6:$R$1005,S190)=1,1,0))</f>
        <v>0</v>
      </c>
      <c r="U190" s="96" t="str">
        <f>IF(T190=1,INDEX('ITENS_MTR'!$T$6:$T$1005,S190),"")</f>
        <v/>
      </c>
      <c r="V190" s="97" t="str">
        <f>IF(N(U190)&gt;0,INDEX('MTRs'!$E$6:$E$505,U190),"")</f>
        <v/>
      </c>
      <c r="W190" s="96" t="str">
        <f>IF(G190="","",IFERROR(IF(ISNUMBER(INDEX(cfg_fac,MATCH(G190,cfg_units,0))),IF(INDEX(cfg_fac,MATCH(G190,cfg_units,0))&gt;0,INDEX(cfg_fac,MATCH(G190,cfg_units,0)),""),""),""))</f>
        <v/>
      </c>
      <c r="X190" s="96">
        <f>IF(AND(ISNUMBER(F190),ISNUMBER(H190)),IF(H190&gt;0,1,0),0)</f>
        <v>0</v>
      </c>
      <c r="Y190" s="96">
        <f>IF(Q190=0,0,IF(OR(T190=0,X190=0,NOT(ISNUMBER(E190)),AND(J190="Sim",L190="",M190=""),AND(ISNUMBER(E190),ISNUMBER(V190),N(V190)&gt;0,E190&lt;N(V190))),1,0))</f>
        <v>0</v>
      </c>
      <c r="Z190" s="96">
        <f>IF(AND(Q190=1,T190=1,X190=1,J190="Sim",OR(L190&lt;&gt;"",M190&lt;&gt;"")),1,0)</f>
        <v>0</v>
      </c>
      <c r="AA190" s="96">
        <f>IF(Q190=0,0,IF(AND(OR(r_ini="",AND(ISNUMBER(E190),E190&gt;=r_ini)),OR(r_fim="",AND(ISNUMBER(E190),E190&lt;=r_fim)),OR(r_un="",r_un="(Todas)",IF(N(U190)&gt;0,INDEX('MTRs'!$G$6:$G$505,U190),"")=r_un),OR(r_de="",r_de="(Todos)",D190=r_de)),1,0))</f>
        <v>0</v>
      </c>
      <c r="AB190" s="96" t="str">
        <f>IF(AA190=1,COUNTIF($AA$6:AA190,1),"")</f>
        <v/>
      </c>
    </row>
    <row r="191">
      <c r="A191" s="89" t="inlineStr">
        <is>
          <t>REC-000186</t>
        </is>
      </c>
      <c r="B191" s="94" t="str">
        <f>IF(T191=1,INDEX('ITENS_MTR'!$S$6:$S$1005,S191)&amp;"","")</f>
        <v/>
      </c>
      <c r="C191" s="91" t="n"/>
      <c r="D191" s="94" t="str">
        <f>IF(N(U191)&gt;0,INDEX('MTRs'!$I$6:$I$505,U191)&amp;"","")</f>
        <v/>
      </c>
      <c r="E191" s="92" t="n"/>
      <c r="F191" s="98" t="n"/>
      <c r="G191" s="91" t="n"/>
      <c r="H191" s="93" t="str">
        <f>IF(Q191=0,"",IF(NOT(ISNUMBER(F191)),"",IF(ISNUMBER(W191),F191*W191,"UNIDADE A CONFERIR")))</f>
        <v/>
      </c>
      <c r="I191" s="91" t="n"/>
      <c r="J191" s="91" t="n"/>
      <c r="K191" s="92" t="n"/>
      <c r="L191" s="91" t="n"/>
      <c r="M191" s="91" t="n"/>
      <c r="N191" s="91" t="n"/>
      <c r="O191" s="91" t="n"/>
      <c r="P191" s="94" t="str">
        <f>IF(Q191=0,"",IF(C191="","Item de resíduo não informado",IF(T191=0,"Item inexistente (referência inválida)",IF(NOT(ISNUMBER(F191)),"Quantidade não informada",IF(F191&lt;=0,"Quantidade não positiva",IF(G191="","Unidade não informada",IF(NOT(ISNUMBER(H191)),"Unidade a conferir",IF(NOT(ISNUMBER(E191)),"Data de recebimento não informada",IF(AND(ISNUMBER(V191),N(V191)&gt;0,E191&lt;N(V191)),"Data anterior à emissão do MTR",IF(AND(J191="Sim",L191="",M191=""),"Conferido sem evidência identificada",IF(J191&lt;&gt;"Sim","Aguardando conferência",IF(INDEX('ITENS_MTR'!$AM$6:$AM$1005,S191)=1,"Conferido (ver diferença no item)","Conferido"))))))))))))</f>
        <v/>
      </c>
      <c r="Q191" s="96">
        <f>IF(COUNTA(C191,E191:G191,I191:O191)&gt;0,1,0)</f>
        <v>0</v>
      </c>
      <c r="R191" s="96" t="str">
        <f>IF(C191="","",TRIM(LEFT(C191,FIND(" |",C191&amp;" |")-1)))</f>
        <v/>
      </c>
      <c r="S191" s="96" t="str">
        <f>IF(R191="","",IFERROR(MATCH(R191,'ITENS_MTR'!$A$6:$A$1005,0),""))</f>
        <v/>
      </c>
      <c r="T191" s="96">
        <f>IF(S191="",0,IF(INDEX('ITENS_MTR'!$R$6:$R$1005,S191)=1,1,0))</f>
        <v>0</v>
      </c>
      <c r="U191" s="96" t="str">
        <f>IF(T191=1,INDEX('ITENS_MTR'!$T$6:$T$1005,S191),"")</f>
        <v/>
      </c>
      <c r="V191" s="97" t="str">
        <f>IF(N(U191)&gt;0,INDEX('MTRs'!$E$6:$E$505,U191),"")</f>
        <v/>
      </c>
      <c r="W191" s="96" t="str">
        <f>IF(G191="","",IFERROR(IF(ISNUMBER(INDEX(cfg_fac,MATCH(G191,cfg_units,0))),IF(INDEX(cfg_fac,MATCH(G191,cfg_units,0))&gt;0,INDEX(cfg_fac,MATCH(G191,cfg_units,0)),""),""),""))</f>
        <v/>
      </c>
      <c r="X191" s="96">
        <f>IF(AND(ISNUMBER(F191),ISNUMBER(H191)),IF(H191&gt;0,1,0),0)</f>
        <v>0</v>
      </c>
      <c r="Y191" s="96">
        <f>IF(Q191=0,0,IF(OR(T191=0,X191=0,NOT(ISNUMBER(E191)),AND(J191="Sim",L191="",M191=""),AND(ISNUMBER(E191),ISNUMBER(V191),N(V191)&gt;0,E191&lt;N(V191))),1,0))</f>
        <v>0</v>
      </c>
      <c r="Z191" s="96">
        <f>IF(AND(Q191=1,T191=1,X191=1,J191="Sim",OR(L191&lt;&gt;"",M191&lt;&gt;"")),1,0)</f>
        <v>0</v>
      </c>
      <c r="AA191" s="96">
        <f>IF(Q191=0,0,IF(AND(OR(r_ini="",AND(ISNUMBER(E191),E191&gt;=r_ini)),OR(r_fim="",AND(ISNUMBER(E191),E191&lt;=r_fim)),OR(r_un="",r_un="(Todas)",IF(N(U191)&gt;0,INDEX('MTRs'!$G$6:$G$505,U191),"")=r_un),OR(r_de="",r_de="(Todos)",D191=r_de)),1,0))</f>
        <v>0</v>
      </c>
      <c r="AB191" s="96" t="str">
        <f>IF(AA191=1,COUNTIF($AA$6:AA191,1),"")</f>
        <v/>
      </c>
    </row>
    <row r="192">
      <c r="A192" s="89" t="inlineStr">
        <is>
          <t>REC-000187</t>
        </is>
      </c>
      <c r="B192" s="94" t="str">
        <f>IF(T192=1,INDEX('ITENS_MTR'!$S$6:$S$1005,S192)&amp;"","")</f>
        <v/>
      </c>
      <c r="C192" s="91" t="n"/>
      <c r="D192" s="94" t="str">
        <f>IF(N(U192)&gt;0,INDEX('MTRs'!$I$6:$I$505,U192)&amp;"","")</f>
        <v/>
      </c>
      <c r="E192" s="92" t="n"/>
      <c r="F192" s="98" t="n"/>
      <c r="G192" s="91" t="n"/>
      <c r="H192" s="93" t="str">
        <f>IF(Q192=0,"",IF(NOT(ISNUMBER(F192)),"",IF(ISNUMBER(W192),F192*W192,"UNIDADE A CONFERIR")))</f>
        <v/>
      </c>
      <c r="I192" s="91" t="n"/>
      <c r="J192" s="91" t="n"/>
      <c r="K192" s="92" t="n"/>
      <c r="L192" s="91" t="n"/>
      <c r="M192" s="91" t="n"/>
      <c r="N192" s="91" t="n"/>
      <c r="O192" s="91" t="n"/>
      <c r="P192" s="94" t="str">
        <f>IF(Q192=0,"",IF(C192="","Item de resíduo não informado",IF(T192=0,"Item inexistente (referência inválida)",IF(NOT(ISNUMBER(F192)),"Quantidade não informada",IF(F192&lt;=0,"Quantidade não positiva",IF(G192="","Unidade não informada",IF(NOT(ISNUMBER(H192)),"Unidade a conferir",IF(NOT(ISNUMBER(E192)),"Data de recebimento não informada",IF(AND(ISNUMBER(V192),N(V192)&gt;0,E192&lt;N(V192)),"Data anterior à emissão do MTR",IF(AND(J192="Sim",L192="",M192=""),"Conferido sem evidência identificada",IF(J192&lt;&gt;"Sim","Aguardando conferência",IF(INDEX('ITENS_MTR'!$AM$6:$AM$1005,S192)=1,"Conferido (ver diferença no item)","Conferido"))))))))))))</f>
        <v/>
      </c>
      <c r="Q192" s="96">
        <f>IF(COUNTA(C192,E192:G192,I192:O192)&gt;0,1,0)</f>
        <v>0</v>
      </c>
      <c r="R192" s="96" t="str">
        <f>IF(C192="","",TRIM(LEFT(C192,FIND(" |",C192&amp;" |")-1)))</f>
        <v/>
      </c>
      <c r="S192" s="96" t="str">
        <f>IF(R192="","",IFERROR(MATCH(R192,'ITENS_MTR'!$A$6:$A$1005,0),""))</f>
        <v/>
      </c>
      <c r="T192" s="96">
        <f>IF(S192="",0,IF(INDEX('ITENS_MTR'!$R$6:$R$1005,S192)=1,1,0))</f>
        <v>0</v>
      </c>
      <c r="U192" s="96" t="str">
        <f>IF(T192=1,INDEX('ITENS_MTR'!$T$6:$T$1005,S192),"")</f>
        <v/>
      </c>
      <c r="V192" s="97" t="str">
        <f>IF(N(U192)&gt;0,INDEX('MTRs'!$E$6:$E$505,U192),"")</f>
        <v/>
      </c>
      <c r="W192" s="96" t="str">
        <f>IF(G192="","",IFERROR(IF(ISNUMBER(INDEX(cfg_fac,MATCH(G192,cfg_units,0))),IF(INDEX(cfg_fac,MATCH(G192,cfg_units,0))&gt;0,INDEX(cfg_fac,MATCH(G192,cfg_units,0)),""),""),""))</f>
        <v/>
      </c>
      <c r="X192" s="96">
        <f>IF(AND(ISNUMBER(F192),ISNUMBER(H192)),IF(H192&gt;0,1,0),0)</f>
        <v>0</v>
      </c>
      <c r="Y192" s="96">
        <f>IF(Q192=0,0,IF(OR(T192=0,X192=0,NOT(ISNUMBER(E192)),AND(J192="Sim",L192="",M192=""),AND(ISNUMBER(E192),ISNUMBER(V192),N(V192)&gt;0,E192&lt;N(V192))),1,0))</f>
        <v>0</v>
      </c>
      <c r="Z192" s="96">
        <f>IF(AND(Q192=1,T192=1,X192=1,J192="Sim",OR(L192&lt;&gt;"",M192&lt;&gt;"")),1,0)</f>
        <v>0</v>
      </c>
      <c r="AA192" s="96">
        <f>IF(Q192=0,0,IF(AND(OR(r_ini="",AND(ISNUMBER(E192),E192&gt;=r_ini)),OR(r_fim="",AND(ISNUMBER(E192),E192&lt;=r_fim)),OR(r_un="",r_un="(Todas)",IF(N(U192)&gt;0,INDEX('MTRs'!$G$6:$G$505,U192),"")=r_un),OR(r_de="",r_de="(Todos)",D192=r_de)),1,0))</f>
        <v>0</v>
      </c>
      <c r="AB192" s="96" t="str">
        <f>IF(AA192=1,COUNTIF($AA$6:AA192,1),"")</f>
        <v/>
      </c>
    </row>
    <row r="193">
      <c r="A193" s="89" t="inlineStr">
        <is>
          <t>REC-000188</t>
        </is>
      </c>
      <c r="B193" s="94" t="str">
        <f>IF(T193=1,INDEX('ITENS_MTR'!$S$6:$S$1005,S193)&amp;"","")</f>
        <v/>
      </c>
      <c r="C193" s="91" t="n"/>
      <c r="D193" s="94" t="str">
        <f>IF(N(U193)&gt;0,INDEX('MTRs'!$I$6:$I$505,U193)&amp;"","")</f>
        <v/>
      </c>
      <c r="E193" s="92" t="n"/>
      <c r="F193" s="98" t="n"/>
      <c r="G193" s="91" t="n"/>
      <c r="H193" s="93" t="str">
        <f>IF(Q193=0,"",IF(NOT(ISNUMBER(F193)),"",IF(ISNUMBER(W193),F193*W193,"UNIDADE A CONFERIR")))</f>
        <v/>
      </c>
      <c r="I193" s="91" t="n"/>
      <c r="J193" s="91" t="n"/>
      <c r="K193" s="92" t="n"/>
      <c r="L193" s="91" t="n"/>
      <c r="M193" s="91" t="n"/>
      <c r="N193" s="91" t="n"/>
      <c r="O193" s="91" t="n"/>
      <c r="P193" s="94" t="str">
        <f>IF(Q193=0,"",IF(C193="","Item de resíduo não informado",IF(T193=0,"Item inexistente (referência inválida)",IF(NOT(ISNUMBER(F193)),"Quantidade não informada",IF(F193&lt;=0,"Quantidade não positiva",IF(G193="","Unidade não informada",IF(NOT(ISNUMBER(H193)),"Unidade a conferir",IF(NOT(ISNUMBER(E193)),"Data de recebimento não informada",IF(AND(ISNUMBER(V193),N(V193)&gt;0,E193&lt;N(V193)),"Data anterior à emissão do MTR",IF(AND(J193="Sim",L193="",M193=""),"Conferido sem evidência identificada",IF(J193&lt;&gt;"Sim","Aguardando conferência",IF(INDEX('ITENS_MTR'!$AM$6:$AM$1005,S193)=1,"Conferido (ver diferença no item)","Conferido"))))))))))))</f>
        <v/>
      </c>
      <c r="Q193" s="96">
        <f>IF(COUNTA(C193,E193:G193,I193:O193)&gt;0,1,0)</f>
        <v>0</v>
      </c>
      <c r="R193" s="96" t="str">
        <f>IF(C193="","",TRIM(LEFT(C193,FIND(" |",C193&amp;" |")-1)))</f>
        <v/>
      </c>
      <c r="S193" s="96" t="str">
        <f>IF(R193="","",IFERROR(MATCH(R193,'ITENS_MTR'!$A$6:$A$1005,0),""))</f>
        <v/>
      </c>
      <c r="T193" s="96">
        <f>IF(S193="",0,IF(INDEX('ITENS_MTR'!$R$6:$R$1005,S193)=1,1,0))</f>
        <v>0</v>
      </c>
      <c r="U193" s="96" t="str">
        <f>IF(T193=1,INDEX('ITENS_MTR'!$T$6:$T$1005,S193),"")</f>
        <v/>
      </c>
      <c r="V193" s="97" t="str">
        <f>IF(N(U193)&gt;0,INDEX('MTRs'!$E$6:$E$505,U193),"")</f>
        <v/>
      </c>
      <c r="W193" s="96" t="str">
        <f>IF(G193="","",IFERROR(IF(ISNUMBER(INDEX(cfg_fac,MATCH(G193,cfg_units,0))),IF(INDEX(cfg_fac,MATCH(G193,cfg_units,0))&gt;0,INDEX(cfg_fac,MATCH(G193,cfg_units,0)),""),""),""))</f>
        <v/>
      </c>
      <c r="X193" s="96">
        <f>IF(AND(ISNUMBER(F193),ISNUMBER(H193)),IF(H193&gt;0,1,0),0)</f>
        <v>0</v>
      </c>
      <c r="Y193" s="96">
        <f>IF(Q193=0,0,IF(OR(T193=0,X193=0,NOT(ISNUMBER(E193)),AND(J193="Sim",L193="",M193=""),AND(ISNUMBER(E193),ISNUMBER(V193),N(V193)&gt;0,E193&lt;N(V193))),1,0))</f>
        <v>0</v>
      </c>
      <c r="Z193" s="96">
        <f>IF(AND(Q193=1,T193=1,X193=1,J193="Sim",OR(L193&lt;&gt;"",M193&lt;&gt;"")),1,0)</f>
        <v>0</v>
      </c>
      <c r="AA193" s="96">
        <f>IF(Q193=0,0,IF(AND(OR(r_ini="",AND(ISNUMBER(E193),E193&gt;=r_ini)),OR(r_fim="",AND(ISNUMBER(E193),E193&lt;=r_fim)),OR(r_un="",r_un="(Todas)",IF(N(U193)&gt;0,INDEX('MTRs'!$G$6:$G$505,U193),"")=r_un),OR(r_de="",r_de="(Todos)",D193=r_de)),1,0))</f>
        <v>0</v>
      </c>
      <c r="AB193" s="96" t="str">
        <f>IF(AA193=1,COUNTIF($AA$6:AA193,1),"")</f>
        <v/>
      </c>
    </row>
    <row r="194">
      <c r="A194" s="89" t="inlineStr">
        <is>
          <t>REC-000189</t>
        </is>
      </c>
      <c r="B194" s="94" t="str">
        <f>IF(T194=1,INDEX('ITENS_MTR'!$S$6:$S$1005,S194)&amp;"","")</f>
        <v/>
      </c>
      <c r="C194" s="91" t="n"/>
      <c r="D194" s="94" t="str">
        <f>IF(N(U194)&gt;0,INDEX('MTRs'!$I$6:$I$505,U194)&amp;"","")</f>
        <v/>
      </c>
      <c r="E194" s="92" t="n"/>
      <c r="F194" s="98" t="n"/>
      <c r="G194" s="91" t="n"/>
      <c r="H194" s="93" t="str">
        <f>IF(Q194=0,"",IF(NOT(ISNUMBER(F194)),"",IF(ISNUMBER(W194),F194*W194,"UNIDADE A CONFERIR")))</f>
        <v/>
      </c>
      <c r="I194" s="91" t="n"/>
      <c r="J194" s="91" t="n"/>
      <c r="K194" s="92" t="n"/>
      <c r="L194" s="91" t="n"/>
      <c r="M194" s="91" t="n"/>
      <c r="N194" s="91" t="n"/>
      <c r="O194" s="91" t="n"/>
      <c r="P194" s="94" t="str">
        <f>IF(Q194=0,"",IF(C194="","Item de resíduo não informado",IF(T194=0,"Item inexistente (referência inválida)",IF(NOT(ISNUMBER(F194)),"Quantidade não informada",IF(F194&lt;=0,"Quantidade não positiva",IF(G194="","Unidade não informada",IF(NOT(ISNUMBER(H194)),"Unidade a conferir",IF(NOT(ISNUMBER(E194)),"Data de recebimento não informada",IF(AND(ISNUMBER(V194),N(V194)&gt;0,E194&lt;N(V194)),"Data anterior à emissão do MTR",IF(AND(J194="Sim",L194="",M194=""),"Conferido sem evidência identificada",IF(J194&lt;&gt;"Sim","Aguardando conferência",IF(INDEX('ITENS_MTR'!$AM$6:$AM$1005,S194)=1,"Conferido (ver diferença no item)","Conferido"))))))))))))</f>
        <v/>
      </c>
      <c r="Q194" s="96">
        <f>IF(COUNTA(C194,E194:G194,I194:O194)&gt;0,1,0)</f>
        <v>0</v>
      </c>
      <c r="R194" s="96" t="str">
        <f>IF(C194="","",TRIM(LEFT(C194,FIND(" |",C194&amp;" |")-1)))</f>
        <v/>
      </c>
      <c r="S194" s="96" t="str">
        <f>IF(R194="","",IFERROR(MATCH(R194,'ITENS_MTR'!$A$6:$A$1005,0),""))</f>
        <v/>
      </c>
      <c r="T194" s="96">
        <f>IF(S194="",0,IF(INDEX('ITENS_MTR'!$R$6:$R$1005,S194)=1,1,0))</f>
        <v>0</v>
      </c>
      <c r="U194" s="96" t="str">
        <f>IF(T194=1,INDEX('ITENS_MTR'!$T$6:$T$1005,S194),"")</f>
        <v/>
      </c>
      <c r="V194" s="97" t="str">
        <f>IF(N(U194)&gt;0,INDEX('MTRs'!$E$6:$E$505,U194),"")</f>
        <v/>
      </c>
      <c r="W194" s="96" t="str">
        <f>IF(G194="","",IFERROR(IF(ISNUMBER(INDEX(cfg_fac,MATCH(G194,cfg_units,0))),IF(INDEX(cfg_fac,MATCH(G194,cfg_units,0))&gt;0,INDEX(cfg_fac,MATCH(G194,cfg_units,0)),""),""),""))</f>
        <v/>
      </c>
      <c r="X194" s="96">
        <f>IF(AND(ISNUMBER(F194),ISNUMBER(H194)),IF(H194&gt;0,1,0),0)</f>
        <v>0</v>
      </c>
      <c r="Y194" s="96">
        <f>IF(Q194=0,0,IF(OR(T194=0,X194=0,NOT(ISNUMBER(E194)),AND(J194="Sim",L194="",M194=""),AND(ISNUMBER(E194),ISNUMBER(V194),N(V194)&gt;0,E194&lt;N(V194))),1,0))</f>
        <v>0</v>
      </c>
      <c r="Z194" s="96">
        <f>IF(AND(Q194=1,T194=1,X194=1,J194="Sim",OR(L194&lt;&gt;"",M194&lt;&gt;"")),1,0)</f>
        <v>0</v>
      </c>
      <c r="AA194" s="96">
        <f>IF(Q194=0,0,IF(AND(OR(r_ini="",AND(ISNUMBER(E194),E194&gt;=r_ini)),OR(r_fim="",AND(ISNUMBER(E194),E194&lt;=r_fim)),OR(r_un="",r_un="(Todas)",IF(N(U194)&gt;0,INDEX('MTRs'!$G$6:$G$505,U194),"")=r_un),OR(r_de="",r_de="(Todos)",D194=r_de)),1,0))</f>
        <v>0</v>
      </c>
      <c r="AB194" s="96" t="str">
        <f>IF(AA194=1,COUNTIF($AA$6:AA194,1),"")</f>
        <v/>
      </c>
    </row>
    <row r="195">
      <c r="A195" s="89" t="inlineStr">
        <is>
          <t>REC-000190</t>
        </is>
      </c>
      <c r="B195" s="94" t="str">
        <f>IF(T195=1,INDEX('ITENS_MTR'!$S$6:$S$1005,S195)&amp;"","")</f>
        <v/>
      </c>
      <c r="C195" s="91" t="n"/>
      <c r="D195" s="94" t="str">
        <f>IF(N(U195)&gt;0,INDEX('MTRs'!$I$6:$I$505,U195)&amp;"","")</f>
        <v/>
      </c>
      <c r="E195" s="92" t="n"/>
      <c r="F195" s="98" t="n"/>
      <c r="G195" s="91" t="n"/>
      <c r="H195" s="93" t="str">
        <f>IF(Q195=0,"",IF(NOT(ISNUMBER(F195)),"",IF(ISNUMBER(W195),F195*W195,"UNIDADE A CONFERIR")))</f>
        <v/>
      </c>
      <c r="I195" s="91" t="n"/>
      <c r="J195" s="91" t="n"/>
      <c r="K195" s="92" t="n"/>
      <c r="L195" s="91" t="n"/>
      <c r="M195" s="91" t="n"/>
      <c r="N195" s="91" t="n"/>
      <c r="O195" s="91" t="n"/>
      <c r="P195" s="94" t="str">
        <f>IF(Q195=0,"",IF(C195="","Item de resíduo não informado",IF(T195=0,"Item inexistente (referência inválida)",IF(NOT(ISNUMBER(F195)),"Quantidade não informada",IF(F195&lt;=0,"Quantidade não positiva",IF(G195="","Unidade não informada",IF(NOT(ISNUMBER(H195)),"Unidade a conferir",IF(NOT(ISNUMBER(E195)),"Data de recebimento não informada",IF(AND(ISNUMBER(V195),N(V195)&gt;0,E195&lt;N(V195)),"Data anterior à emissão do MTR",IF(AND(J195="Sim",L195="",M195=""),"Conferido sem evidência identificada",IF(J195&lt;&gt;"Sim","Aguardando conferência",IF(INDEX('ITENS_MTR'!$AM$6:$AM$1005,S195)=1,"Conferido (ver diferença no item)","Conferido"))))))))))))</f>
        <v/>
      </c>
      <c r="Q195" s="96">
        <f>IF(COUNTA(C195,E195:G195,I195:O195)&gt;0,1,0)</f>
        <v>0</v>
      </c>
      <c r="R195" s="96" t="str">
        <f>IF(C195="","",TRIM(LEFT(C195,FIND(" |",C195&amp;" |")-1)))</f>
        <v/>
      </c>
      <c r="S195" s="96" t="str">
        <f>IF(R195="","",IFERROR(MATCH(R195,'ITENS_MTR'!$A$6:$A$1005,0),""))</f>
        <v/>
      </c>
      <c r="T195" s="96">
        <f>IF(S195="",0,IF(INDEX('ITENS_MTR'!$R$6:$R$1005,S195)=1,1,0))</f>
        <v>0</v>
      </c>
      <c r="U195" s="96" t="str">
        <f>IF(T195=1,INDEX('ITENS_MTR'!$T$6:$T$1005,S195),"")</f>
        <v/>
      </c>
      <c r="V195" s="97" t="str">
        <f>IF(N(U195)&gt;0,INDEX('MTRs'!$E$6:$E$505,U195),"")</f>
        <v/>
      </c>
      <c r="W195" s="96" t="str">
        <f>IF(G195="","",IFERROR(IF(ISNUMBER(INDEX(cfg_fac,MATCH(G195,cfg_units,0))),IF(INDEX(cfg_fac,MATCH(G195,cfg_units,0))&gt;0,INDEX(cfg_fac,MATCH(G195,cfg_units,0)),""),""),""))</f>
        <v/>
      </c>
      <c r="X195" s="96">
        <f>IF(AND(ISNUMBER(F195),ISNUMBER(H195)),IF(H195&gt;0,1,0),0)</f>
        <v>0</v>
      </c>
      <c r="Y195" s="96">
        <f>IF(Q195=0,0,IF(OR(T195=0,X195=0,NOT(ISNUMBER(E195)),AND(J195="Sim",L195="",M195=""),AND(ISNUMBER(E195),ISNUMBER(V195),N(V195)&gt;0,E195&lt;N(V195))),1,0))</f>
        <v>0</v>
      </c>
      <c r="Z195" s="96">
        <f>IF(AND(Q195=1,T195=1,X195=1,J195="Sim",OR(L195&lt;&gt;"",M195&lt;&gt;"")),1,0)</f>
        <v>0</v>
      </c>
      <c r="AA195" s="96">
        <f>IF(Q195=0,0,IF(AND(OR(r_ini="",AND(ISNUMBER(E195),E195&gt;=r_ini)),OR(r_fim="",AND(ISNUMBER(E195),E195&lt;=r_fim)),OR(r_un="",r_un="(Todas)",IF(N(U195)&gt;0,INDEX('MTRs'!$G$6:$G$505,U195),"")=r_un),OR(r_de="",r_de="(Todos)",D195=r_de)),1,0))</f>
        <v>0</v>
      </c>
      <c r="AB195" s="96" t="str">
        <f>IF(AA195=1,COUNTIF($AA$6:AA195,1),"")</f>
        <v/>
      </c>
    </row>
    <row r="196">
      <c r="A196" s="89" t="inlineStr">
        <is>
          <t>REC-000191</t>
        </is>
      </c>
      <c r="B196" s="94" t="str">
        <f>IF(T196=1,INDEX('ITENS_MTR'!$S$6:$S$1005,S196)&amp;"","")</f>
        <v/>
      </c>
      <c r="C196" s="91" t="n"/>
      <c r="D196" s="94" t="str">
        <f>IF(N(U196)&gt;0,INDEX('MTRs'!$I$6:$I$505,U196)&amp;"","")</f>
        <v/>
      </c>
      <c r="E196" s="92" t="n"/>
      <c r="F196" s="98" t="n"/>
      <c r="G196" s="91" t="n"/>
      <c r="H196" s="93" t="str">
        <f>IF(Q196=0,"",IF(NOT(ISNUMBER(F196)),"",IF(ISNUMBER(W196),F196*W196,"UNIDADE A CONFERIR")))</f>
        <v/>
      </c>
      <c r="I196" s="91" t="n"/>
      <c r="J196" s="91" t="n"/>
      <c r="K196" s="92" t="n"/>
      <c r="L196" s="91" t="n"/>
      <c r="M196" s="91" t="n"/>
      <c r="N196" s="91" t="n"/>
      <c r="O196" s="91" t="n"/>
      <c r="P196" s="94" t="str">
        <f>IF(Q196=0,"",IF(C196="","Item de resíduo não informado",IF(T196=0,"Item inexistente (referência inválida)",IF(NOT(ISNUMBER(F196)),"Quantidade não informada",IF(F196&lt;=0,"Quantidade não positiva",IF(G196="","Unidade não informada",IF(NOT(ISNUMBER(H196)),"Unidade a conferir",IF(NOT(ISNUMBER(E196)),"Data de recebimento não informada",IF(AND(ISNUMBER(V196),N(V196)&gt;0,E196&lt;N(V196)),"Data anterior à emissão do MTR",IF(AND(J196="Sim",L196="",M196=""),"Conferido sem evidência identificada",IF(J196&lt;&gt;"Sim","Aguardando conferência",IF(INDEX('ITENS_MTR'!$AM$6:$AM$1005,S196)=1,"Conferido (ver diferença no item)","Conferido"))))))))))))</f>
        <v/>
      </c>
      <c r="Q196" s="96">
        <f>IF(COUNTA(C196,E196:G196,I196:O196)&gt;0,1,0)</f>
        <v>0</v>
      </c>
      <c r="R196" s="96" t="str">
        <f>IF(C196="","",TRIM(LEFT(C196,FIND(" |",C196&amp;" |")-1)))</f>
        <v/>
      </c>
      <c r="S196" s="96" t="str">
        <f>IF(R196="","",IFERROR(MATCH(R196,'ITENS_MTR'!$A$6:$A$1005,0),""))</f>
        <v/>
      </c>
      <c r="T196" s="96">
        <f>IF(S196="",0,IF(INDEX('ITENS_MTR'!$R$6:$R$1005,S196)=1,1,0))</f>
        <v>0</v>
      </c>
      <c r="U196" s="96" t="str">
        <f>IF(T196=1,INDEX('ITENS_MTR'!$T$6:$T$1005,S196),"")</f>
        <v/>
      </c>
      <c r="V196" s="97" t="str">
        <f>IF(N(U196)&gt;0,INDEX('MTRs'!$E$6:$E$505,U196),"")</f>
        <v/>
      </c>
      <c r="W196" s="96" t="str">
        <f>IF(G196="","",IFERROR(IF(ISNUMBER(INDEX(cfg_fac,MATCH(G196,cfg_units,0))),IF(INDEX(cfg_fac,MATCH(G196,cfg_units,0))&gt;0,INDEX(cfg_fac,MATCH(G196,cfg_units,0)),""),""),""))</f>
        <v/>
      </c>
      <c r="X196" s="96">
        <f>IF(AND(ISNUMBER(F196),ISNUMBER(H196)),IF(H196&gt;0,1,0),0)</f>
        <v>0</v>
      </c>
      <c r="Y196" s="96">
        <f>IF(Q196=0,0,IF(OR(T196=0,X196=0,NOT(ISNUMBER(E196)),AND(J196="Sim",L196="",M196=""),AND(ISNUMBER(E196),ISNUMBER(V196),N(V196)&gt;0,E196&lt;N(V196))),1,0))</f>
        <v>0</v>
      </c>
      <c r="Z196" s="96">
        <f>IF(AND(Q196=1,T196=1,X196=1,J196="Sim",OR(L196&lt;&gt;"",M196&lt;&gt;"")),1,0)</f>
        <v>0</v>
      </c>
      <c r="AA196" s="96">
        <f>IF(Q196=0,0,IF(AND(OR(r_ini="",AND(ISNUMBER(E196),E196&gt;=r_ini)),OR(r_fim="",AND(ISNUMBER(E196),E196&lt;=r_fim)),OR(r_un="",r_un="(Todas)",IF(N(U196)&gt;0,INDEX('MTRs'!$G$6:$G$505,U196),"")=r_un),OR(r_de="",r_de="(Todos)",D196=r_de)),1,0))</f>
        <v>0</v>
      </c>
      <c r="AB196" s="96" t="str">
        <f>IF(AA196=1,COUNTIF($AA$6:AA196,1),"")</f>
        <v/>
      </c>
    </row>
    <row r="197">
      <c r="A197" s="89" t="inlineStr">
        <is>
          <t>REC-000192</t>
        </is>
      </c>
      <c r="B197" s="94" t="str">
        <f>IF(T197=1,INDEX('ITENS_MTR'!$S$6:$S$1005,S197)&amp;"","")</f>
        <v/>
      </c>
      <c r="C197" s="91" t="n"/>
      <c r="D197" s="94" t="str">
        <f>IF(N(U197)&gt;0,INDEX('MTRs'!$I$6:$I$505,U197)&amp;"","")</f>
        <v/>
      </c>
      <c r="E197" s="92" t="n"/>
      <c r="F197" s="98" t="n"/>
      <c r="G197" s="91" t="n"/>
      <c r="H197" s="93" t="str">
        <f>IF(Q197=0,"",IF(NOT(ISNUMBER(F197)),"",IF(ISNUMBER(W197),F197*W197,"UNIDADE A CONFERIR")))</f>
        <v/>
      </c>
      <c r="I197" s="91" t="n"/>
      <c r="J197" s="91" t="n"/>
      <c r="K197" s="92" t="n"/>
      <c r="L197" s="91" t="n"/>
      <c r="M197" s="91" t="n"/>
      <c r="N197" s="91" t="n"/>
      <c r="O197" s="91" t="n"/>
      <c r="P197" s="94" t="str">
        <f>IF(Q197=0,"",IF(C197="","Item de resíduo não informado",IF(T197=0,"Item inexistente (referência inválida)",IF(NOT(ISNUMBER(F197)),"Quantidade não informada",IF(F197&lt;=0,"Quantidade não positiva",IF(G197="","Unidade não informada",IF(NOT(ISNUMBER(H197)),"Unidade a conferir",IF(NOT(ISNUMBER(E197)),"Data de recebimento não informada",IF(AND(ISNUMBER(V197),N(V197)&gt;0,E197&lt;N(V197)),"Data anterior à emissão do MTR",IF(AND(J197="Sim",L197="",M197=""),"Conferido sem evidência identificada",IF(J197&lt;&gt;"Sim","Aguardando conferência",IF(INDEX('ITENS_MTR'!$AM$6:$AM$1005,S197)=1,"Conferido (ver diferença no item)","Conferido"))))))))))))</f>
        <v/>
      </c>
      <c r="Q197" s="96">
        <f>IF(COUNTA(C197,E197:G197,I197:O197)&gt;0,1,0)</f>
        <v>0</v>
      </c>
      <c r="R197" s="96" t="str">
        <f>IF(C197="","",TRIM(LEFT(C197,FIND(" |",C197&amp;" |")-1)))</f>
        <v/>
      </c>
      <c r="S197" s="96" t="str">
        <f>IF(R197="","",IFERROR(MATCH(R197,'ITENS_MTR'!$A$6:$A$1005,0),""))</f>
        <v/>
      </c>
      <c r="T197" s="96">
        <f>IF(S197="",0,IF(INDEX('ITENS_MTR'!$R$6:$R$1005,S197)=1,1,0))</f>
        <v>0</v>
      </c>
      <c r="U197" s="96" t="str">
        <f>IF(T197=1,INDEX('ITENS_MTR'!$T$6:$T$1005,S197),"")</f>
        <v/>
      </c>
      <c r="V197" s="97" t="str">
        <f>IF(N(U197)&gt;0,INDEX('MTRs'!$E$6:$E$505,U197),"")</f>
        <v/>
      </c>
      <c r="W197" s="96" t="str">
        <f>IF(G197="","",IFERROR(IF(ISNUMBER(INDEX(cfg_fac,MATCH(G197,cfg_units,0))),IF(INDEX(cfg_fac,MATCH(G197,cfg_units,0))&gt;0,INDEX(cfg_fac,MATCH(G197,cfg_units,0)),""),""),""))</f>
        <v/>
      </c>
      <c r="X197" s="96">
        <f>IF(AND(ISNUMBER(F197),ISNUMBER(H197)),IF(H197&gt;0,1,0),0)</f>
        <v>0</v>
      </c>
      <c r="Y197" s="96">
        <f>IF(Q197=0,0,IF(OR(T197=0,X197=0,NOT(ISNUMBER(E197)),AND(J197="Sim",L197="",M197=""),AND(ISNUMBER(E197),ISNUMBER(V197),N(V197)&gt;0,E197&lt;N(V197))),1,0))</f>
        <v>0</v>
      </c>
      <c r="Z197" s="96">
        <f>IF(AND(Q197=1,T197=1,X197=1,J197="Sim",OR(L197&lt;&gt;"",M197&lt;&gt;"")),1,0)</f>
        <v>0</v>
      </c>
      <c r="AA197" s="96">
        <f>IF(Q197=0,0,IF(AND(OR(r_ini="",AND(ISNUMBER(E197),E197&gt;=r_ini)),OR(r_fim="",AND(ISNUMBER(E197),E197&lt;=r_fim)),OR(r_un="",r_un="(Todas)",IF(N(U197)&gt;0,INDEX('MTRs'!$G$6:$G$505,U197),"")=r_un),OR(r_de="",r_de="(Todos)",D197=r_de)),1,0))</f>
        <v>0</v>
      </c>
      <c r="AB197" s="96" t="str">
        <f>IF(AA197=1,COUNTIF($AA$6:AA197,1),"")</f>
        <v/>
      </c>
    </row>
    <row r="198">
      <c r="A198" s="89" t="inlineStr">
        <is>
          <t>REC-000193</t>
        </is>
      </c>
      <c r="B198" s="94" t="str">
        <f>IF(T198=1,INDEX('ITENS_MTR'!$S$6:$S$1005,S198)&amp;"","")</f>
        <v/>
      </c>
      <c r="C198" s="91" t="n"/>
      <c r="D198" s="94" t="str">
        <f>IF(N(U198)&gt;0,INDEX('MTRs'!$I$6:$I$505,U198)&amp;"","")</f>
        <v/>
      </c>
      <c r="E198" s="92" t="n"/>
      <c r="F198" s="98" t="n"/>
      <c r="G198" s="91" t="n"/>
      <c r="H198" s="93" t="str">
        <f>IF(Q198=0,"",IF(NOT(ISNUMBER(F198)),"",IF(ISNUMBER(W198),F198*W198,"UNIDADE A CONFERIR")))</f>
        <v/>
      </c>
      <c r="I198" s="91" t="n"/>
      <c r="J198" s="91" t="n"/>
      <c r="K198" s="92" t="n"/>
      <c r="L198" s="91" t="n"/>
      <c r="M198" s="91" t="n"/>
      <c r="N198" s="91" t="n"/>
      <c r="O198" s="91" t="n"/>
      <c r="P198" s="94" t="str">
        <f>IF(Q198=0,"",IF(C198="","Item de resíduo não informado",IF(T198=0,"Item inexistente (referência inválida)",IF(NOT(ISNUMBER(F198)),"Quantidade não informada",IF(F198&lt;=0,"Quantidade não positiva",IF(G198="","Unidade não informada",IF(NOT(ISNUMBER(H198)),"Unidade a conferir",IF(NOT(ISNUMBER(E198)),"Data de recebimento não informada",IF(AND(ISNUMBER(V198),N(V198)&gt;0,E198&lt;N(V198)),"Data anterior à emissão do MTR",IF(AND(J198="Sim",L198="",M198=""),"Conferido sem evidência identificada",IF(J198&lt;&gt;"Sim","Aguardando conferência",IF(INDEX('ITENS_MTR'!$AM$6:$AM$1005,S198)=1,"Conferido (ver diferença no item)","Conferido"))))))))))))</f>
        <v/>
      </c>
      <c r="Q198" s="96">
        <f>IF(COUNTA(C198,E198:G198,I198:O198)&gt;0,1,0)</f>
        <v>0</v>
      </c>
      <c r="R198" s="96" t="str">
        <f>IF(C198="","",TRIM(LEFT(C198,FIND(" |",C198&amp;" |")-1)))</f>
        <v/>
      </c>
      <c r="S198" s="96" t="str">
        <f>IF(R198="","",IFERROR(MATCH(R198,'ITENS_MTR'!$A$6:$A$1005,0),""))</f>
        <v/>
      </c>
      <c r="T198" s="96">
        <f>IF(S198="",0,IF(INDEX('ITENS_MTR'!$R$6:$R$1005,S198)=1,1,0))</f>
        <v>0</v>
      </c>
      <c r="U198" s="96" t="str">
        <f>IF(T198=1,INDEX('ITENS_MTR'!$T$6:$T$1005,S198),"")</f>
        <v/>
      </c>
      <c r="V198" s="97" t="str">
        <f>IF(N(U198)&gt;0,INDEX('MTRs'!$E$6:$E$505,U198),"")</f>
        <v/>
      </c>
      <c r="W198" s="96" t="str">
        <f>IF(G198="","",IFERROR(IF(ISNUMBER(INDEX(cfg_fac,MATCH(G198,cfg_units,0))),IF(INDEX(cfg_fac,MATCH(G198,cfg_units,0))&gt;0,INDEX(cfg_fac,MATCH(G198,cfg_units,0)),""),""),""))</f>
        <v/>
      </c>
      <c r="X198" s="96">
        <f>IF(AND(ISNUMBER(F198),ISNUMBER(H198)),IF(H198&gt;0,1,0),0)</f>
        <v>0</v>
      </c>
      <c r="Y198" s="96">
        <f>IF(Q198=0,0,IF(OR(T198=0,X198=0,NOT(ISNUMBER(E198)),AND(J198="Sim",L198="",M198=""),AND(ISNUMBER(E198),ISNUMBER(V198),N(V198)&gt;0,E198&lt;N(V198))),1,0))</f>
        <v>0</v>
      </c>
      <c r="Z198" s="96">
        <f>IF(AND(Q198=1,T198=1,X198=1,J198="Sim",OR(L198&lt;&gt;"",M198&lt;&gt;"")),1,0)</f>
        <v>0</v>
      </c>
      <c r="AA198" s="96">
        <f>IF(Q198=0,0,IF(AND(OR(r_ini="",AND(ISNUMBER(E198),E198&gt;=r_ini)),OR(r_fim="",AND(ISNUMBER(E198),E198&lt;=r_fim)),OR(r_un="",r_un="(Todas)",IF(N(U198)&gt;0,INDEX('MTRs'!$G$6:$G$505,U198),"")=r_un),OR(r_de="",r_de="(Todos)",D198=r_de)),1,0))</f>
        <v>0</v>
      </c>
      <c r="AB198" s="96" t="str">
        <f>IF(AA198=1,COUNTIF($AA$6:AA198,1),"")</f>
        <v/>
      </c>
    </row>
    <row r="199">
      <c r="A199" s="89" t="inlineStr">
        <is>
          <t>REC-000194</t>
        </is>
      </c>
      <c r="B199" s="94" t="str">
        <f>IF(T199=1,INDEX('ITENS_MTR'!$S$6:$S$1005,S199)&amp;"","")</f>
        <v/>
      </c>
      <c r="C199" s="91" t="n"/>
      <c r="D199" s="94" t="str">
        <f>IF(N(U199)&gt;0,INDEX('MTRs'!$I$6:$I$505,U199)&amp;"","")</f>
        <v/>
      </c>
      <c r="E199" s="92" t="n"/>
      <c r="F199" s="98" t="n"/>
      <c r="G199" s="91" t="n"/>
      <c r="H199" s="93" t="str">
        <f>IF(Q199=0,"",IF(NOT(ISNUMBER(F199)),"",IF(ISNUMBER(W199),F199*W199,"UNIDADE A CONFERIR")))</f>
        <v/>
      </c>
      <c r="I199" s="91" t="n"/>
      <c r="J199" s="91" t="n"/>
      <c r="K199" s="92" t="n"/>
      <c r="L199" s="91" t="n"/>
      <c r="M199" s="91" t="n"/>
      <c r="N199" s="91" t="n"/>
      <c r="O199" s="91" t="n"/>
      <c r="P199" s="94" t="str">
        <f>IF(Q199=0,"",IF(C199="","Item de resíduo não informado",IF(T199=0,"Item inexistente (referência inválida)",IF(NOT(ISNUMBER(F199)),"Quantidade não informada",IF(F199&lt;=0,"Quantidade não positiva",IF(G199="","Unidade não informada",IF(NOT(ISNUMBER(H199)),"Unidade a conferir",IF(NOT(ISNUMBER(E199)),"Data de recebimento não informada",IF(AND(ISNUMBER(V199),N(V199)&gt;0,E199&lt;N(V199)),"Data anterior à emissão do MTR",IF(AND(J199="Sim",L199="",M199=""),"Conferido sem evidência identificada",IF(J199&lt;&gt;"Sim","Aguardando conferência",IF(INDEX('ITENS_MTR'!$AM$6:$AM$1005,S199)=1,"Conferido (ver diferença no item)","Conferido"))))))))))))</f>
        <v/>
      </c>
      <c r="Q199" s="96">
        <f>IF(COUNTA(C199,E199:G199,I199:O199)&gt;0,1,0)</f>
        <v>0</v>
      </c>
      <c r="R199" s="96" t="str">
        <f>IF(C199="","",TRIM(LEFT(C199,FIND(" |",C199&amp;" |")-1)))</f>
        <v/>
      </c>
      <c r="S199" s="96" t="str">
        <f>IF(R199="","",IFERROR(MATCH(R199,'ITENS_MTR'!$A$6:$A$1005,0),""))</f>
        <v/>
      </c>
      <c r="T199" s="96">
        <f>IF(S199="",0,IF(INDEX('ITENS_MTR'!$R$6:$R$1005,S199)=1,1,0))</f>
        <v>0</v>
      </c>
      <c r="U199" s="96" t="str">
        <f>IF(T199=1,INDEX('ITENS_MTR'!$T$6:$T$1005,S199),"")</f>
        <v/>
      </c>
      <c r="V199" s="97" t="str">
        <f>IF(N(U199)&gt;0,INDEX('MTRs'!$E$6:$E$505,U199),"")</f>
        <v/>
      </c>
      <c r="W199" s="96" t="str">
        <f>IF(G199="","",IFERROR(IF(ISNUMBER(INDEX(cfg_fac,MATCH(G199,cfg_units,0))),IF(INDEX(cfg_fac,MATCH(G199,cfg_units,0))&gt;0,INDEX(cfg_fac,MATCH(G199,cfg_units,0)),""),""),""))</f>
        <v/>
      </c>
      <c r="X199" s="96">
        <f>IF(AND(ISNUMBER(F199),ISNUMBER(H199)),IF(H199&gt;0,1,0),0)</f>
        <v>0</v>
      </c>
      <c r="Y199" s="96">
        <f>IF(Q199=0,0,IF(OR(T199=0,X199=0,NOT(ISNUMBER(E199)),AND(J199="Sim",L199="",M199=""),AND(ISNUMBER(E199),ISNUMBER(V199),N(V199)&gt;0,E199&lt;N(V199))),1,0))</f>
        <v>0</v>
      </c>
      <c r="Z199" s="96">
        <f>IF(AND(Q199=1,T199=1,X199=1,J199="Sim",OR(L199&lt;&gt;"",M199&lt;&gt;"")),1,0)</f>
        <v>0</v>
      </c>
      <c r="AA199" s="96">
        <f>IF(Q199=0,0,IF(AND(OR(r_ini="",AND(ISNUMBER(E199),E199&gt;=r_ini)),OR(r_fim="",AND(ISNUMBER(E199),E199&lt;=r_fim)),OR(r_un="",r_un="(Todas)",IF(N(U199)&gt;0,INDEX('MTRs'!$G$6:$G$505,U199),"")=r_un),OR(r_de="",r_de="(Todos)",D199=r_de)),1,0))</f>
        <v>0</v>
      </c>
      <c r="AB199" s="96" t="str">
        <f>IF(AA199=1,COUNTIF($AA$6:AA199,1),"")</f>
        <v/>
      </c>
    </row>
    <row r="200">
      <c r="A200" s="89" t="inlineStr">
        <is>
          <t>REC-000195</t>
        </is>
      </c>
      <c r="B200" s="94" t="str">
        <f>IF(T200=1,INDEX('ITENS_MTR'!$S$6:$S$1005,S200)&amp;"","")</f>
        <v/>
      </c>
      <c r="C200" s="91" t="n"/>
      <c r="D200" s="94" t="str">
        <f>IF(N(U200)&gt;0,INDEX('MTRs'!$I$6:$I$505,U200)&amp;"","")</f>
        <v/>
      </c>
      <c r="E200" s="92" t="n"/>
      <c r="F200" s="98" t="n"/>
      <c r="G200" s="91" t="n"/>
      <c r="H200" s="93" t="str">
        <f>IF(Q200=0,"",IF(NOT(ISNUMBER(F200)),"",IF(ISNUMBER(W200),F200*W200,"UNIDADE A CONFERIR")))</f>
        <v/>
      </c>
      <c r="I200" s="91" t="n"/>
      <c r="J200" s="91" t="n"/>
      <c r="K200" s="92" t="n"/>
      <c r="L200" s="91" t="n"/>
      <c r="M200" s="91" t="n"/>
      <c r="N200" s="91" t="n"/>
      <c r="O200" s="91" t="n"/>
      <c r="P200" s="94" t="str">
        <f>IF(Q200=0,"",IF(C200="","Item de resíduo não informado",IF(T200=0,"Item inexistente (referência inválida)",IF(NOT(ISNUMBER(F200)),"Quantidade não informada",IF(F200&lt;=0,"Quantidade não positiva",IF(G200="","Unidade não informada",IF(NOT(ISNUMBER(H200)),"Unidade a conferir",IF(NOT(ISNUMBER(E200)),"Data de recebimento não informada",IF(AND(ISNUMBER(V200),N(V200)&gt;0,E200&lt;N(V200)),"Data anterior à emissão do MTR",IF(AND(J200="Sim",L200="",M200=""),"Conferido sem evidência identificada",IF(J200&lt;&gt;"Sim","Aguardando conferência",IF(INDEX('ITENS_MTR'!$AM$6:$AM$1005,S200)=1,"Conferido (ver diferença no item)","Conferido"))))))))))))</f>
        <v/>
      </c>
      <c r="Q200" s="96">
        <f>IF(COUNTA(C200,E200:G200,I200:O200)&gt;0,1,0)</f>
        <v>0</v>
      </c>
      <c r="R200" s="96" t="str">
        <f>IF(C200="","",TRIM(LEFT(C200,FIND(" |",C200&amp;" |")-1)))</f>
        <v/>
      </c>
      <c r="S200" s="96" t="str">
        <f>IF(R200="","",IFERROR(MATCH(R200,'ITENS_MTR'!$A$6:$A$1005,0),""))</f>
        <v/>
      </c>
      <c r="T200" s="96">
        <f>IF(S200="",0,IF(INDEX('ITENS_MTR'!$R$6:$R$1005,S200)=1,1,0))</f>
        <v>0</v>
      </c>
      <c r="U200" s="96" t="str">
        <f>IF(T200=1,INDEX('ITENS_MTR'!$T$6:$T$1005,S200),"")</f>
        <v/>
      </c>
      <c r="V200" s="97" t="str">
        <f>IF(N(U200)&gt;0,INDEX('MTRs'!$E$6:$E$505,U200),"")</f>
        <v/>
      </c>
      <c r="W200" s="96" t="str">
        <f>IF(G200="","",IFERROR(IF(ISNUMBER(INDEX(cfg_fac,MATCH(G200,cfg_units,0))),IF(INDEX(cfg_fac,MATCH(G200,cfg_units,0))&gt;0,INDEX(cfg_fac,MATCH(G200,cfg_units,0)),""),""),""))</f>
        <v/>
      </c>
      <c r="X200" s="96">
        <f>IF(AND(ISNUMBER(F200),ISNUMBER(H200)),IF(H200&gt;0,1,0),0)</f>
        <v>0</v>
      </c>
      <c r="Y200" s="96">
        <f>IF(Q200=0,0,IF(OR(T200=0,X200=0,NOT(ISNUMBER(E200)),AND(J200="Sim",L200="",M200=""),AND(ISNUMBER(E200),ISNUMBER(V200),N(V200)&gt;0,E200&lt;N(V200))),1,0))</f>
        <v>0</v>
      </c>
      <c r="Z200" s="96">
        <f>IF(AND(Q200=1,T200=1,X200=1,J200="Sim",OR(L200&lt;&gt;"",M200&lt;&gt;"")),1,0)</f>
        <v>0</v>
      </c>
      <c r="AA200" s="96">
        <f>IF(Q200=0,0,IF(AND(OR(r_ini="",AND(ISNUMBER(E200),E200&gt;=r_ini)),OR(r_fim="",AND(ISNUMBER(E200),E200&lt;=r_fim)),OR(r_un="",r_un="(Todas)",IF(N(U200)&gt;0,INDEX('MTRs'!$G$6:$G$505,U200),"")=r_un),OR(r_de="",r_de="(Todos)",D200=r_de)),1,0))</f>
        <v>0</v>
      </c>
      <c r="AB200" s="96" t="str">
        <f>IF(AA200=1,COUNTIF($AA$6:AA200,1),"")</f>
        <v/>
      </c>
    </row>
    <row r="201">
      <c r="A201" s="89" t="inlineStr">
        <is>
          <t>REC-000196</t>
        </is>
      </c>
      <c r="B201" s="94" t="str">
        <f>IF(T201=1,INDEX('ITENS_MTR'!$S$6:$S$1005,S201)&amp;"","")</f>
        <v/>
      </c>
      <c r="C201" s="91" t="n"/>
      <c r="D201" s="94" t="str">
        <f>IF(N(U201)&gt;0,INDEX('MTRs'!$I$6:$I$505,U201)&amp;"","")</f>
        <v/>
      </c>
      <c r="E201" s="92" t="n"/>
      <c r="F201" s="98" t="n"/>
      <c r="G201" s="91" t="n"/>
      <c r="H201" s="93" t="str">
        <f>IF(Q201=0,"",IF(NOT(ISNUMBER(F201)),"",IF(ISNUMBER(W201),F201*W201,"UNIDADE A CONFERIR")))</f>
        <v/>
      </c>
      <c r="I201" s="91" t="n"/>
      <c r="J201" s="91" t="n"/>
      <c r="K201" s="92" t="n"/>
      <c r="L201" s="91" t="n"/>
      <c r="M201" s="91" t="n"/>
      <c r="N201" s="91" t="n"/>
      <c r="O201" s="91" t="n"/>
      <c r="P201" s="94" t="str">
        <f>IF(Q201=0,"",IF(C201="","Item de resíduo não informado",IF(T201=0,"Item inexistente (referência inválida)",IF(NOT(ISNUMBER(F201)),"Quantidade não informada",IF(F201&lt;=0,"Quantidade não positiva",IF(G201="","Unidade não informada",IF(NOT(ISNUMBER(H201)),"Unidade a conferir",IF(NOT(ISNUMBER(E201)),"Data de recebimento não informada",IF(AND(ISNUMBER(V201),N(V201)&gt;0,E201&lt;N(V201)),"Data anterior à emissão do MTR",IF(AND(J201="Sim",L201="",M201=""),"Conferido sem evidência identificada",IF(J201&lt;&gt;"Sim","Aguardando conferência",IF(INDEX('ITENS_MTR'!$AM$6:$AM$1005,S201)=1,"Conferido (ver diferença no item)","Conferido"))))))))))))</f>
        <v/>
      </c>
      <c r="Q201" s="96">
        <f>IF(COUNTA(C201,E201:G201,I201:O201)&gt;0,1,0)</f>
        <v>0</v>
      </c>
      <c r="R201" s="96" t="str">
        <f>IF(C201="","",TRIM(LEFT(C201,FIND(" |",C201&amp;" |")-1)))</f>
        <v/>
      </c>
      <c r="S201" s="96" t="str">
        <f>IF(R201="","",IFERROR(MATCH(R201,'ITENS_MTR'!$A$6:$A$1005,0),""))</f>
        <v/>
      </c>
      <c r="T201" s="96">
        <f>IF(S201="",0,IF(INDEX('ITENS_MTR'!$R$6:$R$1005,S201)=1,1,0))</f>
        <v>0</v>
      </c>
      <c r="U201" s="96" t="str">
        <f>IF(T201=1,INDEX('ITENS_MTR'!$T$6:$T$1005,S201),"")</f>
        <v/>
      </c>
      <c r="V201" s="97" t="str">
        <f>IF(N(U201)&gt;0,INDEX('MTRs'!$E$6:$E$505,U201),"")</f>
        <v/>
      </c>
      <c r="W201" s="96" t="str">
        <f>IF(G201="","",IFERROR(IF(ISNUMBER(INDEX(cfg_fac,MATCH(G201,cfg_units,0))),IF(INDEX(cfg_fac,MATCH(G201,cfg_units,0))&gt;0,INDEX(cfg_fac,MATCH(G201,cfg_units,0)),""),""),""))</f>
        <v/>
      </c>
      <c r="X201" s="96">
        <f>IF(AND(ISNUMBER(F201),ISNUMBER(H201)),IF(H201&gt;0,1,0),0)</f>
        <v>0</v>
      </c>
      <c r="Y201" s="96">
        <f>IF(Q201=0,0,IF(OR(T201=0,X201=0,NOT(ISNUMBER(E201)),AND(J201="Sim",L201="",M201=""),AND(ISNUMBER(E201),ISNUMBER(V201),N(V201)&gt;0,E201&lt;N(V201))),1,0))</f>
        <v>0</v>
      </c>
      <c r="Z201" s="96">
        <f>IF(AND(Q201=1,T201=1,X201=1,J201="Sim",OR(L201&lt;&gt;"",M201&lt;&gt;"")),1,0)</f>
        <v>0</v>
      </c>
      <c r="AA201" s="96">
        <f>IF(Q201=0,0,IF(AND(OR(r_ini="",AND(ISNUMBER(E201),E201&gt;=r_ini)),OR(r_fim="",AND(ISNUMBER(E201),E201&lt;=r_fim)),OR(r_un="",r_un="(Todas)",IF(N(U201)&gt;0,INDEX('MTRs'!$G$6:$G$505,U201),"")=r_un),OR(r_de="",r_de="(Todos)",D201=r_de)),1,0))</f>
        <v>0</v>
      </c>
      <c r="AB201" s="96" t="str">
        <f>IF(AA201=1,COUNTIF($AA$6:AA201,1),"")</f>
        <v/>
      </c>
    </row>
    <row r="202">
      <c r="A202" s="89" t="inlineStr">
        <is>
          <t>REC-000197</t>
        </is>
      </c>
      <c r="B202" s="94" t="str">
        <f>IF(T202=1,INDEX('ITENS_MTR'!$S$6:$S$1005,S202)&amp;"","")</f>
        <v/>
      </c>
      <c r="C202" s="91" t="n"/>
      <c r="D202" s="94" t="str">
        <f>IF(N(U202)&gt;0,INDEX('MTRs'!$I$6:$I$505,U202)&amp;"","")</f>
        <v/>
      </c>
      <c r="E202" s="92" t="n"/>
      <c r="F202" s="98" t="n"/>
      <c r="G202" s="91" t="n"/>
      <c r="H202" s="93" t="str">
        <f>IF(Q202=0,"",IF(NOT(ISNUMBER(F202)),"",IF(ISNUMBER(W202),F202*W202,"UNIDADE A CONFERIR")))</f>
        <v/>
      </c>
      <c r="I202" s="91" t="n"/>
      <c r="J202" s="91" t="n"/>
      <c r="K202" s="92" t="n"/>
      <c r="L202" s="91" t="n"/>
      <c r="M202" s="91" t="n"/>
      <c r="N202" s="91" t="n"/>
      <c r="O202" s="91" t="n"/>
      <c r="P202" s="94" t="str">
        <f>IF(Q202=0,"",IF(C202="","Item de resíduo não informado",IF(T202=0,"Item inexistente (referência inválida)",IF(NOT(ISNUMBER(F202)),"Quantidade não informada",IF(F202&lt;=0,"Quantidade não positiva",IF(G202="","Unidade não informada",IF(NOT(ISNUMBER(H202)),"Unidade a conferir",IF(NOT(ISNUMBER(E202)),"Data de recebimento não informada",IF(AND(ISNUMBER(V202),N(V202)&gt;0,E202&lt;N(V202)),"Data anterior à emissão do MTR",IF(AND(J202="Sim",L202="",M202=""),"Conferido sem evidência identificada",IF(J202&lt;&gt;"Sim","Aguardando conferência",IF(INDEX('ITENS_MTR'!$AM$6:$AM$1005,S202)=1,"Conferido (ver diferença no item)","Conferido"))))))))))))</f>
        <v/>
      </c>
      <c r="Q202" s="96">
        <f>IF(COUNTA(C202,E202:G202,I202:O202)&gt;0,1,0)</f>
        <v>0</v>
      </c>
      <c r="R202" s="96" t="str">
        <f>IF(C202="","",TRIM(LEFT(C202,FIND(" |",C202&amp;" |")-1)))</f>
        <v/>
      </c>
      <c r="S202" s="96" t="str">
        <f>IF(R202="","",IFERROR(MATCH(R202,'ITENS_MTR'!$A$6:$A$1005,0),""))</f>
        <v/>
      </c>
      <c r="T202" s="96">
        <f>IF(S202="",0,IF(INDEX('ITENS_MTR'!$R$6:$R$1005,S202)=1,1,0))</f>
        <v>0</v>
      </c>
      <c r="U202" s="96" t="str">
        <f>IF(T202=1,INDEX('ITENS_MTR'!$T$6:$T$1005,S202),"")</f>
        <v/>
      </c>
      <c r="V202" s="97" t="str">
        <f>IF(N(U202)&gt;0,INDEX('MTRs'!$E$6:$E$505,U202),"")</f>
        <v/>
      </c>
      <c r="W202" s="96" t="str">
        <f>IF(G202="","",IFERROR(IF(ISNUMBER(INDEX(cfg_fac,MATCH(G202,cfg_units,0))),IF(INDEX(cfg_fac,MATCH(G202,cfg_units,0))&gt;0,INDEX(cfg_fac,MATCH(G202,cfg_units,0)),""),""),""))</f>
        <v/>
      </c>
      <c r="X202" s="96">
        <f>IF(AND(ISNUMBER(F202),ISNUMBER(H202)),IF(H202&gt;0,1,0),0)</f>
        <v>0</v>
      </c>
      <c r="Y202" s="96">
        <f>IF(Q202=0,0,IF(OR(T202=0,X202=0,NOT(ISNUMBER(E202)),AND(J202="Sim",L202="",M202=""),AND(ISNUMBER(E202),ISNUMBER(V202),N(V202)&gt;0,E202&lt;N(V202))),1,0))</f>
        <v>0</v>
      </c>
      <c r="Z202" s="96">
        <f>IF(AND(Q202=1,T202=1,X202=1,J202="Sim",OR(L202&lt;&gt;"",M202&lt;&gt;"")),1,0)</f>
        <v>0</v>
      </c>
      <c r="AA202" s="96">
        <f>IF(Q202=0,0,IF(AND(OR(r_ini="",AND(ISNUMBER(E202),E202&gt;=r_ini)),OR(r_fim="",AND(ISNUMBER(E202),E202&lt;=r_fim)),OR(r_un="",r_un="(Todas)",IF(N(U202)&gt;0,INDEX('MTRs'!$G$6:$G$505,U202),"")=r_un),OR(r_de="",r_de="(Todos)",D202=r_de)),1,0))</f>
        <v>0</v>
      </c>
      <c r="AB202" s="96" t="str">
        <f>IF(AA202=1,COUNTIF($AA$6:AA202,1),"")</f>
        <v/>
      </c>
    </row>
    <row r="203">
      <c r="A203" s="89" t="inlineStr">
        <is>
          <t>REC-000198</t>
        </is>
      </c>
      <c r="B203" s="94" t="str">
        <f>IF(T203=1,INDEX('ITENS_MTR'!$S$6:$S$1005,S203)&amp;"","")</f>
        <v/>
      </c>
      <c r="C203" s="91" t="n"/>
      <c r="D203" s="94" t="str">
        <f>IF(N(U203)&gt;0,INDEX('MTRs'!$I$6:$I$505,U203)&amp;"","")</f>
        <v/>
      </c>
      <c r="E203" s="92" t="n"/>
      <c r="F203" s="98" t="n"/>
      <c r="G203" s="91" t="n"/>
      <c r="H203" s="93" t="str">
        <f>IF(Q203=0,"",IF(NOT(ISNUMBER(F203)),"",IF(ISNUMBER(W203),F203*W203,"UNIDADE A CONFERIR")))</f>
        <v/>
      </c>
      <c r="I203" s="91" t="n"/>
      <c r="J203" s="91" t="n"/>
      <c r="K203" s="92" t="n"/>
      <c r="L203" s="91" t="n"/>
      <c r="M203" s="91" t="n"/>
      <c r="N203" s="91" t="n"/>
      <c r="O203" s="91" t="n"/>
      <c r="P203" s="94" t="str">
        <f>IF(Q203=0,"",IF(C203="","Item de resíduo não informado",IF(T203=0,"Item inexistente (referência inválida)",IF(NOT(ISNUMBER(F203)),"Quantidade não informada",IF(F203&lt;=0,"Quantidade não positiva",IF(G203="","Unidade não informada",IF(NOT(ISNUMBER(H203)),"Unidade a conferir",IF(NOT(ISNUMBER(E203)),"Data de recebimento não informada",IF(AND(ISNUMBER(V203),N(V203)&gt;0,E203&lt;N(V203)),"Data anterior à emissão do MTR",IF(AND(J203="Sim",L203="",M203=""),"Conferido sem evidência identificada",IF(J203&lt;&gt;"Sim","Aguardando conferência",IF(INDEX('ITENS_MTR'!$AM$6:$AM$1005,S203)=1,"Conferido (ver diferença no item)","Conferido"))))))))))))</f>
        <v/>
      </c>
      <c r="Q203" s="96">
        <f>IF(COUNTA(C203,E203:G203,I203:O203)&gt;0,1,0)</f>
        <v>0</v>
      </c>
      <c r="R203" s="96" t="str">
        <f>IF(C203="","",TRIM(LEFT(C203,FIND(" |",C203&amp;" |")-1)))</f>
        <v/>
      </c>
      <c r="S203" s="96" t="str">
        <f>IF(R203="","",IFERROR(MATCH(R203,'ITENS_MTR'!$A$6:$A$1005,0),""))</f>
        <v/>
      </c>
      <c r="T203" s="96">
        <f>IF(S203="",0,IF(INDEX('ITENS_MTR'!$R$6:$R$1005,S203)=1,1,0))</f>
        <v>0</v>
      </c>
      <c r="U203" s="96" t="str">
        <f>IF(T203=1,INDEX('ITENS_MTR'!$T$6:$T$1005,S203),"")</f>
        <v/>
      </c>
      <c r="V203" s="97" t="str">
        <f>IF(N(U203)&gt;0,INDEX('MTRs'!$E$6:$E$505,U203),"")</f>
        <v/>
      </c>
      <c r="W203" s="96" t="str">
        <f>IF(G203="","",IFERROR(IF(ISNUMBER(INDEX(cfg_fac,MATCH(G203,cfg_units,0))),IF(INDEX(cfg_fac,MATCH(G203,cfg_units,0))&gt;0,INDEX(cfg_fac,MATCH(G203,cfg_units,0)),""),""),""))</f>
        <v/>
      </c>
      <c r="X203" s="96">
        <f>IF(AND(ISNUMBER(F203),ISNUMBER(H203)),IF(H203&gt;0,1,0),0)</f>
        <v>0</v>
      </c>
      <c r="Y203" s="96">
        <f>IF(Q203=0,0,IF(OR(T203=0,X203=0,NOT(ISNUMBER(E203)),AND(J203="Sim",L203="",M203=""),AND(ISNUMBER(E203),ISNUMBER(V203),N(V203)&gt;0,E203&lt;N(V203))),1,0))</f>
        <v>0</v>
      </c>
      <c r="Z203" s="96">
        <f>IF(AND(Q203=1,T203=1,X203=1,J203="Sim",OR(L203&lt;&gt;"",M203&lt;&gt;"")),1,0)</f>
        <v>0</v>
      </c>
      <c r="AA203" s="96">
        <f>IF(Q203=0,0,IF(AND(OR(r_ini="",AND(ISNUMBER(E203),E203&gt;=r_ini)),OR(r_fim="",AND(ISNUMBER(E203),E203&lt;=r_fim)),OR(r_un="",r_un="(Todas)",IF(N(U203)&gt;0,INDEX('MTRs'!$G$6:$G$505,U203),"")=r_un),OR(r_de="",r_de="(Todos)",D203=r_de)),1,0))</f>
        <v>0</v>
      </c>
      <c r="AB203" s="96" t="str">
        <f>IF(AA203=1,COUNTIF($AA$6:AA203,1),"")</f>
        <v/>
      </c>
    </row>
    <row r="204">
      <c r="A204" s="89" t="inlineStr">
        <is>
          <t>REC-000199</t>
        </is>
      </c>
      <c r="B204" s="94" t="str">
        <f>IF(T204=1,INDEX('ITENS_MTR'!$S$6:$S$1005,S204)&amp;"","")</f>
        <v/>
      </c>
      <c r="C204" s="91" t="n"/>
      <c r="D204" s="94" t="str">
        <f>IF(N(U204)&gt;0,INDEX('MTRs'!$I$6:$I$505,U204)&amp;"","")</f>
        <v/>
      </c>
      <c r="E204" s="92" t="n"/>
      <c r="F204" s="98" t="n"/>
      <c r="G204" s="91" t="n"/>
      <c r="H204" s="93" t="str">
        <f>IF(Q204=0,"",IF(NOT(ISNUMBER(F204)),"",IF(ISNUMBER(W204),F204*W204,"UNIDADE A CONFERIR")))</f>
        <v/>
      </c>
      <c r="I204" s="91" t="n"/>
      <c r="J204" s="91" t="n"/>
      <c r="K204" s="92" t="n"/>
      <c r="L204" s="91" t="n"/>
      <c r="M204" s="91" t="n"/>
      <c r="N204" s="91" t="n"/>
      <c r="O204" s="91" t="n"/>
      <c r="P204" s="94" t="str">
        <f>IF(Q204=0,"",IF(C204="","Item de resíduo não informado",IF(T204=0,"Item inexistente (referência inválida)",IF(NOT(ISNUMBER(F204)),"Quantidade não informada",IF(F204&lt;=0,"Quantidade não positiva",IF(G204="","Unidade não informada",IF(NOT(ISNUMBER(H204)),"Unidade a conferir",IF(NOT(ISNUMBER(E204)),"Data de recebimento não informada",IF(AND(ISNUMBER(V204),N(V204)&gt;0,E204&lt;N(V204)),"Data anterior à emissão do MTR",IF(AND(J204="Sim",L204="",M204=""),"Conferido sem evidência identificada",IF(J204&lt;&gt;"Sim","Aguardando conferência",IF(INDEX('ITENS_MTR'!$AM$6:$AM$1005,S204)=1,"Conferido (ver diferença no item)","Conferido"))))))))))))</f>
        <v/>
      </c>
      <c r="Q204" s="96">
        <f>IF(COUNTA(C204,E204:G204,I204:O204)&gt;0,1,0)</f>
        <v>0</v>
      </c>
      <c r="R204" s="96" t="str">
        <f>IF(C204="","",TRIM(LEFT(C204,FIND(" |",C204&amp;" |")-1)))</f>
        <v/>
      </c>
      <c r="S204" s="96" t="str">
        <f>IF(R204="","",IFERROR(MATCH(R204,'ITENS_MTR'!$A$6:$A$1005,0),""))</f>
        <v/>
      </c>
      <c r="T204" s="96">
        <f>IF(S204="",0,IF(INDEX('ITENS_MTR'!$R$6:$R$1005,S204)=1,1,0))</f>
        <v>0</v>
      </c>
      <c r="U204" s="96" t="str">
        <f>IF(T204=1,INDEX('ITENS_MTR'!$T$6:$T$1005,S204),"")</f>
        <v/>
      </c>
      <c r="V204" s="97" t="str">
        <f>IF(N(U204)&gt;0,INDEX('MTRs'!$E$6:$E$505,U204),"")</f>
        <v/>
      </c>
      <c r="W204" s="96" t="str">
        <f>IF(G204="","",IFERROR(IF(ISNUMBER(INDEX(cfg_fac,MATCH(G204,cfg_units,0))),IF(INDEX(cfg_fac,MATCH(G204,cfg_units,0))&gt;0,INDEX(cfg_fac,MATCH(G204,cfg_units,0)),""),""),""))</f>
        <v/>
      </c>
      <c r="X204" s="96">
        <f>IF(AND(ISNUMBER(F204),ISNUMBER(H204)),IF(H204&gt;0,1,0),0)</f>
        <v>0</v>
      </c>
      <c r="Y204" s="96">
        <f>IF(Q204=0,0,IF(OR(T204=0,X204=0,NOT(ISNUMBER(E204)),AND(J204="Sim",L204="",M204=""),AND(ISNUMBER(E204),ISNUMBER(V204),N(V204)&gt;0,E204&lt;N(V204))),1,0))</f>
        <v>0</v>
      </c>
      <c r="Z204" s="96">
        <f>IF(AND(Q204=1,T204=1,X204=1,J204="Sim",OR(L204&lt;&gt;"",M204&lt;&gt;"")),1,0)</f>
        <v>0</v>
      </c>
      <c r="AA204" s="96">
        <f>IF(Q204=0,0,IF(AND(OR(r_ini="",AND(ISNUMBER(E204),E204&gt;=r_ini)),OR(r_fim="",AND(ISNUMBER(E204),E204&lt;=r_fim)),OR(r_un="",r_un="(Todas)",IF(N(U204)&gt;0,INDEX('MTRs'!$G$6:$G$505,U204),"")=r_un),OR(r_de="",r_de="(Todos)",D204=r_de)),1,0))</f>
        <v>0</v>
      </c>
      <c r="AB204" s="96" t="str">
        <f>IF(AA204=1,COUNTIF($AA$6:AA204,1),"")</f>
        <v/>
      </c>
    </row>
    <row r="205">
      <c r="A205" s="89" t="inlineStr">
        <is>
          <t>REC-000200</t>
        </is>
      </c>
      <c r="B205" s="94" t="str">
        <f>IF(T205=1,INDEX('ITENS_MTR'!$S$6:$S$1005,S205)&amp;"","")</f>
        <v/>
      </c>
      <c r="C205" s="91" t="n"/>
      <c r="D205" s="94" t="str">
        <f>IF(N(U205)&gt;0,INDEX('MTRs'!$I$6:$I$505,U205)&amp;"","")</f>
        <v/>
      </c>
      <c r="E205" s="92" t="n"/>
      <c r="F205" s="98" t="n"/>
      <c r="G205" s="91" t="n"/>
      <c r="H205" s="93" t="str">
        <f>IF(Q205=0,"",IF(NOT(ISNUMBER(F205)),"",IF(ISNUMBER(W205),F205*W205,"UNIDADE A CONFERIR")))</f>
        <v/>
      </c>
      <c r="I205" s="91" t="n"/>
      <c r="J205" s="91" t="n"/>
      <c r="K205" s="92" t="n"/>
      <c r="L205" s="91" t="n"/>
      <c r="M205" s="91" t="n"/>
      <c r="N205" s="91" t="n"/>
      <c r="O205" s="91" t="n"/>
      <c r="P205" s="94" t="str">
        <f>IF(Q205=0,"",IF(C205="","Item de resíduo não informado",IF(T205=0,"Item inexistente (referência inválida)",IF(NOT(ISNUMBER(F205)),"Quantidade não informada",IF(F205&lt;=0,"Quantidade não positiva",IF(G205="","Unidade não informada",IF(NOT(ISNUMBER(H205)),"Unidade a conferir",IF(NOT(ISNUMBER(E205)),"Data de recebimento não informada",IF(AND(ISNUMBER(V205),N(V205)&gt;0,E205&lt;N(V205)),"Data anterior à emissão do MTR",IF(AND(J205="Sim",L205="",M205=""),"Conferido sem evidência identificada",IF(J205&lt;&gt;"Sim","Aguardando conferência",IF(INDEX('ITENS_MTR'!$AM$6:$AM$1005,S205)=1,"Conferido (ver diferença no item)","Conferido"))))))))))))</f>
        <v/>
      </c>
      <c r="Q205" s="96">
        <f>IF(COUNTA(C205,E205:G205,I205:O205)&gt;0,1,0)</f>
        <v>0</v>
      </c>
      <c r="R205" s="96" t="str">
        <f>IF(C205="","",TRIM(LEFT(C205,FIND(" |",C205&amp;" |")-1)))</f>
        <v/>
      </c>
      <c r="S205" s="96" t="str">
        <f>IF(R205="","",IFERROR(MATCH(R205,'ITENS_MTR'!$A$6:$A$1005,0),""))</f>
        <v/>
      </c>
      <c r="T205" s="96">
        <f>IF(S205="",0,IF(INDEX('ITENS_MTR'!$R$6:$R$1005,S205)=1,1,0))</f>
        <v>0</v>
      </c>
      <c r="U205" s="96" t="str">
        <f>IF(T205=1,INDEX('ITENS_MTR'!$T$6:$T$1005,S205),"")</f>
        <v/>
      </c>
      <c r="V205" s="97" t="str">
        <f>IF(N(U205)&gt;0,INDEX('MTRs'!$E$6:$E$505,U205),"")</f>
        <v/>
      </c>
      <c r="W205" s="96" t="str">
        <f>IF(G205="","",IFERROR(IF(ISNUMBER(INDEX(cfg_fac,MATCH(G205,cfg_units,0))),IF(INDEX(cfg_fac,MATCH(G205,cfg_units,0))&gt;0,INDEX(cfg_fac,MATCH(G205,cfg_units,0)),""),""),""))</f>
        <v/>
      </c>
      <c r="X205" s="96">
        <f>IF(AND(ISNUMBER(F205),ISNUMBER(H205)),IF(H205&gt;0,1,0),0)</f>
        <v>0</v>
      </c>
      <c r="Y205" s="96">
        <f>IF(Q205=0,0,IF(OR(T205=0,X205=0,NOT(ISNUMBER(E205)),AND(J205="Sim",L205="",M205=""),AND(ISNUMBER(E205),ISNUMBER(V205),N(V205)&gt;0,E205&lt;N(V205))),1,0))</f>
        <v>0</v>
      </c>
      <c r="Z205" s="96">
        <f>IF(AND(Q205=1,T205=1,X205=1,J205="Sim",OR(L205&lt;&gt;"",M205&lt;&gt;"")),1,0)</f>
        <v>0</v>
      </c>
      <c r="AA205" s="96">
        <f>IF(Q205=0,0,IF(AND(OR(r_ini="",AND(ISNUMBER(E205),E205&gt;=r_ini)),OR(r_fim="",AND(ISNUMBER(E205),E205&lt;=r_fim)),OR(r_un="",r_un="(Todas)",IF(N(U205)&gt;0,INDEX('MTRs'!$G$6:$G$505,U205),"")=r_un),OR(r_de="",r_de="(Todos)",D205=r_de)),1,0))</f>
        <v>0</v>
      </c>
      <c r="AB205" s="96" t="str">
        <f>IF(AA205=1,COUNTIF($AA$6:AA205,1),"")</f>
        <v/>
      </c>
    </row>
    <row r="206">
      <c r="A206" s="89" t="inlineStr">
        <is>
          <t>REC-000201</t>
        </is>
      </c>
      <c r="B206" s="94" t="str">
        <f>IF(T206=1,INDEX('ITENS_MTR'!$S$6:$S$1005,S206)&amp;"","")</f>
        <v/>
      </c>
      <c r="C206" s="91" t="n"/>
      <c r="D206" s="94" t="str">
        <f>IF(N(U206)&gt;0,INDEX('MTRs'!$I$6:$I$505,U206)&amp;"","")</f>
        <v/>
      </c>
      <c r="E206" s="92" t="n"/>
      <c r="F206" s="98" t="n"/>
      <c r="G206" s="91" t="n"/>
      <c r="H206" s="93" t="str">
        <f>IF(Q206=0,"",IF(NOT(ISNUMBER(F206)),"",IF(ISNUMBER(W206),F206*W206,"UNIDADE A CONFERIR")))</f>
        <v/>
      </c>
      <c r="I206" s="91" t="n"/>
      <c r="J206" s="91" t="n"/>
      <c r="K206" s="92" t="n"/>
      <c r="L206" s="91" t="n"/>
      <c r="M206" s="91" t="n"/>
      <c r="N206" s="91" t="n"/>
      <c r="O206" s="91" t="n"/>
      <c r="P206" s="94" t="str">
        <f>IF(Q206=0,"",IF(C206="","Item de resíduo não informado",IF(T206=0,"Item inexistente (referência inválida)",IF(NOT(ISNUMBER(F206)),"Quantidade não informada",IF(F206&lt;=0,"Quantidade não positiva",IF(G206="","Unidade não informada",IF(NOT(ISNUMBER(H206)),"Unidade a conferir",IF(NOT(ISNUMBER(E206)),"Data de recebimento não informada",IF(AND(ISNUMBER(V206),N(V206)&gt;0,E206&lt;N(V206)),"Data anterior à emissão do MTR",IF(AND(J206="Sim",L206="",M206=""),"Conferido sem evidência identificada",IF(J206&lt;&gt;"Sim","Aguardando conferência",IF(INDEX('ITENS_MTR'!$AM$6:$AM$1005,S206)=1,"Conferido (ver diferença no item)","Conferido"))))))))))))</f>
        <v/>
      </c>
      <c r="Q206" s="96">
        <f>IF(COUNTA(C206,E206:G206,I206:O206)&gt;0,1,0)</f>
        <v>0</v>
      </c>
      <c r="R206" s="96" t="str">
        <f>IF(C206="","",TRIM(LEFT(C206,FIND(" |",C206&amp;" |")-1)))</f>
        <v/>
      </c>
      <c r="S206" s="96" t="str">
        <f>IF(R206="","",IFERROR(MATCH(R206,'ITENS_MTR'!$A$6:$A$1005,0),""))</f>
        <v/>
      </c>
      <c r="T206" s="96">
        <f>IF(S206="",0,IF(INDEX('ITENS_MTR'!$R$6:$R$1005,S206)=1,1,0))</f>
        <v>0</v>
      </c>
      <c r="U206" s="96" t="str">
        <f>IF(T206=1,INDEX('ITENS_MTR'!$T$6:$T$1005,S206),"")</f>
        <v/>
      </c>
      <c r="V206" s="97" t="str">
        <f>IF(N(U206)&gt;0,INDEX('MTRs'!$E$6:$E$505,U206),"")</f>
        <v/>
      </c>
      <c r="W206" s="96" t="str">
        <f>IF(G206="","",IFERROR(IF(ISNUMBER(INDEX(cfg_fac,MATCH(G206,cfg_units,0))),IF(INDEX(cfg_fac,MATCH(G206,cfg_units,0))&gt;0,INDEX(cfg_fac,MATCH(G206,cfg_units,0)),""),""),""))</f>
        <v/>
      </c>
      <c r="X206" s="96">
        <f>IF(AND(ISNUMBER(F206),ISNUMBER(H206)),IF(H206&gt;0,1,0),0)</f>
        <v>0</v>
      </c>
      <c r="Y206" s="96">
        <f>IF(Q206=0,0,IF(OR(T206=0,X206=0,NOT(ISNUMBER(E206)),AND(J206="Sim",L206="",M206=""),AND(ISNUMBER(E206),ISNUMBER(V206),N(V206)&gt;0,E206&lt;N(V206))),1,0))</f>
        <v>0</v>
      </c>
      <c r="Z206" s="96">
        <f>IF(AND(Q206=1,T206=1,X206=1,J206="Sim",OR(L206&lt;&gt;"",M206&lt;&gt;"")),1,0)</f>
        <v>0</v>
      </c>
      <c r="AA206" s="96">
        <f>IF(Q206=0,0,IF(AND(OR(r_ini="",AND(ISNUMBER(E206),E206&gt;=r_ini)),OR(r_fim="",AND(ISNUMBER(E206),E206&lt;=r_fim)),OR(r_un="",r_un="(Todas)",IF(N(U206)&gt;0,INDEX('MTRs'!$G$6:$G$505,U206),"")=r_un),OR(r_de="",r_de="(Todos)",D206=r_de)),1,0))</f>
        <v>0</v>
      </c>
      <c r="AB206" s="96" t="str">
        <f>IF(AA206=1,COUNTIF($AA$6:AA206,1),"")</f>
        <v/>
      </c>
    </row>
    <row r="207">
      <c r="A207" s="89" t="inlineStr">
        <is>
          <t>REC-000202</t>
        </is>
      </c>
      <c r="B207" s="94" t="str">
        <f>IF(T207=1,INDEX('ITENS_MTR'!$S$6:$S$1005,S207)&amp;"","")</f>
        <v/>
      </c>
      <c r="C207" s="91" t="n"/>
      <c r="D207" s="94" t="str">
        <f>IF(N(U207)&gt;0,INDEX('MTRs'!$I$6:$I$505,U207)&amp;"","")</f>
        <v/>
      </c>
      <c r="E207" s="92" t="n"/>
      <c r="F207" s="98" t="n"/>
      <c r="G207" s="91" t="n"/>
      <c r="H207" s="93" t="str">
        <f>IF(Q207=0,"",IF(NOT(ISNUMBER(F207)),"",IF(ISNUMBER(W207),F207*W207,"UNIDADE A CONFERIR")))</f>
        <v/>
      </c>
      <c r="I207" s="91" t="n"/>
      <c r="J207" s="91" t="n"/>
      <c r="K207" s="92" t="n"/>
      <c r="L207" s="91" t="n"/>
      <c r="M207" s="91" t="n"/>
      <c r="N207" s="91" t="n"/>
      <c r="O207" s="91" t="n"/>
      <c r="P207" s="94" t="str">
        <f>IF(Q207=0,"",IF(C207="","Item de resíduo não informado",IF(T207=0,"Item inexistente (referência inválida)",IF(NOT(ISNUMBER(F207)),"Quantidade não informada",IF(F207&lt;=0,"Quantidade não positiva",IF(G207="","Unidade não informada",IF(NOT(ISNUMBER(H207)),"Unidade a conferir",IF(NOT(ISNUMBER(E207)),"Data de recebimento não informada",IF(AND(ISNUMBER(V207),N(V207)&gt;0,E207&lt;N(V207)),"Data anterior à emissão do MTR",IF(AND(J207="Sim",L207="",M207=""),"Conferido sem evidência identificada",IF(J207&lt;&gt;"Sim","Aguardando conferência",IF(INDEX('ITENS_MTR'!$AM$6:$AM$1005,S207)=1,"Conferido (ver diferença no item)","Conferido"))))))))))))</f>
        <v/>
      </c>
      <c r="Q207" s="96">
        <f>IF(COUNTA(C207,E207:G207,I207:O207)&gt;0,1,0)</f>
        <v>0</v>
      </c>
      <c r="R207" s="96" t="str">
        <f>IF(C207="","",TRIM(LEFT(C207,FIND(" |",C207&amp;" |")-1)))</f>
        <v/>
      </c>
      <c r="S207" s="96" t="str">
        <f>IF(R207="","",IFERROR(MATCH(R207,'ITENS_MTR'!$A$6:$A$1005,0),""))</f>
        <v/>
      </c>
      <c r="T207" s="96">
        <f>IF(S207="",0,IF(INDEX('ITENS_MTR'!$R$6:$R$1005,S207)=1,1,0))</f>
        <v>0</v>
      </c>
      <c r="U207" s="96" t="str">
        <f>IF(T207=1,INDEX('ITENS_MTR'!$T$6:$T$1005,S207),"")</f>
        <v/>
      </c>
      <c r="V207" s="97" t="str">
        <f>IF(N(U207)&gt;0,INDEX('MTRs'!$E$6:$E$505,U207),"")</f>
        <v/>
      </c>
      <c r="W207" s="96" t="str">
        <f>IF(G207="","",IFERROR(IF(ISNUMBER(INDEX(cfg_fac,MATCH(G207,cfg_units,0))),IF(INDEX(cfg_fac,MATCH(G207,cfg_units,0))&gt;0,INDEX(cfg_fac,MATCH(G207,cfg_units,0)),""),""),""))</f>
        <v/>
      </c>
      <c r="X207" s="96">
        <f>IF(AND(ISNUMBER(F207),ISNUMBER(H207)),IF(H207&gt;0,1,0),0)</f>
        <v>0</v>
      </c>
      <c r="Y207" s="96">
        <f>IF(Q207=0,0,IF(OR(T207=0,X207=0,NOT(ISNUMBER(E207)),AND(J207="Sim",L207="",M207=""),AND(ISNUMBER(E207),ISNUMBER(V207),N(V207)&gt;0,E207&lt;N(V207))),1,0))</f>
        <v>0</v>
      </c>
      <c r="Z207" s="96">
        <f>IF(AND(Q207=1,T207=1,X207=1,J207="Sim",OR(L207&lt;&gt;"",M207&lt;&gt;"")),1,0)</f>
        <v>0</v>
      </c>
      <c r="AA207" s="96">
        <f>IF(Q207=0,0,IF(AND(OR(r_ini="",AND(ISNUMBER(E207),E207&gt;=r_ini)),OR(r_fim="",AND(ISNUMBER(E207),E207&lt;=r_fim)),OR(r_un="",r_un="(Todas)",IF(N(U207)&gt;0,INDEX('MTRs'!$G$6:$G$505,U207),"")=r_un),OR(r_de="",r_de="(Todos)",D207=r_de)),1,0))</f>
        <v>0</v>
      </c>
      <c r="AB207" s="96" t="str">
        <f>IF(AA207=1,COUNTIF($AA$6:AA207,1),"")</f>
        <v/>
      </c>
    </row>
    <row r="208">
      <c r="A208" s="89" t="inlineStr">
        <is>
          <t>REC-000203</t>
        </is>
      </c>
      <c r="B208" s="94" t="str">
        <f>IF(T208=1,INDEX('ITENS_MTR'!$S$6:$S$1005,S208)&amp;"","")</f>
        <v/>
      </c>
      <c r="C208" s="91" t="n"/>
      <c r="D208" s="94" t="str">
        <f>IF(N(U208)&gt;0,INDEX('MTRs'!$I$6:$I$505,U208)&amp;"","")</f>
        <v/>
      </c>
      <c r="E208" s="92" t="n"/>
      <c r="F208" s="98" t="n"/>
      <c r="G208" s="91" t="n"/>
      <c r="H208" s="93" t="str">
        <f>IF(Q208=0,"",IF(NOT(ISNUMBER(F208)),"",IF(ISNUMBER(W208),F208*W208,"UNIDADE A CONFERIR")))</f>
        <v/>
      </c>
      <c r="I208" s="91" t="n"/>
      <c r="J208" s="91" t="n"/>
      <c r="K208" s="92" t="n"/>
      <c r="L208" s="91" t="n"/>
      <c r="M208" s="91" t="n"/>
      <c r="N208" s="91" t="n"/>
      <c r="O208" s="91" t="n"/>
      <c r="P208" s="94" t="str">
        <f>IF(Q208=0,"",IF(C208="","Item de resíduo não informado",IF(T208=0,"Item inexistente (referência inválida)",IF(NOT(ISNUMBER(F208)),"Quantidade não informada",IF(F208&lt;=0,"Quantidade não positiva",IF(G208="","Unidade não informada",IF(NOT(ISNUMBER(H208)),"Unidade a conferir",IF(NOT(ISNUMBER(E208)),"Data de recebimento não informada",IF(AND(ISNUMBER(V208),N(V208)&gt;0,E208&lt;N(V208)),"Data anterior à emissão do MTR",IF(AND(J208="Sim",L208="",M208=""),"Conferido sem evidência identificada",IF(J208&lt;&gt;"Sim","Aguardando conferência",IF(INDEX('ITENS_MTR'!$AM$6:$AM$1005,S208)=1,"Conferido (ver diferença no item)","Conferido"))))))))))))</f>
        <v/>
      </c>
      <c r="Q208" s="96">
        <f>IF(COUNTA(C208,E208:G208,I208:O208)&gt;0,1,0)</f>
        <v>0</v>
      </c>
      <c r="R208" s="96" t="str">
        <f>IF(C208="","",TRIM(LEFT(C208,FIND(" |",C208&amp;" |")-1)))</f>
        <v/>
      </c>
      <c r="S208" s="96" t="str">
        <f>IF(R208="","",IFERROR(MATCH(R208,'ITENS_MTR'!$A$6:$A$1005,0),""))</f>
        <v/>
      </c>
      <c r="T208" s="96">
        <f>IF(S208="",0,IF(INDEX('ITENS_MTR'!$R$6:$R$1005,S208)=1,1,0))</f>
        <v>0</v>
      </c>
      <c r="U208" s="96" t="str">
        <f>IF(T208=1,INDEX('ITENS_MTR'!$T$6:$T$1005,S208),"")</f>
        <v/>
      </c>
      <c r="V208" s="97" t="str">
        <f>IF(N(U208)&gt;0,INDEX('MTRs'!$E$6:$E$505,U208),"")</f>
        <v/>
      </c>
      <c r="W208" s="96" t="str">
        <f>IF(G208="","",IFERROR(IF(ISNUMBER(INDEX(cfg_fac,MATCH(G208,cfg_units,0))),IF(INDEX(cfg_fac,MATCH(G208,cfg_units,0))&gt;0,INDEX(cfg_fac,MATCH(G208,cfg_units,0)),""),""),""))</f>
        <v/>
      </c>
      <c r="X208" s="96">
        <f>IF(AND(ISNUMBER(F208),ISNUMBER(H208)),IF(H208&gt;0,1,0),0)</f>
        <v>0</v>
      </c>
      <c r="Y208" s="96">
        <f>IF(Q208=0,0,IF(OR(T208=0,X208=0,NOT(ISNUMBER(E208)),AND(J208="Sim",L208="",M208=""),AND(ISNUMBER(E208),ISNUMBER(V208),N(V208)&gt;0,E208&lt;N(V208))),1,0))</f>
        <v>0</v>
      </c>
      <c r="Z208" s="96">
        <f>IF(AND(Q208=1,T208=1,X208=1,J208="Sim",OR(L208&lt;&gt;"",M208&lt;&gt;"")),1,0)</f>
        <v>0</v>
      </c>
      <c r="AA208" s="96">
        <f>IF(Q208=0,0,IF(AND(OR(r_ini="",AND(ISNUMBER(E208),E208&gt;=r_ini)),OR(r_fim="",AND(ISNUMBER(E208),E208&lt;=r_fim)),OR(r_un="",r_un="(Todas)",IF(N(U208)&gt;0,INDEX('MTRs'!$G$6:$G$505,U208),"")=r_un),OR(r_de="",r_de="(Todos)",D208=r_de)),1,0))</f>
        <v>0</v>
      </c>
      <c r="AB208" s="96" t="str">
        <f>IF(AA208=1,COUNTIF($AA$6:AA208,1),"")</f>
        <v/>
      </c>
    </row>
    <row r="209">
      <c r="A209" s="89" t="inlineStr">
        <is>
          <t>REC-000204</t>
        </is>
      </c>
      <c r="B209" s="94" t="str">
        <f>IF(T209=1,INDEX('ITENS_MTR'!$S$6:$S$1005,S209)&amp;"","")</f>
        <v/>
      </c>
      <c r="C209" s="91" t="n"/>
      <c r="D209" s="94" t="str">
        <f>IF(N(U209)&gt;0,INDEX('MTRs'!$I$6:$I$505,U209)&amp;"","")</f>
        <v/>
      </c>
      <c r="E209" s="92" t="n"/>
      <c r="F209" s="98" t="n"/>
      <c r="G209" s="91" t="n"/>
      <c r="H209" s="93" t="str">
        <f>IF(Q209=0,"",IF(NOT(ISNUMBER(F209)),"",IF(ISNUMBER(W209),F209*W209,"UNIDADE A CONFERIR")))</f>
        <v/>
      </c>
      <c r="I209" s="91" t="n"/>
      <c r="J209" s="91" t="n"/>
      <c r="K209" s="92" t="n"/>
      <c r="L209" s="91" t="n"/>
      <c r="M209" s="91" t="n"/>
      <c r="N209" s="91" t="n"/>
      <c r="O209" s="91" t="n"/>
      <c r="P209" s="94" t="str">
        <f>IF(Q209=0,"",IF(C209="","Item de resíduo não informado",IF(T209=0,"Item inexistente (referência inválida)",IF(NOT(ISNUMBER(F209)),"Quantidade não informada",IF(F209&lt;=0,"Quantidade não positiva",IF(G209="","Unidade não informada",IF(NOT(ISNUMBER(H209)),"Unidade a conferir",IF(NOT(ISNUMBER(E209)),"Data de recebimento não informada",IF(AND(ISNUMBER(V209),N(V209)&gt;0,E209&lt;N(V209)),"Data anterior à emissão do MTR",IF(AND(J209="Sim",L209="",M209=""),"Conferido sem evidência identificada",IF(J209&lt;&gt;"Sim","Aguardando conferência",IF(INDEX('ITENS_MTR'!$AM$6:$AM$1005,S209)=1,"Conferido (ver diferença no item)","Conferido"))))))))))))</f>
        <v/>
      </c>
      <c r="Q209" s="96">
        <f>IF(COUNTA(C209,E209:G209,I209:O209)&gt;0,1,0)</f>
        <v>0</v>
      </c>
      <c r="R209" s="96" t="str">
        <f>IF(C209="","",TRIM(LEFT(C209,FIND(" |",C209&amp;" |")-1)))</f>
        <v/>
      </c>
      <c r="S209" s="96" t="str">
        <f>IF(R209="","",IFERROR(MATCH(R209,'ITENS_MTR'!$A$6:$A$1005,0),""))</f>
        <v/>
      </c>
      <c r="T209" s="96">
        <f>IF(S209="",0,IF(INDEX('ITENS_MTR'!$R$6:$R$1005,S209)=1,1,0))</f>
        <v>0</v>
      </c>
      <c r="U209" s="96" t="str">
        <f>IF(T209=1,INDEX('ITENS_MTR'!$T$6:$T$1005,S209),"")</f>
        <v/>
      </c>
      <c r="V209" s="97" t="str">
        <f>IF(N(U209)&gt;0,INDEX('MTRs'!$E$6:$E$505,U209),"")</f>
        <v/>
      </c>
      <c r="W209" s="96" t="str">
        <f>IF(G209="","",IFERROR(IF(ISNUMBER(INDEX(cfg_fac,MATCH(G209,cfg_units,0))),IF(INDEX(cfg_fac,MATCH(G209,cfg_units,0))&gt;0,INDEX(cfg_fac,MATCH(G209,cfg_units,0)),""),""),""))</f>
        <v/>
      </c>
      <c r="X209" s="96">
        <f>IF(AND(ISNUMBER(F209),ISNUMBER(H209)),IF(H209&gt;0,1,0),0)</f>
        <v>0</v>
      </c>
      <c r="Y209" s="96">
        <f>IF(Q209=0,0,IF(OR(T209=0,X209=0,NOT(ISNUMBER(E209)),AND(J209="Sim",L209="",M209=""),AND(ISNUMBER(E209),ISNUMBER(V209),N(V209)&gt;0,E209&lt;N(V209))),1,0))</f>
        <v>0</v>
      </c>
      <c r="Z209" s="96">
        <f>IF(AND(Q209=1,T209=1,X209=1,J209="Sim",OR(L209&lt;&gt;"",M209&lt;&gt;"")),1,0)</f>
        <v>0</v>
      </c>
      <c r="AA209" s="96">
        <f>IF(Q209=0,0,IF(AND(OR(r_ini="",AND(ISNUMBER(E209),E209&gt;=r_ini)),OR(r_fim="",AND(ISNUMBER(E209),E209&lt;=r_fim)),OR(r_un="",r_un="(Todas)",IF(N(U209)&gt;0,INDEX('MTRs'!$G$6:$G$505,U209),"")=r_un),OR(r_de="",r_de="(Todos)",D209=r_de)),1,0))</f>
        <v>0</v>
      </c>
      <c r="AB209" s="96" t="str">
        <f>IF(AA209=1,COUNTIF($AA$6:AA209,1),"")</f>
        <v/>
      </c>
    </row>
    <row r="210">
      <c r="A210" s="89" t="inlineStr">
        <is>
          <t>REC-000205</t>
        </is>
      </c>
      <c r="B210" s="94" t="str">
        <f>IF(T210=1,INDEX('ITENS_MTR'!$S$6:$S$1005,S210)&amp;"","")</f>
        <v/>
      </c>
      <c r="C210" s="91" t="n"/>
      <c r="D210" s="94" t="str">
        <f>IF(N(U210)&gt;0,INDEX('MTRs'!$I$6:$I$505,U210)&amp;"","")</f>
        <v/>
      </c>
      <c r="E210" s="92" t="n"/>
      <c r="F210" s="98" t="n"/>
      <c r="G210" s="91" t="n"/>
      <c r="H210" s="93" t="str">
        <f>IF(Q210=0,"",IF(NOT(ISNUMBER(F210)),"",IF(ISNUMBER(W210),F210*W210,"UNIDADE A CONFERIR")))</f>
        <v/>
      </c>
      <c r="I210" s="91" t="n"/>
      <c r="J210" s="91" t="n"/>
      <c r="K210" s="92" t="n"/>
      <c r="L210" s="91" t="n"/>
      <c r="M210" s="91" t="n"/>
      <c r="N210" s="91" t="n"/>
      <c r="O210" s="91" t="n"/>
      <c r="P210" s="94" t="str">
        <f>IF(Q210=0,"",IF(C210="","Item de resíduo não informado",IF(T210=0,"Item inexistente (referência inválida)",IF(NOT(ISNUMBER(F210)),"Quantidade não informada",IF(F210&lt;=0,"Quantidade não positiva",IF(G210="","Unidade não informada",IF(NOT(ISNUMBER(H210)),"Unidade a conferir",IF(NOT(ISNUMBER(E210)),"Data de recebimento não informada",IF(AND(ISNUMBER(V210),N(V210)&gt;0,E210&lt;N(V210)),"Data anterior à emissão do MTR",IF(AND(J210="Sim",L210="",M210=""),"Conferido sem evidência identificada",IF(J210&lt;&gt;"Sim","Aguardando conferência",IF(INDEX('ITENS_MTR'!$AM$6:$AM$1005,S210)=1,"Conferido (ver diferença no item)","Conferido"))))))))))))</f>
        <v/>
      </c>
      <c r="Q210" s="96">
        <f>IF(COUNTA(C210,E210:G210,I210:O210)&gt;0,1,0)</f>
        <v>0</v>
      </c>
      <c r="R210" s="96" t="str">
        <f>IF(C210="","",TRIM(LEFT(C210,FIND(" |",C210&amp;" |")-1)))</f>
        <v/>
      </c>
      <c r="S210" s="96" t="str">
        <f>IF(R210="","",IFERROR(MATCH(R210,'ITENS_MTR'!$A$6:$A$1005,0),""))</f>
        <v/>
      </c>
      <c r="T210" s="96">
        <f>IF(S210="",0,IF(INDEX('ITENS_MTR'!$R$6:$R$1005,S210)=1,1,0))</f>
        <v>0</v>
      </c>
      <c r="U210" s="96" t="str">
        <f>IF(T210=1,INDEX('ITENS_MTR'!$T$6:$T$1005,S210),"")</f>
        <v/>
      </c>
      <c r="V210" s="97" t="str">
        <f>IF(N(U210)&gt;0,INDEX('MTRs'!$E$6:$E$505,U210),"")</f>
        <v/>
      </c>
      <c r="W210" s="96" t="str">
        <f>IF(G210="","",IFERROR(IF(ISNUMBER(INDEX(cfg_fac,MATCH(G210,cfg_units,0))),IF(INDEX(cfg_fac,MATCH(G210,cfg_units,0))&gt;0,INDEX(cfg_fac,MATCH(G210,cfg_units,0)),""),""),""))</f>
        <v/>
      </c>
      <c r="X210" s="96">
        <f>IF(AND(ISNUMBER(F210),ISNUMBER(H210)),IF(H210&gt;0,1,0),0)</f>
        <v>0</v>
      </c>
      <c r="Y210" s="96">
        <f>IF(Q210=0,0,IF(OR(T210=0,X210=0,NOT(ISNUMBER(E210)),AND(J210="Sim",L210="",M210=""),AND(ISNUMBER(E210),ISNUMBER(V210),N(V210)&gt;0,E210&lt;N(V210))),1,0))</f>
        <v>0</v>
      </c>
      <c r="Z210" s="96">
        <f>IF(AND(Q210=1,T210=1,X210=1,J210="Sim",OR(L210&lt;&gt;"",M210&lt;&gt;"")),1,0)</f>
        <v>0</v>
      </c>
      <c r="AA210" s="96">
        <f>IF(Q210=0,0,IF(AND(OR(r_ini="",AND(ISNUMBER(E210),E210&gt;=r_ini)),OR(r_fim="",AND(ISNUMBER(E210),E210&lt;=r_fim)),OR(r_un="",r_un="(Todas)",IF(N(U210)&gt;0,INDEX('MTRs'!$G$6:$G$505,U210),"")=r_un),OR(r_de="",r_de="(Todos)",D210=r_de)),1,0))</f>
        <v>0</v>
      </c>
      <c r="AB210" s="96" t="str">
        <f>IF(AA210=1,COUNTIF($AA$6:AA210,1),"")</f>
        <v/>
      </c>
    </row>
    <row r="211">
      <c r="A211" s="89" t="inlineStr">
        <is>
          <t>REC-000206</t>
        </is>
      </c>
      <c r="B211" s="94" t="str">
        <f>IF(T211=1,INDEX('ITENS_MTR'!$S$6:$S$1005,S211)&amp;"","")</f>
        <v/>
      </c>
      <c r="C211" s="91" t="n"/>
      <c r="D211" s="94" t="str">
        <f>IF(N(U211)&gt;0,INDEX('MTRs'!$I$6:$I$505,U211)&amp;"","")</f>
        <v/>
      </c>
      <c r="E211" s="92" t="n"/>
      <c r="F211" s="98" t="n"/>
      <c r="G211" s="91" t="n"/>
      <c r="H211" s="93" t="str">
        <f>IF(Q211=0,"",IF(NOT(ISNUMBER(F211)),"",IF(ISNUMBER(W211),F211*W211,"UNIDADE A CONFERIR")))</f>
        <v/>
      </c>
      <c r="I211" s="91" t="n"/>
      <c r="J211" s="91" t="n"/>
      <c r="K211" s="92" t="n"/>
      <c r="L211" s="91" t="n"/>
      <c r="M211" s="91" t="n"/>
      <c r="N211" s="91" t="n"/>
      <c r="O211" s="91" t="n"/>
      <c r="P211" s="94" t="str">
        <f>IF(Q211=0,"",IF(C211="","Item de resíduo não informado",IF(T211=0,"Item inexistente (referência inválida)",IF(NOT(ISNUMBER(F211)),"Quantidade não informada",IF(F211&lt;=0,"Quantidade não positiva",IF(G211="","Unidade não informada",IF(NOT(ISNUMBER(H211)),"Unidade a conferir",IF(NOT(ISNUMBER(E211)),"Data de recebimento não informada",IF(AND(ISNUMBER(V211),N(V211)&gt;0,E211&lt;N(V211)),"Data anterior à emissão do MTR",IF(AND(J211="Sim",L211="",M211=""),"Conferido sem evidência identificada",IF(J211&lt;&gt;"Sim","Aguardando conferência",IF(INDEX('ITENS_MTR'!$AM$6:$AM$1005,S211)=1,"Conferido (ver diferença no item)","Conferido"))))))))))))</f>
        <v/>
      </c>
      <c r="Q211" s="96">
        <f>IF(COUNTA(C211,E211:G211,I211:O211)&gt;0,1,0)</f>
        <v>0</v>
      </c>
      <c r="R211" s="96" t="str">
        <f>IF(C211="","",TRIM(LEFT(C211,FIND(" |",C211&amp;" |")-1)))</f>
        <v/>
      </c>
      <c r="S211" s="96" t="str">
        <f>IF(R211="","",IFERROR(MATCH(R211,'ITENS_MTR'!$A$6:$A$1005,0),""))</f>
        <v/>
      </c>
      <c r="T211" s="96">
        <f>IF(S211="",0,IF(INDEX('ITENS_MTR'!$R$6:$R$1005,S211)=1,1,0))</f>
        <v>0</v>
      </c>
      <c r="U211" s="96" t="str">
        <f>IF(T211=1,INDEX('ITENS_MTR'!$T$6:$T$1005,S211),"")</f>
        <v/>
      </c>
      <c r="V211" s="97" t="str">
        <f>IF(N(U211)&gt;0,INDEX('MTRs'!$E$6:$E$505,U211),"")</f>
        <v/>
      </c>
      <c r="W211" s="96" t="str">
        <f>IF(G211="","",IFERROR(IF(ISNUMBER(INDEX(cfg_fac,MATCH(G211,cfg_units,0))),IF(INDEX(cfg_fac,MATCH(G211,cfg_units,0))&gt;0,INDEX(cfg_fac,MATCH(G211,cfg_units,0)),""),""),""))</f>
        <v/>
      </c>
      <c r="X211" s="96">
        <f>IF(AND(ISNUMBER(F211),ISNUMBER(H211)),IF(H211&gt;0,1,0),0)</f>
        <v>0</v>
      </c>
      <c r="Y211" s="96">
        <f>IF(Q211=0,0,IF(OR(T211=0,X211=0,NOT(ISNUMBER(E211)),AND(J211="Sim",L211="",M211=""),AND(ISNUMBER(E211),ISNUMBER(V211),N(V211)&gt;0,E211&lt;N(V211))),1,0))</f>
        <v>0</v>
      </c>
      <c r="Z211" s="96">
        <f>IF(AND(Q211=1,T211=1,X211=1,J211="Sim",OR(L211&lt;&gt;"",M211&lt;&gt;"")),1,0)</f>
        <v>0</v>
      </c>
      <c r="AA211" s="96">
        <f>IF(Q211=0,0,IF(AND(OR(r_ini="",AND(ISNUMBER(E211),E211&gt;=r_ini)),OR(r_fim="",AND(ISNUMBER(E211),E211&lt;=r_fim)),OR(r_un="",r_un="(Todas)",IF(N(U211)&gt;0,INDEX('MTRs'!$G$6:$G$505,U211),"")=r_un),OR(r_de="",r_de="(Todos)",D211=r_de)),1,0))</f>
        <v>0</v>
      </c>
      <c r="AB211" s="96" t="str">
        <f>IF(AA211=1,COUNTIF($AA$6:AA211,1),"")</f>
        <v/>
      </c>
    </row>
    <row r="212">
      <c r="A212" s="89" t="inlineStr">
        <is>
          <t>REC-000207</t>
        </is>
      </c>
      <c r="B212" s="94" t="str">
        <f>IF(T212=1,INDEX('ITENS_MTR'!$S$6:$S$1005,S212)&amp;"","")</f>
        <v/>
      </c>
      <c r="C212" s="91" t="n"/>
      <c r="D212" s="94" t="str">
        <f>IF(N(U212)&gt;0,INDEX('MTRs'!$I$6:$I$505,U212)&amp;"","")</f>
        <v/>
      </c>
      <c r="E212" s="92" t="n"/>
      <c r="F212" s="98" t="n"/>
      <c r="G212" s="91" t="n"/>
      <c r="H212" s="93" t="str">
        <f>IF(Q212=0,"",IF(NOT(ISNUMBER(F212)),"",IF(ISNUMBER(W212),F212*W212,"UNIDADE A CONFERIR")))</f>
        <v/>
      </c>
      <c r="I212" s="91" t="n"/>
      <c r="J212" s="91" t="n"/>
      <c r="K212" s="92" t="n"/>
      <c r="L212" s="91" t="n"/>
      <c r="M212" s="91" t="n"/>
      <c r="N212" s="91" t="n"/>
      <c r="O212" s="91" t="n"/>
      <c r="P212" s="94" t="str">
        <f>IF(Q212=0,"",IF(C212="","Item de resíduo não informado",IF(T212=0,"Item inexistente (referência inválida)",IF(NOT(ISNUMBER(F212)),"Quantidade não informada",IF(F212&lt;=0,"Quantidade não positiva",IF(G212="","Unidade não informada",IF(NOT(ISNUMBER(H212)),"Unidade a conferir",IF(NOT(ISNUMBER(E212)),"Data de recebimento não informada",IF(AND(ISNUMBER(V212),N(V212)&gt;0,E212&lt;N(V212)),"Data anterior à emissão do MTR",IF(AND(J212="Sim",L212="",M212=""),"Conferido sem evidência identificada",IF(J212&lt;&gt;"Sim","Aguardando conferência",IF(INDEX('ITENS_MTR'!$AM$6:$AM$1005,S212)=1,"Conferido (ver diferença no item)","Conferido"))))))))))))</f>
        <v/>
      </c>
      <c r="Q212" s="96">
        <f>IF(COUNTA(C212,E212:G212,I212:O212)&gt;0,1,0)</f>
        <v>0</v>
      </c>
      <c r="R212" s="96" t="str">
        <f>IF(C212="","",TRIM(LEFT(C212,FIND(" |",C212&amp;" |")-1)))</f>
        <v/>
      </c>
      <c r="S212" s="96" t="str">
        <f>IF(R212="","",IFERROR(MATCH(R212,'ITENS_MTR'!$A$6:$A$1005,0),""))</f>
        <v/>
      </c>
      <c r="T212" s="96">
        <f>IF(S212="",0,IF(INDEX('ITENS_MTR'!$R$6:$R$1005,S212)=1,1,0))</f>
        <v>0</v>
      </c>
      <c r="U212" s="96" t="str">
        <f>IF(T212=1,INDEX('ITENS_MTR'!$T$6:$T$1005,S212),"")</f>
        <v/>
      </c>
      <c r="V212" s="97" t="str">
        <f>IF(N(U212)&gt;0,INDEX('MTRs'!$E$6:$E$505,U212),"")</f>
        <v/>
      </c>
      <c r="W212" s="96" t="str">
        <f>IF(G212="","",IFERROR(IF(ISNUMBER(INDEX(cfg_fac,MATCH(G212,cfg_units,0))),IF(INDEX(cfg_fac,MATCH(G212,cfg_units,0))&gt;0,INDEX(cfg_fac,MATCH(G212,cfg_units,0)),""),""),""))</f>
        <v/>
      </c>
      <c r="X212" s="96">
        <f>IF(AND(ISNUMBER(F212),ISNUMBER(H212)),IF(H212&gt;0,1,0),0)</f>
        <v>0</v>
      </c>
      <c r="Y212" s="96">
        <f>IF(Q212=0,0,IF(OR(T212=0,X212=0,NOT(ISNUMBER(E212)),AND(J212="Sim",L212="",M212=""),AND(ISNUMBER(E212),ISNUMBER(V212),N(V212)&gt;0,E212&lt;N(V212))),1,0))</f>
        <v>0</v>
      </c>
      <c r="Z212" s="96">
        <f>IF(AND(Q212=1,T212=1,X212=1,J212="Sim",OR(L212&lt;&gt;"",M212&lt;&gt;"")),1,0)</f>
        <v>0</v>
      </c>
      <c r="AA212" s="96">
        <f>IF(Q212=0,0,IF(AND(OR(r_ini="",AND(ISNUMBER(E212),E212&gt;=r_ini)),OR(r_fim="",AND(ISNUMBER(E212),E212&lt;=r_fim)),OR(r_un="",r_un="(Todas)",IF(N(U212)&gt;0,INDEX('MTRs'!$G$6:$G$505,U212),"")=r_un),OR(r_de="",r_de="(Todos)",D212=r_de)),1,0))</f>
        <v>0</v>
      </c>
      <c r="AB212" s="96" t="str">
        <f>IF(AA212=1,COUNTIF($AA$6:AA212,1),"")</f>
        <v/>
      </c>
    </row>
    <row r="213">
      <c r="A213" s="89" t="inlineStr">
        <is>
          <t>REC-000208</t>
        </is>
      </c>
      <c r="B213" s="94" t="str">
        <f>IF(T213=1,INDEX('ITENS_MTR'!$S$6:$S$1005,S213)&amp;"","")</f>
        <v/>
      </c>
      <c r="C213" s="91" t="n"/>
      <c r="D213" s="94" t="str">
        <f>IF(N(U213)&gt;0,INDEX('MTRs'!$I$6:$I$505,U213)&amp;"","")</f>
        <v/>
      </c>
      <c r="E213" s="92" t="n"/>
      <c r="F213" s="98" t="n"/>
      <c r="G213" s="91" t="n"/>
      <c r="H213" s="93" t="str">
        <f>IF(Q213=0,"",IF(NOT(ISNUMBER(F213)),"",IF(ISNUMBER(W213),F213*W213,"UNIDADE A CONFERIR")))</f>
        <v/>
      </c>
      <c r="I213" s="91" t="n"/>
      <c r="J213" s="91" t="n"/>
      <c r="K213" s="92" t="n"/>
      <c r="L213" s="91" t="n"/>
      <c r="M213" s="91" t="n"/>
      <c r="N213" s="91" t="n"/>
      <c r="O213" s="91" t="n"/>
      <c r="P213" s="94" t="str">
        <f>IF(Q213=0,"",IF(C213="","Item de resíduo não informado",IF(T213=0,"Item inexistente (referência inválida)",IF(NOT(ISNUMBER(F213)),"Quantidade não informada",IF(F213&lt;=0,"Quantidade não positiva",IF(G213="","Unidade não informada",IF(NOT(ISNUMBER(H213)),"Unidade a conferir",IF(NOT(ISNUMBER(E213)),"Data de recebimento não informada",IF(AND(ISNUMBER(V213),N(V213)&gt;0,E213&lt;N(V213)),"Data anterior à emissão do MTR",IF(AND(J213="Sim",L213="",M213=""),"Conferido sem evidência identificada",IF(J213&lt;&gt;"Sim","Aguardando conferência",IF(INDEX('ITENS_MTR'!$AM$6:$AM$1005,S213)=1,"Conferido (ver diferença no item)","Conferido"))))))))))))</f>
        <v/>
      </c>
      <c r="Q213" s="96">
        <f>IF(COUNTA(C213,E213:G213,I213:O213)&gt;0,1,0)</f>
        <v>0</v>
      </c>
      <c r="R213" s="96" t="str">
        <f>IF(C213="","",TRIM(LEFT(C213,FIND(" |",C213&amp;" |")-1)))</f>
        <v/>
      </c>
      <c r="S213" s="96" t="str">
        <f>IF(R213="","",IFERROR(MATCH(R213,'ITENS_MTR'!$A$6:$A$1005,0),""))</f>
        <v/>
      </c>
      <c r="T213" s="96">
        <f>IF(S213="",0,IF(INDEX('ITENS_MTR'!$R$6:$R$1005,S213)=1,1,0))</f>
        <v>0</v>
      </c>
      <c r="U213" s="96" t="str">
        <f>IF(T213=1,INDEX('ITENS_MTR'!$T$6:$T$1005,S213),"")</f>
        <v/>
      </c>
      <c r="V213" s="97" t="str">
        <f>IF(N(U213)&gt;0,INDEX('MTRs'!$E$6:$E$505,U213),"")</f>
        <v/>
      </c>
      <c r="W213" s="96" t="str">
        <f>IF(G213="","",IFERROR(IF(ISNUMBER(INDEX(cfg_fac,MATCH(G213,cfg_units,0))),IF(INDEX(cfg_fac,MATCH(G213,cfg_units,0))&gt;0,INDEX(cfg_fac,MATCH(G213,cfg_units,0)),""),""),""))</f>
        <v/>
      </c>
      <c r="X213" s="96">
        <f>IF(AND(ISNUMBER(F213),ISNUMBER(H213)),IF(H213&gt;0,1,0),0)</f>
        <v>0</v>
      </c>
      <c r="Y213" s="96">
        <f>IF(Q213=0,0,IF(OR(T213=0,X213=0,NOT(ISNUMBER(E213)),AND(J213="Sim",L213="",M213=""),AND(ISNUMBER(E213),ISNUMBER(V213),N(V213)&gt;0,E213&lt;N(V213))),1,0))</f>
        <v>0</v>
      </c>
      <c r="Z213" s="96">
        <f>IF(AND(Q213=1,T213=1,X213=1,J213="Sim",OR(L213&lt;&gt;"",M213&lt;&gt;"")),1,0)</f>
        <v>0</v>
      </c>
      <c r="AA213" s="96">
        <f>IF(Q213=0,0,IF(AND(OR(r_ini="",AND(ISNUMBER(E213),E213&gt;=r_ini)),OR(r_fim="",AND(ISNUMBER(E213),E213&lt;=r_fim)),OR(r_un="",r_un="(Todas)",IF(N(U213)&gt;0,INDEX('MTRs'!$G$6:$G$505,U213),"")=r_un),OR(r_de="",r_de="(Todos)",D213=r_de)),1,0))</f>
        <v>0</v>
      </c>
      <c r="AB213" s="96" t="str">
        <f>IF(AA213=1,COUNTIF($AA$6:AA213,1),"")</f>
        <v/>
      </c>
    </row>
    <row r="214">
      <c r="A214" s="89" t="inlineStr">
        <is>
          <t>REC-000209</t>
        </is>
      </c>
      <c r="B214" s="94" t="str">
        <f>IF(T214=1,INDEX('ITENS_MTR'!$S$6:$S$1005,S214)&amp;"","")</f>
        <v/>
      </c>
      <c r="C214" s="91" t="n"/>
      <c r="D214" s="94" t="str">
        <f>IF(N(U214)&gt;0,INDEX('MTRs'!$I$6:$I$505,U214)&amp;"","")</f>
        <v/>
      </c>
      <c r="E214" s="92" t="n"/>
      <c r="F214" s="98" t="n"/>
      <c r="G214" s="91" t="n"/>
      <c r="H214" s="93" t="str">
        <f>IF(Q214=0,"",IF(NOT(ISNUMBER(F214)),"",IF(ISNUMBER(W214),F214*W214,"UNIDADE A CONFERIR")))</f>
        <v/>
      </c>
      <c r="I214" s="91" t="n"/>
      <c r="J214" s="91" t="n"/>
      <c r="K214" s="92" t="n"/>
      <c r="L214" s="91" t="n"/>
      <c r="M214" s="91" t="n"/>
      <c r="N214" s="91" t="n"/>
      <c r="O214" s="91" t="n"/>
      <c r="P214" s="94" t="str">
        <f>IF(Q214=0,"",IF(C214="","Item de resíduo não informado",IF(T214=0,"Item inexistente (referência inválida)",IF(NOT(ISNUMBER(F214)),"Quantidade não informada",IF(F214&lt;=0,"Quantidade não positiva",IF(G214="","Unidade não informada",IF(NOT(ISNUMBER(H214)),"Unidade a conferir",IF(NOT(ISNUMBER(E214)),"Data de recebimento não informada",IF(AND(ISNUMBER(V214),N(V214)&gt;0,E214&lt;N(V214)),"Data anterior à emissão do MTR",IF(AND(J214="Sim",L214="",M214=""),"Conferido sem evidência identificada",IF(J214&lt;&gt;"Sim","Aguardando conferência",IF(INDEX('ITENS_MTR'!$AM$6:$AM$1005,S214)=1,"Conferido (ver diferença no item)","Conferido"))))))))))))</f>
        <v/>
      </c>
      <c r="Q214" s="96">
        <f>IF(COUNTA(C214,E214:G214,I214:O214)&gt;0,1,0)</f>
        <v>0</v>
      </c>
      <c r="R214" s="96" t="str">
        <f>IF(C214="","",TRIM(LEFT(C214,FIND(" |",C214&amp;" |")-1)))</f>
        <v/>
      </c>
      <c r="S214" s="96" t="str">
        <f>IF(R214="","",IFERROR(MATCH(R214,'ITENS_MTR'!$A$6:$A$1005,0),""))</f>
        <v/>
      </c>
      <c r="T214" s="96">
        <f>IF(S214="",0,IF(INDEX('ITENS_MTR'!$R$6:$R$1005,S214)=1,1,0))</f>
        <v>0</v>
      </c>
      <c r="U214" s="96" t="str">
        <f>IF(T214=1,INDEX('ITENS_MTR'!$T$6:$T$1005,S214),"")</f>
        <v/>
      </c>
      <c r="V214" s="97" t="str">
        <f>IF(N(U214)&gt;0,INDEX('MTRs'!$E$6:$E$505,U214),"")</f>
        <v/>
      </c>
      <c r="W214" s="96" t="str">
        <f>IF(G214="","",IFERROR(IF(ISNUMBER(INDEX(cfg_fac,MATCH(G214,cfg_units,0))),IF(INDEX(cfg_fac,MATCH(G214,cfg_units,0))&gt;0,INDEX(cfg_fac,MATCH(G214,cfg_units,0)),""),""),""))</f>
        <v/>
      </c>
      <c r="X214" s="96">
        <f>IF(AND(ISNUMBER(F214),ISNUMBER(H214)),IF(H214&gt;0,1,0),0)</f>
        <v>0</v>
      </c>
      <c r="Y214" s="96">
        <f>IF(Q214=0,0,IF(OR(T214=0,X214=0,NOT(ISNUMBER(E214)),AND(J214="Sim",L214="",M214=""),AND(ISNUMBER(E214),ISNUMBER(V214),N(V214)&gt;0,E214&lt;N(V214))),1,0))</f>
        <v>0</v>
      </c>
      <c r="Z214" s="96">
        <f>IF(AND(Q214=1,T214=1,X214=1,J214="Sim",OR(L214&lt;&gt;"",M214&lt;&gt;"")),1,0)</f>
        <v>0</v>
      </c>
      <c r="AA214" s="96">
        <f>IF(Q214=0,0,IF(AND(OR(r_ini="",AND(ISNUMBER(E214),E214&gt;=r_ini)),OR(r_fim="",AND(ISNUMBER(E214),E214&lt;=r_fim)),OR(r_un="",r_un="(Todas)",IF(N(U214)&gt;0,INDEX('MTRs'!$G$6:$G$505,U214),"")=r_un),OR(r_de="",r_de="(Todos)",D214=r_de)),1,0))</f>
        <v>0</v>
      </c>
      <c r="AB214" s="96" t="str">
        <f>IF(AA214=1,COUNTIF($AA$6:AA214,1),"")</f>
        <v/>
      </c>
    </row>
    <row r="215">
      <c r="A215" s="89" t="inlineStr">
        <is>
          <t>REC-000210</t>
        </is>
      </c>
      <c r="B215" s="94" t="str">
        <f>IF(T215=1,INDEX('ITENS_MTR'!$S$6:$S$1005,S215)&amp;"","")</f>
        <v/>
      </c>
      <c r="C215" s="91" t="n"/>
      <c r="D215" s="94" t="str">
        <f>IF(N(U215)&gt;0,INDEX('MTRs'!$I$6:$I$505,U215)&amp;"","")</f>
        <v/>
      </c>
      <c r="E215" s="92" t="n"/>
      <c r="F215" s="98" t="n"/>
      <c r="G215" s="91" t="n"/>
      <c r="H215" s="93" t="str">
        <f>IF(Q215=0,"",IF(NOT(ISNUMBER(F215)),"",IF(ISNUMBER(W215),F215*W215,"UNIDADE A CONFERIR")))</f>
        <v/>
      </c>
      <c r="I215" s="91" t="n"/>
      <c r="J215" s="91" t="n"/>
      <c r="K215" s="92" t="n"/>
      <c r="L215" s="91" t="n"/>
      <c r="M215" s="91" t="n"/>
      <c r="N215" s="91" t="n"/>
      <c r="O215" s="91" t="n"/>
      <c r="P215" s="94" t="str">
        <f>IF(Q215=0,"",IF(C215="","Item de resíduo não informado",IF(T215=0,"Item inexistente (referência inválida)",IF(NOT(ISNUMBER(F215)),"Quantidade não informada",IF(F215&lt;=0,"Quantidade não positiva",IF(G215="","Unidade não informada",IF(NOT(ISNUMBER(H215)),"Unidade a conferir",IF(NOT(ISNUMBER(E215)),"Data de recebimento não informada",IF(AND(ISNUMBER(V215),N(V215)&gt;0,E215&lt;N(V215)),"Data anterior à emissão do MTR",IF(AND(J215="Sim",L215="",M215=""),"Conferido sem evidência identificada",IF(J215&lt;&gt;"Sim","Aguardando conferência",IF(INDEX('ITENS_MTR'!$AM$6:$AM$1005,S215)=1,"Conferido (ver diferença no item)","Conferido"))))))))))))</f>
        <v/>
      </c>
      <c r="Q215" s="96">
        <f>IF(COUNTA(C215,E215:G215,I215:O215)&gt;0,1,0)</f>
        <v>0</v>
      </c>
      <c r="R215" s="96" t="str">
        <f>IF(C215="","",TRIM(LEFT(C215,FIND(" |",C215&amp;" |")-1)))</f>
        <v/>
      </c>
      <c r="S215" s="96" t="str">
        <f>IF(R215="","",IFERROR(MATCH(R215,'ITENS_MTR'!$A$6:$A$1005,0),""))</f>
        <v/>
      </c>
      <c r="T215" s="96">
        <f>IF(S215="",0,IF(INDEX('ITENS_MTR'!$R$6:$R$1005,S215)=1,1,0))</f>
        <v>0</v>
      </c>
      <c r="U215" s="96" t="str">
        <f>IF(T215=1,INDEX('ITENS_MTR'!$T$6:$T$1005,S215),"")</f>
        <v/>
      </c>
      <c r="V215" s="97" t="str">
        <f>IF(N(U215)&gt;0,INDEX('MTRs'!$E$6:$E$505,U215),"")</f>
        <v/>
      </c>
      <c r="W215" s="96" t="str">
        <f>IF(G215="","",IFERROR(IF(ISNUMBER(INDEX(cfg_fac,MATCH(G215,cfg_units,0))),IF(INDEX(cfg_fac,MATCH(G215,cfg_units,0))&gt;0,INDEX(cfg_fac,MATCH(G215,cfg_units,0)),""),""),""))</f>
        <v/>
      </c>
      <c r="X215" s="96">
        <f>IF(AND(ISNUMBER(F215),ISNUMBER(H215)),IF(H215&gt;0,1,0),0)</f>
        <v>0</v>
      </c>
      <c r="Y215" s="96">
        <f>IF(Q215=0,0,IF(OR(T215=0,X215=0,NOT(ISNUMBER(E215)),AND(J215="Sim",L215="",M215=""),AND(ISNUMBER(E215),ISNUMBER(V215),N(V215)&gt;0,E215&lt;N(V215))),1,0))</f>
        <v>0</v>
      </c>
      <c r="Z215" s="96">
        <f>IF(AND(Q215=1,T215=1,X215=1,J215="Sim",OR(L215&lt;&gt;"",M215&lt;&gt;"")),1,0)</f>
        <v>0</v>
      </c>
      <c r="AA215" s="96">
        <f>IF(Q215=0,0,IF(AND(OR(r_ini="",AND(ISNUMBER(E215),E215&gt;=r_ini)),OR(r_fim="",AND(ISNUMBER(E215),E215&lt;=r_fim)),OR(r_un="",r_un="(Todas)",IF(N(U215)&gt;0,INDEX('MTRs'!$G$6:$G$505,U215),"")=r_un),OR(r_de="",r_de="(Todos)",D215=r_de)),1,0))</f>
        <v>0</v>
      </c>
      <c r="AB215" s="96" t="str">
        <f>IF(AA215=1,COUNTIF($AA$6:AA215,1),"")</f>
        <v/>
      </c>
    </row>
    <row r="216">
      <c r="A216" s="89" t="inlineStr">
        <is>
          <t>REC-000211</t>
        </is>
      </c>
      <c r="B216" s="94" t="str">
        <f>IF(T216=1,INDEX('ITENS_MTR'!$S$6:$S$1005,S216)&amp;"","")</f>
        <v/>
      </c>
      <c r="C216" s="91" t="n"/>
      <c r="D216" s="94" t="str">
        <f>IF(N(U216)&gt;0,INDEX('MTRs'!$I$6:$I$505,U216)&amp;"","")</f>
        <v/>
      </c>
      <c r="E216" s="92" t="n"/>
      <c r="F216" s="98" t="n"/>
      <c r="G216" s="91" t="n"/>
      <c r="H216" s="93" t="str">
        <f>IF(Q216=0,"",IF(NOT(ISNUMBER(F216)),"",IF(ISNUMBER(W216),F216*W216,"UNIDADE A CONFERIR")))</f>
        <v/>
      </c>
      <c r="I216" s="91" t="n"/>
      <c r="J216" s="91" t="n"/>
      <c r="K216" s="92" t="n"/>
      <c r="L216" s="91" t="n"/>
      <c r="M216" s="91" t="n"/>
      <c r="N216" s="91" t="n"/>
      <c r="O216" s="91" t="n"/>
      <c r="P216" s="94" t="str">
        <f>IF(Q216=0,"",IF(C216="","Item de resíduo não informado",IF(T216=0,"Item inexistente (referência inválida)",IF(NOT(ISNUMBER(F216)),"Quantidade não informada",IF(F216&lt;=0,"Quantidade não positiva",IF(G216="","Unidade não informada",IF(NOT(ISNUMBER(H216)),"Unidade a conferir",IF(NOT(ISNUMBER(E216)),"Data de recebimento não informada",IF(AND(ISNUMBER(V216),N(V216)&gt;0,E216&lt;N(V216)),"Data anterior à emissão do MTR",IF(AND(J216="Sim",L216="",M216=""),"Conferido sem evidência identificada",IF(J216&lt;&gt;"Sim","Aguardando conferência",IF(INDEX('ITENS_MTR'!$AM$6:$AM$1005,S216)=1,"Conferido (ver diferença no item)","Conferido"))))))))))))</f>
        <v/>
      </c>
      <c r="Q216" s="96">
        <f>IF(COUNTA(C216,E216:G216,I216:O216)&gt;0,1,0)</f>
        <v>0</v>
      </c>
      <c r="R216" s="96" t="str">
        <f>IF(C216="","",TRIM(LEFT(C216,FIND(" |",C216&amp;" |")-1)))</f>
        <v/>
      </c>
      <c r="S216" s="96" t="str">
        <f>IF(R216="","",IFERROR(MATCH(R216,'ITENS_MTR'!$A$6:$A$1005,0),""))</f>
        <v/>
      </c>
      <c r="T216" s="96">
        <f>IF(S216="",0,IF(INDEX('ITENS_MTR'!$R$6:$R$1005,S216)=1,1,0))</f>
        <v>0</v>
      </c>
      <c r="U216" s="96" t="str">
        <f>IF(T216=1,INDEX('ITENS_MTR'!$T$6:$T$1005,S216),"")</f>
        <v/>
      </c>
      <c r="V216" s="97" t="str">
        <f>IF(N(U216)&gt;0,INDEX('MTRs'!$E$6:$E$505,U216),"")</f>
        <v/>
      </c>
      <c r="W216" s="96" t="str">
        <f>IF(G216="","",IFERROR(IF(ISNUMBER(INDEX(cfg_fac,MATCH(G216,cfg_units,0))),IF(INDEX(cfg_fac,MATCH(G216,cfg_units,0))&gt;0,INDEX(cfg_fac,MATCH(G216,cfg_units,0)),""),""),""))</f>
        <v/>
      </c>
      <c r="X216" s="96">
        <f>IF(AND(ISNUMBER(F216),ISNUMBER(H216)),IF(H216&gt;0,1,0),0)</f>
        <v>0</v>
      </c>
      <c r="Y216" s="96">
        <f>IF(Q216=0,0,IF(OR(T216=0,X216=0,NOT(ISNUMBER(E216)),AND(J216="Sim",L216="",M216=""),AND(ISNUMBER(E216),ISNUMBER(V216),N(V216)&gt;0,E216&lt;N(V216))),1,0))</f>
        <v>0</v>
      </c>
      <c r="Z216" s="96">
        <f>IF(AND(Q216=1,T216=1,X216=1,J216="Sim",OR(L216&lt;&gt;"",M216&lt;&gt;"")),1,0)</f>
        <v>0</v>
      </c>
      <c r="AA216" s="96">
        <f>IF(Q216=0,0,IF(AND(OR(r_ini="",AND(ISNUMBER(E216),E216&gt;=r_ini)),OR(r_fim="",AND(ISNUMBER(E216),E216&lt;=r_fim)),OR(r_un="",r_un="(Todas)",IF(N(U216)&gt;0,INDEX('MTRs'!$G$6:$G$505,U216),"")=r_un),OR(r_de="",r_de="(Todos)",D216=r_de)),1,0))</f>
        <v>0</v>
      </c>
      <c r="AB216" s="96" t="str">
        <f>IF(AA216=1,COUNTIF($AA$6:AA216,1),"")</f>
        <v/>
      </c>
    </row>
    <row r="217">
      <c r="A217" s="89" t="inlineStr">
        <is>
          <t>REC-000212</t>
        </is>
      </c>
      <c r="B217" s="94" t="str">
        <f>IF(T217=1,INDEX('ITENS_MTR'!$S$6:$S$1005,S217)&amp;"","")</f>
        <v/>
      </c>
      <c r="C217" s="91" t="n"/>
      <c r="D217" s="94" t="str">
        <f>IF(N(U217)&gt;0,INDEX('MTRs'!$I$6:$I$505,U217)&amp;"","")</f>
        <v/>
      </c>
      <c r="E217" s="92" t="n"/>
      <c r="F217" s="98" t="n"/>
      <c r="G217" s="91" t="n"/>
      <c r="H217" s="93" t="str">
        <f>IF(Q217=0,"",IF(NOT(ISNUMBER(F217)),"",IF(ISNUMBER(W217),F217*W217,"UNIDADE A CONFERIR")))</f>
        <v/>
      </c>
      <c r="I217" s="91" t="n"/>
      <c r="J217" s="91" t="n"/>
      <c r="K217" s="92" t="n"/>
      <c r="L217" s="91" t="n"/>
      <c r="M217" s="91" t="n"/>
      <c r="N217" s="91" t="n"/>
      <c r="O217" s="91" t="n"/>
      <c r="P217" s="94" t="str">
        <f>IF(Q217=0,"",IF(C217="","Item de resíduo não informado",IF(T217=0,"Item inexistente (referência inválida)",IF(NOT(ISNUMBER(F217)),"Quantidade não informada",IF(F217&lt;=0,"Quantidade não positiva",IF(G217="","Unidade não informada",IF(NOT(ISNUMBER(H217)),"Unidade a conferir",IF(NOT(ISNUMBER(E217)),"Data de recebimento não informada",IF(AND(ISNUMBER(V217),N(V217)&gt;0,E217&lt;N(V217)),"Data anterior à emissão do MTR",IF(AND(J217="Sim",L217="",M217=""),"Conferido sem evidência identificada",IF(J217&lt;&gt;"Sim","Aguardando conferência",IF(INDEX('ITENS_MTR'!$AM$6:$AM$1005,S217)=1,"Conferido (ver diferença no item)","Conferido"))))))))))))</f>
        <v/>
      </c>
      <c r="Q217" s="96">
        <f>IF(COUNTA(C217,E217:G217,I217:O217)&gt;0,1,0)</f>
        <v>0</v>
      </c>
      <c r="R217" s="96" t="str">
        <f>IF(C217="","",TRIM(LEFT(C217,FIND(" |",C217&amp;" |")-1)))</f>
        <v/>
      </c>
      <c r="S217" s="96" t="str">
        <f>IF(R217="","",IFERROR(MATCH(R217,'ITENS_MTR'!$A$6:$A$1005,0),""))</f>
        <v/>
      </c>
      <c r="T217" s="96">
        <f>IF(S217="",0,IF(INDEX('ITENS_MTR'!$R$6:$R$1005,S217)=1,1,0))</f>
        <v>0</v>
      </c>
      <c r="U217" s="96" t="str">
        <f>IF(T217=1,INDEX('ITENS_MTR'!$T$6:$T$1005,S217),"")</f>
        <v/>
      </c>
      <c r="V217" s="97" t="str">
        <f>IF(N(U217)&gt;0,INDEX('MTRs'!$E$6:$E$505,U217),"")</f>
        <v/>
      </c>
      <c r="W217" s="96" t="str">
        <f>IF(G217="","",IFERROR(IF(ISNUMBER(INDEX(cfg_fac,MATCH(G217,cfg_units,0))),IF(INDEX(cfg_fac,MATCH(G217,cfg_units,0))&gt;0,INDEX(cfg_fac,MATCH(G217,cfg_units,0)),""),""),""))</f>
        <v/>
      </c>
      <c r="X217" s="96">
        <f>IF(AND(ISNUMBER(F217),ISNUMBER(H217)),IF(H217&gt;0,1,0),0)</f>
        <v>0</v>
      </c>
      <c r="Y217" s="96">
        <f>IF(Q217=0,0,IF(OR(T217=0,X217=0,NOT(ISNUMBER(E217)),AND(J217="Sim",L217="",M217=""),AND(ISNUMBER(E217),ISNUMBER(V217),N(V217)&gt;0,E217&lt;N(V217))),1,0))</f>
        <v>0</v>
      </c>
      <c r="Z217" s="96">
        <f>IF(AND(Q217=1,T217=1,X217=1,J217="Sim",OR(L217&lt;&gt;"",M217&lt;&gt;"")),1,0)</f>
        <v>0</v>
      </c>
      <c r="AA217" s="96">
        <f>IF(Q217=0,0,IF(AND(OR(r_ini="",AND(ISNUMBER(E217),E217&gt;=r_ini)),OR(r_fim="",AND(ISNUMBER(E217),E217&lt;=r_fim)),OR(r_un="",r_un="(Todas)",IF(N(U217)&gt;0,INDEX('MTRs'!$G$6:$G$505,U217),"")=r_un),OR(r_de="",r_de="(Todos)",D217=r_de)),1,0))</f>
        <v>0</v>
      </c>
      <c r="AB217" s="96" t="str">
        <f>IF(AA217=1,COUNTIF($AA$6:AA217,1),"")</f>
        <v/>
      </c>
    </row>
    <row r="218">
      <c r="A218" s="89" t="inlineStr">
        <is>
          <t>REC-000213</t>
        </is>
      </c>
      <c r="B218" s="94" t="str">
        <f>IF(T218=1,INDEX('ITENS_MTR'!$S$6:$S$1005,S218)&amp;"","")</f>
        <v/>
      </c>
      <c r="C218" s="91" t="n"/>
      <c r="D218" s="94" t="str">
        <f>IF(N(U218)&gt;0,INDEX('MTRs'!$I$6:$I$505,U218)&amp;"","")</f>
        <v/>
      </c>
      <c r="E218" s="92" t="n"/>
      <c r="F218" s="98" t="n"/>
      <c r="G218" s="91" t="n"/>
      <c r="H218" s="93" t="str">
        <f>IF(Q218=0,"",IF(NOT(ISNUMBER(F218)),"",IF(ISNUMBER(W218),F218*W218,"UNIDADE A CONFERIR")))</f>
        <v/>
      </c>
      <c r="I218" s="91" t="n"/>
      <c r="J218" s="91" t="n"/>
      <c r="K218" s="92" t="n"/>
      <c r="L218" s="91" t="n"/>
      <c r="M218" s="91" t="n"/>
      <c r="N218" s="91" t="n"/>
      <c r="O218" s="91" t="n"/>
      <c r="P218" s="94" t="str">
        <f>IF(Q218=0,"",IF(C218="","Item de resíduo não informado",IF(T218=0,"Item inexistente (referência inválida)",IF(NOT(ISNUMBER(F218)),"Quantidade não informada",IF(F218&lt;=0,"Quantidade não positiva",IF(G218="","Unidade não informada",IF(NOT(ISNUMBER(H218)),"Unidade a conferir",IF(NOT(ISNUMBER(E218)),"Data de recebimento não informada",IF(AND(ISNUMBER(V218),N(V218)&gt;0,E218&lt;N(V218)),"Data anterior à emissão do MTR",IF(AND(J218="Sim",L218="",M218=""),"Conferido sem evidência identificada",IF(J218&lt;&gt;"Sim","Aguardando conferência",IF(INDEX('ITENS_MTR'!$AM$6:$AM$1005,S218)=1,"Conferido (ver diferença no item)","Conferido"))))))))))))</f>
        <v/>
      </c>
      <c r="Q218" s="96">
        <f>IF(COUNTA(C218,E218:G218,I218:O218)&gt;0,1,0)</f>
        <v>0</v>
      </c>
      <c r="R218" s="96" t="str">
        <f>IF(C218="","",TRIM(LEFT(C218,FIND(" |",C218&amp;" |")-1)))</f>
        <v/>
      </c>
      <c r="S218" s="96" t="str">
        <f>IF(R218="","",IFERROR(MATCH(R218,'ITENS_MTR'!$A$6:$A$1005,0),""))</f>
        <v/>
      </c>
      <c r="T218" s="96">
        <f>IF(S218="",0,IF(INDEX('ITENS_MTR'!$R$6:$R$1005,S218)=1,1,0))</f>
        <v>0</v>
      </c>
      <c r="U218" s="96" t="str">
        <f>IF(T218=1,INDEX('ITENS_MTR'!$T$6:$T$1005,S218),"")</f>
        <v/>
      </c>
      <c r="V218" s="97" t="str">
        <f>IF(N(U218)&gt;0,INDEX('MTRs'!$E$6:$E$505,U218),"")</f>
        <v/>
      </c>
      <c r="W218" s="96" t="str">
        <f>IF(G218="","",IFERROR(IF(ISNUMBER(INDEX(cfg_fac,MATCH(G218,cfg_units,0))),IF(INDEX(cfg_fac,MATCH(G218,cfg_units,0))&gt;0,INDEX(cfg_fac,MATCH(G218,cfg_units,0)),""),""),""))</f>
        <v/>
      </c>
      <c r="X218" s="96">
        <f>IF(AND(ISNUMBER(F218),ISNUMBER(H218)),IF(H218&gt;0,1,0),0)</f>
        <v>0</v>
      </c>
      <c r="Y218" s="96">
        <f>IF(Q218=0,0,IF(OR(T218=0,X218=0,NOT(ISNUMBER(E218)),AND(J218="Sim",L218="",M218=""),AND(ISNUMBER(E218),ISNUMBER(V218),N(V218)&gt;0,E218&lt;N(V218))),1,0))</f>
        <v>0</v>
      </c>
      <c r="Z218" s="96">
        <f>IF(AND(Q218=1,T218=1,X218=1,J218="Sim",OR(L218&lt;&gt;"",M218&lt;&gt;"")),1,0)</f>
        <v>0</v>
      </c>
      <c r="AA218" s="96">
        <f>IF(Q218=0,0,IF(AND(OR(r_ini="",AND(ISNUMBER(E218),E218&gt;=r_ini)),OR(r_fim="",AND(ISNUMBER(E218),E218&lt;=r_fim)),OR(r_un="",r_un="(Todas)",IF(N(U218)&gt;0,INDEX('MTRs'!$G$6:$G$505,U218),"")=r_un),OR(r_de="",r_de="(Todos)",D218=r_de)),1,0))</f>
        <v>0</v>
      </c>
      <c r="AB218" s="96" t="str">
        <f>IF(AA218=1,COUNTIF($AA$6:AA218,1),"")</f>
        <v/>
      </c>
    </row>
    <row r="219">
      <c r="A219" s="89" t="inlineStr">
        <is>
          <t>REC-000214</t>
        </is>
      </c>
      <c r="B219" s="94" t="str">
        <f>IF(T219=1,INDEX('ITENS_MTR'!$S$6:$S$1005,S219)&amp;"","")</f>
        <v/>
      </c>
      <c r="C219" s="91" t="n"/>
      <c r="D219" s="94" t="str">
        <f>IF(N(U219)&gt;0,INDEX('MTRs'!$I$6:$I$505,U219)&amp;"","")</f>
        <v/>
      </c>
      <c r="E219" s="92" t="n"/>
      <c r="F219" s="98" t="n"/>
      <c r="G219" s="91" t="n"/>
      <c r="H219" s="93" t="str">
        <f>IF(Q219=0,"",IF(NOT(ISNUMBER(F219)),"",IF(ISNUMBER(W219),F219*W219,"UNIDADE A CONFERIR")))</f>
        <v/>
      </c>
      <c r="I219" s="91" t="n"/>
      <c r="J219" s="91" t="n"/>
      <c r="K219" s="92" t="n"/>
      <c r="L219" s="91" t="n"/>
      <c r="M219" s="91" t="n"/>
      <c r="N219" s="91" t="n"/>
      <c r="O219" s="91" t="n"/>
      <c r="P219" s="94" t="str">
        <f>IF(Q219=0,"",IF(C219="","Item de resíduo não informado",IF(T219=0,"Item inexistente (referência inválida)",IF(NOT(ISNUMBER(F219)),"Quantidade não informada",IF(F219&lt;=0,"Quantidade não positiva",IF(G219="","Unidade não informada",IF(NOT(ISNUMBER(H219)),"Unidade a conferir",IF(NOT(ISNUMBER(E219)),"Data de recebimento não informada",IF(AND(ISNUMBER(V219),N(V219)&gt;0,E219&lt;N(V219)),"Data anterior à emissão do MTR",IF(AND(J219="Sim",L219="",M219=""),"Conferido sem evidência identificada",IF(J219&lt;&gt;"Sim","Aguardando conferência",IF(INDEX('ITENS_MTR'!$AM$6:$AM$1005,S219)=1,"Conferido (ver diferença no item)","Conferido"))))))))))))</f>
        <v/>
      </c>
      <c r="Q219" s="96">
        <f>IF(COUNTA(C219,E219:G219,I219:O219)&gt;0,1,0)</f>
        <v>0</v>
      </c>
      <c r="R219" s="96" t="str">
        <f>IF(C219="","",TRIM(LEFT(C219,FIND(" |",C219&amp;" |")-1)))</f>
        <v/>
      </c>
      <c r="S219" s="96" t="str">
        <f>IF(R219="","",IFERROR(MATCH(R219,'ITENS_MTR'!$A$6:$A$1005,0),""))</f>
        <v/>
      </c>
      <c r="T219" s="96">
        <f>IF(S219="",0,IF(INDEX('ITENS_MTR'!$R$6:$R$1005,S219)=1,1,0))</f>
        <v>0</v>
      </c>
      <c r="U219" s="96" t="str">
        <f>IF(T219=1,INDEX('ITENS_MTR'!$T$6:$T$1005,S219),"")</f>
        <v/>
      </c>
      <c r="V219" s="97" t="str">
        <f>IF(N(U219)&gt;0,INDEX('MTRs'!$E$6:$E$505,U219),"")</f>
        <v/>
      </c>
      <c r="W219" s="96" t="str">
        <f>IF(G219="","",IFERROR(IF(ISNUMBER(INDEX(cfg_fac,MATCH(G219,cfg_units,0))),IF(INDEX(cfg_fac,MATCH(G219,cfg_units,0))&gt;0,INDEX(cfg_fac,MATCH(G219,cfg_units,0)),""),""),""))</f>
        <v/>
      </c>
      <c r="X219" s="96">
        <f>IF(AND(ISNUMBER(F219),ISNUMBER(H219)),IF(H219&gt;0,1,0),0)</f>
        <v>0</v>
      </c>
      <c r="Y219" s="96">
        <f>IF(Q219=0,0,IF(OR(T219=0,X219=0,NOT(ISNUMBER(E219)),AND(J219="Sim",L219="",M219=""),AND(ISNUMBER(E219),ISNUMBER(V219),N(V219)&gt;0,E219&lt;N(V219))),1,0))</f>
        <v>0</v>
      </c>
      <c r="Z219" s="96">
        <f>IF(AND(Q219=1,T219=1,X219=1,J219="Sim",OR(L219&lt;&gt;"",M219&lt;&gt;"")),1,0)</f>
        <v>0</v>
      </c>
      <c r="AA219" s="96">
        <f>IF(Q219=0,0,IF(AND(OR(r_ini="",AND(ISNUMBER(E219),E219&gt;=r_ini)),OR(r_fim="",AND(ISNUMBER(E219),E219&lt;=r_fim)),OR(r_un="",r_un="(Todas)",IF(N(U219)&gt;0,INDEX('MTRs'!$G$6:$G$505,U219),"")=r_un),OR(r_de="",r_de="(Todos)",D219=r_de)),1,0))</f>
        <v>0</v>
      </c>
      <c r="AB219" s="96" t="str">
        <f>IF(AA219=1,COUNTIF($AA$6:AA219,1),"")</f>
        <v/>
      </c>
    </row>
    <row r="220">
      <c r="A220" s="89" t="inlineStr">
        <is>
          <t>REC-000215</t>
        </is>
      </c>
      <c r="B220" s="94" t="str">
        <f>IF(T220=1,INDEX('ITENS_MTR'!$S$6:$S$1005,S220)&amp;"","")</f>
        <v/>
      </c>
      <c r="C220" s="91" t="n"/>
      <c r="D220" s="94" t="str">
        <f>IF(N(U220)&gt;0,INDEX('MTRs'!$I$6:$I$505,U220)&amp;"","")</f>
        <v/>
      </c>
      <c r="E220" s="92" t="n"/>
      <c r="F220" s="98" t="n"/>
      <c r="G220" s="91" t="n"/>
      <c r="H220" s="93" t="str">
        <f>IF(Q220=0,"",IF(NOT(ISNUMBER(F220)),"",IF(ISNUMBER(W220),F220*W220,"UNIDADE A CONFERIR")))</f>
        <v/>
      </c>
      <c r="I220" s="91" t="n"/>
      <c r="J220" s="91" t="n"/>
      <c r="K220" s="92" t="n"/>
      <c r="L220" s="91" t="n"/>
      <c r="M220" s="91" t="n"/>
      <c r="N220" s="91" t="n"/>
      <c r="O220" s="91" t="n"/>
      <c r="P220" s="94" t="str">
        <f>IF(Q220=0,"",IF(C220="","Item de resíduo não informado",IF(T220=0,"Item inexistente (referência inválida)",IF(NOT(ISNUMBER(F220)),"Quantidade não informada",IF(F220&lt;=0,"Quantidade não positiva",IF(G220="","Unidade não informada",IF(NOT(ISNUMBER(H220)),"Unidade a conferir",IF(NOT(ISNUMBER(E220)),"Data de recebimento não informada",IF(AND(ISNUMBER(V220),N(V220)&gt;0,E220&lt;N(V220)),"Data anterior à emissão do MTR",IF(AND(J220="Sim",L220="",M220=""),"Conferido sem evidência identificada",IF(J220&lt;&gt;"Sim","Aguardando conferência",IF(INDEX('ITENS_MTR'!$AM$6:$AM$1005,S220)=1,"Conferido (ver diferença no item)","Conferido"))))))))))))</f>
        <v/>
      </c>
      <c r="Q220" s="96">
        <f>IF(COUNTA(C220,E220:G220,I220:O220)&gt;0,1,0)</f>
        <v>0</v>
      </c>
      <c r="R220" s="96" t="str">
        <f>IF(C220="","",TRIM(LEFT(C220,FIND(" |",C220&amp;" |")-1)))</f>
        <v/>
      </c>
      <c r="S220" s="96" t="str">
        <f>IF(R220="","",IFERROR(MATCH(R220,'ITENS_MTR'!$A$6:$A$1005,0),""))</f>
        <v/>
      </c>
      <c r="T220" s="96">
        <f>IF(S220="",0,IF(INDEX('ITENS_MTR'!$R$6:$R$1005,S220)=1,1,0))</f>
        <v>0</v>
      </c>
      <c r="U220" s="96" t="str">
        <f>IF(T220=1,INDEX('ITENS_MTR'!$T$6:$T$1005,S220),"")</f>
        <v/>
      </c>
      <c r="V220" s="97" t="str">
        <f>IF(N(U220)&gt;0,INDEX('MTRs'!$E$6:$E$505,U220),"")</f>
        <v/>
      </c>
      <c r="W220" s="96" t="str">
        <f>IF(G220="","",IFERROR(IF(ISNUMBER(INDEX(cfg_fac,MATCH(G220,cfg_units,0))),IF(INDEX(cfg_fac,MATCH(G220,cfg_units,0))&gt;0,INDEX(cfg_fac,MATCH(G220,cfg_units,0)),""),""),""))</f>
        <v/>
      </c>
      <c r="X220" s="96">
        <f>IF(AND(ISNUMBER(F220),ISNUMBER(H220)),IF(H220&gt;0,1,0),0)</f>
        <v>0</v>
      </c>
      <c r="Y220" s="96">
        <f>IF(Q220=0,0,IF(OR(T220=0,X220=0,NOT(ISNUMBER(E220)),AND(J220="Sim",L220="",M220=""),AND(ISNUMBER(E220),ISNUMBER(V220),N(V220)&gt;0,E220&lt;N(V220))),1,0))</f>
        <v>0</v>
      </c>
      <c r="Z220" s="96">
        <f>IF(AND(Q220=1,T220=1,X220=1,J220="Sim",OR(L220&lt;&gt;"",M220&lt;&gt;"")),1,0)</f>
        <v>0</v>
      </c>
      <c r="AA220" s="96">
        <f>IF(Q220=0,0,IF(AND(OR(r_ini="",AND(ISNUMBER(E220),E220&gt;=r_ini)),OR(r_fim="",AND(ISNUMBER(E220),E220&lt;=r_fim)),OR(r_un="",r_un="(Todas)",IF(N(U220)&gt;0,INDEX('MTRs'!$G$6:$G$505,U220),"")=r_un),OR(r_de="",r_de="(Todos)",D220=r_de)),1,0))</f>
        <v>0</v>
      </c>
      <c r="AB220" s="96" t="str">
        <f>IF(AA220=1,COUNTIF($AA$6:AA220,1),"")</f>
        <v/>
      </c>
    </row>
    <row r="221">
      <c r="A221" s="89" t="inlineStr">
        <is>
          <t>REC-000216</t>
        </is>
      </c>
      <c r="B221" s="94" t="str">
        <f>IF(T221=1,INDEX('ITENS_MTR'!$S$6:$S$1005,S221)&amp;"","")</f>
        <v/>
      </c>
      <c r="C221" s="91" t="n"/>
      <c r="D221" s="94" t="str">
        <f>IF(N(U221)&gt;0,INDEX('MTRs'!$I$6:$I$505,U221)&amp;"","")</f>
        <v/>
      </c>
      <c r="E221" s="92" t="n"/>
      <c r="F221" s="98" t="n"/>
      <c r="G221" s="91" t="n"/>
      <c r="H221" s="93" t="str">
        <f>IF(Q221=0,"",IF(NOT(ISNUMBER(F221)),"",IF(ISNUMBER(W221),F221*W221,"UNIDADE A CONFERIR")))</f>
        <v/>
      </c>
      <c r="I221" s="91" t="n"/>
      <c r="J221" s="91" t="n"/>
      <c r="K221" s="92" t="n"/>
      <c r="L221" s="91" t="n"/>
      <c r="M221" s="91" t="n"/>
      <c r="N221" s="91" t="n"/>
      <c r="O221" s="91" t="n"/>
      <c r="P221" s="94" t="str">
        <f>IF(Q221=0,"",IF(C221="","Item de resíduo não informado",IF(T221=0,"Item inexistente (referência inválida)",IF(NOT(ISNUMBER(F221)),"Quantidade não informada",IF(F221&lt;=0,"Quantidade não positiva",IF(G221="","Unidade não informada",IF(NOT(ISNUMBER(H221)),"Unidade a conferir",IF(NOT(ISNUMBER(E221)),"Data de recebimento não informada",IF(AND(ISNUMBER(V221),N(V221)&gt;0,E221&lt;N(V221)),"Data anterior à emissão do MTR",IF(AND(J221="Sim",L221="",M221=""),"Conferido sem evidência identificada",IF(J221&lt;&gt;"Sim","Aguardando conferência",IF(INDEX('ITENS_MTR'!$AM$6:$AM$1005,S221)=1,"Conferido (ver diferença no item)","Conferido"))))))))))))</f>
        <v/>
      </c>
      <c r="Q221" s="96">
        <f>IF(COUNTA(C221,E221:G221,I221:O221)&gt;0,1,0)</f>
        <v>0</v>
      </c>
      <c r="R221" s="96" t="str">
        <f>IF(C221="","",TRIM(LEFT(C221,FIND(" |",C221&amp;" |")-1)))</f>
        <v/>
      </c>
      <c r="S221" s="96" t="str">
        <f>IF(R221="","",IFERROR(MATCH(R221,'ITENS_MTR'!$A$6:$A$1005,0),""))</f>
        <v/>
      </c>
      <c r="T221" s="96">
        <f>IF(S221="",0,IF(INDEX('ITENS_MTR'!$R$6:$R$1005,S221)=1,1,0))</f>
        <v>0</v>
      </c>
      <c r="U221" s="96" t="str">
        <f>IF(T221=1,INDEX('ITENS_MTR'!$T$6:$T$1005,S221),"")</f>
        <v/>
      </c>
      <c r="V221" s="97" t="str">
        <f>IF(N(U221)&gt;0,INDEX('MTRs'!$E$6:$E$505,U221),"")</f>
        <v/>
      </c>
      <c r="W221" s="96" t="str">
        <f>IF(G221="","",IFERROR(IF(ISNUMBER(INDEX(cfg_fac,MATCH(G221,cfg_units,0))),IF(INDEX(cfg_fac,MATCH(G221,cfg_units,0))&gt;0,INDEX(cfg_fac,MATCH(G221,cfg_units,0)),""),""),""))</f>
        <v/>
      </c>
      <c r="X221" s="96">
        <f>IF(AND(ISNUMBER(F221),ISNUMBER(H221)),IF(H221&gt;0,1,0),0)</f>
        <v>0</v>
      </c>
      <c r="Y221" s="96">
        <f>IF(Q221=0,0,IF(OR(T221=0,X221=0,NOT(ISNUMBER(E221)),AND(J221="Sim",L221="",M221=""),AND(ISNUMBER(E221),ISNUMBER(V221),N(V221)&gt;0,E221&lt;N(V221))),1,0))</f>
        <v>0</v>
      </c>
      <c r="Z221" s="96">
        <f>IF(AND(Q221=1,T221=1,X221=1,J221="Sim",OR(L221&lt;&gt;"",M221&lt;&gt;"")),1,0)</f>
        <v>0</v>
      </c>
      <c r="AA221" s="96">
        <f>IF(Q221=0,0,IF(AND(OR(r_ini="",AND(ISNUMBER(E221),E221&gt;=r_ini)),OR(r_fim="",AND(ISNUMBER(E221),E221&lt;=r_fim)),OR(r_un="",r_un="(Todas)",IF(N(U221)&gt;0,INDEX('MTRs'!$G$6:$G$505,U221),"")=r_un),OR(r_de="",r_de="(Todos)",D221=r_de)),1,0))</f>
        <v>0</v>
      </c>
      <c r="AB221" s="96" t="str">
        <f>IF(AA221=1,COUNTIF($AA$6:AA221,1),"")</f>
        <v/>
      </c>
    </row>
    <row r="222">
      <c r="A222" s="89" t="inlineStr">
        <is>
          <t>REC-000217</t>
        </is>
      </c>
      <c r="B222" s="94" t="str">
        <f>IF(T222=1,INDEX('ITENS_MTR'!$S$6:$S$1005,S222)&amp;"","")</f>
        <v/>
      </c>
      <c r="C222" s="91" t="n"/>
      <c r="D222" s="94" t="str">
        <f>IF(N(U222)&gt;0,INDEX('MTRs'!$I$6:$I$505,U222)&amp;"","")</f>
        <v/>
      </c>
      <c r="E222" s="92" t="n"/>
      <c r="F222" s="98" t="n"/>
      <c r="G222" s="91" t="n"/>
      <c r="H222" s="93" t="str">
        <f>IF(Q222=0,"",IF(NOT(ISNUMBER(F222)),"",IF(ISNUMBER(W222),F222*W222,"UNIDADE A CONFERIR")))</f>
        <v/>
      </c>
      <c r="I222" s="91" t="n"/>
      <c r="J222" s="91" t="n"/>
      <c r="K222" s="92" t="n"/>
      <c r="L222" s="91" t="n"/>
      <c r="M222" s="91" t="n"/>
      <c r="N222" s="91" t="n"/>
      <c r="O222" s="91" t="n"/>
      <c r="P222" s="94" t="str">
        <f>IF(Q222=0,"",IF(C222="","Item de resíduo não informado",IF(T222=0,"Item inexistente (referência inválida)",IF(NOT(ISNUMBER(F222)),"Quantidade não informada",IF(F222&lt;=0,"Quantidade não positiva",IF(G222="","Unidade não informada",IF(NOT(ISNUMBER(H222)),"Unidade a conferir",IF(NOT(ISNUMBER(E222)),"Data de recebimento não informada",IF(AND(ISNUMBER(V222),N(V222)&gt;0,E222&lt;N(V222)),"Data anterior à emissão do MTR",IF(AND(J222="Sim",L222="",M222=""),"Conferido sem evidência identificada",IF(J222&lt;&gt;"Sim","Aguardando conferência",IF(INDEX('ITENS_MTR'!$AM$6:$AM$1005,S222)=1,"Conferido (ver diferença no item)","Conferido"))))))))))))</f>
        <v/>
      </c>
      <c r="Q222" s="96">
        <f>IF(COUNTA(C222,E222:G222,I222:O222)&gt;0,1,0)</f>
        <v>0</v>
      </c>
      <c r="R222" s="96" t="str">
        <f>IF(C222="","",TRIM(LEFT(C222,FIND(" |",C222&amp;" |")-1)))</f>
        <v/>
      </c>
      <c r="S222" s="96" t="str">
        <f>IF(R222="","",IFERROR(MATCH(R222,'ITENS_MTR'!$A$6:$A$1005,0),""))</f>
        <v/>
      </c>
      <c r="T222" s="96">
        <f>IF(S222="",0,IF(INDEX('ITENS_MTR'!$R$6:$R$1005,S222)=1,1,0))</f>
        <v>0</v>
      </c>
      <c r="U222" s="96" t="str">
        <f>IF(T222=1,INDEX('ITENS_MTR'!$T$6:$T$1005,S222),"")</f>
        <v/>
      </c>
      <c r="V222" s="97" t="str">
        <f>IF(N(U222)&gt;0,INDEX('MTRs'!$E$6:$E$505,U222),"")</f>
        <v/>
      </c>
      <c r="W222" s="96" t="str">
        <f>IF(G222="","",IFERROR(IF(ISNUMBER(INDEX(cfg_fac,MATCH(G222,cfg_units,0))),IF(INDEX(cfg_fac,MATCH(G222,cfg_units,0))&gt;0,INDEX(cfg_fac,MATCH(G222,cfg_units,0)),""),""),""))</f>
        <v/>
      </c>
      <c r="X222" s="96">
        <f>IF(AND(ISNUMBER(F222),ISNUMBER(H222)),IF(H222&gt;0,1,0),0)</f>
        <v>0</v>
      </c>
      <c r="Y222" s="96">
        <f>IF(Q222=0,0,IF(OR(T222=0,X222=0,NOT(ISNUMBER(E222)),AND(J222="Sim",L222="",M222=""),AND(ISNUMBER(E222),ISNUMBER(V222),N(V222)&gt;0,E222&lt;N(V222))),1,0))</f>
        <v>0</v>
      </c>
      <c r="Z222" s="96">
        <f>IF(AND(Q222=1,T222=1,X222=1,J222="Sim",OR(L222&lt;&gt;"",M222&lt;&gt;"")),1,0)</f>
        <v>0</v>
      </c>
      <c r="AA222" s="96">
        <f>IF(Q222=0,0,IF(AND(OR(r_ini="",AND(ISNUMBER(E222),E222&gt;=r_ini)),OR(r_fim="",AND(ISNUMBER(E222),E222&lt;=r_fim)),OR(r_un="",r_un="(Todas)",IF(N(U222)&gt;0,INDEX('MTRs'!$G$6:$G$505,U222),"")=r_un),OR(r_de="",r_de="(Todos)",D222=r_de)),1,0))</f>
        <v>0</v>
      </c>
      <c r="AB222" s="96" t="str">
        <f>IF(AA222=1,COUNTIF($AA$6:AA222,1),"")</f>
        <v/>
      </c>
    </row>
    <row r="223">
      <c r="A223" s="89" t="inlineStr">
        <is>
          <t>REC-000218</t>
        </is>
      </c>
      <c r="B223" s="94" t="str">
        <f>IF(T223=1,INDEX('ITENS_MTR'!$S$6:$S$1005,S223)&amp;"","")</f>
        <v/>
      </c>
      <c r="C223" s="91" t="n"/>
      <c r="D223" s="94" t="str">
        <f>IF(N(U223)&gt;0,INDEX('MTRs'!$I$6:$I$505,U223)&amp;"","")</f>
        <v/>
      </c>
      <c r="E223" s="92" t="n"/>
      <c r="F223" s="98" t="n"/>
      <c r="G223" s="91" t="n"/>
      <c r="H223" s="93" t="str">
        <f>IF(Q223=0,"",IF(NOT(ISNUMBER(F223)),"",IF(ISNUMBER(W223),F223*W223,"UNIDADE A CONFERIR")))</f>
        <v/>
      </c>
      <c r="I223" s="91" t="n"/>
      <c r="J223" s="91" t="n"/>
      <c r="K223" s="92" t="n"/>
      <c r="L223" s="91" t="n"/>
      <c r="M223" s="91" t="n"/>
      <c r="N223" s="91" t="n"/>
      <c r="O223" s="91" t="n"/>
      <c r="P223" s="94" t="str">
        <f>IF(Q223=0,"",IF(C223="","Item de resíduo não informado",IF(T223=0,"Item inexistente (referência inválida)",IF(NOT(ISNUMBER(F223)),"Quantidade não informada",IF(F223&lt;=0,"Quantidade não positiva",IF(G223="","Unidade não informada",IF(NOT(ISNUMBER(H223)),"Unidade a conferir",IF(NOT(ISNUMBER(E223)),"Data de recebimento não informada",IF(AND(ISNUMBER(V223),N(V223)&gt;0,E223&lt;N(V223)),"Data anterior à emissão do MTR",IF(AND(J223="Sim",L223="",M223=""),"Conferido sem evidência identificada",IF(J223&lt;&gt;"Sim","Aguardando conferência",IF(INDEX('ITENS_MTR'!$AM$6:$AM$1005,S223)=1,"Conferido (ver diferença no item)","Conferido"))))))))))))</f>
        <v/>
      </c>
      <c r="Q223" s="96">
        <f>IF(COUNTA(C223,E223:G223,I223:O223)&gt;0,1,0)</f>
        <v>0</v>
      </c>
      <c r="R223" s="96" t="str">
        <f>IF(C223="","",TRIM(LEFT(C223,FIND(" |",C223&amp;" |")-1)))</f>
        <v/>
      </c>
      <c r="S223" s="96" t="str">
        <f>IF(R223="","",IFERROR(MATCH(R223,'ITENS_MTR'!$A$6:$A$1005,0),""))</f>
        <v/>
      </c>
      <c r="T223" s="96">
        <f>IF(S223="",0,IF(INDEX('ITENS_MTR'!$R$6:$R$1005,S223)=1,1,0))</f>
        <v>0</v>
      </c>
      <c r="U223" s="96" t="str">
        <f>IF(T223=1,INDEX('ITENS_MTR'!$T$6:$T$1005,S223),"")</f>
        <v/>
      </c>
      <c r="V223" s="97" t="str">
        <f>IF(N(U223)&gt;0,INDEX('MTRs'!$E$6:$E$505,U223),"")</f>
        <v/>
      </c>
      <c r="W223" s="96" t="str">
        <f>IF(G223="","",IFERROR(IF(ISNUMBER(INDEX(cfg_fac,MATCH(G223,cfg_units,0))),IF(INDEX(cfg_fac,MATCH(G223,cfg_units,0))&gt;0,INDEX(cfg_fac,MATCH(G223,cfg_units,0)),""),""),""))</f>
        <v/>
      </c>
      <c r="X223" s="96">
        <f>IF(AND(ISNUMBER(F223),ISNUMBER(H223)),IF(H223&gt;0,1,0),0)</f>
        <v>0</v>
      </c>
      <c r="Y223" s="96">
        <f>IF(Q223=0,0,IF(OR(T223=0,X223=0,NOT(ISNUMBER(E223)),AND(J223="Sim",L223="",M223=""),AND(ISNUMBER(E223),ISNUMBER(V223),N(V223)&gt;0,E223&lt;N(V223))),1,0))</f>
        <v>0</v>
      </c>
      <c r="Z223" s="96">
        <f>IF(AND(Q223=1,T223=1,X223=1,J223="Sim",OR(L223&lt;&gt;"",M223&lt;&gt;"")),1,0)</f>
        <v>0</v>
      </c>
      <c r="AA223" s="96">
        <f>IF(Q223=0,0,IF(AND(OR(r_ini="",AND(ISNUMBER(E223),E223&gt;=r_ini)),OR(r_fim="",AND(ISNUMBER(E223),E223&lt;=r_fim)),OR(r_un="",r_un="(Todas)",IF(N(U223)&gt;0,INDEX('MTRs'!$G$6:$G$505,U223),"")=r_un),OR(r_de="",r_de="(Todos)",D223=r_de)),1,0))</f>
        <v>0</v>
      </c>
      <c r="AB223" s="96" t="str">
        <f>IF(AA223=1,COUNTIF($AA$6:AA223,1),"")</f>
        <v/>
      </c>
    </row>
    <row r="224">
      <c r="A224" s="89" t="inlineStr">
        <is>
          <t>REC-000219</t>
        </is>
      </c>
      <c r="B224" s="94" t="str">
        <f>IF(T224=1,INDEX('ITENS_MTR'!$S$6:$S$1005,S224)&amp;"","")</f>
        <v/>
      </c>
      <c r="C224" s="91" t="n"/>
      <c r="D224" s="94" t="str">
        <f>IF(N(U224)&gt;0,INDEX('MTRs'!$I$6:$I$505,U224)&amp;"","")</f>
        <v/>
      </c>
      <c r="E224" s="92" t="n"/>
      <c r="F224" s="98" t="n"/>
      <c r="G224" s="91" t="n"/>
      <c r="H224" s="93" t="str">
        <f>IF(Q224=0,"",IF(NOT(ISNUMBER(F224)),"",IF(ISNUMBER(W224),F224*W224,"UNIDADE A CONFERIR")))</f>
        <v/>
      </c>
      <c r="I224" s="91" t="n"/>
      <c r="J224" s="91" t="n"/>
      <c r="K224" s="92" t="n"/>
      <c r="L224" s="91" t="n"/>
      <c r="M224" s="91" t="n"/>
      <c r="N224" s="91" t="n"/>
      <c r="O224" s="91" t="n"/>
      <c r="P224" s="94" t="str">
        <f>IF(Q224=0,"",IF(C224="","Item de resíduo não informado",IF(T224=0,"Item inexistente (referência inválida)",IF(NOT(ISNUMBER(F224)),"Quantidade não informada",IF(F224&lt;=0,"Quantidade não positiva",IF(G224="","Unidade não informada",IF(NOT(ISNUMBER(H224)),"Unidade a conferir",IF(NOT(ISNUMBER(E224)),"Data de recebimento não informada",IF(AND(ISNUMBER(V224),N(V224)&gt;0,E224&lt;N(V224)),"Data anterior à emissão do MTR",IF(AND(J224="Sim",L224="",M224=""),"Conferido sem evidência identificada",IF(J224&lt;&gt;"Sim","Aguardando conferência",IF(INDEX('ITENS_MTR'!$AM$6:$AM$1005,S224)=1,"Conferido (ver diferença no item)","Conferido"))))))))))))</f>
        <v/>
      </c>
      <c r="Q224" s="96">
        <f>IF(COUNTA(C224,E224:G224,I224:O224)&gt;0,1,0)</f>
        <v>0</v>
      </c>
      <c r="R224" s="96" t="str">
        <f>IF(C224="","",TRIM(LEFT(C224,FIND(" |",C224&amp;" |")-1)))</f>
        <v/>
      </c>
      <c r="S224" s="96" t="str">
        <f>IF(R224="","",IFERROR(MATCH(R224,'ITENS_MTR'!$A$6:$A$1005,0),""))</f>
        <v/>
      </c>
      <c r="T224" s="96">
        <f>IF(S224="",0,IF(INDEX('ITENS_MTR'!$R$6:$R$1005,S224)=1,1,0))</f>
        <v>0</v>
      </c>
      <c r="U224" s="96" t="str">
        <f>IF(T224=1,INDEX('ITENS_MTR'!$T$6:$T$1005,S224),"")</f>
        <v/>
      </c>
      <c r="V224" s="97" t="str">
        <f>IF(N(U224)&gt;0,INDEX('MTRs'!$E$6:$E$505,U224),"")</f>
        <v/>
      </c>
      <c r="W224" s="96" t="str">
        <f>IF(G224="","",IFERROR(IF(ISNUMBER(INDEX(cfg_fac,MATCH(G224,cfg_units,0))),IF(INDEX(cfg_fac,MATCH(G224,cfg_units,0))&gt;0,INDEX(cfg_fac,MATCH(G224,cfg_units,0)),""),""),""))</f>
        <v/>
      </c>
      <c r="X224" s="96">
        <f>IF(AND(ISNUMBER(F224),ISNUMBER(H224)),IF(H224&gt;0,1,0),0)</f>
        <v>0</v>
      </c>
      <c r="Y224" s="96">
        <f>IF(Q224=0,0,IF(OR(T224=0,X224=0,NOT(ISNUMBER(E224)),AND(J224="Sim",L224="",M224=""),AND(ISNUMBER(E224),ISNUMBER(V224),N(V224)&gt;0,E224&lt;N(V224))),1,0))</f>
        <v>0</v>
      </c>
      <c r="Z224" s="96">
        <f>IF(AND(Q224=1,T224=1,X224=1,J224="Sim",OR(L224&lt;&gt;"",M224&lt;&gt;"")),1,0)</f>
        <v>0</v>
      </c>
      <c r="AA224" s="96">
        <f>IF(Q224=0,0,IF(AND(OR(r_ini="",AND(ISNUMBER(E224),E224&gt;=r_ini)),OR(r_fim="",AND(ISNUMBER(E224),E224&lt;=r_fim)),OR(r_un="",r_un="(Todas)",IF(N(U224)&gt;0,INDEX('MTRs'!$G$6:$G$505,U224),"")=r_un),OR(r_de="",r_de="(Todos)",D224=r_de)),1,0))</f>
        <v>0</v>
      </c>
      <c r="AB224" s="96" t="str">
        <f>IF(AA224=1,COUNTIF($AA$6:AA224,1),"")</f>
        <v/>
      </c>
    </row>
    <row r="225">
      <c r="A225" s="89" t="inlineStr">
        <is>
          <t>REC-000220</t>
        </is>
      </c>
      <c r="B225" s="94" t="str">
        <f>IF(T225=1,INDEX('ITENS_MTR'!$S$6:$S$1005,S225)&amp;"","")</f>
        <v/>
      </c>
      <c r="C225" s="91" t="n"/>
      <c r="D225" s="94" t="str">
        <f>IF(N(U225)&gt;0,INDEX('MTRs'!$I$6:$I$505,U225)&amp;"","")</f>
        <v/>
      </c>
      <c r="E225" s="92" t="n"/>
      <c r="F225" s="98" t="n"/>
      <c r="G225" s="91" t="n"/>
      <c r="H225" s="93" t="str">
        <f>IF(Q225=0,"",IF(NOT(ISNUMBER(F225)),"",IF(ISNUMBER(W225),F225*W225,"UNIDADE A CONFERIR")))</f>
        <v/>
      </c>
      <c r="I225" s="91" t="n"/>
      <c r="J225" s="91" t="n"/>
      <c r="K225" s="92" t="n"/>
      <c r="L225" s="91" t="n"/>
      <c r="M225" s="91" t="n"/>
      <c r="N225" s="91" t="n"/>
      <c r="O225" s="91" t="n"/>
      <c r="P225" s="94" t="str">
        <f>IF(Q225=0,"",IF(C225="","Item de resíduo não informado",IF(T225=0,"Item inexistente (referência inválida)",IF(NOT(ISNUMBER(F225)),"Quantidade não informada",IF(F225&lt;=0,"Quantidade não positiva",IF(G225="","Unidade não informada",IF(NOT(ISNUMBER(H225)),"Unidade a conferir",IF(NOT(ISNUMBER(E225)),"Data de recebimento não informada",IF(AND(ISNUMBER(V225),N(V225)&gt;0,E225&lt;N(V225)),"Data anterior à emissão do MTR",IF(AND(J225="Sim",L225="",M225=""),"Conferido sem evidência identificada",IF(J225&lt;&gt;"Sim","Aguardando conferência",IF(INDEX('ITENS_MTR'!$AM$6:$AM$1005,S225)=1,"Conferido (ver diferença no item)","Conferido"))))))))))))</f>
        <v/>
      </c>
      <c r="Q225" s="96">
        <f>IF(COUNTA(C225,E225:G225,I225:O225)&gt;0,1,0)</f>
        <v>0</v>
      </c>
      <c r="R225" s="96" t="str">
        <f>IF(C225="","",TRIM(LEFT(C225,FIND(" |",C225&amp;" |")-1)))</f>
        <v/>
      </c>
      <c r="S225" s="96" t="str">
        <f>IF(R225="","",IFERROR(MATCH(R225,'ITENS_MTR'!$A$6:$A$1005,0),""))</f>
        <v/>
      </c>
      <c r="T225" s="96">
        <f>IF(S225="",0,IF(INDEX('ITENS_MTR'!$R$6:$R$1005,S225)=1,1,0))</f>
        <v>0</v>
      </c>
      <c r="U225" s="96" t="str">
        <f>IF(T225=1,INDEX('ITENS_MTR'!$T$6:$T$1005,S225),"")</f>
        <v/>
      </c>
      <c r="V225" s="97" t="str">
        <f>IF(N(U225)&gt;0,INDEX('MTRs'!$E$6:$E$505,U225),"")</f>
        <v/>
      </c>
      <c r="W225" s="96" t="str">
        <f>IF(G225="","",IFERROR(IF(ISNUMBER(INDEX(cfg_fac,MATCH(G225,cfg_units,0))),IF(INDEX(cfg_fac,MATCH(G225,cfg_units,0))&gt;0,INDEX(cfg_fac,MATCH(G225,cfg_units,0)),""),""),""))</f>
        <v/>
      </c>
      <c r="X225" s="96">
        <f>IF(AND(ISNUMBER(F225),ISNUMBER(H225)),IF(H225&gt;0,1,0),0)</f>
        <v>0</v>
      </c>
      <c r="Y225" s="96">
        <f>IF(Q225=0,0,IF(OR(T225=0,X225=0,NOT(ISNUMBER(E225)),AND(J225="Sim",L225="",M225=""),AND(ISNUMBER(E225),ISNUMBER(V225),N(V225)&gt;0,E225&lt;N(V225))),1,0))</f>
        <v>0</v>
      </c>
      <c r="Z225" s="96">
        <f>IF(AND(Q225=1,T225=1,X225=1,J225="Sim",OR(L225&lt;&gt;"",M225&lt;&gt;"")),1,0)</f>
        <v>0</v>
      </c>
      <c r="AA225" s="96">
        <f>IF(Q225=0,0,IF(AND(OR(r_ini="",AND(ISNUMBER(E225),E225&gt;=r_ini)),OR(r_fim="",AND(ISNUMBER(E225),E225&lt;=r_fim)),OR(r_un="",r_un="(Todas)",IF(N(U225)&gt;0,INDEX('MTRs'!$G$6:$G$505,U225),"")=r_un),OR(r_de="",r_de="(Todos)",D225=r_de)),1,0))</f>
        <v>0</v>
      </c>
      <c r="AB225" s="96" t="str">
        <f>IF(AA225=1,COUNTIF($AA$6:AA225,1),"")</f>
        <v/>
      </c>
    </row>
    <row r="226">
      <c r="A226" s="89" t="inlineStr">
        <is>
          <t>REC-000221</t>
        </is>
      </c>
      <c r="B226" s="94" t="str">
        <f>IF(T226=1,INDEX('ITENS_MTR'!$S$6:$S$1005,S226)&amp;"","")</f>
        <v/>
      </c>
      <c r="C226" s="91" t="n"/>
      <c r="D226" s="94" t="str">
        <f>IF(N(U226)&gt;0,INDEX('MTRs'!$I$6:$I$505,U226)&amp;"","")</f>
        <v/>
      </c>
      <c r="E226" s="92" t="n"/>
      <c r="F226" s="98" t="n"/>
      <c r="G226" s="91" t="n"/>
      <c r="H226" s="93" t="str">
        <f>IF(Q226=0,"",IF(NOT(ISNUMBER(F226)),"",IF(ISNUMBER(W226),F226*W226,"UNIDADE A CONFERIR")))</f>
        <v/>
      </c>
      <c r="I226" s="91" t="n"/>
      <c r="J226" s="91" t="n"/>
      <c r="K226" s="92" t="n"/>
      <c r="L226" s="91" t="n"/>
      <c r="M226" s="91" t="n"/>
      <c r="N226" s="91" t="n"/>
      <c r="O226" s="91" t="n"/>
      <c r="P226" s="94" t="str">
        <f>IF(Q226=0,"",IF(C226="","Item de resíduo não informado",IF(T226=0,"Item inexistente (referência inválida)",IF(NOT(ISNUMBER(F226)),"Quantidade não informada",IF(F226&lt;=0,"Quantidade não positiva",IF(G226="","Unidade não informada",IF(NOT(ISNUMBER(H226)),"Unidade a conferir",IF(NOT(ISNUMBER(E226)),"Data de recebimento não informada",IF(AND(ISNUMBER(V226),N(V226)&gt;0,E226&lt;N(V226)),"Data anterior à emissão do MTR",IF(AND(J226="Sim",L226="",M226=""),"Conferido sem evidência identificada",IF(J226&lt;&gt;"Sim","Aguardando conferência",IF(INDEX('ITENS_MTR'!$AM$6:$AM$1005,S226)=1,"Conferido (ver diferença no item)","Conferido"))))))))))))</f>
        <v/>
      </c>
      <c r="Q226" s="96">
        <f>IF(COUNTA(C226,E226:G226,I226:O226)&gt;0,1,0)</f>
        <v>0</v>
      </c>
      <c r="R226" s="96" t="str">
        <f>IF(C226="","",TRIM(LEFT(C226,FIND(" |",C226&amp;" |")-1)))</f>
        <v/>
      </c>
      <c r="S226" s="96" t="str">
        <f>IF(R226="","",IFERROR(MATCH(R226,'ITENS_MTR'!$A$6:$A$1005,0),""))</f>
        <v/>
      </c>
      <c r="T226" s="96">
        <f>IF(S226="",0,IF(INDEX('ITENS_MTR'!$R$6:$R$1005,S226)=1,1,0))</f>
        <v>0</v>
      </c>
      <c r="U226" s="96" t="str">
        <f>IF(T226=1,INDEX('ITENS_MTR'!$T$6:$T$1005,S226),"")</f>
        <v/>
      </c>
      <c r="V226" s="97" t="str">
        <f>IF(N(U226)&gt;0,INDEX('MTRs'!$E$6:$E$505,U226),"")</f>
        <v/>
      </c>
      <c r="W226" s="96" t="str">
        <f>IF(G226="","",IFERROR(IF(ISNUMBER(INDEX(cfg_fac,MATCH(G226,cfg_units,0))),IF(INDEX(cfg_fac,MATCH(G226,cfg_units,0))&gt;0,INDEX(cfg_fac,MATCH(G226,cfg_units,0)),""),""),""))</f>
        <v/>
      </c>
      <c r="X226" s="96">
        <f>IF(AND(ISNUMBER(F226),ISNUMBER(H226)),IF(H226&gt;0,1,0),0)</f>
        <v>0</v>
      </c>
      <c r="Y226" s="96">
        <f>IF(Q226=0,0,IF(OR(T226=0,X226=0,NOT(ISNUMBER(E226)),AND(J226="Sim",L226="",M226=""),AND(ISNUMBER(E226),ISNUMBER(V226),N(V226)&gt;0,E226&lt;N(V226))),1,0))</f>
        <v>0</v>
      </c>
      <c r="Z226" s="96">
        <f>IF(AND(Q226=1,T226=1,X226=1,J226="Sim",OR(L226&lt;&gt;"",M226&lt;&gt;"")),1,0)</f>
        <v>0</v>
      </c>
      <c r="AA226" s="96">
        <f>IF(Q226=0,0,IF(AND(OR(r_ini="",AND(ISNUMBER(E226),E226&gt;=r_ini)),OR(r_fim="",AND(ISNUMBER(E226),E226&lt;=r_fim)),OR(r_un="",r_un="(Todas)",IF(N(U226)&gt;0,INDEX('MTRs'!$G$6:$G$505,U226),"")=r_un),OR(r_de="",r_de="(Todos)",D226=r_de)),1,0))</f>
        <v>0</v>
      </c>
      <c r="AB226" s="96" t="str">
        <f>IF(AA226=1,COUNTIF($AA$6:AA226,1),"")</f>
        <v/>
      </c>
    </row>
    <row r="227">
      <c r="A227" s="89" t="inlineStr">
        <is>
          <t>REC-000222</t>
        </is>
      </c>
      <c r="B227" s="94" t="str">
        <f>IF(T227=1,INDEX('ITENS_MTR'!$S$6:$S$1005,S227)&amp;"","")</f>
        <v/>
      </c>
      <c r="C227" s="91" t="n"/>
      <c r="D227" s="94" t="str">
        <f>IF(N(U227)&gt;0,INDEX('MTRs'!$I$6:$I$505,U227)&amp;"","")</f>
        <v/>
      </c>
      <c r="E227" s="92" t="n"/>
      <c r="F227" s="98" t="n"/>
      <c r="G227" s="91" t="n"/>
      <c r="H227" s="93" t="str">
        <f>IF(Q227=0,"",IF(NOT(ISNUMBER(F227)),"",IF(ISNUMBER(W227),F227*W227,"UNIDADE A CONFERIR")))</f>
        <v/>
      </c>
      <c r="I227" s="91" t="n"/>
      <c r="J227" s="91" t="n"/>
      <c r="K227" s="92" t="n"/>
      <c r="L227" s="91" t="n"/>
      <c r="M227" s="91" t="n"/>
      <c r="N227" s="91" t="n"/>
      <c r="O227" s="91" t="n"/>
      <c r="P227" s="94" t="str">
        <f>IF(Q227=0,"",IF(C227="","Item de resíduo não informado",IF(T227=0,"Item inexistente (referência inválida)",IF(NOT(ISNUMBER(F227)),"Quantidade não informada",IF(F227&lt;=0,"Quantidade não positiva",IF(G227="","Unidade não informada",IF(NOT(ISNUMBER(H227)),"Unidade a conferir",IF(NOT(ISNUMBER(E227)),"Data de recebimento não informada",IF(AND(ISNUMBER(V227),N(V227)&gt;0,E227&lt;N(V227)),"Data anterior à emissão do MTR",IF(AND(J227="Sim",L227="",M227=""),"Conferido sem evidência identificada",IF(J227&lt;&gt;"Sim","Aguardando conferência",IF(INDEX('ITENS_MTR'!$AM$6:$AM$1005,S227)=1,"Conferido (ver diferença no item)","Conferido"))))))))))))</f>
        <v/>
      </c>
      <c r="Q227" s="96">
        <f>IF(COUNTA(C227,E227:G227,I227:O227)&gt;0,1,0)</f>
        <v>0</v>
      </c>
      <c r="R227" s="96" t="str">
        <f>IF(C227="","",TRIM(LEFT(C227,FIND(" |",C227&amp;" |")-1)))</f>
        <v/>
      </c>
      <c r="S227" s="96" t="str">
        <f>IF(R227="","",IFERROR(MATCH(R227,'ITENS_MTR'!$A$6:$A$1005,0),""))</f>
        <v/>
      </c>
      <c r="T227" s="96">
        <f>IF(S227="",0,IF(INDEX('ITENS_MTR'!$R$6:$R$1005,S227)=1,1,0))</f>
        <v>0</v>
      </c>
      <c r="U227" s="96" t="str">
        <f>IF(T227=1,INDEX('ITENS_MTR'!$T$6:$T$1005,S227),"")</f>
        <v/>
      </c>
      <c r="V227" s="97" t="str">
        <f>IF(N(U227)&gt;0,INDEX('MTRs'!$E$6:$E$505,U227),"")</f>
        <v/>
      </c>
      <c r="W227" s="96" t="str">
        <f>IF(G227="","",IFERROR(IF(ISNUMBER(INDEX(cfg_fac,MATCH(G227,cfg_units,0))),IF(INDEX(cfg_fac,MATCH(G227,cfg_units,0))&gt;0,INDEX(cfg_fac,MATCH(G227,cfg_units,0)),""),""),""))</f>
        <v/>
      </c>
      <c r="X227" s="96">
        <f>IF(AND(ISNUMBER(F227),ISNUMBER(H227)),IF(H227&gt;0,1,0),0)</f>
        <v>0</v>
      </c>
      <c r="Y227" s="96">
        <f>IF(Q227=0,0,IF(OR(T227=0,X227=0,NOT(ISNUMBER(E227)),AND(J227="Sim",L227="",M227=""),AND(ISNUMBER(E227),ISNUMBER(V227),N(V227)&gt;0,E227&lt;N(V227))),1,0))</f>
        <v>0</v>
      </c>
      <c r="Z227" s="96">
        <f>IF(AND(Q227=1,T227=1,X227=1,J227="Sim",OR(L227&lt;&gt;"",M227&lt;&gt;"")),1,0)</f>
        <v>0</v>
      </c>
      <c r="AA227" s="96">
        <f>IF(Q227=0,0,IF(AND(OR(r_ini="",AND(ISNUMBER(E227),E227&gt;=r_ini)),OR(r_fim="",AND(ISNUMBER(E227),E227&lt;=r_fim)),OR(r_un="",r_un="(Todas)",IF(N(U227)&gt;0,INDEX('MTRs'!$G$6:$G$505,U227),"")=r_un),OR(r_de="",r_de="(Todos)",D227=r_de)),1,0))</f>
        <v>0</v>
      </c>
      <c r="AB227" s="96" t="str">
        <f>IF(AA227=1,COUNTIF($AA$6:AA227,1),"")</f>
        <v/>
      </c>
    </row>
    <row r="228">
      <c r="A228" s="89" t="inlineStr">
        <is>
          <t>REC-000223</t>
        </is>
      </c>
      <c r="B228" s="94" t="str">
        <f>IF(T228=1,INDEX('ITENS_MTR'!$S$6:$S$1005,S228)&amp;"","")</f>
        <v/>
      </c>
      <c r="C228" s="91" t="n"/>
      <c r="D228" s="94" t="str">
        <f>IF(N(U228)&gt;0,INDEX('MTRs'!$I$6:$I$505,U228)&amp;"","")</f>
        <v/>
      </c>
      <c r="E228" s="92" t="n"/>
      <c r="F228" s="98" t="n"/>
      <c r="G228" s="91" t="n"/>
      <c r="H228" s="93" t="str">
        <f>IF(Q228=0,"",IF(NOT(ISNUMBER(F228)),"",IF(ISNUMBER(W228),F228*W228,"UNIDADE A CONFERIR")))</f>
        <v/>
      </c>
      <c r="I228" s="91" t="n"/>
      <c r="J228" s="91" t="n"/>
      <c r="K228" s="92" t="n"/>
      <c r="L228" s="91" t="n"/>
      <c r="M228" s="91" t="n"/>
      <c r="N228" s="91" t="n"/>
      <c r="O228" s="91" t="n"/>
      <c r="P228" s="94" t="str">
        <f>IF(Q228=0,"",IF(C228="","Item de resíduo não informado",IF(T228=0,"Item inexistente (referência inválida)",IF(NOT(ISNUMBER(F228)),"Quantidade não informada",IF(F228&lt;=0,"Quantidade não positiva",IF(G228="","Unidade não informada",IF(NOT(ISNUMBER(H228)),"Unidade a conferir",IF(NOT(ISNUMBER(E228)),"Data de recebimento não informada",IF(AND(ISNUMBER(V228),N(V228)&gt;0,E228&lt;N(V228)),"Data anterior à emissão do MTR",IF(AND(J228="Sim",L228="",M228=""),"Conferido sem evidência identificada",IF(J228&lt;&gt;"Sim","Aguardando conferência",IF(INDEX('ITENS_MTR'!$AM$6:$AM$1005,S228)=1,"Conferido (ver diferença no item)","Conferido"))))))))))))</f>
        <v/>
      </c>
      <c r="Q228" s="96">
        <f>IF(COUNTA(C228,E228:G228,I228:O228)&gt;0,1,0)</f>
        <v>0</v>
      </c>
      <c r="R228" s="96" t="str">
        <f>IF(C228="","",TRIM(LEFT(C228,FIND(" |",C228&amp;" |")-1)))</f>
        <v/>
      </c>
      <c r="S228" s="96" t="str">
        <f>IF(R228="","",IFERROR(MATCH(R228,'ITENS_MTR'!$A$6:$A$1005,0),""))</f>
        <v/>
      </c>
      <c r="T228" s="96">
        <f>IF(S228="",0,IF(INDEX('ITENS_MTR'!$R$6:$R$1005,S228)=1,1,0))</f>
        <v>0</v>
      </c>
      <c r="U228" s="96" t="str">
        <f>IF(T228=1,INDEX('ITENS_MTR'!$T$6:$T$1005,S228),"")</f>
        <v/>
      </c>
      <c r="V228" s="97" t="str">
        <f>IF(N(U228)&gt;0,INDEX('MTRs'!$E$6:$E$505,U228),"")</f>
        <v/>
      </c>
      <c r="W228" s="96" t="str">
        <f>IF(G228="","",IFERROR(IF(ISNUMBER(INDEX(cfg_fac,MATCH(G228,cfg_units,0))),IF(INDEX(cfg_fac,MATCH(G228,cfg_units,0))&gt;0,INDEX(cfg_fac,MATCH(G228,cfg_units,0)),""),""),""))</f>
        <v/>
      </c>
      <c r="X228" s="96">
        <f>IF(AND(ISNUMBER(F228),ISNUMBER(H228)),IF(H228&gt;0,1,0),0)</f>
        <v>0</v>
      </c>
      <c r="Y228" s="96">
        <f>IF(Q228=0,0,IF(OR(T228=0,X228=0,NOT(ISNUMBER(E228)),AND(J228="Sim",L228="",M228=""),AND(ISNUMBER(E228),ISNUMBER(V228),N(V228)&gt;0,E228&lt;N(V228))),1,0))</f>
        <v>0</v>
      </c>
      <c r="Z228" s="96">
        <f>IF(AND(Q228=1,T228=1,X228=1,J228="Sim",OR(L228&lt;&gt;"",M228&lt;&gt;"")),1,0)</f>
        <v>0</v>
      </c>
      <c r="AA228" s="96">
        <f>IF(Q228=0,0,IF(AND(OR(r_ini="",AND(ISNUMBER(E228),E228&gt;=r_ini)),OR(r_fim="",AND(ISNUMBER(E228),E228&lt;=r_fim)),OR(r_un="",r_un="(Todas)",IF(N(U228)&gt;0,INDEX('MTRs'!$G$6:$G$505,U228),"")=r_un),OR(r_de="",r_de="(Todos)",D228=r_de)),1,0))</f>
        <v>0</v>
      </c>
      <c r="AB228" s="96" t="str">
        <f>IF(AA228=1,COUNTIF($AA$6:AA228,1),"")</f>
        <v/>
      </c>
    </row>
    <row r="229">
      <c r="A229" s="89" t="inlineStr">
        <is>
          <t>REC-000224</t>
        </is>
      </c>
      <c r="B229" s="94" t="str">
        <f>IF(T229=1,INDEX('ITENS_MTR'!$S$6:$S$1005,S229)&amp;"","")</f>
        <v/>
      </c>
      <c r="C229" s="91" t="n"/>
      <c r="D229" s="94" t="str">
        <f>IF(N(U229)&gt;0,INDEX('MTRs'!$I$6:$I$505,U229)&amp;"","")</f>
        <v/>
      </c>
      <c r="E229" s="92" t="n"/>
      <c r="F229" s="98" t="n"/>
      <c r="G229" s="91" t="n"/>
      <c r="H229" s="93" t="str">
        <f>IF(Q229=0,"",IF(NOT(ISNUMBER(F229)),"",IF(ISNUMBER(W229),F229*W229,"UNIDADE A CONFERIR")))</f>
        <v/>
      </c>
      <c r="I229" s="91" t="n"/>
      <c r="J229" s="91" t="n"/>
      <c r="K229" s="92" t="n"/>
      <c r="L229" s="91" t="n"/>
      <c r="M229" s="91" t="n"/>
      <c r="N229" s="91" t="n"/>
      <c r="O229" s="91" t="n"/>
      <c r="P229" s="94" t="str">
        <f>IF(Q229=0,"",IF(C229="","Item de resíduo não informado",IF(T229=0,"Item inexistente (referência inválida)",IF(NOT(ISNUMBER(F229)),"Quantidade não informada",IF(F229&lt;=0,"Quantidade não positiva",IF(G229="","Unidade não informada",IF(NOT(ISNUMBER(H229)),"Unidade a conferir",IF(NOT(ISNUMBER(E229)),"Data de recebimento não informada",IF(AND(ISNUMBER(V229),N(V229)&gt;0,E229&lt;N(V229)),"Data anterior à emissão do MTR",IF(AND(J229="Sim",L229="",M229=""),"Conferido sem evidência identificada",IF(J229&lt;&gt;"Sim","Aguardando conferência",IF(INDEX('ITENS_MTR'!$AM$6:$AM$1005,S229)=1,"Conferido (ver diferença no item)","Conferido"))))))))))))</f>
        <v/>
      </c>
      <c r="Q229" s="96">
        <f>IF(COUNTA(C229,E229:G229,I229:O229)&gt;0,1,0)</f>
        <v>0</v>
      </c>
      <c r="R229" s="96" t="str">
        <f>IF(C229="","",TRIM(LEFT(C229,FIND(" |",C229&amp;" |")-1)))</f>
        <v/>
      </c>
      <c r="S229" s="96" t="str">
        <f>IF(R229="","",IFERROR(MATCH(R229,'ITENS_MTR'!$A$6:$A$1005,0),""))</f>
        <v/>
      </c>
      <c r="T229" s="96">
        <f>IF(S229="",0,IF(INDEX('ITENS_MTR'!$R$6:$R$1005,S229)=1,1,0))</f>
        <v>0</v>
      </c>
      <c r="U229" s="96" t="str">
        <f>IF(T229=1,INDEX('ITENS_MTR'!$T$6:$T$1005,S229),"")</f>
        <v/>
      </c>
      <c r="V229" s="97" t="str">
        <f>IF(N(U229)&gt;0,INDEX('MTRs'!$E$6:$E$505,U229),"")</f>
        <v/>
      </c>
      <c r="W229" s="96" t="str">
        <f>IF(G229="","",IFERROR(IF(ISNUMBER(INDEX(cfg_fac,MATCH(G229,cfg_units,0))),IF(INDEX(cfg_fac,MATCH(G229,cfg_units,0))&gt;0,INDEX(cfg_fac,MATCH(G229,cfg_units,0)),""),""),""))</f>
        <v/>
      </c>
      <c r="X229" s="96">
        <f>IF(AND(ISNUMBER(F229),ISNUMBER(H229)),IF(H229&gt;0,1,0),0)</f>
        <v>0</v>
      </c>
      <c r="Y229" s="96">
        <f>IF(Q229=0,0,IF(OR(T229=0,X229=0,NOT(ISNUMBER(E229)),AND(J229="Sim",L229="",M229=""),AND(ISNUMBER(E229),ISNUMBER(V229),N(V229)&gt;0,E229&lt;N(V229))),1,0))</f>
        <v>0</v>
      </c>
      <c r="Z229" s="96">
        <f>IF(AND(Q229=1,T229=1,X229=1,J229="Sim",OR(L229&lt;&gt;"",M229&lt;&gt;"")),1,0)</f>
        <v>0</v>
      </c>
      <c r="AA229" s="96">
        <f>IF(Q229=0,0,IF(AND(OR(r_ini="",AND(ISNUMBER(E229),E229&gt;=r_ini)),OR(r_fim="",AND(ISNUMBER(E229),E229&lt;=r_fim)),OR(r_un="",r_un="(Todas)",IF(N(U229)&gt;0,INDEX('MTRs'!$G$6:$G$505,U229),"")=r_un),OR(r_de="",r_de="(Todos)",D229=r_de)),1,0))</f>
        <v>0</v>
      </c>
      <c r="AB229" s="96" t="str">
        <f>IF(AA229=1,COUNTIF($AA$6:AA229,1),"")</f>
        <v/>
      </c>
    </row>
    <row r="230">
      <c r="A230" s="89" t="inlineStr">
        <is>
          <t>REC-000225</t>
        </is>
      </c>
      <c r="B230" s="94" t="str">
        <f>IF(T230=1,INDEX('ITENS_MTR'!$S$6:$S$1005,S230)&amp;"","")</f>
        <v/>
      </c>
      <c r="C230" s="91" t="n"/>
      <c r="D230" s="94" t="str">
        <f>IF(N(U230)&gt;0,INDEX('MTRs'!$I$6:$I$505,U230)&amp;"","")</f>
        <v/>
      </c>
      <c r="E230" s="92" t="n"/>
      <c r="F230" s="98" t="n"/>
      <c r="G230" s="91" t="n"/>
      <c r="H230" s="93" t="str">
        <f>IF(Q230=0,"",IF(NOT(ISNUMBER(F230)),"",IF(ISNUMBER(W230),F230*W230,"UNIDADE A CONFERIR")))</f>
        <v/>
      </c>
      <c r="I230" s="91" t="n"/>
      <c r="J230" s="91" t="n"/>
      <c r="K230" s="92" t="n"/>
      <c r="L230" s="91" t="n"/>
      <c r="M230" s="91" t="n"/>
      <c r="N230" s="91" t="n"/>
      <c r="O230" s="91" t="n"/>
      <c r="P230" s="94" t="str">
        <f>IF(Q230=0,"",IF(C230="","Item de resíduo não informado",IF(T230=0,"Item inexistente (referência inválida)",IF(NOT(ISNUMBER(F230)),"Quantidade não informada",IF(F230&lt;=0,"Quantidade não positiva",IF(G230="","Unidade não informada",IF(NOT(ISNUMBER(H230)),"Unidade a conferir",IF(NOT(ISNUMBER(E230)),"Data de recebimento não informada",IF(AND(ISNUMBER(V230),N(V230)&gt;0,E230&lt;N(V230)),"Data anterior à emissão do MTR",IF(AND(J230="Sim",L230="",M230=""),"Conferido sem evidência identificada",IF(J230&lt;&gt;"Sim","Aguardando conferência",IF(INDEX('ITENS_MTR'!$AM$6:$AM$1005,S230)=1,"Conferido (ver diferença no item)","Conferido"))))))))))))</f>
        <v/>
      </c>
      <c r="Q230" s="96">
        <f>IF(COUNTA(C230,E230:G230,I230:O230)&gt;0,1,0)</f>
        <v>0</v>
      </c>
      <c r="R230" s="96" t="str">
        <f>IF(C230="","",TRIM(LEFT(C230,FIND(" |",C230&amp;" |")-1)))</f>
        <v/>
      </c>
      <c r="S230" s="96" t="str">
        <f>IF(R230="","",IFERROR(MATCH(R230,'ITENS_MTR'!$A$6:$A$1005,0),""))</f>
        <v/>
      </c>
      <c r="T230" s="96">
        <f>IF(S230="",0,IF(INDEX('ITENS_MTR'!$R$6:$R$1005,S230)=1,1,0))</f>
        <v>0</v>
      </c>
      <c r="U230" s="96" t="str">
        <f>IF(T230=1,INDEX('ITENS_MTR'!$T$6:$T$1005,S230),"")</f>
        <v/>
      </c>
      <c r="V230" s="97" t="str">
        <f>IF(N(U230)&gt;0,INDEX('MTRs'!$E$6:$E$505,U230),"")</f>
        <v/>
      </c>
      <c r="W230" s="96" t="str">
        <f>IF(G230="","",IFERROR(IF(ISNUMBER(INDEX(cfg_fac,MATCH(G230,cfg_units,0))),IF(INDEX(cfg_fac,MATCH(G230,cfg_units,0))&gt;0,INDEX(cfg_fac,MATCH(G230,cfg_units,0)),""),""),""))</f>
        <v/>
      </c>
      <c r="X230" s="96">
        <f>IF(AND(ISNUMBER(F230),ISNUMBER(H230)),IF(H230&gt;0,1,0),0)</f>
        <v>0</v>
      </c>
      <c r="Y230" s="96">
        <f>IF(Q230=0,0,IF(OR(T230=0,X230=0,NOT(ISNUMBER(E230)),AND(J230="Sim",L230="",M230=""),AND(ISNUMBER(E230),ISNUMBER(V230),N(V230)&gt;0,E230&lt;N(V230))),1,0))</f>
        <v>0</v>
      </c>
      <c r="Z230" s="96">
        <f>IF(AND(Q230=1,T230=1,X230=1,J230="Sim",OR(L230&lt;&gt;"",M230&lt;&gt;"")),1,0)</f>
        <v>0</v>
      </c>
      <c r="AA230" s="96">
        <f>IF(Q230=0,0,IF(AND(OR(r_ini="",AND(ISNUMBER(E230),E230&gt;=r_ini)),OR(r_fim="",AND(ISNUMBER(E230),E230&lt;=r_fim)),OR(r_un="",r_un="(Todas)",IF(N(U230)&gt;0,INDEX('MTRs'!$G$6:$G$505,U230),"")=r_un),OR(r_de="",r_de="(Todos)",D230=r_de)),1,0))</f>
        <v>0</v>
      </c>
      <c r="AB230" s="96" t="str">
        <f>IF(AA230=1,COUNTIF($AA$6:AA230,1),"")</f>
        <v/>
      </c>
    </row>
    <row r="231">
      <c r="A231" s="89" t="inlineStr">
        <is>
          <t>REC-000226</t>
        </is>
      </c>
      <c r="B231" s="94" t="str">
        <f>IF(T231=1,INDEX('ITENS_MTR'!$S$6:$S$1005,S231)&amp;"","")</f>
        <v/>
      </c>
      <c r="C231" s="91" t="n"/>
      <c r="D231" s="94" t="str">
        <f>IF(N(U231)&gt;0,INDEX('MTRs'!$I$6:$I$505,U231)&amp;"","")</f>
        <v/>
      </c>
      <c r="E231" s="92" t="n"/>
      <c r="F231" s="98" t="n"/>
      <c r="G231" s="91" t="n"/>
      <c r="H231" s="93" t="str">
        <f>IF(Q231=0,"",IF(NOT(ISNUMBER(F231)),"",IF(ISNUMBER(W231),F231*W231,"UNIDADE A CONFERIR")))</f>
        <v/>
      </c>
      <c r="I231" s="91" t="n"/>
      <c r="J231" s="91" t="n"/>
      <c r="K231" s="92" t="n"/>
      <c r="L231" s="91" t="n"/>
      <c r="M231" s="91" t="n"/>
      <c r="N231" s="91" t="n"/>
      <c r="O231" s="91" t="n"/>
      <c r="P231" s="94" t="str">
        <f>IF(Q231=0,"",IF(C231="","Item de resíduo não informado",IF(T231=0,"Item inexistente (referência inválida)",IF(NOT(ISNUMBER(F231)),"Quantidade não informada",IF(F231&lt;=0,"Quantidade não positiva",IF(G231="","Unidade não informada",IF(NOT(ISNUMBER(H231)),"Unidade a conferir",IF(NOT(ISNUMBER(E231)),"Data de recebimento não informada",IF(AND(ISNUMBER(V231),N(V231)&gt;0,E231&lt;N(V231)),"Data anterior à emissão do MTR",IF(AND(J231="Sim",L231="",M231=""),"Conferido sem evidência identificada",IF(J231&lt;&gt;"Sim","Aguardando conferência",IF(INDEX('ITENS_MTR'!$AM$6:$AM$1005,S231)=1,"Conferido (ver diferença no item)","Conferido"))))))))))))</f>
        <v/>
      </c>
      <c r="Q231" s="96">
        <f>IF(COUNTA(C231,E231:G231,I231:O231)&gt;0,1,0)</f>
        <v>0</v>
      </c>
      <c r="R231" s="96" t="str">
        <f>IF(C231="","",TRIM(LEFT(C231,FIND(" |",C231&amp;" |")-1)))</f>
        <v/>
      </c>
      <c r="S231" s="96" t="str">
        <f>IF(R231="","",IFERROR(MATCH(R231,'ITENS_MTR'!$A$6:$A$1005,0),""))</f>
        <v/>
      </c>
      <c r="T231" s="96">
        <f>IF(S231="",0,IF(INDEX('ITENS_MTR'!$R$6:$R$1005,S231)=1,1,0))</f>
        <v>0</v>
      </c>
      <c r="U231" s="96" t="str">
        <f>IF(T231=1,INDEX('ITENS_MTR'!$T$6:$T$1005,S231),"")</f>
        <v/>
      </c>
      <c r="V231" s="97" t="str">
        <f>IF(N(U231)&gt;0,INDEX('MTRs'!$E$6:$E$505,U231),"")</f>
        <v/>
      </c>
      <c r="W231" s="96" t="str">
        <f>IF(G231="","",IFERROR(IF(ISNUMBER(INDEX(cfg_fac,MATCH(G231,cfg_units,0))),IF(INDEX(cfg_fac,MATCH(G231,cfg_units,0))&gt;0,INDEX(cfg_fac,MATCH(G231,cfg_units,0)),""),""),""))</f>
        <v/>
      </c>
      <c r="X231" s="96">
        <f>IF(AND(ISNUMBER(F231),ISNUMBER(H231)),IF(H231&gt;0,1,0),0)</f>
        <v>0</v>
      </c>
      <c r="Y231" s="96">
        <f>IF(Q231=0,0,IF(OR(T231=0,X231=0,NOT(ISNUMBER(E231)),AND(J231="Sim",L231="",M231=""),AND(ISNUMBER(E231),ISNUMBER(V231),N(V231)&gt;0,E231&lt;N(V231))),1,0))</f>
        <v>0</v>
      </c>
      <c r="Z231" s="96">
        <f>IF(AND(Q231=1,T231=1,X231=1,J231="Sim",OR(L231&lt;&gt;"",M231&lt;&gt;"")),1,0)</f>
        <v>0</v>
      </c>
      <c r="AA231" s="96">
        <f>IF(Q231=0,0,IF(AND(OR(r_ini="",AND(ISNUMBER(E231),E231&gt;=r_ini)),OR(r_fim="",AND(ISNUMBER(E231),E231&lt;=r_fim)),OR(r_un="",r_un="(Todas)",IF(N(U231)&gt;0,INDEX('MTRs'!$G$6:$G$505,U231),"")=r_un),OR(r_de="",r_de="(Todos)",D231=r_de)),1,0))</f>
        <v>0</v>
      </c>
      <c r="AB231" s="96" t="str">
        <f>IF(AA231=1,COUNTIF($AA$6:AA231,1),"")</f>
        <v/>
      </c>
    </row>
    <row r="232">
      <c r="A232" s="89" t="inlineStr">
        <is>
          <t>REC-000227</t>
        </is>
      </c>
      <c r="B232" s="94" t="str">
        <f>IF(T232=1,INDEX('ITENS_MTR'!$S$6:$S$1005,S232)&amp;"","")</f>
        <v/>
      </c>
      <c r="C232" s="91" t="n"/>
      <c r="D232" s="94" t="str">
        <f>IF(N(U232)&gt;0,INDEX('MTRs'!$I$6:$I$505,U232)&amp;"","")</f>
        <v/>
      </c>
      <c r="E232" s="92" t="n"/>
      <c r="F232" s="98" t="n"/>
      <c r="G232" s="91" t="n"/>
      <c r="H232" s="93" t="str">
        <f>IF(Q232=0,"",IF(NOT(ISNUMBER(F232)),"",IF(ISNUMBER(W232),F232*W232,"UNIDADE A CONFERIR")))</f>
        <v/>
      </c>
      <c r="I232" s="91" t="n"/>
      <c r="J232" s="91" t="n"/>
      <c r="K232" s="92" t="n"/>
      <c r="L232" s="91" t="n"/>
      <c r="M232" s="91" t="n"/>
      <c r="N232" s="91" t="n"/>
      <c r="O232" s="91" t="n"/>
      <c r="P232" s="94" t="str">
        <f>IF(Q232=0,"",IF(C232="","Item de resíduo não informado",IF(T232=0,"Item inexistente (referência inválida)",IF(NOT(ISNUMBER(F232)),"Quantidade não informada",IF(F232&lt;=0,"Quantidade não positiva",IF(G232="","Unidade não informada",IF(NOT(ISNUMBER(H232)),"Unidade a conferir",IF(NOT(ISNUMBER(E232)),"Data de recebimento não informada",IF(AND(ISNUMBER(V232),N(V232)&gt;0,E232&lt;N(V232)),"Data anterior à emissão do MTR",IF(AND(J232="Sim",L232="",M232=""),"Conferido sem evidência identificada",IF(J232&lt;&gt;"Sim","Aguardando conferência",IF(INDEX('ITENS_MTR'!$AM$6:$AM$1005,S232)=1,"Conferido (ver diferença no item)","Conferido"))))))))))))</f>
        <v/>
      </c>
      <c r="Q232" s="96">
        <f>IF(COUNTA(C232,E232:G232,I232:O232)&gt;0,1,0)</f>
        <v>0</v>
      </c>
      <c r="R232" s="96" t="str">
        <f>IF(C232="","",TRIM(LEFT(C232,FIND(" |",C232&amp;" |")-1)))</f>
        <v/>
      </c>
      <c r="S232" s="96" t="str">
        <f>IF(R232="","",IFERROR(MATCH(R232,'ITENS_MTR'!$A$6:$A$1005,0),""))</f>
        <v/>
      </c>
      <c r="T232" s="96">
        <f>IF(S232="",0,IF(INDEX('ITENS_MTR'!$R$6:$R$1005,S232)=1,1,0))</f>
        <v>0</v>
      </c>
      <c r="U232" s="96" t="str">
        <f>IF(T232=1,INDEX('ITENS_MTR'!$T$6:$T$1005,S232),"")</f>
        <v/>
      </c>
      <c r="V232" s="97" t="str">
        <f>IF(N(U232)&gt;0,INDEX('MTRs'!$E$6:$E$505,U232),"")</f>
        <v/>
      </c>
      <c r="W232" s="96" t="str">
        <f>IF(G232="","",IFERROR(IF(ISNUMBER(INDEX(cfg_fac,MATCH(G232,cfg_units,0))),IF(INDEX(cfg_fac,MATCH(G232,cfg_units,0))&gt;0,INDEX(cfg_fac,MATCH(G232,cfg_units,0)),""),""),""))</f>
        <v/>
      </c>
      <c r="X232" s="96">
        <f>IF(AND(ISNUMBER(F232),ISNUMBER(H232)),IF(H232&gt;0,1,0),0)</f>
        <v>0</v>
      </c>
      <c r="Y232" s="96">
        <f>IF(Q232=0,0,IF(OR(T232=0,X232=0,NOT(ISNUMBER(E232)),AND(J232="Sim",L232="",M232=""),AND(ISNUMBER(E232),ISNUMBER(V232),N(V232)&gt;0,E232&lt;N(V232))),1,0))</f>
        <v>0</v>
      </c>
      <c r="Z232" s="96">
        <f>IF(AND(Q232=1,T232=1,X232=1,J232="Sim",OR(L232&lt;&gt;"",M232&lt;&gt;"")),1,0)</f>
        <v>0</v>
      </c>
      <c r="AA232" s="96">
        <f>IF(Q232=0,0,IF(AND(OR(r_ini="",AND(ISNUMBER(E232),E232&gt;=r_ini)),OR(r_fim="",AND(ISNUMBER(E232),E232&lt;=r_fim)),OR(r_un="",r_un="(Todas)",IF(N(U232)&gt;0,INDEX('MTRs'!$G$6:$G$505,U232),"")=r_un),OR(r_de="",r_de="(Todos)",D232=r_de)),1,0))</f>
        <v>0</v>
      </c>
      <c r="AB232" s="96" t="str">
        <f>IF(AA232=1,COUNTIF($AA$6:AA232,1),"")</f>
        <v/>
      </c>
    </row>
    <row r="233">
      <c r="A233" s="89" t="inlineStr">
        <is>
          <t>REC-000228</t>
        </is>
      </c>
      <c r="B233" s="94" t="str">
        <f>IF(T233=1,INDEX('ITENS_MTR'!$S$6:$S$1005,S233)&amp;"","")</f>
        <v/>
      </c>
      <c r="C233" s="91" t="n"/>
      <c r="D233" s="94" t="str">
        <f>IF(N(U233)&gt;0,INDEX('MTRs'!$I$6:$I$505,U233)&amp;"","")</f>
        <v/>
      </c>
      <c r="E233" s="92" t="n"/>
      <c r="F233" s="98" t="n"/>
      <c r="G233" s="91" t="n"/>
      <c r="H233" s="93" t="str">
        <f>IF(Q233=0,"",IF(NOT(ISNUMBER(F233)),"",IF(ISNUMBER(W233),F233*W233,"UNIDADE A CONFERIR")))</f>
        <v/>
      </c>
      <c r="I233" s="91" t="n"/>
      <c r="J233" s="91" t="n"/>
      <c r="K233" s="92" t="n"/>
      <c r="L233" s="91" t="n"/>
      <c r="M233" s="91" t="n"/>
      <c r="N233" s="91" t="n"/>
      <c r="O233" s="91" t="n"/>
      <c r="P233" s="94" t="str">
        <f>IF(Q233=0,"",IF(C233="","Item de resíduo não informado",IF(T233=0,"Item inexistente (referência inválida)",IF(NOT(ISNUMBER(F233)),"Quantidade não informada",IF(F233&lt;=0,"Quantidade não positiva",IF(G233="","Unidade não informada",IF(NOT(ISNUMBER(H233)),"Unidade a conferir",IF(NOT(ISNUMBER(E233)),"Data de recebimento não informada",IF(AND(ISNUMBER(V233),N(V233)&gt;0,E233&lt;N(V233)),"Data anterior à emissão do MTR",IF(AND(J233="Sim",L233="",M233=""),"Conferido sem evidência identificada",IF(J233&lt;&gt;"Sim","Aguardando conferência",IF(INDEX('ITENS_MTR'!$AM$6:$AM$1005,S233)=1,"Conferido (ver diferença no item)","Conferido"))))))))))))</f>
        <v/>
      </c>
      <c r="Q233" s="96">
        <f>IF(COUNTA(C233,E233:G233,I233:O233)&gt;0,1,0)</f>
        <v>0</v>
      </c>
      <c r="R233" s="96" t="str">
        <f>IF(C233="","",TRIM(LEFT(C233,FIND(" |",C233&amp;" |")-1)))</f>
        <v/>
      </c>
      <c r="S233" s="96" t="str">
        <f>IF(R233="","",IFERROR(MATCH(R233,'ITENS_MTR'!$A$6:$A$1005,0),""))</f>
        <v/>
      </c>
      <c r="T233" s="96">
        <f>IF(S233="",0,IF(INDEX('ITENS_MTR'!$R$6:$R$1005,S233)=1,1,0))</f>
        <v>0</v>
      </c>
      <c r="U233" s="96" t="str">
        <f>IF(T233=1,INDEX('ITENS_MTR'!$T$6:$T$1005,S233),"")</f>
        <v/>
      </c>
      <c r="V233" s="97" t="str">
        <f>IF(N(U233)&gt;0,INDEX('MTRs'!$E$6:$E$505,U233),"")</f>
        <v/>
      </c>
      <c r="W233" s="96" t="str">
        <f>IF(G233="","",IFERROR(IF(ISNUMBER(INDEX(cfg_fac,MATCH(G233,cfg_units,0))),IF(INDEX(cfg_fac,MATCH(G233,cfg_units,0))&gt;0,INDEX(cfg_fac,MATCH(G233,cfg_units,0)),""),""),""))</f>
        <v/>
      </c>
      <c r="X233" s="96">
        <f>IF(AND(ISNUMBER(F233),ISNUMBER(H233)),IF(H233&gt;0,1,0),0)</f>
        <v>0</v>
      </c>
      <c r="Y233" s="96">
        <f>IF(Q233=0,0,IF(OR(T233=0,X233=0,NOT(ISNUMBER(E233)),AND(J233="Sim",L233="",M233=""),AND(ISNUMBER(E233),ISNUMBER(V233),N(V233)&gt;0,E233&lt;N(V233))),1,0))</f>
        <v>0</v>
      </c>
      <c r="Z233" s="96">
        <f>IF(AND(Q233=1,T233=1,X233=1,J233="Sim",OR(L233&lt;&gt;"",M233&lt;&gt;"")),1,0)</f>
        <v>0</v>
      </c>
      <c r="AA233" s="96">
        <f>IF(Q233=0,0,IF(AND(OR(r_ini="",AND(ISNUMBER(E233),E233&gt;=r_ini)),OR(r_fim="",AND(ISNUMBER(E233),E233&lt;=r_fim)),OR(r_un="",r_un="(Todas)",IF(N(U233)&gt;0,INDEX('MTRs'!$G$6:$G$505,U233),"")=r_un),OR(r_de="",r_de="(Todos)",D233=r_de)),1,0))</f>
        <v>0</v>
      </c>
      <c r="AB233" s="96" t="str">
        <f>IF(AA233=1,COUNTIF($AA$6:AA233,1),"")</f>
        <v/>
      </c>
    </row>
    <row r="234">
      <c r="A234" s="89" t="inlineStr">
        <is>
          <t>REC-000229</t>
        </is>
      </c>
      <c r="B234" s="94" t="str">
        <f>IF(T234=1,INDEX('ITENS_MTR'!$S$6:$S$1005,S234)&amp;"","")</f>
        <v/>
      </c>
      <c r="C234" s="91" t="n"/>
      <c r="D234" s="94" t="str">
        <f>IF(N(U234)&gt;0,INDEX('MTRs'!$I$6:$I$505,U234)&amp;"","")</f>
        <v/>
      </c>
      <c r="E234" s="92" t="n"/>
      <c r="F234" s="98" t="n"/>
      <c r="G234" s="91" t="n"/>
      <c r="H234" s="93" t="str">
        <f>IF(Q234=0,"",IF(NOT(ISNUMBER(F234)),"",IF(ISNUMBER(W234),F234*W234,"UNIDADE A CONFERIR")))</f>
        <v/>
      </c>
      <c r="I234" s="91" t="n"/>
      <c r="J234" s="91" t="n"/>
      <c r="K234" s="92" t="n"/>
      <c r="L234" s="91" t="n"/>
      <c r="M234" s="91" t="n"/>
      <c r="N234" s="91" t="n"/>
      <c r="O234" s="91" t="n"/>
      <c r="P234" s="94" t="str">
        <f>IF(Q234=0,"",IF(C234="","Item de resíduo não informado",IF(T234=0,"Item inexistente (referência inválida)",IF(NOT(ISNUMBER(F234)),"Quantidade não informada",IF(F234&lt;=0,"Quantidade não positiva",IF(G234="","Unidade não informada",IF(NOT(ISNUMBER(H234)),"Unidade a conferir",IF(NOT(ISNUMBER(E234)),"Data de recebimento não informada",IF(AND(ISNUMBER(V234),N(V234)&gt;0,E234&lt;N(V234)),"Data anterior à emissão do MTR",IF(AND(J234="Sim",L234="",M234=""),"Conferido sem evidência identificada",IF(J234&lt;&gt;"Sim","Aguardando conferência",IF(INDEX('ITENS_MTR'!$AM$6:$AM$1005,S234)=1,"Conferido (ver diferença no item)","Conferido"))))))))))))</f>
        <v/>
      </c>
      <c r="Q234" s="96">
        <f>IF(COUNTA(C234,E234:G234,I234:O234)&gt;0,1,0)</f>
        <v>0</v>
      </c>
      <c r="R234" s="96" t="str">
        <f>IF(C234="","",TRIM(LEFT(C234,FIND(" |",C234&amp;" |")-1)))</f>
        <v/>
      </c>
      <c r="S234" s="96" t="str">
        <f>IF(R234="","",IFERROR(MATCH(R234,'ITENS_MTR'!$A$6:$A$1005,0),""))</f>
        <v/>
      </c>
      <c r="T234" s="96">
        <f>IF(S234="",0,IF(INDEX('ITENS_MTR'!$R$6:$R$1005,S234)=1,1,0))</f>
        <v>0</v>
      </c>
      <c r="U234" s="96" t="str">
        <f>IF(T234=1,INDEX('ITENS_MTR'!$T$6:$T$1005,S234),"")</f>
        <v/>
      </c>
      <c r="V234" s="97" t="str">
        <f>IF(N(U234)&gt;0,INDEX('MTRs'!$E$6:$E$505,U234),"")</f>
        <v/>
      </c>
      <c r="W234" s="96" t="str">
        <f>IF(G234="","",IFERROR(IF(ISNUMBER(INDEX(cfg_fac,MATCH(G234,cfg_units,0))),IF(INDEX(cfg_fac,MATCH(G234,cfg_units,0))&gt;0,INDEX(cfg_fac,MATCH(G234,cfg_units,0)),""),""),""))</f>
        <v/>
      </c>
      <c r="X234" s="96">
        <f>IF(AND(ISNUMBER(F234),ISNUMBER(H234)),IF(H234&gt;0,1,0),0)</f>
        <v>0</v>
      </c>
      <c r="Y234" s="96">
        <f>IF(Q234=0,0,IF(OR(T234=0,X234=0,NOT(ISNUMBER(E234)),AND(J234="Sim",L234="",M234=""),AND(ISNUMBER(E234),ISNUMBER(V234),N(V234)&gt;0,E234&lt;N(V234))),1,0))</f>
        <v>0</v>
      </c>
      <c r="Z234" s="96">
        <f>IF(AND(Q234=1,T234=1,X234=1,J234="Sim",OR(L234&lt;&gt;"",M234&lt;&gt;"")),1,0)</f>
        <v>0</v>
      </c>
      <c r="AA234" s="96">
        <f>IF(Q234=0,0,IF(AND(OR(r_ini="",AND(ISNUMBER(E234),E234&gt;=r_ini)),OR(r_fim="",AND(ISNUMBER(E234),E234&lt;=r_fim)),OR(r_un="",r_un="(Todas)",IF(N(U234)&gt;0,INDEX('MTRs'!$G$6:$G$505,U234),"")=r_un),OR(r_de="",r_de="(Todos)",D234=r_de)),1,0))</f>
        <v>0</v>
      </c>
      <c r="AB234" s="96" t="str">
        <f>IF(AA234=1,COUNTIF($AA$6:AA234,1),"")</f>
        <v/>
      </c>
    </row>
    <row r="235">
      <c r="A235" s="89" t="inlineStr">
        <is>
          <t>REC-000230</t>
        </is>
      </c>
      <c r="B235" s="94" t="str">
        <f>IF(T235=1,INDEX('ITENS_MTR'!$S$6:$S$1005,S235)&amp;"","")</f>
        <v/>
      </c>
      <c r="C235" s="91" t="n"/>
      <c r="D235" s="94" t="str">
        <f>IF(N(U235)&gt;0,INDEX('MTRs'!$I$6:$I$505,U235)&amp;"","")</f>
        <v/>
      </c>
      <c r="E235" s="92" t="n"/>
      <c r="F235" s="98" t="n"/>
      <c r="G235" s="91" t="n"/>
      <c r="H235" s="93" t="str">
        <f>IF(Q235=0,"",IF(NOT(ISNUMBER(F235)),"",IF(ISNUMBER(W235),F235*W235,"UNIDADE A CONFERIR")))</f>
        <v/>
      </c>
      <c r="I235" s="91" t="n"/>
      <c r="J235" s="91" t="n"/>
      <c r="K235" s="92" t="n"/>
      <c r="L235" s="91" t="n"/>
      <c r="M235" s="91" t="n"/>
      <c r="N235" s="91" t="n"/>
      <c r="O235" s="91" t="n"/>
      <c r="P235" s="94" t="str">
        <f>IF(Q235=0,"",IF(C235="","Item de resíduo não informado",IF(T235=0,"Item inexistente (referência inválida)",IF(NOT(ISNUMBER(F235)),"Quantidade não informada",IF(F235&lt;=0,"Quantidade não positiva",IF(G235="","Unidade não informada",IF(NOT(ISNUMBER(H235)),"Unidade a conferir",IF(NOT(ISNUMBER(E235)),"Data de recebimento não informada",IF(AND(ISNUMBER(V235),N(V235)&gt;0,E235&lt;N(V235)),"Data anterior à emissão do MTR",IF(AND(J235="Sim",L235="",M235=""),"Conferido sem evidência identificada",IF(J235&lt;&gt;"Sim","Aguardando conferência",IF(INDEX('ITENS_MTR'!$AM$6:$AM$1005,S235)=1,"Conferido (ver diferença no item)","Conferido"))))))))))))</f>
        <v/>
      </c>
      <c r="Q235" s="96">
        <f>IF(COUNTA(C235,E235:G235,I235:O235)&gt;0,1,0)</f>
        <v>0</v>
      </c>
      <c r="R235" s="96" t="str">
        <f>IF(C235="","",TRIM(LEFT(C235,FIND(" |",C235&amp;" |")-1)))</f>
        <v/>
      </c>
      <c r="S235" s="96" t="str">
        <f>IF(R235="","",IFERROR(MATCH(R235,'ITENS_MTR'!$A$6:$A$1005,0),""))</f>
        <v/>
      </c>
      <c r="T235" s="96">
        <f>IF(S235="",0,IF(INDEX('ITENS_MTR'!$R$6:$R$1005,S235)=1,1,0))</f>
        <v>0</v>
      </c>
      <c r="U235" s="96" t="str">
        <f>IF(T235=1,INDEX('ITENS_MTR'!$T$6:$T$1005,S235),"")</f>
        <v/>
      </c>
      <c r="V235" s="97" t="str">
        <f>IF(N(U235)&gt;0,INDEX('MTRs'!$E$6:$E$505,U235),"")</f>
        <v/>
      </c>
      <c r="W235" s="96" t="str">
        <f>IF(G235="","",IFERROR(IF(ISNUMBER(INDEX(cfg_fac,MATCH(G235,cfg_units,0))),IF(INDEX(cfg_fac,MATCH(G235,cfg_units,0))&gt;0,INDEX(cfg_fac,MATCH(G235,cfg_units,0)),""),""),""))</f>
        <v/>
      </c>
      <c r="X235" s="96">
        <f>IF(AND(ISNUMBER(F235),ISNUMBER(H235)),IF(H235&gt;0,1,0),0)</f>
        <v>0</v>
      </c>
      <c r="Y235" s="96">
        <f>IF(Q235=0,0,IF(OR(T235=0,X235=0,NOT(ISNUMBER(E235)),AND(J235="Sim",L235="",M235=""),AND(ISNUMBER(E235),ISNUMBER(V235),N(V235)&gt;0,E235&lt;N(V235))),1,0))</f>
        <v>0</v>
      </c>
      <c r="Z235" s="96">
        <f>IF(AND(Q235=1,T235=1,X235=1,J235="Sim",OR(L235&lt;&gt;"",M235&lt;&gt;"")),1,0)</f>
        <v>0</v>
      </c>
      <c r="AA235" s="96">
        <f>IF(Q235=0,0,IF(AND(OR(r_ini="",AND(ISNUMBER(E235),E235&gt;=r_ini)),OR(r_fim="",AND(ISNUMBER(E235),E235&lt;=r_fim)),OR(r_un="",r_un="(Todas)",IF(N(U235)&gt;0,INDEX('MTRs'!$G$6:$G$505,U235),"")=r_un),OR(r_de="",r_de="(Todos)",D235=r_de)),1,0))</f>
        <v>0</v>
      </c>
      <c r="AB235" s="96" t="str">
        <f>IF(AA235=1,COUNTIF($AA$6:AA235,1),"")</f>
        <v/>
      </c>
    </row>
    <row r="236">
      <c r="A236" s="89" t="inlineStr">
        <is>
          <t>REC-000231</t>
        </is>
      </c>
      <c r="B236" s="94" t="str">
        <f>IF(T236=1,INDEX('ITENS_MTR'!$S$6:$S$1005,S236)&amp;"","")</f>
        <v/>
      </c>
      <c r="C236" s="91" t="n"/>
      <c r="D236" s="94" t="str">
        <f>IF(N(U236)&gt;0,INDEX('MTRs'!$I$6:$I$505,U236)&amp;"","")</f>
        <v/>
      </c>
      <c r="E236" s="92" t="n"/>
      <c r="F236" s="98" t="n"/>
      <c r="G236" s="91" t="n"/>
      <c r="H236" s="93" t="str">
        <f>IF(Q236=0,"",IF(NOT(ISNUMBER(F236)),"",IF(ISNUMBER(W236),F236*W236,"UNIDADE A CONFERIR")))</f>
        <v/>
      </c>
      <c r="I236" s="91" t="n"/>
      <c r="J236" s="91" t="n"/>
      <c r="K236" s="92" t="n"/>
      <c r="L236" s="91" t="n"/>
      <c r="M236" s="91" t="n"/>
      <c r="N236" s="91" t="n"/>
      <c r="O236" s="91" t="n"/>
      <c r="P236" s="94" t="str">
        <f>IF(Q236=0,"",IF(C236="","Item de resíduo não informado",IF(T236=0,"Item inexistente (referência inválida)",IF(NOT(ISNUMBER(F236)),"Quantidade não informada",IF(F236&lt;=0,"Quantidade não positiva",IF(G236="","Unidade não informada",IF(NOT(ISNUMBER(H236)),"Unidade a conferir",IF(NOT(ISNUMBER(E236)),"Data de recebimento não informada",IF(AND(ISNUMBER(V236),N(V236)&gt;0,E236&lt;N(V236)),"Data anterior à emissão do MTR",IF(AND(J236="Sim",L236="",M236=""),"Conferido sem evidência identificada",IF(J236&lt;&gt;"Sim","Aguardando conferência",IF(INDEX('ITENS_MTR'!$AM$6:$AM$1005,S236)=1,"Conferido (ver diferença no item)","Conferido"))))))))))))</f>
        <v/>
      </c>
      <c r="Q236" s="96">
        <f>IF(COUNTA(C236,E236:G236,I236:O236)&gt;0,1,0)</f>
        <v>0</v>
      </c>
      <c r="R236" s="96" t="str">
        <f>IF(C236="","",TRIM(LEFT(C236,FIND(" |",C236&amp;" |")-1)))</f>
        <v/>
      </c>
      <c r="S236" s="96" t="str">
        <f>IF(R236="","",IFERROR(MATCH(R236,'ITENS_MTR'!$A$6:$A$1005,0),""))</f>
        <v/>
      </c>
      <c r="T236" s="96">
        <f>IF(S236="",0,IF(INDEX('ITENS_MTR'!$R$6:$R$1005,S236)=1,1,0))</f>
        <v>0</v>
      </c>
      <c r="U236" s="96" t="str">
        <f>IF(T236=1,INDEX('ITENS_MTR'!$T$6:$T$1005,S236),"")</f>
        <v/>
      </c>
      <c r="V236" s="97" t="str">
        <f>IF(N(U236)&gt;0,INDEX('MTRs'!$E$6:$E$505,U236),"")</f>
        <v/>
      </c>
      <c r="W236" s="96" t="str">
        <f>IF(G236="","",IFERROR(IF(ISNUMBER(INDEX(cfg_fac,MATCH(G236,cfg_units,0))),IF(INDEX(cfg_fac,MATCH(G236,cfg_units,0))&gt;0,INDEX(cfg_fac,MATCH(G236,cfg_units,0)),""),""),""))</f>
        <v/>
      </c>
      <c r="X236" s="96">
        <f>IF(AND(ISNUMBER(F236),ISNUMBER(H236)),IF(H236&gt;0,1,0),0)</f>
        <v>0</v>
      </c>
      <c r="Y236" s="96">
        <f>IF(Q236=0,0,IF(OR(T236=0,X236=0,NOT(ISNUMBER(E236)),AND(J236="Sim",L236="",M236=""),AND(ISNUMBER(E236),ISNUMBER(V236),N(V236)&gt;0,E236&lt;N(V236))),1,0))</f>
        <v>0</v>
      </c>
      <c r="Z236" s="96">
        <f>IF(AND(Q236=1,T236=1,X236=1,J236="Sim",OR(L236&lt;&gt;"",M236&lt;&gt;"")),1,0)</f>
        <v>0</v>
      </c>
      <c r="AA236" s="96">
        <f>IF(Q236=0,0,IF(AND(OR(r_ini="",AND(ISNUMBER(E236),E236&gt;=r_ini)),OR(r_fim="",AND(ISNUMBER(E236),E236&lt;=r_fim)),OR(r_un="",r_un="(Todas)",IF(N(U236)&gt;0,INDEX('MTRs'!$G$6:$G$505,U236),"")=r_un),OR(r_de="",r_de="(Todos)",D236=r_de)),1,0))</f>
        <v>0</v>
      </c>
      <c r="AB236" s="96" t="str">
        <f>IF(AA236=1,COUNTIF($AA$6:AA236,1),"")</f>
        <v/>
      </c>
    </row>
    <row r="237">
      <c r="A237" s="89" t="inlineStr">
        <is>
          <t>REC-000232</t>
        </is>
      </c>
      <c r="B237" s="94" t="str">
        <f>IF(T237=1,INDEX('ITENS_MTR'!$S$6:$S$1005,S237)&amp;"","")</f>
        <v/>
      </c>
      <c r="C237" s="91" t="n"/>
      <c r="D237" s="94" t="str">
        <f>IF(N(U237)&gt;0,INDEX('MTRs'!$I$6:$I$505,U237)&amp;"","")</f>
        <v/>
      </c>
      <c r="E237" s="92" t="n"/>
      <c r="F237" s="98" t="n"/>
      <c r="G237" s="91" t="n"/>
      <c r="H237" s="93" t="str">
        <f>IF(Q237=0,"",IF(NOT(ISNUMBER(F237)),"",IF(ISNUMBER(W237),F237*W237,"UNIDADE A CONFERIR")))</f>
        <v/>
      </c>
      <c r="I237" s="91" t="n"/>
      <c r="J237" s="91" t="n"/>
      <c r="K237" s="92" t="n"/>
      <c r="L237" s="91" t="n"/>
      <c r="M237" s="91" t="n"/>
      <c r="N237" s="91" t="n"/>
      <c r="O237" s="91" t="n"/>
      <c r="P237" s="94" t="str">
        <f>IF(Q237=0,"",IF(C237="","Item de resíduo não informado",IF(T237=0,"Item inexistente (referência inválida)",IF(NOT(ISNUMBER(F237)),"Quantidade não informada",IF(F237&lt;=0,"Quantidade não positiva",IF(G237="","Unidade não informada",IF(NOT(ISNUMBER(H237)),"Unidade a conferir",IF(NOT(ISNUMBER(E237)),"Data de recebimento não informada",IF(AND(ISNUMBER(V237),N(V237)&gt;0,E237&lt;N(V237)),"Data anterior à emissão do MTR",IF(AND(J237="Sim",L237="",M237=""),"Conferido sem evidência identificada",IF(J237&lt;&gt;"Sim","Aguardando conferência",IF(INDEX('ITENS_MTR'!$AM$6:$AM$1005,S237)=1,"Conferido (ver diferença no item)","Conferido"))))))))))))</f>
        <v/>
      </c>
      <c r="Q237" s="96">
        <f>IF(COUNTA(C237,E237:G237,I237:O237)&gt;0,1,0)</f>
        <v>0</v>
      </c>
      <c r="R237" s="96" t="str">
        <f>IF(C237="","",TRIM(LEFT(C237,FIND(" |",C237&amp;" |")-1)))</f>
        <v/>
      </c>
      <c r="S237" s="96" t="str">
        <f>IF(R237="","",IFERROR(MATCH(R237,'ITENS_MTR'!$A$6:$A$1005,0),""))</f>
        <v/>
      </c>
      <c r="T237" s="96">
        <f>IF(S237="",0,IF(INDEX('ITENS_MTR'!$R$6:$R$1005,S237)=1,1,0))</f>
        <v>0</v>
      </c>
      <c r="U237" s="96" t="str">
        <f>IF(T237=1,INDEX('ITENS_MTR'!$T$6:$T$1005,S237),"")</f>
        <v/>
      </c>
      <c r="V237" s="97" t="str">
        <f>IF(N(U237)&gt;0,INDEX('MTRs'!$E$6:$E$505,U237),"")</f>
        <v/>
      </c>
      <c r="W237" s="96" t="str">
        <f>IF(G237="","",IFERROR(IF(ISNUMBER(INDEX(cfg_fac,MATCH(G237,cfg_units,0))),IF(INDEX(cfg_fac,MATCH(G237,cfg_units,0))&gt;0,INDEX(cfg_fac,MATCH(G237,cfg_units,0)),""),""),""))</f>
        <v/>
      </c>
      <c r="X237" s="96">
        <f>IF(AND(ISNUMBER(F237),ISNUMBER(H237)),IF(H237&gt;0,1,0),0)</f>
        <v>0</v>
      </c>
      <c r="Y237" s="96">
        <f>IF(Q237=0,0,IF(OR(T237=0,X237=0,NOT(ISNUMBER(E237)),AND(J237="Sim",L237="",M237=""),AND(ISNUMBER(E237),ISNUMBER(V237),N(V237)&gt;0,E237&lt;N(V237))),1,0))</f>
        <v>0</v>
      </c>
      <c r="Z237" s="96">
        <f>IF(AND(Q237=1,T237=1,X237=1,J237="Sim",OR(L237&lt;&gt;"",M237&lt;&gt;"")),1,0)</f>
        <v>0</v>
      </c>
      <c r="AA237" s="96">
        <f>IF(Q237=0,0,IF(AND(OR(r_ini="",AND(ISNUMBER(E237),E237&gt;=r_ini)),OR(r_fim="",AND(ISNUMBER(E237),E237&lt;=r_fim)),OR(r_un="",r_un="(Todas)",IF(N(U237)&gt;0,INDEX('MTRs'!$G$6:$G$505,U237),"")=r_un),OR(r_de="",r_de="(Todos)",D237=r_de)),1,0))</f>
        <v>0</v>
      </c>
      <c r="AB237" s="96" t="str">
        <f>IF(AA237=1,COUNTIF($AA$6:AA237,1),"")</f>
        <v/>
      </c>
    </row>
    <row r="238">
      <c r="A238" s="89" t="inlineStr">
        <is>
          <t>REC-000233</t>
        </is>
      </c>
      <c r="B238" s="94" t="str">
        <f>IF(T238=1,INDEX('ITENS_MTR'!$S$6:$S$1005,S238)&amp;"","")</f>
        <v/>
      </c>
      <c r="C238" s="91" t="n"/>
      <c r="D238" s="94" t="str">
        <f>IF(N(U238)&gt;0,INDEX('MTRs'!$I$6:$I$505,U238)&amp;"","")</f>
        <v/>
      </c>
      <c r="E238" s="92" t="n"/>
      <c r="F238" s="98" t="n"/>
      <c r="G238" s="91" t="n"/>
      <c r="H238" s="93" t="str">
        <f>IF(Q238=0,"",IF(NOT(ISNUMBER(F238)),"",IF(ISNUMBER(W238),F238*W238,"UNIDADE A CONFERIR")))</f>
        <v/>
      </c>
      <c r="I238" s="91" t="n"/>
      <c r="J238" s="91" t="n"/>
      <c r="K238" s="92" t="n"/>
      <c r="L238" s="91" t="n"/>
      <c r="M238" s="91" t="n"/>
      <c r="N238" s="91" t="n"/>
      <c r="O238" s="91" t="n"/>
      <c r="P238" s="94" t="str">
        <f>IF(Q238=0,"",IF(C238="","Item de resíduo não informado",IF(T238=0,"Item inexistente (referência inválida)",IF(NOT(ISNUMBER(F238)),"Quantidade não informada",IF(F238&lt;=0,"Quantidade não positiva",IF(G238="","Unidade não informada",IF(NOT(ISNUMBER(H238)),"Unidade a conferir",IF(NOT(ISNUMBER(E238)),"Data de recebimento não informada",IF(AND(ISNUMBER(V238),N(V238)&gt;0,E238&lt;N(V238)),"Data anterior à emissão do MTR",IF(AND(J238="Sim",L238="",M238=""),"Conferido sem evidência identificada",IF(J238&lt;&gt;"Sim","Aguardando conferência",IF(INDEX('ITENS_MTR'!$AM$6:$AM$1005,S238)=1,"Conferido (ver diferença no item)","Conferido"))))))))))))</f>
        <v/>
      </c>
      <c r="Q238" s="96">
        <f>IF(COUNTA(C238,E238:G238,I238:O238)&gt;0,1,0)</f>
        <v>0</v>
      </c>
      <c r="R238" s="96" t="str">
        <f>IF(C238="","",TRIM(LEFT(C238,FIND(" |",C238&amp;" |")-1)))</f>
        <v/>
      </c>
      <c r="S238" s="96" t="str">
        <f>IF(R238="","",IFERROR(MATCH(R238,'ITENS_MTR'!$A$6:$A$1005,0),""))</f>
        <v/>
      </c>
      <c r="T238" s="96">
        <f>IF(S238="",0,IF(INDEX('ITENS_MTR'!$R$6:$R$1005,S238)=1,1,0))</f>
        <v>0</v>
      </c>
      <c r="U238" s="96" t="str">
        <f>IF(T238=1,INDEX('ITENS_MTR'!$T$6:$T$1005,S238),"")</f>
        <v/>
      </c>
      <c r="V238" s="97" t="str">
        <f>IF(N(U238)&gt;0,INDEX('MTRs'!$E$6:$E$505,U238),"")</f>
        <v/>
      </c>
      <c r="W238" s="96" t="str">
        <f>IF(G238="","",IFERROR(IF(ISNUMBER(INDEX(cfg_fac,MATCH(G238,cfg_units,0))),IF(INDEX(cfg_fac,MATCH(G238,cfg_units,0))&gt;0,INDEX(cfg_fac,MATCH(G238,cfg_units,0)),""),""),""))</f>
        <v/>
      </c>
      <c r="X238" s="96">
        <f>IF(AND(ISNUMBER(F238),ISNUMBER(H238)),IF(H238&gt;0,1,0),0)</f>
        <v>0</v>
      </c>
      <c r="Y238" s="96">
        <f>IF(Q238=0,0,IF(OR(T238=0,X238=0,NOT(ISNUMBER(E238)),AND(J238="Sim",L238="",M238=""),AND(ISNUMBER(E238),ISNUMBER(V238),N(V238)&gt;0,E238&lt;N(V238))),1,0))</f>
        <v>0</v>
      </c>
      <c r="Z238" s="96">
        <f>IF(AND(Q238=1,T238=1,X238=1,J238="Sim",OR(L238&lt;&gt;"",M238&lt;&gt;"")),1,0)</f>
        <v>0</v>
      </c>
      <c r="AA238" s="96">
        <f>IF(Q238=0,0,IF(AND(OR(r_ini="",AND(ISNUMBER(E238),E238&gt;=r_ini)),OR(r_fim="",AND(ISNUMBER(E238),E238&lt;=r_fim)),OR(r_un="",r_un="(Todas)",IF(N(U238)&gt;0,INDEX('MTRs'!$G$6:$G$505,U238),"")=r_un),OR(r_de="",r_de="(Todos)",D238=r_de)),1,0))</f>
        <v>0</v>
      </c>
      <c r="AB238" s="96" t="str">
        <f>IF(AA238=1,COUNTIF($AA$6:AA238,1),"")</f>
        <v/>
      </c>
    </row>
    <row r="239">
      <c r="A239" s="89" t="inlineStr">
        <is>
          <t>REC-000234</t>
        </is>
      </c>
      <c r="B239" s="94" t="str">
        <f>IF(T239=1,INDEX('ITENS_MTR'!$S$6:$S$1005,S239)&amp;"","")</f>
        <v/>
      </c>
      <c r="C239" s="91" t="n"/>
      <c r="D239" s="94" t="str">
        <f>IF(N(U239)&gt;0,INDEX('MTRs'!$I$6:$I$505,U239)&amp;"","")</f>
        <v/>
      </c>
      <c r="E239" s="92" t="n"/>
      <c r="F239" s="98" t="n"/>
      <c r="G239" s="91" t="n"/>
      <c r="H239" s="93" t="str">
        <f>IF(Q239=0,"",IF(NOT(ISNUMBER(F239)),"",IF(ISNUMBER(W239),F239*W239,"UNIDADE A CONFERIR")))</f>
        <v/>
      </c>
      <c r="I239" s="91" t="n"/>
      <c r="J239" s="91" t="n"/>
      <c r="K239" s="92" t="n"/>
      <c r="L239" s="91" t="n"/>
      <c r="M239" s="91" t="n"/>
      <c r="N239" s="91" t="n"/>
      <c r="O239" s="91" t="n"/>
      <c r="P239" s="94" t="str">
        <f>IF(Q239=0,"",IF(C239="","Item de resíduo não informado",IF(T239=0,"Item inexistente (referência inválida)",IF(NOT(ISNUMBER(F239)),"Quantidade não informada",IF(F239&lt;=0,"Quantidade não positiva",IF(G239="","Unidade não informada",IF(NOT(ISNUMBER(H239)),"Unidade a conferir",IF(NOT(ISNUMBER(E239)),"Data de recebimento não informada",IF(AND(ISNUMBER(V239),N(V239)&gt;0,E239&lt;N(V239)),"Data anterior à emissão do MTR",IF(AND(J239="Sim",L239="",M239=""),"Conferido sem evidência identificada",IF(J239&lt;&gt;"Sim","Aguardando conferência",IF(INDEX('ITENS_MTR'!$AM$6:$AM$1005,S239)=1,"Conferido (ver diferença no item)","Conferido"))))))))))))</f>
        <v/>
      </c>
      <c r="Q239" s="96">
        <f>IF(COUNTA(C239,E239:G239,I239:O239)&gt;0,1,0)</f>
        <v>0</v>
      </c>
      <c r="R239" s="96" t="str">
        <f>IF(C239="","",TRIM(LEFT(C239,FIND(" |",C239&amp;" |")-1)))</f>
        <v/>
      </c>
      <c r="S239" s="96" t="str">
        <f>IF(R239="","",IFERROR(MATCH(R239,'ITENS_MTR'!$A$6:$A$1005,0),""))</f>
        <v/>
      </c>
      <c r="T239" s="96">
        <f>IF(S239="",0,IF(INDEX('ITENS_MTR'!$R$6:$R$1005,S239)=1,1,0))</f>
        <v>0</v>
      </c>
      <c r="U239" s="96" t="str">
        <f>IF(T239=1,INDEX('ITENS_MTR'!$T$6:$T$1005,S239),"")</f>
        <v/>
      </c>
      <c r="V239" s="97" t="str">
        <f>IF(N(U239)&gt;0,INDEX('MTRs'!$E$6:$E$505,U239),"")</f>
        <v/>
      </c>
      <c r="W239" s="96" t="str">
        <f>IF(G239="","",IFERROR(IF(ISNUMBER(INDEX(cfg_fac,MATCH(G239,cfg_units,0))),IF(INDEX(cfg_fac,MATCH(G239,cfg_units,0))&gt;0,INDEX(cfg_fac,MATCH(G239,cfg_units,0)),""),""),""))</f>
        <v/>
      </c>
      <c r="X239" s="96">
        <f>IF(AND(ISNUMBER(F239),ISNUMBER(H239)),IF(H239&gt;0,1,0),0)</f>
        <v>0</v>
      </c>
      <c r="Y239" s="96">
        <f>IF(Q239=0,0,IF(OR(T239=0,X239=0,NOT(ISNUMBER(E239)),AND(J239="Sim",L239="",M239=""),AND(ISNUMBER(E239),ISNUMBER(V239),N(V239)&gt;0,E239&lt;N(V239))),1,0))</f>
        <v>0</v>
      </c>
      <c r="Z239" s="96">
        <f>IF(AND(Q239=1,T239=1,X239=1,J239="Sim",OR(L239&lt;&gt;"",M239&lt;&gt;"")),1,0)</f>
        <v>0</v>
      </c>
      <c r="AA239" s="96">
        <f>IF(Q239=0,0,IF(AND(OR(r_ini="",AND(ISNUMBER(E239),E239&gt;=r_ini)),OR(r_fim="",AND(ISNUMBER(E239),E239&lt;=r_fim)),OR(r_un="",r_un="(Todas)",IF(N(U239)&gt;0,INDEX('MTRs'!$G$6:$G$505,U239),"")=r_un),OR(r_de="",r_de="(Todos)",D239=r_de)),1,0))</f>
        <v>0</v>
      </c>
      <c r="AB239" s="96" t="str">
        <f>IF(AA239=1,COUNTIF($AA$6:AA239,1),"")</f>
        <v/>
      </c>
    </row>
    <row r="240">
      <c r="A240" s="89" t="inlineStr">
        <is>
          <t>REC-000235</t>
        </is>
      </c>
      <c r="B240" s="94" t="str">
        <f>IF(T240=1,INDEX('ITENS_MTR'!$S$6:$S$1005,S240)&amp;"","")</f>
        <v/>
      </c>
      <c r="C240" s="91" t="n"/>
      <c r="D240" s="94" t="str">
        <f>IF(N(U240)&gt;0,INDEX('MTRs'!$I$6:$I$505,U240)&amp;"","")</f>
        <v/>
      </c>
      <c r="E240" s="92" t="n"/>
      <c r="F240" s="98" t="n"/>
      <c r="G240" s="91" t="n"/>
      <c r="H240" s="93" t="str">
        <f>IF(Q240=0,"",IF(NOT(ISNUMBER(F240)),"",IF(ISNUMBER(W240),F240*W240,"UNIDADE A CONFERIR")))</f>
        <v/>
      </c>
      <c r="I240" s="91" t="n"/>
      <c r="J240" s="91" t="n"/>
      <c r="K240" s="92" t="n"/>
      <c r="L240" s="91" t="n"/>
      <c r="M240" s="91" t="n"/>
      <c r="N240" s="91" t="n"/>
      <c r="O240" s="91" t="n"/>
      <c r="P240" s="94" t="str">
        <f>IF(Q240=0,"",IF(C240="","Item de resíduo não informado",IF(T240=0,"Item inexistente (referência inválida)",IF(NOT(ISNUMBER(F240)),"Quantidade não informada",IF(F240&lt;=0,"Quantidade não positiva",IF(G240="","Unidade não informada",IF(NOT(ISNUMBER(H240)),"Unidade a conferir",IF(NOT(ISNUMBER(E240)),"Data de recebimento não informada",IF(AND(ISNUMBER(V240),N(V240)&gt;0,E240&lt;N(V240)),"Data anterior à emissão do MTR",IF(AND(J240="Sim",L240="",M240=""),"Conferido sem evidência identificada",IF(J240&lt;&gt;"Sim","Aguardando conferência",IF(INDEX('ITENS_MTR'!$AM$6:$AM$1005,S240)=1,"Conferido (ver diferença no item)","Conferido"))))))))))))</f>
        <v/>
      </c>
      <c r="Q240" s="96">
        <f>IF(COUNTA(C240,E240:G240,I240:O240)&gt;0,1,0)</f>
        <v>0</v>
      </c>
      <c r="R240" s="96" t="str">
        <f>IF(C240="","",TRIM(LEFT(C240,FIND(" |",C240&amp;" |")-1)))</f>
        <v/>
      </c>
      <c r="S240" s="96" t="str">
        <f>IF(R240="","",IFERROR(MATCH(R240,'ITENS_MTR'!$A$6:$A$1005,0),""))</f>
        <v/>
      </c>
      <c r="T240" s="96">
        <f>IF(S240="",0,IF(INDEX('ITENS_MTR'!$R$6:$R$1005,S240)=1,1,0))</f>
        <v>0</v>
      </c>
      <c r="U240" s="96" t="str">
        <f>IF(T240=1,INDEX('ITENS_MTR'!$T$6:$T$1005,S240),"")</f>
        <v/>
      </c>
      <c r="V240" s="97" t="str">
        <f>IF(N(U240)&gt;0,INDEX('MTRs'!$E$6:$E$505,U240),"")</f>
        <v/>
      </c>
      <c r="W240" s="96" t="str">
        <f>IF(G240="","",IFERROR(IF(ISNUMBER(INDEX(cfg_fac,MATCH(G240,cfg_units,0))),IF(INDEX(cfg_fac,MATCH(G240,cfg_units,0))&gt;0,INDEX(cfg_fac,MATCH(G240,cfg_units,0)),""),""),""))</f>
        <v/>
      </c>
      <c r="X240" s="96">
        <f>IF(AND(ISNUMBER(F240),ISNUMBER(H240)),IF(H240&gt;0,1,0),0)</f>
        <v>0</v>
      </c>
      <c r="Y240" s="96">
        <f>IF(Q240=0,0,IF(OR(T240=0,X240=0,NOT(ISNUMBER(E240)),AND(J240="Sim",L240="",M240=""),AND(ISNUMBER(E240),ISNUMBER(V240),N(V240)&gt;0,E240&lt;N(V240))),1,0))</f>
        <v>0</v>
      </c>
      <c r="Z240" s="96">
        <f>IF(AND(Q240=1,T240=1,X240=1,J240="Sim",OR(L240&lt;&gt;"",M240&lt;&gt;"")),1,0)</f>
        <v>0</v>
      </c>
      <c r="AA240" s="96">
        <f>IF(Q240=0,0,IF(AND(OR(r_ini="",AND(ISNUMBER(E240),E240&gt;=r_ini)),OR(r_fim="",AND(ISNUMBER(E240),E240&lt;=r_fim)),OR(r_un="",r_un="(Todas)",IF(N(U240)&gt;0,INDEX('MTRs'!$G$6:$G$505,U240),"")=r_un),OR(r_de="",r_de="(Todos)",D240=r_de)),1,0))</f>
        <v>0</v>
      </c>
      <c r="AB240" s="96" t="str">
        <f>IF(AA240=1,COUNTIF($AA$6:AA240,1),"")</f>
        <v/>
      </c>
    </row>
    <row r="241">
      <c r="A241" s="89" t="inlineStr">
        <is>
          <t>REC-000236</t>
        </is>
      </c>
      <c r="B241" s="94" t="str">
        <f>IF(T241=1,INDEX('ITENS_MTR'!$S$6:$S$1005,S241)&amp;"","")</f>
        <v/>
      </c>
      <c r="C241" s="91" t="n"/>
      <c r="D241" s="94" t="str">
        <f>IF(N(U241)&gt;0,INDEX('MTRs'!$I$6:$I$505,U241)&amp;"","")</f>
        <v/>
      </c>
      <c r="E241" s="92" t="n"/>
      <c r="F241" s="98" t="n"/>
      <c r="G241" s="91" t="n"/>
      <c r="H241" s="93" t="str">
        <f>IF(Q241=0,"",IF(NOT(ISNUMBER(F241)),"",IF(ISNUMBER(W241),F241*W241,"UNIDADE A CONFERIR")))</f>
        <v/>
      </c>
      <c r="I241" s="91" t="n"/>
      <c r="J241" s="91" t="n"/>
      <c r="K241" s="92" t="n"/>
      <c r="L241" s="91" t="n"/>
      <c r="M241" s="91" t="n"/>
      <c r="N241" s="91" t="n"/>
      <c r="O241" s="91" t="n"/>
      <c r="P241" s="94" t="str">
        <f>IF(Q241=0,"",IF(C241="","Item de resíduo não informado",IF(T241=0,"Item inexistente (referência inválida)",IF(NOT(ISNUMBER(F241)),"Quantidade não informada",IF(F241&lt;=0,"Quantidade não positiva",IF(G241="","Unidade não informada",IF(NOT(ISNUMBER(H241)),"Unidade a conferir",IF(NOT(ISNUMBER(E241)),"Data de recebimento não informada",IF(AND(ISNUMBER(V241),N(V241)&gt;0,E241&lt;N(V241)),"Data anterior à emissão do MTR",IF(AND(J241="Sim",L241="",M241=""),"Conferido sem evidência identificada",IF(J241&lt;&gt;"Sim","Aguardando conferência",IF(INDEX('ITENS_MTR'!$AM$6:$AM$1005,S241)=1,"Conferido (ver diferença no item)","Conferido"))))))))))))</f>
        <v/>
      </c>
      <c r="Q241" s="96">
        <f>IF(COUNTA(C241,E241:G241,I241:O241)&gt;0,1,0)</f>
        <v>0</v>
      </c>
      <c r="R241" s="96" t="str">
        <f>IF(C241="","",TRIM(LEFT(C241,FIND(" |",C241&amp;" |")-1)))</f>
        <v/>
      </c>
      <c r="S241" s="96" t="str">
        <f>IF(R241="","",IFERROR(MATCH(R241,'ITENS_MTR'!$A$6:$A$1005,0),""))</f>
        <v/>
      </c>
      <c r="T241" s="96">
        <f>IF(S241="",0,IF(INDEX('ITENS_MTR'!$R$6:$R$1005,S241)=1,1,0))</f>
        <v>0</v>
      </c>
      <c r="U241" s="96" t="str">
        <f>IF(T241=1,INDEX('ITENS_MTR'!$T$6:$T$1005,S241),"")</f>
        <v/>
      </c>
      <c r="V241" s="97" t="str">
        <f>IF(N(U241)&gt;0,INDEX('MTRs'!$E$6:$E$505,U241),"")</f>
        <v/>
      </c>
      <c r="W241" s="96" t="str">
        <f>IF(G241="","",IFERROR(IF(ISNUMBER(INDEX(cfg_fac,MATCH(G241,cfg_units,0))),IF(INDEX(cfg_fac,MATCH(G241,cfg_units,0))&gt;0,INDEX(cfg_fac,MATCH(G241,cfg_units,0)),""),""),""))</f>
        <v/>
      </c>
      <c r="X241" s="96">
        <f>IF(AND(ISNUMBER(F241),ISNUMBER(H241)),IF(H241&gt;0,1,0),0)</f>
        <v>0</v>
      </c>
      <c r="Y241" s="96">
        <f>IF(Q241=0,0,IF(OR(T241=0,X241=0,NOT(ISNUMBER(E241)),AND(J241="Sim",L241="",M241=""),AND(ISNUMBER(E241),ISNUMBER(V241),N(V241)&gt;0,E241&lt;N(V241))),1,0))</f>
        <v>0</v>
      </c>
      <c r="Z241" s="96">
        <f>IF(AND(Q241=1,T241=1,X241=1,J241="Sim",OR(L241&lt;&gt;"",M241&lt;&gt;"")),1,0)</f>
        <v>0</v>
      </c>
      <c r="AA241" s="96">
        <f>IF(Q241=0,0,IF(AND(OR(r_ini="",AND(ISNUMBER(E241),E241&gt;=r_ini)),OR(r_fim="",AND(ISNUMBER(E241),E241&lt;=r_fim)),OR(r_un="",r_un="(Todas)",IF(N(U241)&gt;0,INDEX('MTRs'!$G$6:$G$505,U241),"")=r_un),OR(r_de="",r_de="(Todos)",D241=r_de)),1,0))</f>
        <v>0</v>
      </c>
      <c r="AB241" s="96" t="str">
        <f>IF(AA241=1,COUNTIF($AA$6:AA241,1),"")</f>
        <v/>
      </c>
    </row>
    <row r="242">
      <c r="A242" s="89" t="inlineStr">
        <is>
          <t>REC-000237</t>
        </is>
      </c>
      <c r="B242" s="94" t="str">
        <f>IF(T242=1,INDEX('ITENS_MTR'!$S$6:$S$1005,S242)&amp;"","")</f>
        <v/>
      </c>
      <c r="C242" s="91" t="n"/>
      <c r="D242" s="94" t="str">
        <f>IF(N(U242)&gt;0,INDEX('MTRs'!$I$6:$I$505,U242)&amp;"","")</f>
        <v/>
      </c>
      <c r="E242" s="92" t="n"/>
      <c r="F242" s="98" t="n"/>
      <c r="G242" s="91" t="n"/>
      <c r="H242" s="93" t="str">
        <f>IF(Q242=0,"",IF(NOT(ISNUMBER(F242)),"",IF(ISNUMBER(W242),F242*W242,"UNIDADE A CONFERIR")))</f>
        <v/>
      </c>
      <c r="I242" s="91" t="n"/>
      <c r="J242" s="91" t="n"/>
      <c r="K242" s="92" t="n"/>
      <c r="L242" s="91" t="n"/>
      <c r="M242" s="91" t="n"/>
      <c r="N242" s="91" t="n"/>
      <c r="O242" s="91" t="n"/>
      <c r="P242" s="94" t="str">
        <f>IF(Q242=0,"",IF(C242="","Item de resíduo não informado",IF(T242=0,"Item inexistente (referência inválida)",IF(NOT(ISNUMBER(F242)),"Quantidade não informada",IF(F242&lt;=0,"Quantidade não positiva",IF(G242="","Unidade não informada",IF(NOT(ISNUMBER(H242)),"Unidade a conferir",IF(NOT(ISNUMBER(E242)),"Data de recebimento não informada",IF(AND(ISNUMBER(V242),N(V242)&gt;0,E242&lt;N(V242)),"Data anterior à emissão do MTR",IF(AND(J242="Sim",L242="",M242=""),"Conferido sem evidência identificada",IF(J242&lt;&gt;"Sim","Aguardando conferência",IF(INDEX('ITENS_MTR'!$AM$6:$AM$1005,S242)=1,"Conferido (ver diferença no item)","Conferido"))))))))))))</f>
        <v/>
      </c>
      <c r="Q242" s="96">
        <f>IF(COUNTA(C242,E242:G242,I242:O242)&gt;0,1,0)</f>
        <v>0</v>
      </c>
      <c r="R242" s="96" t="str">
        <f>IF(C242="","",TRIM(LEFT(C242,FIND(" |",C242&amp;" |")-1)))</f>
        <v/>
      </c>
      <c r="S242" s="96" t="str">
        <f>IF(R242="","",IFERROR(MATCH(R242,'ITENS_MTR'!$A$6:$A$1005,0),""))</f>
        <v/>
      </c>
      <c r="T242" s="96">
        <f>IF(S242="",0,IF(INDEX('ITENS_MTR'!$R$6:$R$1005,S242)=1,1,0))</f>
        <v>0</v>
      </c>
      <c r="U242" s="96" t="str">
        <f>IF(T242=1,INDEX('ITENS_MTR'!$T$6:$T$1005,S242),"")</f>
        <v/>
      </c>
      <c r="V242" s="97" t="str">
        <f>IF(N(U242)&gt;0,INDEX('MTRs'!$E$6:$E$505,U242),"")</f>
        <v/>
      </c>
      <c r="W242" s="96" t="str">
        <f>IF(G242="","",IFERROR(IF(ISNUMBER(INDEX(cfg_fac,MATCH(G242,cfg_units,0))),IF(INDEX(cfg_fac,MATCH(G242,cfg_units,0))&gt;0,INDEX(cfg_fac,MATCH(G242,cfg_units,0)),""),""),""))</f>
        <v/>
      </c>
      <c r="X242" s="96">
        <f>IF(AND(ISNUMBER(F242),ISNUMBER(H242)),IF(H242&gt;0,1,0),0)</f>
        <v>0</v>
      </c>
      <c r="Y242" s="96">
        <f>IF(Q242=0,0,IF(OR(T242=0,X242=0,NOT(ISNUMBER(E242)),AND(J242="Sim",L242="",M242=""),AND(ISNUMBER(E242),ISNUMBER(V242),N(V242)&gt;0,E242&lt;N(V242))),1,0))</f>
        <v>0</v>
      </c>
      <c r="Z242" s="96">
        <f>IF(AND(Q242=1,T242=1,X242=1,J242="Sim",OR(L242&lt;&gt;"",M242&lt;&gt;"")),1,0)</f>
        <v>0</v>
      </c>
      <c r="AA242" s="96">
        <f>IF(Q242=0,0,IF(AND(OR(r_ini="",AND(ISNUMBER(E242),E242&gt;=r_ini)),OR(r_fim="",AND(ISNUMBER(E242),E242&lt;=r_fim)),OR(r_un="",r_un="(Todas)",IF(N(U242)&gt;0,INDEX('MTRs'!$G$6:$G$505,U242),"")=r_un),OR(r_de="",r_de="(Todos)",D242=r_de)),1,0))</f>
        <v>0</v>
      </c>
      <c r="AB242" s="96" t="str">
        <f>IF(AA242=1,COUNTIF($AA$6:AA242,1),"")</f>
        <v/>
      </c>
    </row>
    <row r="243">
      <c r="A243" s="89" t="inlineStr">
        <is>
          <t>REC-000238</t>
        </is>
      </c>
      <c r="B243" s="94" t="str">
        <f>IF(T243=1,INDEX('ITENS_MTR'!$S$6:$S$1005,S243)&amp;"","")</f>
        <v/>
      </c>
      <c r="C243" s="91" t="n"/>
      <c r="D243" s="94" t="str">
        <f>IF(N(U243)&gt;0,INDEX('MTRs'!$I$6:$I$505,U243)&amp;"","")</f>
        <v/>
      </c>
      <c r="E243" s="92" t="n"/>
      <c r="F243" s="98" t="n"/>
      <c r="G243" s="91" t="n"/>
      <c r="H243" s="93" t="str">
        <f>IF(Q243=0,"",IF(NOT(ISNUMBER(F243)),"",IF(ISNUMBER(W243),F243*W243,"UNIDADE A CONFERIR")))</f>
        <v/>
      </c>
      <c r="I243" s="91" t="n"/>
      <c r="J243" s="91" t="n"/>
      <c r="K243" s="92" t="n"/>
      <c r="L243" s="91" t="n"/>
      <c r="M243" s="91" t="n"/>
      <c r="N243" s="91" t="n"/>
      <c r="O243" s="91" t="n"/>
      <c r="P243" s="94" t="str">
        <f>IF(Q243=0,"",IF(C243="","Item de resíduo não informado",IF(T243=0,"Item inexistente (referência inválida)",IF(NOT(ISNUMBER(F243)),"Quantidade não informada",IF(F243&lt;=0,"Quantidade não positiva",IF(G243="","Unidade não informada",IF(NOT(ISNUMBER(H243)),"Unidade a conferir",IF(NOT(ISNUMBER(E243)),"Data de recebimento não informada",IF(AND(ISNUMBER(V243),N(V243)&gt;0,E243&lt;N(V243)),"Data anterior à emissão do MTR",IF(AND(J243="Sim",L243="",M243=""),"Conferido sem evidência identificada",IF(J243&lt;&gt;"Sim","Aguardando conferência",IF(INDEX('ITENS_MTR'!$AM$6:$AM$1005,S243)=1,"Conferido (ver diferença no item)","Conferido"))))))))))))</f>
        <v/>
      </c>
      <c r="Q243" s="96">
        <f>IF(COUNTA(C243,E243:G243,I243:O243)&gt;0,1,0)</f>
        <v>0</v>
      </c>
      <c r="R243" s="96" t="str">
        <f>IF(C243="","",TRIM(LEFT(C243,FIND(" |",C243&amp;" |")-1)))</f>
        <v/>
      </c>
      <c r="S243" s="96" t="str">
        <f>IF(R243="","",IFERROR(MATCH(R243,'ITENS_MTR'!$A$6:$A$1005,0),""))</f>
        <v/>
      </c>
      <c r="T243" s="96">
        <f>IF(S243="",0,IF(INDEX('ITENS_MTR'!$R$6:$R$1005,S243)=1,1,0))</f>
        <v>0</v>
      </c>
      <c r="U243" s="96" t="str">
        <f>IF(T243=1,INDEX('ITENS_MTR'!$T$6:$T$1005,S243),"")</f>
        <v/>
      </c>
      <c r="V243" s="97" t="str">
        <f>IF(N(U243)&gt;0,INDEX('MTRs'!$E$6:$E$505,U243),"")</f>
        <v/>
      </c>
      <c r="W243" s="96" t="str">
        <f>IF(G243="","",IFERROR(IF(ISNUMBER(INDEX(cfg_fac,MATCH(G243,cfg_units,0))),IF(INDEX(cfg_fac,MATCH(G243,cfg_units,0))&gt;0,INDEX(cfg_fac,MATCH(G243,cfg_units,0)),""),""),""))</f>
        <v/>
      </c>
      <c r="X243" s="96">
        <f>IF(AND(ISNUMBER(F243),ISNUMBER(H243)),IF(H243&gt;0,1,0),0)</f>
        <v>0</v>
      </c>
      <c r="Y243" s="96">
        <f>IF(Q243=0,0,IF(OR(T243=0,X243=0,NOT(ISNUMBER(E243)),AND(J243="Sim",L243="",M243=""),AND(ISNUMBER(E243),ISNUMBER(V243),N(V243)&gt;0,E243&lt;N(V243))),1,0))</f>
        <v>0</v>
      </c>
      <c r="Z243" s="96">
        <f>IF(AND(Q243=1,T243=1,X243=1,J243="Sim",OR(L243&lt;&gt;"",M243&lt;&gt;"")),1,0)</f>
        <v>0</v>
      </c>
      <c r="AA243" s="96">
        <f>IF(Q243=0,0,IF(AND(OR(r_ini="",AND(ISNUMBER(E243),E243&gt;=r_ini)),OR(r_fim="",AND(ISNUMBER(E243),E243&lt;=r_fim)),OR(r_un="",r_un="(Todas)",IF(N(U243)&gt;0,INDEX('MTRs'!$G$6:$G$505,U243),"")=r_un),OR(r_de="",r_de="(Todos)",D243=r_de)),1,0))</f>
        <v>0</v>
      </c>
      <c r="AB243" s="96" t="str">
        <f>IF(AA243=1,COUNTIF($AA$6:AA243,1),"")</f>
        <v/>
      </c>
    </row>
    <row r="244">
      <c r="A244" s="89" t="inlineStr">
        <is>
          <t>REC-000239</t>
        </is>
      </c>
      <c r="B244" s="94" t="str">
        <f>IF(T244=1,INDEX('ITENS_MTR'!$S$6:$S$1005,S244)&amp;"","")</f>
        <v/>
      </c>
      <c r="C244" s="91" t="n"/>
      <c r="D244" s="94" t="str">
        <f>IF(N(U244)&gt;0,INDEX('MTRs'!$I$6:$I$505,U244)&amp;"","")</f>
        <v/>
      </c>
      <c r="E244" s="92" t="n"/>
      <c r="F244" s="98" t="n"/>
      <c r="G244" s="91" t="n"/>
      <c r="H244" s="93" t="str">
        <f>IF(Q244=0,"",IF(NOT(ISNUMBER(F244)),"",IF(ISNUMBER(W244),F244*W244,"UNIDADE A CONFERIR")))</f>
        <v/>
      </c>
      <c r="I244" s="91" t="n"/>
      <c r="J244" s="91" t="n"/>
      <c r="K244" s="92" t="n"/>
      <c r="L244" s="91" t="n"/>
      <c r="M244" s="91" t="n"/>
      <c r="N244" s="91" t="n"/>
      <c r="O244" s="91" t="n"/>
      <c r="P244" s="94" t="str">
        <f>IF(Q244=0,"",IF(C244="","Item de resíduo não informado",IF(T244=0,"Item inexistente (referência inválida)",IF(NOT(ISNUMBER(F244)),"Quantidade não informada",IF(F244&lt;=0,"Quantidade não positiva",IF(G244="","Unidade não informada",IF(NOT(ISNUMBER(H244)),"Unidade a conferir",IF(NOT(ISNUMBER(E244)),"Data de recebimento não informada",IF(AND(ISNUMBER(V244),N(V244)&gt;0,E244&lt;N(V244)),"Data anterior à emissão do MTR",IF(AND(J244="Sim",L244="",M244=""),"Conferido sem evidência identificada",IF(J244&lt;&gt;"Sim","Aguardando conferência",IF(INDEX('ITENS_MTR'!$AM$6:$AM$1005,S244)=1,"Conferido (ver diferença no item)","Conferido"))))))))))))</f>
        <v/>
      </c>
      <c r="Q244" s="96">
        <f>IF(COUNTA(C244,E244:G244,I244:O244)&gt;0,1,0)</f>
        <v>0</v>
      </c>
      <c r="R244" s="96" t="str">
        <f>IF(C244="","",TRIM(LEFT(C244,FIND(" |",C244&amp;" |")-1)))</f>
        <v/>
      </c>
      <c r="S244" s="96" t="str">
        <f>IF(R244="","",IFERROR(MATCH(R244,'ITENS_MTR'!$A$6:$A$1005,0),""))</f>
        <v/>
      </c>
      <c r="T244" s="96">
        <f>IF(S244="",0,IF(INDEX('ITENS_MTR'!$R$6:$R$1005,S244)=1,1,0))</f>
        <v>0</v>
      </c>
      <c r="U244" s="96" t="str">
        <f>IF(T244=1,INDEX('ITENS_MTR'!$T$6:$T$1005,S244),"")</f>
        <v/>
      </c>
      <c r="V244" s="97" t="str">
        <f>IF(N(U244)&gt;0,INDEX('MTRs'!$E$6:$E$505,U244),"")</f>
        <v/>
      </c>
      <c r="W244" s="96" t="str">
        <f>IF(G244="","",IFERROR(IF(ISNUMBER(INDEX(cfg_fac,MATCH(G244,cfg_units,0))),IF(INDEX(cfg_fac,MATCH(G244,cfg_units,0))&gt;0,INDEX(cfg_fac,MATCH(G244,cfg_units,0)),""),""),""))</f>
        <v/>
      </c>
      <c r="X244" s="96">
        <f>IF(AND(ISNUMBER(F244),ISNUMBER(H244)),IF(H244&gt;0,1,0),0)</f>
        <v>0</v>
      </c>
      <c r="Y244" s="96">
        <f>IF(Q244=0,0,IF(OR(T244=0,X244=0,NOT(ISNUMBER(E244)),AND(J244="Sim",L244="",M244=""),AND(ISNUMBER(E244),ISNUMBER(V244),N(V244)&gt;0,E244&lt;N(V244))),1,0))</f>
        <v>0</v>
      </c>
      <c r="Z244" s="96">
        <f>IF(AND(Q244=1,T244=1,X244=1,J244="Sim",OR(L244&lt;&gt;"",M244&lt;&gt;"")),1,0)</f>
        <v>0</v>
      </c>
      <c r="AA244" s="96">
        <f>IF(Q244=0,0,IF(AND(OR(r_ini="",AND(ISNUMBER(E244),E244&gt;=r_ini)),OR(r_fim="",AND(ISNUMBER(E244),E244&lt;=r_fim)),OR(r_un="",r_un="(Todas)",IF(N(U244)&gt;0,INDEX('MTRs'!$G$6:$G$505,U244),"")=r_un),OR(r_de="",r_de="(Todos)",D244=r_de)),1,0))</f>
        <v>0</v>
      </c>
      <c r="AB244" s="96" t="str">
        <f>IF(AA244=1,COUNTIF($AA$6:AA244,1),"")</f>
        <v/>
      </c>
    </row>
    <row r="245">
      <c r="A245" s="89" t="inlineStr">
        <is>
          <t>REC-000240</t>
        </is>
      </c>
      <c r="B245" s="94" t="str">
        <f>IF(T245=1,INDEX('ITENS_MTR'!$S$6:$S$1005,S245)&amp;"","")</f>
        <v/>
      </c>
      <c r="C245" s="91" t="n"/>
      <c r="D245" s="94" t="str">
        <f>IF(N(U245)&gt;0,INDEX('MTRs'!$I$6:$I$505,U245)&amp;"","")</f>
        <v/>
      </c>
      <c r="E245" s="92" t="n"/>
      <c r="F245" s="98" t="n"/>
      <c r="G245" s="91" t="n"/>
      <c r="H245" s="93" t="str">
        <f>IF(Q245=0,"",IF(NOT(ISNUMBER(F245)),"",IF(ISNUMBER(W245),F245*W245,"UNIDADE A CONFERIR")))</f>
        <v/>
      </c>
      <c r="I245" s="91" t="n"/>
      <c r="J245" s="91" t="n"/>
      <c r="K245" s="92" t="n"/>
      <c r="L245" s="91" t="n"/>
      <c r="M245" s="91" t="n"/>
      <c r="N245" s="91" t="n"/>
      <c r="O245" s="91" t="n"/>
      <c r="P245" s="94" t="str">
        <f>IF(Q245=0,"",IF(C245="","Item de resíduo não informado",IF(T245=0,"Item inexistente (referência inválida)",IF(NOT(ISNUMBER(F245)),"Quantidade não informada",IF(F245&lt;=0,"Quantidade não positiva",IF(G245="","Unidade não informada",IF(NOT(ISNUMBER(H245)),"Unidade a conferir",IF(NOT(ISNUMBER(E245)),"Data de recebimento não informada",IF(AND(ISNUMBER(V245),N(V245)&gt;0,E245&lt;N(V245)),"Data anterior à emissão do MTR",IF(AND(J245="Sim",L245="",M245=""),"Conferido sem evidência identificada",IF(J245&lt;&gt;"Sim","Aguardando conferência",IF(INDEX('ITENS_MTR'!$AM$6:$AM$1005,S245)=1,"Conferido (ver diferença no item)","Conferido"))))))))))))</f>
        <v/>
      </c>
      <c r="Q245" s="96">
        <f>IF(COUNTA(C245,E245:G245,I245:O245)&gt;0,1,0)</f>
        <v>0</v>
      </c>
      <c r="R245" s="96" t="str">
        <f>IF(C245="","",TRIM(LEFT(C245,FIND(" |",C245&amp;" |")-1)))</f>
        <v/>
      </c>
      <c r="S245" s="96" t="str">
        <f>IF(R245="","",IFERROR(MATCH(R245,'ITENS_MTR'!$A$6:$A$1005,0),""))</f>
        <v/>
      </c>
      <c r="T245" s="96">
        <f>IF(S245="",0,IF(INDEX('ITENS_MTR'!$R$6:$R$1005,S245)=1,1,0))</f>
        <v>0</v>
      </c>
      <c r="U245" s="96" t="str">
        <f>IF(T245=1,INDEX('ITENS_MTR'!$T$6:$T$1005,S245),"")</f>
        <v/>
      </c>
      <c r="V245" s="97" t="str">
        <f>IF(N(U245)&gt;0,INDEX('MTRs'!$E$6:$E$505,U245),"")</f>
        <v/>
      </c>
      <c r="W245" s="96" t="str">
        <f>IF(G245="","",IFERROR(IF(ISNUMBER(INDEX(cfg_fac,MATCH(G245,cfg_units,0))),IF(INDEX(cfg_fac,MATCH(G245,cfg_units,0))&gt;0,INDEX(cfg_fac,MATCH(G245,cfg_units,0)),""),""),""))</f>
        <v/>
      </c>
      <c r="X245" s="96">
        <f>IF(AND(ISNUMBER(F245),ISNUMBER(H245)),IF(H245&gt;0,1,0),0)</f>
        <v>0</v>
      </c>
      <c r="Y245" s="96">
        <f>IF(Q245=0,0,IF(OR(T245=0,X245=0,NOT(ISNUMBER(E245)),AND(J245="Sim",L245="",M245=""),AND(ISNUMBER(E245),ISNUMBER(V245),N(V245)&gt;0,E245&lt;N(V245))),1,0))</f>
        <v>0</v>
      </c>
      <c r="Z245" s="96">
        <f>IF(AND(Q245=1,T245=1,X245=1,J245="Sim",OR(L245&lt;&gt;"",M245&lt;&gt;"")),1,0)</f>
        <v>0</v>
      </c>
      <c r="AA245" s="96">
        <f>IF(Q245=0,0,IF(AND(OR(r_ini="",AND(ISNUMBER(E245),E245&gt;=r_ini)),OR(r_fim="",AND(ISNUMBER(E245),E245&lt;=r_fim)),OR(r_un="",r_un="(Todas)",IF(N(U245)&gt;0,INDEX('MTRs'!$G$6:$G$505,U245),"")=r_un),OR(r_de="",r_de="(Todos)",D245=r_de)),1,0))</f>
        <v>0</v>
      </c>
      <c r="AB245" s="96" t="str">
        <f>IF(AA245=1,COUNTIF($AA$6:AA245,1),"")</f>
        <v/>
      </c>
    </row>
    <row r="246">
      <c r="A246" s="89" t="inlineStr">
        <is>
          <t>REC-000241</t>
        </is>
      </c>
      <c r="B246" s="94" t="str">
        <f>IF(T246=1,INDEX('ITENS_MTR'!$S$6:$S$1005,S246)&amp;"","")</f>
        <v/>
      </c>
      <c r="C246" s="91" t="n"/>
      <c r="D246" s="94" t="str">
        <f>IF(N(U246)&gt;0,INDEX('MTRs'!$I$6:$I$505,U246)&amp;"","")</f>
        <v/>
      </c>
      <c r="E246" s="92" t="n"/>
      <c r="F246" s="98" t="n"/>
      <c r="G246" s="91" t="n"/>
      <c r="H246" s="93" t="str">
        <f>IF(Q246=0,"",IF(NOT(ISNUMBER(F246)),"",IF(ISNUMBER(W246),F246*W246,"UNIDADE A CONFERIR")))</f>
        <v/>
      </c>
      <c r="I246" s="91" t="n"/>
      <c r="J246" s="91" t="n"/>
      <c r="K246" s="92" t="n"/>
      <c r="L246" s="91" t="n"/>
      <c r="M246" s="91" t="n"/>
      <c r="N246" s="91" t="n"/>
      <c r="O246" s="91" t="n"/>
      <c r="P246" s="94" t="str">
        <f>IF(Q246=0,"",IF(C246="","Item de resíduo não informado",IF(T246=0,"Item inexistente (referência inválida)",IF(NOT(ISNUMBER(F246)),"Quantidade não informada",IF(F246&lt;=0,"Quantidade não positiva",IF(G246="","Unidade não informada",IF(NOT(ISNUMBER(H246)),"Unidade a conferir",IF(NOT(ISNUMBER(E246)),"Data de recebimento não informada",IF(AND(ISNUMBER(V246),N(V246)&gt;0,E246&lt;N(V246)),"Data anterior à emissão do MTR",IF(AND(J246="Sim",L246="",M246=""),"Conferido sem evidência identificada",IF(J246&lt;&gt;"Sim","Aguardando conferência",IF(INDEX('ITENS_MTR'!$AM$6:$AM$1005,S246)=1,"Conferido (ver diferença no item)","Conferido"))))))))))))</f>
        <v/>
      </c>
      <c r="Q246" s="96">
        <f>IF(COUNTA(C246,E246:G246,I246:O246)&gt;0,1,0)</f>
        <v>0</v>
      </c>
      <c r="R246" s="96" t="str">
        <f>IF(C246="","",TRIM(LEFT(C246,FIND(" |",C246&amp;" |")-1)))</f>
        <v/>
      </c>
      <c r="S246" s="96" t="str">
        <f>IF(R246="","",IFERROR(MATCH(R246,'ITENS_MTR'!$A$6:$A$1005,0),""))</f>
        <v/>
      </c>
      <c r="T246" s="96">
        <f>IF(S246="",0,IF(INDEX('ITENS_MTR'!$R$6:$R$1005,S246)=1,1,0))</f>
        <v>0</v>
      </c>
      <c r="U246" s="96" t="str">
        <f>IF(T246=1,INDEX('ITENS_MTR'!$T$6:$T$1005,S246),"")</f>
        <v/>
      </c>
      <c r="V246" s="97" t="str">
        <f>IF(N(U246)&gt;0,INDEX('MTRs'!$E$6:$E$505,U246),"")</f>
        <v/>
      </c>
      <c r="W246" s="96" t="str">
        <f>IF(G246="","",IFERROR(IF(ISNUMBER(INDEX(cfg_fac,MATCH(G246,cfg_units,0))),IF(INDEX(cfg_fac,MATCH(G246,cfg_units,0))&gt;0,INDEX(cfg_fac,MATCH(G246,cfg_units,0)),""),""),""))</f>
        <v/>
      </c>
      <c r="X246" s="96">
        <f>IF(AND(ISNUMBER(F246),ISNUMBER(H246)),IF(H246&gt;0,1,0),0)</f>
        <v>0</v>
      </c>
      <c r="Y246" s="96">
        <f>IF(Q246=0,0,IF(OR(T246=0,X246=0,NOT(ISNUMBER(E246)),AND(J246="Sim",L246="",M246=""),AND(ISNUMBER(E246),ISNUMBER(V246),N(V246)&gt;0,E246&lt;N(V246))),1,0))</f>
        <v>0</v>
      </c>
      <c r="Z246" s="96">
        <f>IF(AND(Q246=1,T246=1,X246=1,J246="Sim",OR(L246&lt;&gt;"",M246&lt;&gt;"")),1,0)</f>
        <v>0</v>
      </c>
      <c r="AA246" s="96">
        <f>IF(Q246=0,0,IF(AND(OR(r_ini="",AND(ISNUMBER(E246),E246&gt;=r_ini)),OR(r_fim="",AND(ISNUMBER(E246),E246&lt;=r_fim)),OR(r_un="",r_un="(Todas)",IF(N(U246)&gt;0,INDEX('MTRs'!$G$6:$G$505,U246),"")=r_un),OR(r_de="",r_de="(Todos)",D246=r_de)),1,0))</f>
        <v>0</v>
      </c>
      <c r="AB246" s="96" t="str">
        <f>IF(AA246=1,COUNTIF($AA$6:AA246,1),"")</f>
        <v/>
      </c>
    </row>
    <row r="247">
      <c r="A247" s="89" t="inlineStr">
        <is>
          <t>REC-000242</t>
        </is>
      </c>
      <c r="B247" s="94" t="str">
        <f>IF(T247=1,INDEX('ITENS_MTR'!$S$6:$S$1005,S247)&amp;"","")</f>
        <v/>
      </c>
      <c r="C247" s="91" t="n"/>
      <c r="D247" s="94" t="str">
        <f>IF(N(U247)&gt;0,INDEX('MTRs'!$I$6:$I$505,U247)&amp;"","")</f>
        <v/>
      </c>
      <c r="E247" s="92" t="n"/>
      <c r="F247" s="98" t="n"/>
      <c r="G247" s="91" t="n"/>
      <c r="H247" s="93" t="str">
        <f>IF(Q247=0,"",IF(NOT(ISNUMBER(F247)),"",IF(ISNUMBER(W247),F247*W247,"UNIDADE A CONFERIR")))</f>
        <v/>
      </c>
      <c r="I247" s="91" t="n"/>
      <c r="J247" s="91" t="n"/>
      <c r="K247" s="92" t="n"/>
      <c r="L247" s="91" t="n"/>
      <c r="M247" s="91" t="n"/>
      <c r="N247" s="91" t="n"/>
      <c r="O247" s="91" t="n"/>
      <c r="P247" s="94" t="str">
        <f>IF(Q247=0,"",IF(C247="","Item de resíduo não informado",IF(T247=0,"Item inexistente (referência inválida)",IF(NOT(ISNUMBER(F247)),"Quantidade não informada",IF(F247&lt;=0,"Quantidade não positiva",IF(G247="","Unidade não informada",IF(NOT(ISNUMBER(H247)),"Unidade a conferir",IF(NOT(ISNUMBER(E247)),"Data de recebimento não informada",IF(AND(ISNUMBER(V247),N(V247)&gt;0,E247&lt;N(V247)),"Data anterior à emissão do MTR",IF(AND(J247="Sim",L247="",M247=""),"Conferido sem evidência identificada",IF(J247&lt;&gt;"Sim","Aguardando conferência",IF(INDEX('ITENS_MTR'!$AM$6:$AM$1005,S247)=1,"Conferido (ver diferença no item)","Conferido"))))))))))))</f>
        <v/>
      </c>
      <c r="Q247" s="96">
        <f>IF(COUNTA(C247,E247:G247,I247:O247)&gt;0,1,0)</f>
        <v>0</v>
      </c>
      <c r="R247" s="96" t="str">
        <f>IF(C247="","",TRIM(LEFT(C247,FIND(" |",C247&amp;" |")-1)))</f>
        <v/>
      </c>
      <c r="S247" s="96" t="str">
        <f>IF(R247="","",IFERROR(MATCH(R247,'ITENS_MTR'!$A$6:$A$1005,0),""))</f>
        <v/>
      </c>
      <c r="T247" s="96">
        <f>IF(S247="",0,IF(INDEX('ITENS_MTR'!$R$6:$R$1005,S247)=1,1,0))</f>
        <v>0</v>
      </c>
      <c r="U247" s="96" t="str">
        <f>IF(T247=1,INDEX('ITENS_MTR'!$T$6:$T$1005,S247),"")</f>
        <v/>
      </c>
      <c r="V247" s="97" t="str">
        <f>IF(N(U247)&gt;0,INDEX('MTRs'!$E$6:$E$505,U247),"")</f>
        <v/>
      </c>
      <c r="W247" s="96" t="str">
        <f>IF(G247="","",IFERROR(IF(ISNUMBER(INDEX(cfg_fac,MATCH(G247,cfg_units,0))),IF(INDEX(cfg_fac,MATCH(G247,cfg_units,0))&gt;0,INDEX(cfg_fac,MATCH(G247,cfg_units,0)),""),""),""))</f>
        <v/>
      </c>
      <c r="X247" s="96">
        <f>IF(AND(ISNUMBER(F247),ISNUMBER(H247)),IF(H247&gt;0,1,0),0)</f>
        <v>0</v>
      </c>
      <c r="Y247" s="96">
        <f>IF(Q247=0,0,IF(OR(T247=0,X247=0,NOT(ISNUMBER(E247)),AND(J247="Sim",L247="",M247=""),AND(ISNUMBER(E247),ISNUMBER(V247),N(V247)&gt;0,E247&lt;N(V247))),1,0))</f>
        <v>0</v>
      </c>
      <c r="Z247" s="96">
        <f>IF(AND(Q247=1,T247=1,X247=1,J247="Sim",OR(L247&lt;&gt;"",M247&lt;&gt;"")),1,0)</f>
        <v>0</v>
      </c>
      <c r="AA247" s="96">
        <f>IF(Q247=0,0,IF(AND(OR(r_ini="",AND(ISNUMBER(E247),E247&gt;=r_ini)),OR(r_fim="",AND(ISNUMBER(E247),E247&lt;=r_fim)),OR(r_un="",r_un="(Todas)",IF(N(U247)&gt;0,INDEX('MTRs'!$G$6:$G$505,U247),"")=r_un),OR(r_de="",r_de="(Todos)",D247=r_de)),1,0))</f>
        <v>0</v>
      </c>
      <c r="AB247" s="96" t="str">
        <f>IF(AA247=1,COUNTIF($AA$6:AA247,1),"")</f>
        <v/>
      </c>
    </row>
    <row r="248">
      <c r="A248" s="89" t="inlineStr">
        <is>
          <t>REC-000243</t>
        </is>
      </c>
      <c r="B248" s="94" t="str">
        <f>IF(T248=1,INDEX('ITENS_MTR'!$S$6:$S$1005,S248)&amp;"","")</f>
        <v/>
      </c>
      <c r="C248" s="91" t="n"/>
      <c r="D248" s="94" t="str">
        <f>IF(N(U248)&gt;0,INDEX('MTRs'!$I$6:$I$505,U248)&amp;"","")</f>
        <v/>
      </c>
      <c r="E248" s="92" t="n"/>
      <c r="F248" s="98" t="n"/>
      <c r="G248" s="91" t="n"/>
      <c r="H248" s="93" t="str">
        <f>IF(Q248=0,"",IF(NOT(ISNUMBER(F248)),"",IF(ISNUMBER(W248),F248*W248,"UNIDADE A CONFERIR")))</f>
        <v/>
      </c>
      <c r="I248" s="91" t="n"/>
      <c r="J248" s="91" t="n"/>
      <c r="K248" s="92" t="n"/>
      <c r="L248" s="91" t="n"/>
      <c r="M248" s="91" t="n"/>
      <c r="N248" s="91" t="n"/>
      <c r="O248" s="91" t="n"/>
      <c r="P248" s="94" t="str">
        <f>IF(Q248=0,"",IF(C248="","Item de resíduo não informado",IF(T248=0,"Item inexistente (referência inválida)",IF(NOT(ISNUMBER(F248)),"Quantidade não informada",IF(F248&lt;=0,"Quantidade não positiva",IF(G248="","Unidade não informada",IF(NOT(ISNUMBER(H248)),"Unidade a conferir",IF(NOT(ISNUMBER(E248)),"Data de recebimento não informada",IF(AND(ISNUMBER(V248),N(V248)&gt;0,E248&lt;N(V248)),"Data anterior à emissão do MTR",IF(AND(J248="Sim",L248="",M248=""),"Conferido sem evidência identificada",IF(J248&lt;&gt;"Sim","Aguardando conferência",IF(INDEX('ITENS_MTR'!$AM$6:$AM$1005,S248)=1,"Conferido (ver diferença no item)","Conferido"))))))))))))</f>
        <v/>
      </c>
      <c r="Q248" s="96">
        <f>IF(COUNTA(C248,E248:G248,I248:O248)&gt;0,1,0)</f>
        <v>0</v>
      </c>
      <c r="R248" s="96" t="str">
        <f>IF(C248="","",TRIM(LEFT(C248,FIND(" |",C248&amp;" |")-1)))</f>
        <v/>
      </c>
      <c r="S248" s="96" t="str">
        <f>IF(R248="","",IFERROR(MATCH(R248,'ITENS_MTR'!$A$6:$A$1005,0),""))</f>
        <v/>
      </c>
      <c r="T248" s="96">
        <f>IF(S248="",0,IF(INDEX('ITENS_MTR'!$R$6:$R$1005,S248)=1,1,0))</f>
        <v>0</v>
      </c>
      <c r="U248" s="96" t="str">
        <f>IF(T248=1,INDEX('ITENS_MTR'!$T$6:$T$1005,S248),"")</f>
        <v/>
      </c>
      <c r="V248" s="97" t="str">
        <f>IF(N(U248)&gt;0,INDEX('MTRs'!$E$6:$E$505,U248),"")</f>
        <v/>
      </c>
      <c r="W248" s="96" t="str">
        <f>IF(G248="","",IFERROR(IF(ISNUMBER(INDEX(cfg_fac,MATCH(G248,cfg_units,0))),IF(INDEX(cfg_fac,MATCH(G248,cfg_units,0))&gt;0,INDEX(cfg_fac,MATCH(G248,cfg_units,0)),""),""),""))</f>
        <v/>
      </c>
      <c r="X248" s="96">
        <f>IF(AND(ISNUMBER(F248),ISNUMBER(H248)),IF(H248&gt;0,1,0),0)</f>
        <v>0</v>
      </c>
      <c r="Y248" s="96">
        <f>IF(Q248=0,0,IF(OR(T248=0,X248=0,NOT(ISNUMBER(E248)),AND(J248="Sim",L248="",M248=""),AND(ISNUMBER(E248),ISNUMBER(V248),N(V248)&gt;0,E248&lt;N(V248))),1,0))</f>
        <v>0</v>
      </c>
      <c r="Z248" s="96">
        <f>IF(AND(Q248=1,T248=1,X248=1,J248="Sim",OR(L248&lt;&gt;"",M248&lt;&gt;"")),1,0)</f>
        <v>0</v>
      </c>
      <c r="AA248" s="96">
        <f>IF(Q248=0,0,IF(AND(OR(r_ini="",AND(ISNUMBER(E248),E248&gt;=r_ini)),OR(r_fim="",AND(ISNUMBER(E248),E248&lt;=r_fim)),OR(r_un="",r_un="(Todas)",IF(N(U248)&gt;0,INDEX('MTRs'!$G$6:$G$505,U248),"")=r_un),OR(r_de="",r_de="(Todos)",D248=r_de)),1,0))</f>
        <v>0</v>
      </c>
      <c r="AB248" s="96" t="str">
        <f>IF(AA248=1,COUNTIF($AA$6:AA248,1),"")</f>
        <v/>
      </c>
    </row>
    <row r="249">
      <c r="A249" s="89" t="inlineStr">
        <is>
          <t>REC-000244</t>
        </is>
      </c>
      <c r="B249" s="94" t="str">
        <f>IF(T249=1,INDEX('ITENS_MTR'!$S$6:$S$1005,S249)&amp;"","")</f>
        <v/>
      </c>
      <c r="C249" s="91" t="n"/>
      <c r="D249" s="94" t="str">
        <f>IF(N(U249)&gt;0,INDEX('MTRs'!$I$6:$I$505,U249)&amp;"","")</f>
        <v/>
      </c>
      <c r="E249" s="92" t="n"/>
      <c r="F249" s="98" t="n"/>
      <c r="G249" s="91" t="n"/>
      <c r="H249" s="93" t="str">
        <f>IF(Q249=0,"",IF(NOT(ISNUMBER(F249)),"",IF(ISNUMBER(W249),F249*W249,"UNIDADE A CONFERIR")))</f>
        <v/>
      </c>
      <c r="I249" s="91" t="n"/>
      <c r="J249" s="91" t="n"/>
      <c r="K249" s="92" t="n"/>
      <c r="L249" s="91" t="n"/>
      <c r="M249" s="91" t="n"/>
      <c r="N249" s="91" t="n"/>
      <c r="O249" s="91" t="n"/>
      <c r="P249" s="94" t="str">
        <f>IF(Q249=0,"",IF(C249="","Item de resíduo não informado",IF(T249=0,"Item inexistente (referência inválida)",IF(NOT(ISNUMBER(F249)),"Quantidade não informada",IF(F249&lt;=0,"Quantidade não positiva",IF(G249="","Unidade não informada",IF(NOT(ISNUMBER(H249)),"Unidade a conferir",IF(NOT(ISNUMBER(E249)),"Data de recebimento não informada",IF(AND(ISNUMBER(V249),N(V249)&gt;0,E249&lt;N(V249)),"Data anterior à emissão do MTR",IF(AND(J249="Sim",L249="",M249=""),"Conferido sem evidência identificada",IF(J249&lt;&gt;"Sim","Aguardando conferência",IF(INDEX('ITENS_MTR'!$AM$6:$AM$1005,S249)=1,"Conferido (ver diferença no item)","Conferido"))))))))))))</f>
        <v/>
      </c>
      <c r="Q249" s="96">
        <f>IF(COUNTA(C249,E249:G249,I249:O249)&gt;0,1,0)</f>
        <v>0</v>
      </c>
      <c r="R249" s="96" t="str">
        <f>IF(C249="","",TRIM(LEFT(C249,FIND(" |",C249&amp;" |")-1)))</f>
        <v/>
      </c>
      <c r="S249" s="96" t="str">
        <f>IF(R249="","",IFERROR(MATCH(R249,'ITENS_MTR'!$A$6:$A$1005,0),""))</f>
        <v/>
      </c>
      <c r="T249" s="96">
        <f>IF(S249="",0,IF(INDEX('ITENS_MTR'!$R$6:$R$1005,S249)=1,1,0))</f>
        <v>0</v>
      </c>
      <c r="U249" s="96" t="str">
        <f>IF(T249=1,INDEX('ITENS_MTR'!$T$6:$T$1005,S249),"")</f>
        <v/>
      </c>
      <c r="V249" s="97" t="str">
        <f>IF(N(U249)&gt;0,INDEX('MTRs'!$E$6:$E$505,U249),"")</f>
        <v/>
      </c>
      <c r="W249" s="96" t="str">
        <f>IF(G249="","",IFERROR(IF(ISNUMBER(INDEX(cfg_fac,MATCH(G249,cfg_units,0))),IF(INDEX(cfg_fac,MATCH(G249,cfg_units,0))&gt;0,INDEX(cfg_fac,MATCH(G249,cfg_units,0)),""),""),""))</f>
        <v/>
      </c>
      <c r="X249" s="96">
        <f>IF(AND(ISNUMBER(F249),ISNUMBER(H249)),IF(H249&gt;0,1,0),0)</f>
        <v>0</v>
      </c>
      <c r="Y249" s="96">
        <f>IF(Q249=0,0,IF(OR(T249=0,X249=0,NOT(ISNUMBER(E249)),AND(J249="Sim",L249="",M249=""),AND(ISNUMBER(E249),ISNUMBER(V249),N(V249)&gt;0,E249&lt;N(V249))),1,0))</f>
        <v>0</v>
      </c>
      <c r="Z249" s="96">
        <f>IF(AND(Q249=1,T249=1,X249=1,J249="Sim",OR(L249&lt;&gt;"",M249&lt;&gt;"")),1,0)</f>
        <v>0</v>
      </c>
      <c r="AA249" s="96">
        <f>IF(Q249=0,0,IF(AND(OR(r_ini="",AND(ISNUMBER(E249),E249&gt;=r_ini)),OR(r_fim="",AND(ISNUMBER(E249),E249&lt;=r_fim)),OR(r_un="",r_un="(Todas)",IF(N(U249)&gt;0,INDEX('MTRs'!$G$6:$G$505,U249),"")=r_un),OR(r_de="",r_de="(Todos)",D249=r_de)),1,0))</f>
        <v>0</v>
      </c>
      <c r="AB249" s="96" t="str">
        <f>IF(AA249=1,COUNTIF($AA$6:AA249,1),"")</f>
        <v/>
      </c>
    </row>
    <row r="250">
      <c r="A250" s="89" t="inlineStr">
        <is>
          <t>REC-000245</t>
        </is>
      </c>
      <c r="B250" s="94" t="str">
        <f>IF(T250=1,INDEX('ITENS_MTR'!$S$6:$S$1005,S250)&amp;"","")</f>
        <v/>
      </c>
      <c r="C250" s="91" t="n"/>
      <c r="D250" s="94" t="str">
        <f>IF(N(U250)&gt;0,INDEX('MTRs'!$I$6:$I$505,U250)&amp;"","")</f>
        <v/>
      </c>
      <c r="E250" s="92" t="n"/>
      <c r="F250" s="98" t="n"/>
      <c r="G250" s="91" t="n"/>
      <c r="H250" s="93" t="str">
        <f>IF(Q250=0,"",IF(NOT(ISNUMBER(F250)),"",IF(ISNUMBER(W250),F250*W250,"UNIDADE A CONFERIR")))</f>
        <v/>
      </c>
      <c r="I250" s="91" t="n"/>
      <c r="J250" s="91" t="n"/>
      <c r="K250" s="92" t="n"/>
      <c r="L250" s="91" t="n"/>
      <c r="M250" s="91" t="n"/>
      <c r="N250" s="91" t="n"/>
      <c r="O250" s="91" t="n"/>
      <c r="P250" s="94" t="str">
        <f>IF(Q250=0,"",IF(C250="","Item de resíduo não informado",IF(T250=0,"Item inexistente (referência inválida)",IF(NOT(ISNUMBER(F250)),"Quantidade não informada",IF(F250&lt;=0,"Quantidade não positiva",IF(G250="","Unidade não informada",IF(NOT(ISNUMBER(H250)),"Unidade a conferir",IF(NOT(ISNUMBER(E250)),"Data de recebimento não informada",IF(AND(ISNUMBER(V250),N(V250)&gt;0,E250&lt;N(V250)),"Data anterior à emissão do MTR",IF(AND(J250="Sim",L250="",M250=""),"Conferido sem evidência identificada",IF(J250&lt;&gt;"Sim","Aguardando conferência",IF(INDEX('ITENS_MTR'!$AM$6:$AM$1005,S250)=1,"Conferido (ver diferença no item)","Conferido"))))))))))))</f>
        <v/>
      </c>
      <c r="Q250" s="96">
        <f>IF(COUNTA(C250,E250:G250,I250:O250)&gt;0,1,0)</f>
        <v>0</v>
      </c>
      <c r="R250" s="96" t="str">
        <f>IF(C250="","",TRIM(LEFT(C250,FIND(" |",C250&amp;" |")-1)))</f>
        <v/>
      </c>
      <c r="S250" s="96" t="str">
        <f>IF(R250="","",IFERROR(MATCH(R250,'ITENS_MTR'!$A$6:$A$1005,0),""))</f>
        <v/>
      </c>
      <c r="T250" s="96">
        <f>IF(S250="",0,IF(INDEX('ITENS_MTR'!$R$6:$R$1005,S250)=1,1,0))</f>
        <v>0</v>
      </c>
      <c r="U250" s="96" t="str">
        <f>IF(T250=1,INDEX('ITENS_MTR'!$T$6:$T$1005,S250),"")</f>
        <v/>
      </c>
      <c r="V250" s="97" t="str">
        <f>IF(N(U250)&gt;0,INDEX('MTRs'!$E$6:$E$505,U250),"")</f>
        <v/>
      </c>
      <c r="W250" s="96" t="str">
        <f>IF(G250="","",IFERROR(IF(ISNUMBER(INDEX(cfg_fac,MATCH(G250,cfg_units,0))),IF(INDEX(cfg_fac,MATCH(G250,cfg_units,0))&gt;0,INDEX(cfg_fac,MATCH(G250,cfg_units,0)),""),""),""))</f>
        <v/>
      </c>
      <c r="X250" s="96">
        <f>IF(AND(ISNUMBER(F250),ISNUMBER(H250)),IF(H250&gt;0,1,0),0)</f>
        <v>0</v>
      </c>
      <c r="Y250" s="96">
        <f>IF(Q250=0,0,IF(OR(T250=0,X250=0,NOT(ISNUMBER(E250)),AND(J250="Sim",L250="",M250=""),AND(ISNUMBER(E250),ISNUMBER(V250),N(V250)&gt;0,E250&lt;N(V250))),1,0))</f>
        <v>0</v>
      </c>
      <c r="Z250" s="96">
        <f>IF(AND(Q250=1,T250=1,X250=1,J250="Sim",OR(L250&lt;&gt;"",M250&lt;&gt;"")),1,0)</f>
        <v>0</v>
      </c>
      <c r="AA250" s="96">
        <f>IF(Q250=0,0,IF(AND(OR(r_ini="",AND(ISNUMBER(E250),E250&gt;=r_ini)),OR(r_fim="",AND(ISNUMBER(E250),E250&lt;=r_fim)),OR(r_un="",r_un="(Todas)",IF(N(U250)&gt;0,INDEX('MTRs'!$G$6:$G$505,U250),"")=r_un),OR(r_de="",r_de="(Todos)",D250=r_de)),1,0))</f>
        <v>0</v>
      </c>
      <c r="AB250" s="96" t="str">
        <f>IF(AA250=1,COUNTIF($AA$6:AA250,1),"")</f>
        <v/>
      </c>
    </row>
    <row r="251">
      <c r="A251" s="89" t="inlineStr">
        <is>
          <t>REC-000246</t>
        </is>
      </c>
      <c r="B251" s="94" t="str">
        <f>IF(T251=1,INDEX('ITENS_MTR'!$S$6:$S$1005,S251)&amp;"","")</f>
        <v/>
      </c>
      <c r="C251" s="91" t="n"/>
      <c r="D251" s="94" t="str">
        <f>IF(N(U251)&gt;0,INDEX('MTRs'!$I$6:$I$505,U251)&amp;"","")</f>
        <v/>
      </c>
      <c r="E251" s="92" t="n"/>
      <c r="F251" s="98" t="n"/>
      <c r="G251" s="91" t="n"/>
      <c r="H251" s="93" t="str">
        <f>IF(Q251=0,"",IF(NOT(ISNUMBER(F251)),"",IF(ISNUMBER(W251),F251*W251,"UNIDADE A CONFERIR")))</f>
        <v/>
      </c>
      <c r="I251" s="91" t="n"/>
      <c r="J251" s="91" t="n"/>
      <c r="K251" s="92" t="n"/>
      <c r="L251" s="91" t="n"/>
      <c r="M251" s="91" t="n"/>
      <c r="N251" s="91" t="n"/>
      <c r="O251" s="91" t="n"/>
      <c r="P251" s="94" t="str">
        <f>IF(Q251=0,"",IF(C251="","Item de resíduo não informado",IF(T251=0,"Item inexistente (referência inválida)",IF(NOT(ISNUMBER(F251)),"Quantidade não informada",IF(F251&lt;=0,"Quantidade não positiva",IF(G251="","Unidade não informada",IF(NOT(ISNUMBER(H251)),"Unidade a conferir",IF(NOT(ISNUMBER(E251)),"Data de recebimento não informada",IF(AND(ISNUMBER(V251),N(V251)&gt;0,E251&lt;N(V251)),"Data anterior à emissão do MTR",IF(AND(J251="Sim",L251="",M251=""),"Conferido sem evidência identificada",IF(J251&lt;&gt;"Sim","Aguardando conferência",IF(INDEX('ITENS_MTR'!$AM$6:$AM$1005,S251)=1,"Conferido (ver diferença no item)","Conferido"))))))))))))</f>
        <v/>
      </c>
      <c r="Q251" s="96">
        <f>IF(COUNTA(C251,E251:G251,I251:O251)&gt;0,1,0)</f>
        <v>0</v>
      </c>
      <c r="R251" s="96" t="str">
        <f>IF(C251="","",TRIM(LEFT(C251,FIND(" |",C251&amp;" |")-1)))</f>
        <v/>
      </c>
      <c r="S251" s="96" t="str">
        <f>IF(R251="","",IFERROR(MATCH(R251,'ITENS_MTR'!$A$6:$A$1005,0),""))</f>
        <v/>
      </c>
      <c r="T251" s="96">
        <f>IF(S251="",0,IF(INDEX('ITENS_MTR'!$R$6:$R$1005,S251)=1,1,0))</f>
        <v>0</v>
      </c>
      <c r="U251" s="96" t="str">
        <f>IF(T251=1,INDEX('ITENS_MTR'!$T$6:$T$1005,S251),"")</f>
        <v/>
      </c>
      <c r="V251" s="97" t="str">
        <f>IF(N(U251)&gt;0,INDEX('MTRs'!$E$6:$E$505,U251),"")</f>
        <v/>
      </c>
      <c r="W251" s="96" t="str">
        <f>IF(G251="","",IFERROR(IF(ISNUMBER(INDEX(cfg_fac,MATCH(G251,cfg_units,0))),IF(INDEX(cfg_fac,MATCH(G251,cfg_units,0))&gt;0,INDEX(cfg_fac,MATCH(G251,cfg_units,0)),""),""),""))</f>
        <v/>
      </c>
      <c r="X251" s="96">
        <f>IF(AND(ISNUMBER(F251),ISNUMBER(H251)),IF(H251&gt;0,1,0),0)</f>
        <v>0</v>
      </c>
      <c r="Y251" s="96">
        <f>IF(Q251=0,0,IF(OR(T251=0,X251=0,NOT(ISNUMBER(E251)),AND(J251="Sim",L251="",M251=""),AND(ISNUMBER(E251),ISNUMBER(V251),N(V251)&gt;0,E251&lt;N(V251))),1,0))</f>
        <v>0</v>
      </c>
      <c r="Z251" s="96">
        <f>IF(AND(Q251=1,T251=1,X251=1,J251="Sim",OR(L251&lt;&gt;"",M251&lt;&gt;"")),1,0)</f>
        <v>0</v>
      </c>
      <c r="AA251" s="96">
        <f>IF(Q251=0,0,IF(AND(OR(r_ini="",AND(ISNUMBER(E251),E251&gt;=r_ini)),OR(r_fim="",AND(ISNUMBER(E251),E251&lt;=r_fim)),OR(r_un="",r_un="(Todas)",IF(N(U251)&gt;0,INDEX('MTRs'!$G$6:$G$505,U251),"")=r_un),OR(r_de="",r_de="(Todos)",D251=r_de)),1,0))</f>
        <v>0</v>
      </c>
      <c r="AB251" s="96" t="str">
        <f>IF(AA251=1,COUNTIF($AA$6:AA251,1),"")</f>
        <v/>
      </c>
    </row>
    <row r="252">
      <c r="A252" s="89" t="inlineStr">
        <is>
          <t>REC-000247</t>
        </is>
      </c>
      <c r="B252" s="94" t="str">
        <f>IF(T252=1,INDEX('ITENS_MTR'!$S$6:$S$1005,S252)&amp;"","")</f>
        <v/>
      </c>
      <c r="C252" s="91" t="n"/>
      <c r="D252" s="94" t="str">
        <f>IF(N(U252)&gt;0,INDEX('MTRs'!$I$6:$I$505,U252)&amp;"","")</f>
        <v/>
      </c>
      <c r="E252" s="92" t="n"/>
      <c r="F252" s="98" t="n"/>
      <c r="G252" s="91" t="n"/>
      <c r="H252" s="93" t="str">
        <f>IF(Q252=0,"",IF(NOT(ISNUMBER(F252)),"",IF(ISNUMBER(W252),F252*W252,"UNIDADE A CONFERIR")))</f>
        <v/>
      </c>
      <c r="I252" s="91" t="n"/>
      <c r="J252" s="91" t="n"/>
      <c r="K252" s="92" t="n"/>
      <c r="L252" s="91" t="n"/>
      <c r="M252" s="91" t="n"/>
      <c r="N252" s="91" t="n"/>
      <c r="O252" s="91" t="n"/>
      <c r="P252" s="94" t="str">
        <f>IF(Q252=0,"",IF(C252="","Item de resíduo não informado",IF(T252=0,"Item inexistente (referência inválida)",IF(NOT(ISNUMBER(F252)),"Quantidade não informada",IF(F252&lt;=0,"Quantidade não positiva",IF(G252="","Unidade não informada",IF(NOT(ISNUMBER(H252)),"Unidade a conferir",IF(NOT(ISNUMBER(E252)),"Data de recebimento não informada",IF(AND(ISNUMBER(V252),N(V252)&gt;0,E252&lt;N(V252)),"Data anterior à emissão do MTR",IF(AND(J252="Sim",L252="",M252=""),"Conferido sem evidência identificada",IF(J252&lt;&gt;"Sim","Aguardando conferência",IF(INDEX('ITENS_MTR'!$AM$6:$AM$1005,S252)=1,"Conferido (ver diferença no item)","Conferido"))))))))))))</f>
        <v/>
      </c>
      <c r="Q252" s="96">
        <f>IF(COUNTA(C252,E252:G252,I252:O252)&gt;0,1,0)</f>
        <v>0</v>
      </c>
      <c r="R252" s="96" t="str">
        <f>IF(C252="","",TRIM(LEFT(C252,FIND(" |",C252&amp;" |")-1)))</f>
        <v/>
      </c>
      <c r="S252" s="96" t="str">
        <f>IF(R252="","",IFERROR(MATCH(R252,'ITENS_MTR'!$A$6:$A$1005,0),""))</f>
        <v/>
      </c>
      <c r="T252" s="96">
        <f>IF(S252="",0,IF(INDEX('ITENS_MTR'!$R$6:$R$1005,S252)=1,1,0))</f>
        <v>0</v>
      </c>
      <c r="U252" s="96" t="str">
        <f>IF(T252=1,INDEX('ITENS_MTR'!$T$6:$T$1005,S252),"")</f>
        <v/>
      </c>
      <c r="V252" s="97" t="str">
        <f>IF(N(U252)&gt;0,INDEX('MTRs'!$E$6:$E$505,U252),"")</f>
        <v/>
      </c>
      <c r="W252" s="96" t="str">
        <f>IF(G252="","",IFERROR(IF(ISNUMBER(INDEX(cfg_fac,MATCH(G252,cfg_units,0))),IF(INDEX(cfg_fac,MATCH(G252,cfg_units,0))&gt;0,INDEX(cfg_fac,MATCH(G252,cfg_units,0)),""),""),""))</f>
        <v/>
      </c>
      <c r="X252" s="96">
        <f>IF(AND(ISNUMBER(F252),ISNUMBER(H252)),IF(H252&gt;0,1,0),0)</f>
        <v>0</v>
      </c>
      <c r="Y252" s="96">
        <f>IF(Q252=0,0,IF(OR(T252=0,X252=0,NOT(ISNUMBER(E252)),AND(J252="Sim",L252="",M252=""),AND(ISNUMBER(E252),ISNUMBER(V252),N(V252)&gt;0,E252&lt;N(V252))),1,0))</f>
        <v>0</v>
      </c>
      <c r="Z252" s="96">
        <f>IF(AND(Q252=1,T252=1,X252=1,J252="Sim",OR(L252&lt;&gt;"",M252&lt;&gt;"")),1,0)</f>
        <v>0</v>
      </c>
      <c r="AA252" s="96">
        <f>IF(Q252=0,0,IF(AND(OR(r_ini="",AND(ISNUMBER(E252),E252&gt;=r_ini)),OR(r_fim="",AND(ISNUMBER(E252),E252&lt;=r_fim)),OR(r_un="",r_un="(Todas)",IF(N(U252)&gt;0,INDEX('MTRs'!$G$6:$G$505,U252),"")=r_un),OR(r_de="",r_de="(Todos)",D252=r_de)),1,0))</f>
        <v>0</v>
      </c>
      <c r="AB252" s="96" t="str">
        <f>IF(AA252=1,COUNTIF($AA$6:AA252,1),"")</f>
        <v/>
      </c>
    </row>
    <row r="253">
      <c r="A253" s="89" t="inlineStr">
        <is>
          <t>REC-000248</t>
        </is>
      </c>
      <c r="B253" s="94" t="str">
        <f>IF(T253=1,INDEX('ITENS_MTR'!$S$6:$S$1005,S253)&amp;"","")</f>
        <v/>
      </c>
      <c r="C253" s="91" t="n"/>
      <c r="D253" s="94" t="str">
        <f>IF(N(U253)&gt;0,INDEX('MTRs'!$I$6:$I$505,U253)&amp;"","")</f>
        <v/>
      </c>
      <c r="E253" s="92" t="n"/>
      <c r="F253" s="98" t="n"/>
      <c r="G253" s="91" t="n"/>
      <c r="H253" s="93" t="str">
        <f>IF(Q253=0,"",IF(NOT(ISNUMBER(F253)),"",IF(ISNUMBER(W253),F253*W253,"UNIDADE A CONFERIR")))</f>
        <v/>
      </c>
      <c r="I253" s="91" t="n"/>
      <c r="J253" s="91" t="n"/>
      <c r="K253" s="92" t="n"/>
      <c r="L253" s="91" t="n"/>
      <c r="M253" s="91" t="n"/>
      <c r="N253" s="91" t="n"/>
      <c r="O253" s="91" t="n"/>
      <c r="P253" s="94" t="str">
        <f>IF(Q253=0,"",IF(C253="","Item de resíduo não informado",IF(T253=0,"Item inexistente (referência inválida)",IF(NOT(ISNUMBER(F253)),"Quantidade não informada",IF(F253&lt;=0,"Quantidade não positiva",IF(G253="","Unidade não informada",IF(NOT(ISNUMBER(H253)),"Unidade a conferir",IF(NOT(ISNUMBER(E253)),"Data de recebimento não informada",IF(AND(ISNUMBER(V253),N(V253)&gt;0,E253&lt;N(V253)),"Data anterior à emissão do MTR",IF(AND(J253="Sim",L253="",M253=""),"Conferido sem evidência identificada",IF(J253&lt;&gt;"Sim","Aguardando conferência",IF(INDEX('ITENS_MTR'!$AM$6:$AM$1005,S253)=1,"Conferido (ver diferença no item)","Conferido"))))))))))))</f>
        <v/>
      </c>
      <c r="Q253" s="96">
        <f>IF(COUNTA(C253,E253:G253,I253:O253)&gt;0,1,0)</f>
        <v>0</v>
      </c>
      <c r="R253" s="96" t="str">
        <f>IF(C253="","",TRIM(LEFT(C253,FIND(" |",C253&amp;" |")-1)))</f>
        <v/>
      </c>
      <c r="S253" s="96" t="str">
        <f>IF(R253="","",IFERROR(MATCH(R253,'ITENS_MTR'!$A$6:$A$1005,0),""))</f>
        <v/>
      </c>
      <c r="T253" s="96">
        <f>IF(S253="",0,IF(INDEX('ITENS_MTR'!$R$6:$R$1005,S253)=1,1,0))</f>
        <v>0</v>
      </c>
      <c r="U253" s="96" t="str">
        <f>IF(T253=1,INDEX('ITENS_MTR'!$T$6:$T$1005,S253),"")</f>
        <v/>
      </c>
      <c r="V253" s="97" t="str">
        <f>IF(N(U253)&gt;0,INDEX('MTRs'!$E$6:$E$505,U253),"")</f>
        <v/>
      </c>
      <c r="W253" s="96" t="str">
        <f>IF(G253="","",IFERROR(IF(ISNUMBER(INDEX(cfg_fac,MATCH(G253,cfg_units,0))),IF(INDEX(cfg_fac,MATCH(G253,cfg_units,0))&gt;0,INDEX(cfg_fac,MATCH(G253,cfg_units,0)),""),""),""))</f>
        <v/>
      </c>
      <c r="X253" s="96">
        <f>IF(AND(ISNUMBER(F253),ISNUMBER(H253)),IF(H253&gt;0,1,0),0)</f>
        <v>0</v>
      </c>
      <c r="Y253" s="96">
        <f>IF(Q253=0,0,IF(OR(T253=0,X253=0,NOT(ISNUMBER(E253)),AND(J253="Sim",L253="",M253=""),AND(ISNUMBER(E253),ISNUMBER(V253),N(V253)&gt;0,E253&lt;N(V253))),1,0))</f>
        <v>0</v>
      </c>
      <c r="Z253" s="96">
        <f>IF(AND(Q253=1,T253=1,X253=1,J253="Sim",OR(L253&lt;&gt;"",M253&lt;&gt;"")),1,0)</f>
        <v>0</v>
      </c>
      <c r="AA253" s="96">
        <f>IF(Q253=0,0,IF(AND(OR(r_ini="",AND(ISNUMBER(E253),E253&gt;=r_ini)),OR(r_fim="",AND(ISNUMBER(E253),E253&lt;=r_fim)),OR(r_un="",r_un="(Todas)",IF(N(U253)&gt;0,INDEX('MTRs'!$G$6:$G$505,U253),"")=r_un),OR(r_de="",r_de="(Todos)",D253=r_de)),1,0))</f>
        <v>0</v>
      </c>
      <c r="AB253" s="96" t="str">
        <f>IF(AA253=1,COUNTIF($AA$6:AA253,1),"")</f>
        <v/>
      </c>
    </row>
    <row r="254">
      <c r="A254" s="89" t="inlineStr">
        <is>
          <t>REC-000249</t>
        </is>
      </c>
      <c r="B254" s="94" t="str">
        <f>IF(T254=1,INDEX('ITENS_MTR'!$S$6:$S$1005,S254)&amp;"","")</f>
        <v/>
      </c>
      <c r="C254" s="91" t="n"/>
      <c r="D254" s="94" t="str">
        <f>IF(N(U254)&gt;0,INDEX('MTRs'!$I$6:$I$505,U254)&amp;"","")</f>
        <v/>
      </c>
      <c r="E254" s="92" t="n"/>
      <c r="F254" s="98" t="n"/>
      <c r="G254" s="91" t="n"/>
      <c r="H254" s="93" t="str">
        <f>IF(Q254=0,"",IF(NOT(ISNUMBER(F254)),"",IF(ISNUMBER(W254),F254*W254,"UNIDADE A CONFERIR")))</f>
        <v/>
      </c>
      <c r="I254" s="91" t="n"/>
      <c r="J254" s="91" t="n"/>
      <c r="K254" s="92" t="n"/>
      <c r="L254" s="91" t="n"/>
      <c r="M254" s="91" t="n"/>
      <c r="N254" s="91" t="n"/>
      <c r="O254" s="91" t="n"/>
      <c r="P254" s="94" t="str">
        <f>IF(Q254=0,"",IF(C254="","Item de resíduo não informado",IF(T254=0,"Item inexistente (referência inválida)",IF(NOT(ISNUMBER(F254)),"Quantidade não informada",IF(F254&lt;=0,"Quantidade não positiva",IF(G254="","Unidade não informada",IF(NOT(ISNUMBER(H254)),"Unidade a conferir",IF(NOT(ISNUMBER(E254)),"Data de recebimento não informada",IF(AND(ISNUMBER(V254),N(V254)&gt;0,E254&lt;N(V254)),"Data anterior à emissão do MTR",IF(AND(J254="Sim",L254="",M254=""),"Conferido sem evidência identificada",IF(J254&lt;&gt;"Sim","Aguardando conferência",IF(INDEX('ITENS_MTR'!$AM$6:$AM$1005,S254)=1,"Conferido (ver diferença no item)","Conferido"))))))))))))</f>
        <v/>
      </c>
      <c r="Q254" s="96">
        <f>IF(COUNTA(C254,E254:G254,I254:O254)&gt;0,1,0)</f>
        <v>0</v>
      </c>
      <c r="R254" s="96" t="str">
        <f>IF(C254="","",TRIM(LEFT(C254,FIND(" |",C254&amp;" |")-1)))</f>
        <v/>
      </c>
      <c r="S254" s="96" t="str">
        <f>IF(R254="","",IFERROR(MATCH(R254,'ITENS_MTR'!$A$6:$A$1005,0),""))</f>
        <v/>
      </c>
      <c r="T254" s="96">
        <f>IF(S254="",0,IF(INDEX('ITENS_MTR'!$R$6:$R$1005,S254)=1,1,0))</f>
        <v>0</v>
      </c>
      <c r="U254" s="96" t="str">
        <f>IF(T254=1,INDEX('ITENS_MTR'!$T$6:$T$1005,S254),"")</f>
        <v/>
      </c>
      <c r="V254" s="97" t="str">
        <f>IF(N(U254)&gt;0,INDEX('MTRs'!$E$6:$E$505,U254),"")</f>
        <v/>
      </c>
      <c r="W254" s="96" t="str">
        <f>IF(G254="","",IFERROR(IF(ISNUMBER(INDEX(cfg_fac,MATCH(G254,cfg_units,0))),IF(INDEX(cfg_fac,MATCH(G254,cfg_units,0))&gt;0,INDEX(cfg_fac,MATCH(G254,cfg_units,0)),""),""),""))</f>
        <v/>
      </c>
      <c r="X254" s="96">
        <f>IF(AND(ISNUMBER(F254),ISNUMBER(H254)),IF(H254&gt;0,1,0),0)</f>
        <v>0</v>
      </c>
      <c r="Y254" s="96">
        <f>IF(Q254=0,0,IF(OR(T254=0,X254=0,NOT(ISNUMBER(E254)),AND(J254="Sim",L254="",M254=""),AND(ISNUMBER(E254),ISNUMBER(V254),N(V254)&gt;0,E254&lt;N(V254))),1,0))</f>
        <v>0</v>
      </c>
      <c r="Z254" s="96">
        <f>IF(AND(Q254=1,T254=1,X254=1,J254="Sim",OR(L254&lt;&gt;"",M254&lt;&gt;"")),1,0)</f>
        <v>0</v>
      </c>
      <c r="AA254" s="96">
        <f>IF(Q254=0,0,IF(AND(OR(r_ini="",AND(ISNUMBER(E254),E254&gt;=r_ini)),OR(r_fim="",AND(ISNUMBER(E254),E254&lt;=r_fim)),OR(r_un="",r_un="(Todas)",IF(N(U254)&gt;0,INDEX('MTRs'!$G$6:$G$505,U254),"")=r_un),OR(r_de="",r_de="(Todos)",D254=r_de)),1,0))</f>
        <v>0</v>
      </c>
      <c r="AB254" s="96" t="str">
        <f>IF(AA254=1,COUNTIF($AA$6:AA254,1),"")</f>
        <v/>
      </c>
    </row>
    <row r="255">
      <c r="A255" s="89" t="inlineStr">
        <is>
          <t>REC-000250</t>
        </is>
      </c>
      <c r="B255" s="94" t="str">
        <f>IF(T255=1,INDEX('ITENS_MTR'!$S$6:$S$1005,S255)&amp;"","")</f>
        <v/>
      </c>
      <c r="C255" s="91" t="n"/>
      <c r="D255" s="94" t="str">
        <f>IF(N(U255)&gt;0,INDEX('MTRs'!$I$6:$I$505,U255)&amp;"","")</f>
        <v/>
      </c>
      <c r="E255" s="92" t="n"/>
      <c r="F255" s="98" t="n"/>
      <c r="G255" s="91" t="n"/>
      <c r="H255" s="93" t="str">
        <f>IF(Q255=0,"",IF(NOT(ISNUMBER(F255)),"",IF(ISNUMBER(W255),F255*W255,"UNIDADE A CONFERIR")))</f>
        <v/>
      </c>
      <c r="I255" s="91" t="n"/>
      <c r="J255" s="91" t="n"/>
      <c r="K255" s="92" t="n"/>
      <c r="L255" s="91" t="n"/>
      <c r="M255" s="91" t="n"/>
      <c r="N255" s="91" t="n"/>
      <c r="O255" s="91" t="n"/>
      <c r="P255" s="94" t="str">
        <f>IF(Q255=0,"",IF(C255="","Item de resíduo não informado",IF(T255=0,"Item inexistente (referência inválida)",IF(NOT(ISNUMBER(F255)),"Quantidade não informada",IF(F255&lt;=0,"Quantidade não positiva",IF(G255="","Unidade não informada",IF(NOT(ISNUMBER(H255)),"Unidade a conferir",IF(NOT(ISNUMBER(E255)),"Data de recebimento não informada",IF(AND(ISNUMBER(V255),N(V255)&gt;0,E255&lt;N(V255)),"Data anterior à emissão do MTR",IF(AND(J255="Sim",L255="",M255=""),"Conferido sem evidência identificada",IF(J255&lt;&gt;"Sim","Aguardando conferência",IF(INDEX('ITENS_MTR'!$AM$6:$AM$1005,S255)=1,"Conferido (ver diferença no item)","Conferido"))))))))))))</f>
        <v/>
      </c>
      <c r="Q255" s="96">
        <f>IF(COUNTA(C255,E255:G255,I255:O255)&gt;0,1,0)</f>
        <v>0</v>
      </c>
      <c r="R255" s="96" t="str">
        <f>IF(C255="","",TRIM(LEFT(C255,FIND(" |",C255&amp;" |")-1)))</f>
        <v/>
      </c>
      <c r="S255" s="96" t="str">
        <f>IF(R255="","",IFERROR(MATCH(R255,'ITENS_MTR'!$A$6:$A$1005,0),""))</f>
        <v/>
      </c>
      <c r="T255" s="96">
        <f>IF(S255="",0,IF(INDEX('ITENS_MTR'!$R$6:$R$1005,S255)=1,1,0))</f>
        <v>0</v>
      </c>
      <c r="U255" s="96" t="str">
        <f>IF(T255=1,INDEX('ITENS_MTR'!$T$6:$T$1005,S255),"")</f>
        <v/>
      </c>
      <c r="V255" s="97" t="str">
        <f>IF(N(U255)&gt;0,INDEX('MTRs'!$E$6:$E$505,U255),"")</f>
        <v/>
      </c>
      <c r="W255" s="96" t="str">
        <f>IF(G255="","",IFERROR(IF(ISNUMBER(INDEX(cfg_fac,MATCH(G255,cfg_units,0))),IF(INDEX(cfg_fac,MATCH(G255,cfg_units,0))&gt;0,INDEX(cfg_fac,MATCH(G255,cfg_units,0)),""),""),""))</f>
        <v/>
      </c>
      <c r="X255" s="96">
        <f>IF(AND(ISNUMBER(F255),ISNUMBER(H255)),IF(H255&gt;0,1,0),0)</f>
        <v>0</v>
      </c>
      <c r="Y255" s="96">
        <f>IF(Q255=0,0,IF(OR(T255=0,X255=0,NOT(ISNUMBER(E255)),AND(J255="Sim",L255="",M255=""),AND(ISNUMBER(E255),ISNUMBER(V255),N(V255)&gt;0,E255&lt;N(V255))),1,0))</f>
        <v>0</v>
      </c>
      <c r="Z255" s="96">
        <f>IF(AND(Q255=1,T255=1,X255=1,J255="Sim",OR(L255&lt;&gt;"",M255&lt;&gt;"")),1,0)</f>
        <v>0</v>
      </c>
      <c r="AA255" s="96">
        <f>IF(Q255=0,0,IF(AND(OR(r_ini="",AND(ISNUMBER(E255),E255&gt;=r_ini)),OR(r_fim="",AND(ISNUMBER(E255),E255&lt;=r_fim)),OR(r_un="",r_un="(Todas)",IF(N(U255)&gt;0,INDEX('MTRs'!$G$6:$G$505,U255),"")=r_un),OR(r_de="",r_de="(Todos)",D255=r_de)),1,0))</f>
        <v>0</v>
      </c>
      <c r="AB255" s="96" t="str">
        <f>IF(AA255=1,COUNTIF($AA$6:AA255,1),"")</f>
        <v/>
      </c>
    </row>
    <row r="256">
      <c r="A256" s="89" t="inlineStr">
        <is>
          <t>REC-000251</t>
        </is>
      </c>
      <c r="B256" s="94" t="str">
        <f>IF(T256=1,INDEX('ITENS_MTR'!$S$6:$S$1005,S256)&amp;"","")</f>
        <v/>
      </c>
      <c r="C256" s="91" t="n"/>
      <c r="D256" s="94" t="str">
        <f>IF(N(U256)&gt;0,INDEX('MTRs'!$I$6:$I$505,U256)&amp;"","")</f>
        <v/>
      </c>
      <c r="E256" s="92" t="n"/>
      <c r="F256" s="98" t="n"/>
      <c r="G256" s="91" t="n"/>
      <c r="H256" s="93" t="str">
        <f>IF(Q256=0,"",IF(NOT(ISNUMBER(F256)),"",IF(ISNUMBER(W256),F256*W256,"UNIDADE A CONFERIR")))</f>
        <v/>
      </c>
      <c r="I256" s="91" t="n"/>
      <c r="J256" s="91" t="n"/>
      <c r="K256" s="92" t="n"/>
      <c r="L256" s="91" t="n"/>
      <c r="M256" s="91" t="n"/>
      <c r="N256" s="91" t="n"/>
      <c r="O256" s="91" t="n"/>
      <c r="P256" s="94" t="str">
        <f>IF(Q256=0,"",IF(C256="","Item de resíduo não informado",IF(T256=0,"Item inexistente (referência inválida)",IF(NOT(ISNUMBER(F256)),"Quantidade não informada",IF(F256&lt;=0,"Quantidade não positiva",IF(G256="","Unidade não informada",IF(NOT(ISNUMBER(H256)),"Unidade a conferir",IF(NOT(ISNUMBER(E256)),"Data de recebimento não informada",IF(AND(ISNUMBER(V256),N(V256)&gt;0,E256&lt;N(V256)),"Data anterior à emissão do MTR",IF(AND(J256="Sim",L256="",M256=""),"Conferido sem evidência identificada",IF(J256&lt;&gt;"Sim","Aguardando conferência",IF(INDEX('ITENS_MTR'!$AM$6:$AM$1005,S256)=1,"Conferido (ver diferença no item)","Conferido"))))))))))))</f>
        <v/>
      </c>
      <c r="Q256" s="96">
        <f>IF(COUNTA(C256,E256:G256,I256:O256)&gt;0,1,0)</f>
        <v>0</v>
      </c>
      <c r="R256" s="96" t="str">
        <f>IF(C256="","",TRIM(LEFT(C256,FIND(" |",C256&amp;" |")-1)))</f>
        <v/>
      </c>
      <c r="S256" s="96" t="str">
        <f>IF(R256="","",IFERROR(MATCH(R256,'ITENS_MTR'!$A$6:$A$1005,0),""))</f>
        <v/>
      </c>
      <c r="T256" s="96">
        <f>IF(S256="",0,IF(INDEX('ITENS_MTR'!$R$6:$R$1005,S256)=1,1,0))</f>
        <v>0</v>
      </c>
      <c r="U256" s="96" t="str">
        <f>IF(T256=1,INDEX('ITENS_MTR'!$T$6:$T$1005,S256),"")</f>
        <v/>
      </c>
      <c r="V256" s="97" t="str">
        <f>IF(N(U256)&gt;0,INDEX('MTRs'!$E$6:$E$505,U256),"")</f>
        <v/>
      </c>
      <c r="W256" s="96" t="str">
        <f>IF(G256="","",IFERROR(IF(ISNUMBER(INDEX(cfg_fac,MATCH(G256,cfg_units,0))),IF(INDEX(cfg_fac,MATCH(G256,cfg_units,0))&gt;0,INDEX(cfg_fac,MATCH(G256,cfg_units,0)),""),""),""))</f>
        <v/>
      </c>
      <c r="X256" s="96">
        <f>IF(AND(ISNUMBER(F256),ISNUMBER(H256)),IF(H256&gt;0,1,0),0)</f>
        <v>0</v>
      </c>
      <c r="Y256" s="96">
        <f>IF(Q256=0,0,IF(OR(T256=0,X256=0,NOT(ISNUMBER(E256)),AND(J256="Sim",L256="",M256=""),AND(ISNUMBER(E256),ISNUMBER(V256),N(V256)&gt;0,E256&lt;N(V256))),1,0))</f>
        <v>0</v>
      </c>
      <c r="Z256" s="96">
        <f>IF(AND(Q256=1,T256=1,X256=1,J256="Sim",OR(L256&lt;&gt;"",M256&lt;&gt;"")),1,0)</f>
        <v>0</v>
      </c>
      <c r="AA256" s="96">
        <f>IF(Q256=0,0,IF(AND(OR(r_ini="",AND(ISNUMBER(E256),E256&gt;=r_ini)),OR(r_fim="",AND(ISNUMBER(E256),E256&lt;=r_fim)),OR(r_un="",r_un="(Todas)",IF(N(U256)&gt;0,INDEX('MTRs'!$G$6:$G$505,U256),"")=r_un),OR(r_de="",r_de="(Todos)",D256=r_de)),1,0))</f>
        <v>0</v>
      </c>
      <c r="AB256" s="96" t="str">
        <f>IF(AA256=1,COUNTIF($AA$6:AA256,1),"")</f>
        <v/>
      </c>
    </row>
    <row r="257">
      <c r="A257" s="89" t="inlineStr">
        <is>
          <t>REC-000252</t>
        </is>
      </c>
      <c r="B257" s="94" t="str">
        <f>IF(T257=1,INDEX('ITENS_MTR'!$S$6:$S$1005,S257)&amp;"","")</f>
        <v/>
      </c>
      <c r="C257" s="91" t="n"/>
      <c r="D257" s="94" t="str">
        <f>IF(N(U257)&gt;0,INDEX('MTRs'!$I$6:$I$505,U257)&amp;"","")</f>
        <v/>
      </c>
      <c r="E257" s="92" t="n"/>
      <c r="F257" s="98" t="n"/>
      <c r="G257" s="91" t="n"/>
      <c r="H257" s="93" t="str">
        <f>IF(Q257=0,"",IF(NOT(ISNUMBER(F257)),"",IF(ISNUMBER(W257),F257*W257,"UNIDADE A CONFERIR")))</f>
        <v/>
      </c>
      <c r="I257" s="91" t="n"/>
      <c r="J257" s="91" t="n"/>
      <c r="K257" s="92" t="n"/>
      <c r="L257" s="91" t="n"/>
      <c r="M257" s="91" t="n"/>
      <c r="N257" s="91" t="n"/>
      <c r="O257" s="91" t="n"/>
      <c r="P257" s="94" t="str">
        <f>IF(Q257=0,"",IF(C257="","Item de resíduo não informado",IF(T257=0,"Item inexistente (referência inválida)",IF(NOT(ISNUMBER(F257)),"Quantidade não informada",IF(F257&lt;=0,"Quantidade não positiva",IF(G257="","Unidade não informada",IF(NOT(ISNUMBER(H257)),"Unidade a conferir",IF(NOT(ISNUMBER(E257)),"Data de recebimento não informada",IF(AND(ISNUMBER(V257),N(V257)&gt;0,E257&lt;N(V257)),"Data anterior à emissão do MTR",IF(AND(J257="Sim",L257="",M257=""),"Conferido sem evidência identificada",IF(J257&lt;&gt;"Sim","Aguardando conferência",IF(INDEX('ITENS_MTR'!$AM$6:$AM$1005,S257)=1,"Conferido (ver diferença no item)","Conferido"))))))))))))</f>
        <v/>
      </c>
      <c r="Q257" s="96">
        <f>IF(COUNTA(C257,E257:G257,I257:O257)&gt;0,1,0)</f>
        <v>0</v>
      </c>
      <c r="R257" s="96" t="str">
        <f>IF(C257="","",TRIM(LEFT(C257,FIND(" |",C257&amp;" |")-1)))</f>
        <v/>
      </c>
      <c r="S257" s="96" t="str">
        <f>IF(R257="","",IFERROR(MATCH(R257,'ITENS_MTR'!$A$6:$A$1005,0),""))</f>
        <v/>
      </c>
      <c r="T257" s="96">
        <f>IF(S257="",0,IF(INDEX('ITENS_MTR'!$R$6:$R$1005,S257)=1,1,0))</f>
        <v>0</v>
      </c>
      <c r="U257" s="96" t="str">
        <f>IF(T257=1,INDEX('ITENS_MTR'!$T$6:$T$1005,S257),"")</f>
        <v/>
      </c>
      <c r="V257" s="97" t="str">
        <f>IF(N(U257)&gt;0,INDEX('MTRs'!$E$6:$E$505,U257),"")</f>
        <v/>
      </c>
      <c r="W257" s="96" t="str">
        <f>IF(G257="","",IFERROR(IF(ISNUMBER(INDEX(cfg_fac,MATCH(G257,cfg_units,0))),IF(INDEX(cfg_fac,MATCH(G257,cfg_units,0))&gt;0,INDEX(cfg_fac,MATCH(G257,cfg_units,0)),""),""),""))</f>
        <v/>
      </c>
      <c r="X257" s="96">
        <f>IF(AND(ISNUMBER(F257),ISNUMBER(H257)),IF(H257&gt;0,1,0),0)</f>
        <v>0</v>
      </c>
      <c r="Y257" s="96">
        <f>IF(Q257=0,0,IF(OR(T257=0,X257=0,NOT(ISNUMBER(E257)),AND(J257="Sim",L257="",M257=""),AND(ISNUMBER(E257),ISNUMBER(V257),N(V257)&gt;0,E257&lt;N(V257))),1,0))</f>
        <v>0</v>
      </c>
      <c r="Z257" s="96">
        <f>IF(AND(Q257=1,T257=1,X257=1,J257="Sim",OR(L257&lt;&gt;"",M257&lt;&gt;"")),1,0)</f>
        <v>0</v>
      </c>
      <c r="AA257" s="96">
        <f>IF(Q257=0,0,IF(AND(OR(r_ini="",AND(ISNUMBER(E257),E257&gt;=r_ini)),OR(r_fim="",AND(ISNUMBER(E257),E257&lt;=r_fim)),OR(r_un="",r_un="(Todas)",IF(N(U257)&gt;0,INDEX('MTRs'!$G$6:$G$505,U257),"")=r_un),OR(r_de="",r_de="(Todos)",D257=r_de)),1,0))</f>
        <v>0</v>
      </c>
      <c r="AB257" s="96" t="str">
        <f>IF(AA257=1,COUNTIF($AA$6:AA257,1),"")</f>
        <v/>
      </c>
    </row>
    <row r="258">
      <c r="A258" s="89" t="inlineStr">
        <is>
          <t>REC-000253</t>
        </is>
      </c>
      <c r="B258" s="94" t="str">
        <f>IF(T258=1,INDEX('ITENS_MTR'!$S$6:$S$1005,S258)&amp;"","")</f>
        <v/>
      </c>
      <c r="C258" s="91" t="n"/>
      <c r="D258" s="94" t="str">
        <f>IF(N(U258)&gt;0,INDEX('MTRs'!$I$6:$I$505,U258)&amp;"","")</f>
        <v/>
      </c>
      <c r="E258" s="92" t="n"/>
      <c r="F258" s="98" t="n"/>
      <c r="G258" s="91" t="n"/>
      <c r="H258" s="93" t="str">
        <f>IF(Q258=0,"",IF(NOT(ISNUMBER(F258)),"",IF(ISNUMBER(W258),F258*W258,"UNIDADE A CONFERIR")))</f>
        <v/>
      </c>
      <c r="I258" s="91" t="n"/>
      <c r="J258" s="91" t="n"/>
      <c r="K258" s="92" t="n"/>
      <c r="L258" s="91" t="n"/>
      <c r="M258" s="91" t="n"/>
      <c r="N258" s="91" t="n"/>
      <c r="O258" s="91" t="n"/>
      <c r="P258" s="94" t="str">
        <f>IF(Q258=0,"",IF(C258="","Item de resíduo não informado",IF(T258=0,"Item inexistente (referência inválida)",IF(NOT(ISNUMBER(F258)),"Quantidade não informada",IF(F258&lt;=0,"Quantidade não positiva",IF(G258="","Unidade não informada",IF(NOT(ISNUMBER(H258)),"Unidade a conferir",IF(NOT(ISNUMBER(E258)),"Data de recebimento não informada",IF(AND(ISNUMBER(V258),N(V258)&gt;0,E258&lt;N(V258)),"Data anterior à emissão do MTR",IF(AND(J258="Sim",L258="",M258=""),"Conferido sem evidência identificada",IF(J258&lt;&gt;"Sim","Aguardando conferência",IF(INDEX('ITENS_MTR'!$AM$6:$AM$1005,S258)=1,"Conferido (ver diferença no item)","Conferido"))))))))))))</f>
        <v/>
      </c>
      <c r="Q258" s="96">
        <f>IF(COUNTA(C258,E258:G258,I258:O258)&gt;0,1,0)</f>
        <v>0</v>
      </c>
      <c r="R258" s="96" t="str">
        <f>IF(C258="","",TRIM(LEFT(C258,FIND(" |",C258&amp;" |")-1)))</f>
        <v/>
      </c>
      <c r="S258" s="96" t="str">
        <f>IF(R258="","",IFERROR(MATCH(R258,'ITENS_MTR'!$A$6:$A$1005,0),""))</f>
        <v/>
      </c>
      <c r="T258" s="96">
        <f>IF(S258="",0,IF(INDEX('ITENS_MTR'!$R$6:$R$1005,S258)=1,1,0))</f>
        <v>0</v>
      </c>
      <c r="U258" s="96" t="str">
        <f>IF(T258=1,INDEX('ITENS_MTR'!$T$6:$T$1005,S258),"")</f>
        <v/>
      </c>
      <c r="V258" s="97" t="str">
        <f>IF(N(U258)&gt;0,INDEX('MTRs'!$E$6:$E$505,U258),"")</f>
        <v/>
      </c>
      <c r="W258" s="96" t="str">
        <f>IF(G258="","",IFERROR(IF(ISNUMBER(INDEX(cfg_fac,MATCH(G258,cfg_units,0))),IF(INDEX(cfg_fac,MATCH(G258,cfg_units,0))&gt;0,INDEX(cfg_fac,MATCH(G258,cfg_units,0)),""),""),""))</f>
        <v/>
      </c>
      <c r="X258" s="96">
        <f>IF(AND(ISNUMBER(F258),ISNUMBER(H258)),IF(H258&gt;0,1,0),0)</f>
        <v>0</v>
      </c>
      <c r="Y258" s="96">
        <f>IF(Q258=0,0,IF(OR(T258=0,X258=0,NOT(ISNUMBER(E258)),AND(J258="Sim",L258="",M258=""),AND(ISNUMBER(E258),ISNUMBER(V258),N(V258)&gt;0,E258&lt;N(V258))),1,0))</f>
        <v>0</v>
      </c>
      <c r="Z258" s="96">
        <f>IF(AND(Q258=1,T258=1,X258=1,J258="Sim",OR(L258&lt;&gt;"",M258&lt;&gt;"")),1,0)</f>
        <v>0</v>
      </c>
      <c r="AA258" s="96">
        <f>IF(Q258=0,0,IF(AND(OR(r_ini="",AND(ISNUMBER(E258),E258&gt;=r_ini)),OR(r_fim="",AND(ISNUMBER(E258),E258&lt;=r_fim)),OR(r_un="",r_un="(Todas)",IF(N(U258)&gt;0,INDEX('MTRs'!$G$6:$G$505,U258),"")=r_un),OR(r_de="",r_de="(Todos)",D258=r_de)),1,0))</f>
        <v>0</v>
      </c>
      <c r="AB258" s="96" t="str">
        <f>IF(AA258=1,COUNTIF($AA$6:AA258,1),"")</f>
        <v/>
      </c>
    </row>
    <row r="259">
      <c r="A259" s="89" t="inlineStr">
        <is>
          <t>REC-000254</t>
        </is>
      </c>
      <c r="B259" s="94" t="str">
        <f>IF(T259=1,INDEX('ITENS_MTR'!$S$6:$S$1005,S259)&amp;"","")</f>
        <v/>
      </c>
      <c r="C259" s="91" t="n"/>
      <c r="D259" s="94" t="str">
        <f>IF(N(U259)&gt;0,INDEX('MTRs'!$I$6:$I$505,U259)&amp;"","")</f>
        <v/>
      </c>
      <c r="E259" s="92" t="n"/>
      <c r="F259" s="98" t="n"/>
      <c r="G259" s="91" t="n"/>
      <c r="H259" s="93" t="str">
        <f>IF(Q259=0,"",IF(NOT(ISNUMBER(F259)),"",IF(ISNUMBER(W259),F259*W259,"UNIDADE A CONFERIR")))</f>
        <v/>
      </c>
      <c r="I259" s="91" t="n"/>
      <c r="J259" s="91" t="n"/>
      <c r="K259" s="92" t="n"/>
      <c r="L259" s="91" t="n"/>
      <c r="M259" s="91" t="n"/>
      <c r="N259" s="91" t="n"/>
      <c r="O259" s="91" t="n"/>
      <c r="P259" s="94" t="str">
        <f>IF(Q259=0,"",IF(C259="","Item de resíduo não informado",IF(T259=0,"Item inexistente (referência inválida)",IF(NOT(ISNUMBER(F259)),"Quantidade não informada",IF(F259&lt;=0,"Quantidade não positiva",IF(G259="","Unidade não informada",IF(NOT(ISNUMBER(H259)),"Unidade a conferir",IF(NOT(ISNUMBER(E259)),"Data de recebimento não informada",IF(AND(ISNUMBER(V259),N(V259)&gt;0,E259&lt;N(V259)),"Data anterior à emissão do MTR",IF(AND(J259="Sim",L259="",M259=""),"Conferido sem evidência identificada",IF(J259&lt;&gt;"Sim","Aguardando conferência",IF(INDEX('ITENS_MTR'!$AM$6:$AM$1005,S259)=1,"Conferido (ver diferença no item)","Conferido"))))))))))))</f>
        <v/>
      </c>
      <c r="Q259" s="96">
        <f>IF(COUNTA(C259,E259:G259,I259:O259)&gt;0,1,0)</f>
        <v>0</v>
      </c>
      <c r="R259" s="96" t="str">
        <f>IF(C259="","",TRIM(LEFT(C259,FIND(" |",C259&amp;" |")-1)))</f>
        <v/>
      </c>
      <c r="S259" s="96" t="str">
        <f>IF(R259="","",IFERROR(MATCH(R259,'ITENS_MTR'!$A$6:$A$1005,0),""))</f>
        <v/>
      </c>
      <c r="T259" s="96">
        <f>IF(S259="",0,IF(INDEX('ITENS_MTR'!$R$6:$R$1005,S259)=1,1,0))</f>
        <v>0</v>
      </c>
      <c r="U259" s="96" t="str">
        <f>IF(T259=1,INDEX('ITENS_MTR'!$T$6:$T$1005,S259),"")</f>
        <v/>
      </c>
      <c r="V259" s="97" t="str">
        <f>IF(N(U259)&gt;0,INDEX('MTRs'!$E$6:$E$505,U259),"")</f>
        <v/>
      </c>
      <c r="W259" s="96" t="str">
        <f>IF(G259="","",IFERROR(IF(ISNUMBER(INDEX(cfg_fac,MATCH(G259,cfg_units,0))),IF(INDEX(cfg_fac,MATCH(G259,cfg_units,0))&gt;0,INDEX(cfg_fac,MATCH(G259,cfg_units,0)),""),""),""))</f>
        <v/>
      </c>
      <c r="X259" s="96">
        <f>IF(AND(ISNUMBER(F259),ISNUMBER(H259)),IF(H259&gt;0,1,0),0)</f>
        <v>0</v>
      </c>
      <c r="Y259" s="96">
        <f>IF(Q259=0,0,IF(OR(T259=0,X259=0,NOT(ISNUMBER(E259)),AND(J259="Sim",L259="",M259=""),AND(ISNUMBER(E259),ISNUMBER(V259),N(V259)&gt;0,E259&lt;N(V259))),1,0))</f>
        <v>0</v>
      </c>
      <c r="Z259" s="96">
        <f>IF(AND(Q259=1,T259=1,X259=1,J259="Sim",OR(L259&lt;&gt;"",M259&lt;&gt;"")),1,0)</f>
        <v>0</v>
      </c>
      <c r="AA259" s="96">
        <f>IF(Q259=0,0,IF(AND(OR(r_ini="",AND(ISNUMBER(E259),E259&gt;=r_ini)),OR(r_fim="",AND(ISNUMBER(E259),E259&lt;=r_fim)),OR(r_un="",r_un="(Todas)",IF(N(U259)&gt;0,INDEX('MTRs'!$G$6:$G$505,U259),"")=r_un),OR(r_de="",r_de="(Todos)",D259=r_de)),1,0))</f>
        <v>0</v>
      </c>
      <c r="AB259" s="96" t="str">
        <f>IF(AA259=1,COUNTIF($AA$6:AA259,1),"")</f>
        <v/>
      </c>
    </row>
    <row r="260">
      <c r="A260" s="89" t="inlineStr">
        <is>
          <t>REC-000255</t>
        </is>
      </c>
      <c r="B260" s="94" t="str">
        <f>IF(T260=1,INDEX('ITENS_MTR'!$S$6:$S$1005,S260)&amp;"","")</f>
        <v/>
      </c>
      <c r="C260" s="91" t="n"/>
      <c r="D260" s="94" t="str">
        <f>IF(N(U260)&gt;0,INDEX('MTRs'!$I$6:$I$505,U260)&amp;"","")</f>
        <v/>
      </c>
      <c r="E260" s="92" t="n"/>
      <c r="F260" s="98" t="n"/>
      <c r="G260" s="91" t="n"/>
      <c r="H260" s="93" t="str">
        <f>IF(Q260=0,"",IF(NOT(ISNUMBER(F260)),"",IF(ISNUMBER(W260),F260*W260,"UNIDADE A CONFERIR")))</f>
        <v/>
      </c>
      <c r="I260" s="91" t="n"/>
      <c r="J260" s="91" t="n"/>
      <c r="K260" s="92" t="n"/>
      <c r="L260" s="91" t="n"/>
      <c r="M260" s="91" t="n"/>
      <c r="N260" s="91" t="n"/>
      <c r="O260" s="91" t="n"/>
      <c r="P260" s="94" t="str">
        <f>IF(Q260=0,"",IF(C260="","Item de resíduo não informado",IF(T260=0,"Item inexistente (referência inválida)",IF(NOT(ISNUMBER(F260)),"Quantidade não informada",IF(F260&lt;=0,"Quantidade não positiva",IF(G260="","Unidade não informada",IF(NOT(ISNUMBER(H260)),"Unidade a conferir",IF(NOT(ISNUMBER(E260)),"Data de recebimento não informada",IF(AND(ISNUMBER(V260),N(V260)&gt;0,E260&lt;N(V260)),"Data anterior à emissão do MTR",IF(AND(J260="Sim",L260="",M260=""),"Conferido sem evidência identificada",IF(J260&lt;&gt;"Sim","Aguardando conferência",IF(INDEX('ITENS_MTR'!$AM$6:$AM$1005,S260)=1,"Conferido (ver diferença no item)","Conferido"))))))))))))</f>
        <v/>
      </c>
      <c r="Q260" s="96">
        <f>IF(COUNTA(C260,E260:G260,I260:O260)&gt;0,1,0)</f>
        <v>0</v>
      </c>
      <c r="R260" s="96" t="str">
        <f>IF(C260="","",TRIM(LEFT(C260,FIND(" |",C260&amp;" |")-1)))</f>
        <v/>
      </c>
      <c r="S260" s="96" t="str">
        <f>IF(R260="","",IFERROR(MATCH(R260,'ITENS_MTR'!$A$6:$A$1005,0),""))</f>
        <v/>
      </c>
      <c r="T260" s="96">
        <f>IF(S260="",0,IF(INDEX('ITENS_MTR'!$R$6:$R$1005,S260)=1,1,0))</f>
        <v>0</v>
      </c>
      <c r="U260" s="96" t="str">
        <f>IF(T260=1,INDEX('ITENS_MTR'!$T$6:$T$1005,S260),"")</f>
        <v/>
      </c>
      <c r="V260" s="97" t="str">
        <f>IF(N(U260)&gt;0,INDEX('MTRs'!$E$6:$E$505,U260),"")</f>
        <v/>
      </c>
      <c r="W260" s="96" t="str">
        <f>IF(G260="","",IFERROR(IF(ISNUMBER(INDEX(cfg_fac,MATCH(G260,cfg_units,0))),IF(INDEX(cfg_fac,MATCH(G260,cfg_units,0))&gt;0,INDEX(cfg_fac,MATCH(G260,cfg_units,0)),""),""),""))</f>
        <v/>
      </c>
      <c r="X260" s="96">
        <f>IF(AND(ISNUMBER(F260),ISNUMBER(H260)),IF(H260&gt;0,1,0),0)</f>
        <v>0</v>
      </c>
      <c r="Y260" s="96">
        <f>IF(Q260=0,0,IF(OR(T260=0,X260=0,NOT(ISNUMBER(E260)),AND(J260="Sim",L260="",M260=""),AND(ISNUMBER(E260),ISNUMBER(V260),N(V260)&gt;0,E260&lt;N(V260))),1,0))</f>
        <v>0</v>
      </c>
      <c r="Z260" s="96">
        <f>IF(AND(Q260=1,T260=1,X260=1,J260="Sim",OR(L260&lt;&gt;"",M260&lt;&gt;"")),1,0)</f>
        <v>0</v>
      </c>
      <c r="AA260" s="96">
        <f>IF(Q260=0,0,IF(AND(OR(r_ini="",AND(ISNUMBER(E260),E260&gt;=r_ini)),OR(r_fim="",AND(ISNUMBER(E260),E260&lt;=r_fim)),OR(r_un="",r_un="(Todas)",IF(N(U260)&gt;0,INDEX('MTRs'!$G$6:$G$505,U260),"")=r_un),OR(r_de="",r_de="(Todos)",D260=r_de)),1,0))</f>
        <v>0</v>
      </c>
      <c r="AB260" s="96" t="str">
        <f>IF(AA260=1,COUNTIF($AA$6:AA260,1),"")</f>
        <v/>
      </c>
    </row>
    <row r="261">
      <c r="A261" s="89" t="inlineStr">
        <is>
          <t>REC-000256</t>
        </is>
      </c>
      <c r="B261" s="94" t="str">
        <f>IF(T261=1,INDEX('ITENS_MTR'!$S$6:$S$1005,S261)&amp;"","")</f>
        <v/>
      </c>
      <c r="C261" s="91" t="n"/>
      <c r="D261" s="94" t="str">
        <f>IF(N(U261)&gt;0,INDEX('MTRs'!$I$6:$I$505,U261)&amp;"","")</f>
        <v/>
      </c>
      <c r="E261" s="92" t="n"/>
      <c r="F261" s="98" t="n"/>
      <c r="G261" s="91" t="n"/>
      <c r="H261" s="93" t="str">
        <f>IF(Q261=0,"",IF(NOT(ISNUMBER(F261)),"",IF(ISNUMBER(W261),F261*W261,"UNIDADE A CONFERIR")))</f>
        <v/>
      </c>
      <c r="I261" s="91" t="n"/>
      <c r="J261" s="91" t="n"/>
      <c r="K261" s="92" t="n"/>
      <c r="L261" s="91" t="n"/>
      <c r="M261" s="91" t="n"/>
      <c r="N261" s="91" t="n"/>
      <c r="O261" s="91" t="n"/>
      <c r="P261" s="94" t="str">
        <f>IF(Q261=0,"",IF(C261="","Item de resíduo não informado",IF(T261=0,"Item inexistente (referência inválida)",IF(NOT(ISNUMBER(F261)),"Quantidade não informada",IF(F261&lt;=0,"Quantidade não positiva",IF(G261="","Unidade não informada",IF(NOT(ISNUMBER(H261)),"Unidade a conferir",IF(NOT(ISNUMBER(E261)),"Data de recebimento não informada",IF(AND(ISNUMBER(V261),N(V261)&gt;0,E261&lt;N(V261)),"Data anterior à emissão do MTR",IF(AND(J261="Sim",L261="",M261=""),"Conferido sem evidência identificada",IF(J261&lt;&gt;"Sim","Aguardando conferência",IF(INDEX('ITENS_MTR'!$AM$6:$AM$1005,S261)=1,"Conferido (ver diferença no item)","Conferido"))))))))))))</f>
        <v/>
      </c>
      <c r="Q261" s="96">
        <f>IF(COUNTA(C261,E261:G261,I261:O261)&gt;0,1,0)</f>
        <v>0</v>
      </c>
      <c r="R261" s="96" t="str">
        <f>IF(C261="","",TRIM(LEFT(C261,FIND(" |",C261&amp;" |")-1)))</f>
        <v/>
      </c>
      <c r="S261" s="96" t="str">
        <f>IF(R261="","",IFERROR(MATCH(R261,'ITENS_MTR'!$A$6:$A$1005,0),""))</f>
        <v/>
      </c>
      <c r="T261" s="96">
        <f>IF(S261="",0,IF(INDEX('ITENS_MTR'!$R$6:$R$1005,S261)=1,1,0))</f>
        <v>0</v>
      </c>
      <c r="U261" s="96" t="str">
        <f>IF(T261=1,INDEX('ITENS_MTR'!$T$6:$T$1005,S261),"")</f>
        <v/>
      </c>
      <c r="V261" s="97" t="str">
        <f>IF(N(U261)&gt;0,INDEX('MTRs'!$E$6:$E$505,U261),"")</f>
        <v/>
      </c>
      <c r="W261" s="96" t="str">
        <f>IF(G261="","",IFERROR(IF(ISNUMBER(INDEX(cfg_fac,MATCH(G261,cfg_units,0))),IF(INDEX(cfg_fac,MATCH(G261,cfg_units,0))&gt;0,INDEX(cfg_fac,MATCH(G261,cfg_units,0)),""),""),""))</f>
        <v/>
      </c>
      <c r="X261" s="96">
        <f>IF(AND(ISNUMBER(F261),ISNUMBER(H261)),IF(H261&gt;0,1,0),0)</f>
        <v>0</v>
      </c>
      <c r="Y261" s="96">
        <f>IF(Q261=0,0,IF(OR(T261=0,X261=0,NOT(ISNUMBER(E261)),AND(J261="Sim",L261="",M261=""),AND(ISNUMBER(E261),ISNUMBER(V261),N(V261)&gt;0,E261&lt;N(V261))),1,0))</f>
        <v>0</v>
      </c>
      <c r="Z261" s="96">
        <f>IF(AND(Q261=1,T261=1,X261=1,J261="Sim",OR(L261&lt;&gt;"",M261&lt;&gt;"")),1,0)</f>
        <v>0</v>
      </c>
      <c r="AA261" s="96">
        <f>IF(Q261=0,0,IF(AND(OR(r_ini="",AND(ISNUMBER(E261),E261&gt;=r_ini)),OR(r_fim="",AND(ISNUMBER(E261),E261&lt;=r_fim)),OR(r_un="",r_un="(Todas)",IF(N(U261)&gt;0,INDEX('MTRs'!$G$6:$G$505,U261),"")=r_un),OR(r_de="",r_de="(Todos)",D261=r_de)),1,0))</f>
        <v>0</v>
      </c>
      <c r="AB261" s="96" t="str">
        <f>IF(AA261=1,COUNTIF($AA$6:AA261,1),"")</f>
        <v/>
      </c>
    </row>
    <row r="262">
      <c r="A262" s="89" t="inlineStr">
        <is>
          <t>REC-000257</t>
        </is>
      </c>
      <c r="B262" s="94" t="str">
        <f>IF(T262=1,INDEX('ITENS_MTR'!$S$6:$S$1005,S262)&amp;"","")</f>
        <v/>
      </c>
      <c r="C262" s="91" t="n"/>
      <c r="D262" s="94" t="str">
        <f>IF(N(U262)&gt;0,INDEX('MTRs'!$I$6:$I$505,U262)&amp;"","")</f>
        <v/>
      </c>
      <c r="E262" s="92" t="n"/>
      <c r="F262" s="98" t="n"/>
      <c r="G262" s="91" t="n"/>
      <c r="H262" s="93" t="str">
        <f>IF(Q262=0,"",IF(NOT(ISNUMBER(F262)),"",IF(ISNUMBER(W262),F262*W262,"UNIDADE A CONFERIR")))</f>
        <v/>
      </c>
      <c r="I262" s="91" t="n"/>
      <c r="J262" s="91" t="n"/>
      <c r="K262" s="92" t="n"/>
      <c r="L262" s="91" t="n"/>
      <c r="M262" s="91" t="n"/>
      <c r="N262" s="91" t="n"/>
      <c r="O262" s="91" t="n"/>
      <c r="P262" s="94" t="str">
        <f>IF(Q262=0,"",IF(C262="","Item de resíduo não informado",IF(T262=0,"Item inexistente (referência inválida)",IF(NOT(ISNUMBER(F262)),"Quantidade não informada",IF(F262&lt;=0,"Quantidade não positiva",IF(G262="","Unidade não informada",IF(NOT(ISNUMBER(H262)),"Unidade a conferir",IF(NOT(ISNUMBER(E262)),"Data de recebimento não informada",IF(AND(ISNUMBER(V262),N(V262)&gt;0,E262&lt;N(V262)),"Data anterior à emissão do MTR",IF(AND(J262="Sim",L262="",M262=""),"Conferido sem evidência identificada",IF(J262&lt;&gt;"Sim","Aguardando conferência",IF(INDEX('ITENS_MTR'!$AM$6:$AM$1005,S262)=1,"Conferido (ver diferença no item)","Conferido"))))))))))))</f>
        <v/>
      </c>
      <c r="Q262" s="96">
        <f>IF(COUNTA(C262,E262:G262,I262:O262)&gt;0,1,0)</f>
        <v>0</v>
      </c>
      <c r="R262" s="96" t="str">
        <f>IF(C262="","",TRIM(LEFT(C262,FIND(" |",C262&amp;" |")-1)))</f>
        <v/>
      </c>
      <c r="S262" s="96" t="str">
        <f>IF(R262="","",IFERROR(MATCH(R262,'ITENS_MTR'!$A$6:$A$1005,0),""))</f>
        <v/>
      </c>
      <c r="T262" s="96">
        <f>IF(S262="",0,IF(INDEX('ITENS_MTR'!$R$6:$R$1005,S262)=1,1,0))</f>
        <v>0</v>
      </c>
      <c r="U262" s="96" t="str">
        <f>IF(T262=1,INDEX('ITENS_MTR'!$T$6:$T$1005,S262),"")</f>
        <v/>
      </c>
      <c r="V262" s="97" t="str">
        <f>IF(N(U262)&gt;0,INDEX('MTRs'!$E$6:$E$505,U262),"")</f>
        <v/>
      </c>
      <c r="W262" s="96" t="str">
        <f>IF(G262="","",IFERROR(IF(ISNUMBER(INDEX(cfg_fac,MATCH(G262,cfg_units,0))),IF(INDEX(cfg_fac,MATCH(G262,cfg_units,0))&gt;0,INDEX(cfg_fac,MATCH(G262,cfg_units,0)),""),""),""))</f>
        <v/>
      </c>
      <c r="X262" s="96">
        <f>IF(AND(ISNUMBER(F262),ISNUMBER(H262)),IF(H262&gt;0,1,0),0)</f>
        <v>0</v>
      </c>
      <c r="Y262" s="96">
        <f>IF(Q262=0,0,IF(OR(T262=0,X262=0,NOT(ISNUMBER(E262)),AND(J262="Sim",L262="",M262=""),AND(ISNUMBER(E262),ISNUMBER(V262),N(V262)&gt;0,E262&lt;N(V262))),1,0))</f>
        <v>0</v>
      </c>
      <c r="Z262" s="96">
        <f>IF(AND(Q262=1,T262=1,X262=1,J262="Sim",OR(L262&lt;&gt;"",M262&lt;&gt;"")),1,0)</f>
        <v>0</v>
      </c>
      <c r="AA262" s="96">
        <f>IF(Q262=0,0,IF(AND(OR(r_ini="",AND(ISNUMBER(E262),E262&gt;=r_ini)),OR(r_fim="",AND(ISNUMBER(E262),E262&lt;=r_fim)),OR(r_un="",r_un="(Todas)",IF(N(U262)&gt;0,INDEX('MTRs'!$G$6:$G$505,U262),"")=r_un),OR(r_de="",r_de="(Todos)",D262=r_de)),1,0))</f>
        <v>0</v>
      </c>
      <c r="AB262" s="96" t="str">
        <f>IF(AA262=1,COUNTIF($AA$6:AA262,1),"")</f>
        <v/>
      </c>
    </row>
    <row r="263">
      <c r="A263" s="89" t="inlineStr">
        <is>
          <t>REC-000258</t>
        </is>
      </c>
      <c r="B263" s="94" t="str">
        <f>IF(T263=1,INDEX('ITENS_MTR'!$S$6:$S$1005,S263)&amp;"","")</f>
        <v/>
      </c>
      <c r="C263" s="91" t="n"/>
      <c r="D263" s="94" t="str">
        <f>IF(N(U263)&gt;0,INDEX('MTRs'!$I$6:$I$505,U263)&amp;"","")</f>
        <v/>
      </c>
      <c r="E263" s="92" t="n"/>
      <c r="F263" s="98" t="n"/>
      <c r="G263" s="91" t="n"/>
      <c r="H263" s="93" t="str">
        <f>IF(Q263=0,"",IF(NOT(ISNUMBER(F263)),"",IF(ISNUMBER(W263),F263*W263,"UNIDADE A CONFERIR")))</f>
        <v/>
      </c>
      <c r="I263" s="91" t="n"/>
      <c r="J263" s="91" t="n"/>
      <c r="K263" s="92" t="n"/>
      <c r="L263" s="91" t="n"/>
      <c r="M263" s="91" t="n"/>
      <c r="N263" s="91" t="n"/>
      <c r="O263" s="91" t="n"/>
      <c r="P263" s="94" t="str">
        <f>IF(Q263=0,"",IF(C263="","Item de resíduo não informado",IF(T263=0,"Item inexistente (referência inválida)",IF(NOT(ISNUMBER(F263)),"Quantidade não informada",IF(F263&lt;=0,"Quantidade não positiva",IF(G263="","Unidade não informada",IF(NOT(ISNUMBER(H263)),"Unidade a conferir",IF(NOT(ISNUMBER(E263)),"Data de recebimento não informada",IF(AND(ISNUMBER(V263),N(V263)&gt;0,E263&lt;N(V263)),"Data anterior à emissão do MTR",IF(AND(J263="Sim",L263="",M263=""),"Conferido sem evidência identificada",IF(J263&lt;&gt;"Sim","Aguardando conferência",IF(INDEX('ITENS_MTR'!$AM$6:$AM$1005,S263)=1,"Conferido (ver diferença no item)","Conferido"))))))))))))</f>
        <v/>
      </c>
      <c r="Q263" s="96">
        <f>IF(COUNTA(C263,E263:G263,I263:O263)&gt;0,1,0)</f>
        <v>0</v>
      </c>
      <c r="R263" s="96" t="str">
        <f>IF(C263="","",TRIM(LEFT(C263,FIND(" |",C263&amp;" |")-1)))</f>
        <v/>
      </c>
      <c r="S263" s="96" t="str">
        <f>IF(R263="","",IFERROR(MATCH(R263,'ITENS_MTR'!$A$6:$A$1005,0),""))</f>
        <v/>
      </c>
      <c r="T263" s="96">
        <f>IF(S263="",0,IF(INDEX('ITENS_MTR'!$R$6:$R$1005,S263)=1,1,0))</f>
        <v>0</v>
      </c>
      <c r="U263" s="96" t="str">
        <f>IF(T263=1,INDEX('ITENS_MTR'!$T$6:$T$1005,S263),"")</f>
        <v/>
      </c>
      <c r="V263" s="97" t="str">
        <f>IF(N(U263)&gt;0,INDEX('MTRs'!$E$6:$E$505,U263),"")</f>
        <v/>
      </c>
      <c r="W263" s="96" t="str">
        <f>IF(G263="","",IFERROR(IF(ISNUMBER(INDEX(cfg_fac,MATCH(G263,cfg_units,0))),IF(INDEX(cfg_fac,MATCH(G263,cfg_units,0))&gt;0,INDEX(cfg_fac,MATCH(G263,cfg_units,0)),""),""),""))</f>
        <v/>
      </c>
      <c r="X263" s="96">
        <f>IF(AND(ISNUMBER(F263),ISNUMBER(H263)),IF(H263&gt;0,1,0),0)</f>
        <v>0</v>
      </c>
      <c r="Y263" s="96">
        <f>IF(Q263=0,0,IF(OR(T263=0,X263=0,NOT(ISNUMBER(E263)),AND(J263="Sim",L263="",M263=""),AND(ISNUMBER(E263),ISNUMBER(V263),N(V263)&gt;0,E263&lt;N(V263))),1,0))</f>
        <v>0</v>
      </c>
      <c r="Z263" s="96">
        <f>IF(AND(Q263=1,T263=1,X263=1,J263="Sim",OR(L263&lt;&gt;"",M263&lt;&gt;"")),1,0)</f>
        <v>0</v>
      </c>
      <c r="AA263" s="96">
        <f>IF(Q263=0,0,IF(AND(OR(r_ini="",AND(ISNUMBER(E263),E263&gt;=r_ini)),OR(r_fim="",AND(ISNUMBER(E263),E263&lt;=r_fim)),OR(r_un="",r_un="(Todas)",IF(N(U263)&gt;0,INDEX('MTRs'!$G$6:$G$505,U263),"")=r_un),OR(r_de="",r_de="(Todos)",D263=r_de)),1,0))</f>
        <v>0</v>
      </c>
      <c r="AB263" s="96" t="str">
        <f>IF(AA263=1,COUNTIF($AA$6:AA263,1),"")</f>
        <v/>
      </c>
    </row>
    <row r="264">
      <c r="A264" s="89" t="inlineStr">
        <is>
          <t>REC-000259</t>
        </is>
      </c>
      <c r="B264" s="94" t="str">
        <f>IF(T264=1,INDEX('ITENS_MTR'!$S$6:$S$1005,S264)&amp;"","")</f>
        <v/>
      </c>
      <c r="C264" s="91" t="n"/>
      <c r="D264" s="94" t="str">
        <f>IF(N(U264)&gt;0,INDEX('MTRs'!$I$6:$I$505,U264)&amp;"","")</f>
        <v/>
      </c>
      <c r="E264" s="92" t="n"/>
      <c r="F264" s="98" t="n"/>
      <c r="G264" s="91" t="n"/>
      <c r="H264" s="93" t="str">
        <f>IF(Q264=0,"",IF(NOT(ISNUMBER(F264)),"",IF(ISNUMBER(W264),F264*W264,"UNIDADE A CONFERIR")))</f>
        <v/>
      </c>
      <c r="I264" s="91" t="n"/>
      <c r="J264" s="91" t="n"/>
      <c r="K264" s="92" t="n"/>
      <c r="L264" s="91" t="n"/>
      <c r="M264" s="91" t="n"/>
      <c r="N264" s="91" t="n"/>
      <c r="O264" s="91" t="n"/>
      <c r="P264" s="94" t="str">
        <f>IF(Q264=0,"",IF(C264="","Item de resíduo não informado",IF(T264=0,"Item inexistente (referência inválida)",IF(NOT(ISNUMBER(F264)),"Quantidade não informada",IF(F264&lt;=0,"Quantidade não positiva",IF(G264="","Unidade não informada",IF(NOT(ISNUMBER(H264)),"Unidade a conferir",IF(NOT(ISNUMBER(E264)),"Data de recebimento não informada",IF(AND(ISNUMBER(V264),N(V264)&gt;0,E264&lt;N(V264)),"Data anterior à emissão do MTR",IF(AND(J264="Sim",L264="",M264=""),"Conferido sem evidência identificada",IF(J264&lt;&gt;"Sim","Aguardando conferência",IF(INDEX('ITENS_MTR'!$AM$6:$AM$1005,S264)=1,"Conferido (ver diferença no item)","Conferido"))))))))))))</f>
        <v/>
      </c>
      <c r="Q264" s="96">
        <f>IF(COUNTA(C264,E264:G264,I264:O264)&gt;0,1,0)</f>
        <v>0</v>
      </c>
      <c r="R264" s="96" t="str">
        <f>IF(C264="","",TRIM(LEFT(C264,FIND(" |",C264&amp;" |")-1)))</f>
        <v/>
      </c>
      <c r="S264" s="96" t="str">
        <f>IF(R264="","",IFERROR(MATCH(R264,'ITENS_MTR'!$A$6:$A$1005,0),""))</f>
        <v/>
      </c>
      <c r="T264" s="96">
        <f>IF(S264="",0,IF(INDEX('ITENS_MTR'!$R$6:$R$1005,S264)=1,1,0))</f>
        <v>0</v>
      </c>
      <c r="U264" s="96" t="str">
        <f>IF(T264=1,INDEX('ITENS_MTR'!$T$6:$T$1005,S264),"")</f>
        <v/>
      </c>
      <c r="V264" s="97" t="str">
        <f>IF(N(U264)&gt;0,INDEX('MTRs'!$E$6:$E$505,U264),"")</f>
        <v/>
      </c>
      <c r="W264" s="96" t="str">
        <f>IF(G264="","",IFERROR(IF(ISNUMBER(INDEX(cfg_fac,MATCH(G264,cfg_units,0))),IF(INDEX(cfg_fac,MATCH(G264,cfg_units,0))&gt;0,INDEX(cfg_fac,MATCH(G264,cfg_units,0)),""),""),""))</f>
        <v/>
      </c>
      <c r="X264" s="96">
        <f>IF(AND(ISNUMBER(F264),ISNUMBER(H264)),IF(H264&gt;0,1,0),0)</f>
        <v>0</v>
      </c>
      <c r="Y264" s="96">
        <f>IF(Q264=0,0,IF(OR(T264=0,X264=0,NOT(ISNUMBER(E264)),AND(J264="Sim",L264="",M264=""),AND(ISNUMBER(E264),ISNUMBER(V264),N(V264)&gt;0,E264&lt;N(V264))),1,0))</f>
        <v>0</v>
      </c>
      <c r="Z264" s="96">
        <f>IF(AND(Q264=1,T264=1,X264=1,J264="Sim",OR(L264&lt;&gt;"",M264&lt;&gt;"")),1,0)</f>
        <v>0</v>
      </c>
      <c r="AA264" s="96">
        <f>IF(Q264=0,0,IF(AND(OR(r_ini="",AND(ISNUMBER(E264),E264&gt;=r_ini)),OR(r_fim="",AND(ISNUMBER(E264),E264&lt;=r_fim)),OR(r_un="",r_un="(Todas)",IF(N(U264)&gt;0,INDEX('MTRs'!$G$6:$G$505,U264),"")=r_un),OR(r_de="",r_de="(Todos)",D264=r_de)),1,0))</f>
        <v>0</v>
      </c>
      <c r="AB264" s="96" t="str">
        <f>IF(AA264=1,COUNTIF($AA$6:AA264,1),"")</f>
        <v/>
      </c>
    </row>
    <row r="265">
      <c r="A265" s="89" t="inlineStr">
        <is>
          <t>REC-000260</t>
        </is>
      </c>
      <c r="B265" s="94" t="str">
        <f>IF(T265=1,INDEX('ITENS_MTR'!$S$6:$S$1005,S265)&amp;"","")</f>
        <v/>
      </c>
      <c r="C265" s="91" t="n"/>
      <c r="D265" s="94" t="str">
        <f>IF(N(U265)&gt;0,INDEX('MTRs'!$I$6:$I$505,U265)&amp;"","")</f>
        <v/>
      </c>
      <c r="E265" s="92" t="n"/>
      <c r="F265" s="98" t="n"/>
      <c r="G265" s="91" t="n"/>
      <c r="H265" s="93" t="str">
        <f>IF(Q265=0,"",IF(NOT(ISNUMBER(F265)),"",IF(ISNUMBER(W265),F265*W265,"UNIDADE A CONFERIR")))</f>
        <v/>
      </c>
      <c r="I265" s="91" t="n"/>
      <c r="J265" s="91" t="n"/>
      <c r="K265" s="92" t="n"/>
      <c r="L265" s="91" t="n"/>
      <c r="M265" s="91" t="n"/>
      <c r="N265" s="91" t="n"/>
      <c r="O265" s="91" t="n"/>
      <c r="P265" s="94" t="str">
        <f>IF(Q265=0,"",IF(C265="","Item de resíduo não informado",IF(T265=0,"Item inexistente (referência inválida)",IF(NOT(ISNUMBER(F265)),"Quantidade não informada",IF(F265&lt;=0,"Quantidade não positiva",IF(G265="","Unidade não informada",IF(NOT(ISNUMBER(H265)),"Unidade a conferir",IF(NOT(ISNUMBER(E265)),"Data de recebimento não informada",IF(AND(ISNUMBER(V265),N(V265)&gt;0,E265&lt;N(V265)),"Data anterior à emissão do MTR",IF(AND(J265="Sim",L265="",M265=""),"Conferido sem evidência identificada",IF(J265&lt;&gt;"Sim","Aguardando conferência",IF(INDEX('ITENS_MTR'!$AM$6:$AM$1005,S265)=1,"Conferido (ver diferença no item)","Conferido"))))))))))))</f>
        <v/>
      </c>
      <c r="Q265" s="96">
        <f>IF(COUNTA(C265,E265:G265,I265:O265)&gt;0,1,0)</f>
        <v>0</v>
      </c>
      <c r="R265" s="96" t="str">
        <f>IF(C265="","",TRIM(LEFT(C265,FIND(" |",C265&amp;" |")-1)))</f>
        <v/>
      </c>
      <c r="S265" s="96" t="str">
        <f>IF(R265="","",IFERROR(MATCH(R265,'ITENS_MTR'!$A$6:$A$1005,0),""))</f>
        <v/>
      </c>
      <c r="T265" s="96">
        <f>IF(S265="",0,IF(INDEX('ITENS_MTR'!$R$6:$R$1005,S265)=1,1,0))</f>
        <v>0</v>
      </c>
      <c r="U265" s="96" t="str">
        <f>IF(T265=1,INDEX('ITENS_MTR'!$T$6:$T$1005,S265),"")</f>
        <v/>
      </c>
      <c r="V265" s="97" t="str">
        <f>IF(N(U265)&gt;0,INDEX('MTRs'!$E$6:$E$505,U265),"")</f>
        <v/>
      </c>
      <c r="W265" s="96" t="str">
        <f>IF(G265="","",IFERROR(IF(ISNUMBER(INDEX(cfg_fac,MATCH(G265,cfg_units,0))),IF(INDEX(cfg_fac,MATCH(G265,cfg_units,0))&gt;0,INDEX(cfg_fac,MATCH(G265,cfg_units,0)),""),""),""))</f>
        <v/>
      </c>
      <c r="X265" s="96">
        <f>IF(AND(ISNUMBER(F265),ISNUMBER(H265)),IF(H265&gt;0,1,0),0)</f>
        <v>0</v>
      </c>
      <c r="Y265" s="96">
        <f>IF(Q265=0,0,IF(OR(T265=0,X265=0,NOT(ISNUMBER(E265)),AND(J265="Sim",L265="",M265=""),AND(ISNUMBER(E265),ISNUMBER(V265),N(V265)&gt;0,E265&lt;N(V265))),1,0))</f>
        <v>0</v>
      </c>
      <c r="Z265" s="96">
        <f>IF(AND(Q265=1,T265=1,X265=1,J265="Sim",OR(L265&lt;&gt;"",M265&lt;&gt;"")),1,0)</f>
        <v>0</v>
      </c>
      <c r="AA265" s="96">
        <f>IF(Q265=0,0,IF(AND(OR(r_ini="",AND(ISNUMBER(E265),E265&gt;=r_ini)),OR(r_fim="",AND(ISNUMBER(E265),E265&lt;=r_fim)),OR(r_un="",r_un="(Todas)",IF(N(U265)&gt;0,INDEX('MTRs'!$G$6:$G$505,U265),"")=r_un),OR(r_de="",r_de="(Todos)",D265=r_de)),1,0))</f>
        <v>0</v>
      </c>
      <c r="AB265" s="96" t="str">
        <f>IF(AA265=1,COUNTIF($AA$6:AA265,1),"")</f>
        <v/>
      </c>
    </row>
    <row r="266">
      <c r="A266" s="89" t="inlineStr">
        <is>
          <t>REC-000261</t>
        </is>
      </c>
      <c r="B266" s="94" t="str">
        <f>IF(T266=1,INDEX('ITENS_MTR'!$S$6:$S$1005,S266)&amp;"","")</f>
        <v/>
      </c>
      <c r="C266" s="91" t="n"/>
      <c r="D266" s="94" t="str">
        <f>IF(N(U266)&gt;0,INDEX('MTRs'!$I$6:$I$505,U266)&amp;"","")</f>
        <v/>
      </c>
      <c r="E266" s="92" t="n"/>
      <c r="F266" s="98" t="n"/>
      <c r="G266" s="91" t="n"/>
      <c r="H266" s="93" t="str">
        <f>IF(Q266=0,"",IF(NOT(ISNUMBER(F266)),"",IF(ISNUMBER(W266),F266*W266,"UNIDADE A CONFERIR")))</f>
        <v/>
      </c>
      <c r="I266" s="91" t="n"/>
      <c r="J266" s="91" t="n"/>
      <c r="K266" s="92" t="n"/>
      <c r="L266" s="91" t="n"/>
      <c r="M266" s="91" t="n"/>
      <c r="N266" s="91" t="n"/>
      <c r="O266" s="91" t="n"/>
      <c r="P266" s="94" t="str">
        <f>IF(Q266=0,"",IF(C266="","Item de resíduo não informado",IF(T266=0,"Item inexistente (referência inválida)",IF(NOT(ISNUMBER(F266)),"Quantidade não informada",IF(F266&lt;=0,"Quantidade não positiva",IF(G266="","Unidade não informada",IF(NOT(ISNUMBER(H266)),"Unidade a conferir",IF(NOT(ISNUMBER(E266)),"Data de recebimento não informada",IF(AND(ISNUMBER(V266),N(V266)&gt;0,E266&lt;N(V266)),"Data anterior à emissão do MTR",IF(AND(J266="Sim",L266="",M266=""),"Conferido sem evidência identificada",IF(J266&lt;&gt;"Sim","Aguardando conferência",IF(INDEX('ITENS_MTR'!$AM$6:$AM$1005,S266)=1,"Conferido (ver diferença no item)","Conferido"))))))))))))</f>
        <v/>
      </c>
      <c r="Q266" s="96">
        <f>IF(COUNTA(C266,E266:G266,I266:O266)&gt;0,1,0)</f>
        <v>0</v>
      </c>
      <c r="R266" s="96" t="str">
        <f>IF(C266="","",TRIM(LEFT(C266,FIND(" |",C266&amp;" |")-1)))</f>
        <v/>
      </c>
      <c r="S266" s="96" t="str">
        <f>IF(R266="","",IFERROR(MATCH(R266,'ITENS_MTR'!$A$6:$A$1005,0),""))</f>
        <v/>
      </c>
      <c r="T266" s="96">
        <f>IF(S266="",0,IF(INDEX('ITENS_MTR'!$R$6:$R$1005,S266)=1,1,0))</f>
        <v>0</v>
      </c>
      <c r="U266" s="96" t="str">
        <f>IF(T266=1,INDEX('ITENS_MTR'!$T$6:$T$1005,S266),"")</f>
        <v/>
      </c>
      <c r="V266" s="97" t="str">
        <f>IF(N(U266)&gt;0,INDEX('MTRs'!$E$6:$E$505,U266),"")</f>
        <v/>
      </c>
      <c r="W266" s="96" t="str">
        <f>IF(G266="","",IFERROR(IF(ISNUMBER(INDEX(cfg_fac,MATCH(G266,cfg_units,0))),IF(INDEX(cfg_fac,MATCH(G266,cfg_units,0))&gt;0,INDEX(cfg_fac,MATCH(G266,cfg_units,0)),""),""),""))</f>
        <v/>
      </c>
      <c r="X266" s="96">
        <f>IF(AND(ISNUMBER(F266),ISNUMBER(H266)),IF(H266&gt;0,1,0),0)</f>
        <v>0</v>
      </c>
      <c r="Y266" s="96">
        <f>IF(Q266=0,0,IF(OR(T266=0,X266=0,NOT(ISNUMBER(E266)),AND(J266="Sim",L266="",M266=""),AND(ISNUMBER(E266),ISNUMBER(V266),N(V266)&gt;0,E266&lt;N(V266))),1,0))</f>
        <v>0</v>
      </c>
      <c r="Z266" s="96">
        <f>IF(AND(Q266=1,T266=1,X266=1,J266="Sim",OR(L266&lt;&gt;"",M266&lt;&gt;"")),1,0)</f>
        <v>0</v>
      </c>
      <c r="AA266" s="96">
        <f>IF(Q266=0,0,IF(AND(OR(r_ini="",AND(ISNUMBER(E266),E266&gt;=r_ini)),OR(r_fim="",AND(ISNUMBER(E266),E266&lt;=r_fim)),OR(r_un="",r_un="(Todas)",IF(N(U266)&gt;0,INDEX('MTRs'!$G$6:$G$505,U266),"")=r_un),OR(r_de="",r_de="(Todos)",D266=r_de)),1,0))</f>
        <v>0</v>
      </c>
      <c r="AB266" s="96" t="str">
        <f>IF(AA266=1,COUNTIF($AA$6:AA266,1),"")</f>
        <v/>
      </c>
    </row>
    <row r="267">
      <c r="A267" s="89" t="inlineStr">
        <is>
          <t>REC-000262</t>
        </is>
      </c>
      <c r="B267" s="94" t="str">
        <f>IF(T267=1,INDEX('ITENS_MTR'!$S$6:$S$1005,S267)&amp;"","")</f>
        <v/>
      </c>
      <c r="C267" s="91" t="n"/>
      <c r="D267" s="94" t="str">
        <f>IF(N(U267)&gt;0,INDEX('MTRs'!$I$6:$I$505,U267)&amp;"","")</f>
        <v/>
      </c>
      <c r="E267" s="92" t="n"/>
      <c r="F267" s="98" t="n"/>
      <c r="G267" s="91" t="n"/>
      <c r="H267" s="93" t="str">
        <f>IF(Q267=0,"",IF(NOT(ISNUMBER(F267)),"",IF(ISNUMBER(W267),F267*W267,"UNIDADE A CONFERIR")))</f>
        <v/>
      </c>
      <c r="I267" s="91" t="n"/>
      <c r="J267" s="91" t="n"/>
      <c r="K267" s="92" t="n"/>
      <c r="L267" s="91" t="n"/>
      <c r="M267" s="91" t="n"/>
      <c r="N267" s="91" t="n"/>
      <c r="O267" s="91" t="n"/>
      <c r="P267" s="94" t="str">
        <f>IF(Q267=0,"",IF(C267="","Item de resíduo não informado",IF(T267=0,"Item inexistente (referência inválida)",IF(NOT(ISNUMBER(F267)),"Quantidade não informada",IF(F267&lt;=0,"Quantidade não positiva",IF(G267="","Unidade não informada",IF(NOT(ISNUMBER(H267)),"Unidade a conferir",IF(NOT(ISNUMBER(E267)),"Data de recebimento não informada",IF(AND(ISNUMBER(V267),N(V267)&gt;0,E267&lt;N(V267)),"Data anterior à emissão do MTR",IF(AND(J267="Sim",L267="",M267=""),"Conferido sem evidência identificada",IF(J267&lt;&gt;"Sim","Aguardando conferência",IF(INDEX('ITENS_MTR'!$AM$6:$AM$1005,S267)=1,"Conferido (ver diferença no item)","Conferido"))))))))))))</f>
        <v/>
      </c>
      <c r="Q267" s="96">
        <f>IF(COUNTA(C267,E267:G267,I267:O267)&gt;0,1,0)</f>
        <v>0</v>
      </c>
      <c r="R267" s="96" t="str">
        <f>IF(C267="","",TRIM(LEFT(C267,FIND(" |",C267&amp;" |")-1)))</f>
        <v/>
      </c>
      <c r="S267" s="96" t="str">
        <f>IF(R267="","",IFERROR(MATCH(R267,'ITENS_MTR'!$A$6:$A$1005,0),""))</f>
        <v/>
      </c>
      <c r="T267" s="96">
        <f>IF(S267="",0,IF(INDEX('ITENS_MTR'!$R$6:$R$1005,S267)=1,1,0))</f>
        <v>0</v>
      </c>
      <c r="U267" s="96" t="str">
        <f>IF(T267=1,INDEX('ITENS_MTR'!$T$6:$T$1005,S267),"")</f>
        <v/>
      </c>
      <c r="V267" s="97" t="str">
        <f>IF(N(U267)&gt;0,INDEX('MTRs'!$E$6:$E$505,U267),"")</f>
        <v/>
      </c>
      <c r="W267" s="96" t="str">
        <f>IF(G267="","",IFERROR(IF(ISNUMBER(INDEX(cfg_fac,MATCH(G267,cfg_units,0))),IF(INDEX(cfg_fac,MATCH(G267,cfg_units,0))&gt;0,INDEX(cfg_fac,MATCH(G267,cfg_units,0)),""),""),""))</f>
        <v/>
      </c>
      <c r="X267" s="96">
        <f>IF(AND(ISNUMBER(F267),ISNUMBER(H267)),IF(H267&gt;0,1,0),0)</f>
        <v>0</v>
      </c>
      <c r="Y267" s="96">
        <f>IF(Q267=0,0,IF(OR(T267=0,X267=0,NOT(ISNUMBER(E267)),AND(J267="Sim",L267="",M267=""),AND(ISNUMBER(E267),ISNUMBER(V267),N(V267)&gt;0,E267&lt;N(V267))),1,0))</f>
        <v>0</v>
      </c>
      <c r="Z267" s="96">
        <f>IF(AND(Q267=1,T267=1,X267=1,J267="Sim",OR(L267&lt;&gt;"",M267&lt;&gt;"")),1,0)</f>
        <v>0</v>
      </c>
      <c r="AA267" s="96">
        <f>IF(Q267=0,0,IF(AND(OR(r_ini="",AND(ISNUMBER(E267),E267&gt;=r_ini)),OR(r_fim="",AND(ISNUMBER(E267),E267&lt;=r_fim)),OR(r_un="",r_un="(Todas)",IF(N(U267)&gt;0,INDEX('MTRs'!$G$6:$G$505,U267),"")=r_un),OR(r_de="",r_de="(Todos)",D267=r_de)),1,0))</f>
        <v>0</v>
      </c>
      <c r="AB267" s="96" t="str">
        <f>IF(AA267=1,COUNTIF($AA$6:AA267,1),"")</f>
        <v/>
      </c>
    </row>
    <row r="268">
      <c r="A268" s="89" t="inlineStr">
        <is>
          <t>REC-000263</t>
        </is>
      </c>
      <c r="B268" s="94" t="str">
        <f>IF(T268=1,INDEX('ITENS_MTR'!$S$6:$S$1005,S268)&amp;"","")</f>
        <v/>
      </c>
      <c r="C268" s="91" t="n"/>
      <c r="D268" s="94" t="str">
        <f>IF(N(U268)&gt;0,INDEX('MTRs'!$I$6:$I$505,U268)&amp;"","")</f>
        <v/>
      </c>
      <c r="E268" s="92" t="n"/>
      <c r="F268" s="98" t="n"/>
      <c r="G268" s="91" t="n"/>
      <c r="H268" s="93" t="str">
        <f>IF(Q268=0,"",IF(NOT(ISNUMBER(F268)),"",IF(ISNUMBER(W268),F268*W268,"UNIDADE A CONFERIR")))</f>
        <v/>
      </c>
      <c r="I268" s="91" t="n"/>
      <c r="J268" s="91" t="n"/>
      <c r="K268" s="92" t="n"/>
      <c r="L268" s="91" t="n"/>
      <c r="M268" s="91" t="n"/>
      <c r="N268" s="91" t="n"/>
      <c r="O268" s="91" t="n"/>
      <c r="P268" s="94" t="str">
        <f>IF(Q268=0,"",IF(C268="","Item de resíduo não informado",IF(T268=0,"Item inexistente (referência inválida)",IF(NOT(ISNUMBER(F268)),"Quantidade não informada",IF(F268&lt;=0,"Quantidade não positiva",IF(G268="","Unidade não informada",IF(NOT(ISNUMBER(H268)),"Unidade a conferir",IF(NOT(ISNUMBER(E268)),"Data de recebimento não informada",IF(AND(ISNUMBER(V268),N(V268)&gt;0,E268&lt;N(V268)),"Data anterior à emissão do MTR",IF(AND(J268="Sim",L268="",M268=""),"Conferido sem evidência identificada",IF(J268&lt;&gt;"Sim","Aguardando conferência",IF(INDEX('ITENS_MTR'!$AM$6:$AM$1005,S268)=1,"Conferido (ver diferença no item)","Conferido"))))))))))))</f>
        <v/>
      </c>
      <c r="Q268" s="96">
        <f>IF(COUNTA(C268,E268:G268,I268:O268)&gt;0,1,0)</f>
        <v>0</v>
      </c>
      <c r="R268" s="96" t="str">
        <f>IF(C268="","",TRIM(LEFT(C268,FIND(" |",C268&amp;" |")-1)))</f>
        <v/>
      </c>
      <c r="S268" s="96" t="str">
        <f>IF(R268="","",IFERROR(MATCH(R268,'ITENS_MTR'!$A$6:$A$1005,0),""))</f>
        <v/>
      </c>
      <c r="T268" s="96">
        <f>IF(S268="",0,IF(INDEX('ITENS_MTR'!$R$6:$R$1005,S268)=1,1,0))</f>
        <v>0</v>
      </c>
      <c r="U268" s="96" t="str">
        <f>IF(T268=1,INDEX('ITENS_MTR'!$T$6:$T$1005,S268),"")</f>
        <v/>
      </c>
      <c r="V268" s="97" t="str">
        <f>IF(N(U268)&gt;0,INDEX('MTRs'!$E$6:$E$505,U268),"")</f>
        <v/>
      </c>
      <c r="W268" s="96" t="str">
        <f>IF(G268="","",IFERROR(IF(ISNUMBER(INDEX(cfg_fac,MATCH(G268,cfg_units,0))),IF(INDEX(cfg_fac,MATCH(G268,cfg_units,0))&gt;0,INDEX(cfg_fac,MATCH(G268,cfg_units,0)),""),""),""))</f>
        <v/>
      </c>
      <c r="X268" s="96">
        <f>IF(AND(ISNUMBER(F268),ISNUMBER(H268)),IF(H268&gt;0,1,0),0)</f>
        <v>0</v>
      </c>
      <c r="Y268" s="96">
        <f>IF(Q268=0,0,IF(OR(T268=0,X268=0,NOT(ISNUMBER(E268)),AND(J268="Sim",L268="",M268=""),AND(ISNUMBER(E268),ISNUMBER(V268),N(V268)&gt;0,E268&lt;N(V268))),1,0))</f>
        <v>0</v>
      </c>
      <c r="Z268" s="96">
        <f>IF(AND(Q268=1,T268=1,X268=1,J268="Sim",OR(L268&lt;&gt;"",M268&lt;&gt;"")),1,0)</f>
        <v>0</v>
      </c>
      <c r="AA268" s="96">
        <f>IF(Q268=0,0,IF(AND(OR(r_ini="",AND(ISNUMBER(E268),E268&gt;=r_ini)),OR(r_fim="",AND(ISNUMBER(E268),E268&lt;=r_fim)),OR(r_un="",r_un="(Todas)",IF(N(U268)&gt;0,INDEX('MTRs'!$G$6:$G$505,U268),"")=r_un),OR(r_de="",r_de="(Todos)",D268=r_de)),1,0))</f>
        <v>0</v>
      </c>
      <c r="AB268" s="96" t="str">
        <f>IF(AA268=1,COUNTIF($AA$6:AA268,1),"")</f>
        <v/>
      </c>
    </row>
    <row r="269">
      <c r="A269" s="89" t="inlineStr">
        <is>
          <t>REC-000264</t>
        </is>
      </c>
      <c r="B269" s="94" t="str">
        <f>IF(T269=1,INDEX('ITENS_MTR'!$S$6:$S$1005,S269)&amp;"","")</f>
        <v/>
      </c>
      <c r="C269" s="91" t="n"/>
      <c r="D269" s="94" t="str">
        <f>IF(N(U269)&gt;0,INDEX('MTRs'!$I$6:$I$505,U269)&amp;"","")</f>
        <v/>
      </c>
      <c r="E269" s="92" t="n"/>
      <c r="F269" s="98" t="n"/>
      <c r="G269" s="91" t="n"/>
      <c r="H269" s="93" t="str">
        <f>IF(Q269=0,"",IF(NOT(ISNUMBER(F269)),"",IF(ISNUMBER(W269),F269*W269,"UNIDADE A CONFERIR")))</f>
        <v/>
      </c>
      <c r="I269" s="91" t="n"/>
      <c r="J269" s="91" t="n"/>
      <c r="K269" s="92" t="n"/>
      <c r="L269" s="91" t="n"/>
      <c r="M269" s="91" t="n"/>
      <c r="N269" s="91" t="n"/>
      <c r="O269" s="91" t="n"/>
      <c r="P269" s="94" t="str">
        <f>IF(Q269=0,"",IF(C269="","Item de resíduo não informado",IF(T269=0,"Item inexistente (referência inválida)",IF(NOT(ISNUMBER(F269)),"Quantidade não informada",IF(F269&lt;=0,"Quantidade não positiva",IF(G269="","Unidade não informada",IF(NOT(ISNUMBER(H269)),"Unidade a conferir",IF(NOT(ISNUMBER(E269)),"Data de recebimento não informada",IF(AND(ISNUMBER(V269),N(V269)&gt;0,E269&lt;N(V269)),"Data anterior à emissão do MTR",IF(AND(J269="Sim",L269="",M269=""),"Conferido sem evidência identificada",IF(J269&lt;&gt;"Sim","Aguardando conferência",IF(INDEX('ITENS_MTR'!$AM$6:$AM$1005,S269)=1,"Conferido (ver diferença no item)","Conferido"))))))))))))</f>
        <v/>
      </c>
      <c r="Q269" s="96">
        <f>IF(COUNTA(C269,E269:G269,I269:O269)&gt;0,1,0)</f>
        <v>0</v>
      </c>
      <c r="R269" s="96" t="str">
        <f>IF(C269="","",TRIM(LEFT(C269,FIND(" |",C269&amp;" |")-1)))</f>
        <v/>
      </c>
      <c r="S269" s="96" t="str">
        <f>IF(R269="","",IFERROR(MATCH(R269,'ITENS_MTR'!$A$6:$A$1005,0),""))</f>
        <v/>
      </c>
      <c r="T269" s="96">
        <f>IF(S269="",0,IF(INDEX('ITENS_MTR'!$R$6:$R$1005,S269)=1,1,0))</f>
        <v>0</v>
      </c>
      <c r="U269" s="96" t="str">
        <f>IF(T269=1,INDEX('ITENS_MTR'!$T$6:$T$1005,S269),"")</f>
        <v/>
      </c>
      <c r="V269" s="97" t="str">
        <f>IF(N(U269)&gt;0,INDEX('MTRs'!$E$6:$E$505,U269),"")</f>
        <v/>
      </c>
      <c r="W269" s="96" t="str">
        <f>IF(G269="","",IFERROR(IF(ISNUMBER(INDEX(cfg_fac,MATCH(G269,cfg_units,0))),IF(INDEX(cfg_fac,MATCH(G269,cfg_units,0))&gt;0,INDEX(cfg_fac,MATCH(G269,cfg_units,0)),""),""),""))</f>
        <v/>
      </c>
      <c r="X269" s="96">
        <f>IF(AND(ISNUMBER(F269),ISNUMBER(H269)),IF(H269&gt;0,1,0),0)</f>
        <v>0</v>
      </c>
      <c r="Y269" s="96">
        <f>IF(Q269=0,0,IF(OR(T269=0,X269=0,NOT(ISNUMBER(E269)),AND(J269="Sim",L269="",M269=""),AND(ISNUMBER(E269),ISNUMBER(V269),N(V269)&gt;0,E269&lt;N(V269))),1,0))</f>
        <v>0</v>
      </c>
      <c r="Z269" s="96">
        <f>IF(AND(Q269=1,T269=1,X269=1,J269="Sim",OR(L269&lt;&gt;"",M269&lt;&gt;"")),1,0)</f>
        <v>0</v>
      </c>
      <c r="AA269" s="96">
        <f>IF(Q269=0,0,IF(AND(OR(r_ini="",AND(ISNUMBER(E269),E269&gt;=r_ini)),OR(r_fim="",AND(ISNUMBER(E269),E269&lt;=r_fim)),OR(r_un="",r_un="(Todas)",IF(N(U269)&gt;0,INDEX('MTRs'!$G$6:$G$505,U269),"")=r_un),OR(r_de="",r_de="(Todos)",D269=r_de)),1,0))</f>
        <v>0</v>
      </c>
      <c r="AB269" s="96" t="str">
        <f>IF(AA269=1,COUNTIF($AA$6:AA269,1),"")</f>
        <v/>
      </c>
    </row>
    <row r="270">
      <c r="A270" s="89" t="inlineStr">
        <is>
          <t>REC-000265</t>
        </is>
      </c>
      <c r="B270" s="94" t="str">
        <f>IF(T270=1,INDEX('ITENS_MTR'!$S$6:$S$1005,S270)&amp;"","")</f>
        <v/>
      </c>
      <c r="C270" s="91" t="n"/>
      <c r="D270" s="94" t="str">
        <f>IF(N(U270)&gt;0,INDEX('MTRs'!$I$6:$I$505,U270)&amp;"","")</f>
        <v/>
      </c>
      <c r="E270" s="92" t="n"/>
      <c r="F270" s="98" t="n"/>
      <c r="G270" s="91" t="n"/>
      <c r="H270" s="93" t="str">
        <f>IF(Q270=0,"",IF(NOT(ISNUMBER(F270)),"",IF(ISNUMBER(W270),F270*W270,"UNIDADE A CONFERIR")))</f>
        <v/>
      </c>
      <c r="I270" s="91" t="n"/>
      <c r="J270" s="91" t="n"/>
      <c r="K270" s="92" t="n"/>
      <c r="L270" s="91" t="n"/>
      <c r="M270" s="91" t="n"/>
      <c r="N270" s="91" t="n"/>
      <c r="O270" s="91" t="n"/>
      <c r="P270" s="94" t="str">
        <f>IF(Q270=0,"",IF(C270="","Item de resíduo não informado",IF(T270=0,"Item inexistente (referência inválida)",IF(NOT(ISNUMBER(F270)),"Quantidade não informada",IF(F270&lt;=0,"Quantidade não positiva",IF(G270="","Unidade não informada",IF(NOT(ISNUMBER(H270)),"Unidade a conferir",IF(NOT(ISNUMBER(E270)),"Data de recebimento não informada",IF(AND(ISNUMBER(V270),N(V270)&gt;0,E270&lt;N(V270)),"Data anterior à emissão do MTR",IF(AND(J270="Sim",L270="",M270=""),"Conferido sem evidência identificada",IF(J270&lt;&gt;"Sim","Aguardando conferência",IF(INDEX('ITENS_MTR'!$AM$6:$AM$1005,S270)=1,"Conferido (ver diferença no item)","Conferido"))))))))))))</f>
        <v/>
      </c>
      <c r="Q270" s="96">
        <f>IF(COUNTA(C270,E270:G270,I270:O270)&gt;0,1,0)</f>
        <v>0</v>
      </c>
      <c r="R270" s="96" t="str">
        <f>IF(C270="","",TRIM(LEFT(C270,FIND(" |",C270&amp;" |")-1)))</f>
        <v/>
      </c>
      <c r="S270" s="96" t="str">
        <f>IF(R270="","",IFERROR(MATCH(R270,'ITENS_MTR'!$A$6:$A$1005,0),""))</f>
        <v/>
      </c>
      <c r="T270" s="96">
        <f>IF(S270="",0,IF(INDEX('ITENS_MTR'!$R$6:$R$1005,S270)=1,1,0))</f>
        <v>0</v>
      </c>
      <c r="U270" s="96" t="str">
        <f>IF(T270=1,INDEX('ITENS_MTR'!$T$6:$T$1005,S270),"")</f>
        <v/>
      </c>
      <c r="V270" s="97" t="str">
        <f>IF(N(U270)&gt;0,INDEX('MTRs'!$E$6:$E$505,U270),"")</f>
        <v/>
      </c>
      <c r="W270" s="96" t="str">
        <f>IF(G270="","",IFERROR(IF(ISNUMBER(INDEX(cfg_fac,MATCH(G270,cfg_units,0))),IF(INDEX(cfg_fac,MATCH(G270,cfg_units,0))&gt;0,INDEX(cfg_fac,MATCH(G270,cfg_units,0)),""),""),""))</f>
        <v/>
      </c>
      <c r="X270" s="96">
        <f>IF(AND(ISNUMBER(F270),ISNUMBER(H270)),IF(H270&gt;0,1,0),0)</f>
        <v>0</v>
      </c>
      <c r="Y270" s="96">
        <f>IF(Q270=0,0,IF(OR(T270=0,X270=0,NOT(ISNUMBER(E270)),AND(J270="Sim",L270="",M270=""),AND(ISNUMBER(E270),ISNUMBER(V270),N(V270)&gt;0,E270&lt;N(V270))),1,0))</f>
        <v>0</v>
      </c>
      <c r="Z270" s="96">
        <f>IF(AND(Q270=1,T270=1,X270=1,J270="Sim",OR(L270&lt;&gt;"",M270&lt;&gt;"")),1,0)</f>
        <v>0</v>
      </c>
      <c r="AA270" s="96">
        <f>IF(Q270=0,0,IF(AND(OR(r_ini="",AND(ISNUMBER(E270),E270&gt;=r_ini)),OR(r_fim="",AND(ISNUMBER(E270),E270&lt;=r_fim)),OR(r_un="",r_un="(Todas)",IF(N(U270)&gt;0,INDEX('MTRs'!$G$6:$G$505,U270),"")=r_un),OR(r_de="",r_de="(Todos)",D270=r_de)),1,0))</f>
        <v>0</v>
      </c>
      <c r="AB270" s="96" t="str">
        <f>IF(AA270=1,COUNTIF($AA$6:AA270,1),"")</f>
        <v/>
      </c>
    </row>
    <row r="271">
      <c r="A271" s="89" t="inlineStr">
        <is>
          <t>REC-000266</t>
        </is>
      </c>
      <c r="B271" s="94" t="str">
        <f>IF(T271=1,INDEX('ITENS_MTR'!$S$6:$S$1005,S271)&amp;"","")</f>
        <v/>
      </c>
      <c r="C271" s="91" t="n"/>
      <c r="D271" s="94" t="str">
        <f>IF(N(U271)&gt;0,INDEX('MTRs'!$I$6:$I$505,U271)&amp;"","")</f>
        <v/>
      </c>
      <c r="E271" s="92" t="n"/>
      <c r="F271" s="98" t="n"/>
      <c r="G271" s="91" t="n"/>
      <c r="H271" s="93" t="str">
        <f>IF(Q271=0,"",IF(NOT(ISNUMBER(F271)),"",IF(ISNUMBER(W271),F271*W271,"UNIDADE A CONFERIR")))</f>
        <v/>
      </c>
      <c r="I271" s="91" t="n"/>
      <c r="J271" s="91" t="n"/>
      <c r="K271" s="92" t="n"/>
      <c r="L271" s="91" t="n"/>
      <c r="M271" s="91" t="n"/>
      <c r="N271" s="91" t="n"/>
      <c r="O271" s="91" t="n"/>
      <c r="P271" s="94" t="str">
        <f>IF(Q271=0,"",IF(C271="","Item de resíduo não informado",IF(T271=0,"Item inexistente (referência inválida)",IF(NOT(ISNUMBER(F271)),"Quantidade não informada",IF(F271&lt;=0,"Quantidade não positiva",IF(G271="","Unidade não informada",IF(NOT(ISNUMBER(H271)),"Unidade a conferir",IF(NOT(ISNUMBER(E271)),"Data de recebimento não informada",IF(AND(ISNUMBER(V271),N(V271)&gt;0,E271&lt;N(V271)),"Data anterior à emissão do MTR",IF(AND(J271="Sim",L271="",M271=""),"Conferido sem evidência identificada",IF(J271&lt;&gt;"Sim","Aguardando conferência",IF(INDEX('ITENS_MTR'!$AM$6:$AM$1005,S271)=1,"Conferido (ver diferença no item)","Conferido"))))))))))))</f>
        <v/>
      </c>
      <c r="Q271" s="96">
        <f>IF(COUNTA(C271,E271:G271,I271:O271)&gt;0,1,0)</f>
        <v>0</v>
      </c>
      <c r="R271" s="96" t="str">
        <f>IF(C271="","",TRIM(LEFT(C271,FIND(" |",C271&amp;" |")-1)))</f>
        <v/>
      </c>
      <c r="S271" s="96" t="str">
        <f>IF(R271="","",IFERROR(MATCH(R271,'ITENS_MTR'!$A$6:$A$1005,0),""))</f>
        <v/>
      </c>
      <c r="T271" s="96">
        <f>IF(S271="",0,IF(INDEX('ITENS_MTR'!$R$6:$R$1005,S271)=1,1,0))</f>
        <v>0</v>
      </c>
      <c r="U271" s="96" t="str">
        <f>IF(T271=1,INDEX('ITENS_MTR'!$T$6:$T$1005,S271),"")</f>
        <v/>
      </c>
      <c r="V271" s="97" t="str">
        <f>IF(N(U271)&gt;0,INDEX('MTRs'!$E$6:$E$505,U271),"")</f>
        <v/>
      </c>
      <c r="W271" s="96" t="str">
        <f>IF(G271="","",IFERROR(IF(ISNUMBER(INDEX(cfg_fac,MATCH(G271,cfg_units,0))),IF(INDEX(cfg_fac,MATCH(G271,cfg_units,0))&gt;0,INDEX(cfg_fac,MATCH(G271,cfg_units,0)),""),""),""))</f>
        <v/>
      </c>
      <c r="X271" s="96">
        <f>IF(AND(ISNUMBER(F271),ISNUMBER(H271)),IF(H271&gt;0,1,0),0)</f>
        <v>0</v>
      </c>
      <c r="Y271" s="96">
        <f>IF(Q271=0,0,IF(OR(T271=0,X271=0,NOT(ISNUMBER(E271)),AND(J271="Sim",L271="",M271=""),AND(ISNUMBER(E271),ISNUMBER(V271),N(V271)&gt;0,E271&lt;N(V271))),1,0))</f>
        <v>0</v>
      </c>
      <c r="Z271" s="96">
        <f>IF(AND(Q271=1,T271=1,X271=1,J271="Sim",OR(L271&lt;&gt;"",M271&lt;&gt;"")),1,0)</f>
        <v>0</v>
      </c>
      <c r="AA271" s="96">
        <f>IF(Q271=0,0,IF(AND(OR(r_ini="",AND(ISNUMBER(E271),E271&gt;=r_ini)),OR(r_fim="",AND(ISNUMBER(E271),E271&lt;=r_fim)),OR(r_un="",r_un="(Todas)",IF(N(U271)&gt;0,INDEX('MTRs'!$G$6:$G$505,U271),"")=r_un),OR(r_de="",r_de="(Todos)",D271=r_de)),1,0))</f>
        <v>0</v>
      </c>
      <c r="AB271" s="96" t="str">
        <f>IF(AA271=1,COUNTIF($AA$6:AA271,1),"")</f>
        <v/>
      </c>
    </row>
    <row r="272">
      <c r="A272" s="89" t="inlineStr">
        <is>
          <t>REC-000267</t>
        </is>
      </c>
      <c r="B272" s="94" t="str">
        <f>IF(T272=1,INDEX('ITENS_MTR'!$S$6:$S$1005,S272)&amp;"","")</f>
        <v/>
      </c>
      <c r="C272" s="91" t="n"/>
      <c r="D272" s="94" t="str">
        <f>IF(N(U272)&gt;0,INDEX('MTRs'!$I$6:$I$505,U272)&amp;"","")</f>
        <v/>
      </c>
      <c r="E272" s="92" t="n"/>
      <c r="F272" s="98" t="n"/>
      <c r="G272" s="91" t="n"/>
      <c r="H272" s="93" t="str">
        <f>IF(Q272=0,"",IF(NOT(ISNUMBER(F272)),"",IF(ISNUMBER(W272),F272*W272,"UNIDADE A CONFERIR")))</f>
        <v/>
      </c>
      <c r="I272" s="91" t="n"/>
      <c r="J272" s="91" t="n"/>
      <c r="K272" s="92" t="n"/>
      <c r="L272" s="91" t="n"/>
      <c r="M272" s="91" t="n"/>
      <c r="N272" s="91" t="n"/>
      <c r="O272" s="91" t="n"/>
      <c r="P272" s="94" t="str">
        <f>IF(Q272=0,"",IF(C272="","Item de resíduo não informado",IF(T272=0,"Item inexistente (referência inválida)",IF(NOT(ISNUMBER(F272)),"Quantidade não informada",IF(F272&lt;=0,"Quantidade não positiva",IF(G272="","Unidade não informada",IF(NOT(ISNUMBER(H272)),"Unidade a conferir",IF(NOT(ISNUMBER(E272)),"Data de recebimento não informada",IF(AND(ISNUMBER(V272),N(V272)&gt;0,E272&lt;N(V272)),"Data anterior à emissão do MTR",IF(AND(J272="Sim",L272="",M272=""),"Conferido sem evidência identificada",IF(J272&lt;&gt;"Sim","Aguardando conferência",IF(INDEX('ITENS_MTR'!$AM$6:$AM$1005,S272)=1,"Conferido (ver diferença no item)","Conferido"))))))))))))</f>
        <v/>
      </c>
      <c r="Q272" s="96">
        <f>IF(COUNTA(C272,E272:G272,I272:O272)&gt;0,1,0)</f>
        <v>0</v>
      </c>
      <c r="R272" s="96" t="str">
        <f>IF(C272="","",TRIM(LEFT(C272,FIND(" |",C272&amp;" |")-1)))</f>
        <v/>
      </c>
      <c r="S272" s="96" t="str">
        <f>IF(R272="","",IFERROR(MATCH(R272,'ITENS_MTR'!$A$6:$A$1005,0),""))</f>
        <v/>
      </c>
      <c r="T272" s="96">
        <f>IF(S272="",0,IF(INDEX('ITENS_MTR'!$R$6:$R$1005,S272)=1,1,0))</f>
        <v>0</v>
      </c>
      <c r="U272" s="96" t="str">
        <f>IF(T272=1,INDEX('ITENS_MTR'!$T$6:$T$1005,S272),"")</f>
        <v/>
      </c>
      <c r="V272" s="97" t="str">
        <f>IF(N(U272)&gt;0,INDEX('MTRs'!$E$6:$E$505,U272),"")</f>
        <v/>
      </c>
      <c r="W272" s="96" t="str">
        <f>IF(G272="","",IFERROR(IF(ISNUMBER(INDEX(cfg_fac,MATCH(G272,cfg_units,0))),IF(INDEX(cfg_fac,MATCH(G272,cfg_units,0))&gt;0,INDEX(cfg_fac,MATCH(G272,cfg_units,0)),""),""),""))</f>
        <v/>
      </c>
      <c r="X272" s="96">
        <f>IF(AND(ISNUMBER(F272),ISNUMBER(H272)),IF(H272&gt;0,1,0),0)</f>
        <v>0</v>
      </c>
      <c r="Y272" s="96">
        <f>IF(Q272=0,0,IF(OR(T272=0,X272=0,NOT(ISNUMBER(E272)),AND(J272="Sim",L272="",M272=""),AND(ISNUMBER(E272),ISNUMBER(V272),N(V272)&gt;0,E272&lt;N(V272))),1,0))</f>
        <v>0</v>
      </c>
      <c r="Z272" s="96">
        <f>IF(AND(Q272=1,T272=1,X272=1,J272="Sim",OR(L272&lt;&gt;"",M272&lt;&gt;"")),1,0)</f>
        <v>0</v>
      </c>
      <c r="AA272" s="96">
        <f>IF(Q272=0,0,IF(AND(OR(r_ini="",AND(ISNUMBER(E272),E272&gt;=r_ini)),OR(r_fim="",AND(ISNUMBER(E272),E272&lt;=r_fim)),OR(r_un="",r_un="(Todas)",IF(N(U272)&gt;0,INDEX('MTRs'!$G$6:$G$505,U272),"")=r_un),OR(r_de="",r_de="(Todos)",D272=r_de)),1,0))</f>
        <v>0</v>
      </c>
      <c r="AB272" s="96" t="str">
        <f>IF(AA272=1,COUNTIF($AA$6:AA272,1),"")</f>
        <v/>
      </c>
    </row>
    <row r="273">
      <c r="A273" s="89" t="inlineStr">
        <is>
          <t>REC-000268</t>
        </is>
      </c>
      <c r="B273" s="94" t="str">
        <f>IF(T273=1,INDEX('ITENS_MTR'!$S$6:$S$1005,S273)&amp;"","")</f>
        <v/>
      </c>
      <c r="C273" s="91" t="n"/>
      <c r="D273" s="94" t="str">
        <f>IF(N(U273)&gt;0,INDEX('MTRs'!$I$6:$I$505,U273)&amp;"","")</f>
        <v/>
      </c>
      <c r="E273" s="92" t="n"/>
      <c r="F273" s="98" t="n"/>
      <c r="G273" s="91" t="n"/>
      <c r="H273" s="93" t="str">
        <f>IF(Q273=0,"",IF(NOT(ISNUMBER(F273)),"",IF(ISNUMBER(W273),F273*W273,"UNIDADE A CONFERIR")))</f>
        <v/>
      </c>
      <c r="I273" s="91" t="n"/>
      <c r="J273" s="91" t="n"/>
      <c r="K273" s="92" t="n"/>
      <c r="L273" s="91" t="n"/>
      <c r="M273" s="91" t="n"/>
      <c r="N273" s="91" t="n"/>
      <c r="O273" s="91" t="n"/>
      <c r="P273" s="94" t="str">
        <f>IF(Q273=0,"",IF(C273="","Item de resíduo não informado",IF(T273=0,"Item inexistente (referência inválida)",IF(NOT(ISNUMBER(F273)),"Quantidade não informada",IF(F273&lt;=0,"Quantidade não positiva",IF(G273="","Unidade não informada",IF(NOT(ISNUMBER(H273)),"Unidade a conferir",IF(NOT(ISNUMBER(E273)),"Data de recebimento não informada",IF(AND(ISNUMBER(V273),N(V273)&gt;0,E273&lt;N(V273)),"Data anterior à emissão do MTR",IF(AND(J273="Sim",L273="",M273=""),"Conferido sem evidência identificada",IF(J273&lt;&gt;"Sim","Aguardando conferência",IF(INDEX('ITENS_MTR'!$AM$6:$AM$1005,S273)=1,"Conferido (ver diferença no item)","Conferido"))))))))))))</f>
        <v/>
      </c>
      <c r="Q273" s="96">
        <f>IF(COUNTA(C273,E273:G273,I273:O273)&gt;0,1,0)</f>
        <v>0</v>
      </c>
      <c r="R273" s="96" t="str">
        <f>IF(C273="","",TRIM(LEFT(C273,FIND(" |",C273&amp;" |")-1)))</f>
        <v/>
      </c>
      <c r="S273" s="96" t="str">
        <f>IF(R273="","",IFERROR(MATCH(R273,'ITENS_MTR'!$A$6:$A$1005,0),""))</f>
        <v/>
      </c>
      <c r="T273" s="96">
        <f>IF(S273="",0,IF(INDEX('ITENS_MTR'!$R$6:$R$1005,S273)=1,1,0))</f>
        <v>0</v>
      </c>
      <c r="U273" s="96" t="str">
        <f>IF(T273=1,INDEX('ITENS_MTR'!$T$6:$T$1005,S273),"")</f>
        <v/>
      </c>
      <c r="V273" s="97" t="str">
        <f>IF(N(U273)&gt;0,INDEX('MTRs'!$E$6:$E$505,U273),"")</f>
        <v/>
      </c>
      <c r="W273" s="96" t="str">
        <f>IF(G273="","",IFERROR(IF(ISNUMBER(INDEX(cfg_fac,MATCH(G273,cfg_units,0))),IF(INDEX(cfg_fac,MATCH(G273,cfg_units,0))&gt;0,INDEX(cfg_fac,MATCH(G273,cfg_units,0)),""),""),""))</f>
        <v/>
      </c>
      <c r="X273" s="96">
        <f>IF(AND(ISNUMBER(F273),ISNUMBER(H273)),IF(H273&gt;0,1,0),0)</f>
        <v>0</v>
      </c>
      <c r="Y273" s="96">
        <f>IF(Q273=0,0,IF(OR(T273=0,X273=0,NOT(ISNUMBER(E273)),AND(J273="Sim",L273="",M273=""),AND(ISNUMBER(E273),ISNUMBER(V273),N(V273)&gt;0,E273&lt;N(V273))),1,0))</f>
        <v>0</v>
      </c>
      <c r="Z273" s="96">
        <f>IF(AND(Q273=1,T273=1,X273=1,J273="Sim",OR(L273&lt;&gt;"",M273&lt;&gt;"")),1,0)</f>
        <v>0</v>
      </c>
      <c r="AA273" s="96">
        <f>IF(Q273=0,0,IF(AND(OR(r_ini="",AND(ISNUMBER(E273),E273&gt;=r_ini)),OR(r_fim="",AND(ISNUMBER(E273),E273&lt;=r_fim)),OR(r_un="",r_un="(Todas)",IF(N(U273)&gt;0,INDEX('MTRs'!$G$6:$G$505,U273),"")=r_un),OR(r_de="",r_de="(Todos)",D273=r_de)),1,0))</f>
        <v>0</v>
      </c>
      <c r="AB273" s="96" t="str">
        <f>IF(AA273=1,COUNTIF($AA$6:AA273,1),"")</f>
        <v/>
      </c>
    </row>
    <row r="274">
      <c r="A274" s="89" t="inlineStr">
        <is>
          <t>REC-000269</t>
        </is>
      </c>
      <c r="B274" s="94" t="str">
        <f>IF(T274=1,INDEX('ITENS_MTR'!$S$6:$S$1005,S274)&amp;"","")</f>
        <v/>
      </c>
      <c r="C274" s="91" t="n"/>
      <c r="D274" s="94" t="str">
        <f>IF(N(U274)&gt;0,INDEX('MTRs'!$I$6:$I$505,U274)&amp;"","")</f>
        <v/>
      </c>
      <c r="E274" s="92" t="n"/>
      <c r="F274" s="98" t="n"/>
      <c r="G274" s="91" t="n"/>
      <c r="H274" s="93" t="str">
        <f>IF(Q274=0,"",IF(NOT(ISNUMBER(F274)),"",IF(ISNUMBER(W274),F274*W274,"UNIDADE A CONFERIR")))</f>
        <v/>
      </c>
      <c r="I274" s="91" t="n"/>
      <c r="J274" s="91" t="n"/>
      <c r="K274" s="92" t="n"/>
      <c r="L274" s="91" t="n"/>
      <c r="M274" s="91" t="n"/>
      <c r="N274" s="91" t="n"/>
      <c r="O274" s="91" t="n"/>
      <c r="P274" s="94" t="str">
        <f>IF(Q274=0,"",IF(C274="","Item de resíduo não informado",IF(T274=0,"Item inexistente (referência inválida)",IF(NOT(ISNUMBER(F274)),"Quantidade não informada",IF(F274&lt;=0,"Quantidade não positiva",IF(G274="","Unidade não informada",IF(NOT(ISNUMBER(H274)),"Unidade a conferir",IF(NOT(ISNUMBER(E274)),"Data de recebimento não informada",IF(AND(ISNUMBER(V274),N(V274)&gt;0,E274&lt;N(V274)),"Data anterior à emissão do MTR",IF(AND(J274="Sim",L274="",M274=""),"Conferido sem evidência identificada",IF(J274&lt;&gt;"Sim","Aguardando conferência",IF(INDEX('ITENS_MTR'!$AM$6:$AM$1005,S274)=1,"Conferido (ver diferença no item)","Conferido"))))))))))))</f>
        <v/>
      </c>
      <c r="Q274" s="96">
        <f>IF(COUNTA(C274,E274:G274,I274:O274)&gt;0,1,0)</f>
        <v>0</v>
      </c>
      <c r="R274" s="96" t="str">
        <f>IF(C274="","",TRIM(LEFT(C274,FIND(" |",C274&amp;" |")-1)))</f>
        <v/>
      </c>
      <c r="S274" s="96" t="str">
        <f>IF(R274="","",IFERROR(MATCH(R274,'ITENS_MTR'!$A$6:$A$1005,0),""))</f>
        <v/>
      </c>
      <c r="T274" s="96">
        <f>IF(S274="",0,IF(INDEX('ITENS_MTR'!$R$6:$R$1005,S274)=1,1,0))</f>
        <v>0</v>
      </c>
      <c r="U274" s="96" t="str">
        <f>IF(T274=1,INDEX('ITENS_MTR'!$T$6:$T$1005,S274),"")</f>
        <v/>
      </c>
      <c r="V274" s="97" t="str">
        <f>IF(N(U274)&gt;0,INDEX('MTRs'!$E$6:$E$505,U274),"")</f>
        <v/>
      </c>
      <c r="W274" s="96" t="str">
        <f>IF(G274="","",IFERROR(IF(ISNUMBER(INDEX(cfg_fac,MATCH(G274,cfg_units,0))),IF(INDEX(cfg_fac,MATCH(G274,cfg_units,0))&gt;0,INDEX(cfg_fac,MATCH(G274,cfg_units,0)),""),""),""))</f>
        <v/>
      </c>
      <c r="X274" s="96">
        <f>IF(AND(ISNUMBER(F274),ISNUMBER(H274)),IF(H274&gt;0,1,0),0)</f>
        <v>0</v>
      </c>
      <c r="Y274" s="96">
        <f>IF(Q274=0,0,IF(OR(T274=0,X274=0,NOT(ISNUMBER(E274)),AND(J274="Sim",L274="",M274=""),AND(ISNUMBER(E274),ISNUMBER(V274),N(V274)&gt;0,E274&lt;N(V274))),1,0))</f>
        <v>0</v>
      </c>
      <c r="Z274" s="96">
        <f>IF(AND(Q274=1,T274=1,X274=1,J274="Sim",OR(L274&lt;&gt;"",M274&lt;&gt;"")),1,0)</f>
        <v>0</v>
      </c>
      <c r="AA274" s="96">
        <f>IF(Q274=0,0,IF(AND(OR(r_ini="",AND(ISNUMBER(E274),E274&gt;=r_ini)),OR(r_fim="",AND(ISNUMBER(E274),E274&lt;=r_fim)),OR(r_un="",r_un="(Todas)",IF(N(U274)&gt;0,INDEX('MTRs'!$G$6:$G$505,U274),"")=r_un),OR(r_de="",r_de="(Todos)",D274=r_de)),1,0))</f>
        <v>0</v>
      </c>
      <c r="AB274" s="96" t="str">
        <f>IF(AA274=1,COUNTIF($AA$6:AA274,1),"")</f>
        <v/>
      </c>
    </row>
    <row r="275">
      <c r="A275" s="89" t="inlineStr">
        <is>
          <t>REC-000270</t>
        </is>
      </c>
      <c r="B275" s="94" t="str">
        <f>IF(T275=1,INDEX('ITENS_MTR'!$S$6:$S$1005,S275)&amp;"","")</f>
        <v/>
      </c>
      <c r="C275" s="91" t="n"/>
      <c r="D275" s="94" t="str">
        <f>IF(N(U275)&gt;0,INDEX('MTRs'!$I$6:$I$505,U275)&amp;"","")</f>
        <v/>
      </c>
      <c r="E275" s="92" t="n"/>
      <c r="F275" s="98" t="n"/>
      <c r="G275" s="91" t="n"/>
      <c r="H275" s="93" t="str">
        <f>IF(Q275=0,"",IF(NOT(ISNUMBER(F275)),"",IF(ISNUMBER(W275),F275*W275,"UNIDADE A CONFERIR")))</f>
        <v/>
      </c>
      <c r="I275" s="91" t="n"/>
      <c r="J275" s="91" t="n"/>
      <c r="K275" s="92" t="n"/>
      <c r="L275" s="91" t="n"/>
      <c r="M275" s="91" t="n"/>
      <c r="N275" s="91" t="n"/>
      <c r="O275" s="91" t="n"/>
      <c r="P275" s="94" t="str">
        <f>IF(Q275=0,"",IF(C275="","Item de resíduo não informado",IF(T275=0,"Item inexistente (referência inválida)",IF(NOT(ISNUMBER(F275)),"Quantidade não informada",IF(F275&lt;=0,"Quantidade não positiva",IF(G275="","Unidade não informada",IF(NOT(ISNUMBER(H275)),"Unidade a conferir",IF(NOT(ISNUMBER(E275)),"Data de recebimento não informada",IF(AND(ISNUMBER(V275),N(V275)&gt;0,E275&lt;N(V275)),"Data anterior à emissão do MTR",IF(AND(J275="Sim",L275="",M275=""),"Conferido sem evidência identificada",IF(J275&lt;&gt;"Sim","Aguardando conferência",IF(INDEX('ITENS_MTR'!$AM$6:$AM$1005,S275)=1,"Conferido (ver diferença no item)","Conferido"))))))))))))</f>
        <v/>
      </c>
      <c r="Q275" s="96">
        <f>IF(COUNTA(C275,E275:G275,I275:O275)&gt;0,1,0)</f>
        <v>0</v>
      </c>
      <c r="R275" s="96" t="str">
        <f>IF(C275="","",TRIM(LEFT(C275,FIND(" |",C275&amp;" |")-1)))</f>
        <v/>
      </c>
      <c r="S275" s="96" t="str">
        <f>IF(R275="","",IFERROR(MATCH(R275,'ITENS_MTR'!$A$6:$A$1005,0),""))</f>
        <v/>
      </c>
      <c r="T275" s="96">
        <f>IF(S275="",0,IF(INDEX('ITENS_MTR'!$R$6:$R$1005,S275)=1,1,0))</f>
        <v>0</v>
      </c>
      <c r="U275" s="96" t="str">
        <f>IF(T275=1,INDEX('ITENS_MTR'!$T$6:$T$1005,S275),"")</f>
        <v/>
      </c>
      <c r="V275" s="97" t="str">
        <f>IF(N(U275)&gt;0,INDEX('MTRs'!$E$6:$E$505,U275),"")</f>
        <v/>
      </c>
      <c r="W275" s="96" t="str">
        <f>IF(G275="","",IFERROR(IF(ISNUMBER(INDEX(cfg_fac,MATCH(G275,cfg_units,0))),IF(INDEX(cfg_fac,MATCH(G275,cfg_units,0))&gt;0,INDEX(cfg_fac,MATCH(G275,cfg_units,0)),""),""),""))</f>
        <v/>
      </c>
      <c r="X275" s="96">
        <f>IF(AND(ISNUMBER(F275),ISNUMBER(H275)),IF(H275&gt;0,1,0),0)</f>
        <v>0</v>
      </c>
      <c r="Y275" s="96">
        <f>IF(Q275=0,0,IF(OR(T275=0,X275=0,NOT(ISNUMBER(E275)),AND(J275="Sim",L275="",M275=""),AND(ISNUMBER(E275),ISNUMBER(V275),N(V275)&gt;0,E275&lt;N(V275))),1,0))</f>
        <v>0</v>
      </c>
      <c r="Z275" s="96">
        <f>IF(AND(Q275=1,T275=1,X275=1,J275="Sim",OR(L275&lt;&gt;"",M275&lt;&gt;"")),1,0)</f>
        <v>0</v>
      </c>
      <c r="AA275" s="96">
        <f>IF(Q275=0,0,IF(AND(OR(r_ini="",AND(ISNUMBER(E275),E275&gt;=r_ini)),OR(r_fim="",AND(ISNUMBER(E275),E275&lt;=r_fim)),OR(r_un="",r_un="(Todas)",IF(N(U275)&gt;0,INDEX('MTRs'!$G$6:$G$505,U275),"")=r_un),OR(r_de="",r_de="(Todos)",D275=r_de)),1,0))</f>
        <v>0</v>
      </c>
      <c r="AB275" s="96" t="str">
        <f>IF(AA275=1,COUNTIF($AA$6:AA275,1),"")</f>
        <v/>
      </c>
    </row>
    <row r="276">
      <c r="A276" s="89" t="inlineStr">
        <is>
          <t>REC-000271</t>
        </is>
      </c>
      <c r="B276" s="94" t="str">
        <f>IF(T276=1,INDEX('ITENS_MTR'!$S$6:$S$1005,S276)&amp;"","")</f>
        <v/>
      </c>
      <c r="C276" s="91" t="n"/>
      <c r="D276" s="94" t="str">
        <f>IF(N(U276)&gt;0,INDEX('MTRs'!$I$6:$I$505,U276)&amp;"","")</f>
        <v/>
      </c>
      <c r="E276" s="92" t="n"/>
      <c r="F276" s="98" t="n"/>
      <c r="G276" s="91" t="n"/>
      <c r="H276" s="93" t="str">
        <f>IF(Q276=0,"",IF(NOT(ISNUMBER(F276)),"",IF(ISNUMBER(W276),F276*W276,"UNIDADE A CONFERIR")))</f>
        <v/>
      </c>
      <c r="I276" s="91" t="n"/>
      <c r="J276" s="91" t="n"/>
      <c r="K276" s="92" t="n"/>
      <c r="L276" s="91" t="n"/>
      <c r="M276" s="91" t="n"/>
      <c r="N276" s="91" t="n"/>
      <c r="O276" s="91" t="n"/>
      <c r="P276" s="94" t="str">
        <f>IF(Q276=0,"",IF(C276="","Item de resíduo não informado",IF(T276=0,"Item inexistente (referência inválida)",IF(NOT(ISNUMBER(F276)),"Quantidade não informada",IF(F276&lt;=0,"Quantidade não positiva",IF(G276="","Unidade não informada",IF(NOT(ISNUMBER(H276)),"Unidade a conferir",IF(NOT(ISNUMBER(E276)),"Data de recebimento não informada",IF(AND(ISNUMBER(V276),N(V276)&gt;0,E276&lt;N(V276)),"Data anterior à emissão do MTR",IF(AND(J276="Sim",L276="",M276=""),"Conferido sem evidência identificada",IF(J276&lt;&gt;"Sim","Aguardando conferência",IF(INDEX('ITENS_MTR'!$AM$6:$AM$1005,S276)=1,"Conferido (ver diferença no item)","Conferido"))))))))))))</f>
        <v/>
      </c>
      <c r="Q276" s="96">
        <f>IF(COUNTA(C276,E276:G276,I276:O276)&gt;0,1,0)</f>
        <v>0</v>
      </c>
      <c r="R276" s="96" t="str">
        <f>IF(C276="","",TRIM(LEFT(C276,FIND(" |",C276&amp;" |")-1)))</f>
        <v/>
      </c>
      <c r="S276" s="96" t="str">
        <f>IF(R276="","",IFERROR(MATCH(R276,'ITENS_MTR'!$A$6:$A$1005,0),""))</f>
        <v/>
      </c>
      <c r="T276" s="96">
        <f>IF(S276="",0,IF(INDEX('ITENS_MTR'!$R$6:$R$1005,S276)=1,1,0))</f>
        <v>0</v>
      </c>
      <c r="U276" s="96" t="str">
        <f>IF(T276=1,INDEX('ITENS_MTR'!$T$6:$T$1005,S276),"")</f>
        <v/>
      </c>
      <c r="V276" s="97" t="str">
        <f>IF(N(U276)&gt;0,INDEX('MTRs'!$E$6:$E$505,U276),"")</f>
        <v/>
      </c>
      <c r="W276" s="96" t="str">
        <f>IF(G276="","",IFERROR(IF(ISNUMBER(INDEX(cfg_fac,MATCH(G276,cfg_units,0))),IF(INDEX(cfg_fac,MATCH(G276,cfg_units,0))&gt;0,INDEX(cfg_fac,MATCH(G276,cfg_units,0)),""),""),""))</f>
        <v/>
      </c>
      <c r="X276" s="96">
        <f>IF(AND(ISNUMBER(F276),ISNUMBER(H276)),IF(H276&gt;0,1,0),0)</f>
        <v>0</v>
      </c>
      <c r="Y276" s="96">
        <f>IF(Q276=0,0,IF(OR(T276=0,X276=0,NOT(ISNUMBER(E276)),AND(J276="Sim",L276="",M276=""),AND(ISNUMBER(E276),ISNUMBER(V276),N(V276)&gt;0,E276&lt;N(V276))),1,0))</f>
        <v>0</v>
      </c>
      <c r="Z276" s="96">
        <f>IF(AND(Q276=1,T276=1,X276=1,J276="Sim",OR(L276&lt;&gt;"",M276&lt;&gt;"")),1,0)</f>
        <v>0</v>
      </c>
      <c r="AA276" s="96">
        <f>IF(Q276=0,0,IF(AND(OR(r_ini="",AND(ISNUMBER(E276),E276&gt;=r_ini)),OR(r_fim="",AND(ISNUMBER(E276),E276&lt;=r_fim)),OR(r_un="",r_un="(Todas)",IF(N(U276)&gt;0,INDEX('MTRs'!$G$6:$G$505,U276),"")=r_un),OR(r_de="",r_de="(Todos)",D276=r_de)),1,0))</f>
        <v>0</v>
      </c>
      <c r="AB276" s="96" t="str">
        <f>IF(AA276=1,COUNTIF($AA$6:AA276,1),"")</f>
        <v/>
      </c>
    </row>
    <row r="277">
      <c r="A277" s="89" t="inlineStr">
        <is>
          <t>REC-000272</t>
        </is>
      </c>
      <c r="B277" s="94" t="str">
        <f>IF(T277=1,INDEX('ITENS_MTR'!$S$6:$S$1005,S277)&amp;"","")</f>
        <v/>
      </c>
      <c r="C277" s="91" t="n"/>
      <c r="D277" s="94" t="str">
        <f>IF(N(U277)&gt;0,INDEX('MTRs'!$I$6:$I$505,U277)&amp;"","")</f>
        <v/>
      </c>
      <c r="E277" s="92" t="n"/>
      <c r="F277" s="98" t="n"/>
      <c r="G277" s="91" t="n"/>
      <c r="H277" s="93" t="str">
        <f>IF(Q277=0,"",IF(NOT(ISNUMBER(F277)),"",IF(ISNUMBER(W277),F277*W277,"UNIDADE A CONFERIR")))</f>
        <v/>
      </c>
      <c r="I277" s="91" t="n"/>
      <c r="J277" s="91" t="n"/>
      <c r="K277" s="92" t="n"/>
      <c r="L277" s="91" t="n"/>
      <c r="M277" s="91" t="n"/>
      <c r="N277" s="91" t="n"/>
      <c r="O277" s="91" t="n"/>
      <c r="P277" s="94" t="str">
        <f>IF(Q277=0,"",IF(C277="","Item de resíduo não informado",IF(T277=0,"Item inexistente (referência inválida)",IF(NOT(ISNUMBER(F277)),"Quantidade não informada",IF(F277&lt;=0,"Quantidade não positiva",IF(G277="","Unidade não informada",IF(NOT(ISNUMBER(H277)),"Unidade a conferir",IF(NOT(ISNUMBER(E277)),"Data de recebimento não informada",IF(AND(ISNUMBER(V277),N(V277)&gt;0,E277&lt;N(V277)),"Data anterior à emissão do MTR",IF(AND(J277="Sim",L277="",M277=""),"Conferido sem evidência identificada",IF(J277&lt;&gt;"Sim","Aguardando conferência",IF(INDEX('ITENS_MTR'!$AM$6:$AM$1005,S277)=1,"Conferido (ver diferença no item)","Conferido"))))))))))))</f>
        <v/>
      </c>
      <c r="Q277" s="96">
        <f>IF(COUNTA(C277,E277:G277,I277:O277)&gt;0,1,0)</f>
        <v>0</v>
      </c>
      <c r="R277" s="96" t="str">
        <f>IF(C277="","",TRIM(LEFT(C277,FIND(" |",C277&amp;" |")-1)))</f>
        <v/>
      </c>
      <c r="S277" s="96" t="str">
        <f>IF(R277="","",IFERROR(MATCH(R277,'ITENS_MTR'!$A$6:$A$1005,0),""))</f>
        <v/>
      </c>
      <c r="T277" s="96">
        <f>IF(S277="",0,IF(INDEX('ITENS_MTR'!$R$6:$R$1005,S277)=1,1,0))</f>
        <v>0</v>
      </c>
      <c r="U277" s="96" t="str">
        <f>IF(T277=1,INDEX('ITENS_MTR'!$T$6:$T$1005,S277),"")</f>
        <v/>
      </c>
      <c r="V277" s="97" t="str">
        <f>IF(N(U277)&gt;0,INDEX('MTRs'!$E$6:$E$505,U277),"")</f>
        <v/>
      </c>
      <c r="W277" s="96" t="str">
        <f>IF(G277="","",IFERROR(IF(ISNUMBER(INDEX(cfg_fac,MATCH(G277,cfg_units,0))),IF(INDEX(cfg_fac,MATCH(G277,cfg_units,0))&gt;0,INDEX(cfg_fac,MATCH(G277,cfg_units,0)),""),""),""))</f>
        <v/>
      </c>
      <c r="X277" s="96">
        <f>IF(AND(ISNUMBER(F277),ISNUMBER(H277)),IF(H277&gt;0,1,0),0)</f>
        <v>0</v>
      </c>
      <c r="Y277" s="96">
        <f>IF(Q277=0,0,IF(OR(T277=0,X277=0,NOT(ISNUMBER(E277)),AND(J277="Sim",L277="",M277=""),AND(ISNUMBER(E277),ISNUMBER(V277),N(V277)&gt;0,E277&lt;N(V277))),1,0))</f>
        <v>0</v>
      </c>
      <c r="Z277" s="96">
        <f>IF(AND(Q277=1,T277=1,X277=1,J277="Sim",OR(L277&lt;&gt;"",M277&lt;&gt;"")),1,0)</f>
        <v>0</v>
      </c>
      <c r="AA277" s="96">
        <f>IF(Q277=0,0,IF(AND(OR(r_ini="",AND(ISNUMBER(E277),E277&gt;=r_ini)),OR(r_fim="",AND(ISNUMBER(E277),E277&lt;=r_fim)),OR(r_un="",r_un="(Todas)",IF(N(U277)&gt;0,INDEX('MTRs'!$G$6:$G$505,U277),"")=r_un),OR(r_de="",r_de="(Todos)",D277=r_de)),1,0))</f>
        <v>0</v>
      </c>
      <c r="AB277" s="96" t="str">
        <f>IF(AA277=1,COUNTIF($AA$6:AA277,1),"")</f>
        <v/>
      </c>
    </row>
    <row r="278">
      <c r="A278" s="89" t="inlineStr">
        <is>
          <t>REC-000273</t>
        </is>
      </c>
      <c r="B278" s="94" t="str">
        <f>IF(T278=1,INDEX('ITENS_MTR'!$S$6:$S$1005,S278)&amp;"","")</f>
        <v/>
      </c>
      <c r="C278" s="91" t="n"/>
      <c r="D278" s="94" t="str">
        <f>IF(N(U278)&gt;0,INDEX('MTRs'!$I$6:$I$505,U278)&amp;"","")</f>
        <v/>
      </c>
      <c r="E278" s="92" t="n"/>
      <c r="F278" s="98" t="n"/>
      <c r="G278" s="91" t="n"/>
      <c r="H278" s="93" t="str">
        <f>IF(Q278=0,"",IF(NOT(ISNUMBER(F278)),"",IF(ISNUMBER(W278),F278*W278,"UNIDADE A CONFERIR")))</f>
        <v/>
      </c>
      <c r="I278" s="91" t="n"/>
      <c r="J278" s="91" t="n"/>
      <c r="K278" s="92" t="n"/>
      <c r="L278" s="91" t="n"/>
      <c r="M278" s="91" t="n"/>
      <c r="N278" s="91" t="n"/>
      <c r="O278" s="91" t="n"/>
      <c r="P278" s="94" t="str">
        <f>IF(Q278=0,"",IF(C278="","Item de resíduo não informado",IF(T278=0,"Item inexistente (referência inválida)",IF(NOT(ISNUMBER(F278)),"Quantidade não informada",IF(F278&lt;=0,"Quantidade não positiva",IF(G278="","Unidade não informada",IF(NOT(ISNUMBER(H278)),"Unidade a conferir",IF(NOT(ISNUMBER(E278)),"Data de recebimento não informada",IF(AND(ISNUMBER(V278),N(V278)&gt;0,E278&lt;N(V278)),"Data anterior à emissão do MTR",IF(AND(J278="Sim",L278="",M278=""),"Conferido sem evidência identificada",IF(J278&lt;&gt;"Sim","Aguardando conferência",IF(INDEX('ITENS_MTR'!$AM$6:$AM$1005,S278)=1,"Conferido (ver diferença no item)","Conferido"))))))))))))</f>
        <v/>
      </c>
      <c r="Q278" s="96">
        <f>IF(COUNTA(C278,E278:G278,I278:O278)&gt;0,1,0)</f>
        <v>0</v>
      </c>
      <c r="R278" s="96" t="str">
        <f>IF(C278="","",TRIM(LEFT(C278,FIND(" |",C278&amp;" |")-1)))</f>
        <v/>
      </c>
      <c r="S278" s="96" t="str">
        <f>IF(R278="","",IFERROR(MATCH(R278,'ITENS_MTR'!$A$6:$A$1005,0),""))</f>
        <v/>
      </c>
      <c r="T278" s="96">
        <f>IF(S278="",0,IF(INDEX('ITENS_MTR'!$R$6:$R$1005,S278)=1,1,0))</f>
        <v>0</v>
      </c>
      <c r="U278" s="96" t="str">
        <f>IF(T278=1,INDEX('ITENS_MTR'!$T$6:$T$1005,S278),"")</f>
        <v/>
      </c>
      <c r="V278" s="97" t="str">
        <f>IF(N(U278)&gt;0,INDEX('MTRs'!$E$6:$E$505,U278),"")</f>
        <v/>
      </c>
      <c r="W278" s="96" t="str">
        <f>IF(G278="","",IFERROR(IF(ISNUMBER(INDEX(cfg_fac,MATCH(G278,cfg_units,0))),IF(INDEX(cfg_fac,MATCH(G278,cfg_units,0))&gt;0,INDEX(cfg_fac,MATCH(G278,cfg_units,0)),""),""),""))</f>
        <v/>
      </c>
      <c r="X278" s="96">
        <f>IF(AND(ISNUMBER(F278),ISNUMBER(H278)),IF(H278&gt;0,1,0),0)</f>
        <v>0</v>
      </c>
      <c r="Y278" s="96">
        <f>IF(Q278=0,0,IF(OR(T278=0,X278=0,NOT(ISNUMBER(E278)),AND(J278="Sim",L278="",M278=""),AND(ISNUMBER(E278),ISNUMBER(V278),N(V278)&gt;0,E278&lt;N(V278))),1,0))</f>
        <v>0</v>
      </c>
      <c r="Z278" s="96">
        <f>IF(AND(Q278=1,T278=1,X278=1,J278="Sim",OR(L278&lt;&gt;"",M278&lt;&gt;"")),1,0)</f>
        <v>0</v>
      </c>
      <c r="AA278" s="96">
        <f>IF(Q278=0,0,IF(AND(OR(r_ini="",AND(ISNUMBER(E278),E278&gt;=r_ini)),OR(r_fim="",AND(ISNUMBER(E278),E278&lt;=r_fim)),OR(r_un="",r_un="(Todas)",IF(N(U278)&gt;0,INDEX('MTRs'!$G$6:$G$505,U278),"")=r_un),OR(r_de="",r_de="(Todos)",D278=r_de)),1,0))</f>
        <v>0</v>
      </c>
      <c r="AB278" s="96" t="str">
        <f>IF(AA278=1,COUNTIF($AA$6:AA278,1),"")</f>
        <v/>
      </c>
    </row>
    <row r="279">
      <c r="A279" s="89" t="inlineStr">
        <is>
          <t>REC-000274</t>
        </is>
      </c>
      <c r="B279" s="94" t="str">
        <f>IF(T279=1,INDEX('ITENS_MTR'!$S$6:$S$1005,S279)&amp;"","")</f>
        <v/>
      </c>
      <c r="C279" s="91" t="n"/>
      <c r="D279" s="94" t="str">
        <f>IF(N(U279)&gt;0,INDEX('MTRs'!$I$6:$I$505,U279)&amp;"","")</f>
        <v/>
      </c>
      <c r="E279" s="92" t="n"/>
      <c r="F279" s="98" t="n"/>
      <c r="G279" s="91" t="n"/>
      <c r="H279" s="93" t="str">
        <f>IF(Q279=0,"",IF(NOT(ISNUMBER(F279)),"",IF(ISNUMBER(W279),F279*W279,"UNIDADE A CONFERIR")))</f>
        <v/>
      </c>
      <c r="I279" s="91" t="n"/>
      <c r="J279" s="91" t="n"/>
      <c r="K279" s="92" t="n"/>
      <c r="L279" s="91" t="n"/>
      <c r="M279" s="91" t="n"/>
      <c r="N279" s="91" t="n"/>
      <c r="O279" s="91" t="n"/>
      <c r="P279" s="94" t="str">
        <f>IF(Q279=0,"",IF(C279="","Item de resíduo não informado",IF(T279=0,"Item inexistente (referência inválida)",IF(NOT(ISNUMBER(F279)),"Quantidade não informada",IF(F279&lt;=0,"Quantidade não positiva",IF(G279="","Unidade não informada",IF(NOT(ISNUMBER(H279)),"Unidade a conferir",IF(NOT(ISNUMBER(E279)),"Data de recebimento não informada",IF(AND(ISNUMBER(V279),N(V279)&gt;0,E279&lt;N(V279)),"Data anterior à emissão do MTR",IF(AND(J279="Sim",L279="",M279=""),"Conferido sem evidência identificada",IF(J279&lt;&gt;"Sim","Aguardando conferência",IF(INDEX('ITENS_MTR'!$AM$6:$AM$1005,S279)=1,"Conferido (ver diferença no item)","Conferido"))))))))))))</f>
        <v/>
      </c>
      <c r="Q279" s="96">
        <f>IF(COUNTA(C279,E279:G279,I279:O279)&gt;0,1,0)</f>
        <v>0</v>
      </c>
      <c r="R279" s="96" t="str">
        <f>IF(C279="","",TRIM(LEFT(C279,FIND(" |",C279&amp;" |")-1)))</f>
        <v/>
      </c>
      <c r="S279" s="96" t="str">
        <f>IF(R279="","",IFERROR(MATCH(R279,'ITENS_MTR'!$A$6:$A$1005,0),""))</f>
        <v/>
      </c>
      <c r="T279" s="96">
        <f>IF(S279="",0,IF(INDEX('ITENS_MTR'!$R$6:$R$1005,S279)=1,1,0))</f>
        <v>0</v>
      </c>
      <c r="U279" s="96" t="str">
        <f>IF(T279=1,INDEX('ITENS_MTR'!$T$6:$T$1005,S279),"")</f>
        <v/>
      </c>
      <c r="V279" s="97" t="str">
        <f>IF(N(U279)&gt;0,INDEX('MTRs'!$E$6:$E$505,U279),"")</f>
        <v/>
      </c>
      <c r="W279" s="96" t="str">
        <f>IF(G279="","",IFERROR(IF(ISNUMBER(INDEX(cfg_fac,MATCH(G279,cfg_units,0))),IF(INDEX(cfg_fac,MATCH(G279,cfg_units,0))&gt;0,INDEX(cfg_fac,MATCH(G279,cfg_units,0)),""),""),""))</f>
        <v/>
      </c>
      <c r="X279" s="96">
        <f>IF(AND(ISNUMBER(F279),ISNUMBER(H279)),IF(H279&gt;0,1,0),0)</f>
        <v>0</v>
      </c>
      <c r="Y279" s="96">
        <f>IF(Q279=0,0,IF(OR(T279=0,X279=0,NOT(ISNUMBER(E279)),AND(J279="Sim",L279="",M279=""),AND(ISNUMBER(E279),ISNUMBER(V279),N(V279)&gt;0,E279&lt;N(V279))),1,0))</f>
        <v>0</v>
      </c>
      <c r="Z279" s="96">
        <f>IF(AND(Q279=1,T279=1,X279=1,J279="Sim",OR(L279&lt;&gt;"",M279&lt;&gt;"")),1,0)</f>
        <v>0</v>
      </c>
      <c r="AA279" s="96">
        <f>IF(Q279=0,0,IF(AND(OR(r_ini="",AND(ISNUMBER(E279),E279&gt;=r_ini)),OR(r_fim="",AND(ISNUMBER(E279),E279&lt;=r_fim)),OR(r_un="",r_un="(Todas)",IF(N(U279)&gt;0,INDEX('MTRs'!$G$6:$G$505,U279),"")=r_un),OR(r_de="",r_de="(Todos)",D279=r_de)),1,0))</f>
        <v>0</v>
      </c>
      <c r="AB279" s="96" t="str">
        <f>IF(AA279=1,COUNTIF($AA$6:AA279,1),"")</f>
        <v/>
      </c>
    </row>
    <row r="280">
      <c r="A280" s="89" t="inlineStr">
        <is>
          <t>REC-000275</t>
        </is>
      </c>
      <c r="B280" s="94" t="str">
        <f>IF(T280=1,INDEX('ITENS_MTR'!$S$6:$S$1005,S280)&amp;"","")</f>
        <v/>
      </c>
      <c r="C280" s="91" t="n"/>
      <c r="D280" s="94" t="str">
        <f>IF(N(U280)&gt;0,INDEX('MTRs'!$I$6:$I$505,U280)&amp;"","")</f>
        <v/>
      </c>
      <c r="E280" s="92" t="n"/>
      <c r="F280" s="98" t="n"/>
      <c r="G280" s="91" t="n"/>
      <c r="H280" s="93" t="str">
        <f>IF(Q280=0,"",IF(NOT(ISNUMBER(F280)),"",IF(ISNUMBER(W280),F280*W280,"UNIDADE A CONFERIR")))</f>
        <v/>
      </c>
      <c r="I280" s="91" t="n"/>
      <c r="J280" s="91" t="n"/>
      <c r="K280" s="92" t="n"/>
      <c r="L280" s="91" t="n"/>
      <c r="M280" s="91" t="n"/>
      <c r="N280" s="91" t="n"/>
      <c r="O280" s="91" t="n"/>
      <c r="P280" s="94" t="str">
        <f>IF(Q280=0,"",IF(C280="","Item de resíduo não informado",IF(T280=0,"Item inexistente (referência inválida)",IF(NOT(ISNUMBER(F280)),"Quantidade não informada",IF(F280&lt;=0,"Quantidade não positiva",IF(G280="","Unidade não informada",IF(NOT(ISNUMBER(H280)),"Unidade a conferir",IF(NOT(ISNUMBER(E280)),"Data de recebimento não informada",IF(AND(ISNUMBER(V280),N(V280)&gt;0,E280&lt;N(V280)),"Data anterior à emissão do MTR",IF(AND(J280="Sim",L280="",M280=""),"Conferido sem evidência identificada",IF(J280&lt;&gt;"Sim","Aguardando conferência",IF(INDEX('ITENS_MTR'!$AM$6:$AM$1005,S280)=1,"Conferido (ver diferença no item)","Conferido"))))))))))))</f>
        <v/>
      </c>
      <c r="Q280" s="96">
        <f>IF(COUNTA(C280,E280:G280,I280:O280)&gt;0,1,0)</f>
        <v>0</v>
      </c>
      <c r="R280" s="96" t="str">
        <f>IF(C280="","",TRIM(LEFT(C280,FIND(" |",C280&amp;" |")-1)))</f>
        <v/>
      </c>
      <c r="S280" s="96" t="str">
        <f>IF(R280="","",IFERROR(MATCH(R280,'ITENS_MTR'!$A$6:$A$1005,0),""))</f>
        <v/>
      </c>
      <c r="T280" s="96">
        <f>IF(S280="",0,IF(INDEX('ITENS_MTR'!$R$6:$R$1005,S280)=1,1,0))</f>
        <v>0</v>
      </c>
      <c r="U280" s="96" t="str">
        <f>IF(T280=1,INDEX('ITENS_MTR'!$T$6:$T$1005,S280),"")</f>
        <v/>
      </c>
      <c r="V280" s="97" t="str">
        <f>IF(N(U280)&gt;0,INDEX('MTRs'!$E$6:$E$505,U280),"")</f>
        <v/>
      </c>
      <c r="W280" s="96" t="str">
        <f>IF(G280="","",IFERROR(IF(ISNUMBER(INDEX(cfg_fac,MATCH(G280,cfg_units,0))),IF(INDEX(cfg_fac,MATCH(G280,cfg_units,0))&gt;0,INDEX(cfg_fac,MATCH(G280,cfg_units,0)),""),""),""))</f>
        <v/>
      </c>
      <c r="X280" s="96">
        <f>IF(AND(ISNUMBER(F280),ISNUMBER(H280)),IF(H280&gt;0,1,0),0)</f>
        <v>0</v>
      </c>
      <c r="Y280" s="96">
        <f>IF(Q280=0,0,IF(OR(T280=0,X280=0,NOT(ISNUMBER(E280)),AND(J280="Sim",L280="",M280=""),AND(ISNUMBER(E280),ISNUMBER(V280),N(V280)&gt;0,E280&lt;N(V280))),1,0))</f>
        <v>0</v>
      </c>
      <c r="Z280" s="96">
        <f>IF(AND(Q280=1,T280=1,X280=1,J280="Sim",OR(L280&lt;&gt;"",M280&lt;&gt;"")),1,0)</f>
        <v>0</v>
      </c>
      <c r="AA280" s="96">
        <f>IF(Q280=0,0,IF(AND(OR(r_ini="",AND(ISNUMBER(E280),E280&gt;=r_ini)),OR(r_fim="",AND(ISNUMBER(E280),E280&lt;=r_fim)),OR(r_un="",r_un="(Todas)",IF(N(U280)&gt;0,INDEX('MTRs'!$G$6:$G$505,U280),"")=r_un),OR(r_de="",r_de="(Todos)",D280=r_de)),1,0))</f>
        <v>0</v>
      </c>
      <c r="AB280" s="96" t="str">
        <f>IF(AA280=1,COUNTIF($AA$6:AA280,1),"")</f>
        <v/>
      </c>
    </row>
    <row r="281">
      <c r="A281" s="89" t="inlineStr">
        <is>
          <t>REC-000276</t>
        </is>
      </c>
      <c r="B281" s="94" t="str">
        <f>IF(T281=1,INDEX('ITENS_MTR'!$S$6:$S$1005,S281)&amp;"","")</f>
        <v/>
      </c>
      <c r="C281" s="91" t="n"/>
      <c r="D281" s="94" t="str">
        <f>IF(N(U281)&gt;0,INDEX('MTRs'!$I$6:$I$505,U281)&amp;"","")</f>
        <v/>
      </c>
      <c r="E281" s="92" t="n"/>
      <c r="F281" s="98" t="n"/>
      <c r="G281" s="91" t="n"/>
      <c r="H281" s="93" t="str">
        <f>IF(Q281=0,"",IF(NOT(ISNUMBER(F281)),"",IF(ISNUMBER(W281),F281*W281,"UNIDADE A CONFERIR")))</f>
        <v/>
      </c>
      <c r="I281" s="91" t="n"/>
      <c r="J281" s="91" t="n"/>
      <c r="K281" s="92" t="n"/>
      <c r="L281" s="91" t="n"/>
      <c r="M281" s="91" t="n"/>
      <c r="N281" s="91" t="n"/>
      <c r="O281" s="91" t="n"/>
      <c r="P281" s="94" t="str">
        <f>IF(Q281=0,"",IF(C281="","Item de resíduo não informado",IF(T281=0,"Item inexistente (referência inválida)",IF(NOT(ISNUMBER(F281)),"Quantidade não informada",IF(F281&lt;=0,"Quantidade não positiva",IF(G281="","Unidade não informada",IF(NOT(ISNUMBER(H281)),"Unidade a conferir",IF(NOT(ISNUMBER(E281)),"Data de recebimento não informada",IF(AND(ISNUMBER(V281),N(V281)&gt;0,E281&lt;N(V281)),"Data anterior à emissão do MTR",IF(AND(J281="Sim",L281="",M281=""),"Conferido sem evidência identificada",IF(J281&lt;&gt;"Sim","Aguardando conferência",IF(INDEX('ITENS_MTR'!$AM$6:$AM$1005,S281)=1,"Conferido (ver diferença no item)","Conferido"))))))))))))</f>
        <v/>
      </c>
      <c r="Q281" s="96">
        <f>IF(COUNTA(C281,E281:G281,I281:O281)&gt;0,1,0)</f>
        <v>0</v>
      </c>
      <c r="R281" s="96" t="str">
        <f>IF(C281="","",TRIM(LEFT(C281,FIND(" |",C281&amp;" |")-1)))</f>
        <v/>
      </c>
      <c r="S281" s="96" t="str">
        <f>IF(R281="","",IFERROR(MATCH(R281,'ITENS_MTR'!$A$6:$A$1005,0),""))</f>
        <v/>
      </c>
      <c r="T281" s="96">
        <f>IF(S281="",0,IF(INDEX('ITENS_MTR'!$R$6:$R$1005,S281)=1,1,0))</f>
        <v>0</v>
      </c>
      <c r="U281" s="96" t="str">
        <f>IF(T281=1,INDEX('ITENS_MTR'!$T$6:$T$1005,S281),"")</f>
        <v/>
      </c>
      <c r="V281" s="97" t="str">
        <f>IF(N(U281)&gt;0,INDEX('MTRs'!$E$6:$E$505,U281),"")</f>
        <v/>
      </c>
      <c r="W281" s="96" t="str">
        <f>IF(G281="","",IFERROR(IF(ISNUMBER(INDEX(cfg_fac,MATCH(G281,cfg_units,0))),IF(INDEX(cfg_fac,MATCH(G281,cfg_units,0))&gt;0,INDEX(cfg_fac,MATCH(G281,cfg_units,0)),""),""),""))</f>
        <v/>
      </c>
      <c r="X281" s="96">
        <f>IF(AND(ISNUMBER(F281),ISNUMBER(H281)),IF(H281&gt;0,1,0),0)</f>
        <v>0</v>
      </c>
      <c r="Y281" s="96">
        <f>IF(Q281=0,0,IF(OR(T281=0,X281=0,NOT(ISNUMBER(E281)),AND(J281="Sim",L281="",M281=""),AND(ISNUMBER(E281),ISNUMBER(V281),N(V281)&gt;0,E281&lt;N(V281))),1,0))</f>
        <v>0</v>
      </c>
      <c r="Z281" s="96">
        <f>IF(AND(Q281=1,T281=1,X281=1,J281="Sim",OR(L281&lt;&gt;"",M281&lt;&gt;"")),1,0)</f>
        <v>0</v>
      </c>
      <c r="AA281" s="96">
        <f>IF(Q281=0,0,IF(AND(OR(r_ini="",AND(ISNUMBER(E281),E281&gt;=r_ini)),OR(r_fim="",AND(ISNUMBER(E281),E281&lt;=r_fim)),OR(r_un="",r_un="(Todas)",IF(N(U281)&gt;0,INDEX('MTRs'!$G$6:$G$505,U281),"")=r_un),OR(r_de="",r_de="(Todos)",D281=r_de)),1,0))</f>
        <v>0</v>
      </c>
      <c r="AB281" s="96" t="str">
        <f>IF(AA281=1,COUNTIF($AA$6:AA281,1),"")</f>
        <v/>
      </c>
    </row>
    <row r="282">
      <c r="A282" s="89" t="inlineStr">
        <is>
          <t>REC-000277</t>
        </is>
      </c>
      <c r="B282" s="94" t="str">
        <f>IF(T282=1,INDEX('ITENS_MTR'!$S$6:$S$1005,S282)&amp;"","")</f>
        <v/>
      </c>
      <c r="C282" s="91" t="n"/>
      <c r="D282" s="94" t="str">
        <f>IF(N(U282)&gt;0,INDEX('MTRs'!$I$6:$I$505,U282)&amp;"","")</f>
        <v/>
      </c>
      <c r="E282" s="92" t="n"/>
      <c r="F282" s="98" t="n"/>
      <c r="G282" s="91" t="n"/>
      <c r="H282" s="93" t="str">
        <f>IF(Q282=0,"",IF(NOT(ISNUMBER(F282)),"",IF(ISNUMBER(W282),F282*W282,"UNIDADE A CONFERIR")))</f>
        <v/>
      </c>
      <c r="I282" s="91" t="n"/>
      <c r="J282" s="91" t="n"/>
      <c r="K282" s="92" t="n"/>
      <c r="L282" s="91" t="n"/>
      <c r="M282" s="91" t="n"/>
      <c r="N282" s="91" t="n"/>
      <c r="O282" s="91" t="n"/>
      <c r="P282" s="94" t="str">
        <f>IF(Q282=0,"",IF(C282="","Item de resíduo não informado",IF(T282=0,"Item inexistente (referência inválida)",IF(NOT(ISNUMBER(F282)),"Quantidade não informada",IF(F282&lt;=0,"Quantidade não positiva",IF(G282="","Unidade não informada",IF(NOT(ISNUMBER(H282)),"Unidade a conferir",IF(NOT(ISNUMBER(E282)),"Data de recebimento não informada",IF(AND(ISNUMBER(V282),N(V282)&gt;0,E282&lt;N(V282)),"Data anterior à emissão do MTR",IF(AND(J282="Sim",L282="",M282=""),"Conferido sem evidência identificada",IF(J282&lt;&gt;"Sim","Aguardando conferência",IF(INDEX('ITENS_MTR'!$AM$6:$AM$1005,S282)=1,"Conferido (ver diferença no item)","Conferido"))))))))))))</f>
        <v/>
      </c>
      <c r="Q282" s="96">
        <f>IF(COUNTA(C282,E282:G282,I282:O282)&gt;0,1,0)</f>
        <v>0</v>
      </c>
      <c r="R282" s="96" t="str">
        <f>IF(C282="","",TRIM(LEFT(C282,FIND(" |",C282&amp;" |")-1)))</f>
        <v/>
      </c>
      <c r="S282" s="96" t="str">
        <f>IF(R282="","",IFERROR(MATCH(R282,'ITENS_MTR'!$A$6:$A$1005,0),""))</f>
        <v/>
      </c>
      <c r="T282" s="96">
        <f>IF(S282="",0,IF(INDEX('ITENS_MTR'!$R$6:$R$1005,S282)=1,1,0))</f>
        <v>0</v>
      </c>
      <c r="U282" s="96" t="str">
        <f>IF(T282=1,INDEX('ITENS_MTR'!$T$6:$T$1005,S282),"")</f>
        <v/>
      </c>
      <c r="V282" s="97" t="str">
        <f>IF(N(U282)&gt;0,INDEX('MTRs'!$E$6:$E$505,U282),"")</f>
        <v/>
      </c>
      <c r="W282" s="96" t="str">
        <f>IF(G282="","",IFERROR(IF(ISNUMBER(INDEX(cfg_fac,MATCH(G282,cfg_units,0))),IF(INDEX(cfg_fac,MATCH(G282,cfg_units,0))&gt;0,INDEX(cfg_fac,MATCH(G282,cfg_units,0)),""),""),""))</f>
        <v/>
      </c>
      <c r="X282" s="96">
        <f>IF(AND(ISNUMBER(F282),ISNUMBER(H282)),IF(H282&gt;0,1,0),0)</f>
        <v>0</v>
      </c>
      <c r="Y282" s="96">
        <f>IF(Q282=0,0,IF(OR(T282=0,X282=0,NOT(ISNUMBER(E282)),AND(J282="Sim",L282="",M282=""),AND(ISNUMBER(E282),ISNUMBER(V282),N(V282)&gt;0,E282&lt;N(V282))),1,0))</f>
        <v>0</v>
      </c>
      <c r="Z282" s="96">
        <f>IF(AND(Q282=1,T282=1,X282=1,J282="Sim",OR(L282&lt;&gt;"",M282&lt;&gt;"")),1,0)</f>
        <v>0</v>
      </c>
      <c r="AA282" s="96">
        <f>IF(Q282=0,0,IF(AND(OR(r_ini="",AND(ISNUMBER(E282),E282&gt;=r_ini)),OR(r_fim="",AND(ISNUMBER(E282),E282&lt;=r_fim)),OR(r_un="",r_un="(Todas)",IF(N(U282)&gt;0,INDEX('MTRs'!$G$6:$G$505,U282),"")=r_un),OR(r_de="",r_de="(Todos)",D282=r_de)),1,0))</f>
        <v>0</v>
      </c>
      <c r="AB282" s="96" t="str">
        <f>IF(AA282=1,COUNTIF($AA$6:AA282,1),"")</f>
        <v/>
      </c>
    </row>
    <row r="283">
      <c r="A283" s="89" t="inlineStr">
        <is>
          <t>REC-000278</t>
        </is>
      </c>
      <c r="B283" s="94" t="str">
        <f>IF(T283=1,INDEX('ITENS_MTR'!$S$6:$S$1005,S283)&amp;"","")</f>
        <v/>
      </c>
      <c r="C283" s="91" t="n"/>
      <c r="D283" s="94" t="str">
        <f>IF(N(U283)&gt;0,INDEX('MTRs'!$I$6:$I$505,U283)&amp;"","")</f>
        <v/>
      </c>
      <c r="E283" s="92" t="n"/>
      <c r="F283" s="98" t="n"/>
      <c r="G283" s="91" t="n"/>
      <c r="H283" s="93" t="str">
        <f>IF(Q283=0,"",IF(NOT(ISNUMBER(F283)),"",IF(ISNUMBER(W283),F283*W283,"UNIDADE A CONFERIR")))</f>
        <v/>
      </c>
      <c r="I283" s="91" t="n"/>
      <c r="J283" s="91" t="n"/>
      <c r="K283" s="92" t="n"/>
      <c r="L283" s="91" t="n"/>
      <c r="M283" s="91" t="n"/>
      <c r="N283" s="91" t="n"/>
      <c r="O283" s="91" t="n"/>
      <c r="P283" s="94" t="str">
        <f>IF(Q283=0,"",IF(C283="","Item de resíduo não informado",IF(T283=0,"Item inexistente (referência inválida)",IF(NOT(ISNUMBER(F283)),"Quantidade não informada",IF(F283&lt;=0,"Quantidade não positiva",IF(G283="","Unidade não informada",IF(NOT(ISNUMBER(H283)),"Unidade a conferir",IF(NOT(ISNUMBER(E283)),"Data de recebimento não informada",IF(AND(ISNUMBER(V283),N(V283)&gt;0,E283&lt;N(V283)),"Data anterior à emissão do MTR",IF(AND(J283="Sim",L283="",M283=""),"Conferido sem evidência identificada",IF(J283&lt;&gt;"Sim","Aguardando conferência",IF(INDEX('ITENS_MTR'!$AM$6:$AM$1005,S283)=1,"Conferido (ver diferença no item)","Conferido"))))))))))))</f>
        <v/>
      </c>
      <c r="Q283" s="96">
        <f>IF(COUNTA(C283,E283:G283,I283:O283)&gt;0,1,0)</f>
        <v>0</v>
      </c>
      <c r="R283" s="96" t="str">
        <f>IF(C283="","",TRIM(LEFT(C283,FIND(" |",C283&amp;" |")-1)))</f>
        <v/>
      </c>
      <c r="S283" s="96" t="str">
        <f>IF(R283="","",IFERROR(MATCH(R283,'ITENS_MTR'!$A$6:$A$1005,0),""))</f>
        <v/>
      </c>
      <c r="T283" s="96">
        <f>IF(S283="",0,IF(INDEX('ITENS_MTR'!$R$6:$R$1005,S283)=1,1,0))</f>
        <v>0</v>
      </c>
      <c r="U283" s="96" t="str">
        <f>IF(T283=1,INDEX('ITENS_MTR'!$T$6:$T$1005,S283),"")</f>
        <v/>
      </c>
      <c r="V283" s="97" t="str">
        <f>IF(N(U283)&gt;0,INDEX('MTRs'!$E$6:$E$505,U283),"")</f>
        <v/>
      </c>
      <c r="W283" s="96" t="str">
        <f>IF(G283="","",IFERROR(IF(ISNUMBER(INDEX(cfg_fac,MATCH(G283,cfg_units,0))),IF(INDEX(cfg_fac,MATCH(G283,cfg_units,0))&gt;0,INDEX(cfg_fac,MATCH(G283,cfg_units,0)),""),""),""))</f>
        <v/>
      </c>
      <c r="X283" s="96">
        <f>IF(AND(ISNUMBER(F283),ISNUMBER(H283)),IF(H283&gt;0,1,0),0)</f>
        <v>0</v>
      </c>
      <c r="Y283" s="96">
        <f>IF(Q283=0,0,IF(OR(T283=0,X283=0,NOT(ISNUMBER(E283)),AND(J283="Sim",L283="",M283=""),AND(ISNUMBER(E283),ISNUMBER(V283),N(V283)&gt;0,E283&lt;N(V283))),1,0))</f>
        <v>0</v>
      </c>
      <c r="Z283" s="96">
        <f>IF(AND(Q283=1,T283=1,X283=1,J283="Sim",OR(L283&lt;&gt;"",M283&lt;&gt;"")),1,0)</f>
        <v>0</v>
      </c>
      <c r="AA283" s="96">
        <f>IF(Q283=0,0,IF(AND(OR(r_ini="",AND(ISNUMBER(E283),E283&gt;=r_ini)),OR(r_fim="",AND(ISNUMBER(E283),E283&lt;=r_fim)),OR(r_un="",r_un="(Todas)",IF(N(U283)&gt;0,INDEX('MTRs'!$G$6:$G$505,U283),"")=r_un),OR(r_de="",r_de="(Todos)",D283=r_de)),1,0))</f>
        <v>0</v>
      </c>
      <c r="AB283" s="96" t="str">
        <f>IF(AA283=1,COUNTIF($AA$6:AA283,1),"")</f>
        <v/>
      </c>
    </row>
    <row r="284">
      <c r="A284" s="89" t="inlineStr">
        <is>
          <t>REC-000279</t>
        </is>
      </c>
      <c r="B284" s="94" t="str">
        <f>IF(T284=1,INDEX('ITENS_MTR'!$S$6:$S$1005,S284)&amp;"","")</f>
        <v/>
      </c>
      <c r="C284" s="91" t="n"/>
      <c r="D284" s="94" t="str">
        <f>IF(N(U284)&gt;0,INDEX('MTRs'!$I$6:$I$505,U284)&amp;"","")</f>
        <v/>
      </c>
      <c r="E284" s="92" t="n"/>
      <c r="F284" s="98" t="n"/>
      <c r="G284" s="91" t="n"/>
      <c r="H284" s="93" t="str">
        <f>IF(Q284=0,"",IF(NOT(ISNUMBER(F284)),"",IF(ISNUMBER(W284),F284*W284,"UNIDADE A CONFERIR")))</f>
        <v/>
      </c>
      <c r="I284" s="91" t="n"/>
      <c r="J284" s="91" t="n"/>
      <c r="K284" s="92" t="n"/>
      <c r="L284" s="91" t="n"/>
      <c r="M284" s="91" t="n"/>
      <c r="N284" s="91" t="n"/>
      <c r="O284" s="91" t="n"/>
      <c r="P284" s="94" t="str">
        <f>IF(Q284=0,"",IF(C284="","Item de resíduo não informado",IF(T284=0,"Item inexistente (referência inválida)",IF(NOT(ISNUMBER(F284)),"Quantidade não informada",IF(F284&lt;=0,"Quantidade não positiva",IF(G284="","Unidade não informada",IF(NOT(ISNUMBER(H284)),"Unidade a conferir",IF(NOT(ISNUMBER(E284)),"Data de recebimento não informada",IF(AND(ISNUMBER(V284),N(V284)&gt;0,E284&lt;N(V284)),"Data anterior à emissão do MTR",IF(AND(J284="Sim",L284="",M284=""),"Conferido sem evidência identificada",IF(J284&lt;&gt;"Sim","Aguardando conferência",IF(INDEX('ITENS_MTR'!$AM$6:$AM$1005,S284)=1,"Conferido (ver diferença no item)","Conferido"))))))))))))</f>
        <v/>
      </c>
      <c r="Q284" s="96">
        <f>IF(COUNTA(C284,E284:G284,I284:O284)&gt;0,1,0)</f>
        <v>0</v>
      </c>
      <c r="R284" s="96" t="str">
        <f>IF(C284="","",TRIM(LEFT(C284,FIND(" |",C284&amp;" |")-1)))</f>
        <v/>
      </c>
      <c r="S284" s="96" t="str">
        <f>IF(R284="","",IFERROR(MATCH(R284,'ITENS_MTR'!$A$6:$A$1005,0),""))</f>
        <v/>
      </c>
      <c r="T284" s="96">
        <f>IF(S284="",0,IF(INDEX('ITENS_MTR'!$R$6:$R$1005,S284)=1,1,0))</f>
        <v>0</v>
      </c>
      <c r="U284" s="96" t="str">
        <f>IF(T284=1,INDEX('ITENS_MTR'!$T$6:$T$1005,S284),"")</f>
        <v/>
      </c>
      <c r="V284" s="97" t="str">
        <f>IF(N(U284)&gt;0,INDEX('MTRs'!$E$6:$E$505,U284),"")</f>
        <v/>
      </c>
      <c r="W284" s="96" t="str">
        <f>IF(G284="","",IFERROR(IF(ISNUMBER(INDEX(cfg_fac,MATCH(G284,cfg_units,0))),IF(INDEX(cfg_fac,MATCH(G284,cfg_units,0))&gt;0,INDEX(cfg_fac,MATCH(G284,cfg_units,0)),""),""),""))</f>
        <v/>
      </c>
      <c r="X284" s="96">
        <f>IF(AND(ISNUMBER(F284),ISNUMBER(H284)),IF(H284&gt;0,1,0),0)</f>
        <v>0</v>
      </c>
      <c r="Y284" s="96">
        <f>IF(Q284=0,0,IF(OR(T284=0,X284=0,NOT(ISNUMBER(E284)),AND(J284="Sim",L284="",M284=""),AND(ISNUMBER(E284),ISNUMBER(V284),N(V284)&gt;0,E284&lt;N(V284))),1,0))</f>
        <v>0</v>
      </c>
      <c r="Z284" s="96">
        <f>IF(AND(Q284=1,T284=1,X284=1,J284="Sim",OR(L284&lt;&gt;"",M284&lt;&gt;"")),1,0)</f>
        <v>0</v>
      </c>
      <c r="AA284" s="96">
        <f>IF(Q284=0,0,IF(AND(OR(r_ini="",AND(ISNUMBER(E284),E284&gt;=r_ini)),OR(r_fim="",AND(ISNUMBER(E284),E284&lt;=r_fim)),OR(r_un="",r_un="(Todas)",IF(N(U284)&gt;0,INDEX('MTRs'!$G$6:$G$505,U284),"")=r_un),OR(r_de="",r_de="(Todos)",D284=r_de)),1,0))</f>
        <v>0</v>
      </c>
      <c r="AB284" s="96" t="str">
        <f>IF(AA284=1,COUNTIF($AA$6:AA284,1),"")</f>
        <v/>
      </c>
    </row>
    <row r="285">
      <c r="A285" s="89" t="inlineStr">
        <is>
          <t>REC-000280</t>
        </is>
      </c>
      <c r="B285" s="94" t="str">
        <f>IF(T285=1,INDEX('ITENS_MTR'!$S$6:$S$1005,S285)&amp;"","")</f>
        <v/>
      </c>
      <c r="C285" s="91" t="n"/>
      <c r="D285" s="94" t="str">
        <f>IF(N(U285)&gt;0,INDEX('MTRs'!$I$6:$I$505,U285)&amp;"","")</f>
        <v/>
      </c>
      <c r="E285" s="92" t="n"/>
      <c r="F285" s="98" t="n"/>
      <c r="G285" s="91" t="n"/>
      <c r="H285" s="93" t="str">
        <f>IF(Q285=0,"",IF(NOT(ISNUMBER(F285)),"",IF(ISNUMBER(W285),F285*W285,"UNIDADE A CONFERIR")))</f>
        <v/>
      </c>
      <c r="I285" s="91" t="n"/>
      <c r="J285" s="91" t="n"/>
      <c r="K285" s="92" t="n"/>
      <c r="L285" s="91" t="n"/>
      <c r="M285" s="91" t="n"/>
      <c r="N285" s="91" t="n"/>
      <c r="O285" s="91" t="n"/>
      <c r="P285" s="94" t="str">
        <f>IF(Q285=0,"",IF(C285="","Item de resíduo não informado",IF(T285=0,"Item inexistente (referência inválida)",IF(NOT(ISNUMBER(F285)),"Quantidade não informada",IF(F285&lt;=0,"Quantidade não positiva",IF(G285="","Unidade não informada",IF(NOT(ISNUMBER(H285)),"Unidade a conferir",IF(NOT(ISNUMBER(E285)),"Data de recebimento não informada",IF(AND(ISNUMBER(V285),N(V285)&gt;0,E285&lt;N(V285)),"Data anterior à emissão do MTR",IF(AND(J285="Sim",L285="",M285=""),"Conferido sem evidência identificada",IF(J285&lt;&gt;"Sim","Aguardando conferência",IF(INDEX('ITENS_MTR'!$AM$6:$AM$1005,S285)=1,"Conferido (ver diferença no item)","Conferido"))))))))))))</f>
        <v/>
      </c>
      <c r="Q285" s="96">
        <f>IF(COUNTA(C285,E285:G285,I285:O285)&gt;0,1,0)</f>
        <v>0</v>
      </c>
      <c r="R285" s="96" t="str">
        <f>IF(C285="","",TRIM(LEFT(C285,FIND(" |",C285&amp;" |")-1)))</f>
        <v/>
      </c>
      <c r="S285" s="96" t="str">
        <f>IF(R285="","",IFERROR(MATCH(R285,'ITENS_MTR'!$A$6:$A$1005,0),""))</f>
        <v/>
      </c>
      <c r="T285" s="96">
        <f>IF(S285="",0,IF(INDEX('ITENS_MTR'!$R$6:$R$1005,S285)=1,1,0))</f>
        <v>0</v>
      </c>
      <c r="U285" s="96" t="str">
        <f>IF(T285=1,INDEX('ITENS_MTR'!$T$6:$T$1005,S285),"")</f>
        <v/>
      </c>
      <c r="V285" s="97" t="str">
        <f>IF(N(U285)&gt;0,INDEX('MTRs'!$E$6:$E$505,U285),"")</f>
        <v/>
      </c>
      <c r="W285" s="96" t="str">
        <f>IF(G285="","",IFERROR(IF(ISNUMBER(INDEX(cfg_fac,MATCH(G285,cfg_units,0))),IF(INDEX(cfg_fac,MATCH(G285,cfg_units,0))&gt;0,INDEX(cfg_fac,MATCH(G285,cfg_units,0)),""),""),""))</f>
        <v/>
      </c>
      <c r="X285" s="96">
        <f>IF(AND(ISNUMBER(F285),ISNUMBER(H285)),IF(H285&gt;0,1,0),0)</f>
        <v>0</v>
      </c>
      <c r="Y285" s="96">
        <f>IF(Q285=0,0,IF(OR(T285=0,X285=0,NOT(ISNUMBER(E285)),AND(J285="Sim",L285="",M285=""),AND(ISNUMBER(E285),ISNUMBER(V285),N(V285)&gt;0,E285&lt;N(V285))),1,0))</f>
        <v>0</v>
      </c>
      <c r="Z285" s="96">
        <f>IF(AND(Q285=1,T285=1,X285=1,J285="Sim",OR(L285&lt;&gt;"",M285&lt;&gt;"")),1,0)</f>
        <v>0</v>
      </c>
      <c r="AA285" s="96">
        <f>IF(Q285=0,0,IF(AND(OR(r_ini="",AND(ISNUMBER(E285),E285&gt;=r_ini)),OR(r_fim="",AND(ISNUMBER(E285),E285&lt;=r_fim)),OR(r_un="",r_un="(Todas)",IF(N(U285)&gt;0,INDEX('MTRs'!$G$6:$G$505,U285),"")=r_un),OR(r_de="",r_de="(Todos)",D285=r_de)),1,0))</f>
        <v>0</v>
      </c>
      <c r="AB285" s="96" t="str">
        <f>IF(AA285=1,COUNTIF($AA$6:AA285,1),"")</f>
        <v/>
      </c>
    </row>
    <row r="286">
      <c r="A286" s="89" t="inlineStr">
        <is>
          <t>REC-000281</t>
        </is>
      </c>
      <c r="B286" s="94" t="str">
        <f>IF(T286=1,INDEX('ITENS_MTR'!$S$6:$S$1005,S286)&amp;"","")</f>
        <v/>
      </c>
      <c r="C286" s="91" t="n"/>
      <c r="D286" s="94" t="str">
        <f>IF(N(U286)&gt;0,INDEX('MTRs'!$I$6:$I$505,U286)&amp;"","")</f>
        <v/>
      </c>
      <c r="E286" s="92" t="n"/>
      <c r="F286" s="98" t="n"/>
      <c r="G286" s="91" t="n"/>
      <c r="H286" s="93" t="str">
        <f>IF(Q286=0,"",IF(NOT(ISNUMBER(F286)),"",IF(ISNUMBER(W286),F286*W286,"UNIDADE A CONFERIR")))</f>
        <v/>
      </c>
      <c r="I286" s="91" t="n"/>
      <c r="J286" s="91" t="n"/>
      <c r="K286" s="92" t="n"/>
      <c r="L286" s="91" t="n"/>
      <c r="M286" s="91" t="n"/>
      <c r="N286" s="91" t="n"/>
      <c r="O286" s="91" t="n"/>
      <c r="P286" s="94" t="str">
        <f>IF(Q286=0,"",IF(C286="","Item de resíduo não informado",IF(T286=0,"Item inexistente (referência inválida)",IF(NOT(ISNUMBER(F286)),"Quantidade não informada",IF(F286&lt;=0,"Quantidade não positiva",IF(G286="","Unidade não informada",IF(NOT(ISNUMBER(H286)),"Unidade a conferir",IF(NOT(ISNUMBER(E286)),"Data de recebimento não informada",IF(AND(ISNUMBER(V286),N(V286)&gt;0,E286&lt;N(V286)),"Data anterior à emissão do MTR",IF(AND(J286="Sim",L286="",M286=""),"Conferido sem evidência identificada",IF(J286&lt;&gt;"Sim","Aguardando conferência",IF(INDEX('ITENS_MTR'!$AM$6:$AM$1005,S286)=1,"Conferido (ver diferença no item)","Conferido"))))))))))))</f>
        <v/>
      </c>
      <c r="Q286" s="96">
        <f>IF(COUNTA(C286,E286:G286,I286:O286)&gt;0,1,0)</f>
        <v>0</v>
      </c>
      <c r="R286" s="96" t="str">
        <f>IF(C286="","",TRIM(LEFT(C286,FIND(" |",C286&amp;" |")-1)))</f>
        <v/>
      </c>
      <c r="S286" s="96" t="str">
        <f>IF(R286="","",IFERROR(MATCH(R286,'ITENS_MTR'!$A$6:$A$1005,0),""))</f>
        <v/>
      </c>
      <c r="T286" s="96">
        <f>IF(S286="",0,IF(INDEX('ITENS_MTR'!$R$6:$R$1005,S286)=1,1,0))</f>
        <v>0</v>
      </c>
      <c r="U286" s="96" t="str">
        <f>IF(T286=1,INDEX('ITENS_MTR'!$T$6:$T$1005,S286),"")</f>
        <v/>
      </c>
      <c r="V286" s="97" t="str">
        <f>IF(N(U286)&gt;0,INDEX('MTRs'!$E$6:$E$505,U286),"")</f>
        <v/>
      </c>
      <c r="W286" s="96" t="str">
        <f>IF(G286="","",IFERROR(IF(ISNUMBER(INDEX(cfg_fac,MATCH(G286,cfg_units,0))),IF(INDEX(cfg_fac,MATCH(G286,cfg_units,0))&gt;0,INDEX(cfg_fac,MATCH(G286,cfg_units,0)),""),""),""))</f>
        <v/>
      </c>
      <c r="X286" s="96">
        <f>IF(AND(ISNUMBER(F286),ISNUMBER(H286)),IF(H286&gt;0,1,0),0)</f>
        <v>0</v>
      </c>
      <c r="Y286" s="96">
        <f>IF(Q286=0,0,IF(OR(T286=0,X286=0,NOT(ISNUMBER(E286)),AND(J286="Sim",L286="",M286=""),AND(ISNUMBER(E286),ISNUMBER(V286),N(V286)&gt;0,E286&lt;N(V286))),1,0))</f>
        <v>0</v>
      </c>
      <c r="Z286" s="96">
        <f>IF(AND(Q286=1,T286=1,X286=1,J286="Sim",OR(L286&lt;&gt;"",M286&lt;&gt;"")),1,0)</f>
        <v>0</v>
      </c>
      <c r="AA286" s="96">
        <f>IF(Q286=0,0,IF(AND(OR(r_ini="",AND(ISNUMBER(E286),E286&gt;=r_ini)),OR(r_fim="",AND(ISNUMBER(E286),E286&lt;=r_fim)),OR(r_un="",r_un="(Todas)",IF(N(U286)&gt;0,INDEX('MTRs'!$G$6:$G$505,U286),"")=r_un),OR(r_de="",r_de="(Todos)",D286=r_de)),1,0))</f>
        <v>0</v>
      </c>
      <c r="AB286" s="96" t="str">
        <f>IF(AA286=1,COUNTIF($AA$6:AA286,1),"")</f>
        <v/>
      </c>
    </row>
    <row r="287">
      <c r="A287" s="89" t="inlineStr">
        <is>
          <t>REC-000282</t>
        </is>
      </c>
      <c r="B287" s="94" t="str">
        <f>IF(T287=1,INDEX('ITENS_MTR'!$S$6:$S$1005,S287)&amp;"","")</f>
        <v/>
      </c>
      <c r="C287" s="91" t="n"/>
      <c r="D287" s="94" t="str">
        <f>IF(N(U287)&gt;0,INDEX('MTRs'!$I$6:$I$505,U287)&amp;"","")</f>
        <v/>
      </c>
      <c r="E287" s="92" t="n"/>
      <c r="F287" s="98" t="n"/>
      <c r="G287" s="91" t="n"/>
      <c r="H287" s="93" t="str">
        <f>IF(Q287=0,"",IF(NOT(ISNUMBER(F287)),"",IF(ISNUMBER(W287),F287*W287,"UNIDADE A CONFERIR")))</f>
        <v/>
      </c>
      <c r="I287" s="91" t="n"/>
      <c r="J287" s="91" t="n"/>
      <c r="K287" s="92" t="n"/>
      <c r="L287" s="91" t="n"/>
      <c r="M287" s="91" t="n"/>
      <c r="N287" s="91" t="n"/>
      <c r="O287" s="91" t="n"/>
      <c r="P287" s="94" t="str">
        <f>IF(Q287=0,"",IF(C287="","Item de resíduo não informado",IF(T287=0,"Item inexistente (referência inválida)",IF(NOT(ISNUMBER(F287)),"Quantidade não informada",IF(F287&lt;=0,"Quantidade não positiva",IF(G287="","Unidade não informada",IF(NOT(ISNUMBER(H287)),"Unidade a conferir",IF(NOT(ISNUMBER(E287)),"Data de recebimento não informada",IF(AND(ISNUMBER(V287),N(V287)&gt;0,E287&lt;N(V287)),"Data anterior à emissão do MTR",IF(AND(J287="Sim",L287="",M287=""),"Conferido sem evidência identificada",IF(J287&lt;&gt;"Sim","Aguardando conferência",IF(INDEX('ITENS_MTR'!$AM$6:$AM$1005,S287)=1,"Conferido (ver diferença no item)","Conferido"))))))))))))</f>
        <v/>
      </c>
      <c r="Q287" s="96">
        <f>IF(COUNTA(C287,E287:G287,I287:O287)&gt;0,1,0)</f>
        <v>0</v>
      </c>
      <c r="R287" s="96" t="str">
        <f>IF(C287="","",TRIM(LEFT(C287,FIND(" |",C287&amp;" |")-1)))</f>
        <v/>
      </c>
      <c r="S287" s="96" t="str">
        <f>IF(R287="","",IFERROR(MATCH(R287,'ITENS_MTR'!$A$6:$A$1005,0),""))</f>
        <v/>
      </c>
      <c r="T287" s="96">
        <f>IF(S287="",0,IF(INDEX('ITENS_MTR'!$R$6:$R$1005,S287)=1,1,0))</f>
        <v>0</v>
      </c>
      <c r="U287" s="96" t="str">
        <f>IF(T287=1,INDEX('ITENS_MTR'!$T$6:$T$1005,S287),"")</f>
        <v/>
      </c>
      <c r="V287" s="97" t="str">
        <f>IF(N(U287)&gt;0,INDEX('MTRs'!$E$6:$E$505,U287),"")</f>
        <v/>
      </c>
      <c r="W287" s="96" t="str">
        <f>IF(G287="","",IFERROR(IF(ISNUMBER(INDEX(cfg_fac,MATCH(G287,cfg_units,0))),IF(INDEX(cfg_fac,MATCH(G287,cfg_units,0))&gt;0,INDEX(cfg_fac,MATCH(G287,cfg_units,0)),""),""),""))</f>
        <v/>
      </c>
      <c r="X287" s="96">
        <f>IF(AND(ISNUMBER(F287),ISNUMBER(H287)),IF(H287&gt;0,1,0),0)</f>
        <v>0</v>
      </c>
      <c r="Y287" s="96">
        <f>IF(Q287=0,0,IF(OR(T287=0,X287=0,NOT(ISNUMBER(E287)),AND(J287="Sim",L287="",M287=""),AND(ISNUMBER(E287),ISNUMBER(V287),N(V287)&gt;0,E287&lt;N(V287))),1,0))</f>
        <v>0</v>
      </c>
      <c r="Z287" s="96">
        <f>IF(AND(Q287=1,T287=1,X287=1,J287="Sim",OR(L287&lt;&gt;"",M287&lt;&gt;"")),1,0)</f>
        <v>0</v>
      </c>
      <c r="AA287" s="96">
        <f>IF(Q287=0,0,IF(AND(OR(r_ini="",AND(ISNUMBER(E287),E287&gt;=r_ini)),OR(r_fim="",AND(ISNUMBER(E287),E287&lt;=r_fim)),OR(r_un="",r_un="(Todas)",IF(N(U287)&gt;0,INDEX('MTRs'!$G$6:$G$505,U287),"")=r_un),OR(r_de="",r_de="(Todos)",D287=r_de)),1,0))</f>
        <v>0</v>
      </c>
      <c r="AB287" s="96" t="str">
        <f>IF(AA287=1,COUNTIF($AA$6:AA287,1),"")</f>
        <v/>
      </c>
    </row>
    <row r="288">
      <c r="A288" s="89" t="inlineStr">
        <is>
          <t>REC-000283</t>
        </is>
      </c>
      <c r="B288" s="94" t="str">
        <f>IF(T288=1,INDEX('ITENS_MTR'!$S$6:$S$1005,S288)&amp;"","")</f>
        <v/>
      </c>
      <c r="C288" s="91" t="n"/>
      <c r="D288" s="94" t="str">
        <f>IF(N(U288)&gt;0,INDEX('MTRs'!$I$6:$I$505,U288)&amp;"","")</f>
        <v/>
      </c>
      <c r="E288" s="92" t="n"/>
      <c r="F288" s="98" t="n"/>
      <c r="G288" s="91" t="n"/>
      <c r="H288" s="93" t="str">
        <f>IF(Q288=0,"",IF(NOT(ISNUMBER(F288)),"",IF(ISNUMBER(W288),F288*W288,"UNIDADE A CONFERIR")))</f>
        <v/>
      </c>
      <c r="I288" s="91" t="n"/>
      <c r="J288" s="91" t="n"/>
      <c r="K288" s="92" t="n"/>
      <c r="L288" s="91" t="n"/>
      <c r="M288" s="91" t="n"/>
      <c r="N288" s="91" t="n"/>
      <c r="O288" s="91" t="n"/>
      <c r="P288" s="94" t="str">
        <f>IF(Q288=0,"",IF(C288="","Item de resíduo não informado",IF(T288=0,"Item inexistente (referência inválida)",IF(NOT(ISNUMBER(F288)),"Quantidade não informada",IF(F288&lt;=0,"Quantidade não positiva",IF(G288="","Unidade não informada",IF(NOT(ISNUMBER(H288)),"Unidade a conferir",IF(NOT(ISNUMBER(E288)),"Data de recebimento não informada",IF(AND(ISNUMBER(V288),N(V288)&gt;0,E288&lt;N(V288)),"Data anterior à emissão do MTR",IF(AND(J288="Sim",L288="",M288=""),"Conferido sem evidência identificada",IF(J288&lt;&gt;"Sim","Aguardando conferência",IF(INDEX('ITENS_MTR'!$AM$6:$AM$1005,S288)=1,"Conferido (ver diferença no item)","Conferido"))))))))))))</f>
        <v/>
      </c>
      <c r="Q288" s="96">
        <f>IF(COUNTA(C288,E288:G288,I288:O288)&gt;0,1,0)</f>
        <v>0</v>
      </c>
      <c r="R288" s="96" t="str">
        <f>IF(C288="","",TRIM(LEFT(C288,FIND(" |",C288&amp;" |")-1)))</f>
        <v/>
      </c>
      <c r="S288" s="96" t="str">
        <f>IF(R288="","",IFERROR(MATCH(R288,'ITENS_MTR'!$A$6:$A$1005,0),""))</f>
        <v/>
      </c>
      <c r="T288" s="96">
        <f>IF(S288="",0,IF(INDEX('ITENS_MTR'!$R$6:$R$1005,S288)=1,1,0))</f>
        <v>0</v>
      </c>
      <c r="U288" s="96" t="str">
        <f>IF(T288=1,INDEX('ITENS_MTR'!$T$6:$T$1005,S288),"")</f>
        <v/>
      </c>
      <c r="V288" s="97" t="str">
        <f>IF(N(U288)&gt;0,INDEX('MTRs'!$E$6:$E$505,U288),"")</f>
        <v/>
      </c>
      <c r="W288" s="96" t="str">
        <f>IF(G288="","",IFERROR(IF(ISNUMBER(INDEX(cfg_fac,MATCH(G288,cfg_units,0))),IF(INDEX(cfg_fac,MATCH(G288,cfg_units,0))&gt;0,INDEX(cfg_fac,MATCH(G288,cfg_units,0)),""),""),""))</f>
        <v/>
      </c>
      <c r="X288" s="96">
        <f>IF(AND(ISNUMBER(F288),ISNUMBER(H288)),IF(H288&gt;0,1,0),0)</f>
        <v>0</v>
      </c>
      <c r="Y288" s="96">
        <f>IF(Q288=0,0,IF(OR(T288=0,X288=0,NOT(ISNUMBER(E288)),AND(J288="Sim",L288="",M288=""),AND(ISNUMBER(E288),ISNUMBER(V288),N(V288)&gt;0,E288&lt;N(V288))),1,0))</f>
        <v>0</v>
      </c>
      <c r="Z288" s="96">
        <f>IF(AND(Q288=1,T288=1,X288=1,J288="Sim",OR(L288&lt;&gt;"",M288&lt;&gt;"")),1,0)</f>
        <v>0</v>
      </c>
      <c r="AA288" s="96">
        <f>IF(Q288=0,0,IF(AND(OR(r_ini="",AND(ISNUMBER(E288),E288&gt;=r_ini)),OR(r_fim="",AND(ISNUMBER(E288),E288&lt;=r_fim)),OR(r_un="",r_un="(Todas)",IF(N(U288)&gt;0,INDEX('MTRs'!$G$6:$G$505,U288),"")=r_un),OR(r_de="",r_de="(Todos)",D288=r_de)),1,0))</f>
        <v>0</v>
      </c>
      <c r="AB288" s="96" t="str">
        <f>IF(AA288=1,COUNTIF($AA$6:AA288,1),"")</f>
        <v/>
      </c>
    </row>
    <row r="289">
      <c r="A289" s="89" t="inlineStr">
        <is>
          <t>REC-000284</t>
        </is>
      </c>
      <c r="B289" s="94" t="str">
        <f>IF(T289=1,INDEX('ITENS_MTR'!$S$6:$S$1005,S289)&amp;"","")</f>
        <v/>
      </c>
      <c r="C289" s="91" t="n"/>
      <c r="D289" s="94" t="str">
        <f>IF(N(U289)&gt;0,INDEX('MTRs'!$I$6:$I$505,U289)&amp;"","")</f>
        <v/>
      </c>
      <c r="E289" s="92" t="n"/>
      <c r="F289" s="98" t="n"/>
      <c r="G289" s="91" t="n"/>
      <c r="H289" s="93" t="str">
        <f>IF(Q289=0,"",IF(NOT(ISNUMBER(F289)),"",IF(ISNUMBER(W289),F289*W289,"UNIDADE A CONFERIR")))</f>
        <v/>
      </c>
      <c r="I289" s="91" t="n"/>
      <c r="J289" s="91" t="n"/>
      <c r="K289" s="92" t="n"/>
      <c r="L289" s="91" t="n"/>
      <c r="M289" s="91" t="n"/>
      <c r="N289" s="91" t="n"/>
      <c r="O289" s="91" t="n"/>
      <c r="P289" s="94" t="str">
        <f>IF(Q289=0,"",IF(C289="","Item de resíduo não informado",IF(T289=0,"Item inexistente (referência inválida)",IF(NOT(ISNUMBER(F289)),"Quantidade não informada",IF(F289&lt;=0,"Quantidade não positiva",IF(G289="","Unidade não informada",IF(NOT(ISNUMBER(H289)),"Unidade a conferir",IF(NOT(ISNUMBER(E289)),"Data de recebimento não informada",IF(AND(ISNUMBER(V289),N(V289)&gt;0,E289&lt;N(V289)),"Data anterior à emissão do MTR",IF(AND(J289="Sim",L289="",M289=""),"Conferido sem evidência identificada",IF(J289&lt;&gt;"Sim","Aguardando conferência",IF(INDEX('ITENS_MTR'!$AM$6:$AM$1005,S289)=1,"Conferido (ver diferença no item)","Conferido"))))))))))))</f>
        <v/>
      </c>
      <c r="Q289" s="96">
        <f>IF(COUNTA(C289,E289:G289,I289:O289)&gt;0,1,0)</f>
        <v>0</v>
      </c>
      <c r="R289" s="96" t="str">
        <f>IF(C289="","",TRIM(LEFT(C289,FIND(" |",C289&amp;" |")-1)))</f>
        <v/>
      </c>
      <c r="S289" s="96" t="str">
        <f>IF(R289="","",IFERROR(MATCH(R289,'ITENS_MTR'!$A$6:$A$1005,0),""))</f>
        <v/>
      </c>
      <c r="T289" s="96">
        <f>IF(S289="",0,IF(INDEX('ITENS_MTR'!$R$6:$R$1005,S289)=1,1,0))</f>
        <v>0</v>
      </c>
      <c r="U289" s="96" t="str">
        <f>IF(T289=1,INDEX('ITENS_MTR'!$T$6:$T$1005,S289),"")</f>
        <v/>
      </c>
      <c r="V289" s="97" t="str">
        <f>IF(N(U289)&gt;0,INDEX('MTRs'!$E$6:$E$505,U289),"")</f>
        <v/>
      </c>
      <c r="W289" s="96" t="str">
        <f>IF(G289="","",IFERROR(IF(ISNUMBER(INDEX(cfg_fac,MATCH(G289,cfg_units,0))),IF(INDEX(cfg_fac,MATCH(G289,cfg_units,0))&gt;0,INDEX(cfg_fac,MATCH(G289,cfg_units,0)),""),""),""))</f>
        <v/>
      </c>
      <c r="X289" s="96">
        <f>IF(AND(ISNUMBER(F289),ISNUMBER(H289)),IF(H289&gt;0,1,0),0)</f>
        <v>0</v>
      </c>
      <c r="Y289" s="96">
        <f>IF(Q289=0,0,IF(OR(T289=0,X289=0,NOT(ISNUMBER(E289)),AND(J289="Sim",L289="",M289=""),AND(ISNUMBER(E289),ISNUMBER(V289),N(V289)&gt;0,E289&lt;N(V289))),1,0))</f>
        <v>0</v>
      </c>
      <c r="Z289" s="96">
        <f>IF(AND(Q289=1,T289=1,X289=1,J289="Sim",OR(L289&lt;&gt;"",M289&lt;&gt;"")),1,0)</f>
        <v>0</v>
      </c>
      <c r="AA289" s="96">
        <f>IF(Q289=0,0,IF(AND(OR(r_ini="",AND(ISNUMBER(E289),E289&gt;=r_ini)),OR(r_fim="",AND(ISNUMBER(E289),E289&lt;=r_fim)),OR(r_un="",r_un="(Todas)",IF(N(U289)&gt;0,INDEX('MTRs'!$G$6:$G$505,U289),"")=r_un),OR(r_de="",r_de="(Todos)",D289=r_de)),1,0))</f>
        <v>0</v>
      </c>
      <c r="AB289" s="96" t="str">
        <f>IF(AA289=1,COUNTIF($AA$6:AA289,1),"")</f>
        <v/>
      </c>
    </row>
    <row r="290">
      <c r="A290" s="89" t="inlineStr">
        <is>
          <t>REC-000285</t>
        </is>
      </c>
      <c r="B290" s="94" t="str">
        <f>IF(T290=1,INDEX('ITENS_MTR'!$S$6:$S$1005,S290)&amp;"","")</f>
        <v/>
      </c>
      <c r="C290" s="91" t="n"/>
      <c r="D290" s="94" t="str">
        <f>IF(N(U290)&gt;0,INDEX('MTRs'!$I$6:$I$505,U290)&amp;"","")</f>
        <v/>
      </c>
      <c r="E290" s="92" t="n"/>
      <c r="F290" s="98" t="n"/>
      <c r="G290" s="91" t="n"/>
      <c r="H290" s="93" t="str">
        <f>IF(Q290=0,"",IF(NOT(ISNUMBER(F290)),"",IF(ISNUMBER(W290),F290*W290,"UNIDADE A CONFERIR")))</f>
        <v/>
      </c>
      <c r="I290" s="91" t="n"/>
      <c r="J290" s="91" t="n"/>
      <c r="K290" s="92" t="n"/>
      <c r="L290" s="91" t="n"/>
      <c r="M290" s="91" t="n"/>
      <c r="N290" s="91" t="n"/>
      <c r="O290" s="91" t="n"/>
      <c r="P290" s="94" t="str">
        <f>IF(Q290=0,"",IF(C290="","Item de resíduo não informado",IF(T290=0,"Item inexistente (referência inválida)",IF(NOT(ISNUMBER(F290)),"Quantidade não informada",IF(F290&lt;=0,"Quantidade não positiva",IF(G290="","Unidade não informada",IF(NOT(ISNUMBER(H290)),"Unidade a conferir",IF(NOT(ISNUMBER(E290)),"Data de recebimento não informada",IF(AND(ISNUMBER(V290),N(V290)&gt;0,E290&lt;N(V290)),"Data anterior à emissão do MTR",IF(AND(J290="Sim",L290="",M290=""),"Conferido sem evidência identificada",IF(J290&lt;&gt;"Sim","Aguardando conferência",IF(INDEX('ITENS_MTR'!$AM$6:$AM$1005,S290)=1,"Conferido (ver diferença no item)","Conferido"))))))))))))</f>
        <v/>
      </c>
      <c r="Q290" s="96">
        <f>IF(COUNTA(C290,E290:G290,I290:O290)&gt;0,1,0)</f>
        <v>0</v>
      </c>
      <c r="R290" s="96" t="str">
        <f>IF(C290="","",TRIM(LEFT(C290,FIND(" |",C290&amp;" |")-1)))</f>
        <v/>
      </c>
      <c r="S290" s="96" t="str">
        <f>IF(R290="","",IFERROR(MATCH(R290,'ITENS_MTR'!$A$6:$A$1005,0),""))</f>
        <v/>
      </c>
      <c r="T290" s="96">
        <f>IF(S290="",0,IF(INDEX('ITENS_MTR'!$R$6:$R$1005,S290)=1,1,0))</f>
        <v>0</v>
      </c>
      <c r="U290" s="96" t="str">
        <f>IF(T290=1,INDEX('ITENS_MTR'!$T$6:$T$1005,S290),"")</f>
        <v/>
      </c>
      <c r="V290" s="97" t="str">
        <f>IF(N(U290)&gt;0,INDEX('MTRs'!$E$6:$E$505,U290),"")</f>
        <v/>
      </c>
      <c r="W290" s="96" t="str">
        <f>IF(G290="","",IFERROR(IF(ISNUMBER(INDEX(cfg_fac,MATCH(G290,cfg_units,0))),IF(INDEX(cfg_fac,MATCH(G290,cfg_units,0))&gt;0,INDEX(cfg_fac,MATCH(G290,cfg_units,0)),""),""),""))</f>
        <v/>
      </c>
      <c r="X290" s="96">
        <f>IF(AND(ISNUMBER(F290),ISNUMBER(H290)),IF(H290&gt;0,1,0),0)</f>
        <v>0</v>
      </c>
      <c r="Y290" s="96">
        <f>IF(Q290=0,0,IF(OR(T290=0,X290=0,NOT(ISNUMBER(E290)),AND(J290="Sim",L290="",M290=""),AND(ISNUMBER(E290),ISNUMBER(V290),N(V290)&gt;0,E290&lt;N(V290))),1,0))</f>
        <v>0</v>
      </c>
      <c r="Z290" s="96">
        <f>IF(AND(Q290=1,T290=1,X290=1,J290="Sim",OR(L290&lt;&gt;"",M290&lt;&gt;"")),1,0)</f>
        <v>0</v>
      </c>
      <c r="AA290" s="96">
        <f>IF(Q290=0,0,IF(AND(OR(r_ini="",AND(ISNUMBER(E290),E290&gt;=r_ini)),OR(r_fim="",AND(ISNUMBER(E290),E290&lt;=r_fim)),OR(r_un="",r_un="(Todas)",IF(N(U290)&gt;0,INDEX('MTRs'!$G$6:$G$505,U290),"")=r_un),OR(r_de="",r_de="(Todos)",D290=r_de)),1,0))</f>
        <v>0</v>
      </c>
      <c r="AB290" s="96" t="str">
        <f>IF(AA290=1,COUNTIF($AA$6:AA290,1),"")</f>
        <v/>
      </c>
    </row>
    <row r="291">
      <c r="A291" s="89" t="inlineStr">
        <is>
          <t>REC-000286</t>
        </is>
      </c>
      <c r="B291" s="94" t="str">
        <f>IF(T291=1,INDEX('ITENS_MTR'!$S$6:$S$1005,S291)&amp;"","")</f>
        <v/>
      </c>
      <c r="C291" s="91" t="n"/>
      <c r="D291" s="94" t="str">
        <f>IF(N(U291)&gt;0,INDEX('MTRs'!$I$6:$I$505,U291)&amp;"","")</f>
        <v/>
      </c>
      <c r="E291" s="92" t="n"/>
      <c r="F291" s="98" t="n"/>
      <c r="G291" s="91" t="n"/>
      <c r="H291" s="93" t="str">
        <f>IF(Q291=0,"",IF(NOT(ISNUMBER(F291)),"",IF(ISNUMBER(W291),F291*W291,"UNIDADE A CONFERIR")))</f>
        <v/>
      </c>
      <c r="I291" s="91" t="n"/>
      <c r="J291" s="91" t="n"/>
      <c r="K291" s="92" t="n"/>
      <c r="L291" s="91" t="n"/>
      <c r="M291" s="91" t="n"/>
      <c r="N291" s="91" t="n"/>
      <c r="O291" s="91" t="n"/>
      <c r="P291" s="94" t="str">
        <f>IF(Q291=0,"",IF(C291="","Item de resíduo não informado",IF(T291=0,"Item inexistente (referência inválida)",IF(NOT(ISNUMBER(F291)),"Quantidade não informada",IF(F291&lt;=0,"Quantidade não positiva",IF(G291="","Unidade não informada",IF(NOT(ISNUMBER(H291)),"Unidade a conferir",IF(NOT(ISNUMBER(E291)),"Data de recebimento não informada",IF(AND(ISNUMBER(V291),N(V291)&gt;0,E291&lt;N(V291)),"Data anterior à emissão do MTR",IF(AND(J291="Sim",L291="",M291=""),"Conferido sem evidência identificada",IF(J291&lt;&gt;"Sim","Aguardando conferência",IF(INDEX('ITENS_MTR'!$AM$6:$AM$1005,S291)=1,"Conferido (ver diferença no item)","Conferido"))))))))))))</f>
        <v/>
      </c>
      <c r="Q291" s="96">
        <f>IF(COUNTA(C291,E291:G291,I291:O291)&gt;0,1,0)</f>
        <v>0</v>
      </c>
      <c r="R291" s="96" t="str">
        <f>IF(C291="","",TRIM(LEFT(C291,FIND(" |",C291&amp;" |")-1)))</f>
        <v/>
      </c>
      <c r="S291" s="96" t="str">
        <f>IF(R291="","",IFERROR(MATCH(R291,'ITENS_MTR'!$A$6:$A$1005,0),""))</f>
        <v/>
      </c>
      <c r="T291" s="96">
        <f>IF(S291="",0,IF(INDEX('ITENS_MTR'!$R$6:$R$1005,S291)=1,1,0))</f>
        <v>0</v>
      </c>
      <c r="U291" s="96" t="str">
        <f>IF(T291=1,INDEX('ITENS_MTR'!$T$6:$T$1005,S291),"")</f>
        <v/>
      </c>
      <c r="V291" s="97" t="str">
        <f>IF(N(U291)&gt;0,INDEX('MTRs'!$E$6:$E$505,U291),"")</f>
        <v/>
      </c>
      <c r="W291" s="96" t="str">
        <f>IF(G291="","",IFERROR(IF(ISNUMBER(INDEX(cfg_fac,MATCH(G291,cfg_units,0))),IF(INDEX(cfg_fac,MATCH(G291,cfg_units,0))&gt;0,INDEX(cfg_fac,MATCH(G291,cfg_units,0)),""),""),""))</f>
        <v/>
      </c>
      <c r="X291" s="96">
        <f>IF(AND(ISNUMBER(F291),ISNUMBER(H291)),IF(H291&gt;0,1,0),0)</f>
        <v>0</v>
      </c>
      <c r="Y291" s="96">
        <f>IF(Q291=0,0,IF(OR(T291=0,X291=0,NOT(ISNUMBER(E291)),AND(J291="Sim",L291="",M291=""),AND(ISNUMBER(E291),ISNUMBER(V291),N(V291)&gt;0,E291&lt;N(V291))),1,0))</f>
        <v>0</v>
      </c>
      <c r="Z291" s="96">
        <f>IF(AND(Q291=1,T291=1,X291=1,J291="Sim",OR(L291&lt;&gt;"",M291&lt;&gt;"")),1,0)</f>
        <v>0</v>
      </c>
      <c r="AA291" s="96">
        <f>IF(Q291=0,0,IF(AND(OR(r_ini="",AND(ISNUMBER(E291),E291&gt;=r_ini)),OR(r_fim="",AND(ISNUMBER(E291),E291&lt;=r_fim)),OR(r_un="",r_un="(Todas)",IF(N(U291)&gt;0,INDEX('MTRs'!$G$6:$G$505,U291),"")=r_un),OR(r_de="",r_de="(Todos)",D291=r_de)),1,0))</f>
        <v>0</v>
      </c>
      <c r="AB291" s="96" t="str">
        <f>IF(AA291=1,COUNTIF($AA$6:AA291,1),"")</f>
        <v/>
      </c>
    </row>
    <row r="292">
      <c r="A292" s="89" t="inlineStr">
        <is>
          <t>REC-000287</t>
        </is>
      </c>
      <c r="B292" s="94" t="str">
        <f>IF(T292=1,INDEX('ITENS_MTR'!$S$6:$S$1005,S292)&amp;"","")</f>
        <v/>
      </c>
      <c r="C292" s="91" t="n"/>
      <c r="D292" s="94" t="str">
        <f>IF(N(U292)&gt;0,INDEX('MTRs'!$I$6:$I$505,U292)&amp;"","")</f>
        <v/>
      </c>
      <c r="E292" s="92" t="n"/>
      <c r="F292" s="98" t="n"/>
      <c r="G292" s="91" t="n"/>
      <c r="H292" s="93" t="str">
        <f>IF(Q292=0,"",IF(NOT(ISNUMBER(F292)),"",IF(ISNUMBER(W292),F292*W292,"UNIDADE A CONFERIR")))</f>
        <v/>
      </c>
      <c r="I292" s="91" t="n"/>
      <c r="J292" s="91" t="n"/>
      <c r="K292" s="92" t="n"/>
      <c r="L292" s="91" t="n"/>
      <c r="M292" s="91" t="n"/>
      <c r="N292" s="91" t="n"/>
      <c r="O292" s="91" t="n"/>
      <c r="P292" s="94" t="str">
        <f>IF(Q292=0,"",IF(C292="","Item de resíduo não informado",IF(T292=0,"Item inexistente (referência inválida)",IF(NOT(ISNUMBER(F292)),"Quantidade não informada",IF(F292&lt;=0,"Quantidade não positiva",IF(G292="","Unidade não informada",IF(NOT(ISNUMBER(H292)),"Unidade a conferir",IF(NOT(ISNUMBER(E292)),"Data de recebimento não informada",IF(AND(ISNUMBER(V292),N(V292)&gt;0,E292&lt;N(V292)),"Data anterior à emissão do MTR",IF(AND(J292="Sim",L292="",M292=""),"Conferido sem evidência identificada",IF(J292&lt;&gt;"Sim","Aguardando conferência",IF(INDEX('ITENS_MTR'!$AM$6:$AM$1005,S292)=1,"Conferido (ver diferença no item)","Conferido"))))))))))))</f>
        <v/>
      </c>
      <c r="Q292" s="96">
        <f>IF(COUNTA(C292,E292:G292,I292:O292)&gt;0,1,0)</f>
        <v>0</v>
      </c>
      <c r="R292" s="96" t="str">
        <f>IF(C292="","",TRIM(LEFT(C292,FIND(" |",C292&amp;" |")-1)))</f>
        <v/>
      </c>
      <c r="S292" s="96" t="str">
        <f>IF(R292="","",IFERROR(MATCH(R292,'ITENS_MTR'!$A$6:$A$1005,0),""))</f>
        <v/>
      </c>
      <c r="T292" s="96">
        <f>IF(S292="",0,IF(INDEX('ITENS_MTR'!$R$6:$R$1005,S292)=1,1,0))</f>
        <v>0</v>
      </c>
      <c r="U292" s="96" t="str">
        <f>IF(T292=1,INDEX('ITENS_MTR'!$T$6:$T$1005,S292),"")</f>
        <v/>
      </c>
      <c r="V292" s="97" t="str">
        <f>IF(N(U292)&gt;0,INDEX('MTRs'!$E$6:$E$505,U292),"")</f>
        <v/>
      </c>
      <c r="W292" s="96" t="str">
        <f>IF(G292="","",IFERROR(IF(ISNUMBER(INDEX(cfg_fac,MATCH(G292,cfg_units,0))),IF(INDEX(cfg_fac,MATCH(G292,cfg_units,0))&gt;0,INDEX(cfg_fac,MATCH(G292,cfg_units,0)),""),""),""))</f>
        <v/>
      </c>
      <c r="X292" s="96">
        <f>IF(AND(ISNUMBER(F292),ISNUMBER(H292)),IF(H292&gt;0,1,0),0)</f>
        <v>0</v>
      </c>
      <c r="Y292" s="96">
        <f>IF(Q292=0,0,IF(OR(T292=0,X292=0,NOT(ISNUMBER(E292)),AND(J292="Sim",L292="",M292=""),AND(ISNUMBER(E292),ISNUMBER(V292),N(V292)&gt;0,E292&lt;N(V292))),1,0))</f>
        <v>0</v>
      </c>
      <c r="Z292" s="96">
        <f>IF(AND(Q292=1,T292=1,X292=1,J292="Sim",OR(L292&lt;&gt;"",M292&lt;&gt;"")),1,0)</f>
        <v>0</v>
      </c>
      <c r="AA292" s="96">
        <f>IF(Q292=0,0,IF(AND(OR(r_ini="",AND(ISNUMBER(E292),E292&gt;=r_ini)),OR(r_fim="",AND(ISNUMBER(E292),E292&lt;=r_fim)),OR(r_un="",r_un="(Todas)",IF(N(U292)&gt;0,INDEX('MTRs'!$G$6:$G$505,U292),"")=r_un),OR(r_de="",r_de="(Todos)",D292=r_de)),1,0))</f>
        <v>0</v>
      </c>
      <c r="AB292" s="96" t="str">
        <f>IF(AA292=1,COUNTIF($AA$6:AA292,1),"")</f>
        <v/>
      </c>
    </row>
    <row r="293">
      <c r="A293" s="89" t="inlineStr">
        <is>
          <t>REC-000288</t>
        </is>
      </c>
      <c r="B293" s="94" t="str">
        <f>IF(T293=1,INDEX('ITENS_MTR'!$S$6:$S$1005,S293)&amp;"","")</f>
        <v/>
      </c>
      <c r="C293" s="91" t="n"/>
      <c r="D293" s="94" t="str">
        <f>IF(N(U293)&gt;0,INDEX('MTRs'!$I$6:$I$505,U293)&amp;"","")</f>
        <v/>
      </c>
      <c r="E293" s="92" t="n"/>
      <c r="F293" s="98" t="n"/>
      <c r="G293" s="91" t="n"/>
      <c r="H293" s="93" t="str">
        <f>IF(Q293=0,"",IF(NOT(ISNUMBER(F293)),"",IF(ISNUMBER(W293),F293*W293,"UNIDADE A CONFERIR")))</f>
        <v/>
      </c>
      <c r="I293" s="91" t="n"/>
      <c r="J293" s="91" t="n"/>
      <c r="K293" s="92" t="n"/>
      <c r="L293" s="91" t="n"/>
      <c r="M293" s="91" t="n"/>
      <c r="N293" s="91" t="n"/>
      <c r="O293" s="91" t="n"/>
      <c r="P293" s="94" t="str">
        <f>IF(Q293=0,"",IF(C293="","Item de resíduo não informado",IF(T293=0,"Item inexistente (referência inválida)",IF(NOT(ISNUMBER(F293)),"Quantidade não informada",IF(F293&lt;=0,"Quantidade não positiva",IF(G293="","Unidade não informada",IF(NOT(ISNUMBER(H293)),"Unidade a conferir",IF(NOT(ISNUMBER(E293)),"Data de recebimento não informada",IF(AND(ISNUMBER(V293),N(V293)&gt;0,E293&lt;N(V293)),"Data anterior à emissão do MTR",IF(AND(J293="Sim",L293="",M293=""),"Conferido sem evidência identificada",IF(J293&lt;&gt;"Sim","Aguardando conferência",IF(INDEX('ITENS_MTR'!$AM$6:$AM$1005,S293)=1,"Conferido (ver diferença no item)","Conferido"))))))))))))</f>
        <v/>
      </c>
      <c r="Q293" s="96">
        <f>IF(COUNTA(C293,E293:G293,I293:O293)&gt;0,1,0)</f>
        <v>0</v>
      </c>
      <c r="R293" s="96" t="str">
        <f>IF(C293="","",TRIM(LEFT(C293,FIND(" |",C293&amp;" |")-1)))</f>
        <v/>
      </c>
      <c r="S293" s="96" t="str">
        <f>IF(R293="","",IFERROR(MATCH(R293,'ITENS_MTR'!$A$6:$A$1005,0),""))</f>
        <v/>
      </c>
      <c r="T293" s="96">
        <f>IF(S293="",0,IF(INDEX('ITENS_MTR'!$R$6:$R$1005,S293)=1,1,0))</f>
        <v>0</v>
      </c>
      <c r="U293" s="96" t="str">
        <f>IF(T293=1,INDEX('ITENS_MTR'!$T$6:$T$1005,S293),"")</f>
        <v/>
      </c>
      <c r="V293" s="97" t="str">
        <f>IF(N(U293)&gt;0,INDEX('MTRs'!$E$6:$E$505,U293),"")</f>
        <v/>
      </c>
      <c r="W293" s="96" t="str">
        <f>IF(G293="","",IFERROR(IF(ISNUMBER(INDEX(cfg_fac,MATCH(G293,cfg_units,0))),IF(INDEX(cfg_fac,MATCH(G293,cfg_units,0))&gt;0,INDEX(cfg_fac,MATCH(G293,cfg_units,0)),""),""),""))</f>
        <v/>
      </c>
      <c r="X293" s="96">
        <f>IF(AND(ISNUMBER(F293),ISNUMBER(H293)),IF(H293&gt;0,1,0),0)</f>
        <v>0</v>
      </c>
      <c r="Y293" s="96">
        <f>IF(Q293=0,0,IF(OR(T293=0,X293=0,NOT(ISNUMBER(E293)),AND(J293="Sim",L293="",M293=""),AND(ISNUMBER(E293),ISNUMBER(V293),N(V293)&gt;0,E293&lt;N(V293))),1,0))</f>
        <v>0</v>
      </c>
      <c r="Z293" s="96">
        <f>IF(AND(Q293=1,T293=1,X293=1,J293="Sim",OR(L293&lt;&gt;"",M293&lt;&gt;"")),1,0)</f>
        <v>0</v>
      </c>
      <c r="AA293" s="96">
        <f>IF(Q293=0,0,IF(AND(OR(r_ini="",AND(ISNUMBER(E293),E293&gt;=r_ini)),OR(r_fim="",AND(ISNUMBER(E293),E293&lt;=r_fim)),OR(r_un="",r_un="(Todas)",IF(N(U293)&gt;0,INDEX('MTRs'!$G$6:$G$505,U293),"")=r_un),OR(r_de="",r_de="(Todos)",D293=r_de)),1,0))</f>
        <v>0</v>
      </c>
      <c r="AB293" s="96" t="str">
        <f>IF(AA293=1,COUNTIF($AA$6:AA293,1),"")</f>
        <v/>
      </c>
    </row>
    <row r="294">
      <c r="A294" s="89" t="inlineStr">
        <is>
          <t>REC-000289</t>
        </is>
      </c>
      <c r="B294" s="94" t="str">
        <f>IF(T294=1,INDEX('ITENS_MTR'!$S$6:$S$1005,S294)&amp;"","")</f>
        <v/>
      </c>
      <c r="C294" s="91" t="n"/>
      <c r="D294" s="94" t="str">
        <f>IF(N(U294)&gt;0,INDEX('MTRs'!$I$6:$I$505,U294)&amp;"","")</f>
        <v/>
      </c>
      <c r="E294" s="92" t="n"/>
      <c r="F294" s="98" t="n"/>
      <c r="G294" s="91" t="n"/>
      <c r="H294" s="93" t="str">
        <f>IF(Q294=0,"",IF(NOT(ISNUMBER(F294)),"",IF(ISNUMBER(W294),F294*W294,"UNIDADE A CONFERIR")))</f>
        <v/>
      </c>
      <c r="I294" s="91" t="n"/>
      <c r="J294" s="91" t="n"/>
      <c r="K294" s="92" t="n"/>
      <c r="L294" s="91" t="n"/>
      <c r="M294" s="91" t="n"/>
      <c r="N294" s="91" t="n"/>
      <c r="O294" s="91" t="n"/>
      <c r="P294" s="94" t="str">
        <f>IF(Q294=0,"",IF(C294="","Item de resíduo não informado",IF(T294=0,"Item inexistente (referência inválida)",IF(NOT(ISNUMBER(F294)),"Quantidade não informada",IF(F294&lt;=0,"Quantidade não positiva",IF(G294="","Unidade não informada",IF(NOT(ISNUMBER(H294)),"Unidade a conferir",IF(NOT(ISNUMBER(E294)),"Data de recebimento não informada",IF(AND(ISNUMBER(V294),N(V294)&gt;0,E294&lt;N(V294)),"Data anterior à emissão do MTR",IF(AND(J294="Sim",L294="",M294=""),"Conferido sem evidência identificada",IF(J294&lt;&gt;"Sim","Aguardando conferência",IF(INDEX('ITENS_MTR'!$AM$6:$AM$1005,S294)=1,"Conferido (ver diferença no item)","Conferido"))))))))))))</f>
        <v/>
      </c>
      <c r="Q294" s="96">
        <f>IF(COUNTA(C294,E294:G294,I294:O294)&gt;0,1,0)</f>
        <v>0</v>
      </c>
      <c r="R294" s="96" t="str">
        <f>IF(C294="","",TRIM(LEFT(C294,FIND(" |",C294&amp;" |")-1)))</f>
        <v/>
      </c>
      <c r="S294" s="96" t="str">
        <f>IF(R294="","",IFERROR(MATCH(R294,'ITENS_MTR'!$A$6:$A$1005,0),""))</f>
        <v/>
      </c>
      <c r="T294" s="96">
        <f>IF(S294="",0,IF(INDEX('ITENS_MTR'!$R$6:$R$1005,S294)=1,1,0))</f>
        <v>0</v>
      </c>
      <c r="U294" s="96" t="str">
        <f>IF(T294=1,INDEX('ITENS_MTR'!$T$6:$T$1005,S294),"")</f>
        <v/>
      </c>
      <c r="V294" s="97" t="str">
        <f>IF(N(U294)&gt;0,INDEX('MTRs'!$E$6:$E$505,U294),"")</f>
        <v/>
      </c>
      <c r="W294" s="96" t="str">
        <f>IF(G294="","",IFERROR(IF(ISNUMBER(INDEX(cfg_fac,MATCH(G294,cfg_units,0))),IF(INDEX(cfg_fac,MATCH(G294,cfg_units,0))&gt;0,INDEX(cfg_fac,MATCH(G294,cfg_units,0)),""),""),""))</f>
        <v/>
      </c>
      <c r="X294" s="96">
        <f>IF(AND(ISNUMBER(F294),ISNUMBER(H294)),IF(H294&gt;0,1,0),0)</f>
        <v>0</v>
      </c>
      <c r="Y294" s="96">
        <f>IF(Q294=0,0,IF(OR(T294=0,X294=0,NOT(ISNUMBER(E294)),AND(J294="Sim",L294="",M294=""),AND(ISNUMBER(E294),ISNUMBER(V294),N(V294)&gt;0,E294&lt;N(V294))),1,0))</f>
        <v>0</v>
      </c>
      <c r="Z294" s="96">
        <f>IF(AND(Q294=1,T294=1,X294=1,J294="Sim",OR(L294&lt;&gt;"",M294&lt;&gt;"")),1,0)</f>
        <v>0</v>
      </c>
      <c r="AA294" s="96">
        <f>IF(Q294=0,0,IF(AND(OR(r_ini="",AND(ISNUMBER(E294),E294&gt;=r_ini)),OR(r_fim="",AND(ISNUMBER(E294),E294&lt;=r_fim)),OR(r_un="",r_un="(Todas)",IF(N(U294)&gt;0,INDEX('MTRs'!$G$6:$G$505,U294),"")=r_un),OR(r_de="",r_de="(Todos)",D294=r_de)),1,0))</f>
        <v>0</v>
      </c>
      <c r="AB294" s="96" t="str">
        <f>IF(AA294=1,COUNTIF($AA$6:AA294,1),"")</f>
        <v/>
      </c>
    </row>
    <row r="295">
      <c r="A295" s="89" t="inlineStr">
        <is>
          <t>REC-000290</t>
        </is>
      </c>
      <c r="B295" s="94" t="str">
        <f>IF(T295=1,INDEX('ITENS_MTR'!$S$6:$S$1005,S295)&amp;"","")</f>
        <v/>
      </c>
      <c r="C295" s="91" t="n"/>
      <c r="D295" s="94" t="str">
        <f>IF(N(U295)&gt;0,INDEX('MTRs'!$I$6:$I$505,U295)&amp;"","")</f>
        <v/>
      </c>
      <c r="E295" s="92" t="n"/>
      <c r="F295" s="98" t="n"/>
      <c r="G295" s="91" t="n"/>
      <c r="H295" s="93" t="str">
        <f>IF(Q295=0,"",IF(NOT(ISNUMBER(F295)),"",IF(ISNUMBER(W295),F295*W295,"UNIDADE A CONFERIR")))</f>
        <v/>
      </c>
      <c r="I295" s="91" t="n"/>
      <c r="J295" s="91" t="n"/>
      <c r="K295" s="92" t="n"/>
      <c r="L295" s="91" t="n"/>
      <c r="M295" s="91" t="n"/>
      <c r="N295" s="91" t="n"/>
      <c r="O295" s="91" t="n"/>
      <c r="P295" s="94" t="str">
        <f>IF(Q295=0,"",IF(C295="","Item de resíduo não informado",IF(T295=0,"Item inexistente (referência inválida)",IF(NOT(ISNUMBER(F295)),"Quantidade não informada",IF(F295&lt;=0,"Quantidade não positiva",IF(G295="","Unidade não informada",IF(NOT(ISNUMBER(H295)),"Unidade a conferir",IF(NOT(ISNUMBER(E295)),"Data de recebimento não informada",IF(AND(ISNUMBER(V295),N(V295)&gt;0,E295&lt;N(V295)),"Data anterior à emissão do MTR",IF(AND(J295="Sim",L295="",M295=""),"Conferido sem evidência identificada",IF(J295&lt;&gt;"Sim","Aguardando conferência",IF(INDEX('ITENS_MTR'!$AM$6:$AM$1005,S295)=1,"Conferido (ver diferença no item)","Conferido"))))))))))))</f>
        <v/>
      </c>
      <c r="Q295" s="96">
        <f>IF(COUNTA(C295,E295:G295,I295:O295)&gt;0,1,0)</f>
        <v>0</v>
      </c>
      <c r="R295" s="96" t="str">
        <f>IF(C295="","",TRIM(LEFT(C295,FIND(" |",C295&amp;" |")-1)))</f>
        <v/>
      </c>
      <c r="S295" s="96" t="str">
        <f>IF(R295="","",IFERROR(MATCH(R295,'ITENS_MTR'!$A$6:$A$1005,0),""))</f>
        <v/>
      </c>
      <c r="T295" s="96">
        <f>IF(S295="",0,IF(INDEX('ITENS_MTR'!$R$6:$R$1005,S295)=1,1,0))</f>
        <v>0</v>
      </c>
      <c r="U295" s="96" t="str">
        <f>IF(T295=1,INDEX('ITENS_MTR'!$T$6:$T$1005,S295),"")</f>
        <v/>
      </c>
      <c r="V295" s="97" t="str">
        <f>IF(N(U295)&gt;0,INDEX('MTRs'!$E$6:$E$505,U295),"")</f>
        <v/>
      </c>
      <c r="W295" s="96" t="str">
        <f>IF(G295="","",IFERROR(IF(ISNUMBER(INDEX(cfg_fac,MATCH(G295,cfg_units,0))),IF(INDEX(cfg_fac,MATCH(G295,cfg_units,0))&gt;0,INDEX(cfg_fac,MATCH(G295,cfg_units,0)),""),""),""))</f>
        <v/>
      </c>
      <c r="X295" s="96">
        <f>IF(AND(ISNUMBER(F295),ISNUMBER(H295)),IF(H295&gt;0,1,0),0)</f>
        <v>0</v>
      </c>
      <c r="Y295" s="96">
        <f>IF(Q295=0,0,IF(OR(T295=0,X295=0,NOT(ISNUMBER(E295)),AND(J295="Sim",L295="",M295=""),AND(ISNUMBER(E295),ISNUMBER(V295),N(V295)&gt;0,E295&lt;N(V295))),1,0))</f>
        <v>0</v>
      </c>
      <c r="Z295" s="96">
        <f>IF(AND(Q295=1,T295=1,X295=1,J295="Sim",OR(L295&lt;&gt;"",M295&lt;&gt;"")),1,0)</f>
        <v>0</v>
      </c>
      <c r="AA295" s="96">
        <f>IF(Q295=0,0,IF(AND(OR(r_ini="",AND(ISNUMBER(E295),E295&gt;=r_ini)),OR(r_fim="",AND(ISNUMBER(E295),E295&lt;=r_fim)),OR(r_un="",r_un="(Todas)",IF(N(U295)&gt;0,INDEX('MTRs'!$G$6:$G$505,U295),"")=r_un),OR(r_de="",r_de="(Todos)",D295=r_de)),1,0))</f>
        <v>0</v>
      </c>
      <c r="AB295" s="96" t="str">
        <f>IF(AA295=1,COUNTIF($AA$6:AA295,1),"")</f>
        <v/>
      </c>
    </row>
    <row r="296">
      <c r="A296" s="89" t="inlineStr">
        <is>
          <t>REC-000291</t>
        </is>
      </c>
      <c r="B296" s="94" t="str">
        <f>IF(T296=1,INDEX('ITENS_MTR'!$S$6:$S$1005,S296)&amp;"","")</f>
        <v/>
      </c>
      <c r="C296" s="91" t="n"/>
      <c r="D296" s="94" t="str">
        <f>IF(N(U296)&gt;0,INDEX('MTRs'!$I$6:$I$505,U296)&amp;"","")</f>
        <v/>
      </c>
      <c r="E296" s="92" t="n"/>
      <c r="F296" s="98" t="n"/>
      <c r="G296" s="91" t="n"/>
      <c r="H296" s="93" t="str">
        <f>IF(Q296=0,"",IF(NOT(ISNUMBER(F296)),"",IF(ISNUMBER(W296),F296*W296,"UNIDADE A CONFERIR")))</f>
        <v/>
      </c>
      <c r="I296" s="91" t="n"/>
      <c r="J296" s="91" t="n"/>
      <c r="K296" s="92" t="n"/>
      <c r="L296" s="91" t="n"/>
      <c r="M296" s="91" t="n"/>
      <c r="N296" s="91" t="n"/>
      <c r="O296" s="91" t="n"/>
      <c r="P296" s="94" t="str">
        <f>IF(Q296=0,"",IF(C296="","Item de resíduo não informado",IF(T296=0,"Item inexistente (referência inválida)",IF(NOT(ISNUMBER(F296)),"Quantidade não informada",IF(F296&lt;=0,"Quantidade não positiva",IF(G296="","Unidade não informada",IF(NOT(ISNUMBER(H296)),"Unidade a conferir",IF(NOT(ISNUMBER(E296)),"Data de recebimento não informada",IF(AND(ISNUMBER(V296),N(V296)&gt;0,E296&lt;N(V296)),"Data anterior à emissão do MTR",IF(AND(J296="Sim",L296="",M296=""),"Conferido sem evidência identificada",IF(J296&lt;&gt;"Sim","Aguardando conferência",IF(INDEX('ITENS_MTR'!$AM$6:$AM$1005,S296)=1,"Conferido (ver diferença no item)","Conferido"))))))))))))</f>
        <v/>
      </c>
      <c r="Q296" s="96">
        <f>IF(COUNTA(C296,E296:G296,I296:O296)&gt;0,1,0)</f>
        <v>0</v>
      </c>
      <c r="R296" s="96" t="str">
        <f>IF(C296="","",TRIM(LEFT(C296,FIND(" |",C296&amp;" |")-1)))</f>
        <v/>
      </c>
      <c r="S296" s="96" t="str">
        <f>IF(R296="","",IFERROR(MATCH(R296,'ITENS_MTR'!$A$6:$A$1005,0),""))</f>
        <v/>
      </c>
      <c r="T296" s="96">
        <f>IF(S296="",0,IF(INDEX('ITENS_MTR'!$R$6:$R$1005,S296)=1,1,0))</f>
        <v>0</v>
      </c>
      <c r="U296" s="96" t="str">
        <f>IF(T296=1,INDEX('ITENS_MTR'!$T$6:$T$1005,S296),"")</f>
        <v/>
      </c>
      <c r="V296" s="97" t="str">
        <f>IF(N(U296)&gt;0,INDEX('MTRs'!$E$6:$E$505,U296),"")</f>
        <v/>
      </c>
      <c r="W296" s="96" t="str">
        <f>IF(G296="","",IFERROR(IF(ISNUMBER(INDEX(cfg_fac,MATCH(G296,cfg_units,0))),IF(INDEX(cfg_fac,MATCH(G296,cfg_units,0))&gt;0,INDEX(cfg_fac,MATCH(G296,cfg_units,0)),""),""),""))</f>
        <v/>
      </c>
      <c r="X296" s="96">
        <f>IF(AND(ISNUMBER(F296),ISNUMBER(H296)),IF(H296&gt;0,1,0),0)</f>
        <v>0</v>
      </c>
      <c r="Y296" s="96">
        <f>IF(Q296=0,0,IF(OR(T296=0,X296=0,NOT(ISNUMBER(E296)),AND(J296="Sim",L296="",M296=""),AND(ISNUMBER(E296),ISNUMBER(V296),N(V296)&gt;0,E296&lt;N(V296))),1,0))</f>
        <v>0</v>
      </c>
      <c r="Z296" s="96">
        <f>IF(AND(Q296=1,T296=1,X296=1,J296="Sim",OR(L296&lt;&gt;"",M296&lt;&gt;"")),1,0)</f>
        <v>0</v>
      </c>
      <c r="AA296" s="96">
        <f>IF(Q296=0,0,IF(AND(OR(r_ini="",AND(ISNUMBER(E296),E296&gt;=r_ini)),OR(r_fim="",AND(ISNUMBER(E296),E296&lt;=r_fim)),OR(r_un="",r_un="(Todas)",IF(N(U296)&gt;0,INDEX('MTRs'!$G$6:$G$505,U296),"")=r_un),OR(r_de="",r_de="(Todos)",D296=r_de)),1,0))</f>
        <v>0</v>
      </c>
      <c r="AB296" s="96" t="str">
        <f>IF(AA296=1,COUNTIF($AA$6:AA296,1),"")</f>
        <v/>
      </c>
    </row>
    <row r="297">
      <c r="A297" s="89" t="inlineStr">
        <is>
          <t>REC-000292</t>
        </is>
      </c>
      <c r="B297" s="94" t="str">
        <f>IF(T297=1,INDEX('ITENS_MTR'!$S$6:$S$1005,S297)&amp;"","")</f>
        <v/>
      </c>
      <c r="C297" s="91" t="n"/>
      <c r="D297" s="94" t="str">
        <f>IF(N(U297)&gt;0,INDEX('MTRs'!$I$6:$I$505,U297)&amp;"","")</f>
        <v/>
      </c>
      <c r="E297" s="92" t="n"/>
      <c r="F297" s="98" t="n"/>
      <c r="G297" s="91" t="n"/>
      <c r="H297" s="93" t="str">
        <f>IF(Q297=0,"",IF(NOT(ISNUMBER(F297)),"",IF(ISNUMBER(W297),F297*W297,"UNIDADE A CONFERIR")))</f>
        <v/>
      </c>
      <c r="I297" s="91" t="n"/>
      <c r="J297" s="91" t="n"/>
      <c r="K297" s="92" t="n"/>
      <c r="L297" s="91" t="n"/>
      <c r="M297" s="91" t="n"/>
      <c r="N297" s="91" t="n"/>
      <c r="O297" s="91" t="n"/>
      <c r="P297" s="94" t="str">
        <f>IF(Q297=0,"",IF(C297="","Item de resíduo não informado",IF(T297=0,"Item inexistente (referência inválida)",IF(NOT(ISNUMBER(F297)),"Quantidade não informada",IF(F297&lt;=0,"Quantidade não positiva",IF(G297="","Unidade não informada",IF(NOT(ISNUMBER(H297)),"Unidade a conferir",IF(NOT(ISNUMBER(E297)),"Data de recebimento não informada",IF(AND(ISNUMBER(V297),N(V297)&gt;0,E297&lt;N(V297)),"Data anterior à emissão do MTR",IF(AND(J297="Sim",L297="",M297=""),"Conferido sem evidência identificada",IF(J297&lt;&gt;"Sim","Aguardando conferência",IF(INDEX('ITENS_MTR'!$AM$6:$AM$1005,S297)=1,"Conferido (ver diferença no item)","Conferido"))))))))))))</f>
        <v/>
      </c>
      <c r="Q297" s="96">
        <f>IF(COUNTA(C297,E297:G297,I297:O297)&gt;0,1,0)</f>
        <v>0</v>
      </c>
      <c r="R297" s="96" t="str">
        <f>IF(C297="","",TRIM(LEFT(C297,FIND(" |",C297&amp;" |")-1)))</f>
        <v/>
      </c>
      <c r="S297" s="96" t="str">
        <f>IF(R297="","",IFERROR(MATCH(R297,'ITENS_MTR'!$A$6:$A$1005,0),""))</f>
        <v/>
      </c>
      <c r="T297" s="96">
        <f>IF(S297="",0,IF(INDEX('ITENS_MTR'!$R$6:$R$1005,S297)=1,1,0))</f>
        <v>0</v>
      </c>
      <c r="U297" s="96" t="str">
        <f>IF(T297=1,INDEX('ITENS_MTR'!$T$6:$T$1005,S297),"")</f>
        <v/>
      </c>
      <c r="V297" s="97" t="str">
        <f>IF(N(U297)&gt;0,INDEX('MTRs'!$E$6:$E$505,U297),"")</f>
        <v/>
      </c>
      <c r="W297" s="96" t="str">
        <f>IF(G297="","",IFERROR(IF(ISNUMBER(INDEX(cfg_fac,MATCH(G297,cfg_units,0))),IF(INDEX(cfg_fac,MATCH(G297,cfg_units,0))&gt;0,INDEX(cfg_fac,MATCH(G297,cfg_units,0)),""),""),""))</f>
        <v/>
      </c>
      <c r="X297" s="96">
        <f>IF(AND(ISNUMBER(F297),ISNUMBER(H297)),IF(H297&gt;0,1,0),0)</f>
        <v>0</v>
      </c>
      <c r="Y297" s="96">
        <f>IF(Q297=0,0,IF(OR(T297=0,X297=0,NOT(ISNUMBER(E297)),AND(J297="Sim",L297="",M297=""),AND(ISNUMBER(E297),ISNUMBER(V297),N(V297)&gt;0,E297&lt;N(V297))),1,0))</f>
        <v>0</v>
      </c>
      <c r="Z297" s="96">
        <f>IF(AND(Q297=1,T297=1,X297=1,J297="Sim",OR(L297&lt;&gt;"",M297&lt;&gt;"")),1,0)</f>
        <v>0</v>
      </c>
      <c r="AA297" s="96">
        <f>IF(Q297=0,0,IF(AND(OR(r_ini="",AND(ISNUMBER(E297),E297&gt;=r_ini)),OR(r_fim="",AND(ISNUMBER(E297),E297&lt;=r_fim)),OR(r_un="",r_un="(Todas)",IF(N(U297)&gt;0,INDEX('MTRs'!$G$6:$G$505,U297),"")=r_un),OR(r_de="",r_de="(Todos)",D297=r_de)),1,0))</f>
        <v>0</v>
      </c>
      <c r="AB297" s="96" t="str">
        <f>IF(AA297=1,COUNTIF($AA$6:AA297,1),"")</f>
        <v/>
      </c>
    </row>
    <row r="298">
      <c r="A298" s="89" t="inlineStr">
        <is>
          <t>REC-000293</t>
        </is>
      </c>
      <c r="B298" s="94" t="str">
        <f>IF(T298=1,INDEX('ITENS_MTR'!$S$6:$S$1005,S298)&amp;"","")</f>
        <v/>
      </c>
      <c r="C298" s="91" t="n"/>
      <c r="D298" s="94" t="str">
        <f>IF(N(U298)&gt;0,INDEX('MTRs'!$I$6:$I$505,U298)&amp;"","")</f>
        <v/>
      </c>
      <c r="E298" s="92" t="n"/>
      <c r="F298" s="98" t="n"/>
      <c r="G298" s="91" t="n"/>
      <c r="H298" s="93" t="str">
        <f>IF(Q298=0,"",IF(NOT(ISNUMBER(F298)),"",IF(ISNUMBER(W298),F298*W298,"UNIDADE A CONFERIR")))</f>
        <v/>
      </c>
      <c r="I298" s="91" t="n"/>
      <c r="J298" s="91" t="n"/>
      <c r="K298" s="92" t="n"/>
      <c r="L298" s="91" t="n"/>
      <c r="M298" s="91" t="n"/>
      <c r="N298" s="91" t="n"/>
      <c r="O298" s="91" t="n"/>
      <c r="P298" s="94" t="str">
        <f>IF(Q298=0,"",IF(C298="","Item de resíduo não informado",IF(T298=0,"Item inexistente (referência inválida)",IF(NOT(ISNUMBER(F298)),"Quantidade não informada",IF(F298&lt;=0,"Quantidade não positiva",IF(G298="","Unidade não informada",IF(NOT(ISNUMBER(H298)),"Unidade a conferir",IF(NOT(ISNUMBER(E298)),"Data de recebimento não informada",IF(AND(ISNUMBER(V298),N(V298)&gt;0,E298&lt;N(V298)),"Data anterior à emissão do MTR",IF(AND(J298="Sim",L298="",M298=""),"Conferido sem evidência identificada",IF(J298&lt;&gt;"Sim","Aguardando conferência",IF(INDEX('ITENS_MTR'!$AM$6:$AM$1005,S298)=1,"Conferido (ver diferença no item)","Conferido"))))))))))))</f>
        <v/>
      </c>
      <c r="Q298" s="96">
        <f>IF(COUNTA(C298,E298:G298,I298:O298)&gt;0,1,0)</f>
        <v>0</v>
      </c>
      <c r="R298" s="96" t="str">
        <f>IF(C298="","",TRIM(LEFT(C298,FIND(" |",C298&amp;" |")-1)))</f>
        <v/>
      </c>
      <c r="S298" s="96" t="str">
        <f>IF(R298="","",IFERROR(MATCH(R298,'ITENS_MTR'!$A$6:$A$1005,0),""))</f>
        <v/>
      </c>
      <c r="T298" s="96">
        <f>IF(S298="",0,IF(INDEX('ITENS_MTR'!$R$6:$R$1005,S298)=1,1,0))</f>
        <v>0</v>
      </c>
      <c r="U298" s="96" t="str">
        <f>IF(T298=1,INDEX('ITENS_MTR'!$T$6:$T$1005,S298),"")</f>
        <v/>
      </c>
      <c r="V298" s="97" t="str">
        <f>IF(N(U298)&gt;0,INDEX('MTRs'!$E$6:$E$505,U298),"")</f>
        <v/>
      </c>
      <c r="W298" s="96" t="str">
        <f>IF(G298="","",IFERROR(IF(ISNUMBER(INDEX(cfg_fac,MATCH(G298,cfg_units,0))),IF(INDEX(cfg_fac,MATCH(G298,cfg_units,0))&gt;0,INDEX(cfg_fac,MATCH(G298,cfg_units,0)),""),""),""))</f>
        <v/>
      </c>
      <c r="X298" s="96">
        <f>IF(AND(ISNUMBER(F298),ISNUMBER(H298)),IF(H298&gt;0,1,0),0)</f>
        <v>0</v>
      </c>
      <c r="Y298" s="96">
        <f>IF(Q298=0,0,IF(OR(T298=0,X298=0,NOT(ISNUMBER(E298)),AND(J298="Sim",L298="",M298=""),AND(ISNUMBER(E298),ISNUMBER(V298),N(V298)&gt;0,E298&lt;N(V298))),1,0))</f>
        <v>0</v>
      </c>
      <c r="Z298" s="96">
        <f>IF(AND(Q298=1,T298=1,X298=1,J298="Sim",OR(L298&lt;&gt;"",M298&lt;&gt;"")),1,0)</f>
        <v>0</v>
      </c>
      <c r="AA298" s="96">
        <f>IF(Q298=0,0,IF(AND(OR(r_ini="",AND(ISNUMBER(E298),E298&gt;=r_ini)),OR(r_fim="",AND(ISNUMBER(E298),E298&lt;=r_fim)),OR(r_un="",r_un="(Todas)",IF(N(U298)&gt;0,INDEX('MTRs'!$G$6:$G$505,U298),"")=r_un),OR(r_de="",r_de="(Todos)",D298=r_de)),1,0))</f>
        <v>0</v>
      </c>
      <c r="AB298" s="96" t="str">
        <f>IF(AA298=1,COUNTIF($AA$6:AA298,1),"")</f>
        <v/>
      </c>
    </row>
    <row r="299">
      <c r="A299" s="89" t="inlineStr">
        <is>
          <t>REC-000294</t>
        </is>
      </c>
      <c r="B299" s="94" t="str">
        <f>IF(T299=1,INDEX('ITENS_MTR'!$S$6:$S$1005,S299)&amp;"","")</f>
        <v/>
      </c>
      <c r="C299" s="91" t="n"/>
      <c r="D299" s="94" t="str">
        <f>IF(N(U299)&gt;0,INDEX('MTRs'!$I$6:$I$505,U299)&amp;"","")</f>
        <v/>
      </c>
      <c r="E299" s="92" t="n"/>
      <c r="F299" s="98" t="n"/>
      <c r="G299" s="91" t="n"/>
      <c r="H299" s="93" t="str">
        <f>IF(Q299=0,"",IF(NOT(ISNUMBER(F299)),"",IF(ISNUMBER(W299),F299*W299,"UNIDADE A CONFERIR")))</f>
        <v/>
      </c>
      <c r="I299" s="91" t="n"/>
      <c r="J299" s="91" t="n"/>
      <c r="K299" s="92" t="n"/>
      <c r="L299" s="91" t="n"/>
      <c r="M299" s="91" t="n"/>
      <c r="N299" s="91" t="n"/>
      <c r="O299" s="91" t="n"/>
      <c r="P299" s="94" t="str">
        <f>IF(Q299=0,"",IF(C299="","Item de resíduo não informado",IF(T299=0,"Item inexistente (referência inválida)",IF(NOT(ISNUMBER(F299)),"Quantidade não informada",IF(F299&lt;=0,"Quantidade não positiva",IF(G299="","Unidade não informada",IF(NOT(ISNUMBER(H299)),"Unidade a conferir",IF(NOT(ISNUMBER(E299)),"Data de recebimento não informada",IF(AND(ISNUMBER(V299),N(V299)&gt;0,E299&lt;N(V299)),"Data anterior à emissão do MTR",IF(AND(J299="Sim",L299="",M299=""),"Conferido sem evidência identificada",IF(J299&lt;&gt;"Sim","Aguardando conferência",IF(INDEX('ITENS_MTR'!$AM$6:$AM$1005,S299)=1,"Conferido (ver diferença no item)","Conferido"))))))))))))</f>
        <v/>
      </c>
      <c r="Q299" s="96">
        <f>IF(COUNTA(C299,E299:G299,I299:O299)&gt;0,1,0)</f>
        <v>0</v>
      </c>
      <c r="R299" s="96" t="str">
        <f>IF(C299="","",TRIM(LEFT(C299,FIND(" |",C299&amp;" |")-1)))</f>
        <v/>
      </c>
      <c r="S299" s="96" t="str">
        <f>IF(R299="","",IFERROR(MATCH(R299,'ITENS_MTR'!$A$6:$A$1005,0),""))</f>
        <v/>
      </c>
      <c r="T299" s="96">
        <f>IF(S299="",0,IF(INDEX('ITENS_MTR'!$R$6:$R$1005,S299)=1,1,0))</f>
        <v>0</v>
      </c>
      <c r="U299" s="96" t="str">
        <f>IF(T299=1,INDEX('ITENS_MTR'!$T$6:$T$1005,S299),"")</f>
        <v/>
      </c>
      <c r="V299" s="97" t="str">
        <f>IF(N(U299)&gt;0,INDEX('MTRs'!$E$6:$E$505,U299),"")</f>
        <v/>
      </c>
      <c r="W299" s="96" t="str">
        <f>IF(G299="","",IFERROR(IF(ISNUMBER(INDEX(cfg_fac,MATCH(G299,cfg_units,0))),IF(INDEX(cfg_fac,MATCH(G299,cfg_units,0))&gt;0,INDEX(cfg_fac,MATCH(G299,cfg_units,0)),""),""),""))</f>
        <v/>
      </c>
      <c r="X299" s="96">
        <f>IF(AND(ISNUMBER(F299),ISNUMBER(H299)),IF(H299&gt;0,1,0),0)</f>
        <v>0</v>
      </c>
      <c r="Y299" s="96">
        <f>IF(Q299=0,0,IF(OR(T299=0,X299=0,NOT(ISNUMBER(E299)),AND(J299="Sim",L299="",M299=""),AND(ISNUMBER(E299),ISNUMBER(V299),N(V299)&gt;0,E299&lt;N(V299))),1,0))</f>
        <v>0</v>
      </c>
      <c r="Z299" s="96">
        <f>IF(AND(Q299=1,T299=1,X299=1,J299="Sim",OR(L299&lt;&gt;"",M299&lt;&gt;"")),1,0)</f>
        <v>0</v>
      </c>
      <c r="AA299" s="96">
        <f>IF(Q299=0,0,IF(AND(OR(r_ini="",AND(ISNUMBER(E299),E299&gt;=r_ini)),OR(r_fim="",AND(ISNUMBER(E299),E299&lt;=r_fim)),OR(r_un="",r_un="(Todas)",IF(N(U299)&gt;0,INDEX('MTRs'!$G$6:$G$505,U299),"")=r_un),OR(r_de="",r_de="(Todos)",D299=r_de)),1,0))</f>
        <v>0</v>
      </c>
      <c r="AB299" s="96" t="str">
        <f>IF(AA299=1,COUNTIF($AA$6:AA299,1),"")</f>
        <v/>
      </c>
    </row>
    <row r="300">
      <c r="A300" s="89" t="inlineStr">
        <is>
          <t>REC-000295</t>
        </is>
      </c>
      <c r="B300" s="94" t="str">
        <f>IF(T300=1,INDEX('ITENS_MTR'!$S$6:$S$1005,S300)&amp;"","")</f>
        <v/>
      </c>
      <c r="C300" s="91" t="n"/>
      <c r="D300" s="94" t="str">
        <f>IF(N(U300)&gt;0,INDEX('MTRs'!$I$6:$I$505,U300)&amp;"","")</f>
        <v/>
      </c>
      <c r="E300" s="92" t="n"/>
      <c r="F300" s="98" t="n"/>
      <c r="G300" s="91" t="n"/>
      <c r="H300" s="93" t="str">
        <f>IF(Q300=0,"",IF(NOT(ISNUMBER(F300)),"",IF(ISNUMBER(W300),F300*W300,"UNIDADE A CONFERIR")))</f>
        <v/>
      </c>
      <c r="I300" s="91" t="n"/>
      <c r="J300" s="91" t="n"/>
      <c r="K300" s="92" t="n"/>
      <c r="L300" s="91" t="n"/>
      <c r="M300" s="91" t="n"/>
      <c r="N300" s="91" t="n"/>
      <c r="O300" s="91" t="n"/>
      <c r="P300" s="94" t="str">
        <f>IF(Q300=0,"",IF(C300="","Item de resíduo não informado",IF(T300=0,"Item inexistente (referência inválida)",IF(NOT(ISNUMBER(F300)),"Quantidade não informada",IF(F300&lt;=0,"Quantidade não positiva",IF(G300="","Unidade não informada",IF(NOT(ISNUMBER(H300)),"Unidade a conferir",IF(NOT(ISNUMBER(E300)),"Data de recebimento não informada",IF(AND(ISNUMBER(V300),N(V300)&gt;0,E300&lt;N(V300)),"Data anterior à emissão do MTR",IF(AND(J300="Sim",L300="",M300=""),"Conferido sem evidência identificada",IF(J300&lt;&gt;"Sim","Aguardando conferência",IF(INDEX('ITENS_MTR'!$AM$6:$AM$1005,S300)=1,"Conferido (ver diferença no item)","Conferido"))))))))))))</f>
        <v/>
      </c>
      <c r="Q300" s="96">
        <f>IF(COUNTA(C300,E300:G300,I300:O300)&gt;0,1,0)</f>
        <v>0</v>
      </c>
      <c r="R300" s="96" t="str">
        <f>IF(C300="","",TRIM(LEFT(C300,FIND(" |",C300&amp;" |")-1)))</f>
        <v/>
      </c>
      <c r="S300" s="96" t="str">
        <f>IF(R300="","",IFERROR(MATCH(R300,'ITENS_MTR'!$A$6:$A$1005,0),""))</f>
        <v/>
      </c>
      <c r="T300" s="96">
        <f>IF(S300="",0,IF(INDEX('ITENS_MTR'!$R$6:$R$1005,S300)=1,1,0))</f>
        <v>0</v>
      </c>
      <c r="U300" s="96" t="str">
        <f>IF(T300=1,INDEX('ITENS_MTR'!$T$6:$T$1005,S300),"")</f>
        <v/>
      </c>
      <c r="V300" s="97" t="str">
        <f>IF(N(U300)&gt;0,INDEX('MTRs'!$E$6:$E$505,U300),"")</f>
        <v/>
      </c>
      <c r="W300" s="96" t="str">
        <f>IF(G300="","",IFERROR(IF(ISNUMBER(INDEX(cfg_fac,MATCH(G300,cfg_units,0))),IF(INDEX(cfg_fac,MATCH(G300,cfg_units,0))&gt;0,INDEX(cfg_fac,MATCH(G300,cfg_units,0)),""),""),""))</f>
        <v/>
      </c>
      <c r="X300" s="96">
        <f>IF(AND(ISNUMBER(F300),ISNUMBER(H300)),IF(H300&gt;0,1,0),0)</f>
        <v>0</v>
      </c>
      <c r="Y300" s="96">
        <f>IF(Q300=0,0,IF(OR(T300=0,X300=0,NOT(ISNUMBER(E300)),AND(J300="Sim",L300="",M300=""),AND(ISNUMBER(E300),ISNUMBER(V300),N(V300)&gt;0,E300&lt;N(V300))),1,0))</f>
        <v>0</v>
      </c>
      <c r="Z300" s="96">
        <f>IF(AND(Q300=1,T300=1,X300=1,J300="Sim",OR(L300&lt;&gt;"",M300&lt;&gt;"")),1,0)</f>
        <v>0</v>
      </c>
      <c r="AA300" s="96">
        <f>IF(Q300=0,0,IF(AND(OR(r_ini="",AND(ISNUMBER(E300),E300&gt;=r_ini)),OR(r_fim="",AND(ISNUMBER(E300),E300&lt;=r_fim)),OR(r_un="",r_un="(Todas)",IF(N(U300)&gt;0,INDEX('MTRs'!$G$6:$G$505,U300),"")=r_un),OR(r_de="",r_de="(Todos)",D300=r_de)),1,0))</f>
        <v>0</v>
      </c>
      <c r="AB300" s="96" t="str">
        <f>IF(AA300=1,COUNTIF($AA$6:AA300,1),"")</f>
        <v/>
      </c>
    </row>
    <row r="301">
      <c r="A301" s="89" t="inlineStr">
        <is>
          <t>REC-000296</t>
        </is>
      </c>
      <c r="B301" s="94" t="str">
        <f>IF(T301=1,INDEX('ITENS_MTR'!$S$6:$S$1005,S301)&amp;"","")</f>
        <v/>
      </c>
      <c r="C301" s="91" t="n"/>
      <c r="D301" s="94" t="str">
        <f>IF(N(U301)&gt;0,INDEX('MTRs'!$I$6:$I$505,U301)&amp;"","")</f>
        <v/>
      </c>
      <c r="E301" s="92" t="n"/>
      <c r="F301" s="98" t="n"/>
      <c r="G301" s="91" t="n"/>
      <c r="H301" s="93" t="str">
        <f>IF(Q301=0,"",IF(NOT(ISNUMBER(F301)),"",IF(ISNUMBER(W301),F301*W301,"UNIDADE A CONFERIR")))</f>
        <v/>
      </c>
      <c r="I301" s="91" t="n"/>
      <c r="J301" s="91" t="n"/>
      <c r="K301" s="92" t="n"/>
      <c r="L301" s="91" t="n"/>
      <c r="M301" s="91" t="n"/>
      <c r="N301" s="91" t="n"/>
      <c r="O301" s="91" t="n"/>
      <c r="P301" s="94" t="str">
        <f>IF(Q301=0,"",IF(C301="","Item de resíduo não informado",IF(T301=0,"Item inexistente (referência inválida)",IF(NOT(ISNUMBER(F301)),"Quantidade não informada",IF(F301&lt;=0,"Quantidade não positiva",IF(G301="","Unidade não informada",IF(NOT(ISNUMBER(H301)),"Unidade a conferir",IF(NOT(ISNUMBER(E301)),"Data de recebimento não informada",IF(AND(ISNUMBER(V301),N(V301)&gt;0,E301&lt;N(V301)),"Data anterior à emissão do MTR",IF(AND(J301="Sim",L301="",M301=""),"Conferido sem evidência identificada",IF(J301&lt;&gt;"Sim","Aguardando conferência",IF(INDEX('ITENS_MTR'!$AM$6:$AM$1005,S301)=1,"Conferido (ver diferença no item)","Conferido"))))))))))))</f>
        <v/>
      </c>
      <c r="Q301" s="96">
        <f>IF(COUNTA(C301,E301:G301,I301:O301)&gt;0,1,0)</f>
        <v>0</v>
      </c>
      <c r="R301" s="96" t="str">
        <f>IF(C301="","",TRIM(LEFT(C301,FIND(" |",C301&amp;" |")-1)))</f>
        <v/>
      </c>
      <c r="S301" s="96" t="str">
        <f>IF(R301="","",IFERROR(MATCH(R301,'ITENS_MTR'!$A$6:$A$1005,0),""))</f>
        <v/>
      </c>
      <c r="T301" s="96">
        <f>IF(S301="",0,IF(INDEX('ITENS_MTR'!$R$6:$R$1005,S301)=1,1,0))</f>
        <v>0</v>
      </c>
      <c r="U301" s="96" t="str">
        <f>IF(T301=1,INDEX('ITENS_MTR'!$T$6:$T$1005,S301),"")</f>
        <v/>
      </c>
      <c r="V301" s="97" t="str">
        <f>IF(N(U301)&gt;0,INDEX('MTRs'!$E$6:$E$505,U301),"")</f>
        <v/>
      </c>
      <c r="W301" s="96" t="str">
        <f>IF(G301="","",IFERROR(IF(ISNUMBER(INDEX(cfg_fac,MATCH(G301,cfg_units,0))),IF(INDEX(cfg_fac,MATCH(G301,cfg_units,0))&gt;0,INDEX(cfg_fac,MATCH(G301,cfg_units,0)),""),""),""))</f>
        <v/>
      </c>
      <c r="X301" s="96">
        <f>IF(AND(ISNUMBER(F301),ISNUMBER(H301)),IF(H301&gt;0,1,0),0)</f>
        <v>0</v>
      </c>
      <c r="Y301" s="96">
        <f>IF(Q301=0,0,IF(OR(T301=0,X301=0,NOT(ISNUMBER(E301)),AND(J301="Sim",L301="",M301=""),AND(ISNUMBER(E301),ISNUMBER(V301),N(V301)&gt;0,E301&lt;N(V301))),1,0))</f>
        <v>0</v>
      </c>
      <c r="Z301" s="96">
        <f>IF(AND(Q301=1,T301=1,X301=1,J301="Sim",OR(L301&lt;&gt;"",M301&lt;&gt;"")),1,0)</f>
        <v>0</v>
      </c>
      <c r="AA301" s="96">
        <f>IF(Q301=0,0,IF(AND(OR(r_ini="",AND(ISNUMBER(E301),E301&gt;=r_ini)),OR(r_fim="",AND(ISNUMBER(E301),E301&lt;=r_fim)),OR(r_un="",r_un="(Todas)",IF(N(U301)&gt;0,INDEX('MTRs'!$G$6:$G$505,U301),"")=r_un),OR(r_de="",r_de="(Todos)",D301=r_de)),1,0))</f>
        <v>0</v>
      </c>
      <c r="AB301" s="96" t="str">
        <f>IF(AA301=1,COUNTIF($AA$6:AA301,1),"")</f>
        <v/>
      </c>
    </row>
    <row r="302">
      <c r="A302" s="89" t="inlineStr">
        <is>
          <t>REC-000297</t>
        </is>
      </c>
      <c r="B302" s="94" t="str">
        <f>IF(T302=1,INDEX('ITENS_MTR'!$S$6:$S$1005,S302)&amp;"","")</f>
        <v/>
      </c>
      <c r="C302" s="91" t="n"/>
      <c r="D302" s="94" t="str">
        <f>IF(N(U302)&gt;0,INDEX('MTRs'!$I$6:$I$505,U302)&amp;"","")</f>
        <v/>
      </c>
      <c r="E302" s="92" t="n"/>
      <c r="F302" s="98" t="n"/>
      <c r="G302" s="91" t="n"/>
      <c r="H302" s="93" t="str">
        <f>IF(Q302=0,"",IF(NOT(ISNUMBER(F302)),"",IF(ISNUMBER(W302),F302*W302,"UNIDADE A CONFERIR")))</f>
        <v/>
      </c>
      <c r="I302" s="91" t="n"/>
      <c r="J302" s="91" t="n"/>
      <c r="K302" s="92" t="n"/>
      <c r="L302" s="91" t="n"/>
      <c r="M302" s="91" t="n"/>
      <c r="N302" s="91" t="n"/>
      <c r="O302" s="91" t="n"/>
      <c r="P302" s="94" t="str">
        <f>IF(Q302=0,"",IF(C302="","Item de resíduo não informado",IF(T302=0,"Item inexistente (referência inválida)",IF(NOT(ISNUMBER(F302)),"Quantidade não informada",IF(F302&lt;=0,"Quantidade não positiva",IF(G302="","Unidade não informada",IF(NOT(ISNUMBER(H302)),"Unidade a conferir",IF(NOT(ISNUMBER(E302)),"Data de recebimento não informada",IF(AND(ISNUMBER(V302),N(V302)&gt;0,E302&lt;N(V302)),"Data anterior à emissão do MTR",IF(AND(J302="Sim",L302="",M302=""),"Conferido sem evidência identificada",IF(J302&lt;&gt;"Sim","Aguardando conferência",IF(INDEX('ITENS_MTR'!$AM$6:$AM$1005,S302)=1,"Conferido (ver diferença no item)","Conferido"))))))))))))</f>
        <v/>
      </c>
      <c r="Q302" s="96">
        <f>IF(COUNTA(C302,E302:G302,I302:O302)&gt;0,1,0)</f>
        <v>0</v>
      </c>
      <c r="R302" s="96" t="str">
        <f>IF(C302="","",TRIM(LEFT(C302,FIND(" |",C302&amp;" |")-1)))</f>
        <v/>
      </c>
      <c r="S302" s="96" t="str">
        <f>IF(R302="","",IFERROR(MATCH(R302,'ITENS_MTR'!$A$6:$A$1005,0),""))</f>
        <v/>
      </c>
      <c r="T302" s="96">
        <f>IF(S302="",0,IF(INDEX('ITENS_MTR'!$R$6:$R$1005,S302)=1,1,0))</f>
        <v>0</v>
      </c>
      <c r="U302" s="96" t="str">
        <f>IF(T302=1,INDEX('ITENS_MTR'!$T$6:$T$1005,S302),"")</f>
        <v/>
      </c>
      <c r="V302" s="97" t="str">
        <f>IF(N(U302)&gt;0,INDEX('MTRs'!$E$6:$E$505,U302),"")</f>
        <v/>
      </c>
      <c r="W302" s="96" t="str">
        <f>IF(G302="","",IFERROR(IF(ISNUMBER(INDEX(cfg_fac,MATCH(G302,cfg_units,0))),IF(INDEX(cfg_fac,MATCH(G302,cfg_units,0))&gt;0,INDEX(cfg_fac,MATCH(G302,cfg_units,0)),""),""),""))</f>
        <v/>
      </c>
      <c r="X302" s="96">
        <f>IF(AND(ISNUMBER(F302),ISNUMBER(H302)),IF(H302&gt;0,1,0),0)</f>
        <v>0</v>
      </c>
      <c r="Y302" s="96">
        <f>IF(Q302=0,0,IF(OR(T302=0,X302=0,NOT(ISNUMBER(E302)),AND(J302="Sim",L302="",M302=""),AND(ISNUMBER(E302),ISNUMBER(V302),N(V302)&gt;0,E302&lt;N(V302))),1,0))</f>
        <v>0</v>
      </c>
      <c r="Z302" s="96">
        <f>IF(AND(Q302=1,T302=1,X302=1,J302="Sim",OR(L302&lt;&gt;"",M302&lt;&gt;"")),1,0)</f>
        <v>0</v>
      </c>
      <c r="AA302" s="96">
        <f>IF(Q302=0,0,IF(AND(OR(r_ini="",AND(ISNUMBER(E302),E302&gt;=r_ini)),OR(r_fim="",AND(ISNUMBER(E302),E302&lt;=r_fim)),OR(r_un="",r_un="(Todas)",IF(N(U302)&gt;0,INDEX('MTRs'!$G$6:$G$505,U302),"")=r_un),OR(r_de="",r_de="(Todos)",D302=r_de)),1,0))</f>
        <v>0</v>
      </c>
      <c r="AB302" s="96" t="str">
        <f>IF(AA302=1,COUNTIF($AA$6:AA302,1),"")</f>
        <v/>
      </c>
    </row>
    <row r="303">
      <c r="A303" s="89" t="inlineStr">
        <is>
          <t>REC-000298</t>
        </is>
      </c>
      <c r="B303" s="94" t="str">
        <f>IF(T303=1,INDEX('ITENS_MTR'!$S$6:$S$1005,S303)&amp;"","")</f>
        <v/>
      </c>
      <c r="C303" s="91" t="n"/>
      <c r="D303" s="94" t="str">
        <f>IF(N(U303)&gt;0,INDEX('MTRs'!$I$6:$I$505,U303)&amp;"","")</f>
        <v/>
      </c>
      <c r="E303" s="92" t="n"/>
      <c r="F303" s="98" t="n"/>
      <c r="G303" s="91" t="n"/>
      <c r="H303" s="93" t="str">
        <f>IF(Q303=0,"",IF(NOT(ISNUMBER(F303)),"",IF(ISNUMBER(W303),F303*W303,"UNIDADE A CONFERIR")))</f>
        <v/>
      </c>
      <c r="I303" s="91" t="n"/>
      <c r="J303" s="91" t="n"/>
      <c r="K303" s="92" t="n"/>
      <c r="L303" s="91" t="n"/>
      <c r="M303" s="91" t="n"/>
      <c r="N303" s="91" t="n"/>
      <c r="O303" s="91" t="n"/>
      <c r="P303" s="94" t="str">
        <f>IF(Q303=0,"",IF(C303="","Item de resíduo não informado",IF(T303=0,"Item inexistente (referência inválida)",IF(NOT(ISNUMBER(F303)),"Quantidade não informada",IF(F303&lt;=0,"Quantidade não positiva",IF(G303="","Unidade não informada",IF(NOT(ISNUMBER(H303)),"Unidade a conferir",IF(NOT(ISNUMBER(E303)),"Data de recebimento não informada",IF(AND(ISNUMBER(V303),N(V303)&gt;0,E303&lt;N(V303)),"Data anterior à emissão do MTR",IF(AND(J303="Sim",L303="",M303=""),"Conferido sem evidência identificada",IF(J303&lt;&gt;"Sim","Aguardando conferência",IF(INDEX('ITENS_MTR'!$AM$6:$AM$1005,S303)=1,"Conferido (ver diferença no item)","Conferido"))))))))))))</f>
        <v/>
      </c>
      <c r="Q303" s="96">
        <f>IF(COUNTA(C303,E303:G303,I303:O303)&gt;0,1,0)</f>
        <v>0</v>
      </c>
      <c r="R303" s="96" t="str">
        <f>IF(C303="","",TRIM(LEFT(C303,FIND(" |",C303&amp;" |")-1)))</f>
        <v/>
      </c>
      <c r="S303" s="96" t="str">
        <f>IF(R303="","",IFERROR(MATCH(R303,'ITENS_MTR'!$A$6:$A$1005,0),""))</f>
        <v/>
      </c>
      <c r="T303" s="96">
        <f>IF(S303="",0,IF(INDEX('ITENS_MTR'!$R$6:$R$1005,S303)=1,1,0))</f>
        <v>0</v>
      </c>
      <c r="U303" s="96" t="str">
        <f>IF(T303=1,INDEX('ITENS_MTR'!$T$6:$T$1005,S303),"")</f>
        <v/>
      </c>
      <c r="V303" s="97" t="str">
        <f>IF(N(U303)&gt;0,INDEX('MTRs'!$E$6:$E$505,U303),"")</f>
        <v/>
      </c>
      <c r="W303" s="96" t="str">
        <f>IF(G303="","",IFERROR(IF(ISNUMBER(INDEX(cfg_fac,MATCH(G303,cfg_units,0))),IF(INDEX(cfg_fac,MATCH(G303,cfg_units,0))&gt;0,INDEX(cfg_fac,MATCH(G303,cfg_units,0)),""),""),""))</f>
        <v/>
      </c>
      <c r="X303" s="96">
        <f>IF(AND(ISNUMBER(F303),ISNUMBER(H303)),IF(H303&gt;0,1,0),0)</f>
        <v>0</v>
      </c>
      <c r="Y303" s="96">
        <f>IF(Q303=0,0,IF(OR(T303=0,X303=0,NOT(ISNUMBER(E303)),AND(J303="Sim",L303="",M303=""),AND(ISNUMBER(E303),ISNUMBER(V303),N(V303)&gt;0,E303&lt;N(V303))),1,0))</f>
        <v>0</v>
      </c>
      <c r="Z303" s="96">
        <f>IF(AND(Q303=1,T303=1,X303=1,J303="Sim",OR(L303&lt;&gt;"",M303&lt;&gt;"")),1,0)</f>
        <v>0</v>
      </c>
      <c r="AA303" s="96">
        <f>IF(Q303=0,0,IF(AND(OR(r_ini="",AND(ISNUMBER(E303),E303&gt;=r_ini)),OR(r_fim="",AND(ISNUMBER(E303),E303&lt;=r_fim)),OR(r_un="",r_un="(Todas)",IF(N(U303)&gt;0,INDEX('MTRs'!$G$6:$G$505,U303),"")=r_un),OR(r_de="",r_de="(Todos)",D303=r_de)),1,0))</f>
        <v>0</v>
      </c>
      <c r="AB303" s="96" t="str">
        <f>IF(AA303=1,COUNTIF($AA$6:AA303,1),"")</f>
        <v/>
      </c>
    </row>
    <row r="304">
      <c r="A304" s="89" t="inlineStr">
        <is>
          <t>REC-000299</t>
        </is>
      </c>
      <c r="B304" s="94" t="str">
        <f>IF(T304=1,INDEX('ITENS_MTR'!$S$6:$S$1005,S304)&amp;"","")</f>
        <v/>
      </c>
      <c r="C304" s="91" t="n"/>
      <c r="D304" s="94" t="str">
        <f>IF(N(U304)&gt;0,INDEX('MTRs'!$I$6:$I$505,U304)&amp;"","")</f>
        <v/>
      </c>
      <c r="E304" s="92" t="n"/>
      <c r="F304" s="98" t="n"/>
      <c r="G304" s="91" t="n"/>
      <c r="H304" s="93" t="str">
        <f>IF(Q304=0,"",IF(NOT(ISNUMBER(F304)),"",IF(ISNUMBER(W304),F304*W304,"UNIDADE A CONFERIR")))</f>
        <v/>
      </c>
      <c r="I304" s="91" t="n"/>
      <c r="J304" s="91" t="n"/>
      <c r="K304" s="92" t="n"/>
      <c r="L304" s="91" t="n"/>
      <c r="M304" s="91" t="n"/>
      <c r="N304" s="91" t="n"/>
      <c r="O304" s="91" t="n"/>
      <c r="P304" s="94" t="str">
        <f>IF(Q304=0,"",IF(C304="","Item de resíduo não informado",IF(T304=0,"Item inexistente (referência inválida)",IF(NOT(ISNUMBER(F304)),"Quantidade não informada",IF(F304&lt;=0,"Quantidade não positiva",IF(G304="","Unidade não informada",IF(NOT(ISNUMBER(H304)),"Unidade a conferir",IF(NOT(ISNUMBER(E304)),"Data de recebimento não informada",IF(AND(ISNUMBER(V304),N(V304)&gt;0,E304&lt;N(V304)),"Data anterior à emissão do MTR",IF(AND(J304="Sim",L304="",M304=""),"Conferido sem evidência identificada",IF(J304&lt;&gt;"Sim","Aguardando conferência",IF(INDEX('ITENS_MTR'!$AM$6:$AM$1005,S304)=1,"Conferido (ver diferença no item)","Conferido"))))))))))))</f>
        <v/>
      </c>
      <c r="Q304" s="96">
        <f>IF(COUNTA(C304,E304:G304,I304:O304)&gt;0,1,0)</f>
        <v>0</v>
      </c>
      <c r="R304" s="96" t="str">
        <f>IF(C304="","",TRIM(LEFT(C304,FIND(" |",C304&amp;" |")-1)))</f>
        <v/>
      </c>
      <c r="S304" s="96" t="str">
        <f>IF(R304="","",IFERROR(MATCH(R304,'ITENS_MTR'!$A$6:$A$1005,0),""))</f>
        <v/>
      </c>
      <c r="T304" s="96">
        <f>IF(S304="",0,IF(INDEX('ITENS_MTR'!$R$6:$R$1005,S304)=1,1,0))</f>
        <v>0</v>
      </c>
      <c r="U304" s="96" t="str">
        <f>IF(T304=1,INDEX('ITENS_MTR'!$T$6:$T$1005,S304),"")</f>
        <v/>
      </c>
      <c r="V304" s="97" t="str">
        <f>IF(N(U304)&gt;0,INDEX('MTRs'!$E$6:$E$505,U304),"")</f>
        <v/>
      </c>
      <c r="W304" s="96" t="str">
        <f>IF(G304="","",IFERROR(IF(ISNUMBER(INDEX(cfg_fac,MATCH(G304,cfg_units,0))),IF(INDEX(cfg_fac,MATCH(G304,cfg_units,0))&gt;0,INDEX(cfg_fac,MATCH(G304,cfg_units,0)),""),""),""))</f>
        <v/>
      </c>
      <c r="X304" s="96">
        <f>IF(AND(ISNUMBER(F304),ISNUMBER(H304)),IF(H304&gt;0,1,0),0)</f>
        <v>0</v>
      </c>
      <c r="Y304" s="96">
        <f>IF(Q304=0,0,IF(OR(T304=0,X304=0,NOT(ISNUMBER(E304)),AND(J304="Sim",L304="",M304=""),AND(ISNUMBER(E304),ISNUMBER(V304),N(V304)&gt;0,E304&lt;N(V304))),1,0))</f>
        <v>0</v>
      </c>
      <c r="Z304" s="96">
        <f>IF(AND(Q304=1,T304=1,X304=1,J304="Sim",OR(L304&lt;&gt;"",M304&lt;&gt;"")),1,0)</f>
        <v>0</v>
      </c>
      <c r="AA304" s="96">
        <f>IF(Q304=0,0,IF(AND(OR(r_ini="",AND(ISNUMBER(E304),E304&gt;=r_ini)),OR(r_fim="",AND(ISNUMBER(E304),E304&lt;=r_fim)),OR(r_un="",r_un="(Todas)",IF(N(U304)&gt;0,INDEX('MTRs'!$G$6:$G$505,U304),"")=r_un),OR(r_de="",r_de="(Todos)",D304=r_de)),1,0))</f>
        <v>0</v>
      </c>
      <c r="AB304" s="96" t="str">
        <f>IF(AA304=1,COUNTIF($AA$6:AA304,1),"")</f>
        <v/>
      </c>
    </row>
    <row r="305">
      <c r="A305" s="89" t="inlineStr">
        <is>
          <t>REC-000300</t>
        </is>
      </c>
      <c r="B305" s="94" t="str">
        <f>IF(T305=1,INDEX('ITENS_MTR'!$S$6:$S$1005,S305)&amp;"","")</f>
        <v/>
      </c>
      <c r="C305" s="91" t="n"/>
      <c r="D305" s="94" t="str">
        <f>IF(N(U305)&gt;0,INDEX('MTRs'!$I$6:$I$505,U305)&amp;"","")</f>
        <v/>
      </c>
      <c r="E305" s="92" t="n"/>
      <c r="F305" s="98" t="n"/>
      <c r="G305" s="91" t="n"/>
      <c r="H305" s="93" t="str">
        <f>IF(Q305=0,"",IF(NOT(ISNUMBER(F305)),"",IF(ISNUMBER(W305),F305*W305,"UNIDADE A CONFERIR")))</f>
        <v/>
      </c>
      <c r="I305" s="91" t="n"/>
      <c r="J305" s="91" t="n"/>
      <c r="K305" s="92" t="n"/>
      <c r="L305" s="91" t="n"/>
      <c r="M305" s="91" t="n"/>
      <c r="N305" s="91" t="n"/>
      <c r="O305" s="91" t="n"/>
      <c r="P305" s="94" t="str">
        <f>IF(Q305=0,"",IF(C305="","Item de resíduo não informado",IF(T305=0,"Item inexistente (referência inválida)",IF(NOT(ISNUMBER(F305)),"Quantidade não informada",IF(F305&lt;=0,"Quantidade não positiva",IF(G305="","Unidade não informada",IF(NOT(ISNUMBER(H305)),"Unidade a conferir",IF(NOT(ISNUMBER(E305)),"Data de recebimento não informada",IF(AND(ISNUMBER(V305),N(V305)&gt;0,E305&lt;N(V305)),"Data anterior à emissão do MTR",IF(AND(J305="Sim",L305="",M305=""),"Conferido sem evidência identificada",IF(J305&lt;&gt;"Sim","Aguardando conferência",IF(INDEX('ITENS_MTR'!$AM$6:$AM$1005,S305)=1,"Conferido (ver diferença no item)","Conferido"))))))))))))</f>
        <v/>
      </c>
      <c r="Q305" s="96">
        <f>IF(COUNTA(C305,E305:G305,I305:O305)&gt;0,1,0)</f>
        <v>0</v>
      </c>
      <c r="R305" s="96" t="str">
        <f>IF(C305="","",TRIM(LEFT(C305,FIND(" |",C305&amp;" |")-1)))</f>
        <v/>
      </c>
      <c r="S305" s="96" t="str">
        <f>IF(R305="","",IFERROR(MATCH(R305,'ITENS_MTR'!$A$6:$A$1005,0),""))</f>
        <v/>
      </c>
      <c r="T305" s="96">
        <f>IF(S305="",0,IF(INDEX('ITENS_MTR'!$R$6:$R$1005,S305)=1,1,0))</f>
        <v>0</v>
      </c>
      <c r="U305" s="96" t="str">
        <f>IF(T305=1,INDEX('ITENS_MTR'!$T$6:$T$1005,S305),"")</f>
        <v/>
      </c>
      <c r="V305" s="97" t="str">
        <f>IF(N(U305)&gt;0,INDEX('MTRs'!$E$6:$E$505,U305),"")</f>
        <v/>
      </c>
      <c r="W305" s="96" t="str">
        <f>IF(G305="","",IFERROR(IF(ISNUMBER(INDEX(cfg_fac,MATCH(G305,cfg_units,0))),IF(INDEX(cfg_fac,MATCH(G305,cfg_units,0))&gt;0,INDEX(cfg_fac,MATCH(G305,cfg_units,0)),""),""),""))</f>
        <v/>
      </c>
      <c r="X305" s="96">
        <f>IF(AND(ISNUMBER(F305),ISNUMBER(H305)),IF(H305&gt;0,1,0),0)</f>
        <v>0</v>
      </c>
      <c r="Y305" s="96">
        <f>IF(Q305=0,0,IF(OR(T305=0,X305=0,NOT(ISNUMBER(E305)),AND(J305="Sim",L305="",M305=""),AND(ISNUMBER(E305),ISNUMBER(V305),N(V305)&gt;0,E305&lt;N(V305))),1,0))</f>
        <v>0</v>
      </c>
      <c r="Z305" s="96">
        <f>IF(AND(Q305=1,T305=1,X305=1,J305="Sim",OR(L305&lt;&gt;"",M305&lt;&gt;"")),1,0)</f>
        <v>0</v>
      </c>
      <c r="AA305" s="96">
        <f>IF(Q305=0,0,IF(AND(OR(r_ini="",AND(ISNUMBER(E305),E305&gt;=r_ini)),OR(r_fim="",AND(ISNUMBER(E305),E305&lt;=r_fim)),OR(r_un="",r_un="(Todas)",IF(N(U305)&gt;0,INDEX('MTRs'!$G$6:$G$505,U305),"")=r_un),OR(r_de="",r_de="(Todos)",D305=r_de)),1,0))</f>
        <v>0</v>
      </c>
      <c r="AB305" s="96" t="str">
        <f>IF(AA305=1,COUNTIF($AA$6:AA305,1),"")</f>
        <v/>
      </c>
    </row>
    <row r="306">
      <c r="A306" s="89" t="inlineStr">
        <is>
          <t>REC-000301</t>
        </is>
      </c>
      <c r="B306" s="94" t="str">
        <f>IF(T306=1,INDEX('ITENS_MTR'!$S$6:$S$1005,S306)&amp;"","")</f>
        <v/>
      </c>
      <c r="C306" s="91" t="n"/>
      <c r="D306" s="94" t="str">
        <f>IF(N(U306)&gt;0,INDEX('MTRs'!$I$6:$I$505,U306)&amp;"","")</f>
        <v/>
      </c>
      <c r="E306" s="92" t="n"/>
      <c r="F306" s="98" t="n"/>
      <c r="G306" s="91" t="n"/>
      <c r="H306" s="93" t="str">
        <f>IF(Q306=0,"",IF(NOT(ISNUMBER(F306)),"",IF(ISNUMBER(W306),F306*W306,"UNIDADE A CONFERIR")))</f>
        <v/>
      </c>
      <c r="I306" s="91" t="n"/>
      <c r="J306" s="91" t="n"/>
      <c r="K306" s="92" t="n"/>
      <c r="L306" s="91" t="n"/>
      <c r="M306" s="91" t="n"/>
      <c r="N306" s="91" t="n"/>
      <c r="O306" s="91" t="n"/>
      <c r="P306" s="94" t="str">
        <f>IF(Q306=0,"",IF(C306="","Item de resíduo não informado",IF(T306=0,"Item inexistente (referência inválida)",IF(NOT(ISNUMBER(F306)),"Quantidade não informada",IF(F306&lt;=0,"Quantidade não positiva",IF(G306="","Unidade não informada",IF(NOT(ISNUMBER(H306)),"Unidade a conferir",IF(NOT(ISNUMBER(E306)),"Data de recebimento não informada",IF(AND(ISNUMBER(V306),N(V306)&gt;0,E306&lt;N(V306)),"Data anterior à emissão do MTR",IF(AND(J306="Sim",L306="",M306=""),"Conferido sem evidência identificada",IF(J306&lt;&gt;"Sim","Aguardando conferência",IF(INDEX('ITENS_MTR'!$AM$6:$AM$1005,S306)=1,"Conferido (ver diferença no item)","Conferido"))))))))))))</f>
        <v/>
      </c>
      <c r="Q306" s="96">
        <f>IF(COUNTA(C306,E306:G306,I306:O306)&gt;0,1,0)</f>
        <v>0</v>
      </c>
      <c r="R306" s="96" t="str">
        <f>IF(C306="","",TRIM(LEFT(C306,FIND(" |",C306&amp;" |")-1)))</f>
        <v/>
      </c>
      <c r="S306" s="96" t="str">
        <f>IF(R306="","",IFERROR(MATCH(R306,'ITENS_MTR'!$A$6:$A$1005,0),""))</f>
        <v/>
      </c>
      <c r="T306" s="96">
        <f>IF(S306="",0,IF(INDEX('ITENS_MTR'!$R$6:$R$1005,S306)=1,1,0))</f>
        <v>0</v>
      </c>
      <c r="U306" s="96" t="str">
        <f>IF(T306=1,INDEX('ITENS_MTR'!$T$6:$T$1005,S306),"")</f>
        <v/>
      </c>
      <c r="V306" s="97" t="str">
        <f>IF(N(U306)&gt;0,INDEX('MTRs'!$E$6:$E$505,U306),"")</f>
        <v/>
      </c>
      <c r="W306" s="96" t="str">
        <f>IF(G306="","",IFERROR(IF(ISNUMBER(INDEX(cfg_fac,MATCH(G306,cfg_units,0))),IF(INDEX(cfg_fac,MATCH(G306,cfg_units,0))&gt;0,INDEX(cfg_fac,MATCH(G306,cfg_units,0)),""),""),""))</f>
        <v/>
      </c>
      <c r="X306" s="96">
        <f>IF(AND(ISNUMBER(F306),ISNUMBER(H306)),IF(H306&gt;0,1,0),0)</f>
        <v>0</v>
      </c>
      <c r="Y306" s="96">
        <f>IF(Q306=0,0,IF(OR(T306=0,X306=0,NOT(ISNUMBER(E306)),AND(J306="Sim",L306="",M306=""),AND(ISNUMBER(E306),ISNUMBER(V306),N(V306)&gt;0,E306&lt;N(V306))),1,0))</f>
        <v>0</v>
      </c>
      <c r="Z306" s="96">
        <f>IF(AND(Q306=1,T306=1,X306=1,J306="Sim",OR(L306&lt;&gt;"",M306&lt;&gt;"")),1,0)</f>
        <v>0</v>
      </c>
      <c r="AA306" s="96">
        <f>IF(Q306=0,0,IF(AND(OR(r_ini="",AND(ISNUMBER(E306),E306&gt;=r_ini)),OR(r_fim="",AND(ISNUMBER(E306),E306&lt;=r_fim)),OR(r_un="",r_un="(Todas)",IF(N(U306)&gt;0,INDEX('MTRs'!$G$6:$G$505,U306),"")=r_un),OR(r_de="",r_de="(Todos)",D306=r_de)),1,0))</f>
        <v>0</v>
      </c>
      <c r="AB306" s="96" t="str">
        <f>IF(AA306=1,COUNTIF($AA$6:AA306,1),"")</f>
        <v/>
      </c>
    </row>
    <row r="307">
      <c r="A307" s="89" t="inlineStr">
        <is>
          <t>REC-000302</t>
        </is>
      </c>
      <c r="B307" s="94" t="str">
        <f>IF(T307=1,INDEX('ITENS_MTR'!$S$6:$S$1005,S307)&amp;"","")</f>
        <v/>
      </c>
      <c r="C307" s="91" t="n"/>
      <c r="D307" s="94" t="str">
        <f>IF(N(U307)&gt;0,INDEX('MTRs'!$I$6:$I$505,U307)&amp;"","")</f>
        <v/>
      </c>
      <c r="E307" s="92" t="n"/>
      <c r="F307" s="98" t="n"/>
      <c r="G307" s="91" t="n"/>
      <c r="H307" s="93" t="str">
        <f>IF(Q307=0,"",IF(NOT(ISNUMBER(F307)),"",IF(ISNUMBER(W307),F307*W307,"UNIDADE A CONFERIR")))</f>
        <v/>
      </c>
      <c r="I307" s="91" t="n"/>
      <c r="J307" s="91" t="n"/>
      <c r="K307" s="92" t="n"/>
      <c r="L307" s="91" t="n"/>
      <c r="M307" s="91" t="n"/>
      <c r="N307" s="91" t="n"/>
      <c r="O307" s="91" t="n"/>
      <c r="P307" s="94" t="str">
        <f>IF(Q307=0,"",IF(C307="","Item de resíduo não informado",IF(T307=0,"Item inexistente (referência inválida)",IF(NOT(ISNUMBER(F307)),"Quantidade não informada",IF(F307&lt;=0,"Quantidade não positiva",IF(G307="","Unidade não informada",IF(NOT(ISNUMBER(H307)),"Unidade a conferir",IF(NOT(ISNUMBER(E307)),"Data de recebimento não informada",IF(AND(ISNUMBER(V307),N(V307)&gt;0,E307&lt;N(V307)),"Data anterior à emissão do MTR",IF(AND(J307="Sim",L307="",M307=""),"Conferido sem evidência identificada",IF(J307&lt;&gt;"Sim","Aguardando conferência",IF(INDEX('ITENS_MTR'!$AM$6:$AM$1005,S307)=1,"Conferido (ver diferença no item)","Conferido"))))))))))))</f>
        <v/>
      </c>
      <c r="Q307" s="96">
        <f>IF(COUNTA(C307,E307:G307,I307:O307)&gt;0,1,0)</f>
        <v>0</v>
      </c>
      <c r="R307" s="96" t="str">
        <f>IF(C307="","",TRIM(LEFT(C307,FIND(" |",C307&amp;" |")-1)))</f>
        <v/>
      </c>
      <c r="S307" s="96" t="str">
        <f>IF(R307="","",IFERROR(MATCH(R307,'ITENS_MTR'!$A$6:$A$1005,0),""))</f>
        <v/>
      </c>
      <c r="T307" s="96">
        <f>IF(S307="",0,IF(INDEX('ITENS_MTR'!$R$6:$R$1005,S307)=1,1,0))</f>
        <v>0</v>
      </c>
      <c r="U307" s="96" t="str">
        <f>IF(T307=1,INDEX('ITENS_MTR'!$T$6:$T$1005,S307),"")</f>
        <v/>
      </c>
      <c r="V307" s="97" t="str">
        <f>IF(N(U307)&gt;0,INDEX('MTRs'!$E$6:$E$505,U307),"")</f>
        <v/>
      </c>
      <c r="W307" s="96" t="str">
        <f>IF(G307="","",IFERROR(IF(ISNUMBER(INDEX(cfg_fac,MATCH(G307,cfg_units,0))),IF(INDEX(cfg_fac,MATCH(G307,cfg_units,0))&gt;0,INDEX(cfg_fac,MATCH(G307,cfg_units,0)),""),""),""))</f>
        <v/>
      </c>
      <c r="X307" s="96">
        <f>IF(AND(ISNUMBER(F307),ISNUMBER(H307)),IF(H307&gt;0,1,0),0)</f>
        <v>0</v>
      </c>
      <c r="Y307" s="96">
        <f>IF(Q307=0,0,IF(OR(T307=0,X307=0,NOT(ISNUMBER(E307)),AND(J307="Sim",L307="",M307=""),AND(ISNUMBER(E307),ISNUMBER(V307),N(V307)&gt;0,E307&lt;N(V307))),1,0))</f>
        <v>0</v>
      </c>
      <c r="Z307" s="96">
        <f>IF(AND(Q307=1,T307=1,X307=1,J307="Sim",OR(L307&lt;&gt;"",M307&lt;&gt;"")),1,0)</f>
        <v>0</v>
      </c>
      <c r="AA307" s="96">
        <f>IF(Q307=0,0,IF(AND(OR(r_ini="",AND(ISNUMBER(E307),E307&gt;=r_ini)),OR(r_fim="",AND(ISNUMBER(E307),E307&lt;=r_fim)),OR(r_un="",r_un="(Todas)",IF(N(U307)&gt;0,INDEX('MTRs'!$G$6:$G$505,U307),"")=r_un),OR(r_de="",r_de="(Todos)",D307=r_de)),1,0))</f>
        <v>0</v>
      </c>
      <c r="AB307" s="96" t="str">
        <f>IF(AA307=1,COUNTIF($AA$6:AA307,1),"")</f>
        <v/>
      </c>
    </row>
    <row r="308">
      <c r="A308" s="89" t="inlineStr">
        <is>
          <t>REC-000303</t>
        </is>
      </c>
      <c r="B308" s="94" t="str">
        <f>IF(T308=1,INDEX('ITENS_MTR'!$S$6:$S$1005,S308)&amp;"","")</f>
        <v/>
      </c>
      <c r="C308" s="91" t="n"/>
      <c r="D308" s="94" t="str">
        <f>IF(N(U308)&gt;0,INDEX('MTRs'!$I$6:$I$505,U308)&amp;"","")</f>
        <v/>
      </c>
      <c r="E308" s="92" t="n"/>
      <c r="F308" s="98" t="n"/>
      <c r="G308" s="91" t="n"/>
      <c r="H308" s="93" t="str">
        <f>IF(Q308=0,"",IF(NOT(ISNUMBER(F308)),"",IF(ISNUMBER(W308),F308*W308,"UNIDADE A CONFERIR")))</f>
        <v/>
      </c>
      <c r="I308" s="91" t="n"/>
      <c r="J308" s="91" t="n"/>
      <c r="K308" s="92" t="n"/>
      <c r="L308" s="91" t="n"/>
      <c r="M308" s="91" t="n"/>
      <c r="N308" s="91" t="n"/>
      <c r="O308" s="91" t="n"/>
      <c r="P308" s="94" t="str">
        <f>IF(Q308=0,"",IF(C308="","Item de resíduo não informado",IF(T308=0,"Item inexistente (referência inválida)",IF(NOT(ISNUMBER(F308)),"Quantidade não informada",IF(F308&lt;=0,"Quantidade não positiva",IF(G308="","Unidade não informada",IF(NOT(ISNUMBER(H308)),"Unidade a conferir",IF(NOT(ISNUMBER(E308)),"Data de recebimento não informada",IF(AND(ISNUMBER(V308),N(V308)&gt;0,E308&lt;N(V308)),"Data anterior à emissão do MTR",IF(AND(J308="Sim",L308="",M308=""),"Conferido sem evidência identificada",IF(J308&lt;&gt;"Sim","Aguardando conferência",IF(INDEX('ITENS_MTR'!$AM$6:$AM$1005,S308)=1,"Conferido (ver diferença no item)","Conferido"))))))))))))</f>
        <v/>
      </c>
      <c r="Q308" s="96">
        <f>IF(COUNTA(C308,E308:G308,I308:O308)&gt;0,1,0)</f>
        <v>0</v>
      </c>
      <c r="R308" s="96" t="str">
        <f>IF(C308="","",TRIM(LEFT(C308,FIND(" |",C308&amp;" |")-1)))</f>
        <v/>
      </c>
      <c r="S308" s="96" t="str">
        <f>IF(R308="","",IFERROR(MATCH(R308,'ITENS_MTR'!$A$6:$A$1005,0),""))</f>
        <v/>
      </c>
      <c r="T308" s="96">
        <f>IF(S308="",0,IF(INDEX('ITENS_MTR'!$R$6:$R$1005,S308)=1,1,0))</f>
        <v>0</v>
      </c>
      <c r="U308" s="96" t="str">
        <f>IF(T308=1,INDEX('ITENS_MTR'!$T$6:$T$1005,S308),"")</f>
        <v/>
      </c>
      <c r="V308" s="97" t="str">
        <f>IF(N(U308)&gt;0,INDEX('MTRs'!$E$6:$E$505,U308),"")</f>
        <v/>
      </c>
      <c r="W308" s="96" t="str">
        <f>IF(G308="","",IFERROR(IF(ISNUMBER(INDEX(cfg_fac,MATCH(G308,cfg_units,0))),IF(INDEX(cfg_fac,MATCH(G308,cfg_units,0))&gt;0,INDEX(cfg_fac,MATCH(G308,cfg_units,0)),""),""),""))</f>
        <v/>
      </c>
      <c r="X308" s="96">
        <f>IF(AND(ISNUMBER(F308),ISNUMBER(H308)),IF(H308&gt;0,1,0),0)</f>
        <v>0</v>
      </c>
      <c r="Y308" s="96">
        <f>IF(Q308=0,0,IF(OR(T308=0,X308=0,NOT(ISNUMBER(E308)),AND(J308="Sim",L308="",M308=""),AND(ISNUMBER(E308),ISNUMBER(V308),N(V308)&gt;0,E308&lt;N(V308))),1,0))</f>
        <v>0</v>
      </c>
      <c r="Z308" s="96">
        <f>IF(AND(Q308=1,T308=1,X308=1,J308="Sim",OR(L308&lt;&gt;"",M308&lt;&gt;"")),1,0)</f>
        <v>0</v>
      </c>
      <c r="AA308" s="96">
        <f>IF(Q308=0,0,IF(AND(OR(r_ini="",AND(ISNUMBER(E308),E308&gt;=r_ini)),OR(r_fim="",AND(ISNUMBER(E308),E308&lt;=r_fim)),OR(r_un="",r_un="(Todas)",IF(N(U308)&gt;0,INDEX('MTRs'!$G$6:$G$505,U308),"")=r_un),OR(r_de="",r_de="(Todos)",D308=r_de)),1,0))</f>
        <v>0</v>
      </c>
      <c r="AB308" s="96" t="str">
        <f>IF(AA308=1,COUNTIF($AA$6:AA308,1),"")</f>
        <v/>
      </c>
    </row>
    <row r="309">
      <c r="A309" s="89" t="inlineStr">
        <is>
          <t>REC-000304</t>
        </is>
      </c>
      <c r="B309" s="94" t="str">
        <f>IF(T309=1,INDEX('ITENS_MTR'!$S$6:$S$1005,S309)&amp;"","")</f>
        <v/>
      </c>
      <c r="C309" s="91" t="n"/>
      <c r="D309" s="94" t="str">
        <f>IF(N(U309)&gt;0,INDEX('MTRs'!$I$6:$I$505,U309)&amp;"","")</f>
        <v/>
      </c>
      <c r="E309" s="92" t="n"/>
      <c r="F309" s="98" t="n"/>
      <c r="G309" s="91" t="n"/>
      <c r="H309" s="93" t="str">
        <f>IF(Q309=0,"",IF(NOT(ISNUMBER(F309)),"",IF(ISNUMBER(W309),F309*W309,"UNIDADE A CONFERIR")))</f>
        <v/>
      </c>
      <c r="I309" s="91" t="n"/>
      <c r="J309" s="91" t="n"/>
      <c r="K309" s="92" t="n"/>
      <c r="L309" s="91" t="n"/>
      <c r="M309" s="91" t="n"/>
      <c r="N309" s="91" t="n"/>
      <c r="O309" s="91" t="n"/>
      <c r="P309" s="94" t="str">
        <f>IF(Q309=0,"",IF(C309="","Item de resíduo não informado",IF(T309=0,"Item inexistente (referência inválida)",IF(NOT(ISNUMBER(F309)),"Quantidade não informada",IF(F309&lt;=0,"Quantidade não positiva",IF(G309="","Unidade não informada",IF(NOT(ISNUMBER(H309)),"Unidade a conferir",IF(NOT(ISNUMBER(E309)),"Data de recebimento não informada",IF(AND(ISNUMBER(V309),N(V309)&gt;0,E309&lt;N(V309)),"Data anterior à emissão do MTR",IF(AND(J309="Sim",L309="",M309=""),"Conferido sem evidência identificada",IF(J309&lt;&gt;"Sim","Aguardando conferência",IF(INDEX('ITENS_MTR'!$AM$6:$AM$1005,S309)=1,"Conferido (ver diferença no item)","Conferido"))))))))))))</f>
        <v/>
      </c>
      <c r="Q309" s="96">
        <f>IF(COUNTA(C309,E309:G309,I309:O309)&gt;0,1,0)</f>
        <v>0</v>
      </c>
      <c r="R309" s="96" t="str">
        <f>IF(C309="","",TRIM(LEFT(C309,FIND(" |",C309&amp;" |")-1)))</f>
        <v/>
      </c>
      <c r="S309" s="96" t="str">
        <f>IF(R309="","",IFERROR(MATCH(R309,'ITENS_MTR'!$A$6:$A$1005,0),""))</f>
        <v/>
      </c>
      <c r="T309" s="96">
        <f>IF(S309="",0,IF(INDEX('ITENS_MTR'!$R$6:$R$1005,S309)=1,1,0))</f>
        <v>0</v>
      </c>
      <c r="U309" s="96" t="str">
        <f>IF(T309=1,INDEX('ITENS_MTR'!$T$6:$T$1005,S309),"")</f>
        <v/>
      </c>
      <c r="V309" s="97" t="str">
        <f>IF(N(U309)&gt;0,INDEX('MTRs'!$E$6:$E$505,U309),"")</f>
        <v/>
      </c>
      <c r="W309" s="96" t="str">
        <f>IF(G309="","",IFERROR(IF(ISNUMBER(INDEX(cfg_fac,MATCH(G309,cfg_units,0))),IF(INDEX(cfg_fac,MATCH(G309,cfg_units,0))&gt;0,INDEX(cfg_fac,MATCH(G309,cfg_units,0)),""),""),""))</f>
        <v/>
      </c>
      <c r="X309" s="96">
        <f>IF(AND(ISNUMBER(F309),ISNUMBER(H309)),IF(H309&gt;0,1,0),0)</f>
        <v>0</v>
      </c>
      <c r="Y309" s="96">
        <f>IF(Q309=0,0,IF(OR(T309=0,X309=0,NOT(ISNUMBER(E309)),AND(J309="Sim",L309="",M309=""),AND(ISNUMBER(E309),ISNUMBER(V309),N(V309)&gt;0,E309&lt;N(V309))),1,0))</f>
        <v>0</v>
      </c>
      <c r="Z309" s="96">
        <f>IF(AND(Q309=1,T309=1,X309=1,J309="Sim",OR(L309&lt;&gt;"",M309&lt;&gt;"")),1,0)</f>
        <v>0</v>
      </c>
      <c r="AA309" s="96">
        <f>IF(Q309=0,0,IF(AND(OR(r_ini="",AND(ISNUMBER(E309),E309&gt;=r_ini)),OR(r_fim="",AND(ISNUMBER(E309),E309&lt;=r_fim)),OR(r_un="",r_un="(Todas)",IF(N(U309)&gt;0,INDEX('MTRs'!$G$6:$G$505,U309),"")=r_un),OR(r_de="",r_de="(Todos)",D309=r_de)),1,0))</f>
        <v>0</v>
      </c>
      <c r="AB309" s="96" t="str">
        <f>IF(AA309=1,COUNTIF($AA$6:AA309,1),"")</f>
        <v/>
      </c>
    </row>
    <row r="310">
      <c r="A310" s="89" t="inlineStr">
        <is>
          <t>REC-000305</t>
        </is>
      </c>
      <c r="B310" s="94" t="str">
        <f>IF(T310=1,INDEX('ITENS_MTR'!$S$6:$S$1005,S310)&amp;"","")</f>
        <v/>
      </c>
      <c r="C310" s="91" t="n"/>
      <c r="D310" s="94" t="str">
        <f>IF(N(U310)&gt;0,INDEX('MTRs'!$I$6:$I$505,U310)&amp;"","")</f>
        <v/>
      </c>
      <c r="E310" s="92" t="n"/>
      <c r="F310" s="98" t="n"/>
      <c r="G310" s="91" t="n"/>
      <c r="H310" s="93" t="str">
        <f>IF(Q310=0,"",IF(NOT(ISNUMBER(F310)),"",IF(ISNUMBER(W310),F310*W310,"UNIDADE A CONFERIR")))</f>
        <v/>
      </c>
      <c r="I310" s="91" t="n"/>
      <c r="J310" s="91" t="n"/>
      <c r="K310" s="92" t="n"/>
      <c r="L310" s="91" t="n"/>
      <c r="M310" s="91" t="n"/>
      <c r="N310" s="91" t="n"/>
      <c r="O310" s="91" t="n"/>
      <c r="P310" s="94" t="str">
        <f>IF(Q310=0,"",IF(C310="","Item de resíduo não informado",IF(T310=0,"Item inexistente (referência inválida)",IF(NOT(ISNUMBER(F310)),"Quantidade não informada",IF(F310&lt;=0,"Quantidade não positiva",IF(G310="","Unidade não informada",IF(NOT(ISNUMBER(H310)),"Unidade a conferir",IF(NOT(ISNUMBER(E310)),"Data de recebimento não informada",IF(AND(ISNUMBER(V310),N(V310)&gt;0,E310&lt;N(V310)),"Data anterior à emissão do MTR",IF(AND(J310="Sim",L310="",M310=""),"Conferido sem evidência identificada",IF(J310&lt;&gt;"Sim","Aguardando conferência",IF(INDEX('ITENS_MTR'!$AM$6:$AM$1005,S310)=1,"Conferido (ver diferença no item)","Conferido"))))))))))))</f>
        <v/>
      </c>
      <c r="Q310" s="96">
        <f>IF(COUNTA(C310,E310:G310,I310:O310)&gt;0,1,0)</f>
        <v>0</v>
      </c>
      <c r="R310" s="96" t="str">
        <f>IF(C310="","",TRIM(LEFT(C310,FIND(" |",C310&amp;" |")-1)))</f>
        <v/>
      </c>
      <c r="S310" s="96" t="str">
        <f>IF(R310="","",IFERROR(MATCH(R310,'ITENS_MTR'!$A$6:$A$1005,0),""))</f>
        <v/>
      </c>
      <c r="T310" s="96">
        <f>IF(S310="",0,IF(INDEX('ITENS_MTR'!$R$6:$R$1005,S310)=1,1,0))</f>
        <v>0</v>
      </c>
      <c r="U310" s="96" t="str">
        <f>IF(T310=1,INDEX('ITENS_MTR'!$T$6:$T$1005,S310),"")</f>
        <v/>
      </c>
      <c r="V310" s="97" t="str">
        <f>IF(N(U310)&gt;0,INDEX('MTRs'!$E$6:$E$505,U310),"")</f>
        <v/>
      </c>
      <c r="W310" s="96" t="str">
        <f>IF(G310="","",IFERROR(IF(ISNUMBER(INDEX(cfg_fac,MATCH(G310,cfg_units,0))),IF(INDEX(cfg_fac,MATCH(G310,cfg_units,0))&gt;0,INDEX(cfg_fac,MATCH(G310,cfg_units,0)),""),""),""))</f>
        <v/>
      </c>
      <c r="X310" s="96">
        <f>IF(AND(ISNUMBER(F310),ISNUMBER(H310)),IF(H310&gt;0,1,0),0)</f>
        <v>0</v>
      </c>
      <c r="Y310" s="96">
        <f>IF(Q310=0,0,IF(OR(T310=0,X310=0,NOT(ISNUMBER(E310)),AND(J310="Sim",L310="",M310=""),AND(ISNUMBER(E310),ISNUMBER(V310),N(V310)&gt;0,E310&lt;N(V310))),1,0))</f>
        <v>0</v>
      </c>
      <c r="Z310" s="96">
        <f>IF(AND(Q310=1,T310=1,X310=1,J310="Sim",OR(L310&lt;&gt;"",M310&lt;&gt;"")),1,0)</f>
        <v>0</v>
      </c>
      <c r="AA310" s="96">
        <f>IF(Q310=0,0,IF(AND(OR(r_ini="",AND(ISNUMBER(E310),E310&gt;=r_ini)),OR(r_fim="",AND(ISNUMBER(E310),E310&lt;=r_fim)),OR(r_un="",r_un="(Todas)",IF(N(U310)&gt;0,INDEX('MTRs'!$G$6:$G$505,U310),"")=r_un),OR(r_de="",r_de="(Todos)",D310=r_de)),1,0))</f>
        <v>0</v>
      </c>
      <c r="AB310" s="96" t="str">
        <f>IF(AA310=1,COUNTIF($AA$6:AA310,1),"")</f>
        <v/>
      </c>
    </row>
    <row r="311">
      <c r="A311" s="89" t="inlineStr">
        <is>
          <t>REC-000306</t>
        </is>
      </c>
      <c r="B311" s="94" t="str">
        <f>IF(T311=1,INDEX('ITENS_MTR'!$S$6:$S$1005,S311)&amp;"","")</f>
        <v/>
      </c>
      <c r="C311" s="91" t="n"/>
      <c r="D311" s="94" t="str">
        <f>IF(N(U311)&gt;0,INDEX('MTRs'!$I$6:$I$505,U311)&amp;"","")</f>
        <v/>
      </c>
      <c r="E311" s="92" t="n"/>
      <c r="F311" s="98" t="n"/>
      <c r="G311" s="91" t="n"/>
      <c r="H311" s="93" t="str">
        <f>IF(Q311=0,"",IF(NOT(ISNUMBER(F311)),"",IF(ISNUMBER(W311),F311*W311,"UNIDADE A CONFERIR")))</f>
        <v/>
      </c>
      <c r="I311" s="91" t="n"/>
      <c r="J311" s="91" t="n"/>
      <c r="K311" s="92" t="n"/>
      <c r="L311" s="91" t="n"/>
      <c r="M311" s="91" t="n"/>
      <c r="N311" s="91" t="n"/>
      <c r="O311" s="91" t="n"/>
      <c r="P311" s="94" t="str">
        <f>IF(Q311=0,"",IF(C311="","Item de resíduo não informado",IF(T311=0,"Item inexistente (referência inválida)",IF(NOT(ISNUMBER(F311)),"Quantidade não informada",IF(F311&lt;=0,"Quantidade não positiva",IF(G311="","Unidade não informada",IF(NOT(ISNUMBER(H311)),"Unidade a conferir",IF(NOT(ISNUMBER(E311)),"Data de recebimento não informada",IF(AND(ISNUMBER(V311),N(V311)&gt;0,E311&lt;N(V311)),"Data anterior à emissão do MTR",IF(AND(J311="Sim",L311="",M311=""),"Conferido sem evidência identificada",IF(J311&lt;&gt;"Sim","Aguardando conferência",IF(INDEX('ITENS_MTR'!$AM$6:$AM$1005,S311)=1,"Conferido (ver diferença no item)","Conferido"))))))))))))</f>
        <v/>
      </c>
      <c r="Q311" s="96">
        <f>IF(COUNTA(C311,E311:G311,I311:O311)&gt;0,1,0)</f>
        <v>0</v>
      </c>
      <c r="R311" s="96" t="str">
        <f>IF(C311="","",TRIM(LEFT(C311,FIND(" |",C311&amp;" |")-1)))</f>
        <v/>
      </c>
      <c r="S311" s="96" t="str">
        <f>IF(R311="","",IFERROR(MATCH(R311,'ITENS_MTR'!$A$6:$A$1005,0),""))</f>
        <v/>
      </c>
      <c r="T311" s="96">
        <f>IF(S311="",0,IF(INDEX('ITENS_MTR'!$R$6:$R$1005,S311)=1,1,0))</f>
        <v>0</v>
      </c>
      <c r="U311" s="96" t="str">
        <f>IF(T311=1,INDEX('ITENS_MTR'!$T$6:$T$1005,S311),"")</f>
        <v/>
      </c>
      <c r="V311" s="97" t="str">
        <f>IF(N(U311)&gt;0,INDEX('MTRs'!$E$6:$E$505,U311),"")</f>
        <v/>
      </c>
      <c r="W311" s="96" t="str">
        <f>IF(G311="","",IFERROR(IF(ISNUMBER(INDEX(cfg_fac,MATCH(G311,cfg_units,0))),IF(INDEX(cfg_fac,MATCH(G311,cfg_units,0))&gt;0,INDEX(cfg_fac,MATCH(G311,cfg_units,0)),""),""),""))</f>
        <v/>
      </c>
      <c r="X311" s="96">
        <f>IF(AND(ISNUMBER(F311),ISNUMBER(H311)),IF(H311&gt;0,1,0),0)</f>
        <v>0</v>
      </c>
      <c r="Y311" s="96">
        <f>IF(Q311=0,0,IF(OR(T311=0,X311=0,NOT(ISNUMBER(E311)),AND(J311="Sim",L311="",M311=""),AND(ISNUMBER(E311),ISNUMBER(V311),N(V311)&gt;0,E311&lt;N(V311))),1,0))</f>
        <v>0</v>
      </c>
      <c r="Z311" s="96">
        <f>IF(AND(Q311=1,T311=1,X311=1,J311="Sim",OR(L311&lt;&gt;"",M311&lt;&gt;"")),1,0)</f>
        <v>0</v>
      </c>
      <c r="AA311" s="96">
        <f>IF(Q311=0,0,IF(AND(OR(r_ini="",AND(ISNUMBER(E311),E311&gt;=r_ini)),OR(r_fim="",AND(ISNUMBER(E311),E311&lt;=r_fim)),OR(r_un="",r_un="(Todas)",IF(N(U311)&gt;0,INDEX('MTRs'!$G$6:$G$505,U311),"")=r_un),OR(r_de="",r_de="(Todos)",D311=r_de)),1,0))</f>
        <v>0</v>
      </c>
      <c r="AB311" s="96" t="str">
        <f>IF(AA311=1,COUNTIF($AA$6:AA311,1),"")</f>
        <v/>
      </c>
    </row>
    <row r="312">
      <c r="A312" s="89" t="inlineStr">
        <is>
          <t>REC-000307</t>
        </is>
      </c>
      <c r="B312" s="94" t="str">
        <f>IF(T312=1,INDEX('ITENS_MTR'!$S$6:$S$1005,S312)&amp;"","")</f>
        <v/>
      </c>
      <c r="C312" s="91" t="n"/>
      <c r="D312" s="94" t="str">
        <f>IF(N(U312)&gt;0,INDEX('MTRs'!$I$6:$I$505,U312)&amp;"","")</f>
        <v/>
      </c>
      <c r="E312" s="92" t="n"/>
      <c r="F312" s="98" t="n"/>
      <c r="G312" s="91" t="n"/>
      <c r="H312" s="93" t="str">
        <f>IF(Q312=0,"",IF(NOT(ISNUMBER(F312)),"",IF(ISNUMBER(W312),F312*W312,"UNIDADE A CONFERIR")))</f>
        <v/>
      </c>
      <c r="I312" s="91" t="n"/>
      <c r="J312" s="91" t="n"/>
      <c r="K312" s="92" t="n"/>
      <c r="L312" s="91" t="n"/>
      <c r="M312" s="91" t="n"/>
      <c r="N312" s="91" t="n"/>
      <c r="O312" s="91" t="n"/>
      <c r="P312" s="94" t="str">
        <f>IF(Q312=0,"",IF(C312="","Item de resíduo não informado",IF(T312=0,"Item inexistente (referência inválida)",IF(NOT(ISNUMBER(F312)),"Quantidade não informada",IF(F312&lt;=0,"Quantidade não positiva",IF(G312="","Unidade não informada",IF(NOT(ISNUMBER(H312)),"Unidade a conferir",IF(NOT(ISNUMBER(E312)),"Data de recebimento não informada",IF(AND(ISNUMBER(V312),N(V312)&gt;0,E312&lt;N(V312)),"Data anterior à emissão do MTR",IF(AND(J312="Sim",L312="",M312=""),"Conferido sem evidência identificada",IF(J312&lt;&gt;"Sim","Aguardando conferência",IF(INDEX('ITENS_MTR'!$AM$6:$AM$1005,S312)=1,"Conferido (ver diferença no item)","Conferido"))))))))))))</f>
        <v/>
      </c>
      <c r="Q312" s="96">
        <f>IF(COUNTA(C312,E312:G312,I312:O312)&gt;0,1,0)</f>
        <v>0</v>
      </c>
      <c r="R312" s="96" t="str">
        <f>IF(C312="","",TRIM(LEFT(C312,FIND(" |",C312&amp;" |")-1)))</f>
        <v/>
      </c>
      <c r="S312" s="96" t="str">
        <f>IF(R312="","",IFERROR(MATCH(R312,'ITENS_MTR'!$A$6:$A$1005,0),""))</f>
        <v/>
      </c>
      <c r="T312" s="96">
        <f>IF(S312="",0,IF(INDEX('ITENS_MTR'!$R$6:$R$1005,S312)=1,1,0))</f>
        <v>0</v>
      </c>
      <c r="U312" s="96" t="str">
        <f>IF(T312=1,INDEX('ITENS_MTR'!$T$6:$T$1005,S312),"")</f>
        <v/>
      </c>
      <c r="V312" s="97" t="str">
        <f>IF(N(U312)&gt;0,INDEX('MTRs'!$E$6:$E$505,U312),"")</f>
        <v/>
      </c>
      <c r="W312" s="96" t="str">
        <f>IF(G312="","",IFERROR(IF(ISNUMBER(INDEX(cfg_fac,MATCH(G312,cfg_units,0))),IF(INDEX(cfg_fac,MATCH(G312,cfg_units,0))&gt;0,INDEX(cfg_fac,MATCH(G312,cfg_units,0)),""),""),""))</f>
        <v/>
      </c>
      <c r="X312" s="96">
        <f>IF(AND(ISNUMBER(F312),ISNUMBER(H312)),IF(H312&gt;0,1,0),0)</f>
        <v>0</v>
      </c>
      <c r="Y312" s="96">
        <f>IF(Q312=0,0,IF(OR(T312=0,X312=0,NOT(ISNUMBER(E312)),AND(J312="Sim",L312="",M312=""),AND(ISNUMBER(E312),ISNUMBER(V312),N(V312)&gt;0,E312&lt;N(V312))),1,0))</f>
        <v>0</v>
      </c>
      <c r="Z312" s="96">
        <f>IF(AND(Q312=1,T312=1,X312=1,J312="Sim",OR(L312&lt;&gt;"",M312&lt;&gt;"")),1,0)</f>
        <v>0</v>
      </c>
      <c r="AA312" s="96">
        <f>IF(Q312=0,0,IF(AND(OR(r_ini="",AND(ISNUMBER(E312),E312&gt;=r_ini)),OR(r_fim="",AND(ISNUMBER(E312),E312&lt;=r_fim)),OR(r_un="",r_un="(Todas)",IF(N(U312)&gt;0,INDEX('MTRs'!$G$6:$G$505,U312),"")=r_un),OR(r_de="",r_de="(Todos)",D312=r_de)),1,0))</f>
        <v>0</v>
      </c>
      <c r="AB312" s="96" t="str">
        <f>IF(AA312=1,COUNTIF($AA$6:AA312,1),"")</f>
        <v/>
      </c>
    </row>
    <row r="313">
      <c r="A313" s="89" t="inlineStr">
        <is>
          <t>REC-000308</t>
        </is>
      </c>
      <c r="B313" s="94" t="str">
        <f>IF(T313=1,INDEX('ITENS_MTR'!$S$6:$S$1005,S313)&amp;"","")</f>
        <v/>
      </c>
      <c r="C313" s="91" t="n"/>
      <c r="D313" s="94" t="str">
        <f>IF(N(U313)&gt;0,INDEX('MTRs'!$I$6:$I$505,U313)&amp;"","")</f>
        <v/>
      </c>
      <c r="E313" s="92" t="n"/>
      <c r="F313" s="98" t="n"/>
      <c r="G313" s="91" t="n"/>
      <c r="H313" s="93" t="str">
        <f>IF(Q313=0,"",IF(NOT(ISNUMBER(F313)),"",IF(ISNUMBER(W313),F313*W313,"UNIDADE A CONFERIR")))</f>
        <v/>
      </c>
      <c r="I313" s="91" t="n"/>
      <c r="J313" s="91" t="n"/>
      <c r="K313" s="92" t="n"/>
      <c r="L313" s="91" t="n"/>
      <c r="M313" s="91" t="n"/>
      <c r="N313" s="91" t="n"/>
      <c r="O313" s="91" t="n"/>
      <c r="P313" s="94" t="str">
        <f>IF(Q313=0,"",IF(C313="","Item de resíduo não informado",IF(T313=0,"Item inexistente (referência inválida)",IF(NOT(ISNUMBER(F313)),"Quantidade não informada",IF(F313&lt;=0,"Quantidade não positiva",IF(G313="","Unidade não informada",IF(NOT(ISNUMBER(H313)),"Unidade a conferir",IF(NOT(ISNUMBER(E313)),"Data de recebimento não informada",IF(AND(ISNUMBER(V313),N(V313)&gt;0,E313&lt;N(V313)),"Data anterior à emissão do MTR",IF(AND(J313="Sim",L313="",M313=""),"Conferido sem evidência identificada",IF(J313&lt;&gt;"Sim","Aguardando conferência",IF(INDEX('ITENS_MTR'!$AM$6:$AM$1005,S313)=1,"Conferido (ver diferença no item)","Conferido"))))))))))))</f>
        <v/>
      </c>
      <c r="Q313" s="96">
        <f>IF(COUNTA(C313,E313:G313,I313:O313)&gt;0,1,0)</f>
        <v>0</v>
      </c>
      <c r="R313" s="96" t="str">
        <f>IF(C313="","",TRIM(LEFT(C313,FIND(" |",C313&amp;" |")-1)))</f>
        <v/>
      </c>
      <c r="S313" s="96" t="str">
        <f>IF(R313="","",IFERROR(MATCH(R313,'ITENS_MTR'!$A$6:$A$1005,0),""))</f>
        <v/>
      </c>
      <c r="T313" s="96">
        <f>IF(S313="",0,IF(INDEX('ITENS_MTR'!$R$6:$R$1005,S313)=1,1,0))</f>
        <v>0</v>
      </c>
      <c r="U313" s="96" t="str">
        <f>IF(T313=1,INDEX('ITENS_MTR'!$T$6:$T$1005,S313),"")</f>
        <v/>
      </c>
      <c r="V313" s="97" t="str">
        <f>IF(N(U313)&gt;0,INDEX('MTRs'!$E$6:$E$505,U313),"")</f>
        <v/>
      </c>
      <c r="W313" s="96" t="str">
        <f>IF(G313="","",IFERROR(IF(ISNUMBER(INDEX(cfg_fac,MATCH(G313,cfg_units,0))),IF(INDEX(cfg_fac,MATCH(G313,cfg_units,0))&gt;0,INDEX(cfg_fac,MATCH(G313,cfg_units,0)),""),""),""))</f>
        <v/>
      </c>
      <c r="X313" s="96">
        <f>IF(AND(ISNUMBER(F313),ISNUMBER(H313)),IF(H313&gt;0,1,0),0)</f>
        <v>0</v>
      </c>
      <c r="Y313" s="96">
        <f>IF(Q313=0,0,IF(OR(T313=0,X313=0,NOT(ISNUMBER(E313)),AND(J313="Sim",L313="",M313=""),AND(ISNUMBER(E313),ISNUMBER(V313),N(V313)&gt;0,E313&lt;N(V313))),1,0))</f>
        <v>0</v>
      </c>
      <c r="Z313" s="96">
        <f>IF(AND(Q313=1,T313=1,X313=1,J313="Sim",OR(L313&lt;&gt;"",M313&lt;&gt;"")),1,0)</f>
        <v>0</v>
      </c>
      <c r="AA313" s="96">
        <f>IF(Q313=0,0,IF(AND(OR(r_ini="",AND(ISNUMBER(E313),E313&gt;=r_ini)),OR(r_fim="",AND(ISNUMBER(E313),E313&lt;=r_fim)),OR(r_un="",r_un="(Todas)",IF(N(U313)&gt;0,INDEX('MTRs'!$G$6:$G$505,U313),"")=r_un),OR(r_de="",r_de="(Todos)",D313=r_de)),1,0))</f>
        <v>0</v>
      </c>
      <c r="AB313" s="96" t="str">
        <f>IF(AA313=1,COUNTIF($AA$6:AA313,1),"")</f>
        <v/>
      </c>
    </row>
    <row r="314">
      <c r="A314" s="89" t="inlineStr">
        <is>
          <t>REC-000309</t>
        </is>
      </c>
      <c r="B314" s="94" t="str">
        <f>IF(T314=1,INDEX('ITENS_MTR'!$S$6:$S$1005,S314)&amp;"","")</f>
        <v/>
      </c>
      <c r="C314" s="91" t="n"/>
      <c r="D314" s="94" t="str">
        <f>IF(N(U314)&gt;0,INDEX('MTRs'!$I$6:$I$505,U314)&amp;"","")</f>
        <v/>
      </c>
      <c r="E314" s="92" t="n"/>
      <c r="F314" s="98" t="n"/>
      <c r="G314" s="91" t="n"/>
      <c r="H314" s="93" t="str">
        <f>IF(Q314=0,"",IF(NOT(ISNUMBER(F314)),"",IF(ISNUMBER(W314),F314*W314,"UNIDADE A CONFERIR")))</f>
        <v/>
      </c>
      <c r="I314" s="91" t="n"/>
      <c r="J314" s="91" t="n"/>
      <c r="K314" s="92" t="n"/>
      <c r="L314" s="91" t="n"/>
      <c r="M314" s="91" t="n"/>
      <c r="N314" s="91" t="n"/>
      <c r="O314" s="91" t="n"/>
      <c r="P314" s="94" t="str">
        <f>IF(Q314=0,"",IF(C314="","Item de resíduo não informado",IF(T314=0,"Item inexistente (referência inválida)",IF(NOT(ISNUMBER(F314)),"Quantidade não informada",IF(F314&lt;=0,"Quantidade não positiva",IF(G314="","Unidade não informada",IF(NOT(ISNUMBER(H314)),"Unidade a conferir",IF(NOT(ISNUMBER(E314)),"Data de recebimento não informada",IF(AND(ISNUMBER(V314),N(V314)&gt;0,E314&lt;N(V314)),"Data anterior à emissão do MTR",IF(AND(J314="Sim",L314="",M314=""),"Conferido sem evidência identificada",IF(J314&lt;&gt;"Sim","Aguardando conferência",IF(INDEX('ITENS_MTR'!$AM$6:$AM$1005,S314)=1,"Conferido (ver diferença no item)","Conferido"))))))))))))</f>
        <v/>
      </c>
      <c r="Q314" s="96">
        <f>IF(COUNTA(C314,E314:G314,I314:O314)&gt;0,1,0)</f>
        <v>0</v>
      </c>
      <c r="R314" s="96" t="str">
        <f>IF(C314="","",TRIM(LEFT(C314,FIND(" |",C314&amp;" |")-1)))</f>
        <v/>
      </c>
      <c r="S314" s="96" t="str">
        <f>IF(R314="","",IFERROR(MATCH(R314,'ITENS_MTR'!$A$6:$A$1005,0),""))</f>
        <v/>
      </c>
      <c r="T314" s="96">
        <f>IF(S314="",0,IF(INDEX('ITENS_MTR'!$R$6:$R$1005,S314)=1,1,0))</f>
        <v>0</v>
      </c>
      <c r="U314" s="96" t="str">
        <f>IF(T314=1,INDEX('ITENS_MTR'!$T$6:$T$1005,S314),"")</f>
        <v/>
      </c>
      <c r="V314" s="97" t="str">
        <f>IF(N(U314)&gt;0,INDEX('MTRs'!$E$6:$E$505,U314),"")</f>
        <v/>
      </c>
      <c r="W314" s="96" t="str">
        <f>IF(G314="","",IFERROR(IF(ISNUMBER(INDEX(cfg_fac,MATCH(G314,cfg_units,0))),IF(INDEX(cfg_fac,MATCH(G314,cfg_units,0))&gt;0,INDEX(cfg_fac,MATCH(G314,cfg_units,0)),""),""),""))</f>
        <v/>
      </c>
      <c r="X314" s="96">
        <f>IF(AND(ISNUMBER(F314),ISNUMBER(H314)),IF(H314&gt;0,1,0),0)</f>
        <v>0</v>
      </c>
      <c r="Y314" s="96">
        <f>IF(Q314=0,0,IF(OR(T314=0,X314=0,NOT(ISNUMBER(E314)),AND(J314="Sim",L314="",M314=""),AND(ISNUMBER(E314),ISNUMBER(V314),N(V314)&gt;0,E314&lt;N(V314))),1,0))</f>
        <v>0</v>
      </c>
      <c r="Z314" s="96">
        <f>IF(AND(Q314=1,T314=1,X314=1,J314="Sim",OR(L314&lt;&gt;"",M314&lt;&gt;"")),1,0)</f>
        <v>0</v>
      </c>
      <c r="AA314" s="96">
        <f>IF(Q314=0,0,IF(AND(OR(r_ini="",AND(ISNUMBER(E314),E314&gt;=r_ini)),OR(r_fim="",AND(ISNUMBER(E314),E314&lt;=r_fim)),OR(r_un="",r_un="(Todas)",IF(N(U314)&gt;0,INDEX('MTRs'!$G$6:$G$505,U314),"")=r_un),OR(r_de="",r_de="(Todos)",D314=r_de)),1,0))</f>
        <v>0</v>
      </c>
      <c r="AB314" s="96" t="str">
        <f>IF(AA314=1,COUNTIF($AA$6:AA314,1),"")</f>
        <v/>
      </c>
    </row>
    <row r="315">
      <c r="A315" s="89" t="inlineStr">
        <is>
          <t>REC-000310</t>
        </is>
      </c>
      <c r="B315" s="94" t="str">
        <f>IF(T315=1,INDEX('ITENS_MTR'!$S$6:$S$1005,S315)&amp;"","")</f>
        <v/>
      </c>
      <c r="C315" s="91" t="n"/>
      <c r="D315" s="94" t="str">
        <f>IF(N(U315)&gt;0,INDEX('MTRs'!$I$6:$I$505,U315)&amp;"","")</f>
        <v/>
      </c>
      <c r="E315" s="92" t="n"/>
      <c r="F315" s="98" t="n"/>
      <c r="G315" s="91" t="n"/>
      <c r="H315" s="93" t="str">
        <f>IF(Q315=0,"",IF(NOT(ISNUMBER(F315)),"",IF(ISNUMBER(W315),F315*W315,"UNIDADE A CONFERIR")))</f>
        <v/>
      </c>
      <c r="I315" s="91" t="n"/>
      <c r="J315" s="91" t="n"/>
      <c r="K315" s="92" t="n"/>
      <c r="L315" s="91" t="n"/>
      <c r="M315" s="91" t="n"/>
      <c r="N315" s="91" t="n"/>
      <c r="O315" s="91" t="n"/>
      <c r="P315" s="94" t="str">
        <f>IF(Q315=0,"",IF(C315="","Item de resíduo não informado",IF(T315=0,"Item inexistente (referência inválida)",IF(NOT(ISNUMBER(F315)),"Quantidade não informada",IF(F315&lt;=0,"Quantidade não positiva",IF(G315="","Unidade não informada",IF(NOT(ISNUMBER(H315)),"Unidade a conferir",IF(NOT(ISNUMBER(E315)),"Data de recebimento não informada",IF(AND(ISNUMBER(V315),N(V315)&gt;0,E315&lt;N(V315)),"Data anterior à emissão do MTR",IF(AND(J315="Sim",L315="",M315=""),"Conferido sem evidência identificada",IF(J315&lt;&gt;"Sim","Aguardando conferência",IF(INDEX('ITENS_MTR'!$AM$6:$AM$1005,S315)=1,"Conferido (ver diferença no item)","Conferido"))))))))))))</f>
        <v/>
      </c>
      <c r="Q315" s="96">
        <f>IF(COUNTA(C315,E315:G315,I315:O315)&gt;0,1,0)</f>
        <v>0</v>
      </c>
      <c r="R315" s="96" t="str">
        <f>IF(C315="","",TRIM(LEFT(C315,FIND(" |",C315&amp;" |")-1)))</f>
        <v/>
      </c>
      <c r="S315" s="96" t="str">
        <f>IF(R315="","",IFERROR(MATCH(R315,'ITENS_MTR'!$A$6:$A$1005,0),""))</f>
        <v/>
      </c>
      <c r="T315" s="96">
        <f>IF(S315="",0,IF(INDEX('ITENS_MTR'!$R$6:$R$1005,S315)=1,1,0))</f>
        <v>0</v>
      </c>
      <c r="U315" s="96" t="str">
        <f>IF(T315=1,INDEX('ITENS_MTR'!$T$6:$T$1005,S315),"")</f>
        <v/>
      </c>
      <c r="V315" s="97" t="str">
        <f>IF(N(U315)&gt;0,INDEX('MTRs'!$E$6:$E$505,U315),"")</f>
        <v/>
      </c>
      <c r="W315" s="96" t="str">
        <f>IF(G315="","",IFERROR(IF(ISNUMBER(INDEX(cfg_fac,MATCH(G315,cfg_units,0))),IF(INDEX(cfg_fac,MATCH(G315,cfg_units,0))&gt;0,INDEX(cfg_fac,MATCH(G315,cfg_units,0)),""),""),""))</f>
        <v/>
      </c>
      <c r="X315" s="96">
        <f>IF(AND(ISNUMBER(F315),ISNUMBER(H315)),IF(H315&gt;0,1,0),0)</f>
        <v>0</v>
      </c>
      <c r="Y315" s="96">
        <f>IF(Q315=0,0,IF(OR(T315=0,X315=0,NOT(ISNUMBER(E315)),AND(J315="Sim",L315="",M315=""),AND(ISNUMBER(E315),ISNUMBER(V315),N(V315)&gt;0,E315&lt;N(V315))),1,0))</f>
        <v>0</v>
      </c>
      <c r="Z315" s="96">
        <f>IF(AND(Q315=1,T315=1,X315=1,J315="Sim",OR(L315&lt;&gt;"",M315&lt;&gt;"")),1,0)</f>
        <v>0</v>
      </c>
      <c r="AA315" s="96">
        <f>IF(Q315=0,0,IF(AND(OR(r_ini="",AND(ISNUMBER(E315),E315&gt;=r_ini)),OR(r_fim="",AND(ISNUMBER(E315),E315&lt;=r_fim)),OR(r_un="",r_un="(Todas)",IF(N(U315)&gt;0,INDEX('MTRs'!$G$6:$G$505,U315),"")=r_un),OR(r_de="",r_de="(Todos)",D315=r_de)),1,0))</f>
        <v>0</v>
      </c>
      <c r="AB315" s="96" t="str">
        <f>IF(AA315=1,COUNTIF($AA$6:AA315,1),"")</f>
        <v/>
      </c>
    </row>
    <row r="316">
      <c r="A316" s="89" t="inlineStr">
        <is>
          <t>REC-000311</t>
        </is>
      </c>
      <c r="B316" s="94" t="str">
        <f>IF(T316=1,INDEX('ITENS_MTR'!$S$6:$S$1005,S316)&amp;"","")</f>
        <v/>
      </c>
      <c r="C316" s="91" t="n"/>
      <c r="D316" s="94" t="str">
        <f>IF(N(U316)&gt;0,INDEX('MTRs'!$I$6:$I$505,U316)&amp;"","")</f>
        <v/>
      </c>
      <c r="E316" s="92" t="n"/>
      <c r="F316" s="98" t="n"/>
      <c r="G316" s="91" t="n"/>
      <c r="H316" s="93" t="str">
        <f>IF(Q316=0,"",IF(NOT(ISNUMBER(F316)),"",IF(ISNUMBER(W316),F316*W316,"UNIDADE A CONFERIR")))</f>
        <v/>
      </c>
      <c r="I316" s="91" t="n"/>
      <c r="J316" s="91" t="n"/>
      <c r="K316" s="92" t="n"/>
      <c r="L316" s="91" t="n"/>
      <c r="M316" s="91" t="n"/>
      <c r="N316" s="91" t="n"/>
      <c r="O316" s="91" t="n"/>
      <c r="P316" s="94" t="str">
        <f>IF(Q316=0,"",IF(C316="","Item de resíduo não informado",IF(T316=0,"Item inexistente (referência inválida)",IF(NOT(ISNUMBER(F316)),"Quantidade não informada",IF(F316&lt;=0,"Quantidade não positiva",IF(G316="","Unidade não informada",IF(NOT(ISNUMBER(H316)),"Unidade a conferir",IF(NOT(ISNUMBER(E316)),"Data de recebimento não informada",IF(AND(ISNUMBER(V316),N(V316)&gt;0,E316&lt;N(V316)),"Data anterior à emissão do MTR",IF(AND(J316="Sim",L316="",M316=""),"Conferido sem evidência identificada",IF(J316&lt;&gt;"Sim","Aguardando conferência",IF(INDEX('ITENS_MTR'!$AM$6:$AM$1005,S316)=1,"Conferido (ver diferença no item)","Conferido"))))))))))))</f>
        <v/>
      </c>
      <c r="Q316" s="96">
        <f>IF(COUNTA(C316,E316:G316,I316:O316)&gt;0,1,0)</f>
        <v>0</v>
      </c>
      <c r="R316" s="96" t="str">
        <f>IF(C316="","",TRIM(LEFT(C316,FIND(" |",C316&amp;" |")-1)))</f>
        <v/>
      </c>
      <c r="S316" s="96" t="str">
        <f>IF(R316="","",IFERROR(MATCH(R316,'ITENS_MTR'!$A$6:$A$1005,0),""))</f>
        <v/>
      </c>
      <c r="T316" s="96">
        <f>IF(S316="",0,IF(INDEX('ITENS_MTR'!$R$6:$R$1005,S316)=1,1,0))</f>
        <v>0</v>
      </c>
      <c r="U316" s="96" t="str">
        <f>IF(T316=1,INDEX('ITENS_MTR'!$T$6:$T$1005,S316),"")</f>
        <v/>
      </c>
      <c r="V316" s="97" t="str">
        <f>IF(N(U316)&gt;0,INDEX('MTRs'!$E$6:$E$505,U316),"")</f>
        <v/>
      </c>
      <c r="W316" s="96" t="str">
        <f>IF(G316="","",IFERROR(IF(ISNUMBER(INDEX(cfg_fac,MATCH(G316,cfg_units,0))),IF(INDEX(cfg_fac,MATCH(G316,cfg_units,0))&gt;0,INDEX(cfg_fac,MATCH(G316,cfg_units,0)),""),""),""))</f>
        <v/>
      </c>
      <c r="X316" s="96">
        <f>IF(AND(ISNUMBER(F316),ISNUMBER(H316)),IF(H316&gt;0,1,0),0)</f>
        <v>0</v>
      </c>
      <c r="Y316" s="96">
        <f>IF(Q316=0,0,IF(OR(T316=0,X316=0,NOT(ISNUMBER(E316)),AND(J316="Sim",L316="",M316=""),AND(ISNUMBER(E316),ISNUMBER(V316),N(V316)&gt;0,E316&lt;N(V316))),1,0))</f>
        <v>0</v>
      </c>
      <c r="Z316" s="96">
        <f>IF(AND(Q316=1,T316=1,X316=1,J316="Sim",OR(L316&lt;&gt;"",M316&lt;&gt;"")),1,0)</f>
        <v>0</v>
      </c>
      <c r="AA316" s="96">
        <f>IF(Q316=0,0,IF(AND(OR(r_ini="",AND(ISNUMBER(E316),E316&gt;=r_ini)),OR(r_fim="",AND(ISNUMBER(E316),E316&lt;=r_fim)),OR(r_un="",r_un="(Todas)",IF(N(U316)&gt;0,INDEX('MTRs'!$G$6:$G$505,U316),"")=r_un),OR(r_de="",r_de="(Todos)",D316=r_de)),1,0))</f>
        <v>0</v>
      </c>
      <c r="AB316" s="96" t="str">
        <f>IF(AA316=1,COUNTIF($AA$6:AA316,1),"")</f>
        <v/>
      </c>
    </row>
    <row r="317">
      <c r="A317" s="89" t="inlineStr">
        <is>
          <t>REC-000312</t>
        </is>
      </c>
      <c r="B317" s="94" t="str">
        <f>IF(T317=1,INDEX('ITENS_MTR'!$S$6:$S$1005,S317)&amp;"","")</f>
        <v/>
      </c>
      <c r="C317" s="91" t="n"/>
      <c r="D317" s="94" t="str">
        <f>IF(N(U317)&gt;0,INDEX('MTRs'!$I$6:$I$505,U317)&amp;"","")</f>
        <v/>
      </c>
      <c r="E317" s="92" t="n"/>
      <c r="F317" s="98" t="n"/>
      <c r="G317" s="91" t="n"/>
      <c r="H317" s="93" t="str">
        <f>IF(Q317=0,"",IF(NOT(ISNUMBER(F317)),"",IF(ISNUMBER(W317),F317*W317,"UNIDADE A CONFERIR")))</f>
        <v/>
      </c>
      <c r="I317" s="91" t="n"/>
      <c r="J317" s="91" t="n"/>
      <c r="K317" s="92" t="n"/>
      <c r="L317" s="91" t="n"/>
      <c r="M317" s="91" t="n"/>
      <c r="N317" s="91" t="n"/>
      <c r="O317" s="91" t="n"/>
      <c r="P317" s="94" t="str">
        <f>IF(Q317=0,"",IF(C317="","Item de resíduo não informado",IF(T317=0,"Item inexistente (referência inválida)",IF(NOT(ISNUMBER(F317)),"Quantidade não informada",IF(F317&lt;=0,"Quantidade não positiva",IF(G317="","Unidade não informada",IF(NOT(ISNUMBER(H317)),"Unidade a conferir",IF(NOT(ISNUMBER(E317)),"Data de recebimento não informada",IF(AND(ISNUMBER(V317),N(V317)&gt;0,E317&lt;N(V317)),"Data anterior à emissão do MTR",IF(AND(J317="Sim",L317="",M317=""),"Conferido sem evidência identificada",IF(J317&lt;&gt;"Sim","Aguardando conferência",IF(INDEX('ITENS_MTR'!$AM$6:$AM$1005,S317)=1,"Conferido (ver diferença no item)","Conferido"))))))))))))</f>
        <v/>
      </c>
      <c r="Q317" s="96">
        <f>IF(COUNTA(C317,E317:G317,I317:O317)&gt;0,1,0)</f>
        <v>0</v>
      </c>
      <c r="R317" s="96" t="str">
        <f>IF(C317="","",TRIM(LEFT(C317,FIND(" |",C317&amp;" |")-1)))</f>
        <v/>
      </c>
      <c r="S317" s="96" t="str">
        <f>IF(R317="","",IFERROR(MATCH(R317,'ITENS_MTR'!$A$6:$A$1005,0),""))</f>
        <v/>
      </c>
      <c r="T317" s="96">
        <f>IF(S317="",0,IF(INDEX('ITENS_MTR'!$R$6:$R$1005,S317)=1,1,0))</f>
        <v>0</v>
      </c>
      <c r="U317" s="96" t="str">
        <f>IF(T317=1,INDEX('ITENS_MTR'!$T$6:$T$1005,S317),"")</f>
        <v/>
      </c>
      <c r="V317" s="97" t="str">
        <f>IF(N(U317)&gt;0,INDEX('MTRs'!$E$6:$E$505,U317),"")</f>
        <v/>
      </c>
      <c r="W317" s="96" t="str">
        <f>IF(G317="","",IFERROR(IF(ISNUMBER(INDEX(cfg_fac,MATCH(G317,cfg_units,0))),IF(INDEX(cfg_fac,MATCH(G317,cfg_units,0))&gt;0,INDEX(cfg_fac,MATCH(G317,cfg_units,0)),""),""),""))</f>
        <v/>
      </c>
      <c r="X317" s="96">
        <f>IF(AND(ISNUMBER(F317),ISNUMBER(H317)),IF(H317&gt;0,1,0),0)</f>
        <v>0</v>
      </c>
      <c r="Y317" s="96">
        <f>IF(Q317=0,0,IF(OR(T317=0,X317=0,NOT(ISNUMBER(E317)),AND(J317="Sim",L317="",M317=""),AND(ISNUMBER(E317),ISNUMBER(V317),N(V317)&gt;0,E317&lt;N(V317))),1,0))</f>
        <v>0</v>
      </c>
      <c r="Z317" s="96">
        <f>IF(AND(Q317=1,T317=1,X317=1,J317="Sim",OR(L317&lt;&gt;"",M317&lt;&gt;"")),1,0)</f>
        <v>0</v>
      </c>
      <c r="AA317" s="96">
        <f>IF(Q317=0,0,IF(AND(OR(r_ini="",AND(ISNUMBER(E317),E317&gt;=r_ini)),OR(r_fim="",AND(ISNUMBER(E317),E317&lt;=r_fim)),OR(r_un="",r_un="(Todas)",IF(N(U317)&gt;0,INDEX('MTRs'!$G$6:$G$505,U317),"")=r_un),OR(r_de="",r_de="(Todos)",D317=r_de)),1,0))</f>
        <v>0</v>
      </c>
      <c r="AB317" s="96" t="str">
        <f>IF(AA317=1,COUNTIF($AA$6:AA317,1),"")</f>
        <v/>
      </c>
    </row>
    <row r="318">
      <c r="A318" s="89" t="inlineStr">
        <is>
          <t>REC-000313</t>
        </is>
      </c>
      <c r="B318" s="94" t="str">
        <f>IF(T318=1,INDEX('ITENS_MTR'!$S$6:$S$1005,S318)&amp;"","")</f>
        <v/>
      </c>
      <c r="C318" s="91" t="n"/>
      <c r="D318" s="94" t="str">
        <f>IF(N(U318)&gt;0,INDEX('MTRs'!$I$6:$I$505,U318)&amp;"","")</f>
        <v/>
      </c>
      <c r="E318" s="92" t="n"/>
      <c r="F318" s="98" t="n"/>
      <c r="G318" s="91" t="n"/>
      <c r="H318" s="93" t="str">
        <f>IF(Q318=0,"",IF(NOT(ISNUMBER(F318)),"",IF(ISNUMBER(W318),F318*W318,"UNIDADE A CONFERIR")))</f>
        <v/>
      </c>
      <c r="I318" s="91" t="n"/>
      <c r="J318" s="91" t="n"/>
      <c r="K318" s="92" t="n"/>
      <c r="L318" s="91" t="n"/>
      <c r="M318" s="91" t="n"/>
      <c r="N318" s="91" t="n"/>
      <c r="O318" s="91" t="n"/>
      <c r="P318" s="94" t="str">
        <f>IF(Q318=0,"",IF(C318="","Item de resíduo não informado",IF(T318=0,"Item inexistente (referência inválida)",IF(NOT(ISNUMBER(F318)),"Quantidade não informada",IF(F318&lt;=0,"Quantidade não positiva",IF(G318="","Unidade não informada",IF(NOT(ISNUMBER(H318)),"Unidade a conferir",IF(NOT(ISNUMBER(E318)),"Data de recebimento não informada",IF(AND(ISNUMBER(V318),N(V318)&gt;0,E318&lt;N(V318)),"Data anterior à emissão do MTR",IF(AND(J318="Sim",L318="",M318=""),"Conferido sem evidência identificada",IF(J318&lt;&gt;"Sim","Aguardando conferência",IF(INDEX('ITENS_MTR'!$AM$6:$AM$1005,S318)=1,"Conferido (ver diferença no item)","Conferido"))))))))))))</f>
        <v/>
      </c>
      <c r="Q318" s="96">
        <f>IF(COUNTA(C318,E318:G318,I318:O318)&gt;0,1,0)</f>
        <v>0</v>
      </c>
      <c r="R318" s="96" t="str">
        <f>IF(C318="","",TRIM(LEFT(C318,FIND(" |",C318&amp;" |")-1)))</f>
        <v/>
      </c>
      <c r="S318" s="96" t="str">
        <f>IF(R318="","",IFERROR(MATCH(R318,'ITENS_MTR'!$A$6:$A$1005,0),""))</f>
        <v/>
      </c>
      <c r="T318" s="96">
        <f>IF(S318="",0,IF(INDEX('ITENS_MTR'!$R$6:$R$1005,S318)=1,1,0))</f>
        <v>0</v>
      </c>
      <c r="U318" s="96" t="str">
        <f>IF(T318=1,INDEX('ITENS_MTR'!$T$6:$T$1005,S318),"")</f>
        <v/>
      </c>
      <c r="V318" s="97" t="str">
        <f>IF(N(U318)&gt;0,INDEX('MTRs'!$E$6:$E$505,U318),"")</f>
        <v/>
      </c>
      <c r="W318" s="96" t="str">
        <f>IF(G318="","",IFERROR(IF(ISNUMBER(INDEX(cfg_fac,MATCH(G318,cfg_units,0))),IF(INDEX(cfg_fac,MATCH(G318,cfg_units,0))&gt;0,INDEX(cfg_fac,MATCH(G318,cfg_units,0)),""),""),""))</f>
        <v/>
      </c>
      <c r="X318" s="96">
        <f>IF(AND(ISNUMBER(F318),ISNUMBER(H318)),IF(H318&gt;0,1,0),0)</f>
        <v>0</v>
      </c>
      <c r="Y318" s="96">
        <f>IF(Q318=0,0,IF(OR(T318=0,X318=0,NOT(ISNUMBER(E318)),AND(J318="Sim",L318="",M318=""),AND(ISNUMBER(E318),ISNUMBER(V318),N(V318)&gt;0,E318&lt;N(V318))),1,0))</f>
        <v>0</v>
      </c>
      <c r="Z318" s="96">
        <f>IF(AND(Q318=1,T318=1,X318=1,J318="Sim",OR(L318&lt;&gt;"",M318&lt;&gt;"")),1,0)</f>
        <v>0</v>
      </c>
      <c r="AA318" s="96">
        <f>IF(Q318=0,0,IF(AND(OR(r_ini="",AND(ISNUMBER(E318),E318&gt;=r_ini)),OR(r_fim="",AND(ISNUMBER(E318),E318&lt;=r_fim)),OR(r_un="",r_un="(Todas)",IF(N(U318)&gt;0,INDEX('MTRs'!$G$6:$G$505,U318),"")=r_un),OR(r_de="",r_de="(Todos)",D318=r_de)),1,0))</f>
        <v>0</v>
      </c>
      <c r="AB318" s="96" t="str">
        <f>IF(AA318=1,COUNTIF($AA$6:AA318,1),"")</f>
        <v/>
      </c>
    </row>
    <row r="319">
      <c r="A319" s="89" t="inlineStr">
        <is>
          <t>REC-000314</t>
        </is>
      </c>
      <c r="B319" s="94" t="str">
        <f>IF(T319=1,INDEX('ITENS_MTR'!$S$6:$S$1005,S319)&amp;"","")</f>
        <v/>
      </c>
      <c r="C319" s="91" t="n"/>
      <c r="D319" s="94" t="str">
        <f>IF(N(U319)&gt;0,INDEX('MTRs'!$I$6:$I$505,U319)&amp;"","")</f>
        <v/>
      </c>
      <c r="E319" s="92" t="n"/>
      <c r="F319" s="98" t="n"/>
      <c r="G319" s="91" t="n"/>
      <c r="H319" s="93" t="str">
        <f>IF(Q319=0,"",IF(NOT(ISNUMBER(F319)),"",IF(ISNUMBER(W319),F319*W319,"UNIDADE A CONFERIR")))</f>
        <v/>
      </c>
      <c r="I319" s="91" t="n"/>
      <c r="J319" s="91" t="n"/>
      <c r="K319" s="92" t="n"/>
      <c r="L319" s="91" t="n"/>
      <c r="M319" s="91" t="n"/>
      <c r="N319" s="91" t="n"/>
      <c r="O319" s="91" t="n"/>
      <c r="P319" s="94" t="str">
        <f>IF(Q319=0,"",IF(C319="","Item de resíduo não informado",IF(T319=0,"Item inexistente (referência inválida)",IF(NOT(ISNUMBER(F319)),"Quantidade não informada",IF(F319&lt;=0,"Quantidade não positiva",IF(G319="","Unidade não informada",IF(NOT(ISNUMBER(H319)),"Unidade a conferir",IF(NOT(ISNUMBER(E319)),"Data de recebimento não informada",IF(AND(ISNUMBER(V319),N(V319)&gt;0,E319&lt;N(V319)),"Data anterior à emissão do MTR",IF(AND(J319="Sim",L319="",M319=""),"Conferido sem evidência identificada",IF(J319&lt;&gt;"Sim","Aguardando conferência",IF(INDEX('ITENS_MTR'!$AM$6:$AM$1005,S319)=1,"Conferido (ver diferença no item)","Conferido"))))))))))))</f>
        <v/>
      </c>
      <c r="Q319" s="96">
        <f>IF(COUNTA(C319,E319:G319,I319:O319)&gt;0,1,0)</f>
        <v>0</v>
      </c>
      <c r="R319" s="96" t="str">
        <f>IF(C319="","",TRIM(LEFT(C319,FIND(" |",C319&amp;" |")-1)))</f>
        <v/>
      </c>
      <c r="S319" s="96" t="str">
        <f>IF(R319="","",IFERROR(MATCH(R319,'ITENS_MTR'!$A$6:$A$1005,0),""))</f>
        <v/>
      </c>
      <c r="T319" s="96">
        <f>IF(S319="",0,IF(INDEX('ITENS_MTR'!$R$6:$R$1005,S319)=1,1,0))</f>
        <v>0</v>
      </c>
      <c r="U319" s="96" t="str">
        <f>IF(T319=1,INDEX('ITENS_MTR'!$T$6:$T$1005,S319),"")</f>
        <v/>
      </c>
      <c r="V319" s="97" t="str">
        <f>IF(N(U319)&gt;0,INDEX('MTRs'!$E$6:$E$505,U319),"")</f>
        <v/>
      </c>
      <c r="W319" s="96" t="str">
        <f>IF(G319="","",IFERROR(IF(ISNUMBER(INDEX(cfg_fac,MATCH(G319,cfg_units,0))),IF(INDEX(cfg_fac,MATCH(G319,cfg_units,0))&gt;0,INDEX(cfg_fac,MATCH(G319,cfg_units,0)),""),""),""))</f>
        <v/>
      </c>
      <c r="X319" s="96">
        <f>IF(AND(ISNUMBER(F319),ISNUMBER(H319)),IF(H319&gt;0,1,0),0)</f>
        <v>0</v>
      </c>
      <c r="Y319" s="96">
        <f>IF(Q319=0,0,IF(OR(T319=0,X319=0,NOT(ISNUMBER(E319)),AND(J319="Sim",L319="",M319=""),AND(ISNUMBER(E319),ISNUMBER(V319),N(V319)&gt;0,E319&lt;N(V319))),1,0))</f>
        <v>0</v>
      </c>
      <c r="Z319" s="96">
        <f>IF(AND(Q319=1,T319=1,X319=1,J319="Sim",OR(L319&lt;&gt;"",M319&lt;&gt;"")),1,0)</f>
        <v>0</v>
      </c>
      <c r="AA319" s="96">
        <f>IF(Q319=0,0,IF(AND(OR(r_ini="",AND(ISNUMBER(E319),E319&gt;=r_ini)),OR(r_fim="",AND(ISNUMBER(E319),E319&lt;=r_fim)),OR(r_un="",r_un="(Todas)",IF(N(U319)&gt;0,INDEX('MTRs'!$G$6:$G$505,U319),"")=r_un),OR(r_de="",r_de="(Todos)",D319=r_de)),1,0))</f>
        <v>0</v>
      </c>
      <c r="AB319" s="96" t="str">
        <f>IF(AA319=1,COUNTIF($AA$6:AA319,1),"")</f>
        <v/>
      </c>
    </row>
    <row r="320">
      <c r="A320" s="89" t="inlineStr">
        <is>
          <t>REC-000315</t>
        </is>
      </c>
      <c r="B320" s="94" t="str">
        <f>IF(T320=1,INDEX('ITENS_MTR'!$S$6:$S$1005,S320)&amp;"","")</f>
        <v/>
      </c>
      <c r="C320" s="91" t="n"/>
      <c r="D320" s="94" t="str">
        <f>IF(N(U320)&gt;0,INDEX('MTRs'!$I$6:$I$505,U320)&amp;"","")</f>
        <v/>
      </c>
      <c r="E320" s="92" t="n"/>
      <c r="F320" s="98" t="n"/>
      <c r="G320" s="91" t="n"/>
      <c r="H320" s="93" t="str">
        <f>IF(Q320=0,"",IF(NOT(ISNUMBER(F320)),"",IF(ISNUMBER(W320),F320*W320,"UNIDADE A CONFERIR")))</f>
        <v/>
      </c>
      <c r="I320" s="91" t="n"/>
      <c r="J320" s="91" t="n"/>
      <c r="K320" s="92" t="n"/>
      <c r="L320" s="91" t="n"/>
      <c r="M320" s="91" t="n"/>
      <c r="N320" s="91" t="n"/>
      <c r="O320" s="91" t="n"/>
      <c r="P320" s="94" t="str">
        <f>IF(Q320=0,"",IF(C320="","Item de resíduo não informado",IF(T320=0,"Item inexistente (referência inválida)",IF(NOT(ISNUMBER(F320)),"Quantidade não informada",IF(F320&lt;=0,"Quantidade não positiva",IF(G320="","Unidade não informada",IF(NOT(ISNUMBER(H320)),"Unidade a conferir",IF(NOT(ISNUMBER(E320)),"Data de recebimento não informada",IF(AND(ISNUMBER(V320),N(V320)&gt;0,E320&lt;N(V320)),"Data anterior à emissão do MTR",IF(AND(J320="Sim",L320="",M320=""),"Conferido sem evidência identificada",IF(J320&lt;&gt;"Sim","Aguardando conferência",IF(INDEX('ITENS_MTR'!$AM$6:$AM$1005,S320)=1,"Conferido (ver diferença no item)","Conferido"))))))))))))</f>
        <v/>
      </c>
      <c r="Q320" s="96">
        <f>IF(COUNTA(C320,E320:G320,I320:O320)&gt;0,1,0)</f>
        <v>0</v>
      </c>
      <c r="R320" s="96" t="str">
        <f>IF(C320="","",TRIM(LEFT(C320,FIND(" |",C320&amp;" |")-1)))</f>
        <v/>
      </c>
      <c r="S320" s="96" t="str">
        <f>IF(R320="","",IFERROR(MATCH(R320,'ITENS_MTR'!$A$6:$A$1005,0),""))</f>
        <v/>
      </c>
      <c r="T320" s="96">
        <f>IF(S320="",0,IF(INDEX('ITENS_MTR'!$R$6:$R$1005,S320)=1,1,0))</f>
        <v>0</v>
      </c>
      <c r="U320" s="96" t="str">
        <f>IF(T320=1,INDEX('ITENS_MTR'!$T$6:$T$1005,S320),"")</f>
        <v/>
      </c>
      <c r="V320" s="97" t="str">
        <f>IF(N(U320)&gt;0,INDEX('MTRs'!$E$6:$E$505,U320),"")</f>
        <v/>
      </c>
      <c r="W320" s="96" t="str">
        <f>IF(G320="","",IFERROR(IF(ISNUMBER(INDEX(cfg_fac,MATCH(G320,cfg_units,0))),IF(INDEX(cfg_fac,MATCH(G320,cfg_units,0))&gt;0,INDEX(cfg_fac,MATCH(G320,cfg_units,0)),""),""),""))</f>
        <v/>
      </c>
      <c r="X320" s="96">
        <f>IF(AND(ISNUMBER(F320),ISNUMBER(H320)),IF(H320&gt;0,1,0),0)</f>
        <v>0</v>
      </c>
      <c r="Y320" s="96">
        <f>IF(Q320=0,0,IF(OR(T320=0,X320=0,NOT(ISNUMBER(E320)),AND(J320="Sim",L320="",M320=""),AND(ISNUMBER(E320),ISNUMBER(V320),N(V320)&gt;0,E320&lt;N(V320))),1,0))</f>
        <v>0</v>
      </c>
      <c r="Z320" s="96">
        <f>IF(AND(Q320=1,T320=1,X320=1,J320="Sim",OR(L320&lt;&gt;"",M320&lt;&gt;"")),1,0)</f>
        <v>0</v>
      </c>
      <c r="AA320" s="96">
        <f>IF(Q320=0,0,IF(AND(OR(r_ini="",AND(ISNUMBER(E320),E320&gt;=r_ini)),OR(r_fim="",AND(ISNUMBER(E320),E320&lt;=r_fim)),OR(r_un="",r_un="(Todas)",IF(N(U320)&gt;0,INDEX('MTRs'!$G$6:$G$505,U320),"")=r_un),OR(r_de="",r_de="(Todos)",D320=r_de)),1,0))</f>
        <v>0</v>
      </c>
      <c r="AB320" s="96" t="str">
        <f>IF(AA320=1,COUNTIF($AA$6:AA320,1),"")</f>
        <v/>
      </c>
    </row>
    <row r="321">
      <c r="A321" s="89" t="inlineStr">
        <is>
          <t>REC-000316</t>
        </is>
      </c>
      <c r="B321" s="94" t="str">
        <f>IF(T321=1,INDEX('ITENS_MTR'!$S$6:$S$1005,S321)&amp;"","")</f>
        <v/>
      </c>
      <c r="C321" s="91" t="n"/>
      <c r="D321" s="94" t="str">
        <f>IF(N(U321)&gt;0,INDEX('MTRs'!$I$6:$I$505,U321)&amp;"","")</f>
        <v/>
      </c>
      <c r="E321" s="92" t="n"/>
      <c r="F321" s="98" t="n"/>
      <c r="G321" s="91" t="n"/>
      <c r="H321" s="93" t="str">
        <f>IF(Q321=0,"",IF(NOT(ISNUMBER(F321)),"",IF(ISNUMBER(W321),F321*W321,"UNIDADE A CONFERIR")))</f>
        <v/>
      </c>
      <c r="I321" s="91" t="n"/>
      <c r="J321" s="91" t="n"/>
      <c r="K321" s="92" t="n"/>
      <c r="L321" s="91" t="n"/>
      <c r="M321" s="91" t="n"/>
      <c r="N321" s="91" t="n"/>
      <c r="O321" s="91" t="n"/>
      <c r="P321" s="94" t="str">
        <f>IF(Q321=0,"",IF(C321="","Item de resíduo não informado",IF(T321=0,"Item inexistente (referência inválida)",IF(NOT(ISNUMBER(F321)),"Quantidade não informada",IF(F321&lt;=0,"Quantidade não positiva",IF(G321="","Unidade não informada",IF(NOT(ISNUMBER(H321)),"Unidade a conferir",IF(NOT(ISNUMBER(E321)),"Data de recebimento não informada",IF(AND(ISNUMBER(V321),N(V321)&gt;0,E321&lt;N(V321)),"Data anterior à emissão do MTR",IF(AND(J321="Sim",L321="",M321=""),"Conferido sem evidência identificada",IF(J321&lt;&gt;"Sim","Aguardando conferência",IF(INDEX('ITENS_MTR'!$AM$6:$AM$1005,S321)=1,"Conferido (ver diferença no item)","Conferido"))))))))))))</f>
        <v/>
      </c>
      <c r="Q321" s="96">
        <f>IF(COUNTA(C321,E321:G321,I321:O321)&gt;0,1,0)</f>
        <v>0</v>
      </c>
      <c r="R321" s="96" t="str">
        <f>IF(C321="","",TRIM(LEFT(C321,FIND(" |",C321&amp;" |")-1)))</f>
        <v/>
      </c>
      <c r="S321" s="96" t="str">
        <f>IF(R321="","",IFERROR(MATCH(R321,'ITENS_MTR'!$A$6:$A$1005,0),""))</f>
        <v/>
      </c>
      <c r="T321" s="96">
        <f>IF(S321="",0,IF(INDEX('ITENS_MTR'!$R$6:$R$1005,S321)=1,1,0))</f>
        <v>0</v>
      </c>
      <c r="U321" s="96" t="str">
        <f>IF(T321=1,INDEX('ITENS_MTR'!$T$6:$T$1005,S321),"")</f>
        <v/>
      </c>
      <c r="V321" s="97" t="str">
        <f>IF(N(U321)&gt;0,INDEX('MTRs'!$E$6:$E$505,U321),"")</f>
        <v/>
      </c>
      <c r="W321" s="96" t="str">
        <f>IF(G321="","",IFERROR(IF(ISNUMBER(INDEX(cfg_fac,MATCH(G321,cfg_units,0))),IF(INDEX(cfg_fac,MATCH(G321,cfg_units,0))&gt;0,INDEX(cfg_fac,MATCH(G321,cfg_units,0)),""),""),""))</f>
        <v/>
      </c>
      <c r="X321" s="96">
        <f>IF(AND(ISNUMBER(F321),ISNUMBER(H321)),IF(H321&gt;0,1,0),0)</f>
        <v>0</v>
      </c>
      <c r="Y321" s="96">
        <f>IF(Q321=0,0,IF(OR(T321=0,X321=0,NOT(ISNUMBER(E321)),AND(J321="Sim",L321="",M321=""),AND(ISNUMBER(E321),ISNUMBER(V321),N(V321)&gt;0,E321&lt;N(V321))),1,0))</f>
        <v>0</v>
      </c>
      <c r="Z321" s="96">
        <f>IF(AND(Q321=1,T321=1,X321=1,J321="Sim",OR(L321&lt;&gt;"",M321&lt;&gt;"")),1,0)</f>
        <v>0</v>
      </c>
      <c r="AA321" s="96">
        <f>IF(Q321=0,0,IF(AND(OR(r_ini="",AND(ISNUMBER(E321),E321&gt;=r_ini)),OR(r_fim="",AND(ISNUMBER(E321),E321&lt;=r_fim)),OR(r_un="",r_un="(Todas)",IF(N(U321)&gt;0,INDEX('MTRs'!$G$6:$G$505,U321),"")=r_un),OR(r_de="",r_de="(Todos)",D321=r_de)),1,0))</f>
        <v>0</v>
      </c>
      <c r="AB321" s="96" t="str">
        <f>IF(AA321=1,COUNTIF($AA$6:AA321,1),"")</f>
        <v/>
      </c>
    </row>
    <row r="322">
      <c r="A322" s="89" t="inlineStr">
        <is>
          <t>REC-000317</t>
        </is>
      </c>
      <c r="B322" s="94" t="str">
        <f>IF(T322=1,INDEX('ITENS_MTR'!$S$6:$S$1005,S322)&amp;"","")</f>
        <v/>
      </c>
      <c r="C322" s="91" t="n"/>
      <c r="D322" s="94" t="str">
        <f>IF(N(U322)&gt;0,INDEX('MTRs'!$I$6:$I$505,U322)&amp;"","")</f>
        <v/>
      </c>
      <c r="E322" s="92" t="n"/>
      <c r="F322" s="98" t="n"/>
      <c r="G322" s="91" t="n"/>
      <c r="H322" s="93" t="str">
        <f>IF(Q322=0,"",IF(NOT(ISNUMBER(F322)),"",IF(ISNUMBER(W322),F322*W322,"UNIDADE A CONFERIR")))</f>
        <v/>
      </c>
      <c r="I322" s="91" t="n"/>
      <c r="J322" s="91" t="n"/>
      <c r="K322" s="92" t="n"/>
      <c r="L322" s="91" t="n"/>
      <c r="M322" s="91" t="n"/>
      <c r="N322" s="91" t="n"/>
      <c r="O322" s="91" t="n"/>
      <c r="P322" s="94" t="str">
        <f>IF(Q322=0,"",IF(C322="","Item de resíduo não informado",IF(T322=0,"Item inexistente (referência inválida)",IF(NOT(ISNUMBER(F322)),"Quantidade não informada",IF(F322&lt;=0,"Quantidade não positiva",IF(G322="","Unidade não informada",IF(NOT(ISNUMBER(H322)),"Unidade a conferir",IF(NOT(ISNUMBER(E322)),"Data de recebimento não informada",IF(AND(ISNUMBER(V322),N(V322)&gt;0,E322&lt;N(V322)),"Data anterior à emissão do MTR",IF(AND(J322="Sim",L322="",M322=""),"Conferido sem evidência identificada",IF(J322&lt;&gt;"Sim","Aguardando conferência",IF(INDEX('ITENS_MTR'!$AM$6:$AM$1005,S322)=1,"Conferido (ver diferença no item)","Conferido"))))))))))))</f>
        <v/>
      </c>
      <c r="Q322" s="96">
        <f>IF(COUNTA(C322,E322:G322,I322:O322)&gt;0,1,0)</f>
        <v>0</v>
      </c>
      <c r="R322" s="96" t="str">
        <f>IF(C322="","",TRIM(LEFT(C322,FIND(" |",C322&amp;" |")-1)))</f>
        <v/>
      </c>
      <c r="S322" s="96" t="str">
        <f>IF(R322="","",IFERROR(MATCH(R322,'ITENS_MTR'!$A$6:$A$1005,0),""))</f>
        <v/>
      </c>
      <c r="T322" s="96">
        <f>IF(S322="",0,IF(INDEX('ITENS_MTR'!$R$6:$R$1005,S322)=1,1,0))</f>
        <v>0</v>
      </c>
      <c r="U322" s="96" t="str">
        <f>IF(T322=1,INDEX('ITENS_MTR'!$T$6:$T$1005,S322),"")</f>
        <v/>
      </c>
      <c r="V322" s="97" t="str">
        <f>IF(N(U322)&gt;0,INDEX('MTRs'!$E$6:$E$505,U322),"")</f>
        <v/>
      </c>
      <c r="W322" s="96" t="str">
        <f>IF(G322="","",IFERROR(IF(ISNUMBER(INDEX(cfg_fac,MATCH(G322,cfg_units,0))),IF(INDEX(cfg_fac,MATCH(G322,cfg_units,0))&gt;0,INDEX(cfg_fac,MATCH(G322,cfg_units,0)),""),""),""))</f>
        <v/>
      </c>
      <c r="X322" s="96">
        <f>IF(AND(ISNUMBER(F322),ISNUMBER(H322)),IF(H322&gt;0,1,0),0)</f>
        <v>0</v>
      </c>
      <c r="Y322" s="96">
        <f>IF(Q322=0,0,IF(OR(T322=0,X322=0,NOT(ISNUMBER(E322)),AND(J322="Sim",L322="",M322=""),AND(ISNUMBER(E322),ISNUMBER(V322),N(V322)&gt;0,E322&lt;N(V322))),1,0))</f>
        <v>0</v>
      </c>
      <c r="Z322" s="96">
        <f>IF(AND(Q322=1,T322=1,X322=1,J322="Sim",OR(L322&lt;&gt;"",M322&lt;&gt;"")),1,0)</f>
        <v>0</v>
      </c>
      <c r="AA322" s="96">
        <f>IF(Q322=0,0,IF(AND(OR(r_ini="",AND(ISNUMBER(E322),E322&gt;=r_ini)),OR(r_fim="",AND(ISNUMBER(E322),E322&lt;=r_fim)),OR(r_un="",r_un="(Todas)",IF(N(U322)&gt;0,INDEX('MTRs'!$G$6:$G$505,U322),"")=r_un),OR(r_de="",r_de="(Todos)",D322=r_de)),1,0))</f>
        <v>0</v>
      </c>
      <c r="AB322" s="96" t="str">
        <f>IF(AA322=1,COUNTIF($AA$6:AA322,1),"")</f>
        <v/>
      </c>
    </row>
    <row r="323">
      <c r="A323" s="89" t="inlineStr">
        <is>
          <t>REC-000318</t>
        </is>
      </c>
      <c r="B323" s="94" t="str">
        <f>IF(T323=1,INDEX('ITENS_MTR'!$S$6:$S$1005,S323)&amp;"","")</f>
        <v/>
      </c>
      <c r="C323" s="91" t="n"/>
      <c r="D323" s="94" t="str">
        <f>IF(N(U323)&gt;0,INDEX('MTRs'!$I$6:$I$505,U323)&amp;"","")</f>
        <v/>
      </c>
      <c r="E323" s="92" t="n"/>
      <c r="F323" s="98" t="n"/>
      <c r="G323" s="91" t="n"/>
      <c r="H323" s="93" t="str">
        <f>IF(Q323=0,"",IF(NOT(ISNUMBER(F323)),"",IF(ISNUMBER(W323),F323*W323,"UNIDADE A CONFERIR")))</f>
        <v/>
      </c>
      <c r="I323" s="91" t="n"/>
      <c r="J323" s="91" t="n"/>
      <c r="K323" s="92" t="n"/>
      <c r="L323" s="91" t="n"/>
      <c r="M323" s="91" t="n"/>
      <c r="N323" s="91" t="n"/>
      <c r="O323" s="91" t="n"/>
      <c r="P323" s="94" t="str">
        <f>IF(Q323=0,"",IF(C323="","Item de resíduo não informado",IF(T323=0,"Item inexistente (referência inválida)",IF(NOT(ISNUMBER(F323)),"Quantidade não informada",IF(F323&lt;=0,"Quantidade não positiva",IF(G323="","Unidade não informada",IF(NOT(ISNUMBER(H323)),"Unidade a conferir",IF(NOT(ISNUMBER(E323)),"Data de recebimento não informada",IF(AND(ISNUMBER(V323),N(V323)&gt;0,E323&lt;N(V323)),"Data anterior à emissão do MTR",IF(AND(J323="Sim",L323="",M323=""),"Conferido sem evidência identificada",IF(J323&lt;&gt;"Sim","Aguardando conferência",IF(INDEX('ITENS_MTR'!$AM$6:$AM$1005,S323)=1,"Conferido (ver diferença no item)","Conferido"))))))))))))</f>
        <v/>
      </c>
      <c r="Q323" s="96">
        <f>IF(COUNTA(C323,E323:G323,I323:O323)&gt;0,1,0)</f>
        <v>0</v>
      </c>
      <c r="R323" s="96" t="str">
        <f>IF(C323="","",TRIM(LEFT(C323,FIND(" |",C323&amp;" |")-1)))</f>
        <v/>
      </c>
      <c r="S323" s="96" t="str">
        <f>IF(R323="","",IFERROR(MATCH(R323,'ITENS_MTR'!$A$6:$A$1005,0),""))</f>
        <v/>
      </c>
      <c r="T323" s="96">
        <f>IF(S323="",0,IF(INDEX('ITENS_MTR'!$R$6:$R$1005,S323)=1,1,0))</f>
        <v>0</v>
      </c>
      <c r="U323" s="96" t="str">
        <f>IF(T323=1,INDEX('ITENS_MTR'!$T$6:$T$1005,S323),"")</f>
        <v/>
      </c>
      <c r="V323" s="97" t="str">
        <f>IF(N(U323)&gt;0,INDEX('MTRs'!$E$6:$E$505,U323),"")</f>
        <v/>
      </c>
      <c r="W323" s="96" t="str">
        <f>IF(G323="","",IFERROR(IF(ISNUMBER(INDEX(cfg_fac,MATCH(G323,cfg_units,0))),IF(INDEX(cfg_fac,MATCH(G323,cfg_units,0))&gt;0,INDEX(cfg_fac,MATCH(G323,cfg_units,0)),""),""),""))</f>
        <v/>
      </c>
      <c r="X323" s="96">
        <f>IF(AND(ISNUMBER(F323),ISNUMBER(H323)),IF(H323&gt;0,1,0),0)</f>
        <v>0</v>
      </c>
      <c r="Y323" s="96">
        <f>IF(Q323=0,0,IF(OR(T323=0,X323=0,NOT(ISNUMBER(E323)),AND(J323="Sim",L323="",M323=""),AND(ISNUMBER(E323),ISNUMBER(V323),N(V323)&gt;0,E323&lt;N(V323))),1,0))</f>
        <v>0</v>
      </c>
      <c r="Z323" s="96">
        <f>IF(AND(Q323=1,T323=1,X323=1,J323="Sim",OR(L323&lt;&gt;"",M323&lt;&gt;"")),1,0)</f>
        <v>0</v>
      </c>
      <c r="AA323" s="96">
        <f>IF(Q323=0,0,IF(AND(OR(r_ini="",AND(ISNUMBER(E323),E323&gt;=r_ini)),OR(r_fim="",AND(ISNUMBER(E323),E323&lt;=r_fim)),OR(r_un="",r_un="(Todas)",IF(N(U323)&gt;0,INDEX('MTRs'!$G$6:$G$505,U323),"")=r_un),OR(r_de="",r_de="(Todos)",D323=r_de)),1,0))</f>
        <v>0</v>
      </c>
      <c r="AB323" s="96" t="str">
        <f>IF(AA323=1,COUNTIF($AA$6:AA323,1),"")</f>
        <v/>
      </c>
    </row>
    <row r="324">
      <c r="A324" s="89" t="inlineStr">
        <is>
          <t>REC-000319</t>
        </is>
      </c>
      <c r="B324" s="94" t="str">
        <f>IF(T324=1,INDEX('ITENS_MTR'!$S$6:$S$1005,S324)&amp;"","")</f>
        <v/>
      </c>
      <c r="C324" s="91" t="n"/>
      <c r="D324" s="94" t="str">
        <f>IF(N(U324)&gt;0,INDEX('MTRs'!$I$6:$I$505,U324)&amp;"","")</f>
        <v/>
      </c>
      <c r="E324" s="92" t="n"/>
      <c r="F324" s="98" t="n"/>
      <c r="G324" s="91" t="n"/>
      <c r="H324" s="93" t="str">
        <f>IF(Q324=0,"",IF(NOT(ISNUMBER(F324)),"",IF(ISNUMBER(W324),F324*W324,"UNIDADE A CONFERIR")))</f>
        <v/>
      </c>
      <c r="I324" s="91" t="n"/>
      <c r="J324" s="91" t="n"/>
      <c r="K324" s="92" t="n"/>
      <c r="L324" s="91" t="n"/>
      <c r="M324" s="91" t="n"/>
      <c r="N324" s="91" t="n"/>
      <c r="O324" s="91" t="n"/>
      <c r="P324" s="94" t="str">
        <f>IF(Q324=0,"",IF(C324="","Item de resíduo não informado",IF(T324=0,"Item inexistente (referência inválida)",IF(NOT(ISNUMBER(F324)),"Quantidade não informada",IF(F324&lt;=0,"Quantidade não positiva",IF(G324="","Unidade não informada",IF(NOT(ISNUMBER(H324)),"Unidade a conferir",IF(NOT(ISNUMBER(E324)),"Data de recebimento não informada",IF(AND(ISNUMBER(V324),N(V324)&gt;0,E324&lt;N(V324)),"Data anterior à emissão do MTR",IF(AND(J324="Sim",L324="",M324=""),"Conferido sem evidência identificada",IF(J324&lt;&gt;"Sim","Aguardando conferência",IF(INDEX('ITENS_MTR'!$AM$6:$AM$1005,S324)=1,"Conferido (ver diferença no item)","Conferido"))))))))))))</f>
        <v/>
      </c>
      <c r="Q324" s="96">
        <f>IF(COUNTA(C324,E324:G324,I324:O324)&gt;0,1,0)</f>
        <v>0</v>
      </c>
      <c r="R324" s="96" t="str">
        <f>IF(C324="","",TRIM(LEFT(C324,FIND(" |",C324&amp;" |")-1)))</f>
        <v/>
      </c>
      <c r="S324" s="96" t="str">
        <f>IF(R324="","",IFERROR(MATCH(R324,'ITENS_MTR'!$A$6:$A$1005,0),""))</f>
        <v/>
      </c>
      <c r="T324" s="96">
        <f>IF(S324="",0,IF(INDEX('ITENS_MTR'!$R$6:$R$1005,S324)=1,1,0))</f>
        <v>0</v>
      </c>
      <c r="U324" s="96" t="str">
        <f>IF(T324=1,INDEX('ITENS_MTR'!$T$6:$T$1005,S324),"")</f>
        <v/>
      </c>
      <c r="V324" s="97" t="str">
        <f>IF(N(U324)&gt;0,INDEX('MTRs'!$E$6:$E$505,U324),"")</f>
        <v/>
      </c>
      <c r="W324" s="96" t="str">
        <f>IF(G324="","",IFERROR(IF(ISNUMBER(INDEX(cfg_fac,MATCH(G324,cfg_units,0))),IF(INDEX(cfg_fac,MATCH(G324,cfg_units,0))&gt;0,INDEX(cfg_fac,MATCH(G324,cfg_units,0)),""),""),""))</f>
        <v/>
      </c>
      <c r="X324" s="96">
        <f>IF(AND(ISNUMBER(F324),ISNUMBER(H324)),IF(H324&gt;0,1,0),0)</f>
        <v>0</v>
      </c>
      <c r="Y324" s="96">
        <f>IF(Q324=0,0,IF(OR(T324=0,X324=0,NOT(ISNUMBER(E324)),AND(J324="Sim",L324="",M324=""),AND(ISNUMBER(E324),ISNUMBER(V324),N(V324)&gt;0,E324&lt;N(V324))),1,0))</f>
        <v>0</v>
      </c>
      <c r="Z324" s="96">
        <f>IF(AND(Q324=1,T324=1,X324=1,J324="Sim",OR(L324&lt;&gt;"",M324&lt;&gt;"")),1,0)</f>
        <v>0</v>
      </c>
      <c r="AA324" s="96">
        <f>IF(Q324=0,0,IF(AND(OR(r_ini="",AND(ISNUMBER(E324),E324&gt;=r_ini)),OR(r_fim="",AND(ISNUMBER(E324),E324&lt;=r_fim)),OR(r_un="",r_un="(Todas)",IF(N(U324)&gt;0,INDEX('MTRs'!$G$6:$G$505,U324),"")=r_un),OR(r_de="",r_de="(Todos)",D324=r_de)),1,0))</f>
        <v>0</v>
      </c>
      <c r="AB324" s="96" t="str">
        <f>IF(AA324=1,COUNTIF($AA$6:AA324,1),"")</f>
        <v/>
      </c>
    </row>
    <row r="325">
      <c r="A325" s="89" t="inlineStr">
        <is>
          <t>REC-000320</t>
        </is>
      </c>
      <c r="B325" s="94" t="str">
        <f>IF(T325=1,INDEX('ITENS_MTR'!$S$6:$S$1005,S325)&amp;"","")</f>
        <v/>
      </c>
      <c r="C325" s="91" t="n"/>
      <c r="D325" s="94" t="str">
        <f>IF(N(U325)&gt;0,INDEX('MTRs'!$I$6:$I$505,U325)&amp;"","")</f>
        <v/>
      </c>
      <c r="E325" s="92" t="n"/>
      <c r="F325" s="98" t="n"/>
      <c r="G325" s="91" t="n"/>
      <c r="H325" s="93" t="str">
        <f>IF(Q325=0,"",IF(NOT(ISNUMBER(F325)),"",IF(ISNUMBER(W325),F325*W325,"UNIDADE A CONFERIR")))</f>
        <v/>
      </c>
      <c r="I325" s="91" t="n"/>
      <c r="J325" s="91" t="n"/>
      <c r="K325" s="92" t="n"/>
      <c r="L325" s="91" t="n"/>
      <c r="M325" s="91" t="n"/>
      <c r="N325" s="91" t="n"/>
      <c r="O325" s="91" t="n"/>
      <c r="P325" s="94" t="str">
        <f>IF(Q325=0,"",IF(C325="","Item de resíduo não informado",IF(T325=0,"Item inexistente (referência inválida)",IF(NOT(ISNUMBER(F325)),"Quantidade não informada",IF(F325&lt;=0,"Quantidade não positiva",IF(G325="","Unidade não informada",IF(NOT(ISNUMBER(H325)),"Unidade a conferir",IF(NOT(ISNUMBER(E325)),"Data de recebimento não informada",IF(AND(ISNUMBER(V325),N(V325)&gt;0,E325&lt;N(V325)),"Data anterior à emissão do MTR",IF(AND(J325="Sim",L325="",M325=""),"Conferido sem evidência identificada",IF(J325&lt;&gt;"Sim","Aguardando conferência",IF(INDEX('ITENS_MTR'!$AM$6:$AM$1005,S325)=1,"Conferido (ver diferença no item)","Conferido"))))))))))))</f>
        <v/>
      </c>
      <c r="Q325" s="96">
        <f>IF(COUNTA(C325,E325:G325,I325:O325)&gt;0,1,0)</f>
        <v>0</v>
      </c>
      <c r="R325" s="96" t="str">
        <f>IF(C325="","",TRIM(LEFT(C325,FIND(" |",C325&amp;" |")-1)))</f>
        <v/>
      </c>
      <c r="S325" s="96" t="str">
        <f>IF(R325="","",IFERROR(MATCH(R325,'ITENS_MTR'!$A$6:$A$1005,0),""))</f>
        <v/>
      </c>
      <c r="T325" s="96">
        <f>IF(S325="",0,IF(INDEX('ITENS_MTR'!$R$6:$R$1005,S325)=1,1,0))</f>
        <v>0</v>
      </c>
      <c r="U325" s="96" t="str">
        <f>IF(T325=1,INDEX('ITENS_MTR'!$T$6:$T$1005,S325),"")</f>
        <v/>
      </c>
      <c r="V325" s="97" t="str">
        <f>IF(N(U325)&gt;0,INDEX('MTRs'!$E$6:$E$505,U325),"")</f>
        <v/>
      </c>
      <c r="W325" s="96" t="str">
        <f>IF(G325="","",IFERROR(IF(ISNUMBER(INDEX(cfg_fac,MATCH(G325,cfg_units,0))),IF(INDEX(cfg_fac,MATCH(G325,cfg_units,0))&gt;0,INDEX(cfg_fac,MATCH(G325,cfg_units,0)),""),""),""))</f>
        <v/>
      </c>
      <c r="X325" s="96">
        <f>IF(AND(ISNUMBER(F325),ISNUMBER(H325)),IF(H325&gt;0,1,0),0)</f>
        <v>0</v>
      </c>
      <c r="Y325" s="96">
        <f>IF(Q325=0,0,IF(OR(T325=0,X325=0,NOT(ISNUMBER(E325)),AND(J325="Sim",L325="",M325=""),AND(ISNUMBER(E325),ISNUMBER(V325),N(V325)&gt;0,E325&lt;N(V325))),1,0))</f>
        <v>0</v>
      </c>
      <c r="Z325" s="96">
        <f>IF(AND(Q325=1,T325=1,X325=1,J325="Sim",OR(L325&lt;&gt;"",M325&lt;&gt;"")),1,0)</f>
        <v>0</v>
      </c>
      <c r="AA325" s="96">
        <f>IF(Q325=0,0,IF(AND(OR(r_ini="",AND(ISNUMBER(E325),E325&gt;=r_ini)),OR(r_fim="",AND(ISNUMBER(E325),E325&lt;=r_fim)),OR(r_un="",r_un="(Todas)",IF(N(U325)&gt;0,INDEX('MTRs'!$G$6:$G$505,U325),"")=r_un),OR(r_de="",r_de="(Todos)",D325=r_de)),1,0))</f>
        <v>0</v>
      </c>
      <c r="AB325" s="96" t="str">
        <f>IF(AA325=1,COUNTIF($AA$6:AA325,1),"")</f>
        <v/>
      </c>
    </row>
    <row r="326">
      <c r="A326" s="89" t="inlineStr">
        <is>
          <t>REC-000321</t>
        </is>
      </c>
      <c r="B326" s="94" t="str">
        <f>IF(T326=1,INDEX('ITENS_MTR'!$S$6:$S$1005,S326)&amp;"","")</f>
        <v/>
      </c>
      <c r="C326" s="91" t="n"/>
      <c r="D326" s="94" t="str">
        <f>IF(N(U326)&gt;0,INDEX('MTRs'!$I$6:$I$505,U326)&amp;"","")</f>
        <v/>
      </c>
      <c r="E326" s="92" t="n"/>
      <c r="F326" s="98" t="n"/>
      <c r="G326" s="91" t="n"/>
      <c r="H326" s="93" t="str">
        <f>IF(Q326=0,"",IF(NOT(ISNUMBER(F326)),"",IF(ISNUMBER(W326),F326*W326,"UNIDADE A CONFERIR")))</f>
        <v/>
      </c>
      <c r="I326" s="91" t="n"/>
      <c r="J326" s="91" t="n"/>
      <c r="K326" s="92" t="n"/>
      <c r="L326" s="91" t="n"/>
      <c r="M326" s="91" t="n"/>
      <c r="N326" s="91" t="n"/>
      <c r="O326" s="91" t="n"/>
      <c r="P326" s="94" t="str">
        <f>IF(Q326=0,"",IF(C326="","Item de resíduo não informado",IF(T326=0,"Item inexistente (referência inválida)",IF(NOT(ISNUMBER(F326)),"Quantidade não informada",IF(F326&lt;=0,"Quantidade não positiva",IF(G326="","Unidade não informada",IF(NOT(ISNUMBER(H326)),"Unidade a conferir",IF(NOT(ISNUMBER(E326)),"Data de recebimento não informada",IF(AND(ISNUMBER(V326),N(V326)&gt;0,E326&lt;N(V326)),"Data anterior à emissão do MTR",IF(AND(J326="Sim",L326="",M326=""),"Conferido sem evidência identificada",IF(J326&lt;&gt;"Sim","Aguardando conferência",IF(INDEX('ITENS_MTR'!$AM$6:$AM$1005,S326)=1,"Conferido (ver diferença no item)","Conferido"))))))))))))</f>
        <v/>
      </c>
      <c r="Q326" s="96">
        <f>IF(COUNTA(C326,E326:G326,I326:O326)&gt;0,1,0)</f>
        <v>0</v>
      </c>
      <c r="R326" s="96" t="str">
        <f>IF(C326="","",TRIM(LEFT(C326,FIND(" |",C326&amp;" |")-1)))</f>
        <v/>
      </c>
      <c r="S326" s="96" t="str">
        <f>IF(R326="","",IFERROR(MATCH(R326,'ITENS_MTR'!$A$6:$A$1005,0),""))</f>
        <v/>
      </c>
      <c r="T326" s="96">
        <f>IF(S326="",0,IF(INDEX('ITENS_MTR'!$R$6:$R$1005,S326)=1,1,0))</f>
        <v>0</v>
      </c>
      <c r="U326" s="96" t="str">
        <f>IF(T326=1,INDEX('ITENS_MTR'!$T$6:$T$1005,S326),"")</f>
        <v/>
      </c>
      <c r="V326" s="97" t="str">
        <f>IF(N(U326)&gt;0,INDEX('MTRs'!$E$6:$E$505,U326),"")</f>
        <v/>
      </c>
      <c r="W326" s="96" t="str">
        <f>IF(G326="","",IFERROR(IF(ISNUMBER(INDEX(cfg_fac,MATCH(G326,cfg_units,0))),IF(INDEX(cfg_fac,MATCH(G326,cfg_units,0))&gt;0,INDEX(cfg_fac,MATCH(G326,cfg_units,0)),""),""),""))</f>
        <v/>
      </c>
      <c r="X326" s="96">
        <f>IF(AND(ISNUMBER(F326),ISNUMBER(H326)),IF(H326&gt;0,1,0),0)</f>
        <v>0</v>
      </c>
      <c r="Y326" s="96">
        <f>IF(Q326=0,0,IF(OR(T326=0,X326=0,NOT(ISNUMBER(E326)),AND(J326="Sim",L326="",M326=""),AND(ISNUMBER(E326),ISNUMBER(V326),N(V326)&gt;0,E326&lt;N(V326))),1,0))</f>
        <v>0</v>
      </c>
      <c r="Z326" s="96">
        <f>IF(AND(Q326=1,T326=1,X326=1,J326="Sim",OR(L326&lt;&gt;"",M326&lt;&gt;"")),1,0)</f>
        <v>0</v>
      </c>
      <c r="AA326" s="96">
        <f>IF(Q326=0,0,IF(AND(OR(r_ini="",AND(ISNUMBER(E326),E326&gt;=r_ini)),OR(r_fim="",AND(ISNUMBER(E326),E326&lt;=r_fim)),OR(r_un="",r_un="(Todas)",IF(N(U326)&gt;0,INDEX('MTRs'!$G$6:$G$505,U326),"")=r_un),OR(r_de="",r_de="(Todos)",D326=r_de)),1,0))</f>
        <v>0</v>
      </c>
      <c r="AB326" s="96" t="str">
        <f>IF(AA326=1,COUNTIF($AA$6:AA326,1),"")</f>
        <v/>
      </c>
    </row>
    <row r="327">
      <c r="A327" s="89" t="inlineStr">
        <is>
          <t>REC-000322</t>
        </is>
      </c>
      <c r="B327" s="94" t="str">
        <f>IF(T327=1,INDEX('ITENS_MTR'!$S$6:$S$1005,S327)&amp;"","")</f>
        <v/>
      </c>
      <c r="C327" s="91" t="n"/>
      <c r="D327" s="94" t="str">
        <f>IF(N(U327)&gt;0,INDEX('MTRs'!$I$6:$I$505,U327)&amp;"","")</f>
        <v/>
      </c>
      <c r="E327" s="92" t="n"/>
      <c r="F327" s="98" t="n"/>
      <c r="G327" s="91" t="n"/>
      <c r="H327" s="93" t="str">
        <f>IF(Q327=0,"",IF(NOT(ISNUMBER(F327)),"",IF(ISNUMBER(W327),F327*W327,"UNIDADE A CONFERIR")))</f>
        <v/>
      </c>
      <c r="I327" s="91" t="n"/>
      <c r="J327" s="91" t="n"/>
      <c r="K327" s="92" t="n"/>
      <c r="L327" s="91" t="n"/>
      <c r="M327" s="91" t="n"/>
      <c r="N327" s="91" t="n"/>
      <c r="O327" s="91" t="n"/>
      <c r="P327" s="94" t="str">
        <f>IF(Q327=0,"",IF(C327="","Item de resíduo não informado",IF(T327=0,"Item inexistente (referência inválida)",IF(NOT(ISNUMBER(F327)),"Quantidade não informada",IF(F327&lt;=0,"Quantidade não positiva",IF(G327="","Unidade não informada",IF(NOT(ISNUMBER(H327)),"Unidade a conferir",IF(NOT(ISNUMBER(E327)),"Data de recebimento não informada",IF(AND(ISNUMBER(V327),N(V327)&gt;0,E327&lt;N(V327)),"Data anterior à emissão do MTR",IF(AND(J327="Sim",L327="",M327=""),"Conferido sem evidência identificada",IF(J327&lt;&gt;"Sim","Aguardando conferência",IF(INDEX('ITENS_MTR'!$AM$6:$AM$1005,S327)=1,"Conferido (ver diferença no item)","Conferido"))))))))))))</f>
        <v/>
      </c>
      <c r="Q327" s="96">
        <f>IF(COUNTA(C327,E327:G327,I327:O327)&gt;0,1,0)</f>
        <v>0</v>
      </c>
      <c r="R327" s="96" t="str">
        <f>IF(C327="","",TRIM(LEFT(C327,FIND(" |",C327&amp;" |")-1)))</f>
        <v/>
      </c>
      <c r="S327" s="96" t="str">
        <f>IF(R327="","",IFERROR(MATCH(R327,'ITENS_MTR'!$A$6:$A$1005,0),""))</f>
        <v/>
      </c>
      <c r="T327" s="96">
        <f>IF(S327="",0,IF(INDEX('ITENS_MTR'!$R$6:$R$1005,S327)=1,1,0))</f>
        <v>0</v>
      </c>
      <c r="U327" s="96" t="str">
        <f>IF(T327=1,INDEX('ITENS_MTR'!$T$6:$T$1005,S327),"")</f>
        <v/>
      </c>
      <c r="V327" s="97" t="str">
        <f>IF(N(U327)&gt;0,INDEX('MTRs'!$E$6:$E$505,U327),"")</f>
        <v/>
      </c>
      <c r="W327" s="96" t="str">
        <f>IF(G327="","",IFERROR(IF(ISNUMBER(INDEX(cfg_fac,MATCH(G327,cfg_units,0))),IF(INDEX(cfg_fac,MATCH(G327,cfg_units,0))&gt;0,INDEX(cfg_fac,MATCH(G327,cfg_units,0)),""),""),""))</f>
        <v/>
      </c>
      <c r="X327" s="96">
        <f>IF(AND(ISNUMBER(F327),ISNUMBER(H327)),IF(H327&gt;0,1,0),0)</f>
        <v>0</v>
      </c>
      <c r="Y327" s="96">
        <f>IF(Q327=0,0,IF(OR(T327=0,X327=0,NOT(ISNUMBER(E327)),AND(J327="Sim",L327="",M327=""),AND(ISNUMBER(E327),ISNUMBER(V327),N(V327)&gt;0,E327&lt;N(V327))),1,0))</f>
        <v>0</v>
      </c>
      <c r="Z327" s="96">
        <f>IF(AND(Q327=1,T327=1,X327=1,J327="Sim",OR(L327&lt;&gt;"",M327&lt;&gt;"")),1,0)</f>
        <v>0</v>
      </c>
      <c r="AA327" s="96">
        <f>IF(Q327=0,0,IF(AND(OR(r_ini="",AND(ISNUMBER(E327),E327&gt;=r_ini)),OR(r_fim="",AND(ISNUMBER(E327),E327&lt;=r_fim)),OR(r_un="",r_un="(Todas)",IF(N(U327)&gt;0,INDEX('MTRs'!$G$6:$G$505,U327),"")=r_un),OR(r_de="",r_de="(Todos)",D327=r_de)),1,0))</f>
        <v>0</v>
      </c>
      <c r="AB327" s="96" t="str">
        <f>IF(AA327=1,COUNTIF($AA$6:AA327,1),"")</f>
        <v/>
      </c>
    </row>
    <row r="328">
      <c r="A328" s="89" t="inlineStr">
        <is>
          <t>REC-000323</t>
        </is>
      </c>
      <c r="B328" s="94" t="str">
        <f>IF(T328=1,INDEX('ITENS_MTR'!$S$6:$S$1005,S328)&amp;"","")</f>
        <v/>
      </c>
      <c r="C328" s="91" t="n"/>
      <c r="D328" s="94" t="str">
        <f>IF(N(U328)&gt;0,INDEX('MTRs'!$I$6:$I$505,U328)&amp;"","")</f>
        <v/>
      </c>
      <c r="E328" s="92" t="n"/>
      <c r="F328" s="98" t="n"/>
      <c r="G328" s="91" t="n"/>
      <c r="H328" s="93" t="str">
        <f>IF(Q328=0,"",IF(NOT(ISNUMBER(F328)),"",IF(ISNUMBER(W328),F328*W328,"UNIDADE A CONFERIR")))</f>
        <v/>
      </c>
      <c r="I328" s="91" t="n"/>
      <c r="J328" s="91" t="n"/>
      <c r="K328" s="92" t="n"/>
      <c r="L328" s="91" t="n"/>
      <c r="M328" s="91" t="n"/>
      <c r="N328" s="91" t="n"/>
      <c r="O328" s="91" t="n"/>
      <c r="P328" s="94" t="str">
        <f>IF(Q328=0,"",IF(C328="","Item de resíduo não informado",IF(T328=0,"Item inexistente (referência inválida)",IF(NOT(ISNUMBER(F328)),"Quantidade não informada",IF(F328&lt;=0,"Quantidade não positiva",IF(G328="","Unidade não informada",IF(NOT(ISNUMBER(H328)),"Unidade a conferir",IF(NOT(ISNUMBER(E328)),"Data de recebimento não informada",IF(AND(ISNUMBER(V328),N(V328)&gt;0,E328&lt;N(V328)),"Data anterior à emissão do MTR",IF(AND(J328="Sim",L328="",M328=""),"Conferido sem evidência identificada",IF(J328&lt;&gt;"Sim","Aguardando conferência",IF(INDEX('ITENS_MTR'!$AM$6:$AM$1005,S328)=1,"Conferido (ver diferença no item)","Conferido"))))))))))))</f>
        <v/>
      </c>
      <c r="Q328" s="96">
        <f>IF(COUNTA(C328,E328:G328,I328:O328)&gt;0,1,0)</f>
        <v>0</v>
      </c>
      <c r="R328" s="96" t="str">
        <f>IF(C328="","",TRIM(LEFT(C328,FIND(" |",C328&amp;" |")-1)))</f>
        <v/>
      </c>
      <c r="S328" s="96" t="str">
        <f>IF(R328="","",IFERROR(MATCH(R328,'ITENS_MTR'!$A$6:$A$1005,0),""))</f>
        <v/>
      </c>
      <c r="T328" s="96">
        <f>IF(S328="",0,IF(INDEX('ITENS_MTR'!$R$6:$R$1005,S328)=1,1,0))</f>
        <v>0</v>
      </c>
      <c r="U328" s="96" t="str">
        <f>IF(T328=1,INDEX('ITENS_MTR'!$T$6:$T$1005,S328),"")</f>
        <v/>
      </c>
      <c r="V328" s="97" t="str">
        <f>IF(N(U328)&gt;0,INDEX('MTRs'!$E$6:$E$505,U328),"")</f>
        <v/>
      </c>
      <c r="W328" s="96" t="str">
        <f>IF(G328="","",IFERROR(IF(ISNUMBER(INDEX(cfg_fac,MATCH(G328,cfg_units,0))),IF(INDEX(cfg_fac,MATCH(G328,cfg_units,0))&gt;0,INDEX(cfg_fac,MATCH(G328,cfg_units,0)),""),""),""))</f>
        <v/>
      </c>
      <c r="X328" s="96">
        <f>IF(AND(ISNUMBER(F328),ISNUMBER(H328)),IF(H328&gt;0,1,0),0)</f>
        <v>0</v>
      </c>
      <c r="Y328" s="96">
        <f>IF(Q328=0,0,IF(OR(T328=0,X328=0,NOT(ISNUMBER(E328)),AND(J328="Sim",L328="",M328=""),AND(ISNUMBER(E328),ISNUMBER(V328),N(V328)&gt;0,E328&lt;N(V328))),1,0))</f>
        <v>0</v>
      </c>
      <c r="Z328" s="96">
        <f>IF(AND(Q328=1,T328=1,X328=1,J328="Sim",OR(L328&lt;&gt;"",M328&lt;&gt;"")),1,0)</f>
        <v>0</v>
      </c>
      <c r="AA328" s="96">
        <f>IF(Q328=0,0,IF(AND(OR(r_ini="",AND(ISNUMBER(E328),E328&gt;=r_ini)),OR(r_fim="",AND(ISNUMBER(E328),E328&lt;=r_fim)),OR(r_un="",r_un="(Todas)",IF(N(U328)&gt;0,INDEX('MTRs'!$G$6:$G$505,U328),"")=r_un),OR(r_de="",r_de="(Todos)",D328=r_de)),1,0))</f>
        <v>0</v>
      </c>
      <c r="AB328" s="96" t="str">
        <f>IF(AA328=1,COUNTIF($AA$6:AA328,1),"")</f>
        <v/>
      </c>
    </row>
    <row r="329">
      <c r="A329" s="89" t="inlineStr">
        <is>
          <t>REC-000324</t>
        </is>
      </c>
      <c r="B329" s="94" t="str">
        <f>IF(T329=1,INDEX('ITENS_MTR'!$S$6:$S$1005,S329)&amp;"","")</f>
        <v/>
      </c>
      <c r="C329" s="91" t="n"/>
      <c r="D329" s="94" t="str">
        <f>IF(N(U329)&gt;0,INDEX('MTRs'!$I$6:$I$505,U329)&amp;"","")</f>
        <v/>
      </c>
      <c r="E329" s="92" t="n"/>
      <c r="F329" s="98" t="n"/>
      <c r="G329" s="91" t="n"/>
      <c r="H329" s="93" t="str">
        <f>IF(Q329=0,"",IF(NOT(ISNUMBER(F329)),"",IF(ISNUMBER(W329),F329*W329,"UNIDADE A CONFERIR")))</f>
        <v/>
      </c>
      <c r="I329" s="91" t="n"/>
      <c r="J329" s="91" t="n"/>
      <c r="K329" s="92" t="n"/>
      <c r="L329" s="91" t="n"/>
      <c r="M329" s="91" t="n"/>
      <c r="N329" s="91" t="n"/>
      <c r="O329" s="91" t="n"/>
      <c r="P329" s="94" t="str">
        <f>IF(Q329=0,"",IF(C329="","Item de resíduo não informado",IF(T329=0,"Item inexistente (referência inválida)",IF(NOT(ISNUMBER(F329)),"Quantidade não informada",IF(F329&lt;=0,"Quantidade não positiva",IF(G329="","Unidade não informada",IF(NOT(ISNUMBER(H329)),"Unidade a conferir",IF(NOT(ISNUMBER(E329)),"Data de recebimento não informada",IF(AND(ISNUMBER(V329),N(V329)&gt;0,E329&lt;N(V329)),"Data anterior à emissão do MTR",IF(AND(J329="Sim",L329="",M329=""),"Conferido sem evidência identificada",IF(J329&lt;&gt;"Sim","Aguardando conferência",IF(INDEX('ITENS_MTR'!$AM$6:$AM$1005,S329)=1,"Conferido (ver diferença no item)","Conferido"))))))))))))</f>
        <v/>
      </c>
      <c r="Q329" s="96">
        <f>IF(COUNTA(C329,E329:G329,I329:O329)&gt;0,1,0)</f>
        <v>0</v>
      </c>
      <c r="R329" s="96" t="str">
        <f>IF(C329="","",TRIM(LEFT(C329,FIND(" |",C329&amp;" |")-1)))</f>
        <v/>
      </c>
      <c r="S329" s="96" t="str">
        <f>IF(R329="","",IFERROR(MATCH(R329,'ITENS_MTR'!$A$6:$A$1005,0),""))</f>
        <v/>
      </c>
      <c r="T329" s="96">
        <f>IF(S329="",0,IF(INDEX('ITENS_MTR'!$R$6:$R$1005,S329)=1,1,0))</f>
        <v>0</v>
      </c>
      <c r="U329" s="96" t="str">
        <f>IF(T329=1,INDEX('ITENS_MTR'!$T$6:$T$1005,S329),"")</f>
        <v/>
      </c>
      <c r="V329" s="97" t="str">
        <f>IF(N(U329)&gt;0,INDEX('MTRs'!$E$6:$E$505,U329),"")</f>
        <v/>
      </c>
      <c r="W329" s="96" t="str">
        <f>IF(G329="","",IFERROR(IF(ISNUMBER(INDEX(cfg_fac,MATCH(G329,cfg_units,0))),IF(INDEX(cfg_fac,MATCH(G329,cfg_units,0))&gt;0,INDEX(cfg_fac,MATCH(G329,cfg_units,0)),""),""),""))</f>
        <v/>
      </c>
      <c r="X329" s="96">
        <f>IF(AND(ISNUMBER(F329),ISNUMBER(H329)),IF(H329&gt;0,1,0),0)</f>
        <v>0</v>
      </c>
      <c r="Y329" s="96">
        <f>IF(Q329=0,0,IF(OR(T329=0,X329=0,NOT(ISNUMBER(E329)),AND(J329="Sim",L329="",M329=""),AND(ISNUMBER(E329),ISNUMBER(V329),N(V329)&gt;0,E329&lt;N(V329))),1,0))</f>
        <v>0</v>
      </c>
      <c r="Z329" s="96">
        <f>IF(AND(Q329=1,T329=1,X329=1,J329="Sim",OR(L329&lt;&gt;"",M329&lt;&gt;"")),1,0)</f>
        <v>0</v>
      </c>
      <c r="AA329" s="96">
        <f>IF(Q329=0,0,IF(AND(OR(r_ini="",AND(ISNUMBER(E329),E329&gt;=r_ini)),OR(r_fim="",AND(ISNUMBER(E329),E329&lt;=r_fim)),OR(r_un="",r_un="(Todas)",IF(N(U329)&gt;0,INDEX('MTRs'!$G$6:$G$505,U329),"")=r_un),OR(r_de="",r_de="(Todos)",D329=r_de)),1,0))</f>
        <v>0</v>
      </c>
      <c r="AB329" s="96" t="str">
        <f>IF(AA329=1,COUNTIF($AA$6:AA329,1),"")</f>
        <v/>
      </c>
    </row>
    <row r="330">
      <c r="A330" s="89" t="inlineStr">
        <is>
          <t>REC-000325</t>
        </is>
      </c>
      <c r="B330" s="94" t="str">
        <f>IF(T330=1,INDEX('ITENS_MTR'!$S$6:$S$1005,S330)&amp;"","")</f>
        <v/>
      </c>
      <c r="C330" s="91" t="n"/>
      <c r="D330" s="94" t="str">
        <f>IF(N(U330)&gt;0,INDEX('MTRs'!$I$6:$I$505,U330)&amp;"","")</f>
        <v/>
      </c>
      <c r="E330" s="92" t="n"/>
      <c r="F330" s="98" t="n"/>
      <c r="G330" s="91" t="n"/>
      <c r="H330" s="93" t="str">
        <f>IF(Q330=0,"",IF(NOT(ISNUMBER(F330)),"",IF(ISNUMBER(W330),F330*W330,"UNIDADE A CONFERIR")))</f>
        <v/>
      </c>
      <c r="I330" s="91" t="n"/>
      <c r="J330" s="91" t="n"/>
      <c r="K330" s="92" t="n"/>
      <c r="L330" s="91" t="n"/>
      <c r="M330" s="91" t="n"/>
      <c r="N330" s="91" t="n"/>
      <c r="O330" s="91" t="n"/>
      <c r="P330" s="94" t="str">
        <f>IF(Q330=0,"",IF(C330="","Item de resíduo não informado",IF(T330=0,"Item inexistente (referência inválida)",IF(NOT(ISNUMBER(F330)),"Quantidade não informada",IF(F330&lt;=0,"Quantidade não positiva",IF(G330="","Unidade não informada",IF(NOT(ISNUMBER(H330)),"Unidade a conferir",IF(NOT(ISNUMBER(E330)),"Data de recebimento não informada",IF(AND(ISNUMBER(V330),N(V330)&gt;0,E330&lt;N(V330)),"Data anterior à emissão do MTR",IF(AND(J330="Sim",L330="",M330=""),"Conferido sem evidência identificada",IF(J330&lt;&gt;"Sim","Aguardando conferência",IF(INDEX('ITENS_MTR'!$AM$6:$AM$1005,S330)=1,"Conferido (ver diferença no item)","Conferido"))))))))))))</f>
        <v/>
      </c>
      <c r="Q330" s="96">
        <f>IF(COUNTA(C330,E330:G330,I330:O330)&gt;0,1,0)</f>
        <v>0</v>
      </c>
      <c r="R330" s="96" t="str">
        <f>IF(C330="","",TRIM(LEFT(C330,FIND(" |",C330&amp;" |")-1)))</f>
        <v/>
      </c>
      <c r="S330" s="96" t="str">
        <f>IF(R330="","",IFERROR(MATCH(R330,'ITENS_MTR'!$A$6:$A$1005,0),""))</f>
        <v/>
      </c>
      <c r="T330" s="96">
        <f>IF(S330="",0,IF(INDEX('ITENS_MTR'!$R$6:$R$1005,S330)=1,1,0))</f>
        <v>0</v>
      </c>
      <c r="U330" s="96" t="str">
        <f>IF(T330=1,INDEX('ITENS_MTR'!$T$6:$T$1005,S330),"")</f>
        <v/>
      </c>
      <c r="V330" s="97" t="str">
        <f>IF(N(U330)&gt;0,INDEX('MTRs'!$E$6:$E$505,U330),"")</f>
        <v/>
      </c>
      <c r="W330" s="96" t="str">
        <f>IF(G330="","",IFERROR(IF(ISNUMBER(INDEX(cfg_fac,MATCH(G330,cfg_units,0))),IF(INDEX(cfg_fac,MATCH(G330,cfg_units,0))&gt;0,INDEX(cfg_fac,MATCH(G330,cfg_units,0)),""),""),""))</f>
        <v/>
      </c>
      <c r="X330" s="96">
        <f>IF(AND(ISNUMBER(F330),ISNUMBER(H330)),IF(H330&gt;0,1,0),0)</f>
        <v>0</v>
      </c>
      <c r="Y330" s="96">
        <f>IF(Q330=0,0,IF(OR(T330=0,X330=0,NOT(ISNUMBER(E330)),AND(J330="Sim",L330="",M330=""),AND(ISNUMBER(E330),ISNUMBER(V330),N(V330)&gt;0,E330&lt;N(V330))),1,0))</f>
        <v>0</v>
      </c>
      <c r="Z330" s="96">
        <f>IF(AND(Q330=1,T330=1,X330=1,J330="Sim",OR(L330&lt;&gt;"",M330&lt;&gt;"")),1,0)</f>
        <v>0</v>
      </c>
      <c r="AA330" s="96">
        <f>IF(Q330=0,0,IF(AND(OR(r_ini="",AND(ISNUMBER(E330),E330&gt;=r_ini)),OR(r_fim="",AND(ISNUMBER(E330),E330&lt;=r_fim)),OR(r_un="",r_un="(Todas)",IF(N(U330)&gt;0,INDEX('MTRs'!$G$6:$G$505,U330),"")=r_un),OR(r_de="",r_de="(Todos)",D330=r_de)),1,0))</f>
        <v>0</v>
      </c>
      <c r="AB330" s="96" t="str">
        <f>IF(AA330=1,COUNTIF($AA$6:AA330,1),"")</f>
        <v/>
      </c>
    </row>
    <row r="331">
      <c r="A331" s="89" t="inlineStr">
        <is>
          <t>REC-000326</t>
        </is>
      </c>
      <c r="B331" s="94" t="str">
        <f>IF(T331=1,INDEX('ITENS_MTR'!$S$6:$S$1005,S331)&amp;"","")</f>
        <v/>
      </c>
      <c r="C331" s="91" t="n"/>
      <c r="D331" s="94" t="str">
        <f>IF(N(U331)&gt;0,INDEX('MTRs'!$I$6:$I$505,U331)&amp;"","")</f>
        <v/>
      </c>
      <c r="E331" s="92" t="n"/>
      <c r="F331" s="98" t="n"/>
      <c r="G331" s="91" t="n"/>
      <c r="H331" s="93" t="str">
        <f>IF(Q331=0,"",IF(NOT(ISNUMBER(F331)),"",IF(ISNUMBER(W331),F331*W331,"UNIDADE A CONFERIR")))</f>
        <v/>
      </c>
      <c r="I331" s="91" t="n"/>
      <c r="J331" s="91" t="n"/>
      <c r="K331" s="92" t="n"/>
      <c r="L331" s="91" t="n"/>
      <c r="M331" s="91" t="n"/>
      <c r="N331" s="91" t="n"/>
      <c r="O331" s="91" t="n"/>
      <c r="P331" s="94" t="str">
        <f>IF(Q331=0,"",IF(C331="","Item de resíduo não informado",IF(T331=0,"Item inexistente (referência inválida)",IF(NOT(ISNUMBER(F331)),"Quantidade não informada",IF(F331&lt;=0,"Quantidade não positiva",IF(G331="","Unidade não informada",IF(NOT(ISNUMBER(H331)),"Unidade a conferir",IF(NOT(ISNUMBER(E331)),"Data de recebimento não informada",IF(AND(ISNUMBER(V331),N(V331)&gt;0,E331&lt;N(V331)),"Data anterior à emissão do MTR",IF(AND(J331="Sim",L331="",M331=""),"Conferido sem evidência identificada",IF(J331&lt;&gt;"Sim","Aguardando conferência",IF(INDEX('ITENS_MTR'!$AM$6:$AM$1005,S331)=1,"Conferido (ver diferença no item)","Conferido"))))))))))))</f>
        <v/>
      </c>
      <c r="Q331" s="96">
        <f>IF(COUNTA(C331,E331:G331,I331:O331)&gt;0,1,0)</f>
        <v>0</v>
      </c>
      <c r="R331" s="96" t="str">
        <f>IF(C331="","",TRIM(LEFT(C331,FIND(" |",C331&amp;" |")-1)))</f>
        <v/>
      </c>
      <c r="S331" s="96" t="str">
        <f>IF(R331="","",IFERROR(MATCH(R331,'ITENS_MTR'!$A$6:$A$1005,0),""))</f>
        <v/>
      </c>
      <c r="T331" s="96">
        <f>IF(S331="",0,IF(INDEX('ITENS_MTR'!$R$6:$R$1005,S331)=1,1,0))</f>
        <v>0</v>
      </c>
      <c r="U331" s="96" t="str">
        <f>IF(T331=1,INDEX('ITENS_MTR'!$T$6:$T$1005,S331),"")</f>
        <v/>
      </c>
      <c r="V331" s="97" t="str">
        <f>IF(N(U331)&gt;0,INDEX('MTRs'!$E$6:$E$505,U331),"")</f>
        <v/>
      </c>
      <c r="W331" s="96" t="str">
        <f>IF(G331="","",IFERROR(IF(ISNUMBER(INDEX(cfg_fac,MATCH(G331,cfg_units,0))),IF(INDEX(cfg_fac,MATCH(G331,cfg_units,0))&gt;0,INDEX(cfg_fac,MATCH(G331,cfg_units,0)),""),""),""))</f>
        <v/>
      </c>
      <c r="X331" s="96">
        <f>IF(AND(ISNUMBER(F331),ISNUMBER(H331)),IF(H331&gt;0,1,0),0)</f>
        <v>0</v>
      </c>
      <c r="Y331" s="96">
        <f>IF(Q331=0,0,IF(OR(T331=0,X331=0,NOT(ISNUMBER(E331)),AND(J331="Sim",L331="",M331=""),AND(ISNUMBER(E331),ISNUMBER(V331),N(V331)&gt;0,E331&lt;N(V331))),1,0))</f>
        <v>0</v>
      </c>
      <c r="Z331" s="96">
        <f>IF(AND(Q331=1,T331=1,X331=1,J331="Sim",OR(L331&lt;&gt;"",M331&lt;&gt;"")),1,0)</f>
        <v>0</v>
      </c>
      <c r="AA331" s="96">
        <f>IF(Q331=0,0,IF(AND(OR(r_ini="",AND(ISNUMBER(E331),E331&gt;=r_ini)),OR(r_fim="",AND(ISNUMBER(E331),E331&lt;=r_fim)),OR(r_un="",r_un="(Todas)",IF(N(U331)&gt;0,INDEX('MTRs'!$G$6:$G$505,U331),"")=r_un),OR(r_de="",r_de="(Todos)",D331=r_de)),1,0))</f>
        <v>0</v>
      </c>
      <c r="AB331" s="96" t="str">
        <f>IF(AA331=1,COUNTIF($AA$6:AA331,1),"")</f>
        <v/>
      </c>
    </row>
    <row r="332">
      <c r="A332" s="89" t="inlineStr">
        <is>
          <t>REC-000327</t>
        </is>
      </c>
      <c r="B332" s="94" t="str">
        <f>IF(T332=1,INDEX('ITENS_MTR'!$S$6:$S$1005,S332)&amp;"","")</f>
        <v/>
      </c>
      <c r="C332" s="91" t="n"/>
      <c r="D332" s="94" t="str">
        <f>IF(N(U332)&gt;0,INDEX('MTRs'!$I$6:$I$505,U332)&amp;"","")</f>
        <v/>
      </c>
      <c r="E332" s="92" t="n"/>
      <c r="F332" s="98" t="n"/>
      <c r="G332" s="91" t="n"/>
      <c r="H332" s="93" t="str">
        <f>IF(Q332=0,"",IF(NOT(ISNUMBER(F332)),"",IF(ISNUMBER(W332),F332*W332,"UNIDADE A CONFERIR")))</f>
        <v/>
      </c>
      <c r="I332" s="91" t="n"/>
      <c r="J332" s="91" t="n"/>
      <c r="K332" s="92" t="n"/>
      <c r="L332" s="91" t="n"/>
      <c r="M332" s="91" t="n"/>
      <c r="N332" s="91" t="n"/>
      <c r="O332" s="91" t="n"/>
      <c r="P332" s="94" t="str">
        <f>IF(Q332=0,"",IF(C332="","Item de resíduo não informado",IF(T332=0,"Item inexistente (referência inválida)",IF(NOT(ISNUMBER(F332)),"Quantidade não informada",IF(F332&lt;=0,"Quantidade não positiva",IF(G332="","Unidade não informada",IF(NOT(ISNUMBER(H332)),"Unidade a conferir",IF(NOT(ISNUMBER(E332)),"Data de recebimento não informada",IF(AND(ISNUMBER(V332),N(V332)&gt;0,E332&lt;N(V332)),"Data anterior à emissão do MTR",IF(AND(J332="Sim",L332="",M332=""),"Conferido sem evidência identificada",IF(J332&lt;&gt;"Sim","Aguardando conferência",IF(INDEX('ITENS_MTR'!$AM$6:$AM$1005,S332)=1,"Conferido (ver diferença no item)","Conferido"))))))))))))</f>
        <v/>
      </c>
      <c r="Q332" s="96">
        <f>IF(COUNTA(C332,E332:G332,I332:O332)&gt;0,1,0)</f>
        <v>0</v>
      </c>
      <c r="R332" s="96" t="str">
        <f>IF(C332="","",TRIM(LEFT(C332,FIND(" |",C332&amp;" |")-1)))</f>
        <v/>
      </c>
      <c r="S332" s="96" t="str">
        <f>IF(R332="","",IFERROR(MATCH(R332,'ITENS_MTR'!$A$6:$A$1005,0),""))</f>
        <v/>
      </c>
      <c r="T332" s="96">
        <f>IF(S332="",0,IF(INDEX('ITENS_MTR'!$R$6:$R$1005,S332)=1,1,0))</f>
        <v>0</v>
      </c>
      <c r="U332" s="96" t="str">
        <f>IF(T332=1,INDEX('ITENS_MTR'!$T$6:$T$1005,S332),"")</f>
        <v/>
      </c>
      <c r="V332" s="97" t="str">
        <f>IF(N(U332)&gt;0,INDEX('MTRs'!$E$6:$E$505,U332),"")</f>
        <v/>
      </c>
      <c r="W332" s="96" t="str">
        <f>IF(G332="","",IFERROR(IF(ISNUMBER(INDEX(cfg_fac,MATCH(G332,cfg_units,0))),IF(INDEX(cfg_fac,MATCH(G332,cfg_units,0))&gt;0,INDEX(cfg_fac,MATCH(G332,cfg_units,0)),""),""),""))</f>
        <v/>
      </c>
      <c r="X332" s="96">
        <f>IF(AND(ISNUMBER(F332),ISNUMBER(H332)),IF(H332&gt;0,1,0),0)</f>
        <v>0</v>
      </c>
      <c r="Y332" s="96">
        <f>IF(Q332=0,0,IF(OR(T332=0,X332=0,NOT(ISNUMBER(E332)),AND(J332="Sim",L332="",M332=""),AND(ISNUMBER(E332),ISNUMBER(V332),N(V332)&gt;0,E332&lt;N(V332))),1,0))</f>
        <v>0</v>
      </c>
      <c r="Z332" s="96">
        <f>IF(AND(Q332=1,T332=1,X332=1,J332="Sim",OR(L332&lt;&gt;"",M332&lt;&gt;"")),1,0)</f>
        <v>0</v>
      </c>
      <c r="AA332" s="96">
        <f>IF(Q332=0,0,IF(AND(OR(r_ini="",AND(ISNUMBER(E332),E332&gt;=r_ini)),OR(r_fim="",AND(ISNUMBER(E332),E332&lt;=r_fim)),OR(r_un="",r_un="(Todas)",IF(N(U332)&gt;0,INDEX('MTRs'!$G$6:$G$505,U332),"")=r_un),OR(r_de="",r_de="(Todos)",D332=r_de)),1,0))</f>
        <v>0</v>
      </c>
      <c r="AB332" s="96" t="str">
        <f>IF(AA332=1,COUNTIF($AA$6:AA332,1),"")</f>
        <v/>
      </c>
    </row>
    <row r="333">
      <c r="A333" s="89" t="inlineStr">
        <is>
          <t>REC-000328</t>
        </is>
      </c>
      <c r="B333" s="94" t="str">
        <f>IF(T333=1,INDEX('ITENS_MTR'!$S$6:$S$1005,S333)&amp;"","")</f>
        <v/>
      </c>
      <c r="C333" s="91" t="n"/>
      <c r="D333" s="94" t="str">
        <f>IF(N(U333)&gt;0,INDEX('MTRs'!$I$6:$I$505,U333)&amp;"","")</f>
        <v/>
      </c>
      <c r="E333" s="92" t="n"/>
      <c r="F333" s="98" t="n"/>
      <c r="G333" s="91" t="n"/>
      <c r="H333" s="93" t="str">
        <f>IF(Q333=0,"",IF(NOT(ISNUMBER(F333)),"",IF(ISNUMBER(W333),F333*W333,"UNIDADE A CONFERIR")))</f>
        <v/>
      </c>
      <c r="I333" s="91" t="n"/>
      <c r="J333" s="91" t="n"/>
      <c r="K333" s="92" t="n"/>
      <c r="L333" s="91" t="n"/>
      <c r="M333" s="91" t="n"/>
      <c r="N333" s="91" t="n"/>
      <c r="O333" s="91" t="n"/>
      <c r="P333" s="94" t="str">
        <f>IF(Q333=0,"",IF(C333="","Item de resíduo não informado",IF(T333=0,"Item inexistente (referência inválida)",IF(NOT(ISNUMBER(F333)),"Quantidade não informada",IF(F333&lt;=0,"Quantidade não positiva",IF(G333="","Unidade não informada",IF(NOT(ISNUMBER(H333)),"Unidade a conferir",IF(NOT(ISNUMBER(E333)),"Data de recebimento não informada",IF(AND(ISNUMBER(V333),N(V333)&gt;0,E333&lt;N(V333)),"Data anterior à emissão do MTR",IF(AND(J333="Sim",L333="",M333=""),"Conferido sem evidência identificada",IF(J333&lt;&gt;"Sim","Aguardando conferência",IF(INDEX('ITENS_MTR'!$AM$6:$AM$1005,S333)=1,"Conferido (ver diferença no item)","Conferido"))))))))))))</f>
        <v/>
      </c>
      <c r="Q333" s="96">
        <f>IF(COUNTA(C333,E333:G333,I333:O333)&gt;0,1,0)</f>
        <v>0</v>
      </c>
      <c r="R333" s="96" t="str">
        <f>IF(C333="","",TRIM(LEFT(C333,FIND(" |",C333&amp;" |")-1)))</f>
        <v/>
      </c>
      <c r="S333" s="96" t="str">
        <f>IF(R333="","",IFERROR(MATCH(R333,'ITENS_MTR'!$A$6:$A$1005,0),""))</f>
        <v/>
      </c>
      <c r="T333" s="96">
        <f>IF(S333="",0,IF(INDEX('ITENS_MTR'!$R$6:$R$1005,S333)=1,1,0))</f>
        <v>0</v>
      </c>
      <c r="U333" s="96" t="str">
        <f>IF(T333=1,INDEX('ITENS_MTR'!$T$6:$T$1005,S333),"")</f>
        <v/>
      </c>
      <c r="V333" s="97" t="str">
        <f>IF(N(U333)&gt;0,INDEX('MTRs'!$E$6:$E$505,U333),"")</f>
        <v/>
      </c>
      <c r="W333" s="96" t="str">
        <f>IF(G333="","",IFERROR(IF(ISNUMBER(INDEX(cfg_fac,MATCH(G333,cfg_units,0))),IF(INDEX(cfg_fac,MATCH(G333,cfg_units,0))&gt;0,INDEX(cfg_fac,MATCH(G333,cfg_units,0)),""),""),""))</f>
        <v/>
      </c>
      <c r="X333" s="96">
        <f>IF(AND(ISNUMBER(F333),ISNUMBER(H333)),IF(H333&gt;0,1,0),0)</f>
        <v>0</v>
      </c>
      <c r="Y333" s="96">
        <f>IF(Q333=0,0,IF(OR(T333=0,X333=0,NOT(ISNUMBER(E333)),AND(J333="Sim",L333="",M333=""),AND(ISNUMBER(E333),ISNUMBER(V333),N(V333)&gt;0,E333&lt;N(V333))),1,0))</f>
        <v>0</v>
      </c>
      <c r="Z333" s="96">
        <f>IF(AND(Q333=1,T333=1,X333=1,J333="Sim",OR(L333&lt;&gt;"",M333&lt;&gt;"")),1,0)</f>
        <v>0</v>
      </c>
      <c r="AA333" s="96">
        <f>IF(Q333=0,0,IF(AND(OR(r_ini="",AND(ISNUMBER(E333),E333&gt;=r_ini)),OR(r_fim="",AND(ISNUMBER(E333),E333&lt;=r_fim)),OR(r_un="",r_un="(Todas)",IF(N(U333)&gt;0,INDEX('MTRs'!$G$6:$G$505,U333),"")=r_un),OR(r_de="",r_de="(Todos)",D333=r_de)),1,0))</f>
        <v>0</v>
      </c>
      <c r="AB333" s="96" t="str">
        <f>IF(AA333=1,COUNTIF($AA$6:AA333,1),"")</f>
        <v/>
      </c>
    </row>
    <row r="334">
      <c r="A334" s="89" t="inlineStr">
        <is>
          <t>REC-000329</t>
        </is>
      </c>
      <c r="B334" s="94" t="str">
        <f>IF(T334=1,INDEX('ITENS_MTR'!$S$6:$S$1005,S334)&amp;"","")</f>
        <v/>
      </c>
      <c r="C334" s="91" t="n"/>
      <c r="D334" s="94" t="str">
        <f>IF(N(U334)&gt;0,INDEX('MTRs'!$I$6:$I$505,U334)&amp;"","")</f>
        <v/>
      </c>
      <c r="E334" s="92" t="n"/>
      <c r="F334" s="98" t="n"/>
      <c r="G334" s="91" t="n"/>
      <c r="H334" s="93" t="str">
        <f>IF(Q334=0,"",IF(NOT(ISNUMBER(F334)),"",IF(ISNUMBER(W334),F334*W334,"UNIDADE A CONFERIR")))</f>
        <v/>
      </c>
      <c r="I334" s="91" t="n"/>
      <c r="J334" s="91" t="n"/>
      <c r="K334" s="92" t="n"/>
      <c r="L334" s="91" t="n"/>
      <c r="M334" s="91" t="n"/>
      <c r="N334" s="91" t="n"/>
      <c r="O334" s="91" t="n"/>
      <c r="P334" s="94" t="str">
        <f>IF(Q334=0,"",IF(C334="","Item de resíduo não informado",IF(T334=0,"Item inexistente (referência inválida)",IF(NOT(ISNUMBER(F334)),"Quantidade não informada",IF(F334&lt;=0,"Quantidade não positiva",IF(G334="","Unidade não informada",IF(NOT(ISNUMBER(H334)),"Unidade a conferir",IF(NOT(ISNUMBER(E334)),"Data de recebimento não informada",IF(AND(ISNUMBER(V334),N(V334)&gt;0,E334&lt;N(V334)),"Data anterior à emissão do MTR",IF(AND(J334="Sim",L334="",M334=""),"Conferido sem evidência identificada",IF(J334&lt;&gt;"Sim","Aguardando conferência",IF(INDEX('ITENS_MTR'!$AM$6:$AM$1005,S334)=1,"Conferido (ver diferença no item)","Conferido"))))))))))))</f>
        <v/>
      </c>
      <c r="Q334" s="96">
        <f>IF(COUNTA(C334,E334:G334,I334:O334)&gt;0,1,0)</f>
        <v>0</v>
      </c>
      <c r="R334" s="96" t="str">
        <f>IF(C334="","",TRIM(LEFT(C334,FIND(" |",C334&amp;" |")-1)))</f>
        <v/>
      </c>
      <c r="S334" s="96" t="str">
        <f>IF(R334="","",IFERROR(MATCH(R334,'ITENS_MTR'!$A$6:$A$1005,0),""))</f>
        <v/>
      </c>
      <c r="T334" s="96">
        <f>IF(S334="",0,IF(INDEX('ITENS_MTR'!$R$6:$R$1005,S334)=1,1,0))</f>
        <v>0</v>
      </c>
      <c r="U334" s="96" t="str">
        <f>IF(T334=1,INDEX('ITENS_MTR'!$T$6:$T$1005,S334),"")</f>
        <v/>
      </c>
      <c r="V334" s="97" t="str">
        <f>IF(N(U334)&gt;0,INDEX('MTRs'!$E$6:$E$505,U334),"")</f>
        <v/>
      </c>
      <c r="W334" s="96" t="str">
        <f>IF(G334="","",IFERROR(IF(ISNUMBER(INDEX(cfg_fac,MATCH(G334,cfg_units,0))),IF(INDEX(cfg_fac,MATCH(G334,cfg_units,0))&gt;0,INDEX(cfg_fac,MATCH(G334,cfg_units,0)),""),""),""))</f>
        <v/>
      </c>
      <c r="X334" s="96">
        <f>IF(AND(ISNUMBER(F334),ISNUMBER(H334)),IF(H334&gt;0,1,0),0)</f>
        <v>0</v>
      </c>
      <c r="Y334" s="96">
        <f>IF(Q334=0,0,IF(OR(T334=0,X334=0,NOT(ISNUMBER(E334)),AND(J334="Sim",L334="",M334=""),AND(ISNUMBER(E334),ISNUMBER(V334),N(V334)&gt;0,E334&lt;N(V334))),1,0))</f>
        <v>0</v>
      </c>
      <c r="Z334" s="96">
        <f>IF(AND(Q334=1,T334=1,X334=1,J334="Sim",OR(L334&lt;&gt;"",M334&lt;&gt;"")),1,0)</f>
        <v>0</v>
      </c>
      <c r="AA334" s="96">
        <f>IF(Q334=0,0,IF(AND(OR(r_ini="",AND(ISNUMBER(E334),E334&gt;=r_ini)),OR(r_fim="",AND(ISNUMBER(E334),E334&lt;=r_fim)),OR(r_un="",r_un="(Todas)",IF(N(U334)&gt;0,INDEX('MTRs'!$G$6:$G$505,U334),"")=r_un),OR(r_de="",r_de="(Todos)",D334=r_de)),1,0))</f>
        <v>0</v>
      </c>
      <c r="AB334" s="96" t="str">
        <f>IF(AA334=1,COUNTIF($AA$6:AA334,1),"")</f>
        <v/>
      </c>
    </row>
    <row r="335">
      <c r="A335" s="89" t="inlineStr">
        <is>
          <t>REC-000330</t>
        </is>
      </c>
      <c r="B335" s="94" t="str">
        <f>IF(T335=1,INDEX('ITENS_MTR'!$S$6:$S$1005,S335)&amp;"","")</f>
        <v/>
      </c>
      <c r="C335" s="91" t="n"/>
      <c r="D335" s="94" t="str">
        <f>IF(N(U335)&gt;0,INDEX('MTRs'!$I$6:$I$505,U335)&amp;"","")</f>
        <v/>
      </c>
      <c r="E335" s="92" t="n"/>
      <c r="F335" s="98" t="n"/>
      <c r="G335" s="91" t="n"/>
      <c r="H335" s="93" t="str">
        <f>IF(Q335=0,"",IF(NOT(ISNUMBER(F335)),"",IF(ISNUMBER(W335),F335*W335,"UNIDADE A CONFERIR")))</f>
        <v/>
      </c>
      <c r="I335" s="91" t="n"/>
      <c r="J335" s="91" t="n"/>
      <c r="K335" s="92" t="n"/>
      <c r="L335" s="91" t="n"/>
      <c r="M335" s="91" t="n"/>
      <c r="N335" s="91" t="n"/>
      <c r="O335" s="91" t="n"/>
      <c r="P335" s="94" t="str">
        <f>IF(Q335=0,"",IF(C335="","Item de resíduo não informado",IF(T335=0,"Item inexistente (referência inválida)",IF(NOT(ISNUMBER(F335)),"Quantidade não informada",IF(F335&lt;=0,"Quantidade não positiva",IF(G335="","Unidade não informada",IF(NOT(ISNUMBER(H335)),"Unidade a conferir",IF(NOT(ISNUMBER(E335)),"Data de recebimento não informada",IF(AND(ISNUMBER(V335),N(V335)&gt;0,E335&lt;N(V335)),"Data anterior à emissão do MTR",IF(AND(J335="Sim",L335="",M335=""),"Conferido sem evidência identificada",IF(J335&lt;&gt;"Sim","Aguardando conferência",IF(INDEX('ITENS_MTR'!$AM$6:$AM$1005,S335)=1,"Conferido (ver diferença no item)","Conferido"))))))))))))</f>
        <v/>
      </c>
      <c r="Q335" s="96">
        <f>IF(COUNTA(C335,E335:G335,I335:O335)&gt;0,1,0)</f>
        <v>0</v>
      </c>
      <c r="R335" s="96" t="str">
        <f>IF(C335="","",TRIM(LEFT(C335,FIND(" |",C335&amp;" |")-1)))</f>
        <v/>
      </c>
      <c r="S335" s="96" t="str">
        <f>IF(R335="","",IFERROR(MATCH(R335,'ITENS_MTR'!$A$6:$A$1005,0),""))</f>
        <v/>
      </c>
      <c r="T335" s="96">
        <f>IF(S335="",0,IF(INDEX('ITENS_MTR'!$R$6:$R$1005,S335)=1,1,0))</f>
        <v>0</v>
      </c>
      <c r="U335" s="96" t="str">
        <f>IF(T335=1,INDEX('ITENS_MTR'!$T$6:$T$1005,S335),"")</f>
        <v/>
      </c>
      <c r="V335" s="97" t="str">
        <f>IF(N(U335)&gt;0,INDEX('MTRs'!$E$6:$E$505,U335),"")</f>
        <v/>
      </c>
      <c r="W335" s="96" t="str">
        <f>IF(G335="","",IFERROR(IF(ISNUMBER(INDEX(cfg_fac,MATCH(G335,cfg_units,0))),IF(INDEX(cfg_fac,MATCH(G335,cfg_units,0))&gt;0,INDEX(cfg_fac,MATCH(G335,cfg_units,0)),""),""),""))</f>
        <v/>
      </c>
      <c r="X335" s="96">
        <f>IF(AND(ISNUMBER(F335),ISNUMBER(H335)),IF(H335&gt;0,1,0),0)</f>
        <v>0</v>
      </c>
      <c r="Y335" s="96">
        <f>IF(Q335=0,0,IF(OR(T335=0,X335=0,NOT(ISNUMBER(E335)),AND(J335="Sim",L335="",M335=""),AND(ISNUMBER(E335),ISNUMBER(V335),N(V335)&gt;0,E335&lt;N(V335))),1,0))</f>
        <v>0</v>
      </c>
      <c r="Z335" s="96">
        <f>IF(AND(Q335=1,T335=1,X335=1,J335="Sim",OR(L335&lt;&gt;"",M335&lt;&gt;"")),1,0)</f>
        <v>0</v>
      </c>
      <c r="AA335" s="96">
        <f>IF(Q335=0,0,IF(AND(OR(r_ini="",AND(ISNUMBER(E335),E335&gt;=r_ini)),OR(r_fim="",AND(ISNUMBER(E335),E335&lt;=r_fim)),OR(r_un="",r_un="(Todas)",IF(N(U335)&gt;0,INDEX('MTRs'!$G$6:$G$505,U335),"")=r_un),OR(r_de="",r_de="(Todos)",D335=r_de)),1,0))</f>
        <v>0</v>
      </c>
      <c r="AB335" s="96" t="str">
        <f>IF(AA335=1,COUNTIF($AA$6:AA335,1),"")</f>
        <v/>
      </c>
    </row>
    <row r="336">
      <c r="A336" s="89" t="inlineStr">
        <is>
          <t>REC-000331</t>
        </is>
      </c>
      <c r="B336" s="94" t="str">
        <f>IF(T336=1,INDEX('ITENS_MTR'!$S$6:$S$1005,S336)&amp;"","")</f>
        <v/>
      </c>
      <c r="C336" s="91" t="n"/>
      <c r="D336" s="94" t="str">
        <f>IF(N(U336)&gt;0,INDEX('MTRs'!$I$6:$I$505,U336)&amp;"","")</f>
        <v/>
      </c>
      <c r="E336" s="92" t="n"/>
      <c r="F336" s="98" t="n"/>
      <c r="G336" s="91" t="n"/>
      <c r="H336" s="93" t="str">
        <f>IF(Q336=0,"",IF(NOT(ISNUMBER(F336)),"",IF(ISNUMBER(W336),F336*W336,"UNIDADE A CONFERIR")))</f>
        <v/>
      </c>
      <c r="I336" s="91" t="n"/>
      <c r="J336" s="91" t="n"/>
      <c r="K336" s="92" t="n"/>
      <c r="L336" s="91" t="n"/>
      <c r="M336" s="91" t="n"/>
      <c r="N336" s="91" t="n"/>
      <c r="O336" s="91" t="n"/>
      <c r="P336" s="94" t="str">
        <f>IF(Q336=0,"",IF(C336="","Item de resíduo não informado",IF(T336=0,"Item inexistente (referência inválida)",IF(NOT(ISNUMBER(F336)),"Quantidade não informada",IF(F336&lt;=0,"Quantidade não positiva",IF(G336="","Unidade não informada",IF(NOT(ISNUMBER(H336)),"Unidade a conferir",IF(NOT(ISNUMBER(E336)),"Data de recebimento não informada",IF(AND(ISNUMBER(V336),N(V336)&gt;0,E336&lt;N(V336)),"Data anterior à emissão do MTR",IF(AND(J336="Sim",L336="",M336=""),"Conferido sem evidência identificada",IF(J336&lt;&gt;"Sim","Aguardando conferência",IF(INDEX('ITENS_MTR'!$AM$6:$AM$1005,S336)=1,"Conferido (ver diferença no item)","Conferido"))))))))))))</f>
        <v/>
      </c>
      <c r="Q336" s="96">
        <f>IF(COUNTA(C336,E336:G336,I336:O336)&gt;0,1,0)</f>
        <v>0</v>
      </c>
      <c r="R336" s="96" t="str">
        <f>IF(C336="","",TRIM(LEFT(C336,FIND(" |",C336&amp;" |")-1)))</f>
        <v/>
      </c>
      <c r="S336" s="96" t="str">
        <f>IF(R336="","",IFERROR(MATCH(R336,'ITENS_MTR'!$A$6:$A$1005,0),""))</f>
        <v/>
      </c>
      <c r="T336" s="96">
        <f>IF(S336="",0,IF(INDEX('ITENS_MTR'!$R$6:$R$1005,S336)=1,1,0))</f>
        <v>0</v>
      </c>
      <c r="U336" s="96" t="str">
        <f>IF(T336=1,INDEX('ITENS_MTR'!$T$6:$T$1005,S336),"")</f>
        <v/>
      </c>
      <c r="V336" s="97" t="str">
        <f>IF(N(U336)&gt;0,INDEX('MTRs'!$E$6:$E$505,U336),"")</f>
        <v/>
      </c>
      <c r="W336" s="96" t="str">
        <f>IF(G336="","",IFERROR(IF(ISNUMBER(INDEX(cfg_fac,MATCH(G336,cfg_units,0))),IF(INDEX(cfg_fac,MATCH(G336,cfg_units,0))&gt;0,INDEX(cfg_fac,MATCH(G336,cfg_units,0)),""),""),""))</f>
        <v/>
      </c>
      <c r="X336" s="96">
        <f>IF(AND(ISNUMBER(F336),ISNUMBER(H336)),IF(H336&gt;0,1,0),0)</f>
        <v>0</v>
      </c>
      <c r="Y336" s="96">
        <f>IF(Q336=0,0,IF(OR(T336=0,X336=0,NOT(ISNUMBER(E336)),AND(J336="Sim",L336="",M336=""),AND(ISNUMBER(E336),ISNUMBER(V336),N(V336)&gt;0,E336&lt;N(V336))),1,0))</f>
        <v>0</v>
      </c>
      <c r="Z336" s="96">
        <f>IF(AND(Q336=1,T336=1,X336=1,J336="Sim",OR(L336&lt;&gt;"",M336&lt;&gt;"")),1,0)</f>
        <v>0</v>
      </c>
      <c r="AA336" s="96">
        <f>IF(Q336=0,0,IF(AND(OR(r_ini="",AND(ISNUMBER(E336),E336&gt;=r_ini)),OR(r_fim="",AND(ISNUMBER(E336),E336&lt;=r_fim)),OR(r_un="",r_un="(Todas)",IF(N(U336)&gt;0,INDEX('MTRs'!$G$6:$G$505,U336),"")=r_un),OR(r_de="",r_de="(Todos)",D336=r_de)),1,0))</f>
        <v>0</v>
      </c>
      <c r="AB336" s="96" t="str">
        <f>IF(AA336=1,COUNTIF($AA$6:AA336,1),"")</f>
        <v/>
      </c>
    </row>
    <row r="337">
      <c r="A337" s="89" t="inlineStr">
        <is>
          <t>REC-000332</t>
        </is>
      </c>
      <c r="B337" s="94" t="str">
        <f>IF(T337=1,INDEX('ITENS_MTR'!$S$6:$S$1005,S337)&amp;"","")</f>
        <v/>
      </c>
      <c r="C337" s="91" t="n"/>
      <c r="D337" s="94" t="str">
        <f>IF(N(U337)&gt;0,INDEX('MTRs'!$I$6:$I$505,U337)&amp;"","")</f>
        <v/>
      </c>
      <c r="E337" s="92" t="n"/>
      <c r="F337" s="98" t="n"/>
      <c r="G337" s="91" t="n"/>
      <c r="H337" s="93" t="str">
        <f>IF(Q337=0,"",IF(NOT(ISNUMBER(F337)),"",IF(ISNUMBER(W337),F337*W337,"UNIDADE A CONFERIR")))</f>
        <v/>
      </c>
      <c r="I337" s="91" t="n"/>
      <c r="J337" s="91" t="n"/>
      <c r="K337" s="92" t="n"/>
      <c r="L337" s="91" t="n"/>
      <c r="M337" s="91" t="n"/>
      <c r="N337" s="91" t="n"/>
      <c r="O337" s="91" t="n"/>
      <c r="P337" s="94" t="str">
        <f>IF(Q337=0,"",IF(C337="","Item de resíduo não informado",IF(T337=0,"Item inexistente (referência inválida)",IF(NOT(ISNUMBER(F337)),"Quantidade não informada",IF(F337&lt;=0,"Quantidade não positiva",IF(G337="","Unidade não informada",IF(NOT(ISNUMBER(H337)),"Unidade a conferir",IF(NOT(ISNUMBER(E337)),"Data de recebimento não informada",IF(AND(ISNUMBER(V337),N(V337)&gt;0,E337&lt;N(V337)),"Data anterior à emissão do MTR",IF(AND(J337="Sim",L337="",M337=""),"Conferido sem evidência identificada",IF(J337&lt;&gt;"Sim","Aguardando conferência",IF(INDEX('ITENS_MTR'!$AM$6:$AM$1005,S337)=1,"Conferido (ver diferença no item)","Conferido"))))))))))))</f>
        <v/>
      </c>
      <c r="Q337" s="96">
        <f>IF(COUNTA(C337,E337:G337,I337:O337)&gt;0,1,0)</f>
        <v>0</v>
      </c>
      <c r="R337" s="96" t="str">
        <f>IF(C337="","",TRIM(LEFT(C337,FIND(" |",C337&amp;" |")-1)))</f>
        <v/>
      </c>
      <c r="S337" s="96" t="str">
        <f>IF(R337="","",IFERROR(MATCH(R337,'ITENS_MTR'!$A$6:$A$1005,0),""))</f>
        <v/>
      </c>
      <c r="T337" s="96">
        <f>IF(S337="",0,IF(INDEX('ITENS_MTR'!$R$6:$R$1005,S337)=1,1,0))</f>
        <v>0</v>
      </c>
      <c r="U337" s="96" t="str">
        <f>IF(T337=1,INDEX('ITENS_MTR'!$T$6:$T$1005,S337),"")</f>
        <v/>
      </c>
      <c r="V337" s="97" t="str">
        <f>IF(N(U337)&gt;0,INDEX('MTRs'!$E$6:$E$505,U337),"")</f>
        <v/>
      </c>
      <c r="W337" s="96" t="str">
        <f>IF(G337="","",IFERROR(IF(ISNUMBER(INDEX(cfg_fac,MATCH(G337,cfg_units,0))),IF(INDEX(cfg_fac,MATCH(G337,cfg_units,0))&gt;0,INDEX(cfg_fac,MATCH(G337,cfg_units,0)),""),""),""))</f>
        <v/>
      </c>
      <c r="X337" s="96">
        <f>IF(AND(ISNUMBER(F337),ISNUMBER(H337)),IF(H337&gt;0,1,0),0)</f>
        <v>0</v>
      </c>
      <c r="Y337" s="96">
        <f>IF(Q337=0,0,IF(OR(T337=0,X337=0,NOT(ISNUMBER(E337)),AND(J337="Sim",L337="",M337=""),AND(ISNUMBER(E337),ISNUMBER(V337),N(V337)&gt;0,E337&lt;N(V337))),1,0))</f>
        <v>0</v>
      </c>
      <c r="Z337" s="96">
        <f>IF(AND(Q337=1,T337=1,X337=1,J337="Sim",OR(L337&lt;&gt;"",M337&lt;&gt;"")),1,0)</f>
        <v>0</v>
      </c>
      <c r="AA337" s="96">
        <f>IF(Q337=0,0,IF(AND(OR(r_ini="",AND(ISNUMBER(E337),E337&gt;=r_ini)),OR(r_fim="",AND(ISNUMBER(E337),E337&lt;=r_fim)),OR(r_un="",r_un="(Todas)",IF(N(U337)&gt;0,INDEX('MTRs'!$G$6:$G$505,U337),"")=r_un),OR(r_de="",r_de="(Todos)",D337=r_de)),1,0))</f>
        <v>0</v>
      </c>
      <c r="AB337" s="96" t="str">
        <f>IF(AA337=1,COUNTIF($AA$6:AA337,1),"")</f>
        <v/>
      </c>
    </row>
    <row r="338">
      <c r="A338" s="89" t="inlineStr">
        <is>
          <t>REC-000333</t>
        </is>
      </c>
      <c r="B338" s="94" t="str">
        <f>IF(T338=1,INDEX('ITENS_MTR'!$S$6:$S$1005,S338)&amp;"","")</f>
        <v/>
      </c>
      <c r="C338" s="91" t="n"/>
      <c r="D338" s="94" t="str">
        <f>IF(N(U338)&gt;0,INDEX('MTRs'!$I$6:$I$505,U338)&amp;"","")</f>
        <v/>
      </c>
      <c r="E338" s="92" t="n"/>
      <c r="F338" s="98" t="n"/>
      <c r="G338" s="91" t="n"/>
      <c r="H338" s="93" t="str">
        <f>IF(Q338=0,"",IF(NOT(ISNUMBER(F338)),"",IF(ISNUMBER(W338),F338*W338,"UNIDADE A CONFERIR")))</f>
        <v/>
      </c>
      <c r="I338" s="91" t="n"/>
      <c r="J338" s="91" t="n"/>
      <c r="K338" s="92" t="n"/>
      <c r="L338" s="91" t="n"/>
      <c r="M338" s="91" t="n"/>
      <c r="N338" s="91" t="n"/>
      <c r="O338" s="91" t="n"/>
      <c r="P338" s="94" t="str">
        <f>IF(Q338=0,"",IF(C338="","Item de resíduo não informado",IF(T338=0,"Item inexistente (referência inválida)",IF(NOT(ISNUMBER(F338)),"Quantidade não informada",IF(F338&lt;=0,"Quantidade não positiva",IF(G338="","Unidade não informada",IF(NOT(ISNUMBER(H338)),"Unidade a conferir",IF(NOT(ISNUMBER(E338)),"Data de recebimento não informada",IF(AND(ISNUMBER(V338),N(V338)&gt;0,E338&lt;N(V338)),"Data anterior à emissão do MTR",IF(AND(J338="Sim",L338="",M338=""),"Conferido sem evidência identificada",IF(J338&lt;&gt;"Sim","Aguardando conferência",IF(INDEX('ITENS_MTR'!$AM$6:$AM$1005,S338)=1,"Conferido (ver diferença no item)","Conferido"))))))))))))</f>
        <v/>
      </c>
      <c r="Q338" s="96">
        <f>IF(COUNTA(C338,E338:G338,I338:O338)&gt;0,1,0)</f>
        <v>0</v>
      </c>
      <c r="R338" s="96" t="str">
        <f>IF(C338="","",TRIM(LEFT(C338,FIND(" |",C338&amp;" |")-1)))</f>
        <v/>
      </c>
      <c r="S338" s="96" t="str">
        <f>IF(R338="","",IFERROR(MATCH(R338,'ITENS_MTR'!$A$6:$A$1005,0),""))</f>
        <v/>
      </c>
      <c r="T338" s="96">
        <f>IF(S338="",0,IF(INDEX('ITENS_MTR'!$R$6:$R$1005,S338)=1,1,0))</f>
        <v>0</v>
      </c>
      <c r="U338" s="96" t="str">
        <f>IF(T338=1,INDEX('ITENS_MTR'!$T$6:$T$1005,S338),"")</f>
        <v/>
      </c>
      <c r="V338" s="97" t="str">
        <f>IF(N(U338)&gt;0,INDEX('MTRs'!$E$6:$E$505,U338),"")</f>
        <v/>
      </c>
      <c r="W338" s="96" t="str">
        <f>IF(G338="","",IFERROR(IF(ISNUMBER(INDEX(cfg_fac,MATCH(G338,cfg_units,0))),IF(INDEX(cfg_fac,MATCH(G338,cfg_units,0))&gt;0,INDEX(cfg_fac,MATCH(G338,cfg_units,0)),""),""),""))</f>
        <v/>
      </c>
      <c r="X338" s="96">
        <f>IF(AND(ISNUMBER(F338),ISNUMBER(H338)),IF(H338&gt;0,1,0),0)</f>
        <v>0</v>
      </c>
      <c r="Y338" s="96">
        <f>IF(Q338=0,0,IF(OR(T338=0,X338=0,NOT(ISNUMBER(E338)),AND(J338="Sim",L338="",M338=""),AND(ISNUMBER(E338),ISNUMBER(V338),N(V338)&gt;0,E338&lt;N(V338))),1,0))</f>
        <v>0</v>
      </c>
      <c r="Z338" s="96">
        <f>IF(AND(Q338=1,T338=1,X338=1,J338="Sim",OR(L338&lt;&gt;"",M338&lt;&gt;"")),1,0)</f>
        <v>0</v>
      </c>
      <c r="AA338" s="96">
        <f>IF(Q338=0,0,IF(AND(OR(r_ini="",AND(ISNUMBER(E338),E338&gt;=r_ini)),OR(r_fim="",AND(ISNUMBER(E338),E338&lt;=r_fim)),OR(r_un="",r_un="(Todas)",IF(N(U338)&gt;0,INDEX('MTRs'!$G$6:$G$505,U338),"")=r_un),OR(r_de="",r_de="(Todos)",D338=r_de)),1,0))</f>
        <v>0</v>
      </c>
      <c r="AB338" s="96" t="str">
        <f>IF(AA338=1,COUNTIF($AA$6:AA338,1),"")</f>
        <v/>
      </c>
    </row>
    <row r="339">
      <c r="A339" s="89" t="inlineStr">
        <is>
          <t>REC-000334</t>
        </is>
      </c>
      <c r="B339" s="94" t="str">
        <f>IF(T339=1,INDEX('ITENS_MTR'!$S$6:$S$1005,S339)&amp;"","")</f>
        <v/>
      </c>
      <c r="C339" s="91" t="n"/>
      <c r="D339" s="94" t="str">
        <f>IF(N(U339)&gt;0,INDEX('MTRs'!$I$6:$I$505,U339)&amp;"","")</f>
        <v/>
      </c>
      <c r="E339" s="92" t="n"/>
      <c r="F339" s="98" t="n"/>
      <c r="G339" s="91" t="n"/>
      <c r="H339" s="93" t="str">
        <f>IF(Q339=0,"",IF(NOT(ISNUMBER(F339)),"",IF(ISNUMBER(W339),F339*W339,"UNIDADE A CONFERIR")))</f>
        <v/>
      </c>
      <c r="I339" s="91" t="n"/>
      <c r="J339" s="91" t="n"/>
      <c r="K339" s="92" t="n"/>
      <c r="L339" s="91" t="n"/>
      <c r="M339" s="91" t="n"/>
      <c r="N339" s="91" t="n"/>
      <c r="O339" s="91" t="n"/>
      <c r="P339" s="94" t="str">
        <f>IF(Q339=0,"",IF(C339="","Item de resíduo não informado",IF(T339=0,"Item inexistente (referência inválida)",IF(NOT(ISNUMBER(F339)),"Quantidade não informada",IF(F339&lt;=0,"Quantidade não positiva",IF(G339="","Unidade não informada",IF(NOT(ISNUMBER(H339)),"Unidade a conferir",IF(NOT(ISNUMBER(E339)),"Data de recebimento não informada",IF(AND(ISNUMBER(V339),N(V339)&gt;0,E339&lt;N(V339)),"Data anterior à emissão do MTR",IF(AND(J339="Sim",L339="",M339=""),"Conferido sem evidência identificada",IF(J339&lt;&gt;"Sim","Aguardando conferência",IF(INDEX('ITENS_MTR'!$AM$6:$AM$1005,S339)=1,"Conferido (ver diferença no item)","Conferido"))))))))))))</f>
        <v/>
      </c>
      <c r="Q339" s="96">
        <f>IF(COUNTA(C339,E339:G339,I339:O339)&gt;0,1,0)</f>
        <v>0</v>
      </c>
      <c r="R339" s="96" t="str">
        <f>IF(C339="","",TRIM(LEFT(C339,FIND(" |",C339&amp;" |")-1)))</f>
        <v/>
      </c>
      <c r="S339" s="96" t="str">
        <f>IF(R339="","",IFERROR(MATCH(R339,'ITENS_MTR'!$A$6:$A$1005,0),""))</f>
        <v/>
      </c>
      <c r="T339" s="96">
        <f>IF(S339="",0,IF(INDEX('ITENS_MTR'!$R$6:$R$1005,S339)=1,1,0))</f>
        <v>0</v>
      </c>
      <c r="U339" s="96" t="str">
        <f>IF(T339=1,INDEX('ITENS_MTR'!$T$6:$T$1005,S339),"")</f>
        <v/>
      </c>
      <c r="V339" s="97" t="str">
        <f>IF(N(U339)&gt;0,INDEX('MTRs'!$E$6:$E$505,U339),"")</f>
        <v/>
      </c>
      <c r="W339" s="96" t="str">
        <f>IF(G339="","",IFERROR(IF(ISNUMBER(INDEX(cfg_fac,MATCH(G339,cfg_units,0))),IF(INDEX(cfg_fac,MATCH(G339,cfg_units,0))&gt;0,INDEX(cfg_fac,MATCH(G339,cfg_units,0)),""),""),""))</f>
        <v/>
      </c>
      <c r="X339" s="96">
        <f>IF(AND(ISNUMBER(F339),ISNUMBER(H339)),IF(H339&gt;0,1,0),0)</f>
        <v>0</v>
      </c>
      <c r="Y339" s="96">
        <f>IF(Q339=0,0,IF(OR(T339=0,X339=0,NOT(ISNUMBER(E339)),AND(J339="Sim",L339="",M339=""),AND(ISNUMBER(E339),ISNUMBER(V339),N(V339)&gt;0,E339&lt;N(V339))),1,0))</f>
        <v>0</v>
      </c>
      <c r="Z339" s="96">
        <f>IF(AND(Q339=1,T339=1,X339=1,J339="Sim",OR(L339&lt;&gt;"",M339&lt;&gt;"")),1,0)</f>
        <v>0</v>
      </c>
      <c r="AA339" s="96">
        <f>IF(Q339=0,0,IF(AND(OR(r_ini="",AND(ISNUMBER(E339),E339&gt;=r_ini)),OR(r_fim="",AND(ISNUMBER(E339),E339&lt;=r_fim)),OR(r_un="",r_un="(Todas)",IF(N(U339)&gt;0,INDEX('MTRs'!$G$6:$G$505,U339),"")=r_un),OR(r_de="",r_de="(Todos)",D339=r_de)),1,0))</f>
        <v>0</v>
      </c>
      <c r="AB339" s="96" t="str">
        <f>IF(AA339=1,COUNTIF($AA$6:AA339,1),"")</f>
        <v/>
      </c>
    </row>
    <row r="340">
      <c r="A340" s="89" t="inlineStr">
        <is>
          <t>REC-000335</t>
        </is>
      </c>
      <c r="B340" s="94" t="str">
        <f>IF(T340=1,INDEX('ITENS_MTR'!$S$6:$S$1005,S340)&amp;"","")</f>
        <v/>
      </c>
      <c r="C340" s="91" t="n"/>
      <c r="D340" s="94" t="str">
        <f>IF(N(U340)&gt;0,INDEX('MTRs'!$I$6:$I$505,U340)&amp;"","")</f>
        <v/>
      </c>
      <c r="E340" s="92" t="n"/>
      <c r="F340" s="98" t="n"/>
      <c r="G340" s="91" t="n"/>
      <c r="H340" s="93" t="str">
        <f>IF(Q340=0,"",IF(NOT(ISNUMBER(F340)),"",IF(ISNUMBER(W340),F340*W340,"UNIDADE A CONFERIR")))</f>
        <v/>
      </c>
      <c r="I340" s="91" t="n"/>
      <c r="J340" s="91" t="n"/>
      <c r="K340" s="92" t="n"/>
      <c r="L340" s="91" t="n"/>
      <c r="M340" s="91" t="n"/>
      <c r="N340" s="91" t="n"/>
      <c r="O340" s="91" t="n"/>
      <c r="P340" s="94" t="str">
        <f>IF(Q340=0,"",IF(C340="","Item de resíduo não informado",IF(T340=0,"Item inexistente (referência inválida)",IF(NOT(ISNUMBER(F340)),"Quantidade não informada",IF(F340&lt;=0,"Quantidade não positiva",IF(G340="","Unidade não informada",IF(NOT(ISNUMBER(H340)),"Unidade a conferir",IF(NOT(ISNUMBER(E340)),"Data de recebimento não informada",IF(AND(ISNUMBER(V340),N(V340)&gt;0,E340&lt;N(V340)),"Data anterior à emissão do MTR",IF(AND(J340="Sim",L340="",M340=""),"Conferido sem evidência identificada",IF(J340&lt;&gt;"Sim","Aguardando conferência",IF(INDEX('ITENS_MTR'!$AM$6:$AM$1005,S340)=1,"Conferido (ver diferença no item)","Conferido"))))))))))))</f>
        <v/>
      </c>
      <c r="Q340" s="96">
        <f>IF(COUNTA(C340,E340:G340,I340:O340)&gt;0,1,0)</f>
        <v>0</v>
      </c>
      <c r="R340" s="96" t="str">
        <f>IF(C340="","",TRIM(LEFT(C340,FIND(" |",C340&amp;" |")-1)))</f>
        <v/>
      </c>
      <c r="S340" s="96" t="str">
        <f>IF(R340="","",IFERROR(MATCH(R340,'ITENS_MTR'!$A$6:$A$1005,0),""))</f>
        <v/>
      </c>
      <c r="T340" s="96">
        <f>IF(S340="",0,IF(INDEX('ITENS_MTR'!$R$6:$R$1005,S340)=1,1,0))</f>
        <v>0</v>
      </c>
      <c r="U340" s="96" t="str">
        <f>IF(T340=1,INDEX('ITENS_MTR'!$T$6:$T$1005,S340),"")</f>
        <v/>
      </c>
      <c r="V340" s="97" t="str">
        <f>IF(N(U340)&gt;0,INDEX('MTRs'!$E$6:$E$505,U340),"")</f>
        <v/>
      </c>
      <c r="W340" s="96" t="str">
        <f>IF(G340="","",IFERROR(IF(ISNUMBER(INDEX(cfg_fac,MATCH(G340,cfg_units,0))),IF(INDEX(cfg_fac,MATCH(G340,cfg_units,0))&gt;0,INDEX(cfg_fac,MATCH(G340,cfg_units,0)),""),""),""))</f>
        <v/>
      </c>
      <c r="X340" s="96">
        <f>IF(AND(ISNUMBER(F340),ISNUMBER(H340)),IF(H340&gt;0,1,0),0)</f>
        <v>0</v>
      </c>
      <c r="Y340" s="96">
        <f>IF(Q340=0,0,IF(OR(T340=0,X340=0,NOT(ISNUMBER(E340)),AND(J340="Sim",L340="",M340=""),AND(ISNUMBER(E340),ISNUMBER(V340),N(V340)&gt;0,E340&lt;N(V340))),1,0))</f>
        <v>0</v>
      </c>
      <c r="Z340" s="96">
        <f>IF(AND(Q340=1,T340=1,X340=1,J340="Sim",OR(L340&lt;&gt;"",M340&lt;&gt;"")),1,0)</f>
        <v>0</v>
      </c>
      <c r="AA340" s="96">
        <f>IF(Q340=0,0,IF(AND(OR(r_ini="",AND(ISNUMBER(E340),E340&gt;=r_ini)),OR(r_fim="",AND(ISNUMBER(E340),E340&lt;=r_fim)),OR(r_un="",r_un="(Todas)",IF(N(U340)&gt;0,INDEX('MTRs'!$G$6:$G$505,U340),"")=r_un),OR(r_de="",r_de="(Todos)",D340=r_de)),1,0))</f>
        <v>0</v>
      </c>
      <c r="AB340" s="96" t="str">
        <f>IF(AA340=1,COUNTIF($AA$6:AA340,1),"")</f>
        <v/>
      </c>
    </row>
    <row r="341">
      <c r="A341" s="89" t="inlineStr">
        <is>
          <t>REC-000336</t>
        </is>
      </c>
      <c r="B341" s="94" t="str">
        <f>IF(T341=1,INDEX('ITENS_MTR'!$S$6:$S$1005,S341)&amp;"","")</f>
        <v/>
      </c>
      <c r="C341" s="91" t="n"/>
      <c r="D341" s="94" t="str">
        <f>IF(N(U341)&gt;0,INDEX('MTRs'!$I$6:$I$505,U341)&amp;"","")</f>
        <v/>
      </c>
      <c r="E341" s="92" t="n"/>
      <c r="F341" s="98" t="n"/>
      <c r="G341" s="91" t="n"/>
      <c r="H341" s="93" t="str">
        <f>IF(Q341=0,"",IF(NOT(ISNUMBER(F341)),"",IF(ISNUMBER(W341),F341*W341,"UNIDADE A CONFERIR")))</f>
        <v/>
      </c>
      <c r="I341" s="91" t="n"/>
      <c r="J341" s="91" t="n"/>
      <c r="K341" s="92" t="n"/>
      <c r="L341" s="91" t="n"/>
      <c r="M341" s="91" t="n"/>
      <c r="N341" s="91" t="n"/>
      <c r="O341" s="91" t="n"/>
      <c r="P341" s="94" t="str">
        <f>IF(Q341=0,"",IF(C341="","Item de resíduo não informado",IF(T341=0,"Item inexistente (referência inválida)",IF(NOT(ISNUMBER(F341)),"Quantidade não informada",IF(F341&lt;=0,"Quantidade não positiva",IF(G341="","Unidade não informada",IF(NOT(ISNUMBER(H341)),"Unidade a conferir",IF(NOT(ISNUMBER(E341)),"Data de recebimento não informada",IF(AND(ISNUMBER(V341),N(V341)&gt;0,E341&lt;N(V341)),"Data anterior à emissão do MTR",IF(AND(J341="Sim",L341="",M341=""),"Conferido sem evidência identificada",IF(J341&lt;&gt;"Sim","Aguardando conferência",IF(INDEX('ITENS_MTR'!$AM$6:$AM$1005,S341)=1,"Conferido (ver diferença no item)","Conferido"))))))))))))</f>
        <v/>
      </c>
      <c r="Q341" s="96">
        <f>IF(COUNTA(C341,E341:G341,I341:O341)&gt;0,1,0)</f>
        <v>0</v>
      </c>
      <c r="R341" s="96" t="str">
        <f>IF(C341="","",TRIM(LEFT(C341,FIND(" |",C341&amp;" |")-1)))</f>
        <v/>
      </c>
      <c r="S341" s="96" t="str">
        <f>IF(R341="","",IFERROR(MATCH(R341,'ITENS_MTR'!$A$6:$A$1005,0),""))</f>
        <v/>
      </c>
      <c r="T341" s="96">
        <f>IF(S341="",0,IF(INDEX('ITENS_MTR'!$R$6:$R$1005,S341)=1,1,0))</f>
        <v>0</v>
      </c>
      <c r="U341" s="96" t="str">
        <f>IF(T341=1,INDEX('ITENS_MTR'!$T$6:$T$1005,S341),"")</f>
        <v/>
      </c>
      <c r="V341" s="97" t="str">
        <f>IF(N(U341)&gt;0,INDEX('MTRs'!$E$6:$E$505,U341),"")</f>
        <v/>
      </c>
      <c r="W341" s="96" t="str">
        <f>IF(G341="","",IFERROR(IF(ISNUMBER(INDEX(cfg_fac,MATCH(G341,cfg_units,0))),IF(INDEX(cfg_fac,MATCH(G341,cfg_units,0))&gt;0,INDEX(cfg_fac,MATCH(G341,cfg_units,0)),""),""),""))</f>
        <v/>
      </c>
      <c r="X341" s="96">
        <f>IF(AND(ISNUMBER(F341),ISNUMBER(H341)),IF(H341&gt;0,1,0),0)</f>
        <v>0</v>
      </c>
      <c r="Y341" s="96">
        <f>IF(Q341=0,0,IF(OR(T341=0,X341=0,NOT(ISNUMBER(E341)),AND(J341="Sim",L341="",M341=""),AND(ISNUMBER(E341),ISNUMBER(V341),N(V341)&gt;0,E341&lt;N(V341))),1,0))</f>
        <v>0</v>
      </c>
      <c r="Z341" s="96">
        <f>IF(AND(Q341=1,T341=1,X341=1,J341="Sim",OR(L341&lt;&gt;"",M341&lt;&gt;"")),1,0)</f>
        <v>0</v>
      </c>
      <c r="AA341" s="96">
        <f>IF(Q341=0,0,IF(AND(OR(r_ini="",AND(ISNUMBER(E341),E341&gt;=r_ini)),OR(r_fim="",AND(ISNUMBER(E341),E341&lt;=r_fim)),OR(r_un="",r_un="(Todas)",IF(N(U341)&gt;0,INDEX('MTRs'!$G$6:$G$505,U341),"")=r_un),OR(r_de="",r_de="(Todos)",D341=r_de)),1,0))</f>
        <v>0</v>
      </c>
      <c r="AB341" s="96" t="str">
        <f>IF(AA341=1,COUNTIF($AA$6:AA341,1),"")</f>
        <v/>
      </c>
    </row>
    <row r="342">
      <c r="A342" s="89" t="inlineStr">
        <is>
          <t>REC-000337</t>
        </is>
      </c>
      <c r="B342" s="94" t="str">
        <f>IF(T342=1,INDEX('ITENS_MTR'!$S$6:$S$1005,S342)&amp;"","")</f>
        <v/>
      </c>
      <c r="C342" s="91" t="n"/>
      <c r="D342" s="94" t="str">
        <f>IF(N(U342)&gt;0,INDEX('MTRs'!$I$6:$I$505,U342)&amp;"","")</f>
        <v/>
      </c>
      <c r="E342" s="92" t="n"/>
      <c r="F342" s="98" t="n"/>
      <c r="G342" s="91" t="n"/>
      <c r="H342" s="93" t="str">
        <f>IF(Q342=0,"",IF(NOT(ISNUMBER(F342)),"",IF(ISNUMBER(W342),F342*W342,"UNIDADE A CONFERIR")))</f>
        <v/>
      </c>
      <c r="I342" s="91" t="n"/>
      <c r="J342" s="91" t="n"/>
      <c r="K342" s="92" t="n"/>
      <c r="L342" s="91" t="n"/>
      <c r="M342" s="91" t="n"/>
      <c r="N342" s="91" t="n"/>
      <c r="O342" s="91" t="n"/>
      <c r="P342" s="94" t="str">
        <f>IF(Q342=0,"",IF(C342="","Item de resíduo não informado",IF(T342=0,"Item inexistente (referência inválida)",IF(NOT(ISNUMBER(F342)),"Quantidade não informada",IF(F342&lt;=0,"Quantidade não positiva",IF(G342="","Unidade não informada",IF(NOT(ISNUMBER(H342)),"Unidade a conferir",IF(NOT(ISNUMBER(E342)),"Data de recebimento não informada",IF(AND(ISNUMBER(V342),N(V342)&gt;0,E342&lt;N(V342)),"Data anterior à emissão do MTR",IF(AND(J342="Sim",L342="",M342=""),"Conferido sem evidência identificada",IF(J342&lt;&gt;"Sim","Aguardando conferência",IF(INDEX('ITENS_MTR'!$AM$6:$AM$1005,S342)=1,"Conferido (ver diferença no item)","Conferido"))))))))))))</f>
        <v/>
      </c>
      <c r="Q342" s="96">
        <f>IF(COUNTA(C342,E342:G342,I342:O342)&gt;0,1,0)</f>
        <v>0</v>
      </c>
      <c r="R342" s="96" t="str">
        <f>IF(C342="","",TRIM(LEFT(C342,FIND(" |",C342&amp;" |")-1)))</f>
        <v/>
      </c>
      <c r="S342" s="96" t="str">
        <f>IF(R342="","",IFERROR(MATCH(R342,'ITENS_MTR'!$A$6:$A$1005,0),""))</f>
        <v/>
      </c>
      <c r="T342" s="96">
        <f>IF(S342="",0,IF(INDEX('ITENS_MTR'!$R$6:$R$1005,S342)=1,1,0))</f>
        <v>0</v>
      </c>
      <c r="U342" s="96" t="str">
        <f>IF(T342=1,INDEX('ITENS_MTR'!$T$6:$T$1005,S342),"")</f>
        <v/>
      </c>
      <c r="V342" s="97" t="str">
        <f>IF(N(U342)&gt;0,INDEX('MTRs'!$E$6:$E$505,U342),"")</f>
        <v/>
      </c>
      <c r="W342" s="96" t="str">
        <f>IF(G342="","",IFERROR(IF(ISNUMBER(INDEX(cfg_fac,MATCH(G342,cfg_units,0))),IF(INDEX(cfg_fac,MATCH(G342,cfg_units,0))&gt;0,INDEX(cfg_fac,MATCH(G342,cfg_units,0)),""),""),""))</f>
        <v/>
      </c>
      <c r="X342" s="96">
        <f>IF(AND(ISNUMBER(F342),ISNUMBER(H342)),IF(H342&gt;0,1,0),0)</f>
        <v>0</v>
      </c>
      <c r="Y342" s="96">
        <f>IF(Q342=0,0,IF(OR(T342=0,X342=0,NOT(ISNUMBER(E342)),AND(J342="Sim",L342="",M342=""),AND(ISNUMBER(E342),ISNUMBER(V342),N(V342)&gt;0,E342&lt;N(V342))),1,0))</f>
        <v>0</v>
      </c>
      <c r="Z342" s="96">
        <f>IF(AND(Q342=1,T342=1,X342=1,J342="Sim",OR(L342&lt;&gt;"",M342&lt;&gt;"")),1,0)</f>
        <v>0</v>
      </c>
      <c r="AA342" s="96">
        <f>IF(Q342=0,0,IF(AND(OR(r_ini="",AND(ISNUMBER(E342),E342&gt;=r_ini)),OR(r_fim="",AND(ISNUMBER(E342),E342&lt;=r_fim)),OR(r_un="",r_un="(Todas)",IF(N(U342)&gt;0,INDEX('MTRs'!$G$6:$G$505,U342),"")=r_un),OR(r_de="",r_de="(Todos)",D342=r_de)),1,0))</f>
        <v>0</v>
      </c>
      <c r="AB342" s="96" t="str">
        <f>IF(AA342=1,COUNTIF($AA$6:AA342,1),"")</f>
        <v/>
      </c>
    </row>
    <row r="343">
      <c r="A343" s="89" t="inlineStr">
        <is>
          <t>REC-000338</t>
        </is>
      </c>
      <c r="B343" s="94" t="str">
        <f>IF(T343=1,INDEX('ITENS_MTR'!$S$6:$S$1005,S343)&amp;"","")</f>
        <v/>
      </c>
      <c r="C343" s="91" t="n"/>
      <c r="D343" s="94" t="str">
        <f>IF(N(U343)&gt;0,INDEX('MTRs'!$I$6:$I$505,U343)&amp;"","")</f>
        <v/>
      </c>
      <c r="E343" s="92" t="n"/>
      <c r="F343" s="98" t="n"/>
      <c r="G343" s="91" t="n"/>
      <c r="H343" s="93" t="str">
        <f>IF(Q343=0,"",IF(NOT(ISNUMBER(F343)),"",IF(ISNUMBER(W343),F343*W343,"UNIDADE A CONFERIR")))</f>
        <v/>
      </c>
      <c r="I343" s="91" t="n"/>
      <c r="J343" s="91" t="n"/>
      <c r="K343" s="92" t="n"/>
      <c r="L343" s="91" t="n"/>
      <c r="M343" s="91" t="n"/>
      <c r="N343" s="91" t="n"/>
      <c r="O343" s="91" t="n"/>
      <c r="P343" s="94" t="str">
        <f>IF(Q343=0,"",IF(C343="","Item de resíduo não informado",IF(T343=0,"Item inexistente (referência inválida)",IF(NOT(ISNUMBER(F343)),"Quantidade não informada",IF(F343&lt;=0,"Quantidade não positiva",IF(G343="","Unidade não informada",IF(NOT(ISNUMBER(H343)),"Unidade a conferir",IF(NOT(ISNUMBER(E343)),"Data de recebimento não informada",IF(AND(ISNUMBER(V343),N(V343)&gt;0,E343&lt;N(V343)),"Data anterior à emissão do MTR",IF(AND(J343="Sim",L343="",M343=""),"Conferido sem evidência identificada",IF(J343&lt;&gt;"Sim","Aguardando conferência",IF(INDEX('ITENS_MTR'!$AM$6:$AM$1005,S343)=1,"Conferido (ver diferença no item)","Conferido"))))))))))))</f>
        <v/>
      </c>
      <c r="Q343" s="96">
        <f>IF(COUNTA(C343,E343:G343,I343:O343)&gt;0,1,0)</f>
        <v>0</v>
      </c>
      <c r="R343" s="96" t="str">
        <f>IF(C343="","",TRIM(LEFT(C343,FIND(" |",C343&amp;" |")-1)))</f>
        <v/>
      </c>
      <c r="S343" s="96" t="str">
        <f>IF(R343="","",IFERROR(MATCH(R343,'ITENS_MTR'!$A$6:$A$1005,0),""))</f>
        <v/>
      </c>
      <c r="T343" s="96">
        <f>IF(S343="",0,IF(INDEX('ITENS_MTR'!$R$6:$R$1005,S343)=1,1,0))</f>
        <v>0</v>
      </c>
      <c r="U343" s="96" t="str">
        <f>IF(T343=1,INDEX('ITENS_MTR'!$T$6:$T$1005,S343),"")</f>
        <v/>
      </c>
      <c r="V343" s="97" t="str">
        <f>IF(N(U343)&gt;0,INDEX('MTRs'!$E$6:$E$505,U343),"")</f>
        <v/>
      </c>
      <c r="W343" s="96" t="str">
        <f>IF(G343="","",IFERROR(IF(ISNUMBER(INDEX(cfg_fac,MATCH(G343,cfg_units,0))),IF(INDEX(cfg_fac,MATCH(G343,cfg_units,0))&gt;0,INDEX(cfg_fac,MATCH(G343,cfg_units,0)),""),""),""))</f>
        <v/>
      </c>
      <c r="X343" s="96">
        <f>IF(AND(ISNUMBER(F343),ISNUMBER(H343)),IF(H343&gt;0,1,0),0)</f>
        <v>0</v>
      </c>
      <c r="Y343" s="96">
        <f>IF(Q343=0,0,IF(OR(T343=0,X343=0,NOT(ISNUMBER(E343)),AND(J343="Sim",L343="",M343=""),AND(ISNUMBER(E343),ISNUMBER(V343),N(V343)&gt;0,E343&lt;N(V343))),1,0))</f>
        <v>0</v>
      </c>
      <c r="Z343" s="96">
        <f>IF(AND(Q343=1,T343=1,X343=1,J343="Sim",OR(L343&lt;&gt;"",M343&lt;&gt;"")),1,0)</f>
        <v>0</v>
      </c>
      <c r="AA343" s="96">
        <f>IF(Q343=0,0,IF(AND(OR(r_ini="",AND(ISNUMBER(E343),E343&gt;=r_ini)),OR(r_fim="",AND(ISNUMBER(E343),E343&lt;=r_fim)),OR(r_un="",r_un="(Todas)",IF(N(U343)&gt;0,INDEX('MTRs'!$G$6:$G$505,U343),"")=r_un),OR(r_de="",r_de="(Todos)",D343=r_de)),1,0))</f>
        <v>0</v>
      </c>
      <c r="AB343" s="96" t="str">
        <f>IF(AA343=1,COUNTIF($AA$6:AA343,1),"")</f>
        <v/>
      </c>
    </row>
    <row r="344">
      <c r="A344" s="89" t="inlineStr">
        <is>
          <t>REC-000339</t>
        </is>
      </c>
      <c r="B344" s="94" t="str">
        <f>IF(T344=1,INDEX('ITENS_MTR'!$S$6:$S$1005,S344)&amp;"","")</f>
        <v/>
      </c>
      <c r="C344" s="91" t="n"/>
      <c r="D344" s="94" t="str">
        <f>IF(N(U344)&gt;0,INDEX('MTRs'!$I$6:$I$505,U344)&amp;"","")</f>
        <v/>
      </c>
      <c r="E344" s="92" t="n"/>
      <c r="F344" s="98" t="n"/>
      <c r="G344" s="91" t="n"/>
      <c r="H344" s="93" t="str">
        <f>IF(Q344=0,"",IF(NOT(ISNUMBER(F344)),"",IF(ISNUMBER(W344),F344*W344,"UNIDADE A CONFERIR")))</f>
        <v/>
      </c>
      <c r="I344" s="91" t="n"/>
      <c r="J344" s="91" t="n"/>
      <c r="K344" s="92" t="n"/>
      <c r="L344" s="91" t="n"/>
      <c r="M344" s="91" t="n"/>
      <c r="N344" s="91" t="n"/>
      <c r="O344" s="91" t="n"/>
      <c r="P344" s="94" t="str">
        <f>IF(Q344=0,"",IF(C344="","Item de resíduo não informado",IF(T344=0,"Item inexistente (referência inválida)",IF(NOT(ISNUMBER(F344)),"Quantidade não informada",IF(F344&lt;=0,"Quantidade não positiva",IF(G344="","Unidade não informada",IF(NOT(ISNUMBER(H344)),"Unidade a conferir",IF(NOT(ISNUMBER(E344)),"Data de recebimento não informada",IF(AND(ISNUMBER(V344),N(V344)&gt;0,E344&lt;N(V344)),"Data anterior à emissão do MTR",IF(AND(J344="Sim",L344="",M344=""),"Conferido sem evidência identificada",IF(J344&lt;&gt;"Sim","Aguardando conferência",IF(INDEX('ITENS_MTR'!$AM$6:$AM$1005,S344)=1,"Conferido (ver diferença no item)","Conferido"))))))))))))</f>
        <v/>
      </c>
      <c r="Q344" s="96">
        <f>IF(COUNTA(C344,E344:G344,I344:O344)&gt;0,1,0)</f>
        <v>0</v>
      </c>
      <c r="R344" s="96" t="str">
        <f>IF(C344="","",TRIM(LEFT(C344,FIND(" |",C344&amp;" |")-1)))</f>
        <v/>
      </c>
      <c r="S344" s="96" t="str">
        <f>IF(R344="","",IFERROR(MATCH(R344,'ITENS_MTR'!$A$6:$A$1005,0),""))</f>
        <v/>
      </c>
      <c r="T344" s="96">
        <f>IF(S344="",0,IF(INDEX('ITENS_MTR'!$R$6:$R$1005,S344)=1,1,0))</f>
        <v>0</v>
      </c>
      <c r="U344" s="96" t="str">
        <f>IF(T344=1,INDEX('ITENS_MTR'!$T$6:$T$1005,S344),"")</f>
        <v/>
      </c>
      <c r="V344" s="97" t="str">
        <f>IF(N(U344)&gt;0,INDEX('MTRs'!$E$6:$E$505,U344),"")</f>
        <v/>
      </c>
      <c r="W344" s="96" t="str">
        <f>IF(G344="","",IFERROR(IF(ISNUMBER(INDEX(cfg_fac,MATCH(G344,cfg_units,0))),IF(INDEX(cfg_fac,MATCH(G344,cfg_units,0))&gt;0,INDEX(cfg_fac,MATCH(G344,cfg_units,0)),""),""),""))</f>
        <v/>
      </c>
      <c r="X344" s="96">
        <f>IF(AND(ISNUMBER(F344),ISNUMBER(H344)),IF(H344&gt;0,1,0),0)</f>
        <v>0</v>
      </c>
      <c r="Y344" s="96">
        <f>IF(Q344=0,0,IF(OR(T344=0,X344=0,NOT(ISNUMBER(E344)),AND(J344="Sim",L344="",M344=""),AND(ISNUMBER(E344),ISNUMBER(V344),N(V344)&gt;0,E344&lt;N(V344))),1,0))</f>
        <v>0</v>
      </c>
      <c r="Z344" s="96">
        <f>IF(AND(Q344=1,T344=1,X344=1,J344="Sim",OR(L344&lt;&gt;"",M344&lt;&gt;"")),1,0)</f>
        <v>0</v>
      </c>
      <c r="AA344" s="96">
        <f>IF(Q344=0,0,IF(AND(OR(r_ini="",AND(ISNUMBER(E344),E344&gt;=r_ini)),OR(r_fim="",AND(ISNUMBER(E344),E344&lt;=r_fim)),OR(r_un="",r_un="(Todas)",IF(N(U344)&gt;0,INDEX('MTRs'!$G$6:$G$505,U344),"")=r_un),OR(r_de="",r_de="(Todos)",D344=r_de)),1,0))</f>
        <v>0</v>
      </c>
      <c r="AB344" s="96" t="str">
        <f>IF(AA344=1,COUNTIF($AA$6:AA344,1),"")</f>
        <v/>
      </c>
    </row>
    <row r="345">
      <c r="A345" s="89" t="inlineStr">
        <is>
          <t>REC-000340</t>
        </is>
      </c>
      <c r="B345" s="94" t="str">
        <f>IF(T345=1,INDEX('ITENS_MTR'!$S$6:$S$1005,S345)&amp;"","")</f>
        <v/>
      </c>
      <c r="C345" s="91" t="n"/>
      <c r="D345" s="94" t="str">
        <f>IF(N(U345)&gt;0,INDEX('MTRs'!$I$6:$I$505,U345)&amp;"","")</f>
        <v/>
      </c>
      <c r="E345" s="92" t="n"/>
      <c r="F345" s="98" t="n"/>
      <c r="G345" s="91" t="n"/>
      <c r="H345" s="93" t="str">
        <f>IF(Q345=0,"",IF(NOT(ISNUMBER(F345)),"",IF(ISNUMBER(W345),F345*W345,"UNIDADE A CONFERIR")))</f>
        <v/>
      </c>
      <c r="I345" s="91" t="n"/>
      <c r="J345" s="91" t="n"/>
      <c r="K345" s="92" t="n"/>
      <c r="L345" s="91" t="n"/>
      <c r="M345" s="91" t="n"/>
      <c r="N345" s="91" t="n"/>
      <c r="O345" s="91" t="n"/>
      <c r="P345" s="94" t="str">
        <f>IF(Q345=0,"",IF(C345="","Item de resíduo não informado",IF(T345=0,"Item inexistente (referência inválida)",IF(NOT(ISNUMBER(F345)),"Quantidade não informada",IF(F345&lt;=0,"Quantidade não positiva",IF(G345="","Unidade não informada",IF(NOT(ISNUMBER(H345)),"Unidade a conferir",IF(NOT(ISNUMBER(E345)),"Data de recebimento não informada",IF(AND(ISNUMBER(V345),N(V345)&gt;0,E345&lt;N(V345)),"Data anterior à emissão do MTR",IF(AND(J345="Sim",L345="",M345=""),"Conferido sem evidência identificada",IF(J345&lt;&gt;"Sim","Aguardando conferência",IF(INDEX('ITENS_MTR'!$AM$6:$AM$1005,S345)=1,"Conferido (ver diferença no item)","Conferido"))))))))))))</f>
        <v/>
      </c>
      <c r="Q345" s="96">
        <f>IF(COUNTA(C345,E345:G345,I345:O345)&gt;0,1,0)</f>
        <v>0</v>
      </c>
      <c r="R345" s="96" t="str">
        <f>IF(C345="","",TRIM(LEFT(C345,FIND(" |",C345&amp;" |")-1)))</f>
        <v/>
      </c>
      <c r="S345" s="96" t="str">
        <f>IF(R345="","",IFERROR(MATCH(R345,'ITENS_MTR'!$A$6:$A$1005,0),""))</f>
        <v/>
      </c>
      <c r="T345" s="96">
        <f>IF(S345="",0,IF(INDEX('ITENS_MTR'!$R$6:$R$1005,S345)=1,1,0))</f>
        <v>0</v>
      </c>
      <c r="U345" s="96" t="str">
        <f>IF(T345=1,INDEX('ITENS_MTR'!$T$6:$T$1005,S345),"")</f>
        <v/>
      </c>
      <c r="V345" s="97" t="str">
        <f>IF(N(U345)&gt;0,INDEX('MTRs'!$E$6:$E$505,U345),"")</f>
        <v/>
      </c>
      <c r="W345" s="96" t="str">
        <f>IF(G345="","",IFERROR(IF(ISNUMBER(INDEX(cfg_fac,MATCH(G345,cfg_units,0))),IF(INDEX(cfg_fac,MATCH(G345,cfg_units,0))&gt;0,INDEX(cfg_fac,MATCH(G345,cfg_units,0)),""),""),""))</f>
        <v/>
      </c>
      <c r="X345" s="96">
        <f>IF(AND(ISNUMBER(F345),ISNUMBER(H345)),IF(H345&gt;0,1,0),0)</f>
        <v>0</v>
      </c>
      <c r="Y345" s="96">
        <f>IF(Q345=0,0,IF(OR(T345=0,X345=0,NOT(ISNUMBER(E345)),AND(J345="Sim",L345="",M345=""),AND(ISNUMBER(E345),ISNUMBER(V345),N(V345)&gt;0,E345&lt;N(V345))),1,0))</f>
        <v>0</v>
      </c>
      <c r="Z345" s="96">
        <f>IF(AND(Q345=1,T345=1,X345=1,J345="Sim",OR(L345&lt;&gt;"",M345&lt;&gt;"")),1,0)</f>
        <v>0</v>
      </c>
      <c r="AA345" s="96">
        <f>IF(Q345=0,0,IF(AND(OR(r_ini="",AND(ISNUMBER(E345),E345&gt;=r_ini)),OR(r_fim="",AND(ISNUMBER(E345),E345&lt;=r_fim)),OR(r_un="",r_un="(Todas)",IF(N(U345)&gt;0,INDEX('MTRs'!$G$6:$G$505,U345),"")=r_un),OR(r_de="",r_de="(Todos)",D345=r_de)),1,0))</f>
        <v>0</v>
      </c>
      <c r="AB345" s="96" t="str">
        <f>IF(AA345=1,COUNTIF($AA$6:AA345,1),"")</f>
        <v/>
      </c>
    </row>
    <row r="346">
      <c r="A346" s="89" t="inlineStr">
        <is>
          <t>REC-000341</t>
        </is>
      </c>
      <c r="B346" s="94" t="str">
        <f>IF(T346=1,INDEX('ITENS_MTR'!$S$6:$S$1005,S346)&amp;"","")</f>
        <v/>
      </c>
      <c r="C346" s="91" t="n"/>
      <c r="D346" s="94" t="str">
        <f>IF(N(U346)&gt;0,INDEX('MTRs'!$I$6:$I$505,U346)&amp;"","")</f>
        <v/>
      </c>
      <c r="E346" s="92" t="n"/>
      <c r="F346" s="98" t="n"/>
      <c r="G346" s="91" t="n"/>
      <c r="H346" s="93" t="str">
        <f>IF(Q346=0,"",IF(NOT(ISNUMBER(F346)),"",IF(ISNUMBER(W346),F346*W346,"UNIDADE A CONFERIR")))</f>
        <v/>
      </c>
      <c r="I346" s="91" t="n"/>
      <c r="J346" s="91" t="n"/>
      <c r="K346" s="92" t="n"/>
      <c r="L346" s="91" t="n"/>
      <c r="M346" s="91" t="n"/>
      <c r="N346" s="91" t="n"/>
      <c r="O346" s="91" t="n"/>
      <c r="P346" s="94" t="str">
        <f>IF(Q346=0,"",IF(C346="","Item de resíduo não informado",IF(T346=0,"Item inexistente (referência inválida)",IF(NOT(ISNUMBER(F346)),"Quantidade não informada",IF(F346&lt;=0,"Quantidade não positiva",IF(G346="","Unidade não informada",IF(NOT(ISNUMBER(H346)),"Unidade a conferir",IF(NOT(ISNUMBER(E346)),"Data de recebimento não informada",IF(AND(ISNUMBER(V346),N(V346)&gt;0,E346&lt;N(V346)),"Data anterior à emissão do MTR",IF(AND(J346="Sim",L346="",M346=""),"Conferido sem evidência identificada",IF(J346&lt;&gt;"Sim","Aguardando conferência",IF(INDEX('ITENS_MTR'!$AM$6:$AM$1005,S346)=1,"Conferido (ver diferença no item)","Conferido"))))))))))))</f>
        <v/>
      </c>
      <c r="Q346" s="96">
        <f>IF(COUNTA(C346,E346:G346,I346:O346)&gt;0,1,0)</f>
        <v>0</v>
      </c>
      <c r="R346" s="96" t="str">
        <f>IF(C346="","",TRIM(LEFT(C346,FIND(" |",C346&amp;" |")-1)))</f>
        <v/>
      </c>
      <c r="S346" s="96" t="str">
        <f>IF(R346="","",IFERROR(MATCH(R346,'ITENS_MTR'!$A$6:$A$1005,0),""))</f>
        <v/>
      </c>
      <c r="T346" s="96">
        <f>IF(S346="",0,IF(INDEX('ITENS_MTR'!$R$6:$R$1005,S346)=1,1,0))</f>
        <v>0</v>
      </c>
      <c r="U346" s="96" t="str">
        <f>IF(T346=1,INDEX('ITENS_MTR'!$T$6:$T$1005,S346),"")</f>
        <v/>
      </c>
      <c r="V346" s="97" t="str">
        <f>IF(N(U346)&gt;0,INDEX('MTRs'!$E$6:$E$505,U346),"")</f>
        <v/>
      </c>
      <c r="W346" s="96" t="str">
        <f>IF(G346="","",IFERROR(IF(ISNUMBER(INDEX(cfg_fac,MATCH(G346,cfg_units,0))),IF(INDEX(cfg_fac,MATCH(G346,cfg_units,0))&gt;0,INDEX(cfg_fac,MATCH(G346,cfg_units,0)),""),""),""))</f>
        <v/>
      </c>
      <c r="X346" s="96">
        <f>IF(AND(ISNUMBER(F346),ISNUMBER(H346)),IF(H346&gt;0,1,0),0)</f>
        <v>0</v>
      </c>
      <c r="Y346" s="96">
        <f>IF(Q346=0,0,IF(OR(T346=0,X346=0,NOT(ISNUMBER(E346)),AND(J346="Sim",L346="",M346=""),AND(ISNUMBER(E346),ISNUMBER(V346),N(V346)&gt;0,E346&lt;N(V346))),1,0))</f>
        <v>0</v>
      </c>
      <c r="Z346" s="96">
        <f>IF(AND(Q346=1,T346=1,X346=1,J346="Sim",OR(L346&lt;&gt;"",M346&lt;&gt;"")),1,0)</f>
        <v>0</v>
      </c>
      <c r="AA346" s="96">
        <f>IF(Q346=0,0,IF(AND(OR(r_ini="",AND(ISNUMBER(E346),E346&gt;=r_ini)),OR(r_fim="",AND(ISNUMBER(E346),E346&lt;=r_fim)),OR(r_un="",r_un="(Todas)",IF(N(U346)&gt;0,INDEX('MTRs'!$G$6:$G$505,U346),"")=r_un),OR(r_de="",r_de="(Todos)",D346=r_de)),1,0))</f>
        <v>0</v>
      </c>
      <c r="AB346" s="96" t="str">
        <f>IF(AA346=1,COUNTIF($AA$6:AA346,1),"")</f>
        <v/>
      </c>
    </row>
    <row r="347">
      <c r="A347" s="89" t="inlineStr">
        <is>
          <t>REC-000342</t>
        </is>
      </c>
      <c r="B347" s="94" t="str">
        <f>IF(T347=1,INDEX('ITENS_MTR'!$S$6:$S$1005,S347)&amp;"","")</f>
        <v/>
      </c>
      <c r="C347" s="91" t="n"/>
      <c r="D347" s="94" t="str">
        <f>IF(N(U347)&gt;0,INDEX('MTRs'!$I$6:$I$505,U347)&amp;"","")</f>
        <v/>
      </c>
      <c r="E347" s="92" t="n"/>
      <c r="F347" s="98" t="n"/>
      <c r="G347" s="91" t="n"/>
      <c r="H347" s="93" t="str">
        <f>IF(Q347=0,"",IF(NOT(ISNUMBER(F347)),"",IF(ISNUMBER(W347),F347*W347,"UNIDADE A CONFERIR")))</f>
        <v/>
      </c>
      <c r="I347" s="91" t="n"/>
      <c r="J347" s="91" t="n"/>
      <c r="K347" s="92" t="n"/>
      <c r="L347" s="91" t="n"/>
      <c r="M347" s="91" t="n"/>
      <c r="N347" s="91" t="n"/>
      <c r="O347" s="91" t="n"/>
      <c r="P347" s="94" t="str">
        <f>IF(Q347=0,"",IF(C347="","Item de resíduo não informado",IF(T347=0,"Item inexistente (referência inválida)",IF(NOT(ISNUMBER(F347)),"Quantidade não informada",IF(F347&lt;=0,"Quantidade não positiva",IF(G347="","Unidade não informada",IF(NOT(ISNUMBER(H347)),"Unidade a conferir",IF(NOT(ISNUMBER(E347)),"Data de recebimento não informada",IF(AND(ISNUMBER(V347),N(V347)&gt;0,E347&lt;N(V347)),"Data anterior à emissão do MTR",IF(AND(J347="Sim",L347="",M347=""),"Conferido sem evidência identificada",IF(J347&lt;&gt;"Sim","Aguardando conferência",IF(INDEX('ITENS_MTR'!$AM$6:$AM$1005,S347)=1,"Conferido (ver diferença no item)","Conferido"))))))))))))</f>
        <v/>
      </c>
      <c r="Q347" s="96">
        <f>IF(COUNTA(C347,E347:G347,I347:O347)&gt;0,1,0)</f>
        <v>0</v>
      </c>
      <c r="R347" s="96" t="str">
        <f>IF(C347="","",TRIM(LEFT(C347,FIND(" |",C347&amp;" |")-1)))</f>
        <v/>
      </c>
      <c r="S347" s="96" t="str">
        <f>IF(R347="","",IFERROR(MATCH(R347,'ITENS_MTR'!$A$6:$A$1005,0),""))</f>
        <v/>
      </c>
      <c r="T347" s="96">
        <f>IF(S347="",0,IF(INDEX('ITENS_MTR'!$R$6:$R$1005,S347)=1,1,0))</f>
        <v>0</v>
      </c>
      <c r="U347" s="96" t="str">
        <f>IF(T347=1,INDEX('ITENS_MTR'!$T$6:$T$1005,S347),"")</f>
        <v/>
      </c>
      <c r="V347" s="97" t="str">
        <f>IF(N(U347)&gt;0,INDEX('MTRs'!$E$6:$E$505,U347),"")</f>
        <v/>
      </c>
      <c r="W347" s="96" t="str">
        <f>IF(G347="","",IFERROR(IF(ISNUMBER(INDEX(cfg_fac,MATCH(G347,cfg_units,0))),IF(INDEX(cfg_fac,MATCH(G347,cfg_units,0))&gt;0,INDEX(cfg_fac,MATCH(G347,cfg_units,0)),""),""),""))</f>
        <v/>
      </c>
      <c r="X347" s="96">
        <f>IF(AND(ISNUMBER(F347),ISNUMBER(H347)),IF(H347&gt;0,1,0),0)</f>
        <v>0</v>
      </c>
      <c r="Y347" s="96">
        <f>IF(Q347=0,0,IF(OR(T347=0,X347=0,NOT(ISNUMBER(E347)),AND(J347="Sim",L347="",M347=""),AND(ISNUMBER(E347),ISNUMBER(V347),N(V347)&gt;0,E347&lt;N(V347))),1,0))</f>
        <v>0</v>
      </c>
      <c r="Z347" s="96">
        <f>IF(AND(Q347=1,T347=1,X347=1,J347="Sim",OR(L347&lt;&gt;"",M347&lt;&gt;"")),1,0)</f>
        <v>0</v>
      </c>
      <c r="AA347" s="96">
        <f>IF(Q347=0,0,IF(AND(OR(r_ini="",AND(ISNUMBER(E347),E347&gt;=r_ini)),OR(r_fim="",AND(ISNUMBER(E347),E347&lt;=r_fim)),OR(r_un="",r_un="(Todas)",IF(N(U347)&gt;0,INDEX('MTRs'!$G$6:$G$505,U347),"")=r_un),OR(r_de="",r_de="(Todos)",D347=r_de)),1,0))</f>
        <v>0</v>
      </c>
      <c r="AB347" s="96" t="str">
        <f>IF(AA347=1,COUNTIF($AA$6:AA347,1),"")</f>
        <v/>
      </c>
    </row>
    <row r="348">
      <c r="A348" s="89" t="inlineStr">
        <is>
          <t>REC-000343</t>
        </is>
      </c>
      <c r="B348" s="94" t="str">
        <f>IF(T348=1,INDEX('ITENS_MTR'!$S$6:$S$1005,S348)&amp;"","")</f>
        <v/>
      </c>
      <c r="C348" s="91" t="n"/>
      <c r="D348" s="94" t="str">
        <f>IF(N(U348)&gt;0,INDEX('MTRs'!$I$6:$I$505,U348)&amp;"","")</f>
        <v/>
      </c>
      <c r="E348" s="92" t="n"/>
      <c r="F348" s="98" t="n"/>
      <c r="G348" s="91" t="n"/>
      <c r="H348" s="93" t="str">
        <f>IF(Q348=0,"",IF(NOT(ISNUMBER(F348)),"",IF(ISNUMBER(W348),F348*W348,"UNIDADE A CONFERIR")))</f>
        <v/>
      </c>
      <c r="I348" s="91" t="n"/>
      <c r="J348" s="91" t="n"/>
      <c r="K348" s="92" t="n"/>
      <c r="L348" s="91" t="n"/>
      <c r="M348" s="91" t="n"/>
      <c r="N348" s="91" t="n"/>
      <c r="O348" s="91" t="n"/>
      <c r="P348" s="94" t="str">
        <f>IF(Q348=0,"",IF(C348="","Item de resíduo não informado",IF(T348=0,"Item inexistente (referência inválida)",IF(NOT(ISNUMBER(F348)),"Quantidade não informada",IF(F348&lt;=0,"Quantidade não positiva",IF(G348="","Unidade não informada",IF(NOT(ISNUMBER(H348)),"Unidade a conferir",IF(NOT(ISNUMBER(E348)),"Data de recebimento não informada",IF(AND(ISNUMBER(V348),N(V348)&gt;0,E348&lt;N(V348)),"Data anterior à emissão do MTR",IF(AND(J348="Sim",L348="",M348=""),"Conferido sem evidência identificada",IF(J348&lt;&gt;"Sim","Aguardando conferência",IF(INDEX('ITENS_MTR'!$AM$6:$AM$1005,S348)=1,"Conferido (ver diferença no item)","Conferido"))))))))))))</f>
        <v/>
      </c>
      <c r="Q348" s="96">
        <f>IF(COUNTA(C348,E348:G348,I348:O348)&gt;0,1,0)</f>
        <v>0</v>
      </c>
      <c r="R348" s="96" t="str">
        <f>IF(C348="","",TRIM(LEFT(C348,FIND(" |",C348&amp;" |")-1)))</f>
        <v/>
      </c>
      <c r="S348" s="96" t="str">
        <f>IF(R348="","",IFERROR(MATCH(R348,'ITENS_MTR'!$A$6:$A$1005,0),""))</f>
        <v/>
      </c>
      <c r="T348" s="96">
        <f>IF(S348="",0,IF(INDEX('ITENS_MTR'!$R$6:$R$1005,S348)=1,1,0))</f>
        <v>0</v>
      </c>
      <c r="U348" s="96" t="str">
        <f>IF(T348=1,INDEX('ITENS_MTR'!$T$6:$T$1005,S348),"")</f>
        <v/>
      </c>
      <c r="V348" s="97" t="str">
        <f>IF(N(U348)&gt;0,INDEX('MTRs'!$E$6:$E$505,U348),"")</f>
        <v/>
      </c>
      <c r="W348" s="96" t="str">
        <f>IF(G348="","",IFERROR(IF(ISNUMBER(INDEX(cfg_fac,MATCH(G348,cfg_units,0))),IF(INDEX(cfg_fac,MATCH(G348,cfg_units,0))&gt;0,INDEX(cfg_fac,MATCH(G348,cfg_units,0)),""),""),""))</f>
        <v/>
      </c>
      <c r="X348" s="96">
        <f>IF(AND(ISNUMBER(F348),ISNUMBER(H348)),IF(H348&gt;0,1,0),0)</f>
        <v>0</v>
      </c>
      <c r="Y348" s="96">
        <f>IF(Q348=0,0,IF(OR(T348=0,X348=0,NOT(ISNUMBER(E348)),AND(J348="Sim",L348="",M348=""),AND(ISNUMBER(E348),ISNUMBER(V348),N(V348)&gt;0,E348&lt;N(V348))),1,0))</f>
        <v>0</v>
      </c>
      <c r="Z348" s="96">
        <f>IF(AND(Q348=1,T348=1,X348=1,J348="Sim",OR(L348&lt;&gt;"",M348&lt;&gt;"")),1,0)</f>
        <v>0</v>
      </c>
      <c r="AA348" s="96">
        <f>IF(Q348=0,0,IF(AND(OR(r_ini="",AND(ISNUMBER(E348),E348&gt;=r_ini)),OR(r_fim="",AND(ISNUMBER(E348),E348&lt;=r_fim)),OR(r_un="",r_un="(Todas)",IF(N(U348)&gt;0,INDEX('MTRs'!$G$6:$G$505,U348),"")=r_un),OR(r_de="",r_de="(Todos)",D348=r_de)),1,0))</f>
        <v>0</v>
      </c>
      <c r="AB348" s="96" t="str">
        <f>IF(AA348=1,COUNTIF($AA$6:AA348,1),"")</f>
        <v/>
      </c>
    </row>
    <row r="349">
      <c r="A349" s="89" t="inlineStr">
        <is>
          <t>REC-000344</t>
        </is>
      </c>
      <c r="B349" s="94" t="str">
        <f>IF(T349=1,INDEX('ITENS_MTR'!$S$6:$S$1005,S349)&amp;"","")</f>
        <v/>
      </c>
      <c r="C349" s="91" t="n"/>
      <c r="D349" s="94" t="str">
        <f>IF(N(U349)&gt;0,INDEX('MTRs'!$I$6:$I$505,U349)&amp;"","")</f>
        <v/>
      </c>
      <c r="E349" s="92" t="n"/>
      <c r="F349" s="98" t="n"/>
      <c r="G349" s="91" t="n"/>
      <c r="H349" s="93" t="str">
        <f>IF(Q349=0,"",IF(NOT(ISNUMBER(F349)),"",IF(ISNUMBER(W349),F349*W349,"UNIDADE A CONFERIR")))</f>
        <v/>
      </c>
      <c r="I349" s="91" t="n"/>
      <c r="J349" s="91" t="n"/>
      <c r="K349" s="92" t="n"/>
      <c r="L349" s="91" t="n"/>
      <c r="M349" s="91" t="n"/>
      <c r="N349" s="91" t="n"/>
      <c r="O349" s="91" t="n"/>
      <c r="P349" s="94" t="str">
        <f>IF(Q349=0,"",IF(C349="","Item de resíduo não informado",IF(T349=0,"Item inexistente (referência inválida)",IF(NOT(ISNUMBER(F349)),"Quantidade não informada",IF(F349&lt;=0,"Quantidade não positiva",IF(G349="","Unidade não informada",IF(NOT(ISNUMBER(H349)),"Unidade a conferir",IF(NOT(ISNUMBER(E349)),"Data de recebimento não informada",IF(AND(ISNUMBER(V349),N(V349)&gt;0,E349&lt;N(V349)),"Data anterior à emissão do MTR",IF(AND(J349="Sim",L349="",M349=""),"Conferido sem evidência identificada",IF(J349&lt;&gt;"Sim","Aguardando conferência",IF(INDEX('ITENS_MTR'!$AM$6:$AM$1005,S349)=1,"Conferido (ver diferença no item)","Conferido"))))))))))))</f>
        <v/>
      </c>
      <c r="Q349" s="96">
        <f>IF(COUNTA(C349,E349:G349,I349:O349)&gt;0,1,0)</f>
        <v>0</v>
      </c>
      <c r="R349" s="96" t="str">
        <f>IF(C349="","",TRIM(LEFT(C349,FIND(" |",C349&amp;" |")-1)))</f>
        <v/>
      </c>
      <c r="S349" s="96" t="str">
        <f>IF(R349="","",IFERROR(MATCH(R349,'ITENS_MTR'!$A$6:$A$1005,0),""))</f>
        <v/>
      </c>
      <c r="T349" s="96">
        <f>IF(S349="",0,IF(INDEX('ITENS_MTR'!$R$6:$R$1005,S349)=1,1,0))</f>
        <v>0</v>
      </c>
      <c r="U349" s="96" t="str">
        <f>IF(T349=1,INDEX('ITENS_MTR'!$T$6:$T$1005,S349),"")</f>
        <v/>
      </c>
      <c r="V349" s="97" t="str">
        <f>IF(N(U349)&gt;0,INDEX('MTRs'!$E$6:$E$505,U349),"")</f>
        <v/>
      </c>
      <c r="W349" s="96" t="str">
        <f>IF(G349="","",IFERROR(IF(ISNUMBER(INDEX(cfg_fac,MATCH(G349,cfg_units,0))),IF(INDEX(cfg_fac,MATCH(G349,cfg_units,0))&gt;0,INDEX(cfg_fac,MATCH(G349,cfg_units,0)),""),""),""))</f>
        <v/>
      </c>
      <c r="X349" s="96">
        <f>IF(AND(ISNUMBER(F349),ISNUMBER(H349)),IF(H349&gt;0,1,0),0)</f>
        <v>0</v>
      </c>
      <c r="Y349" s="96">
        <f>IF(Q349=0,0,IF(OR(T349=0,X349=0,NOT(ISNUMBER(E349)),AND(J349="Sim",L349="",M349=""),AND(ISNUMBER(E349),ISNUMBER(V349),N(V349)&gt;0,E349&lt;N(V349))),1,0))</f>
        <v>0</v>
      </c>
      <c r="Z349" s="96">
        <f>IF(AND(Q349=1,T349=1,X349=1,J349="Sim",OR(L349&lt;&gt;"",M349&lt;&gt;"")),1,0)</f>
        <v>0</v>
      </c>
      <c r="AA349" s="96">
        <f>IF(Q349=0,0,IF(AND(OR(r_ini="",AND(ISNUMBER(E349),E349&gt;=r_ini)),OR(r_fim="",AND(ISNUMBER(E349),E349&lt;=r_fim)),OR(r_un="",r_un="(Todas)",IF(N(U349)&gt;0,INDEX('MTRs'!$G$6:$G$505,U349),"")=r_un),OR(r_de="",r_de="(Todos)",D349=r_de)),1,0))</f>
        <v>0</v>
      </c>
      <c r="AB349" s="96" t="str">
        <f>IF(AA349=1,COUNTIF($AA$6:AA349,1),"")</f>
        <v/>
      </c>
    </row>
    <row r="350">
      <c r="A350" s="89" t="inlineStr">
        <is>
          <t>REC-000345</t>
        </is>
      </c>
      <c r="B350" s="94" t="str">
        <f>IF(T350=1,INDEX('ITENS_MTR'!$S$6:$S$1005,S350)&amp;"","")</f>
        <v/>
      </c>
      <c r="C350" s="91" t="n"/>
      <c r="D350" s="94" t="str">
        <f>IF(N(U350)&gt;0,INDEX('MTRs'!$I$6:$I$505,U350)&amp;"","")</f>
        <v/>
      </c>
      <c r="E350" s="92" t="n"/>
      <c r="F350" s="98" t="n"/>
      <c r="G350" s="91" t="n"/>
      <c r="H350" s="93" t="str">
        <f>IF(Q350=0,"",IF(NOT(ISNUMBER(F350)),"",IF(ISNUMBER(W350),F350*W350,"UNIDADE A CONFERIR")))</f>
        <v/>
      </c>
      <c r="I350" s="91" t="n"/>
      <c r="J350" s="91" t="n"/>
      <c r="K350" s="92" t="n"/>
      <c r="L350" s="91" t="n"/>
      <c r="M350" s="91" t="n"/>
      <c r="N350" s="91" t="n"/>
      <c r="O350" s="91" t="n"/>
      <c r="P350" s="94" t="str">
        <f>IF(Q350=0,"",IF(C350="","Item de resíduo não informado",IF(T350=0,"Item inexistente (referência inválida)",IF(NOT(ISNUMBER(F350)),"Quantidade não informada",IF(F350&lt;=0,"Quantidade não positiva",IF(G350="","Unidade não informada",IF(NOT(ISNUMBER(H350)),"Unidade a conferir",IF(NOT(ISNUMBER(E350)),"Data de recebimento não informada",IF(AND(ISNUMBER(V350),N(V350)&gt;0,E350&lt;N(V350)),"Data anterior à emissão do MTR",IF(AND(J350="Sim",L350="",M350=""),"Conferido sem evidência identificada",IF(J350&lt;&gt;"Sim","Aguardando conferência",IF(INDEX('ITENS_MTR'!$AM$6:$AM$1005,S350)=1,"Conferido (ver diferença no item)","Conferido"))))))))))))</f>
        <v/>
      </c>
      <c r="Q350" s="96">
        <f>IF(COUNTA(C350,E350:G350,I350:O350)&gt;0,1,0)</f>
        <v>0</v>
      </c>
      <c r="R350" s="96" t="str">
        <f>IF(C350="","",TRIM(LEFT(C350,FIND(" |",C350&amp;" |")-1)))</f>
        <v/>
      </c>
      <c r="S350" s="96" t="str">
        <f>IF(R350="","",IFERROR(MATCH(R350,'ITENS_MTR'!$A$6:$A$1005,0),""))</f>
        <v/>
      </c>
      <c r="T350" s="96">
        <f>IF(S350="",0,IF(INDEX('ITENS_MTR'!$R$6:$R$1005,S350)=1,1,0))</f>
        <v>0</v>
      </c>
      <c r="U350" s="96" t="str">
        <f>IF(T350=1,INDEX('ITENS_MTR'!$T$6:$T$1005,S350),"")</f>
        <v/>
      </c>
      <c r="V350" s="97" t="str">
        <f>IF(N(U350)&gt;0,INDEX('MTRs'!$E$6:$E$505,U350),"")</f>
        <v/>
      </c>
      <c r="W350" s="96" t="str">
        <f>IF(G350="","",IFERROR(IF(ISNUMBER(INDEX(cfg_fac,MATCH(G350,cfg_units,0))),IF(INDEX(cfg_fac,MATCH(G350,cfg_units,0))&gt;0,INDEX(cfg_fac,MATCH(G350,cfg_units,0)),""),""),""))</f>
        <v/>
      </c>
      <c r="X350" s="96">
        <f>IF(AND(ISNUMBER(F350),ISNUMBER(H350)),IF(H350&gt;0,1,0),0)</f>
        <v>0</v>
      </c>
      <c r="Y350" s="96">
        <f>IF(Q350=0,0,IF(OR(T350=0,X350=0,NOT(ISNUMBER(E350)),AND(J350="Sim",L350="",M350=""),AND(ISNUMBER(E350),ISNUMBER(V350),N(V350)&gt;0,E350&lt;N(V350))),1,0))</f>
        <v>0</v>
      </c>
      <c r="Z350" s="96">
        <f>IF(AND(Q350=1,T350=1,X350=1,J350="Sim",OR(L350&lt;&gt;"",M350&lt;&gt;"")),1,0)</f>
        <v>0</v>
      </c>
      <c r="AA350" s="96">
        <f>IF(Q350=0,0,IF(AND(OR(r_ini="",AND(ISNUMBER(E350),E350&gt;=r_ini)),OR(r_fim="",AND(ISNUMBER(E350),E350&lt;=r_fim)),OR(r_un="",r_un="(Todas)",IF(N(U350)&gt;0,INDEX('MTRs'!$G$6:$G$505,U350),"")=r_un),OR(r_de="",r_de="(Todos)",D350=r_de)),1,0))</f>
        <v>0</v>
      </c>
      <c r="AB350" s="96" t="str">
        <f>IF(AA350=1,COUNTIF($AA$6:AA350,1),"")</f>
        <v/>
      </c>
    </row>
    <row r="351">
      <c r="A351" s="89" t="inlineStr">
        <is>
          <t>REC-000346</t>
        </is>
      </c>
      <c r="B351" s="94" t="str">
        <f>IF(T351=1,INDEX('ITENS_MTR'!$S$6:$S$1005,S351)&amp;"","")</f>
        <v/>
      </c>
      <c r="C351" s="91" t="n"/>
      <c r="D351" s="94" t="str">
        <f>IF(N(U351)&gt;0,INDEX('MTRs'!$I$6:$I$505,U351)&amp;"","")</f>
        <v/>
      </c>
      <c r="E351" s="92" t="n"/>
      <c r="F351" s="98" t="n"/>
      <c r="G351" s="91" t="n"/>
      <c r="H351" s="93" t="str">
        <f>IF(Q351=0,"",IF(NOT(ISNUMBER(F351)),"",IF(ISNUMBER(W351),F351*W351,"UNIDADE A CONFERIR")))</f>
        <v/>
      </c>
      <c r="I351" s="91" t="n"/>
      <c r="J351" s="91" t="n"/>
      <c r="K351" s="92" t="n"/>
      <c r="L351" s="91" t="n"/>
      <c r="M351" s="91" t="n"/>
      <c r="N351" s="91" t="n"/>
      <c r="O351" s="91" t="n"/>
      <c r="P351" s="94" t="str">
        <f>IF(Q351=0,"",IF(C351="","Item de resíduo não informado",IF(T351=0,"Item inexistente (referência inválida)",IF(NOT(ISNUMBER(F351)),"Quantidade não informada",IF(F351&lt;=0,"Quantidade não positiva",IF(G351="","Unidade não informada",IF(NOT(ISNUMBER(H351)),"Unidade a conferir",IF(NOT(ISNUMBER(E351)),"Data de recebimento não informada",IF(AND(ISNUMBER(V351),N(V351)&gt;0,E351&lt;N(V351)),"Data anterior à emissão do MTR",IF(AND(J351="Sim",L351="",M351=""),"Conferido sem evidência identificada",IF(J351&lt;&gt;"Sim","Aguardando conferência",IF(INDEX('ITENS_MTR'!$AM$6:$AM$1005,S351)=1,"Conferido (ver diferença no item)","Conferido"))))))))))))</f>
        <v/>
      </c>
      <c r="Q351" s="96">
        <f>IF(COUNTA(C351,E351:G351,I351:O351)&gt;0,1,0)</f>
        <v>0</v>
      </c>
      <c r="R351" s="96" t="str">
        <f>IF(C351="","",TRIM(LEFT(C351,FIND(" |",C351&amp;" |")-1)))</f>
        <v/>
      </c>
      <c r="S351" s="96" t="str">
        <f>IF(R351="","",IFERROR(MATCH(R351,'ITENS_MTR'!$A$6:$A$1005,0),""))</f>
        <v/>
      </c>
      <c r="T351" s="96">
        <f>IF(S351="",0,IF(INDEX('ITENS_MTR'!$R$6:$R$1005,S351)=1,1,0))</f>
        <v>0</v>
      </c>
      <c r="U351" s="96" t="str">
        <f>IF(T351=1,INDEX('ITENS_MTR'!$T$6:$T$1005,S351),"")</f>
        <v/>
      </c>
      <c r="V351" s="97" t="str">
        <f>IF(N(U351)&gt;0,INDEX('MTRs'!$E$6:$E$505,U351),"")</f>
        <v/>
      </c>
      <c r="W351" s="96" t="str">
        <f>IF(G351="","",IFERROR(IF(ISNUMBER(INDEX(cfg_fac,MATCH(G351,cfg_units,0))),IF(INDEX(cfg_fac,MATCH(G351,cfg_units,0))&gt;0,INDEX(cfg_fac,MATCH(G351,cfg_units,0)),""),""),""))</f>
        <v/>
      </c>
      <c r="X351" s="96">
        <f>IF(AND(ISNUMBER(F351),ISNUMBER(H351)),IF(H351&gt;0,1,0),0)</f>
        <v>0</v>
      </c>
      <c r="Y351" s="96">
        <f>IF(Q351=0,0,IF(OR(T351=0,X351=0,NOT(ISNUMBER(E351)),AND(J351="Sim",L351="",M351=""),AND(ISNUMBER(E351),ISNUMBER(V351),N(V351)&gt;0,E351&lt;N(V351))),1,0))</f>
        <v>0</v>
      </c>
      <c r="Z351" s="96">
        <f>IF(AND(Q351=1,T351=1,X351=1,J351="Sim",OR(L351&lt;&gt;"",M351&lt;&gt;"")),1,0)</f>
        <v>0</v>
      </c>
      <c r="AA351" s="96">
        <f>IF(Q351=0,0,IF(AND(OR(r_ini="",AND(ISNUMBER(E351),E351&gt;=r_ini)),OR(r_fim="",AND(ISNUMBER(E351),E351&lt;=r_fim)),OR(r_un="",r_un="(Todas)",IF(N(U351)&gt;0,INDEX('MTRs'!$G$6:$G$505,U351),"")=r_un),OR(r_de="",r_de="(Todos)",D351=r_de)),1,0))</f>
        <v>0</v>
      </c>
      <c r="AB351" s="96" t="str">
        <f>IF(AA351=1,COUNTIF($AA$6:AA351,1),"")</f>
        <v/>
      </c>
    </row>
    <row r="352">
      <c r="A352" s="89" t="inlineStr">
        <is>
          <t>REC-000347</t>
        </is>
      </c>
      <c r="B352" s="94" t="str">
        <f>IF(T352=1,INDEX('ITENS_MTR'!$S$6:$S$1005,S352)&amp;"","")</f>
        <v/>
      </c>
      <c r="C352" s="91" t="n"/>
      <c r="D352" s="94" t="str">
        <f>IF(N(U352)&gt;0,INDEX('MTRs'!$I$6:$I$505,U352)&amp;"","")</f>
        <v/>
      </c>
      <c r="E352" s="92" t="n"/>
      <c r="F352" s="98" t="n"/>
      <c r="G352" s="91" t="n"/>
      <c r="H352" s="93" t="str">
        <f>IF(Q352=0,"",IF(NOT(ISNUMBER(F352)),"",IF(ISNUMBER(W352),F352*W352,"UNIDADE A CONFERIR")))</f>
        <v/>
      </c>
      <c r="I352" s="91" t="n"/>
      <c r="J352" s="91" t="n"/>
      <c r="K352" s="92" t="n"/>
      <c r="L352" s="91" t="n"/>
      <c r="M352" s="91" t="n"/>
      <c r="N352" s="91" t="n"/>
      <c r="O352" s="91" t="n"/>
      <c r="P352" s="94" t="str">
        <f>IF(Q352=0,"",IF(C352="","Item de resíduo não informado",IF(T352=0,"Item inexistente (referência inválida)",IF(NOT(ISNUMBER(F352)),"Quantidade não informada",IF(F352&lt;=0,"Quantidade não positiva",IF(G352="","Unidade não informada",IF(NOT(ISNUMBER(H352)),"Unidade a conferir",IF(NOT(ISNUMBER(E352)),"Data de recebimento não informada",IF(AND(ISNUMBER(V352),N(V352)&gt;0,E352&lt;N(V352)),"Data anterior à emissão do MTR",IF(AND(J352="Sim",L352="",M352=""),"Conferido sem evidência identificada",IF(J352&lt;&gt;"Sim","Aguardando conferência",IF(INDEX('ITENS_MTR'!$AM$6:$AM$1005,S352)=1,"Conferido (ver diferença no item)","Conferido"))))))))))))</f>
        <v/>
      </c>
      <c r="Q352" s="96">
        <f>IF(COUNTA(C352,E352:G352,I352:O352)&gt;0,1,0)</f>
        <v>0</v>
      </c>
      <c r="R352" s="96" t="str">
        <f>IF(C352="","",TRIM(LEFT(C352,FIND(" |",C352&amp;" |")-1)))</f>
        <v/>
      </c>
      <c r="S352" s="96" t="str">
        <f>IF(R352="","",IFERROR(MATCH(R352,'ITENS_MTR'!$A$6:$A$1005,0),""))</f>
        <v/>
      </c>
      <c r="T352" s="96">
        <f>IF(S352="",0,IF(INDEX('ITENS_MTR'!$R$6:$R$1005,S352)=1,1,0))</f>
        <v>0</v>
      </c>
      <c r="U352" s="96" t="str">
        <f>IF(T352=1,INDEX('ITENS_MTR'!$T$6:$T$1005,S352),"")</f>
        <v/>
      </c>
      <c r="V352" s="97" t="str">
        <f>IF(N(U352)&gt;0,INDEX('MTRs'!$E$6:$E$505,U352),"")</f>
        <v/>
      </c>
      <c r="W352" s="96" t="str">
        <f>IF(G352="","",IFERROR(IF(ISNUMBER(INDEX(cfg_fac,MATCH(G352,cfg_units,0))),IF(INDEX(cfg_fac,MATCH(G352,cfg_units,0))&gt;0,INDEX(cfg_fac,MATCH(G352,cfg_units,0)),""),""),""))</f>
        <v/>
      </c>
      <c r="X352" s="96">
        <f>IF(AND(ISNUMBER(F352),ISNUMBER(H352)),IF(H352&gt;0,1,0),0)</f>
        <v>0</v>
      </c>
      <c r="Y352" s="96">
        <f>IF(Q352=0,0,IF(OR(T352=0,X352=0,NOT(ISNUMBER(E352)),AND(J352="Sim",L352="",M352=""),AND(ISNUMBER(E352),ISNUMBER(V352),N(V352)&gt;0,E352&lt;N(V352))),1,0))</f>
        <v>0</v>
      </c>
      <c r="Z352" s="96">
        <f>IF(AND(Q352=1,T352=1,X352=1,J352="Sim",OR(L352&lt;&gt;"",M352&lt;&gt;"")),1,0)</f>
        <v>0</v>
      </c>
      <c r="AA352" s="96">
        <f>IF(Q352=0,0,IF(AND(OR(r_ini="",AND(ISNUMBER(E352),E352&gt;=r_ini)),OR(r_fim="",AND(ISNUMBER(E352),E352&lt;=r_fim)),OR(r_un="",r_un="(Todas)",IF(N(U352)&gt;0,INDEX('MTRs'!$G$6:$G$505,U352),"")=r_un),OR(r_de="",r_de="(Todos)",D352=r_de)),1,0))</f>
        <v>0</v>
      </c>
      <c r="AB352" s="96" t="str">
        <f>IF(AA352=1,COUNTIF($AA$6:AA352,1),"")</f>
        <v/>
      </c>
    </row>
    <row r="353">
      <c r="A353" s="89" t="inlineStr">
        <is>
          <t>REC-000348</t>
        </is>
      </c>
      <c r="B353" s="94" t="str">
        <f>IF(T353=1,INDEX('ITENS_MTR'!$S$6:$S$1005,S353)&amp;"","")</f>
        <v/>
      </c>
      <c r="C353" s="91" t="n"/>
      <c r="D353" s="94" t="str">
        <f>IF(N(U353)&gt;0,INDEX('MTRs'!$I$6:$I$505,U353)&amp;"","")</f>
        <v/>
      </c>
      <c r="E353" s="92" t="n"/>
      <c r="F353" s="98" t="n"/>
      <c r="G353" s="91" t="n"/>
      <c r="H353" s="93" t="str">
        <f>IF(Q353=0,"",IF(NOT(ISNUMBER(F353)),"",IF(ISNUMBER(W353),F353*W353,"UNIDADE A CONFERIR")))</f>
        <v/>
      </c>
      <c r="I353" s="91" t="n"/>
      <c r="J353" s="91" t="n"/>
      <c r="K353" s="92" t="n"/>
      <c r="L353" s="91" t="n"/>
      <c r="M353" s="91" t="n"/>
      <c r="N353" s="91" t="n"/>
      <c r="O353" s="91" t="n"/>
      <c r="P353" s="94" t="str">
        <f>IF(Q353=0,"",IF(C353="","Item de resíduo não informado",IF(T353=0,"Item inexistente (referência inválida)",IF(NOT(ISNUMBER(F353)),"Quantidade não informada",IF(F353&lt;=0,"Quantidade não positiva",IF(G353="","Unidade não informada",IF(NOT(ISNUMBER(H353)),"Unidade a conferir",IF(NOT(ISNUMBER(E353)),"Data de recebimento não informada",IF(AND(ISNUMBER(V353),N(V353)&gt;0,E353&lt;N(V353)),"Data anterior à emissão do MTR",IF(AND(J353="Sim",L353="",M353=""),"Conferido sem evidência identificada",IF(J353&lt;&gt;"Sim","Aguardando conferência",IF(INDEX('ITENS_MTR'!$AM$6:$AM$1005,S353)=1,"Conferido (ver diferença no item)","Conferido"))))))))))))</f>
        <v/>
      </c>
      <c r="Q353" s="96">
        <f>IF(COUNTA(C353,E353:G353,I353:O353)&gt;0,1,0)</f>
        <v>0</v>
      </c>
      <c r="R353" s="96" t="str">
        <f>IF(C353="","",TRIM(LEFT(C353,FIND(" |",C353&amp;" |")-1)))</f>
        <v/>
      </c>
      <c r="S353" s="96" t="str">
        <f>IF(R353="","",IFERROR(MATCH(R353,'ITENS_MTR'!$A$6:$A$1005,0),""))</f>
        <v/>
      </c>
      <c r="T353" s="96">
        <f>IF(S353="",0,IF(INDEX('ITENS_MTR'!$R$6:$R$1005,S353)=1,1,0))</f>
        <v>0</v>
      </c>
      <c r="U353" s="96" t="str">
        <f>IF(T353=1,INDEX('ITENS_MTR'!$T$6:$T$1005,S353),"")</f>
        <v/>
      </c>
      <c r="V353" s="97" t="str">
        <f>IF(N(U353)&gt;0,INDEX('MTRs'!$E$6:$E$505,U353),"")</f>
        <v/>
      </c>
      <c r="W353" s="96" t="str">
        <f>IF(G353="","",IFERROR(IF(ISNUMBER(INDEX(cfg_fac,MATCH(G353,cfg_units,0))),IF(INDEX(cfg_fac,MATCH(G353,cfg_units,0))&gt;0,INDEX(cfg_fac,MATCH(G353,cfg_units,0)),""),""),""))</f>
        <v/>
      </c>
      <c r="X353" s="96">
        <f>IF(AND(ISNUMBER(F353),ISNUMBER(H353)),IF(H353&gt;0,1,0),0)</f>
        <v>0</v>
      </c>
      <c r="Y353" s="96">
        <f>IF(Q353=0,0,IF(OR(T353=0,X353=0,NOT(ISNUMBER(E353)),AND(J353="Sim",L353="",M353=""),AND(ISNUMBER(E353),ISNUMBER(V353),N(V353)&gt;0,E353&lt;N(V353))),1,0))</f>
        <v>0</v>
      </c>
      <c r="Z353" s="96">
        <f>IF(AND(Q353=1,T353=1,X353=1,J353="Sim",OR(L353&lt;&gt;"",M353&lt;&gt;"")),1,0)</f>
        <v>0</v>
      </c>
      <c r="AA353" s="96">
        <f>IF(Q353=0,0,IF(AND(OR(r_ini="",AND(ISNUMBER(E353),E353&gt;=r_ini)),OR(r_fim="",AND(ISNUMBER(E353),E353&lt;=r_fim)),OR(r_un="",r_un="(Todas)",IF(N(U353)&gt;0,INDEX('MTRs'!$G$6:$G$505,U353),"")=r_un),OR(r_de="",r_de="(Todos)",D353=r_de)),1,0))</f>
        <v>0</v>
      </c>
      <c r="AB353" s="96" t="str">
        <f>IF(AA353=1,COUNTIF($AA$6:AA353,1),"")</f>
        <v/>
      </c>
    </row>
    <row r="354">
      <c r="A354" s="89" t="inlineStr">
        <is>
          <t>REC-000349</t>
        </is>
      </c>
      <c r="B354" s="94" t="str">
        <f>IF(T354=1,INDEX('ITENS_MTR'!$S$6:$S$1005,S354)&amp;"","")</f>
        <v/>
      </c>
      <c r="C354" s="91" t="n"/>
      <c r="D354" s="94" t="str">
        <f>IF(N(U354)&gt;0,INDEX('MTRs'!$I$6:$I$505,U354)&amp;"","")</f>
        <v/>
      </c>
      <c r="E354" s="92" t="n"/>
      <c r="F354" s="98" t="n"/>
      <c r="G354" s="91" t="n"/>
      <c r="H354" s="93" t="str">
        <f>IF(Q354=0,"",IF(NOT(ISNUMBER(F354)),"",IF(ISNUMBER(W354),F354*W354,"UNIDADE A CONFERIR")))</f>
        <v/>
      </c>
      <c r="I354" s="91" t="n"/>
      <c r="J354" s="91" t="n"/>
      <c r="K354" s="92" t="n"/>
      <c r="L354" s="91" t="n"/>
      <c r="M354" s="91" t="n"/>
      <c r="N354" s="91" t="n"/>
      <c r="O354" s="91" t="n"/>
      <c r="P354" s="94" t="str">
        <f>IF(Q354=0,"",IF(C354="","Item de resíduo não informado",IF(T354=0,"Item inexistente (referência inválida)",IF(NOT(ISNUMBER(F354)),"Quantidade não informada",IF(F354&lt;=0,"Quantidade não positiva",IF(G354="","Unidade não informada",IF(NOT(ISNUMBER(H354)),"Unidade a conferir",IF(NOT(ISNUMBER(E354)),"Data de recebimento não informada",IF(AND(ISNUMBER(V354),N(V354)&gt;0,E354&lt;N(V354)),"Data anterior à emissão do MTR",IF(AND(J354="Sim",L354="",M354=""),"Conferido sem evidência identificada",IF(J354&lt;&gt;"Sim","Aguardando conferência",IF(INDEX('ITENS_MTR'!$AM$6:$AM$1005,S354)=1,"Conferido (ver diferença no item)","Conferido"))))))))))))</f>
        <v/>
      </c>
      <c r="Q354" s="96">
        <f>IF(COUNTA(C354,E354:G354,I354:O354)&gt;0,1,0)</f>
        <v>0</v>
      </c>
      <c r="R354" s="96" t="str">
        <f>IF(C354="","",TRIM(LEFT(C354,FIND(" |",C354&amp;" |")-1)))</f>
        <v/>
      </c>
      <c r="S354" s="96" t="str">
        <f>IF(R354="","",IFERROR(MATCH(R354,'ITENS_MTR'!$A$6:$A$1005,0),""))</f>
        <v/>
      </c>
      <c r="T354" s="96">
        <f>IF(S354="",0,IF(INDEX('ITENS_MTR'!$R$6:$R$1005,S354)=1,1,0))</f>
        <v>0</v>
      </c>
      <c r="U354" s="96" t="str">
        <f>IF(T354=1,INDEX('ITENS_MTR'!$T$6:$T$1005,S354),"")</f>
        <v/>
      </c>
      <c r="V354" s="97" t="str">
        <f>IF(N(U354)&gt;0,INDEX('MTRs'!$E$6:$E$505,U354),"")</f>
        <v/>
      </c>
      <c r="W354" s="96" t="str">
        <f>IF(G354="","",IFERROR(IF(ISNUMBER(INDEX(cfg_fac,MATCH(G354,cfg_units,0))),IF(INDEX(cfg_fac,MATCH(G354,cfg_units,0))&gt;0,INDEX(cfg_fac,MATCH(G354,cfg_units,0)),""),""),""))</f>
        <v/>
      </c>
      <c r="X354" s="96">
        <f>IF(AND(ISNUMBER(F354),ISNUMBER(H354)),IF(H354&gt;0,1,0),0)</f>
        <v>0</v>
      </c>
      <c r="Y354" s="96">
        <f>IF(Q354=0,0,IF(OR(T354=0,X354=0,NOT(ISNUMBER(E354)),AND(J354="Sim",L354="",M354=""),AND(ISNUMBER(E354),ISNUMBER(V354),N(V354)&gt;0,E354&lt;N(V354))),1,0))</f>
        <v>0</v>
      </c>
      <c r="Z354" s="96">
        <f>IF(AND(Q354=1,T354=1,X354=1,J354="Sim",OR(L354&lt;&gt;"",M354&lt;&gt;"")),1,0)</f>
        <v>0</v>
      </c>
      <c r="AA354" s="96">
        <f>IF(Q354=0,0,IF(AND(OR(r_ini="",AND(ISNUMBER(E354),E354&gt;=r_ini)),OR(r_fim="",AND(ISNUMBER(E354),E354&lt;=r_fim)),OR(r_un="",r_un="(Todas)",IF(N(U354)&gt;0,INDEX('MTRs'!$G$6:$G$505,U354),"")=r_un),OR(r_de="",r_de="(Todos)",D354=r_de)),1,0))</f>
        <v>0</v>
      </c>
      <c r="AB354" s="96" t="str">
        <f>IF(AA354=1,COUNTIF($AA$6:AA354,1),"")</f>
        <v/>
      </c>
    </row>
    <row r="355">
      <c r="A355" s="89" t="inlineStr">
        <is>
          <t>REC-000350</t>
        </is>
      </c>
      <c r="B355" s="94" t="str">
        <f>IF(T355=1,INDEX('ITENS_MTR'!$S$6:$S$1005,S355)&amp;"","")</f>
        <v/>
      </c>
      <c r="C355" s="91" t="n"/>
      <c r="D355" s="94" t="str">
        <f>IF(N(U355)&gt;0,INDEX('MTRs'!$I$6:$I$505,U355)&amp;"","")</f>
        <v/>
      </c>
      <c r="E355" s="92" t="n"/>
      <c r="F355" s="98" t="n"/>
      <c r="G355" s="91" t="n"/>
      <c r="H355" s="93" t="str">
        <f>IF(Q355=0,"",IF(NOT(ISNUMBER(F355)),"",IF(ISNUMBER(W355),F355*W355,"UNIDADE A CONFERIR")))</f>
        <v/>
      </c>
      <c r="I355" s="91" t="n"/>
      <c r="J355" s="91" t="n"/>
      <c r="K355" s="92" t="n"/>
      <c r="L355" s="91" t="n"/>
      <c r="M355" s="91" t="n"/>
      <c r="N355" s="91" t="n"/>
      <c r="O355" s="91" t="n"/>
      <c r="P355" s="94" t="str">
        <f>IF(Q355=0,"",IF(C355="","Item de resíduo não informado",IF(T355=0,"Item inexistente (referência inválida)",IF(NOT(ISNUMBER(F355)),"Quantidade não informada",IF(F355&lt;=0,"Quantidade não positiva",IF(G355="","Unidade não informada",IF(NOT(ISNUMBER(H355)),"Unidade a conferir",IF(NOT(ISNUMBER(E355)),"Data de recebimento não informada",IF(AND(ISNUMBER(V355),N(V355)&gt;0,E355&lt;N(V355)),"Data anterior à emissão do MTR",IF(AND(J355="Sim",L355="",M355=""),"Conferido sem evidência identificada",IF(J355&lt;&gt;"Sim","Aguardando conferência",IF(INDEX('ITENS_MTR'!$AM$6:$AM$1005,S355)=1,"Conferido (ver diferença no item)","Conferido"))))))))))))</f>
        <v/>
      </c>
      <c r="Q355" s="96">
        <f>IF(COUNTA(C355,E355:G355,I355:O355)&gt;0,1,0)</f>
        <v>0</v>
      </c>
      <c r="R355" s="96" t="str">
        <f>IF(C355="","",TRIM(LEFT(C355,FIND(" |",C355&amp;" |")-1)))</f>
        <v/>
      </c>
      <c r="S355" s="96" t="str">
        <f>IF(R355="","",IFERROR(MATCH(R355,'ITENS_MTR'!$A$6:$A$1005,0),""))</f>
        <v/>
      </c>
      <c r="T355" s="96">
        <f>IF(S355="",0,IF(INDEX('ITENS_MTR'!$R$6:$R$1005,S355)=1,1,0))</f>
        <v>0</v>
      </c>
      <c r="U355" s="96" t="str">
        <f>IF(T355=1,INDEX('ITENS_MTR'!$T$6:$T$1005,S355),"")</f>
        <v/>
      </c>
      <c r="V355" s="97" t="str">
        <f>IF(N(U355)&gt;0,INDEX('MTRs'!$E$6:$E$505,U355),"")</f>
        <v/>
      </c>
      <c r="W355" s="96" t="str">
        <f>IF(G355="","",IFERROR(IF(ISNUMBER(INDEX(cfg_fac,MATCH(G355,cfg_units,0))),IF(INDEX(cfg_fac,MATCH(G355,cfg_units,0))&gt;0,INDEX(cfg_fac,MATCH(G355,cfg_units,0)),""),""),""))</f>
        <v/>
      </c>
      <c r="X355" s="96">
        <f>IF(AND(ISNUMBER(F355),ISNUMBER(H355)),IF(H355&gt;0,1,0),0)</f>
        <v>0</v>
      </c>
      <c r="Y355" s="96">
        <f>IF(Q355=0,0,IF(OR(T355=0,X355=0,NOT(ISNUMBER(E355)),AND(J355="Sim",L355="",M355=""),AND(ISNUMBER(E355),ISNUMBER(V355),N(V355)&gt;0,E355&lt;N(V355))),1,0))</f>
        <v>0</v>
      </c>
      <c r="Z355" s="96">
        <f>IF(AND(Q355=1,T355=1,X355=1,J355="Sim",OR(L355&lt;&gt;"",M355&lt;&gt;"")),1,0)</f>
        <v>0</v>
      </c>
      <c r="AA355" s="96">
        <f>IF(Q355=0,0,IF(AND(OR(r_ini="",AND(ISNUMBER(E355),E355&gt;=r_ini)),OR(r_fim="",AND(ISNUMBER(E355),E355&lt;=r_fim)),OR(r_un="",r_un="(Todas)",IF(N(U355)&gt;0,INDEX('MTRs'!$G$6:$G$505,U355),"")=r_un),OR(r_de="",r_de="(Todos)",D355=r_de)),1,0))</f>
        <v>0</v>
      </c>
      <c r="AB355" s="96" t="str">
        <f>IF(AA355=1,COUNTIF($AA$6:AA355,1),"")</f>
        <v/>
      </c>
    </row>
    <row r="356">
      <c r="A356" s="89" t="inlineStr">
        <is>
          <t>REC-000351</t>
        </is>
      </c>
      <c r="B356" s="94" t="str">
        <f>IF(T356=1,INDEX('ITENS_MTR'!$S$6:$S$1005,S356)&amp;"","")</f>
        <v/>
      </c>
      <c r="C356" s="91" t="n"/>
      <c r="D356" s="94" t="str">
        <f>IF(N(U356)&gt;0,INDEX('MTRs'!$I$6:$I$505,U356)&amp;"","")</f>
        <v/>
      </c>
      <c r="E356" s="92" t="n"/>
      <c r="F356" s="98" t="n"/>
      <c r="G356" s="91" t="n"/>
      <c r="H356" s="93" t="str">
        <f>IF(Q356=0,"",IF(NOT(ISNUMBER(F356)),"",IF(ISNUMBER(W356),F356*W356,"UNIDADE A CONFERIR")))</f>
        <v/>
      </c>
      <c r="I356" s="91" t="n"/>
      <c r="J356" s="91" t="n"/>
      <c r="K356" s="92" t="n"/>
      <c r="L356" s="91" t="n"/>
      <c r="M356" s="91" t="n"/>
      <c r="N356" s="91" t="n"/>
      <c r="O356" s="91" t="n"/>
      <c r="P356" s="94" t="str">
        <f>IF(Q356=0,"",IF(C356="","Item de resíduo não informado",IF(T356=0,"Item inexistente (referência inválida)",IF(NOT(ISNUMBER(F356)),"Quantidade não informada",IF(F356&lt;=0,"Quantidade não positiva",IF(G356="","Unidade não informada",IF(NOT(ISNUMBER(H356)),"Unidade a conferir",IF(NOT(ISNUMBER(E356)),"Data de recebimento não informada",IF(AND(ISNUMBER(V356),N(V356)&gt;0,E356&lt;N(V356)),"Data anterior à emissão do MTR",IF(AND(J356="Sim",L356="",M356=""),"Conferido sem evidência identificada",IF(J356&lt;&gt;"Sim","Aguardando conferência",IF(INDEX('ITENS_MTR'!$AM$6:$AM$1005,S356)=1,"Conferido (ver diferença no item)","Conferido"))))))))))))</f>
        <v/>
      </c>
      <c r="Q356" s="96">
        <f>IF(COUNTA(C356,E356:G356,I356:O356)&gt;0,1,0)</f>
        <v>0</v>
      </c>
      <c r="R356" s="96" t="str">
        <f>IF(C356="","",TRIM(LEFT(C356,FIND(" |",C356&amp;" |")-1)))</f>
        <v/>
      </c>
      <c r="S356" s="96" t="str">
        <f>IF(R356="","",IFERROR(MATCH(R356,'ITENS_MTR'!$A$6:$A$1005,0),""))</f>
        <v/>
      </c>
      <c r="T356" s="96">
        <f>IF(S356="",0,IF(INDEX('ITENS_MTR'!$R$6:$R$1005,S356)=1,1,0))</f>
        <v>0</v>
      </c>
      <c r="U356" s="96" t="str">
        <f>IF(T356=1,INDEX('ITENS_MTR'!$T$6:$T$1005,S356),"")</f>
        <v/>
      </c>
      <c r="V356" s="97" t="str">
        <f>IF(N(U356)&gt;0,INDEX('MTRs'!$E$6:$E$505,U356),"")</f>
        <v/>
      </c>
      <c r="W356" s="96" t="str">
        <f>IF(G356="","",IFERROR(IF(ISNUMBER(INDEX(cfg_fac,MATCH(G356,cfg_units,0))),IF(INDEX(cfg_fac,MATCH(G356,cfg_units,0))&gt;0,INDEX(cfg_fac,MATCH(G356,cfg_units,0)),""),""),""))</f>
        <v/>
      </c>
      <c r="X356" s="96">
        <f>IF(AND(ISNUMBER(F356),ISNUMBER(H356)),IF(H356&gt;0,1,0),0)</f>
        <v>0</v>
      </c>
      <c r="Y356" s="96">
        <f>IF(Q356=0,0,IF(OR(T356=0,X356=0,NOT(ISNUMBER(E356)),AND(J356="Sim",L356="",M356=""),AND(ISNUMBER(E356),ISNUMBER(V356),N(V356)&gt;0,E356&lt;N(V356))),1,0))</f>
        <v>0</v>
      </c>
      <c r="Z356" s="96">
        <f>IF(AND(Q356=1,T356=1,X356=1,J356="Sim",OR(L356&lt;&gt;"",M356&lt;&gt;"")),1,0)</f>
        <v>0</v>
      </c>
      <c r="AA356" s="96">
        <f>IF(Q356=0,0,IF(AND(OR(r_ini="",AND(ISNUMBER(E356),E356&gt;=r_ini)),OR(r_fim="",AND(ISNUMBER(E356),E356&lt;=r_fim)),OR(r_un="",r_un="(Todas)",IF(N(U356)&gt;0,INDEX('MTRs'!$G$6:$G$505,U356),"")=r_un),OR(r_de="",r_de="(Todos)",D356=r_de)),1,0))</f>
        <v>0</v>
      </c>
      <c r="AB356" s="96" t="str">
        <f>IF(AA356=1,COUNTIF($AA$6:AA356,1),"")</f>
        <v/>
      </c>
    </row>
    <row r="357">
      <c r="A357" s="89" t="inlineStr">
        <is>
          <t>REC-000352</t>
        </is>
      </c>
      <c r="B357" s="94" t="str">
        <f>IF(T357=1,INDEX('ITENS_MTR'!$S$6:$S$1005,S357)&amp;"","")</f>
        <v/>
      </c>
      <c r="C357" s="91" t="n"/>
      <c r="D357" s="94" t="str">
        <f>IF(N(U357)&gt;0,INDEX('MTRs'!$I$6:$I$505,U357)&amp;"","")</f>
        <v/>
      </c>
      <c r="E357" s="92" t="n"/>
      <c r="F357" s="98" t="n"/>
      <c r="G357" s="91" t="n"/>
      <c r="H357" s="93" t="str">
        <f>IF(Q357=0,"",IF(NOT(ISNUMBER(F357)),"",IF(ISNUMBER(W357),F357*W357,"UNIDADE A CONFERIR")))</f>
        <v/>
      </c>
      <c r="I357" s="91" t="n"/>
      <c r="J357" s="91" t="n"/>
      <c r="K357" s="92" t="n"/>
      <c r="L357" s="91" t="n"/>
      <c r="M357" s="91" t="n"/>
      <c r="N357" s="91" t="n"/>
      <c r="O357" s="91" t="n"/>
      <c r="P357" s="94" t="str">
        <f>IF(Q357=0,"",IF(C357="","Item de resíduo não informado",IF(T357=0,"Item inexistente (referência inválida)",IF(NOT(ISNUMBER(F357)),"Quantidade não informada",IF(F357&lt;=0,"Quantidade não positiva",IF(G357="","Unidade não informada",IF(NOT(ISNUMBER(H357)),"Unidade a conferir",IF(NOT(ISNUMBER(E357)),"Data de recebimento não informada",IF(AND(ISNUMBER(V357),N(V357)&gt;0,E357&lt;N(V357)),"Data anterior à emissão do MTR",IF(AND(J357="Sim",L357="",M357=""),"Conferido sem evidência identificada",IF(J357&lt;&gt;"Sim","Aguardando conferência",IF(INDEX('ITENS_MTR'!$AM$6:$AM$1005,S357)=1,"Conferido (ver diferença no item)","Conferido"))))))))))))</f>
        <v/>
      </c>
      <c r="Q357" s="96">
        <f>IF(COUNTA(C357,E357:G357,I357:O357)&gt;0,1,0)</f>
        <v>0</v>
      </c>
      <c r="R357" s="96" t="str">
        <f>IF(C357="","",TRIM(LEFT(C357,FIND(" |",C357&amp;" |")-1)))</f>
        <v/>
      </c>
      <c r="S357" s="96" t="str">
        <f>IF(R357="","",IFERROR(MATCH(R357,'ITENS_MTR'!$A$6:$A$1005,0),""))</f>
        <v/>
      </c>
      <c r="T357" s="96">
        <f>IF(S357="",0,IF(INDEX('ITENS_MTR'!$R$6:$R$1005,S357)=1,1,0))</f>
        <v>0</v>
      </c>
      <c r="U357" s="96" t="str">
        <f>IF(T357=1,INDEX('ITENS_MTR'!$T$6:$T$1005,S357),"")</f>
        <v/>
      </c>
      <c r="V357" s="97" t="str">
        <f>IF(N(U357)&gt;0,INDEX('MTRs'!$E$6:$E$505,U357),"")</f>
        <v/>
      </c>
      <c r="W357" s="96" t="str">
        <f>IF(G357="","",IFERROR(IF(ISNUMBER(INDEX(cfg_fac,MATCH(G357,cfg_units,0))),IF(INDEX(cfg_fac,MATCH(G357,cfg_units,0))&gt;0,INDEX(cfg_fac,MATCH(G357,cfg_units,0)),""),""),""))</f>
        <v/>
      </c>
      <c r="X357" s="96">
        <f>IF(AND(ISNUMBER(F357),ISNUMBER(H357)),IF(H357&gt;0,1,0),0)</f>
        <v>0</v>
      </c>
      <c r="Y357" s="96">
        <f>IF(Q357=0,0,IF(OR(T357=0,X357=0,NOT(ISNUMBER(E357)),AND(J357="Sim",L357="",M357=""),AND(ISNUMBER(E357),ISNUMBER(V357),N(V357)&gt;0,E357&lt;N(V357))),1,0))</f>
        <v>0</v>
      </c>
      <c r="Z357" s="96">
        <f>IF(AND(Q357=1,T357=1,X357=1,J357="Sim",OR(L357&lt;&gt;"",M357&lt;&gt;"")),1,0)</f>
        <v>0</v>
      </c>
      <c r="AA357" s="96">
        <f>IF(Q357=0,0,IF(AND(OR(r_ini="",AND(ISNUMBER(E357),E357&gt;=r_ini)),OR(r_fim="",AND(ISNUMBER(E357),E357&lt;=r_fim)),OR(r_un="",r_un="(Todas)",IF(N(U357)&gt;0,INDEX('MTRs'!$G$6:$G$505,U357),"")=r_un),OR(r_de="",r_de="(Todos)",D357=r_de)),1,0))</f>
        <v>0</v>
      </c>
      <c r="AB357" s="96" t="str">
        <f>IF(AA357=1,COUNTIF($AA$6:AA357,1),"")</f>
        <v/>
      </c>
    </row>
    <row r="358">
      <c r="A358" s="89" t="inlineStr">
        <is>
          <t>REC-000353</t>
        </is>
      </c>
      <c r="B358" s="94" t="str">
        <f>IF(T358=1,INDEX('ITENS_MTR'!$S$6:$S$1005,S358)&amp;"","")</f>
        <v/>
      </c>
      <c r="C358" s="91" t="n"/>
      <c r="D358" s="94" t="str">
        <f>IF(N(U358)&gt;0,INDEX('MTRs'!$I$6:$I$505,U358)&amp;"","")</f>
        <v/>
      </c>
      <c r="E358" s="92" t="n"/>
      <c r="F358" s="98" t="n"/>
      <c r="G358" s="91" t="n"/>
      <c r="H358" s="93" t="str">
        <f>IF(Q358=0,"",IF(NOT(ISNUMBER(F358)),"",IF(ISNUMBER(W358),F358*W358,"UNIDADE A CONFERIR")))</f>
        <v/>
      </c>
      <c r="I358" s="91" t="n"/>
      <c r="J358" s="91" t="n"/>
      <c r="K358" s="92" t="n"/>
      <c r="L358" s="91" t="n"/>
      <c r="M358" s="91" t="n"/>
      <c r="N358" s="91" t="n"/>
      <c r="O358" s="91" t="n"/>
      <c r="P358" s="94" t="str">
        <f>IF(Q358=0,"",IF(C358="","Item de resíduo não informado",IF(T358=0,"Item inexistente (referência inválida)",IF(NOT(ISNUMBER(F358)),"Quantidade não informada",IF(F358&lt;=0,"Quantidade não positiva",IF(G358="","Unidade não informada",IF(NOT(ISNUMBER(H358)),"Unidade a conferir",IF(NOT(ISNUMBER(E358)),"Data de recebimento não informada",IF(AND(ISNUMBER(V358),N(V358)&gt;0,E358&lt;N(V358)),"Data anterior à emissão do MTR",IF(AND(J358="Sim",L358="",M358=""),"Conferido sem evidência identificada",IF(J358&lt;&gt;"Sim","Aguardando conferência",IF(INDEX('ITENS_MTR'!$AM$6:$AM$1005,S358)=1,"Conferido (ver diferença no item)","Conferido"))))))))))))</f>
        <v/>
      </c>
      <c r="Q358" s="96">
        <f>IF(COUNTA(C358,E358:G358,I358:O358)&gt;0,1,0)</f>
        <v>0</v>
      </c>
      <c r="R358" s="96" t="str">
        <f>IF(C358="","",TRIM(LEFT(C358,FIND(" |",C358&amp;" |")-1)))</f>
        <v/>
      </c>
      <c r="S358" s="96" t="str">
        <f>IF(R358="","",IFERROR(MATCH(R358,'ITENS_MTR'!$A$6:$A$1005,0),""))</f>
        <v/>
      </c>
      <c r="T358" s="96">
        <f>IF(S358="",0,IF(INDEX('ITENS_MTR'!$R$6:$R$1005,S358)=1,1,0))</f>
        <v>0</v>
      </c>
      <c r="U358" s="96" t="str">
        <f>IF(T358=1,INDEX('ITENS_MTR'!$T$6:$T$1005,S358),"")</f>
        <v/>
      </c>
      <c r="V358" s="97" t="str">
        <f>IF(N(U358)&gt;0,INDEX('MTRs'!$E$6:$E$505,U358),"")</f>
        <v/>
      </c>
      <c r="W358" s="96" t="str">
        <f>IF(G358="","",IFERROR(IF(ISNUMBER(INDEX(cfg_fac,MATCH(G358,cfg_units,0))),IF(INDEX(cfg_fac,MATCH(G358,cfg_units,0))&gt;0,INDEX(cfg_fac,MATCH(G358,cfg_units,0)),""),""),""))</f>
        <v/>
      </c>
      <c r="X358" s="96">
        <f>IF(AND(ISNUMBER(F358),ISNUMBER(H358)),IF(H358&gt;0,1,0),0)</f>
        <v>0</v>
      </c>
      <c r="Y358" s="96">
        <f>IF(Q358=0,0,IF(OR(T358=0,X358=0,NOT(ISNUMBER(E358)),AND(J358="Sim",L358="",M358=""),AND(ISNUMBER(E358),ISNUMBER(V358),N(V358)&gt;0,E358&lt;N(V358))),1,0))</f>
        <v>0</v>
      </c>
      <c r="Z358" s="96">
        <f>IF(AND(Q358=1,T358=1,X358=1,J358="Sim",OR(L358&lt;&gt;"",M358&lt;&gt;"")),1,0)</f>
        <v>0</v>
      </c>
      <c r="AA358" s="96">
        <f>IF(Q358=0,0,IF(AND(OR(r_ini="",AND(ISNUMBER(E358),E358&gt;=r_ini)),OR(r_fim="",AND(ISNUMBER(E358),E358&lt;=r_fim)),OR(r_un="",r_un="(Todas)",IF(N(U358)&gt;0,INDEX('MTRs'!$G$6:$G$505,U358),"")=r_un),OR(r_de="",r_de="(Todos)",D358=r_de)),1,0))</f>
        <v>0</v>
      </c>
      <c r="AB358" s="96" t="str">
        <f>IF(AA358=1,COUNTIF($AA$6:AA358,1),"")</f>
        <v/>
      </c>
    </row>
    <row r="359">
      <c r="A359" s="89" t="inlineStr">
        <is>
          <t>REC-000354</t>
        </is>
      </c>
      <c r="B359" s="94" t="str">
        <f>IF(T359=1,INDEX('ITENS_MTR'!$S$6:$S$1005,S359)&amp;"","")</f>
        <v/>
      </c>
      <c r="C359" s="91" t="n"/>
      <c r="D359" s="94" t="str">
        <f>IF(N(U359)&gt;0,INDEX('MTRs'!$I$6:$I$505,U359)&amp;"","")</f>
        <v/>
      </c>
      <c r="E359" s="92" t="n"/>
      <c r="F359" s="98" t="n"/>
      <c r="G359" s="91" t="n"/>
      <c r="H359" s="93" t="str">
        <f>IF(Q359=0,"",IF(NOT(ISNUMBER(F359)),"",IF(ISNUMBER(W359),F359*W359,"UNIDADE A CONFERIR")))</f>
        <v/>
      </c>
      <c r="I359" s="91" t="n"/>
      <c r="J359" s="91" t="n"/>
      <c r="K359" s="92" t="n"/>
      <c r="L359" s="91" t="n"/>
      <c r="M359" s="91" t="n"/>
      <c r="N359" s="91" t="n"/>
      <c r="O359" s="91" t="n"/>
      <c r="P359" s="94" t="str">
        <f>IF(Q359=0,"",IF(C359="","Item de resíduo não informado",IF(T359=0,"Item inexistente (referência inválida)",IF(NOT(ISNUMBER(F359)),"Quantidade não informada",IF(F359&lt;=0,"Quantidade não positiva",IF(G359="","Unidade não informada",IF(NOT(ISNUMBER(H359)),"Unidade a conferir",IF(NOT(ISNUMBER(E359)),"Data de recebimento não informada",IF(AND(ISNUMBER(V359),N(V359)&gt;0,E359&lt;N(V359)),"Data anterior à emissão do MTR",IF(AND(J359="Sim",L359="",M359=""),"Conferido sem evidência identificada",IF(J359&lt;&gt;"Sim","Aguardando conferência",IF(INDEX('ITENS_MTR'!$AM$6:$AM$1005,S359)=1,"Conferido (ver diferença no item)","Conferido"))))))))))))</f>
        <v/>
      </c>
      <c r="Q359" s="96">
        <f>IF(COUNTA(C359,E359:G359,I359:O359)&gt;0,1,0)</f>
        <v>0</v>
      </c>
      <c r="R359" s="96" t="str">
        <f>IF(C359="","",TRIM(LEFT(C359,FIND(" |",C359&amp;" |")-1)))</f>
        <v/>
      </c>
      <c r="S359" s="96" t="str">
        <f>IF(R359="","",IFERROR(MATCH(R359,'ITENS_MTR'!$A$6:$A$1005,0),""))</f>
        <v/>
      </c>
      <c r="T359" s="96">
        <f>IF(S359="",0,IF(INDEX('ITENS_MTR'!$R$6:$R$1005,S359)=1,1,0))</f>
        <v>0</v>
      </c>
      <c r="U359" s="96" t="str">
        <f>IF(T359=1,INDEX('ITENS_MTR'!$T$6:$T$1005,S359),"")</f>
        <v/>
      </c>
      <c r="V359" s="97" t="str">
        <f>IF(N(U359)&gt;0,INDEX('MTRs'!$E$6:$E$505,U359),"")</f>
        <v/>
      </c>
      <c r="W359" s="96" t="str">
        <f>IF(G359="","",IFERROR(IF(ISNUMBER(INDEX(cfg_fac,MATCH(G359,cfg_units,0))),IF(INDEX(cfg_fac,MATCH(G359,cfg_units,0))&gt;0,INDEX(cfg_fac,MATCH(G359,cfg_units,0)),""),""),""))</f>
        <v/>
      </c>
      <c r="X359" s="96">
        <f>IF(AND(ISNUMBER(F359),ISNUMBER(H359)),IF(H359&gt;0,1,0),0)</f>
        <v>0</v>
      </c>
      <c r="Y359" s="96">
        <f>IF(Q359=0,0,IF(OR(T359=0,X359=0,NOT(ISNUMBER(E359)),AND(J359="Sim",L359="",M359=""),AND(ISNUMBER(E359),ISNUMBER(V359),N(V359)&gt;0,E359&lt;N(V359))),1,0))</f>
        <v>0</v>
      </c>
      <c r="Z359" s="96">
        <f>IF(AND(Q359=1,T359=1,X359=1,J359="Sim",OR(L359&lt;&gt;"",M359&lt;&gt;"")),1,0)</f>
        <v>0</v>
      </c>
      <c r="AA359" s="96">
        <f>IF(Q359=0,0,IF(AND(OR(r_ini="",AND(ISNUMBER(E359),E359&gt;=r_ini)),OR(r_fim="",AND(ISNUMBER(E359),E359&lt;=r_fim)),OR(r_un="",r_un="(Todas)",IF(N(U359)&gt;0,INDEX('MTRs'!$G$6:$G$505,U359),"")=r_un),OR(r_de="",r_de="(Todos)",D359=r_de)),1,0))</f>
        <v>0</v>
      </c>
      <c r="AB359" s="96" t="str">
        <f>IF(AA359=1,COUNTIF($AA$6:AA359,1),"")</f>
        <v/>
      </c>
    </row>
    <row r="360">
      <c r="A360" s="89" t="inlineStr">
        <is>
          <t>REC-000355</t>
        </is>
      </c>
      <c r="B360" s="94" t="str">
        <f>IF(T360=1,INDEX('ITENS_MTR'!$S$6:$S$1005,S360)&amp;"","")</f>
        <v/>
      </c>
      <c r="C360" s="91" t="n"/>
      <c r="D360" s="94" t="str">
        <f>IF(N(U360)&gt;0,INDEX('MTRs'!$I$6:$I$505,U360)&amp;"","")</f>
        <v/>
      </c>
      <c r="E360" s="92" t="n"/>
      <c r="F360" s="98" t="n"/>
      <c r="G360" s="91" t="n"/>
      <c r="H360" s="93" t="str">
        <f>IF(Q360=0,"",IF(NOT(ISNUMBER(F360)),"",IF(ISNUMBER(W360),F360*W360,"UNIDADE A CONFERIR")))</f>
        <v/>
      </c>
      <c r="I360" s="91" t="n"/>
      <c r="J360" s="91" t="n"/>
      <c r="K360" s="92" t="n"/>
      <c r="L360" s="91" t="n"/>
      <c r="M360" s="91" t="n"/>
      <c r="N360" s="91" t="n"/>
      <c r="O360" s="91" t="n"/>
      <c r="P360" s="94" t="str">
        <f>IF(Q360=0,"",IF(C360="","Item de resíduo não informado",IF(T360=0,"Item inexistente (referência inválida)",IF(NOT(ISNUMBER(F360)),"Quantidade não informada",IF(F360&lt;=0,"Quantidade não positiva",IF(G360="","Unidade não informada",IF(NOT(ISNUMBER(H360)),"Unidade a conferir",IF(NOT(ISNUMBER(E360)),"Data de recebimento não informada",IF(AND(ISNUMBER(V360),N(V360)&gt;0,E360&lt;N(V360)),"Data anterior à emissão do MTR",IF(AND(J360="Sim",L360="",M360=""),"Conferido sem evidência identificada",IF(J360&lt;&gt;"Sim","Aguardando conferência",IF(INDEX('ITENS_MTR'!$AM$6:$AM$1005,S360)=1,"Conferido (ver diferença no item)","Conferido"))))))))))))</f>
        <v/>
      </c>
      <c r="Q360" s="96">
        <f>IF(COUNTA(C360,E360:G360,I360:O360)&gt;0,1,0)</f>
        <v>0</v>
      </c>
      <c r="R360" s="96" t="str">
        <f>IF(C360="","",TRIM(LEFT(C360,FIND(" |",C360&amp;" |")-1)))</f>
        <v/>
      </c>
      <c r="S360" s="96" t="str">
        <f>IF(R360="","",IFERROR(MATCH(R360,'ITENS_MTR'!$A$6:$A$1005,0),""))</f>
        <v/>
      </c>
      <c r="T360" s="96">
        <f>IF(S360="",0,IF(INDEX('ITENS_MTR'!$R$6:$R$1005,S360)=1,1,0))</f>
        <v>0</v>
      </c>
      <c r="U360" s="96" t="str">
        <f>IF(T360=1,INDEX('ITENS_MTR'!$T$6:$T$1005,S360),"")</f>
        <v/>
      </c>
      <c r="V360" s="97" t="str">
        <f>IF(N(U360)&gt;0,INDEX('MTRs'!$E$6:$E$505,U360),"")</f>
        <v/>
      </c>
      <c r="W360" s="96" t="str">
        <f>IF(G360="","",IFERROR(IF(ISNUMBER(INDEX(cfg_fac,MATCH(G360,cfg_units,0))),IF(INDEX(cfg_fac,MATCH(G360,cfg_units,0))&gt;0,INDEX(cfg_fac,MATCH(G360,cfg_units,0)),""),""),""))</f>
        <v/>
      </c>
      <c r="X360" s="96">
        <f>IF(AND(ISNUMBER(F360),ISNUMBER(H360)),IF(H360&gt;0,1,0),0)</f>
        <v>0</v>
      </c>
      <c r="Y360" s="96">
        <f>IF(Q360=0,0,IF(OR(T360=0,X360=0,NOT(ISNUMBER(E360)),AND(J360="Sim",L360="",M360=""),AND(ISNUMBER(E360),ISNUMBER(V360),N(V360)&gt;0,E360&lt;N(V360))),1,0))</f>
        <v>0</v>
      </c>
      <c r="Z360" s="96">
        <f>IF(AND(Q360=1,T360=1,X360=1,J360="Sim",OR(L360&lt;&gt;"",M360&lt;&gt;"")),1,0)</f>
        <v>0</v>
      </c>
      <c r="AA360" s="96">
        <f>IF(Q360=0,0,IF(AND(OR(r_ini="",AND(ISNUMBER(E360),E360&gt;=r_ini)),OR(r_fim="",AND(ISNUMBER(E360),E360&lt;=r_fim)),OR(r_un="",r_un="(Todas)",IF(N(U360)&gt;0,INDEX('MTRs'!$G$6:$G$505,U360),"")=r_un),OR(r_de="",r_de="(Todos)",D360=r_de)),1,0))</f>
        <v>0</v>
      </c>
      <c r="AB360" s="96" t="str">
        <f>IF(AA360=1,COUNTIF($AA$6:AA360,1),"")</f>
        <v/>
      </c>
    </row>
    <row r="361">
      <c r="A361" s="89" t="inlineStr">
        <is>
          <t>REC-000356</t>
        </is>
      </c>
      <c r="B361" s="94" t="str">
        <f>IF(T361=1,INDEX('ITENS_MTR'!$S$6:$S$1005,S361)&amp;"","")</f>
        <v/>
      </c>
      <c r="C361" s="91" t="n"/>
      <c r="D361" s="94" t="str">
        <f>IF(N(U361)&gt;0,INDEX('MTRs'!$I$6:$I$505,U361)&amp;"","")</f>
        <v/>
      </c>
      <c r="E361" s="92" t="n"/>
      <c r="F361" s="98" t="n"/>
      <c r="G361" s="91" t="n"/>
      <c r="H361" s="93" t="str">
        <f>IF(Q361=0,"",IF(NOT(ISNUMBER(F361)),"",IF(ISNUMBER(W361),F361*W361,"UNIDADE A CONFERIR")))</f>
        <v/>
      </c>
      <c r="I361" s="91" t="n"/>
      <c r="J361" s="91" t="n"/>
      <c r="K361" s="92" t="n"/>
      <c r="L361" s="91" t="n"/>
      <c r="M361" s="91" t="n"/>
      <c r="N361" s="91" t="n"/>
      <c r="O361" s="91" t="n"/>
      <c r="P361" s="94" t="str">
        <f>IF(Q361=0,"",IF(C361="","Item de resíduo não informado",IF(T361=0,"Item inexistente (referência inválida)",IF(NOT(ISNUMBER(F361)),"Quantidade não informada",IF(F361&lt;=0,"Quantidade não positiva",IF(G361="","Unidade não informada",IF(NOT(ISNUMBER(H361)),"Unidade a conferir",IF(NOT(ISNUMBER(E361)),"Data de recebimento não informada",IF(AND(ISNUMBER(V361),N(V361)&gt;0,E361&lt;N(V361)),"Data anterior à emissão do MTR",IF(AND(J361="Sim",L361="",M361=""),"Conferido sem evidência identificada",IF(J361&lt;&gt;"Sim","Aguardando conferência",IF(INDEX('ITENS_MTR'!$AM$6:$AM$1005,S361)=1,"Conferido (ver diferença no item)","Conferido"))))))))))))</f>
        <v/>
      </c>
      <c r="Q361" s="96">
        <f>IF(COUNTA(C361,E361:G361,I361:O361)&gt;0,1,0)</f>
        <v>0</v>
      </c>
      <c r="R361" s="96" t="str">
        <f>IF(C361="","",TRIM(LEFT(C361,FIND(" |",C361&amp;" |")-1)))</f>
        <v/>
      </c>
      <c r="S361" s="96" t="str">
        <f>IF(R361="","",IFERROR(MATCH(R361,'ITENS_MTR'!$A$6:$A$1005,0),""))</f>
        <v/>
      </c>
      <c r="T361" s="96">
        <f>IF(S361="",0,IF(INDEX('ITENS_MTR'!$R$6:$R$1005,S361)=1,1,0))</f>
        <v>0</v>
      </c>
      <c r="U361" s="96" t="str">
        <f>IF(T361=1,INDEX('ITENS_MTR'!$T$6:$T$1005,S361),"")</f>
        <v/>
      </c>
      <c r="V361" s="97" t="str">
        <f>IF(N(U361)&gt;0,INDEX('MTRs'!$E$6:$E$505,U361),"")</f>
        <v/>
      </c>
      <c r="W361" s="96" t="str">
        <f>IF(G361="","",IFERROR(IF(ISNUMBER(INDEX(cfg_fac,MATCH(G361,cfg_units,0))),IF(INDEX(cfg_fac,MATCH(G361,cfg_units,0))&gt;0,INDEX(cfg_fac,MATCH(G361,cfg_units,0)),""),""),""))</f>
        <v/>
      </c>
      <c r="X361" s="96">
        <f>IF(AND(ISNUMBER(F361),ISNUMBER(H361)),IF(H361&gt;0,1,0),0)</f>
        <v>0</v>
      </c>
      <c r="Y361" s="96">
        <f>IF(Q361=0,0,IF(OR(T361=0,X361=0,NOT(ISNUMBER(E361)),AND(J361="Sim",L361="",M361=""),AND(ISNUMBER(E361),ISNUMBER(V361),N(V361)&gt;0,E361&lt;N(V361))),1,0))</f>
        <v>0</v>
      </c>
      <c r="Z361" s="96">
        <f>IF(AND(Q361=1,T361=1,X361=1,J361="Sim",OR(L361&lt;&gt;"",M361&lt;&gt;"")),1,0)</f>
        <v>0</v>
      </c>
      <c r="AA361" s="96">
        <f>IF(Q361=0,0,IF(AND(OR(r_ini="",AND(ISNUMBER(E361),E361&gt;=r_ini)),OR(r_fim="",AND(ISNUMBER(E361),E361&lt;=r_fim)),OR(r_un="",r_un="(Todas)",IF(N(U361)&gt;0,INDEX('MTRs'!$G$6:$G$505,U361),"")=r_un),OR(r_de="",r_de="(Todos)",D361=r_de)),1,0))</f>
        <v>0</v>
      </c>
      <c r="AB361" s="96" t="str">
        <f>IF(AA361=1,COUNTIF($AA$6:AA361,1),"")</f>
        <v/>
      </c>
    </row>
    <row r="362">
      <c r="A362" s="89" t="inlineStr">
        <is>
          <t>REC-000357</t>
        </is>
      </c>
      <c r="B362" s="94" t="str">
        <f>IF(T362=1,INDEX('ITENS_MTR'!$S$6:$S$1005,S362)&amp;"","")</f>
        <v/>
      </c>
      <c r="C362" s="91" t="n"/>
      <c r="D362" s="94" t="str">
        <f>IF(N(U362)&gt;0,INDEX('MTRs'!$I$6:$I$505,U362)&amp;"","")</f>
        <v/>
      </c>
      <c r="E362" s="92" t="n"/>
      <c r="F362" s="98" t="n"/>
      <c r="G362" s="91" t="n"/>
      <c r="H362" s="93" t="str">
        <f>IF(Q362=0,"",IF(NOT(ISNUMBER(F362)),"",IF(ISNUMBER(W362),F362*W362,"UNIDADE A CONFERIR")))</f>
        <v/>
      </c>
      <c r="I362" s="91" t="n"/>
      <c r="J362" s="91" t="n"/>
      <c r="K362" s="92" t="n"/>
      <c r="L362" s="91" t="n"/>
      <c r="M362" s="91" t="n"/>
      <c r="N362" s="91" t="n"/>
      <c r="O362" s="91" t="n"/>
      <c r="P362" s="94" t="str">
        <f>IF(Q362=0,"",IF(C362="","Item de resíduo não informado",IF(T362=0,"Item inexistente (referência inválida)",IF(NOT(ISNUMBER(F362)),"Quantidade não informada",IF(F362&lt;=0,"Quantidade não positiva",IF(G362="","Unidade não informada",IF(NOT(ISNUMBER(H362)),"Unidade a conferir",IF(NOT(ISNUMBER(E362)),"Data de recebimento não informada",IF(AND(ISNUMBER(V362),N(V362)&gt;0,E362&lt;N(V362)),"Data anterior à emissão do MTR",IF(AND(J362="Sim",L362="",M362=""),"Conferido sem evidência identificada",IF(J362&lt;&gt;"Sim","Aguardando conferência",IF(INDEX('ITENS_MTR'!$AM$6:$AM$1005,S362)=1,"Conferido (ver diferença no item)","Conferido"))))))))))))</f>
        <v/>
      </c>
      <c r="Q362" s="96">
        <f>IF(COUNTA(C362,E362:G362,I362:O362)&gt;0,1,0)</f>
        <v>0</v>
      </c>
      <c r="R362" s="96" t="str">
        <f>IF(C362="","",TRIM(LEFT(C362,FIND(" |",C362&amp;" |")-1)))</f>
        <v/>
      </c>
      <c r="S362" s="96" t="str">
        <f>IF(R362="","",IFERROR(MATCH(R362,'ITENS_MTR'!$A$6:$A$1005,0),""))</f>
        <v/>
      </c>
      <c r="T362" s="96">
        <f>IF(S362="",0,IF(INDEX('ITENS_MTR'!$R$6:$R$1005,S362)=1,1,0))</f>
        <v>0</v>
      </c>
      <c r="U362" s="96" t="str">
        <f>IF(T362=1,INDEX('ITENS_MTR'!$T$6:$T$1005,S362),"")</f>
        <v/>
      </c>
      <c r="V362" s="97" t="str">
        <f>IF(N(U362)&gt;0,INDEX('MTRs'!$E$6:$E$505,U362),"")</f>
        <v/>
      </c>
      <c r="W362" s="96" t="str">
        <f>IF(G362="","",IFERROR(IF(ISNUMBER(INDEX(cfg_fac,MATCH(G362,cfg_units,0))),IF(INDEX(cfg_fac,MATCH(G362,cfg_units,0))&gt;0,INDEX(cfg_fac,MATCH(G362,cfg_units,0)),""),""),""))</f>
        <v/>
      </c>
      <c r="X362" s="96">
        <f>IF(AND(ISNUMBER(F362),ISNUMBER(H362)),IF(H362&gt;0,1,0),0)</f>
        <v>0</v>
      </c>
      <c r="Y362" s="96">
        <f>IF(Q362=0,0,IF(OR(T362=0,X362=0,NOT(ISNUMBER(E362)),AND(J362="Sim",L362="",M362=""),AND(ISNUMBER(E362),ISNUMBER(V362),N(V362)&gt;0,E362&lt;N(V362))),1,0))</f>
        <v>0</v>
      </c>
      <c r="Z362" s="96">
        <f>IF(AND(Q362=1,T362=1,X362=1,J362="Sim",OR(L362&lt;&gt;"",M362&lt;&gt;"")),1,0)</f>
        <v>0</v>
      </c>
      <c r="AA362" s="96">
        <f>IF(Q362=0,0,IF(AND(OR(r_ini="",AND(ISNUMBER(E362),E362&gt;=r_ini)),OR(r_fim="",AND(ISNUMBER(E362),E362&lt;=r_fim)),OR(r_un="",r_un="(Todas)",IF(N(U362)&gt;0,INDEX('MTRs'!$G$6:$G$505,U362),"")=r_un),OR(r_de="",r_de="(Todos)",D362=r_de)),1,0))</f>
        <v>0</v>
      </c>
      <c r="AB362" s="96" t="str">
        <f>IF(AA362=1,COUNTIF($AA$6:AA362,1),"")</f>
        <v/>
      </c>
    </row>
    <row r="363">
      <c r="A363" s="89" t="inlineStr">
        <is>
          <t>REC-000358</t>
        </is>
      </c>
      <c r="B363" s="94" t="str">
        <f>IF(T363=1,INDEX('ITENS_MTR'!$S$6:$S$1005,S363)&amp;"","")</f>
        <v/>
      </c>
      <c r="C363" s="91" t="n"/>
      <c r="D363" s="94" t="str">
        <f>IF(N(U363)&gt;0,INDEX('MTRs'!$I$6:$I$505,U363)&amp;"","")</f>
        <v/>
      </c>
      <c r="E363" s="92" t="n"/>
      <c r="F363" s="98" t="n"/>
      <c r="G363" s="91" t="n"/>
      <c r="H363" s="93" t="str">
        <f>IF(Q363=0,"",IF(NOT(ISNUMBER(F363)),"",IF(ISNUMBER(W363),F363*W363,"UNIDADE A CONFERIR")))</f>
        <v/>
      </c>
      <c r="I363" s="91" t="n"/>
      <c r="J363" s="91" t="n"/>
      <c r="K363" s="92" t="n"/>
      <c r="L363" s="91" t="n"/>
      <c r="M363" s="91" t="n"/>
      <c r="N363" s="91" t="n"/>
      <c r="O363" s="91" t="n"/>
      <c r="P363" s="94" t="str">
        <f>IF(Q363=0,"",IF(C363="","Item de resíduo não informado",IF(T363=0,"Item inexistente (referência inválida)",IF(NOT(ISNUMBER(F363)),"Quantidade não informada",IF(F363&lt;=0,"Quantidade não positiva",IF(G363="","Unidade não informada",IF(NOT(ISNUMBER(H363)),"Unidade a conferir",IF(NOT(ISNUMBER(E363)),"Data de recebimento não informada",IF(AND(ISNUMBER(V363),N(V363)&gt;0,E363&lt;N(V363)),"Data anterior à emissão do MTR",IF(AND(J363="Sim",L363="",M363=""),"Conferido sem evidência identificada",IF(J363&lt;&gt;"Sim","Aguardando conferência",IF(INDEX('ITENS_MTR'!$AM$6:$AM$1005,S363)=1,"Conferido (ver diferença no item)","Conferido"))))))))))))</f>
        <v/>
      </c>
      <c r="Q363" s="96">
        <f>IF(COUNTA(C363,E363:G363,I363:O363)&gt;0,1,0)</f>
        <v>0</v>
      </c>
      <c r="R363" s="96" t="str">
        <f>IF(C363="","",TRIM(LEFT(C363,FIND(" |",C363&amp;" |")-1)))</f>
        <v/>
      </c>
      <c r="S363" s="96" t="str">
        <f>IF(R363="","",IFERROR(MATCH(R363,'ITENS_MTR'!$A$6:$A$1005,0),""))</f>
        <v/>
      </c>
      <c r="T363" s="96">
        <f>IF(S363="",0,IF(INDEX('ITENS_MTR'!$R$6:$R$1005,S363)=1,1,0))</f>
        <v>0</v>
      </c>
      <c r="U363" s="96" t="str">
        <f>IF(T363=1,INDEX('ITENS_MTR'!$T$6:$T$1005,S363),"")</f>
        <v/>
      </c>
      <c r="V363" s="97" t="str">
        <f>IF(N(U363)&gt;0,INDEX('MTRs'!$E$6:$E$505,U363),"")</f>
        <v/>
      </c>
      <c r="W363" s="96" t="str">
        <f>IF(G363="","",IFERROR(IF(ISNUMBER(INDEX(cfg_fac,MATCH(G363,cfg_units,0))),IF(INDEX(cfg_fac,MATCH(G363,cfg_units,0))&gt;0,INDEX(cfg_fac,MATCH(G363,cfg_units,0)),""),""),""))</f>
        <v/>
      </c>
      <c r="X363" s="96">
        <f>IF(AND(ISNUMBER(F363),ISNUMBER(H363)),IF(H363&gt;0,1,0),0)</f>
        <v>0</v>
      </c>
      <c r="Y363" s="96">
        <f>IF(Q363=0,0,IF(OR(T363=0,X363=0,NOT(ISNUMBER(E363)),AND(J363="Sim",L363="",M363=""),AND(ISNUMBER(E363),ISNUMBER(V363),N(V363)&gt;0,E363&lt;N(V363))),1,0))</f>
        <v>0</v>
      </c>
      <c r="Z363" s="96">
        <f>IF(AND(Q363=1,T363=1,X363=1,J363="Sim",OR(L363&lt;&gt;"",M363&lt;&gt;"")),1,0)</f>
        <v>0</v>
      </c>
      <c r="AA363" s="96">
        <f>IF(Q363=0,0,IF(AND(OR(r_ini="",AND(ISNUMBER(E363),E363&gt;=r_ini)),OR(r_fim="",AND(ISNUMBER(E363),E363&lt;=r_fim)),OR(r_un="",r_un="(Todas)",IF(N(U363)&gt;0,INDEX('MTRs'!$G$6:$G$505,U363),"")=r_un),OR(r_de="",r_de="(Todos)",D363=r_de)),1,0))</f>
        <v>0</v>
      </c>
      <c r="AB363" s="96" t="str">
        <f>IF(AA363=1,COUNTIF($AA$6:AA363,1),"")</f>
        <v/>
      </c>
    </row>
    <row r="364">
      <c r="A364" s="89" t="inlineStr">
        <is>
          <t>REC-000359</t>
        </is>
      </c>
      <c r="B364" s="94" t="str">
        <f>IF(T364=1,INDEX('ITENS_MTR'!$S$6:$S$1005,S364)&amp;"","")</f>
        <v/>
      </c>
      <c r="C364" s="91" t="n"/>
      <c r="D364" s="94" t="str">
        <f>IF(N(U364)&gt;0,INDEX('MTRs'!$I$6:$I$505,U364)&amp;"","")</f>
        <v/>
      </c>
      <c r="E364" s="92" t="n"/>
      <c r="F364" s="98" t="n"/>
      <c r="G364" s="91" t="n"/>
      <c r="H364" s="93" t="str">
        <f>IF(Q364=0,"",IF(NOT(ISNUMBER(F364)),"",IF(ISNUMBER(W364),F364*W364,"UNIDADE A CONFERIR")))</f>
        <v/>
      </c>
      <c r="I364" s="91" t="n"/>
      <c r="J364" s="91" t="n"/>
      <c r="K364" s="92" t="n"/>
      <c r="L364" s="91" t="n"/>
      <c r="M364" s="91" t="n"/>
      <c r="N364" s="91" t="n"/>
      <c r="O364" s="91" t="n"/>
      <c r="P364" s="94" t="str">
        <f>IF(Q364=0,"",IF(C364="","Item de resíduo não informado",IF(T364=0,"Item inexistente (referência inválida)",IF(NOT(ISNUMBER(F364)),"Quantidade não informada",IF(F364&lt;=0,"Quantidade não positiva",IF(G364="","Unidade não informada",IF(NOT(ISNUMBER(H364)),"Unidade a conferir",IF(NOT(ISNUMBER(E364)),"Data de recebimento não informada",IF(AND(ISNUMBER(V364),N(V364)&gt;0,E364&lt;N(V364)),"Data anterior à emissão do MTR",IF(AND(J364="Sim",L364="",M364=""),"Conferido sem evidência identificada",IF(J364&lt;&gt;"Sim","Aguardando conferência",IF(INDEX('ITENS_MTR'!$AM$6:$AM$1005,S364)=1,"Conferido (ver diferença no item)","Conferido"))))))))))))</f>
        <v/>
      </c>
      <c r="Q364" s="96">
        <f>IF(COUNTA(C364,E364:G364,I364:O364)&gt;0,1,0)</f>
        <v>0</v>
      </c>
      <c r="R364" s="96" t="str">
        <f>IF(C364="","",TRIM(LEFT(C364,FIND(" |",C364&amp;" |")-1)))</f>
        <v/>
      </c>
      <c r="S364" s="96" t="str">
        <f>IF(R364="","",IFERROR(MATCH(R364,'ITENS_MTR'!$A$6:$A$1005,0),""))</f>
        <v/>
      </c>
      <c r="T364" s="96">
        <f>IF(S364="",0,IF(INDEX('ITENS_MTR'!$R$6:$R$1005,S364)=1,1,0))</f>
        <v>0</v>
      </c>
      <c r="U364" s="96" t="str">
        <f>IF(T364=1,INDEX('ITENS_MTR'!$T$6:$T$1005,S364),"")</f>
        <v/>
      </c>
      <c r="V364" s="97" t="str">
        <f>IF(N(U364)&gt;0,INDEX('MTRs'!$E$6:$E$505,U364),"")</f>
        <v/>
      </c>
      <c r="W364" s="96" t="str">
        <f>IF(G364="","",IFERROR(IF(ISNUMBER(INDEX(cfg_fac,MATCH(G364,cfg_units,0))),IF(INDEX(cfg_fac,MATCH(G364,cfg_units,0))&gt;0,INDEX(cfg_fac,MATCH(G364,cfg_units,0)),""),""),""))</f>
        <v/>
      </c>
      <c r="X364" s="96">
        <f>IF(AND(ISNUMBER(F364),ISNUMBER(H364)),IF(H364&gt;0,1,0),0)</f>
        <v>0</v>
      </c>
      <c r="Y364" s="96">
        <f>IF(Q364=0,0,IF(OR(T364=0,X364=0,NOT(ISNUMBER(E364)),AND(J364="Sim",L364="",M364=""),AND(ISNUMBER(E364),ISNUMBER(V364),N(V364)&gt;0,E364&lt;N(V364))),1,0))</f>
        <v>0</v>
      </c>
      <c r="Z364" s="96">
        <f>IF(AND(Q364=1,T364=1,X364=1,J364="Sim",OR(L364&lt;&gt;"",M364&lt;&gt;"")),1,0)</f>
        <v>0</v>
      </c>
      <c r="AA364" s="96">
        <f>IF(Q364=0,0,IF(AND(OR(r_ini="",AND(ISNUMBER(E364),E364&gt;=r_ini)),OR(r_fim="",AND(ISNUMBER(E364),E364&lt;=r_fim)),OR(r_un="",r_un="(Todas)",IF(N(U364)&gt;0,INDEX('MTRs'!$G$6:$G$505,U364),"")=r_un),OR(r_de="",r_de="(Todos)",D364=r_de)),1,0))</f>
        <v>0</v>
      </c>
      <c r="AB364" s="96" t="str">
        <f>IF(AA364=1,COUNTIF($AA$6:AA364,1),"")</f>
        <v/>
      </c>
    </row>
    <row r="365">
      <c r="A365" s="89" t="inlineStr">
        <is>
          <t>REC-000360</t>
        </is>
      </c>
      <c r="B365" s="94" t="str">
        <f>IF(T365=1,INDEX('ITENS_MTR'!$S$6:$S$1005,S365)&amp;"","")</f>
        <v/>
      </c>
      <c r="C365" s="91" t="n"/>
      <c r="D365" s="94" t="str">
        <f>IF(N(U365)&gt;0,INDEX('MTRs'!$I$6:$I$505,U365)&amp;"","")</f>
        <v/>
      </c>
      <c r="E365" s="92" t="n"/>
      <c r="F365" s="98" t="n"/>
      <c r="G365" s="91" t="n"/>
      <c r="H365" s="93" t="str">
        <f>IF(Q365=0,"",IF(NOT(ISNUMBER(F365)),"",IF(ISNUMBER(W365),F365*W365,"UNIDADE A CONFERIR")))</f>
        <v/>
      </c>
      <c r="I365" s="91" t="n"/>
      <c r="J365" s="91" t="n"/>
      <c r="K365" s="92" t="n"/>
      <c r="L365" s="91" t="n"/>
      <c r="M365" s="91" t="n"/>
      <c r="N365" s="91" t="n"/>
      <c r="O365" s="91" t="n"/>
      <c r="P365" s="94" t="str">
        <f>IF(Q365=0,"",IF(C365="","Item de resíduo não informado",IF(T365=0,"Item inexistente (referência inválida)",IF(NOT(ISNUMBER(F365)),"Quantidade não informada",IF(F365&lt;=0,"Quantidade não positiva",IF(G365="","Unidade não informada",IF(NOT(ISNUMBER(H365)),"Unidade a conferir",IF(NOT(ISNUMBER(E365)),"Data de recebimento não informada",IF(AND(ISNUMBER(V365),N(V365)&gt;0,E365&lt;N(V365)),"Data anterior à emissão do MTR",IF(AND(J365="Sim",L365="",M365=""),"Conferido sem evidência identificada",IF(J365&lt;&gt;"Sim","Aguardando conferência",IF(INDEX('ITENS_MTR'!$AM$6:$AM$1005,S365)=1,"Conferido (ver diferença no item)","Conferido"))))))))))))</f>
        <v/>
      </c>
      <c r="Q365" s="96">
        <f>IF(COUNTA(C365,E365:G365,I365:O365)&gt;0,1,0)</f>
        <v>0</v>
      </c>
      <c r="R365" s="96" t="str">
        <f>IF(C365="","",TRIM(LEFT(C365,FIND(" |",C365&amp;" |")-1)))</f>
        <v/>
      </c>
      <c r="S365" s="96" t="str">
        <f>IF(R365="","",IFERROR(MATCH(R365,'ITENS_MTR'!$A$6:$A$1005,0),""))</f>
        <v/>
      </c>
      <c r="T365" s="96">
        <f>IF(S365="",0,IF(INDEX('ITENS_MTR'!$R$6:$R$1005,S365)=1,1,0))</f>
        <v>0</v>
      </c>
      <c r="U365" s="96" t="str">
        <f>IF(T365=1,INDEX('ITENS_MTR'!$T$6:$T$1005,S365),"")</f>
        <v/>
      </c>
      <c r="V365" s="97" t="str">
        <f>IF(N(U365)&gt;0,INDEX('MTRs'!$E$6:$E$505,U365),"")</f>
        <v/>
      </c>
      <c r="W365" s="96" t="str">
        <f>IF(G365="","",IFERROR(IF(ISNUMBER(INDEX(cfg_fac,MATCH(G365,cfg_units,0))),IF(INDEX(cfg_fac,MATCH(G365,cfg_units,0))&gt;0,INDEX(cfg_fac,MATCH(G365,cfg_units,0)),""),""),""))</f>
        <v/>
      </c>
      <c r="X365" s="96">
        <f>IF(AND(ISNUMBER(F365),ISNUMBER(H365)),IF(H365&gt;0,1,0),0)</f>
        <v>0</v>
      </c>
      <c r="Y365" s="96">
        <f>IF(Q365=0,0,IF(OR(T365=0,X365=0,NOT(ISNUMBER(E365)),AND(J365="Sim",L365="",M365=""),AND(ISNUMBER(E365),ISNUMBER(V365),N(V365)&gt;0,E365&lt;N(V365))),1,0))</f>
        <v>0</v>
      </c>
      <c r="Z365" s="96">
        <f>IF(AND(Q365=1,T365=1,X365=1,J365="Sim",OR(L365&lt;&gt;"",M365&lt;&gt;"")),1,0)</f>
        <v>0</v>
      </c>
      <c r="AA365" s="96">
        <f>IF(Q365=0,0,IF(AND(OR(r_ini="",AND(ISNUMBER(E365),E365&gt;=r_ini)),OR(r_fim="",AND(ISNUMBER(E365),E365&lt;=r_fim)),OR(r_un="",r_un="(Todas)",IF(N(U365)&gt;0,INDEX('MTRs'!$G$6:$G$505,U365),"")=r_un),OR(r_de="",r_de="(Todos)",D365=r_de)),1,0))</f>
        <v>0</v>
      </c>
      <c r="AB365" s="96" t="str">
        <f>IF(AA365=1,COUNTIF($AA$6:AA365,1),"")</f>
        <v/>
      </c>
    </row>
    <row r="366">
      <c r="A366" s="89" t="inlineStr">
        <is>
          <t>REC-000361</t>
        </is>
      </c>
      <c r="B366" s="94" t="str">
        <f>IF(T366=1,INDEX('ITENS_MTR'!$S$6:$S$1005,S366)&amp;"","")</f>
        <v/>
      </c>
      <c r="C366" s="91" t="n"/>
      <c r="D366" s="94" t="str">
        <f>IF(N(U366)&gt;0,INDEX('MTRs'!$I$6:$I$505,U366)&amp;"","")</f>
        <v/>
      </c>
      <c r="E366" s="92" t="n"/>
      <c r="F366" s="98" t="n"/>
      <c r="G366" s="91" t="n"/>
      <c r="H366" s="93" t="str">
        <f>IF(Q366=0,"",IF(NOT(ISNUMBER(F366)),"",IF(ISNUMBER(W366),F366*W366,"UNIDADE A CONFERIR")))</f>
        <v/>
      </c>
      <c r="I366" s="91" t="n"/>
      <c r="J366" s="91" t="n"/>
      <c r="K366" s="92" t="n"/>
      <c r="L366" s="91" t="n"/>
      <c r="M366" s="91" t="n"/>
      <c r="N366" s="91" t="n"/>
      <c r="O366" s="91" t="n"/>
      <c r="P366" s="94" t="str">
        <f>IF(Q366=0,"",IF(C366="","Item de resíduo não informado",IF(T366=0,"Item inexistente (referência inválida)",IF(NOT(ISNUMBER(F366)),"Quantidade não informada",IF(F366&lt;=0,"Quantidade não positiva",IF(G366="","Unidade não informada",IF(NOT(ISNUMBER(H366)),"Unidade a conferir",IF(NOT(ISNUMBER(E366)),"Data de recebimento não informada",IF(AND(ISNUMBER(V366),N(V366)&gt;0,E366&lt;N(V366)),"Data anterior à emissão do MTR",IF(AND(J366="Sim",L366="",M366=""),"Conferido sem evidência identificada",IF(J366&lt;&gt;"Sim","Aguardando conferência",IF(INDEX('ITENS_MTR'!$AM$6:$AM$1005,S366)=1,"Conferido (ver diferença no item)","Conferido"))))))))))))</f>
        <v/>
      </c>
      <c r="Q366" s="96">
        <f>IF(COUNTA(C366,E366:G366,I366:O366)&gt;0,1,0)</f>
        <v>0</v>
      </c>
      <c r="R366" s="96" t="str">
        <f>IF(C366="","",TRIM(LEFT(C366,FIND(" |",C366&amp;" |")-1)))</f>
        <v/>
      </c>
      <c r="S366" s="96" t="str">
        <f>IF(R366="","",IFERROR(MATCH(R366,'ITENS_MTR'!$A$6:$A$1005,0),""))</f>
        <v/>
      </c>
      <c r="T366" s="96">
        <f>IF(S366="",0,IF(INDEX('ITENS_MTR'!$R$6:$R$1005,S366)=1,1,0))</f>
        <v>0</v>
      </c>
      <c r="U366" s="96" t="str">
        <f>IF(T366=1,INDEX('ITENS_MTR'!$T$6:$T$1005,S366),"")</f>
        <v/>
      </c>
      <c r="V366" s="97" t="str">
        <f>IF(N(U366)&gt;0,INDEX('MTRs'!$E$6:$E$505,U366),"")</f>
        <v/>
      </c>
      <c r="W366" s="96" t="str">
        <f>IF(G366="","",IFERROR(IF(ISNUMBER(INDEX(cfg_fac,MATCH(G366,cfg_units,0))),IF(INDEX(cfg_fac,MATCH(G366,cfg_units,0))&gt;0,INDEX(cfg_fac,MATCH(G366,cfg_units,0)),""),""),""))</f>
        <v/>
      </c>
      <c r="X366" s="96">
        <f>IF(AND(ISNUMBER(F366),ISNUMBER(H366)),IF(H366&gt;0,1,0),0)</f>
        <v>0</v>
      </c>
      <c r="Y366" s="96">
        <f>IF(Q366=0,0,IF(OR(T366=0,X366=0,NOT(ISNUMBER(E366)),AND(J366="Sim",L366="",M366=""),AND(ISNUMBER(E366),ISNUMBER(V366),N(V366)&gt;0,E366&lt;N(V366))),1,0))</f>
        <v>0</v>
      </c>
      <c r="Z366" s="96">
        <f>IF(AND(Q366=1,T366=1,X366=1,J366="Sim",OR(L366&lt;&gt;"",M366&lt;&gt;"")),1,0)</f>
        <v>0</v>
      </c>
      <c r="AA366" s="96">
        <f>IF(Q366=0,0,IF(AND(OR(r_ini="",AND(ISNUMBER(E366),E366&gt;=r_ini)),OR(r_fim="",AND(ISNUMBER(E366),E366&lt;=r_fim)),OR(r_un="",r_un="(Todas)",IF(N(U366)&gt;0,INDEX('MTRs'!$G$6:$G$505,U366),"")=r_un),OR(r_de="",r_de="(Todos)",D366=r_de)),1,0))</f>
        <v>0</v>
      </c>
      <c r="AB366" s="96" t="str">
        <f>IF(AA366=1,COUNTIF($AA$6:AA366,1),"")</f>
        <v/>
      </c>
    </row>
    <row r="367">
      <c r="A367" s="89" t="inlineStr">
        <is>
          <t>REC-000362</t>
        </is>
      </c>
      <c r="B367" s="94" t="str">
        <f>IF(T367=1,INDEX('ITENS_MTR'!$S$6:$S$1005,S367)&amp;"","")</f>
        <v/>
      </c>
      <c r="C367" s="91" t="n"/>
      <c r="D367" s="94" t="str">
        <f>IF(N(U367)&gt;0,INDEX('MTRs'!$I$6:$I$505,U367)&amp;"","")</f>
        <v/>
      </c>
      <c r="E367" s="92" t="n"/>
      <c r="F367" s="98" t="n"/>
      <c r="G367" s="91" t="n"/>
      <c r="H367" s="93" t="str">
        <f>IF(Q367=0,"",IF(NOT(ISNUMBER(F367)),"",IF(ISNUMBER(W367),F367*W367,"UNIDADE A CONFERIR")))</f>
        <v/>
      </c>
      <c r="I367" s="91" t="n"/>
      <c r="J367" s="91" t="n"/>
      <c r="K367" s="92" t="n"/>
      <c r="L367" s="91" t="n"/>
      <c r="M367" s="91" t="n"/>
      <c r="N367" s="91" t="n"/>
      <c r="O367" s="91" t="n"/>
      <c r="P367" s="94" t="str">
        <f>IF(Q367=0,"",IF(C367="","Item de resíduo não informado",IF(T367=0,"Item inexistente (referência inválida)",IF(NOT(ISNUMBER(F367)),"Quantidade não informada",IF(F367&lt;=0,"Quantidade não positiva",IF(G367="","Unidade não informada",IF(NOT(ISNUMBER(H367)),"Unidade a conferir",IF(NOT(ISNUMBER(E367)),"Data de recebimento não informada",IF(AND(ISNUMBER(V367),N(V367)&gt;0,E367&lt;N(V367)),"Data anterior à emissão do MTR",IF(AND(J367="Sim",L367="",M367=""),"Conferido sem evidência identificada",IF(J367&lt;&gt;"Sim","Aguardando conferência",IF(INDEX('ITENS_MTR'!$AM$6:$AM$1005,S367)=1,"Conferido (ver diferença no item)","Conferido"))))))))))))</f>
        <v/>
      </c>
      <c r="Q367" s="96">
        <f>IF(COUNTA(C367,E367:G367,I367:O367)&gt;0,1,0)</f>
        <v>0</v>
      </c>
      <c r="R367" s="96" t="str">
        <f>IF(C367="","",TRIM(LEFT(C367,FIND(" |",C367&amp;" |")-1)))</f>
        <v/>
      </c>
      <c r="S367" s="96" t="str">
        <f>IF(R367="","",IFERROR(MATCH(R367,'ITENS_MTR'!$A$6:$A$1005,0),""))</f>
        <v/>
      </c>
      <c r="T367" s="96">
        <f>IF(S367="",0,IF(INDEX('ITENS_MTR'!$R$6:$R$1005,S367)=1,1,0))</f>
        <v>0</v>
      </c>
      <c r="U367" s="96" t="str">
        <f>IF(T367=1,INDEX('ITENS_MTR'!$T$6:$T$1005,S367),"")</f>
        <v/>
      </c>
      <c r="V367" s="97" t="str">
        <f>IF(N(U367)&gt;0,INDEX('MTRs'!$E$6:$E$505,U367),"")</f>
        <v/>
      </c>
      <c r="W367" s="96" t="str">
        <f>IF(G367="","",IFERROR(IF(ISNUMBER(INDEX(cfg_fac,MATCH(G367,cfg_units,0))),IF(INDEX(cfg_fac,MATCH(G367,cfg_units,0))&gt;0,INDEX(cfg_fac,MATCH(G367,cfg_units,0)),""),""),""))</f>
        <v/>
      </c>
      <c r="X367" s="96">
        <f>IF(AND(ISNUMBER(F367),ISNUMBER(H367)),IF(H367&gt;0,1,0),0)</f>
        <v>0</v>
      </c>
      <c r="Y367" s="96">
        <f>IF(Q367=0,0,IF(OR(T367=0,X367=0,NOT(ISNUMBER(E367)),AND(J367="Sim",L367="",M367=""),AND(ISNUMBER(E367),ISNUMBER(V367),N(V367)&gt;0,E367&lt;N(V367))),1,0))</f>
        <v>0</v>
      </c>
      <c r="Z367" s="96">
        <f>IF(AND(Q367=1,T367=1,X367=1,J367="Sim",OR(L367&lt;&gt;"",M367&lt;&gt;"")),1,0)</f>
        <v>0</v>
      </c>
      <c r="AA367" s="96">
        <f>IF(Q367=0,0,IF(AND(OR(r_ini="",AND(ISNUMBER(E367),E367&gt;=r_ini)),OR(r_fim="",AND(ISNUMBER(E367),E367&lt;=r_fim)),OR(r_un="",r_un="(Todas)",IF(N(U367)&gt;0,INDEX('MTRs'!$G$6:$G$505,U367),"")=r_un),OR(r_de="",r_de="(Todos)",D367=r_de)),1,0))</f>
        <v>0</v>
      </c>
      <c r="AB367" s="96" t="str">
        <f>IF(AA367=1,COUNTIF($AA$6:AA367,1),"")</f>
        <v/>
      </c>
    </row>
    <row r="368">
      <c r="A368" s="89" t="inlineStr">
        <is>
          <t>REC-000363</t>
        </is>
      </c>
      <c r="B368" s="94" t="str">
        <f>IF(T368=1,INDEX('ITENS_MTR'!$S$6:$S$1005,S368)&amp;"","")</f>
        <v/>
      </c>
      <c r="C368" s="91" t="n"/>
      <c r="D368" s="94" t="str">
        <f>IF(N(U368)&gt;0,INDEX('MTRs'!$I$6:$I$505,U368)&amp;"","")</f>
        <v/>
      </c>
      <c r="E368" s="92" t="n"/>
      <c r="F368" s="98" t="n"/>
      <c r="G368" s="91" t="n"/>
      <c r="H368" s="93" t="str">
        <f>IF(Q368=0,"",IF(NOT(ISNUMBER(F368)),"",IF(ISNUMBER(W368),F368*W368,"UNIDADE A CONFERIR")))</f>
        <v/>
      </c>
      <c r="I368" s="91" t="n"/>
      <c r="J368" s="91" t="n"/>
      <c r="K368" s="92" t="n"/>
      <c r="L368" s="91" t="n"/>
      <c r="M368" s="91" t="n"/>
      <c r="N368" s="91" t="n"/>
      <c r="O368" s="91" t="n"/>
      <c r="P368" s="94" t="str">
        <f>IF(Q368=0,"",IF(C368="","Item de resíduo não informado",IF(T368=0,"Item inexistente (referência inválida)",IF(NOT(ISNUMBER(F368)),"Quantidade não informada",IF(F368&lt;=0,"Quantidade não positiva",IF(G368="","Unidade não informada",IF(NOT(ISNUMBER(H368)),"Unidade a conferir",IF(NOT(ISNUMBER(E368)),"Data de recebimento não informada",IF(AND(ISNUMBER(V368),N(V368)&gt;0,E368&lt;N(V368)),"Data anterior à emissão do MTR",IF(AND(J368="Sim",L368="",M368=""),"Conferido sem evidência identificada",IF(J368&lt;&gt;"Sim","Aguardando conferência",IF(INDEX('ITENS_MTR'!$AM$6:$AM$1005,S368)=1,"Conferido (ver diferença no item)","Conferido"))))))))))))</f>
        <v/>
      </c>
      <c r="Q368" s="96">
        <f>IF(COUNTA(C368,E368:G368,I368:O368)&gt;0,1,0)</f>
        <v>0</v>
      </c>
      <c r="R368" s="96" t="str">
        <f>IF(C368="","",TRIM(LEFT(C368,FIND(" |",C368&amp;" |")-1)))</f>
        <v/>
      </c>
      <c r="S368" s="96" t="str">
        <f>IF(R368="","",IFERROR(MATCH(R368,'ITENS_MTR'!$A$6:$A$1005,0),""))</f>
        <v/>
      </c>
      <c r="T368" s="96">
        <f>IF(S368="",0,IF(INDEX('ITENS_MTR'!$R$6:$R$1005,S368)=1,1,0))</f>
        <v>0</v>
      </c>
      <c r="U368" s="96" t="str">
        <f>IF(T368=1,INDEX('ITENS_MTR'!$T$6:$T$1005,S368),"")</f>
        <v/>
      </c>
      <c r="V368" s="97" t="str">
        <f>IF(N(U368)&gt;0,INDEX('MTRs'!$E$6:$E$505,U368),"")</f>
        <v/>
      </c>
      <c r="W368" s="96" t="str">
        <f>IF(G368="","",IFERROR(IF(ISNUMBER(INDEX(cfg_fac,MATCH(G368,cfg_units,0))),IF(INDEX(cfg_fac,MATCH(G368,cfg_units,0))&gt;0,INDEX(cfg_fac,MATCH(G368,cfg_units,0)),""),""),""))</f>
        <v/>
      </c>
      <c r="X368" s="96">
        <f>IF(AND(ISNUMBER(F368),ISNUMBER(H368)),IF(H368&gt;0,1,0),0)</f>
        <v>0</v>
      </c>
      <c r="Y368" s="96">
        <f>IF(Q368=0,0,IF(OR(T368=0,X368=0,NOT(ISNUMBER(E368)),AND(J368="Sim",L368="",M368=""),AND(ISNUMBER(E368),ISNUMBER(V368),N(V368)&gt;0,E368&lt;N(V368))),1,0))</f>
        <v>0</v>
      </c>
      <c r="Z368" s="96">
        <f>IF(AND(Q368=1,T368=1,X368=1,J368="Sim",OR(L368&lt;&gt;"",M368&lt;&gt;"")),1,0)</f>
        <v>0</v>
      </c>
      <c r="AA368" s="96">
        <f>IF(Q368=0,0,IF(AND(OR(r_ini="",AND(ISNUMBER(E368),E368&gt;=r_ini)),OR(r_fim="",AND(ISNUMBER(E368),E368&lt;=r_fim)),OR(r_un="",r_un="(Todas)",IF(N(U368)&gt;0,INDEX('MTRs'!$G$6:$G$505,U368),"")=r_un),OR(r_de="",r_de="(Todos)",D368=r_de)),1,0))</f>
        <v>0</v>
      </c>
      <c r="AB368" s="96" t="str">
        <f>IF(AA368=1,COUNTIF($AA$6:AA368,1),"")</f>
        <v/>
      </c>
    </row>
    <row r="369">
      <c r="A369" s="89" t="inlineStr">
        <is>
          <t>REC-000364</t>
        </is>
      </c>
      <c r="B369" s="94" t="str">
        <f>IF(T369=1,INDEX('ITENS_MTR'!$S$6:$S$1005,S369)&amp;"","")</f>
        <v/>
      </c>
      <c r="C369" s="91" t="n"/>
      <c r="D369" s="94" t="str">
        <f>IF(N(U369)&gt;0,INDEX('MTRs'!$I$6:$I$505,U369)&amp;"","")</f>
        <v/>
      </c>
      <c r="E369" s="92" t="n"/>
      <c r="F369" s="98" t="n"/>
      <c r="G369" s="91" t="n"/>
      <c r="H369" s="93" t="str">
        <f>IF(Q369=0,"",IF(NOT(ISNUMBER(F369)),"",IF(ISNUMBER(W369),F369*W369,"UNIDADE A CONFERIR")))</f>
        <v/>
      </c>
      <c r="I369" s="91" t="n"/>
      <c r="J369" s="91" t="n"/>
      <c r="K369" s="92" t="n"/>
      <c r="L369" s="91" t="n"/>
      <c r="M369" s="91" t="n"/>
      <c r="N369" s="91" t="n"/>
      <c r="O369" s="91" t="n"/>
      <c r="P369" s="94" t="str">
        <f>IF(Q369=0,"",IF(C369="","Item de resíduo não informado",IF(T369=0,"Item inexistente (referência inválida)",IF(NOT(ISNUMBER(F369)),"Quantidade não informada",IF(F369&lt;=0,"Quantidade não positiva",IF(G369="","Unidade não informada",IF(NOT(ISNUMBER(H369)),"Unidade a conferir",IF(NOT(ISNUMBER(E369)),"Data de recebimento não informada",IF(AND(ISNUMBER(V369),N(V369)&gt;0,E369&lt;N(V369)),"Data anterior à emissão do MTR",IF(AND(J369="Sim",L369="",M369=""),"Conferido sem evidência identificada",IF(J369&lt;&gt;"Sim","Aguardando conferência",IF(INDEX('ITENS_MTR'!$AM$6:$AM$1005,S369)=1,"Conferido (ver diferença no item)","Conferido"))))))))))))</f>
        <v/>
      </c>
      <c r="Q369" s="96">
        <f>IF(COUNTA(C369,E369:G369,I369:O369)&gt;0,1,0)</f>
        <v>0</v>
      </c>
      <c r="R369" s="96" t="str">
        <f>IF(C369="","",TRIM(LEFT(C369,FIND(" |",C369&amp;" |")-1)))</f>
        <v/>
      </c>
      <c r="S369" s="96" t="str">
        <f>IF(R369="","",IFERROR(MATCH(R369,'ITENS_MTR'!$A$6:$A$1005,0),""))</f>
        <v/>
      </c>
      <c r="T369" s="96">
        <f>IF(S369="",0,IF(INDEX('ITENS_MTR'!$R$6:$R$1005,S369)=1,1,0))</f>
        <v>0</v>
      </c>
      <c r="U369" s="96" t="str">
        <f>IF(T369=1,INDEX('ITENS_MTR'!$T$6:$T$1005,S369),"")</f>
        <v/>
      </c>
      <c r="V369" s="97" t="str">
        <f>IF(N(U369)&gt;0,INDEX('MTRs'!$E$6:$E$505,U369),"")</f>
        <v/>
      </c>
      <c r="W369" s="96" t="str">
        <f>IF(G369="","",IFERROR(IF(ISNUMBER(INDEX(cfg_fac,MATCH(G369,cfg_units,0))),IF(INDEX(cfg_fac,MATCH(G369,cfg_units,0))&gt;0,INDEX(cfg_fac,MATCH(G369,cfg_units,0)),""),""),""))</f>
        <v/>
      </c>
      <c r="X369" s="96">
        <f>IF(AND(ISNUMBER(F369),ISNUMBER(H369)),IF(H369&gt;0,1,0),0)</f>
        <v>0</v>
      </c>
      <c r="Y369" s="96">
        <f>IF(Q369=0,0,IF(OR(T369=0,X369=0,NOT(ISNUMBER(E369)),AND(J369="Sim",L369="",M369=""),AND(ISNUMBER(E369),ISNUMBER(V369),N(V369)&gt;0,E369&lt;N(V369))),1,0))</f>
        <v>0</v>
      </c>
      <c r="Z369" s="96">
        <f>IF(AND(Q369=1,T369=1,X369=1,J369="Sim",OR(L369&lt;&gt;"",M369&lt;&gt;"")),1,0)</f>
        <v>0</v>
      </c>
      <c r="AA369" s="96">
        <f>IF(Q369=0,0,IF(AND(OR(r_ini="",AND(ISNUMBER(E369),E369&gt;=r_ini)),OR(r_fim="",AND(ISNUMBER(E369),E369&lt;=r_fim)),OR(r_un="",r_un="(Todas)",IF(N(U369)&gt;0,INDEX('MTRs'!$G$6:$G$505,U369),"")=r_un),OR(r_de="",r_de="(Todos)",D369=r_de)),1,0))</f>
        <v>0</v>
      </c>
      <c r="AB369" s="96" t="str">
        <f>IF(AA369=1,COUNTIF($AA$6:AA369,1),"")</f>
        <v/>
      </c>
    </row>
    <row r="370">
      <c r="A370" s="89" t="inlineStr">
        <is>
          <t>REC-000365</t>
        </is>
      </c>
      <c r="B370" s="94" t="str">
        <f>IF(T370=1,INDEX('ITENS_MTR'!$S$6:$S$1005,S370)&amp;"","")</f>
        <v/>
      </c>
      <c r="C370" s="91" t="n"/>
      <c r="D370" s="94" t="str">
        <f>IF(N(U370)&gt;0,INDEX('MTRs'!$I$6:$I$505,U370)&amp;"","")</f>
        <v/>
      </c>
      <c r="E370" s="92" t="n"/>
      <c r="F370" s="98" t="n"/>
      <c r="G370" s="91" t="n"/>
      <c r="H370" s="93" t="str">
        <f>IF(Q370=0,"",IF(NOT(ISNUMBER(F370)),"",IF(ISNUMBER(W370),F370*W370,"UNIDADE A CONFERIR")))</f>
        <v/>
      </c>
      <c r="I370" s="91" t="n"/>
      <c r="J370" s="91" t="n"/>
      <c r="K370" s="92" t="n"/>
      <c r="L370" s="91" t="n"/>
      <c r="M370" s="91" t="n"/>
      <c r="N370" s="91" t="n"/>
      <c r="O370" s="91" t="n"/>
      <c r="P370" s="94" t="str">
        <f>IF(Q370=0,"",IF(C370="","Item de resíduo não informado",IF(T370=0,"Item inexistente (referência inválida)",IF(NOT(ISNUMBER(F370)),"Quantidade não informada",IF(F370&lt;=0,"Quantidade não positiva",IF(G370="","Unidade não informada",IF(NOT(ISNUMBER(H370)),"Unidade a conferir",IF(NOT(ISNUMBER(E370)),"Data de recebimento não informada",IF(AND(ISNUMBER(V370),N(V370)&gt;0,E370&lt;N(V370)),"Data anterior à emissão do MTR",IF(AND(J370="Sim",L370="",M370=""),"Conferido sem evidência identificada",IF(J370&lt;&gt;"Sim","Aguardando conferência",IF(INDEX('ITENS_MTR'!$AM$6:$AM$1005,S370)=1,"Conferido (ver diferença no item)","Conferido"))))))))))))</f>
        <v/>
      </c>
      <c r="Q370" s="96">
        <f>IF(COUNTA(C370,E370:G370,I370:O370)&gt;0,1,0)</f>
        <v>0</v>
      </c>
      <c r="R370" s="96" t="str">
        <f>IF(C370="","",TRIM(LEFT(C370,FIND(" |",C370&amp;" |")-1)))</f>
        <v/>
      </c>
      <c r="S370" s="96" t="str">
        <f>IF(R370="","",IFERROR(MATCH(R370,'ITENS_MTR'!$A$6:$A$1005,0),""))</f>
        <v/>
      </c>
      <c r="T370" s="96">
        <f>IF(S370="",0,IF(INDEX('ITENS_MTR'!$R$6:$R$1005,S370)=1,1,0))</f>
        <v>0</v>
      </c>
      <c r="U370" s="96" t="str">
        <f>IF(T370=1,INDEX('ITENS_MTR'!$T$6:$T$1005,S370),"")</f>
        <v/>
      </c>
      <c r="V370" s="97" t="str">
        <f>IF(N(U370)&gt;0,INDEX('MTRs'!$E$6:$E$505,U370),"")</f>
        <v/>
      </c>
      <c r="W370" s="96" t="str">
        <f>IF(G370="","",IFERROR(IF(ISNUMBER(INDEX(cfg_fac,MATCH(G370,cfg_units,0))),IF(INDEX(cfg_fac,MATCH(G370,cfg_units,0))&gt;0,INDEX(cfg_fac,MATCH(G370,cfg_units,0)),""),""),""))</f>
        <v/>
      </c>
      <c r="X370" s="96">
        <f>IF(AND(ISNUMBER(F370),ISNUMBER(H370)),IF(H370&gt;0,1,0),0)</f>
        <v>0</v>
      </c>
      <c r="Y370" s="96">
        <f>IF(Q370=0,0,IF(OR(T370=0,X370=0,NOT(ISNUMBER(E370)),AND(J370="Sim",L370="",M370=""),AND(ISNUMBER(E370),ISNUMBER(V370),N(V370)&gt;0,E370&lt;N(V370))),1,0))</f>
        <v>0</v>
      </c>
      <c r="Z370" s="96">
        <f>IF(AND(Q370=1,T370=1,X370=1,J370="Sim",OR(L370&lt;&gt;"",M370&lt;&gt;"")),1,0)</f>
        <v>0</v>
      </c>
      <c r="AA370" s="96">
        <f>IF(Q370=0,0,IF(AND(OR(r_ini="",AND(ISNUMBER(E370),E370&gt;=r_ini)),OR(r_fim="",AND(ISNUMBER(E370),E370&lt;=r_fim)),OR(r_un="",r_un="(Todas)",IF(N(U370)&gt;0,INDEX('MTRs'!$G$6:$G$505,U370),"")=r_un),OR(r_de="",r_de="(Todos)",D370=r_de)),1,0))</f>
        <v>0</v>
      </c>
      <c r="AB370" s="96" t="str">
        <f>IF(AA370=1,COUNTIF($AA$6:AA370,1),"")</f>
        <v/>
      </c>
    </row>
    <row r="371">
      <c r="A371" s="89" t="inlineStr">
        <is>
          <t>REC-000366</t>
        </is>
      </c>
      <c r="B371" s="94" t="str">
        <f>IF(T371=1,INDEX('ITENS_MTR'!$S$6:$S$1005,S371)&amp;"","")</f>
        <v/>
      </c>
      <c r="C371" s="91" t="n"/>
      <c r="D371" s="94" t="str">
        <f>IF(N(U371)&gt;0,INDEX('MTRs'!$I$6:$I$505,U371)&amp;"","")</f>
        <v/>
      </c>
      <c r="E371" s="92" t="n"/>
      <c r="F371" s="98" t="n"/>
      <c r="G371" s="91" t="n"/>
      <c r="H371" s="93" t="str">
        <f>IF(Q371=0,"",IF(NOT(ISNUMBER(F371)),"",IF(ISNUMBER(W371),F371*W371,"UNIDADE A CONFERIR")))</f>
        <v/>
      </c>
      <c r="I371" s="91" t="n"/>
      <c r="J371" s="91" t="n"/>
      <c r="K371" s="92" t="n"/>
      <c r="L371" s="91" t="n"/>
      <c r="M371" s="91" t="n"/>
      <c r="N371" s="91" t="n"/>
      <c r="O371" s="91" t="n"/>
      <c r="P371" s="94" t="str">
        <f>IF(Q371=0,"",IF(C371="","Item de resíduo não informado",IF(T371=0,"Item inexistente (referência inválida)",IF(NOT(ISNUMBER(F371)),"Quantidade não informada",IF(F371&lt;=0,"Quantidade não positiva",IF(G371="","Unidade não informada",IF(NOT(ISNUMBER(H371)),"Unidade a conferir",IF(NOT(ISNUMBER(E371)),"Data de recebimento não informada",IF(AND(ISNUMBER(V371),N(V371)&gt;0,E371&lt;N(V371)),"Data anterior à emissão do MTR",IF(AND(J371="Sim",L371="",M371=""),"Conferido sem evidência identificada",IF(J371&lt;&gt;"Sim","Aguardando conferência",IF(INDEX('ITENS_MTR'!$AM$6:$AM$1005,S371)=1,"Conferido (ver diferença no item)","Conferido"))))))))))))</f>
        <v/>
      </c>
      <c r="Q371" s="96">
        <f>IF(COUNTA(C371,E371:G371,I371:O371)&gt;0,1,0)</f>
        <v>0</v>
      </c>
      <c r="R371" s="96" t="str">
        <f>IF(C371="","",TRIM(LEFT(C371,FIND(" |",C371&amp;" |")-1)))</f>
        <v/>
      </c>
      <c r="S371" s="96" t="str">
        <f>IF(R371="","",IFERROR(MATCH(R371,'ITENS_MTR'!$A$6:$A$1005,0),""))</f>
        <v/>
      </c>
      <c r="T371" s="96">
        <f>IF(S371="",0,IF(INDEX('ITENS_MTR'!$R$6:$R$1005,S371)=1,1,0))</f>
        <v>0</v>
      </c>
      <c r="U371" s="96" t="str">
        <f>IF(T371=1,INDEX('ITENS_MTR'!$T$6:$T$1005,S371),"")</f>
        <v/>
      </c>
      <c r="V371" s="97" t="str">
        <f>IF(N(U371)&gt;0,INDEX('MTRs'!$E$6:$E$505,U371),"")</f>
        <v/>
      </c>
      <c r="W371" s="96" t="str">
        <f>IF(G371="","",IFERROR(IF(ISNUMBER(INDEX(cfg_fac,MATCH(G371,cfg_units,0))),IF(INDEX(cfg_fac,MATCH(G371,cfg_units,0))&gt;0,INDEX(cfg_fac,MATCH(G371,cfg_units,0)),""),""),""))</f>
        <v/>
      </c>
      <c r="X371" s="96">
        <f>IF(AND(ISNUMBER(F371),ISNUMBER(H371)),IF(H371&gt;0,1,0),0)</f>
        <v>0</v>
      </c>
      <c r="Y371" s="96">
        <f>IF(Q371=0,0,IF(OR(T371=0,X371=0,NOT(ISNUMBER(E371)),AND(J371="Sim",L371="",M371=""),AND(ISNUMBER(E371),ISNUMBER(V371),N(V371)&gt;0,E371&lt;N(V371))),1,0))</f>
        <v>0</v>
      </c>
      <c r="Z371" s="96">
        <f>IF(AND(Q371=1,T371=1,X371=1,J371="Sim",OR(L371&lt;&gt;"",M371&lt;&gt;"")),1,0)</f>
        <v>0</v>
      </c>
      <c r="AA371" s="96">
        <f>IF(Q371=0,0,IF(AND(OR(r_ini="",AND(ISNUMBER(E371),E371&gt;=r_ini)),OR(r_fim="",AND(ISNUMBER(E371),E371&lt;=r_fim)),OR(r_un="",r_un="(Todas)",IF(N(U371)&gt;0,INDEX('MTRs'!$G$6:$G$505,U371),"")=r_un),OR(r_de="",r_de="(Todos)",D371=r_de)),1,0))</f>
        <v>0</v>
      </c>
      <c r="AB371" s="96" t="str">
        <f>IF(AA371=1,COUNTIF($AA$6:AA371,1),"")</f>
        <v/>
      </c>
    </row>
    <row r="372">
      <c r="A372" s="89" t="inlineStr">
        <is>
          <t>REC-000367</t>
        </is>
      </c>
      <c r="B372" s="94" t="str">
        <f>IF(T372=1,INDEX('ITENS_MTR'!$S$6:$S$1005,S372)&amp;"","")</f>
        <v/>
      </c>
      <c r="C372" s="91" t="n"/>
      <c r="D372" s="94" t="str">
        <f>IF(N(U372)&gt;0,INDEX('MTRs'!$I$6:$I$505,U372)&amp;"","")</f>
        <v/>
      </c>
      <c r="E372" s="92" t="n"/>
      <c r="F372" s="98" t="n"/>
      <c r="G372" s="91" t="n"/>
      <c r="H372" s="93" t="str">
        <f>IF(Q372=0,"",IF(NOT(ISNUMBER(F372)),"",IF(ISNUMBER(W372),F372*W372,"UNIDADE A CONFERIR")))</f>
        <v/>
      </c>
      <c r="I372" s="91" t="n"/>
      <c r="J372" s="91" t="n"/>
      <c r="K372" s="92" t="n"/>
      <c r="L372" s="91" t="n"/>
      <c r="M372" s="91" t="n"/>
      <c r="N372" s="91" t="n"/>
      <c r="O372" s="91" t="n"/>
      <c r="P372" s="94" t="str">
        <f>IF(Q372=0,"",IF(C372="","Item de resíduo não informado",IF(T372=0,"Item inexistente (referência inválida)",IF(NOT(ISNUMBER(F372)),"Quantidade não informada",IF(F372&lt;=0,"Quantidade não positiva",IF(G372="","Unidade não informada",IF(NOT(ISNUMBER(H372)),"Unidade a conferir",IF(NOT(ISNUMBER(E372)),"Data de recebimento não informada",IF(AND(ISNUMBER(V372),N(V372)&gt;0,E372&lt;N(V372)),"Data anterior à emissão do MTR",IF(AND(J372="Sim",L372="",M372=""),"Conferido sem evidência identificada",IF(J372&lt;&gt;"Sim","Aguardando conferência",IF(INDEX('ITENS_MTR'!$AM$6:$AM$1005,S372)=1,"Conferido (ver diferença no item)","Conferido"))))))))))))</f>
        <v/>
      </c>
      <c r="Q372" s="96">
        <f>IF(COUNTA(C372,E372:G372,I372:O372)&gt;0,1,0)</f>
        <v>0</v>
      </c>
      <c r="R372" s="96" t="str">
        <f>IF(C372="","",TRIM(LEFT(C372,FIND(" |",C372&amp;" |")-1)))</f>
        <v/>
      </c>
      <c r="S372" s="96" t="str">
        <f>IF(R372="","",IFERROR(MATCH(R372,'ITENS_MTR'!$A$6:$A$1005,0),""))</f>
        <v/>
      </c>
      <c r="T372" s="96">
        <f>IF(S372="",0,IF(INDEX('ITENS_MTR'!$R$6:$R$1005,S372)=1,1,0))</f>
        <v>0</v>
      </c>
      <c r="U372" s="96" t="str">
        <f>IF(T372=1,INDEX('ITENS_MTR'!$T$6:$T$1005,S372),"")</f>
        <v/>
      </c>
      <c r="V372" s="97" t="str">
        <f>IF(N(U372)&gt;0,INDEX('MTRs'!$E$6:$E$505,U372),"")</f>
        <v/>
      </c>
      <c r="W372" s="96" t="str">
        <f>IF(G372="","",IFERROR(IF(ISNUMBER(INDEX(cfg_fac,MATCH(G372,cfg_units,0))),IF(INDEX(cfg_fac,MATCH(G372,cfg_units,0))&gt;0,INDEX(cfg_fac,MATCH(G372,cfg_units,0)),""),""),""))</f>
        <v/>
      </c>
      <c r="X372" s="96">
        <f>IF(AND(ISNUMBER(F372),ISNUMBER(H372)),IF(H372&gt;0,1,0),0)</f>
        <v>0</v>
      </c>
      <c r="Y372" s="96">
        <f>IF(Q372=0,0,IF(OR(T372=0,X372=0,NOT(ISNUMBER(E372)),AND(J372="Sim",L372="",M372=""),AND(ISNUMBER(E372),ISNUMBER(V372),N(V372)&gt;0,E372&lt;N(V372))),1,0))</f>
        <v>0</v>
      </c>
      <c r="Z372" s="96">
        <f>IF(AND(Q372=1,T372=1,X372=1,J372="Sim",OR(L372&lt;&gt;"",M372&lt;&gt;"")),1,0)</f>
        <v>0</v>
      </c>
      <c r="AA372" s="96">
        <f>IF(Q372=0,0,IF(AND(OR(r_ini="",AND(ISNUMBER(E372),E372&gt;=r_ini)),OR(r_fim="",AND(ISNUMBER(E372),E372&lt;=r_fim)),OR(r_un="",r_un="(Todas)",IF(N(U372)&gt;0,INDEX('MTRs'!$G$6:$G$505,U372),"")=r_un),OR(r_de="",r_de="(Todos)",D372=r_de)),1,0))</f>
        <v>0</v>
      </c>
      <c r="AB372" s="96" t="str">
        <f>IF(AA372=1,COUNTIF($AA$6:AA372,1),"")</f>
        <v/>
      </c>
    </row>
    <row r="373">
      <c r="A373" s="89" t="inlineStr">
        <is>
          <t>REC-000368</t>
        </is>
      </c>
      <c r="B373" s="94" t="str">
        <f>IF(T373=1,INDEX('ITENS_MTR'!$S$6:$S$1005,S373)&amp;"","")</f>
        <v/>
      </c>
      <c r="C373" s="91" t="n"/>
      <c r="D373" s="94" t="str">
        <f>IF(N(U373)&gt;0,INDEX('MTRs'!$I$6:$I$505,U373)&amp;"","")</f>
        <v/>
      </c>
      <c r="E373" s="92" t="n"/>
      <c r="F373" s="98" t="n"/>
      <c r="G373" s="91" t="n"/>
      <c r="H373" s="93" t="str">
        <f>IF(Q373=0,"",IF(NOT(ISNUMBER(F373)),"",IF(ISNUMBER(W373),F373*W373,"UNIDADE A CONFERIR")))</f>
        <v/>
      </c>
      <c r="I373" s="91" t="n"/>
      <c r="J373" s="91" t="n"/>
      <c r="K373" s="92" t="n"/>
      <c r="L373" s="91" t="n"/>
      <c r="M373" s="91" t="n"/>
      <c r="N373" s="91" t="n"/>
      <c r="O373" s="91" t="n"/>
      <c r="P373" s="94" t="str">
        <f>IF(Q373=0,"",IF(C373="","Item de resíduo não informado",IF(T373=0,"Item inexistente (referência inválida)",IF(NOT(ISNUMBER(F373)),"Quantidade não informada",IF(F373&lt;=0,"Quantidade não positiva",IF(G373="","Unidade não informada",IF(NOT(ISNUMBER(H373)),"Unidade a conferir",IF(NOT(ISNUMBER(E373)),"Data de recebimento não informada",IF(AND(ISNUMBER(V373),N(V373)&gt;0,E373&lt;N(V373)),"Data anterior à emissão do MTR",IF(AND(J373="Sim",L373="",M373=""),"Conferido sem evidência identificada",IF(J373&lt;&gt;"Sim","Aguardando conferência",IF(INDEX('ITENS_MTR'!$AM$6:$AM$1005,S373)=1,"Conferido (ver diferença no item)","Conferido"))))))))))))</f>
        <v/>
      </c>
      <c r="Q373" s="96">
        <f>IF(COUNTA(C373,E373:G373,I373:O373)&gt;0,1,0)</f>
        <v>0</v>
      </c>
      <c r="R373" s="96" t="str">
        <f>IF(C373="","",TRIM(LEFT(C373,FIND(" |",C373&amp;" |")-1)))</f>
        <v/>
      </c>
      <c r="S373" s="96" t="str">
        <f>IF(R373="","",IFERROR(MATCH(R373,'ITENS_MTR'!$A$6:$A$1005,0),""))</f>
        <v/>
      </c>
      <c r="T373" s="96">
        <f>IF(S373="",0,IF(INDEX('ITENS_MTR'!$R$6:$R$1005,S373)=1,1,0))</f>
        <v>0</v>
      </c>
      <c r="U373" s="96" t="str">
        <f>IF(T373=1,INDEX('ITENS_MTR'!$T$6:$T$1005,S373),"")</f>
        <v/>
      </c>
      <c r="V373" s="97" t="str">
        <f>IF(N(U373)&gt;0,INDEX('MTRs'!$E$6:$E$505,U373),"")</f>
        <v/>
      </c>
      <c r="W373" s="96" t="str">
        <f>IF(G373="","",IFERROR(IF(ISNUMBER(INDEX(cfg_fac,MATCH(G373,cfg_units,0))),IF(INDEX(cfg_fac,MATCH(G373,cfg_units,0))&gt;0,INDEX(cfg_fac,MATCH(G373,cfg_units,0)),""),""),""))</f>
        <v/>
      </c>
      <c r="X373" s="96">
        <f>IF(AND(ISNUMBER(F373),ISNUMBER(H373)),IF(H373&gt;0,1,0),0)</f>
        <v>0</v>
      </c>
      <c r="Y373" s="96">
        <f>IF(Q373=0,0,IF(OR(T373=0,X373=0,NOT(ISNUMBER(E373)),AND(J373="Sim",L373="",M373=""),AND(ISNUMBER(E373),ISNUMBER(V373),N(V373)&gt;0,E373&lt;N(V373))),1,0))</f>
        <v>0</v>
      </c>
      <c r="Z373" s="96">
        <f>IF(AND(Q373=1,T373=1,X373=1,J373="Sim",OR(L373&lt;&gt;"",M373&lt;&gt;"")),1,0)</f>
        <v>0</v>
      </c>
      <c r="AA373" s="96">
        <f>IF(Q373=0,0,IF(AND(OR(r_ini="",AND(ISNUMBER(E373),E373&gt;=r_ini)),OR(r_fim="",AND(ISNUMBER(E373),E373&lt;=r_fim)),OR(r_un="",r_un="(Todas)",IF(N(U373)&gt;0,INDEX('MTRs'!$G$6:$G$505,U373),"")=r_un),OR(r_de="",r_de="(Todos)",D373=r_de)),1,0))</f>
        <v>0</v>
      </c>
      <c r="AB373" s="96" t="str">
        <f>IF(AA373=1,COUNTIF($AA$6:AA373,1),"")</f>
        <v/>
      </c>
    </row>
    <row r="374">
      <c r="A374" s="89" t="inlineStr">
        <is>
          <t>REC-000369</t>
        </is>
      </c>
      <c r="B374" s="94" t="str">
        <f>IF(T374=1,INDEX('ITENS_MTR'!$S$6:$S$1005,S374)&amp;"","")</f>
        <v/>
      </c>
      <c r="C374" s="91" t="n"/>
      <c r="D374" s="94" t="str">
        <f>IF(N(U374)&gt;0,INDEX('MTRs'!$I$6:$I$505,U374)&amp;"","")</f>
        <v/>
      </c>
      <c r="E374" s="92" t="n"/>
      <c r="F374" s="98" t="n"/>
      <c r="G374" s="91" t="n"/>
      <c r="H374" s="93" t="str">
        <f>IF(Q374=0,"",IF(NOT(ISNUMBER(F374)),"",IF(ISNUMBER(W374),F374*W374,"UNIDADE A CONFERIR")))</f>
        <v/>
      </c>
      <c r="I374" s="91" t="n"/>
      <c r="J374" s="91" t="n"/>
      <c r="K374" s="92" t="n"/>
      <c r="L374" s="91" t="n"/>
      <c r="M374" s="91" t="n"/>
      <c r="N374" s="91" t="n"/>
      <c r="O374" s="91" t="n"/>
      <c r="P374" s="94" t="str">
        <f>IF(Q374=0,"",IF(C374="","Item de resíduo não informado",IF(T374=0,"Item inexistente (referência inválida)",IF(NOT(ISNUMBER(F374)),"Quantidade não informada",IF(F374&lt;=0,"Quantidade não positiva",IF(G374="","Unidade não informada",IF(NOT(ISNUMBER(H374)),"Unidade a conferir",IF(NOT(ISNUMBER(E374)),"Data de recebimento não informada",IF(AND(ISNUMBER(V374),N(V374)&gt;0,E374&lt;N(V374)),"Data anterior à emissão do MTR",IF(AND(J374="Sim",L374="",M374=""),"Conferido sem evidência identificada",IF(J374&lt;&gt;"Sim","Aguardando conferência",IF(INDEX('ITENS_MTR'!$AM$6:$AM$1005,S374)=1,"Conferido (ver diferença no item)","Conferido"))))))))))))</f>
        <v/>
      </c>
      <c r="Q374" s="96">
        <f>IF(COUNTA(C374,E374:G374,I374:O374)&gt;0,1,0)</f>
        <v>0</v>
      </c>
      <c r="R374" s="96" t="str">
        <f>IF(C374="","",TRIM(LEFT(C374,FIND(" |",C374&amp;" |")-1)))</f>
        <v/>
      </c>
      <c r="S374" s="96" t="str">
        <f>IF(R374="","",IFERROR(MATCH(R374,'ITENS_MTR'!$A$6:$A$1005,0),""))</f>
        <v/>
      </c>
      <c r="T374" s="96">
        <f>IF(S374="",0,IF(INDEX('ITENS_MTR'!$R$6:$R$1005,S374)=1,1,0))</f>
        <v>0</v>
      </c>
      <c r="U374" s="96" t="str">
        <f>IF(T374=1,INDEX('ITENS_MTR'!$T$6:$T$1005,S374),"")</f>
        <v/>
      </c>
      <c r="V374" s="97" t="str">
        <f>IF(N(U374)&gt;0,INDEX('MTRs'!$E$6:$E$505,U374),"")</f>
        <v/>
      </c>
      <c r="W374" s="96" t="str">
        <f>IF(G374="","",IFERROR(IF(ISNUMBER(INDEX(cfg_fac,MATCH(G374,cfg_units,0))),IF(INDEX(cfg_fac,MATCH(G374,cfg_units,0))&gt;0,INDEX(cfg_fac,MATCH(G374,cfg_units,0)),""),""),""))</f>
        <v/>
      </c>
      <c r="X374" s="96">
        <f>IF(AND(ISNUMBER(F374),ISNUMBER(H374)),IF(H374&gt;0,1,0),0)</f>
        <v>0</v>
      </c>
      <c r="Y374" s="96">
        <f>IF(Q374=0,0,IF(OR(T374=0,X374=0,NOT(ISNUMBER(E374)),AND(J374="Sim",L374="",M374=""),AND(ISNUMBER(E374),ISNUMBER(V374),N(V374)&gt;0,E374&lt;N(V374))),1,0))</f>
        <v>0</v>
      </c>
      <c r="Z374" s="96">
        <f>IF(AND(Q374=1,T374=1,X374=1,J374="Sim",OR(L374&lt;&gt;"",M374&lt;&gt;"")),1,0)</f>
        <v>0</v>
      </c>
      <c r="AA374" s="96">
        <f>IF(Q374=0,0,IF(AND(OR(r_ini="",AND(ISNUMBER(E374),E374&gt;=r_ini)),OR(r_fim="",AND(ISNUMBER(E374),E374&lt;=r_fim)),OR(r_un="",r_un="(Todas)",IF(N(U374)&gt;0,INDEX('MTRs'!$G$6:$G$505,U374),"")=r_un),OR(r_de="",r_de="(Todos)",D374=r_de)),1,0))</f>
        <v>0</v>
      </c>
      <c r="AB374" s="96" t="str">
        <f>IF(AA374=1,COUNTIF($AA$6:AA374,1),"")</f>
        <v/>
      </c>
    </row>
    <row r="375">
      <c r="A375" s="89" t="inlineStr">
        <is>
          <t>REC-000370</t>
        </is>
      </c>
      <c r="B375" s="94" t="str">
        <f>IF(T375=1,INDEX('ITENS_MTR'!$S$6:$S$1005,S375)&amp;"","")</f>
        <v/>
      </c>
      <c r="C375" s="91" t="n"/>
      <c r="D375" s="94" t="str">
        <f>IF(N(U375)&gt;0,INDEX('MTRs'!$I$6:$I$505,U375)&amp;"","")</f>
        <v/>
      </c>
      <c r="E375" s="92" t="n"/>
      <c r="F375" s="98" t="n"/>
      <c r="G375" s="91" t="n"/>
      <c r="H375" s="93" t="str">
        <f>IF(Q375=0,"",IF(NOT(ISNUMBER(F375)),"",IF(ISNUMBER(W375),F375*W375,"UNIDADE A CONFERIR")))</f>
        <v/>
      </c>
      <c r="I375" s="91" t="n"/>
      <c r="J375" s="91" t="n"/>
      <c r="K375" s="92" t="n"/>
      <c r="L375" s="91" t="n"/>
      <c r="M375" s="91" t="n"/>
      <c r="N375" s="91" t="n"/>
      <c r="O375" s="91" t="n"/>
      <c r="P375" s="94" t="str">
        <f>IF(Q375=0,"",IF(C375="","Item de resíduo não informado",IF(T375=0,"Item inexistente (referência inválida)",IF(NOT(ISNUMBER(F375)),"Quantidade não informada",IF(F375&lt;=0,"Quantidade não positiva",IF(G375="","Unidade não informada",IF(NOT(ISNUMBER(H375)),"Unidade a conferir",IF(NOT(ISNUMBER(E375)),"Data de recebimento não informada",IF(AND(ISNUMBER(V375),N(V375)&gt;0,E375&lt;N(V375)),"Data anterior à emissão do MTR",IF(AND(J375="Sim",L375="",M375=""),"Conferido sem evidência identificada",IF(J375&lt;&gt;"Sim","Aguardando conferência",IF(INDEX('ITENS_MTR'!$AM$6:$AM$1005,S375)=1,"Conferido (ver diferença no item)","Conferido"))))))))))))</f>
        <v/>
      </c>
      <c r="Q375" s="96">
        <f>IF(COUNTA(C375,E375:G375,I375:O375)&gt;0,1,0)</f>
        <v>0</v>
      </c>
      <c r="R375" s="96" t="str">
        <f>IF(C375="","",TRIM(LEFT(C375,FIND(" |",C375&amp;" |")-1)))</f>
        <v/>
      </c>
      <c r="S375" s="96" t="str">
        <f>IF(R375="","",IFERROR(MATCH(R375,'ITENS_MTR'!$A$6:$A$1005,0),""))</f>
        <v/>
      </c>
      <c r="T375" s="96">
        <f>IF(S375="",0,IF(INDEX('ITENS_MTR'!$R$6:$R$1005,S375)=1,1,0))</f>
        <v>0</v>
      </c>
      <c r="U375" s="96" t="str">
        <f>IF(T375=1,INDEX('ITENS_MTR'!$T$6:$T$1005,S375),"")</f>
        <v/>
      </c>
      <c r="V375" s="97" t="str">
        <f>IF(N(U375)&gt;0,INDEX('MTRs'!$E$6:$E$505,U375),"")</f>
        <v/>
      </c>
      <c r="W375" s="96" t="str">
        <f>IF(G375="","",IFERROR(IF(ISNUMBER(INDEX(cfg_fac,MATCH(G375,cfg_units,0))),IF(INDEX(cfg_fac,MATCH(G375,cfg_units,0))&gt;0,INDEX(cfg_fac,MATCH(G375,cfg_units,0)),""),""),""))</f>
        <v/>
      </c>
      <c r="X375" s="96">
        <f>IF(AND(ISNUMBER(F375),ISNUMBER(H375)),IF(H375&gt;0,1,0),0)</f>
        <v>0</v>
      </c>
      <c r="Y375" s="96">
        <f>IF(Q375=0,0,IF(OR(T375=0,X375=0,NOT(ISNUMBER(E375)),AND(J375="Sim",L375="",M375=""),AND(ISNUMBER(E375),ISNUMBER(V375),N(V375)&gt;0,E375&lt;N(V375))),1,0))</f>
        <v>0</v>
      </c>
      <c r="Z375" s="96">
        <f>IF(AND(Q375=1,T375=1,X375=1,J375="Sim",OR(L375&lt;&gt;"",M375&lt;&gt;"")),1,0)</f>
        <v>0</v>
      </c>
      <c r="AA375" s="96">
        <f>IF(Q375=0,0,IF(AND(OR(r_ini="",AND(ISNUMBER(E375),E375&gt;=r_ini)),OR(r_fim="",AND(ISNUMBER(E375),E375&lt;=r_fim)),OR(r_un="",r_un="(Todas)",IF(N(U375)&gt;0,INDEX('MTRs'!$G$6:$G$505,U375),"")=r_un),OR(r_de="",r_de="(Todos)",D375=r_de)),1,0))</f>
        <v>0</v>
      </c>
      <c r="AB375" s="96" t="str">
        <f>IF(AA375=1,COUNTIF($AA$6:AA375,1),"")</f>
        <v/>
      </c>
    </row>
    <row r="376">
      <c r="A376" s="89" t="inlineStr">
        <is>
          <t>REC-000371</t>
        </is>
      </c>
      <c r="B376" s="94" t="str">
        <f>IF(T376=1,INDEX('ITENS_MTR'!$S$6:$S$1005,S376)&amp;"","")</f>
        <v/>
      </c>
      <c r="C376" s="91" t="n"/>
      <c r="D376" s="94" t="str">
        <f>IF(N(U376)&gt;0,INDEX('MTRs'!$I$6:$I$505,U376)&amp;"","")</f>
        <v/>
      </c>
      <c r="E376" s="92" t="n"/>
      <c r="F376" s="98" t="n"/>
      <c r="G376" s="91" t="n"/>
      <c r="H376" s="93" t="str">
        <f>IF(Q376=0,"",IF(NOT(ISNUMBER(F376)),"",IF(ISNUMBER(W376),F376*W376,"UNIDADE A CONFERIR")))</f>
        <v/>
      </c>
      <c r="I376" s="91" t="n"/>
      <c r="J376" s="91" t="n"/>
      <c r="K376" s="92" t="n"/>
      <c r="L376" s="91" t="n"/>
      <c r="M376" s="91" t="n"/>
      <c r="N376" s="91" t="n"/>
      <c r="O376" s="91" t="n"/>
      <c r="P376" s="94" t="str">
        <f>IF(Q376=0,"",IF(C376="","Item de resíduo não informado",IF(T376=0,"Item inexistente (referência inválida)",IF(NOT(ISNUMBER(F376)),"Quantidade não informada",IF(F376&lt;=0,"Quantidade não positiva",IF(G376="","Unidade não informada",IF(NOT(ISNUMBER(H376)),"Unidade a conferir",IF(NOT(ISNUMBER(E376)),"Data de recebimento não informada",IF(AND(ISNUMBER(V376),N(V376)&gt;0,E376&lt;N(V376)),"Data anterior à emissão do MTR",IF(AND(J376="Sim",L376="",M376=""),"Conferido sem evidência identificada",IF(J376&lt;&gt;"Sim","Aguardando conferência",IF(INDEX('ITENS_MTR'!$AM$6:$AM$1005,S376)=1,"Conferido (ver diferença no item)","Conferido"))))))))))))</f>
        <v/>
      </c>
      <c r="Q376" s="96">
        <f>IF(COUNTA(C376,E376:G376,I376:O376)&gt;0,1,0)</f>
        <v>0</v>
      </c>
      <c r="R376" s="96" t="str">
        <f>IF(C376="","",TRIM(LEFT(C376,FIND(" |",C376&amp;" |")-1)))</f>
        <v/>
      </c>
      <c r="S376" s="96" t="str">
        <f>IF(R376="","",IFERROR(MATCH(R376,'ITENS_MTR'!$A$6:$A$1005,0),""))</f>
        <v/>
      </c>
      <c r="T376" s="96">
        <f>IF(S376="",0,IF(INDEX('ITENS_MTR'!$R$6:$R$1005,S376)=1,1,0))</f>
        <v>0</v>
      </c>
      <c r="U376" s="96" t="str">
        <f>IF(T376=1,INDEX('ITENS_MTR'!$T$6:$T$1005,S376),"")</f>
        <v/>
      </c>
      <c r="V376" s="97" t="str">
        <f>IF(N(U376)&gt;0,INDEX('MTRs'!$E$6:$E$505,U376),"")</f>
        <v/>
      </c>
      <c r="W376" s="96" t="str">
        <f>IF(G376="","",IFERROR(IF(ISNUMBER(INDEX(cfg_fac,MATCH(G376,cfg_units,0))),IF(INDEX(cfg_fac,MATCH(G376,cfg_units,0))&gt;0,INDEX(cfg_fac,MATCH(G376,cfg_units,0)),""),""),""))</f>
        <v/>
      </c>
      <c r="X376" s="96">
        <f>IF(AND(ISNUMBER(F376),ISNUMBER(H376)),IF(H376&gt;0,1,0),0)</f>
        <v>0</v>
      </c>
      <c r="Y376" s="96">
        <f>IF(Q376=0,0,IF(OR(T376=0,X376=0,NOT(ISNUMBER(E376)),AND(J376="Sim",L376="",M376=""),AND(ISNUMBER(E376),ISNUMBER(V376),N(V376)&gt;0,E376&lt;N(V376))),1,0))</f>
        <v>0</v>
      </c>
      <c r="Z376" s="96">
        <f>IF(AND(Q376=1,T376=1,X376=1,J376="Sim",OR(L376&lt;&gt;"",M376&lt;&gt;"")),1,0)</f>
        <v>0</v>
      </c>
      <c r="AA376" s="96">
        <f>IF(Q376=0,0,IF(AND(OR(r_ini="",AND(ISNUMBER(E376),E376&gt;=r_ini)),OR(r_fim="",AND(ISNUMBER(E376),E376&lt;=r_fim)),OR(r_un="",r_un="(Todas)",IF(N(U376)&gt;0,INDEX('MTRs'!$G$6:$G$505,U376),"")=r_un),OR(r_de="",r_de="(Todos)",D376=r_de)),1,0))</f>
        <v>0</v>
      </c>
      <c r="AB376" s="96" t="str">
        <f>IF(AA376=1,COUNTIF($AA$6:AA376,1),"")</f>
        <v/>
      </c>
    </row>
    <row r="377">
      <c r="A377" s="89" t="inlineStr">
        <is>
          <t>REC-000372</t>
        </is>
      </c>
      <c r="B377" s="94" t="str">
        <f>IF(T377=1,INDEX('ITENS_MTR'!$S$6:$S$1005,S377)&amp;"","")</f>
        <v/>
      </c>
      <c r="C377" s="91" t="n"/>
      <c r="D377" s="94" t="str">
        <f>IF(N(U377)&gt;0,INDEX('MTRs'!$I$6:$I$505,U377)&amp;"","")</f>
        <v/>
      </c>
      <c r="E377" s="92" t="n"/>
      <c r="F377" s="98" t="n"/>
      <c r="G377" s="91" t="n"/>
      <c r="H377" s="93" t="str">
        <f>IF(Q377=0,"",IF(NOT(ISNUMBER(F377)),"",IF(ISNUMBER(W377),F377*W377,"UNIDADE A CONFERIR")))</f>
        <v/>
      </c>
      <c r="I377" s="91" t="n"/>
      <c r="J377" s="91" t="n"/>
      <c r="K377" s="92" t="n"/>
      <c r="L377" s="91" t="n"/>
      <c r="M377" s="91" t="n"/>
      <c r="N377" s="91" t="n"/>
      <c r="O377" s="91" t="n"/>
      <c r="P377" s="94" t="str">
        <f>IF(Q377=0,"",IF(C377="","Item de resíduo não informado",IF(T377=0,"Item inexistente (referência inválida)",IF(NOT(ISNUMBER(F377)),"Quantidade não informada",IF(F377&lt;=0,"Quantidade não positiva",IF(G377="","Unidade não informada",IF(NOT(ISNUMBER(H377)),"Unidade a conferir",IF(NOT(ISNUMBER(E377)),"Data de recebimento não informada",IF(AND(ISNUMBER(V377),N(V377)&gt;0,E377&lt;N(V377)),"Data anterior à emissão do MTR",IF(AND(J377="Sim",L377="",M377=""),"Conferido sem evidência identificada",IF(J377&lt;&gt;"Sim","Aguardando conferência",IF(INDEX('ITENS_MTR'!$AM$6:$AM$1005,S377)=1,"Conferido (ver diferença no item)","Conferido"))))))))))))</f>
        <v/>
      </c>
      <c r="Q377" s="96">
        <f>IF(COUNTA(C377,E377:G377,I377:O377)&gt;0,1,0)</f>
        <v>0</v>
      </c>
      <c r="R377" s="96" t="str">
        <f>IF(C377="","",TRIM(LEFT(C377,FIND(" |",C377&amp;" |")-1)))</f>
        <v/>
      </c>
      <c r="S377" s="96" t="str">
        <f>IF(R377="","",IFERROR(MATCH(R377,'ITENS_MTR'!$A$6:$A$1005,0),""))</f>
        <v/>
      </c>
      <c r="T377" s="96">
        <f>IF(S377="",0,IF(INDEX('ITENS_MTR'!$R$6:$R$1005,S377)=1,1,0))</f>
        <v>0</v>
      </c>
      <c r="U377" s="96" t="str">
        <f>IF(T377=1,INDEX('ITENS_MTR'!$T$6:$T$1005,S377),"")</f>
        <v/>
      </c>
      <c r="V377" s="97" t="str">
        <f>IF(N(U377)&gt;0,INDEX('MTRs'!$E$6:$E$505,U377),"")</f>
        <v/>
      </c>
      <c r="W377" s="96" t="str">
        <f>IF(G377="","",IFERROR(IF(ISNUMBER(INDEX(cfg_fac,MATCH(G377,cfg_units,0))),IF(INDEX(cfg_fac,MATCH(G377,cfg_units,0))&gt;0,INDEX(cfg_fac,MATCH(G377,cfg_units,0)),""),""),""))</f>
        <v/>
      </c>
      <c r="X377" s="96">
        <f>IF(AND(ISNUMBER(F377),ISNUMBER(H377)),IF(H377&gt;0,1,0),0)</f>
        <v>0</v>
      </c>
      <c r="Y377" s="96">
        <f>IF(Q377=0,0,IF(OR(T377=0,X377=0,NOT(ISNUMBER(E377)),AND(J377="Sim",L377="",M377=""),AND(ISNUMBER(E377),ISNUMBER(V377),N(V377)&gt;0,E377&lt;N(V377))),1,0))</f>
        <v>0</v>
      </c>
      <c r="Z377" s="96">
        <f>IF(AND(Q377=1,T377=1,X377=1,J377="Sim",OR(L377&lt;&gt;"",M377&lt;&gt;"")),1,0)</f>
        <v>0</v>
      </c>
      <c r="AA377" s="96">
        <f>IF(Q377=0,0,IF(AND(OR(r_ini="",AND(ISNUMBER(E377),E377&gt;=r_ini)),OR(r_fim="",AND(ISNUMBER(E377),E377&lt;=r_fim)),OR(r_un="",r_un="(Todas)",IF(N(U377)&gt;0,INDEX('MTRs'!$G$6:$G$505,U377),"")=r_un),OR(r_de="",r_de="(Todos)",D377=r_de)),1,0))</f>
        <v>0</v>
      </c>
      <c r="AB377" s="96" t="str">
        <f>IF(AA377=1,COUNTIF($AA$6:AA377,1),"")</f>
        <v/>
      </c>
    </row>
    <row r="378">
      <c r="A378" s="89" t="inlineStr">
        <is>
          <t>REC-000373</t>
        </is>
      </c>
      <c r="B378" s="94" t="str">
        <f>IF(T378=1,INDEX('ITENS_MTR'!$S$6:$S$1005,S378)&amp;"","")</f>
        <v/>
      </c>
      <c r="C378" s="91" t="n"/>
      <c r="D378" s="94" t="str">
        <f>IF(N(U378)&gt;0,INDEX('MTRs'!$I$6:$I$505,U378)&amp;"","")</f>
        <v/>
      </c>
      <c r="E378" s="92" t="n"/>
      <c r="F378" s="98" t="n"/>
      <c r="G378" s="91" t="n"/>
      <c r="H378" s="93" t="str">
        <f>IF(Q378=0,"",IF(NOT(ISNUMBER(F378)),"",IF(ISNUMBER(W378),F378*W378,"UNIDADE A CONFERIR")))</f>
        <v/>
      </c>
      <c r="I378" s="91" t="n"/>
      <c r="J378" s="91" t="n"/>
      <c r="K378" s="92" t="n"/>
      <c r="L378" s="91" t="n"/>
      <c r="M378" s="91" t="n"/>
      <c r="N378" s="91" t="n"/>
      <c r="O378" s="91" t="n"/>
      <c r="P378" s="94" t="str">
        <f>IF(Q378=0,"",IF(C378="","Item de resíduo não informado",IF(T378=0,"Item inexistente (referência inválida)",IF(NOT(ISNUMBER(F378)),"Quantidade não informada",IF(F378&lt;=0,"Quantidade não positiva",IF(G378="","Unidade não informada",IF(NOT(ISNUMBER(H378)),"Unidade a conferir",IF(NOT(ISNUMBER(E378)),"Data de recebimento não informada",IF(AND(ISNUMBER(V378),N(V378)&gt;0,E378&lt;N(V378)),"Data anterior à emissão do MTR",IF(AND(J378="Sim",L378="",M378=""),"Conferido sem evidência identificada",IF(J378&lt;&gt;"Sim","Aguardando conferência",IF(INDEX('ITENS_MTR'!$AM$6:$AM$1005,S378)=1,"Conferido (ver diferença no item)","Conferido"))))))))))))</f>
        <v/>
      </c>
      <c r="Q378" s="96">
        <f>IF(COUNTA(C378,E378:G378,I378:O378)&gt;0,1,0)</f>
        <v>0</v>
      </c>
      <c r="R378" s="96" t="str">
        <f>IF(C378="","",TRIM(LEFT(C378,FIND(" |",C378&amp;" |")-1)))</f>
        <v/>
      </c>
      <c r="S378" s="96" t="str">
        <f>IF(R378="","",IFERROR(MATCH(R378,'ITENS_MTR'!$A$6:$A$1005,0),""))</f>
        <v/>
      </c>
      <c r="T378" s="96">
        <f>IF(S378="",0,IF(INDEX('ITENS_MTR'!$R$6:$R$1005,S378)=1,1,0))</f>
        <v>0</v>
      </c>
      <c r="U378" s="96" t="str">
        <f>IF(T378=1,INDEX('ITENS_MTR'!$T$6:$T$1005,S378),"")</f>
        <v/>
      </c>
      <c r="V378" s="97" t="str">
        <f>IF(N(U378)&gt;0,INDEX('MTRs'!$E$6:$E$505,U378),"")</f>
        <v/>
      </c>
      <c r="W378" s="96" t="str">
        <f>IF(G378="","",IFERROR(IF(ISNUMBER(INDEX(cfg_fac,MATCH(G378,cfg_units,0))),IF(INDEX(cfg_fac,MATCH(G378,cfg_units,0))&gt;0,INDEX(cfg_fac,MATCH(G378,cfg_units,0)),""),""),""))</f>
        <v/>
      </c>
      <c r="X378" s="96">
        <f>IF(AND(ISNUMBER(F378),ISNUMBER(H378)),IF(H378&gt;0,1,0),0)</f>
        <v>0</v>
      </c>
      <c r="Y378" s="96">
        <f>IF(Q378=0,0,IF(OR(T378=0,X378=0,NOT(ISNUMBER(E378)),AND(J378="Sim",L378="",M378=""),AND(ISNUMBER(E378),ISNUMBER(V378),N(V378)&gt;0,E378&lt;N(V378))),1,0))</f>
        <v>0</v>
      </c>
      <c r="Z378" s="96">
        <f>IF(AND(Q378=1,T378=1,X378=1,J378="Sim",OR(L378&lt;&gt;"",M378&lt;&gt;"")),1,0)</f>
        <v>0</v>
      </c>
      <c r="AA378" s="96">
        <f>IF(Q378=0,0,IF(AND(OR(r_ini="",AND(ISNUMBER(E378),E378&gt;=r_ini)),OR(r_fim="",AND(ISNUMBER(E378),E378&lt;=r_fim)),OR(r_un="",r_un="(Todas)",IF(N(U378)&gt;0,INDEX('MTRs'!$G$6:$G$505,U378),"")=r_un),OR(r_de="",r_de="(Todos)",D378=r_de)),1,0))</f>
        <v>0</v>
      </c>
      <c r="AB378" s="96" t="str">
        <f>IF(AA378=1,COUNTIF($AA$6:AA378,1),"")</f>
        <v/>
      </c>
    </row>
    <row r="379">
      <c r="A379" s="89" t="inlineStr">
        <is>
          <t>REC-000374</t>
        </is>
      </c>
      <c r="B379" s="94" t="str">
        <f>IF(T379=1,INDEX('ITENS_MTR'!$S$6:$S$1005,S379)&amp;"","")</f>
        <v/>
      </c>
      <c r="C379" s="91" t="n"/>
      <c r="D379" s="94" t="str">
        <f>IF(N(U379)&gt;0,INDEX('MTRs'!$I$6:$I$505,U379)&amp;"","")</f>
        <v/>
      </c>
      <c r="E379" s="92" t="n"/>
      <c r="F379" s="98" t="n"/>
      <c r="G379" s="91" t="n"/>
      <c r="H379" s="93" t="str">
        <f>IF(Q379=0,"",IF(NOT(ISNUMBER(F379)),"",IF(ISNUMBER(W379),F379*W379,"UNIDADE A CONFERIR")))</f>
        <v/>
      </c>
      <c r="I379" s="91" t="n"/>
      <c r="J379" s="91" t="n"/>
      <c r="K379" s="92" t="n"/>
      <c r="L379" s="91" t="n"/>
      <c r="M379" s="91" t="n"/>
      <c r="N379" s="91" t="n"/>
      <c r="O379" s="91" t="n"/>
      <c r="P379" s="94" t="str">
        <f>IF(Q379=0,"",IF(C379="","Item de resíduo não informado",IF(T379=0,"Item inexistente (referência inválida)",IF(NOT(ISNUMBER(F379)),"Quantidade não informada",IF(F379&lt;=0,"Quantidade não positiva",IF(G379="","Unidade não informada",IF(NOT(ISNUMBER(H379)),"Unidade a conferir",IF(NOT(ISNUMBER(E379)),"Data de recebimento não informada",IF(AND(ISNUMBER(V379),N(V379)&gt;0,E379&lt;N(V379)),"Data anterior à emissão do MTR",IF(AND(J379="Sim",L379="",M379=""),"Conferido sem evidência identificada",IF(J379&lt;&gt;"Sim","Aguardando conferência",IF(INDEX('ITENS_MTR'!$AM$6:$AM$1005,S379)=1,"Conferido (ver diferença no item)","Conferido"))))))))))))</f>
        <v/>
      </c>
      <c r="Q379" s="96">
        <f>IF(COUNTA(C379,E379:G379,I379:O379)&gt;0,1,0)</f>
        <v>0</v>
      </c>
      <c r="R379" s="96" t="str">
        <f>IF(C379="","",TRIM(LEFT(C379,FIND(" |",C379&amp;" |")-1)))</f>
        <v/>
      </c>
      <c r="S379" s="96" t="str">
        <f>IF(R379="","",IFERROR(MATCH(R379,'ITENS_MTR'!$A$6:$A$1005,0),""))</f>
        <v/>
      </c>
      <c r="T379" s="96">
        <f>IF(S379="",0,IF(INDEX('ITENS_MTR'!$R$6:$R$1005,S379)=1,1,0))</f>
        <v>0</v>
      </c>
      <c r="U379" s="96" t="str">
        <f>IF(T379=1,INDEX('ITENS_MTR'!$T$6:$T$1005,S379),"")</f>
        <v/>
      </c>
      <c r="V379" s="97" t="str">
        <f>IF(N(U379)&gt;0,INDEX('MTRs'!$E$6:$E$505,U379),"")</f>
        <v/>
      </c>
      <c r="W379" s="96" t="str">
        <f>IF(G379="","",IFERROR(IF(ISNUMBER(INDEX(cfg_fac,MATCH(G379,cfg_units,0))),IF(INDEX(cfg_fac,MATCH(G379,cfg_units,0))&gt;0,INDEX(cfg_fac,MATCH(G379,cfg_units,0)),""),""),""))</f>
        <v/>
      </c>
      <c r="X379" s="96">
        <f>IF(AND(ISNUMBER(F379),ISNUMBER(H379)),IF(H379&gt;0,1,0),0)</f>
        <v>0</v>
      </c>
      <c r="Y379" s="96">
        <f>IF(Q379=0,0,IF(OR(T379=0,X379=0,NOT(ISNUMBER(E379)),AND(J379="Sim",L379="",M379=""),AND(ISNUMBER(E379),ISNUMBER(V379),N(V379)&gt;0,E379&lt;N(V379))),1,0))</f>
        <v>0</v>
      </c>
      <c r="Z379" s="96">
        <f>IF(AND(Q379=1,T379=1,X379=1,J379="Sim",OR(L379&lt;&gt;"",M379&lt;&gt;"")),1,0)</f>
        <v>0</v>
      </c>
      <c r="AA379" s="96">
        <f>IF(Q379=0,0,IF(AND(OR(r_ini="",AND(ISNUMBER(E379),E379&gt;=r_ini)),OR(r_fim="",AND(ISNUMBER(E379),E379&lt;=r_fim)),OR(r_un="",r_un="(Todas)",IF(N(U379)&gt;0,INDEX('MTRs'!$G$6:$G$505,U379),"")=r_un),OR(r_de="",r_de="(Todos)",D379=r_de)),1,0))</f>
        <v>0</v>
      </c>
      <c r="AB379" s="96" t="str">
        <f>IF(AA379=1,COUNTIF($AA$6:AA379,1),"")</f>
        <v/>
      </c>
    </row>
    <row r="380">
      <c r="A380" s="89" t="inlineStr">
        <is>
          <t>REC-000375</t>
        </is>
      </c>
      <c r="B380" s="94" t="str">
        <f>IF(T380=1,INDEX('ITENS_MTR'!$S$6:$S$1005,S380)&amp;"","")</f>
        <v/>
      </c>
      <c r="C380" s="91" t="n"/>
      <c r="D380" s="94" t="str">
        <f>IF(N(U380)&gt;0,INDEX('MTRs'!$I$6:$I$505,U380)&amp;"","")</f>
        <v/>
      </c>
      <c r="E380" s="92" t="n"/>
      <c r="F380" s="98" t="n"/>
      <c r="G380" s="91" t="n"/>
      <c r="H380" s="93" t="str">
        <f>IF(Q380=0,"",IF(NOT(ISNUMBER(F380)),"",IF(ISNUMBER(W380),F380*W380,"UNIDADE A CONFERIR")))</f>
        <v/>
      </c>
      <c r="I380" s="91" t="n"/>
      <c r="J380" s="91" t="n"/>
      <c r="K380" s="92" t="n"/>
      <c r="L380" s="91" t="n"/>
      <c r="M380" s="91" t="n"/>
      <c r="N380" s="91" t="n"/>
      <c r="O380" s="91" t="n"/>
      <c r="P380" s="94" t="str">
        <f>IF(Q380=0,"",IF(C380="","Item de resíduo não informado",IF(T380=0,"Item inexistente (referência inválida)",IF(NOT(ISNUMBER(F380)),"Quantidade não informada",IF(F380&lt;=0,"Quantidade não positiva",IF(G380="","Unidade não informada",IF(NOT(ISNUMBER(H380)),"Unidade a conferir",IF(NOT(ISNUMBER(E380)),"Data de recebimento não informada",IF(AND(ISNUMBER(V380),N(V380)&gt;0,E380&lt;N(V380)),"Data anterior à emissão do MTR",IF(AND(J380="Sim",L380="",M380=""),"Conferido sem evidência identificada",IF(J380&lt;&gt;"Sim","Aguardando conferência",IF(INDEX('ITENS_MTR'!$AM$6:$AM$1005,S380)=1,"Conferido (ver diferença no item)","Conferido"))))))))))))</f>
        <v/>
      </c>
      <c r="Q380" s="96">
        <f>IF(COUNTA(C380,E380:G380,I380:O380)&gt;0,1,0)</f>
        <v>0</v>
      </c>
      <c r="R380" s="96" t="str">
        <f>IF(C380="","",TRIM(LEFT(C380,FIND(" |",C380&amp;" |")-1)))</f>
        <v/>
      </c>
      <c r="S380" s="96" t="str">
        <f>IF(R380="","",IFERROR(MATCH(R380,'ITENS_MTR'!$A$6:$A$1005,0),""))</f>
        <v/>
      </c>
      <c r="T380" s="96">
        <f>IF(S380="",0,IF(INDEX('ITENS_MTR'!$R$6:$R$1005,S380)=1,1,0))</f>
        <v>0</v>
      </c>
      <c r="U380" s="96" t="str">
        <f>IF(T380=1,INDEX('ITENS_MTR'!$T$6:$T$1005,S380),"")</f>
        <v/>
      </c>
      <c r="V380" s="97" t="str">
        <f>IF(N(U380)&gt;0,INDEX('MTRs'!$E$6:$E$505,U380),"")</f>
        <v/>
      </c>
      <c r="W380" s="96" t="str">
        <f>IF(G380="","",IFERROR(IF(ISNUMBER(INDEX(cfg_fac,MATCH(G380,cfg_units,0))),IF(INDEX(cfg_fac,MATCH(G380,cfg_units,0))&gt;0,INDEX(cfg_fac,MATCH(G380,cfg_units,0)),""),""),""))</f>
        <v/>
      </c>
      <c r="X380" s="96">
        <f>IF(AND(ISNUMBER(F380),ISNUMBER(H380)),IF(H380&gt;0,1,0),0)</f>
        <v>0</v>
      </c>
      <c r="Y380" s="96">
        <f>IF(Q380=0,0,IF(OR(T380=0,X380=0,NOT(ISNUMBER(E380)),AND(J380="Sim",L380="",M380=""),AND(ISNUMBER(E380),ISNUMBER(V380),N(V380)&gt;0,E380&lt;N(V380))),1,0))</f>
        <v>0</v>
      </c>
      <c r="Z380" s="96">
        <f>IF(AND(Q380=1,T380=1,X380=1,J380="Sim",OR(L380&lt;&gt;"",M380&lt;&gt;"")),1,0)</f>
        <v>0</v>
      </c>
      <c r="AA380" s="96">
        <f>IF(Q380=0,0,IF(AND(OR(r_ini="",AND(ISNUMBER(E380),E380&gt;=r_ini)),OR(r_fim="",AND(ISNUMBER(E380),E380&lt;=r_fim)),OR(r_un="",r_un="(Todas)",IF(N(U380)&gt;0,INDEX('MTRs'!$G$6:$G$505,U380),"")=r_un),OR(r_de="",r_de="(Todos)",D380=r_de)),1,0))</f>
        <v>0</v>
      </c>
      <c r="AB380" s="96" t="str">
        <f>IF(AA380=1,COUNTIF($AA$6:AA380,1),"")</f>
        <v/>
      </c>
    </row>
    <row r="381">
      <c r="A381" s="89" t="inlineStr">
        <is>
          <t>REC-000376</t>
        </is>
      </c>
      <c r="B381" s="94" t="str">
        <f>IF(T381=1,INDEX('ITENS_MTR'!$S$6:$S$1005,S381)&amp;"","")</f>
        <v/>
      </c>
      <c r="C381" s="91" t="n"/>
      <c r="D381" s="94" t="str">
        <f>IF(N(U381)&gt;0,INDEX('MTRs'!$I$6:$I$505,U381)&amp;"","")</f>
        <v/>
      </c>
      <c r="E381" s="92" t="n"/>
      <c r="F381" s="98" t="n"/>
      <c r="G381" s="91" t="n"/>
      <c r="H381" s="93" t="str">
        <f>IF(Q381=0,"",IF(NOT(ISNUMBER(F381)),"",IF(ISNUMBER(W381),F381*W381,"UNIDADE A CONFERIR")))</f>
        <v/>
      </c>
      <c r="I381" s="91" t="n"/>
      <c r="J381" s="91" t="n"/>
      <c r="K381" s="92" t="n"/>
      <c r="L381" s="91" t="n"/>
      <c r="M381" s="91" t="n"/>
      <c r="N381" s="91" t="n"/>
      <c r="O381" s="91" t="n"/>
      <c r="P381" s="94" t="str">
        <f>IF(Q381=0,"",IF(C381="","Item de resíduo não informado",IF(T381=0,"Item inexistente (referência inválida)",IF(NOT(ISNUMBER(F381)),"Quantidade não informada",IF(F381&lt;=0,"Quantidade não positiva",IF(G381="","Unidade não informada",IF(NOT(ISNUMBER(H381)),"Unidade a conferir",IF(NOT(ISNUMBER(E381)),"Data de recebimento não informada",IF(AND(ISNUMBER(V381),N(V381)&gt;0,E381&lt;N(V381)),"Data anterior à emissão do MTR",IF(AND(J381="Sim",L381="",M381=""),"Conferido sem evidência identificada",IF(J381&lt;&gt;"Sim","Aguardando conferência",IF(INDEX('ITENS_MTR'!$AM$6:$AM$1005,S381)=1,"Conferido (ver diferença no item)","Conferido"))))))))))))</f>
        <v/>
      </c>
      <c r="Q381" s="96">
        <f>IF(COUNTA(C381,E381:G381,I381:O381)&gt;0,1,0)</f>
        <v>0</v>
      </c>
      <c r="R381" s="96" t="str">
        <f>IF(C381="","",TRIM(LEFT(C381,FIND(" |",C381&amp;" |")-1)))</f>
        <v/>
      </c>
      <c r="S381" s="96" t="str">
        <f>IF(R381="","",IFERROR(MATCH(R381,'ITENS_MTR'!$A$6:$A$1005,0),""))</f>
        <v/>
      </c>
      <c r="T381" s="96">
        <f>IF(S381="",0,IF(INDEX('ITENS_MTR'!$R$6:$R$1005,S381)=1,1,0))</f>
        <v>0</v>
      </c>
      <c r="U381" s="96" t="str">
        <f>IF(T381=1,INDEX('ITENS_MTR'!$T$6:$T$1005,S381),"")</f>
        <v/>
      </c>
      <c r="V381" s="97" t="str">
        <f>IF(N(U381)&gt;0,INDEX('MTRs'!$E$6:$E$505,U381),"")</f>
        <v/>
      </c>
      <c r="W381" s="96" t="str">
        <f>IF(G381="","",IFERROR(IF(ISNUMBER(INDEX(cfg_fac,MATCH(G381,cfg_units,0))),IF(INDEX(cfg_fac,MATCH(G381,cfg_units,0))&gt;0,INDEX(cfg_fac,MATCH(G381,cfg_units,0)),""),""),""))</f>
        <v/>
      </c>
      <c r="X381" s="96">
        <f>IF(AND(ISNUMBER(F381),ISNUMBER(H381)),IF(H381&gt;0,1,0),0)</f>
        <v>0</v>
      </c>
      <c r="Y381" s="96">
        <f>IF(Q381=0,0,IF(OR(T381=0,X381=0,NOT(ISNUMBER(E381)),AND(J381="Sim",L381="",M381=""),AND(ISNUMBER(E381),ISNUMBER(V381),N(V381)&gt;0,E381&lt;N(V381))),1,0))</f>
        <v>0</v>
      </c>
      <c r="Z381" s="96">
        <f>IF(AND(Q381=1,T381=1,X381=1,J381="Sim",OR(L381&lt;&gt;"",M381&lt;&gt;"")),1,0)</f>
        <v>0</v>
      </c>
      <c r="AA381" s="96">
        <f>IF(Q381=0,0,IF(AND(OR(r_ini="",AND(ISNUMBER(E381),E381&gt;=r_ini)),OR(r_fim="",AND(ISNUMBER(E381),E381&lt;=r_fim)),OR(r_un="",r_un="(Todas)",IF(N(U381)&gt;0,INDEX('MTRs'!$G$6:$G$505,U381),"")=r_un),OR(r_de="",r_de="(Todos)",D381=r_de)),1,0))</f>
        <v>0</v>
      </c>
      <c r="AB381" s="96" t="str">
        <f>IF(AA381=1,COUNTIF($AA$6:AA381,1),"")</f>
        <v/>
      </c>
    </row>
    <row r="382">
      <c r="A382" s="89" t="inlineStr">
        <is>
          <t>REC-000377</t>
        </is>
      </c>
      <c r="B382" s="94" t="str">
        <f>IF(T382=1,INDEX('ITENS_MTR'!$S$6:$S$1005,S382)&amp;"","")</f>
        <v/>
      </c>
      <c r="C382" s="91" t="n"/>
      <c r="D382" s="94" t="str">
        <f>IF(N(U382)&gt;0,INDEX('MTRs'!$I$6:$I$505,U382)&amp;"","")</f>
        <v/>
      </c>
      <c r="E382" s="92" t="n"/>
      <c r="F382" s="98" t="n"/>
      <c r="G382" s="91" t="n"/>
      <c r="H382" s="93" t="str">
        <f>IF(Q382=0,"",IF(NOT(ISNUMBER(F382)),"",IF(ISNUMBER(W382),F382*W382,"UNIDADE A CONFERIR")))</f>
        <v/>
      </c>
      <c r="I382" s="91" t="n"/>
      <c r="J382" s="91" t="n"/>
      <c r="K382" s="92" t="n"/>
      <c r="L382" s="91" t="n"/>
      <c r="M382" s="91" t="n"/>
      <c r="N382" s="91" t="n"/>
      <c r="O382" s="91" t="n"/>
      <c r="P382" s="94" t="str">
        <f>IF(Q382=0,"",IF(C382="","Item de resíduo não informado",IF(T382=0,"Item inexistente (referência inválida)",IF(NOT(ISNUMBER(F382)),"Quantidade não informada",IF(F382&lt;=0,"Quantidade não positiva",IF(G382="","Unidade não informada",IF(NOT(ISNUMBER(H382)),"Unidade a conferir",IF(NOT(ISNUMBER(E382)),"Data de recebimento não informada",IF(AND(ISNUMBER(V382),N(V382)&gt;0,E382&lt;N(V382)),"Data anterior à emissão do MTR",IF(AND(J382="Sim",L382="",M382=""),"Conferido sem evidência identificada",IF(J382&lt;&gt;"Sim","Aguardando conferência",IF(INDEX('ITENS_MTR'!$AM$6:$AM$1005,S382)=1,"Conferido (ver diferença no item)","Conferido"))))))))))))</f>
        <v/>
      </c>
      <c r="Q382" s="96">
        <f>IF(COUNTA(C382,E382:G382,I382:O382)&gt;0,1,0)</f>
        <v>0</v>
      </c>
      <c r="R382" s="96" t="str">
        <f>IF(C382="","",TRIM(LEFT(C382,FIND(" |",C382&amp;" |")-1)))</f>
        <v/>
      </c>
      <c r="S382" s="96" t="str">
        <f>IF(R382="","",IFERROR(MATCH(R382,'ITENS_MTR'!$A$6:$A$1005,0),""))</f>
        <v/>
      </c>
      <c r="T382" s="96">
        <f>IF(S382="",0,IF(INDEX('ITENS_MTR'!$R$6:$R$1005,S382)=1,1,0))</f>
        <v>0</v>
      </c>
      <c r="U382" s="96" t="str">
        <f>IF(T382=1,INDEX('ITENS_MTR'!$T$6:$T$1005,S382),"")</f>
        <v/>
      </c>
      <c r="V382" s="97" t="str">
        <f>IF(N(U382)&gt;0,INDEX('MTRs'!$E$6:$E$505,U382),"")</f>
        <v/>
      </c>
      <c r="W382" s="96" t="str">
        <f>IF(G382="","",IFERROR(IF(ISNUMBER(INDEX(cfg_fac,MATCH(G382,cfg_units,0))),IF(INDEX(cfg_fac,MATCH(G382,cfg_units,0))&gt;0,INDEX(cfg_fac,MATCH(G382,cfg_units,0)),""),""),""))</f>
        <v/>
      </c>
      <c r="X382" s="96">
        <f>IF(AND(ISNUMBER(F382),ISNUMBER(H382)),IF(H382&gt;0,1,0),0)</f>
        <v>0</v>
      </c>
      <c r="Y382" s="96">
        <f>IF(Q382=0,0,IF(OR(T382=0,X382=0,NOT(ISNUMBER(E382)),AND(J382="Sim",L382="",M382=""),AND(ISNUMBER(E382),ISNUMBER(V382),N(V382)&gt;0,E382&lt;N(V382))),1,0))</f>
        <v>0</v>
      </c>
      <c r="Z382" s="96">
        <f>IF(AND(Q382=1,T382=1,X382=1,J382="Sim",OR(L382&lt;&gt;"",M382&lt;&gt;"")),1,0)</f>
        <v>0</v>
      </c>
      <c r="AA382" s="96">
        <f>IF(Q382=0,0,IF(AND(OR(r_ini="",AND(ISNUMBER(E382),E382&gt;=r_ini)),OR(r_fim="",AND(ISNUMBER(E382),E382&lt;=r_fim)),OR(r_un="",r_un="(Todas)",IF(N(U382)&gt;0,INDEX('MTRs'!$G$6:$G$505,U382),"")=r_un),OR(r_de="",r_de="(Todos)",D382=r_de)),1,0))</f>
        <v>0</v>
      </c>
      <c r="AB382" s="96" t="str">
        <f>IF(AA382=1,COUNTIF($AA$6:AA382,1),"")</f>
        <v/>
      </c>
    </row>
    <row r="383">
      <c r="A383" s="89" t="inlineStr">
        <is>
          <t>REC-000378</t>
        </is>
      </c>
      <c r="B383" s="94" t="str">
        <f>IF(T383=1,INDEX('ITENS_MTR'!$S$6:$S$1005,S383)&amp;"","")</f>
        <v/>
      </c>
      <c r="C383" s="91" t="n"/>
      <c r="D383" s="94" t="str">
        <f>IF(N(U383)&gt;0,INDEX('MTRs'!$I$6:$I$505,U383)&amp;"","")</f>
        <v/>
      </c>
      <c r="E383" s="92" t="n"/>
      <c r="F383" s="98" t="n"/>
      <c r="G383" s="91" t="n"/>
      <c r="H383" s="93" t="str">
        <f>IF(Q383=0,"",IF(NOT(ISNUMBER(F383)),"",IF(ISNUMBER(W383),F383*W383,"UNIDADE A CONFERIR")))</f>
        <v/>
      </c>
      <c r="I383" s="91" t="n"/>
      <c r="J383" s="91" t="n"/>
      <c r="K383" s="92" t="n"/>
      <c r="L383" s="91" t="n"/>
      <c r="M383" s="91" t="n"/>
      <c r="N383" s="91" t="n"/>
      <c r="O383" s="91" t="n"/>
      <c r="P383" s="94" t="str">
        <f>IF(Q383=0,"",IF(C383="","Item de resíduo não informado",IF(T383=0,"Item inexistente (referência inválida)",IF(NOT(ISNUMBER(F383)),"Quantidade não informada",IF(F383&lt;=0,"Quantidade não positiva",IF(G383="","Unidade não informada",IF(NOT(ISNUMBER(H383)),"Unidade a conferir",IF(NOT(ISNUMBER(E383)),"Data de recebimento não informada",IF(AND(ISNUMBER(V383),N(V383)&gt;0,E383&lt;N(V383)),"Data anterior à emissão do MTR",IF(AND(J383="Sim",L383="",M383=""),"Conferido sem evidência identificada",IF(J383&lt;&gt;"Sim","Aguardando conferência",IF(INDEX('ITENS_MTR'!$AM$6:$AM$1005,S383)=1,"Conferido (ver diferença no item)","Conferido"))))))))))))</f>
        <v/>
      </c>
      <c r="Q383" s="96">
        <f>IF(COUNTA(C383,E383:G383,I383:O383)&gt;0,1,0)</f>
        <v>0</v>
      </c>
      <c r="R383" s="96" t="str">
        <f>IF(C383="","",TRIM(LEFT(C383,FIND(" |",C383&amp;" |")-1)))</f>
        <v/>
      </c>
      <c r="S383" s="96" t="str">
        <f>IF(R383="","",IFERROR(MATCH(R383,'ITENS_MTR'!$A$6:$A$1005,0),""))</f>
        <v/>
      </c>
      <c r="T383" s="96">
        <f>IF(S383="",0,IF(INDEX('ITENS_MTR'!$R$6:$R$1005,S383)=1,1,0))</f>
        <v>0</v>
      </c>
      <c r="U383" s="96" t="str">
        <f>IF(T383=1,INDEX('ITENS_MTR'!$T$6:$T$1005,S383),"")</f>
        <v/>
      </c>
      <c r="V383" s="97" t="str">
        <f>IF(N(U383)&gt;0,INDEX('MTRs'!$E$6:$E$505,U383),"")</f>
        <v/>
      </c>
      <c r="W383" s="96" t="str">
        <f>IF(G383="","",IFERROR(IF(ISNUMBER(INDEX(cfg_fac,MATCH(G383,cfg_units,0))),IF(INDEX(cfg_fac,MATCH(G383,cfg_units,0))&gt;0,INDEX(cfg_fac,MATCH(G383,cfg_units,0)),""),""),""))</f>
        <v/>
      </c>
      <c r="X383" s="96">
        <f>IF(AND(ISNUMBER(F383),ISNUMBER(H383)),IF(H383&gt;0,1,0),0)</f>
        <v>0</v>
      </c>
      <c r="Y383" s="96">
        <f>IF(Q383=0,0,IF(OR(T383=0,X383=0,NOT(ISNUMBER(E383)),AND(J383="Sim",L383="",M383=""),AND(ISNUMBER(E383),ISNUMBER(V383),N(V383)&gt;0,E383&lt;N(V383))),1,0))</f>
        <v>0</v>
      </c>
      <c r="Z383" s="96">
        <f>IF(AND(Q383=1,T383=1,X383=1,J383="Sim",OR(L383&lt;&gt;"",M383&lt;&gt;"")),1,0)</f>
        <v>0</v>
      </c>
      <c r="AA383" s="96">
        <f>IF(Q383=0,0,IF(AND(OR(r_ini="",AND(ISNUMBER(E383),E383&gt;=r_ini)),OR(r_fim="",AND(ISNUMBER(E383),E383&lt;=r_fim)),OR(r_un="",r_un="(Todas)",IF(N(U383)&gt;0,INDEX('MTRs'!$G$6:$G$505,U383),"")=r_un),OR(r_de="",r_de="(Todos)",D383=r_de)),1,0))</f>
        <v>0</v>
      </c>
      <c r="AB383" s="96" t="str">
        <f>IF(AA383=1,COUNTIF($AA$6:AA383,1),"")</f>
        <v/>
      </c>
    </row>
    <row r="384">
      <c r="A384" s="89" t="inlineStr">
        <is>
          <t>REC-000379</t>
        </is>
      </c>
      <c r="B384" s="94" t="str">
        <f>IF(T384=1,INDEX('ITENS_MTR'!$S$6:$S$1005,S384)&amp;"","")</f>
        <v/>
      </c>
      <c r="C384" s="91" t="n"/>
      <c r="D384" s="94" t="str">
        <f>IF(N(U384)&gt;0,INDEX('MTRs'!$I$6:$I$505,U384)&amp;"","")</f>
        <v/>
      </c>
      <c r="E384" s="92" t="n"/>
      <c r="F384" s="98" t="n"/>
      <c r="G384" s="91" t="n"/>
      <c r="H384" s="93" t="str">
        <f>IF(Q384=0,"",IF(NOT(ISNUMBER(F384)),"",IF(ISNUMBER(W384),F384*W384,"UNIDADE A CONFERIR")))</f>
        <v/>
      </c>
      <c r="I384" s="91" t="n"/>
      <c r="J384" s="91" t="n"/>
      <c r="K384" s="92" t="n"/>
      <c r="L384" s="91" t="n"/>
      <c r="M384" s="91" t="n"/>
      <c r="N384" s="91" t="n"/>
      <c r="O384" s="91" t="n"/>
      <c r="P384" s="94" t="str">
        <f>IF(Q384=0,"",IF(C384="","Item de resíduo não informado",IF(T384=0,"Item inexistente (referência inválida)",IF(NOT(ISNUMBER(F384)),"Quantidade não informada",IF(F384&lt;=0,"Quantidade não positiva",IF(G384="","Unidade não informada",IF(NOT(ISNUMBER(H384)),"Unidade a conferir",IF(NOT(ISNUMBER(E384)),"Data de recebimento não informada",IF(AND(ISNUMBER(V384),N(V384)&gt;0,E384&lt;N(V384)),"Data anterior à emissão do MTR",IF(AND(J384="Sim",L384="",M384=""),"Conferido sem evidência identificada",IF(J384&lt;&gt;"Sim","Aguardando conferência",IF(INDEX('ITENS_MTR'!$AM$6:$AM$1005,S384)=1,"Conferido (ver diferença no item)","Conferido"))))))))))))</f>
        <v/>
      </c>
      <c r="Q384" s="96">
        <f>IF(COUNTA(C384,E384:G384,I384:O384)&gt;0,1,0)</f>
        <v>0</v>
      </c>
      <c r="R384" s="96" t="str">
        <f>IF(C384="","",TRIM(LEFT(C384,FIND(" |",C384&amp;" |")-1)))</f>
        <v/>
      </c>
      <c r="S384" s="96" t="str">
        <f>IF(R384="","",IFERROR(MATCH(R384,'ITENS_MTR'!$A$6:$A$1005,0),""))</f>
        <v/>
      </c>
      <c r="T384" s="96">
        <f>IF(S384="",0,IF(INDEX('ITENS_MTR'!$R$6:$R$1005,S384)=1,1,0))</f>
        <v>0</v>
      </c>
      <c r="U384" s="96" t="str">
        <f>IF(T384=1,INDEX('ITENS_MTR'!$T$6:$T$1005,S384),"")</f>
        <v/>
      </c>
      <c r="V384" s="97" t="str">
        <f>IF(N(U384)&gt;0,INDEX('MTRs'!$E$6:$E$505,U384),"")</f>
        <v/>
      </c>
      <c r="W384" s="96" t="str">
        <f>IF(G384="","",IFERROR(IF(ISNUMBER(INDEX(cfg_fac,MATCH(G384,cfg_units,0))),IF(INDEX(cfg_fac,MATCH(G384,cfg_units,0))&gt;0,INDEX(cfg_fac,MATCH(G384,cfg_units,0)),""),""),""))</f>
        <v/>
      </c>
      <c r="X384" s="96">
        <f>IF(AND(ISNUMBER(F384),ISNUMBER(H384)),IF(H384&gt;0,1,0),0)</f>
        <v>0</v>
      </c>
      <c r="Y384" s="96">
        <f>IF(Q384=0,0,IF(OR(T384=0,X384=0,NOT(ISNUMBER(E384)),AND(J384="Sim",L384="",M384=""),AND(ISNUMBER(E384),ISNUMBER(V384),N(V384)&gt;0,E384&lt;N(V384))),1,0))</f>
        <v>0</v>
      </c>
      <c r="Z384" s="96">
        <f>IF(AND(Q384=1,T384=1,X384=1,J384="Sim",OR(L384&lt;&gt;"",M384&lt;&gt;"")),1,0)</f>
        <v>0</v>
      </c>
      <c r="AA384" s="96">
        <f>IF(Q384=0,0,IF(AND(OR(r_ini="",AND(ISNUMBER(E384),E384&gt;=r_ini)),OR(r_fim="",AND(ISNUMBER(E384),E384&lt;=r_fim)),OR(r_un="",r_un="(Todas)",IF(N(U384)&gt;0,INDEX('MTRs'!$G$6:$G$505,U384),"")=r_un),OR(r_de="",r_de="(Todos)",D384=r_de)),1,0))</f>
        <v>0</v>
      </c>
      <c r="AB384" s="96" t="str">
        <f>IF(AA384=1,COUNTIF($AA$6:AA384,1),"")</f>
        <v/>
      </c>
    </row>
    <row r="385">
      <c r="A385" s="89" t="inlineStr">
        <is>
          <t>REC-000380</t>
        </is>
      </c>
      <c r="B385" s="94" t="str">
        <f>IF(T385=1,INDEX('ITENS_MTR'!$S$6:$S$1005,S385)&amp;"","")</f>
        <v/>
      </c>
      <c r="C385" s="91" t="n"/>
      <c r="D385" s="94" t="str">
        <f>IF(N(U385)&gt;0,INDEX('MTRs'!$I$6:$I$505,U385)&amp;"","")</f>
        <v/>
      </c>
      <c r="E385" s="92" t="n"/>
      <c r="F385" s="98" t="n"/>
      <c r="G385" s="91" t="n"/>
      <c r="H385" s="93" t="str">
        <f>IF(Q385=0,"",IF(NOT(ISNUMBER(F385)),"",IF(ISNUMBER(W385),F385*W385,"UNIDADE A CONFERIR")))</f>
        <v/>
      </c>
      <c r="I385" s="91" t="n"/>
      <c r="J385" s="91" t="n"/>
      <c r="K385" s="92" t="n"/>
      <c r="L385" s="91" t="n"/>
      <c r="M385" s="91" t="n"/>
      <c r="N385" s="91" t="n"/>
      <c r="O385" s="91" t="n"/>
      <c r="P385" s="94" t="str">
        <f>IF(Q385=0,"",IF(C385="","Item de resíduo não informado",IF(T385=0,"Item inexistente (referência inválida)",IF(NOT(ISNUMBER(F385)),"Quantidade não informada",IF(F385&lt;=0,"Quantidade não positiva",IF(G385="","Unidade não informada",IF(NOT(ISNUMBER(H385)),"Unidade a conferir",IF(NOT(ISNUMBER(E385)),"Data de recebimento não informada",IF(AND(ISNUMBER(V385),N(V385)&gt;0,E385&lt;N(V385)),"Data anterior à emissão do MTR",IF(AND(J385="Sim",L385="",M385=""),"Conferido sem evidência identificada",IF(J385&lt;&gt;"Sim","Aguardando conferência",IF(INDEX('ITENS_MTR'!$AM$6:$AM$1005,S385)=1,"Conferido (ver diferença no item)","Conferido"))))))))))))</f>
        <v/>
      </c>
      <c r="Q385" s="96">
        <f>IF(COUNTA(C385,E385:G385,I385:O385)&gt;0,1,0)</f>
        <v>0</v>
      </c>
      <c r="R385" s="96" t="str">
        <f>IF(C385="","",TRIM(LEFT(C385,FIND(" |",C385&amp;" |")-1)))</f>
        <v/>
      </c>
      <c r="S385" s="96" t="str">
        <f>IF(R385="","",IFERROR(MATCH(R385,'ITENS_MTR'!$A$6:$A$1005,0),""))</f>
        <v/>
      </c>
      <c r="T385" s="96">
        <f>IF(S385="",0,IF(INDEX('ITENS_MTR'!$R$6:$R$1005,S385)=1,1,0))</f>
        <v>0</v>
      </c>
      <c r="U385" s="96" t="str">
        <f>IF(T385=1,INDEX('ITENS_MTR'!$T$6:$T$1005,S385),"")</f>
        <v/>
      </c>
      <c r="V385" s="97" t="str">
        <f>IF(N(U385)&gt;0,INDEX('MTRs'!$E$6:$E$505,U385),"")</f>
        <v/>
      </c>
      <c r="W385" s="96" t="str">
        <f>IF(G385="","",IFERROR(IF(ISNUMBER(INDEX(cfg_fac,MATCH(G385,cfg_units,0))),IF(INDEX(cfg_fac,MATCH(G385,cfg_units,0))&gt;0,INDEX(cfg_fac,MATCH(G385,cfg_units,0)),""),""),""))</f>
        <v/>
      </c>
      <c r="X385" s="96">
        <f>IF(AND(ISNUMBER(F385),ISNUMBER(H385)),IF(H385&gt;0,1,0),0)</f>
        <v>0</v>
      </c>
      <c r="Y385" s="96">
        <f>IF(Q385=0,0,IF(OR(T385=0,X385=0,NOT(ISNUMBER(E385)),AND(J385="Sim",L385="",M385=""),AND(ISNUMBER(E385),ISNUMBER(V385),N(V385)&gt;0,E385&lt;N(V385))),1,0))</f>
        <v>0</v>
      </c>
      <c r="Z385" s="96">
        <f>IF(AND(Q385=1,T385=1,X385=1,J385="Sim",OR(L385&lt;&gt;"",M385&lt;&gt;"")),1,0)</f>
        <v>0</v>
      </c>
      <c r="AA385" s="96">
        <f>IF(Q385=0,0,IF(AND(OR(r_ini="",AND(ISNUMBER(E385),E385&gt;=r_ini)),OR(r_fim="",AND(ISNUMBER(E385),E385&lt;=r_fim)),OR(r_un="",r_un="(Todas)",IF(N(U385)&gt;0,INDEX('MTRs'!$G$6:$G$505,U385),"")=r_un),OR(r_de="",r_de="(Todos)",D385=r_de)),1,0))</f>
        <v>0</v>
      </c>
      <c r="AB385" s="96" t="str">
        <f>IF(AA385=1,COUNTIF($AA$6:AA385,1),"")</f>
        <v/>
      </c>
    </row>
    <row r="386">
      <c r="A386" s="89" t="inlineStr">
        <is>
          <t>REC-000381</t>
        </is>
      </c>
      <c r="B386" s="94" t="str">
        <f>IF(T386=1,INDEX('ITENS_MTR'!$S$6:$S$1005,S386)&amp;"","")</f>
        <v/>
      </c>
      <c r="C386" s="91" t="n"/>
      <c r="D386" s="94" t="str">
        <f>IF(N(U386)&gt;0,INDEX('MTRs'!$I$6:$I$505,U386)&amp;"","")</f>
        <v/>
      </c>
      <c r="E386" s="92" t="n"/>
      <c r="F386" s="98" t="n"/>
      <c r="G386" s="91" t="n"/>
      <c r="H386" s="93" t="str">
        <f>IF(Q386=0,"",IF(NOT(ISNUMBER(F386)),"",IF(ISNUMBER(W386),F386*W386,"UNIDADE A CONFERIR")))</f>
        <v/>
      </c>
      <c r="I386" s="91" t="n"/>
      <c r="J386" s="91" t="n"/>
      <c r="K386" s="92" t="n"/>
      <c r="L386" s="91" t="n"/>
      <c r="M386" s="91" t="n"/>
      <c r="N386" s="91" t="n"/>
      <c r="O386" s="91" t="n"/>
      <c r="P386" s="94" t="str">
        <f>IF(Q386=0,"",IF(C386="","Item de resíduo não informado",IF(T386=0,"Item inexistente (referência inválida)",IF(NOT(ISNUMBER(F386)),"Quantidade não informada",IF(F386&lt;=0,"Quantidade não positiva",IF(G386="","Unidade não informada",IF(NOT(ISNUMBER(H386)),"Unidade a conferir",IF(NOT(ISNUMBER(E386)),"Data de recebimento não informada",IF(AND(ISNUMBER(V386),N(V386)&gt;0,E386&lt;N(V386)),"Data anterior à emissão do MTR",IF(AND(J386="Sim",L386="",M386=""),"Conferido sem evidência identificada",IF(J386&lt;&gt;"Sim","Aguardando conferência",IF(INDEX('ITENS_MTR'!$AM$6:$AM$1005,S386)=1,"Conferido (ver diferença no item)","Conferido"))))))))))))</f>
        <v/>
      </c>
      <c r="Q386" s="96">
        <f>IF(COUNTA(C386,E386:G386,I386:O386)&gt;0,1,0)</f>
        <v>0</v>
      </c>
      <c r="R386" s="96" t="str">
        <f>IF(C386="","",TRIM(LEFT(C386,FIND(" |",C386&amp;" |")-1)))</f>
        <v/>
      </c>
      <c r="S386" s="96" t="str">
        <f>IF(R386="","",IFERROR(MATCH(R386,'ITENS_MTR'!$A$6:$A$1005,0),""))</f>
        <v/>
      </c>
      <c r="T386" s="96">
        <f>IF(S386="",0,IF(INDEX('ITENS_MTR'!$R$6:$R$1005,S386)=1,1,0))</f>
        <v>0</v>
      </c>
      <c r="U386" s="96" t="str">
        <f>IF(T386=1,INDEX('ITENS_MTR'!$T$6:$T$1005,S386),"")</f>
        <v/>
      </c>
      <c r="V386" s="97" t="str">
        <f>IF(N(U386)&gt;0,INDEX('MTRs'!$E$6:$E$505,U386),"")</f>
        <v/>
      </c>
      <c r="W386" s="96" t="str">
        <f>IF(G386="","",IFERROR(IF(ISNUMBER(INDEX(cfg_fac,MATCH(G386,cfg_units,0))),IF(INDEX(cfg_fac,MATCH(G386,cfg_units,0))&gt;0,INDEX(cfg_fac,MATCH(G386,cfg_units,0)),""),""),""))</f>
        <v/>
      </c>
      <c r="X386" s="96">
        <f>IF(AND(ISNUMBER(F386),ISNUMBER(H386)),IF(H386&gt;0,1,0),0)</f>
        <v>0</v>
      </c>
      <c r="Y386" s="96">
        <f>IF(Q386=0,0,IF(OR(T386=0,X386=0,NOT(ISNUMBER(E386)),AND(J386="Sim",L386="",M386=""),AND(ISNUMBER(E386),ISNUMBER(V386),N(V386)&gt;0,E386&lt;N(V386))),1,0))</f>
        <v>0</v>
      </c>
      <c r="Z386" s="96">
        <f>IF(AND(Q386=1,T386=1,X386=1,J386="Sim",OR(L386&lt;&gt;"",M386&lt;&gt;"")),1,0)</f>
        <v>0</v>
      </c>
      <c r="AA386" s="96">
        <f>IF(Q386=0,0,IF(AND(OR(r_ini="",AND(ISNUMBER(E386),E386&gt;=r_ini)),OR(r_fim="",AND(ISNUMBER(E386),E386&lt;=r_fim)),OR(r_un="",r_un="(Todas)",IF(N(U386)&gt;0,INDEX('MTRs'!$G$6:$G$505,U386),"")=r_un),OR(r_de="",r_de="(Todos)",D386=r_de)),1,0))</f>
        <v>0</v>
      </c>
      <c r="AB386" s="96" t="str">
        <f>IF(AA386=1,COUNTIF($AA$6:AA386,1),"")</f>
        <v/>
      </c>
    </row>
    <row r="387">
      <c r="A387" s="89" t="inlineStr">
        <is>
          <t>REC-000382</t>
        </is>
      </c>
      <c r="B387" s="94" t="str">
        <f>IF(T387=1,INDEX('ITENS_MTR'!$S$6:$S$1005,S387)&amp;"","")</f>
        <v/>
      </c>
      <c r="C387" s="91" t="n"/>
      <c r="D387" s="94" t="str">
        <f>IF(N(U387)&gt;0,INDEX('MTRs'!$I$6:$I$505,U387)&amp;"","")</f>
        <v/>
      </c>
      <c r="E387" s="92" t="n"/>
      <c r="F387" s="98" t="n"/>
      <c r="G387" s="91" t="n"/>
      <c r="H387" s="93" t="str">
        <f>IF(Q387=0,"",IF(NOT(ISNUMBER(F387)),"",IF(ISNUMBER(W387),F387*W387,"UNIDADE A CONFERIR")))</f>
        <v/>
      </c>
      <c r="I387" s="91" t="n"/>
      <c r="J387" s="91" t="n"/>
      <c r="K387" s="92" t="n"/>
      <c r="L387" s="91" t="n"/>
      <c r="M387" s="91" t="n"/>
      <c r="N387" s="91" t="n"/>
      <c r="O387" s="91" t="n"/>
      <c r="P387" s="94" t="str">
        <f>IF(Q387=0,"",IF(C387="","Item de resíduo não informado",IF(T387=0,"Item inexistente (referência inválida)",IF(NOT(ISNUMBER(F387)),"Quantidade não informada",IF(F387&lt;=0,"Quantidade não positiva",IF(G387="","Unidade não informada",IF(NOT(ISNUMBER(H387)),"Unidade a conferir",IF(NOT(ISNUMBER(E387)),"Data de recebimento não informada",IF(AND(ISNUMBER(V387),N(V387)&gt;0,E387&lt;N(V387)),"Data anterior à emissão do MTR",IF(AND(J387="Sim",L387="",M387=""),"Conferido sem evidência identificada",IF(J387&lt;&gt;"Sim","Aguardando conferência",IF(INDEX('ITENS_MTR'!$AM$6:$AM$1005,S387)=1,"Conferido (ver diferença no item)","Conferido"))))))))))))</f>
        <v/>
      </c>
      <c r="Q387" s="96">
        <f>IF(COUNTA(C387,E387:G387,I387:O387)&gt;0,1,0)</f>
        <v>0</v>
      </c>
      <c r="R387" s="96" t="str">
        <f>IF(C387="","",TRIM(LEFT(C387,FIND(" |",C387&amp;" |")-1)))</f>
        <v/>
      </c>
      <c r="S387" s="96" t="str">
        <f>IF(R387="","",IFERROR(MATCH(R387,'ITENS_MTR'!$A$6:$A$1005,0),""))</f>
        <v/>
      </c>
      <c r="T387" s="96">
        <f>IF(S387="",0,IF(INDEX('ITENS_MTR'!$R$6:$R$1005,S387)=1,1,0))</f>
        <v>0</v>
      </c>
      <c r="U387" s="96" t="str">
        <f>IF(T387=1,INDEX('ITENS_MTR'!$T$6:$T$1005,S387),"")</f>
        <v/>
      </c>
      <c r="V387" s="97" t="str">
        <f>IF(N(U387)&gt;0,INDEX('MTRs'!$E$6:$E$505,U387),"")</f>
        <v/>
      </c>
      <c r="W387" s="96" t="str">
        <f>IF(G387="","",IFERROR(IF(ISNUMBER(INDEX(cfg_fac,MATCH(G387,cfg_units,0))),IF(INDEX(cfg_fac,MATCH(G387,cfg_units,0))&gt;0,INDEX(cfg_fac,MATCH(G387,cfg_units,0)),""),""),""))</f>
        <v/>
      </c>
      <c r="X387" s="96">
        <f>IF(AND(ISNUMBER(F387),ISNUMBER(H387)),IF(H387&gt;0,1,0),0)</f>
        <v>0</v>
      </c>
      <c r="Y387" s="96">
        <f>IF(Q387=0,0,IF(OR(T387=0,X387=0,NOT(ISNUMBER(E387)),AND(J387="Sim",L387="",M387=""),AND(ISNUMBER(E387),ISNUMBER(V387),N(V387)&gt;0,E387&lt;N(V387))),1,0))</f>
        <v>0</v>
      </c>
      <c r="Z387" s="96">
        <f>IF(AND(Q387=1,T387=1,X387=1,J387="Sim",OR(L387&lt;&gt;"",M387&lt;&gt;"")),1,0)</f>
        <v>0</v>
      </c>
      <c r="AA387" s="96">
        <f>IF(Q387=0,0,IF(AND(OR(r_ini="",AND(ISNUMBER(E387),E387&gt;=r_ini)),OR(r_fim="",AND(ISNUMBER(E387),E387&lt;=r_fim)),OR(r_un="",r_un="(Todas)",IF(N(U387)&gt;0,INDEX('MTRs'!$G$6:$G$505,U387),"")=r_un),OR(r_de="",r_de="(Todos)",D387=r_de)),1,0))</f>
        <v>0</v>
      </c>
      <c r="AB387" s="96" t="str">
        <f>IF(AA387=1,COUNTIF($AA$6:AA387,1),"")</f>
        <v/>
      </c>
    </row>
    <row r="388">
      <c r="A388" s="89" t="inlineStr">
        <is>
          <t>REC-000383</t>
        </is>
      </c>
      <c r="B388" s="94" t="str">
        <f>IF(T388=1,INDEX('ITENS_MTR'!$S$6:$S$1005,S388)&amp;"","")</f>
        <v/>
      </c>
      <c r="C388" s="91" t="n"/>
      <c r="D388" s="94" t="str">
        <f>IF(N(U388)&gt;0,INDEX('MTRs'!$I$6:$I$505,U388)&amp;"","")</f>
        <v/>
      </c>
      <c r="E388" s="92" t="n"/>
      <c r="F388" s="98" t="n"/>
      <c r="G388" s="91" t="n"/>
      <c r="H388" s="93" t="str">
        <f>IF(Q388=0,"",IF(NOT(ISNUMBER(F388)),"",IF(ISNUMBER(W388),F388*W388,"UNIDADE A CONFERIR")))</f>
        <v/>
      </c>
      <c r="I388" s="91" t="n"/>
      <c r="J388" s="91" t="n"/>
      <c r="K388" s="92" t="n"/>
      <c r="L388" s="91" t="n"/>
      <c r="M388" s="91" t="n"/>
      <c r="N388" s="91" t="n"/>
      <c r="O388" s="91" t="n"/>
      <c r="P388" s="94" t="str">
        <f>IF(Q388=0,"",IF(C388="","Item de resíduo não informado",IF(T388=0,"Item inexistente (referência inválida)",IF(NOT(ISNUMBER(F388)),"Quantidade não informada",IF(F388&lt;=0,"Quantidade não positiva",IF(G388="","Unidade não informada",IF(NOT(ISNUMBER(H388)),"Unidade a conferir",IF(NOT(ISNUMBER(E388)),"Data de recebimento não informada",IF(AND(ISNUMBER(V388),N(V388)&gt;0,E388&lt;N(V388)),"Data anterior à emissão do MTR",IF(AND(J388="Sim",L388="",M388=""),"Conferido sem evidência identificada",IF(J388&lt;&gt;"Sim","Aguardando conferência",IF(INDEX('ITENS_MTR'!$AM$6:$AM$1005,S388)=1,"Conferido (ver diferença no item)","Conferido"))))))))))))</f>
        <v/>
      </c>
      <c r="Q388" s="96">
        <f>IF(COUNTA(C388,E388:G388,I388:O388)&gt;0,1,0)</f>
        <v>0</v>
      </c>
      <c r="R388" s="96" t="str">
        <f>IF(C388="","",TRIM(LEFT(C388,FIND(" |",C388&amp;" |")-1)))</f>
        <v/>
      </c>
      <c r="S388" s="96" t="str">
        <f>IF(R388="","",IFERROR(MATCH(R388,'ITENS_MTR'!$A$6:$A$1005,0),""))</f>
        <v/>
      </c>
      <c r="T388" s="96">
        <f>IF(S388="",0,IF(INDEX('ITENS_MTR'!$R$6:$R$1005,S388)=1,1,0))</f>
        <v>0</v>
      </c>
      <c r="U388" s="96" t="str">
        <f>IF(T388=1,INDEX('ITENS_MTR'!$T$6:$T$1005,S388),"")</f>
        <v/>
      </c>
      <c r="V388" s="97" t="str">
        <f>IF(N(U388)&gt;0,INDEX('MTRs'!$E$6:$E$505,U388),"")</f>
        <v/>
      </c>
      <c r="W388" s="96" t="str">
        <f>IF(G388="","",IFERROR(IF(ISNUMBER(INDEX(cfg_fac,MATCH(G388,cfg_units,0))),IF(INDEX(cfg_fac,MATCH(G388,cfg_units,0))&gt;0,INDEX(cfg_fac,MATCH(G388,cfg_units,0)),""),""),""))</f>
        <v/>
      </c>
      <c r="X388" s="96">
        <f>IF(AND(ISNUMBER(F388),ISNUMBER(H388)),IF(H388&gt;0,1,0),0)</f>
        <v>0</v>
      </c>
      <c r="Y388" s="96">
        <f>IF(Q388=0,0,IF(OR(T388=0,X388=0,NOT(ISNUMBER(E388)),AND(J388="Sim",L388="",M388=""),AND(ISNUMBER(E388),ISNUMBER(V388),N(V388)&gt;0,E388&lt;N(V388))),1,0))</f>
        <v>0</v>
      </c>
      <c r="Z388" s="96">
        <f>IF(AND(Q388=1,T388=1,X388=1,J388="Sim",OR(L388&lt;&gt;"",M388&lt;&gt;"")),1,0)</f>
        <v>0</v>
      </c>
      <c r="AA388" s="96">
        <f>IF(Q388=0,0,IF(AND(OR(r_ini="",AND(ISNUMBER(E388),E388&gt;=r_ini)),OR(r_fim="",AND(ISNUMBER(E388),E388&lt;=r_fim)),OR(r_un="",r_un="(Todas)",IF(N(U388)&gt;0,INDEX('MTRs'!$G$6:$G$505,U388),"")=r_un),OR(r_de="",r_de="(Todos)",D388=r_de)),1,0))</f>
        <v>0</v>
      </c>
      <c r="AB388" s="96" t="str">
        <f>IF(AA388=1,COUNTIF($AA$6:AA388,1),"")</f>
        <v/>
      </c>
    </row>
    <row r="389">
      <c r="A389" s="89" t="inlineStr">
        <is>
          <t>REC-000384</t>
        </is>
      </c>
      <c r="B389" s="94" t="str">
        <f>IF(T389=1,INDEX('ITENS_MTR'!$S$6:$S$1005,S389)&amp;"","")</f>
        <v/>
      </c>
      <c r="C389" s="91" t="n"/>
      <c r="D389" s="94" t="str">
        <f>IF(N(U389)&gt;0,INDEX('MTRs'!$I$6:$I$505,U389)&amp;"","")</f>
        <v/>
      </c>
      <c r="E389" s="92" t="n"/>
      <c r="F389" s="98" t="n"/>
      <c r="G389" s="91" t="n"/>
      <c r="H389" s="93" t="str">
        <f>IF(Q389=0,"",IF(NOT(ISNUMBER(F389)),"",IF(ISNUMBER(W389),F389*W389,"UNIDADE A CONFERIR")))</f>
        <v/>
      </c>
      <c r="I389" s="91" t="n"/>
      <c r="J389" s="91" t="n"/>
      <c r="K389" s="92" t="n"/>
      <c r="L389" s="91" t="n"/>
      <c r="M389" s="91" t="n"/>
      <c r="N389" s="91" t="n"/>
      <c r="O389" s="91" t="n"/>
      <c r="P389" s="94" t="str">
        <f>IF(Q389=0,"",IF(C389="","Item de resíduo não informado",IF(T389=0,"Item inexistente (referência inválida)",IF(NOT(ISNUMBER(F389)),"Quantidade não informada",IF(F389&lt;=0,"Quantidade não positiva",IF(G389="","Unidade não informada",IF(NOT(ISNUMBER(H389)),"Unidade a conferir",IF(NOT(ISNUMBER(E389)),"Data de recebimento não informada",IF(AND(ISNUMBER(V389),N(V389)&gt;0,E389&lt;N(V389)),"Data anterior à emissão do MTR",IF(AND(J389="Sim",L389="",M389=""),"Conferido sem evidência identificada",IF(J389&lt;&gt;"Sim","Aguardando conferência",IF(INDEX('ITENS_MTR'!$AM$6:$AM$1005,S389)=1,"Conferido (ver diferença no item)","Conferido"))))))))))))</f>
        <v/>
      </c>
      <c r="Q389" s="96">
        <f>IF(COUNTA(C389,E389:G389,I389:O389)&gt;0,1,0)</f>
        <v>0</v>
      </c>
      <c r="R389" s="96" t="str">
        <f>IF(C389="","",TRIM(LEFT(C389,FIND(" |",C389&amp;" |")-1)))</f>
        <v/>
      </c>
      <c r="S389" s="96" t="str">
        <f>IF(R389="","",IFERROR(MATCH(R389,'ITENS_MTR'!$A$6:$A$1005,0),""))</f>
        <v/>
      </c>
      <c r="T389" s="96">
        <f>IF(S389="",0,IF(INDEX('ITENS_MTR'!$R$6:$R$1005,S389)=1,1,0))</f>
        <v>0</v>
      </c>
      <c r="U389" s="96" t="str">
        <f>IF(T389=1,INDEX('ITENS_MTR'!$T$6:$T$1005,S389),"")</f>
        <v/>
      </c>
      <c r="V389" s="97" t="str">
        <f>IF(N(U389)&gt;0,INDEX('MTRs'!$E$6:$E$505,U389),"")</f>
        <v/>
      </c>
      <c r="W389" s="96" t="str">
        <f>IF(G389="","",IFERROR(IF(ISNUMBER(INDEX(cfg_fac,MATCH(G389,cfg_units,0))),IF(INDEX(cfg_fac,MATCH(G389,cfg_units,0))&gt;0,INDEX(cfg_fac,MATCH(G389,cfg_units,0)),""),""),""))</f>
        <v/>
      </c>
      <c r="X389" s="96">
        <f>IF(AND(ISNUMBER(F389),ISNUMBER(H389)),IF(H389&gt;0,1,0),0)</f>
        <v>0</v>
      </c>
      <c r="Y389" s="96">
        <f>IF(Q389=0,0,IF(OR(T389=0,X389=0,NOT(ISNUMBER(E389)),AND(J389="Sim",L389="",M389=""),AND(ISNUMBER(E389),ISNUMBER(V389),N(V389)&gt;0,E389&lt;N(V389))),1,0))</f>
        <v>0</v>
      </c>
      <c r="Z389" s="96">
        <f>IF(AND(Q389=1,T389=1,X389=1,J389="Sim",OR(L389&lt;&gt;"",M389&lt;&gt;"")),1,0)</f>
        <v>0</v>
      </c>
      <c r="AA389" s="96">
        <f>IF(Q389=0,0,IF(AND(OR(r_ini="",AND(ISNUMBER(E389),E389&gt;=r_ini)),OR(r_fim="",AND(ISNUMBER(E389),E389&lt;=r_fim)),OR(r_un="",r_un="(Todas)",IF(N(U389)&gt;0,INDEX('MTRs'!$G$6:$G$505,U389),"")=r_un),OR(r_de="",r_de="(Todos)",D389=r_de)),1,0))</f>
        <v>0</v>
      </c>
      <c r="AB389" s="96" t="str">
        <f>IF(AA389=1,COUNTIF($AA$6:AA389,1),"")</f>
        <v/>
      </c>
    </row>
    <row r="390">
      <c r="A390" s="89" t="inlineStr">
        <is>
          <t>REC-000385</t>
        </is>
      </c>
      <c r="B390" s="94" t="str">
        <f>IF(T390=1,INDEX('ITENS_MTR'!$S$6:$S$1005,S390)&amp;"","")</f>
        <v/>
      </c>
      <c r="C390" s="91" t="n"/>
      <c r="D390" s="94" t="str">
        <f>IF(N(U390)&gt;0,INDEX('MTRs'!$I$6:$I$505,U390)&amp;"","")</f>
        <v/>
      </c>
      <c r="E390" s="92" t="n"/>
      <c r="F390" s="98" t="n"/>
      <c r="G390" s="91" t="n"/>
      <c r="H390" s="93" t="str">
        <f>IF(Q390=0,"",IF(NOT(ISNUMBER(F390)),"",IF(ISNUMBER(W390),F390*W390,"UNIDADE A CONFERIR")))</f>
        <v/>
      </c>
      <c r="I390" s="91" t="n"/>
      <c r="J390" s="91" t="n"/>
      <c r="K390" s="92" t="n"/>
      <c r="L390" s="91" t="n"/>
      <c r="M390" s="91" t="n"/>
      <c r="N390" s="91" t="n"/>
      <c r="O390" s="91" t="n"/>
      <c r="P390" s="94" t="str">
        <f>IF(Q390=0,"",IF(C390="","Item de resíduo não informado",IF(T390=0,"Item inexistente (referência inválida)",IF(NOT(ISNUMBER(F390)),"Quantidade não informada",IF(F390&lt;=0,"Quantidade não positiva",IF(G390="","Unidade não informada",IF(NOT(ISNUMBER(H390)),"Unidade a conferir",IF(NOT(ISNUMBER(E390)),"Data de recebimento não informada",IF(AND(ISNUMBER(V390),N(V390)&gt;0,E390&lt;N(V390)),"Data anterior à emissão do MTR",IF(AND(J390="Sim",L390="",M390=""),"Conferido sem evidência identificada",IF(J390&lt;&gt;"Sim","Aguardando conferência",IF(INDEX('ITENS_MTR'!$AM$6:$AM$1005,S390)=1,"Conferido (ver diferença no item)","Conferido"))))))))))))</f>
        <v/>
      </c>
      <c r="Q390" s="96">
        <f>IF(COUNTA(C390,E390:G390,I390:O390)&gt;0,1,0)</f>
        <v>0</v>
      </c>
      <c r="R390" s="96" t="str">
        <f>IF(C390="","",TRIM(LEFT(C390,FIND(" |",C390&amp;" |")-1)))</f>
        <v/>
      </c>
      <c r="S390" s="96" t="str">
        <f>IF(R390="","",IFERROR(MATCH(R390,'ITENS_MTR'!$A$6:$A$1005,0),""))</f>
        <v/>
      </c>
      <c r="T390" s="96">
        <f>IF(S390="",0,IF(INDEX('ITENS_MTR'!$R$6:$R$1005,S390)=1,1,0))</f>
        <v>0</v>
      </c>
      <c r="U390" s="96" t="str">
        <f>IF(T390=1,INDEX('ITENS_MTR'!$T$6:$T$1005,S390),"")</f>
        <v/>
      </c>
      <c r="V390" s="97" t="str">
        <f>IF(N(U390)&gt;0,INDEX('MTRs'!$E$6:$E$505,U390),"")</f>
        <v/>
      </c>
      <c r="W390" s="96" t="str">
        <f>IF(G390="","",IFERROR(IF(ISNUMBER(INDEX(cfg_fac,MATCH(G390,cfg_units,0))),IF(INDEX(cfg_fac,MATCH(G390,cfg_units,0))&gt;0,INDEX(cfg_fac,MATCH(G390,cfg_units,0)),""),""),""))</f>
        <v/>
      </c>
      <c r="X390" s="96">
        <f>IF(AND(ISNUMBER(F390),ISNUMBER(H390)),IF(H390&gt;0,1,0),0)</f>
        <v>0</v>
      </c>
      <c r="Y390" s="96">
        <f>IF(Q390=0,0,IF(OR(T390=0,X390=0,NOT(ISNUMBER(E390)),AND(J390="Sim",L390="",M390=""),AND(ISNUMBER(E390),ISNUMBER(V390),N(V390)&gt;0,E390&lt;N(V390))),1,0))</f>
        <v>0</v>
      </c>
      <c r="Z390" s="96">
        <f>IF(AND(Q390=1,T390=1,X390=1,J390="Sim",OR(L390&lt;&gt;"",M390&lt;&gt;"")),1,0)</f>
        <v>0</v>
      </c>
      <c r="AA390" s="96">
        <f>IF(Q390=0,0,IF(AND(OR(r_ini="",AND(ISNUMBER(E390),E390&gt;=r_ini)),OR(r_fim="",AND(ISNUMBER(E390),E390&lt;=r_fim)),OR(r_un="",r_un="(Todas)",IF(N(U390)&gt;0,INDEX('MTRs'!$G$6:$G$505,U390),"")=r_un),OR(r_de="",r_de="(Todos)",D390=r_de)),1,0))</f>
        <v>0</v>
      </c>
      <c r="AB390" s="96" t="str">
        <f>IF(AA390=1,COUNTIF($AA$6:AA390,1),"")</f>
        <v/>
      </c>
    </row>
    <row r="391">
      <c r="A391" s="89" t="inlineStr">
        <is>
          <t>REC-000386</t>
        </is>
      </c>
      <c r="B391" s="94" t="str">
        <f>IF(T391=1,INDEX('ITENS_MTR'!$S$6:$S$1005,S391)&amp;"","")</f>
        <v/>
      </c>
      <c r="C391" s="91" t="n"/>
      <c r="D391" s="94" t="str">
        <f>IF(N(U391)&gt;0,INDEX('MTRs'!$I$6:$I$505,U391)&amp;"","")</f>
        <v/>
      </c>
      <c r="E391" s="92" t="n"/>
      <c r="F391" s="98" t="n"/>
      <c r="G391" s="91" t="n"/>
      <c r="H391" s="93" t="str">
        <f>IF(Q391=0,"",IF(NOT(ISNUMBER(F391)),"",IF(ISNUMBER(W391),F391*W391,"UNIDADE A CONFERIR")))</f>
        <v/>
      </c>
      <c r="I391" s="91" t="n"/>
      <c r="J391" s="91" t="n"/>
      <c r="K391" s="92" t="n"/>
      <c r="L391" s="91" t="n"/>
      <c r="M391" s="91" t="n"/>
      <c r="N391" s="91" t="n"/>
      <c r="O391" s="91" t="n"/>
      <c r="P391" s="94" t="str">
        <f>IF(Q391=0,"",IF(C391="","Item de resíduo não informado",IF(T391=0,"Item inexistente (referência inválida)",IF(NOT(ISNUMBER(F391)),"Quantidade não informada",IF(F391&lt;=0,"Quantidade não positiva",IF(G391="","Unidade não informada",IF(NOT(ISNUMBER(H391)),"Unidade a conferir",IF(NOT(ISNUMBER(E391)),"Data de recebimento não informada",IF(AND(ISNUMBER(V391),N(V391)&gt;0,E391&lt;N(V391)),"Data anterior à emissão do MTR",IF(AND(J391="Sim",L391="",M391=""),"Conferido sem evidência identificada",IF(J391&lt;&gt;"Sim","Aguardando conferência",IF(INDEX('ITENS_MTR'!$AM$6:$AM$1005,S391)=1,"Conferido (ver diferença no item)","Conferido"))))))))))))</f>
        <v/>
      </c>
      <c r="Q391" s="96">
        <f>IF(COUNTA(C391,E391:G391,I391:O391)&gt;0,1,0)</f>
        <v>0</v>
      </c>
      <c r="R391" s="96" t="str">
        <f>IF(C391="","",TRIM(LEFT(C391,FIND(" |",C391&amp;" |")-1)))</f>
        <v/>
      </c>
      <c r="S391" s="96" t="str">
        <f>IF(R391="","",IFERROR(MATCH(R391,'ITENS_MTR'!$A$6:$A$1005,0),""))</f>
        <v/>
      </c>
      <c r="T391" s="96">
        <f>IF(S391="",0,IF(INDEX('ITENS_MTR'!$R$6:$R$1005,S391)=1,1,0))</f>
        <v>0</v>
      </c>
      <c r="U391" s="96" t="str">
        <f>IF(T391=1,INDEX('ITENS_MTR'!$T$6:$T$1005,S391),"")</f>
        <v/>
      </c>
      <c r="V391" s="97" t="str">
        <f>IF(N(U391)&gt;0,INDEX('MTRs'!$E$6:$E$505,U391),"")</f>
        <v/>
      </c>
      <c r="W391" s="96" t="str">
        <f>IF(G391="","",IFERROR(IF(ISNUMBER(INDEX(cfg_fac,MATCH(G391,cfg_units,0))),IF(INDEX(cfg_fac,MATCH(G391,cfg_units,0))&gt;0,INDEX(cfg_fac,MATCH(G391,cfg_units,0)),""),""),""))</f>
        <v/>
      </c>
      <c r="X391" s="96">
        <f>IF(AND(ISNUMBER(F391),ISNUMBER(H391)),IF(H391&gt;0,1,0),0)</f>
        <v>0</v>
      </c>
      <c r="Y391" s="96">
        <f>IF(Q391=0,0,IF(OR(T391=0,X391=0,NOT(ISNUMBER(E391)),AND(J391="Sim",L391="",M391=""),AND(ISNUMBER(E391),ISNUMBER(V391),N(V391)&gt;0,E391&lt;N(V391))),1,0))</f>
        <v>0</v>
      </c>
      <c r="Z391" s="96">
        <f>IF(AND(Q391=1,T391=1,X391=1,J391="Sim",OR(L391&lt;&gt;"",M391&lt;&gt;"")),1,0)</f>
        <v>0</v>
      </c>
      <c r="AA391" s="96">
        <f>IF(Q391=0,0,IF(AND(OR(r_ini="",AND(ISNUMBER(E391),E391&gt;=r_ini)),OR(r_fim="",AND(ISNUMBER(E391),E391&lt;=r_fim)),OR(r_un="",r_un="(Todas)",IF(N(U391)&gt;0,INDEX('MTRs'!$G$6:$G$505,U391),"")=r_un),OR(r_de="",r_de="(Todos)",D391=r_de)),1,0))</f>
        <v>0</v>
      </c>
      <c r="AB391" s="96" t="str">
        <f>IF(AA391=1,COUNTIF($AA$6:AA391,1),"")</f>
        <v/>
      </c>
    </row>
    <row r="392">
      <c r="A392" s="89" t="inlineStr">
        <is>
          <t>REC-000387</t>
        </is>
      </c>
      <c r="B392" s="94" t="str">
        <f>IF(T392=1,INDEX('ITENS_MTR'!$S$6:$S$1005,S392)&amp;"","")</f>
        <v/>
      </c>
      <c r="C392" s="91" t="n"/>
      <c r="D392" s="94" t="str">
        <f>IF(N(U392)&gt;0,INDEX('MTRs'!$I$6:$I$505,U392)&amp;"","")</f>
        <v/>
      </c>
      <c r="E392" s="92" t="n"/>
      <c r="F392" s="98" t="n"/>
      <c r="G392" s="91" t="n"/>
      <c r="H392" s="93" t="str">
        <f>IF(Q392=0,"",IF(NOT(ISNUMBER(F392)),"",IF(ISNUMBER(W392),F392*W392,"UNIDADE A CONFERIR")))</f>
        <v/>
      </c>
      <c r="I392" s="91" t="n"/>
      <c r="J392" s="91" t="n"/>
      <c r="K392" s="92" t="n"/>
      <c r="L392" s="91" t="n"/>
      <c r="M392" s="91" t="n"/>
      <c r="N392" s="91" t="n"/>
      <c r="O392" s="91" t="n"/>
      <c r="P392" s="94" t="str">
        <f>IF(Q392=0,"",IF(C392="","Item de resíduo não informado",IF(T392=0,"Item inexistente (referência inválida)",IF(NOT(ISNUMBER(F392)),"Quantidade não informada",IF(F392&lt;=0,"Quantidade não positiva",IF(G392="","Unidade não informada",IF(NOT(ISNUMBER(H392)),"Unidade a conferir",IF(NOT(ISNUMBER(E392)),"Data de recebimento não informada",IF(AND(ISNUMBER(V392),N(V392)&gt;0,E392&lt;N(V392)),"Data anterior à emissão do MTR",IF(AND(J392="Sim",L392="",M392=""),"Conferido sem evidência identificada",IF(J392&lt;&gt;"Sim","Aguardando conferência",IF(INDEX('ITENS_MTR'!$AM$6:$AM$1005,S392)=1,"Conferido (ver diferença no item)","Conferido"))))))))))))</f>
        <v/>
      </c>
      <c r="Q392" s="96">
        <f>IF(COUNTA(C392,E392:G392,I392:O392)&gt;0,1,0)</f>
        <v>0</v>
      </c>
      <c r="R392" s="96" t="str">
        <f>IF(C392="","",TRIM(LEFT(C392,FIND(" |",C392&amp;" |")-1)))</f>
        <v/>
      </c>
      <c r="S392" s="96" t="str">
        <f>IF(R392="","",IFERROR(MATCH(R392,'ITENS_MTR'!$A$6:$A$1005,0),""))</f>
        <v/>
      </c>
      <c r="T392" s="96">
        <f>IF(S392="",0,IF(INDEX('ITENS_MTR'!$R$6:$R$1005,S392)=1,1,0))</f>
        <v>0</v>
      </c>
      <c r="U392" s="96" t="str">
        <f>IF(T392=1,INDEX('ITENS_MTR'!$T$6:$T$1005,S392),"")</f>
        <v/>
      </c>
      <c r="V392" s="97" t="str">
        <f>IF(N(U392)&gt;0,INDEX('MTRs'!$E$6:$E$505,U392),"")</f>
        <v/>
      </c>
      <c r="W392" s="96" t="str">
        <f>IF(G392="","",IFERROR(IF(ISNUMBER(INDEX(cfg_fac,MATCH(G392,cfg_units,0))),IF(INDEX(cfg_fac,MATCH(G392,cfg_units,0))&gt;0,INDEX(cfg_fac,MATCH(G392,cfg_units,0)),""),""),""))</f>
        <v/>
      </c>
      <c r="X392" s="96">
        <f>IF(AND(ISNUMBER(F392),ISNUMBER(H392)),IF(H392&gt;0,1,0),0)</f>
        <v>0</v>
      </c>
      <c r="Y392" s="96">
        <f>IF(Q392=0,0,IF(OR(T392=0,X392=0,NOT(ISNUMBER(E392)),AND(J392="Sim",L392="",M392=""),AND(ISNUMBER(E392),ISNUMBER(V392),N(V392)&gt;0,E392&lt;N(V392))),1,0))</f>
        <v>0</v>
      </c>
      <c r="Z392" s="96">
        <f>IF(AND(Q392=1,T392=1,X392=1,J392="Sim",OR(L392&lt;&gt;"",M392&lt;&gt;"")),1,0)</f>
        <v>0</v>
      </c>
      <c r="AA392" s="96">
        <f>IF(Q392=0,0,IF(AND(OR(r_ini="",AND(ISNUMBER(E392),E392&gt;=r_ini)),OR(r_fim="",AND(ISNUMBER(E392),E392&lt;=r_fim)),OR(r_un="",r_un="(Todas)",IF(N(U392)&gt;0,INDEX('MTRs'!$G$6:$G$505,U392),"")=r_un),OR(r_de="",r_de="(Todos)",D392=r_de)),1,0))</f>
        <v>0</v>
      </c>
      <c r="AB392" s="96" t="str">
        <f>IF(AA392=1,COUNTIF($AA$6:AA392,1),"")</f>
        <v/>
      </c>
    </row>
    <row r="393">
      <c r="A393" s="89" t="inlineStr">
        <is>
          <t>REC-000388</t>
        </is>
      </c>
      <c r="B393" s="94" t="str">
        <f>IF(T393=1,INDEX('ITENS_MTR'!$S$6:$S$1005,S393)&amp;"","")</f>
        <v/>
      </c>
      <c r="C393" s="91" t="n"/>
      <c r="D393" s="94" t="str">
        <f>IF(N(U393)&gt;0,INDEX('MTRs'!$I$6:$I$505,U393)&amp;"","")</f>
        <v/>
      </c>
      <c r="E393" s="92" t="n"/>
      <c r="F393" s="98" t="n"/>
      <c r="G393" s="91" t="n"/>
      <c r="H393" s="93" t="str">
        <f>IF(Q393=0,"",IF(NOT(ISNUMBER(F393)),"",IF(ISNUMBER(W393),F393*W393,"UNIDADE A CONFERIR")))</f>
        <v/>
      </c>
      <c r="I393" s="91" t="n"/>
      <c r="J393" s="91" t="n"/>
      <c r="K393" s="92" t="n"/>
      <c r="L393" s="91" t="n"/>
      <c r="M393" s="91" t="n"/>
      <c r="N393" s="91" t="n"/>
      <c r="O393" s="91" t="n"/>
      <c r="P393" s="94" t="str">
        <f>IF(Q393=0,"",IF(C393="","Item de resíduo não informado",IF(T393=0,"Item inexistente (referência inválida)",IF(NOT(ISNUMBER(F393)),"Quantidade não informada",IF(F393&lt;=0,"Quantidade não positiva",IF(G393="","Unidade não informada",IF(NOT(ISNUMBER(H393)),"Unidade a conferir",IF(NOT(ISNUMBER(E393)),"Data de recebimento não informada",IF(AND(ISNUMBER(V393),N(V393)&gt;0,E393&lt;N(V393)),"Data anterior à emissão do MTR",IF(AND(J393="Sim",L393="",M393=""),"Conferido sem evidência identificada",IF(J393&lt;&gt;"Sim","Aguardando conferência",IF(INDEX('ITENS_MTR'!$AM$6:$AM$1005,S393)=1,"Conferido (ver diferença no item)","Conferido"))))))))))))</f>
        <v/>
      </c>
      <c r="Q393" s="96">
        <f>IF(COUNTA(C393,E393:G393,I393:O393)&gt;0,1,0)</f>
        <v>0</v>
      </c>
      <c r="R393" s="96" t="str">
        <f>IF(C393="","",TRIM(LEFT(C393,FIND(" |",C393&amp;" |")-1)))</f>
        <v/>
      </c>
      <c r="S393" s="96" t="str">
        <f>IF(R393="","",IFERROR(MATCH(R393,'ITENS_MTR'!$A$6:$A$1005,0),""))</f>
        <v/>
      </c>
      <c r="T393" s="96">
        <f>IF(S393="",0,IF(INDEX('ITENS_MTR'!$R$6:$R$1005,S393)=1,1,0))</f>
        <v>0</v>
      </c>
      <c r="U393" s="96" t="str">
        <f>IF(T393=1,INDEX('ITENS_MTR'!$T$6:$T$1005,S393),"")</f>
        <v/>
      </c>
      <c r="V393" s="97" t="str">
        <f>IF(N(U393)&gt;0,INDEX('MTRs'!$E$6:$E$505,U393),"")</f>
        <v/>
      </c>
      <c r="W393" s="96" t="str">
        <f>IF(G393="","",IFERROR(IF(ISNUMBER(INDEX(cfg_fac,MATCH(G393,cfg_units,0))),IF(INDEX(cfg_fac,MATCH(G393,cfg_units,0))&gt;0,INDEX(cfg_fac,MATCH(G393,cfg_units,0)),""),""),""))</f>
        <v/>
      </c>
      <c r="X393" s="96">
        <f>IF(AND(ISNUMBER(F393),ISNUMBER(H393)),IF(H393&gt;0,1,0),0)</f>
        <v>0</v>
      </c>
      <c r="Y393" s="96">
        <f>IF(Q393=0,0,IF(OR(T393=0,X393=0,NOT(ISNUMBER(E393)),AND(J393="Sim",L393="",M393=""),AND(ISNUMBER(E393),ISNUMBER(V393),N(V393)&gt;0,E393&lt;N(V393))),1,0))</f>
        <v>0</v>
      </c>
      <c r="Z393" s="96">
        <f>IF(AND(Q393=1,T393=1,X393=1,J393="Sim",OR(L393&lt;&gt;"",M393&lt;&gt;"")),1,0)</f>
        <v>0</v>
      </c>
      <c r="AA393" s="96">
        <f>IF(Q393=0,0,IF(AND(OR(r_ini="",AND(ISNUMBER(E393),E393&gt;=r_ini)),OR(r_fim="",AND(ISNUMBER(E393),E393&lt;=r_fim)),OR(r_un="",r_un="(Todas)",IF(N(U393)&gt;0,INDEX('MTRs'!$G$6:$G$505,U393),"")=r_un),OR(r_de="",r_de="(Todos)",D393=r_de)),1,0))</f>
        <v>0</v>
      </c>
      <c r="AB393" s="96" t="str">
        <f>IF(AA393=1,COUNTIF($AA$6:AA393,1),"")</f>
        <v/>
      </c>
    </row>
    <row r="394">
      <c r="A394" s="89" t="inlineStr">
        <is>
          <t>REC-000389</t>
        </is>
      </c>
      <c r="B394" s="94" t="str">
        <f>IF(T394=1,INDEX('ITENS_MTR'!$S$6:$S$1005,S394)&amp;"","")</f>
        <v/>
      </c>
      <c r="C394" s="91" t="n"/>
      <c r="D394" s="94" t="str">
        <f>IF(N(U394)&gt;0,INDEX('MTRs'!$I$6:$I$505,U394)&amp;"","")</f>
        <v/>
      </c>
      <c r="E394" s="92" t="n"/>
      <c r="F394" s="98" t="n"/>
      <c r="G394" s="91" t="n"/>
      <c r="H394" s="93" t="str">
        <f>IF(Q394=0,"",IF(NOT(ISNUMBER(F394)),"",IF(ISNUMBER(W394),F394*W394,"UNIDADE A CONFERIR")))</f>
        <v/>
      </c>
      <c r="I394" s="91" t="n"/>
      <c r="J394" s="91" t="n"/>
      <c r="K394" s="92" t="n"/>
      <c r="L394" s="91" t="n"/>
      <c r="M394" s="91" t="n"/>
      <c r="N394" s="91" t="n"/>
      <c r="O394" s="91" t="n"/>
      <c r="P394" s="94" t="str">
        <f>IF(Q394=0,"",IF(C394="","Item de resíduo não informado",IF(T394=0,"Item inexistente (referência inválida)",IF(NOT(ISNUMBER(F394)),"Quantidade não informada",IF(F394&lt;=0,"Quantidade não positiva",IF(G394="","Unidade não informada",IF(NOT(ISNUMBER(H394)),"Unidade a conferir",IF(NOT(ISNUMBER(E394)),"Data de recebimento não informada",IF(AND(ISNUMBER(V394),N(V394)&gt;0,E394&lt;N(V394)),"Data anterior à emissão do MTR",IF(AND(J394="Sim",L394="",M394=""),"Conferido sem evidência identificada",IF(J394&lt;&gt;"Sim","Aguardando conferência",IF(INDEX('ITENS_MTR'!$AM$6:$AM$1005,S394)=1,"Conferido (ver diferença no item)","Conferido"))))))))))))</f>
        <v/>
      </c>
      <c r="Q394" s="96">
        <f>IF(COUNTA(C394,E394:G394,I394:O394)&gt;0,1,0)</f>
        <v>0</v>
      </c>
      <c r="R394" s="96" t="str">
        <f>IF(C394="","",TRIM(LEFT(C394,FIND(" |",C394&amp;" |")-1)))</f>
        <v/>
      </c>
      <c r="S394" s="96" t="str">
        <f>IF(R394="","",IFERROR(MATCH(R394,'ITENS_MTR'!$A$6:$A$1005,0),""))</f>
        <v/>
      </c>
      <c r="T394" s="96">
        <f>IF(S394="",0,IF(INDEX('ITENS_MTR'!$R$6:$R$1005,S394)=1,1,0))</f>
        <v>0</v>
      </c>
      <c r="U394" s="96" t="str">
        <f>IF(T394=1,INDEX('ITENS_MTR'!$T$6:$T$1005,S394),"")</f>
        <v/>
      </c>
      <c r="V394" s="97" t="str">
        <f>IF(N(U394)&gt;0,INDEX('MTRs'!$E$6:$E$505,U394),"")</f>
        <v/>
      </c>
      <c r="W394" s="96" t="str">
        <f>IF(G394="","",IFERROR(IF(ISNUMBER(INDEX(cfg_fac,MATCH(G394,cfg_units,0))),IF(INDEX(cfg_fac,MATCH(G394,cfg_units,0))&gt;0,INDEX(cfg_fac,MATCH(G394,cfg_units,0)),""),""),""))</f>
        <v/>
      </c>
      <c r="X394" s="96">
        <f>IF(AND(ISNUMBER(F394),ISNUMBER(H394)),IF(H394&gt;0,1,0),0)</f>
        <v>0</v>
      </c>
      <c r="Y394" s="96">
        <f>IF(Q394=0,0,IF(OR(T394=0,X394=0,NOT(ISNUMBER(E394)),AND(J394="Sim",L394="",M394=""),AND(ISNUMBER(E394),ISNUMBER(V394),N(V394)&gt;0,E394&lt;N(V394))),1,0))</f>
        <v>0</v>
      </c>
      <c r="Z394" s="96">
        <f>IF(AND(Q394=1,T394=1,X394=1,J394="Sim",OR(L394&lt;&gt;"",M394&lt;&gt;"")),1,0)</f>
        <v>0</v>
      </c>
      <c r="AA394" s="96">
        <f>IF(Q394=0,0,IF(AND(OR(r_ini="",AND(ISNUMBER(E394),E394&gt;=r_ini)),OR(r_fim="",AND(ISNUMBER(E394),E394&lt;=r_fim)),OR(r_un="",r_un="(Todas)",IF(N(U394)&gt;0,INDEX('MTRs'!$G$6:$G$505,U394),"")=r_un),OR(r_de="",r_de="(Todos)",D394=r_de)),1,0))</f>
        <v>0</v>
      </c>
      <c r="AB394" s="96" t="str">
        <f>IF(AA394=1,COUNTIF($AA$6:AA394,1),"")</f>
        <v/>
      </c>
    </row>
    <row r="395">
      <c r="A395" s="89" t="inlineStr">
        <is>
          <t>REC-000390</t>
        </is>
      </c>
      <c r="B395" s="94" t="str">
        <f>IF(T395=1,INDEX('ITENS_MTR'!$S$6:$S$1005,S395)&amp;"","")</f>
        <v/>
      </c>
      <c r="C395" s="91" t="n"/>
      <c r="D395" s="94" t="str">
        <f>IF(N(U395)&gt;0,INDEX('MTRs'!$I$6:$I$505,U395)&amp;"","")</f>
        <v/>
      </c>
      <c r="E395" s="92" t="n"/>
      <c r="F395" s="98" t="n"/>
      <c r="G395" s="91" t="n"/>
      <c r="H395" s="93" t="str">
        <f>IF(Q395=0,"",IF(NOT(ISNUMBER(F395)),"",IF(ISNUMBER(W395),F395*W395,"UNIDADE A CONFERIR")))</f>
        <v/>
      </c>
      <c r="I395" s="91" t="n"/>
      <c r="J395" s="91" t="n"/>
      <c r="K395" s="92" t="n"/>
      <c r="L395" s="91" t="n"/>
      <c r="M395" s="91" t="n"/>
      <c r="N395" s="91" t="n"/>
      <c r="O395" s="91" t="n"/>
      <c r="P395" s="94" t="str">
        <f>IF(Q395=0,"",IF(C395="","Item de resíduo não informado",IF(T395=0,"Item inexistente (referência inválida)",IF(NOT(ISNUMBER(F395)),"Quantidade não informada",IF(F395&lt;=0,"Quantidade não positiva",IF(G395="","Unidade não informada",IF(NOT(ISNUMBER(H395)),"Unidade a conferir",IF(NOT(ISNUMBER(E395)),"Data de recebimento não informada",IF(AND(ISNUMBER(V395),N(V395)&gt;0,E395&lt;N(V395)),"Data anterior à emissão do MTR",IF(AND(J395="Sim",L395="",M395=""),"Conferido sem evidência identificada",IF(J395&lt;&gt;"Sim","Aguardando conferência",IF(INDEX('ITENS_MTR'!$AM$6:$AM$1005,S395)=1,"Conferido (ver diferença no item)","Conferido"))))))))))))</f>
        <v/>
      </c>
      <c r="Q395" s="96">
        <f>IF(COUNTA(C395,E395:G395,I395:O395)&gt;0,1,0)</f>
        <v>0</v>
      </c>
      <c r="R395" s="96" t="str">
        <f>IF(C395="","",TRIM(LEFT(C395,FIND(" |",C395&amp;" |")-1)))</f>
        <v/>
      </c>
      <c r="S395" s="96" t="str">
        <f>IF(R395="","",IFERROR(MATCH(R395,'ITENS_MTR'!$A$6:$A$1005,0),""))</f>
        <v/>
      </c>
      <c r="T395" s="96">
        <f>IF(S395="",0,IF(INDEX('ITENS_MTR'!$R$6:$R$1005,S395)=1,1,0))</f>
        <v>0</v>
      </c>
      <c r="U395" s="96" t="str">
        <f>IF(T395=1,INDEX('ITENS_MTR'!$T$6:$T$1005,S395),"")</f>
        <v/>
      </c>
      <c r="V395" s="97" t="str">
        <f>IF(N(U395)&gt;0,INDEX('MTRs'!$E$6:$E$505,U395),"")</f>
        <v/>
      </c>
      <c r="W395" s="96" t="str">
        <f>IF(G395="","",IFERROR(IF(ISNUMBER(INDEX(cfg_fac,MATCH(G395,cfg_units,0))),IF(INDEX(cfg_fac,MATCH(G395,cfg_units,0))&gt;0,INDEX(cfg_fac,MATCH(G395,cfg_units,0)),""),""),""))</f>
        <v/>
      </c>
      <c r="X395" s="96">
        <f>IF(AND(ISNUMBER(F395),ISNUMBER(H395)),IF(H395&gt;0,1,0),0)</f>
        <v>0</v>
      </c>
      <c r="Y395" s="96">
        <f>IF(Q395=0,0,IF(OR(T395=0,X395=0,NOT(ISNUMBER(E395)),AND(J395="Sim",L395="",M395=""),AND(ISNUMBER(E395),ISNUMBER(V395),N(V395)&gt;0,E395&lt;N(V395))),1,0))</f>
        <v>0</v>
      </c>
      <c r="Z395" s="96">
        <f>IF(AND(Q395=1,T395=1,X395=1,J395="Sim",OR(L395&lt;&gt;"",M395&lt;&gt;"")),1,0)</f>
        <v>0</v>
      </c>
      <c r="AA395" s="96">
        <f>IF(Q395=0,0,IF(AND(OR(r_ini="",AND(ISNUMBER(E395),E395&gt;=r_ini)),OR(r_fim="",AND(ISNUMBER(E395),E395&lt;=r_fim)),OR(r_un="",r_un="(Todas)",IF(N(U395)&gt;0,INDEX('MTRs'!$G$6:$G$505,U395),"")=r_un),OR(r_de="",r_de="(Todos)",D395=r_de)),1,0))</f>
        <v>0</v>
      </c>
      <c r="AB395" s="96" t="str">
        <f>IF(AA395=1,COUNTIF($AA$6:AA395,1),"")</f>
        <v/>
      </c>
    </row>
    <row r="396">
      <c r="A396" s="89" t="inlineStr">
        <is>
          <t>REC-000391</t>
        </is>
      </c>
      <c r="B396" s="94" t="str">
        <f>IF(T396=1,INDEX('ITENS_MTR'!$S$6:$S$1005,S396)&amp;"","")</f>
        <v/>
      </c>
      <c r="C396" s="91" t="n"/>
      <c r="D396" s="94" t="str">
        <f>IF(N(U396)&gt;0,INDEX('MTRs'!$I$6:$I$505,U396)&amp;"","")</f>
        <v/>
      </c>
      <c r="E396" s="92" t="n"/>
      <c r="F396" s="98" t="n"/>
      <c r="G396" s="91" t="n"/>
      <c r="H396" s="93" t="str">
        <f>IF(Q396=0,"",IF(NOT(ISNUMBER(F396)),"",IF(ISNUMBER(W396),F396*W396,"UNIDADE A CONFERIR")))</f>
        <v/>
      </c>
      <c r="I396" s="91" t="n"/>
      <c r="J396" s="91" t="n"/>
      <c r="K396" s="92" t="n"/>
      <c r="L396" s="91" t="n"/>
      <c r="M396" s="91" t="n"/>
      <c r="N396" s="91" t="n"/>
      <c r="O396" s="91" t="n"/>
      <c r="P396" s="94" t="str">
        <f>IF(Q396=0,"",IF(C396="","Item de resíduo não informado",IF(T396=0,"Item inexistente (referência inválida)",IF(NOT(ISNUMBER(F396)),"Quantidade não informada",IF(F396&lt;=0,"Quantidade não positiva",IF(G396="","Unidade não informada",IF(NOT(ISNUMBER(H396)),"Unidade a conferir",IF(NOT(ISNUMBER(E396)),"Data de recebimento não informada",IF(AND(ISNUMBER(V396),N(V396)&gt;0,E396&lt;N(V396)),"Data anterior à emissão do MTR",IF(AND(J396="Sim",L396="",M396=""),"Conferido sem evidência identificada",IF(J396&lt;&gt;"Sim","Aguardando conferência",IF(INDEX('ITENS_MTR'!$AM$6:$AM$1005,S396)=1,"Conferido (ver diferença no item)","Conferido"))))))))))))</f>
        <v/>
      </c>
      <c r="Q396" s="96">
        <f>IF(COUNTA(C396,E396:G396,I396:O396)&gt;0,1,0)</f>
        <v>0</v>
      </c>
      <c r="R396" s="96" t="str">
        <f>IF(C396="","",TRIM(LEFT(C396,FIND(" |",C396&amp;" |")-1)))</f>
        <v/>
      </c>
      <c r="S396" s="96" t="str">
        <f>IF(R396="","",IFERROR(MATCH(R396,'ITENS_MTR'!$A$6:$A$1005,0),""))</f>
        <v/>
      </c>
      <c r="T396" s="96">
        <f>IF(S396="",0,IF(INDEX('ITENS_MTR'!$R$6:$R$1005,S396)=1,1,0))</f>
        <v>0</v>
      </c>
      <c r="U396" s="96" t="str">
        <f>IF(T396=1,INDEX('ITENS_MTR'!$T$6:$T$1005,S396),"")</f>
        <v/>
      </c>
      <c r="V396" s="97" t="str">
        <f>IF(N(U396)&gt;0,INDEX('MTRs'!$E$6:$E$505,U396),"")</f>
        <v/>
      </c>
      <c r="W396" s="96" t="str">
        <f>IF(G396="","",IFERROR(IF(ISNUMBER(INDEX(cfg_fac,MATCH(G396,cfg_units,0))),IF(INDEX(cfg_fac,MATCH(G396,cfg_units,0))&gt;0,INDEX(cfg_fac,MATCH(G396,cfg_units,0)),""),""),""))</f>
        <v/>
      </c>
      <c r="X396" s="96">
        <f>IF(AND(ISNUMBER(F396),ISNUMBER(H396)),IF(H396&gt;0,1,0),0)</f>
        <v>0</v>
      </c>
      <c r="Y396" s="96">
        <f>IF(Q396=0,0,IF(OR(T396=0,X396=0,NOT(ISNUMBER(E396)),AND(J396="Sim",L396="",M396=""),AND(ISNUMBER(E396),ISNUMBER(V396),N(V396)&gt;0,E396&lt;N(V396))),1,0))</f>
        <v>0</v>
      </c>
      <c r="Z396" s="96">
        <f>IF(AND(Q396=1,T396=1,X396=1,J396="Sim",OR(L396&lt;&gt;"",M396&lt;&gt;"")),1,0)</f>
        <v>0</v>
      </c>
      <c r="AA396" s="96">
        <f>IF(Q396=0,0,IF(AND(OR(r_ini="",AND(ISNUMBER(E396),E396&gt;=r_ini)),OR(r_fim="",AND(ISNUMBER(E396),E396&lt;=r_fim)),OR(r_un="",r_un="(Todas)",IF(N(U396)&gt;0,INDEX('MTRs'!$G$6:$G$505,U396),"")=r_un),OR(r_de="",r_de="(Todos)",D396=r_de)),1,0))</f>
        <v>0</v>
      </c>
      <c r="AB396" s="96" t="str">
        <f>IF(AA396=1,COUNTIF($AA$6:AA396,1),"")</f>
        <v/>
      </c>
    </row>
    <row r="397">
      <c r="A397" s="89" t="inlineStr">
        <is>
          <t>REC-000392</t>
        </is>
      </c>
      <c r="B397" s="94" t="str">
        <f>IF(T397=1,INDEX('ITENS_MTR'!$S$6:$S$1005,S397)&amp;"","")</f>
        <v/>
      </c>
      <c r="C397" s="91" t="n"/>
      <c r="D397" s="94" t="str">
        <f>IF(N(U397)&gt;0,INDEX('MTRs'!$I$6:$I$505,U397)&amp;"","")</f>
        <v/>
      </c>
      <c r="E397" s="92" t="n"/>
      <c r="F397" s="98" t="n"/>
      <c r="G397" s="91" t="n"/>
      <c r="H397" s="93" t="str">
        <f>IF(Q397=0,"",IF(NOT(ISNUMBER(F397)),"",IF(ISNUMBER(W397),F397*W397,"UNIDADE A CONFERIR")))</f>
        <v/>
      </c>
      <c r="I397" s="91" t="n"/>
      <c r="J397" s="91" t="n"/>
      <c r="K397" s="92" t="n"/>
      <c r="L397" s="91" t="n"/>
      <c r="M397" s="91" t="n"/>
      <c r="N397" s="91" t="n"/>
      <c r="O397" s="91" t="n"/>
      <c r="P397" s="94" t="str">
        <f>IF(Q397=0,"",IF(C397="","Item de resíduo não informado",IF(T397=0,"Item inexistente (referência inválida)",IF(NOT(ISNUMBER(F397)),"Quantidade não informada",IF(F397&lt;=0,"Quantidade não positiva",IF(G397="","Unidade não informada",IF(NOT(ISNUMBER(H397)),"Unidade a conferir",IF(NOT(ISNUMBER(E397)),"Data de recebimento não informada",IF(AND(ISNUMBER(V397),N(V397)&gt;0,E397&lt;N(V397)),"Data anterior à emissão do MTR",IF(AND(J397="Sim",L397="",M397=""),"Conferido sem evidência identificada",IF(J397&lt;&gt;"Sim","Aguardando conferência",IF(INDEX('ITENS_MTR'!$AM$6:$AM$1005,S397)=1,"Conferido (ver diferença no item)","Conferido"))))))))))))</f>
        <v/>
      </c>
      <c r="Q397" s="96">
        <f>IF(COUNTA(C397,E397:G397,I397:O397)&gt;0,1,0)</f>
        <v>0</v>
      </c>
      <c r="R397" s="96" t="str">
        <f>IF(C397="","",TRIM(LEFT(C397,FIND(" |",C397&amp;" |")-1)))</f>
        <v/>
      </c>
      <c r="S397" s="96" t="str">
        <f>IF(R397="","",IFERROR(MATCH(R397,'ITENS_MTR'!$A$6:$A$1005,0),""))</f>
        <v/>
      </c>
      <c r="T397" s="96">
        <f>IF(S397="",0,IF(INDEX('ITENS_MTR'!$R$6:$R$1005,S397)=1,1,0))</f>
        <v>0</v>
      </c>
      <c r="U397" s="96" t="str">
        <f>IF(T397=1,INDEX('ITENS_MTR'!$T$6:$T$1005,S397),"")</f>
        <v/>
      </c>
      <c r="V397" s="97" t="str">
        <f>IF(N(U397)&gt;0,INDEX('MTRs'!$E$6:$E$505,U397),"")</f>
        <v/>
      </c>
      <c r="W397" s="96" t="str">
        <f>IF(G397="","",IFERROR(IF(ISNUMBER(INDEX(cfg_fac,MATCH(G397,cfg_units,0))),IF(INDEX(cfg_fac,MATCH(G397,cfg_units,0))&gt;0,INDEX(cfg_fac,MATCH(G397,cfg_units,0)),""),""),""))</f>
        <v/>
      </c>
      <c r="X397" s="96">
        <f>IF(AND(ISNUMBER(F397),ISNUMBER(H397)),IF(H397&gt;0,1,0),0)</f>
        <v>0</v>
      </c>
      <c r="Y397" s="96">
        <f>IF(Q397=0,0,IF(OR(T397=0,X397=0,NOT(ISNUMBER(E397)),AND(J397="Sim",L397="",M397=""),AND(ISNUMBER(E397),ISNUMBER(V397),N(V397)&gt;0,E397&lt;N(V397))),1,0))</f>
        <v>0</v>
      </c>
      <c r="Z397" s="96">
        <f>IF(AND(Q397=1,T397=1,X397=1,J397="Sim",OR(L397&lt;&gt;"",M397&lt;&gt;"")),1,0)</f>
        <v>0</v>
      </c>
      <c r="AA397" s="96">
        <f>IF(Q397=0,0,IF(AND(OR(r_ini="",AND(ISNUMBER(E397),E397&gt;=r_ini)),OR(r_fim="",AND(ISNUMBER(E397),E397&lt;=r_fim)),OR(r_un="",r_un="(Todas)",IF(N(U397)&gt;0,INDEX('MTRs'!$G$6:$G$505,U397),"")=r_un),OR(r_de="",r_de="(Todos)",D397=r_de)),1,0))</f>
        <v>0</v>
      </c>
      <c r="AB397" s="96" t="str">
        <f>IF(AA397=1,COUNTIF($AA$6:AA397,1),"")</f>
        <v/>
      </c>
    </row>
    <row r="398">
      <c r="A398" s="89" t="inlineStr">
        <is>
          <t>REC-000393</t>
        </is>
      </c>
      <c r="B398" s="94" t="str">
        <f>IF(T398=1,INDEX('ITENS_MTR'!$S$6:$S$1005,S398)&amp;"","")</f>
        <v/>
      </c>
      <c r="C398" s="91" t="n"/>
      <c r="D398" s="94" t="str">
        <f>IF(N(U398)&gt;0,INDEX('MTRs'!$I$6:$I$505,U398)&amp;"","")</f>
        <v/>
      </c>
      <c r="E398" s="92" t="n"/>
      <c r="F398" s="98" t="n"/>
      <c r="G398" s="91" t="n"/>
      <c r="H398" s="93" t="str">
        <f>IF(Q398=0,"",IF(NOT(ISNUMBER(F398)),"",IF(ISNUMBER(W398),F398*W398,"UNIDADE A CONFERIR")))</f>
        <v/>
      </c>
      <c r="I398" s="91" t="n"/>
      <c r="J398" s="91" t="n"/>
      <c r="K398" s="92" t="n"/>
      <c r="L398" s="91" t="n"/>
      <c r="M398" s="91" t="n"/>
      <c r="N398" s="91" t="n"/>
      <c r="O398" s="91" t="n"/>
      <c r="P398" s="94" t="str">
        <f>IF(Q398=0,"",IF(C398="","Item de resíduo não informado",IF(T398=0,"Item inexistente (referência inválida)",IF(NOT(ISNUMBER(F398)),"Quantidade não informada",IF(F398&lt;=0,"Quantidade não positiva",IF(G398="","Unidade não informada",IF(NOT(ISNUMBER(H398)),"Unidade a conferir",IF(NOT(ISNUMBER(E398)),"Data de recebimento não informada",IF(AND(ISNUMBER(V398),N(V398)&gt;0,E398&lt;N(V398)),"Data anterior à emissão do MTR",IF(AND(J398="Sim",L398="",M398=""),"Conferido sem evidência identificada",IF(J398&lt;&gt;"Sim","Aguardando conferência",IF(INDEX('ITENS_MTR'!$AM$6:$AM$1005,S398)=1,"Conferido (ver diferença no item)","Conferido"))))))))))))</f>
        <v/>
      </c>
      <c r="Q398" s="96">
        <f>IF(COUNTA(C398,E398:G398,I398:O398)&gt;0,1,0)</f>
        <v>0</v>
      </c>
      <c r="R398" s="96" t="str">
        <f>IF(C398="","",TRIM(LEFT(C398,FIND(" |",C398&amp;" |")-1)))</f>
        <v/>
      </c>
      <c r="S398" s="96" t="str">
        <f>IF(R398="","",IFERROR(MATCH(R398,'ITENS_MTR'!$A$6:$A$1005,0),""))</f>
        <v/>
      </c>
      <c r="T398" s="96">
        <f>IF(S398="",0,IF(INDEX('ITENS_MTR'!$R$6:$R$1005,S398)=1,1,0))</f>
        <v>0</v>
      </c>
      <c r="U398" s="96" t="str">
        <f>IF(T398=1,INDEX('ITENS_MTR'!$T$6:$T$1005,S398),"")</f>
        <v/>
      </c>
      <c r="V398" s="97" t="str">
        <f>IF(N(U398)&gt;0,INDEX('MTRs'!$E$6:$E$505,U398),"")</f>
        <v/>
      </c>
      <c r="W398" s="96" t="str">
        <f>IF(G398="","",IFERROR(IF(ISNUMBER(INDEX(cfg_fac,MATCH(G398,cfg_units,0))),IF(INDEX(cfg_fac,MATCH(G398,cfg_units,0))&gt;0,INDEX(cfg_fac,MATCH(G398,cfg_units,0)),""),""),""))</f>
        <v/>
      </c>
      <c r="X398" s="96">
        <f>IF(AND(ISNUMBER(F398),ISNUMBER(H398)),IF(H398&gt;0,1,0),0)</f>
        <v>0</v>
      </c>
      <c r="Y398" s="96">
        <f>IF(Q398=0,0,IF(OR(T398=0,X398=0,NOT(ISNUMBER(E398)),AND(J398="Sim",L398="",M398=""),AND(ISNUMBER(E398),ISNUMBER(V398),N(V398)&gt;0,E398&lt;N(V398))),1,0))</f>
        <v>0</v>
      </c>
      <c r="Z398" s="96">
        <f>IF(AND(Q398=1,T398=1,X398=1,J398="Sim",OR(L398&lt;&gt;"",M398&lt;&gt;"")),1,0)</f>
        <v>0</v>
      </c>
      <c r="AA398" s="96">
        <f>IF(Q398=0,0,IF(AND(OR(r_ini="",AND(ISNUMBER(E398),E398&gt;=r_ini)),OR(r_fim="",AND(ISNUMBER(E398),E398&lt;=r_fim)),OR(r_un="",r_un="(Todas)",IF(N(U398)&gt;0,INDEX('MTRs'!$G$6:$G$505,U398),"")=r_un),OR(r_de="",r_de="(Todos)",D398=r_de)),1,0))</f>
        <v>0</v>
      </c>
      <c r="AB398" s="96" t="str">
        <f>IF(AA398=1,COUNTIF($AA$6:AA398,1),"")</f>
        <v/>
      </c>
    </row>
    <row r="399">
      <c r="A399" s="89" t="inlineStr">
        <is>
          <t>REC-000394</t>
        </is>
      </c>
      <c r="B399" s="94" t="str">
        <f>IF(T399=1,INDEX('ITENS_MTR'!$S$6:$S$1005,S399)&amp;"","")</f>
        <v/>
      </c>
      <c r="C399" s="91" t="n"/>
      <c r="D399" s="94" t="str">
        <f>IF(N(U399)&gt;0,INDEX('MTRs'!$I$6:$I$505,U399)&amp;"","")</f>
        <v/>
      </c>
      <c r="E399" s="92" t="n"/>
      <c r="F399" s="98" t="n"/>
      <c r="G399" s="91" t="n"/>
      <c r="H399" s="93" t="str">
        <f>IF(Q399=0,"",IF(NOT(ISNUMBER(F399)),"",IF(ISNUMBER(W399),F399*W399,"UNIDADE A CONFERIR")))</f>
        <v/>
      </c>
      <c r="I399" s="91" t="n"/>
      <c r="J399" s="91" t="n"/>
      <c r="K399" s="92" t="n"/>
      <c r="L399" s="91" t="n"/>
      <c r="M399" s="91" t="n"/>
      <c r="N399" s="91" t="n"/>
      <c r="O399" s="91" t="n"/>
      <c r="P399" s="94" t="str">
        <f>IF(Q399=0,"",IF(C399="","Item de resíduo não informado",IF(T399=0,"Item inexistente (referência inválida)",IF(NOT(ISNUMBER(F399)),"Quantidade não informada",IF(F399&lt;=0,"Quantidade não positiva",IF(G399="","Unidade não informada",IF(NOT(ISNUMBER(H399)),"Unidade a conferir",IF(NOT(ISNUMBER(E399)),"Data de recebimento não informada",IF(AND(ISNUMBER(V399),N(V399)&gt;0,E399&lt;N(V399)),"Data anterior à emissão do MTR",IF(AND(J399="Sim",L399="",M399=""),"Conferido sem evidência identificada",IF(J399&lt;&gt;"Sim","Aguardando conferência",IF(INDEX('ITENS_MTR'!$AM$6:$AM$1005,S399)=1,"Conferido (ver diferença no item)","Conferido"))))))))))))</f>
        <v/>
      </c>
      <c r="Q399" s="96">
        <f>IF(COUNTA(C399,E399:G399,I399:O399)&gt;0,1,0)</f>
        <v>0</v>
      </c>
      <c r="R399" s="96" t="str">
        <f>IF(C399="","",TRIM(LEFT(C399,FIND(" |",C399&amp;" |")-1)))</f>
        <v/>
      </c>
      <c r="S399" s="96" t="str">
        <f>IF(R399="","",IFERROR(MATCH(R399,'ITENS_MTR'!$A$6:$A$1005,0),""))</f>
        <v/>
      </c>
      <c r="T399" s="96">
        <f>IF(S399="",0,IF(INDEX('ITENS_MTR'!$R$6:$R$1005,S399)=1,1,0))</f>
        <v>0</v>
      </c>
      <c r="U399" s="96" t="str">
        <f>IF(T399=1,INDEX('ITENS_MTR'!$T$6:$T$1005,S399),"")</f>
        <v/>
      </c>
      <c r="V399" s="97" t="str">
        <f>IF(N(U399)&gt;0,INDEX('MTRs'!$E$6:$E$505,U399),"")</f>
        <v/>
      </c>
      <c r="W399" s="96" t="str">
        <f>IF(G399="","",IFERROR(IF(ISNUMBER(INDEX(cfg_fac,MATCH(G399,cfg_units,0))),IF(INDEX(cfg_fac,MATCH(G399,cfg_units,0))&gt;0,INDEX(cfg_fac,MATCH(G399,cfg_units,0)),""),""),""))</f>
        <v/>
      </c>
      <c r="X399" s="96">
        <f>IF(AND(ISNUMBER(F399),ISNUMBER(H399)),IF(H399&gt;0,1,0),0)</f>
        <v>0</v>
      </c>
      <c r="Y399" s="96">
        <f>IF(Q399=0,0,IF(OR(T399=0,X399=0,NOT(ISNUMBER(E399)),AND(J399="Sim",L399="",M399=""),AND(ISNUMBER(E399),ISNUMBER(V399),N(V399)&gt;0,E399&lt;N(V399))),1,0))</f>
        <v>0</v>
      </c>
      <c r="Z399" s="96">
        <f>IF(AND(Q399=1,T399=1,X399=1,J399="Sim",OR(L399&lt;&gt;"",M399&lt;&gt;"")),1,0)</f>
        <v>0</v>
      </c>
      <c r="AA399" s="96">
        <f>IF(Q399=0,0,IF(AND(OR(r_ini="",AND(ISNUMBER(E399),E399&gt;=r_ini)),OR(r_fim="",AND(ISNUMBER(E399),E399&lt;=r_fim)),OR(r_un="",r_un="(Todas)",IF(N(U399)&gt;0,INDEX('MTRs'!$G$6:$G$505,U399),"")=r_un),OR(r_de="",r_de="(Todos)",D399=r_de)),1,0))</f>
        <v>0</v>
      </c>
      <c r="AB399" s="96" t="str">
        <f>IF(AA399=1,COUNTIF($AA$6:AA399,1),"")</f>
        <v/>
      </c>
    </row>
    <row r="400">
      <c r="A400" s="89" t="inlineStr">
        <is>
          <t>REC-000395</t>
        </is>
      </c>
      <c r="B400" s="94" t="str">
        <f>IF(T400=1,INDEX('ITENS_MTR'!$S$6:$S$1005,S400)&amp;"","")</f>
        <v/>
      </c>
      <c r="C400" s="91" t="n"/>
      <c r="D400" s="94" t="str">
        <f>IF(N(U400)&gt;0,INDEX('MTRs'!$I$6:$I$505,U400)&amp;"","")</f>
        <v/>
      </c>
      <c r="E400" s="92" t="n"/>
      <c r="F400" s="98" t="n"/>
      <c r="G400" s="91" t="n"/>
      <c r="H400" s="93" t="str">
        <f>IF(Q400=0,"",IF(NOT(ISNUMBER(F400)),"",IF(ISNUMBER(W400),F400*W400,"UNIDADE A CONFERIR")))</f>
        <v/>
      </c>
      <c r="I400" s="91" t="n"/>
      <c r="J400" s="91" t="n"/>
      <c r="K400" s="92" t="n"/>
      <c r="L400" s="91" t="n"/>
      <c r="M400" s="91" t="n"/>
      <c r="N400" s="91" t="n"/>
      <c r="O400" s="91" t="n"/>
      <c r="P400" s="94" t="str">
        <f>IF(Q400=0,"",IF(C400="","Item de resíduo não informado",IF(T400=0,"Item inexistente (referência inválida)",IF(NOT(ISNUMBER(F400)),"Quantidade não informada",IF(F400&lt;=0,"Quantidade não positiva",IF(G400="","Unidade não informada",IF(NOT(ISNUMBER(H400)),"Unidade a conferir",IF(NOT(ISNUMBER(E400)),"Data de recebimento não informada",IF(AND(ISNUMBER(V400),N(V400)&gt;0,E400&lt;N(V400)),"Data anterior à emissão do MTR",IF(AND(J400="Sim",L400="",M400=""),"Conferido sem evidência identificada",IF(J400&lt;&gt;"Sim","Aguardando conferência",IF(INDEX('ITENS_MTR'!$AM$6:$AM$1005,S400)=1,"Conferido (ver diferença no item)","Conferido"))))))))))))</f>
        <v/>
      </c>
      <c r="Q400" s="96">
        <f>IF(COUNTA(C400,E400:G400,I400:O400)&gt;0,1,0)</f>
        <v>0</v>
      </c>
      <c r="R400" s="96" t="str">
        <f>IF(C400="","",TRIM(LEFT(C400,FIND(" |",C400&amp;" |")-1)))</f>
        <v/>
      </c>
      <c r="S400" s="96" t="str">
        <f>IF(R400="","",IFERROR(MATCH(R400,'ITENS_MTR'!$A$6:$A$1005,0),""))</f>
        <v/>
      </c>
      <c r="T400" s="96">
        <f>IF(S400="",0,IF(INDEX('ITENS_MTR'!$R$6:$R$1005,S400)=1,1,0))</f>
        <v>0</v>
      </c>
      <c r="U400" s="96" t="str">
        <f>IF(T400=1,INDEX('ITENS_MTR'!$T$6:$T$1005,S400),"")</f>
        <v/>
      </c>
      <c r="V400" s="97" t="str">
        <f>IF(N(U400)&gt;0,INDEX('MTRs'!$E$6:$E$505,U400),"")</f>
        <v/>
      </c>
      <c r="W400" s="96" t="str">
        <f>IF(G400="","",IFERROR(IF(ISNUMBER(INDEX(cfg_fac,MATCH(G400,cfg_units,0))),IF(INDEX(cfg_fac,MATCH(G400,cfg_units,0))&gt;0,INDEX(cfg_fac,MATCH(G400,cfg_units,0)),""),""),""))</f>
        <v/>
      </c>
      <c r="X400" s="96">
        <f>IF(AND(ISNUMBER(F400),ISNUMBER(H400)),IF(H400&gt;0,1,0),0)</f>
        <v>0</v>
      </c>
      <c r="Y400" s="96">
        <f>IF(Q400=0,0,IF(OR(T400=0,X400=0,NOT(ISNUMBER(E400)),AND(J400="Sim",L400="",M400=""),AND(ISNUMBER(E400),ISNUMBER(V400),N(V400)&gt;0,E400&lt;N(V400))),1,0))</f>
        <v>0</v>
      </c>
      <c r="Z400" s="96">
        <f>IF(AND(Q400=1,T400=1,X400=1,J400="Sim",OR(L400&lt;&gt;"",M400&lt;&gt;"")),1,0)</f>
        <v>0</v>
      </c>
      <c r="AA400" s="96">
        <f>IF(Q400=0,0,IF(AND(OR(r_ini="",AND(ISNUMBER(E400),E400&gt;=r_ini)),OR(r_fim="",AND(ISNUMBER(E400),E400&lt;=r_fim)),OR(r_un="",r_un="(Todas)",IF(N(U400)&gt;0,INDEX('MTRs'!$G$6:$G$505,U400),"")=r_un),OR(r_de="",r_de="(Todos)",D400=r_de)),1,0))</f>
        <v>0</v>
      </c>
      <c r="AB400" s="96" t="str">
        <f>IF(AA400=1,COUNTIF($AA$6:AA400,1),"")</f>
        <v/>
      </c>
    </row>
    <row r="401">
      <c r="A401" s="89" t="inlineStr">
        <is>
          <t>REC-000396</t>
        </is>
      </c>
      <c r="B401" s="94" t="str">
        <f>IF(T401=1,INDEX('ITENS_MTR'!$S$6:$S$1005,S401)&amp;"","")</f>
        <v/>
      </c>
      <c r="C401" s="91" t="n"/>
      <c r="D401" s="94" t="str">
        <f>IF(N(U401)&gt;0,INDEX('MTRs'!$I$6:$I$505,U401)&amp;"","")</f>
        <v/>
      </c>
      <c r="E401" s="92" t="n"/>
      <c r="F401" s="98" t="n"/>
      <c r="G401" s="91" t="n"/>
      <c r="H401" s="93" t="str">
        <f>IF(Q401=0,"",IF(NOT(ISNUMBER(F401)),"",IF(ISNUMBER(W401),F401*W401,"UNIDADE A CONFERIR")))</f>
        <v/>
      </c>
      <c r="I401" s="91" t="n"/>
      <c r="J401" s="91" t="n"/>
      <c r="K401" s="92" t="n"/>
      <c r="L401" s="91" t="n"/>
      <c r="M401" s="91" t="n"/>
      <c r="N401" s="91" t="n"/>
      <c r="O401" s="91" t="n"/>
      <c r="P401" s="94" t="str">
        <f>IF(Q401=0,"",IF(C401="","Item de resíduo não informado",IF(T401=0,"Item inexistente (referência inválida)",IF(NOT(ISNUMBER(F401)),"Quantidade não informada",IF(F401&lt;=0,"Quantidade não positiva",IF(G401="","Unidade não informada",IF(NOT(ISNUMBER(H401)),"Unidade a conferir",IF(NOT(ISNUMBER(E401)),"Data de recebimento não informada",IF(AND(ISNUMBER(V401),N(V401)&gt;0,E401&lt;N(V401)),"Data anterior à emissão do MTR",IF(AND(J401="Sim",L401="",M401=""),"Conferido sem evidência identificada",IF(J401&lt;&gt;"Sim","Aguardando conferência",IF(INDEX('ITENS_MTR'!$AM$6:$AM$1005,S401)=1,"Conferido (ver diferença no item)","Conferido"))))))))))))</f>
        <v/>
      </c>
      <c r="Q401" s="96">
        <f>IF(COUNTA(C401,E401:G401,I401:O401)&gt;0,1,0)</f>
        <v>0</v>
      </c>
      <c r="R401" s="96" t="str">
        <f>IF(C401="","",TRIM(LEFT(C401,FIND(" |",C401&amp;" |")-1)))</f>
        <v/>
      </c>
      <c r="S401" s="96" t="str">
        <f>IF(R401="","",IFERROR(MATCH(R401,'ITENS_MTR'!$A$6:$A$1005,0),""))</f>
        <v/>
      </c>
      <c r="T401" s="96">
        <f>IF(S401="",0,IF(INDEX('ITENS_MTR'!$R$6:$R$1005,S401)=1,1,0))</f>
        <v>0</v>
      </c>
      <c r="U401" s="96" t="str">
        <f>IF(T401=1,INDEX('ITENS_MTR'!$T$6:$T$1005,S401),"")</f>
        <v/>
      </c>
      <c r="V401" s="97" t="str">
        <f>IF(N(U401)&gt;0,INDEX('MTRs'!$E$6:$E$505,U401),"")</f>
        <v/>
      </c>
      <c r="W401" s="96" t="str">
        <f>IF(G401="","",IFERROR(IF(ISNUMBER(INDEX(cfg_fac,MATCH(G401,cfg_units,0))),IF(INDEX(cfg_fac,MATCH(G401,cfg_units,0))&gt;0,INDEX(cfg_fac,MATCH(G401,cfg_units,0)),""),""),""))</f>
        <v/>
      </c>
      <c r="X401" s="96">
        <f>IF(AND(ISNUMBER(F401),ISNUMBER(H401)),IF(H401&gt;0,1,0),0)</f>
        <v>0</v>
      </c>
      <c r="Y401" s="96">
        <f>IF(Q401=0,0,IF(OR(T401=0,X401=0,NOT(ISNUMBER(E401)),AND(J401="Sim",L401="",M401=""),AND(ISNUMBER(E401),ISNUMBER(V401),N(V401)&gt;0,E401&lt;N(V401))),1,0))</f>
        <v>0</v>
      </c>
      <c r="Z401" s="96">
        <f>IF(AND(Q401=1,T401=1,X401=1,J401="Sim",OR(L401&lt;&gt;"",M401&lt;&gt;"")),1,0)</f>
        <v>0</v>
      </c>
      <c r="AA401" s="96">
        <f>IF(Q401=0,0,IF(AND(OR(r_ini="",AND(ISNUMBER(E401),E401&gt;=r_ini)),OR(r_fim="",AND(ISNUMBER(E401),E401&lt;=r_fim)),OR(r_un="",r_un="(Todas)",IF(N(U401)&gt;0,INDEX('MTRs'!$G$6:$G$505,U401),"")=r_un),OR(r_de="",r_de="(Todos)",D401=r_de)),1,0))</f>
        <v>0</v>
      </c>
      <c r="AB401" s="96" t="str">
        <f>IF(AA401=1,COUNTIF($AA$6:AA401,1),"")</f>
        <v/>
      </c>
    </row>
    <row r="402">
      <c r="A402" s="89" t="inlineStr">
        <is>
          <t>REC-000397</t>
        </is>
      </c>
      <c r="B402" s="94" t="str">
        <f>IF(T402=1,INDEX('ITENS_MTR'!$S$6:$S$1005,S402)&amp;"","")</f>
        <v/>
      </c>
      <c r="C402" s="91" t="n"/>
      <c r="D402" s="94" t="str">
        <f>IF(N(U402)&gt;0,INDEX('MTRs'!$I$6:$I$505,U402)&amp;"","")</f>
        <v/>
      </c>
      <c r="E402" s="92" t="n"/>
      <c r="F402" s="98" t="n"/>
      <c r="G402" s="91" t="n"/>
      <c r="H402" s="93" t="str">
        <f>IF(Q402=0,"",IF(NOT(ISNUMBER(F402)),"",IF(ISNUMBER(W402),F402*W402,"UNIDADE A CONFERIR")))</f>
        <v/>
      </c>
      <c r="I402" s="91" t="n"/>
      <c r="J402" s="91" t="n"/>
      <c r="K402" s="92" t="n"/>
      <c r="L402" s="91" t="n"/>
      <c r="M402" s="91" t="n"/>
      <c r="N402" s="91" t="n"/>
      <c r="O402" s="91" t="n"/>
      <c r="P402" s="94" t="str">
        <f>IF(Q402=0,"",IF(C402="","Item de resíduo não informado",IF(T402=0,"Item inexistente (referência inválida)",IF(NOT(ISNUMBER(F402)),"Quantidade não informada",IF(F402&lt;=0,"Quantidade não positiva",IF(G402="","Unidade não informada",IF(NOT(ISNUMBER(H402)),"Unidade a conferir",IF(NOT(ISNUMBER(E402)),"Data de recebimento não informada",IF(AND(ISNUMBER(V402),N(V402)&gt;0,E402&lt;N(V402)),"Data anterior à emissão do MTR",IF(AND(J402="Sim",L402="",M402=""),"Conferido sem evidência identificada",IF(J402&lt;&gt;"Sim","Aguardando conferência",IF(INDEX('ITENS_MTR'!$AM$6:$AM$1005,S402)=1,"Conferido (ver diferença no item)","Conferido"))))))))))))</f>
        <v/>
      </c>
      <c r="Q402" s="96">
        <f>IF(COUNTA(C402,E402:G402,I402:O402)&gt;0,1,0)</f>
        <v>0</v>
      </c>
      <c r="R402" s="96" t="str">
        <f>IF(C402="","",TRIM(LEFT(C402,FIND(" |",C402&amp;" |")-1)))</f>
        <v/>
      </c>
      <c r="S402" s="96" t="str">
        <f>IF(R402="","",IFERROR(MATCH(R402,'ITENS_MTR'!$A$6:$A$1005,0),""))</f>
        <v/>
      </c>
      <c r="T402" s="96">
        <f>IF(S402="",0,IF(INDEX('ITENS_MTR'!$R$6:$R$1005,S402)=1,1,0))</f>
        <v>0</v>
      </c>
      <c r="U402" s="96" t="str">
        <f>IF(T402=1,INDEX('ITENS_MTR'!$T$6:$T$1005,S402),"")</f>
        <v/>
      </c>
      <c r="V402" s="97" t="str">
        <f>IF(N(U402)&gt;0,INDEX('MTRs'!$E$6:$E$505,U402),"")</f>
        <v/>
      </c>
      <c r="W402" s="96" t="str">
        <f>IF(G402="","",IFERROR(IF(ISNUMBER(INDEX(cfg_fac,MATCH(G402,cfg_units,0))),IF(INDEX(cfg_fac,MATCH(G402,cfg_units,0))&gt;0,INDEX(cfg_fac,MATCH(G402,cfg_units,0)),""),""),""))</f>
        <v/>
      </c>
      <c r="X402" s="96">
        <f>IF(AND(ISNUMBER(F402),ISNUMBER(H402)),IF(H402&gt;0,1,0),0)</f>
        <v>0</v>
      </c>
      <c r="Y402" s="96">
        <f>IF(Q402=0,0,IF(OR(T402=0,X402=0,NOT(ISNUMBER(E402)),AND(J402="Sim",L402="",M402=""),AND(ISNUMBER(E402),ISNUMBER(V402),N(V402)&gt;0,E402&lt;N(V402))),1,0))</f>
        <v>0</v>
      </c>
      <c r="Z402" s="96">
        <f>IF(AND(Q402=1,T402=1,X402=1,J402="Sim",OR(L402&lt;&gt;"",M402&lt;&gt;"")),1,0)</f>
        <v>0</v>
      </c>
      <c r="AA402" s="96">
        <f>IF(Q402=0,0,IF(AND(OR(r_ini="",AND(ISNUMBER(E402),E402&gt;=r_ini)),OR(r_fim="",AND(ISNUMBER(E402),E402&lt;=r_fim)),OR(r_un="",r_un="(Todas)",IF(N(U402)&gt;0,INDEX('MTRs'!$G$6:$G$505,U402),"")=r_un),OR(r_de="",r_de="(Todos)",D402=r_de)),1,0))</f>
        <v>0</v>
      </c>
      <c r="AB402" s="96" t="str">
        <f>IF(AA402=1,COUNTIF($AA$6:AA402,1),"")</f>
        <v/>
      </c>
    </row>
    <row r="403">
      <c r="A403" s="89" t="inlineStr">
        <is>
          <t>REC-000398</t>
        </is>
      </c>
      <c r="B403" s="94" t="str">
        <f>IF(T403=1,INDEX('ITENS_MTR'!$S$6:$S$1005,S403)&amp;"","")</f>
        <v/>
      </c>
      <c r="C403" s="91" t="n"/>
      <c r="D403" s="94" t="str">
        <f>IF(N(U403)&gt;0,INDEX('MTRs'!$I$6:$I$505,U403)&amp;"","")</f>
        <v/>
      </c>
      <c r="E403" s="92" t="n"/>
      <c r="F403" s="98" t="n"/>
      <c r="G403" s="91" t="n"/>
      <c r="H403" s="93" t="str">
        <f>IF(Q403=0,"",IF(NOT(ISNUMBER(F403)),"",IF(ISNUMBER(W403),F403*W403,"UNIDADE A CONFERIR")))</f>
        <v/>
      </c>
      <c r="I403" s="91" t="n"/>
      <c r="J403" s="91" t="n"/>
      <c r="K403" s="92" t="n"/>
      <c r="L403" s="91" t="n"/>
      <c r="M403" s="91" t="n"/>
      <c r="N403" s="91" t="n"/>
      <c r="O403" s="91" t="n"/>
      <c r="P403" s="94" t="str">
        <f>IF(Q403=0,"",IF(C403="","Item de resíduo não informado",IF(T403=0,"Item inexistente (referência inválida)",IF(NOT(ISNUMBER(F403)),"Quantidade não informada",IF(F403&lt;=0,"Quantidade não positiva",IF(G403="","Unidade não informada",IF(NOT(ISNUMBER(H403)),"Unidade a conferir",IF(NOT(ISNUMBER(E403)),"Data de recebimento não informada",IF(AND(ISNUMBER(V403),N(V403)&gt;0,E403&lt;N(V403)),"Data anterior à emissão do MTR",IF(AND(J403="Sim",L403="",M403=""),"Conferido sem evidência identificada",IF(J403&lt;&gt;"Sim","Aguardando conferência",IF(INDEX('ITENS_MTR'!$AM$6:$AM$1005,S403)=1,"Conferido (ver diferença no item)","Conferido"))))))))))))</f>
        <v/>
      </c>
      <c r="Q403" s="96">
        <f>IF(COUNTA(C403,E403:G403,I403:O403)&gt;0,1,0)</f>
        <v>0</v>
      </c>
      <c r="R403" s="96" t="str">
        <f>IF(C403="","",TRIM(LEFT(C403,FIND(" |",C403&amp;" |")-1)))</f>
        <v/>
      </c>
      <c r="S403" s="96" t="str">
        <f>IF(R403="","",IFERROR(MATCH(R403,'ITENS_MTR'!$A$6:$A$1005,0),""))</f>
        <v/>
      </c>
      <c r="T403" s="96">
        <f>IF(S403="",0,IF(INDEX('ITENS_MTR'!$R$6:$R$1005,S403)=1,1,0))</f>
        <v>0</v>
      </c>
      <c r="U403" s="96" t="str">
        <f>IF(T403=1,INDEX('ITENS_MTR'!$T$6:$T$1005,S403),"")</f>
        <v/>
      </c>
      <c r="V403" s="97" t="str">
        <f>IF(N(U403)&gt;0,INDEX('MTRs'!$E$6:$E$505,U403),"")</f>
        <v/>
      </c>
      <c r="W403" s="96" t="str">
        <f>IF(G403="","",IFERROR(IF(ISNUMBER(INDEX(cfg_fac,MATCH(G403,cfg_units,0))),IF(INDEX(cfg_fac,MATCH(G403,cfg_units,0))&gt;0,INDEX(cfg_fac,MATCH(G403,cfg_units,0)),""),""),""))</f>
        <v/>
      </c>
      <c r="X403" s="96">
        <f>IF(AND(ISNUMBER(F403),ISNUMBER(H403)),IF(H403&gt;0,1,0),0)</f>
        <v>0</v>
      </c>
      <c r="Y403" s="96">
        <f>IF(Q403=0,0,IF(OR(T403=0,X403=0,NOT(ISNUMBER(E403)),AND(J403="Sim",L403="",M403=""),AND(ISNUMBER(E403),ISNUMBER(V403),N(V403)&gt;0,E403&lt;N(V403))),1,0))</f>
        <v>0</v>
      </c>
      <c r="Z403" s="96">
        <f>IF(AND(Q403=1,T403=1,X403=1,J403="Sim",OR(L403&lt;&gt;"",M403&lt;&gt;"")),1,0)</f>
        <v>0</v>
      </c>
      <c r="AA403" s="96">
        <f>IF(Q403=0,0,IF(AND(OR(r_ini="",AND(ISNUMBER(E403),E403&gt;=r_ini)),OR(r_fim="",AND(ISNUMBER(E403),E403&lt;=r_fim)),OR(r_un="",r_un="(Todas)",IF(N(U403)&gt;0,INDEX('MTRs'!$G$6:$G$505,U403),"")=r_un),OR(r_de="",r_de="(Todos)",D403=r_de)),1,0))</f>
        <v>0</v>
      </c>
      <c r="AB403" s="96" t="str">
        <f>IF(AA403=1,COUNTIF($AA$6:AA403,1),"")</f>
        <v/>
      </c>
    </row>
    <row r="404">
      <c r="A404" s="89" t="inlineStr">
        <is>
          <t>REC-000399</t>
        </is>
      </c>
      <c r="B404" s="94" t="str">
        <f>IF(T404=1,INDEX('ITENS_MTR'!$S$6:$S$1005,S404)&amp;"","")</f>
        <v/>
      </c>
      <c r="C404" s="91" t="n"/>
      <c r="D404" s="94" t="str">
        <f>IF(N(U404)&gt;0,INDEX('MTRs'!$I$6:$I$505,U404)&amp;"","")</f>
        <v/>
      </c>
      <c r="E404" s="92" t="n"/>
      <c r="F404" s="98" t="n"/>
      <c r="G404" s="91" t="n"/>
      <c r="H404" s="93" t="str">
        <f>IF(Q404=0,"",IF(NOT(ISNUMBER(F404)),"",IF(ISNUMBER(W404),F404*W404,"UNIDADE A CONFERIR")))</f>
        <v/>
      </c>
      <c r="I404" s="91" t="n"/>
      <c r="J404" s="91" t="n"/>
      <c r="K404" s="92" t="n"/>
      <c r="L404" s="91" t="n"/>
      <c r="M404" s="91" t="n"/>
      <c r="N404" s="91" t="n"/>
      <c r="O404" s="91" t="n"/>
      <c r="P404" s="94" t="str">
        <f>IF(Q404=0,"",IF(C404="","Item de resíduo não informado",IF(T404=0,"Item inexistente (referência inválida)",IF(NOT(ISNUMBER(F404)),"Quantidade não informada",IF(F404&lt;=0,"Quantidade não positiva",IF(G404="","Unidade não informada",IF(NOT(ISNUMBER(H404)),"Unidade a conferir",IF(NOT(ISNUMBER(E404)),"Data de recebimento não informada",IF(AND(ISNUMBER(V404),N(V404)&gt;0,E404&lt;N(V404)),"Data anterior à emissão do MTR",IF(AND(J404="Sim",L404="",M404=""),"Conferido sem evidência identificada",IF(J404&lt;&gt;"Sim","Aguardando conferência",IF(INDEX('ITENS_MTR'!$AM$6:$AM$1005,S404)=1,"Conferido (ver diferença no item)","Conferido"))))))))))))</f>
        <v/>
      </c>
      <c r="Q404" s="96">
        <f>IF(COUNTA(C404,E404:G404,I404:O404)&gt;0,1,0)</f>
        <v>0</v>
      </c>
      <c r="R404" s="96" t="str">
        <f>IF(C404="","",TRIM(LEFT(C404,FIND(" |",C404&amp;" |")-1)))</f>
        <v/>
      </c>
      <c r="S404" s="96" t="str">
        <f>IF(R404="","",IFERROR(MATCH(R404,'ITENS_MTR'!$A$6:$A$1005,0),""))</f>
        <v/>
      </c>
      <c r="T404" s="96">
        <f>IF(S404="",0,IF(INDEX('ITENS_MTR'!$R$6:$R$1005,S404)=1,1,0))</f>
        <v>0</v>
      </c>
      <c r="U404" s="96" t="str">
        <f>IF(T404=1,INDEX('ITENS_MTR'!$T$6:$T$1005,S404),"")</f>
        <v/>
      </c>
      <c r="V404" s="97" t="str">
        <f>IF(N(U404)&gt;0,INDEX('MTRs'!$E$6:$E$505,U404),"")</f>
        <v/>
      </c>
      <c r="W404" s="96" t="str">
        <f>IF(G404="","",IFERROR(IF(ISNUMBER(INDEX(cfg_fac,MATCH(G404,cfg_units,0))),IF(INDEX(cfg_fac,MATCH(G404,cfg_units,0))&gt;0,INDEX(cfg_fac,MATCH(G404,cfg_units,0)),""),""),""))</f>
        <v/>
      </c>
      <c r="X404" s="96">
        <f>IF(AND(ISNUMBER(F404),ISNUMBER(H404)),IF(H404&gt;0,1,0),0)</f>
        <v>0</v>
      </c>
      <c r="Y404" s="96">
        <f>IF(Q404=0,0,IF(OR(T404=0,X404=0,NOT(ISNUMBER(E404)),AND(J404="Sim",L404="",M404=""),AND(ISNUMBER(E404),ISNUMBER(V404),N(V404)&gt;0,E404&lt;N(V404))),1,0))</f>
        <v>0</v>
      </c>
      <c r="Z404" s="96">
        <f>IF(AND(Q404=1,T404=1,X404=1,J404="Sim",OR(L404&lt;&gt;"",M404&lt;&gt;"")),1,0)</f>
        <v>0</v>
      </c>
      <c r="AA404" s="96">
        <f>IF(Q404=0,0,IF(AND(OR(r_ini="",AND(ISNUMBER(E404),E404&gt;=r_ini)),OR(r_fim="",AND(ISNUMBER(E404),E404&lt;=r_fim)),OR(r_un="",r_un="(Todas)",IF(N(U404)&gt;0,INDEX('MTRs'!$G$6:$G$505,U404),"")=r_un),OR(r_de="",r_de="(Todos)",D404=r_de)),1,0))</f>
        <v>0</v>
      </c>
      <c r="AB404" s="96" t="str">
        <f>IF(AA404=1,COUNTIF($AA$6:AA404,1),"")</f>
        <v/>
      </c>
    </row>
    <row r="405">
      <c r="A405" s="89" t="inlineStr">
        <is>
          <t>REC-000400</t>
        </is>
      </c>
      <c r="B405" s="94" t="str">
        <f>IF(T405=1,INDEX('ITENS_MTR'!$S$6:$S$1005,S405)&amp;"","")</f>
        <v/>
      </c>
      <c r="C405" s="91" t="n"/>
      <c r="D405" s="94" t="str">
        <f>IF(N(U405)&gt;0,INDEX('MTRs'!$I$6:$I$505,U405)&amp;"","")</f>
        <v/>
      </c>
      <c r="E405" s="92" t="n"/>
      <c r="F405" s="98" t="n"/>
      <c r="G405" s="91" t="n"/>
      <c r="H405" s="93" t="str">
        <f>IF(Q405=0,"",IF(NOT(ISNUMBER(F405)),"",IF(ISNUMBER(W405),F405*W405,"UNIDADE A CONFERIR")))</f>
        <v/>
      </c>
      <c r="I405" s="91" t="n"/>
      <c r="J405" s="91" t="n"/>
      <c r="K405" s="92" t="n"/>
      <c r="L405" s="91" t="n"/>
      <c r="M405" s="91" t="n"/>
      <c r="N405" s="91" t="n"/>
      <c r="O405" s="91" t="n"/>
      <c r="P405" s="94" t="str">
        <f>IF(Q405=0,"",IF(C405="","Item de resíduo não informado",IF(T405=0,"Item inexistente (referência inválida)",IF(NOT(ISNUMBER(F405)),"Quantidade não informada",IF(F405&lt;=0,"Quantidade não positiva",IF(G405="","Unidade não informada",IF(NOT(ISNUMBER(H405)),"Unidade a conferir",IF(NOT(ISNUMBER(E405)),"Data de recebimento não informada",IF(AND(ISNUMBER(V405),N(V405)&gt;0,E405&lt;N(V405)),"Data anterior à emissão do MTR",IF(AND(J405="Sim",L405="",M405=""),"Conferido sem evidência identificada",IF(J405&lt;&gt;"Sim","Aguardando conferência",IF(INDEX('ITENS_MTR'!$AM$6:$AM$1005,S405)=1,"Conferido (ver diferença no item)","Conferido"))))))))))))</f>
        <v/>
      </c>
      <c r="Q405" s="96">
        <f>IF(COUNTA(C405,E405:G405,I405:O405)&gt;0,1,0)</f>
        <v>0</v>
      </c>
      <c r="R405" s="96" t="str">
        <f>IF(C405="","",TRIM(LEFT(C405,FIND(" |",C405&amp;" |")-1)))</f>
        <v/>
      </c>
      <c r="S405" s="96" t="str">
        <f>IF(R405="","",IFERROR(MATCH(R405,'ITENS_MTR'!$A$6:$A$1005,0),""))</f>
        <v/>
      </c>
      <c r="T405" s="96">
        <f>IF(S405="",0,IF(INDEX('ITENS_MTR'!$R$6:$R$1005,S405)=1,1,0))</f>
        <v>0</v>
      </c>
      <c r="U405" s="96" t="str">
        <f>IF(T405=1,INDEX('ITENS_MTR'!$T$6:$T$1005,S405),"")</f>
        <v/>
      </c>
      <c r="V405" s="97" t="str">
        <f>IF(N(U405)&gt;0,INDEX('MTRs'!$E$6:$E$505,U405),"")</f>
        <v/>
      </c>
      <c r="W405" s="96" t="str">
        <f>IF(G405="","",IFERROR(IF(ISNUMBER(INDEX(cfg_fac,MATCH(G405,cfg_units,0))),IF(INDEX(cfg_fac,MATCH(G405,cfg_units,0))&gt;0,INDEX(cfg_fac,MATCH(G405,cfg_units,0)),""),""),""))</f>
        <v/>
      </c>
      <c r="X405" s="96">
        <f>IF(AND(ISNUMBER(F405),ISNUMBER(H405)),IF(H405&gt;0,1,0),0)</f>
        <v>0</v>
      </c>
      <c r="Y405" s="96">
        <f>IF(Q405=0,0,IF(OR(T405=0,X405=0,NOT(ISNUMBER(E405)),AND(J405="Sim",L405="",M405=""),AND(ISNUMBER(E405),ISNUMBER(V405),N(V405)&gt;0,E405&lt;N(V405))),1,0))</f>
        <v>0</v>
      </c>
      <c r="Z405" s="96">
        <f>IF(AND(Q405=1,T405=1,X405=1,J405="Sim",OR(L405&lt;&gt;"",M405&lt;&gt;"")),1,0)</f>
        <v>0</v>
      </c>
      <c r="AA405" s="96">
        <f>IF(Q405=0,0,IF(AND(OR(r_ini="",AND(ISNUMBER(E405),E405&gt;=r_ini)),OR(r_fim="",AND(ISNUMBER(E405),E405&lt;=r_fim)),OR(r_un="",r_un="(Todas)",IF(N(U405)&gt;0,INDEX('MTRs'!$G$6:$G$505,U405),"")=r_un),OR(r_de="",r_de="(Todos)",D405=r_de)),1,0))</f>
        <v>0</v>
      </c>
      <c r="AB405" s="96" t="str">
        <f>IF(AA405=1,COUNTIF($AA$6:AA405,1),"")</f>
        <v/>
      </c>
    </row>
    <row r="406">
      <c r="A406" s="89" t="inlineStr">
        <is>
          <t>REC-000401</t>
        </is>
      </c>
      <c r="B406" s="94" t="str">
        <f>IF(T406=1,INDEX('ITENS_MTR'!$S$6:$S$1005,S406)&amp;"","")</f>
        <v/>
      </c>
      <c r="C406" s="91" t="n"/>
      <c r="D406" s="94" t="str">
        <f>IF(N(U406)&gt;0,INDEX('MTRs'!$I$6:$I$505,U406)&amp;"","")</f>
        <v/>
      </c>
      <c r="E406" s="92" t="n"/>
      <c r="F406" s="98" t="n"/>
      <c r="G406" s="91" t="n"/>
      <c r="H406" s="93" t="str">
        <f>IF(Q406=0,"",IF(NOT(ISNUMBER(F406)),"",IF(ISNUMBER(W406),F406*W406,"UNIDADE A CONFERIR")))</f>
        <v/>
      </c>
      <c r="I406" s="91" t="n"/>
      <c r="J406" s="91" t="n"/>
      <c r="K406" s="92" t="n"/>
      <c r="L406" s="91" t="n"/>
      <c r="M406" s="91" t="n"/>
      <c r="N406" s="91" t="n"/>
      <c r="O406" s="91" t="n"/>
      <c r="P406" s="94" t="str">
        <f>IF(Q406=0,"",IF(C406="","Item de resíduo não informado",IF(T406=0,"Item inexistente (referência inválida)",IF(NOT(ISNUMBER(F406)),"Quantidade não informada",IF(F406&lt;=0,"Quantidade não positiva",IF(G406="","Unidade não informada",IF(NOT(ISNUMBER(H406)),"Unidade a conferir",IF(NOT(ISNUMBER(E406)),"Data de recebimento não informada",IF(AND(ISNUMBER(V406),N(V406)&gt;0,E406&lt;N(V406)),"Data anterior à emissão do MTR",IF(AND(J406="Sim",L406="",M406=""),"Conferido sem evidência identificada",IF(J406&lt;&gt;"Sim","Aguardando conferência",IF(INDEX('ITENS_MTR'!$AM$6:$AM$1005,S406)=1,"Conferido (ver diferença no item)","Conferido"))))))))))))</f>
        <v/>
      </c>
      <c r="Q406" s="96">
        <f>IF(COUNTA(C406,E406:G406,I406:O406)&gt;0,1,0)</f>
        <v>0</v>
      </c>
      <c r="R406" s="96" t="str">
        <f>IF(C406="","",TRIM(LEFT(C406,FIND(" |",C406&amp;" |")-1)))</f>
        <v/>
      </c>
      <c r="S406" s="96" t="str">
        <f>IF(R406="","",IFERROR(MATCH(R406,'ITENS_MTR'!$A$6:$A$1005,0),""))</f>
        <v/>
      </c>
      <c r="T406" s="96">
        <f>IF(S406="",0,IF(INDEX('ITENS_MTR'!$R$6:$R$1005,S406)=1,1,0))</f>
        <v>0</v>
      </c>
      <c r="U406" s="96" t="str">
        <f>IF(T406=1,INDEX('ITENS_MTR'!$T$6:$T$1005,S406),"")</f>
        <v/>
      </c>
      <c r="V406" s="97" t="str">
        <f>IF(N(U406)&gt;0,INDEX('MTRs'!$E$6:$E$505,U406),"")</f>
        <v/>
      </c>
      <c r="W406" s="96" t="str">
        <f>IF(G406="","",IFERROR(IF(ISNUMBER(INDEX(cfg_fac,MATCH(G406,cfg_units,0))),IF(INDEX(cfg_fac,MATCH(G406,cfg_units,0))&gt;0,INDEX(cfg_fac,MATCH(G406,cfg_units,0)),""),""),""))</f>
        <v/>
      </c>
      <c r="X406" s="96">
        <f>IF(AND(ISNUMBER(F406),ISNUMBER(H406)),IF(H406&gt;0,1,0),0)</f>
        <v>0</v>
      </c>
      <c r="Y406" s="96">
        <f>IF(Q406=0,0,IF(OR(T406=0,X406=0,NOT(ISNUMBER(E406)),AND(J406="Sim",L406="",M406=""),AND(ISNUMBER(E406),ISNUMBER(V406),N(V406)&gt;0,E406&lt;N(V406))),1,0))</f>
        <v>0</v>
      </c>
      <c r="Z406" s="96">
        <f>IF(AND(Q406=1,T406=1,X406=1,J406="Sim",OR(L406&lt;&gt;"",M406&lt;&gt;"")),1,0)</f>
        <v>0</v>
      </c>
      <c r="AA406" s="96">
        <f>IF(Q406=0,0,IF(AND(OR(r_ini="",AND(ISNUMBER(E406),E406&gt;=r_ini)),OR(r_fim="",AND(ISNUMBER(E406),E406&lt;=r_fim)),OR(r_un="",r_un="(Todas)",IF(N(U406)&gt;0,INDEX('MTRs'!$G$6:$G$505,U406),"")=r_un),OR(r_de="",r_de="(Todos)",D406=r_de)),1,0))</f>
        <v>0</v>
      </c>
      <c r="AB406" s="96" t="str">
        <f>IF(AA406=1,COUNTIF($AA$6:AA406,1),"")</f>
        <v/>
      </c>
    </row>
    <row r="407">
      <c r="A407" s="89" t="inlineStr">
        <is>
          <t>REC-000402</t>
        </is>
      </c>
      <c r="B407" s="94" t="str">
        <f>IF(T407=1,INDEX('ITENS_MTR'!$S$6:$S$1005,S407)&amp;"","")</f>
        <v/>
      </c>
      <c r="C407" s="91" t="n"/>
      <c r="D407" s="94" t="str">
        <f>IF(N(U407)&gt;0,INDEX('MTRs'!$I$6:$I$505,U407)&amp;"","")</f>
        <v/>
      </c>
      <c r="E407" s="92" t="n"/>
      <c r="F407" s="98" t="n"/>
      <c r="G407" s="91" t="n"/>
      <c r="H407" s="93" t="str">
        <f>IF(Q407=0,"",IF(NOT(ISNUMBER(F407)),"",IF(ISNUMBER(W407),F407*W407,"UNIDADE A CONFERIR")))</f>
        <v/>
      </c>
      <c r="I407" s="91" t="n"/>
      <c r="J407" s="91" t="n"/>
      <c r="K407" s="92" t="n"/>
      <c r="L407" s="91" t="n"/>
      <c r="M407" s="91" t="n"/>
      <c r="N407" s="91" t="n"/>
      <c r="O407" s="91" t="n"/>
      <c r="P407" s="94" t="str">
        <f>IF(Q407=0,"",IF(C407="","Item de resíduo não informado",IF(T407=0,"Item inexistente (referência inválida)",IF(NOT(ISNUMBER(F407)),"Quantidade não informada",IF(F407&lt;=0,"Quantidade não positiva",IF(G407="","Unidade não informada",IF(NOT(ISNUMBER(H407)),"Unidade a conferir",IF(NOT(ISNUMBER(E407)),"Data de recebimento não informada",IF(AND(ISNUMBER(V407),N(V407)&gt;0,E407&lt;N(V407)),"Data anterior à emissão do MTR",IF(AND(J407="Sim",L407="",M407=""),"Conferido sem evidência identificada",IF(J407&lt;&gt;"Sim","Aguardando conferência",IF(INDEX('ITENS_MTR'!$AM$6:$AM$1005,S407)=1,"Conferido (ver diferença no item)","Conferido"))))))))))))</f>
        <v/>
      </c>
      <c r="Q407" s="96">
        <f>IF(COUNTA(C407,E407:G407,I407:O407)&gt;0,1,0)</f>
        <v>0</v>
      </c>
      <c r="R407" s="96" t="str">
        <f>IF(C407="","",TRIM(LEFT(C407,FIND(" |",C407&amp;" |")-1)))</f>
        <v/>
      </c>
      <c r="S407" s="96" t="str">
        <f>IF(R407="","",IFERROR(MATCH(R407,'ITENS_MTR'!$A$6:$A$1005,0),""))</f>
        <v/>
      </c>
      <c r="T407" s="96">
        <f>IF(S407="",0,IF(INDEX('ITENS_MTR'!$R$6:$R$1005,S407)=1,1,0))</f>
        <v>0</v>
      </c>
      <c r="U407" s="96" t="str">
        <f>IF(T407=1,INDEX('ITENS_MTR'!$T$6:$T$1005,S407),"")</f>
        <v/>
      </c>
      <c r="V407" s="97" t="str">
        <f>IF(N(U407)&gt;0,INDEX('MTRs'!$E$6:$E$505,U407),"")</f>
        <v/>
      </c>
      <c r="W407" s="96" t="str">
        <f>IF(G407="","",IFERROR(IF(ISNUMBER(INDEX(cfg_fac,MATCH(G407,cfg_units,0))),IF(INDEX(cfg_fac,MATCH(G407,cfg_units,0))&gt;0,INDEX(cfg_fac,MATCH(G407,cfg_units,0)),""),""),""))</f>
        <v/>
      </c>
      <c r="X407" s="96">
        <f>IF(AND(ISNUMBER(F407),ISNUMBER(H407)),IF(H407&gt;0,1,0),0)</f>
        <v>0</v>
      </c>
      <c r="Y407" s="96">
        <f>IF(Q407=0,0,IF(OR(T407=0,X407=0,NOT(ISNUMBER(E407)),AND(J407="Sim",L407="",M407=""),AND(ISNUMBER(E407),ISNUMBER(V407),N(V407)&gt;0,E407&lt;N(V407))),1,0))</f>
        <v>0</v>
      </c>
      <c r="Z407" s="96">
        <f>IF(AND(Q407=1,T407=1,X407=1,J407="Sim",OR(L407&lt;&gt;"",M407&lt;&gt;"")),1,0)</f>
        <v>0</v>
      </c>
      <c r="AA407" s="96">
        <f>IF(Q407=0,0,IF(AND(OR(r_ini="",AND(ISNUMBER(E407),E407&gt;=r_ini)),OR(r_fim="",AND(ISNUMBER(E407),E407&lt;=r_fim)),OR(r_un="",r_un="(Todas)",IF(N(U407)&gt;0,INDEX('MTRs'!$G$6:$G$505,U407),"")=r_un),OR(r_de="",r_de="(Todos)",D407=r_de)),1,0))</f>
        <v>0</v>
      </c>
      <c r="AB407" s="96" t="str">
        <f>IF(AA407=1,COUNTIF($AA$6:AA407,1),"")</f>
        <v/>
      </c>
    </row>
    <row r="408">
      <c r="A408" s="89" t="inlineStr">
        <is>
          <t>REC-000403</t>
        </is>
      </c>
      <c r="B408" s="94" t="str">
        <f>IF(T408=1,INDEX('ITENS_MTR'!$S$6:$S$1005,S408)&amp;"","")</f>
        <v/>
      </c>
      <c r="C408" s="91" t="n"/>
      <c r="D408" s="94" t="str">
        <f>IF(N(U408)&gt;0,INDEX('MTRs'!$I$6:$I$505,U408)&amp;"","")</f>
        <v/>
      </c>
      <c r="E408" s="92" t="n"/>
      <c r="F408" s="98" t="n"/>
      <c r="G408" s="91" t="n"/>
      <c r="H408" s="93" t="str">
        <f>IF(Q408=0,"",IF(NOT(ISNUMBER(F408)),"",IF(ISNUMBER(W408),F408*W408,"UNIDADE A CONFERIR")))</f>
        <v/>
      </c>
      <c r="I408" s="91" t="n"/>
      <c r="J408" s="91" t="n"/>
      <c r="K408" s="92" t="n"/>
      <c r="L408" s="91" t="n"/>
      <c r="M408" s="91" t="n"/>
      <c r="N408" s="91" t="n"/>
      <c r="O408" s="91" t="n"/>
      <c r="P408" s="94" t="str">
        <f>IF(Q408=0,"",IF(C408="","Item de resíduo não informado",IF(T408=0,"Item inexistente (referência inválida)",IF(NOT(ISNUMBER(F408)),"Quantidade não informada",IF(F408&lt;=0,"Quantidade não positiva",IF(G408="","Unidade não informada",IF(NOT(ISNUMBER(H408)),"Unidade a conferir",IF(NOT(ISNUMBER(E408)),"Data de recebimento não informada",IF(AND(ISNUMBER(V408),N(V408)&gt;0,E408&lt;N(V408)),"Data anterior à emissão do MTR",IF(AND(J408="Sim",L408="",M408=""),"Conferido sem evidência identificada",IF(J408&lt;&gt;"Sim","Aguardando conferência",IF(INDEX('ITENS_MTR'!$AM$6:$AM$1005,S408)=1,"Conferido (ver diferença no item)","Conferido"))))))))))))</f>
        <v/>
      </c>
      <c r="Q408" s="96">
        <f>IF(COUNTA(C408,E408:G408,I408:O408)&gt;0,1,0)</f>
        <v>0</v>
      </c>
      <c r="R408" s="96" t="str">
        <f>IF(C408="","",TRIM(LEFT(C408,FIND(" |",C408&amp;" |")-1)))</f>
        <v/>
      </c>
      <c r="S408" s="96" t="str">
        <f>IF(R408="","",IFERROR(MATCH(R408,'ITENS_MTR'!$A$6:$A$1005,0),""))</f>
        <v/>
      </c>
      <c r="T408" s="96">
        <f>IF(S408="",0,IF(INDEX('ITENS_MTR'!$R$6:$R$1005,S408)=1,1,0))</f>
        <v>0</v>
      </c>
      <c r="U408" s="96" t="str">
        <f>IF(T408=1,INDEX('ITENS_MTR'!$T$6:$T$1005,S408),"")</f>
        <v/>
      </c>
      <c r="V408" s="97" t="str">
        <f>IF(N(U408)&gt;0,INDEX('MTRs'!$E$6:$E$505,U408),"")</f>
        <v/>
      </c>
      <c r="W408" s="96" t="str">
        <f>IF(G408="","",IFERROR(IF(ISNUMBER(INDEX(cfg_fac,MATCH(G408,cfg_units,0))),IF(INDEX(cfg_fac,MATCH(G408,cfg_units,0))&gt;0,INDEX(cfg_fac,MATCH(G408,cfg_units,0)),""),""),""))</f>
        <v/>
      </c>
      <c r="X408" s="96">
        <f>IF(AND(ISNUMBER(F408),ISNUMBER(H408)),IF(H408&gt;0,1,0),0)</f>
        <v>0</v>
      </c>
      <c r="Y408" s="96">
        <f>IF(Q408=0,0,IF(OR(T408=0,X408=0,NOT(ISNUMBER(E408)),AND(J408="Sim",L408="",M408=""),AND(ISNUMBER(E408),ISNUMBER(V408),N(V408)&gt;0,E408&lt;N(V408))),1,0))</f>
        <v>0</v>
      </c>
      <c r="Z408" s="96">
        <f>IF(AND(Q408=1,T408=1,X408=1,J408="Sim",OR(L408&lt;&gt;"",M408&lt;&gt;"")),1,0)</f>
        <v>0</v>
      </c>
      <c r="AA408" s="96">
        <f>IF(Q408=0,0,IF(AND(OR(r_ini="",AND(ISNUMBER(E408),E408&gt;=r_ini)),OR(r_fim="",AND(ISNUMBER(E408),E408&lt;=r_fim)),OR(r_un="",r_un="(Todas)",IF(N(U408)&gt;0,INDEX('MTRs'!$G$6:$G$505,U408),"")=r_un),OR(r_de="",r_de="(Todos)",D408=r_de)),1,0))</f>
        <v>0</v>
      </c>
      <c r="AB408" s="96" t="str">
        <f>IF(AA408=1,COUNTIF($AA$6:AA408,1),"")</f>
        <v/>
      </c>
    </row>
    <row r="409">
      <c r="A409" s="89" t="inlineStr">
        <is>
          <t>REC-000404</t>
        </is>
      </c>
      <c r="B409" s="94" t="str">
        <f>IF(T409=1,INDEX('ITENS_MTR'!$S$6:$S$1005,S409)&amp;"","")</f>
        <v/>
      </c>
      <c r="C409" s="91" t="n"/>
      <c r="D409" s="94" t="str">
        <f>IF(N(U409)&gt;0,INDEX('MTRs'!$I$6:$I$505,U409)&amp;"","")</f>
        <v/>
      </c>
      <c r="E409" s="92" t="n"/>
      <c r="F409" s="98" t="n"/>
      <c r="G409" s="91" t="n"/>
      <c r="H409" s="93" t="str">
        <f>IF(Q409=0,"",IF(NOT(ISNUMBER(F409)),"",IF(ISNUMBER(W409),F409*W409,"UNIDADE A CONFERIR")))</f>
        <v/>
      </c>
      <c r="I409" s="91" t="n"/>
      <c r="J409" s="91" t="n"/>
      <c r="K409" s="92" t="n"/>
      <c r="L409" s="91" t="n"/>
      <c r="M409" s="91" t="n"/>
      <c r="N409" s="91" t="n"/>
      <c r="O409" s="91" t="n"/>
      <c r="P409" s="94" t="str">
        <f>IF(Q409=0,"",IF(C409="","Item de resíduo não informado",IF(T409=0,"Item inexistente (referência inválida)",IF(NOT(ISNUMBER(F409)),"Quantidade não informada",IF(F409&lt;=0,"Quantidade não positiva",IF(G409="","Unidade não informada",IF(NOT(ISNUMBER(H409)),"Unidade a conferir",IF(NOT(ISNUMBER(E409)),"Data de recebimento não informada",IF(AND(ISNUMBER(V409),N(V409)&gt;0,E409&lt;N(V409)),"Data anterior à emissão do MTR",IF(AND(J409="Sim",L409="",M409=""),"Conferido sem evidência identificada",IF(J409&lt;&gt;"Sim","Aguardando conferência",IF(INDEX('ITENS_MTR'!$AM$6:$AM$1005,S409)=1,"Conferido (ver diferença no item)","Conferido"))))))))))))</f>
        <v/>
      </c>
      <c r="Q409" s="96">
        <f>IF(COUNTA(C409,E409:G409,I409:O409)&gt;0,1,0)</f>
        <v>0</v>
      </c>
      <c r="R409" s="96" t="str">
        <f>IF(C409="","",TRIM(LEFT(C409,FIND(" |",C409&amp;" |")-1)))</f>
        <v/>
      </c>
      <c r="S409" s="96" t="str">
        <f>IF(R409="","",IFERROR(MATCH(R409,'ITENS_MTR'!$A$6:$A$1005,0),""))</f>
        <v/>
      </c>
      <c r="T409" s="96">
        <f>IF(S409="",0,IF(INDEX('ITENS_MTR'!$R$6:$R$1005,S409)=1,1,0))</f>
        <v>0</v>
      </c>
      <c r="U409" s="96" t="str">
        <f>IF(T409=1,INDEX('ITENS_MTR'!$T$6:$T$1005,S409),"")</f>
        <v/>
      </c>
      <c r="V409" s="97" t="str">
        <f>IF(N(U409)&gt;0,INDEX('MTRs'!$E$6:$E$505,U409),"")</f>
        <v/>
      </c>
      <c r="W409" s="96" t="str">
        <f>IF(G409="","",IFERROR(IF(ISNUMBER(INDEX(cfg_fac,MATCH(G409,cfg_units,0))),IF(INDEX(cfg_fac,MATCH(G409,cfg_units,0))&gt;0,INDEX(cfg_fac,MATCH(G409,cfg_units,0)),""),""),""))</f>
        <v/>
      </c>
      <c r="X409" s="96">
        <f>IF(AND(ISNUMBER(F409),ISNUMBER(H409)),IF(H409&gt;0,1,0),0)</f>
        <v>0</v>
      </c>
      <c r="Y409" s="96">
        <f>IF(Q409=0,0,IF(OR(T409=0,X409=0,NOT(ISNUMBER(E409)),AND(J409="Sim",L409="",M409=""),AND(ISNUMBER(E409),ISNUMBER(V409),N(V409)&gt;0,E409&lt;N(V409))),1,0))</f>
        <v>0</v>
      </c>
      <c r="Z409" s="96">
        <f>IF(AND(Q409=1,T409=1,X409=1,J409="Sim",OR(L409&lt;&gt;"",M409&lt;&gt;"")),1,0)</f>
        <v>0</v>
      </c>
      <c r="AA409" s="96">
        <f>IF(Q409=0,0,IF(AND(OR(r_ini="",AND(ISNUMBER(E409),E409&gt;=r_ini)),OR(r_fim="",AND(ISNUMBER(E409),E409&lt;=r_fim)),OR(r_un="",r_un="(Todas)",IF(N(U409)&gt;0,INDEX('MTRs'!$G$6:$G$505,U409),"")=r_un),OR(r_de="",r_de="(Todos)",D409=r_de)),1,0))</f>
        <v>0</v>
      </c>
      <c r="AB409" s="96" t="str">
        <f>IF(AA409=1,COUNTIF($AA$6:AA409,1),"")</f>
        <v/>
      </c>
    </row>
    <row r="410">
      <c r="A410" s="89" t="inlineStr">
        <is>
          <t>REC-000405</t>
        </is>
      </c>
      <c r="B410" s="94" t="str">
        <f>IF(T410=1,INDEX('ITENS_MTR'!$S$6:$S$1005,S410)&amp;"","")</f>
        <v/>
      </c>
      <c r="C410" s="91" t="n"/>
      <c r="D410" s="94" t="str">
        <f>IF(N(U410)&gt;0,INDEX('MTRs'!$I$6:$I$505,U410)&amp;"","")</f>
        <v/>
      </c>
      <c r="E410" s="92" t="n"/>
      <c r="F410" s="98" t="n"/>
      <c r="G410" s="91" t="n"/>
      <c r="H410" s="93" t="str">
        <f>IF(Q410=0,"",IF(NOT(ISNUMBER(F410)),"",IF(ISNUMBER(W410),F410*W410,"UNIDADE A CONFERIR")))</f>
        <v/>
      </c>
      <c r="I410" s="91" t="n"/>
      <c r="J410" s="91" t="n"/>
      <c r="K410" s="92" t="n"/>
      <c r="L410" s="91" t="n"/>
      <c r="M410" s="91" t="n"/>
      <c r="N410" s="91" t="n"/>
      <c r="O410" s="91" t="n"/>
      <c r="P410" s="94" t="str">
        <f>IF(Q410=0,"",IF(C410="","Item de resíduo não informado",IF(T410=0,"Item inexistente (referência inválida)",IF(NOT(ISNUMBER(F410)),"Quantidade não informada",IF(F410&lt;=0,"Quantidade não positiva",IF(G410="","Unidade não informada",IF(NOT(ISNUMBER(H410)),"Unidade a conferir",IF(NOT(ISNUMBER(E410)),"Data de recebimento não informada",IF(AND(ISNUMBER(V410),N(V410)&gt;0,E410&lt;N(V410)),"Data anterior à emissão do MTR",IF(AND(J410="Sim",L410="",M410=""),"Conferido sem evidência identificada",IF(J410&lt;&gt;"Sim","Aguardando conferência",IF(INDEX('ITENS_MTR'!$AM$6:$AM$1005,S410)=1,"Conferido (ver diferença no item)","Conferido"))))))))))))</f>
        <v/>
      </c>
      <c r="Q410" s="96">
        <f>IF(COUNTA(C410,E410:G410,I410:O410)&gt;0,1,0)</f>
        <v>0</v>
      </c>
      <c r="R410" s="96" t="str">
        <f>IF(C410="","",TRIM(LEFT(C410,FIND(" |",C410&amp;" |")-1)))</f>
        <v/>
      </c>
      <c r="S410" s="96" t="str">
        <f>IF(R410="","",IFERROR(MATCH(R410,'ITENS_MTR'!$A$6:$A$1005,0),""))</f>
        <v/>
      </c>
      <c r="T410" s="96">
        <f>IF(S410="",0,IF(INDEX('ITENS_MTR'!$R$6:$R$1005,S410)=1,1,0))</f>
        <v>0</v>
      </c>
      <c r="U410" s="96" t="str">
        <f>IF(T410=1,INDEX('ITENS_MTR'!$T$6:$T$1005,S410),"")</f>
        <v/>
      </c>
      <c r="V410" s="97" t="str">
        <f>IF(N(U410)&gt;0,INDEX('MTRs'!$E$6:$E$505,U410),"")</f>
        <v/>
      </c>
      <c r="W410" s="96" t="str">
        <f>IF(G410="","",IFERROR(IF(ISNUMBER(INDEX(cfg_fac,MATCH(G410,cfg_units,0))),IF(INDEX(cfg_fac,MATCH(G410,cfg_units,0))&gt;0,INDEX(cfg_fac,MATCH(G410,cfg_units,0)),""),""),""))</f>
        <v/>
      </c>
      <c r="X410" s="96">
        <f>IF(AND(ISNUMBER(F410),ISNUMBER(H410)),IF(H410&gt;0,1,0),0)</f>
        <v>0</v>
      </c>
      <c r="Y410" s="96">
        <f>IF(Q410=0,0,IF(OR(T410=0,X410=0,NOT(ISNUMBER(E410)),AND(J410="Sim",L410="",M410=""),AND(ISNUMBER(E410),ISNUMBER(V410),N(V410)&gt;0,E410&lt;N(V410))),1,0))</f>
        <v>0</v>
      </c>
      <c r="Z410" s="96">
        <f>IF(AND(Q410=1,T410=1,X410=1,J410="Sim",OR(L410&lt;&gt;"",M410&lt;&gt;"")),1,0)</f>
        <v>0</v>
      </c>
      <c r="AA410" s="96">
        <f>IF(Q410=0,0,IF(AND(OR(r_ini="",AND(ISNUMBER(E410),E410&gt;=r_ini)),OR(r_fim="",AND(ISNUMBER(E410),E410&lt;=r_fim)),OR(r_un="",r_un="(Todas)",IF(N(U410)&gt;0,INDEX('MTRs'!$G$6:$G$505,U410),"")=r_un),OR(r_de="",r_de="(Todos)",D410=r_de)),1,0))</f>
        <v>0</v>
      </c>
      <c r="AB410" s="96" t="str">
        <f>IF(AA410=1,COUNTIF($AA$6:AA410,1),"")</f>
        <v/>
      </c>
    </row>
    <row r="411">
      <c r="A411" s="89" t="inlineStr">
        <is>
          <t>REC-000406</t>
        </is>
      </c>
      <c r="B411" s="94" t="str">
        <f>IF(T411=1,INDEX('ITENS_MTR'!$S$6:$S$1005,S411)&amp;"","")</f>
        <v/>
      </c>
      <c r="C411" s="91" t="n"/>
      <c r="D411" s="94" t="str">
        <f>IF(N(U411)&gt;0,INDEX('MTRs'!$I$6:$I$505,U411)&amp;"","")</f>
        <v/>
      </c>
      <c r="E411" s="92" t="n"/>
      <c r="F411" s="98" t="n"/>
      <c r="G411" s="91" t="n"/>
      <c r="H411" s="93" t="str">
        <f>IF(Q411=0,"",IF(NOT(ISNUMBER(F411)),"",IF(ISNUMBER(W411),F411*W411,"UNIDADE A CONFERIR")))</f>
        <v/>
      </c>
      <c r="I411" s="91" t="n"/>
      <c r="J411" s="91" t="n"/>
      <c r="K411" s="92" t="n"/>
      <c r="L411" s="91" t="n"/>
      <c r="M411" s="91" t="n"/>
      <c r="N411" s="91" t="n"/>
      <c r="O411" s="91" t="n"/>
      <c r="P411" s="94" t="str">
        <f>IF(Q411=0,"",IF(C411="","Item de resíduo não informado",IF(T411=0,"Item inexistente (referência inválida)",IF(NOT(ISNUMBER(F411)),"Quantidade não informada",IF(F411&lt;=0,"Quantidade não positiva",IF(G411="","Unidade não informada",IF(NOT(ISNUMBER(H411)),"Unidade a conferir",IF(NOT(ISNUMBER(E411)),"Data de recebimento não informada",IF(AND(ISNUMBER(V411),N(V411)&gt;0,E411&lt;N(V411)),"Data anterior à emissão do MTR",IF(AND(J411="Sim",L411="",M411=""),"Conferido sem evidência identificada",IF(J411&lt;&gt;"Sim","Aguardando conferência",IF(INDEX('ITENS_MTR'!$AM$6:$AM$1005,S411)=1,"Conferido (ver diferença no item)","Conferido"))))))))))))</f>
        <v/>
      </c>
      <c r="Q411" s="96">
        <f>IF(COUNTA(C411,E411:G411,I411:O411)&gt;0,1,0)</f>
        <v>0</v>
      </c>
      <c r="R411" s="96" t="str">
        <f>IF(C411="","",TRIM(LEFT(C411,FIND(" |",C411&amp;" |")-1)))</f>
        <v/>
      </c>
      <c r="S411" s="96" t="str">
        <f>IF(R411="","",IFERROR(MATCH(R411,'ITENS_MTR'!$A$6:$A$1005,0),""))</f>
        <v/>
      </c>
      <c r="T411" s="96">
        <f>IF(S411="",0,IF(INDEX('ITENS_MTR'!$R$6:$R$1005,S411)=1,1,0))</f>
        <v>0</v>
      </c>
      <c r="U411" s="96" t="str">
        <f>IF(T411=1,INDEX('ITENS_MTR'!$T$6:$T$1005,S411),"")</f>
        <v/>
      </c>
      <c r="V411" s="97" t="str">
        <f>IF(N(U411)&gt;0,INDEX('MTRs'!$E$6:$E$505,U411),"")</f>
        <v/>
      </c>
      <c r="W411" s="96" t="str">
        <f>IF(G411="","",IFERROR(IF(ISNUMBER(INDEX(cfg_fac,MATCH(G411,cfg_units,0))),IF(INDEX(cfg_fac,MATCH(G411,cfg_units,0))&gt;0,INDEX(cfg_fac,MATCH(G411,cfg_units,0)),""),""),""))</f>
        <v/>
      </c>
      <c r="X411" s="96">
        <f>IF(AND(ISNUMBER(F411),ISNUMBER(H411)),IF(H411&gt;0,1,0),0)</f>
        <v>0</v>
      </c>
      <c r="Y411" s="96">
        <f>IF(Q411=0,0,IF(OR(T411=0,X411=0,NOT(ISNUMBER(E411)),AND(J411="Sim",L411="",M411=""),AND(ISNUMBER(E411),ISNUMBER(V411),N(V411)&gt;0,E411&lt;N(V411))),1,0))</f>
        <v>0</v>
      </c>
      <c r="Z411" s="96">
        <f>IF(AND(Q411=1,T411=1,X411=1,J411="Sim",OR(L411&lt;&gt;"",M411&lt;&gt;"")),1,0)</f>
        <v>0</v>
      </c>
      <c r="AA411" s="96">
        <f>IF(Q411=0,0,IF(AND(OR(r_ini="",AND(ISNUMBER(E411),E411&gt;=r_ini)),OR(r_fim="",AND(ISNUMBER(E411),E411&lt;=r_fim)),OR(r_un="",r_un="(Todas)",IF(N(U411)&gt;0,INDEX('MTRs'!$G$6:$G$505,U411),"")=r_un),OR(r_de="",r_de="(Todos)",D411=r_de)),1,0))</f>
        <v>0</v>
      </c>
      <c r="AB411" s="96" t="str">
        <f>IF(AA411=1,COUNTIF($AA$6:AA411,1),"")</f>
        <v/>
      </c>
    </row>
    <row r="412">
      <c r="A412" s="89" t="inlineStr">
        <is>
          <t>REC-000407</t>
        </is>
      </c>
      <c r="B412" s="94" t="str">
        <f>IF(T412=1,INDEX('ITENS_MTR'!$S$6:$S$1005,S412)&amp;"","")</f>
        <v/>
      </c>
      <c r="C412" s="91" t="n"/>
      <c r="D412" s="94" t="str">
        <f>IF(N(U412)&gt;0,INDEX('MTRs'!$I$6:$I$505,U412)&amp;"","")</f>
        <v/>
      </c>
      <c r="E412" s="92" t="n"/>
      <c r="F412" s="98" t="n"/>
      <c r="G412" s="91" t="n"/>
      <c r="H412" s="93" t="str">
        <f>IF(Q412=0,"",IF(NOT(ISNUMBER(F412)),"",IF(ISNUMBER(W412),F412*W412,"UNIDADE A CONFERIR")))</f>
        <v/>
      </c>
      <c r="I412" s="91" t="n"/>
      <c r="J412" s="91" t="n"/>
      <c r="K412" s="92" t="n"/>
      <c r="L412" s="91" t="n"/>
      <c r="M412" s="91" t="n"/>
      <c r="N412" s="91" t="n"/>
      <c r="O412" s="91" t="n"/>
      <c r="P412" s="94" t="str">
        <f>IF(Q412=0,"",IF(C412="","Item de resíduo não informado",IF(T412=0,"Item inexistente (referência inválida)",IF(NOT(ISNUMBER(F412)),"Quantidade não informada",IF(F412&lt;=0,"Quantidade não positiva",IF(G412="","Unidade não informada",IF(NOT(ISNUMBER(H412)),"Unidade a conferir",IF(NOT(ISNUMBER(E412)),"Data de recebimento não informada",IF(AND(ISNUMBER(V412),N(V412)&gt;0,E412&lt;N(V412)),"Data anterior à emissão do MTR",IF(AND(J412="Sim",L412="",M412=""),"Conferido sem evidência identificada",IF(J412&lt;&gt;"Sim","Aguardando conferência",IF(INDEX('ITENS_MTR'!$AM$6:$AM$1005,S412)=1,"Conferido (ver diferença no item)","Conferido"))))))))))))</f>
        <v/>
      </c>
      <c r="Q412" s="96">
        <f>IF(COUNTA(C412,E412:G412,I412:O412)&gt;0,1,0)</f>
        <v>0</v>
      </c>
      <c r="R412" s="96" t="str">
        <f>IF(C412="","",TRIM(LEFT(C412,FIND(" |",C412&amp;" |")-1)))</f>
        <v/>
      </c>
      <c r="S412" s="96" t="str">
        <f>IF(R412="","",IFERROR(MATCH(R412,'ITENS_MTR'!$A$6:$A$1005,0),""))</f>
        <v/>
      </c>
      <c r="T412" s="96">
        <f>IF(S412="",0,IF(INDEX('ITENS_MTR'!$R$6:$R$1005,S412)=1,1,0))</f>
        <v>0</v>
      </c>
      <c r="U412" s="96" t="str">
        <f>IF(T412=1,INDEX('ITENS_MTR'!$T$6:$T$1005,S412),"")</f>
        <v/>
      </c>
      <c r="V412" s="97" t="str">
        <f>IF(N(U412)&gt;0,INDEX('MTRs'!$E$6:$E$505,U412),"")</f>
        <v/>
      </c>
      <c r="W412" s="96" t="str">
        <f>IF(G412="","",IFERROR(IF(ISNUMBER(INDEX(cfg_fac,MATCH(G412,cfg_units,0))),IF(INDEX(cfg_fac,MATCH(G412,cfg_units,0))&gt;0,INDEX(cfg_fac,MATCH(G412,cfg_units,0)),""),""),""))</f>
        <v/>
      </c>
      <c r="X412" s="96">
        <f>IF(AND(ISNUMBER(F412),ISNUMBER(H412)),IF(H412&gt;0,1,0),0)</f>
        <v>0</v>
      </c>
      <c r="Y412" s="96">
        <f>IF(Q412=0,0,IF(OR(T412=0,X412=0,NOT(ISNUMBER(E412)),AND(J412="Sim",L412="",M412=""),AND(ISNUMBER(E412),ISNUMBER(V412),N(V412)&gt;0,E412&lt;N(V412))),1,0))</f>
        <v>0</v>
      </c>
      <c r="Z412" s="96">
        <f>IF(AND(Q412=1,T412=1,X412=1,J412="Sim",OR(L412&lt;&gt;"",M412&lt;&gt;"")),1,0)</f>
        <v>0</v>
      </c>
      <c r="AA412" s="96">
        <f>IF(Q412=0,0,IF(AND(OR(r_ini="",AND(ISNUMBER(E412),E412&gt;=r_ini)),OR(r_fim="",AND(ISNUMBER(E412),E412&lt;=r_fim)),OR(r_un="",r_un="(Todas)",IF(N(U412)&gt;0,INDEX('MTRs'!$G$6:$G$505,U412),"")=r_un),OR(r_de="",r_de="(Todos)",D412=r_de)),1,0))</f>
        <v>0</v>
      </c>
      <c r="AB412" s="96" t="str">
        <f>IF(AA412=1,COUNTIF($AA$6:AA412,1),"")</f>
        <v/>
      </c>
    </row>
    <row r="413">
      <c r="A413" s="89" t="inlineStr">
        <is>
          <t>REC-000408</t>
        </is>
      </c>
      <c r="B413" s="94" t="str">
        <f>IF(T413=1,INDEX('ITENS_MTR'!$S$6:$S$1005,S413)&amp;"","")</f>
        <v/>
      </c>
      <c r="C413" s="91" t="n"/>
      <c r="D413" s="94" t="str">
        <f>IF(N(U413)&gt;0,INDEX('MTRs'!$I$6:$I$505,U413)&amp;"","")</f>
        <v/>
      </c>
      <c r="E413" s="92" t="n"/>
      <c r="F413" s="98" t="n"/>
      <c r="G413" s="91" t="n"/>
      <c r="H413" s="93" t="str">
        <f>IF(Q413=0,"",IF(NOT(ISNUMBER(F413)),"",IF(ISNUMBER(W413),F413*W413,"UNIDADE A CONFERIR")))</f>
        <v/>
      </c>
      <c r="I413" s="91" t="n"/>
      <c r="J413" s="91" t="n"/>
      <c r="K413" s="92" t="n"/>
      <c r="L413" s="91" t="n"/>
      <c r="M413" s="91" t="n"/>
      <c r="N413" s="91" t="n"/>
      <c r="O413" s="91" t="n"/>
      <c r="P413" s="94" t="str">
        <f>IF(Q413=0,"",IF(C413="","Item de resíduo não informado",IF(T413=0,"Item inexistente (referência inválida)",IF(NOT(ISNUMBER(F413)),"Quantidade não informada",IF(F413&lt;=0,"Quantidade não positiva",IF(G413="","Unidade não informada",IF(NOT(ISNUMBER(H413)),"Unidade a conferir",IF(NOT(ISNUMBER(E413)),"Data de recebimento não informada",IF(AND(ISNUMBER(V413),N(V413)&gt;0,E413&lt;N(V413)),"Data anterior à emissão do MTR",IF(AND(J413="Sim",L413="",M413=""),"Conferido sem evidência identificada",IF(J413&lt;&gt;"Sim","Aguardando conferência",IF(INDEX('ITENS_MTR'!$AM$6:$AM$1005,S413)=1,"Conferido (ver diferença no item)","Conferido"))))))))))))</f>
        <v/>
      </c>
      <c r="Q413" s="96">
        <f>IF(COUNTA(C413,E413:G413,I413:O413)&gt;0,1,0)</f>
        <v>0</v>
      </c>
      <c r="R413" s="96" t="str">
        <f>IF(C413="","",TRIM(LEFT(C413,FIND(" |",C413&amp;" |")-1)))</f>
        <v/>
      </c>
      <c r="S413" s="96" t="str">
        <f>IF(R413="","",IFERROR(MATCH(R413,'ITENS_MTR'!$A$6:$A$1005,0),""))</f>
        <v/>
      </c>
      <c r="T413" s="96">
        <f>IF(S413="",0,IF(INDEX('ITENS_MTR'!$R$6:$R$1005,S413)=1,1,0))</f>
        <v>0</v>
      </c>
      <c r="U413" s="96" t="str">
        <f>IF(T413=1,INDEX('ITENS_MTR'!$T$6:$T$1005,S413),"")</f>
        <v/>
      </c>
      <c r="V413" s="97" t="str">
        <f>IF(N(U413)&gt;0,INDEX('MTRs'!$E$6:$E$505,U413),"")</f>
        <v/>
      </c>
      <c r="W413" s="96" t="str">
        <f>IF(G413="","",IFERROR(IF(ISNUMBER(INDEX(cfg_fac,MATCH(G413,cfg_units,0))),IF(INDEX(cfg_fac,MATCH(G413,cfg_units,0))&gt;0,INDEX(cfg_fac,MATCH(G413,cfg_units,0)),""),""),""))</f>
        <v/>
      </c>
      <c r="X413" s="96">
        <f>IF(AND(ISNUMBER(F413),ISNUMBER(H413)),IF(H413&gt;0,1,0),0)</f>
        <v>0</v>
      </c>
      <c r="Y413" s="96">
        <f>IF(Q413=0,0,IF(OR(T413=0,X413=0,NOT(ISNUMBER(E413)),AND(J413="Sim",L413="",M413=""),AND(ISNUMBER(E413),ISNUMBER(V413),N(V413)&gt;0,E413&lt;N(V413))),1,0))</f>
        <v>0</v>
      </c>
      <c r="Z413" s="96">
        <f>IF(AND(Q413=1,T413=1,X413=1,J413="Sim",OR(L413&lt;&gt;"",M413&lt;&gt;"")),1,0)</f>
        <v>0</v>
      </c>
      <c r="AA413" s="96">
        <f>IF(Q413=0,0,IF(AND(OR(r_ini="",AND(ISNUMBER(E413),E413&gt;=r_ini)),OR(r_fim="",AND(ISNUMBER(E413),E413&lt;=r_fim)),OR(r_un="",r_un="(Todas)",IF(N(U413)&gt;0,INDEX('MTRs'!$G$6:$G$505,U413),"")=r_un),OR(r_de="",r_de="(Todos)",D413=r_de)),1,0))</f>
        <v>0</v>
      </c>
      <c r="AB413" s="96" t="str">
        <f>IF(AA413=1,COUNTIF($AA$6:AA413,1),"")</f>
        <v/>
      </c>
    </row>
    <row r="414">
      <c r="A414" s="89" t="inlineStr">
        <is>
          <t>REC-000409</t>
        </is>
      </c>
      <c r="B414" s="94" t="str">
        <f>IF(T414=1,INDEX('ITENS_MTR'!$S$6:$S$1005,S414)&amp;"","")</f>
        <v/>
      </c>
      <c r="C414" s="91" t="n"/>
      <c r="D414" s="94" t="str">
        <f>IF(N(U414)&gt;0,INDEX('MTRs'!$I$6:$I$505,U414)&amp;"","")</f>
        <v/>
      </c>
      <c r="E414" s="92" t="n"/>
      <c r="F414" s="98" t="n"/>
      <c r="G414" s="91" t="n"/>
      <c r="H414" s="93" t="str">
        <f>IF(Q414=0,"",IF(NOT(ISNUMBER(F414)),"",IF(ISNUMBER(W414),F414*W414,"UNIDADE A CONFERIR")))</f>
        <v/>
      </c>
      <c r="I414" s="91" t="n"/>
      <c r="J414" s="91" t="n"/>
      <c r="K414" s="92" t="n"/>
      <c r="L414" s="91" t="n"/>
      <c r="M414" s="91" t="n"/>
      <c r="N414" s="91" t="n"/>
      <c r="O414" s="91" t="n"/>
      <c r="P414" s="94" t="str">
        <f>IF(Q414=0,"",IF(C414="","Item de resíduo não informado",IF(T414=0,"Item inexistente (referência inválida)",IF(NOT(ISNUMBER(F414)),"Quantidade não informada",IF(F414&lt;=0,"Quantidade não positiva",IF(G414="","Unidade não informada",IF(NOT(ISNUMBER(H414)),"Unidade a conferir",IF(NOT(ISNUMBER(E414)),"Data de recebimento não informada",IF(AND(ISNUMBER(V414),N(V414)&gt;0,E414&lt;N(V414)),"Data anterior à emissão do MTR",IF(AND(J414="Sim",L414="",M414=""),"Conferido sem evidência identificada",IF(J414&lt;&gt;"Sim","Aguardando conferência",IF(INDEX('ITENS_MTR'!$AM$6:$AM$1005,S414)=1,"Conferido (ver diferença no item)","Conferido"))))))))))))</f>
        <v/>
      </c>
      <c r="Q414" s="96">
        <f>IF(COUNTA(C414,E414:G414,I414:O414)&gt;0,1,0)</f>
        <v>0</v>
      </c>
      <c r="R414" s="96" t="str">
        <f>IF(C414="","",TRIM(LEFT(C414,FIND(" |",C414&amp;" |")-1)))</f>
        <v/>
      </c>
      <c r="S414" s="96" t="str">
        <f>IF(R414="","",IFERROR(MATCH(R414,'ITENS_MTR'!$A$6:$A$1005,0),""))</f>
        <v/>
      </c>
      <c r="T414" s="96">
        <f>IF(S414="",0,IF(INDEX('ITENS_MTR'!$R$6:$R$1005,S414)=1,1,0))</f>
        <v>0</v>
      </c>
      <c r="U414" s="96" t="str">
        <f>IF(T414=1,INDEX('ITENS_MTR'!$T$6:$T$1005,S414),"")</f>
        <v/>
      </c>
      <c r="V414" s="97" t="str">
        <f>IF(N(U414)&gt;0,INDEX('MTRs'!$E$6:$E$505,U414),"")</f>
        <v/>
      </c>
      <c r="W414" s="96" t="str">
        <f>IF(G414="","",IFERROR(IF(ISNUMBER(INDEX(cfg_fac,MATCH(G414,cfg_units,0))),IF(INDEX(cfg_fac,MATCH(G414,cfg_units,0))&gt;0,INDEX(cfg_fac,MATCH(G414,cfg_units,0)),""),""),""))</f>
        <v/>
      </c>
      <c r="X414" s="96">
        <f>IF(AND(ISNUMBER(F414),ISNUMBER(H414)),IF(H414&gt;0,1,0),0)</f>
        <v>0</v>
      </c>
      <c r="Y414" s="96">
        <f>IF(Q414=0,0,IF(OR(T414=0,X414=0,NOT(ISNUMBER(E414)),AND(J414="Sim",L414="",M414=""),AND(ISNUMBER(E414),ISNUMBER(V414),N(V414)&gt;0,E414&lt;N(V414))),1,0))</f>
        <v>0</v>
      </c>
      <c r="Z414" s="96">
        <f>IF(AND(Q414=1,T414=1,X414=1,J414="Sim",OR(L414&lt;&gt;"",M414&lt;&gt;"")),1,0)</f>
        <v>0</v>
      </c>
      <c r="AA414" s="96">
        <f>IF(Q414=0,0,IF(AND(OR(r_ini="",AND(ISNUMBER(E414),E414&gt;=r_ini)),OR(r_fim="",AND(ISNUMBER(E414),E414&lt;=r_fim)),OR(r_un="",r_un="(Todas)",IF(N(U414)&gt;0,INDEX('MTRs'!$G$6:$G$505,U414),"")=r_un),OR(r_de="",r_de="(Todos)",D414=r_de)),1,0))</f>
        <v>0</v>
      </c>
      <c r="AB414" s="96" t="str">
        <f>IF(AA414=1,COUNTIF($AA$6:AA414,1),"")</f>
        <v/>
      </c>
    </row>
    <row r="415">
      <c r="A415" s="89" t="inlineStr">
        <is>
          <t>REC-000410</t>
        </is>
      </c>
      <c r="B415" s="94" t="str">
        <f>IF(T415=1,INDEX('ITENS_MTR'!$S$6:$S$1005,S415)&amp;"","")</f>
        <v/>
      </c>
      <c r="C415" s="91" t="n"/>
      <c r="D415" s="94" t="str">
        <f>IF(N(U415)&gt;0,INDEX('MTRs'!$I$6:$I$505,U415)&amp;"","")</f>
        <v/>
      </c>
      <c r="E415" s="92" t="n"/>
      <c r="F415" s="98" t="n"/>
      <c r="G415" s="91" t="n"/>
      <c r="H415" s="93" t="str">
        <f>IF(Q415=0,"",IF(NOT(ISNUMBER(F415)),"",IF(ISNUMBER(W415),F415*W415,"UNIDADE A CONFERIR")))</f>
        <v/>
      </c>
      <c r="I415" s="91" t="n"/>
      <c r="J415" s="91" t="n"/>
      <c r="K415" s="92" t="n"/>
      <c r="L415" s="91" t="n"/>
      <c r="M415" s="91" t="n"/>
      <c r="N415" s="91" t="n"/>
      <c r="O415" s="91" t="n"/>
      <c r="P415" s="94" t="str">
        <f>IF(Q415=0,"",IF(C415="","Item de resíduo não informado",IF(T415=0,"Item inexistente (referência inválida)",IF(NOT(ISNUMBER(F415)),"Quantidade não informada",IF(F415&lt;=0,"Quantidade não positiva",IF(G415="","Unidade não informada",IF(NOT(ISNUMBER(H415)),"Unidade a conferir",IF(NOT(ISNUMBER(E415)),"Data de recebimento não informada",IF(AND(ISNUMBER(V415),N(V415)&gt;0,E415&lt;N(V415)),"Data anterior à emissão do MTR",IF(AND(J415="Sim",L415="",M415=""),"Conferido sem evidência identificada",IF(J415&lt;&gt;"Sim","Aguardando conferência",IF(INDEX('ITENS_MTR'!$AM$6:$AM$1005,S415)=1,"Conferido (ver diferença no item)","Conferido"))))))))))))</f>
        <v/>
      </c>
      <c r="Q415" s="96">
        <f>IF(COUNTA(C415,E415:G415,I415:O415)&gt;0,1,0)</f>
        <v>0</v>
      </c>
      <c r="R415" s="96" t="str">
        <f>IF(C415="","",TRIM(LEFT(C415,FIND(" |",C415&amp;" |")-1)))</f>
        <v/>
      </c>
      <c r="S415" s="96" t="str">
        <f>IF(R415="","",IFERROR(MATCH(R415,'ITENS_MTR'!$A$6:$A$1005,0),""))</f>
        <v/>
      </c>
      <c r="T415" s="96">
        <f>IF(S415="",0,IF(INDEX('ITENS_MTR'!$R$6:$R$1005,S415)=1,1,0))</f>
        <v>0</v>
      </c>
      <c r="U415" s="96" t="str">
        <f>IF(T415=1,INDEX('ITENS_MTR'!$T$6:$T$1005,S415),"")</f>
        <v/>
      </c>
      <c r="V415" s="97" t="str">
        <f>IF(N(U415)&gt;0,INDEX('MTRs'!$E$6:$E$505,U415),"")</f>
        <v/>
      </c>
      <c r="W415" s="96" t="str">
        <f>IF(G415="","",IFERROR(IF(ISNUMBER(INDEX(cfg_fac,MATCH(G415,cfg_units,0))),IF(INDEX(cfg_fac,MATCH(G415,cfg_units,0))&gt;0,INDEX(cfg_fac,MATCH(G415,cfg_units,0)),""),""),""))</f>
        <v/>
      </c>
      <c r="X415" s="96">
        <f>IF(AND(ISNUMBER(F415),ISNUMBER(H415)),IF(H415&gt;0,1,0),0)</f>
        <v>0</v>
      </c>
      <c r="Y415" s="96">
        <f>IF(Q415=0,0,IF(OR(T415=0,X415=0,NOT(ISNUMBER(E415)),AND(J415="Sim",L415="",M415=""),AND(ISNUMBER(E415),ISNUMBER(V415),N(V415)&gt;0,E415&lt;N(V415))),1,0))</f>
        <v>0</v>
      </c>
      <c r="Z415" s="96">
        <f>IF(AND(Q415=1,T415=1,X415=1,J415="Sim",OR(L415&lt;&gt;"",M415&lt;&gt;"")),1,0)</f>
        <v>0</v>
      </c>
      <c r="AA415" s="96">
        <f>IF(Q415=0,0,IF(AND(OR(r_ini="",AND(ISNUMBER(E415),E415&gt;=r_ini)),OR(r_fim="",AND(ISNUMBER(E415),E415&lt;=r_fim)),OR(r_un="",r_un="(Todas)",IF(N(U415)&gt;0,INDEX('MTRs'!$G$6:$G$505,U415),"")=r_un),OR(r_de="",r_de="(Todos)",D415=r_de)),1,0))</f>
        <v>0</v>
      </c>
      <c r="AB415" s="96" t="str">
        <f>IF(AA415=1,COUNTIF($AA$6:AA415,1),"")</f>
        <v/>
      </c>
    </row>
    <row r="416">
      <c r="A416" s="89" t="inlineStr">
        <is>
          <t>REC-000411</t>
        </is>
      </c>
      <c r="B416" s="94" t="str">
        <f>IF(T416=1,INDEX('ITENS_MTR'!$S$6:$S$1005,S416)&amp;"","")</f>
        <v/>
      </c>
      <c r="C416" s="91" t="n"/>
      <c r="D416" s="94" t="str">
        <f>IF(N(U416)&gt;0,INDEX('MTRs'!$I$6:$I$505,U416)&amp;"","")</f>
        <v/>
      </c>
      <c r="E416" s="92" t="n"/>
      <c r="F416" s="98" t="n"/>
      <c r="G416" s="91" t="n"/>
      <c r="H416" s="93" t="str">
        <f>IF(Q416=0,"",IF(NOT(ISNUMBER(F416)),"",IF(ISNUMBER(W416),F416*W416,"UNIDADE A CONFERIR")))</f>
        <v/>
      </c>
      <c r="I416" s="91" t="n"/>
      <c r="J416" s="91" t="n"/>
      <c r="K416" s="92" t="n"/>
      <c r="L416" s="91" t="n"/>
      <c r="M416" s="91" t="n"/>
      <c r="N416" s="91" t="n"/>
      <c r="O416" s="91" t="n"/>
      <c r="P416" s="94" t="str">
        <f>IF(Q416=0,"",IF(C416="","Item de resíduo não informado",IF(T416=0,"Item inexistente (referência inválida)",IF(NOT(ISNUMBER(F416)),"Quantidade não informada",IF(F416&lt;=0,"Quantidade não positiva",IF(G416="","Unidade não informada",IF(NOT(ISNUMBER(H416)),"Unidade a conferir",IF(NOT(ISNUMBER(E416)),"Data de recebimento não informada",IF(AND(ISNUMBER(V416),N(V416)&gt;0,E416&lt;N(V416)),"Data anterior à emissão do MTR",IF(AND(J416="Sim",L416="",M416=""),"Conferido sem evidência identificada",IF(J416&lt;&gt;"Sim","Aguardando conferência",IF(INDEX('ITENS_MTR'!$AM$6:$AM$1005,S416)=1,"Conferido (ver diferença no item)","Conferido"))))))))))))</f>
        <v/>
      </c>
      <c r="Q416" s="96">
        <f>IF(COUNTA(C416,E416:G416,I416:O416)&gt;0,1,0)</f>
        <v>0</v>
      </c>
      <c r="R416" s="96" t="str">
        <f>IF(C416="","",TRIM(LEFT(C416,FIND(" |",C416&amp;" |")-1)))</f>
        <v/>
      </c>
      <c r="S416" s="96" t="str">
        <f>IF(R416="","",IFERROR(MATCH(R416,'ITENS_MTR'!$A$6:$A$1005,0),""))</f>
        <v/>
      </c>
      <c r="T416" s="96">
        <f>IF(S416="",0,IF(INDEX('ITENS_MTR'!$R$6:$R$1005,S416)=1,1,0))</f>
        <v>0</v>
      </c>
      <c r="U416" s="96" t="str">
        <f>IF(T416=1,INDEX('ITENS_MTR'!$T$6:$T$1005,S416),"")</f>
        <v/>
      </c>
      <c r="V416" s="97" t="str">
        <f>IF(N(U416)&gt;0,INDEX('MTRs'!$E$6:$E$505,U416),"")</f>
        <v/>
      </c>
      <c r="W416" s="96" t="str">
        <f>IF(G416="","",IFERROR(IF(ISNUMBER(INDEX(cfg_fac,MATCH(G416,cfg_units,0))),IF(INDEX(cfg_fac,MATCH(G416,cfg_units,0))&gt;0,INDEX(cfg_fac,MATCH(G416,cfg_units,0)),""),""),""))</f>
        <v/>
      </c>
      <c r="X416" s="96">
        <f>IF(AND(ISNUMBER(F416),ISNUMBER(H416)),IF(H416&gt;0,1,0),0)</f>
        <v>0</v>
      </c>
      <c r="Y416" s="96">
        <f>IF(Q416=0,0,IF(OR(T416=0,X416=0,NOT(ISNUMBER(E416)),AND(J416="Sim",L416="",M416=""),AND(ISNUMBER(E416),ISNUMBER(V416),N(V416)&gt;0,E416&lt;N(V416))),1,0))</f>
        <v>0</v>
      </c>
      <c r="Z416" s="96">
        <f>IF(AND(Q416=1,T416=1,X416=1,J416="Sim",OR(L416&lt;&gt;"",M416&lt;&gt;"")),1,0)</f>
        <v>0</v>
      </c>
      <c r="AA416" s="96">
        <f>IF(Q416=0,0,IF(AND(OR(r_ini="",AND(ISNUMBER(E416),E416&gt;=r_ini)),OR(r_fim="",AND(ISNUMBER(E416),E416&lt;=r_fim)),OR(r_un="",r_un="(Todas)",IF(N(U416)&gt;0,INDEX('MTRs'!$G$6:$G$505,U416),"")=r_un),OR(r_de="",r_de="(Todos)",D416=r_de)),1,0))</f>
        <v>0</v>
      </c>
      <c r="AB416" s="96" t="str">
        <f>IF(AA416=1,COUNTIF($AA$6:AA416,1),"")</f>
        <v/>
      </c>
    </row>
    <row r="417">
      <c r="A417" s="89" t="inlineStr">
        <is>
          <t>REC-000412</t>
        </is>
      </c>
      <c r="B417" s="94" t="str">
        <f>IF(T417=1,INDEX('ITENS_MTR'!$S$6:$S$1005,S417)&amp;"","")</f>
        <v/>
      </c>
      <c r="C417" s="91" t="n"/>
      <c r="D417" s="94" t="str">
        <f>IF(N(U417)&gt;0,INDEX('MTRs'!$I$6:$I$505,U417)&amp;"","")</f>
        <v/>
      </c>
      <c r="E417" s="92" t="n"/>
      <c r="F417" s="98" t="n"/>
      <c r="G417" s="91" t="n"/>
      <c r="H417" s="93" t="str">
        <f>IF(Q417=0,"",IF(NOT(ISNUMBER(F417)),"",IF(ISNUMBER(W417),F417*W417,"UNIDADE A CONFERIR")))</f>
        <v/>
      </c>
      <c r="I417" s="91" t="n"/>
      <c r="J417" s="91" t="n"/>
      <c r="K417" s="92" t="n"/>
      <c r="L417" s="91" t="n"/>
      <c r="M417" s="91" t="n"/>
      <c r="N417" s="91" t="n"/>
      <c r="O417" s="91" t="n"/>
      <c r="P417" s="94" t="str">
        <f>IF(Q417=0,"",IF(C417="","Item de resíduo não informado",IF(T417=0,"Item inexistente (referência inválida)",IF(NOT(ISNUMBER(F417)),"Quantidade não informada",IF(F417&lt;=0,"Quantidade não positiva",IF(G417="","Unidade não informada",IF(NOT(ISNUMBER(H417)),"Unidade a conferir",IF(NOT(ISNUMBER(E417)),"Data de recebimento não informada",IF(AND(ISNUMBER(V417),N(V417)&gt;0,E417&lt;N(V417)),"Data anterior à emissão do MTR",IF(AND(J417="Sim",L417="",M417=""),"Conferido sem evidência identificada",IF(J417&lt;&gt;"Sim","Aguardando conferência",IF(INDEX('ITENS_MTR'!$AM$6:$AM$1005,S417)=1,"Conferido (ver diferença no item)","Conferido"))))))))))))</f>
        <v/>
      </c>
      <c r="Q417" s="96">
        <f>IF(COUNTA(C417,E417:G417,I417:O417)&gt;0,1,0)</f>
        <v>0</v>
      </c>
      <c r="R417" s="96" t="str">
        <f>IF(C417="","",TRIM(LEFT(C417,FIND(" |",C417&amp;" |")-1)))</f>
        <v/>
      </c>
      <c r="S417" s="96" t="str">
        <f>IF(R417="","",IFERROR(MATCH(R417,'ITENS_MTR'!$A$6:$A$1005,0),""))</f>
        <v/>
      </c>
      <c r="T417" s="96">
        <f>IF(S417="",0,IF(INDEX('ITENS_MTR'!$R$6:$R$1005,S417)=1,1,0))</f>
        <v>0</v>
      </c>
      <c r="U417" s="96" t="str">
        <f>IF(T417=1,INDEX('ITENS_MTR'!$T$6:$T$1005,S417),"")</f>
        <v/>
      </c>
      <c r="V417" s="97" t="str">
        <f>IF(N(U417)&gt;0,INDEX('MTRs'!$E$6:$E$505,U417),"")</f>
        <v/>
      </c>
      <c r="W417" s="96" t="str">
        <f>IF(G417="","",IFERROR(IF(ISNUMBER(INDEX(cfg_fac,MATCH(G417,cfg_units,0))),IF(INDEX(cfg_fac,MATCH(G417,cfg_units,0))&gt;0,INDEX(cfg_fac,MATCH(G417,cfg_units,0)),""),""),""))</f>
        <v/>
      </c>
      <c r="X417" s="96">
        <f>IF(AND(ISNUMBER(F417),ISNUMBER(H417)),IF(H417&gt;0,1,0),0)</f>
        <v>0</v>
      </c>
      <c r="Y417" s="96">
        <f>IF(Q417=0,0,IF(OR(T417=0,X417=0,NOT(ISNUMBER(E417)),AND(J417="Sim",L417="",M417=""),AND(ISNUMBER(E417),ISNUMBER(V417),N(V417)&gt;0,E417&lt;N(V417))),1,0))</f>
        <v>0</v>
      </c>
      <c r="Z417" s="96">
        <f>IF(AND(Q417=1,T417=1,X417=1,J417="Sim",OR(L417&lt;&gt;"",M417&lt;&gt;"")),1,0)</f>
        <v>0</v>
      </c>
      <c r="AA417" s="96">
        <f>IF(Q417=0,0,IF(AND(OR(r_ini="",AND(ISNUMBER(E417),E417&gt;=r_ini)),OR(r_fim="",AND(ISNUMBER(E417),E417&lt;=r_fim)),OR(r_un="",r_un="(Todas)",IF(N(U417)&gt;0,INDEX('MTRs'!$G$6:$G$505,U417),"")=r_un),OR(r_de="",r_de="(Todos)",D417=r_de)),1,0))</f>
        <v>0</v>
      </c>
      <c r="AB417" s="96" t="str">
        <f>IF(AA417=1,COUNTIF($AA$6:AA417,1),"")</f>
        <v/>
      </c>
    </row>
    <row r="418">
      <c r="A418" s="89" t="inlineStr">
        <is>
          <t>REC-000413</t>
        </is>
      </c>
      <c r="B418" s="94" t="str">
        <f>IF(T418=1,INDEX('ITENS_MTR'!$S$6:$S$1005,S418)&amp;"","")</f>
        <v/>
      </c>
      <c r="C418" s="91" t="n"/>
      <c r="D418" s="94" t="str">
        <f>IF(N(U418)&gt;0,INDEX('MTRs'!$I$6:$I$505,U418)&amp;"","")</f>
        <v/>
      </c>
      <c r="E418" s="92" t="n"/>
      <c r="F418" s="98" t="n"/>
      <c r="G418" s="91" t="n"/>
      <c r="H418" s="93" t="str">
        <f>IF(Q418=0,"",IF(NOT(ISNUMBER(F418)),"",IF(ISNUMBER(W418),F418*W418,"UNIDADE A CONFERIR")))</f>
        <v/>
      </c>
      <c r="I418" s="91" t="n"/>
      <c r="J418" s="91" t="n"/>
      <c r="K418" s="92" t="n"/>
      <c r="L418" s="91" t="n"/>
      <c r="M418" s="91" t="n"/>
      <c r="N418" s="91" t="n"/>
      <c r="O418" s="91" t="n"/>
      <c r="P418" s="94" t="str">
        <f>IF(Q418=0,"",IF(C418="","Item de resíduo não informado",IF(T418=0,"Item inexistente (referência inválida)",IF(NOT(ISNUMBER(F418)),"Quantidade não informada",IF(F418&lt;=0,"Quantidade não positiva",IF(G418="","Unidade não informada",IF(NOT(ISNUMBER(H418)),"Unidade a conferir",IF(NOT(ISNUMBER(E418)),"Data de recebimento não informada",IF(AND(ISNUMBER(V418),N(V418)&gt;0,E418&lt;N(V418)),"Data anterior à emissão do MTR",IF(AND(J418="Sim",L418="",M418=""),"Conferido sem evidência identificada",IF(J418&lt;&gt;"Sim","Aguardando conferência",IF(INDEX('ITENS_MTR'!$AM$6:$AM$1005,S418)=1,"Conferido (ver diferença no item)","Conferido"))))))))))))</f>
        <v/>
      </c>
      <c r="Q418" s="96">
        <f>IF(COUNTA(C418,E418:G418,I418:O418)&gt;0,1,0)</f>
        <v>0</v>
      </c>
      <c r="R418" s="96" t="str">
        <f>IF(C418="","",TRIM(LEFT(C418,FIND(" |",C418&amp;" |")-1)))</f>
        <v/>
      </c>
      <c r="S418" s="96" t="str">
        <f>IF(R418="","",IFERROR(MATCH(R418,'ITENS_MTR'!$A$6:$A$1005,0),""))</f>
        <v/>
      </c>
      <c r="T418" s="96">
        <f>IF(S418="",0,IF(INDEX('ITENS_MTR'!$R$6:$R$1005,S418)=1,1,0))</f>
        <v>0</v>
      </c>
      <c r="U418" s="96" t="str">
        <f>IF(T418=1,INDEX('ITENS_MTR'!$T$6:$T$1005,S418),"")</f>
        <v/>
      </c>
      <c r="V418" s="97" t="str">
        <f>IF(N(U418)&gt;0,INDEX('MTRs'!$E$6:$E$505,U418),"")</f>
        <v/>
      </c>
      <c r="W418" s="96" t="str">
        <f>IF(G418="","",IFERROR(IF(ISNUMBER(INDEX(cfg_fac,MATCH(G418,cfg_units,0))),IF(INDEX(cfg_fac,MATCH(G418,cfg_units,0))&gt;0,INDEX(cfg_fac,MATCH(G418,cfg_units,0)),""),""),""))</f>
        <v/>
      </c>
      <c r="X418" s="96">
        <f>IF(AND(ISNUMBER(F418),ISNUMBER(H418)),IF(H418&gt;0,1,0),0)</f>
        <v>0</v>
      </c>
      <c r="Y418" s="96">
        <f>IF(Q418=0,0,IF(OR(T418=0,X418=0,NOT(ISNUMBER(E418)),AND(J418="Sim",L418="",M418=""),AND(ISNUMBER(E418),ISNUMBER(V418),N(V418)&gt;0,E418&lt;N(V418))),1,0))</f>
        <v>0</v>
      </c>
      <c r="Z418" s="96">
        <f>IF(AND(Q418=1,T418=1,X418=1,J418="Sim",OR(L418&lt;&gt;"",M418&lt;&gt;"")),1,0)</f>
        <v>0</v>
      </c>
      <c r="AA418" s="96">
        <f>IF(Q418=0,0,IF(AND(OR(r_ini="",AND(ISNUMBER(E418),E418&gt;=r_ini)),OR(r_fim="",AND(ISNUMBER(E418),E418&lt;=r_fim)),OR(r_un="",r_un="(Todas)",IF(N(U418)&gt;0,INDEX('MTRs'!$G$6:$G$505,U418),"")=r_un),OR(r_de="",r_de="(Todos)",D418=r_de)),1,0))</f>
        <v>0</v>
      </c>
      <c r="AB418" s="96" t="str">
        <f>IF(AA418=1,COUNTIF($AA$6:AA418,1),"")</f>
        <v/>
      </c>
    </row>
    <row r="419">
      <c r="A419" s="89" t="inlineStr">
        <is>
          <t>REC-000414</t>
        </is>
      </c>
      <c r="B419" s="94" t="str">
        <f>IF(T419=1,INDEX('ITENS_MTR'!$S$6:$S$1005,S419)&amp;"","")</f>
        <v/>
      </c>
      <c r="C419" s="91" t="n"/>
      <c r="D419" s="94" t="str">
        <f>IF(N(U419)&gt;0,INDEX('MTRs'!$I$6:$I$505,U419)&amp;"","")</f>
        <v/>
      </c>
      <c r="E419" s="92" t="n"/>
      <c r="F419" s="98" t="n"/>
      <c r="G419" s="91" t="n"/>
      <c r="H419" s="93" t="str">
        <f>IF(Q419=0,"",IF(NOT(ISNUMBER(F419)),"",IF(ISNUMBER(W419),F419*W419,"UNIDADE A CONFERIR")))</f>
        <v/>
      </c>
      <c r="I419" s="91" t="n"/>
      <c r="J419" s="91" t="n"/>
      <c r="K419" s="92" t="n"/>
      <c r="L419" s="91" t="n"/>
      <c r="M419" s="91" t="n"/>
      <c r="N419" s="91" t="n"/>
      <c r="O419" s="91" t="n"/>
      <c r="P419" s="94" t="str">
        <f>IF(Q419=0,"",IF(C419="","Item de resíduo não informado",IF(T419=0,"Item inexistente (referência inválida)",IF(NOT(ISNUMBER(F419)),"Quantidade não informada",IF(F419&lt;=0,"Quantidade não positiva",IF(G419="","Unidade não informada",IF(NOT(ISNUMBER(H419)),"Unidade a conferir",IF(NOT(ISNUMBER(E419)),"Data de recebimento não informada",IF(AND(ISNUMBER(V419),N(V419)&gt;0,E419&lt;N(V419)),"Data anterior à emissão do MTR",IF(AND(J419="Sim",L419="",M419=""),"Conferido sem evidência identificada",IF(J419&lt;&gt;"Sim","Aguardando conferência",IF(INDEX('ITENS_MTR'!$AM$6:$AM$1005,S419)=1,"Conferido (ver diferença no item)","Conferido"))))))))))))</f>
        <v/>
      </c>
      <c r="Q419" s="96">
        <f>IF(COUNTA(C419,E419:G419,I419:O419)&gt;0,1,0)</f>
        <v>0</v>
      </c>
      <c r="R419" s="96" t="str">
        <f>IF(C419="","",TRIM(LEFT(C419,FIND(" |",C419&amp;" |")-1)))</f>
        <v/>
      </c>
      <c r="S419" s="96" t="str">
        <f>IF(R419="","",IFERROR(MATCH(R419,'ITENS_MTR'!$A$6:$A$1005,0),""))</f>
        <v/>
      </c>
      <c r="T419" s="96">
        <f>IF(S419="",0,IF(INDEX('ITENS_MTR'!$R$6:$R$1005,S419)=1,1,0))</f>
        <v>0</v>
      </c>
      <c r="U419" s="96" t="str">
        <f>IF(T419=1,INDEX('ITENS_MTR'!$T$6:$T$1005,S419),"")</f>
        <v/>
      </c>
      <c r="V419" s="97" t="str">
        <f>IF(N(U419)&gt;0,INDEX('MTRs'!$E$6:$E$505,U419),"")</f>
        <v/>
      </c>
      <c r="W419" s="96" t="str">
        <f>IF(G419="","",IFERROR(IF(ISNUMBER(INDEX(cfg_fac,MATCH(G419,cfg_units,0))),IF(INDEX(cfg_fac,MATCH(G419,cfg_units,0))&gt;0,INDEX(cfg_fac,MATCH(G419,cfg_units,0)),""),""),""))</f>
        <v/>
      </c>
      <c r="X419" s="96">
        <f>IF(AND(ISNUMBER(F419),ISNUMBER(H419)),IF(H419&gt;0,1,0),0)</f>
        <v>0</v>
      </c>
      <c r="Y419" s="96">
        <f>IF(Q419=0,0,IF(OR(T419=0,X419=0,NOT(ISNUMBER(E419)),AND(J419="Sim",L419="",M419=""),AND(ISNUMBER(E419),ISNUMBER(V419),N(V419)&gt;0,E419&lt;N(V419))),1,0))</f>
        <v>0</v>
      </c>
      <c r="Z419" s="96">
        <f>IF(AND(Q419=1,T419=1,X419=1,J419="Sim",OR(L419&lt;&gt;"",M419&lt;&gt;"")),1,0)</f>
        <v>0</v>
      </c>
      <c r="AA419" s="96">
        <f>IF(Q419=0,0,IF(AND(OR(r_ini="",AND(ISNUMBER(E419),E419&gt;=r_ini)),OR(r_fim="",AND(ISNUMBER(E419),E419&lt;=r_fim)),OR(r_un="",r_un="(Todas)",IF(N(U419)&gt;0,INDEX('MTRs'!$G$6:$G$505,U419),"")=r_un),OR(r_de="",r_de="(Todos)",D419=r_de)),1,0))</f>
        <v>0</v>
      </c>
      <c r="AB419" s="96" t="str">
        <f>IF(AA419=1,COUNTIF($AA$6:AA419,1),"")</f>
        <v/>
      </c>
    </row>
    <row r="420">
      <c r="A420" s="89" t="inlineStr">
        <is>
          <t>REC-000415</t>
        </is>
      </c>
      <c r="B420" s="94" t="str">
        <f>IF(T420=1,INDEX('ITENS_MTR'!$S$6:$S$1005,S420)&amp;"","")</f>
        <v/>
      </c>
      <c r="C420" s="91" t="n"/>
      <c r="D420" s="94" t="str">
        <f>IF(N(U420)&gt;0,INDEX('MTRs'!$I$6:$I$505,U420)&amp;"","")</f>
        <v/>
      </c>
      <c r="E420" s="92" t="n"/>
      <c r="F420" s="98" t="n"/>
      <c r="G420" s="91" t="n"/>
      <c r="H420" s="93" t="str">
        <f>IF(Q420=0,"",IF(NOT(ISNUMBER(F420)),"",IF(ISNUMBER(W420),F420*W420,"UNIDADE A CONFERIR")))</f>
        <v/>
      </c>
      <c r="I420" s="91" t="n"/>
      <c r="J420" s="91" t="n"/>
      <c r="K420" s="92" t="n"/>
      <c r="L420" s="91" t="n"/>
      <c r="M420" s="91" t="n"/>
      <c r="N420" s="91" t="n"/>
      <c r="O420" s="91" t="n"/>
      <c r="P420" s="94" t="str">
        <f>IF(Q420=0,"",IF(C420="","Item de resíduo não informado",IF(T420=0,"Item inexistente (referência inválida)",IF(NOT(ISNUMBER(F420)),"Quantidade não informada",IF(F420&lt;=0,"Quantidade não positiva",IF(G420="","Unidade não informada",IF(NOT(ISNUMBER(H420)),"Unidade a conferir",IF(NOT(ISNUMBER(E420)),"Data de recebimento não informada",IF(AND(ISNUMBER(V420),N(V420)&gt;0,E420&lt;N(V420)),"Data anterior à emissão do MTR",IF(AND(J420="Sim",L420="",M420=""),"Conferido sem evidência identificada",IF(J420&lt;&gt;"Sim","Aguardando conferência",IF(INDEX('ITENS_MTR'!$AM$6:$AM$1005,S420)=1,"Conferido (ver diferença no item)","Conferido"))))))))))))</f>
        <v/>
      </c>
      <c r="Q420" s="96">
        <f>IF(COUNTA(C420,E420:G420,I420:O420)&gt;0,1,0)</f>
        <v>0</v>
      </c>
      <c r="R420" s="96" t="str">
        <f>IF(C420="","",TRIM(LEFT(C420,FIND(" |",C420&amp;" |")-1)))</f>
        <v/>
      </c>
      <c r="S420" s="96" t="str">
        <f>IF(R420="","",IFERROR(MATCH(R420,'ITENS_MTR'!$A$6:$A$1005,0),""))</f>
        <v/>
      </c>
      <c r="T420" s="96">
        <f>IF(S420="",0,IF(INDEX('ITENS_MTR'!$R$6:$R$1005,S420)=1,1,0))</f>
        <v>0</v>
      </c>
      <c r="U420" s="96" t="str">
        <f>IF(T420=1,INDEX('ITENS_MTR'!$T$6:$T$1005,S420),"")</f>
        <v/>
      </c>
      <c r="V420" s="97" t="str">
        <f>IF(N(U420)&gt;0,INDEX('MTRs'!$E$6:$E$505,U420),"")</f>
        <v/>
      </c>
      <c r="W420" s="96" t="str">
        <f>IF(G420="","",IFERROR(IF(ISNUMBER(INDEX(cfg_fac,MATCH(G420,cfg_units,0))),IF(INDEX(cfg_fac,MATCH(G420,cfg_units,0))&gt;0,INDEX(cfg_fac,MATCH(G420,cfg_units,0)),""),""),""))</f>
        <v/>
      </c>
      <c r="X420" s="96">
        <f>IF(AND(ISNUMBER(F420),ISNUMBER(H420)),IF(H420&gt;0,1,0),0)</f>
        <v>0</v>
      </c>
      <c r="Y420" s="96">
        <f>IF(Q420=0,0,IF(OR(T420=0,X420=0,NOT(ISNUMBER(E420)),AND(J420="Sim",L420="",M420=""),AND(ISNUMBER(E420),ISNUMBER(V420),N(V420)&gt;0,E420&lt;N(V420))),1,0))</f>
        <v>0</v>
      </c>
      <c r="Z420" s="96">
        <f>IF(AND(Q420=1,T420=1,X420=1,J420="Sim",OR(L420&lt;&gt;"",M420&lt;&gt;"")),1,0)</f>
        <v>0</v>
      </c>
      <c r="AA420" s="96">
        <f>IF(Q420=0,0,IF(AND(OR(r_ini="",AND(ISNUMBER(E420),E420&gt;=r_ini)),OR(r_fim="",AND(ISNUMBER(E420),E420&lt;=r_fim)),OR(r_un="",r_un="(Todas)",IF(N(U420)&gt;0,INDEX('MTRs'!$G$6:$G$505,U420),"")=r_un),OR(r_de="",r_de="(Todos)",D420=r_de)),1,0))</f>
        <v>0</v>
      </c>
      <c r="AB420" s="96" t="str">
        <f>IF(AA420=1,COUNTIF($AA$6:AA420,1),"")</f>
        <v/>
      </c>
    </row>
    <row r="421">
      <c r="A421" s="89" t="inlineStr">
        <is>
          <t>REC-000416</t>
        </is>
      </c>
      <c r="B421" s="94" t="str">
        <f>IF(T421=1,INDEX('ITENS_MTR'!$S$6:$S$1005,S421)&amp;"","")</f>
        <v/>
      </c>
      <c r="C421" s="91" t="n"/>
      <c r="D421" s="94" t="str">
        <f>IF(N(U421)&gt;0,INDEX('MTRs'!$I$6:$I$505,U421)&amp;"","")</f>
        <v/>
      </c>
      <c r="E421" s="92" t="n"/>
      <c r="F421" s="98" t="n"/>
      <c r="G421" s="91" t="n"/>
      <c r="H421" s="93" t="str">
        <f>IF(Q421=0,"",IF(NOT(ISNUMBER(F421)),"",IF(ISNUMBER(W421),F421*W421,"UNIDADE A CONFERIR")))</f>
        <v/>
      </c>
      <c r="I421" s="91" t="n"/>
      <c r="J421" s="91" t="n"/>
      <c r="K421" s="92" t="n"/>
      <c r="L421" s="91" t="n"/>
      <c r="M421" s="91" t="n"/>
      <c r="N421" s="91" t="n"/>
      <c r="O421" s="91" t="n"/>
      <c r="P421" s="94" t="str">
        <f>IF(Q421=0,"",IF(C421="","Item de resíduo não informado",IF(T421=0,"Item inexistente (referência inválida)",IF(NOT(ISNUMBER(F421)),"Quantidade não informada",IF(F421&lt;=0,"Quantidade não positiva",IF(G421="","Unidade não informada",IF(NOT(ISNUMBER(H421)),"Unidade a conferir",IF(NOT(ISNUMBER(E421)),"Data de recebimento não informada",IF(AND(ISNUMBER(V421),N(V421)&gt;0,E421&lt;N(V421)),"Data anterior à emissão do MTR",IF(AND(J421="Sim",L421="",M421=""),"Conferido sem evidência identificada",IF(J421&lt;&gt;"Sim","Aguardando conferência",IF(INDEX('ITENS_MTR'!$AM$6:$AM$1005,S421)=1,"Conferido (ver diferença no item)","Conferido"))))))))))))</f>
        <v/>
      </c>
      <c r="Q421" s="96">
        <f>IF(COUNTA(C421,E421:G421,I421:O421)&gt;0,1,0)</f>
        <v>0</v>
      </c>
      <c r="R421" s="96" t="str">
        <f>IF(C421="","",TRIM(LEFT(C421,FIND(" |",C421&amp;" |")-1)))</f>
        <v/>
      </c>
      <c r="S421" s="96" t="str">
        <f>IF(R421="","",IFERROR(MATCH(R421,'ITENS_MTR'!$A$6:$A$1005,0),""))</f>
        <v/>
      </c>
      <c r="T421" s="96">
        <f>IF(S421="",0,IF(INDEX('ITENS_MTR'!$R$6:$R$1005,S421)=1,1,0))</f>
        <v>0</v>
      </c>
      <c r="U421" s="96" t="str">
        <f>IF(T421=1,INDEX('ITENS_MTR'!$T$6:$T$1005,S421),"")</f>
        <v/>
      </c>
      <c r="V421" s="97" t="str">
        <f>IF(N(U421)&gt;0,INDEX('MTRs'!$E$6:$E$505,U421),"")</f>
        <v/>
      </c>
      <c r="W421" s="96" t="str">
        <f>IF(G421="","",IFERROR(IF(ISNUMBER(INDEX(cfg_fac,MATCH(G421,cfg_units,0))),IF(INDEX(cfg_fac,MATCH(G421,cfg_units,0))&gt;0,INDEX(cfg_fac,MATCH(G421,cfg_units,0)),""),""),""))</f>
        <v/>
      </c>
      <c r="X421" s="96">
        <f>IF(AND(ISNUMBER(F421),ISNUMBER(H421)),IF(H421&gt;0,1,0),0)</f>
        <v>0</v>
      </c>
      <c r="Y421" s="96">
        <f>IF(Q421=0,0,IF(OR(T421=0,X421=0,NOT(ISNUMBER(E421)),AND(J421="Sim",L421="",M421=""),AND(ISNUMBER(E421),ISNUMBER(V421),N(V421)&gt;0,E421&lt;N(V421))),1,0))</f>
        <v>0</v>
      </c>
      <c r="Z421" s="96">
        <f>IF(AND(Q421=1,T421=1,X421=1,J421="Sim",OR(L421&lt;&gt;"",M421&lt;&gt;"")),1,0)</f>
        <v>0</v>
      </c>
      <c r="AA421" s="96">
        <f>IF(Q421=0,0,IF(AND(OR(r_ini="",AND(ISNUMBER(E421),E421&gt;=r_ini)),OR(r_fim="",AND(ISNUMBER(E421),E421&lt;=r_fim)),OR(r_un="",r_un="(Todas)",IF(N(U421)&gt;0,INDEX('MTRs'!$G$6:$G$505,U421),"")=r_un),OR(r_de="",r_de="(Todos)",D421=r_de)),1,0))</f>
        <v>0</v>
      </c>
      <c r="AB421" s="96" t="str">
        <f>IF(AA421=1,COUNTIF($AA$6:AA421,1),"")</f>
        <v/>
      </c>
    </row>
    <row r="422">
      <c r="A422" s="89" t="inlineStr">
        <is>
          <t>REC-000417</t>
        </is>
      </c>
      <c r="B422" s="94" t="str">
        <f>IF(T422=1,INDEX('ITENS_MTR'!$S$6:$S$1005,S422)&amp;"","")</f>
        <v/>
      </c>
      <c r="C422" s="91" t="n"/>
      <c r="D422" s="94" t="str">
        <f>IF(N(U422)&gt;0,INDEX('MTRs'!$I$6:$I$505,U422)&amp;"","")</f>
        <v/>
      </c>
      <c r="E422" s="92" t="n"/>
      <c r="F422" s="98" t="n"/>
      <c r="G422" s="91" t="n"/>
      <c r="H422" s="93" t="str">
        <f>IF(Q422=0,"",IF(NOT(ISNUMBER(F422)),"",IF(ISNUMBER(W422),F422*W422,"UNIDADE A CONFERIR")))</f>
        <v/>
      </c>
      <c r="I422" s="91" t="n"/>
      <c r="J422" s="91" t="n"/>
      <c r="K422" s="92" t="n"/>
      <c r="L422" s="91" t="n"/>
      <c r="M422" s="91" t="n"/>
      <c r="N422" s="91" t="n"/>
      <c r="O422" s="91" t="n"/>
      <c r="P422" s="94" t="str">
        <f>IF(Q422=0,"",IF(C422="","Item de resíduo não informado",IF(T422=0,"Item inexistente (referência inválida)",IF(NOT(ISNUMBER(F422)),"Quantidade não informada",IF(F422&lt;=0,"Quantidade não positiva",IF(G422="","Unidade não informada",IF(NOT(ISNUMBER(H422)),"Unidade a conferir",IF(NOT(ISNUMBER(E422)),"Data de recebimento não informada",IF(AND(ISNUMBER(V422),N(V422)&gt;0,E422&lt;N(V422)),"Data anterior à emissão do MTR",IF(AND(J422="Sim",L422="",M422=""),"Conferido sem evidência identificada",IF(J422&lt;&gt;"Sim","Aguardando conferência",IF(INDEX('ITENS_MTR'!$AM$6:$AM$1005,S422)=1,"Conferido (ver diferença no item)","Conferido"))))))))))))</f>
        <v/>
      </c>
      <c r="Q422" s="96">
        <f>IF(COUNTA(C422,E422:G422,I422:O422)&gt;0,1,0)</f>
        <v>0</v>
      </c>
      <c r="R422" s="96" t="str">
        <f>IF(C422="","",TRIM(LEFT(C422,FIND(" |",C422&amp;" |")-1)))</f>
        <v/>
      </c>
      <c r="S422" s="96" t="str">
        <f>IF(R422="","",IFERROR(MATCH(R422,'ITENS_MTR'!$A$6:$A$1005,0),""))</f>
        <v/>
      </c>
      <c r="T422" s="96">
        <f>IF(S422="",0,IF(INDEX('ITENS_MTR'!$R$6:$R$1005,S422)=1,1,0))</f>
        <v>0</v>
      </c>
      <c r="U422" s="96" t="str">
        <f>IF(T422=1,INDEX('ITENS_MTR'!$T$6:$T$1005,S422),"")</f>
        <v/>
      </c>
      <c r="V422" s="97" t="str">
        <f>IF(N(U422)&gt;0,INDEX('MTRs'!$E$6:$E$505,U422),"")</f>
        <v/>
      </c>
      <c r="W422" s="96" t="str">
        <f>IF(G422="","",IFERROR(IF(ISNUMBER(INDEX(cfg_fac,MATCH(G422,cfg_units,0))),IF(INDEX(cfg_fac,MATCH(G422,cfg_units,0))&gt;0,INDEX(cfg_fac,MATCH(G422,cfg_units,0)),""),""),""))</f>
        <v/>
      </c>
      <c r="X422" s="96">
        <f>IF(AND(ISNUMBER(F422),ISNUMBER(H422)),IF(H422&gt;0,1,0),0)</f>
        <v>0</v>
      </c>
      <c r="Y422" s="96">
        <f>IF(Q422=0,0,IF(OR(T422=0,X422=0,NOT(ISNUMBER(E422)),AND(J422="Sim",L422="",M422=""),AND(ISNUMBER(E422),ISNUMBER(V422),N(V422)&gt;0,E422&lt;N(V422))),1,0))</f>
        <v>0</v>
      </c>
      <c r="Z422" s="96">
        <f>IF(AND(Q422=1,T422=1,X422=1,J422="Sim",OR(L422&lt;&gt;"",M422&lt;&gt;"")),1,0)</f>
        <v>0</v>
      </c>
      <c r="AA422" s="96">
        <f>IF(Q422=0,0,IF(AND(OR(r_ini="",AND(ISNUMBER(E422),E422&gt;=r_ini)),OR(r_fim="",AND(ISNUMBER(E422),E422&lt;=r_fim)),OR(r_un="",r_un="(Todas)",IF(N(U422)&gt;0,INDEX('MTRs'!$G$6:$G$505,U422),"")=r_un),OR(r_de="",r_de="(Todos)",D422=r_de)),1,0))</f>
        <v>0</v>
      </c>
      <c r="AB422" s="96" t="str">
        <f>IF(AA422=1,COUNTIF($AA$6:AA422,1),"")</f>
        <v/>
      </c>
    </row>
    <row r="423">
      <c r="A423" s="89" t="inlineStr">
        <is>
          <t>REC-000418</t>
        </is>
      </c>
      <c r="B423" s="94" t="str">
        <f>IF(T423=1,INDEX('ITENS_MTR'!$S$6:$S$1005,S423)&amp;"","")</f>
        <v/>
      </c>
      <c r="C423" s="91" t="n"/>
      <c r="D423" s="94" t="str">
        <f>IF(N(U423)&gt;0,INDEX('MTRs'!$I$6:$I$505,U423)&amp;"","")</f>
        <v/>
      </c>
      <c r="E423" s="92" t="n"/>
      <c r="F423" s="98" t="n"/>
      <c r="G423" s="91" t="n"/>
      <c r="H423" s="93" t="str">
        <f>IF(Q423=0,"",IF(NOT(ISNUMBER(F423)),"",IF(ISNUMBER(W423),F423*W423,"UNIDADE A CONFERIR")))</f>
        <v/>
      </c>
      <c r="I423" s="91" t="n"/>
      <c r="J423" s="91" t="n"/>
      <c r="K423" s="92" t="n"/>
      <c r="L423" s="91" t="n"/>
      <c r="M423" s="91" t="n"/>
      <c r="N423" s="91" t="n"/>
      <c r="O423" s="91" t="n"/>
      <c r="P423" s="94" t="str">
        <f>IF(Q423=0,"",IF(C423="","Item de resíduo não informado",IF(T423=0,"Item inexistente (referência inválida)",IF(NOT(ISNUMBER(F423)),"Quantidade não informada",IF(F423&lt;=0,"Quantidade não positiva",IF(G423="","Unidade não informada",IF(NOT(ISNUMBER(H423)),"Unidade a conferir",IF(NOT(ISNUMBER(E423)),"Data de recebimento não informada",IF(AND(ISNUMBER(V423),N(V423)&gt;0,E423&lt;N(V423)),"Data anterior à emissão do MTR",IF(AND(J423="Sim",L423="",M423=""),"Conferido sem evidência identificada",IF(J423&lt;&gt;"Sim","Aguardando conferência",IF(INDEX('ITENS_MTR'!$AM$6:$AM$1005,S423)=1,"Conferido (ver diferença no item)","Conferido"))))))))))))</f>
        <v/>
      </c>
      <c r="Q423" s="96">
        <f>IF(COUNTA(C423,E423:G423,I423:O423)&gt;0,1,0)</f>
        <v>0</v>
      </c>
      <c r="R423" s="96" t="str">
        <f>IF(C423="","",TRIM(LEFT(C423,FIND(" |",C423&amp;" |")-1)))</f>
        <v/>
      </c>
      <c r="S423" s="96" t="str">
        <f>IF(R423="","",IFERROR(MATCH(R423,'ITENS_MTR'!$A$6:$A$1005,0),""))</f>
        <v/>
      </c>
      <c r="T423" s="96">
        <f>IF(S423="",0,IF(INDEX('ITENS_MTR'!$R$6:$R$1005,S423)=1,1,0))</f>
        <v>0</v>
      </c>
      <c r="U423" s="96" t="str">
        <f>IF(T423=1,INDEX('ITENS_MTR'!$T$6:$T$1005,S423),"")</f>
        <v/>
      </c>
      <c r="V423" s="97" t="str">
        <f>IF(N(U423)&gt;0,INDEX('MTRs'!$E$6:$E$505,U423),"")</f>
        <v/>
      </c>
      <c r="W423" s="96" t="str">
        <f>IF(G423="","",IFERROR(IF(ISNUMBER(INDEX(cfg_fac,MATCH(G423,cfg_units,0))),IF(INDEX(cfg_fac,MATCH(G423,cfg_units,0))&gt;0,INDEX(cfg_fac,MATCH(G423,cfg_units,0)),""),""),""))</f>
        <v/>
      </c>
      <c r="X423" s="96">
        <f>IF(AND(ISNUMBER(F423),ISNUMBER(H423)),IF(H423&gt;0,1,0),0)</f>
        <v>0</v>
      </c>
      <c r="Y423" s="96">
        <f>IF(Q423=0,0,IF(OR(T423=0,X423=0,NOT(ISNUMBER(E423)),AND(J423="Sim",L423="",M423=""),AND(ISNUMBER(E423),ISNUMBER(V423),N(V423)&gt;0,E423&lt;N(V423))),1,0))</f>
        <v>0</v>
      </c>
      <c r="Z423" s="96">
        <f>IF(AND(Q423=1,T423=1,X423=1,J423="Sim",OR(L423&lt;&gt;"",M423&lt;&gt;"")),1,0)</f>
        <v>0</v>
      </c>
      <c r="AA423" s="96">
        <f>IF(Q423=0,0,IF(AND(OR(r_ini="",AND(ISNUMBER(E423),E423&gt;=r_ini)),OR(r_fim="",AND(ISNUMBER(E423),E423&lt;=r_fim)),OR(r_un="",r_un="(Todas)",IF(N(U423)&gt;0,INDEX('MTRs'!$G$6:$G$505,U423),"")=r_un),OR(r_de="",r_de="(Todos)",D423=r_de)),1,0))</f>
        <v>0</v>
      </c>
      <c r="AB423" s="96" t="str">
        <f>IF(AA423=1,COUNTIF($AA$6:AA423,1),"")</f>
        <v/>
      </c>
    </row>
    <row r="424">
      <c r="A424" s="89" t="inlineStr">
        <is>
          <t>REC-000419</t>
        </is>
      </c>
      <c r="B424" s="94" t="str">
        <f>IF(T424=1,INDEX('ITENS_MTR'!$S$6:$S$1005,S424)&amp;"","")</f>
        <v/>
      </c>
      <c r="C424" s="91" t="n"/>
      <c r="D424" s="94" t="str">
        <f>IF(N(U424)&gt;0,INDEX('MTRs'!$I$6:$I$505,U424)&amp;"","")</f>
        <v/>
      </c>
      <c r="E424" s="92" t="n"/>
      <c r="F424" s="98" t="n"/>
      <c r="G424" s="91" t="n"/>
      <c r="H424" s="93" t="str">
        <f>IF(Q424=0,"",IF(NOT(ISNUMBER(F424)),"",IF(ISNUMBER(W424),F424*W424,"UNIDADE A CONFERIR")))</f>
        <v/>
      </c>
      <c r="I424" s="91" t="n"/>
      <c r="J424" s="91" t="n"/>
      <c r="K424" s="92" t="n"/>
      <c r="L424" s="91" t="n"/>
      <c r="M424" s="91" t="n"/>
      <c r="N424" s="91" t="n"/>
      <c r="O424" s="91" t="n"/>
      <c r="P424" s="94" t="str">
        <f>IF(Q424=0,"",IF(C424="","Item de resíduo não informado",IF(T424=0,"Item inexistente (referência inválida)",IF(NOT(ISNUMBER(F424)),"Quantidade não informada",IF(F424&lt;=0,"Quantidade não positiva",IF(G424="","Unidade não informada",IF(NOT(ISNUMBER(H424)),"Unidade a conferir",IF(NOT(ISNUMBER(E424)),"Data de recebimento não informada",IF(AND(ISNUMBER(V424),N(V424)&gt;0,E424&lt;N(V424)),"Data anterior à emissão do MTR",IF(AND(J424="Sim",L424="",M424=""),"Conferido sem evidência identificada",IF(J424&lt;&gt;"Sim","Aguardando conferência",IF(INDEX('ITENS_MTR'!$AM$6:$AM$1005,S424)=1,"Conferido (ver diferença no item)","Conferido"))))))))))))</f>
        <v/>
      </c>
      <c r="Q424" s="96">
        <f>IF(COUNTA(C424,E424:G424,I424:O424)&gt;0,1,0)</f>
        <v>0</v>
      </c>
      <c r="R424" s="96" t="str">
        <f>IF(C424="","",TRIM(LEFT(C424,FIND(" |",C424&amp;" |")-1)))</f>
        <v/>
      </c>
      <c r="S424" s="96" t="str">
        <f>IF(R424="","",IFERROR(MATCH(R424,'ITENS_MTR'!$A$6:$A$1005,0),""))</f>
        <v/>
      </c>
      <c r="T424" s="96">
        <f>IF(S424="",0,IF(INDEX('ITENS_MTR'!$R$6:$R$1005,S424)=1,1,0))</f>
        <v>0</v>
      </c>
      <c r="U424" s="96" t="str">
        <f>IF(T424=1,INDEX('ITENS_MTR'!$T$6:$T$1005,S424),"")</f>
        <v/>
      </c>
      <c r="V424" s="97" t="str">
        <f>IF(N(U424)&gt;0,INDEX('MTRs'!$E$6:$E$505,U424),"")</f>
        <v/>
      </c>
      <c r="W424" s="96" t="str">
        <f>IF(G424="","",IFERROR(IF(ISNUMBER(INDEX(cfg_fac,MATCH(G424,cfg_units,0))),IF(INDEX(cfg_fac,MATCH(G424,cfg_units,0))&gt;0,INDEX(cfg_fac,MATCH(G424,cfg_units,0)),""),""),""))</f>
        <v/>
      </c>
      <c r="X424" s="96">
        <f>IF(AND(ISNUMBER(F424),ISNUMBER(H424)),IF(H424&gt;0,1,0),0)</f>
        <v>0</v>
      </c>
      <c r="Y424" s="96">
        <f>IF(Q424=0,0,IF(OR(T424=0,X424=0,NOT(ISNUMBER(E424)),AND(J424="Sim",L424="",M424=""),AND(ISNUMBER(E424),ISNUMBER(V424),N(V424)&gt;0,E424&lt;N(V424))),1,0))</f>
        <v>0</v>
      </c>
      <c r="Z424" s="96">
        <f>IF(AND(Q424=1,T424=1,X424=1,J424="Sim",OR(L424&lt;&gt;"",M424&lt;&gt;"")),1,0)</f>
        <v>0</v>
      </c>
      <c r="AA424" s="96">
        <f>IF(Q424=0,0,IF(AND(OR(r_ini="",AND(ISNUMBER(E424),E424&gt;=r_ini)),OR(r_fim="",AND(ISNUMBER(E424),E424&lt;=r_fim)),OR(r_un="",r_un="(Todas)",IF(N(U424)&gt;0,INDEX('MTRs'!$G$6:$G$505,U424),"")=r_un),OR(r_de="",r_de="(Todos)",D424=r_de)),1,0))</f>
        <v>0</v>
      </c>
      <c r="AB424" s="96" t="str">
        <f>IF(AA424=1,COUNTIF($AA$6:AA424,1),"")</f>
        <v/>
      </c>
    </row>
    <row r="425">
      <c r="A425" s="89" t="inlineStr">
        <is>
          <t>REC-000420</t>
        </is>
      </c>
      <c r="B425" s="94" t="str">
        <f>IF(T425=1,INDEX('ITENS_MTR'!$S$6:$S$1005,S425)&amp;"","")</f>
        <v/>
      </c>
      <c r="C425" s="91" t="n"/>
      <c r="D425" s="94" t="str">
        <f>IF(N(U425)&gt;0,INDEX('MTRs'!$I$6:$I$505,U425)&amp;"","")</f>
        <v/>
      </c>
      <c r="E425" s="92" t="n"/>
      <c r="F425" s="98" t="n"/>
      <c r="G425" s="91" t="n"/>
      <c r="H425" s="93" t="str">
        <f>IF(Q425=0,"",IF(NOT(ISNUMBER(F425)),"",IF(ISNUMBER(W425),F425*W425,"UNIDADE A CONFERIR")))</f>
        <v/>
      </c>
      <c r="I425" s="91" t="n"/>
      <c r="J425" s="91" t="n"/>
      <c r="K425" s="92" t="n"/>
      <c r="L425" s="91" t="n"/>
      <c r="M425" s="91" t="n"/>
      <c r="N425" s="91" t="n"/>
      <c r="O425" s="91" t="n"/>
      <c r="P425" s="94" t="str">
        <f>IF(Q425=0,"",IF(C425="","Item de resíduo não informado",IF(T425=0,"Item inexistente (referência inválida)",IF(NOT(ISNUMBER(F425)),"Quantidade não informada",IF(F425&lt;=0,"Quantidade não positiva",IF(G425="","Unidade não informada",IF(NOT(ISNUMBER(H425)),"Unidade a conferir",IF(NOT(ISNUMBER(E425)),"Data de recebimento não informada",IF(AND(ISNUMBER(V425),N(V425)&gt;0,E425&lt;N(V425)),"Data anterior à emissão do MTR",IF(AND(J425="Sim",L425="",M425=""),"Conferido sem evidência identificada",IF(J425&lt;&gt;"Sim","Aguardando conferência",IF(INDEX('ITENS_MTR'!$AM$6:$AM$1005,S425)=1,"Conferido (ver diferença no item)","Conferido"))))))))))))</f>
        <v/>
      </c>
      <c r="Q425" s="96">
        <f>IF(COUNTA(C425,E425:G425,I425:O425)&gt;0,1,0)</f>
        <v>0</v>
      </c>
      <c r="R425" s="96" t="str">
        <f>IF(C425="","",TRIM(LEFT(C425,FIND(" |",C425&amp;" |")-1)))</f>
        <v/>
      </c>
      <c r="S425" s="96" t="str">
        <f>IF(R425="","",IFERROR(MATCH(R425,'ITENS_MTR'!$A$6:$A$1005,0),""))</f>
        <v/>
      </c>
      <c r="T425" s="96">
        <f>IF(S425="",0,IF(INDEX('ITENS_MTR'!$R$6:$R$1005,S425)=1,1,0))</f>
        <v>0</v>
      </c>
      <c r="U425" s="96" t="str">
        <f>IF(T425=1,INDEX('ITENS_MTR'!$T$6:$T$1005,S425),"")</f>
        <v/>
      </c>
      <c r="V425" s="97" t="str">
        <f>IF(N(U425)&gt;0,INDEX('MTRs'!$E$6:$E$505,U425),"")</f>
        <v/>
      </c>
      <c r="W425" s="96" t="str">
        <f>IF(G425="","",IFERROR(IF(ISNUMBER(INDEX(cfg_fac,MATCH(G425,cfg_units,0))),IF(INDEX(cfg_fac,MATCH(G425,cfg_units,0))&gt;0,INDEX(cfg_fac,MATCH(G425,cfg_units,0)),""),""),""))</f>
        <v/>
      </c>
      <c r="X425" s="96">
        <f>IF(AND(ISNUMBER(F425),ISNUMBER(H425)),IF(H425&gt;0,1,0),0)</f>
        <v>0</v>
      </c>
      <c r="Y425" s="96">
        <f>IF(Q425=0,0,IF(OR(T425=0,X425=0,NOT(ISNUMBER(E425)),AND(J425="Sim",L425="",M425=""),AND(ISNUMBER(E425),ISNUMBER(V425),N(V425)&gt;0,E425&lt;N(V425))),1,0))</f>
        <v>0</v>
      </c>
      <c r="Z425" s="96">
        <f>IF(AND(Q425=1,T425=1,X425=1,J425="Sim",OR(L425&lt;&gt;"",M425&lt;&gt;"")),1,0)</f>
        <v>0</v>
      </c>
      <c r="AA425" s="96">
        <f>IF(Q425=0,0,IF(AND(OR(r_ini="",AND(ISNUMBER(E425),E425&gt;=r_ini)),OR(r_fim="",AND(ISNUMBER(E425),E425&lt;=r_fim)),OR(r_un="",r_un="(Todas)",IF(N(U425)&gt;0,INDEX('MTRs'!$G$6:$G$505,U425),"")=r_un),OR(r_de="",r_de="(Todos)",D425=r_de)),1,0))</f>
        <v>0</v>
      </c>
      <c r="AB425" s="96" t="str">
        <f>IF(AA425=1,COUNTIF($AA$6:AA425,1),"")</f>
        <v/>
      </c>
    </row>
    <row r="426">
      <c r="A426" s="89" t="inlineStr">
        <is>
          <t>REC-000421</t>
        </is>
      </c>
      <c r="B426" s="94" t="str">
        <f>IF(T426=1,INDEX('ITENS_MTR'!$S$6:$S$1005,S426)&amp;"","")</f>
        <v/>
      </c>
      <c r="C426" s="91" t="n"/>
      <c r="D426" s="94" t="str">
        <f>IF(N(U426)&gt;0,INDEX('MTRs'!$I$6:$I$505,U426)&amp;"","")</f>
        <v/>
      </c>
      <c r="E426" s="92" t="n"/>
      <c r="F426" s="98" t="n"/>
      <c r="G426" s="91" t="n"/>
      <c r="H426" s="93" t="str">
        <f>IF(Q426=0,"",IF(NOT(ISNUMBER(F426)),"",IF(ISNUMBER(W426),F426*W426,"UNIDADE A CONFERIR")))</f>
        <v/>
      </c>
      <c r="I426" s="91" t="n"/>
      <c r="J426" s="91" t="n"/>
      <c r="K426" s="92" t="n"/>
      <c r="L426" s="91" t="n"/>
      <c r="M426" s="91" t="n"/>
      <c r="N426" s="91" t="n"/>
      <c r="O426" s="91" t="n"/>
      <c r="P426" s="94" t="str">
        <f>IF(Q426=0,"",IF(C426="","Item de resíduo não informado",IF(T426=0,"Item inexistente (referência inválida)",IF(NOT(ISNUMBER(F426)),"Quantidade não informada",IF(F426&lt;=0,"Quantidade não positiva",IF(G426="","Unidade não informada",IF(NOT(ISNUMBER(H426)),"Unidade a conferir",IF(NOT(ISNUMBER(E426)),"Data de recebimento não informada",IF(AND(ISNUMBER(V426),N(V426)&gt;0,E426&lt;N(V426)),"Data anterior à emissão do MTR",IF(AND(J426="Sim",L426="",M426=""),"Conferido sem evidência identificada",IF(J426&lt;&gt;"Sim","Aguardando conferência",IF(INDEX('ITENS_MTR'!$AM$6:$AM$1005,S426)=1,"Conferido (ver diferença no item)","Conferido"))))))))))))</f>
        <v/>
      </c>
      <c r="Q426" s="96">
        <f>IF(COUNTA(C426,E426:G426,I426:O426)&gt;0,1,0)</f>
        <v>0</v>
      </c>
      <c r="R426" s="96" t="str">
        <f>IF(C426="","",TRIM(LEFT(C426,FIND(" |",C426&amp;" |")-1)))</f>
        <v/>
      </c>
      <c r="S426" s="96" t="str">
        <f>IF(R426="","",IFERROR(MATCH(R426,'ITENS_MTR'!$A$6:$A$1005,0),""))</f>
        <v/>
      </c>
      <c r="T426" s="96">
        <f>IF(S426="",0,IF(INDEX('ITENS_MTR'!$R$6:$R$1005,S426)=1,1,0))</f>
        <v>0</v>
      </c>
      <c r="U426" s="96" t="str">
        <f>IF(T426=1,INDEX('ITENS_MTR'!$T$6:$T$1005,S426),"")</f>
        <v/>
      </c>
      <c r="V426" s="97" t="str">
        <f>IF(N(U426)&gt;0,INDEX('MTRs'!$E$6:$E$505,U426),"")</f>
        <v/>
      </c>
      <c r="W426" s="96" t="str">
        <f>IF(G426="","",IFERROR(IF(ISNUMBER(INDEX(cfg_fac,MATCH(G426,cfg_units,0))),IF(INDEX(cfg_fac,MATCH(G426,cfg_units,0))&gt;0,INDEX(cfg_fac,MATCH(G426,cfg_units,0)),""),""),""))</f>
        <v/>
      </c>
      <c r="X426" s="96">
        <f>IF(AND(ISNUMBER(F426),ISNUMBER(H426)),IF(H426&gt;0,1,0),0)</f>
        <v>0</v>
      </c>
      <c r="Y426" s="96">
        <f>IF(Q426=0,0,IF(OR(T426=0,X426=0,NOT(ISNUMBER(E426)),AND(J426="Sim",L426="",M426=""),AND(ISNUMBER(E426),ISNUMBER(V426),N(V426)&gt;0,E426&lt;N(V426))),1,0))</f>
        <v>0</v>
      </c>
      <c r="Z426" s="96">
        <f>IF(AND(Q426=1,T426=1,X426=1,J426="Sim",OR(L426&lt;&gt;"",M426&lt;&gt;"")),1,0)</f>
        <v>0</v>
      </c>
      <c r="AA426" s="96">
        <f>IF(Q426=0,0,IF(AND(OR(r_ini="",AND(ISNUMBER(E426),E426&gt;=r_ini)),OR(r_fim="",AND(ISNUMBER(E426),E426&lt;=r_fim)),OR(r_un="",r_un="(Todas)",IF(N(U426)&gt;0,INDEX('MTRs'!$G$6:$G$505,U426),"")=r_un),OR(r_de="",r_de="(Todos)",D426=r_de)),1,0))</f>
        <v>0</v>
      </c>
      <c r="AB426" s="96" t="str">
        <f>IF(AA426=1,COUNTIF($AA$6:AA426,1),"")</f>
        <v/>
      </c>
    </row>
    <row r="427">
      <c r="A427" s="89" t="inlineStr">
        <is>
          <t>REC-000422</t>
        </is>
      </c>
      <c r="B427" s="94" t="str">
        <f>IF(T427=1,INDEX('ITENS_MTR'!$S$6:$S$1005,S427)&amp;"","")</f>
        <v/>
      </c>
      <c r="C427" s="91" t="n"/>
      <c r="D427" s="94" t="str">
        <f>IF(N(U427)&gt;0,INDEX('MTRs'!$I$6:$I$505,U427)&amp;"","")</f>
        <v/>
      </c>
      <c r="E427" s="92" t="n"/>
      <c r="F427" s="98" t="n"/>
      <c r="G427" s="91" t="n"/>
      <c r="H427" s="93" t="str">
        <f>IF(Q427=0,"",IF(NOT(ISNUMBER(F427)),"",IF(ISNUMBER(W427),F427*W427,"UNIDADE A CONFERIR")))</f>
        <v/>
      </c>
      <c r="I427" s="91" t="n"/>
      <c r="J427" s="91" t="n"/>
      <c r="K427" s="92" t="n"/>
      <c r="L427" s="91" t="n"/>
      <c r="M427" s="91" t="n"/>
      <c r="N427" s="91" t="n"/>
      <c r="O427" s="91" t="n"/>
      <c r="P427" s="94" t="str">
        <f>IF(Q427=0,"",IF(C427="","Item de resíduo não informado",IF(T427=0,"Item inexistente (referência inválida)",IF(NOT(ISNUMBER(F427)),"Quantidade não informada",IF(F427&lt;=0,"Quantidade não positiva",IF(G427="","Unidade não informada",IF(NOT(ISNUMBER(H427)),"Unidade a conferir",IF(NOT(ISNUMBER(E427)),"Data de recebimento não informada",IF(AND(ISNUMBER(V427),N(V427)&gt;0,E427&lt;N(V427)),"Data anterior à emissão do MTR",IF(AND(J427="Sim",L427="",M427=""),"Conferido sem evidência identificada",IF(J427&lt;&gt;"Sim","Aguardando conferência",IF(INDEX('ITENS_MTR'!$AM$6:$AM$1005,S427)=1,"Conferido (ver diferença no item)","Conferido"))))))))))))</f>
        <v/>
      </c>
      <c r="Q427" s="96">
        <f>IF(COUNTA(C427,E427:G427,I427:O427)&gt;0,1,0)</f>
        <v>0</v>
      </c>
      <c r="R427" s="96" t="str">
        <f>IF(C427="","",TRIM(LEFT(C427,FIND(" |",C427&amp;" |")-1)))</f>
        <v/>
      </c>
      <c r="S427" s="96" t="str">
        <f>IF(R427="","",IFERROR(MATCH(R427,'ITENS_MTR'!$A$6:$A$1005,0),""))</f>
        <v/>
      </c>
      <c r="T427" s="96">
        <f>IF(S427="",0,IF(INDEX('ITENS_MTR'!$R$6:$R$1005,S427)=1,1,0))</f>
        <v>0</v>
      </c>
      <c r="U427" s="96" t="str">
        <f>IF(T427=1,INDEX('ITENS_MTR'!$T$6:$T$1005,S427),"")</f>
        <v/>
      </c>
      <c r="V427" s="97" t="str">
        <f>IF(N(U427)&gt;0,INDEX('MTRs'!$E$6:$E$505,U427),"")</f>
        <v/>
      </c>
      <c r="W427" s="96" t="str">
        <f>IF(G427="","",IFERROR(IF(ISNUMBER(INDEX(cfg_fac,MATCH(G427,cfg_units,0))),IF(INDEX(cfg_fac,MATCH(G427,cfg_units,0))&gt;0,INDEX(cfg_fac,MATCH(G427,cfg_units,0)),""),""),""))</f>
        <v/>
      </c>
      <c r="X427" s="96">
        <f>IF(AND(ISNUMBER(F427),ISNUMBER(H427)),IF(H427&gt;0,1,0),0)</f>
        <v>0</v>
      </c>
      <c r="Y427" s="96">
        <f>IF(Q427=0,0,IF(OR(T427=0,X427=0,NOT(ISNUMBER(E427)),AND(J427="Sim",L427="",M427=""),AND(ISNUMBER(E427),ISNUMBER(V427),N(V427)&gt;0,E427&lt;N(V427))),1,0))</f>
        <v>0</v>
      </c>
      <c r="Z427" s="96">
        <f>IF(AND(Q427=1,T427=1,X427=1,J427="Sim",OR(L427&lt;&gt;"",M427&lt;&gt;"")),1,0)</f>
        <v>0</v>
      </c>
      <c r="AA427" s="96">
        <f>IF(Q427=0,0,IF(AND(OR(r_ini="",AND(ISNUMBER(E427),E427&gt;=r_ini)),OR(r_fim="",AND(ISNUMBER(E427),E427&lt;=r_fim)),OR(r_un="",r_un="(Todas)",IF(N(U427)&gt;0,INDEX('MTRs'!$G$6:$G$505,U427),"")=r_un),OR(r_de="",r_de="(Todos)",D427=r_de)),1,0))</f>
        <v>0</v>
      </c>
      <c r="AB427" s="96" t="str">
        <f>IF(AA427=1,COUNTIF($AA$6:AA427,1),"")</f>
        <v/>
      </c>
    </row>
    <row r="428">
      <c r="A428" s="89" t="inlineStr">
        <is>
          <t>REC-000423</t>
        </is>
      </c>
      <c r="B428" s="94" t="str">
        <f>IF(T428=1,INDEX('ITENS_MTR'!$S$6:$S$1005,S428)&amp;"","")</f>
        <v/>
      </c>
      <c r="C428" s="91" t="n"/>
      <c r="D428" s="94" t="str">
        <f>IF(N(U428)&gt;0,INDEX('MTRs'!$I$6:$I$505,U428)&amp;"","")</f>
        <v/>
      </c>
      <c r="E428" s="92" t="n"/>
      <c r="F428" s="98" t="n"/>
      <c r="G428" s="91" t="n"/>
      <c r="H428" s="93" t="str">
        <f>IF(Q428=0,"",IF(NOT(ISNUMBER(F428)),"",IF(ISNUMBER(W428),F428*W428,"UNIDADE A CONFERIR")))</f>
        <v/>
      </c>
      <c r="I428" s="91" t="n"/>
      <c r="J428" s="91" t="n"/>
      <c r="K428" s="92" t="n"/>
      <c r="L428" s="91" t="n"/>
      <c r="M428" s="91" t="n"/>
      <c r="N428" s="91" t="n"/>
      <c r="O428" s="91" t="n"/>
      <c r="P428" s="94" t="str">
        <f>IF(Q428=0,"",IF(C428="","Item de resíduo não informado",IF(T428=0,"Item inexistente (referência inválida)",IF(NOT(ISNUMBER(F428)),"Quantidade não informada",IF(F428&lt;=0,"Quantidade não positiva",IF(G428="","Unidade não informada",IF(NOT(ISNUMBER(H428)),"Unidade a conferir",IF(NOT(ISNUMBER(E428)),"Data de recebimento não informada",IF(AND(ISNUMBER(V428),N(V428)&gt;0,E428&lt;N(V428)),"Data anterior à emissão do MTR",IF(AND(J428="Sim",L428="",M428=""),"Conferido sem evidência identificada",IF(J428&lt;&gt;"Sim","Aguardando conferência",IF(INDEX('ITENS_MTR'!$AM$6:$AM$1005,S428)=1,"Conferido (ver diferença no item)","Conferido"))))))))))))</f>
        <v/>
      </c>
      <c r="Q428" s="96">
        <f>IF(COUNTA(C428,E428:G428,I428:O428)&gt;0,1,0)</f>
        <v>0</v>
      </c>
      <c r="R428" s="96" t="str">
        <f>IF(C428="","",TRIM(LEFT(C428,FIND(" |",C428&amp;" |")-1)))</f>
        <v/>
      </c>
      <c r="S428" s="96" t="str">
        <f>IF(R428="","",IFERROR(MATCH(R428,'ITENS_MTR'!$A$6:$A$1005,0),""))</f>
        <v/>
      </c>
      <c r="T428" s="96">
        <f>IF(S428="",0,IF(INDEX('ITENS_MTR'!$R$6:$R$1005,S428)=1,1,0))</f>
        <v>0</v>
      </c>
      <c r="U428" s="96" t="str">
        <f>IF(T428=1,INDEX('ITENS_MTR'!$T$6:$T$1005,S428),"")</f>
        <v/>
      </c>
      <c r="V428" s="97" t="str">
        <f>IF(N(U428)&gt;0,INDEX('MTRs'!$E$6:$E$505,U428),"")</f>
        <v/>
      </c>
      <c r="W428" s="96" t="str">
        <f>IF(G428="","",IFERROR(IF(ISNUMBER(INDEX(cfg_fac,MATCH(G428,cfg_units,0))),IF(INDEX(cfg_fac,MATCH(G428,cfg_units,0))&gt;0,INDEX(cfg_fac,MATCH(G428,cfg_units,0)),""),""),""))</f>
        <v/>
      </c>
      <c r="X428" s="96">
        <f>IF(AND(ISNUMBER(F428),ISNUMBER(H428)),IF(H428&gt;0,1,0),0)</f>
        <v>0</v>
      </c>
      <c r="Y428" s="96">
        <f>IF(Q428=0,0,IF(OR(T428=0,X428=0,NOT(ISNUMBER(E428)),AND(J428="Sim",L428="",M428=""),AND(ISNUMBER(E428),ISNUMBER(V428),N(V428)&gt;0,E428&lt;N(V428))),1,0))</f>
        <v>0</v>
      </c>
      <c r="Z428" s="96">
        <f>IF(AND(Q428=1,T428=1,X428=1,J428="Sim",OR(L428&lt;&gt;"",M428&lt;&gt;"")),1,0)</f>
        <v>0</v>
      </c>
      <c r="AA428" s="96">
        <f>IF(Q428=0,0,IF(AND(OR(r_ini="",AND(ISNUMBER(E428),E428&gt;=r_ini)),OR(r_fim="",AND(ISNUMBER(E428),E428&lt;=r_fim)),OR(r_un="",r_un="(Todas)",IF(N(U428)&gt;0,INDEX('MTRs'!$G$6:$G$505,U428),"")=r_un),OR(r_de="",r_de="(Todos)",D428=r_de)),1,0))</f>
        <v>0</v>
      </c>
      <c r="AB428" s="96" t="str">
        <f>IF(AA428=1,COUNTIF($AA$6:AA428,1),"")</f>
        <v/>
      </c>
    </row>
    <row r="429">
      <c r="A429" s="89" t="inlineStr">
        <is>
          <t>REC-000424</t>
        </is>
      </c>
      <c r="B429" s="94" t="str">
        <f>IF(T429=1,INDEX('ITENS_MTR'!$S$6:$S$1005,S429)&amp;"","")</f>
        <v/>
      </c>
      <c r="C429" s="91" t="n"/>
      <c r="D429" s="94" t="str">
        <f>IF(N(U429)&gt;0,INDEX('MTRs'!$I$6:$I$505,U429)&amp;"","")</f>
        <v/>
      </c>
      <c r="E429" s="92" t="n"/>
      <c r="F429" s="98" t="n"/>
      <c r="G429" s="91" t="n"/>
      <c r="H429" s="93" t="str">
        <f>IF(Q429=0,"",IF(NOT(ISNUMBER(F429)),"",IF(ISNUMBER(W429),F429*W429,"UNIDADE A CONFERIR")))</f>
        <v/>
      </c>
      <c r="I429" s="91" t="n"/>
      <c r="J429" s="91" t="n"/>
      <c r="K429" s="92" t="n"/>
      <c r="L429" s="91" t="n"/>
      <c r="M429" s="91" t="n"/>
      <c r="N429" s="91" t="n"/>
      <c r="O429" s="91" t="n"/>
      <c r="P429" s="94" t="str">
        <f>IF(Q429=0,"",IF(C429="","Item de resíduo não informado",IF(T429=0,"Item inexistente (referência inválida)",IF(NOT(ISNUMBER(F429)),"Quantidade não informada",IF(F429&lt;=0,"Quantidade não positiva",IF(G429="","Unidade não informada",IF(NOT(ISNUMBER(H429)),"Unidade a conferir",IF(NOT(ISNUMBER(E429)),"Data de recebimento não informada",IF(AND(ISNUMBER(V429),N(V429)&gt;0,E429&lt;N(V429)),"Data anterior à emissão do MTR",IF(AND(J429="Sim",L429="",M429=""),"Conferido sem evidência identificada",IF(J429&lt;&gt;"Sim","Aguardando conferência",IF(INDEX('ITENS_MTR'!$AM$6:$AM$1005,S429)=1,"Conferido (ver diferença no item)","Conferido"))))))))))))</f>
        <v/>
      </c>
      <c r="Q429" s="96">
        <f>IF(COUNTA(C429,E429:G429,I429:O429)&gt;0,1,0)</f>
        <v>0</v>
      </c>
      <c r="R429" s="96" t="str">
        <f>IF(C429="","",TRIM(LEFT(C429,FIND(" |",C429&amp;" |")-1)))</f>
        <v/>
      </c>
      <c r="S429" s="96" t="str">
        <f>IF(R429="","",IFERROR(MATCH(R429,'ITENS_MTR'!$A$6:$A$1005,0),""))</f>
        <v/>
      </c>
      <c r="T429" s="96">
        <f>IF(S429="",0,IF(INDEX('ITENS_MTR'!$R$6:$R$1005,S429)=1,1,0))</f>
        <v>0</v>
      </c>
      <c r="U429" s="96" t="str">
        <f>IF(T429=1,INDEX('ITENS_MTR'!$T$6:$T$1005,S429),"")</f>
        <v/>
      </c>
      <c r="V429" s="97" t="str">
        <f>IF(N(U429)&gt;0,INDEX('MTRs'!$E$6:$E$505,U429),"")</f>
        <v/>
      </c>
      <c r="W429" s="96" t="str">
        <f>IF(G429="","",IFERROR(IF(ISNUMBER(INDEX(cfg_fac,MATCH(G429,cfg_units,0))),IF(INDEX(cfg_fac,MATCH(G429,cfg_units,0))&gt;0,INDEX(cfg_fac,MATCH(G429,cfg_units,0)),""),""),""))</f>
        <v/>
      </c>
      <c r="X429" s="96">
        <f>IF(AND(ISNUMBER(F429),ISNUMBER(H429)),IF(H429&gt;0,1,0),0)</f>
        <v>0</v>
      </c>
      <c r="Y429" s="96">
        <f>IF(Q429=0,0,IF(OR(T429=0,X429=0,NOT(ISNUMBER(E429)),AND(J429="Sim",L429="",M429=""),AND(ISNUMBER(E429),ISNUMBER(V429),N(V429)&gt;0,E429&lt;N(V429))),1,0))</f>
        <v>0</v>
      </c>
      <c r="Z429" s="96">
        <f>IF(AND(Q429=1,T429=1,X429=1,J429="Sim",OR(L429&lt;&gt;"",M429&lt;&gt;"")),1,0)</f>
        <v>0</v>
      </c>
      <c r="AA429" s="96">
        <f>IF(Q429=0,0,IF(AND(OR(r_ini="",AND(ISNUMBER(E429),E429&gt;=r_ini)),OR(r_fim="",AND(ISNUMBER(E429),E429&lt;=r_fim)),OR(r_un="",r_un="(Todas)",IF(N(U429)&gt;0,INDEX('MTRs'!$G$6:$G$505,U429),"")=r_un),OR(r_de="",r_de="(Todos)",D429=r_de)),1,0))</f>
        <v>0</v>
      </c>
      <c r="AB429" s="96" t="str">
        <f>IF(AA429=1,COUNTIF($AA$6:AA429,1),"")</f>
        <v/>
      </c>
    </row>
    <row r="430">
      <c r="A430" s="89" t="inlineStr">
        <is>
          <t>REC-000425</t>
        </is>
      </c>
      <c r="B430" s="94" t="str">
        <f>IF(T430=1,INDEX('ITENS_MTR'!$S$6:$S$1005,S430)&amp;"","")</f>
        <v/>
      </c>
      <c r="C430" s="91" t="n"/>
      <c r="D430" s="94" t="str">
        <f>IF(N(U430)&gt;0,INDEX('MTRs'!$I$6:$I$505,U430)&amp;"","")</f>
        <v/>
      </c>
      <c r="E430" s="92" t="n"/>
      <c r="F430" s="98" t="n"/>
      <c r="G430" s="91" t="n"/>
      <c r="H430" s="93" t="str">
        <f>IF(Q430=0,"",IF(NOT(ISNUMBER(F430)),"",IF(ISNUMBER(W430),F430*W430,"UNIDADE A CONFERIR")))</f>
        <v/>
      </c>
      <c r="I430" s="91" t="n"/>
      <c r="J430" s="91" t="n"/>
      <c r="K430" s="92" t="n"/>
      <c r="L430" s="91" t="n"/>
      <c r="M430" s="91" t="n"/>
      <c r="N430" s="91" t="n"/>
      <c r="O430" s="91" t="n"/>
      <c r="P430" s="94" t="str">
        <f>IF(Q430=0,"",IF(C430="","Item de resíduo não informado",IF(T430=0,"Item inexistente (referência inválida)",IF(NOT(ISNUMBER(F430)),"Quantidade não informada",IF(F430&lt;=0,"Quantidade não positiva",IF(G430="","Unidade não informada",IF(NOT(ISNUMBER(H430)),"Unidade a conferir",IF(NOT(ISNUMBER(E430)),"Data de recebimento não informada",IF(AND(ISNUMBER(V430),N(V430)&gt;0,E430&lt;N(V430)),"Data anterior à emissão do MTR",IF(AND(J430="Sim",L430="",M430=""),"Conferido sem evidência identificada",IF(J430&lt;&gt;"Sim","Aguardando conferência",IF(INDEX('ITENS_MTR'!$AM$6:$AM$1005,S430)=1,"Conferido (ver diferença no item)","Conferido"))))))))))))</f>
        <v/>
      </c>
      <c r="Q430" s="96">
        <f>IF(COUNTA(C430,E430:G430,I430:O430)&gt;0,1,0)</f>
        <v>0</v>
      </c>
      <c r="R430" s="96" t="str">
        <f>IF(C430="","",TRIM(LEFT(C430,FIND(" |",C430&amp;" |")-1)))</f>
        <v/>
      </c>
      <c r="S430" s="96" t="str">
        <f>IF(R430="","",IFERROR(MATCH(R430,'ITENS_MTR'!$A$6:$A$1005,0),""))</f>
        <v/>
      </c>
      <c r="T430" s="96">
        <f>IF(S430="",0,IF(INDEX('ITENS_MTR'!$R$6:$R$1005,S430)=1,1,0))</f>
        <v>0</v>
      </c>
      <c r="U430" s="96" t="str">
        <f>IF(T430=1,INDEX('ITENS_MTR'!$T$6:$T$1005,S430),"")</f>
        <v/>
      </c>
      <c r="V430" s="97" t="str">
        <f>IF(N(U430)&gt;0,INDEX('MTRs'!$E$6:$E$505,U430),"")</f>
        <v/>
      </c>
      <c r="W430" s="96" t="str">
        <f>IF(G430="","",IFERROR(IF(ISNUMBER(INDEX(cfg_fac,MATCH(G430,cfg_units,0))),IF(INDEX(cfg_fac,MATCH(G430,cfg_units,0))&gt;0,INDEX(cfg_fac,MATCH(G430,cfg_units,0)),""),""),""))</f>
        <v/>
      </c>
      <c r="X430" s="96">
        <f>IF(AND(ISNUMBER(F430),ISNUMBER(H430)),IF(H430&gt;0,1,0),0)</f>
        <v>0</v>
      </c>
      <c r="Y430" s="96">
        <f>IF(Q430=0,0,IF(OR(T430=0,X430=0,NOT(ISNUMBER(E430)),AND(J430="Sim",L430="",M430=""),AND(ISNUMBER(E430),ISNUMBER(V430),N(V430)&gt;0,E430&lt;N(V430))),1,0))</f>
        <v>0</v>
      </c>
      <c r="Z430" s="96">
        <f>IF(AND(Q430=1,T430=1,X430=1,J430="Sim",OR(L430&lt;&gt;"",M430&lt;&gt;"")),1,0)</f>
        <v>0</v>
      </c>
      <c r="AA430" s="96">
        <f>IF(Q430=0,0,IF(AND(OR(r_ini="",AND(ISNUMBER(E430),E430&gt;=r_ini)),OR(r_fim="",AND(ISNUMBER(E430),E430&lt;=r_fim)),OR(r_un="",r_un="(Todas)",IF(N(U430)&gt;0,INDEX('MTRs'!$G$6:$G$505,U430),"")=r_un),OR(r_de="",r_de="(Todos)",D430=r_de)),1,0))</f>
        <v>0</v>
      </c>
      <c r="AB430" s="96" t="str">
        <f>IF(AA430=1,COUNTIF($AA$6:AA430,1),"")</f>
        <v/>
      </c>
    </row>
    <row r="431">
      <c r="A431" s="89" t="inlineStr">
        <is>
          <t>REC-000426</t>
        </is>
      </c>
      <c r="B431" s="94" t="str">
        <f>IF(T431=1,INDEX('ITENS_MTR'!$S$6:$S$1005,S431)&amp;"","")</f>
        <v/>
      </c>
      <c r="C431" s="91" t="n"/>
      <c r="D431" s="94" t="str">
        <f>IF(N(U431)&gt;0,INDEX('MTRs'!$I$6:$I$505,U431)&amp;"","")</f>
        <v/>
      </c>
      <c r="E431" s="92" t="n"/>
      <c r="F431" s="98" t="n"/>
      <c r="G431" s="91" t="n"/>
      <c r="H431" s="93" t="str">
        <f>IF(Q431=0,"",IF(NOT(ISNUMBER(F431)),"",IF(ISNUMBER(W431),F431*W431,"UNIDADE A CONFERIR")))</f>
        <v/>
      </c>
      <c r="I431" s="91" t="n"/>
      <c r="J431" s="91" t="n"/>
      <c r="K431" s="92" t="n"/>
      <c r="L431" s="91" t="n"/>
      <c r="M431" s="91" t="n"/>
      <c r="N431" s="91" t="n"/>
      <c r="O431" s="91" t="n"/>
      <c r="P431" s="94" t="str">
        <f>IF(Q431=0,"",IF(C431="","Item de resíduo não informado",IF(T431=0,"Item inexistente (referência inválida)",IF(NOT(ISNUMBER(F431)),"Quantidade não informada",IF(F431&lt;=0,"Quantidade não positiva",IF(G431="","Unidade não informada",IF(NOT(ISNUMBER(H431)),"Unidade a conferir",IF(NOT(ISNUMBER(E431)),"Data de recebimento não informada",IF(AND(ISNUMBER(V431),N(V431)&gt;0,E431&lt;N(V431)),"Data anterior à emissão do MTR",IF(AND(J431="Sim",L431="",M431=""),"Conferido sem evidência identificada",IF(J431&lt;&gt;"Sim","Aguardando conferência",IF(INDEX('ITENS_MTR'!$AM$6:$AM$1005,S431)=1,"Conferido (ver diferença no item)","Conferido"))))))))))))</f>
        <v/>
      </c>
      <c r="Q431" s="96">
        <f>IF(COUNTA(C431,E431:G431,I431:O431)&gt;0,1,0)</f>
        <v>0</v>
      </c>
      <c r="R431" s="96" t="str">
        <f>IF(C431="","",TRIM(LEFT(C431,FIND(" |",C431&amp;" |")-1)))</f>
        <v/>
      </c>
      <c r="S431" s="96" t="str">
        <f>IF(R431="","",IFERROR(MATCH(R431,'ITENS_MTR'!$A$6:$A$1005,0),""))</f>
        <v/>
      </c>
      <c r="T431" s="96">
        <f>IF(S431="",0,IF(INDEX('ITENS_MTR'!$R$6:$R$1005,S431)=1,1,0))</f>
        <v>0</v>
      </c>
      <c r="U431" s="96" t="str">
        <f>IF(T431=1,INDEX('ITENS_MTR'!$T$6:$T$1005,S431),"")</f>
        <v/>
      </c>
      <c r="V431" s="97" t="str">
        <f>IF(N(U431)&gt;0,INDEX('MTRs'!$E$6:$E$505,U431),"")</f>
        <v/>
      </c>
      <c r="W431" s="96" t="str">
        <f>IF(G431="","",IFERROR(IF(ISNUMBER(INDEX(cfg_fac,MATCH(G431,cfg_units,0))),IF(INDEX(cfg_fac,MATCH(G431,cfg_units,0))&gt;0,INDEX(cfg_fac,MATCH(G431,cfg_units,0)),""),""),""))</f>
        <v/>
      </c>
      <c r="X431" s="96">
        <f>IF(AND(ISNUMBER(F431),ISNUMBER(H431)),IF(H431&gt;0,1,0),0)</f>
        <v>0</v>
      </c>
      <c r="Y431" s="96">
        <f>IF(Q431=0,0,IF(OR(T431=0,X431=0,NOT(ISNUMBER(E431)),AND(J431="Sim",L431="",M431=""),AND(ISNUMBER(E431),ISNUMBER(V431),N(V431)&gt;0,E431&lt;N(V431))),1,0))</f>
        <v>0</v>
      </c>
      <c r="Z431" s="96">
        <f>IF(AND(Q431=1,T431=1,X431=1,J431="Sim",OR(L431&lt;&gt;"",M431&lt;&gt;"")),1,0)</f>
        <v>0</v>
      </c>
      <c r="AA431" s="96">
        <f>IF(Q431=0,0,IF(AND(OR(r_ini="",AND(ISNUMBER(E431),E431&gt;=r_ini)),OR(r_fim="",AND(ISNUMBER(E431),E431&lt;=r_fim)),OR(r_un="",r_un="(Todas)",IF(N(U431)&gt;0,INDEX('MTRs'!$G$6:$G$505,U431),"")=r_un),OR(r_de="",r_de="(Todos)",D431=r_de)),1,0))</f>
        <v>0</v>
      </c>
      <c r="AB431" s="96" t="str">
        <f>IF(AA431=1,COUNTIF($AA$6:AA431,1),"")</f>
        <v/>
      </c>
    </row>
    <row r="432">
      <c r="A432" s="89" t="inlineStr">
        <is>
          <t>REC-000427</t>
        </is>
      </c>
      <c r="B432" s="94" t="str">
        <f>IF(T432=1,INDEX('ITENS_MTR'!$S$6:$S$1005,S432)&amp;"","")</f>
        <v/>
      </c>
      <c r="C432" s="91" t="n"/>
      <c r="D432" s="94" t="str">
        <f>IF(N(U432)&gt;0,INDEX('MTRs'!$I$6:$I$505,U432)&amp;"","")</f>
        <v/>
      </c>
      <c r="E432" s="92" t="n"/>
      <c r="F432" s="98" t="n"/>
      <c r="G432" s="91" t="n"/>
      <c r="H432" s="93" t="str">
        <f>IF(Q432=0,"",IF(NOT(ISNUMBER(F432)),"",IF(ISNUMBER(W432),F432*W432,"UNIDADE A CONFERIR")))</f>
        <v/>
      </c>
      <c r="I432" s="91" t="n"/>
      <c r="J432" s="91" t="n"/>
      <c r="K432" s="92" t="n"/>
      <c r="L432" s="91" t="n"/>
      <c r="M432" s="91" t="n"/>
      <c r="N432" s="91" t="n"/>
      <c r="O432" s="91" t="n"/>
      <c r="P432" s="94" t="str">
        <f>IF(Q432=0,"",IF(C432="","Item de resíduo não informado",IF(T432=0,"Item inexistente (referência inválida)",IF(NOT(ISNUMBER(F432)),"Quantidade não informada",IF(F432&lt;=0,"Quantidade não positiva",IF(G432="","Unidade não informada",IF(NOT(ISNUMBER(H432)),"Unidade a conferir",IF(NOT(ISNUMBER(E432)),"Data de recebimento não informada",IF(AND(ISNUMBER(V432),N(V432)&gt;0,E432&lt;N(V432)),"Data anterior à emissão do MTR",IF(AND(J432="Sim",L432="",M432=""),"Conferido sem evidência identificada",IF(J432&lt;&gt;"Sim","Aguardando conferência",IF(INDEX('ITENS_MTR'!$AM$6:$AM$1005,S432)=1,"Conferido (ver diferença no item)","Conferido"))))))))))))</f>
        <v/>
      </c>
      <c r="Q432" s="96">
        <f>IF(COUNTA(C432,E432:G432,I432:O432)&gt;0,1,0)</f>
        <v>0</v>
      </c>
      <c r="R432" s="96" t="str">
        <f>IF(C432="","",TRIM(LEFT(C432,FIND(" |",C432&amp;" |")-1)))</f>
        <v/>
      </c>
      <c r="S432" s="96" t="str">
        <f>IF(R432="","",IFERROR(MATCH(R432,'ITENS_MTR'!$A$6:$A$1005,0),""))</f>
        <v/>
      </c>
      <c r="T432" s="96">
        <f>IF(S432="",0,IF(INDEX('ITENS_MTR'!$R$6:$R$1005,S432)=1,1,0))</f>
        <v>0</v>
      </c>
      <c r="U432" s="96" t="str">
        <f>IF(T432=1,INDEX('ITENS_MTR'!$T$6:$T$1005,S432),"")</f>
        <v/>
      </c>
      <c r="V432" s="97" t="str">
        <f>IF(N(U432)&gt;0,INDEX('MTRs'!$E$6:$E$505,U432),"")</f>
        <v/>
      </c>
      <c r="W432" s="96" t="str">
        <f>IF(G432="","",IFERROR(IF(ISNUMBER(INDEX(cfg_fac,MATCH(G432,cfg_units,0))),IF(INDEX(cfg_fac,MATCH(G432,cfg_units,0))&gt;0,INDEX(cfg_fac,MATCH(G432,cfg_units,0)),""),""),""))</f>
        <v/>
      </c>
      <c r="X432" s="96">
        <f>IF(AND(ISNUMBER(F432),ISNUMBER(H432)),IF(H432&gt;0,1,0),0)</f>
        <v>0</v>
      </c>
      <c r="Y432" s="96">
        <f>IF(Q432=0,0,IF(OR(T432=0,X432=0,NOT(ISNUMBER(E432)),AND(J432="Sim",L432="",M432=""),AND(ISNUMBER(E432),ISNUMBER(V432),N(V432)&gt;0,E432&lt;N(V432))),1,0))</f>
        <v>0</v>
      </c>
      <c r="Z432" s="96">
        <f>IF(AND(Q432=1,T432=1,X432=1,J432="Sim",OR(L432&lt;&gt;"",M432&lt;&gt;"")),1,0)</f>
        <v>0</v>
      </c>
      <c r="AA432" s="96">
        <f>IF(Q432=0,0,IF(AND(OR(r_ini="",AND(ISNUMBER(E432),E432&gt;=r_ini)),OR(r_fim="",AND(ISNUMBER(E432),E432&lt;=r_fim)),OR(r_un="",r_un="(Todas)",IF(N(U432)&gt;0,INDEX('MTRs'!$G$6:$G$505,U432),"")=r_un),OR(r_de="",r_de="(Todos)",D432=r_de)),1,0))</f>
        <v>0</v>
      </c>
      <c r="AB432" s="96" t="str">
        <f>IF(AA432=1,COUNTIF($AA$6:AA432,1),"")</f>
        <v/>
      </c>
    </row>
    <row r="433">
      <c r="A433" s="89" t="inlineStr">
        <is>
          <t>REC-000428</t>
        </is>
      </c>
      <c r="B433" s="94" t="str">
        <f>IF(T433=1,INDEX('ITENS_MTR'!$S$6:$S$1005,S433)&amp;"","")</f>
        <v/>
      </c>
      <c r="C433" s="91" t="n"/>
      <c r="D433" s="94" t="str">
        <f>IF(N(U433)&gt;0,INDEX('MTRs'!$I$6:$I$505,U433)&amp;"","")</f>
        <v/>
      </c>
      <c r="E433" s="92" t="n"/>
      <c r="F433" s="98" t="n"/>
      <c r="G433" s="91" t="n"/>
      <c r="H433" s="93" t="str">
        <f>IF(Q433=0,"",IF(NOT(ISNUMBER(F433)),"",IF(ISNUMBER(W433),F433*W433,"UNIDADE A CONFERIR")))</f>
        <v/>
      </c>
      <c r="I433" s="91" t="n"/>
      <c r="J433" s="91" t="n"/>
      <c r="K433" s="92" t="n"/>
      <c r="L433" s="91" t="n"/>
      <c r="M433" s="91" t="n"/>
      <c r="N433" s="91" t="n"/>
      <c r="O433" s="91" t="n"/>
      <c r="P433" s="94" t="str">
        <f>IF(Q433=0,"",IF(C433="","Item de resíduo não informado",IF(T433=0,"Item inexistente (referência inválida)",IF(NOT(ISNUMBER(F433)),"Quantidade não informada",IF(F433&lt;=0,"Quantidade não positiva",IF(G433="","Unidade não informada",IF(NOT(ISNUMBER(H433)),"Unidade a conferir",IF(NOT(ISNUMBER(E433)),"Data de recebimento não informada",IF(AND(ISNUMBER(V433),N(V433)&gt;0,E433&lt;N(V433)),"Data anterior à emissão do MTR",IF(AND(J433="Sim",L433="",M433=""),"Conferido sem evidência identificada",IF(J433&lt;&gt;"Sim","Aguardando conferência",IF(INDEX('ITENS_MTR'!$AM$6:$AM$1005,S433)=1,"Conferido (ver diferença no item)","Conferido"))))))))))))</f>
        <v/>
      </c>
      <c r="Q433" s="96">
        <f>IF(COUNTA(C433,E433:G433,I433:O433)&gt;0,1,0)</f>
        <v>0</v>
      </c>
      <c r="R433" s="96" t="str">
        <f>IF(C433="","",TRIM(LEFT(C433,FIND(" |",C433&amp;" |")-1)))</f>
        <v/>
      </c>
      <c r="S433" s="96" t="str">
        <f>IF(R433="","",IFERROR(MATCH(R433,'ITENS_MTR'!$A$6:$A$1005,0),""))</f>
        <v/>
      </c>
      <c r="T433" s="96">
        <f>IF(S433="",0,IF(INDEX('ITENS_MTR'!$R$6:$R$1005,S433)=1,1,0))</f>
        <v>0</v>
      </c>
      <c r="U433" s="96" t="str">
        <f>IF(T433=1,INDEX('ITENS_MTR'!$T$6:$T$1005,S433),"")</f>
        <v/>
      </c>
      <c r="V433" s="97" t="str">
        <f>IF(N(U433)&gt;0,INDEX('MTRs'!$E$6:$E$505,U433),"")</f>
        <v/>
      </c>
      <c r="W433" s="96" t="str">
        <f>IF(G433="","",IFERROR(IF(ISNUMBER(INDEX(cfg_fac,MATCH(G433,cfg_units,0))),IF(INDEX(cfg_fac,MATCH(G433,cfg_units,0))&gt;0,INDEX(cfg_fac,MATCH(G433,cfg_units,0)),""),""),""))</f>
        <v/>
      </c>
      <c r="X433" s="96">
        <f>IF(AND(ISNUMBER(F433),ISNUMBER(H433)),IF(H433&gt;0,1,0),0)</f>
        <v>0</v>
      </c>
      <c r="Y433" s="96">
        <f>IF(Q433=0,0,IF(OR(T433=0,X433=0,NOT(ISNUMBER(E433)),AND(J433="Sim",L433="",M433=""),AND(ISNUMBER(E433),ISNUMBER(V433),N(V433)&gt;0,E433&lt;N(V433))),1,0))</f>
        <v>0</v>
      </c>
      <c r="Z433" s="96">
        <f>IF(AND(Q433=1,T433=1,X433=1,J433="Sim",OR(L433&lt;&gt;"",M433&lt;&gt;"")),1,0)</f>
        <v>0</v>
      </c>
      <c r="AA433" s="96">
        <f>IF(Q433=0,0,IF(AND(OR(r_ini="",AND(ISNUMBER(E433),E433&gt;=r_ini)),OR(r_fim="",AND(ISNUMBER(E433),E433&lt;=r_fim)),OR(r_un="",r_un="(Todas)",IF(N(U433)&gt;0,INDEX('MTRs'!$G$6:$G$505,U433),"")=r_un),OR(r_de="",r_de="(Todos)",D433=r_de)),1,0))</f>
        <v>0</v>
      </c>
      <c r="AB433" s="96" t="str">
        <f>IF(AA433=1,COUNTIF($AA$6:AA433,1),"")</f>
        <v/>
      </c>
    </row>
    <row r="434">
      <c r="A434" s="89" t="inlineStr">
        <is>
          <t>REC-000429</t>
        </is>
      </c>
      <c r="B434" s="94" t="str">
        <f>IF(T434=1,INDEX('ITENS_MTR'!$S$6:$S$1005,S434)&amp;"","")</f>
        <v/>
      </c>
      <c r="C434" s="91" t="n"/>
      <c r="D434" s="94" t="str">
        <f>IF(N(U434)&gt;0,INDEX('MTRs'!$I$6:$I$505,U434)&amp;"","")</f>
        <v/>
      </c>
      <c r="E434" s="92" t="n"/>
      <c r="F434" s="98" t="n"/>
      <c r="G434" s="91" t="n"/>
      <c r="H434" s="93" t="str">
        <f>IF(Q434=0,"",IF(NOT(ISNUMBER(F434)),"",IF(ISNUMBER(W434),F434*W434,"UNIDADE A CONFERIR")))</f>
        <v/>
      </c>
      <c r="I434" s="91" t="n"/>
      <c r="J434" s="91" t="n"/>
      <c r="K434" s="92" t="n"/>
      <c r="L434" s="91" t="n"/>
      <c r="M434" s="91" t="n"/>
      <c r="N434" s="91" t="n"/>
      <c r="O434" s="91" t="n"/>
      <c r="P434" s="94" t="str">
        <f>IF(Q434=0,"",IF(C434="","Item de resíduo não informado",IF(T434=0,"Item inexistente (referência inválida)",IF(NOT(ISNUMBER(F434)),"Quantidade não informada",IF(F434&lt;=0,"Quantidade não positiva",IF(G434="","Unidade não informada",IF(NOT(ISNUMBER(H434)),"Unidade a conferir",IF(NOT(ISNUMBER(E434)),"Data de recebimento não informada",IF(AND(ISNUMBER(V434),N(V434)&gt;0,E434&lt;N(V434)),"Data anterior à emissão do MTR",IF(AND(J434="Sim",L434="",M434=""),"Conferido sem evidência identificada",IF(J434&lt;&gt;"Sim","Aguardando conferência",IF(INDEX('ITENS_MTR'!$AM$6:$AM$1005,S434)=1,"Conferido (ver diferença no item)","Conferido"))))))))))))</f>
        <v/>
      </c>
      <c r="Q434" s="96">
        <f>IF(COUNTA(C434,E434:G434,I434:O434)&gt;0,1,0)</f>
        <v>0</v>
      </c>
      <c r="R434" s="96" t="str">
        <f>IF(C434="","",TRIM(LEFT(C434,FIND(" |",C434&amp;" |")-1)))</f>
        <v/>
      </c>
      <c r="S434" s="96" t="str">
        <f>IF(R434="","",IFERROR(MATCH(R434,'ITENS_MTR'!$A$6:$A$1005,0),""))</f>
        <v/>
      </c>
      <c r="T434" s="96">
        <f>IF(S434="",0,IF(INDEX('ITENS_MTR'!$R$6:$R$1005,S434)=1,1,0))</f>
        <v>0</v>
      </c>
      <c r="U434" s="96" t="str">
        <f>IF(T434=1,INDEX('ITENS_MTR'!$T$6:$T$1005,S434),"")</f>
        <v/>
      </c>
      <c r="V434" s="97" t="str">
        <f>IF(N(U434)&gt;0,INDEX('MTRs'!$E$6:$E$505,U434),"")</f>
        <v/>
      </c>
      <c r="W434" s="96" t="str">
        <f>IF(G434="","",IFERROR(IF(ISNUMBER(INDEX(cfg_fac,MATCH(G434,cfg_units,0))),IF(INDEX(cfg_fac,MATCH(G434,cfg_units,0))&gt;0,INDEX(cfg_fac,MATCH(G434,cfg_units,0)),""),""),""))</f>
        <v/>
      </c>
      <c r="X434" s="96">
        <f>IF(AND(ISNUMBER(F434),ISNUMBER(H434)),IF(H434&gt;0,1,0),0)</f>
        <v>0</v>
      </c>
      <c r="Y434" s="96">
        <f>IF(Q434=0,0,IF(OR(T434=0,X434=0,NOT(ISNUMBER(E434)),AND(J434="Sim",L434="",M434=""),AND(ISNUMBER(E434),ISNUMBER(V434),N(V434)&gt;0,E434&lt;N(V434))),1,0))</f>
        <v>0</v>
      </c>
      <c r="Z434" s="96">
        <f>IF(AND(Q434=1,T434=1,X434=1,J434="Sim",OR(L434&lt;&gt;"",M434&lt;&gt;"")),1,0)</f>
        <v>0</v>
      </c>
      <c r="AA434" s="96">
        <f>IF(Q434=0,0,IF(AND(OR(r_ini="",AND(ISNUMBER(E434),E434&gt;=r_ini)),OR(r_fim="",AND(ISNUMBER(E434),E434&lt;=r_fim)),OR(r_un="",r_un="(Todas)",IF(N(U434)&gt;0,INDEX('MTRs'!$G$6:$G$505,U434),"")=r_un),OR(r_de="",r_de="(Todos)",D434=r_de)),1,0))</f>
        <v>0</v>
      </c>
      <c r="AB434" s="96" t="str">
        <f>IF(AA434=1,COUNTIF($AA$6:AA434,1),"")</f>
        <v/>
      </c>
    </row>
    <row r="435">
      <c r="A435" s="89" t="inlineStr">
        <is>
          <t>REC-000430</t>
        </is>
      </c>
      <c r="B435" s="94" t="str">
        <f>IF(T435=1,INDEX('ITENS_MTR'!$S$6:$S$1005,S435)&amp;"","")</f>
        <v/>
      </c>
      <c r="C435" s="91" t="n"/>
      <c r="D435" s="94" t="str">
        <f>IF(N(U435)&gt;0,INDEX('MTRs'!$I$6:$I$505,U435)&amp;"","")</f>
        <v/>
      </c>
      <c r="E435" s="92" t="n"/>
      <c r="F435" s="98" t="n"/>
      <c r="G435" s="91" t="n"/>
      <c r="H435" s="93" t="str">
        <f>IF(Q435=0,"",IF(NOT(ISNUMBER(F435)),"",IF(ISNUMBER(W435),F435*W435,"UNIDADE A CONFERIR")))</f>
        <v/>
      </c>
      <c r="I435" s="91" t="n"/>
      <c r="J435" s="91" t="n"/>
      <c r="K435" s="92" t="n"/>
      <c r="L435" s="91" t="n"/>
      <c r="M435" s="91" t="n"/>
      <c r="N435" s="91" t="n"/>
      <c r="O435" s="91" t="n"/>
      <c r="P435" s="94" t="str">
        <f>IF(Q435=0,"",IF(C435="","Item de resíduo não informado",IF(T435=0,"Item inexistente (referência inválida)",IF(NOT(ISNUMBER(F435)),"Quantidade não informada",IF(F435&lt;=0,"Quantidade não positiva",IF(G435="","Unidade não informada",IF(NOT(ISNUMBER(H435)),"Unidade a conferir",IF(NOT(ISNUMBER(E435)),"Data de recebimento não informada",IF(AND(ISNUMBER(V435),N(V435)&gt;0,E435&lt;N(V435)),"Data anterior à emissão do MTR",IF(AND(J435="Sim",L435="",M435=""),"Conferido sem evidência identificada",IF(J435&lt;&gt;"Sim","Aguardando conferência",IF(INDEX('ITENS_MTR'!$AM$6:$AM$1005,S435)=1,"Conferido (ver diferença no item)","Conferido"))))))))))))</f>
        <v/>
      </c>
      <c r="Q435" s="96">
        <f>IF(COUNTA(C435,E435:G435,I435:O435)&gt;0,1,0)</f>
        <v>0</v>
      </c>
      <c r="R435" s="96" t="str">
        <f>IF(C435="","",TRIM(LEFT(C435,FIND(" |",C435&amp;" |")-1)))</f>
        <v/>
      </c>
      <c r="S435" s="96" t="str">
        <f>IF(R435="","",IFERROR(MATCH(R435,'ITENS_MTR'!$A$6:$A$1005,0),""))</f>
        <v/>
      </c>
      <c r="T435" s="96">
        <f>IF(S435="",0,IF(INDEX('ITENS_MTR'!$R$6:$R$1005,S435)=1,1,0))</f>
        <v>0</v>
      </c>
      <c r="U435" s="96" t="str">
        <f>IF(T435=1,INDEX('ITENS_MTR'!$T$6:$T$1005,S435),"")</f>
        <v/>
      </c>
      <c r="V435" s="97" t="str">
        <f>IF(N(U435)&gt;0,INDEX('MTRs'!$E$6:$E$505,U435),"")</f>
        <v/>
      </c>
      <c r="W435" s="96" t="str">
        <f>IF(G435="","",IFERROR(IF(ISNUMBER(INDEX(cfg_fac,MATCH(G435,cfg_units,0))),IF(INDEX(cfg_fac,MATCH(G435,cfg_units,0))&gt;0,INDEX(cfg_fac,MATCH(G435,cfg_units,0)),""),""),""))</f>
        <v/>
      </c>
      <c r="X435" s="96">
        <f>IF(AND(ISNUMBER(F435),ISNUMBER(H435)),IF(H435&gt;0,1,0),0)</f>
        <v>0</v>
      </c>
      <c r="Y435" s="96">
        <f>IF(Q435=0,0,IF(OR(T435=0,X435=0,NOT(ISNUMBER(E435)),AND(J435="Sim",L435="",M435=""),AND(ISNUMBER(E435),ISNUMBER(V435),N(V435)&gt;0,E435&lt;N(V435))),1,0))</f>
        <v>0</v>
      </c>
      <c r="Z435" s="96">
        <f>IF(AND(Q435=1,T435=1,X435=1,J435="Sim",OR(L435&lt;&gt;"",M435&lt;&gt;"")),1,0)</f>
        <v>0</v>
      </c>
      <c r="AA435" s="96">
        <f>IF(Q435=0,0,IF(AND(OR(r_ini="",AND(ISNUMBER(E435),E435&gt;=r_ini)),OR(r_fim="",AND(ISNUMBER(E435),E435&lt;=r_fim)),OR(r_un="",r_un="(Todas)",IF(N(U435)&gt;0,INDEX('MTRs'!$G$6:$G$505,U435),"")=r_un),OR(r_de="",r_de="(Todos)",D435=r_de)),1,0))</f>
        <v>0</v>
      </c>
      <c r="AB435" s="96" t="str">
        <f>IF(AA435=1,COUNTIF($AA$6:AA435,1),"")</f>
        <v/>
      </c>
    </row>
    <row r="436">
      <c r="A436" s="89" t="inlineStr">
        <is>
          <t>REC-000431</t>
        </is>
      </c>
      <c r="B436" s="94" t="str">
        <f>IF(T436=1,INDEX('ITENS_MTR'!$S$6:$S$1005,S436)&amp;"","")</f>
        <v/>
      </c>
      <c r="C436" s="91" t="n"/>
      <c r="D436" s="94" t="str">
        <f>IF(N(U436)&gt;0,INDEX('MTRs'!$I$6:$I$505,U436)&amp;"","")</f>
        <v/>
      </c>
      <c r="E436" s="92" t="n"/>
      <c r="F436" s="98" t="n"/>
      <c r="G436" s="91" t="n"/>
      <c r="H436" s="93" t="str">
        <f>IF(Q436=0,"",IF(NOT(ISNUMBER(F436)),"",IF(ISNUMBER(W436),F436*W436,"UNIDADE A CONFERIR")))</f>
        <v/>
      </c>
      <c r="I436" s="91" t="n"/>
      <c r="J436" s="91" t="n"/>
      <c r="K436" s="92" t="n"/>
      <c r="L436" s="91" t="n"/>
      <c r="M436" s="91" t="n"/>
      <c r="N436" s="91" t="n"/>
      <c r="O436" s="91" t="n"/>
      <c r="P436" s="94" t="str">
        <f>IF(Q436=0,"",IF(C436="","Item de resíduo não informado",IF(T436=0,"Item inexistente (referência inválida)",IF(NOT(ISNUMBER(F436)),"Quantidade não informada",IF(F436&lt;=0,"Quantidade não positiva",IF(G436="","Unidade não informada",IF(NOT(ISNUMBER(H436)),"Unidade a conferir",IF(NOT(ISNUMBER(E436)),"Data de recebimento não informada",IF(AND(ISNUMBER(V436),N(V436)&gt;0,E436&lt;N(V436)),"Data anterior à emissão do MTR",IF(AND(J436="Sim",L436="",M436=""),"Conferido sem evidência identificada",IF(J436&lt;&gt;"Sim","Aguardando conferência",IF(INDEX('ITENS_MTR'!$AM$6:$AM$1005,S436)=1,"Conferido (ver diferença no item)","Conferido"))))))))))))</f>
        <v/>
      </c>
      <c r="Q436" s="96">
        <f>IF(COUNTA(C436,E436:G436,I436:O436)&gt;0,1,0)</f>
        <v>0</v>
      </c>
      <c r="R436" s="96" t="str">
        <f>IF(C436="","",TRIM(LEFT(C436,FIND(" |",C436&amp;" |")-1)))</f>
        <v/>
      </c>
      <c r="S436" s="96" t="str">
        <f>IF(R436="","",IFERROR(MATCH(R436,'ITENS_MTR'!$A$6:$A$1005,0),""))</f>
        <v/>
      </c>
      <c r="T436" s="96">
        <f>IF(S436="",0,IF(INDEX('ITENS_MTR'!$R$6:$R$1005,S436)=1,1,0))</f>
        <v>0</v>
      </c>
      <c r="U436" s="96" t="str">
        <f>IF(T436=1,INDEX('ITENS_MTR'!$T$6:$T$1005,S436),"")</f>
        <v/>
      </c>
      <c r="V436" s="97" t="str">
        <f>IF(N(U436)&gt;0,INDEX('MTRs'!$E$6:$E$505,U436),"")</f>
        <v/>
      </c>
      <c r="W436" s="96" t="str">
        <f>IF(G436="","",IFERROR(IF(ISNUMBER(INDEX(cfg_fac,MATCH(G436,cfg_units,0))),IF(INDEX(cfg_fac,MATCH(G436,cfg_units,0))&gt;0,INDEX(cfg_fac,MATCH(G436,cfg_units,0)),""),""),""))</f>
        <v/>
      </c>
      <c r="X436" s="96">
        <f>IF(AND(ISNUMBER(F436),ISNUMBER(H436)),IF(H436&gt;0,1,0),0)</f>
        <v>0</v>
      </c>
      <c r="Y436" s="96">
        <f>IF(Q436=0,0,IF(OR(T436=0,X436=0,NOT(ISNUMBER(E436)),AND(J436="Sim",L436="",M436=""),AND(ISNUMBER(E436),ISNUMBER(V436),N(V436)&gt;0,E436&lt;N(V436))),1,0))</f>
        <v>0</v>
      </c>
      <c r="Z436" s="96">
        <f>IF(AND(Q436=1,T436=1,X436=1,J436="Sim",OR(L436&lt;&gt;"",M436&lt;&gt;"")),1,0)</f>
        <v>0</v>
      </c>
      <c r="AA436" s="96">
        <f>IF(Q436=0,0,IF(AND(OR(r_ini="",AND(ISNUMBER(E436),E436&gt;=r_ini)),OR(r_fim="",AND(ISNUMBER(E436),E436&lt;=r_fim)),OR(r_un="",r_un="(Todas)",IF(N(U436)&gt;0,INDEX('MTRs'!$G$6:$G$505,U436),"")=r_un),OR(r_de="",r_de="(Todos)",D436=r_de)),1,0))</f>
        <v>0</v>
      </c>
      <c r="AB436" s="96" t="str">
        <f>IF(AA436=1,COUNTIF($AA$6:AA436,1),"")</f>
        <v/>
      </c>
    </row>
    <row r="437">
      <c r="A437" s="89" t="inlineStr">
        <is>
          <t>REC-000432</t>
        </is>
      </c>
      <c r="B437" s="94" t="str">
        <f>IF(T437=1,INDEX('ITENS_MTR'!$S$6:$S$1005,S437)&amp;"","")</f>
        <v/>
      </c>
      <c r="C437" s="91" t="n"/>
      <c r="D437" s="94" t="str">
        <f>IF(N(U437)&gt;0,INDEX('MTRs'!$I$6:$I$505,U437)&amp;"","")</f>
        <v/>
      </c>
      <c r="E437" s="92" t="n"/>
      <c r="F437" s="98" t="n"/>
      <c r="G437" s="91" t="n"/>
      <c r="H437" s="93" t="str">
        <f>IF(Q437=0,"",IF(NOT(ISNUMBER(F437)),"",IF(ISNUMBER(W437),F437*W437,"UNIDADE A CONFERIR")))</f>
        <v/>
      </c>
      <c r="I437" s="91" t="n"/>
      <c r="J437" s="91" t="n"/>
      <c r="K437" s="92" t="n"/>
      <c r="L437" s="91" t="n"/>
      <c r="M437" s="91" t="n"/>
      <c r="N437" s="91" t="n"/>
      <c r="O437" s="91" t="n"/>
      <c r="P437" s="94" t="str">
        <f>IF(Q437=0,"",IF(C437="","Item de resíduo não informado",IF(T437=0,"Item inexistente (referência inválida)",IF(NOT(ISNUMBER(F437)),"Quantidade não informada",IF(F437&lt;=0,"Quantidade não positiva",IF(G437="","Unidade não informada",IF(NOT(ISNUMBER(H437)),"Unidade a conferir",IF(NOT(ISNUMBER(E437)),"Data de recebimento não informada",IF(AND(ISNUMBER(V437),N(V437)&gt;0,E437&lt;N(V437)),"Data anterior à emissão do MTR",IF(AND(J437="Sim",L437="",M437=""),"Conferido sem evidência identificada",IF(J437&lt;&gt;"Sim","Aguardando conferência",IF(INDEX('ITENS_MTR'!$AM$6:$AM$1005,S437)=1,"Conferido (ver diferença no item)","Conferido"))))))))))))</f>
        <v/>
      </c>
      <c r="Q437" s="96">
        <f>IF(COUNTA(C437,E437:G437,I437:O437)&gt;0,1,0)</f>
        <v>0</v>
      </c>
      <c r="R437" s="96" t="str">
        <f>IF(C437="","",TRIM(LEFT(C437,FIND(" |",C437&amp;" |")-1)))</f>
        <v/>
      </c>
      <c r="S437" s="96" t="str">
        <f>IF(R437="","",IFERROR(MATCH(R437,'ITENS_MTR'!$A$6:$A$1005,0),""))</f>
        <v/>
      </c>
      <c r="T437" s="96">
        <f>IF(S437="",0,IF(INDEX('ITENS_MTR'!$R$6:$R$1005,S437)=1,1,0))</f>
        <v>0</v>
      </c>
      <c r="U437" s="96" t="str">
        <f>IF(T437=1,INDEX('ITENS_MTR'!$T$6:$T$1005,S437),"")</f>
        <v/>
      </c>
      <c r="V437" s="97" t="str">
        <f>IF(N(U437)&gt;0,INDEX('MTRs'!$E$6:$E$505,U437),"")</f>
        <v/>
      </c>
      <c r="W437" s="96" t="str">
        <f>IF(G437="","",IFERROR(IF(ISNUMBER(INDEX(cfg_fac,MATCH(G437,cfg_units,0))),IF(INDEX(cfg_fac,MATCH(G437,cfg_units,0))&gt;0,INDEX(cfg_fac,MATCH(G437,cfg_units,0)),""),""),""))</f>
        <v/>
      </c>
      <c r="X437" s="96">
        <f>IF(AND(ISNUMBER(F437),ISNUMBER(H437)),IF(H437&gt;0,1,0),0)</f>
        <v>0</v>
      </c>
      <c r="Y437" s="96">
        <f>IF(Q437=0,0,IF(OR(T437=0,X437=0,NOT(ISNUMBER(E437)),AND(J437="Sim",L437="",M437=""),AND(ISNUMBER(E437),ISNUMBER(V437),N(V437)&gt;0,E437&lt;N(V437))),1,0))</f>
        <v>0</v>
      </c>
      <c r="Z437" s="96">
        <f>IF(AND(Q437=1,T437=1,X437=1,J437="Sim",OR(L437&lt;&gt;"",M437&lt;&gt;"")),1,0)</f>
        <v>0</v>
      </c>
      <c r="AA437" s="96">
        <f>IF(Q437=0,0,IF(AND(OR(r_ini="",AND(ISNUMBER(E437),E437&gt;=r_ini)),OR(r_fim="",AND(ISNUMBER(E437),E437&lt;=r_fim)),OR(r_un="",r_un="(Todas)",IF(N(U437)&gt;0,INDEX('MTRs'!$G$6:$G$505,U437),"")=r_un),OR(r_de="",r_de="(Todos)",D437=r_de)),1,0))</f>
        <v>0</v>
      </c>
      <c r="AB437" s="96" t="str">
        <f>IF(AA437=1,COUNTIF($AA$6:AA437,1),"")</f>
        <v/>
      </c>
    </row>
    <row r="438">
      <c r="A438" s="89" t="inlineStr">
        <is>
          <t>REC-000433</t>
        </is>
      </c>
      <c r="B438" s="94" t="str">
        <f>IF(T438=1,INDEX('ITENS_MTR'!$S$6:$S$1005,S438)&amp;"","")</f>
        <v/>
      </c>
      <c r="C438" s="91" t="n"/>
      <c r="D438" s="94" t="str">
        <f>IF(N(U438)&gt;0,INDEX('MTRs'!$I$6:$I$505,U438)&amp;"","")</f>
        <v/>
      </c>
      <c r="E438" s="92" t="n"/>
      <c r="F438" s="98" t="n"/>
      <c r="G438" s="91" t="n"/>
      <c r="H438" s="93" t="str">
        <f>IF(Q438=0,"",IF(NOT(ISNUMBER(F438)),"",IF(ISNUMBER(W438),F438*W438,"UNIDADE A CONFERIR")))</f>
        <v/>
      </c>
      <c r="I438" s="91" t="n"/>
      <c r="J438" s="91" t="n"/>
      <c r="K438" s="92" t="n"/>
      <c r="L438" s="91" t="n"/>
      <c r="M438" s="91" t="n"/>
      <c r="N438" s="91" t="n"/>
      <c r="O438" s="91" t="n"/>
      <c r="P438" s="94" t="str">
        <f>IF(Q438=0,"",IF(C438="","Item de resíduo não informado",IF(T438=0,"Item inexistente (referência inválida)",IF(NOT(ISNUMBER(F438)),"Quantidade não informada",IF(F438&lt;=0,"Quantidade não positiva",IF(G438="","Unidade não informada",IF(NOT(ISNUMBER(H438)),"Unidade a conferir",IF(NOT(ISNUMBER(E438)),"Data de recebimento não informada",IF(AND(ISNUMBER(V438),N(V438)&gt;0,E438&lt;N(V438)),"Data anterior à emissão do MTR",IF(AND(J438="Sim",L438="",M438=""),"Conferido sem evidência identificada",IF(J438&lt;&gt;"Sim","Aguardando conferência",IF(INDEX('ITENS_MTR'!$AM$6:$AM$1005,S438)=1,"Conferido (ver diferença no item)","Conferido"))))))))))))</f>
        <v/>
      </c>
      <c r="Q438" s="96">
        <f>IF(COUNTA(C438,E438:G438,I438:O438)&gt;0,1,0)</f>
        <v>0</v>
      </c>
      <c r="R438" s="96" t="str">
        <f>IF(C438="","",TRIM(LEFT(C438,FIND(" |",C438&amp;" |")-1)))</f>
        <v/>
      </c>
      <c r="S438" s="96" t="str">
        <f>IF(R438="","",IFERROR(MATCH(R438,'ITENS_MTR'!$A$6:$A$1005,0),""))</f>
        <v/>
      </c>
      <c r="T438" s="96">
        <f>IF(S438="",0,IF(INDEX('ITENS_MTR'!$R$6:$R$1005,S438)=1,1,0))</f>
        <v>0</v>
      </c>
      <c r="U438" s="96" t="str">
        <f>IF(T438=1,INDEX('ITENS_MTR'!$T$6:$T$1005,S438),"")</f>
        <v/>
      </c>
      <c r="V438" s="97" t="str">
        <f>IF(N(U438)&gt;0,INDEX('MTRs'!$E$6:$E$505,U438),"")</f>
        <v/>
      </c>
      <c r="W438" s="96" t="str">
        <f>IF(G438="","",IFERROR(IF(ISNUMBER(INDEX(cfg_fac,MATCH(G438,cfg_units,0))),IF(INDEX(cfg_fac,MATCH(G438,cfg_units,0))&gt;0,INDEX(cfg_fac,MATCH(G438,cfg_units,0)),""),""),""))</f>
        <v/>
      </c>
      <c r="X438" s="96">
        <f>IF(AND(ISNUMBER(F438),ISNUMBER(H438)),IF(H438&gt;0,1,0),0)</f>
        <v>0</v>
      </c>
      <c r="Y438" s="96">
        <f>IF(Q438=0,0,IF(OR(T438=0,X438=0,NOT(ISNUMBER(E438)),AND(J438="Sim",L438="",M438=""),AND(ISNUMBER(E438),ISNUMBER(V438),N(V438)&gt;0,E438&lt;N(V438))),1,0))</f>
        <v>0</v>
      </c>
      <c r="Z438" s="96">
        <f>IF(AND(Q438=1,T438=1,X438=1,J438="Sim",OR(L438&lt;&gt;"",M438&lt;&gt;"")),1,0)</f>
        <v>0</v>
      </c>
      <c r="AA438" s="96">
        <f>IF(Q438=0,0,IF(AND(OR(r_ini="",AND(ISNUMBER(E438),E438&gt;=r_ini)),OR(r_fim="",AND(ISNUMBER(E438),E438&lt;=r_fim)),OR(r_un="",r_un="(Todas)",IF(N(U438)&gt;0,INDEX('MTRs'!$G$6:$G$505,U438),"")=r_un),OR(r_de="",r_de="(Todos)",D438=r_de)),1,0))</f>
        <v>0</v>
      </c>
      <c r="AB438" s="96" t="str">
        <f>IF(AA438=1,COUNTIF($AA$6:AA438,1),"")</f>
        <v/>
      </c>
    </row>
    <row r="439">
      <c r="A439" s="89" t="inlineStr">
        <is>
          <t>REC-000434</t>
        </is>
      </c>
      <c r="B439" s="94" t="str">
        <f>IF(T439=1,INDEX('ITENS_MTR'!$S$6:$S$1005,S439)&amp;"","")</f>
        <v/>
      </c>
      <c r="C439" s="91" t="n"/>
      <c r="D439" s="94" t="str">
        <f>IF(N(U439)&gt;0,INDEX('MTRs'!$I$6:$I$505,U439)&amp;"","")</f>
        <v/>
      </c>
      <c r="E439" s="92" t="n"/>
      <c r="F439" s="98" t="n"/>
      <c r="G439" s="91" t="n"/>
      <c r="H439" s="93" t="str">
        <f>IF(Q439=0,"",IF(NOT(ISNUMBER(F439)),"",IF(ISNUMBER(W439),F439*W439,"UNIDADE A CONFERIR")))</f>
        <v/>
      </c>
      <c r="I439" s="91" t="n"/>
      <c r="J439" s="91" t="n"/>
      <c r="K439" s="92" t="n"/>
      <c r="L439" s="91" t="n"/>
      <c r="M439" s="91" t="n"/>
      <c r="N439" s="91" t="n"/>
      <c r="O439" s="91" t="n"/>
      <c r="P439" s="94" t="str">
        <f>IF(Q439=0,"",IF(C439="","Item de resíduo não informado",IF(T439=0,"Item inexistente (referência inválida)",IF(NOT(ISNUMBER(F439)),"Quantidade não informada",IF(F439&lt;=0,"Quantidade não positiva",IF(G439="","Unidade não informada",IF(NOT(ISNUMBER(H439)),"Unidade a conferir",IF(NOT(ISNUMBER(E439)),"Data de recebimento não informada",IF(AND(ISNUMBER(V439),N(V439)&gt;0,E439&lt;N(V439)),"Data anterior à emissão do MTR",IF(AND(J439="Sim",L439="",M439=""),"Conferido sem evidência identificada",IF(J439&lt;&gt;"Sim","Aguardando conferência",IF(INDEX('ITENS_MTR'!$AM$6:$AM$1005,S439)=1,"Conferido (ver diferença no item)","Conferido"))))))))))))</f>
        <v/>
      </c>
      <c r="Q439" s="96">
        <f>IF(COUNTA(C439,E439:G439,I439:O439)&gt;0,1,0)</f>
        <v>0</v>
      </c>
      <c r="R439" s="96" t="str">
        <f>IF(C439="","",TRIM(LEFT(C439,FIND(" |",C439&amp;" |")-1)))</f>
        <v/>
      </c>
      <c r="S439" s="96" t="str">
        <f>IF(R439="","",IFERROR(MATCH(R439,'ITENS_MTR'!$A$6:$A$1005,0),""))</f>
        <v/>
      </c>
      <c r="T439" s="96">
        <f>IF(S439="",0,IF(INDEX('ITENS_MTR'!$R$6:$R$1005,S439)=1,1,0))</f>
        <v>0</v>
      </c>
      <c r="U439" s="96" t="str">
        <f>IF(T439=1,INDEX('ITENS_MTR'!$T$6:$T$1005,S439),"")</f>
        <v/>
      </c>
      <c r="V439" s="97" t="str">
        <f>IF(N(U439)&gt;0,INDEX('MTRs'!$E$6:$E$505,U439),"")</f>
        <v/>
      </c>
      <c r="W439" s="96" t="str">
        <f>IF(G439="","",IFERROR(IF(ISNUMBER(INDEX(cfg_fac,MATCH(G439,cfg_units,0))),IF(INDEX(cfg_fac,MATCH(G439,cfg_units,0))&gt;0,INDEX(cfg_fac,MATCH(G439,cfg_units,0)),""),""),""))</f>
        <v/>
      </c>
      <c r="X439" s="96">
        <f>IF(AND(ISNUMBER(F439),ISNUMBER(H439)),IF(H439&gt;0,1,0),0)</f>
        <v>0</v>
      </c>
      <c r="Y439" s="96">
        <f>IF(Q439=0,0,IF(OR(T439=0,X439=0,NOT(ISNUMBER(E439)),AND(J439="Sim",L439="",M439=""),AND(ISNUMBER(E439),ISNUMBER(V439),N(V439)&gt;0,E439&lt;N(V439))),1,0))</f>
        <v>0</v>
      </c>
      <c r="Z439" s="96">
        <f>IF(AND(Q439=1,T439=1,X439=1,J439="Sim",OR(L439&lt;&gt;"",M439&lt;&gt;"")),1,0)</f>
        <v>0</v>
      </c>
      <c r="AA439" s="96">
        <f>IF(Q439=0,0,IF(AND(OR(r_ini="",AND(ISNUMBER(E439),E439&gt;=r_ini)),OR(r_fim="",AND(ISNUMBER(E439),E439&lt;=r_fim)),OR(r_un="",r_un="(Todas)",IF(N(U439)&gt;0,INDEX('MTRs'!$G$6:$G$505,U439),"")=r_un),OR(r_de="",r_de="(Todos)",D439=r_de)),1,0))</f>
        <v>0</v>
      </c>
      <c r="AB439" s="96" t="str">
        <f>IF(AA439=1,COUNTIF($AA$6:AA439,1),"")</f>
        <v/>
      </c>
    </row>
    <row r="440">
      <c r="A440" s="89" t="inlineStr">
        <is>
          <t>REC-000435</t>
        </is>
      </c>
      <c r="B440" s="94" t="str">
        <f>IF(T440=1,INDEX('ITENS_MTR'!$S$6:$S$1005,S440)&amp;"","")</f>
        <v/>
      </c>
      <c r="C440" s="91" t="n"/>
      <c r="D440" s="94" t="str">
        <f>IF(N(U440)&gt;0,INDEX('MTRs'!$I$6:$I$505,U440)&amp;"","")</f>
        <v/>
      </c>
      <c r="E440" s="92" t="n"/>
      <c r="F440" s="98" t="n"/>
      <c r="G440" s="91" t="n"/>
      <c r="H440" s="93" t="str">
        <f>IF(Q440=0,"",IF(NOT(ISNUMBER(F440)),"",IF(ISNUMBER(W440),F440*W440,"UNIDADE A CONFERIR")))</f>
        <v/>
      </c>
      <c r="I440" s="91" t="n"/>
      <c r="J440" s="91" t="n"/>
      <c r="K440" s="92" t="n"/>
      <c r="L440" s="91" t="n"/>
      <c r="M440" s="91" t="n"/>
      <c r="N440" s="91" t="n"/>
      <c r="O440" s="91" t="n"/>
      <c r="P440" s="94" t="str">
        <f>IF(Q440=0,"",IF(C440="","Item de resíduo não informado",IF(T440=0,"Item inexistente (referência inválida)",IF(NOT(ISNUMBER(F440)),"Quantidade não informada",IF(F440&lt;=0,"Quantidade não positiva",IF(G440="","Unidade não informada",IF(NOT(ISNUMBER(H440)),"Unidade a conferir",IF(NOT(ISNUMBER(E440)),"Data de recebimento não informada",IF(AND(ISNUMBER(V440),N(V440)&gt;0,E440&lt;N(V440)),"Data anterior à emissão do MTR",IF(AND(J440="Sim",L440="",M440=""),"Conferido sem evidência identificada",IF(J440&lt;&gt;"Sim","Aguardando conferência",IF(INDEX('ITENS_MTR'!$AM$6:$AM$1005,S440)=1,"Conferido (ver diferença no item)","Conferido"))))))))))))</f>
        <v/>
      </c>
      <c r="Q440" s="96">
        <f>IF(COUNTA(C440,E440:G440,I440:O440)&gt;0,1,0)</f>
        <v>0</v>
      </c>
      <c r="R440" s="96" t="str">
        <f>IF(C440="","",TRIM(LEFT(C440,FIND(" |",C440&amp;" |")-1)))</f>
        <v/>
      </c>
      <c r="S440" s="96" t="str">
        <f>IF(R440="","",IFERROR(MATCH(R440,'ITENS_MTR'!$A$6:$A$1005,0),""))</f>
        <v/>
      </c>
      <c r="T440" s="96">
        <f>IF(S440="",0,IF(INDEX('ITENS_MTR'!$R$6:$R$1005,S440)=1,1,0))</f>
        <v>0</v>
      </c>
      <c r="U440" s="96" t="str">
        <f>IF(T440=1,INDEX('ITENS_MTR'!$T$6:$T$1005,S440),"")</f>
        <v/>
      </c>
      <c r="V440" s="97" t="str">
        <f>IF(N(U440)&gt;0,INDEX('MTRs'!$E$6:$E$505,U440),"")</f>
        <v/>
      </c>
      <c r="W440" s="96" t="str">
        <f>IF(G440="","",IFERROR(IF(ISNUMBER(INDEX(cfg_fac,MATCH(G440,cfg_units,0))),IF(INDEX(cfg_fac,MATCH(G440,cfg_units,0))&gt;0,INDEX(cfg_fac,MATCH(G440,cfg_units,0)),""),""),""))</f>
        <v/>
      </c>
      <c r="X440" s="96">
        <f>IF(AND(ISNUMBER(F440),ISNUMBER(H440)),IF(H440&gt;0,1,0),0)</f>
        <v>0</v>
      </c>
      <c r="Y440" s="96">
        <f>IF(Q440=0,0,IF(OR(T440=0,X440=0,NOT(ISNUMBER(E440)),AND(J440="Sim",L440="",M440=""),AND(ISNUMBER(E440),ISNUMBER(V440),N(V440)&gt;0,E440&lt;N(V440))),1,0))</f>
        <v>0</v>
      </c>
      <c r="Z440" s="96">
        <f>IF(AND(Q440=1,T440=1,X440=1,J440="Sim",OR(L440&lt;&gt;"",M440&lt;&gt;"")),1,0)</f>
        <v>0</v>
      </c>
      <c r="AA440" s="96">
        <f>IF(Q440=0,0,IF(AND(OR(r_ini="",AND(ISNUMBER(E440),E440&gt;=r_ini)),OR(r_fim="",AND(ISNUMBER(E440),E440&lt;=r_fim)),OR(r_un="",r_un="(Todas)",IF(N(U440)&gt;0,INDEX('MTRs'!$G$6:$G$505,U440),"")=r_un),OR(r_de="",r_de="(Todos)",D440=r_de)),1,0))</f>
        <v>0</v>
      </c>
      <c r="AB440" s="96" t="str">
        <f>IF(AA440=1,COUNTIF($AA$6:AA440,1),"")</f>
        <v/>
      </c>
    </row>
    <row r="441">
      <c r="A441" s="89" t="inlineStr">
        <is>
          <t>REC-000436</t>
        </is>
      </c>
      <c r="B441" s="94" t="str">
        <f>IF(T441=1,INDEX('ITENS_MTR'!$S$6:$S$1005,S441)&amp;"","")</f>
        <v/>
      </c>
      <c r="C441" s="91" t="n"/>
      <c r="D441" s="94" t="str">
        <f>IF(N(U441)&gt;0,INDEX('MTRs'!$I$6:$I$505,U441)&amp;"","")</f>
        <v/>
      </c>
      <c r="E441" s="92" t="n"/>
      <c r="F441" s="98" t="n"/>
      <c r="G441" s="91" t="n"/>
      <c r="H441" s="93" t="str">
        <f>IF(Q441=0,"",IF(NOT(ISNUMBER(F441)),"",IF(ISNUMBER(W441),F441*W441,"UNIDADE A CONFERIR")))</f>
        <v/>
      </c>
      <c r="I441" s="91" t="n"/>
      <c r="J441" s="91" t="n"/>
      <c r="K441" s="92" t="n"/>
      <c r="L441" s="91" t="n"/>
      <c r="M441" s="91" t="n"/>
      <c r="N441" s="91" t="n"/>
      <c r="O441" s="91" t="n"/>
      <c r="P441" s="94" t="str">
        <f>IF(Q441=0,"",IF(C441="","Item de resíduo não informado",IF(T441=0,"Item inexistente (referência inválida)",IF(NOT(ISNUMBER(F441)),"Quantidade não informada",IF(F441&lt;=0,"Quantidade não positiva",IF(G441="","Unidade não informada",IF(NOT(ISNUMBER(H441)),"Unidade a conferir",IF(NOT(ISNUMBER(E441)),"Data de recebimento não informada",IF(AND(ISNUMBER(V441),N(V441)&gt;0,E441&lt;N(V441)),"Data anterior à emissão do MTR",IF(AND(J441="Sim",L441="",M441=""),"Conferido sem evidência identificada",IF(J441&lt;&gt;"Sim","Aguardando conferência",IF(INDEX('ITENS_MTR'!$AM$6:$AM$1005,S441)=1,"Conferido (ver diferença no item)","Conferido"))))))))))))</f>
        <v/>
      </c>
      <c r="Q441" s="96">
        <f>IF(COUNTA(C441,E441:G441,I441:O441)&gt;0,1,0)</f>
        <v>0</v>
      </c>
      <c r="R441" s="96" t="str">
        <f>IF(C441="","",TRIM(LEFT(C441,FIND(" |",C441&amp;" |")-1)))</f>
        <v/>
      </c>
      <c r="S441" s="96" t="str">
        <f>IF(R441="","",IFERROR(MATCH(R441,'ITENS_MTR'!$A$6:$A$1005,0),""))</f>
        <v/>
      </c>
      <c r="T441" s="96">
        <f>IF(S441="",0,IF(INDEX('ITENS_MTR'!$R$6:$R$1005,S441)=1,1,0))</f>
        <v>0</v>
      </c>
      <c r="U441" s="96" t="str">
        <f>IF(T441=1,INDEX('ITENS_MTR'!$T$6:$T$1005,S441),"")</f>
        <v/>
      </c>
      <c r="V441" s="97" t="str">
        <f>IF(N(U441)&gt;0,INDEX('MTRs'!$E$6:$E$505,U441),"")</f>
        <v/>
      </c>
      <c r="W441" s="96" t="str">
        <f>IF(G441="","",IFERROR(IF(ISNUMBER(INDEX(cfg_fac,MATCH(G441,cfg_units,0))),IF(INDEX(cfg_fac,MATCH(G441,cfg_units,0))&gt;0,INDEX(cfg_fac,MATCH(G441,cfg_units,0)),""),""),""))</f>
        <v/>
      </c>
      <c r="X441" s="96">
        <f>IF(AND(ISNUMBER(F441),ISNUMBER(H441)),IF(H441&gt;0,1,0),0)</f>
        <v>0</v>
      </c>
      <c r="Y441" s="96">
        <f>IF(Q441=0,0,IF(OR(T441=0,X441=0,NOT(ISNUMBER(E441)),AND(J441="Sim",L441="",M441=""),AND(ISNUMBER(E441),ISNUMBER(V441),N(V441)&gt;0,E441&lt;N(V441))),1,0))</f>
        <v>0</v>
      </c>
      <c r="Z441" s="96">
        <f>IF(AND(Q441=1,T441=1,X441=1,J441="Sim",OR(L441&lt;&gt;"",M441&lt;&gt;"")),1,0)</f>
        <v>0</v>
      </c>
      <c r="AA441" s="96">
        <f>IF(Q441=0,0,IF(AND(OR(r_ini="",AND(ISNUMBER(E441),E441&gt;=r_ini)),OR(r_fim="",AND(ISNUMBER(E441),E441&lt;=r_fim)),OR(r_un="",r_un="(Todas)",IF(N(U441)&gt;0,INDEX('MTRs'!$G$6:$G$505,U441),"")=r_un),OR(r_de="",r_de="(Todos)",D441=r_de)),1,0))</f>
        <v>0</v>
      </c>
      <c r="AB441" s="96" t="str">
        <f>IF(AA441=1,COUNTIF($AA$6:AA441,1),"")</f>
        <v/>
      </c>
    </row>
    <row r="442">
      <c r="A442" s="89" t="inlineStr">
        <is>
          <t>REC-000437</t>
        </is>
      </c>
      <c r="B442" s="94" t="str">
        <f>IF(T442=1,INDEX('ITENS_MTR'!$S$6:$S$1005,S442)&amp;"","")</f>
        <v/>
      </c>
      <c r="C442" s="91" t="n"/>
      <c r="D442" s="94" t="str">
        <f>IF(N(U442)&gt;0,INDEX('MTRs'!$I$6:$I$505,U442)&amp;"","")</f>
        <v/>
      </c>
      <c r="E442" s="92" t="n"/>
      <c r="F442" s="98" t="n"/>
      <c r="G442" s="91" t="n"/>
      <c r="H442" s="93" t="str">
        <f>IF(Q442=0,"",IF(NOT(ISNUMBER(F442)),"",IF(ISNUMBER(W442),F442*W442,"UNIDADE A CONFERIR")))</f>
        <v/>
      </c>
      <c r="I442" s="91" t="n"/>
      <c r="J442" s="91" t="n"/>
      <c r="K442" s="92" t="n"/>
      <c r="L442" s="91" t="n"/>
      <c r="M442" s="91" t="n"/>
      <c r="N442" s="91" t="n"/>
      <c r="O442" s="91" t="n"/>
      <c r="P442" s="94" t="str">
        <f>IF(Q442=0,"",IF(C442="","Item de resíduo não informado",IF(T442=0,"Item inexistente (referência inválida)",IF(NOT(ISNUMBER(F442)),"Quantidade não informada",IF(F442&lt;=0,"Quantidade não positiva",IF(G442="","Unidade não informada",IF(NOT(ISNUMBER(H442)),"Unidade a conferir",IF(NOT(ISNUMBER(E442)),"Data de recebimento não informada",IF(AND(ISNUMBER(V442),N(V442)&gt;0,E442&lt;N(V442)),"Data anterior à emissão do MTR",IF(AND(J442="Sim",L442="",M442=""),"Conferido sem evidência identificada",IF(J442&lt;&gt;"Sim","Aguardando conferência",IF(INDEX('ITENS_MTR'!$AM$6:$AM$1005,S442)=1,"Conferido (ver diferença no item)","Conferido"))))))))))))</f>
        <v/>
      </c>
      <c r="Q442" s="96">
        <f>IF(COUNTA(C442,E442:G442,I442:O442)&gt;0,1,0)</f>
        <v>0</v>
      </c>
      <c r="R442" s="96" t="str">
        <f>IF(C442="","",TRIM(LEFT(C442,FIND(" |",C442&amp;" |")-1)))</f>
        <v/>
      </c>
      <c r="S442" s="96" t="str">
        <f>IF(R442="","",IFERROR(MATCH(R442,'ITENS_MTR'!$A$6:$A$1005,0),""))</f>
        <v/>
      </c>
      <c r="T442" s="96">
        <f>IF(S442="",0,IF(INDEX('ITENS_MTR'!$R$6:$R$1005,S442)=1,1,0))</f>
        <v>0</v>
      </c>
      <c r="U442" s="96" t="str">
        <f>IF(T442=1,INDEX('ITENS_MTR'!$T$6:$T$1005,S442),"")</f>
        <v/>
      </c>
      <c r="V442" s="97" t="str">
        <f>IF(N(U442)&gt;0,INDEX('MTRs'!$E$6:$E$505,U442),"")</f>
        <v/>
      </c>
      <c r="W442" s="96" t="str">
        <f>IF(G442="","",IFERROR(IF(ISNUMBER(INDEX(cfg_fac,MATCH(G442,cfg_units,0))),IF(INDEX(cfg_fac,MATCH(G442,cfg_units,0))&gt;0,INDEX(cfg_fac,MATCH(G442,cfg_units,0)),""),""),""))</f>
        <v/>
      </c>
      <c r="X442" s="96">
        <f>IF(AND(ISNUMBER(F442),ISNUMBER(H442)),IF(H442&gt;0,1,0),0)</f>
        <v>0</v>
      </c>
      <c r="Y442" s="96">
        <f>IF(Q442=0,0,IF(OR(T442=0,X442=0,NOT(ISNUMBER(E442)),AND(J442="Sim",L442="",M442=""),AND(ISNUMBER(E442),ISNUMBER(V442),N(V442)&gt;0,E442&lt;N(V442))),1,0))</f>
        <v>0</v>
      </c>
      <c r="Z442" s="96">
        <f>IF(AND(Q442=1,T442=1,X442=1,J442="Sim",OR(L442&lt;&gt;"",M442&lt;&gt;"")),1,0)</f>
        <v>0</v>
      </c>
      <c r="AA442" s="96">
        <f>IF(Q442=0,0,IF(AND(OR(r_ini="",AND(ISNUMBER(E442),E442&gt;=r_ini)),OR(r_fim="",AND(ISNUMBER(E442),E442&lt;=r_fim)),OR(r_un="",r_un="(Todas)",IF(N(U442)&gt;0,INDEX('MTRs'!$G$6:$G$505,U442),"")=r_un),OR(r_de="",r_de="(Todos)",D442=r_de)),1,0))</f>
        <v>0</v>
      </c>
      <c r="AB442" s="96" t="str">
        <f>IF(AA442=1,COUNTIF($AA$6:AA442,1),"")</f>
        <v/>
      </c>
    </row>
    <row r="443">
      <c r="A443" s="89" t="inlineStr">
        <is>
          <t>REC-000438</t>
        </is>
      </c>
      <c r="B443" s="94" t="str">
        <f>IF(T443=1,INDEX('ITENS_MTR'!$S$6:$S$1005,S443)&amp;"","")</f>
        <v/>
      </c>
      <c r="C443" s="91" t="n"/>
      <c r="D443" s="94" t="str">
        <f>IF(N(U443)&gt;0,INDEX('MTRs'!$I$6:$I$505,U443)&amp;"","")</f>
        <v/>
      </c>
      <c r="E443" s="92" t="n"/>
      <c r="F443" s="98" t="n"/>
      <c r="G443" s="91" t="n"/>
      <c r="H443" s="93" t="str">
        <f>IF(Q443=0,"",IF(NOT(ISNUMBER(F443)),"",IF(ISNUMBER(W443),F443*W443,"UNIDADE A CONFERIR")))</f>
        <v/>
      </c>
      <c r="I443" s="91" t="n"/>
      <c r="J443" s="91" t="n"/>
      <c r="K443" s="92" t="n"/>
      <c r="L443" s="91" t="n"/>
      <c r="M443" s="91" t="n"/>
      <c r="N443" s="91" t="n"/>
      <c r="O443" s="91" t="n"/>
      <c r="P443" s="94" t="str">
        <f>IF(Q443=0,"",IF(C443="","Item de resíduo não informado",IF(T443=0,"Item inexistente (referência inválida)",IF(NOT(ISNUMBER(F443)),"Quantidade não informada",IF(F443&lt;=0,"Quantidade não positiva",IF(G443="","Unidade não informada",IF(NOT(ISNUMBER(H443)),"Unidade a conferir",IF(NOT(ISNUMBER(E443)),"Data de recebimento não informada",IF(AND(ISNUMBER(V443),N(V443)&gt;0,E443&lt;N(V443)),"Data anterior à emissão do MTR",IF(AND(J443="Sim",L443="",M443=""),"Conferido sem evidência identificada",IF(J443&lt;&gt;"Sim","Aguardando conferência",IF(INDEX('ITENS_MTR'!$AM$6:$AM$1005,S443)=1,"Conferido (ver diferença no item)","Conferido"))))))))))))</f>
        <v/>
      </c>
      <c r="Q443" s="96">
        <f>IF(COUNTA(C443,E443:G443,I443:O443)&gt;0,1,0)</f>
        <v>0</v>
      </c>
      <c r="R443" s="96" t="str">
        <f>IF(C443="","",TRIM(LEFT(C443,FIND(" |",C443&amp;" |")-1)))</f>
        <v/>
      </c>
      <c r="S443" s="96" t="str">
        <f>IF(R443="","",IFERROR(MATCH(R443,'ITENS_MTR'!$A$6:$A$1005,0),""))</f>
        <v/>
      </c>
      <c r="T443" s="96">
        <f>IF(S443="",0,IF(INDEX('ITENS_MTR'!$R$6:$R$1005,S443)=1,1,0))</f>
        <v>0</v>
      </c>
      <c r="U443" s="96" t="str">
        <f>IF(T443=1,INDEX('ITENS_MTR'!$T$6:$T$1005,S443),"")</f>
        <v/>
      </c>
      <c r="V443" s="97" t="str">
        <f>IF(N(U443)&gt;0,INDEX('MTRs'!$E$6:$E$505,U443),"")</f>
        <v/>
      </c>
      <c r="W443" s="96" t="str">
        <f>IF(G443="","",IFERROR(IF(ISNUMBER(INDEX(cfg_fac,MATCH(G443,cfg_units,0))),IF(INDEX(cfg_fac,MATCH(G443,cfg_units,0))&gt;0,INDEX(cfg_fac,MATCH(G443,cfg_units,0)),""),""),""))</f>
        <v/>
      </c>
      <c r="X443" s="96">
        <f>IF(AND(ISNUMBER(F443),ISNUMBER(H443)),IF(H443&gt;0,1,0),0)</f>
        <v>0</v>
      </c>
      <c r="Y443" s="96">
        <f>IF(Q443=0,0,IF(OR(T443=0,X443=0,NOT(ISNUMBER(E443)),AND(J443="Sim",L443="",M443=""),AND(ISNUMBER(E443),ISNUMBER(V443),N(V443)&gt;0,E443&lt;N(V443))),1,0))</f>
        <v>0</v>
      </c>
      <c r="Z443" s="96">
        <f>IF(AND(Q443=1,T443=1,X443=1,J443="Sim",OR(L443&lt;&gt;"",M443&lt;&gt;"")),1,0)</f>
        <v>0</v>
      </c>
      <c r="AA443" s="96">
        <f>IF(Q443=0,0,IF(AND(OR(r_ini="",AND(ISNUMBER(E443),E443&gt;=r_ini)),OR(r_fim="",AND(ISNUMBER(E443),E443&lt;=r_fim)),OR(r_un="",r_un="(Todas)",IF(N(U443)&gt;0,INDEX('MTRs'!$G$6:$G$505,U443),"")=r_un),OR(r_de="",r_de="(Todos)",D443=r_de)),1,0))</f>
        <v>0</v>
      </c>
      <c r="AB443" s="96" t="str">
        <f>IF(AA443=1,COUNTIF($AA$6:AA443,1),"")</f>
        <v/>
      </c>
    </row>
    <row r="444">
      <c r="A444" s="89" t="inlineStr">
        <is>
          <t>REC-000439</t>
        </is>
      </c>
      <c r="B444" s="94" t="str">
        <f>IF(T444=1,INDEX('ITENS_MTR'!$S$6:$S$1005,S444)&amp;"","")</f>
        <v/>
      </c>
      <c r="C444" s="91" t="n"/>
      <c r="D444" s="94" t="str">
        <f>IF(N(U444)&gt;0,INDEX('MTRs'!$I$6:$I$505,U444)&amp;"","")</f>
        <v/>
      </c>
      <c r="E444" s="92" t="n"/>
      <c r="F444" s="98" t="n"/>
      <c r="G444" s="91" t="n"/>
      <c r="H444" s="93" t="str">
        <f>IF(Q444=0,"",IF(NOT(ISNUMBER(F444)),"",IF(ISNUMBER(W444),F444*W444,"UNIDADE A CONFERIR")))</f>
        <v/>
      </c>
      <c r="I444" s="91" t="n"/>
      <c r="J444" s="91" t="n"/>
      <c r="K444" s="92" t="n"/>
      <c r="L444" s="91" t="n"/>
      <c r="M444" s="91" t="n"/>
      <c r="N444" s="91" t="n"/>
      <c r="O444" s="91" t="n"/>
      <c r="P444" s="94" t="str">
        <f>IF(Q444=0,"",IF(C444="","Item de resíduo não informado",IF(T444=0,"Item inexistente (referência inválida)",IF(NOT(ISNUMBER(F444)),"Quantidade não informada",IF(F444&lt;=0,"Quantidade não positiva",IF(G444="","Unidade não informada",IF(NOT(ISNUMBER(H444)),"Unidade a conferir",IF(NOT(ISNUMBER(E444)),"Data de recebimento não informada",IF(AND(ISNUMBER(V444),N(V444)&gt;0,E444&lt;N(V444)),"Data anterior à emissão do MTR",IF(AND(J444="Sim",L444="",M444=""),"Conferido sem evidência identificada",IF(J444&lt;&gt;"Sim","Aguardando conferência",IF(INDEX('ITENS_MTR'!$AM$6:$AM$1005,S444)=1,"Conferido (ver diferença no item)","Conferido"))))))))))))</f>
        <v/>
      </c>
      <c r="Q444" s="96">
        <f>IF(COUNTA(C444,E444:G444,I444:O444)&gt;0,1,0)</f>
        <v>0</v>
      </c>
      <c r="R444" s="96" t="str">
        <f>IF(C444="","",TRIM(LEFT(C444,FIND(" |",C444&amp;" |")-1)))</f>
        <v/>
      </c>
      <c r="S444" s="96" t="str">
        <f>IF(R444="","",IFERROR(MATCH(R444,'ITENS_MTR'!$A$6:$A$1005,0),""))</f>
        <v/>
      </c>
      <c r="T444" s="96">
        <f>IF(S444="",0,IF(INDEX('ITENS_MTR'!$R$6:$R$1005,S444)=1,1,0))</f>
        <v>0</v>
      </c>
      <c r="U444" s="96" t="str">
        <f>IF(T444=1,INDEX('ITENS_MTR'!$T$6:$T$1005,S444),"")</f>
        <v/>
      </c>
      <c r="V444" s="97" t="str">
        <f>IF(N(U444)&gt;0,INDEX('MTRs'!$E$6:$E$505,U444),"")</f>
        <v/>
      </c>
      <c r="W444" s="96" t="str">
        <f>IF(G444="","",IFERROR(IF(ISNUMBER(INDEX(cfg_fac,MATCH(G444,cfg_units,0))),IF(INDEX(cfg_fac,MATCH(G444,cfg_units,0))&gt;0,INDEX(cfg_fac,MATCH(G444,cfg_units,0)),""),""),""))</f>
        <v/>
      </c>
      <c r="X444" s="96">
        <f>IF(AND(ISNUMBER(F444),ISNUMBER(H444)),IF(H444&gt;0,1,0),0)</f>
        <v>0</v>
      </c>
      <c r="Y444" s="96">
        <f>IF(Q444=0,0,IF(OR(T444=0,X444=0,NOT(ISNUMBER(E444)),AND(J444="Sim",L444="",M444=""),AND(ISNUMBER(E444),ISNUMBER(V444),N(V444)&gt;0,E444&lt;N(V444))),1,0))</f>
        <v>0</v>
      </c>
      <c r="Z444" s="96">
        <f>IF(AND(Q444=1,T444=1,X444=1,J444="Sim",OR(L444&lt;&gt;"",M444&lt;&gt;"")),1,0)</f>
        <v>0</v>
      </c>
      <c r="AA444" s="96">
        <f>IF(Q444=0,0,IF(AND(OR(r_ini="",AND(ISNUMBER(E444),E444&gt;=r_ini)),OR(r_fim="",AND(ISNUMBER(E444),E444&lt;=r_fim)),OR(r_un="",r_un="(Todas)",IF(N(U444)&gt;0,INDEX('MTRs'!$G$6:$G$505,U444),"")=r_un),OR(r_de="",r_de="(Todos)",D444=r_de)),1,0))</f>
        <v>0</v>
      </c>
      <c r="AB444" s="96" t="str">
        <f>IF(AA444=1,COUNTIF($AA$6:AA444,1),"")</f>
        <v/>
      </c>
    </row>
    <row r="445">
      <c r="A445" s="89" t="inlineStr">
        <is>
          <t>REC-000440</t>
        </is>
      </c>
      <c r="B445" s="94" t="str">
        <f>IF(T445=1,INDEX('ITENS_MTR'!$S$6:$S$1005,S445)&amp;"","")</f>
        <v/>
      </c>
      <c r="C445" s="91" t="n"/>
      <c r="D445" s="94" t="str">
        <f>IF(N(U445)&gt;0,INDEX('MTRs'!$I$6:$I$505,U445)&amp;"","")</f>
        <v/>
      </c>
      <c r="E445" s="92" t="n"/>
      <c r="F445" s="98" t="n"/>
      <c r="G445" s="91" t="n"/>
      <c r="H445" s="93" t="str">
        <f>IF(Q445=0,"",IF(NOT(ISNUMBER(F445)),"",IF(ISNUMBER(W445),F445*W445,"UNIDADE A CONFERIR")))</f>
        <v/>
      </c>
      <c r="I445" s="91" t="n"/>
      <c r="J445" s="91" t="n"/>
      <c r="K445" s="92" t="n"/>
      <c r="L445" s="91" t="n"/>
      <c r="M445" s="91" t="n"/>
      <c r="N445" s="91" t="n"/>
      <c r="O445" s="91" t="n"/>
      <c r="P445" s="94" t="str">
        <f>IF(Q445=0,"",IF(C445="","Item de resíduo não informado",IF(T445=0,"Item inexistente (referência inválida)",IF(NOT(ISNUMBER(F445)),"Quantidade não informada",IF(F445&lt;=0,"Quantidade não positiva",IF(G445="","Unidade não informada",IF(NOT(ISNUMBER(H445)),"Unidade a conferir",IF(NOT(ISNUMBER(E445)),"Data de recebimento não informada",IF(AND(ISNUMBER(V445),N(V445)&gt;0,E445&lt;N(V445)),"Data anterior à emissão do MTR",IF(AND(J445="Sim",L445="",M445=""),"Conferido sem evidência identificada",IF(J445&lt;&gt;"Sim","Aguardando conferência",IF(INDEX('ITENS_MTR'!$AM$6:$AM$1005,S445)=1,"Conferido (ver diferença no item)","Conferido"))))))))))))</f>
        <v/>
      </c>
      <c r="Q445" s="96">
        <f>IF(COUNTA(C445,E445:G445,I445:O445)&gt;0,1,0)</f>
        <v>0</v>
      </c>
      <c r="R445" s="96" t="str">
        <f>IF(C445="","",TRIM(LEFT(C445,FIND(" |",C445&amp;" |")-1)))</f>
        <v/>
      </c>
      <c r="S445" s="96" t="str">
        <f>IF(R445="","",IFERROR(MATCH(R445,'ITENS_MTR'!$A$6:$A$1005,0),""))</f>
        <v/>
      </c>
      <c r="T445" s="96">
        <f>IF(S445="",0,IF(INDEX('ITENS_MTR'!$R$6:$R$1005,S445)=1,1,0))</f>
        <v>0</v>
      </c>
      <c r="U445" s="96" t="str">
        <f>IF(T445=1,INDEX('ITENS_MTR'!$T$6:$T$1005,S445),"")</f>
        <v/>
      </c>
      <c r="V445" s="97" t="str">
        <f>IF(N(U445)&gt;0,INDEX('MTRs'!$E$6:$E$505,U445),"")</f>
        <v/>
      </c>
      <c r="W445" s="96" t="str">
        <f>IF(G445="","",IFERROR(IF(ISNUMBER(INDEX(cfg_fac,MATCH(G445,cfg_units,0))),IF(INDEX(cfg_fac,MATCH(G445,cfg_units,0))&gt;0,INDEX(cfg_fac,MATCH(G445,cfg_units,0)),""),""),""))</f>
        <v/>
      </c>
      <c r="X445" s="96">
        <f>IF(AND(ISNUMBER(F445),ISNUMBER(H445)),IF(H445&gt;0,1,0),0)</f>
        <v>0</v>
      </c>
      <c r="Y445" s="96">
        <f>IF(Q445=0,0,IF(OR(T445=0,X445=0,NOT(ISNUMBER(E445)),AND(J445="Sim",L445="",M445=""),AND(ISNUMBER(E445),ISNUMBER(V445),N(V445)&gt;0,E445&lt;N(V445))),1,0))</f>
        <v>0</v>
      </c>
      <c r="Z445" s="96">
        <f>IF(AND(Q445=1,T445=1,X445=1,J445="Sim",OR(L445&lt;&gt;"",M445&lt;&gt;"")),1,0)</f>
        <v>0</v>
      </c>
      <c r="AA445" s="96">
        <f>IF(Q445=0,0,IF(AND(OR(r_ini="",AND(ISNUMBER(E445),E445&gt;=r_ini)),OR(r_fim="",AND(ISNUMBER(E445),E445&lt;=r_fim)),OR(r_un="",r_un="(Todas)",IF(N(U445)&gt;0,INDEX('MTRs'!$G$6:$G$505,U445),"")=r_un),OR(r_de="",r_de="(Todos)",D445=r_de)),1,0))</f>
        <v>0</v>
      </c>
      <c r="AB445" s="96" t="str">
        <f>IF(AA445=1,COUNTIF($AA$6:AA445,1),"")</f>
        <v/>
      </c>
    </row>
    <row r="446">
      <c r="A446" s="89" t="inlineStr">
        <is>
          <t>REC-000441</t>
        </is>
      </c>
      <c r="B446" s="94" t="str">
        <f>IF(T446=1,INDEX('ITENS_MTR'!$S$6:$S$1005,S446)&amp;"","")</f>
        <v/>
      </c>
      <c r="C446" s="91" t="n"/>
      <c r="D446" s="94" t="str">
        <f>IF(N(U446)&gt;0,INDEX('MTRs'!$I$6:$I$505,U446)&amp;"","")</f>
        <v/>
      </c>
      <c r="E446" s="92" t="n"/>
      <c r="F446" s="98" t="n"/>
      <c r="G446" s="91" t="n"/>
      <c r="H446" s="93" t="str">
        <f>IF(Q446=0,"",IF(NOT(ISNUMBER(F446)),"",IF(ISNUMBER(W446),F446*W446,"UNIDADE A CONFERIR")))</f>
        <v/>
      </c>
      <c r="I446" s="91" t="n"/>
      <c r="J446" s="91" t="n"/>
      <c r="K446" s="92" t="n"/>
      <c r="L446" s="91" t="n"/>
      <c r="M446" s="91" t="n"/>
      <c r="N446" s="91" t="n"/>
      <c r="O446" s="91" t="n"/>
      <c r="P446" s="94" t="str">
        <f>IF(Q446=0,"",IF(C446="","Item de resíduo não informado",IF(T446=0,"Item inexistente (referência inválida)",IF(NOT(ISNUMBER(F446)),"Quantidade não informada",IF(F446&lt;=0,"Quantidade não positiva",IF(G446="","Unidade não informada",IF(NOT(ISNUMBER(H446)),"Unidade a conferir",IF(NOT(ISNUMBER(E446)),"Data de recebimento não informada",IF(AND(ISNUMBER(V446),N(V446)&gt;0,E446&lt;N(V446)),"Data anterior à emissão do MTR",IF(AND(J446="Sim",L446="",M446=""),"Conferido sem evidência identificada",IF(J446&lt;&gt;"Sim","Aguardando conferência",IF(INDEX('ITENS_MTR'!$AM$6:$AM$1005,S446)=1,"Conferido (ver diferença no item)","Conferido"))))))))))))</f>
        <v/>
      </c>
      <c r="Q446" s="96">
        <f>IF(COUNTA(C446,E446:G446,I446:O446)&gt;0,1,0)</f>
        <v>0</v>
      </c>
      <c r="R446" s="96" t="str">
        <f>IF(C446="","",TRIM(LEFT(C446,FIND(" |",C446&amp;" |")-1)))</f>
        <v/>
      </c>
      <c r="S446" s="96" t="str">
        <f>IF(R446="","",IFERROR(MATCH(R446,'ITENS_MTR'!$A$6:$A$1005,0),""))</f>
        <v/>
      </c>
      <c r="T446" s="96">
        <f>IF(S446="",0,IF(INDEX('ITENS_MTR'!$R$6:$R$1005,S446)=1,1,0))</f>
        <v>0</v>
      </c>
      <c r="U446" s="96" t="str">
        <f>IF(T446=1,INDEX('ITENS_MTR'!$T$6:$T$1005,S446),"")</f>
        <v/>
      </c>
      <c r="V446" s="97" t="str">
        <f>IF(N(U446)&gt;0,INDEX('MTRs'!$E$6:$E$505,U446),"")</f>
        <v/>
      </c>
      <c r="W446" s="96" t="str">
        <f>IF(G446="","",IFERROR(IF(ISNUMBER(INDEX(cfg_fac,MATCH(G446,cfg_units,0))),IF(INDEX(cfg_fac,MATCH(G446,cfg_units,0))&gt;0,INDEX(cfg_fac,MATCH(G446,cfg_units,0)),""),""),""))</f>
        <v/>
      </c>
      <c r="X446" s="96">
        <f>IF(AND(ISNUMBER(F446),ISNUMBER(H446)),IF(H446&gt;0,1,0),0)</f>
        <v>0</v>
      </c>
      <c r="Y446" s="96">
        <f>IF(Q446=0,0,IF(OR(T446=0,X446=0,NOT(ISNUMBER(E446)),AND(J446="Sim",L446="",M446=""),AND(ISNUMBER(E446),ISNUMBER(V446),N(V446)&gt;0,E446&lt;N(V446))),1,0))</f>
        <v>0</v>
      </c>
      <c r="Z446" s="96">
        <f>IF(AND(Q446=1,T446=1,X446=1,J446="Sim",OR(L446&lt;&gt;"",M446&lt;&gt;"")),1,0)</f>
        <v>0</v>
      </c>
      <c r="AA446" s="96">
        <f>IF(Q446=0,0,IF(AND(OR(r_ini="",AND(ISNUMBER(E446),E446&gt;=r_ini)),OR(r_fim="",AND(ISNUMBER(E446),E446&lt;=r_fim)),OR(r_un="",r_un="(Todas)",IF(N(U446)&gt;0,INDEX('MTRs'!$G$6:$G$505,U446),"")=r_un),OR(r_de="",r_de="(Todos)",D446=r_de)),1,0))</f>
        <v>0</v>
      </c>
      <c r="AB446" s="96" t="str">
        <f>IF(AA446=1,COUNTIF($AA$6:AA446,1),"")</f>
        <v/>
      </c>
    </row>
    <row r="447">
      <c r="A447" s="89" t="inlineStr">
        <is>
          <t>REC-000442</t>
        </is>
      </c>
      <c r="B447" s="94" t="str">
        <f>IF(T447=1,INDEX('ITENS_MTR'!$S$6:$S$1005,S447)&amp;"","")</f>
        <v/>
      </c>
      <c r="C447" s="91" t="n"/>
      <c r="D447" s="94" t="str">
        <f>IF(N(U447)&gt;0,INDEX('MTRs'!$I$6:$I$505,U447)&amp;"","")</f>
        <v/>
      </c>
      <c r="E447" s="92" t="n"/>
      <c r="F447" s="98" t="n"/>
      <c r="G447" s="91" t="n"/>
      <c r="H447" s="93" t="str">
        <f>IF(Q447=0,"",IF(NOT(ISNUMBER(F447)),"",IF(ISNUMBER(W447),F447*W447,"UNIDADE A CONFERIR")))</f>
        <v/>
      </c>
      <c r="I447" s="91" t="n"/>
      <c r="J447" s="91" t="n"/>
      <c r="K447" s="92" t="n"/>
      <c r="L447" s="91" t="n"/>
      <c r="M447" s="91" t="n"/>
      <c r="N447" s="91" t="n"/>
      <c r="O447" s="91" t="n"/>
      <c r="P447" s="94" t="str">
        <f>IF(Q447=0,"",IF(C447="","Item de resíduo não informado",IF(T447=0,"Item inexistente (referência inválida)",IF(NOT(ISNUMBER(F447)),"Quantidade não informada",IF(F447&lt;=0,"Quantidade não positiva",IF(G447="","Unidade não informada",IF(NOT(ISNUMBER(H447)),"Unidade a conferir",IF(NOT(ISNUMBER(E447)),"Data de recebimento não informada",IF(AND(ISNUMBER(V447),N(V447)&gt;0,E447&lt;N(V447)),"Data anterior à emissão do MTR",IF(AND(J447="Sim",L447="",M447=""),"Conferido sem evidência identificada",IF(J447&lt;&gt;"Sim","Aguardando conferência",IF(INDEX('ITENS_MTR'!$AM$6:$AM$1005,S447)=1,"Conferido (ver diferença no item)","Conferido"))))))))))))</f>
        <v/>
      </c>
      <c r="Q447" s="96">
        <f>IF(COUNTA(C447,E447:G447,I447:O447)&gt;0,1,0)</f>
        <v>0</v>
      </c>
      <c r="R447" s="96" t="str">
        <f>IF(C447="","",TRIM(LEFT(C447,FIND(" |",C447&amp;" |")-1)))</f>
        <v/>
      </c>
      <c r="S447" s="96" t="str">
        <f>IF(R447="","",IFERROR(MATCH(R447,'ITENS_MTR'!$A$6:$A$1005,0),""))</f>
        <v/>
      </c>
      <c r="T447" s="96">
        <f>IF(S447="",0,IF(INDEX('ITENS_MTR'!$R$6:$R$1005,S447)=1,1,0))</f>
        <v>0</v>
      </c>
      <c r="U447" s="96" t="str">
        <f>IF(T447=1,INDEX('ITENS_MTR'!$T$6:$T$1005,S447),"")</f>
        <v/>
      </c>
      <c r="V447" s="97" t="str">
        <f>IF(N(U447)&gt;0,INDEX('MTRs'!$E$6:$E$505,U447),"")</f>
        <v/>
      </c>
      <c r="W447" s="96" t="str">
        <f>IF(G447="","",IFERROR(IF(ISNUMBER(INDEX(cfg_fac,MATCH(G447,cfg_units,0))),IF(INDEX(cfg_fac,MATCH(G447,cfg_units,0))&gt;0,INDEX(cfg_fac,MATCH(G447,cfg_units,0)),""),""),""))</f>
        <v/>
      </c>
      <c r="X447" s="96">
        <f>IF(AND(ISNUMBER(F447),ISNUMBER(H447)),IF(H447&gt;0,1,0),0)</f>
        <v>0</v>
      </c>
      <c r="Y447" s="96">
        <f>IF(Q447=0,0,IF(OR(T447=0,X447=0,NOT(ISNUMBER(E447)),AND(J447="Sim",L447="",M447=""),AND(ISNUMBER(E447),ISNUMBER(V447),N(V447)&gt;0,E447&lt;N(V447))),1,0))</f>
        <v>0</v>
      </c>
      <c r="Z447" s="96">
        <f>IF(AND(Q447=1,T447=1,X447=1,J447="Sim",OR(L447&lt;&gt;"",M447&lt;&gt;"")),1,0)</f>
        <v>0</v>
      </c>
      <c r="AA447" s="96">
        <f>IF(Q447=0,0,IF(AND(OR(r_ini="",AND(ISNUMBER(E447),E447&gt;=r_ini)),OR(r_fim="",AND(ISNUMBER(E447),E447&lt;=r_fim)),OR(r_un="",r_un="(Todas)",IF(N(U447)&gt;0,INDEX('MTRs'!$G$6:$G$505,U447),"")=r_un),OR(r_de="",r_de="(Todos)",D447=r_de)),1,0))</f>
        <v>0</v>
      </c>
      <c r="AB447" s="96" t="str">
        <f>IF(AA447=1,COUNTIF($AA$6:AA447,1),"")</f>
        <v/>
      </c>
    </row>
    <row r="448">
      <c r="A448" s="89" t="inlineStr">
        <is>
          <t>REC-000443</t>
        </is>
      </c>
      <c r="B448" s="94" t="str">
        <f>IF(T448=1,INDEX('ITENS_MTR'!$S$6:$S$1005,S448)&amp;"","")</f>
        <v/>
      </c>
      <c r="C448" s="91" t="n"/>
      <c r="D448" s="94" t="str">
        <f>IF(N(U448)&gt;0,INDEX('MTRs'!$I$6:$I$505,U448)&amp;"","")</f>
        <v/>
      </c>
      <c r="E448" s="92" t="n"/>
      <c r="F448" s="98" t="n"/>
      <c r="G448" s="91" t="n"/>
      <c r="H448" s="93" t="str">
        <f>IF(Q448=0,"",IF(NOT(ISNUMBER(F448)),"",IF(ISNUMBER(W448),F448*W448,"UNIDADE A CONFERIR")))</f>
        <v/>
      </c>
      <c r="I448" s="91" t="n"/>
      <c r="J448" s="91" t="n"/>
      <c r="K448" s="92" t="n"/>
      <c r="L448" s="91" t="n"/>
      <c r="M448" s="91" t="n"/>
      <c r="N448" s="91" t="n"/>
      <c r="O448" s="91" t="n"/>
      <c r="P448" s="94" t="str">
        <f>IF(Q448=0,"",IF(C448="","Item de resíduo não informado",IF(T448=0,"Item inexistente (referência inválida)",IF(NOT(ISNUMBER(F448)),"Quantidade não informada",IF(F448&lt;=0,"Quantidade não positiva",IF(G448="","Unidade não informada",IF(NOT(ISNUMBER(H448)),"Unidade a conferir",IF(NOT(ISNUMBER(E448)),"Data de recebimento não informada",IF(AND(ISNUMBER(V448),N(V448)&gt;0,E448&lt;N(V448)),"Data anterior à emissão do MTR",IF(AND(J448="Sim",L448="",M448=""),"Conferido sem evidência identificada",IF(J448&lt;&gt;"Sim","Aguardando conferência",IF(INDEX('ITENS_MTR'!$AM$6:$AM$1005,S448)=1,"Conferido (ver diferença no item)","Conferido"))))))))))))</f>
        <v/>
      </c>
      <c r="Q448" s="96">
        <f>IF(COUNTA(C448,E448:G448,I448:O448)&gt;0,1,0)</f>
        <v>0</v>
      </c>
      <c r="R448" s="96" t="str">
        <f>IF(C448="","",TRIM(LEFT(C448,FIND(" |",C448&amp;" |")-1)))</f>
        <v/>
      </c>
      <c r="S448" s="96" t="str">
        <f>IF(R448="","",IFERROR(MATCH(R448,'ITENS_MTR'!$A$6:$A$1005,0),""))</f>
        <v/>
      </c>
      <c r="T448" s="96">
        <f>IF(S448="",0,IF(INDEX('ITENS_MTR'!$R$6:$R$1005,S448)=1,1,0))</f>
        <v>0</v>
      </c>
      <c r="U448" s="96" t="str">
        <f>IF(T448=1,INDEX('ITENS_MTR'!$T$6:$T$1005,S448),"")</f>
        <v/>
      </c>
      <c r="V448" s="97" t="str">
        <f>IF(N(U448)&gt;0,INDEX('MTRs'!$E$6:$E$505,U448),"")</f>
        <v/>
      </c>
      <c r="W448" s="96" t="str">
        <f>IF(G448="","",IFERROR(IF(ISNUMBER(INDEX(cfg_fac,MATCH(G448,cfg_units,0))),IF(INDEX(cfg_fac,MATCH(G448,cfg_units,0))&gt;0,INDEX(cfg_fac,MATCH(G448,cfg_units,0)),""),""),""))</f>
        <v/>
      </c>
      <c r="X448" s="96">
        <f>IF(AND(ISNUMBER(F448),ISNUMBER(H448)),IF(H448&gt;0,1,0),0)</f>
        <v>0</v>
      </c>
      <c r="Y448" s="96">
        <f>IF(Q448=0,0,IF(OR(T448=0,X448=0,NOT(ISNUMBER(E448)),AND(J448="Sim",L448="",M448=""),AND(ISNUMBER(E448),ISNUMBER(V448),N(V448)&gt;0,E448&lt;N(V448))),1,0))</f>
        <v>0</v>
      </c>
      <c r="Z448" s="96">
        <f>IF(AND(Q448=1,T448=1,X448=1,J448="Sim",OR(L448&lt;&gt;"",M448&lt;&gt;"")),1,0)</f>
        <v>0</v>
      </c>
      <c r="AA448" s="96">
        <f>IF(Q448=0,0,IF(AND(OR(r_ini="",AND(ISNUMBER(E448),E448&gt;=r_ini)),OR(r_fim="",AND(ISNUMBER(E448),E448&lt;=r_fim)),OR(r_un="",r_un="(Todas)",IF(N(U448)&gt;0,INDEX('MTRs'!$G$6:$G$505,U448),"")=r_un),OR(r_de="",r_de="(Todos)",D448=r_de)),1,0))</f>
        <v>0</v>
      </c>
      <c r="AB448" s="96" t="str">
        <f>IF(AA448=1,COUNTIF($AA$6:AA448,1),"")</f>
        <v/>
      </c>
    </row>
    <row r="449">
      <c r="A449" s="89" t="inlineStr">
        <is>
          <t>REC-000444</t>
        </is>
      </c>
      <c r="B449" s="94" t="str">
        <f>IF(T449=1,INDEX('ITENS_MTR'!$S$6:$S$1005,S449)&amp;"","")</f>
        <v/>
      </c>
      <c r="C449" s="91" t="n"/>
      <c r="D449" s="94" t="str">
        <f>IF(N(U449)&gt;0,INDEX('MTRs'!$I$6:$I$505,U449)&amp;"","")</f>
        <v/>
      </c>
      <c r="E449" s="92" t="n"/>
      <c r="F449" s="98" t="n"/>
      <c r="G449" s="91" t="n"/>
      <c r="H449" s="93" t="str">
        <f>IF(Q449=0,"",IF(NOT(ISNUMBER(F449)),"",IF(ISNUMBER(W449),F449*W449,"UNIDADE A CONFERIR")))</f>
        <v/>
      </c>
      <c r="I449" s="91" t="n"/>
      <c r="J449" s="91" t="n"/>
      <c r="K449" s="92" t="n"/>
      <c r="L449" s="91" t="n"/>
      <c r="M449" s="91" t="n"/>
      <c r="N449" s="91" t="n"/>
      <c r="O449" s="91" t="n"/>
      <c r="P449" s="94" t="str">
        <f>IF(Q449=0,"",IF(C449="","Item de resíduo não informado",IF(T449=0,"Item inexistente (referência inválida)",IF(NOT(ISNUMBER(F449)),"Quantidade não informada",IF(F449&lt;=0,"Quantidade não positiva",IF(G449="","Unidade não informada",IF(NOT(ISNUMBER(H449)),"Unidade a conferir",IF(NOT(ISNUMBER(E449)),"Data de recebimento não informada",IF(AND(ISNUMBER(V449),N(V449)&gt;0,E449&lt;N(V449)),"Data anterior à emissão do MTR",IF(AND(J449="Sim",L449="",M449=""),"Conferido sem evidência identificada",IF(J449&lt;&gt;"Sim","Aguardando conferência",IF(INDEX('ITENS_MTR'!$AM$6:$AM$1005,S449)=1,"Conferido (ver diferença no item)","Conferido"))))))))))))</f>
        <v/>
      </c>
      <c r="Q449" s="96">
        <f>IF(COUNTA(C449,E449:G449,I449:O449)&gt;0,1,0)</f>
        <v>0</v>
      </c>
      <c r="R449" s="96" t="str">
        <f>IF(C449="","",TRIM(LEFT(C449,FIND(" |",C449&amp;" |")-1)))</f>
        <v/>
      </c>
      <c r="S449" s="96" t="str">
        <f>IF(R449="","",IFERROR(MATCH(R449,'ITENS_MTR'!$A$6:$A$1005,0),""))</f>
        <v/>
      </c>
      <c r="T449" s="96">
        <f>IF(S449="",0,IF(INDEX('ITENS_MTR'!$R$6:$R$1005,S449)=1,1,0))</f>
        <v>0</v>
      </c>
      <c r="U449" s="96" t="str">
        <f>IF(T449=1,INDEX('ITENS_MTR'!$T$6:$T$1005,S449),"")</f>
        <v/>
      </c>
      <c r="V449" s="97" t="str">
        <f>IF(N(U449)&gt;0,INDEX('MTRs'!$E$6:$E$505,U449),"")</f>
        <v/>
      </c>
      <c r="W449" s="96" t="str">
        <f>IF(G449="","",IFERROR(IF(ISNUMBER(INDEX(cfg_fac,MATCH(G449,cfg_units,0))),IF(INDEX(cfg_fac,MATCH(G449,cfg_units,0))&gt;0,INDEX(cfg_fac,MATCH(G449,cfg_units,0)),""),""),""))</f>
        <v/>
      </c>
      <c r="X449" s="96">
        <f>IF(AND(ISNUMBER(F449),ISNUMBER(H449)),IF(H449&gt;0,1,0),0)</f>
        <v>0</v>
      </c>
      <c r="Y449" s="96">
        <f>IF(Q449=0,0,IF(OR(T449=0,X449=0,NOT(ISNUMBER(E449)),AND(J449="Sim",L449="",M449=""),AND(ISNUMBER(E449),ISNUMBER(V449),N(V449)&gt;0,E449&lt;N(V449))),1,0))</f>
        <v>0</v>
      </c>
      <c r="Z449" s="96">
        <f>IF(AND(Q449=1,T449=1,X449=1,J449="Sim",OR(L449&lt;&gt;"",M449&lt;&gt;"")),1,0)</f>
        <v>0</v>
      </c>
      <c r="AA449" s="96">
        <f>IF(Q449=0,0,IF(AND(OR(r_ini="",AND(ISNUMBER(E449),E449&gt;=r_ini)),OR(r_fim="",AND(ISNUMBER(E449),E449&lt;=r_fim)),OR(r_un="",r_un="(Todas)",IF(N(U449)&gt;0,INDEX('MTRs'!$G$6:$G$505,U449),"")=r_un),OR(r_de="",r_de="(Todos)",D449=r_de)),1,0))</f>
        <v>0</v>
      </c>
      <c r="AB449" s="96" t="str">
        <f>IF(AA449=1,COUNTIF($AA$6:AA449,1),"")</f>
        <v/>
      </c>
    </row>
    <row r="450">
      <c r="A450" s="89" t="inlineStr">
        <is>
          <t>REC-000445</t>
        </is>
      </c>
      <c r="B450" s="94" t="str">
        <f>IF(T450=1,INDEX('ITENS_MTR'!$S$6:$S$1005,S450)&amp;"","")</f>
        <v/>
      </c>
      <c r="C450" s="91" t="n"/>
      <c r="D450" s="94" t="str">
        <f>IF(N(U450)&gt;0,INDEX('MTRs'!$I$6:$I$505,U450)&amp;"","")</f>
        <v/>
      </c>
      <c r="E450" s="92" t="n"/>
      <c r="F450" s="98" t="n"/>
      <c r="G450" s="91" t="n"/>
      <c r="H450" s="93" t="str">
        <f>IF(Q450=0,"",IF(NOT(ISNUMBER(F450)),"",IF(ISNUMBER(W450),F450*W450,"UNIDADE A CONFERIR")))</f>
        <v/>
      </c>
      <c r="I450" s="91" t="n"/>
      <c r="J450" s="91" t="n"/>
      <c r="K450" s="92" t="n"/>
      <c r="L450" s="91" t="n"/>
      <c r="M450" s="91" t="n"/>
      <c r="N450" s="91" t="n"/>
      <c r="O450" s="91" t="n"/>
      <c r="P450" s="94" t="str">
        <f>IF(Q450=0,"",IF(C450="","Item de resíduo não informado",IF(T450=0,"Item inexistente (referência inválida)",IF(NOT(ISNUMBER(F450)),"Quantidade não informada",IF(F450&lt;=0,"Quantidade não positiva",IF(G450="","Unidade não informada",IF(NOT(ISNUMBER(H450)),"Unidade a conferir",IF(NOT(ISNUMBER(E450)),"Data de recebimento não informada",IF(AND(ISNUMBER(V450),N(V450)&gt;0,E450&lt;N(V450)),"Data anterior à emissão do MTR",IF(AND(J450="Sim",L450="",M450=""),"Conferido sem evidência identificada",IF(J450&lt;&gt;"Sim","Aguardando conferência",IF(INDEX('ITENS_MTR'!$AM$6:$AM$1005,S450)=1,"Conferido (ver diferença no item)","Conferido"))))))))))))</f>
        <v/>
      </c>
      <c r="Q450" s="96">
        <f>IF(COUNTA(C450,E450:G450,I450:O450)&gt;0,1,0)</f>
        <v>0</v>
      </c>
      <c r="R450" s="96" t="str">
        <f>IF(C450="","",TRIM(LEFT(C450,FIND(" |",C450&amp;" |")-1)))</f>
        <v/>
      </c>
      <c r="S450" s="96" t="str">
        <f>IF(R450="","",IFERROR(MATCH(R450,'ITENS_MTR'!$A$6:$A$1005,0),""))</f>
        <v/>
      </c>
      <c r="T450" s="96">
        <f>IF(S450="",0,IF(INDEX('ITENS_MTR'!$R$6:$R$1005,S450)=1,1,0))</f>
        <v>0</v>
      </c>
      <c r="U450" s="96" t="str">
        <f>IF(T450=1,INDEX('ITENS_MTR'!$T$6:$T$1005,S450),"")</f>
        <v/>
      </c>
      <c r="V450" s="97" t="str">
        <f>IF(N(U450)&gt;0,INDEX('MTRs'!$E$6:$E$505,U450),"")</f>
        <v/>
      </c>
      <c r="W450" s="96" t="str">
        <f>IF(G450="","",IFERROR(IF(ISNUMBER(INDEX(cfg_fac,MATCH(G450,cfg_units,0))),IF(INDEX(cfg_fac,MATCH(G450,cfg_units,0))&gt;0,INDEX(cfg_fac,MATCH(G450,cfg_units,0)),""),""),""))</f>
        <v/>
      </c>
      <c r="X450" s="96">
        <f>IF(AND(ISNUMBER(F450),ISNUMBER(H450)),IF(H450&gt;0,1,0),0)</f>
        <v>0</v>
      </c>
      <c r="Y450" s="96">
        <f>IF(Q450=0,0,IF(OR(T450=0,X450=0,NOT(ISNUMBER(E450)),AND(J450="Sim",L450="",M450=""),AND(ISNUMBER(E450),ISNUMBER(V450),N(V450)&gt;0,E450&lt;N(V450))),1,0))</f>
        <v>0</v>
      </c>
      <c r="Z450" s="96">
        <f>IF(AND(Q450=1,T450=1,X450=1,J450="Sim",OR(L450&lt;&gt;"",M450&lt;&gt;"")),1,0)</f>
        <v>0</v>
      </c>
      <c r="AA450" s="96">
        <f>IF(Q450=0,0,IF(AND(OR(r_ini="",AND(ISNUMBER(E450),E450&gt;=r_ini)),OR(r_fim="",AND(ISNUMBER(E450),E450&lt;=r_fim)),OR(r_un="",r_un="(Todas)",IF(N(U450)&gt;0,INDEX('MTRs'!$G$6:$G$505,U450),"")=r_un),OR(r_de="",r_de="(Todos)",D450=r_de)),1,0))</f>
        <v>0</v>
      </c>
      <c r="AB450" s="96" t="str">
        <f>IF(AA450=1,COUNTIF($AA$6:AA450,1),"")</f>
        <v/>
      </c>
    </row>
    <row r="451">
      <c r="A451" s="89" t="inlineStr">
        <is>
          <t>REC-000446</t>
        </is>
      </c>
      <c r="B451" s="94" t="str">
        <f>IF(T451=1,INDEX('ITENS_MTR'!$S$6:$S$1005,S451)&amp;"","")</f>
        <v/>
      </c>
      <c r="C451" s="91" t="n"/>
      <c r="D451" s="94" t="str">
        <f>IF(N(U451)&gt;0,INDEX('MTRs'!$I$6:$I$505,U451)&amp;"","")</f>
        <v/>
      </c>
      <c r="E451" s="92" t="n"/>
      <c r="F451" s="98" t="n"/>
      <c r="G451" s="91" t="n"/>
      <c r="H451" s="93" t="str">
        <f>IF(Q451=0,"",IF(NOT(ISNUMBER(F451)),"",IF(ISNUMBER(W451),F451*W451,"UNIDADE A CONFERIR")))</f>
        <v/>
      </c>
      <c r="I451" s="91" t="n"/>
      <c r="J451" s="91" t="n"/>
      <c r="K451" s="92" t="n"/>
      <c r="L451" s="91" t="n"/>
      <c r="M451" s="91" t="n"/>
      <c r="N451" s="91" t="n"/>
      <c r="O451" s="91" t="n"/>
      <c r="P451" s="94" t="str">
        <f>IF(Q451=0,"",IF(C451="","Item de resíduo não informado",IF(T451=0,"Item inexistente (referência inválida)",IF(NOT(ISNUMBER(F451)),"Quantidade não informada",IF(F451&lt;=0,"Quantidade não positiva",IF(G451="","Unidade não informada",IF(NOT(ISNUMBER(H451)),"Unidade a conferir",IF(NOT(ISNUMBER(E451)),"Data de recebimento não informada",IF(AND(ISNUMBER(V451),N(V451)&gt;0,E451&lt;N(V451)),"Data anterior à emissão do MTR",IF(AND(J451="Sim",L451="",M451=""),"Conferido sem evidência identificada",IF(J451&lt;&gt;"Sim","Aguardando conferência",IF(INDEX('ITENS_MTR'!$AM$6:$AM$1005,S451)=1,"Conferido (ver diferença no item)","Conferido"))))))))))))</f>
        <v/>
      </c>
      <c r="Q451" s="96">
        <f>IF(COUNTA(C451,E451:G451,I451:O451)&gt;0,1,0)</f>
        <v>0</v>
      </c>
      <c r="R451" s="96" t="str">
        <f>IF(C451="","",TRIM(LEFT(C451,FIND(" |",C451&amp;" |")-1)))</f>
        <v/>
      </c>
      <c r="S451" s="96" t="str">
        <f>IF(R451="","",IFERROR(MATCH(R451,'ITENS_MTR'!$A$6:$A$1005,0),""))</f>
        <v/>
      </c>
      <c r="T451" s="96">
        <f>IF(S451="",0,IF(INDEX('ITENS_MTR'!$R$6:$R$1005,S451)=1,1,0))</f>
        <v>0</v>
      </c>
      <c r="U451" s="96" t="str">
        <f>IF(T451=1,INDEX('ITENS_MTR'!$T$6:$T$1005,S451),"")</f>
        <v/>
      </c>
      <c r="V451" s="97" t="str">
        <f>IF(N(U451)&gt;0,INDEX('MTRs'!$E$6:$E$505,U451),"")</f>
        <v/>
      </c>
      <c r="W451" s="96" t="str">
        <f>IF(G451="","",IFERROR(IF(ISNUMBER(INDEX(cfg_fac,MATCH(G451,cfg_units,0))),IF(INDEX(cfg_fac,MATCH(G451,cfg_units,0))&gt;0,INDEX(cfg_fac,MATCH(G451,cfg_units,0)),""),""),""))</f>
        <v/>
      </c>
      <c r="X451" s="96">
        <f>IF(AND(ISNUMBER(F451),ISNUMBER(H451)),IF(H451&gt;0,1,0),0)</f>
        <v>0</v>
      </c>
      <c r="Y451" s="96">
        <f>IF(Q451=0,0,IF(OR(T451=0,X451=0,NOT(ISNUMBER(E451)),AND(J451="Sim",L451="",M451=""),AND(ISNUMBER(E451),ISNUMBER(V451),N(V451)&gt;0,E451&lt;N(V451))),1,0))</f>
        <v>0</v>
      </c>
      <c r="Z451" s="96">
        <f>IF(AND(Q451=1,T451=1,X451=1,J451="Sim",OR(L451&lt;&gt;"",M451&lt;&gt;"")),1,0)</f>
        <v>0</v>
      </c>
      <c r="AA451" s="96">
        <f>IF(Q451=0,0,IF(AND(OR(r_ini="",AND(ISNUMBER(E451),E451&gt;=r_ini)),OR(r_fim="",AND(ISNUMBER(E451),E451&lt;=r_fim)),OR(r_un="",r_un="(Todas)",IF(N(U451)&gt;0,INDEX('MTRs'!$G$6:$G$505,U451),"")=r_un),OR(r_de="",r_de="(Todos)",D451=r_de)),1,0))</f>
        <v>0</v>
      </c>
      <c r="AB451" s="96" t="str">
        <f>IF(AA451=1,COUNTIF($AA$6:AA451,1),"")</f>
        <v/>
      </c>
    </row>
    <row r="452">
      <c r="A452" s="89" t="inlineStr">
        <is>
          <t>REC-000447</t>
        </is>
      </c>
      <c r="B452" s="94" t="str">
        <f>IF(T452=1,INDEX('ITENS_MTR'!$S$6:$S$1005,S452)&amp;"","")</f>
        <v/>
      </c>
      <c r="C452" s="91" t="n"/>
      <c r="D452" s="94" t="str">
        <f>IF(N(U452)&gt;0,INDEX('MTRs'!$I$6:$I$505,U452)&amp;"","")</f>
        <v/>
      </c>
      <c r="E452" s="92" t="n"/>
      <c r="F452" s="98" t="n"/>
      <c r="G452" s="91" t="n"/>
      <c r="H452" s="93" t="str">
        <f>IF(Q452=0,"",IF(NOT(ISNUMBER(F452)),"",IF(ISNUMBER(W452),F452*W452,"UNIDADE A CONFERIR")))</f>
        <v/>
      </c>
      <c r="I452" s="91" t="n"/>
      <c r="J452" s="91" t="n"/>
      <c r="K452" s="92" t="n"/>
      <c r="L452" s="91" t="n"/>
      <c r="M452" s="91" t="n"/>
      <c r="N452" s="91" t="n"/>
      <c r="O452" s="91" t="n"/>
      <c r="P452" s="94" t="str">
        <f>IF(Q452=0,"",IF(C452="","Item de resíduo não informado",IF(T452=0,"Item inexistente (referência inválida)",IF(NOT(ISNUMBER(F452)),"Quantidade não informada",IF(F452&lt;=0,"Quantidade não positiva",IF(G452="","Unidade não informada",IF(NOT(ISNUMBER(H452)),"Unidade a conferir",IF(NOT(ISNUMBER(E452)),"Data de recebimento não informada",IF(AND(ISNUMBER(V452),N(V452)&gt;0,E452&lt;N(V452)),"Data anterior à emissão do MTR",IF(AND(J452="Sim",L452="",M452=""),"Conferido sem evidência identificada",IF(J452&lt;&gt;"Sim","Aguardando conferência",IF(INDEX('ITENS_MTR'!$AM$6:$AM$1005,S452)=1,"Conferido (ver diferença no item)","Conferido"))))))))))))</f>
        <v/>
      </c>
      <c r="Q452" s="96">
        <f>IF(COUNTA(C452,E452:G452,I452:O452)&gt;0,1,0)</f>
        <v>0</v>
      </c>
      <c r="R452" s="96" t="str">
        <f>IF(C452="","",TRIM(LEFT(C452,FIND(" |",C452&amp;" |")-1)))</f>
        <v/>
      </c>
      <c r="S452" s="96" t="str">
        <f>IF(R452="","",IFERROR(MATCH(R452,'ITENS_MTR'!$A$6:$A$1005,0),""))</f>
        <v/>
      </c>
      <c r="T452" s="96">
        <f>IF(S452="",0,IF(INDEX('ITENS_MTR'!$R$6:$R$1005,S452)=1,1,0))</f>
        <v>0</v>
      </c>
      <c r="U452" s="96" t="str">
        <f>IF(T452=1,INDEX('ITENS_MTR'!$T$6:$T$1005,S452),"")</f>
        <v/>
      </c>
      <c r="V452" s="97" t="str">
        <f>IF(N(U452)&gt;0,INDEX('MTRs'!$E$6:$E$505,U452),"")</f>
        <v/>
      </c>
      <c r="W452" s="96" t="str">
        <f>IF(G452="","",IFERROR(IF(ISNUMBER(INDEX(cfg_fac,MATCH(G452,cfg_units,0))),IF(INDEX(cfg_fac,MATCH(G452,cfg_units,0))&gt;0,INDEX(cfg_fac,MATCH(G452,cfg_units,0)),""),""),""))</f>
        <v/>
      </c>
      <c r="X452" s="96">
        <f>IF(AND(ISNUMBER(F452),ISNUMBER(H452)),IF(H452&gt;0,1,0),0)</f>
        <v>0</v>
      </c>
      <c r="Y452" s="96">
        <f>IF(Q452=0,0,IF(OR(T452=0,X452=0,NOT(ISNUMBER(E452)),AND(J452="Sim",L452="",M452=""),AND(ISNUMBER(E452),ISNUMBER(V452),N(V452)&gt;0,E452&lt;N(V452))),1,0))</f>
        <v>0</v>
      </c>
      <c r="Z452" s="96">
        <f>IF(AND(Q452=1,T452=1,X452=1,J452="Sim",OR(L452&lt;&gt;"",M452&lt;&gt;"")),1,0)</f>
        <v>0</v>
      </c>
      <c r="AA452" s="96">
        <f>IF(Q452=0,0,IF(AND(OR(r_ini="",AND(ISNUMBER(E452),E452&gt;=r_ini)),OR(r_fim="",AND(ISNUMBER(E452),E452&lt;=r_fim)),OR(r_un="",r_un="(Todas)",IF(N(U452)&gt;0,INDEX('MTRs'!$G$6:$G$505,U452),"")=r_un),OR(r_de="",r_de="(Todos)",D452=r_de)),1,0))</f>
        <v>0</v>
      </c>
      <c r="AB452" s="96" t="str">
        <f>IF(AA452=1,COUNTIF($AA$6:AA452,1),"")</f>
        <v/>
      </c>
    </row>
    <row r="453">
      <c r="A453" s="89" t="inlineStr">
        <is>
          <t>REC-000448</t>
        </is>
      </c>
      <c r="B453" s="94" t="str">
        <f>IF(T453=1,INDEX('ITENS_MTR'!$S$6:$S$1005,S453)&amp;"","")</f>
        <v/>
      </c>
      <c r="C453" s="91" t="n"/>
      <c r="D453" s="94" t="str">
        <f>IF(N(U453)&gt;0,INDEX('MTRs'!$I$6:$I$505,U453)&amp;"","")</f>
        <v/>
      </c>
      <c r="E453" s="92" t="n"/>
      <c r="F453" s="98" t="n"/>
      <c r="G453" s="91" t="n"/>
      <c r="H453" s="93" t="str">
        <f>IF(Q453=0,"",IF(NOT(ISNUMBER(F453)),"",IF(ISNUMBER(W453),F453*W453,"UNIDADE A CONFERIR")))</f>
        <v/>
      </c>
      <c r="I453" s="91" t="n"/>
      <c r="J453" s="91" t="n"/>
      <c r="K453" s="92" t="n"/>
      <c r="L453" s="91" t="n"/>
      <c r="M453" s="91" t="n"/>
      <c r="N453" s="91" t="n"/>
      <c r="O453" s="91" t="n"/>
      <c r="P453" s="94" t="str">
        <f>IF(Q453=0,"",IF(C453="","Item de resíduo não informado",IF(T453=0,"Item inexistente (referência inválida)",IF(NOT(ISNUMBER(F453)),"Quantidade não informada",IF(F453&lt;=0,"Quantidade não positiva",IF(G453="","Unidade não informada",IF(NOT(ISNUMBER(H453)),"Unidade a conferir",IF(NOT(ISNUMBER(E453)),"Data de recebimento não informada",IF(AND(ISNUMBER(V453),N(V453)&gt;0,E453&lt;N(V453)),"Data anterior à emissão do MTR",IF(AND(J453="Sim",L453="",M453=""),"Conferido sem evidência identificada",IF(J453&lt;&gt;"Sim","Aguardando conferência",IF(INDEX('ITENS_MTR'!$AM$6:$AM$1005,S453)=1,"Conferido (ver diferença no item)","Conferido"))))))))))))</f>
        <v/>
      </c>
      <c r="Q453" s="96">
        <f>IF(COUNTA(C453,E453:G453,I453:O453)&gt;0,1,0)</f>
        <v>0</v>
      </c>
      <c r="R453" s="96" t="str">
        <f>IF(C453="","",TRIM(LEFT(C453,FIND(" |",C453&amp;" |")-1)))</f>
        <v/>
      </c>
      <c r="S453" s="96" t="str">
        <f>IF(R453="","",IFERROR(MATCH(R453,'ITENS_MTR'!$A$6:$A$1005,0),""))</f>
        <v/>
      </c>
      <c r="T453" s="96">
        <f>IF(S453="",0,IF(INDEX('ITENS_MTR'!$R$6:$R$1005,S453)=1,1,0))</f>
        <v>0</v>
      </c>
      <c r="U453" s="96" t="str">
        <f>IF(T453=1,INDEX('ITENS_MTR'!$T$6:$T$1005,S453),"")</f>
        <v/>
      </c>
      <c r="V453" s="97" t="str">
        <f>IF(N(U453)&gt;0,INDEX('MTRs'!$E$6:$E$505,U453),"")</f>
        <v/>
      </c>
      <c r="W453" s="96" t="str">
        <f>IF(G453="","",IFERROR(IF(ISNUMBER(INDEX(cfg_fac,MATCH(G453,cfg_units,0))),IF(INDEX(cfg_fac,MATCH(G453,cfg_units,0))&gt;0,INDEX(cfg_fac,MATCH(G453,cfg_units,0)),""),""),""))</f>
        <v/>
      </c>
      <c r="X453" s="96">
        <f>IF(AND(ISNUMBER(F453),ISNUMBER(H453)),IF(H453&gt;0,1,0),0)</f>
        <v>0</v>
      </c>
      <c r="Y453" s="96">
        <f>IF(Q453=0,0,IF(OR(T453=0,X453=0,NOT(ISNUMBER(E453)),AND(J453="Sim",L453="",M453=""),AND(ISNUMBER(E453),ISNUMBER(V453),N(V453)&gt;0,E453&lt;N(V453))),1,0))</f>
        <v>0</v>
      </c>
      <c r="Z453" s="96">
        <f>IF(AND(Q453=1,T453=1,X453=1,J453="Sim",OR(L453&lt;&gt;"",M453&lt;&gt;"")),1,0)</f>
        <v>0</v>
      </c>
      <c r="AA453" s="96">
        <f>IF(Q453=0,0,IF(AND(OR(r_ini="",AND(ISNUMBER(E453),E453&gt;=r_ini)),OR(r_fim="",AND(ISNUMBER(E453),E453&lt;=r_fim)),OR(r_un="",r_un="(Todas)",IF(N(U453)&gt;0,INDEX('MTRs'!$G$6:$G$505,U453),"")=r_un),OR(r_de="",r_de="(Todos)",D453=r_de)),1,0))</f>
        <v>0</v>
      </c>
      <c r="AB453" s="96" t="str">
        <f>IF(AA453=1,COUNTIF($AA$6:AA453,1),"")</f>
        <v/>
      </c>
    </row>
    <row r="454">
      <c r="A454" s="89" t="inlineStr">
        <is>
          <t>REC-000449</t>
        </is>
      </c>
      <c r="B454" s="94" t="str">
        <f>IF(T454=1,INDEX('ITENS_MTR'!$S$6:$S$1005,S454)&amp;"","")</f>
        <v/>
      </c>
      <c r="C454" s="91" t="n"/>
      <c r="D454" s="94" t="str">
        <f>IF(N(U454)&gt;0,INDEX('MTRs'!$I$6:$I$505,U454)&amp;"","")</f>
        <v/>
      </c>
      <c r="E454" s="92" t="n"/>
      <c r="F454" s="98" t="n"/>
      <c r="G454" s="91" t="n"/>
      <c r="H454" s="93" t="str">
        <f>IF(Q454=0,"",IF(NOT(ISNUMBER(F454)),"",IF(ISNUMBER(W454),F454*W454,"UNIDADE A CONFERIR")))</f>
        <v/>
      </c>
      <c r="I454" s="91" t="n"/>
      <c r="J454" s="91" t="n"/>
      <c r="K454" s="92" t="n"/>
      <c r="L454" s="91" t="n"/>
      <c r="M454" s="91" t="n"/>
      <c r="N454" s="91" t="n"/>
      <c r="O454" s="91" t="n"/>
      <c r="P454" s="94" t="str">
        <f>IF(Q454=0,"",IF(C454="","Item de resíduo não informado",IF(T454=0,"Item inexistente (referência inválida)",IF(NOT(ISNUMBER(F454)),"Quantidade não informada",IF(F454&lt;=0,"Quantidade não positiva",IF(G454="","Unidade não informada",IF(NOT(ISNUMBER(H454)),"Unidade a conferir",IF(NOT(ISNUMBER(E454)),"Data de recebimento não informada",IF(AND(ISNUMBER(V454),N(V454)&gt;0,E454&lt;N(V454)),"Data anterior à emissão do MTR",IF(AND(J454="Sim",L454="",M454=""),"Conferido sem evidência identificada",IF(J454&lt;&gt;"Sim","Aguardando conferência",IF(INDEX('ITENS_MTR'!$AM$6:$AM$1005,S454)=1,"Conferido (ver diferença no item)","Conferido"))))))))))))</f>
        <v/>
      </c>
      <c r="Q454" s="96">
        <f>IF(COUNTA(C454,E454:G454,I454:O454)&gt;0,1,0)</f>
        <v>0</v>
      </c>
      <c r="R454" s="96" t="str">
        <f>IF(C454="","",TRIM(LEFT(C454,FIND(" |",C454&amp;" |")-1)))</f>
        <v/>
      </c>
      <c r="S454" s="96" t="str">
        <f>IF(R454="","",IFERROR(MATCH(R454,'ITENS_MTR'!$A$6:$A$1005,0),""))</f>
        <v/>
      </c>
      <c r="T454" s="96">
        <f>IF(S454="",0,IF(INDEX('ITENS_MTR'!$R$6:$R$1005,S454)=1,1,0))</f>
        <v>0</v>
      </c>
      <c r="U454" s="96" t="str">
        <f>IF(T454=1,INDEX('ITENS_MTR'!$T$6:$T$1005,S454),"")</f>
        <v/>
      </c>
      <c r="V454" s="97" t="str">
        <f>IF(N(U454)&gt;0,INDEX('MTRs'!$E$6:$E$505,U454),"")</f>
        <v/>
      </c>
      <c r="W454" s="96" t="str">
        <f>IF(G454="","",IFERROR(IF(ISNUMBER(INDEX(cfg_fac,MATCH(G454,cfg_units,0))),IF(INDEX(cfg_fac,MATCH(G454,cfg_units,0))&gt;0,INDEX(cfg_fac,MATCH(G454,cfg_units,0)),""),""),""))</f>
        <v/>
      </c>
      <c r="X454" s="96">
        <f>IF(AND(ISNUMBER(F454),ISNUMBER(H454)),IF(H454&gt;0,1,0),0)</f>
        <v>0</v>
      </c>
      <c r="Y454" s="96">
        <f>IF(Q454=0,0,IF(OR(T454=0,X454=0,NOT(ISNUMBER(E454)),AND(J454="Sim",L454="",M454=""),AND(ISNUMBER(E454),ISNUMBER(V454),N(V454)&gt;0,E454&lt;N(V454))),1,0))</f>
        <v>0</v>
      </c>
      <c r="Z454" s="96">
        <f>IF(AND(Q454=1,T454=1,X454=1,J454="Sim",OR(L454&lt;&gt;"",M454&lt;&gt;"")),1,0)</f>
        <v>0</v>
      </c>
      <c r="AA454" s="96">
        <f>IF(Q454=0,0,IF(AND(OR(r_ini="",AND(ISNUMBER(E454),E454&gt;=r_ini)),OR(r_fim="",AND(ISNUMBER(E454),E454&lt;=r_fim)),OR(r_un="",r_un="(Todas)",IF(N(U454)&gt;0,INDEX('MTRs'!$G$6:$G$505,U454),"")=r_un),OR(r_de="",r_de="(Todos)",D454=r_de)),1,0))</f>
        <v>0</v>
      </c>
      <c r="AB454" s="96" t="str">
        <f>IF(AA454=1,COUNTIF($AA$6:AA454,1),"")</f>
        <v/>
      </c>
    </row>
    <row r="455">
      <c r="A455" s="89" t="inlineStr">
        <is>
          <t>REC-000450</t>
        </is>
      </c>
      <c r="B455" s="94" t="str">
        <f>IF(T455=1,INDEX('ITENS_MTR'!$S$6:$S$1005,S455)&amp;"","")</f>
        <v/>
      </c>
      <c r="C455" s="91" t="n"/>
      <c r="D455" s="94" t="str">
        <f>IF(N(U455)&gt;0,INDEX('MTRs'!$I$6:$I$505,U455)&amp;"","")</f>
        <v/>
      </c>
      <c r="E455" s="92" t="n"/>
      <c r="F455" s="98" t="n"/>
      <c r="G455" s="91" t="n"/>
      <c r="H455" s="93" t="str">
        <f>IF(Q455=0,"",IF(NOT(ISNUMBER(F455)),"",IF(ISNUMBER(W455),F455*W455,"UNIDADE A CONFERIR")))</f>
        <v/>
      </c>
      <c r="I455" s="91" t="n"/>
      <c r="J455" s="91" t="n"/>
      <c r="K455" s="92" t="n"/>
      <c r="L455" s="91" t="n"/>
      <c r="M455" s="91" t="n"/>
      <c r="N455" s="91" t="n"/>
      <c r="O455" s="91" t="n"/>
      <c r="P455" s="94" t="str">
        <f>IF(Q455=0,"",IF(C455="","Item de resíduo não informado",IF(T455=0,"Item inexistente (referência inválida)",IF(NOT(ISNUMBER(F455)),"Quantidade não informada",IF(F455&lt;=0,"Quantidade não positiva",IF(G455="","Unidade não informada",IF(NOT(ISNUMBER(H455)),"Unidade a conferir",IF(NOT(ISNUMBER(E455)),"Data de recebimento não informada",IF(AND(ISNUMBER(V455),N(V455)&gt;0,E455&lt;N(V455)),"Data anterior à emissão do MTR",IF(AND(J455="Sim",L455="",M455=""),"Conferido sem evidência identificada",IF(J455&lt;&gt;"Sim","Aguardando conferência",IF(INDEX('ITENS_MTR'!$AM$6:$AM$1005,S455)=1,"Conferido (ver diferença no item)","Conferido"))))))))))))</f>
        <v/>
      </c>
      <c r="Q455" s="96">
        <f>IF(COUNTA(C455,E455:G455,I455:O455)&gt;0,1,0)</f>
        <v>0</v>
      </c>
      <c r="R455" s="96" t="str">
        <f>IF(C455="","",TRIM(LEFT(C455,FIND(" |",C455&amp;" |")-1)))</f>
        <v/>
      </c>
      <c r="S455" s="96" t="str">
        <f>IF(R455="","",IFERROR(MATCH(R455,'ITENS_MTR'!$A$6:$A$1005,0),""))</f>
        <v/>
      </c>
      <c r="T455" s="96">
        <f>IF(S455="",0,IF(INDEX('ITENS_MTR'!$R$6:$R$1005,S455)=1,1,0))</f>
        <v>0</v>
      </c>
      <c r="U455" s="96" t="str">
        <f>IF(T455=1,INDEX('ITENS_MTR'!$T$6:$T$1005,S455),"")</f>
        <v/>
      </c>
      <c r="V455" s="97" t="str">
        <f>IF(N(U455)&gt;0,INDEX('MTRs'!$E$6:$E$505,U455),"")</f>
        <v/>
      </c>
      <c r="W455" s="96" t="str">
        <f>IF(G455="","",IFERROR(IF(ISNUMBER(INDEX(cfg_fac,MATCH(G455,cfg_units,0))),IF(INDEX(cfg_fac,MATCH(G455,cfg_units,0))&gt;0,INDEX(cfg_fac,MATCH(G455,cfg_units,0)),""),""),""))</f>
        <v/>
      </c>
      <c r="X455" s="96">
        <f>IF(AND(ISNUMBER(F455),ISNUMBER(H455)),IF(H455&gt;0,1,0),0)</f>
        <v>0</v>
      </c>
      <c r="Y455" s="96">
        <f>IF(Q455=0,0,IF(OR(T455=0,X455=0,NOT(ISNUMBER(E455)),AND(J455="Sim",L455="",M455=""),AND(ISNUMBER(E455),ISNUMBER(V455),N(V455)&gt;0,E455&lt;N(V455))),1,0))</f>
        <v>0</v>
      </c>
      <c r="Z455" s="96">
        <f>IF(AND(Q455=1,T455=1,X455=1,J455="Sim",OR(L455&lt;&gt;"",M455&lt;&gt;"")),1,0)</f>
        <v>0</v>
      </c>
      <c r="AA455" s="96">
        <f>IF(Q455=0,0,IF(AND(OR(r_ini="",AND(ISNUMBER(E455),E455&gt;=r_ini)),OR(r_fim="",AND(ISNUMBER(E455),E455&lt;=r_fim)),OR(r_un="",r_un="(Todas)",IF(N(U455)&gt;0,INDEX('MTRs'!$G$6:$G$505,U455),"")=r_un),OR(r_de="",r_de="(Todos)",D455=r_de)),1,0))</f>
        <v>0</v>
      </c>
      <c r="AB455" s="96" t="str">
        <f>IF(AA455=1,COUNTIF($AA$6:AA455,1),"")</f>
        <v/>
      </c>
    </row>
    <row r="456">
      <c r="A456" s="89" t="inlineStr">
        <is>
          <t>REC-000451</t>
        </is>
      </c>
      <c r="B456" s="94" t="str">
        <f>IF(T456=1,INDEX('ITENS_MTR'!$S$6:$S$1005,S456)&amp;"","")</f>
        <v/>
      </c>
      <c r="C456" s="91" t="n"/>
      <c r="D456" s="94" t="str">
        <f>IF(N(U456)&gt;0,INDEX('MTRs'!$I$6:$I$505,U456)&amp;"","")</f>
        <v/>
      </c>
      <c r="E456" s="92" t="n"/>
      <c r="F456" s="98" t="n"/>
      <c r="G456" s="91" t="n"/>
      <c r="H456" s="93" t="str">
        <f>IF(Q456=0,"",IF(NOT(ISNUMBER(F456)),"",IF(ISNUMBER(W456),F456*W456,"UNIDADE A CONFERIR")))</f>
        <v/>
      </c>
      <c r="I456" s="91" t="n"/>
      <c r="J456" s="91" t="n"/>
      <c r="K456" s="92" t="n"/>
      <c r="L456" s="91" t="n"/>
      <c r="M456" s="91" t="n"/>
      <c r="N456" s="91" t="n"/>
      <c r="O456" s="91" t="n"/>
      <c r="P456" s="94" t="str">
        <f>IF(Q456=0,"",IF(C456="","Item de resíduo não informado",IF(T456=0,"Item inexistente (referência inválida)",IF(NOT(ISNUMBER(F456)),"Quantidade não informada",IF(F456&lt;=0,"Quantidade não positiva",IF(G456="","Unidade não informada",IF(NOT(ISNUMBER(H456)),"Unidade a conferir",IF(NOT(ISNUMBER(E456)),"Data de recebimento não informada",IF(AND(ISNUMBER(V456),N(V456)&gt;0,E456&lt;N(V456)),"Data anterior à emissão do MTR",IF(AND(J456="Sim",L456="",M456=""),"Conferido sem evidência identificada",IF(J456&lt;&gt;"Sim","Aguardando conferência",IF(INDEX('ITENS_MTR'!$AM$6:$AM$1005,S456)=1,"Conferido (ver diferença no item)","Conferido"))))))))))))</f>
        <v/>
      </c>
      <c r="Q456" s="96">
        <f>IF(COUNTA(C456,E456:G456,I456:O456)&gt;0,1,0)</f>
        <v>0</v>
      </c>
      <c r="R456" s="96" t="str">
        <f>IF(C456="","",TRIM(LEFT(C456,FIND(" |",C456&amp;" |")-1)))</f>
        <v/>
      </c>
      <c r="S456" s="96" t="str">
        <f>IF(R456="","",IFERROR(MATCH(R456,'ITENS_MTR'!$A$6:$A$1005,0),""))</f>
        <v/>
      </c>
      <c r="T456" s="96">
        <f>IF(S456="",0,IF(INDEX('ITENS_MTR'!$R$6:$R$1005,S456)=1,1,0))</f>
        <v>0</v>
      </c>
      <c r="U456" s="96" t="str">
        <f>IF(T456=1,INDEX('ITENS_MTR'!$T$6:$T$1005,S456),"")</f>
        <v/>
      </c>
      <c r="V456" s="97" t="str">
        <f>IF(N(U456)&gt;0,INDEX('MTRs'!$E$6:$E$505,U456),"")</f>
        <v/>
      </c>
      <c r="W456" s="96" t="str">
        <f>IF(G456="","",IFERROR(IF(ISNUMBER(INDEX(cfg_fac,MATCH(G456,cfg_units,0))),IF(INDEX(cfg_fac,MATCH(G456,cfg_units,0))&gt;0,INDEX(cfg_fac,MATCH(G456,cfg_units,0)),""),""),""))</f>
        <v/>
      </c>
      <c r="X456" s="96">
        <f>IF(AND(ISNUMBER(F456),ISNUMBER(H456)),IF(H456&gt;0,1,0),0)</f>
        <v>0</v>
      </c>
      <c r="Y456" s="96">
        <f>IF(Q456=0,0,IF(OR(T456=0,X456=0,NOT(ISNUMBER(E456)),AND(J456="Sim",L456="",M456=""),AND(ISNUMBER(E456),ISNUMBER(V456),N(V456)&gt;0,E456&lt;N(V456))),1,0))</f>
        <v>0</v>
      </c>
      <c r="Z456" s="96">
        <f>IF(AND(Q456=1,T456=1,X456=1,J456="Sim",OR(L456&lt;&gt;"",M456&lt;&gt;"")),1,0)</f>
        <v>0</v>
      </c>
      <c r="AA456" s="96">
        <f>IF(Q456=0,0,IF(AND(OR(r_ini="",AND(ISNUMBER(E456),E456&gt;=r_ini)),OR(r_fim="",AND(ISNUMBER(E456),E456&lt;=r_fim)),OR(r_un="",r_un="(Todas)",IF(N(U456)&gt;0,INDEX('MTRs'!$G$6:$G$505,U456),"")=r_un),OR(r_de="",r_de="(Todos)",D456=r_de)),1,0))</f>
        <v>0</v>
      </c>
      <c r="AB456" s="96" t="str">
        <f>IF(AA456=1,COUNTIF($AA$6:AA456,1),"")</f>
        <v/>
      </c>
    </row>
    <row r="457">
      <c r="A457" s="89" t="inlineStr">
        <is>
          <t>REC-000452</t>
        </is>
      </c>
      <c r="B457" s="94" t="str">
        <f>IF(T457=1,INDEX('ITENS_MTR'!$S$6:$S$1005,S457)&amp;"","")</f>
        <v/>
      </c>
      <c r="C457" s="91" t="n"/>
      <c r="D457" s="94" t="str">
        <f>IF(N(U457)&gt;0,INDEX('MTRs'!$I$6:$I$505,U457)&amp;"","")</f>
        <v/>
      </c>
      <c r="E457" s="92" t="n"/>
      <c r="F457" s="98" t="n"/>
      <c r="G457" s="91" t="n"/>
      <c r="H457" s="93" t="str">
        <f>IF(Q457=0,"",IF(NOT(ISNUMBER(F457)),"",IF(ISNUMBER(W457),F457*W457,"UNIDADE A CONFERIR")))</f>
        <v/>
      </c>
      <c r="I457" s="91" t="n"/>
      <c r="J457" s="91" t="n"/>
      <c r="K457" s="92" t="n"/>
      <c r="L457" s="91" t="n"/>
      <c r="M457" s="91" t="n"/>
      <c r="N457" s="91" t="n"/>
      <c r="O457" s="91" t="n"/>
      <c r="P457" s="94" t="str">
        <f>IF(Q457=0,"",IF(C457="","Item de resíduo não informado",IF(T457=0,"Item inexistente (referência inválida)",IF(NOT(ISNUMBER(F457)),"Quantidade não informada",IF(F457&lt;=0,"Quantidade não positiva",IF(G457="","Unidade não informada",IF(NOT(ISNUMBER(H457)),"Unidade a conferir",IF(NOT(ISNUMBER(E457)),"Data de recebimento não informada",IF(AND(ISNUMBER(V457),N(V457)&gt;0,E457&lt;N(V457)),"Data anterior à emissão do MTR",IF(AND(J457="Sim",L457="",M457=""),"Conferido sem evidência identificada",IF(J457&lt;&gt;"Sim","Aguardando conferência",IF(INDEX('ITENS_MTR'!$AM$6:$AM$1005,S457)=1,"Conferido (ver diferença no item)","Conferido"))))))))))))</f>
        <v/>
      </c>
      <c r="Q457" s="96">
        <f>IF(COUNTA(C457,E457:G457,I457:O457)&gt;0,1,0)</f>
        <v>0</v>
      </c>
      <c r="R457" s="96" t="str">
        <f>IF(C457="","",TRIM(LEFT(C457,FIND(" |",C457&amp;" |")-1)))</f>
        <v/>
      </c>
      <c r="S457" s="96" t="str">
        <f>IF(R457="","",IFERROR(MATCH(R457,'ITENS_MTR'!$A$6:$A$1005,0),""))</f>
        <v/>
      </c>
      <c r="T457" s="96">
        <f>IF(S457="",0,IF(INDEX('ITENS_MTR'!$R$6:$R$1005,S457)=1,1,0))</f>
        <v>0</v>
      </c>
      <c r="U457" s="96" t="str">
        <f>IF(T457=1,INDEX('ITENS_MTR'!$T$6:$T$1005,S457),"")</f>
        <v/>
      </c>
      <c r="V457" s="97" t="str">
        <f>IF(N(U457)&gt;0,INDEX('MTRs'!$E$6:$E$505,U457),"")</f>
        <v/>
      </c>
      <c r="W457" s="96" t="str">
        <f>IF(G457="","",IFERROR(IF(ISNUMBER(INDEX(cfg_fac,MATCH(G457,cfg_units,0))),IF(INDEX(cfg_fac,MATCH(G457,cfg_units,0))&gt;0,INDEX(cfg_fac,MATCH(G457,cfg_units,0)),""),""),""))</f>
        <v/>
      </c>
      <c r="X457" s="96">
        <f>IF(AND(ISNUMBER(F457),ISNUMBER(H457)),IF(H457&gt;0,1,0),0)</f>
        <v>0</v>
      </c>
      <c r="Y457" s="96">
        <f>IF(Q457=0,0,IF(OR(T457=0,X457=0,NOT(ISNUMBER(E457)),AND(J457="Sim",L457="",M457=""),AND(ISNUMBER(E457),ISNUMBER(V457),N(V457)&gt;0,E457&lt;N(V457))),1,0))</f>
        <v>0</v>
      </c>
      <c r="Z457" s="96">
        <f>IF(AND(Q457=1,T457=1,X457=1,J457="Sim",OR(L457&lt;&gt;"",M457&lt;&gt;"")),1,0)</f>
        <v>0</v>
      </c>
      <c r="AA457" s="96">
        <f>IF(Q457=0,0,IF(AND(OR(r_ini="",AND(ISNUMBER(E457),E457&gt;=r_ini)),OR(r_fim="",AND(ISNUMBER(E457),E457&lt;=r_fim)),OR(r_un="",r_un="(Todas)",IF(N(U457)&gt;0,INDEX('MTRs'!$G$6:$G$505,U457),"")=r_un),OR(r_de="",r_de="(Todos)",D457=r_de)),1,0))</f>
        <v>0</v>
      </c>
      <c r="AB457" s="96" t="str">
        <f>IF(AA457=1,COUNTIF($AA$6:AA457,1),"")</f>
        <v/>
      </c>
    </row>
    <row r="458">
      <c r="A458" s="89" t="inlineStr">
        <is>
          <t>REC-000453</t>
        </is>
      </c>
      <c r="B458" s="94" t="str">
        <f>IF(T458=1,INDEX('ITENS_MTR'!$S$6:$S$1005,S458)&amp;"","")</f>
        <v/>
      </c>
      <c r="C458" s="91" t="n"/>
      <c r="D458" s="94" t="str">
        <f>IF(N(U458)&gt;0,INDEX('MTRs'!$I$6:$I$505,U458)&amp;"","")</f>
        <v/>
      </c>
      <c r="E458" s="92" t="n"/>
      <c r="F458" s="98" t="n"/>
      <c r="G458" s="91" t="n"/>
      <c r="H458" s="93" t="str">
        <f>IF(Q458=0,"",IF(NOT(ISNUMBER(F458)),"",IF(ISNUMBER(W458),F458*W458,"UNIDADE A CONFERIR")))</f>
        <v/>
      </c>
      <c r="I458" s="91" t="n"/>
      <c r="J458" s="91" t="n"/>
      <c r="K458" s="92" t="n"/>
      <c r="L458" s="91" t="n"/>
      <c r="M458" s="91" t="n"/>
      <c r="N458" s="91" t="n"/>
      <c r="O458" s="91" t="n"/>
      <c r="P458" s="94" t="str">
        <f>IF(Q458=0,"",IF(C458="","Item de resíduo não informado",IF(T458=0,"Item inexistente (referência inválida)",IF(NOT(ISNUMBER(F458)),"Quantidade não informada",IF(F458&lt;=0,"Quantidade não positiva",IF(G458="","Unidade não informada",IF(NOT(ISNUMBER(H458)),"Unidade a conferir",IF(NOT(ISNUMBER(E458)),"Data de recebimento não informada",IF(AND(ISNUMBER(V458),N(V458)&gt;0,E458&lt;N(V458)),"Data anterior à emissão do MTR",IF(AND(J458="Sim",L458="",M458=""),"Conferido sem evidência identificada",IF(J458&lt;&gt;"Sim","Aguardando conferência",IF(INDEX('ITENS_MTR'!$AM$6:$AM$1005,S458)=1,"Conferido (ver diferença no item)","Conferido"))))))))))))</f>
        <v/>
      </c>
      <c r="Q458" s="96">
        <f>IF(COUNTA(C458,E458:G458,I458:O458)&gt;0,1,0)</f>
        <v>0</v>
      </c>
      <c r="R458" s="96" t="str">
        <f>IF(C458="","",TRIM(LEFT(C458,FIND(" |",C458&amp;" |")-1)))</f>
        <v/>
      </c>
      <c r="S458" s="96" t="str">
        <f>IF(R458="","",IFERROR(MATCH(R458,'ITENS_MTR'!$A$6:$A$1005,0),""))</f>
        <v/>
      </c>
      <c r="T458" s="96">
        <f>IF(S458="",0,IF(INDEX('ITENS_MTR'!$R$6:$R$1005,S458)=1,1,0))</f>
        <v>0</v>
      </c>
      <c r="U458" s="96" t="str">
        <f>IF(T458=1,INDEX('ITENS_MTR'!$T$6:$T$1005,S458),"")</f>
        <v/>
      </c>
      <c r="V458" s="97" t="str">
        <f>IF(N(U458)&gt;0,INDEX('MTRs'!$E$6:$E$505,U458),"")</f>
        <v/>
      </c>
      <c r="W458" s="96" t="str">
        <f>IF(G458="","",IFERROR(IF(ISNUMBER(INDEX(cfg_fac,MATCH(G458,cfg_units,0))),IF(INDEX(cfg_fac,MATCH(G458,cfg_units,0))&gt;0,INDEX(cfg_fac,MATCH(G458,cfg_units,0)),""),""),""))</f>
        <v/>
      </c>
      <c r="X458" s="96">
        <f>IF(AND(ISNUMBER(F458),ISNUMBER(H458)),IF(H458&gt;0,1,0),0)</f>
        <v>0</v>
      </c>
      <c r="Y458" s="96">
        <f>IF(Q458=0,0,IF(OR(T458=0,X458=0,NOT(ISNUMBER(E458)),AND(J458="Sim",L458="",M458=""),AND(ISNUMBER(E458),ISNUMBER(V458),N(V458)&gt;0,E458&lt;N(V458))),1,0))</f>
        <v>0</v>
      </c>
      <c r="Z458" s="96">
        <f>IF(AND(Q458=1,T458=1,X458=1,J458="Sim",OR(L458&lt;&gt;"",M458&lt;&gt;"")),1,0)</f>
        <v>0</v>
      </c>
      <c r="AA458" s="96">
        <f>IF(Q458=0,0,IF(AND(OR(r_ini="",AND(ISNUMBER(E458),E458&gt;=r_ini)),OR(r_fim="",AND(ISNUMBER(E458),E458&lt;=r_fim)),OR(r_un="",r_un="(Todas)",IF(N(U458)&gt;0,INDEX('MTRs'!$G$6:$G$505,U458),"")=r_un),OR(r_de="",r_de="(Todos)",D458=r_de)),1,0))</f>
        <v>0</v>
      </c>
      <c r="AB458" s="96" t="str">
        <f>IF(AA458=1,COUNTIF($AA$6:AA458,1),"")</f>
        <v/>
      </c>
    </row>
    <row r="459">
      <c r="A459" s="89" t="inlineStr">
        <is>
          <t>REC-000454</t>
        </is>
      </c>
      <c r="B459" s="94" t="str">
        <f>IF(T459=1,INDEX('ITENS_MTR'!$S$6:$S$1005,S459)&amp;"","")</f>
        <v/>
      </c>
      <c r="C459" s="91" t="n"/>
      <c r="D459" s="94" t="str">
        <f>IF(N(U459)&gt;0,INDEX('MTRs'!$I$6:$I$505,U459)&amp;"","")</f>
        <v/>
      </c>
      <c r="E459" s="92" t="n"/>
      <c r="F459" s="98" t="n"/>
      <c r="G459" s="91" t="n"/>
      <c r="H459" s="93" t="str">
        <f>IF(Q459=0,"",IF(NOT(ISNUMBER(F459)),"",IF(ISNUMBER(W459),F459*W459,"UNIDADE A CONFERIR")))</f>
        <v/>
      </c>
      <c r="I459" s="91" t="n"/>
      <c r="J459" s="91" t="n"/>
      <c r="K459" s="92" t="n"/>
      <c r="L459" s="91" t="n"/>
      <c r="M459" s="91" t="n"/>
      <c r="N459" s="91" t="n"/>
      <c r="O459" s="91" t="n"/>
      <c r="P459" s="94" t="str">
        <f>IF(Q459=0,"",IF(C459="","Item de resíduo não informado",IF(T459=0,"Item inexistente (referência inválida)",IF(NOT(ISNUMBER(F459)),"Quantidade não informada",IF(F459&lt;=0,"Quantidade não positiva",IF(G459="","Unidade não informada",IF(NOT(ISNUMBER(H459)),"Unidade a conferir",IF(NOT(ISNUMBER(E459)),"Data de recebimento não informada",IF(AND(ISNUMBER(V459),N(V459)&gt;0,E459&lt;N(V459)),"Data anterior à emissão do MTR",IF(AND(J459="Sim",L459="",M459=""),"Conferido sem evidência identificada",IF(J459&lt;&gt;"Sim","Aguardando conferência",IF(INDEX('ITENS_MTR'!$AM$6:$AM$1005,S459)=1,"Conferido (ver diferença no item)","Conferido"))))))))))))</f>
        <v/>
      </c>
      <c r="Q459" s="96">
        <f>IF(COUNTA(C459,E459:G459,I459:O459)&gt;0,1,0)</f>
        <v>0</v>
      </c>
      <c r="R459" s="96" t="str">
        <f>IF(C459="","",TRIM(LEFT(C459,FIND(" |",C459&amp;" |")-1)))</f>
        <v/>
      </c>
      <c r="S459" s="96" t="str">
        <f>IF(R459="","",IFERROR(MATCH(R459,'ITENS_MTR'!$A$6:$A$1005,0),""))</f>
        <v/>
      </c>
      <c r="T459" s="96">
        <f>IF(S459="",0,IF(INDEX('ITENS_MTR'!$R$6:$R$1005,S459)=1,1,0))</f>
        <v>0</v>
      </c>
      <c r="U459" s="96" t="str">
        <f>IF(T459=1,INDEX('ITENS_MTR'!$T$6:$T$1005,S459),"")</f>
        <v/>
      </c>
      <c r="V459" s="97" t="str">
        <f>IF(N(U459)&gt;0,INDEX('MTRs'!$E$6:$E$505,U459),"")</f>
        <v/>
      </c>
      <c r="W459" s="96" t="str">
        <f>IF(G459="","",IFERROR(IF(ISNUMBER(INDEX(cfg_fac,MATCH(G459,cfg_units,0))),IF(INDEX(cfg_fac,MATCH(G459,cfg_units,0))&gt;0,INDEX(cfg_fac,MATCH(G459,cfg_units,0)),""),""),""))</f>
        <v/>
      </c>
      <c r="X459" s="96">
        <f>IF(AND(ISNUMBER(F459),ISNUMBER(H459)),IF(H459&gt;0,1,0),0)</f>
        <v>0</v>
      </c>
      <c r="Y459" s="96">
        <f>IF(Q459=0,0,IF(OR(T459=0,X459=0,NOT(ISNUMBER(E459)),AND(J459="Sim",L459="",M459=""),AND(ISNUMBER(E459),ISNUMBER(V459),N(V459)&gt;0,E459&lt;N(V459))),1,0))</f>
        <v>0</v>
      </c>
      <c r="Z459" s="96">
        <f>IF(AND(Q459=1,T459=1,X459=1,J459="Sim",OR(L459&lt;&gt;"",M459&lt;&gt;"")),1,0)</f>
        <v>0</v>
      </c>
      <c r="AA459" s="96">
        <f>IF(Q459=0,0,IF(AND(OR(r_ini="",AND(ISNUMBER(E459),E459&gt;=r_ini)),OR(r_fim="",AND(ISNUMBER(E459),E459&lt;=r_fim)),OR(r_un="",r_un="(Todas)",IF(N(U459)&gt;0,INDEX('MTRs'!$G$6:$G$505,U459),"")=r_un),OR(r_de="",r_de="(Todos)",D459=r_de)),1,0))</f>
        <v>0</v>
      </c>
      <c r="AB459" s="96" t="str">
        <f>IF(AA459=1,COUNTIF($AA$6:AA459,1),"")</f>
        <v/>
      </c>
    </row>
    <row r="460">
      <c r="A460" s="89" t="inlineStr">
        <is>
          <t>REC-000455</t>
        </is>
      </c>
      <c r="B460" s="94" t="str">
        <f>IF(T460=1,INDEX('ITENS_MTR'!$S$6:$S$1005,S460)&amp;"","")</f>
        <v/>
      </c>
      <c r="C460" s="91" t="n"/>
      <c r="D460" s="94" t="str">
        <f>IF(N(U460)&gt;0,INDEX('MTRs'!$I$6:$I$505,U460)&amp;"","")</f>
        <v/>
      </c>
      <c r="E460" s="92" t="n"/>
      <c r="F460" s="98" t="n"/>
      <c r="G460" s="91" t="n"/>
      <c r="H460" s="93" t="str">
        <f>IF(Q460=0,"",IF(NOT(ISNUMBER(F460)),"",IF(ISNUMBER(W460),F460*W460,"UNIDADE A CONFERIR")))</f>
        <v/>
      </c>
      <c r="I460" s="91" t="n"/>
      <c r="J460" s="91" t="n"/>
      <c r="K460" s="92" t="n"/>
      <c r="L460" s="91" t="n"/>
      <c r="M460" s="91" t="n"/>
      <c r="N460" s="91" t="n"/>
      <c r="O460" s="91" t="n"/>
      <c r="P460" s="94" t="str">
        <f>IF(Q460=0,"",IF(C460="","Item de resíduo não informado",IF(T460=0,"Item inexistente (referência inválida)",IF(NOT(ISNUMBER(F460)),"Quantidade não informada",IF(F460&lt;=0,"Quantidade não positiva",IF(G460="","Unidade não informada",IF(NOT(ISNUMBER(H460)),"Unidade a conferir",IF(NOT(ISNUMBER(E460)),"Data de recebimento não informada",IF(AND(ISNUMBER(V460),N(V460)&gt;0,E460&lt;N(V460)),"Data anterior à emissão do MTR",IF(AND(J460="Sim",L460="",M460=""),"Conferido sem evidência identificada",IF(J460&lt;&gt;"Sim","Aguardando conferência",IF(INDEX('ITENS_MTR'!$AM$6:$AM$1005,S460)=1,"Conferido (ver diferença no item)","Conferido"))))))))))))</f>
        <v/>
      </c>
      <c r="Q460" s="96">
        <f>IF(COUNTA(C460,E460:G460,I460:O460)&gt;0,1,0)</f>
        <v>0</v>
      </c>
      <c r="R460" s="96" t="str">
        <f>IF(C460="","",TRIM(LEFT(C460,FIND(" |",C460&amp;" |")-1)))</f>
        <v/>
      </c>
      <c r="S460" s="96" t="str">
        <f>IF(R460="","",IFERROR(MATCH(R460,'ITENS_MTR'!$A$6:$A$1005,0),""))</f>
        <v/>
      </c>
      <c r="T460" s="96">
        <f>IF(S460="",0,IF(INDEX('ITENS_MTR'!$R$6:$R$1005,S460)=1,1,0))</f>
        <v>0</v>
      </c>
      <c r="U460" s="96" t="str">
        <f>IF(T460=1,INDEX('ITENS_MTR'!$T$6:$T$1005,S460),"")</f>
        <v/>
      </c>
      <c r="V460" s="97" t="str">
        <f>IF(N(U460)&gt;0,INDEX('MTRs'!$E$6:$E$505,U460),"")</f>
        <v/>
      </c>
      <c r="W460" s="96" t="str">
        <f>IF(G460="","",IFERROR(IF(ISNUMBER(INDEX(cfg_fac,MATCH(G460,cfg_units,0))),IF(INDEX(cfg_fac,MATCH(G460,cfg_units,0))&gt;0,INDEX(cfg_fac,MATCH(G460,cfg_units,0)),""),""),""))</f>
        <v/>
      </c>
      <c r="X460" s="96">
        <f>IF(AND(ISNUMBER(F460),ISNUMBER(H460)),IF(H460&gt;0,1,0),0)</f>
        <v>0</v>
      </c>
      <c r="Y460" s="96">
        <f>IF(Q460=0,0,IF(OR(T460=0,X460=0,NOT(ISNUMBER(E460)),AND(J460="Sim",L460="",M460=""),AND(ISNUMBER(E460),ISNUMBER(V460),N(V460)&gt;0,E460&lt;N(V460))),1,0))</f>
        <v>0</v>
      </c>
      <c r="Z460" s="96">
        <f>IF(AND(Q460=1,T460=1,X460=1,J460="Sim",OR(L460&lt;&gt;"",M460&lt;&gt;"")),1,0)</f>
        <v>0</v>
      </c>
      <c r="AA460" s="96">
        <f>IF(Q460=0,0,IF(AND(OR(r_ini="",AND(ISNUMBER(E460),E460&gt;=r_ini)),OR(r_fim="",AND(ISNUMBER(E460),E460&lt;=r_fim)),OR(r_un="",r_un="(Todas)",IF(N(U460)&gt;0,INDEX('MTRs'!$G$6:$G$505,U460),"")=r_un),OR(r_de="",r_de="(Todos)",D460=r_de)),1,0))</f>
        <v>0</v>
      </c>
      <c r="AB460" s="96" t="str">
        <f>IF(AA460=1,COUNTIF($AA$6:AA460,1),"")</f>
        <v/>
      </c>
    </row>
    <row r="461">
      <c r="A461" s="89" t="inlineStr">
        <is>
          <t>REC-000456</t>
        </is>
      </c>
      <c r="B461" s="94" t="str">
        <f>IF(T461=1,INDEX('ITENS_MTR'!$S$6:$S$1005,S461)&amp;"","")</f>
        <v/>
      </c>
      <c r="C461" s="91" t="n"/>
      <c r="D461" s="94" t="str">
        <f>IF(N(U461)&gt;0,INDEX('MTRs'!$I$6:$I$505,U461)&amp;"","")</f>
        <v/>
      </c>
      <c r="E461" s="92" t="n"/>
      <c r="F461" s="98" t="n"/>
      <c r="G461" s="91" t="n"/>
      <c r="H461" s="93" t="str">
        <f>IF(Q461=0,"",IF(NOT(ISNUMBER(F461)),"",IF(ISNUMBER(W461),F461*W461,"UNIDADE A CONFERIR")))</f>
        <v/>
      </c>
      <c r="I461" s="91" t="n"/>
      <c r="J461" s="91" t="n"/>
      <c r="K461" s="92" t="n"/>
      <c r="L461" s="91" t="n"/>
      <c r="M461" s="91" t="n"/>
      <c r="N461" s="91" t="n"/>
      <c r="O461" s="91" t="n"/>
      <c r="P461" s="94" t="str">
        <f>IF(Q461=0,"",IF(C461="","Item de resíduo não informado",IF(T461=0,"Item inexistente (referência inválida)",IF(NOT(ISNUMBER(F461)),"Quantidade não informada",IF(F461&lt;=0,"Quantidade não positiva",IF(G461="","Unidade não informada",IF(NOT(ISNUMBER(H461)),"Unidade a conferir",IF(NOT(ISNUMBER(E461)),"Data de recebimento não informada",IF(AND(ISNUMBER(V461),N(V461)&gt;0,E461&lt;N(V461)),"Data anterior à emissão do MTR",IF(AND(J461="Sim",L461="",M461=""),"Conferido sem evidência identificada",IF(J461&lt;&gt;"Sim","Aguardando conferência",IF(INDEX('ITENS_MTR'!$AM$6:$AM$1005,S461)=1,"Conferido (ver diferença no item)","Conferido"))))))))))))</f>
        <v/>
      </c>
      <c r="Q461" s="96">
        <f>IF(COUNTA(C461,E461:G461,I461:O461)&gt;0,1,0)</f>
        <v>0</v>
      </c>
      <c r="R461" s="96" t="str">
        <f>IF(C461="","",TRIM(LEFT(C461,FIND(" |",C461&amp;" |")-1)))</f>
        <v/>
      </c>
      <c r="S461" s="96" t="str">
        <f>IF(R461="","",IFERROR(MATCH(R461,'ITENS_MTR'!$A$6:$A$1005,0),""))</f>
        <v/>
      </c>
      <c r="T461" s="96">
        <f>IF(S461="",0,IF(INDEX('ITENS_MTR'!$R$6:$R$1005,S461)=1,1,0))</f>
        <v>0</v>
      </c>
      <c r="U461" s="96" t="str">
        <f>IF(T461=1,INDEX('ITENS_MTR'!$T$6:$T$1005,S461),"")</f>
        <v/>
      </c>
      <c r="V461" s="97" t="str">
        <f>IF(N(U461)&gt;0,INDEX('MTRs'!$E$6:$E$505,U461),"")</f>
        <v/>
      </c>
      <c r="W461" s="96" t="str">
        <f>IF(G461="","",IFERROR(IF(ISNUMBER(INDEX(cfg_fac,MATCH(G461,cfg_units,0))),IF(INDEX(cfg_fac,MATCH(G461,cfg_units,0))&gt;0,INDEX(cfg_fac,MATCH(G461,cfg_units,0)),""),""),""))</f>
        <v/>
      </c>
      <c r="X461" s="96">
        <f>IF(AND(ISNUMBER(F461),ISNUMBER(H461)),IF(H461&gt;0,1,0),0)</f>
        <v>0</v>
      </c>
      <c r="Y461" s="96">
        <f>IF(Q461=0,0,IF(OR(T461=0,X461=0,NOT(ISNUMBER(E461)),AND(J461="Sim",L461="",M461=""),AND(ISNUMBER(E461),ISNUMBER(V461),N(V461)&gt;0,E461&lt;N(V461))),1,0))</f>
        <v>0</v>
      </c>
      <c r="Z461" s="96">
        <f>IF(AND(Q461=1,T461=1,X461=1,J461="Sim",OR(L461&lt;&gt;"",M461&lt;&gt;"")),1,0)</f>
        <v>0</v>
      </c>
      <c r="AA461" s="96">
        <f>IF(Q461=0,0,IF(AND(OR(r_ini="",AND(ISNUMBER(E461),E461&gt;=r_ini)),OR(r_fim="",AND(ISNUMBER(E461),E461&lt;=r_fim)),OR(r_un="",r_un="(Todas)",IF(N(U461)&gt;0,INDEX('MTRs'!$G$6:$G$505,U461),"")=r_un),OR(r_de="",r_de="(Todos)",D461=r_de)),1,0))</f>
        <v>0</v>
      </c>
      <c r="AB461" s="96" t="str">
        <f>IF(AA461=1,COUNTIF($AA$6:AA461,1),"")</f>
        <v/>
      </c>
    </row>
    <row r="462">
      <c r="A462" s="89" t="inlineStr">
        <is>
          <t>REC-000457</t>
        </is>
      </c>
      <c r="B462" s="94" t="str">
        <f>IF(T462=1,INDEX('ITENS_MTR'!$S$6:$S$1005,S462)&amp;"","")</f>
        <v/>
      </c>
      <c r="C462" s="91" t="n"/>
      <c r="D462" s="94" t="str">
        <f>IF(N(U462)&gt;0,INDEX('MTRs'!$I$6:$I$505,U462)&amp;"","")</f>
        <v/>
      </c>
      <c r="E462" s="92" t="n"/>
      <c r="F462" s="98" t="n"/>
      <c r="G462" s="91" t="n"/>
      <c r="H462" s="93" t="str">
        <f>IF(Q462=0,"",IF(NOT(ISNUMBER(F462)),"",IF(ISNUMBER(W462),F462*W462,"UNIDADE A CONFERIR")))</f>
        <v/>
      </c>
      <c r="I462" s="91" t="n"/>
      <c r="J462" s="91" t="n"/>
      <c r="K462" s="92" t="n"/>
      <c r="L462" s="91" t="n"/>
      <c r="M462" s="91" t="n"/>
      <c r="N462" s="91" t="n"/>
      <c r="O462" s="91" t="n"/>
      <c r="P462" s="94" t="str">
        <f>IF(Q462=0,"",IF(C462="","Item de resíduo não informado",IF(T462=0,"Item inexistente (referência inválida)",IF(NOT(ISNUMBER(F462)),"Quantidade não informada",IF(F462&lt;=0,"Quantidade não positiva",IF(G462="","Unidade não informada",IF(NOT(ISNUMBER(H462)),"Unidade a conferir",IF(NOT(ISNUMBER(E462)),"Data de recebimento não informada",IF(AND(ISNUMBER(V462),N(V462)&gt;0,E462&lt;N(V462)),"Data anterior à emissão do MTR",IF(AND(J462="Sim",L462="",M462=""),"Conferido sem evidência identificada",IF(J462&lt;&gt;"Sim","Aguardando conferência",IF(INDEX('ITENS_MTR'!$AM$6:$AM$1005,S462)=1,"Conferido (ver diferença no item)","Conferido"))))))))))))</f>
        <v/>
      </c>
      <c r="Q462" s="96">
        <f>IF(COUNTA(C462,E462:G462,I462:O462)&gt;0,1,0)</f>
        <v>0</v>
      </c>
      <c r="R462" s="96" t="str">
        <f>IF(C462="","",TRIM(LEFT(C462,FIND(" |",C462&amp;" |")-1)))</f>
        <v/>
      </c>
      <c r="S462" s="96" t="str">
        <f>IF(R462="","",IFERROR(MATCH(R462,'ITENS_MTR'!$A$6:$A$1005,0),""))</f>
        <v/>
      </c>
      <c r="T462" s="96">
        <f>IF(S462="",0,IF(INDEX('ITENS_MTR'!$R$6:$R$1005,S462)=1,1,0))</f>
        <v>0</v>
      </c>
      <c r="U462" s="96" t="str">
        <f>IF(T462=1,INDEX('ITENS_MTR'!$T$6:$T$1005,S462),"")</f>
        <v/>
      </c>
      <c r="V462" s="97" t="str">
        <f>IF(N(U462)&gt;0,INDEX('MTRs'!$E$6:$E$505,U462),"")</f>
        <v/>
      </c>
      <c r="W462" s="96" t="str">
        <f>IF(G462="","",IFERROR(IF(ISNUMBER(INDEX(cfg_fac,MATCH(G462,cfg_units,0))),IF(INDEX(cfg_fac,MATCH(G462,cfg_units,0))&gt;0,INDEX(cfg_fac,MATCH(G462,cfg_units,0)),""),""),""))</f>
        <v/>
      </c>
      <c r="X462" s="96">
        <f>IF(AND(ISNUMBER(F462),ISNUMBER(H462)),IF(H462&gt;0,1,0),0)</f>
        <v>0</v>
      </c>
      <c r="Y462" s="96">
        <f>IF(Q462=0,0,IF(OR(T462=0,X462=0,NOT(ISNUMBER(E462)),AND(J462="Sim",L462="",M462=""),AND(ISNUMBER(E462),ISNUMBER(V462),N(V462)&gt;0,E462&lt;N(V462))),1,0))</f>
        <v>0</v>
      </c>
      <c r="Z462" s="96">
        <f>IF(AND(Q462=1,T462=1,X462=1,J462="Sim",OR(L462&lt;&gt;"",M462&lt;&gt;"")),1,0)</f>
        <v>0</v>
      </c>
      <c r="AA462" s="96">
        <f>IF(Q462=0,0,IF(AND(OR(r_ini="",AND(ISNUMBER(E462),E462&gt;=r_ini)),OR(r_fim="",AND(ISNUMBER(E462),E462&lt;=r_fim)),OR(r_un="",r_un="(Todas)",IF(N(U462)&gt;0,INDEX('MTRs'!$G$6:$G$505,U462),"")=r_un),OR(r_de="",r_de="(Todos)",D462=r_de)),1,0))</f>
        <v>0</v>
      </c>
      <c r="AB462" s="96" t="str">
        <f>IF(AA462=1,COUNTIF($AA$6:AA462,1),"")</f>
        <v/>
      </c>
    </row>
    <row r="463">
      <c r="A463" s="89" t="inlineStr">
        <is>
          <t>REC-000458</t>
        </is>
      </c>
      <c r="B463" s="94" t="str">
        <f>IF(T463=1,INDEX('ITENS_MTR'!$S$6:$S$1005,S463)&amp;"","")</f>
        <v/>
      </c>
      <c r="C463" s="91" t="n"/>
      <c r="D463" s="94" t="str">
        <f>IF(N(U463)&gt;0,INDEX('MTRs'!$I$6:$I$505,U463)&amp;"","")</f>
        <v/>
      </c>
      <c r="E463" s="92" t="n"/>
      <c r="F463" s="98" t="n"/>
      <c r="G463" s="91" t="n"/>
      <c r="H463" s="93" t="str">
        <f>IF(Q463=0,"",IF(NOT(ISNUMBER(F463)),"",IF(ISNUMBER(W463),F463*W463,"UNIDADE A CONFERIR")))</f>
        <v/>
      </c>
      <c r="I463" s="91" t="n"/>
      <c r="J463" s="91" t="n"/>
      <c r="K463" s="92" t="n"/>
      <c r="L463" s="91" t="n"/>
      <c r="M463" s="91" t="n"/>
      <c r="N463" s="91" t="n"/>
      <c r="O463" s="91" t="n"/>
      <c r="P463" s="94" t="str">
        <f>IF(Q463=0,"",IF(C463="","Item de resíduo não informado",IF(T463=0,"Item inexistente (referência inválida)",IF(NOT(ISNUMBER(F463)),"Quantidade não informada",IF(F463&lt;=0,"Quantidade não positiva",IF(G463="","Unidade não informada",IF(NOT(ISNUMBER(H463)),"Unidade a conferir",IF(NOT(ISNUMBER(E463)),"Data de recebimento não informada",IF(AND(ISNUMBER(V463),N(V463)&gt;0,E463&lt;N(V463)),"Data anterior à emissão do MTR",IF(AND(J463="Sim",L463="",M463=""),"Conferido sem evidência identificada",IF(J463&lt;&gt;"Sim","Aguardando conferência",IF(INDEX('ITENS_MTR'!$AM$6:$AM$1005,S463)=1,"Conferido (ver diferença no item)","Conferido"))))))))))))</f>
        <v/>
      </c>
      <c r="Q463" s="96">
        <f>IF(COUNTA(C463,E463:G463,I463:O463)&gt;0,1,0)</f>
        <v>0</v>
      </c>
      <c r="R463" s="96" t="str">
        <f>IF(C463="","",TRIM(LEFT(C463,FIND(" |",C463&amp;" |")-1)))</f>
        <v/>
      </c>
      <c r="S463" s="96" t="str">
        <f>IF(R463="","",IFERROR(MATCH(R463,'ITENS_MTR'!$A$6:$A$1005,0),""))</f>
        <v/>
      </c>
      <c r="T463" s="96">
        <f>IF(S463="",0,IF(INDEX('ITENS_MTR'!$R$6:$R$1005,S463)=1,1,0))</f>
        <v>0</v>
      </c>
      <c r="U463" s="96" t="str">
        <f>IF(T463=1,INDEX('ITENS_MTR'!$T$6:$T$1005,S463),"")</f>
        <v/>
      </c>
      <c r="V463" s="97" t="str">
        <f>IF(N(U463)&gt;0,INDEX('MTRs'!$E$6:$E$505,U463),"")</f>
        <v/>
      </c>
      <c r="W463" s="96" t="str">
        <f>IF(G463="","",IFERROR(IF(ISNUMBER(INDEX(cfg_fac,MATCH(G463,cfg_units,0))),IF(INDEX(cfg_fac,MATCH(G463,cfg_units,0))&gt;0,INDEX(cfg_fac,MATCH(G463,cfg_units,0)),""),""),""))</f>
        <v/>
      </c>
      <c r="X463" s="96">
        <f>IF(AND(ISNUMBER(F463),ISNUMBER(H463)),IF(H463&gt;0,1,0),0)</f>
        <v>0</v>
      </c>
      <c r="Y463" s="96">
        <f>IF(Q463=0,0,IF(OR(T463=0,X463=0,NOT(ISNUMBER(E463)),AND(J463="Sim",L463="",M463=""),AND(ISNUMBER(E463),ISNUMBER(V463),N(V463)&gt;0,E463&lt;N(V463))),1,0))</f>
        <v>0</v>
      </c>
      <c r="Z463" s="96">
        <f>IF(AND(Q463=1,T463=1,X463=1,J463="Sim",OR(L463&lt;&gt;"",M463&lt;&gt;"")),1,0)</f>
        <v>0</v>
      </c>
      <c r="AA463" s="96">
        <f>IF(Q463=0,0,IF(AND(OR(r_ini="",AND(ISNUMBER(E463),E463&gt;=r_ini)),OR(r_fim="",AND(ISNUMBER(E463),E463&lt;=r_fim)),OR(r_un="",r_un="(Todas)",IF(N(U463)&gt;0,INDEX('MTRs'!$G$6:$G$505,U463),"")=r_un),OR(r_de="",r_de="(Todos)",D463=r_de)),1,0))</f>
        <v>0</v>
      </c>
      <c r="AB463" s="96" t="str">
        <f>IF(AA463=1,COUNTIF($AA$6:AA463,1),"")</f>
        <v/>
      </c>
    </row>
    <row r="464">
      <c r="A464" s="89" t="inlineStr">
        <is>
          <t>REC-000459</t>
        </is>
      </c>
      <c r="B464" s="94" t="str">
        <f>IF(T464=1,INDEX('ITENS_MTR'!$S$6:$S$1005,S464)&amp;"","")</f>
        <v/>
      </c>
      <c r="C464" s="91" t="n"/>
      <c r="D464" s="94" t="str">
        <f>IF(N(U464)&gt;0,INDEX('MTRs'!$I$6:$I$505,U464)&amp;"","")</f>
        <v/>
      </c>
      <c r="E464" s="92" t="n"/>
      <c r="F464" s="98" t="n"/>
      <c r="G464" s="91" t="n"/>
      <c r="H464" s="93" t="str">
        <f>IF(Q464=0,"",IF(NOT(ISNUMBER(F464)),"",IF(ISNUMBER(W464),F464*W464,"UNIDADE A CONFERIR")))</f>
        <v/>
      </c>
      <c r="I464" s="91" t="n"/>
      <c r="J464" s="91" t="n"/>
      <c r="K464" s="92" t="n"/>
      <c r="L464" s="91" t="n"/>
      <c r="M464" s="91" t="n"/>
      <c r="N464" s="91" t="n"/>
      <c r="O464" s="91" t="n"/>
      <c r="P464" s="94" t="str">
        <f>IF(Q464=0,"",IF(C464="","Item de resíduo não informado",IF(T464=0,"Item inexistente (referência inválida)",IF(NOT(ISNUMBER(F464)),"Quantidade não informada",IF(F464&lt;=0,"Quantidade não positiva",IF(G464="","Unidade não informada",IF(NOT(ISNUMBER(H464)),"Unidade a conferir",IF(NOT(ISNUMBER(E464)),"Data de recebimento não informada",IF(AND(ISNUMBER(V464),N(V464)&gt;0,E464&lt;N(V464)),"Data anterior à emissão do MTR",IF(AND(J464="Sim",L464="",M464=""),"Conferido sem evidência identificada",IF(J464&lt;&gt;"Sim","Aguardando conferência",IF(INDEX('ITENS_MTR'!$AM$6:$AM$1005,S464)=1,"Conferido (ver diferença no item)","Conferido"))))))))))))</f>
        <v/>
      </c>
      <c r="Q464" s="96">
        <f>IF(COUNTA(C464,E464:G464,I464:O464)&gt;0,1,0)</f>
        <v>0</v>
      </c>
      <c r="R464" s="96" t="str">
        <f>IF(C464="","",TRIM(LEFT(C464,FIND(" |",C464&amp;" |")-1)))</f>
        <v/>
      </c>
      <c r="S464" s="96" t="str">
        <f>IF(R464="","",IFERROR(MATCH(R464,'ITENS_MTR'!$A$6:$A$1005,0),""))</f>
        <v/>
      </c>
      <c r="T464" s="96">
        <f>IF(S464="",0,IF(INDEX('ITENS_MTR'!$R$6:$R$1005,S464)=1,1,0))</f>
        <v>0</v>
      </c>
      <c r="U464" s="96" t="str">
        <f>IF(T464=1,INDEX('ITENS_MTR'!$T$6:$T$1005,S464),"")</f>
        <v/>
      </c>
      <c r="V464" s="97" t="str">
        <f>IF(N(U464)&gt;0,INDEX('MTRs'!$E$6:$E$505,U464),"")</f>
        <v/>
      </c>
      <c r="W464" s="96" t="str">
        <f>IF(G464="","",IFERROR(IF(ISNUMBER(INDEX(cfg_fac,MATCH(G464,cfg_units,0))),IF(INDEX(cfg_fac,MATCH(G464,cfg_units,0))&gt;0,INDEX(cfg_fac,MATCH(G464,cfg_units,0)),""),""),""))</f>
        <v/>
      </c>
      <c r="X464" s="96">
        <f>IF(AND(ISNUMBER(F464),ISNUMBER(H464)),IF(H464&gt;0,1,0),0)</f>
        <v>0</v>
      </c>
      <c r="Y464" s="96">
        <f>IF(Q464=0,0,IF(OR(T464=0,X464=0,NOT(ISNUMBER(E464)),AND(J464="Sim",L464="",M464=""),AND(ISNUMBER(E464),ISNUMBER(V464),N(V464)&gt;0,E464&lt;N(V464))),1,0))</f>
        <v>0</v>
      </c>
      <c r="Z464" s="96">
        <f>IF(AND(Q464=1,T464=1,X464=1,J464="Sim",OR(L464&lt;&gt;"",M464&lt;&gt;"")),1,0)</f>
        <v>0</v>
      </c>
      <c r="AA464" s="96">
        <f>IF(Q464=0,0,IF(AND(OR(r_ini="",AND(ISNUMBER(E464),E464&gt;=r_ini)),OR(r_fim="",AND(ISNUMBER(E464),E464&lt;=r_fim)),OR(r_un="",r_un="(Todas)",IF(N(U464)&gt;0,INDEX('MTRs'!$G$6:$G$505,U464),"")=r_un),OR(r_de="",r_de="(Todos)",D464=r_de)),1,0))</f>
        <v>0</v>
      </c>
      <c r="AB464" s="96" t="str">
        <f>IF(AA464=1,COUNTIF($AA$6:AA464,1),"")</f>
        <v/>
      </c>
    </row>
    <row r="465">
      <c r="A465" s="89" t="inlineStr">
        <is>
          <t>REC-000460</t>
        </is>
      </c>
      <c r="B465" s="94" t="str">
        <f>IF(T465=1,INDEX('ITENS_MTR'!$S$6:$S$1005,S465)&amp;"","")</f>
        <v/>
      </c>
      <c r="C465" s="91" t="n"/>
      <c r="D465" s="94" t="str">
        <f>IF(N(U465)&gt;0,INDEX('MTRs'!$I$6:$I$505,U465)&amp;"","")</f>
        <v/>
      </c>
      <c r="E465" s="92" t="n"/>
      <c r="F465" s="98" t="n"/>
      <c r="G465" s="91" t="n"/>
      <c r="H465" s="93" t="str">
        <f>IF(Q465=0,"",IF(NOT(ISNUMBER(F465)),"",IF(ISNUMBER(W465),F465*W465,"UNIDADE A CONFERIR")))</f>
        <v/>
      </c>
      <c r="I465" s="91" t="n"/>
      <c r="J465" s="91" t="n"/>
      <c r="K465" s="92" t="n"/>
      <c r="L465" s="91" t="n"/>
      <c r="M465" s="91" t="n"/>
      <c r="N465" s="91" t="n"/>
      <c r="O465" s="91" t="n"/>
      <c r="P465" s="94" t="str">
        <f>IF(Q465=0,"",IF(C465="","Item de resíduo não informado",IF(T465=0,"Item inexistente (referência inválida)",IF(NOT(ISNUMBER(F465)),"Quantidade não informada",IF(F465&lt;=0,"Quantidade não positiva",IF(G465="","Unidade não informada",IF(NOT(ISNUMBER(H465)),"Unidade a conferir",IF(NOT(ISNUMBER(E465)),"Data de recebimento não informada",IF(AND(ISNUMBER(V465),N(V465)&gt;0,E465&lt;N(V465)),"Data anterior à emissão do MTR",IF(AND(J465="Sim",L465="",M465=""),"Conferido sem evidência identificada",IF(J465&lt;&gt;"Sim","Aguardando conferência",IF(INDEX('ITENS_MTR'!$AM$6:$AM$1005,S465)=1,"Conferido (ver diferença no item)","Conferido"))))))))))))</f>
        <v/>
      </c>
      <c r="Q465" s="96">
        <f>IF(COUNTA(C465,E465:G465,I465:O465)&gt;0,1,0)</f>
        <v>0</v>
      </c>
      <c r="R465" s="96" t="str">
        <f>IF(C465="","",TRIM(LEFT(C465,FIND(" |",C465&amp;" |")-1)))</f>
        <v/>
      </c>
      <c r="S465" s="96" t="str">
        <f>IF(R465="","",IFERROR(MATCH(R465,'ITENS_MTR'!$A$6:$A$1005,0),""))</f>
        <v/>
      </c>
      <c r="T465" s="96">
        <f>IF(S465="",0,IF(INDEX('ITENS_MTR'!$R$6:$R$1005,S465)=1,1,0))</f>
        <v>0</v>
      </c>
      <c r="U465" s="96" t="str">
        <f>IF(T465=1,INDEX('ITENS_MTR'!$T$6:$T$1005,S465),"")</f>
        <v/>
      </c>
      <c r="V465" s="97" t="str">
        <f>IF(N(U465)&gt;0,INDEX('MTRs'!$E$6:$E$505,U465),"")</f>
        <v/>
      </c>
      <c r="W465" s="96" t="str">
        <f>IF(G465="","",IFERROR(IF(ISNUMBER(INDEX(cfg_fac,MATCH(G465,cfg_units,0))),IF(INDEX(cfg_fac,MATCH(G465,cfg_units,0))&gt;0,INDEX(cfg_fac,MATCH(G465,cfg_units,0)),""),""),""))</f>
        <v/>
      </c>
      <c r="X465" s="96">
        <f>IF(AND(ISNUMBER(F465),ISNUMBER(H465)),IF(H465&gt;0,1,0),0)</f>
        <v>0</v>
      </c>
      <c r="Y465" s="96">
        <f>IF(Q465=0,0,IF(OR(T465=0,X465=0,NOT(ISNUMBER(E465)),AND(J465="Sim",L465="",M465=""),AND(ISNUMBER(E465),ISNUMBER(V465),N(V465)&gt;0,E465&lt;N(V465))),1,0))</f>
        <v>0</v>
      </c>
      <c r="Z465" s="96">
        <f>IF(AND(Q465=1,T465=1,X465=1,J465="Sim",OR(L465&lt;&gt;"",M465&lt;&gt;"")),1,0)</f>
        <v>0</v>
      </c>
      <c r="AA465" s="96">
        <f>IF(Q465=0,0,IF(AND(OR(r_ini="",AND(ISNUMBER(E465),E465&gt;=r_ini)),OR(r_fim="",AND(ISNUMBER(E465),E465&lt;=r_fim)),OR(r_un="",r_un="(Todas)",IF(N(U465)&gt;0,INDEX('MTRs'!$G$6:$G$505,U465),"")=r_un),OR(r_de="",r_de="(Todos)",D465=r_de)),1,0))</f>
        <v>0</v>
      </c>
      <c r="AB465" s="96" t="str">
        <f>IF(AA465=1,COUNTIF($AA$6:AA465,1),"")</f>
        <v/>
      </c>
    </row>
    <row r="466">
      <c r="A466" s="89" t="inlineStr">
        <is>
          <t>REC-000461</t>
        </is>
      </c>
      <c r="B466" s="94" t="str">
        <f>IF(T466=1,INDEX('ITENS_MTR'!$S$6:$S$1005,S466)&amp;"","")</f>
        <v/>
      </c>
      <c r="C466" s="91" t="n"/>
      <c r="D466" s="94" t="str">
        <f>IF(N(U466)&gt;0,INDEX('MTRs'!$I$6:$I$505,U466)&amp;"","")</f>
        <v/>
      </c>
      <c r="E466" s="92" t="n"/>
      <c r="F466" s="98" t="n"/>
      <c r="G466" s="91" t="n"/>
      <c r="H466" s="93" t="str">
        <f>IF(Q466=0,"",IF(NOT(ISNUMBER(F466)),"",IF(ISNUMBER(W466),F466*W466,"UNIDADE A CONFERIR")))</f>
        <v/>
      </c>
      <c r="I466" s="91" t="n"/>
      <c r="J466" s="91" t="n"/>
      <c r="K466" s="92" t="n"/>
      <c r="L466" s="91" t="n"/>
      <c r="M466" s="91" t="n"/>
      <c r="N466" s="91" t="n"/>
      <c r="O466" s="91" t="n"/>
      <c r="P466" s="94" t="str">
        <f>IF(Q466=0,"",IF(C466="","Item de resíduo não informado",IF(T466=0,"Item inexistente (referência inválida)",IF(NOT(ISNUMBER(F466)),"Quantidade não informada",IF(F466&lt;=0,"Quantidade não positiva",IF(G466="","Unidade não informada",IF(NOT(ISNUMBER(H466)),"Unidade a conferir",IF(NOT(ISNUMBER(E466)),"Data de recebimento não informada",IF(AND(ISNUMBER(V466),N(V466)&gt;0,E466&lt;N(V466)),"Data anterior à emissão do MTR",IF(AND(J466="Sim",L466="",M466=""),"Conferido sem evidência identificada",IF(J466&lt;&gt;"Sim","Aguardando conferência",IF(INDEX('ITENS_MTR'!$AM$6:$AM$1005,S466)=1,"Conferido (ver diferença no item)","Conferido"))))))))))))</f>
        <v/>
      </c>
      <c r="Q466" s="96">
        <f>IF(COUNTA(C466,E466:G466,I466:O466)&gt;0,1,0)</f>
        <v>0</v>
      </c>
      <c r="R466" s="96" t="str">
        <f>IF(C466="","",TRIM(LEFT(C466,FIND(" |",C466&amp;" |")-1)))</f>
        <v/>
      </c>
      <c r="S466" s="96" t="str">
        <f>IF(R466="","",IFERROR(MATCH(R466,'ITENS_MTR'!$A$6:$A$1005,0),""))</f>
        <v/>
      </c>
      <c r="T466" s="96">
        <f>IF(S466="",0,IF(INDEX('ITENS_MTR'!$R$6:$R$1005,S466)=1,1,0))</f>
        <v>0</v>
      </c>
      <c r="U466" s="96" t="str">
        <f>IF(T466=1,INDEX('ITENS_MTR'!$T$6:$T$1005,S466),"")</f>
        <v/>
      </c>
      <c r="V466" s="97" t="str">
        <f>IF(N(U466)&gt;0,INDEX('MTRs'!$E$6:$E$505,U466),"")</f>
        <v/>
      </c>
      <c r="W466" s="96" t="str">
        <f>IF(G466="","",IFERROR(IF(ISNUMBER(INDEX(cfg_fac,MATCH(G466,cfg_units,0))),IF(INDEX(cfg_fac,MATCH(G466,cfg_units,0))&gt;0,INDEX(cfg_fac,MATCH(G466,cfg_units,0)),""),""),""))</f>
        <v/>
      </c>
      <c r="X466" s="96">
        <f>IF(AND(ISNUMBER(F466),ISNUMBER(H466)),IF(H466&gt;0,1,0),0)</f>
        <v>0</v>
      </c>
      <c r="Y466" s="96">
        <f>IF(Q466=0,0,IF(OR(T466=0,X466=0,NOT(ISNUMBER(E466)),AND(J466="Sim",L466="",M466=""),AND(ISNUMBER(E466),ISNUMBER(V466),N(V466)&gt;0,E466&lt;N(V466))),1,0))</f>
        <v>0</v>
      </c>
      <c r="Z466" s="96">
        <f>IF(AND(Q466=1,T466=1,X466=1,J466="Sim",OR(L466&lt;&gt;"",M466&lt;&gt;"")),1,0)</f>
        <v>0</v>
      </c>
      <c r="AA466" s="96">
        <f>IF(Q466=0,0,IF(AND(OR(r_ini="",AND(ISNUMBER(E466),E466&gt;=r_ini)),OR(r_fim="",AND(ISNUMBER(E466),E466&lt;=r_fim)),OR(r_un="",r_un="(Todas)",IF(N(U466)&gt;0,INDEX('MTRs'!$G$6:$G$505,U466),"")=r_un),OR(r_de="",r_de="(Todos)",D466=r_de)),1,0))</f>
        <v>0</v>
      </c>
      <c r="AB466" s="96" t="str">
        <f>IF(AA466=1,COUNTIF($AA$6:AA466,1),"")</f>
        <v/>
      </c>
    </row>
    <row r="467">
      <c r="A467" s="89" t="inlineStr">
        <is>
          <t>REC-000462</t>
        </is>
      </c>
      <c r="B467" s="94" t="str">
        <f>IF(T467=1,INDEX('ITENS_MTR'!$S$6:$S$1005,S467)&amp;"","")</f>
        <v/>
      </c>
      <c r="C467" s="91" t="n"/>
      <c r="D467" s="94" t="str">
        <f>IF(N(U467)&gt;0,INDEX('MTRs'!$I$6:$I$505,U467)&amp;"","")</f>
        <v/>
      </c>
      <c r="E467" s="92" t="n"/>
      <c r="F467" s="98" t="n"/>
      <c r="G467" s="91" t="n"/>
      <c r="H467" s="93" t="str">
        <f>IF(Q467=0,"",IF(NOT(ISNUMBER(F467)),"",IF(ISNUMBER(W467),F467*W467,"UNIDADE A CONFERIR")))</f>
        <v/>
      </c>
      <c r="I467" s="91" t="n"/>
      <c r="J467" s="91" t="n"/>
      <c r="K467" s="92" t="n"/>
      <c r="L467" s="91" t="n"/>
      <c r="M467" s="91" t="n"/>
      <c r="N467" s="91" t="n"/>
      <c r="O467" s="91" t="n"/>
      <c r="P467" s="94" t="str">
        <f>IF(Q467=0,"",IF(C467="","Item de resíduo não informado",IF(T467=0,"Item inexistente (referência inválida)",IF(NOT(ISNUMBER(F467)),"Quantidade não informada",IF(F467&lt;=0,"Quantidade não positiva",IF(G467="","Unidade não informada",IF(NOT(ISNUMBER(H467)),"Unidade a conferir",IF(NOT(ISNUMBER(E467)),"Data de recebimento não informada",IF(AND(ISNUMBER(V467),N(V467)&gt;0,E467&lt;N(V467)),"Data anterior à emissão do MTR",IF(AND(J467="Sim",L467="",M467=""),"Conferido sem evidência identificada",IF(J467&lt;&gt;"Sim","Aguardando conferência",IF(INDEX('ITENS_MTR'!$AM$6:$AM$1005,S467)=1,"Conferido (ver diferença no item)","Conferido"))))))))))))</f>
        <v/>
      </c>
      <c r="Q467" s="96">
        <f>IF(COUNTA(C467,E467:G467,I467:O467)&gt;0,1,0)</f>
        <v>0</v>
      </c>
      <c r="R467" s="96" t="str">
        <f>IF(C467="","",TRIM(LEFT(C467,FIND(" |",C467&amp;" |")-1)))</f>
        <v/>
      </c>
      <c r="S467" s="96" t="str">
        <f>IF(R467="","",IFERROR(MATCH(R467,'ITENS_MTR'!$A$6:$A$1005,0),""))</f>
        <v/>
      </c>
      <c r="T467" s="96">
        <f>IF(S467="",0,IF(INDEX('ITENS_MTR'!$R$6:$R$1005,S467)=1,1,0))</f>
        <v>0</v>
      </c>
      <c r="U467" s="96" t="str">
        <f>IF(T467=1,INDEX('ITENS_MTR'!$T$6:$T$1005,S467),"")</f>
        <v/>
      </c>
      <c r="V467" s="97" t="str">
        <f>IF(N(U467)&gt;0,INDEX('MTRs'!$E$6:$E$505,U467),"")</f>
        <v/>
      </c>
      <c r="W467" s="96" t="str">
        <f>IF(G467="","",IFERROR(IF(ISNUMBER(INDEX(cfg_fac,MATCH(G467,cfg_units,0))),IF(INDEX(cfg_fac,MATCH(G467,cfg_units,0))&gt;0,INDEX(cfg_fac,MATCH(G467,cfg_units,0)),""),""),""))</f>
        <v/>
      </c>
      <c r="X467" s="96">
        <f>IF(AND(ISNUMBER(F467),ISNUMBER(H467)),IF(H467&gt;0,1,0),0)</f>
        <v>0</v>
      </c>
      <c r="Y467" s="96">
        <f>IF(Q467=0,0,IF(OR(T467=0,X467=0,NOT(ISNUMBER(E467)),AND(J467="Sim",L467="",M467=""),AND(ISNUMBER(E467),ISNUMBER(V467),N(V467)&gt;0,E467&lt;N(V467))),1,0))</f>
        <v>0</v>
      </c>
      <c r="Z467" s="96">
        <f>IF(AND(Q467=1,T467=1,X467=1,J467="Sim",OR(L467&lt;&gt;"",M467&lt;&gt;"")),1,0)</f>
        <v>0</v>
      </c>
      <c r="AA467" s="96">
        <f>IF(Q467=0,0,IF(AND(OR(r_ini="",AND(ISNUMBER(E467),E467&gt;=r_ini)),OR(r_fim="",AND(ISNUMBER(E467),E467&lt;=r_fim)),OR(r_un="",r_un="(Todas)",IF(N(U467)&gt;0,INDEX('MTRs'!$G$6:$G$505,U467),"")=r_un),OR(r_de="",r_de="(Todos)",D467=r_de)),1,0))</f>
        <v>0</v>
      </c>
      <c r="AB467" s="96" t="str">
        <f>IF(AA467=1,COUNTIF($AA$6:AA467,1),"")</f>
        <v/>
      </c>
    </row>
    <row r="468">
      <c r="A468" s="89" t="inlineStr">
        <is>
          <t>REC-000463</t>
        </is>
      </c>
      <c r="B468" s="94" t="str">
        <f>IF(T468=1,INDEX('ITENS_MTR'!$S$6:$S$1005,S468)&amp;"","")</f>
        <v/>
      </c>
      <c r="C468" s="91" t="n"/>
      <c r="D468" s="94" t="str">
        <f>IF(N(U468)&gt;0,INDEX('MTRs'!$I$6:$I$505,U468)&amp;"","")</f>
        <v/>
      </c>
      <c r="E468" s="92" t="n"/>
      <c r="F468" s="98" t="n"/>
      <c r="G468" s="91" t="n"/>
      <c r="H468" s="93" t="str">
        <f>IF(Q468=0,"",IF(NOT(ISNUMBER(F468)),"",IF(ISNUMBER(W468),F468*W468,"UNIDADE A CONFERIR")))</f>
        <v/>
      </c>
      <c r="I468" s="91" t="n"/>
      <c r="J468" s="91" t="n"/>
      <c r="K468" s="92" t="n"/>
      <c r="L468" s="91" t="n"/>
      <c r="M468" s="91" t="n"/>
      <c r="N468" s="91" t="n"/>
      <c r="O468" s="91" t="n"/>
      <c r="P468" s="94" t="str">
        <f>IF(Q468=0,"",IF(C468="","Item de resíduo não informado",IF(T468=0,"Item inexistente (referência inválida)",IF(NOT(ISNUMBER(F468)),"Quantidade não informada",IF(F468&lt;=0,"Quantidade não positiva",IF(G468="","Unidade não informada",IF(NOT(ISNUMBER(H468)),"Unidade a conferir",IF(NOT(ISNUMBER(E468)),"Data de recebimento não informada",IF(AND(ISNUMBER(V468),N(V468)&gt;0,E468&lt;N(V468)),"Data anterior à emissão do MTR",IF(AND(J468="Sim",L468="",M468=""),"Conferido sem evidência identificada",IF(J468&lt;&gt;"Sim","Aguardando conferência",IF(INDEX('ITENS_MTR'!$AM$6:$AM$1005,S468)=1,"Conferido (ver diferença no item)","Conferido"))))))))))))</f>
        <v/>
      </c>
      <c r="Q468" s="96">
        <f>IF(COUNTA(C468,E468:G468,I468:O468)&gt;0,1,0)</f>
        <v>0</v>
      </c>
      <c r="R468" s="96" t="str">
        <f>IF(C468="","",TRIM(LEFT(C468,FIND(" |",C468&amp;" |")-1)))</f>
        <v/>
      </c>
      <c r="S468" s="96" t="str">
        <f>IF(R468="","",IFERROR(MATCH(R468,'ITENS_MTR'!$A$6:$A$1005,0),""))</f>
        <v/>
      </c>
      <c r="T468" s="96">
        <f>IF(S468="",0,IF(INDEX('ITENS_MTR'!$R$6:$R$1005,S468)=1,1,0))</f>
        <v>0</v>
      </c>
      <c r="U468" s="96" t="str">
        <f>IF(T468=1,INDEX('ITENS_MTR'!$T$6:$T$1005,S468),"")</f>
        <v/>
      </c>
      <c r="V468" s="97" t="str">
        <f>IF(N(U468)&gt;0,INDEX('MTRs'!$E$6:$E$505,U468),"")</f>
        <v/>
      </c>
      <c r="W468" s="96" t="str">
        <f>IF(G468="","",IFERROR(IF(ISNUMBER(INDEX(cfg_fac,MATCH(G468,cfg_units,0))),IF(INDEX(cfg_fac,MATCH(G468,cfg_units,0))&gt;0,INDEX(cfg_fac,MATCH(G468,cfg_units,0)),""),""),""))</f>
        <v/>
      </c>
      <c r="X468" s="96">
        <f>IF(AND(ISNUMBER(F468),ISNUMBER(H468)),IF(H468&gt;0,1,0),0)</f>
        <v>0</v>
      </c>
      <c r="Y468" s="96">
        <f>IF(Q468=0,0,IF(OR(T468=0,X468=0,NOT(ISNUMBER(E468)),AND(J468="Sim",L468="",M468=""),AND(ISNUMBER(E468),ISNUMBER(V468),N(V468)&gt;0,E468&lt;N(V468))),1,0))</f>
        <v>0</v>
      </c>
      <c r="Z468" s="96">
        <f>IF(AND(Q468=1,T468=1,X468=1,J468="Sim",OR(L468&lt;&gt;"",M468&lt;&gt;"")),1,0)</f>
        <v>0</v>
      </c>
      <c r="AA468" s="96">
        <f>IF(Q468=0,0,IF(AND(OR(r_ini="",AND(ISNUMBER(E468),E468&gt;=r_ini)),OR(r_fim="",AND(ISNUMBER(E468),E468&lt;=r_fim)),OR(r_un="",r_un="(Todas)",IF(N(U468)&gt;0,INDEX('MTRs'!$G$6:$G$505,U468),"")=r_un),OR(r_de="",r_de="(Todos)",D468=r_de)),1,0))</f>
        <v>0</v>
      </c>
      <c r="AB468" s="96" t="str">
        <f>IF(AA468=1,COUNTIF($AA$6:AA468,1),"")</f>
        <v/>
      </c>
    </row>
    <row r="469">
      <c r="A469" s="89" t="inlineStr">
        <is>
          <t>REC-000464</t>
        </is>
      </c>
      <c r="B469" s="94" t="str">
        <f>IF(T469=1,INDEX('ITENS_MTR'!$S$6:$S$1005,S469)&amp;"","")</f>
        <v/>
      </c>
      <c r="C469" s="91" t="n"/>
      <c r="D469" s="94" t="str">
        <f>IF(N(U469)&gt;0,INDEX('MTRs'!$I$6:$I$505,U469)&amp;"","")</f>
        <v/>
      </c>
      <c r="E469" s="92" t="n"/>
      <c r="F469" s="98" t="n"/>
      <c r="G469" s="91" t="n"/>
      <c r="H469" s="93" t="str">
        <f>IF(Q469=0,"",IF(NOT(ISNUMBER(F469)),"",IF(ISNUMBER(W469),F469*W469,"UNIDADE A CONFERIR")))</f>
        <v/>
      </c>
      <c r="I469" s="91" t="n"/>
      <c r="J469" s="91" t="n"/>
      <c r="K469" s="92" t="n"/>
      <c r="L469" s="91" t="n"/>
      <c r="M469" s="91" t="n"/>
      <c r="N469" s="91" t="n"/>
      <c r="O469" s="91" t="n"/>
      <c r="P469" s="94" t="str">
        <f>IF(Q469=0,"",IF(C469="","Item de resíduo não informado",IF(T469=0,"Item inexistente (referência inválida)",IF(NOT(ISNUMBER(F469)),"Quantidade não informada",IF(F469&lt;=0,"Quantidade não positiva",IF(G469="","Unidade não informada",IF(NOT(ISNUMBER(H469)),"Unidade a conferir",IF(NOT(ISNUMBER(E469)),"Data de recebimento não informada",IF(AND(ISNUMBER(V469),N(V469)&gt;0,E469&lt;N(V469)),"Data anterior à emissão do MTR",IF(AND(J469="Sim",L469="",M469=""),"Conferido sem evidência identificada",IF(J469&lt;&gt;"Sim","Aguardando conferência",IF(INDEX('ITENS_MTR'!$AM$6:$AM$1005,S469)=1,"Conferido (ver diferença no item)","Conferido"))))))))))))</f>
        <v/>
      </c>
      <c r="Q469" s="96">
        <f>IF(COUNTA(C469,E469:G469,I469:O469)&gt;0,1,0)</f>
        <v>0</v>
      </c>
      <c r="R469" s="96" t="str">
        <f>IF(C469="","",TRIM(LEFT(C469,FIND(" |",C469&amp;" |")-1)))</f>
        <v/>
      </c>
      <c r="S469" s="96" t="str">
        <f>IF(R469="","",IFERROR(MATCH(R469,'ITENS_MTR'!$A$6:$A$1005,0),""))</f>
        <v/>
      </c>
      <c r="T469" s="96">
        <f>IF(S469="",0,IF(INDEX('ITENS_MTR'!$R$6:$R$1005,S469)=1,1,0))</f>
        <v>0</v>
      </c>
      <c r="U469" s="96" t="str">
        <f>IF(T469=1,INDEX('ITENS_MTR'!$T$6:$T$1005,S469),"")</f>
        <v/>
      </c>
      <c r="V469" s="97" t="str">
        <f>IF(N(U469)&gt;0,INDEX('MTRs'!$E$6:$E$505,U469),"")</f>
        <v/>
      </c>
      <c r="W469" s="96" t="str">
        <f>IF(G469="","",IFERROR(IF(ISNUMBER(INDEX(cfg_fac,MATCH(G469,cfg_units,0))),IF(INDEX(cfg_fac,MATCH(G469,cfg_units,0))&gt;0,INDEX(cfg_fac,MATCH(G469,cfg_units,0)),""),""),""))</f>
        <v/>
      </c>
      <c r="X469" s="96">
        <f>IF(AND(ISNUMBER(F469),ISNUMBER(H469)),IF(H469&gt;0,1,0),0)</f>
        <v>0</v>
      </c>
      <c r="Y469" s="96">
        <f>IF(Q469=0,0,IF(OR(T469=0,X469=0,NOT(ISNUMBER(E469)),AND(J469="Sim",L469="",M469=""),AND(ISNUMBER(E469),ISNUMBER(V469),N(V469)&gt;0,E469&lt;N(V469))),1,0))</f>
        <v>0</v>
      </c>
      <c r="Z469" s="96">
        <f>IF(AND(Q469=1,T469=1,X469=1,J469="Sim",OR(L469&lt;&gt;"",M469&lt;&gt;"")),1,0)</f>
        <v>0</v>
      </c>
      <c r="AA469" s="96">
        <f>IF(Q469=0,0,IF(AND(OR(r_ini="",AND(ISNUMBER(E469),E469&gt;=r_ini)),OR(r_fim="",AND(ISNUMBER(E469),E469&lt;=r_fim)),OR(r_un="",r_un="(Todas)",IF(N(U469)&gt;0,INDEX('MTRs'!$G$6:$G$505,U469),"")=r_un),OR(r_de="",r_de="(Todos)",D469=r_de)),1,0))</f>
        <v>0</v>
      </c>
      <c r="AB469" s="96" t="str">
        <f>IF(AA469=1,COUNTIF($AA$6:AA469,1),"")</f>
        <v/>
      </c>
    </row>
    <row r="470">
      <c r="A470" s="89" t="inlineStr">
        <is>
          <t>REC-000465</t>
        </is>
      </c>
      <c r="B470" s="94" t="str">
        <f>IF(T470=1,INDEX('ITENS_MTR'!$S$6:$S$1005,S470)&amp;"","")</f>
        <v/>
      </c>
      <c r="C470" s="91" t="n"/>
      <c r="D470" s="94" t="str">
        <f>IF(N(U470)&gt;0,INDEX('MTRs'!$I$6:$I$505,U470)&amp;"","")</f>
        <v/>
      </c>
      <c r="E470" s="92" t="n"/>
      <c r="F470" s="98" t="n"/>
      <c r="G470" s="91" t="n"/>
      <c r="H470" s="93" t="str">
        <f>IF(Q470=0,"",IF(NOT(ISNUMBER(F470)),"",IF(ISNUMBER(W470),F470*W470,"UNIDADE A CONFERIR")))</f>
        <v/>
      </c>
      <c r="I470" s="91" t="n"/>
      <c r="J470" s="91" t="n"/>
      <c r="K470" s="92" t="n"/>
      <c r="L470" s="91" t="n"/>
      <c r="M470" s="91" t="n"/>
      <c r="N470" s="91" t="n"/>
      <c r="O470" s="91" t="n"/>
      <c r="P470" s="94" t="str">
        <f>IF(Q470=0,"",IF(C470="","Item de resíduo não informado",IF(T470=0,"Item inexistente (referência inválida)",IF(NOT(ISNUMBER(F470)),"Quantidade não informada",IF(F470&lt;=0,"Quantidade não positiva",IF(G470="","Unidade não informada",IF(NOT(ISNUMBER(H470)),"Unidade a conferir",IF(NOT(ISNUMBER(E470)),"Data de recebimento não informada",IF(AND(ISNUMBER(V470),N(V470)&gt;0,E470&lt;N(V470)),"Data anterior à emissão do MTR",IF(AND(J470="Sim",L470="",M470=""),"Conferido sem evidência identificada",IF(J470&lt;&gt;"Sim","Aguardando conferência",IF(INDEX('ITENS_MTR'!$AM$6:$AM$1005,S470)=1,"Conferido (ver diferença no item)","Conferido"))))))))))))</f>
        <v/>
      </c>
      <c r="Q470" s="96">
        <f>IF(COUNTA(C470,E470:G470,I470:O470)&gt;0,1,0)</f>
        <v>0</v>
      </c>
      <c r="R470" s="96" t="str">
        <f>IF(C470="","",TRIM(LEFT(C470,FIND(" |",C470&amp;" |")-1)))</f>
        <v/>
      </c>
      <c r="S470" s="96" t="str">
        <f>IF(R470="","",IFERROR(MATCH(R470,'ITENS_MTR'!$A$6:$A$1005,0),""))</f>
        <v/>
      </c>
      <c r="T470" s="96">
        <f>IF(S470="",0,IF(INDEX('ITENS_MTR'!$R$6:$R$1005,S470)=1,1,0))</f>
        <v>0</v>
      </c>
      <c r="U470" s="96" t="str">
        <f>IF(T470=1,INDEX('ITENS_MTR'!$T$6:$T$1005,S470),"")</f>
        <v/>
      </c>
      <c r="V470" s="97" t="str">
        <f>IF(N(U470)&gt;0,INDEX('MTRs'!$E$6:$E$505,U470),"")</f>
        <v/>
      </c>
      <c r="W470" s="96" t="str">
        <f>IF(G470="","",IFERROR(IF(ISNUMBER(INDEX(cfg_fac,MATCH(G470,cfg_units,0))),IF(INDEX(cfg_fac,MATCH(G470,cfg_units,0))&gt;0,INDEX(cfg_fac,MATCH(G470,cfg_units,0)),""),""),""))</f>
        <v/>
      </c>
      <c r="X470" s="96">
        <f>IF(AND(ISNUMBER(F470),ISNUMBER(H470)),IF(H470&gt;0,1,0),0)</f>
        <v>0</v>
      </c>
      <c r="Y470" s="96">
        <f>IF(Q470=0,0,IF(OR(T470=0,X470=0,NOT(ISNUMBER(E470)),AND(J470="Sim",L470="",M470=""),AND(ISNUMBER(E470),ISNUMBER(V470),N(V470)&gt;0,E470&lt;N(V470))),1,0))</f>
        <v>0</v>
      </c>
      <c r="Z470" s="96">
        <f>IF(AND(Q470=1,T470=1,X470=1,J470="Sim",OR(L470&lt;&gt;"",M470&lt;&gt;"")),1,0)</f>
        <v>0</v>
      </c>
      <c r="AA470" s="96">
        <f>IF(Q470=0,0,IF(AND(OR(r_ini="",AND(ISNUMBER(E470),E470&gt;=r_ini)),OR(r_fim="",AND(ISNUMBER(E470),E470&lt;=r_fim)),OR(r_un="",r_un="(Todas)",IF(N(U470)&gt;0,INDEX('MTRs'!$G$6:$G$505,U470),"")=r_un),OR(r_de="",r_de="(Todos)",D470=r_de)),1,0))</f>
        <v>0</v>
      </c>
      <c r="AB470" s="96" t="str">
        <f>IF(AA470=1,COUNTIF($AA$6:AA470,1),"")</f>
        <v/>
      </c>
    </row>
    <row r="471">
      <c r="A471" s="89" t="inlineStr">
        <is>
          <t>REC-000466</t>
        </is>
      </c>
      <c r="B471" s="94" t="str">
        <f>IF(T471=1,INDEX('ITENS_MTR'!$S$6:$S$1005,S471)&amp;"","")</f>
        <v/>
      </c>
      <c r="C471" s="91" t="n"/>
      <c r="D471" s="94" t="str">
        <f>IF(N(U471)&gt;0,INDEX('MTRs'!$I$6:$I$505,U471)&amp;"","")</f>
        <v/>
      </c>
      <c r="E471" s="92" t="n"/>
      <c r="F471" s="98" t="n"/>
      <c r="G471" s="91" t="n"/>
      <c r="H471" s="93" t="str">
        <f>IF(Q471=0,"",IF(NOT(ISNUMBER(F471)),"",IF(ISNUMBER(W471),F471*W471,"UNIDADE A CONFERIR")))</f>
        <v/>
      </c>
      <c r="I471" s="91" t="n"/>
      <c r="J471" s="91" t="n"/>
      <c r="K471" s="92" t="n"/>
      <c r="L471" s="91" t="n"/>
      <c r="M471" s="91" t="n"/>
      <c r="N471" s="91" t="n"/>
      <c r="O471" s="91" t="n"/>
      <c r="P471" s="94" t="str">
        <f>IF(Q471=0,"",IF(C471="","Item de resíduo não informado",IF(T471=0,"Item inexistente (referência inválida)",IF(NOT(ISNUMBER(F471)),"Quantidade não informada",IF(F471&lt;=0,"Quantidade não positiva",IF(G471="","Unidade não informada",IF(NOT(ISNUMBER(H471)),"Unidade a conferir",IF(NOT(ISNUMBER(E471)),"Data de recebimento não informada",IF(AND(ISNUMBER(V471),N(V471)&gt;0,E471&lt;N(V471)),"Data anterior à emissão do MTR",IF(AND(J471="Sim",L471="",M471=""),"Conferido sem evidência identificada",IF(J471&lt;&gt;"Sim","Aguardando conferência",IF(INDEX('ITENS_MTR'!$AM$6:$AM$1005,S471)=1,"Conferido (ver diferença no item)","Conferido"))))))))))))</f>
        <v/>
      </c>
      <c r="Q471" s="96">
        <f>IF(COUNTA(C471,E471:G471,I471:O471)&gt;0,1,0)</f>
        <v>0</v>
      </c>
      <c r="R471" s="96" t="str">
        <f>IF(C471="","",TRIM(LEFT(C471,FIND(" |",C471&amp;" |")-1)))</f>
        <v/>
      </c>
      <c r="S471" s="96" t="str">
        <f>IF(R471="","",IFERROR(MATCH(R471,'ITENS_MTR'!$A$6:$A$1005,0),""))</f>
        <v/>
      </c>
      <c r="T471" s="96">
        <f>IF(S471="",0,IF(INDEX('ITENS_MTR'!$R$6:$R$1005,S471)=1,1,0))</f>
        <v>0</v>
      </c>
      <c r="U471" s="96" t="str">
        <f>IF(T471=1,INDEX('ITENS_MTR'!$T$6:$T$1005,S471),"")</f>
        <v/>
      </c>
      <c r="V471" s="97" t="str">
        <f>IF(N(U471)&gt;0,INDEX('MTRs'!$E$6:$E$505,U471),"")</f>
        <v/>
      </c>
      <c r="W471" s="96" t="str">
        <f>IF(G471="","",IFERROR(IF(ISNUMBER(INDEX(cfg_fac,MATCH(G471,cfg_units,0))),IF(INDEX(cfg_fac,MATCH(G471,cfg_units,0))&gt;0,INDEX(cfg_fac,MATCH(G471,cfg_units,0)),""),""),""))</f>
        <v/>
      </c>
      <c r="X471" s="96">
        <f>IF(AND(ISNUMBER(F471),ISNUMBER(H471)),IF(H471&gt;0,1,0),0)</f>
        <v>0</v>
      </c>
      <c r="Y471" s="96">
        <f>IF(Q471=0,0,IF(OR(T471=0,X471=0,NOT(ISNUMBER(E471)),AND(J471="Sim",L471="",M471=""),AND(ISNUMBER(E471),ISNUMBER(V471),N(V471)&gt;0,E471&lt;N(V471))),1,0))</f>
        <v>0</v>
      </c>
      <c r="Z471" s="96">
        <f>IF(AND(Q471=1,T471=1,X471=1,J471="Sim",OR(L471&lt;&gt;"",M471&lt;&gt;"")),1,0)</f>
        <v>0</v>
      </c>
      <c r="AA471" s="96">
        <f>IF(Q471=0,0,IF(AND(OR(r_ini="",AND(ISNUMBER(E471),E471&gt;=r_ini)),OR(r_fim="",AND(ISNUMBER(E471),E471&lt;=r_fim)),OR(r_un="",r_un="(Todas)",IF(N(U471)&gt;0,INDEX('MTRs'!$G$6:$G$505,U471),"")=r_un),OR(r_de="",r_de="(Todos)",D471=r_de)),1,0))</f>
        <v>0</v>
      </c>
      <c r="AB471" s="96" t="str">
        <f>IF(AA471=1,COUNTIF($AA$6:AA471,1),"")</f>
        <v/>
      </c>
    </row>
    <row r="472">
      <c r="A472" s="89" t="inlineStr">
        <is>
          <t>REC-000467</t>
        </is>
      </c>
      <c r="B472" s="94" t="str">
        <f>IF(T472=1,INDEX('ITENS_MTR'!$S$6:$S$1005,S472)&amp;"","")</f>
        <v/>
      </c>
      <c r="C472" s="91" t="n"/>
      <c r="D472" s="94" t="str">
        <f>IF(N(U472)&gt;0,INDEX('MTRs'!$I$6:$I$505,U472)&amp;"","")</f>
        <v/>
      </c>
      <c r="E472" s="92" t="n"/>
      <c r="F472" s="98" t="n"/>
      <c r="G472" s="91" t="n"/>
      <c r="H472" s="93" t="str">
        <f>IF(Q472=0,"",IF(NOT(ISNUMBER(F472)),"",IF(ISNUMBER(W472),F472*W472,"UNIDADE A CONFERIR")))</f>
        <v/>
      </c>
      <c r="I472" s="91" t="n"/>
      <c r="J472" s="91" t="n"/>
      <c r="K472" s="92" t="n"/>
      <c r="L472" s="91" t="n"/>
      <c r="M472" s="91" t="n"/>
      <c r="N472" s="91" t="n"/>
      <c r="O472" s="91" t="n"/>
      <c r="P472" s="94" t="str">
        <f>IF(Q472=0,"",IF(C472="","Item de resíduo não informado",IF(T472=0,"Item inexistente (referência inválida)",IF(NOT(ISNUMBER(F472)),"Quantidade não informada",IF(F472&lt;=0,"Quantidade não positiva",IF(G472="","Unidade não informada",IF(NOT(ISNUMBER(H472)),"Unidade a conferir",IF(NOT(ISNUMBER(E472)),"Data de recebimento não informada",IF(AND(ISNUMBER(V472),N(V472)&gt;0,E472&lt;N(V472)),"Data anterior à emissão do MTR",IF(AND(J472="Sim",L472="",M472=""),"Conferido sem evidência identificada",IF(J472&lt;&gt;"Sim","Aguardando conferência",IF(INDEX('ITENS_MTR'!$AM$6:$AM$1005,S472)=1,"Conferido (ver diferença no item)","Conferido"))))))))))))</f>
        <v/>
      </c>
      <c r="Q472" s="96">
        <f>IF(COUNTA(C472,E472:G472,I472:O472)&gt;0,1,0)</f>
        <v>0</v>
      </c>
      <c r="R472" s="96" t="str">
        <f>IF(C472="","",TRIM(LEFT(C472,FIND(" |",C472&amp;" |")-1)))</f>
        <v/>
      </c>
      <c r="S472" s="96" t="str">
        <f>IF(R472="","",IFERROR(MATCH(R472,'ITENS_MTR'!$A$6:$A$1005,0),""))</f>
        <v/>
      </c>
      <c r="T472" s="96">
        <f>IF(S472="",0,IF(INDEX('ITENS_MTR'!$R$6:$R$1005,S472)=1,1,0))</f>
        <v>0</v>
      </c>
      <c r="U472" s="96" t="str">
        <f>IF(T472=1,INDEX('ITENS_MTR'!$T$6:$T$1005,S472),"")</f>
        <v/>
      </c>
      <c r="V472" s="97" t="str">
        <f>IF(N(U472)&gt;0,INDEX('MTRs'!$E$6:$E$505,U472),"")</f>
        <v/>
      </c>
      <c r="W472" s="96" t="str">
        <f>IF(G472="","",IFERROR(IF(ISNUMBER(INDEX(cfg_fac,MATCH(G472,cfg_units,0))),IF(INDEX(cfg_fac,MATCH(G472,cfg_units,0))&gt;0,INDEX(cfg_fac,MATCH(G472,cfg_units,0)),""),""),""))</f>
        <v/>
      </c>
      <c r="X472" s="96">
        <f>IF(AND(ISNUMBER(F472),ISNUMBER(H472)),IF(H472&gt;0,1,0),0)</f>
        <v>0</v>
      </c>
      <c r="Y472" s="96">
        <f>IF(Q472=0,0,IF(OR(T472=0,X472=0,NOT(ISNUMBER(E472)),AND(J472="Sim",L472="",M472=""),AND(ISNUMBER(E472),ISNUMBER(V472),N(V472)&gt;0,E472&lt;N(V472))),1,0))</f>
        <v>0</v>
      </c>
      <c r="Z472" s="96">
        <f>IF(AND(Q472=1,T472=1,X472=1,J472="Sim",OR(L472&lt;&gt;"",M472&lt;&gt;"")),1,0)</f>
        <v>0</v>
      </c>
      <c r="AA472" s="96">
        <f>IF(Q472=0,0,IF(AND(OR(r_ini="",AND(ISNUMBER(E472),E472&gt;=r_ini)),OR(r_fim="",AND(ISNUMBER(E472),E472&lt;=r_fim)),OR(r_un="",r_un="(Todas)",IF(N(U472)&gt;0,INDEX('MTRs'!$G$6:$G$505,U472),"")=r_un),OR(r_de="",r_de="(Todos)",D472=r_de)),1,0))</f>
        <v>0</v>
      </c>
      <c r="AB472" s="96" t="str">
        <f>IF(AA472=1,COUNTIF($AA$6:AA472,1),"")</f>
        <v/>
      </c>
    </row>
    <row r="473">
      <c r="A473" s="89" t="inlineStr">
        <is>
          <t>REC-000468</t>
        </is>
      </c>
      <c r="B473" s="94" t="str">
        <f>IF(T473=1,INDEX('ITENS_MTR'!$S$6:$S$1005,S473)&amp;"","")</f>
        <v/>
      </c>
      <c r="C473" s="91" t="n"/>
      <c r="D473" s="94" t="str">
        <f>IF(N(U473)&gt;0,INDEX('MTRs'!$I$6:$I$505,U473)&amp;"","")</f>
        <v/>
      </c>
      <c r="E473" s="92" t="n"/>
      <c r="F473" s="98" t="n"/>
      <c r="G473" s="91" t="n"/>
      <c r="H473" s="93" t="str">
        <f>IF(Q473=0,"",IF(NOT(ISNUMBER(F473)),"",IF(ISNUMBER(W473),F473*W473,"UNIDADE A CONFERIR")))</f>
        <v/>
      </c>
      <c r="I473" s="91" t="n"/>
      <c r="J473" s="91" t="n"/>
      <c r="K473" s="92" t="n"/>
      <c r="L473" s="91" t="n"/>
      <c r="M473" s="91" t="n"/>
      <c r="N473" s="91" t="n"/>
      <c r="O473" s="91" t="n"/>
      <c r="P473" s="94" t="str">
        <f>IF(Q473=0,"",IF(C473="","Item de resíduo não informado",IF(T473=0,"Item inexistente (referência inválida)",IF(NOT(ISNUMBER(F473)),"Quantidade não informada",IF(F473&lt;=0,"Quantidade não positiva",IF(G473="","Unidade não informada",IF(NOT(ISNUMBER(H473)),"Unidade a conferir",IF(NOT(ISNUMBER(E473)),"Data de recebimento não informada",IF(AND(ISNUMBER(V473),N(V473)&gt;0,E473&lt;N(V473)),"Data anterior à emissão do MTR",IF(AND(J473="Sim",L473="",M473=""),"Conferido sem evidência identificada",IF(J473&lt;&gt;"Sim","Aguardando conferência",IF(INDEX('ITENS_MTR'!$AM$6:$AM$1005,S473)=1,"Conferido (ver diferença no item)","Conferido"))))))))))))</f>
        <v/>
      </c>
      <c r="Q473" s="96">
        <f>IF(COUNTA(C473,E473:G473,I473:O473)&gt;0,1,0)</f>
        <v>0</v>
      </c>
      <c r="R473" s="96" t="str">
        <f>IF(C473="","",TRIM(LEFT(C473,FIND(" |",C473&amp;" |")-1)))</f>
        <v/>
      </c>
      <c r="S473" s="96" t="str">
        <f>IF(R473="","",IFERROR(MATCH(R473,'ITENS_MTR'!$A$6:$A$1005,0),""))</f>
        <v/>
      </c>
      <c r="T473" s="96">
        <f>IF(S473="",0,IF(INDEX('ITENS_MTR'!$R$6:$R$1005,S473)=1,1,0))</f>
        <v>0</v>
      </c>
      <c r="U473" s="96" t="str">
        <f>IF(T473=1,INDEX('ITENS_MTR'!$T$6:$T$1005,S473),"")</f>
        <v/>
      </c>
      <c r="V473" s="97" t="str">
        <f>IF(N(U473)&gt;0,INDEX('MTRs'!$E$6:$E$505,U473),"")</f>
        <v/>
      </c>
      <c r="W473" s="96" t="str">
        <f>IF(G473="","",IFERROR(IF(ISNUMBER(INDEX(cfg_fac,MATCH(G473,cfg_units,0))),IF(INDEX(cfg_fac,MATCH(G473,cfg_units,0))&gt;0,INDEX(cfg_fac,MATCH(G473,cfg_units,0)),""),""),""))</f>
        <v/>
      </c>
      <c r="X473" s="96">
        <f>IF(AND(ISNUMBER(F473),ISNUMBER(H473)),IF(H473&gt;0,1,0),0)</f>
        <v>0</v>
      </c>
      <c r="Y473" s="96">
        <f>IF(Q473=0,0,IF(OR(T473=0,X473=0,NOT(ISNUMBER(E473)),AND(J473="Sim",L473="",M473=""),AND(ISNUMBER(E473),ISNUMBER(V473),N(V473)&gt;0,E473&lt;N(V473))),1,0))</f>
        <v>0</v>
      </c>
      <c r="Z473" s="96">
        <f>IF(AND(Q473=1,T473=1,X473=1,J473="Sim",OR(L473&lt;&gt;"",M473&lt;&gt;"")),1,0)</f>
        <v>0</v>
      </c>
      <c r="AA473" s="96">
        <f>IF(Q473=0,0,IF(AND(OR(r_ini="",AND(ISNUMBER(E473),E473&gt;=r_ini)),OR(r_fim="",AND(ISNUMBER(E473),E473&lt;=r_fim)),OR(r_un="",r_un="(Todas)",IF(N(U473)&gt;0,INDEX('MTRs'!$G$6:$G$505,U473),"")=r_un),OR(r_de="",r_de="(Todos)",D473=r_de)),1,0))</f>
        <v>0</v>
      </c>
      <c r="AB473" s="96" t="str">
        <f>IF(AA473=1,COUNTIF($AA$6:AA473,1),"")</f>
        <v/>
      </c>
    </row>
    <row r="474">
      <c r="A474" s="89" t="inlineStr">
        <is>
          <t>REC-000469</t>
        </is>
      </c>
      <c r="B474" s="94" t="str">
        <f>IF(T474=1,INDEX('ITENS_MTR'!$S$6:$S$1005,S474)&amp;"","")</f>
        <v/>
      </c>
      <c r="C474" s="91" t="n"/>
      <c r="D474" s="94" t="str">
        <f>IF(N(U474)&gt;0,INDEX('MTRs'!$I$6:$I$505,U474)&amp;"","")</f>
        <v/>
      </c>
      <c r="E474" s="92" t="n"/>
      <c r="F474" s="98" t="n"/>
      <c r="G474" s="91" t="n"/>
      <c r="H474" s="93" t="str">
        <f>IF(Q474=0,"",IF(NOT(ISNUMBER(F474)),"",IF(ISNUMBER(W474),F474*W474,"UNIDADE A CONFERIR")))</f>
        <v/>
      </c>
      <c r="I474" s="91" t="n"/>
      <c r="J474" s="91" t="n"/>
      <c r="K474" s="92" t="n"/>
      <c r="L474" s="91" t="n"/>
      <c r="M474" s="91" t="n"/>
      <c r="N474" s="91" t="n"/>
      <c r="O474" s="91" t="n"/>
      <c r="P474" s="94" t="str">
        <f>IF(Q474=0,"",IF(C474="","Item de resíduo não informado",IF(T474=0,"Item inexistente (referência inválida)",IF(NOT(ISNUMBER(F474)),"Quantidade não informada",IF(F474&lt;=0,"Quantidade não positiva",IF(G474="","Unidade não informada",IF(NOT(ISNUMBER(H474)),"Unidade a conferir",IF(NOT(ISNUMBER(E474)),"Data de recebimento não informada",IF(AND(ISNUMBER(V474),N(V474)&gt;0,E474&lt;N(V474)),"Data anterior à emissão do MTR",IF(AND(J474="Sim",L474="",M474=""),"Conferido sem evidência identificada",IF(J474&lt;&gt;"Sim","Aguardando conferência",IF(INDEX('ITENS_MTR'!$AM$6:$AM$1005,S474)=1,"Conferido (ver diferença no item)","Conferido"))))))))))))</f>
        <v/>
      </c>
      <c r="Q474" s="96">
        <f>IF(COUNTA(C474,E474:G474,I474:O474)&gt;0,1,0)</f>
        <v>0</v>
      </c>
      <c r="R474" s="96" t="str">
        <f>IF(C474="","",TRIM(LEFT(C474,FIND(" |",C474&amp;" |")-1)))</f>
        <v/>
      </c>
      <c r="S474" s="96" t="str">
        <f>IF(R474="","",IFERROR(MATCH(R474,'ITENS_MTR'!$A$6:$A$1005,0),""))</f>
        <v/>
      </c>
      <c r="T474" s="96">
        <f>IF(S474="",0,IF(INDEX('ITENS_MTR'!$R$6:$R$1005,S474)=1,1,0))</f>
        <v>0</v>
      </c>
      <c r="U474" s="96" t="str">
        <f>IF(T474=1,INDEX('ITENS_MTR'!$T$6:$T$1005,S474),"")</f>
        <v/>
      </c>
      <c r="V474" s="97" t="str">
        <f>IF(N(U474)&gt;0,INDEX('MTRs'!$E$6:$E$505,U474),"")</f>
        <v/>
      </c>
      <c r="W474" s="96" t="str">
        <f>IF(G474="","",IFERROR(IF(ISNUMBER(INDEX(cfg_fac,MATCH(G474,cfg_units,0))),IF(INDEX(cfg_fac,MATCH(G474,cfg_units,0))&gt;0,INDEX(cfg_fac,MATCH(G474,cfg_units,0)),""),""),""))</f>
        <v/>
      </c>
      <c r="X474" s="96">
        <f>IF(AND(ISNUMBER(F474),ISNUMBER(H474)),IF(H474&gt;0,1,0),0)</f>
        <v>0</v>
      </c>
      <c r="Y474" s="96">
        <f>IF(Q474=0,0,IF(OR(T474=0,X474=0,NOT(ISNUMBER(E474)),AND(J474="Sim",L474="",M474=""),AND(ISNUMBER(E474),ISNUMBER(V474),N(V474)&gt;0,E474&lt;N(V474))),1,0))</f>
        <v>0</v>
      </c>
      <c r="Z474" s="96">
        <f>IF(AND(Q474=1,T474=1,X474=1,J474="Sim",OR(L474&lt;&gt;"",M474&lt;&gt;"")),1,0)</f>
        <v>0</v>
      </c>
      <c r="AA474" s="96">
        <f>IF(Q474=0,0,IF(AND(OR(r_ini="",AND(ISNUMBER(E474),E474&gt;=r_ini)),OR(r_fim="",AND(ISNUMBER(E474),E474&lt;=r_fim)),OR(r_un="",r_un="(Todas)",IF(N(U474)&gt;0,INDEX('MTRs'!$G$6:$G$505,U474),"")=r_un),OR(r_de="",r_de="(Todos)",D474=r_de)),1,0))</f>
        <v>0</v>
      </c>
      <c r="AB474" s="96" t="str">
        <f>IF(AA474=1,COUNTIF($AA$6:AA474,1),"")</f>
        <v/>
      </c>
    </row>
    <row r="475">
      <c r="A475" s="89" t="inlineStr">
        <is>
          <t>REC-000470</t>
        </is>
      </c>
      <c r="B475" s="94" t="str">
        <f>IF(T475=1,INDEX('ITENS_MTR'!$S$6:$S$1005,S475)&amp;"","")</f>
        <v/>
      </c>
      <c r="C475" s="91" t="n"/>
      <c r="D475" s="94" t="str">
        <f>IF(N(U475)&gt;0,INDEX('MTRs'!$I$6:$I$505,U475)&amp;"","")</f>
        <v/>
      </c>
      <c r="E475" s="92" t="n"/>
      <c r="F475" s="98" t="n"/>
      <c r="G475" s="91" t="n"/>
      <c r="H475" s="93" t="str">
        <f>IF(Q475=0,"",IF(NOT(ISNUMBER(F475)),"",IF(ISNUMBER(W475),F475*W475,"UNIDADE A CONFERIR")))</f>
        <v/>
      </c>
      <c r="I475" s="91" t="n"/>
      <c r="J475" s="91" t="n"/>
      <c r="K475" s="92" t="n"/>
      <c r="L475" s="91" t="n"/>
      <c r="M475" s="91" t="n"/>
      <c r="N475" s="91" t="n"/>
      <c r="O475" s="91" t="n"/>
      <c r="P475" s="94" t="str">
        <f>IF(Q475=0,"",IF(C475="","Item de resíduo não informado",IF(T475=0,"Item inexistente (referência inválida)",IF(NOT(ISNUMBER(F475)),"Quantidade não informada",IF(F475&lt;=0,"Quantidade não positiva",IF(G475="","Unidade não informada",IF(NOT(ISNUMBER(H475)),"Unidade a conferir",IF(NOT(ISNUMBER(E475)),"Data de recebimento não informada",IF(AND(ISNUMBER(V475),N(V475)&gt;0,E475&lt;N(V475)),"Data anterior à emissão do MTR",IF(AND(J475="Sim",L475="",M475=""),"Conferido sem evidência identificada",IF(J475&lt;&gt;"Sim","Aguardando conferência",IF(INDEX('ITENS_MTR'!$AM$6:$AM$1005,S475)=1,"Conferido (ver diferença no item)","Conferido"))))))))))))</f>
        <v/>
      </c>
      <c r="Q475" s="96">
        <f>IF(COUNTA(C475,E475:G475,I475:O475)&gt;0,1,0)</f>
        <v>0</v>
      </c>
      <c r="R475" s="96" t="str">
        <f>IF(C475="","",TRIM(LEFT(C475,FIND(" |",C475&amp;" |")-1)))</f>
        <v/>
      </c>
      <c r="S475" s="96" t="str">
        <f>IF(R475="","",IFERROR(MATCH(R475,'ITENS_MTR'!$A$6:$A$1005,0),""))</f>
        <v/>
      </c>
      <c r="T475" s="96">
        <f>IF(S475="",0,IF(INDEX('ITENS_MTR'!$R$6:$R$1005,S475)=1,1,0))</f>
        <v>0</v>
      </c>
      <c r="U475" s="96" t="str">
        <f>IF(T475=1,INDEX('ITENS_MTR'!$T$6:$T$1005,S475),"")</f>
        <v/>
      </c>
      <c r="V475" s="97" t="str">
        <f>IF(N(U475)&gt;0,INDEX('MTRs'!$E$6:$E$505,U475),"")</f>
        <v/>
      </c>
      <c r="W475" s="96" t="str">
        <f>IF(G475="","",IFERROR(IF(ISNUMBER(INDEX(cfg_fac,MATCH(G475,cfg_units,0))),IF(INDEX(cfg_fac,MATCH(G475,cfg_units,0))&gt;0,INDEX(cfg_fac,MATCH(G475,cfg_units,0)),""),""),""))</f>
        <v/>
      </c>
      <c r="X475" s="96">
        <f>IF(AND(ISNUMBER(F475),ISNUMBER(H475)),IF(H475&gt;0,1,0),0)</f>
        <v>0</v>
      </c>
      <c r="Y475" s="96">
        <f>IF(Q475=0,0,IF(OR(T475=0,X475=0,NOT(ISNUMBER(E475)),AND(J475="Sim",L475="",M475=""),AND(ISNUMBER(E475),ISNUMBER(V475),N(V475)&gt;0,E475&lt;N(V475))),1,0))</f>
        <v>0</v>
      </c>
      <c r="Z475" s="96">
        <f>IF(AND(Q475=1,T475=1,X475=1,J475="Sim",OR(L475&lt;&gt;"",M475&lt;&gt;"")),1,0)</f>
        <v>0</v>
      </c>
      <c r="AA475" s="96">
        <f>IF(Q475=0,0,IF(AND(OR(r_ini="",AND(ISNUMBER(E475),E475&gt;=r_ini)),OR(r_fim="",AND(ISNUMBER(E475),E475&lt;=r_fim)),OR(r_un="",r_un="(Todas)",IF(N(U475)&gt;0,INDEX('MTRs'!$G$6:$G$505,U475),"")=r_un),OR(r_de="",r_de="(Todos)",D475=r_de)),1,0))</f>
        <v>0</v>
      </c>
      <c r="AB475" s="96" t="str">
        <f>IF(AA475=1,COUNTIF($AA$6:AA475,1),"")</f>
        <v/>
      </c>
    </row>
    <row r="476">
      <c r="A476" s="89" t="inlineStr">
        <is>
          <t>REC-000471</t>
        </is>
      </c>
      <c r="B476" s="94" t="str">
        <f>IF(T476=1,INDEX('ITENS_MTR'!$S$6:$S$1005,S476)&amp;"","")</f>
        <v/>
      </c>
      <c r="C476" s="91" t="n"/>
      <c r="D476" s="94" t="str">
        <f>IF(N(U476)&gt;0,INDEX('MTRs'!$I$6:$I$505,U476)&amp;"","")</f>
        <v/>
      </c>
      <c r="E476" s="92" t="n"/>
      <c r="F476" s="98" t="n"/>
      <c r="G476" s="91" t="n"/>
      <c r="H476" s="93" t="str">
        <f>IF(Q476=0,"",IF(NOT(ISNUMBER(F476)),"",IF(ISNUMBER(W476),F476*W476,"UNIDADE A CONFERIR")))</f>
        <v/>
      </c>
      <c r="I476" s="91" t="n"/>
      <c r="J476" s="91" t="n"/>
      <c r="K476" s="92" t="n"/>
      <c r="L476" s="91" t="n"/>
      <c r="M476" s="91" t="n"/>
      <c r="N476" s="91" t="n"/>
      <c r="O476" s="91" t="n"/>
      <c r="P476" s="94" t="str">
        <f>IF(Q476=0,"",IF(C476="","Item de resíduo não informado",IF(T476=0,"Item inexistente (referência inválida)",IF(NOT(ISNUMBER(F476)),"Quantidade não informada",IF(F476&lt;=0,"Quantidade não positiva",IF(G476="","Unidade não informada",IF(NOT(ISNUMBER(H476)),"Unidade a conferir",IF(NOT(ISNUMBER(E476)),"Data de recebimento não informada",IF(AND(ISNUMBER(V476),N(V476)&gt;0,E476&lt;N(V476)),"Data anterior à emissão do MTR",IF(AND(J476="Sim",L476="",M476=""),"Conferido sem evidência identificada",IF(J476&lt;&gt;"Sim","Aguardando conferência",IF(INDEX('ITENS_MTR'!$AM$6:$AM$1005,S476)=1,"Conferido (ver diferença no item)","Conferido"))))))))))))</f>
        <v/>
      </c>
      <c r="Q476" s="96">
        <f>IF(COUNTA(C476,E476:G476,I476:O476)&gt;0,1,0)</f>
        <v>0</v>
      </c>
      <c r="R476" s="96" t="str">
        <f>IF(C476="","",TRIM(LEFT(C476,FIND(" |",C476&amp;" |")-1)))</f>
        <v/>
      </c>
      <c r="S476" s="96" t="str">
        <f>IF(R476="","",IFERROR(MATCH(R476,'ITENS_MTR'!$A$6:$A$1005,0),""))</f>
        <v/>
      </c>
      <c r="T476" s="96">
        <f>IF(S476="",0,IF(INDEX('ITENS_MTR'!$R$6:$R$1005,S476)=1,1,0))</f>
        <v>0</v>
      </c>
      <c r="U476" s="96" t="str">
        <f>IF(T476=1,INDEX('ITENS_MTR'!$T$6:$T$1005,S476),"")</f>
        <v/>
      </c>
      <c r="V476" s="97" t="str">
        <f>IF(N(U476)&gt;0,INDEX('MTRs'!$E$6:$E$505,U476),"")</f>
        <v/>
      </c>
      <c r="W476" s="96" t="str">
        <f>IF(G476="","",IFERROR(IF(ISNUMBER(INDEX(cfg_fac,MATCH(G476,cfg_units,0))),IF(INDEX(cfg_fac,MATCH(G476,cfg_units,0))&gt;0,INDEX(cfg_fac,MATCH(G476,cfg_units,0)),""),""),""))</f>
        <v/>
      </c>
      <c r="X476" s="96">
        <f>IF(AND(ISNUMBER(F476),ISNUMBER(H476)),IF(H476&gt;0,1,0),0)</f>
        <v>0</v>
      </c>
      <c r="Y476" s="96">
        <f>IF(Q476=0,0,IF(OR(T476=0,X476=0,NOT(ISNUMBER(E476)),AND(J476="Sim",L476="",M476=""),AND(ISNUMBER(E476),ISNUMBER(V476),N(V476)&gt;0,E476&lt;N(V476))),1,0))</f>
        <v>0</v>
      </c>
      <c r="Z476" s="96">
        <f>IF(AND(Q476=1,T476=1,X476=1,J476="Sim",OR(L476&lt;&gt;"",M476&lt;&gt;"")),1,0)</f>
        <v>0</v>
      </c>
      <c r="AA476" s="96">
        <f>IF(Q476=0,0,IF(AND(OR(r_ini="",AND(ISNUMBER(E476),E476&gt;=r_ini)),OR(r_fim="",AND(ISNUMBER(E476),E476&lt;=r_fim)),OR(r_un="",r_un="(Todas)",IF(N(U476)&gt;0,INDEX('MTRs'!$G$6:$G$505,U476),"")=r_un),OR(r_de="",r_de="(Todos)",D476=r_de)),1,0))</f>
        <v>0</v>
      </c>
      <c r="AB476" s="96" t="str">
        <f>IF(AA476=1,COUNTIF($AA$6:AA476,1),"")</f>
        <v/>
      </c>
    </row>
    <row r="477">
      <c r="A477" s="89" t="inlineStr">
        <is>
          <t>REC-000472</t>
        </is>
      </c>
      <c r="B477" s="94" t="str">
        <f>IF(T477=1,INDEX('ITENS_MTR'!$S$6:$S$1005,S477)&amp;"","")</f>
        <v/>
      </c>
      <c r="C477" s="91" t="n"/>
      <c r="D477" s="94" t="str">
        <f>IF(N(U477)&gt;0,INDEX('MTRs'!$I$6:$I$505,U477)&amp;"","")</f>
        <v/>
      </c>
      <c r="E477" s="92" t="n"/>
      <c r="F477" s="98" t="n"/>
      <c r="G477" s="91" t="n"/>
      <c r="H477" s="93" t="str">
        <f>IF(Q477=0,"",IF(NOT(ISNUMBER(F477)),"",IF(ISNUMBER(W477),F477*W477,"UNIDADE A CONFERIR")))</f>
        <v/>
      </c>
      <c r="I477" s="91" t="n"/>
      <c r="J477" s="91" t="n"/>
      <c r="K477" s="92" t="n"/>
      <c r="L477" s="91" t="n"/>
      <c r="M477" s="91" t="n"/>
      <c r="N477" s="91" t="n"/>
      <c r="O477" s="91" t="n"/>
      <c r="P477" s="94" t="str">
        <f>IF(Q477=0,"",IF(C477="","Item de resíduo não informado",IF(T477=0,"Item inexistente (referência inválida)",IF(NOT(ISNUMBER(F477)),"Quantidade não informada",IF(F477&lt;=0,"Quantidade não positiva",IF(G477="","Unidade não informada",IF(NOT(ISNUMBER(H477)),"Unidade a conferir",IF(NOT(ISNUMBER(E477)),"Data de recebimento não informada",IF(AND(ISNUMBER(V477),N(V477)&gt;0,E477&lt;N(V477)),"Data anterior à emissão do MTR",IF(AND(J477="Sim",L477="",M477=""),"Conferido sem evidência identificada",IF(J477&lt;&gt;"Sim","Aguardando conferência",IF(INDEX('ITENS_MTR'!$AM$6:$AM$1005,S477)=1,"Conferido (ver diferença no item)","Conferido"))))))))))))</f>
        <v/>
      </c>
      <c r="Q477" s="96">
        <f>IF(COUNTA(C477,E477:G477,I477:O477)&gt;0,1,0)</f>
        <v>0</v>
      </c>
      <c r="R477" s="96" t="str">
        <f>IF(C477="","",TRIM(LEFT(C477,FIND(" |",C477&amp;" |")-1)))</f>
        <v/>
      </c>
      <c r="S477" s="96" t="str">
        <f>IF(R477="","",IFERROR(MATCH(R477,'ITENS_MTR'!$A$6:$A$1005,0),""))</f>
        <v/>
      </c>
      <c r="T477" s="96">
        <f>IF(S477="",0,IF(INDEX('ITENS_MTR'!$R$6:$R$1005,S477)=1,1,0))</f>
        <v>0</v>
      </c>
      <c r="U477" s="96" t="str">
        <f>IF(T477=1,INDEX('ITENS_MTR'!$T$6:$T$1005,S477),"")</f>
        <v/>
      </c>
      <c r="V477" s="97" t="str">
        <f>IF(N(U477)&gt;0,INDEX('MTRs'!$E$6:$E$505,U477),"")</f>
        <v/>
      </c>
      <c r="W477" s="96" t="str">
        <f>IF(G477="","",IFERROR(IF(ISNUMBER(INDEX(cfg_fac,MATCH(G477,cfg_units,0))),IF(INDEX(cfg_fac,MATCH(G477,cfg_units,0))&gt;0,INDEX(cfg_fac,MATCH(G477,cfg_units,0)),""),""),""))</f>
        <v/>
      </c>
      <c r="X477" s="96">
        <f>IF(AND(ISNUMBER(F477),ISNUMBER(H477)),IF(H477&gt;0,1,0),0)</f>
        <v>0</v>
      </c>
      <c r="Y477" s="96">
        <f>IF(Q477=0,0,IF(OR(T477=0,X477=0,NOT(ISNUMBER(E477)),AND(J477="Sim",L477="",M477=""),AND(ISNUMBER(E477),ISNUMBER(V477),N(V477)&gt;0,E477&lt;N(V477))),1,0))</f>
        <v>0</v>
      </c>
      <c r="Z477" s="96">
        <f>IF(AND(Q477=1,T477=1,X477=1,J477="Sim",OR(L477&lt;&gt;"",M477&lt;&gt;"")),1,0)</f>
        <v>0</v>
      </c>
      <c r="AA477" s="96">
        <f>IF(Q477=0,0,IF(AND(OR(r_ini="",AND(ISNUMBER(E477),E477&gt;=r_ini)),OR(r_fim="",AND(ISNUMBER(E477),E477&lt;=r_fim)),OR(r_un="",r_un="(Todas)",IF(N(U477)&gt;0,INDEX('MTRs'!$G$6:$G$505,U477),"")=r_un),OR(r_de="",r_de="(Todos)",D477=r_de)),1,0))</f>
        <v>0</v>
      </c>
      <c r="AB477" s="96" t="str">
        <f>IF(AA477=1,COUNTIF($AA$6:AA477,1),"")</f>
        <v/>
      </c>
    </row>
    <row r="478">
      <c r="A478" s="89" t="inlineStr">
        <is>
          <t>REC-000473</t>
        </is>
      </c>
      <c r="B478" s="94" t="str">
        <f>IF(T478=1,INDEX('ITENS_MTR'!$S$6:$S$1005,S478)&amp;"","")</f>
        <v/>
      </c>
      <c r="C478" s="91" t="n"/>
      <c r="D478" s="94" t="str">
        <f>IF(N(U478)&gt;0,INDEX('MTRs'!$I$6:$I$505,U478)&amp;"","")</f>
        <v/>
      </c>
      <c r="E478" s="92" t="n"/>
      <c r="F478" s="98" t="n"/>
      <c r="G478" s="91" t="n"/>
      <c r="H478" s="93" t="str">
        <f>IF(Q478=0,"",IF(NOT(ISNUMBER(F478)),"",IF(ISNUMBER(W478),F478*W478,"UNIDADE A CONFERIR")))</f>
        <v/>
      </c>
      <c r="I478" s="91" t="n"/>
      <c r="J478" s="91" t="n"/>
      <c r="K478" s="92" t="n"/>
      <c r="L478" s="91" t="n"/>
      <c r="M478" s="91" t="n"/>
      <c r="N478" s="91" t="n"/>
      <c r="O478" s="91" t="n"/>
      <c r="P478" s="94" t="str">
        <f>IF(Q478=0,"",IF(C478="","Item de resíduo não informado",IF(T478=0,"Item inexistente (referência inválida)",IF(NOT(ISNUMBER(F478)),"Quantidade não informada",IF(F478&lt;=0,"Quantidade não positiva",IF(G478="","Unidade não informada",IF(NOT(ISNUMBER(H478)),"Unidade a conferir",IF(NOT(ISNUMBER(E478)),"Data de recebimento não informada",IF(AND(ISNUMBER(V478),N(V478)&gt;0,E478&lt;N(V478)),"Data anterior à emissão do MTR",IF(AND(J478="Sim",L478="",M478=""),"Conferido sem evidência identificada",IF(J478&lt;&gt;"Sim","Aguardando conferência",IF(INDEX('ITENS_MTR'!$AM$6:$AM$1005,S478)=1,"Conferido (ver diferença no item)","Conferido"))))))))))))</f>
        <v/>
      </c>
      <c r="Q478" s="96">
        <f>IF(COUNTA(C478,E478:G478,I478:O478)&gt;0,1,0)</f>
        <v>0</v>
      </c>
      <c r="R478" s="96" t="str">
        <f>IF(C478="","",TRIM(LEFT(C478,FIND(" |",C478&amp;" |")-1)))</f>
        <v/>
      </c>
      <c r="S478" s="96" t="str">
        <f>IF(R478="","",IFERROR(MATCH(R478,'ITENS_MTR'!$A$6:$A$1005,0),""))</f>
        <v/>
      </c>
      <c r="T478" s="96">
        <f>IF(S478="",0,IF(INDEX('ITENS_MTR'!$R$6:$R$1005,S478)=1,1,0))</f>
        <v>0</v>
      </c>
      <c r="U478" s="96" t="str">
        <f>IF(T478=1,INDEX('ITENS_MTR'!$T$6:$T$1005,S478),"")</f>
        <v/>
      </c>
      <c r="V478" s="97" t="str">
        <f>IF(N(U478)&gt;0,INDEX('MTRs'!$E$6:$E$505,U478),"")</f>
        <v/>
      </c>
      <c r="W478" s="96" t="str">
        <f>IF(G478="","",IFERROR(IF(ISNUMBER(INDEX(cfg_fac,MATCH(G478,cfg_units,0))),IF(INDEX(cfg_fac,MATCH(G478,cfg_units,0))&gt;0,INDEX(cfg_fac,MATCH(G478,cfg_units,0)),""),""),""))</f>
        <v/>
      </c>
      <c r="X478" s="96">
        <f>IF(AND(ISNUMBER(F478),ISNUMBER(H478)),IF(H478&gt;0,1,0),0)</f>
        <v>0</v>
      </c>
      <c r="Y478" s="96">
        <f>IF(Q478=0,0,IF(OR(T478=0,X478=0,NOT(ISNUMBER(E478)),AND(J478="Sim",L478="",M478=""),AND(ISNUMBER(E478),ISNUMBER(V478),N(V478)&gt;0,E478&lt;N(V478))),1,0))</f>
        <v>0</v>
      </c>
      <c r="Z478" s="96">
        <f>IF(AND(Q478=1,T478=1,X478=1,J478="Sim",OR(L478&lt;&gt;"",M478&lt;&gt;"")),1,0)</f>
        <v>0</v>
      </c>
      <c r="AA478" s="96">
        <f>IF(Q478=0,0,IF(AND(OR(r_ini="",AND(ISNUMBER(E478),E478&gt;=r_ini)),OR(r_fim="",AND(ISNUMBER(E478),E478&lt;=r_fim)),OR(r_un="",r_un="(Todas)",IF(N(U478)&gt;0,INDEX('MTRs'!$G$6:$G$505,U478),"")=r_un),OR(r_de="",r_de="(Todos)",D478=r_de)),1,0))</f>
        <v>0</v>
      </c>
      <c r="AB478" s="96" t="str">
        <f>IF(AA478=1,COUNTIF($AA$6:AA478,1),"")</f>
        <v/>
      </c>
    </row>
    <row r="479">
      <c r="A479" s="89" t="inlineStr">
        <is>
          <t>REC-000474</t>
        </is>
      </c>
      <c r="B479" s="94" t="str">
        <f>IF(T479=1,INDEX('ITENS_MTR'!$S$6:$S$1005,S479)&amp;"","")</f>
        <v/>
      </c>
      <c r="C479" s="91" t="n"/>
      <c r="D479" s="94" t="str">
        <f>IF(N(U479)&gt;0,INDEX('MTRs'!$I$6:$I$505,U479)&amp;"","")</f>
        <v/>
      </c>
      <c r="E479" s="92" t="n"/>
      <c r="F479" s="98" t="n"/>
      <c r="G479" s="91" t="n"/>
      <c r="H479" s="93" t="str">
        <f>IF(Q479=0,"",IF(NOT(ISNUMBER(F479)),"",IF(ISNUMBER(W479),F479*W479,"UNIDADE A CONFERIR")))</f>
        <v/>
      </c>
      <c r="I479" s="91" t="n"/>
      <c r="J479" s="91" t="n"/>
      <c r="K479" s="92" t="n"/>
      <c r="L479" s="91" t="n"/>
      <c r="M479" s="91" t="n"/>
      <c r="N479" s="91" t="n"/>
      <c r="O479" s="91" t="n"/>
      <c r="P479" s="94" t="str">
        <f>IF(Q479=0,"",IF(C479="","Item de resíduo não informado",IF(T479=0,"Item inexistente (referência inválida)",IF(NOT(ISNUMBER(F479)),"Quantidade não informada",IF(F479&lt;=0,"Quantidade não positiva",IF(G479="","Unidade não informada",IF(NOT(ISNUMBER(H479)),"Unidade a conferir",IF(NOT(ISNUMBER(E479)),"Data de recebimento não informada",IF(AND(ISNUMBER(V479),N(V479)&gt;0,E479&lt;N(V479)),"Data anterior à emissão do MTR",IF(AND(J479="Sim",L479="",M479=""),"Conferido sem evidência identificada",IF(J479&lt;&gt;"Sim","Aguardando conferência",IF(INDEX('ITENS_MTR'!$AM$6:$AM$1005,S479)=1,"Conferido (ver diferença no item)","Conferido"))))))))))))</f>
        <v/>
      </c>
      <c r="Q479" s="96">
        <f>IF(COUNTA(C479,E479:G479,I479:O479)&gt;0,1,0)</f>
        <v>0</v>
      </c>
      <c r="R479" s="96" t="str">
        <f>IF(C479="","",TRIM(LEFT(C479,FIND(" |",C479&amp;" |")-1)))</f>
        <v/>
      </c>
      <c r="S479" s="96" t="str">
        <f>IF(R479="","",IFERROR(MATCH(R479,'ITENS_MTR'!$A$6:$A$1005,0),""))</f>
        <v/>
      </c>
      <c r="T479" s="96">
        <f>IF(S479="",0,IF(INDEX('ITENS_MTR'!$R$6:$R$1005,S479)=1,1,0))</f>
        <v>0</v>
      </c>
      <c r="U479" s="96" t="str">
        <f>IF(T479=1,INDEX('ITENS_MTR'!$T$6:$T$1005,S479),"")</f>
        <v/>
      </c>
      <c r="V479" s="97" t="str">
        <f>IF(N(U479)&gt;0,INDEX('MTRs'!$E$6:$E$505,U479),"")</f>
        <v/>
      </c>
      <c r="W479" s="96" t="str">
        <f>IF(G479="","",IFERROR(IF(ISNUMBER(INDEX(cfg_fac,MATCH(G479,cfg_units,0))),IF(INDEX(cfg_fac,MATCH(G479,cfg_units,0))&gt;0,INDEX(cfg_fac,MATCH(G479,cfg_units,0)),""),""),""))</f>
        <v/>
      </c>
      <c r="X479" s="96">
        <f>IF(AND(ISNUMBER(F479),ISNUMBER(H479)),IF(H479&gt;0,1,0),0)</f>
        <v>0</v>
      </c>
      <c r="Y479" s="96">
        <f>IF(Q479=0,0,IF(OR(T479=0,X479=0,NOT(ISNUMBER(E479)),AND(J479="Sim",L479="",M479=""),AND(ISNUMBER(E479),ISNUMBER(V479),N(V479)&gt;0,E479&lt;N(V479))),1,0))</f>
        <v>0</v>
      </c>
      <c r="Z479" s="96">
        <f>IF(AND(Q479=1,T479=1,X479=1,J479="Sim",OR(L479&lt;&gt;"",M479&lt;&gt;"")),1,0)</f>
        <v>0</v>
      </c>
      <c r="AA479" s="96">
        <f>IF(Q479=0,0,IF(AND(OR(r_ini="",AND(ISNUMBER(E479),E479&gt;=r_ini)),OR(r_fim="",AND(ISNUMBER(E479),E479&lt;=r_fim)),OR(r_un="",r_un="(Todas)",IF(N(U479)&gt;0,INDEX('MTRs'!$G$6:$G$505,U479),"")=r_un),OR(r_de="",r_de="(Todos)",D479=r_de)),1,0))</f>
        <v>0</v>
      </c>
      <c r="AB479" s="96" t="str">
        <f>IF(AA479=1,COUNTIF($AA$6:AA479,1),"")</f>
        <v/>
      </c>
    </row>
    <row r="480">
      <c r="A480" s="89" t="inlineStr">
        <is>
          <t>REC-000475</t>
        </is>
      </c>
      <c r="B480" s="94" t="str">
        <f>IF(T480=1,INDEX('ITENS_MTR'!$S$6:$S$1005,S480)&amp;"","")</f>
        <v/>
      </c>
      <c r="C480" s="91" t="n"/>
      <c r="D480" s="94" t="str">
        <f>IF(N(U480)&gt;0,INDEX('MTRs'!$I$6:$I$505,U480)&amp;"","")</f>
        <v/>
      </c>
      <c r="E480" s="92" t="n"/>
      <c r="F480" s="98" t="n"/>
      <c r="G480" s="91" t="n"/>
      <c r="H480" s="93" t="str">
        <f>IF(Q480=0,"",IF(NOT(ISNUMBER(F480)),"",IF(ISNUMBER(W480),F480*W480,"UNIDADE A CONFERIR")))</f>
        <v/>
      </c>
      <c r="I480" s="91" t="n"/>
      <c r="J480" s="91" t="n"/>
      <c r="K480" s="92" t="n"/>
      <c r="L480" s="91" t="n"/>
      <c r="M480" s="91" t="n"/>
      <c r="N480" s="91" t="n"/>
      <c r="O480" s="91" t="n"/>
      <c r="P480" s="94" t="str">
        <f>IF(Q480=0,"",IF(C480="","Item de resíduo não informado",IF(T480=0,"Item inexistente (referência inválida)",IF(NOT(ISNUMBER(F480)),"Quantidade não informada",IF(F480&lt;=0,"Quantidade não positiva",IF(G480="","Unidade não informada",IF(NOT(ISNUMBER(H480)),"Unidade a conferir",IF(NOT(ISNUMBER(E480)),"Data de recebimento não informada",IF(AND(ISNUMBER(V480),N(V480)&gt;0,E480&lt;N(V480)),"Data anterior à emissão do MTR",IF(AND(J480="Sim",L480="",M480=""),"Conferido sem evidência identificada",IF(J480&lt;&gt;"Sim","Aguardando conferência",IF(INDEX('ITENS_MTR'!$AM$6:$AM$1005,S480)=1,"Conferido (ver diferença no item)","Conferido"))))))))))))</f>
        <v/>
      </c>
      <c r="Q480" s="96">
        <f>IF(COUNTA(C480,E480:G480,I480:O480)&gt;0,1,0)</f>
        <v>0</v>
      </c>
      <c r="R480" s="96" t="str">
        <f>IF(C480="","",TRIM(LEFT(C480,FIND(" |",C480&amp;" |")-1)))</f>
        <v/>
      </c>
      <c r="S480" s="96" t="str">
        <f>IF(R480="","",IFERROR(MATCH(R480,'ITENS_MTR'!$A$6:$A$1005,0),""))</f>
        <v/>
      </c>
      <c r="T480" s="96">
        <f>IF(S480="",0,IF(INDEX('ITENS_MTR'!$R$6:$R$1005,S480)=1,1,0))</f>
        <v>0</v>
      </c>
      <c r="U480" s="96" t="str">
        <f>IF(T480=1,INDEX('ITENS_MTR'!$T$6:$T$1005,S480),"")</f>
        <v/>
      </c>
      <c r="V480" s="97" t="str">
        <f>IF(N(U480)&gt;0,INDEX('MTRs'!$E$6:$E$505,U480),"")</f>
        <v/>
      </c>
      <c r="W480" s="96" t="str">
        <f>IF(G480="","",IFERROR(IF(ISNUMBER(INDEX(cfg_fac,MATCH(G480,cfg_units,0))),IF(INDEX(cfg_fac,MATCH(G480,cfg_units,0))&gt;0,INDEX(cfg_fac,MATCH(G480,cfg_units,0)),""),""),""))</f>
        <v/>
      </c>
      <c r="X480" s="96">
        <f>IF(AND(ISNUMBER(F480),ISNUMBER(H480)),IF(H480&gt;0,1,0),0)</f>
        <v>0</v>
      </c>
      <c r="Y480" s="96">
        <f>IF(Q480=0,0,IF(OR(T480=0,X480=0,NOT(ISNUMBER(E480)),AND(J480="Sim",L480="",M480=""),AND(ISNUMBER(E480),ISNUMBER(V480),N(V480)&gt;0,E480&lt;N(V480))),1,0))</f>
        <v>0</v>
      </c>
      <c r="Z480" s="96">
        <f>IF(AND(Q480=1,T480=1,X480=1,J480="Sim",OR(L480&lt;&gt;"",M480&lt;&gt;"")),1,0)</f>
        <v>0</v>
      </c>
      <c r="AA480" s="96">
        <f>IF(Q480=0,0,IF(AND(OR(r_ini="",AND(ISNUMBER(E480),E480&gt;=r_ini)),OR(r_fim="",AND(ISNUMBER(E480),E480&lt;=r_fim)),OR(r_un="",r_un="(Todas)",IF(N(U480)&gt;0,INDEX('MTRs'!$G$6:$G$505,U480),"")=r_un),OR(r_de="",r_de="(Todos)",D480=r_de)),1,0))</f>
        <v>0</v>
      </c>
      <c r="AB480" s="96" t="str">
        <f>IF(AA480=1,COUNTIF($AA$6:AA480,1),"")</f>
        <v/>
      </c>
    </row>
    <row r="481">
      <c r="A481" s="89" t="inlineStr">
        <is>
          <t>REC-000476</t>
        </is>
      </c>
      <c r="B481" s="94" t="str">
        <f>IF(T481=1,INDEX('ITENS_MTR'!$S$6:$S$1005,S481)&amp;"","")</f>
        <v/>
      </c>
      <c r="C481" s="91" t="n"/>
      <c r="D481" s="94" t="str">
        <f>IF(N(U481)&gt;0,INDEX('MTRs'!$I$6:$I$505,U481)&amp;"","")</f>
        <v/>
      </c>
      <c r="E481" s="92" t="n"/>
      <c r="F481" s="98" t="n"/>
      <c r="G481" s="91" t="n"/>
      <c r="H481" s="93" t="str">
        <f>IF(Q481=0,"",IF(NOT(ISNUMBER(F481)),"",IF(ISNUMBER(W481),F481*W481,"UNIDADE A CONFERIR")))</f>
        <v/>
      </c>
      <c r="I481" s="91" t="n"/>
      <c r="J481" s="91" t="n"/>
      <c r="K481" s="92" t="n"/>
      <c r="L481" s="91" t="n"/>
      <c r="M481" s="91" t="n"/>
      <c r="N481" s="91" t="n"/>
      <c r="O481" s="91" t="n"/>
      <c r="P481" s="94" t="str">
        <f>IF(Q481=0,"",IF(C481="","Item de resíduo não informado",IF(T481=0,"Item inexistente (referência inválida)",IF(NOT(ISNUMBER(F481)),"Quantidade não informada",IF(F481&lt;=0,"Quantidade não positiva",IF(G481="","Unidade não informada",IF(NOT(ISNUMBER(H481)),"Unidade a conferir",IF(NOT(ISNUMBER(E481)),"Data de recebimento não informada",IF(AND(ISNUMBER(V481),N(V481)&gt;0,E481&lt;N(V481)),"Data anterior à emissão do MTR",IF(AND(J481="Sim",L481="",M481=""),"Conferido sem evidência identificada",IF(J481&lt;&gt;"Sim","Aguardando conferência",IF(INDEX('ITENS_MTR'!$AM$6:$AM$1005,S481)=1,"Conferido (ver diferença no item)","Conferido"))))))))))))</f>
        <v/>
      </c>
      <c r="Q481" s="96">
        <f>IF(COUNTA(C481,E481:G481,I481:O481)&gt;0,1,0)</f>
        <v>0</v>
      </c>
      <c r="R481" s="96" t="str">
        <f>IF(C481="","",TRIM(LEFT(C481,FIND(" |",C481&amp;" |")-1)))</f>
        <v/>
      </c>
      <c r="S481" s="96" t="str">
        <f>IF(R481="","",IFERROR(MATCH(R481,'ITENS_MTR'!$A$6:$A$1005,0),""))</f>
        <v/>
      </c>
      <c r="T481" s="96">
        <f>IF(S481="",0,IF(INDEX('ITENS_MTR'!$R$6:$R$1005,S481)=1,1,0))</f>
        <v>0</v>
      </c>
      <c r="U481" s="96" t="str">
        <f>IF(T481=1,INDEX('ITENS_MTR'!$T$6:$T$1005,S481),"")</f>
        <v/>
      </c>
      <c r="V481" s="97" t="str">
        <f>IF(N(U481)&gt;0,INDEX('MTRs'!$E$6:$E$505,U481),"")</f>
        <v/>
      </c>
      <c r="W481" s="96" t="str">
        <f>IF(G481="","",IFERROR(IF(ISNUMBER(INDEX(cfg_fac,MATCH(G481,cfg_units,0))),IF(INDEX(cfg_fac,MATCH(G481,cfg_units,0))&gt;0,INDEX(cfg_fac,MATCH(G481,cfg_units,0)),""),""),""))</f>
        <v/>
      </c>
      <c r="X481" s="96">
        <f>IF(AND(ISNUMBER(F481),ISNUMBER(H481)),IF(H481&gt;0,1,0),0)</f>
        <v>0</v>
      </c>
      <c r="Y481" s="96">
        <f>IF(Q481=0,0,IF(OR(T481=0,X481=0,NOT(ISNUMBER(E481)),AND(J481="Sim",L481="",M481=""),AND(ISNUMBER(E481),ISNUMBER(V481),N(V481)&gt;0,E481&lt;N(V481))),1,0))</f>
        <v>0</v>
      </c>
      <c r="Z481" s="96">
        <f>IF(AND(Q481=1,T481=1,X481=1,J481="Sim",OR(L481&lt;&gt;"",M481&lt;&gt;"")),1,0)</f>
        <v>0</v>
      </c>
      <c r="AA481" s="96">
        <f>IF(Q481=0,0,IF(AND(OR(r_ini="",AND(ISNUMBER(E481),E481&gt;=r_ini)),OR(r_fim="",AND(ISNUMBER(E481),E481&lt;=r_fim)),OR(r_un="",r_un="(Todas)",IF(N(U481)&gt;0,INDEX('MTRs'!$G$6:$G$505,U481),"")=r_un),OR(r_de="",r_de="(Todos)",D481=r_de)),1,0))</f>
        <v>0</v>
      </c>
      <c r="AB481" s="96" t="str">
        <f>IF(AA481=1,COUNTIF($AA$6:AA481,1),"")</f>
        <v/>
      </c>
    </row>
    <row r="482">
      <c r="A482" s="89" t="inlineStr">
        <is>
          <t>REC-000477</t>
        </is>
      </c>
      <c r="B482" s="94" t="str">
        <f>IF(T482=1,INDEX('ITENS_MTR'!$S$6:$S$1005,S482)&amp;"","")</f>
        <v/>
      </c>
      <c r="C482" s="91" t="n"/>
      <c r="D482" s="94" t="str">
        <f>IF(N(U482)&gt;0,INDEX('MTRs'!$I$6:$I$505,U482)&amp;"","")</f>
        <v/>
      </c>
      <c r="E482" s="92" t="n"/>
      <c r="F482" s="98" t="n"/>
      <c r="G482" s="91" t="n"/>
      <c r="H482" s="93" t="str">
        <f>IF(Q482=0,"",IF(NOT(ISNUMBER(F482)),"",IF(ISNUMBER(W482),F482*W482,"UNIDADE A CONFERIR")))</f>
        <v/>
      </c>
      <c r="I482" s="91" t="n"/>
      <c r="J482" s="91" t="n"/>
      <c r="K482" s="92" t="n"/>
      <c r="L482" s="91" t="n"/>
      <c r="M482" s="91" t="n"/>
      <c r="N482" s="91" t="n"/>
      <c r="O482" s="91" t="n"/>
      <c r="P482" s="94" t="str">
        <f>IF(Q482=0,"",IF(C482="","Item de resíduo não informado",IF(T482=0,"Item inexistente (referência inválida)",IF(NOT(ISNUMBER(F482)),"Quantidade não informada",IF(F482&lt;=0,"Quantidade não positiva",IF(G482="","Unidade não informada",IF(NOT(ISNUMBER(H482)),"Unidade a conferir",IF(NOT(ISNUMBER(E482)),"Data de recebimento não informada",IF(AND(ISNUMBER(V482),N(V482)&gt;0,E482&lt;N(V482)),"Data anterior à emissão do MTR",IF(AND(J482="Sim",L482="",M482=""),"Conferido sem evidência identificada",IF(J482&lt;&gt;"Sim","Aguardando conferência",IF(INDEX('ITENS_MTR'!$AM$6:$AM$1005,S482)=1,"Conferido (ver diferença no item)","Conferido"))))))))))))</f>
        <v/>
      </c>
      <c r="Q482" s="96">
        <f>IF(COUNTA(C482,E482:G482,I482:O482)&gt;0,1,0)</f>
        <v>0</v>
      </c>
      <c r="R482" s="96" t="str">
        <f>IF(C482="","",TRIM(LEFT(C482,FIND(" |",C482&amp;" |")-1)))</f>
        <v/>
      </c>
      <c r="S482" s="96" t="str">
        <f>IF(R482="","",IFERROR(MATCH(R482,'ITENS_MTR'!$A$6:$A$1005,0),""))</f>
        <v/>
      </c>
      <c r="T482" s="96">
        <f>IF(S482="",0,IF(INDEX('ITENS_MTR'!$R$6:$R$1005,S482)=1,1,0))</f>
        <v>0</v>
      </c>
      <c r="U482" s="96" t="str">
        <f>IF(T482=1,INDEX('ITENS_MTR'!$T$6:$T$1005,S482),"")</f>
        <v/>
      </c>
      <c r="V482" s="97" t="str">
        <f>IF(N(U482)&gt;0,INDEX('MTRs'!$E$6:$E$505,U482),"")</f>
        <v/>
      </c>
      <c r="W482" s="96" t="str">
        <f>IF(G482="","",IFERROR(IF(ISNUMBER(INDEX(cfg_fac,MATCH(G482,cfg_units,0))),IF(INDEX(cfg_fac,MATCH(G482,cfg_units,0))&gt;0,INDEX(cfg_fac,MATCH(G482,cfg_units,0)),""),""),""))</f>
        <v/>
      </c>
      <c r="X482" s="96">
        <f>IF(AND(ISNUMBER(F482),ISNUMBER(H482)),IF(H482&gt;0,1,0),0)</f>
        <v>0</v>
      </c>
      <c r="Y482" s="96">
        <f>IF(Q482=0,0,IF(OR(T482=0,X482=0,NOT(ISNUMBER(E482)),AND(J482="Sim",L482="",M482=""),AND(ISNUMBER(E482),ISNUMBER(V482),N(V482)&gt;0,E482&lt;N(V482))),1,0))</f>
        <v>0</v>
      </c>
      <c r="Z482" s="96">
        <f>IF(AND(Q482=1,T482=1,X482=1,J482="Sim",OR(L482&lt;&gt;"",M482&lt;&gt;"")),1,0)</f>
        <v>0</v>
      </c>
      <c r="AA482" s="96">
        <f>IF(Q482=0,0,IF(AND(OR(r_ini="",AND(ISNUMBER(E482),E482&gt;=r_ini)),OR(r_fim="",AND(ISNUMBER(E482),E482&lt;=r_fim)),OR(r_un="",r_un="(Todas)",IF(N(U482)&gt;0,INDEX('MTRs'!$G$6:$G$505,U482),"")=r_un),OR(r_de="",r_de="(Todos)",D482=r_de)),1,0))</f>
        <v>0</v>
      </c>
      <c r="AB482" s="96" t="str">
        <f>IF(AA482=1,COUNTIF($AA$6:AA482,1),"")</f>
        <v/>
      </c>
    </row>
    <row r="483">
      <c r="A483" s="89" t="inlineStr">
        <is>
          <t>REC-000478</t>
        </is>
      </c>
      <c r="B483" s="94" t="str">
        <f>IF(T483=1,INDEX('ITENS_MTR'!$S$6:$S$1005,S483)&amp;"","")</f>
        <v/>
      </c>
      <c r="C483" s="91" t="n"/>
      <c r="D483" s="94" t="str">
        <f>IF(N(U483)&gt;0,INDEX('MTRs'!$I$6:$I$505,U483)&amp;"","")</f>
        <v/>
      </c>
      <c r="E483" s="92" t="n"/>
      <c r="F483" s="98" t="n"/>
      <c r="G483" s="91" t="n"/>
      <c r="H483" s="93" t="str">
        <f>IF(Q483=0,"",IF(NOT(ISNUMBER(F483)),"",IF(ISNUMBER(W483),F483*W483,"UNIDADE A CONFERIR")))</f>
        <v/>
      </c>
      <c r="I483" s="91" t="n"/>
      <c r="J483" s="91" t="n"/>
      <c r="K483" s="92" t="n"/>
      <c r="L483" s="91" t="n"/>
      <c r="M483" s="91" t="n"/>
      <c r="N483" s="91" t="n"/>
      <c r="O483" s="91" t="n"/>
      <c r="P483" s="94" t="str">
        <f>IF(Q483=0,"",IF(C483="","Item de resíduo não informado",IF(T483=0,"Item inexistente (referência inválida)",IF(NOT(ISNUMBER(F483)),"Quantidade não informada",IF(F483&lt;=0,"Quantidade não positiva",IF(G483="","Unidade não informada",IF(NOT(ISNUMBER(H483)),"Unidade a conferir",IF(NOT(ISNUMBER(E483)),"Data de recebimento não informada",IF(AND(ISNUMBER(V483),N(V483)&gt;0,E483&lt;N(V483)),"Data anterior à emissão do MTR",IF(AND(J483="Sim",L483="",M483=""),"Conferido sem evidência identificada",IF(J483&lt;&gt;"Sim","Aguardando conferência",IF(INDEX('ITENS_MTR'!$AM$6:$AM$1005,S483)=1,"Conferido (ver diferença no item)","Conferido"))))))))))))</f>
        <v/>
      </c>
      <c r="Q483" s="96">
        <f>IF(COUNTA(C483,E483:G483,I483:O483)&gt;0,1,0)</f>
        <v>0</v>
      </c>
      <c r="R483" s="96" t="str">
        <f>IF(C483="","",TRIM(LEFT(C483,FIND(" |",C483&amp;" |")-1)))</f>
        <v/>
      </c>
      <c r="S483" s="96" t="str">
        <f>IF(R483="","",IFERROR(MATCH(R483,'ITENS_MTR'!$A$6:$A$1005,0),""))</f>
        <v/>
      </c>
      <c r="T483" s="96">
        <f>IF(S483="",0,IF(INDEX('ITENS_MTR'!$R$6:$R$1005,S483)=1,1,0))</f>
        <v>0</v>
      </c>
      <c r="U483" s="96" t="str">
        <f>IF(T483=1,INDEX('ITENS_MTR'!$T$6:$T$1005,S483),"")</f>
        <v/>
      </c>
      <c r="V483" s="97" t="str">
        <f>IF(N(U483)&gt;0,INDEX('MTRs'!$E$6:$E$505,U483),"")</f>
        <v/>
      </c>
      <c r="W483" s="96" t="str">
        <f>IF(G483="","",IFERROR(IF(ISNUMBER(INDEX(cfg_fac,MATCH(G483,cfg_units,0))),IF(INDEX(cfg_fac,MATCH(G483,cfg_units,0))&gt;0,INDEX(cfg_fac,MATCH(G483,cfg_units,0)),""),""),""))</f>
        <v/>
      </c>
      <c r="X483" s="96">
        <f>IF(AND(ISNUMBER(F483),ISNUMBER(H483)),IF(H483&gt;0,1,0),0)</f>
        <v>0</v>
      </c>
      <c r="Y483" s="96">
        <f>IF(Q483=0,0,IF(OR(T483=0,X483=0,NOT(ISNUMBER(E483)),AND(J483="Sim",L483="",M483=""),AND(ISNUMBER(E483),ISNUMBER(V483),N(V483)&gt;0,E483&lt;N(V483))),1,0))</f>
        <v>0</v>
      </c>
      <c r="Z483" s="96">
        <f>IF(AND(Q483=1,T483=1,X483=1,J483="Sim",OR(L483&lt;&gt;"",M483&lt;&gt;"")),1,0)</f>
        <v>0</v>
      </c>
      <c r="AA483" s="96">
        <f>IF(Q483=0,0,IF(AND(OR(r_ini="",AND(ISNUMBER(E483),E483&gt;=r_ini)),OR(r_fim="",AND(ISNUMBER(E483),E483&lt;=r_fim)),OR(r_un="",r_un="(Todas)",IF(N(U483)&gt;0,INDEX('MTRs'!$G$6:$G$505,U483),"")=r_un),OR(r_de="",r_de="(Todos)",D483=r_de)),1,0))</f>
        <v>0</v>
      </c>
      <c r="AB483" s="96" t="str">
        <f>IF(AA483=1,COUNTIF($AA$6:AA483,1),"")</f>
        <v/>
      </c>
    </row>
    <row r="484">
      <c r="A484" s="89" t="inlineStr">
        <is>
          <t>REC-000479</t>
        </is>
      </c>
      <c r="B484" s="94" t="str">
        <f>IF(T484=1,INDEX('ITENS_MTR'!$S$6:$S$1005,S484)&amp;"","")</f>
        <v/>
      </c>
      <c r="C484" s="91" t="n"/>
      <c r="D484" s="94" t="str">
        <f>IF(N(U484)&gt;0,INDEX('MTRs'!$I$6:$I$505,U484)&amp;"","")</f>
        <v/>
      </c>
      <c r="E484" s="92" t="n"/>
      <c r="F484" s="98" t="n"/>
      <c r="G484" s="91" t="n"/>
      <c r="H484" s="93" t="str">
        <f>IF(Q484=0,"",IF(NOT(ISNUMBER(F484)),"",IF(ISNUMBER(W484),F484*W484,"UNIDADE A CONFERIR")))</f>
        <v/>
      </c>
      <c r="I484" s="91" t="n"/>
      <c r="J484" s="91" t="n"/>
      <c r="K484" s="92" t="n"/>
      <c r="L484" s="91" t="n"/>
      <c r="M484" s="91" t="n"/>
      <c r="N484" s="91" t="n"/>
      <c r="O484" s="91" t="n"/>
      <c r="P484" s="94" t="str">
        <f>IF(Q484=0,"",IF(C484="","Item de resíduo não informado",IF(T484=0,"Item inexistente (referência inválida)",IF(NOT(ISNUMBER(F484)),"Quantidade não informada",IF(F484&lt;=0,"Quantidade não positiva",IF(G484="","Unidade não informada",IF(NOT(ISNUMBER(H484)),"Unidade a conferir",IF(NOT(ISNUMBER(E484)),"Data de recebimento não informada",IF(AND(ISNUMBER(V484),N(V484)&gt;0,E484&lt;N(V484)),"Data anterior à emissão do MTR",IF(AND(J484="Sim",L484="",M484=""),"Conferido sem evidência identificada",IF(J484&lt;&gt;"Sim","Aguardando conferência",IF(INDEX('ITENS_MTR'!$AM$6:$AM$1005,S484)=1,"Conferido (ver diferença no item)","Conferido"))))))))))))</f>
        <v/>
      </c>
      <c r="Q484" s="96">
        <f>IF(COUNTA(C484,E484:G484,I484:O484)&gt;0,1,0)</f>
        <v>0</v>
      </c>
      <c r="R484" s="96" t="str">
        <f>IF(C484="","",TRIM(LEFT(C484,FIND(" |",C484&amp;" |")-1)))</f>
        <v/>
      </c>
      <c r="S484" s="96" t="str">
        <f>IF(R484="","",IFERROR(MATCH(R484,'ITENS_MTR'!$A$6:$A$1005,0),""))</f>
        <v/>
      </c>
      <c r="T484" s="96">
        <f>IF(S484="",0,IF(INDEX('ITENS_MTR'!$R$6:$R$1005,S484)=1,1,0))</f>
        <v>0</v>
      </c>
      <c r="U484" s="96" t="str">
        <f>IF(T484=1,INDEX('ITENS_MTR'!$T$6:$T$1005,S484),"")</f>
        <v/>
      </c>
      <c r="V484" s="97" t="str">
        <f>IF(N(U484)&gt;0,INDEX('MTRs'!$E$6:$E$505,U484),"")</f>
        <v/>
      </c>
      <c r="W484" s="96" t="str">
        <f>IF(G484="","",IFERROR(IF(ISNUMBER(INDEX(cfg_fac,MATCH(G484,cfg_units,0))),IF(INDEX(cfg_fac,MATCH(G484,cfg_units,0))&gt;0,INDEX(cfg_fac,MATCH(G484,cfg_units,0)),""),""),""))</f>
        <v/>
      </c>
      <c r="X484" s="96">
        <f>IF(AND(ISNUMBER(F484),ISNUMBER(H484)),IF(H484&gt;0,1,0),0)</f>
        <v>0</v>
      </c>
      <c r="Y484" s="96">
        <f>IF(Q484=0,0,IF(OR(T484=0,X484=0,NOT(ISNUMBER(E484)),AND(J484="Sim",L484="",M484=""),AND(ISNUMBER(E484),ISNUMBER(V484),N(V484)&gt;0,E484&lt;N(V484))),1,0))</f>
        <v>0</v>
      </c>
      <c r="Z484" s="96">
        <f>IF(AND(Q484=1,T484=1,X484=1,J484="Sim",OR(L484&lt;&gt;"",M484&lt;&gt;"")),1,0)</f>
        <v>0</v>
      </c>
      <c r="AA484" s="96">
        <f>IF(Q484=0,0,IF(AND(OR(r_ini="",AND(ISNUMBER(E484),E484&gt;=r_ini)),OR(r_fim="",AND(ISNUMBER(E484),E484&lt;=r_fim)),OR(r_un="",r_un="(Todas)",IF(N(U484)&gt;0,INDEX('MTRs'!$G$6:$G$505,U484),"")=r_un),OR(r_de="",r_de="(Todos)",D484=r_de)),1,0))</f>
        <v>0</v>
      </c>
      <c r="AB484" s="96" t="str">
        <f>IF(AA484=1,COUNTIF($AA$6:AA484,1),"")</f>
        <v/>
      </c>
    </row>
    <row r="485">
      <c r="A485" s="89" t="inlineStr">
        <is>
          <t>REC-000480</t>
        </is>
      </c>
      <c r="B485" s="94" t="str">
        <f>IF(T485=1,INDEX('ITENS_MTR'!$S$6:$S$1005,S485)&amp;"","")</f>
        <v/>
      </c>
      <c r="C485" s="91" t="n"/>
      <c r="D485" s="94" t="str">
        <f>IF(N(U485)&gt;0,INDEX('MTRs'!$I$6:$I$505,U485)&amp;"","")</f>
        <v/>
      </c>
      <c r="E485" s="92" t="n"/>
      <c r="F485" s="98" t="n"/>
      <c r="G485" s="91" t="n"/>
      <c r="H485" s="93" t="str">
        <f>IF(Q485=0,"",IF(NOT(ISNUMBER(F485)),"",IF(ISNUMBER(W485),F485*W485,"UNIDADE A CONFERIR")))</f>
        <v/>
      </c>
      <c r="I485" s="91" t="n"/>
      <c r="J485" s="91" t="n"/>
      <c r="K485" s="92" t="n"/>
      <c r="L485" s="91" t="n"/>
      <c r="M485" s="91" t="n"/>
      <c r="N485" s="91" t="n"/>
      <c r="O485" s="91" t="n"/>
      <c r="P485" s="94" t="str">
        <f>IF(Q485=0,"",IF(C485="","Item de resíduo não informado",IF(T485=0,"Item inexistente (referência inválida)",IF(NOT(ISNUMBER(F485)),"Quantidade não informada",IF(F485&lt;=0,"Quantidade não positiva",IF(G485="","Unidade não informada",IF(NOT(ISNUMBER(H485)),"Unidade a conferir",IF(NOT(ISNUMBER(E485)),"Data de recebimento não informada",IF(AND(ISNUMBER(V485),N(V485)&gt;0,E485&lt;N(V485)),"Data anterior à emissão do MTR",IF(AND(J485="Sim",L485="",M485=""),"Conferido sem evidência identificada",IF(J485&lt;&gt;"Sim","Aguardando conferência",IF(INDEX('ITENS_MTR'!$AM$6:$AM$1005,S485)=1,"Conferido (ver diferença no item)","Conferido"))))))))))))</f>
        <v/>
      </c>
      <c r="Q485" s="96">
        <f>IF(COUNTA(C485,E485:G485,I485:O485)&gt;0,1,0)</f>
        <v>0</v>
      </c>
      <c r="R485" s="96" t="str">
        <f>IF(C485="","",TRIM(LEFT(C485,FIND(" |",C485&amp;" |")-1)))</f>
        <v/>
      </c>
      <c r="S485" s="96" t="str">
        <f>IF(R485="","",IFERROR(MATCH(R485,'ITENS_MTR'!$A$6:$A$1005,0),""))</f>
        <v/>
      </c>
      <c r="T485" s="96">
        <f>IF(S485="",0,IF(INDEX('ITENS_MTR'!$R$6:$R$1005,S485)=1,1,0))</f>
        <v>0</v>
      </c>
      <c r="U485" s="96" t="str">
        <f>IF(T485=1,INDEX('ITENS_MTR'!$T$6:$T$1005,S485),"")</f>
        <v/>
      </c>
      <c r="V485" s="97" t="str">
        <f>IF(N(U485)&gt;0,INDEX('MTRs'!$E$6:$E$505,U485),"")</f>
        <v/>
      </c>
      <c r="W485" s="96" t="str">
        <f>IF(G485="","",IFERROR(IF(ISNUMBER(INDEX(cfg_fac,MATCH(G485,cfg_units,0))),IF(INDEX(cfg_fac,MATCH(G485,cfg_units,0))&gt;0,INDEX(cfg_fac,MATCH(G485,cfg_units,0)),""),""),""))</f>
        <v/>
      </c>
      <c r="X485" s="96">
        <f>IF(AND(ISNUMBER(F485),ISNUMBER(H485)),IF(H485&gt;0,1,0),0)</f>
        <v>0</v>
      </c>
      <c r="Y485" s="96">
        <f>IF(Q485=0,0,IF(OR(T485=0,X485=0,NOT(ISNUMBER(E485)),AND(J485="Sim",L485="",M485=""),AND(ISNUMBER(E485),ISNUMBER(V485),N(V485)&gt;0,E485&lt;N(V485))),1,0))</f>
        <v>0</v>
      </c>
      <c r="Z485" s="96">
        <f>IF(AND(Q485=1,T485=1,X485=1,J485="Sim",OR(L485&lt;&gt;"",M485&lt;&gt;"")),1,0)</f>
        <v>0</v>
      </c>
      <c r="AA485" s="96">
        <f>IF(Q485=0,0,IF(AND(OR(r_ini="",AND(ISNUMBER(E485),E485&gt;=r_ini)),OR(r_fim="",AND(ISNUMBER(E485),E485&lt;=r_fim)),OR(r_un="",r_un="(Todas)",IF(N(U485)&gt;0,INDEX('MTRs'!$G$6:$G$505,U485),"")=r_un),OR(r_de="",r_de="(Todos)",D485=r_de)),1,0))</f>
        <v>0</v>
      </c>
      <c r="AB485" s="96" t="str">
        <f>IF(AA485=1,COUNTIF($AA$6:AA485,1),"")</f>
        <v/>
      </c>
    </row>
    <row r="486">
      <c r="A486" s="89" t="inlineStr">
        <is>
          <t>REC-000481</t>
        </is>
      </c>
      <c r="B486" s="94" t="str">
        <f>IF(T486=1,INDEX('ITENS_MTR'!$S$6:$S$1005,S486)&amp;"","")</f>
        <v/>
      </c>
      <c r="C486" s="91" t="n"/>
      <c r="D486" s="94" t="str">
        <f>IF(N(U486)&gt;0,INDEX('MTRs'!$I$6:$I$505,U486)&amp;"","")</f>
        <v/>
      </c>
      <c r="E486" s="92" t="n"/>
      <c r="F486" s="98" t="n"/>
      <c r="G486" s="91" t="n"/>
      <c r="H486" s="93" t="str">
        <f>IF(Q486=0,"",IF(NOT(ISNUMBER(F486)),"",IF(ISNUMBER(W486),F486*W486,"UNIDADE A CONFERIR")))</f>
        <v/>
      </c>
      <c r="I486" s="91" t="n"/>
      <c r="J486" s="91" t="n"/>
      <c r="K486" s="92" t="n"/>
      <c r="L486" s="91" t="n"/>
      <c r="M486" s="91" t="n"/>
      <c r="N486" s="91" t="n"/>
      <c r="O486" s="91" t="n"/>
      <c r="P486" s="94" t="str">
        <f>IF(Q486=0,"",IF(C486="","Item de resíduo não informado",IF(T486=0,"Item inexistente (referência inválida)",IF(NOT(ISNUMBER(F486)),"Quantidade não informada",IF(F486&lt;=0,"Quantidade não positiva",IF(G486="","Unidade não informada",IF(NOT(ISNUMBER(H486)),"Unidade a conferir",IF(NOT(ISNUMBER(E486)),"Data de recebimento não informada",IF(AND(ISNUMBER(V486),N(V486)&gt;0,E486&lt;N(V486)),"Data anterior à emissão do MTR",IF(AND(J486="Sim",L486="",M486=""),"Conferido sem evidência identificada",IF(J486&lt;&gt;"Sim","Aguardando conferência",IF(INDEX('ITENS_MTR'!$AM$6:$AM$1005,S486)=1,"Conferido (ver diferença no item)","Conferido"))))))))))))</f>
        <v/>
      </c>
      <c r="Q486" s="96">
        <f>IF(COUNTA(C486,E486:G486,I486:O486)&gt;0,1,0)</f>
        <v>0</v>
      </c>
      <c r="R486" s="96" t="str">
        <f>IF(C486="","",TRIM(LEFT(C486,FIND(" |",C486&amp;" |")-1)))</f>
        <v/>
      </c>
      <c r="S486" s="96" t="str">
        <f>IF(R486="","",IFERROR(MATCH(R486,'ITENS_MTR'!$A$6:$A$1005,0),""))</f>
        <v/>
      </c>
      <c r="T486" s="96">
        <f>IF(S486="",0,IF(INDEX('ITENS_MTR'!$R$6:$R$1005,S486)=1,1,0))</f>
        <v>0</v>
      </c>
      <c r="U486" s="96" t="str">
        <f>IF(T486=1,INDEX('ITENS_MTR'!$T$6:$T$1005,S486),"")</f>
        <v/>
      </c>
      <c r="V486" s="97" t="str">
        <f>IF(N(U486)&gt;0,INDEX('MTRs'!$E$6:$E$505,U486),"")</f>
        <v/>
      </c>
      <c r="W486" s="96" t="str">
        <f>IF(G486="","",IFERROR(IF(ISNUMBER(INDEX(cfg_fac,MATCH(G486,cfg_units,0))),IF(INDEX(cfg_fac,MATCH(G486,cfg_units,0))&gt;0,INDEX(cfg_fac,MATCH(G486,cfg_units,0)),""),""),""))</f>
        <v/>
      </c>
      <c r="X486" s="96">
        <f>IF(AND(ISNUMBER(F486),ISNUMBER(H486)),IF(H486&gt;0,1,0),0)</f>
        <v>0</v>
      </c>
      <c r="Y486" s="96">
        <f>IF(Q486=0,0,IF(OR(T486=0,X486=0,NOT(ISNUMBER(E486)),AND(J486="Sim",L486="",M486=""),AND(ISNUMBER(E486),ISNUMBER(V486),N(V486)&gt;0,E486&lt;N(V486))),1,0))</f>
        <v>0</v>
      </c>
      <c r="Z486" s="96">
        <f>IF(AND(Q486=1,T486=1,X486=1,J486="Sim",OR(L486&lt;&gt;"",M486&lt;&gt;"")),1,0)</f>
        <v>0</v>
      </c>
      <c r="AA486" s="96">
        <f>IF(Q486=0,0,IF(AND(OR(r_ini="",AND(ISNUMBER(E486),E486&gt;=r_ini)),OR(r_fim="",AND(ISNUMBER(E486),E486&lt;=r_fim)),OR(r_un="",r_un="(Todas)",IF(N(U486)&gt;0,INDEX('MTRs'!$G$6:$G$505,U486),"")=r_un),OR(r_de="",r_de="(Todos)",D486=r_de)),1,0))</f>
        <v>0</v>
      </c>
      <c r="AB486" s="96" t="str">
        <f>IF(AA486=1,COUNTIF($AA$6:AA486,1),"")</f>
        <v/>
      </c>
    </row>
    <row r="487">
      <c r="A487" s="89" t="inlineStr">
        <is>
          <t>REC-000482</t>
        </is>
      </c>
      <c r="B487" s="94" t="str">
        <f>IF(T487=1,INDEX('ITENS_MTR'!$S$6:$S$1005,S487)&amp;"","")</f>
        <v/>
      </c>
      <c r="C487" s="91" t="n"/>
      <c r="D487" s="94" t="str">
        <f>IF(N(U487)&gt;0,INDEX('MTRs'!$I$6:$I$505,U487)&amp;"","")</f>
        <v/>
      </c>
      <c r="E487" s="92" t="n"/>
      <c r="F487" s="98" t="n"/>
      <c r="G487" s="91" t="n"/>
      <c r="H487" s="93" t="str">
        <f>IF(Q487=0,"",IF(NOT(ISNUMBER(F487)),"",IF(ISNUMBER(W487),F487*W487,"UNIDADE A CONFERIR")))</f>
        <v/>
      </c>
      <c r="I487" s="91" t="n"/>
      <c r="J487" s="91" t="n"/>
      <c r="K487" s="92" t="n"/>
      <c r="L487" s="91" t="n"/>
      <c r="M487" s="91" t="n"/>
      <c r="N487" s="91" t="n"/>
      <c r="O487" s="91" t="n"/>
      <c r="P487" s="94" t="str">
        <f>IF(Q487=0,"",IF(C487="","Item de resíduo não informado",IF(T487=0,"Item inexistente (referência inválida)",IF(NOT(ISNUMBER(F487)),"Quantidade não informada",IF(F487&lt;=0,"Quantidade não positiva",IF(G487="","Unidade não informada",IF(NOT(ISNUMBER(H487)),"Unidade a conferir",IF(NOT(ISNUMBER(E487)),"Data de recebimento não informada",IF(AND(ISNUMBER(V487),N(V487)&gt;0,E487&lt;N(V487)),"Data anterior à emissão do MTR",IF(AND(J487="Sim",L487="",M487=""),"Conferido sem evidência identificada",IF(J487&lt;&gt;"Sim","Aguardando conferência",IF(INDEX('ITENS_MTR'!$AM$6:$AM$1005,S487)=1,"Conferido (ver diferença no item)","Conferido"))))))))))))</f>
        <v/>
      </c>
      <c r="Q487" s="96">
        <f>IF(COUNTA(C487,E487:G487,I487:O487)&gt;0,1,0)</f>
        <v>0</v>
      </c>
      <c r="R487" s="96" t="str">
        <f>IF(C487="","",TRIM(LEFT(C487,FIND(" |",C487&amp;" |")-1)))</f>
        <v/>
      </c>
      <c r="S487" s="96" t="str">
        <f>IF(R487="","",IFERROR(MATCH(R487,'ITENS_MTR'!$A$6:$A$1005,0),""))</f>
        <v/>
      </c>
      <c r="T487" s="96">
        <f>IF(S487="",0,IF(INDEX('ITENS_MTR'!$R$6:$R$1005,S487)=1,1,0))</f>
        <v>0</v>
      </c>
      <c r="U487" s="96" t="str">
        <f>IF(T487=1,INDEX('ITENS_MTR'!$T$6:$T$1005,S487),"")</f>
        <v/>
      </c>
      <c r="V487" s="97" t="str">
        <f>IF(N(U487)&gt;0,INDEX('MTRs'!$E$6:$E$505,U487),"")</f>
        <v/>
      </c>
      <c r="W487" s="96" t="str">
        <f>IF(G487="","",IFERROR(IF(ISNUMBER(INDEX(cfg_fac,MATCH(G487,cfg_units,0))),IF(INDEX(cfg_fac,MATCH(G487,cfg_units,0))&gt;0,INDEX(cfg_fac,MATCH(G487,cfg_units,0)),""),""),""))</f>
        <v/>
      </c>
      <c r="X487" s="96">
        <f>IF(AND(ISNUMBER(F487),ISNUMBER(H487)),IF(H487&gt;0,1,0),0)</f>
        <v>0</v>
      </c>
      <c r="Y487" s="96">
        <f>IF(Q487=0,0,IF(OR(T487=0,X487=0,NOT(ISNUMBER(E487)),AND(J487="Sim",L487="",M487=""),AND(ISNUMBER(E487),ISNUMBER(V487),N(V487)&gt;0,E487&lt;N(V487))),1,0))</f>
        <v>0</v>
      </c>
      <c r="Z487" s="96">
        <f>IF(AND(Q487=1,T487=1,X487=1,J487="Sim",OR(L487&lt;&gt;"",M487&lt;&gt;"")),1,0)</f>
        <v>0</v>
      </c>
      <c r="AA487" s="96">
        <f>IF(Q487=0,0,IF(AND(OR(r_ini="",AND(ISNUMBER(E487),E487&gt;=r_ini)),OR(r_fim="",AND(ISNUMBER(E487),E487&lt;=r_fim)),OR(r_un="",r_un="(Todas)",IF(N(U487)&gt;0,INDEX('MTRs'!$G$6:$G$505,U487),"")=r_un),OR(r_de="",r_de="(Todos)",D487=r_de)),1,0))</f>
        <v>0</v>
      </c>
      <c r="AB487" s="96" t="str">
        <f>IF(AA487=1,COUNTIF($AA$6:AA487,1),"")</f>
        <v/>
      </c>
    </row>
    <row r="488">
      <c r="A488" s="89" t="inlineStr">
        <is>
          <t>REC-000483</t>
        </is>
      </c>
      <c r="B488" s="94" t="str">
        <f>IF(T488=1,INDEX('ITENS_MTR'!$S$6:$S$1005,S488)&amp;"","")</f>
        <v/>
      </c>
      <c r="C488" s="91" t="n"/>
      <c r="D488" s="94" t="str">
        <f>IF(N(U488)&gt;0,INDEX('MTRs'!$I$6:$I$505,U488)&amp;"","")</f>
        <v/>
      </c>
      <c r="E488" s="92" t="n"/>
      <c r="F488" s="98" t="n"/>
      <c r="G488" s="91" t="n"/>
      <c r="H488" s="93" t="str">
        <f>IF(Q488=0,"",IF(NOT(ISNUMBER(F488)),"",IF(ISNUMBER(W488),F488*W488,"UNIDADE A CONFERIR")))</f>
        <v/>
      </c>
      <c r="I488" s="91" t="n"/>
      <c r="J488" s="91" t="n"/>
      <c r="K488" s="92" t="n"/>
      <c r="L488" s="91" t="n"/>
      <c r="M488" s="91" t="n"/>
      <c r="N488" s="91" t="n"/>
      <c r="O488" s="91" t="n"/>
      <c r="P488" s="94" t="str">
        <f>IF(Q488=0,"",IF(C488="","Item de resíduo não informado",IF(T488=0,"Item inexistente (referência inválida)",IF(NOT(ISNUMBER(F488)),"Quantidade não informada",IF(F488&lt;=0,"Quantidade não positiva",IF(G488="","Unidade não informada",IF(NOT(ISNUMBER(H488)),"Unidade a conferir",IF(NOT(ISNUMBER(E488)),"Data de recebimento não informada",IF(AND(ISNUMBER(V488),N(V488)&gt;0,E488&lt;N(V488)),"Data anterior à emissão do MTR",IF(AND(J488="Sim",L488="",M488=""),"Conferido sem evidência identificada",IF(J488&lt;&gt;"Sim","Aguardando conferência",IF(INDEX('ITENS_MTR'!$AM$6:$AM$1005,S488)=1,"Conferido (ver diferença no item)","Conferido"))))))))))))</f>
        <v/>
      </c>
      <c r="Q488" s="96">
        <f>IF(COUNTA(C488,E488:G488,I488:O488)&gt;0,1,0)</f>
        <v>0</v>
      </c>
      <c r="R488" s="96" t="str">
        <f>IF(C488="","",TRIM(LEFT(C488,FIND(" |",C488&amp;" |")-1)))</f>
        <v/>
      </c>
      <c r="S488" s="96" t="str">
        <f>IF(R488="","",IFERROR(MATCH(R488,'ITENS_MTR'!$A$6:$A$1005,0),""))</f>
        <v/>
      </c>
      <c r="T488" s="96">
        <f>IF(S488="",0,IF(INDEX('ITENS_MTR'!$R$6:$R$1005,S488)=1,1,0))</f>
        <v>0</v>
      </c>
      <c r="U488" s="96" t="str">
        <f>IF(T488=1,INDEX('ITENS_MTR'!$T$6:$T$1005,S488),"")</f>
        <v/>
      </c>
      <c r="V488" s="97" t="str">
        <f>IF(N(U488)&gt;0,INDEX('MTRs'!$E$6:$E$505,U488),"")</f>
        <v/>
      </c>
      <c r="W488" s="96" t="str">
        <f>IF(G488="","",IFERROR(IF(ISNUMBER(INDEX(cfg_fac,MATCH(G488,cfg_units,0))),IF(INDEX(cfg_fac,MATCH(G488,cfg_units,0))&gt;0,INDEX(cfg_fac,MATCH(G488,cfg_units,0)),""),""),""))</f>
        <v/>
      </c>
      <c r="X488" s="96">
        <f>IF(AND(ISNUMBER(F488),ISNUMBER(H488)),IF(H488&gt;0,1,0),0)</f>
        <v>0</v>
      </c>
      <c r="Y488" s="96">
        <f>IF(Q488=0,0,IF(OR(T488=0,X488=0,NOT(ISNUMBER(E488)),AND(J488="Sim",L488="",M488=""),AND(ISNUMBER(E488),ISNUMBER(V488),N(V488)&gt;0,E488&lt;N(V488))),1,0))</f>
        <v>0</v>
      </c>
      <c r="Z488" s="96">
        <f>IF(AND(Q488=1,T488=1,X488=1,J488="Sim",OR(L488&lt;&gt;"",M488&lt;&gt;"")),1,0)</f>
        <v>0</v>
      </c>
      <c r="AA488" s="96">
        <f>IF(Q488=0,0,IF(AND(OR(r_ini="",AND(ISNUMBER(E488),E488&gt;=r_ini)),OR(r_fim="",AND(ISNUMBER(E488),E488&lt;=r_fim)),OR(r_un="",r_un="(Todas)",IF(N(U488)&gt;0,INDEX('MTRs'!$G$6:$G$505,U488),"")=r_un),OR(r_de="",r_de="(Todos)",D488=r_de)),1,0))</f>
        <v>0</v>
      </c>
      <c r="AB488" s="96" t="str">
        <f>IF(AA488=1,COUNTIF($AA$6:AA488,1),"")</f>
        <v/>
      </c>
    </row>
    <row r="489">
      <c r="A489" s="89" t="inlineStr">
        <is>
          <t>REC-000484</t>
        </is>
      </c>
      <c r="B489" s="94" t="str">
        <f>IF(T489=1,INDEX('ITENS_MTR'!$S$6:$S$1005,S489)&amp;"","")</f>
        <v/>
      </c>
      <c r="C489" s="91" t="n"/>
      <c r="D489" s="94" t="str">
        <f>IF(N(U489)&gt;0,INDEX('MTRs'!$I$6:$I$505,U489)&amp;"","")</f>
        <v/>
      </c>
      <c r="E489" s="92" t="n"/>
      <c r="F489" s="98" t="n"/>
      <c r="G489" s="91" t="n"/>
      <c r="H489" s="93" t="str">
        <f>IF(Q489=0,"",IF(NOT(ISNUMBER(F489)),"",IF(ISNUMBER(W489),F489*W489,"UNIDADE A CONFERIR")))</f>
        <v/>
      </c>
      <c r="I489" s="91" t="n"/>
      <c r="J489" s="91" t="n"/>
      <c r="K489" s="92" t="n"/>
      <c r="L489" s="91" t="n"/>
      <c r="M489" s="91" t="n"/>
      <c r="N489" s="91" t="n"/>
      <c r="O489" s="91" t="n"/>
      <c r="P489" s="94" t="str">
        <f>IF(Q489=0,"",IF(C489="","Item de resíduo não informado",IF(T489=0,"Item inexistente (referência inválida)",IF(NOT(ISNUMBER(F489)),"Quantidade não informada",IF(F489&lt;=0,"Quantidade não positiva",IF(G489="","Unidade não informada",IF(NOT(ISNUMBER(H489)),"Unidade a conferir",IF(NOT(ISNUMBER(E489)),"Data de recebimento não informada",IF(AND(ISNUMBER(V489),N(V489)&gt;0,E489&lt;N(V489)),"Data anterior à emissão do MTR",IF(AND(J489="Sim",L489="",M489=""),"Conferido sem evidência identificada",IF(J489&lt;&gt;"Sim","Aguardando conferência",IF(INDEX('ITENS_MTR'!$AM$6:$AM$1005,S489)=1,"Conferido (ver diferença no item)","Conferido"))))))))))))</f>
        <v/>
      </c>
      <c r="Q489" s="96">
        <f>IF(COUNTA(C489,E489:G489,I489:O489)&gt;0,1,0)</f>
        <v>0</v>
      </c>
      <c r="R489" s="96" t="str">
        <f>IF(C489="","",TRIM(LEFT(C489,FIND(" |",C489&amp;" |")-1)))</f>
        <v/>
      </c>
      <c r="S489" s="96" t="str">
        <f>IF(R489="","",IFERROR(MATCH(R489,'ITENS_MTR'!$A$6:$A$1005,0),""))</f>
        <v/>
      </c>
      <c r="T489" s="96">
        <f>IF(S489="",0,IF(INDEX('ITENS_MTR'!$R$6:$R$1005,S489)=1,1,0))</f>
        <v>0</v>
      </c>
      <c r="U489" s="96" t="str">
        <f>IF(T489=1,INDEX('ITENS_MTR'!$T$6:$T$1005,S489),"")</f>
        <v/>
      </c>
      <c r="V489" s="97" t="str">
        <f>IF(N(U489)&gt;0,INDEX('MTRs'!$E$6:$E$505,U489),"")</f>
        <v/>
      </c>
      <c r="W489" s="96" t="str">
        <f>IF(G489="","",IFERROR(IF(ISNUMBER(INDEX(cfg_fac,MATCH(G489,cfg_units,0))),IF(INDEX(cfg_fac,MATCH(G489,cfg_units,0))&gt;0,INDEX(cfg_fac,MATCH(G489,cfg_units,0)),""),""),""))</f>
        <v/>
      </c>
      <c r="X489" s="96">
        <f>IF(AND(ISNUMBER(F489),ISNUMBER(H489)),IF(H489&gt;0,1,0),0)</f>
        <v>0</v>
      </c>
      <c r="Y489" s="96">
        <f>IF(Q489=0,0,IF(OR(T489=0,X489=0,NOT(ISNUMBER(E489)),AND(J489="Sim",L489="",M489=""),AND(ISNUMBER(E489),ISNUMBER(V489),N(V489)&gt;0,E489&lt;N(V489))),1,0))</f>
        <v>0</v>
      </c>
      <c r="Z489" s="96">
        <f>IF(AND(Q489=1,T489=1,X489=1,J489="Sim",OR(L489&lt;&gt;"",M489&lt;&gt;"")),1,0)</f>
        <v>0</v>
      </c>
      <c r="AA489" s="96">
        <f>IF(Q489=0,0,IF(AND(OR(r_ini="",AND(ISNUMBER(E489),E489&gt;=r_ini)),OR(r_fim="",AND(ISNUMBER(E489),E489&lt;=r_fim)),OR(r_un="",r_un="(Todas)",IF(N(U489)&gt;0,INDEX('MTRs'!$G$6:$G$505,U489),"")=r_un),OR(r_de="",r_de="(Todos)",D489=r_de)),1,0))</f>
        <v>0</v>
      </c>
      <c r="AB489" s="96" t="str">
        <f>IF(AA489=1,COUNTIF($AA$6:AA489,1),"")</f>
        <v/>
      </c>
    </row>
    <row r="490">
      <c r="A490" s="89" t="inlineStr">
        <is>
          <t>REC-000485</t>
        </is>
      </c>
      <c r="B490" s="94" t="str">
        <f>IF(T490=1,INDEX('ITENS_MTR'!$S$6:$S$1005,S490)&amp;"","")</f>
        <v/>
      </c>
      <c r="C490" s="91" t="n"/>
      <c r="D490" s="94" t="str">
        <f>IF(N(U490)&gt;0,INDEX('MTRs'!$I$6:$I$505,U490)&amp;"","")</f>
        <v/>
      </c>
      <c r="E490" s="92" t="n"/>
      <c r="F490" s="98" t="n"/>
      <c r="G490" s="91" t="n"/>
      <c r="H490" s="93" t="str">
        <f>IF(Q490=0,"",IF(NOT(ISNUMBER(F490)),"",IF(ISNUMBER(W490),F490*W490,"UNIDADE A CONFERIR")))</f>
        <v/>
      </c>
      <c r="I490" s="91" t="n"/>
      <c r="J490" s="91" t="n"/>
      <c r="K490" s="92" t="n"/>
      <c r="L490" s="91" t="n"/>
      <c r="M490" s="91" t="n"/>
      <c r="N490" s="91" t="n"/>
      <c r="O490" s="91" t="n"/>
      <c r="P490" s="94" t="str">
        <f>IF(Q490=0,"",IF(C490="","Item de resíduo não informado",IF(T490=0,"Item inexistente (referência inválida)",IF(NOT(ISNUMBER(F490)),"Quantidade não informada",IF(F490&lt;=0,"Quantidade não positiva",IF(G490="","Unidade não informada",IF(NOT(ISNUMBER(H490)),"Unidade a conferir",IF(NOT(ISNUMBER(E490)),"Data de recebimento não informada",IF(AND(ISNUMBER(V490),N(V490)&gt;0,E490&lt;N(V490)),"Data anterior à emissão do MTR",IF(AND(J490="Sim",L490="",M490=""),"Conferido sem evidência identificada",IF(J490&lt;&gt;"Sim","Aguardando conferência",IF(INDEX('ITENS_MTR'!$AM$6:$AM$1005,S490)=1,"Conferido (ver diferença no item)","Conferido"))))))))))))</f>
        <v/>
      </c>
      <c r="Q490" s="96">
        <f>IF(COUNTA(C490,E490:G490,I490:O490)&gt;0,1,0)</f>
        <v>0</v>
      </c>
      <c r="R490" s="96" t="str">
        <f>IF(C490="","",TRIM(LEFT(C490,FIND(" |",C490&amp;" |")-1)))</f>
        <v/>
      </c>
      <c r="S490" s="96" t="str">
        <f>IF(R490="","",IFERROR(MATCH(R490,'ITENS_MTR'!$A$6:$A$1005,0),""))</f>
        <v/>
      </c>
      <c r="T490" s="96">
        <f>IF(S490="",0,IF(INDEX('ITENS_MTR'!$R$6:$R$1005,S490)=1,1,0))</f>
        <v>0</v>
      </c>
      <c r="U490" s="96" t="str">
        <f>IF(T490=1,INDEX('ITENS_MTR'!$T$6:$T$1005,S490),"")</f>
        <v/>
      </c>
      <c r="V490" s="97" t="str">
        <f>IF(N(U490)&gt;0,INDEX('MTRs'!$E$6:$E$505,U490),"")</f>
        <v/>
      </c>
      <c r="W490" s="96" t="str">
        <f>IF(G490="","",IFERROR(IF(ISNUMBER(INDEX(cfg_fac,MATCH(G490,cfg_units,0))),IF(INDEX(cfg_fac,MATCH(G490,cfg_units,0))&gt;0,INDEX(cfg_fac,MATCH(G490,cfg_units,0)),""),""),""))</f>
        <v/>
      </c>
      <c r="X490" s="96">
        <f>IF(AND(ISNUMBER(F490),ISNUMBER(H490)),IF(H490&gt;0,1,0),0)</f>
        <v>0</v>
      </c>
      <c r="Y490" s="96">
        <f>IF(Q490=0,0,IF(OR(T490=0,X490=0,NOT(ISNUMBER(E490)),AND(J490="Sim",L490="",M490=""),AND(ISNUMBER(E490),ISNUMBER(V490),N(V490)&gt;0,E490&lt;N(V490))),1,0))</f>
        <v>0</v>
      </c>
      <c r="Z490" s="96">
        <f>IF(AND(Q490=1,T490=1,X490=1,J490="Sim",OR(L490&lt;&gt;"",M490&lt;&gt;"")),1,0)</f>
        <v>0</v>
      </c>
      <c r="AA490" s="96">
        <f>IF(Q490=0,0,IF(AND(OR(r_ini="",AND(ISNUMBER(E490),E490&gt;=r_ini)),OR(r_fim="",AND(ISNUMBER(E490),E490&lt;=r_fim)),OR(r_un="",r_un="(Todas)",IF(N(U490)&gt;0,INDEX('MTRs'!$G$6:$G$505,U490),"")=r_un),OR(r_de="",r_de="(Todos)",D490=r_de)),1,0))</f>
        <v>0</v>
      </c>
      <c r="AB490" s="96" t="str">
        <f>IF(AA490=1,COUNTIF($AA$6:AA490,1),"")</f>
        <v/>
      </c>
    </row>
    <row r="491">
      <c r="A491" s="89" t="inlineStr">
        <is>
          <t>REC-000486</t>
        </is>
      </c>
      <c r="B491" s="94" t="str">
        <f>IF(T491=1,INDEX('ITENS_MTR'!$S$6:$S$1005,S491)&amp;"","")</f>
        <v/>
      </c>
      <c r="C491" s="91" t="n"/>
      <c r="D491" s="94" t="str">
        <f>IF(N(U491)&gt;0,INDEX('MTRs'!$I$6:$I$505,U491)&amp;"","")</f>
        <v/>
      </c>
      <c r="E491" s="92" t="n"/>
      <c r="F491" s="98" t="n"/>
      <c r="G491" s="91" t="n"/>
      <c r="H491" s="93" t="str">
        <f>IF(Q491=0,"",IF(NOT(ISNUMBER(F491)),"",IF(ISNUMBER(W491),F491*W491,"UNIDADE A CONFERIR")))</f>
        <v/>
      </c>
      <c r="I491" s="91" t="n"/>
      <c r="J491" s="91" t="n"/>
      <c r="K491" s="92" t="n"/>
      <c r="L491" s="91" t="n"/>
      <c r="M491" s="91" t="n"/>
      <c r="N491" s="91" t="n"/>
      <c r="O491" s="91" t="n"/>
      <c r="P491" s="94" t="str">
        <f>IF(Q491=0,"",IF(C491="","Item de resíduo não informado",IF(T491=0,"Item inexistente (referência inválida)",IF(NOT(ISNUMBER(F491)),"Quantidade não informada",IF(F491&lt;=0,"Quantidade não positiva",IF(G491="","Unidade não informada",IF(NOT(ISNUMBER(H491)),"Unidade a conferir",IF(NOT(ISNUMBER(E491)),"Data de recebimento não informada",IF(AND(ISNUMBER(V491),N(V491)&gt;0,E491&lt;N(V491)),"Data anterior à emissão do MTR",IF(AND(J491="Sim",L491="",M491=""),"Conferido sem evidência identificada",IF(J491&lt;&gt;"Sim","Aguardando conferência",IF(INDEX('ITENS_MTR'!$AM$6:$AM$1005,S491)=1,"Conferido (ver diferença no item)","Conferido"))))))))))))</f>
        <v/>
      </c>
      <c r="Q491" s="96">
        <f>IF(COUNTA(C491,E491:G491,I491:O491)&gt;0,1,0)</f>
        <v>0</v>
      </c>
      <c r="R491" s="96" t="str">
        <f>IF(C491="","",TRIM(LEFT(C491,FIND(" |",C491&amp;" |")-1)))</f>
        <v/>
      </c>
      <c r="S491" s="96" t="str">
        <f>IF(R491="","",IFERROR(MATCH(R491,'ITENS_MTR'!$A$6:$A$1005,0),""))</f>
        <v/>
      </c>
      <c r="T491" s="96">
        <f>IF(S491="",0,IF(INDEX('ITENS_MTR'!$R$6:$R$1005,S491)=1,1,0))</f>
        <v>0</v>
      </c>
      <c r="U491" s="96" t="str">
        <f>IF(T491=1,INDEX('ITENS_MTR'!$T$6:$T$1005,S491),"")</f>
        <v/>
      </c>
      <c r="V491" s="97" t="str">
        <f>IF(N(U491)&gt;0,INDEX('MTRs'!$E$6:$E$505,U491),"")</f>
        <v/>
      </c>
      <c r="W491" s="96" t="str">
        <f>IF(G491="","",IFERROR(IF(ISNUMBER(INDEX(cfg_fac,MATCH(G491,cfg_units,0))),IF(INDEX(cfg_fac,MATCH(G491,cfg_units,0))&gt;0,INDEX(cfg_fac,MATCH(G491,cfg_units,0)),""),""),""))</f>
        <v/>
      </c>
      <c r="X491" s="96">
        <f>IF(AND(ISNUMBER(F491),ISNUMBER(H491)),IF(H491&gt;0,1,0),0)</f>
        <v>0</v>
      </c>
      <c r="Y491" s="96">
        <f>IF(Q491=0,0,IF(OR(T491=0,X491=0,NOT(ISNUMBER(E491)),AND(J491="Sim",L491="",M491=""),AND(ISNUMBER(E491),ISNUMBER(V491),N(V491)&gt;0,E491&lt;N(V491))),1,0))</f>
        <v>0</v>
      </c>
      <c r="Z491" s="96">
        <f>IF(AND(Q491=1,T491=1,X491=1,J491="Sim",OR(L491&lt;&gt;"",M491&lt;&gt;"")),1,0)</f>
        <v>0</v>
      </c>
      <c r="AA491" s="96">
        <f>IF(Q491=0,0,IF(AND(OR(r_ini="",AND(ISNUMBER(E491),E491&gt;=r_ini)),OR(r_fim="",AND(ISNUMBER(E491),E491&lt;=r_fim)),OR(r_un="",r_un="(Todas)",IF(N(U491)&gt;0,INDEX('MTRs'!$G$6:$G$505,U491),"")=r_un),OR(r_de="",r_de="(Todos)",D491=r_de)),1,0))</f>
        <v>0</v>
      </c>
      <c r="AB491" s="96" t="str">
        <f>IF(AA491=1,COUNTIF($AA$6:AA491,1),"")</f>
        <v/>
      </c>
    </row>
    <row r="492">
      <c r="A492" s="89" t="inlineStr">
        <is>
          <t>REC-000487</t>
        </is>
      </c>
      <c r="B492" s="94" t="str">
        <f>IF(T492=1,INDEX('ITENS_MTR'!$S$6:$S$1005,S492)&amp;"","")</f>
        <v/>
      </c>
      <c r="C492" s="91" t="n"/>
      <c r="D492" s="94" t="str">
        <f>IF(N(U492)&gt;0,INDEX('MTRs'!$I$6:$I$505,U492)&amp;"","")</f>
        <v/>
      </c>
      <c r="E492" s="92" t="n"/>
      <c r="F492" s="98" t="n"/>
      <c r="G492" s="91" t="n"/>
      <c r="H492" s="93" t="str">
        <f>IF(Q492=0,"",IF(NOT(ISNUMBER(F492)),"",IF(ISNUMBER(W492),F492*W492,"UNIDADE A CONFERIR")))</f>
        <v/>
      </c>
      <c r="I492" s="91" t="n"/>
      <c r="J492" s="91" t="n"/>
      <c r="K492" s="92" t="n"/>
      <c r="L492" s="91" t="n"/>
      <c r="M492" s="91" t="n"/>
      <c r="N492" s="91" t="n"/>
      <c r="O492" s="91" t="n"/>
      <c r="P492" s="94" t="str">
        <f>IF(Q492=0,"",IF(C492="","Item de resíduo não informado",IF(T492=0,"Item inexistente (referência inválida)",IF(NOT(ISNUMBER(F492)),"Quantidade não informada",IF(F492&lt;=0,"Quantidade não positiva",IF(G492="","Unidade não informada",IF(NOT(ISNUMBER(H492)),"Unidade a conferir",IF(NOT(ISNUMBER(E492)),"Data de recebimento não informada",IF(AND(ISNUMBER(V492),N(V492)&gt;0,E492&lt;N(V492)),"Data anterior à emissão do MTR",IF(AND(J492="Sim",L492="",M492=""),"Conferido sem evidência identificada",IF(J492&lt;&gt;"Sim","Aguardando conferência",IF(INDEX('ITENS_MTR'!$AM$6:$AM$1005,S492)=1,"Conferido (ver diferença no item)","Conferido"))))))))))))</f>
        <v/>
      </c>
      <c r="Q492" s="96">
        <f>IF(COUNTA(C492,E492:G492,I492:O492)&gt;0,1,0)</f>
        <v>0</v>
      </c>
      <c r="R492" s="96" t="str">
        <f>IF(C492="","",TRIM(LEFT(C492,FIND(" |",C492&amp;" |")-1)))</f>
        <v/>
      </c>
      <c r="S492" s="96" t="str">
        <f>IF(R492="","",IFERROR(MATCH(R492,'ITENS_MTR'!$A$6:$A$1005,0),""))</f>
        <v/>
      </c>
      <c r="T492" s="96">
        <f>IF(S492="",0,IF(INDEX('ITENS_MTR'!$R$6:$R$1005,S492)=1,1,0))</f>
        <v>0</v>
      </c>
      <c r="U492" s="96" t="str">
        <f>IF(T492=1,INDEX('ITENS_MTR'!$T$6:$T$1005,S492),"")</f>
        <v/>
      </c>
      <c r="V492" s="97" t="str">
        <f>IF(N(U492)&gt;0,INDEX('MTRs'!$E$6:$E$505,U492),"")</f>
        <v/>
      </c>
      <c r="W492" s="96" t="str">
        <f>IF(G492="","",IFERROR(IF(ISNUMBER(INDEX(cfg_fac,MATCH(G492,cfg_units,0))),IF(INDEX(cfg_fac,MATCH(G492,cfg_units,0))&gt;0,INDEX(cfg_fac,MATCH(G492,cfg_units,0)),""),""),""))</f>
        <v/>
      </c>
      <c r="X492" s="96">
        <f>IF(AND(ISNUMBER(F492),ISNUMBER(H492)),IF(H492&gt;0,1,0),0)</f>
        <v>0</v>
      </c>
      <c r="Y492" s="96">
        <f>IF(Q492=0,0,IF(OR(T492=0,X492=0,NOT(ISNUMBER(E492)),AND(J492="Sim",L492="",M492=""),AND(ISNUMBER(E492),ISNUMBER(V492),N(V492)&gt;0,E492&lt;N(V492))),1,0))</f>
        <v>0</v>
      </c>
      <c r="Z492" s="96">
        <f>IF(AND(Q492=1,T492=1,X492=1,J492="Sim",OR(L492&lt;&gt;"",M492&lt;&gt;"")),1,0)</f>
        <v>0</v>
      </c>
      <c r="AA492" s="96">
        <f>IF(Q492=0,0,IF(AND(OR(r_ini="",AND(ISNUMBER(E492),E492&gt;=r_ini)),OR(r_fim="",AND(ISNUMBER(E492),E492&lt;=r_fim)),OR(r_un="",r_un="(Todas)",IF(N(U492)&gt;0,INDEX('MTRs'!$G$6:$G$505,U492),"")=r_un),OR(r_de="",r_de="(Todos)",D492=r_de)),1,0))</f>
        <v>0</v>
      </c>
      <c r="AB492" s="96" t="str">
        <f>IF(AA492=1,COUNTIF($AA$6:AA492,1),"")</f>
        <v/>
      </c>
    </row>
    <row r="493">
      <c r="A493" s="89" t="inlineStr">
        <is>
          <t>REC-000488</t>
        </is>
      </c>
      <c r="B493" s="94" t="str">
        <f>IF(T493=1,INDEX('ITENS_MTR'!$S$6:$S$1005,S493)&amp;"","")</f>
        <v/>
      </c>
      <c r="C493" s="91" t="n"/>
      <c r="D493" s="94" t="str">
        <f>IF(N(U493)&gt;0,INDEX('MTRs'!$I$6:$I$505,U493)&amp;"","")</f>
        <v/>
      </c>
      <c r="E493" s="92" t="n"/>
      <c r="F493" s="98" t="n"/>
      <c r="G493" s="91" t="n"/>
      <c r="H493" s="93" t="str">
        <f>IF(Q493=0,"",IF(NOT(ISNUMBER(F493)),"",IF(ISNUMBER(W493),F493*W493,"UNIDADE A CONFERIR")))</f>
        <v/>
      </c>
      <c r="I493" s="91" t="n"/>
      <c r="J493" s="91" t="n"/>
      <c r="K493" s="92" t="n"/>
      <c r="L493" s="91" t="n"/>
      <c r="M493" s="91" t="n"/>
      <c r="N493" s="91" t="n"/>
      <c r="O493" s="91" t="n"/>
      <c r="P493" s="94" t="str">
        <f>IF(Q493=0,"",IF(C493="","Item de resíduo não informado",IF(T493=0,"Item inexistente (referência inválida)",IF(NOT(ISNUMBER(F493)),"Quantidade não informada",IF(F493&lt;=0,"Quantidade não positiva",IF(G493="","Unidade não informada",IF(NOT(ISNUMBER(H493)),"Unidade a conferir",IF(NOT(ISNUMBER(E493)),"Data de recebimento não informada",IF(AND(ISNUMBER(V493),N(V493)&gt;0,E493&lt;N(V493)),"Data anterior à emissão do MTR",IF(AND(J493="Sim",L493="",M493=""),"Conferido sem evidência identificada",IF(J493&lt;&gt;"Sim","Aguardando conferência",IF(INDEX('ITENS_MTR'!$AM$6:$AM$1005,S493)=1,"Conferido (ver diferença no item)","Conferido"))))))))))))</f>
        <v/>
      </c>
      <c r="Q493" s="96">
        <f>IF(COUNTA(C493,E493:G493,I493:O493)&gt;0,1,0)</f>
        <v>0</v>
      </c>
      <c r="R493" s="96" t="str">
        <f>IF(C493="","",TRIM(LEFT(C493,FIND(" |",C493&amp;" |")-1)))</f>
        <v/>
      </c>
      <c r="S493" s="96" t="str">
        <f>IF(R493="","",IFERROR(MATCH(R493,'ITENS_MTR'!$A$6:$A$1005,0),""))</f>
        <v/>
      </c>
      <c r="T493" s="96">
        <f>IF(S493="",0,IF(INDEX('ITENS_MTR'!$R$6:$R$1005,S493)=1,1,0))</f>
        <v>0</v>
      </c>
      <c r="U493" s="96" t="str">
        <f>IF(T493=1,INDEX('ITENS_MTR'!$T$6:$T$1005,S493),"")</f>
        <v/>
      </c>
      <c r="V493" s="97" t="str">
        <f>IF(N(U493)&gt;0,INDEX('MTRs'!$E$6:$E$505,U493),"")</f>
        <v/>
      </c>
      <c r="W493" s="96" t="str">
        <f>IF(G493="","",IFERROR(IF(ISNUMBER(INDEX(cfg_fac,MATCH(G493,cfg_units,0))),IF(INDEX(cfg_fac,MATCH(G493,cfg_units,0))&gt;0,INDEX(cfg_fac,MATCH(G493,cfg_units,0)),""),""),""))</f>
        <v/>
      </c>
      <c r="X493" s="96">
        <f>IF(AND(ISNUMBER(F493),ISNUMBER(H493)),IF(H493&gt;0,1,0),0)</f>
        <v>0</v>
      </c>
      <c r="Y493" s="96">
        <f>IF(Q493=0,0,IF(OR(T493=0,X493=0,NOT(ISNUMBER(E493)),AND(J493="Sim",L493="",M493=""),AND(ISNUMBER(E493),ISNUMBER(V493),N(V493)&gt;0,E493&lt;N(V493))),1,0))</f>
        <v>0</v>
      </c>
      <c r="Z493" s="96">
        <f>IF(AND(Q493=1,T493=1,X493=1,J493="Sim",OR(L493&lt;&gt;"",M493&lt;&gt;"")),1,0)</f>
        <v>0</v>
      </c>
      <c r="AA493" s="96">
        <f>IF(Q493=0,0,IF(AND(OR(r_ini="",AND(ISNUMBER(E493),E493&gt;=r_ini)),OR(r_fim="",AND(ISNUMBER(E493),E493&lt;=r_fim)),OR(r_un="",r_un="(Todas)",IF(N(U493)&gt;0,INDEX('MTRs'!$G$6:$G$505,U493),"")=r_un),OR(r_de="",r_de="(Todos)",D493=r_de)),1,0))</f>
        <v>0</v>
      </c>
      <c r="AB493" s="96" t="str">
        <f>IF(AA493=1,COUNTIF($AA$6:AA493,1),"")</f>
        <v/>
      </c>
    </row>
    <row r="494">
      <c r="A494" s="89" t="inlineStr">
        <is>
          <t>REC-000489</t>
        </is>
      </c>
      <c r="B494" s="94" t="str">
        <f>IF(T494=1,INDEX('ITENS_MTR'!$S$6:$S$1005,S494)&amp;"","")</f>
        <v/>
      </c>
      <c r="C494" s="91" t="n"/>
      <c r="D494" s="94" t="str">
        <f>IF(N(U494)&gt;0,INDEX('MTRs'!$I$6:$I$505,U494)&amp;"","")</f>
        <v/>
      </c>
      <c r="E494" s="92" t="n"/>
      <c r="F494" s="98" t="n"/>
      <c r="G494" s="91" t="n"/>
      <c r="H494" s="93" t="str">
        <f>IF(Q494=0,"",IF(NOT(ISNUMBER(F494)),"",IF(ISNUMBER(W494),F494*W494,"UNIDADE A CONFERIR")))</f>
        <v/>
      </c>
      <c r="I494" s="91" t="n"/>
      <c r="J494" s="91" t="n"/>
      <c r="K494" s="92" t="n"/>
      <c r="L494" s="91" t="n"/>
      <c r="M494" s="91" t="n"/>
      <c r="N494" s="91" t="n"/>
      <c r="O494" s="91" t="n"/>
      <c r="P494" s="94" t="str">
        <f>IF(Q494=0,"",IF(C494="","Item de resíduo não informado",IF(T494=0,"Item inexistente (referência inválida)",IF(NOT(ISNUMBER(F494)),"Quantidade não informada",IF(F494&lt;=0,"Quantidade não positiva",IF(G494="","Unidade não informada",IF(NOT(ISNUMBER(H494)),"Unidade a conferir",IF(NOT(ISNUMBER(E494)),"Data de recebimento não informada",IF(AND(ISNUMBER(V494),N(V494)&gt;0,E494&lt;N(V494)),"Data anterior à emissão do MTR",IF(AND(J494="Sim",L494="",M494=""),"Conferido sem evidência identificada",IF(J494&lt;&gt;"Sim","Aguardando conferência",IF(INDEX('ITENS_MTR'!$AM$6:$AM$1005,S494)=1,"Conferido (ver diferença no item)","Conferido"))))))))))))</f>
        <v/>
      </c>
      <c r="Q494" s="96">
        <f>IF(COUNTA(C494,E494:G494,I494:O494)&gt;0,1,0)</f>
        <v>0</v>
      </c>
      <c r="R494" s="96" t="str">
        <f>IF(C494="","",TRIM(LEFT(C494,FIND(" |",C494&amp;" |")-1)))</f>
        <v/>
      </c>
      <c r="S494" s="96" t="str">
        <f>IF(R494="","",IFERROR(MATCH(R494,'ITENS_MTR'!$A$6:$A$1005,0),""))</f>
        <v/>
      </c>
      <c r="T494" s="96">
        <f>IF(S494="",0,IF(INDEX('ITENS_MTR'!$R$6:$R$1005,S494)=1,1,0))</f>
        <v>0</v>
      </c>
      <c r="U494" s="96" t="str">
        <f>IF(T494=1,INDEX('ITENS_MTR'!$T$6:$T$1005,S494),"")</f>
        <v/>
      </c>
      <c r="V494" s="97" t="str">
        <f>IF(N(U494)&gt;0,INDEX('MTRs'!$E$6:$E$505,U494),"")</f>
        <v/>
      </c>
      <c r="W494" s="96" t="str">
        <f>IF(G494="","",IFERROR(IF(ISNUMBER(INDEX(cfg_fac,MATCH(G494,cfg_units,0))),IF(INDEX(cfg_fac,MATCH(G494,cfg_units,0))&gt;0,INDEX(cfg_fac,MATCH(G494,cfg_units,0)),""),""),""))</f>
        <v/>
      </c>
      <c r="X494" s="96">
        <f>IF(AND(ISNUMBER(F494),ISNUMBER(H494)),IF(H494&gt;0,1,0),0)</f>
        <v>0</v>
      </c>
      <c r="Y494" s="96">
        <f>IF(Q494=0,0,IF(OR(T494=0,X494=0,NOT(ISNUMBER(E494)),AND(J494="Sim",L494="",M494=""),AND(ISNUMBER(E494),ISNUMBER(V494),N(V494)&gt;0,E494&lt;N(V494))),1,0))</f>
        <v>0</v>
      </c>
      <c r="Z494" s="96">
        <f>IF(AND(Q494=1,T494=1,X494=1,J494="Sim",OR(L494&lt;&gt;"",M494&lt;&gt;"")),1,0)</f>
        <v>0</v>
      </c>
      <c r="AA494" s="96">
        <f>IF(Q494=0,0,IF(AND(OR(r_ini="",AND(ISNUMBER(E494),E494&gt;=r_ini)),OR(r_fim="",AND(ISNUMBER(E494),E494&lt;=r_fim)),OR(r_un="",r_un="(Todas)",IF(N(U494)&gt;0,INDEX('MTRs'!$G$6:$G$505,U494),"")=r_un),OR(r_de="",r_de="(Todos)",D494=r_de)),1,0))</f>
        <v>0</v>
      </c>
      <c r="AB494" s="96" t="str">
        <f>IF(AA494=1,COUNTIF($AA$6:AA494,1),"")</f>
        <v/>
      </c>
    </row>
    <row r="495">
      <c r="A495" s="89" t="inlineStr">
        <is>
          <t>REC-000490</t>
        </is>
      </c>
      <c r="B495" s="94" t="str">
        <f>IF(T495=1,INDEX('ITENS_MTR'!$S$6:$S$1005,S495)&amp;"","")</f>
        <v/>
      </c>
      <c r="C495" s="91" t="n"/>
      <c r="D495" s="94" t="str">
        <f>IF(N(U495)&gt;0,INDEX('MTRs'!$I$6:$I$505,U495)&amp;"","")</f>
        <v/>
      </c>
      <c r="E495" s="92" t="n"/>
      <c r="F495" s="98" t="n"/>
      <c r="G495" s="91" t="n"/>
      <c r="H495" s="93" t="str">
        <f>IF(Q495=0,"",IF(NOT(ISNUMBER(F495)),"",IF(ISNUMBER(W495),F495*W495,"UNIDADE A CONFERIR")))</f>
        <v/>
      </c>
      <c r="I495" s="91" t="n"/>
      <c r="J495" s="91" t="n"/>
      <c r="K495" s="92" t="n"/>
      <c r="L495" s="91" t="n"/>
      <c r="M495" s="91" t="n"/>
      <c r="N495" s="91" t="n"/>
      <c r="O495" s="91" t="n"/>
      <c r="P495" s="94" t="str">
        <f>IF(Q495=0,"",IF(C495="","Item de resíduo não informado",IF(T495=0,"Item inexistente (referência inválida)",IF(NOT(ISNUMBER(F495)),"Quantidade não informada",IF(F495&lt;=0,"Quantidade não positiva",IF(G495="","Unidade não informada",IF(NOT(ISNUMBER(H495)),"Unidade a conferir",IF(NOT(ISNUMBER(E495)),"Data de recebimento não informada",IF(AND(ISNUMBER(V495),N(V495)&gt;0,E495&lt;N(V495)),"Data anterior à emissão do MTR",IF(AND(J495="Sim",L495="",M495=""),"Conferido sem evidência identificada",IF(J495&lt;&gt;"Sim","Aguardando conferência",IF(INDEX('ITENS_MTR'!$AM$6:$AM$1005,S495)=1,"Conferido (ver diferença no item)","Conferido"))))))))))))</f>
        <v/>
      </c>
      <c r="Q495" s="96">
        <f>IF(COUNTA(C495,E495:G495,I495:O495)&gt;0,1,0)</f>
        <v>0</v>
      </c>
      <c r="R495" s="96" t="str">
        <f>IF(C495="","",TRIM(LEFT(C495,FIND(" |",C495&amp;" |")-1)))</f>
        <v/>
      </c>
      <c r="S495" s="96" t="str">
        <f>IF(R495="","",IFERROR(MATCH(R495,'ITENS_MTR'!$A$6:$A$1005,0),""))</f>
        <v/>
      </c>
      <c r="T495" s="96">
        <f>IF(S495="",0,IF(INDEX('ITENS_MTR'!$R$6:$R$1005,S495)=1,1,0))</f>
        <v>0</v>
      </c>
      <c r="U495" s="96" t="str">
        <f>IF(T495=1,INDEX('ITENS_MTR'!$T$6:$T$1005,S495),"")</f>
        <v/>
      </c>
      <c r="V495" s="97" t="str">
        <f>IF(N(U495)&gt;0,INDEX('MTRs'!$E$6:$E$505,U495),"")</f>
        <v/>
      </c>
      <c r="W495" s="96" t="str">
        <f>IF(G495="","",IFERROR(IF(ISNUMBER(INDEX(cfg_fac,MATCH(G495,cfg_units,0))),IF(INDEX(cfg_fac,MATCH(G495,cfg_units,0))&gt;0,INDEX(cfg_fac,MATCH(G495,cfg_units,0)),""),""),""))</f>
        <v/>
      </c>
      <c r="X495" s="96">
        <f>IF(AND(ISNUMBER(F495),ISNUMBER(H495)),IF(H495&gt;0,1,0),0)</f>
        <v>0</v>
      </c>
      <c r="Y495" s="96">
        <f>IF(Q495=0,0,IF(OR(T495=0,X495=0,NOT(ISNUMBER(E495)),AND(J495="Sim",L495="",M495=""),AND(ISNUMBER(E495),ISNUMBER(V495),N(V495)&gt;0,E495&lt;N(V495))),1,0))</f>
        <v>0</v>
      </c>
      <c r="Z495" s="96">
        <f>IF(AND(Q495=1,T495=1,X495=1,J495="Sim",OR(L495&lt;&gt;"",M495&lt;&gt;"")),1,0)</f>
        <v>0</v>
      </c>
      <c r="AA495" s="96">
        <f>IF(Q495=0,0,IF(AND(OR(r_ini="",AND(ISNUMBER(E495),E495&gt;=r_ini)),OR(r_fim="",AND(ISNUMBER(E495),E495&lt;=r_fim)),OR(r_un="",r_un="(Todas)",IF(N(U495)&gt;0,INDEX('MTRs'!$G$6:$G$505,U495),"")=r_un),OR(r_de="",r_de="(Todos)",D495=r_de)),1,0))</f>
        <v>0</v>
      </c>
      <c r="AB495" s="96" t="str">
        <f>IF(AA495=1,COUNTIF($AA$6:AA495,1),"")</f>
        <v/>
      </c>
    </row>
    <row r="496">
      <c r="A496" s="89" t="inlineStr">
        <is>
          <t>REC-000491</t>
        </is>
      </c>
      <c r="B496" s="94" t="str">
        <f>IF(T496=1,INDEX('ITENS_MTR'!$S$6:$S$1005,S496)&amp;"","")</f>
        <v/>
      </c>
      <c r="C496" s="91" t="n"/>
      <c r="D496" s="94" t="str">
        <f>IF(N(U496)&gt;0,INDEX('MTRs'!$I$6:$I$505,U496)&amp;"","")</f>
        <v/>
      </c>
      <c r="E496" s="92" t="n"/>
      <c r="F496" s="98" t="n"/>
      <c r="G496" s="91" t="n"/>
      <c r="H496" s="93" t="str">
        <f>IF(Q496=0,"",IF(NOT(ISNUMBER(F496)),"",IF(ISNUMBER(W496),F496*W496,"UNIDADE A CONFERIR")))</f>
        <v/>
      </c>
      <c r="I496" s="91" t="n"/>
      <c r="J496" s="91" t="n"/>
      <c r="K496" s="92" t="n"/>
      <c r="L496" s="91" t="n"/>
      <c r="M496" s="91" t="n"/>
      <c r="N496" s="91" t="n"/>
      <c r="O496" s="91" t="n"/>
      <c r="P496" s="94" t="str">
        <f>IF(Q496=0,"",IF(C496="","Item de resíduo não informado",IF(T496=0,"Item inexistente (referência inválida)",IF(NOT(ISNUMBER(F496)),"Quantidade não informada",IF(F496&lt;=0,"Quantidade não positiva",IF(G496="","Unidade não informada",IF(NOT(ISNUMBER(H496)),"Unidade a conferir",IF(NOT(ISNUMBER(E496)),"Data de recebimento não informada",IF(AND(ISNUMBER(V496),N(V496)&gt;0,E496&lt;N(V496)),"Data anterior à emissão do MTR",IF(AND(J496="Sim",L496="",M496=""),"Conferido sem evidência identificada",IF(J496&lt;&gt;"Sim","Aguardando conferência",IF(INDEX('ITENS_MTR'!$AM$6:$AM$1005,S496)=1,"Conferido (ver diferença no item)","Conferido"))))))))))))</f>
        <v/>
      </c>
      <c r="Q496" s="96">
        <f>IF(COUNTA(C496,E496:G496,I496:O496)&gt;0,1,0)</f>
        <v>0</v>
      </c>
      <c r="R496" s="96" t="str">
        <f>IF(C496="","",TRIM(LEFT(C496,FIND(" |",C496&amp;" |")-1)))</f>
        <v/>
      </c>
      <c r="S496" s="96" t="str">
        <f>IF(R496="","",IFERROR(MATCH(R496,'ITENS_MTR'!$A$6:$A$1005,0),""))</f>
        <v/>
      </c>
      <c r="T496" s="96">
        <f>IF(S496="",0,IF(INDEX('ITENS_MTR'!$R$6:$R$1005,S496)=1,1,0))</f>
        <v>0</v>
      </c>
      <c r="U496" s="96" t="str">
        <f>IF(T496=1,INDEX('ITENS_MTR'!$T$6:$T$1005,S496),"")</f>
        <v/>
      </c>
      <c r="V496" s="97" t="str">
        <f>IF(N(U496)&gt;0,INDEX('MTRs'!$E$6:$E$505,U496),"")</f>
        <v/>
      </c>
      <c r="W496" s="96" t="str">
        <f>IF(G496="","",IFERROR(IF(ISNUMBER(INDEX(cfg_fac,MATCH(G496,cfg_units,0))),IF(INDEX(cfg_fac,MATCH(G496,cfg_units,0))&gt;0,INDEX(cfg_fac,MATCH(G496,cfg_units,0)),""),""),""))</f>
        <v/>
      </c>
      <c r="X496" s="96">
        <f>IF(AND(ISNUMBER(F496),ISNUMBER(H496)),IF(H496&gt;0,1,0),0)</f>
        <v>0</v>
      </c>
      <c r="Y496" s="96">
        <f>IF(Q496=0,0,IF(OR(T496=0,X496=0,NOT(ISNUMBER(E496)),AND(J496="Sim",L496="",M496=""),AND(ISNUMBER(E496),ISNUMBER(V496),N(V496)&gt;0,E496&lt;N(V496))),1,0))</f>
        <v>0</v>
      </c>
      <c r="Z496" s="96">
        <f>IF(AND(Q496=1,T496=1,X496=1,J496="Sim",OR(L496&lt;&gt;"",M496&lt;&gt;"")),1,0)</f>
        <v>0</v>
      </c>
      <c r="AA496" s="96">
        <f>IF(Q496=0,0,IF(AND(OR(r_ini="",AND(ISNUMBER(E496),E496&gt;=r_ini)),OR(r_fim="",AND(ISNUMBER(E496),E496&lt;=r_fim)),OR(r_un="",r_un="(Todas)",IF(N(U496)&gt;0,INDEX('MTRs'!$G$6:$G$505,U496),"")=r_un),OR(r_de="",r_de="(Todos)",D496=r_de)),1,0))</f>
        <v>0</v>
      </c>
      <c r="AB496" s="96" t="str">
        <f>IF(AA496=1,COUNTIF($AA$6:AA496,1),"")</f>
        <v/>
      </c>
    </row>
    <row r="497">
      <c r="A497" s="89" t="inlineStr">
        <is>
          <t>REC-000492</t>
        </is>
      </c>
      <c r="B497" s="94" t="str">
        <f>IF(T497=1,INDEX('ITENS_MTR'!$S$6:$S$1005,S497)&amp;"","")</f>
        <v/>
      </c>
      <c r="C497" s="91" t="n"/>
      <c r="D497" s="94" t="str">
        <f>IF(N(U497)&gt;0,INDEX('MTRs'!$I$6:$I$505,U497)&amp;"","")</f>
        <v/>
      </c>
      <c r="E497" s="92" t="n"/>
      <c r="F497" s="98" t="n"/>
      <c r="G497" s="91" t="n"/>
      <c r="H497" s="93" t="str">
        <f>IF(Q497=0,"",IF(NOT(ISNUMBER(F497)),"",IF(ISNUMBER(W497),F497*W497,"UNIDADE A CONFERIR")))</f>
        <v/>
      </c>
      <c r="I497" s="91" t="n"/>
      <c r="J497" s="91" t="n"/>
      <c r="K497" s="92" t="n"/>
      <c r="L497" s="91" t="n"/>
      <c r="M497" s="91" t="n"/>
      <c r="N497" s="91" t="n"/>
      <c r="O497" s="91" t="n"/>
      <c r="P497" s="94" t="str">
        <f>IF(Q497=0,"",IF(C497="","Item de resíduo não informado",IF(T497=0,"Item inexistente (referência inválida)",IF(NOT(ISNUMBER(F497)),"Quantidade não informada",IF(F497&lt;=0,"Quantidade não positiva",IF(G497="","Unidade não informada",IF(NOT(ISNUMBER(H497)),"Unidade a conferir",IF(NOT(ISNUMBER(E497)),"Data de recebimento não informada",IF(AND(ISNUMBER(V497),N(V497)&gt;0,E497&lt;N(V497)),"Data anterior à emissão do MTR",IF(AND(J497="Sim",L497="",M497=""),"Conferido sem evidência identificada",IF(J497&lt;&gt;"Sim","Aguardando conferência",IF(INDEX('ITENS_MTR'!$AM$6:$AM$1005,S497)=1,"Conferido (ver diferença no item)","Conferido"))))))))))))</f>
        <v/>
      </c>
      <c r="Q497" s="96">
        <f>IF(COUNTA(C497,E497:G497,I497:O497)&gt;0,1,0)</f>
        <v>0</v>
      </c>
      <c r="R497" s="96" t="str">
        <f>IF(C497="","",TRIM(LEFT(C497,FIND(" |",C497&amp;" |")-1)))</f>
        <v/>
      </c>
      <c r="S497" s="96" t="str">
        <f>IF(R497="","",IFERROR(MATCH(R497,'ITENS_MTR'!$A$6:$A$1005,0),""))</f>
        <v/>
      </c>
      <c r="T497" s="96">
        <f>IF(S497="",0,IF(INDEX('ITENS_MTR'!$R$6:$R$1005,S497)=1,1,0))</f>
        <v>0</v>
      </c>
      <c r="U497" s="96" t="str">
        <f>IF(T497=1,INDEX('ITENS_MTR'!$T$6:$T$1005,S497),"")</f>
        <v/>
      </c>
      <c r="V497" s="97" t="str">
        <f>IF(N(U497)&gt;0,INDEX('MTRs'!$E$6:$E$505,U497),"")</f>
        <v/>
      </c>
      <c r="W497" s="96" t="str">
        <f>IF(G497="","",IFERROR(IF(ISNUMBER(INDEX(cfg_fac,MATCH(G497,cfg_units,0))),IF(INDEX(cfg_fac,MATCH(G497,cfg_units,0))&gt;0,INDEX(cfg_fac,MATCH(G497,cfg_units,0)),""),""),""))</f>
        <v/>
      </c>
      <c r="X497" s="96">
        <f>IF(AND(ISNUMBER(F497),ISNUMBER(H497)),IF(H497&gt;0,1,0),0)</f>
        <v>0</v>
      </c>
      <c r="Y497" s="96">
        <f>IF(Q497=0,0,IF(OR(T497=0,X497=0,NOT(ISNUMBER(E497)),AND(J497="Sim",L497="",M497=""),AND(ISNUMBER(E497),ISNUMBER(V497),N(V497)&gt;0,E497&lt;N(V497))),1,0))</f>
        <v>0</v>
      </c>
      <c r="Z497" s="96">
        <f>IF(AND(Q497=1,T497=1,X497=1,J497="Sim",OR(L497&lt;&gt;"",M497&lt;&gt;"")),1,0)</f>
        <v>0</v>
      </c>
      <c r="AA497" s="96">
        <f>IF(Q497=0,0,IF(AND(OR(r_ini="",AND(ISNUMBER(E497),E497&gt;=r_ini)),OR(r_fim="",AND(ISNUMBER(E497),E497&lt;=r_fim)),OR(r_un="",r_un="(Todas)",IF(N(U497)&gt;0,INDEX('MTRs'!$G$6:$G$505,U497),"")=r_un),OR(r_de="",r_de="(Todos)",D497=r_de)),1,0))</f>
        <v>0</v>
      </c>
      <c r="AB497" s="96" t="str">
        <f>IF(AA497=1,COUNTIF($AA$6:AA497,1),"")</f>
        <v/>
      </c>
    </row>
    <row r="498">
      <c r="A498" s="89" t="inlineStr">
        <is>
          <t>REC-000493</t>
        </is>
      </c>
      <c r="B498" s="94" t="str">
        <f>IF(T498=1,INDEX('ITENS_MTR'!$S$6:$S$1005,S498)&amp;"","")</f>
        <v/>
      </c>
      <c r="C498" s="91" t="n"/>
      <c r="D498" s="94" t="str">
        <f>IF(N(U498)&gt;0,INDEX('MTRs'!$I$6:$I$505,U498)&amp;"","")</f>
        <v/>
      </c>
      <c r="E498" s="92" t="n"/>
      <c r="F498" s="98" t="n"/>
      <c r="G498" s="91" t="n"/>
      <c r="H498" s="93" t="str">
        <f>IF(Q498=0,"",IF(NOT(ISNUMBER(F498)),"",IF(ISNUMBER(W498),F498*W498,"UNIDADE A CONFERIR")))</f>
        <v/>
      </c>
      <c r="I498" s="91" t="n"/>
      <c r="J498" s="91" t="n"/>
      <c r="K498" s="92" t="n"/>
      <c r="L498" s="91" t="n"/>
      <c r="M498" s="91" t="n"/>
      <c r="N498" s="91" t="n"/>
      <c r="O498" s="91" t="n"/>
      <c r="P498" s="94" t="str">
        <f>IF(Q498=0,"",IF(C498="","Item de resíduo não informado",IF(T498=0,"Item inexistente (referência inválida)",IF(NOT(ISNUMBER(F498)),"Quantidade não informada",IF(F498&lt;=0,"Quantidade não positiva",IF(G498="","Unidade não informada",IF(NOT(ISNUMBER(H498)),"Unidade a conferir",IF(NOT(ISNUMBER(E498)),"Data de recebimento não informada",IF(AND(ISNUMBER(V498),N(V498)&gt;0,E498&lt;N(V498)),"Data anterior à emissão do MTR",IF(AND(J498="Sim",L498="",M498=""),"Conferido sem evidência identificada",IF(J498&lt;&gt;"Sim","Aguardando conferência",IF(INDEX('ITENS_MTR'!$AM$6:$AM$1005,S498)=1,"Conferido (ver diferença no item)","Conferido"))))))))))))</f>
        <v/>
      </c>
      <c r="Q498" s="96">
        <f>IF(COUNTA(C498,E498:G498,I498:O498)&gt;0,1,0)</f>
        <v>0</v>
      </c>
      <c r="R498" s="96" t="str">
        <f>IF(C498="","",TRIM(LEFT(C498,FIND(" |",C498&amp;" |")-1)))</f>
        <v/>
      </c>
      <c r="S498" s="96" t="str">
        <f>IF(R498="","",IFERROR(MATCH(R498,'ITENS_MTR'!$A$6:$A$1005,0),""))</f>
        <v/>
      </c>
      <c r="T498" s="96">
        <f>IF(S498="",0,IF(INDEX('ITENS_MTR'!$R$6:$R$1005,S498)=1,1,0))</f>
        <v>0</v>
      </c>
      <c r="U498" s="96" t="str">
        <f>IF(T498=1,INDEX('ITENS_MTR'!$T$6:$T$1005,S498),"")</f>
        <v/>
      </c>
      <c r="V498" s="97" t="str">
        <f>IF(N(U498)&gt;0,INDEX('MTRs'!$E$6:$E$505,U498),"")</f>
        <v/>
      </c>
      <c r="W498" s="96" t="str">
        <f>IF(G498="","",IFERROR(IF(ISNUMBER(INDEX(cfg_fac,MATCH(G498,cfg_units,0))),IF(INDEX(cfg_fac,MATCH(G498,cfg_units,0))&gt;0,INDEX(cfg_fac,MATCH(G498,cfg_units,0)),""),""),""))</f>
        <v/>
      </c>
      <c r="X498" s="96">
        <f>IF(AND(ISNUMBER(F498),ISNUMBER(H498)),IF(H498&gt;0,1,0),0)</f>
        <v>0</v>
      </c>
      <c r="Y498" s="96">
        <f>IF(Q498=0,0,IF(OR(T498=0,X498=0,NOT(ISNUMBER(E498)),AND(J498="Sim",L498="",M498=""),AND(ISNUMBER(E498),ISNUMBER(V498),N(V498)&gt;0,E498&lt;N(V498))),1,0))</f>
        <v>0</v>
      </c>
      <c r="Z498" s="96">
        <f>IF(AND(Q498=1,T498=1,X498=1,J498="Sim",OR(L498&lt;&gt;"",M498&lt;&gt;"")),1,0)</f>
        <v>0</v>
      </c>
      <c r="AA498" s="96">
        <f>IF(Q498=0,0,IF(AND(OR(r_ini="",AND(ISNUMBER(E498),E498&gt;=r_ini)),OR(r_fim="",AND(ISNUMBER(E498),E498&lt;=r_fim)),OR(r_un="",r_un="(Todas)",IF(N(U498)&gt;0,INDEX('MTRs'!$G$6:$G$505,U498),"")=r_un),OR(r_de="",r_de="(Todos)",D498=r_de)),1,0))</f>
        <v>0</v>
      </c>
      <c r="AB498" s="96" t="str">
        <f>IF(AA498=1,COUNTIF($AA$6:AA498,1),"")</f>
        <v/>
      </c>
    </row>
    <row r="499">
      <c r="A499" s="89" t="inlineStr">
        <is>
          <t>REC-000494</t>
        </is>
      </c>
      <c r="B499" s="94" t="str">
        <f>IF(T499=1,INDEX('ITENS_MTR'!$S$6:$S$1005,S499)&amp;"","")</f>
        <v/>
      </c>
      <c r="C499" s="91" t="n"/>
      <c r="D499" s="94" t="str">
        <f>IF(N(U499)&gt;0,INDEX('MTRs'!$I$6:$I$505,U499)&amp;"","")</f>
        <v/>
      </c>
      <c r="E499" s="92" t="n"/>
      <c r="F499" s="98" t="n"/>
      <c r="G499" s="91" t="n"/>
      <c r="H499" s="93" t="str">
        <f>IF(Q499=0,"",IF(NOT(ISNUMBER(F499)),"",IF(ISNUMBER(W499),F499*W499,"UNIDADE A CONFERIR")))</f>
        <v/>
      </c>
      <c r="I499" s="91" t="n"/>
      <c r="J499" s="91" t="n"/>
      <c r="K499" s="92" t="n"/>
      <c r="L499" s="91" t="n"/>
      <c r="M499" s="91" t="n"/>
      <c r="N499" s="91" t="n"/>
      <c r="O499" s="91" t="n"/>
      <c r="P499" s="94" t="str">
        <f>IF(Q499=0,"",IF(C499="","Item de resíduo não informado",IF(T499=0,"Item inexistente (referência inválida)",IF(NOT(ISNUMBER(F499)),"Quantidade não informada",IF(F499&lt;=0,"Quantidade não positiva",IF(G499="","Unidade não informada",IF(NOT(ISNUMBER(H499)),"Unidade a conferir",IF(NOT(ISNUMBER(E499)),"Data de recebimento não informada",IF(AND(ISNUMBER(V499),N(V499)&gt;0,E499&lt;N(V499)),"Data anterior à emissão do MTR",IF(AND(J499="Sim",L499="",M499=""),"Conferido sem evidência identificada",IF(J499&lt;&gt;"Sim","Aguardando conferência",IF(INDEX('ITENS_MTR'!$AM$6:$AM$1005,S499)=1,"Conferido (ver diferença no item)","Conferido"))))))))))))</f>
        <v/>
      </c>
      <c r="Q499" s="96">
        <f>IF(COUNTA(C499,E499:G499,I499:O499)&gt;0,1,0)</f>
        <v>0</v>
      </c>
      <c r="R499" s="96" t="str">
        <f>IF(C499="","",TRIM(LEFT(C499,FIND(" |",C499&amp;" |")-1)))</f>
        <v/>
      </c>
      <c r="S499" s="96" t="str">
        <f>IF(R499="","",IFERROR(MATCH(R499,'ITENS_MTR'!$A$6:$A$1005,0),""))</f>
        <v/>
      </c>
      <c r="T499" s="96">
        <f>IF(S499="",0,IF(INDEX('ITENS_MTR'!$R$6:$R$1005,S499)=1,1,0))</f>
        <v>0</v>
      </c>
      <c r="U499" s="96" t="str">
        <f>IF(T499=1,INDEX('ITENS_MTR'!$T$6:$T$1005,S499),"")</f>
        <v/>
      </c>
      <c r="V499" s="97" t="str">
        <f>IF(N(U499)&gt;0,INDEX('MTRs'!$E$6:$E$505,U499),"")</f>
        <v/>
      </c>
      <c r="W499" s="96" t="str">
        <f>IF(G499="","",IFERROR(IF(ISNUMBER(INDEX(cfg_fac,MATCH(G499,cfg_units,0))),IF(INDEX(cfg_fac,MATCH(G499,cfg_units,0))&gt;0,INDEX(cfg_fac,MATCH(G499,cfg_units,0)),""),""),""))</f>
        <v/>
      </c>
      <c r="X499" s="96">
        <f>IF(AND(ISNUMBER(F499),ISNUMBER(H499)),IF(H499&gt;0,1,0),0)</f>
        <v>0</v>
      </c>
      <c r="Y499" s="96">
        <f>IF(Q499=0,0,IF(OR(T499=0,X499=0,NOT(ISNUMBER(E499)),AND(J499="Sim",L499="",M499=""),AND(ISNUMBER(E499),ISNUMBER(V499),N(V499)&gt;0,E499&lt;N(V499))),1,0))</f>
        <v>0</v>
      </c>
      <c r="Z499" s="96">
        <f>IF(AND(Q499=1,T499=1,X499=1,J499="Sim",OR(L499&lt;&gt;"",M499&lt;&gt;"")),1,0)</f>
        <v>0</v>
      </c>
      <c r="AA499" s="96">
        <f>IF(Q499=0,0,IF(AND(OR(r_ini="",AND(ISNUMBER(E499),E499&gt;=r_ini)),OR(r_fim="",AND(ISNUMBER(E499),E499&lt;=r_fim)),OR(r_un="",r_un="(Todas)",IF(N(U499)&gt;0,INDEX('MTRs'!$G$6:$G$505,U499),"")=r_un),OR(r_de="",r_de="(Todos)",D499=r_de)),1,0))</f>
        <v>0</v>
      </c>
      <c r="AB499" s="96" t="str">
        <f>IF(AA499=1,COUNTIF($AA$6:AA499,1),"")</f>
        <v/>
      </c>
    </row>
    <row r="500">
      <c r="A500" s="89" t="inlineStr">
        <is>
          <t>REC-000495</t>
        </is>
      </c>
      <c r="B500" s="94" t="str">
        <f>IF(T500=1,INDEX('ITENS_MTR'!$S$6:$S$1005,S500)&amp;"","")</f>
        <v/>
      </c>
      <c r="C500" s="91" t="n"/>
      <c r="D500" s="94" t="str">
        <f>IF(N(U500)&gt;0,INDEX('MTRs'!$I$6:$I$505,U500)&amp;"","")</f>
        <v/>
      </c>
      <c r="E500" s="92" t="n"/>
      <c r="F500" s="98" t="n"/>
      <c r="G500" s="91" t="n"/>
      <c r="H500" s="93" t="str">
        <f>IF(Q500=0,"",IF(NOT(ISNUMBER(F500)),"",IF(ISNUMBER(W500),F500*W500,"UNIDADE A CONFERIR")))</f>
        <v/>
      </c>
      <c r="I500" s="91" t="n"/>
      <c r="J500" s="91" t="n"/>
      <c r="K500" s="92" t="n"/>
      <c r="L500" s="91" t="n"/>
      <c r="M500" s="91" t="n"/>
      <c r="N500" s="91" t="n"/>
      <c r="O500" s="91" t="n"/>
      <c r="P500" s="94" t="str">
        <f>IF(Q500=0,"",IF(C500="","Item de resíduo não informado",IF(T500=0,"Item inexistente (referência inválida)",IF(NOT(ISNUMBER(F500)),"Quantidade não informada",IF(F500&lt;=0,"Quantidade não positiva",IF(G500="","Unidade não informada",IF(NOT(ISNUMBER(H500)),"Unidade a conferir",IF(NOT(ISNUMBER(E500)),"Data de recebimento não informada",IF(AND(ISNUMBER(V500),N(V500)&gt;0,E500&lt;N(V500)),"Data anterior à emissão do MTR",IF(AND(J500="Sim",L500="",M500=""),"Conferido sem evidência identificada",IF(J500&lt;&gt;"Sim","Aguardando conferência",IF(INDEX('ITENS_MTR'!$AM$6:$AM$1005,S500)=1,"Conferido (ver diferença no item)","Conferido"))))))))))))</f>
        <v/>
      </c>
      <c r="Q500" s="96">
        <f>IF(COUNTA(C500,E500:G500,I500:O500)&gt;0,1,0)</f>
        <v>0</v>
      </c>
      <c r="R500" s="96" t="str">
        <f>IF(C500="","",TRIM(LEFT(C500,FIND(" |",C500&amp;" |")-1)))</f>
        <v/>
      </c>
      <c r="S500" s="96" t="str">
        <f>IF(R500="","",IFERROR(MATCH(R500,'ITENS_MTR'!$A$6:$A$1005,0),""))</f>
        <v/>
      </c>
      <c r="T500" s="96">
        <f>IF(S500="",0,IF(INDEX('ITENS_MTR'!$R$6:$R$1005,S500)=1,1,0))</f>
        <v>0</v>
      </c>
      <c r="U500" s="96" t="str">
        <f>IF(T500=1,INDEX('ITENS_MTR'!$T$6:$T$1005,S500),"")</f>
        <v/>
      </c>
      <c r="V500" s="97" t="str">
        <f>IF(N(U500)&gt;0,INDEX('MTRs'!$E$6:$E$505,U500),"")</f>
        <v/>
      </c>
      <c r="W500" s="96" t="str">
        <f>IF(G500="","",IFERROR(IF(ISNUMBER(INDEX(cfg_fac,MATCH(G500,cfg_units,0))),IF(INDEX(cfg_fac,MATCH(G500,cfg_units,0))&gt;0,INDEX(cfg_fac,MATCH(G500,cfg_units,0)),""),""),""))</f>
        <v/>
      </c>
      <c r="X500" s="96">
        <f>IF(AND(ISNUMBER(F500),ISNUMBER(H500)),IF(H500&gt;0,1,0),0)</f>
        <v>0</v>
      </c>
      <c r="Y500" s="96">
        <f>IF(Q500=0,0,IF(OR(T500=0,X500=0,NOT(ISNUMBER(E500)),AND(J500="Sim",L500="",M500=""),AND(ISNUMBER(E500),ISNUMBER(V500),N(V500)&gt;0,E500&lt;N(V500))),1,0))</f>
        <v>0</v>
      </c>
      <c r="Z500" s="96">
        <f>IF(AND(Q500=1,T500=1,X500=1,J500="Sim",OR(L500&lt;&gt;"",M500&lt;&gt;"")),1,0)</f>
        <v>0</v>
      </c>
      <c r="AA500" s="96">
        <f>IF(Q500=0,0,IF(AND(OR(r_ini="",AND(ISNUMBER(E500),E500&gt;=r_ini)),OR(r_fim="",AND(ISNUMBER(E500),E500&lt;=r_fim)),OR(r_un="",r_un="(Todas)",IF(N(U500)&gt;0,INDEX('MTRs'!$G$6:$G$505,U500),"")=r_un),OR(r_de="",r_de="(Todos)",D500=r_de)),1,0))</f>
        <v>0</v>
      </c>
      <c r="AB500" s="96" t="str">
        <f>IF(AA500=1,COUNTIF($AA$6:AA500,1),"")</f>
        <v/>
      </c>
    </row>
    <row r="501">
      <c r="A501" s="89" t="inlineStr">
        <is>
          <t>REC-000496</t>
        </is>
      </c>
      <c r="B501" s="94" t="str">
        <f>IF(T501=1,INDEX('ITENS_MTR'!$S$6:$S$1005,S501)&amp;"","")</f>
        <v/>
      </c>
      <c r="C501" s="91" t="n"/>
      <c r="D501" s="94" t="str">
        <f>IF(N(U501)&gt;0,INDEX('MTRs'!$I$6:$I$505,U501)&amp;"","")</f>
        <v/>
      </c>
      <c r="E501" s="92" t="n"/>
      <c r="F501" s="98" t="n"/>
      <c r="G501" s="91" t="n"/>
      <c r="H501" s="93" t="str">
        <f>IF(Q501=0,"",IF(NOT(ISNUMBER(F501)),"",IF(ISNUMBER(W501),F501*W501,"UNIDADE A CONFERIR")))</f>
        <v/>
      </c>
      <c r="I501" s="91" t="n"/>
      <c r="J501" s="91" t="n"/>
      <c r="K501" s="92" t="n"/>
      <c r="L501" s="91" t="n"/>
      <c r="M501" s="91" t="n"/>
      <c r="N501" s="91" t="n"/>
      <c r="O501" s="91" t="n"/>
      <c r="P501" s="94" t="str">
        <f>IF(Q501=0,"",IF(C501="","Item de resíduo não informado",IF(T501=0,"Item inexistente (referência inválida)",IF(NOT(ISNUMBER(F501)),"Quantidade não informada",IF(F501&lt;=0,"Quantidade não positiva",IF(G501="","Unidade não informada",IF(NOT(ISNUMBER(H501)),"Unidade a conferir",IF(NOT(ISNUMBER(E501)),"Data de recebimento não informada",IF(AND(ISNUMBER(V501),N(V501)&gt;0,E501&lt;N(V501)),"Data anterior à emissão do MTR",IF(AND(J501="Sim",L501="",M501=""),"Conferido sem evidência identificada",IF(J501&lt;&gt;"Sim","Aguardando conferência",IF(INDEX('ITENS_MTR'!$AM$6:$AM$1005,S501)=1,"Conferido (ver diferença no item)","Conferido"))))))))))))</f>
        <v/>
      </c>
      <c r="Q501" s="96">
        <f>IF(COUNTA(C501,E501:G501,I501:O501)&gt;0,1,0)</f>
        <v>0</v>
      </c>
      <c r="R501" s="96" t="str">
        <f>IF(C501="","",TRIM(LEFT(C501,FIND(" |",C501&amp;" |")-1)))</f>
        <v/>
      </c>
      <c r="S501" s="96" t="str">
        <f>IF(R501="","",IFERROR(MATCH(R501,'ITENS_MTR'!$A$6:$A$1005,0),""))</f>
        <v/>
      </c>
      <c r="T501" s="96">
        <f>IF(S501="",0,IF(INDEX('ITENS_MTR'!$R$6:$R$1005,S501)=1,1,0))</f>
        <v>0</v>
      </c>
      <c r="U501" s="96" t="str">
        <f>IF(T501=1,INDEX('ITENS_MTR'!$T$6:$T$1005,S501),"")</f>
        <v/>
      </c>
      <c r="V501" s="97" t="str">
        <f>IF(N(U501)&gt;0,INDEX('MTRs'!$E$6:$E$505,U501),"")</f>
        <v/>
      </c>
      <c r="W501" s="96" t="str">
        <f>IF(G501="","",IFERROR(IF(ISNUMBER(INDEX(cfg_fac,MATCH(G501,cfg_units,0))),IF(INDEX(cfg_fac,MATCH(G501,cfg_units,0))&gt;0,INDEX(cfg_fac,MATCH(G501,cfg_units,0)),""),""),""))</f>
        <v/>
      </c>
      <c r="X501" s="96">
        <f>IF(AND(ISNUMBER(F501),ISNUMBER(H501)),IF(H501&gt;0,1,0),0)</f>
        <v>0</v>
      </c>
      <c r="Y501" s="96">
        <f>IF(Q501=0,0,IF(OR(T501=0,X501=0,NOT(ISNUMBER(E501)),AND(J501="Sim",L501="",M501=""),AND(ISNUMBER(E501),ISNUMBER(V501),N(V501)&gt;0,E501&lt;N(V501))),1,0))</f>
        <v>0</v>
      </c>
      <c r="Z501" s="96">
        <f>IF(AND(Q501=1,T501=1,X501=1,J501="Sim",OR(L501&lt;&gt;"",M501&lt;&gt;"")),1,0)</f>
        <v>0</v>
      </c>
      <c r="AA501" s="96">
        <f>IF(Q501=0,0,IF(AND(OR(r_ini="",AND(ISNUMBER(E501),E501&gt;=r_ini)),OR(r_fim="",AND(ISNUMBER(E501),E501&lt;=r_fim)),OR(r_un="",r_un="(Todas)",IF(N(U501)&gt;0,INDEX('MTRs'!$G$6:$G$505,U501),"")=r_un),OR(r_de="",r_de="(Todos)",D501=r_de)),1,0))</f>
        <v>0</v>
      </c>
      <c r="AB501" s="96" t="str">
        <f>IF(AA501=1,COUNTIF($AA$6:AA501,1),"")</f>
        <v/>
      </c>
    </row>
    <row r="502">
      <c r="A502" s="89" t="inlineStr">
        <is>
          <t>REC-000497</t>
        </is>
      </c>
      <c r="B502" s="94" t="str">
        <f>IF(T502=1,INDEX('ITENS_MTR'!$S$6:$S$1005,S502)&amp;"","")</f>
        <v/>
      </c>
      <c r="C502" s="91" t="n"/>
      <c r="D502" s="94" t="str">
        <f>IF(N(U502)&gt;0,INDEX('MTRs'!$I$6:$I$505,U502)&amp;"","")</f>
        <v/>
      </c>
      <c r="E502" s="92" t="n"/>
      <c r="F502" s="98" t="n"/>
      <c r="G502" s="91" t="n"/>
      <c r="H502" s="93" t="str">
        <f>IF(Q502=0,"",IF(NOT(ISNUMBER(F502)),"",IF(ISNUMBER(W502),F502*W502,"UNIDADE A CONFERIR")))</f>
        <v/>
      </c>
      <c r="I502" s="91" t="n"/>
      <c r="J502" s="91" t="n"/>
      <c r="K502" s="92" t="n"/>
      <c r="L502" s="91" t="n"/>
      <c r="M502" s="91" t="n"/>
      <c r="N502" s="91" t="n"/>
      <c r="O502" s="91" t="n"/>
      <c r="P502" s="94" t="str">
        <f>IF(Q502=0,"",IF(C502="","Item de resíduo não informado",IF(T502=0,"Item inexistente (referência inválida)",IF(NOT(ISNUMBER(F502)),"Quantidade não informada",IF(F502&lt;=0,"Quantidade não positiva",IF(G502="","Unidade não informada",IF(NOT(ISNUMBER(H502)),"Unidade a conferir",IF(NOT(ISNUMBER(E502)),"Data de recebimento não informada",IF(AND(ISNUMBER(V502),N(V502)&gt;0,E502&lt;N(V502)),"Data anterior à emissão do MTR",IF(AND(J502="Sim",L502="",M502=""),"Conferido sem evidência identificada",IF(J502&lt;&gt;"Sim","Aguardando conferência",IF(INDEX('ITENS_MTR'!$AM$6:$AM$1005,S502)=1,"Conferido (ver diferença no item)","Conferido"))))))))))))</f>
        <v/>
      </c>
      <c r="Q502" s="96">
        <f>IF(COUNTA(C502,E502:G502,I502:O502)&gt;0,1,0)</f>
        <v>0</v>
      </c>
      <c r="R502" s="96" t="str">
        <f>IF(C502="","",TRIM(LEFT(C502,FIND(" |",C502&amp;" |")-1)))</f>
        <v/>
      </c>
      <c r="S502" s="96" t="str">
        <f>IF(R502="","",IFERROR(MATCH(R502,'ITENS_MTR'!$A$6:$A$1005,0),""))</f>
        <v/>
      </c>
      <c r="T502" s="96">
        <f>IF(S502="",0,IF(INDEX('ITENS_MTR'!$R$6:$R$1005,S502)=1,1,0))</f>
        <v>0</v>
      </c>
      <c r="U502" s="96" t="str">
        <f>IF(T502=1,INDEX('ITENS_MTR'!$T$6:$T$1005,S502),"")</f>
        <v/>
      </c>
      <c r="V502" s="97" t="str">
        <f>IF(N(U502)&gt;0,INDEX('MTRs'!$E$6:$E$505,U502),"")</f>
        <v/>
      </c>
      <c r="W502" s="96" t="str">
        <f>IF(G502="","",IFERROR(IF(ISNUMBER(INDEX(cfg_fac,MATCH(G502,cfg_units,0))),IF(INDEX(cfg_fac,MATCH(G502,cfg_units,0))&gt;0,INDEX(cfg_fac,MATCH(G502,cfg_units,0)),""),""),""))</f>
        <v/>
      </c>
      <c r="X502" s="96">
        <f>IF(AND(ISNUMBER(F502),ISNUMBER(H502)),IF(H502&gt;0,1,0),0)</f>
        <v>0</v>
      </c>
      <c r="Y502" s="96">
        <f>IF(Q502=0,0,IF(OR(T502=0,X502=0,NOT(ISNUMBER(E502)),AND(J502="Sim",L502="",M502=""),AND(ISNUMBER(E502),ISNUMBER(V502),N(V502)&gt;0,E502&lt;N(V502))),1,0))</f>
        <v>0</v>
      </c>
      <c r="Z502" s="96">
        <f>IF(AND(Q502=1,T502=1,X502=1,J502="Sim",OR(L502&lt;&gt;"",M502&lt;&gt;"")),1,0)</f>
        <v>0</v>
      </c>
      <c r="AA502" s="96">
        <f>IF(Q502=0,0,IF(AND(OR(r_ini="",AND(ISNUMBER(E502),E502&gt;=r_ini)),OR(r_fim="",AND(ISNUMBER(E502),E502&lt;=r_fim)),OR(r_un="",r_un="(Todas)",IF(N(U502)&gt;0,INDEX('MTRs'!$G$6:$G$505,U502),"")=r_un),OR(r_de="",r_de="(Todos)",D502=r_de)),1,0))</f>
        <v>0</v>
      </c>
      <c r="AB502" s="96" t="str">
        <f>IF(AA502=1,COUNTIF($AA$6:AA502,1),"")</f>
        <v/>
      </c>
    </row>
    <row r="503">
      <c r="A503" s="89" t="inlineStr">
        <is>
          <t>REC-000498</t>
        </is>
      </c>
      <c r="B503" s="94" t="str">
        <f>IF(T503=1,INDEX('ITENS_MTR'!$S$6:$S$1005,S503)&amp;"","")</f>
        <v/>
      </c>
      <c r="C503" s="91" t="n"/>
      <c r="D503" s="94" t="str">
        <f>IF(N(U503)&gt;0,INDEX('MTRs'!$I$6:$I$505,U503)&amp;"","")</f>
        <v/>
      </c>
      <c r="E503" s="92" t="n"/>
      <c r="F503" s="98" t="n"/>
      <c r="G503" s="91" t="n"/>
      <c r="H503" s="93" t="str">
        <f>IF(Q503=0,"",IF(NOT(ISNUMBER(F503)),"",IF(ISNUMBER(W503),F503*W503,"UNIDADE A CONFERIR")))</f>
        <v/>
      </c>
      <c r="I503" s="91" t="n"/>
      <c r="J503" s="91" t="n"/>
      <c r="K503" s="92" t="n"/>
      <c r="L503" s="91" t="n"/>
      <c r="M503" s="91" t="n"/>
      <c r="N503" s="91" t="n"/>
      <c r="O503" s="91" t="n"/>
      <c r="P503" s="94" t="str">
        <f>IF(Q503=0,"",IF(C503="","Item de resíduo não informado",IF(T503=0,"Item inexistente (referência inválida)",IF(NOT(ISNUMBER(F503)),"Quantidade não informada",IF(F503&lt;=0,"Quantidade não positiva",IF(G503="","Unidade não informada",IF(NOT(ISNUMBER(H503)),"Unidade a conferir",IF(NOT(ISNUMBER(E503)),"Data de recebimento não informada",IF(AND(ISNUMBER(V503),N(V503)&gt;0,E503&lt;N(V503)),"Data anterior à emissão do MTR",IF(AND(J503="Sim",L503="",M503=""),"Conferido sem evidência identificada",IF(J503&lt;&gt;"Sim","Aguardando conferência",IF(INDEX('ITENS_MTR'!$AM$6:$AM$1005,S503)=1,"Conferido (ver diferença no item)","Conferido"))))))))))))</f>
        <v/>
      </c>
      <c r="Q503" s="96">
        <f>IF(COUNTA(C503,E503:G503,I503:O503)&gt;0,1,0)</f>
        <v>0</v>
      </c>
      <c r="R503" s="96" t="str">
        <f>IF(C503="","",TRIM(LEFT(C503,FIND(" |",C503&amp;" |")-1)))</f>
        <v/>
      </c>
      <c r="S503" s="96" t="str">
        <f>IF(R503="","",IFERROR(MATCH(R503,'ITENS_MTR'!$A$6:$A$1005,0),""))</f>
        <v/>
      </c>
      <c r="T503" s="96">
        <f>IF(S503="",0,IF(INDEX('ITENS_MTR'!$R$6:$R$1005,S503)=1,1,0))</f>
        <v>0</v>
      </c>
      <c r="U503" s="96" t="str">
        <f>IF(T503=1,INDEX('ITENS_MTR'!$T$6:$T$1005,S503),"")</f>
        <v/>
      </c>
      <c r="V503" s="97" t="str">
        <f>IF(N(U503)&gt;0,INDEX('MTRs'!$E$6:$E$505,U503),"")</f>
        <v/>
      </c>
      <c r="W503" s="96" t="str">
        <f>IF(G503="","",IFERROR(IF(ISNUMBER(INDEX(cfg_fac,MATCH(G503,cfg_units,0))),IF(INDEX(cfg_fac,MATCH(G503,cfg_units,0))&gt;0,INDEX(cfg_fac,MATCH(G503,cfg_units,0)),""),""),""))</f>
        <v/>
      </c>
      <c r="X503" s="96">
        <f>IF(AND(ISNUMBER(F503),ISNUMBER(H503)),IF(H503&gt;0,1,0),0)</f>
        <v>0</v>
      </c>
      <c r="Y503" s="96">
        <f>IF(Q503=0,0,IF(OR(T503=0,X503=0,NOT(ISNUMBER(E503)),AND(J503="Sim",L503="",M503=""),AND(ISNUMBER(E503),ISNUMBER(V503),N(V503)&gt;0,E503&lt;N(V503))),1,0))</f>
        <v>0</v>
      </c>
      <c r="Z503" s="96">
        <f>IF(AND(Q503=1,T503=1,X503=1,J503="Sim",OR(L503&lt;&gt;"",M503&lt;&gt;"")),1,0)</f>
        <v>0</v>
      </c>
      <c r="AA503" s="96">
        <f>IF(Q503=0,0,IF(AND(OR(r_ini="",AND(ISNUMBER(E503),E503&gt;=r_ini)),OR(r_fim="",AND(ISNUMBER(E503),E503&lt;=r_fim)),OR(r_un="",r_un="(Todas)",IF(N(U503)&gt;0,INDEX('MTRs'!$G$6:$G$505,U503),"")=r_un),OR(r_de="",r_de="(Todos)",D503=r_de)),1,0))</f>
        <v>0</v>
      </c>
      <c r="AB503" s="96" t="str">
        <f>IF(AA503=1,COUNTIF($AA$6:AA503,1),"")</f>
        <v/>
      </c>
    </row>
    <row r="504">
      <c r="A504" s="89" t="inlineStr">
        <is>
          <t>REC-000499</t>
        </is>
      </c>
      <c r="B504" s="94" t="str">
        <f>IF(T504=1,INDEX('ITENS_MTR'!$S$6:$S$1005,S504)&amp;"","")</f>
        <v/>
      </c>
      <c r="C504" s="91" t="n"/>
      <c r="D504" s="94" t="str">
        <f>IF(N(U504)&gt;0,INDEX('MTRs'!$I$6:$I$505,U504)&amp;"","")</f>
        <v/>
      </c>
      <c r="E504" s="92" t="n"/>
      <c r="F504" s="98" t="n"/>
      <c r="G504" s="91" t="n"/>
      <c r="H504" s="93" t="str">
        <f>IF(Q504=0,"",IF(NOT(ISNUMBER(F504)),"",IF(ISNUMBER(W504),F504*W504,"UNIDADE A CONFERIR")))</f>
        <v/>
      </c>
      <c r="I504" s="91" t="n"/>
      <c r="J504" s="91" t="n"/>
      <c r="K504" s="92" t="n"/>
      <c r="L504" s="91" t="n"/>
      <c r="M504" s="91" t="n"/>
      <c r="N504" s="91" t="n"/>
      <c r="O504" s="91" t="n"/>
      <c r="P504" s="94" t="str">
        <f>IF(Q504=0,"",IF(C504="","Item de resíduo não informado",IF(T504=0,"Item inexistente (referência inválida)",IF(NOT(ISNUMBER(F504)),"Quantidade não informada",IF(F504&lt;=0,"Quantidade não positiva",IF(G504="","Unidade não informada",IF(NOT(ISNUMBER(H504)),"Unidade a conferir",IF(NOT(ISNUMBER(E504)),"Data de recebimento não informada",IF(AND(ISNUMBER(V504),N(V504)&gt;0,E504&lt;N(V504)),"Data anterior à emissão do MTR",IF(AND(J504="Sim",L504="",M504=""),"Conferido sem evidência identificada",IF(J504&lt;&gt;"Sim","Aguardando conferência",IF(INDEX('ITENS_MTR'!$AM$6:$AM$1005,S504)=1,"Conferido (ver diferença no item)","Conferido"))))))))))))</f>
        <v/>
      </c>
      <c r="Q504" s="96">
        <f>IF(COUNTA(C504,E504:G504,I504:O504)&gt;0,1,0)</f>
        <v>0</v>
      </c>
      <c r="R504" s="96" t="str">
        <f>IF(C504="","",TRIM(LEFT(C504,FIND(" |",C504&amp;" |")-1)))</f>
        <v/>
      </c>
      <c r="S504" s="96" t="str">
        <f>IF(R504="","",IFERROR(MATCH(R504,'ITENS_MTR'!$A$6:$A$1005,0),""))</f>
        <v/>
      </c>
      <c r="T504" s="96">
        <f>IF(S504="",0,IF(INDEX('ITENS_MTR'!$R$6:$R$1005,S504)=1,1,0))</f>
        <v>0</v>
      </c>
      <c r="U504" s="96" t="str">
        <f>IF(T504=1,INDEX('ITENS_MTR'!$T$6:$T$1005,S504),"")</f>
        <v/>
      </c>
      <c r="V504" s="97" t="str">
        <f>IF(N(U504)&gt;0,INDEX('MTRs'!$E$6:$E$505,U504),"")</f>
        <v/>
      </c>
      <c r="W504" s="96" t="str">
        <f>IF(G504="","",IFERROR(IF(ISNUMBER(INDEX(cfg_fac,MATCH(G504,cfg_units,0))),IF(INDEX(cfg_fac,MATCH(G504,cfg_units,0))&gt;0,INDEX(cfg_fac,MATCH(G504,cfg_units,0)),""),""),""))</f>
        <v/>
      </c>
      <c r="X504" s="96">
        <f>IF(AND(ISNUMBER(F504),ISNUMBER(H504)),IF(H504&gt;0,1,0),0)</f>
        <v>0</v>
      </c>
      <c r="Y504" s="96">
        <f>IF(Q504=0,0,IF(OR(T504=0,X504=0,NOT(ISNUMBER(E504)),AND(J504="Sim",L504="",M504=""),AND(ISNUMBER(E504),ISNUMBER(V504),N(V504)&gt;0,E504&lt;N(V504))),1,0))</f>
        <v>0</v>
      </c>
      <c r="Z504" s="96">
        <f>IF(AND(Q504=1,T504=1,X504=1,J504="Sim",OR(L504&lt;&gt;"",M504&lt;&gt;"")),1,0)</f>
        <v>0</v>
      </c>
      <c r="AA504" s="96">
        <f>IF(Q504=0,0,IF(AND(OR(r_ini="",AND(ISNUMBER(E504),E504&gt;=r_ini)),OR(r_fim="",AND(ISNUMBER(E504),E504&lt;=r_fim)),OR(r_un="",r_un="(Todas)",IF(N(U504)&gt;0,INDEX('MTRs'!$G$6:$G$505,U504),"")=r_un),OR(r_de="",r_de="(Todos)",D504=r_de)),1,0))</f>
        <v>0</v>
      </c>
      <c r="AB504" s="96" t="str">
        <f>IF(AA504=1,COUNTIF($AA$6:AA504,1),"")</f>
        <v/>
      </c>
    </row>
    <row r="505">
      <c r="A505" s="89" t="inlineStr">
        <is>
          <t>REC-000500</t>
        </is>
      </c>
      <c r="B505" s="94" t="str">
        <f>IF(T505=1,INDEX('ITENS_MTR'!$S$6:$S$1005,S505)&amp;"","")</f>
        <v/>
      </c>
      <c r="C505" s="91" t="n"/>
      <c r="D505" s="94" t="str">
        <f>IF(N(U505)&gt;0,INDEX('MTRs'!$I$6:$I$505,U505)&amp;"","")</f>
        <v/>
      </c>
      <c r="E505" s="92" t="n"/>
      <c r="F505" s="98" t="n"/>
      <c r="G505" s="91" t="n"/>
      <c r="H505" s="93" t="str">
        <f>IF(Q505=0,"",IF(NOT(ISNUMBER(F505)),"",IF(ISNUMBER(W505),F505*W505,"UNIDADE A CONFERIR")))</f>
        <v/>
      </c>
      <c r="I505" s="91" t="n"/>
      <c r="J505" s="91" t="n"/>
      <c r="K505" s="92" t="n"/>
      <c r="L505" s="91" t="n"/>
      <c r="M505" s="91" t="n"/>
      <c r="N505" s="91" t="n"/>
      <c r="O505" s="91" t="n"/>
      <c r="P505" s="94" t="str">
        <f>IF(Q505=0,"",IF(C505="","Item de resíduo não informado",IF(T505=0,"Item inexistente (referência inválida)",IF(NOT(ISNUMBER(F505)),"Quantidade não informada",IF(F505&lt;=0,"Quantidade não positiva",IF(G505="","Unidade não informada",IF(NOT(ISNUMBER(H505)),"Unidade a conferir",IF(NOT(ISNUMBER(E505)),"Data de recebimento não informada",IF(AND(ISNUMBER(V505),N(V505)&gt;0,E505&lt;N(V505)),"Data anterior à emissão do MTR",IF(AND(J505="Sim",L505="",M505=""),"Conferido sem evidência identificada",IF(J505&lt;&gt;"Sim","Aguardando conferência",IF(INDEX('ITENS_MTR'!$AM$6:$AM$1005,S505)=1,"Conferido (ver diferença no item)","Conferido"))))))))))))</f>
        <v/>
      </c>
      <c r="Q505" s="96">
        <f>IF(COUNTA(C505,E505:G505,I505:O505)&gt;0,1,0)</f>
        <v>0</v>
      </c>
      <c r="R505" s="96" t="str">
        <f>IF(C505="","",TRIM(LEFT(C505,FIND(" |",C505&amp;" |")-1)))</f>
        <v/>
      </c>
      <c r="S505" s="96" t="str">
        <f>IF(R505="","",IFERROR(MATCH(R505,'ITENS_MTR'!$A$6:$A$1005,0),""))</f>
        <v/>
      </c>
      <c r="T505" s="96">
        <f>IF(S505="",0,IF(INDEX('ITENS_MTR'!$R$6:$R$1005,S505)=1,1,0))</f>
        <v>0</v>
      </c>
      <c r="U505" s="96" t="str">
        <f>IF(T505=1,INDEX('ITENS_MTR'!$T$6:$T$1005,S505),"")</f>
        <v/>
      </c>
      <c r="V505" s="97" t="str">
        <f>IF(N(U505)&gt;0,INDEX('MTRs'!$E$6:$E$505,U505),"")</f>
        <v/>
      </c>
      <c r="W505" s="96" t="str">
        <f>IF(G505="","",IFERROR(IF(ISNUMBER(INDEX(cfg_fac,MATCH(G505,cfg_units,0))),IF(INDEX(cfg_fac,MATCH(G505,cfg_units,0))&gt;0,INDEX(cfg_fac,MATCH(G505,cfg_units,0)),""),""),""))</f>
        <v/>
      </c>
      <c r="X505" s="96">
        <f>IF(AND(ISNUMBER(F505),ISNUMBER(H505)),IF(H505&gt;0,1,0),0)</f>
        <v>0</v>
      </c>
      <c r="Y505" s="96">
        <f>IF(Q505=0,0,IF(OR(T505=0,X505=0,NOT(ISNUMBER(E505)),AND(J505="Sim",L505="",M505=""),AND(ISNUMBER(E505),ISNUMBER(V505),N(V505)&gt;0,E505&lt;N(V505))),1,0))</f>
        <v>0</v>
      </c>
      <c r="Z505" s="96">
        <f>IF(AND(Q505=1,T505=1,X505=1,J505="Sim",OR(L505&lt;&gt;"",M505&lt;&gt;"")),1,0)</f>
        <v>0</v>
      </c>
      <c r="AA505" s="96">
        <f>IF(Q505=0,0,IF(AND(OR(r_ini="",AND(ISNUMBER(E505),E505&gt;=r_ini)),OR(r_fim="",AND(ISNUMBER(E505),E505&lt;=r_fim)),OR(r_un="",r_un="(Todas)",IF(N(U505)&gt;0,INDEX('MTRs'!$G$6:$G$505,U505),"")=r_un),OR(r_de="",r_de="(Todos)",D505=r_de)),1,0))</f>
        <v>0</v>
      </c>
      <c r="AB505" s="96" t="str">
        <f>IF(AA505=1,COUNTIF($AA$6:AA505,1),"")</f>
        <v/>
      </c>
    </row>
    <row r="506">
      <c r="A506" s="89" t="inlineStr">
        <is>
          <t>REC-000501</t>
        </is>
      </c>
      <c r="B506" s="94" t="str">
        <f>IF(T506=1,INDEX('ITENS_MTR'!$S$6:$S$1005,S506)&amp;"","")</f>
        <v/>
      </c>
      <c r="C506" s="91" t="n"/>
      <c r="D506" s="94" t="str">
        <f>IF(N(U506)&gt;0,INDEX('MTRs'!$I$6:$I$505,U506)&amp;"","")</f>
        <v/>
      </c>
      <c r="E506" s="92" t="n"/>
      <c r="F506" s="98" t="n"/>
      <c r="G506" s="91" t="n"/>
      <c r="H506" s="93" t="str">
        <f>IF(Q506=0,"",IF(NOT(ISNUMBER(F506)),"",IF(ISNUMBER(W506),F506*W506,"UNIDADE A CONFERIR")))</f>
        <v/>
      </c>
      <c r="I506" s="91" t="n"/>
      <c r="J506" s="91" t="n"/>
      <c r="K506" s="92" t="n"/>
      <c r="L506" s="91" t="n"/>
      <c r="M506" s="91" t="n"/>
      <c r="N506" s="91" t="n"/>
      <c r="O506" s="91" t="n"/>
      <c r="P506" s="94" t="str">
        <f>IF(Q506=0,"",IF(C506="","Item de resíduo não informado",IF(T506=0,"Item inexistente (referência inválida)",IF(NOT(ISNUMBER(F506)),"Quantidade não informada",IF(F506&lt;=0,"Quantidade não positiva",IF(G506="","Unidade não informada",IF(NOT(ISNUMBER(H506)),"Unidade a conferir",IF(NOT(ISNUMBER(E506)),"Data de recebimento não informada",IF(AND(ISNUMBER(V506),N(V506)&gt;0,E506&lt;N(V506)),"Data anterior à emissão do MTR",IF(AND(J506="Sim",L506="",M506=""),"Conferido sem evidência identificada",IF(J506&lt;&gt;"Sim","Aguardando conferência",IF(INDEX('ITENS_MTR'!$AM$6:$AM$1005,S506)=1,"Conferido (ver diferença no item)","Conferido"))))))))))))</f>
        <v/>
      </c>
      <c r="Q506" s="96">
        <f>IF(COUNTA(C506,E506:G506,I506:O506)&gt;0,1,0)</f>
        <v>0</v>
      </c>
      <c r="R506" s="96" t="str">
        <f>IF(C506="","",TRIM(LEFT(C506,FIND(" |",C506&amp;" |")-1)))</f>
        <v/>
      </c>
      <c r="S506" s="96" t="str">
        <f>IF(R506="","",IFERROR(MATCH(R506,'ITENS_MTR'!$A$6:$A$1005,0),""))</f>
        <v/>
      </c>
      <c r="T506" s="96">
        <f>IF(S506="",0,IF(INDEX('ITENS_MTR'!$R$6:$R$1005,S506)=1,1,0))</f>
        <v>0</v>
      </c>
      <c r="U506" s="96" t="str">
        <f>IF(T506=1,INDEX('ITENS_MTR'!$T$6:$T$1005,S506),"")</f>
        <v/>
      </c>
      <c r="V506" s="97" t="str">
        <f>IF(N(U506)&gt;0,INDEX('MTRs'!$E$6:$E$505,U506),"")</f>
        <v/>
      </c>
      <c r="W506" s="96" t="str">
        <f>IF(G506="","",IFERROR(IF(ISNUMBER(INDEX(cfg_fac,MATCH(G506,cfg_units,0))),IF(INDEX(cfg_fac,MATCH(G506,cfg_units,0))&gt;0,INDEX(cfg_fac,MATCH(G506,cfg_units,0)),""),""),""))</f>
        <v/>
      </c>
      <c r="X506" s="96">
        <f>IF(AND(ISNUMBER(F506),ISNUMBER(H506)),IF(H506&gt;0,1,0),0)</f>
        <v>0</v>
      </c>
      <c r="Y506" s="96">
        <f>IF(Q506=0,0,IF(OR(T506=0,X506=0,NOT(ISNUMBER(E506)),AND(J506="Sim",L506="",M506=""),AND(ISNUMBER(E506),ISNUMBER(V506),N(V506)&gt;0,E506&lt;N(V506))),1,0))</f>
        <v>0</v>
      </c>
      <c r="Z506" s="96">
        <f>IF(AND(Q506=1,T506=1,X506=1,J506="Sim",OR(L506&lt;&gt;"",M506&lt;&gt;"")),1,0)</f>
        <v>0</v>
      </c>
      <c r="AA506" s="96">
        <f>IF(Q506=0,0,IF(AND(OR(r_ini="",AND(ISNUMBER(E506),E506&gt;=r_ini)),OR(r_fim="",AND(ISNUMBER(E506),E506&lt;=r_fim)),OR(r_un="",r_un="(Todas)",IF(N(U506)&gt;0,INDEX('MTRs'!$G$6:$G$505,U506),"")=r_un),OR(r_de="",r_de="(Todos)",D506=r_de)),1,0))</f>
        <v>0</v>
      </c>
      <c r="AB506" s="96" t="str">
        <f>IF(AA506=1,COUNTIF($AA$6:AA506,1),"")</f>
        <v/>
      </c>
    </row>
    <row r="507">
      <c r="A507" s="89" t="inlineStr">
        <is>
          <t>REC-000502</t>
        </is>
      </c>
      <c r="B507" s="94" t="str">
        <f>IF(T507=1,INDEX('ITENS_MTR'!$S$6:$S$1005,S507)&amp;"","")</f>
        <v/>
      </c>
      <c r="C507" s="91" t="n"/>
      <c r="D507" s="94" t="str">
        <f>IF(N(U507)&gt;0,INDEX('MTRs'!$I$6:$I$505,U507)&amp;"","")</f>
        <v/>
      </c>
      <c r="E507" s="92" t="n"/>
      <c r="F507" s="98" t="n"/>
      <c r="G507" s="91" t="n"/>
      <c r="H507" s="93" t="str">
        <f>IF(Q507=0,"",IF(NOT(ISNUMBER(F507)),"",IF(ISNUMBER(W507),F507*W507,"UNIDADE A CONFERIR")))</f>
        <v/>
      </c>
      <c r="I507" s="91" t="n"/>
      <c r="J507" s="91" t="n"/>
      <c r="K507" s="92" t="n"/>
      <c r="L507" s="91" t="n"/>
      <c r="M507" s="91" t="n"/>
      <c r="N507" s="91" t="n"/>
      <c r="O507" s="91" t="n"/>
      <c r="P507" s="94" t="str">
        <f>IF(Q507=0,"",IF(C507="","Item de resíduo não informado",IF(T507=0,"Item inexistente (referência inválida)",IF(NOT(ISNUMBER(F507)),"Quantidade não informada",IF(F507&lt;=0,"Quantidade não positiva",IF(G507="","Unidade não informada",IF(NOT(ISNUMBER(H507)),"Unidade a conferir",IF(NOT(ISNUMBER(E507)),"Data de recebimento não informada",IF(AND(ISNUMBER(V507),N(V507)&gt;0,E507&lt;N(V507)),"Data anterior à emissão do MTR",IF(AND(J507="Sim",L507="",M507=""),"Conferido sem evidência identificada",IF(J507&lt;&gt;"Sim","Aguardando conferência",IF(INDEX('ITENS_MTR'!$AM$6:$AM$1005,S507)=1,"Conferido (ver diferença no item)","Conferido"))))))))))))</f>
        <v/>
      </c>
      <c r="Q507" s="96">
        <f>IF(COUNTA(C507,E507:G507,I507:O507)&gt;0,1,0)</f>
        <v>0</v>
      </c>
      <c r="R507" s="96" t="str">
        <f>IF(C507="","",TRIM(LEFT(C507,FIND(" |",C507&amp;" |")-1)))</f>
        <v/>
      </c>
      <c r="S507" s="96" t="str">
        <f>IF(R507="","",IFERROR(MATCH(R507,'ITENS_MTR'!$A$6:$A$1005,0),""))</f>
        <v/>
      </c>
      <c r="T507" s="96">
        <f>IF(S507="",0,IF(INDEX('ITENS_MTR'!$R$6:$R$1005,S507)=1,1,0))</f>
        <v>0</v>
      </c>
      <c r="U507" s="96" t="str">
        <f>IF(T507=1,INDEX('ITENS_MTR'!$T$6:$T$1005,S507),"")</f>
        <v/>
      </c>
      <c r="V507" s="97" t="str">
        <f>IF(N(U507)&gt;0,INDEX('MTRs'!$E$6:$E$505,U507),"")</f>
        <v/>
      </c>
      <c r="W507" s="96" t="str">
        <f>IF(G507="","",IFERROR(IF(ISNUMBER(INDEX(cfg_fac,MATCH(G507,cfg_units,0))),IF(INDEX(cfg_fac,MATCH(G507,cfg_units,0))&gt;0,INDEX(cfg_fac,MATCH(G507,cfg_units,0)),""),""),""))</f>
        <v/>
      </c>
      <c r="X507" s="96">
        <f>IF(AND(ISNUMBER(F507),ISNUMBER(H507)),IF(H507&gt;0,1,0),0)</f>
        <v>0</v>
      </c>
      <c r="Y507" s="96">
        <f>IF(Q507=0,0,IF(OR(T507=0,X507=0,NOT(ISNUMBER(E507)),AND(J507="Sim",L507="",M507=""),AND(ISNUMBER(E507),ISNUMBER(V507),N(V507)&gt;0,E507&lt;N(V507))),1,0))</f>
        <v>0</v>
      </c>
      <c r="Z507" s="96">
        <f>IF(AND(Q507=1,T507=1,X507=1,J507="Sim",OR(L507&lt;&gt;"",M507&lt;&gt;"")),1,0)</f>
        <v>0</v>
      </c>
      <c r="AA507" s="96">
        <f>IF(Q507=0,0,IF(AND(OR(r_ini="",AND(ISNUMBER(E507),E507&gt;=r_ini)),OR(r_fim="",AND(ISNUMBER(E507),E507&lt;=r_fim)),OR(r_un="",r_un="(Todas)",IF(N(U507)&gt;0,INDEX('MTRs'!$G$6:$G$505,U507),"")=r_un),OR(r_de="",r_de="(Todos)",D507=r_de)),1,0))</f>
        <v>0</v>
      </c>
      <c r="AB507" s="96" t="str">
        <f>IF(AA507=1,COUNTIF($AA$6:AA507,1),"")</f>
        <v/>
      </c>
    </row>
    <row r="508">
      <c r="A508" s="89" t="inlineStr">
        <is>
          <t>REC-000503</t>
        </is>
      </c>
      <c r="B508" s="94" t="str">
        <f>IF(T508=1,INDEX('ITENS_MTR'!$S$6:$S$1005,S508)&amp;"","")</f>
        <v/>
      </c>
      <c r="C508" s="91" t="n"/>
      <c r="D508" s="94" t="str">
        <f>IF(N(U508)&gt;0,INDEX('MTRs'!$I$6:$I$505,U508)&amp;"","")</f>
        <v/>
      </c>
      <c r="E508" s="92" t="n"/>
      <c r="F508" s="98" t="n"/>
      <c r="G508" s="91" t="n"/>
      <c r="H508" s="93" t="str">
        <f>IF(Q508=0,"",IF(NOT(ISNUMBER(F508)),"",IF(ISNUMBER(W508),F508*W508,"UNIDADE A CONFERIR")))</f>
        <v/>
      </c>
      <c r="I508" s="91" t="n"/>
      <c r="J508" s="91" t="n"/>
      <c r="K508" s="92" t="n"/>
      <c r="L508" s="91" t="n"/>
      <c r="M508" s="91" t="n"/>
      <c r="N508" s="91" t="n"/>
      <c r="O508" s="91" t="n"/>
      <c r="P508" s="94" t="str">
        <f>IF(Q508=0,"",IF(C508="","Item de resíduo não informado",IF(T508=0,"Item inexistente (referência inválida)",IF(NOT(ISNUMBER(F508)),"Quantidade não informada",IF(F508&lt;=0,"Quantidade não positiva",IF(G508="","Unidade não informada",IF(NOT(ISNUMBER(H508)),"Unidade a conferir",IF(NOT(ISNUMBER(E508)),"Data de recebimento não informada",IF(AND(ISNUMBER(V508),N(V508)&gt;0,E508&lt;N(V508)),"Data anterior à emissão do MTR",IF(AND(J508="Sim",L508="",M508=""),"Conferido sem evidência identificada",IF(J508&lt;&gt;"Sim","Aguardando conferência",IF(INDEX('ITENS_MTR'!$AM$6:$AM$1005,S508)=1,"Conferido (ver diferença no item)","Conferido"))))))))))))</f>
        <v/>
      </c>
      <c r="Q508" s="96">
        <f>IF(COUNTA(C508,E508:G508,I508:O508)&gt;0,1,0)</f>
        <v>0</v>
      </c>
      <c r="R508" s="96" t="str">
        <f>IF(C508="","",TRIM(LEFT(C508,FIND(" |",C508&amp;" |")-1)))</f>
        <v/>
      </c>
      <c r="S508" s="96" t="str">
        <f>IF(R508="","",IFERROR(MATCH(R508,'ITENS_MTR'!$A$6:$A$1005,0),""))</f>
        <v/>
      </c>
      <c r="T508" s="96">
        <f>IF(S508="",0,IF(INDEX('ITENS_MTR'!$R$6:$R$1005,S508)=1,1,0))</f>
        <v>0</v>
      </c>
      <c r="U508" s="96" t="str">
        <f>IF(T508=1,INDEX('ITENS_MTR'!$T$6:$T$1005,S508),"")</f>
        <v/>
      </c>
      <c r="V508" s="97" t="str">
        <f>IF(N(U508)&gt;0,INDEX('MTRs'!$E$6:$E$505,U508),"")</f>
        <v/>
      </c>
      <c r="W508" s="96" t="str">
        <f>IF(G508="","",IFERROR(IF(ISNUMBER(INDEX(cfg_fac,MATCH(G508,cfg_units,0))),IF(INDEX(cfg_fac,MATCH(G508,cfg_units,0))&gt;0,INDEX(cfg_fac,MATCH(G508,cfg_units,0)),""),""),""))</f>
        <v/>
      </c>
      <c r="X508" s="96">
        <f>IF(AND(ISNUMBER(F508),ISNUMBER(H508)),IF(H508&gt;0,1,0),0)</f>
        <v>0</v>
      </c>
      <c r="Y508" s="96">
        <f>IF(Q508=0,0,IF(OR(T508=0,X508=0,NOT(ISNUMBER(E508)),AND(J508="Sim",L508="",M508=""),AND(ISNUMBER(E508),ISNUMBER(V508),N(V508)&gt;0,E508&lt;N(V508))),1,0))</f>
        <v>0</v>
      </c>
      <c r="Z508" s="96">
        <f>IF(AND(Q508=1,T508=1,X508=1,J508="Sim",OR(L508&lt;&gt;"",M508&lt;&gt;"")),1,0)</f>
        <v>0</v>
      </c>
      <c r="AA508" s="96">
        <f>IF(Q508=0,0,IF(AND(OR(r_ini="",AND(ISNUMBER(E508),E508&gt;=r_ini)),OR(r_fim="",AND(ISNUMBER(E508),E508&lt;=r_fim)),OR(r_un="",r_un="(Todas)",IF(N(U508)&gt;0,INDEX('MTRs'!$G$6:$G$505,U508),"")=r_un),OR(r_de="",r_de="(Todos)",D508=r_de)),1,0))</f>
        <v>0</v>
      </c>
      <c r="AB508" s="96" t="str">
        <f>IF(AA508=1,COUNTIF($AA$6:AA508,1),"")</f>
        <v/>
      </c>
    </row>
    <row r="509">
      <c r="A509" s="89" t="inlineStr">
        <is>
          <t>REC-000504</t>
        </is>
      </c>
      <c r="B509" s="94" t="str">
        <f>IF(T509=1,INDEX('ITENS_MTR'!$S$6:$S$1005,S509)&amp;"","")</f>
        <v/>
      </c>
      <c r="C509" s="91" t="n"/>
      <c r="D509" s="94" t="str">
        <f>IF(N(U509)&gt;0,INDEX('MTRs'!$I$6:$I$505,U509)&amp;"","")</f>
        <v/>
      </c>
      <c r="E509" s="92" t="n"/>
      <c r="F509" s="98" t="n"/>
      <c r="G509" s="91" t="n"/>
      <c r="H509" s="93" t="str">
        <f>IF(Q509=0,"",IF(NOT(ISNUMBER(F509)),"",IF(ISNUMBER(W509),F509*W509,"UNIDADE A CONFERIR")))</f>
        <v/>
      </c>
      <c r="I509" s="91" t="n"/>
      <c r="J509" s="91" t="n"/>
      <c r="K509" s="92" t="n"/>
      <c r="L509" s="91" t="n"/>
      <c r="M509" s="91" t="n"/>
      <c r="N509" s="91" t="n"/>
      <c r="O509" s="91" t="n"/>
      <c r="P509" s="94" t="str">
        <f>IF(Q509=0,"",IF(C509="","Item de resíduo não informado",IF(T509=0,"Item inexistente (referência inválida)",IF(NOT(ISNUMBER(F509)),"Quantidade não informada",IF(F509&lt;=0,"Quantidade não positiva",IF(G509="","Unidade não informada",IF(NOT(ISNUMBER(H509)),"Unidade a conferir",IF(NOT(ISNUMBER(E509)),"Data de recebimento não informada",IF(AND(ISNUMBER(V509),N(V509)&gt;0,E509&lt;N(V509)),"Data anterior à emissão do MTR",IF(AND(J509="Sim",L509="",M509=""),"Conferido sem evidência identificada",IF(J509&lt;&gt;"Sim","Aguardando conferência",IF(INDEX('ITENS_MTR'!$AM$6:$AM$1005,S509)=1,"Conferido (ver diferença no item)","Conferido"))))))))))))</f>
        <v/>
      </c>
      <c r="Q509" s="96">
        <f>IF(COUNTA(C509,E509:G509,I509:O509)&gt;0,1,0)</f>
        <v>0</v>
      </c>
      <c r="R509" s="96" t="str">
        <f>IF(C509="","",TRIM(LEFT(C509,FIND(" |",C509&amp;" |")-1)))</f>
        <v/>
      </c>
      <c r="S509" s="96" t="str">
        <f>IF(R509="","",IFERROR(MATCH(R509,'ITENS_MTR'!$A$6:$A$1005,0),""))</f>
        <v/>
      </c>
      <c r="T509" s="96">
        <f>IF(S509="",0,IF(INDEX('ITENS_MTR'!$R$6:$R$1005,S509)=1,1,0))</f>
        <v>0</v>
      </c>
      <c r="U509" s="96" t="str">
        <f>IF(T509=1,INDEX('ITENS_MTR'!$T$6:$T$1005,S509),"")</f>
        <v/>
      </c>
      <c r="V509" s="97" t="str">
        <f>IF(N(U509)&gt;0,INDEX('MTRs'!$E$6:$E$505,U509),"")</f>
        <v/>
      </c>
      <c r="W509" s="96" t="str">
        <f>IF(G509="","",IFERROR(IF(ISNUMBER(INDEX(cfg_fac,MATCH(G509,cfg_units,0))),IF(INDEX(cfg_fac,MATCH(G509,cfg_units,0))&gt;0,INDEX(cfg_fac,MATCH(G509,cfg_units,0)),""),""),""))</f>
        <v/>
      </c>
      <c r="X509" s="96">
        <f>IF(AND(ISNUMBER(F509),ISNUMBER(H509)),IF(H509&gt;0,1,0),0)</f>
        <v>0</v>
      </c>
      <c r="Y509" s="96">
        <f>IF(Q509=0,0,IF(OR(T509=0,X509=0,NOT(ISNUMBER(E509)),AND(J509="Sim",L509="",M509=""),AND(ISNUMBER(E509),ISNUMBER(V509),N(V509)&gt;0,E509&lt;N(V509))),1,0))</f>
        <v>0</v>
      </c>
      <c r="Z509" s="96">
        <f>IF(AND(Q509=1,T509=1,X509=1,J509="Sim",OR(L509&lt;&gt;"",M509&lt;&gt;"")),1,0)</f>
        <v>0</v>
      </c>
      <c r="AA509" s="96">
        <f>IF(Q509=0,0,IF(AND(OR(r_ini="",AND(ISNUMBER(E509),E509&gt;=r_ini)),OR(r_fim="",AND(ISNUMBER(E509),E509&lt;=r_fim)),OR(r_un="",r_un="(Todas)",IF(N(U509)&gt;0,INDEX('MTRs'!$G$6:$G$505,U509),"")=r_un),OR(r_de="",r_de="(Todos)",D509=r_de)),1,0))</f>
        <v>0</v>
      </c>
      <c r="AB509" s="96" t="str">
        <f>IF(AA509=1,COUNTIF($AA$6:AA509,1),"")</f>
        <v/>
      </c>
    </row>
    <row r="510">
      <c r="A510" s="89" t="inlineStr">
        <is>
          <t>REC-000505</t>
        </is>
      </c>
      <c r="B510" s="94" t="str">
        <f>IF(T510=1,INDEX('ITENS_MTR'!$S$6:$S$1005,S510)&amp;"","")</f>
        <v/>
      </c>
      <c r="C510" s="91" t="n"/>
      <c r="D510" s="94" t="str">
        <f>IF(N(U510)&gt;0,INDEX('MTRs'!$I$6:$I$505,U510)&amp;"","")</f>
        <v/>
      </c>
      <c r="E510" s="92" t="n"/>
      <c r="F510" s="98" t="n"/>
      <c r="G510" s="91" t="n"/>
      <c r="H510" s="93" t="str">
        <f>IF(Q510=0,"",IF(NOT(ISNUMBER(F510)),"",IF(ISNUMBER(W510),F510*W510,"UNIDADE A CONFERIR")))</f>
        <v/>
      </c>
      <c r="I510" s="91" t="n"/>
      <c r="J510" s="91" t="n"/>
      <c r="K510" s="92" t="n"/>
      <c r="L510" s="91" t="n"/>
      <c r="M510" s="91" t="n"/>
      <c r="N510" s="91" t="n"/>
      <c r="O510" s="91" t="n"/>
      <c r="P510" s="94" t="str">
        <f>IF(Q510=0,"",IF(C510="","Item de resíduo não informado",IF(T510=0,"Item inexistente (referência inválida)",IF(NOT(ISNUMBER(F510)),"Quantidade não informada",IF(F510&lt;=0,"Quantidade não positiva",IF(G510="","Unidade não informada",IF(NOT(ISNUMBER(H510)),"Unidade a conferir",IF(NOT(ISNUMBER(E510)),"Data de recebimento não informada",IF(AND(ISNUMBER(V510),N(V510)&gt;0,E510&lt;N(V510)),"Data anterior à emissão do MTR",IF(AND(J510="Sim",L510="",M510=""),"Conferido sem evidência identificada",IF(J510&lt;&gt;"Sim","Aguardando conferência",IF(INDEX('ITENS_MTR'!$AM$6:$AM$1005,S510)=1,"Conferido (ver diferença no item)","Conferido"))))))))))))</f>
        <v/>
      </c>
      <c r="Q510" s="96">
        <f>IF(COUNTA(C510,E510:G510,I510:O510)&gt;0,1,0)</f>
        <v>0</v>
      </c>
      <c r="R510" s="96" t="str">
        <f>IF(C510="","",TRIM(LEFT(C510,FIND(" |",C510&amp;" |")-1)))</f>
        <v/>
      </c>
      <c r="S510" s="96" t="str">
        <f>IF(R510="","",IFERROR(MATCH(R510,'ITENS_MTR'!$A$6:$A$1005,0),""))</f>
        <v/>
      </c>
      <c r="T510" s="96">
        <f>IF(S510="",0,IF(INDEX('ITENS_MTR'!$R$6:$R$1005,S510)=1,1,0))</f>
        <v>0</v>
      </c>
      <c r="U510" s="96" t="str">
        <f>IF(T510=1,INDEX('ITENS_MTR'!$T$6:$T$1005,S510),"")</f>
        <v/>
      </c>
      <c r="V510" s="97" t="str">
        <f>IF(N(U510)&gt;0,INDEX('MTRs'!$E$6:$E$505,U510),"")</f>
        <v/>
      </c>
      <c r="W510" s="96" t="str">
        <f>IF(G510="","",IFERROR(IF(ISNUMBER(INDEX(cfg_fac,MATCH(G510,cfg_units,0))),IF(INDEX(cfg_fac,MATCH(G510,cfg_units,0))&gt;0,INDEX(cfg_fac,MATCH(G510,cfg_units,0)),""),""),""))</f>
        <v/>
      </c>
      <c r="X510" s="96">
        <f>IF(AND(ISNUMBER(F510),ISNUMBER(H510)),IF(H510&gt;0,1,0),0)</f>
        <v>0</v>
      </c>
      <c r="Y510" s="96">
        <f>IF(Q510=0,0,IF(OR(T510=0,X510=0,NOT(ISNUMBER(E510)),AND(J510="Sim",L510="",M510=""),AND(ISNUMBER(E510),ISNUMBER(V510),N(V510)&gt;0,E510&lt;N(V510))),1,0))</f>
        <v>0</v>
      </c>
      <c r="Z510" s="96">
        <f>IF(AND(Q510=1,T510=1,X510=1,J510="Sim",OR(L510&lt;&gt;"",M510&lt;&gt;"")),1,0)</f>
        <v>0</v>
      </c>
      <c r="AA510" s="96">
        <f>IF(Q510=0,0,IF(AND(OR(r_ini="",AND(ISNUMBER(E510),E510&gt;=r_ini)),OR(r_fim="",AND(ISNUMBER(E510),E510&lt;=r_fim)),OR(r_un="",r_un="(Todas)",IF(N(U510)&gt;0,INDEX('MTRs'!$G$6:$G$505,U510),"")=r_un),OR(r_de="",r_de="(Todos)",D510=r_de)),1,0))</f>
        <v>0</v>
      </c>
      <c r="AB510" s="96" t="str">
        <f>IF(AA510=1,COUNTIF($AA$6:AA510,1),"")</f>
        <v/>
      </c>
    </row>
    <row r="511">
      <c r="A511" s="89" t="inlineStr">
        <is>
          <t>REC-000506</t>
        </is>
      </c>
      <c r="B511" s="94" t="str">
        <f>IF(T511=1,INDEX('ITENS_MTR'!$S$6:$S$1005,S511)&amp;"","")</f>
        <v/>
      </c>
      <c r="C511" s="91" t="n"/>
      <c r="D511" s="94" t="str">
        <f>IF(N(U511)&gt;0,INDEX('MTRs'!$I$6:$I$505,U511)&amp;"","")</f>
        <v/>
      </c>
      <c r="E511" s="92" t="n"/>
      <c r="F511" s="98" t="n"/>
      <c r="G511" s="91" t="n"/>
      <c r="H511" s="93" t="str">
        <f>IF(Q511=0,"",IF(NOT(ISNUMBER(F511)),"",IF(ISNUMBER(W511),F511*W511,"UNIDADE A CONFERIR")))</f>
        <v/>
      </c>
      <c r="I511" s="91" t="n"/>
      <c r="J511" s="91" t="n"/>
      <c r="K511" s="92" t="n"/>
      <c r="L511" s="91" t="n"/>
      <c r="M511" s="91" t="n"/>
      <c r="N511" s="91" t="n"/>
      <c r="O511" s="91" t="n"/>
      <c r="P511" s="94" t="str">
        <f>IF(Q511=0,"",IF(C511="","Item de resíduo não informado",IF(T511=0,"Item inexistente (referência inválida)",IF(NOT(ISNUMBER(F511)),"Quantidade não informada",IF(F511&lt;=0,"Quantidade não positiva",IF(G511="","Unidade não informada",IF(NOT(ISNUMBER(H511)),"Unidade a conferir",IF(NOT(ISNUMBER(E511)),"Data de recebimento não informada",IF(AND(ISNUMBER(V511),N(V511)&gt;0,E511&lt;N(V511)),"Data anterior à emissão do MTR",IF(AND(J511="Sim",L511="",M511=""),"Conferido sem evidência identificada",IF(J511&lt;&gt;"Sim","Aguardando conferência",IF(INDEX('ITENS_MTR'!$AM$6:$AM$1005,S511)=1,"Conferido (ver diferença no item)","Conferido"))))))))))))</f>
        <v/>
      </c>
      <c r="Q511" s="96">
        <f>IF(COUNTA(C511,E511:G511,I511:O511)&gt;0,1,0)</f>
        <v>0</v>
      </c>
      <c r="R511" s="96" t="str">
        <f>IF(C511="","",TRIM(LEFT(C511,FIND(" |",C511&amp;" |")-1)))</f>
        <v/>
      </c>
      <c r="S511" s="96" t="str">
        <f>IF(R511="","",IFERROR(MATCH(R511,'ITENS_MTR'!$A$6:$A$1005,0),""))</f>
        <v/>
      </c>
      <c r="T511" s="96">
        <f>IF(S511="",0,IF(INDEX('ITENS_MTR'!$R$6:$R$1005,S511)=1,1,0))</f>
        <v>0</v>
      </c>
      <c r="U511" s="96" t="str">
        <f>IF(T511=1,INDEX('ITENS_MTR'!$T$6:$T$1005,S511),"")</f>
        <v/>
      </c>
      <c r="V511" s="97" t="str">
        <f>IF(N(U511)&gt;0,INDEX('MTRs'!$E$6:$E$505,U511),"")</f>
        <v/>
      </c>
      <c r="W511" s="96" t="str">
        <f>IF(G511="","",IFERROR(IF(ISNUMBER(INDEX(cfg_fac,MATCH(G511,cfg_units,0))),IF(INDEX(cfg_fac,MATCH(G511,cfg_units,0))&gt;0,INDEX(cfg_fac,MATCH(G511,cfg_units,0)),""),""),""))</f>
        <v/>
      </c>
      <c r="X511" s="96">
        <f>IF(AND(ISNUMBER(F511),ISNUMBER(H511)),IF(H511&gt;0,1,0),0)</f>
        <v>0</v>
      </c>
      <c r="Y511" s="96">
        <f>IF(Q511=0,0,IF(OR(T511=0,X511=0,NOT(ISNUMBER(E511)),AND(J511="Sim",L511="",M511=""),AND(ISNUMBER(E511),ISNUMBER(V511),N(V511)&gt;0,E511&lt;N(V511))),1,0))</f>
        <v>0</v>
      </c>
      <c r="Z511" s="96">
        <f>IF(AND(Q511=1,T511=1,X511=1,J511="Sim",OR(L511&lt;&gt;"",M511&lt;&gt;"")),1,0)</f>
        <v>0</v>
      </c>
      <c r="AA511" s="96">
        <f>IF(Q511=0,0,IF(AND(OR(r_ini="",AND(ISNUMBER(E511),E511&gt;=r_ini)),OR(r_fim="",AND(ISNUMBER(E511),E511&lt;=r_fim)),OR(r_un="",r_un="(Todas)",IF(N(U511)&gt;0,INDEX('MTRs'!$G$6:$G$505,U511),"")=r_un),OR(r_de="",r_de="(Todos)",D511=r_de)),1,0))</f>
        <v>0</v>
      </c>
      <c r="AB511" s="96" t="str">
        <f>IF(AA511=1,COUNTIF($AA$6:AA511,1),"")</f>
        <v/>
      </c>
    </row>
    <row r="512">
      <c r="A512" s="89" t="inlineStr">
        <is>
          <t>REC-000507</t>
        </is>
      </c>
      <c r="B512" s="94" t="str">
        <f>IF(T512=1,INDEX('ITENS_MTR'!$S$6:$S$1005,S512)&amp;"","")</f>
        <v/>
      </c>
      <c r="C512" s="91" t="n"/>
      <c r="D512" s="94" t="str">
        <f>IF(N(U512)&gt;0,INDEX('MTRs'!$I$6:$I$505,U512)&amp;"","")</f>
        <v/>
      </c>
      <c r="E512" s="92" t="n"/>
      <c r="F512" s="98" t="n"/>
      <c r="G512" s="91" t="n"/>
      <c r="H512" s="93" t="str">
        <f>IF(Q512=0,"",IF(NOT(ISNUMBER(F512)),"",IF(ISNUMBER(W512),F512*W512,"UNIDADE A CONFERIR")))</f>
        <v/>
      </c>
      <c r="I512" s="91" t="n"/>
      <c r="J512" s="91" t="n"/>
      <c r="K512" s="92" t="n"/>
      <c r="L512" s="91" t="n"/>
      <c r="M512" s="91" t="n"/>
      <c r="N512" s="91" t="n"/>
      <c r="O512" s="91" t="n"/>
      <c r="P512" s="94" t="str">
        <f>IF(Q512=0,"",IF(C512="","Item de resíduo não informado",IF(T512=0,"Item inexistente (referência inválida)",IF(NOT(ISNUMBER(F512)),"Quantidade não informada",IF(F512&lt;=0,"Quantidade não positiva",IF(G512="","Unidade não informada",IF(NOT(ISNUMBER(H512)),"Unidade a conferir",IF(NOT(ISNUMBER(E512)),"Data de recebimento não informada",IF(AND(ISNUMBER(V512),N(V512)&gt;0,E512&lt;N(V512)),"Data anterior à emissão do MTR",IF(AND(J512="Sim",L512="",M512=""),"Conferido sem evidência identificada",IF(J512&lt;&gt;"Sim","Aguardando conferência",IF(INDEX('ITENS_MTR'!$AM$6:$AM$1005,S512)=1,"Conferido (ver diferença no item)","Conferido"))))))))))))</f>
        <v/>
      </c>
      <c r="Q512" s="96">
        <f>IF(COUNTA(C512,E512:G512,I512:O512)&gt;0,1,0)</f>
        <v>0</v>
      </c>
      <c r="R512" s="96" t="str">
        <f>IF(C512="","",TRIM(LEFT(C512,FIND(" |",C512&amp;" |")-1)))</f>
        <v/>
      </c>
      <c r="S512" s="96" t="str">
        <f>IF(R512="","",IFERROR(MATCH(R512,'ITENS_MTR'!$A$6:$A$1005,0),""))</f>
        <v/>
      </c>
      <c r="T512" s="96">
        <f>IF(S512="",0,IF(INDEX('ITENS_MTR'!$R$6:$R$1005,S512)=1,1,0))</f>
        <v>0</v>
      </c>
      <c r="U512" s="96" t="str">
        <f>IF(T512=1,INDEX('ITENS_MTR'!$T$6:$T$1005,S512),"")</f>
        <v/>
      </c>
      <c r="V512" s="97" t="str">
        <f>IF(N(U512)&gt;0,INDEX('MTRs'!$E$6:$E$505,U512),"")</f>
        <v/>
      </c>
      <c r="W512" s="96" t="str">
        <f>IF(G512="","",IFERROR(IF(ISNUMBER(INDEX(cfg_fac,MATCH(G512,cfg_units,0))),IF(INDEX(cfg_fac,MATCH(G512,cfg_units,0))&gt;0,INDEX(cfg_fac,MATCH(G512,cfg_units,0)),""),""),""))</f>
        <v/>
      </c>
      <c r="X512" s="96">
        <f>IF(AND(ISNUMBER(F512),ISNUMBER(H512)),IF(H512&gt;0,1,0),0)</f>
        <v>0</v>
      </c>
      <c r="Y512" s="96">
        <f>IF(Q512=0,0,IF(OR(T512=0,X512=0,NOT(ISNUMBER(E512)),AND(J512="Sim",L512="",M512=""),AND(ISNUMBER(E512),ISNUMBER(V512),N(V512)&gt;0,E512&lt;N(V512))),1,0))</f>
        <v>0</v>
      </c>
      <c r="Z512" s="96">
        <f>IF(AND(Q512=1,T512=1,X512=1,J512="Sim",OR(L512&lt;&gt;"",M512&lt;&gt;"")),1,0)</f>
        <v>0</v>
      </c>
      <c r="AA512" s="96">
        <f>IF(Q512=0,0,IF(AND(OR(r_ini="",AND(ISNUMBER(E512),E512&gt;=r_ini)),OR(r_fim="",AND(ISNUMBER(E512),E512&lt;=r_fim)),OR(r_un="",r_un="(Todas)",IF(N(U512)&gt;0,INDEX('MTRs'!$G$6:$G$505,U512),"")=r_un),OR(r_de="",r_de="(Todos)",D512=r_de)),1,0))</f>
        <v>0</v>
      </c>
      <c r="AB512" s="96" t="str">
        <f>IF(AA512=1,COUNTIF($AA$6:AA512,1),"")</f>
        <v/>
      </c>
    </row>
    <row r="513">
      <c r="A513" s="89" t="inlineStr">
        <is>
          <t>REC-000508</t>
        </is>
      </c>
      <c r="B513" s="94" t="str">
        <f>IF(T513=1,INDEX('ITENS_MTR'!$S$6:$S$1005,S513)&amp;"","")</f>
        <v/>
      </c>
      <c r="C513" s="91" t="n"/>
      <c r="D513" s="94" t="str">
        <f>IF(N(U513)&gt;0,INDEX('MTRs'!$I$6:$I$505,U513)&amp;"","")</f>
        <v/>
      </c>
      <c r="E513" s="92" t="n"/>
      <c r="F513" s="98" t="n"/>
      <c r="G513" s="91" t="n"/>
      <c r="H513" s="93" t="str">
        <f>IF(Q513=0,"",IF(NOT(ISNUMBER(F513)),"",IF(ISNUMBER(W513),F513*W513,"UNIDADE A CONFERIR")))</f>
        <v/>
      </c>
      <c r="I513" s="91" t="n"/>
      <c r="J513" s="91" t="n"/>
      <c r="K513" s="92" t="n"/>
      <c r="L513" s="91" t="n"/>
      <c r="M513" s="91" t="n"/>
      <c r="N513" s="91" t="n"/>
      <c r="O513" s="91" t="n"/>
      <c r="P513" s="94" t="str">
        <f>IF(Q513=0,"",IF(C513="","Item de resíduo não informado",IF(T513=0,"Item inexistente (referência inválida)",IF(NOT(ISNUMBER(F513)),"Quantidade não informada",IF(F513&lt;=0,"Quantidade não positiva",IF(G513="","Unidade não informada",IF(NOT(ISNUMBER(H513)),"Unidade a conferir",IF(NOT(ISNUMBER(E513)),"Data de recebimento não informada",IF(AND(ISNUMBER(V513),N(V513)&gt;0,E513&lt;N(V513)),"Data anterior à emissão do MTR",IF(AND(J513="Sim",L513="",M513=""),"Conferido sem evidência identificada",IF(J513&lt;&gt;"Sim","Aguardando conferência",IF(INDEX('ITENS_MTR'!$AM$6:$AM$1005,S513)=1,"Conferido (ver diferença no item)","Conferido"))))))))))))</f>
        <v/>
      </c>
      <c r="Q513" s="96">
        <f>IF(COUNTA(C513,E513:G513,I513:O513)&gt;0,1,0)</f>
        <v>0</v>
      </c>
      <c r="R513" s="96" t="str">
        <f>IF(C513="","",TRIM(LEFT(C513,FIND(" |",C513&amp;" |")-1)))</f>
        <v/>
      </c>
      <c r="S513" s="96" t="str">
        <f>IF(R513="","",IFERROR(MATCH(R513,'ITENS_MTR'!$A$6:$A$1005,0),""))</f>
        <v/>
      </c>
      <c r="T513" s="96">
        <f>IF(S513="",0,IF(INDEX('ITENS_MTR'!$R$6:$R$1005,S513)=1,1,0))</f>
        <v>0</v>
      </c>
      <c r="U513" s="96" t="str">
        <f>IF(T513=1,INDEX('ITENS_MTR'!$T$6:$T$1005,S513),"")</f>
        <v/>
      </c>
      <c r="V513" s="97" t="str">
        <f>IF(N(U513)&gt;0,INDEX('MTRs'!$E$6:$E$505,U513),"")</f>
        <v/>
      </c>
      <c r="W513" s="96" t="str">
        <f>IF(G513="","",IFERROR(IF(ISNUMBER(INDEX(cfg_fac,MATCH(G513,cfg_units,0))),IF(INDEX(cfg_fac,MATCH(G513,cfg_units,0))&gt;0,INDEX(cfg_fac,MATCH(G513,cfg_units,0)),""),""),""))</f>
        <v/>
      </c>
      <c r="X513" s="96">
        <f>IF(AND(ISNUMBER(F513),ISNUMBER(H513)),IF(H513&gt;0,1,0),0)</f>
        <v>0</v>
      </c>
      <c r="Y513" s="96">
        <f>IF(Q513=0,0,IF(OR(T513=0,X513=0,NOT(ISNUMBER(E513)),AND(J513="Sim",L513="",M513=""),AND(ISNUMBER(E513),ISNUMBER(V513),N(V513)&gt;0,E513&lt;N(V513))),1,0))</f>
        <v>0</v>
      </c>
      <c r="Z513" s="96">
        <f>IF(AND(Q513=1,T513=1,X513=1,J513="Sim",OR(L513&lt;&gt;"",M513&lt;&gt;"")),1,0)</f>
        <v>0</v>
      </c>
      <c r="AA513" s="96">
        <f>IF(Q513=0,0,IF(AND(OR(r_ini="",AND(ISNUMBER(E513),E513&gt;=r_ini)),OR(r_fim="",AND(ISNUMBER(E513),E513&lt;=r_fim)),OR(r_un="",r_un="(Todas)",IF(N(U513)&gt;0,INDEX('MTRs'!$G$6:$G$505,U513),"")=r_un),OR(r_de="",r_de="(Todos)",D513=r_de)),1,0))</f>
        <v>0</v>
      </c>
      <c r="AB513" s="96" t="str">
        <f>IF(AA513=1,COUNTIF($AA$6:AA513,1),"")</f>
        <v/>
      </c>
    </row>
    <row r="514">
      <c r="A514" s="89" t="inlineStr">
        <is>
          <t>REC-000509</t>
        </is>
      </c>
      <c r="B514" s="94" t="str">
        <f>IF(T514=1,INDEX('ITENS_MTR'!$S$6:$S$1005,S514)&amp;"","")</f>
        <v/>
      </c>
      <c r="C514" s="91" t="n"/>
      <c r="D514" s="94" t="str">
        <f>IF(N(U514)&gt;0,INDEX('MTRs'!$I$6:$I$505,U514)&amp;"","")</f>
        <v/>
      </c>
      <c r="E514" s="92" t="n"/>
      <c r="F514" s="98" t="n"/>
      <c r="G514" s="91" t="n"/>
      <c r="H514" s="93" t="str">
        <f>IF(Q514=0,"",IF(NOT(ISNUMBER(F514)),"",IF(ISNUMBER(W514),F514*W514,"UNIDADE A CONFERIR")))</f>
        <v/>
      </c>
      <c r="I514" s="91" t="n"/>
      <c r="J514" s="91" t="n"/>
      <c r="K514" s="92" t="n"/>
      <c r="L514" s="91" t="n"/>
      <c r="M514" s="91" t="n"/>
      <c r="N514" s="91" t="n"/>
      <c r="O514" s="91" t="n"/>
      <c r="P514" s="94" t="str">
        <f>IF(Q514=0,"",IF(C514="","Item de resíduo não informado",IF(T514=0,"Item inexistente (referência inválida)",IF(NOT(ISNUMBER(F514)),"Quantidade não informada",IF(F514&lt;=0,"Quantidade não positiva",IF(G514="","Unidade não informada",IF(NOT(ISNUMBER(H514)),"Unidade a conferir",IF(NOT(ISNUMBER(E514)),"Data de recebimento não informada",IF(AND(ISNUMBER(V514),N(V514)&gt;0,E514&lt;N(V514)),"Data anterior à emissão do MTR",IF(AND(J514="Sim",L514="",M514=""),"Conferido sem evidência identificada",IF(J514&lt;&gt;"Sim","Aguardando conferência",IF(INDEX('ITENS_MTR'!$AM$6:$AM$1005,S514)=1,"Conferido (ver diferença no item)","Conferido"))))))))))))</f>
        <v/>
      </c>
      <c r="Q514" s="96">
        <f>IF(COUNTA(C514,E514:G514,I514:O514)&gt;0,1,0)</f>
        <v>0</v>
      </c>
      <c r="R514" s="96" t="str">
        <f>IF(C514="","",TRIM(LEFT(C514,FIND(" |",C514&amp;" |")-1)))</f>
        <v/>
      </c>
      <c r="S514" s="96" t="str">
        <f>IF(R514="","",IFERROR(MATCH(R514,'ITENS_MTR'!$A$6:$A$1005,0),""))</f>
        <v/>
      </c>
      <c r="T514" s="96">
        <f>IF(S514="",0,IF(INDEX('ITENS_MTR'!$R$6:$R$1005,S514)=1,1,0))</f>
        <v>0</v>
      </c>
      <c r="U514" s="96" t="str">
        <f>IF(T514=1,INDEX('ITENS_MTR'!$T$6:$T$1005,S514),"")</f>
        <v/>
      </c>
      <c r="V514" s="97" t="str">
        <f>IF(N(U514)&gt;0,INDEX('MTRs'!$E$6:$E$505,U514),"")</f>
        <v/>
      </c>
      <c r="W514" s="96" t="str">
        <f>IF(G514="","",IFERROR(IF(ISNUMBER(INDEX(cfg_fac,MATCH(G514,cfg_units,0))),IF(INDEX(cfg_fac,MATCH(G514,cfg_units,0))&gt;0,INDEX(cfg_fac,MATCH(G514,cfg_units,0)),""),""),""))</f>
        <v/>
      </c>
      <c r="X514" s="96">
        <f>IF(AND(ISNUMBER(F514),ISNUMBER(H514)),IF(H514&gt;0,1,0),0)</f>
        <v>0</v>
      </c>
      <c r="Y514" s="96">
        <f>IF(Q514=0,0,IF(OR(T514=0,X514=0,NOT(ISNUMBER(E514)),AND(J514="Sim",L514="",M514=""),AND(ISNUMBER(E514),ISNUMBER(V514),N(V514)&gt;0,E514&lt;N(V514))),1,0))</f>
        <v>0</v>
      </c>
      <c r="Z514" s="96">
        <f>IF(AND(Q514=1,T514=1,X514=1,J514="Sim",OR(L514&lt;&gt;"",M514&lt;&gt;"")),1,0)</f>
        <v>0</v>
      </c>
      <c r="AA514" s="96">
        <f>IF(Q514=0,0,IF(AND(OR(r_ini="",AND(ISNUMBER(E514),E514&gt;=r_ini)),OR(r_fim="",AND(ISNUMBER(E514),E514&lt;=r_fim)),OR(r_un="",r_un="(Todas)",IF(N(U514)&gt;0,INDEX('MTRs'!$G$6:$G$505,U514),"")=r_un),OR(r_de="",r_de="(Todos)",D514=r_de)),1,0))</f>
        <v>0</v>
      </c>
      <c r="AB514" s="96" t="str">
        <f>IF(AA514=1,COUNTIF($AA$6:AA514,1),"")</f>
        <v/>
      </c>
    </row>
    <row r="515">
      <c r="A515" s="89" t="inlineStr">
        <is>
          <t>REC-000510</t>
        </is>
      </c>
      <c r="B515" s="94" t="str">
        <f>IF(T515=1,INDEX('ITENS_MTR'!$S$6:$S$1005,S515)&amp;"","")</f>
        <v/>
      </c>
      <c r="C515" s="91" t="n"/>
      <c r="D515" s="94" t="str">
        <f>IF(N(U515)&gt;0,INDEX('MTRs'!$I$6:$I$505,U515)&amp;"","")</f>
        <v/>
      </c>
      <c r="E515" s="92" t="n"/>
      <c r="F515" s="98" t="n"/>
      <c r="G515" s="91" t="n"/>
      <c r="H515" s="93" t="str">
        <f>IF(Q515=0,"",IF(NOT(ISNUMBER(F515)),"",IF(ISNUMBER(W515),F515*W515,"UNIDADE A CONFERIR")))</f>
        <v/>
      </c>
      <c r="I515" s="91" t="n"/>
      <c r="J515" s="91" t="n"/>
      <c r="K515" s="92" t="n"/>
      <c r="L515" s="91" t="n"/>
      <c r="M515" s="91" t="n"/>
      <c r="N515" s="91" t="n"/>
      <c r="O515" s="91" t="n"/>
      <c r="P515" s="94" t="str">
        <f>IF(Q515=0,"",IF(C515="","Item de resíduo não informado",IF(T515=0,"Item inexistente (referência inválida)",IF(NOT(ISNUMBER(F515)),"Quantidade não informada",IF(F515&lt;=0,"Quantidade não positiva",IF(G515="","Unidade não informada",IF(NOT(ISNUMBER(H515)),"Unidade a conferir",IF(NOT(ISNUMBER(E515)),"Data de recebimento não informada",IF(AND(ISNUMBER(V515),N(V515)&gt;0,E515&lt;N(V515)),"Data anterior à emissão do MTR",IF(AND(J515="Sim",L515="",M515=""),"Conferido sem evidência identificada",IF(J515&lt;&gt;"Sim","Aguardando conferência",IF(INDEX('ITENS_MTR'!$AM$6:$AM$1005,S515)=1,"Conferido (ver diferença no item)","Conferido"))))))))))))</f>
        <v/>
      </c>
      <c r="Q515" s="96">
        <f>IF(COUNTA(C515,E515:G515,I515:O515)&gt;0,1,0)</f>
        <v>0</v>
      </c>
      <c r="R515" s="96" t="str">
        <f>IF(C515="","",TRIM(LEFT(C515,FIND(" |",C515&amp;" |")-1)))</f>
        <v/>
      </c>
      <c r="S515" s="96" t="str">
        <f>IF(R515="","",IFERROR(MATCH(R515,'ITENS_MTR'!$A$6:$A$1005,0),""))</f>
        <v/>
      </c>
      <c r="T515" s="96">
        <f>IF(S515="",0,IF(INDEX('ITENS_MTR'!$R$6:$R$1005,S515)=1,1,0))</f>
        <v>0</v>
      </c>
      <c r="U515" s="96" t="str">
        <f>IF(T515=1,INDEX('ITENS_MTR'!$T$6:$T$1005,S515),"")</f>
        <v/>
      </c>
      <c r="V515" s="97" t="str">
        <f>IF(N(U515)&gt;0,INDEX('MTRs'!$E$6:$E$505,U515),"")</f>
        <v/>
      </c>
      <c r="W515" s="96" t="str">
        <f>IF(G515="","",IFERROR(IF(ISNUMBER(INDEX(cfg_fac,MATCH(G515,cfg_units,0))),IF(INDEX(cfg_fac,MATCH(G515,cfg_units,0))&gt;0,INDEX(cfg_fac,MATCH(G515,cfg_units,0)),""),""),""))</f>
        <v/>
      </c>
      <c r="X515" s="96">
        <f>IF(AND(ISNUMBER(F515),ISNUMBER(H515)),IF(H515&gt;0,1,0),0)</f>
        <v>0</v>
      </c>
      <c r="Y515" s="96">
        <f>IF(Q515=0,0,IF(OR(T515=0,X515=0,NOT(ISNUMBER(E515)),AND(J515="Sim",L515="",M515=""),AND(ISNUMBER(E515),ISNUMBER(V515),N(V515)&gt;0,E515&lt;N(V515))),1,0))</f>
        <v>0</v>
      </c>
      <c r="Z515" s="96">
        <f>IF(AND(Q515=1,T515=1,X515=1,J515="Sim",OR(L515&lt;&gt;"",M515&lt;&gt;"")),1,0)</f>
        <v>0</v>
      </c>
      <c r="AA515" s="96">
        <f>IF(Q515=0,0,IF(AND(OR(r_ini="",AND(ISNUMBER(E515),E515&gt;=r_ini)),OR(r_fim="",AND(ISNUMBER(E515),E515&lt;=r_fim)),OR(r_un="",r_un="(Todas)",IF(N(U515)&gt;0,INDEX('MTRs'!$G$6:$G$505,U515),"")=r_un),OR(r_de="",r_de="(Todos)",D515=r_de)),1,0))</f>
        <v>0</v>
      </c>
      <c r="AB515" s="96" t="str">
        <f>IF(AA515=1,COUNTIF($AA$6:AA515,1),"")</f>
        <v/>
      </c>
    </row>
    <row r="516">
      <c r="A516" s="89" t="inlineStr">
        <is>
          <t>REC-000511</t>
        </is>
      </c>
      <c r="B516" s="94" t="str">
        <f>IF(T516=1,INDEX('ITENS_MTR'!$S$6:$S$1005,S516)&amp;"","")</f>
        <v/>
      </c>
      <c r="C516" s="91" t="n"/>
      <c r="D516" s="94" t="str">
        <f>IF(N(U516)&gt;0,INDEX('MTRs'!$I$6:$I$505,U516)&amp;"","")</f>
        <v/>
      </c>
      <c r="E516" s="92" t="n"/>
      <c r="F516" s="98" t="n"/>
      <c r="G516" s="91" t="n"/>
      <c r="H516" s="93" t="str">
        <f>IF(Q516=0,"",IF(NOT(ISNUMBER(F516)),"",IF(ISNUMBER(W516),F516*W516,"UNIDADE A CONFERIR")))</f>
        <v/>
      </c>
      <c r="I516" s="91" t="n"/>
      <c r="J516" s="91" t="n"/>
      <c r="K516" s="92" t="n"/>
      <c r="L516" s="91" t="n"/>
      <c r="M516" s="91" t="n"/>
      <c r="N516" s="91" t="n"/>
      <c r="O516" s="91" t="n"/>
      <c r="P516" s="94" t="str">
        <f>IF(Q516=0,"",IF(C516="","Item de resíduo não informado",IF(T516=0,"Item inexistente (referência inválida)",IF(NOT(ISNUMBER(F516)),"Quantidade não informada",IF(F516&lt;=0,"Quantidade não positiva",IF(G516="","Unidade não informada",IF(NOT(ISNUMBER(H516)),"Unidade a conferir",IF(NOT(ISNUMBER(E516)),"Data de recebimento não informada",IF(AND(ISNUMBER(V516),N(V516)&gt;0,E516&lt;N(V516)),"Data anterior à emissão do MTR",IF(AND(J516="Sim",L516="",M516=""),"Conferido sem evidência identificada",IF(J516&lt;&gt;"Sim","Aguardando conferência",IF(INDEX('ITENS_MTR'!$AM$6:$AM$1005,S516)=1,"Conferido (ver diferença no item)","Conferido"))))))))))))</f>
        <v/>
      </c>
      <c r="Q516" s="96">
        <f>IF(COUNTA(C516,E516:G516,I516:O516)&gt;0,1,0)</f>
        <v>0</v>
      </c>
      <c r="R516" s="96" t="str">
        <f>IF(C516="","",TRIM(LEFT(C516,FIND(" |",C516&amp;" |")-1)))</f>
        <v/>
      </c>
      <c r="S516" s="96" t="str">
        <f>IF(R516="","",IFERROR(MATCH(R516,'ITENS_MTR'!$A$6:$A$1005,0),""))</f>
        <v/>
      </c>
      <c r="T516" s="96">
        <f>IF(S516="",0,IF(INDEX('ITENS_MTR'!$R$6:$R$1005,S516)=1,1,0))</f>
        <v>0</v>
      </c>
      <c r="U516" s="96" t="str">
        <f>IF(T516=1,INDEX('ITENS_MTR'!$T$6:$T$1005,S516),"")</f>
        <v/>
      </c>
      <c r="V516" s="97" t="str">
        <f>IF(N(U516)&gt;0,INDEX('MTRs'!$E$6:$E$505,U516),"")</f>
        <v/>
      </c>
      <c r="W516" s="96" t="str">
        <f>IF(G516="","",IFERROR(IF(ISNUMBER(INDEX(cfg_fac,MATCH(G516,cfg_units,0))),IF(INDEX(cfg_fac,MATCH(G516,cfg_units,0))&gt;0,INDEX(cfg_fac,MATCH(G516,cfg_units,0)),""),""),""))</f>
        <v/>
      </c>
      <c r="X516" s="96">
        <f>IF(AND(ISNUMBER(F516),ISNUMBER(H516)),IF(H516&gt;0,1,0),0)</f>
        <v>0</v>
      </c>
      <c r="Y516" s="96">
        <f>IF(Q516=0,0,IF(OR(T516=0,X516=0,NOT(ISNUMBER(E516)),AND(J516="Sim",L516="",M516=""),AND(ISNUMBER(E516),ISNUMBER(V516),N(V516)&gt;0,E516&lt;N(V516))),1,0))</f>
        <v>0</v>
      </c>
      <c r="Z516" s="96">
        <f>IF(AND(Q516=1,T516=1,X516=1,J516="Sim",OR(L516&lt;&gt;"",M516&lt;&gt;"")),1,0)</f>
        <v>0</v>
      </c>
      <c r="AA516" s="96">
        <f>IF(Q516=0,0,IF(AND(OR(r_ini="",AND(ISNUMBER(E516),E516&gt;=r_ini)),OR(r_fim="",AND(ISNUMBER(E516),E516&lt;=r_fim)),OR(r_un="",r_un="(Todas)",IF(N(U516)&gt;0,INDEX('MTRs'!$G$6:$G$505,U516),"")=r_un),OR(r_de="",r_de="(Todos)",D516=r_de)),1,0))</f>
        <v>0</v>
      </c>
      <c r="AB516" s="96" t="str">
        <f>IF(AA516=1,COUNTIF($AA$6:AA516,1),"")</f>
        <v/>
      </c>
    </row>
    <row r="517">
      <c r="A517" s="89" t="inlineStr">
        <is>
          <t>REC-000512</t>
        </is>
      </c>
      <c r="B517" s="94" t="str">
        <f>IF(T517=1,INDEX('ITENS_MTR'!$S$6:$S$1005,S517)&amp;"","")</f>
        <v/>
      </c>
      <c r="C517" s="91" t="n"/>
      <c r="D517" s="94" t="str">
        <f>IF(N(U517)&gt;0,INDEX('MTRs'!$I$6:$I$505,U517)&amp;"","")</f>
        <v/>
      </c>
      <c r="E517" s="92" t="n"/>
      <c r="F517" s="98" t="n"/>
      <c r="G517" s="91" t="n"/>
      <c r="H517" s="93" t="str">
        <f>IF(Q517=0,"",IF(NOT(ISNUMBER(F517)),"",IF(ISNUMBER(W517),F517*W517,"UNIDADE A CONFERIR")))</f>
        <v/>
      </c>
      <c r="I517" s="91" t="n"/>
      <c r="J517" s="91" t="n"/>
      <c r="K517" s="92" t="n"/>
      <c r="L517" s="91" t="n"/>
      <c r="M517" s="91" t="n"/>
      <c r="N517" s="91" t="n"/>
      <c r="O517" s="91" t="n"/>
      <c r="P517" s="94" t="str">
        <f>IF(Q517=0,"",IF(C517="","Item de resíduo não informado",IF(T517=0,"Item inexistente (referência inválida)",IF(NOT(ISNUMBER(F517)),"Quantidade não informada",IF(F517&lt;=0,"Quantidade não positiva",IF(G517="","Unidade não informada",IF(NOT(ISNUMBER(H517)),"Unidade a conferir",IF(NOT(ISNUMBER(E517)),"Data de recebimento não informada",IF(AND(ISNUMBER(V517),N(V517)&gt;0,E517&lt;N(V517)),"Data anterior à emissão do MTR",IF(AND(J517="Sim",L517="",M517=""),"Conferido sem evidência identificada",IF(J517&lt;&gt;"Sim","Aguardando conferência",IF(INDEX('ITENS_MTR'!$AM$6:$AM$1005,S517)=1,"Conferido (ver diferença no item)","Conferido"))))))))))))</f>
        <v/>
      </c>
      <c r="Q517" s="96">
        <f>IF(COUNTA(C517,E517:G517,I517:O517)&gt;0,1,0)</f>
        <v>0</v>
      </c>
      <c r="R517" s="96" t="str">
        <f>IF(C517="","",TRIM(LEFT(C517,FIND(" |",C517&amp;" |")-1)))</f>
        <v/>
      </c>
      <c r="S517" s="96" t="str">
        <f>IF(R517="","",IFERROR(MATCH(R517,'ITENS_MTR'!$A$6:$A$1005,0),""))</f>
        <v/>
      </c>
      <c r="T517" s="96">
        <f>IF(S517="",0,IF(INDEX('ITENS_MTR'!$R$6:$R$1005,S517)=1,1,0))</f>
        <v>0</v>
      </c>
      <c r="U517" s="96" t="str">
        <f>IF(T517=1,INDEX('ITENS_MTR'!$T$6:$T$1005,S517),"")</f>
        <v/>
      </c>
      <c r="V517" s="97" t="str">
        <f>IF(N(U517)&gt;0,INDEX('MTRs'!$E$6:$E$505,U517),"")</f>
        <v/>
      </c>
      <c r="W517" s="96" t="str">
        <f>IF(G517="","",IFERROR(IF(ISNUMBER(INDEX(cfg_fac,MATCH(G517,cfg_units,0))),IF(INDEX(cfg_fac,MATCH(G517,cfg_units,0))&gt;0,INDEX(cfg_fac,MATCH(G517,cfg_units,0)),""),""),""))</f>
        <v/>
      </c>
      <c r="X517" s="96">
        <f>IF(AND(ISNUMBER(F517),ISNUMBER(H517)),IF(H517&gt;0,1,0),0)</f>
        <v>0</v>
      </c>
      <c r="Y517" s="96">
        <f>IF(Q517=0,0,IF(OR(T517=0,X517=0,NOT(ISNUMBER(E517)),AND(J517="Sim",L517="",M517=""),AND(ISNUMBER(E517),ISNUMBER(V517),N(V517)&gt;0,E517&lt;N(V517))),1,0))</f>
        <v>0</v>
      </c>
      <c r="Z517" s="96">
        <f>IF(AND(Q517=1,T517=1,X517=1,J517="Sim",OR(L517&lt;&gt;"",M517&lt;&gt;"")),1,0)</f>
        <v>0</v>
      </c>
      <c r="AA517" s="96">
        <f>IF(Q517=0,0,IF(AND(OR(r_ini="",AND(ISNUMBER(E517),E517&gt;=r_ini)),OR(r_fim="",AND(ISNUMBER(E517),E517&lt;=r_fim)),OR(r_un="",r_un="(Todas)",IF(N(U517)&gt;0,INDEX('MTRs'!$G$6:$G$505,U517),"")=r_un),OR(r_de="",r_de="(Todos)",D517=r_de)),1,0))</f>
        <v>0</v>
      </c>
      <c r="AB517" s="96" t="str">
        <f>IF(AA517=1,COUNTIF($AA$6:AA517,1),"")</f>
        <v/>
      </c>
    </row>
    <row r="518">
      <c r="A518" s="89" t="inlineStr">
        <is>
          <t>REC-000513</t>
        </is>
      </c>
      <c r="B518" s="94" t="str">
        <f>IF(T518=1,INDEX('ITENS_MTR'!$S$6:$S$1005,S518)&amp;"","")</f>
        <v/>
      </c>
      <c r="C518" s="91" t="n"/>
      <c r="D518" s="94" t="str">
        <f>IF(N(U518)&gt;0,INDEX('MTRs'!$I$6:$I$505,U518)&amp;"","")</f>
        <v/>
      </c>
      <c r="E518" s="92" t="n"/>
      <c r="F518" s="98" t="n"/>
      <c r="G518" s="91" t="n"/>
      <c r="H518" s="93" t="str">
        <f>IF(Q518=0,"",IF(NOT(ISNUMBER(F518)),"",IF(ISNUMBER(W518),F518*W518,"UNIDADE A CONFERIR")))</f>
        <v/>
      </c>
      <c r="I518" s="91" t="n"/>
      <c r="J518" s="91" t="n"/>
      <c r="K518" s="92" t="n"/>
      <c r="L518" s="91" t="n"/>
      <c r="M518" s="91" t="n"/>
      <c r="N518" s="91" t="n"/>
      <c r="O518" s="91" t="n"/>
      <c r="P518" s="94" t="str">
        <f>IF(Q518=0,"",IF(C518="","Item de resíduo não informado",IF(T518=0,"Item inexistente (referência inválida)",IF(NOT(ISNUMBER(F518)),"Quantidade não informada",IF(F518&lt;=0,"Quantidade não positiva",IF(G518="","Unidade não informada",IF(NOT(ISNUMBER(H518)),"Unidade a conferir",IF(NOT(ISNUMBER(E518)),"Data de recebimento não informada",IF(AND(ISNUMBER(V518),N(V518)&gt;0,E518&lt;N(V518)),"Data anterior à emissão do MTR",IF(AND(J518="Sim",L518="",M518=""),"Conferido sem evidência identificada",IF(J518&lt;&gt;"Sim","Aguardando conferência",IF(INDEX('ITENS_MTR'!$AM$6:$AM$1005,S518)=1,"Conferido (ver diferença no item)","Conferido"))))))))))))</f>
        <v/>
      </c>
      <c r="Q518" s="96">
        <f>IF(COUNTA(C518,E518:G518,I518:O518)&gt;0,1,0)</f>
        <v>0</v>
      </c>
      <c r="R518" s="96" t="str">
        <f>IF(C518="","",TRIM(LEFT(C518,FIND(" |",C518&amp;" |")-1)))</f>
        <v/>
      </c>
      <c r="S518" s="96" t="str">
        <f>IF(R518="","",IFERROR(MATCH(R518,'ITENS_MTR'!$A$6:$A$1005,0),""))</f>
        <v/>
      </c>
      <c r="T518" s="96">
        <f>IF(S518="",0,IF(INDEX('ITENS_MTR'!$R$6:$R$1005,S518)=1,1,0))</f>
        <v>0</v>
      </c>
      <c r="U518" s="96" t="str">
        <f>IF(T518=1,INDEX('ITENS_MTR'!$T$6:$T$1005,S518),"")</f>
        <v/>
      </c>
      <c r="V518" s="97" t="str">
        <f>IF(N(U518)&gt;0,INDEX('MTRs'!$E$6:$E$505,U518),"")</f>
        <v/>
      </c>
      <c r="W518" s="96" t="str">
        <f>IF(G518="","",IFERROR(IF(ISNUMBER(INDEX(cfg_fac,MATCH(G518,cfg_units,0))),IF(INDEX(cfg_fac,MATCH(G518,cfg_units,0))&gt;0,INDEX(cfg_fac,MATCH(G518,cfg_units,0)),""),""),""))</f>
        <v/>
      </c>
      <c r="X518" s="96">
        <f>IF(AND(ISNUMBER(F518),ISNUMBER(H518)),IF(H518&gt;0,1,0),0)</f>
        <v>0</v>
      </c>
      <c r="Y518" s="96">
        <f>IF(Q518=0,0,IF(OR(T518=0,X518=0,NOT(ISNUMBER(E518)),AND(J518="Sim",L518="",M518=""),AND(ISNUMBER(E518),ISNUMBER(V518),N(V518)&gt;0,E518&lt;N(V518))),1,0))</f>
        <v>0</v>
      </c>
      <c r="Z518" s="96">
        <f>IF(AND(Q518=1,T518=1,X518=1,J518="Sim",OR(L518&lt;&gt;"",M518&lt;&gt;"")),1,0)</f>
        <v>0</v>
      </c>
      <c r="AA518" s="96">
        <f>IF(Q518=0,0,IF(AND(OR(r_ini="",AND(ISNUMBER(E518),E518&gt;=r_ini)),OR(r_fim="",AND(ISNUMBER(E518),E518&lt;=r_fim)),OR(r_un="",r_un="(Todas)",IF(N(U518)&gt;0,INDEX('MTRs'!$G$6:$G$505,U518),"")=r_un),OR(r_de="",r_de="(Todos)",D518=r_de)),1,0))</f>
        <v>0</v>
      </c>
      <c r="AB518" s="96" t="str">
        <f>IF(AA518=1,COUNTIF($AA$6:AA518,1),"")</f>
        <v/>
      </c>
    </row>
    <row r="519">
      <c r="A519" s="89" t="inlineStr">
        <is>
          <t>REC-000514</t>
        </is>
      </c>
      <c r="B519" s="94" t="str">
        <f>IF(T519=1,INDEX('ITENS_MTR'!$S$6:$S$1005,S519)&amp;"","")</f>
        <v/>
      </c>
      <c r="C519" s="91" t="n"/>
      <c r="D519" s="94" t="str">
        <f>IF(N(U519)&gt;0,INDEX('MTRs'!$I$6:$I$505,U519)&amp;"","")</f>
        <v/>
      </c>
      <c r="E519" s="92" t="n"/>
      <c r="F519" s="98" t="n"/>
      <c r="G519" s="91" t="n"/>
      <c r="H519" s="93" t="str">
        <f>IF(Q519=0,"",IF(NOT(ISNUMBER(F519)),"",IF(ISNUMBER(W519),F519*W519,"UNIDADE A CONFERIR")))</f>
        <v/>
      </c>
      <c r="I519" s="91" t="n"/>
      <c r="J519" s="91" t="n"/>
      <c r="K519" s="92" t="n"/>
      <c r="L519" s="91" t="n"/>
      <c r="M519" s="91" t="n"/>
      <c r="N519" s="91" t="n"/>
      <c r="O519" s="91" t="n"/>
      <c r="P519" s="94" t="str">
        <f>IF(Q519=0,"",IF(C519="","Item de resíduo não informado",IF(T519=0,"Item inexistente (referência inválida)",IF(NOT(ISNUMBER(F519)),"Quantidade não informada",IF(F519&lt;=0,"Quantidade não positiva",IF(G519="","Unidade não informada",IF(NOT(ISNUMBER(H519)),"Unidade a conferir",IF(NOT(ISNUMBER(E519)),"Data de recebimento não informada",IF(AND(ISNUMBER(V519),N(V519)&gt;0,E519&lt;N(V519)),"Data anterior à emissão do MTR",IF(AND(J519="Sim",L519="",M519=""),"Conferido sem evidência identificada",IF(J519&lt;&gt;"Sim","Aguardando conferência",IF(INDEX('ITENS_MTR'!$AM$6:$AM$1005,S519)=1,"Conferido (ver diferença no item)","Conferido"))))))))))))</f>
        <v/>
      </c>
      <c r="Q519" s="96">
        <f>IF(COUNTA(C519,E519:G519,I519:O519)&gt;0,1,0)</f>
        <v>0</v>
      </c>
      <c r="R519" s="96" t="str">
        <f>IF(C519="","",TRIM(LEFT(C519,FIND(" |",C519&amp;" |")-1)))</f>
        <v/>
      </c>
      <c r="S519" s="96" t="str">
        <f>IF(R519="","",IFERROR(MATCH(R519,'ITENS_MTR'!$A$6:$A$1005,0),""))</f>
        <v/>
      </c>
      <c r="T519" s="96">
        <f>IF(S519="",0,IF(INDEX('ITENS_MTR'!$R$6:$R$1005,S519)=1,1,0))</f>
        <v>0</v>
      </c>
      <c r="U519" s="96" t="str">
        <f>IF(T519=1,INDEX('ITENS_MTR'!$T$6:$T$1005,S519),"")</f>
        <v/>
      </c>
      <c r="V519" s="97" t="str">
        <f>IF(N(U519)&gt;0,INDEX('MTRs'!$E$6:$E$505,U519),"")</f>
        <v/>
      </c>
      <c r="W519" s="96" t="str">
        <f>IF(G519="","",IFERROR(IF(ISNUMBER(INDEX(cfg_fac,MATCH(G519,cfg_units,0))),IF(INDEX(cfg_fac,MATCH(G519,cfg_units,0))&gt;0,INDEX(cfg_fac,MATCH(G519,cfg_units,0)),""),""),""))</f>
        <v/>
      </c>
      <c r="X519" s="96">
        <f>IF(AND(ISNUMBER(F519),ISNUMBER(H519)),IF(H519&gt;0,1,0),0)</f>
        <v>0</v>
      </c>
      <c r="Y519" s="96">
        <f>IF(Q519=0,0,IF(OR(T519=0,X519=0,NOT(ISNUMBER(E519)),AND(J519="Sim",L519="",M519=""),AND(ISNUMBER(E519),ISNUMBER(V519),N(V519)&gt;0,E519&lt;N(V519))),1,0))</f>
        <v>0</v>
      </c>
      <c r="Z519" s="96">
        <f>IF(AND(Q519=1,T519=1,X519=1,J519="Sim",OR(L519&lt;&gt;"",M519&lt;&gt;"")),1,0)</f>
        <v>0</v>
      </c>
      <c r="AA519" s="96">
        <f>IF(Q519=0,0,IF(AND(OR(r_ini="",AND(ISNUMBER(E519),E519&gt;=r_ini)),OR(r_fim="",AND(ISNUMBER(E519),E519&lt;=r_fim)),OR(r_un="",r_un="(Todas)",IF(N(U519)&gt;0,INDEX('MTRs'!$G$6:$G$505,U519),"")=r_un),OR(r_de="",r_de="(Todos)",D519=r_de)),1,0))</f>
        <v>0</v>
      </c>
      <c r="AB519" s="96" t="str">
        <f>IF(AA519=1,COUNTIF($AA$6:AA519,1),"")</f>
        <v/>
      </c>
    </row>
    <row r="520">
      <c r="A520" s="89" t="inlineStr">
        <is>
          <t>REC-000515</t>
        </is>
      </c>
      <c r="B520" s="94" t="str">
        <f>IF(T520=1,INDEX('ITENS_MTR'!$S$6:$S$1005,S520)&amp;"","")</f>
        <v/>
      </c>
      <c r="C520" s="91" t="n"/>
      <c r="D520" s="94" t="str">
        <f>IF(N(U520)&gt;0,INDEX('MTRs'!$I$6:$I$505,U520)&amp;"","")</f>
        <v/>
      </c>
      <c r="E520" s="92" t="n"/>
      <c r="F520" s="98" t="n"/>
      <c r="G520" s="91" t="n"/>
      <c r="H520" s="93" t="str">
        <f>IF(Q520=0,"",IF(NOT(ISNUMBER(F520)),"",IF(ISNUMBER(W520),F520*W520,"UNIDADE A CONFERIR")))</f>
        <v/>
      </c>
      <c r="I520" s="91" t="n"/>
      <c r="J520" s="91" t="n"/>
      <c r="K520" s="92" t="n"/>
      <c r="L520" s="91" t="n"/>
      <c r="M520" s="91" t="n"/>
      <c r="N520" s="91" t="n"/>
      <c r="O520" s="91" t="n"/>
      <c r="P520" s="94" t="str">
        <f>IF(Q520=0,"",IF(C520="","Item de resíduo não informado",IF(T520=0,"Item inexistente (referência inválida)",IF(NOT(ISNUMBER(F520)),"Quantidade não informada",IF(F520&lt;=0,"Quantidade não positiva",IF(G520="","Unidade não informada",IF(NOT(ISNUMBER(H520)),"Unidade a conferir",IF(NOT(ISNUMBER(E520)),"Data de recebimento não informada",IF(AND(ISNUMBER(V520),N(V520)&gt;0,E520&lt;N(V520)),"Data anterior à emissão do MTR",IF(AND(J520="Sim",L520="",M520=""),"Conferido sem evidência identificada",IF(J520&lt;&gt;"Sim","Aguardando conferência",IF(INDEX('ITENS_MTR'!$AM$6:$AM$1005,S520)=1,"Conferido (ver diferença no item)","Conferido"))))))))))))</f>
        <v/>
      </c>
      <c r="Q520" s="96">
        <f>IF(COUNTA(C520,E520:G520,I520:O520)&gt;0,1,0)</f>
        <v>0</v>
      </c>
      <c r="R520" s="96" t="str">
        <f>IF(C520="","",TRIM(LEFT(C520,FIND(" |",C520&amp;" |")-1)))</f>
        <v/>
      </c>
      <c r="S520" s="96" t="str">
        <f>IF(R520="","",IFERROR(MATCH(R520,'ITENS_MTR'!$A$6:$A$1005,0),""))</f>
        <v/>
      </c>
      <c r="T520" s="96">
        <f>IF(S520="",0,IF(INDEX('ITENS_MTR'!$R$6:$R$1005,S520)=1,1,0))</f>
        <v>0</v>
      </c>
      <c r="U520" s="96" t="str">
        <f>IF(T520=1,INDEX('ITENS_MTR'!$T$6:$T$1005,S520),"")</f>
        <v/>
      </c>
      <c r="V520" s="97" t="str">
        <f>IF(N(U520)&gt;0,INDEX('MTRs'!$E$6:$E$505,U520),"")</f>
        <v/>
      </c>
      <c r="W520" s="96" t="str">
        <f>IF(G520="","",IFERROR(IF(ISNUMBER(INDEX(cfg_fac,MATCH(G520,cfg_units,0))),IF(INDEX(cfg_fac,MATCH(G520,cfg_units,0))&gt;0,INDEX(cfg_fac,MATCH(G520,cfg_units,0)),""),""),""))</f>
        <v/>
      </c>
      <c r="X520" s="96">
        <f>IF(AND(ISNUMBER(F520),ISNUMBER(H520)),IF(H520&gt;0,1,0),0)</f>
        <v>0</v>
      </c>
      <c r="Y520" s="96">
        <f>IF(Q520=0,0,IF(OR(T520=0,X520=0,NOT(ISNUMBER(E520)),AND(J520="Sim",L520="",M520=""),AND(ISNUMBER(E520),ISNUMBER(V520),N(V520)&gt;0,E520&lt;N(V520))),1,0))</f>
        <v>0</v>
      </c>
      <c r="Z520" s="96">
        <f>IF(AND(Q520=1,T520=1,X520=1,J520="Sim",OR(L520&lt;&gt;"",M520&lt;&gt;"")),1,0)</f>
        <v>0</v>
      </c>
      <c r="AA520" s="96">
        <f>IF(Q520=0,0,IF(AND(OR(r_ini="",AND(ISNUMBER(E520),E520&gt;=r_ini)),OR(r_fim="",AND(ISNUMBER(E520),E520&lt;=r_fim)),OR(r_un="",r_un="(Todas)",IF(N(U520)&gt;0,INDEX('MTRs'!$G$6:$G$505,U520),"")=r_un),OR(r_de="",r_de="(Todos)",D520=r_de)),1,0))</f>
        <v>0</v>
      </c>
      <c r="AB520" s="96" t="str">
        <f>IF(AA520=1,COUNTIF($AA$6:AA520,1),"")</f>
        <v/>
      </c>
    </row>
    <row r="521">
      <c r="A521" s="89" t="inlineStr">
        <is>
          <t>REC-000516</t>
        </is>
      </c>
      <c r="B521" s="94" t="str">
        <f>IF(T521=1,INDEX('ITENS_MTR'!$S$6:$S$1005,S521)&amp;"","")</f>
        <v/>
      </c>
      <c r="C521" s="91" t="n"/>
      <c r="D521" s="94" t="str">
        <f>IF(N(U521)&gt;0,INDEX('MTRs'!$I$6:$I$505,U521)&amp;"","")</f>
        <v/>
      </c>
      <c r="E521" s="92" t="n"/>
      <c r="F521" s="98" t="n"/>
      <c r="G521" s="91" t="n"/>
      <c r="H521" s="93" t="str">
        <f>IF(Q521=0,"",IF(NOT(ISNUMBER(F521)),"",IF(ISNUMBER(W521),F521*W521,"UNIDADE A CONFERIR")))</f>
        <v/>
      </c>
      <c r="I521" s="91" t="n"/>
      <c r="J521" s="91" t="n"/>
      <c r="K521" s="92" t="n"/>
      <c r="L521" s="91" t="n"/>
      <c r="M521" s="91" t="n"/>
      <c r="N521" s="91" t="n"/>
      <c r="O521" s="91" t="n"/>
      <c r="P521" s="94" t="str">
        <f>IF(Q521=0,"",IF(C521="","Item de resíduo não informado",IF(T521=0,"Item inexistente (referência inválida)",IF(NOT(ISNUMBER(F521)),"Quantidade não informada",IF(F521&lt;=0,"Quantidade não positiva",IF(G521="","Unidade não informada",IF(NOT(ISNUMBER(H521)),"Unidade a conferir",IF(NOT(ISNUMBER(E521)),"Data de recebimento não informada",IF(AND(ISNUMBER(V521),N(V521)&gt;0,E521&lt;N(V521)),"Data anterior à emissão do MTR",IF(AND(J521="Sim",L521="",M521=""),"Conferido sem evidência identificada",IF(J521&lt;&gt;"Sim","Aguardando conferência",IF(INDEX('ITENS_MTR'!$AM$6:$AM$1005,S521)=1,"Conferido (ver diferença no item)","Conferido"))))))))))))</f>
        <v/>
      </c>
      <c r="Q521" s="96">
        <f>IF(COUNTA(C521,E521:G521,I521:O521)&gt;0,1,0)</f>
        <v>0</v>
      </c>
      <c r="R521" s="96" t="str">
        <f>IF(C521="","",TRIM(LEFT(C521,FIND(" |",C521&amp;" |")-1)))</f>
        <v/>
      </c>
      <c r="S521" s="96" t="str">
        <f>IF(R521="","",IFERROR(MATCH(R521,'ITENS_MTR'!$A$6:$A$1005,0),""))</f>
        <v/>
      </c>
      <c r="T521" s="96">
        <f>IF(S521="",0,IF(INDEX('ITENS_MTR'!$R$6:$R$1005,S521)=1,1,0))</f>
        <v>0</v>
      </c>
      <c r="U521" s="96" t="str">
        <f>IF(T521=1,INDEX('ITENS_MTR'!$T$6:$T$1005,S521),"")</f>
        <v/>
      </c>
      <c r="V521" s="97" t="str">
        <f>IF(N(U521)&gt;0,INDEX('MTRs'!$E$6:$E$505,U521),"")</f>
        <v/>
      </c>
      <c r="W521" s="96" t="str">
        <f>IF(G521="","",IFERROR(IF(ISNUMBER(INDEX(cfg_fac,MATCH(G521,cfg_units,0))),IF(INDEX(cfg_fac,MATCH(G521,cfg_units,0))&gt;0,INDEX(cfg_fac,MATCH(G521,cfg_units,0)),""),""),""))</f>
        <v/>
      </c>
      <c r="X521" s="96">
        <f>IF(AND(ISNUMBER(F521),ISNUMBER(H521)),IF(H521&gt;0,1,0),0)</f>
        <v>0</v>
      </c>
      <c r="Y521" s="96">
        <f>IF(Q521=0,0,IF(OR(T521=0,X521=0,NOT(ISNUMBER(E521)),AND(J521="Sim",L521="",M521=""),AND(ISNUMBER(E521),ISNUMBER(V521),N(V521)&gt;0,E521&lt;N(V521))),1,0))</f>
        <v>0</v>
      </c>
      <c r="Z521" s="96">
        <f>IF(AND(Q521=1,T521=1,X521=1,J521="Sim",OR(L521&lt;&gt;"",M521&lt;&gt;"")),1,0)</f>
        <v>0</v>
      </c>
      <c r="AA521" s="96">
        <f>IF(Q521=0,0,IF(AND(OR(r_ini="",AND(ISNUMBER(E521),E521&gt;=r_ini)),OR(r_fim="",AND(ISNUMBER(E521),E521&lt;=r_fim)),OR(r_un="",r_un="(Todas)",IF(N(U521)&gt;0,INDEX('MTRs'!$G$6:$G$505,U521),"")=r_un),OR(r_de="",r_de="(Todos)",D521=r_de)),1,0))</f>
        <v>0</v>
      </c>
      <c r="AB521" s="96" t="str">
        <f>IF(AA521=1,COUNTIF($AA$6:AA521,1),"")</f>
        <v/>
      </c>
    </row>
    <row r="522">
      <c r="A522" s="89" t="inlineStr">
        <is>
          <t>REC-000517</t>
        </is>
      </c>
      <c r="B522" s="94" t="str">
        <f>IF(T522=1,INDEX('ITENS_MTR'!$S$6:$S$1005,S522)&amp;"","")</f>
        <v/>
      </c>
      <c r="C522" s="91" t="n"/>
      <c r="D522" s="94" t="str">
        <f>IF(N(U522)&gt;0,INDEX('MTRs'!$I$6:$I$505,U522)&amp;"","")</f>
        <v/>
      </c>
      <c r="E522" s="92" t="n"/>
      <c r="F522" s="98" t="n"/>
      <c r="G522" s="91" t="n"/>
      <c r="H522" s="93" t="str">
        <f>IF(Q522=0,"",IF(NOT(ISNUMBER(F522)),"",IF(ISNUMBER(W522),F522*W522,"UNIDADE A CONFERIR")))</f>
        <v/>
      </c>
      <c r="I522" s="91" t="n"/>
      <c r="J522" s="91" t="n"/>
      <c r="K522" s="92" t="n"/>
      <c r="L522" s="91" t="n"/>
      <c r="M522" s="91" t="n"/>
      <c r="N522" s="91" t="n"/>
      <c r="O522" s="91" t="n"/>
      <c r="P522" s="94" t="str">
        <f>IF(Q522=0,"",IF(C522="","Item de resíduo não informado",IF(T522=0,"Item inexistente (referência inválida)",IF(NOT(ISNUMBER(F522)),"Quantidade não informada",IF(F522&lt;=0,"Quantidade não positiva",IF(G522="","Unidade não informada",IF(NOT(ISNUMBER(H522)),"Unidade a conferir",IF(NOT(ISNUMBER(E522)),"Data de recebimento não informada",IF(AND(ISNUMBER(V522),N(V522)&gt;0,E522&lt;N(V522)),"Data anterior à emissão do MTR",IF(AND(J522="Sim",L522="",M522=""),"Conferido sem evidência identificada",IF(J522&lt;&gt;"Sim","Aguardando conferência",IF(INDEX('ITENS_MTR'!$AM$6:$AM$1005,S522)=1,"Conferido (ver diferença no item)","Conferido"))))))))))))</f>
        <v/>
      </c>
      <c r="Q522" s="96">
        <f>IF(COUNTA(C522,E522:G522,I522:O522)&gt;0,1,0)</f>
        <v>0</v>
      </c>
      <c r="R522" s="96" t="str">
        <f>IF(C522="","",TRIM(LEFT(C522,FIND(" |",C522&amp;" |")-1)))</f>
        <v/>
      </c>
      <c r="S522" s="96" t="str">
        <f>IF(R522="","",IFERROR(MATCH(R522,'ITENS_MTR'!$A$6:$A$1005,0),""))</f>
        <v/>
      </c>
      <c r="T522" s="96">
        <f>IF(S522="",0,IF(INDEX('ITENS_MTR'!$R$6:$R$1005,S522)=1,1,0))</f>
        <v>0</v>
      </c>
      <c r="U522" s="96" t="str">
        <f>IF(T522=1,INDEX('ITENS_MTR'!$T$6:$T$1005,S522),"")</f>
        <v/>
      </c>
      <c r="V522" s="97" t="str">
        <f>IF(N(U522)&gt;0,INDEX('MTRs'!$E$6:$E$505,U522),"")</f>
        <v/>
      </c>
      <c r="W522" s="96" t="str">
        <f>IF(G522="","",IFERROR(IF(ISNUMBER(INDEX(cfg_fac,MATCH(G522,cfg_units,0))),IF(INDEX(cfg_fac,MATCH(G522,cfg_units,0))&gt;0,INDEX(cfg_fac,MATCH(G522,cfg_units,0)),""),""),""))</f>
        <v/>
      </c>
      <c r="X522" s="96">
        <f>IF(AND(ISNUMBER(F522),ISNUMBER(H522)),IF(H522&gt;0,1,0),0)</f>
        <v>0</v>
      </c>
      <c r="Y522" s="96">
        <f>IF(Q522=0,0,IF(OR(T522=0,X522=0,NOT(ISNUMBER(E522)),AND(J522="Sim",L522="",M522=""),AND(ISNUMBER(E522),ISNUMBER(V522),N(V522)&gt;0,E522&lt;N(V522))),1,0))</f>
        <v>0</v>
      </c>
      <c r="Z522" s="96">
        <f>IF(AND(Q522=1,T522=1,X522=1,J522="Sim",OR(L522&lt;&gt;"",M522&lt;&gt;"")),1,0)</f>
        <v>0</v>
      </c>
      <c r="AA522" s="96">
        <f>IF(Q522=0,0,IF(AND(OR(r_ini="",AND(ISNUMBER(E522),E522&gt;=r_ini)),OR(r_fim="",AND(ISNUMBER(E522),E522&lt;=r_fim)),OR(r_un="",r_un="(Todas)",IF(N(U522)&gt;0,INDEX('MTRs'!$G$6:$G$505,U522),"")=r_un),OR(r_de="",r_de="(Todos)",D522=r_de)),1,0))</f>
        <v>0</v>
      </c>
      <c r="AB522" s="96" t="str">
        <f>IF(AA522=1,COUNTIF($AA$6:AA522,1),"")</f>
        <v/>
      </c>
    </row>
    <row r="523">
      <c r="A523" s="89" t="inlineStr">
        <is>
          <t>REC-000518</t>
        </is>
      </c>
      <c r="B523" s="94" t="str">
        <f>IF(T523=1,INDEX('ITENS_MTR'!$S$6:$S$1005,S523)&amp;"","")</f>
        <v/>
      </c>
      <c r="C523" s="91" t="n"/>
      <c r="D523" s="94" t="str">
        <f>IF(N(U523)&gt;0,INDEX('MTRs'!$I$6:$I$505,U523)&amp;"","")</f>
        <v/>
      </c>
      <c r="E523" s="92" t="n"/>
      <c r="F523" s="98" t="n"/>
      <c r="G523" s="91" t="n"/>
      <c r="H523" s="93" t="str">
        <f>IF(Q523=0,"",IF(NOT(ISNUMBER(F523)),"",IF(ISNUMBER(W523),F523*W523,"UNIDADE A CONFERIR")))</f>
        <v/>
      </c>
      <c r="I523" s="91" t="n"/>
      <c r="J523" s="91" t="n"/>
      <c r="K523" s="92" t="n"/>
      <c r="L523" s="91" t="n"/>
      <c r="M523" s="91" t="n"/>
      <c r="N523" s="91" t="n"/>
      <c r="O523" s="91" t="n"/>
      <c r="P523" s="94" t="str">
        <f>IF(Q523=0,"",IF(C523="","Item de resíduo não informado",IF(T523=0,"Item inexistente (referência inválida)",IF(NOT(ISNUMBER(F523)),"Quantidade não informada",IF(F523&lt;=0,"Quantidade não positiva",IF(G523="","Unidade não informada",IF(NOT(ISNUMBER(H523)),"Unidade a conferir",IF(NOT(ISNUMBER(E523)),"Data de recebimento não informada",IF(AND(ISNUMBER(V523),N(V523)&gt;0,E523&lt;N(V523)),"Data anterior à emissão do MTR",IF(AND(J523="Sim",L523="",M523=""),"Conferido sem evidência identificada",IF(J523&lt;&gt;"Sim","Aguardando conferência",IF(INDEX('ITENS_MTR'!$AM$6:$AM$1005,S523)=1,"Conferido (ver diferença no item)","Conferido"))))))))))))</f>
        <v/>
      </c>
      <c r="Q523" s="96">
        <f>IF(COUNTA(C523,E523:G523,I523:O523)&gt;0,1,0)</f>
        <v>0</v>
      </c>
      <c r="R523" s="96" t="str">
        <f>IF(C523="","",TRIM(LEFT(C523,FIND(" |",C523&amp;" |")-1)))</f>
        <v/>
      </c>
      <c r="S523" s="96" t="str">
        <f>IF(R523="","",IFERROR(MATCH(R523,'ITENS_MTR'!$A$6:$A$1005,0),""))</f>
        <v/>
      </c>
      <c r="T523" s="96">
        <f>IF(S523="",0,IF(INDEX('ITENS_MTR'!$R$6:$R$1005,S523)=1,1,0))</f>
        <v>0</v>
      </c>
      <c r="U523" s="96" t="str">
        <f>IF(T523=1,INDEX('ITENS_MTR'!$T$6:$T$1005,S523),"")</f>
        <v/>
      </c>
      <c r="V523" s="97" t="str">
        <f>IF(N(U523)&gt;0,INDEX('MTRs'!$E$6:$E$505,U523),"")</f>
        <v/>
      </c>
      <c r="W523" s="96" t="str">
        <f>IF(G523="","",IFERROR(IF(ISNUMBER(INDEX(cfg_fac,MATCH(G523,cfg_units,0))),IF(INDEX(cfg_fac,MATCH(G523,cfg_units,0))&gt;0,INDEX(cfg_fac,MATCH(G523,cfg_units,0)),""),""),""))</f>
        <v/>
      </c>
      <c r="X523" s="96">
        <f>IF(AND(ISNUMBER(F523),ISNUMBER(H523)),IF(H523&gt;0,1,0),0)</f>
        <v>0</v>
      </c>
      <c r="Y523" s="96">
        <f>IF(Q523=0,0,IF(OR(T523=0,X523=0,NOT(ISNUMBER(E523)),AND(J523="Sim",L523="",M523=""),AND(ISNUMBER(E523),ISNUMBER(V523),N(V523)&gt;0,E523&lt;N(V523))),1,0))</f>
        <v>0</v>
      </c>
      <c r="Z523" s="96">
        <f>IF(AND(Q523=1,T523=1,X523=1,J523="Sim",OR(L523&lt;&gt;"",M523&lt;&gt;"")),1,0)</f>
        <v>0</v>
      </c>
      <c r="AA523" s="96">
        <f>IF(Q523=0,0,IF(AND(OR(r_ini="",AND(ISNUMBER(E523),E523&gt;=r_ini)),OR(r_fim="",AND(ISNUMBER(E523),E523&lt;=r_fim)),OR(r_un="",r_un="(Todas)",IF(N(U523)&gt;0,INDEX('MTRs'!$G$6:$G$505,U523),"")=r_un),OR(r_de="",r_de="(Todos)",D523=r_de)),1,0))</f>
        <v>0</v>
      </c>
      <c r="AB523" s="96" t="str">
        <f>IF(AA523=1,COUNTIF($AA$6:AA523,1),"")</f>
        <v/>
      </c>
    </row>
    <row r="524">
      <c r="A524" s="89" t="inlineStr">
        <is>
          <t>REC-000519</t>
        </is>
      </c>
      <c r="B524" s="94" t="str">
        <f>IF(T524=1,INDEX('ITENS_MTR'!$S$6:$S$1005,S524)&amp;"","")</f>
        <v/>
      </c>
      <c r="C524" s="91" t="n"/>
      <c r="D524" s="94" t="str">
        <f>IF(N(U524)&gt;0,INDEX('MTRs'!$I$6:$I$505,U524)&amp;"","")</f>
        <v/>
      </c>
      <c r="E524" s="92" t="n"/>
      <c r="F524" s="98" t="n"/>
      <c r="G524" s="91" t="n"/>
      <c r="H524" s="93" t="str">
        <f>IF(Q524=0,"",IF(NOT(ISNUMBER(F524)),"",IF(ISNUMBER(W524),F524*W524,"UNIDADE A CONFERIR")))</f>
        <v/>
      </c>
      <c r="I524" s="91" t="n"/>
      <c r="J524" s="91" t="n"/>
      <c r="K524" s="92" t="n"/>
      <c r="L524" s="91" t="n"/>
      <c r="M524" s="91" t="n"/>
      <c r="N524" s="91" t="n"/>
      <c r="O524" s="91" t="n"/>
      <c r="P524" s="94" t="str">
        <f>IF(Q524=0,"",IF(C524="","Item de resíduo não informado",IF(T524=0,"Item inexistente (referência inválida)",IF(NOT(ISNUMBER(F524)),"Quantidade não informada",IF(F524&lt;=0,"Quantidade não positiva",IF(G524="","Unidade não informada",IF(NOT(ISNUMBER(H524)),"Unidade a conferir",IF(NOT(ISNUMBER(E524)),"Data de recebimento não informada",IF(AND(ISNUMBER(V524),N(V524)&gt;0,E524&lt;N(V524)),"Data anterior à emissão do MTR",IF(AND(J524="Sim",L524="",M524=""),"Conferido sem evidência identificada",IF(J524&lt;&gt;"Sim","Aguardando conferência",IF(INDEX('ITENS_MTR'!$AM$6:$AM$1005,S524)=1,"Conferido (ver diferença no item)","Conferido"))))))))))))</f>
        <v/>
      </c>
      <c r="Q524" s="96">
        <f>IF(COUNTA(C524,E524:G524,I524:O524)&gt;0,1,0)</f>
        <v>0</v>
      </c>
      <c r="R524" s="96" t="str">
        <f>IF(C524="","",TRIM(LEFT(C524,FIND(" |",C524&amp;" |")-1)))</f>
        <v/>
      </c>
      <c r="S524" s="96" t="str">
        <f>IF(R524="","",IFERROR(MATCH(R524,'ITENS_MTR'!$A$6:$A$1005,0),""))</f>
        <v/>
      </c>
      <c r="T524" s="96">
        <f>IF(S524="",0,IF(INDEX('ITENS_MTR'!$R$6:$R$1005,S524)=1,1,0))</f>
        <v>0</v>
      </c>
      <c r="U524" s="96" t="str">
        <f>IF(T524=1,INDEX('ITENS_MTR'!$T$6:$T$1005,S524),"")</f>
        <v/>
      </c>
      <c r="V524" s="97" t="str">
        <f>IF(N(U524)&gt;0,INDEX('MTRs'!$E$6:$E$505,U524),"")</f>
        <v/>
      </c>
      <c r="W524" s="96" t="str">
        <f>IF(G524="","",IFERROR(IF(ISNUMBER(INDEX(cfg_fac,MATCH(G524,cfg_units,0))),IF(INDEX(cfg_fac,MATCH(G524,cfg_units,0))&gt;0,INDEX(cfg_fac,MATCH(G524,cfg_units,0)),""),""),""))</f>
        <v/>
      </c>
      <c r="X524" s="96">
        <f>IF(AND(ISNUMBER(F524),ISNUMBER(H524)),IF(H524&gt;0,1,0),0)</f>
        <v>0</v>
      </c>
      <c r="Y524" s="96">
        <f>IF(Q524=0,0,IF(OR(T524=0,X524=0,NOT(ISNUMBER(E524)),AND(J524="Sim",L524="",M524=""),AND(ISNUMBER(E524),ISNUMBER(V524),N(V524)&gt;0,E524&lt;N(V524))),1,0))</f>
        <v>0</v>
      </c>
      <c r="Z524" s="96">
        <f>IF(AND(Q524=1,T524=1,X524=1,J524="Sim",OR(L524&lt;&gt;"",M524&lt;&gt;"")),1,0)</f>
        <v>0</v>
      </c>
      <c r="AA524" s="96">
        <f>IF(Q524=0,0,IF(AND(OR(r_ini="",AND(ISNUMBER(E524),E524&gt;=r_ini)),OR(r_fim="",AND(ISNUMBER(E524),E524&lt;=r_fim)),OR(r_un="",r_un="(Todas)",IF(N(U524)&gt;0,INDEX('MTRs'!$G$6:$G$505,U524),"")=r_un),OR(r_de="",r_de="(Todos)",D524=r_de)),1,0))</f>
        <v>0</v>
      </c>
      <c r="AB524" s="96" t="str">
        <f>IF(AA524=1,COUNTIF($AA$6:AA524,1),"")</f>
        <v/>
      </c>
    </row>
    <row r="525">
      <c r="A525" s="89" t="inlineStr">
        <is>
          <t>REC-000520</t>
        </is>
      </c>
      <c r="B525" s="94" t="str">
        <f>IF(T525=1,INDEX('ITENS_MTR'!$S$6:$S$1005,S525)&amp;"","")</f>
        <v/>
      </c>
      <c r="C525" s="91" t="n"/>
      <c r="D525" s="94" t="str">
        <f>IF(N(U525)&gt;0,INDEX('MTRs'!$I$6:$I$505,U525)&amp;"","")</f>
        <v/>
      </c>
      <c r="E525" s="92" t="n"/>
      <c r="F525" s="98" t="n"/>
      <c r="G525" s="91" t="n"/>
      <c r="H525" s="93" t="str">
        <f>IF(Q525=0,"",IF(NOT(ISNUMBER(F525)),"",IF(ISNUMBER(W525),F525*W525,"UNIDADE A CONFERIR")))</f>
        <v/>
      </c>
      <c r="I525" s="91" t="n"/>
      <c r="J525" s="91" t="n"/>
      <c r="K525" s="92" t="n"/>
      <c r="L525" s="91" t="n"/>
      <c r="M525" s="91" t="n"/>
      <c r="N525" s="91" t="n"/>
      <c r="O525" s="91" t="n"/>
      <c r="P525" s="94" t="str">
        <f>IF(Q525=0,"",IF(C525="","Item de resíduo não informado",IF(T525=0,"Item inexistente (referência inválida)",IF(NOT(ISNUMBER(F525)),"Quantidade não informada",IF(F525&lt;=0,"Quantidade não positiva",IF(G525="","Unidade não informada",IF(NOT(ISNUMBER(H525)),"Unidade a conferir",IF(NOT(ISNUMBER(E525)),"Data de recebimento não informada",IF(AND(ISNUMBER(V525),N(V525)&gt;0,E525&lt;N(V525)),"Data anterior à emissão do MTR",IF(AND(J525="Sim",L525="",M525=""),"Conferido sem evidência identificada",IF(J525&lt;&gt;"Sim","Aguardando conferência",IF(INDEX('ITENS_MTR'!$AM$6:$AM$1005,S525)=1,"Conferido (ver diferença no item)","Conferido"))))))))))))</f>
        <v/>
      </c>
      <c r="Q525" s="96">
        <f>IF(COUNTA(C525,E525:G525,I525:O525)&gt;0,1,0)</f>
        <v>0</v>
      </c>
      <c r="R525" s="96" t="str">
        <f>IF(C525="","",TRIM(LEFT(C525,FIND(" |",C525&amp;" |")-1)))</f>
        <v/>
      </c>
      <c r="S525" s="96" t="str">
        <f>IF(R525="","",IFERROR(MATCH(R525,'ITENS_MTR'!$A$6:$A$1005,0),""))</f>
        <v/>
      </c>
      <c r="T525" s="96">
        <f>IF(S525="",0,IF(INDEX('ITENS_MTR'!$R$6:$R$1005,S525)=1,1,0))</f>
        <v>0</v>
      </c>
      <c r="U525" s="96" t="str">
        <f>IF(T525=1,INDEX('ITENS_MTR'!$T$6:$T$1005,S525),"")</f>
        <v/>
      </c>
      <c r="V525" s="97" t="str">
        <f>IF(N(U525)&gt;0,INDEX('MTRs'!$E$6:$E$505,U525),"")</f>
        <v/>
      </c>
      <c r="W525" s="96" t="str">
        <f>IF(G525="","",IFERROR(IF(ISNUMBER(INDEX(cfg_fac,MATCH(G525,cfg_units,0))),IF(INDEX(cfg_fac,MATCH(G525,cfg_units,0))&gt;0,INDEX(cfg_fac,MATCH(G525,cfg_units,0)),""),""),""))</f>
        <v/>
      </c>
      <c r="X525" s="96">
        <f>IF(AND(ISNUMBER(F525),ISNUMBER(H525)),IF(H525&gt;0,1,0),0)</f>
        <v>0</v>
      </c>
      <c r="Y525" s="96">
        <f>IF(Q525=0,0,IF(OR(T525=0,X525=0,NOT(ISNUMBER(E525)),AND(J525="Sim",L525="",M525=""),AND(ISNUMBER(E525),ISNUMBER(V525),N(V525)&gt;0,E525&lt;N(V525))),1,0))</f>
        <v>0</v>
      </c>
      <c r="Z525" s="96">
        <f>IF(AND(Q525=1,T525=1,X525=1,J525="Sim",OR(L525&lt;&gt;"",M525&lt;&gt;"")),1,0)</f>
        <v>0</v>
      </c>
      <c r="AA525" s="96">
        <f>IF(Q525=0,0,IF(AND(OR(r_ini="",AND(ISNUMBER(E525),E525&gt;=r_ini)),OR(r_fim="",AND(ISNUMBER(E525),E525&lt;=r_fim)),OR(r_un="",r_un="(Todas)",IF(N(U525)&gt;0,INDEX('MTRs'!$G$6:$G$505,U525),"")=r_un),OR(r_de="",r_de="(Todos)",D525=r_de)),1,0))</f>
        <v>0</v>
      </c>
      <c r="AB525" s="96" t="str">
        <f>IF(AA525=1,COUNTIF($AA$6:AA525,1),"")</f>
        <v/>
      </c>
    </row>
    <row r="526">
      <c r="A526" s="89" t="inlineStr">
        <is>
          <t>REC-000521</t>
        </is>
      </c>
      <c r="B526" s="94" t="str">
        <f>IF(T526=1,INDEX('ITENS_MTR'!$S$6:$S$1005,S526)&amp;"","")</f>
        <v/>
      </c>
      <c r="C526" s="91" t="n"/>
      <c r="D526" s="94" t="str">
        <f>IF(N(U526)&gt;0,INDEX('MTRs'!$I$6:$I$505,U526)&amp;"","")</f>
        <v/>
      </c>
      <c r="E526" s="92" t="n"/>
      <c r="F526" s="98" t="n"/>
      <c r="G526" s="91" t="n"/>
      <c r="H526" s="93" t="str">
        <f>IF(Q526=0,"",IF(NOT(ISNUMBER(F526)),"",IF(ISNUMBER(W526),F526*W526,"UNIDADE A CONFERIR")))</f>
        <v/>
      </c>
      <c r="I526" s="91" t="n"/>
      <c r="J526" s="91" t="n"/>
      <c r="K526" s="92" t="n"/>
      <c r="L526" s="91" t="n"/>
      <c r="M526" s="91" t="n"/>
      <c r="N526" s="91" t="n"/>
      <c r="O526" s="91" t="n"/>
      <c r="P526" s="94" t="str">
        <f>IF(Q526=0,"",IF(C526="","Item de resíduo não informado",IF(T526=0,"Item inexistente (referência inválida)",IF(NOT(ISNUMBER(F526)),"Quantidade não informada",IF(F526&lt;=0,"Quantidade não positiva",IF(G526="","Unidade não informada",IF(NOT(ISNUMBER(H526)),"Unidade a conferir",IF(NOT(ISNUMBER(E526)),"Data de recebimento não informada",IF(AND(ISNUMBER(V526),N(V526)&gt;0,E526&lt;N(V526)),"Data anterior à emissão do MTR",IF(AND(J526="Sim",L526="",M526=""),"Conferido sem evidência identificada",IF(J526&lt;&gt;"Sim","Aguardando conferência",IF(INDEX('ITENS_MTR'!$AM$6:$AM$1005,S526)=1,"Conferido (ver diferença no item)","Conferido"))))))))))))</f>
        <v/>
      </c>
      <c r="Q526" s="96">
        <f>IF(COUNTA(C526,E526:G526,I526:O526)&gt;0,1,0)</f>
        <v>0</v>
      </c>
      <c r="R526" s="96" t="str">
        <f>IF(C526="","",TRIM(LEFT(C526,FIND(" |",C526&amp;" |")-1)))</f>
        <v/>
      </c>
      <c r="S526" s="96" t="str">
        <f>IF(R526="","",IFERROR(MATCH(R526,'ITENS_MTR'!$A$6:$A$1005,0),""))</f>
        <v/>
      </c>
      <c r="T526" s="96">
        <f>IF(S526="",0,IF(INDEX('ITENS_MTR'!$R$6:$R$1005,S526)=1,1,0))</f>
        <v>0</v>
      </c>
      <c r="U526" s="96" t="str">
        <f>IF(T526=1,INDEX('ITENS_MTR'!$T$6:$T$1005,S526),"")</f>
        <v/>
      </c>
      <c r="V526" s="97" t="str">
        <f>IF(N(U526)&gt;0,INDEX('MTRs'!$E$6:$E$505,U526),"")</f>
        <v/>
      </c>
      <c r="W526" s="96" t="str">
        <f>IF(G526="","",IFERROR(IF(ISNUMBER(INDEX(cfg_fac,MATCH(G526,cfg_units,0))),IF(INDEX(cfg_fac,MATCH(G526,cfg_units,0))&gt;0,INDEX(cfg_fac,MATCH(G526,cfg_units,0)),""),""),""))</f>
        <v/>
      </c>
      <c r="X526" s="96">
        <f>IF(AND(ISNUMBER(F526),ISNUMBER(H526)),IF(H526&gt;0,1,0),0)</f>
        <v>0</v>
      </c>
      <c r="Y526" s="96">
        <f>IF(Q526=0,0,IF(OR(T526=0,X526=0,NOT(ISNUMBER(E526)),AND(J526="Sim",L526="",M526=""),AND(ISNUMBER(E526),ISNUMBER(V526),N(V526)&gt;0,E526&lt;N(V526))),1,0))</f>
        <v>0</v>
      </c>
      <c r="Z526" s="96">
        <f>IF(AND(Q526=1,T526=1,X526=1,J526="Sim",OR(L526&lt;&gt;"",M526&lt;&gt;"")),1,0)</f>
        <v>0</v>
      </c>
      <c r="AA526" s="96">
        <f>IF(Q526=0,0,IF(AND(OR(r_ini="",AND(ISNUMBER(E526),E526&gt;=r_ini)),OR(r_fim="",AND(ISNUMBER(E526),E526&lt;=r_fim)),OR(r_un="",r_un="(Todas)",IF(N(U526)&gt;0,INDEX('MTRs'!$G$6:$G$505,U526),"")=r_un),OR(r_de="",r_de="(Todos)",D526=r_de)),1,0))</f>
        <v>0</v>
      </c>
      <c r="AB526" s="96" t="str">
        <f>IF(AA526=1,COUNTIF($AA$6:AA526,1),"")</f>
        <v/>
      </c>
    </row>
    <row r="527">
      <c r="A527" s="89" t="inlineStr">
        <is>
          <t>REC-000522</t>
        </is>
      </c>
      <c r="B527" s="94" t="str">
        <f>IF(T527=1,INDEX('ITENS_MTR'!$S$6:$S$1005,S527)&amp;"","")</f>
        <v/>
      </c>
      <c r="C527" s="91" t="n"/>
      <c r="D527" s="94" t="str">
        <f>IF(N(U527)&gt;0,INDEX('MTRs'!$I$6:$I$505,U527)&amp;"","")</f>
        <v/>
      </c>
      <c r="E527" s="92" t="n"/>
      <c r="F527" s="98" t="n"/>
      <c r="G527" s="91" t="n"/>
      <c r="H527" s="93" t="str">
        <f>IF(Q527=0,"",IF(NOT(ISNUMBER(F527)),"",IF(ISNUMBER(W527),F527*W527,"UNIDADE A CONFERIR")))</f>
        <v/>
      </c>
      <c r="I527" s="91" t="n"/>
      <c r="J527" s="91" t="n"/>
      <c r="K527" s="92" t="n"/>
      <c r="L527" s="91" t="n"/>
      <c r="M527" s="91" t="n"/>
      <c r="N527" s="91" t="n"/>
      <c r="O527" s="91" t="n"/>
      <c r="P527" s="94" t="str">
        <f>IF(Q527=0,"",IF(C527="","Item de resíduo não informado",IF(T527=0,"Item inexistente (referência inválida)",IF(NOT(ISNUMBER(F527)),"Quantidade não informada",IF(F527&lt;=0,"Quantidade não positiva",IF(G527="","Unidade não informada",IF(NOT(ISNUMBER(H527)),"Unidade a conferir",IF(NOT(ISNUMBER(E527)),"Data de recebimento não informada",IF(AND(ISNUMBER(V527),N(V527)&gt;0,E527&lt;N(V527)),"Data anterior à emissão do MTR",IF(AND(J527="Sim",L527="",M527=""),"Conferido sem evidência identificada",IF(J527&lt;&gt;"Sim","Aguardando conferência",IF(INDEX('ITENS_MTR'!$AM$6:$AM$1005,S527)=1,"Conferido (ver diferença no item)","Conferido"))))))))))))</f>
        <v/>
      </c>
      <c r="Q527" s="96">
        <f>IF(COUNTA(C527,E527:G527,I527:O527)&gt;0,1,0)</f>
        <v>0</v>
      </c>
      <c r="R527" s="96" t="str">
        <f>IF(C527="","",TRIM(LEFT(C527,FIND(" |",C527&amp;" |")-1)))</f>
        <v/>
      </c>
      <c r="S527" s="96" t="str">
        <f>IF(R527="","",IFERROR(MATCH(R527,'ITENS_MTR'!$A$6:$A$1005,0),""))</f>
        <v/>
      </c>
      <c r="T527" s="96">
        <f>IF(S527="",0,IF(INDEX('ITENS_MTR'!$R$6:$R$1005,S527)=1,1,0))</f>
        <v>0</v>
      </c>
      <c r="U527" s="96" t="str">
        <f>IF(T527=1,INDEX('ITENS_MTR'!$T$6:$T$1005,S527),"")</f>
        <v/>
      </c>
      <c r="V527" s="97" t="str">
        <f>IF(N(U527)&gt;0,INDEX('MTRs'!$E$6:$E$505,U527),"")</f>
        <v/>
      </c>
      <c r="W527" s="96" t="str">
        <f>IF(G527="","",IFERROR(IF(ISNUMBER(INDEX(cfg_fac,MATCH(G527,cfg_units,0))),IF(INDEX(cfg_fac,MATCH(G527,cfg_units,0))&gt;0,INDEX(cfg_fac,MATCH(G527,cfg_units,0)),""),""),""))</f>
        <v/>
      </c>
      <c r="X527" s="96">
        <f>IF(AND(ISNUMBER(F527),ISNUMBER(H527)),IF(H527&gt;0,1,0),0)</f>
        <v>0</v>
      </c>
      <c r="Y527" s="96">
        <f>IF(Q527=0,0,IF(OR(T527=0,X527=0,NOT(ISNUMBER(E527)),AND(J527="Sim",L527="",M527=""),AND(ISNUMBER(E527),ISNUMBER(V527),N(V527)&gt;0,E527&lt;N(V527))),1,0))</f>
        <v>0</v>
      </c>
      <c r="Z527" s="96">
        <f>IF(AND(Q527=1,T527=1,X527=1,J527="Sim",OR(L527&lt;&gt;"",M527&lt;&gt;"")),1,0)</f>
        <v>0</v>
      </c>
      <c r="AA527" s="96">
        <f>IF(Q527=0,0,IF(AND(OR(r_ini="",AND(ISNUMBER(E527),E527&gt;=r_ini)),OR(r_fim="",AND(ISNUMBER(E527),E527&lt;=r_fim)),OR(r_un="",r_un="(Todas)",IF(N(U527)&gt;0,INDEX('MTRs'!$G$6:$G$505,U527),"")=r_un),OR(r_de="",r_de="(Todos)",D527=r_de)),1,0))</f>
        <v>0</v>
      </c>
      <c r="AB527" s="96" t="str">
        <f>IF(AA527=1,COUNTIF($AA$6:AA527,1),"")</f>
        <v/>
      </c>
    </row>
    <row r="528">
      <c r="A528" s="89" t="inlineStr">
        <is>
          <t>REC-000523</t>
        </is>
      </c>
      <c r="B528" s="94" t="str">
        <f>IF(T528=1,INDEX('ITENS_MTR'!$S$6:$S$1005,S528)&amp;"","")</f>
        <v/>
      </c>
      <c r="C528" s="91" t="n"/>
      <c r="D528" s="94" t="str">
        <f>IF(N(U528)&gt;0,INDEX('MTRs'!$I$6:$I$505,U528)&amp;"","")</f>
        <v/>
      </c>
      <c r="E528" s="92" t="n"/>
      <c r="F528" s="98" t="n"/>
      <c r="G528" s="91" t="n"/>
      <c r="H528" s="93" t="str">
        <f>IF(Q528=0,"",IF(NOT(ISNUMBER(F528)),"",IF(ISNUMBER(W528),F528*W528,"UNIDADE A CONFERIR")))</f>
        <v/>
      </c>
      <c r="I528" s="91" t="n"/>
      <c r="J528" s="91" t="n"/>
      <c r="K528" s="92" t="n"/>
      <c r="L528" s="91" t="n"/>
      <c r="M528" s="91" t="n"/>
      <c r="N528" s="91" t="n"/>
      <c r="O528" s="91" t="n"/>
      <c r="P528" s="94" t="str">
        <f>IF(Q528=0,"",IF(C528="","Item de resíduo não informado",IF(T528=0,"Item inexistente (referência inválida)",IF(NOT(ISNUMBER(F528)),"Quantidade não informada",IF(F528&lt;=0,"Quantidade não positiva",IF(G528="","Unidade não informada",IF(NOT(ISNUMBER(H528)),"Unidade a conferir",IF(NOT(ISNUMBER(E528)),"Data de recebimento não informada",IF(AND(ISNUMBER(V528),N(V528)&gt;0,E528&lt;N(V528)),"Data anterior à emissão do MTR",IF(AND(J528="Sim",L528="",M528=""),"Conferido sem evidência identificada",IF(J528&lt;&gt;"Sim","Aguardando conferência",IF(INDEX('ITENS_MTR'!$AM$6:$AM$1005,S528)=1,"Conferido (ver diferença no item)","Conferido"))))))))))))</f>
        <v/>
      </c>
      <c r="Q528" s="96">
        <f>IF(COUNTA(C528,E528:G528,I528:O528)&gt;0,1,0)</f>
        <v>0</v>
      </c>
      <c r="R528" s="96" t="str">
        <f>IF(C528="","",TRIM(LEFT(C528,FIND(" |",C528&amp;" |")-1)))</f>
        <v/>
      </c>
      <c r="S528" s="96" t="str">
        <f>IF(R528="","",IFERROR(MATCH(R528,'ITENS_MTR'!$A$6:$A$1005,0),""))</f>
        <v/>
      </c>
      <c r="T528" s="96">
        <f>IF(S528="",0,IF(INDEX('ITENS_MTR'!$R$6:$R$1005,S528)=1,1,0))</f>
        <v>0</v>
      </c>
      <c r="U528" s="96" t="str">
        <f>IF(T528=1,INDEX('ITENS_MTR'!$T$6:$T$1005,S528),"")</f>
        <v/>
      </c>
      <c r="V528" s="97" t="str">
        <f>IF(N(U528)&gt;0,INDEX('MTRs'!$E$6:$E$505,U528),"")</f>
        <v/>
      </c>
      <c r="W528" s="96" t="str">
        <f>IF(G528="","",IFERROR(IF(ISNUMBER(INDEX(cfg_fac,MATCH(G528,cfg_units,0))),IF(INDEX(cfg_fac,MATCH(G528,cfg_units,0))&gt;0,INDEX(cfg_fac,MATCH(G528,cfg_units,0)),""),""),""))</f>
        <v/>
      </c>
      <c r="X528" s="96">
        <f>IF(AND(ISNUMBER(F528),ISNUMBER(H528)),IF(H528&gt;0,1,0),0)</f>
        <v>0</v>
      </c>
      <c r="Y528" s="96">
        <f>IF(Q528=0,0,IF(OR(T528=0,X528=0,NOT(ISNUMBER(E528)),AND(J528="Sim",L528="",M528=""),AND(ISNUMBER(E528),ISNUMBER(V528),N(V528)&gt;0,E528&lt;N(V528))),1,0))</f>
        <v>0</v>
      </c>
      <c r="Z528" s="96">
        <f>IF(AND(Q528=1,T528=1,X528=1,J528="Sim",OR(L528&lt;&gt;"",M528&lt;&gt;"")),1,0)</f>
        <v>0</v>
      </c>
      <c r="AA528" s="96">
        <f>IF(Q528=0,0,IF(AND(OR(r_ini="",AND(ISNUMBER(E528),E528&gt;=r_ini)),OR(r_fim="",AND(ISNUMBER(E528),E528&lt;=r_fim)),OR(r_un="",r_un="(Todas)",IF(N(U528)&gt;0,INDEX('MTRs'!$G$6:$G$505,U528),"")=r_un),OR(r_de="",r_de="(Todos)",D528=r_de)),1,0))</f>
        <v>0</v>
      </c>
      <c r="AB528" s="96" t="str">
        <f>IF(AA528=1,COUNTIF($AA$6:AA528,1),"")</f>
        <v/>
      </c>
    </row>
    <row r="529">
      <c r="A529" s="89" t="inlineStr">
        <is>
          <t>REC-000524</t>
        </is>
      </c>
      <c r="B529" s="94" t="str">
        <f>IF(T529=1,INDEX('ITENS_MTR'!$S$6:$S$1005,S529)&amp;"","")</f>
        <v/>
      </c>
      <c r="C529" s="91" t="n"/>
      <c r="D529" s="94" t="str">
        <f>IF(N(U529)&gt;0,INDEX('MTRs'!$I$6:$I$505,U529)&amp;"","")</f>
        <v/>
      </c>
      <c r="E529" s="92" t="n"/>
      <c r="F529" s="98" t="n"/>
      <c r="G529" s="91" t="n"/>
      <c r="H529" s="93" t="str">
        <f>IF(Q529=0,"",IF(NOT(ISNUMBER(F529)),"",IF(ISNUMBER(W529),F529*W529,"UNIDADE A CONFERIR")))</f>
        <v/>
      </c>
      <c r="I529" s="91" t="n"/>
      <c r="J529" s="91" t="n"/>
      <c r="K529" s="92" t="n"/>
      <c r="L529" s="91" t="n"/>
      <c r="M529" s="91" t="n"/>
      <c r="N529" s="91" t="n"/>
      <c r="O529" s="91" t="n"/>
      <c r="P529" s="94" t="str">
        <f>IF(Q529=0,"",IF(C529="","Item de resíduo não informado",IF(T529=0,"Item inexistente (referência inválida)",IF(NOT(ISNUMBER(F529)),"Quantidade não informada",IF(F529&lt;=0,"Quantidade não positiva",IF(G529="","Unidade não informada",IF(NOT(ISNUMBER(H529)),"Unidade a conferir",IF(NOT(ISNUMBER(E529)),"Data de recebimento não informada",IF(AND(ISNUMBER(V529),N(V529)&gt;0,E529&lt;N(V529)),"Data anterior à emissão do MTR",IF(AND(J529="Sim",L529="",M529=""),"Conferido sem evidência identificada",IF(J529&lt;&gt;"Sim","Aguardando conferência",IF(INDEX('ITENS_MTR'!$AM$6:$AM$1005,S529)=1,"Conferido (ver diferença no item)","Conferido"))))))))))))</f>
        <v/>
      </c>
      <c r="Q529" s="96">
        <f>IF(COUNTA(C529,E529:G529,I529:O529)&gt;0,1,0)</f>
        <v>0</v>
      </c>
      <c r="R529" s="96" t="str">
        <f>IF(C529="","",TRIM(LEFT(C529,FIND(" |",C529&amp;" |")-1)))</f>
        <v/>
      </c>
      <c r="S529" s="96" t="str">
        <f>IF(R529="","",IFERROR(MATCH(R529,'ITENS_MTR'!$A$6:$A$1005,0),""))</f>
        <v/>
      </c>
      <c r="T529" s="96">
        <f>IF(S529="",0,IF(INDEX('ITENS_MTR'!$R$6:$R$1005,S529)=1,1,0))</f>
        <v>0</v>
      </c>
      <c r="U529" s="96" t="str">
        <f>IF(T529=1,INDEX('ITENS_MTR'!$T$6:$T$1005,S529),"")</f>
        <v/>
      </c>
      <c r="V529" s="97" t="str">
        <f>IF(N(U529)&gt;0,INDEX('MTRs'!$E$6:$E$505,U529),"")</f>
        <v/>
      </c>
      <c r="W529" s="96" t="str">
        <f>IF(G529="","",IFERROR(IF(ISNUMBER(INDEX(cfg_fac,MATCH(G529,cfg_units,0))),IF(INDEX(cfg_fac,MATCH(G529,cfg_units,0))&gt;0,INDEX(cfg_fac,MATCH(G529,cfg_units,0)),""),""),""))</f>
        <v/>
      </c>
      <c r="X529" s="96">
        <f>IF(AND(ISNUMBER(F529),ISNUMBER(H529)),IF(H529&gt;0,1,0),0)</f>
        <v>0</v>
      </c>
      <c r="Y529" s="96">
        <f>IF(Q529=0,0,IF(OR(T529=0,X529=0,NOT(ISNUMBER(E529)),AND(J529="Sim",L529="",M529=""),AND(ISNUMBER(E529),ISNUMBER(V529),N(V529)&gt;0,E529&lt;N(V529))),1,0))</f>
        <v>0</v>
      </c>
      <c r="Z529" s="96">
        <f>IF(AND(Q529=1,T529=1,X529=1,J529="Sim",OR(L529&lt;&gt;"",M529&lt;&gt;"")),1,0)</f>
        <v>0</v>
      </c>
      <c r="AA529" s="96">
        <f>IF(Q529=0,0,IF(AND(OR(r_ini="",AND(ISNUMBER(E529),E529&gt;=r_ini)),OR(r_fim="",AND(ISNUMBER(E529),E529&lt;=r_fim)),OR(r_un="",r_un="(Todas)",IF(N(U529)&gt;0,INDEX('MTRs'!$G$6:$G$505,U529),"")=r_un),OR(r_de="",r_de="(Todos)",D529=r_de)),1,0))</f>
        <v>0</v>
      </c>
      <c r="AB529" s="96" t="str">
        <f>IF(AA529=1,COUNTIF($AA$6:AA529,1),"")</f>
        <v/>
      </c>
    </row>
    <row r="530">
      <c r="A530" s="89" t="inlineStr">
        <is>
          <t>REC-000525</t>
        </is>
      </c>
      <c r="B530" s="94" t="str">
        <f>IF(T530=1,INDEX('ITENS_MTR'!$S$6:$S$1005,S530)&amp;"","")</f>
        <v/>
      </c>
      <c r="C530" s="91" t="n"/>
      <c r="D530" s="94" t="str">
        <f>IF(N(U530)&gt;0,INDEX('MTRs'!$I$6:$I$505,U530)&amp;"","")</f>
        <v/>
      </c>
      <c r="E530" s="92" t="n"/>
      <c r="F530" s="98" t="n"/>
      <c r="G530" s="91" t="n"/>
      <c r="H530" s="93" t="str">
        <f>IF(Q530=0,"",IF(NOT(ISNUMBER(F530)),"",IF(ISNUMBER(W530),F530*W530,"UNIDADE A CONFERIR")))</f>
        <v/>
      </c>
      <c r="I530" s="91" t="n"/>
      <c r="J530" s="91" t="n"/>
      <c r="K530" s="92" t="n"/>
      <c r="L530" s="91" t="n"/>
      <c r="M530" s="91" t="n"/>
      <c r="N530" s="91" t="n"/>
      <c r="O530" s="91" t="n"/>
      <c r="P530" s="94" t="str">
        <f>IF(Q530=0,"",IF(C530="","Item de resíduo não informado",IF(T530=0,"Item inexistente (referência inválida)",IF(NOT(ISNUMBER(F530)),"Quantidade não informada",IF(F530&lt;=0,"Quantidade não positiva",IF(G530="","Unidade não informada",IF(NOT(ISNUMBER(H530)),"Unidade a conferir",IF(NOT(ISNUMBER(E530)),"Data de recebimento não informada",IF(AND(ISNUMBER(V530),N(V530)&gt;0,E530&lt;N(V530)),"Data anterior à emissão do MTR",IF(AND(J530="Sim",L530="",M530=""),"Conferido sem evidência identificada",IF(J530&lt;&gt;"Sim","Aguardando conferência",IF(INDEX('ITENS_MTR'!$AM$6:$AM$1005,S530)=1,"Conferido (ver diferença no item)","Conferido"))))))))))))</f>
        <v/>
      </c>
      <c r="Q530" s="96">
        <f>IF(COUNTA(C530,E530:G530,I530:O530)&gt;0,1,0)</f>
        <v>0</v>
      </c>
      <c r="R530" s="96" t="str">
        <f>IF(C530="","",TRIM(LEFT(C530,FIND(" |",C530&amp;" |")-1)))</f>
        <v/>
      </c>
      <c r="S530" s="96" t="str">
        <f>IF(R530="","",IFERROR(MATCH(R530,'ITENS_MTR'!$A$6:$A$1005,0),""))</f>
        <v/>
      </c>
      <c r="T530" s="96">
        <f>IF(S530="",0,IF(INDEX('ITENS_MTR'!$R$6:$R$1005,S530)=1,1,0))</f>
        <v>0</v>
      </c>
      <c r="U530" s="96" t="str">
        <f>IF(T530=1,INDEX('ITENS_MTR'!$T$6:$T$1005,S530),"")</f>
        <v/>
      </c>
      <c r="V530" s="97" t="str">
        <f>IF(N(U530)&gt;0,INDEX('MTRs'!$E$6:$E$505,U530),"")</f>
        <v/>
      </c>
      <c r="W530" s="96" t="str">
        <f>IF(G530="","",IFERROR(IF(ISNUMBER(INDEX(cfg_fac,MATCH(G530,cfg_units,0))),IF(INDEX(cfg_fac,MATCH(G530,cfg_units,0))&gt;0,INDEX(cfg_fac,MATCH(G530,cfg_units,0)),""),""),""))</f>
        <v/>
      </c>
      <c r="X530" s="96">
        <f>IF(AND(ISNUMBER(F530),ISNUMBER(H530)),IF(H530&gt;0,1,0),0)</f>
        <v>0</v>
      </c>
      <c r="Y530" s="96">
        <f>IF(Q530=0,0,IF(OR(T530=0,X530=0,NOT(ISNUMBER(E530)),AND(J530="Sim",L530="",M530=""),AND(ISNUMBER(E530),ISNUMBER(V530),N(V530)&gt;0,E530&lt;N(V530))),1,0))</f>
        <v>0</v>
      </c>
      <c r="Z530" s="96">
        <f>IF(AND(Q530=1,T530=1,X530=1,J530="Sim",OR(L530&lt;&gt;"",M530&lt;&gt;"")),1,0)</f>
        <v>0</v>
      </c>
      <c r="AA530" s="96">
        <f>IF(Q530=0,0,IF(AND(OR(r_ini="",AND(ISNUMBER(E530),E530&gt;=r_ini)),OR(r_fim="",AND(ISNUMBER(E530),E530&lt;=r_fim)),OR(r_un="",r_un="(Todas)",IF(N(U530)&gt;0,INDEX('MTRs'!$G$6:$G$505,U530),"")=r_un),OR(r_de="",r_de="(Todos)",D530=r_de)),1,0))</f>
        <v>0</v>
      </c>
      <c r="AB530" s="96" t="str">
        <f>IF(AA530=1,COUNTIF($AA$6:AA530,1),"")</f>
        <v/>
      </c>
    </row>
    <row r="531">
      <c r="A531" s="89" t="inlineStr">
        <is>
          <t>REC-000526</t>
        </is>
      </c>
      <c r="B531" s="94" t="str">
        <f>IF(T531=1,INDEX('ITENS_MTR'!$S$6:$S$1005,S531)&amp;"","")</f>
        <v/>
      </c>
      <c r="C531" s="91" t="n"/>
      <c r="D531" s="94" t="str">
        <f>IF(N(U531)&gt;0,INDEX('MTRs'!$I$6:$I$505,U531)&amp;"","")</f>
        <v/>
      </c>
      <c r="E531" s="92" t="n"/>
      <c r="F531" s="98" t="n"/>
      <c r="G531" s="91" t="n"/>
      <c r="H531" s="93" t="str">
        <f>IF(Q531=0,"",IF(NOT(ISNUMBER(F531)),"",IF(ISNUMBER(W531),F531*W531,"UNIDADE A CONFERIR")))</f>
        <v/>
      </c>
      <c r="I531" s="91" t="n"/>
      <c r="J531" s="91" t="n"/>
      <c r="K531" s="92" t="n"/>
      <c r="L531" s="91" t="n"/>
      <c r="M531" s="91" t="n"/>
      <c r="N531" s="91" t="n"/>
      <c r="O531" s="91" t="n"/>
      <c r="P531" s="94" t="str">
        <f>IF(Q531=0,"",IF(C531="","Item de resíduo não informado",IF(T531=0,"Item inexistente (referência inválida)",IF(NOT(ISNUMBER(F531)),"Quantidade não informada",IF(F531&lt;=0,"Quantidade não positiva",IF(G531="","Unidade não informada",IF(NOT(ISNUMBER(H531)),"Unidade a conferir",IF(NOT(ISNUMBER(E531)),"Data de recebimento não informada",IF(AND(ISNUMBER(V531),N(V531)&gt;0,E531&lt;N(V531)),"Data anterior à emissão do MTR",IF(AND(J531="Sim",L531="",M531=""),"Conferido sem evidência identificada",IF(J531&lt;&gt;"Sim","Aguardando conferência",IF(INDEX('ITENS_MTR'!$AM$6:$AM$1005,S531)=1,"Conferido (ver diferença no item)","Conferido"))))))))))))</f>
        <v/>
      </c>
      <c r="Q531" s="96">
        <f>IF(COUNTA(C531,E531:G531,I531:O531)&gt;0,1,0)</f>
        <v>0</v>
      </c>
      <c r="R531" s="96" t="str">
        <f>IF(C531="","",TRIM(LEFT(C531,FIND(" |",C531&amp;" |")-1)))</f>
        <v/>
      </c>
      <c r="S531" s="96" t="str">
        <f>IF(R531="","",IFERROR(MATCH(R531,'ITENS_MTR'!$A$6:$A$1005,0),""))</f>
        <v/>
      </c>
      <c r="T531" s="96">
        <f>IF(S531="",0,IF(INDEX('ITENS_MTR'!$R$6:$R$1005,S531)=1,1,0))</f>
        <v>0</v>
      </c>
      <c r="U531" s="96" t="str">
        <f>IF(T531=1,INDEX('ITENS_MTR'!$T$6:$T$1005,S531),"")</f>
        <v/>
      </c>
      <c r="V531" s="97" t="str">
        <f>IF(N(U531)&gt;0,INDEX('MTRs'!$E$6:$E$505,U531),"")</f>
        <v/>
      </c>
      <c r="W531" s="96" t="str">
        <f>IF(G531="","",IFERROR(IF(ISNUMBER(INDEX(cfg_fac,MATCH(G531,cfg_units,0))),IF(INDEX(cfg_fac,MATCH(G531,cfg_units,0))&gt;0,INDEX(cfg_fac,MATCH(G531,cfg_units,0)),""),""),""))</f>
        <v/>
      </c>
      <c r="X531" s="96">
        <f>IF(AND(ISNUMBER(F531),ISNUMBER(H531)),IF(H531&gt;0,1,0),0)</f>
        <v>0</v>
      </c>
      <c r="Y531" s="96">
        <f>IF(Q531=0,0,IF(OR(T531=0,X531=0,NOT(ISNUMBER(E531)),AND(J531="Sim",L531="",M531=""),AND(ISNUMBER(E531),ISNUMBER(V531),N(V531)&gt;0,E531&lt;N(V531))),1,0))</f>
        <v>0</v>
      </c>
      <c r="Z531" s="96">
        <f>IF(AND(Q531=1,T531=1,X531=1,J531="Sim",OR(L531&lt;&gt;"",M531&lt;&gt;"")),1,0)</f>
        <v>0</v>
      </c>
      <c r="AA531" s="96">
        <f>IF(Q531=0,0,IF(AND(OR(r_ini="",AND(ISNUMBER(E531),E531&gt;=r_ini)),OR(r_fim="",AND(ISNUMBER(E531),E531&lt;=r_fim)),OR(r_un="",r_un="(Todas)",IF(N(U531)&gt;0,INDEX('MTRs'!$G$6:$G$505,U531),"")=r_un),OR(r_de="",r_de="(Todos)",D531=r_de)),1,0))</f>
        <v>0</v>
      </c>
      <c r="AB531" s="96" t="str">
        <f>IF(AA531=1,COUNTIF($AA$6:AA531,1),"")</f>
        <v/>
      </c>
    </row>
    <row r="532">
      <c r="A532" s="89" t="inlineStr">
        <is>
          <t>REC-000527</t>
        </is>
      </c>
      <c r="B532" s="94" t="str">
        <f>IF(T532=1,INDEX('ITENS_MTR'!$S$6:$S$1005,S532)&amp;"","")</f>
        <v/>
      </c>
      <c r="C532" s="91" t="n"/>
      <c r="D532" s="94" t="str">
        <f>IF(N(U532)&gt;0,INDEX('MTRs'!$I$6:$I$505,U532)&amp;"","")</f>
        <v/>
      </c>
      <c r="E532" s="92" t="n"/>
      <c r="F532" s="98" t="n"/>
      <c r="G532" s="91" t="n"/>
      <c r="H532" s="93" t="str">
        <f>IF(Q532=0,"",IF(NOT(ISNUMBER(F532)),"",IF(ISNUMBER(W532),F532*W532,"UNIDADE A CONFERIR")))</f>
        <v/>
      </c>
      <c r="I532" s="91" t="n"/>
      <c r="J532" s="91" t="n"/>
      <c r="K532" s="92" t="n"/>
      <c r="L532" s="91" t="n"/>
      <c r="M532" s="91" t="n"/>
      <c r="N532" s="91" t="n"/>
      <c r="O532" s="91" t="n"/>
      <c r="P532" s="94" t="str">
        <f>IF(Q532=0,"",IF(C532="","Item de resíduo não informado",IF(T532=0,"Item inexistente (referência inválida)",IF(NOT(ISNUMBER(F532)),"Quantidade não informada",IF(F532&lt;=0,"Quantidade não positiva",IF(G532="","Unidade não informada",IF(NOT(ISNUMBER(H532)),"Unidade a conferir",IF(NOT(ISNUMBER(E532)),"Data de recebimento não informada",IF(AND(ISNUMBER(V532),N(V532)&gt;0,E532&lt;N(V532)),"Data anterior à emissão do MTR",IF(AND(J532="Sim",L532="",M532=""),"Conferido sem evidência identificada",IF(J532&lt;&gt;"Sim","Aguardando conferência",IF(INDEX('ITENS_MTR'!$AM$6:$AM$1005,S532)=1,"Conferido (ver diferença no item)","Conferido"))))))))))))</f>
        <v/>
      </c>
      <c r="Q532" s="96">
        <f>IF(COUNTA(C532,E532:G532,I532:O532)&gt;0,1,0)</f>
        <v>0</v>
      </c>
      <c r="R532" s="96" t="str">
        <f>IF(C532="","",TRIM(LEFT(C532,FIND(" |",C532&amp;" |")-1)))</f>
        <v/>
      </c>
      <c r="S532" s="96" t="str">
        <f>IF(R532="","",IFERROR(MATCH(R532,'ITENS_MTR'!$A$6:$A$1005,0),""))</f>
        <v/>
      </c>
      <c r="T532" s="96">
        <f>IF(S532="",0,IF(INDEX('ITENS_MTR'!$R$6:$R$1005,S532)=1,1,0))</f>
        <v>0</v>
      </c>
      <c r="U532" s="96" t="str">
        <f>IF(T532=1,INDEX('ITENS_MTR'!$T$6:$T$1005,S532),"")</f>
        <v/>
      </c>
      <c r="V532" s="97" t="str">
        <f>IF(N(U532)&gt;0,INDEX('MTRs'!$E$6:$E$505,U532),"")</f>
        <v/>
      </c>
      <c r="W532" s="96" t="str">
        <f>IF(G532="","",IFERROR(IF(ISNUMBER(INDEX(cfg_fac,MATCH(G532,cfg_units,0))),IF(INDEX(cfg_fac,MATCH(G532,cfg_units,0))&gt;0,INDEX(cfg_fac,MATCH(G532,cfg_units,0)),""),""),""))</f>
        <v/>
      </c>
      <c r="X532" s="96">
        <f>IF(AND(ISNUMBER(F532),ISNUMBER(H532)),IF(H532&gt;0,1,0),0)</f>
        <v>0</v>
      </c>
      <c r="Y532" s="96">
        <f>IF(Q532=0,0,IF(OR(T532=0,X532=0,NOT(ISNUMBER(E532)),AND(J532="Sim",L532="",M532=""),AND(ISNUMBER(E532),ISNUMBER(V532),N(V532)&gt;0,E532&lt;N(V532))),1,0))</f>
        <v>0</v>
      </c>
      <c r="Z532" s="96">
        <f>IF(AND(Q532=1,T532=1,X532=1,J532="Sim",OR(L532&lt;&gt;"",M532&lt;&gt;"")),1,0)</f>
        <v>0</v>
      </c>
      <c r="AA532" s="96">
        <f>IF(Q532=0,0,IF(AND(OR(r_ini="",AND(ISNUMBER(E532),E532&gt;=r_ini)),OR(r_fim="",AND(ISNUMBER(E532),E532&lt;=r_fim)),OR(r_un="",r_un="(Todas)",IF(N(U532)&gt;0,INDEX('MTRs'!$G$6:$G$505,U532),"")=r_un),OR(r_de="",r_de="(Todos)",D532=r_de)),1,0))</f>
        <v>0</v>
      </c>
      <c r="AB532" s="96" t="str">
        <f>IF(AA532=1,COUNTIF($AA$6:AA532,1),"")</f>
        <v/>
      </c>
    </row>
    <row r="533">
      <c r="A533" s="89" t="inlineStr">
        <is>
          <t>REC-000528</t>
        </is>
      </c>
      <c r="B533" s="94" t="str">
        <f>IF(T533=1,INDEX('ITENS_MTR'!$S$6:$S$1005,S533)&amp;"","")</f>
        <v/>
      </c>
      <c r="C533" s="91" t="n"/>
      <c r="D533" s="94" t="str">
        <f>IF(N(U533)&gt;0,INDEX('MTRs'!$I$6:$I$505,U533)&amp;"","")</f>
        <v/>
      </c>
      <c r="E533" s="92" t="n"/>
      <c r="F533" s="98" t="n"/>
      <c r="G533" s="91" t="n"/>
      <c r="H533" s="93" t="str">
        <f>IF(Q533=0,"",IF(NOT(ISNUMBER(F533)),"",IF(ISNUMBER(W533),F533*W533,"UNIDADE A CONFERIR")))</f>
        <v/>
      </c>
      <c r="I533" s="91" t="n"/>
      <c r="J533" s="91" t="n"/>
      <c r="K533" s="92" t="n"/>
      <c r="L533" s="91" t="n"/>
      <c r="M533" s="91" t="n"/>
      <c r="N533" s="91" t="n"/>
      <c r="O533" s="91" t="n"/>
      <c r="P533" s="94" t="str">
        <f>IF(Q533=0,"",IF(C533="","Item de resíduo não informado",IF(T533=0,"Item inexistente (referência inválida)",IF(NOT(ISNUMBER(F533)),"Quantidade não informada",IF(F533&lt;=0,"Quantidade não positiva",IF(G533="","Unidade não informada",IF(NOT(ISNUMBER(H533)),"Unidade a conferir",IF(NOT(ISNUMBER(E533)),"Data de recebimento não informada",IF(AND(ISNUMBER(V533),N(V533)&gt;0,E533&lt;N(V533)),"Data anterior à emissão do MTR",IF(AND(J533="Sim",L533="",M533=""),"Conferido sem evidência identificada",IF(J533&lt;&gt;"Sim","Aguardando conferência",IF(INDEX('ITENS_MTR'!$AM$6:$AM$1005,S533)=1,"Conferido (ver diferença no item)","Conferido"))))))))))))</f>
        <v/>
      </c>
      <c r="Q533" s="96">
        <f>IF(COUNTA(C533,E533:G533,I533:O533)&gt;0,1,0)</f>
        <v>0</v>
      </c>
      <c r="R533" s="96" t="str">
        <f>IF(C533="","",TRIM(LEFT(C533,FIND(" |",C533&amp;" |")-1)))</f>
        <v/>
      </c>
      <c r="S533" s="96" t="str">
        <f>IF(R533="","",IFERROR(MATCH(R533,'ITENS_MTR'!$A$6:$A$1005,0),""))</f>
        <v/>
      </c>
      <c r="T533" s="96">
        <f>IF(S533="",0,IF(INDEX('ITENS_MTR'!$R$6:$R$1005,S533)=1,1,0))</f>
        <v>0</v>
      </c>
      <c r="U533" s="96" t="str">
        <f>IF(T533=1,INDEX('ITENS_MTR'!$T$6:$T$1005,S533),"")</f>
        <v/>
      </c>
      <c r="V533" s="97" t="str">
        <f>IF(N(U533)&gt;0,INDEX('MTRs'!$E$6:$E$505,U533),"")</f>
        <v/>
      </c>
      <c r="W533" s="96" t="str">
        <f>IF(G533="","",IFERROR(IF(ISNUMBER(INDEX(cfg_fac,MATCH(G533,cfg_units,0))),IF(INDEX(cfg_fac,MATCH(G533,cfg_units,0))&gt;0,INDEX(cfg_fac,MATCH(G533,cfg_units,0)),""),""),""))</f>
        <v/>
      </c>
      <c r="X533" s="96">
        <f>IF(AND(ISNUMBER(F533),ISNUMBER(H533)),IF(H533&gt;0,1,0),0)</f>
        <v>0</v>
      </c>
      <c r="Y533" s="96">
        <f>IF(Q533=0,0,IF(OR(T533=0,X533=0,NOT(ISNUMBER(E533)),AND(J533="Sim",L533="",M533=""),AND(ISNUMBER(E533),ISNUMBER(V533),N(V533)&gt;0,E533&lt;N(V533))),1,0))</f>
        <v>0</v>
      </c>
      <c r="Z533" s="96">
        <f>IF(AND(Q533=1,T533=1,X533=1,J533="Sim",OR(L533&lt;&gt;"",M533&lt;&gt;"")),1,0)</f>
        <v>0</v>
      </c>
      <c r="AA533" s="96">
        <f>IF(Q533=0,0,IF(AND(OR(r_ini="",AND(ISNUMBER(E533),E533&gt;=r_ini)),OR(r_fim="",AND(ISNUMBER(E533),E533&lt;=r_fim)),OR(r_un="",r_un="(Todas)",IF(N(U533)&gt;0,INDEX('MTRs'!$G$6:$G$505,U533),"")=r_un),OR(r_de="",r_de="(Todos)",D533=r_de)),1,0))</f>
        <v>0</v>
      </c>
      <c r="AB533" s="96" t="str">
        <f>IF(AA533=1,COUNTIF($AA$6:AA533,1),"")</f>
        <v/>
      </c>
    </row>
    <row r="534">
      <c r="A534" s="89" t="inlineStr">
        <is>
          <t>REC-000529</t>
        </is>
      </c>
      <c r="B534" s="94" t="str">
        <f>IF(T534=1,INDEX('ITENS_MTR'!$S$6:$S$1005,S534)&amp;"","")</f>
        <v/>
      </c>
      <c r="C534" s="91" t="n"/>
      <c r="D534" s="94" t="str">
        <f>IF(N(U534)&gt;0,INDEX('MTRs'!$I$6:$I$505,U534)&amp;"","")</f>
        <v/>
      </c>
      <c r="E534" s="92" t="n"/>
      <c r="F534" s="98" t="n"/>
      <c r="G534" s="91" t="n"/>
      <c r="H534" s="93" t="str">
        <f>IF(Q534=0,"",IF(NOT(ISNUMBER(F534)),"",IF(ISNUMBER(W534),F534*W534,"UNIDADE A CONFERIR")))</f>
        <v/>
      </c>
      <c r="I534" s="91" t="n"/>
      <c r="J534" s="91" t="n"/>
      <c r="K534" s="92" t="n"/>
      <c r="L534" s="91" t="n"/>
      <c r="M534" s="91" t="n"/>
      <c r="N534" s="91" t="n"/>
      <c r="O534" s="91" t="n"/>
      <c r="P534" s="94" t="str">
        <f>IF(Q534=0,"",IF(C534="","Item de resíduo não informado",IF(T534=0,"Item inexistente (referência inválida)",IF(NOT(ISNUMBER(F534)),"Quantidade não informada",IF(F534&lt;=0,"Quantidade não positiva",IF(G534="","Unidade não informada",IF(NOT(ISNUMBER(H534)),"Unidade a conferir",IF(NOT(ISNUMBER(E534)),"Data de recebimento não informada",IF(AND(ISNUMBER(V534),N(V534)&gt;0,E534&lt;N(V534)),"Data anterior à emissão do MTR",IF(AND(J534="Sim",L534="",M534=""),"Conferido sem evidência identificada",IF(J534&lt;&gt;"Sim","Aguardando conferência",IF(INDEX('ITENS_MTR'!$AM$6:$AM$1005,S534)=1,"Conferido (ver diferença no item)","Conferido"))))))))))))</f>
        <v/>
      </c>
      <c r="Q534" s="96">
        <f>IF(COUNTA(C534,E534:G534,I534:O534)&gt;0,1,0)</f>
        <v>0</v>
      </c>
      <c r="R534" s="96" t="str">
        <f>IF(C534="","",TRIM(LEFT(C534,FIND(" |",C534&amp;" |")-1)))</f>
        <v/>
      </c>
      <c r="S534" s="96" t="str">
        <f>IF(R534="","",IFERROR(MATCH(R534,'ITENS_MTR'!$A$6:$A$1005,0),""))</f>
        <v/>
      </c>
      <c r="T534" s="96">
        <f>IF(S534="",0,IF(INDEX('ITENS_MTR'!$R$6:$R$1005,S534)=1,1,0))</f>
        <v>0</v>
      </c>
      <c r="U534" s="96" t="str">
        <f>IF(T534=1,INDEX('ITENS_MTR'!$T$6:$T$1005,S534),"")</f>
        <v/>
      </c>
      <c r="V534" s="97" t="str">
        <f>IF(N(U534)&gt;0,INDEX('MTRs'!$E$6:$E$505,U534),"")</f>
        <v/>
      </c>
      <c r="W534" s="96" t="str">
        <f>IF(G534="","",IFERROR(IF(ISNUMBER(INDEX(cfg_fac,MATCH(G534,cfg_units,0))),IF(INDEX(cfg_fac,MATCH(G534,cfg_units,0))&gt;0,INDEX(cfg_fac,MATCH(G534,cfg_units,0)),""),""),""))</f>
        <v/>
      </c>
      <c r="X534" s="96">
        <f>IF(AND(ISNUMBER(F534),ISNUMBER(H534)),IF(H534&gt;0,1,0),0)</f>
        <v>0</v>
      </c>
      <c r="Y534" s="96">
        <f>IF(Q534=0,0,IF(OR(T534=0,X534=0,NOT(ISNUMBER(E534)),AND(J534="Sim",L534="",M534=""),AND(ISNUMBER(E534),ISNUMBER(V534),N(V534)&gt;0,E534&lt;N(V534))),1,0))</f>
        <v>0</v>
      </c>
      <c r="Z534" s="96">
        <f>IF(AND(Q534=1,T534=1,X534=1,J534="Sim",OR(L534&lt;&gt;"",M534&lt;&gt;"")),1,0)</f>
        <v>0</v>
      </c>
      <c r="AA534" s="96">
        <f>IF(Q534=0,0,IF(AND(OR(r_ini="",AND(ISNUMBER(E534),E534&gt;=r_ini)),OR(r_fim="",AND(ISNUMBER(E534),E534&lt;=r_fim)),OR(r_un="",r_un="(Todas)",IF(N(U534)&gt;0,INDEX('MTRs'!$G$6:$G$505,U534),"")=r_un),OR(r_de="",r_de="(Todos)",D534=r_de)),1,0))</f>
        <v>0</v>
      </c>
      <c r="AB534" s="96" t="str">
        <f>IF(AA534=1,COUNTIF($AA$6:AA534,1),"")</f>
        <v/>
      </c>
    </row>
    <row r="535">
      <c r="A535" s="89" t="inlineStr">
        <is>
          <t>REC-000530</t>
        </is>
      </c>
      <c r="B535" s="94" t="str">
        <f>IF(T535=1,INDEX('ITENS_MTR'!$S$6:$S$1005,S535)&amp;"","")</f>
        <v/>
      </c>
      <c r="C535" s="91" t="n"/>
      <c r="D535" s="94" t="str">
        <f>IF(N(U535)&gt;0,INDEX('MTRs'!$I$6:$I$505,U535)&amp;"","")</f>
        <v/>
      </c>
      <c r="E535" s="92" t="n"/>
      <c r="F535" s="98" t="n"/>
      <c r="G535" s="91" t="n"/>
      <c r="H535" s="93" t="str">
        <f>IF(Q535=0,"",IF(NOT(ISNUMBER(F535)),"",IF(ISNUMBER(W535),F535*W535,"UNIDADE A CONFERIR")))</f>
        <v/>
      </c>
      <c r="I535" s="91" t="n"/>
      <c r="J535" s="91" t="n"/>
      <c r="K535" s="92" t="n"/>
      <c r="L535" s="91" t="n"/>
      <c r="M535" s="91" t="n"/>
      <c r="N535" s="91" t="n"/>
      <c r="O535" s="91" t="n"/>
      <c r="P535" s="94" t="str">
        <f>IF(Q535=0,"",IF(C535="","Item de resíduo não informado",IF(T535=0,"Item inexistente (referência inválida)",IF(NOT(ISNUMBER(F535)),"Quantidade não informada",IF(F535&lt;=0,"Quantidade não positiva",IF(G535="","Unidade não informada",IF(NOT(ISNUMBER(H535)),"Unidade a conferir",IF(NOT(ISNUMBER(E535)),"Data de recebimento não informada",IF(AND(ISNUMBER(V535),N(V535)&gt;0,E535&lt;N(V535)),"Data anterior à emissão do MTR",IF(AND(J535="Sim",L535="",M535=""),"Conferido sem evidência identificada",IF(J535&lt;&gt;"Sim","Aguardando conferência",IF(INDEX('ITENS_MTR'!$AM$6:$AM$1005,S535)=1,"Conferido (ver diferença no item)","Conferido"))))))))))))</f>
        <v/>
      </c>
      <c r="Q535" s="96">
        <f>IF(COUNTA(C535,E535:G535,I535:O535)&gt;0,1,0)</f>
        <v>0</v>
      </c>
      <c r="R535" s="96" t="str">
        <f>IF(C535="","",TRIM(LEFT(C535,FIND(" |",C535&amp;" |")-1)))</f>
        <v/>
      </c>
      <c r="S535" s="96" t="str">
        <f>IF(R535="","",IFERROR(MATCH(R535,'ITENS_MTR'!$A$6:$A$1005,0),""))</f>
        <v/>
      </c>
      <c r="T535" s="96">
        <f>IF(S535="",0,IF(INDEX('ITENS_MTR'!$R$6:$R$1005,S535)=1,1,0))</f>
        <v>0</v>
      </c>
      <c r="U535" s="96" t="str">
        <f>IF(T535=1,INDEX('ITENS_MTR'!$T$6:$T$1005,S535),"")</f>
        <v/>
      </c>
      <c r="V535" s="97" t="str">
        <f>IF(N(U535)&gt;0,INDEX('MTRs'!$E$6:$E$505,U535),"")</f>
        <v/>
      </c>
      <c r="W535" s="96" t="str">
        <f>IF(G535="","",IFERROR(IF(ISNUMBER(INDEX(cfg_fac,MATCH(G535,cfg_units,0))),IF(INDEX(cfg_fac,MATCH(G535,cfg_units,0))&gt;0,INDEX(cfg_fac,MATCH(G535,cfg_units,0)),""),""),""))</f>
        <v/>
      </c>
      <c r="X535" s="96">
        <f>IF(AND(ISNUMBER(F535),ISNUMBER(H535)),IF(H535&gt;0,1,0),0)</f>
        <v>0</v>
      </c>
      <c r="Y535" s="96">
        <f>IF(Q535=0,0,IF(OR(T535=0,X535=0,NOT(ISNUMBER(E535)),AND(J535="Sim",L535="",M535=""),AND(ISNUMBER(E535),ISNUMBER(V535),N(V535)&gt;0,E535&lt;N(V535))),1,0))</f>
        <v>0</v>
      </c>
      <c r="Z535" s="96">
        <f>IF(AND(Q535=1,T535=1,X535=1,J535="Sim",OR(L535&lt;&gt;"",M535&lt;&gt;"")),1,0)</f>
        <v>0</v>
      </c>
      <c r="AA535" s="96">
        <f>IF(Q535=0,0,IF(AND(OR(r_ini="",AND(ISNUMBER(E535),E535&gt;=r_ini)),OR(r_fim="",AND(ISNUMBER(E535),E535&lt;=r_fim)),OR(r_un="",r_un="(Todas)",IF(N(U535)&gt;0,INDEX('MTRs'!$G$6:$G$505,U535),"")=r_un),OR(r_de="",r_de="(Todos)",D535=r_de)),1,0))</f>
        <v>0</v>
      </c>
      <c r="AB535" s="96" t="str">
        <f>IF(AA535=1,COUNTIF($AA$6:AA535,1),"")</f>
        <v/>
      </c>
    </row>
    <row r="536">
      <c r="A536" s="89" t="inlineStr">
        <is>
          <t>REC-000531</t>
        </is>
      </c>
      <c r="B536" s="94" t="str">
        <f>IF(T536=1,INDEX('ITENS_MTR'!$S$6:$S$1005,S536)&amp;"","")</f>
        <v/>
      </c>
      <c r="C536" s="91" t="n"/>
      <c r="D536" s="94" t="str">
        <f>IF(N(U536)&gt;0,INDEX('MTRs'!$I$6:$I$505,U536)&amp;"","")</f>
        <v/>
      </c>
      <c r="E536" s="92" t="n"/>
      <c r="F536" s="98" t="n"/>
      <c r="G536" s="91" t="n"/>
      <c r="H536" s="93" t="str">
        <f>IF(Q536=0,"",IF(NOT(ISNUMBER(F536)),"",IF(ISNUMBER(W536),F536*W536,"UNIDADE A CONFERIR")))</f>
        <v/>
      </c>
      <c r="I536" s="91" t="n"/>
      <c r="J536" s="91" t="n"/>
      <c r="K536" s="92" t="n"/>
      <c r="L536" s="91" t="n"/>
      <c r="M536" s="91" t="n"/>
      <c r="N536" s="91" t="n"/>
      <c r="O536" s="91" t="n"/>
      <c r="P536" s="94" t="str">
        <f>IF(Q536=0,"",IF(C536="","Item de resíduo não informado",IF(T536=0,"Item inexistente (referência inválida)",IF(NOT(ISNUMBER(F536)),"Quantidade não informada",IF(F536&lt;=0,"Quantidade não positiva",IF(G536="","Unidade não informada",IF(NOT(ISNUMBER(H536)),"Unidade a conferir",IF(NOT(ISNUMBER(E536)),"Data de recebimento não informada",IF(AND(ISNUMBER(V536),N(V536)&gt;0,E536&lt;N(V536)),"Data anterior à emissão do MTR",IF(AND(J536="Sim",L536="",M536=""),"Conferido sem evidência identificada",IF(J536&lt;&gt;"Sim","Aguardando conferência",IF(INDEX('ITENS_MTR'!$AM$6:$AM$1005,S536)=1,"Conferido (ver diferença no item)","Conferido"))))))))))))</f>
        <v/>
      </c>
      <c r="Q536" s="96">
        <f>IF(COUNTA(C536,E536:G536,I536:O536)&gt;0,1,0)</f>
        <v>0</v>
      </c>
      <c r="R536" s="96" t="str">
        <f>IF(C536="","",TRIM(LEFT(C536,FIND(" |",C536&amp;" |")-1)))</f>
        <v/>
      </c>
      <c r="S536" s="96" t="str">
        <f>IF(R536="","",IFERROR(MATCH(R536,'ITENS_MTR'!$A$6:$A$1005,0),""))</f>
        <v/>
      </c>
      <c r="T536" s="96">
        <f>IF(S536="",0,IF(INDEX('ITENS_MTR'!$R$6:$R$1005,S536)=1,1,0))</f>
        <v>0</v>
      </c>
      <c r="U536" s="96" t="str">
        <f>IF(T536=1,INDEX('ITENS_MTR'!$T$6:$T$1005,S536),"")</f>
        <v/>
      </c>
      <c r="V536" s="97" t="str">
        <f>IF(N(U536)&gt;0,INDEX('MTRs'!$E$6:$E$505,U536),"")</f>
        <v/>
      </c>
      <c r="W536" s="96" t="str">
        <f>IF(G536="","",IFERROR(IF(ISNUMBER(INDEX(cfg_fac,MATCH(G536,cfg_units,0))),IF(INDEX(cfg_fac,MATCH(G536,cfg_units,0))&gt;0,INDEX(cfg_fac,MATCH(G536,cfg_units,0)),""),""),""))</f>
        <v/>
      </c>
      <c r="X536" s="96">
        <f>IF(AND(ISNUMBER(F536),ISNUMBER(H536)),IF(H536&gt;0,1,0),0)</f>
        <v>0</v>
      </c>
      <c r="Y536" s="96">
        <f>IF(Q536=0,0,IF(OR(T536=0,X536=0,NOT(ISNUMBER(E536)),AND(J536="Sim",L536="",M536=""),AND(ISNUMBER(E536),ISNUMBER(V536),N(V536)&gt;0,E536&lt;N(V536))),1,0))</f>
        <v>0</v>
      </c>
      <c r="Z536" s="96">
        <f>IF(AND(Q536=1,T536=1,X536=1,J536="Sim",OR(L536&lt;&gt;"",M536&lt;&gt;"")),1,0)</f>
        <v>0</v>
      </c>
      <c r="AA536" s="96">
        <f>IF(Q536=0,0,IF(AND(OR(r_ini="",AND(ISNUMBER(E536),E536&gt;=r_ini)),OR(r_fim="",AND(ISNUMBER(E536),E536&lt;=r_fim)),OR(r_un="",r_un="(Todas)",IF(N(U536)&gt;0,INDEX('MTRs'!$G$6:$G$505,U536),"")=r_un),OR(r_de="",r_de="(Todos)",D536=r_de)),1,0))</f>
        <v>0</v>
      </c>
      <c r="AB536" s="96" t="str">
        <f>IF(AA536=1,COUNTIF($AA$6:AA536,1),"")</f>
        <v/>
      </c>
    </row>
    <row r="537">
      <c r="A537" s="89" t="inlineStr">
        <is>
          <t>REC-000532</t>
        </is>
      </c>
      <c r="B537" s="94" t="str">
        <f>IF(T537=1,INDEX('ITENS_MTR'!$S$6:$S$1005,S537)&amp;"","")</f>
        <v/>
      </c>
      <c r="C537" s="91" t="n"/>
      <c r="D537" s="94" t="str">
        <f>IF(N(U537)&gt;0,INDEX('MTRs'!$I$6:$I$505,U537)&amp;"","")</f>
        <v/>
      </c>
      <c r="E537" s="92" t="n"/>
      <c r="F537" s="98" t="n"/>
      <c r="G537" s="91" t="n"/>
      <c r="H537" s="93" t="str">
        <f>IF(Q537=0,"",IF(NOT(ISNUMBER(F537)),"",IF(ISNUMBER(W537),F537*W537,"UNIDADE A CONFERIR")))</f>
        <v/>
      </c>
      <c r="I537" s="91" t="n"/>
      <c r="J537" s="91" t="n"/>
      <c r="K537" s="92" t="n"/>
      <c r="L537" s="91" t="n"/>
      <c r="M537" s="91" t="n"/>
      <c r="N537" s="91" t="n"/>
      <c r="O537" s="91" t="n"/>
      <c r="P537" s="94" t="str">
        <f>IF(Q537=0,"",IF(C537="","Item de resíduo não informado",IF(T537=0,"Item inexistente (referência inválida)",IF(NOT(ISNUMBER(F537)),"Quantidade não informada",IF(F537&lt;=0,"Quantidade não positiva",IF(G537="","Unidade não informada",IF(NOT(ISNUMBER(H537)),"Unidade a conferir",IF(NOT(ISNUMBER(E537)),"Data de recebimento não informada",IF(AND(ISNUMBER(V537),N(V537)&gt;0,E537&lt;N(V537)),"Data anterior à emissão do MTR",IF(AND(J537="Sim",L537="",M537=""),"Conferido sem evidência identificada",IF(J537&lt;&gt;"Sim","Aguardando conferência",IF(INDEX('ITENS_MTR'!$AM$6:$AM$1005,S537)=1,"Conferido (ver diferença no item)","Conferido"))))))))))))</f>
        <v/>
      </c>
      <c r="Q537" s="96">
        <f>IF(COUNTA(C537,E537:G537,I537:O537)&gt;0,1,0)</f>
        <v>0</v>
      </c>
      <c r="R537" s="96" t="str">
        <f>IF(C537="","",TRIM(LEFT(C537,FIND(" |",C537&amp;" |")-1)))</f>
        <v/>
      </c>
      <c r="S537" s="96" t="str">
        <f>IF(R537="","",IFERROR(MATCH(R537,'ITENS_MTR'!$A$6:$A$1005,0),""))</f>
        <v/>
      </c>
      <c r="T537" s="96">
        <f>IF(S537="",0,IF(INDEX('ITENS_MTR'!$R$6:$R$1005,S537)=1,1,0))</f>
        <v>0</v>
      </c>
      <c r="U537" s="96" t="str">
        <f>IF(T537=1,INDEX('ITENS_MTR'!$T$6:$T$1005,S537),"")</f>
        <v/>
      </c>
      <c r="V537" s="97" t="str">
        <f>IF(N(U537)&gt;0,INDEX('MTRs'!$E$6:$E$505,U537),"")</f>
        <v/>
      </c>
      <c r="W537" s="96" t="str">
        <f>IF(G537="","",IFERROR(IF(ISNUMBER(INDEX(cfg_fac,MATCH(G537,cfg_units,0))),IF(INDEX(cfg_fac,MATCH(G537,cfg_units,0))&gt;0,INDEX(cfg_fac,MATCH(G537,cfg_units,0)),""),""),""))</f>
        <v/>
      </c>
      <c r="X537" s="96">
        <f>IF(AND(ISNUMBER(F537),ISNUMBER(H537)),IF(H537&gt;0,1,0),0)</f>
        <v>0</v>
      </c>
      <c r="Y537" s="96">
        <f>IF(Q537=0,0,IF(OR(T537=0,X537=0,NOT(ISNUMBER(E537)),AND(J537="Sim",L537="",M537=""),AND(ISNUMBER(E537),ISNUMBER(V537),N(V537)&gt;0,E537&lt;N(V537))),1,0))</f>
        <v>0</v>
      </c>
      <c r="Z537" s="96">
        <f>IF(AND(Q537=1,T537=1,X537=1,J537="Sim",OR(L537&lt;&gt;"",M537&lt;&gt;"")),1,0)</f>
        <v>0</v>
      </c>
      <c r="AA537" s="96">
        <f>IF(Q537=0,0,IF(AND(OR(r_ini="",AND(ISNUMBER(E537),E537&gt;=r_ini)),OR(r_fim="",AND(ISNUMBER(E537),E537&lt;=r_fim)),OR(r_un="",r_un="(Todas)",IF(N(U537)&gt;0,INDEX('MTRs'!$G$6:$G$505,U537),"")=r_un),OR(r_de="",r_de="(Todos)",D537=r_de)),1,0))</f>
        <v>0</v>
      </c>
      <c r="AB537" s="96" t="str">
        <f>IF(AA537=1,COUNTIF($AA$6:AA537,1),"")</f>
        <v/>
      </c>
    </row>
    <row r="538">
      <c r="A538" s="89" t="inlineStr">
        <is>
          <t>REC-000533</t>
        </is>
      </c>
      <c r="B538" s="94" t="str">
        <f>IF(T538=1,INDEX('ITENS_MTR'!$S$6:$S$1005,S538)&amp;"","")</f>
        <v/>
      </c>
      <c r="C538" s="91" t="n"/>
      <c r="D538" s="94" t="str">
        <f>IF(N(U538)&gt;0,INDEX('MTRs'!$I$6:$I$505,U538)&amp;"","")</f>
        <v/>
      </c>
      <c r="E538" s="92" t="n"/>
      <c r="F538" s="98" t="n"/>
      <c r="G538" s="91" t="n"/>
      <c r="H538" s="93" t="str">
        <f>IF(Q538=0,"",IF(NOT(ISNUMBER(F538)),"",IF(ISNUMBER(W538),F538*W538,"UNIDADE A CONFERIR")))</f>
        <v/>
      </c>
      <c r="I538" s="91" t="n"/>
      <c r="J538" s="91" t="n"/>
      <c r="K538" s="92" t="n"/>
      <c r="L538" s="91" t="n"/>
      <c r="M538" s="91" t="n"/>
      <c r="N538" s="91" t="n"/>
      <c r="O538" s="91" t="n"/>
      <c r="P538" s="94" t="str">
        <f>IF(Q538=0,"",IF(C538="","Item de resíduo não informado",IF(T538=0,"Item inexistente (referência inválida)",IF(NOT(ISNUMBER(F538)),"Quantidade não informada",IF(F538&lt;=0,"Quantidade não positiva",IF(G538="","Unidade não informada",IF(NOT(ISNUMBER(H538)),"Unidade a conferir",IF(NOT(ISNUMBER(E538)),"Data de recebimento não informada",IF(AND(ISNUMBER(V538),N(V538)&gt;0,E538&lt;N(V538)),"Data anterior à emissão do MTR",IF(AND(J538="Sim",L538="",M538=""),"Conferido sem evidência identificada",IF(J538&lt;&gt;"Sim","Aguardando conferência",IF(INDEX('ITENS_MTR'!$AM$6:$AM$1005,S538)=1,"Conferido (ver diferença no item)","Conferido"))))))))))))</f>
        <v/>
      </c>
      <c r="Q538" s="96">
        <f>IF(COUNTA(C538,E538:G538,I538:O538)&gt;0,1,0)</f>
        <v>0</v>
      </c>
      <c r="R538" s="96" t="str">
        <f>IF(C538="","",TRIM(LEFT(C538,FIND(" |",C538&amp;" |")-1)))</f>
        <v/>
      </c>
      <c r="S538" s="96" t="str">
        <f>IF(R538="","",IFERROR(MATCH(R538,'ITENS_MTR'!$A$6:$A$1005,0),""))</f>
        <v/>
      </c>
      <c r="T538" s="96">
        <f>IF(S538="",0,IF(INDEX('ITENS_MTR'!$R$6:$R$1005,S538)=1,1,0))</f>
        <v>0</v>
      </c>
      <c r="U538" s="96" t="str">
        <f>IF(T538=1,INDEX('ITENS_MTR'!$T$6:$T$1005,S538),"")</f>
        <v/>
      </c>
      <c r="V538" s="97" t="str">
        <f>IF(N(U538)&gt;0,INDEX('MTRs'!$E$6:$E$505,U538),"")</f>
        <v/>
      </c>
      <c r="W538" s="96" t="str">
        <f>IF(G538="","",IFERROR(IF(ISNUMBER(INDEX(cfg_fac,MATCH(G538,cfg_units,0))),IF(INDEX(cfg_fac,MATCH(G538,cfg_units,0))&gt;0,INDEX(cfg_fac,MATCH(G538,cfg_units,0)),""),""),""))</f>
        <v/>
      </c>
      <c r="X538" s="96">
        <f>IF(AND(ISNUMBER(F538),ISNUMBER(H538)),IF(H538&gt;0,1,0),0)</f>
        <v>0</v>
      </c>
      <c r="Y538" s="96">
        <f>IF(Q538=0,0,IF(OR(T538=0,X538=0,NOT(ISNUMBER(E538)),AND(J538="Sim",L538="",M538=""),AND(ISNUMBER(E538),ISNUMBER(V538),N(V538)&gt;0,E538&lt;N(V538))),1,0))</f>
        <v>0</v>
      </c>
      <c r="Z538" s="96">
        <f>IF(AND(Q538=1,T538=1,X538=1,J538="Sim",OR(L538&lt;&gt;"",M538&lt;&gt;"")),1,0)</f>
        <v>0</v>
      </c>
      <c r="AA538" s="96">
        <f>IF(Q538=0,0,IF(AND(OR(r_ini="",AND(ISNUMBER(E538),E538&gt;=r_ini)),OR(r_fim="",AND(ISNUMBER(E538),E538&lt;=r_fim)),OR(r_un="",r_un="(Todas)",IF(N(U538)&gt;0,INDEX('MTRs'!$G$6:$G$505,U538),"")=r_un),OR(r_de="",r_de="(Todos)",D538=r_de)),1,0))</f>
        <v>0</v>
      </c>
      <c r="AB538" s="96" t="str">
        <f>IF(AA538=1,COUNTIF($AA$6:AA538,1),"")</f>
        <v/>
      </c>
    </row>
    <row r="539">
      <c r="A539" s="89" t="inlineStr">
        <is>
          <t>REC-000534</t>
        </is>
      </c>
      <c r="B539" s="94" t="str">
        <f>IF(T539=1,INDEX('ITENS_MTR'!$S$6:$S$1005,S539)&amp;"","")</f>
        <v/>
      </c>
      <c r="C539" s="91" t="n"/>
      <c r="D539" s="94" t="str">
        <f>IF(N(U539)&gt;0,INDEX('MTRs'!$I$6:$I$505,U539)&amp;"","")</f>
        <v/>
      </c>
      <c r="E539" s="92" t="n"/>
      <c r="F539" s="98" t="n"/>
      <c r="G539" s="91" t="n"/>
      <c r="H539" s="93" t="str">
        <f>IF(Q539=0,"",IF(NOT(ISNUMBER(F539)),"",IF(ISNUMBER(W539),F539*W539,"UNIDADE A CONFERIR")))</f>
        <v/>
      </c>
      <c r="I539" s="91" t="n"/>
      <c r="J539" s="91" t="n"/>
      <c r="K539" s="92" t="n"/>
      <c r="L539" s="91" t="n"/>
      <c r="M539" s="91" t="n"/>
      <c r="N539" s="91" t="n"/>
      <c r="O539" s="91" t="n"/>
      <c r="P539" s="94" t="str">
        <f>IF(Q539=0,"",IF(C539="","Item de resíduo não informado",IF(T539=0,"Item inexistente (referência inválida)",IF(NOT(ISNUMBER(F539)),"Quantidade não informada",IF(F539&lt;=0,"Quantidade não positiva",IF(G539="","Unidade não informada",IF(NOT(ISNUMBER(H539)),"Unidade a conferir",IF(NOT(ISNUMBER(E539)),"Data de recebimento não informada",IF(AND(ISNUMBER(V539),N(V539)&gt;0,E539&lt;N(V539)),"Data anterior à emissão do MTR",IF(AND(J539="Sim",L539="",M539=""),"Conferido sem evidência identificada",IF(J539&lt;&gt;"Sim","Aguardando conferência",IF(INDEX('ITENS_MTR'!$AM$6:$AM$1005,S539)=1,"Conferido (ver diferença no item)","Conferido"))))))))))))</f>
        <v/>
      </c>
      <c r="Q539" s="96">
        <f>IF(COUNTA(C539,E539:G539,I539:O539)&gt;0,1,0)</f>
        <v>0</v>
      </c>
      <c r="R539" s="96" t="str">
        <f>IF(C539="","",TRIM(LEFT(C539,FIND(" |",C539&amp;" |")-1)))</f>
        <v/>
      </c>
      <c r="S539" s="96" t="str">
        <f>IF(R539="","",IFERROR(MATCH(R539,'ITENS_MTR'!$A$6:$A$1005,0),""))</f>
        <v/>
      </c>
      <c r="T539" s="96">
        <f>IF(S539="",0,IF(INDEX('ITENS_MTR'!$R$6:$R$1005,S539)=1,1,0))</f>
        <v>0</v>
      </c>
      <c r="U539" s="96" t="str">
        <f>IF(T539=1,INDEX('ITENS_MTR'!$T$6:$T$1005,S539),"")</f>
        <v/>
      </c>
      <c r="V539" s="97" t="str">
        <f>IF(N(U539)&gt;0,INDEX('MTRs'!$E$6:$E$505,U539),"")</f>
        <v/>
      </c>
      <c r="W539" s="96" t="str">
        <f>IF(G539="","",IFERROR(IF(ISNUMBER(INDEX(cfg_fac,MATCH(G539,cfg_units,0))),IF(INDEX(cfg_fac,MATCH(G539,cfg_units,0))&gt;0,INDEX(cfg_fac,MATCH(G539,cfg_units,0)),""),""),""))</f>
        <v/>
      </c>
      <c r="X539" s="96">
        <f>IF(AND(ISNUMBER(F539),ISNUMBER(H539)),IF(H539&gt;0,1,0),0)</f>
        <v>0</v>
      </c>
      <c r="Y539" s="96">
        <f>IF(Q539=0,0,IF(OR(T539=0,X539=0,NOT(ISNUMBER(E539)),AND(J539="Sim",L539="",M539=""),AND(ISNUMBER(E539),ISNUMBER(V539),N(V539)&gt;0,E539&lt;N(V539))),1,0))</f>
        <v>0</v>
      </c>
      <c r="Z539" s="96">
        <f>IF(AND(Q539=1,T539=1,X539=1,J539="Sim",OR(L539&lt;&gt;"",M539&lt;&gt;"")),1,0)</f>
        <v>0</v>
      </c>
      <c r="AA539" s="96">
        <f>IF(Q539=0,0,IF(AND(OR(r_ini="",AND(ISNUMBER(E539),E539&gt;=r_ini)),OR(r_fim="",AND(ISNUMBER(E539),E539&lt;=r_fim)),OR(r_un="",r_un="(Todas)",IF(N(U539)&gt;0,INDEX('MTRs'!$G$6:$G$505,U539),"")=r_un),OR(r_de="",r_de="(Todos)",D539=r_de)),1,0))</f>
        <v>0</v>
      </c>
      <c r="AB539" s="96" t="str">
        <f>IF(AA539=1,COUNTIF($AA$6:AA539,1),"")</f>
        <v/>
      </c>
    </row>
    <row r="540">
      <c r="A540" s="89" t="inlineStr">
        <is>
          <t>REC-000535</t>
        </is>
      </c>
      <c r="B540" s="94" t="str">
        <f>IF(T540=1,INDEX('ITENS_MTR'!$S$6:$S$1005,S540)&amp;"","")</f>
        <v/>
      </c>
      <c r="C540" s="91" t="n"/>
      <c r="D540" s="94" t="str">
        <f>IF(N(U540)&gt;0,INDEX('MTRs'!$I$6:$I$505,U540)&amp;"","")</f>
        <v/>
      </c>
      <c r="E540" s="92" t="n"/>
      <c r="F540" s="98" t="n"/>
      <c r="G540" s="91" t="n"/>
      <c r="H540" s="93" t="str">
        <f>IF(Q540=0,"",IF(NOT(ISNUMBER(F540)),"",IF(ISNUMBER(W540),F540*W540,"UNIDADE A CONFERIR")))</f>
        <v/>
      </c>
      <c r="I540" s="91" t="n"/>
      <c r="J540" s="91" t="n"/>
      <c r="K540" s="92" t="n"/>
      <c r="L540" s="91" t="n"/>
      <c r="M540" s="91" t="n"/>
      <c r="N540" s="91" t="n"/>
      <c r="O540" s="91" t="n"/>
      <c r="P540" s="94" t="str">
        <f>IF(Q540=0,"",IF(C540="","Item de resíduo não informado",IF(T540=0,"Item inexistente (referência inválida)",IF(NOT(ISNUMBER(F540)),"Quantidade não informada",IF(F540&lt;=0,"Quantidade não positiva",IF(G540="","Unidade não informada",IF(NOT(ISNUMBER(H540)),"Unidade a conferir",IF(NOT(ISNUMBER(E540)),"Data de recebimento não informada",IF(AND(ISNUMBER(V540),N(V540)&gt;0,E540&lt;N(V540)),"Data anterior à emissão do MTR",IF(AND(J540="Sim",L540="",M540=""),"Conferido sem evidência identificada",IF(J540&lt;&gt;"Sim","Aguardando conferência",IF(INDEX('ITENS_MTR'!$AM$6:$AM$1005,S540)=1,"Conferido (ver diferença no item)","Conferido"))))))))))))</f>
        <v/>
      </c>
      <c r="Q540" s="96">
        <f>IF(COUNTA(C540,E540:G540,I540:O540)&gt;0,1,0)</f>
        <v>0</v>
      </c>
      <c r="R540" s="96" t="str">
        <f>IF(C540="","",TRIM(LEFT(C540,FIND(" |",C540&amp;" |")-1)))</f>
        <v/>
      </c>
      <c r="S540" s="96" t="str">
        <f>IF(R540="","",IFERROR(MATCH(R540,'ITENS_MTR'!$A$6:$A$1005,0),""))</f>
        <v/>
      </c>
      <c r="T540" s="96">
        <f>IF(S540="",0,IF(INDEX('ITENS_MTR'!$R$6:$R$1005,S540)=1,1,0))</f>
        <v>0</v>
      </c>
      <c r="U540" s="96" t="str">
        <f>IF(T540=1,INDEX('ITENS_MTR'!$T$6:$T$1005,S540),"")</f>
        <v/>
      </c>
      <c r="V540" s="97" t="str">
        <f>IF(N(U540)&gt;0,INDEX('MTRs'!$E$6:$E$505,U540),"")</f>
        <v/>
      </c>
      <c r="W540" s="96" t="str">
        <f>IF(G540="","",IFERROR(IF(ISNUMBER(INDEX(cfg_fac,MATCH(G540,cfg_units,0))),IF(INDEX(cfg_fac,MATCH(G540,cfg_units,0))&gt;0,INDEX(cfg_fac,MATCH(G540,cfg_units,0)),""),""),""))</f>
        <v/>
      </c>
      <c r="X540" s="96">
        <f>IF(AND(ISNUMBER(F540),ISNUMBER(H540)),IF(H540&gt;0,1,0),0)</f>
        <v>0</v>
      </c>
      <c r="Y540" s="96">
        <f>IF(Q540=0,0,IF(OR(T540=0,X540=0,NOT(ISNUMBER(E540)),AND(J540="Sim",L540="",M540=""),AND(ISNUMBER(E540),ISNUMBER(V540),N(V540)&gt;0,E540&lt;N(V540))),1,0))</f>
        <v>0</v>
      </c>
      <c r="Z540" s="96">
        <f>IF(AND(Q540=1,T540=1,X540=1,J540="Sim",OR(L540&lt;&gt;"",M540&lt;&gt;"")),1,0)</f>
        <v>0</v>
      </c>
      <c r="AA540" s="96">
        <f>IF(Q540=0,0,IF(AND(OR(r_ini="",AND(ISNUMBER(E540),E540&gt;=r_ini)),OR(r_fim="",AND(ISNUMBER(E540),E540&lt;=r_fim)),OR(r_un="",r_un="(Todas)",IF(N(U540)&gt;0,INDEX('MTRs'!$G$6:$G$505,U540),"")=r_un),OR(r_de="",r_de="(Todos)",D540=r_de)),1,0))</f>
        <v>0</v>
      </c>
      <c r="AB540" s="96" t="str">
        <f>IF(AA540=1,COUNTIF($AA$6:AA540,1),"")</f>
        <v/>
      </c>
    </row>
    <row r="541">
      <c r="A541" s="89" t="inlineStr">
        <is>
          <t>REC-000536</t>
        </is>
      </c>
      <c r="B541" s="94" t="str">
        <f>IF(T541=1,INDEX('ITENS_MTR'!$S$6:$S$1005,S541)&amp;"","")</f>
        <v/>
      </c>
      <c r="C541" s="91" t="n"/>
      <c r="D541" s="94" t="str">
        <f>IF(N(U541)&gt;0,INDEX('MTRs'!$I$6:$I$505,U541)&amp;"","")</f>
        <v/>
      </c>
      <c r="E541" s="92" t="n"/>
      <c r="F541" s="98" t="n"/>
      <c r="G541" s="91" t="n"/>
      <c r="H541" s="93" t="str">
        <f>IF(Q541=0,"",IF(NOT(ISNUMBER(F541)),"",IF(ISNUMBER(W541),F541*W541,"UNIDADE A CONFERIR")))</f>
        <v/>
      </c>
      <c r="I541" s="91" t="n"/>
      <c r="J541" s="91" t="n"/>
      <c r="K541" s="92" t="n"/>
      <c r="L541" s="91" t="n"/>
      <c r="M541" s="91" t="n"/>
      <c r="N541" s="91" t="n"/>
      <c r="O541" s="91" t="n"/>
      <c r="P541" s="94" t="str">
        <f>IF(Q541=0,"",IF(C541="","Item de resíduo não informado",IF(T541=0,"Item inexistente (referência inválida)",IF(NOT(ISNUMBER(F541)),"Quantidade não informada",IF(F541&lt;=0,"Quantidade não positiva",IF(G541="","Unidade não informada",IF(NOT(ISNUMBER(H541)),"Unidade a conferir",IF(NOT(ISNUMBER(E541)),"Data de recebimento não informada",IF(AND(ISNUMBER(V541),N(V541)&gt;0,E541&lt;N(V541)),"Data anterior à emissão do MTR",IF(AND(J541="Sim",L541="",M541=""),"Conferido sem evidência identificada",IF(J541&lt;&gt;"Sim","Aguardando conferência",IF(INDEX('ITENS_MTR'!$AM$6:$AM$1005,S541)=1,"Conferido (ver diferença no item)","Conferido"))))))))))))</f>
        <v/>
      </c>
      <c r="Q541" s="96">
        <f>IF(COUNTA(C541,E541:G541,I541:O541)&gt;0,1,0)</f>
        <v>0</v>
      </c>
      <c r="R541" s="96" t="str">
        <f>IF(C541="","",TRIM(LEFT(C541,FIND(" |",C541&amp;" |")-1)))</f>
        <v/>
      </c>
      <c r="S541" s="96" t="str">
        <f>IF(R541="","",IFERROR(MATCH(R541,'ITENS_MTR'!$A$6:$A$1005,0),""))</f>
        <v/>
      </c>
      <c r="T541" s="96">
        <f>IF(S541="",0,IF(INDEX('ITENS_MTR'!$R$6:$R$1005,S541)=1,1,0))</f>
        <v>0</v>
      </c>
      <c r="U541" s="96" t="str">
        <f>IF(T541=1,INDEX('ITENS_MTR'!$T$6:$T$1005,S541),"")</f>
        <v/>
      </c>
      <c r="V541" s="97" t="str">
        <f>IF(N(U541)&gt;0,INDEX('MTRs'!$E$6:$E$505,U541),"")</f>
        <v/>
      </c>
      <c r="W541" s="96" t="str">
        <f>IF(G541="","",IFERROR(IF(ISNUMBER(INDEX(cfg_fac,MATCH(G541,cfg_units,0))),IF(INDEX(cfg_fac,MATCH(G541,cfg_units,0))&gt;0,INDEX(cfg_fac,MATCH(G541,cfg_units,0)),""),""),""))</f>
        <v/>
      </c>
      <c r="X541" s="96">
        <f>IF(AND(ISNUMBER(F541),ISNUMBER(H541)),IF(H541&gt;0,1,0),0)</f>
        <v>0</v>
      </c>
      <c r="Y541" s="96">
        <f>IF(Q541=0,0,IF(OR(T541=0,X541=0,NOT(ISNUMBER(E541)),AND(J541="Sim",L541="",M541=""),AND(ISNUMBER(E541),ISNUMBER(V541),N(V541)&gt;0,E541&lt;N(V541))),1,0))</f>
        <v>0</v>
      </c>
      <c r="Z541" s="96">
        <f>IF(AND(Q541=1,T541=1,X541=1,J541="Sim",OR(L541&lt;&gt;"",M541&lt;&gt;"")),1,0)</f>
        <v>0</v>
      </c>
      <c r="AA541" s="96">
        <f>IF(Q541=0,0,IF(AND(OR(r_ini="",AND(ISNUMBER(E541),E541&gt;=r_ini)),OR(r_fim="",AND(ISNUMBER(E541),E541&lt;=r_fim)),OR(r_un="",r_un="(Todas)",IF(N(U541)&gt;0,INDEX('MTRs'!$G$6:$G$505,U541),"")=r_un),OR(r_de="",r_de="(Todos)",D541=r_de)),1,0))</f>
        <v>0</v>
      </c>
      <c r="AB541" s="96" t="str">
        <f>IF(AA541=1,COUNTIF($AA$6:AA541,1),"")</f>
        <v/>
      </c>
    </row>
    <row r="542">
      <c r="A542" s="89" t="inlineStr">
        <is>
          <t>REC-000537</t>
        </is>
      </c>
      <c r="B542" s="94" t="str">
        <f>IF(T542=1,INDEX('ITENS_MTR'!$S$6:$S$1005,S542)&amp;"","")</f>
        <v/>
      </c>
      <c r="C542" s="91" t="n"/>
      <c r="D542" s="94" t="str">
        <f>IF(N(U542)&gt;0,INDEX('MTRs'!$I$6:$I$505,U542)&amp;"","")</f>
        <v/>
      </c>
      <c r="E542" s="92" t="n"/>
      <c r="F542" s="98" t="n"/>
      <c r="G542" s="91" t="n"/>
      <c r="H542" s="93" t="str">
        <f>IF(Q542=0,"",IF(NOT(ISNUMBER(F542)),"",IF(ISNUMBER(W542),F542*W542,"UNIDADE A CONFERIR")))</f>
        <v/>
      </c>
      <c r="I542" s="91" t="n"/>
      <c r="J542" s="91" t="n"/>
      <c r="K542" s="92" t="n"/>
      <c r="L542" s="91" t="n"/>
      <c r="M542" s="91" t="n"/>
      <c r="N542" s="91" t="n"/>
      <c r="O542" s="91" t="n"/>
      <c r="P542" s="94" t="str">
        <f>IF(Q542=0,"",IF(C542="","Item de resíduo não informado",IF(T542=0,"Item inexistente (referência inválida)",IF(NOT(ISNUMBER(F542)),"Quantidade não informada",IF(F542&lt;=0,"Quantidade não positiva",IF(G542="","Unidade não informada",IF(NOT(ISNUMBER(H542)),"Unidade a conferir",IF(NOT(ISNUMBER(E542)),"Data de recebimento não informada",IF(AND(ISNUMBER(V542),N(V542)&gt;0,E542&lt;N(V542)),"Data anterior à emissão do MTR",IF(AND(J542="Sim",L542="",M542=""),"Conferido sem evidência identificada",IF(J542&lt;&gt;"Sim","Aguardando conferência",IF(INDEX('ITENS_MTR'!$AM$6:$AM$1005,S542)=1,"Conferido (ver diferença no item)","Conferido"))))))))))))</f>
        <v/>
      </c>
      <c r="Q542" s="96">
        <f>IF(COUNTA(C542,E542:G542,I542:O542)&gt;0,1,0)</f>
        <v>0</v>
      </c>
      <c r="R542" s="96" t="str">
        <f>IF(C542="","",TRIM(LEFT(C542,FIND(" |",C542&amp;" |")-1)))</f>
        <v/>
      </c>
      <c r="S542" s="96" t="str">
        <f>IF(R542="","",IFERROR(MATCH(R542,'ITENS_MTR'!$A$6:$A$1005,0),""))</f>
        <v/>
      </c>
      <c r="T542" s="96">
        <f>IF(S542="",0,IF(INDEX('ITENS_MTR'!$R$6:$R$1005,S542)=1,1,0))</f>
        <v>0</v>
      </c>
      <c r="U542" s="96" t="str">
        <f>IF(T542=1,INDEX('ITENS_MTR'!$T$6:$T$1005,S542),"")</f>
        <v/>
      </c>
      <c r="V542" s="97" t="str">
        <f>IF(N(U542)&gt;0,INDEX('MTRs'!$E$6:$E$505,U542),"")</f>
        <v/>
      </c>
      <c r="W542" s="96" t="str">
        <f>IF(G542="","",IFERROR(IF(ISNUMBER(INDEX(cfg_fac,MATCH(G542,cfg_units,0))),IF(INDEX(cfg_fac,MATCH(G542,cfg_units,0))&gt;0,INDEX(cfg_fac,MATCH(G542,cfg_units,0)),""),""),""))</f>
        <v/>
      </c>
      <c r="X542" s="96">
        <f>IF(AND(ISNUMBER(F542),ISNUMBER(H542)),IF(H542&gt;0,1,0),0)</f>
        <v>0</v>
      </c>
      <c r="Y542" s="96">
        <f>IF(Q542=0,0,IF(OR(T542=0,X542=0,NOT(ISNUMBER(E542)),AND(J542="Sim",L542="",M542=""),AND(ISNUMBER(E542),ISNUMBER(V542),N(V542)&gt;0,E542&lt;N(V542))),1,0))</f>
        <v>0</v>
      </c>
      <c r="Z542" s="96">
        <f>IF(AND(Q542=1,T542=1,X542=1,J542="Sim",OR(L542&lt;&gt;"",M542&lt;&gt;"")),1,0)</f>
        <v>0</v>
      </c>
      <c r="AA542" s="96">
        <f>IF(Q542=0,0,IF(AND(OR(r_ini="",AND(ISNUMBER(E542),E542&gt;=r_ini)),OR(r_fim="",AND(ISNUMBER(E542),E542&lt;=r_fim)),OR(r_un="",r_un="(Todas)",IF(N(U542)&gt;0,INDEX('MTRs'!$G$6:$G$505,U542),"")=r_un),OR(r_de="",r_de="(Todos)",D542=r_de)),1,0))</f>
        <v>0</v>
      </c>
      <c r="AB542" s="96" t="str">
        <f>IF(AA542=1,COUNTIF($AA$6:AA542,1),"")</f>
        <v/>
      </c>
    </row>
    <row r="543">
      <c r="A543" s="89" t="inlineStr">
        <is>
          <t>REC-000538</t>
        </is>
      </c>
      <c r="B543" s="94" t="str">
        <f>IF(T543=1,INDEX('ITENS_MTR'!$S$6:$S$1005,S543)&amp;"","")</f>
        <v/>
      </c>
      <c r="C543" s="91" t="n"/>
      <c r="D543" s="94" t="str">
        <f>IF(N(U543)&gt;0,INDEX('MTRs'!$I$6:$I$505,U543)&amp;"","")</f>
        <v/>
      </c>
      <c r="E543" s="92" t="n"/>
      <c r="F543" s="98" t="n"/>
      <c r="G543" s="91" t="n"/>
      <c r="H543" s="93" t="str">
        <f>IF(Q543=0,"",IF(NOT(ISNUMBER(F543)),"",IF(ISNUMBER(W543),F543*W543,"UNIDADE A CONFERIR")))</f>
        <v/>
      </c>
      <c r="I543" s="91" t="n"/>
      <c r="J543" s="91" t="n"/>
      <c r="K543" s="92" t="n"/>
      <c r="L543" s="91" t="n"/>
      <c r="M543" s="91" t="n"/>
      <c r="N543" s="91" t="n"/>
      <c r="O543" s="91" t="n"/>
      <c r="P543" s="94" t="str">
        <f>IF(Q543=0,"",IF(C543="","Item de resíduo não informado",IF(T543=0,"Item inexistente (referência inválida)",IF(NOT(ISNUMBER(F543)),"Quantidade não informada",IF(F543&lt;=0,"Quantidade não positiva",IF(G543="","Unidade não informada",IF(NOT(ISNUMBER(H543)),"Unidade a conferir",IF(NOT(ISNUMBER(E543)),"Data de recebimento não informada",IF(AND(ISNUMBER(V543),N(V543)&gt;0,E543&lt;N(V543)),"Data anterior à emissão do MTR",IF(AND(J543="Sim",L543="",M543=""),"Conferido sem evidência identificada",IF(J543&lt;&gt;"Sim","Aguardando conferência",IF(INDEX('ITENS_MTR'!$AM$6:$AM$1005,S543)=1,"Conferido (ver diferença no item)","Conferido"))))))))))))</f>
        <v/>
      </c>
      <c r="Q543" s="96">
        <f>IF(COUNTA(C543,E543:G543,I543:O543)&gt;0,1,0)</f>
        <v>0</v>
      </c>
      <c r="R543" s="96" t="str">
        <f>IF(C543="","",TRIM(LEFT(C543,FIND(" |",C543&amp;" |")-1)))</f>
        <v/>
      </c>
      <c r="S543" s="96" t="str">
        <f>IF(R543="","",IFERROR(MATCH(R543,'ITENS_MTR'!$A$6:$A$1005,0),""))</f>
        <v/>
      </c>
      <c r="T543" s="96">
        <f>IF(S543="",0,IF(INDEX('ITENS_MTR'!$R$6:$R$1005,S543)=1,1,0))</f>
        <v>0</v>
      </c>
      <c r="U543" s="96" t="str">
        <f>IF(T543=1,INDEX('ITENS_MTR'!$T$6:$T$1005,S543),"")</f>
        <v/>
      </c>
      <c r="V543" s="97" t="str">
        <f>IF(N(U543)&gt;0,INDEX('MTRs'!$E$6:$E$505,U543),"")</f>
        <v/>
      </c>
      <c r="W543" s="96" t="str">
        <f>IF(G543="","",IFERROR(IF(ISNUMBER(INDEX(cfg_fac,MATCH(G543,cfg_units,0))),IF(INDEX(cfg_fac,MATCH(G543,cfg_units,0))&gt;0,INDEX(cfg_fac,MATCH(G543,cfg_units,0)),""),""),""))</f>
        <v/>
      </c>
      <c r="X543" s="96">
        <f>IF(AND(ISNUMBER(F543),ISNUMBER(H543)),IF(H543&gt;0,1,0),0)</f>
        <v>0</v>
      </c>
      <c r="Y543" s="96">
        <f>IF(Q543=0,0,IF(OR(T543=0,X543=0,NOT(ISNUMBER(E543)),AND(J543="Sim",L543="",M543=""),AND(ISNUMBER(E543),ISNUMBER(V543),N(V543)&gt;0,E543&lt;N(V543))),1,0))</f>
        <v>0</v>
      </c>
      <c r="Z543" s="96">
        <f>IF(AND(Q543=1,T543=1,X543=1,J543="Sim",OR(L543&lt;&gt;"",M543&lt;&gt;"")),1,0)</f>
        <v>0</v>
      </c>
      <c r="AA543" s="96">
        <f>IF(Q543=0,0,IF(AND(OR(r_ini="",AND(ISNUMBER(E543),E543&gt;=r_ini)),OR(r_fim="",AND(ISNUMBER(E543),E543&lt;=r_fim)),OR(r_un="",r_un="(Todas)",IF(N(U543)&gt;0,INDEX('MTRs'!$G$6:$G$505,U543),"")=r_un),OR(r_de="",r_de="(Todos)",D543=r_de)),1,0))</f>
        <v>0</v>
      </c>
      <c r="AB543" s="96" t="str">
        <f>IF(AA543=1,COUNTIF($AA$6:AA543,1),"")</f>
        <v/>
      </c>
    </row>
    <row r="544">
      <c r="A544" s="89" t="inlineStr">
        <is>
          <t>REC-000539</t>
        </is>
      </c>
      <c r="B544" s="94" t="str">
        <f>IF(T544=1,INDEX('ITENS_MTR'!$S$6:$S$1005,S544)&amp;"","")</f>
        <v/>
      </c>
      <c r="C544" s="91" t="n"/>
      <c r="D544" s="94" t="str">
        <f>IF(N(U544)&gt;0,INDEX('MTRs'!$I$6:$I$505,U544)&amp;"","")</f>
        <v/>
      </c>
      <c r="E544" s="92" t="n"/>
      <c r="F544" s="98" t="n"/>
      <c r="G544" s="91" t="n"/>
      <c r="H544" s="93" t="str">
        <f>IF(Q544=0,"",IF(NOT(ISNUMBER(F544)),"",IF(ISNUMBER(W544),F544*W544,"UNIDADE A CONFERIR")))</f>
        <v/>
      </c>
      <c r="I544" s="91" t="n"/>
      <c r="J544" s="91" t="n"/>
      <c r="K544" s="92" t="n"/>
      <c r="L544" s="91" t="n"/>
      <c r="M544" s="91" t="n"/>
      <c r="N544" s="91" t="n"/>
      <c r="O544" s="91" t="n"/>
      <c r="P544" s="94" t="str">
        <f>IF(Q544=0,"",IF(C544="","Item de resíduo não informado",IF(T544=0,"Item inexistente (referência inválida)",IF(NOT(ISNUMBER(F544)),"Quantidade não informada",IF(F544&lt;=0,"Quantidade não positiva",IF(G544="","Unidade não informada",IF(NOT(ISNUMBER(H544)),"Unidade a conferir",IF(NOT(ISNUMBER(E544)),"Data de recebimento não informada",IF(AND(ISNUMBER(V544),N(V544)&gt;0,E544&lt;N(V544)),"Data anterior à emissão do MTR",IF(AND(J544="Sim",L544="",M544=""),"Conferido sem evidência identificada",IF(J544&lt;&gt;"Sim","Aguardando conferência",IF(INDEX('ITENS_MTR'!$AM$6:$AM$1005,S544)=1,"Conferido (ver diferença no item)","Conferido"))))))))))))</f>
        <v/>
      </c>
      <c r="Q544" s="96">
        <f>IF(COUNTA(C544,E544:G544,I544:O544)&gt;0,1,0)</f>
        <v>0</v>
      </c>
      <c r="R544" s="96" t="str">
        <f>IF(C544="","",TRIM(LEFT(C544,FIND(" |",C544&amp;" |")-1)))</f>
        <v/>
      </c>
      <c r="S544" s="96" t="str">
        <f>IF(R544="","",IFERROR(MATCH(R544,'ITENS_MTR'!$A$6:$A$1005,0),""))</f>
        <v/>
      </c>
      <c r="T544" s="96">
        <f>IF(S544="",0,IF(INDEX('ITENS_MTR'!$R$6:$R$1005,S544)=1,1,0))</f>
        <v>0</v>
      </c>
      <c r="U544" s="96" t="str">
        <f>IF(T544=1,INDEX('ITENS_MTR'!$T$6:$T$1005,S544),"")</f>
        <v/>
      </c>
      <c r="V544" s="97" t="str">
        <f>IF(N(U544)&gt;0,INDEX('MTRs'!$E$6:$E$505,U544),"")</f>
        <v/>
      </c>
      <c r="W544" s="96" t="str">
        <f>IF(G544="","",IFERROR(IF(ISNUMBER(INDEX(cfg_fac,MATCH(G544,cfg_units,0))),IF(INDEX(cfg_fac,MATCH(G544,cfg_units,0))&gt;0,INDEX(cfg_fac,MATCH(G544,cfg_units,0)),""),""),""))</f>
        <v/>
      </c>
      <c r="X544" s="96">
        <f>IF(AND(ISNUMBER(F544),ISNUMBER(H544)),IF(H544&gt;0,1,0),0)</f>
        <v>0</v>
      </c>
      <c r="Y544" s="96">
        <f>IF(Q544=0,0,IF(OR(T544=0,X544=0,NOT(ISNUMBER(E544)),AND(J544="Sim",L544="",M544=""),AND(ISNUMBER(E544),ISNUMBER(V544),N(V544)&gt;0,E544&lt;N(V544))),1,0))</f>
        <v>0</v>
      </c>
      <c r="Z544" s="96">
        <f>IF(AND(Q544=1,T544=1,X544=1,J544="Sim",OR(L544&lt;&gt;"",M544&lt;&gt;"")),1,0)</f>
        <v>0</v>
      </c>
      <c r="AA544" s="96">
        <f>IF(Q544=0,0,IF(AND(OR(r_ini="",AND(ISNUMBER(E544),E544&gt;=r_ini)),OR(r_fim="",AND(ISNUMBER(E544),E544&lt;=r_fim)),OR(r_un="",r_un="(Todas)",IF(N(U544)&gt;0,INDEX('MTRs'!$G$6:$G$505,U544),"")=r_un),OR(r_de="",r_de="(Todos)",D544=r_de)),1,0))</f>
        <v>0</v>
      </c>
      <c r="AB544" s="96" t="str">
        <f>IF(AA544=1,COUNTIF($AA$6:AA544,1),"")</f>
        <v/>
      </c>
    </row>
    <row r="545">
      <c r="A545" s="89" t="inlineStr">
        <is>
          <t>REC-000540</t>
        </is>
      </c>
      <c r="B545" s="94" t="str">
        <f>IF(T545=1,INDEX('ITENS_MTR'!$S$6:$S$1005,S545)&amp;"","")</f>
        <v/>
      </c>
      <c r="C545" s="91" t="n"/>
      <c r="D545" s="94" t="str">
        <f>IF(N(U545)&gt;0,INDEX('MTRs'!$I$6:$I$505,U545)&amp;"","")</f>
        <v/>
      </c>
      <c r="E545" s="92" t="n"/>
      <c r="F545" s="98" t="n"/>
      <c r="G545" s="91" t="n"/>
      <c r="H545" s="93" t="str">
        <f>IF(Q545=0,"",IF(NOT(ISNUMBER(F545)),"",IF(ISNUMBER(W545),F545*W545,"UNIDADE A CONFERIR")))</f>
        <v/>
      </c>
      <c r="I545" s="91" t="n"/>
      <c r="J545" s="91" t="n"/>
      <c r="K545" s="92" t="n"/>
      <c r="L545" s="91" t="n"/>
      <c r="M545" s="91" t="n"/>
      <c r="N545" s="91" t="n"/>
      <c r="O545" s="91" t="n"/>
      <c r="P545" s="94" t="str">
        <f>IF(Q545=0,"",IF(C545="","Item de resíduo não informado",IF(T545=0,"Item inexistente (referência inválida)",IF(NOT(ISNUMBER(F545)),"Quantidade não informada",IF(F545&lt;=0,"Quantidade não positiva",IF(G545="","Unidade não informada",IF(NOT(ISNUMBER(H545)),"Unidade a conferir",IF(NOT(ISNUMBER(E545)),"Data de recebimento não informada",IF(AND(ISNUMBER(V545),N(V545)&gt;0,E545&lt;N(V545)),"Data anterior à emissão do MTR",IF(AND(J545="Sim",L545="",M545=""),"Conferido sem evidência identificada",IF(J545&lt;&gt;"Sim","Aguardando conferência",IF(INDEX('ITENS_MTR'!$AM$6:$AM$1005,S545)=1,"Conferido (ver diferença no item)","Conferido"))))))))))))</f>
        <v/>
      </c>
      <c r="Q545" s="96">
        <f>IF(COUNTA(C545,E545:G545,I545:O545)&gt;0,1,0)</f>
        <v>0</v>
      </c>
      <c r="R545" s="96" t="str">
        <f>IF(C545="","",TRIM(LEFT(C545,FIND(" |",C545&amp;" |")-1)))</f>
        <v/>
      </c>
      <c r="S545" s="96" t="str">
        <f>IF(R545="","",IFERROR(MATCH(R545,'ITENS_MTR'!$A$6:$A$1005,0),""))</f>
        <v/>
      </c>
      <c r="T545" s="96">
        <f>IF(S545="",0,IF(INDEX('ITENS_MTR'!$R$6:$R$1005,S545)=1,1,0))</f>
        <v>0</v>
      </c>
      <c r="U545" s="96" t="str">
        <f>IF(T545=1,INDEX('ITENS_MTR'!$T$6:$T$1005,S545),"")</f>
        <v/>
      </c>
      <c r="V545" s="97" t="str">
        <f>IF(N(U545)&gt;0,INDEX('MTRs'!$E$6:$E$505,U545),"")</f>
        <v/>
      </c>
      <c r="W545" s="96" t="str">
        <f>IF(G545="","",IFERROR(IF(ISNUMBER(INDEX(cfg_fac,MATCH(G545,cfg_units,0))),IF(INDEX(cfg_fac,MATCH(G545,cfg_units,0))&gt;0,INDEX(cfg_fac,MATCH(G545,cfg_units,0)),""),""),""))</f>
        <v/>
      </c>
      <c r="X545" s="96">
        <f>IF(AND(ISNUMBER(F545),ISNUMBER(H545)),IF(H545&gt;0,1,0),0)</f>
        <v>0</v>
      </c>
      <c r="Y545" s="96">
        <f>IF(Q545=0,0,IF(OR(T545=0,X545=0,NOT(ISNUMBER(E545)),AND(J545="Sim",L545="",M545=""),AND(ISNUMBER(E545),ISNUMBER(V545),N(V545)&gt;0,E545&lt;N(V545))),1,0))</f>
        <v>0</v>
      </c>
      <c r="Z545" s="96">
        <f>IF(AND(Q545=1,T545=1,X545=1,J545="Sim",OR(L545&lt;&gt;"",M545&lt;&gt;"")),1,0)</f>
        <v>0</v>
      </c>
      <c r="AA545" s="96">
        <f>IF(Q545=0,0,IF(AND(OR(r_ini="",AND(ISNUMBER(E545),E545&gt;=r_ini)),OR(r_fim="",AND(ISNUMBER(E545),E545&lt;=r_fim)),OR(r_un="",r_un="(Todas)",IF(N(U545)&gt;0,INDEX('MTRs'!$G$6:$G$505,U545),"")=r_un),OR(r_de="",r_de="(Todos)",D545=r_de)),1,0))</f>
        <v>0</v>
      </c>
      <c r="AB545" s="96" t="str">
        <f>IF(AA545=1,COUNTIF($AA$6:AA545,1),"")</f>
        <v/>
      </c>
    </row>
    <row r="546">
      <c r="A546" s="89" t="inlineStr">
        <is>
          <t>REC-000541</t>
        </is>
      </c>
      <c r="B546" s="94" t="str">
        <f>IF(T546=1,INDEX('ITENS_MTR'!$S$6:$S$1005,S546)&amp;"","")</f>
        <v/>
      </c>
      <c r="C546" s="91" t="n"/>
      <c r="D546" s="94" t="str">
        <f>IF(N(U546)&gt;0,INDEX('MTRs'!$I$6:$I$505,U546)&amp;"","")</f>
        <v/>
      </c>
      <c r="E546" s="92" t="n"/>
      <c r="F546" s="98" t="n"/>
      <c r="G546" s="91" t="n"/>
      <c r="H546" s="93" t="str">
        <f>IF(Q546=0,"",IF(NOT(ISNUMBER(F546)),"",IF(ISNUMBER(W546),F546*W546,"UNIDADE A CONFERIR")))</f>
        <v/>
      </c>
      <c r="I546" s="91" t="n"/>
      <c r="J546" s="91" t="n"/>
      <c r="K546" s="92" t="n"/>
      <c r="L546" s="91" t="n"/>
      <c r="M546" s="91" t="n"/>
      <c r="N546" s="91" t="n"/>
      <c r="O546" s="91" t="n"/>
      <c r="P546" s="94" t="str">
        <f>IF(Q546=0,"",IF(C546="","Item de resíduo não informado",IF(T546=0,"Item inexistente (referência inválida)",IF(NOT(ISNUMBER(F546)),"Quantidade não informada",IF(F546&lt;=0,"Quantidade não positiva",IF(G546="","Unidade não informada",IF(NOT(ISNUMBER(H546)),"Unidade a conferir",IF(NOT(ISNUMBER(E546)),"Data de recebimento não informada",IF(AND(ISNUMBER(V546),N(V546)&gt;0,E546&lt;N(V546)),"Data anterior à emissão do MTR",IF(AND(J546="Sim",L546="",M546=""),"Conferido sem evidência identificada",IF(J546&lt;&gt;"Sim","Aguardando conferência",IF(INDEX('ITENS_MTR'!$AM$6:$AM$1005,S546)=1,"Conferido (ver diferença no item)","Conferido"))))))))))))</f>
        <v/>
      </c>
      <c r="Q546" s="96">
        <f>IF(COUNTA(C546,E546:G546,I546:O546)&gt;0,1,0)</f>
        <v>0</v>
      </c>
      <c r="R546" s="96" t="str">
        <f>IF(C546="","",TRIM(LEFT(C546,FIND(" |",C546&amp;" |")-1)))</f>
        <v/>
      </c>
      <c r="S546" s="96" t="str">
        <f>IF(R546="","",IFERROR(MATCH(R546,'ITENS_MTR'!$A$6:$A$1005,0),""))</f>
        <v/>
      </c>
      <c r="T546" s="96">
        <f>IF(S546="",0,IF(INDEX('ITENS_MTR'!$R$6:$R$1005,S546)=1,1,0))</f>
        <v>0</v>
      </c>
      <c r="U546" s="96" t="str">
        <f>IF(T546=1,INDEX('ITENS_MTR'!$T$6:$T$1005,S546),"")</f>
        <v/>
      </c>
      <c r="V546" s="97" t="str">
        <f>IF(N(U546)&gt;0,INDEX('MTRs'!$E$6:$E$505,U546),"")</f>
        <v/>
      </c>
      <c r="W546" s="96" t="str">
        <f>IF(G546="","",IFERROR(IF(ISNUMBER(INDEX(cfg_fac,MATCH(G546,cfg_units,0))),IF(INDEX(cfg_fac,MATCH(G546,cfg_units,0))&gt;0,INDEX(cfg_fac,MATCH(G546,cfg_units,0)),""),""),""))</f>
        <v/>
      </c>
      <c r="X546" s="96">
        <f>IF(AND(ISNUMBER(F546),ISNUMBER(H546)),IF(H546&gt;0,1,0),0)</f>
        <v>0</v>
      </c>
      <c r="Y546" s="96">
        <f>IF(Q546=0,0,IF(OR(T546=0,X546=0,NOT(ISNUMBER(E546)),AND(J546="Sim",L546="",M546=""),AND(ISNUMBER(E546),ISNUMBER(V546),N(V546)&gt;0,E546&lt;N(V546))),1,0))</f>
        <v>0</v>
      </c>
      <c r="Z546" s="96">
        <f>IF(AND(Q546=1,T546=1,X546=1,J546="Sim",OR(L546&lt;&gt;"",M546&lt;&gt;"")),1,0)</f>
        <v>0</v>
      </c>
      <c r="AA546" s="96">
        <f>IF(Q546=0,0,IF(AND(OR(r_ini="",AND(ISNUMBER(E546),E546&gt;=r_ini)),OR(r_fim="",AND(ISNUMBER(E546),E546&lt;=r_fim)),OR(r_un="",r_un="(Todas)",IF(N(U546)&gt;0,INDEX('MTRs'!$G$6:$G$505,U546),"")=r_un),OR(r_de="",r_de="(Todos)",D546=r_de)),1,0))</f>
        <v>0</v>
      </c>
      <c r="AB546" s="96" t="str">
        <f>IF(AA546=1,COUNTIF($AA$6:AA546,1),"")</f>
        <v/>
      </c>
    </row>
    <row r="547">
      <c r="A547" s="89" t="inlineStr">
        <is>
          <t>REC-000542</t>
        </is>
      </c>
      <c r="B547" s="94" t="str">
        <f>IF(T547=1,INDEX('ITENS_MTR'!$S$6:$S$1005,S547)&amp;"","")</f>
        <v/>
      </c>
      <c r="C547" s="91" t="n"/>
      <c r="D547" s="94" t="str">
        <f>IF(N(U547)&gt;0,INDEX('MTRs'!$I$6:$I$505,U547)&amp;"","")</f>
        <v/>
      </c>
      <c r="E547" s="92" t="n"/>
      <c r="F547" s="98" t="n"/>
      <c r="G547" s="91" t="n"/>
      <c r="H547" s="93" t="str">
        <f>IF(Q547=0,"",IF(NOT(ISNUMBER(F547)),"",IF(ISNUMBER(W547),F547*W547,"UNIDADE A CONFERIR")))</f>
        <v/>
      </c>
      <c r="I547" s="91" t="n"/>
      <c r="J547" s="91" t="n"/>
      <c r="K547" s="92" t="n"/>
      <c r="L547" s="91" t="n"/>
      <c r="M547" s="91" t="n"/>
      <c r="N547" s="91" t="n"/>
      <c r="O547" s="91" t="n"/>
      <c r="P547" s="94" t="str">
        <f>IF(Q547=0,"",IF(C547="","Item de resíduo não informado",IF(T547=0,"Item inexistente (referência inválida)",IF(NOT(ISNUMBER(F547)),"Quantidade não informada",IF(F547&lt;=0,"Quantidade não positiva",IF(G547="","Unidade não informada",IF(NOT(ISNUMBER(H547)),"Unidade a conferir",IF(NOT(ISNUMBER(E547)),"Data de recebimento não informada",IF(AND(ISNUMBER(V547),N(V547)&gt;0,E547&lt;N(V547)),"Data anterior à emissão do MTR",IF(AND(J547="Sim",L547="",M547=""),"Conferido sem evidência identificada",IF(J547&lt;&gt;"Sim","Aguardando conferência",IF(INDEX('ITENS_MTR'!$AM$6:$AM$1005,S547)=1,"Conferido (ver diferença no item)","Conferido"))))))))))))</f>
        <v/>
      </c>
      <c r="Q547" s="96">
        <f>IF(COUNTA(C547,E547:G547,I547:O547)&gt;0,1,0)</f>
        <v>0</v>
      </c>
      <c r="R547" s="96" t="str">
        <f>IF(C547="","",TRIM(LEFT(C547,FIND(" |",C547&amp;" |")-1)))</f>
        <v/>
      </c>
      <c r="S547" s="96" t="str">
        <f>IF(R547="","",IFERROR(MATCH(R547,'ITENS_MTR'!$A$6:$A$1005,0),""))</f>
        <v/>
      </c>
      <c r="T547" s="96">
        <f>IF(S547="",0,IF(INDEX('ITENS_MTR'!$R$6:$R$1005,S547)=1,1,0))</f>
        <v>0</v>
      </c>
      <c r="U547" s="96" t="str">
        <f>IF(T547=1,INDEX('ITENS_MTR'!$T$6:$T$1005,S547),"")</f>
        <v/>
      </c>
      <c r="V547" s="97" t="str">
        <f>IF(N(U547)&gt;0,INDEX('MTRs'!$E$6:$E$505,U547),"")</f>
        <v/>
      </c>
      <c r="W547" s="96" t="str">
        <f>IF(G547="","",IFERROR(IF(ISNUMBER(INDEX(cfg_fac,MATCH(G547,cfg_units,0))),IF(INDEX(cfg_fac,MATCH(G547,cfg_units,0))&gt;0,INDEX(cfg_fac,MATCH(G547,cfg_units,0)),""),""),""))</f>
        <v/>
      </c>
      <c r="X547" s="96">
        <f>IF(AND(ISNUMBER(F547),ISNUMBER(H547)),IF(H547&gt;0,1,0),0)</f>
        <v>0</v>
      </c>
      <c r="Y547" s="96">
        <f>IF(Q547=0,0,IF(OR(T547=0,X547=0,NOT(ISNUMBER(E547)),AND(J547="Sim",L547="",M547=""),AND(ISNUMBER(E547),ISNUMBER(V547),N(V547)&gt;0,E547&lt;N(V547))),1,0))</f>
        <v>0</v>
      </c>
      <c r="Z547" s="96">
        <f>IF(AND(Q547=1,T547=1,X547=1,J547="Sim",OR(L547&lt;&gt;"",M547&lt;&gt;"")),1,0)</f>
        <v>0</v>
      </c>
      <c r="AA547" s="96">
        <f>IF(Q547=0,0,IF(AND(OR(r_ini="",AND(ISNUMBER(E547),E547&gt;=r_ini)),OR(r_fim="",AND(ISNUMBER(E547),E547&lt;=r_fim)),OR(r_un="",r_un="(Todas)",IF(N(U547)&gt;0,INDEX('MTRs'!$G$6:$G$505,U547),"")=r_un),OR(r_de="",r_de="(Todos)",D547=r_de)),1,0))</f>
        <v>0</v>
      </c>
      <c r="AB547" s="96" t="str">
        <f>IF(AA547=1,COUNTIF($AA$6:AA547,1),"")</f>
        <v/>
      </c>
    </row>
    <row r="548">
      <c r="A548" s="89" t="inlineStr">
        <is>
          <t>REC-000543</t>
        </is>
      </c>
      <c r="B548" s="94" t="str">
        <f>IF(T548=1,INDEX('ITENS_MTR'!$S$6:$S$1005,S548)&amp;"","")</f>
        <v/>
      </c>
      <c r="C548" s="91" t="n"/>
      <c r="D548" s="94" t="str">
        <f>IF(N(U548)&gt;0,INDEX('MTRs'!$I$6:$I$505,U548)&amp;"","")</f>
        <v/>
      </c>
      <c r="E548" s="92" t="n"/>
      <c r="F548" s="98" t="n"/>
      <c r="G548" s="91" t="n"/>
      <c r="H548" s="93" t="str">
        <f>IF(Q548=0,"",IF(NOT(ISNUMBER(F548)),"",IF(ISNUMBER(W548),F548*W548,"UNIDADE A CONFERIR")))</f>
        <v/>
      </c>
      <c r="I548" s="91" t="n"/>
      <c r="J548" s="91" t="n"/>
      <c r="K548" s="92" t="n"/>
      <c r="L548" s="91" t="n"/>
      <c r="M548" s="91" t="n"/>
      <c r="N548" s="91" t="n"/>
      <c r="O548" s="91" t="n"/>
      <c r="P548" s="94" t="str">
        <f>IF(Q548=0,"",IF(C548="","Item de resíduo não informado",IF(T548=0,"Item inexistente (referência inválida)",IF(NOT(ISNUMBER(F548)),"Quantidade não informada",IF(F548&lt;=0,"Quantidade não positiva",IF(G548="","Unidade não informada",IF(NOT(ISNUMBER(H548)),"Unidade a conferir",IF(NOT(ISNUMBER(E548)),"Data de recebimento não informada",IF(AND(ISNUMBER(V548),N(V548)&gt;0,E548&lt;N(V548)),"Data anterior à emissão do MTR",IF(AND(J548="Sim",L548="",M548=""),"Conferido sem evidência identificada",IF(J548&lt;&gt;"Sim","Aguardando conferência",IF(INDEX('ITENS_MTR'!$AM$6:$AM$1005,S548)=1,"Conferido (ver diferença no item)","Conferido"))))))))))))</f>
        <v/>
      </c>
      <c r="Q548" s="96">
        <f>IF(COUNTA(C548,E548:G548,I548:O548)&gt;0,1,0)</f>
        <v>0</v>
      </c>
      <c r="R548" s="96" t="str">
        <f>IF(C548="","",TRIM(LEFT(C548,FIND(" |",C548&amp;" |")-1)))</f>
        <v/>
      </c>
      <c r="S548" s="96" t="str">
        <f>IF(R548="","",IFERROR(MATCH(R548,'ITENS_MTR'!$A$6:$A$1005,0),""))</f>
        <v/>
      </c>
      <c r="T548" s="96">
        <f>IF(S548="",0,IF(INDEX('ITENS_MTR'!$R$6:$R$1005,S548)=1,1,0))</f>
        <v>0</v>
      </c>
      <c r="U548" s="96" t="str">
        <f>IF(T548=1,INDEX('ITENS_MTR'!$T$6:$T$1005,S548),"")</f>
        <v/>
      </c>
      <c r="V548" s="97" t="str">
        <f>IF(N(U548)&gt;0,INDEX('MTRs'!$E$6:$E$505,U548),"")</f>
        <v/>
      </c>
      <c r="W548" s="96" t="str">
        <f>IF(G548="","",IFERROR(IF(ISNUMBER(INDEX(cfg_fac,MATCH(G548,cfg_units,0))),IF(INDEX(cfg_fac,MATCH(G548,cfg_units,0))&gt;0,INDEX(cfg_fac,MATCH(G548,cfg_units,0)),""),""),""))</f>
        <v/>
      </c>
      <c r="X548" s="96">
        <f>IF(AND(ISNUMBER(F548),ISNUMBER(H548)),IF(H548&gt;0,1,0),0)</f>
        <v>0</v>
      </c>
      <c r="Y548" s="96">
        <f>IF(Q548=0,0,IF(OR(T548=0,X548=0,NOT(ISNUMBER(E548)),AND(J548="Sim",L548="",M548=""),AND(ISNUMBER(E548),ISNUMBER(V548),N(V548)&gt;0,E548&lt;N(V548))),1,0))</f>
        <v>0</v>
      </c>
      <c r="Z548" s="96">
        <f>IF(AND(Q548=1,T548=1,X548=1,J548="Sim",OR(L548&lt;&gt;"",M548&lt;&gt;"")),1,0)</f>
        <v>0</v>
      </c>
      <c r="AA548" s="96">
        <f>IF(Q548=0,0,IF(AND(OR(r_ini="",AND(ISNUMBER(E548),E548&gt;=r_ini)),OR(r_fim="",AND(ISNUMBER(E548),E548&lt;=r_fim)),OR(r_un="",r_un="(Todas)",IF(N(U548)&gt;0,INDEX('MTRs'!$G$6:$G$505,U548),"")=r_un),OR(r_de="",r_de="(Todos)",D548=r_de)),1,0))</f>
        <v>0</v>
      </c>
      <c r="AB548" s="96" t="str">
        <f>IF(AA548=1,COUNTIF($AA$6:AA548,1),"")</f>
        <v/>
      </c>
    </row>
    <row r="549">
      <c r="A549" s="89" t="inlineStr">
        <is>
          <t>REC-000544</t>
        </is>
      </c>
      <c r="B549" s="94" t="str">
        <f>IF(T549=1,INDEX('ITENS_MTR'!$S$6:$S$1005,S549)&amp;"","")</f>
        <v/>
      </c>
      <c r="C549" s="91" t="n"/>
      <c r="D549" s="94" t="str">
        <f>IF(N(U549)&gt;0,INDEX('MTRs'!$I$6:$I$505,U549)&amp;"","")</f>
        <v/>
      </c>
      <c r="E549" s="92" t="n"/>
      <c r="F549" s="98" t="n"/>
      <c r="G549" s="91" t="n"/>
      <c r="H549" s="93" t="str">
        <f>IF(Q549=0,"",IF(NOT(ISNUMBER(F549)),"",IF(ISNUMBER(W549),F549*W549,"UNIDADE A CONFERIR")))</f>
        <v/>
      </c>
      <c r="I549" s="91" t="n"/>
      <c r="J549" s="91" t="n"/>
      <c r="K549" s="92" t="n"/>
      <c r="L549" s="91" t="n"/>
      <c r="M549" s="91" t="n"/>
      <c r="N549" s="91" t="n"/>
      <c r="O549" s="91" t="n"/>
      <c r="P549" s="94" t="str">
        <f>IF(Q549=0,"",IF(C549="","Item de resíduo não informado",IF(T549=0,"Item inexistente (referência inválida)",IF(NOT(ISNUMBER(F549)),"Quantidade não informada",IF(F549&lt;=0,"Quantidade não positiva",IF(G549="","Unidade não informada",IF(NOT(ISNUMBER(H549)),"Unidade a conferir",IF(NOT(ISNUMBER(E549)),"Data de recebimento não informada",IF(AND(ISNUMBER(V549),N(V549)&gt;0,E549&lt;N(V549)),"Data anterior à emissão do MTR",IF(AND(J549="Sim",L549="",M549=""),"Conferido sem evidência identificada",IF(J549&lt;&gt;"Sim","Aguardando conferência",IF(INDEX('ITENS_MTR'!$AM$6:$AM$1005,S549)=1,"Conferido (ver diferença no item)","Conferido"))))))))))))</f>
        <v/>
      </c>
      <c r="Q549" s="96">
        <f>IF(COUNTA(C549,E549:G549,I549:O549)&gt;0,1,0)</f>
        <v>0</v>
      </c>
      <c r="R549" s="96" t="str">
        <f>IF(C549="","",TRIM(LEFT(C549,FIND(" |",C549&amp;" |")-1)))</f>
        <v/>
      </c>
      <c r="S549" s="96" t="str">
        <f>IF(R549="","",IFERROR(MATCH(R549,'ITENS_MTR'!$A$6:$A$1005,0),""))</f>
        <v/>
      </c>
      <c r="T549" s="96">
        <f>IF(S549="",0,IF(INDEX('ITENS_MTR'!$R$6:$R$1005,S549)=1,1,0))</f>
        <v>0</v>
      </c>
      <c r="U549" s="96" t="str">
        <f>IF(T549=1,INDEX('ITENS_MTR'!$T$6:$T$1005,S549),"")</f>
        <v/>
      </c>
      <c r="V549" s="97" t="str">
        <f>IF(N(U549)&gt;0,INDEX('MTRs'!$E$6:$E$505,U549),"")</f>
        <v/>
      </c>
      <c r="W549" s="96" t="str">
        <f>IF(G549="","",IFERROR(IF(ISNUMBER(INDEX(cfg_fac,MATCH(G549,cfg_units,0))),IF(INDEX(cfg_fac,MATCH(G549,cfg_units,0))&gt;0,INDEX(cfg_fac,MATCH(G549,cfg_units,0)),""),""),""))</f>
        <v/>
      </c>
      <c r="X549" s="96">
        <f>IF(AND(ISNUMBER(F549),ISNUMBER(H549)),IF(H549&gt;0,1,0),0)</f>
        <v>0</v>
      </c>
      <c r="Y549" s="96">
        <f>IF(Q549=0,0,IF(OR(T549=0,X549=0,NOT(ISNUMBER(E549)),AND(J549="Sim",L549="",M549=""),AND(ISNUMBER(E549),ISNUMBER(V549),N(V549)&gt;0,E549&lt;N(V549))),1,0))</f>
        <v>0</v>
      </c>
      <c r="Z549" s="96">
        <f>IF(AND(Q549=1,T549=1,X549=1,J549="Sim",OR(L549&lt;&gt;"",M549&lt;&gt;"")),1,0)</f>
        <v>0</v>
      </c>
      <c r="AA549" s="96">
        <f>IF(Q549=0,0,IF(AND(OR(r_ini="",AND(ISNUMBER(E549),E549&gt;=r_ini)),OR(r_fim="",AND(ISNUMBER(E549),E549&lt;=r_fim)),OR(r_un="",r_un="(Todas)",IF(N(U549)&gt;0,INDEX('MTRs'!$G$6:$G$505,U549),"")=r_un),OR(r_de="",r_de="(Todos)",D549=r_de)),1,0))</f>
        <v>0</v>
      </c>
      <c r="AB549" s="96" t="str">
        <f>IF(AA549=1,COUNTIF($AA$6:AA549,1),"")</f>
        <v/>
      </c>
    </row>
    <row r="550">
      <c r="A550" s="89" t="inlineStr">
        <is>
          <t>REC-000545</t>
        </is>
      </c>
      <c r="B550" s="94" t="str">
        <f>IF(T550=1,INDEX('ITENS_MTR'!$S$6:$S$1005,S550)&amp;"","")</f>
        <v/>
      </c>
      <c r="C550" s="91" t="n"/>
      <c r="D550" s="94" t="str">
        <f>IF(N(U550)&gt;0,INDEX('MTRs'!$I$6:$I$505,U550)&amp;"","")</f>
        <v/>
      </c>
      <c r="E550" s="92" t="n"/>
      <c r="F550" s="98" t="n"/>
      <c r="G550" s="91" t="n"/>
      <c r="H550" s="93" t="str">
        <f>IF(Q550=0,"",IF(NOT(ISNUMBER(F550)),"",IF(ISNUMBER(W550),F550*W550,"UNIDADE A CONFERIR")))</f>
        <v/>
      </c>
      <c r="I550" s="91" t="n"/>
      <c r="J550" s="91" t="n"/>
      <c r="K550" s="92" t="n"/>
      <c r="L550" s="91" t="n"/>
      <c r="M550" s="91" t="n"/>
      <c r="N550" s="91" t="n"/>
      <c r="O550" s="91" t="n"/>
      <c r="P550" s="94" t="str">
        <f>IF(Q550=0,"",IF(C550="","Item de resíduo não informado",IF(T550=0,"Item inexistente (referência inválida)",IF(NOT(ISNUMBER(F550)),"Quantidade não informada",IF(F550&lt;=0,"Quantidade não positiva",IF(G550="","Unidade não informada",IF(NOT(ISNUMBER(H550)),"Unidade a conferir",IF(NOT(ISNUMBER(E550)),"Data de recebimento não informada",IF(AND(ISNUMBER(V550),N(V550)&gt;0,E550&lt;N(V550)),"Data anterior à emissão do MTR",IF(AND(J550="Sim",L550="",M550=""),"Conferido sem evidência identificada",IF(J550&lt;&gt;"Sim","Aguardando conferência",IF(INDEX('ITENS_MTR'!$AM$6:$AM$1005,S550)=1,"Conferido (ver diferença no item)","Conferido"))))))))))))</f>
        <v/>
      </c>
      <c r="Q550" s="96">
        <f>IF(COUNTA(C550,E550:G550,I550:O550)&gt;0,1,0)</f>
        <v>0</v>
      </c>
      <c r="R550" s="96" t="str">
        <f>IF(C550="","",TRIM(LEFT(C550,FIND(" |",C550&amp;" |")-1)))</f>
        <v/>
      </c>
      <c r="S550" s="96" t="str">
        <f>IF(R550="","",IFERROR(MATCH(R550,'ITENS_MTR'!$A$6:$A$1005,0),""))</f>
        <v/>
      </c>
      <c r="T550" s="96">
        <f>IF(S550="",0,IF(INDEX('ITENS_MTR'!$R$6:$R$1005,S550)=1,1,0))</f>
        <v>0</v>
      </c>
      <c r="U550" s="96" t="str">
        <f>IF(T550=1,INDEX('ITENS_MTR'!$T$6:$T$1005,S550),"")</f>
        <v/>
      </c>
      <c r="V550" s="97" t="str">
        <f>IF(N(U550)&gt;0,INDEX('MTRs'!$E$6:$E$505,U550),"")</f>
        <v/>
      </c>
      <c r="W550" s="96" t="str">
        <f>IF(G550="","",IFERROR(IF(ISNUMBER(INDEX(cfg_fac,MATCH(G550,cfg_units,0))),IF(INDEX(cfg_fac,MATCH(G550,cfg_units,0))&gt;0,INDEX(cfg_fac,MATCH(G550,cfg_units,0)),""),""),""))</f>
        <v/>
      </c>
      <c r="X550" s="96">
        <f>IF(AND(ISNUMBER(F550),ISNUMBER(H550)),IF(H550&gt;0,1,0),0)</f>
        <v>0</v>
      </c>
      <c r="Y550" s="96">
        <f>IF(Q550=0,0,IF(OR(T550=0,X550=0,NOT(ISNUMBER(E550)),AND(J550="Sim",L550="",M550=""),AND(ISNUMBER(E550),ISNUMBER(V550),N(V550)&gt;0,E550&lt;N(V550))),1,0))</f>
        <v>0</v>
      </c>
      <c r="Z550" s="96">
        <f>IF(AND(Q550=1,T550=1,X550=1,J550="Sim",OR(L550&lt;&gt;"",M550&lt;&gt;"")),1,0)</f>
        <v>0</v>
      </c>
      <c r="AA550" s="96">
        <f>IF(Q550=0,0,IF(AND(OR(r_ini="",AND(ISNUMBER(E550),E550&gt;=r_ini)),OR(r_fim="",AND(ISNUMBER(E550),E550&lt;=r_fim)),OR(r_un="",r_un="(Todas)",IF(N(U550)&gt;0,INDEX('MTRs'!$G$6:$G$505,U550),"")=r_un),OR(r_de="",r_de="(Todos)",D550=r_de)),1,0))</f>
        <v>0</v>
      </c>
      <c r="AB550" s="96" t="str">
        <f>IF(AA550=1,COUNTIF($AA$6:AA550,1),"")</f>
        <v/>
      </c>
    </row>
    <row r="551">
      <c r="A551" s="89" t="inlineStr">
        <is>
          <t>REC-000546</t>
        </is>
      </c>
      <c r="B551" s="94" t="str">
        <f>IF(T551=1,INDEX('ITENS_MTR'!$S$6:$S$1005,S551)&amp;"","")</f>
        <v/>
      </c>
      <c r="C551" s="91" t="n"/>
      <c r="D551" s="94" t="str">
        <f>IF(N(U551)&gt;0,INDEX('MTRs'!$I$6:$I$505,U551)&amp;"","")</f>
        <v/>
      </c>
      <c r="E551" s="92" t="n"/>
      <c r="F551" s="98" t="n"/>
      <c r="G551" s="91" t="n"/>
      <c r="H551" s="93" t="str">
        <f>IF(Q551=0,"",IF(NOT(ISNUMBER(F551)),"",IF(ISNUMBER(W551),F551*W551,"UNIDADE A CONFERIR")))</f>
        <v/>
      </c>
      <c r="I551" s="91" t="n"/>
      <c r="J551" s="91" t="n"/>
      <c r="K551" s="92" t="n"/>
      <c r="L551" s="91" t="n"/>
      <c r="M551" s="91" t="n"/>
      <c r="N551" s="91" t="n"/>
      <c r="O551" s="91" t="n"/>
      <c r="P551" s="94" t="str">
        <f>IF(Q551=0,"",IF(C551="","Item de resíduo não informado",IF(T551=0,"Item inexistente (referência inválida)",IF(NOT(ISNUMBER(F551)),"Quantidade não informada",IF(F551&lt;=0,"Quantidade não positiva",IF(G551="","Unidade não informada",IF(NOT(ISNUMBER(H551)),"Unidade a conferir",IF(NOT(ISNUMBER(E551)),"Data de recebimento não informada",IF(AND(ISNUMBER(V551),N(V551)&gt;0,E551&lt;N(V551)),"Data anterior à emissão do MTR",IF(AND(J551="Sim",L551="",M551=""),"Conferido sem evidência identificada",IF(J551&lt;&gt;"Sim","Aguardando conferência",IF(INDEX('ITENS_MTR'!$AM$6:$AM$1005,S551)=1,"Conferido (ver diferença no item)","Conferido"))))))))))))</f>
        <v/>
      </c>
      <c r="Q551" s="96">
        <f>IF(COUNTA(C551,E551:G551,I551:O551)&gt;0,1,0)</f>
        <v>0</v>
      </c>
      <c r="R551" s="96" t="str">
        <f>IF(C551="","",TRIM(LEFT(C551,FIND(" |",C551&amp;" |")-1)))</f>
        <v/>
      </c>
      <c r="S551" s="96" t="str">
        <f>IF(R551="","",IFERROR(MATCH(R551,'ITENS_MTR'!$A$6:$A$1005,0),""))</f>
        <v/>
      </c>
      <c r="T551" s="96">
        <f>IF(S551="",0,IF(INDEX('ITENS_MTR'!$R$6:$R$1005,S551)=1,1,0))</f>
        <v>0</v>
      </c>
      <c r="U551" s="96" t="str">
        <f>IF(T551=1,INDEX('ITENS_MTR'!$T$6:$T$1005,S551),"")</f>
        <v/>
      </c>
      <c r="V551" s="97" t="str">
        <f>IF(N(U551)&gt;0,INDEX('MTRs'!$E$6:$E$505,U551),"")</f>
        <v/>
      </c>
      <c r="W551" s="96" t="str">
        <f>IF(G551="","",IFERROR(IF(ISNUMBER(INDEX(cfg_fac,MATCH(G551,cfg_units,0))),IF(INDEX(cfg_fac,MATCH(G551,cfg_units,0))&gt;0,INDEX(cfg_fac,MATCH(G551,cfg_units,0)),""),""),""))</f>
        <v/>
      </c>
      <c r="X551" s="96">
        <f>IF(AND(ISNUMBER(F551),ISNUMBER(H551)),IF(H551&gt;0,1,0),0)</f>
        <v>0</v>
      </c>
      <c r="Y551" s="96">
        <f>IF(Q551=0,0,IF(OR(T551=0,X551=0,NOT(ISNUMBER(E551)),AND(J551="Sim",L551="",M551=""),AND(ISNUMBER(E551),ISNUMBER(V551),N(V551)&gt;0,E551&lt;N(V551))),1,0))</f>
        <v>0</v>
      </c>
      <c r="Z551" s="96">
        <f>IF(AND(Q551=1,T551=1,X551=1,J551="Sim",OR(L551&lt;&gt;"",M551&lt;&gt;"")),1,0)</f>
        <v>0</v>
      </c>
      <c r="AA551" s="96">
        <f>IF(Q551=0,0,IF(AND(OR(r_ini="",AND(ISNUMBER(E551),E551&gt;=r_ini)),OR(r_fim="",AND(ISNUMBER(E551),E551&lt;=r_fim)),OR(r_un="",r_un="(Todas)",IF(N(U551)&gt;0,INDEX('MTRs'!$G$6:$G$505,U551),"")=r_un),OR(r_de="",r_de="(Todos)",D551=r_de)),1,0))</f>
        <v>0</v>
      </c>
      <c r="AB551" s="96" t="str">
        <f>IF(AA551=1,COUNTIF($AA$6:AA551,1),"")</f>
        <v/>
      </c>
    </row>
    <row r="552">
      <c r="A552" s="89" t="inlineStr">
        <is>
          <t>REC-000547</t>
        </is>
      </c>
      <c r="B552" s="94" t="str">
        <f>IF(T552=1,INDEX('ITENS_MTR'!$S$6:$S$1005,S552)&amp;"","")</f>
        <v/>
      </c>
      <c r="C552" s="91" t="n"/>
      <c r="D552" s="94" t="str">
        <f>IF(N(U552)&gt;0,INDEX('MTRs'!$I$6:$I$505,U552)&amp;"","")</f>
        <v/>
      </c>
      <c r="E552" s="92" t="n"/>
      <c r="F552" s="98" t="n"/>
      <c r="G552" s="91" t="n"/>
      <c r="H552" s="93" t="str">
        <f>IF(Q552=0,"",IF(NOT(ISNUMBER(F552)),"",IF(ISNUMBER(W552),F552*W552,"UNIDADE A CONFERIR")))</f>
        <v/>
      </c>
      <c r="I552" s="91" t="n"/>
      <c r="J552" s="91" t="n"/>
      <c r="K552" s="92" t="n"/>
      <c r="L552" s="91" t="n"/>
      <c r="M552" s="91" t="n"/>
      <c r="N552" s="91" t="n"/>
      <c r="O552" s="91" t="n"/>
      <c r="P552" s="94" t="str">
        <f>IF(Q552=0,"",IF(C552="","Item de resíduo não informado",IF(T552=0,"Item inexistente (referência inválida)",IF(NOT(ISNUMBER(F552)),"Quantidade não informada",IF(F552&lt;=0,"Quantidade não positiva",IF(G552="","Unidade não informada",IF(NOT(ISNUMBER(H552)),"Unidade a conferir",IF(NOT(ISNUMBER(E552)),"Data de recebimento não informada",IF(AND(ISNUMBER(V552),N(V552)&gt;0,E552&lt;N(V552)),"Data anterior à emissão do MTR",IF(AND(J552="Sim",L552="",M552=""),"Conferido sem evidência identificada",IF(J552&lt;&gt;"Sim","Aguardando conferência",IF(INDEX('ITENS_MTR'!$AM$6:$AM$1005,S552)=1,"Conferido (ver diferença no item)","Conferido"))))))))))))</f>
        <v/>
      </c>
      <c r="Q552" s="96">
        <f>IF(COUNTA(C552,E552:G552,I552:O552)&gt;0,1,0)</f>
        <v>0</v>
      </c>
      <c r="R552" s="96" t="str">
        <f>IF(C552="","",TRIM(LEFT(C552,FIND(" |",C552&amp;" |")-1)))</f>
        <v/>
      </c>
      <c r="S552" s="96" t="str">
        <f>IF(R552="","",IFERROR(MATCH(R552,'ITENS_MTR'!$A$6:$A$1005,0),""))</f>
        <v/>
      </c>
      <c r="T552" s="96">
        <f>IF(S552="",0,IF(INDEX('ITENS_MTR'!$R$6:$R$1005,S552)=1,1,0))</f>
        <v>0</v>
      </c>
      <c r="U552" s="96" t="str">
        <f>IF(T552=1,INDEX('ITENS_MTR'!$T$6:$T$1005,S552),"")</f>
        <v/>
      </c>
      <c r="V552" s="97" t="str">
        <f>IF(N(U552)&gt;0,INDEX('MTRs'!$E$6:$E$505,U552),"")</f>
        <v/>
      </c>
      <c r="W552" s="96" t="str">
        <f>IF(G552="","",IFERROR(IF(ISNUMBER(INDEX(cfg_fac,MATCH(G552,cfg_units,0))),IF(INDEX(cfg_fac,MATCH(G552,cfg_units,0))&gt;0,INDEX(cfg_fac,MATCH(G552,cfg_units,0)),""),""),""))</f>
        <v/>
      </c>
      <c r="X552" s="96">
        <f>IF(AND(ISNUMBER(F552),ISNUMBER(H552)),IF(H552&gt;0,1,0),0)</f>
        <v>0</v>
      </c>
      <c r="Y552" s="96">
        <f>IF(Q552=0,0,IF(OR(T552=0,X552=0,NOT(ISNUMBER(E552)),AND(J552="Sim",L552="",M552=""),AND(ISNUMBER(E552),ISNUMBER(V552),N(V552)&gt;0,E552&lt;N(V552))),1,0))</f>
        <v>0</v>
      </c>
      <c r="Z552" s="96">
        <f>IF(AND(Q552=1,T552=1,X552=1,J552="Sim",OR(L552&lt;&gt;"",M552&lt;&gt;"")),1,0)</f>
        <v>0</v>
      </c>
      <c r="AA552" s="96">
        <f>IF(Q552=0,0,IF(AND(OR(r_ini="",AND(ISNUMBER(E552),E552&gt;=r_ini)),OR(r_fim="",AND(ISNUMBER(E552),E552&lt;=r_fim)),OR(r_un="",r_un="(Todas)",IF(N(U552)&gt;0,INDEX('MTRs'!$G$6:$G$505,U552),"")=r_un),OR(r_de="",r_de="(Todos)",D552=r_de)),1,0))</f>
        <v>0</v>
      </c>
      <c r="AB552" s="96" t="str">
        <f>IF(AA552=1,COUNTIF($AA$6:AA552,1),"")</f>
        <v/>
      </c>
    </row>
    <row r="553">
      <c r="A553" s="89" t="inlineStr">
        <is>
          <t>REC-000548</t>
        </is>
      </c>
      <c r="B553" s="94" t="str">
        <f>IF(T553=1,INDEX('ITENS_MTR'!$S$6:$S$1005,S553)&amp;"","")</f>
        <v/>
      </c>
      <c r="C553" s="91" t="n"/>
      <c r="D553" s="94" t="str">
        <f>IF(N(U553)&gt;0,INDEX('MTRs'!$I$6:$I$505,U553)&amp;"","")</f>
        <v/>
      </c>
      <c r="E553" s="92" t="n"/>
      <c r="F553" s="98" t="n"/>
      <c r="G553" s="91" t="n"/>
      <c r="H553" s="93" t="str">
        <f>IF(Q553=0,"",IF(NOT(ISNUMBER(F553)),"",IF(ISNUMBER(W553),F553*W553,"UNIDADE A CONFERIR")))</f>
        <v/>
      </c>
      <c r="I553" s="91" t="n"/>
      <c r="J553" s="91" t="n"/>
      <c r="K553" s="92" t="n"/>
      <c r="L553" s="91" t="n"/>
      <c r="M553" s="91" t="n"/>
      <c r="N553" s="91" t="n"/>
      <c r="O553" s="91" t="n"/>
      <c r="P553" s="94" t="str">
        <f>IF(Q553=0,"",IF(C553="","Item de resíduo não informado",IF(T553=0,"Item inexistente (referência inválida)",IF(NOT(ISNUMBER(F553)),"Quantidade não informada",IF(F553&lt;=0,"Quantidade não positiva",IF(G553="","Unidade não informada",IF(NOT(ISNUMBER(H553)),"Unidade a conferir",IF(NOT(ISNUMBER(E553)),"Data de recebimento não informada",IF(AND(ISNUMBER(V553),N(V553)&gt;0,E553&lt;N(V553)),"Data anterior à emissão do MTR",IF(AND(J553="Sim",L553="",M553=""),"Conferido sem evidência identificada",IF(J553&lt;&gt;"Sim","Aguardando conferência",IF(INDEX('ITENS_MTR'!$AM$6:$AM$1005,S553)=1,"Conferido (ver diferença no item)","Conferido"))))))))))))</f>
        <v/>
      </c>
      <c r="Q553" s="96">
        <f>IF(COUNTA(C553,E553:G553,I553:O553)&gt;0,1,0)</f>
        <v>0</v>
      </c>
      <c r="R553" s="96" t="str">
        <f>IF(C553="","",TRIM(LEFT(C553,FIND(" |",C553&amp;" |")-1)))</f>
        <v/>
      </c>
      <c r="S553" s="96" t="str">
        <f>IF(R553="","",IFERROR(MATCH(R553,'ITENS_MTR'!$A$6:$A$1005,0),""))</f>
        <v/>
      </c>
      <c r="T553" s="96">
        <f>IF(S553="",0,IF(INDEX('ITENS_MTR'!$R$6:$R$1005,S553)=1,1,0))</f>
        <v>0</v>
      </c>
      <c r="U553" s="96" t="str">
        <f>IF(T553=1,INDEX('ITENS_MTR'!$T$6:$T$1005,S553),"")</f>
        <v/>
      </c>
      <c r="V553" s="97" t="str">
        <f>IF(N(U553)&gt;0,INDEX('MTRs'!$E$6:$E$505,U553),"")</f>
        <v/>
      </c>
      <c r="W553" s="96" t="str">
        <f>IF(G553="","",IFERROR(IF(ISNUMBER(INDEX(cfg_fac,MATCH(G553,cfg_units,0))),IF(INDEX(cfg_fac,MATCH(G553,cfg_units,0))&gt;0,INDEX(cfg_fac,MATCH(G553,cfg_units,0)),""),""),""))</f>
        <v/>
      </c>
      <c r="X553" s="96">
        <f>IF(AND(ISNUMBER(F553),ISNUMBER(H553)),IF(H553&gt;0,1,0),0)</f>
        <v>0</v>
      </c>
      <c r="Y553" s="96">
        <f>IF(Q553=0,0,IF(OR(T553=0,X553=0,NOT(ISNUMBER(E553)),AND(J553="Sim",L553="",M553=""),AND(ISNUMBER(E553),ISNUMBER(V553),N(V553)&gt;0,E553&lt;N(V553))),1,0))</f>
        <v>0</v>
      </c>
      <c r="Z553" s="96">
        <f>IF(AND(Q553=1,T553=1,X553=1,J553="Sim",OR(L553&lt;&gt;"",M553&lt;&gt;"")),1,0)</f>
        <v>0</v>
      </c>
      <c r="AA553" s="96">
        <f>IF(Q553=0,0,IF(AND(OR(r_ini="",AND(ISNUMBER(E553),E553&gt;=r_ini)),OR(r_fim="",AND(ISNUMBER(E553),E553&lt;=r_fim)),OR(r_un="",r_un="(Todas)",IF(N(U553)&gt;0,INDEX('MTRs'!$G$6:$G$505,U553),"")=r_un),OR(r_de="",r_de="(Todos)",D553=r_de)),1,0))</f>
        <v>0</v>
      </c>
      <c r="AB553" s="96" t="str">
        <f>IF(AA553=1,COUNTIF($AA$6:AA553,1),"")</f>
        <v/>
      </c>
    </row>
    <row r="554">
      <c r="A554" s="89" t="inlineStr">
        <is>
          <t>REC-000549</t>
        </is>
      </c>
      <c r="B554" s="94" t="str">
        <f>IF(T554=1,INDEX('ITENS_MTR'!$S$6:$S$1005,S554)&amp;"","")</f>
        <v/>
      </c>
      <c r="C554" s="91" t="n"/>
      <c r="D554" s="94" t="str">
        <f>IF(N(U554)&gt;0,INDEX('MTRs'!$I$6:$I$505,U554)&amp;"","")</f>
        <v/>
      </c>
      <c r="E554" s="92" t="n"/>
      <c r="F554" s="98" t="n"/>
      <c r="G554" s="91" t="n"/>
      <c r="H554" s="93" t="str">
        <f>IF(Q554=0,"",IF(NOT(ISNUMBER(F554)),"",IF(ISNUMBER(W554),F554*W554,"UNIDADE A CONFERIR")))</f>
        <v/>
      </c>
      <c r="I554" s="91" t="n"/>
      <c r="J554" s="91" t="n"/>
      <c r="K554" s="92" t="n"/>
      <c r="L554" s="91" t="n"/>
      <c r="M554" s="91" t="n"/>
      <c r="N554" s="91" t="n"/>
      <c r="O554" s="91" t="n"/>
      <c r="P554" s="94" t="str">
        <f>IF(Q554=0,"",IF(C554="","Item de resíduo não informado",IF(T554=0,"Item inexistente (referência inválida)",IF(NOT(ISNUMBER(F554)),"Quantidade não informada",IF(F554&lt;=0,"Quantidade não positiva",IF(G554="","Unidade não informada",IF(NOT(ISNUMBER(H554)),"Unidade a conferir",IF(NOT(ISNUMBER(E554)),"Data de recebimento não informada",IF(AND(ISNUMBER(V554),N(V554)&gt;0,E554&lt;N(V554)),"Data anterior à emissão do MTR",IF(AND(J554="Sim",L554="",M554=""),"Conferido sem evidência identificada",IF(J554&lt;&gt;"Sim","Aguardando conferência",IF(INDEX('ITENS_MTR'!$AM$6:$AM$1005,S554)=1,"Conferido (ver diferença no item)","Conferido"))))))))))))</f>
        <v/>
      </c>
      <c r="Q554" s="96">
        <f>IF(COUNTA(C554,E554:G554,I554:O554)&gt;0,1,0)</f>
        <v>0</v>
      </c>
      <c r="R554" s="96" t="str">
        <f>IF(C554="","",TRIM(LEFT(C554,FIND(" |",C554&amp;" |")-1)))</f>
        <v/>
      </c>
      <c r="S554" s="96" t="str">
        <f>IF(R554="","",IFERROR(MATCH(R554,'ITENS_MTR'!$A$6:$A$1005,0),""))</f>
        <v/>
      </c>
      <c r="T554" s="96">
        <f>IF(S554="",0,IF(INDEX('ITENS_MTR'!$R$6:$R$1005,S554)=1,1,0))</f>
        <v>0</v>
      </c>
      <c r="U554" s="96" t="str">
        <f>IF(T554=1,INDEX('ITENS_MTR'!$T$6:$T$1005,S554),"")</f>
        <v/>
      </c>
      <c r="V554" s="97" t="str">
        <f>IF(N(U554)&gt;0,INDEX('MTRs'!$E$6:$E$505,U554),"")</f>
        <v/>
      </c>
      <c r="W554" s="96" t="str">
        <f>IF(G554="","",IFERROR(IF(ISNUMBER(INDEX(cfg_fac,MATCH(G554,cfg_units,0))),IF(INDEX(cfg_fac,MATCH(G554,cfg_units,0))&gt;0,INDEX(cfg_fac,MATCH(G554,cfg_units,0)),""),""),""))</f>
        <v/>
      </c>
      <c r="X554" s="96">
        <f>IF(AND(ISNUMBER(F554),ISNUMBER(H554)),IF(H554&gt;0,1,0),0)</f>
        <v>0</v>
      </c>
      <c r="Y554" s="96">
        <f>IF(Q554=0,0,IF(OR(T554=0,X554=0,NOT(ISNUMBER(E554)),AND(J554="Sim",L554="",M554=""),AND(ISNUMBER(E554),ISNUMBER(V554),N(V554)&gt;0,E554&lt;N(V554))),1,0))</f>
        <v>0</v>
      </c>
      <c r="Z554" s="96">
        <f>IF(AND(Q554=1,T554=1,X554=1,J554="Sim",OR(L554&lt;&gt;"",M554&lt;&gt;"")),1,0)</f>
        <v>0</v>
      </c>
      <c r="AA554" s="96">
        <f>IF(Q554=0,0,IF(AND(OR(r_ini="",AND(ISNUMBER(E554),E554&gt;=r_ini)),OR(r_fim="",AND(ISNUMBER(E554),E554&lt;=r_fim)),OR(r_un="",r_un="(Todas)",IF(N(U554)&gt;0,INDEX('MTRs'!$G$6:$G$505,U554),"")=r_un),OR(r_de="",r_de="(Todos)",D554=r_de)),1,0))</f>
        <v>0</v>
      </c>
      <c r="AB554" s="96" t="str">
        <f>IF(AA554=1,COUNTIF($AA$6:AA554,1),"")</f>
        <v/>
      </c>
    </row>
    <row r="555">
      <c r="A555" s="89" t="inlineStr">
        <is>
          <t>REC-000550</t>
        </is>
      </c>
      <c r="B555" s="94" t="str">
        <f>IF(T555=1,INDEX('ITENS_MTR'!$S$6:$S$1005,S555)&amp;"","")</f>
        <v/>
      </c>
      <c r="C555" s="91" t="n"/>
      <c r="D555" s="94" t="str">
        <f>IF(N(U555)&gt;0,INDEX('MTRs'!$I$6:$I$505,U555)&amp;"","")</f>
        <v/>
      </c>
      <c r="E555" s="92" t="n"/>
      <c r="F555" s="98" t="n"/>
      <c r="G555" s="91" t="n"/>
      <c r="H555" s="93" t="str">
        <f>IF(Q555=0,"",IF(NOT(ISNUMBER(F555)),"",IF(ISNUMBER(W555),F555*W555,"UNIDADE A CONFERIR")))</f>
        <v/>
      </c>
      <c r="I555" s="91" t="n"/>
      <c r="J555" s="91" t="n"/>
      <c r="K555" s="92" t="n"/>
      <c r="L555" s="91" t="n"/>
      <c r="M555" s="91" t="n"/>
      <c r="N555" s="91" t="n"/>
      <c r="O555" s="91" t="n"/>
      <c r="P555" s="94" t="str">
        <f>IF(Q555=0,"",IF(C555="","Item de resíduo não informado",IF(T555=0,"Item inexistente (referência inválida)",IF(NOT(ISNUMBER(F555)),"Quantidade não informada",IF(F555&lt;=0,"Quantidade não positiva",IF(G555="","Unidade não informada",IF(NOT(ISNUMBER(H555)),"Unidade a conferir",IF(NOT(ISNUMBER(E555)),"Data de recebimento não informada",IF(AND(ISNUMBER(V555),N(V555)&gt;0,E555&lt;N(V555)),"Data anterior à emissão do MTR",IF(AND(J555="Sim",L555="",M555=""),"Conferido sem evidência identificada",IF(J555&lt;&gt;"Sim","Aguardando conferência",IF(INDEX('ITENS_MTR'!$AM$6:$AM$1005,S555)=1,"Conferido (ver diferença no item)","Conferido"))))))))))))</f>
        <v/>
      </c>
      <c r="Q555" s="96">
        <f>IF(COUNTA(C555,E555:G555,I555:O555)&gt;0,1,0)</f>
        <v>0</v>
      </c>
      <c r="R555" s="96" t="str">
        <f>IF(C555="","",TRIM(LEFT(C555,FIND(" |",C555&amp;" |")-1)))</f>
        <v/>
      </c>
      <c r="S555" s="96" t="str">
        <f>IF(R555="","",IFERROR(MATCH(R555,'ITENS_MTR'!$A$6:$A$1005,0),""))</f>
        <v/>
      </c>
      <c r="T555" s="96">
        <f>IF(S555="",0,IF(INDEX('ITENS_MTR'!$R$6:$R$1005,S555)=1,1,0))</f>
        <v>0</v>
      </c>
      <c r="U555" s="96" t="str">
        <f>IF(T555=1,INDEX('ITENS_MTR'!$T$6:$T$1005,S555),"")</f>
        <v/>
      </c>
      <c r="V555" s="97" t="str">
        <f>IF(N(U555)&gt;0,INDEX('MTRs'!$E$6:$E$505,U555),"")</f>
        <v/>
      </c>
      <c r="W555" s="96" t="str">
        <f>IF(G555="","",IFERROR(IF(ISNUMBER(INDEX(cfg_fac,MATCH(G555,cfg_units,0))),IF(INDEX(cfg_fac,MATCH(G555,cfg_units,0))&gt;0,INDEX(cfg_fac,MATCH(G555,cfg_units,0)),""),""),""))</f>
        <v/>
      </c>
      <c r="X555" s="96">
        <f>IF(AND(ISNUMBER(F555),ISNUMBER(H555)),IF(H555&gt;0,1,0),0)</f>
        <v>0</v>
      </c>
      <c r="Y555" s="96">
        <f>IF(Q555=0,0,IF(OR(T555=0,X555=0,NOT(ISNUMBER(E555)),AND(J555="Sim",L555="",M555=""),AND(ISNUMBER(E555),ISNUMBER(V555),N(V555)&gt;0,E555&lt;N(V555))),1,0))</f>
        <v>0</v>
      </c>
      <c r="Z555" s="96">
        <f>IF(AND(Q555=1,T555=1,X555=1,J555="Sim",OR(L555&lt;&gt;"",M555&lt;&gt;"")),1,0)</f>
        <v>0</v>
      </c>
      <c r="AA555" s="96">
        <f>IF(Q555=0,0,IF(AND(OR(r_ini="",AND(ISNUMBER(E555),E555&gt;=r_ini)),OR(r_fim="",AND(ISNUMBER(E555),E555&lt;=r_fim)),OR(r_un="",r_un="(Todas)",IF(N(U555)&gt;0,INDEX('MTRs'!$G$6:$G$505,U555),"")=r_un),OR(r_de="",r_de="(Todos)",D555=r_de)),1,0))</f>
        <v>0</v>
      </c>
      <c r="AB555" s="96" t="str">
        <f>IF(AA555=1,COUNTIF($AA$6:AA555,1),"")</f>
        <v/>
      </c>
    </row>
    <row r="556">
      <c r="A556" s="89" t="inlineStr">
        <is>
          <t>REC-000551</t>
        </is>
      </c>
      <c r="B556" s="94" t="str">
        <f>IF(T556=1,INDEX('ITENS_MTR'!$S$6:$S$1005,S556)&amp;"","")</f>
        <v/>
      </c>
      <c r="C556" s="91" t="n"/>
      <c r="D556" s="94" t="str">
        <f>IF(N(U556)&gt;0,INDEX('MTRs'!$I$6:$I$505,U556)&amp;"","")</f>
        <v/>
      </c>
      <c r="E556" s="92" t="n"/>
      <c r="F556" s="98" t="n"/>
      <c r="G556" s="91" t="n"/>
      <c r="H556" s="93" t="str">
        <f>IF(Q556=0,"",IF(NOT(ISNUMBER(F556)),"",IF(ISNUMBER(W556),F556*W556,"UNIDADE A CONFERIR")))</f>
        <v/>
      </c>
      <c r="I556" s="91" t="n"/>
      <c r="J556" s="91" t="n"/>
      <c r="K556" s="92" t="n"/>
      <c r="L556" s="91" t="n"/>
      <c r="M556" s="91" t="n"/>
      <c r="N556" s="91" t="n"/>
      <c r="O556" s="91" t="n"/>
      <c r="P556" s="94" t="str">
        <f>IF(Q556=0,"",IF(C556="","Item de resíduo não informado",IF(T556=0,"Item inexistente (referência inválida)",IF(NOT(ISNUMBER(F556)),"Quantidade não informada",IF(F556&lt;=0,"Quantidade não positiva",IF(G556="","Unidade não informada",IF(NOT(ISNUMBER(H556)),"Unidade a conferir",IF(NOT(ISNUMBER(E556)),"Data de recebimento não informada",IF(AND(ISNUMBER(V556),N(V556)&gt;0,E556&lt;N(V556)),"Data anterior à emissão do MTR",IF(AND(J556="Sim",L556="",M556=""),"Conferido sem evidência identificada",IF(J556&lt;&gt;"Sim","Aguardando conferência",IF(INDEX('ITENS_MTR'!$AM$6:$AM$1005,S556)=1,"Conferido (ver diferença no item)","Conferido"))))))))))))</f>
        <v/>
      </c>
      <c r="Q556" s="96">
        <f>IF(COUNTA(C556,E556:G556,I556:O556)&gt;0,1,0)</f>
        <v>0</v>
      </c>
      <c r="R556" s="96" t="str">
        <f>IF(C556="","",TRIM(LEFT(C556,FIND(" |",C556&amp;" |")-1)))</f>
        <v/>
      </c>
      <c r="S556" s="96" t="str">
        <f>IF(R556="","",IFERROR(MATCH(R556,'ITENS_MTR'!$A$6:$A$1005,0),""))</f>
        <v/>
      </c>
      <c r="T556" s="96">
        <f>IF(S556="",0,IF(INDEX('ITENS_MTR'!$R$6:$R$1005,S556)=1,1,0))</f>
        <v>0</v>
      </c>
      <c r="U556" s="96" t="str">
        <f>IF(T556=1,INDEX('ITENS_MTR'!$T$6:$T$1005,S556),"")</f>
        <v/>
      </c>
      <c r="V556" s="97" t="str">
        <f>IF(N(U556)&gt;0,INDEX('MTRs'!$E$6:$E$505,U556),"")</f>
        <v/>
      </c>
      <c r="W556" s="96" t="str">
        <f>IF(G556="","",IFERROR(IF(ISNUMBER(INDEX(cfg_fac,MATCH(G556,cfg_units,0))),IF(INDEX(cfg_fac,MATCH(G556,cfg_units,0))&gt;0,INDEX(cfg_fac,MATCH(G556,cfg_units,0)),""),""),""))</f>
        <v/>
      </c>
      <c r="X556" s="96">
        <f>IF(AND(ISNUMBER(F556),ISNUMBER(H556)),IF(H556&gt;0,1,0),0)</f>
        <v>0</v>
      </c>
      <c r="Y556" s="96">
        <f>IF(Q556=0,0,IF(OR(T556=0,X556=0,NOT(ISNUMBER(E556)),AND(J556="Sim",L556="",M556=""),AND(ISNUMBER(E556),ISNUMBER(V556),N(V556)&gt;0,E556&lt;N(V556))),1,0))</f>
        <v>0</v>
      </c>
      <c r="Z556" s="96">
        <f>IF(AND(Q556=1,T556=1,X556=1,J556="Sim",OR(L556&lt;&gt;"",M556&lt;&gt;"")),1,0)</f>
        <v>0</v>
      </c>
      <c r="AA556" s="96">
        <f>IF(Q556=0,0,IF(AND(OR(r_ini="",AND(ISNUMBER(E556),E556&gt;=r_ini)),OR(r_fim="",AND(ISNUMBER(E556),E556&lt;=r_fim)),OR(r_un="",r_un="(Todas)",IF(N(U556)&gt;0,INDEX('MTRs'!$G$6:$G$505,U556),"")=r_un),OR(r_de="",r_de="(Todos)",D556=r_de)),1,0))</f>
        <v>0</v>
      </c>
      <c r="AB556" s="96" t="str">
        <f>IF(AA556=1,COUNTIF($AA$6:AA556,1),"")</f>
        <v/>
      </c>
    </row>
    <row r="557">
      <c r="A557" s="89" t="inlineStr">
        <is>
          <t>REC-000552</t>
        </is>
      </c>
      <c r="B557" s="94" t="str">
        <f>IF(T557=1,INDEX('ITENS_MTR'!$S$6:$S$1005,S557)&amp;"","")</f>
        <v/>
      </c>
      <c r="C557" s="91" t="n"/>
      <c r="D557" s="94" t="str">
        <f>IF(N(U557)&gt;0,INDEX('MTRs'!$I$6:$I$505,U557)&amp;"","")</f>
        <v/>
      </c>
      <c r="E557" s="92" t="n"/>
      <c r="F557" s="98" t="n"/>
      <c r="G557" s="91" t="n"/>
      <c r="H557" s="93" t="str">
        <f>IF(Q557=0,"",IF(NOT(ISNUMBER(F557)),"",IF(ISNUMBER(W557),F557*W557,"UNIDADE A CONFERIR")))</f>
        <v/>
      </c>
      <c r="I557" s="91" t="n"/>
      <c r="J557" s="91" t="n"/>
      <c r="K557" s="92" t="n"/>
      <c r="L557" s="91" t="n"/>
      <c r="M557" s="91" t="n"/>
      <c r="N557" s="91" t="n"/>
      <c r="O557" s="91" t="n"/>
      <c r="P557" s="94" t="str">
        <f>IF(Q557=0,"",IF(C557="","Item de resíduo não informado",IF(T557=0,"Item inexistente (referência inválida)",IF(NOT(ISNUMBER(F557)),"Quantidade não informada",IF(F557&lt;=0,"Quantidade não positiva",IF(G557="","Unidade não informada",IF(NOT(ISNUMBER(H557)),"Unidade a conferir",IF(NOT(ISNUMBER(E557)),"Data de recebimento não informada",IF(AND(ISNUMBER(V557),N(V557)&gt;0,E557&lt;N(V557)),"Data anterior à emissão do MTR",IF(AND(J557="Sim",L557="",M557=""),"Conferido sem evidência identificada",IF(J557&lt;&gt;"Sim","Aguardando conferência",IF(INDEX('ITENS_MTR'!$AM$6:$AM$1005,S557)=1,"Conferido (ver diferença no item)","Conferido"))))))))))))</f>
        <v/>
      </c>
      <c r="Q557" s="96">
        <f>IF(COUNTA(C557,E557:G557,I557:O557)&gt;0,1,0)</f>
        <v>0</v>
      </c>
      <c r="R557" s="96" t="str">
        <f>IF(C557="","",TRIM(LEFT(C557,FIND(" |",C557&amp;" |")-1)))</f>
        <v/>
      </c>
      <c r="S557" s="96" t="str">
        <f>IF(R557="","",IFERROR(MATCH(R557,'ITENS_MTR'!$A$6:$A$1005,0),""))</f>
        <v/>
      </c>
      <c r="T557" s="96">
        <f>IF(S557="",0,IF(INDEX('ITENS_MTR'!$R$6:$R$1005,S557)=1,1,0))</f>
        <v>0</v>
      </c>
      <c r="U557" s="96" t="str">
        <f>IF(T557=1,INDEX('ITENS_MTR'!$T$6:$T$1005,S557),"")</f>
        <v/>
      </c>
      <c r="V557" s="97" t="str">
        <f>IF(N(U557)&gt;0,INDEX('MTRs'!$E$6:$E$505,U557),"")</f>
        <v/>
      </c>
      <c r="W557" s="96" t="str">
        <f>IF(G557="","",IFERROR(IF(ISNUMBER(INDEX(cfg_fac,MATCH(G557,cfg_units,0))),IF(INDEX(cfg_fac,MATCH(G557,cfg_units,0))&gt;0,INDEX(cfg_fac,MATCH(G557,cfg_units,0)),""),""),""))</f>
        <v/>
      </c>
      <c r="X557" s="96">
        <f>IF(AND(ISNUMBER(F557),ISNUMBER(H557)),IF(H557&gt;0,1,0),0)</f>
        <v>0</v>
      </c>
      <c r="Y557" s="96">
        <f>IF(Q557=0,0,IF(OR(T557=0,X557=0,NOT(ISNUMBER(E557)),AND(J557="Sim",L557="",M557=""),AND(ISNUMBER(E557),ISNUMBER(V557),N(V557)&gt;0,E557&lt;N(V557))),1,0))</f>
        <v>0</v>
      </c>
      <c r="Z557" s="96">
        <f>IF(AND(Q557=1,T557=1,X557=1,J557="Sim",OR(L557&lt;&gt;"",M557&lt;&gt;"")),1,0)</f>
        <v>0</v>
      </c>
      <c r="AA557" s="96">
        <f>IF(Q557=0,0,IF(AND(OR(r_ini="",AND(ISNUMBER(E557),E557&gt;=r_ini)),OR(r_fim="",AND(ISNUMBER(E557),E557&lt;=r_fim)),OR(r_un="",r_un="(Todas)",IF(N(U557)&gt;0,INDEX('MTRs'!$G$6:$G$505,U557),"")=r_un),OR(r_de="",r_de="(Todos)",D557=r_de)),1,0))</f>
        <v>0</v>
      </c>
      <c r="AB557" s="96" t="str">
        <f>IF(AA557=1,COUNTIF($AA$6:AA557,1),"")</f>
        <v/>
      </c>
    </row>
    <row r="558">
      <c r="A558" s="89" t="inlineStr">
        <is>
          <t>REC-000553</t>
        </is>
      </c>
      <c r="B558" s="94" t="str">
        <f>IF(T558=1,INDEX('ITENS_MTR'!$S$6:$S$1005,S558)&amp;"","")</f>
        <v/>
      </c>
      <c r="C558" s="91" t="n"/>
      <c r="D558" s="94" t="str">
        <f>IF(N(U558)&gt;0,INDEX('MTRs'!$I$6:$I$505,U558)&amp;"","")</f>
        <v/>
      </c>
      <c r="E558" s="92" t="n"/>
      <c r="F558" s="98" t="n"/>
      <c r="G558" s="91" t="n"/>
      <c r="H558" s="93" t="str">
        <f>IF(Q558=0,"",IF(NOT(ISNUMBER(F558)),"",IF(ISNUMBER(W558),F558*W558,"UNIDADE A CONFERIR")))</f>
        <v/>
      </c>
      <c r="I558" s="91" t="n"/>
      <c r="J558" s="91" t="n"/>
      <c r="K558" s="92" t="n"/>
      <c r="L558" s="91" t="n"/>
      <c r="M558" s="91" t="n"/>
      <c r="N558" s="91" t="n"/>
      <c r="O558" s="91" t="n"/>
      <c r="P558" s="94" t="str">
        <f>IF(Q558=0,"",IF(C558="","Item de resíduo não informado",IF(T558=0,"Item inexistente (referência inválida)",IF(NOT(ISNUMBER(F558)),"Quantidade não informada",IF(F558&lt;=0,"Quantidade não positiva",IF(G558="","Unidade não informada",IF(NOT(ISNUMBER(H558)),"Unidade a conferir",IF(NOT(ISNUMBER(E558)),"Data de recebimento não informada",IF(AND(ISNUMBER(V558),N(V558)&gt;0,E558&lt;N(V558)),"Data anterior à emissão do MTR",IF(AND(J558="Sim",L558="",M558=""),"Conferido sem evidência identificada",IF(J558&lt;&gt;"Sim","Aguardando conferência",IF(INDEX('ITENS_MTR'!$AM$6:$AM$1005,S558)=1,"Conferido (ver diferença no item)","Conferido"))))))))))))</f>
        <v/>
      </c>
      <c r="Q558" s="96">
        <f>IF(COUNTA(C558,E558:G558,I558:O558)&gt;0,1,0)</f>
        <v>0</v>
      </c>
      <c r="R558" s="96" t="str">
        <f>IF(C558="","",TRIM(LEFT(C558,FIND(" |",C558&amp;" |")-1)))</f>
        <v/>
      </c>
      <c r="S558" s="96" t="str">
        <f>IF(R558="","",IFERROR(MATCH(R558,'ITENS_MTR'!$A$6:$A$1005,0),""))</f>
        <v/>
      </c>
      <c r="T558" s="96">
        <f>IF(S558="",0,IF(INDEX('ITENS_MTR'!$R$6:$R$1005,S558)=1,1,0))</f>
        <v>0</v>
      </c>
      <c r="U558" s="96" t="str">
        <f>IF(T558=1,INDEX('ITENS_MTR'!$T$6:$T$1005,S558),"")</f>
        <v/>
      </c>
      <c r="V558" s="97" t="str">
        <f>IF(N(U558)&gt;0,INDEX('MTRs'!$E$6:$E$505,U558),"")</f>
        <v/>
      </c>
      <c r="W558" s="96" t="str">
        <f>IF(G558="","",IFERROR(IF(ISNUMBER(INDEX(cfg_fac,MATCH(G558,cfg_units,0))),IF(INDEX(cfg_fac,MATCH(G558,cfg_units,0))&gt;0,INDEX(cfg_fac,MATCH(G558,cfg_units,0)),""),""),""))</f>
        <v/>
      </c>
      <c r="X558" s="96">
        <f>IF(AND(ISNUMBER(F558),ISNUMBER(H558)),IF(H558&gt;0,1,0),0)</f>
        <v>0</v>
      </c>
      <c r="Y558" s="96">
        <f>IF(Q558=0,0,IF(OR(T558=0,X558=0,NOT(ISNUMBER(E558)),AND(J558="Sim",L558="",M558=""),AND(ISNUMBER(E558),ISNUMBER(V558),N(V558)&gt;0,E558&lt;N(V558))),1,0))</f>
        <v>0</v>
      </c>
      <c r="Z558" s="96">
        <f>IF(AND(Q558=1,T558=1,X558=1,J558="Sim",OR(L558&lt;&gt;"",M558&lt;&gt;"")),1,0)</f>
        <v>0</v>
      </c>
      <c r="AA558" s="96">
        <f>IF(Q558=0,0,IF(AND(OR(r_ini="",AND(ISNUMBER(E558),E558&gt;=r_ini)),OR(r_fim="",AND(ISNUMBER(E558),E558&lt;=r_fim)),OR(r_un="",r_un="(Todas)",IF(N(U558)&gt;0,INDEX('MTRs'!$G$6:$G$505,U558),"")=r_un),OR(r_de="",r_de="(Todos)",D558=r_de)),1,0))</f>
        <v>0</v>
      </c>
      <c r="AB558" s="96" t="str">
        <f>IF(AA558=1,COUNTIF($AA$6:AA558,1),"")</f>
        <v/>
      </c>
    </row>
    <row r="559">
      <c r="A559" s="89" t="inlineStr">
        <is>
          <t>REC-000554</t>
        </is>
      </c>
      <c r="B559" s="94" t="str">
        <f>IF(T559=1,INDEX('ITENS_MTR'!$S$6:$S$1005,S559)&amp;"","")</f>
        <v/>
      </c>
      <c r="C559" s="91" t="n"/>
      <c r="D559" s="94" t="str">
        <f>IF(N(U559)&gt;0,INDEX('MTRs'!$I$6:$I$505,U559)&amp;"","")</f>
        <v/>
      </c>
      <c r="E559" s="92" t="n"/>
      <c r="F559" s="98" t="n"/>
      <c r="G559" s="91" t="n"/>
      <c r="H559" s="93" t="str">
        <f>IF(Q559=0,"",IF(NOT(ISNUMBER(F559)),"",IF(ISNUMBER(W559),F559*W559,"UNIDADE A CONFERIR")))</f>
        <v/>
      </c>
      <c r="I559" s="91" t="n"/>
      <c r="J559" s="91" t="n"/>
      <c r="K559" s="92" t="n"/>
      <c r="L559" s="91" t="n"/>
      <c r="M559" s="91" t="n"/>
      <c r="N559" s="91" t="n"/>
      <c r="O559" s="91" t="n"/>
      <c r="P559" s="94" t="str">
        <f>IF(Q559=0,"",IF(C559="","Item de resíduo não informado",IF(T559=0,"Item inexistente (referência inválida)",IF(NOT(ISNUMBER(F559)),"Quantidade não informada",IF(F559&lt;=0,"Quantidade não positiva",IF(G559="","Unidade não informada",IF(NOT(ISNUMBER(H559)),"Unidade a conferir",IF(NOT(ISNUMBER(E559)),"Data de recebimento não informada",IF(AND(ISNUMBER(V559),N(V559)&gt;0,E559&lt;N(V559)),"Data anterior à emissão do MTR",IF(AND(J559="Sim",L559="",M559=""),"Conferido sem evidência identificada",IF(J559&lt;&gt;"Sim","Aguardando conferência",IF(INDEX('ITENS_MTR'!$AM$6:$AM$1005,S559)=1,"Conferido (ver diferença no item)","Conferido"))))))))))))</f>
        <v/>
      </c>
      <c r="Q559" s="96">
        <f>IF(COUNTA(C559,E559:G559,I559:O559)&gt;0,1,0)</f>
        <v>0</v>
      </c>
      <c r="R559" s="96" t="str">
        <f>IF(C559="","",TRIM(LEFT(C559,FIND(" |",C559&amp;" |")-1)))</f>
        <v/>
      </c>
      <c r="S559" s="96" t="str">
        <f>IF(R559="","",IFERROR(MATCH(R559,'ITENS_MTR'!$A$6:$A$1005,0),""))</f>
        <v/>
      </c>
      <c r="T559" s="96">
        <f>IF(S559="",0,IF(INDEX('ITENS_MTR'!$R$6:$R$1005,S559)=1,1,0))</f>
        <v>0</v>
      </c>
      <c r="U559" s="96" t="str">
        <f>IF(T559=1,INDEX('ITENS_MTR'!$T$6:$T$1005,S559),"")</f>
        <v/>
      </c>
      <c r="V559" s="97" t="str">
        <f>IF(N(U559)&gt;0,INDEX('MTRs'!$E$6:$E$505,U559),"")</f>
        <v/>
      </c>
      <c r="W559" s="96" t="str">
        <f>IF(G559="","",IFERROR(IF(ISNUMBER(INDEX(cfg_fac,MATCH(G559,cfg_units,0))),IF(INDEX(cfg_fac,MATCH(G559,cfg_units,0))&gt;0,INDEX(cfg_fac,MATCH(G559,cfg_units,0)),""),""),""))</f>
        <v/>
      </c>
      <c r="X559" s="96">
        <f>IF(AND(ISNUMBER(F559),ISNUMBER(H559)),IF(H559&gt;0,1,0),0)</f>
        <v>0</v>
      </c>
      <c r="Y559" s="96">
        <f>IF(Q559=0,0,IF(OR(T559=0,X559=0,NOT(ISNUMBER(E559)),AND(J559="Sim",L559="",M559=""),AND(ISNUMBER(E559),ISNUMBER(V559),N(V559)&gt;0,E559&lt;N(V559))),1,0))</f>
        <v>0</v>
      </c>
      <c r="Z559" s="96">
        <f>IF(AND(Q559=1,T559=1,X559=1,J559="Sim",OR(L559&lt;&gt;"",M559&lt;&gt;"")),1,0)</f>
        <v>0</v>
      </c>
      <c r="AA559" s="96">
        <f>IF(Q559=0,0,IF(AND(OR(r_ini="",AND(ISNUMBER(E559),E559&gt;=r_ini)),OR(r_fim="",AND(ISNUMBER(E559),E559&lt;=r_fim)),OR(r_un="",r_un="(Todas)",IF(N(U559)&gt;0,INDEX('MTRs'!$G$6:$G$505,U559),"")=r_un),OR(r_de="",r_de="(Todos)",D559=r_de)),1,0))</f>
        <v>0</v>
      </c>
      <c r="AB559" s="96" t="str">
        <f>IF(AA559=1,COUNTIF($AA$6:AA559,1),"")</f>
        <v/>
      </c>
    </row>
    <row r="560">
      <c r="A560" s="89" t="inlineStr">
        <is>
          <t>REC-000555</t>
        </is>
      </c>
      <c r="B560" s="94" t="str">
        <f>IF(T560=1,INDEX('ITENS_MTR'!$S$6:$S$1005,S560)&amp;"","")</f>
        <v/>
      </c>
      <c r="C560" s="91" t="n"/>
      <c r="D560" s="94" t="str">
        <f>IF(N(U560)&gt;0,INDEX('MTRs'!$I$6:$I$505,U560)&amp;"","")</f>
        <v/>
      </c>
      <c r="E560" s="92" t="n"/>
      <c r="F560" s="98" t="n"/>
      <c r="G560" s="91" t="n"/>
      <c r="H560" s="93" t="str">
        <f>IF(Q560=0,"",IF(NOT(ISNUMBER(F560)),"",IF(ISNUMBER(W560),F560*W560,"UNIDADE A CONFERIR")))</f>
        <v/>
      </c>
      <c r="I560" s="91" t="n"/>
      <c r="J560" s="91" t="n"/>
      <c r="K560" s="92" t="n"/>
      <c r="L560" s="91" t="n"/>
      <c r="M560" s="91" t="n"/>
      <c r="N560" s="91" t="n"/>
      <c r="O560" s="91" t="n"/>
      <c r="P560" s="94" t="str">
        <f>IF(Q560=0,"",IF(C560="","Item de resíduo não informado",IF(T560=0,"Item inexistente (referência inválida)",IF(NOT(ISNUMBER(F560)),"Quantidade não informada",IF(F560&lt;=0,"Quantidade não positiva",IF(G560="","Unidade não informada",IF(NOT(ISNUMBER(H560)),"Unidade a conferir",IF(NOT(ISNUMBER(E560)),"Data de recebimento não informada",IF(AND(ISNUMBER(V560),N(V560)&gt;0,E560&lt;N(V560)),"Data anterior à emissão do MTR",IF(AND(J560="Sim",L560="",M560=""),"Conferido sem evidência identificada",IF(J560&lt;&gt;"Sim","Aguardando conferência",IF(INDEX('ITENS_MTR'!$AM$6:$AM$1005,S560)=1,"Conferido (ver diferença no item)","Conferido"))))))))))))</f>
        <v/>
      </c>
      <c r="Q560" s="96">
        <f>IF(COUNTA(C560,E560:G560,I560:O560)&gt;0,1,0)</f>
        <v>0</v>
      </c>
      <c r="R560" s="96" t="str">
        <f>IF(C560="","",TRIM(LEFT(C560,FIND(" |",C560&amp;" |")-1)))</f>
        <v/>
      </c>
      <c r="S560" s="96" t="str">
        <f>IF(R560="","",IFERROR(MATCH(R560,'ITENS_MTR'!$A$6:$A$1005,0),""))</f>
        <v/>
      </c>
      <c r="T560" s="96">
        <f>IF(S560="",0,IF(INDEX('ITENS_MTR'!$R$6:$R$1005,S560)=1,1,0))</f>
        <v>0</v>
      </c>
      <c r="U560" s="96" t="str">
        <f>IF(T560=1,INDEX('ITENS_MTR'!$T$6:$T$1005,S560),"")</f>
        <v/>
      </c>
      <c r="V560" s="97" t="str">
        <f>IF(N(U560)&gt;0,INDEX('MTRs'!$E$6:$E$505,U560),"")</f>
        <v/>
      </c>
      <c r="W560" s="96" t="str">
        <f>IF(G560="","",IFERROR(IF(ISNUMBER(INDEX(cfg_fac,MATCH(G560,cfg_units,0))),IF(INDEX(cfg_fac,MATCH(G560,cfg_units,0))&gt;0,INDEX(cfg_fac,MATCH(G560,cfg_units,0)),""),""),""))</f>
        <v/>
      </c>
      <c r="X560" s="96">
        <f>IF(AND(ISNUMBER(F560),ISNUMBER(H560)),IF(H560&gt;0,1,0),0)</f>
        <v>0</v>
      </c>
      <c r="Y560" s="96">
        <f>IF(Q560=0,0,IF(OR(T560=0,X560=0,NOT(ISNUMBER(E560)),AND(J560="Sim",L560="",M560=""),AND(ISNUMBER(E560),ISNUMBER(V560),N(V560)&gt;0,E560&lt;N(V560))),1,0))</f>
        <v>0</v>
      </c>
      <c r="Z560" s="96">
        <f>IF(AND(Q560=1,T560=1,X560=1,J560="Sim",OR(L560&lt;&gt;"",M560&lt;&gt;"")),1,0)</f>
        <v>0</v>
      </c>
      <c r="AA560" s="96">
        <f>IF(Q560=0,0,IF(AND(OR(r_ini="",AND(ISNUMBER(E560),E560&gt;=r_ini)),OR(r_fim="",AND(ISNUMBER(E560),E560&lt;=r_fim)),OR(r_un="",r_un="(Todas)",IF(N(U560)&gt;0,INDEX('MTRs'!$G$6:$G$505,U560),"")=r_un),OR(r_de="",r_de="(Todos)",D560=r_de)),1,0))</f>
        <v>0</v>
      </c>
      <c r="AB560" s="96" t="str">
        <f>IF(AA560=1,COUNTIF($AA$6:AA560,1),"")</f>
        <v/>
      </c>
    </row>
    <row r="561">
      <c r="A561" s="89" t="inlineStr">
        <is>
          <t>REC-000556</t>
        </is>
      </c>
      <c r="B561" s="94" t="str">
        <f>IF(T561=1,INDEX('ITENS_MTR'!$S$6:$S$1005,S561)&amp;"","")</f>
        <v/>
      </c>
      <c r="C561" s="91" t="n"/>
      <c r="D561" s="94" t="str">
        <f>IF(N(U561)&gt;0,INDEX('MTRs'!$I$6:$I$505,U561)&amp;"","")</f>
        <v/>
      </c>
      <c r="E561" s="92" t="n"/>
      <c r="F561" s="98" t="n"/>
      <c r="G561" s="91" t="n"/>
      <c r="H561" s="93" t="str">
        <f>IF(Q561=0,"",IF(NOT(ISNUMBER(F561)),"",IF(ISNUMBER(W561),F561*W561,"UNIDADE A CONFERIR")))</f>
        <v/>
      </c>
      <c r="I561" s="91" t="n"/>
      <c r="J561" s="91" t="n"/>
      <c r="K561" s="92" t="n"/>
      <c r="L561" s="91" t="n"/>
      <c r="M561" s="91" t="n"/>
      <c r="N561" s="91" t="n"/>
      <c r="O561" s="91" t="n"/>
      <c r="P561" s="94" t="str">
        <f>IF(Q561=0,"",IF(C561="","Item de resíduo não informado",IF(T561=0,"Item inexistente (referência inválida)",IF(NOT(ISNUMBER(F561)),"Quantidade não informada",IF(F561&lt;=0,"Quantidade não positiva",IF(G561="","Unidade não informada",IF(NOT(ISNUMBER(H561)),"Unidade a conferir",IF(NOT(ISNUMBER(E561)),"Data de recebimento não informada",IF(AND(ISNUMBER(V561),N(V561)&gt;0,E561&lt;N(V561)),"Data anterior à emissão do MTR",IF(AND(J561="Sim",L561="",M561=""),"Conferido sem evidência identificada",IF(J561&lt;&gt;"Sim","Aguardando conferência",IF(INDEX('ITENS_MTR'!$AM$6:$AM$1005,S561)=1,"Conferido (ver diferença no item)","Conferido"))))))))))))</f>
        <v/>
      </c>
      <c r="Q561" s="96">
        <f>IF(COUNTA(C561,E561:G561,I561:O561)&gt;0,1,0)</f>
        <v>0</v>
      </c>
      <c r="R561" s="96" t="str">
        <f>IF(C561="","",TRIM(LEFT(C561,FIND(" |",C561&amp;" |")-1)))</f>
        <v/>
      </c>
      <c r="S561" s="96" t="str">
        <f>IF(R561="","",IFERROR(MATCH(R561,'ITENS_MTR'!$A$6:$A$1005,0),""))</f>
        <v/>
      </c>
      <c r="T561" s="96">
        <f>IF(S561="",0,IF(INDEX('ITENS_MTR'!$R$6:$R$1005,S561)=1,1,0))</f>
        <v>0</v>
      </c>
      <c r="U561" s="96" t="str">
        <f>IF(T561=1,INDEX('ITENS_MTR'!$T$6:$T$1005,S561),"")</f>
        <v/>
      </c>
      <c r="V561" s="97" t="str">
        <f>IF(N(U561)&gt;0,INDEX('MTRs'!$E$6:$E$505,U561),"")</f>
        <v/>
      </c>
      <c r="W561" s="96" t="str">
        <f>IF(G561="","",IFERROR(IF(ISNUMBER(INDEX(cfg_fac,MATCH(G561,cfg_units,0))),IF(INDEX(cfg_fac,MATCH(G561,cfg_units,0))&gt;0,INDEX(cfg_fac,MATCH(G561,cfg_units,0)),""),""),""))</f>
        <v/>
      </c>
      <c r="X561" s="96">
        <f>IF(AND(ISNUMBER(F561),ISNUMBER(H561)),IF(H561&gt;0,1,0),0)</f>
        <v>0</v>
      </c>
      <c r="Y561" s="96">
        <f>IF(Q561=0,0,IF(OR(T561=0,X561=0,NOT(ISNUMBER(E561)),AND(J561="Sim",L561="",M561=""),AND(ISNUMBER(E561),ISNUMBER(V561),N(V561)&gt;0,E561&lt;N(V561))),1,0))</f>
        <v>0</v>
      </c>
      <c r="Z561" s="96">
        <f>IF(AND(Q561=1,T561=1,X561=1,J561="Sim",OR(L561&lt;&gt;"",M561&lt;&gt;"")),1,0)</f>
        <v>0</v>
      </c>
      <c r="AA561" s="96">
        <f>IF(Q561=0,0,IF(AND(OR(r_ini="",AND(ISNUMBER(E561),E561&gt;=r_ini)),OR(r_fim="",AND(ISNUMBER(E561),E561&lt;=r_fim)),OR(r_un="",r_un="(Todas)",IF(N(U561)&gt;0,INDEX('MTRs'!$G$6:$G$505,U561),"")=r_un),OR(r_de="",r_de="(Todos)",D561=r_de)),1,0))</f>
        <v>0</v>
      </c>
      <c r="AB561" s="96" t="str">
        <f>IF(AA561=1,COUNTIF($AA$6:AA561,1),"")</f>
        <v/>
      </c>
    </row>
    <row r="562">
      <c r="A562" s="89" t="inlineStr">
        <is>
          <t>REC-000557</t>
        </is>
      </c>
      <c r="B562" s="94" t="str">
        <f>IF(T562=1,INDEX('ITENS_MTR'!$S$6:$S$1005,S562)&amp;"","")</f>
        <v/>
      </c>
      <c r="C562" s="91" t="n"/>
      <c r="D562" s="94" t="str">
        <f>IF(N(U562)&gt;0,INDEX('MTRs'!$I$6:$I$505,U562)&amp;"","")</f>
        <v/>
      </c>
      <c r="E562" s="92" t="n"/>
      <c r="F562" s="98" t="n"/>
      <c r="G562" s="91" t="n"/>
      <c r="H562" s="93" t="str">
        <f>IF(Q562=0,"",IF(NOT(ISNUMBER(F562)),"",IF(ISNUMBER(W562),F562*W562,"UNIDADE A CONFERIR")))</f>
        <v/>
      </c>
      <c r="I562" s="91" t="n"/>
      <c r="J562" s="91" t="n"/>
      <c r="K562" s="92" t="n"/>
      <c r="L562" s="91" t="n"/>
      <c r="M562" s="91" t="n"/>
      <c r="N562" s="91" t="n"/>
      <c r="O562" s="91" t="n"/>
      <c r="P562" s="94" t="str">
        <f>IF(Q562=0,"",IF(C562="","Item de resíduo não informado",IF(T562=0,"Item inexistente (referência inválida)",IF(NOT(ISNUMBER(F562)),"Quantidade não informada",IF(F562&lt;=0,"Quantidade não positiva",IF(G562="","Unidade não informada",IF(NOT(ISNUMBER(H562)),"Unidade a conferir",IF(NOT(ISNUMBER(E562)),"Data de recebimento não informada",IF(AND(ISNUMBER(V562),N(V562)&gt;0,E562&lt;N(V562)),"Data anterior à emissão do MTR",IF(AND(J562="Sim",L562="",M562=""),"Conferido sem evidência identificada",IF(J562&lt;&gt;"Sim","Aguardando conferência",IF(INDEX('ITENS_MTR'!$AM$6:$AM$1005,S562)=1,"Conferido (ver diferença no item)","Conferido"))))))))))))</f>
        <v/>
      </c>
      <c r="Q562" s="96">
        <f>IF(COUNTA(C562,E562:G562,I562:O562)&gt;0,1,0)</f>
        <v>0</v>
      </c>
      <c r="R562" s="96" t="str">
        <f>IF(C562="","",TRIM(LEFT(C562,FIND(" |",C562&amp;" |")-1)))</f>
        <v/>
      </c>
      <c r="S562" s="96" t="str">
        <f>IF(R562="","",IFERROR(MATCH(R562,'ITENS_MTR'!$A$6:$A$1005,0),""))</f>
        <v/>
      </c>
      <c r="T562" s="96">
        <f>IF(S562="",0,IF(INDEX('ITENS_MTR'!$R$6:$R$1005,S562)=1,1,0))</f>
        <v>0</v>
      </c>
      <c r="U562" s="96" t="str">
        <f>IF(T562=1,INDEX('ITENS_MTR'!$T$6:$T$1005,S562),"")</f>
        <v/>
      </c>
      <c r="V562" s="97" t="str">
        <f>IF(N(U562)&gt;0,INDEX('MTRs'!$E$6:$E$505,U562),"")</f>
        <v/>
      </c>
      <c r="W562" s="96" t="str">
        <f>IF(G562="","",IFERROR(IF(ISNUMBER(INDEX(cfg_fac,MATCH(G562,cfg_units,0))),IF(INDEX(cfg_fac,MATCH(G562,cfg_units,0))&gt;0,INDEX(cfg_fac,MATCH(G562,cfg_units,0)),""),""),""))</f>
        <v/>
      </c>
      <c r="X562" s="96">
        <f>IF(AND(ISNUMBER(F562),ISNUMBER(H562)),IF(H562&gt;0,1,0),0)</f>
        <v>0</v>
      </c>
      <c r="Y562" s="96">
        <f>IF(Q562=0,0,IF(OR(T562=0,X562=0,NOT(ISNUMBER(E562)),AND(J562="Sim",L562="",M562=""),AND(ISNUMBER(E562),ISNUMBER(V562),N(V562)&gt;0,E562&lt;N(V562))),1,0))</f>
        <v>0</v>
      </c>
      <c r="Z562" s="96">
        <f>IF(AND(Q562=1,T562=1,X562=1,J562="Sim",OR(L562&lt;&gt;"",M562&lt;&gt;"")),1,0)</f>
        <v>0</v>
      </c>
      <c r="AA562" s="96">
        <f>IF(Q562=0,0,IF(AND(OR(r_ini="",AND(ISNUMBER(E562),E562&gt;=r_ini)),OR(r_fim="",AND(ISNUMBER(E562),E562&lt;=r_fim)),OR(r_un="",r_un="(Todas)",IF(N(U562)&gt;0,INDEX('MTRs'!$G$6:$G$505,U562),"")=r_un),OR(r_de="",r_de="(Todos)",D562=r_de)),1,0))</f>
        <v>0</v>
      </c>
      <c r="AB562" s="96" t="str">
        <f>IF(AA562=1,COUNTIF($AA$6:AA562,1),"")</f>
        <v/>
      </c>
    </row>
    <row r="563">
      <c r="A563" s="89" t="inlineStr">
        <is>
          <t>REC-000558</t>
        </is>
      </c>
      <c r="B563" s="94" t="str">
        <f>IF(T563=1,INDEX('ITENS_MTR'!$S$6:$S$1005,S563)&amp;"","")</f>
        <v/>
      </c>
      <c r="C563" s="91" t="n"/>
      <c r="D563" s="94" t="str">
        <f>IF(N(U563)&gt;0,INDEX('MTRs'!$I$6:$I$505,U563)&amp;"","")</f>
        <v/>
      </c>
      <c r="E563" s="92" t="n"/>
      <c r="F563" s="98" t="n"/>
      <c r="G563" s="91" t="n"/>
      <c r="H563" s="93" t="str">
        <f>IF(Q563=0,"",IF(NOT(ISNUMBER(F563)),"",IF(ISNUMBER(W563),F563*W563,"UNIDADE A CONFERIR")))</f>
        <v/>
      </c>
      <c r="I563" s="91" t="n"/>
      <c r="J563" s="91" t="n"/>
      <c r="K563" s="92" t="n"/>
      <c r="L563" s="91" t="n"/>
      <c r="M563" s="91" t="n"/>
      <c r="N563" s="91" t="n"/>
      <c r="O563" s="91" t="n"/>
      <c r="P563" s="94" t="str">
        <f>IF(Q563=0,"",IF(C563="","Item de resíduo não informado",IF(T563=0,"Item inexistente (referência inválida)",IF(NOT(ISNUMBER(F563)),"Quantidade não informada",IF(F563&lt;=0,"Quantidade não positiva",IF(G563="","Unidade não informada",IF(NOT(ISNUMBER(H563)),"Unidade a conferir",IF(NOT(ISNUMBER(E563)),"Data de recebimento não informada",IF(AND(ISNUMBER(V563),N(V563)&gt;0,E563&lt;N(V563)),"Data anterior à emissão do MTR",IF(AND(J563="Sim",L563="",M563=""),"Conferido sem evidência identificada",IF(J563&lt;&gt;"Sim","Aguardando conferência",IF(INDEX('ITENS_MTR'!$AM$6:$AM$1005,S563)=1,"Conferido (ver diferença no item)","Conferido"))))))))))))</f>
        <v/>
      </c>
      <c r="Q563" s="96">
        <f>IF(COUNTA(C563,E563:G563,I563:O563)&gt;0,1,0)</f>
        <v>0</v>
      </c>
      <c r="R563" s="96" t="str">
        <f>IF(C563="","",TRIM(LEFT(C563,FIND(" |",C563&amp;" |")-1)))</f>
        <v/>
      </c>
      <c r="S563" s="96" t="str">
        <f>IF(R563="","",IFERROR(MATCH(R563,'ITENS_MTR'!$A$6:$A$1005,0),""))</f>
        <v/>
      </c>
      <c r="T563" s="96">
        <f>IF(S563="",0,IF(INDEX('ITENS_MTR'!$R$6:$R$1005,S563)=1,1,0))</f>
        <v>0</v>
      </c>
      <c r="U563" s="96" t="str">
        <f>IF(T563=1,INDEX('ITENS_MTR'!$T$6:$T$1005,S563),"")</f>
        <v/>
      </c>
      <c r="V563" s="97" t="str">
        <f>IF(N(U563)&gt;0,INDEX('MTRs'!$E$6:$E$505,U563),"")</f>
        <v/>
      </c>
      <c r="W563" s="96" t="str">
        <f>IF(G563="","",IFERROR(IF(ISNUMBER(INDEX(cfg_fac,MATCH(G563,cfg_units,0))),IF(INDEX(cfg_fac,MATCH(G563,cfg_units,0))&gt;0,INDEX(cfg_fac,MATCH(G563,cfg_units,0)),""),""),""))</f>
        <v/>
      </c>
      <c r="X563" s="96">
        <f>IF(AND(ISNUMBER(F563),ISNUMBER(H563)),IF(H563&gt;0,1,0),0)</f>
        <v>0</v>
      </c>
      <c r="Y563" s="96">
        <f>IF(Q563=0,0,IF(OR(T563=0,X563=0,NOT(ISNUMBER(E563)),AND(J563="Sim",L563="",M563=""),AND(ISNUMBER(E563),ISNUMBER(V563),N(V563)&gt;0,E563&lt;N(V563))),1,0))</f>
        <v>0</v>
      </c>
      <c r="Z563" s="96">
        <f>IF(AND(Q563=1,T563=1,X563=1,J563="Sim",OR(L563&lt;&gt;"",M563&lt;&gt;"")),1,0)</f>
        <v>0</v>
      </c>
      <c r="AA563" s="96">
        <f>IF(Q563=0,0,IF(AND(OR(r_ini="",AND(ISNUMBER(E563),E563&gt;=r_ini)),OR(r_fim="",AND(ISNUMBER(E563),E563&lt;=r_fim)),OR(r_un="",r_un="(Todas)",IF(N(U563)&gt;0,INDEX('MTRs'!$G$6:$G$505,U563),"")=r_un),OR(r_de="",r_de="(Todos)",D563=r_de)),1,0))</f>
        <v>0</v>
      </c>
      <c r="AB563" s="96" t="str">
        <f>IF(AA563=1,COUNTIF($AA$6:AA563,1),"")</f>
        <v/>
      </c>
    </row>
    <row r="564">
      <c r="A564" s="89" t="inlineStr">
        <is>
          <t>REC-000559</t>
        </is>
      </c>
      <c r="B564" s="94" t="str">
        <f>IF(T564=1,INDEX('ITENS_MTR'!$S$6:$S$1005,S564)&amp;"","")</f>
        <v/>
      </c>
      <c r="C564" s="91" t="n"/>
      <c r="D564" s="94" t="str">
        <f>IF(N(U564)&gt;0,INDEX('MTRs'!$I$6:$I$505,U564)&amp;"","")</f>
        <v/>
      </c>
      <c r="E564" s="92" t="n"/>
      <c r="F564" s="98" t="n"/>
      <c r="G564" s="91" t="n"/>
      <c r="H564" s="93" t="str">
        <f>IF(Q564=0,"",IF(NOT(ISNUMBER(F564)),"",IF(ISNUMBER(W564),F564*W564,"UNIDADE A CONFERIR")))</f>
        <v/>
      </c>
      <c r="I564" s="91" t="n"/>
      <c r="J564" s="91" t="n"/>
      <c r="K564" s="92" t="n"/>
      <c r="L564" s="91" t="n"/>
      <c r="M564" s="91" t="n"/>
      <c r="N564" s="91" t="n"/>
      <c r="O564" s="91" t="n"/>
      <c r="P564" s="94" t="str">
        <f>IF(Q564=0,"",IF(C564="","Item de resíduo não informado",IF(T564=0,"Item inexistente (referência inválida)",IF(NOT(ISNUMBER(F564)),"Quantidade não informada",IF(F564&lt;=0,"Quantidade não positiva",IF(G564="","Unidade não informada",IF(NOT(ISNUMBER(H564)),"Unidade a conferir",IF(NOT(ISNUMBER(E564)),"Data de recebimento não informada",IF(AND(ISNUMBER(V564),N(V564)&gt;0,E564&lt;N(V564)),"Data anterior à emissão do MTR",IF(AND(J564="Sim",L564="",M564=""),"Conferido sem evidência identificada",IF(J564&lt;&gt;"Sim","Aguardando conferência",IF(INDEX('ITENS_MTR'!$AM$6:$AM$1005,S564)=1,"Conferido (ver diferença no item)","Conferido"))))))))))))</f>
        <v/>
      </c>
      <c r="Q564" s="96">
        <f>IF(COUNTA(C564,E564:G564,I564:O564)&gt;0,1,0)</f>
        <v>0</v>
      </c>
      <c r="R564" s="96" t="str">
        <f>IF(C564="","",TRIM(LEFT(C564,FIND(" |",C564&amp;" |")-1)))</f>
        <v/>
      </c>
      <c r="S564" s="96" t="str">
        <f>IF(R564="","",IFERROR(MATCH(R564,'ITENS_MTR'!$A$6:$A$1005,0),""))</f>
        <v/>
      </c>
      <c r="T564" s="96">
        <f>IF(S564="",0,IF(INDEX('ITENS_MTR'!$R$6:$R$1005,S564)=1,1,0))</f>
        <v>0</v>
      </c>
      <c r="U564" s="96" t="str">
        <f>IF(T564=1,INDEX('ITENS_MTR'!$T$6:$T$1005,S564),"")</f>
        <v/>
      </c>
      <c r="V564" s="97" t="str">
        <f>IF(N(U564)&gt;0,INDEX('MTRs'!$E$6:$E$505,U564),"")</f>
        <v/>
      </c>
      <c r="W564" s="96" t="str">
        <f>IF(G564="","",IFERROR(IF(ISNUMBER(INDEX(cfg_fac,MATCH(G564,cfg_units,0))),IF(INDEX(cfg_fac,MATCH(G564,cfg_units,0))&gt;0,INDEX(cfg_fac,MATCH(G564,cfg_units,0)),""),""),""))</f>
        <v/>
      </c>
      <c r="X564" s="96">
        <f>IF(AND(ISNUMBER(F564),ISNUMBER(H564)),IF(H564&gt;0,1,0),0)</f>
        <v>0</v>
      </c>
      <c r="Y564" s="96">
        <f>IF(Q564=0,0,IF(OR(T564=0,X564=0,NOT(ISNUMBER(E564)),AND(J564="Sim",L564="",M564=""),AND(ISNUMBER(E564),ISNUMBER(V564),N(V564)&gt;0,E564&lt;N(V564))),1,0))</f>
        <v>0</v>
      </c>
      <c r="Z564" s="96">
        <f>IF(AND(Q564=1,T564=1,X564=1,J564="Sim",OR(L564&lt;&gt;"",M564&lt;&gt;"")),1,0)</f>
        <v>0</v>
      </c>
      <c r="AA564" s="96">
        <f>IF(Q564=0,0,IF(AND(OR(r_ini="",AND(ISNUMBER(E564),E564&gt;=r_ini)),OR(r_fim="",AND(ISNUMBER(E564),E564&lt;=r_fim)),OR(r_un="",r_un="(Todas)",IF(N(U564)&gt;0,INDEX('MTRs'!$G$6:$G$505,U564),"")=r_un),OR(r_de="",r_de="(Todos)",D564=r_de)),1,0))</f>
        <v>0</v>
      </c>
      <c r="AB564" s="96" t="str">
        <f>IF(AA564=1,COUNTIF($AA$6:AA564,1),"")</f>
        <v/>
      </c>
    </row>
    <row r="565">
      <c r="A565" s="89" t="inlineStr">
        <is>
          <t>REC-000560</t>
        </is>
      </c>
      <c r="B565" s="94" t="str">
        <f>IF(T565=1,INDEX('ITENS_MTR'!$S$6:$S$1005,S565)&amp;"","")</f>
        <v/>
      </c>
      <c r="C565" s="91" t="n"/>
      <c r="D565" s="94" t="str">
        <f>IF(N(U565)&gt;0,INDEX('MTRs'!$I$6:$I$505,U565)&amp;"","")</f>
        <v/>
      </c>
      <c r="E565" s="92" t="n"/>
      <c r="F565" s="98" t="n"/>
      <c r="G565" s="91" t="n"/>
      <c r="H565" s="93" t="str">
        <f>IF(Q565=0,"",IF(NOT(ISNUMBER(F565)),"",IF(ISNUMBER(W565),F565*W565,"UNIDADE A CONFERIR")))</f>
        <v/>
      </c>
      <c r="I565" s="91" t="n"/>
      <c r="J565" s="91" t="n"/>
      <c r="K565" s="92" t="n"/>
      <c r="L565" s="91" t="n"/>
      <c r="M565" s="91" t="n"/>
      <c r="N565" s="91" t="n"/>
      <c r="O565" s="91" t="n"/>
      <c r="P565" s="94" t="str">
        <f>IF(Q565=0,"",IF(C565="","Item de resíduo não informado",IF(T565=0,"Item inexistente (referência inválida)",IF(NOT(ISNUMBER(F565)),"Quantidade não informada",IF(F565&lt;=0,"Quantidade não positiva",IF(G565="","Unidade não informada",IF(NOT(ISNUMBER(H565)),"Unidade a conferir",IF(NOT(ISNUMBER(E565)),"Data de recebimento não informada",IF(AND(ISNUMBER(V565),N(V565)&gt;0,E565&lt;N(V565)),"Data anterior à emissão do MTR",IF(AND(J565="Sim",L565="",M565=""),"Conferido sem evidência identificada",IF(J565&lt;&gt;"Sim","Aguardando conferência",IF(INDEX('ITENS_MTR'!$AM$6:$AM$1005,S565)=1,"Conferido (ver diferença no item)","Conferido"))))))))))))</f>
        <v/>
      </c>
      <c r="Q565" s="96">
        <f>IF(COUNTA(C565,E565:G565,I565:O565)&gt;0,1,0)</f>
        <v>0</v>
      </c>
      <c r="R565" s="96" t="str">
        <f>IF(C565="","",TRIM(LEFT(C565,FIND(" |",C565&amp;" |")-1)))</f>
        <v/>
      </c>
      <c r="S565" s="96" t="str">
        <f>IF(R565="","",IFERROR(MATCH(R565,'ITENS_MTR'!$A$6:$A$1005,0),""))</f>
        <v/>
      </c>
      <c r="T565" s="96">
        <f>IF(S565="",0,IF(INDEX('ITENS_MTR'!$R$6:$R$1005,S565)=1,1,0))</f>
        <v>0</v>
      </c>
      <c r="U565" s="96" t="str">
        <f>IF(T565=1,INDEX('ITENS_MTR'!$T$6:$T$1005,S565),"")</f>
        <v/>
      </c>
      <c r="V565" s="97" t="str">
        <f>IF(N(U565)&gt;0,INDEX('MTRs'!$E$6:$E$505,U565),"")</f>
        <v/>
      </c>
      <c r="W565" s="96" t="str">
        <f>IF(G565="","",IFERROR(IF(ISNUMBER(INDEX(cfg_fac,MATCH(G565,cfg_units,0))),IF(INDEX(cfg_fac,MATCH(G565,cfg_units,0))&gt;0,INDEX(cfg_fac,MATCH(G565,cfg_units,0)),""),""),""))</f>
        <v/>
      </c>
      <c r="X565" s="96">
        <f>IF(AND(ISNUMBER(F565),ISNUMBER(H565)),IF(H565&gt;0,1,0),0)</f>
        <v>0</v>
      </c>
      <c r="Y565" s="96">
        <f>IF(Q565=0,0,IF(OR(T565=0,X565=0,NOT(ISNUMBER(E565)),AND(J565="Sim",L565="",M565=""),AND(ISNUMBER(E565),ISNUMBER(V565),N(V565)&gt;0,E565&lt;N(V565))),1,0))</f>
        <v>0</v>
      </c>
      <c r="Z565" s="96">
        <f>IF(AND(Q565=1,T565=1,X565=1,J565="Sim",OR(L565&lt;&gt;"",M565&lt;&gt;"")),1,0)</f>
        <v>0</v>
      </c>
      <c r="AA565" s="96">
        <f>IF(Q565=0,0,IF(AND(OR(r_ini="",AND(ISNUMBER(E565),E565&gt;=r_ini)),OR(r_fim="",AND(ISNUMBER(E565),E565&lt;=r_fim)),OR(r_un="",r_un="(Todas)",IF(N(U565)&gt;0,INDEX('MTRs'!$G$6:$G$505,U565),"")=r_un),OR(r_de="",r_de="(Todos)",D565=r_de)),1,0))</f>
        <v>0</v>
      </c>
      <c r="AB565" s="96" t="str">
        <f>IF(AA565=1,COUNTIF($AA$6:AA565,1),"")</f>
        <v/>
      </c>
    </row>
    <row r="566">
      <c r="A566" s="89" t="inlineStr">
        <is>
          <t>REC-000561</t>
        </is>
      </c>
      <c r="B566" s="94" t="str">
        <f>IF(T566=1,INDEX('ITENS_MTR'!$S$6:$S$1005,S566)&amp;"","")</f>
        <v/>
      </c>
      <c r="C566" s="91" t="n"/>
      <c r="D566" s="94" t="str">
        <f>IF(N(U566)&gt;0,INDEX('MTRs'!$I$6:$I$505,U566)&amp;"","")</f>
        <v/>
      </c>
      <c r="E566" s="92" t="n"/>
      <c r="F566" s="98" t="n"/>
      <c r="G566" s="91" t="n"/>
      <c r="H566" s="93" t="str">
        <f>IF(Q566=0,"",IF(NOT(ISNUMBER(F566)),"",IF(ISNUMBER(W566),F566*W566,"UNIDADE A CONFERIR")))</f>
        <v/>
      </c>
      <c r="I566" s="91" t="n"/>
      <c r="J566" s="91" t="n"/>
      <c r="K566" s="92" t="n"/>
      <c r="L566" s="91" t="n"/>
      <c r="M566" s="91" t="n"/>
      <c r="N566" s="91" t="n"/>
      <c r="O566" s="91" t="n"/>
      <c r="P566" s="94" t="str">
        <f>IF(Q566=0,"",IF(C566="","Item de resíduo não informado",IF(T566=0,"Item inexistente (referência inválida)",IF(NOT(ISNUMBER(F566)),"Quantidade não informada",IF(F566&lt;=0,"Quantidade não positiva",IF(G566="","Unidade não informada",IF(NOT(ISNUMBER(H566)),"Unidade a conferir",IF(NOT(ISNUMBER(E566)),"Data de recebimento não informada",IF(AND(ISNUMBER(V566),N(V566)&gt;0,E566&lt;N(V566)),"Data anterior à emissão do MTR",IF(AND(J566="Sim",L566="",M566=""),"Conferido sem evidência identificada",IF(J566&lt;&gt;"Sim","Aguardando conferência",IF(INDEX('ITENS_MTR'!$AM$6:$AM$1005,S566)=1,"Conferido (ver diferença no item)","Conferido"))))))))))))</f>
        <v/>
      </c>
      <c r="Q566" s="96">
        <f>IF(COUNTA(C566,E566:G566,I566:O566)&gt;0,1,0)</f>
        <v>0</v>
      </c>
      <c r="R566" s="96" t="str">
        <f>IF(C566="","",TRIM(LEFT(C566,FIND(" |",C566&amp;" |")-1)))</f>
        <v/>
      </c>
      <c r="S566" s="96" t="str">
        <f>IF(R566="","",IFERROR(MATCH(R566,'ITENS_MTR'!$A$6:$A$1005,0),""))</f>
        <v/>
      </c>
      <c r="T566" s="96">
        <f>IF(S566="",0,IF(INDEX('ITENS_MTR'!$R$6:$R$1005,S566)=1,1,0))</f>
        <v>0</v>
      </c>
      <c r="U566" s="96" t="str">
        <f>IF(T566=1,INDEX('ITENS_MTR'!$T$6:$T$1005,S566),"")</f>
        <v/>
      </c>
      <c r="V566" s="97" t="str">
        <f>IF(N(U566)&gt;0,INDEX('MTRs'!$E$6:$E$505,U566),"")</f>
        <v/>
      </c>
      <c r="W566" s="96" t="str">
        <f>IF(G566="","",IFERROR(IF(ISNUMBER(INDEX(cfg_fac,MATCH(G566,cfg_units,0))),IF(INDEX(cfg_fac,MATCH(G566,cfg_units,0))&gt;0,INDEX(cfg_fac,MATCH(G566,cfg_units,0)),""),""),""))</f>
        <v/>
      </c>
      <c r="X566" s="96">
        <f>IF(AND(ISNUMBER(F566),ISNUMBER(H566)),IF(H566&gt;0,1,0),0)</f>
        <v>0</v>
      </c>
      <c r="Y566" s="96">
        <f>IF(Q566=0,0,IF(OR(T566=0,X566=0,NOT(ISNUMBER(E566)),AND(J566="Sim",L566="",M566=""),AND(ISNUMBER(E566),ISNUMBER(V566),N(V566)&gt;0,E566&lt;N(V566))),1,0))</f>
        <v>0</v>
      </c>
      <c r="Z566" s="96">
        <f>IF(AND(Q566=1,T566=1,X566=1,J566="Sim",OR(L566&lt;&gt;"",M566&lt;&gt;"")),1,0)</f>
        <v>0</v>
      </c>
      <c r="AA566" s="96">
        <f>IF(Q566=0,0,IF(AND(OR(r_ini="",AND(ISNUMBER(E566),E566&gt;=r_ini)),OR(r_fim="",AND(ISNUMBER(E566),E566&lt;=r_fim)),OR(r_un="",r_un="(Todas)",IF(N(U566)&gt;0,INDEX('MTRs'!$G$6:$G$505,U566),"")=r_un),OR(r_de="",r_de="(Todos)",D566=r_de)),1,0))</f>
        <v>0</v>
      </c>
      <c r="AB566" s="96" t="str">
        <f>IF(AA566=1,COUNTIF($AA$6:AA566,1),"")</f>
        <v/>
      </c>
    </row>
    <row r="567">
      <c r="A567" s="89" t="inlineStr">
        <is>
          <t>REC-000562</t>
        </is>
      </c>
      <c r="B567" s="94" t="str">
        <f>IF(T567=1,INDEX('ITENS_MTR'!$S$6:$S$1005,S567)&amp;"","")</f>
        <v/>
      </c>
      <c r="C567" s="91" t="n"/>
      <c r="D567" s="94" t="str">
        <f>IF(N(U567)&gt;0,INDEX('MTRs'!$I$6:$I$505,U567)&amp;"","")</f>
        <v/>
      </c>
      <c r="E567" s="92" t="n"/>
      <c r="F567" s="98" t="n"/>
      <c r="G567" s="91" t="n"/>
      <c r="H567" s="93" t="str">
        <f>IF(Q567=0,"",IF(NOT(ISNUMBER(F567)),"",IF(ISNUMBER(W567),F567*W567,"UNIDADE A CONFERIR")))</f>
        <v/>
      </c>
      <c r="I567" s="91" t="n"/>
      <c r="J567" s="91" t="n"/>
      <c r="K567" s="92" t="n"/>
      <c r="L567" s="91" t="n"/>
      <c r="M567" s="91" t="n"/>
      <c r="N567" s="91" t="n"/>
      <c r="O567" s="91" t="n"/>
      <c r="P567" s="94" t="str">
        <f>IF(Q567=0,"",IF(C567="","Item de resíduo não informado",IF(T567=0,"Item inexistente (referência inválida)",IF(NOT(ISNUMBER(F567)),"Quantidade não informada",IF(F567&lt;=0,"Quantidade não positiva",IF(G567="","Unidade não informada",IF(NOT(ISNUMBER(H567)),"Unidade a conferir",IF(NOT(ISNUMBER(E567)),"Data de recebimento não informada",IF(AND(ISNUMBER(V567),N(V567)&gt;0,E567&lt;N(V567)),"Data anterior à emissão do MTR",IF(AND(J567="Sim",L567="",M567=""),"Conferido sem evidência identificada",IF(J567&lt;&gt;"Sim","Aguardando conferência",IF(INDEX('ITENS_MTR'!$AM$6:$AM$1005,S567)=1,"Conferido (ver diferença no item)","Conferido"))))))))))))</f>
        <v/>
      </c>
      <c r="Q567" s="96">
        <f>IF(COUNTA(C567,E567:G567,I567:O567)&gt;0,1,0)</f>
        <v>0</v>
      </c>
      <c r="R567" s="96" t="str">
        <f>IF(C567="","",TRIM(LEFT(C567,FIND(" |",C567&amp;" |")-1)))</f>
        <v/>
      </c>
      <c r="S567" s="96" t="str">
        <f>IF(R567="","",IFERROR(MATCH(R567,'ITENS_MTR'!$A$6:$A$1005,0),""))</f>
        <v/>
      </c>
      <c r="T567" s="96">
        <f>IF(S567="",0,IF(INDEX('ITENS_MTR'!$R$6:$R$1005,S567)=1,1,0))</f>
        <v>0</v>
      </c>
      <c r="U567" s="96" t="str">
        <f>IF(T567=1,INDEX('ITENS_MTR'!$T$6:$T$1005,S567),"")</f>
        <v/>
      </c>
      <c r="V567" s="97" t="str">
        <f>IF(N(U567)&gt;0,INDEX('MTRs'!$E$6:$E$505,U567),"")</f>
        <v/>
      </c>
      <c r="W567" s="96" t="str">
        <f>IF(G567="","",IFERROR(IF(ISNUMBER(INDEX(cfg_fac,MATCH(G567,cfg_units,0))),IF(INDEX(cfg_fac,MATCH(G567,cfg_units,0))&gt;0,INDEX(cfg_fac,MATCH(G567,cfg_units,0)),""),""),""))</f>
        <v/>
      </c>
      <c r="X567" s="96">
        <f>IF(AND(ISNUMBER(F567),ISNUMBER(H567)),IF(H567&gt;0,1,0),0)</f>
        <v>0</v>
      </c>
      <c r="Y567" s="96">
        <f>IF(Q567=0,0,IF(OR(T567=0,X567=0,NOT(ISNUMBER(E567)),AND(J567="Sim",L567="",M567=""),AND(ISNUMBER(E567),ISNUMBER(V567),N(V567)&gt;0,E567&lt;N(V567))),1,0))</f>
        <v>0</v>
      </c>
      <c r="Z567" s="96">
        <f>IF(AND(Q567=1,T567=1,X567=1,J567="Sim",OR(L567&lt;&gt;"",M567&lt;&gt;"")),1,0)</f>
        <v>0</v>
      </c>
      <c r="AA567" s="96">
        <f>IF(Q567=0,0,IF(AND(OR(r_ini="",AND(ISNUMBER(E567),E567&gt;=r_ini)),OR(r_fim="",AND(ISNUMBER(E567),E567&lt;=r_fim)),OR(r_un="",r_un="(Todas)",IF(N(U567)&gt;0,INDEX('MTRs'!$G$6:$G$505,U567),"")=r_un),OR(r_de="",r_de="(Todos)",D567=r_de)),1,0))</f>
        <v>0</v>
      </c>
      <c r="AB567" s="96" t="str">
        <f>IF(AA567=1,COUNTIF($AA$6:AA567,1),"")</f>
        <v/>
      </c>
    </row>
    <row r="568">
      <c r="A568" s="89" t="inlineStr">
        <is>
          <t>REC-000563</t>
        </is>
      </c>
      <c r="B568" s="94" t="str">
        <f>IF(T568=1,INDEX('ITENS_MTR'!$S$6:$S$1005,S568)&amp;"","")</f>
        <v/>
      </c>
      <c r="C568" s="91" t="n"/>
      <c r="D568" s="94" t="str">
        <f>IF(N(U568)&gt;0,INDEX('MTRs'!$I$6:$I$505,U568)&amp;"","")</f>
        <v/>
      </c>
      <c r="E568" s="92" t="n"/>
      <c r="F568" s="98" t="n"/>
      <c r="G568" s="91" t="n"/>
      <c r="H568" s="93" t="str">
        <f>IF(Q568=0,"",IF(NOT(ISNUMBER(F568)),"",IF(ISNUMBER(W568),F568*W568,"UNIDADE A CONFERIR")))</f>
        <v/>
      </c>
      <c r="I568" s="91" t="n"/>
      <c r="J568" s="91" t="n"/>
      <c r="K568" s="92" t="n"/>
      <c r="L568" s="91" t="n"/>
      <c r="M568" s="91" t="n"/>
      <c r="N568" s="91" t="n"/>
      <c r="O568" s="91" t="n"/>
      <c r="P568" s="94" t="str">
        <f>IF(Q568=0,"",IF(C568="","Item de resíduo não informado",IF(T568=0,"Item inexistente (referência inválida)",IF(NOT(ISNUMBER(F568)),"Quantidade não informada",IF(F568&lt;=0,"Quantidade não positiva",IF(G568="","Unidade não informada",IF(NOT(ISNUMBER(H568)),"Unidade a conferir",IF(NOT(ISNUMBER(E568)),"Data de recebimento não informada",IF(AND(ISNUMBER(V568),N(V568)&gt;0,E568&lt;N(V568)),"Data anterior à emissão do MTR",IF(AND(J568="Sim",L568="",M568=""),"Conferido sem evidência identificada",IF(J568&lt;&gt;"Sim","Aguardando conferência",IF(INDEX('ITENS_MTR'!$AM$6:$AM$1005,S568)=1,"Conferido (ver diferença no item)","Conferido"))))))))))))</f>
        <v/>
      </c>
      <c r="Q568" s="96">
        <f>IF(COUNTA(C568,E568:G568,I568:O568)&gt;0,1,0)</f>
        <v>0</v>
      </c>
      <c r="R568" s="96" t="str">
        <f>IF(C568="","",TRIM(LEFT(C568,FIND(" |",C568&amp;" |")-1)))</f>
        <v/>
      </c>
      <c r="S568" s="96" t="str">
        <f>IF(R568="","",IFERROR(MATCH(R568,'ITENS_MTR'!$A$6:$A$1005,0),""))</f>
        <v/>
      </c>
      <c r="T568" s="96">
        <f>IF(S568="",0,IF(INDEX('ITENS_MTR'!$R$6:$R$1005,S568)=1,1,0))</f>
        <v>0</v>
      </c>
      <c r="U568" s="96" t="str">
        <f>IF(T568=1,INDEX('ITENS_MTR'!$T$6:$T$1005,S568),"")</f>
        <v/>
      </c>
      <c r="V568" s="97" t="str">
        <f>IF(N(U568)&gt;0,INDEX('MTRs'!$E$6:$E$505,U568),"")</f>
        <v/>
      </c>
      <c r="W568" s="96" t="str">
        <f>IF(G568="","",IFERROR(IF(ISNUMBER(INDEX(cfg_fac,MATCH(G568,cfg_units,0))),IF(INDEX(cfg_fac,MATCH(G568,cfg_units,0))&gt;0,INDEX(cfg_fac,MATCH(G568,cfg_units,0)),""),""),""))</f>
        <v/>
      </c>
      <c r="X568" s="96">
        <f>IF(AND(ISNUMBER(F568),ISNUMBER(H568)),IF(H568&gt;0,1,0),0)</f>
        <v>0</v>
      </c>
      <c r="Y568" s="96">
        <f>IF(Q568=0,0,IF(OR(T568=0,X568=0,NOT(ISNUMBER(E568)),AND(J568="Sim",L568="",M568=""),AND(ISNUMBER(E568),ISNUMBER(V568),N(V568)&gt;0,E568&lt;N(V568))),1,0))</f>
        <v>0</v>
      </c>
      <c r="Z568" s="96">
        <f>IF(AND(Q568=1,T568=1,X568=1,J568="Sim",OR(L568&lt;&gt;"",M568&lt;&gt;"")),1,0)</f>
        <v>0</v>
      </c>
      <c r="AA568" s="96">
        <f>IF(Q568=0,0,IF(AND(OR(r_ini="",AND(ISNUMBER(E568),E568&gt;=r_ini)),OR(r_fim="",AND(ISNUMBER(E568),E568&lt;=r_fim)),OR(r_un="",r_un="(Todas)",IF(N(U568)&gt;0,INDEX('MTRs'!$G$6:$G$505,U568),"")=r_un),OR(r_de="",r_de="(Todos)",D568=r_de)),1,0))</f>
        <v>0</v>
      </c>
      <c r="AB568" s="96" t="str">
        <f>IF(AA568=1,COUNTIF($AA$6:AA568,1),"")</f>
        <v/>
      </c>
    </row>
    <row r="569">
      <c r="A569" s="89" t="inlineStr">
        <is>
          <t>REC-000564</t>
        </is>
      </c>
      <c r="B569" s="94" t="str">
        <f>IF(T569=1,INDEX('ITENS_MTR'!$S$6:$S$1005,S569)&amp;"","")</f>
        <v/>
      </c>
      <c r="C569" s="91" t="n"/>
      <c r="D569" s="94" t="str">
        <f>IF(N(U569)&gt;0,INDEX('MTRs'!$I$6:$I$505,U569)&amp;"","")</f>
        <v/>
      </c>
      <c r="E569" s="92" t="n"/>
      <c r="F569" s="98" t="n"/>
      <c r="G569" s="91" t="n"/>
      <c r="H569" s="93" t="str">
        <f>IF(Q569=0,"",IF(NOT(ISNUMBER(F569)),"",IF(ISNUMBER(W569),F569*W569,"UNIDADE A CONFERIR")))</f>
        <v/>
      </c>
      <c r="I569" s="91" t="n"/>
      <c r="J569" s="91" t="n"/>
      <c r="K569" s="92" t="n"/>
      <c r="L569" s="91" t="n"/>
      <c r="M569" s="91" t="n"/>
      <c r="N569" s="91" t="n"/>
      <c r="O569" s="91" t="n"/>
      <c r="P569" s="94" t="str">
        <f>IF(Q569=0,"",IF(C569="","Item de resíduo não informado",IF(T569=0,"Item inexistente (referência inválida)",IF(NOT(ISNUMBER(F569)),"Quantidade não informada",IF(F569&lt;=0,"Quantidade não positiva",IF(G569="","Unidade não informada",IF(NOT(ISNUMBER(H569)),"Unidade a conferir",IF(NOT(ISNUMBER(E569)),"Data de recebimento não informada",IF(AND(ISNUMBER(V569),N(V569)&gt;0,E569&lt;N(V569)),"Data anterior à emissão do MTR",IF(AND(J569="Sim",L569="",M569=""),"Conferido sem evidência identificada",IF(J569&lt;&gt;"Sim","Aguardando conferência",IF(INDEX('ITENS_MTR'!$AM$6:$AM$1005,S569)=1,"Conferido (ver diferença no item)","Conferido"))))))))))))</f>
        <v/>
      </c>
      <c r="Q569" s="96">
        <f>IF(COUNTA(C569,E569:G569,I569:O569)&gt;0,1,0)</f>
        <v>0</v>
      </c>
      <c r="R569" s="96" t="str">
        <f>IF(C569="","",TRIM(LEFT(C569,FIND(" |",C569&amp;" |")-1)))</f>
        <v/>
      </c>
      <c r="S569" s="96" t="str">
        <f>IF(R569="","",IFERROR(MATCH(R569,'ITENS_MTR'!$A$6:$A$1005,0),""))</f>
        <v/>
      </c>
      <c r="T569" s="96">
        <f>IF(S569="",0,IF(INDEX('ITENS_MTR'!$R$6:$R$1005,S569)=1,1,0))</f>
        <v>0</v>
      </c>
      <c r="U569" s="96" t="str">
        <f>IF(T569=1,INDEX('ITENS_MTR'!$T$6:$T$1005,S569),"")</f>
        <v/>
      </c>
      <c r="V569" s="97" t="str">
        <f>IF(N(U569)&gt;0,INDEX('MTRs'!$E$6:$E$505,U569),"")</f>
        <v/>
      </c>
      <c r="W569" s="96" t="str">
        <f>IF(G569="","",IFERROR(IF(ISNUMBER(INDEX(cfg_fac,MATCH(G569,cfg_units,0))),IF(INDEX(cfg_fac,MATCH(G569,cfg_units,0))&gt;0,INDEX(cfg_fac,MATCH(G569,cfg_units,0)),""),""),""))</f>
        <v/>
      </c>
      <c r="X569" s="96">
        <f>IF(AND(ISNUMBER(F569),ISNUMBER(H569)),IF(H569&gt;0,1,0),0)</f>
        <v>0</v>
      </c>
      <c r="Y569" s="96">
        <f>IF(Q569=0,0,IF(OR(T569=0,X569=0,NOT(ISNUMBER(E569)),AND(J569="Sim",L569="",M569=""),AND(ISNUMBER(E569),ISNUMBER(V569),N(V569)&gt;0,E569&lt;N(V569))),1,0))</f>
        <v>0</v>
      </c>
      <c r="Z569" s="96">
        <f>IF(AND(Q569=1,T569=1,X569=1,J569="Sim",OR(L569&lt;&gt;"",M569&lt;&gt;"")),1,0)</f>
        <v>0</v>
      </c>
      <c r="AA569" s="96">
        <f>IF(Q569=0,0,IF(AND(OR(r_ini="",AND(ISNUMBER(E569),E569&gt;=r_ini)),OR(r_fim="",AND(ISNUMBER(E569),E569&lt;=r_fim)),OR(r_un="",r_un="(Todas)",IF(N(U569)&gt;0,INDEX('MTRs'!$G$6:$G$505,U569),"")=r_un),OR(r_de="",r_de="(Todos)",D569=r_de)),1,0))</f>
        <v>0</v>
      </c>
      <c r="AB569" s="96" t="str">
        <f>IF(AA569=1,COUNTIF($AA$6:AA569,1),"")</f>
        <v/>
      </c>
    </row>
    <row r="570">
      <c r="A570" s="89" t="inlineStr">
        <is>
          <t>REC-000565</t>
        </is>
      </c>
      <c r="B570" s="94" t="str">
        <f>IF(T570=1,INDEX('ITENS_MTR'!$S$6:$S$1005,S570)&amp;"","")</f>
        <v/>
      </c>
      <c r="C570" s="91" t="n"/>
      <c r="D570" s="94" t="str">
        <f>IF(N(U570)&gt;0,INDEX('MTRs'!$I$6:$I$505,U570)&amp;"","")</f>
        <v/>
      </c>
      <c r="E570" s="92" t="n"/>
      <c r="F570" s="98" t="n"/>
      <c r="G570" s="91" t="n"/>
      <c r="H570" s="93" t="str">
        <f>IF(Q570=0,"",IF(NOT(ISNUMBER(F570)),"",IF(ISNUMBER(W570),F570*W570,"UNIDADE A CONFERIR")))</f>
        <v/>
      </c>
      <c r="I570" s="91" t="n"/>
      <c r="J570" s="91" t="n"/>
      <c r="K570" s="92" t="n"/>
      <c r="L570" s="91" t="n"/>
      <c r="M570" s="91" t="n"/>
      <c r="N570" s="91" t="n"/>
      <c r="O570" s="91" t="n"/>
      <c r="P570" s="94" t="str">
        <f>IF(Q570=0,"",IF(C570="","Item de resíduo não informado",IF(T570=0,"Item inexistente (referência inválida)",IF(NOT(ISNUMBER(F570)),"Quantidade não informada",IF(F570&lt;=0,"Quantidade não positiva",IF(G570="","Unidade não informada",IF(NOT(ISNUMBER(H570)),"Unidade a conferir",IF(NOT(ISNUMBER(E570)),"Data de recebimento não informada",IF(AND(ISNUMBER(V570),N(V570)&gt;0,E570&lt;N(V570)),"Data anterior à emissão do MTR",IF(AND(J570="Sim",L570="",M570=""),"Conferido sem evidência identificada",IF(J570&lt;&gt;"Sim","Aguardando conferência",IF(INDEX('ITENS_MTR'!$AM$6:$AM$1005,S570)=1,"Conferido (ver diferença no item)","Conferido"))))))))))))</f>
        <v/>
      </c>
      <c r="Q570" s="96">
        <f>IF(COUNTA(C570,E570:G570,I570:O570)&gt;0,1,0)</f>
        <v>0</v>
      </c>
      <c r="R570" s="96" t="str">
        <f>IF(C570="","",TRIM(LEFT(C570,FIND(" |",C570&amp;" |")-1)))</f>
        <v/>
      </c>
      <c r="S570" s="96" t="str">
        <f>IF(R570="","",IFERROR(MATCH(R570,'ITENS_MTR'!$A$6:$A$1005,0),""))</f>
        <v/>
      </c>
      <c r="T570" s="96">
        <f>IF(S570="",0,IF(INDEX('ITENS_MTR'!$R$6:$R$1005,S570)=1,1,0))</f>
        <v>0</v>
      </c>
      <c r="U570" s="96" t="str">
        <f>IF(T570=1,INDEX('ITENS_MTR'!$T$6:$T$1005,S570),"")</f>
        <v/>
      </c>
      <c r="V570" s="97" t="str">
        <f>IF(N(U570)&gt;0,INDEX('MTRs'!$E$6:$E$505,U570),"")</f>
        <v/>
      </c>
      <c r="W570" s="96" t="str">
        <f>IF(G570="","",IFERROR(IF(ISNUMBER(INDEX(cfg_fac,MATCH(G570,cfg_units,0))),IF(INDEX(cfg_fac,MATCH(G570,cfg_units,0))&gt;0,INDEX(cfg_fac,MATCH(G570,cfg_units,0)),""),""),""))</f>
        <v/>
      </c>
      <c r="X570" s="96">
        <f>IF(AND(ISNUMBER(F570),ISNUMBER(H570)),IF(H570&gt;0,1,0),0)</f>
        <v>0</v>
      </c>
      <c r="Y570" s="96">
        <f>IF(Q570=0,0,IF(OR(T570=0,X570=0,NOT(ISNUMBER(E570)),AND(J570="Sim",L570="",M570=""),AND(ISNUMBER(E570),ISNUMBER(V570),N(V570)&gt;0,E570&lt;N(V570))),1,0))</f>
        <v>0</v>
      </c>
      <c r="Z570" s="96">
        <f>IF(AND(Q570=1,T570=1,X570=1,J570="Sim",OR(L570&lt;&gt;"",M570&lt;&gt;"")),1,0)</f>
        <v>0</v>
      </c>
      <c r="AA570" s="96">
        <f>IF(Q570=0,0,IF(AND(OR(r_ini="",AND(ISNUMBER(E570),E570&gt;=r_ini)),OR(r_fim="",AND(ISNUMBER(E570),E570&lt;=r_fim)),OR(r_un="",r_un="(Todas)",IF(N(U570)&gt;0,INDEX('MTRs'!$G$6:$G$505,U570),"")=r_un),OR(r_de="",r_de="(Todos)",D570=r_de)),1,0))</f>
        <v>0</v>
      </c>
      <c r="AB570" s="96" t="str">
        <f>IF(AA570=1,COUNTIF($AA$6:AA570,1),"")</f>
        <v/>
      </c>
    </row>
    <row r="571">
      <c r="A571" s="89" t="inlineStr">
        <is>
          <t>REC-000566</t>
        </is>
      </c>
      <c r="B571" s="94" t="str">
        <f>IF(T571=1,INDEX('ITENS_MTR'!$S$6:$S$1005,S571)&amp;"","")</f>
        <v/>
      </c>
      <c r="C571" s="91" t="n"/>
      <c r="D571" s="94" t="str">
        <f>IF(N(U571)&gt;0,INDEX('MTRs'!$I$6:$I$505,U571)&amp;"","")</f>
        <v/>
      </c>
      <c r="E571" s="92" t="n"/>
      <c r="F571" s="98" t="n"/>
      <c r="G571" s="91" t="n"/>
      <c r="H571" s="93" t="str">
        <f>IF(Q571=0,"",IF(NOT(ISNUMBER(F571)),"",IF(ISNUMBER(W571),F571*W571,"UNIDADE A CONFERIR")))</f>
        <v/>
      </c>
      <c r="I571" s="91" t="n"/>
      <c r="J571" s="91" t="n"/>
      <c r="K571" s="92" t="n"/>
      <c r="L571" s="91" t="n"/>
      <c r="M571" s="91" t="n"/>
      <c r="N571" s="91" t="n"/>
      <c r="O571" s="91" t="n"/>
      <c r="P571" s="94" t="str">
        <f>IF(Q571=0,"",IF(C571="","Item de resíduo não informado",IF(T571=0,"Item inexistente (referência inválida)",IF(NOT(ISNUMBER(F571)),"Quantidade não informada",IF(F571&lt;=0,"Quantidade não positiva",IF(G571="","Unidade não informada",IF(NOT(ISNUMBER(H571)),"Unidade a conferir",IF(NOT(ISNUMBER(E571)),"Data de recebimento não informada",IF(AND(ISNUMBER(V571),N(V571)&gt;0,E571&lt;N(V571)),"Data anterior à emissão do MTR",IF(AND(J571="Sim",L571="",M571=""),"Conferido sem evidência identificada",IF(J571&lt;&gt;"Sim","Aguardando conferência",IF(INDEX('ITENS_MTR'!$AM$6:$AM$1005,S571)=1,"Conferido (ver diferença no item)","Conferido"))))))))))))</f>
        <v/>
      </c>
      <c r="Q571" s="96">
        <f>IF(COUNTA(C571,E571:G571,I571:O571)&gt;0,1,0)</f>
        <v>0</v>
      </c>
      <c r="R571" s="96" t="str">
        <f>IF(C571="","",TRIM(LEFT(C571,FIND(" |",C571&amp;" |")-1)))</f>
        <v/>
      </c>
      <c r="S571" s="96" t="str">
        <f>IF(R571="","",IFERROR(MATCH(R571,'ITENS_MTR'!$A$6:$A$1005,0),""))</f>
        <v/>
      </c>
      <c r="T571" s="96">
        <f>IF(S571="",0,IF(INDEX('ITENS_MTR'!$R$6:$R$1005,S571)=1,1,0))</f>
        <v>0</v>
      </c>
      <c r="U571" s="96" t="str">
        <f>IF(T571=1,INDEX('ITENS_MTR'!$T$6:$T$1005,S571),"")</f>
        <v/>
      </c>
      <c r="V571" s="97" t="str">
        <f>IF(N(U571)&gt;0,INDEX('MTRs'!$E$6:$E$505,U571),"")</f>
        <v/>
      </c>
      <c r="W571" s="96" t="str">
        <f>IF(G571="","",IFERROR(IF(ISNUMBER(INDEX(cfg_fac,MATCH(G571,cfg_units,0))),IF(INDEX(cfg_fac,MATCH(G571,cfg_units,0))&gt;0,INDEX(cfg_fac,MATCH(G571,cfg_units,0)),""),""),""))</f>
        <v/>
      </c>
      <c r="X571" s="96">
        <f>IF(AND(ISNUMBER(F571),ISNUMBER(H571)),IF(H571&gt;0,1,0),0)</f>
        <v>0</v>
      </c>
      <c r="Y571" s="96">
        <f>IF(Q571=0,0,IF(OR(T571=0,X571=0,NOT(ISNUMBER(E571)),AND(J571="Sim",L571="",M571=""),AND(ISNUMBER(E571),ISNUMBER(V571),N(V571)&gt;0,E571&lt;N(V571))),1,0))</f>
        <v>0</v>
      </c>
      <c r="Z571" s="96">
        <f>IF(AND(Q571=1,T571=1,X571=1,J571="Sim",OR(L571&lt;&gt;"",M571&lt;&gt;"")),1,0)</f>
        <v>0</v>
      </c>
      <c r="AA571" s="96">
        <f>IF(Q571=0,0,IF(AND(OR(r_ini="",AND(ISNUMBER(E571),E571&gt;=r_ini)),OR(r_fim="",AND(ISNUMBER(E571),E571&lt;=r_fim)),OR(r_un="",r_un="(Todas)",IF(N(U571)&gt;0,INDEX('MTRs'!$G$6:$G$505,U571),"")=r_un),OR(r_de="",r_de="(Todos)",D571=r_de)),1,0))</f>
        <v>0</v>
      </c>
      <c r="AB571" s="96" t="str">
        <f>IF(AA571=1,COUNTIF($AA$6:AA571,1),"")</f>
        <v/>
      </c>
    </row>
    <row r="572">
      <c r="A572" s="89" t="inlineStr">
        <is>
          <t>REC-000567</t>
        </is>
      </c>
      <c r="B572" s="94" t="str">
        <f>IF(T572=1,INDEX('ITENS_MTR'!$S$6:$S$1005,S572)&amp;"","")</f>
        <v/>
      </c>
      <c r="C572" s="91" t="n"/>
      <c r="D572" s="94" t="str">
        <f>IF(N(U572)&gt;0,INDEX('MTRs'!$I$6:$I$505,U572)&amp;"","")</f>
        <v/>
      </c>
      <c r="E572" s="92" t="n"/>
      <c r="F572" s="98" t="n"/>
      <c r="G572" s="91" t="n"/>
      <c r="H572" s="93" t="str">
        <f>IF(Q572=0,"",IF(NOT(ISNUMBER(F572)),"",IF(ISNUMBER(W572),F572*W572,"UNIDADE A CONFERIR")))</f>
        <v/>
      </c>
      <c r="I572" s="91" t="n"/>
      <c r="J572" s="91" t="n"/>
      <c r="K572" s="92" t="n"/>
      <c r="L572" s="91" t="n"/>
      <c r="M572" s="91" t="n"/>
      <c r="N572" s="91" t="n"/>
      <c r="O572" s="91" t="n"/>
      <c r="P572" s="94" t="str">
        <f>IF(Q572=0,"",IF(C572="","Item de resíduo não informado",IF(T572=0,"Item inexistente (referência inválida)",IF(NOT(ISNUMBER(F572)),"Quantidade não informada",IF(F572&lt;=0,"Quantidade não positiva",IF(G572="","Unidade não informada",IF(NOT(ISNUMBER(H572)),"Unidade a conferir",IF(NOT(ISNUMBER(E572)),"Data de recebimento não informada",IF(AND(ISNUMBER(V572),N(V572)&gt;0,E572&lt;N(V572)),"Data anterior à emissão do MTR",IF(AND(J572="Sim",L572="",M572=""),"Conferido sem evidência identificada",IF(J572&lt;&gt;"Sim","Aguardando conferência",IF(INDEX('ITENS_MTR'!$AM$6:$AM$1005,S572)=1,"Conferido (ver diferença no item)","Conferido"))))))))))))</f>
        <v/>
      </c>
      <c r="Q572" s="96">
        <f>IF(COUNTA(C572,E572:G572,I572:O572)&gt;0,1,0)</f>
        <v>0</v>
      </c>
      <c r="R572" s="96" t="str">
        <f>IF(C572="","",TRIM(LEFT(C572,FIND(" |",C572&amp;" |")-1)))</f>
        <v/>
      </c>
      <c r="S572" s="96" t="str">
        <f>IF(R572="","",IFERROR(MATCH(R572,'ITENS_MTR'!$A$6:$A$1005,0),""))</f>
        <v/>
      </c>
      <c r="T572" s="96">
        <f>IF(S572="",0,IF(INDEX('ITENS_MTR'!$R$6:$R$1005,S572)=1,1,0))</f>
        <v>0</v>
      </c>
      <c r="U572" s="96" t="str">
        <f>IF(T572=1,INDEX('ITENS_MTR'!$T$6:$T$1005,S572),"")</f>
        <v/>
      </c>
      <c r="V572" s="97" t="str">
        <f>IF(N(U572)&gt;0,INDEX('MTRs'!$E$6:$E$505,U572),"")</f>
        <v/>
      </c>
      <c r="W572" s="96" t="str">
        <f>IF(G572="","",IFERROR(IF(ISNUMBER(INDEX(cfg_fac,MATCH(G572,cfg_units,0))),IF(INDEX(cfg_fac,MATCH(G572,cfg_units,0))&gt;0,INDEX(cfg_fac,MATCH(G572,cfg_units,0)),""),""),""))</f>
        <v/>
      </c>
      <c r="X572" s="96">
        <f>IF(AND(ISNUMBER(F572),ISNUMBER(H572)),IF(H572&gt;0,1,0),0)</f>
        <v>0</v>
      </c>
      <c r="Y572" s="96">
        <f>IF(Q572=0,0,IF(OR(T572=0,X572=0,NOT(ISNUMBER(E572)),AND(J572="Sim",L572="",M572=""),AND(ISNUMBER(E572),ISNUMBER(V572),N(V572)&gt;0,E572&lt;N(V572))),1,0))</f>
        <v>0</v>
      </c>
      <c r="Z572" s="96">
        <f>IF(AND(Q572=1,T572=1,X572=1,J572="Sim",OR(L572&lt;&gt;"",M572&lt;&gt;"")),1,0)</f>
        <v>0</v>
      </c>
      <c r="AA572" s="96">
        <f>IF(Q572=0,0,IF(AND(OR(r_ini="",AND(ISNUMBER(E572),E572&gt;=r_ini)),OR(r_fim="",AND(ISNUMBER(E572),E572&lt;=r_fim)),OR(r_un="",r_un="(Todas)",IF(N(U572)&gt;0,INDEX('MTRs'!$G$6:$G$505,U572),"")=r_un),OR(r_de="",r_de="(Todos)",D572=r_de)),1,0))</f>
        <v>0</v>
      </c>
      <c r="AB572" s="96" t="str">
        <f>IF(AA572=1,COUNTIF($AA$6:AA572,1),"")</f>
        <v/>
      </c>
    </row>
    <row r="573">
      <c r="A573" s="89" t="inlineStr">
        <is>
          <t>REC-000568</t>
        </is>
      </c>
      <c r="B573" s="94" t="str">
        <f>IF(T573=1,INDEX('ITENS_MTR'!$S$6:$S$1005,S573)&amp;"","")</f>
        <v/>
      </c>
      <c r="C573" s="91" t="n"/>
      <c r="D573" s="94" t="str">
        <f>IF(N(U573)&gt;0,INDEX('MTRs'!$I$6:$I$505,U573)&amp;"","")</f>
        <v/>
      </c>
      <c r="E573" s="92" t="n"/>
      <c r="F573" s="98" t="n"/>
      <c r="G573" s="91" t="n"/>
      <c r="H573" s="93" t="str">
        <f>IF(Q573=0,"",IF(NOT(ISNUMBER(F573)),"",IF(ISNUMBER(W573),F573*W573,"UNIDADE A CONFERIR")))</f>
        <v/>
      </c>
      <c r="I573" s="91" t="n"/>
      <c r="J573" s="91" t="n"/>
      <c r="K573" s="92" t="n"/>
      <c r="L573" s="91" t="n"/>
      <c r="M573" s="91" t="n"/>
      <c r="N573" s="91" t="n"/>
      <c r="O573" s="91" t="n"/>
      <c r="P573" s="94" t="str">
        <f>IF(Q573=0,"",IF(C573="","Item de resíduo não informado",IF(T573=0,"Item inexistente (referência inválida)",IF(NOT(ISNUMBER(F573)),"Quantidade não informada",IF(F573&lt;=0,"Quantidade não positiva",IF(G573="","Unidade não informada",IF(NOT(ISNUMBER(H573)),"Unidade a conferir",IF(NOT(ISNUMBER(E573)),"Data de recebimento não informada",IF(AND(ISNUMBER(V573),N(V573)&gt;0,E573&lt;N(V573)),"Data anterior à emissão do MTR",IF(AND(J573="Sim",L573="",M573=""),"Conferido sem evidência identificada",IF(J573&lt;&gt;"Sim","Aguardando conferência",IF(INDEX('ITENS_MTR'!$AM$6:$AM$1005,S573)=1,"Conferido (ver diferença no item)","Conferido"))))))))))))</f>
        <v/>
      </c>
      <c r="Q573" s="96">
        <f>IF(COUNTA(C573,E573:G573,I573:O573)&gt;0,1,0)</f>
        <v>0</v>
      </c>
      <c r="R573" s="96" t="str">
        <f>IF(C573="","",TRIM(LEFT(C573,FIND(" |",C573&amp;" |")-1)))</f>
        <v/>
      </c>
      <c r="S573" s="96" t="str">
        <f>IF(R573="","",IFERROR(MATCH(R573,'ITENS_MTR'!$A$6:$A$1005,0),""))</f>
        <v/>
      </c>
      <c r="T573" s="96">
        <f>IF(S573="",0,IF(INDEX('ITENS_MTR'!$R$6:$R$1005,S573)=1,1,0))</f>
        <v>0</v>
      </c>
      <c r="U573" s="96" t="str">
        <f>IF(T573=1,INDEX('ITENS_MTR'!$T$6:$T$1005,S573),"")</f>
        <v/>
      </c>
      <c r="V573" s="97" t="str">
        <f>IF(N(U573)&gt;0,INDEX('MTRs'!$E$6:$E$505,U573),"")</f>
        <v/>
      </c>
      <c r="W573" s="96" t="str">
        <f>IF(G573="","",IFERROR(IF(ISNUMBER(INDEX(cfg_fac,MATCH(G573,cfg_units,0))),IF(INDEX(cfg_fac,MATCH(G573,cfg_units,0))&gt;0,INDEX(cfg_fac,MATCH(G573,cfg_units,0)),""),""),""))</f>
        <v/>
      </c>
      <c r="X573" s="96">
        <f>IF(AND(ISNUMBER(F573),ISNUMBER(H573)),IF(H573&gt;0,1,0),0)</f>
        <v>0</v>
      </c>
      <c r="Y573" s="96">
        <f>IF(Q573=0,0,IF(OR(T573=0,X573=0,NOT(ISNUMBER(E573)),AND(J573="Sim",L573="",M573=""),AND(ISNUMBER(E573),ISNUMBER(V573),N(V573)&gt;0,E573&lt;N(V573))),1,0))</f>
        <v>0</v>
      </c>
      <c r="Z573" s="96">
        <f>IF(AND(Q573=1,T573=1,X573=1,J573="Sim",OR(L573&lt;&gt;"",M573&lt;&gt;"")),1,0)</f>
        <v>0</v>
      </c>
      <c r="AA573" s="96">
        <f>IF(Q573=0,0,IF(AND(OR(r_ini="",AND(ISNUMBER(E573),E573&gt;=r_ini)),OR(r_fim="",AND(ISNUMBER(E573),E573&lt;=r_fim)),OR(r_un="",r_un="(Todas)",IF(N(U573)&gt;0,INDEX('MTRs'!$G$6:$G$505,U573),"")=r_un),OR(r_de="",r_de="(Todos)",D573=r_de)),1,0))</f>
        <v>0</v>
      </c>
      <c r="AB573" s="96" t="str">
        <f>IF(AA573=1,COUNTIF($AA$6:AA573,1),"")</f>
        <v/>
      </c>
    </row>
    <row r="574">
      <c r="A574" s="89" t="inlineStr">
        <is>
          <t>REC-000569</t>
        </is>
      </c>
      <c r="B574" s="94" t="str">
        <f>IF(T574=1,INDEX('ITENS_MTR'!$S$6:$S$1005,S574)&amp;"","")</f>
        <v/>
      </c>
      <c r="C574" s="91" t="n"/>
      <c r="D574" s="94" t="str">
        <f>IF(N(U574)&gt;0,INDEX('MTRs'!$I$6:$I$505,U574)&amp;"","")</f>
        <v/>
      </c>
      <c r="E574" s="92" t="n"/>
      <c r="F574" s="98" t="n"/>
      <c r="G574" s="91" t="n"/>
      <c r="H574" s="93" t="str">
        <f>IF(Q574=0,"",IF(NOT(ISNUMBER(F574)),"",IF(ISNUMBER(W574),F574*W574,"UNIDADE A CONFERIR")))</f>
        <v/>
      </c>
      <c r="I574" s="91" t="n"/>
      <c r="J574" s="91" t="n"/>
      <c r="K574" s="92" t="n"/>
      <c r="L574" s="91" t="n"/>
      <c r="M574" s="91" t="n"/>
      <c r="N574" s="91" t="n"/>
      <c r="O574" s="91" t="n"/>
      <c r="P574" s="94" t="str">
        <f>IF(Q574=0,"",IF(C574="","Item de resíduo não informado",IF(T574=0,"Item inexistente (referência inválida)",IF(NOT(ISNUMBER(F574)),"Quantidade não informada",IF(F574&lt;=0,"Quantidade não positiva",IF(G574="","Unidade não informada",IF(NOT(ISNUMBER(H574)),"Unidade a conferir",IF(NOT(ISNUMBER(E574)),"Data de recebimento não informada",IF(AND(ISNUMBER(V574),N(V574)&gt;0,E574&lt;N(V574)),"Data anterior à emissão do MTR",IF(AND(J574="Sim",L574="",M574=""),"Conferido sem evidência identificada",IF(J574&lt;&gt;"Sim","Aguardando conferência",IF(INDEX('ITENS_MTR'!$AM$6:$AM$1005,S574)=1,"Conferido (ver diferença no item)","Conferido"))))))))))))</f>
        <v/>
      </c>
      <c r="Q574" s="96">
        <f>IF(COUNTA(C574,E574:G574,I574:O574)&gt;0,1,0)</f>
        <v>0</v>
      </c>
      <c r="R574" s="96" t="str">
        <f>IF(C574="","",TRIM(LEFT(C574,FIND(" |",C574&amp;" |")-1)))</f>
        <v/>
      </c>
      <c r="S574" s="96" t="str">
        <f>IF(R574="","",IFERROR(MATCH(R574,'ITENS_MTR'!$A$6:$A$1005,0),""))</f>
        <v/>
      </c>
      <c r="T574" s="96">
        <f>IF(S574="",0,IF(INDEX('ITENS_MTR'!$R$6:$R$1005,S574)=1,1,0))</f>
        <v>0</v>
      </c>
      <c r="U574" s="96" t="str">
        <f>IF(T574=1,INDEX('ITENS_MTR'!$T$6:$T$1005,S574),"")</f>
        <v/>
      </c>
      <c r="V574" s="97" t="str">
        <f>IF(N(U574)&gt;0,INDEX('MTRs'!$E$6:$E$505,U574),"")</f>
        <v/>
      </c>
      <c r="W574" s="96" t="str">
        <f>IF(G574="","",IFERROR(IF(ISNUMBER(INDEX(cfg_fac,MATCH(G574,cfg_units,0))),IF(INDEX(cfg_fac,MATCH(G574,cfg_units,0))&gt;0,INDEX(cfg_fac,MATCH(G574,cfg_units,0)),""),""),""))</f>
        <v/>
      </c>
      <c r="X574" s="96">
        <f>IF(AND(ISNUMBER(F574),ISNUMBER(H574)),IF(H574&gt;0,1,0),0)</f>
        <v>0</v>
      </c>
      <c r="Y574" s="96">
        <f>IF(Q574=0,0,IF(OR(T574=0,X574=0,NOT(ISNUMBER(E574)),AND(J574="Sim",L574="",M574=""),AND(ISNUMBER(E574),ISNUMBER(V574),N(V574)&gt;0,E574&lt;N(V574))),1,0))</f>
        <v>0</v>
      </c>
      <c r="Z574" s="96">
        <f>IF(AND(Q574=1,T574=1,X574=1,J574="Sim",OR(L574&lt;&gt;"",M574&lt;&gt;"")),1,0)</f>
        <v>0</v>
      </c>
      <c r="AA574" s="96">
        <f>IF(Q574=0,0,IF(AND(OR(r_ini="",AND(ISNUMBER(E574),E574&gt;=r_ini)),OR(r_fim="",AND(ISNUMBER(E574),E574&lt;=r_fim)),OR(r_un="",r_un="(Todas)",IF(N(U574)&gt;0,INDEX('MTRs'!$G$6:$G$505,U574),"")=r_un),OR(r_de="",r_de="(Todos)",D574=r_de)),1,0))</f>
        <v>0</v>
      </c>
      <c r="AB574" s="96" t="str">
        <f>IF(AA574=1,COUNTIF($AA$6:AA574,1),"")</f>
        <v/>
      </c>
    </row>
    <row r="575">
      <c r="A575" s="89" t="inlineStr">
        <is>
          <t>REC-000570</t>
        </is>
      </c>
      <c r="B575" s="94" t="str">
        <f>IF(T575=1,INDEX('ITENS_MTR'!$S$6:$S$1005,S575)&amp;"","")</f>
        <v/>
      </c>
      <c r="C575" s="91" t="n"/>
      <c r="D575" s="94" t="str">
        <f>IF(N(U575)&gt;0,INDEX('MTRs'!$I$6:$I$505,U575)&amp;"","")</f>
        <v/>
      </c>
      <c r="E575" s="92" t="n"/>
      <c r="F575" s="98" t="n"/>
      <c r="G575" s="91" t="n"/>
      <c r="H575" s="93" t="str">
        <f>IF(Q575=0,"",IF(NOT(ISNUMBER(F575)),"",IF(ISNUMBER(W575),F575*W575,"UNIDADE A CONFERIR")))</f>
        <v/>
      </c>
      <c r="I575" s="91" t="n"/>
      <c r="J575" s="91" t="n"/>
      <c r="K575" s="92" t="n"/>
      <c r="L575" s="91" t="n"/>
      <c r="M575" s="91" t="n"/>
      <c r="N575" s="91" t="n"/>
      <c r="O575" s="91" t="n"/>
      <c r="P575" s="94" t="str">
        <f>IF(Q575=0,"",IF(C575="","Item de resíduo não informado",IF(T575=0,"Item inexistente (referência inválida)",IF(NOT(ISNUMBER(F575)),"Quantidade não informada",IF(F575&lt;=0,"Quantidade não positiva",IF(G575="","Unidade não informada",IF(NOT(ISNUMBER(H575)),"Unidade a conferir",IF(NOT(ISNUMBER(E575)),"Data de recebimento não informada",IF(AND(ISNUMBER(V575),N(V575)&gt;0,E575&lt;N(V575)),"Data anterior à emissão do MTR",IF(AND(J575="Sim",L575="",M575=""),"Conferido sem evidência identificada",IF(J575&lt;&gt;"Sim","Aguardando conferência",IF(INDEX('ITENS_MTR'!$AM$6:$AM$1005,S575)=1,"Conferido (ver diferença no item)","Conferido"))))))))))))</f>
        <v/>
      </c>
      <c r="Q575" s="96">
        <f>IF(COUNTA(C575,E575:G575,I575:O575)&gt;0,1,0)</f>
        <v>0</v>
      </c>
      <c r="R575" s="96" t="str">
        <f>IF(C575="","",TRIM(LEFT(C575,FIND(" |",C575&amp;" |")-1)))</f>
        <v/>
      </c>
      <c r="S575" s="96" t="str">
        <f>IF(R575="","",IFERROR(MATCH(R575,'ITENS_MTR'!$A$6:$A$1005,0),""))</f>
        <v/>
      </c>
      <c r="T575" s="96">
        <f>IF(S575="",0,IF(INDEX('ITENS_MTR'!$R$6:$R$1005,S575)=1,1,0))</f>
        <v>0</v>
      </c>
      <c r="U575" s="96" t="str">
        <f>IF(T575=1,INDEX('ITENS_MTR'!$T$6:$T$1005,S575),"")</f>
        <v/>
      </c>
      <c r="V575" s="97" t="str">
        <f>IF(N(U575)&gt;0,INDEX('MTRs'!$E$6:$E$505,U575),"")</f>
        <v/>
      </c>
      <c r="W575" s="96" t="str">
        <f>IF(G575="","",IFERROR(IF(ISNUMBER(INDEX(cfg_fac,MATCH(G575,cfg_units,0))),IF(INDEX(cfg_fac,MATCH(G575,cfg_units,0))&gt;0,INDEX(cfg_fac,MATCH(G575,cfg_units,0)),""),""),""))</f>
        <v/>
      </c>
      <c r="X575" s="96">
        <f>IF(AND(ISNUMBER(F575),ISNUMBER(H575)),IF(H575&gt;0,1,0),0)</f>
        <v>0</v>
      </c>
      <c r="Y575" s="96">
        <f>IF(Q575=0,0,IF(OR(T575=0,X575=0,NOT(ISNUMBER(E575)),AND(J575="Sim",L575="",M575=""),AND(ISNUMBER(E575),ISNUMBER(V575),N(V575)&gt;0,E575&lt;N(V575))),1,0))</f>
        <v>0</v>
      </c>
      <c r="Z575" s="96">
        <f>IF(AND(Q575=1,T575=1,X575=1,J575="Sim",OR(L575&lt;&gt;"",M575&lt;&gt;"")),1,0)</f>
        <v>0</v>
      </c>
      <c r="AA575" s="96">
        <f>IF(Q575=0,0,IF(AND(OR(r_ini="",AND(ISNUMBER(E575),E575&gt;=r_ini)),OR(r_fim="",AND(ISNUMBER(E575),E575&lt;=r_fim)),OR(r_un="",r_un="(Todas)",IF(N(U575)&gt;0,INDEX('MTRs'!$G$6:$G$505,U575),"")=r_un),OR(r_de="",r_de="(Todos)",D575=r_de)),1,0))</f>
        <v>0</v>
      </c>
      <c r="AB575" s="96" t="str">
        <f>IF(AA575=1,COUNTIF($AA$6:AA575,1),"")</f>
        <v/>
      </c>
    </row>
    <row r="576">
      <c r="A576" s="89" t="inlineStr">
        <is>
          <t>REC-000571</t>
        </is>
      </c>
      <c r="B576" s="94" t="str">
        <f>IF(T576=1,INDEX('ITENS_MTR'!$S$6:$S$1005,S576)&amp;"","")</f>
        <v/>
      </c>
      <c r="C576" s="91" t="n"/>
      <c r="D576" s="94" t="str">
        <f>IF(N(U576)&gt;0,INDEX('MTRs'!$I$6:$I$505,U576)&amp;"","")</f>
        <v/>
      </c>
      <c r="E576" s="92" t="n"/>
      <c r="F576" s="98" t="n"/>
      <c r="G576" s="91" t="n"/>
      <c r="H576" s="93" t="str">
        <f>IF(Q576=0,"",IF(NOT(ISNUMBER(F576)),"",IF(ISNUMBER(W576),F576*W576,"UNIDADE A CONFERIR")))</f>
        <v/>
      </c>
      <c r="I576" s="91" t="n"/>
      <c r="J576" s="91" t="n"/>
      <c r="K576" s="92" t="n"/>
      <c r="L576" s="91" t="n"/>
      <c r="M576" s="91" t="n"/>
      <c r="N576" s="91" t="n"/>
      <c r="O576" s="91" t="n"/>
      <c r="P576" s="94" t="str">
        <f>IF(Q576=0,"",IF(C576="","Item de resíduo não informado",IF(T576=0,"Item inexistente (referência inválida)",IF(NOT(ISNUMBER(F576)),"Quantidade não informada",IF(F576&lt;=0,"Quantidade não positiva",IF(G576="","Unidade não informada",IF(NOT(ISNUMBER(H576)),"Unidade a conferir",IF(NOT(ISNUMBER(E576)),"Data de recebimento não informada",IF(AND(ISNUMBER(V576),N(V576)&gt;0,E576&lt;N(V576)),"Data anterior à emissão do MTR",IF(AND(J576="Sim",L576="",M576=""),"Conferido sem evidência identificada",IF(J576&lt;&gt;"Sim","Aguardando conferência",IF(INDEX('ITENS_MTR'!$AM$6:$AM$1005,S576)=1,"Conferido (ver diferença no item)","Conferido"))))))))))))</f>
        <v/>
      </c>
      <c r="Q576" s="96">
        <f>IF(COUNTA(C576,E576:G576,I576:O576)&gt;0,1,0)</f>
        <v>0</v>
      </c>
      <c r="R576" s="96" t="str">
        <f>IF(C576="","",TRIM(LEFT(C576,FIND(" |",C576&amp;" |")-1)))</f>
        <v/>
      </c>
      <c r="S576" s="96" t="str">
        <f>IF(R576="","",IFERROR(MATCH(R576,'ITENS_MTR'!$A$6:$A$1005,0),""))</f>
        <v/>
      </c>
      <c r="T576" s="96">
        <f>IF(S576="",0,IF(INDEX('ITENS_MTR'!$R$6:$R$1005,S576)=1,1,0))</f>
        <v>0</v>
      </c>
      <c r="U576" s="96" t="str">
        <f>IF(T576=1,INDEX('ITENS_MTR'!$T$6:$T$1005,S576),"")</f>
        <v/>
      </c>
      <c r="V576" s="97" t="str">
        <f>IF(N(U576)&gt;0,INDEX('MTRs'!$E$6:$E$505,U576),"")</f>
        <v/>
      </c>
      <c r="W576" s="96" t="str">
        <f>IF(G576="","",IFERROR(IF(ISNUMBER(INDEX(cfg_fac,MATCH(G576,cfg_units,0))),IF(INDEX(cfg_fac,MATCH(G576,cfg_units,0))&gt;0,INDEX(cfg_fac,MATCH(G576,cfg_units,0)),""),""),""))</f>
        <v/>
      </c>
      <c r="X576" s="96">
        <f>IF(AND(ISNUMBER(F576),ISNUMBER(H576)),IF(H576&gt;0,1,0),0)</f>
        <v>0</v>
      </c>
      <c r="Y576" s="96">
        <f>IF(Q576=0,0,IF(OR(T576=0,X576=0,NOT(ISNUMBER(E576)),AND(J576="Sim",L576="",M576=""),AND(ISNUMBER(E576),ISNUMBER(V576),N(V576)&gt;0,E576&lt;N(V576))),1,0))</f>
        <v>0</v>
      </c>
      <c r="Z576" s="96">
        <f>IF(AND(Q576=1,T576=1,X576=1,J576="Sim",OR(L576&lt;&gt;"",M576&lt;&gt;"")),1,0)</f>
        <v>0</v>
      </c>
      <c r="AA576" s="96">
        <f>IF(Q576=0,0,IF(AND(OR(r_ini="",AND(ISNUMBER(E576),E576&gt;=r_ini)),OR(r_fim="",AND(ISNUMBER(E576),E576&lt;=r_fim)),OR(r_un="",r_un="(Todas)",IF(N(U576)&gt;0,INDEX('MTRs'!$G$6:$G$505,U576),"")=r_un),OR(r_de="",r_de="(Todos)",D576=r_de)),1,0))</f>
        <v>0</v>
      </c>
      <c r="AB576" s="96" t="str">
        <f>IF(AA576=1,COUNTIF($AA$6:AA576,1),"")</f>
        <v/>
      </c>
    </row>
    <row r="577">
      <c r="A577" s="89" t="inlineStr">
        <is>
          <t>REC-000572</t>
        </is>
      </c>
      <c r="B577" s="94" t="str">
        <f>IF(T577=1,INDEX('ITENS_MTR'!$S$6:$S$1005,S577)&amp;"","")</f>
        <v/>
      </c>
      <c r="C577" s="91" t="n"/>
      <c r="D577" s="94" t="str">
        <f>IF(N(U577)&gt;0,INDEX('MTRs'!$I$6:$I$505,U577)&amp;"","")</f>
        <v/>
      </c>
      <c r="E577" s="92" t="n"/>
      <c r="F577" s="98" t="n"/>
      <c r="G577" s="91" t="n"/>
      <c r="H577" s="93" t="str">
        <f>IF(Q577=0,"",IF(NOT(ISNUMBER(F577)),"",IF(ISNUMBER(W577),F577*W577,"UNIDADE A CONFERIR")))</f>
        <v/>
      </c>
      <c r="I577" s="91" t="n"/>
      <c r="J577" s="91" t="n"/>
      <c r="K577" s="92" t="n"/>
      <c r="L577" s="91" t="n"/>
      <c r="M577" s="91" t="n"/>
      <c r="N577" s="91" t="n"/>
      <c r="O577" s="91" t="n"/>
      <c r="P577" s="94" t="str">
        <f>IF(Q577=0,"",IF(C577="","Item de resíduo não informado",IF(T577=0,"Item inexistente (referência inválida)",IF(NOT(ISNUMBER(F577)),"Quantidade não informada",IF(F577&lt;=0,"Quantidade não positiva",IF(G577="","Unidade não informada",IF(NOT(ISNUMBER(H577)),"Unidade a conferir",IF(NOT(ISNUMBER(E577)),"Data de recebimento não informada",IF(AND(ISNUMBER(V577),N(V577)&gt;0,E577&lt;N(V577)),"Data anterior à emissão do MTR",IF(AND(J577="Sim",L577="",M577=""),"Conferido sem evidência identificada",IF(J577&lt;&gt;"Sim","Aguardando conferência",IF(INDEX('ITENS_MTR'!$AM$6:$AM$1005,S577)=1,"Conferido (ver diferença no item)","Conferido"))))))))))))</f>
        <v/>
      </c>
      <c r="Q577" s="96">
        <f>IF(COUNTA(C577,E577:G577,I577:O577)&gt;0,1,0)</f>
        <v>0</v>
      </c>
      <c r="R577" s="96" t="str">
        <f>IF(C577="","",TRIM(LEFT(C577,FIND(" |",C577&amp;" |")-1)))</f>
        <v/>
      </c>
      <c r="S577" s="96" t="str">
        <f>IF(R577="","",IFERROR(MATCH(R577,'ITENS_MTR'!$A$6:$A$1005,0),""))</f>
        <v/>
      </c>
      <c r="T577" s="96">
        <f>IF(S577="",0,IF(INDEX('ITENS_MTR'!$R$6:$R$1005,S577)=1,1,0))</f>
        <v>0</v>
      </c>
      <c r="U577" s="96" t="str">
        <f>IF(T577=1,INDEX('ITENS_MTR'!$T$6:$T$1005,S577),"")</f>
        <v/>
      </c>
      <c r="V577" s="97" t="str">
        <f>IF(N(U577)&gt;0,INDEX('MTRs'!$E$6:$E$505,U577),"")</f>
        <v/>
      </c>
      <c r="W577" s="96" t="str">
        <f>IF(G577="","",IFERROR(IF(ISNUMBER(INDEX(cfg_fac,MATCH(G577,cfg_units,0))),IF(INDEX(cfg_fac,MATCH(G577,cfg_units,0))&gt;0,INDEX(cfg_fac,MATCH(G577,cfg_units,0)),""),""),""))</f>
        <v/>
      </c>
      <c r="X577" s="96">
        <f>IF(AND(ISNUMBER(F577),ISNUMBER(H577)),IF(H577&gt;0,1,0),0)</f>
        <v>0</v>
      </c>
      <c r="Y577" s="96">
        <f>IF(Q577=0,0,IF(OR(T577=0,X577=0,NOT(ISNUMBER(E577)),AND(J577="Sim",L577="",M577=""),AND(ISNUMBER(E577),ISNUMBER(V577),N(V577)&gt;0,E577&lt;N(V577))),1,0))</f>
        <v>0</v>
      </c>
      <c r="Z577" s="96">
        <f>IF(AND(Q577=1,T577=1,X577=1,J577="Sim",OR(L577&lt;&gt;"",M577&lt;&gt;"")),1,0)</f>
        <v>0</v>
      </c>
      <c r="AA577" s="96">
        <f>IF(Q577=0,0,IF(AND(OR(r_ini="",AND(ISNUMBER(E577),E577&gt;=r_ini)),OR(r_fim="",AND(ISNUMBER(E577),E577&lt;=r_fim)),OR(r_un="",r_un="(Todas)",IF(N(U577)&gt;0,INDEX('MTRs'!$G$6:$G$505,U577),"")=r_un),OR(r_de="",r_de="(Todos)",D577=r_de)),1,0))</f>
        <v>0</v>
      </c>
      <c r="AB577" s="96" t="str">
        <f>IF(AA577=1,COUNTIF($AA$6:AA577,1),"")</f>
        <v/>
      </c>
    </row>
    <row r="578">
      <c r="A578" s="89" t="inlineStr">
        <is>
          <t>REC-000573</t>
        </is>
      </c>
      <c r="B578" s="94" t="str">
        <f>IF(T578=1,INDEX('ITENS_MTR'!$S$6:$S$1005,S578)&amp;"","")</f>
        <v/>
      </c>
      <c r="C578" s="91" t="n"/>
      <c r="D578" s="94" t="str">
        <f>IF(N(U578)&gt;0,INDEX('MTRs'!$I$6:$I$505,U578)&amp;"","")</f>
        <v/>
      </c>
      <c r="E578" s="92" t="n"/>
      <c r="F578" s="98" t="n"/>
      <c r="G578" s="91" t="n"/>
      <c r="H578" s="93" t="str">
        <f>IF(Q578=0,"",IF(NOT(ISNUMBER(F578)),"",IF(ISNUMBER(W578),F578*W578,"UNIDADE A CONFERIR")))</f>
        <v/>
      </c>
      <c r="I578" s="91" t="n"/>
      <c r="J578" s="91" t="n"/>
      <c r="K578" s="92" t="n"/>
      <c r="L578" s="91" t="n"/>
      <c r="M578" s="91" t="n"/>
      <c r="N578" s="91" t="n"/>
      <c r="O578" s="91" t="n"/>
      <c r="P578" s="94" t="str">
        <f>IF(Q578=0,"",IF(C578="","Item de resíduo não informado",IF(T578=0,"Item inexistente (referência inválida)",IF(NOT(ISNUMBER(F578)),"Quantidade não informada",IF(F578&lt;=0,"Quantidade não positiva",IF(G578="","Unidade não informada",IF(NOT(ISNUMBER(H578)),"Unidade a conferir",IF(NOT(ISNUMBER(E578)),"Data de recebimento não informada",IF(AND(ISNUMBER(V578),N(V578)&gt;0,E578&lt;N(V578)),"Data anterior à emissão do MTR",IF(AND(J578="Sim",L578="",M578=""),"Conferido sem evidência identificada",IF(J578&lt;&gt;"Sim","Aguardando conferência",IF(INDEX('ITENS_MTR'!$AM$6:$AM$1005,S578)=1,"Conferido (ver diferença no item)","Conferido"))))))))))))</f>
        <v/>
      </c>
      <c r="Q578" s="96">
        <f>IF(COUNTA(C578,E578:G578,I578:O578)&gt;0,1,0)</f>
        <v>0</v>
      </c>
      <c r="R578" s="96" t="str">
        <f>IF(C578="","",TRIM(LEFT(C578,FIND(" |",C578&amp;" |")-1)))</f>
        <v/>
      </c>
      <c r="S578" s="96" t="str">
        <f>IF(R578="","",IFERROR(MATCH(R578,'ITENS_MTR'!$A$6:$A$1005,0),""))</f>
        <v/>
      </c>
      <c r="T578" s="96">
        <f>IF(S578="",0,IF(INDEX('ITENS_MTR'!$R$6:$R$1005,S578)=1,1,0))</f>
        <v>0</v>
      </c>
      <c r="U578" s="96" t="str">
        <f>IF(T578=1,INDEX('ITENS_MTR'!$T$6:$T$1005,S578),"")</f>
        <v/>
      </c>
      <c r="V578" s="97" t="str">
        <f>IF(N(U578)&gt;0,INDEX('MTRs'!$E$6:$E$505,U578),"")</f>
        <v/>
      </c>
      <c r="W578" s="96" t="str">
        <f>IF(G578="","",IFERROR(IF(ISNUMBER(INDEX(cfg_fac,MATCH(G578,cfg_units,0))),IF(INDEX(cfg_fac,MATCH(G578,cfg_units,0))&gt;0,INDEX(cfg_fac,MATCH(G578,cfg_units,0)),""),""),""))</f>
        <v/>
      </c>
      <c r="X578" s="96">
        <f>IF(AND(ISNUMBER(F578),ISNUMBER(H578)),IF(H578&gt;0,1,0),0)</f>
        <v>0</v>
      </c>
      <c r="Y578" s="96">
        <f>IF(Q578=0,0,IF(OR(T578=0,X578=0,NOT(ISNUMBER(E578)),AND(J578="Sim",L578="",M578=""),AND(ISNUMBER(E578),ISNUMBER(V578),N(V578)&gt;0,E578&lt;N(V578))),1,0))</f>
        <v>0</v>
      </c>
      <c r="Z578" s="96">
        <f>IF(AND(Q578=1,T578=1,X578=1,J578="Sim",OR(L578&lt;&gt;"",M578&lt;&gt;"")),1,0)</f>
        <v>0</v>
      </c>
      <c r="AA578" s="96">
        <f>IF(Q578=0,0,IF(AND(OR(r_ini="",AND(ISNUMBER(E578),E578&gt;=r_ini)),OR(r_fim="",AND(ISNUMBER(E578),E578&lt;=r_fim)),OR(r_un="",r_un="(Todas)",IF(N(U578)&gt;0,INDEX('MTRs'!$G$6:$G$505,U578),"")=r_un),OR(r_de="",r_de="(Todos)",D578=r_de)),1,0))</f>
        <v>0</v>
      </c>
      <c r="AB578" s="96" t="str">
        <f>IF(AA578=1,COUNTIF($AA$6:AA578,1),"")</f>
        <v/>
      </c>
    </row>
    <row r="579">
      <c r="A579" s="89" t="inlineStr">
        <is>
          <t>REC-000574</t>
        </is>
      </c>
      <c r="B579" s="94" t="str">
        <f>IF(T579=1,INDEX('ITENS_MTR'!$S$6:$S$1005,S579)&amp;"","")</f>
        <v/>
      </c>
      <c r="C579" s="91" t="n"/>
      <c r="D579" s="94" t="str">
        <f>IF(N(U579)&gt;0,INDEX('MTRs'!$I$6:$I$505,U579)&amp;"","")</f>
        <v/>
      </c>
      <c r="E579" s="92" t="n"/>
      <c r="F579" s="98" t="n"/>
      <c r="G579" s="91" t="n"/>
      <c r="H579" s="93" t="str">
        <f>IF(Q579=0,"",IF(NOT(ISNUMBER(F579)),"",IF(ISNUMBER(W579),F579*W579,"UNIDADE A CONFERIR")))</f>
        <v/>
      </c>
      <c r="I579" s="91" t="n"/>
      <c r="J579" s="91" t="n"/>
      <c r="K579" s="92" t="n"/>
      <c r="L579" s="91" t="n"/>
      <c r="M579" s="91" t="n"/>
      <c r="N579" s="91" t="n"/>
      <c r="O579" s="91" t="n"/>
      <c r="P579" s="94" t="str">
        <f>IF(Q579=0,"",IF(C579="","Item de resíduo não informado",IF(T579=0,"Item inexistente (referência inválida)",IF(NOT(ISNUMBER(F579)),"Quantidade não informada",IF(F579&lt;=0,"Quantidade não positiva",IF(G579="","Unidade não informada",IF(NOT(ISNUMBER(H579)),"Unidade a conferir",IF(NOT(ISNUMBER(E579)),"Data de recebimento não informada",IF(AND(ISNUMBER(V579),N(V579)&gt;0,E579&lt;N(V579)),"Data anterior à emissão do MTR",IF(AND(J579="Sim",L579="",M579=""),"Conferido sem evidência identificada",IF(J579&lt;&gt;"Sim","Aguardando conferência",IF(INDEX('ITENS_MTR'!$AM$6:$AM$1005,S579)=1,"Conferido (ver diferença no item)","Conferido"))))))))))))</f>
        <v/>
      </c>
      <c r="Q579" s="96">
        <f>IF(COUNTA(C579,E579:G579,I579:O579)&gt;0,1,0)</f>
        <v>0</v>
      </c>
      <c r="R579" s="96" t="str">
        <f>IF(C579="","",TRIM(LEFT(C579,FIND(" |",C579&amp;" |")-1)))</f>
        <v/>
      </c>
      <c r="S579" s="96" t="str">
        <f>IF(R579="","",IFERROR(MATCH(R579,'ITENS_MTR'!$A$6:$A$1005,0),""))</f>
        <v/>
      </c>
      <c r="T579" s="96">
        <f>IF(S579="",0,IF(INDEX('ITENS_MTR'!$R$6:$R$1005,S579)=1,1,0))</f>
        <v>0</v>
      </c>
      <c r="U579" s="96" t="str">
        <f>IF(T579=1,INDEX('ITENS_MTR'!$T$6:$T$1005,S579),"")</f>
        <v/>
      </c>
      <c r="V579" s="97" t="str">
        <f>IF(N(U579)&gt;0,INDEX('MTRs'!$E$6:$E$505,U579),"")</f>
        <v/>
      </c>
      <c r="W579" s="96" t="str">
        <f>IF(G579="","",IFERROR(IF(ISNUMBER(INDEX(cfg_fac,MATCH(G579,cfg_units,0))),IF(INDEX(cfg_fac,MATCH(G579,cfg_units,0))&gt;0,INDEX(cfg_fac,MATCH(G579,cfg_units,0)),""),""),""))</f>
        <v/>
      </c>
      <c r="X579" s="96">
        <f>IF(AND(ISNUMBER(F579),ISNUMBER(H579)),IF(H579&gt;0,1,0),0)</f>
        <v>0</v>
      </c>
      <c r="Y579" s="96">
        <f>IF(Q579=0,0,IF(OR(T579=0,X579=0,NOT(ISNUMBER(E579)),AND(J579="Sim",L579="",M579=""),AND(ISNUMBER(E579),ISNUMBER(V579),N(V579)&gt;0,E579&lt;N(V579))),1,0))</f>
        <v>0</v>
      </c>
      <c r="Z579" s="96">
        <f>IF(AND(Q579=1,T579=1,X579=1,J579="Sim",OR(L579&lt;&gt;"",M579&lt;&gt;"")),1,0)</f>
        <v>0</v>
      </c>
      <c r="AA579" s="96">
        <f>IF(Q579=0,0,IF(AND(OR(r_ini="",AND(ISNUMBER(E579),E579&gt;=r_ini)),OR(r_fim="",AND(ISNUMBER(E579),E579&lt;=r_fim)),OR(r_un="",r_un="(Todas)",IF(N(U579)&gt;0,INDEX('MTRs'!$G$6:$G$505,U579),"")=r_un),OR(r_de="",r_de="(Todos)",D579=r_de)),1,0))</f>
        <v>0</v>
      </c>
      <c r="AB579" s="96" t="str">
        <f>IF(AA579=1,COUNTIF($AA$6:AA579,1),"")</f>
        <v/>
      </c>
    </row>
    <row r="580">
      <c r="A580" s="89" t="inlineStr">
        <is>
          <t>REC-000575</t>
        </is>
      </c>
      <c r="B580" s="94" t="str">
        <f>IF(T580=1,INDEX('ITENS_MTR'!$S$6:$S$1005,S580)&amp;"","")</f>
        <v/>
      </c>
      <c r="C580" s="91" t="n"/>
      <c r="D580" s="94" t="str">
        <f>IF(N(U580)&gt;0,INDEX('MTRs'!$I$6:$I$505,U580)&amp;"","")</f>
        <v/>
      </c>
      <c r="E580" s="92" t="n"/>
      <c r="F580" s="98" t="n"/>
      <c r="G580" s="91" t="n"/>
      <c r="H580" s="93" t="str">
        <f>IF(Q580=0,"",IF(NOT(ISNUMBER(F580)),"",IF(ISNUMBER(W580),F580*W580,"UNIDADE A CONFERIR")))</f>
        <v/>
      </c>
      <c r="I580" s="91" t="n"/>
      <c r="J580" s="91" t="n"/>
      <c r="K580" s="92" t="n"/>
      <c r="L580" s="91" t="n"/>
      <c r="M580" s="91" t="n"/>
      <c r="N580" s="91" t="n"/>
      <c r="O580" s="91" t="n"/>
      <c r="P580" s="94" t="str">
        <f>IF(Q580=0,"",IF(C580="","Item de resíduo não informado",IF(T580=0,"Item inexistente (referência inválida)",IF(NOT(ISNUMBER(F580)),"Quantidade não informada",IF(F580&lt;=0,"Quantidade não positiva",IF(G580="","Unidade não informada",IF(NOT(ISNUMBER(H580)),"Unidade a conferir",IF(NOT(ISNUMBER(E580)),"Data de recebimento não informada",IF(AND(ISNUMBER(V580),N(V580)&gt;0,E580&lt;N(V580)),"Data anterior à emissão do MTR",IF(AND(J580="Sim",L580="",M580=""),"Conferido sem evidência identificada",IF(J580&lt;&gt;"Sim","Aguardando conferência",IF(INDEX('ITENS_MTR'!$AM$6:$AM$1005,S580)=1,"Conferido (ver diferença no item)","Conferido"))))))))))))</f>
        <v/>
      </c>
      <c r="Q580" s="96">
        <f>IF(COUNTA(C580,E580:G580,I580:O580)&gt;0,1,0)</f>
        <v>0</v>
      </c>
      <c r="R580" s="96" t="str">
        <f>IF(C580="","",TRIM(LEFT(C580,FIND(" |",C580&amp;" |")-1)))</f>
        <v/>
      </c>
      <c r="S580" s="96" t="str">
        <f>IF(R580="","",IFERROR(MATCH(R580,'ITENS_MTR'!$A$6:$A$1005,0),""))</f>
        <v/>
      </c>
      <c r="T580" s="96">
        <f>IF(S580="",0,IF(INDEX('ITENS_MTR'!$R$6:$R$1005,S580)=1,1,0))</f>
        <v>0</v>
      </c>
      <c r="U580" s="96" t="str">
        <f>IF(T580=1,INDEX('ITENS_MTR'!$T$6:$T$1005,S580),"")</f>
        <v/>
      </c>
      <c r="V580" s="97" t="str">
        <f>IF(N(U580)&gt;0,INDEX('MTRs'!$E$6:$E$505,U580),"")</f>
        <v/>
      </c>
      <c r="W580" s="96" t="str">
        <f>IF(G580="","",IFERROR(IF(ISNUMBER(INDEX(cfg_fac,MATCH(G580,cfg_units,0))),IF(INDEX(cfg_fac,MATCH(G580,cfg_units,0))&gt;0,INDEX(cfg_fac,MATCH(G580,cfg_units,0)),""),""),""))</f>
        <v/>
      </c>
      <c r="X580" s="96">
        <f>IF(AND(ISNUMBER(F580),ISNUMBER(H580)),IF(H580&gt;0,1,0),0)</f>
        <v>0</v>
      </c>
      <c r="Y580" s="96">
        <f>IF(Q580=0,0,IF(OR(T580=0,X580=0,NOT(ISNUMBER(E580)),AND(J580="Sim",L580="",M580=""),AND(ISNUMBER(E580),ISNUMBER(V580),N(V580)&gt;0,E580&lt;N(V580))),1,0))</f>
        <v>0</v>
      </c>
      <c r="Z580" s="96">
        <f>IF(AND(Q580=1,T580=1,X580=1,J580="Sim",OR(L580&lt;&gt;"",M580&lt;&gt;"")),1,0)</f>
        <v>0</v>
      </c>
      <c r="AA580" s="96">
        <f>IF(Q580=0,0,IF(AND(OR(r_ini="",AND(ISNUMBER(E580),E580&gt;=r_ini)),OR(r_fim="",AND(ISNUMBER(E580),E580&lt;=r_fim)),OR(r_un="",r_un="(Todas)",IF(N(U580)&gt;0,INDEX('MTRs'!$G$6:$G$505,U580),"")=r_un),OR(r_de="",r_de="(Todos)",D580=r_de)),1,0))</f>
        <v>0</v>
      </c>
      <c r="AB580" s="96" t="str">
        <f>IF(AA580=1,COUNTIF($AA$6:AA580,1),"")</f>
        <v/>
      </c>
    </row>
    <row r="581">
      <c r="A581" s="89" t="inlineStr">
        <is>
          <t>REC-000576</t>
        </is>
      </c>
      <c r="B581" s="94" t="str">
        <f>IF(T581=1,INDEX('ITENS_MTR'!$S$6:$S$1005,S581)&amp;"","")</f>
        <v/>
      </c>
      <c r="C581" s="91" t="n"/>
      <c r="D581" s="94" t="str">
        <f>IF(N(U581)&gt;0,INDEX('MTRs'!$I$6:$I$505,U581)&amp;"","")</f>
        <v/>
      </c>
      <c r="E581" s="92" t="n"/>
      <c r="F581" s="98" t="n"/>
      <c r="G581" s="91" t="n"/>
      <c r="H581" s="93" t="str">
        <f>IF(Q581=0,"",IF(NOT(ISNUMBER(F581)),"",IF(ISNUMBER(W581),F581*W581,"UNIDADE A CONFERIR")))</f>
        <v/>
      </c>
      <c r="I581" s="91" t="n"/>
      <c r="J581" s="91" t="n"/>
      <c r="K581" s="92" t="n"/>
      <c r="L581" s="91" t="n"/>
      <c r="M581" s="91" t="n"/>
      <c r="N581" s="91" t="n"/>
      <c r="O581" s="91" t="n"/>
      <c r="P581" s="94" t="str">
        <f>IF(Q581=0,"",IF(C581="","Item de resíduo não informado",IF(T581=0,"Item inexistente (referência inválida)",IF(NOT(ISNUMBER(F581)),"Quantidade não informada",IF(F581&lt;=0,"Quantidade não positiva",IF(G581="","Unidade não informada",IF(NOT(ISNUMBER(H581)),"Unidade a conferir",IF(NOT(ISNUMBER(E581)),"Data de recebimento não informada",IF(AND(ISNUMBER(V581),N(V581)&gt;0,E581&lt;N(V581)),"Data anterior à emissão do MTR",IF(AND(J581="Sim",L581="",M581=""),"Conferido sem evidência identificada",IF(J581&lt;&gt;"Sim","Aguardando conferência",IF(INDEX('ITENS_MTR'!$AM$6:$AM$1005,S581)=1,"Conferido (ver diferença no item)","Conferido"))))))))))))</f>
        <v/>
      </c>
      <c r="Q581" s="96">
        <f>IF(COUNTA(C581,E581:G581,I581:O581)&gt;0,1,0)</f>
        <v>0</v>
      </c>
      <c r="R581" s="96" t="str">
        <f>IF(C581="","",TRIM(LEFT(C581,FIND(" |",C581&amp;" |")-1)))</f>
        <v/>
      </c>
      <c r="S581" s="96" t="str">
        <f>IF(R581="","",IFERROR(MATCH(R581,'ITENS_MTR'!$A$6:$A$1005,0),""))</f>
        <v/>
      </c>
      <c r="T581" s="96">
        <f>IF(S581="",0,IF(INDEX('ITENS_MTR'!$R$6:$R$1005,S581)=1,1,0))</f>
        <v>0</v>
      </c>
      <c r="U581" s="96" t="str">
        <f>IF(T581=1,INDEX('ITENS_MTR'!$T$6:$T$1005,S581),"")</f>
        <v/>
      </c>
      <c r="V581" s="97" t="str">
        <f>IF(N(U581)&gt;0,INDEX('MTRs'!$E$6:$E$505,U581),"")</f>
        <v/>
      </c>
      <c r="W581" s="96" t="str">
        <f>IF(G581="","",IFERROR(IF(ISNUMBER(INDEX(cfg_fac,MATCH(G581,cfg_units,0))),IF(INDEX(cfg_fac,MATCH(G581,cfg_units,0))&gt;0,INDEX(cfg_fac,MATCH(G581,cfg_units,0)),""),""),""))</f>
        <v/>
      </c>
      <c r="X581" s="96">
        <f>IF(AND(ISNUMBER(F581),ISNUMBER(H581)),IF(H581&gt;0,1,0),0)</f>
        <v>0</v>
      </c>
      <c r="Y581" s="96">
        <f>IF(Q581=0,0,IF(OR(T581=0,X581=0,NOT(ISNUMBER(E581)),AND(J581="Sim",L581="",M581=""),AND(ISNUMBER(E581),ISNUMBER(V581),N(V581)&gt;0,E581&lt;N(V581))),1,0))</f>
        <v>0</v>
      </c>
      <c r="Z581" s="96">
        <f>IF(AND(Q581=1,T581=1,X581=1,J581="Sim",OR(L581&lt;&gt;"",M581&lt;&gt;"")),1,0)</f>
        <v>0</v>
      </c>
      <c r="AA581" s="96">
        <f>IF(Q581=0,0,IF(AND(OR(r_ini="",AND(ISNUMBER(E581),E581&gt;=r_ini)),OR(r_fim="",AND(ISNUMBER(E581),E581&lt;=r_fim)),OR(r_un="",r_un="(Todas)",IF(N(U581)&gt;0,INDEX('MTRs'!$G$6:$G$505,U581),"")=r_un),OR(r_de="",r_de="(Todos)",D581=r_de)),1,0))</f>
        <v>0</v>
      </c>
      <c r="AB581" s="96" t="str">
        <f>IF(AA581=1,COUNTIF($AA$6:AA581,1),"")</f>
        <v/>
      </c>
    </row>
    <row r="582">
      <c r="A582" s="89" t="inlineStr">
        <is>
          <t>REC-000577</t>
        </is>
      </c>
      <c r="B582" s="94" t="str">
        <f>IF(T582=1,INDEX('ITENS_MTR'!$S$6:$S$1005,S582)&amp;"","")</f>
        <v/>
      </c>
      <c r="C582" s="91" t="n"/>
      <c r="D582" s="94" t="str">
        <f>IF(N(U582)&gt;0,INDEX('MTRs'!$I$6:$I$505,U582)&amp;"","")</f>
        <v/>
      </c>
      <c r="E582" s="92" t="n"/>
      <c r="F582" s="98" t="n"/>
      <c r="G582" s="91" t="n"/>
      <c r="H582" s="93" t="str">
        <f>IF(Q582=0,"",IF(NOT(ISNUMBER(F582)),"",IF(ISNUMBER(W582),F582*W582,"UNIDADE A CONFERIR")))</f>
        <v/>
      </c>
      <c r="I582" s="91" t="n"/>
      <c r="J582" s="91" t="n"/>
      <c r="K582" s="92" t="n"/>
      <c r="L582" s="91" t="n"/>
      <c r="M582" s="91" t="n"/>
      <c r="N582" s="91" t="n"/>
      <c r="O582" s="91" t="n"/>
      <c r="P582" s="94" t="str">
        <f>IF(Q582=0,"",IF(C582="","Item de resíduo não informado",IF(T582=0,"Item inexistente (referência inválida)",IF(NOT(ISNUMBER(F582)),"Quantidade não informada",IF(F582&lt;=0,"Quantidade não positiva",IF(G582="","Unidade não informada",IF(NOT(ISNUMBER(H582)),"Unidade a conferir",IF(NOT(ISNUMBER(E582)),"Data de recebimento não informada",IF(AND(ISNUMBER(V582),N(V582)&gt;0,E582&lt;N(V582)),"Data anterior à emissão do MTR",IF(AND(J582="Sim",L582="",M582=""),"Conferido sem evidência identificada",IF(J582&lt;&gt;"Sim","Aguardando conferência",IF(INDEX('ITENS_MTR'!$AM$6:$AM$1005,S582)=1,"Conferido (ver diferença no item)","Conferido"))))))))))))</f>
        <v/>
      </c>
      <c r="Q582" s="96">
        <f>IF(COUNTA(C582,E582:G582,I582:O582)&gt;0,1,0)</f>
        <v>0</v>
      </c>
      <c r="R582" s="96" t="str">
        <f>IF(C582="","",TRIM(LEFT(C582,FIND(" |",C582&amp;" |")-1)))</f>
        <v/>
      </c>
      <c r="S582" s="96" t="str">
        <f>IF(R582="","",IFERROR(MATCH(R582,'ITENS_MTR'!$A$6:$A$1005,0),""))</f>
        <v/>
      </c>
      <c r="T582" s="96">
        <f>IF(S582="",0,IF(INDEX('ITENS_MTR'!$R$6:$R$1005,S582)=1,1,0))</f>
        <v>0</v>
      </c>
      <c r="U582" s="96" t="str">
        <f>IF(T582=1,INDEX('ITENS_MTR'!$T$6:$T$1005,S582),"")</f>
        <v/>
      </c>
      <c r="V582" s="97" t="str">
        <f>IF(N(U582)&gt;0,INDEX('MTRs'!$E$6:$E$505,U582),"")</f>
        <v/>
      </c>
      <c r="W582" s="96" t="str">
        <f>IF(G582="","",IFERROR(IF(ISNUMBER(INDEX(cfg_fac,MATCH(G582,cfg_units,0))),IF(INDEX(cfg_fac,MATCH(G582,cfg_units,0))&gt;0,INDEX(cfg_fac,MATCH(G582,cfg_units,0)),""),""),""))</f>
        <v/>
      </c>
      <c r="X582" s="96">
        <f>IF(AND(ISNUMBER(F582),ISNUMBER(H582)),IF(H582&gt;0,1,0),0)</f>
        <v>0</v>
      </c>
      <c r="Y582" s="96">
        <f>IF(Q582=0,0,IF(OR(T582=0,X582=0,NOT(ISNUMBER(E582)),AND(J582="Sim",L582="",M582=""),AND(ISNUMBER(E582),ISNUMBER(V582),N(V582)&gt;0,E582&lt;N(V582))),1,0))</f>
        <v>0</v>
      </c>
      <c r="Z582" s="96">
        <f>IF(AND(Q582=1,T582=1,X582=1,J582="Sim",OR(L582&lt;&gt;"",M582&lt;&gt;"")),1,0)</f>
        <v>0</v>
      </c>
      <c r="AA582" s="96">
        <f>IF(Q582=0,0,IF(AND(OR(r_ini="",AND(ISNUMBER(E582),E582&gt;=r_ini)),OR(r_fim="",AND(ISNUMBER(E582),E582&lt;=r_fim)),OR(r_un="",r_un="(Todas)",IF(N(U582)&gt;0,INDEX('MTRs'!$G$6:$G$505,U582),"")=r_un),OR(r_de="",r_de="(Todos)",D582=r_de)),1,0))</f>
        <v>0</v>
      </c>
      <c r="AB582" s="96" t="str">
        <f>IF(AA582=1,COUNTIF($AA$6:AA582,1),"")</f>
        <v/>
      </c>
    </row>
    <row r="583">
      <c r="A583" s="89" t="inlineStr">
        <is>
          <t>REC-000578</t>
        </is>
      </c>
      <c r="B583" s="94" t="str">
        <f>IF(T583=1,INDEX('ITENS_MTR'!$S$6:$S$1005,S583)&amp;"","")</f>
        <v/>
      </c>
      <c r="C583" s="91" t="n"/>
      <c r="D583" s="94" t="str">
        <f>IF(N(U583)&gt;0,INDEX('MTRs'!$I$6:$I$505,U583)&amp;"","")</f>
        <v/>
      </c>
      <c r="E583" s="92" t="n"/>
      <c r="F583" s="98" t="n"/>
      <c r="G583" s="91" t="n"/>
      <c r="H583" s="93" t="str">
        <f>IF(Q583=0,"",IF(NOT(ISNUMBER(F583)),"",IF(ISNUMBER(W583),F583*W583,"UNIDADE A CONFERIR")))</f>
        <v/>
      </c>
      <c r="I583" s="91" t="n"/>
      <c r="J583" s="91" t="n"/>
      <c r="K583" s="92" t="n"/>
      <c r="L583" s="91" t="n"/>
      <c r="M583" s="91" t="n"/>
      <c r="N583" s="91" t="n"/>
      <c r="O583" s="91" t="n"/>
      <c r="P583" s="94" t="str">
        <f>IF(Q583=0,"",IF(C583="","Item de resíduo não informado",IF(T583=0,"Item inexistente (referência inválida)",IF(NOT(ISNUMBER(F583)),"Quantidade não informada",IF(F583&lt;=0,"Quantidade não positiva",IF(G583="","Unidade não informada",IF(NOT(ISNUMBER(H583)),"Unidade a conferir",IF(NOT(ISNUMBER(E583)),"Data de recebimento não informada",IF(AND(ISNUMBER(V583),N(V583)&gt;0,E583&lt;N(V583)),"Data anterior à emissão do MTR",IF(AND(J583="Sim",L583="",M583=""),"Conferido sem evidência identificada",IF(J583&lt;&gt;"Sim","Aguardando conferência",IF(INDEX('ITENS_MTR'!$AM$6:$AM$1005,S583)=1,"Conferido (ver diferença no item)","Conferido"))))))))))))</f>
        <v/>
      </c>
      <c r="Q583" s="96">
        <f>IF(COUNTA(C583,E583:G583,I583:O583)&gt;0,1,0)</f>
        <v>0</v>
      </c>
      <c r="R583" s="96" t="str">
        <f>IF(C583="","",TRIM(LEFT(C583,FIND(" |",C583&amp;" |")-1)))</f>
        <v/>
      </c>
      <c r="S583" s="96" t="str">
        <f>IF(R583="","",IFERROR(MATCH(R583,'ITENS_MTR'!$A$6:$A$1005,0),""))</f>
        <v/>
      </c>
      <c r="T583" s="96">
        <f>IF(S583="",0,IF(INDEX('ITENS_MTR'!$R$6:$R$1005,S583)=1,1,0))</f>
        <v>0</v>
      </c>
      <c r="U583" s="96" t="str">
        <f>IF(T583=1,INDEX('ITENS_MTR'!$T$6:$T$1005,S583),"")</f>
        <v/>
      </c>
      <c r="V583" s="97" t="str">
        <f>IF(N(U583)&gt;0,INDEX('MTRs'!$E$6:$E$505,U583),"")</f>
        <v/>
      </c>
      <c r="W583" s="96" t="str">
        <f>IF(G583="","",IFERROR(IF(ISNUMBER(INDEX(cfg_fac,MATCH(G583,cfg_units,0))),IF(INDEX(cfg_fac,MATCH(G583,cfg_units,0))&gt;0,INDEX(cfg_fac,MATCH(G583,cfg_units,0)),""),""),""))</f>
        <v/>
      </c>
      <c r="X583" s="96">
        <f>IF(AND(ISNUMBER(F583),ISNUMBER(H583)),IF(H583&gt;0,1,0),0)</f>
        <v>0</v>
      </c>
      <c r="Y583" s="96">
        <f>IF(Q583=0,0,IF(OR(T583=0,X583=0,NOT(ISNUMBER(E583)),AND(J583="Sim",L583="",M583=""),AND(ISNUMBER(E583),ISNUMBER(V583),N(V583)&gt;0,E583&lt;N(V583))),1,0))</f>
        <v>0</v>
      </c>
      <c r="Z583" s="96">
        <f>IF(AND(Q583=1,T583=1,X583=1,J583="Sim",OR(L583&lt;&gt;"",M583&lt;&gt;"")),1,0)</f>
        <v>0</v>
      </c>
      <c r="AA583" s="96">
        <f>IF(Q583=0,0,IF(AND(OR(r_ini="",AND(ISNUMBER(E583),E583&gt;=r_ini)),OR(r_fim="",AND(ISNUMBER(E583),E583&lt;=r_fim)),OR(r_un="",r_un="(Todas)",IF(N(U583)&gt;0,INDEX('MTRs'!$G$6:$G$505,U583),"")=r_un),OR(r_de="",r_de="(Todos)",D583=r_de)),1,0))</f>
        <v>0</v>
      </c>
      <c r="AB583" s="96" t="str">
        <f>IF(AA583=1,COUNTIF($AA$6:AA583,1),"")</f>
        <v/>
      </c>
    </row>
    <row r="584">
      <c r="A584" s="89" t="inlineStr">
        <is>
          <t>REC-000579</t>
        </is>
      </c>
      <c r="B584" s="94" t="str">
        <f>IF(T584=1,INDEX('ITENS_MTR'!$S$6:$S$1005,S584)&amp;"","")</f>
        <v/>
      </c>
      <c r="C584" s="91" t="n"/>
      <c r="D584" s="94" t="str">
        <f>IF(N(U584)&gt;0,INDEX('MTRs'!$I$6:$I$505,U584)&amp;"","")</f>
        <v/>
      </c>
      <c r="E584" s="92" t="n"/>
      <c r="F584" s="98" t="n"/>
      <c r="G584" s="91" t="n"/>
      <c r="H584" s="93" t="str">
        <f>IF(Q584=0,"",IF(NOT(ISNUMBER(F584)),"",IF(ISNUMBER(W584),F584*W584,"UNIDADE A CONFERIR")))</f>
        <v/>
      </c>
      <c r="I584" s="91" t="n"/>
      <c r="J584" s="91" t="n"/>
      <c r="K584" s="92" t="n"/>
      <c r="L584" s="91" t="n"/>
      <c r="M584" s="91" t="n"/>
      <c r="N584" s="91" t="n"/>
      <c r="O584" s="91" t="n"/>
      <c r="P584" s="94" t="str">
        <f>IF(Q584=0,"",IF(C584="","Item de resíduo não informado",IF(T584=0,"Item inexistente (referência inválida)",IF(NOT(ISNUMBER(F584)),"Quantidade não informada",IF(F584&lt;=0,"Quantidade não positiva",IF(G584="","Unidade não informada",IF(NOT(ISNUMBER(H584)),"Unidade a conferir",IF(NOT(ISNUMBER(E584)),"Data de recebimento não informada",IF(AND(ISNUMBER(V584),N(V584)&gt;0,E584&lt;N(V584)),"Data anterior à emissão do MTR",IF(AND(J584="Sim",L584="",M584=""),"Conferido sem evidência identificada",IF(J584&lt;&gt;"Sim","Aguardando conferência",IF(INDEX('ITENS_MTR'!$AM$6:$AM$1005,S584)=1,"Conferido (ver diferença no item)","Conferido"))))))))))))</f>
        <v/>
      </c>
      <c r="Q584" s="96">
        <f>IF(COUNTA(C584,E584:G584,I584:O584)&gt;0,1,0)</f>
        <v>0</v>
      </c>
      <c r="R584" s="96" t="str">
        <f>IF(C584="","",TRIM(LEFT(C584,FIND(" |",C584&amp;" |")-1)))</f>
        <v/>
      </c>
      <c r="S584" s="96" t="str">
        <f>IF(R584="","",IFERROR(MATCH(R584,'ITENS_MTR'!$A$6:$A$1005,0),""))</f>
        <v/>
      </c>
      <c r="T584" s="96">
        <f>IF(S584="",0,IF(INDEX('ITENS_MTR'!$R$6:$R$1005,S584)=1,1,0))</f>
        <v>0</v>
      </c>
      <c r="U584" s="96" t="str">
        <f>IF(T584=1,INDEX('ITENS_MTR'!$T$6:$T$1005,S584),"")</f>
        <v/>
      </c>
      <c r="V584" s="97" t="str">
        <f>IF(N(U584)&gt;0,INDEX('MTRs'!$E$6:$E$505,U584),"")</f>
        <v/>
      </c>
      <c r="W584" s="96" t="str">
        <f>IF(G584="","",IFERROR(IF(ISNUMBER(INDEX(cfg_fac,MATCH(G584,cfg_units,0))),IF(INDEX(cfg_fac,MATCH(G584,cfg_units,0))&gt;0,INDEX(cfg_fac,MATCH(G584,cfg_units,0)),""),""),""))</f>
        <v/>
      </c>
      <c r="X584" s="96">
        <f>IF(AND(ISNUMBER(F584),ISNUMBER(H584)),IF(H584&gt;0,1,0),0)</f>
        <v>0</v>
      </c>
      <c r="Y584" s="96">
        <f>IF(Q584=0,0,IF(OR(T584=0,X584=0,NOT(ISNUMBER(E584)),AND(J584="Sim",L584="",M584=""),AND(ISNUMBER(E584),ISNUMBER(V584),N(V584)&gt;0,E584&lt;N(V584))),1,0))</f>
        <v>0</v>
      </c>
      <c r="Z584" s="96">
        <f>IF(AND(Q584=1,T584=1,X584=1,J584="Sim",OR(L584&lt;&gt;"",M584&lt;&gt;"")),1,0)</f>
        <v>0</v>
      </c>
      <c r="AA584" s="96">
        <f>IF(Q584=0,0,IF(AND(OR(r_ini="",AND(ISNUMBER(E584),E584&gt;=r_ini)),OR(r_fim="",AND(ISNUMBER(E584),E584&lt;=r_fim)),OR(r_un="",r_un="(Todas)",IF(N(U584)&gt;0,INDEX('MTRs'!$G$6:$G$505,U584),"")=r_un),OR(r_de="",r_de="(Todos)",D584=r_de)),1,0))</f>
        <v>0</v>
      </c>
      <c r="AB584" s="96" t="str">
        <f>IF(AA584=1,COUNTIF($AA$6:AA584,1),"")</f>
        <v/>
      </c>
    </row>
    <row r="585">
      <c r="A585" s="89" t="inlineStr">
        <is>
          <t>REC-000580</t>
        </is>
      </c>
      <c r="B585" s="94" t="str">
        <f>IF(T585=1,INDEX('ITENS_MTR'!$S$6:$S$1005,S585)&amp;"","")</f>
        <v/>
      </c>
      <c r="C585" s="91" t="n"/>
      <c r="D585" s="94" t="str">
        <f>IF(N(U585)&gt;0,INDEX('MTRs'!$I$6:$I$505,U585)&amp;"","")</f>
        <v/>
      </c>
      <c r="E585" s="92" t="n"/>
      <c r="F585" s="98" t="n"/>
      <c r="G585" s="91" t="n"/>
      <c r="H585" s="93" t="str">
        <f>IF(Q585=0,"",IF(NOT(ISNUMBER(F585)),"",IF(ISNUMBER(W585),F585*W585,"UNIDADE A CONFERIR")))</f>
        <v/>
      </c>
      <c r="I585" s="91" t="n"/>
      <c r="J585" s="91" t="n"/>
      <c r="K585" s="92" t="n"/>
      <c r="L585" s="91" t="n"/>
      <c r="M585" s="91" t="n"/>
      <c r="N585" s="91" t="n"/>
      <c r="O585" s="91" t="n"/>
      <c r="P585" s="94" t="str">
        <f>IF(Q585=0,"",IF(C585="","Item de resíduo não informado",IF(T585=0,"Item inexistente (referência inválida)",IF(NOT(ISNUMBER(F585)),"Quantidade não informada",IF(F585&lt;=0,"Quantidade não positiva",IF(G585="","Unidade não informada",IF(NOT(ISNUMBER(H585)),"Unidade a conferir",IF(NOT(ISNUMBER(E585)),"Data de recebimento não informada",IF(AND(ISNUMBER(V585),N(V585)&gt;0,E585&lt;N(V585)),"Data anterior à emissão do MTR",IF(AND(J585="Sim",L585="",M585=""),"Conferido sem evidência identificada",IF(J585&lt;&gt;"Sim","Aguardando conferência",IF(INDEX('ITENS_MTR'!$AM$6:$AM$1005,S585)=1,"Conferido (ver diferença no item)","Conferido"))))))))))))</f>
        <v/>
      </c>
      <c r="Q585" s="96">
        <f>IF(COUNTA(C585,E585:G585,I585:O585)&gt;0,1,0)</f>
        <v>0</v>
      </c>
      <c r="R585" s="96" t="str">
        <f>IF(C585="","",TRIM(LEFT(C585,FIND(" |",C585&amp;" |")-1)))</f>
        <v/>
      </c>
      <c r="S585" s="96" t="str">
        <f>IF(R585="","",IFERROR(MATCH(R585,'ITENS_MTR'!$A$6:$A$1005,0),""))</f>
        <v/>
      </c>
      <c r="T585" s="96">
        <f>IF(S585="",0,IF(INDEX('ITENS_MTR'!$R$6:$R$1005,S585)=1,1,0))</f>
        <v>0</v>
      </c>
      <c r="U585" s="96" t="str">
        <f>IF(T585=1,INDEX('ITENS_MTR'!$T$6:$T$1005,S585),"")</f>
        <v/>
      </c>
      <c r="V585" s="97" t="str">
        <f>IF(N(U585)&gt;0,INDEX('MTRs'!$E$6:$E$505,U585),"")</f>
        <v/>
      </c>
      <c r="W585" s="96" t="str">
        <f>IF(G585="","",IFERROR(IF(ISNUMBER(INDEX(cfg_fac,MATCH(G585,cfg_units,0))),IF(INDEX(cfg_fac,MATCH(G585,cfg_units,0))&gt;0,INDEX(cfg_fac,MATCH(G585,cfg_units,0)),""),""),""))</f>
        <v/>
      </c>
      <c r="X585" s="96">
        <f>IF(AND(ISNUMBER(F585),ISNUMBER(H585)),IF(H585&gt;0,1,0),0)</f>
        <v>0</v>
      </c>
      <c r="Y585" s="96">
        <f>IF(Q585=0,0,IF(OR(T585=0,X585=0,NOT(ISNUMBER(E585)),AND(J585="Sim",L585="",M585=""),AND(ISNUMBER(E585),ISNUMBER(V585),N(V585)&gt;0,E585&lt;N(V585))),1,0))</f>
        <v>0</v>
      </c>
      <c r="Z585" s="96">
        <f>IF(AND(Q585=1,T585=1,X585=1,J585="Sim",OR(L585&lt;&gt;"",M585&lt;&gt;"")),1,0)</f>
        <v>0</v>
      </c>
      <c r="AA585" s="96">
        <f>IF(Q585=0,0,IF(AND(OR(r_ini="",AND(ISNUMBER(E585),E585&gt;=r_ini)),OR(r_fim="",AND(ISNUMBER(E585),E585&lt;=r_fim)),OR(r_un="",r_un="(Todas)",IF(N(U585)&gt;0,INDEX('MTRs'!$G$6:$G$505,U585),"")=r_un),OR(r_de="",r_de="(Todos)",D585=r_de)),1,0))</f>
        <v>0</v>
      </c>
      <c r="AB585" s="96" t="str">
        <f>IF(AA585=1,COUNTIF($AA$6:AA585,1),"")</f>
        <v/>
      </c>
    </row>
    <row r="586">
      <c r="A586" s="89" t="inlineStr">
        <is>
          <t>REC-000581</t>
        </is>
      </c>
      <c r="B586" s="94" t="str">
        <f>IF(T586=1,INDEX('ITENS_MTR'!$S$6:$S$1005,S586)&amp;"","")</f>
        <v/>
      </c>
      <c r="C586" s="91" t="n"/>
      <c r="D586" s="94" t="str">
        <f>IF(N(U586)&gt;0,INDEX('MTRs'!$I$6:$I$505,U586)&amp;"","")</f>
        <v/>
      </c>
      <c r="E586" s="92" t="n"/>
      <c r="F586" s="98" t="n"/>
      <c r="G586" s="91" t="n"/>
      <c r="H586" s="93" t="str">
        <f>IF(Q586=0,"",IF(NOT(ISNUMBER(F586)),"",IF(ISNUMBER(W586),F586*W586,"UNIDADE A CONFERIR")))</f>
        <v/>
      </c>
      <c r="I586" s="91" t="n"/>
      <c r="J586" s="91" t="n"/>
      <c r="K586" s="92" t="n"/>
      <c r="L586" s="91" t="n"/>
      <c r="M586" s="91" t="n"/>
      <c r="N586" s="91" t="n"/>
      <c r="O586" s="91" t="n"/>
      <c r="P586" s="94" t="str">
        <f>IF(Q586=0,"",IF(C586="","Item de resíduo não informado",IF(T586=0,"Item inexistente (referência inválida)",IF(NOT(ISNUMBER(F586)),"Quantidade não informada",IF(F586&lt;=0,"Quantidade não positiva",IF(G586="","Unidade não informada",IF(NOT(ISNUMBER(H586)),"Unidade a conferir",IF(NOT(ISNUMBER(E586)),"Data de recebimento não informada",IF(AND(ISNUMBER(V586),N(V586)&gt;0,E586&lt;N(V586)),"Data anterior à emissão do MTR",IF(AND(J586="Sim",L586="",M586=""),"Conferido sem evidência identificada",IF(J586&lt;&gt;"Sim","Aguardando conferência",IF(INDEX('ITENS_MTR'!$AM$6:$AM$1005,S586)=1,"Conferido (ver diferença no item)","Conferido"))))))))))))</f>
        <v/>
      </c>
      <c r="Q586" s="96">
        <f>IF(COUNTA(C586,E586:G586,I586:O586)&gt;0,1,0)</f>
        <v>0</v>
      </c>
      <c r="R586" s="96" t="str">
        <f>IF(C586="","",TRIM(LEFT(C586,FIND(" |",C586&amp;" |")-1)))</f>
        <v/>
      </c>
      <c r="S586" s="96" t="str">
        <f>IF(R586="","",IFERROR(MATCH(R586,'ITENS_MTR'!$A$6:$A$1005,0),""))</f>
        <v/>
      </c>
      <c r="T586" s="96">
        <f>IF(S586="",0,IF(INDEX('ITENS_MTR'!$R$6:$R$1005,S586)=1,1,0))</f>
        <v>0</v>
      </c>
      <c r="U586" s="96" t="str">
        <f>IF(T586=1,INDEX('ITENS_MTR'!$T$6:$T$1005,S586),"")</f>
        <v/>
      </c>
      <c r="V586" s="97" t="str">
        <f>IF(N(U586)&gt;0,INDEX('MTRs'!$E$6:$E$505,U586),"")</f>
        <v/>
      </c>
      <c r="W586" s="96" t="str">
        <f>IF(G586="","",IFERROR(IF(ISNUMBER(INDEX(cfg_fac,MATCH(G586,cfg_units,0))),IF(INDEX(cfg_fac,MATCH(G586,cfg_units,0))&gt;0,INDEX(cfg_fac,MATCH(G586,cfg_units,0)),""),""),""))</f>
        <v/>
      </c>
      <c r="X586" s="96">
        <f>IF(AND(ISNUMBER(F586),ISNUMBER(H586)),IF(H586&gt;0,1,0),0)</f>
        <v>0</v>
      </c>
      <c r="Y586" s="96">
        <f>IF(Q586=0,0,IF(OR(T586=0,X586=0,NOT(ISNUMBER(E586)),AND(J586="Sim",L586="",M586=""),AND(ISNUMBER(E586),ISNUMBER(V586),N(V586)&gt;0,E586&lt;N(V586))),1,0))</f>
        <v>0</v>
      </c>
      <c r="Z586" s="96">
        <f>IF(AND(Q586=1,T586=1,X586=1,J586="Sim",OR(L586&lt;&gt;"",M586&lt;&gt;"")),1,0)</f>
        <v>0</v>
      </c>
      <c r="AA586" s="96">
        <f>IF(Q586=0,0,IF(AND(OR(r_ini="",AND(ISNUMBER(E586),E586&gt;=r_ini)),OR(r_fim="",AND(ISNUMBER(E586),E586&lt;=r_fim)),OR(r_un="",r_un="(Todas)",IF(N(U586)&gt;0,INDEX('MTRs'!$G$6:$G$505,U586),"")=r_un),OR(r_de="",r_de="(Todos)",D586=r_de)),1,0))</f>
        <v>0</v>
      </c>
      <c r="AB586" s="96" t="str">
        <f>IF(AA586=1,COUNTIF($AA$6:AA586,1),"")</f>
        <v/>
      </c>
    </row>
    <row r="587">
      <c r="A587" s="89" t="inlineStr">
        <is>
          <t>REC-000582</t>
        </is>
      </c>
      <c r="B587" s="94" t="str">
        <f>IF(T587=1,INDEX('ITENS_MTR'!$S$6:$S$1005,S587)&amp;"","")</f>
        <v/>
      </c>
      <c r="C587" s="91" t="n"/>
      <c r="D587" s="94" t="str">
        <f>IF(N(U587)&gt;0,INDEX('MTRs'!$I$6:$I$505,U587)&amp;"","")</f>
        <v/>
      </c>
      <c r="E587" s="92" t="n"/>
      <c r="F587" s="98" t="n"/>
      <c r="G587" s="91" t="n"/>
      <c r="H587" s="93" t="str">
        <f>IF(Q587=0,"",IF(NOT(ISNUMBER(F587)),"",IF(ISNUMBER(W587),F587*W587,"UNIDADE A CONFERIR")))</f>
        <v/>
      </c>
      <c r="I587" s="91" t="n"/>
      <c r="J587" s="91" t="n"/>
      <c r="K587" s="92" t="n"/>
      <c r="L587" s="91" t="n"/>
      <c r="M587" s="91" t="n"/>
      <c r="N587" s="91" t="n"/>
      <c r="O587" s="91" t="n"/>
      <c r="P587" s="94" t="str">
        <f>IF(Q587=0,"",IF(C587="","Item de resíduo não informado",IF(T587=0,"Item inexistente (referência inválida)",IF(NOT(ISNUMBER(F587)),"Quantidade não informada",IF(F587&lt;=0,"Quantidade não positiva",IF(G587="","Unidade não informada",IF(NOT(ISNUMBER(H587)),"Unidade a conferir",IF(NOT(ISNUMBER(E587)),"Data de recebimento não informada",IF(AND(ISNUMBER(V587),N(V587)&gt;0,E587&lt;N(V587)),"Data anterior à emissão do MTR",IF(AND(J587="Sim",L587="",M587=""),"Conferido sem evidência identificada",IF(J587&lt;&gt;"Sim","Aguardando conferência",IF(INDEX('ITENS_MTR'!$AM$6:$AM$1005,S587)=1,"Conferido (ver diferença no item)","Conferido"))))))))))))</f>
        <v/>
      </c>
      <c r="Q587" s="96">
        <f>IF(COUNTA(C587,E587:G587,I587:O587)&gt;0,1,0)</f>
        <v>0</v>
      </c>
      <c r="R587" s="96" t="str">
        <f>IF(C587="","",TRIM(LEFT(C587,FIND(" |",C587&amp;" |")-1)))</f>
        <v/>
      </c>
      <c r="S587" s="96" t="str">
        <f>IF(R587="","",IFERROR(MATCH(R587,'ITENS_MTR'!$A$6:$A$1005,0),""))</f>
        <v/>
      </c>
      <c r="T587" s="96">
        <f>IF(S587="",0,IF(INDEX('ITENS_MTR'!$R$6:$R$1005,S587)=1,1,0))</f>
        <v>0</v>
      </c>
      <c r="U587" s="96" t="str">
        <f>IF(T587=1,INDEX('ITENS_MTR'!$T$6:$T$1005,S587),"")</f>
        <v/>
      </c>
      <c r="V587" s="97" t="str">
        <f>IF(N(U587)&gt;0,INDEX('MTRs'!$E$6:$E$505,U587),"")</f>
        <v/>
      </c>
      <c r="W587" s="96" t="str">
        <f>IF(G587="","",IFERROR(IF(ISNUMBER(INDEX(cfg_fac,MATCH(G587,cfg_units,0))),IF(INDEX(cfg_fac,MATCH(G587,cfg_units,0))&gt;0,INDEX(cfg_fac,MATCH(G587,cfg_units,0)),""),""),""))</f>
        <v/>
      </c>
      <c r="X587" s="96">
        <f>IF(AND(ISNUMBER(F587),ISNUMBER(H587)),IF(H587&gt;0,1,0),0)</f>
        <v>0</v>
      </c>
      <c r="Y587" s="96">
        <f>IF(Q587=0,0,IF(OR(T587=0,X587=0,NOT(ISNUMBER(E587)),AND(J587="Sim",L587="",M587=""),AND(ISNUMBER(E587),ISNUMBER(V587),N(V587)&gt;0,E587&lt;N(V587))),1,0))</f>
        <v>0</v>
      </c>
      <c r="Z587" s="96">
        <f>IF(AND(Q587=1,T587=1,X587=1,J587="Sim",OR(L587&lt;&gt;"",M587&lt;&gt;"")),1,0)</f>
        <v>0</v>
      </c>
      <c r="AA587" s="96">
        <f>IF(Q587=0,0,IF(AND(OR(r_ini="",AND(ISNUMBER(E587),E587&gt;=r_ini)),OR(r_fim="",AND(ISNUMBER(E587),E587&lt;=r_fim)),OR(r_un="",r_un="(Todas)",IF(N(U587)&gt;0,INDEX('MTRs'!$G$6:$G$505,U587),"")=r_un),OR(r_de="",r_de="(Todos)",D587=r_de)),1,0))</f>
        <v>0</v>
      </c>
      <c r="AB587" s="96" t="str">
        <f>IF(AA587=1,COUNTIF($AA$6:AA587,1),"")</f>
        <v/>
      </c>
    </row>
    <row r="588">
      <c r="A588" s="89" t="inlineStr">
        <is>
          <t>REC-000583</t>
        </is>
      </c>
      <c r="B588" s="94" t="str">
        <f>IF(T588=1,INDEX('ITENS_MTR'!$S$6:$S$1005,S588)&amp;"","")</f>
        <v/>
      </c>
      <c r="C588" s="91" t="n"/>
      <c r="D588" s="94" t="str">
        <f>IF(N(U588)&gt;0,INDEX('MTRs'!$I$6:$I$505,U588)&amp;"","")</f>
        <v/>
      </c>
      <c r="E588" s="92" t="n"/>
      <c r="F588" s="98" t="n"/>
      <c r="G588" s="91" t="n"/>
      <c r="H588" s="93" t="str">
        <f>IF(Q588=0,"",IF(NOT(ISNUMBER(F588)),"",IF(ISNUMBER(W588),F588*W588,"UNIDADE A CONFERIR")))</f>
        <v/>
      </c>
      <c r="I588" s="91" t="n"/>
      <c r="J588" s="91" t="n"/>
      <c r="K588" s="92" t="n"/>
      <c r="L588" s="91" t="n"/>
      <c r="M588" s="91" t="n"/>
      <c r="N588" s="91" t="n"/>
      <c r="O588" s="91" t="n"/>
      <c r="P588" s="94" t="str">
        <f>IF(Q588=0,"",IF(C588="","Item de resíduo não informado",IF(T588=0,"Item inexistente (referência inválida)",IF(NOT(ISNUMBER(F588)),"Quantidade não informada",IF(F588&lt;=0,"Quantidade não positiva",IF(G588="","Unidade não informada",IF(NOT(ISNUMBER(H588)),"Unidade a conferir",IF(NOT(ISNUMBER(E588)),"Data de recebimento não informada",IF(AND(ISNUMBER(V588),N(V588)&gt;0,E588&lt;N(V588)),"Data anterior à emissão do MTR",IF(AND(J588="Sim",L588="",M588=""),"Conferido sem evidência identificada",IF(J588&lt;&gt;"Sim","Aguardando conferência",IF(INDEX('ITENS_MTR'!$AM$6:$AM$1005,S588)=1,"Conferido (ver diferença no item)","Conferido"))))))))))))</f>
        <v/>
      </c>
      <c r="Q588" s="96">
        <f>IF(COUNTA(C588,E588:G588,I588:O588)&gt;0,1,0)</f>
        <v>0</v>
      </c>
      <c r="R588" s="96" t="str">
        <f>IF(C588="","",TRIM(LEFT(C588,FIND(" |",C588&amp;" |")-1)))</f>
        <v/>
      </c>
      <c r="S588" s="96" t="str">
        <f>IF(R588="","",IFERROR(MATCH(R588,'ITENS_MTR'!$A$6:$A$1005,0),""))</f>
        <v/>
      </c>
      <c r="T588" s="96">
        <f>IF(S588="",0,IF(INDEX('ITENS_MTR'!$R$6:$R$1005,S588)=1,1,0))</f>
        <v>0</v>
      </c>
      <c r="U588" s="96" t="str">
        <f>IF(T588=1,INDEX('ITENS_MTR'!$T$6:$T$1005,S588),"")</f>
        <v/>
      </c>
      <c r="V588" s="97" t="str">
        <f>IF(N(U588)&gt;0,INDEX('MTRs'!$E$6:$E$505,U588),"")</f>
        <v/>
      </c>
      <c r="W588" s="96" t="str">
        <f>IF(G588="","",IFERROR(IF(ISNUMBER(INDEX(cfg_fac,MATCH(G588,cfg_units,0))),IF(INDEX(cfg_fac,MATCH(G588,cfg_units,0))&gt;0,INDEX(cfg_fac,MATCH(G588,cfg_units,0)),""),""),""))</f>
        <v/>
      </c>
      <c r="X588" s="96">
        <f>IF(AND(ISNUMBER(F588),ISNUMBER(H588)),IF(H588&gt;0,1,0),0)</f>
        <v>0</v>
      </c>
      <c r="Y588" s="96">
        <f>IF(Q588=0,0,IF(OR(T588=0,X588=0,NOT(ISNUMBER(E588)),AND(J588="Sim",L588="",M588=""),AND(ISNUMBER(E588),ISNUMBER(V588),N(V588)&gt;0,E588&lt;N(V588))),1,0))</f>
        <v>0</v>
      </c>
      <c r="Z588" s="96">
        <f>IF(AND(Q588=1,T588=1,X588=1,J588="Sim",OR(L588&lt;&gt;"",M588&lt;&gt;"")),1,0)</f>
        <v>0</v>
      </c>
      <c r="AA588" s="96">
        <f>IF(Q588=0,0,IF(AND(OR(r_ini="",AND(ISNUMBER(E588),E588&gt;=r_ini)),OR(r_fim="",AND(ISNUMBER(E588),E588&lt;=r_fim)),OR(r_un="",r_un="(Todas)",IF(N(U588)&gt;0,INDEX('MTRs'!$G$6:$G$505,U588),"")=r_un),OR(r_de="",r_de="(Todos)",D588=r_de)),1,0))</f>
        <v>0</v>
      </c>
      <c r="AB588" s="96" t="str">
        <f>IF(AA588=1,COUNTIF($AA$6:AA588,1),"")</f>
        <v/>
      </c>
    </row>
    <row r="589">
      <c r="A589" s="89" t="inlineStr">
        <is>
          <t>REC-000584</t>
        </is>
      </c>
      <c r="B589" s="94" t="str">
        <f>IF(T589=1,INDEX('ITENS_MTR'!$S$6:$S$1005,S589)&amp;"","")</f>
        <v/>
      </c>
      <c r="C589" s="91" t="n"/>
      <c r="D589" s="94" t="str">
        <f>IF(N(U589)&gt;0,INDEX('MTRs'!$I$6:$I$505,U589)&amp;"","")</f>
        <v/>
      </c>
      <c r="E589" s="92" t="n"/>
      <c r="F589" s="98" t="n"/>
      <c r="G589" s="91" t="n"/>
      <c r="H589" s="93" t="str">
        <f>IF(Q589=0,"",IF(NOT(ISNUMBER(F589)),"",IF(ISNUMBER(W589),F589*W589,"UNIDADE A CONFERIR")))</f>
        <v/>
      </c>
      <c r="I589" s="91" t="n"/>
      <c r="J589" s="91" t="n"/>
      <c r="K589" s="92" t="n"/>
      <c r="L589" s="91" t="n"/>
      <c r="M589" s="91" t="n"/>
      <c r="N589" s="91" t="n"/>
      <c r="O589" s="91" t="n"/>
      <c r="P589" s="94" t="str">
        <f>IF(Q589=0,"",IF(C589="","Item de resíduo não informado",IF(T589=0,"Item inexistente (referência inválida)",IF(NOT(ISNUMBER(F589)),"Quantidade não informada",IF(F589&lt;=0,"Quantidade não positiva",IF(G589="","Unidade não informada",IF(NOT(ISNUMBER(H589)),"Unidade a conferir",IF(NOT(ISNUMBER(E589)),"Data de recebimento não informada",IF(AND(ISNUMBER(V589),N(V589)&gt;0,E589&lt;N(V589)),"Data anterior à emissão do MTR",IF(AND(J589="Sim",L589="",M589=""),"Conferido sem evidência identificada",IF(J589&lt;&gt;"Sim","Aguardando conferência",IF(INDEX('ITENS_MTR'!$AM$6:$AM$1005,S589)=1,"Conferido (ver diferença no item)","Conferido"))))))))))))</f>
        <v/>
      </c>
      <c r="Q589" s="96">
        <f>IF(COUNTA(C589,E589:G589,I589:O589)&gt;0,1,0)</f>
        <v>0</v>
      </c>
      <c r="R589" s="96" t="str">
        <f>IF(C589="","",TRIM(LEFT(C589,FIND(" |",C589&amp;" |")-1)))</f>
        <v/>
      </c>
      <c r="S589" s="96" t="str">
        <f>IF(R589="","",IFERROR(MATCH(R589,'ITENS_MTR'!$A$6:$A$1005,0),""))</f>
        <v/>
      </c>
      <c r="T589" s="96">
        <f>IF(S589="",0,IF(INDEX('ITENS_MTR'!$R$6:$R$1005,S589)=1,1,0))</f>
        <v>0</v>
      </c>
      <c r="U589" s="96" t="str">
        <f>IF(T589=1,INDEX('ITENS_MTR'!$T$6:$T$1005,S589),"")</f>
        <v/>
      </c>
      <c r="V589" s="97" t="str">
        <f>IF(N(U589)&gt;0,INDEX('MTRs'!$E$6:$E$505,U589),"")</f>
        <v/>
      </c>
      <c r="W589" s="96" t="str">
        <f>IF(G589="","",IFERROR(IF(ISNUMBER(INDEX(cfg_fac,MATCH(G589,cfg_units,0))),IF(INDEX(cfg_fac,MATCH(G589,cfg_units,0))&gt;0,INDEX(cfg_fac,MATCH(G589,cfg_units,0)),""),""),""))</f>
        <v/>
      </c>
      <c r="X589" s="96">
        <f>IF(AND(ISNUMBER(F589),ISNUMBER(H589)),IF(H589&gt;0,1,0),0)</f>
        <v>0</v>
      </c>
      <c r="Y589" s="96">
        <f>IF(Q589=0,0,IF(OR(T589=0,X589=0,NOT(ISNUMBER(E589)),AND(J589="Sim",L589="",M589=""),AND(ISNUMBER(E589),ISNUMBER(V589),N(V589)&gt;0,E589&lt;N(V589))),1,0))</f>
        <v>0</v>
      </c>
      <c r="Z589" s="96">
        <f>IF(AND(Q589=1,T589=1,X589=1,J589="Sim",OR(L589&lt;&gt;"",M589&lt;&gt;"")),1,0)</f>
        <v>0</v>
      </c>
      <c r="AA589" s="96">
        <f>IF(Q589=0,0,IF(AND(OR(r_ini="",AND(ISNUMBER(E589),E589&gt;=r_ini)),OR(r_fim="",AND(ISNUMBER(E589),E589&lt;=r_fim)),OR(r_un="",r_un="(Todas)",IF(N(U589)&gt;0,INDEX('MTRs'!$G$6:$G$505,U589),"")=r_un),OR(r_de="",r_de="(Todos)",D589=r_de)),1,0))</f>
        <v>0</v>
      </c>
      <c r="AB589" s="96" t="str">
        <f>IF(AA589=1,COUNTIF($AA$6:AA589,1),"")</f>
        <v/>
      </c>
    </row>
    <row r="590">
      <c r="A590" s="89" t="inlineStr">
        <is>
          <t>REC-000585</t>
        </is>
      </c>
      <c r="B590" s="94" t="str">
        <f>IF(T590=1,INDEX('ITENS_MTR'!$S$6:$S$1005,S590)&amp;"","")</f>
        <v/>
      </c>
      <c r="C590" s="91" t="n"/>
      <c r="D590" s="94" t="str">
        <f>IF(N(U590)&gt;0,INDEX('MTRs'!$I$6:$I$505,U590)&amp;"","")</f>
        <v/>
      </c>
      <c r="E590" s="92" t="n"/>
      <c r="F590" s="98" t="n"/>
      <c r="G590" s="91" t="n"/>
      <c r="H590" s="93" t="str">
        <f>IF(Q590=0,"",IF(NOT(ISNUMBER(F590)),"",IF(ISNUMBER(W590),F590*W590,"UNIDADE A CONFERIR")))</f>
        <v/>
      </c>
      <c r="I590" s="91" t="n"/>
      <c r="J590" s="91" t="n"/>
      <c r="K590" s="92" t="n"/>
      <c r="L590" s="91" t="n"/>
      <c r="M590" s="91" t="n"/>
      <c r="N590" s="91" t="n"/>
      <c r="O590" s="91" t="n"/>
      <c r="P590" s="94" t="str">
        <f>IF(Q590=0,"",IF(C590="","Item de resíduo não informado",IF(T590=0,"Item inexistente (referência inválida)",IF(NOT(ISNUMBER(F590)),"Quantidade não informada",IF(F590&lt;=0,"Quantidade não positiva",IF(G590="","Unidade não informada",IF(NOT(ISNUMBER(H590)),"Unidade a conferir",IF(NOT(ISNUMBER(E590)),"Data de recebimento não informada",IF(AND(ISNUMBER(V590),N(V590)&gt;0,E590&lt;N(V590)),"Data anterior à emissão do MTR",IF(AND(J590="Sim",L590="",M590=""),"Conferido sem evidência identificada",IF(J590&lt;&gt;"Sim","Aguardando conferência",IF(INDEX('ITENS_MTR'!$AM$6:$AM$1005,S590)=1,"Conferido (ver diferença no item)","Conferido"))))))))))))</f>
        <v/>
      </c>
      <c r="Q590" s="96">
        <f>IF(COUNTA(C590,E590:G590,I590:O590)&gt;0,1,0)</f>
        <v>0</v>
      </c>
      <c r="R590" s="96" t="str">
        <f>IF(C590="","",TRIM(LEFT(C590,FIND(" |",C590&amp;" |")-1)))</f>
        <v/>
      </c>
      <c r="S590" s="96" t="str">
        <f>IF(R590="","",IFERROR(MATCH(R590,'ITENS_MTR'!$A$6:$A$1005,0),""))</f>
        <v/>
      </c>
      <c r="T590" s="96">
        <f>IF(S590="",0,IF(INDEX('ITENS_MTR'!$R$6:$R$1005,S590)=1,1,0))</f>
        <v>0</v>
      </c>
      <c r="U590" s="96" t="str">
        <f>IF(T590=1,INDEX('ITENS_MTR'!$T$6:$T$1005,S590),"")</f>
        <v/>
      </c>
      <c r="V590" s="97" t="str">
        <f>IF(N(U590)&gt;0,INDEX('MTRs'!$E$6:$E$505,U590),"")</f>
        <v/>
      </c>
      <c r="W590" s="96" t="str">
        <f>IF(G590="","",IFERROR(IF(ISNUMBER(INDEX(cfg_fac,MATCH(G590,cfg_units,0))),IF(INDEX(cfg_fac,MATCH(G590,cfg_units,0))&gt;0,INDEX(cfg_fac,MATCH(G590,cfg_units,0)),""),""),""))</f>
        <v/>
      </c>
      <c r="X590" s="96">
        <f>IF(AND(ISNUMBER(F590),ISNUMBER(H590)),IF(H590&gt;0,1,0),0)</f>
        <v>0</v>
      </c>
      <c r="Y590" s="96">
        <f>IF(Q590=0,0,IF(OR(T590=0,X590=0,NOT(ISNUMBER(E590)),AND(J590="Sim",L590="",M590=""),AND(ISNUMBER(E590),ISNUMBER(V590),N(V590)&gt;0,E590&lt;N(V590))),1,0))</f>
        <v>0</v>
      </c>
      <c r="Z590" s="96">
        <f>IF(AND(Q590=1,T590=1,X590=1,J590="Sim",OR(L590&lt;&gt;"",M590&lt;&gt;"")),1,0)</f>
        <v>0</v>
      </c>
      <c r="AA590" s="96">
        <f>IF(Q590=0,0,IF(AND(OR(r_ini="",AND(ISNUMBER(E590),E590&gt;=r_ini)),OR(r_fim="",AND(ISNUMBER(E590),E590&lt;=r_fim)),OR(r_un="",r_un="(Todas)",IF(N(U590)&gt;0,INDEX('MTRs'!$G$6:$G$505,U590),"")=r_un),OR(r_de="",r_de="(Todos)",D590=r_de)),1,0))</f>
        <v>0</v>
      </c>
      <c r="AB590" s="96" t="str">
        <f>IF(AA590=1,COUNTIF($AA$6:AA590,1),"")</f>
        <v/>
      </c>
    </row>
    <row r="591">
      <c r="A591" s="89" t="inlineStr">
        <is>
          <t>REC-000586</t>
        </is>
      </c>
      <c r="B591" s="94" t="str">
        <f>IF(T591=1,INDEX('ITENS_MTR'!$S$6:$S$1005,S591)&amp;"","")</f>
        <v/>
      </c>
      <c r="C591" s="91" t="n"/>
      <c r="D591" s="94" t="str">
        <f>IF(N(U591)&gt;0,INDEX('MTRs'!$I$6:$I$505,U591)&amp;"","")</f>
        <v/>
      </c>
      <c r="E591" s="92" t="n"/>
      <c r="F591" s="98" t="n"/>
      <c r="G591" s="91" t="n"/>
      <c r="H591" s="93" t="str">
        <f>IF(Q591=0,"",IF(NOT(ISNUMBER(F591)),"",IF(ISNUMBER(W591),F591*W591,"UNIDADE A CONFERIR")))</f>
        <v/>
      </c>
      <c r="I591" s="91" t="n"/>
      <c r="J591" s="91" t="n"/>
      <c r="K591" s="92" t="n"/>
      <c r="L591" s="91" t="n"/>
      <c r="M591" s="91" t="n"/>
      <c r="N591" s="91" t="n"/>
      <c r="O591" s="91" t="n"/>
      <c r="P591" s="94" t="str">
        <f>IF(Q591=0,"",IF(C591="","Item de resíduo não informado",IF(T591=0,"Item inexistente (referência inválida)",IF(NOT(ISNUMBER(F591)),"Quantidade não informada",IF(F591&lt;=0,"Quantidade não positiva",IF(G591="","Unidade não informada",IF(NOT(ISNUMBER(H591)),"Unidade a conferir",IF(NOT(ISNUMBER(E591)),"Data de recebimento não informada",IF(AND(ISNUMBER(V591),N(V591)&gt;0,E591&lt;N(V591)),"Data anterior à emissão do MTR",IF(AND(J591="Sim",L591="",M591=""),"Conferido sem evidência identificada",IF(J591&lt;&gt;"Sim","Aguardando conferência",IF(INDEX('ITENS_MTR'!$AM$6:$AM$1005,S591)=1,"Conferido (ver diferença no item)","Conferido"))))))))))))</f>
        <v/>
      </c>
      <c r="Q591" s="96">
        <f>IF(COUNTA(C591,E591:G591,I591:O591)&gt;0,1,0)</f>
        <v>0</v>
      </c>
      <c r="R591" s="96" t="str">
        <f>IF(C591="","",TRIM(LEFT(C591,FIND(" |",C591&amp;" |")-1)))</f>
        <v/>
      </c>
      <c r="S591" s="96" t="str">
        <f>IF(R591="","",IFERROR(MATCH(R591,'ITENS_MTR'!$A$6:$A$1005,0),""))</f>
        <v/>
      </c>
      <c r="T591" s="96">
        <f>IF(S591="",0,IF(INDEX('ITENS_MTR'!$R$6:$R$1005,S591)=1,1,0))</f>
        <v>0</v>
      </c>
      <c r="U591" s="96" t="str">
        <f>IF(T591=1,INDEX('ITENS_MTR'!$T$6:$T$1005,S591),"")</f>
        <v/>
      </c>
      <c r="V591" s="97" t="str">
        <f>IF(N(U591)&gt;0,INDEX('MTRs'!$E$6:$E$505,U591),"")</f>
        <v/>
      </c>
      <c r="W591" s="96" t="str">
        <f>IF(G591="","",IFERROR(IF(ISNUMBER(INDEX(cfg_fac,MATCH(G591,cfg_units,0))),IF(INDEX(cfg_fac,MATCH(G591,cfg_units,0))&gt;0,INDEX(cfg_fac,MATCH(G591,cfg_units,0)),""),""),""))</f>
        <v/>
      </c>
      <c r="X591" s="96">
        <f>IF(AND(ISNUMBER(F591),ISNUMBER(H591)),IF(H591&gt;0,1,0),0)</f>
        <v>0</v>
      </c>
      <c r="Y591" s="96">
        <f>IF(Q591=0,0,IF(OR(T591=0,X591=0,NOT(ISNUMBER(E591)),AND(J591="Sim",L591="",M591=""),AND(ISNUMBER(E591),ISNUMBER(V591),N(V591)&gt;0,E591&lt;N(V591))),1,0))</f>
        <v>0</v>
      </c>
      <c r="Z591" s="96">
        <f>IF(AND(Q591=1,T591=1,X591=1,J591="Sim",OR(L591&lt;&gt;"",M591&lt;&gt;"")),1,0)</f>
        <v>0</v>
      </c>
      <c r="AA591" s="96">
        <f>IF(Q591=0,0,IF(AND(OR(r_ini="",AND(ISNUMBER(E591),E591&gt;=r_ini)),OR(r_fim="",AND(ISNUMBER(E591),E591&lt;=r_fim)),OR(r_un="",r_un="(Todas)",IF(N(U591)&gt;0,INDEX('MTRs'!$G$6:$G$505,U591),"")=r_un),OR(r_de="",r_de="(Todos)",D591=r_de)),1,0))</f>
        <v>0</v>
      </c>
      <c r="AB591" s="96" t="str">
        <f>IF(AA591=1,COUNTIF($AA$6:AA591,1),"")</f>
        <v/>
      </c>
    </row>
    <row r="592">
      <c r="A592" s="89" t="inlineStr">
        <is>
          <t>REC-000587</t>
        </is>
      </c>
      <c r="B592" s="94" t="str">
        <f>IF(T592=1,INDEX('ITENS_MTR'!$S$6:$S$1005,S592)&amp;"","")</f>
        <v/>
      </c>
      <c r="C592" s="91" t="n"/>
      <c r="D592" s="94" t="str">
        <f>IF(N(U592)&gt;0,INDEX('MTRs'!$I$6:$I$505,U592)&amp;"","")</f>
        <v/>
      </c>
      <c r="E592" s="92" t="n"/>
      <c r="F592" s="98" t="n"/>
      <c r="G592" s="91" t="n"/>
      <c r="H592" s="93" t="str">
        <f>IF(Q592=0,"",IF(NOT(ISNUMBER(F592)),"",IF(ISNUMBER(W592),F592*W592,"UNIDADE A CONFERIR")))</f>
        <v/>
      </c>
      <c r="I592" s="91" t="n"/>
      <c r="J592" s="91" t="n"/>
      <c r="K592" s="92" t="n"/>
      <c r="L592" s="91" t="n"/>
      <c r="M592" s="91" t="n"/>
      <c r="N592" s="91" t="n"/>
      <c r="O592" s="91" t="n"/>
      <c r="P592" s="94" t="str">
        <f>IF(Q592=0,"",IF(C592="","Item de resíduo não informado",IF(T592=0,"Item inexistente (referência inválida)",IF(NOT(ISNUMBER(F592)),"Quantidade não informada",IF(F592&lt;=0,"Quantidade não positiva",IF(G592="","Unidade não informada",IF(NOT(ISNUMBER(H592)),"Unidade a conferir",IF(NOT(ISNUMBER(E592)),"Data de recebimento não informada",IF(AND(ISNUMBER(V592),N(V592)&gt;0,E592&lt;N(V592)),"Data anterior à emissão do MTR",IF(AND(J592="Sim",L592="",M592=""),"Conferido sem evidência identificada",IF(J592&lt;&gt;"Sim","Aguardando conferência",IF(INDEX('ITENS_MTR'!$AM$6:$AM$1005,S592)=1,"Conferido (ver diferença no item)","Conferido"))))))))))))</f>
        <v/>
      </c>
      <c r="Q592" s="96">
        <f>IF(COUNTA(C592,E592:G592,I592:O592)&gt;0,1,0)</f>
        <v>0</v>
      </c>
      <c r="R592" s="96" t="str">
        <f>IF(C592="","",TRIM(LEFT(C592,FIND(" |",C592&amp;" |")-1)))</f>
        <v/>
      </c>
      <c r="S592" s="96" t="str">
        <f>IF(R592="","",IFERROR(MATCH(R592,'ITENS_MTR'!$A$6:$A$1005,0),""))</f>
        <v/>
      </c>
      <c r="T592" s="96">
        <f>IF(S592="",0,IF(INDEX('ITENS_MTR'!$R$6:$R$1005,S592)=1,1,0))</f>
        <v>0</v>
      </c>
      <c r="U592" s="96" t="str">
        <f>IF(T592=1,INDEX('ITENS_MTR'!$T$6:$T$1005,S592),"")</f>
        <v/>
      </c>
      <c r="V592" s="97" t="str">
        <f>IF(N(U592)&gt;0,INDEX('MTRs'!$E$6:$E$505,U592),"")</f>
        <v/>
      </c>
      <c r="W592" s="96" t="str">
        <f>IF(G592="","",IFERROR(IF(ISNUMBER(INDEX(cfg_fac,MATCH(G592,cfg_units,0))),IF(INDEX(cfg_fac,MATCH(G592,cfg_units,0))&gt;0,INDEX(cfg_fac,MATCH(G592,cfg_units,0)),""),""),""))</f>
        <v/>
      </c>
      <c r="X592" s="96">
        <f>IF(AND(ISNUMBER(F592),ISNUMBER(H592)),IF(H592&gt;0,1,0),0)</f>
        <v>0</v>
      </c>
      <c r="Y592" s="96">
        <f>IF(Q592=0,0,IF(OR(T592=0,X592=0,NOT(ISNUMBER(E592)),AND(J592="Sim",L592="",M592=""),AND(ISNUMBER(E592),ISNUMBER(V592),N(V592)&gt;0,E592&lt;N(V592))),1,0))</f>
        <v>0</v>
      </c>
      <c r="Z592" s="96">
        <f>IF(AND(Q592=1,T592=1,X592=1,J592="Sim",OR(L592&lt;&gt;"",M592&lt;&gt;"")),1,0)</f>
        <v>0</v>
      </c>
      <c r="AA592" s="96">
        <f>IF(Q592=0,0,IF(AND(OR(r_ini="",AND(ISNUMBER(E592),E592&gt;=r_ini)),OR(r_fim="",AND(ISNUMBER(E592),E592&lt;=r_fim)),OR(r_un="",r_un="(Todas)",IF(N(U592)&gt;0,INDEX('MTRs'!$G$6:$G$505,U592),"")=r_un),OR(r_de="",r_de="(Todos)",D592=r_de)),1,0))</f>
        <v>0</v>
      </c>
      <c r="AB592" s="96" t="str">
        <f>IF(AA592=1,COUNTIF($AA$6:AA592,1),"")</f>
        <v/>
      </c>
    </row>
    <row r="593">
      <c r="A593" s="89" t="inlineStr">
        <is>
          <t>REC-000588</t>
        </is>
      </c>
      <c r="B593" s="94" t="str">
        <f>IF(T593=1,INDEX('ITENS_MTR'!$S$6:$S$1005,S593)&amp;"","")</f>
        <v/>
      </c>
      <c r="C593" s="91" t="n"/>
      <c r="D593" s="94" t="str">
        <f>IF(N(U593)&gt;0,INDEX('MTRs'!$I$6:$I$505,U593)&amp;"","")</f>
        <v/>
      </c>
      <c r="E593" s="92" t="n"/>
      <c r="F593" s="98" t="n"/>
      <c r="G593" s="91" t="n"/>
      <c r="H593" s="93" t="str">
        <f>IF(Q593=0,"",IF(NOT(ISNUMBER(F593)),"",IF(ISNUMBER(W593),F593*W593,"UNIDADE A CONFERIR")))</f>
        <v/>
      </c>
      <c r="I593" s="91" t="n"/>
      <c r="J593" s="91" t="n"/>
      <c r="K593" s="92" t="n"/>
      <c r="L593" s="91" t="n"/>
      <c r="M593" s="91" t="n"/>
      <c r="N593" s="91" t="n"/>
      <c r="O593" s="91" t="n"/>
      <c r="P593" s="94" t="str">
        <f>IF(Q593=0,"",IF(C593="","Item de resíduo não informado",IF(T593=0,"Item inexistente (referência inválida)",IF(NOT(ISNUMBER(F593)),"Quantidade não informada",IF(F593&lt;=0,"Quantidade não positiva",IF(G593="","Unidade não informada",IF(NOT(ISNUMBER(H593)),"Unidade a conferir",IF(NOT(ISNUMBER(E593)),"Data de recebimento não informada",IF(AND(ISNUMBER(V593),N(V593)&gt;0,E593&lt;N(V593)),"Data anterior à emissão do MTR",IF(AND(J593="Sim",L593="",M593=""),"Conferido sem evidência identificada",IF(J593&lt;&gt;"Sim","Aguardando conferência",IF(INDEX('ITENS_MTR'!$AM$6:$AM$1005,S593)=1,"Conferido (ver diferença no item)","Conferido"))))))))))))</f>
        <v/>
      </c>
      <c r="Q593" s="96">
        <f>IF(COUNTA(C593,E593:G593,I593:O593)&gt;0,1,0)</f>
        <v>0</v>
      </c>
      <c r="R593" s="96" t="str">
        <f>IF(C593="","",TRIM(LEFT(C593,FIND(" |",C593&amp;" |")-1)))</f>
        <v/>
      </c>
      <c r="S593" s="96" t="str">
        <f>IF(R593="","",IFERROR(MATCH(R593,'ITENS_MTR'!$A$6:$A$1005,0),""))</f>
        <v/>
      </c>
      <c r="T593" s="96">
        <f>IF(S593="",0,IF(INDEX('ITENS_MTR'!$R$6:$R$1005,S593)=1,1,0))</f>
        <v>0</v>
      </c>
      <c r="U593" s="96" t="str">
        <f>IF(T593=1,INDEX('ITENS_MTR'!$T$6:$T$1005,S593),"")</f>
        <v/>
      </c>
      <c r="V593" s="97" t="str">
        <f>IF(N(U593)&gt;0,INDEX('MTRs'!$E$6:$E$505,U593),"")</f>
        <v/>
      </c>
      <c r="W593" s="96" t="str">
        <f>IF(G593="","",IFERROR(IF(ISNUMBER(INDEX(cfg_fac,MATCH(G593,cfg_units,0))),IF(INDEX(cfg_fac,MATCH(G593,cfg_units,0))&gt;0,INDEX(cfg_fac,MATCH(G593,cfg_units,0)),""),""),""))</f>
        <v/>
      </c>
      <c r="X593" s="96">
        <f>IF(AND(ISNUMBER(F593),ISNUMBER(H593)),IF(H593&gt;0,1,0),0)</f>
        <v>0</v>
      </c>
      <c r="Y593" s="96">
        <f>IF(Q593=0,0,IF(OR(T593=0,X593=0,NOT(ISNUMBER(E593)),AND(J593="Sim",L593="",M593=""),AND(ISNUMBER(E593),ISNUMBER(V593),N(V593)&gt;0,E593&lt;N(V593))),1,0))</f>
        <v>0</v>
      </c>
      <c r="Z593" s="96">
        <f>IF(AND(Q593=1,T593=1,X593=1,J593="Sim",OR(L593&lt;&gt;"",M593&lt;&gt;"")),1,0)</f>
        <v>0</v>
      </c>
      <c r="AA593" s="96">
        <f>IF(Q593=0,0,IF(AND(OR(r_ini="",AND(ISNUMBER(E593),E593&gt;=r_ini)),OR(r_fim="",AND(ISNUMBER(E593),E593&lt;=r_fim)),OR(r_un="",r_un="(Todas)",IF(N(U593)&gt;0,INDEX('MTRs'!$G$6:$G$505,U593),"")=r_un),OR(r_de="",r_de="(Todos)",D593=r_de)),1,0))</f>
        <v>0</v>
      </c>
      <c r="AB593" s="96" t="str">
        <f>IF(AA593=1,COUNTIF($AA$6:AA593,1),"")</f>
        <v/>
      </c>
    </row>
    <row r="594">
      <c r="A594" s="89" t="inlineStr">
        <is>
          <t>REC-000589</t>
        </is>
      </c>
      <c r="B594" s="94" t="str">
        <f>IF(T594=1,INDEX('ITENS_MTR'!$S$6:$S$1005,S594)&amp;"","")</f>
        <v/>
      </c>
      <c r="C594" s="91" t="n"/>
      <c r="D594" s="94" t="str">
        <f>IF(N(U594)&gt;0,INDEX('MTRs'!$I$6:$I$505,U594)&amp;"","")</f>
        <v/>
      </c>
      <c r="E594" s="92" t="n"/>
      <c r="F594" s="98" t="n"/>
      <c r="G594" s="91" t="n"/>
      <c r="H594" s="93" t="str">
        <f>IF(Q594=0,"",IF(NOT(ISNUMBER(F594)),"",IF(ISNUMBER(W594),F594*W594,"UNIDADE A CONFERIR")))</f>
        <v/>
      </c>
      <c r="I594" s="91" t="n"/>
      <c r="J594" s="91" t="n"/>
      <c r="K594" s="92" t="n"/>
      <c r="L594" s="91" t="n"/>
      <c r="M594" s="91" t="n"/>
      <c r="N594" s="91" t="n"/>
      <c r="O594" s="91" t="n"/>
      <c r="P594" s="94" t="str">
        <f>IF(Q594=0,"",IF(C594="","Item de resíduo não informado",IF(T594=0,"Item inexistente (referência inválida)",IF(NOT(ISNUMBER(F594)),"Quantidade não informada",IF(F594&lt;=0,"Quantidade não positiva",IF(G594="","Unidade não informada",IF(NOT(ISNUMBER(H594)),"Unidade a conferir",IF(NOT(ISNUMBER(E594)),"Data de recebimento não informada",IF(AND(ISNUMBER(V594),N(V594)&gt;0,E594&lt;N(V594)),"Data anterior à emissão do MTR",IF(AND(J594="Sim",L594="",M594=""),"Conferido sem evidência identificada",IF(J594&lt;&gt;"Sim","Aguardando conferência",IF(INDEX('ITENS_MTR'!$AM$6:$AM$1005,S594)=1,"Conferido (ver diferença no item)","Conferido"))))))))))))</f>
        <v/>
      </c>
      <c r="Q594" s="96">
        <f>IF(COUNTA(C594,E594:G594,I594:O594)&gt;0,1,0)</f>
        <v>0</v>
      </c>
      <c r="R594" s="96" t="str">
        <f>IF(C594="","",TRIM(LEFT(C594,FIND(" |",C594&amp;" |")-1)))</f>
        <v/>
      </c>
      <c r="S594" s="96" t="str">
        <f>IF(R594="","",IFERROR(MATCH(R594,'ITENS_MTR'!$A$6:$A$1005,0),""))</f>
        <v/>
      </c>
      <c r="T594" s="96">
        <f>IF(S594="",0,IF(INDEX('ITENS_MTR'!$R$6:$R$1005,S594)=1,1,0))</f>
        <v>0</v>
      </c>
      <c r="U594" s="96" t="str">
        <f>IF(T594=1,INDEX('ITENS_MTR'!$T$6:$T$1005,S594),"")</f>
        <v/>
      </c>
      <c r="V594" s="97" t="str">
        <f>IF(N(U594)&gt;0,INDEX('MTRs'!$E$6:$E$505,U594),"")</f>
        <v/>
      </c>
      <c r="W594" s="96" t="str">
        <f>IF(G594="","",IFERROR(IF(ISNUMBER(INDEX(cfg_fac,MATCH(G594,cfg_units,0))),IF(INDEX(cfg_fac,MATCH(G594,cfg_units,0))&gt;0,INDEX(cfg_fac,MATCH(G594,cfg_units,0)),""),""),""))</f>
        <v/>
      </c>
      <c r="X594" s="96">
        <f>IF(AND(ISNUMBER(F594),ISNUMBER(H594)),IF(H594&gt;0,1,0),0)</f>
        <v>0</v>
      </c>
      <c r="Y594" s="96">
        <f>IF(Q594=0,0,IF(OR(T594=0,X594=0,NOT(ISNUMBER(E594)),AND(J594="Sim",L594="",M594=""),AND(ISNUMBER(E594),ISNUMBER(V594),N(V594)&gt;0,E594&lt;N(V594))),1,0))</f>
        <v>0</v>
      </c>
      <c r="Z594" s="96">
        <f>IF(AND(Q594=1,T594=1,X594=1,J594="Sim",OR(L594&lt;&gt;"",M594&lt;&gt;"")),1,0)</f>
        <v>0</v>
      </c>
      <c r="AA594" s="96">
        <f>IF(Q594=0,0,IF(AND(OR(r_ini="",AND(ISNUMBER(E594),E594&gt;=r_ini)),OR(r_fim="",AND(ISNUMBER(E594),E594&lt;=r_fim)),OR(r_un="",r_un="(Todas)",IF(N(U594)&gt;0,INDEX('MTRs'!$G$6:$G$505,U594),"")=r_un),OR(r_de="",r_de="(Todos)",D594=r_de)),1,0))</f>
        <v>0</v>
      </c>
      <c r="AB594" s="96" t="str">
        <f>IF(AA594=1,COUNTIF($AA$6:AA594,1),"")</f>
        <v/>
      </c>
    </row>
    <row r="595">
      <c r="A595" s="89" t="inlineStr">
        <is>
          <t>REC-000590</t>
        </is>
      </c>
      <c r="B595" s="94" t="str">
        <f>IF(T595=1,INDEX('ITENS_MTR'!$S$6:$S$1005,S595)&amp;"","")</f>
        <v/>
      </c>
      <c r="C595" s="91" t="n"/>
      <c r="D595" s="94" t="str">
        <f>IF(N(U595)&gt;0,INDEX('MTRs'!$I$6:$I$505,U595)&amp;"","")</f>
        <v/>
      </c>
      <c r="E595" s="92" t="n"/>
      <c r="F595" s="98" t="n"/>
      <c r="G595" s="91" t="n"/>
      <c r="H595" s="93" t="str">
        <f>IF(Q595=0,"",IF(NOT(ISNUMBER(F595)),"",IF(ISNUMBER(W595),F595*W595,"UNIDADE A CONFERIR")))</f>
        <v/>
      </c>
      <c r="I595" s="91" t="n"/>
      <c r="J595" s="91" t="n"/>
      <c r="K595" s="92" t="n"/>
      <c r="L595" s="91" t="n"/>
      <c r="M595" s="91" t="n"/>
      <c r="N595" s="91" t="n"/>
      <c r="O595" s="91" t="n"/>
      <c r="P595" s="94" t="str">
        <f>IF(Q595=0,"",IF(C595="","Item de resíduo não informado",IF(T595=0,"Item inexistente (referência inválida)",IF(NOT(ISNUMBER(F595)),"Quantidade não informada",IF(F595&lt;=0,"Quantidade não positiva",IF(G595="","Unidade não informada",IF(NOT(ISNUMBER(H595)),"Unidade a conferir",IF(NOT(ISNUMBER(E595)),"Data de recebimento não informada",IF(AND(ISNUMBER(V595),N(V595)&gt;0,E595&lt;N(V595)),"Data anterior à emissão do MTR",IF(AND(J595="Sim",L595="",M595=""),"Conferido sem evidência identificada",IF(J595&lt;&gt;"Sim","Aguardando conferência",IF(INDEX('ITENS_MTR'!$AM$6:$AM$1005,S595)=1,"Conferido (ver diferença no item)","Conferido"))))))))))))</f>
        <v/>
      </c>
      <c r="Q595" s="96">
        <f>IF(COUNTA(C595,E595:G595,I595:O595)&gt;0,1,0)</f>
        <v>0</v>
      </c>
      <c r="R595" s="96" t="str">
        <f>IF(C595="","",TRIM(LEFT(C595,FIND(" |",C595&amp;" |")-1)))</f>
        <v/>
      </c>
      <c r="S595" s="96" t="str">
        <f>IF(R595="","",IFERROR(MATCH(R595,'ITENS_MTR'!$A$6:$A$1005,0),""))</f>
        <v/>
      </c>
      <c r="T595" s="96">
        <f>IF(S595="",0,IF(INDEX('ITENS_MTR'!$R$6:$R$1005,S595)=1,1,0))</f>
        <v>0</v>
      </c>
      <c r="U595" s="96" t="str">
        <f>IF(T595=1,INDEX('ITENS_MTR'!$T$6:$T$1005,S595),"")</f>
        <v/>
      </c>
      <c r="V595" s="97" t="str">
        <f>IF(N(U595)&gt;0,INDEX('MTRs'!$E$6:$E$505,U595),"")</f>
        <v/>
      </c>
      <c r="W595" s="96" t="str">
        <f>IF(G595="","",IFERROR(IF(ISNUMBER(INDEX(cfg_fac,MATCH(G595,cfg_units,0))),IF(INDEX(cfg_fac,MATCH(G595,cfg_units,0))&gt;0,INDEX(cfg_fac,MATCH(G595,cfg_units,0)),""),""),""))</f>
        <v/>
      </c>
      <c r="X595" s="96">
        <f>IF(AND(ISNUMBER(F595),ISNUMBER(H595)),IF(H595&gt;0,1,0),0)</f>
        <v>0</v>
      </c>
      <c r="Y595" s="96">
        <f>IF(Q595=0,0,IF(OR(T595=0,X595=0,NOT(ISNUMBER(E595)),AND(J595="Sim",L595="",M595=""),AND(ISNUMBER(E595),ISNUMBER(V595),N(V595)&gt;0,E595&lt;N(V595))),1,0))</f>
        <v>0</v>
      </c>
      <c r="Z595" s="96">
        <f>IF(AND(Q595=1,T595=1,X595=1,J595="Sim",OR(L595&lt;&gt;"",M595&lt;&gt;"")),1,0)</f>
        <v>0</v>
      </c>
      <c r="AA595" s="96">
        <f>IF(Q595=0,0,IF(AND(OR(r_ini="",AND(ISNUMBER(E595),E595&gt;=r_ini)),OR(r_fim="",AND(ISNUMBER(E595),E595&lt;=r_fim)),OR(r_un="",r_un="(Todas)",IF(N(U595)&gt;0,INDEX('MTRs'!$G$6:$G$505,U595),"")=r_un),OR(r_de="",r_de="(Todos)",D595=r_de)),1,0))</f>
        <v>0</v>
      </c>
      <c r="AB595" s="96" t="str">
        <f>IF(AA595=1,COUNTIF($AA$6:AA595,1),"")</f>
        <v/>
      </c>
    </row>
    <row r="596">
      <c r="A596" s="89" t="inlineStr">
        <is>
          <t>REC-000591</t>
        </is>
      </c>
      <c r="B596" s="94" t="str">
        <f>IF(T596=1,INDEX('ITENS_MTR'!$S$6:$S$1005,S596)&amp;"","")</f>
        <v/>
      </c>
      <c r="C596" s="91" t="n"/>
      <c r="D596" s="94" t="str">
        <f>IF(N(U596)&gt;0,INDEX('MTRs'!$I$6:$I$505,U596)&amp;"","")</f>
        <v/>
      </c>
      <c r="E596" s="92" t="n"/>
      <c r="F596" s="98" t="n"/>
      <c r="G596" s="91" t="n"/>
      <c r="H596" s="93" t="str">
        <f>IF(Q596=0,"",IF(NOT(ISNUMBER(F596)),"",IF(ISNUMBER(W596),F596*W596,"UNIDADE A CONFERIR")))</f>
        <v/>
      </c>
      <c r="I596" s="91" t="n"/>
      <c r="J596" s="91" t="n"/>
      <c r="K596" s="92" t="n"/>
      <c r="L596" s="91" t="n"/>
      <c r="M596" s="91" t="n"/>
      <c r="N596" s="91" t="n"/>
      <c r="O596" s="91" t="n"/>
      <c r="P596" s="94" t="str">
        <f>IF(Q596=0,"",IF(C596="","Item de resíduo não informado",IF(T596=0,"Item inexistente (referência inválida)",IF(NOT(ISNUMBER(F596)),"Quantidade não informada",IF(F596&lt;=0,"Quantidade não positiva",IF(G596="","Unidade não informada",IF(NOT(ISNUMBER(H596)),"Unidade a conferir",IF(NOT(ISNUMBER(E596)),"Data de recebimento não informada",IF(AND(ISNUMBER(V596),N(V596)&gt;0,E596&lt;N(V596)),"Data anterior à emissão do MTR",IF(AND(J596="Sim",L596="",M596=""),"Conferido sem evidência identificada",IF(J596&lt;&gt;"Sim","Aguardando conferência",IF(INDEX('ITENS_MTR'!$AM$6:$AM$1005,S596)=1,"Conferido (ver diferença no item)","Conferido"))))))))))))</f>
        <v/>
      </c>
      <c r="Q596" s="96">
        <f>IF(COUNTA(C596,E596:G596,I596:O596)&gt;0,1,0)</f>
        <v>0</v>
      </c>
      <c r="R596" s="96" t="str">
        <f>IF(C596="","",TRIM(LEFT(C596,FIND(" |",C596&amp;" |")-1)))</f>
        <v/>
      </c>
      <c r="S596" s="96" t="str">
        <f>IF(R596="","",IFERROR(MATCH(R596,'ITENS_MTR'!$A$6:$A$1005,0),""))</f>
        <v/>
      </c>
      <c r="T596" s="96">
        <f>IF(S596="",0,IF(INDEX('ITENS_MTR'!$R$6:$R$1005,S596)=1,1,0))</f>
        <v>0</v>
      </c>
      <c r="U596" s="96" t="str">
        <f>IF(T596=1,INDEX('ITENS_MTR'!$T$6:$T$1005,S596),"")</f>
        <v/>
      </c>
      <c r="V596" s="97" t="str">
        <f>IF(N(U596)&gt;0,INDEX('MTRs'!$E$6:$E$505,U596),"")</f>
        <v/>
      </c>
      <c r="W596" s="96" t="str">
        <f>IF(G596="","",IFERROR(IF(ISNUMBER(INDEX(cfg_fac,MATCH(G596,cfg_units,0))),IF(INDEX(cfg_fac,MATCH(G596,cfg_units,0))&gt;0,INDEX(cfg_fac,MATCH(G596,cfg_units,0)),""),""),""))</f>
        <v/>
      </c>
      <c r="X596" s="96">
        <f>IF(AND(ISNUMBER(F596),ISNUMBER(H596)),IF(H596&gt;0,1,0),0)</f>
        <v>0</v>
      </c>
      <c r="Y596" s="96">
        <f>IF(Q596=0,0,IF(OR(T596=0,X596=0,NOT(ISNUMBER(E596)),AND(J596="Sim",L596="",M596=""),AND(ISNUMBER(E596),ISNUMBER(V596),N(V596)&gt;0,E596&lt;N(V596))),1,0))</f>
        <v>0</v>
      </c>
      <c r="Z596" s="96">
        <f>IF(AND(Q596=1,T596=1,X596=1,J596="Sim",OR(L596&lt;&gt;"",M596&lt;&gt;"")),1,0)</f>
        <v>0</v>
      </c>
      <c r="AA596" s="96">
        <f>IF(Q596=0,0,IF(AND(OR(r_ini="",AND(ISNUMBER(E596),E596&gt;=r_ini)),OR(r_fim="",AND(ISNUMBER(E596),E596&lt;=r_fim)),OR(r_un="",r_un="(Todas)",IF(N(U596)&gt;0,INDEX('MTRs'!$G$6:$G$505,U596),"")=r_un),OR(r_de="",r_de="(Todos)",D596=r_de)),1,0))</f>
        <v>0</v>
      </c>
      <c r="AB596" s="96" t="str">
        <f>IF(AA596=1,COUNTIF($AA$6:AA596,1),"")</f>
        <v/>
      </c>
    </row>
    <row r="597">
      <c r="A597" s="89" t="inlineStr">
        <is>
          <t>REC-000592</t>
        </is>
      </c>
      <c r="B597" s="94" t="str">
        <f>IF(T597=1,INDEX('ITENS_MTR'!$S$6:$S$1005,S597)&amp;"","")</f>
        <v/>
      </c>
      <c r="C597" s="91" t="n"/>
      <c r="D597" s="94" t="str">
        <f>IF(N(U597)&gt;0,INDEX('MTRs'!$I$6:$I$505,U597)&amp;"","")</f>
        <v/>
      </c>
      <c r="E597" s="92" t="n"/>
      <c r="F597" s="98" t="n"/>
      <c r="G597" s="91" t="n"/>
      <c r="H597" s="93" t="str">
        <f>IF(Q597=0,"",IF(NOT(ISNUMBER(F597)),"",IF(ISNUMBER(W597),F597*W597,"UNIDADE A CONFERIR")))</f>
        <v/>
      </c>
      <c r="I597" s="91" t="n"/>
      <c r="J597" s="91" t="n"/>
      <c r="K597" s="92" t="n"/>
      <c r="L597" s="91" t="n"/>
      <c r="M597" s="91" t="n"/>
      <c r="N597" s="91" t="n"/>
      <c r="O597" s="91" t="n"/>
      <c r="P597" s="94" t="str">
        <f>IF(Q597=0,"",IF(C597="","Item de resíduo não informado",IF(T597=0,"Item inexistente (referência inválida)",IF(NOT(ISNUMBER(F597)),"Quantidade não informada",IF(F597&lt;=0,"Quantidade não positiva",IF(G597="","Unidade não informada",IF(NOT(ISNUMBER(H597)),"Unidade a conferir",IF(NOT(ISNUMBER(E597)),"Data de recebimento não informada",IF(AND(ISNUMBER(V597),N(V597)&gt;0,E597&lt;N(V597)),"Data anterior à emissão do MTR",IF(AND(J597="Sim",L597="",M597=""),"Conferido sem evidência identificada",IF(J597&lt;&gt;"Sim","Aguardando conferência",IF(INDEX('ITENS_MTR'!$AM$6:$AM$1005,S597)=1,"Conferido (ver diferença no item)","Conferido"))))))))))))</f>
        <v/>
      </c>
      <c r="Q597" s="96">
        <f>IF(COUNTA(C597,E597:G597,I597:O597)&gt;0,1,0)</f>
        <v>0</v>
      </c>
      <c r="R597" s="96" t="str">
        <f>IF(C597="","",TRIM(LEFT(C597,FIND(" |",C597&amp;" |")-1)))</f>
        <v/>
      </c>
      <c r="S597" s="96" t="str">
        <f>IF(R597="","",IFERROR(MATCH(R597,'ITENS_MTR'!$A$6:$A$1005,0),""))</f>
        <v/>
      </c>
      <c r="T597" s="96">
        <f>IF(S597="",0,IF(INDEX('ITENS_MTR'!$R$6:$R$1005,S597)=1,1,0))</f>
        <v>0</v>
      </c>
      <c r="U597" s="96" t="str">
        <f>IF(T597=1,INDEX('ITENS_MTR'!$T$6:$T$1005,S597),"")</f>
        <v/>
      </c>
      <c r="V597" s="97" t="str">
        <f>IF(N(U597)&gt;0,INDEX('MTRs'!$E$6:$E$505,U597),"")</f>
        <v/>
      </c>
      <c r="W597" s="96" t="str">
        <f>IF(G597="","",IFERROR(IF(ISNUMBER(INDEX(cfg_fac,MATCH(G597,cfg_units,0))),IF(INDEX(cfg_fac,MATCH(G597,cfg_units,0))&gt;0,INDEX(cfg_fac,MATCH(G597,cfg_units,0)),""),""),""))</f>
        <v/>
      </c>
      <c r="X597" s="96">
        <f>IF(AND(ISNUMBER(F597),ISNUMBER(H597)),IF(H597&gt;0,1,0),0)</f>
        <v>0</v>
      </c>
      <c r="Y597" s="96">
        <f>IF(Q597=0,0,IF(OR(T597=0,X597=0,NOT(ISNUMBER(E597)),AND(J597="Sim",L597="",M597=""),AND(ISNUMBER(E597),ISNUMBER(V597),N(V597)&gt;0,E597&lt;N(V597))),1,0))</f>
        <v>0</v>
      </c>
      <c r="Z597" s="96">
        <f>IF(AND(Q597=1,T597=1,X597=1,J597="Sim",OR(L597&lt;&gt;"",M597&lt;&gt;"")),1,0)</f>
        <v>0</v>
      </c>
      <c r="AA597" s="96">
        <f>IF(Q597=0,0,IF(AND(OR(r_ini="",AND(ISNUMBER(E597),E597&gt;=r_ini)),OR(r_fim="",AND(ISNUMBER(E597),E597&lt;=r_fim)),OR(r_un="",r_un="(Todas)",IF(N(U597)&gt;0,INDEX('MTRs'!$G$6:$G$505,U597),"")=r_un),OR(r_de="",r_de="(Todos)",D597=r_de)),1,0))</f>
        <v>0</v>
      </c>
      <c r="AB597" s="96" t="str">
        <f>IF(AA597=1,COUNTIF($AA$6:AA597,1),"")</f>
        <v/>
      </c>
    </row>
    <row r="598">
      <c r="A598" s="89" t="inlineStr">
        <is>
          <t>REC-000593</t>
        </is>
      </c>
      <c r="B598" s="94" t="str">
        <f>IF(T598=1,INDEX('ITENS_MTR'!$S$6:$S$1005,S598)&amp;"","")</f>
        <v/>
      </c>
      <c r="C598" s="91" t="n"/>
      <c r="D598" s="94" t="str">
        <f>IF(N(U598)&gt;0,INDEX('MTRs'!$I$6:$I$505,U598)&amp;"","")</f>
        <v/>
      </c>
      <c r="E598" s="92" t="n"/>
      <c r="F598" s="98" t="n"/>
      <c r="G598" s="91" t="n"/>
      <c r="H598" s="93" t="str">
        <f>IF(Q598=0,"",IF(NOT(ISNUMBER(F598)),"",IF(ISNUMBER(W598),F598*W598,"UNIDADE A CONFERIR")))</f>
        <v/>
      </c>
      <c r="I598" s="91" t="n"/>
      <c r="J598" s="91" t="n"/>
      <c r="K598" s="92" t="n"/>
      <c r="L598" s="91" t="n"/>
      <c r="M598" s="91" t="n"/>
      <c r="N598" s="91" t="n"/>
      <c r="O598" s="91" t="n"/>
      <c r="P598" s="94" t="str">
        <f>IF(Q598=0,"",IF(C598="","Item de resíduo não informado",IF(T598=0,"Item inexistente (referência inválida)",IF(NOT(ISNUMBER(F598)),"Quantidade não informada",IF(F598&lt;=0,"Quantidade não positiva",IF(G598="","Unidade não informada",IF(NOT(ISNUMBER(H598)),"Unidade a conferir",IF(NOT(ISNUMBER(E598)),"Data de recebimento não informada",IF(AND(ISNUMBER(V598),N(V598)&gt;0,E598&lt;N(V598)),"Data anterior à emissão do MTR",IF(AND(J598="Sim",L598="",M598=""),"Conferido sem evidência identificada",IF(J598&lt;&gt;"Sim","Aguardando conferência",IF(INDEX('ITENS_MTR'!$AM$6:$AM$1005,S598)=1,"Conferido (ver diferença no item)","Conferido"))))))))))))</f>
        <v/>
      </c>
      <c r="Q598" s="96">
        <f>IF(COUNTA(C598,E598:G598,I598:O598)&gt;0,1,0)</f>
        <v>0</v>
      </c>
      <c r="R598" s="96" t="str">
        <f>IF(C598="","",TRIM(LEFT(C598,FIND(" |",C598&amp;" |")-1)))</f>
        <v/>
      </c>
      <c r="S598" s="96" t="str">
        <f>IF(R598="","",IFERROR(MATCH(R598,'ITENS_MTR'!$A$6:$A$1005,0),""))</f>
        <v/>
      </c>
      <c r="T598" s="96">
        <f>IF(S598="",0,IF(INDEX('ITENS_MTR'!$R$6:$R$1005,S598)=1,1,0))</f>
        <v>0</v>
      </c>
      <c r="U598" s="96" t="str">
        <f>IF(T598=1,INDEX('ITENS_MTR'!$T$6:$T$1005,S598),"")</f>
        <v/>
      </c>
      <c r="V598" s="97" t="str">
        <f>IF(N(U598)&gt;0,INDEX('MTRs'!$E$6:$E$505,U598),"")</f>
        <v/>
      </c>
      <c r="W598" s="96" t="str">
        <f>IF(G598="","",IFERROR(IF(ISNUMBER(INDEX(cfg_fac,MATCH(G598,cfg_units,0))),IF(INDEX(cfg_fac,MATCH(G598,cfg_units,0))&gt;0,INDEX(cfg_fac,MATCH(G598,cfg_units,0)),""),""),""))</f>
        <v/>
      </c>
      <c r="X598" s="96">
        <f>IF(AND(ISNUMBER(F598),ISNUMBER(H598)),IF(H598&gt;0,1,0),0)</f>
        <v>0</v>
      </c>
      <c r="Y598" s="96">
        <f>IF(Q598=0,0,IF(OR(T598=0,X598=0,NOT(ISNUMBER(E598)),AND(J598="Sim",L598="",M598=""),AND(ISNUMBER(E598),ISNUMBER(V598),N(V598)&gt;0,E598&lt;N(V598))),1,0))</f>
        <v>0</v>
      </c>
      <c r="Z598" s="96">
        <f>IF(AND(Q598=1,T598=1,X598=1,J598="Sim",OR(L598&lt;&gt;"",M598&lt;&gt;"")),1,0)</f>
        <v>0</v>
      </c>
      <c r="AA598" s="96">
        <f>IF(Q598=0,0,IF(AND(OR(r_ini="",AND(ISNUMBER(E598),E598&gt;=r_ini)),OR(r_fim="",AND(ISNUMBER(E598),E598&lt;=r_fim)),OR(r_un="",r_un="(Todas)",IF(N(U598)&gt;0,INDEX('MTRs'!$G$6:$G$505,U598),"")=r_un),OR(r_de="",r_de="(Todos)",D598=r_de)),1,0))</f>
        <v>0</v>
      </c>
      <c r="AB598" s="96" t="str">
        <f>IF(AA598=1,COUNTIF($AA$6:AA598,1),"")</f>
        <v/>
      </c>
    </row>
    <row r="599">
      <c r="A599" s="89" t="inlineStr">
        <is>
          <t>REC-000594</t>
        </is>
      </c>
      <c r="B599" s="94" t="str">
        <f>IF(T599=1,INDEX('ITENS_MTR'!$S$6:$S$1005,S599)&amp;"","")</f>
        <v/>
      </c>
      <c r="C599" s="91" t="n"/>
      <c r="D599" s="94" t="str">
        <f>IF(N(U599)&gt;0,INDEX('MTRs'!$I$6:$I$505,U599)&amp;"","")</f>
        <v/>
      </c>
      <c r="E599" s="92" t="n"/>
      <c r="F599" s="98" t="n"/>
      <c r="G599" s="91" t="n"/>
      <c r="H599" s="93" t="str">
        <f>IF(Q599=0,"",IF(NOT(ISNUMBER(F599)),"",IF(ISNUMBER(W599),F599*W599,"UNIDADE A CONFERIR")))</f>
        <v/>
      </c>
      <c r="I599" s="91" t="n"/>
      <c r="J599" s="91" t="n"/>
      <c r="K599" s="92" t="n"/>
      <c r="L599" s="91" t="n"/>
      <c r="M599" s="91" t="n"/>
      <c r="N599" s="91" t="n"/>
      <c r="O599" s="91" t="n"/>
      <c r="P599" s="94" t="str">
        <f>IF(Q599=0,"",IF(C599="","Item de resíduo não informado",IF(T599=0,"Item inexistente (referência inválida)",IF(NOT(ISNUMBER(F599)),"Quantidade não informada",IF(F599&lt;=0,"Quantidade não positiva",IF(G599="","Unidade não informada",IF(NOT(ISNUMBER(H599)),"Unidade a conferir",IF(NOT(ISNUMBER(E599)),"Data de recebimento não informada",IF(AND(ISNUMBER(V599),N(V599)&gt;0,E599&lt;N(V599)),"Data anterior à emissão do MTR",IF(AND(J599="Sim",L599="",M599=""),"Conferido sem evidência identificada",IF(J599&lt;&gt;"Sim","Aguardando conferência",IF(INDEX('ITENS_MTR'!$AM$6:$AM$1005,S599)=1,"Conferido (ver diferença no item)","Conferido"))))))))))))</f>
        <v/>
      </c>
      <c r="Q599" s="96">
        <f>IF(COUNTA(C599,E599:G599,I599:O599)&gt;0,1,0)</f>
        <v>0</v>
      </c>
      <c r="R599" s="96" t="str">
        <f>IF(C599="","",TRIM(LEFT(C599,FIND(" |",C599&amp;" |")-1)))</f>
        <v/>
      </c>
      <c r="S599" s="96" t="str">
        <f>IF(R599="","",IFERROR(MATCH(R599,'ITENS_MTR'!$A$6:$A$1005,0),""))</f>
        <v/>
      </c>
      <c r="T599" s="96">
        <f>IF(S599="",0,IF(INDEX('ITENS_MTR'!$R$6:$R$1005,S599)=1,1,0))</f>
        <v>0</v>
      </c>
      <c r="U599" s="96" t="str">
        <f>IF(T599=1,INDEX('ITENS_MTR'!$T$6:$T$1005,S599),"")</f>
        <v/>
      </c>
      <c r="V599" s="97" t="str">
        <f>IF(N(U599)&gt;0,INDEX('MTRs'!$E$6:$E$505,U599),"")</f>
        <v/>
      </c>
      <c r="W599" s="96" t="str">
        <f>IF(G599="","",IFERROR(IF(ISNUMBER(INDEX(cfg_fac,MATCH(G599,cfg_units,0))),IF(INDEX(cfg_fac,MATCH(G599,cfg_units,0))&gt;0,INDEX(cfg_fac,MATCH(G599,cfg_units,0)),""),""),""))</f>
        <v/>
      </c>
      <c r="X599" s="96">
        <f>IF(AND(ISNUMBER(F599),ISNUMBER(H599)),IF(H599&gt;0,1,0),0)</f>
        <v>0</v>
      </c>
      <c r="Y599" s="96">
        <f>IF(Q599=0,0,IF(OR(T599=0,X599=0,NOT(ISNUMBER(E599)),AND(J599="Sim",L599="",M599=""),AND(ISNUMBER(E599),ISNUMBER(V599),N(V599)&gt;0,E599&lt;N(V599))),1,0))</f>
        <v>0</v>
      </c>
      <c r="Z599" s="96">
        <f>IF(AND(Q599=1,T599=1,X599=1,J599="Sim",OR(L599&lt;&gt;"",M599&lt;&gt;"")),1,0)</f>
        <v>0</v>
      </c>
      <c r="AA599" s="96">
        <f>IF(Q599=0,0,IF(AND(OR(r_ini="",AND(ISNUMBER(E599),E599&gt;=r_ini)),OR(r_fim="",AND(ISNUMBER(E599),E599&lt;=r_fim)),OR(r_un="",r_un="(Todas)",IF(N(U599)&gt;0,INDEX('MTRs'!$G$6:$G$505,U599),"")=r_un),OR(r_de="",r_de="(Todos)",D599=r_de)),1,0))</f>
        <v>0</v>
      </c>
      <c r="AB599" s="96" t="str">
        <f>IF(AA599=1,COUNTIF($AA$6:AA599,1),"")</f>
        <v/>
      </c>
    </row>
    <row r="600">
      <c r="A600" s="89" t="inlineStr">
        <is>
          <t>REC-000595</t>
        </is>
      </c>
      <c r="B600" s="94" t="str">
        <f>IF(T600=1,INDEX('ITENS_MTR'!$S$6:$S$1005,S600)&amp;"","")</f>
        <v/>
      </c>
      <c r="C600" s="91" t="n"/>
      <c r="D600" s="94" t="str">
        <f>IF(N(U600)&gt;0,INDEX('MTRs'!$I$6:$I$505,U600)&amp;"","")</f>
        <v/>
      </c>
      <c r="E600" s="92" t="n"/>
      <c r="F600" s="98" t="n"/>
      <c r="G600" s="91" t="n"/>
      <c r="H600" s="93" t="str">
        <f>IF(Q600=0,"",IF(NOT(ISNUMBER(F600)),"",IF(ISNUMBER(W600),F600*W600,"UNIDADE A CONFERIR")))</f>
        <v/>
      </c>
      <c r="I600" s="91" t="n"/>
      <c r="J600" s="91" t="n"/>
      <c r="K600" s="92" t="n"/>
      <c r="L600" s="91" t="n"/>
      <c r="M600" s="91" t="n"/>
      <c r="N600" s="91" t="n"/>
      <c r="O600" s="91" t="n"/>
      <c r="P600" s="94" t="str">
        <f>IF(Q600=0,"",IF(C600="","Item de resíduo não informado",IF(T600=0,"Item inexistente (referência inválida)",IF(NOT(ISNUMBER(F600)),"Quantidade não informada",IF(F600&lt;=0,"Quantidade não positiva",IF(G600="","Unidade não informada",IF(NOT(ISNUMBER(H600)),"Unidade a conferir",IF(NOT(ISNUMBER(E600)),"Data de recebimento não informada",IF(AND(ISNUMBER(V600),N(V600)&gt;0,E600&lt;N(V600)),"Data anterior à emissão do MTR",IF(AND(J600="Sim",L600="",M600=""),"Conferido sem evidência identificada",IF(J600&lt;&gt;"Sim","Aguardando conferência",IF(INDEX('ITENS_MTR'!$AM$6:$AM$1005,S600)=1,"Conferido (ver diferença no item)","Conferido"))))))))))))</f>
        <v/>
      </c>
      <c r="Q600" s="96">
        <f>IF(COUNTA(C600,E600:G600,I600:O600)&gt;0,1,0)</f>
        <v>0</v>
      </c>
      <c r="R600" s="96" t="str">
        <f>IF(C600="","",TRIM(LEFT(C600,FIND(" |",C600&amp;" |")-1)))</f>
        <v/>
      </c>
      <c r="S600" s="96" t="str">
        <f>IF(R600="","",IFERROR(MATCH(R600,'ITENS_MTR'!$A$6:$A$1005,0),""))</f>
        <v/>
      </c>
      <c r="T600" s="96">
        <f>IF(S600="",0,IF(INDEX('ITENS_MTR'!$R$6:$R$1005,S600)=1,1,0))</f>
        <v>0</v>
      </c>
      <c r="U600" s="96" t="str">
        <f>IF(T600=1,INDEX('ITENS_MTR'!$T$6:$T$1005,S600),"")</f>
        <v/>
      </c>
      <c r="V600" s="97" t="str">
        <f>IF(N(U600)&gt;0,INDEX('MTRs'!$E$6:$E$505,U600),"")</f>
        <v/>
      </c>
      <c r="W600" s="96" t="str">
        <f>IF(G600="","",IFERROR(IF(ISNUMBER(INDEX(cfg_fac,MATCH(G600,cfg_units,0))),IF(INDEX(cfg_fac,MATCH(G600,cfg_units,0))&gt;0,INDEX(cfg_fac,MATCH(G600,cfg_units,0)),""),""),""))</f>
        <v/>
      </c>
      <c r="X600" s="96">
        <f>IF(AND(ISNUMBER(F600),ISNUMBER(H600)),IF(H600&gt;0,1,0),0)</f>
        <v>0</v>
      </c>
      <c r="Y600" s="96">
        <f>IF(Q600=0,0,IF(OR(T600=0,X600=0,NOT(ISNUMBER(E600)),AND(J600="Sim",L600="",M600=""),AND(ISNUMBER(E600),ISNUMBER(V600),N(V600)&gt;0,E600&lt;N(V600))),1,0))</f>
        <v>0</v>
      </c>
      <c r="Z600" s="96">
        <f>IF(AND(Q600=1,T600=1,X600=1,J600="Sim",OR(L600&lt;&gt;"",M600&lt;&gt;"")),1,0)</f>
        <v>0</v>
      </c>
      <c r="AA600" s="96">
        <f>IF(Q600=0,0,IF(AND(OR(r_ini="",AND(ISNUMBER(E600),E600&gt;=r_ini)),OR(r_fim="",AND(ISNUMBER(E600),E600&lt;=r_fim)),OR(r_un="",r_un="(Todas)",IF(N(U600)&gt;0,INDEX('MTRs'!$G$6:$G$505,U600),"")=r_un),OR(r_de="",r_de="(Todos)",D600=r_de)),1,0))</f>
        <v>0</v>
      </c>
      <c r="AB600" s="96" t="str">
        <f>IF(AA600=1,COUNTIF($AA$6:AA600,1),"")</f>
        <v/>
      </c>
    </row>
    <row r="601">
      <c r="A601" s="89" t="inlineStr">
        <is>
          <t>REC-000596</t>
        </is>
      </c>
      <c r="B601" s="94" t="str">
        <f>IF(T601=1,INDEX('ITENS_MTR'!$S$6:$S$1005,S601)&amp;"","")</f>
        <v/>
      </c>
      <c r="C601" s="91" t="n"/>
      <c r="D601" s="94" t="str">
        <f>IF(N(U601)&gt;0,INDEX('MTRs'!$I$6:$I$505,U601)&amp;"","")</f>
        <v/>
      </c>
      <c r="E601" s="92" t="n"/>
      <c r="F601" s="98" t="n"/>
      <c r="G601" s="91" t="n"/>
      <c r="H601" s="93" t="str">
        <f>IF(Q601=0,"",IF(NOT(ISNUMBER(F601)),"",IF(ISNUMBER(W601),F601*W601,"UNIDADE A CONFERIR")))</f>
        <v/>
      </c>
      <c r="I601" s="91" t="n"/>
      <c r="J601" s="91" t="n"/>
      <c r="K601" s="92" t="n"/>
      <c r="L601" s="91" t="n"/>
      <c r="M601" s="91" t="n"/>
      <c r="N601" s="91" t="n"/>
      <c r="O601" s="91" t="n"/>
      <c r="P601" s="94" t="str">
        <f>IF(Q601=0,"",IF(C601="","Item de resíduo não informado",IF(T601=0,"Item inexistente (referência inválida)",IF(NOT(ISNUMBER(F601)),"Quantidade não informada",IF(F601&lt;=0,"Quantidade não positiva",IF(G601="","Unidade não informada",IF(NOT(ISNUMBER(H601)),"Unidade a conferir",IF(NOT(ISNUMBER(E601)),"Data de recebimento não informada",IF(AND(ISNUMBER(V601),N(V601)&gt;0,E601&lt;N(V601)),"Data anterior à emissão do MTR",IF(AND(J601="Sim",L601="",M601=""),"Conferido sem evidência identificada",IF(J601&lt;&gt;"Sim","Aguardando conferência",IF(INDEX('ITENS_MTR'!$AM$6:$AM$1005,S601)=1,"Conferido (ver diferença no item)","Conferido"))))))))))))</f>
        <v/>
      </c>
      <c r="Q601" s="96">
        <f>IF(COUNTA(C601,E601:G601,I601:O601)&gt;0,1,0)</f>
        <v>0</v>
      </c>
      <c r="R601" s="96" t="str">
        <f>IF(C601="","",TRIM(LEFT(C601,FIND(" |",C601&amp;" |")-1)))</f>
        <v/>
      </c>
      <c r="S601" s="96" t="str">
        <f>IF(R601="","",IFERROR(MATCH(R601,'ITENS_MTR'!$A$6:$A$1005,0),""))</f>
        <v/>
      </c>
      <c r="T601" s="96">
        <f>IF(S601="",0,IF(INDEX('ITENS_MTR'!$R$6:$R$1005,S601)=1,1,0))</f>
        <v>0</v>
      </c>
      <c r="U601" s="96" t="str">
        <f>IF(T601=1,INDEX('ITENS_MTR'!$T$6:$T$1005,S601),"")</f>
        <v/>
      </c>
      <c r="V601" s="97" t="str">
        <f>IF(N(U601)&gt;0,INDEX('MTRs'!$E$6:$E$505,U601),"")</f>
        <v/>
      </c>
      <c r="W601" s="96" t="str">
        <f>IF(G601="","",IFERROR(IF(ISNUMBER(INDEX(cfg_fac,MATCH(G601,cfg_units,0))),IF(INDEX(cfg_fac,MATCH(G601,cfg_units,0))&gt;0,INDEX(cfg_fac,MATCH(G601,cfg_units,0)),""),""),""))</f>
        <v/>
      </c>
      <c r="X601" s="96">
        <f>IF(AND(ISNUMBER(F601),ISNUMBER(H601)),IF(H601&gt;0,1,0),0)</f>
        <v>0</v>
      </c>
      <c r="Y601" s="96">
        <f>IF(Q601=0,0,IF(OR(T601=0,X601=0,NOT(ISNUMBER(E601)),AND(J601="Sim",L601="",M601=""),AND(ISNUMBER(E601),ISNUMBER(V601),N(V601)&gt;0,E601&lt;N(V601))),1,0))</f>
        <v>0</v>
      </c>
      <c r="Z601" s="96">
        <f>IF(AND(Q601=1,T601=1,X601=1,J601="Sim",OR(L601&lt;&gt;"",M601&lt;&gt;"")),1,0)</f>
        <v>0</v>
      </c>
      <c r="AA601" s="96">
        <f>IF(Q601=0,0,IF(AND(OR(r_ini="",AND(ISNUMBER(E601),E601&gt;=r_ini)),OR(r_fim="",AND(ISNUMBER(E601),E601&lt;=r_fim)),OR(r_un="",r_un="(Todas)",IF(N(U601)&gt;0,INDEX('MTRs'!$G$6:$G$505,U601),"")=r_un),OR(r_de="",r_de="(Todos)",D601=r_de)),1,0))</f>
        <v>0</v>
      </c>
      <c r="AB601" s="96" t="str">
        <f>IF(AA601=1,COUNTIF($AA$6:AA601,1),"")</f>
        <v/>
      </c>
    </row>
    <row r="602">
      <c r="A602" s="89" t="inlineStr">
        <is>
          <t>REC-000597</t>
        </is>
      </c>
      <c r="B602" s="94" t="str">
        <f>IF(T602=1,INDEX('ITENS_MTR'!$S$6:$S$1005,S602)&amp;"","")</f>
        <v/>
      </c>
      <c r="C602" s="91" t="n"/>
      <c r="D602" s="94" t="str">
        <f>IF(N(U602)&gt;0,INDEX('MTRs'!$I$6:$I$505,U602)&amp;"","")</f>
        <v/>
      </c>
      <c r="E602" s="92" t="n"/>
      <c r="F602" s="98" t="n"/>
      <c r="G602" s="91" t="n"/>
      <c r="H602" s="93" t="str">
        <f>IF(Q602=0,"",IF(NOT(ISNUMBER(F602)),"",IF(ISNUMBER(W602),F602*W602,"UNIDADE A CONFERIR")))</f>
        <v/>
      </c>
      <c r="I602" s="91" t="n"/>
      <c r="J602" s="91" t="n"/>
      <c r="K602" s="92" t="n"/>
      <c r="L602" s="91" t="n"/>
      <c r="M602" s="91" t="n"/>
      <c r="N602" s="91" t="n"/>
      <c r="O602" s="91" t="n"/>
      <c r="P602" s="94" t="str">
        <f>IF(Q602=0,"",IF(C602="","Item de resíduo não informado",IF(T602=0,"Item inexistente (referência inválida)",IF(NOT(ISNUMBER(F602)),"Quantidade não informada",IF(F602&lt;=0,"Quantidade não positiva",IF(G602="","Unidade não informada",IF(NOT(ISNUMBER(H602)),"Unidade a conferir",IF(NOT(ISNUMBER(E602)),"Data de recebimento não informada",IF(AND(ISNUMBER(V602),N(V602)&gt;0,E602&lt;N(V602)),"Data anterior à emissão do MTR",IF(AND(J602="Sim",L602="",M602=""),"Conferido sem evidência identificada",IF(J602&lt;&gt;"Sim","Aguardando conferência",IF(INDEX('ITENS_MTR'!$AM$6:$AM$1005,S602)=1,"Conferido (ver diferença no item)","Conferido"))))))))))))</f>
        <v/>
      </c>
      <c r="Q602" s="96">
        <f>IF(COUNTA(C602,E602:G602,I602:O602)&gt;0,1,0)</f>
        <v>0</v>
      </c>
      <c r="R602" s="96" t="str">
        <f>IF(C602="","",TRIM(LEFT(C602,FIND(" |",C602&amp;" |")-1)))</f>
        <v/>
      </c>
      <c r="S602" s="96" t="str">
        <f>IF(R602="","",IFERROR(MATCH(R602,'ITENS_MTR'!$A$6:$A$1005,0),""))</f>
        <v/>
      </c>
      <c r="T602" s="96">
        <f>IF(S602="",0,IF(INDEX('ITENS_MTR'!$R$6:$R$1005,S602)=1,1,0))</f>
        <v>0</v>
      </c>
      <c r="U602" s="96" t="str">
        <f>IF(T602=1,INDEX('ITENS_MTR'!$T$6:$T$1005,S602),"")</f>
        <v/>
      </c>
      <c r="V602" s="97" t="str">
        <f>IF(N(U602)&gt;0,INDEX('MTRs'!$E$6:$E$505,U602),"")</f>
        <v/>
      </c>
      <c r="W602" s="96" t="str">
        <f>IF(G602="","",IFERROR(IF(ISNUMBER(INDEX(cfg_fac,MATCH(G602,cfg_units,0))),IF(INDEX(cfg_fac,MATCH(G602,cfg_units,0))&gt;0,INDEX(cfg_fac,MATCH(G602,cfg_units,0)),""),""),""))</f>
        <v/>
      </c>
      <c r="X602" s="96">
        <f>IF(AND(ISNUMBER(F602),ISNUMBER(H602)),IF(H602&gt;0,1,0),0)</f>
        <v>0</v>
      </c>
      <c r="Y602" s="96">
        <f>IF(Q602=0,0,IF(OR(T602=0,X602=0,NOT(ISNUMBER(E602)),AND(J602="Sim",L602="",M602=""),AND(ISNUMBER(E602),ISNUMBER(V602),N(V602)&gt;0,E602&lt;N(V602))),1,0))</f>
        <v>0</v>
      </c>
      <c r="Z602" s="96">
        <f>IF(AND(Q602=1,T602=1,X602=1,J602="Sim",OR(L602&lt;&gt;"",M602&lt;&gt;"")),1,0)</f>
        <v>0</v>
      </c>
      <c r="AA602" s="96">
        <f>IF(Q602=0,0,IF(AND(OR(r_ini="",AND(ISNUMBER(E602),E602&gt;=r_ini)),OR(r_fim="",AND(ISNUMBER(E602),E602&lt;=r_fim)),OR(r_un="",r_un="(Todas)",IF(N(U602)&gt;0,INDEX('MTRs'!$G$6:$G$505,U602),"")=r_un),OR(r_de="",r_de="(Todos)",D602=r_de)),1,0))</f>
        <v>0</v>
      </c>
      <c r="AB602" s="96" t="str">
        <f>IF(AA602=1,COUNTIF($AA$6:AA602,1),"")</f>
        <v/>
      </c>
    </row>
    <row r="603">
      <c r="A603" s="89" t="inlineStr">
        <is>
          <t>REC-000598</t>
        </is>
      </c>
      <c r="B603" s="94" t="str">
        <f>IF(T603=1,INDEX('ITENS_MTR'!$S$6:$S$1005,S603)&amp;"","")</f>
        <v/>
      </c>
      <c r="C603" s="91" t="n"/>
      <c r="D603" s="94" t="str">
        <f>IF(N(U603)&gt;0,INDEX('MTRs'!$I$6:$I$505,U603)&amp;"","")</f>
        <v/>
      </c>
      <c r="E603" s="92" t="n"/>
      <c r="F603" s="98" t="n"/>
      <c r="G603" s="91" t="n"/>
      <c r="H603" s="93" t="str">
        <f>IF(Q603=0,"",IF(NOT(ISNUMBER(F603)),"",IF(ISNUMBER(W603),F603*W603,"UNIDADE A CONFERIR")))</f>
        <v/>
      </c>
      <c r="I603" s="91" t="n"/>
      <c r="J603" s="91" t="n"/>
      <c r="K603" s="92" t="n"/>
      <c r="L603" s="91" t="n"/>
      <c r="M603" s="91" t="n"/>
      <c r="N603" s="91" t="n"/>
      <c r="O603" s="91" t="n"/>
      <c r="P603" s="94" t="str">
        <f>IF(Q603=0,"",IF(C603="","Item de resíduo não informado",IF(T603=0,"Item inexistente (referência inválida)",IF(NOT(ISNUMBER(F603)),"Quantidade não informada",IF(F603&lt;=0,"Quantidade não positiva",IF(G603="","Unidade não informada",IF(NOT(ISNUMBER(H603)),"Unidade a conferir",IF(NOT(ISNUMBER(E603)),"Data de recebimento não informada",IF(AND(ISNUMBER(V603),N(V603)&gt;0,E603&lt;N(V603)),"Data anterior à emissão do MTR",IF(AND(J603="Sim",L603="",M603=""),"Conferido sem evidência identificada",IF(J603&lt;&gt;"Sim","Aguardando conferência",IF(INDEX('ITENS_MTR'!$AM$6:$AM$1005,S603)=1,"Conferido (ver diferença no item)","Conferido"))))))))))))</f>
        <v/>
      </c>
      <c r="Q603" s="96">
        <f>IF(COUNTA(C603,E603:G603,I603:O603)&gt;0,1,0)</f>
        <v>0</v>
      </c>
      <c r="R603" s="96" t="str">
        <f>IF(C603="","",TRIM(LEFT(C603,FIND(" |",C603&amp;" |")-1)))</f>
        <v/>
      </c>
      <c r="S603" s="96" t="str">
        <f>IF(R603="","",IFERROR(MATCH(R603,'ITENS_MTR'!$A$6:$A$1005,0),""))</f>
        <v/>
      </c>
      <c r="T603" s="96">
        <f>IF(S603="",0,IF(INDEX('ITENS_MTR'!$R$6:$R$1005,S603)=1,1,0))</f>
        <v>0</v>
      </c>
      <c r="U603" s="96" t="str">
        <f>IF(T603=1,INDEX('ITENS_MTR'!$T$6:$T$1005,S603),"")</f>
        <v/>
      </c>
      <c r="V603" s="97" t="str">
        <f>IF(N(U603)&gt;0,INDEX('MTRs'!$E$6:$E$505,U603),"")</f>
        <v/>
      </c>
      <c r="W603" s="96" t="str">
        <f>IF(G603="","",IFERROR(IF(ISNUMBER(INDEX(cfg_fac,MATCH(G603,cfg_units,0))),IF(INDEX(cfg_fac,MATCH(G603,cfg_units,0))&gt;0,INDEX(cfg_fac,MATCH(G603,cfg_units,0)),""),""),""))</f>
        <v/>
      </c>
      <c r="X603" s="96">
        <f>IF(AND(ISNUMBER(F603),ISNUMBER(H603)),IF(H603&gt;0,1,0),0)</f>
        <v>0</v>
      </c>
      <c r="Y603" s="96">
        <f>IF(Q603=0,0,IF(OR(T603=0,X603=0,NOT(ISNUMBER(E603)),AND(J603="Sim",L603="",M603=""),AND(ISNUMBER(E603),ISNUMBER(V603),N(V603)&gt;0,E603&lt;N(V603))),1,0))</f>
        <v>0</v>
      </c>
      <c r="Z603" s="96">
        <f>IF(AND(Q603=1,T603=1,X603=1,J603="Sim",OR(L603&lt;&gt;"",M603&lt;&gt;"")),1,0)</f>
        <v>0</v>
      </c>
      <c r="AA603" s="96">
        <f>IF(Q603=0,0,IF(AND(OR(r_ini="",AND(ISNUMBER(E603),E603&gt;=r_ini)),OR(r_fim="",AND(ISNUMBER(E603),E603&lt;=r_fim)),OR(r_un="",r_un="(Todas)",IF(N(U603)&gt;0,INDEX('MTRs'!$G$6:$G$505,U603),"")=r_un),OR(r_de="",r_de="(Todos)",D603=r_de)),1,0))</f>
        <v>0</v>
      </c>
      <c r="AB603" s="96" t="str">
        <f>IF(AA603=1,COUNTIF($AA$6:AA603,1),"")</f>
        <v/>
      </c>
    </row>
    <row r="604">
      <c r="A604" s="89" t="inlineStr">
        <is>
          <t>REC-000599</t>
        </is>
      </c>
      <c r="B604" s="94" t="str">
        <f>IF(T604=1,INDEX('ITENS_MTR'!$S$6:$S$1005,S604)&amp;"","")</f>
        <v/>
      </c>
      <c r="C604" s="91" t="n"/>
      <c r="D604" s="94" t="str">
        <f>IF(N(U604)&gt;0,INDEX('MTRs'!$I$6:$I$505,U604)&amp;"","")</f>
        <v/>
      </c>
      <c r="E604" s="92" t="n"/>
      <c r="F604" s="98" t="n"/>
      <c r="G604" s="91" t="n"/>
      <c r="H604" s="93" t="str">
        <f>IF(Q604=0,"",IF(NOT(ISNUMBER(F604)),"",IF(ISNUMBER(W604),F604*W604,"UNIDADE A CONFERIR")))</f>
        <v/>
      </c>
      <c r="I604" s="91" t="n"/>
      <c r="J604" s="91" t="n"/>
      <c r="K604" s="92" t="n"/>
      <c r="L604" s="91" t="n"/>
      <c r="M604" s="91" t="n"/>
      <c r="N604" s="91" t="n"/>
      <c r="O604" s="91" t="n"/>
      <c r="P604" s="94" t="str">
        <f>IF(Q604=0,"",IF(C604="","Item de resíduo não informado",IF(T604=0,"Item inexistente (referência inválida)",IF(NOT(ISNUMBER(F604)),"Quantidade não informada",IF(F604&lt;=0,"Quantidade não positiva",IF(G604="","Unidade não informada",IF(NOT(ISNUMBER(H604)),"Unidade a conferir",IF(NOT(ISNUMBER(E604)),"Data de recebimento não informada",IF(AND(ISNUMBER(V604),N(V604)&gt;0,E604&lt;N(V604)),"Data anterior à emissão do MTR",IF(AND(J604="Sim",L604="",M604=""),"Conferido sem evidência identificada",IF(J604&lt;&gt;"Sim","Aguardando conferência",IF(INDEX('ITENS_MTR'!$AM$6:$AM$1005,S604)=1,"Conferido (ver diferença no item)","Conferido"))))))))))))</f>
        <v/>
      </c>
      <c r="Q604" s="96">
        <f>IF(COUNTA(C604,E604:G604,I604:O604)&gt;0,1,0)</f>
        <v>0</v>
      </c>
      <c r="R604" s="96" t="str">
        <f>IF(C604="","",TRIM(LEFT(C604,FIND(" |",C604&amp;" |")-1)))</f>
        <v/>
      </c>
      <c r="S604" s="96" t="str">
        <f>IF(R604="","",IFERROR(MATCH(R604,'ITENS_MTR'!$A$6:$A$1005,0),""))</f>
        <v/>
      </c>
      <c r="T604" s="96">
        <f>IF(S604="",0,IF(INDEX('ITENS_MTR'!$R$6:$R$1005,S604)=1,1,0))</f>
        <v>0</v>
      </c>
      <c r="U604" s="96" t="str">
        <f>IF(T604=1,INDEX('ITENS_MTR'!$T$6:$T$1005,S604),"")</f>
        <v/>
      </c>
      <c r="V604" s="97" t="str">
        <f>IF(N(U604)&gt;0,INDEX('MTRs'!$E$6:$E$505,U604),"")</f>
        <v/>
      </c>
      <c r="W604" s="96" t="str">
        <f>IF(G604="","",IFERROR(IF(ISNUMBER(INDEX(cfg_fac,MATCH(G604,cfg_units,0))),IF(INDEX(cfg_fac,MATCH(G604,cfg_units,0))&gt;0,INDEX(cfg_fac,MATCH(G604,cfg_units,0)),""),""),""))</f>
        <v/>
      </c>
      <c r="X604" s="96">
        <f>IF(AND(ISNUMBER(F604),ISNUMBER(H604)),IF(H604&gt;0,1,0),0)</f>
        <v>0</v>
      </c>
      <c r="Y604" s="96">
        <f>IF(Q604=0,0,IF(OR(T604=0,X604=0,NOT(ISNUMBER(E604)),AND(J604="Sim",L604="",M604=""),AND(ISNUMBER(E604),ISNUMBER(V604),N(V604)&gt;0,E604&lt;N(V604))),1,0))</f>
        <v>0</v>
      </c>
      <c r="Z604" s="96">
        <f>IF(AND(Q604=1,T604=1,X604=1,J604="Sim",OR(L604&lt;&gt;"",M604&lt;&gt;"")),1,0)</f>
        <v>0</v>
      </c>
      <c r="AA604" s="96">
        <f>IF(Q604=0,0,IF(AND(OR(r_ini="",AND(ISNUMBER(E604),E604&gt;=r_ini)),OR(r_fim="",AND(ISNUMBER(E604),E604&lt;=r_fim)),OR(r_un="",r_un="(Todas)",IF(N(U604)&gt;0,INDEX('MTRs'!$G$6:$G$505,U604),"")=r_un),OR(r_de="",r_de="(Todos)",D604=r_de)),1,0))</f>
        <v>0</v>
      </c>
      <c r="AB604" s="96" t="str">
        <f>IF(AA604=1,COUNTIF($AA$6:AA604,1),"")</f>
        <v/>
      </c>
    </row>
    <row r="605">
      <c r="A605" s="89" t="inlineStr">
        <is>
          <t>REC-000600</t>
        </is>
      </c>
      <c r="B605" s="94" t="str">
        <f>IF(T605=1,INDEX('ITENS_MTR'!$S$6:$S$1005,S605)&amp;"","")</f>
        <v/>
      </c>
      <c r="C605" s="91" t="n"/>
      <c r="D605" s="94" t="str">
        <f>IF(N(U605)&gt;0,INDEX('MTRs'!$I$6:$I$505,U605)&amp;"","")</f>
        <v/>
      </c>
      <c r="E605" s="92" t="n"/>
      <c r="F605" s="98" t="n"/>
      <c r="G605" s="91" t="n"/>
      <c r="H605" s="93" t="str">
        <f>IF(Q605=0,"",IF(NOT(ISNUMBER(F605)),"",IF(ISNUMBER(W605),F605*W605,"UNIDADE A CONFERIR")))</f>
        <v/>
      </c>
      <c r="I605" s="91" t="n"/>
      <c r="J605" s="91" t="n"/>
      <c r="K605" s="92" t="n"/>
      <c r="L605" s="91" t="n"/>
      <c r="M605" s="91" t="n"/>
      <c r="N605" s="91" t="n"/>
      <c r="O605" s="91" t="n"/>
      <c r="P605" s="94" t="str">
        <f>IF(Q605=0,"",IF(C605="","Item de resíduo não informado",IF(T605=0,"Item inexistente (referência inválida)",IF(NOT(ISNUMBER(F605)),"Quantidade não informada",IF(F605&lt;=0,"Quantidade não positiva",IF(G605="","Unidade não informada",IF(NOT(ISNUMBER(H605)),"Unidade a conferir",IF(NOT(ISNUMBER(E605)),"Data de recebimento não informada",IF(AND(ISNUMBER(V605),N(V605)&gt;0,E605&lt;N(V605)),"Data anterior à emissão do MTR",IF(AND(J605="Sim",L605="",M605=""),"Conferido sem evidência identificada",IF(J605&lt;&gt;"Sim","Aguardando conferência",IF(INDEX('ITENS_MTR'!$AM$6:$AM$1005,S605)=1,"Conferido (ver diferença no item)","Conferido"))))))))))))</f>
        <v/>
      </c>
      <c r="Q605" s="96">
        <f>IF(COUNTA(C605,E605:G605,I605:O605)&gt;0,1,0)</f>
        <v>0</v>
      </c>
      <c r="R605" s="96" t="str">
        <f>IF(C605="","",TRIM(LEFT(C605,FIND(" |",C605&amp;" |")-1)))</f>
        <v/>
      </c>
      <c r="S605" s="96" t="str">
        <f>IF(R605="","",IFERROR(MATCH(R605,'ITENS_MTR'!$A$6:$A$1005,0),""))</f>
        <v/>
      </c>
      <c r="T605" s="96">
        <f>IF(S605="",0,IF(INDEX('ITENS_MTR'!$R$6:$R$1005,S605)=1,1,0))</f>
        <v>0</v>
      </c>
      <c r="U605" s="96" t="str">
        <f>IF(T605=1,INDEX('ITENS_MTR'!$T$6:$T$1005,S605),"")</f>
        <v/>
      </c>
      <c r="V605" s="97" t="str">
        <f>IF(N(U605)&gt;0,INDEX('MTRs'!$E$6:$E$505,U605),"")</f>
        <v/>
      </c>
      <c r="W605" s="96" t="str">
        <f>IF(G605="","",IFERROR(IF(ISNUMBER(INDEX(cfg_fac,MATCH(G605,cfg_units,0))),IF(INDEX(cfg_fac,MATCH(G605,cfg_units,0))&gt;0,INDEX(cfg_fac,MATCH(G605,cfg_units,0)),""),""),""))</f>
        <v/>
      </c>
      <c r="X605" s="96">
        <f>IF(AND(ISNUMBER(F605),ISNUMBER(H605)),IF(H605&gt;0,1,0),0)</f>
        <v>0</v>
      </c>
      <c r="Y605" s="96">
        <f>IF(Q605=0,0,IF(OR(T605=0,X605=0,NOT(ISNUMBER(E605)),AND(J605="Sim",L605="",M605=""),AND(ISNUMBER(E605),ISNUMBER(V605),N(V605)&gt;0,E605&lt;N(V605))),1,0))</f>
        <v>0</v>
      </c>
      <c r="Z605" s="96">
        <f>IF(AND(Q605=1,T605=1,X605=1,J605="Sim",OR(L605&lt;&gt;"",M605&lt;&gt;"")),1,0)</f>
        <v>0</v>
      </c>
      <c r="AA605" s="96">
        <f>IF(Q605=0,0,IF(AND(OR(r_ini="",AND(ISNUMBER(E605),E605&gt;=r_ini)),OR(r_fim="",AND(ISNUMBER(E605),E605&lt;=r_fim)),OR(r_un="",r_un="(Todas)",IF(N(U605)&gt;0,INDEX('MTRs'!$G$6:$G$505,U605),"")=r_un),OR(r_de="",r_de="(Todos)",D605=r_de)),1,0))</f>
        <v>0</v>
      </c>
      <c r="AB605" s="96" t="str">
        <f>IF(AA605=1,COUNTIF($AA$6:AA605,1),"")</f>
        <v/>
      </c>
    </row>
    <row r="606">
      <c r="A606" s="89" t="inlineStr">
        <is>
          <t>REC-000601</t>
        </is>
      </c>
      <c r="B606" s="94" t="str">
        <f>IF(T606=1,INDEX('ITENS_MTR'!$S$6:$S$1005,S606)&amp;"","")</f>
        <v/>
      </c>
      <c r="C606" s="91" t="n"/>
      <c r="D606" s="94" t="str">
        <f>IF(N(U606)&gt;0,INDEX('MTRs'!$I$6:$I$505,U606)&amp;"","")</f>
        <v/>
      </c>
      <c r="E606" s="92" t="n"/>
      <c r="F606" s="98" t="n"/>
      <c r="G606" s="91" t="n"/>
      <c r="H606" s="93" t="str">
        <f>IF(Q606=0,"",IF(NOT(ISNUMBER(F606)),"",IF(ISNUMBER(W606),F606*W606,"UNIDADE A CONFERIR")))</f>
        <v/>
      </c>
      <c r="I606" s="91" t="n"/>
      <c r="J606" s="91" t="n"/>
      <c r="K606" s="92" t="n"/>
      <c r="L606" s="91" t="n"/>
      <c r="M606" s="91" t="n"/>
      <c r="N606" s="91" t="n"/>
      <c r="O606" s="91" t="n"/>
      <c r="P606" s="94" t="str">
        <f>IF(Q606=0,"",IF(C606="","Item de resíduo não informado",IF(T606=0,"Item inexistente (referência inválida)",IF(NOT(ISNUMBER(F606)),"Quantidade não informada",IF(F606&lt;=0,"Quantidade não positiva",IF(G606="","Unidade não informada",IF(NOT(ISNUMBER(H606)),"Unidade a conferir",IF(NOT(ISNUMBER(E606)),"Data de recebimento não informada",IF(AND(ISNUMBER(V606),N(V606)&gt;0,E606&lt;N(V606)),"Data anterior à emissão do MTR",IF(AND(J606="Sim",L606="",M606=""),"Conferido sem evidência identificada",IF(J606&lt;&gt;"Sim","Aguardando conferência",IF(INDEX('ITENS_MTR'!$AM$6:$AM$1005,S606)=1,"Conferido (ver diferença no item)","Conferido"))))))))))))</f>
        <v/>
      </c>
      <c r="Q606" s="96">
        <f>IF(COUNTA(C606,E606:G606,I606:O606)&gt;0,1,0)</f>
        <v>0</v>
      </c>
      <c r="R606" s="96" t="str">
        <f>IF(C606="","",TRIM(LEFT(C606,FIND(" |",C606&amp;" |")-1)))</f>
        <v/>
      </c>
      <c r="S606" s="96" t="str">
        <f>IF(R606="","",IFERROR(MATCH(R606,'ITENS_MTR'!$A$6:$A$1005,0),""))</f>
        <v/>
      </c>
      <c r="T606" s="96">
        <f>IF(S606="",0,IF(INDEX('ITENS_MTR'!$R$6:$R$1005,S606)=1,1,0))</f>
        <v>0</v>
      </c>
      <c r="U606" s="96" t="str">
        <f>IF(T606=1,INDEX('ITENS_MTR'!$T$6:$T$1005,S606),"")</f>
        <v/>
      </c>
      <c r="V606" s="97" t="str">
        <f>IF(N(U606)&gt;0,INDEX('MTRs'!$E$6:$E$505,U606),"")</f>
        <v/>
      </c>
      <c r="W606" s="96" t="str">
        <f>IF(G606="","",IFERROR(IF(ISNUMBER(INDEX(cfg_fac,MATCH(G606,cfg_units,0))),IF(INDEX(cfg_fac,MATCH(G606,cfg_units,0))&gt;0,INDEX(cfg_fac,MATCH(G606,cfg_units,0)),""),""),""))</f>
        <v/>
      </c>
      <c r="X606" s="96">
        <f>IF(AND(ISNUMBER(F606),ISNUMBER(H606)),IF(H606&gt;0,1,0),0)</f>
        <v>0</v>
      </c>
      <c r="Y606" s="96">
        <f>IF(Q606=0,0,IF(OR(T606=0,X606=0,NOT(ISNUMBER(E606)),AND(J606="Sim",L606="",M606=""),AND(ISNUMBER(E606),ISNUMBER(V606),N(V606)&gt;0,E606&lt;N(V606))),1,0))</f>
        <v>0</v>
      </c>
      <c r="Z606" s="96">
        <f>IF(AND(Q606=1,T606=1,X606=1,J606="Sim",OR(L606&lt;&gt;"",M606&lt;&gt;"")),1,0)</f>
        <v>0</v>
      </c>
      <c r="AA606" s="96">
        <f>IF(Q606=0,0,IF(AND(OR(r_ini="",AND(ISNUMBER(E606),E606&gt;=r_ini)),OR(r_fim="",AND(ISNUMBER(E606),E606&lt;=r_fim)),OR(r_un="",r_un="(Todas)",IF(N(U606)&gt;0,INDEX('MTRs'!$G$6:$G$505,U606),"")=r_un),OR(r_de="",r_de="(Todos)",D606=r_de)),1,0))</f>
        <v>0</v>
      </c>
      <c r="AB606" s="96" t="str">
        <f>IF(AA606=1,COUNTIF($AA$6:AA606,1),"")</f>
        <v/>
      </c>
    </row>
    <row r="607">
      <c r="A607" s="89" t="inlineStr">
        <is>
          <t>REC-000602</t>
        </is>
      </c>
      <c r="B607" s="94" t="str">
        <f>IF(T607=1,INDEX('ITENS_MTR'!$S$6:$S$1005,S607)&amp;"","")</f>
        <v/>
      </c>
      <c r="C607" s="91" t="n"/>
      <c r="D607" s="94" t="str">
        <f>IF(N(U607)&gt;0,INDEX('MTRs'!$I$6:$I$505,U607)&amp;"","")</f>
        <v/>
      </c>
      <c r="E607" s="92" t="n"/>
      <c r="F607" s="98" t="n"/>
      <c r="G607" s="91" t="n"/>
      <c r="H607" s="93" t="str">
        <f>IF(Q607=0,"",IF(NOT(ISNUMBER(F607)),"",IF(ISNUMBER(W607),F607*W607,"UNIDADE A CONFERIR")))</f>
        <v/>
      </c>
      <c r="I607" s="91" t="n"/>
      <c r="J607" s="91" t="n"/>
      <c r="K607" s="92" t="n"/>
      <c r="L607" s="91" t="n"/>
      <c r="M607" s="91" t="n"/>
      <c r="N607" s="91" t="n"/>
      <c r="O607" s="91" t="n"/>
      <c r="P607" s="94" t="str">
        <f>IF(Q607=0,"",IF(C607="","Item de resíduo não informado",IF(T607=0,"Item inexistente (referência inválida)",IF(NOT(ISNUMBER(F607)),"Quantidade não informada",IF(F607&lt;=0,"Quantidade não positiva",IF(G607="","Unidade não informada",IF(NOT(ISNUMBER(H607)),"Unidade a conferir",IF(NOT(ISNUMBER(E607)),"Data de recebimento não informada",IF(AND(ISNUMBER(V607),N(V607)&gt;0,E607&lt;N(V607)),"Data anterior à emissão do MTR",IF(AND(J607="Sim",L607="",M607=""),"Conferido sem evidência identificada",IF(J607&lt;&gt;"Sim","Aguardando conferência",IF(INDEX('ITENS_MTR'!$AM$6:$AM$1005,S607)=1,"Conferido (ver diferença no item)","Conferido"))))))))))))</f>
        <v/>
      </c>
      <c r="Q607" s="96">
        <f>IF(COUNTA(C607,E607:G607,I607:O607)&gt;0,1,0)</f>
        <v>0</v>
      </c>
      <c r="R607" s="96" t="str">
        <f>IF(C607="","",TRIM(LEFT(C607,FIND(" |",C607&amp;" |")-1)))</f>
        <v/>
      </c>
      <c r="S607" s="96" t="str">
        <f>IF(R607="","",IFERROR(MATCH(R607,'ITENS_MTR'!$A$6:$A$1005,0),""))</f>
        <v/>
      </c>
      <c r="T607" s="96">
        <f>IF(S607="",0,IF(INDEX('ITENS_MTR'!$R$6:$R$1005,S607)=1,1,0))</f>
        <v>0</v>
      </c>
      <c r="U607" s="96" t="str">
        <f>IF(T607=1,INDEX('ITENS_MTR'!$T$6:$T$1005,S607),"")</f>
        <v/>
      </c>
      <c r="V607" s="97" t="str">
        <f>IF(N(U607)&gt;0,INDEX('MTRs'!$E$6:$E$505,U607),"")</f>
        <v/>
      </c>
      <c r="W607" s="96" t="str">
        <f>IF(G607="","",IFERROR(IF(ISNUMBER(INDEX(cfg_fac,MATCH(G607,cfg_units,0))),IF(INDEX(cfg_fac,MATCH(G607,cfg_units,0))&gt;0,INDEX(cfg_fac,MATCH(G607,cfg_units,0)),""),""),""))</f>
        <v/>
      </c>
      <c r="X607" s="96">
        <f>IF(AND(ISNUMBER(F607),ISNUMBER(H607)),IF(H607&gt;0,1,0),0)</f>
        <v>0</v>
      </c>
      <c r="Y607" s="96">
        <f>IF(Q607=0,0,IF(OR(T607=0,X607=0,NOT(ISNUMBER(E607)),AND(J607="Sim",L607="",M607=""),AND(ISNUMBER(E607),ISNUMBER(V607),N(V607)&gt;0,E607&lt;N(V607))),1,0))</f>
        <v>0</v>
      </c>
      <c r="Z607" s="96">
        <f>IF(AND(Q607=1,T607=1,X607=1,J607="Sim",OR(L607&lt;&gt;"",M607&lt;&gt;"")),1,0)</f>
        <v>0</v>
      </c>
      <c r="AA607" s="96">
        <f>IF(Q607=0,0,IF(AND(OR(r_ini="",AND(ISNUMBER(E607),E607&gt;=r_ini)),OR(r_fim="",AND(ISNUMBER(E607),E607&lt;=r_fim)),OR(r_un="",r_un="(Todas)",IF(N(U607)&gt;0,INDEX('MTRs'!$G$6:$G$505,U607),"")=r_un),OR(r_de="",r_de="(Todos)",D607=r_de)),1,0))</f>
        <v>0</v>
      </c>
      <c r="AB607" s="96" t="str">
        <f>IF(AA607=1,COUNTIF($AA$6:AA607,1),"")</f>
        <v/>
      </c>
    </row>
    <row r="608">
      <c r="A608" s="89" t="inlineStr">
        <is>
          <t>REC-000603</t>
        </is>
      </c>
      <c r="B608" s="94" t="str">
        <f>IF(T608=1,INDEX('ITENS_MTR'!$S$6:$S$1005,S608)&amp;"","")</f>
        <v/>
      </c>
      <c r="C608" s="91" t="n"/>
      <c r="D608" s="94" t="str">
        <f>IF(N(U608)&gt;0,INDEX('MTRs'!$I$6:$I$505,U608)&amp;"","")</f>
        <v/>
      </c>
      <c r="E608" s="92" t="n"/>
      <c r="F608" s="98" t="n"/>
      <c r="G608" s="91" t="n"/>
      <c r="H608" s="93" t="str">
        <f>IF(Q608=0,"",IF(NOT(ISNUMBER(F608)),"",IF(ISNUMBER(W608),F608*W608,"UNIDADE A CONFERIR")))</f>
        <v/>
      </c>
      <c r="I608" s="91" t="n"/>
      <c r="J608" s="91" t="n"/>
      <c r="K608" s="92" t="n"/>
      <c r="L608" s="91" t="n"/>
      <c r="M608" s="91" t="n"/>
      <c r="N608" s="91" t="n"/>
      <c r="O608" s="91" t="n"/>
      <c r="P608" s="94" t="str">
        <f>IF(Q608=0,"",IF(C608="","Item de resíduo não informado",IF(T608=0,"Item inexistente (referência inválida)",IF(NOT(ISNUMBER(F608)),"Quantidade não informada",IF(F608&lt;=0,"Quantidade não positiva",IF(G608="","Unidade não informada",IF(NOT(ISNUMBER(H608)),"Unidade a conferir",IF(NOT(ISNUMBER(E608)),"Data de recebimento não informada",IF(AND(ISNUMBER(V608),N(V608)&gt;0,E608&lt;N(V608)),"Data anterior à emissão do MTR",IF(AND(J608="Sim",L608="",M608=""),"Conferido sem evidência identificada",IF(J608&lt;&gt;"Sim","Aguardando conferência",IF(INDEX('ITENS_MTR'!$AM$6:$AM$1005,S608)=1,"Conferido (ver diferença no item)","Conferido"))))))))))))</f>
        <v/>
      </c>
      <c r="Q608" s="96">
        <f>IF(COUNTA(C608,E608:G608,I608:O608)&gt;0,1,0)</f>
        <v>0</v>
      </c>
      <c r="R608" s="96" t="str">
        <f>IF(C608="","",TRIM(LEFT(C608,FIND(" |",C608&amp;" |")-1)))</f>
        <v/>
      </c>
      <c r="S608" s="96" t="str">
        <f>IF(R608="","",IFERROR(MATCH(R608,'ITENS_MTR'!$A$6:$A$1005,0),""))</f>
        <v/>
      </c>
      <c r="T608" s="96">
        <f>IF(S608="",0,IF(INDEX('ITENS_MTR'!$R$6:$R$1005,S608)=1,1,0))</f>
        <v>0</v>
      </c>
      <c r="U608" s="96" t="str">
        <f>IF(T608=1,INDEX('ITENS_MTR'!$T$6:$T$1005,S608),"")</f>
        <v/>
      </c>
      <c r="V608" s="97" t="str">
        <f>IF(N(U608)&gt;0,INDEX('MTRs'!$E$6:$E$505,U608),"")</f>
        <v/>
      </c>
      <c r="W608" s="96" t="str">
        <f>IF(G608="","",IFERROR(IF(ISNUMBER(INDEX(cfg_fac,MATCH(G608,cfg_units,0))),IF(INDEX(cfg_fac,MATCH(G608,cfg_units,0))&gt;0,INDEX(cfg_fac,MATCH(G608,cfg_units,0)),""),""),""))</f>
        <v/>
      </c>
      <c r="X608" s="96">
        <f>IF(AND(ISNUMBER(F608),ISNUMBER(H608)),IF(H608&gt;0,1,0),0)</f>
        <v>0</v>
      </c>
      <c r="Y608" s="96">
        <f>IF(Q608=0,0,IF(OR(T608=0,X608=0,NOT(ISNUMBER(E608)),AND(J608="Sim",L608="",M608=""),AND(ISNUMBER(E608),ISNUMBER(V608),N(V608)&gt;0,E608&lt;N(V608))),1,0))</f>
        <v>0</v>
      </c>
      <c r="Z608" s="96">
        <f>IF(AND(Q608=1,T608=1,X608=1,J608="Sim",OR(L608&lt;&gt;"",M608&lt;&gt;"")),1,0)</f>
        <v>0</v>
      </c>
      <c r="AA608" s="96">
        <f>IF(Q608=0,0,IF(AND(OR(r_ini="",AND(ISNUMBER(E608),E608&gt;=r_ini)),OR(r_fim="",AND(ISNUMBER(E608),E608&lt;=r_fim)),OR(r_un="",r_un="(Todas)",IF(N(U608)&gt;0,INDEX('MTRs'!$G$6:$G$505,U608),"")=r_un),OR(r_de="",r_de="(Todos)",D608=r_de)),1,0))</f>
        <v>0</v>
      </c>
      <c r="AB608" s="96" t="str">
        <f>IF(AA608=1,COUNTIF($AA$6:AA608,1),"")</f>
        <v/>
      </c>
    </row>
    <row r="609">
      <c r="A609" s="89" t="inlineStr">
        <is>
          <t>REC-000604</t>
        </is>
      </c>
      <c r="B609" s="94" t="str">
        <f>IF(T609=1,INDEX('ITENS_MTR'!$S$6:$S$1005,S609)&amp;"","")</f>
        <v/>
      </c>
      <c r="C609" s="91" t="n"/>
      <c r="D609" s="94" t="str">
        <f>IF(N(U609)&gt;0,INDEX('MTRs'!$I$6:$I$505,U609)&amp;"","")</f>
        <v/>
      </c>
      <c r="E609" s="92" t="n"/>
      <c r="F609" s="98" t="n"/>
      <c r="G609" s="91" t="n"/>
      <c r="H609" s="93" t="str">
        <f>IF(Q609=0,"",IF(NOT(ISNUMBER(F609)),"",IF(ISNUMBER(W609),F609*W609,"UNIDADE A CONFERIR")))</f>
        <v/>
      </c>
      <c r="I609" s="91" t="n"/>
      <c r="J609" s="91" t="n"/>
      <c r="K609" s="92" t="n"/>
      <c r="L609" s="91" t="n"/>
      <c r="M609" s="91" t="n"/>
      <c r="N609" s="91" t="n"/>
      <c r="O609" s="91" t="n"/>
      <c r="P609" s="94" t="str">
        <f>IF(Q609=0,"",IF(C609="","Item de resíduo não informado",IF(T609=0,"Item inexistente (referência inválida)",IF(NOT(ISNUMBER(F609)),"Quantidade não informada",IF(F609&lt;=0,"Quantidade não positiva",IF(G609="","Unidade não informada",IF(NOT(ISNUMBER(H609)),"Unidade a conferir",IF(NOT(ISNUMBER(E609)),"Data de recebimento não informada",IF(AND(ISNUMBER(V609),N(V609)&gt;0,E609&lt;N(V609)),"Data anterior à emissão do MTR",IF(AND(J609="Sim",L609="",M609=""),"Conferido sem evidência identificada",IF(J609&lt;&gt;"Sim","Aguardando conferência",IF(INDEX('ITENS_MTR'!$AM$6:$AM$1005,S609)=1,"Conferido (ver diferença no item)","Conferido"))))))))))))</f>
        <v/>
      </c>
      <c r="Q609" s="96">
        <f>IF(COUNTA(C609,E609:G609,I609:O609)&gt;0,1,0)</f>
        <v>0</v>
      </c>
      <c r="R609" s="96" t="str">
        <f>IF(C609="","",TRIM(LEFT(C609,FIND(" |",C609&amp;" |")-1)))</f>
        <v/>
      </c>
      <c r="S609" s="96" t="str">
        <f>IF(R609="","",IFERROR(MATCH(R609,'ITENS_MTR'!$A$6:$A$1005,0),""))</f>
        <v/>
      </c>
      <c r="T609" s="96">
        <f>IF(S609="",0,IF(INDEX('ITENS_MTR'!$R$6:$R$1005,S609)=1,1,0))</f>
        <v>0</v>
      </c>
      <c r="U609" s="96" t="str">
        <f>IF(T609=1,INDEX('ITENS_MTR'!$T$6:$T$1005,S609),"")</f>
        <v/>
      </c>
      <c r="V609" s="97" t="str">
        <f>IF(N(U609)&gt;0,INDEX('MTRs'!$E$6:$E$505,U609),"")</f>
        <v/>
      </c>
      <c r="W609" s="96" t="str">
        <f>IF(G609="","",IFERROR(IF(ISNUMBER(INDEX(cfg_fac,MATCH(G609,cfg_units,0))),IF(INDEX(cfg_fac,MATCH(G609,cfg_units,0))&gt;0,INDEX(cfg_fac,MATCH(G609,cfg_units,0)),""),""),""))</f>
        <v/>
      </c>
      <c r="X609" s="96">
        <f>IF(AND(ISNUMBER(F609),ISNUMBER(H609)),IF(H609&gt;0,1,0),0)</f>
        <v>0</v>
      </c>
      <c r="Y609" s="96">
        <f>IF(Q609=0,0,IF(OR(T609=0,X609=0,NOT(ISNUMBER(E609)),AND(J609="Sim",L609="",M609=""),AND(ISNUMBER(E609),ISNUMBER(V609),N(V609)&gt;0,E609&lt;N(V609))),1,0))</f>
        <v>0</v>
      </c>
      <c r="Z609" s="96">
        <f>IF(AND(Q609=1,T609=1,X609=1,J609="Sim",OR(L609&lt;&gt;"",M609&lt;&gt;"")),1,0)</f>
        <v>0</v>
      </c>
      <c r="AA609" s="96">
        <f>IF(Q609=0,0,IF(AND(OR(r_ini="",AND(ISNUMBER(E609),E609&gt;=r_ini)),OR(r_fim="",AND(ISNUMBER(E609),E609&lt;=r_fim)),OR(r_un="",r_un="(Todas)",IF(N(U609)&gt;0,INDEX('MTRs'!$G$6:$G$505,U609),"")=r_un),OR(r_de="",r_de="(Todos)",D609=r_de)),1,0))</f>
        <v>0</v>
      </c>
      <c r="AB609" s="96" t="str">
        <f>IF(AA609=1,COUNTIF($AA$6:AA609,1),"")</f>
        <v/>
      </c>
    </row>
    <row r="610">
      <c r="A610" s="89" t="inlineStr">
        <is>
          <t>REC-000605</t>
        </is>
      </c>
      <c r="B610" s="94" t="str">
        <f>IF(T610=1,INDEX('ITENS_MTR'!$S$6:$S$1005,S610)&amp;"","")</f>
        <v/>
      </c>
      <c r="C610" s="91" t="n"/>
      <c r="D610" s="94" t="str">
        <f>IF(N(U610)&gt;0,INDEX('MTRs'!$I$6:$I$505,U610)&amp;"","")</f>
        <v/>
      </c>
      <c r="E610" s="92" t="n"/>
      <c r="F610" s="98" t="n"/>
      <c r="G610" s="91" t="n"/>
      <c r="H610" s="93" t="str">
        <f>IF(Q610=0,"",IF(NOT(ISNUMBER(F610)),"",IF(ISNUMBER(W610),F610*W610,"UNIDADE A CONFERIR")))</f>
        <v/>
      </c>
      <c r="I610" s="91" t="n"/>
      <c r="J610" s="91" t="n"/>
      <c r="K610" s="92" t="n"/>
      <c r="L610" s="91" t="n"/>
      <c r="M610" s="91" t="n"/>
      <c r="N610" s="91" t="n"/>
      <c r="O610" s="91" t="n"/>
      <c r="P610" s="94" t="str">
        <f>IF(Q610=0,"",IF(C610="","Item de resíduo não informado",IF(T610=0,"Item inexistente (referência inválida)",IF(NOT(ISNUMBER(F610)),"Quantidade não informada",IF(F610&lt;=0,"Quantidade não positiva",IF(G610="","Unidade não informada",IF(NOT(ISNUMBER(H610)),"Unidade a conferir",IF(NOT(ISNUMBER(E610)),"Data de recebimento não informada",IF(AND(ISNUMBER(V610),N(V610)&gt;0,E610&lt;N(V610)),"Data anterior à emissão do MTR",IF(AND(J610="Sim",L610="",M610=""),"Conferido sem evidência identificada",IF(J610&lt;&gt;"Sim","Aguardando conferência",IF(INDEX('ITENS_MTR'!$AM$6:$AM$1005,S610)=1,"Conferido (ver diferença no item)","Conferido"))))))))))))</f>
        <v/>
      </c>
      <c r="Q610" s="96">
        <f>IF(COUNTA(C610,E610:G610,I610:O610)&gt;0,1,0)</f>
        <v>0</v>
      </c>
      <c r="R610" s="96" t="str">
        <f>IF(C610="","",TRIM(LEFT(C610,FIND(" |",C610&amp;" |")-1)))</f>
        <v/>
      </c>
      <c r="S610" s="96" t="str">
        <f>IF(R610="","",IFERROR(MATCH(R610,'ITENS_MTR'!$A$6:$A$1005,0),""))</f>
        <v/>
      </c>
      <c r="T610" s="96">
        <f>IF(S610="",0,IF(INDEX('ITENS_MTR'!$R$6:$R$1005,S610)=1,1,0))</f>
        <v>0</v>
      </c>
      <c r="U610" s="96" t="str">
        <f>IF(T610=1,INDEX('ITENS_MTR'!$T$6:$T$1005,S610),"")</f>
        <v/>
      </c>
      <c r="V610" s="97" t="str">
        <f>IF(N(U610)&gt;0,INDEX('MTRs'!$E$6:$E$505,U610),"")</f>
        <v/>
      </c>
      <c r="W610" s="96" t="str">
        <f>IF(G610="","",IFERROR(IF(ISNUMBER(INDEX(cfg_fac,MATCH(G610,cfg_units,0))),IF(INDEX(cfg_fac,MATCH(G610,cfg_units,0))&gt;0,INDEX(cfg_fac,MATCH(G610,cfg_units,0)),""),""),""))</f>
        <v/>
      </c>
      <c r="X610" s="96">
        <f>IF(AND(ISNUMBER(F610),ISNUMBER(H610)),IF(H610&gt;0,1,0),0)</f>
        <v>0</v>
      </c>
      <c r="Y610" s="96">
        <f>IF(Q610=0,0,IF(OR(T610=0,X610=0,NOT(ISNUMBER(E610)),AND(J610="Sim",L610="",M610=""),AND(ISNUMBER(E610),ISNUMBER(V610),N(V610)&gt;0,E610&lt;N(V610))),1,0))</f>
        <v>0</v>
      </c>
      <c r="Z610" s="96">
        <f>IF(AND(Q610=1,T610=1,X610=1,J610="Sim",OR(L610&lt;&gt;"",M610&lt;&gt;"")),1,0)</f>
        <v>0</v>
      </c>
      <c r="AA610" s="96">
        <f>IF(Q610=0,0,IF(AND(OR(r_ini="",AND(ISNUMBER(E610),E610&gt;=r_ini)),OR(r_fim="",AND(ISNUMBER(E610),E610&lt;=r_fim)),OR(r_un="",r_un="(Todas)",IF(N(U610)&gt;0,INDEX('MTRs'!$G$6:$G$505,U610),"")=r_un),OR(r_de="",r_de="(Todos)",D610=r_de)),1,0))</f>
        <v>0</v>
      </c>
      <c r="AB610" s="96" t="str">
        <f>IF(AA610=1,COUNTIF($AA$6:AA610,1),"")</f>
        <v/>
      </c>
    </row>
    <row r="611">
      <c r="A611" s="89" t="inlineStr">
        <is>
          <t>REC-000606</t>
        </is>
      </c>
      <c r="B611" s="94" t="str">
        <f>IF(T611=1,INDEX('ITENS_MTR'!$S$6:$S$1005,S611)&amp;"","")</f>
        <v/>
      </c>
      <c r="C611" s="91" t="n"/>
      <c r="D611" s="94" t="str">
        <f>IF(N(U611)&gt;0,INDEX('MTRs'!$I$6:$I$505,U611)&amp;"","")</f>
        <v/>
      </c>
      <c r="E611" s="92" t="n"/>
      <c r="F611" s="98" t="n"/>
      <c r="G611" s="91" t="n"/>
      <c r="H611" s="93" t="str">
        <f>IF(Q611=0,"",IF(NOT(ISNUMBER(F611)),"",IF(ISNUMBER(W611),F611*W611,"UNIDADE A CONFERIR")))</f>
        <v/>
      </c>
      <c r="I611" s="91" t="n"/>
      <c r="J611" s="91" t="n"/>
      <c r="K611" s="92" t="n"/>
      <c r="L611" s="91" t="n"/>
      <c r="M611" s="91" t="n"/>
      <c r="N611" s="91" t="n"/>
      <c r="O611" s="91" t="n"/>
      <c r="P611" s="94" t="str">
        <f>IF(Q611=0,"",IF(C611="","Item de resíduo não informado",IF(T611=0,"Item inexistente (referência inválida)",IF(NOT(ISNUMBER(F611)),"Quantidade não informada",IF(F611&lt;=0,"Quantidade não positiva",IF(G611="","Unidade não informada",IF(NOT(ISNUMBER(H611)),"Unidade a conferir",IF(NOT(ISNUMBER(E611)),"Data de recebimento não informada",IF(AND(ISNUMBER(V611),N(V611)&gt;0,E611&lt;N(V611)),"Data anterior à emissão do MTR",IF(AND(J611="Sim",L611="",M611=""),"Conferido sem evidência identificada",IF(J611&lt;&gt;"Sim","Aguardando conferência",IF(INDEX('ITENS_MTR'!$AM$6:$AM$1005,S611)=1,"Conferido (ver diferença no item)","Conferido"))))))))))))</f>
        <v/>
      </c>
      <c r="Q611" s="96">
        <f>IF(COUNTA(C611,E611:G611,I611:O611)&gt;0,1,0)</f>
        <v>0</v>
      </c>
      <c r="R611" s="96" t="str">
        <f>IF(C611="","",TRIM(LEFT(C611,FIND(" |",C611&amp;" |")-1)))</f>
        <v/>
      </c>
      <c r="S611" s="96" t="str">
        <f>IF(R611="","",IFERROR(MATCH(R611,'ITENS_MTR'!$A$6:$A$1005,0),""))</f>
        <v/>
      </c>
      <c r="T611" s="96">
        <f>IF(S611="",0,IF(INDEX('ITENS_MTR'!$R$6:$R$1005,S611)=1,1,0))</f>
        <v>0</v>
      </c>
      <c r="U611" s="96" t="str">
        <f>IF(T611=1,INDEX('ITENS_MTR'!$T$6:$T$1005,S611),"")</f>
        <v/>
      </c>
      <c r="V611" s="97" t="str">
        <f>IF(N(U611)&gt;0,INDEX('MTRs'!$E$6:$E$505,U611),"")</f>
        <v/>
      </c>
      <c r="W611" s="96" t="str">
        <f>IF(G611="","",IFERROR(IF(ISNUMBER(INDEX(cfg_fac,MATCH(G611,cfg_units,0))),IF(INDEX(cfg_fac,MATCH(G611,cfg_units,0))&gt;0,INDEX(cfg_fac,MATCH(G611,cfg_units,0)),""),""),""))</f>
        <v/>
      </c>
      <c r="X611" s="96">
        <f>IF(AND(ISNUMBER(F611),ISNUMBER(H611)),IF(H611&gt;0,1,0),0)</f>
        <v>0</v>
      </c>
      <c r="Y611" s="96">
        <f>IF(Q611=0,0,IF(OR(T611=0,X611=0,NOT(ISNUMBER(E611)),AND(J611="Sim",L611="",M611=""),AND(ISNUMBER(E611),ISNUMBER(V611),N(V611)&gt;0,E611&lt;N(V611))),1,0))</f>
        <v>0</v>
      </c>
      <c r="Z611" s="96">
        <f>IF(AND(Q611=1,T611=1,X611=1,J611="Sim",OR(L611&lt;&gt;"",M611&lt;&gt;"")),1,0)</f>
        <v>0</v>
      </c>
      <c r="AA611" s="96">
        <f>IF(Q611=0,0,IF(AND(OR(r_ini="",AND(ISNUMBER(E611),E611&gt;=r_ini)),OR(r_fim="",AND(ISNUMBER(E611),E611&lt;=r_fim)),OR(r_un="",r_un="(Todas)",IF(N(U611)&gt;0,INDEX('MTRs'!$G$6:$G$505,U611),"")=r_un),OR(r_de="",r_de="(Todos)",D611=r_de)),1,0))</f>
        <v>0</v>
      </c>
      <c r="AB611" s="96" t="str">
        <f>IF(AA611=1,COUNTIF($AA$6:AA611,1),"")</f>
        <v/>
      </c>
    </row>
    <row r="612">
      <c r="A612" s="89" t="inlineStr">
        <is>
          <t>REC-000607</t>
        </is>
      </c>
      <c r="B612" s="94" t="str">
        <f>IF(T612=1,INDEX('ITENS_MTR'!$S$6:$S$1005,S612)&amp;"","")</f>
        <v/>
      </c>
      <c r="C612" s="91" t="n"/>
      <c r="D612" s="94" t="str">
        <f>IF(N(U612)&gt;0,INDEX('MTRs'!$I$6:$I$505,U612)&amp;"","")</f>
        <v/>
      </c>
      <c r="E612" s="92" t="n"/>
      <c r="F612" s="98" t="n"/>
      <c r="G612" s="91" t="n"/>
      <c r="H612" s="93" t="str">
        <f>IF(Q612=0,"",IF(NOT(ISNUMBER(F612)),"",IF(ISNUMBER(W612),F612*W612,"UNIDADE A CONFERIR")))</f>
        <v/>
      </c>
      <c r="I612" s="91" t="n"/>
      <c r="J612" s="91" t="n"/>
      <c r="K612" s="92" t="n"/>
      <c r="L612" s="91" t="n"/>
      <c r="M612" s="91" t="n"/>
      <c r="N612" s="91" t="n"/>
      <c r="O612" s="91" t="n"/>
      <c r="P612" s="94" t="str">
        <f>IF(Q612=0,"",IF(C612="","Item de resíduo não informado",IF(T612=0,"Item inexistente (referência inválida)",IF(NOT(ISNUMBER(F612)),"Quantidade não informada",IF(F612&lt;=0,"Quantidade não positiva",IF(G612="","Unidade não informada",IF(NOT(ISNUMBER(H612)),"Unidade a conferir",IF(NOT(ISNUMBER(E612)),"Data de recebimento não informada",IF(AND(ISNUMBER(V612),N(V612)&gt;0,E612&lt;N(V612)),"Data anterior à emissão do MTR",IF(AND(J612="Sim",L612="",M612=""),"Conferido sem evidência identificada",IF(J612&lt;&gt;"Sim","Aguardando conferência",IF(INDEX('ITENS_MTR'!$AM$6:$AM$1005,S612)=1,"Conferido (ver diferença no item)","Conferido"))))))))))))</f>
        <v/>
      </c>
      <c r="Q612" s="96">
        <f>IF(COUNTA(C612,E612:G612,I612:O612)&gt;0,1,0)</f>
        <v>0</v>
      </c>
      <c r="R612" s="96" t="str">
        <f>IF(C612="","",TRIM(LEFT(C612,FIND(" |",C612&amp;" |")-1)))</f>
        <v/>
      </c>
      <c r="S612" s="96" t="str">
        <f>IF(R612="","",IFERROR(MATCH(R612,'ITENS_MTR'!$A$6:$A$1005,0),""))</f>
        <v/>
      </c>
      <c r="T612" s="96">
        <f>IF(S612="",0,IF(INDEX('ITENS_MTR'!$R$6:$R$1005,S612)=1,1,0))</f>
        <v>0</v>
      </c>
      <c r="U612" s="96" t="str">
        <f>IF(T612=1,INDEX('ITENS_MTR'!$T$6:$T$1005,S612),"")</f>
        <v/>
      </c>
      <c r="V612" s="97" t="str">
        <f>IF(N(U612)&gt;0,INDEX('MTRs'!$E$6:$E$505,U612),"")</f>
        <v/>
      </c>
      <c r="W612" s="96" t="str">
        <f>IF(G612="","",IFERROR(IF(ISNUMBER(INDEX(cfg_fac,MATCH(G612,cfg_units,0))),IF(INDEX(cfg_fac,MATCH(G612,cfg_units,0))&gt;0,INDEX(cfg_fac,MATCH(G612,cfg_units,0)),""),""),""))</f>
        <v/>
      </c>
      <c r="X612" s="96">
        <f>IF(AND(ISNUMBER(F612),ISNUMBER(H612)),IF(H612&gt;0,1,0),0)</f>
        <v>0</v>
      </c>
      <c r="Y612" s="96">
        <f>IF(Q612=0,0,IF(OR(T612=0,X612=0,NOT(ISNUMBER(E612)),AND(J612="Sim",L612="",M612=""),AND(ISNUMBER(E612),ISNUMBER(V612),N(V612)&gt;0,E612&lt;N(V612))),1,0))</f>
        <v>0</v>
      </c>
      <c r="Z612" s="96">
        <f>IF(AND(Q612=1,T612=1,X612=1,J612="Sim",OR(L612&lt;&gt;"",M612&lt;&gt;"")),1,0)</f>
        <v>0</v>
      </c>
      <c r="AA612" s="96">
        <f>IF(Q612=0,0,IF(AND(OR(r_ini="",AND(ISNUMBER(E612),E612&gt;=r_ini)),OR(r_fim="",AND(ISNUMBER(E612),E612&lt;=r_fim)),OR(r_un="",r_un="(Todas)",IF(N(U612)&gt;0,INDEX('MTRs'!$G$6:$G$505,U612),"")=r_un),OR(r_de="",r_de="(Todos)",D612=r_de)),1,0))</f>
        <v>0</v>
      </c>
      <c r="AB612" s="96" t="str">
        <f>IF(AA612=1,COUNTIF($AA$6:AA612,1),"")</f>
        <v/>
      </c>
    </row>
    <row r="613">
      <c r="A613" s="89" t="inlineStr">
        <is>
          <t>REC-000608</t>
        </is>
      </c>
      <c r="B613" s="94" t="str">
        <f>IF(T613=1,INDEX('ITENS_MTR'!$S$6:$S$1005,S613)&amp;"","")</f>
        <v/>
      </c>
      <c r="C613" s="91" t="n"/>
      <c r="D613" s="94" t="str">
        <f>IF(N(U613)&gt;0,INDEX('MTRs'!$I$6:$I$505,U613)&amp;"","")</f>
        <v/>
      </c>
      <c r="E613" s="92" t="n"/>
      <c r="F613" s="98" t="n"/>
      <c r="G613" s="91" t="n"/>
      <c r="H613" s="93" t="str">
        <f>IF(Q613=0,"",IF(NOT(ISNUMBER(F613)),"",IF(ISNUMBER(W613),F613*W613,"UNIDADE A CONFERIR")))</f>
        <v/>
      </c>
      <c r="I613" s="91" t="n"/>
      <c r="J613" s="91" t="n"/>
      <c r="K613" s="92" t="n"/>
      <c r="L613" s="91" t="n"/>
      <c r="M613" s="91" t="n"/>
      <c r="N613" s="91" t="n"/>
      <c r="O613" s="91" t="n"/>
      <c r="P613" s="94" t="str">
        <f>IF(Q613=0,"",IF(C613="","Item de resíduo não informado",IF(T613=0,"Item inexistente (referência inválida)",IF(NOT(ISNUMBER(F613)),"Quantidade não informada",IF(F613&lt;=0,"Quantidade não positiva",IF(G613="","Unidade não informada",IF(NOT(ISNUMBER(H613)),"Unidade a conferir",IF(NOT(ISNUMBER(E613)),"Data de recebimento não informada",IF(AND(ISNUMBER(V613),N(V613)&gt;0,E613&lt;N(V613)),"Data anterior à emissão do MTR",IF(AND(J613="Sim",L613="",M613=""),"Conferido sem evidência identificada",IF(J613&lt;&gt;"Sim","Aguardando conferência",IF(INDEX('ITENS_MTR'!$AM$6:$AM$1005,S613)=1,"Conferido (ver diferença no item)","Conferido"))))))))))))</f>
        <v/>
      </c>
      <c r="Q613" s="96">
        <f>IF(COUNTA(C613,E613:G613,I613:O613)&gt;0,1,0)</f>
        <v>0</v>
      </c>
      <c r="R613" s="96" t="str">
        <f>IF(C613="","",TRIM(LEFT(C613,FIND(" |",C613&amp;" |")-1)))</f>
        <v/>
      </c>
      <c r="S613" s="96" t="str">
        <f>IF(R613="","",IFERROR(MATCH(R613,'ITENS_MTR'!$A$6:$A$1005,0),""))</f>
        <v/>
      </c>
      <c r="T613" s="96">
        <f>IF(S613="",0,IF(INDEX('ITENS_MTR'!$R$6:$R$1005,S613)=1,1,0))</f>
        <v>0</v>
      </c>
      <c r="U613" s="96" t="str">
        <f>IF(T613=1,INDEX('ITENS_MTR'!$T$6:$T$1005,S613),"")</f>
        <v/>
      </c>
      <c r="V613" s="97" t="str">
        <f>IF(N(U613)&gt;0,INDEX('MTRs'!$E$6:$E$505,U613),"")</f>
        <v/>
      </c>
      <c r="W613" s="96" t="str">
        <f>IF(G613="","",IFERROR(IF(ISNUMBER(INDEX(cfg_fac,MATCH(G613,cfg_units,0))),IF(INDEX(cfg_fac,MATCH(G613,cfg_units,0))&gt;0,INDEX(cfg_fac,MATCH(G613,cfg_units,0)),""),""),""))</f>
        <v/>
      </c>
      <c r="X613" s="96">
        <f>IF(AND(ISNUMBER(F613),ISNUMBER(H613)),IF(H613&gt;0,1,0),0)</f>
        <v>0</v>
      </c>
      <c r="Y613" s="96">
        <f>IF(Q613=0,0,IF(OR(T613=0,X613=0,NOT(ISNUMBER(E613)),AND(J613="Sim",L613="",M613=""),AND(ISNUMBER(E613),ISNUMBER(V613),N(V613)&gt;0,E613&lt;N(V613))),1,0))</f>
        <v>0</v>
      </c>
      <c r="Z613" s="96">
        <f>IF(AND(Q613=1,T613=1,X613=1,J613="Sim",OR(L613&lt;&gt;"",M613&lt;&gt;"")),1,0)</f>
        <v>0</v>
      </c>
      <c r="AA613" s="96">
        <f>IF(Q613=0,0,IF(AND(OR(r_ini="",AND(ISNUMBER(E613),E613&gt;=r_ini)),OR(r_fim="",AND(ISNUMBER(E613),E613&lt;=r_fim)),OR(r_un="",r_un="(Todas)",IF(N(U613)&gt;0,INDEX('MTRs'!$G$6:$G$505,U613),"")=r_un),OR(r_de="",r_de="(Todos)",D613=r_de)),1,0))</f>
        <v>0</v>
      </c>
      <c r="AB613" s="96" t="str">
        <f>IF(AA613=1,COUNTIF($AA$6:AA613,1),"")</f>
        <v/>
      </c>
    </row>
    <row r="614">
      <c r="A614" s="89" t="inlineStr">
        <is>
          <t>REC-000609</t>
        </is>
      </c>
      <c r="B614" s="94" t="str">
        <f>IF(T614=1,INDEX('ITENS_MTR'!$S$6:$S$1005,S614)&amp;"","")</f>
        <v/>
      </c>
      <c r="C614" s="91" t="n"/>
      <c r="D614" s="94" t="str">
        <f>IF(N(U614)&gt;0,INDEX('MTRs'!$I$6:$I$505,U614)&amp;"","")</f>
        <v/>
      </c>
      <c r="E614" s="92" t="n"/>
      <c r="F614" s="98" t="n"/>
      <c r="G614" s="91" t="n"/>
      <c r="H614" s="93" t="str">
        <f>IF(Q614=0,"",IF(NOT(ISNUMBER(F614)),"",IF(ISNUMBER(W614),F614*W614,"UNIDADE A CONFERIR")))</f>
        <v/>
      </c>
      <c r="I614" s="91" t="n"/>
      <c r="J614" s="91" t="n"/>
      <c r="K614" s="92" t="n"/>
      <c r="L614" s="91" t="n"/>
      <c r="M614" s="91" t="n"/>
      <c r="N614" s="91" t="n"/>
      <c r="O614" s="91" t="n"/>
      <c r="P614" s="94" t="str">
        <f>IF(Q614=0,"",IF(C614="","Item de resíduo não informado",IF(T614=0,"Item inexistente (referência inválida)",IF(NOT(ISNUMBER(F614)),"Quantidade não informada",IF(F614&lt;=0,"Quantidade não positiva",IF(G614="","Unidade não informada",IF(NOT(ISNUMBER(H614)),"Unidade a conferir",IF(NOT(ISNUMBER(E614)),"Data de recebimento não informada",IF(AND(ISNUMBER(V614),N(V614)&gt;0,E614&lt;N(V614)),"Data anterior à emissão do MTR",IF(AND(J614="Sim",L614="",M614=""),"Conferido sem evidência identificada",IF(J614&lt;&gt;"Sim","Aguardando conferência",IF(INDEX('ITENS_MTR'!$AM$6:$AM$1005,S614)=1,"Conferido (ver diferença no item)","Conferido"))))))))))))</f>
        <v/>
      </c>
      <c r="Q614" s="96">
        <f>IF(COUNTA(C614,E614:G614,I614:O614)&gt;0,1,0)</f>
        <v>0</v>
      </c>
      <c r="R614" s="96" t="str">
        <f>IF(C614="","",TRIM(LEFT(C614,FIND(" |",C614&amp;" |")-1)))</f>
        <v/>
      </c>
      <c r="S614" s="96" t="str">
        <f>IF(R614="","",IFERROR(MATCH(R614,'ITENS_MTR'!$A$6:$A$1005,0),""))</f>
        <v/>
      </c>
      <c r="T614" s="96">
        <f>IF(S614="",0,IF(INDEX('ITENS_MTR'!$R$6:$R$1005,S614)=1,1,0))</f>
        <v>0</v>
      </c>
      <c r="U614" s="96" t="str">
        <f>IF(T614=1,INDEX('ITENS_MTR'!$T$6:$T$1005,S614),"")</f>
        <v/>
      </c>
      <c r="V614" s="97" t="str">
        <f>IF(N(U614)&gt;0,INDEX('MTRs'!$E$6:$E$505,U614),"")</f>
        <v/>
      </c>
      <c r="W614" s="96" t="str">
        <f>IF(G614="","",IFERROR(IF(ISNUMBER(INDEX(cfg_fac,MATCH(G614,cfg_units,0))),IF(INDEX(cfg_fac,MATCH(G614,cfg_units,0))&gt;0,INDEX(cfg_fac,MATCH(G614,cfg_units,0)),""),""),""))</f>
        <v/>
      </c>
      <c r="X614" s="96">
        <f>IF(AND(ISNUMBER(F614),ISNUMBER(H614)),IF(H614&gt;0,1,0),0)</f>
        <v>0</v>
      </c>
      <c r="Y614" s="96">
        <f>IF(Q614=0,0,IF(OR(T614=0,X614=0,NOT(ISNUMBER(E614)),AND(J614="Sim",L614="",M614=""),AND(ISNUMBER(E614),ISNUMBER(V614),N(V614)&gt;0,E614&lt;N(V614))),1,0))</f>
        <v>0</v>
      </c>
      <c r="Z614" s="96">
        <f>IF(AND(Q614=1,T614=1,X614=1,J614="Sim",OR(L614&lt;&gt;"",M614&lt;&gt;"")),1,0)</f>
        <v>0</v>
      </c>
      <c r="AA614" s="96">
        <f>IF(Q614=0,0,IF(AND(OR(r_ini="",AND(ISNUMBER(E614),E614&gt;=r_ini)),OR(r_fim="",AND(ISNUMBER(E614),E614&lt;=r_fim)),OR(r_un="",r_un="(Todas)",IF(N(U614)&gt;0,INDEX('MTRs'!$G$6:$G$505,U614),"")=r_un),OR(r_de="",r_de="(Todos)",D614=r_de)),1,0))</f>
        <v>0</v>
      </c>
      <c r="AB614" s="96" t="str">
        <f>IF(AA614=1,COUNTIF($AA$6:AA614,1),"")</f>
        <v/>
      </c>
    </row>
    <row r="615">
      <c r="A615" s="89" t="inlineStr">
        <is>
          <t>REC-000610</t>
        </is>
      </c>
      <c r="B615" s="94" t="str">
        <f>IF(T615=1,INDEX('ITENS_MTR'!$S$6:$S$1005,S615)&amp;"","")</f>
        <v/>
      </c>
      <c r="C615" s="91" t="n"/>
      <c r="D615" s="94" t="str">
        <f>IF(N(U615)&gt;0,INDEX('MTRs'!$I$6:$I$505,U615)&amp;"","")</f>
        <v/>
      </c>
      <c r="E615" s="92" t="n"/>
      <c r="F615" s="98" t="n"/>
      <c r="G615" s="91" t="n"/>
      <c r="H615" s="93" t="str">
        <f>IF(Q615=0,"",IF(NOT(ISNUMBER(F615)),"",IF(ISNUMBER(W615),F615*W615,"UNIDADE A CONFERIR")))</f>
        <v/>
      </c>
      <c r="I615" s="91" t="n"/>
      <c r="J615" s="91" t="n"/>
      <c r="K615" s="92" t="n"/>
      <c r="L615" s="91" t="n"/>
      <c r="M615" s="91" t="n"/>
      <c r="N615" s="91" t="n"/>
      <c r="O615" s="91" t="n"/>
      <c r="P615" s="94" t="str">
        <f>IF(Q615=0,"",IF(C615="","Item de resíduo não informado",IF(T615=0,"Item inexistente (referência inválida)",IF(NOT(ISNUMBER(F615)),"Quantidade não informada",IF(F615&lt;=0,"Quantidade não positiva",IF(G615="","Unidade não informada",IF(NOT(ISNUMBER(H615)),"Unidade a conferir",IF(NOT(ISNUMBER(E615)),"Data de recebimento não informada",IF(AND(ISNUMBER(V615),N(V615)&gt;0,E615&lt;N(V615)),"Data anterior à emissão do MTR",IF(AND(J615="Sim",L615="",M615=""),"Conferido sem evidência identificada",IF(J615&lt;&gt;"Sim","Aguardando conferência",IF(INDEX('ITENS_MTR'!$AM$6:$AM$1005,S615)=1,"Conferido (ver diferença no item)","Conferido"))))))))))))</f>
        <v/>
      </c>
      <c r="Q615" s="96">
        <f>IF(COUNTA(C615,E615:G615,I615:O615)&gt;0,1,0)</f>
        <v>0</v>
      </c>
      <c r="R615" s="96" t="str">
        <f>IF(C615="","",TRIM(LEFT(C615,FIND(" |",C615&amp;" |")-1)))</f>
        <v/>
      </c>
      <c r="S615" s="96" t="str">
        <f>IF(R615="","",IFERROR(MATCH(R615,'ITENS_MTR'!$A$6:$A$1005,0),""))</f>
        <v/>
      </c>
      <c r="T615" s="96">
        <f>IF(S615="",0,IF(INDEX('ITENS_MTR'!$R$6:$R$1005,S615)=1,1,0))</f>
        <v>0</v>
      </c>
      <c r="U615" s="96" t="str">
        <f>IF(T615=1,INDEX('ITENS_MTR'!$T$6:$T$1005,S615),"")</f>
        <v/>
      </c>
      <c r="V615" s="97" t="str">
        <f>IF(N(U615)&gt;0,INDEX('MTRs'!$E$6:$E$505,U615),"")</f>
        <v/>
      </c>
      <c r="W615" s="96" t="str">
        <f>IF(G615="","",IFERROR(IF(ISNUMBER(INDEX(cfg_fac,MATCH(G615,cfg_units,0))),IF(INDEX(cfg_fac,MATCH(G615,cfg_units,0))&gt;0,INDEX(cfg_fac,MATCH(G615,cfg_units,0)),""),""),""))</f>
        <v/>
      </c>
      <c r="X615" s="96">
        <f>IF(AND(ISNUMBER(F615),ISNUMBER(H615)),IF(H615&gt;0,1,0),0)</f>
        <v>0</v>
      </c>
      <c r="Y615" s="96">
        <f>IF(Q615=0,0,IF(OR(T615=0,X615=0,NOT(ISNUMBER(E615)),AND(J615="Sim",L615="",M615=""),AND(ISNUMBER(E615),ISNUMBER(V615),N(V615)&gt;0,E615&lt;N(V615))),1,0))</f>
        <v>0</v>
      </c>
      <c r="Z615" s="96">
        <f>IF(AND(Q615=1,T615=1,X615=1,J615="Sim",OR(L615&lt;&gt;"",M615&lt;&gt;"")),1,0)</f>
        <v>0</v>
      </c>
      <c r="AA615" s="96">
        <f>IF(Q615=0,0,IF(AND(OR(r_ini="",AND(ISNUMBER(E615),E615&gt;=r_ini)),OR(r_fim="",AND(ISNUMBER(E615),E615&lt;=r_fim)),OR(r_un="",r_un="(Todas)",IF(N(U615)&gt;0,INDEX('MTRs'!$G$6:$G$505,U615),"")=r_un),OR(r_de="",r_de="(Todos)",D615=r_de)),1,0))</f>
        <v>0</v>
      </c>
      <c r="AB615" s="96" t="str">
        <f>IF(AA615=1,COUNTIF($AA$6:AA615,1),"")</f>
        <v/>
      </c>
    </row>
    <row r="616">
      <c r="A616" s="89" t="inlineStr">
        <is>
          <t>REC-000611</t>
        </is>
      </c>
      <c r="B616" s="94" t="str">
        <f>IF(T616=1,INDEX('ITENS_MTR'!$S$6:$S$1005,S616)&amp;"","")</f>
        <v/>
      </c>
      <c r="C616" s="91" t="n"/>
      <c r="D616" s="94" t="str">
        <f>IF(N(U616)&gt;0,INDEX('MTRs'!$I$6:$I$505,U616)&amp;"","")</f>
        <v/>
      </c>
      <c r="E616" s="92" t="n"/>
      <c r="F616" s="98" t="n"/>
      <c r="G616" s="91" t="n"/>
      <c r="H616" s="93" t="str">
        <f>IF(Q616=0,"",IF(NOT(ISNUMBER(F616)),"",IF(ISNUMBER(W616),F616*W616,"UNIDADE A CONFERIR")))</f>
        <v/>
      </c>
      <c r="I616" s="91" t="n"/>
      <c r="J616" s="91" t="n"/>
      <c r="K616" s="92" t="n"/>
      <c r="L616" s="91" t="n"/>
      <c r="M616" s="91" t="n"/>
      <c r="N616" s="91" t="n"/>
      <c r="O616" s="91" t="n"/>
      <c r="P616" s="94" t="str">
        <f>IF(Q616=0,"",IF(C616="","Item de resíduo não informado",IF(T616=0,"Item inexistente (referência inválida)",IF(NOT(ISNUMBER(F616)),"Quantidade não informada",IF(F616&lt;=0,"Quantidade não positiva",IF(G616="","Unidade não informada",IF(NOT(ISNUMBER(H616)),"Unidade a conferir",IF(NOT(ISNUMBER(E616)),"Data de recebimento não informada",IF(AND(ISNUMBER(V616),N(V616)&gt;0,E616&lt;N(V616)),"Data anterior à emissão do MTR",IF(AND(J616="Sim",L616="",M616=""),"Conferido sem evidência identificada",IF(J616&lt;&gt;"Sim","Aguardando conferência",IF(INDEX('ITENS_MTR'!$AM$6:$AM$1005,S616)=1,"Conferido (ver diferença no item)","Conferido"))))))))))))</f>
        <v/>
      </c>
      <c r="Q616" s="96">
        <f>IF(COUNTA(C616,E616:G616,I616:O616)&gt;0,1,0)</f>
        <v>0</v>
      </c>
      <c r="R616" s="96" t="str">
        <f>IF(C616="","",TRIM(LEFT(C616,FIND(" |",C616&amp;" |")-1)))</f>
        <v/>
      </c>
      <c r="S616" s="96" t="str">
        <f>IF(R616="","",IFERROR(MATCH(R616,'ITENS_MTR'!$A$6:$A$1005,0),""))</f>
        <v/>
      </c>
      <c r="T616" s="96">
        <f>IF(S616="",0,IF(INDEX('ITENS_MTR'!$R$6:$R$1005,S616)=1,1,0))</f>
        <v>0</v>
      </c>
      <c r="U616" s="96" t="str">
        <f>IF(T616=1,INDEX('ITENS_MTR'!$T$6:$T$1005,S616),"")</f>
        <v/>
      </c>
      <c r="V616" s="97" t="str">
        <f>IF(N(U616)&gt;0,INDEX('MTRs'!$E$6:$E$505,U616),"")</f>
        <v/>
      </c>
      <c r="W616" s="96" t="str">
        <f>IF(G616="","",IFERROR(IF(ISNUMBER(INDEX(cfg_fac,MATCH(G616,cfg_units,0))),IF(INDEX(cfg_fac,MATCH(G616,cfg_units,0))&gt;0,INDEX(cfg_fac,MATCH(G616,cfg_units,0)),""),""),""))</f>
        <v/>
      </c>
      <c r="X616" s="96">
        <f>IF(AND(ISNUMBER(F616),ISNUMBER(H616)),IF(H616&gt;0,1,0),0)</f>
        <v>0</v>
      </c>
      <c r="Y616" s="96">
        <f>IF(Q616=0,0,IF(OR(T616=0,X616=0,NOT(ISNUMBER(E616)),AND(J616="Sim",L616="",M616=""),AND(ISNUMBER(E616),ISNUMBER(V616),N(V616)&gt;0,E616&lt;N(V616))),1,0))</f>
        <v>0</v>
      </c>
      <c r="Z616" s="96">
        <f>IF(AND(Q616=1,T616=1,X616=1,J616="Sim",OR(L616&lt;&gt;"",M616&lt;&gt;"")),1,0)</f>
        <v>0</v>
      </c>
      <c r="AA616" s="96">
        <f>IF(Q616=0,0,IF(AND(OR(r_ini="",AND(ISNUMBER(E616),E616&gt;=r_ini)),OR(r_fim="",AND(ISNUMBER(E616),E616&lt;=r_fim)),OR(r_un="",r_un="(Todas)",IF(N(U616)&gt;0,INDEX('MTRs'!$G$6:$G$505,U616),"")=r_un),OR(r_de="",r_de="(Todos)",D616=r_de)),1,0))</f>
        <v>0</v>
      </c>
      <c r="AB616" s="96" t="str">
        <f>IF(AA616=1,COUNTIF($AA$6:AA616,1),"")</f>
        <v/>
      </c>
    </row>
    <row r="617">
      <c r="A617" s="89" t="inlineStr">
        <is>
          <t>REC-000612</t>
        </is>
      </c>
      <c r="B617" s="94" t="str">
        <f>IF(T617=1,INDEX('ITENS_MTR'!$S$6:$S$1005,S617)&amp;"","")</f>
        <v/>
      </c>
      <c r="C617" s="91" t="n"/>
      <c r="D617" s="94" t="str">
        <f>IF(N(U617)&gt;0,INDEX('MTRs'!$I$6:$I$505,U617)&amp;"","")</f>
        <v/>
      </c>
      <c r="E617" s="92" t="n"/>
      <c r="F617" s="98" t="n"/>
      <c r="G617" s="91" t="n"/>
      <c r="H617" s="93" t="str">
        <f>IF(Q617=0,"",IF(NOT(ISNUMBER(F617)),"",IF(ISNUMBER(W617),F617*W617,"UNIDADE A CONFERIR")))</f>
        <v/>
      </c>
      <c r="I617" s="91" t="n"/>
      <c r="J617" s="91" t="n"/>
      <c r="K617" s="92" t="n"/>
      <c r="L617" s="91" t="n"/>
      <c r="M617" s="91" t="n"/>
      <c r="N617" s="91" t="n"/>
      <c r="O617" s="91" t="n"/>
      <c r="P617" s="94" t="str">
        <f>IF(Q617=0,"",IF(C617="","Item de resíduo não informado",IF(T617=0,"Item inexistente (referência inválida)",IF(NOT(ISNUMBER(F617)),"Quantidade não informada",IF(F617&lt;=0,"Quantidade não positiva",IF(G617="","Unidade não informada",IF(NOT(ISNUMBER(H617)),"Unidade a conferir",IF(NOT(ISNUMBER(E617)),"Data de recebimento não informada",IF(AND(ISNUMBER(V617),N(V617)&gt;0,E617&lt;N(V617)),"Data anterior à emissão do MTR",IF(AND(J617="Sim",L617="",M617=""),"Conferido sem evidência identificada",IF(J617&lt;&gt;"Sim","Aguardando conferência",IF(INDEX('ITENS_MTR'!$AM$6:$AM$1005,S617)=1,"Conferido (ver diferença no item)","Conferido"))))))))))))</f>
        <v/>
      </c>
      <c r="Q617" s="96">
        <f>IF(COUNTA(C617,E617:G617,I617:O617)&gt;0,1,0)</f>
        <v>0</v>
      </c>
      <c r="R617" s="96" t="str">
        <f>IF(C617="","",TRIM(LEFT(C617,FIND(" |",C617&amp;" |")-1)))</f>
        <v/>
      </c>
      <c r="S617" s="96" t="str">
        <f>IF(R617="","",IFERROR(MATCH(R617,'ITENS_MTR'!$A$6:$A$1005,0),""))</f>
        <v/>
      </c>
      <c r="T617" s="96">
        <f>IF(S617="",0,IF(INDEX('ITENS_MTR'!$R$6:$R$1005,S617)=1,1,0))</f>
        <v>0</v>
      </c>
      <c r="U617" s="96" t="str">
        <f>IF(T617=1,INDEX('ITENS_MTR'!$T$6:$T$1005,S617),"")</f>
        <v/>
      </c>
      <c r="V617" s="97" t="str">
        <f>IF(N(U617)&gt;0,INDEX('MTRs'!$E$6:$E$505,U617),"")</f>
        <v/>
      </c>
      <c r="W617" s="96" t="str">
        <f>IF(G617="","",IFERROR(IF(ISNUMBER(INDEX(cfg_fac,MATCH(G617,cfg_units,0))),IF(INDEX(cfg_fac,MATCH(G617,cfg_units,0))&gt;0,INDEX(cfg_fac,MATCH(G617,cfg_units,0)),""),""),""))</f>
        <v/>
      </c>
      <c r="X617" s="96">
        <f>IF(AND(ISNUMBER(F617),ISNUMBER(H617)),IF(H617&gt;0,1,0),0)</f>
        <v>0</v>
      </c>
      <c r="Y617" s="96">
        <f>IF(Q617=0,0,IF(OR(T617=0,X617=0,NOT(ISNUMBER(E617)),AND(J617="Sim",L617="",M617=""),AND(ISNUMBER(E617),ISNUMBER(V617),N(V617)&gt;0,E617&lt;N(V617))),1,0))</f>
        <v>0</v>
      </c>
      <c r="Z617" s="96">
        <f>IF(AND(Q617=1,T617=1,X617=1,J617="Sim",OR(L617&lt;&gt;"",M617&lt;&gt;"")),1,0)</f>
        <v>0</v>
      </c>
      <c r="AA617" s="96">
        <f>IF(Q617=0,0,IF(AND(OR(r_ini="",AND(ISNUMBER(E617),E617&gt;=r_ini)),OR(r_fim="",AND(ISNUMBER(E617),E617&lt;=r_fim)),OR(r_un="",r_un="(Todas)",IF(N(U617)&gt;0,INDEX('MTRs'!$G$6:$G$505,U617),"")=r_un),OR(r_de="",r_de="(Todos)",D617=r_de)),1,0))</f>
        <v>0</v>
      </c>
      <c r="AB617" s="96" t="str">
        <f>IF(AA617=1,COUNTIF($AA$6:AA617,1),"")</f>
        <v/>
      </c>
    </row>
    <row r="618">
      <c r="A618" s="89" t="inlineStr">
        <is>
          <t>REC-000613</t>
        </is>
      </c>
      <c r="B618" s="94" t="str">
        <f>IF(T618=1,INDEX('ITENS_MTR'!$S$6:$S$1005,S618)&amp;"","")</f>
        <v/>
      </c>
      <c r="C618" s="91" t="n"/>
      <c r="D618" s="94" t="str">
        <f>IF(N(U618)&gt;0,INDEX('MTRs'!$I$6:$I$505,U618)&amp;"","")</f>
        <v/>
      </c>
      <c r="E618" s="92" t="n"/>
      <c r="F618" s="98" t="n"/>
      <c r="G618" s="91" t="n"/>
      <c r="H618" s="93" t="str">
        <f>IF(Q618=0,"",IF(NOT(ISNUMBER(F618)),"",IF(ISNUMBER(W618),F618*W618,"UNIDADE A CONFERIR")))</f>
        <v/>
      </c>
      <c r="I618" s="91" t="n"/>
      <c r="J618" s="91" t="n"/>
      <c r="K618" s="92" t="n"/>
      <c r="L618" s="91" t="n"/>
      <c r="M618" s="91" t="n"/>
      <c r="N618" s="91" t="n"/>
      <c r="O618" s="91" t="n"/>
      <c r="P618" s="94" t="str">
        <f>IF(Q618=0,"",IF(C618="","Item de resíduo não informado",IF(T618=0,"Item inexistente (referência inválida)",IF(NOT(ISNUMBER(F618)),"Quantidade não informada",IF(F618&lt;=0,"Quantidade não positiva",IF(G618="","Unidade não informada",IF(NOT(ISNUMBER(H618)),"Unidade a conferir",IF(NOT(ISNUMBER(E618)),"Data de recebimento não informada",IF(AND(ISNUMBER(V618),N(V618)&gt;0,E618&lt;N(V618)),"Data anterior à emissão do MTR",IF(AND(J618="Sim",L618="",M618=""),"Conferido sem evidência identificada",IF(J618&lt;&gt;"Sim","Aguardando conferência",IF(INDEX('ITENS_MTR'!$AM$6:$AM$1005,S618)=1,"Conferido (ver diferença no item)","Conferido"))))))))))))</f>
        <v/>
      </c>
      <c r="Q618" s="96">
        <f>IF(COUNTA(C618,E618:G618,I618:O618)&gt;0,1,0)</f>
        <v>0</v>
      </c>
      <c r="R618" s="96" t="str">
        <f>IF(C618="","",TRIM(LEFT(C618,FIND(" |",C618&amp;" |")-1)))</f>
        <v/>
      </c>
      <c r="S618" s="96" t="str">
        <f>IF(R618="","",IFERROR(MATCH(R618,'ITENS_MTR'!$A$6:$A$1005,0),""))</f>
        <v/>
      </c>
      <c r="T618" s="96">
        <f>IF(S618="",0,IF(INDEX('ITENS_MTR'!$R$6:$R$1005,S618)=1,1,0))</f>
        <v>0</v>
      </c>
      <c r="U618" s="96" t="str">
        <f>IF(T618=1,INDEX('ITENS_MTR'!$T$6:$T$1005,S618),"")</f>
        <v/>
      </c>
      <c r="V618" s="97" t="str">
        <f>IF(N(U618)&gt;0,INDEX('MTRs'!$E$6:$E$505,U618),"")</f>
        <v/>
      </c>
      <c r="W618" s="96" t="str">
        <f>IF(G618="","",IFERROR(IF(ISNUMBER(INDEX(cfg_fac,MATCH(G618,cfg_units,0))),IF(INDEX(cfg_fac,MATCH(G618,cfg_units,0))&gt;0,INDEX(cfg_fac,MATCH(G618,cfg_units,0)),""),""),""))</f>
        <v/>
      </c>
      <c r="X618" s="96">
        <f>IF(AND(ISNUMBER(F618),ISNUMBER(H618)),IF(H618&gt;0,1,0),0)</f>
        <v>0</v>
      </c>
      <c r="Y618" s="96">
        <f>IF(Q618=0,0,IF(OR(T618=0,X618=0,NOT(ISNUMBER(E618)),AND(J618="Sim",L618="",M618=""),AND(ISNUMBER(E618),ISNUMBER(V618),N(V618)&gt;0,E618&lt;N(V618))),1,0))</f>
        <v>0</v>
      </c>
      <c r="Z618" s="96">
        <f>IF(AND(Q618=1,T618=1,X618=1,J618="Sim",OR(L618&lt;&gt;"",M618&lt;&gt;"")),1,0)</f>
        <v>0</v>
      </c>
      <c r="AA618" s="96">
        <f>IF(Q618=0,0,IF(AND(OR(r_ini="",AND(ISNUMBER(E618),E618&gt;=r_ini)),OR(r_fim="",AND(ISNUMBER(E618),E618&lt;=r_fim)),OR(r_un="",r_un="(Todas)",IF(N(U618)&gt;0,INDEX('MTRs'!$G$6:$G$505,U618),"")=r_un),OR(r_de="",r_de="(Todos)",D618=r_de)),1,0))</f>
        <v>0</v>
      </c>
      <c r="AB618" s="96" t="str">
        <f>IF(AA618=1,COUNTIF($AA$6:AA618,1),"")</f>
        <v/>
      </c>
    </row>
    <row r="619">
      <c r="A619" s="89" t="inlineStr">
        <is>
          <t>REC-000614</t>
        </is>
      </c>
      <c r="B619" s="94" t="str">
        <f>IF(T619=1,INDEX('ITENS_MTR'!$S$6:$S$1005,S619)&amp;"","")</f>
        <v/>
      </c>
      <c r="C619" s="91" t="n"/>
      <c r="D619" s="94" t="str">
        <f>IF(N(U619)&gt;0,INDEX('MTRs'!$I$6:$I$505,U619)&amp;"","")</f>
        <v/>
      </c>
      <c r="E619" s="92" t="n"/>
      <c r="F619" s="98" t="n"/>
      <c r="G619" s="91" t="n"/>
      <c r="H619" s="93" t="str">
        <f>IF(Q619=0,"",IF(NOT(ISNUMBER(F619)),"",IF(ISNUMBER(W619),F619*W619,"UNIDADE A CONFERIR")))</f>
        <v/>
      </c>
      <c r="I619" s="91" t="n"/>
      <c r="J619" s="91" t="n"/>
      <c r="K619" s="92" t="n"/>
      <c r="L619" s="91" t="n"/>
      <c r="M619" s="91" t="n"/>
      <c r="N619" s="91" t="n"/>
      <c r="O619" s="91" t="n"/>
      <c r="P619" s="94" t="str">
        <f>IF(Q619=0,"",IF(C619="","Item de resíduo não informado",IF(T619=0,"Item inexistente (referência inválida)",IF(NOT(ISNUMBER(F619)),"Quantidade não informada",IF(F619&lt;=0,"Quantidade não positiva",IF(G619="","Unidade não informada",IF(NOT(ISNUMBER(H619)),"Unidade a conferir",IF(NOT(ISNUMBER(E619)),"Data de recebimento não informada",IF(AND(ISNUMBER(V619),N(V619)&gt;0,E619&lt;N(V619)),"Data anterior à emissão do MTR",IF(AND(J619="Sim",L619="",M619=""),"Conferido sem evidência identificada",IF(J619&lt;&gt;"Sim","Aguardando conferência",IF(INDEX('ITENS_MTR'!$AM$6:$AM$1005,S619)=1,"Conferido (ver diferença no item)","Conferido"))))))))))))</f>
        <v/>
      </c>
      <c r="Q619" s="96">
        <f>IF(COUNTA(C619,E619:G619,I619:O619)&gt;0,1,0)</f>
        <v>0</v>
      </c>
      <c r="R619" s="96" t="str">
        <f>IF(C619="","",TRIM(LEFT(C619,FIND(" |",C619&amp;" |")-1)))</f>
        <v/>
      </c>
      <c r="S619" s="96" t="str">
        <f>IF(R619="","",IFERROR(MATCH(R619,'ITENS_MTR'!$A$6:$A$1005,0),""))</f>
        <v/>
      </c>
      <c r="T619" s="96">
        <f>IF(S619="",0,IF(INDEX('ITENS_MTR'!$R$6:$R$1005,S619)=1,1,0))</f>
        <v>0</v>
      </c>
      <c r="U619" s="96" t="str">
        <f>IF(T619=1,INDEX('ITENS_MTR'!$T$6:$T$1005,S619),"")</f>
        <v/>
      </c>
      <c r="V619" s="97" t="str">
        <f>IF(N(U619)&gt;0,INDEX('MTRs'!$E$6:$E$505,U619),"")</f>
        <v/>
      </c>
      <c r="W619" s="96" t="str">
        <f>IF(G619="","",IFERROR(IF(ISNUMBER(INDEX(cfg_fac,MATCH(G619,cfg_units,0))),IF(INDEX(cfg_fac,MATCH(G619,cfg_units,0))&gt;0,INDEX(cfg_fac,MATCH(G619,cfg_units,0)),""),""),""))</f>
        <v/>
      </c>
      <c r="X619" s="96">
        <f>IF(AND(ISNUMBER(F619),ISNUMBER(H619)),IF(H619&gt;0,1,0),0)</f>
        <v>0</v>
      </c>
      <c r="Y619" s="96">
        <f>IF(Q619=0,0,IF(OR(T619=0,X619=0,NOT(ISNUMBER(E619)),AND(J619="Sim",L619="",M619=""),AND(ISNUMBER(E619),ISNUMBER(V619),N(V619)&gt;0,E619&lt;N(V619))),1,0))</f>
        <v>0</v>
      </c>
      <c r="Z619" s="96">
        <f>IF(AND(Q619=1,T619=1,X619=1,J619="Sim",OR(L619&lt;&gt;"",M619&lt;&gt;"")),1,0)</f>
        <v>0</v>
      </c>
      <c r="AA619" s="96">
        <f>IF(Q619=0,0,IF(AND(OR(r_ini="",AND(ISNUMBER(E619),E619&gt;=r_ini)),OR(r_fim="",AND(ISNUMBER(E619),E619&lt;=r_fim)),OR(r_un="",r_un="(Todas)",IF(N(U619)&gt;0,INDEX('MTRs'!$G$6:$G$505,U619),"")=r_un),OR(r_de="",r_de="(Todos)",D619=r_de)),1,0))</f>
        <v>0</v>
      </c>
      <c r="AB619" s="96" t="str">
        <f>IF(AA619=1,COUNTIF($AA$6:AA619,1),"")</f>
        <v/>
      </c>
    </row>
    <row r="620">
      <c r="A620" s="89" t="inlineStr">
        <is>
          <t>REC-000615</t>
        </is>
      </c>
      <c r="B620" s="94" t="str">
        <f>IF(T620=1,INDEX('ITENS_MTR'!$S$6:$S$1005,S620)&amp;"","")</f>
        <v/>
      </c>
      <c r="C620" s="91" t="n"/>
      <c r="D620" s="94" t="str">
        <f>IF(N(U620)&gt;0,INDEX('MTRs'!$I$6:$I$505,U620)&amp;"","")</f>
        <v/>
      </c>
      <c r="E620" s="92" t="n"/>
      <c r="F620" s="98" t="n"/>
      <c r="G620" s="91" t="n"/>
      <c r="H620" s="93" t="str">
        <f>IF(Q620=0,"",IF(NOT(ISNUMBER(F620)),"",IF(ISNUMBER(W620),F620*W620,"UNIDADE A CONFERIR")))</f>
        <v/>
      </c>
      <c r="I620" s="91" t="n"/>
      <c r="J620" s="91" t="n"/>
      <c r="K620" s="92" t="n"/>
      <c r="L620" s="91" t="n"/>
      <c r="M620" s="91" t="n"/>
      <c r="N620" s="91" t="n"/>
      <c r="O620" s="91" t="n"/>
      <c r="P620" s="94" t="str">
        <f>IF(Q620=0,"",IF(C620="","Item de resíduo não informado",IF(T620=0,"Item inexistente (referência inválida)",IF(NOT(ISNUMBER(F620)),"Quantidade não informada",IF(F620&lt;=0,"Quantidade não positiva",IF(G620="","Unidade não informada",IF(NOT(ISNUMBER(H620)),"Unidade a conferir",IF(NOT(ISNUMBER(E620)),"Data de recebimento não informada",IF(AND(ISNUMBER(V620),N(V620)&gt;0,E620&lt;N(V620)),"Data anterior à emissão do MTR",IF(AND(J620="Sim",L620="",M620=""),"Conferido sem evidência identificada",IF(J620&lt;&gt;"Sim","Aguardando conferência",IF(INDEX('ITENS_MTR'!$AM$6:$AM$1005,S620)=1,"Conferido (ver diferença no item)","Conferido"))))))))))))</f>
        <v/>
      </c>
      <c r="Q620" s="96">
        <f>IF(COUNTA(C620,E620:G620,I620:O620)&gt;0,1,0)</f>
        <v>0</v>
      </c>
      <c r="R620" s="96" t="str">
        <f>IF(C620="","",TRIM(LEFT(C620,FIND(" |",C620&amp;" |")-1)))</f>
        <v/>
      </c>
      <c r="S620" s="96" t="str">
        <f>IF(R620="","",IFERROR(MATCH(R620,'ITENS_MTR'!$A$6:$A$1005,0),""))</f>
        <v/>
      </c>
      <c r="T620" s="96">
        <f>IF(S620="",0,IF(INDEX('ITENS_MTR'!$R$6:$R$1005,S620)=1,1,0))</f>
        <v>0</v>
      </c>
      <c r="U620" s="96" t="str">
        <f>IF(T620=1,INDEX('ITENS_MTR'!$T$6:$T$1005,S620),"")</f>
        <v/>
      </c>
      <c r="V620" s="97" t="str">
        <f>IF(N(U620)&gt;0,INDEX('MTRs'!$E$6:$E$505,U620),"")</f>
        <v/>
      </c>
      <c r="W620" s="96" t="str">
        <f>IF(G620="","",IFERROR(IF(ISNUMBER(INDEX(cfg_fac,MATCH(G620,cfg_units,0))),IF(INDEX(cfg_fac,MATCH(G620,cfg_units,0))&gt;0,INDEX(cfg_fac,MATCH(G620,cfg_units,0)),""),""),""))</f>
        <v/>
      </c>
      <c r="X620" s="96">
        <f>IF(AND(ISNUMBER(F620),ISNUMBER(H620)),IF(H620&gt;0,1,0),0)</f>
        <v>0</v>
      </c>
      <c r="Y620" s="96">
        <f>IF(Q620=0,0,IF(OR(T620=0,X620=0,NOT(ISNUMBER(E620)),AND(J620="Sim",L620="",M620=""),AND(ISNUMBER(E620),ISNUMBER(V620),N(V620)&gt;0,E620&lt;N(V620))),1,0))</f>
        <v>0</v>
      </c>
      <c r="Z620" s="96">
        <f>IF(AND(Q620=1,T620=1,X620=1,J620="Sim",OR(L620&lt;&gt;"",M620&lt;&gt;"")),1,0)</f>
        <v>0</v>
      </c>
      <c r="AA620" s="96">
        <f>IF(Q620=0,0,IF(AND(OR(r_ini="",AND(ISNUMBER(E620),E620&gt;=r_ini)),OR(r_fim="",AND(ISNUMBER(E620),E620&lt;=r_fim)),OR(r_un="",r_un="(Todas)",IF(N(U620)&gt;0,INDEX('MTRs'!$G$6:$G$505,U620),"")=r_un),OR(r_de="",r_de="(Todos)",D620=r_de)),1,0))</f>
        <v>0</v>
      </c>
      <c r="AB620" s="96" t="str">
        <f>IF(AA620=1,COUNTIF($AA$6:AA620,1),"")</f>
        <v/>
      </c>
    </row>
    <row r="621">
      <c r="A621" s="89" t="inlineStr">
        <is>
          <t>REC-000616</t>
        </is>
      </c>
      <c r="B621" s="94" t="str">
        <f>IF(T621=1,INDEX('ITENS_MTR'!$S$6:$S$1005,S621)&amp;"","")</f>
        <v/>
      </c>
      <c r="C621" s="91" t="n"/>
      <c r="D621" s="94" t="str">
        <f>IF(N(U621)&gt;0,INDEX('MTRs'!$I$6:$I$505,U621)&amp;"","")</f>
        <v/>
      </c>
      <c r="E621" s="92" t="n"/>
      <c r="F621" s="98" t="n"/>
      <c r="G621" s="91" t="n"/>
      <c r="H621" s="93" t="str">
        <f>IF(Q621=0,"",IF(NOT(ISNUMBER(F621)),"",IF(ISNUMBER(W621),F621*W621,"UNIDADE A CONFERIR")))</f>
        <v/>
      </c>
      <c r="I621" s="91" t="n"/>
      <c r="J621" s="91" t="n"/>
      <c r="K621" s="92" t="n"/>
      <c r="L621" s="91" t="n"/>
      <c r="M621" s="91" t="n"/>
      <c r="N621" s="91" t="n"/>
      <c r="O621" s="91" t="n"/>
      <c r="P621" s="94" t="str">
        <f>IF(Q621=0,"",IF(C621="","Item de resíduo não informado",IF(T621=0,"Item inexistente (referência inválida)",IF(NOT(ISNUMBER(F621)),"Quantidade não informada",IF(F621&lt;=0,"Quantidade não positiva",IF(G621="","Unidade não informada",IF(NOT(ISNUMBER(H621)),"Unidade a conferir",IF(NOT(ISNUMBER(E621)),"Data de recebimento não informada",IF(AND(ISNUMBER(V621),N(V621)&gt;0,E621&lt;N(V621)),"Data anterior à emissão do MTR",IF(AND(J621="Sim",L621="",M621=""),"Conferido sem evidência identificada",IF(J621&lt;&gt;"Sim","Aguardando conferência",IF(INDEX('ITENS_MTR'!$AM$6:$AM$1005,S621)=1,"Conferido (ver diferença no item)","Conferido"))))))))))))</f>
        <v/>
      </c>
      <c r="Q621" s="96">
        <f>IF(COUNTA(C621,E621:G621,I621:O621)&gt;0,1,0)</f>
        <v>0</v>
      </c>
      <c r="R621" s="96" t="str">
        <f>IF(C621="","",TRIM(LEFT(C621,FIND(" |",C621&amp;" |")-1)))</f>
        <v/>
      </c>
      <c r="S621" s="96" t="str">
        <f>IF(R621="","",IFERROR(MATCH(R621,'ITENS_MTR'!$A$6:$A$1005,0),""))</f>
        <v/>
      </c>
      <c r="T621" s="96">
        <f>IF(S621="",0,IF(INDEX('ITENS_MTR'!$R$6:$R$1005,S621)=1,1,0))</f>
        <v>0</v>
      </c>
      <c r="U621" s="96" t="str">
        <f>IF(T621=1,INDEX('ITENS_MTR'!$T$6:$T$1005,S621),"")</f>
        <v/>
      </c>
      <c r="V621" s="97" t="str">
        <f>IF(N(U621)&gt;0,INDEX('MTRs'!$E$6:$E$505,U621),"")</f>
        <v/>
      </c>
      <c r="W621" s="96" t="str">
        <f>IF(G621="","",IFERROR(IF(ISNUMBER(INDEX(cfg_fac,MATCH(G621,cfg_units,0))),IF(INDEX(cfg_fac,MATCH(G621,cfg_units,0))&gt;0,INDEX(cfg_fac,MATCH(G621,cfg_units,0)),""),""),""))</f>
        <v/>
      </c>
      <c r="X621" s="96">
        <f>IF(AND(ISNUMBER(F621),ISNUMBER(H621)),IF(H621&gt;0,1,0),0)</f>
        <v>0</v>
      </c>
      <c r="Y621" s="96">
        <f>IF(Q621=0,0,IF(OR(T621=0,X621=0,NOT(ISNUMBER(E621)),AND(J621="Sim",L621="",M621=""),AND(ISNUMBER(E621),ISNUMBER(V621),N(V621)&gt;0,E621&lt;N(V621))),1,0))</f>
        <v>0</v>
      </c>
      <c r="Z621" s="96">
        <f>IF(AND(Q621=1,T621=1,X621=1,J621="Sim",OR(L621&lt;&gt;"",M621&lt;&gt;"")),1,0)</f>
        <v>0</v>
      </c>
      <c r="AA621" s="96">
        <f>IF(Q621=0,0,IF(AND(OR(r_ini="",AND(ISNUMBER(E621),E621&gt;=r_ini)),OR(r_fim="",AND(ISNUMBER(E621),E621&lt;=r_fim)),OR(r_un="",r_un="(Todas)",IF(N(U621)&gt;0,INDEX('MTRs'!$G$6:$G$505,U621),"")=r_un),OR(r_de="",r_de="(Todos)",D621=r_de)),1,0))</f>
        <v>0</v>
      </c>
      <c r="AB621" s="96" t="str">
        <f>IF(AA621=1,COUNTIF($AA$6:AA621,1),"")</f>
        <v/>
      </c>
    </row>
    <row r="622">
      <c r="A622" s="89" t="inlineStr">
        <is>
          <t>REC-000617</t>
        </is>
      </c>
      <c r="B622" s="94" t="str">
        <f>IF(T622=1,INDEX('ITENS_MTR'!$S$6:$S$1005,S622)&amp;"","")</f>
        <v/>
      </c>
      <c r="C622" s="91" t="n"/>
      <c r="D622" s="94" t="str">
        <f>IF(N(U622)&gt;0,INDEX('MTRs'!$I$6:$I$505,U622)&amp;"","")</f>
        <v/>
      </c>
      <c r="E622" s="92" t="n"/>
      <c r="F622" s="98" t="n"/>
      <c r="G622" s="91" t="n"/>
      <c r="H622" s="93" t="str">
        <f>IF(Q622=0,"",IF(NOT(ISNUMBER(F622)),"",IF(ISNUMBER(W622),F622*W622,"UNIDADE A CONFERIR")))</f>
        <v/>
      </c>
      <c r="I622" s="91" t="n"/>
      <c r="J622" s="91" t="n"/>
      <c r="K622" s="92" t="n"/>
      <c r="L622" s="91" t="n"/>
      <c r="M622" s="91" t="n"/>
      <c r="N622" s="91" t="n"/>
      <c r="O622" s="91" t="n"/>
      <c r="P622" s="94" t="str">
        <f>IF(Q622=0,"",IF(C622="","Item de resíduo não informado",IF(T622=0,"Item inexistente (referência inválida)",IF(NOT(ISNUMBER(F622)),"Quantidade não informada",IF(F622&lt;=0,"Quantidade não positiva",IF(G622="","Unidade não informada",IF(NOT(ISNUMBER(H622)),"Unidade a conferir",IF(NOT(ISNUMBER(E622)),"Data de recebimento não informada",IF(AND(ISNUMBER(V622),N(V622)&gt;0,E622&lt;N(V622)),"Data anterior à emissão do MTR",IF(AND(J622="Sim",L622="",M622=""),"Conferido sem evidência identificada",IF(J622&lt;&gt;"Sim","Aguardando conferência",IF(INDEX('ITENS_MTR'!$AM$6:$AM$1005,S622)=1,"Conferido (ver diferença no item)","Conferido"))))))))))))</f>
        <v/>
      </c>
      <c r="Q622" s="96">
        <f>IF(COUNTA(C622,E622:G622,I622:O622)&gt;0,1,0)</f>
        <v>0</v>
      </c>
      <c r="R622" s="96" t="str">
        <f>IF(C622="","",TRIM(LEFT(C622,FIND(" |",C622&amp;" |")-1)))</f>
        <v/>
      </c>
      <c r="S622" s="96" t="str">
        <f>IF(R622="","",IFERROR(MATCH(R622,'ITENS_MTR'!$A$6:$A$1005,0),""))</f>
        <v/>
      </c>
      <c r="T622" s="96">
        <f>IF(S622="",0,IF(INDEX('ITENS_MTR'!$R$6:$R$1005,S622)=1,1,0))</f>
        <v>0</v>
      </c>
      <c r="U622" s="96" t="str">
        <f>IF(T622=1,INDEX('ITENS_MTR'!$T$6:$T$1005,S622),"")</f>
        <v/>
      </c>
      <c r="V622" s="97" t="str">
        <f>IF(N(U622)&gt;0,INDEX('MTRs'!$E$6:$E$505,U622),"")</f>
        <v/>
      </c>
      <c r="W622" s="96" t="str">
        <f>IF(G622="","",IFERROR(IF(ISNUMBER(INDEX(cfg_fac,MATCH(G622,cfg_units,0))),IF(INDEX(cfg_fac,MATCH(G622,cfg_units,0))&gt;0,INDEX(cfg_fac,MATCH(G622,cfg_units,0)),""),""),""))</f>
        <v/>
      </c>
      <c r="X622" s="96">
        <f>IF(AND(ISNUMBER(F622),ISNUMBER(H622)),IF(H622&gt;0,1,0),0)</f>
        <v>0</v>
      </c>
      <c r="Y622" s="96">
        <f>IF(Q622=0,0,IF(OR(T622=0,X622=0,NOT(ISNUMBER(E622)),AND(J622="Sim",L622="",M622=""),AND(ISNUMBER(E622),ISNUMBER(V622),N(V622)&gt;0,E622&lt;N(V622))),1,0))</f>
        <v>0</v>
      </c>
      <c r="Z622" s="96">
        <f>IF(AND(Q622=1,T622=1,X622=1,J622="Sim",OR(L622&lt;&gt;"",M622&lt;&gt;"")),1,0)</f>
        <v>0</v>
      </c>
      <c r="AA622" s="96">
        <f>IF(Q622=0,0,IF(AND(OR(r_ini="",AND(ISNUMBER(E622),E622&gt;=r_ini)),OR(r_fim="",AND(ISNUMBER(E622),E622&lt;=r_fim)),OR(r_un="",r_un="(Todas)",IF(N(U622)&gt;0,INDEX('MTRs'!$G$6:$G$505,U622),"")=r_un),OR(r_de="",r_de="(Todos)",D622=r_de)),1,0))</f>
        <v>0</v>
      </c>
      <c r="AB622" s="96" t="str">
        <f>IF(AA622=1,COUNTIF($AA$6:AA622,1),"")</f>
        <v/>
      </c>
    </row>
    <row r="623">
      <c r="A623" s="89" t="inlineStr">
        <is>
          <t>REC-000618</t>
        </is>
      </c>
      <c r="B623" s="94" t="str">
        <f>IF(T623=1,INDEX('ITENS_MTR'!$S$6:$S$1005,S623)&amp;"","")</f>
        <v/>
      </c>
      <c r="C623" s="91" t="n"/>
      <c r="D623" s="94" t="str">
        <f>IF(N(U623)&gt;0,INDEX('MTRs'!$I$6:$I$505,U623)&amp;"","")</f>
        <v/>
      </c>
      <c r="E623" s="92" t="n"/>
      <c r="F623" s="98" t="n"/>
      <c r="G623" s="91" t="n"/>
      <c r="H623" s="93" t="str">
        <f>IF(Q623=0,"",IF(NOT(ISNUMBER(F623)),"",IF(ISNUMBER(W623),F623*W623,"UNIDADE A CONFERIR")))</f>
        <v/>
      </c>
      <c r="I623" s="91" t="n"/>
      <c r="J623" s="91" t="n"/>
      <c r="K623" s="92" t="n"/>
      <c r="L623" s="91" t="n"/>
      <c r="M623" s="91" t="n"/>
      <c r="N623" s="91" t="n"/>
      <c r="O623" s="91" t="n"/>
      <c r="P623" s="94" t="str">
        <f>IF(Q623=0,"",IF(C623="","Item de resíduo não informado",IF(T623=0,"Item inexistente (referência inválida)",IF(NOT(ISNUMBER(F623)),"Quantidade não informada",IF(F623&lt;=0,"Quantidade não positiva",IF(G623="","Unidade não informada",IF(NOT(ISNUMBER(H623)),"Unidade a conferir",IF(NOT(ISNUMBER(E623)),"Data de recebimento não informada",IF(AND(ISNUMBER(V623),N(V623)&gt;0,E623&lt;N(V623)),"Data anterior à emissão do MTR",IF(AND(J623="Sim",L623="",M623=""),"Conferido sem evidência identificada",IF(J623&lt;&gt;"Sim","Aguardando conferência",IF(INDEX('ITENS_MTR'!$AM$6:$AM$1005,S623)=1,"Conferido (ver diferença no item)","Conferido"))))))))))))</f>
        <v/>
      </c>
      <c r="Q623" s="96">
        <f>IF(COUNTA(C623,E623:G623,I623:O623)&gt;0,1,0)</f>
        <v>0</v>
      </c>
      <c r="R623" s="96" t="str">
        <f>IF(C623="","",TRIM(LEFT(C623,FIND(" |",C623&amp;" |")-1)))</f>
        <v/>
      </c>
      <c r="S623" s="96" t="str">
        <f>IF(R623="","",IFERROR(MATCH(R623,'ITENS_MTR'!$A$6:$A$1005,0),""))</f>
        <v/>
      </c>
      <c r="T623" s="96">
        <f>IF(S623="",0,IF(INDEX('ITENS_MTR'!$R$6:$R$1005,S623)=1,1,0))</f>
        <v>0</v>
      </c>
      <c r="U623" s="96" t="str">
        <f>IF(T623=1,INDEX('ITENS_MTR'!$T$6:$T$1005,S623),"")</f>
        <v/>
      </c>
      <c r="V623" s="97" t="str">
        <f>IF(N(U623)&gt;0,INDEX('MTRs'!$E$6:$E$505,U623),"")</f>
        <v/>
      </c>
      <c r="W623" s="96" t="str">
        <f>IF(G623="","",IFERROR(IF(ISNUMBER(INDEX(cfg_fac,MATCH(G623,cfg_units,0))),IF(INDEX(cfg_fac,MATCH(G623,cfg_units,0))&gt;0,INDEX(cfg_fac,MATCH(G623,cfg_units,0)),""),""),""))</f>
        <v/>
      </c>
      <c r="X623" s="96">
        <f>IF(AND(ISNUMBER(F623),ISNUMBER(H623)),IF(H623&gt;0,1,0),0)</f>
        <v>0</v>
      </c>
      <c r="Y623" s="96">
        <f>IF(Q623=0,0,IF(OR(T623=0,X623=0,NOT(ISNUMBER(E623)),AND(J623="Sim",L623="",M623=""),AND(ISNUMBER(E623),ISNUMBER(V623),N(V623)&gt;0,E623&lt;N(V623))),1,0))</f>
        <v>0</v>
      </c>
      <c r="Z623" s="96">
        <f>IF(AND(Q623=1,T623=1,X623=1,J623="Sim",OR(L623&lt;&gt;"",M623&lt;&gt;"")),1,0)</f>
        <v>0</v>
      </c>
      <c r="AA623" s="96">
        <f>IF(Q623=0,0,IF(AND(OR(r_ini="",AND(ISNUMBER(E623),E623&gt;=r_ini)),OR(r_fim="",AND(ISNUMBER(E623),E623&lt;=r_fim)),OR(r_un="",r_un="(Todas)",IF(N(U623)&gt;0,INDEX('MTRs'!$G$6:$G$505,U623),"")=r_un),OR(r_de="",r_de="(Todos)",D623=r_de)),1,0))</f>
        <v>0</v>
      </c>
      <c r="AB623" s="96" t="str">
        <f>IF(AA623=1,COUNTIF($AA$6:AA623,1),"")</f>
        <v/>
      </c>
    </row>
    <row r="624">
      <c r="A624" s="89" t="inlineStr">
        <is>
          <t>REC-000619</t>
        </is>
      </c>
      <c r="B624" s="94" t="str">
        <f>IF(T624=1,INDEX('ITENS_MTR'!$S$6:$S$1005,S624)&amp;"","")</f>
        <v/>
      </c>
      <c r="C624" s="91" t="n"/>
      <c r="D624" s="94" t="str">
        <f>IF(N(U624)&gt;0,INDEX('MTRs'!$I$6:$I$505,U624)&amp;"","")</f>
        <v/>
      </c>
      <c r="E624" s="92" t="n"/>
      <c r="F624" s="98" t="n"/>
      <c r="G624" s="91" t="n"/>
      <c r="H624" s="93" t="str">
        <f>IF(Q624=0,"",IF(NOT(ISNUMBER(F624)),"",IF(ISNUMBER(W624),F624*W624,"UNIDADE A CONFERIR")))</f>
        <v/>
      </c>
      <c r="I624" s="91" t="n"/>
      <c r="J624" s="91" t="n"/>
      <c r="K624" s="92" t="n"/>
      <c r="L624" s="91" t="n"/>
      <c r="M624" s="91" t="n"/>
      <c r="N624" s="91" t="n"/>
      <c r="O624" s="91" t="n"/>
      <c r="P624" s="94" t="str">
        <f>IF(Q624=0,"",IF(C624="","Item de resíduo não informado",IF(T624=0,"Item inexistente (referência inválida)",IF(NOT(ISNUMBER(F624)),"Quantidade não informada",IF(F624&lt;=0,"Quantidade não positiva",IF(G624="","Unidade não informada",IF(NOT(ISNUMBER(H624)),"Unidade a conferir",IF(NOT(ISNUMBER(E624)),"Data de recebimento não informada",IF(AND(ISNUMBER(V624),N(V624)&gt;0,E624&lt;N(V624)),"Data anterior à emissão do MTR",IF(AND(J624="Sim",L624="",M624=""),"Conferido sem evidência identificada",IF(J624&lt;&gt;"Sim","Aguardando conferência",IF(INDEX('ITENS_MTR'!$AM$6:$AM$1005,S624)=1,"Conferido (ver diferença no item)","Conferido"))))))))))))</f>
        <v/>
      </c>
      <c r="Q624" s="96">
        <f>IF(COUNTA(C624,E624:G624,I624:O624)&gt;0,1,0)</f>
        <v>0</v>
      </c>
      <c r="R624" s="96" t="str">
        <f>IF(C624="","",TRIM(LEFT(C624,FIND(" |",C624&amp;" |")-1)))</f>
        <v/>
      </c>
      <c r="S624" s="96" t="str">
        <f>IF(R624="","",IFERROR(MATCH(R624,'ITENS_MTR'!$A$6:$A$1005,0),""))</f>
        <v/>
      </c>
      <c r="T624" s="96">
        <f>IF(S624="",0,IF(INDEX('ITENS_MTR'!$R$6:$R$1005,S624)=1,1,0))</f>
        <v>0</v>
      </c>
      <c r="U624" s="96" t="str">
        <f>IF(T624=1,INDEX('ITENS_MTR'!$T$6:$T$1005,S624),"")</f>
        <v/>
      </c>
      <c r="V624" s="97" t="str">
        <f>IF(N(U624)&gt;0,INDEX('MTRs'!$E$6:$E$505,U624),"")</f>
        <v/>
      </c>
      <c r="W624" s="96" t="str">
        <f>IF(G624="","",IFERROR(IF(ISNUMBER(INDEX(cfg_fac,MATCH(G624,cfg_units,0))),IF(INDEX(cfg_fac,MATCH(G624,cfg_units,0))&gt;0,INDEX(cfg_fac,MATCH(G624,cfg_units,0)),""),""),""))</f>
        <v/>
      </c>
      <c r="X624" s="96">
        <f>IF(AND(ISNUMBER(F624),ISNUMBER(H624)),IF(H624&gt;0,1,0),0)</f>
        <v>0</v>
      </c>
      <c r="Y624" s="96">
        <f>IF(Q624=0,0,IF(OR(T624=0,X624=0,NOT(ISNUMBER(E624)),AND(J624="Sim",L624="",M624=""),AND(ISNUMBER(E624),ISNUMBER(V624),N(V624)&gt;0,E624&lt;N(V624))),1,0))</f>
        <v>0</v>
      </c>
      <c r="Z624" s="96">
        <f>IF(AND(Q624=1,T624=1,X624=1,J624="Sim",OR(L624&lt;&gt;"",M624&lt;&gt;"")),1,0)</f>
        <v>0</v>
      </c>
      <c r="AA624" s="96">
        <f>IF(Q624=0,0,IF(AND(OR(r_ini="",AND(ISNUMBER(E624),E624&gt;=r_ini)),OR(r_fim="",AND(ISNUMBER(E624),E624&lt;=r_fim)),OR(r_un="",r_un="(Todas)",IF(N(U624)&gt;0,INDEX('MTRs'!$G$6:$G$505,U624),"")=r_un),OR(r_de="",r_de="(Todos)",D624=r_de)),1,0))</f>
        <v>0</v>
      </c>
      <c r="AB624" s="96" t="str">
        <f>IF(AA624=1,COUNTIF($AA$6:AA624,1),"")</f>
        <v/>
      </c>
    </row>
    <row r="625">
      <c r="A625" s="89" t="inlineStr">
        <is>
          <t>REC-000620</t>
        </is>
      </c>
      <c r="B625" s="94" t="str">
        <f>IF(T625=1,INDEX('ITENS_MTR'!$S$6:$S$1005,S625)&amp;"","")</f>
        <v/>
      </c>
      <c r="C625" s="91" t="n"/>
      <c r="D625" s="94" t="str">
        <f>IF(N(U625)&gt;0,INDEX('MTRs'!$I$6:$I$505,U625)&amp;"","")</f>
        <v/>
      </c>
      <c r="E625" s="92" t="n"/>
      <c r="F625" s="98" t="n"/>
      <c r="G625" s="91" t="n"/>
      <c r="H625" s="93" t="str">
        <f>IF(Q625=0,"",IF(NOT(ISNUMBER(F625)),"",IF(ISNUMBER(W625),F625*W625,"UNIDADE A CONFERIR")))</f>
        <v/>
      </c>
      <c r="I625" s="91" t="n"/>
      <c r="J625" s="91" t="n"/>
      <c r="K625" s="92" t="n"/>
      <c r="L625" s="91" t="n"/>
      <c r="M625" s="91" t="n"/>
      <c r="N625" s="91" t="n"/>
      <c r="O625" s="91" t="n"/>
      <c r="P625" s="94" t="str">
        <f>IF(Q625=0,"",IF(C625="","Item de resíduo não informado",IF(T625=0,"Item inexistente (referência inválida)",IF(NOT(ISNUMBER(F625)),"Quantidade não informada",IF(F625&lt;=0,"Quantidade não positiva",IF(G625="","Unidade não informada",IF(NOT(ISNUMBER(H625)),"Unidade a conferir",IF(NOT(ISNUMBER(E625)),"Data de recebimento não informada",IF(AND(ISNUMBER(V625),N(V625)&gt;0,E625&lt;N(V625)),"Data anterior à emissão do MTR",IF(AND(J625="Sim",L625="",M625=""),"Conferido sem evidência identificada",IF(J625&lt;&gt;"Sim","Aguardando conferência",IF(INDEX('ITENS_MTR'!$AM$6:$AM$1005,S625)=1,"Conferido (ver diferença no item)","Conferido"))))))))))))</f>
        <v/>
      </c>
      <c r="Q625" s="96">
        <f>IF(COUNTA(C625,E625:G625,I625:O625)&gt;0,1,0)</f>
        <v>0</v>
      </c>
      <c r="R625" s="96" t="str">
        <f>IF(C625="","",TRIM(LEFT(C625,FIND(" |",C625&amp;" |")-1)))</f>
        <v/>
      </c>
      <c r="S625" s="96" t="str">
        <f>IF(R625="","",IFERROR(MATCH(R625,'ITENS_MTR'!$A$6:$A$1005,0),""))</f>
        <v/>
      </c>
      <c r="T625" s="96">
        <f>IF(S625="",0,IF(INDEX('ITENS_MTR'!$R$6:$R$1005,S625)=1,1,0))</f>
        <v>0</v>
      </c>
      <c r="U625" s="96" t="str">
        <f>IF(T625=1,INDEX('ITENS_MTR'!$T$6:$T$1005,S625),"")</f>
        <v/>
      </c>
      <c r="V625" s="97" t="str">
        <f>IF(N(U625)&gt;0,INDEX('MTRs'!$E$6:$E$505,U625),"")</f>
        <v/>
      </c>
      <c r="W625" s="96" t="str">
        <f>IF(G625="","",IFERROR(IF(ISNUMBER(INDEX(cfg_fac,MATCH(G625,cfg_units,0))),IF(INDEX(cfg_fac,MATCH(G625,cfg_units,0))&gt;0,INDEX(cfg_fac,MATCH(G625,cfg_units,0)),""),""),""))</f>
        <v/>
      </c>
      <c r="X625" s="96">
        <f>IF(AND(ISNUMBER(F625),ISNUMBER(H625)),IF(H625&gt;0,1,0),0)</f>
        <v>0</v>
      </c>
      <c r="Y625" s="96">
        <f>IF(Q625=0,0,IF(OR(T625=0,X625=0,NOT(ISNUMBER(E625)),AND(J625="Sim",L625="",M625=""),AND(ISNUMBER(E625),ISNUMBER(V625),N(V625)&gt;0,E625&lt;N(V625))),1,0))</f>
        <v>0</v>
      </c>
      <c r="Z625" s="96">
        <f>IF(AND(Q625=1,T625=1,X625=1,J625="Sim",OR(L625&lt;&gt;"",M625&lt;&gt;"")),1,0)</f>
        <v>0</v>
      </c>
      <c r="AA625" s="96">
        <f>IF(Q625=0,0,IF(AND(OR(r_ini="",AND(ISNUMBER(E625),E625&gt;=r_ini)),OR(r_fim="",AND(ISNUMBER(E625),E625&lt;=r_fim)),OR(r_un="",r_un="(Todas)",IF(N(U625)&gt;0,INDEX('MTRs'!$G$6:$G$505,U625),"")=r_un),OR(r_de="",r_de="(Todos)",D625=r_de)),1,0))</f>
        <v>0</v>
      </c>
      <c r="AB625" s="96" t="str">
        <f>IF(AA625=1,COUNTIF($AA$6:AA625,1),"")</f>
        <v/>
      </c>
    </row>
    <row r="626">
      <c r="A626" s="89" t="inlineStr">
        <is>
          <t>REC-000621</t>
        </is>
      </c>
      <c r="B626" s="94" t="str">
        <f>IF(T626=1,INDEX('ITENS_MTR'!$S$6:$S$1005,S626)&amp;"","")</f>
        <v/>
      </c>
      <c r="C626" s="91" t="n"/>
      <c r="D626" s="94" t="str">
        <f>IF(N(U626)&gt;0,INDEX('MTRs'!$I$6:$I$505,U626)&amp;"","")</f>
        <v/>
      </c>
      <c r="E626" s="92" t="n"/>
      <c r="F626" s="98" t="n"/>
      <c r="G626" s="91" t="n"/>
      <c r="H626" s="93" t="str">
        <f>IF(Q626=0,"",IF(NOT(ISNUMBER(F626)),"",IF(ISNUMBER(W626),F626*W626,"UNIDADE A CONFERIR")))</f>
        <v/>
      </c>
      <c r="I626" s="91" t="n"/>
      <c r="J626" s="91" t="n"/>
      <c r="K626" s="92" t="n"/>
      <c r="L626" s="91" t="n"/>
      <c r="M626" s="91" t="n"/>
      <c r="N626" s="91" t="n"/>
      <c r="O626" s="91" t="n"/>
      <c r="P626" s="94" t="str">
        <f>IF(Q626=0,"",IF(C626="","Item de resíduo não informado",IF(T626=0,"Item inexistente (referência inválida)",IF(NOT(ISNUMBER(F626)),"Quantidade não informada",IF(F626&lt;=0,"Quantidade não positiva",IF(G626="","Unidade não informada",IF(NOT(ISNUMBER(H626)),"Unidade a conferir",IF(NOT(ISNUMBER(E626)),"Data de recebimento não informada",IF(AND(ISNUMBER(V626),N(V626)&gt;0,E626&lt;N(V626)),"Data anterior à emissão do MTR",IF(AND(J626="Sim",L626="",M626=""),"Conferido sem evidência identificada",IF(J626&lt;&gt;"Sim","Aguardando conferência",IF(INDEX('ITENS_MTR'!$AM$6:$AM$1005,S626)=1,"Conferido (ver diferença no item)","Conferido"))))))))))))</f>
        <v/>
      </c>
      <c r="Q626" s="96">
        <f>IF(COUNTA(C626,E626:G626,I626:O626)&gt;0,1,0)</f>
        <v>0</v>
      </c>
      <c r="R626" s="96" t="str">
        <f>IF(C626="","",TRIM(LEFT(C626,FIND(" |",C626&amp;" |")-1)))</f>
        <v/>
      </c>
      <c r="S626" s="96" t="str">
        <f>IF(R626="","",IFERROR(MATCH(R626,'ITENS_MTR'!$A$6:$A$1005,0),""))</f>
        <v/>
      </c>
      <c r="T626" s="96">
        <f>IF(S626="",0,IF(INDEX('ITENS_MTR'!$R$6:$R$1005,S626)=1,1,0))</f>
        <v>0</v>
      </c>
      <c r="U626" s="96" t="str">
        <f>IF(T626=1,INDEX('ITENS_MTR'!$T$6:$T$1005,S626),"")</f>
        <v/>
      </c>
      <c r="V626" s="97" t="str">
        <f>IF(N(U626)&gt;0,INDEX('MTRs'!$E$6:$E$505,U626),"")</f>
        <v/>
      </c>
      <c r="W626" s="96" t="str">
        <f>IF(G626="","",IFERROR(IF(ISNUMBER(INDEX(cfg_fac,MATCH(G626,cfg_units,0))),IF(INDEX(cfg_fac,MATCH(G626,cfg_units,0))&gt;0,INDEX(cfg_fac,MATCH(G626,cfg_units,0)),""),""),""))</f>
        <v/>
      </c>
      <c r="X626" s="96">
        <f>IF(AND(ISNUMBER(F626),ISNUMBER(H626)),IF(H626&gt;0,1,0),0)</f>
        <v>0</v>
      </c>
      <c r="Y626" s="96">
        <f>IF(Q626=0,0,IF(OR(T626=0,X626=0,NOT(ISNUMBER(E626)),AND(J626="Sim",L626="",M626=""),AND(ISNUMBER(E626),ISNUMBER(V626),N(V626)&gt;0,E626&lt;N(V626))),1,0))</f>
        <v>0</v>
      </c>
      <c r="Z626" s="96">
        <f>IF(AND(Q626=1,T626=1,X626=1,J626="Sim",OR(L626&lt;&gt;"",M626&lt;&gt;"")),1,0)</f>
        <v>0</v>
      </c>
      <c r="AA626" s="96">
        <f>IF(Q626=0,0,IF(AND(OR(r_ini="",AND(ISNUMBER(E626),E626&gt;=r_ini)),OR(r_fim="",AND(ISNUMBER(E626),E626&lt;=r_fim)),OR(r_un="",r_un="(Todas)",IF(N(U626)&gt;0,INDEX('MTRs'!$G$6:$G$505,U626),"")=r_un),OR(r_de="",r_de="(Todos)",D626=r_de)),1,0))</f>
        <v>0</v>
      </c>
      <c r="AB626" s="96" t="str">
        <f>IF(AA626=1,COUNTIF($AA$6:AA626,1),"")</f>
        <v/>
      </c>
    </row>
    <row r="627">
      <c r="A627" s="89" t="inlineStr">
        <is>
          <t>REC-000622</t>
        </is>
      </c>
      <c r="B627" s="94" t="str">
        <f>IF(T627=1,INDEX('ITENS_MTR'!$S$6:$S$1005,S627)&amp;"","")</f>
        <v/>
      </c>
      <c r="C627" s="91" t="n"/>
      <c r="D627" s="94" t="str">
        <f>IF(N(U627)&gt;0,INDEX('MTRs'!$I$6:$I$505,U627)&amp;"","")</f>
        <v/>
      </c>
      <c r="E627" s="92" t="n"/>
      <c r="F627" s="98" t="n"/>
      <c r="G627" s="91" t="n"/>
      <c r="H627" s="93" t="str">
        <f>IF(Q627=0,"",IF(NOT(ISNUMBER(F627)),"",IF(ISNUMBER(W627),F627*W627,"UNIDADE A CONFERIR")))</f>
        <v/>
      </c>
      <c r="I627" s="91" t="n"/>
      <c r="J627" s="91" t="n"/>
      <c r="K627" s="92" t="n"/>
      <c r="L627" s="91" t="n"/>
      <c r="M627" s="91" t="n"/>
      <c r="N627" s="91" t="n"/>
      <c r="O627" s="91" t="n"/>
      <c r="P627" s="94" t="str">
        <f>IF(Q627=0,"",IF(C627="","Item de resíduo não informado",IF(T627=0,"Item inexistente (referência inválida)",IF(NOT(ISNUMBER(F627)),"Quantidade não informada",IF(F627&lt;=0,"Quantidade não positiva",IF(G627="","Unidade não informada",IF(NOT(ISNUMBER(H627)),"Unidade a conferir",IF(NOT(ISNUMBER(E627)),"Data de recebimento não informada",IF(AND(ISNUMBER(V627),N(V627)&gt;0,E627&lt;N(V627)),"Data anterior à emissão do MTR",IF(AND(J627="Sim",L627="",M627=""),"Conferido sem evidência identificada",IF(J627&lt;&gt;"Sim","Aguardando conferência",IF(INDEX('ITENS_MTR'!$AM$6:$AM$1005,S627)=1,"Conferido (ver diferença no item)","Conferido"))))))))))))</f>
        <v/>
      </c>
      <c r="Q627" s="96">
        <f>IF(COUNTA(C627,E627:G627,I627:O627)&gt;0,1,0)</f>
        <v>0</v>
      </c>
      <c r="R627" s="96" t="str">
        <f>IF(C627="","",TRIM(LEFT(C627,FIND(" |",C627&amp;" |")-1)))</f>
        <v/>
      </c>
      <c r="S627" s="96" t="str">
        <f>IF(R627="","",IFERROR(MATCH(R627,'ITENS_MTR'!$A$6:$A$1005,0),""))</f>
        <v/>
      </c>
      <c r="T627" s="96">
        <f>IF(S627="",0,IF(INDEX('ITENS_MTR'!$R$6:$R$1005,S627)=1,1,0))</f>
        <v>0</v>
      </c>
      <c r="U627" s="96" t="str">
        <f>IF(T627=1,INDEX('ITENS_MTR'!$T$6:$T$1005,S627),"")</f>
        <v/>
      </c>
      <c r="V627" s="97" t="str">
        <f>IF(N(U627)&gt;0,INDEX('MTRs'!$E$6:$E$505,U627),"")</f>
        <v/>
      </c>
      <c r="W627" s="96" t="str">
        <f>IF(G627="","",IFERROR(IF(ISNUMBER(INDEX(cfg_fac,MATCH(G627,cfg_units,0))),IF(INDEX(cfg_fac,MATCH(G627,cfg_units,0))&gt;0,INDEX(cfg_fac,MATCH(G627,cfg_units,0)),""),""),""))</f>
        <v/>
      </c>
      <c r="X627" s="96">
        <f>IF(AND(ISNUMBER(F627),ISNUMBER(H627)),IF(H627&gt;0,1,0),0)</f>
        <v>0</v>
      </c>
      <c r="Y627" s="96">
        <f>IF(Q627=0,0,IF(OR(T627=0,X627=0,NOT(ISNUMBER(E627)),AND(J627="Sim",L627="",M627=""),AND(ISNUMBER(E627),ISNUMBER(V627),N(V627)&gt;0,E627&lt;N(V627))),1,0))</f>
        <v>0</v>
      </c>
      <c r="Z627" s="96">
        <f>IF(AND(Q627=1,T627=1,X627=1,J627="Sim",OR(L627&lt;&gt;"",M627&lt;&gt;"")),1,0)</f>
        <v>0</v>
      </c>
      <c r="AA627" s="96">
        <f>IF(Q627=0,0,IF(AND(OR(r_ini="",AND(ISNUMBER(E627),E627&gt;=r_ini)),OR(r_fim="",AND(ISNUMBER(E627),E627&lt;=r_fim)),OR(r_un="",r_un="(Todas)",IF(N(U627)&gt;0,INDEX('MTRs'!$G$6:$G$505,U627),"")=r_un),OR(r_de="",r_de="(Todos)",D627=r_de)),1,0))</f>
        <v>0</v>
      </c>
      <c r="AB627" s="96" t="str">
        <f>IF(AA627=1,COUNTIF($AA$6:AA627,1),"")</f>
        <v/>
      </c>
    </row>
    <row r="628">
      <c r="A628" s="89" t="inlineStr">
        <is>
          <t>REC-000623</t>
        </is>
      </c>
      <c r="B628" s="94" t="str">
        <f>IF(T628=1,INDEX('ITENS_MTR'!$S$6:$S$1005,S628)&amp;"","")</f>
        <v/>
      </c>
      <c r="C628" s="91" t="n"/>
      <c r="D628" s="94" t="str">
        <f>IF(N(U628)&gt;0,INDEX('MTRs'!$I$6:$I$505,U628)&amp;"","")</f>
        <v/>
      </c>
      <c r="E628" s="92" t="n"/>
      <c r="F628" s="98" t="n"/>
      <c r="G628" s="91" t="n"/>
      <c r="H628" s="93" t="str">
        <f>IF(Q628=0,"",IF(NOT(ISNUMBER(F628)),"",IF(ISNUMBER(W628),F628*W628,"UNIDADE A CONFERIR")))</f>
        <v/>
      </c>
      <c r="I628" s="91" t="n"/>
      <c r="J628" s="91" t="n"/>
      <c r="K628" s="92" t="n"/>
      <c r="L628" s="91" t="n"/>
      <c r="M628" s="91" t="n"/>
      <c r="N628" s="91" t="n"/>
      <c r="O628" s="91" t="n"/>
      <c r="P628" s="94" t="str">
        <f>IF(Q628=0,"",IF(C628="","Item de resíduo não informado",IF(T628=0,"Item inexistente (referência inválida)",IF(NOT(ISNUMBER(F628)),"Quantidade não informada",IF(F628&lt;=0,"Quantidade não positiva",IF(G628="","Unidade não informada",IF(NOT(ISNUMBER(H628)),"Unidade a conferir",IF(NOT(ISNUMBER(E628)),"Data de recebimento não informada",IF(AND(ISNUMBER(V628),N(V628)&gt;0,E628&lt;N(V628)),"Data anterior à emissão do MTR",IF(AND(J628="Sim",L628="",M628=""),"Conferido sem evidência identificada",IF(J628&lt;&gt;"Sim","Aguardando conferência",IF(INDEX('ITENS_MTR'!$AM$6:$AM$1005,S628)=1,"Conferido (ver diferença no item)","Conferido"))))))))))))</f>
        <v/>
      </c>
      <c r="Q628" s="96">
        <f>IF(COUNTA(C628,E628:G628,I628:O628)&gt;0,1,0)</f>
        <v>0</v>
      </c>
      <c r="R628" s="96" t="str">
        <f>IF(C628="","",TRIM(LEFT(C628,FIND(" |",C628&amp;" |")-1)))</f>
        <v/>
      </c>
      <c r="S628" s="96" t="str">
        <f>IF(R628="","",IFERROR(MATCH(R628,'ITENS_MTR'!$A$6:$A$1005,0),""))</f>
        <v/>
      </c>
      <c r="T628" s="96">
        <f>IF(S628="",0,IF(INDEX('ITENS_MTR'!$R$6:$R$1005,S628)=1,1,0))</f>
        <v>0</v>
      </c>
      <c r="U628" s="96" t="str">
        <f>IF(T628=1,INDEX('ITENS_MTR'!$T$6:$T$1005,S628),"")</f>
        <v/>
      </c>
      <c r="V628" s="97" t="str">
        <f>IF(N(U628)&gt;0,INDEX('MTRs'!$E$6:$E$505,U628),"")</f>
        <v/>
      </c>
      <c r="W628" s="96" t="str">
        <f>IF(G628="","",IFERROR(IF(ISNUMBER(INDEX(cfg_fac,MATCH(G628,cfg_units,0))),IF(INDEX(cfg_fac,MATCH(G628,cfg_units,0))&gt;0,INDEX(cfg_fac,MATCH(G628,cfg_units,0)),""),""),""))</f>
        <v/>
      </c>
      <c r="X628" s="96">
        <f>IF(AND(ISNUMBER(F628),ISNUMBER(H628)),IF(H628&gt;0,1,0),0)</f>
        <v>0</v>
      </c>
      <c r="Y628" s="96">
        <f>IF(Q628=0,0,IF(OR(T628=0,X628=0,NOT(ISNUMBER(E628)),AND(J628="Sim",L628="",M628=""),AND(ISNUMBER(E628),ISNUMBER(V628),N(V628)&gt;0,E628&lt;N(V628))),1,0))</f>
        <v>0</v>
      </c>
      <c r="Z628" s="96">
        <f>IF(AND(Q628=1,T628=1,X628=1,J628="Sim",OR(L628&lt;&gt;"",M628&lt;&gt;"")),1,0)</f>
        <v>0</v>
      </c>
      <c r="AA628" s="96">
        <f>IF(Q628=0,0,IF(AND(OR(r_ini="",AND(ISNUMBER(E628),E628&gt;=r_ini)),OR(r_fim="",AND(ISNUMBER(E628),E628&lt;=r_fim)),OR(r_un="",r_un="(Todas)",IF(N(U628)&gt;0,INDEX('MTRs'!$G$6:$G$505,U628),"")=r_un),OR(r_de="",r_de="(Todos)",D628=r_de)),1,0))</f>
        <v>0</v>
      </c>
      <c r="AB628" s="96" t="str">
        <f>IF(AA628=1,COUNTIF($AA$6:AA628,1),"")</f>
        <v/>
      </c>
    </row>
    <row r="629">
      <c r="A629" s="89" t="inlineStr">
        <is>
          <t>REC-000624</t>
        </is>
      </c>
      <c r="B629" s="94" t="str">
        <f>IF(T629=1,INDEX('ITENS_MTR'!$S$6:$S$1005,S629)&amp;"","")</f>
        <v/>
      </c>
      <c r="C629" s="91" t="n"/>
      <c r="D629" s="94" t="str">
        <f>IF(N(U629)&gt;0,INDEX('MTRs'!$I$6:$I$505,U629)&amp;"","")</f>
        <v/>
      </c>
      <c r="E629" s="92" t="n"/>
      <c r="F629" s="98" t="n"/>
      <c r="G629" s="91" t="n"/>
      <c r="H629" s="93" t="str">
        <f>IF(Q629=0,"",IF(NOT(ISNUMBER(F629)),"",IF(ISNUMBER(W629),F629*W629,"UNIDADE A CONFERIR")))</f>
        <v/>
      </c>
      <c r="I629" s="91" t="n"/>
      <c r="J629" s="91" t="n"/>
      <c r="K629" s="92" t="n"/>
      <c r="L629" s="91" t="n"/>
      <c r="M629" s="91" t="n"/>
      <c r="N629" s="91" t="n"/>
      <c r="O629" s="91" t="n"/>
      <c r="P629" s="94" t="str">
        <f>IF(Q629=0,"",IF(C629="","Item de resíduo não informado",IF(T629=0,"Item inexistente (referência inválida)",IF(NOT(ISNUMBER(F629)),"Quantidade não informada",IF(F629&lt;=0,"Quantidade não positiva",IF(G629="","Unidade não informada",IF(NOT(ISNUMBER(H629)),"Unidade a conferir",IF(NOT(ISNUMBER(E629)),"Data de recebimento não informada",IF(AND(ISNUMBER(V629),N(V629)&gt;0,E629&lt;N(V629)),"Data anterior à emissão do MTR",IF(AND(J629="Sim",L629="",M629=""),"Conferido sem evidência identificada",IF(J629&lt;&gt;"Sim","Aguardando conferência",IF(INDEX('ITENS_MTR'!$AM$6:$AM$1005,S629)=1,"Conferido (ver diferença no item)","Conferido"))))))))))))</f>
        <v/>
      </c>
      <c r="Q629" s="96">
        <f>IF(COUNTA(C629,E629:G629,I629:O629)&gt;0,1,0)</f>
        <v>0</v>
      </c>
      <c r="R629" s="96" t="str">
        <f>IF(C629="","",TRIM(LEFT(C629,FIND(" |",C629&amp;" |")-1)))</f>
        <v/>
      </c>
      <c r="S629" s="96" t="str">
        <f>IF(R629="","",IFERROR(MATCH(R629,'ITENS_MTR'!$A$6:$A$1005,0),""))</f>
        <v/>
      </c>
      <c r="T629" s="96">
        <f>IF(S629="",0,IF(INDEX('ITENS_MTR'!$R$6:$R$1005,S629)=1,1,0))</f>
        <v>0</v>
      </c>
      <c r="U629" s="96" t="str">
        <f>IF(T629=1,INDEX('ITENS_MTR'!$T$6:$T$1005,S629),"")</f>
        <v/>
      </c>
      <c r="V629" s="97" t="str">
        <f>IF(N(U629)&gt;0,INDEX('MTRs'!$E$6:$E$505,U629),"")</f>
        <v/>
      </c>
      <c r="W629" s="96" t="str">
        <f>IF(G629="","",IFERROR(IF(ISNUMBER(INDEX(cfg_fac,MATCH(G629,cfg_units,0))),IF(INDEX(cfg_fac,MATCH(G629,cfg_units,0))&gt;0,INDEX(cfg_fac,MATCH(G629,cfg_units,0)),""),""),""))</f>
        <v/>
      </c>
      <c r="X629" s="96">
        <f>IF(AND(ISNUMBER(F629),ISNUMBER(H629)),IF(H629&gt;0,1,0),0)</f>
        <v>0</v>
      </c>
      <c r="Y629" s="96">
        <f>IF(Q629=0,0,IF(OR(T629=0,X629=0,NOT(ISNUMBER(E629)),AND(J629="Sim",L629="",M629=""),AND(ISNUMBER(E629),ISNUMBER(V629),N(V629)&gt;0,E629&lt;N(V629))),1,0))</f>
        <v>0</v>
      </c>
      <c r="Z629" s="96">
        <f>IF(AND(Q629=1,T629=1,X629=1,J629="Sim",OR(L629&lt;&gt;"",M629&lt;&gt;"")),1,0)</f>
        <v>0</v>
      </c>
      <c r="AA629" s="96">
        <f>IF(Q629=0,0,IF(AND(OR(r_ini="",AND(ISNUMBER(E629),E629&gt;=r_ini)),OR(r_fim="",AND(ISNUMBER(E629),E629&lt;=r_fim)),OR(r_un="",r_un="(Todas)",IF(N(U629)&gt;0,INDEX('MTRs'!$G$6:$G$505,U629),"")=r_un),OR(r_de="",r_de="(Todos)",D629=r_de)),1,0))</f>
        <v>0</v>
      </c>
      <c r="AB629" s="96" t="str">
        <f>IF(AA629=1,COUNTIF($AA$6:AA629,1),"")</f>
        <v/>
      </c>
    </row>
    <row r="630">
      <c r="A630" s="89" t="inlineStr">
        <is>
          <t>REC-000625</t>
        </is>
      </c>
      <c r="B630" s="94" t="str">
        <f>IF(T630=1,INDEX('ITENS_MTR'!$S$6:$S$1005,S630)&amp;"","")</f>
        <v/>
      </c>
      <c r="C630" s="91" t="n"/>
      <c r="D630" s="94" t="str">
        <f>IF(N(U630)&gt;0,INDEX('MTRs'!$I$6:$I$505,U630)&amp;"","")</f>
        <v/>
      </c>
      <c r="E630" s="92" t="n"/>
      <c r="F630" s="98" t="n"/>
      <c r="G630" s="91" t="n"/>
      <c r="H630" s="93" t="str">
        <f>IF(Q630=0,"",IF(NOT(ISNUMBER(F630)),"",IF(ISNUMBER(W630),F630*W630,"UNIDADE A CONFERIR")))</f>
        <v/>
      </c>
      <c r="I630" s="91" t="n"/>
      <c r="J630" s="91" t="n"/>
      <c r="K630" s="92" t="n"/>
      <c r="L630" s="91" t="n"/>
      <c r="M630" s="91" t="n"/>
      <c r="N630" s="91" t="n"/>
      <c r="O630" s="91" t="n"/>
      <c r="P630" s="94" t="str">
        <f>IF(Q630=0,"",IF(C630="","Item de resíduo não informado",IF(T630=0,"Item inexistente (referência inválida)",IF(NOT(ISNUMBER(F630)),"Quantidade não informada",IF(F630&lt;=0,"Quantidade não positiva",IF(G630="","Unidade não informada",IF(NOT(ISNUMBER(H630)),"Unidade a conferir",IF(NOT(ISNUMBER(E630)),"Data de recebimento não informada",IF(AND(ISNUMBER(V630),N(V630)&gt;0,E630&lt;N(V630)),"Data anterior à emissão do MTR",IF(AND(J630="Sim",L630="",M630=""),"Conferido sem evidência identificada",IF(J630&lt;&gt;"Sim","Aguardando conferência",IF(INDEX('ITENS_MTR'!$AM$6:$AM$1005,S630)=1,"Conferido (ver diferença no item)","Conferido"))))))))))))</f>
        <v/>
      </c>
      <c r="Q630" s="96">
        <f>IF(COUNTA(C630,E630:G630,I630:O630)&gt;0,1,0)</f>
        <v>0</v>
      </c>
      <c r="R630" s="96" t="str">
        <f>IF(C630="","",TRIM(LEFT(C630,FIND(" |",C630&amp;" |")-1)))</f>
        <v/>
      </c>
      <c r="S630" s="96" t="str">
        <f>IF(R630="","",IFERROR(MATCH(R630,'ITENS_MTR'!$A$6:$A$1005,0),""))</f>
        <v/>
      </c>
      <c r="T630" s="96">
        <f>IF(S630="",0,IF(INDEX('ITENS_MTR'!$R$6:$R$1005,S630)=1,1,0))</f>
        <v>0</v>
      </c>
      <c r="U630" s="96" t="str">
        <f>IF(T630=1,INDEX('ITENS_MTR'!$T$6:$T$1005,S630),"")</f>
        <v/>
      </c>
      <c r="V630" s="97" t="str">
        <f>IF(N(U630)&gt;0,INDEX('MTRs'!$E$6:$E$505,U630),"")</f>
        <v/>
      </c>
      <c r="W630" s="96" t="str">
        <f>IF(G630="","",IFERROR(IF(ISNUMBER(INDEX(cfg_fac,MATCH(G630,cfg_units,0))),IF(INDEX(cfg_fac,MATCH(G630,cfg_units,0))&gt;0,INDEX(cfg_fac,MATCH(G630,cfg_units,0)),""),""),""))</f>
        <v/>
      </c>
      <c r="X630" s="96">
        <f>IF(AND(ISNUMBER(F630),ISNUMBER(H630)),IF(H630&gt;0,1,0),0)</f>
        <v>0</v>
      </c>
      <c r="Y630" s="96">
        <f>IF(Q630=0,0,IF(OR(T630=0,X630=0,NOT(ISNUMBER(E630)),AND(J630="Sim",L630="",M630=""),AND(ISNUMBER(E630),ISNUMBER(V630),N(V630)&gt;0,E630&lt;N(V630))),1,0))</f>
        <v>0</v>
      </c>
      <c r="Z630" s="96">
        <f>IF(AND(Q630=1,T630=1,X630=1,J630="Sim",OR(L630&lt;&gt;"",M630&lt;&gt;"")),1,0)</f>
        <v>0</v>
      </c>
      <c r="AA630" s="96">
        <f>IF(Q630=0,0,IF(AND(OR(r_ini="",AND(ISNUMBER(E630),E630&gt;=r_ini)),OR(r_fim="",AND(ISNUMBER(E630),E630&lt;=r_fim)),OR(r_un="",r_un="(Todas)",IF(N(U630)&gt;0,INDEX('MTRs'!$G$6:$G$505,U630),"")=r_un),OR(r_de="",r_de="(Todos)",D630=r_de)),1,0))</f>
        <v>0</v>
      </c>
      <c r="AB630" s="96" t="str">
        <f>IF(AA630=1,COUNTIF($AA$6:AA630,1),"")</f>
        <v/>
      </c>
    </row>
    <row r="631">
      <c r="A631" s="89" t="inlineStr">
        <is>
          <t>REC-000626</t>
        </is>
      </c>
      <c r="B631" s="94" t="str">
        <f>IF(T631=1,INDEX('ITENS_MTR'!$S$6:$S$1005,S631)&amp;"","")</f>
        <v/>
      </c>
      <c r="C631" s="91" t="n"/>
      <c r="D631" s="94" t="str">
        <f>IF(N(U631)&gt;0,INDEX('MTRs'!$I$6:$I$505,U631)&amp;"","")</f>
        <v/>
      </c>
      <c r="E631" s="92" t="n"/>
      <c r="F631" s="98" t="n"/>
      <c r="G631" s="91" t="n"/>
      <c r="H631" s="93" t="str">
        <f>IF(Q631=0,"",IF(NOT(ISNUMBER(F631)),"",IF(ISNUMBER(W631),F631*W631,"UNIDADE A CONFERIR")))</f>
        <v/>
      </c>
      <c r="I631" s="91" t="n"/>
      <c r="J631" s="91" t="n"/>
      <c r="K631" s="92" t="n"/>
      <c r="L631" s="91" t="n"/>
      <c r="M631" s="91" t="n"/>
      <c r="N631" s="91" t="n"/>
      <c r="O631" s="91" t="n"/>
      <c r="P631" s="94" t="str">
        <f>IF(Q631=0,"",IF(C631="","Item de resíduo não informado",IF(T631=0,"Item inexistente (referência inválida)",IF(NOT(ISNUMBER(F631)),"Quantidade não informada",IF(F631&lt;=0,"Quantidade não positiva",IF(G631="","Unidade não informada",IF(NOT(ISNUMBER(H631)),"Unidade a conferir",IF(NOT(ISNUMBER(E631)),"Data de recebimento não informada",IF(AND(ISNUMBER(V631),N(V631)&gt;0,E631&lt;N(V631)),"Data anterior à emissão do MTR",IF(AND(J631="Sim",L631="",M631=""),"Conferido sem evidência identificada",IF(J631&lt;&gt;"Sim","Aguardando conferência",IF(INDEX('ITENS_MTR'!$AM$6:$AM$1005,S631)=1,"Conferido (ver diferença no item)","Conferido"))))))))))))</f>
        <v/>
      </c>
      <c r="Q631" s="96">
        <f>IF(COUNTA(C631,E631:G631,I631:O631)&gt;0,1,0)</f>
        <v>0</v>
      </c>
      <c r="R631" s="96" t="str">
        <f>IF(C631="","",TRIM(LEFT(C631,FIND(" |",C631&amp;" |")-1)))</f>
        <v/>
      </c>
      <c r="S631" s="96" t="str">
        <f>IF(R631="","",IFERROR(MATCH(R631,'ITENS_MTR'!$A$6:$A$1005,0),""))</f>
        <v/>
      </c>
      <c r="T631" s="96">
        <f>IF(S631="",0,IF(INDEX('ITENS_MTR'!$R$6:$R$1005,S631)=1,1,0))</f>
        <v>0</v>
      </c>
      <c r="U631" s="96" t="str">
        <f>IF(T631=1,INDEX('ITENS_MTR'!$T$6:$T$1005,S631),"")</f>
        <v/>
      </c>
      <c r="V631" s="97" t="str">
        <f>IF(N(U631)&gt;0,INDEX('MTRs'!$E$6:$E$505,U631),"")</f>
        <v/>
      </c>
      <c r="W631" s="96" t="str">
        <f>IF(G631="","",IFERROR(IF(ISNUMBER(INDEX(cfg_fac,MATCH(G631,cfg_units,0))),IF(INDEX(cfg_fac,MATCH(G631,cfg_units,0))&gt;0,INDEX(cfg_fac,MATCH(G631,cfg_units,0)),""),""),""))</f>
        <v/>
      </c>
      <c r="X631" s="96">
        <f>IF(AND(ISNUMBER(F631),ISNUMBER(H631)),IF(H631&gt;0,1,0),0)</f>
        <v>0</v>
      </c>
      <c r="Y631" s="96">
        <f>IF(Q631=0,0,IF(OR(T631=0,X631=0,NOT(ISNUMBER(E631)),AND(J631="Sim",L631="",M631=""),AND(ISNUMBER(E631),ISNUMBER(V631),N(V631)&gt;0,E631&lt;N(V631))),1,0))</f>
        <v>0</v>
      </c>
      <c r="Z631" s="96">
        <f>IF(AND(Q631=1,T631=1,X631=1,J631="Sim",OR(L631&lt;&gt;"",M631&lt;&gt;"")),1,0)</f>
        <v>0</v>
      </c>
      <c r="AA631" s="96">
        <f>IF(Q631=0,0,IF(AND(OR(r_ini="",AND(ISNUMBER(E631),E631&gt;=r_ini)),OR(r_fim="",AND(ISNUMBER(E631),E631&lt;=r_fim)),OR(r_un="",r_un="(Todas)",IF(N(U631)&gt;0,INDEX('MTRs'!$G$6:$G$505,U631),"")=r_un),OR(r_de="",r_de="(Todos)",D631=r_de)),1,0))</f>
        <v>0</v>
      </c>
      <c r="AB631" s="96" t="str">
        <f>IF(AA631=1,COUNTIF($AA$6:AA631,1),"")</f>
        <v/>
      </c>
    </row>
    <row r="632">
      <c r="A632" s="89" t="inlineStr">
        <is>
          <t>REC-000627</t>
        </is>
      </c>
      <c r="B632" s="94" t="str">
        <f>IF(T632=1,INDEX('ITENS_MTR'!$S$6:$S$1005,S632)&amp;"","")</f>
        <v/>
      </c>
      <c r="C632" s="91" t="n"/>
      <c r="D632" s="94" t="str">
        <f>IF(N(U632)&gt;0,INDEX('MTRs'!$I$6:$I$505,U632)&amp;"","")</f>
        <v/>
      </c>
      <c r="E632" s="92" t="n"/>
      <c r="F632" s="98" t="n"/>
      <c r="G632" s="91" t="n"/>
      <c r="H632" s="93" t="str">
        <f>IF(Q632=0,"",IF(NOT(ISNUMBER(F632)),"",IF(ISNUMBER(W632),F632*W632,"UNIDADE A CONFERIR")))</f>
        <v/>
      </c>
      <c r="I632" s="91" t="n"/>
      <c r="J632" s="91" t="n"/>
      <c r="K632" s="92" t="n"/>
      <c r="L632" s="91" t="n"/>
      <c r="M632" s="91" t="n"/>
      <c r="N632" s="91" t="n"/>
      <c r="O632" s="91" t="n"/>
      <c r="P632" s="94" t="str">
        <f>IF(Q632=0,"",IF(C632="","Item de resíduo não informado",IF(T632=0,"Item inexistente (referência inválida)",IF(NOT(ISNUMBER(F632)),"Quantidade não informada",IF(F632&lt;=0,"Quantidade não positiva",IF(G632="","Unidade não informada",IF(NOT(ISNUMBER(H632)),"Unidade a conferir",IF(NOT(ISNUMBER(E632)),"Data de recebimento não informada",IF(AND(ISNUMBER(V632),N(V632)&gt;0,E632&lt;N(V632)),"Data anterior à emissão do MTR",IF(AND(J632="Sim",L632="",M632=""),"Conferido sem evidência identificada",IF(J632&lt;&gt;"Sim","Aguardando conferência",IF(INDEX('ITENS_MTR'!$AM$6:$AM$1005,S632)=1,"Conferido (ver diferença no item)","Conferido"))))))))))))</f>
        <v/>
      </c>
      <c r="Q632" s="96">
        <f>IF(COUNTA(C632,E632:G632,I632:O632)&gt;0,1,0)</f>
        <v>0</v>
      </c>
      <c r="R632" s="96" t="str">
        <f>IF(C632="","",TRIM(LEFT(C632,FIND(" |",C632&amp;" |")-1)))</f>
        <v/>
      </c>
      <c r="S632" s="96" t="str">
        <f>IF(R632="","",IFERROR(MATCH(R632,'ITENS_MTR'!$A$6:$A$1005,0),""))</f>
        <v/>
      </c>
      <c r="T632" s="96">
        <f>IF(S632="",0,IF(INDEX('ITENS_MTR'!$R$6:$R$1005,S632)=1,1,0))</f>
        <v>0</v>
      </c>
      <c r="U632" s="96" t="str">
        <f>IF(T632=1,INDEX('ITENS_MTR'!$T$6:$T$1005,S632),"")</f>
        <v/>
      </c>
      <c r="V632" s="97" t="str">
        <f>IF(N(U632)&gt;0,INDEX('MTRs'!$E$6:$E$505,U632),"")</f>
        <v/>
      </c>
      <c r="W632" s="96" t="str">
        <f>IF(G632="","",IFERROR(IF(ISNUMBER(INDEX(cfg_fac,MATCH(G632,cfg_units,0))),IF(INDEX(cfg_fac,MATCH(G632,cfg_units,0))&gt;0,INDEX(cfg_fac,MATCH(G632,cfg_units,0)),""),""),""))</f>
        <v/>
      </c>
      <c r="X632" s="96">
        <f>IF(AND(ISNUMBER(F632),ISNUMBER(H632)),IF(H632&gt;0,1,0),0)</f>
        <v>0</v>
      </c>
      <c r="Y632" s="96">
        <f>IF(Q632=0,0,IF(OR(T632=0,X632=0,NOT(ISNUMBER(E632)),AND(J632="Sim",L632="",M632=""),AND(ISNUMBER(E632),ISNUMBER(V632),N(V632)&gt;0,E632&lt;N(V632))),1,0))</f>
        <v>0</v>
      </c>
      <c r="Z632" s="96">
        <f>IF(AND(Q632=1,T632=1,X632=1,J632="Sim",OR(L632&lt;&gt;"",M632&lt;&gt;"")),1,0)</f>
        <v>0</v>
      </c>
      <c r="AA632" s="96">
        <f>IF(Q632=0,0,IF(AND(OR(r_ini="",AND(ISNUMBER(E632),E632&gt;=r_ini)),OR(r_fim="",AND(ISNUMBER(E632),E632&lt;=r_fim)),OR(r_un="",r_un="(Todas)",IF(N(U632)&gt;0,INDEX('MTRs'!$G$6:$G$505,U632),"")=r_un),OR(r_de="",r_de="(Todos)",D632=r_de)),1,0))</f>
        <v>0</v>
      </c>
      <c r="AB632" s="96" t="str">
        <f>IF(AA632=1,COUNTIF($AA$6:AA632,1),"")</f>
        <v/>
      </c>
    </row>
    <row r="633">
      <c r="A633" s="89" t="inlineStr">
        <is>
          <t>REC-000628</t>
        </is>
      </c>
      <c r="B633" s="94" t="str">
        <f>IF(T633=1,INDEX('ITENS_MTR'!$S$6:$S$1005,S633)&amp;"","")</f>
        <v/>
      </c>
      <c r="C633" s="91" t="n"/>
      <c r="D633" s="94" t="str">
        <f>IF(N(U633)&gt;0,INDEX('MTRs'!$I$6:$I$505,U633)&amp;"","")</f>
        <v/>
      </c>
      <c r="E633" s="92" t="n"/>
      <c r="F633" s="98" t="n"/>
      <c r="G633" s="91" t="n"/>
      <c r="H633" s="93" t="str">
        <f>IF(Q633=0,"",IF(NOT(ISNUMBER(F633)),"",IF(ISNUMBER(W633),F633*W633,"UNIDADE A CONFERIR")))</f>
        <v/>
      </c>
      <c r="I633" s="91" t="n"/>
      <c r="J633" s="91" t="n"/>
      <c r="K633" s="92" t="n"/>
      <c r="L633" s="91" t="n"/>
      <c r="M633" s="91" t="n"/>
      <c r="N633" s="91" t="n"/>
      <c r="O633" s="91" t="n"/>
      <c r="P633" s="94" t="str">
        <f>IF(Q633=0,"",IF(C633="","Item de resíduo não informado",IF(T633=0,"Item inexistente (referência inválida)",IF(NOT(ISNUMBER(F633)),"Quantidade não informada",IF(F633&lt;=0,"Quantidade não positiva",IF(G633="","Unidade não informada",IF(NOT(ISNUMBER(H633)),"Unidade a conferir",IF(NOT(ISNUMBER(E633)),"Data de recebimento não informada",IF(AND(ISNUMBER(V633),N(V633)&gt;0,E633&lt;N(V633)),"Data anterior à emissão do MTR",IF(AND(J633="Sim",L633="",M633=""),"Conferido sem evidência identificada",IF(J633&lt;&gt;"Sim","Aguardando conferência",IF(INDEX('ITENS_MTR'!$AM$6:$AM$1005,S633)=1,"Conferido (ver diferença no item)","Conferido"))))))))))))</f>
        <v/>
      </c>
      <c r="Q633" s="96">
        <f>IF(COUNTA(C633,E633:G633,I633:O633)&gt;0,1,0)</f>
        <v>0</v>
      </c>
      <c r="R633" s="96" t="str">
        <f>IF(C633="","",TRIM(LEFT(C633,FIND(" |",C633&amp;" |")-1)))</f>
        <v/>
      </c>
      <c r="S633" s="96" t="str">
        <f>IF(R633="","",IFERROR(MATCH(R633,'ITENS_MTR'!$A$6:$A$1005,0),""))</f>
        <v/>
      </c>
      <c r="T633" s="96">
        <f>IF(S633="",0,IF(INDEX('ITENS_MTR'!$R$6:$R$1005,S633)=1,1,0))</f>
        <v>0</v>
      </c>
      <c r="U633" s="96" t="str">
        <f>IF(T633=1,INDEX('ITENS_MTR'!$T$6:$T$1005,S633),"")</f>
        <v/>
      </c>
      <c r="V633" s="97" t="str">
        <f>IF(N(U633)&gt;0,INDEX('MTRs'!$E$6:$E$505,U633),"")</f>
        <v/>
      </c>
      <c r="W633" s="96" t="str">
        <f>IF(G633="","",IFERROR(IF(ISNUMBER(INDEX(cfg_fac,MATCH(G633,cfg_units,0))),IF(INDEX(cfg_fac,MATCH(G633,cfg_units,0))&gt;0,INDEX(cfg_fac,MATCH(G633,cfg_units,0)),""),""),""))</f>
        <v/>
      </c>
      <c r="X633" s="96">
        <f>IF(AND(ISNUMBER(F633),ISNUMBER(H633)),IF(H633&gt;0,1,0),0)</f>
        <v>0</v>
      </c>
      <c r="Y633" s="96">
        <f>IF(Q633=0,0,IF(OR(T633=0,X633=0,NOT(ISNUMBER(E633)),AND(J633="Sim",L633="",M633=""),AND(ISNUMBER(E633),ISNUMBER(V633),N(V633)&gt;0,E633&lt;N(V633))),1,0))</f>
        <v>0</v>
      </c>
      <c r="Z633" s="96">
        <f>IF(AND(Q633=1,T633=1,X633=1,J633="Sim",OR(L633&lt;&gt;"",M633&lt;&gt;"")),1,0)</f>
        <v>0</v>
      </c>
      <c r="AA633" s="96">
        <f>IF(Q633=0,0,IF(AND(OR(r_ini="",AND(ISNUMBER(E633),E633&gt;=r_ini)),OR(r_fim="",AND(ISNUMBER(E633),E633&lt;=r_fim)),OR(r_un="",r_un="(Todas)",IF(N(U633)&gt;0,INDEX('MTRs'!$G$6:$G$505,U633),"")=r_un),OR(r_de="",r_de="(Todos)",D633=r_de)),1,0))</f>
        <v>0</v>
      </c>
      <c r="AB633" s="96" t="str">
        <f>IF(AA633=1,COUNTIF($AA$6:AA633,1),"")</f>
        <v/>
      </c>
    </row>
    <row r="634">
      <c r="A634" s="89" t="inlineStr">
        <is>
          <t>REC-000629</t>
        </is>
      </c>
      <c r="B634" s="94" t="str">
        <f>IF(T634=1,INDEX('ITENS_MTR'!$S$6:$S$1005,S634)&amp;"","")</f>
        <v/>
      </c>
      <c r="C634" s="91" t="n"/>
      <c r="D634" s="94" t="str">
        <f>IF(N(U634)&gt;0,INDEX('MTRs'!$I$6:$I$505,U634)&amp;"","")</f>
        <v/>
      </c>
      <c r="E634" s="92" t="n"/>
      <c r="F634" s="98" t="n"/>
      <c r="G634" s="91" t="n"/>
      <c r="H634" s="93" t="str">
        <f>IF(Q634=0,"",IF(NOT(ISNUMBER(F634)),"",IF(ISNUMBER(W634),F634*W634,"UNIDADE A CONFERIR")))</f>
        <v/>
      </c>
      <c r="I634" s="91" t="n"/>
      <c r="J634" s="91" t="n"/>
      <c r="K634" s="92" t="n"/>
      <c r="L634" s="91" t="n"/>
      <c r="M634" s="91" t="n"/>
      <c r="N634" s="91" t="n"/>
      <c r="O634" s="91" t="n"/>
      <c r="P634" s="94" t="str">
        <f>IF(Q634=0,"",IF(C634="","Item de resíduo não informado",IF(T634=0,"Item inexistente (referência inválida)",IF(NOT(ISNUMBER(F634)),"Quantidade não informada",IF(F634&lt;=0,"Quantidade não positiva",IF(G634="","Unidade não informada",IF(NOT(ISNUMBER(H634)),"Unidade a conferir",IF(NOT(ISNUMBER(E634)),"Data de recebimento não informada",IF(AND(ISNUMBER(V634),N(V634)&gt;0,E634&lt;N(V634)),"Data anterior à emissão do MTR",IF(AND(J634="Sim",L634="",M634=""),"Conferido sem evidência identificada",IF(J634&lt;&gt;"Sim","Aguardando conferência",IF(INDEX('ITENS_MTR'!$AM$6:$AM$1005,S634)=1,"Conferido (ver diferença no item)","Conferido"))))))))))))</f>
        <v/>
      </c>
      <c r="Q634" s="96">
        <f>IF(COUNTA(C634,E634:G634,I634:O634)&gt;0,1,0)</f>
        <v>0</v>
      </c>
      <c r="R634" s="96" t="str">
        <f>IF(C634="","",TRIM(LEFT(C634,FIND(" |",C634&amp;" |")-1)))</f>
        <v/>
      </c>
      <c r="S634" s="96" t="str">
        <f>IF(R634="","",IFERROR(MATCH(R634,'ITENS_MTR'!$A$6:$A$1005,0),""))</f>
        <v/>
      </c>
      <c r="T634" s="96">
        <f>IF(S634="",0,IF(INDEX('ITENS_MTR'!$R$6:$R$1005,S634)=1,1,0))</f>
        <v>0</v>
      </c>
      <c r="U634" s="96" t="str">
        <f>IF(T634=1,INDEX('ITENS_MTR'!$T$6:$T$1005,S634),"")</f>
        <v/>
      </c>
      <c r="V634" s="97" t="str">
        <f>IF(N(U634)&gt;0,INDEX('MTRs'!$E$6:$E$505,U634),"")</f>
        <v/>
      </c>
      <c r="W634" s="96" t="str">
        <f>IF(G634="","",IFERROR(IF(ISNUMBER(INDEX(cfg_fac,MATCH(G634,cfg_units,0))),IF(INDEX(cfg_fac,MATCH(G634,cfg_units,0))&gt;0,INDEX(cfg_fac,MATCH(G634,cfg_units,0)),""),""),""))</f>
        <v/>
      </c>
      <c r="X634" s="96">
        <f>IF(AND(ISNUMBER(F634),ISNUMBER(H634)),IF(H634&gt;0,1,0),0)</f>
        <v>0</v>
      </c>
      <c r="Y634" s="96">
        <f>IF(Q634=0,0,IF(OR(T634=0,X634=0,NOT(ISNUMBER(E634)),AND(J634="Sim",L634="",M634=""),AND(ISNUMBER(E634),ISNUMBER(V634),N(V634)&gt;0,E634&lt;N(V634))),1,0))</f>
        <v>0</v>
      </c>
      <c r="Z634" s="96">
        <f>IF(AND(Q634=1,T634=1,X634=1,J634="Sim",OR(L634&lt;&gt;"",M634&lt;&gt;"")),1,0)</f>
        <v>0</v>
      </c>
      <c r="AA634" s="96">
        <f>IF(Q634=0,0,IF(AND(OR(r_ini="",AND(ISNUMBER(E634),E634&gt;=r_ini)),OR(r_fim="",AND(ISNUMBER(E634),E634&lt;=r_fim)),OR(r_un="",r_un="(Todas)",IF(N(U634)&gt;0,INDEX('MTRs'!$G$6:$G$505,U634),"")=r_un),OR(r_de="",r_de="(Todos)",D634=r_de)),1,0))</f>
        <v>0</v>
      </c>
      <c r="AB634" s="96" t="str">
        <f>IF(AA634=1,COUNTIF($AA$6:AA634,1),"")</f>
        <v/>
      </c>
    </row>
    <row r="635">
      <c r="A635" s="89" t="inlineStr">
        <is>
          <t>REC-000630</t>
        </is>
      </c>
      <c r="B635" s="94" t="str">
        <f>IF(T635=1,INDEX('ITENS_MTR'!$S$6:$S$1005,S635)&amp;"","")</f>
        <v/>
      </c>
      <c r="C635" s="91" t="n"/>
      <c r="D635" s="94" t="str">
        <f>IF(N(U635)&gt;0,INDEX('MTRs'!$I$6:$I$505,U635)&amp;"","")</f>
        <v/>
      </c>
      <c r="E635" s="92" t="n"/>
      <c r="F635" s="98" t="n"/>
      <c r="G635" s="91" t="n"/>
      <c r="H635" s="93" t="str">
        <f>IF(Q635=0,"",IF(NOT(ISNUMBER(F635)),"",IF(ISNUMBER(W635),F635*W635,"UNIDADE A CONFERIR")))</f>
        <v/>
      </c>
      <c r="I635" s="91" t="n"/>
      <c r="J635" s="91" t="n"/>
      <c r="K635" s="92" t="n"/>
      <c r="L635" s="91" t="n"/>
      <c r="M635" s="91" t="n"/>
      <c r="N635" s="91" t="n"/>
      <c r="O635" s="91" t="n"/>
      <c r="P635" s="94" t="str">
        <f>IF(Q635=0,"",IF(C635="","Item de resíduo não informado",IF(T635=0,"Item inexistente (referência inválida)",IF(NOT(ISNUMBER(F635)),"Quantidade não informada",IF(F635&lt;=0,"Quantidade não positiva",IF(G635="","Unidade não informada",IF(NOT(ISNUMBER(H635)),"Unidade a conferir",IF(NOT(ISNUMBER(E635)),"Data de recebimento não informada",IF(AND(ISNUMBER(V635),N(V635)&gt;0,E635&lt;N(V635)),"Data anterior à emissão do MTR",IF(AND(J635="Sim",L635="",M635=""),"Conferido sem evidência identificada",IF(J635&lt;&gt;"Sim","Aguardando conferência",IF(INDEX('ITENS_MTR'!$AM$6:$AM$1005,S635)=1,"Conferido (ver diferença no item)","Conferido"))))))))))))</f>
        <v/>
      </c>
      <c r="Q635" s="96">
        <f>IF(COUNTA(C635,E635:G635,I635:O635)&gt;0,1,0)</f>
        <v>0</v>
      </c>
      <c r="R635" s="96" t="str">
        <f>IF(C635="","",TRIM(LEFT(C635,FIND(" |",C635&amp;" |")-1)))</f>
        <v/>
      </c>
      <c r="S635" s="96" t="str">
        <f>IF(R635="","",IFERROR(MATCH(R635,'ITENS_MTR'!$A$6:$A$1005,0),""))</f>
        <v/>
      </c>
      <c r="T635" s="96">
        <f>IF(S635="",0,IF(INDEX('ITENS_MTR'!$R$6:$R$1005,S635)=1,1,0))</f>
        <v>0</v>
      </c>
      <c r="U635" s="96" t="str">
        <f>IF(T635=1,INDEX('ITENS_MTR'!$T$6:$T$1005,S635),"")</f>
        <v/>
      </c>
      <c r="V635" s="97" t="str">
        <f>IF(N(U635)&gt;0,INDEX('MTRs'!$E$6:$E$505,U635),"")</f>
        <v/>
      </c>
      <c r="W635" s="96" t="str">
        <f>IF(G635="","",IFERROR(IF(ISNUMBER(INDEX(cfg_fac,MATCH(G635,cfg_units,0))),IF(INDEX(cfg_fac,MATCH(G635,cfg_units,0))&gt;0,INDEX(cfg_fac,MATCH(G635,cfg_units,0)),""),""),""))</f>
        <v/>
      </c>
      <c r="X635" s="96">
        <f>IF(AND(ISNUMBER(F635),ISNUMBER(H635)),IF(H635&gt;0,1,0),0)</f>
        <v>0</v>
      </c>
      <c r="Y635" s="96">
        <f>IF(Q635=0,0,IF(OR(T635=0,X635=0,NOT(ISNUMBER(E635)),AND(J635="Sim",L635="",M635=""),AND(ISNUMBER(E635),ISNUMBER(V635),N(V635)&gt;0,E635&lt;N(V635))),1,0))</f>
        <v>0</v>
      </c>
      <c r="Z635" s="96">
        <f>IF(AND(Q635=1,T635=1,X635=1,J635="Sim",OR(L635&lt;&gt;"",M635&lt;&gt;"")),1,0)</f>
        <v>0</v>
      </c>
      <c r="AA635" s="96">
        <f>IF(Q635=0,0,IF(AND(OR(r_ini="",AND(ISNUMBER(E635),E635&gt;=r_ini)),OR(r_fim="",AND(ISNUMBER(E635),E635&lt;=r_fim)),OR(r_un="",r_un="(Todas)",IF(N(U635)&gt;0,INDEX('MTRs'!$G$6:$G$505,U635),"")=r_un),OR(r_de="",r_de="(Todos)",D635=r_de)),1,0))</f>
        <v>0</v>
      </c>
      <c r="AB635" s="96" t="str">
        <f>IF(AA635=1,COUNTIF($AA$6:AA635,1),"")</f>
        <v/>
      </c>
    </row>
    <row r="636">
      <c r="A636" s="89" t="inlineStr">
        <is>
          <t>REC-000631</t>
        </is>
      </c>
      <c r="B636" s="94" t="str">
        <f>IF(T636=1,INDEX('ITENS_MTR'!$S$6:$S$1005,S636)&amp;"","")</f>
        <v/>
      </c>
      <c r="C636" s="91" t="n"/>
      <c r="D636" s="94" t="str">
        <f>IF(N(U636)&gt;0,INDEX('MTRs'!$I$6:$I$505,U636)&amp;"","")</f>
        <v/>
      </c>
      <c r="E636" s="92" t="n"/>
      <c r="F636" s="98" t="n"/>
      <c r="G636" s="91" t="n"/>
      <c r="H636" s="93" t="str">
        <f>IF(Q636=0,"",IF(NOT(ISNUMBER(F636)),"",IF(ISNUMBER(W636),F636*W636,"UNIDADE A CONFERIR")))</f>
        <v/>
      </c>
      <c r="I636" s="91" t="n"/>
      <c r="J636" s="91" t="n"/>
      <c r="K636" s="92" t="n"/>
      <c r="L636" s="91" t="n"/>
      <c r="M636" s="91" t="n"/>
      <c r="N636" s="91" t="n"/>
      <c r="O636" s="91" t="n"/>
      <c r="P636" s="94" t="str">
        <f>IF(Q636=0,"",IF(C636="","Item de resíduo não informado",IF(T636=0,"Item inexistente (referência inválida)",IF(NOT(ISNUMBER(F636)),"Quantidade não informada",IF(F636&lt;=0,"Quantidade não positiva",IF(G636="","Unidade não informada",IF(NOT(ISNUMBER(H636)),"Unidade a conferir",IF(NOT(ISNUMBER(E636)),"Data de recebimento não informada",IF(AND(ISNUMBER(V636),N(V636)&gt;0,E636&lt;N(V636)),"Data anterior à emissão do MTR",IF(AND(J636="Sim",L636="",M636=""),"Conferido sem evidência identificada",IF(J636&lt;&gt;"Sim","Aguardando conferência",IF(INDEX('ITENS_MTR'!$AM$6:$AM$1005,S636)=1,"Conferido (ver diferença no item)","Conferido"))))))))))))</f>
        <v/>
      </c>
      <c r="Q636" s="96">
        <f>IF(COUNTA(C636,E636:G636,I636:O636)&gt;0,1,0)</f>
        <v>0</v>
      </c>
      <c r="R636" s="96" t="str">
        <f>IF(C636="","",TRIM(LEFT(C636,FIND(" |",C636&amp;" |")-1)))</f>
        <v/>
      </c>
      <c r="S636" s="96" t="str">
        <f>IF(R636="","",IFERROR(MATCH(R636,'ITENS_MTR'!$A$6:$A$1005,0),""))</f>
        <v/>
      </c>
      <c r="T636" s="96">
        <f>IF(S636="",0,IF(INDEX('ITENS_MTR'!$R$6:$R$1005,S636)=1,1,0))</f>
        <v>0</v>
      </c>
      <c r="U636" s="96" t="str">
        <f>IF(T636=1,INDEX('ITENS_MTR'!$T$6:$T$1005,S636),"")</f>
        <v/>
      </c>
      <c r="V636" s="97" t="str">
        <f>IF(N(U636)&gt;0,INDEX('MTRs'!$E$6:$E$505,U636),"")</f>
        <v/>
      </c>
      <c r="W636" s="96" t="str">
        <f>IF(G636="","",IFERROR(IF(ISNUMBER(INDEX(cfg_fac,MATCH(G636,cfg_units,0))),IF(INDEX(cfg_fac,MATCH(G636,cfg_units,0))&gt;0,INDEX(cfg_fac,MATCH(G636,cfg_units,0)),""),""),""))</f>
        <v/>
      </c>
      <c r="X636" s="96">
        <f>IF(AND(ISNUMBER(F636),ISNUMBER(H636)),IF(H636&gt;0,1,0),0)</f>
        <v>0</v>
      </c>
      <c r="Y636" s="96">
        <f>IF(Q636=0,0,IF(OR(T636=0,X636=0,NOT(ISNUMBER(E636)),AND(J636="Sim",L636="",M636=""),AND(ISNUMBER(E636),ISNUMBER(V636),N(V636)&gt;0,E636&lt;N(V636))),1,0))</f>
        <v>0</v>
      </c>
      <c r="Z636" s="96">
        <f>IF(AND(Q636=1,T636=1,X636=1,J636="Sim",OR(L636&lt;&gt;"",M636&lt;&gt;"")),1,0)</f>
        <v>0</v>
      </c>
      <c r="AA636" s="96">
        <f>IF(Q636=0,0,IF(AND(OR(r_ini="",AND(ISNUMBER(E636),E636&gt;=r_ini)),OR(r_fim="",AND(ISNUMBER(E636),E636&lt;=r_fim)),OR(r_un="",r_un="(Todas)",IF(N(U636)&gt;0,INDEX('MTRs'!$G$6:$G$505,U636),"")=r_un),OR(r_de="",r_de="(Todos)",D636=r_de)),1,0))</f>
        <v>0</v>
      </c>
      <c r="AB636" s="96" t="str">
        <f>IF(AA636=1,COUNTIF($AA$6:AA636,1),"")</f>
        <v/>
      </c>
    </row>
    <row r="637">
      <c r="A637" s="89" t="inlineStr">
        <is>
          <t>REC-000632</t>
        </is>
      </c>
      <c r="B637" s="94" t="str">
        <f>IF(T637=1,INDEX('ITENS_MTR'!$S$6:$S$1005,S637)&amp;"","")</f>
        <v/>
      </c>
      <c r="C637" s="91" t="n"/>
      <c r="D637" s="94" t="str">
        <f>IF(N(U637)&gt;0,INDEX('MTRs'!$I$6:$I$505,U637)&amp;"","")</f>
        <v/>
      </c>
      <c r="E637" s="92" t="n"/>
      <c r="F637" s="98" t="n"/>
      <c r="G637" s="91" t="n"/>
      <c r="H637" s="93" t="str">
        <f>IF(Q637=0,"",IF(NOT(ISNUMBER(F637)),"",IF(ISNUMBER(W637),F637*W637,"UNIDADE A CONFERIR")))</f>
        <v/>
      </c>
      <c r="I637" s="91" t="n"/>
      <c r="J637" s="91" t="n"/>
      <c r="K637" s="92" t="n"/>
      <c r="L637" s="91" t="n"/>
      <c r="M637" s="91" t="n"/>
      <c r="N637" s="91" t="n"/>
      <c r="O637" s="91" t="n"/>
      <c r="P637" s="94" t="str">
        <f>IF(Q637=0,"",IF(C637="","Item de resíduo não informado",IF(T637=0,"Item inexistente (referência inválida)",IF(NOT(ISNUMBER(F637)),"Quantidade não informada",IF(F637&lt;=0,"Quantidade não positiva",IF(G637="","Unidade não informada",IF(NOT(ISNUMBER(H637)),"Unidade a conferir",IF(NOT(ISNUMBER(E637)),"Data de recebimento não informada",IF(AND(ISNUMBER(V637),N(V637)&gt;0,E637&lt;N(V637)),"Data anterior à emissão do MTR",IF(AND(J637="Sim",L637="",M637=""),"Conferido sem evidência identificada",IF(J637&lt;&gt;"Sim","Aguardando conferência",IF(INDEX('ITENS_MTR'!$AM$6:$AM$1005,S637)=1,"Conferido (ver diferença no item)","Conferido"))))))))))))</f>
        <v/>
      </c>
      <c r="Q637" s="96">
        <f>IF(COUNTA(C637,E637:G637,I637:O637)&gt;0,1,0)</f>
        <v>0</v>
      </c>
      <c r="R637" s="96" t="str">
        <f>IF(C637="","",TRIM(LEFT(C637,FIND(" |",C637&amp;" |")-1)))</f>
        <v/>
      </c>
      <c r="S637" s="96" t="str">
        <f>IF(R637="","",IFERROR(MATCH(R637,'ITENS_MTR'!$A$6:$A$1005,0),""))</f>
        <v/>
      </c>
      <c r="T637" s="96">
        <f>IF(S637="",0,IF(INDEX('ITENS_MTR'!$R$6:$R$1005,S637)=1,1,0))</f>
        <v>0</v>
      </c>
      <c r="U637" s="96" t="str">
        <f>IF(T637=1,INDEX('ITENS_MTR'!$T$6:$T$1005,S637),"")</f>
        <v/>
      </c>
      <c r="V637" s="97" t="str">
        <f>IF(N(U637)&gt;0,INDEX('MTRs'!$E$6:$E$505,U637),"")</f>
        <v/>
      </c>
      <c r="W637" s="96" t="str">
        <f>IF(G637="","",IFERROR(IF(ISNUMBER(INDEX(cfg_fac,MATCH(G637,cfg_units,0))),IF(INDEX(cfg_fac,MATCH(G637,cfg_units,0))&gt;0,INDEX(cfg_fac,MATCH(G637,cfg_units,0)),""),""),""))</f>
        <v/>
      </c>
      <c r="X637" s="96">
        <f>IF(AND(ISNUMBER(F637),ISNUMBER(H637)),IF(H637&gt;0,1,0),0)</f>
        <v>0</v>
      </c>
      <c r="Y637" s="96">
        <f>IF(Q637=0,0,IF(OR(T637=0,X637=0,NOT(ISNUMBER(E637)),AND(J637="Sim",L637="",M637=""),AND(ISNUMBER(E637),ISNUMBER(V637),N(V637)&gt;0,E637&lt;N(V637))),1,0))</f>
        <v>0</v>
      </c>
      <c r="Z637" s="96">
        <f>IF(AND(Q637=1,T637=1,X637=1,J637="Sim",OR(L637&lt;&gt;"",M637&lt;&gt;"")),1,0)</f>
        <v>0</v>
      </c>
      <c r="AA637" s="96">
        <f>IF(Q637=0,0,IF(AND(OR(r_ini="",AND(ISNUMBER(E637),E637&gt;=r_ini)),OR(r_fim="",AND(ISNUMBER(E637),E637&lt;=r_fim)),OR(r_un="",r_un="(Todas)",IF(N(U637)&gt;0,INDEX('MTRs'!$G$6:$G$505,U637),"")=r_un),OR(r_de="",r_de="(Todos)",D637=r_de)),1,0))</f>
        <v>0</v>
      </c>
      <c r="AB637" s="96" t="str">
        <f>IF(AA637=1,COUNTIF($AA$6:AA637,1),"")</f>
        <v/>
      </c>
    </row>
    <row r="638">
      <c r="A638" s="89" t="inlineStr">
        <is>
          <t>REC-000633</t>
        </is>
      </c>
      <c r="B638" s="94" t="str">
        <f>IF(T638=1,INDEX('ITENS_MTR'!$S$6:$S$1005,S638)&amp;"","")</f>
        <v/>
      </c>
      <c r="C638" s="91" t="n"/>
      <c r="D638" s="94" t="str">
        <f>IF(N(U638)&gt;0,INDEX('MTRs'!$I$6:$I$505,U638)&amp;"","")</f>
        <v/>
      </c>
      <c r="E638" s="92" t="n"/>
      <c r="F638" s="98" t="n"/>
      <c r="G638" s="91" t="n"/>
      <c r="H638" s="93" t="str">
        <f>IF(Q638=0,"",IF(NOT(ISNUMBER(F638)),"",IF(ISNUMBER(W638),F638*W638,"UNIDADE A CONFERIR")))</f>
        <v/>
      </c>
      <c r="I638" s="91" t="n"/>
      <c r="J638" s="91" t="n"/>
      <c r="K638" s="92" t="n"/>
      <c r="L638" s="91" t="n"/>
      <c r="M638" s="91" t="n"/>
      <c r="N638" s="91" t="n"/>
      <c r="O638" s="91" t="n"/>
      <c r="P638" s="94" t="str">
        <f>IF(Q638=0,"",IF(C638="","Item de resíduo não informado",IF(T638=0,"Item inexistente (referência inválida)",IF(NOT(ISNUMBER(F638)),"Quantidade não informada",IF(F638&lt;=0,"Quantidade não positiva",IF(G638="","Unidade não informada",IF(NOT(ISNUMBER(H638)),"Unidade a conferir",IF(NOT(ISNUMBER(E638)),"Data de recebimento não informada",IF(AND(ISNUMBER(V638),N(V638)&gt;0,E638&lt;N(V638)),"Data anterior à emissão do MTR",IF(AND(J638="Sim",L638="",M638=""),"Conferido sem evidência identificada",IF(J638&lt;&gt;"Sim","Aguardando conferência",IF(INDEX('ITENS_MTR'!$AM$6:$AM$1005,S638)=1,"Conferido (ver diferença no item)","Conferido"))))))))))))</f>
        <v/>
      </c>
      <c r="Q638" s="96">
        <f>IF(COUNTA(C638,E638:G638,I638:O638)&gt;0,1,0)</f>
        <v>0</v>
      </c>
      <c r="R638" s="96" t="str">
        <f>IF(C638="","",TRIM(LEFT(C638,FIND(" |",C638&amp;" |")-1)))</f>
        <v/>
      </c>
      <c r="S638" s="96" t="str">
        <f>IF(R638="","",IFERROR(MATCH(R638,'ITENS_MTR'!$A$6:$A$1005,0),""))</f>
        <v/>
      </c>
      <c r="T638" s="96">
        <f>IF(S638="",0,IF(INDEX('ITENS_MTR'!$R$6:$R$1005,S638)=1,1,0))</f>
        <v>0</v>
      </c>
      <c r="U638" s="96" t="str">
        <f>IF(T638=1,INDEX('ITENS_MTR'!$T$6:$T$1005,S638),"")</f>
        <v/>
      </c>
      <c r="V638" s="97" t="str">
        <f>IF(N(U638)&gt;0,INDEX('MTRs'!$E$6:$E$505,U638),"")</f>
        <v/>
      </c>
      <c r="W638" s="96" t="str">
        <f>IF(G638="","",IFERROR(IF(ISNUMBER(INDEX(cfg_fac,MATCH(G638,cfg_units,0))),IF(INDEX(cfg_fac,MATCH(G638,cfg_units,0))&gt;0,INDEX(cfg_fac,MATCH(G638,cfg_units,0)),""),""),""))</f>
        <v/>
      </c>
      <c r="X638" s="96">
        <f>IF(AND(ISNUMBER(F638),ISNUMBER(H638)),IF(H638&gt;0,1,0),0)</f>
        <v>0</v>
      </c>
      <c r="Y638" s="96">
        <f>IF(Q638=0,0,IF(OR(T638=0,X638=0,NOT(ISNUMBER(E638)),AND(J638="Sim",L638="",M638=""),AND(ISNUMBER(E638),ISNUMBER(V638),N(V638)&gt;0,E638&lt;N(V638))),1,0))</f>
        <v>0</v>
      </c>
      <c r="Z638" s="96">
        <f>IF(AND(Q638=1,T638=1,X638=1,J638="Sim",OR(L638&lt;&gt;"",M638&lt;&gt;"")),1,0)</f>
        <v>0</v>
      </c>
      <c r="AA638" s="96">
        <f>IF(Q638=0,0,IF(AND(OR(r_ini="",AND(ISNUMBER(E638),E638&gt;=r_ini)),OR(r_fim="",AND(ISNUMBER(E638),E638&lt;=r_fim)),OR(r_un="",r_un="(Todas)",IF(N(U638)&gt;0,INDEX('MTRs'!$G$6:$G$505,U638),"")=r_un),OR(r_de="",r_de="(Todos)",D638=r_de)),1,0))</f>
        <v>0</v>
      </c>
      <c r="AB638" s="96" t="str">
        <f>IF(AA638=1,COUNTIF($AA$6:AA638,1),"")</f>
        <v/>
      </c>
    </row>
    <row r="639">
      <c r="A639" s="89" t="inlineStr">
        <is>
          <t>REC-000634</t>
        </is>
      </c>
      <c r="B639" s="94" t="str">
        <f>IF(T639=1,INDEX('ITENS_MTR'!$S$6:$S$1005,S639)&amp;"","")</f>
        <v/>
      </c>
      <c r="C639" s="91" t="n"/>
      <c r="D639" s="94" t="str">
        <f>IF(N(U639)&gt;0,INDEX('MTRs'!$I$6:$I$505,U639)&amp;"","")</f>
        <v/>
      </c>
      <c r="E639" s="92" t="n"/>
      <c r="F639" s="98" t="n"/>
      <c r="G639" s="91" t="n"/>
      <c r="H639" s="93" t="str">
        <f>IF(Q639=0,"",IF(NOT(ISNUMBER(F639)),"",IF(ISNUMBER(W639),F639*W639,"UNIDADE A CONFERIR")))</f>
        <v/>
      </c>
      <c r="I639" s="91" t="n"/>
      <c r="J639" s="91" t="n"/>
      <c r="K639" s="92" t="n"/>
      <c r="L639" s="91" t="n"/>
      <c r="M639" s="91" t="n"/>
      <c r="N639" s="91" t="n"/>
      <c r="O639" s="91" t="n"/>
      <c r="P639" s="94" t="str">
        <f>IF(Q639=0,"",IF(C639="","Item de resíduo não informado",IF(T639=0,"Item inexistente (referência inválida)",IF(NOT(ISNUMBER(F639)),"Quantidade não informada",IF(F639&lt;=0,"Quantidade não positiva",IF(G639="","Unidade não informada",IF(NOT(ISNUMBER(H639)),"Unidade a conferir",IF(NOT(ISNUMBER(E639)),"Data de recebimento não informada",IF(AND(ISNUMBER(V639),N(V639)&gt;0,E639&lt;N(V639)),"Data anterior à emissão do MTR",IF(AND(J639="Sim",L639="",M639=""),"Conferido sem evidência identificada",IF(J639&lt;&gt;"Sim","Aguardando conferência",IF(INDEX('ITENS_MTR'!$AM$6:$AM$1005,S639)=1,"Conferido (ver diferença no item)","Conferido"))))))))))))</f>
        <v/>
      </c>
      <c r="Q639" s="96">
        <f>IF(COUNTA(C639,E639:G639,I639:O639)&gt;0,1,0)</f>
        <v>0</v>
      </c>
      <c r="R639" s="96" t="str">
        <f>IF(C639="","",TRIM(LEFT(C639,FIND(" |",C639&amp;" |")-1)))</f>
        <v/>
      </c>
      <c r="S639" s="96" t="str">
        <f>IF(R639="","",IFERROR(MATCH(R639,'ITENS_MTR'!$A$6:$A$1005,0),""))</f>
        <v/>
      </c>
      <c r="T639" s="96">
        <f>IF(S639="",0,IF(INDEX('ITENS_MTR'!$R$6:$R$1005,S639)=1,1,0))</f>
        <v>0</v>
      </c>
      <c r="U639" s="96" t="str">
        <f>IF(T639=1,INDEX('ITENS_MTR'!$T$6:$T$1005,S639),"")</f>
        <v/>
      </c>
      <c r="V639" s="97" t="str">
        <f>IF(N(U639)&gt;0,INDEX('MTRs'!$E$6:$E$505,U639),"")</f>
        <v/>
      </c>
      <c r="W639" s="96" t="str">
        <f>IF(G639="","",IFERROR(IF(ISNUMBER(INDEX(cfg_fac,MATCH(G639,cfg_units,0))),IF(INDEX(cfg_fac,MATCH(G639,cfg_units,0))&gt;0,INDEX(cfg_fac,MATCH(G639,cfg_units,0)),""),""),""))</f>
        <v/>
      </c>
      <c r="X639" s="96">
        <f>IF(AND(ISNUMBER(F639),ISNUMBER(H639)),IF(H639&gt;0,1,0),0)</f>
        <v>0</v>
      </c>
      <c r="Y639" s="96">
        <f>IF(Q639=0,0,IF(OR(T639=0,X639=0,NOT(ISNUMBER(E639)),AND(J639="Sim",L639="",M639=""),AND(ISNUMBER(E639),ISNUMBER(V639),N(V639)&gt;0,E639&lt;N(V639))),1,0))</f>
        <v>0</v>
      </c>
      <c r="Z639" s="96">
        <f>IF(AND(Q639=1,T639=1,X639=1,J639="Sim",OR(L639&lt;&gt;"",M639&lt;&gt;"")),1,0)</f>
        <v>0</v>
      </c>
      <c r="AA639" s="96">
        <f>IF(Q639=0,0,IF(AND(OR(r_ini="",AND(ISNUMBER(E639),E639&gt;=r_ini)),OR(r_fim="",AND(ISNUMBER(E639),E639&lt;=r_fim)),OR(r_un="",r_un="(Todas)",IF(N(U639)&gt;0,INDEX('MTRs'!$G$6:$G$505,U639),"")=r_un),OR(r_de="",r_de="(Todos)",D639=r_de)),1,0))</f>
        <v>0</v>
      </c>
      <c r="AB639" s="96" t="str">
        <f>IF(AA639=1,COUNTIF($AA$6:AA639,1),"")</f>
        <v/>
      </c>
    </row>
    <row r="640">
      <c r="A640" s="89" t="inlineStr">
        <is>
          <t>REC-000635</t>
        </is>
      </c>
      <c r="B640" s="94" t="str">
        <f>IF(T640=1,INDEX('ITENS_MTR'!$S$6:$S$1005,S640)&amp;"","")</f>
        <v/>
      </c>
      <c r="C640" s="91" t="n"/>
      <c r="D640" s="94" t="str">
        <f>IF(N(U640)&gt;0,INDEX('MTRs'!$I$6:$I$505,U640)&amp;"","")</f>
        <v/>
      </c>
      <c r="E640" s="92" t="n"/>
      <c r="F640" s="98" t="n"/>
      <c r="G640" s="91" t="n"/>
      <c r="H640" s="93" t="str">
        <f>IF(Q640=0,"",IF(NOT(ISNUMBER(F640)),"",IF(ISNUMBER(W640),F640*W640,"UNIDADE A CONFERIR")))</f>
        <v/>
      </c>
      <c r="I640" s="91" t="n"/>
      <c r="J640" s="91" t="n"/>
      <c r="K640" s="92" t="n"/>
      <c r="L640" s="91" t="n"/>
      <c r="M640" s="91" t="n"/>
      <c r="N640" s="91" t="n"/>
      <c r="O640" s="91" t="n"/>
      <c r="P640" s="94" t="str">
        <f>IF(Q640=0,"",IF(C640="","Item de resíduo não informado",IF(T640=0,"Item inexistente (referência inválida)",IF(NOT(ISNUMBER(F640)),"Quantidade não informada",IF(F640&lt;=0,"Quantidade não positiva",IF(G640="","Unidade não informada",IF(NOT(ISNUMBER(H640)),"Unidade a conferir",IF(NOT(ISNUMBER(E640)),"Data de recebimento não informada",IF(AND(ISNUMBER(V640),N(V640)&gt;0,E640&lt;N(V640)),"Data anterior à emissão do MTR",IF(AND(J640="Sim",L640="",M640=""),"Conferido sem evidência identificada",IF(J640&lt;&gt;"Sim","Aguardando conferência",IF(INDEX('ITENS_MTR'!$AM$6:$AM$1005,S640)=1,"Conferido (ver diferença no item)","Conferido"))))))))))))</f>
        <v/>
      </c>
      <c r="Q640" s="96">
        <f>IF(COUNTA(C640,E640:G640,I640:O640)&gt;0,1,0)</f>
        <v>0</v>
      </c>
      <c r="R640" s="96" t="str">
        <f>IF(C640="","",TRIM(LEFT(C640,FIND(" |",C640&amp;" |")-1)))</f>
        <v/>
      </c>
      <c r="S640" s="96" t="str">
        <f>IF(R640="","",IFERROR(MATCH(R640,'ITENS_MTR'!$A$6:$A$1005,0),""))</f>
        <v/>
      </c>
      <c r="T640" s="96">
        <f>IF(S640="",0,IF(INDEX('ITENS_MTR'!$R$6:$R$1005,S640)=1,1,0))</f>
        <v>0</v>
      </c>
      <c r="U640" s="96" t="str">
        <f>IF(T640=1,INDEX('ITENS_MTR'!$T$6:$T$1005,S640),"")</f>
        <v/>
      </c>
      <c r="V640" s="97" t="str">
        <f>IF(N(U640)&gt;0,INDEX('MTRs'!$E$6:$E$505,U640),"")</f>
        <v/>
      </c>
      <c r="W640" s="96" t="str">
        <f>IF(G640="","",IFERROR(IF(ISNUMBER(INDEX(cfg_fac,MATCH(G640,cfg_units,0))),IF(INDEX(cfg_fac,MATCH(G640,cfg_units,0))&gt;0,INDEX(cfg_fac,MATCH(G640,cfg_units,0)),""),""),""))</f>
        <v/>
      </c>
      <c r="X640" s="96">
        <f>IF(AND(ISNUMBER(F640),ISNUMBER(H640)),IF(H640&gt;0,1,0),0)</f>
        <v>0</v>
      </c>
      <c r="Y640" s="96">
        <f>IF(Q640=0,0,IF(OR(T640=0,X640=0,NOT(ISNUMBER(E640)),AND(J640="Sim",L640="",M640=""),AND(ISNUMBER(E640),ISNUMBER(V640),N(V640)&gt;0,E640&lt;N(V640))),1,0))</f>
        <v>0</v>
      </c>
      <c r="Z640" s="96">
        <f>IF(AND(Q640=1,T640=1,X640=1,J640="Sim",OR(L640&lt;&gt;"",M640&lt;&gt;"")),1,0)</f>
        <v>0</v>
      </c>
      <c r="AA640" s="96">
        <f>IF(Q640=0,0,IF(AND(OR(r_ini="",AND(ISNUMBER(E640),E640&gt;=r_ini)),OR(r_fim="",AND(ISNUMBER(E640),E640&lt;=r_fim)),OR(r_un="",r_un="(Todas)",IF(N(U640)&gt;0,INDEX('MTRs'!$G$6:$G$505,U640),"")=r_un),OR(r_de="",r_de="(Todos)",D640=r_de)),1,0))</f>
        <v>0</v>
      </c>
      <c r="AB640" s="96" t="str">
        <f>IF(AA640=1,COUNTIF($AA$6:AA640,1),"")</f>
        <v/>
      </c>
    </row>
    <row r="641">
      <c r="A641" s="89" t="inlineStr">
        <is>
          <t>REC-000636</t>
        </is>
      </c>
      <c r="B641" s="94" t="str">
        <f>IF(T641=1,INDEX('ITENS_MTR'!$S$6:$S$1005,S641)&amp;"","")</f>
        <v/>
      </c>
      <c r="C641" s="91" t="n"/>
      <c r="D641" s="94" t="str">
        <f>IF(N(U641)&gt;0,INDEX('MTRs'!$I$6:$I$505,U641)&amp;"","")</f>
        <v/>
      </c>
      <c r="E641" s="92" t="n"/>
      <c r="F641" s="98" t="n"/>
      <c r="G641" s="91" t="n"/>
      <c r="H641" s="93" t="str">
        <f>IF(Q641=0,"",IF(NOT(ISNUMBER(F641)),"",IF(ISNUMBER(W641),F641*W641,"UNIDADE A CONFERIR")))</f>
        <v/>
      </c>
      <c r="I641" s="91" t="n"/>
      <c r="J641" s="91" t="n"/>
      <c r="K641" s="92" t="n"/>
      <c r="L641" s="91" t="n"/>
      <c r="M641" s="91" t="n"/>
      <c r="N641" s="91" t="n"/>
      <c r="O641" s="91" t="n"/>
      <c r="P641" s="94" t="str">
        <f>IF(Q641=0,"",IF(C641="","Item de resíduo não informado",IF(T641=0,"Item inexistente (referência inválida)",IF(NOT(ISNUMBER(F641)),"Quantidade não informada",IF(F641&lt;=0,"Quantidade não positiva",IF(G641="","Unidade não informada",IF(NOT(ISNUMBER(H641)),"Unidade a conferir",IF(NOT(ISNUMBER(E641)),"Data de recebimento não informada",IF(AND(ISNUMBER(V641),N(V641)&gt;0,E641&lt;N(V641)),"Data anterior à emissão do MTR",IF(AND(J641="Sim",L641="",M641=""),"Conferido sem evidência identificada",IF(J641&lt;&gt;"Sim","Aguardando conferência",IF(INDEX('ITENS_MTR'!$AM$6:$AM$1005,S641)=1,"Conferido (ver diferença no item)","Conferido"))))))))))))</f>
        <v/>
      </c>
      <c r="Q641" s="96">
        <f>IF(COUNTA(C641,E641:G641,I641:O641)&gt;0,1,0)</f>
        <v>0</v>
      </c>
      <c r="R641" s="96" t="str">
        <f>IF(C641="","",TRIM(LEFT(C641,FIND(" |",C641&amp;" |")-1)))</f>
        <v/>
      </c>
      <c r="S641" s="96" t="str">
        <f>IF(R641="","",IFERROR(MATCH(R641,'ITENS_MTR'!$A$6:$A$1005,0),""))</f>
        <v/>
      </c>
      <c r="T641" s="96">
        <f>IF(S641="",0,IF(INDEX('ITENS_MTR'!$R$6:$R$1005,S641)=1,1,0))</f>
        <v>0</v>
      </c>
      <c r="U641" s="96" t="str">
        <f>IF(T641=1,INDEX('ITENS_MTR'!$T$6:$T$1005,S641),"")</f>
        <v/>
      </c>
      <c r="V641" s="97" t="str">
        <f>IF(N(U641)&gt;0,INDEX('MTRs'!$E$6:$E$505,U641),"")</f>
        <v/>
      </c>
      <c r="W641" s="96" t="str">
        <f>IF(G641="","",IFERROR(IF(ISNUMBER(INDEX(cfg_fac,MATCH(G641,cfg_units,0))),IF(INDEX(cfg_fac,MATCH(G641,cfg_units,0))&gt;0,INDEX(cfg_fac,MATCH(G641,cfg_units,0)),""),""),""))</f>
        <v/>
      </c>
      <c r="X641" s="96">
        <f>IF(AND(ISNUMBER(F641),ISNUMBER(H641)),IF(H641&gt;0,1,0),0)</f>
        <v>0</v>
      </c>
      <c r="Y641" s="96">
        <f>IF(Q641=0,0,IF(OR(T641=0,X641=0,NOT(ISNUMBER(E641)),AND(J641="Sim",L641="",M641=""),AND(ISNUMBER(E641),ISNUMBER(V641),N(V641)&gt;0,E641&lt;N(V641))),1,0))</f>
        <v>0</v>
      </c>
      <c r="Z641" s="96">
        <f>IF(AND(Q641=1,T641=1,X641=1,J641="Sim",OR(L641&lt;&gt;"",M641&lt;&gt;"")),1,0)</f>
        <v>0</v>
      </c>
      <c r="AA641" s="96">
        <f>IF(Q641=0,0,IF(AND(OR(r_ini="",AND(ISNUMBER(E641),E641&gt;=r_ini)),OR(r_fim="",AND(ISNUMBER(E641),E641&lt;=r_fim)),OR(r_un="",r_un="(Todas)",IF(N(U641)&gt;0,INDEX('MTRs'!$G$6:$G$505,U641),"")=r_un),OR(r_de="",r_de="(Todos)",D641=r_de)),1,0))</f>
        <v>0</v>
      </c>
      <c r="AB641" s="96" t="str">
        <f>IF(AA641=1,COUNTIF($AA$6:AA641,1),"")</f>
        <v/>
      </c>
    </row>
    <row r="642">
      <c r="A642" s="89" t="inlineStr">
        <is>
          <t>REC-000637</t>
        </is>
      </c>
      <c r="B642" s="94" t="str">
        <f>IF(T642=1,INDEX('ITENS_MTR'!$S$6:$S$1005,S642)&amp;"","")</f>
        <v/>
      </c>
      <c r="C642" s="91" t="n"/>
      <c r="D642" s="94" t="str">
        <f>IF(N(U642)&gt;0,INDEX('MTRs'!$I$6:$I$505,U642)&amp;"","")</f>
        <v/>
      </c>
      <c r="E642" s="92" t="n"/>
      <c r="F642" s="98" t="n"/>
      <c r="G642" s="91" t="n"/>
      <c r="H642" s="93" t="str">
        <f>IF(Q642=0,"",IF(NOT(ISNUMBER(F642)),"",IF(ISNUMBER(W642),F642*W642,"UNIDADE A CONFERIR")))</f>
        <v/>
      </c>
      <c r="I642" s="91" t="n"/>
      <c r="J642" s="91" t="n"/>
      <c r="K642" s="92" t="n"/>
      <c r="L642" s="91" t="n"/>
      <c r="M642" s="91" t="n"/>
      <c r="N642" s="91" t="n"/>
      <c r="O642" s="91" t="n"/>
      <c r="P642" s="94" t="str">
        <f>IF(Q642=0,"",IF(C642="","Item de resíduo não informado",IF(T642=0,"Item inexistente (referência inválida)",IF(NOT(ISNUMBER(F642)),"Quantidade não informada",IF(F642&lt;=0,"Quantidade não positiva",IF(G642="","Unidade não informada",IF(NOT(ISNUMBER(H642)),"Unidade a conferir",IF(NOT(ISNUMBER(E642)),"Data de recebimento não informada",IF(AND(ISNUMBER(V642),N(V642)&gt;0,E642&lt;N(V642)),"Data anterior à emissão do MTR",IF(AND(J642="Sim",L642="",M642=""),"Conferido sem evidência identificada",IF(J642&lt;&gt;"Sim","Aguardando conferência",IF(INDEX('ITENS_MTR'!$AM$6:$AM$1005,S642)=1,"Conferido (ver diferença no item)","Conferido"))))))))))))</f>
        <v/>
      </c>
      <c r="Q642" s="96">
        <f>IF(COUNTA(C642,E642:G642,I642:O642)&gt;0,1,0)</f>
        <v>0</v>
      </c>
      <c r="R642" s="96" t="str">
        <f>IF(C642="","",TRIM(LEFT(C642,FIND(" |",C642&amp;" |")-1)))</f>
        <v/>
      </c>
      <c r="S642" s="96" t="str">
        <f>IF(R642="","",IFERROR(MATCH(R642,'ITENS_MTR'!$A$6:$A$1005,0),""))</f>
        <v/>
      </c>
      <c r="T642" s="96">
        <f>IF(S642="",0,IF(INDEX('ITENS_MTR'!$R$6:$R$1005,S642)=1,1,0))</f>
        <v>0</v>
      </c>
      <c r="U642" s="96" t="str">
        <f>IF(T642=1,INDEX('ITENS_MTR'!$T$6:$T$1005,S642),"")</f>
        <v/>
      </c>
      <c r="V642" s="97" t="str">
        <f>IF(N(U642)&gt;0,INDEX('MTRs'!$E$6:$E$505,U642),"")</f>
        <v/>
      </c>
      <c r="W642" s="96" t="str">
        <f>IF(G642="","",IFERROR(IF(ISNUMBER(INDEX(cfg_fac,MATCH(G642,cfg_units,0))),IF(INDEX(cfg_fac,MATCH(G642,cfg_units,0))&gt;0,INDEX(cfg_fac,MATCH(G642,cfg_units,0)),""),""),""))</f>
        <v/>
      </c>
      <c r="X642" s="96">
        <f>IF(AND(ISNUMBER(F642),ISNUMBER(H642)),IF(H642&gt;0,1,0),0)</f>
        <v>0</v>
      </c>
      <c r="Y642" s="96">
        <f>IF(Q642=0,0,IF(OR(T642=0,X642=0,NOT(ISNUMBER(E642)),AND(J642="Sim",L642="",M642=""),AND(ISNUMBER(E642),ISNUMBER(V642),N(V642)&gt;0,E642&lt;N(V642))),1,0))</f>
        <v>0</v>
      </c>
      <c r="Z642" s="96">
        <f>IF(AND(Q642=1,T642=1,X642=1,J642="Sim",OR(L642&lt;&gt;"",M642&lt;&gt;"")),1,0)</f>
        <v>0</v>
      </c>
      <c r="AA642" s="96">
        <f>IF(Q642=0,0,IF(AND(OR(r_ini="",AND(ISNUMBER(E642),E642&gt;=r_ini)),OR(r_fim="",AND(ISNUMBER(E642),E642&lt;=r_fim)),OR(r_un="",r_un="(Todas)",IF(N(U642)&gt;0,INDEX('MTRs'!$G$6:$G$505,U642),"")=r_un),OR(r_de="",r_de="(Todos)",D642=r_de)),1,0))</f>
        <v>0</v>
      </c>
      <c r="AB642" s="96" t="str">
        <f>IF(AA642=1,COUNTIF($AA$6:AA642,1),"")</f>
        <v/>
      </c>
    </row>
    <row r="643">
      <c r="A643" s="89" t="inlineStr">
        <is>
          <t>REC-000638</t>
        </is>
      </c>
      <c r="B643" s="94" t="str">
        <f>IF(T643=1,INDEX('ITENS_MTR'!$S$6:$S$1005,S643)&amp;"","")</f>
        <v/>
      </c>
      <c r="C643" s="91" t="n"/>
      <c r="D643" s="94" t="str">
        <f>IF(N(U643)&gt;0,INDEX('MTRs'!$I$6:$I$505,U643)&amp;"","")</f>
        <v/>
      </c>
      <c r="E643" s="92" t="n"/>
      <c r="F643" s="98" t="n"/>
      <c r="G643" s="91" t="n"/>
      <c r="H643" s="93" t="str">
        <f>IF(Q643=0,"",IF(NOT(ISNUMBER(F643)),"",IF(ISNUMBER(W643),F643*W643,"UNIDADE A CONFERIR")))</f>
        <v/>
      </c>
      <c r="I643" s="91" t="n"/>
      <c r="J643" s="91" t="n"/>
      <c r="K643" s="92" t="n"/>
      <c r="L643" s="91" t="n"/>
      <c r="M643" s="91" t="n"/>
      <c r="N643" s="91" t="n"/>
      <c r="O643" s="91" t="n"/>
      <c r="P643" s="94" t="str">
        <f>IF(Q643=0,"",IF(C643="","Item de resíduo não informado",IF(T643=0,"Item inexistente (referência inválida)",IF(NOT(ISNUMBER(F643)),"Quantidade não informada",IF(F643&lt;=0,"Quantidade não positiva",IF(G643="","Unidade não informada",IF(NOT(ISNUMBER(H643)),"Unidade a conferir",IF(NOT(ISNUMBER(E643)),"Data de recebimento não informada",IF(AND(ISNUMBER(V643),N(V643)&gt;0,E643&lt;N(V643)),"Data anterior à emissão do MTR",IF(AND(J643="Sim",L643="",M643=""),"Conferido sem evidência identificada",IF(J643&lt;&gt;"Sim","Aguardando conferência",IF(INDEX('ITENS_MTR'!$AM$6:$AM$1005,S643)=1,"Conferido (ver diferença no item)","Conferido"))))))))))))</f>
        <v/>
      </c>
      <c r="Q643" s="96">
        <f>IF(COUNTA(C643,E643:G643,I643:O643)&gt;0,1,0)</f>
        <v>0</v>
      </c>
      <c r="R643" s="96" t="str">
        <f>IF(C643="","",TRIM(LEFT(C643,FIND(" |",C643&amp;" |")-1)))</f>
        <v/>
      </c>
      <c r="S643" s="96" t="str">
        <f>IF(R643="","",IFERROR(MATCH(R643,'ITENS_MTR'!$A$6:$A$1005,0),""))</f>
        <v/>
      </c>
      <c r="T643" s="96">
        <f>IF(S643="",0,IF(INDEX('ITENS_MTR'!$R$6:$R$1005,S643)=1,1,0))</f>
        <v>0</v>
      </c>
      <c r="U643" s="96" t="str">
        <f>IF(T643=1,INDEX('ITENS_MTR'!$T$6:$T$1005,S643),"")</f>
        <v/>
      </c>
      <c r="V643" s="97" t="str">
        <f>IF(N(U643)&gt;0,INDEX('MTRs'!$E$6:$E$505,U643),"")</f>
        <v/>
      </c>
      <c r="W643" s="96" t="str">
        <f>IF(G643="","",IFERROR(IF(ISNUMBER(INDEX(cfg_fac,MATCH(G643,cfg_units,0))),IF(INDEX(cfg_fac,MATCH(G643,cfg_units,0))&gt;0,INDEX(cfg_fac,MATCH(G643,cfg_units,0)),""),""),""))</f>
        <v/>
      </c>
      <c r="X643" s="96">
        <f>IF(AND(ISNUMBER(F643),ISNUMBER(H643)),IF(H643&gt;0,1,0),0)</f>
        <v>0</v>
      </c>
      <c r="Y643" s="96">
        <f>IF(Q643=0,0,IF(OR(T643=0,X643=0,NOT(ISNUMBER(E643)),AND(J643="Sim",L643="",M643=""),AND(ISNUMBER(E643),ISNUMBER(V643),N(V643)&gt;0,E643&lt;N(V643))),1,0))</f>
        <v>0</v>
      </c>
      <c r="Z643" s="96">
        <f>IF(AND(Q643=1,T643=1,X643=1,J643="Sim",OR(L643&lt;&gt;"",M643&lt;&gt;"")),1,0)</f>
        <v>0</v>
      </c>
      <c r="AA643" s="96">
        <f>IF(Q643=0,0,IF(AND(OR(r_ini="",AND(ISNUMBER(E643),E643&gt;=r_ini)),OR(r_fim="",AND(ISNUMBER(E643),E643&lt;=r_fim)),OR(r_un="",r_un="(Todas)",IF(N(U643)&gt;0,INDEX('MTRs'!$G$6:$G$505,U643),"")=r_un),OR(r_de="",r_de="(Todos)",D643=r_de)),1,0))</f>
        <v>0</v>
      </c>
      <c r="AB643" s="96" t="str">
        <f>IF(AA643=1,COUNTIF($AA$6:AA643,1),"")</f>
        <v/>
      </c>
    </row>
    <row r="644">
      <c r="A644" s="89" t="inlineStr">
        <is>
          <t>REC-000639</t>
        </is>
      </c>
      <c r="B644" s="94" t="str">
        <f>IF(T644=1,INDEX('ITENS_MTR'!$S$6:$S$1005,S644)&amp;"","")</f>
        <v/>
      </c>
      <c r="C644" s="91" t="n"/>
      <c r="D644" s="94" t="str">
        <f>IF(N(U644)&gt;0,INDEX('MTRs'!$I$6:$I$505,U644)&amp;"","")</f>
        <v/>
      </c>
      <c r="E644" s="92" t="n"/>
      <c r="F644" s="98" t="n"/>
      <c r="G644" s="91" t="n"/>
      <c r="H644" s="93" t="str">
        <f>IF(Q644=0,"",IF(NOT(ISNUMBER(F644)),"",IF(ISNUMBER(W644),F644*W644,"UNIDADE A CONFERIR")))</f>
        <v/>
      </c>
      <c r="I644" s="91" t="n"/>
      <c r="J644" s="91" t="n"/>
      <c r="K644" s="92" t="n"/>
      <c r="L644" s="91" t="n"/>
      <c r="M644" s="91" t="n"/>
      <c r="N644" s="91" t="n"/>
      <c r="O644" s="91" t="n"/>
      <c r="P644" s="94" t="str">
        <f>IF(Q644=0,"",IF(C644="","Item de resíduo não informado",IF(T644=0,"Item inexistente (referência inválida)",IF(NOT(ISNUMBER(F644)),"Quantidade não informada",IF(F644&lt;=0,"Quantidade não positiva",IF(G644="","Unidade não informada",IF(NOT(ISNUMBER(H644)),"Unidade a conferir",IF(NOT(ISNUMBER(E644)),"Data de recebimento não informada",IF(AND(ISNUMBER(V644),N(V644)&gt;0,E644&lt;N(V644)),"Data anterior à emissão do MTR",IF(AND(J644="Sim",L644="",M644=""),"Conferido sem evidência identificada",IF(J644&lt;&gt;"Sim","Aguardando conferência",IF(INDEX('ITENS_MTR'!$AM$6:$AM$1005,S644)=1,"Conferido (ver diferença no item)","Conferido"))))))))))))</f>
        <v/>
      </c>
      <c r="Q644" s="96">
        <f>IF(COUNTA(C644,E644:G644,I644:O644)&gt;0,1,0)</f>
        <v>0</v>
      </c>
      <c r="R644" s="96" t="str">
        <f>IF(C644="","",TRIM(LEFT(C644,FIND(" |",C644&amp;" |")-1)))</f>
        <v/>
      </c>
      <c r="S644" s="96" t="str">
        <f>IF(R644="","",IFERROR(MATCH(R644,'ITENS_MTR'!$A$6:$A$1005,0),""))</f>
        <v/>
      </c>
      <c r="T644" s="96">
        <f>IF(S644="",0,IF(INDEX('ITENS_MTR'!$R$6:$R$1005,S644)=1,1,0))</f>
        <v>0</v>
      </c>
      <c r="U644" s="96" t="str">
        <f>IF(T644=1,INDEX('ITENS_MTR'!$T$6:$T$1005,S644),"")</f>
        <v/>
      </c>
      <c r="V644" s="97" t="str">
        <f>IF(N(U644)&gt;0,INDEX('MTRs'!$E$6:$E$505,U644),"")</f>
        <v/>
      </c>
      <c r="W644" s="96" t="str">
        <f>IF(G644="","",IFERROR(IF(ISNUMBER(INDEX(cfg_fac,MATCH(G644,cfg_units,0))),IF(INDEX(cfg_fac,MATCH(G644,cfg_units,0))&gt;0,INDEX(cfg_fac,MATCH(G644,cfg_units,0)),""),""),""))</f>
        <v/>
      </c>
      <c r="X644" s="96">
        <f>IF(AND(ISNUMBER(F644),ISNUMBER(H644)),IF(H644&gt;0,1,0),0)</f>
        <v>0</v>
      </c>
      <c r="Y644" s="96">
        <f>IF(Q644=0,0,IF(OR(T644=0,X644=0,NOT(ISNUMBER(E644)),AND(J644="Sim",L644="",M644=""),AND(ISNUMBER(E644),ISNUMBER(V644),N(V644)&gt;0,E644&lt;N(V644))),1,0))</f>
        <v>0</v>
      </c>
      <c r="Z644" s="96">
        <f>IF(AND(Q644=1,T644=1,X644=1,J644="Sim",OR(L644&lt;&gt;"",M644&lt;&gt;"")),1,0)</f>
        <v>0</v>
      </c>
      <c r="AA644" s="96">
        <f>IF(Q644=0,0,IF(AND(OR(r_ini="",AND(ISNUMBER(E644),E644&gt;=r_ini)),OR(r_fim="",AND(ISNUMBER(E644),E644&lt;=r_fim)),OR(r_un="",r_un="(Todas)",IF(N(U644)&gt;0,INDEX('MTRs'!$G$6:$G$505,U644),"")=r_un),OR(r_de="",r_de="(Todos)",D644=r_de)),1,0))</f>
        <v>0</v>
      </c>
      <c r="AB644" s="96" t="str">
        <f>IF(AA644=1,COUNTIF($AA$6:AA644,1),"")</f>
        <v/>
      </c>
    </row>
    <row r="645">
      <c r="A645" s="89" t="inlineStr">
        <is>
          <t>REC-000640</t>
        </is>
      </c>
      <c r="B645" s="94" t="str">
        <f>IF(T645=1,INDEX('ITENS_MTR'!$S$6:$S$1005,S645)&amp;"","")</f>
        <v/>
      </c>
      <c r="C645" s="91" t="n"/>
      <c r="D645" s="94" t="str">
        <f>IF(N(U645)&gt;0,INDEX('MTRs'!$I$6:$I$505,U645)&amp;"","")</f>
        <v/>
      </c>
      <c r="E645" s="92" t="n"/>
      <c r="F645" s="98" t="n"/>
      <c r="G645" s="91" t="n"/>
      <c r="H645" s="93" t="str">
        <f>IF(Q645=0,"",IF(NOT(ISNUMBER(F645)),"",IF(ISNUMBER(W645),F645*W645,"UNIDADE A CONFERIR")))</f>
        <v/>
      </c>
      <c r="I645" s="91" t="n"/>
      <c r="J645" s="91" t="n"/>
      <c r="K645" s="92" t="n"/>
      <c r="L645" s="91" t="n"/>
      <c r="M645" s="91" t="n"/>
      <c r="N645" s="91" t="n"/>
      <c r="O645" s="91" t="n"/>
      <c r="P645" s="94" t="str">
        <f>IF(Q645=0,"",IF(C645="","Item de resíduo não informado",IF(T645=0,"Item inexistente (referência inválida)",IF(NOT(ISNUMBER(F645)),"Quantidade não informada",IF(F645&lt;=0,"Quantidade não positiva",IF(G645="","Unidade não informada",IF(NOT(ISNUMBER(H645)),"Unidade a conferir",IF(NOT(ISNUMBER(E645)),"Data de recebimento não informada",IF(AND(ISNUMBER(V645),N(V645)&gt;0,E645&lt;N(V645)),"Data anterior à emissão do MTR",IF(AND(J645="Sim",L645="",M645=""),"Conferido sem evidência identificada",IF(J645&lt;&gt;"Sim","Aguardando conferência",IF(INDEX('ITENS_MTR'!$AM$6:$AM$1005,S645)=1,"Conferido (ver diferença no item)","Conferido"))))))))))))</f>
        <v/>
      </c>
      <c r="Q645" s="96">
        <f>IF(COUNTA(C645,E645:G645,I645:O645)&gt;0,1,0)</f>
        <v>0</v>
      </c>
      <c r="R645" s="96" t="str">
        <f>IF(C645="","",TRIM(LEFT(C645,FIND(" |",C645&amp;" |")-1)))</f>
        <v/>
      </c>
      <c r="S645" s="96" t="str">
        <f>IF(R645="","",IFERROR(MATCH(R645,'ITENS_MTR'!$A$6:$A$1005,0),""))</f>
        <v/>
      </c>
      <c r="T645" s="96">
        <f>IF(S645="",0,IF(INDEX('ITENS_MTR'!$R$6:$R$1005,S645)=1,1,0))</f>
        <v>0</v>
      </c>
      <c r="U645" s="96" t="str">
        <f>IF(T645=1,INDEX('ITENS_MTR'!$T$6:$T$1005,S645),"")</f>
        <v/>
      </c>
      <c r="V645" s="97" t="str">
        <f>IF(N(U645)&gt;0,INDEX('MTRs'!$E$6:$E$505,U645),"")</f>
        <v/>
      </c>
      <c r="W645" s="96" t="str">
        <f>IF(G645="","",IFERROR(IF(ISNUMBER(INDEX(cfg_fac,MATCH(G645,cfg_units,0))),IF(INDEX(cfg_fac,MATCH(G645,cfg_units,0))&gt;0,INDEX(cfg_fac,MATCH(G645,cfg_units,0)),""),""),""))</f>
        <v/>
      </c>
      <c r="X645" s="96">
        <f>IF(AND(ISNUMBER(F645),ISNUMBER(H645)),IF(H645&gt;0,1,0),0)</f>
        <v>0</v>
      </c>
      <c r="Y645" s="96">
        <f>IF(Q645=0,0,IF(OR(T645=0,X645=0,NOT(ISNUMBER(E645)),AND(J645="Sim",L645="",M645=""),AND(ISNUMBER(E645),ISNUMBER(V645),N(V645)&gt;0,E645&lt;N(V645))),1,0))</f>
        <v>0</v>
      </c>
      <c r="Z645" s="96">
        <f>IF(AND(Q645=1,T645=1,X645=1,J645="Sim",OR(L645&lt;&gt;"",M645&lt;&gt;"")),1,0)</f>
        <v>0</v>
      </c>
      <c r="AA645" s="96">
        <f>IF(Q645=0,0,IF(AND(OR(r_ini="",AND(ISNUMBER(E645),E645&gt;=r_ini)),OR(r_fim="",AND(ISNUMBER(E645),E645&lt;=r_fim)),OR(r_un="",r_un="(Todas)",IF(N(U645)&gt;0,INDEX('MTRs'!$G$6:$G$505,U645),"")=r_un),OR(r_de="",r_de="(Todos)",D645=r_de)),1,0))</f>
        <v>0</v>
      </c>
      <c r="AB645" s="96" t="str">
        <f>IF(AA645=1,COUNTIF($AA$6:AA645,1),"")</f>
        <v/>
      </c>
    </row>
    <row r="646">
      <c r="A646" s="89" t="inlineStr">
        <is>
          <t>REC-000641</t>
        </is>
      </c>
      <c r="B646" s="94" t="str">
        <f>IF(T646=1,INDEX('ITENS_MTR'!$S$6:$S$1005,S646)&amp;"","")</f>
        <v/>
      </c>
      <c r="C646" s="91" t="n"/>
      <c r="D646" s="94" t="str">
        <f>IF(N(U646)&gt;0,INDEX('MTRs'!$I$6:$I$505,U646)&amp;"","")</f>
        <v/>
      </c>
      <c r="E646" s="92" t="n"/>
      <c r="F646" s="98" t="n"/>
      <c r="G646" s="91" t="n"/>
      <c r="H646" s="93" t="str">
        <f>IF(Q646=0,"",IF(NOT(ISNUMBER(F646)),"",IF(ISNUMBER(W646),F646*W646,"UNIDADE A CONFERIR")))</f>
        <v/>
      </c>
      <c r="I646" s="91" t="n"/>
      <c r="J646" s="91" t="n"/>
      <c r="K646" s="92" t="n"/>
      <c r="L646" s="91" t="n"/>
      <c r="M646" s="91" t="n"/>
      <c r="N646" s="91" t="n"/>
      <c r="O646" s="91" t="n"/>
      <c r="P646" s="94" t="str">
        <f>IF(Q646=0,"",IF(C646="","Item de resíduo não informado",IF(T646=0,"Item inexistente (referência inválida)",IF(NOT(ISNUMBER(F646)),"Quantidade não informada",IF(F646&lt;=0,"Quantidade não positiva",IF(G646="","Unidade não informada",IF(NOT(ISNUMBER(H646)),"Unidade a conferir",IF(NOT(ISNUMBER(E646)),"Data de recebimento não informada",IF(AND(ISNUMBER(V646),N(V646)&gt;0,E646&lt;N(V646)),"Data anterior à emissão do MTR",IF(AND(J646="Sim",L646="",M646=""),"Conferido sem evidência identificada",IF(J646&lt;&gt;"Sim","Aguardando conferência",IF(INDEX('ITENS_MTR'!$AM$6:$AM$1005,S646)=1,"Conferido (ver diferença no item)","Conferido"))))))))))))</f>
        <v/>
      </c>
      <c r="Q646" s="96">
        <f>IF(COUNTA(C646,E646:G646,I646:O646)&gt;0,1,0)</f>
        <v>0</v>
      </c>
      <c r="R646" s="96" t="str">
        <f>IF(C646="","",TRIM(LEFT(C646,FIND(" |",C646&amp;" |")-1)))</f>
        <v/>
      </c>
      <c r="S646" s="96" t="str">
        <f>IF(R646="","",IFERROR(MATCH(R646,'ITENS_MTR'!$A$6:$A$1005,0),""))</f>
        <v/>
      </c>
      <c r="T646" s="96">
        <f>IF(S646="",0,IF(INDEX('ITENS_MTR'!$R$6:$R$1005,S646)=1,1,0))</f>
        <v>0</v>
      </c>
      <c r="U646" s="96" t="str">
        <f>IF(T646=1,INDEX('ITENS_MTR'!$T$6:$T$1005,S646),"")</f>
        <v/>
      </c>
      <c r="V646" s="97" t="str">
        <f>IF(N(U646)&gt;0,INDEX('MTRs'!$E$6:$E$505,U646),"")</f>
        <v/>
      </c>
      <c r="W646" s="96" t="str">
        <f>IF(G646="","",IFERROR(IF(ISNUMBER(INDEX(cfg_fac,MATCH(G646,cfg_units,0))),IF(INDEX(cfg_fac,MATCH(G646,cfg_units,0))&gt;0,INDEX(cfg_fac,MATCH(G646,cfg_units,0)),""),""),""))</f>
        <v/>
      </c>
      <c r="X646" s="96">
        <f>IF(AND(ISNUMBER(F646),ISNUMBER(H646)),IF(H646&gt;0,1,0),0)</f>
        <v>0</v>
      </c>
      <c r="Y646" s="96">
        <f>IF(Q646=0,0,IF(OR(T646=0,X646=0,NOT(ISNUMBER(E646)),AND(J646="Sim",L646="",M646=""),AND(ISNUMBER(E646),ISNUMBER(V646),N(V646)&gt;0,E646&lt;N(V646))),1,0))</f>
        <v>0</v>
      </c>
      <c r="Z646" s="96">
        <f>IF(AND(Q646=1,T646=1,X646=1,J646="Sim",OR(L646&lt;&gt;"",M646&lt;&gt;"")),1,0)</f>
        <v>0</v>
      </c>
      <c r="AA646" s="96">
        <f>IF(Q646=0,0,IF(AND(OR(r_ini="",AND(ISNUMBER(E646),E646&gt;=r_ini)),OR(r_fim="",AND(ISNUMBER(E646),E646&lt;=r_fim)),OR(r_un="",r_un="(Todas)",IF(N(U646)&gt;0,INDEX('MTRs'!$G$6:$G$505,U646),"")=r_un),OR(r_de="",r_de="(Todos)",D646=r_de)),1,0))</f>
        <v>0</v>
      </c>
      <c r="AB646" s="96" t="str">
        <f>IF(AA646=1,COUNTIF($AA$6:AA646,1),"")</f>
        <v/>
      </c>
    </row>
    <row r="647">
      <c r="A647" s="89" t="inlineStr">
        <is>
          <t>REC-000642</t>
        </is>
      </c>
      <c r="B647" s="94" t="str">
        <f>IF(T647=1,INDEX('ITENS_MTR'!$S$6:$S$1005,S647)&amp;"","")</f>
        <v/>
      </c>
      <c r="C647" s="91" t="n"/>
      <c r="D647" s="94" t="str">
        <f>IF(N(U647)&gt;0,INDEX('MTRs'!$I$6:$I$505,U647)&amp;"","")</f>
        <v/>
      </c>
      <c r="E647" s="92" t="n"/>
      <c r="F647" s="98" t="n"/>
      <c r="G647" s="91" t="n"/>
      <c r="H647" s="93" t="str">
        <f>IF(Q647=0,"",IF(NOT(ISNUMBER(F647)),"",IF(ISNUMBER(W647),F647*W647,"UNIDADE A CONFERIR")))</f>
        <v/>
      </c>
      <c r="I647" s="91" t="n"/>
      <c r="J647" s="91" t="n"/>
      <c r="K647" s="92" t="n"/>
      <c r="L647" s="91" t="n"/>
      <c r="M647" s="91" t="n"/>
      <c r="N647" s="91" t="n"/>
      <c r="O647" s="91" t="n"/>
      <c r="P647" s="94" t="str">
        <f>IF(Q647=0,"",IF(C647="","Item de resíduo não informado",IF(T647=0,"Item inexistente (referência inválida)",IF(NOT(ISNUMBER(F647)),"Quantidade não informada",IF(F647&lt;=0,"Quantidade não positiva",IF(G647="","Unidade não informada",IF(NOT(ISNUMBER(H647)),"Unidade a conferir",IF(NOT(ISNUMBER(E647)),"Data de recebimento não informada",IF(AND(ISNUMBER(V647),N(V647)&gt;0,E647&lt;N(V647)),"Data anterior à emissão do MTR",IF(AND(J647="Sim",L647="",M647=""),"Conferido sem evidência identificada",IF(J647&lt;&gt;"Sim","Aguardando conferência",IF(INDEX('ITENS_MTR'!$AM$6:$AM$1005,S647)=1,"Conferido (ver diferença no item)","Conferido"))))))))))))</f>
        <v/>
      </c>
      <c r="Q647" s="96">
        <f>IF(COUNTA(C647,E647:G647,I647:O647)&gt;0,1,0)</f>
        <v>0</v>
      </c>
      <c r="R647" s="96" t="str">
        <f>IF(C647="","",TRIM(LEFT(C647,FIND(" |",C647&amp;" |")-1)))</f>
        <v/>
      </c>
      <c r="S647" s="96" t="str">
        <f>IF(R647="","",IFERROR(MATCH(R647,'ITENS_MTR'!$A$6:$A$1005,0),""))</f>
        <v/>
      </c>
      <c r="T647" s="96">
        <f>IF(S647="",0,IF(INDEX('ITENS_MTR'!$R$6:$R$1005,S647)=1,1,0))</f>
        <v>0</v>
      </c>
      <c r="U647" s="96" t="str">
        <f>IF(T647=1,INDEX('ITENS_MTR'!$T$6:$T$1005,S647),"")</f>
        <v/>
      </c>
      <c r="V647" s="97" t="str">
        <f>IF(N(U647)&gt;0,INDEX('MTRs'!$E$6:$E$505,U647),"")</f>
        <v/>
      </c>
      <c r="W647" s="96" t="str">
        <f>IF(G647="","",IFERROR(IF(ISNUMBER(INDEX(cfg_fac,MATCH(G647,cfg_units,0))),IF(INDEX(cfg_fac,MATCH(G647,cfg_units,0))&gt;0,INDEX(cfg_fac,MATCH(G647,cfg_units,0)),""),""),""))</f>
        <v/>
      </c>
      <c r="X647" s="96">
        <f>IF(AND(ISNUMBER(F647),ISNUMBER(H647)),IF(H647&gt;0,1,0),0)</f>
        <v>0</v>
      </c>
      <c r="Y647" s="96">
        <f>IF(Q647=0,0,IF(OR(T647=0,X647=0,NOT(ISNUMBER(E647)),AND(J647="Sim",L647="",M647=""),AND(ISNUMBER(E647),ISNUMBER(V647),N(V647)&gt;0,E647&lt;N(V647))),1,0))</f>
        <v>0</v>
      </c>
      <c r="Z647" s="96">
        <f>IF(AND(Q647=1,T647=1,X647=1,J647="Sim",OR(L647&lt;&gt;"",M647&lt;&gt;"")),1,0)</f>
        <v>0</v>
      </c>
      <c r="AA647" s="96">
        <f>IF(Q647=0,0,IF(AND(OR(r_ini="",AND(ISNUMBER(E647),E647&gt;=r_ini)),OR(r_fim="",AND(ISNUMBER(E647),E647&lt;=r_fim)),OR(r_un="",r_un="(Todas)",IF(N(U647)&gt;0,INDEX('MTRs'!$G$6:$G$505,U647),"")=r_un),OR(r_de="",r_de="(Todos)",D647=r_de)),1,0))</f>
        <v>0</v>
      </c>
      <c r="AB647" s="96" t="str">
        <f>IF(AA647=1,COUNTIF($AA$6:AA647,1),"")</f>
        <v/>
      </c>
    </row>
    <row r="648">
      <c r="A648" s="89" t="inlineStr">
        <is>
          <t>REC-000643</t>
        </is>
      </c>
      <c r="B648" s="94" t="str">
        <f>IF(T648=1,INDEX('ITENS_MTR'!$S$6:$S$1005,S648)&amp;"","")</f>
        <v/>
      </c>
      <c r="C648" s="91" t="n"/>
      <c r="D648" s="94" t="str">
        <f>IF(N(U648)&gt;0,INDEX('MTRs'!$I$6:$I$505,U648)&amp;"","")</f>
        <v/>
      </c>
      <c r="E648" s="92" t="n"/>
      <c r="F648" s="98" t="n"/>
      <c r="G648" s="91" t="n"/>
      <c r="H648" s="93" t="str">
        <f>IF(Q648=0,"",IF(NOT(ISNUMBER(F648)),"",IF(ISNUMBER(W648),F648*W648,"UNIDADE A CONFERIR")))</f>
        <v/>
      </c>
      <c r="I648" s="91" t="n"/>
      <c r="J648" s="91" t="n"/>
      <c r="K648" s="92" t="n"/>
      <c r="L648" s="91" t="n"/>
      <c r="M648" s="91" t="n"/>
      <c r="N648" s="91" t="n"/>
      <c r="O648" s="91" t="n"/>
      <c r="P648" s="94" t="str">
        <f>IF(Q648=0,"",IF(C648="","Item de resíduo não informado",IF(T648=0,"Item inexistente (referência inválida)",IF(NOT(ISNUMBER(F648)),"Quantidade não informada",IF(F648&lt;=0,"Quantidade não positiva",IF(G648="","Unidade não informada",IF(NOT(ISNUMBER(H648)),"Unidade a conferir",IF(NOT(ISNUMBER(E648)),"Data de recebimento não informada",IF(AND(ISNUMBER(V648),N(V648)&gt;0,E648&lt;N(V648)),"Data anterior à emissão do MTR",IF(AND(J648="Sim",L648="",M648=""),"Conferido sem evidência identificada",IF(J648&lt;&gt;"Sim","Aguardando conferência",IF(INDEX('ITENS_MTR'!$AM$6:$AM$1005,S648)=1,"Conferido (ver diferença no item)","Conferido"))))))))))))</f>
        <v/>
      </c>
      <c r="Q648" s="96">
        <f>IF(COUNTA(C648,E648:G648,I648:O648)&gt;0,1,0)</f>
        <v>0</v>
      </c>
      <c r="R648" s="96" t="str">
        <f>IF(C648="","",TRIM(LEFT(C648,FIND(" |",C648&amp;" |")-1)))</f>
        <v/>
      </c>
      <c r="S648" s="96" t="str">
        <f>IF(R648="","",IFERROR(MATCH(R648,'ITENS_MTR'!$A$6:$A$1005,0),""))</f>
        <v/>
      </c>
      <c r="T648" s="96">
        <f>IF(S648="",0,IF(INDEX('ITENS_MTR'!$R$6:$R$1005,S648)=1,1,0))</f>
        <v>0</v>
      </c>
      <c r="U648" s="96" t="str">
        <f>IF(T648=1,INDEX('ITENS_MTR'!$T$6:$T$1005,S648),"")</f>
        <v/>
      </c>
      <c r="V648" s="97" t="str">
        <f>IF(N(U648)&gt;0,INDEX('MTRs'!$E$6:$E$505,U648),"")</f>
        <v/>
      </c>
      <c r="W648" s="96" t="str">
        <f>IF(G648="","",IFERROR(IF(ISNUMBER(INDEX(cfg_fac,MATCH(G648,cfg_units,0))),IF(INDEX(cfg_fac,MATCH(G648,cfg_units,0))&gt;0,INDEX(cfg_fac,MATCH(G648,cfg_units,0)),""),""),""))</f>
        <v/>
      </c>
      <c r="X648" s="96">
        <f>IF(AND(ISNUMBER(F648),ISNUMBER(H648)),IF(H648&gt;0,1,0),0)</f>
        <v>0</v>
      </c>
      <c r="Y648" s="96">
        <f>IF(Q648=0,0,IF(OR(T648=0,X648=0,NOT(ISNUMBER(E648)),AND(J648="Sim",L648="",M648=""),AND(ISNUMBER(E648),ISNUMBER(V648),N(V648)&gt;0,E648&lt;N(V648))),1,0))</f>
        <v>0</v>
      </c>
      <c r="Z648" s="96">
        <f>IF(AND(Q648=1,T648=1,X648=1,J648="Sim",OR(L648&lt;&gt;"",M648&lt;&gt;"")),1,0)</f>
        <v>0</v>
      </c>
      <c r="AA648" s="96">
        <f>IF(Q648=0,0,IF(AND(OR(r_ini="",AND(ISNUMBER(E648),E648&gt;=r_ini)),OR(r_fim="",AND(ISNUMBER(E648),E648&lt;=r_fim)),OR(r_un="",r_un="(Todas)",IF(N(U648)&gt;0,INDEX('MTRs'!$G$6:$G$505,U648),"")=r_un),OR(r_de="",r_de="(Todos)",D648=r_de)),1,0))</f>
        <v>0</v>
      </c>
      <c r="AB648" s="96" t="str">
        <f>IF(AA648=1,COUNTIF($AA$6:AA648,1),"")</f>
        <v/>
      </c>
    </row>
    <row r="649">
      <c r="A649" s="89" t="inlineStr">
        <is>
          <t>REC-000644</t>
        </is>
      </c>
      <c r="B649" s="94" t="str">
        <f>IF(T649=1,INDEX('ITENS_MTR'!$S$6:$S$1005,S649)&amp;"","")</f>
        <v/>
      </c>
      <c r="C649" s="91" t="n"/>
      <c r="D649" s="94" t="str">
        <f>IF(N(U649)&gt;0,INDEX('MTRs'!$I$6:$I$505,U649)&amp;"","")</f>
        <v/>
      </c>
      <c r="E649" s="92" t="n"/>
      <c r="F649" s="98" t="n"/>
      <c r="G649" s="91" t="n"/>
      <c r="H649" s="93" t="str">
        <f>IF(Q649=0,"",IF(NOT(ISNUMBER(F649)),"",IF(ISNUMBER(W649),F649*W649,"UNIDADE A CONFERIR")))</f>
        <v/>
      </c>
      <c r="I649" s="91" t="n"/>
      <c r="J649" s="91" t="n"/>
      <c r="K649" s="92" t="n"/>
      <c r="L649" s="91" t="n"/>
      <c r="M649" s="91" t="n"/>
      <c r="N649" s="91" t="n"/>
      <c r="O649" s="91" t="n"/>
      <c r="P649" s="94" t="str">
        <f>IF(Q649=0,"",IF(C649="","Item de resíduo não informado",IF(T649=0,"Item inexistente (referência inválida)",IF(NOT(ISNUMBER(F649)),"Quantidade não informada",IF(F649&lt;=0,"Quantidade não positiva",IF(G649="","Unidade não informada",IF(NOT(ISNUMBER(H649)),"Unidade a conferir",IF(NOT(ISNUMBER(E649)),"Data de recebimento não informada",IF(AND(ISNUMBER(V649),N(V649)&gt;0,E649&lt;N(V649)),"Data anterior à emissão do MTR",IF(AND(J649="Sim",L649="",M649=""),"Conferido sem evidência identificada",IF(J649&lt;&gt;"Sim","Aguardando conferência",IF(INDEX('ITENS_MTR'!$AM$6:$AM$1005,S649)=1,"Conferido (ver diferença no item)","Conferido"))))))))))))</f>
        <v/>
      </c>
      <c r="Q649" s="96">
        <f>IF(COUNTA(C649,E649:G649,I649:O649)&gt;0,1,0)</f>
        <v>0</v>
      </c>
      <c r="R649" s="96" t="str">
        <f>IF(C649="","",TRIM(LEFT(C649,FIND(" |",C649&amp;" |")-1)))</f>
        <v/>
      </c>
      <c r="S649" s="96" t="str">
        <f>IF(R649="","",IFERROR(MATCH(R649,'ITENS_MTR'!$A$6:$A$1005,0),""))</f>
        <v/>
      </c>
      <c r="T649" s="96">
        <f>IF(S649="",0,IF(INDEX('ITENS_MTR'!$R$6:$R$1005,S649)=1,1,0))</f>
        <v>0</v>
      </c>
      <c r="U649" s="96" t="str">
        <f>IF(T649=1,INDEX('ITENS_MTR'!$T$6:$T$1005,S649),"")</f>
        <v/>
      </c>
      <c r="V649" s="97" t="str">
        <f>IF(N(U649)&gt;0,INDEX('MTRs'!$E$6:$E$505,U649),"")</f>
        <v/>
      </c>
      <c r="W649" s="96" t="str">
        <f>IF(G649="","",IFERROR(IF(ISNUMBER(INDEX(cfg_fac,MATCH(G649,cfg_units,0))),IF(INDEX(cfg_fac,MATCH(G649,cfg_units,0))&gt;0,INDEX(cfg_fac,MATCH(G649,cfg_units,0)),""),""),""))</f>
        <v/>
      </c>
      <c r="X649" s="96">
        <f>IF(AND(ISNUMBER(F649),ISNUMBER(H649)),IF(H649&gt;0,1,0),0)</f>
        <v>0</v>
      </c>
      <c r="Y649" s="96">
        <f>IF(Q649=0,0,IF(OR(T649=0,X649=0,NOT(ISNUMBER(E649)),AND(J649="Sim",L649="",M649=""),AND(ISNUMBER(E649),ISNUMBER(V649),N(V649)&gt;0,E649&lt;N(V649))),1,0))</f>
        <v>0</v>
      </c>
      <c r="Z649" s="96">
        <f>IF(AND(Q649=1,T649=1,X649=1,J649="Sim",OR(L649&lt;&gt;"",M649&lt;&gt;"")),1,0)</f>
        <v>0</v>
      </c>
      <c r="AA649" s="96">
        <f>IF(Q649=0,0,IF(AND(OR(r_ini="",AND(ISNUMBER(E649),E649&gt;=r_ini)),OR(r_fim="",AND(ISNUMBER(E649),E649&lt;=r_fim)),OR(r_un="",r_un="(Todas)",IF(N(U649)&gt;0,INDEX('MTRs'!$G$6:$G$505,U649),"")=r_un),OR(r_de="",r_de="(Todos)",D649=r_de)),1,0))</f>
        <v>0</v>
      </c>
      <c r="AB649" s="96" t="str">
        <f>IF(AA649=1,COUNTIF($AA$6:AA649,1),"")</f>
        <v/>
      </c>
    </row>
    <row r="650">
      <c r="A650" s="89" t="inlineStr">
        <is>
          <t>REC-000645</t>
        </is>
      </c>
      <c r="B650" s="94" t="str">
        <f>IF(T650=1,INDEX('ITENS_MTR'!$S$6:$S$1005,S650)&amp;"","")</f>
        <v/>
      </c>
      <c r="C650" s="91" t="n"/>
      <c r="D650" s="94" t="str">
        <f>IF(N(U650)&gt;0,INDEX('MTRs'!$I$6:$I$505,U650)&amp;"","")</f>
        <v/>
      </c>
      <c r="E650" s="92" t="n"/>
      <c r="F650" s="98" t="n"/>
      <c r="G650" s="91" t="n"/>
      <c r="H650" s="93" t="str">
        <f>IF(Q650=0,"",IF(NOT(ISNUMBER(F650)),"",IF(ISNUMBER(W650),F650*W650,"UNIDADE A CONFERIR")))</f>
        <v/>
      </c>
      <c r="I650" s="91" t="n"/>
      <c r="J650" s="91" t="n"/>
      <c r="K650" s="92" t="n"/>
      <c r="L650" s="91" t="n"/>
      <c r="M650" s="91" t="n"/>
      <c r="N650" s="91" t="n"/>
      <c r="O650" s="91" t="n"/>
      <c r="P650" s="94" t="str">
        <f>IF(Q650=0,"",IF(C650="","Item de resíduo não informado",IF(T650=0,"Item inexistente (referência inválida)",IF(NOT(ISNUMBER(F650)),"Quantidade não informada",IF(F650&lt;=0,"Quantidade não positiva",IF(G650="","Unidade não informada",IF(NOT(ISNUMBER(H650)),"Unidade a conferir",IF(NOT(ISNUMBER(E650)),"Data de recebimento não informada",IF(AND(ISNUMBER(V650),N(V650)&gt;0,E650&lt;N(V650)),"Data anterior à emissão do MTR",IF(AND(J650="Sim",L650="",M650=""),"Conferido sem evidência identificada",IF(J650&lt;&gt;"Sim","Aguardando conferência",IF(INDEX('ITENS_MTR'!$AM$6:$AM$1005,S650)=1,"Conferido (ver diferença no item)","Conferido"))))))))))))</f>
        <v/>
      </c>
      <c r="Q650" s="96">
        <f>IF(COUNTA(C650,E650:G650,I650:O650)&gt;0,1,0)</f>
        <v>0</v>
      </c>
      <c r="R650" s="96" t="str">
        <f>IF(C650="","",TRIM(LEFT(C650,FIND(" |",C650&amp;" |")-1)))</f>
        <v/>
      </c>
      <c r="S650" s="96" t="str">
        <f>IF(R650="","",IFERROR(MATCH(R650,'ITENS_MTR'!$A$6:$A$1005,0),""))</f>
        <v/>
      </c>
      <c r="T650" s="96">
        <f>IF(S650="",0,IF(INDEX('ITENS_MTR'!$R$6:$R$1005,S650)=1,1,0))</f>
        <v>0</v>
      </c>
      <c r="U650" s="96" t="str">
        <f>IF(T650=1,INDEX('ITENS_MTR'!$T$6:$T$1005,S650),"")</f>
        <v/>
      </c>
      <c r="V650" s="97" t="str">
        <f>IF(N(U650)&gt;0,INDEX('MTRs'!$E$6:$E$505,U650),"")</f>
        <v/>
      </c>
      <c r="W650" s="96" t="str">
        <f>IF(G650="","",IFERROR(IF(ISNUMBER(INDEX(cfg_fac,MATCH(G650,cfg_units,0))),IF(INDEX(cfg_fac,MATCH(G650,cfg_units,0))&gt;0,INDEX(cfg_fac,MATCH(G650,cfg_units,0)),""),""),""))</f>
        <v/>
      </c>
      <c r="X650" s="96">
        <f>IF(AND(ISNUMBER(F650),ISNUMBER(H650)),IF(H650&gt;0,1,0),0)</f>
        <v>0</v>
      </c>
      <c r="Y650" s="96">
        <f>IF(Q650=0,0,IF(OR(T650=0,X650=0,NOT(ISNUMBER(E650)),AND(J650="Sim",L650="",M650=""),AND(ISNUMBER(E650),ISNUMBER(V650),N(V650)&gt;0,E650&lt;N(V650))),1,0))</f>
        <v>0</v>
      </c>
      <c r="Z650" s="96">
        <f>IF(AND(Q650=1,T650=1,X650=1,J650="Sim",OR(L650&lt;&gt;"",M650&lt;&gt;"")),1,0)</f>
        <v>0</v>
      </c>
      <c r="AA650" s="96">
        <f>IF(Q650=0,0,IF(AND(OR(r_ini="",AND(ISNUMBER(E650),E650&gt;=r_ini)),OR(r_fim="",AND(ISNUMBER(E650),E650&lt;=r_fim)),OR(r_un="",r_un="(Todas)",IF(N(U650)&gt;0,INDEX('MTRs'!$G$6:$G$505,U650),"")=r_un),OR(r_de="",r_de="(Todos)",D650=r_de)),1,0))</f>
        <v>0</v>
      </c>
      <c r="AB650" s="96" t="str">
        <f>IF(AA650=1,COUNTIF($AA$6:AA650,1),"")</f>
        <v/>
      </c>
    </row>
    <row r="651">
      <c r="A651" s="89" t="inlineStr">
        <is>
          <t>REC-000646</t>
        </is>
      </c>
      <c r="B651" s="94" t="str">
        <f>IF(T651=1,INDEX('ITENS_MTR'!$S$6:$S$1005,S651)&amp;"","")</f>
        <v/>
      </c>
      <c r="C651" s="91" t="n"/>
      <c r="D651" s="94" t="str">
        <f>IF(N(U651)&gt;0,INDEX('MTRs'!$I$6:$I$505,U651)&amp;"","")</f>
        <v/>
      </c>
      <c r="E651" s="92" t="n"/>
      <c r="F651" s="98" t="n"/>
      <c r="G651" s="91" t="n"/>
      <c r="H651" s="93" t="str">
        <f>IF(Q651=0,"",IF(NOT(ISNUMBER(F651)),"",IF(ISNUMBER(W651),F651*W651,"UNIDADE A CONFERIR")))</f>
        <v/>
      </c>
      <c r="I651" s="91" t="n"/>
      <c r="J651" s="91" t="n"/>
      <c r="K651" s="92" t="n"/>
      <c r="L651" s="91" t="n"/>
      <c r="M651" s="91" t="n"/>
      <c r="N651" s="91" t="n"/>
      <c r="O651" s="91" t="n"/>
      <c r="P651" s="94" t="str">
        <f>IF(Q651=0,"",IF(C651="","Item de resíduo não informado",IF(T651=0,"Item inexistente (referência inválida)",IF(NOT(ISNUMBER(F651)),"Quantidade não informada",IF(F651&lt;=0,"Quantidade não positiva",IF(G651="","Unidade não informada",IF(NOT(ISNUMBER(H651)),"Unidade a conferir",IF(NOT(ISNUMBER(E651)),"Data de recebimento não informada",IF(AND(ISNUMBER(V651),N(V651)&gt;0,E651&lt;N(V651)),"Data anterior à emissão do MTR",IF(AND(J651="Sim",L651="",M651=""),"Conferido sem evidência identificada",IF(J651&lt;&gt;"Sim","Aguardando conferência",IF(INDEX('ITENS_MTR'!$AM$6:$AM$1005,S651)=1,"Conferido (ver diferença no item)","Conferido"))))))))))))</f>
        <v/>
      </c>
      <c r="Q651" s="96">
        <f>IF(COUNTA(C651,E651:G651,I651:O651)&gt;0,1,0)</f>
        <v>0</v>
      </c>
      <c r="R651" s="96" t="str">
        <f>IF(C651="","",TRIM(LEFT(C651,FIND(" |",C651&amp;" |")-1)))</f>
        <v/>
      </c>
      <c r="S651" s="96" t="str">
        <f>IF(R651="","",IFERROR(MATCH(R651,'ITENS_MTR'!$A$6:$A$1005,0),""))</f>
        <v/>
      </c>
      <c r="T651" s="96">
        <f>IF(S651="",0,IF(INDEX('ITENS_MTR'!$R$6:$R$1005,S651)=1,1,0))</f>
        <v>0</v>
      </c>
      <c r="U651" s="96" t="str">
        <f>IF(T651=1,INDEX('ITENS_MTR'!$T$6:$T$1005,S651),"")</f>
        <v/>
      </c>
      <c r="V651" s="97" t="str">
        <f>IF(N(U651)&gt;0,INDEX('MTRs'!$E$6:$E$505,U651),"")</f>
        <v/>
      </c>
      <c r="W651" s="96" t="str">
        <f>IF(G651="","",IFERROR(IF(ISNUMBER(INDEX(cfg_fac,MATCH(G651,cfg_units,0))),IF(INDEX(cfg_fac,MATCH(G651,cfg_units,0))&gt;0,INDEX(cfg_fac,MATCH(G651,cfg_units,0)),""),""),""))</f>
        <v/>
      </c>
      <c r="X651" s="96">
        <f>IF(AND(ISNUMBER(F651),ISNUMBER(H651)),IF(H651&gt;0,1,0),0)</f>
        <v>0</v>
      </c>
      <c r="Y651" s="96">
        <f>IF(Q651=0,0,IF(OR(T651=0,X651=0,NOT(ISNUMBER(E651)),AND(J651="Sim",L651="",M651=""),AND(ISNUMBER(E651),ISNUMBER(V651),N(V651)&gt;0,E651&lt;N(V651))),1,0))</f>
        <v>0</v>
      </c>
      <c r="Z651" s="96">
        <f>IF(AND(Q651=1,T651=1,X651=1,J651="Sim",OR(L651&lt;&gt;"",M651&lt;&gt;"")),1,0)</f>
        <v>0</v>
      </c>
      <c r="AA651" s="96">
        <f>IF(Q651=0,0,IF(AND(OR(r_ini="",AND(ISNUMBER(E651),E651&gt;=r_ini)),OR(r_fim="",AND(ISNUMBER(E651),E651&lt;=r_fim)),OR(r_un="",r_un="(Todas)",IF(N(U651)&gt;0,INDEX('MTRs'!$G$6:$G$505,U651),"")=r_un),OR(r_de="",r_de="(Todos)",D651=r_de)),1,0))</f>
        <v>0</v>
      </c>
      <c r="AB651" s="96" t="str">
        <f>IF(AA651=1,COUNTIF($AA$6:AA651,1),"")</f>
        <v/>
      </c>
    </row>
    <row r="652">
      <c r="A652" s="89" t="inlineStr">
        <is>
          <t>REC-000647</t>
        </is>
      </c>
      <c r="B652" s="94" t="str">
        <f>IF(T652=1,INDEX('ITENS_MTR'!$S$6:$S$1005,S652)&amp;"","")</f>
        <v/>
      </c>
      <c r="C652" s="91" t="n"/>
      <c r="D652" s="94" t="str">
        <f>IF(N(U652)&gt;0,INDEX('MTRs'!$I$6:$I$505,U652)&amp;"","")</f>
        <v/>
      </c>
      <c r="E652" s="92" t="n"/>
      <c r="F652" s="98" t="n"/>
      <c r="G652" s="91" t="n"/>
      <c r="H652" s="93" t="str">
        <f>IF(Q652=0,"",IF(NOT(ISNUMBER(F652)),"",IF(ISNUMBER(W652),F652*W652,"UNIDADE A CONFERIR")))</f>
        <v/>
      </c>
      <c r="I652" s="91" t="n"/>
      <c r="J652" s="91" t="n"/>
      <c r="K652" s="92" t="n"/>
      <c r="L652" s="91" t="n"/>
      <c r="M652" s="91" t="n"/>
      <c r="N652" s="91" t="n"/>
      <c r="O652" s="91" t="n"/>
      <c r="P652" s="94" t="str">
        <f>IF(Q652=0,"",IF(C652="","Item de resíduo não informado",IF(T652=0,"Item inexistente (referência inválida)",IF(NOT(ISNUMBER(F652)),"Quantidade não informada",IF(F652&lt;=0,"Quantidade não positiva",IF(G652="","Unidade não informada",IF(NOT(ISNUMBER(H652)),"Unidade a conferir",IF(NOT(ISNUMBER(E652)),"Data de recebimento não informada",IF(AND(ISNUMBER(V652),N(V652)&gt;0,E652&lt;N(V652)),"Data anterior à emissão do MTR",IF(AND(J652="Sim",L652="",M652=""),"Conferido sem evidência identificada",IF(J652&lt;&gt;"Sim","Aguardando conferência",IF(INDEX('ITENS_MTR'!$AM$6:$AM$1005,S652)=1,"Conferido (ver diferença no item)","Conferido"))))))))))))</f>
        <v/>
      </c>
      <c r="Q652" s="96">
        <f>IF(COUNTA(C652,E652:G652,I652:O652)&gt;0,1,0)</f>
        <v>0</v>
      </c>
      <c r="R652" s="96" t="str">
        <f>IF(C652="","",TRIM(LEFT(C652,FIND(" |",C652&amp;" |")-1)))</f>
        <v/>
      </c>
      <c r="S652" s="96" t="str">
        <f>IF(R652="","",IFERROR(MATCH(R652,'ITENS_MTR'!$A$6:$A$1005,0),""))</f>
        <v/>
      </c>
      <c r="T652" s="96">
        <f>IF(S652="",0,IF(INDEX('ITENS_MTR'!$R$6:$R$1005,S652)=1,1,0))</f>
        <v>0</v>
      </c>
      <c r="U652" s="96" t="str">
        <f>IF(T652=1,INDEX('ITENS_MTR'!$T$6:$T$1005,S652),"")</f>
        <v/>
      </c>
      <c r="V652" s="97" t="str">
        <f>IF(N(U652)&gt;0,INDEX('MTRs'!$E$6:$E$505,U652),"")</f>
        <v/>
      </c>
      <c r="W652" s="96" t="str">
        <f>IF(G652="","",IFERROR(IF(ISNUMBER(INDEX(cfg_fac,MATCH(G652,cfg_units,0))),IF(INDEX(cfg_fac,MATCH(G652,cfg_units,0))&gt;0,INDEX(cfg_fac,MATCH(G652,cfg_units,0)),""),""),""))</f>
        <v/>
      </c>
      <c r="X652" s="96">
        <f>IF(AND(ISNUMBER(F652),ISNUMBER(H652)),IF(H652&gt;0,1,0),0)</f>
        <v>0</v>
      </c>
      <c r="Y652" s="96">
        <f>IF(Q652=0,0,IF(OR(T652=0,X652=0,NOT(ISNUMBER(E652)),AND(J652="Sim",L652="",M652=""),AND(ISNUMBER(E652),ISNUMBER(V652),N(V652)&gt;0,E652&lt;N(V652))),1,0))</f>
        <v>0</v>
      </c>
      <c r="Z652" s="96">
        <f>IF(AND(Q652=1,T652=1,X652=1,J652="Sim",OR(L652&lt;&gt;"",M652&lt;&gt;"")),1,0)</f>
        <v>0</v>
      </c>
      <c r="AA652" s="96">
        <f>IF(Q652=0,0,IF(AND(OR(r_ini="",AND(ISNUMBER(E652),E652&gt;=r_ini)),OR(r_fim="",AND(ISNUMBER(E652),E652&lt;=r_fim)),OR(r_un="",r_un="(Todas)",IF(N(U652)&gt;0,INDEX('MTRs'!$G$6:$G$505,U652),"")=r_un),OR(r_de="",r_de="(Todos)",D652=r_de)),1,0))</f>
        <v>0</v>
      </c>
      <c r="AB652" s="96" t="str">
        <f>IF(AA652=1,COUNTIF($AA$6:AA652,1),"")</f>
        <v/>
      </c>
    </row>
    <row r="653">
      <c r="A653" s="89" t="inlineStr">
        <is>
          <t>REC-000648</t>
        </is>
      </c>
      <c r="B653" s="94" t="str">
        <f>IF(T653=1,INDEX('ITENS_MTR'!$S$6:$S$1005,S653)&amp;"","")</f>
        <v/>
      </c>
      <c r="C653" s="91" t="n"/>
      <c r="D653" s="94" t="str">
        <f>IF(N(U653)&gt;0,INDEX('MTRs'!$I$6:$I$505,U653)&amp;"","")</f>
        <v/>
      </c>
      <c r="E653" s="92" t="n"/>
      <c r="F653" s="98" t="n"/>
      <c r="G653" s="91" t="n"/>
      <c r="H653" s="93" t="str">
        <f>IF(Q653=0,"",IF(NOT(ISNUMBER(F653)),"",IF(ISNUMBER(W653),F653*W653,"UNIDADE A CONFERIR")))</f>
        <v/>
      </c>
      <c r="I653" s="91" t="n"/>
      <c r="J653" s="91" t="n"/>
      <c r="K653" s="92" t="n"/>
      <c r="L653" s="91" t="n"/>
      <c r="M653" s="91" t="n"/>
      <c r="N653" s="91" t="n"/>
      <c r="O653" s="91" t="n"/>
      <c r="P653" s="94" t="str">
        <f>IF(Q653=0,"",IF(C653="","Item de resíduo não informado",IF(T653=0,"Item inexistente (referência inválida)",IF(NOT(ISNUMBER(F653)),"Quantidade não informada",IF(F653&lt;=0,"Quantidade não positiva",IF(G653="","Unidade não informada",IF(NOT(ISNUMBER(H653)),"Unidade a conferir",IF(NOT(ISNUMBER(E653)),"Data de recebimento não informada",IF(AND(ISNUMBER(V653),N(V653)&gt;0,E653&lt;N(V653)),"Data anterior à emissão do MTR",IF(AND(J653="Sim",L653="",M653=""),"Conferido sem evidência identificada",IF(J653&lt;&gt;"Sim","Aguardando conferência",IF(INDEX('ITENS_MTR'!$AM$6:$AM$1005,S653)=1,"Conferido (ver diferença no item)","Conferido"))))))))))))</f>
        <v/>
      </c>
      <c r="Q653" s="96">
        <f>IF(COUNTA(C653,E653:G653,I653:O653)&gt;0,1,0)</f>
        <v>0</v>
      </c>
      <c r="R653" s="96" t="str">
        <f>IF(C653="","",TRIM(LEFT(C653,FIND(" |",C653&amp;" |")-1)))</f>
        <v/>
      </c>
      <c r="S653" s="96" t="str">
        <f>IF(R653="","",IFERROR(MATCH(R653,'ITENS_MTR'!$A$6:$A$1005,0),""))</f>
        <v/>
      </c>
      <c r="T653" s="96">
        <f>IF(S653="",0,IF(INDEX('ITENS_MTR'!$R$6:$R$1005,S653)=1,1,0))</f>
        <v>0</v>
      </c>
      <c r="U653" s="96" t="str">
        <f>IF(T653=1,INDEX('ITENS_MTR'!$T$6:$T$1005,S653),"")</f>
        <v/>
      </c>
      <c r="V653" s="97" t="str">
        <f>IF(N(U653)&gt;0,INDEX('MTRs'!$E$6:$E$505,U653),"")</f>
        <v/>
      </c>
      <c r="W653" s="96" t="str">
        <f>IF(G653="","",IFERROR(IF(ISNUMBER(INDEX(cfg_fac,MATCH(G653,cfg_units,0))),IF(INDEX(cfg_fac,MATCH(G653,cfg_units,0))&gt;0,INDEX(cfg_fac,MATCH(G653,cfg_units,0)),""),""),""))</f>
        <v/>
      </c>
      <c r="X653" s="96">
        <f>IF(AND(ISNUMBER(F653),ISNUMBER(H653)),IF(H653&gt;0,1,0),0)</f>
        <v>0</v>
      </c>
      <c r="Y653" s="96">
        <f>IF(Q653=0,0,IF(OR(T653=0,X653=0,NOT(ISNUMBER(E653)),AND(J653="Sim",L653="",M653=""),AND(ISNUMBER(E653),ISNUMBER(V653),N(V653)&gt;0,E653&lt;N(V653))),1,0))</f>
        <v>0</v>
      </c>
      <c r="Z653" s="96">
        <f>IF(AND(Q653=1,T653=1,X653=1,J653="Sim",OR(L653&lt;&gt;"",M653&lt;&gt;"")),1,0)</f>
        <v>0</v>
      </c>
      <c r="AA653" s="96">
        <f>IF(Q653=0,0,IF(AND(OR(r_ini="",AND(ISNUMBER(E653),E653&gt;=r_ini)),OR(r_fim="",AND(ISNUMBER(E653),E653&lt;=r_fim)),OR(r_un="",r_un="(Todas)",IF(N(U653)&gt;0,INDEX('MTRs'!$G$6:$G$505,U653),"")=r_un),OR(r_de="",r_de="(Todos)",D653=r_de)),1,0))</f>
        <v>0</v>
      </c>
      <c r="AB653" s="96" t="str">
        <f>IF(AA653=1,COUNTIF($AA$6:AA653,1),"")</f>
        <v/>
      </c>
    </row>
    <row r="654">
      <c r="A654" s="89" t="inlineStr">
        <is>
          <t>REC-000649</t>
        </is>
      </c>
      <c r="B654" s="94" t="str">
        <f>IF(T654=1,INDEX('ITENS_MTR'!$S$6:$S$1005,S654)&amp;"","")</f>
        <v/>
      </c>
      <c r="C654" s="91" t="n"/>
      <c r="D654" s="94" t="str">
        <f>IF(N(U654)&gt;0,INDEX('MTRs'!$I$6:$I$505,U654)&amp;"","")</f>
        <v/>
      </c>
      <c r="E654" s="92" t="n"/>
      <c r="F654" s="98" t="n"/>
      <c r="G654" s="91" t="n"/>
      <c r="H654" s="93" t="str">
        <f>IF(Q654=0,"",IF(NOT(ISNUMBER(F654)),"",IF(ISNUMBER(W654),F654*W654,"UNIDADE A CONFERIR")))</f>
        <v/>
      </c>
      <c r="I654" s="91" t="n"/>
      <c r="J654" s="91" t="n"/>
      <c r="K654" s="92" t="n"/>
      <c r="L654" s="91" t="n"/>
      <c r="M654" s="91" t="n"/>
      <c r="N654" s="91" t="n"/>
      <c r="O654" s="91" t="n"/>
      <c r="P654" s="94" t="str">
        <f>IF(Q654=0,"",IF(C654="","Item de resíduo não informado",IF(T654=0,"Item inexistente (referência inválida)",IF(NOT(ISNUMBER(F654)),"Quantidade não informada",IF(F654&lt;=0,"Quantidade não positiva",IF(G654="","Unidade não informada",IF(NOT(ISNUMBER(H654)),"Unidade a conferir",IF(NOT(ISNUMBER(E654)),"Data de recebimento não informada",IF(AND(ISNUMBER(V654),N(V654)&gt;0,E654&lt;N(V654)),"Data anterior à emissão do MTR",IF(AND(J654="Sim",L654="",M654=""),"Conferido sem evidência identificada",IF(J654&lt;&gt;"Sim","Aguardando conferência",IF(INDEX('ITENS_MTR'!$AM$6:$AM$1005,S654)=1,"Conferido (ver diferença no item)","Conferido"))))))))))))</f>
        <v/>
      </c>
      <c r="Q654" s="96">
        <f>IF(COUNTA(C654,E654:G654,I654:O654)&gt;0,1,0)</f>
        <v>0</v>
      </c>
      <c r="R654" s="96" t="str">
        <f>IF(C654="","",TRIM(LEFT(C654,FIND(" |",C654&amp;" |")-1)))</f>
        <v/>
      </c>
      <c r="S654" s="96" t="str">
        <f>IF(R654="","",IFERROR(MATCH(R654,'ITENS_MTR'!$A$6:$A$1005,0),""))</f>
        <v/>
      </c>
      <c r="T654" s="96">
        <f>IF(S654="",0,IF(INDEX('ITENS_MTR'!$R$6:$R$1005,S654)=1,1,0))</f>
        <v>0</v>
      </c>
      <c r="U654" s="96" t="str">
        <f>IF(T654=1,INDEX('ITENS_MTR'!$T$6:$T$1005,S654),"")</f>
        <v/>
      </c>
      <c r="V654" s="97" t="str">
        <f>IF(N(U654)&gt;0,INDEX('MTRs'!$E$6:$E$505,U654),"")</f>
        <v/>
      </c>
      <c r="W654" s="96" t="str">
        <f>IF(G654="","",IFERROR(IF(ISNUMBER(INDEX(cfg_fac,MATCH(G654,cfg_units,0))),IF(INDEX(cfg_fac,MATCH(G654,cfg_units,0))&gt;0,INDEX(cfg_fac,MATCH(G654,cfg_units,0)),""),""),""))</f>
        <v/>
      </c>
      <c r="X654" s="96">
        <f>IF(AND(ISNUMBER(F654),ISNUMBER(H654)),IF(H654&gt;0,1,0),0)</f>
        <v>0</v>
      </c>
      <c r="Y654" s="96">
        <f>IF(Q654=0,0,IF(OR(T654=0,X654=0,NOT(ISNUMBER(E654)),AND(J654="Sim",L654="",M654=""),AND(ISNUMBER(E654),ISNUMBER(V654),N(V654)&gt;0,E654&lt;N(V654))),1,0))</f>
        <v>0</v>
      </c>
      <c r="Z654" s="96">
        <f>IF(AND(Q654=1,T654=1,X654=1,J654="Sim",OR(L654&lt;&gt;"",M654&lt;&gt;"")),1,0)</f>
        <v>0</v>
      </c>
      <c r="AA654" s="96">
        <f>IF(Q654=0,0,IF(AND(OR(r_ini="",AND(ISNUMBER(E654),E654&gt;=r_ini)),OR(r_fim="",AND(ISNUMBER(E654),E654&lt;=r_fim)),OR(r_un="",r_un="(Todas)",IF(N(U654)&gt;0,INDEX('MTRs'!$G$6:$G$505,U654),"")=r_un),OR(r_de="",r_de="(Todos)",D654=r_de)),1,0))</f>
        <v>0</v>
      </c>
      <c r="AB654" s="96" t="str">
        <f>IF(AA654=1,COUNTIF($AA$6:AA654,1),"")</f>
        <v/>
      </c>
    </row>
    <row r="655">
      <c r="A655" s="89" t="inlineStr">
        <is>
          <t>REC-000650</t>
        </is>
      </c>
      <c r="B655" s="94" t="str">
        <f>IF(T655=1,INDEX('ITENS_MTR'!$S$6:$S$1005,S655)&amp;"","")</f>
        <v/>
      </c>
      <c r="C655" s="91" t="n"/>
      <c r="D655" s="94" t="str">
        <f>IF(N(U655)&gt;0,INDEX('MTRs'!$I$6:$I$505,U655)&amp;"","")</f>
        <v/>
      </c>
      <c r="E655" s="92" t="n"/>
      <c r="F655" s="98" t="n"/>
      <c r="G655" s="91" t="n"/>
      <c r="H655" s="93" t="str">
        <f>IF(Q655=0,"",IF(NOT(ISNUMBER(F655)),"",IF(ISNUMBER(W655),F655*W655,"UNIDADE A CONFERIR")))</f>
        <v/>
      </c>
      <c r="I655" s="91" t="n"/>
      <c r="J655" s="91" t="n"/>
      <c r="K655" s="92" t="n"/>
      <c r="L655" s="91" t="n"/>
      <c r="M655" s="91" t="n"/>
      <c r="N655" s="91" t="n"/>
      <c r="O655" s="91" t="n"/>
      <c r="P655" s="94" t="str">
        <f>IF(Q655=0,"",IF(C655="","Item de resíduo não informado",IF(T655=0,"Item inexistente (referência inválida)",IF(NOT(ISNUMBER(F655)),"Quantidade não informada",IF(F655&lt;=0,"Quantidade não positiva",IF(G655="","Unidade não informada",IF(NOT(ISNUMBER(H655)),"Unidade a conferir",IF(NOT(ISNUMBER(E655)),"Data de recebimento não informada",IF(AND(ISNUMBER(V655),N(V655)&gt;0,E655&lt;N(V655)),"Data anterior à emissão do MTR",IF(AND(J655="Sim",L655="",M655=""),"Conferido sem evidência identificada",IF(J655&lt;&gt;"Sim","Aguardando conferência",IF(INDEX('ITENS_MTR'!$AM$6:$AM$1005,S655)=1,"Conferido (ver diferença no item)","Conferido"))))))))))))</f>
        <v/>
      </c>
      <c r="Q655" s="96">
        <f>IF(COUNTA(C655,E655:G655,I655:O655)&gt;0,1,0)</f>
        <v>0</v>
      </c>
      <c r="R655" s="96" t="str">
        <f>IF(C655="","",TRIM(LEFT(C655,FIND(" |",C655&amp;" |")-1)))</f>
        <v/>
      </c>
      <c r="S655" s="96" t="str">
        <f>IF(R655="","",IFERROR(MATCH(R655,'ITENS_MTR'!$A$6:$A$1005,0),""))</f>
        <v/>
      </c>
      <c r="T655" s="96">
        <f>IF(S655="",0,IF(INDEX('ITENS_MTR'!$R$6:$R$1005,S655)=1,1,0))</f>
        <v>0</v>
      </c>
      <c r="U655" s="96" t="str">
        <f>IF(T655=1,INDEX('ITENS_MTR'!$T$6:$T$1005,S655),"")</f>
        <v/>
      </c>
      <c r="V655" s="97" t="str">
        <f>IF(N(U655)&gt;0,INDEX('MTRs'!$E$6:$E$505,U655),"")</f>
        <v/>
      </c>
      <c r="W655" s="96" t="str">
        <f>IF(G655="","",IFERROR(IF(ISNUMBER(INDEX(cfg_fac,MATCH(G655,cfg_units,0))),IF(INDEX(cfg_fac,MATCH(G655,cfg_units,0))&gt;0,INDEX(cfg_fac,MATCH(G655,cfg_units,0)),""),""),""))</f>
        <v/>
      </c>
      <c r="X655" s="96">
        <f>IF(AND(ISNUMBER(F655),ISNUMBER(H655)),IF(H655&gt;0,1,0),0)</f>
        <v>0</v>
      </c>
      <c r="Y655" s="96">
        <f>IF(Q655=0,0,IF(OR(T655=0,X655=0,NOT(ISNUMBER(E655)),AND(J655="Sim",L655="",M655=""),AND(ISNUMBER(E655),ISNUMBER(V655),N(V655)&gt;0,E655&lt;N(V655))),1,0))</f>
        <v>0</v>
      </c>
      <c r="Z655" s="96">
        <f>IF(AND(Q655=1,T655=1,X655=1,J655="Sim",OR(L655&lt;&gt;"",M655&lt;&gt;"")),1,0)</f>
        <v>0</v>
      </c>
      <c r="AA655" s="96">
        <f>IF(Q655=0,0,IF(AND(OR(r_ini="",AND(ISNUMBER(E655),E655&gt;=r_ini)),OR(r_fim="",AND(ISNUMBER(E655),E655&lt;=r_fim)),OR(r_un="",r_un="(Todas)",IF(N(U655)&gt;0,INDEX('MTRs'!$G$6:$G$505,U655),"")=r_un),OR(r_de="",r_de="(Todos)",D655=r_de)),1,0))</f>
        <v>0</v>
      </c>
      <c r="AB655" s="96" t="str">
        <f>IF(AA655=1,COUNTIF($AA$6:AA655,1),"")</f>
        <v/>
      </c>
    </row>
    <row r="656">
      <c r="A656" s="89" t="inlineStr">
        <is>
          <t>REC-000651</t>
        </is>
      </c>
      <c r="B656" s="94" t="str">
        <f>IF(T656=1,INDEX('ITENS_MTR'!$S$6:$S$1005,S656)&amp;"","")</f>
        <v/>
      </c>
      <c r="C656" s="91" t="n"/>
      <c r="D656" s="94" t="str">
        <f>IF(N(U656)&gt;0,INDEX('MTRs'!$I$6:$I$505,U656)&amp;"","")</f>
        <v/>
      </c>
      <c r="E656" s="92" t="n"/>
      <c r="F656" s="98" t="n"/>
      <c r="G656" s="91" t="n"/>
      <c r="H656" s="93" t="str">
        <f>IF(Q656=0,"",IF(NOT(ISNUMBER(F656)),"",IF(ISNUMBER(W656),F656*W656,"UNIDADE A CONFERIR")))</f>
        <v/>
      </c>
      <c r="I656" s="91" t="n"/>
      <c r="J656" s="91" t="n"/>
      <c r="K656" s="92" t="n"/>
      <c r="L656" s="91" t="n"/>
      <c r="M656" s="91" t="n"/>
      <c r="N656" s="91" t="n"/>
      <c r="O656" s="91" t="n"/>
      <c r="P656" s="94" t="str">
        <f>IF(Q656=0,"",IF(C656="","Item de resíduo não informado",IF(T656=0,"Item inexistente (referência inválida)",IF(NOT(ISNUMBER(F656)),"Quantidade não informada",IF(F656&lt;=0,"Quantidade não positiva",IF(G656="","Unidade não informada",IF(NOT(ISNUMBER(H656)),"Unidade a conferir",IF(NOT(ISNUMBER(E656)),"Data de recebimento não informada",IF(AND(ISNUMBER(V656),N(V656)&gt;0,E656&lt;N(V656)),"Data anterior à emissão do MTR",IF(AND(J656="Sim",L656="",M656=""),"Conferido sem evidência identificada",IF(J656&lt;&gt;"Sim","Aguardando conferência",IF(INDEX('ITENS_MTR'!$AM$6:$AM$1005,S656)=1,"Conferido (ver diferença no item)","Conferido"))))))))))))</f>
        <v/>
      </c>
      <c r="Q656" s="96">
        <f>IF(COUNTA(C656,E656:G656,I656:O656)&gt;0,1,0)</f>
        <v>0</v>
      </c>
      <c r="R656" s="96" t="str">
        <f>IF(C656="","",TRIM(LEFT(C656,FIND(" |",C656&amp;" |")-1)))</f>
        <v/>
      </c>
      <c r="S656" s="96" t="str">
        <f>IF(R656="","",IFERROR(MATCH(R656,'ITENS_MTR'!$A$6:$A$1005,0),""))</f>
        <v/>
      </c>
      <c r="T656" s="96">
        <f>IF(S656="",0,IF(INDEX('ITENS_MTR'!$R$6:$R$1005,S656)=1,1,0))</f>
        <v>0</v>
      </c>
      <c r="U656" s="96" t="str">
        <f>IF(T656=1,INDEX('ITENS_MTR'!$T$6:$T$1005,S656),"")</f>
        <v/>
      </c>
      <c r="V656" s="97" t="str">
        <f>IF(N(U656)&gt;0,INDEX('MTRs'!$E$6:$E$505,U656),"")</f>
        <v/>
      </c>
      <c r="W656" s="96" t="str">
        <f>IF(G656="","",IFERROR(IF(ISNUMBER(INDEX(cfg_fac,MATCH(G656,cfg_units,0))),IF(INDEX(cfg_fac,MATCH(G656,cfg_units,0))&gt;0,INDEX(cfg_fac,MATCH(G656,cfg_units,0)),""),""),""))</f>
        <v/>
      </c>
      <c r="X656" s="96">
        <f>IF(AND(ISNUMBER(F656),ISNUMBER(H656)),IF(H656&gt;0,1,0),0)</f>
        <v>0</v>
      </c>
      <c r="Y656" s="96">
        <f>IF(Q656=0,0,IF(OR(T656=0,X656=0,NOT(ISNUMBER(E656)),AND(J656="Sim",L656="",M656=""),AND(ISNUMBER(E656),ISNUMBER(V656),N(V656)&gt;0,E656&lt;N(V656))),1,0))</f>
        <v>0</v>
      </c>
      <c r="Z656" s="96">
        <f>IF(AND(Q656=1,T656=1,X656=1,J656="Sim",OR(L656&lt;&gt;"",M656&lt;&gt;"")),1,0)</f>
        <v>0</v>
      </c>
      <c r="AA656" s="96">
        <f>IF(Q656=0,0,IF(AND(OR(r_ini="",AND(ISNUMBER(E656),E656&gt;=r_ini)),OR(r_fim="",AND(ISNUMBER(E656),E656&lt;=r_fim)),OR(r_un="",r_un="(Todas)",IF(N(U656)&gt;0,INDEX('MTRs'!$G$6:$G$505,U656),"")=r_un),OR(r_de="",r_de="(Todos)",D656=r_de)),1,0))</f>
        <v>0</v>
      </c>
      <c r="AB656" s="96" t="str">
        <f>IF(AA656=1,COUNTIF($AA$6:AA656,1),"")</f>
        <v/>
      </c>
    </row>
    <row r="657">
      <c r="A657" s="89" t="inlineStr">
        <is>
          <t>REC-000652</t>
        </is>
      </c>
      <c r="B657" s="94" t="str">
        <f>IF(T657=1,INDEX('ITENS_MTR'!$S$6:$S$1005,S657)&amp;"","")</f>
        <v/>
      </c>
      <c r="C657" s="91" t="n"/>
      <c r="D657" s="94" t="str">
        <f>IF(N(U657)&gt;0,INDEX('MTRs'!$I$6:$I$505,U657)&amp;"","")</f>
        <v/>
      </c>
      <c r="E657" s="92" t="n"/>
      <c r="F657" s="98" t="n"/>
      <c r="G657" s="91" t="n"/>
      <c r="H657" s="93" t="str">
        <f>IF(Q657=0,"",IF(NOT(ISNUMBER(F657)),"",IF(ISNUMBER(W657),F657*W657,"UNIDADE A CONFERIR")))</f>
        <v/>
      </c>
      <c r="I657" s="91" t="n"/>
      <c r="J657" s="91" t="n"/>
      <c r="K657" s="92" t="n"/>
      <c r="L657" s="91" t="n"/>
      <c r="M657" s="91" t="n"/>
      <c r="N657" s="91" t="n"/>
      <c r="O657" s="91" t="n"/>
      <c r="P657" s="94" t="str">
        <f>IF(Q657=0,"",IF(C657="","Item de resíduo não informado",IF(T657=0,"Item inexistente (referência inválida)",IF(NOT(ISNUMBER(F657)),"Quantidade não informada",IF(F657&lt;=0,"Quantidade não positiva",IF(G657="","Unidade não informada",IF(NOT(ISNUMBER(H657)),"Unidade a conferir",IF(NOT(ISNUMBER(E657)),"Data de recebimento não informada",IF(AND(ISNUMBER(V657),N(V657)&gt;0,E657&lt;N(V657)),"Data anterior à emissão do MTR",IF(AND(J657="Sim",L657="",M657=""),"Conferido sem evidência identificada",IF(J657&lt;&gt;"Sim","Aguardando conferência",IF(INDEX('ITENS_MTR'!$AM$6:$AM$1005,S657)=1,"Conferido (ver diferença no item)","Conferido"))))))))))))</f>
        <v/>
      </c>
      <c r="Q657" s="96">
        <f>IF(COUNTA(C657,E657:G657,I657:O657)&gt;0,1,0)</f>
        <v>0</v>
      </c>
      <c r="R657" s="96" t="str">
        <f>IF(C657="","",TRIM(LEFT(C657,FIND(" |",C657&amp;" |")-1)))</f>
        <v/>
      </c>
      <c r="S657" s="96" t="str">
        <f>IF(R657="","",IFERROR(MATCH(R657,'ITENS_MTR'!$A$6:$A$1005,0),""))</f>
        <v/>
      </c>
      <c r="T657" s="96">
        <f>IF(S657="",0,IF(INDEX('ITENS_MTR'!$R$6:$R$1005,S657)=1,1,0))</f>
        <v>0</v>
      </c>
      <c r="U657" s="96" t="str">
        <f>IF(T657=1,INDEX('ITENS_MTR'!$T$6:$T$1005,S657),"")</f>
        <v/>
      </c>
      <c r="V657" s="97" t="str">
        <f>IF(N(U657)&gt;0,INDEX('MTRs'!$E$6:$E$505,U657),"")</f>
        <v/>
      </c>
      <c r="W657" s="96" t="str">
        <f>IF(G657="","",IFERROR(IF(ISNUMBER(INDEX(cfg_fac,MATCH(G657,cfg_units,0))),IF(INDEX(cfg_fac,MATCH(G657,cfg_units,0))&gt;0,INDEX(cfg_fac,MATCH(G657,cfg_units,0)),""),""),""))</f>
        <v/>
      </c>
      <c r="X657" s="96">
        <f>IF(AND(ISNUMBER(F657),ISNUMBER(H657)),IF(H657&gt;0,1,0),0)</f>
        <v>0</v>
      </c>
      <c r="Y657" s="96">
        <f>IF(Q657=0,0,IF(OR(T657=0,X657=0,NOT(ISNUMBER(E657)),AND(J657="Sim",L657="",M657=""),AND(ISNUMBER(E657),ISNUMBER(V657),N(V657)&gt;0,E657&lt;N(V657))),1,0))</f>
        <v>0</v>
      </c>
      <c r="Z657" s="96">
        <f>IF(AND(Q657=1,T657=1,X657=1,J657="Sim",OR(L657&lt;&gt;"",M657&lt;&gt;"")),1,0)</f>
        <v>0</v>
      </c>
      <c r="AA657" s="96">
        <f>IF(Q657=0,0,IF(AND(OR(r_ini="",AND(ISNUMBER(E657),E657&gt;=r_ini)),OR(r_fim="",AND(ISNUMBER(E657),E657&lt;=r_fim)),OR(r_un="",r_un="(Todas)",IF(N(U657)&gt;0,INDEX('MTRs'!$G$6:$G$505,U657),"")=r_un),OR(r_de="",r_de="(Todos)",D657=r_de)),1,0))</f>
        <v>0</v>
      </c>
      <c r="AB657" s="96" t="str">
        <f>IF(AA657=1,COUNTIF($AA$6:AA657,1),"")</f>
        <v/>
      </c>
    </row>
    <row r="658">
      <c r="A658" s="89" t="inlineStr">
        <is>
          <t>REC-000653</t>
        </is>
      </c>
      <c r="B658" s="94" t="str">
        <f>IF(T658=1,INDEX('ITENS_MTR'!$S$6:$S$1005,S658)&amp;"","")</f>
        <v/>
      </c>
      <c r="C658" s="91" t="n"/>
      <c r="D658" s="94" t="str">
        <f>IF(N(U658)&gt;0,INDEX('MTRs'!$I$6:$I$505,U658)&amp;"","")</f>
        <v/>
      </c>
      <c r="E658" s="92" t="n"/>
      <c r="F658" s="98" t="n"/>
      <c r="G658" s="91" t="n"/>
      <c r="H658" s="93" t="str">
        <f>IF(Q658=0,"",IF(NOT(ISNUMBER(F658)),"",IF(ISNUMBER(W658),F658*W658,"UNIDADE A CONFERIR")))</f>
        <v/>
      </c>
      <c r="I658" s="91" t="n"/>
      <c r="J658" s="91" t="n"/>
      <c r="K658" s="92" t="n"/>
      <c r="L658" s="91" t="n"/>
      <c r="M658" s="91" t="n"/>
      <c r="N658" s="91" t="n"/>
      <c r="O658" s="91" t="n"/>
      <c r="P658" s="94" t="str">
        <f>IF(Q658=0,"",IF(C658="","Item de resíduo não informado",IF(T658=0,"Item inexistente (referência inválida)",IF(NOT(ISNUMBER(F658)),"Quantidade não informada",IF(F658&lt;=0,"Quantidade não positiva",IF(G658="","Unidade não informada",IF(NOT(ISNUMBER(H658)),"Unidade a conferir",IF(NOT(ISNUMBER(E658)),"Data de recebimento não informada",IF(AND(ISNUMBER(V658),N(V658)&gt;0,E658&lt;N(V658)),"Data anterior à emissão do MTR",IF(AND(J658="Sim",L658="",M658=""),"Conferido sem evidência identificada",IF(J658&lt;&gt;"Sim","Aguardando conferência",IF(INDEX('ITENS_MTR'!$AM$6:$AM$1005,S658)=1,"Conferido (ver diferença no item)","Conferido"))))))))))))</f>
        <v/>
      </c>
      <c r="Q658" s="96">
        <f>IF(COUNTA(C658,E658:G658,I658:O658)&gt;0,1,0)</f>
        <v>0</v>
      </c>
      <c r="R658" s="96" t="str">
        <f>IF(C658="","",TRIM(LEFT(C658,FIND(" |",C658&amp;" |")-1)))</f>
        <v/>
      </c>
      <c r="S658" s="96" t="str">
        <f>IF(R658="","",IFERROR(MATCH(R658,'ITENS_MTR'!$A$6:$A$1005,0),""))</f>
        <v/>
      </c>
      <c r="T658" s="96">
        <f>IF(S658="",0,IF(INDEX('ITENS_MTR'!$R$6:$R$1005,S658)=1,1,0))</f>
        <v>0</v>
      </c>
      <c r="U658" s="96" t="str">
        <f>IF(T658=1,INDEX('ITENS_MTR'!$T$6:$T$1005,S658),"")</f>
        <v/>
      </c>
      <c r="V658" s="97" t="str">
        <f>IF(N(U658)&gt;0,INDEX('MTRs'!$E$6:$E$505,U658),"")</f>
        <v/>
      </c>
      <c r="W658" s="96" t="str">
        <f>IF(G658="","",IFERROR(IF(ISNUMBER(INDEX(cfg_fac,MATCH(G658,cfg_units,0))),IF(INDEX(cfg_fac,MATCH(G658,cfg_units,0))&gt;0,INDEX(cfg_fac,MATCH(G658,cfg_units,0)),""),""),""))</f>
        <v/>
      </c>
      <c r="X658" s="96">
        <f>IF(AND(ISNUMBER(F658),ISNUMBER(H658)),IF(H658&gt;0,1,0),0)</f>
        <v>0</v>
      </c>
      <c r="Y658" s="96">
        <f>IF(Q658=0,0,IF(OR(T658=0,X658=0,NOT(ISNUMBER(E658)),AND(J658="Sim",L658="",M658=""),AND(ISNUMBER(E658),ISNUMBER(V658),N(V658)&gt;0,E658&lt;N(V658))),1,0))</f>
        <v>0</v>
      </c>
      <c r="Z658" s="96">
        <f>IF(AND(Q658=1,T658=1,X658=1,J658="Sim",OR(L658&lt;&gt;"",M658&lt;&gt;"")),1,0)</f>
        <v>0</v>
      </c>
      <c r="AA658" s="96">
        <f>IF(Q658=0,0,IF(AND(OR(r_ini="",AND(ISNUMBER(E658),E658&gt;=r_ini)),OR(r_fim="",AND(ISNUMBER(E658),E658&lt;=r_fim)),OR(r_un="",r_un="(Todas)",IF(N(U658)&gt;0,INDEX('MTRs'!$G$6:$G$505,U658),"")=r_un),OR(r_de="",r_de="(Todos)",D658=r_de)),1,0))</f>
        <v>0</v>
      </c>
      <c r="AB658" s="96" t="str">
        <f>IF(AA658=1,COUNTIF($AA$6:AA658,1),"")</f>
        <v/>
      </c>
    </row>
    <row r="659">
      <c r="A659" s="89" t="inlineStr">
        <is>
          <t>REC-000654</t>
        </is>
      </c>
      <c r="B659" s="94" t="str">
        <f>IF(T659=1,INDEX('ITENS_MTR'!$S$6:$S$1005,S659)&amp;"","")</f>
        <v/>
      </c>
      <c r="C659" s="91" t="n"/>
      <c r="D659" s="94" t="str">
        <f>IF(N(U659)&gt;0,INDEX('MTRs'!$I$6:$I$505,U659)&amp;"","")</f>
        <v/>
      </c>
      <c r="E659" s="92" t="n"/>
      <c r="F659" s="98" t="n"/>
      <c r="G659" s="91" t="n"/>
      <c r="H659" s="93" t="str">
        <f>IF(Q659=0,"",IF(NOT(ISNUMBER(F659)),"",IF(ISNUMBER(W659),F659*W659,"UNIDADE A CONFERIR")))</f>
        <v/>
      </c>
      <c r="I659" s="91" t="n"/>
      <c r="J659" s="91" t="n"/>
      <c r="K659" s="92" t="n"/>
      <c r="L659" s="91" t="n"/>
      <c r="M659" s="91" t="n"/>
      <c r="N659" s="91" t="n"/>
      <c r="O659" s="91" t="n"/>
      <c r="P659" s="94" t="str">
        <f>IF(Q659=0,"",IF(C659="","Item de resíduo não informado",IF(T659=0,"Item inexistente (referência inválida)",IF(NOT(ISNUMBER(F659)),"Quantidade não informada",IF(F659&lt;=0,"Quantidade não positiva",IF(G659="","Unidade não informada",IF(NOT(ISNUMBER(H659)),"Unidade a conferir",IF(NOT(ISNUMBER(E659)),"Data de recebimento não informada",IF(AND(ISNUMBER(V659),N(V659)&gt;0,E659&lt;N(V659)),"Data anterior à emissão do MTR",IF(AND(J659="Sim",L659="",M659=""),"Conferido sem evidência identificada",IF(J659&lt;&gt;"Sim","Aguardando conferência",IF(INDEX('ITENS_MTR'!$AM$6:$AM$1005,S659)=1,"Conferido (ver diferença no item)","Conferido"))))))))))))</f>
        <v/>
      </c>
      <c r="Q659" s="96">
        <f>IF(COUNTA(C659,E659:G659,I659:O659)&gt;0,1,0)</f>
        <v>0</v>
      </c>
      <c r="R659" s="96" t="str">
        <f>IF(C659="","",TRIM(LEFT(C659,FIND(" |",C659&amp;" |")-1)))</f>
        <v/>
      </c>
      <c r="S659" s="96" t="str">
        <f>IF(R659="","",IFERROR(MATCH(R659,'ITENS_MTR'!$A$6:$A$1005,0),""))</f>
        <v/>
      </c>
      <c r="T659" s="96">
        <f>IF(S659="",0,IF(INDEX('ITENS_MTR'!$R$6:$R$1005,S659)=1,1,0))</f>
        <v>0</v>
      </c>
      <c r="U659" s="96" t="str">
        <f>IF(T659=1,INDEX('ITENS_MTR'!$T$6:$T$1005,S659),"")</f>
        <v/>
      </c>
      <c r="V659" s="97" t="str">
        <f>IF(N(U659)&gt;0,INDEX('MTRs'!$E$6:$E$505,U659),"")</f>
        <v/>
      </c>
      <c r="W659" s="96" t="str">
        <f>IF(G659="","",IFERROR(IF(ISNUMBER(INDEX(cfg_fac,MATCH(G659,cfg_units,0))),IF(INDEX(cfg_fac,MATCH(G659,cfg_units,0))&gt;0,INDEX(cfg_fac,MATCH(G659,cfg_units,0)),""),""),""))</f>
        <v/>
      </c>
      <c r="X659" s="96">
        <f>IF(AND(ISNUMBER(F659),ISNUMBER(H659)),IF(H659&gt;0,1,0),0)</f>
        <v>0</v>
      </c>
      <c r="Y659" s="96">
        <f>IF(Q659=0,0,IF(OR(T659=0,X659=0,NOT(ISNUMBER(E659)),AND(J659="Sim",L659="",M659=""),AND(ISNUMBER(E659),ISNUMBER(V659),N(V659)&gt;0,E659&lt;N(V659))),1,0))</f>
        <v>0</v>
      </c>
      <c r="Z659" s="96">
        <f>IF(AND(Q659=1,T659=1,X659=1,J659="Sim",OR(L659&lt;&gt;"",M659&lt;&gt;"")),1,0)</f>
        <v>0</v>
      </c>
      <c r="AA659" s="96">
        <f>IF(Q659=0,0,IF(AND(OR(r_ini="",AND(ISNUMBER(E659),E659&gt;=r_ini)),OR(r_fim="",AND(ISNUMBER(E659),E659&lt;=r_fim)),OR(r_un="",r_un="(Todas)",IF(N(U659)&gt;0,INDEX('MTRs'!$G$6:$G$505,U659),"")=r_un),OR(r_de="",r_de="(Todos)",D659=r_de)),1,0))</f>
        <v>0</v>
      </c>
      <c r="AB659" s="96" t="str">
        <f>IF(AA659=1,COUNTIF($AA$6:AA659,1),"")</f>
        <v/>
      </c>
    </row>
    <row r="660">
      <c r="A660" s="89" t="inlineStr">
        <is>
          <t>REC-000655</t>
        </is>
      </c>
      <c r="B660" s="94" t="str">
        <f>IF(T660=1,INDEX('ITENS_MTR'!$S$6:$S$1005,S660)&amp;"","")</f>
        <v/>
      </c>
      <c r="C660" s="91" t="n"/>
      <c r="D660" s="94" t="str">
        <f>IF(N(U660)&gt;0,INDEX('MTRs'!$I$6:$I$505,U660)&amp;"","")</f>
        <v/>
      </c>
      <c r="E660" s="92" t="n"/>
      <c r="F660" s="98" t="n"/>
      <c r="G660" s="91" t="n"/>
      <c r="H660" s="93" t="str">
        <f>IF(Q660=0,"",IF(NOT(ISNUMBER(F660)),"",IF(ISNUMBER(W660),F660*W660,"UNIDADE A CONFERIR")))</f>
        <v/>
      </c>
      <c r="I660" s="91" t="n"/>
      <c r="J660" s="91" t="n"/>
      <c r="K660" s="92" t="n"/>
      <c r="L660" s="91" t="n"/>
      <c r="M660" s="91" t="n"/>
      <c r="N660" s="91" t="n"/>
      <c r="O660" s="91" t="n"/>
      <c r="P660" s="94" t="str">
        <f>IF(Q660=0,"",IF(C660="","Item de resíduo não informado",IF(T660=0,"Item inexistente (referência inválida)",IF(NOT(ISNUMBER(F660)),"Quantidade não informada",IF(F660&lt;=0,"Quantidade não positiva",IF(G660="","Unidade não informada",IF(NOT(ISNUMBER(H660)),"Unidade a conferir",IF(NOT(ISNUMBER(E660)),"Data de recebimento não informada",IF(AND(ISNUMBER(V660),N(V660)&gt;0,E660&lt;N(V660)),"Data anterior à emissão do MTR",IF(AND(J660="Sim",L660="",M660=""),"Conferido sem evidência identificada",IF(J660&lt;&gt;"Sim","Aguardando conferência",IF(INDEX('ITENS_MTR'!$AM$6:$AM$1005,S660)=1,"Conferido (ver diferença no item)","Conferido"))))))))))))</f>
        <v/>
      </c>
      <c r="Q660" s="96">
        <f>IF(COUNTA(C660,E660:G660,I660:O660)&gt;0,1,0)</f>
        <v>0</v>
      </c>
      <c r="R660" s="96" t="str">
        <f>IF(C660="","",TRIM(LEFT(C660,FIND(" |",C660&amp;" |")-1)))</f>
        <v/>
      </c>
      <c r="S660" s="96" t="str">
        <f>IF(R660="","",IFERROR(MATCH(R660,'ITENS_MTR'!$A$6:$A$1005,0),""))</f>
        <v/>
      </c>
      <c r="T660" s="96">
        <f>IF(S660="",0,IF(INDEX('ITENS_MTR'!$R$6:$R$1005,S660)=1,1,0))</f>
        <v>0</v>
      </c>
      <c r="U660" s="96" t="str">
        <f>IF(T660=1,INDEX('ITENS_MTR'!$T$6:$T$1005,S660),"")</f>
        <v/>
      </c>
      <c r="V660" s="97" t="str">
        <f>IF(N(U660)&gt;0,INDEX('MTRs'!$E$6:$E$505,U660),"")</f>
        <v/>
      </c>
      <c r="W660" s="96" t="str">
        <f>IF(G660="","",IFERROR(IF(ISNUMBER(INDEX(cfg_fac,MATCH(G660,cfg_units,0))),IF(INDEX(cfg_fac,MATCH(G660,cfg_units,0))&gt;0,INDEX(cfg_fac,MATCH(G660,cfg_units,0)),""),""),""))</f>
        <v/>
      </c>
      <c r="X660" s="96">
        <f>IF(AND(ISNUMBER(F660),ISNUMBER(H660)),IF(H660&gt;0,1,0),0)</f>
        <v>0</v>
      </c>
      <c r="Y660" s="96">
        <f>IF(Q660=0,0,IF(OR(T660=0,X660=0,NOT(ISNUMBER(E660)),AND(J660="Sim",L660="",M660=""),AND(ISNUMBER(E660),ISNUMBER(V660),N(V660)&gt;0,E660&lt;N(V660))),1,0))</f>
        <v>0</v>
      </c>
      <c r="Z660" s="96">
        <f>IF(AND(Q660=1,T660=1,X660=1,J660="Sim",OR(L660&lt;&gt;"",M660&lt;&gt;"")),1,0)</f>
        <v>0</v>
      </c>
      <c r="AA660" s="96">
        <f>IF(Q660=0,0,IF(AND(OR(r_ini="",AND(ISNUMBER(E660),E660&gt;=r_ini)),OR(r_fim="",AND(ISNUMBER(E660),E660&lt;=r_fim)),OR(r_un="",r_un="(Todas)",IF(N(U660)&gt;0,INDEX('MTRs'!$G$6:$G$505,U660),"")=r_un),OR(r_de="",r_de="(Todos)",D660=r_de)),1,0))</f>
        <v>0</v>
      </c>
      <c r="AB660" s="96" t="str">
        <f>IF(AA660=1,COUNTIF($AA$6:AA660,1),"")</f>
        <v/>
      </c>
    </row>
    <row r="661">
      <c r="A661" s="89" t="inlineStr">
        <is>
          <t>REC-000656</t>
        </is>
      </c>
      <c r="B661" s="94" t="str">
        <f>IF(T661=1,INDEX('ITENS_MTR'!$S$6:$S$1005,S661)&amp;"","")</f>
        <v/>
      </c>
      <c r="C661" s="91" t="n"/>
      <c r="D661" s="94" t="str">
        <f>IF(N(U661)&gt;0,INDEX('MTRs'!$I$6:$I$505,U661)&amp;"","")</f>
        <v/>
      </c>
      <c r="E661" s="92" t="n"/>
      <c r="F661" s="98" t="n"/>
      <c r="G661" s="91" t="n"/>
      <c r="H661" s="93" t="str">
        <f>IF(Q661=0,"",IF(NOT(ISNUMBER(F661)),"",IF(ISNUMBER(W661),F661*W661,"UNIDADE A CONFERIR")))</f>
        <v/>
      </c>
      <c r="I661" s="91" t="n"/>
      <c r="J661" s="91" t="n"/>
      <c r="K661" s="92" t="n"/>
      <c r="L661" s="91" t="n"/>
      <c r="M661" s="91" t="n"/>
      <c r="N661" s="91" t="n"/>
      <c r="O661" s="91" t="n"/>
      <c r="P661" s="94" t="str">
        <f>IF(Q661=0,"",IF(C661="","Item de resíduo não informado",IF(T661=0,"Item inexistente (referência inválida)",IF(NOT(ISNUMBER(F661)),"Quantidade não informada",IF(F661&lt;=0,"Quantidade não positiva",IF(G661="","Unidade não informada",IF(NOT(ISNUMBER(H661)),"Unidade a conferir",IF(NOT(ISNUMBER(E661)),"Data de recebimento não informada",IF(AND(ISNUMBER(V661),N(V661)&gt;0,E661&lt;N(V661)),"Data anterior à emissão do MTR",IF(AND(J661="Sim",L661="",M661=""),"Conferido sem evidência identificada",IF(J661&lt;&gt;"Sim","Aguardando conferência",IF(INDEX('ITENS_MTR'!$AM$6:$AM$1005,S661)=1,"Conferido (ver diferença no item)","Conferido"))))))))))))</f>
        <v/>
      </c>
      <c r="Q661" s="96">
        <f>IF(COUNTA(C661,E661:G661,I661:O661)&gt;0,1,0)</f>
        <v>0</v>
      </c>
      <c r="R661" s="96" t="str">
        <f>IF(C661="","",TRIM(LEFT(C661,FIND(" |",C661&amp;" |")-1)))</f>
        <v/>
      </c>
      <c r="S661" s="96" t="str">
        <f>IF(R661="","",IFERROR(MATCH(R661,'ITENS_MTR'!$A$6:$A$1005,0),""))</f>
        <v/>
      </c>
      <c r="T661" s="96">
        <f>IF(S661="",0,IF(INDEX('ITENS_MTR'!$R$6:$R$1005,S661)=1,1,0))</f>
        <v>0</v>
      </c>
      <c r="U661" s="96" t="str">
        <f>IF(T661=1,INDEX('ITENS_MTR'!$T$6:$T$1005,S661),"")</f>
        <v/>
      </c>
      <c r="V661" s="97" t="str">
        <f>IF(N(U661)&gt;0,INDEX('MTRs'!$E$6:$E$505,U661),"")</f>
        <v/>
      </c>
      <c r="W661" s="96" t="str">
        <f>IF(G661="","",IFERROR(IF(ISNUMBER(INDEX(cfg_fac,MATCH(G661,cfg_units,0))),IF(INDEX(cfg_fac,MATCH(G661,cfg_units,0))&gt;0,INDEX(cfg_fac,MATCH(G661,cfg_units,0)),""),""),""))</f>
        <v/>
      </c>
      <c r="X661" s="96">
        <f>IF(AND(ISNUMBER(F661),ISNUMBER(H661)),IF(H661&gt;0,1,0),0)</f>
        <v>0</v>
      </c>
      <c r="Y661" s="96">
        <f>IF(Q661=0,0,IF(OR(T661=0,X661=0,NOT(ISNUMBER(E661)),AND(J661="Sim",L661="",M661=""),AND(ISNUMBER(E661),ISNUMBER(V661),N(V661)&gt;0,E661&lt;N(V661))),1,0))</f>
        <v>0</v>
      </c>
      <c r="Z661" s="96">
        <f>IF(AND(Q661=1,T661=1,X661=1,J661="Sim",OR(L661&lt;&gt;"",M661&lt;&gt;"")),1,0)</f>
        <v>0</v>
      </c>
      <c r="AA661" s="96">
        <f>IF(Q661=0,0,IF(AND(OR(r_ini="",AND(ISNUMBER(E661),E661&gt;=r_ini)),OR(r_fim="",AND(ISNUMBER(E661),E661&lt;=r_fim)),OR(r_un="",r_un="(Todas)",IF(N(U661)&gt;0,INDEX('MTRs'!$G$6:$G$505,U661),"")=r_un),OR(r_de="",r_de="(Todos)",D661=r_de)),1,0))</f>
        <v>0</v>
      </c>
      <c r="AB661" s="96" t="str">
        <f>IF(AA661=1,COUNTIF($AA$6:AA661,1),"")</f>
        <v/>
      </c>
    </row>
    <row r="662">
      <c r="A662" s="89" t="inlineStr">
        <is>
          <t>REC-000657</t>
        </is>
      </c>
      <c r="B662" s="94" t="str">
        <f>IF(T662=1,INDEX('ITENS_MTR'!$S$6:$S$1005,S662)&amp;"","")</f>
        <v/>
      </c>
      <c r="C662" s="91" t="n"/>
      <c r="D662" s="94" t="str">
        <f>IF(N(U662)&gt;0,INDEX('MTRs'!$I$6:$I$505,U662)&amp;"","")</f>
        <v/>
      </c>
      <c r="E662" s="92" t="n"/>
      <c r="F662" s="98" t="n"/>
      <c r="G662" s="91" t="n"/>
      <c r="H662" s="93" t="str">
        <f>IF(Q662=0,"",IF(NOT(ISNUMBER(F662)),"",IF(ISNUMBER(W662),F662*W662,"UNIDADE A CONFERIR")))</f>
        <v/>
      </c>
      <c r="I662" s="91" t="n"/>
      <c r="J662" s="91" t="n"/>
      <c r="K662" s="92" t="n"/>
      <c r="L662" s="91" t="n"/>
      <c r="M662" s="91" t="n"/>
      <c r="N662" s="91" t="n"/>
      <c r="O662" s="91" t="n"/>
      <c r="P662" s="94" t="str">
        <f>IF(Q662=0,"",IF(C662="","Item de resíduo não informado",IF(T662=0,"Item inexistente (referência inválida)",IF(NOT(ISNUMBER(F662)),"Quantidade não informada",IF(F662&lt;=0,"Quantidade não positiva",IF(G662="","Unidade não informada",IF(NOT(ISNUMBER(H662)),"Unidade a conferir",IF(NOT(ISNUMBER(E662)),"Data de recebimento não informada",IF(AND(ISNUMBER(V662),N(V662)&gt;0,E662&lt;N(V662)),"Data anterior à emissão do MTR",IF(AND(J662="Sim",L662="",M662=""),"Conferido sem evidência identificada",IF(J662&lt;&gt;"Sim","Aguardando conferência",IF(INDEX('ITENS_MTR'!$AM$6:$AM$1005,S662)=1,"Conferido (ver diferença no item)","Conferido"))))))))))))</f>
        <v/>
      </c>
      <c r="Q662" s="96">
        <f>IF(COUNTA(C662,E662:G662,I662:O662)&gt;0,1,0)</f>
        <v>0</v>
      </c>
      <c r="R662" s="96" t="str">
        <f>IF(C662="","",TRIM(LEFT(C662,FIND(" |",C662&amp;" |")-1)))</f>
        <v/>
      </c>
      <c r="S662" s="96" t="str">
        <f>IF(R662="","",IFERROR(MATCH(R662,'ITENS_MTR'!$A$6:$A$1005,0),""))</f>
        <v/>
      </c>
      <c r="T662" s="96">
        <f>IF(S662="",0,IF(INDEX('ITENS_MTR'!$R$6:$R$1005,S662)=1,1,0))</f>
        <v>0</v>
      </c>
      <c r="U662" s="96" t="str">
        <f>IF(T662=1,INDEX('ITENS_MTR'!$T$6:$T$1005,S662),"")</f>
        <v/>
      </c>
      <c r="V662" s="97" t="str">
        <f>IF(N(U662)&gt;0,INDEX('MTRs'!$E$6:$E$505,U662),"")</f>
        <v/>
      </c>
      <c r="W662" s="96" t="str">
        <f>IF(G662="","",IFERROR(IF(ISNUMBER(INDEX(cfg_fac,MATCH(G662,cfg_units,0))),IF(INDEX(cfg_fac,MATCH(G662,cfg_units,0))&gt;0,INDEX(cfg_fac,MATCH(G662,cfg_units,0)),""),""),""))</f>
        <v/>
      </c>
      <c r="X662" s="96">
        <f>IF(AND(ISNUMBER(F662),ISNUMBER(H662)),IF(H662&gt;0,1,0),0)</f>
        <v>0</v>
      </c>
      <c r="Y662" s="96">
        <f>IF(Q662=0,0,IF(OR(T662=0,X662=0,NOT(ISNUMBER(E662)),AND(J662="Sim",L662="",M662=""),AND(ISNUMBER(E662),ISNUMBER(V662),N(V662)&gt;0,E662&lt;N(V662))),1,0))</f>
        <v>0</v>
      </c>
      <c r="Z662" s="96">
        <f>IF(AND(Q662=1,T662=1,X662=1,J662="Sim",OR(L662&lt;&gt;"",M662&lt;&gt;"")),1,0)</f>
        <v>0</v>
      </c>
      <c r="AA662" s="96">
        <f>IF(Q662=0,0,IF(AND(OR(r_ini="",AND(ISNUMBER(E662),E662&gt;=r_ini)),OR(r_fim="",AND(ISNUMBER(E662),E662&lt;=r_fim)),OR(r_un="",r_un="(Todas)",IF(N(U662)&gt;0,INDEX('MTRs'!$G$6:$G$505,U662),"")=r_un),OR(r_de="",r_de="(Todos)",D662=r_de)),1,0))</f>
        <v>0</v>
      </c>
      <c r="AB662" s="96" t="str">
        <f>IF(AA662=1,COUNTIF($AA$6:AA662,1),"")</f>
        <v/>
      </c>
    </row>
    <row r="663">
      <c r="A663" s="89" t="inlineStr">
        <is>
          <t>REC-000658</t>
        </is>
      </c>
      <c r="B663" s="94" t="str">
        <f>IF(T663=1,INDEX('ITENS_MTR'!$S$6:$S$1005,S663)&amp;"","")</f>
        <v/>
      </c>
      <c r="C663" s="91" t="n"/>
      <c r="D663" s="94" t="str">
        <f>IF(N(U663)&gt;0,INDEX('MTRs'!$I$6:$I$505,U663)&amp;"","")</f>
        <v/>
      </c>
      <c r="E663" s="92" t="n"/>
      <c r="F663" s="98" t="n"/>
      <c r="G663" s="91" t="n"/>
      <c r="H663" s="93" t="str">
        <f>IF(Q663=0,"",IF(NOT(ISNUMBER(F663)),"",IF(ISNUMBER(W663),F663*W663,"UNIDADE A CONFERIR")))</f>
        <v/>
      </c>
      <c r="I663" s="91" t="n"/>
      <c r="J663" s="91" t="n"/>
      <c r="K663" s="92" t="n"/>
      <c r="L663" s="91" t="n"/>
      <c r="M663" s="91" t="n"/>
      <c r="N663" s="91" t="n"/>
      <c r="O663" s="91" t="n"/>
      <c r="P663" s="94" t="str">
        <f>IF(Q663=0,"",IF(C663="","Item de resíduo não informado",IF(T663=0,"Item inexistente (referência inválida)",IF(NOT(ISNUMBER(F663)),"Quantidade não informada",IF(F663&lt;=0,"Quantidade não positiva",IF(G663="","Unidade não informada",IF(NOT(ISNUMBER(H663)),"Unidade a conferir",IF(NOT(ISNUMBER(E663)),"Data de recebimento não informada",IF(AND(ISNUMBER(V663),N(V663)&gt;0,E663&lt;N(V663)),"Data anterior à emissão do MTR",IF(AND(J663="Sim",L663="",M663=""),"Conferido sem evidência identificada",IF(J663&lt;&gt;"Sim","Aguardando conferência",IF(INDEX('ITENS_MTR'!$AM$6:$AM$1005,S663)=1,"Conferido (ver diferença no item)","Conferido"))))))))))))</f>
        <v/>
      </c>
      <c r="Q663" s="96">
        <f>IF(COUNTA(C663,E663:G663,I663:O663)&gt;0,1,0)</f>
        <v>0</v>
      </c>
      <c r="R663" s="96" t="str">
        <f>IF(C663="","",TRIM(LEFT(C663,FIND(" |",C663&amp;" |")-1)))</f>
        <v/>
      </c>
      <c r="S663" s="96" t="str">
        <f>IF(R663="","",IFERROR(MATCH(R663,'ITENS_MTR'!$A$6:$A$1005,0),""))</f>
        <v/>
      </c>
      <c r="T663" s="96">
        <f>IF(S663="",0,IF(INDEX('ITENS_MTR'!$R$6:$R$1005,S663)=1,1,0))</f>
        <v>0</v>
      </c>
      <c r="U663" s="96" t="str">
        <f>IF(T663=1,INDEX('ITENS_MTR'!$T$6:$T$1005,S663),"")</f>
        <v/>
      </c>
      <c r="V663" s="97" t="str">
        <f>IF(N(U663)&gt;0,INDEX('MTRs'!$E$6:$E$505,U663),"")</f>
        <v/>
      </c>
      <c r="W663" s="96" t="str">
        <f>IF(G663="","",IFERROR(IF(ISNUMBER(INDEX(cfg_fac,MATCH(G663,cfg_units,0))),IF(INDEX(cfg_fac,MATCH(G663,cfg_units,0))&gt;0,INDEX(cfg_fac,MATCH(G663,cfg_units,0)),""),""),""))</f>
        <v/>
      </c>
      <c r="X663" s="96">
        <f>IF(AND(ISNUMBER(F663),ISNUMBER(H663)),IF(H663&gt;0,1,0),0)</f>
        <v>0</v>
      </c>
      <c r="Y663" s="96">
        <f>IF(Q663=0,0,IF(OR(T663=0,X663=0,NOT(ISNUMBER(E663)),AND(J663="Sim",L663="",M663=""),AND(ISNUMBER(E663),ISNUMBER(V663),N(V663)&gt;0,E663&lt;N(V663))),1,0))</f>
        <v>0</v>
      </c>
      <c r="Z663" s="96">
        <f>IF(AND(Q663=1,T663=1,X663=1,J663="Sim",OR(L663&lt;&gt;"",M663&lt;&gt;"")),1,0)</f>
        <v>0</v>
      </c>
      <c r="AA663" s="96">
        <f>IF(Q663=0,0,IF(AND(OR(r_ini="",AND(ISNUMBER(E663),E663&gt;=r_ini)),OR(r_fim="",AND(ISNUMBER(E663),E663&lt;=r_fim)),OR(r_un="",r_un="(Todas)",IF(N(U663)&gt;0,INDEX('MTRs'!$G$6:$G$505,U663),"")=r_un),OR(r_de="",r_de="(Todos)",D663=r_de)),1,0))</f>
        <v>0</v>
      </c>
      <c r="AB663" s="96" t="str">
        <f>IF(AA663=1,COUNTIF($AA$6:AA663,1),"")</f>
        <v/>
      </c>
    </row>
    <row r="664">
      <c r="A664" s="89" t="inlineStr">
        <is>
          <t>REC-000659</t>
        </is>
      </c>
      <c r="B664" s="94" t="str">
        <f>IF(T664=1,INDEX('ITENS_MTR'!$S$6:$S$1005,S664)&amp;"","")</f>
        <v/>
      </c>
      <c r="C664" s="91" t="n"/>
      <c r="D664" s="94" t="str">
        <f>IF(N(U664)&gt;0,INDEX('MTRs'!$I$6:$I$505,U664)&amp;"","")</f>
        <v/>
      </c>
      <c r="E664" s="92" t="n"/>
      <c r="F664" s="98" t="n"/>
      <c r="G664" s="91" t="n"/>
      <c r="H664" s="93" t="str">
        <f>IF(Q664=0,"",IF(NOT(ISNUMBER(F664)),"",IF(ISNUMBER(W664),F664*W664,"UNIDADE A CONFERIR")))</f>
        <v/>
      </c>
      <c r="I664" s="91" t="n"/>
      <c r="J664" s="91" t="n"/>
      <c r="K664" s="92" t="n"/>
      <c r="L664" s="91" t="n"/>
      <c r="M664" s="91" t="n"/>
      <c r="N664" s="91" t="n"/>
      <c r="O664" s="91" t="n"/>
      <c r="P664" s="94" t="str">
        <f>IF(Q664=0,"",IF(C664="","Item de resíduo não informado",IF(T664=0,"Item inexistente (referência inválida)",IF(NOT(ISNUMBER(F664)),"Quantidade não informada",IF(F664&lt;=0,"Quantidade não positiva",IF(G664="","Unidade não informada",IF(NOT(ISNUMBER(H664)),"Unidade a conferir",IF(NOT(ISNUMBER(E664)),"Data de recebimento não informada",IF(AND(ISNUMBER(V664),N(V664)&gt;0,E664&lt;N(V664)),"Data anterior à emissão do MTR",IF(AND(J664="Sim",L664="",M664=""),"Conferido sem evidência identificada",IF(J664&lt;&gt;"Sim","Aguardando conferência",IF(INDEX('ITENS_MTR'!$AM$6:$AM$1005,S664)=1,"Conferido (ver diferença no item)","Conferido"))))))))))))</f>
        <v/>
      </c>
      <c r="Q664" s="96">
        <f>IF(COUNTA(C664,E664:G664,I664:O664)&gt;0,1,0)</f>
        <v>0</v>
      </c>
      <c r="R664" s="96" t="str">
        <f>IF(C664="","",TRIM(LEFT(C664,FIND(" |",C664&amp;" |")-1)))</f>
        <v/>
      </c>
      <c r="S664" s="96" t="str">
        <f>IF(R664="","",IFERROR(MATCH(R664,'ITENS_MTR'!$A$6:$A$1005,0),""))</f>
        <v/>
      </c>
      <c r="T664" s="96">
        <f>IF(S664="",0,IF(INDEX('ITENS_MTR'!$R$6:$R$1005,S664)=1,1,0))</f>
        <v>0</v>
      </c>
      <c r="U664" s="96" t="str">
        <f>IF(T664=1,INDEX('ITENS_MTR'!$T$6:$T$1005,S664),"")</f>
        <v/>
      </c>
      <c r="V664" s="97" t="str">
        <f>IF(N(U664)&gt;0,INDEX('MTRs'!$E$6:$E$505,U664),"")</f>
        <v/>
      </c>
      <c r="W664" s="96" t="str">
        <f>IF(G664="","",IFERROR(IF(ISNUMBER(INDEX(cfg_fac,MATCH(G664,cfg_units,0))),IF(INDEX(cfg_fac,MATCH(G664,cfg_units,0))&gt;0,INDEX(cfg_fac,MATCH(G664,cfg_units,0)),""),""),""))</f>
        <v/>
      </c>
      <c r="X664" s="96">
        <f>IF(AND(ISNUMBER(F664),ISNUMBER(H664)),IF(H664&gt;0,1,0),0)</f>
        <v>0</v>
      </c>
      <c r="Y664" s="96">
        <f>IF(Q664=0,0,IF(OR(T664=0,X664=0,NOT(ISNUMBER(E664)),AND(J664="Sim",L664="",M664=""),AND(ISNUMBER(E664),ISNUMBER(V664),N(V664)&gt;0,E664&lt;N(V664))),1,0))</f>
        <v>0</v>
      </c>
      <c r="Z664" s="96">
        <f>IF(AND(Q664=1,T664=1,X664=1,J664="Sim",OR(L664&lt;&gt;"",M664&lt;&gt;"")),1,0)</f>
        <v>0</v>
      </c>
      <c r="AA664" s="96">
        <f>IF(Q664=0,0,IF(AND(OR(r_ini="",AND(ISNUMBER(E664),E664&gt;=r_ini)),OR(r_fim="",AND(ISNUMBER(E664),E664&lt;=r_fim)),OR(r_un="",r_un="(Todas)",IF(N(U664)&gt;0,INDEX('MTRs'!$G$6:$G$505,U664),"")=r_un),OR(r_de="",r_de="(Todos)",D664=r_de)),1,0))</f>
        <v>0</v>
      </c>
      <c r="AB664" s="96" t="str">
        <f>IF(AA664=1,COUNTIF($AA$6:AA664,1),"")</f>
        <v/>
      </c>
    </row>
    <row r="665">
      <c r="A665" s="89" t="inlineStr">
        <is>
          <t>REC-000660</t>
        </is>
      </c>
      <c r="B665" s="94" t="str">
        <f>IF(T665=1,INDEX('ITENS_MTR'!$S$6:$S$1005,S665)&amp;"","")</f>
        <v/>
      </c>
      <c r="C665" s="91" t="n"/>
      <c r="D665" s="94" t="str">
        <f>IF(N(U665)&gt;0,INDEX('MTRs'!$I$6:$I$505,U665)&amp;"","")</f>
        <v/>
      </c>
      <c r="E665" s="92" t="n"/>
      <c r="F665" s="98" t="n"/>
      <c r="G665" s="91" t="n"/>
      <c r="H665" s="93" t="str">
        <f>IF(Q665=0,"",IF(NOT(ISNUMBER(F665)),"",IF(ISNUMBER(W665),F665*W665,"UNIDADE A CONFERIR")))</f>
        <v/>
      </c>
      <c r="I665" s="91" t="n"/>
      <c r="J665" s="91" t="n"/>
      <c r="K665" s="92" t="n"/>
      <c r="L665" s="91" t="n"/>
      <c r="M665" s="91" t="n"/>
      <c r="N665" s="91" t="n"/>
      <c r="O665" s="91" t="n"/>
      <c r="P665" s="94" t="str">
        <f>IF(Q665=0,"",IF(C665="","Item de resíduo não informado",IF(T665=0,"Item inexistente (referência inválida)",IF(NOT(ISNUMBER(F665)),"Quantidade não informada",IF(F665&lt;=0,"Quantidade não positiva",IF(G665="","Unidade não informada",IF(NOT(ISNUMBER(H665)),"Unidade a conferir",IF(NOT(ISNUMBER(E665)),"Data de recebimento não informada",IF(AND(ISNUMBER(V665),N(V665)&gt;0,E665&lt;N(V665)),"Data anterior à emissão do MTR",IF(AND(J665="Sim",L665="",M665=""),"Conferido sem evidência identificada",IF(J665&lt;&gt;"Sim","Aguardando conferência",IF(INDEX('ITENS_MTR'!$AM$6:$AM$1005,S665)=1,"Conferido (ver diferença no item)","Conferido"))))))))))))</f>
        <v/>
      </c>
      <c r="Q665" s="96">
        <f>IF(COUNTA(C665,E665:G665,I665:O665)&gt;0,1,0)</f>
        <v>0</v>
      </c>
      <c r="R665" s="96" t="str">
        <f>IF(C665="","",TRIM(LEFT(C665,FIND(" |",C665&amp;" |")-1)))</f>
        <v/>
      </c>
      <c r="S665" s="96" t="str">
        <f>IF(R665="","",IFERROR(MATCH(R665,'ITENS_MTR'!$A$6:$A$1005,0),""))</f>
        <v/>
      </c>
      <c r="T665" s="96">
        <f>IF(S665="",0,IF(INDEX('ITENS_MTR'!$R$6:$R$1005,S665)=1,1,0))</f>
        <v>0</v>
      </c>
      <c r="U665" s="96" t="str">
        <f>IF(T665=1,INDEX('ITENS_MTR'!$T$6:$T$1005,S665),"")</f>
        <v/>
      </c>
      <c r="V665" s="97" t="str">
        <f>IF(N(U665)&gt;0,INDEX('MTRs'!$E$6:$E$505,U665),"")</f>
        <v/>
      </c>
      <c r="W665" s="96" t="str">
        <f>IF(G665="","",IFERROR(IF(ISNUMBER(INDEX(cfg_fac,MATCH(G665,cfg_units,0))),IF(INDEX(cfg_fac,MATCH(G665,cfg_units,0))&gt;0,INDEX(cfg_fac,MATCH(G665,cfg_units,0)),""),""),""))</f>
        <v/>
      </c>
      <c r="X665" s="96">
        <f>IF(AND(ISNUMBER(F665),ISNUMBER(H665)),IF(H665&gt;0,1,0),0)</f>
        <v>0</v>
      </c>
      <c r="Y665" s="96">
        <f>IF(Q665=0,0,IF(OR(T665=0,X665=0,NOT(ISNUMBER(E665)),AND(J665="Sim",L665="",M665=""),AND(ISNUMBER(E665),ISNUMBER(V665),N(V665)&gt;0,E665&lt;N(V665))),1,0))</f>
        <v>0</v>
      </c>
      <c r="Z665" s="96">
        <f>IF(AND(Q665=1,T665=1,X665=1,J665="Sim",OR(L665&lt;&gt;"",M665&lt;&gt;"")),1,0)</f>
        <v>0</v>
      </c>
      <c r="AA665" s="96">
        <f>IF(Q665=0,0,IF(AND(OR(r_ini="",AND(ISNUMBER(E665),E665&gt;=r_ini)),OR(r_fim="",AND(ISNUMBER(E665),E665&lt;=r_fim)),OR(r_un="",r_un="(Todas)",IF(N(U665)&gt;0,INDEX('MTRs'!$G$6:$G$505,U665),"")=r_un),OR(r_de="",r_de="(Todos)",D665=r_de)),1,0))</f>
        <v>0</v>
      </c>
      <c r="AB665" s="96" t="str">
        <f>IF(AA665=1,COUNTIF($AA$6:AA665,1),"")</f>
        <v/>
      </c>
    </row>
    <row r="666">
      <c r="A666" s="89" t="inlineStr">
        <is>
          <t>REC-000661</t>
        </is>
      </c>
      <c r="B666" s="94" t="str">
        <f>IF(T666=1,INDEX('ITENS_MTR'!$S$6:$S$1005,S666)&amp;"","")</f>
        <v/>
      </c>
      <c r="C666" s="91" t="n"/>
      <c r="D666" s="94" t="str">
        <f>IF(N(U666)&gt;0,INDEX('MTRs'!$I$6:$I$505,U666)&amp;"","")</f>
        <v/>
      </c>
      <c r="E666" s="92" t="n"/>
      <c r="F666" s="98" t="n"/>
      <c r="G666" s="91" t="n"/>
      <c r="H666" s="93" t="str">
        <f>IF(Q666=0,"",IF(NOT(ISNUMBER(F666)),"",IF(ISNUMBER(W666),F666*W666,"UNIDADE A CONFERIR")))</f>
        <v/>
      </c>
      <c r="I666" s="91" t="n"/>
      <c r="J666" s="91" t="n"/>
      <c r="K666" s="92" t="n"/>
      <c r="L666" s="91" t="n"/>
      <c r="M666" s="91" t="n"/>
      <c r="N666" s="91" t="n"/>
      <c r="O666" s="91" t="n"/>
      <c r="P666" s="94" t="str">
        <f>IF(Q666=0,"",IF(C666="","Item de resíduo não informado",IF(T666=0,"Item inexistente (referência inválida)",IF(NOT(ISNUMBER(F666)),"Quantidade não informada",IF(F666&lt;=0,"Quantidade não positiva",IF(G666="","Unidade não informada",IF(NOT(ISNUMBER(H666)),"Unidade a conferir",IF(NOT(ISNUMBER(E666)),"Data de recebimento não informada",IF(AND(ISNUMBER(V666),N(V666)&gt;0,E666&lt;N(V666)),"Data anterior à emissão do MTR",IF(AND(J666="Sim",L666="",M666=""),"Conferido sem evidência identificada",IF(J666&lt;&gt;"Sim","Aguardando conferência",IF(INDEX('ITENS_MTR'!$AM$6:$AM$1005,S666)=1,"Conferido (ver diferença no item)","Conferido"))))))))))))</f>
        <v/>
      </c>
      <c r="Q666" s="96">
        <f>IF(COUNTA(C666,E666:G666,I666:O666)&gt;0,1,0)</f>
        <v>0</v>
      </c>
      <c r="R666" s="96" t="str">
        <f>IF(C666="","",TRIM(LEFT(C666,FIND(" |",C666&amp;" |")-1)))</f>
        <v/>
      </c>
      <c r="S666" s="96" t="str">
        <f>IF(R666="","",IFERROR(MATCH(R666,'ITENS_MTR'!$A$6:$A$1005,0),""))</f>
        <v/>
      </c>
      <c r="T666" s="96">
        <f>IF(S666="",0,IF(INDEX('ITENS_MTR'!$R$6:$R$1005,S666)=1,1,0))</f>
        <v>0</v>
      </c>
      <c r="U666" s="96" t="str">
        <f>IF(T666=1,INDEX('ITENS_MTR'!$T$6:$T$1005,S666),"")</f>
        <v/>
      </c>
      <c r="V666" s="97" t="str">
        <f>IF(N(U666)&gt;0,INDEX('MTRs'!$E$6:$E$505,U666),"")</f>
        <v/>
      </c>
      <c r="W666" s="96" t="str">
        <f>IF(G666="","",IFERROR(IF(ISNUMBER(INDEX(cfg_fac,MATCH(G666,cfg_units,0))),IF(INDEX(cfg_fac,MATCH(G666,cfg_units,0))&gt;0,INDEX(cfg_fac,MATCH(G666,cfg_units,0)),""),""),""))</f>
        <v/>
      </c>
      <c r="X666" s="96">
        <f>IF(AND(ISNUMBER(F666),ISNUMBER(H666)),IF(H666&gt;0,1,0),0)</f>
        <v>0</v>
      </c>
      <c r="Y666" s="96">
        <f>IF(Q666=0,0,IF(OR(T666=0,X666=0,NOT(ISNUMBER(E666)),AND(J666="Sim",L666="",M666=""),AND(ISNUMBER(E666),ISNUMBER(V666),N(V666)&gt;0,E666&lt;N(V666))),1,0))</f>
        <v>0</v>
      </c>
      <c r="Z666" s="96">
        <f>IF(AND(Q666=1,T666=1,X666=1,J666="Sim",OR(L666&lt;&gt;"",M666&lt;&gt;"")),1,0)</f>
        <v>0</v>
      </c>
      <c r="AA666" s="96">
        <f>IF(Q666=0,0,IF(AND(OR(r_ini="",AND(ISNUMBER(E666),E666&gt;=r_ini)),OR(r_fim="",AND(ISNUMBER(E666),E666&lt;=r_fim)),OR(r_un="",r_un="(Todas)",IF(N(U666)&gt;0,INDEX('MTRs'!$G$6:$G$505,U666),"")=r_un),OR(r_de="",r_de="(Todos)",D666=r_de)),1,0))</f>
        <v>0</v>
      </c>
      <c r="AB666" s="96" t="str">
        <f>IF(AA666=1,COUNTIF($AA$6:AA666,1),"")</f>
        <v/>
      </c>
    </row>
    <row r="667">
      <c r="A667" s="89" t="inlineStr">
        <is>
          <t>REC-000662</t>
        </is>
      </c>
      <c r="B667" s="94" t="str">
        <f>IF(T667=1,INDEX('ITENS_MTR'!$S$6:$S$1005,S667)&amp;"","")</f>
        <v/>
      </c>
      <c r="C667" s="91" t="n"/>
      <c r="D667" s="94" t="str">
        <f>IF(N(U667)&gt;0,INDEX('MTRs'!$I$6:$I$505,U667)&amp;"","")</f>
        <v/>
      </c>
      <c r="E667" s="92" t="n"/>
      <c r="F667" s="98" t="n"/>
      <c r="G667" s="91" t="n"/>
      <c r="H667" s="93" t="str">
        <f>IF(Q667=0,"",IF(NOT(ISNUMBER(F667)),"",IF(ISNUMBER(W667),F667*W667,"UNIDADE A CONFERIR")))</f>
        <v/>
      </c>
      <c r="I667" s="91" t="n"/>
      <c r="J667" s="91" t="n"/>
      <c r="K667" s="92" t="n"/>
      <c r="L667" s="91" t="n"/>
      <c r="M667" s="91" t="n"/>
      <c r="N667" s="91" t="n"/>
      <c r="O667" s="91" t="n"/>
      <c r="P667" s="94" t="str">
        <f>IF(Q667=0,"",IF(C667="","Item de resíduo não informado",IF(T667=0,"Item inexistente (referência inválida)",IF(NOT(ISNUMBER(F667)),"Quantidade não informada",IF(F667&lt;=0,"Quantidade não positiva",IF(G667="","Unidade não informada",IF(NOT(ISNUMBER(H667)),"Unidade a conferir",IF(NOT(ISNUMBER(E667)),"Data de recebimento não informada",IF(AND(ISNUMBER(V667),N(V667)&gt;0,E667&lt;N(V667)),"Data anterior à emissão do MTR",IF(AND(J667="Sim",L667="",M667=""),"Conferido sem evidência identificada",IF(J667&lt;&gt;"Sim","Aguardando conferência",IF(INDEX('ITENS_MTR'!$AM$6:$AM$1005,S667)=1,"Conferido (ver diferença no item)","Conferido"))))))))))))</f>
        <v/>
      </c>
      <c r="Q667" s="96">
        <f>IF(COUNTA(C667,E667:G667,I667:O667)&gt;0,1,0)</f>
        <v>0</v>
      </c>
      <c r="R667" s="96" t="str">
        <f>IF(C667="","",TRIM(LEFT(C667,FIND(" |",C667&amp;" |")-1)))</f>
        <v/>
      </c>
      <c r="S667" s="96" t="str">
        <f>IF(R667="","",IFERROR(MATCH(R667,'ITENS_MTR'!$A$6:$A$1005,0),""))</f>
        <v/>
      </c>
      <c r="T667" s="96">
        <f>IF(S667="",0,IF(INDEX('ITENS_MTR'!$R$6:$R$1005,S667)=1,1,0))</f>
        <v>0</v>
      </c>
      <c r="U667" s="96" t="str">
        <f>IF(T667=1,INDEX('ITENS_MTR'!$T$6:$T$1005,S667),"")</f>
        <v/>
      </c>
      <c r="V667" s="97" t="str">
        <f>IF(N(U667)&gt;0,INDEX('MTRs'!$E$6:$E$505,U667),"")</f>
        <v/>
      </c>
      <c r="W667" s="96" t="str">
        <f>IF(G667="","",IFERROR(IF(ISNUMBER(INDEX(cfg_fac,MATCH(G667,cfg_units,0))),IF(INDEX(cfg_fac,MATCH(G667,cfg_units,0))&gt;0,INDEX(cfg_fac,MATCH(G667,cfg_units,0)),""),""),""))</f>
        <v/>
      </c>
      <c r="X667" s="96">
        <f>IF(AND(ISNUMBER(F667),ISNUMBER(H667)),IF(H667&gt;0,1,0),0)</f>
        <v>0</v>
      </c>
      <c r="Y667" s="96">
        <f>IF(Q667=0,0,IF(OR(T667=0,X667=0,NOT(ISNUMBER(E667)),AND(J667="Sim",L667="",M667=""),AND(ISNUMBER(E667),ISNUMBER(V667),N(V667)&gt;0,E667&lt;N(V667))),1,0))</f>
        <v>0</v>
      </c>
      <c r="Z667" s="96">
        <f>IF(AND(Q667=1,T667=1,X667=1,J667="Sim",OR(L667&lt;&gt;"",M667&lt;&gt;"")),1,0)</f>
        <v>0</v>
      </c>
      <c r="AA667" s="96">
        <f>IF(Q667=0,0,IF(AND(OR(r_ini="",AND(ISNUMBER(E667),E667&gt;=r_ini)),OR(r_fim="",AND(ISNUMBER(E667),E667&lt;=r_fim)),OR(r_un="",r_un="(Todas)",IF(N(U667)&gt;0,INDEX('MTRs'!$G$6:$G$505,U667),"")=r_un),OR(r_de="",r_de="(Todos)",D667=r_de)),1,0))</f>
        <v>0</v>
      </c>
      <c r="AB667" s="96" t="str">
        <f>IF(AA667=1,COUNTIF($AA$6:AA667,1),"")</f>
        <v/>
      </c>
    </row>
    <row r="668">
      <c r="A668" s="89" t="inlineStr">
        <is>
          <t>REC-000663</t>
        </is>
      </c>
      <c r="B668" s="94" t="str">
        <f>IF(T668=1,INDEX('ITENS_MTR'!$S$6:$S$1005,S668)&amp;"","")</f>
        <v/>
      </c>
      <c r="C668" s="91" t="n"/>
      <c r="D668" s="94" t="str">
        <f>IF(N(U668)&gt;0,INDEX('MTRs'!$I$6:$I$505,U668)&amp;"","")</f>
        <v/>
      </c>
      <c r="E668" s="92" t="n"/>
      <c r="F668" s="98" t="n"/>
      <c r="G668" s="91" t="n"/>
      <c r="H668" s="93" t="str">
        <f>IF(Q668=0,"",IF(NOT(ISNUMBER(F668)),"",IF(ISNUMBER(W668),F668*W668,"UNIDADE A CONFERIR")))</f>
        <v/>
      </c>
      <c r="I668" s="91" t="n"/>
      <c r="J668" s="91" t="n"/>
      <c r="K668" s="92" t="n"/>
      <c r="L668" s="91" t="n"/>
      <c r="M668" s="91" t="n"/>
      <c r="N668" s="91" t="n"/>
      <c r="O668" s="91" t="n"/>
      <c r="P668" s="94" t="str">
        <f>IF(Q668=0,"",IF(C668="","Item de resíduo não informado",IF(T668=0,"Item inexistente (referência inválida)",IF(NOT(ISNUMBER(F668)),"Quantidade não informada",IF(F668&lt;=0,"Quantidade não positiva",IF(G668="","Unidade não informada",IF(NOT(ISNUMBER(H668)),"Unidade a conferir",IF(NOT(ISNUMBER(E668)),"Data de recebimento não informada",IF(AND(ISNUMBER(V668),N(V668)&gt;0,E668&lt;N(V668)),"Data anterior à emissão do MTR",IF(AND(J668="Sim",L668="",M668=""),"Conferido sem evidência identificada",IF(J668&lt;&gt;"Sim","Aguardando conferência",IF(INDEX('ITENS_MTR'!$AM$6:$AM$1005,S668)=1,"Conferido (ver diferença no item)","Conferido"))))))))))))</f>
        <v/>
      </c>
      <c r="Q668" s="96">
        <f>IF(COUNTA(C668,E668:G668,I668:O668)&gt;0,1,0)</f>
        <v>0</v>
      </c>
      <c r="R668" s="96" t="str">
        <f>IF(C668="","",TRIM(LEFT(C668,FIND(" |",C668&amp;" |")-1)))</f>
        <v/>
      </c>
      <c r="S668" s="96" t="str">
        <f>IF(R668="","",IFERROR(MATCH(R668,'ITENS_MTR'!$A$6:$A$1005,0),""))</f>
        <v/>
      </c>
      <c r="T668" s="96">
        <f>IF(S668="",0,IF(INDEX('ITENS_MTR'!$R$6:$R$1005,S668)=1,1,0))</f>
        <v>0</v>
      </c>
      <c r="U668" s="96" t="str">
        <f>IF(T668=1,INDEX('ITENS_MTR'!$T$6:$T$1005,S668),"")</f>
        <v/>
      </c>
      <c r="V668" s="97" t="str">
        <f>IF(N(U668)&gt;0,INDEX('MTRs'!$E$6:$E$505,U668),"")</f>
        <v/>
      </c>
      <c r="W668" s="96" t="str">
        <f>IF(G668="","",IFERROR(IF(ISNUMBER(INDEX(cfg_fac,MATCH(G668,cfg_units,0))),IF(INDEX(cfg_fac,MATCH(G668,cfg_units,0))&gt;0,INDEX(cfg_fac,MATCH(G668,cfg_units,0)),""),""),""))</f>
        <v/>
      </c>
      <c r="X668" s="96">
        <f>IF(AND(ISNUMBER(F668),ISNUMBER(H668)),IF(H668&gt;0,1,0),0)</f>
        <v>0</v>
      </c>
      <c r="Y668" s="96">
        <f>IF(Q668=0,0,IF(OR(T668=0,X668=0,NOT(ISNUMBER(E668)),AND(J668="Sim",L668="",M668=""),AND(ISNUMBER(E668),ISNUMBER(V668),N(V668)&gt;0,E668&lt;N(V668))),1,0))</f>
        <v>0</v>
      </c>
      <c r="Z668" s="96">
        <f>IF(AND(Q668=1,T668=1,X668=1,J668="Sim",OR(L668&lt;&gt;"",M668&lt;&gt;"")),1,0)</f>
        <v>0</v>
      </c>
      <c r="AA668" s="96">
        <f>IF(Q668=0,0,IF(AND(OR(r_ini="",AND(ISNUMBER(E668),E668&gt;=r_ini)),OR(r_fim="",AND(ISNUMBER(E668),E668&lt;=r_fim)),OR(r_un="",r_un="(Todas)",IF(N(U668)&gt;0,INDEX('MTRs'!$G$6:$G$505,U668),"")=r_un),OR(r_de="",r_de="(Todos)",D668=r_de)),1,0))</f>
        <v>0</v>
      </c>
      <c r="AB668" s="96" t="str">
        <f>IF(AA668=1,COUNTIF($AA$6:AA668,1),"")</f>
        <v/>
      </c>
    </row>
    <row r="669">
      <c r="A669" s="89" t="inlineStr">
        <is>
          <t>REC-000664</t>
        </is>
      </c>
      <c r="B669" s="94" t="str">
        <f>IF(T669=1,INDEX('ITENS_MTR'!$S$6:$S$1005,S669)&amp;"","")</f>
        <v/>
      </c>
      <c r="C669" s="91" t="n"/>
      <c r="D669" s="94" t="str">
        <f>IF(N(U669)&gt;0,INDEX('MTRs'!$I$6:$I$505,U669)&amp;"","")</f>
        <v/>
      </c>
      <c r="E669" s="92" t="n"/>
      <c r="F669" s="98" t="n"/>
      <c r="G669" s="91" t="n"/>
      <c r="H669" s="93" t="str">
        <f>IF(Q669=0,"",IF(NOT(ISNUMBER(F669)),"",IF(ISNUMBER(W669),F669*W669,"UNIDADE A CONFERIR")))</f>
        <v/>
      </c>
      <c r="I669" s="91" t="n"/>
      <c r="J669" s="91" t="n"/>
      <c r="K669" s="92" t="n"/>
      <c r="L669" s="91" t="n"/>
      <c r="M669" s="91" t="n"/>
      <c r="N669" s="91" t="n"/>
      <c r="O669" s="91" t="n"/>
      <c r="P669" s="94" t="str">
        <f>IF(Q669=0,"",IF(C669="","Item de resíduo não informado",IF(T669=0,"Item inexistente (referência inválida)",IF(NOT(ISNUMBER(F669)),"Quantidade não informada",IF(F669&lt;=0,"Quantidade não positiva",IF(G669="","Unidade não informada",IF(NOT(ISNUMBER(H669)),"Unidade a conferir",IF(NOT(ISNUMBER(E669)),"Data de recebimento não informada",IF(AND(ISNUMBER(V669),N(V669)&gt;0,E669&lt;N(V669)),"Data anterior à emissão do MTR",IF(AND(J669="Sim",L669="",M669=""),"Conferido sem evidência identificada",IF(J669&lt;&gt;"Sim","Aguardando conferência",IF(INDEX('ITENS_MTR'!$AM$6:$AM$1005,S669)=1,"Conferido (ver diferença no item)","Conferido"))))))))))))</f>
        <v/>
      </c>
      <c r="Q669" s="96">
        <f>IF(COUNTA(C669,E669:G669,I669:O669)&gt;0,1,0)</f>
        <v>0</v>
      </c>
      <c r="R669" s="96" t="str">
        <f>IF(C669="","",TRIM(LEFT(C669,FIND(" |",C669&amp;" |")-1)))</f>
        <v/>
      </c>
      <c r="S669" s="96" t="str">
        <f>IF(R669="","",IFERROR(MATCH(R669,'ITENS_MTR'!$A$6:$A$1005,0),""))</f>
        <v/>
      </c>
      <c r="T669" s="96">
        <f>IF(S669="",0,IF(INDEX('ITENS_MTR'!$R$6:$R$1005,S669)=1,1,0))</f>
        <v>0</v>
      </c>
      <c r="U669" s="96" t="str">
        <f>IF(T669=1,INDEX('ITENS_MTR'!$T$6:$T$1005,S669),"")</f>
        <v/>
      </c>
      <c r="V669" s="97" t="str">
        <f>IF(N(U669)&gt;0,INDEX('MTRs'!$E$6:$E$505,U669),"")</f>
        <v/>
      </c>
      <c r="W669" s="96" t="str">
        <f>IF(G669="","",IFERROR(IF(ISNUMBER(INDEX(cfg_fac,MATCH(G669,cfg_units,0))),IF(INDEX(cfg_fac,MATCH(G669,cfg_units,0))&gt;0,INDEX(cfg_fac,MATCH(G669,cfg_units,0)),""),""),""))</f>
        <v/>
      </c>
      <c r="X669" s="96">
        <f>IF(AND(ISNUMBER(F669),ISNUMBER(H669)),IF(H669&gt;0,1,0),0)</f>
        <v>0</v>
      </c>
      <c r="Y669" s="96">
        <f>IF(Q669=0,0,IF(OR(T669=0,X669=0,NOT(ISNUMBER(E669)),AND(J669="Sim",L669="",M669=""),AND(ISNUMBER(E669),ISNUMBER(V669),N(V669)&gt;0,E669&lt;N(V669))),1,0))</f>
        <v>0</v>
      </c>
      <c r="Z669" s="96">
        <f>IF(AND(Q669=1,T669=1,X669=1,J669="Sim",OR(L669&lt;&gt;"",M669&lt;&gt;"")),1,0)</f>
        <v>0</v>
      </c>
      <c r="AA669" s="96">
        <f>IF(Q669=0,0,IF(AND(OR(r_ini="",AND(ISNUMBER(E669),E669&gt;=r_ini)),OR(r_fim="",AND(ISNUMBER(E669),E669&lt;=r_fim)),OR(r_un="",r_un="(Todas)",IF(N(U669)&gt;0,INDEX('MTRs'!$G$6:$G$505,U669),"")=r_un),OR(r_de="",r_de="(Todos)",D669=r_de)),1,0))</f>
        <v>0</v>
      </c>
      <c r="AB669" s="96" t="str">
        <f>IF(AA669=1,COUNTIF($AA$6:AA669,1),"")</f>
        <v/>
      </c>
    </row>
    <row r="670">
      <c r="A670" s="89" t="inlineStr">
        <is>
          <t>REC-000665</t>
        </is>
      </c>
      <c r="B670" s="94" t="str">
        <f>IF(T670=1,INDEX('ITENS_MTR'!$S$6:$S$1005,S670)&amp;"","")</f>
        <v/>
      </c>
      <c r="C670" s="91" t="n"/>
      <c r="D670" s="94" t="str">
        <f>IF(N(U670)&gt;0,INDEX('MTRs'!$I$6:$I$505,U670)&amp;"","")</f>
        <v/>
      </c>
      <c r="E670" s="92" t="n"/>
      <c r="F670" s="98" t="n"/>
      <c r="G670" s="91" t="n"/>
      <c r="H670" s="93" t="str">
        <f>IF(Q670=0,"",IF(NOT(ISNUMBER(F670)),"",IF(ISNUMBER(W670),F670*W670,"UNIDADE A CONFERIR")))</f>
        <v/>
      </c>
      <c r="I670" s="91" t="n"/>
      <c r="J670" s="91" t="n"/>
      <c r="K670" s="92" t="n"/>
      <c r="L670" s="91" t="n"/>
      <c r="M670" s="91" t="n"/>
      <c r="N670" s="91" t="n"/>
      <c r="O670" s="91" t="n"/>
      <c r="P670" s="94" t="str">
        <f>IF(Q670=0,"",IF(C670="","Item de resíduo não informado",IF(T670=0,"Item inexistente (referência inválida)",IF(NOT(ISNUMBER(F670)),"Quantidade não informada",IF(F670&lt;=0,"Quantidade não positiva",IF(G670="","Unidade não informada",IF(NOT(ISNUMBER(H670)),"Unidade a conferir",IF(NOT(ISNUMBER(E670)),"Data de recebimento não informada",IF(AND(ISNUMBER(V670),N(V670)&gt;0,E670&lt;N(V670)),"Data anterior à emissão do MTR",IF(AND(J670="Sim",L670="",M670=""),"Conferido sem evidência identificada",IF(J670&lt;&gt;"Sim","Aguardando conferência",IF(INDEX('ITENS_MTR'!$AM$6:$AM$1005,S670)=1,"Conferido (ver diferença no item)","Conferido"))))))))))))</f>
        <v/>
      </c>
      <c r="Q670" s="96">
        <f>IF(COUNTA(C670,E670:G670,I670:O670)&gt;0,1,0)</f>
        <v>0</v>
      </c>
      <c r="R670" s="96" t="str">
        <f>IF(C670="","",TRIM(LEFT(C670,FIND(" |",C670&amp;" |")-1)))</f>
        <v/>
      </c>
      <c r="S670" s="96" t="str">
        <f>IF(R670="","",IFERROR(MATCH(R670,'ITENS_MTR'!$A$6:$A$1005,0),""))</f>
        <v/>
      </c>
      <c r="T670" s="96">
        <f>IF(S670="",0,IF(INDEX('ITENS_MTR'!$R$6:$R$1005,S670)=1,1,0))</f>
        <v>0</v>
      </c>
      <c r="U670" s="96" t="str">
        <f>IF(T670=1,INDEX('ITENS_MTR'!$T$6:$T$1005,S670),"")</f>
        <v/>
      </c>
      <c r="V670" s="97" t="str">
        <f>IF(N(U670)&gt;0,INDEX('MTRs'!$E$6:$E$505,U670),"")</f>
        <v/>
      </c>
      <c r="W670" s="96" t="str">
        <f>IF(G670="","",IFERROR(IF(ISNUMBER(INDEX(cfg_fac,MATCH(G670,cfg_units,0))),IF(INDEX(cfg_fac,MATCH(G670,cfg_units,0))&gt;0,INDEX(cfg_fac,MATCH(G670,cfg_units,0)),""),""),""))</f>
        <v/>
      </c>
      <c r="X670" s="96">
        <f>IF(AND(ISNUMBER(F670),ISNUMBER(H670)),IF(H670&gt;0,1,0),0)</f>
        <v>0</v>
      </c>
      <c r="Y670" s="96">
        <f>IF(Q670=0,0,IF(OR(T670=0,X670=0,NOT(ISNUMBER(E670)),AND(J670="Sim",L670="",M670=""),AND(ISNUMBER(E670),ISNUMBER(V670),N(V670)&gt;0,E670&lt;N(V670))),1,0))</f>
        <v>0</v>
      </c>
      <c r="Z670" s="96">
        <f>IF(AND(Q670=1,T670=1,X670=1,J670="Sim",OR(L670&lt;&gt;"",M670&lt;&gt;"")),1,0)</f>
        <v>0</v>
      </c>
      <c r="AA670" s="96">
        <f>IF(Q670=0,0,IF(AND(OR(r_ini="",AND(ISNUMBER(E670),E670&gt;=r_ini)),OR(r_fim="",AND(ISNUMBER(E670),E670&lt;=r_fim)),OR(r_un="",r_un="(Todas)",IF(N(U670)&gt;0,INDEX('MTRs'!$G$6:$G$505,U670),"")=r_un),OR(r_de="",r_de="(Todos)",D670=r_de)),1,0))</f>
        <v>0</v>
      </c>
      <c r="AB670" s="96" t="str">
        <f>IF(AA670=1,COUNTIF($AA$6:AA670,1),"")</f>
        <v/>
      </c>
    </row>
    <row r="671">
      <c r="A671" s="89" t="inlineStr">
        <is>
          <t>REC-000666</t>
        </is>
      </c>
      <c r="B671" s="94" t="str">
        <f>IF(T671=1,INDEX('ITENS_MTR'!$S$6:$S$1005,S671)&amp;"","")</f>
        <v/>
      </c>
      <c r="C671" s="91" t="n"/>
      <c r="D671" s="94" t="str">
        <f>IF(N(U671)&gt;0,INDEX('MTRs'!$I$6:$I$505,U671)&amp;"","")</f>
        <v/>
      </c>
      <c r="E671" s="92" t="n"/>
      <c r="F671" s="98" t="n"/>
      <c r="G671" s="91" t="n"/>
      <c r="H671" s="93" t="str">
        <f>IF(Q671=0,"",IF(NOT(ISNUMBER(F671)),"",IF(ISNUMBER(W671),F671*W671,"UNIDADE A CONFERIR")))</f>
        <v/>
      </c>
      <c r="I671" s="91" t="n"/>
      <c r="J671" s="91" t="n"/>
      <c r="K671" s="92" t="n"/>
      <c r="L671" s="91" t="n"/>
      <c r="M671" s="91" t="n"/>
      <c r="N671" s="91" t="n"/>
      <c r="O671" s="91" t="n"/>
      <c r="P671" s="94" t="str">
        <f>IF(Q671=0,"",IF(C671="","Item de resíduo não informado",IF(T671=0,"Item inexistente (referência inválida)",IF(NOT(ISNUMBER(F671)),"Quantidade não informada",IF(F671&lt;=0,"Quantidade não positiva",IF(G671="","Unidade não informada",IF(NOT(ISNUMBER(H671)),"Unidade a conferir",IF(NOT(ISNUMBER(E671)),"Data de recebimento não informada",IF(AND(ISNUMBER(V671),N(V671)&gt;0,E671&lt;N(V671)),"Data anterior à emissão do MTR",IF(AND(J671="Sim",L671="",M671=""),"Conferido sem evidência identificada",IF(J671&lt;&gt;"Sim","Aguardando conferência",IF(INDEX('ITENS_MTR'!$AM$6:$AM$1005,S671)=1,"Conferido (ver diferença no item)","Conferido"))))))))))))</f>
        <v/>
      </c>
      <c r="Q671" s="96">
        <f>IF(COUNTA(C671,E671:G671,I671:O671)&gt;0,1,0)</f>
        <v>0</v>
      </c>
      <c r="R671" s="96" t="str">
        <f>IF(C671="","",TRIM(LEFT(C671,FIND(" |",C671&amp;" |")-1)))</f>
        <v/>
      </c>
      <c r="S671" s="96" t="str">
        <f>IF(R671="","",IFERROR(MATCH(R671,'ITENS_MTR'!$A$6:$A$1005,0),""))</f>
        <v/>
      </c>
      <c r="T671" s="96">
        <f>IF(S671="",0,IF(INDEX('ITENS_MTR'!$R$6:$R$1005,S671)=1,1,0))</f>
        <v>0</v>
      </c>
      <c r="U671" s="96" t="str">
        <f>IF(T671=1,INDEX('ITENS_MTR'!$T$6:$T$1005,S671),"")</f>
        <v/>
      </c>
      <c r="V671" s="97" t="str">
        <f>IF(N(U671)&gt;0,INDEX('MTRs'!$E$6:$E$505,U671),"")</f>
        <v/>
      </c>
      <c r="W671" s="96" t="str">
        <f>IF(G671="","",IFERROR(IF(ISNUMBER(INDEX(cfg_fac,MATCH(G671,cfg_units,0))),IF(INDEX(cfg_fac,MATCH(G671,cfg_units,0))&gt;0,INDEX(cfg_fac,MATCH(G671,cfg_units,0)),""),""),""))</f>
        <v/>
      </c>
      <c r="X671" s="96">
        <f>IF(AND(ISNUMBER(F671),ISNUMBER(H671)),IF(H671&gt;0,1,0),0)</f>
        <v>0</v>
      </c>
      <c r="Y671" s="96">
        <f>IF(Q671=0,0,IF(OR(T671=0,X671=0,NOT(ISNUMBER(E671)),AND(J671="Sim",L671="",M671=""),AND(ISNUMBER(E671),ISNUMBER(V671),N(V671)&gt;0,E671&lt;N(V671))),1,0))</f>
        <v>0</v>
      </c>
      <c r="Z671" s="96">
        <f>IF(AND(Q671=1,T671=1,X671=1,J671="Sim",OR(L671&lt;&gt;"",M671&lt;&gt;"")),1,0)</f>
        <v>0</v>
      </c>
      <c r="AA671" s="96">
        <f>IF(Q671=0,0,IF(AND(OR(r_ini="",AND(ISNUMBER(E671),E671&gt;=r_ini)),OR(r_fim="",AND(ISNUMBER(E671),E671&lt;=r_fim)),OR(r_un="",r_un="(Todas)",IF(N(U671)&gt;0,INDEX('MTRs'!$G$6:$G$505,U671),"")=r_un),OR(r_de="",r_de="(Todos)",D671=r_de)),1,0))</f>
        <v>0</v>
      </c>
      <c r="AB671" s="96" t="str">
        <f>IF(AA671=1,COUNTIF($AA$6:AA671,1),"")</f>
        <v/>
      </c>
    </row>
    <row r="672">
      <c r="A672" s="89" t="inlineStr">
        <is>
          <t>REC-000667</t>
        </is>
      </c>
      <c r="B672" s="94" t="str">
        <f>IF(T672=1,INDEX('ITENS_MTR'!$S$6:$S$1005,S672)&amp;"","")</f>
        <v/>
      </c>
      <c r="C672" s="91" t="n"/>
      <c r="D672" s="94" t="str">
        <f>IF(N(U672)&gt;0,INDEX('MTRs'!$I$6:$I$505,U672)&amp;"","")</f>
        <v/>
      </c>
      <c r="E672" s="92" t="n"/>
      <c r="F672" s="98" t="n"/>
      <c r="G672" s="91" t="n"/>
      <c r="H672" s="93" t="str">
        <f>IF(Q672=0,"",IF(NOT(ISNUMBER(F672)),"",IF(ISNUMBER(W672),F672*W672,"UNIDADE A CONFERIR")))</f>
        <v/>
      </c>
      <c r="I672" s="91" t="n"/>
      <c r="J672" s="91" t="n"/>
      <c r="K672" s="92" t="n"/>
      <c r="L672" s="91" t="n"/>
      <c r="M672" s="91" t="n"/>
      <c r="N672" s="91" t="n"/>
      <c r="O672" s="91" t="n"/>
      <c r="P672" s="94" t="str">
        <f>IF(Q672=0,"",IF(C672="","Item de resíduo não informado",IF(T672=0,"Item inexistente (referência inválida)",IF(NOT(ISNUMBER(F672)),"Quantidade não informada",IF(F672&lt;=0,"Quantidade não positiva",IF(G672="","Unidade não informada",IF(NOT(ISNUMBER(H672)),"Unidade a conferir",IF(NOT(ISNUMBER(E672)),"Data de recebimento não informada",IF(AND(ISNUMBER(V672),N(V672)&gt;0,E672&lt;N(V672)),"Data anterior à emissão do MTR",IF(AND(J672="Sim",L672="",M672=""),"Conferido sem evidência identificada",IF(J672&lt;&gt;"Sim","Aguardando conferência",IF(INDEX('ITENS_MTR'!$AM$6:$AM$1005,S672)=1,"Conferido (ver diferença no item)","Conferido"))))))))))))</f>
        <v/>
      </c>
      <c r="Q672" s="96">
        <f>IF(COUNTA(C672,E672:G672,I672:O672)&gt;0,1,0)</f>
        <v>0</v>
      </c>
      <c r="R672" s="96" t="str">
        <f>IF(C672="","",TRIM(LEFT(C672,FIND(" |",C672&amp;" |")-1)))</f>
        <v/>
      </c>
      <c r="S672" s="96" t="str">
        <f>IF(R672="","",IFERROR(MATCH(R672,'ITENS_MTR'!$A$6:$A$1005,0),""))</f>
        <v/>
      </c>
      <c r="T672" s="96">
        <f>IF(S672="",0,IF(INDEX('ITENS_MTR'!$R$6:$R$1005,S672)=1,1,0))</f>
        <v>0</v>
      </c>
      <c r="U672" s="96" t="str">
        <f>IF(T672=1,INDEX('ITENS_MTR'!$T$6:$T$1005,S672),"")</f>
        <v/>
      </c>
      <c r="V672" s="97" t="str">
        <f>IF(N(U672)&gt;0,INDEX('MTRs'!$E$6:$E$505,U672),"")</f>
        <v/>
      </c>
      <c r="W672" s="96" t="str">
        <f>IF(G672="","",IFERROR(IF(ISNUMBER(INDEX(cfg_fac,MATCH(G672,cfg_units,0))),IF(INDEX(cfg_fac,MATCH(G672,cfg_units,0))&gt;0,INDEX(cfg_fac,MATCH(G672,cfg_units,0)),""),""),""))</f>
        <v/>
      </c>
      <c r="X672" s="96">
        <f>IF(AND(ISNUMBER(F672),ISNUMBER(H672)),IF(H672&gt;0,1,0),0)</f>
        <v>0</v>
      </c>
      <c r="Y672" s="96">
        <f>IF(Q672=0,0,IF(OR(T672=0,X672=0,NOT(ISNUMBER(E672)),AND(J672="Sim",L672="",M672=""),AND(ISNUMBER(E672),ISNUMBER(V672),N(V672)&gt;0,E672&lt;N(V672))),1,0))</f>
        <v>0</v>
      </c>
      <c r="Z672" s="96">
        <f>IF(AND(Q672=1,T672=1,X672=1,J672="Sim",OR(L672&lt;&gt;"",M672&lt;&gt;"")),1,0)</f>
        <v>0</v>
      </c>
      <c r="AA672" s="96">
        <f>IF(Q672=0,0,IF(AND(OR(r_ini="",AND(ISNUMBER(E672),E672&gt;=r_ini)),OR(r_fim="",AND(ISNUMBER(E672),E672&lt;=r_fim)),OR(r_un="",r_un="(Todas)",IF(N(U672)&gt;0,INDEX('MTRs'!$G$6:$G$505,U672),"")=r_un),OR(r_de="",r_de="(Todos)",D672=r_de)),1,0))</f>
        <v>0</v>
      </c>
      <c r="AB672" s="96" t="str">
        <f>IF(AA672=1,COUNTIF($AA$6:AA672,1),"")</f>
        <v/>
      </c>
    </row>
    <row r="673">
      <c r="A673" s="89" t="inlineStr">
        <is>
          <t>REC-000668</t>
        </is>
      </c>
      <c r="B673" s="94" t="str">
        <f>IF(T673=1,INDEX('ITENS_MTR'!$S$6:$S$1005,S673)&amp;"","")</f>
        <v/>
      </c>
      <c r="C673" s="91" t="n"/>
      <c r="D673" s="94" t="str">
        <f>IF(N(U673)&gt;0,INDEX('MTRs'!$I$6:$I$505,U673)&amp;"","")</f>
        <v/>
      </c>
      <c r="E673" s="92" t="n"/>
      <c r="F673" s="98" t="n"/>
      <c r="G673" s="91" t="n"/>
      <c r="H673" s="93" t="str">
        <f>IF(Q673=0,"",IF(NOT(ISNUMBER(F673)),"",IF(ISNUMBER(W673),F673*W673,"UNIDADE A CONFERIR")))</f>
        <v/>
      </c>
      <c r="I673" s="91" t="n"/>
      <c r="J673" s="91" t="n"/>
      <c r="K673" s="92" t="n"/>
      <c r="L673" s="91" t="n"/>
      <c r="M673" s="91" t="n"/>
      <c r="N673" s="91" t="n"/>
      <c r="O673" s="91" t="n"/>
      <c r="P673" s="94" t="str">
        <f>IF(Q673=0,"",IF(C673="","Item de resíduo não informado",IF(T673=0,"Item inexistente (referência inválida)",IF(NOT(ISNUMBER(F673)),"Quantidade não informada",IF(F673&lt;=0,"Quantidade não positiva",IF(G673="","Unidade não informada",IF(NOT(ISNUMBER(H673)),"Unidade a conferir",IF(NOT(ISNUMBER(E673)),"Data de recebimento não informada",IF(AND(ISNUMBER(V673),N(V673)&gt;0,E673&lt;N(V673)),"Data anterior à emissão do MTR",IF(AND(J673="Sim",L673="",M673=""),"Conferido sem evidência identificada",IF(J673&lt;&gt;"Sim","Aguardando conferência",IF(INDEX('ITENS_MTR'!$AM$6:$AM$1005,S673)=1,"Conferido (ver diferença no item)","Conferido"))))))))))))</f>
        <v/>
      </c>
      <c r="Q673" s="96">
        <f>IF(COUNTA(C673,E673:G673,I673:O673)&gt;0,1,0)</f>
        <v>0</v>
      </c>
      <c r="R673" s="96" t="str">
        <f>IF(C673="","",TRIM(LEFT(C673,FIND(" |",C673&amp;" |")-1)))</f>
        <v/>
      </c>
      <c r="S673" s="96" t="str">
        <f>IF(R673="","",IFERROR(MATCH(R673,'ITENS_MTR'!$A$6:$A$1005,0),""))</f>
        <v/>
      </c>
      <c r="T673" s="96">
        <f>IF(S673="",0,IF(INDEX('ITENS_MTR'!$R$6:$R$1005,S673)=1,1,0))</f>
        <v>0</v>
      </c>
      <c r="U673" s="96" t="str">
        <f>IF(T673=1,INDEX('ITENS_MTR'!$T$6:$T$1005,S673),"")</f>
        <v/>
      </c>
      <c r="V673" s="97" t="str">
        <f>IF(N(U673)&gt;0,INDEX('MTRs'!$E$6:$E$505,U673),"")</f>
        <v/>
      </c>
      <c r="W673" s="96" t="str">
        <f>IF(G673="","",IFERROR(IF(ISNUMBER(INDEX(cfg_fac,MATCH(G673,cfg_units,0))),IF(INDEX(cfg_fac,MATCH(G673,cfg_units,0))&gt;0,INDEX(cfg_fac,MATCH(G673,cfg_units,0)),""),""),""))</f>
        <v/>
      </c>
      <c r="X673" s="96">
        <f>IF(AND(ISNUMBER(F673),ISNUMBER(H673)),IF(H673&gt;0,1,0),0)</f>
        <v>0</v>
      </c>
      <c r="Y673" s="96">
        <f>IF(Q673=0,0,IF(OR(T673=0,X673=0,NOT(ISNUMBER(E673)),AND(J673="Sim",L673="",M673=""),AND(ISNUMBER(E673),ISNUMBER(V673),N(V673)&gt;0,E673&lt;N(V673))),1,0))</f>
        <v>0</v>
      </c>
      <c r="Z673" s="96">
        <f>IF(AND(Q673=1,T673=1,X673=1,J673="Sim",OR(L673&lt;&gt;"",M673&lt;&gt;"")),1,0)</f>
        <v>0</v>
      </c>
      <c r="AA673" s="96">
        <f>IF(Q673=0,0,IF(AND(OR(r_ini="",AND(ISNUMBER(E673),E673&gt;=r_ini)),OR(r_fim="",AND(ISNUMBER(E673),E673&lt;=r_fim)),OR(r_un="",r_un="(Todas)",IF(N(U673)&gt;0,INDEX('MTRs'!$G$6:$G$505,U673),"")=r_un),OR(r_de="",r_de="(Todos)",D673=r_de)),1,0))</f>
        <v>0</v>
      </c>
      <c r="AB673" s="96" t="str">
        <f>IF(AA673=1,COUNTIF($AA$6:AA673,1),"")</f>
        <v/>
      </c>
    </row>
    <row r="674">
      <c r="A674" s="89" t="inlineStr">
        <is>
          <t>REC-000669</t>
        </is>
      </c>
      <c r="B674" s="94" t="str">
        <f>IF(T674=1,INDEX('ITENS_MTR'!$S$6:$S$1005,S674)&amp;"","")</f>
        <v/>
      </c>
      <c r="C674" s="91" t="n"/>
      <c r="D674" s="94" t="str">
        <f>IF(N(U674)&gt;0,INDEX('MTRs'!$I$6:$I$505,U674)&amp;"","")</f>
        <v/>
      </c>
      <c r="E674" s="92" t="n"/>
      <c r="F674" s="98" t="n"/>
      <c r="G674" s="91" t="n"/>
      <c r="H674" s="93" t="str">
        <f>IF(Q674=0,"",IF(NOT(ISNUMBER(F674)),"",IF(ISNUMBER(W674),F674*W674,"UNIDADE A CONFERIR")))</f>
        <v/>
      </c>
      <c r="I674" s="91" t="n"/>
      <c r="J674" s="91" t="n"/>
      <c r="K674" s="92" t="n"/>
      <c r="L674" s="91" t="n"/>
      <c r="M674" s="91" t="n"/>
      <c r="N674" s="91" t="n"/>
      <c r="O674" s="91" t="n"/>
      <c r="P674" s="94" t="str">
        <f>IF(Q674=0,"",IF(C674="","Item de resíduo não informado",IF(T674=0,"Item inexistente (referência inválida)",IF(NOT(ISNUMBER(F674)),"Quantidade não informada",IF(F674&lt;=0,"Quantidade não positiva",IF(G674="","Unidade não informada",IF(NOT(ISNUMBER(H674)),"Unidade a conferir",IF(NOT(ISNUMBER(E674)),"Data de recebimento não informada",IF(AND(ISNUMBER(V674),N(V674)&gt;0,E674&lt;N(V674)),"Data anterior à emissão do MTR",IF(AND(J674="Sim",L674="",M674=""),"Conferido sem evidência identificada",IF(J674&lt;&gt;"Sim","Aguardando conferência",IF(INDEX('ITENS_MTR'!$AM$6:$AM$1005,S674)=1,"Conferido (ver diferença no item)","Conferido"))))))))))))</f>
        <v/>
      </c>
      <c r="Q674" s="96">
        <f>IF(COUNTA(C674,E674:G674,I674:O674)&gt;0,1,0)</f>
        <v>0</v>
      </c>
      <c r="R674" s="96" t="str">
        <f>IF(C674="","",TRIM(LEFT(C674,FIND(" |",C674&amp;" |")-1)))</f>
        <v/>
      </c>
      <c r="S674" s="96" t="str">
        <f>IF(R674="","",IFERROR(MATCH(R674,'ITENS_MTR'!$A$6:$A$1005,0),""))</f>
        <v/>
      </c>
      <c r="T674" s="96">
        <f>IF(S674="",0,IF(INDEX('ITENS_MTR'!$R$6:$R$1005,S674)=1,1,0))</f>
        <v>0</v>
      </c>
      <c r="U674" s="96" t="str">
        <f>IF(T674=1,INDEX('ITENS_MTR'!$T$6:$T$1005,S674),"")</f>
        <v/>
      </c>
      <c r="V674" s="97" t="str">
        <f>IF(N(U674)&gt;0,INDEX('MTRs'!$E$6:$E$505,U674),"")</f>
        <v/>
      </c>
      <c r="W674" s="96" t="str">
        <f>IF(G674="","",IFERROR(IF(ISNUMBER(INDEX(cfg_fac,MATCH(G674,cfg_units,0))),IF(INDEX(cfg_fac,MATCH(G674,cfg_units,0))&gt;0,INDEX(cfg_fac,MATCH(G674,cfg_units,0)),""),""),""))</f>
        <v/>
      </c>
      <c r="X674" s="96">
        <f>IF(AND(ISNUMBER(F674),ISNUMBER(H674)),IF(H674&gt;0,1,0),0)</f>
        <v>0</v>
      </c>
      <c r="Y674" s="96">
        <f>IF(Q674=0,0,IF(OR(T674=0,X674=0,NOT(ISNUMBER(E674)),AND(J674="Sim",L674="",M674=""),AND(ISNUMBER(E674),ISNUMBER(V674),N(V674)&gt;0,E674&lt;N(V674))),1,0))</f>
        <v>0</v>
      </c>
      <c r="Z674" s="96">
        <f>IF(AND(Q674=1,T674=1,X674=1,J674="Sim",OR(L674&lt;&gt;"",M674&lt;&gt;"")),1,0)</f>
        <v>0</v>
      </c>
      <c r="AA674" s="96">
        <f>IF(Q674=0,0,IF(AND(OR(r_ini="",AND(ISNUMBER(E674),E674&gt;=r_ini)),OR(r_fim="",AND(ISNUMBER(E674),E674&lt;=r_fim)),OR(r_un="",r_un="(Todas)",IF(N(U674)&gt;0,INDEX('MTRs'!$G$6:$G$505,U674),"")=r_un),OR(r_de="",r_de="(Todos)",D674=r_de)),1,0))</f>
        <v>0</v>
      </c>
      <c r="AB674" s="96" t="str">
        <f>IF(AA674=1,COUNTIF($AA$6:AA674,1),"")</f>
        <v/>
      </c>
    </row>
    <row r="675">
      <c r="A675" s="89" t="inlineStr">
        <is>
          <t>REC-000670</t>
        </is>
      </c>
      <c r="B675" s="94" t="str">
        <f>IF(T675=1,INDEX('ITENS_MTR'!$S$6:$S$1005,S675)&amp;"","")</f>
        <v/>
      </c>
      <c r="C675" s="91" t="n"/>
      <c r="D675" s="94" t="str">
        <f>IF(N(U675)&gt;0,INDEX('MTRs'!$I$6:$I$505,U675)&amp;"","")</f>
        <v/>
      </c>
      <c r="E675" s="92" t="n"/>
      <c r="F675" s="98" t="n"/>
      <c r="G675" s="91" t="n"/>
      <c r="H675" s="93" t="str">
        <f>IF(Q675=0,"",IF(NOT(ISNUMBER(F675)),"",IF(ISNUMBER(W675),F675*W675,"UNIDADE A CONFERIR")))</f>
        <v/>
      </c>
      <c r="I675" s="91" t="n"/>
      <c r="J675" s="91" t="n"/>
      <c r="K675" s="92" t="n"/>
      <c r="L675" s="91" t="n"/>
      <c r="M675" s="91" t="n"/>
      <c r="N675" s="91" t="n"/>
      <c r="O675" s="91" t="n"/>
      <c r="P675" s="94" t="str">
        <f>IF(Q675=0,"",IF(C675="","Item de resíduo não informado",IF(T675=0,"Item inexistente (referência inválida)",IF(NOT(ISNUMBER(F675)),"Quantidade não informada",IF(F675&lt;=0,"Quantidade não positiva",IF(G675="","Unidade não informada",IF(NOT(ISNUMBER(H675)),"Unidade a conferir",IF(NOT(ISNUMBER(E675)),"Data de recebimento não informada",IF(AND(ISNUMBER(V675),N(V675)&gt;0,E675&lt;N(V675)),"Data anterior à emissão do MTR",IF(AND(J675="Sim",L675="",M675=""),"Conferido sem evidência identificada",IF(J675&lt;&gt;"Sim","Aguardando conferência",IF(INDEX('ITENS_MTR'!$AM$6:$AM$1005,S675)=1,"Conferido (ver diferença no item)","Conferido"))))))))))))</f>
        <v/>
      </c>
      <c r="Q675" s="96">
        <f>IF(COUNTA(C675,E675:G675,I675:O675)&gt;0,1,0)</f>
        <v>0</v>
      </c>
      <c r="R675" s="96" t="str">
        <f>IF(C675="","",TRIM(LEFT(C675,FIND(" |",C675&amp;" |")-1)))</f>
        <v/>
      </c>
      <c r="S675" s="96" t="str">
        <f>IF(R675="","",IFERROR(MATCH(R675,'ITENS_MTR'!$A$6:$A$1005,0),""))</f>
        <v/>
      </c>
      <c r="T675" s="96">
        <f>IF(S675="",0,IF(INDEX('ITENS_MTR'!$R$6:$R$1005,S675)=1,1,0))</f>
        <v>0</v>
      </c>
      <c r="U675" s="96" t="str">
        <f>IF(T675=1,INDEX('ITENS_MTR'!$T$6:$T$1005,S675),"")</f>
        <v/>
      </c>
      <c r="V675" s="97" t="str">
        <f>IF(N(U675)&gt;0,INDEX('MTRs'!$E$6:$E$505,U675),"")</f>
        <v/>
      </c>
      <c r="W675" s="96" t="str">
        <f>IF(G675="","",IFERROR(IF(ISNUMBER(INDEX(cfg_fac,MATCH(G675,cfg_units,0))),IF(INDEX(cfg_fac,MATCH(G675,cfg_units,0))&gt;0,INDEX(cfg_fac,MATCH(G675,cfg_units,0)),""),""),""))</f>
        <v/>
      </c>
      <c r="X675" s="96">
        <f>IF(AND(ISNUMBER(F675),ISNUMBER(H675)),IF(H675&gt;0,1,0),0)</f>
        <v>0</v>
      </c>
      <c r="Y675" s="96">
        <f>IF(Q675=0,0,IF(OR(T675=0,X675=0,NOT(ISNUMBER(E675)),AND(J675="Sim",L675="",M675=""),AND(ISNUMBER(E675),ISNUMBER(V675),N(V675)&gt;0,E675&lt;N(V675))),1,0))</f>
        <v>0</v>
      </c>
      <c r="Z675" s="96">
        <f>IF(AND(Q675=1,T675=1,X675=1,J675="Sim",OR(L675&lt;&gt;"",M675&lt;&gt;"")),1,0)</f>
        <v>0</v>
      </c>
      <c r="AA675" s="96">
        <f>IF(Q675=0,0,IF(AND(OR(r_ini="",AND(ISNUMBER(E675),E675&gt;=r_ini)),OR(r_fim="",AND(ISNUMBER(E675),E675&lt;=r_fim)),OR(r_un="",r_un="(Todas)",IF(N(U675)&gt;0,INDEX('MTRs'!$G$6:$G$505,U675),"")=r_un),OR(r_de="",r_de="(Todos)",D675=r_de)),1,0))</f>
        <v>0</v>
      </c>
      <c r="AB675" s="96" t="str">
        <f>IF(AA675=1,COUNTIF($AA$6:AA675,1),"")</f>
        <v/>
      </c>
    </row>
    <row r="676">
      <c r="A676" s="89" t="inlineStr">
        <is>
          <t>REC-000671</t>
        </is>
      </c>
      <c r="B676" s="94" t="str">
        <f>IF(T676=1,INDEX('ITENS_MTR'!$S$6:$S$1005,S676)&amp;"","")</f>
        <v/>
      </c>
      <c r="C676" s="91" t="n"/>
      <c r="D676" s="94" t="str">
        <f>IF(N(U676)&gt;0,INDEX('MTRs'!$I$6:$I$505,U676)&amp;"","")</f>
        <v/>
      </c>
      <c r="E676" s="92" t="n"/>
      <c r="F676" s="98" t="n"/>
      <c r="G676" s="91" t="n"/>
      <c r="H676" s="93" t="str">
        <f>IF(Q676=0,"",IF(NOT(ISNUMBER(F676)),"",IF(ISNUMBER(W676),F676*W676,"UNIDADE A CONFERIR")))</f>
        <v/>
      </c>
      <c r="I676" s="91" t="n"/>
      <c r="J676" s="91" t="n"/>
      <c r="K676" s="92" t="n"/>
      <c r="L676" s="91" t="n"/>
      <c r="M676" s="91" t="n"/>
      <c r="N676" s="91" t="n"/>
      <c r="O676" s="91" t="n"/>
      <c r="P676" s="94" t="str">
        <f>IF(Q676=0,"",IF(C676="","Item de resíduo não informado",IF(T676=0,"Item inexistente (referência inválida)",IF(NOT(ISNUMBER(F676)),"Quantidade não informada",IF(F676&lt;=0,"Quantidade não positiva",IF(G676="","Unidade não informada",IF(NOT(ISNUMBER(H676)),"Unidade a conferir",IF(NOT(ISNUMBER(E676)),"Data de recebimento não informada",IF(AND(ISNUMBER(V676),N(V676)&gt;0,E676&lt;N(V676)),"Data anterior à emissão do MTR",IF(AND(J676="Sim",L676="",M676=""),"Conferido sem evidência identificada",IF(J676&lt;&gt;"Sim","Aguardando conferência",IF(INDEX('ITENS_MTR'!$AM$6:$AM$1005,S676)=1,"Conferido (ver diferença no item)","Conferido"))))))))))))</f>
        <v/>
      </c>
      <c r="Q676" s="96">
        <f>IF(COUNTA(C676,E676:G676,I676:O676)&gt;0,1,0)</f>
        <v>0</v>
      </c>
      <c r="R676" s="96" t="str">
        <f>IF(C676="","",TRIM(LEFT(C676,FIND(" |",C676&amp;" |")-1)))</f>
        <v/>
      </c>
      <c r="S676" s="96" t="str">
        <f>IF(R676="","",IFERROR(MATCH(R676,'ITENS_MTR'!$A$6:$A$1005,0),""))</f>
        <v/>
      </c>
      <c r="T676" s="96">
        <f>IF(S676="",0,IF(INDEX('ITENS_MTR'!$R$6:$R$1005,S676)=1,1,0))</f>
        <v>0</v>
      </c>
      <c r="U676" s="96" t="str">
        <f>IF(T676=1,INDEX('ITENS_MTR'!$T$6:$T$1005,S676),"")</f>
        <v/>
      </c>
      <c r="V676" s="97" t="str">
        <f>IF(N(U676)&gt;0,INDEX('MTRs'!$E$6:$E$505,U676),"")</f>
        <v/>
      </c>
      <c r="W676" s="96" t="str">
        <f>IF(G676="","",IFERROR(IF(ISNUMBER(INDEX(cfg_fac,MATCH(G676,cfg_units,0))),IF(INDEX(cfg_fac,MATCH(G676,cfg_units,0))&gt;0,INDEX(cfg_fac,MATCH(G676,cfg_units,0)),""),""),""))</f>
        <v/>
      </c>
      <c r="X676" s="96">
        <f>IF(AND(ISNUMBER(F676),ISNUMBER(H676)),IF(H676&gt;0,1,0),0)</f>
        <v>0</v>
      </c>
      <c r="Y676" s="96">
        <f>IF(Q676=0,0,IF(OR(T676=0,X676=0,NOT(ISNUMBER(E676)),AND(J676="Sim",L676="",M676=""),AND(ISNUMBER(E676),ISNUMBER(V676),N(V676)&gt;0,E676&lt;N(V676))),1,0))</f>
        <v>0</v>
      </c>
      <c r="Z676" s="96">
        <f>IF(AND(Q676=1,T676=1,X676=1,J676="Sim",OR(L676&lt;&gt;"",M676&lt;&gt;"")),1,0)</f>
        <v>0</v>
      </c>
      <c r="AA676" s="96">
        <f>IF(Q676=0,0,IF(AND(OR(r_ini="",AND(ISNUMBER(E676),E676&gt;=r_ini)),OR(r_fim="",AND(ISNUMBER(E676),E676&lt;=r_fim)),OR(r_un="",r_un="(Todas)",IF(N(U676)&gt;0,INDEX('MTRs'!$G$6:$G$505,U676),"")=r_un),OR(r_de="",r_de="(Todos)",D676=r_de)),1,0))</f>
        <v>0</v>
      </c>
      <c r="AB676" s="96" t="str">
        <f>IF(AA676=1,COUNTIF($AA$6:AA676,1),"")</f>
        <v/>
      </c>
    </row>
    <row r="677">
      <c r="A677" s="89" t="inlineStr">
        <is>
          <t>REC-000672</t>
        </is>
      </c>
      <c r="B677" s="94" t="str">
        <f>IF(T677=1,INDEX('ITENS_MTR'!$S$6:$S$1005,S677)&amp;"","")</f>
        <v/>
      </c>
      <c r="C677" s="91" t="n"/>
      <c r="D677" s="94" t="str">
        <f>IF(N(U677)&gt;0,INDEX('MTRs'!$I$6:$I$505,U677)&amp;"","")</f>
        <v/>
      </c>
      <c r="E677" s="92" t="n"/>
      <c r="F677" s="98" t="n"/>
      <c r="G677" s="91" t="n"/>
      <c r="H677" s="93" t="str">
        <f>IF(Q677=0,"",IF(NOT(ISNUMBER(F677)),"",IF(ISNUMBER(W677),F677*W677,"UNIDADE A CONFERIR")))</f>
        <v/>
      </c>
      <c r="I677" s="91" t="n"/>
      <c r="J677" s="91" t="n"/>
      <c r="K677" s="92" t="n"/>
      <c r="L677" s="91" t="n"/>
      <c r="M677" s="91" t="n"/>
      <c r="N677" s="91" t="n"/>
      <c r="O677" s="91" t="n"/>
      <c r="P677" s="94" t="str">
        <f>IF(Q677=0,"",IF(C677="","Item de resíduo não informado",IF(T677=0,"Item inexistente (referência inválida)",IF(NOT(ISNUMBER(F677)),"Quantidade não informada",IF(F677&lt;=0,"Quantidade não positiva",IF(G677="","Unidade não informada",IF(NOT(ISNUMBER(H677)),"Unidade a conferir",IF(NOT(ISNUMBER(E677)),"Data de recebimento não informada",IF(AND(ISNUMBER(V677),N(V677)&gt;0,E677&lt;N(V677)),"Data anterior à emissão do MTR",IF(AND(J677="Sim",L677="",M677=""),"Conferido sem evidência identificada",IF(J677&lt;&gt;"Sim","Aguardando conferência",IF(INDEX('ITENS_MTR'!$AM$6:$AM$1005,S677)=1,"Conferido (ver diferença no item)","Conferido"))))))))))))</f>
        <v/>
      </c>
      <c r="Q677" s="96">
        <f>IF(COUNTA(C677,E677:G677,I677:O677)&gt;0,1,0)</f>
        <v>0</v>
      </c>
      <c r="R677" s="96" t="str">
        <f>IF(C677="","",TRIM(LEFT(C677,FIND(" |",C677&amp;" |")-1)))</f>
        <v/>
      </c>
      <c r="S677" s="96" t="str">
        <f>IF(R677="","",IFERROR(MATCH(R677,'ITENS_MTR'!$A$6:$A$1005,0),""))</f>
        <v/>
      </c>
      <c r="T677" s="96">
        <f>IF(S677="",0,IF(INDEX('ITENS_MTR'!$R$6:$R$1005,S677)=1,1,0))</f>
        <v>0</v>
      </c>
      <c r="U677" s="96" t="str">
        <f>IF(T677=1,INDEX('ITENS_MTR'!$T$6:$T$1005,S677),"")</f>
        <v/>
      </c>
      <c r="V677" s="97" t="str">
        <f>IF(N(U677)&gt;0,INDEX('MTRs'!$E$6:$E$505,U677),"")</f>
        <v/>
      </c>
      <c r="W677" s="96" t="str">
        <f>IF(G677="","",IFERROR(IF(ISNUMBER(INDEX(cfg_fac,MATCH(G677,cfg_units,0))),IF(INDEX(cfg_fac,MATCH(G677,cfg_units,0))&gt;0,INDEX(cfg_fac,MATCH(G677,cfg_units,0)),""),""),""))</f>
        <v/>
      </c>
      <c r="X677" s="96">
        <f>IF(AND(ISNUMBER(F677),ISNUMBER(H677)),IF(H677&gt;0,1,0),0)</f>
        <v>0</v>
      </c>
      <c r="Y677" s="96">
        <f>IF(Q677=0,0,IF(OR(T677=0,X677=0,NOT(ISNUMBER(E677)),AND(J677="Sim",L677="",M677=""),AND(ISNUMBER(E677),ISNUMBER(V677),N(V677)&gt;0,E677&lt;N(V677))),1,0))</f>
        <v>0</v>
      </c>
      <c r="Z677" s="96">
        <f>IF(AND(Q677=1,T677=1,X677=1,J677="Sim",OR(L677&lt;&gt;"",M677&lt;&gt;"")),1,0)</f>
        <v>0</v>
      </c>
      <c r="AA677" s="96">
        <f>IF(Q677=0,0,IF(AND(OR(r_ini="",AND(ISNUMBER(E677),E677&gt;=r_ini)),OR(r_fim="",AND(ISNUMBER(E677),E677&lt;=r_fim)),OR(r_un="",r_un="(Todas)",IF(N(U677)&gt;0,INDEX('MTRs'!$G$6:$G$505,U677),"")=r_un),OR(r_de="",r_de="(Todos)",D677=r_de)),1,0))</f>
        <v>0</v>
      </c>
      <c r="AB677" s="96" t="str">
        <f>IF(AA677=1,COUNTIF($AA$6:AA677,1),"")</f>
        <v/>
      </c>
    </row>
    <row r="678">
      <c r="A678" s="89" t="inlineStr">
        <is>
          <t>REC-000673</t>
        </is>
      </c>
      <c r="B678" s="94" t="str">
        <f>IF(T678=1,INDEX('ITENS_MTR'!$S$6:$S$1005,S678)&amp;"","")</f>
        <v/>
      </c>
      <c r="C678" s="91" t="n"/>
      <c r="D678" s="94" t="str">
        <f>IF(N(U678)&gt;0,INDEX('MTRs'!$I$6:$I$505,U678)&amp;"","")</f>
        <v/>
      </c>
      <c r="E678" s="92" t="n"/>
      <c r="F678" s="98" t="n"/>
      <c r="G678" s="91" t="n"/>
      <c r="H678" s="93" t="str">
        <f>IF(Q678=0,"",IF(NOT(ISNUMBER(F678)),"",IF(ISNUMBER(W678),F678*W678,"UNIDADE A CONFERIR")))</f>
        <v/>
      </c>
      <c r="I678" s="91" t="n"/>
      <c r="J678" s="91" t="n"/>
      <c r="K678" s="92" t="n"/>
      <c r="L678" s="91" t="n"/>
      <c r="M678" s="91" t="n"/>
      <c r="N678" s="91" t="n"/>
      <c r="O678" s="91" t="n"/>
      <c r="P678" s="94" t="str">
        <f>IF(Q678=0,"",IF(C678="","Item de resíduo não informado",IF(T678=0,"Item inexistente (referência inválida)",IF(NOT(ISNUMBER(F678)),"Quantidade não informada",IF(F678&lt;=0,"Quantidade não positiva",IF(G678="","Unidade não informada",IF(NOT(ISNUMBER(H678)),"Unidade a conferir",IF(NOT(ISNUMBER(E678)),"Data de recebimento não informada",IF(AND(ISNUMBER(V678),N(V678)&gt;0,E678&lt;N(V678)),"Data anterior à emissão do MTR",IF(AND(J678="Sim",L678="",M678=""),"Conferido sem evidência identificada",IF(J678&lt;&gt;"Sim","Aguardando conferência",IF(INDEX('ITENS_MTR'!$AM$6:$AM$1005,S678)=1,"Conferido (ver diferença no item)","Conferido"))))))))))))</f>
        <v/>
      </c>
      <c r="Q678" s="96">
        <f>IF(COUNTA(C678,E678:G678,I678:O678)&gt;0,1,0)</f>
        <v>0</v>
      </c>
      <c r="R678" s="96" t="str">
        <f>IF(C678="","",TRIM(LEFT(C678,FIND(" |",C678&amp;" |")-1)))</f>
        <v/>
      </c>
      <c r="S678" s="96" t="str">
        <f>IF(R678="","",IFERROR(MATCH(R678,'ITENS_MTR'!$A$6:$A$1005,0),""))</f>
        <v/>
      </c>
      <c r="T678" s="96">
        <f>IF(S678="",0,IF(INDEX('ITENS_MTR'!$R$6:$R$1005,S678)=1,1,0))</f>
        <v>0</v>
      </c>
      <c r="U678" s="96" t="str">
        <f>IF(T678=1,INDEX('ITENS_MTR'!$T$6:$T$1005,S678),"")</f>
        <v/>
      </c>
      <c r="V678" s="97" t="str">
        <f>IF(N(U678)&gt;0,INDEX('MTRs'!$E$6:$E$505,U678),"")</f>
        <v/>
      </c>
      <c r="W678" s="96" t="str">
        <f>IF(G678="","",IFERROR(IF(ISNUMBER(INDEX(cfg_fac,MATCH(G678,cfg_units,0))),IF(INDEX(cfg_fac,MATCH(G678,cfg_units,0))&gt;0,INDEX(cfg_fac,MATCH(G678,cfg_units,0)),""),""),""))</f>
        <v/>
      </c>
      <c r="X678" s="96">
        <f>IF(AND(ISNUMBER(F678),ISNUMBER(H678)),IF(H678&gt;0,1,0),0)</f>
        <v>0</v>
      </c>
      <c r="Y678" s="96">
        <f>IF(Q678=0,0,IF(OR(T678=0,X678=0,NOT(ISNUMBER(E678)),AND(J678="Sim",L678="",M678=""),AND(ISNUMBER(E678),ISNUMBER(V678),N(V678)&gt;0,E678&lt;N(V678))),1,0))</f>
        <v>0</v>
      </c>
      <c r="Z678" s="96">
        <f>IF(AND(Q678=1,T678=1,X678=1,J678="Sim",OR(L678&lt;&gt;"",M678&lt;&gt;"")),1,0)</f>
        <v>0</v>
      </c>
      <c r="AA678" s="96">
        <f>IF(Q678=0,0,IF(AND(OR(r_ini="",AND(ISNUMBER(E678),E678&gt;=r_ini)),OR(r_fim="",AND(ISNUMBER(E678),E678&lt;=r_fim)),OR(r_un="",r_un="(Todas)",IF(N(U678)&gt;0,INDEX('MTRs'!$G$6:$G$505,U678),"")=r_un),OR(r_de="",r_de="(Todos)",D678=r_de)),1,0))</f>
        <v>0</v>
      </c>
      <c r="AB678" s="96" t="str">
        <f>IF(AA678=1,COUNTIF($AA$6:AA678,1),"")</f>
        <v/>
      </c>
    </row>
    <row r="679">
      <c r="A679" s="89" t="inlineStr">
        <is>
          <t>REC-000674</t>
        </is>
      </c>
      <c r="B679" s="94" t="str">
        <f>IF(T679=1,INDEX('ITENS_MTR'!$S$6:$S$1005,S679)&amp;"","")</f>
        <v/>
      </c>
      <c r="C679" s="91" t="n"/>
      <c r="D679" s="94" t="str">
        <f>IF(N(U679)&gt;0,INDEX('MTRs'!$I$6:$I$505,U679)&amp;"","")</f>
        <v/>
      </c>
      <c r="E679" s="92" t="n"/>
      <c r="F679" s="98" t="n"/>
      <c r="G679" s="91" t="n"/>
      <c r="H679" s="93" t="str">
        <f>IF(Q679=0,"",IF(NOT(ISNUMBER(F679)),"",IF(ISNUMBER(W679),F679*W679,"UNIDADE A CONFERIR")))</f>
        <v/>
      </c>
      <c r="I679" s="91" t="n"/>
      <c r="J679" s="91" t="n"/>
      <c r="K679" s="92" t="n"/>
      <c r="L679" s="91" t="n"/>
      <c r="M679" s="91" t="n"/>
      <c r="N679" s="91" t="n"/>
      <c r="O679" s="91" t="n"/>
      <c r="P679" s="94" t="str">
        <f>IF(Q679=0,"",IF(C679="","Item de resíduo não informado",IF(T679=0,"Item inexistente (referência inválida)",IF(NOT(ISNUMBER(F679)),"Quantidade não informada",IF(F679&lt;=0,"Quantidade não positiva",IF(G679="","Unidade não informada",IF(NOT(ISNUMBER(H679)),"Unidade a conferir",IF(NOT(ISNUMBER(E679)),"Data de recebimento não informada",IF(AND(ISNUMBER(V679),N(V679)&gt;0,E679&lt;N(V679)),"Data anterior à emissão do MTR",IF(AND(J679="Sim",L679="",M679=""),"Conferido sem evidência identificada",IF(J679&lt;&gt;"Sim","Aguardando conferência",IF(INDEX('ITENS_MTR'!$AM$6:$AM$1005,S679)=1,"Conferido (ver diferença no item)","Conferido"))))))))))))</f>
        <v/>
      </c>
      <c r="Q679" s="96">
        <f>IF(COUNTA(C679,E679:G679,I679:O679)&gt;0,1,0)</f>
        <v>0</v>
      </c>
      <c r="R679" s="96" t="str">
        <f>IF(C679="","",TRIM(LEFT(C679,FIND(" |",C679&amp;" |")-1)))</f>
        <v/>
      </c>
      <c r="S679" s="96" t="str">
        <f>IF(R679="","",IFERROR(MATCH(R679,'ITENS_MTR'!$A$6:$A$1005,0),""))</f>
        <v/>
      </c>
      <c r="T679" s="96">
        <f>IF(S679="",0,IF(INDEX('ITENS_MTR'!$R$6:$R$1005,S679)=1,1,0))</f>
        <v>0</v>
      </c>
      <c r="U679" s="96" t="str">
        <f>IF(T679=1,INDEX('ITENS_MTR'!$T$6:$T$1005,S679),"")</f>
        <v/>
      </c>
      <c r="V679" s="97" t="str">
        <f>IF(N(U679)&gt;0,INDEX('MTRs'!$E$6:$E$505,U679),"")</f>
        <v/>
      </c>
      <c r="W679" s="96" t="str">
        <f>IF(G679="","",IFERROR(IF(ISNUMBER(INDEX(cfg_fac,MATCH(G679,cfg_units,0))),IF(INDEX(cfg_fac,MATCH(G679,cfg_units,0))&gt;0,INDEX(cfg_fac,MATCH(G679,cfg_units,0)),""),""),""))</f>
        <v/>
      </c>
      <c r="X679" s="96">
        <f>IF(AND(ISNUMBER(F679),ISNUMBER(H679)),IF(H679&gt;0,1,0),0)</f>
        <v>0</v>
      </c>
      <c r="Y679" s="96">
        <f>IF(Q679=0,0,IF(OR(T679=0,X679=0,NOT(ISNUMBER(E679)),AND(J679="Sim",L679="",M679=""),AND(ISNUMBER(E679),ISNUMBER(V679),N(V679)&gt;0,E679&lt;N(V679))),1,0))</f>
        <v>0</v>
      </c>
      <c r="Z679" s="96">
        <f>IF(AND(Q679=1,T679=1,X679=1,J679="Sim",OR(L679&lt;&gt;"",M679&lt;&gt;"")),1,0)</f>
        <v>0</v>
      </c>
      <c r="AA679" s="96">
        <f>IF(Q679=0,0,IF(AND(OR(r_ini="",AND(ISNUMBER(E679),E679&gt;=r_ini)),OR(r_fim="",AND(ISNUMBER(E679),E679&lt;=r_fim)),OR(r_un="",r_un="(Todas)",IF(N(U679)&gt;0,INDEX('MTRs'!$G$6:$G$505,U679),"")=r_un),OR(r_de="",r_de="(Todos)",D679=r_de)),1,0))</f>
        <v>0</v>
      </c>
      <c r="AB679" s="96" t="str">
        <f>IF(AA679=1,COUNTIF($AA$6:AA679,1),"")</f>
        <v/>
      </c>
    </row>
    <row r="680">
      <c r="A680" s="89" t="inlineStr">
        <is>
          <t>REC-000675</t>
        </is>
      </c>
      <c r="B680" s="94" t="str">
        <f>IF(T680=1,INDEX('ITENS_MTR'!$S$6:$S$1005,S680)&amp;"","")</f>
        <v/>
      </c>
      <c r="C680" s="91" t="n"/>
      <c r="D680" s="94" t="str">
        <f>IF(N(U680)&gt;0,INDEX('MTRs'!$I$6:$I$505,U680)&amp;"","")</f>
        <v/>
      </c>
      <c r="E680" s="92" t="n"/>
      <c r="F680" s="98" t="n"/>
      <c r="G680" s="91" t="n"/>
      <c r="H680" s="93" t="str">
        <f>IF(Q680=0,"",IF(NOT(ISNUMBER(F680)),"",IF(ISNUMBER(W680),F680*W680,"UNIDADE A CONFERIR")))</f>
        <v/>
      </c>
      <c r="I680" s="91" t="n"/>
      <c r="J680" s="91" t="n"/>
      <c r="K680" s="92" t="n"/>
      <c r="L680" s="91" t="n"/>
      <c r="M680" s="91" t="n"/>
      <c r="N680" s="91" t="n"/>
      <c r="O680" s="91" t="n"/>
      <c r="P680" s="94" t="str">
        <f>IF(Q680=0,"",IF(C680="","Item de resíduo não informado",IF(T680=0,"Item inexistente (referência inválida)",IF(NOT(ISNUMBER(F680)),"Quantidade não informada",IF(F680&lt;=0,"Quantidade não positiva",IF(G680="","Unidade não informada",IF(NOT(ISNUMBER(H680)),"Unidade a conferir",IF(NOT(ISNUMBER(E680)),"Data de recebimento não informada",IF(AND(ISNUMBER(V680),N(V680)&gt;0,E680&lt;N(V680)),"Data anterior à emissão do MTR",IF(AND(J680="Sim",L680="",M680=""),"Conferido sem evidência identificada",IF(J680&lt;&gt;"Sim","Aguardando conferência",IF(INDEX('ITENS_MTR'!$AM$6:$AM$1005,S680)=1,"Conferido (ver diferença no item)","Conferido"))))))))))))</f>
        <v/>
      </c>
      <c r="Q680" s="96">
        <f>IF(COUNTA(C680,E680:G680,I680:O680)&gt;0,1,0)</f>
        <v>0</v>
      </c>
      <c r="R680" s="96" t="str">
        <f>IF(C680="","",TRIM(LEFT(C680,FIND(" |",C680&amp;" |")-1)))</f>
        <v/>
      </c>
      <c r="S680" s="96" t="str">
        <f>IF(R680="","",IFERROR(MATCH(R680,'ITENS_MTR'!$A$6:$A$1005,0),""))</f>
        <v/>
      </c>
      <c r="T680" s="96">
        <f>IF(S680="",0,IF(INDEX('ITENS_MTR'!$R$6:$R$1005,S680)=1,1,0))</f>
        <v>0</v>
      </c>
      <c r="U680" s="96" t="str">
        <f>IF(T680=1,INDEX('ITENS_MTR'!$T$6:$T$1005,S680),"")</f>
        <v/>
      </c>
      <c r="V680" s="97" t="str">
        <f>IF(N(U680)&gt;0,INDEX('MTRs'!$E$6:$E$505,U680),"")</f>
        <v/>
      </c>
      <c r="W680" s="96" t="str">
        <f>IF(G680="","",IFERROR(IF(ISNUMBER(INDEX(cfg_fac,MATCH(G680,cfg_units,0))),IF(INDEX(cfg_fac,MATCH(G680,cfg_units,0))&gt;0,INDEX(cfg_fac,MATCH(G680,cfg_units,0)),""),""),""))</f>
        <v/>
      </c>
      <c r="X680" s="96">
        <f>IF(AND(ISNUMBER(F680),ISNUMBER(H680)),IF(H680&gt;0,1,0),0)</f>
        <v>0</v>
      </c>
      <c r="Y680" s="96">
        <f>IF(Q680=0,0,IF(OR(T680=0,X680=0,NOT(ISNUMBER(E680)),AND(J680="Sim",L680="",M680=""),AND(ISNUMBER(E680),ISNUMBER(V680),N(V680)&gt;0,E680&lt;N(V680))),1,0))</f>
        <v>0</v>
      </c>
      <c r="Z680" s="96">
        <f>IF(AND(Q680=1,T680=1,X680=1,J680="Sim",OR(L680&lt;&gt;"",M680&lt;&gt;"")),1,0)</f>
        <v>0</v>
      </c>
      <c r="AA680" s="96">
        <f>IF(Q680=0,0,IF(AND(OR(r_ini="",AND(ISNUMBER(E680),E680&gt;=r_ini)),OR(r_fim="",AND(ISNUMBER(E680),E680&lt;=r_fim)),OR(r_un="",r_un="(Todas)",IF(N(U680)&gt;0,INDEX('MTRs'!$G$6:$G$505,U680),"")=r_un),OR(r_de="",r_de="(Todos)",D680=r_de)),1,0))</f>
        <v>0</v>
      </c>
      <c r="AB680" s="96" t="str">
        <f>IF(AA680=1,COUNTIF($AA$6:AA680,1),"")</f>
        <v/>
      </c>
    </row>
    <row r="681">
      <c r="A681" s="89" t="inlineStr">
        <is>
          <t>REC-000676</t>
        </is>
      </c>
      <c r="B681" s="94" t="str">
        <f>IF(T681=1,INDEX('ITENS_MTR'!$S$6:$S$1005,S681)&amp;"","")</f>
        <v/>
      </c>
      <c r="C681" s="91" t="n"/>
      <c r="D681" s="94" t="str">
        <f>IF(N(U681)&gt;0,INDEX('MTRs'!$I$6:$I$505,U681)&amp;"","")</f>
        <v/>
      </c>
      <c r="E681" s="92" t="n"/>
      <c r="F681" s="98" t="n"/>
      <c r="G681" s="91" t="n"/>
      <c r="H681" s="93" t="str">
        <f>IF(Q681=0,"",IF(NOT(ISNUMBER(F681)),"",IF(ISNUMBER(W681),F681*W681,"UNIDADE A CONFERIR")))</f>
        <v/>
      </c>
      <c r="I681" s="91" t="n"/>
      <c r="J681" s="91" t="n"/>
      <c r="K681" s="92" t="n"/>
      <c r="L681" s="91" t="n"/>
      <c r="M681" s="91" t="n"/>
      <c r="N681" s="91" t="n"/>
      <c r="O681" s="91" t="n"/>
      <c r="P681" s="94" t="str">
        <f>IF(Q681=0,"",IF(C681="","Item de resíduo não informado",IF(T681=0,"Item inexistente (referência inválida)",IF(NOT(ISNUMBER(F681)),"Quantidade não informada",IF(F681&lt;=0,"Quantidade não positiva",IF(G681="","Unidade não informada",IF(NOT(ISNUMBER(H681)),"Unidade a conferir",IF(NOT(ISNUMBER(E681)),"Data de recebimento não informada",IF(AND(ISNUMBER(V681),N(V681)&gt;0,E681&lt;N(V681)),"Data anterior à emissão do MTR",IF(AND(J681="Sim",L681="",M681=""),"Conferido sem evidência identificada",IF(J681&lt;&gt;"Sim","Aguardando conferência",IF(INDEX('ITENS_MTR'!$AM$6:$AM$1005,S681)=1,"Conferido (ver diferença no item)","Conferido"))))))))))))</f>
        <v/>
      </c>
      <c r="Q681" s="96">
        <f>IF(COUNTA(C681,E681:G681,I681:O681)&gt;0,1,0)</f>
        <v>0</v>
      </c>
      <c r="R681" s="96" t="str">
        <f>IF(C681="","",TRIM(LEFT(C681,FIND(" |",C681&amp;" |")-1)))</f>
        <v/>
      </c>
      <c r="S681" s="96" t="str">
        <f>IF(R681="","",IFERROR(MATCH(R681,'ITENS_MTR'!$A$6:$A$1005,0),""))</f>
        <v/>
      </c>
      <c r="T681" s="96">
        <f>IF(S681="",0,IF(INDEX('ITENS_MTR'!$R$6:$R$1005,S681)=1,1,0))</f>
        <v>0</v>
      </c>
      <c r="U681" s="96" t="str">
        <f>IF(T681=1,INDEX('ITENS_MTR'!$T$6:$T$1005,S681),"")</f>
        <v/>
      </c>
      <c r="V681" s="97" t="str">
        <f>IF(N(U681)&gt;0,INDEX('MTRs'!$E$6:$E$505,U681),"")</f>
        <v/>
      </c>
      <c r="W681" s="96" t="str">
        <f>IF(G681="","",IFERROR(IF(ISNUMBER(INDEX(cfg_fac,MATCH(G681,cfg_units,0))),IF(INDEX(cfg_fac,MATCH(G681,cfg_units,0))&gt;0,INDEX(cfg_fac,MATCH(G681,cfg_units,0)),""),""),""))</f>
        <v/>
      </c>
      <c r="X681" s="96">
        <f>IF(AND(ISNUMBER(F681),ISNUMBER(H681)),IF(H681&gt;0,1,0),0)</f>
        <v>0</v>
      </c>
      <c r="Y681" s="96">
        <f>IF(Q681=0,0,IF(OR(T681=0,X681=0,NOT(ISNUMBER(E681)),AND(J681="Sim",L681="",M681=""),AND(ISNUMBER(E681),ISNUMBER(V681),N(V681)&gt;0,E681&lt;N(V681))),1,0))</f>
        <v>0</v>
      </c>
      <c r="Z681" s="96">
        <f>IF(AND(Q681=1,T681=1,X681=1,J681="Sim",OR(L681&lt;&gt;"",M681&lt;&gt;"")),1,0)</f>
        <v>0</v>
      </c>
      <c r="AA681" s="96">
        <f>IF(Q681=0,0,IF(AND(OR(r_ini="",AND(ISNUMBER(E681),E681&gt;=r_ini)),OR(r_fim="",AND(ISNUMBER(E681),E681&lt;=r_fim)),OR(r_un="",r_un="(Todas)",IF(N(U681)&gt;0,INDEX('MTRs'!$G$6:$G$505,U681),"")=r_un),OR(r_de="",r_de="(Todos)",D681=r_de)),1,0))</f>
        <v>0</v>
      </c>
      <c r="AB681" s="96" t="str">
        <f>IF(AA681=1,COUNTIF($AA$6:AA681,1),"")</f>
        <v/>
      </c>
    </row>
    <row r="682">
      <c r="A682" s="89" t="inlineStr">
        <is>
          <t>REC-000677</t>
        </is>
      </c>
      <c r="B682" s="94" t="str">
        <f>IF(T682=1,INDEX('ITENS_MTR'!$S$6:$S$1005,S682)&amp;"","")</f>
        <v/>
      </c>
      <c r="C682" s="91" t="n"/>
      <c r="D682" s="94" t="str">
        <f>IF(N(U682)&gt;0,INDEX('MTRs'!$I$6:$I$505,U682)&amp;"","")</f>
        <v/>
      </c>
      <c r="E682" s="92" t="n"/>
      <c r="F682" s="98" t="n"/>
      <c r="G682" s="91" t="n"/>
      <c r="H682" s="93" t="str">
        <f>IF(Q682=0,"",IF(NOT(ISNUMBER(F682)),"",IF(ISNUMBER(W682),F682*W682,"UNIDADE A CONFERIR")))</f>
        <v/>
      </c>
      <c r="I682" s="91" t="n"/>
      <c r="J682" s="91" t="n"/>
      <c r="K682" s="92" t="n"/>
      <c r="L682" s="91" t="n"/>
      <c r="M682" s="91" t="n"/>
      <c r="N682" s="91" t="n"/>
      <c r="O682" s="91" t="n"/>
      <c r="P682" s="94" t="str">
        <f>IF(Q682=0,"",IF(C682="","Item de resíduo não informado",IF(T682=0,"Item inexistente (referência inválida)",IF(NOT(ISNUMBER(F682)),"Quantidade não informada",IF(F682&lt;=0,"Quantidade não positiva",IF(G682="","Unidade não informada",IF(NOT(ISNUMBER(H682)),"Unidade a conferir",IF(NOT(ISNUMBER(E682)),"Data de recebimento não informada",IF(AND(ISNUMBER(V682),N(V682)&gt;0,E682&lt;N(V682)),"Data anterior à emissão do MTR",IF(AND(J682="Sim",L682="",M682=""),"Conferido sem evidência identificada",IF(J682&lt;&gt;"Sim","Aguardando conferência",IF(INDEX('ITENS_MTR'!$AM$6:$AM$1005,S682)=1,"Conferido (ver diferença no item)","Conferido"))))))))))))</f>
        <v/>
      </c>
      <c r="Q682" s="96">
        <f>IF(COUNTA(C682,E682:G682,I682:O682)&gt;0,1,0)</f>
        <v>0</v>
      </c>
      <c r="R682" s="96" t="str">
        <f>IF(C682="","",TRIM(LEFT(C682,FIND(" |",C682&amp;" |")-1)))</f>
        <v/>
      </c>
      <c r="S682" s="96" t="str">
        <f>IF(R682="","",IFERROR(MATCH(R682,'ITENS_MTR'!$A$6:$A$1005,0),""))</f>
        <v/>
      </c>
      <c r="T682" s="96">
        <f>IF(S682="",0,IF(INDEX('ITENS_MTR'!$R$6:$R$1005,S682)=1,1,0))</f>
        <v>0</v>
      </c>
      <c r="U682" s="96" t="str">
        <f>IF(T682=1,INDEX('ITENS_MTR'!$T$6:$T$1005,S682),"")</f>
        <v/>
      </c>
      <c r="V682" s="97" t="str">
        <f>IF(N(U682)&gt;0,INDEX('MTRs'!$E$6:$E$505,U682),"")</f>
        <v/>
      </c>
      <c r="W682" s="96" t="str">
        <f>IF(G682="","",IFERROR(IF(ISNUMBER(INDEX(cfg_fac,MATCH(G682,cfg_units,0))),IF(INDEX(cfg_fac,MATCH(G682,cfg_units,0))&gt;0,INDEX(cfg_fac,MATCH(G682,cfg_units,0)),""),""),""))</f>
        <v/>
      </c>
      <c r="X682" s="96">
        <f>IF(AND(ISNUMBER(F682),ISNUMBER(H682)),IF(H682&gt;0,1,0),0)</f>
        <v>0</v>
      </c>
      <c r="Y682" s="96">
        <f>IF(Q682=0,0,IF(OR(T682=0,X682=0,NOT(ISNUMBER(E682)),AND(J682="Sim",L682="",M682=""),AND(ISNUMBER(E682),ISNUMBER(V682),N(V682)&gt;0,E682&lt;N(V682))),1,0))</f>
        <v>0</v>
      </c>
      <c r="Z682" s="96">
        <f>IF(AND(Q682=1,T682=1,X682=1,J682="Sim",OR(L682&lt;&gt;"",M682&lt;&gt;"")),1,0)</f>
        <v>0</v>
      </c>
      <c r="AA682" s="96">
        <f>IF(Q682=0,0,IF(AND(OR(r_ini="",AND(ISNUMBER(E682),E682&gt;=r_ini)),OR(r_fim="",AND(ISNUMBER(E682),E682&lt;=r_fim)),OR(r_un="",r_un="(Todas)",IF(N(U682)&gt;0,INDEX('MTRs'!$G$6:$G$505,U682),"")=r_un),OR(r_de="",r_de="(Todos)",D682=r_de)),1,0))</f>
        <v>0</v>
      </c>
      <c r="AB682" s="96" t="str">
        <f>IF(AA682=1,COUNTIF($AA$6:AA682,1),"")</f>
        <v/>
      </c>
    </row>
    <row r="683">
      <c r="A683" s="89" t="inlineStr">
        <is>
          <t>REC-000678</t>
        </is>
      </c>
      <c r="B683" s="94" t="str">
        <f>IF(T683=1,INDEX('ITENS_MTR'!$S$6:$S$1005,S683)&amp;"","")</f>
        <v/>
      </c>
      <c r="C683" s="91" t="n"/>
      <c r="D683" s="94" t="str">
        <f>IF(N(U683)&gt;0,INDEX('MTRs'!$I$6:$I$505,U683)&amp;"","")</f>
        <v/>
      </c>
      <c r="E683" s="92" t="n"/>
      <c r="F683" s="98" t="n"/>
      <c r="G683" s="91" t="n"/>
      <c r="H683" s="93" t="str">
        <f>IF(Q683=0,"",IF(NOT(ISNUMBER(F683)),"",IF(ISNUMBER(W683),F683*W683,"UNIDADE A CONFERIR")))</f>
        <v/>
      </c>
      <c r="I683" s="91" t="n"/>
      <c r="J683" s="91" t="n"/>
      <c r="K683" s="92" t="n"/>
      <c r="L683" s="91" t="n"/>
      <c r="M683" s="91" t="n"/>
      <c r="N683" s="91" t="n"/>
      <c r="O683" s="91" t="n"/>
      <c r="P683" s="94" t="str">
        <f>IF(Q683=0,"",IF(C683="","Item de resíduo não informado",IF(T683=0,"Item inexistente (referência inválida)",IF(NOT(ISNUMBER(F683)),"Quantidade não informada",IF(F683&lt;=0,"Quantidade não positiva",IF(G683="","Unidade não informada",IF(NOT(ISNUMBER(H683)),"Unidade a conferir",IF(NOT(ISNUMBER(E683)),"Data de recebimento não informada",IF(AND(ISNUMBER(V683),N(V683)&gt;0,E683&lt;N(V683)),"Data anterior à emissão do MTR",IF(AND(J683="Sim",L683="",M683=""),"Conferido sem evidência identificada",IF(J683&lt;&gt;"Sim","Aguardando conferência",IF(INDEX('ITENS_MTR'!$AM$6:$AM$1005,S683)=1,"Conferido (ver diferença no item)","Conferido"))))))))))))</f>
        <v/>
      </c>
      <c r="Q683" s="96">
        <f>IF(COUNTA(C683,E683:G683,I683:O683)&gt;0,1,0)</f>
        <v>0</v>
      </c>
      <c r="R683" s="96" t="str">
        <f>IF(C683="","",TRIM(LEFT(C683,FIND(" |",C683&amp;" |")-1)))</f>
        <v/>
      </c>
      <c r="S683" s="96" t="str">
        <f>IF(R683="","",IFERROR(MATCH(R683,'ITENS_MTR'!$A$6:$A$1005,0),""))</f>
        <v/>
      </c>
      <c r="T683" s="96">
        <f>IF(S683="",0,IF(INDEX('ITENS_MTR'!$R$6:$R$1005,S683)=1,1,0))</f>
        <v>0</v>
      </c>
      <c r="U683" s="96" t="str">
        <f>IF(T683=1,INDEX('ITENS_MTR'!$T$6:$T$1005,S683),"")</f>
        <v/>
      </c>
      <c r="V683" s="97" t="str">
        <f>IF(N(U683)&gt;0,INDEX('MTRs'!$E$6:$E$505,U683),"")</f>
        <v/>
      </c>
      <c r="W683" s="96" t="str">
        <f>IF(G683="","",IFERROR(IF(ISNUMBER(INDEX(cfg_fac,MATCH(G683,cfg_units,0))),IF(INDEX(cfg_fac,MATCH(G683,cfg_units,0))&gt;0,INDEX(cfg_fac,MATCH(G683,cfg_units,0)),""),""),""))</f>
        <v/>
      </c>
      <c r="X683" s="96">
        <f>IF(AND(ISNUMBER(F683),ISNUMBER(H683)),IF(H683&gt;0,1,0),0)</f>
        <v>0</v>
      </c>
      <c r="Y683" s="96">
        <f>IF(Q683=0,0,IF(OR(T683=0,X683=0,NOT(ISNUMBER(E683)),AND(J683="Sim",L683="",M683=""),AND(ISNUMBER(E683),ISNUMBER(V683),N(V683)&gt;0,E683&lt;N(V683))),1,0))</f>
        <v>0</v>
      </c>
      <c r="Z683" s="96">
        <f>IF(AND(Q683=1,T683=1,X683=1,J683="Sim",OR(L683&lt;&gt;"",M683&lt;&gt;"")),1,0)</f>
        <v>0</v>
      </c>
      <c r="AA683" s="96">
        <f>IF(Q683=0,0,IF(AND(OR(r_ini="",AND(ISNUMBER(E683),E683&gt;=r_ini)),OR(r_fim="",AND(ISNUMBER(E683),E683&lt;=r_fim)),OR(r_un="",r_un="(Todas)",IF(N(U683)&gt;0,INDEX('MTRs'!$G$6:$G$505,U683),"")=r_un),OR(r_de="",r_de="(Todos)",D683=r_de)),1,0))</f>
        <v>0</v>
      </c>
      <c r="AB683" s="96" t="str">
        <f>IF(AA683=1,COUNTIF($AA$6:AA683,1),"")</f>
        <v/>
      </c>
    </row>
    <row r="684">
      <c r="A684" s="89" t="inlineStr">
        <is>
          <t>REC-000679</t>
        </is>
      </c>
      <c r="B684" s="94" t="str">
        <f>IF(T684=1,INDEX('ITENS_MTR'!$S$6:$S$1005,S684)&amp;"","")</f>
        <v/>
      </c>
      <c r="C684" s="91" t="n"/>
      <c r="D684" s="94" t="str">
        <f>IF(N(U684)&gt;0,INDEX('MTRs'!$I$6:$I$505,U684)&amp;"","")</f>
        <v/>
      </c>
      <c r="E684" s="92" t="n"/>
      <c r="F684" s="98" t="n"/>
      <c r="G684" s="91" t="n"/>
      <c r="H684" s="93" t="str">
        <f>IF(Q684=0,"",IF(NOT(ISNUMBER(F684)),"",IF(ISNUMBER(W684),F684*W684,"UNIDADE A CONFERIR")))</f>
        <v/>
      </c>
      <c r="I684" s="91" t="n"/>
      <c r="J684" s="91" t="n"/>
      <c r="K684" s="92" t="n"/>
      <c r="L684" s="91" t="n"/>
      <c r="M684" s="91" t="n"/>
      <c r="N684" s="91" t="n"/>
      <c r="O684" s="91" t="n"/>
      <c r="P684" s="94" t="str">
        <f>IF(Q684=0,"",IF(C684="","Item de resíduo não informado",IF(T684=0,"Item inexistente (referência inválida)",IF(NOT(ISNUMBER(F684)),"Quantidade não informada",IF(F684&lt;=0,"Quantidade não positiva",IF(G684="","Unidade não informada",IF(NOT(ISNUMBER(H684)),"Unidade a conferir",IF(NOT(ISNUMBER(E684)),"Data de recebimento não informada",IF(AND(ISNUMBER(V684),N(V684)&gt;0,E684&lt;N(V684)),"Data anterior à emissão do MTR",IF(AND(J684="Sim",L684="",M684=""),"Conferido sem evidência identificada",IF(J684&lt;&gt;"Sim","Aguardando conferência",IF(INDEX('ITENS_MTR'!$AM$6:$AM$1005,S684)=1,"Conferido (ver diferença no item)","Conferido"))))))))))))</f>
        <v/>
      </c>
      <c r="Q684" s="96">
        <f>IF(COUNTA(C684,E684:G684,I684:O684)&gt;0,1,0)</f>
        <v>0</v>
      </c>
      <c r="R684" s="96" t="str">
        <f>IF(C684="","",TRIM(LEFT(C684,FIND(" |",C684&amp;" |")-1)))</f>
        <v/>
      </c>
      <c r="S684" s="96" t="str">
        <f>IF(R684="","",IFERROR(MATCH(R684,'ITENS_MTR'!$A$6:$A$1005,0),""))</f>
        <v/>
      </c>
      <c r="T684" s="96">
        <f>IF(S684="",0,IF(INDEX('ITENS_MTR'!$R$6:$R$1005,S684)=1,1,0))</f>
        <v>0</v>
      </c>
      <c r="U684" s="96" t="str">
        <f>IF(T684=1,INDEX('ITENS_MTR'!$T$6:$T$1005,S684),"")</f>
        <v/>
      </c>
      <c r="V684" s="97" t="str">
        <f>IF(N(U684)&gt;0,INDEX('MTRs'!$E$6:$E$505,U684),"")</f>
        <v/>
      </c>
      <c r="W684" s="96" t="str">
        <f>IF(G684="","",IFERROR(IF(ISNUMBER(INDEX(cfg_fac,MATCH(G684,cfg_units,0))),IF(INDEX(cfg_fac,MATCH(G684,cfg_units,0))&gt;0,INDEX(cfg_fac,MATCH(G684,cfg_units,0)),""),""),""))</f>
        <v/>
      </c>
      <c r="X684" s="96">
        <f>IF(AND(ISNUMBER(F684),ISNUMBER(H684)),IF(H684&gt;0,1,0),0)</f>
        <v>0</v>
      </c>
      <c r="Y684" s="96">
        <f>IF(Q684=0,0,IF(OR(T684=0,X684=0,NOT(ISNUMBER(E684)),AND(J684="Sim",L684="",M684=""),AND(ISNUMBER(E684),ISNUMBER(V684),N(V684)&gt;0,E684&lt;N(V684))),1,0))</f>
        <v>0</v>
      </c>
      <c r="Z684" s="96">
        <f>IF(AND(Q684=1,T684=1,X684=1,J684="Sim",OR(L684&lt;&gt;"",M684&lt;&gt;"")),1,0)</f>
        <v>0</v>
      </c>
      <c r="AA684" s="96">
        <f>IF(Q684=0,0,IF(AND(OR(r_ini="",AND(ISNUMBER(E684),E684&gt;=r_ini)),OR(r_fim="",AND(ISNUMBER(E684),E684&lt;=r_fim)),OR(r_un="",r_un="(Todas)",IF(N(U684)&gt;0,INDEX('MTRs'!$G$6:$G$505,U684),"")=r_un),OR(r_de="",r_de="(Todos)",D684=r_de)),1,0))</f>
        <v>0</v>
      </c>
      <c r="AB684" s="96" t="str">
        <f>IF(AA684=1,COUNTIF($AA$6:AA684,1),"")</f>
        <v/>
      </c>
    </row>
    <row r="685">
      <c r="A685" s="89" t="inlineStr">
        <is>
          <t>REC-000680</t>
        </is>
      </c>
      <c r="B685" s="94" t="str">
        <f>IF(T685=1,INDEX('ITENS_MTR'!$S$6:$S$1005,S685)&amp;"","")</f>
        <v/>
      </c>
      <c r="C685" s="91" t="n"/>
      <c r="D685" s="94" t="str">
        <f>IF(N(U685)&gt;0,INDEX('MTRs'!$I$6:$I$505,U685)&amp;"","")</f>
        <v/>
      </c>
      <c r="E685" s="92" t="n"/>
      <c r="F685" s="98" t="n"/>
      <c r="G685" s="91" t="n"/>
      <c r="H685" s="93" t="str">
        <f>IF(Q685=0,"",IF(NOT(ISNUMBER(F685)),"",IF(ISNUMBER(W685),F685*W685,"UNIDADE A CONFERIR")))</f>
        <v/>
      </c>
      <c r="I685" s="91" t="n"/>
      <c r="J685" s="91" t="n"/>
      <c r="K685" s="92" t="n"/>
      <c r="L685" s="91" t="n"/>
      <c r="M685" s="91" t="n"/>
      <c r="N685" s="91" t="n"/>
      <c r="O685" s="91" t="n"/>
      <c r="P685" s="94" t="str">
        <f>IF(Q685=0,"",IF(C685="","Item de resíduo não informado",IF(T685=0,"Item inexistente (referência inválida)",IF(NOT(ISNUMBER(F685)),"Quantidade não informada",IF(F685&lt;=0,"Quantidade não positiva",IF(G685="","Unidade não informada",IF(NOT(ISNUMBER(H685)),"Unidade a conferir",IF(NOT(ISNUMBER(E685)),"Data de recebimento não informada",IF(AND(ISNUMBER(V685),N(V685)&gt;0,E685&lt;N(V685)),"Data anterior à emissão do MTR",IF(AND(J685="Sim",L685="",M685=""),"Conferido sem evidência identificada",IF(J685&lt;&gt;"Sim","Aguardando conferência",IF(INDEX('ITENS_MTR'!$AM$6:$AM$1005,S685)=1,"Conferido (ver diferença no item)","Conferido"))))))))))))</f>
        <v/>
      </c>
      <c r="Q685" s="96">
        <f>IF(COUNTA(C685,E685:G685,I685:O685)&gt;0,1,0)</f>
        <v>0</v>
      </c>
      <c r="R685" s="96" t="str">
        <f>IF(C685="","",TRIM(LEFT(C685,FIND(" |",C685&amp;" |")-1)))</f>
        <v/>
      </c>
      <c r="S685" s="96" t="str">
        <f>IF(R685="","",IFERROR(MATCH(R685,'ITENS_MTR'!$A$6:$A$1005,0),""))</f>
        <v/>
      </c>
      <c r="T685" s="96">
        <f>IF(S685="",0,IF(INDEX('ITENS_MTR'!$R$6:$R$1005,S685)=1,1,0))</f>
        <v>0</v>
      </c>
      <c r="U685" s="96" t="str">
        <f>IF(T685=1,INDEX('ITENS_MTR'!$T$6:$T$1005,S685),"")</f>
        <v/>
      </c>
      <c r="V685" s="97" t="str">
        <f>IF(N(U685)&gt;0,INDEX('MTRs'!$E$6:$E$505,U685),"")</f>
        <v/>
      </c>
      <c r="W685" s="96" t="str">
        <f>IF(G685="","",IFERROR(IF(ISNUMBER(INDEX(cfg_fac,MATCH(G685,cfg_units,0))),IF(INDEX(cfg_fac,MATCH(G685,cfg_units,0))&gt;0,INDEX(cfg_fac,MATCH(G685,cfg_units,0)),""),""),""))</f>
        <v/>
      </c>
      <c r="X685" s="96">
        <f>IF(AND(ISNUMBER(F685),ISNUMBER(H685)),IF(H685&gt;0,1,0),0)</f>
        <v>0</v>
      </c>
      <c r="Y685" s="96">
        <f>IF(Q685=0,0,IF(OR(T685=0,X685=0,NOT(ISNUMBER(E685)),AND(J685="Sim",L685="",M685=""),AND(ISNUMBER(E685),ISNUMBER(V685),N(V685)&gt;0,E685&lt;N(V685))),1,0))</f>
        <v>0</v>
      </c>
      <c r="Z685" s="96">
        <f>IF(AND(Q685=1,T685=1,X685=1,J685="Sim",OR(L685&lt;&gt;"",M685&lt;&gt;"")),1,0)</f>
        <v>0</v>
      </c>
      <c r="AA685" s="96">
        <f>IF(Q685=0,0,IF(AND(OR(r_ini="",AND(ISNUMBER(E685),E685&gt;=r_ini)),OR(r_fim="",AND(ISNUMBER(E685),E685&lt;=r_fim)),OR(r_un="",r_un="(Todas)",IF(N(U685)&gt;0,INDEX('MTRs'!$G$6:$G$505,U685),"")=r_un),OR(r_de="",r_de="(Todos)",D685=r_de)),1,0))</f>
        <v>0</v>
      </c>
      <c r="AB685" s="96" t="str">
        <f>IF(AA685=1,COUNTIF($AA$6:AA685,1),"")</f>
        <v/>
      </c>
    </row>
    <row r="686">
      <c r="A686" s="89" t="inlineStr">
        <is>
          <t>REC-000681</t>
        </is>
      </c>
      <c r="B686" s="94" t="str">
        <f>IF(T686=1,INDEX('ITENS_MTR'!$S$6:$S$1005,S686)&amp;"","")</f>
        <v/>
      </c>
      <c r="C686" s="91" t="n"/>
      <c r="D686" s="94" t="str">
        <f>IF(N(U686)&gt;0,INDEX('MTRs'!$I$6:$I$505,U686)&amp;"","")</f>
        <v/>
      </c>
      <c r="E686" s="92" t="n"/>
      <c r="F686" s="98" t="n"/>
      <c r="G686" s="91" t="n"/>
      <c r="H686" s="93" t="str">
        <f>IF(Q686=0,"",IF(NOT(ISNUMBER(F686)),"",IF(ISNUMBER(W686),F686*W686,"UNIDADE A CONFERIR")))</f>
        <v/>
      </c>
      <c r="I686" s="91" t="n"/>
      <c r="J686" s="91" t="n"/>
      <c r="K686" s="92" t="n"/>
      <c r="L686" s="91" t="n"/>
      <c r="M686" s="91" t="n"/>
      <c r="N686" s="91" t="n"/>
      <c r="O686" s="91" t="n"/>
      <c r="P686" s="94" t="str">
        <f>IF(Q686=0,"",IF(C686="","Item de resíduo não informado",IF(T686=0,"Item inexistente (referência inválida)",IF(NOT(ISNUMBER(F686)),"Quantidade não informada",IF(F686&lt;=0,"Quantidade não positiva",IF(G686="","Unidade não informada",IF(NOT(ISNUMBER(H686)),"Unidade a conferir",IF(NOT(ISNUMBER(E686)),"Data de recebimento não informada",IF(AND(ISNUMBER(V686),N(V686)&gt;0,E686&lt;N(V686)),"Data anterior à emissão do MTR",IF(AND(J686="Sim",L686="",M686=""),"Conferido sem evidência identificada",IF(J686&lt;&gt;"Sim","Aguardando conferência",IF(INDEX('ITENS_MTR'!$AM$6:$AM$1005,S686)=1,"Conferido (ver diferença no item)","Conferido"))))))))))))</f>
        <v/>
      </c>
      <c r="Q686" s="96">
        <f>IF(COUNTA(C686,E686:G686,I686:O686)&gt;0,1,0)</f>
        <v>0</v>
      </c>
      <c r="R686" s="96" t="str">
        <f>IF(C686="","",TRIM(LEFT(C686,FIND(" |",C686&amp;" |")-1)))</f>
        <v/>
      </c>
      <c r="S686" s="96" t="str">
        <f>IF(R686="","",IFERROR(MATCH(R686,'ITENS_MTR'!$A$6:$A$1005,0),""))</f>
        <v/>
      </c>
      <c r="T686" s="96">
        <f>IF(S686="",0,IF(INDEX('ITENS_MTR'!$R$6:$R$1005,S686)=1,1,0))</f>
        <v>0</v>
      </c>
      <c r="U686" s="96" t="str">
        <f>IF(T686=1,INDEX('ITENS_MTR'!$T$6:$T$1005,S686),"")</f>
        <v/>
      </c>
      <c r="V686" s="97" t="str">
        <f>IF(N(U686)&gt;0,INDEX('MTRs'!$E$6:$E$505,U686),"")</f>
        <v/>
      </c>
      <c r="W686" s="96" t="str">
        <f>IF(G686="","",IFERROR(IF(ISNUMBER(INDEX(cfg_fac,MATCH(G686,cfg_units,0))),IF(INDEX(cfg_fac,MATCH(G686,cfg_units,0))&gt;0,INDEX(cfg_fac,MATCH(G686,cfg_units,0)),""),""),""))</f>
        <v/>
      </c>
      <c r="X686" s="96">
        <f>IF(AND(ISNUMBER(F686),ISNUMBER(H686)),IF(H686&gt;0,1,0),0)</f>
        <v>0</v>
      </c>
      <c r="Y686" s="96">
        <f>IF(Q686=0,0,IF(OR(T686=0,X686=0,NOT(ISNUMBER(E686)),AND(J686="Sim",L686="",M686=""),AND(ISNUMBER(E686),ISNUMBER(V686),N(V686)&gt;0,E686&lt;N(V686))),1,0))</f>
        <v>0</v>
      </c>
      <c r="Z686" s="96">
        <f>IF(AND(Q686=1,T686=1,X686=1,J686="Sim",OR(L686&lt;&gt;"",M686&lt;&gt;"")),1,0)</f>
        <v>0</v>
      </c>
      <c r="AA686" s="96">
        <f>IF(Q686=0,0,IF(AND(OR(r_ini="",AND(ISNUMBER(E686),E686&gt;=r_ini)),OR(r_fim="",AND(ISNUMBER(E686),E686&lt;=r_fim)),OR(r_un="",r_un="(Todas)",IF(N(U686)&gt;0,INDEX('MTRs'!$G$6:$G$505,U686),"")=r_un),OR(r_de="",r_de="(Todos)",D686=r_de)),1,0))</f>
        <v>0</v>
      </c>
      <c r="AB686" s="96" t="str">
        <f>IF(AA686=1,COUNTIF($AA$6:AA686,1),"")</f>
        <v/>
      </c>
    </row>
    <row r="687">
      <c r="A687" s="89" t="inlineStr">
        <is>
          <t>REC-000682</t>
        </is>
      </c>
      <c r="B687" s="94" t="str">
        <f>IF(T687=1,INDEX('ITENS_MTR'!$S$6:$S$1005,S687)&amp;"","")</f>
        <v/>
      </c>
      <c r="C687" s="91" t="n"/>
      <c r="D687" s="94" t="str">
        <f>IF(N(U687)&gt;0,INDEX('MTRs'!$I$6:$I$505,U687)&amp;"","")</f>
        <v/>
      </c>
      <c r="E687" s="92" t="n"/>
      <c r="F687" s="98" t="n"/>
      <c r="G687" s="91" t="n"/>
      <c r="H687" s="93" t="str">
        <f>IF(Q687=0,"",IF(NOT(ISNUMBER(F687)),"",IF(ISNUMBER(W687),F687*W687,"UNIDADE A CONFERIR")))</f>
        <v/>
      </c>
      <c r="I687" s="91" t="n"/>
      <c r="J687" s="91" t="n"/>
      <c r="K687" s="92" t="n"/>
      <c r="L687" s="91" t="n"/>
      <c r="M687" s="91" t="n"/>
      <c r="N687" s="91" t="n"/>
      <c r="O687" s="91" t="n"/>
      <c r="P687" s="94" t="str">
        <f>IF(Q687=0,"",IF(C687="","Item de resíduo não informado",IF(T687=0,"Item inexistente (referência inválida)",IF(NOT(ISNUMBER(F687)),"Quantidade não informada",IF(F687&lt;=0,"Quantidade não positiva",IF(G687="","Unidade não informada",IF(NOT(ISNUMBER(H687)),"Unidade a conferir",IF(NOT(ISNUMBER(E687)),"Data de recebimento não informada",IF(AND(ISNUMBER(V687),N(V687)&gt;0,E687&lt;N(V687)),"Data anterior à emissão do MTR",IF(AND(J687="Sim",L687="",M687=""),"Conferido sem evidência identificada",IF(J687&lt;&gt;"Sim","Aguardando conferência",IF(INDEX('ITENS_MTR'!$AM$6:$AM$1005,S687)=1,"Conferido (ver diferença no item)","Conferido"))))))))))))</f>
        <v/>
      </c>
      <c r="Q687" s="96">
        <f>IF(COUNTA(C687,E687:G687,I687:O687)&gt;0,1,0)</f>
        <v>0</v>
      </c>
      <c r="R687" s="96" t="str">
        <f>IF(C687="","",TRIM(LEFT(C687,FIND(" |",C687&amp;" |")-1)))</f>
        <v/>
      </c>
      <c r="S687" s="96" t="str">
        <f>IF(R687="","",IFERROR(MATCH(R687,'ITENS_MTR'!$A$6:$A$1005,0),""))</f>
        <v/>
      </c>
      <c r="T687" s="96">
        <f>IF(S687="",0,IF(INDEX('ITENS_MTR'!$R$6:$R$1005,S687)=1,1,0))</f>
        <v>0</v>
      </c>
      <c r="U687" s="96" t="str">
        <f>IF(T687=1,INDEX('ITENS_MTR'!$T$6:$T$1005,S687),"")</f>
        <v/>
      </c>
      <c r="V687" s="97" t="str">
        <f>IF(N(U687)&gt;0,INDEX('MTRs'!$E$6:$E$505,U687),"")</f>
        <v/>
      </c>
      <c r="W687" s="96" t="str">
        <f>IF(G687="","",IFERROR(IF(ISNUMBER(INDEX(cfg_fac,MATCH(G687,cfg_units,0))),IF(INDEX(cfg_fac,MATCH(G687,cfg_units,0))&gt;0,INDEX(cfg_fac,MATCH(G687,cfg_units,0)),""),""),""))</f>
        <v/>
      </c>
      <c r="X687" s="96">
        <f>IF(AND(ISNUMBER(F687),ISNUMBER(H687)),IF(H687&gt;0,1,0),0)</f>
        <v>0</v>
      </c>
      <c r="Y687" s="96">
        <f>IF(Q687=0,0,IF(OR(T687=0,X687=0,NOT(ISNUMBER(E687)),AND(J687="Sim",L687="",M687=""),AND(ISNUMBER(E687),ISNUMBER(V687),N(V687)&gt;0,E687&lt;N(V687))),1,0))</f>
        <v>0</v>
      </c>
      <c r="Z687" s="96">
        <f>IF(AND(Q687=1,T687=1,X687=1,J687="Sim",OR(L687&lt;&gt;"",M687&lt;&gt;"")),1,0)</f>
        <v>0</v>
      </c>
      <c r="AA687" s="96">
        <f>IF(Q687=0,0,IF(AND(OR(r_ini="",AND(ISNUMBER(E687),E687&gt;=r_ini)),OR(r_fim="",AND(ISNUMBER(E687),E687&lt;=r_fim)),OR(r_un="",r_un="(Todas)",IF(N(U687)&gt;0,INDEX('MTRs'!$G$6:$G$505,U687),"")=r_un),OR(r_de="",r_de="(Todos)",D687=r_de)),1,0))</f>
        <v>0</v>
      </c>
      <c r="AB687" s="96" t="str">
        <f>IF(AA687=1,COUNTIF($AA$6:AA687,1),"")</f>
        <v/>
      </c>
    </row>
    <row r="688">
      <c r="A688" s="89" t="inlineStr">
        <is>
          <t>REC-000683</t>
        </is>
      </c>
      <c r="B688" s="94" t="str">
        <f>IF(T688=1,INDEX('ITENS_MTR'!$S$6:$S$1005,S688)&amp;"","")</f>
        <v/>
      </c>
      <c r="C688" s="91" t="n"/>
      <c r="D688" s="94" t="str">
        <f>IF(N(U688)&gt;0,INDEX('MTRs'!$I$6:$I$505,U688)&amp;"","")</f>
        <v/>
      </c>
      <c r="E688" s="92" t="n"/>
      <c r="F688" s="98" t="n"/>
      <c r="G688" s="91" t="n"/>
      <c r="H688" s="93" t="str">
        <f>IF(Q688=0,"",IF(NOT(ISNUMBER(F688)),"",IF(ISNUMBER(W688),F688*W688,"UNIDADE A CONFERIR")))</f>
        <v/>
      </c>
      <c r="I688" s="91" t="n"/>
      <c r="J688" s="91" t="n"/>
      <c r="K688" s="92" t="n"/>
      <c r="L688" s="91" t="n"/>
      <c r="M688" s="91" t="n"/>
      <c r="N688" s="91" t="n"/>
      <c r="O688" s="91" t="n"/>
      <c r="P688" s="94" t="str">
        <f>IF(Q688=0,"",IF(C688="","Item de resíduo não informado",IF(T688=0,"Item inexistente (referência inválida)",IF(NOT(ISNUMBER(F688)),"Quantidade não informada",IF(F688&lt;=0,"Quantidade não positiva",IF(G688="","Unidade não informada",IF(NOT(ISNUMBER(H688)),"Unidade a conferir",IF(NOT(ISNUMBER(E688)),"Data de recebimento não informada",IF(AND(ISNUMBER(V688),N(V688)&gt;0,E688&lt;N(V688)),"Data anterior à emissão do MTR",IF(AND(J688="Sim",L688="",M688=""),"Conferido sem evidência identificada",IF(J688&lt;&gt;"Sim","Aguardando conferência",IF(INDEX('ITENS_MTR'!$AM$6:$AM$1005,S688)=1,"Conferido (ver diferença no item)","Conferido"))))))))))))</f>
        <v/>
      </c>
      <c r="Q688" s="96">
        <f>IF(COUNTA(C688,E688:G688,I688:O688)&gt;0,1,0)</f>
        <v>0</v>
      </c>
      <c r="R688" s="96" t="str">
        <f>IF(C688="","",TRIM(LEFT(C688,FIND(" |",C688&amp;" |")-1)))</f>
        <v/>
      </c>
      <c r="S688" s="96" t="str">
        <f>IF(R688="","",IFERROR(MATCH(R688,'ITENS_MTR'!$A$6:$A$1005,0),""))</f>
        <v/>
      </c>
      <c r="T688" s="96">
        <f>IF(S688="",0,IF(INDEX('ITENS_MTR'!$R$6:$R$1005,S688)=1,1,0))</f>
        <v>0</v>
      </c>
      <c r="U688" s="96" t="str">
        <f>IF(T688=1,INDEX('ITENS_MTR'!$T$6:$T$1005,S688),"")</f>
        <v/>
      </c>
      <c r="V688" s="97" t="str">
        <f>IF(N(U688)&gt;0,INDEX('MTRs'!$E$6:$E$505,U688),"")</f>
        <v/>
      </c>
      <c r="W688" s="96" t="str">
        <f>IF(G688="","",IFERROR(IF(ISNUMBER(INDEX(cfg_fac,MATCH(G688,cfg_units,0))),IF(INDEX(cfg_fac,MATCH(G688,cfg_units,0))&gt;0,INDEX(cfg_fac,MATCH(G688,cfg_units,0)),""),""),""))</f>
        <v/>
      </c>
      <c r="X688" s="96">
        <f>IF(AND(ISNUMBER(F688),ISNUMBER(H688)),IF(H688&gt;0,1,0),0)</f>
        <v>0</v>
      </c>
      <c r="Y688" s="96">
        <f>IF(Q688=0,0,IF(OR(T688=0,X688=0,NOT(ISNUMBER(E688)),AND(J688="Sim",L688="",M688=""),AND(ISNUMBER(E688),ISNUMBER(V688),N(V688)&gt;0,E688&lt;N(V688))),1,0))</f>
        <v>0</v>
      </c>
      <c r="Z688" s="96">
        <f>IF(AND(Q688=1,T688=1,X688=1,J688="Sim",OR(L688&lt;&gt;"",M688&lt;&gt;"")),1,0)</f>
        <v>0</v>
      </c>
      <c r="AA688" s="96">
        <f>IF(Q688=0,0,IF(AND(OR(r_ini="",AND(ISNUMBER(E688),E688&gt;=r_ini)),OR(r_fim="",AND(ISNUMBER(E688),E688&lt;=r_fim)),OR(r_un="",r_un="(Todas)",IF(N(U688)&gt;0,INDEX('MTRs'!$G$6:$G$505,U688),"")=r_un),OR(r_de="",r_de="(Todos)",D688=r_de)),1,0))</f>
        <v>0</v>
      </c>
      <c r="AB688" s="96" t="str">
        <f>IF(AA688=1,COUNTIF($AA$6:AA688,1),"")</f>
        <v/>
      </c>
    </row>
    <row r="689">
      <c r="A689" s="89" t="inlineStr">
        <is>
          <t>REC-000684</t>
        </is>
      </c>
      <c r="B689" s="94" t="str">
        <f>IF(T689=1,INDEX('ITENS_MTR'!$S$6:$S$1005,S689)&amp;"","")</f>
        <v/>
      </c>
      <c r="C689" s="91" t="n"/>
      <c r="D689" s="94" t="str">
        <f>IF(N(U689)&gt;0,INDEX('MTRs'!$I$6:$I$505,U689)&amp;"","")</f>
        <v/>
      </c>
      <c r="E689" s="92" t="n"/>
      <c r="F689" s="98" t="n"/>
      <c r="G689" s="91" t="n"/>
      <c r="H689" s="93" t="str">
        <f>IF(Q689=0,"",IF(NOT(ISNUMBER(F689)),"",IF(ISNUMBER(W689),F689*W689,"UNIDADE A CONFERIR")))</f>
        <v/>
      </c>
      <c r="I689" s="91" t="n"/>
      <c r="J689" s="91" t="n"/>
      <c r="K689" s="92" t="n"/>
      <c r="L689" s="91" t="n"/>
      <c r="M689" s="91" t="n"/>
      <c r="N689" s="91" t="n"/>
      <c r="O689" s="91" t="n"/>
      <c r="P689" s="94" t="str">
        <f>IF(Q689=0,"",IF(C689="","Item de resíduo não informado",IF(T689=0,"Item inexistente (referência inválida)",IF(NOT(ISNUMBER(F689)),"Quantidade não informada",IF(F689&lt;=0,"Quantidade não positiva",IF(G689="","Unidade não informada",IF(NOT(ISNUMBER(H689)),"Unidade a conferir",IF(NOT(ISNUMBER(E689)),"Data de recebimento não informada",IF(AND(ISNUMBER(V689),N(V689)&gt;0,E689&lt;N(V689)),"Data anterior à emissão do MTR",IF(AND(J689="Sim",L689="",M689=""),"Conferido sem evidência identificada",IF(J689&lt;&gt;"Sim","Aguardando conferência",IF(INDEX('ITENS_MTR'!$AM$6:$AM$1005,S689)=1,"Conferido (ver diferença no item)","Conferido"))))))))))))</f>
        <v/>
      </c>
      <c r="Q689" s="96">
        <f>IF(COUNTA(C689,E689:G689,I689:O689)&gt;0,1,0)</f>
        <v>0</v>
      </c>
      <c r="R689" s="96" t="str">
        <f>IF(C689="","",TRIM(LEFT(C689,FIND(" |",C689&amp;" |")-1)))</f>
        <v/>
      </c>
      <c r="S689" s="96" t="str">
        <f>IF(R689="","",IFERROR(MATCH(R689,'ITENS_MTR'!$A$6:$A$1005,0),""))</f>
        <v/>
      </c>
      <c r="T689" s="96">
        <f>IF(S689="",0,IF(INDEX('ITENS_MTR'!$R$6:$R$1005,S689)=1,1,0))</f>
        <v>0</v>
      </c>
      <c r="U689" s="96" t="str">
        <f>IF(T689=1,INDEX('ITENS_MTR'!$T$6:$T$1005,S689),"")</f>
        <v/>
      </c>
      <c r="V689" s="97" t="str">
        <f>IF(N(U689)&gt;0,INDEX('MTRs'!$E$6:$E$505,U689),"")</f>
        <v/>
      </c>
      <c r="W689" s="96" t="str">
        <f>IF(G689="","",IFERROR(IF(ISNUMBER(INDEX(cfg_fac,MATCH(G689,cfg_units,0))),IF(INDEX(cfg_fac,MATCH(G689,cfg_units,0))&gt;0,INDEX(cfg_fac,MATCH(G689,cfg_units,0)),""),""),""))</f>
        <v/>
      </c>
      <c r="X689" s="96">
        <f>IF(AND(ISNUMBER(F689),ISNUMBER(H689)),IF(H689&gt;0,1,0),0)</f>
        <v>0</v>
      </c>
      <c r="Y689" s="96">
        <f>IF(Q689=0,0,IF(OR(T689=0,X689=0,NOT(ISNUMBER(E689)),AND(J689="Sim",L689="",M689=""),AND(ISNUMBER(E689),ISNUMBER(V689),N(V689)&gt;0,E689&lt;N(V689))),1,0))</f>
        <v>0</v>
      </c>
      <c r="Z689" s="96">
        <f>IF(AND(Q689=1,T689=1,X689=1,J689="Sim",OR(L689&lt;&gt;"",M689&lt;&gt;"")),1,0)</f>
        <v>0</v>
      </c>
      <c r="AA689" s="96">
        <f>IF(Q689=0,0,IF(AND(OR(r_ini="",AND(ISNUMBER(E689),E689&gt;=r_ini)),OR(r_fim="",AND(ISNUMBER(E689),E689&lt;=r_fim)),OR(r_un="",r_un="(Todas)",IF(N(U689)&gt;0,INDEX('MTRs'!$G$6:$G$505,U689),"")=r_un),OR(r_de="",r_de="(Todos)",D689=r_de)),1,0))</f>
        <v>0</v>
      </c>
      <c r="AB689" s="96" t="str">
        <f>IF(AA689=1,COUNTIF($AA$6:AA689,1),"")</f>
        <v/>
      </c>
    </row>
    <row r="690">
      <c r="A690" s="89" t="inlineStr">
        <is>
          <t>REC-000685</t>
        </is>
      </c>
      <c r="B690" s="94" t="str">
        <f>IF(T690=1,INDEX('ITENS_MTR'!$S$6:$S$1005,S690)&amp;"","")</f>
        <v/>
      </c>
      <c r="C690" s="91" t="n"/>
      <c r="D690" s="94" t="str">
        <f>IF(N(U690)&gt;0,INDEX('MTRs'!$I$6:$I$505,U690)&amp;"","")</f>
        <v/>
      </c>
      <c r="E690" s="92" t="n"/>
      <c r="F690" s="98" t="n"/>
      <c r="G690" s="91" t="n"/>
      <c r="H690" s="93" t="str">
        <f>IF(Q690=0,"",IF(NOT(ISNUMBER(F690)),"",IF(ISNUMBER(W690),F690*W690,"UNIDADE A CONFERIR")))</f>
        <v/>
      </c>
      <c r="I690" s="91" t="n"/>
      <c r="J690" s="91" t="n"/>
      <c r="K690" s="92" t="n"/>
      <c r="L690" s="91" t="n"/>
      <c r="M690" s="91" t="n"/>
      <c r="N690" s="91" t="n"/>
      <c r="O690" s="91" t="n"/>
      <c r="P690" s="94" t="str">
        <f>IF(Q690=0,"",IF(C690="","Item de resíduo não informado",IF(T690=0,"Item inexistente (referência inválida)",IF(NOT(ISNUMBER(F690)),"Quantidade não informada",IF(F690&lt;=0,"Quantidade não positiva",IF(G690="","Unidade não informada",IF(NOT(ISNUMBER(H690)),"Unidade a conferir",IF(NOT(ISNUMBER(E690)),"Data de recebimento não informada",IF(AND(ISNUMBER(V690),N(V690)&gt;0,E690&lt;N(V690)),"Data anterior à emissão do MTR",IF(AND(J690="Sim",L690="",M690=""),"Conferido sem evidência identificada",IF(J690&lt;&gt;"Sim","Aguardando conferência",IF(INDEX('ITENS_MTR'!$AM$6:$AM$1005,S690)=1,"Conferido (ver diferença no item)","Conferido"))))))))))))</f>
        <v/>
      </c>
      <c r="Q690" s="96">
        <f>IF(COUNTA(C690,E690:G690,I690:O690)&gt;0,1,0)</f>
        <v>0</v>
      </c>
      <c r="R690" s="96" t="str">
        <f>IF(C690="","",TRIM(LEFT(C690,FIND(" |",C690&amp;" |")-1)))</f>
        <v/>
      </c>
      <c r="S690" s="96" t="str">
        <f>IF(R690="","",IFERROR(MATCH(R690,'ITENS_MTR'!$A$6:$A$1005,0),""))</f>
        <v/>
      </c>
      <c r="T690" s="96">
        <f>IF(S690="",0,IF(INDEX('ITENS_MTR'!$R$6:$R$1005,S690)=1,1,0))</f>
        <v>0</v>
      </c>
      <c r="U690" s="96" t="str">
        <f>IF(T690=1,INDEX('ITENS_MTR'!$T$6:$T$1005,S690),"")</f>
        <v/>
      </c>
      <c r="V690" s="97" t="str">
        <f>IF(N(U690)&gt;0,INDEX('MTRs'!$E$6:$E$505,U690),"")</f>
        <v/>
      </c>
      <c r="W690" s="96" t="str">
        <f>IF(G690="","",IFERROR(IF(ISNUMBER(INDEX(cfg_fac,MATCH(G690,cfg_units,0))),IF(INDEX(cfg_fac,MATCH(G690,cfg_units,0))&gt;0,INDEX(cfg_fac,MATCH(G690,cfg_units,0)),""),""),""))</f>
        <v/>
      </c>
      <c r="X690" s="96">
        <f>IF(AND(ISNUMBER(F690),ISNUMBER(H690)),IF(H690&gt;0,1,0),0)</f>
        <v>0</v>
      </c>
      <c r="Y690" s="96">
        <f>IF(Q690=0,0,IF(OR(T690=0,X690=0,NOT(ISNUMBER(E690)),AND(J690="Sim",L690="",M690=""),AND(ISNUMBER(E690),ISNUMBER(V690),N(V690)&gt;0,E690&lt;N(V690))),1,0))</f>
        <v>0</v>
      </c>
      <c r="Z690" s="96">
        <f>IF(AND(Q690=1,T690=1,X690=1,J690="Sim",OR(L690&lt;&gt;"",M690&lt;&gt;"")),1,0)</f>
        <v>0</v>
      </c>
      <c r="AA690" s="96">
        <f>IF(Q690=0,0,IF(AND(OR(r_ini="",AND(ISNUMBER(E690),E690&gt;=r_ini)),OR(r_fim="",AND(ISNUMBER(E690),E690&lt;=r_fim)),OR(r_un="",r_un="(Todas)",IF(N(U690)&gt;0,INDEX('MTRs'!$G$6:$G$505,U690),"")=r_un),OR(r_de="",r_de="(Todos)",D690=r_de)),1,0))</f>
        <v>0</v>
      </c>
      <c r="AB690" s="96" t="str">
        <f>IF(AA690=1,COUNTIF($AA$6:AA690,1),"")</f>
        <v/>
      </c>
    </row>
    <row r="691">
      <c r="A691" s="89" t="inlineStr">
        <is>
          <t>REC-000686</t>
        </is>
      </c>
      <c r="B691" s="94" t="str">
        <f>IF(T691=1,INDEX('ITENS_MTR'!$S$6:$S$1005,S691)&amp;"","")</f>
        <v/>
      </c>
      <c r="C691" s="91" t="n"/>
      <c r="D691" s="94" t="str">
        <f>IF(N(U691)&gt;0,INDEX('MTRs'!$I$6:$I$505,U691)&amp;"","")</f>
        <v/>
      </c>
      <c r="E691" s="92" t="n"/>
      <c r="F691" s="98" t="n"/>
      <c r="G691" s="91" t="n"/>
      <c r="H691" s="93" t="str">
        <f>IF(Q691=0,"",IF(NOT(ISNUMBER(F691)),"",IF(ISNUMBER(W691),F691*W691,"UNIDADE A CONFERIR")))</f>
        <v/>
      </c>
      <c r="I691" s="91" t="n"/>
      <c r="J691" s="91" t="n"/>
      <c r="K691" s="92" t="n"/>
      <c r="L691" s="91" t="n"/>
      <c r="M691" s="91" t="n"/>
      <c r="N691" s="91" t="n"/>
      <c r="O691" s="91" t="n"/>
      <c r="P691" s="94" t="str">
        <f>IF(Q691=0,"",IF(C691="","Item de resíduo não informado",IF(T691=0,"Item inexistente (referência inválida)",IF(NOT(ISNUMBER(F691)),"Quantidade não informada",IF(F691&lt;=0,"Quantidade não positiva",IF(G691="","Unidade não informada",IF(NOT(ISNUMBER(H691)),"Unidade a conferir",IF(NOT(ISNUMBER(E691)),"Data de recebimento não informada",IF(AND(ISNUMBER(V691),N(V691)&gt;0,E691&lt;N(V691)),"Data anterior à emissão do MTR",IF(AND(J691="Sim",L691="",M691=""),"Conferido sem evidência identificada",IF(J691&lt;&gt;"Sim","Aguardando conferência",IF(INDEX('ITENS_MTR'!$AM$6:$AM$1005,S691)=1,"Conferido (ver diferença no item)","Conferido"))))))))))))</f>
        <v/>
      </c>
      <c r="Q691" s="96">
        <f>IF(COUNTA(C691,E691:G691,I691:O691)&gt;0,1,0)</f>
        <v>0</v>
      </c>
      <c r="R691" s="96" t="str">
        <f>IF(C691="","",TRIM(LEFT(C691,FIND(" |",C691&amp;" |")-1)))</f>
        <v/>
      </c>
      <c r="S691" s="96" t="str">
        <f>IF(R691="","",IFERROR(MATCH(R691,'ITENS_MTR'!$A$6:$A$1005,0),""))</f>
        <v/>
      </c>
      <c r="T691" s="96">
        <f>IF(S691="",0,IF(INDEX('ITENS_MTR'!$R$6:$R$1005,S691)=1,1,0))</f>
        <v>0</v>
      </c>
      <c r="U691" s="96" t="str">
        <f>IF(T691=1,INDEX('ITENS_MTR'!$T$6:$T$1005,S691),"")</f>
        <v/>
      </c>
      <c r="V691" s="97" t="str">
        <f>IF(N(U691)&gt;0,INDEX('MTRs'!$E$6:$E$505,U691),"")</f>
        <v/>
      </c>
      <c r="W691" s="96" t="str">
        <f>IF(G691="","",IFERROR(IF(ISNUMBER(INDEX(cfg_fac,MATCH(G691,cfg_units,0))),IF(INDEX(cfg_fac,MATCH(G691,cfg_units,0))&gt;0,INDEX(cfg_fac,MATCH(G691,cfg_units,0)),""),""),""))</f>
        <v/>
      </c>
      <c r="X691" s="96">
        <f>IF(AND(ISNUMBER(F691),ISNUMBER(H691)),IF(H691&gt;0,1,0),0)</f>
        <v>0</v>
      </c>
      <c r="Y691" s="96">
        <f>IF(Q691=0,0,IF(OR(T691=0,X691=0,NOT(ISNUMBER(E691)),AND(J691="Sim",L691="",M691=""),AND(ISNUMBER(E691),ISNUMBER(V691),N(V691)&gt;0,E691&lt;N(V691))),1,0))</f>
        <v>0</v>
      </c>
      <c r="Z691" s="96">
        <f>IF(AND(Q691=1,T691=1,X691=1,J691="Sim",OR(L691&lt;&gt;"",M691&lt;&gt;"")),1,0)</f>
        <v>0</v>
      </c>
      <c r="AA691" s="96">
        <f>IF(Q691=0,0,IF(AND(OR(r_ini="",AND(ISNUMBER(E691),E691&gt;=r_ini)),OR(r_fim="",AND(ISNUMBER(E691),E691&lt;=r_fim)),OR(r_un="",r_un="(Todas)",IF(N(U691)&gt;0,INDEX('MTRs'!$G$6:$G$505,U691),"")=r_un),OR(r_de="",r_de="(Todos)",D691=r_de)),1,0))</f>
        <v>0</v>
      </c>
      <c r="AB691" s="96" t="str">
        <f>IF(AA691=1,COUNTIF($AA$6:AA691,1),"")</f>
        <v/>
      </c>
    </row>
    <row r="692">
      <c r="A692" s="89" t="inlineStr">
        <is>
          <t>REC-000687</t>
        </is>
      </c>
      <c r="B692" s="94" t="str">
        <f>IF(T692=1,INDEX('ITENS_MTR'!$S$6:$S$1005,S692)&amp;"","")</f>
        <v/>
      </c>
      <c r="C692" s="91" t="n"/>
      <c r="D692" s="94" t="str">
        <f>IF(N(U692)&gt;0,INDEX('MTRs'!$I$6:$I$505,U692)&amp;"","")</f>
        <v/>
      </c>
      <c r="E692" s="92" t="n"/>
      <c r="F692" s="98" t="n"/>
      <c r="G692" s="91" t="n"/>
      <c r="H692" s="93" t="str">
        <f>IF(Q692=0,"",IF(NOT(ISNUMBER(F692)),"",IF(ISNUMBER(W692),F692*W692,"UNIDADE A CONFERIR")))</f>
        <v/>
      </c>
      <c r="I692" s="91" t="n"/>
      <c r="J692" s="91" t="n"/>
      <c r="K692" s="92" t="n"/>
      <c r="L692" s="91" t="n"/>
      <c r="M692" s="91" t="n"/>
      <c r="N692" s="91" t="n"/>
      <c r="O692" s="91" t="n"/>
      <c r="P692" s="94" t="str">
        <f>IF(Q692=0,"",IF(C692="","Item de resíduo não informado",IF(T692=0,"Item inexistente (referência inválida)",IF(NOT(ISNUMBER(F692)),"Quantidade não informada",IF(F692&lt;=0,"Quantidade não positiva",IF(G692="","Unidade não informada",IF(NOT(ISNUMBER(H692)),"Unidade a conferir",IF(NOT(ISNUMBER(E692)),"Data de recebimento não informada",IF(AND(ISNUMBER(V692),N(V692)&gt;0,E692&lt;N(V692)),"Data anterior à emissão do MTR",IF(AND(J692="Sim",L692="",M692=""),"Conferido sem evidência identificada",IF(J692&lt;&gt;"Sim","Aguardando conferência",IF(INDEX('ITENS_MTR'!$AM$6:$AM$1005,S692)=1,"Conferido (ver diferença no item)","Conferido"))))))))))))</f>
        <v/>
      </c>
      <c r="Q692" s="96">
        <f>IF(COUNTA(C692,E692:G692,I692:O692)&gt;0,1,0)</f>
        <v>0</v>
      </c>
      <c r="R692" s="96" t="str">
        <f>IF(C692="","",TRIM(LEFT(C692,FIND(" |",C692&amp;" |")-1)))</f>
        <v/>
      </c>
      <c r="S692" s="96" t="str">
        <f>IF(R692="","",IFERROR(MATCH(R692,'ITENS_MTR'!$A$6:$A$1005,0),""))</f>
        <v/>
      </c>
      <c r="T692" s="96">
        <f>IF(S692="",0,IF(INDEX('ITENS_MTR'!$R$6:$R$1005,S692)=1,1,0))</f>
        <v>0</v>
      </c>
      <c r="U692" s="96" t="str">
        <f>IF(T692=1,INDEX('ITENS_MTR'!$T$6:$T$1005,S692),"")</f>
        <v/>
      </c>
      <c r="V692" s="97" t="str">
        <f>IF(N(U692)&gt;0,INDEX('MTRs'!$E$6:$E$505,U692),"")</f>
        <v/>
      </c>
      <c r="W692" s="96" t="str">
        <f>IF(G692="","",IFERROR(IF(ISNUMBER(INDEX(cfg_fac,MATCH(G692,cfg_units,0))),IF(INDEX(cfg_fac,MATCH(G692,cfg_units,0))&gt;0,INDEX(cfg_fac,MATCH(G692,cfg_units,0)),""),""),""))</f>
        <v/>
      </c>
      <c r="X692" s="96">
        <f>IF(AND(ISNUMBER(F692),ISNUMBER(H692)),IF(H692&gt;0,1,0),0)</f>
        <v>0</v>
      </c>
      <c r="Y692" s="96">
        <f>IF(Q692=0,0,IF(OR(T692=0,X692=0,NOT(ISNUMBER(E692)),AND(J692="Sim",L692="",M692=""),AND(ISNUMBER(E692),ISNUMBER(V692),N(V692)&gt;0,E692&lt;N(V692))),1,0))</f>
        <v>0</v>
      </c>
      <c r="Z692" s="96">
        <f>IF(AND(Q692=1,T692=1,X692=1,J692="Sim",OR(L692&lt;&gt;"",M692&lt;&gt;"")),1,0)</f>
        <v>0</v>
      </c>
      <c r="AA692" s="96">
        <f>IF(Q692=0,0,IF(AND(OR(r_ini="",AND(ISNUMBER(E692),E692&gt;=r_ini)),OR(r_fim="",AND(ISNUMBER(E692),E692&lt;=r_fim)),OR(r_un="",r_un="(Todas)",IF(N(U692)&gt;0,INDEX('MTRs'!$G$6:$G$505,U692),"")=r_un),OR(r_de="",r_de="(Todos)",D692=r_de)),1,0))</f>
        <v>0</v>
      </c>
      <c r="AB692" s="96" t="str">
        <f>IF(AA692=1,COUNTIF($AA$6:AA692,1),"")</f>
        <v/>
      </c>
    </row>
    <row r="693">
      <c r="A693" s="89" t="inlineStr">
        <is>
          <t>REC-000688</t>
        </is>
      </c>
      <c r="B693" s="94" t="str">
        <f>IF(T693=1,INDEX('ITENS_MTR'!$S$6:$S$1005,S693)&amp;"","")</f>
        <v/>
      </c>
      <c r="C693" s="91" t="n"/>
      <c r="D693" s="94" t="str">
        <f>IF(N(U693)&gt;0,INDEX('MTRs'!$I$6:$I$505,U693)&amp;"","")</f>
        <v/>
      </c>
      <c r="E693" s="92" t="n"/>
      <c r="F693" s="98" t="n"/>
      <c r="G693" s="91" t="n"/>
      <c r="H693" s="93" t="str">
        <f>IF(Q693=0,"",IF(NOT(ISNUMBER(F693)),"",IF(ISNUMBER(W693),F693*W693,"UNIDADE A CONFERIR")))</f>
        <v/>
      </c>
      <c r="I693" s="91" t="n"/>
      <c r="J693" s="91" t="n"/>
      <c r="K693" s="92" t="n"/>
      <c r="L693" s="91" t="n"/>
      <c r="M693" s="91" t="n"/>
      <c r="N693" s="91" t="n"/>
      <c r="O693" s="91" t="n"/>
      <c r="P693" s="94" t="str">
        <f>IF(Q693=0,"",IF(C693="","Item de resíduo não informado",IF(T693=0,"Item inexistente (referência inválida)",IF(NOT(ISNUMBER(F693)),"Quantidade não informada",IF(F693&lt;=0,"Quantidade não positiva",IF(G693="","Unidade não informada",IF(NOT(ISNUMBER(H693)),"Unidade a conferir",IF(NOT(ISNUMBER(E693)),"Data de recebimento não informada",IF(AND(ISNUMBER(V693),N(V693)&gt;0,E693&lt;N(V693)),"Data anterior à emissão do MTR",IF(AND(J693="Sim",L693="",M693=""),"Conferido sem evidência identificada",IF(J693&lt;&gt;"Sim","Aguardando conferência",IF(INDEX('ITENS_MTR'!$AM$6:$AM$1005,S693)=1,"Conferido (ver diferença no item)","Conferido"))))))))))))</f>
        <v/>
      </c>
      <c r="Q693" s="96">
        <f>IF(COUNTA(C693,E693:G693,I693:O693)&gt;0,1,0)</f>
        <v>0</v>
      </c>
      <c r="R693" s="96" t="str">
        <f>IF(C693="","",TRIM(LEFT(C693,FIND(" |",C693&amp;" |")-1)))</f>
        <v/>
      </c>
      <c r="S693" s="96" t="str">
        <f>IF(R693="","",IFERROR(MATCH(R693,'ITENS_MTR'!$A$6:$A$1005,0),""))</f>
        <v/>
      </c>
      <c r="T693" s="96">
        <f>IF(S693="",0,IF(INDEX('ITENS_MTR'!$R$6:$R$1005,S693)=1,1,0))</f>
        <v>0</v>
      </c>
      <c r="U693" s="96" t="str">
        <f>IF(T693=1,INDEX('ITENS_MTR'!$T$6:$T$1005,S693),"")</f>
        <v/>
      </c>
      <c r="V693" s="97" t="str">
        <f>IF(N(U693)&gt;0,INDEX('MTRs'!$E$6:$E$505,U693),"")</f>
        <v/>
      </c>
      <c r="W693" s="96" t="str">
        <f>IF(G693="","",IFERROR(IF(ISNUMBER(INDEX(cfg_fac,MATCH(G693,cfg_units,0))),IF(INDEX(cfg_fac,MATCH(G693,cfg_units,0))&gt;0,INDEX(cfg_fac,MATCH(G693,cfg_units,0)),""),""),""))</f>
        <v/>
      </c>
      <c r="X693" s="96">
        <f>IF(AND(ISNUMBER(F693),ISNUMBER(H693)),IF(H693&gt;0,1,0),0)</f>
        <v>0</v>
      </c>
      <c r="Y693" s="96">
        <f>IF(Q693=0,0,IF(OR(T693=0,X693=0,NOT(ISNUMBER(E693)),AND(J693="Sim",L693="",M693=""),AND(ISNUMBER(E693),ISNUMBER(V693),N(V693)&gt;0,E693&lt;N(V693))),1,0))</f>
        <v>0</v>
      </c>
      <c r="Z693" s="96">
        <f>IF(AND(Q693=1,T693=1,X693=1,J693="Sim",OR(L693&lt;&gt;"",M693&lt;&gt;"")),1,0)</f>
        <v>0</v>
      </c>
      <c r="AA693" s="96">
        <f>IF(Q693=0,0,IF(AND(OR(r_ini="",AND(ISNUMBER(E693),E693&gt;=r_ini)),OR(r_fim="",AND(ISNUMBER(E693),E693&lt;=r_fim)),OR(r_un="",r_un="(Todas)",IF(N(U693)&gt;0,INDEX('MTRs'!$G$6:$G$505,U693),"")=r_un),OR(r_de="",r_de="(Todos)",D693=r_de)),1,0))</f>
        <v>0</v>
      </c>
      <c r="AB693" s="96" t="str">
        <f>IF(AA693=1,COUNTIF($AA$6:AA693,1),"")</f>
        <v/>
      </c>
    </row>
    <row r="694">
      <c r="A694" s="89" t="inlineStr">
        <is>
          <t>REC-000689</t>
        </is>
      </c>
      <c r="B694" s="94" t="str">
        <f>IF(T694=1,INDEX('ITENS_MTR'!$S$6:$S$1005,S694)&amp;"","")</f>
        <v/>
      </c>
      <c r="C694" s="91" t="n"/>
      <c r="D694" s="94" t="str">
        <f>IF(N(U694)&gt;0,INDEX('MTRs'!$I$6:$I$505,U694)&amp;"","")</f>
        <v/>
      </c>
      <c r="E694" s="92" t="n"/>
      <c r="F694" s="98" t="n"/>
      <c r="G694" s="91" t="n"/>
      <c r="H694" s="93" t="str">
        <f>IF(Q694=0,"",IF(NOT(ISNUMBER(F694)),"",IF(ISNUMBER(W694),F694*W694,"UNIDADE A CONFERIR")))</f>
        <v/>
      </c>
      <c r="I694" s="91" t="n"/>
      <c r="J694" s="91" t="n"/>
      <c r="K694" s="92" t="n"/>
      <c r="L694" s="91" t="n"/>
      <c r="M694" s="91" t="n"/>
      <c r="N694" s="91" t="n"/>
      <c r="O694" s="91" t="n"/>
      <c r="P694" s="94" t="str">
        <f>IF(Q694=0,"",IF(C694="","Item de resíduo não informado",IF(T694=0,"Item inexistente (referência inválida)",IF(NOT(ISNUMBER(F694)),"Quantidade não informada",IF(F694&lt;=0,"Quantidade não positiva",IF(G694="","Unidade não informada",IF(NOT(ISNUMBER(H694)),"Unidade a conferir",IF(NOT(ISNUMBER(E694)),"Data de recebimento não informada",IF(AND(ISNUMBER(V694),N(V694)&gt;0,E694&lt;N(V694)),"Data anterior à emissão do MTR",IF(AND(J694="Sim",L694="",M694=""),"Conferido sem evidência identificada",IF(J694&lt;&gt;"Sim","Aguardando conferência",IF(INDEX('ITENS_MTR'!$AM$6:$AM$1005,S694)=1,"Conferido (ver diferença no item)","Conferido"))))))))))))</f>
        <v/>
      </c>
      <c r="Q694" s="96">
        <f>IF(COUNTA(C694,E694:G694,I694:O694)&gt;0,1,0)</f>
        <v>0</v>
      </c>
      <c r="R694" s="96" t="str">
        <f>IF(C694="","",TRIM(LEFT(C694,FIND(" |",C694&amp;" |")-1)))</f>
        <v/>
      </c>
      <c r="S694" s="96" t="str">
        <f>IF(R694="","",IFERROR(MATCH(R694,'ITENS_MTR'!$A$6:$A$1005,0),""))</f>
        <v/>
      </c>
      <c r="T694" s="96">
        <f>IF(S694="",0,IF(INDEX('ITENS_MTR'!$R$6:$R$1005,S694)=1,1,0))</f>
        <v>0</v>
      </c>
      <c r="U694" s="96" t="str">
        <f>IF(T694=1,INDEX('ITENS_MTR'!$T$6:$T$1005,S694),"")</f>
        <v/>
      </c>
      <c r="V694" s="97" t="str">
        <f>IF(N(U694)&gt;0,INDEX('MTRs'!$E$6:$E$505,U694),"")</f>
        <v/>
      </c>
      <c r="W694" s="96" t="str">
        <f>IF(G694="","",IFERROR(IF(ISNUMBER(INDEX(cfg_fac,MATCH(G694,cfg_units,0))),IF(INDEX(cfg_fac,MATCH(G694,cfg_units,0))&gt;0,INDEX(cfg_fac,MATCH(G694,cfg_units,0)),""),""),""))</f>
        <v/>
      </c>
      <c r="X694" s="96">
        <f>IF(AND(ISNUMBER(F694),ISNUMBER(H694)),IF(H694&gt;0,1,0),0)</f>
        <v>0</v>
      </c>
      <c r="Y694" s="96">
        <f>IF(Q694=0,0,IF(OR(T694=0,X694=0,NOT(ISNUMBER(E694)),AND(J694="Sim",L694="",M694=""),AND(ISNUMBER(E694),ISNUMBER(V694),N(V694)&gt;0,E694&lt;N(V694))),1,0))</f>
        <v>0</v>
      </c>
      <c r="Z694" s="96">
        <f>IF(AND(Q694=1,T694=1,X694=1,J694="Sim",OR(L694&lt;&gt;"",M694&lt;&gt;"")),1,0)</f>
        <v>0</v>
      </c>
      <c r="AA694" s="96">
        <f>IF(Q694=0,0,IF(AND(OR(r_ini="",AND(ISNUMBER(E694),E694&gt;=r_ini)),OR(r_fim="",AND(ISNUMBER(E694),E694&lt;=r_fim)),OR(r_un="",r_un="(Todas)",IF(N(U694)&gt;0,INDEX('MTRs'!$G$6:$G$505,U694),"")=r_un),OR(r_de="",r_de="(Todos)",D694=r_de)),1,0))</f>
        <v>0</v>
      </c>
      <c r="AB694" s="96" t="str">
        <f>IF(AA694=1,COUNTIF($AA$6:AA694,1),"")</f>
        <v/>
      </c>
    </row>
    <row r="695">
      <c r="A695" s="89" t="inlineStr">
        <is>
          <t>REC-000690</t>
        </is>
      </c>
      <c r="B695" s="94" t="str">
        <f>IF(T695=1,INDEX('ITENS_MTR'!$S$6:$S$1005,S695)&amp;"","")</f>
        <v/>
      </c>
      <c r="C695" s="91" t="n"/>
      <c r="D695" s="94" t="str">
        <f>IF(N(U695)&gt;0,INDEX('MTRs'!$I$6:$I$505,U695)&amp;"","")</f>
        <v/>
      </c>
      <c r="E695" s="92" t="n"/>
      <c r="F695" s="98" t="n"/>
      <c r="G695" s="91" t="n"/>
      <c r="H695" s="93" t="str">
        <f>IF(Q695=0,"",IF(NOT(ISNUMBER(F695)),"",IF(ISNUMBER(W695),F695*W695,"UNIDADE A CONFERIR")))</f>
        <v/>
      </c>
      <c r="I695" s="91" t="n"/>
      <c r="J695" s="91" t="n"/>
      <c r="K695" s="92" t="n"/>
      <c r="L695" s="91" t="n"/>
      <c r="M695" s="91" t="n"/>
      <c r="N695" s="91" t="n"/>
      <c r="O695" s="91" t="n"/>
      <c r="P695" s="94" t="str">
        <f>IF(Q695=0,"",IF(C695="","Item de resíduo não informado",IF(T695=0,"Item inexistente (referência inválida)",IF(NOT(ISNUMBER(F695)),"Quantidade não informada",IF(F695&lt;=0,"Quantidade não positiva",IF(G695="","Unidade não informada",IF(NOT(ISNUMBER(H695)),"Unidade a conferir",IF(NOT(ISNUMBER(E695)),"Data de recebimento não informada",IF(AND(ISNUMBER(V695),N(V695)&gt;0,E695&lt;N(V695)),"Data anterior à emissão do MTR",IF(AND(J695="Sim",L695="",M695=""),"Conferido sem evidência identificada",IF(J695&lt;&gt;"Sim","Aguardando conferência",IF(INDEX('ITENS_MTR'!$AM$6:$AM$1005,S695)=1,"Conferido (ver diferença no item)","Conferido"))))))))))))</f>
        <v/>
      </c>
      <c r="Q695" s="96">
        <f>IF(COUNTA(C695,E695:G695,I695:O695)&gt;0,1,0)</f>
        <v>0</v>
      </c>
      <c r="R695" s="96" t="str">
        <f>IF(C695="","",TRIM(LEFT(C695,FIND(" |",C695&amp;" |")-1)))</f>
        <v/>
      </c>
      <c r="S695" s="96" t="str">
        <f>IF(R695="","",IFERROR(MATCH(R695,'ITENS_MTR'!$A$6:$A$1005,0),""))</f>
        <v/>
      </c>
      <c r="T695" s="96">
        <f>IF(S695="",0,IF(INDEX('ITENS_MTR'!$R$6:$R$1005,S695)=1,1,0))</f>
        <v>0</v>
      </c>
      <c r="U695" s="96" t="str">
        <f>IF(T695=1,INDEX('ITENS_MTR'!$T$6:$T$1005,S695),"")</f>
        <v/>
      </c>
      <c r="V695" s="97" t="str">
        <f>IF(N(U695)&gt;0,INDEX('MTRs'!$E$6:$E$505,U695),"")</f>
        <v/>
      </c>
      <c r="W695" s="96" t="str">
        <f>IF(G695="","",IFERROR(IF(ISNUMBER(INDEX(cfg_fac,MATCH(G695,cfg_units,0))),IF(INDEX(cfg_fac,MATCH(G695,cfg_units,0))&gt;0,INDEX(cfg_fac,MATCH(G695,cfg_units,0)),""),""),""))</f>
        <v/>
      </c>
      <c r="X695" s="96">
        <f>IF(AND(ISNUMBER(F695),ISNUMBER(H695)),IF(H695&gt;0,1,0),0)</f>
        <v>0</v>
      </c>
      <c r="Y695" s="96">
        <f>IF(Q695=0,0,IF(OR(T695=0,X695=0,NOT(ISNUMBER(E695)),AND(J695="Sim",L695="",M695=""),AND(ISNUMBER(E695),ISNUMBER(V695),N(V695)&gt;0,E695&lt;N(V695))),1,0))</f>
        <v>0</v>
      </c>
      <c r="Z695" s="96">
        <f>IF(AND(Q695=1,T695=1,X695=1,J695="Sim",OR(L695&lt;&gt;"",M695&lt;&gt;"")),1,0)</f>
        <v>0</v>
      </c>
      <c r="AA695" s="96">
        <f>IF(Q695=0,0,IF(AND(OR(r_ini="",AND(ISNUMBER(E695),E695&gt;=r_ini)),OR(r_fim="",AND(ISNUMBER(E695),E695&lt;=r_fim)),OR(r_un="",r_un="(Todas)",IF(N(U695)&gt;0,INDEX('MTRs'!$G$6:$G$505,U695),"")=r_un),OR(r_de="",r_de="(Todos)",D695=r_de)),1,0))</f>
        <v>0</v>
      </c>
      <c r="AB695" s="96" t="str">
        <f>IF(AA695=1,COUNTIF($AA$6:AA695,1),"")</f>
        <v/>
      </c>
    </row>
    <row r="696">
      <c r="A696" s="89" t="inlineStr">
        <is>
          <t>REC-000691</t>
        </is>
      </c>
      <c r="B696" s="94" t="str">
        <f>IF(T696=1,INDEX('ITENS_MTR'!$S$6:$S$1005,S696)&amp;"","")</f>
        <v/>
      </c>
      <c r="C696" s="91" t="n"/>
      <c r="D696" s="94" t="str">
        <f>IF(N(U696)&gt;0,INDEX('MTRs'!$I$6:$I$505,U696)&amp;"","")</f>
        <v/>
      </c>
      <c r="E696" s="92" t="n"/>
      <c r="F696" s="98" t="n"/>
      <c r="G696" s="91" t="n"/>
      <c r="H696" s="93" t="str">
        <f>IF(Q696=0,"",IF(NOT(ISNUMBER(F696)),"",IF(ISNUMBER(W696),F696*W696,"UNIDADE A CONFERIR")))</f>
        <v/>
      </c>
      <c r="I696" s="91" t="n"/>
      <c r="J696" s="91" t="n"/>
      <c r="K696" s="92" t="n"/>
      <c r="L696" s="91" t="n"/>
      <c r="M696" s="91" t="n"/>
      <c r="N696" s="91" t="n"/>
      <c r="O696" s="91" t="n"/>
      <c r="P696" s="94" t="str">
        <f>IF(Q696=0,"",IF(C696="","Item de resíduo não informado",IF(T696=0,"Item inexistente (referência inválida)",IF(NOT(ISNUMBER(F696)),"Quantidade não informada",IF(F696&lt;=0,"Quantidade não positiva",IF(G696="","Unidade não informada",IF(NOT(ISNUMBER(H696)),"Unidade a conferir",IF(NOT(ISNUMBER(E696)),"Data de recebimento não informada",IF(AND(ISNUMBER(V696),N(V696)&gt;0,E696&lt;N(V696)),"Data anterior à emissão do MTR",IF(AND(J696="Sim",L696="",M696=""),"Conferido sem evidência identificada",IF(J696&lt;&gt;"Sim","Aguardando conferência",IF(INDEX('ITENS_MTR'!$AM$6:$AM$1005,S696)=1,"Conferido (ver diferença no item)","Conferido"))))))))))))</f>
        <v/>
      </c>
      <c r="Q696" s="96">
        <f>IF(COUNTA(C696,E696:G696,I696:O696)&gt;0,1,0)</f>
        <v>0</v>
      </c>
      <c r="R696" s="96" t="str">
        <f>IF(C696="","",TRIM(LEFT(C696,FIND(" |",C696&amp;" |")-1)))</f>
        <v/>
      </c>
      <c r="S696" s="96" t="str">
        <f>IF(R696="","",IFERROR(MATCH(R696,'ITENS_MTR'!$A$6:$A$1005,0),""))</f>
        <v/>
      </c>
      <c r="T696" s="96">
        <f>IF(S696="",0,IF(INDEX('ITENS_MTR'!$R$6:$R$1005,S696)=1,1,0))</f>
        <v>0</v>
      </c>
      <c r="U696" s="96" t="str">
        <f>IF(T696=1,INDEX('ITENS_MTR'!$T$6:$T$1005,S696),"")</f>
        <v/>
      </c>
      <c r="V696" s="97" t="str">
        <f>IF(N(U696)&gt;0,INDEX('MTRs'!$E$6:$E$505,U696),"")</f>
        <v/>
      </c>
      <c r="W696" s="96" t="str">
        <f>IF(G696="","",IFERROR(IF(ISNUMBER(INDEX(cfg_fac,MATCH(G696,cfg_units,0))),IF(INDEX(cfg_fac,MATCH(G696,cfg_units,0))&gt;0,INDEX(cfg_fac,MATCH(G696,cfg_units,0)),""),""),""))</f>
        <v/>
      </c>
      <c r="X696" s="96">
        <f>IF(AND(ISNUMBER(F696),ISNUMBER(H696)),IF(H696&gt;0,1,0),0)</f>
        <v>0</v>
      </c>
      <c r="Y696" s="96">
        <f>IF(Q696=0,0,IF(OR(T696=0,X696=0,NOT(ISNUMBER(E696)),AND(J696="Sim",L696="",M696=""),AND(ISNUMBER(E696),ISNUMBER(V696),N(V696)&gt;0,E696&lt;N(V696))),1,0))</f>
        <v>0</v>
      </c>
      <c r="Z696" s="96">
        <f>IF(AND(Q696=1,T696=1,X696=1,J696="Sim",OR(L696&lt;&gt;"",M696&lt;&gt;"")),1,0)</f>
        <v>0</v>
      </c>
      <c r="AA696" s="96">
        <f>IF(Q696=0,0,IF(AND(OR(r_ini="",AND(ISNUMBER(E696),E696&gt;=r_ini)),OR(r_fim="",AND(ISNUMBER(E696),E696&lt;=r_fim)),OR(r_un="",r_un="(Todas)",IF(N(U696)&gt;0,INDEX('MTRs'!$G$6:$G$505,U696),"")=r_un),OR(r_de="",r_de="(Todos)",D696=r_de)),1,0))</f>
        <v>0</v>
      </c>
      <c r="AB696" s="96" t="str">
        <f>IF(AA696=1,COUNTIF($AA$6:AA696,1),"")</f>
        <v/>
      </c>
    </row>
    <row r="697">
      <c r="A697" s="89" t="inlineStr">
        <is>
          <t>REC-000692</t>
        </is>
      </c>
      <c r="B697" s="94" t="str">
        <f>IF(T697=1,INDEX('ITENS_MTR'!$S$6:$S$1005,S697)&amp;"","")</f>
        <v/>
      </c>
      <c r="C697" s="91" t="n"/>
      <c r="D697" s="94" t="str">
        <f>IF(N(U697)&gt;0,INDEX('MTRs'!$I$6:$I$505,U697)&amp;"","")</f>
        <v/>
      </c>
      <c r="E697" s="92" t="n"/>
      <c r="F697" s="98" t="n"/>
      <c r="G697" s="91" t="n"/>
      <c r="H697" s="93" t="str">
        <f>IF(Q697=0,"",IF(NOT(ISNUMBER(F697)),"",IF(ISNUMBER(W697),F697*W697,"UNIDADE A CONFERIR")))</f>
        <v/>
      </c>
      <c r="I697" s="91" t="n"/>
      <c r="J697" s="91" t="n"/>
      <c r="K697" s="92" t="n"/>
      <c r="L697" s="91" t="n"/>
      <c r="M697" s="91" t="n"/>
      <c r="N697" s="91" t="n"/>
      <c r="O697" s="91" t="n"/>
      <c r="P697" s="94" t="str">
        <f>IF(Q697=0,"",IF(C697="","Item de resíduo não informado",IF(T697=0,"Item inexistente (referência inválida)",IF(NOT(ISNUMBER(F697)),"Quantidade não informada",IF(F697&lt;=0,"Quantidade não positiva",IF(G697="","Unidade não informada",IF(NOT(ISNUMBER(H697)),"Unidade a conferir",IF(NOT(ISNUMBER(E697)),"Data de recebimento não informada",IF(AND(ISNUMBER(V697),N(V697)&gt;0,E697&lt;N(V697)),"Data anterior à emissão do MTR",IF(AND(J697="Sim",L697="",M697=""),"Conferido sem evidência identificada",IF(J697&lt;&gt;"Sim","Aguardando conferência",IF(INDEX('ITENS_MTR'!$AM$6:$AM$1005,S697)=1,"Conferido (ver diferença no item)","Conferido"))))))))))))</f>
        <v/>
      </c>
      <c r="Q697" s="96">
        <f>IF(COUNTA(C697,E697:G697,I697:O697)&gt;0,1,0)</f>
        <v>0</v>
      </c>
      <c r="R697" s="96" t="str">
        <f>IF(C697="","",TRIM(LEFT(C697,FIND(" |",C697&amp;" |")-1)))</f>
        <v/>
      </c>
      <c r="S697" s="96" t="str">
        <f>IF(R697="","",IFERROR(MATCH(R697,'ITENS_MTR'!$A$6:$A$1005,0),""))</f>
        <v/>
      </c>
      <c r="T697" s="96">
        <f>IF(S697="",0,IF(INDEX('ITENS_MTR'!$R$6:$R$1005,S697)=1,1,0))</f>
        <v>0</v>
      </c>
      <c r="U697" s="96" t="str">
        <f>IF(T697=1,INDEX('ITENS_MTR'!$T$6:$T$1005,S697),"")</f>
        <v/>
      </c>
      <c r="V697" s="97" t="str">
        <f>IF(N(U697)&gt;0,INDEX('MTRs'!$E$6:$E$505,U697),"")</f>
        <v/>
      </c>
      <c r="W697" s="96" t="str">
        <f>IF(G697="","",IFERROR(IF(ISNUMBER(INDEX(cfg_fac,MATCH(G697,cfg_units,0))),IF(INDEX(cfg_fac,MATCH(G697,cfg_units,0))&gt;0,INDEX(cfg_fac,MATCH(G697,cfg_units,0)),""),""),""))</f>
        <v/>
      </c>
      <c r="X697" s="96">
        <f>IF(AND(ISNUMBER(F697),ISNUMBER(H697)),IF(H697&gt;0,1,0),0)</f>
        <v>0</v>
      </c>
      <c r="Y697" s="96">
        <f>IF(Q697=0,0,IF(OR(T697=0,X697=0,NOT(ISNUMBER(E697)),AND(J697="Sim",L697="",M697=""),AND(ISNUMBER(E697),ISNUMBER(V697),N(V697)&gt;0,E697&lt;N(V697))),1,0))</f>
        <v>0</v>
      </c>
      <c r="Z697" s="96">
        <f>IF(AND(Q697=1,T697=1,X697=1,J697="Sim",OR(L697&lt;&gt;"",M697&lt;&gt;"")),1,0)</f>
        <v>0</v>
      </c>
      <c r="AA697" s="96">
        <f>IF(Q697=0,0,IF(AND(OR(r_ini="",AND(ISNUMBER(E697),E697&gt;=r_ini)),OR(r_fim="",AND(ISNUMBER(E697),E697&lt;=r_fim)),OR(r_un="",r_un="(Todas)",IF(N(U697)&gt;0,INDEX('MTRs'!$G$6:$G$505,U697),"")=r_un),OR(r_de="",r_de="(Todos)",D697=r_de)),1,0))</f>
        <v>0</v>
      </c>
      <c r="AB697" s="96" t="str">
        <f>IF(AA697=1,COUNTIF($AA$6:AA697,1),"")</f>
        <v/>
      </c>
    </row>
    <row r="698">
      <c r="A698" s="89" t="inlineStr">
        <is>
          <t>REC-000693</t>
        </is>
      </c>
      <c r="B698" s="94" t="str">
        <f>IF(T698=1,INDEX('ITENS_MTR'!$S$6:$S$1005,S698)&amp;"","")</f>
        <v/>
      </c>
      <c r="C698" s="91" t="n"/>
      <c r="D698" s="94" t="str">
        <f>IF(N(U698)&gt;0,INDEX('MTRs'!$I$6:$I$505,U698)&amp;"","")</f>
        <v/>
      </c>
      <c r="E698" s="92" t="n"/>
      <c r="F698" s="98" t="n"/>
      <c r="G698" s="91" t="n"/>
      <c r="H698" s="93" t="str">
        <f>IF(Q698=0,"",IF(NOT(ISNUMBER(F698)),"",IF(ISNUMBER(W698),F698*W698,"UNIDADE A CONFERIR")))</f>
        <v/>
      </c>
      <c r="I698" s="91" t="n"/>
      <c r="J698" s="91" t="n"/>
      <c r="K698" s="92" t="n"/>
      <c r="L698" s="91" t="n"/>
      <c r="M698" s="91" t="n"/>
      <c r="N698" s="91" t="n"/>
      <c r="O698" s="91" t="n"/>
      <c r="P698" s="94" t="str">
        <f>IF(Q698=0,"",IF(C698="","Item de resíduo não informado",IF(T698=0,"Item inexistente (referência inválida)",IF(NOT(ISNUMBER(F698)),"Quantidade não informada",IF(F698&lt;=0,"Quantidade não positiva",IF(G698="","Unidade não informada",IF(NOT(ISNUMBER(H698)),"Unidade a conferir",IF(NOT(ISNUMBER(E698)),"Data de recebimento não informada",IF(AND(ISNUMBER(V698),N(V698)&gt;0,E698&lt;N(V698)),"Data anterior à emissão do MTR",IF(AND(J698="Sim",L698="",M698=""),"Conferido sem evidência identificada",IF(J698&lt;&gt;"Sim","Aguardando conferência",IF(INDEX('ITENS_MTR'!$AM$6:$AM$1005,S698)=1,"Conferido (ver diferença no item)","Conferido"))))))))))))</f>
        <v/>
      </c>
      <c r="Q698" s="96">
        <f>IF(COUNTA(C698,E698:G698,I698:O698)&gt;0,1,0)</f>
        <v>0</v>
      </c>
      <c r="R698" s="96" t="str">
        <f>IF(C698="","",TRIM(LEFT(C698,FIND(" |",C698&amp;" |")-1)))</f>
        <v/>
      </c>
      <c r="S698" s="96" t="str">
        <f>IF(R698="","",IFERROR(MATCH(R698,'ITENS_MTR'!$A$6:$A$1005,0),""))</f>
        <v/>
      </c>
      <c r="T698" s="96">
        <f>IF(S698="",0,IF(INDEX('ITENS_MTR'!$R$6:$R$1005,S698)=1,1,0))</f>
        <v>0</v>
      </c>
      <c r="U698" s="96" t="str">
        <f>IF(T698=1,INDEX('ITENS_MTR'!$T$6:$T$1005,S698),"")</f>
        <v/>
      </c>
      <c r="V698" s="97" t="str">
        <f>IF(N(U698)&gt;0,INDEX('MTRs'!$E$6:$E$505,U698),"")</f>
        <v/>
      </c>
      <c r="W698" s="96" t="str">
        <f>IF(G698="","",IFERROR(IF(ISNUMBER(INDEX(cfg_fac,MATCH(G698,cfg_units,0))),IF(INDEX(cfg_fac,MATCH(G698,cfg_units,0))&gt;0,INDEX(cfg_fac,MATCH(G698,cfg_units,0)),""),""),""))</f>
        <v/>
      </c>
      <c r="X698" s="96">
        <f>IF(AND(ISNUMBER(F698),ISNUMBER(H698)),IF(H698&gt;0,1,0),0)</f>
        <v>0</v>
      </c>
      <c r="Y698" s="96">
        <f>IF(Q698=0,0,IF(OR(T698=0,X698=0,NOT(ISNUMBER(E698)),AND(J698="Sim",L698="",M698=""),AND(ISNUMBER(E698),ISNUMBER(V698),N(V698)&gt;0,E698&lt;N(V698))),1,0))</f>
        <v>0</v>
      </c>
      <c r="Z698" s="96">
        <f>IF(AND(Q698=1,T698=1,X698=1,J698="Sim",OR(L698&lt;&gt;"",M698&lt;&gt;"")),1,0)</f>
        <v>0</v>
      </c>
      <c r="AA698" s="96">
        <f>IF(Q698=0,0,IF(AND(OR(r_ini="",AND(ISNUMBER(E698),E698&gt;=r_ini)),OR(r_fim="",AND(ISNUMBER(E698),E698&lt;=r_fim)),OR(r_un="",r_un="(Todas)",IF(N(U698)&gt;0,INDEX('MTRs'!$G$6:$G$505,U698),"")=r_un),OR(r_de="",r_de="(Todos)",D698=r_de)),1,0))</f>
        <v>0</v>
      </c>
      <c r="AB698" s="96" t="str">
        <f>IF(AA698=1,COUNTIF($AA$6:AA698,1),"")</f>
        <v/>
      </c>
    </row>
    <row r="699">
      <c r="A699" s="89" t="inlineStr">
        <is>
          <t>REC-000694</t>
        </is>
      </c>
      <c r="B699" s="94" t="str">
        <f>IF(T699=1,INDEX('ITENS_MTR'!$S$6:$S$1005,S699)&amp;"","")</f>
        <v/>
      </c>
      <c r="C699" s="91" t="n"/>
      <c r="D699" s="94" t="str">
        <f>IF(N(U699)&gt;0,INDEX('MTRs'!$I$6:$I$505,U699)&amp;"","")</f>
        <v/>
      </c>
      <c r="E699" s="92" t="n"/>
      <c r="F699" s="98" t="n"/>
      <c r="G699" s="91" t="n"/>
      <c r="H699" s="93" t="str">
        <f>IF(Q699=0,"",IF(NOT(ISNUMBER(F699)),"",IF(ISNUMBER(W699),F699*W699,"UNIDADE A CONFERIR")))</f>
        <v/>
      </c>
      <c r="I699" s="91" t="n"/>
      <c r="J699" s="91" t="n"/>
      <c r="K699" s="92" t="n"/>
      <c r="L699" s="91" t="n"/>
      <c r="M699" s="91" t="n"/>
      <c r="N699" s="91" t="n"/>
      <c r="O699" s="91" t="n"/>
      <c r="P699" s="94" t="str">
        <f>IF(Q699=0,"",IF(C699="","Item de resíduo não informado",IF(T699=0,"Item inexistente (referência inválida)",IF(NOT(ISNUMBER(F699)),"Quantidade não informada",IF(F699&lt;=0,"Quantidade não positiva",IF(G699="","Unidade não informada",IF(NOT(ISNUMBER(H699)),"Unidade a conferir",IF(NOT(ISNUMBER(E699)),"Data de recebimento não informada",IF(AND(ISNUMBER(V699),N(V699)&gt;0,E699&lt;N(V699)),"Data anterior à emissão do MTR",IF(AND(J699="Sim",L699="",M699=""),"Conferido sem evidência identificada",IF(J699&lt;&gt;"Sim","Aguardando conferência",IF(INDEX('ITENS_MTR'!$AM$6:$AM$1005,S699)=1,"Conferido (ver diferença no item)","Conferido"))))))))))))</f>
        <v/>
      </c>
      <c r="Q699" s="96">
        <f>IF(COUNTA(C699,E699:G699,I699:O699)&gt;0,1,0)</f>
        <v>0</v>
      </c>
      <c r="R699" s="96" t="str">
        <f>IF(C699="","",TRIM(LEFT(C699,FIND(" |",C699&amp;" |")-1)))</f>
        <v/>
      </c>
      <c r="S699" s="96" t="str">
        <f>IF(R699="","",IFERROR(MATCH(R699,'ITENS_MTR'!$A$6:$A$1005,0),""))</f>
        <v/>
      </c>
      <c r="T699" s="96">
        <f>IF(S699="",0,IF(INDEX('ITENS_MTR'!$R$6:$R$1005,S699)=1,1,0))</f>
        <v>0</v>
      </c>
      <c r="U699" s="96" t="str">
        <f>IF(T699=1,INDEX('ITENS_MTR'!$T$6:$T$1005,S699),"")</f>
        <v/>
      </c>
      <c r="V699" s="97" t="str">
        <f>IF(N(U699)&gt;0,INDEX('MTRs'!$E$6:$E$505,U699),"")</f>
        <v/>
      </c>
      <c r="W699" s="96" t="str">
        <f>IF(G699="","",IFERROR(IF(ISNUMBER(INDEX(cfg_fac,MATCH(G699,cfg_units,0))),IF(INDEX(cfg_fac,MATCH(G699,cfg_units,0))&gt;0,INDEX(cfg_fac,MATCH(G699,cfg_units,0)),""),""),""))</f>
        <v/>
      </c>
      <c r="X699" s="96">
        <f>IF(AND(ISNUMBER(F699),ISNUMBER(H699)),IF(H699&gt;0,1,0),0)</f>
        <v>0</v>
      </c>
      <c r="Y699" s="96">
        <f>IF(Q699=0,0,IF(OR(T699=0,X699=0,NOT(ISNUMBER(E699)),AND(J699="Sim",L699="",M699=""),AND(ISNUMBER(E699),ISNUMBER(V699),N(V699)&gt;0,E699&lt;N(V699))),1,0))</f>
        <v>0</v>
      </c>
      <c r="Z699" s="96">
        <f>IF(AND(Q699=1,T699=1,X699=1,J699="Sim",OR(L699&lt;&gt;"",M699&lt;&gt;"")),1,0)</f>
        <v>0</v>
      </c>
      <c r="AA699" s="96">
        <f>IF(Q699=0,0,IF(AND(OR(r_ini="",AND(ISNUMBER(E699),E699&gt;=r_ini)),OR(r_fim="",AND(ISNUMBER(E699),E699&lt;=r_fim)),OR(r_un="",r_un="(Todas)",IF(N(U699)&gt;0,INDEX('MTRs'!$G$6:$G$505,U699),"")=r_un),OR(r_de="",r_de="(Todos)",D699=r_de)),1,0))</f>
        <v>0</v>
      </c>
      <c r="AB699" s="96" t="str">
        <f>IF(AA699=1,COUNTIF($AA$6:AA699,1),"")</f>
        <v/>
      </c>
    </row>
    <row r="700">
      <c r="A700" s="89" t="inlineStr">
        <is>
          <t>REC-000695</t>
        </is>
      </c>
      <c r="B700" s="94" t="str">
        <f>IF(T700=1,INDEX('ITENS_MTR'!$S$6:$S$1005,S700)&amp;"","")</f>
        <v/>
      </c>
      <c r="C700" s="91" t="n"/>
      <c r="D700" s="94" t="str">
        <f>IF(N(U700)&gt;0,INDEX('MTRs'!$I$6:$I$505,U700)&amp;"","")</f>
        <v/>
      </c>
      <c r="E700" s="92" t="n"/>
      <c r="F700" s="98" t="n"/>
      <c r="G700" s="91" t="n"/>
      <c r="H700" s="93" t="str">
        <f>IF(Q700=0,"",IF(NOT(ISNUMBER(F700)),"",IF(ISNUMBER(W700),F700*W700,"UNIDADE A CONFERIR")))</f>
        <v/>
      </c>
      <c r="I700" s="91" t="n"/>
      <c r="J700" s="91" t="n"/>
      <c r="K700" s="92" t="n"/>
      <c r="L700" s="91" t="n"/>
      <c r="M700" s="91" t="n"/>
      <c r="N700" s="91" t="n"/>
      <c r="O700" s="91" t="n"/>
      <c r="P700" s="94" t="str">
        <f>IF(Q700=0,"",IF(C700="","Item de resíduo não informado",IF(T700=0,"Item inexistente (referência inválida)",IF(NOT(ISNUMBER(F700)),"Quantidade não informada",IF(F700&lt;=0,"Quantidade não positiva",IF(G700="","Unidade não informada",IF(NOT(ISNUMBER(H700)),"Unidade a conferir",IF(NOT(ISNUMBER(E700)),"Data de recebimento não informada",IF(AND(ISNUMBER(V700),N(V700)&gt;0,E700&lt;N(V700)),"Data anterior à emissão do MTR",IF(AND(J700="Sim",L700="",M700=""),"Conferido sem evidência identificada",IF(J700&lt;&gt;"Sim","Aguardando conferência",IF(INDEX('ITENS_MTR'!$AM$6:$AM$1005,S700)=1,"Conferido (ver diferença no item)","Conferido"))))))))))))</f>
        <v/>
      </c>
      <c r="Q700" s="96">
        <f>IF(COUNTA(C700,E700:G700,I700:O700)&gt;0,1,0)</f>
        <v>0</v>
      </c>
      <c r="R700" s="96" t="str">
        <f>IF(C700="","",TRIM(LEFT(C700,FIND(" |",C700&amp;" |")-1)))</f>
        <v/>
      </c>
      <c r="S700" s="96" t="str">
        <f>IF(R700="","",IFERROR(MATCH(R700,'ITENS_MTR'!$A$6:$A$1005,0),""))</f>
        <v/>
      </c>
      <c r="T700" s="96">
        <f>IF(S700="",0,IF(INDEX('ITENS_MTR'!$R$6:$R$1005,S700)=1,1,0))</f>
        <v>0</v>
      </c>
      <c r="U700" s="96" t="str">
        <f>IF(T700=1,INDEX('ITENS_MTR'!$T$6:$T$1005,S700),"")</f>
        <v/>
      </c>
      <c r="V700" s="97" t="str">
        <f>IF(N(U700)&gt;0,INDEX('MTRs'!$E$6:$E$505,U700),"")</f>
        <v/>
      </c>
      <c r="W700" s="96" t="str">
        <f>IF(G700="","",IFERROR(IF(ISNUMBER(INDEX(cfg_fac,MATCH(G700,cfg_units,0))),IF(INDEX(cfg_fac,MATCH(G700,cfg_units,0))&gt;0,INDEX(cfg_fac,MATCH(G700,cfg_units,0)),""),""),""))</f>
        <v/>
      </c>
      <c r="X700" s="96">
        <f>IF(AND(ISNUMBER(F700),ISNUMBER(H700)),IF(H700&gt;0,1,0),0)</f>
        <v>0</v>
      </c>
      <c r="Y700" s="96">
        <f>IF(Q700=0,0,IF(OR(T700=0,X700=0,NOT(ISNUMBER(E700)),AND(J700="Sim",L700="",M700=""),AND(ISNUMBER(E700),ISNUMBER(V700),N(V700)&gt;0,E700&lt;N(V700))),1,0))</f>
        <v>0</v>
      </c>
      <c r="Z700" s="96">
        <f>IF(AND(Q700=1,T700=1,X700=1,J700="Sim",OR(L700&lt;&gt;"",M700&lt;&gt;"")),1,0)</f>
        <v>0</v>
      </c>
      <c r="AA700" s="96">
        <f>IF(Q700=0,0,IF(AND(OR(r_ini="",AND(ISNUMBER(E700),E700&gt;=r_ini)),OR(r_fim="",AND(ISNUMBER(E700),E700&lt;=r_fim)),OR(r_un="",r_un="(Todas)",IF(N(U700)&gt;0,INDEX('MTRs'!$G$6:$G$505,U700),"")=r_un),OR(r_de="",r_de="(Todos)",D700=r_de)),1,0))</f>
        <v>0</v>
      </c>
      <c r="AB700" s="96" t="str">
        <f>IF(AA700=1,COUNTIF($AA$6:AA700,1),"")</f>
        <v/>
      </c>
    </row>
    <row r="701">
      <c r="A701" s="89" t="inlineStr">
        <is>
          <t>REC-000696</t>
        </is>
      </c>
      <c r="B701" s="94" t="str">
        <f>IF(T701=1,INDEX('ITENS_MTR'!$S$6:$S$1005,S701)&amp;"","")</f>
        <v/>
      </c>
      <c r="C701" s="91" t="n"/>
      <c r="D701" s="94" t="str">
        <f>IF(N(U701)&gt;0,INDEX('MTRs'!$I$6:$I$505,U701)&amp;"","")</f>
        <v/>
      </c>
      <c r="E701" s="92" t="n"/>
      <c r="F701" s="98" t="n"/>
      <c r="G701" s="91" t="n"/>
      <c r="H701" s="93" t="str">
        <f>IF(Q701=0,"",IF(NOT(ISNUMBER(F701)),"",IF(ISNUMBER(W701),F701*W701,"UNIDADE A CONFERIR")))</f>
        <v/>
      </c>
      <c r="I701" s="91" t="n"/>
      <c r="J701" s="91" t="n"/>
      <c r="K701" s="92" t="n"/>
      <c r="L701" s="91" t="n"/>
      <c r="M701" s="91" t="n"/>
      <c r="N701" s="91" t="n"/>
      <c r="O701" s="91" t="n"/>
      <c r="P701" s="94" t="str">
        <f>IF(Q701=0,"",IF(C701="","Item de resíduo não informado",IF(T701=0,"Item inexistente (referência inválida)",IF(NOT(ISNUMBER(F701)),"Quantidade não informada",IF(F701&lt;=0,"Quantidade não positiva",IF(G701="","Unidade não informada",IF(NOT(ISNUMBER(H701)),"Unidade a conferir",IF(NOT(ISNUMBER(E701)),"Data de recebimento não informada",IF(AND(ISNUMBER(V701),N(V701)&gt;0,E701&lt;N(V701)),"Data anterior à emissão do MTR",IF(AND(J701="Sim",L701="",M701=""),"Conferido sem evidência identificada",IF(J701&lt;&gt;"Sim","Aguardando conferência",IF(INDEX('ITENS_MTR'!$AM$6:$AM$1005,S701)=1,"Conferido (ver diferença no item)","Conferido"))))))))))))</f>
        <v/>
      </c>
      <c r="Q701" s="96">
        <f>IF(COUNTA(C701,E701:G701,I701:O701)&gt;0,1,0)</f>
        <v>0</v>
      </c>
      <c r="R701" s="96" t="str">
        <f>IF(C701="","",TRIM(LEFT(C701,FIND(" |",C701&amp;" |")-1)))</f>
        <v/>
      </c>
      <c r="S701" s="96" t="str">
        <f>IF(R701="","",IFERROR(MATCH(R701,'ITENS_MTR'!$A$6:$A$1005,0),""))</f>
        <v/>
      </c>
      <c r="T701" s="96">
        <f>IF(S701="",0,IF(INDEX('ITENS_MTR'!$R$6:$R$1005,S701)=1,1,0))</f>
        <v>0</v>
      </c>
      <c r="U701" s="96" t="str">
        <f>IF(T701=1,INDEX('ITENS_MTR'!$T$6:$T$1005,S701),"")</f>
        <v/>
      </c>
      <c r="V701" s="97" t="str">
        <f>IF(N(U701)&gt;0,INDEX('MTRs'!$E$6:$E$505,U701),"")</f>
        <v/>
      </c>
      <c r="W701" s="96" t="str">
        <f>IF(G701="","",IFERROR(IF(ISNUMBER(INDEX(cfg_fac,MATCH(G701,cfg_units,0))),IF(INDEX(cfg_fac,MATCH(G701,cfg_units,0))&gt;0,INDEX(cfg_fac,MATCH(G701,cfg_units,0)),""),""),""))</f>
        <v/>
      </c>
      <c r="X701" s="96">
        <f>IF(AND(ISNUMBER(F701),ISNUMBER(H701)),IF(H701&gt;0,1,0),0)</f>
        <v>0</v>
      </c>
      <c r="Y701" s="96">
        <f>IF(Q701=0,0,IF(OR(T701=0,X701=0,NOT(ISNUMBER(E701)),AND(J701="Sim",L701="",M701=""),AND(ISNUMBER(E701),ISNUMBER(V701),N(V701)&gt;0,E701&lt;N(V701))),1,0))</f>
        <v>0</v>
      </c>
      <c r="Z701" s="96">
        <f>IF(AND(Q701=1,T701=1,X701=1,J701="Sim",OR(L701&lt;&gt;"",M701&lt;&gt;"")),1,0)</f>
        <v>0</v>
      </c>
      <c r="AA701" s="96">
        <f>IF(Q701=0,0,IF(AND(OR(r_ini="",AND(ISNUMBER(E701),E701&gt;=r_ini)),OR(r_fim="",AND(ISNUMBER(E701),E701&lt;=r_fim)),OR(r_un="",r_un="(Todas)",IF(N(U701)&gt;0,INDEX('MTRs'!$G$6:$G$505,U701),"")=r_un),OR(r_de="",r_de="(Todos)",D701=r_de)),1,0))</f>
        <v>0</v>
      </c>
      <c r="AB701" s="96" t="str">
        <f>IF(AA701=1,COUNTIF($AA$6:AA701,1),"")</f>
        <v/>
      </c>
    </row>
    <row r="702">
      <c r="A702" s="89" t="inlineStr">
        <is>
          <t>REC-000697</t>
        </is>
      </c>
      <c r="B702" s="94" t="str">
        <f>IF(T702=1,INDEX('ITENS_MTR'!$S$6:$S$1005,S702)&amp;"","")</f>
        <v/>
      </c>
      <c r="C702" s="91" t="n"/>
      <c r="D702" s="94" t="str">
        <f>IF(N(U702)&gt;0,INDEX('MTRs'!$I$6:$I$505,U702)&amp;"","")</f>
        <v/>
      </c>
      <c r="E702" s="92" t="n"/>
      <c r="F702" s="98" t="n"/>
      <c r="G702" s="91" t="n"/>
      <c r="H702" s="93" t="str">
        <f>IF(Q702=0,"",IF(NOT(ISNUMBER(F702)),"",IF(ISNUMBER(W702),F702*W702,"UNIDADE A CONFERIR")))</f>
        <v/>
      </c>
      <c r="I702" s="91" t="n"/>
      <c r="J702" s="91" t="n"/>
      <c r="K702" s="92" t="n"/>
      <c r="L702" s="91" t="n"/>
      <c r="M702" s="91" t="n"/>
      <c r="N702" s="91" t="n"/>
      <c r="O702" s="91" t="n"/>
      <c r="P702" s="94" t="str">
        <f>IF(Q702=0,"",IF(C702="","Item de resíduo não informado",IF(T702=0,"Item inexistente (referência inválida)",IF(NOT(ISNUMBER(F702)),"Quantidade não informada",IF(F702&lt;=0,"Quantidade não positiva",IF(G702="","Unidade não informada",IF(NOT(ISNUMBER(H702)),"Unidade a conferir",IF(NOT(ISNUMBER(E702)),"Data de recebimento não informada",IF(AND(ISNUMBER(V702),N(V702)&gt;0,E702&lt;N(V702)),"Data anterior à emissão do MTR",IF(AND(J702="Sim",L702="",M702=""),"Conferido sem evidência identificada",IF(J702&lt;&gt;"Sim","Aguardando conferência",IF(INDEX('ITENS_MTR'!$AM$6:$AM$1005,S702)=1,"Conferido (ver diferença no item)","Conferido"))))))))))))</f>
        <v/>
      </c>
      <c r="Q702" s="96">
        <f>IF(COUNTA(C702,E702:G702,I702:O702)&gt;0,1,0)</f>
        <v>0</v>
      </c>
      <c r="R702" s="96" t="str">
        <f>IF(C702="","",TRIM(LEFT(C702,FIND(" |",C702&amp;" |")-1)))</f>
        <v/>
      </c>
      <c r="S702" s="96" t="str">
        <f>IF(R702="","",IFERROR(MATCH(R702,'ITENS_MTR'!$A$6:$A$1005,0),""))</f>
        <v/>
      </c>
      <c r="T702" s="96">
        <f>IF(S702="",0,IF(INDEX('ITENS_MTR'!$R$6:$R$1005,S702)=1,1,0))</f>
        <v>0</v>
      </c>
      <c r="U702" s="96" t="str">
        <f>IF(T702=1,INDEX('ITENS_MTR'!$T$6:$T$1005,S702),"")</f>
        <v/>
      </c>
      <c r="V702" s="97" t="str">
        <f>IF(N(U702)&gt;0,INDEX('MTRs'!$E$6:$E$505,U702),"")</f>
        <v/>
      </c>
      <c r="W702" s="96" t="str">
        <f>IF(G702="","",IFERROR(IF(ISNUMBER(INDEX(cfg_fac,MATCH(G702,cfg_units,0))),IF(INDEX(cfg_fac,MATCH(G702,cfg_units,0))&gt;0,INDEX(cfg_fac,MATCH(G702,cfg_units,0)),""),""),""))</f>
        <v/>
      </c>
      <c r="X702" s="96">
        <f>IF(AND(ISNUMBER(F702),ISNUMBER(H702)),IF(H702&gt;0,1,0),0)</f>
        <v>0</v>
      </c>
      <c r="Y702" s="96">
        <f>IF(Q702=0,0,IF(OR(T702=0,X702=0,NOT(ISNUMBER(E702)),AND(J702="Sim",L702="",M702=""),AND(ISNUMBER(E702),ISNUMBER(V702),N(V702)&gt;0,E702&lt;N(V702))),1,0))</f>
        <v>0</v>
      </c>
      <c r="Z702" s="96">
        <f>IF(AND(Q702=1,T702=1,X702=1,J702="Sim",OR(L702&lt;&gt;"",M702&lt;&gt;"")),1,0)</f>
        <v>0</v>
      </c>
      <c r="AA702" s="96">
        <f>IF(Q702=0,0,IF(AND(OR(r_ini="",AND(ISNUMBER(E702),E702&gt;=r_ini)),OR(r_fim="",AND(ISNUMBER(E702),E702&lt;=r_fim)),OR(r_un="",r_un="(Todas)",IF(N(U702)&gt;0,INDEX('MTRs'!$G$6:$G$505,U702),"")=r_un),OR(r_de="",r_de="(Todos)",D702=r_de)),1,0))</f>
        <v>0</v>
      </c>
      <c r="AB702" s="96" t="str">
        <f>IF(AA702=1,COUNTIF($AA$6:AA702,1),"")</f>
        <v/>
      </c>
    </row>
    <row r="703">
      <c r="A703" s="89" t="inlineStr">
        <is>
          <t>REC-000698</t>
        </is>
      </c>
      <c r="B703" s="94" t="str">
        <f>IF(T703=1,INDEX('ITENS_MTR'!$S$6:$S$1005,S703)&amp;"","")</f>
        <v/>
      </c>
      <c r="C703" s="91" t="n"/>
      <c r="D703" s="94" t="str">
        <f>IF(N(U703)&gt;0,INDEX('MTRs'!$I$6:$I$505,U703)&amp;"","")</f>
        <v/>
      </c>
      <c r="E703" s="92" t="n"/>
      <c r="F703" s="98" t="n"/>
      <c r="G703" s="91" t="n"/>
      <c r="H703" s="93" t="str">
        <f>IF(Q703=0,"",IF(NOT(ISNUMBER(F703)),"",IF(ISNUMBER(W703),F703*W703,"UNIDADE A CONFERIR")))</f>
        <v/>
      </c>
      <c r="I703" s="91" t="n"/>
      <c r="J703" s="91" t="n"/>
      <c r="K703" s="92" t="n"/>
      <c r="L703" s="91" t="n"/>
      <c r="M703" s="91" t="n"/>
      <c r="N703" s="91" t="n"/>
      <c r="O703" s="91" t="n"/>
      <c r="P703" s="94" t="str">
        <f>IF(Q703=0,"",IF(C703="","Item de resíduo não informado",IF(T703=0,"Item inexistente (referência inválida)",IF(NOT(ISNUMBER(F703)),"Quantidade não informada",IF(F703&lt;=0,"Quantidade não positiva",IF(G703="","Unidade não informada",IF(NOT(ISNUMBER(H703)),"Unidade a conferir",IF(NOT(ISNUMBER(E703)),"Data de recebimento não informada",IF(AND(ISNUMBER(V703),N(V703)&gt;0,E703&lt;N(V703)),"Data anterior à emissão do MTR",IF(AND(J703="Sim",L703="",M703=""),"Conferido sem evidência identificada",IF(J703&lt;&gt;"Sim","Aguardando conferência",IF(INDEX('ITENS_MTR'!$AM$6:$AM$1005,S703)=1,"Conferido (ver diferença no item)","Conferido"))))))))))))</f>
        <v/>
      </c>
      <c r="Q703" s="96">
        <f>IF(COUNTA(C703,E703:G703,I703:O703)&gt;0,1,0)</f>
        <v>0</v>
      </c>
      <c r="R703" s="96" t="str">
        <f>IF(C703="","",TRIM(LEFT(C703,FIND(" |",C703&amp;" |")-1)))</f>
        <v/>
      </c>
      <c r="S703" s="96" t="str">
        <f>IF(R703="","",IFERROR(MATCH(R703,'ITENS_MTR'!$A$6:$A$1005,0),""))</f>
        <v/>
      </c>
      <c r="T703" s="96">
        <f>IF(S703="",0,IF(INDEX('ITENS_MTR'!$R$6:$R$1005,S703)=1,1,0))</f>
        <v>0</v>
      </c>
      <c r="U703" s="96" t="str">
        <f>IF(T703=1,INDEX('ITENS_MTR'!$T$6:$T$1005,S703),"")</f>
        <v/>
      </c>
      <c r="V703" s="97" t="str">
        <f>IF(N(U703)&gt;0,INDEX('MTRs'!$E$6:$E$505,U703),"")</f>
        <v/>
      </c>
      <c r="W703" s="96" t="str">
        <f>IF(G703="","",IFERROR(IF(ISNUMBER(INDEX(cfg_fac,MATCH(G703,cfg_units,0))),IF(INDEX(cfg_fac,MATCH(G703,cfg_units,0))&gt;0,INDEX(cfg_fac,MATCH(G703,cfg_units,0)),""),""),""))</f>
        <v/>
      </c>
      <c r="X703" s="96">
        <f>IF(AND(ISNUMBER(F703),ISNUMBER(H703)),IF(H703&gt;0,1,0),0)</f>
        <v>0</v>
      </c>
      <c r="Y703" s="96">
        <f>IF(Q703=0,0,IF(OR(T703=0,X703=0,NOT(ISNUMBER(E703)),AND(J703="Sim",L703="",M703=""),AND(ISNUMBER(E703),ISNUMBER(V703),N(V703)&gt;0,E703&lt;N(V703))),1,0))</f>
        <v>0</v>
      </c>
      <c r="Z703" s="96">
        <f>IF(AND(Q703=1,T703=1,X703=1,J703="Sim",OR(L703&lt;&gt;"",M703&lt;&gt;"")),1,0)</f>
        <v>0</v>
      </c>
      <c r="AA703" s="96">
        <f>IF(Q703=0,0,IF(AND(OR(r_ini="",AND(ISNUMBER(E703),E703&gt;=r_ini)),OR(r_fim="",AND(ISNUMBER(E703),E703&lt;=r_fim)),OR(r_un="",r_un="(Todas)",IF(N(U703)&gt;0,INDEX('MTRs'!$G$6:$G$505,U703),"")=r_un),OR(r_de="",r_de="(Todos)",D703=r_de)),1,0))</f>
        <v>0</v>
      </c>
      <c r="AB703" s="96" t="str">
        <f>IF(AA703=1,COUNTIF($AA$6:AA703,1),"")</f>
        <v/>
      </c>
    </row>
    <row r="704">
      <c r="A704" s="89" t="inlineStr">
        <is>
          <t>REC-000699</t>
        </is>
      </c>
      <c r="B704" s="94" t="str">
        <f>IF(T704=1,INDEX('ITENS_MTR'!$S$6:$S$1005,S704)&amp;"","")</f>
        <v/>
      </c>
      <c r="C704" s="91" t="n"/>
      <c r="D704" s="94" t="str">
        <f>IF(N(U704)&gt;0,INDEX('MTRs'!$I$6:$I$505,U704)&amp;"","")</f>
        <v/>
      </c>
      <c r="E704" s="92" t="n"/>
      <c r="F704" s="98" t="n"/>
      <c r="G704" s="91" t="n"/>
      <c r="H704" s="93" t="str">
        <f>IF(Q704=0,"",IF(NOT(ISNUMBER(F704)),"",IF(ISNUMBER(W704),F704*W704,"UNIDADE A CONFERIR")))</f>
        <v/>
      </c>
      <c r="I704" s="91" t="n"/>
      <c r="J704" s="91" t="n"/>
      <c r="K704" s="92" t="n"/>
      <c r="L704" s="91" t="n"/>
      <c r="M704" s="91" t="n"/>
      <c r="N704" s="91" t="n"/>
      <c r="O704" s="91" t="n"/>
      <c r="P704" s="94" t="str">
        <f>IF(Q704=0,"",IF(C704="","Item de resíduo não informado",IF(T704=0,"Item inexistente (referência inválida)",IF(NOT(ISNUMBER(F704)),"Quantidade não informada",IF(F704&lt;=0,"Quantidade não positiva",IF(G704="","Unidade não informada",IF(NOT(ISNUMBER(H704)),"Unidade a conferir",IF(NOT(ISNUMBER(E704)),"Data de recebimento não informada",IF(AND(ISNUMBER(V704),N(V704)&gt;0,E704&lt;N(V704)),"Data anterior à emissão do MTR",IF(AND(J704="Sim",L704="",M704=""),"Conferido sem evidência identificada",IF(J704&lt;&gt;"Sim","Aguardando conferência",IF(INDEX('ITENS_MTR'!$AM$6:$AM$1005,S704)=1,"Conferido (ver diferença no item)","Conferido"))))))))))))</f>
        <v/>
      </c>
      <c r="Q704" s="96">
        <f>IF(COUNTA(C704,E704:G704,I704:O704)&gt;0,1,0)</f>
        <v>0</v>
      </c>
      <c r="R704" s="96" t="str">
        <f>IF(C704="","",TRIM(LEFT(C704,FIND(" |",C704&amp;" |")-1)))</f>
        <v/>
      </c>
      <c r="S704" s="96" t="str">
        <f>IF(R704="","",IFERROR(MATCH(R704,'ITENS_MTR'!$A$6:$A$1005,0),""))</f>
        <v/>
      </c>
      <c r="T704" s="96">
        <f>IF(S704="",0,IF(INDEX('ITENS_MTR'!$R$6:$R$1005,S704)=1,1,0))</f>
        <v>0</v>
      </c>
      <c r="U704" s="96" t="str">
        <f>IF(T704=1,INDEX('ITENS_MTR'!$T$6:$T$1005,S704),"")</f>
        <v/>
      </c>
      <c r="V704" s="97" t="str">
        <f>IF(N(U704)&gt;0,INDEX('MTRs'!$E$6:$E$505,U704),"")</f>
        <v/>
      </c>
      <c r="W704" s="96" t="str">
        <f>IF(G704="","",IFERROR(IF(ISNUMBER(INDEX(cfg_fac,MATCH(G704,cfg_units,0))),IF(INDEX(cfg_fac,MATCH(G704,cfg_units,0))&gt;0,INDEX(cfg_fac,MATCH(G704,cfg_units,0)),""),""),""))</f>
        <v/>
      </c>
      <c r="X704" s="96">
        <f>IF(AND(ISNUMBER(F704),ISNUMBER(H704)),IF(H704&gt;0,1,0),0)</f>
        <v>0</v>
      </c>
      <c r="Y704" s="96">
        <f>IF(Q704=0,0,IF(OR(T704=0,X704=0,NOT(ISNUMBER(E704)),AND(J704="Sim",L704="",M704=""),AND(ISNUMBER(E704),ISNUMBER(V704),N(V704)&gt;0,E704&lt;N(V704))),1,0))</f>
        <v>0</v>
      </c>
      <c r="Z704" s="96">
        <f>IF(AND(Q704=1,T704=1,X704=1,J704="Sim",OR(L704&lt;&gt;"",M704&lt;&gt;"")),1,0)</f>
        <v>0</v>
      </c>
      <c r="AA704" s="96">
        <f>IF(Q704=0,0,IF(AND(OR(r_ini="",AND(ISNUMBER(E704),E704&gt;=r_ini)),OR(r_fim="",AND(ISNUMBER(E704),E704&lt;=r_fim)),OR(r_un="",r_un="(Todas)",IF(N(U704)&gt;0,INDEX('MTRs'!$G$6:$G$505,U704),"")=r_un),OR(r_de="",r_de="(Todos)",D704=r_de)),1,0))</f>
        <v>0</v>
      </c>
      <c r="AB704" s="96" t="str">
        <f>IF(AA704=1,COUNTIF($AA$6:AA704,1),"")</f>
        <v/>
      </c>
    </row>
    <row r="705">
      <c r="A705" s="89" t="inlineStr">
        <is>
          <t>REC-000700</t>
        </is>
      </c>
      <c r="B705" s="94" t="str">
        <f>IF(T705=1,INDEX('ITENS_MTR'!$S$6:$S$1005,S705)&amp;"","")</f>
        <v/>
      </c>
      <c r="C705" s="91" t="n"/>
      <c r="D705" s="94" t="str">
        <f>IF(N(U705)&gt;0,INDEX('MTRs'!$I$6:$I$505,U705)&amp;"","")</f>
        <v/>
      </c>
      <c r="E705" s="92" t="n"/>
      <c r="F705" s="98" t="n"/>
      <c r="G705" s="91" t="n"/>
      <c r="H705" s="93" t="str">
        <f>IF(Q705=0,"",IF(NOT(ISNUMBER(F705)),"",IF(ISNUMBER(W705),F705*W705,"UNIDADE A CONFERIR")))</f>
        <v/>
      </c>
      <c r="I705" s="91" t="n"/>
      <c r="J705" s="91" t="n"/>
      <c r="K705" s="92" t="n"/>
      <c r="L705" s="91" t="n"/>
      <c r="M705" s="91" t="n"/>
      <c r="N705" s="91" t="n"/>
      <c r="O705" s="91" t="n"/>
      <c r="P705" s="94" t="str">
        <f>IF(Q705=0,"",IF(C705="","Item de resíduo não informado",IF(T705=0,"Item inexistente (referência inválida)",IF(NOT(ISNUMBER(F705)),"Quantidade não informada",IF(F705&lt;=0,"Quantidade não positiva",IF(G705="","Unidade não informada",IF(NOT(ISNUMBER(H705)),"Unidade a conferir",IF(NOT(ISNUMBER(E705)),"Data de recebimento não informada",IF(AND(ISNUMBER(V705),N(V705)&gt;0,E705&lt;N(V705)),"Data anterior à emissão do MTR",IF(AND(J705="Sim",L705="",M705=""),"Conferido sem evidência identificada",IF(J705&lt;&gt;"Sim","Aguardando conferência",IF(INDEX('ITENS_MTR'!$AM$6:$AM$1005,S705)=1,"Conferido (ver diferença no item)","Conferido"))))))))))))</f>
        <v/>
      </c>
      <c r="Q705" s="96">
        <f>IF(COUNTA(C705,E705:G705,I705:O705)&gt;0,1,0)</f>
        <v>0</v>
      </c>
      <c r="R705" s="96" t="str">
        <f>IF(C705="","",TRIM(LEFT(C705,FIND(" |",C705&amp;" |")-1)))</f>
        <v/>
      </c>
      <c r="S705" s="96" t="str">
        <f>IF(R705="","",IFERROR(MATCH(R705,'ITENS_MTR'!$A$6:$A$1005,0),""))</f>
        <v/>
      </c>
      <c r="T705" s="96">
        <f>IF(S705="",0,IF(INDEX('ITENS_MTR'!$R$6:$R$1005,S705)=1,1,0))</f>
        <v>0</v>
      </c>
      <c r="U705" s="96" t="str">
        <f>IF(T705=1,INDEX('ITENS_MTR'!$T$6:$T$1005,S705),"")</f>
        <v/>
      </c>
      <c r="V705" s="97" t="str">
        <f>IF(N(U705)&gt;0,INDEX('MTRs'!$E$6:$E$505,U705),"")</f>
        <v/>
      </c>
      <c r="W705" s="96" t="str">
        <f>IF(G705="","",IFERROR(IF(ISNUMBER(INDEX(cfg_fac,MATCH(G705,cfg_units,0))),IF(INDEX(cfg_fac,MATCH(G705,cfg_units,0))&gt;0,INDEX(cfg_fac,MATCH(G705,cfg_units,0)),""),""),""))</f>
        <v/>
      </c>
      <c r="X705" s="96">
        <f>IF(AND(ISNUMBER(F705),ISNUMBER(H705)),IF(H705&gt;0,1,0),0)</f>
        <v>0</v>
      </c>
      <c r="Y705" s="96">
        <f>IF(Q705=0,0,IF(OR(T705=0,X705=0,NOT(ISNUMBER(E705)),AND(J705="Sim",L705="",M705=""),AND(ISNUMBER(E705),ISNUMBER(V705),N(V705)&gt;0,E705&lt;N(V705))),1,0))</f>
        <v>0</v>
      </c>
      <c r="Z705" s="96">
        <f>IF(AND(Q705=1,T705=1,X705=1,J705="Sim",OR(L705&lt;&gt;"",M705&lt;&gt;"")),1,0)</f>
        <v>0</v>
      </c>
      <c r="AA705" s="96">
        <f>IF(Q705=0,0,IF(AND(OR(r_ini="",AND(ISNUMBER(E705),E705&gt;=r_ini)),OR(r_fim="",AND(ISNUMBER(E705),E705&lt;=r_fim)),OR(r_un="",r_un="(Todas)",IF(N(U705)&gt;0,INDEX('MTRs'!$G$6:$G$505,U705),"")=r_un),OR(r_de="",r_de="(Todos)",D705=r_de)),1,0))</f>
        <v>0</v>
      </c>
      <c r="AB705" s="96" t="str">
        <f>IF(AA705=1,COUNTIF($AA$6:AA705,1),"")</f>
        <v/>
      </c>
    </row>
    <row r="706">
      <c r="A706" s="89" t="inlineStr">
        <is>
          <t>REC-000701</t>
        </is>
      </c>
      <c r="B706" s="94" t="str">
        <f>IF(T706=1,INDEX('ITENS_MTR'!$S$6:$S$1005,S706)&amp;"","")</f>
        <v/>
      </c>
      <c r="C706" s="91" t="n"/>
      <c r="D706" s="94" t="str">
        <f>IF(N(U706)&gt;0,INDEX('MTRs'!$I$6:$I$505,U706)&amp;"","")</f>
        <v/>
      </c>
      <c r="E706" s="92" t="n"/>
      <c r="F706" s="98" t="n"/>
      <c r="G706" s="91" t="n"/>
      <c r="H706" s="93" t="str">
        <f>IF(Q706=0,"",IF(NOT(ISNUMBER(F706)),"",IF(ISNUMBER(W706),F706*W706,"UNIDADE A CONFERIR")))</f>
        <v/>
      </c>
      <c r="I706" s="91" t="n"/>
      <c r="J706" s="91" t="n"/>
      <c r="K706" s="92" t="n"/>
      <c r="L706" s="91" t="n"/>
      <c r="M706" s="91" t="n"/>
      <c r="N706" s="91" t="n"/>
      <c r="O706" s="91" t="n"/>
      <c r="P706" s="94" t="str">
        <f>IF(Q706=0,"",IF(C706="","Item de resíduo não informado",IF(T706=0,"Item inexistente (referência inválida)",IF(NOT(ISNUMBER(F706)),"Quantidade não informada",IF(F706&lt;=0,"Quantidade não positiva",IF(G706="","Unidade não informada",IF(NOT(ISNUMBER(H706)),"Unidade a conferir",IF(NOT(ISNUMBER(E706)),"Data de recebimento não informada",IF(AND(ISNUMBER(V706),N(V706)&gt;0,E706&lt;N(V706)),"Data anterior à emissão do MTR",IF(AND(J706="Sim",L706="",M706=""),"Conferido sem evidência identificada",IF(J706&lt;&gt;"Sim","Aguardando conferência",IF(INDEX('ITENS_MTR'!$AM$6:$AM$1005,S706)=1,"Conferido (ver diferença no item)","Conferido"))))))))))))</f>
        <v/>
      </c>
      <c r="Q706" s="96">
        <f>IF(COUNTA(C706,E706:G706,I706:O706)&gt;0,1,0)</f>
        <v>0</v>
      </c>
      <c r="R706" s="96" t="str">
        <f>IF(C706="","",TRIM(LEFT(C706,FIND(" |",C706&amp;" |")-1)))</f>
        <v/>
      </c>
      <c r="S706" s="96" t="str">
        <f>IF(R706="","",IFERROR(MATCH(R706,'ITENS_MTR'!$A$6:$A$1005,0),""))</f>
        <v/>
      </c>
      <c r="T706" s="96">
        <f>IF(S706="",0,IF(INDEX('ITENS_MTR'!$R$6:$R$1005,S706)=1,1,0))</f>
        <v>0</v>
      </c>
      <c r="U706" s="96" t="str">
        <f>IF(T706=1,INDEX('ITENS_MTR'!$T$6:$T$1005,S706),"")</f>
        <v/>
      </c>
      <c r="V706" s="97" t="str">
        <f>IF(N(U706)&gt;0,INDEX('MTRs'!$E$6:$E$505,U706),"")</f>
        <v/>
      </c>
      <c r="W706" s="96" t="str">
        <f>IF(G706="","",IFERROR(IF(ISNUMBER(INDEX(cfg_fac,MATCH(G706,cfg_units,0))),IF(INDEX(cfg_fac,MATCH(G706,cfg_units,0))&gt;0,INDEX(cfg_fac,MATCH(G706,cfg_units,0)),""),""),""))</f>
        <v/>
      </c>
      <c r="X706" s="96">
        <f>IF(AND(ISNUMBER(F706),ISNUMBER(H706)),IF(H706&gt;0,1,0),0)</f>
        <v>0</v>
      </c>
      <c r="Y706" s="96">
        <f>IF(Q706=0,0,IF(OR(T706=0,X706=0,NOT(ISNUMBER(E706)),AND(J706="Sim",L706="",M706=""),AND(ISNUMBER(E706),ISNUMBER(V706),N(V706)&gt;0,E706&lt;N(V706))),1,0))</f>
        <v>0</v>
      </c>
      <c r="Z706" s="96">
        <f>IF(AND(Q706=1,T706=1,X706=1,J706="Sim",OR(L706&lt;&gt;"",M706&lt;&gt;"")),1,0)</f>
        <v>0</v>
      </c>
      <c r="AA706" s="96">
        <f>IF(Q706=0,0,IF(AND(OR(r_ini="",AND(ISNUMBER(E706),E706&gt;=r_ini)),OR(r_fim="",AND(ISNUMBER(E706),E706&lt;=r_fim)),OR(r_un="",r_un="(Todas)",IF(N(U706)&gt;0,INDEX('MTRs'!$G$6:$G$505,U706),"")=r_un),OR(r_de="",r_de="(Todos)",D706=r_de)),1,0))</f>
        <v>0</v>
      </c>
      <c r="AB706" s="96" t="str">
        <f>IF(AA706=1,COUNTIF($AA$6:AA706,1),"")</f>
        <v/>
      </c>
    </row>
    <row r="707">
      <c r="A707" s="89" t="inlineStr">
        <is>
          <t>REC-000702</t>
        </is>
      </c>
      <c r="B707" s="94" t="str">
        <f>IF(T707=1,INDEX('ITENS_MTR'!$S$6:$S$1005,S707)&amp;"","")</f>
        <v/>
      </c>
      <c r="C707" s="91" t="n"/>
      <c r="D707" s="94" t="str">
        <f>IF(N(U707)&gt;0,INDEX('MTRs'!$I$6:$I$505,U707)&amp;"","")</f>
        <v/>
      </c>
      <c r="E707" s="92" t="n"/>
      <c r="F707" s="98" t="n"/>
      <c r="G707" s="91" t="n"/>
      <c r="H707" s="93" t="str">
        <f>IF(Q707=0,"",IF(NOT(ISNUMBER(F707)),"",IF(ISNUMBER(W707),F707*W707,"UNIDADE A CONFERIR")))</f>
        <v/>
      </c>
      <c r="I707" s="91" t="n"/>
      <c r="J707" s="91" t="n"/>
      <c r="K707" s="92" t="n"/>
      <c r="L707" s="91" t="n"/>
      <c r="M707" s="91" t="n"/>
      <c r="N707" s="91" t="n"/>
      <c r="O707" s="91" t="n"/>
      <c r="P707" s="94" t="str">
        <f>IF(Q707=0,"",IF(C707="","Item de resíduo não informado",IF(T707=0,"Item inexistente (referência inválida)",IF(NOT(ISNUMBER(F707)),"Quantidade não informada",IF(F707&lt;=0,"Quantidade não positiva",IF(G707="","Unidade não informada",IF(NOT(ISNUMBER(H707)),"Unidade a conferir",IF(NOT(ISNUMBER(E707)),"Data de recebimento não informada",IF(AND(ISNUMBER(V707),N(V707)&gt;0,E707&lt;N(V707)),"Data anterior à emissão do MTR",IF(AND(J707="Sim",L707="",M707=""),"Conferido sem evidência identificada",IF(J707&lt;&gt;"Sim","Aguardando conferência",IF(INDEX('ITENS_MTR'!$AM$6:$AM$1005,S707)=1,"Conferido (ver diferença no item)","Conferido"))))))))))))</f>
        <v/>
      </c>
      <c r="Q707" s="96">
        <f>IF(COUNTA(C707,E707:G707,I707:O707)&gt;0,1,0)</f>
        <v>0</v>
      </c>
      <c r="R707" s="96" t="str">
        <f>IF(C707="","",TRIM(LEFT(C707,FIND(" |",C707&amp;" |")-1)))</f>
        <v/>
      </c>
      <c r="S707" s="96" t="str">
        <f>IF(R707="","",IFERROR(MATCH(R707,'ITENS_MTR'!$A$6:$A$1005,0),""))</f>
        <v/>
      </c>
      <c r="T707" s="96">
        <f>IF(S707="",0,IF(INDEX('ITENS_MTR'!$R$6:$R$1005,S707)=1,1,0))</f>
        <v>0</v>
      </c>
      <c r="U707" s="96" t="str">
        <f>IF(T707=1,INDEX('ITENS_MTR'!$T$6:$T$1005,S707),"")</f>
        <v/>
      </c>
      <c r="V707" s="97" t="str">
        <f>IF(N(U707)&gt;0,INDEX('MTRs'!$E$6:$E$505,U707),"")</f>
        <v/>
      </c>
      <c r="W707" s="96" t="str">
        <f>IF(G707="","",IFERROR(IF(ISNUMBER(INDEX(cfg_fac,MATCH(G707,cfg_units,0))),IF(INDEX(cfg_fac,MATCH(G707,cfg_units,0))&gt;0,INDEX(cfg_fac,MATCH(G707,cfg_units,0)),""),""),""))</f>
        <v/>
      </c>
      <c r="X707" s="96">
        <f>IF(AND(ISNUMBER(F707),ISNUMBER(H707)),IF(H707&gt;0,1,0),0)</f>
        <v>0</v>
      </c>
      <c r="Y707" s="96">
        <f>IF(Q707=0,0,IF(OR(T707=0,X707=0,NOT(ISNUMBER(E707)),AND(J707="Sim",L707="",M707=""),AND(ISNUMBER(E707),ISNUMBER(V707),N(V707)&gt;0,E707&lt;N(V707))),1,0))</f>
        <v>0</v>
      </c>
      <c r="Z707" s="96">
        <f>IF(AND(Q707=1,T707=1,X707=1,J707="Sim",OR(L707&lt;&gt;"",M707&lt;&gt;"")),1,0)</f>
        <v>0</v>
      </c>
      <c r="AA707" s="96">
        <f>IF(Q707=0,0,IF(AND(OR(r_ini="",AND(ISNUMBER(E707),E707&gt;=r_ini)),OR(r_fim="",AND(ISNUMBER(E707),E707&lt;=r_fim)),OR(r_un="",r_un="(Todas)",IF(N(U707)&gt;0,INDEX('MTRs'!$G$6:$G$505,U707),"")=r_un),OR(r_de="",r_de="(Todos)",D707=r_de)),1,0))</f>
        <v>0</v>
      </c>
      <c r="AB707" s="96" t="str">
        <f>IF(AA707=1,COUNTIF($AA$6:AA707,1),"")</f>
        <v/>
      </c>
    </row>
    <row r="708">
      <c r="A708" s="89" t="inlineStr">
        <is>
          <t>REC-000703</t>
        </is>
      </c>
      <c r="B708" s="94" t="str">
        <f>IF(T708=1,INDEX('ITENS_MTR'!$S$6:$S$1005,S708)&amp;"","")</f>
        <v/>
      </c>
      <c r="C708" s="91" t="n"/>
      <c r="D708" s="94" t="str">
        <f>IF(N(U708)&gt;0,INDEX('MTRs'!$I$6:$I$505,U708)&amp;"","")</f>
        <v/>
      </c>
      <c r="E708" s="92" t="n"/>
      <c r="F708" s="98" t="n"/>
      <c r="G708" s="91" t="n"/>
      <c r="H708" s="93" t="str">
        <f>IF(Q708=0,"",IF(NOT(ISNUMBER(F708)),"",IF(ISNUMBER(W708),F708*W708,"UNIDADE A CONFERIR")))</f>
        <v/>
      </c>
      <c r="I708" s="91" t="n"/>
      <c r="J708" s="91" t="n"/>
      <c r="K708" s="92" t="n"/>
      <c r="L708" s="91" t="n"/>
      <c r="M708" s="91" t="n"/>
      <c r="N708" s="91" t="n"/>
      <c r="O708" s="91" t="n"/>
      <c r="P708" s="94" t="str">
        <f>IF(Q708=0,"",IF(C708="","Item de resíduo não informado",IF(T708=0,"Item inexistente (referência inválida)",IF(NOT(ISNUMBER(F708)),"Quantidade não informada",IF(F708&lt;=0,"Quantidade não positiva",IF(G708="","Unidade não informada",IF(NOT(ISNUMBER(H708)),"Unidade a conferir",IF(NOT(ISNUMBER(E708)),"Data de recebimento não informada",IF(AND(ISNUMBER(V708),N(V708)&gt;0,E708&lt;N(V708)),"Data anterior à emissão do MTR",IF(AND(J708="Sim",L708="",M708=""),"Conferido sem evidência identificada",IF(J708&lt;&gt;"Sim","Aguardando conferência",IF(INDEX('ITENS_MTR'!$AM$6:$AM$1005,S708)=1,"Conferido (ver diferença no item)","Conferido"))))))))))))</f>
        <v/>
      </c>
      <c r="Q708" s="96">
        <f>IF(COUNTA(C708,E708:G708,I708:O708)&gt;0,1,0)</f>
        <v>0</v>
      </c>
      <c r="R708" s="96" t="str">
        <f>IF(C708="","",TRIM(LEFT(C708,FIND(" |",C708&amp;" |")-1)))</f>
        <v/>
      </c>
      <c r="S708" s="96" t="str">
        <f>IF(R708="","",IFERROR(MATCH(R708,'ITENS_MTR'!$A$6:$A$1005,0),""))</f>
        <v/>
      </c>
      <c r="T708" s="96">
        <f>IF(S708="",0,IF(INDEX('ITENS_MTR'!$R$6:$R$1005,S708)=1,1,0))</f>
        <v>0</v>
      </c>
      <c r="U708" s="96" t="str">
        <f>IF(T708=1,INDEX('ITENS_MTR'!$T$6:$T$1005,S708),"")</f>
        <v/>
      </c>
      <c r="V708" s="97" t="str">
        <f>IF(N(U708)&gt;0,INDEX('MTRs'!$E$6:$E$505,U708),"")</f>
        <v/>
      </c>
      <c r="W708" s="96" t="str">
        <f>IF(G708="","",IFERROR(IF(ISNUMBER(INDEX(cfg_fac,MATCH(G708,cfg_units,0))),IF(INDEX(cfg_fac,MATCH(G708,cfg_units,0))&gt;0,INDEX(cfg_fac,MATCH(G708,cfg_units,0)),""),""),""))</f>
        <v/>
      </c>
      <c r="X708" s="96">
        <f>IF(AND(ISNUMBER(F708),ISNUMBER(H708)),IF(H708&gt;0,1,0),0)</f>
        <v>0</v>
      </c>
      <c r="Y708" s="96">
        <f>IF(Q708=0,0,IF(OR(T708=0,X708=0,NOT(ISNUMBER(E708)),AND(J708="Sim",L708="",M708=""),AND(ISNUMBER(E708),ISNUMBER(V708),N(V708)&gt;0,E708&lt;N(V708))),1,0))</f>
        <v>0</v>
      </c>
      <c r="Z708" s="96">
        <f>IF(AND(Q708=1,T708=1,X708=1,J708="Sim",OR(L708&lt;&gt;"",M708&lt;&gt;"")),1,0)</f>
        <v>0</v>
      </c>
      <c r="AA708" s="96">
        <f>IF(Q708=0,0,IF(AND(OR(r_ini="",AND(ISNUMBER(E708),E708&gt;=r_ini)),OR(r_fim="",AND(ISNUMBER(E708),E708&lt;=r_fim)),OR(r_un="",r_un="(Todas)",IF(N(U708)&gt;0,INDEX('MTRs'!$G$6:$G$505,U708),"")=r_un),OR(r_de="",r_de="(Todos)",D708=r_de)),1,0))</f>
        <v>0</v>
      </c>
      <c r="AB708" s="96" t="str">
        <f>IF(AA708=1,COUNTIF($AA$6:AA708,1),"")</f>
        <v/>
      </c>
    </row>
    <row r="709">
      <c r="A709" s="89" t="inlineStr">
        <is>
          <t>REC-000704</t>
        </is>
      </c>
      <c r="B709" s="94" t="str">
        <f>IF(T709=1,INDEX('ITENS_MTR'!$S$6:$S$1005,S709)&amp;"","")</f>
        <v/>
      </c>
      <c r="C709" s="91" t="n"/>
      <c r="D709" s="94" t="str">
        <f>IF(N(U709)&gt;0,INDEX('MTRs'!$I$6:$I$505,U709)&amp;"","")</f>
        <v/>
      </c>
      <c r="E709" s="92" t="n"/>
      <c r="F709" s="98" t="n"/>
      <c r="G709" s="91" t="n"/>
      <c r="H709" s="93" t="str">
        <f>IF(Q709=0,"",IF(NOT(ISNUMBER(F709)),"",IF(ISNUMBER(W709),F709*W709,"UNIDADE A CONFERIR")))</f>
        <v/>
      </c>
      <c r="I709" s="91" t="n"/>
      <c r="J709" s="91" t="n"/>
      <c r="K709" s="92" t="n"/>
      <c r="L709" s="91" t="n"/>
      <c r="M709" s="91" t="n"/>
      <c r="N709" s="91" t="n"/>
      <c r="O709" s="91" t="n"/>
      <c r="P709" s="94" t="str">
        <f>IF(Q709=0,"",IF(C709="","Item de resíduo não informado",IF(T709=0,"Item inexistente (referência inválida)",IF(NOT(ISNUMBER(F709)),"Quantidade não informada",IF(F709&lt;=0,"Quantidade não positiva",IF(G709="","Unidade não informada",IF(NOT(ISNUMBER(H709)),"Unidade a conferir",IF(NOT(ISNUMBER(E709)),"Data de recebimento não informada",IF(AND(ISNUMBER(V709),N(V709)&gt;0,E709&lt;N(V709)),"Data anterior à emissão do MTR",IF(AND(J709="Sim",L709="",M709=""),"Conferido sem evidência identificada",IF(J709&lt;&gt;"Sim","Aguardando conferência",IF(INDEX('ITENS_MTR'!$AM$6:$AM$1005,S709)=1,"Conferido (ver diferença no item)","Conferido"))))))))))))</f>
        <v/>
      </c>
      <c r="Q709" s="96">
        <f>IF(COUNTA(C709,E709:G709,I709:O709)&gt;0,1,0)</f>
        <v>0</v>
      </c>
      <c r="R709" s="96" t="str">
        <f>IF(C709="","",TRIM(LEFT(C709,FIND(" |",C709&amp;" |")-1)))</f>
        <v/>
      </c>
      <c r="S709" s="96" t="str">
        <f>IF(R709="","",IFERROR(MATCH(R709,'ITENS_MTR'!$A$6:$A$1005,0),""))</f>
        <v/>
      </c>
      <c r="T709" s="96">
        <f>IF(S709="",0,IF(INDEX('ITENS_MTR'!$R$6:$R$1005,S709)=1,1,0))</f>
        <v>0</v>
      </c>
      <c r="U709" s="96" t="str">
        <f>IF(T709=1,INDEX('ITENS_MTR'!$T$6:$T$1005,S709),"")</f>
        <v/>
      </c>
      <c r="V709" s="97" t="str">
        <f>IF(N(U709)&gt;0,INDEX('MTRs'!$E$6:$E$505,U709),"")</f>
        <v/>
      </c>
      <c r="W709" s="96" t="str">
        <f>IF(G709="","",IFERROR(IF(ISNUMBER(INDEX(cfg_fac,MATCH(G709,cfg_units,0))),IF(INDEX(cfg_fac,MATCH(G709,cfg_units,0))&gt;0,INDEX(cfg_fac,MATCH(G709,cfg_units,0)),""),""),""))</f>
        <v/>
      </c>
      <c r="X709" s="96">
        <f>IF(AND(ISNUMBER(F709),ISNUMBER(H709)),IF(H709&gt;0,1,0),0)</f>
        <v>0</v>
      </c>
      <c r="Y709" s="96">
        <f>IF(Q709=0,0,IF(OR(T709=0,X709=0,NOT(ISNUMBER(E709)),AND(J709="Sim",L709="",M709=""),AND(ISNUMBER(E709),ISNUMBER(V709),N(V709)&gt;0,E709&lt;N(V709))),1,0))</f>
        <v>0</v>
      </c>
      <c r="Z709" s="96">
        <f>IF(AND(Q709=1,T709=1,X709=1,J709="Sim",OR(L709&lt;&gt;"",M709&lt;&gt;"")),1,0)</f>
        <v>0</v>
      </c>
      <c r="AA709" s="96">
        <f>IF(Q709=0,0,IF(AND(OR(r_ini="",AND(ISNUMBER(E709),E709&gt;=r_ini)),OR(r_fim="",AND(ISNUMBER(E709),E709&lt;=r_fim)),OR(r_un="",r_un="(Todas)",IF(N(U709)&gt;0,INDEX('MTRs'!$G$6:$G$505,U709),"")=r_un),OR(r_de="",r_de="(Todos)",D709=r_de)),1,0))</f>
        <v>0</v>
      </c>
      <c r="AB709" s="96" t="str">
        <f>IF(AA709=1,COUNTIF($AA$6:AA709,1),"")</f>
        <v/>
      </c>
    </row>
    <row r="710">
      <c r="A710" s="89" t="inlineStr">
        <is>
          <t>REC-000705</t>
        </is>
      </c>
      <c r="B710" s="94" t="str">
        <f>IF(T710=1,INDEX('ITENS_MTR'!$S$6:$S$1005,S710)&amp;"","")</f>
        <v/>
      </c>
      <c r="C710" s="91" t="n"/>
      <c r="D710" s="94" t="str">
        <f>IF(N(U710)&gt;0,INDEX('MTRs'!$I$6:$I$505,U710)&amp;"","")</f>
        <v/>
      </c>
      <c r="E710" s="92" t="n"/>
      <c r="F710" s="98" t="n"/>
      <c r="G710" s="91" t="n"/>
      <c r="H710" s="93" t="str">
        <f>IF(Q710=0,"",IF(NOT(ISNUMBER(F710)),"",IF(ISNUMBER(W710),F710*W710,"UNIDADE A CONFERIR")))</f>
        <v/>
      </c>
      <c r="I710" s="91" t="n"/>
      <c r="J710" s="91" t="n"/>
      <c r="K710" s="92" t="n"/>
      <c r="L710" s="91" t="n"/>
      <c r="M710" s="91" t="n"/>
      <c r="N710" s="91" t="n"/>
      <c r="O710" s="91" t="n"/>
      <c r="P710" s="94" t="str">
        <f>IF(Q710=0,"",IF(C710="","Item de resíduo não informado",IF(T710=0,"Item inexistente (referência inválida)",IF(NOT(ISNUMBER(F710)),"Quantidade não informada",IF(F710&lt;=0,"Quantidade não positiva",IF(G710="","Unidade não informada",IF(NOT(ISNUMBER(H710)),"Unidade a conferir",IF(NOT(ISNUMBER(E710)),"Data de recebimento não informada",IF(AND(ISNUMBER(V710),N(V710)&gt;0,E710&lt;N(V710)),"Data anterior à emissão do MTR",IF(AND(J710="Sim",L710="",M710=""),"Conferido sem evidência identificada",IF(J710&lt;&gt;"Sim","Aguardando conferência",IF(INDEX('ITENS_MTR'!$AM$6:$AM$1005,S710)=1,"Conferido (ver diferença no item)","Conferido"))))))))))))</f>
        <v/>
      </c>
      <c r="Q710" s="96">
        <f>IF(COUNTA(C710,E710:G710,I710:O710)&gt;0,1,0)</f>
        <v>0</v>
      </c>
      <c r="R710" s="96" t="str">
        <f>IF(C710="","",TRIM(LEFT(C710,FIND(" |",C710&amp;" |")-1)))</f>
        <v/>
      </c>
      <c r="S710" s="96" t="str">
        <f>IF(R710="","",IFERROR(MATCH(R710,'ITENS_MTR'!$A$6:$A$1005,0),""))</f>
        <v/>
      </c>
      <c r="T710" s="96">
        <f>IF(S710="",0,IF(INDEX('ITENS_MTR'!$R$6:$R$1005,S710)=1,1,0))</f>
        <v>0</v>
      </c>
      <c r="U710" s="96" t="str">
        <f>IF(T710=1,INDEX('ITENS_MTR'!$T$6:$T$1005,S710),"")</f>
        <v/>
      </c>
      <c r="V710" s="97" t="str">
        <f>IF(N(U710)&gt;0,INDEX('MTRs'!$E$6:$E$505,U710),"")</f>
        <v/>
      </c>
      <c r="W710" s="96" t="str">
        <f>IF(G710="","",IFERROR(IF(ISNUMBER(INDEX(cfg_fac,MATCH(G710,cfg_units,0))),IF(INDEX(cfg_fac,MATCH(G710,cfg_units,0))&gt;0,INDEX(cfg_fac,MATCH(G710,cfg_units,0)),""),""),""))</f>
        <v/>
      </c>
      <c r="X710" s="96">
        <f>IF(AND(ISNUMBER(F710),ISNUMBER(H710)),IF(H710&gt;0,1,0),0)</f>
        <v>0</v>
      </c>
      <c r="Y710" s="96">
        <f>IF(Q710=0,0,IF(OR(T710=0,X710=0,NOT(ISNUMBER(E710)),AND(J710="Sim",L710="",M710=""),AND(ISNUMBER(E710),ISNUMBER(V710),N(V710)&gt;0,E710&lt;N(V710))),1,0))</f>
        <v>0</v>
      </c>
      <c r="Z710" s="96">
        <f>IF(AND(Q710=1,T710=1,X710=1,J710="Sim",OR(L710&lt;&gt;"",M710&lt;&gt;"")),1,0)</f>
        <v>0</v>
      </c>
      <c r="AA710" s="96">
        <f>IF(Q710=0,0,IF(AND(OR(r_ini="",AND(ISNUMBER(E710),E710&gt;=r_ini)),OR(r_fim="",AND(ISNUMBER(E710),E710&lt;=r_fim)),OR(r_un="",r_un="(Todas)",IF(N(U710)&gt;0,INDEX('MTRs'!$G$6:$G$505,U710),"")=r_un),OR(r_de="",r_de="(Todos)",D710=r_de)),1,0))</f>
        <v>0</v>
      </c>
      <c r="AB710" s="96" t="str">
        <f>IF(AA710=1,COUNTIF($AA$6:AA710,1),"")</f>
        <v/>
      </c>
    </row>
    <row r="711">
      <c r="A711" s="89" t="inlineStr">
        <is>
          <t>REC-000706</t>
        </is>
      </c>
      <c r="B711" s="94" t="str">
        <f>IF(T711=1,INDEX('ITENS_MTR'!$S$6:$S$1005,S711)&amp;"","")</f>
        <v/>
      </c>
      <c r="C711" s="91" t="n"/>
      <c r="D711" s="94" t="str">
        <f>IF(N(U711)&gt;0,INDEX('MTRs'!$I$6:$I$505,U711)&amp;"","")</f>
        <v/>
      </c>
      <c r="E711" s="92" t="n"/>
      <c r="F711" s="98" t="n"/>
      <c r="G711" s="91" t="n"/>
      <c r="H711" s="93" t="str">
        <f>IF(Q711=0,"",IF(NOT(ISNUMBER(F711)),"",IF(ISNUMBER(W711),F711*W711,"UNIDADE A CONFERIR")))</f>
        <v/>
      </c>
      <c r="I711" s="91" t="n"/>
      <c r="J711" s="91" t="n"/>
      <c r="K711" s="92" t="n"/>
      <c r="L711" s="91" t="n"/>
      <c r="M711" s="91" t="n"/>
      <c r="N711" s="91" t="n"/>
      <c r="O711" s="91" t="n"/>
      <c r="P711" s="94" t="str">
        <f>IF(Q711=0,"",IF(C711="","Item de resíduo não informado",IF(T711=0,"Item inexistente (referência inválida)",IF(NOT(ISNUMBER(F711)),"Quantidade não informada",IF(F711&lt;=0,"Quantidade não positiva",IF(G711="","Unidade não informada",IF(NOT(ISNUMBER(H711)),"Unidade a conferir",IF(NOT(ISNUMBER(E711)),"Data de recebimento não informada",IF(AND(ISNUMBER(V711),N(V711)&gt;0,E711&lt;N(V711)),"Data anterior à emissão do MTR",IF(AND(J711="Sim",L711="",M711=""),"Conferido sem evidência identificada",IF(J711&lt;&gt;"Sim","Aguardando conferência",IF(INDEX('ITENS_MTR'!$AM$6:$AM$1005,S711)=1,"Conferido (ver diferença no item)","Conferido"))))))))))))</f>
        <v/>
      </c>
      <c r="Q711" s="96">
        <f>IF(COUNTA(C711,E711:G711,I711:O711)&gt;0,1,0)</f>
        <v>0</v>
      </c>
      <c r="R711" s="96" t="str">
        <f>IF(C711="","",TRIM(LEFT(C711,FIND(" |",C711&amp;" |")-1)))</f>
        <v/>
      </c>
      <c r="S711" s="96" t="str">
        <f>IF(R711="","",IFERROR(MATCH(R711,'ITENS_MTR'!$A$6:$A$1005,0),""))</f>
        <v/>
      </c>
      <c r="T711" s="96">
        <f>IF(S711="",0,IF(INDEX('ITENS_MTR'!$R$6:$R$1005,S711)=1,1,0))</f>
        <v>0</v>
      </c>
      <c r="U711" s="96" t="str">
        <f>IF(T711=1,INDEX('ITENS_MTR'!$T$6:$T$1005,S711),"")</f>
        <v/>
      </c>
      <c r="V711" s="97" t="str">
        <f>IF(N(U711)&gt;0,INDEX('MTRs'!$E$6:$E$505,U711),"")</f>
        <v/>
      </c>
      <c r="W711" s="96" t="str">
        <f>IF(G711="","",IFERROR(IF(ISNUMBER(INDEX(cfg_fac,MATCH(G711,cfg_units,0))),IF(INDEX(cfg_fac,MATCH(G711,cfg_units,0))&gt;0,INDEX(cfg_fac,MATCH(G711,cfg_units,0)),""),""),""))</f>
        <v/>
      </c>
      <c r="X711" s="96">
        <f>IF(AND(ISNUMBER(F711),ISNUMBER(H711)),IF(H711&gt;0,1,0),0)</f>
        <v>0</v>
      </c>
      <c r="Y711" s="96">
        <f>IF(Q711=0,0,IF(OR(T711=0,X711=0,NOT(ISNUMBER(E711)),AND(J711="Sim",L711="",M711=""),AND(ISNUMBER(E711),ISNUMBER(V711),N(V711)&gt;0,E711&lt;N(V711))),1,0))</f>
        <v>0</v>
      </c>
      <c r="Z711" s="96">
        <f>IF(AND(Q711=1,T711=1,X711=1,J711="Sim",OR(L711&lt;&gt;"",M711&lt;&gt;"")),1,0)</f>
        <v>0</v>
      </c>
      <c r="AA711" s="96">
        <f>IF(Q711=0,0,IF(AND(OR(r_ini="",AND(ISNUMBER(E711),E711&gt;=r_ini)),OR(r_fim="",AND(ISNUMBER(E711),E711&lt;=r_fim)),OR(r_un="",r_un="(Todas)",IF(N(U711)&gt;0,INDEX('MTRs'!$G$6:$G$505,U711),"")=r_un),OR(r_de="",r_de="(Todos)",D711=r_de)),1,0))</f>
        <v>0</v>
      </c>
      <c r="AB711" s="96" t="str">
        <f>IF(AA711=1,COUNTIF($AA$6:AA711,1),"")</f>
        <v/>
      </c>
    </row>
    <row r="712">
      <c r="A712" s="89" t="inlineStr">
        <is>
          <t>REC-000707</t>
        </is>
      </c>
      <c r="B712" s="94" t="str">
        <f>IF(T712=1,INDEX('ITENS_MTR'!$S$6:$S$1005,S712)&amp;"","")</f>
        <v/>
      </c>
      <c r="C712" s="91" t="n"/>
      <c r="D712" s="94" t="str">
        <f>IF(N(U712)&gt;0,INDEX('MTRs'!$I$6:$I$505,U712)&amp;"","")</f>
        <v/>
      </c>
      <c r="E712" s="92" t="n"/>
      <c r="F712" s="98" t="n"/>
      <c r="G712" s="91" t="n"/>
      <c r="H712" s="93" t="str">
        <f>IF(Q712=0,"",IF(NOT(ISNUMBER(F712)),"",IF(ISNUMBER(W712),F712*W712,"UNIDADE A CONFERIR")))</f>
        <v/>
      </c>
      <c r="I712" s="91" t="n"/>
      <c r="J712" s="91" t="n"/>
      <c r="K712" s="92" t="n"/>
      <c r="L712" s="91" t="n"/>
      <c r="M712" s="91" t="n"/>
      <c r="N712" s="91" t="n"/>
      <c r="O712" s="91" t="n"/>
      <c r="P712" s="94" t="str">
        <f>IF(Q712=0,"",IF(C712="","Item de resíduo não informado",IF(T712=0,"Item inexistente (referência inválida)",IF(NOT(ISNUMBER(F712)),"Quantidade não informada",IF(F712&lt;=0,"Quantidade não positiva",IF(G712="","Unidade não informada",IF(NOT(ISNUMBER(H712)),"Unidade a conferir",IF(NOT(ISNUMBER(E712)),"Data de recebimento não informada",IF(AND(ISNUMBER(V712),N(V712)&gt;0,E712&lt;N(V712)),"Data anterior à emissão do MTR",IF(AND(J712="Sim",L712="",M712=""),"Conferido sem evidência identificada",IF(J712&lt;&gt;"Sim","Aguardando conferência",IF(INDEX('ITENS_MTR'!$AM$6:$AM$1005,S712)=1,"Conferido (ver diferença no item)","Conferido"))))))))))))</f>
        <v/>
      </c>
      <c r="Q712" s="96">
        <f>IF(COUNTA(C712,E712:G712,I712:O712)&gt;0,1,0)</f>
        <v>0</v>
      </c>
      <c r="R712" s="96" t="str">
        <f>IF(C712="","",TRIM(LEFT(C712,FIND(" |",C712&amp;" |")-1)))</f>
        <v/>
      </c>
      <c r="S712" s="96" t="str">
        <f>IF(R712="","",IFERROR(MATCH(R712,'ITENS_MTR'!$A$6:$A$1005,0),""))</f>
        <v/>
      </c>
      <c r="T712" s="96">
        <f>IF(S712="",0,IF(INDEX('ITENS_MTR'!$R$6:$R$1005,S712)=1,1,0))</f>
        <v>0</v>
      </c>
      <c r="U712" s="96" t="str">
        <f>IF(T712=1,INDEX('ITENS_MTR'!$T$6:$T$1005,S712),"")</f>
        <v/>
      </c>
      <c r="V712" s="97" t="str">
        <f>IF(N(U712)&gt;0,INDEX('MTRs'!$E$6:$E$505,U712),"")</f>
        <v/>
      </c>
      <c r="W712" s="96" t="str">
        <f>IF(G712="","",IFERROR(IF(ISNUMBER(INDEX(cfg_fac,MATCH(G712,cfg_units,0))),IF(INDEX(cfg_fac,MATCH(G712,cfg_units,0))&gt;0,INDEX(cfg_fac,MATCH(G712,cfg_units,0)),""),""),""))</f>
        <v/>
      </c>
      <c r="X712" s="96">
        <f>IF(AND(ISNUMBER(F712),ISNUMBER(H712)),IF(H712&gt;0,1,0),0)</f>
        <v>0</v>
      </c>
      <c r="Y712" s="96">
        <f>IF(Q712=0,0,IF(OR(T712=0,X712=0,NOT(ISNUMBER(E712)),AND(J712="Sim",L712="",M712=""),AND(ISNUMBER(E712),ISNUMBER(V712),N(V712)&gt;0,E712&lt;N(V712))),1,0))</f>
        <v>0</v>
      </c>
      <c r="Z712" s="96">
        <f>IF(AND(Q712=1,T712=1,X712=1,J712="Sim",OR(L712&lt;&gt;"",M712&lt;&gt;"")),1,0)</f>
        <v>0</v>
      </c>
      <c r="AA712" s="96">
        <f>IF(Q712=0,0,IF(AND(OR(r_ini="",AND(ISNUMBER(E712),E712&gt;=r_ini)),OR(r_fim="",AND(ISNUMBER(E712),E712&lt;=r_fim)),OR(r_un="",r_un="(Todas)",IF(N(U712)&gt;0,INDEX('MTRs'!$G$6:$G$505,U712),"")=r_un),OR(r_de="",r_de="(Todos)",D712=r_de)),1,0))</f>
        <v>0</v>
      </c>
      <c r="AB712" s="96" t="str">
        <f>IF(AA712=1,COUNTIF($AA$6:AA712,1),"")</f>
        <v/>
      </c>
    </row>
    <row r="713">
      <c r="A713" s="89" t="inlineStr">
        <is>
          <t>REC-000708</t>
        </is>
      </c>
      <c r="B713" s="94" t="str">
        <f>IF(T713=1,INDEX('ITENS_MTR'!$S$6:$S$1005,S713)&amp;"","")</f>
        <v/>
      </c>
      <c r="C713" s="91" t="n"/>
      <c r="D713" s="94" t="str">
        <f>IF(N(U713)&gt;0,INDEX('MTRs'!$I$6:$I$505,U713)&amp;"","")</f>
        <v/>
      </c>
      <c r="E713" s="92" t="n"/>
      <c r="F713" s="98" t="n"/>
      <c r="G713" s="91" t="n"/>
      <c r="H713" s="93" t="str">
        <f>IF(Q713=0,"",IF(NOT(ISNUMBER(F713)),"",IF(ISNUMBER(W713),F713*W713,"UNIDADE A CONFERIR")))</f>
        <v/>
      </c>
      <c r="I713" s="91" t="n"/>
      <c r="J713" s="91" t="n"/>
      <c r="K713" s="92" t="n"/>
      <c r="L713" s="91" t="n"/>
      <c r="M713" s="91" t="n"/>
      <c r="N713" s="91" t="n"/>
      <c r="O713" s="91" t="n"/>
      <c r="P713" s="94" t="str">
        <f>IF(Q713=0,"",IF(C713="","Item de resíduo não informado",IF(T713=0,"Item inexistente (referência inválida)",IF(NOT(ISNUMBER(F713)),"Quantidade não informada",IF(F713&lt;=0,"Quantidade não positiva",IF(G713="","Unidade não informada",IF(NOT(ISNUMBER(H713)),"Unidade a conferir",IF(NOT(ISNUMBER(E713)),"Data de recebimento não informada",IF(AND(ISNUMBER(V713),N(V713)&gt;0,E713&lt;N(V713)),"Data anterior à emissão do MTR",IF(AND(J713="Sim",L713="",M713=""),"Conferido sem evidência identificada",IF(J713&lt;&gt;"Sim","Aguardando conferência",IF(INDEX('ITENS_MTR'!$AM$6:$AM$1005,S713)=1,"Conferido (ver diferença no item)","Conferido"))))))))))))</f>
        <v/>
      </c>
      <c r="Q713" s="96">
        <f>IF(COUNTA(C713,E713:G713,I713:O713)&gt;0,1,0)</f>
        <v>0</v>
      </c>
      <c r="R713" s="96" t="str">
        <f>IF(C713="","",TRIM(LEFT(C713,FIND(" |",C713&amp;" |")-1)))</f>
        <v/>
      </c>
      <c r="S713" s="96" t="str">
        <f>IF(R713="","",IFERROR(MATCH(R713,'ITENS_MTR'!$A$6:$A$1005,0),""))</f>
        <v/>
      </c>
      <c r="T713" s="96">
        <f>IF(S713="",0,IF(INDEX('ITENS_MTR'!$R$6:$R$1005,S713)=1,1,0))</f>
        <v>0</v>
      </c>
      <c r="U713" s="96" t="str">
        <f>IF(T713=1,INDEX('ITENS_MTR'!$T$6:$T$1005,S713),"")</f>
        <v/>
      </c>
      <c r="V713" s="97" t="str">
        <f>IF(N(U713)&gt;0,INDEX('MTRs'!$E$6:$E$505,U713),"")</f>
        <v/>
      </c>
      <c r="W713" s="96" t="str">
        <f>IF(G713="","",IFERROR(IF(ISNUMBER(INDEX(cfg_fac,MATCH(G713,cfg_units,0))),IF(INDEX(cfg_fac,MATCH(G713,cfg_units,0))&gt;0,INDEX(cfg_fac,MATCH(G713,cfg_units,0)),""),""),""))</f>
        <v/>
      </c>
      <c r="X713" s="96">
        <f>IF(AND(ISNUMBER(F713),ISNUMBER(H713)),IF(H713&gt;0,1,0),0)</f>
        <v>0</v>
      </c>
      <c r="Y713" s="96">
        <f>IF(Q713=0,0,IF(OR(T713=0,X713=0,NOT(ISNUMBER(E713)),AND(J713="Sim",L713="",M713=""),AND(ISNUMBER(E713),ISNUMBER(V713),N(V713)&gt;0,E713&lt;N(V713))),1,0))</f>
        <v>0</v>
      </c>
      <c r="Z713" s="96">
        <f>IF(AND(Q713=1,T713=1,X713=1,J713="Sim",OR(L713&lt;&gt;"",M713&lt;&gt;"")),1,0)</f>
        <v>0</v>
      </c>
      <c r="AA713" s="96">
        <f>IF(Q713=0,0,IF(AND(OR(r_ini="",AND(ISNUMBER(E713),E713&gt;=r_ini)),OR(r_fim="",AND(ISNUMBER(E713),E713&lt;=r_fim)),OR(r_un="",r_un="(Todas)",IF(N(U713)&gt;0,INDEX('MTRs'!$G$6:$G$505,U713),"")=r_un),OR(r_de="",r_de="(Todos)",D713=r_de)),1,0))</f>
        <v>0</v>
      </c>
      <c r="AB713" s="96" t="str">
        <f>IF(AA713=1,COUNTIF($AA$6:AA713,1),"")</f>
        <v/>
      </c>
    </row>
    <row r="714">
      <c r="A714" s="89" t="inlineStr">
        <is>
          <t>REC-000709</t>
        </is>
      </c>
      <c r="B714" s="94" t="str">
        <f>IF(T714=1,INDEX('ITENS_MTR'!$S$6:$S$1005,S714)&amp;"","")</f>
        <v/>
      </c>
      <c r="C714" s="91" t="n"/>
      <c r="D714" s="94" t="str">
        <f>IF(N(U714)&gt;0,INDEX('MTRs'!$I$6:$I$505,U714)&amp;"","")</f>
        <v/>
      </c>
      <c r="E714" s="92" t="n"/>
      <c r="F714" s="98" t="n"/>
      <c r="G714" s="91" t="n"/>
      <c r="H714" s="93" t="str">
        <f>IF(Q714=0,"",IF(NOT(ISNUMBER(F714)),"",IF(ISNUMBER(W714),F714*W714,"UNIDADE A CONFERIR")))</f>
        <v/>
      </c>
      <c r="I714" s="91" t="n"/>
      <c r="J714" s="91" t="n"/>
      <c r="K714" s="92" t="n"/>
      <c r="L714" s="91" t="n"/>
      <c r="M714" s="91" t="n"/>
      <c r="N714" s="91" t="n"/>
      <c r="O714" s="91" t="n"/>
      <c r="P714" s="94" t="str">
        <f>IF(Q714=0,"",IF(C714="","Item de resíduo não informado",IF(T714=0,"Item inexistente (referência inválida)",IF(NOT(ISNUMBER(F714)),"Quantidade não informada",IF(F714&lt;=0,"Quantidade não positiva",IF(G714="","Unidade não informada",IF(NOT(ISNUMBER(H714)),"Unidade a conferir",IF(NOT(ISNUMBER(E714)),"Data de recebimento não informada",IF(AND(ISNUMBER(V714),N(V714)&gt;0,E714&lt;N(V714)),"Data anterior à emissão do MTR",IF(AND(J714="Sim",L714="",M714=""),"Conferido sem evidência identificada",IF(J714&lt;&gt;"Sim","Aguardando conferência",IF(INDEX('ITENS_MTR'!$AM$6:$AM$1005,S714)=1,"Conferido (ver diferença no item)","Conferido"))))))))))))</f>
        <v/>
      </c>
      <c r="Q714" s="96">
        <f>IF(COUNTA(C714,E714:G714,I714:O714)&gt;0,1,0)</f>
        <v>0</v>
      </c>
      <c r="R714" s="96" t="str">
        <f>IF(C714="","",TRIM(LEFT(C714,FIND(" |",C714&amp;" |")-1)))</f>
        <v/>
      </c>
      <c r="S714" s="96" t="str">
        <f>IF(R714="","",IFERROR(MATCH(R714,'ITENS_MTR'!$A$6:$A$1005,0),""))</f>
        <v/>
      </c>
      <c r="T714" s="96">
        <f>IF(S714="",0,IF(INDEX('ITENS_MTR'!$R$6:$R$1005,S714)=1,1,0))</f>
        <v>0</v>
      </c>
      <c r="U714" s="96" t="str">
        <f>IF(T714=1,INDEX('ITENS_MTR'!$T$6:$T$1005,S714),"")</f>
        <v/>
      </c>
      <c r="V714" s="97" t="str">
        <f>IF(N(U714)&gt;0,INDEX('MTRs'!$E$6:$E$505,U714),"")</f>
        <v/>
      </c>
      <c r="W714" s="96" t="str">
        <f>IF(G714="","",IFERROR(IF(ISNUMBER(INDEX(cfg_fac,MATCH(G714,cfg_units,0))),IF(INDEX(cfg_fac,MATCH(G714,cfg_units,0))&gt;0,INDEX(cfg_fac,MATCH(G714,cfg_units,0)),""),""),""))</f>
        <v/>
      </c>
      <c r="X714" s="96">
        <f>IF(AND(ISNUMBER(F714),ISNUMBER(H714)),IF(H714&gt;0,1,0),0)</f>
        <v>0</v>
      </c>
      <c r="Y714" s="96">
        <f>IF(Q714=0,0,IF(OR(T714=0,X714=0,NOT(ISNUMBER(E714)),AND(J714="Sim",L714="",M714=""),AND(ISNUMBER(E714),ISNUMBER(V714),N(V714)&gt;0,E714&lt;N(V714))),1,0))</f>
        <v>0</v>
      </c>
      <c r="Z714" s="96">
        <f>IF(AND(Q714=1,T714=1,X714=1,J714="Sim",OR(L714&lt;&gt;"",M714&lt;&gt;"")),1,0)</f>
        <v>0</v>
      </c>
      <c r="AA714" s="96">
        <f>IF(Q714=0,0,IF(AND(OR(r_ini="",AND(ISNUMBER(E714),E714&gt;=r_ini)),OR(r_fim="",AND(ISNUMBER(E714),E714&lt;=r_fim)),OR(r_un="",r_un="(Todas)",IF(N(U714)&gt;0,INDEX('MTRs'!$G$6:$G$505,U714),"")=r_un),OR(r_de="",r_de="(Todos)",D714=r_de)),1,0))</f>
        <v>0</v>
      </c>
      <c r="AB714" s="96" t="str">
        <f>IF(AA714=1,COUNTIF($AA$6:AA714,1),"")</f>
        <v/>
      </c>
    </row>
    <row r="715">
      <c r="A715" s="89" t="inlineStr">
        <is>
          <t>REC-000710</t>
        </is>
      </c>
      <c r="B715" s="94" t="str">
        <f>IF(T715=1,INDEX('ITENS_MTR'!$S$6:$S$1005,S715)&amp;"","")</f>
        <v/>
      </c>
      <c r="C715" s="91" t="n"/>
      <c r="D715" s="94" t="str">
        <f>IF(N(U715)&gt;0,INDEX('MTRs'!$I$6:$I$505,U715)&amp;"","")</f>
        <v/>
      </c>
      <c r="E715" s="92" t="n"/>
      <c r="F715" s="98" t="n"/>
      <c r="G715" s="91" t="n"/>
      <c r="H715" s="93" t="str">
        <f>IF(Q715=0,"",IF(NOT(ISNUMBER(F715)),"",IF(ISNUMBER(W715),F715*W715,"UNIDADE A CONFERIR")))</f>
        <v/>
      </c>
      <c r="I715" s="91" t="n"/>
      <c r="J715" s="91" t="n"/>
      <c r="K715" s="92" t="n"/>
      <c r="L715" s="91" t="n"/>
      <c r="M715" s="91" t="n"/>
      <c r="N715" s="91" t="n"/>
      <c r="O715" s="91" t="n"/>
      <c r="P715" s="94" t="str">
        <f>IF(Q715=0,"",IF(C715="","Item de resíduo não informado",IF(T715=0,"Item inexistente (referência inválida)",IF(NOT(ISNUMBER(F715)),"Quantidade não informada",IF(F715&lt;=0,"Quantidade não positiva",IF(G715="","Unidade não informada",IF(NOT(ISNUMBER(H715)),"Unidade a conferir",IF(NOT(ISNUMBER(E715)),"Data de recebimento não informada",IF(AND(ISNUMBER(V715),N(V715)&gt;0,E715&lt;N(V715)),"Data anterior à emissão do MTR",IF(AND(J715="Sim",L715="",M715=""),"Conferido sem evidência identificada",IF(J715&lt;&gt;"Sim","Aguardando conferência",IF(INDEX('ITENS_MTR'!$AM$6:$AM$1005,S715)=1,"Conferido (ver diferença no item)","Conferido"))))))))))))</f>
        <v/>
      </c>
      <c r="Q715" s="96">
        <f>IF(COUNTA(C715,E715:G715,I715:O715)&gt;0,1,0)</f>
        <v>0</v>
      </c>
      <c r="R715" s="96" t="str">
        <f>IF(C715="","",TRIM(LEFT(C715,FIND(" |",C715&amp;" |")-1)))</f>
        <v/>
      </c>
      <c r="S715" s="96" t="str">
        <f>IF(R715="","",IFERROR(MATCH(R715,'ITENS_MTR'!$A$6:$A$1005,0),""))</f>
        <v/>
      </c>
      <c r="T715" s="96">
        <f>IF(S715="",0,IF(INDEX('ITENS_MTR'!$R$6:$R$1005,S715)=1,1,0))</f>
        <v>0</v>
      </c>
      <c r="U715" s="96" t="str">
        <f>IF(T715=1,INDEX('ITENS_MTR'!$T$6:$T$1005,S715),"")</f>
        <v/>
      </c>
      <c r="V715" s="97" t="str">
        <f>IF(N(U715)&gt;0,INDEX('MTRs'!$E$6:$E$505,U715),"")</f>
        <v/>
      </c>
      <c r="W715" s="96" t="str">
        <f>IF(G715="","",IFERROR(IF(ISNUMBER(INDEX(cfg_fac,MATCH(G715,cfg_units,0))),IF(INDEX(cfg_fac,MATCH(G715,cfg_units,0))&gt;0,INDEX(cfg_fac,MATCH(G715,cfg_units,0)),""),""),""))</f>
        <v/>
      </c>
      <c r="X715" s="96">
        <f>IF(AND(ISNUMBER(F715),ISNUMBER(H715)),IF(H715&gt;0,1,0),0)</f>
        <v>0</v>
      </c>
      <c r="Y715" s="96">
        <f>IF(Q715=0,0,IF(OR(T715=0,X715=0,NOT(ISNUMBER(E715)),AND(J715="Sim",L715="",M715=""),AND(ISNUMBER(E715),ISNUMBER(V715),N(V715)&gt;0,E715&lt;N(V715))),1,0))</f>
        <v>0</v>
      </c>
      <c r="Z715" s="96">
        <f>IF(AND(Q715=1,T715=1,X715=1,J715="Sim",OR(L715&lt;&gt;"",M715&lt;&gt;"")),1,0)</f>
        <v>0</v>
      </c>
      <c r="AA715" s="96">
        <f>IF(Q715=0,0,IF(AND(OR(r_ini="",AND(ISNUMBER(E715),E715&gt;=r_ini)),OR(r_fim="",AND(ISNUMBER(E715),E715&lt;=r_fim)),OR(r_un="",r_un="(Todas)",IF(N(U715)&gt;0,INDEX('MTRs'!$G$6:$G$505,U715),"")=r_un),OR(r_de="",r_de="(Todos)",D715=r_de)),1,0))</f>
        <v>0</v>
      </c>
      <c r="AB715" s="96" t="str">
        <f>IF(AA715=1,COUNTIF($AA$6:AA715,1),"")</f>
        <v/>
      </c>
    </row>
    <row r="716">
      <c r="A716" s="89" t="inlineStr">
        <is>
          <t>REC-000711</t>
        </is>
      </c>
      <c r="B716" s="94" t="str">
        <f>IF(T716=1,INDEX('ITENS_MTR'!$S$6:$S$1005,S716)&amp;"","")</f>
        <v/>
      </c>
      <c r="C716" s="91" t="n"/>
      <c r="D716" s="94" t="str">
        <f>IF(N(U716)&gt;0,INDEX('MTRs'!$I$6:$I$505,U716)&amp;"","")</f>
        <v/>
      </c>
      <c r="E716" s="92" t="n"/>
      <c r="F716" s="98" t="n"/>
      <c r="G716" s="91" t="n"/>
      <c r="H716" s="93" t="str">
        <f>IF(Q716=0,"",IF(NOT(ISNUMBER(F716)),"",IF(ISNUMBER(W716),F716*W716,"UNIDADE A CONFERIR")))</f>
        <v/>
      </c>
      <c r="I716" s="91" t="n"/>
      <c r="J716" s="91" t="n"/>
      <c r="K716" s="92" t="n"/>
      <c r="L716" s="91" t="n"/>
      <c r="M716" s="91" t="n"/>
      <c r="N716" s="91" t="n"/>
      <c r="O716" s="91" t="n"/>
      <c r="P716" s="94" t="str">
        <f>IF(Q716=0,"",IF(C716="","Item de resíduo não informado",IF(T716=0,"Item inexistente (referência inválida)",IF(NOT(ISNUMBER(F716)),"Quantidade não informada",IF(F716&lt;=0,"Quantidade não positiva",IF(G716="","Unidade não informada",IF(NOT(ISNUMBER(H716)),"Unidade a conferir",IF(NOT(ISNUMBER(E716)),"Data de recebimento não informada",IF(AND(ISNUMBER(V716),N(V716)&gt;0,E716&lt;N(V716)),"Data anterior à emissão do MTR",IF(AND(J716="Sim",L716="",M716=""),"Conferido sem evidência identificada",IF(J716&lt;&gt;"Sim","Aguardando conferência",IF(INDEX('ITENS_MTR'!$AM$6:$AM$1005,S716)=1,"Conferido (ver diferença no item)","Conferido"))))))))))))</f>
        <v/>
      </c>
      <c r="Q716" s="96">
        <f>IF(COUNTA(C716,E716:G716,I716:O716)&gt;0,1,0)</f>
        <v>0</v>
      </c>
      <c r="R716" s="96" t="str">
        <f>IF(C716="","",TRIM(LEFT(C716,FIND(" |",C716&amp;" |")-1)))</f>
        <v/>
      </c>
      <c r="S716" s="96" t="str">
        <f>IF(R716="","",IFERROR(MATCH(R716,'ITENS_MTR'!$A$6:$A$1005,0),""))</f>
        <v/>
      </c>
      <c r="T716" s="96">
        <f>IF(S716="",0,IF(INDEX('ITENS_MTR'!$R$6:$R$1005,S716)=1,1,0))</f>
        <v>0</v>
      </c>
      <c r="U716" s="96" t="str">
        <f>IF(T716=1,INDEX('ITENS_MTR'!$T$6:$T$1005,S716),"")</f>
        <v/>
      </c>
      <c r="V716" s="97" t="str">
        <f>IF(N(U716)&gt;0,INDEX('MTRs'!$E$6:$E$505,U716),"")</f>
        <v/>
      </c>
      <c r="W716" s="96" t="str">
        <f>IF(G716="","",IFERROR(IF(ISNUMBER(INDEX(cfg_fac,MATCH(G716,cfg_units,0))),IF(INDEX(cfg_fac,MATCH(G716,cfg_units,0))&gt;0,INDEX(cfg_fac,MATCH(G716,cfg_units,0)),""),""),""))</f>
        <v/>
      </c>
      <c r="X716" s="96">
        <f>IF(AND(ISNUMBER(F716),ISNUMBER(H716)),IF(H716&gt;0,1,0),0)</f>
        <v>0</v>
      </c>
      <c r="Y716" s="96">
        <f>IF(Q716=0,0,IF(OR(T716=0,X716=0,NOT(ISNUMBER(E716)),AND(J716="Sim",L716="",M716=""),AND(ISNUMBER(E716),ISNUMBER(V716),N(V716)&gt;0,E716&lt;N(V716))),1,0))</f>
        <v>0</v>
      </c>
      <c r="Z716" s="96">
        <f>IF(AND(Q716=1,T716=1,X716=1,J716="Sim",OR(L716&lt;&gt;"",M716&lt;&gt;"")),1,0)</f>
        <v>0</v>
      </c>
      <c r="AA716" s="96">
        <f>IF(Q716=0,0,IF(AND(OR(r_ini="",AND(ISNUMBER(E716),E716&gt;=r_ini)),OR(r_fim="",AND(ISNUMBER(E716),E716&lt;=r_fim)),OR(r_un="",r_un="(Todas)",IF(N(U716)&gt;0,INDEX('MTRs'!$G$6:$G$505,U716),"")=r_un),OR(r_de="",r_de="(Todos)",D716=r_de)),1,0))</f>
        <v>0</v>
      </c>
      <c r="AB716" s="96" t="str">
        <f>IF(AA716=1,COUNTIF($AA$6:AA716,1),"")</f>
        <v/>
      </c>
    </row>
    <row r="717">
      <c r="A717" s="89" t="inlineStr">
        <is>
          <t>REC-000712</t>
        </is>
      </c>
      <c r="B717" s="94" t="str">
        <f>IF(T717=1,INDEX('ITENS_MTR'!$S$6:$S$1005,S717)&amp;"","")</f>
        <v/>
      </c>
      <c r="C717" s="91" t="n"/>
      <c r="D717" s="94" t="str">
        <f>IF(N(U717)&gt;0,INDEX('MTRs'!$I$6:$I$505,U717)&amp;"","")</f>
        <v/>
      </c>
      <c r="E717" s="92" t="n"/>
      <c r="F717" s="98" t="n"/>
      <c r="G717" s="91" t="n"/>
      <c r="H717" s="93" t="str">
        <f>IF(Q717=0,"",IF(NOT(ISNUMBER(F717)),"",IF(ISNUMBER(W717),F717*W717,"UNIDADE A CONFERIR")))</f>
        <v/>
      </c>
      <c r="I717" s="91" t="n"/>
      <c r="J717" s="91" t="n"/>
      <c r="K717" s="92" t="n"/>
      <c r="L717" s="91" t="n"/>
      <c r="M717" s="91" t="n"/>
      <c r="N717" s="91" t="n"/>
      <c r="O717" s="91" t="n"/>
      <c r="P717" s="94" t="str">
        <f>IF(Q717=0,"",IF(C717="","Item de resíduo não informado",IF(T717=0,"Item inexistente (referência inválida)",IF(NOT(ISNUMBER(F717)),"Quantidade não informada",IF(F717&lt;=0,"Quantidade não positiva",IF(G717="","Unidade não informada",IF(NOT(ISNUMBER(H717)),"Unidade a conferir",IF(NOT(ISNUMBER(E717)),"Data de recebimento não informada",IF(AND(ISNUMBER(V717),N(V717)&gt;0,E717&lt;N(V717)),"Data anterior à emissão do MTR",IF(AND(J717="Sim",L717="",M717=""),"Conferido sem evidência identificada",IF(J717&lt;&gt;"Sim","Aguardando conferência",IF(INDEX('ITENS_MTR'!$AM$6:$AM$1005,S717)=1,"Conferido (ver diferença no item)","Conferido"))))))))))))</f>
        <v/>
      </c>
      <c r="Q717" s="96">
        <f>IF(COUNTA(C717,E717:G717,I717:O717)&gt;0,1,0)</f>
        <v>0</v>
      </c>
      <c r="R717" s="96" t="str">
        <f>IF(C717="","",TRIM(LEFT(C717,FIND(" |",C717&amp;" |")-1)))</f>
        <v/>
      </c>
      <c r="S717" s="96" t="str">
        <f>IF(R717="","",IFERROR(MATCH(R717,'ITENS_MTR'!$A$6:$A$1005,0),""))</f>
        <v/>
      </c>
      <c r="T717" s="96">
        <f>IF(S717="",0,IF(INDEX('ITENS_MTR'!$R$6:$R$1005,S717)=1,1,0))</f>
        <v>0</v>
      </c>
      <c r="U717" s="96" t="str">
        <f>IF(T717=1,INDEX('ITENS_MTR'!$T$6:$T$1005,S717),"")</f>
        <v/>
      </c>
      <c r="V717" s="97" t="str">
        <f>IF(N(U717)&gt;0,INDEX('MTRs'!$E$6:$E$505,U717),"")</f>
        <v/>
      </c>
      <c r="W717" s="96" t="str">
        <f>IF(G717="","",IFERROR(IF(ISNUMBER(INDEX(cfg_fac,MATCH(G717,cfg_units,0))),IF(INDEX(cfg_fac,MATCH(G717,cfg_units,0))&gt;0,INDEX(cfg_fac,MATCH(G717,cfg_units,0)),""),""),""))</f>
        <v/>
      </c>
      <c r="X717" s="96">
        <f>IF(AND(ISNUMBER(F717),ISNUMBER(H717)),IF(H717&gt;0,1,0),0)</f>
        <v>0</v>
      </c>
      <c r="Y717" s="96">
        <f>IF(Q717=0,0,IF(OR(T717=0,X717=0,NOT(ISNUMBER(E717)),AND(J717="Sim",L717="",M717=""),AND(ISNUMBER(E717),ISNUMBER(V717),N(V717)&gt;0,E717&lt;N(V717))),1,0))</f>
        <v>0</v>
      </c>
      <c r="Z717" s="96">
        <f>IF(AND(Q717=1,T717=1,X717=1,J717="Sim",OR(L717&lt;&gt;"",M717&lt;&gt;"")),1,0)</f>
        <v>0</v>
      </c>
      <c r="AA717" s="96">
        <f>IF(Q717=0,0,IF(AND(OR(r_ini="",AND(ISNUMBER(E717),E717&gt;=r_ini)),OR(r_fim="",AND(ISNUMBER(E717),E717&lt;=r_fim)),OR(r_un="",r_un="(Todas)",IF(N(U717)&gt;0,INDEX('MTRs'!$G$6:$G$505,U717),"")=r_un),OR(r_de="",r_de="(Todos)",D717=r_de)),1,0))</f>
        <v>0</v>
      </c>
      <c r="AB717" s="96" t="str">
        <f>IF(AA717=1,COUNTIF($AA$6:AA717,1),"")</f>
        <v/>
      </c>
    </row>
    <row r="718">
      <c r="A718" s="89" t="inlineStr">
        <is>
          <t>REC-000713</t>
        </is>
      </c>
      <c r="B718" s="94" t="str">
        <f>IF(T718=1,INDEX('ITENS_MTR'!$S$6:$S$1005,S718)&amp;"","")</f>
        <v/>
      </c>
      <c r="C718" s="91" t="n"/>
      <c r="D718" s="94" t="str">
        <f>IF(N(U718)&gt;0,INDEX('MTRs'!$I$6:$I$505,U718)&amp;"","")</f>
        <v/>
      </c>
      <c r="E718" s="92" t="n"/>
      <c r="F718" s="98" t="n"/>
      <c r="G718" s="91" t="n"/>
      <c r="H718" s="93" t="str">
        <f>IF(Q718=0,"",IF(NOT(ISNUMBER(F718)),"",IF(ISNUMBER(W718),F718*W718,"UNIDADE A CONFERIR")))</f>
        <v/>
      </c>
      <c r="I718" s="91" t="n"/>
      <c r="J718" s="91" t="n"/>
      <c r="K718" s="92" t="n"/>
      <c r="L718" s="91" t="n"/>
      <c r="M718" s="91" t="n"/>
      <c r="N718" s="91" t="n"/>
      <c r="O718" s="91" t="n"/>
      <c r="P718" s="94" t="str">
        <f>IF(Q718=0,"",IF(C718="","Item de resíduo não informado",IF(T718=0,"Item inexistente (referência inválida)",IF(NOT(ISNUMBER(F718)),"Quantidade não informada",IF(F718&lt;=0,"Quantidade não positiva",IF(G718="","Unidade não informada",IF(NOT(ISNUMBER(H718)),"Unidade a conferir",IF(NOT(ISNUMBER(E718)),"Data de recebimento não informada",IF(AND(ISNUMBER(V718),N(V718)&gt;0,E718&lt;N(V718)),"Data anterior à emissão do MTR",IF(AND(J718="Sim",L718="",M718=""),"Conferido sem evidência identificada",IF(J718&lt;&gt;"Sim","Aguardando conferência",IF(INDEX('ITENS_MTR'!$AM$6:$AM$1005,S718)=1,"Conferido (ver diferença no item)","Conferido"))))))))))))</f>
        <v/>
      </c>
      <c r="Q718" s="96">
        <f>IF(COUNTA(C718,E718:G718,I718:O718)&gt;0,1,0)</f>
        <v>0</v>
      </c>
      <c r="R718" s="96" t="str">
        <f>IF(C718="","",TRIM(LEFT(C718,FIND(" |",C718&amp;" |")-1)))</f>
        <v/>
      </c>
      <c r="S718" s="96" t="str">
        <f>IF(R718="","",IFERROR(MATCH(R718,'ITENS_MTR'!$A$6:$A$1005,0),""))</f>
        <v/>
      </c>
      <c r="T718" s="96">
        <f>IF(S718="",0,IF(INDEX('ITENS_MTR'!$R$6:$R$1005,S718)=1,1,0))</f>
        <v>0</v>
      </c>
      <c r="U718" s="96" t="str">
        <f>IF(T718=1,INDEX('ITENS_MTR'!$T$6:$T$1005,S718),"")</f>
        <v/>
      </c>
      <c r="V718" s="97" t="str">
        <f>IF(N(U718)&gt;0,INDEX('MTRs'!$E$6:$E$505,U718),"")</f>
        <v/>
      </c>
      <c r="W718" s="96" t="str">
        <f>IF(G718="","",IFERROR(IF(ISNUMBER(INDEX(cfg_fac,MATCH(G718,cfg_units,0))),IF(INDEX(cfg_fac,MATCH(G718,cfg_units,0))&gt;0,INDEX(cfg_fac,MATCH(G718,cfg_units,0)),""),""),""))</f>
        <v/>
      </c>
      <c r="X718" s="96">
        <f>IF(AND(ISNUMBER(F718),ISNUMBER(H718)),IF(H718&gt;0,1,0),0)</f>
        <v>0</v>
      </c>
      <c r="Y718" s="96">
        <f>IF(Q718=0,0,IF(OR(T718=0,X718=0,NOT(ISNUMBER(E718)),AND(J718="Sim",L718="",M718=""),AND(ISNUMBER(E718),ISNUMBER(V718),N(V718)&gt;0,E718&lt;N(V718))),1,0))</f>
        <v>0</v>
      </c>
      <c r="Z718" s="96">
        <f>IF(AND(Q718=1,T718=1,X718=1,J718="Sim",OR(L718&lt;&gt;"",M718&lt;&gt;"")),1,0)</f>
        <v>0</v>
      </c>
      <c r="AA718" s="96">
        <f>IF(Q718=0,0,IF(AND(OR(r_ini="",AND(ISNUMBER(E718),E718&gt;=r_ini)),OR(r_fim="",AND(ISNUMBER(E718),E718&lt;=r_fim)),OR(r_un="",r_un="(Todas)",IF(N(U718)&gt;0,INDEX('MTRs'!$G$6:$G$505,U718),"")=r_un),OR(r_de="",r_de="(Todos)",D718=r_de)),1,0))</f>
        <v>0</v>
      </c>
      <c r="AB718" s="96" t="str">
        <f>IF(AA718=1,COUNTIF($AA$6:AA718,1),"")</f>
        <v/>
      </c>
    </row>
    <row r="719">
      <c r="A719" s="89" t="inlineStr">
        <is>
          <t>REC-000714</t>
        </is>
      </c>
      <c r="B719" s="94" t="str">
        <f>IF(T719=1,INDEX('ITENS_MTR'!$S$6:$S$1005,S719)&amp;"","")</f>
        <v/>
      </c>
      <c r="C719" s="91" t="n"/>
      <c r="D719" s="94" t="str">
        <f>IF(N(U719)&gt;0,INDEX('MTRs'!$I$6:$I$505,U719)&amp;"","")</f>
        <v/>
      </c>
      <c r="E719" s="92" t="n"/>
      <c r="F719" s="98" t="n"/>
      <c r="G719" s="91" t="n"/>
      <c r="H719" s="93" t="str">
        <f>IF(Q719=0,"",IF(NOT(ISNUMBER(F719)),"",IF(ISNUMBER(W719),F719*W719,"UNIDADE A CONFERIR")))</f>
        <v/>
      </c>
      <c r="I719" s="91" t="n"/>
      <c r="J719" s="91" t="n"/>
      <c r="K719" s="92" t="n"/>
      <c r="L719" s="91" t="n"/>
      <c r="M719" s="91" t="n"/>
      <c r="N719" s="91" t="n"/>
      <c r="O719" s="91" t="n"/>
      <c r="P719" s="94" t="str">
        <f>IF(Q719=0,"",IF(C719="","Item de resíduo não informado",IF(T719=0,"Item inexistente (referência inválida)",IF(NOT(ISNUMBER(F719)),"Quantidade não informada",IF(F719&lt;=0,"Quantidade não positiva",IF(G719="","Unidade não informada",IF(NOT(ISNUMBER(H719)),"Unidade a conferir",IF(NOT(ISNUMBER(E719)),"Data de recebimento não informada",IF(AND(ISNUMBER(V719),N(V719)&gt;0,E719&lt;N(V719)),"Data anterior à emissão do MTR",IF(AND(J719="Sim",L719="",M719=""),"Conferido sem evidência identificada",IF(J719&lt;&gt;"Sim","Aguardando conferência",IF(INDEX('ITENS_MTR'!$AM$6:$AM$1005,S719)=1,"Conferido (ver diferença no item)","Conferido"))))))))))))</f>
        <v/>
      </c>
      <c r="Q719" s="96">
        <f>IF(COUNTA(C719,E719:G719,I719:O719)&gt;0,1,0)</f>
        <v>0</v>
      </c>
      <c r="R719" s="96" t="str">
        <f>IF(C719="","",TRIM(LEFT(C719,FIND(" |",C719&amp;" |")-1)))</f>
        <v/>
      </c>
      <c r="S719" s="96" t="str">
        <f>IF(R719="","",IFERROR(MATCH(R719,'ITENS_MTR'!$A$6:$A$1005,0),""))</f>
        <v/>
      </c>
      <c r="T719" s="96">
        <f>IF(S719="",0,IF(INDEX('ITENS_MTR'!$R$6:$R$1005,S719)=1,1,0))</f>
        <v>0</v>
      </c>
      <c r="U719" s="96" t="str">
        <f>IF(T719=1,INDEX('ITENS_MTR'!$T$6:$T$1005,S719),"")</f>
        <v/>
      </c>
      <c r="V719" s="97" t="str">
        <f>IF(N(U719)&gt;0,INDEX('MTRs'!$E$6:$E$505,U719),"")</f>
        <v/>
      </c>
      <c r="W719" s="96" t="str">
        <f>IF(G719="","",IFERROR(IF(ISNUMBER(INDEX(cfg_fac,MATCH(G719,cfg_units,0))),IF(INDEX(cfg_fac,MATCH(G719,cfg_units,0))&gt;0,INDEX(cfg_fac,MATCH(G719,cfg_units,0)),""),""),""))</f>
        <v/>
      </c>
      <c r="X719" s="96">
        <f>IF(AND(ISNUMBER(F719),ISNUMBER(H719)),IF(H719&gt;0,1,0),0)</f>
        <v>0</v>
      </c>
      <c r="Y719" s="96">
        <f>IF(Q719=0,0,IF(OR(T719=0,X719=0,NOT(ISNUMBER(E719)),AND(J719="Sim",L719="",M719=""),AND(ISNUMBER(E719),ISNUMBER(V719),N(V719)&gt;0,E719&lt;N(V719))),1,0))</f>
        <v>0</v>
      </c>
      <c r="Z719" s="96">
        <f>IF(AND(Q719=1,T719=1,X719=1,J719="Sim",OR(L719&lt;&gt;"",M719&lt;&gt;"")),1,0)</f>
        <v>0</v>
      </c>
      <c r="AA719" s="96">
        <f>IF(Q719=0,0,IF(AND(OR(r_ini="",AND(ISNUMBER(E719),E719&gt;=r_ini)),OR(r_fim="",AND(ISNUMBER(E719),E719&lt;=r_fim)),OR(r_un="",r_un="(Todas)",IF(N(U719)&gt;0,INDEX('MTRs'!$G$6:$G$505,U719),"")=r_un),OR(r_de="",r_de="(Todos)",D719=r_de)),1,0))</f>
        <v>0</v>
      </c>
      <c r="AB719" s="96" t="str">
        <f>IF(AA719=1,COUNTIF($AA$6:AA719,1),"")</f>
        <v/>
      </c>
    </row>
    <row r="720">
      <c r="A720" s="89" t="inlineStr">
        <is>
          <t>REC-000715</t>
        </is>
      </c>
      <c r="B720" s="94" t="str">
        <f>IF(T720=1,INDEX('ITENS_MTR'!$S$6:$S$1005,S720)&amp;"","")</f>
        <v/>
      </c>
      <c r="C720" s="91" t="n"/>
      <c r="D720" s="94" t="str">
        <f>IF(N(U720)&gt;0,INDEX('MTRs'!$I$6:$I$505,U720)&amp;"","")</f>
        <v/>
      </c>
      <c r="E720" s="92" t="n"/>
      <c r="F720" s="98" t="n"/>
      <c r="G720" s="91" t="n"/>
      <c r="H720" s="93" t="str">
        <f>IF(Q720=0,"",IF(NOT(ISNUMBER(F720)),"",IF(ISNUMBER(W720),F720*W720,"UNIDADE A CONFERIR")))</f>
        <v/>
      </c>
      <c r="I720" s="91" t="n"/>
      <c r="J720" s="91" t="n"/>
      <c r="K720" s="92" t="n"/>
      <c r="L720" s="91" t="n"/>
      <c r="M720" s="91" t="n"/>
      <c r="N720" s="91" t="n"/>
      <c r="O720" s="91" t="n"/>
      <c r="P720" s="94" t="str">
        <f>IF(Q720=0,"",IF(C720="","Item de resíduo não informado",IF(T720=0,"Item inexistente (referência inválida)",IF(NOT(ISNUMBER(F720)),"Quantidade não informada",IF(F720&lt;=0,"Quantidade não positiva",IF(G720="","Unidade não informada",IF(NOT(ISNUMBER(H720)),"Unidade a conferir",IF(NOT(ISNUMBER(E720)),"Data de recebimento não informada",IF(AND(ISNUMBER(V720),N(V720)&gt;0,E720&lt;N(V720)),"Data anterior à emissão do MTR",IF(AND(J720="Sim",L720="",M720=""),"Conferido sem evidência identificada",IF(J720&lt;&gt;"Sim","Aguardando conferência",IF(INDEX('ITENS_MTR'!$AM$6:$AM$1005,S720)=1,"Conferido (ver diferença no item)","Conferido"))))))))))))</f>
        <v/>
      </c>
      <c r="Q720" s="96">
        <f>IF(COUNTA(C720,E720:G720,I720:O720)&gt;0,1,0)</f>
        <v>0</v>
      </c>
      <c r="R720" s="96" t="str">
        <f>IF(C720="","",TRIM(LEFT(C720,FIND(" |",C720&amp;" |")-1)))</f>
        <v/>
      </c>
      <c r="S720" s="96" t="str">
        <f>IF(R720="","",IFERROR(MATCH(R720,'ITENS_MTR'!$A$6:$A$1005,0),""))</f>
        <v/>
      </c>
      <c r="T720" s="96">
        <f>IF(S720="",0,IF(INDEX('ITENS_MTR'!$R$6:$R$1005,S720)=1,1,0))</f>
        <v>0</v>
      </c>
      <c r="U720" s="96" t="str">
        <f>IF(T720=1,INDEX('ITENS_MTR'!$T$6:$T$1005,S720),"")</f>
        <v/>
      </c>
      <c r="V720" s="97" t="str">
        <f>IF(N(U720)&gt;0,INDEX('MTRs'!$E$6:$E$505,U720),"")</f>
        <v/>
      </c>
      <c r="W720" s="96" t="str">
        <f>IF(G720="","",IFERROR(IF(ISNUMBER(INDEX(cfg_fac,MATCH(G720,cfg_units,0))),IF(INDEX(cfg_fac,MATCH(G720,cfg_units,0))&gt;0,INDEX(cfg_fac,MATCH(G720,cfg_units,0)),""),""),""))</f>
        <v/>
      </c>
      <c r="X720" s="96">
        <f>IF(AND(ISNUMBER(F720),ISNUMBER(H720)),IF(H720&gt;0,1,0),0)</f>
        <v>0</v>
      </c>
      <c r="Y720" s="96">
        <f>IF(Q720=0,0,IF(OR(T720=0,X720=0,NOT(ISNUMBER(E720)),AND(J720="Sim",L720="",M720=""),AND(ISNUMBER(E720),ISNUMBER(V720),N(V720)&gt;0,E720&lt;N(V720))),1,0))</f>
        <v>0</v>
      </c>
      <c r="Z720" s="96">
        <f>IF(AND(Q720=1,T720=1,X720=1,J720="Sim",OR(L720&lt;&gt;"",M720&lt;&gt;"")),1,0)</f>
        <v>0</v>
      </c>
      <c r="AA720" s="96">
        <f>IF(Q720=0,0,IF(AND(OR(r_ini="",AND(ISNUMBER(E720),E720&gt;=r_ini)),OR(r_fim="",AND(ISNUMBER(E720),E720&lt;=r_fim)),OR(r_un="",r_un="(Todas)",IF(N(U720)&gt;0,INDEX('MTRs'!$G$6:$G$505,U720),"")=r_un),OR(r_de="",r_de="(Todos)",D720=r_de)),1,0))</f>
        <v>0</v>
      </c>
      <c r="AB720" s="96" t="str">
        <f>IF(AA720=1,COUNTIF($AA$6:AA720,1),"")</f>
        <v/>
      </c>
    </row>
    <row r="721">
      <c r="A721" s="89" t="inlineStr">
        <is>
          <t>REC-000716</t>
        </is>
      </c>
      <c r="B721" s="94" t="str">
        <f>IF(T721=1,INDEX('ITENS_MTR'!$S$6:$S$1005,S721)&amp;"","")</f>
        <v/>
      </c>
      <c r="C721" s="91" t="n"/>
      <c r="D721" s="94" t="str">
        <f>IF(N(U721)&gt;0,INDEX('MTRs'!$I$6:$I$505,U721)&amp;"","")</f>
        <v/>
      </c>
      <c r="E721" s="92" t="n"/>
      <c r="F721" s="98" t="n"/>
      <c r="G721" s="91" t="n"/>
      <c r="H721" s="93" t="str">
        <f>IF(Q721=0,"",IF(NOT(ISNUMBER(F721)),"",IF(ISNUMBER(W721),F721*W721,"UNIDADE A CONFERIR")))</f>
        <v/>
      </c>
      <c r="I721" s="91" t="n"/>
      <c r="J721" s="91" t="n"/>
      <c r="K721" s="92" t="n"/>
      <c r="L721" s="91" t="n"/>
      <c r="M721" s="91" t="n"/>
      <c r="N721" s="91" t="n"/>
      <c r="O721" s="91" t="n"/>
      <c r="P721" s="94" t="str">
        <f>IF(Q721=0,"",IF(C721="","Item de resíduo não informado",IF(T721=0,"Item inexistente (referência inválida)",IF(NOT(ISNUMBER(F721)),"Quantidade não informada",IF(F721&lt;=0,"Quantidade não positiva",IF(G721="","Unidade não informada",IF(NOT(ISNUMBER(H721)),"Unidade a conferir",IF(NOT(ISNUMBER(E721)),"Data de recebimento não informada",IF(AND(ISNUMBER(V721),N(V721)&gt;0,E721&lt;N(V721)),"Data anterior à emissão do MTR",IF(AND(J721="Sim",L721="",M721=""),"Conferido sem evidência identificada",IF(J721&lt;&gt;"Sim","Aguardando conferência",IF(INDEX('ITENS_MTR'!$AM$6:$AM$1005,S721)=1,"Conferido (ver diferença no item)","Conferido"))))))))))))</f>
        <v/>
      </c>
      <c r="Q721" s="96">
        <f>IF(COUNTA(C721,E721:G721,I721:O721)&gt;0,1,0)</f>
        <v>0</v>
      </c>
      <c r="R721" s="96" t="str">
        <f>IF(C721="","",TRIM(LEFT(C721,FIND(" |",C721&amp;" |")-1)))</f>
        <v/>
      </c>
      <c r="S721" s="96" t="str">
        <f>IF(R721="","",IFERROR(MATCH(R721,'ITENS_MTR'!$A$6:$A$1005,0),""))</f>
        <v/>
      </c>
      <c r="T721" s="96">
        <f>IF(S721="",0,IF(INDEX('ITENS_MTR'!$R$6:$R$1005,S721)=1,1,0))</f>
        <v>0</v>
      </c>
      <c r="U721" s="96" t="str">
        <f>IF(T721=1,INDEX('ITENS_MTR'!$T$6:$T$1005,S721),"")</f>
        <v/>
      </c>
      <c r="V721" s="97" t="str">
        <f>IF(N(U721)&gt;0,INDEX('MTRs'!$E$6:$E$505,U721),"")</f>
        <v/>
      </c>
      <c r="W721" s="96" t="str">
        <f>IF(G721="","",IFERROR(IF(ISNUMBER(INDEX(cfg_fac,MATCH(G721,cfg_units,0))),IF(INDEX(cfg_fac,MATCH(G721,cfg_units,0))&gt;0,INDEX(cfg_fac,MATCH(G721,cfg_units,0)),""),""),""))</f>
        <v/>
      </c>
      <c r="X721" s="96">
        <f>IF(AND(ISNUMBER(F721),ISNUMBER(H721)),IF(H721&gt;0,1,0),0)</f>
        <v>0</v>
      </c>
      <c r="Y721" s="96">
        <f>IF(Q721=0,0,IF(OR(T721=0,X721=0,NOT(ISNUMBER(E721)),AND(J721="Sim",L721="",M721=""),AND(ISNUMBER(E721),ISNUMBER(V721),N(V721)&gt;0,E721&lt;N(V721))),1,0))</f>
        <v>0</v>
      </c>
      <c r="Z721" s="96">
        <f>IF(AND(Q721=1,T721=1,X721=1,J721="Sim",OR(L721&lt;&gt;"",M721&lt;&gt;"")),1,0)</f>
        <v>0</v>
      </c>
      <c r="AA721" s="96">
        <f>IF(Q721=0,0,IF(AND(OR(r_ini="",AND(ISNUMBER(E721),E721&gt;=r_ini)),OR(r_fim="",AND(ISNUMBER(E721),E721&lt;=r_fim)),OR(r_un="",r_un="(Todas)",IF(N(U721)&gt;0,INDEX('MTRs'!$G$6:$G$505,U721),"")=r_un),OR(r_de="",r_de="(Todos)",D721=r_de)),1,0))</f>
        <v>0</v>
      </c>
      <c r="AB721" s="96" t="str">
        <f>IF(AA721=1,COUNTIF($AA$6:AA721,1),"")</f>
        <v/>
      </c>
    </row>
    <row r="722">
      <c r="A722" s="89" t="inlineStr">
        <is>
          <t>REC-000717</t>
        </is>
      </c>
      <c r="B722" s="94" t="str">
        <f>IF(T722=1,INDEX('ITENS_MTR'!$S$6:$S$1005,S722)&amp;"","")</f>
        <v/>
      </c>
      <c r="C722" s="91" t="n"/>
      <c r="D722" s="94" t="str">
        <f>IF(N(U722)&gt;0,INDEX('MTRs'!$I$6:$I$505,U722)&amp;"","")</f>
        <v/>
      </c>
      <c r="E722" s="92" t="n"/>
      <c r="F722" s="98" t="n"/>
      <c r="G722" s="91" t="n"/>
      <c r="H722" s="93" t="str">
        <f>IF(Q722=0,"",IF(NOT(ISNUMBER(F722)),"",IF(ISNUMBER(W722),F722*W722,"UNIDADE A CONFERIR")))</f>
        <v/>
      </c>
      <c r="I722" s="91" t="n"/>
      <c r="J722" s="91" t="n"/>
      <c r="K722" s="92" t="n"/>
      <c r="L722" s="91" t="n"/>
      <c r="M722" s="91" t="n"/>
      <c r="N722" s="91" t="n"/>
      <c r="O722" s="91" t="n"/>
      <c r="P722" s="94" t="str">
        <f>IF(Q722=0,"",IF(C722="","Item de resíduo não informado",IF(T722=0,"Item inexistente (referência inválida)",IF(NOT(ISNUMBER(F722)),"Quantidade não informada",IF(F722&lt;=0,"Quantidade não positiva",IF(G722="","Unidade não informada",IF(NOT(ISNUMBER(H722)),"Unidade a conferir",IF(NOT(ISNUMBER(E722)),"Data de recebimento não informada",IF(AND(ISNUMBER(V722),N(V722)&gt;0,E722&lt;N(V722)),"Data anterior à emissão do MTR",IF(AND(J722="Sim",L722="",M722=""),"Conferido sem evidência identificada",IF(J722&lt;&gt;"Sim","Aguardando conferência",IF(INDEX('ITENS_MTR'!$AM$6:$AM$1005,S722)=1,"Conferido (ver diferença no item)","Conferido"))))))))))))</f>
        <v/>
      </c>
      <c r="Q722" s="96">
        <f>IF(COUNTA(C722,E722:G722,I722:O722)&gt;0,1,0)</f>
        <v>0</v>
      </c>
      <c r="R722" s="96" t="str">
        <f>IF(C722="","",TRIM(LEFT(C722,FIND(" |",C722&amp;" |")-1)))</f>
        <v/>
      </c>
      <c r="S722" s="96" t="str">
        <f>IF(R722="","",IFERROR(MATCH(R722,'ITENS_MTR'!$A$6:$A$1005,0),""))</f>
        <v/>
      </c>
      <c r="T722" s="96">
        <f>IF(S722="",0,IF(INDEX('ITENS_MTR'!$R$6:$R$1005,S722)=1,1,0))</f>
        <v>0</v>
      </c>
      <c r="U722" s="96" t="str">
        <f>IF(T722=1,INDEX('ITENS_MTR'!$T$6:$T$1005,S722),"")</f>
        <v/>
      </c>
      <c r="V722" s="97" t="str">
        <f>IF(N(U722)&gt;0,INDEX('MTRs'!$E$6:$E$505,U722),"")</f>
        <v/>
      </c>
      <c r="W722" s="96" t="str">
        <f>IF(G722="","",IFERROR(IF(ISNUMBER(INDEX(cfg_fac,MATCH(G722,cfg_units,0))),IF(INDEX(cfg_fac,MATCH(G722,cfg_units,0))&gt;0,INDEX(cfg_fac,MATCH(G722,cfg_units,0)),""),""),""))</f>
        <v/>
      </c>
      <c r="X722" s="96">
        <f>IF(AND(ISNUMBER(F722),ISNUMBER(H722)),IF(H722&gt;0,1,0),0)</f>
        <v>0</v>
      </c>
      <c r="Y722" s="96">
        <f>IF(Q722=0,0,IF(OR(T722=0,X722=0,NOT(ISNUMBER(E722)),AND(J722="Sim",L722="",M722=""),AND(ISNUMBER(E722),ISNUMBER(V722),N(V722)&gt;0,E722&lt;N(V722))),1,0))</f>
        <v>0</v>
      </c>
      <c r="Z722" s="96">
        <f>IF(AND(Q722=1,T722=1,X722=1,J722="Sim",OR(L722&lt;&gt;"",M722&lt;&gt;"")),1,0)</f>
        <v>0</v>
      </c>
      <c r="AA722" s="96">
        <f>IF(Q722=0,0,IF(AND(OR(r_ini="",AND(ISNUMBER(E722),E722&gt;=r_ini)),OR(r_fim="",AND(ISNUMBER(E722),E722&lt;=r_fim)),OR(r_un="",r_un="(Todas)",IF(N(U722)&gt;0,INDEX('MTRs'!$G$6:$G$505,U722),"")=r_un),OR(r_de="",r_de="(Todos)",D722=r_de)),1,0))</f>
        <v>0</v>
      </c>
      <c r="AB722" s="96" t="str">
        <f>IF(AA722=1,COUNTIF($AA$6:AA722,1),"")</f>
        <v/>
      </c>
    </row>
    <row r="723">
      <c r="A723" s="89" t="inlineStr">
        <is>
          <t>REC-000718</t>
        </is>
      </c>
      <c r="B723" s="94" t="str">
        <f>IF(T723=1,INDEX('ITENS_MTR'!$S$6:$S$1005,S723)&amp;"","")</f>
        <v/>
      </c>
      <c r="C723" s="91" t="n"/>
      <c r="D723" s="94" t="str">
        <f>IF(N(U723)&gt;0,INDEX('MTRs'!$I$6:$I$505,U723)&amp;"","")</f>
        <v/>
      </c>
      <c r="E723" s="92" t="n"/>
      <c r="F723" s="98" t="n"/>
      <c r="G723" s="91" t="n"/>
      <c r="H723" s="93" t="str">
        <f>IF(Q723=0,"",IF(NOT(ISNUMBER(F723)),"",IF(ISNUMBER(W723),F723*W723,"UNIDADE A CONFERIR")))</f>
        <v/>
      </c>
      <c r="I723" s="91" t="n"/>
      <c r="J723" s="91" t="n"/>
      <c r="K723" s="92" t="n"/>
      <c r="L723" s="91" t="n"/>
      <c r="M723" s="91" t="n"/>
      <c r="N723" s="91" t="n"/>
      <c r="O723" s="91" t="n"/>
      <c r="P723" s="94" t="str">
        <f>IF(Q723=0,"",IF(C723="","Item de resíduo não informado",IF(T723=0,"Item inexistente (referência inválida)",IF(NOT(ISNUMBER(F723)),"Quantidade não informada",IF(F723&lt;=0,"Quantidade não positiva",IF(G723="","Unidade não informada",IF(NOT(ISNUMBER(H723)),"Unidade a conferir",IF(NOT(ISNUMBER(E723)),"Data de recebimento não informada",IF(AND(ISNUMBER(V723),N(V723)&gt;0,E723&lt;N(V723)),"Data anterior à emissão do MTR",IF(AND(J723="Sim",L723="",M723=""),"Conferido sem evidência identificada",IF(J723&lt;&gt;"Sim","Aguardando conferência",IF(INDEX('ITENS_MTR'!$AM$6:$AM$1005,S723)=1,"Conferido (ver diferença no item)","Conferido"))))))))))))</f>
        <v/>
      </c>
      <c r="Q723" s="96">
        <f>IF(COUNTA(C723,E723:G723,I723:O723)&gt;0,1,0)</f>
        <v>0</v>
      </c>
      <c r="R723" s="96" t="str">
        <f>IF(C723="","",TRIM(LEFT(C723,FIND(" |",C723&amp;" |")-1)))</f>
        <v/>
      </c>
      <c r="S723" s="96" t="str">
        <f>IF(R723="","",IFERROR(MATCH(R723,'ITENS_MTR'!$A$6:$A$1005,0),""))</f>
        <v/>
      </c>
      <c r="T723" s="96">
        <f>IF(S723="",0,IF(INDEX('ITENS_MTR'!$R$6:$R$1005,S723)=1,1,0))</f>
        <v>0</v>
      </c>
      <c r="U723" s="96" t="str">
        <f>IF(T723=1,INDEX('ITENS_MTR'!$T$6:$T$1005,S723),"")</f>
        <v/>
      </c>
      <c r="V723" s="97" t="str">
        <f>IF(N(U723)&gt;0,INDEX('MTRs'!$E$6:$E$505,U723),"")</f>
        <v/>
      </c>
      <c r="W723" s="96" t="str">
        <f>IF(G723="","",IFERROR(IF(ISNUMBER(INDEX(cfg_fac,MATCH(G723,cfg_units,0))),IF(INDEX(cfg_fac,MATCH(G723,cfg_units,0))&gt;0,INDEX(cfg_fac,MATCH(G723,cfg_units,0)),""),""),""))</f>
        <v/>
      </c>
      <c r="X723" s="96">
        <f>IF(AND(ISNUMBER(F723),ISNUMBER(H723)),IF(H723&gt;0,1,0),0)</f>
        <v>0</v>
      </c>
      <c r="Y723" s="96">
        <f>IF(Q723=0,0,IF(OR(T723=0,X723=0,NOT(ISNUMBER(E723)),AND(J723="Sim",L723="",M723=""),AND(ISNUMBER(E723),ISNUMBER(V723),N(V723)&gt;0,E723&lt;N(V723))),1,0))</f>
        <v>0</v>
      </c>
      <c r="Z723" s="96">
        <f>IF(AND(Q723=1,T723=1,X723=1,J723="Sim",OR(L723&lt;&gt;"",M723&lt;&gt;"")),1,0)</f>
        <v>0</v>
      </c>
      <c r="AA723" s="96">
        <f>IF(Q723=0,0,IF(AND(OR(r_ini="",AND(ISNUMBER(E723),E723&gt;=r_ini)),OR(r_fim="",AND(ISNUMBER(E723),E723&lt;=r_fim)),OR(r_un="",r_un="(Todas)",IF(N(U723)&gt;0,INDEX('MTRs'!$G$6:$G$505,U723),"")=r_un),OR(r_de="",r_de="(Todos)",D723=r_de)),1,0))</f>
        <v>0</v>
      </c>
      <c r="AB723" s="96" t="str">
        <f>IF(AA723=1,COUNTIF($AA$6:AA723,1),"")</f>
        <v/>
      </c>
    </row>
    <row r="724">
      <c r="A724" s="89" t="inlineStr">
        <is>
          <t>REC-000719</t>
        </is>
      </c>
      <c r="B724" s="94" t="str">
        <f>IF(T724=1,INDEX('ITENS_MTR'!$S$6:$S$1005,S724)&amp;"","")</f>
        <v/>
      </c>
      <c r="C724" s="91" t="n"/>
      <c r="D724" s="94" t="str">
        <f>IF(N(U724)&gt;0,INDEX('MTRs'!$I$6:$I$505,U724)&amp;"","")</f>
        <v/>
      </c>
      <c r="E724" s="92" t="n"/>
      <c r="F724" s="98" t="n"/>
      <c r="G724" s="91" t="n"/>
      <c r="H724" s="93" t="str">
        <f>IF(Q724=0,"",IF(NOT(ISNUMBER(F724)),"",IF(ISNUMBER(W724),F724*W724,"UNIDADE A CONFERIR")))</f>
        <v/>
      </c>
      <c r="I724" s="91" t="n"/>
      <c r="J724" s="91" t="n"/>
      <c r="K724" s="92" t="n"/>
      <c r="L724" s="91" t="n"/>
      <c r="M724" s="91" t="n"/>
      <c r="N724" s="91" t="n"/>
      <c r="O724" s="91" t="n"/>
      <c r="P724" s="94" t="str">
        <f>IF(Q724=0,"",IF(C724="","Item de resíduo não informado",IF(T724=0,"Item inexistente (referência inválida)",IF(NOT(ISNUMBER(F724)),"Quantidade não informada",IF(F724&lt;=0,"Quantidade não positiva",IF(G724="","Unidade não informada",IF(NOT(ISNUMBER(H724)),"Unidade a conferir",IF(NOT(ISNUMBER(E724)),"Data de recebimento não informada",IF(AND(ISNUMBER(V724),N(V724)&gt;0,E724&lt;N(V724)),"Data anterior à emissão do MTR",IF(AND(J724="Sim",L724="",M724=""),"Conferido sem evidência identificada",IF(J724&lt;&gt;"Sim","Aguardando conferência",IF(INDEX('ITENS_MTR'!$AM$6:$AM$1005,S724)=1,"Conferido (ver diferença no item)","Conferido"))))))))))))</f>
        <v/>
      </c>
      <c r="Q724" s="96">
        <f>IF(COUNTA(C724,E724:G724,I724:O724)&gt;0,1,0)</f>
        <v>0</v>
      </c>
      <c r="R724" s="96" t="str">
        <f>IF(C724="","",TRIM(LEFT(C724,FIND(" |",C724&amp;" |")-1)))</f>
        <v/>
      </c>
      <c r="S724" s="96" t="str">
        <f>IF(R724="","",IFERROR(MATCH(R724,'ITENS_MTR'!$A$6:$A$1005,0),""))</f>
        <v/>
      </c>
      <c r="T724" s="96">
        <f>IF(S724="",0,IF(INDEX('ITENS_MTR'!$R$6:$R$1005,S724)=1,1,0))</f>
        <v>0</v>
      </c>
      <c r="U724" s="96" t="str">
        <f>IF(T724=1,INDEX('ITENS_MTR'!$T$6:$T$1005,S724),"")</f>
        <v/>
      </c>
      <c r="V724" s="97" t="str">
        <f>IF(N(U724)&gt;0,INDEX('MTRs'!$E$6:$E$505,U724),"")</f>
        <v/>
      </c>
      <c r="W724" s="96" t="str">
        <f>IF(G724="","",IFERROR(IF(ISNUMBER(INDEX(cfg_fac,MATCH(G724,cfg_units,0))),IF(INDEX(cfg_fac,MATCH(G724,cfg_units,0))&gt;0,INDEX(cfg_fac,MATCH(G724,cfg_units,0)),""),""),""))</f>
        <v/>
      </c>
      <c r="X724" s="96">
        <f>IF(AND(ISNUMBER(F724),ISNUMBER(H724)),IF(H724&gt;0,1,0),0)</f>
        <v>0</v>
      </c>
      <c r="Y724" s="96">
        <f>IF(Q724=0,0,IF(OR(T724=0,X724=0,NOT(ISNUMBER(E724)),AND(J724="Sim",L724="",M724=""),AND(ISNUMBER(E724),ISNUMBER(V724),N(V724)&gt;0,E724&lt;N(V724))),1,0))</f>
        <v>0</v>
      </c>
      <c r="Z724" s="96">
        <f>IF(AND(Q724=1,T724=1,X724=1,J724="Sim",OR(L724&lt;&gt;"",M724&lt;&gt;"")),1,0)</f>
        <v>0</v>
      </c>
      <c r="AA724" s="96">
        <f>IF(Q724=0,0,IF(AND(OR(r_ini="",AND(ISNUMBER(E724),E724&gt;=r_ini)),OR(r_fim="",AND(ISNUMBER(E724),E724&lt;=r_fim)),OR(r_un="",r_un="(Todas)",IF(N(U724)&gt;0,INDEX('MTRs'!$G$6:$G$505,U724),"")=r_un),OR(r_de="",r_de="(Todos)",D724=r_de)),1,0))</f>
        <v>0</v>
      </c>
      <c r="AB724" s="96" t="str">
        <f>IF(AA724=1,COUNTIF($AA$6:AA724,1),"")</f>
        <v/>
      </c>
    </row>
    <row r="725">
      <c r="A725" s="89" t="inlineStr">
        <is>
          <t>REC-000720</t>
        </is>
      </c>
      <c r="B725" s="94" t="str">
        <f>IF(T725=1,INDEX('ITENS_MTR'!$S$6:$S$1005,S725)&amp;"","")</f>
        <v/>
      </c>
      <c r="C725" s="91" t="n"/>
      <c r="D725" s="94" t="str">
        <f>IF(N(U725)&gt;0,INDEX('MTRs'!$I$6:$I$505,U725)&amp;"","")</f>
        <v/>
      </c>
      <c r="E725" s="92" t="n"/>
      <c r="F725" s="98" t="n"/>
      <c r="G725" s="91" t="n"/>
      <c r="H725" s="93" t="str">
        <f>IF(Q725=0,"",IF(NOT(ISNUMBER(F725)),"",IF(ISNUMBER(W725),F725*W725,"UNIDADE A CONFERIR")))</f>
        <v/>
      </c>
      <c r="I725" s="91" t="n"/>
      <c r="J725" s="91" t="n"/>
      <c r="K725" s="92" t="n"/>
      <c r="L725" s="91" t="n"/>
      <c r="M725" s="91" t="n"/>
      <c r="N725" s="91" t="n"/>
      <c r="O725" s="91" t="n"/>
      <c r="P725" s="94" t="str">
        <f>IF(Q725=0,"",IF(C725="","Item de resíduo não informado",IF(T725=0,"Item inexistente (referência inválida)",IF(NOT(ISNUMBER(F725)),"Quantidade não informada",IF(F725&lt;=0,"Quantidade não positiva",IF(G725="","Unidade não informada",IF(NOT(ISNUMBER(H725)),"Unidade a conferir",IF(NOT(ISNUMBER(E725)),"Data de recebimento não informada",IF(AND(ISNUMBER(V725),N(V725)&gt;0,E725&lt;N(V725)),"Data anterior à emissão do MTR",IF(AND(J725="Sim",L725="",M725=""),"Conferido sem evidência identificada",IF(J725&lt;&gt;"Sim","Aguardando conferência",IF(INDEX('ITENS_MTR'!$AM$6:$AM$1005,S725)=1,"Conferido (ver diferença no item)","Conferido"))))))))))))</f>
        <v/>
      </c>
      <c r="Q725" s="96">
        <f>IF(COUNTA(C725,E725:G725,I725:O725)&gt;0,1,0)</f>
        <v>0</v>
      </c>
      <c r="R725" s="96" t="str">
        <f>IF(C725="","",TRIM(LEFT(C725,FIND(" |",C725&amp;" |")-1)))</f>
        <v/>
      </c>
      <c r="S725" s="96" t="str">
        <f>IF(R725="","",IFERROR(MATCH(R725,'ITENS_MTR'!$A$6:$A$1005,0),""))</f>
        <v/>
      </c>
      <c r="T725" s="96">
        <f>IF(S725="",0,IF(INDEX('ITENS_MTR'!$R$6:$R$1005,S725)=1,1,0))</f>
        <v>0</v>
      </c>
      <c r="U725" s="96" t="str">
        <f>IF(T725=1,INDEX('ITENS_MTR'!$T$6:$T$1005,S725),"")</f>
        <v/>
      </c>
      <c r="V725" s="97" t="str">
        <f>IF(N(U725)&gt;0,INDEX('MTRs'!$E$6:$E$505,U725),"")</f>
        <v/>
      </c>
      <c r="W725" s="96" t="str">
        <f>IF(G725="","",IFERROR(IF(ISNUMBER(INDEX(cfg_fac,MATCH(G725,cfg_units,0))),IF(INDEX(cfg_fac,MATCH(G725,cfg_units,0))&gt;0,INDEX(cfg_fac,MATCH(G725,cfg_units,0)),""),""),""))</f>
        <v/>
      </c>
      <c r="X725" s="96">
        <f>IF(AND(ISNUMBER(F725),ISNUMBER(H725)),IF(H725&gt;0,1,0),0)</f>
        <v>0</v>
      </c>
      <c r="Y725" s="96">
        <f>IF(Q725=0,0,IF(OR(T725=0,X725=0,NOT(ISNUMBER(E725)),AND(J725="Sim",L725="",M725=""),AND(ISNUMBER(E725),ISNUMBER(V725),N(V725)&gt;0,E725&lt;N(V725))),1,0))</f>
        <v>0</v>
      </c>
      <c r="Z725" s="96">
        <f>IF(AND(Q725=1,T725=1,X725=1,J725="Sim",OR(L725&lt;&gt;"",M725&lt;&gt;"")),1,0)</f>
        <v>0</v>
      </c>
      <c r="AA725" s="96">
        <f>IF(Q725=0,0,IF(AND(OR(r_ini="",AND(ISNUMBER(E725),E725&gt;=r_ini)),OR(r_fim="",AND(ISNUMBER(E725),E725&lt;=r_fim)),OR(r_un="",r_un="(Todas)",IF(N(U725)&gt;0,INDEX('MTRs'!$G$6:$G$505,U725),"")=r_un),OR(r_de="",r_de="(Todos)",D725=r_de)),1,0))</f>
        <v>0</v>
      </c>
      <c r="AB725" s="96" t="str">
        <f>IF(AA725=1,COUNTIF($AA$6:AA725,1),"")</f>
        <v/>
      </c>
    </row>
    <row r="726">
      <c r="A726" s="89" t="inlineStr">
        <is>
          <t>REC-000721</t>
        </is>
      </c>
      <c r="B726" s="94" t="str">
        <f>IF(T726=1,INDEX('ITENS_MTR'!$S$6:$S$1005,S726)&amp;"","")</f>
        <v/>
      </c>
      <c r="C726" s="91" t="n"/>
      <c r="D726" s="94" t="str">
        <f>IF(N(U726)&gt;0,INDEX('MTRs'!$I$6:$I$505,U726)&amp;"","")</f>
        <v/>
      </c>
      <c r="E726" s="92" t="n"/>
      <c r="F726" s="98" t="n"/>
      <c r="G726" s="91" t="n"/>
      <c r="H726" s="93" t="str">
        <f>IF(Q726=0,"",IF(NOT(ISNUMBER(F726)),"",IF(ISNUMBER(W726),F726*W726,"UNIDADE A CONFERIR")))</f>
        <v/>
      </c>
      <c r="I726" s="91" t="n"/>
      <c r="J726" s="91" t="n"/>
      <c r="K726" s="92" t="n"/>
      <c r="L726" s="91" t="n"/>
      <c r="M726" s="91" t="n"/>
      <c r="N726" s="91" t="n"/>
      <c r="O726" s="91" t="n"/>
      <c r="P726" s="94" t="str">
        <f>IF(Q726=0,"",IF(C726="","Item de resíduo não informado",IF(T726=0,"Item inexistente (referência inválida)",IF(NOT(ISNUMBER(F726)),"Quantidade não informada",IF(F726&lt;=0,"Quantidade não positiva",IF(G726="","Unidade não informada",IF(NOT(ISNUMBER(H726)),"Unidade a conferir",IF(NOT(ISNUMBER(E726)),"Data de recebimento não informada",IF(AND(ISNUMBER(V726),N(V726)&gt;0,E726&lt;N(V726)),"Data anterior à emissão do MTR",IF(AND(J726="Sim",L726="",M726=""),"Conferido sem evidência identificada",IF(J726&lt;&gt;"Sim","Aguardando conferência",IF(INDEX('ITENS_MTR'!$AM$6:$AM$1005,S726)=1,"Conferido (ver diferença no item)","Conferido"))))))))))))</f>
        <v/>
      </c>
      <c r="Q726" s="96">
        <f>IF(COUNTA(C726,E726:G726,I726:O726)&gt;0,1,0)</f>
        <v>0</v>
      </c>
      <c r="R726" s="96" t="str">
        <f>IF(C726="","",TRIM(LEFT(C726,FIND(" |",C726&amp;" |")-1)))</f>
        <v/>
      </c>
      <c r="S726" s="96" t="str">
        <f>IF(R726="","",IFERROR(MATCH(R726,'ITENS_MTR'!$A$6:$A$1005,0),""))</f>
        <v/>
      </c>
      <c r="T726" s="96">
        <f>IF(S726="",0,IF(INDEX('ITENS_MTR'!$R$6:$R$1005,S726)=1,1,0))</f>
        <v>0</v>
      </c>
      <c r="U726" s="96" t="str">
        <f>IF(T726=1,INDEX('ITENS_MTR'!$T$6:$T$1005,S726),"")</f>
        <v/>
      </c>
      <c r="V726" s="97" t="str">
        <f>IF(N(U726)&gt;0,INDEX('MTRs'!$E$6:$E$505,U726),"")</f>
        <v/>
      </c>
      <c r="W726" s="96" t="str">
        <f>IF(G726="","",IFERROR(IF(ISNUMBER(INDEX(cfg_fac,MATCH(G726,cfg_units,0))),IF(INDEX(cfg_fac,MATCH(G726,cfg_units,0))&gt;0,INDEX(cfg_fac,MATCH(G726,cfg_units,0)),""),""),""))</f>
        <v/>
      </c>
      <c r="X726" s="96">
        <f>IF(AND(ISNUMBER(F726),ISNUMBER(H726)),IF(H726&gt;0,1,0),0)</f>
        <v>0</v>
      </c>
      <c r="Y726" s="96">
        <f>IF(Q726=0,0,IF(OR(T726=0,X726=0,NOT(ISNUMBER(E726)),AND(J726="Sim",L726="",M726=""),AND(ISNUMBER(E726),ISNUMBER(V726),N(V726)&gt;0,E726&lt;N(V726))),1,0))</f>
        <v>0</v>
      </c>
      <c r="Z726" s="96">
        <f>IF(AND(Q726=1,T726=1,X726=1,J726="Sim",OR(L726&lt;&gt;"",M726&lt;&gt;"")),1,0)</f>
        <v>0</v>
      </c>
      <c r="AA726" s="96">
        <f>IF(Q726=0,0,IF(AND(OR(r_ini="",AND(ISNUMBER(E726),E726&gt;=r_ini)),OR(r_fim="",AND(ISNUMBER(E726),E726&lt;=r_fim)),OR(r_un="",r_un="(Todas)",IF(N(U726)&gt;0,INDEX('MTRs'!$G$6:$G$505,U726),"")=r_un),OR(r_de="",r_de="(Todos)",D726=r_de)),1,0))</f>
        <v>0</v>
      </c>
      <c r="AB726" s="96" t="str">
        <f>IF(AA726=1,COUNTIF($AA$6:AA726,1),"")</f>
        <v/>
      </c>
    </row>
    <row r="727">
      <c r="A727" s="89" t="inlineStr">
        <is>
          <t>REC-000722</t>
        </is>
      </c>
      <c r="B727" s="94" t="str">
        <f>IF(T727=1,INDEX('ITENS_MTR'!$S$6:$S$1005,S727)&amp;"","")</f>
        <v/>
      </c>
      <c r="C727" s="91" t="n"/>
      <c r="D727" s="94" t="str">
        <f>IF(N(U727)&gt;0,INDEX('MTRs'!$I$6:$I$505,U727)&amp;"","")</f>
        <v/>
      </c>
      <c r="E727" s="92" t="n"/>
      <c r="F727" s="98" t="n"/>
      <c r="G727" s="91" t="n"/>
      <c r="H727" s="93" t="str">
        <f>IF(Q727=0,"",IF(NOT(ISNUMBER(F727)),"",IF(ISNUMBER(W727),F727*W727,"UNIDADE A CONFERIR")))</f>
        <v/>
      </c>
      <c r="I727" s="91" t="n"/>
      <c r="J727" s="91" t="n"/>
      <c r="K727" s="92" t="n"/>
      <c r="L727" s="91" t="n"/>
      <c r="M727" s="91" t="n"/>
      <c r="N727" s="91" t="n"/>
      <c r="O727" s="91" t="n"/>
      <c r="P727" s="94" t="str">
        <f>IF(Q727=0,"",IF(C727="","Item de resíduo não informado",IF(T727=0,"Item inexistente (referência inválida)",IF(NOT(ISNUMBER(F727)),"Quantidade não informada",IF(F727&lt;=0,"Quantidade não positiva",IF(G727="","Unidade não informada",IF(NOT(ISNUMBER(H727)),"Unidade a conferir",IF(NOT(ISNUMBER(E727)),"Data de recebimento não informada",IF(AND(ISNUMBER(V727),N(V727)&gt;0,E727&lt;N(V727)),"Data anterior à emissão do MTR",IF(AND(J727="Sim",L727="",M727=""),"Conferido sem evidência identificada",IF(J727&lt;&gt;"Sim","Aguardando conferência",IF(INDEX('ITENS_MTR'!$AM$6:$AM$1005,S727)=1,"Conferido (ver diferença no item)","Conferido"))))))))))))</f>
        <v/>
      </c>
      <c r="Q727" s="96">
        <f>IF(COUNTA(C727,E727:G727,I727:O727)&gt;0,1,0)</f>
        <v>0</v>
      </c>
      <c r="R727" s="96" t="str">
        <f>IF(C727="","",TRIM(LEFT(C727,FIND(" |",C727&amp;" |")-1)))</f>
        <v/>
      </c>
      <c r="S727" s="96" t="str">
        <f>IF(R727="","",IFERROR(MATCH(R727,'ITENS_MTR'!$A$6:$A$1005,0),""))</f>
        <v/>
      </c>
      <c r="T727" s="96">
        <f>IF(S727="",0,IF(INDEX('ITENS_MTR'!$R$6:$R$1005,S727)=1,1,0))</f>
        <v>0</v>
      </c>
      <c r="U727" s="96" t="str">
        <f>IF(T727=1,INDEX('ITENS_MTR'!$T$6:$T$1005,S727),"")</f>
        <v/>
      </c>
      <c r="V727" s="97" t="str">
        <f>IF(N(U727)&gt;0,INDEX('MTRs'!$E$6:$E$505,U727),"")</f>
        <v/>
      </c>
      <c r="W727" s="96" t="str">
        <f>IF(G727="","",IFERROR(IF(ISNUMBER(INDEX(cfg_fac,MATCH(G727,cfg_units,0))),IF(INDEX(cfg_fac,MATCH(G727,cfg_units,0))&gt;0,INDEX(cfg_fac,MATCH(G727,cfg_units,0)),""),""),""))</f>
        <v/>
      </c>
      <c r="X727" s="96">
        <f>IF(AND(ISNUMBER(F727),ISNUMBER(H727)),IF(H727&gt;0,1,0),0)</f>
        <v>0</v>
      </c>
      <c r="Y727" s="96">
        <f>IF(Q727=0,0,IF(OR(T727=0,X727=0,NOT(ISNUMBER(E727)),AND(J727="Sim",L727="",M727=""),AND(ISNUMBER(E727),ISNUMBER(V727),N(V727)&gt;0,E727&lt;N(V727))),1,0))</f>
        <v>0</v>
      </c>
      <c r="Z727" s="96">
        <f>IF(AND(Q727=1,T727=1,X727=1,J727="Sim",OR(L727&lt;&gt;"",M727&lt;&gt;"")),1,0)</f>
        <v>0</v>
      </c>
      <c r="AA727" s="96">
        <f>IF(Q727=0,0,IF(AND(OR(r_ini="",AND(ISNUMBER(E727),E727&gt;=r_ini)),OR(r_fim="",AND(ISNUMBER(E727),E727&lt;=r_fim)),OR(r_un="",r_un="(Todas)",IF(N(U727)&gt;0,INDEX('MTRs'!$G$6:$G$505,U727),"")=r_un),OR(r_de="",r_de="(Todos)",D727=r_de)),1,0))</f>
        <v>0</v>
      </c>
      <c r="AB727" s="96" t="str">
        <f>IF(AA727=1,COUNTIF($AA$6:AA727,1),"")</f>
        <v/>
      </c>
    </row>
    <row r="728">
      <c r="A728" s="89" t="inlineStr">
        <is>
          <t>REC-000723</t>
        </is>
      </c>
      <c r="B728" s="94" t="str">
        <f>IF(T728=1,INDEX('ITENS_MTR'!$S$6:$S$1005,S728)&amp;"","")</f>
        <v/>
      </c>
      <c r="C728" s="91" t="n"/>
      <c r="D728" s="94" t="str">
        <f>IF(N(U728)&gt;0,INDEX('MTRs'!$I$6:$I$505,U728)&amp;"","")</f>
        <v/>
      </c>
      <c r="E728" s="92" t="n"/>
      <c r="F728" s="98" t="n"/>
      <c r="G728" s="91" t="n"/>
      <c r="H728" s="93" t="str">
        <f>IF(Q728=0,"",IF(NOT(ISNUMBER(F728)),"",IF(ISNUMBER(W728),F728*W728,"UNIDADE A CONFERIR")))</f>
        <v/>
      </c>
      <c r="I728" s="91" t="n"/>
      <c r="J728" s="91" t="n"/>
      <c r="K728" s="92" t="n"/>
      <c r="L728" s="91" t="n"/>
      <c r="M728" s="91" t="n"/>
      <c r="N728" s="91" t="n"/>
      <c r="O728" s="91" t="n"/>
      <c r="P728" s="94" t="str">
        <f>IF(Q728=0,"",IF(C728="","Item de resíduo não informado",IF(T728=0,"Item inexistente (referência inválida)",IF(NOT(ISNUMBER(F728)),"Quantidade não informada",IF(F728&lt;=0,"Quantidade não positiva",IF(G728="","Unidade não informada",IF(NOT(ISNUMBER(H728)),"Unidade a conferir",IF(NOT(ISNUMBER(E728)),"Data de recebimento não informada",IF(AND(ISNUMBER(V728),N(V728)&gt;0,E728&lt;N(V728)),"Data anterior à emissão do MTR",IF(AND(J728="Sim",L728="",M728=""),"Conferido sem evidência identificada",IF(J728&lt;&gt;"Sim","Aguardando conferência",IF(INDEX('ITENS_MTR'!$AM$6:$AM$1005,S728)=1,"Conferido (ver diferença no item)","Conferido"))))))))))))</f>
        <v/>
      </c>
      <c r="Q728" s="96">
        <f>IF(COUNTA(C728,E728:G728,I728:O728)&gt;0,1,0)</f>
        <v>0</v>
      </c>
      <c r="R728" s="96" t="str">
        <f>IF(C728="","",TRIM(LEFT(C728,FIND(" |",C728&amp;" |")-1)))</f>
        <v/>
      </c>
      <c r="S728" s="96" t="str">
        <f>IF(R728="","",IFERROR(MATCH(R728,'ITENS_MTR'!$A$6:$A$1005,0),""))</f>
        <v/>
      </c>
      <c r="T728" s="96">
        <f>IF(S728="",0,IF(INDEX('ITENS_MTR'!$R$6:$R$1005,S728)=1,1,0))</f>
        <v>0</v>
      </c>
      <c r="U728" s="96" t="str">
        <f>IF(T728=1,INDEX('ITENS_MTR'!$T$6:$T$1005,S728),"")</f>
        <v/>
      </c>
      <c r="V728" s="97" t="str">
        <f>IF(N(U728)&gt;0,INDEX('MTRs'!$E$6:$E$505,U728),"")</f>
        <v/>
      </c>
      <c r="W728" s="96" t="str">
        <f>IF(G728="","",IFERROR(IF(ISNUMBER(INDEX(cfg_fac,MATCH(G728,cfg_units,0))),IF(INDEX(cfg_fac,MATCH(G728,cfg_units,0))&gt;0,INDEX(cfg_fac,MATCH(G728,cfg_units,0)),""),""),""))</f>
        <v/>
      </c>
      <c r="X728" s="96">
        <f>IF(AND(ISNUMBER(F728),ISNUMBER(H728)),IF(H728&gt;0,1,0),0)</f>
        <v>0</v>
      </c>
      <c r="Y728" s="96">
        <f>IF(Q728=0,0,IF(OR(T728=0,X728=0,NOT(ISNUMBER(E728)),AND(J728="Sim",L728="",M728=""),AND(ISNUMBER(E728),ISNUMBER(V728),N(V728)&gt;0,E728&lt;N(V728))),1,0))</f>
        <v>0</v>
      </c>
      <c r="Z728" s="96">
        <f>IF(AND(Q728=1,T728=1,X728=1,J728="Sim",OR(L728&lt;&gt;"",M728&lt;&gt;"")),1,0)</f>
        <v>0</v>
      </c>
      <c r="AA728" s="96">
        <f>IF(Q728=0,0,IF(AND(OR(r_ini="",AND(ISNUMBER(E728),E728&gt;=r_ini)),OR(r_fim="",AND(ISNUMBER(E728),E728&lt;=r_fim)),OR(r_un="",r_un="(Todas)",IF(N(U728)&gt;0,INDEX('MTRs'!$G$6:$G$505,U728),"")=r_un),OR(r_de="",r_de="(Todos)",D728=r_de)),1,0))</f>
        <v>0</v>
      </c>
      <c r="AB728" s="96" t="str">
        <f>IF(AA728=1,COUNTIF($AA$6:AA728,1),"")</f>
        <v/>
      </c>
    </row>
    <row r="729">
      <c r="A729" s="89" t="inlineStr">
        <is>
          <t>REC-000724</t>
        </is>
      </c>
      <c r="B729" s="94" t="str">
        <f>IF(T729=1,INDEX('ITENS_MTR'!$S$6:$S$1005,S729)&amp;"","")</f>
        <v/>
      </c>
      <c r="C729" s="91" t="n"/>
      <c r="D729" s="94" t="str">
        <f>IF(N(U729)&gt;0,INDEX('MTRs'!$I$6:$I$505,U729)&amp;"","")</f>
        <v/>
      </c>
      <c r="E729" s="92" t="n"/>
      <c r="F729" s="98" t="n"/>
      <c r="G729" s="91" t="n"/>
      <c r="H729" s="93" t="str">
        <f>IF(Q729=0,"",IF(NOT(ISNUMBER(F729)),"",IF(ISNUMBER(W729),F729*W729,"UNIDADE A CONFERIR")))</f>
        <v/>
      </c>
      <c r="I729" s="91" t="n"/>
      <c r="J729" s="91" t="n"/>
      <c r="K729" s="92" t="n"/>
      <c r="L729" s="91" t="n"/>
      <c r="M729" s="91" t="n"/>
      <c r="N729" s="91" t="n"/>
      <c r="O729" s="91" t="n"/>
      <c r="P729" s="94" t="str">
        <f>IF(Q729=0,"",IF(C729="","Item de resíduo não informado",IF(T729=0,"Item inexistente (referência inválida)",IF(NOT(ISNUMBER(F729)),"Quantidade não informada",IF(F729&lt;=0,"Quantidade não positiva",IF(G729="","Unidade não informada",IF(NOT(ISNUMBER(H729)),"Unidade a conferir",IF(NOT(ISNUMBER(E729)),"Data de recebimento não informada",IF(AND(ISNUMBER(V729),N(V729)&gt;0,E729&lt;N(V729)),"Data anterior à emissão do MTR",IF(AND(J729="Sim",L729="",M729=""),"Conferido sem evidência identificada",IF(J729&lt;&gt;"Sim","Aguardando conferência",IF(INDEX('ITENS_MTR'!$AM$6:$AM$1005,S729)=1,"Conferido (ver diferença no item)","Conferido"))))))))))))</f>
        <v/>
      </c>
      <c r="Q729" s="96">
        <f>IF(COUNTA(C729,E729:G729,I729:O729)&gt;0,1,0)</f>
        <v>0</v>
      </c>
      <c r="R729" s="96" t="str">
        <f>IF(C729="","",TRIM(LEFT(C729,FIND(" |",C729&amp;" |")-1)))</f>
        <v/>
      </c>
      <c r="S729" s="96" t="str">
        <f>IF(R729="","",IFERROR(MATCH(R729,'ITENS_MTR'!$A$6:$A$1005,0),""))</f>
        <v/>
      </c>
      <c r="T729" s="96">
        <f>IF(S729="",0,IF(INDEX('ITENS_MTR'!$R$6:$R$1005,S729)=1,1,0))</f>
        <v>0</v>
      </c>
      <c r="U729" s="96" t="str">
        <f>IF(T729=1,INDEX('ITENS_MTR'!$T$6:$T$1005,S729),"")</f>
        <v/>
      </c>
      <c r="V729" s="97" t="str">
        <f>IF(N(U729)&gt;0,INDEX('MTRs'!$E$6:$E$505,U729),"")</f>
        <v/>
      </c>
      <c r="W729" s="96" t="str">
        <f>IF(G729="","",IFERROR(IF(ISNUMBER(INDEX(cfg_fac,MATCH(G729,cfg_units,0))),IF(INDEX(cfg_fac,MATCH(G729,cfg_units,0))&gt;0,INDEX(cfg_fac,MATCH(G729,cfg_units,0)),""),""),""))</f>
        <v/>
      </c>
      <c r="X729" s="96">
        <f>IF(AND(ISNUMBER(F729),ISNUMBER(H729)),IF(H729&gt;0,1,0),0)</f>
        <v>0</v>
      </c>
      <c r="Y729" s="96">
        <f>IF(Q729=0,0,IF(OR(T729=0,X729=0,NOT(ISNUMBER(E729)),AND(J729="Sim",L729="",M729=""),AND(ISNUMBER(E729),ISNUMBER(V729),N(V729)&gt;0,E729&lt;N(V729))),1,0))</f>
        <v>0</v>
      </c>
      <c r="Z729" s="96">
        <f>IF(AND(Q729=1,T729=1,X729=1,J729="Sim",OR(L729&lt;&gt;"",M729&lt;&gt;"")),1,0)</f>
        <v>0</v>
      </c>
      <c r="AA729" s="96">
        <f>IF(Q729=0,0,IF(AND(OR(r_ini="",AND(ISNUMBER(E729),E729&gt;=r_ini)),OR(r_fim="",AND(ISNUMBER(E729),E729&lt;=r_fim)),OR(r_un="",r_un="(Todas)",IF(N(U729)&gt;0,INDEX('MTRs'!$G$6:$G$505,U729),"")=r_un),OR(r_de="",r_de="(Todos)",D729=r_de)),1,0))</f>
        <v>0</v>
      </c>
      <c r="AB729" s="96" t="str">
        <f>IF(AA729=1,COUNTIF($AA$6:AA729,1),"")</f>
        <v/>
      </c>
    </row>
    <row r="730">
      <c r="A730" s="89" t="inlineStr">
        <is>
          <t>REC-000725</t>
        </is>
      </c>
      <c r="B730" s="94" t="str">
        <f>IF(T730=1,INDEX('ITENS_MTR'!$S$6:$S$1005,S730)&amp;"","")</f>
        <v/>
      </c>
      <c r="C730" s="91" t="n"/>
      <c r="D730" s="94" t="str">
        <f>IF(N(U730)&gt;0,INDEX('MTRs'!$I$6:$I$505,U730)&amp;"","")</f>
        <v/>
      </c>
      <c r="E730" s="92" t="n"/>
      <c r="F730" s="98" t="n"/>
      <c r="G730" s="91" t="n"/>
      <c r="H730" s="93" t="str">
        <f>IF(Q730=0,"",IF(NOT(ISNUMBER(F730)),"",IF(ISNUMBER(W730),F730*W730,"UNIDADE A CONFERIR")))</f>
        <v/>
      </c>
      <c r="I730" s="91" t="n"/>
      <c r="J730" s="91" t="n"/>
      <c r="K730" s="92" t="n"/>
      <c r="L730" s="91" t="n"/>
      <c r="M730" s="91" t="n"/>
      <c r="N730" s="91" t="n"/>
      <c r="O730" s="91" t="n"/>
      <c r="P730" s="94" t="str">
        <f>IF(Q730=0,"",IF(C730="","Item de resíduo não informado",IF(T730=0,"Item inexistente (referência inválida)",IF(NOT(ISNUMBER(F730)),"Quantidade não informada",IF(F730&lt;=0,"Quantidade não positiva",IF(G730="","Unidade não informada",IF(NOT(ISNUMBER(H730)),"Unidade a conferir",IF(NOT(ISNUMBER(E730)),"Data de recebimento não informada",IF(AND(ISNUMBER(V730),N(V730)&gt;0,E730&lt;N(V730)),"Data anterior à emissão do MTR",IF(AND(J730="Sim",L730="",M730=""),"Conferido sem evidência identificada",IF(J730&lt;&gt;"Sim","Aguardando conferência",IF(INDEX('ITENS_MTR'!$AM$6:$AM$1005,S730)=1,"Conferido (ver diferença no item)","Conferido"))))))))))))</f>
        <v/>
      </c>
      <c r="Q730" s="96">
        <f>IF(COUNTA(C730,E730:G730,I730:O730)&gt;0,1,0)</f>
        <v>0</v>
      </c>
      <c r="R730" s="96" t="str">
        <f>IF(C730="","",TRIM(LEFT(C730,FIND(" |",C730&amp;" |")-1)))</f>
        <v/>
      </c>
      <c r="S730" s="96" t="str">
        <f>IF(R730="","",IFERROR(MATCH(R730,'ITENS_MTR'!$A$6:$A$1005,0),""))</f>
        <v/>
      </c>
      <c r="T730" s="96">
        <f>IF(S730="",0,IF(INDEX('ITENS_MTR'!$R$6:$R$1005,S730)=1,1,0))</f>
        <v>0</v>
      </c>
      <c r="U730" s="96" t="str">
        <f>IF(T730=1,INDEX('ITENS_MTR'!$T$6:$T$1005,S730),"")</f>
        <v/>
      </c>
      <c r="V730" s="97" t="str">
        <f>IF(N(U730)&gt;0,INDEX('MTRs'!$E$6:$E$505,U730),"")</f>
        <v/>
      </c>
      <c r="W730" s="96" t="str">
        <f>IF(G730="","",IFERROR(IF(ISNUMBER(INDEX(cfg_fac,MATCH(G730,cfg_units,0))),IF(INDEX(cfg_fac,MATCH(G730,cfg_units,0))&gt;0,INDEX(cfg_fac,MATCH(G730,cfg_units,0)),""),""),""))</f>
        <v/>
      </c>
      <c r="X730" s="96">
        <f>IF(AND(ISNUMBER(F730),ISNUMBER(H730)),IF(H730&gt;0,1,0),0)</f>
        <v>0</v>
      </c>
      <c r="Y730" s="96">
        <f>IF(Q730=0,0,IF(OR(T730=0,X730=0,NOT(ISNUMBER(E730)),AND(J730="Sim",L730="",M730=""),AND(ISNUMBER(E730),ISNUMBER(V730),N(V730)&gt;0,E730&lt;N(V730))),1,0))</f>
        <v>0</v>
      </c>
      <c r="Z730" s="96">
        <f>IF(AND(Q730=1,T730=1,X730=1,J730="Sim",OR(L730&lt;&gt;"",M730&lt;&gt;"")),1,0)</f>
        <v>0</v>
      </c>
      <c r="AA730" s="96">
        <f>IF(Q730=0,0,IF(AND(OR(r_ini="",AND(ISNUMBER(E730),E730&gt;=r_ini)),OR(r_fim="",AND(ISNUMBER(E730),E730&lt;=r_fim)),OR(r_un="",r_un="(Todas)",IF(N(U730)&gt;0,INDEX('MTRs'!$G$6:$G$505,U730),"")=r_un),OR(r_de="",r_de="(Todos)",D730=r_de)),1,0))</f>
        <v>0</v>
      </c>
      <c r="AB730" s="96" t="str">
        <f>IF(AA730=1,COUNTIF($AA$6:AA730,1),"")</f>
        <v/>
      </c>
    </row>
    <row r="731">
      <c r="A731" s="89" t="inlineStr">
        <is>
          <t>REC-000726</t>
        </is>
      </c>
      <c r="B731" s="94" t="str">
        <f>IF(T731=1,INDEX('ITENS_MTR'!$S$6:$S$1005,S731)&amp;"","")</f>
        <v/>
      </c>
      <c r="C731" s="91" t="n"/>
      <c r="D731" s="94" t="str">
        <f>IF(N(U731)&gt;0,INDEX('MTRs'!$I$6:$I$505,U731)&amp;"","")</f>
        <v/>
      </c>
      <c r="E731" s="92" t="n"/>
      <c r="F731" s="98" t="n"/>
      <c r="G731" s="91" t="n"/>
      <c r="H731" s="93" t="str">
        <f>IF(Q731=0,"",IF(NOT(ISNUMBER(F731)),"",IF(ISNUMBER(W731),F731*W731,"UNIDADE A CONFERIR")))</f>
        <v/>
      </c>
      <c r="I731" s="91" t="n"/>
      <c r="J731" s="91" t="n"/>
      <c r="K731" s="92" t="n"/>
      <c r="L731" s="91" t="n"/>
      <c r="M731" s="91" t="n"/>
      <c r="N731" s="91" t="n"/>
      <c r="O731" s="91" t="n"/>
      <c r="P731" s="94" t="str">
        <f>IF(Q731=0,"",IF(C731="","Item de resíduo não informado",IF(T731=0,"Item inexistente (referência inválida)",IF(NOT(ISNUMBER(F731)),"Quantidade não informada",IF(F731&lt;=0,"Quantidade não positiva",IF(G731="","Unidade não informada",IF(NOT(ISNUMBER(H731)),"Unidade a conferir",IF(NOT(ISNUMBER(E731)),"Data de recebimento não informada",IF(AND(ISNUMBER(V731),N(V731)&gt;0,E731&lt;N(V731)),"Data anterior à emissão do MTR",IF(AND(J731="Sim",L731="",M731=""),"Conferido sem evidência identificada",IF(J731&lt;&gt;"Sim","Aguardando conferência",IF(INDEX('ITENS_MTR'!$AM$6:$AM$1005,S731)=1,"Conferido (ver diferença no item)","Conferido"))))))))))))</f>
        <v/>
      </c>
      <c r="Q731" s="96">
        <f>IF(COUNTA(C731,E731:G731,I731:O731)&gt;0,1,0)</f>
        <v>0</v>
      </c>
      <c r="R731" s="96" t="str">
        <f>IF(C731="","",TRIM(LEFT(C731,FIND(" |",C731&amp;" |")-1)))</f>
        <v/>
      </c>
      <c r="S731" s="96" t="str">
        <f>IF(R731="","",IFERROR(MATCH(R731,'ITENS_MTR'!$A$6:$A$1005,0),""))</f>
        <v/>
      </c>
      <c r="T731" s="96">
        <f>IF(S731="",0,IF(INDEX('ITENS_MTR'!$R$6:$R$1005,S731)=1,1,0))</f>
        <v>0</v>
      </c>
      <c r="U731" s="96" t="str">
        <f>IF(T731=1,INDEX('ITENS_MTR'!$T$6:$T$1005,S731),"")</f>
        <v/>
      </c>
      <c r="V731" s="97" t="str">
        <f>IF(N(U731)&gt;0,INDEX('MTRs'!$E$6:$E$505,U731),"")</f>
        <v/>
      </c>
      <c r="W731" s="96" t="str">
        <f>IF(G731="","",IFERROR(IF(ISNUMBER(INDEX(cfg_fac,MATCH(G731,cfg_units,0))),IF(INDEX(cfg_fac,MATCH(G731,cfg_units,0))&gt;0,INDEX(cfg_fac,MATCH(G731,cfg_units,0)),""),""),""))</f>
        <v/>
      </c>
      <c r="X731" s="96">
        <f>IF(AND(ISNUMBER(F731),ISNUMBER(H731)),IF(H731&gt;0,1,0),0)</f>
        <v>0</v>
      </c>
      <c r="Y731" s="96">
        <f>IF(Q731=0,0,IF(OR(T731=0,X731=0,NOT(ISNUMBER(E731)),AND(J731="Sim",L731="",M731=""),AND(ISNUMBER(E731),ISNUMBER(V731),N(V731)&gt;0,E731&lt;N(V731))),1,0))</f>
        <v>0</v>
      </c>
      <c r="Z731" s="96">
        <f>IF(AND(Q731=1,T731=1,X731=1,J731="Sim",OR(L731&lt;&gt;"",M731&lt;&gt;"")),1,0)</f>
        <v>0</v>
      </c>
      <c r="AA731" s="96">
        <f>IF(Q731=0,0,IF(AND(OR(r_ini="",AND(ISNUMBER(E731),E731&gt;=r_ini)),OR(r_fim="",AND(ISNUMBER(E731),E731&lt;=r_fim)),OR(r_un="",r_un="(Todas)",IF(N(U731)&gt;0,INDEX('MTRs'!$G$6:$G$505,U731),"")=r_un),OR(r_de="",r_de="(Todos)",D731=r_de)),1,0))</f>
        <v>0</v>
      </c>
      <c r="AB731" s="96" t="str">
        <f>IF(AA731=1,COUNTIF($AA$6:AA731,1),"")</f>
        <v/>
      </c>
    </row>
    <row r="732">
      <c r="A732" s="89" t="inlineStr">
        <is>
          <t>REC-000727</t>
        </is>
      </c>
      <c r="B732" s="94" t="str">
        <f>IF(T732=1,INDEX('ITENS_MTR'!$S$6:$S$1005,S732)&amp;"","")</f>
        <v/>
      </c>
      <c r="C732" s="91" t="n"/>
      <c r="D732" s="94" t="str">
        <f>IF(N(U732)&gt;0,INDEX('MTRs'!$I$6:$I$505,U732)&amp;"","")</f>
        <v/>
      </c>
      <c r="E732" s="92" t="n"/>
      <c r="F732" s="98" t="n"/>
      <c r="G732" s="91" t="n"/>
      <c r="H732" s="93" t="str">
        <f>IF(Q732=0,"",IF(NOT(ISNUMBER(F732)),"",IF(ISNUMBER(W732),F732*W732,"UNIDADE A CONFERIR")))</f>
        <v/>
      </c>
      <c r="I732" s="91" t="n"/>
      <c r="J732" s="91" t="n"/>
      <c r="K732" s="92" t="n"/>
      <c r="L732" s="91" t="n"/>
      <c r="M732" s="91" t="n"/>
      <c r="N732" s="91" t="n"/>
      <c r="O732" s="91" t="n"/>
      <c r="P732" s="94" t="str">
        <f>IF(Q732=0,"",IF(C732="","Item de resíduo não informado",IF(T732=0,"Item inexistente (referência inválida)",IF(NOT(ISNUMBER(F732)),"Quantidade não informada",IF(F732&lt;=0,"Quantidade não positiva",IF(G732="","Unidade não informada",IF(NOT(ISNUMBER(H732)),"Unidade a conferir",IF(NOT(ISNUMBER(E732)),"Data de recebimento não informada",IF(AND(ISNUMBER(V732),N(V732)&gt;0,E732&lt;N(V732)),"Data anterior à emissão do MTR",IF(AND(J732="Sim",L732="",M732=""),"Conferido sem evidência identificada",IF(J732&lt;&gt;"Sim","Aguardando conferência",IF(INDEX('ITENS_MTR'!$AM$6:$AM$1005,S732)=1,"Conferido (ver diferença no item)","Conferido"))))))))))))</f>
        <v/>
      </c>
      <c r="Q732" s="96">
        <f>IF(COUNTA(C732,E732:G732,I732:O732)&gt;0,1,0)</f>
        <v>0</v>
      </c>
      <c r="R732" s="96" t="str">
        <f>IF(C732="","",TRIM(LEFT(C732,FIND(" |",C732&amp;" |")-1)))</f>
        <v/>
      </c>
      <c r="S732" s="96" t="str">
        <f>IF(R732="","",IFERROR(MATCH(R732,'ITENS_MTR'!$A$6:$A$1005,0),""))</f>
        <v/>
      </c>
      <c r="T732" s="96">
        <f>IF(S732="",0,IF(INDEX('ITENS_MTR'!$R$6:$R$1005,S732)=1,1,0))</f>
        <v>0</v>
      </c>
      <c r="U732" s="96" t="str">
        <f>IF(T732=1,INDEX('ITENS_MTR'!$T$6:$T$1005,S732),"")</f>
        <v/>
      </c>
      <c r="V732" s="97" t="str">
        <f>IF(N(U732)&gt;0,INDEX('MTRs'!$E$6:$E$505,U732),"")</f>
        <v/>
      </c>
      <c r="W732" s="96" t="str">
        <f>IF(G732="","",IFERROR(IF(ISNUMBER(INDEX(cfg_fac,MATCH(G732,cfg_units,0))),IF(INDEX(cfg_fac,MATCH(G732,cfg_units,0))&gt;0,INDEX(cfg_fac,MATCH(G732,cfg_units,0)),""),""),""))</f>
        <v/>
      </c>
      <c r="X732" s="96">
        <f>IF(AND(ISNUMBER(F732),ISNUMBER(H732)),IF(H732&gt;0,1,0),0)</f>
        <v>0</v>
      </c>
      <c r="Y732" s="96">
        <f>IF(Q732=0,0,IF(OR(T732=0,X732=0,NOT(ISNUMBER(E732)),AND(J732="Sim",L732="",M732=""),AND(ISNUMBER(E732),ISNUMBER(V732),N(V732)&gt;0,E732&lt;N(V732))),1,0))</f>
        <v>0</v>
      </c>
      <c r="Z732" s="96">
        <f>IF(AND(Q732=1,T732=1,X732=1,J732="Sim",OR(L732&lt;&gt;"",M732&lt;&gt;"")),1,0)</f>
        <v>0</v>
      </c>
      <c r="AA732" s="96">
        <f>IF(Q732=0,0,IF(AND(OR(r_ini="",AND(ISNUMBER(E732),E732&gt;=r_ini)),OR(r_fim="",AND(ISNUMBER(E732),E732&lt;=r_fim)),OR(r_un="",r_un="(Todas)",IF(N(U732)&gt;0,INDEX('MTRs'!$G$6:$G$505,U732),"")=r_un),OR(r_de="",r_de="(Todos)",D732=r_de)),1,0))</f>
        <v>0</v>
      </c>
      <c r="AB732" s="96" t="str">
        <f>IF(AA732=1,COUNTIF($AA$6:AA732,1),"")</f>
        <v/>
      </c>
    </row>
    <row r="733">
      <c r="A733" s="89" t="inlineStr">
        <is>
          <t>REC-000728</t>
        </is>
      </c>
      <c r="B733" s="94" t="str">
        <f>IF(T733=1,INDEX('ITENS_MTR'!$S$6:$S$1005,S733)&amp;"","")</f>
        <v/>
      </c>
      <c r="C733" s="91" t="n"/>
      <c r="D733" s="94" t="str">
        <f>IF(N(U733)&gt;0,INDEX('MTRs'!$I$6:$I$505,U733)&amp;"","")</f>
        <v/>
      </c>
      <c r="E733" s="92" t="n"/>
      <c r="F733" s="98" t="n"/>
      <c r="G733" s="91" t="n"/>
      <c r="H733" s="93" t="str">
        <f>IF(Q733=0,"",IF(NOT(ISNUMBER(F733)),"",IF(ISNUMBER(W733),F733*W733,"UNIDADE A CONFERIR")))</f>
        <v/>
      </c>
      <c r="I733" s="91" t="n"/>
      <c r="J733" s="91" t="n"/>
      <c r="K733" s="92" t="n"/>
      <c r="L733" s="91" t="n"/>
      <c r="M733" s="91" t="n"/>
      <c r="N733" s="91" t="n"/>
      <c r="O733" s="91" t="n"/>
      <c r="P733" s="94" t="str">
        <f>IF(Q733=0,"",IF(C733="","Item de resíduo não informado",IF(T733=0,"Item inexistente (referência inválida)",IF(NOT(ISNUMBER(F733)),"Quantidade não informada",IF(F733&lt;=0,"Quantidade não positiva",IF(G733="","Unidade não informada",IF(NOT(ISNUMBER(H733)),"Unidade a conferir",IF(NOT(ISNUMBER(E733)),"Data de recebimento não informada",IF(AND(ISNUMBER(V733),N(V733)&gt;0,E733&lt;N(V733)),"Data anterior à emissão do MTR",IF(AND(J733="Sim",L733="",M733=""),"Conferido sem evidência identificada",IF(J733&lt;&gt;"Sim","Aguardando conferência",IF(INDEX('ITENS_MTR'!$AM$6:$AM$1005,S733)=1,"Conferido (ver diferença no item)","Conferido"))))))))))))</f>
        <v/>
      </c>
      <c r="Q733" s="96">
        <f>IF(COUNTA(C733,E733:G733,I733:O733)&gt;0,1,0)</f>
        <v>0</v>
      </c>
      <c r="R733" s="96" t="str">
        <f>IF(C733="","",TRIM(LEFT(C733,FIND(" |",C733&amp;" |")-1)))</f>
        <v/>
      </c>
      <c r="S733" s="96" t="str">
        <f>IF(R733="","",IFERROR(MATCH(R733,'ITENS_MTR'!$A$6:$A$1005,0),""))</f>
        <v/>
      </c>
      <c r="T733" s="96">
        <f>IF(S733="",0,IF(INDEX('ITENS_MTR'!$R$6:$R$1005,S733)=1,1,0))</f>
        <v>0</v>
      </c>
      <c r="U733" s="96" t="str">
        <f>IF(T733=1,INDEX('ITENS_MTR'!$T$6:$T$1005,S733),"")</f>
        <v/>
      </c>
      <c r="V733" s="97" t="str">
        <f>IF(N(U733)&gt;0,INDEX('MTRs'!$E$6:$E$505,U733),"")</f>
        <v/>
      </c>
      <c r="W733" s="96" t="str">
        <f>IF(G733="","",IFERROR(IF(ISNUMBER(INDEX(cfg_fac,MATCH(G733,cfg_units,0))),IF(INDEX(cfg_fac,MATCH(G733,cfg_units,0))&gt;0,INDEX(cfg_fac,MATCH(G733,cfg_units,0)),""),""),""))</f>
        <v/>
      </c>
      <c r="X733" s="96">
        <f>IF(AND(ISNUMBER(F733),ISNUMBER(H733)),IF(H733&gt;0,1,0),0)</f>
        <v>0</v>
      </c>
      <c r="Y733" s="96">
        <f>IF(Q733=0,0,IF(OR(T733=0,X733=0,NOT(ISNUMBER(E733)),AND(J733="Sim",L733="",M733=""),AND(ISNUMBER(E733),ISNUMBER(V733),N(V733)&gt;0,E733&lt;N(V733))),1,0))</f>
        <v>0</v>
      </c>
      <c r="Z733" s="96">
        <f>IF(AND(Q733=1,T733=1,X733=1,J733="Sim",OR(L733&lt;&gt;"",M733&lt;&gt;"")),1,0)</f>
        <v>0</v>
      </c>
      <c r="AA733" s="96">
        <f>IF(Q733=0,0,IF(AND(OR(r_ini="",AND(ISNUMBER(E733),E733&gt;=r_ini)),OR(r_fim="",AND(ISNUMBER(E733),E733&lt;=r_fim)),OR(r_un="",r_un="(Todas)",IF(N(U733)&gt;0,INDEX('MTRs'!$G$6:$G$505,U733),"")=r_un),OR(r_de="",r_de="(Todos)",D733=r_de)),1,0))</f>
        <v>0</v>
      </c>
      <c r="AB733" s="96" t="str">
        <f>IF(AA733=1,COUNTIF($AA$6:AA733,1),"")</f>
        <v/>
      </c>
    </row>
    <row r="734">
      <c r="A734" s="89" t="inlineStr">
        <is>
          <t>REC-000729</t>
        </is>
      </c>
      <c r="B734" s="94" t="str">
        <f>IF(T734=1,INDEX('ITENS_MTR'!$S$6:$S$1005,S734)&amp;"","")</f>
        <v/>
      </c>
      <c r="C734" s="91" t="n"/>
      <c r="D734" s="94" t="str">
        <f>IF(N(U734)&gt;0,INDEX('MTRs'!$I$6:$I$505,U734)&amp;"","")</f>
        <v/>
      </c>
      <c r="E734" s="92" t="n"/>
      <c r="F734" s="98" t="n"/>
      <c r="G734" s="91" t="n"/>
      <c r="H734" s="93" t="str">
        <f>IF(Q734=0,"",IF(NOT(ISNUMBER(F734)),"",IF(ISNUMBER(W734),F734*W734,"UNIDADE A CONFERIR")))</f>
        <v/>
      </c>
      <c r="I734" s="91" t="n"/>
      <c r="J734" s="91" t="n"/>
      <c r="K734" s="92" t="n"/>
      <c r="L734" s="91" t="n"/>
      <c r="M734" s="91" t="n"/>
      <c r="N734" s="91" t="n"/>
      <c r="O734" s="91" t="n"/>
      <c r="P734" s="94" t="str">
        <f>IF(Q734=0,"",IF(C734="","Item de resíduo não informado",IF(T734=0,"Item inexistente (referência inválida)",IF(NOT(ISNUMBER(F734)),"Quantidade não informada",IF(F734&lt;=0,"Quantidade não positiva",IF(G734="","Unidade não informada",IF(NOT(ISNUMBER(H734)),"Unidade a conferir",IF(NOT(ISNUMBER(E734)),"Data de recebimento não informada",IF(AND(ISNUMBER(V734),N(V734)&gt;0,E734&lt;N(V734)),"Data anterior à emissão do MTR",IF(AND(J734="Sim",L734="",M734=""),"Conferido sem evidência identificada",IF(J734&lt;&gt;"Sim","Aguardando conferência",IF(INDEX('ITENS_MTR'!$AM$6:$AM$1005,S734)=1,"Conferido (ver diferença no item)","Conferido"))))))))))))</f>
        <v/>
      </c>
      <c r="Q734" s="96">
        <f>IF(COUNTA(C734,E734:G734,I734:O734)&gt;0,1,0)</f>
        <v>0</v>
      </c>
      <c r="R734" s="96" t="str">
        <f>IF(C734="","",TRIM(LEFT(C734,FIND(" |",C734&amp;" |")-1)))</f>
        <v/>
      </c>
      <c r="S734" s="96" t="str">
        <f>IF(R734="","",IFERROR(MATCH(R734,'ITENS_MTR'!$A$6:$A$1005,0),""))</f>
        <v/>
      </c>
      <c r="T734" s="96">
        <f>IF(S734="",0,IF(INDEX('ITENS_MTR'!$R$6:$R$1005,S734)=1,1,0))</f>
        <v>0</v>
      </c>
      <c r="U734" s="96" t="str">
        <f>IF(T734=1,INDEX('ITENS_MTR'!$T$6:$T$1005,S734),"")</f>
        <v/>
      </c>
      <c r="V734" s="97" t="str">
        <f>IF(N(U734)&gt;0,INDEX('MTRs'!$E$6:$E$505,U734),"")</f>
        <v/>
      </c>
      <c r="W734" s="96" t="str">
        <f>IF(G734="","",IFERROR(IF(ISNUMBER(INDEX(cfg_fac,MATCH(G734,cfg_units,0))),IF(INDEX(cfg_fac,MATCH(G734,cfg_units,0))&gt;0,INDEX(cfg_fac,MATCH(G734,cfg_units,0)),""),""),""))</f>
        <v/>
      </c>
      <c r="X734" s="96">
        <f>IF(AND(ISNUMBER(F734),ISNUMBER(H734)),IF(H734&gt;0,1,0),0)</f>
        <v>0</v>
      </c>
      <c r="Y734" s="96">
        <f>IF(Q734=0,0,IF(OR(T734=0,X734=0,NOT(ISNUMBER(E734)),AND(J734="Sim",L734="",M734=""),AND(ISNUMBER(E734),ISNUMBER(V734),N(V734)&gt;0,E734&lt;N(V734))),1,0))</f>
        <v>0</v>
      </c>
      <c r="Z734" s="96">
        <f>IF(AND(Q734=1,T734=1,X734=1,J734="Sim",OR(L734&lt;&gt;"",M734&lt;&gt;"")),1,0)</f>
        <v>0</v>
      </c>
      <c r="AA734" s="96">
        <f>IF(Q734=0,0,IF(AND(OR(r_ini="",AND(ISNUMBER(E734),E734&gt;=r_ini)),OR(r_fim="",AND(ISNUMBER(E734),E734&lt;=r_fim)),OR(r_un="",r_un="(Todas)",IF(N(U734)&gt;0,INDEX('MTRs'!$G$6:$G$505,U734),"")=r_un),OR(r_de="",r_de="(Todos)",D734=r_de)),1,0))</f>
        <v>0</v>
      </c>
      <c r="AB734" s="96" t="str">
        <f>IF(AA734=1,COUNTIF($AA$6:AA734,1),"")</f>
        <v/>
      </c>
    </row>
    <row r="735">
      <c r="A735" s="89" t="inlineStr">
        <is>
          <t>REC-000730</t>
        </is>
      </c>
      <c r="B735" s="94" t="str">
        <f>IF(T735=1,INDEX('ITENS_MTR'!$S$6:$S$1005,S735)&amp;"","")</f>
        <v/>
      </c>
      <c r="C735" s="91" t="n"/>
      <c r="D735" s="94" t="str">
        <f>IF(N(U735)&gt;0,INDEX('MTRs'!$I$6:$I$505,U735)&amp;"","")</f>
        <v/>
      </c>
      <c r="E735" s="92" t="n"/>
      <c r="F735" s="98" t="n"/>
      <c r="G735" s="91" t="n"/>
      <c r="H735" s="93" t="str">
        <f>IF(Q735=0,"",IF(NOT(ISNUMBER(F735)),"",IF(ISNUMBER(W735),F735*W735,"UNIDADE A CONFERIR")))</f>
        <v/>
      </c>
      <c r="I735" s="91" t="n"/>
      <c r="J735" s="91" t="n"/>
      <c r="K735" s="92" t="n"/>
      <c r="L735" s="91" t="n"/>
      <c r="M735" s="91" t="n"/>
      <c r="N735" s="91" t="n"/>
      <c r="O735" s="91" t="n"/>
      <c r="P735" s="94" t="str">
        <f>IF(Q735=0,"",IF(C735="","Item de resíduo não informado",IF(T735=0,"Item inexistente (referência inválida)",IF(NOT(ISNUMBER(F735)),"Quantidade não informada",IF(F735&lt;=0,"Quantidade não positiva",IF(G735="","Unidade não informada",IF(NOT(ISNUMBER(H735)),"Unidade a conferir",IF(NOT(ISNUMBER(E735)),"Data de recebimento não informada",IF(AND(ISNUMBER(V735),N(V735)&gt;0,E735&lt;N(V735)),"Data anterior à emissão do MTR",IF(AND(J735="Sim",L735="",M735=""),"Conferido sem evidência identificada",IF(J735&lt;&gt;"Sim","Aguardando conferência",IF(INDEX('ITENS_MTR'!$AM$6:$AM$1005,S735)=1,"Conferido (ver diferença no item)","Conferido"))))))))))))</f>
        <v/>
      </c>
      <c r="Q735" s="96">
        <f>IF(COUNTA(C735,E735:G735,I735:O735)&gt;0,1,0)</f>
        <v>0</v>
      </c>
      <c r="R735" s="96" t="str">
        <f>IF(C735="","",TRIM(LEFT(C735,FIND(" |",C735&amp;" |")-1)))</f>
        <v/>
      </c>
      <c r="S735" s="96" t="str">
        <f>IF(R735="","",IFERROR(MATCH(R735,'ITENS_MTR'!$A$6:$A$1005,0),""))</f>
        <v/>
      </c>
      <c r="T735" s="96">
        <f>IF(S735="",0,IF(INDEX('ITENS_MTR'!$R$6:$R$1005,S735)=1,1,0))</f>
        <v>0</v>
      </c>
      <c r="U735" s="96" t="str">
        <f>IF(T735=1,INDEX('ITENS_MTR'!$T$6:$T$1005,S735),"")</f>
        <v/>
      </c>
      <c r="V735" s="97" t="str">
        <f>IF(N(U735)&gt;0,INDEX('MTRs'!$E$6:$E$505,U735),"")</f>
        <v/>
      </c>
      <c r="W735" s="96" t="str">
        <f>IF(G735="","",IFERROR(IF(ISNUMBER(INDEX(cfg_fac,MATCH(G735,cfg_units,0))),IF(INDEX(cfg_fac,MATCH(G735,cfg_units,0))&gt;0,INDEX(cfg_fac,MATCH(G735,cfg_units,0)),""),""),""))</f>
        <v/>
      </c>
      <c r="X735" s="96">
        <f>IF(AND(ISNUMBER(F735),ISNUMBER(H735)),IF(H735&gt;0,1,0),0)</f>
        <v>0</v>
      </c>
      <c r="Y735" s="96">
        <f>IF(Q735=0,0,IF(OR(T735=0,X735=0,NOT(ISNUMBER(E735)),AND(J735="Sim",L735="",M735=""),AND(ISNUMBER(E735),ISNUMBER(V735),N(V735)&gt;0,E735&lt;N(V735))),1,0))</f>
        <v>0</v>
      </c>
      <c r="Z735" s="96">
        <f>IF(AND(Q735=1,T735=1,X735=1,J735="Sim",OR(L735&lt;&gt;"",M735&lt;&gt;"")),1,0)</f>
        <v>0</v>
      </c>
      <c r="AA735" s="96">
        <f>IF(Q735=0,0,IF(AND(OR(r_ini="",AND(ISNUMBER(E735),E735&gt;=r_ini)),OR(r_fim="",AND(ISNUMBER(E735),E735&lt;=r_fim)),OR(r_un="",r_un="(Todas)",IF(N(U735)&gt;0,INDEX('MTRs'!$G$6:$G$505,U735),"")=r_un),OR(r_de="",r_de="(Todos)",D735=r_de)),1,0))</f>
        <v>0</v>
      </c>
      <c r="AB735" s="96" t="str">
        <f>IF(AA735=1,COUNTIF($AA$6:AA735,1),"")</f>
        <v/>
      </c>
    </row>
    <row r="736">
      <c r="A736" s="89" t="inlineStr">
        <is>
          <t>REC-000731</t>
        </is>
      </c>
      <c r="B736" s="94" t="str">
        <f>IF(T736=1,INDEX('ITENS_MTR'!$S$6:$S$1005,S736)&amp;"","")</f>
        <v/>
      </c>
      <c r="C736" s="91" t="n"/>
      <c r="D736" s="94" t="str">
        <f>IF(N(U736)&gt;0,INDEX('MTRs'!$I$6:$I$505,U736)&amp;"","")</f>
        <v/>
      </c>
      <c r="E736" s="92" t="n"/>
      <c r="F736" s="98" t="n"/>
      <c r="G736" s="91" t="n"/>
      <c r="H736" s="93" t="str">
        <f>IF(Q736=0,"",IF(NOT(ISNUMBER(F736)),"",IF(ISNUMBER(W736),F736*W736,"UNIDADE A CONFERIR")))</f>
        <v/>
      </c>
      <c r="I736" s="91" t="n"/>
      <c r="J736" s="91" t="n"/>
      <c r="K736" s="92" t="n"/>
      <c r="L736" s="91" t="n"/>
      <c r="M736" s="91" t="n"/>
      <c r="N736" s="91" t="n"/>
      <c r="O736" s="91" t="n"/>
      <c r="P736" s="94" t="str">
        <f>IF(Q736=0,"",IF(C736="","Item de resíduo não informado",IF(T736=0,"Item inexistente (referência inválida)",IF(NOT(ISNUMBER(F736)),"Quantidade não informada",IF(F736&lt;=0,"Quantidade não positiva",IF(G736="","Unidade não informada",IF(NOT(ISNUMBER(H736)),"Unidade a conferir",IF(NOT(ISNUMBER(E736)),"Data de recebimento não informada",IF(AND(ISNUMBER(V736),N(V736)&gt;0,E736&lt;N(V736)),"Data anterior à emissão do MTR",IF(AND(J736="Sim",L736="",M736=""),"Conferido sem evidência identificada",IF(J736&lt;&gt;"Sim","Aguardando conferência",IF(INDEX('ITENS_MTR'!$AM$6:$AM$1005,S736)=1,"Conferido (ver diferença no item)","Conferido"))))))))))))</f>
        <v/>
      </c>
      <c r="Q736" s="96">
        <f>IF(COUNTA(C736,E736:G736,I736:O736)&gt;0,1,0)</f>
        <v>0</v>
      </c>
      <c r="R736" s="96" t="str">
        <f>IF(C736="","",TRIM(LEFT(C736,FIND(" |",C736&amp;" |")-1)))</f>
        <v/>
      </c>
      <c r="S736" s="96" t="str">
        <f>IF(R736="","",IFERROR(MATCH(R736,'ITENS_MTR'!$A$6:$A$1005,0),""))</f>
        <v/>
      </c>
      <c r="T736" s="96">
        <f>IF(S736="",0,IF(INDEX('ITENS_MTR'!$R$6:$R$1005,S736)=1,1,0))</f>
        <v>0</v>
      </c>
      <c r="U736" s="96" t="str">
        <f>IF(T736=1,INDEX('ITENS_MTR'!$T$6:$T$1005,S736),"")</f>
        <v/>
      </c>
      <c r="V736" s="97" t="str">
        <f>IF(N(U736)&gt;0,INDEX('MTRs'!$E$6:$E$505,U736),"")</f>
        <v/>
      </c>
      <c r="W736" s="96" t="str">
        <f>IF(G736="","",IFERROR(IF(ISNUMBER(INDEX(cfg_fac,MATCH(G736,cfg_units,0))),IF(INDEX(cfg_fac,MATCH(G736,cfg_units,0))&gt;0,INDEX(cfg_fac,MATCH(G736,cfg_units,0)),""),""),""))</f>
        <v/>
      </c>
      <c r="X736" s="96">
        <f>IF(AND(ISNUMBER(F736),ISNUMBER(H736)),IF(H736&gt;0,1,0),0)</f>
        <v>0</v>
      </c>
      <c r="Y736" s="96">
        <f>IF(Q736=0,0,IF(OR(T736=0,X736=0,NOT(ISNUMBER(E736)),AND(J736="Sim",L736="",M736=""),AND(ISNUMBER(E736),ISNUMBER(V736),N(V736)&gt;0,E736&lt;N(V736))),1,0))</f>
        <v>0</v>
      </c>
      <c r="Z736" s="96">
        <f>IF(AND(Q736=1,T736=1,X736=1,J736="Sim",OR(L736&lt;&gt;"",M736&lt;&gt;"")),1,0)</f>
        <v>0</v>
      </c>
      <c r="AA736" s="96">
        <f>IF(Q736=0,0,IF(AND(OR(r_ini="",AND(ISNUMBER(E736),E736&gt;=r_ini)),OR(r_fim="",AND(ISNUMBER(E736),E736&lt;=r_fim)),OR(r_un="",r_un="(Todas)",IF(N(U736)&gt;0,INDEX('MTRs'!$G$6:$G$505,U736),"")=r_un),OR(r_de="",r_de="(Todos)",D736=r_de)),1,0))</f>
        <v>0</v>
      </c>
      <c r="AB736" s="96" t="str">
        <f>IF(AA736=1,COUNTIF($AA$6:AA736,1),"")</f>
        <v/>
      </c>
    </row>
    <row r="737">
      <c r="A737" s="89" t="inlineStr">
        <is>
          <t>REC-000732</t>
        </is>
      </c>
      <c r="B737" s="94" t="str">
        <f>IF(T737=1,INDEX('ITENS_MTR'!$S$6:$S$1005,S737)&amp;"","")</f>
        <v/>
      </c>
      <c r="C737" s="91" t="n"/>
      <c r="D737" s="94" t="str">
        <f>IF(N(U737)&gt;0,INDEX('MTRs'!$I$6:$I$505,U737)&amp;"","")</f>
        <v/>
      </c>
      <c r="E737" s="92" t="n"/>
      <c r="F737" s="98" t="n"/>
      <c r="G737" s="91" t="n"/>
      <c r="H737" s="93" t="str">
        <f>IF(Q737=0,"",IF(NOT(ISNUMBER(F737)),"",IF(ISNUMBER(W737),F737*W737,"UNIDADE A CONFERIR")))</f>
        <v/>
      </c>
      <c r="I737" s="91" t="n"/>
      <c r="J737" s="91" t="n"/>
      <c r="K737" s="92" t="n"/>
      <c r="L737" s="91" t="n"/>
      <c r="M737" s="91" t="n"/>
      <c r="N737" s="91" t="n"/>
      <c r="O737" s="91" t="n"/>
      <c r="P737" s="94" t="str">
        <f>IF(Q737=0,"",IF(C737="","Item de resíduo não informado",IF(T737=0,"Item inexistente (referência inválida)",IF(NOT(ISNUMBER(F737)),"Quantidade não informada",IF(F737&lt;=0,"Quantidade não positiva",IF(G737="","Unidade não informada",IF(NOT(ISNUMBER(H737)),"Unidade a conferir",IF(NOT(ISNUMBER(E737)),"Data de recebimento não informada",IF(AND(ISNUMBER(V737),N(V737)&gt;0,E737&lt;N(V737)),"Data anterior à emissão do MTR",IF(AND(J737="Sim",L737="",M737=""),"Conferido sem evidência identificada",IF(J737&lt;&gt;"Sim","Aguardando conferência",IF(INDEX('ITENS_MTR'!$AM$6:$AM$1005,S737)=1,"Conferido (ver diferença no item)","Conferido"))))))))))))</f>
        <v/>
      </c>
      <c r="Q737" s="96">
        <f>IF(COUNTA(C737,E737:G737,I737:O737)&gt;0,1,0)</f>
        <v>0</v>
      </c>
      <c r="R737" s="96" t="str">
        <f>IF(C737="","",TRIM(LEFT(C737,FIND(" |",C737&amp;" |")-1)))</f>
        <v/>
      </c>
      <c r="S737" s="96" t="str">
        <f>IF(R737="","",IFERROR(MATCH(R737,'ITENS_MTR'!$A$6:$A$1005,0),""))</f>
        <v/>
      </c>
      <c r="T737" s="96">
        <f>IF(S737="",0,IF(INDEX('ITENS_MTR'!$R$6:$R$1005,S737)=1,1,0))</f>
        <v>0</v>
      </c>
      <c r="U737" s="96" t="str">
        <f>IF(T737=1,INDEX('ITENS_MTR'!$T$6:$T$1005,S737),"")</f>
        <v/>
      </c>
      <c r="V737" s="97" t="str">
        <f>IF(N(U737)&gt;0,INDEX('MTRs'!$E$6:$E$505,U737),"")</f>
        <v/>
      </c>
      <c r="W737" s="96" t="str">
        <f>IF(G737="","",IFERROR(IF(ISNUMBER(INDEX(cfg_fac,MATCH(G737,cfg_units,0))),IF(INDEX(cfg_fac,MATCH(G737,cfg_units,0))&gt;0,INDEX(cfg_fac,MATCH(G737,cfg_units,0)),""),""),""))</f>
        <v/>
      </c>
      <c r="X737" s="96">
        <f>IF(AND(ISNUMBER(F737),ISNUMBER(H737)),IF(H737&gt;0,1,0),0)</f>
        <v>0</v>
      </c>
      <c r="Y737" s="96">
        <f>IF(Q737=0,0,IF(OR(T737=0,X737=0,NOT(ISNUMBER(E737)),AND(J737="Sim",L737="",M737=""),AND(ISNUMBER(E737),ISNUMBER(V737),N(V737)&gt;0,E737&lt;N(V737))),1,0))</f>
        <v>0</v>
      </c>
      <c r="Z737" s="96">
        <f>IF(AND(Q737=1,T737=1,X737=1,J737="Sim",OR(L737&lt;&gt;"",M737&lt;&gt;"")),1,0)</f>
        <v>0</v>
      </c>
      <c r="AA737" s="96">
        <f>IF(Q737=0,0,IF(AND(OR(r_ini="",AND(ISNUMBER(E737),E737&gt;=r_ini)),OR(r_fim="",AND(ISNUMBER(E737),E737&lt;=r_fim)),OR(r_un="",r_un="(Todas)",IF(N(U737)&gt;0,INDEX('MTRs'!$G$6:$G$505,U737),"")=r_un),OR(r_de="",r_de="(Todos)",D737=r_de)),1,0))</f>
        <v>0</v>
      </c>
      <c r="AB737" s="96" t="str">
        <f>IF(AA737=1,COUNTIF($AA$6:AA737,1),"")</f>
        <v/>
      </c>
    </row>
    <row r="738">
      <c r="A738" s="89" t="inlineStr">
        <is>
          <t>REC-000733</t>
        </is>
      </c>
      <c r="B738" s="94" t="str">
        <f>IF(T738=1,INDEX('ITENS_MTR'!$S$6:$S$1005,S738)&amp;"","")</f>
        <v/>
      </c>
      <c r="C738" s="91" t="n"/>
      <c r="D738" s="94" t="str">
        <f>IF(N(U738)&gt;0,INDEX('MTRs'!$I$6:$I$505,U738)&amp;"","")</f>
        <v/>
      </c>
      <c r="E738" s="92" t="n"/>
      <c r="F738" s="98" t="n"/>
      <c r="G738" s="91" t="n"/>
      <c r="H738" s="93" t="str">
        <f>IF(Q738=0,"",IF(NOT(ISNUMBER(F738)),"",IF(ISNUMBER(W738),F738*W738,"UNIDADE A CONFERIR")))</f>
        <v/>
      </c>
      <c r="I738" s="91" t="n"/>
      <c r="J738" s="91" t="n"/>
      <c r="K738" s="92" t="n"/>
      <c r="L738" s="91" t="n"/>
      <c r="M738" s="91" t="n"/>
      <c r="N738" s="91" t="n"/>
      <c r="O738" s="91" t="n"/>
      <c r="P738" s="94" t="str">
        <f>IF(Q738=0,"",IF(C738="","Item de resíduo não informado",IF(T738=0,"Item inexistente (referência inválida)",IF(NOT(ISNUMBER(F738)),"Quantidade não informada",IF(F738&lt;=0,"Quantidade não positiva",IF(G738="","Unidade não informada",IF(NOT(ISNUMBER(H738)),"Unidade a conferir",IF(NOT(ISNUMBER(E738)),"Data de recebimento não informada",IF(AND(ISNUMBER(V738),N(V738)&gt;0,E738&lt;N(V738)),"Data anterior à emissão do MTR",IF(AND(J738="Sim",L738="",M738=""),"Conferido sem evidência identificada",IF(J738&lt;&gt;"Sim","Aguardando conferência",IF(INDEX('ITENS_MTR'!$AM$6:$AM$1005,S738)=1,"Conferido (ver diferença no item)","Conferido"))))))))))))</f>
        <v/>
      </c>
      <c r="Q738" s="96">
        <f>IF(COUNTA(C738,E738:G738,I738:O738)&gt;0,1,0)</f>
        <v>0</v>
      </c>
      <c r="R738" s="96" t="str">
        <f>IF(C738="","",TRIM(LEFT(C738,FIND(" |",C738&amp;" |")-1)))</f>
        <v/>
      </c>
      <c r="S738" s="96" t="str">
        <f>IF(R738="","",IFERROR(MATCH(R738,'ITENS_MTR'!$A$6:$A$1005,0),""))</f>
        <v/>
      </c>
      <c r="T738" s="96">
        <f>IF(S738="",0,IF(INDEX('ITENS_MTR'!$R$6:$R$1005,S738)=1,1,0))</f>
        <v>0</v>
      </c>
      <c r="U738" s="96" t="str">
        <f>IF(T738=1,INDEX('ITENS_MTR'!$T$6:$T$1005,S738),"")</f>
        <v/>
      </c>
      <c r="V738" s="97" t="str">
        <f>IF(N(U738)&gt;0,INDEX('MTRs'!$E$6:$E$505,U738),"")</f>
        <v/>
      </c>
      <c r="W738" s="96" t="str">
        <f>IF(G738="","",IFERROR(IF(ISNUMBER(INDEX(cfg_fac,MATCH(G738,cfg_units,0))),IF(INDEX(cfg_fac,MATCH(G738,cfg_units,0))&gt;0,INDEX(cfg_fac,MATCH(G738,cfg_units,0)),""),""),""))</f>
        <v/>
      </c>
      <c r="X738" s="96">
        <f>IF(AND(ISNUMBER(F738),ISNUMBER(H738)),IF(H738&gt;0,1,0),0)</f>
        <v>0</v>
      </c>
      <c r="Y738" s="96">
        <f>IF(Q738=0,0,IF(OR(T738=0,X738=0,NOT(ISNUMBER(E738)),AND(J738="Sim",L738="",M738=""),AND(ISNUMBER(E738),ISNUMBER(V738),N(V738)&gt;0,E738&lt;N(V738))),1,0))</f>
        <v>0</v>
      </c>
      <c r="Z738" s="96">
        <f>IF(AND(Q738=1,T738=1,X738=1,J738="Sim",OR(L738&lt;&gt;"",M738&lt;&gt;"")),1,0)</f>
        <v>0</v>
      </c>
      <c r="AA738" s="96">
        <f>IF(Q738=0,0,IF(AND(OR(r_ini="",AND(ISNUMBER(E738),E738&gt;=r_ini)),OR(r_fim="",AND(ISNUMBER(E738),E738&lt;=r_fim)),OR(r_un="",r_un="(Todas)",IF(N(U738)&gt;0,INDEX('MTRs'!$G$6:$G$505,U738),"")=r_un),OR(r_de="",r_de="(Todos)",D738=r_de)),1,0))</f>
        <v>0</v>
      </c>
      <c r="AB738" s="96" t="str">
        <f>IF(AA738=1,COUNTIF($AA$6:AA738,1),"")</f>
        <v/>
      </c>
    </row>
    <row r="739">
      <c r="A739" s="89" t="inlineStr">
        <is>
          <t>REC-000734</t>
        </is>
      </c>
      <c r="B739" s="94" t="str">
        <f>IF(T739=1,INDEX('ITENS_MTR'!$S$6:$S$1005,S739)&amp;"","")</f>
        <v/>
      </c>
      <c r="C739" s="91" t="n"/>
      <c r="D739" s="94" t="str">
        <f>IF(N(U739)&gt;0,INDEX('MTRs'!$I$6:$I$505,U739)&amp;"","")</f>
        <v/>
      </c>
      <c r="E739" s="92" t="n"/>
      <c r="F739" s="98" t="n"/>
      <c r="G739" s="91" t="n"/>
      <c r="H739" s="93" t="str">
        <f>IF(Q739=0,"",IF(NOT(ISNUMBER(F739)),"",IF(ISNUMBER(W739),F739*W739,"UNIDADE A CONFERIR")))</f>
        <v/>
      </c>
      <c r="I739" s="91" t="n"/>
      <c r="J739" s="91" t="n"/>
      <c r="K739" s="92" t="n"/>
      <c r="L739" s="91" t="n"/>
      <c r="M739" s="91" t="n"/>
      <c r="N739" s="91" t="n"/>
      <c r="O739" s="91" t="n"/>
      <c r="P739" s="94" t="str">
        <f>IF(Q739=0,"",IF(C739="","Item de resíduo não informado",IF(T739=0,"Item inexistente (referência inválida)",IF(NOT(ISNUMBER(F739)),"Quantidade não informada",IF(F739&lt;=0,"Quantidade não positiva",IF(G739="","Unidade não informada",IF(NOT(ISNUMBER(H739)),"Unidade a conferir",IF(NOT(ISNUMBER(E739)),"Data de recebimento não informada",IF(AND(ISNUMBER(V739),N(V739)&gt;0,E739&lt;N(V739)),"Data anterior à emissão do MTR",IF(AND(J739="Sim",L739="",M739=""),"Conferido sem evidência identificada",IF(J739&lt;&gt;"Sim","Aguardando conferência",IF(INDEX('ITENS_MTR'!$AM$6:$AM$1005,S739)=1,"Conferido (ver diferença no item)","Conferido"))))))))))))</f>
        <v/>
      </c>
      <c r="Q739" s="96">
        <f>IF(COUNTA(C739,E739:G739,I739:O739)&gt;0,1,0)</f>
        <v>0</v>
      </c>
      <c r="R739" s="96" t="str">
        <f>IF(C739="","",TRIM(LEFT(C739,FIND(" |",C739&amp;" |")-1)))</f>
        <v/>
      </c>
      <c r="S739" s="96" t="str">
        <f>IF(R739="","",IFERROR(MATCH(R739,'ITENS_MTR'!$A$6:$A$1005,0),""))</f>
        <v/>
      </c>
      <c r="T739" s="96">
        <f>IF(S739="",0,IF(INDEX('ITENS_MTR'!$R$6:$R$1005,S739)=1,1,0))</f>
        <v>0</v>
      </c>
      <c r="U739" s="96" t="str">
        <f>IF(T739=1,INDEX('ITENS_MTR'!$T$6:$T$1005,S739),"")</f>
        <v/>
      </c>
      <c r="V739" s="97" t="str">
        <f>IF(N(U739)&gt;0,INDEX('MTRs'!$E$6:$E$505,U739),"")</f>
        <v/>
      </c>
      <c r="W739" s="96" t="str">
        <f>IF(G739="","",IFERROR(IF(ISNUMBER(INDEX(cfg_fac,MATCH(G739,cfg_units,0))),IF(INDEX(cfg_fac,MATCH(G739,cfg_units,0))&gt;0,INDEX(cfg_fac,MATCH(G739,cfg_units,0)),""),""),""))</f>
        <v/>
      </c>
      <c r="X739" s="96">
        <f>IF(AND(ISNUMBER(F739),ISNUMBER(H739)),IF(H739&gt;0,1,0),0)</f>
        <v>0</v>
      </c>
      <c r="Y739" s="96">
        <f>IF(Q739=0,0,IF(OR(T739=0,X739=0,NOT(ISNUMBER(E739)),AND(J739="Sim",L739="",M739=""),AND(ISNUMBER(E739),ISNUMBER(V739),N(V739)&gt;0,E739&lt;N(V739))),1,0))</f>
        <v>0</v>
      </c>
      <c r="Z739" s="96">
        <f>IF(AND(Q739=1,T739=1,X739=1,J739="Sim",OR(L739&lt;&gt;"",M739&lt;&gt;"")),1,0)</f>
        <v>0</v>
      </c>
      <c r="AA739" s="96">
        <f>IF(Q739=0,0,IF(AND(OR(r_ini="",AND(ISNUMBER(E739),E739&gt;=r_ini)),OR(r_fim="",AND(ISNUMBER(E739),E739&lt;=r_fim)),OR(r_un="",r_un="(Todas)",IF(N(U739)&gt;0,INDEX('MTRs'!$G$6:$G$505,U739),"")=r_un),OR(r_de="",r_de="(Todos)",D739=r_de)),1,0))</f>
        <v>0</v>
      </c>
      <c r="AB739" s="96" t="str">
        <f>IF(AA739=1,COUNTIF($AA$6:AA739,1),"")</f>
        <v/>
      </c>
    </row>
    <row r="740">
      <c r="A740" s="89" t="inlineStr">
        <is>
          <t>REC-000735</t>
        </is>
      </c>
      <c r="B740" s="94" t="str">
        <f>IF(T740=1,INDEX('ITENS_MTR'!$S$6:$S$1005,S740)&amp;"","")</f>
        <v/>
      </c>
      <c r="C740" s="91" t="n"/>
      <c r="D740" s="94" t="str">
        <f>IF(N(U740)&gt;0,INDEX('MTRs'!$I$6:$I$505,U740)&amp;"","")</f>
        <v/>
      </c>
      <c r="E740" s="92" t="n"/>
      <c r="F740" s="98" t="n"/>
      <c r="G740" s="91" t="n"/>
      <c r="H740" s="93" t="str">
        <f>IF(Q740=0,"",IF(NOT(ISNUMBER(F740)),"",IF(ISNUMBER(W740),F740*W740,"UNIDADE A CONFERIR")))</f>
        <v/>
      </c>
      <c r="I740" s="91" t="n"/>
      <c r="J740" s="91" t="n"/>
      <c r="K740" s="92" t="n"/>
      <c r="L740" s="91" t="n"/>
      <c r="M740" s="91" t="n"/>
      <c r="N740" s="91" t="n"/>
      <c r="O740" s="91" t="n"/>
      <c r="P740" s="94" t="str">
        <f>IF(Q740=0,"",IF(C740="","Item de resíduo não informado",IF(T740=0,"Item inexistente (referência inválida)",IF(NOT(ISNUMBER(F740)),"Quantidade não informada",IF(F740&lt;=0,"Quantidade não positiva",IF(G740="","Unidade não informada",IF(NOT(ISNUMBER(H740)),"Unidade a conferir",IF(NOT(ISNUMBER(E740)),"Data de recebimento não informada",IF(AND(ISNUMBER(V740),N(V740)&gt;0,E740&lt;N(V740)),"Data anterior à emissão do MTR",IF(AND(J740="Sim",L740="",M740=""),"Conferido sem evidência identificada",IF(J740&lt;&gt;"Sim","Aguardando conferência",IF(INDEX('ITENS_MTR'!$AM$6:$AM$1005,S740)=1,"Conferido (ver diferença no item)","Conferido"))))))))))))</f>
        <v/>
      </c>
      <c r="Q740" s="96">
        <f>IF(COUNTA(C740,E740:G740,I740:O740)&gt;0,1,0)</f>
        <v>0</v>
      </c>
      <c r="R740" s="96" t="str">
        <f>IF(C740="","",TRIM(LEFT(C740,FIND(" |",C740&amp;" |")-1)))</f>
        <v/>
      </c>
      <c r="S740" s="96" t="str">
        <f>IF(R740="","",IFERROR(MATCH(R740,'ITENS_MTR'!$A$6:$A$1005,0),""))</f>
        <v/>
      </c>
      <c r="T740" s="96">
        <f>IF(S740="",0,IF(INDEX('ITENS_MTR'!$R$6:$R$1005,S740)=1,1,0))</f>
        <v>0</v>
      </c>
      <c r="U740" s="96" t="str">
        <f>IF(T740=1,INDEX('ITENS_MTR'!$T$6:$T$1005,S740),"")</f>
        <v/>
      </c>
      <c r="V740" s="97" t="str">
        <f>IF(N(U740)&gt;0,INDEX('MTRs'!$E$6:$E$505,U740),"")</f>
        <v/>
      </c>
      <c r="W740" s="96" t="str">
        <f>IF(G740="","",IFERROR(IF(ISNUMBER(INDEX(cfg_fac,MATCH(G740,cfg_units,0))),IF(INDEX(cfg_fac,MATCH(G740,cfg_units,0))&gt;0,INDEX(cfg_fac,MATCH(G740,cfg_units,0)),""),""),""))</f>
        <v/>
      </c>
      <c r="X740" s="96">
        <f>IF(AND(ISNUMBER(F740),ISNUMBER(H740)),IF(H740&gt;0,1,0),0)</f>
        <v>0</v>
      </c>
      <c r="Y740" s="96">
        <f>IF(Q740=0,0,IF(OR(T740=0,X740=0,NOT(ISNUMBER(E740)),AND(J740="Sim",L740="",M740=""),AND(ISNUMBER(E740),ISNUMBER(V740),N(V740)&gt;0,E740&lt;N(V740))),1,0))</f>
        <v>0</v>
      </c>
      <c r="Z740" s="96">
        <f>IF(AND(Q740=1,T740=1,X740=1,J740="Sim",OR(L740&lt;&gt;"",M740&lt;&gt;"")),1,0)</f>
        <v>0</v>
      </c>
      <c r="AA740" s="96">
        <f>IF(Q740=0,0,IF(AND(OR(r_ini="",AND(ISNUMBER(E740),E740&gt;=r_ini)),OR(r_fim="",AND(ISNUMBER(E740),E740&lt;=r_fim)),OR(r_un="",r_un="(Todas)",IF(N(U740)&gt;0,INDEX('MTRs'!$G$6:$G$505,U740),"")=r_un),OR(r_de="",r_de="(Todos)",D740=r_de)),1,0))</f>
        <v>0</v>
      </c>
      <c r="AB740" s="96" t="str">
        <f>IF(AA740=1,COUNTIF($AA$6:AA740,1),"")</f>
        <v/>
      </c>
    </row>
    <row r="741">
      <c r="A741" s="89" t="inlineStr">
        <is>
          <t>REC-000736</t>
        </is>
      </c>
      <c r="B741" s="94" t="str">
        <f>IF(T741=1,INDEX('ITENS_MTR'!$S$6:$S$1005,S741)&amp;"","")</f>
        <v/>
      </c>
      <c r="C741" s="91" t="n"/>
      <c r="D741" s="94" t="str">
        <f>IF(N(U741)&gt;0,INDEX('MTRs'!$I$6:$I$505,U741)&amp;"","")</f>
        <v/>
      </c>
      <c r="E741" s="92" t="n"/>
      <c r="F741" s="98" t="n"/>
      <c r="G741" s="91" t="n"/>
      <c r="H741" s="93" t="str">
        <f>IF(Q741=0,"",IF(NOT(ISNUMBER(F741)),"",IF(ISNUMBER(W741),F741*W741,"UNIDADE A CONFERIR")))</f>
        <v/>
      </c>
      <c r="I741" s="91" t="n"/>
      <c r="J741" s="91" t="n"/>
      <c r="K741" s="92" t="n"/>
      <c r="L741" s="91" t="n"/>
      <c r="M741" s="91" t="n"/>
      <c r="N741" s="91" t="n"/>
      <c r="O741" s="91" t="n"/>
      <c r="P741" s="94" t="str">
        <f>IF(Q741=0,"",IF(C741="","Item de resíduo não informado",IF(T741=0,"Item inexistente (referência inválida)",IF(NOT(ISNUMBER(F741)),"Quantidade não informada",IF(F741&lt;=0,"Quantidade não positiva",IF(G741="","Unidade não informada",IF(NOT(ISNUMBER(H741)),"Unidade a conferir",IF(NOT(ISNUMBER(E741)),"Data de recebimento não informada",IF(AND(ISNUMBER(V741),N(V741)&gt;0,E741&lt;N(V741)),"Data anterior à emissão do MTR",IF(AND(J741="Sim",L741="",M741=""),"Conferido sem evidência identificada",IF(J741&lt;&gt;"Sim","Aguardando conferência",IF(INDEX('ITENS_MTR'!$AM$6:$AM$1005,S741)=1,"Conferido (ver diferença no item)","Conferido"))))))))))))</f>
        <v/>
      </c>
      <c r="Q741" s="96">
        <f>IF(COUNTA(C741,E741:G741,I741:O741)&gt;0,1,0)</f>
        <v>0</v>
      </c>
      <c r="R741" s="96" t="str">
        <f>IF(C741="","",TRIM(LEFT(C741,FIND(" |",C741&amp;" |")-1)))</f>
        <v/>
      </c>
      <c r="S741" s="96" t="str">
        <f>IF(R741="","",IFERROR(MATCH(R741,'ITENS_MTR'!$A$6:$A$1005,0),""))</f>
        <v/>
      </c>
      <c r="T741" s="96">
        <f>IF(S741="",0,IF(INDEX('ITENS_MTR'!$R$6:$R$1005,S741)=1,1,0))</f>
        <v>0</v>
      </c>
      <c r="U741" s="96" t="str">
        <f>IF(T741=1,INDEX('ITENS_MTR'!$T$6:$T$1005,S741),"")</f>
        <v/>
      </c>
      <c r="V741" s="97" t="str">
        <f>IF(N(U741)&gt;0,INDEX('MTRs'!$E$6:$E$505,U741),"")</f>
        <v/>
      </c>
      <c r="W741" s="96" t="str">
        <f>IF(G741="","",IFERROR(IF(ISNUMBER(INDEX(cfg_fac,MATCH(G741,cfg_units,0))),IF(INDEX(cfg_fac,MATCH(G741,cfg_units,0))&gt;0,INDEX(cfg_fac,MATCH(G741,cfg_units,0)),""),""),""))</f>
        <v/>
      </c>
      <c r="X741" s="96">
        <f>IF(AND(ISNUMBER(F741),ISNUMBER(H741)),IF(H741&gt;0,1,0),0)</f>
        <v>0</v>
      </c>
      <c r="Y741" s="96">
        <f>IF(Q741=0,0,IF(OR(T741=0,X741=0,NOT(ISNUMBER(E741)),AND(J741="Sim",L741="",M741=""),AND(ISNUMBER(E741),ISNUMBER(V741),N(V741)&gt;0,E741&lt;N(V741))),1,0))</f>
        <v>0</v>
      </c>
      <c r="Z741" s="96">
        <f>IF(AND(Q741=1,T741=1,X741=1,J741="Sim",OR(L741&lt;&gt;"",M741&lt;&gt;"")),1,0)</f>
        <v>0</v>
      </c>
      <c r="AA741" s="96">
        <f>IF(Q741=0,0,IF(AND(OR(r_ini="",AND(ISNUMBER(E741),E741&gt;=r_ini)),OR(r_fim="",AND(ISNUMBER(E741),E741&lt;=r_fim)),OR(r_un="",r_un="(Todas)",IF(N(U741)&gt;0,INDEX('MTRs'!$G$6:$G$505,U741),"")=r_un),OR(r_de="",r_de="(Todos)",D741=r_de)),1,0))</f>
        <v>0</v>
      </c>
      <c r="AB741" s="96" t="str">
        <f>IF(AA741=1,COUNTIF($AA$6:AA741,1),"")</f>
        <v/>
      </c>
    </row>
    <row r="742">
      <c r="A742" s="89" t="inlineStr">
        <is>
          <t>REC-000737</t>
        </is>
      </c>
      <c r="B742" s="94" t="str">
        <f>IF(T742=1,INDEX('ITENS_MTR'!$S$6:$S$1005,S742)&amp;"","")</f>
        <v/>
      </c>
      <c r="C742" s="91" t="n"/>
      <c r="D742" s="94" t="str">
        <f>IF(N(U742)&gt;0,INDEX('MTRs'!$I$6:$I$505,U742)&amp;"","")</f>
        <v/>
      </c>
      <c r="E742" s="92" t="n"/>
      <c r="F742" s="98" t="n"/>
      <c r="G742" s="91" t="n"/>
      <c r="H742" s="93" t="str">
        <f>IF(Q742=0,"",IF(NOT(ISNUMBER(F742)),"",IF(ISNUMBER(W742),F742*W742,"UNIDADE A CONFERIR")))</f>
        <v/>
      </c>
      <c r="I742" s="91" t="n"/>
      <c r="J742" s="91" t="n"/>
      <c r="K742" s="92" t="n"/>
      <c r="L742" s="91" t="n"/>
      <c r="M742" s="91" t="n"/>
      <c r="N742" s="91" t="n"/>
      <c r="O742" s="91" t="n"/>
      <c r="P742" s="94" t="str">
        <f>IF(Q742=0,"",IF(C742="","Item de resíduo não informado",IF(T742=0,"Item inexistente (referência inválida)",IF(NOT(ISNUMBER(F742)),"Quantidade não informada",IF(F742&lt;=0,"Quantidade não positiva",IF(G742="","Unidade não informada",IF(NOT(ISNUMBER(H742)),"Unidade a conferir",IF(NOT(ISNUMBER(E742)),"Data de recebimento não informada",IF(AND(ISNUMBER(V742),N(V742)&gt;0,E742&lt;N(V742)),"Data anterior à emissão do MTR",IF(AND(J742="Sim",L742="",M742=""),"Conferido sem evidência identificada",IF(J742&lt;&gt;"Sim","Aguardando conferência",IF(INDEX('ITENS_MTR'!$AM$6:$AM$1005,S742)=1,"Conferido (ver diferença no item)","Conferido"))))))))))))</f>
        <v/>
      </c>
      <c r="Q742" s="96">
        <f>IF(COUNTA(C742,E742:G742,I742:O742)&gt;0,1,0)</f>
        <v>0</v>
      </c>
      <c r="R742" s="96" t="str">
        <f>IF(C742="","",TRIM(LEFT(C742,FIND(" |",C742&amp;" |")-1)))</f>
        <v/>
      </c>
      <c r="S742" s="96" t="str">
        <f>IF(R742="","",IFERROR(MATCH(R742,'ITENS_MTR'!$A$6:$A$1005,0),""))</f>
        <v/>
      </c>
      <c r="T742" s="96">
        <f>IF(S742="",0,IF(INDEX('ITENS_MTR'!$R$6:$R$1005,S742)=1,1,0))</f>
        <v>0</v>
      </c>
      <c r="U742" s="96" t="str">
        <f>IF(T742=1,INDEX('ITENS_MTR'!$T$6:$T$1005,S742),"")</f>
        <v/>
      </c>
      <c r="V742" s="97" t="str">
        <f>IF(N(U742)&gt;0,INDEX('MTRs'!$E$6:$E$505,U742),"")</f>
        <v/>
      </c>
      <c r="W742" s="96" t="str">
        <f>IF(G742="","",IFERROR(IF(ISNUMBER(INDEX(cfg_fac,MATCH(G742,cfg_units,0))),IF(INDEX(cfg_fac,MATCH(G742,cfg_units,0))&gt;0,INDEX(cfg_fac,MATCH(G742,cfg_units,0)),""),""),""))</f>
        <v/>
      </c>
      <c r="X742" s="96">
        <f>IF(AND(ISNUMBER(F742),ISNUMBER(H742)),IF(H742&gt;0,1,0),0)</f>
        <v>0</v>
      </c>
      <c r="Y742" s="96">
        <f>IF(Q742=0,0,IF(OR(T742=0,X742=0,NOT(ISNUMBER(E742)),AND(J742="Sim",L742="",M742=""),AND(ISNUMBER(E742),ISNUMBER(V742),N(V742)&gt;0,E742&lt;N(V742))),1,0))</f>
        <v>0</v>
      </c>
      <c r="Z742" s="96">
        <f>IF(AND(Q742=1,T742=1,X742=1,J742="Sim",OR(L742&lt;&gt;"",M742&lt;&gt;"")),1,0)</f>
        <v>0</v>
      </c>
      <c r="AA742" s="96">
        <f>IF(Q742=0,0,IF(AND(OR(r_ini="",AND(ISNUMBER(E742),E742&gt;=r_ini)),OR(r_fim="",AND(ISNUMBER(E742),E742&lt;=r_fim)),OR(r_un="",r_un="(Todas)",IF(N(U742)&gt;0,INDEX('MTRs'!$G$6:$G$505,U742),"")=r_un),OR(r_de="",r_de="(Todos)",D742=r_de)),1,0))</f>
        <v>0</v>
      </c>
      <c r="AB742" s="96" t="str">
        <f>IF(AA742=1,COUNTIF($AA$6:AA742,1),"")</f>
        <v/>
      </c>
    </row>
    <row r="743">
      <c r="A743" s="89" t="inlineStr">
        <is>
          <t>REC-000738</t>
        </is>
      </c>
      <c r="B743" s="94" t="str">
        <f>IF(T743=1,INDEX('ITENS_MTR'!$S$6:$S$1005,S743)&amp;"","")</f>
        <v/>
      </c>
      <c r="C743" s="91" t="n"/>
      <c r="D743" s="94" t="str">
        <f>IF(N(U743)&gt;0,INDEX('MTRs'!$I$6:$I$505,U743)&amp;"","")</f>
        <v/>
      </c>
      <c r="E743" s="92" t="n"/>
      <c r="F743" s="98" t="n"/>
      <c r="G743" s="91" t="n"/>
      <c r="H743" s="93" t="str">
        <f>IF(Q743=0,"",IF(NOT(ISNUMBER(F743)),"",IF(ISNUMBER(W743),F743*W743,"UNIDADE A CONFERIR")))</f>
        <v/>
      </c>
      <c r="I743" s="91" t="n"/>
      <c r="J743" s="91" t="n"/>
      <c r="K743" s="92" t="n"/>
      <c r="L743" s="91" t="n"/>
      <c r="M743" s="91" t="n"/>
      <c r="N743" s="91" t="n"/>
      <c r="O743" s="91" t="n"/>
      <c r="P743" s="94" t="str">
        <f>IF(Q743=0,"",IF(C743="","Item de resíduo não informado",IF(T743=0,"Item inexistente (referência inválida)",IF(NOT(ISNUMBER(F743)),"Quantidade não informada",IF(F743&lt;=0,"Quantidade não positiva",IF(G743="","Unidade não informada",IF(NOT(ISNUMBER(H743)),"Unidade a conferir",IF(NOT(ISNUMBER(E743)),"Data de recebimento não informada",IF(AND(ISNUMBER(V743),N(V743)&gt;0,E743&lt;N(V743)),"Data anterior à emissão do MTR",IF(AND(J743="Sim",L743="",M743=""),"Conferido sem evidência identificada",IF(J743&lt;&gt;"Sim","Aguardando conferência",IF(INDEX('ITENS_MTR'!$AM$6:$AM$1005,S743)=1,"Conferido (ver diferença no item)","Conferido"))))))))))))</f>
        <v/>
      </c>
      <c r="Q743" s="96">
        <f>IF(COUNTA(C743,E743:G743,I743:O743)&gt;0,1,0)</f>
        <v>0</v>
      </c>
      <c r="R743" s="96" t="str">
        <f>IF(C743="","",TRIM(LEFT(C743,FIND(" |",C743&amp;" |")-1)))</f>
        <v/>
      </c>
      <c r="S743" s="96" t="str">
        <f>IF(R743="","",IFERROR(MATCH(R743,'ITENS_MTR'!$A$6:$A$1005,0),""))</f>
        <v/>
      </c>
      <c r="T743" s="96">
        <f>IF(S743="",0,IF(INDEX('ITENS_MTR'!$R$6:$R$1005,S743)=1,1,0))</f>
        <v>0</v>
      </c>
      <c r="U743" s="96" t="str">
        <f>IF(T743=1,INDEX('ITENS_MTR'!$T$6:$T$1005,S743),"")</f>
        <v/>
      </c>
      <c r="V743" s="97" t="str">
        <f>IF(N(U743)&gt;0,INDEX('MTRs'!$E$6:$E$505,U743),"")</f>
        <v/>
      </c>
      <c r="W743" s="96" t="str">
        <f>IF(G743="","",IFERROR(IF(ISNUMBER(INDEX(cfg_fac,MATCH(G743,cfg_units,0))),IF(INDEX(cfg_fac,MATCH(G743,cfg_units,0))&gt;0,INDEX(cfg_fac,MATCH(G743,cfg_units,0)),""),""),""))</f>
        <v/>
      </c>
      <c r="X743" s="96">
        <f>IF(AND(ISNUMBER(F743),ISNUMBER(H743)),IF(H743&gt;0,1,0),0)</f>
        <v>0</v>
      </c>
      <c r="Y743" s="96">
        <f>IF(Q743=0,0,IF(OR(T743=0,X743=0,NOT(ISNUMBER(E743)),AND(J743="Sim",L743="",M743=""),AND(ISNUMBER(E743),ISNUMBER(V743),N(V743)&gt;0,E743&lt;N(V743))),1,0))</f>
        <v>0</v>
      </c>
      <c r="Z743" s="96">
        <f>IF(AND(Q743=1,T743=1,X743=1,J743="Sim",OR(L743&lt;&gt;"",M743&lt;&gt;"")),1,0)</f>
        <v>0</v>
      </c>
      <c r="AA743" s="96">
        <f>IF(Q743=0,0,IF(AND(OR(r_ini="",AND(ISNUMBER(E743),E743&gt;=r_ini)),OR(r_fim="",AND(ISNUMBER(E743),E743&lt;=r_fim)),OR(r_un="",r_un="(Todas)",IF(N(U743)&gt;0,INDEX('MTRs'!$G$6:$G$505,U743),"")=r_un),OR(r_de="",r_de="(Todos)",D743=r_de)),1,0))</f>
        <v>0</v>
      </c>
      <c r="AB743" s="96" t="str">
        <f>IF(AA743=1,COUNTIF($AA$6:AA743,1),"")</f>
        <v/>
      </c>
    </row>
    <row r="744">
      <c r="A744" s="89" t="inlineStr">
        <is>
          <t>REC-000739</t>
        </is>
      </c>
      <c r="B744" s="94" t="str">
        <f>IF(T744=1,INDEX('ITENS_MTR'!$S$6:$S$1005,S744)&amp;"","")</f>
        <v/>
      </c>
      <c r="C744" s="91" t="n"/>
      <c r="D744" s="94" t="str">
        <f>IF(N(U744)&gt;0,INDEX('MTRs'!$I$6:$I$505,U744)&amp;"","")</f>
        <v/>
      </c>
      <c r="E744" s="92" t="n"/>
      <c r="F744" s="98" t="n"/>
      <c r="G744" s="91" t="n"/>
      <c r="H744" s="93" t="str">
        <f>IF(Q744=0,"",IF(NOT(ISNUMBER(F744)),"",IF(ISNUMBER(W744),F744*W744,"UNIDADE A CONFERIR")))</f>
        <v/>
      </c>
      <c r="I744" s="91" t="n"/>
      <c r="J744" s="91" t="n"/>
      <c r="K744" s="92" t="n"/>
      <c r="L744" s="91" t="n"/>
      <c r="M744" s="91" t="n"/>
      <c r="N744" s="91" t="n"/>
      <c r="O744" s="91" t="n"/>
      <c r="P744" s="94" t="str">
        <f>IF(Q744=0,"",IF(C744="","Item de resíduo não informado",IF(T744=0,"Item inexistente (referência inválida)",IF(NOT(ISNUMBER(F744)),"Quantidade não informada",IF(F744&lt;=0,"Quantidade não positiva",IF(G744="","Unidade não informada",IF(NOT(ISNUMBER(H744)),"Unidade a conferir",IF(NOT(ISNUMBER(E744)),"Data de recebimento não informada",IF(AND(ISNUMBER(V744),N(V744)&gt;0,E744&lt;N(V744)),"Data anterior à emissão do MTR",IF(AND(J744="Sim",L744="",M744=""),"Conferido sem evidência identificada",IF(J744&lt;&gt;"Sim","Aguardando conferência",IF(INDEX('ITENS_MTR'!$AM$6:$AM$1005,S744)=1,"Conferido (ver diferença no item)","Conferido"))))))))))))</f>
        <v/>
      </c>
      <c r="Q744" s="96">
        <f>IF(COUNTA(C744,E744:G744,I744:O744)&gt;0,1,0)</f>
        <v>0</v>
      </c>
      <c r="R744" s="96" t="str">
        <f>IF(C744="","",TRIM(LEFT(C744,FIND(" |",C744&amp;" |")-1)))</f>
        <v/>
      </c>
      <c r="S744" s="96" t="str">
        <f>IF(R744="","",IFERROR(MATCH(R744,'ITENS_MTR'!$A$6:$A$1005,0),""))</f>
        <v/>
      </c>
      <c r="T744" s="96">
        <f>IF(S744="",0,IF(INDEX('ITENS_MTR'!$R$6:$R$1005,S744)=1,1,0))</f>
        <v>0</v>
      </c>
      <c r="U744" s="96" t="str">
        <f>IF(T744=1,INDEX('ITENS_MTR'!$T$6:$T$1005,S744),"")</f>
        <v/>
      </c>
      <c r="V744" s="97" t="str">
        <f>IF(N(U744)&gt;0,INDEX('MTRs'!$E$6:$E$505,U744),"")</f>
        <v/>
      </c>
      <c r="W744" s="96" t="str">
        <f>IF(G744="","",IFERROR(IF(ISNUMBER(INDEX(cfg_fac,MATCH(G744,cfg_units,0))),IF(INDEX(cfg_fac,MATCH(G744,cfg_units,0))&gt;0,INDEX(cfg_fac,MATCH(G744,cfg_units,0)),""),""),""))</f>
        <v/>
      </c>
      <c r="X744" s="96">
        <f>IF(AND(ISNUMBER(F744),ISNUMBER(H744)),IF(H744&gt;0,1,0),0)</f>
        <v>0</v>
      </c>
      <c r="Y744" s="96">
        <f>IF(Q744=0,0,IF(OR(T744=0,X744=0,NOT(ISNUMBER(E744)),AND(J744="Sim",L744="",M744=""),AND(ISNUMBER(E744),ISNUMBER(V744),N(V744)&gt;0,E744&lt;N(V744))),1,0))</f>
        <v>0</v>
      </c>
      <c r="Z744" s="96">
        <f>IF(AND(Q744=1,T744=1,X744=1,J744="Sim",OR(L744&lt;&gt;"",M744&lt;&gt;"")),1,0)</f>
        <v>0</v>
      </c>
      <c r="AA744" s="96">
        <f>IF(Q744=0,0,IF(AND(OR(r_ini="",AND(ISNUMBER(E744),E744&gt;=r_ini)),OR(r_fim="",AND(ISNUMBER(E744),E744&lt;=r_fim)),OR(r_un="",r_un="(Todas)",IF(N(U744)&gt;0,INDEX('MTRs'!$G$6:$G$505,U744),"")=r_un),OR(r_de="",r_de="(Todos)",D744=r_de)),1,0))</f>
        <v>0</v>
      </c>
      <c r="AB744" s="96" t="str">
        <f>IF(AA744=1,COUNTIF($AA$6:AA744,1),"")</f>
        <v/>
      </c>
    </row>
    <row r="745">
      <c r="A745" s="89" t="inlineStr">
        <is>
          <t>REC-000740</t>
        </is>
      </c>
      <c r="B745" s="94" t="str">
        <f>IF(T745=1,INDEX('ITENS_MTR'!$S$6:$S$1005,S745)&amp;"","")</f>
        <v/>
      </c>
      <c r="C745" s="91" t="n"/>
      <c r="D745" s="94" t="str">
        <f>IF(N(U745)&gt;0,INDEX('MTRs'!$I$6:$I$505,U745)&amp;"","")</f>
        <v/>
      </c>
      <c r="E745" s="92" t="n"/>
      <c r="F745" s="98" t="n"/>
      <c r="G745" s="91" t="n"/>
      <c r="H745" s="93" t="str">
        <f>IF(Q745=0,"",IF(NOT(ISNUMBER(F745)),"",IF(ISNUMBER(W745),F745*W745,"UNIDADE A CONFERIR")))</f>
        <v/>
      </c>
      <c r="I745" s="91" t="n"/>
      <c r="J745" s="91" t="n"/>
      <c r="K745" s="92" t="n"/>
      <c r="L745" s="91" t="n"/>
      <c r="M745" s="91" t="n"/>
      <c r="N745" s="91" t="n"/>
      <c r="O745" s="91" t="n"/>
      <c r="P745" s="94" t="str">
        <f>IF(Q745=0,"",IF(C745="","Item de resíduo não informado",IF(T745=0,"Item inexistente (referência inválida)",IF(NOT(ISNUMBER(F745)),"Quantidade não informada",IF(F745&lt;=0,"Quantidade não positiva",IF(G745="","Unidade não informada",IF(NOT(ISNUMBER(H745)),"Unidade a conferir",IF(NOT(ISNUMBER(E745)),"Data de recebimento não informada",IF(AND(ISNUMBER(V745),N(V745)&gt;0,E745&lt;N(V745)),"Data anterior à emissão do MTR",IF(AND(J745="Sim",L745="",M745=""),"Conferido sem evidência identificada",IF(J745&lt;&gt;"Sim","Aguardando conferência",IF(INDEX('ITENS_MTR'!$AM$6:$AM$1005,S745)=1,"Conferido (ver diferença no item)","Conferido"))))))))))))</f>
        <v/>
      </c>
      <c r="Q745" s="96">
        <f>IF(COUNTA(C745,E745:G745,I745:O745)&gt;0,1,0)</f>
        <v>0</v>
      </c>
      <c r="R745" s="96" t="str">
        <f>IF(C745="","",TRIM(LEFT(C745,FIND(" |",C745&amp;" |")-1)))</f>
        <v/>
      </c>
      <c r="S745" s="96" t="str">
        <f>IF(R745="","",IFERROR(MATCH(R745,'ITENS_MTR'!$A$6:$A$1005,0),""))</f>
        <v/>
      </c>
      <c r="T745" s="96">
        <f>IF(S745="",0,IF(INDEX('ITENS_MTR'!$R$6:$R$1005,S745)=1,1,0))</f>
        <v>0</v>
      </c>
      <c r="U745" s="96" t="str">
        <f>IF(T745=1,INDEX('ITENS_MTR'!$T$6:$T$1005,S745),"")</f>
        <v/>
      </c>
      <c r="V745" s="97" t="str">
        <f>IF(N(U745)&gt;0,INDEX('MTRs'!$E$6:$E$505,U745),"")</f>
        <v/>
      </c>
      <c r="W745" s="96" t="str">
        <f>IF(G745="","",IFERROR(IF(ISNUMBER(INDEX(cfg_fac,MATCH(G745,cfg_units,0))),IF(INDEX(cfg_fac,MATCH(G745,cfg_units,0))&gt;0,INDEX(cfg_fac,MATCH(G745,cfg_units,0)),""),""),""))</f>
        <v/>
      </c>
      <c r="X745" s="96">
        <f>IF(AND(ISNUMBER(F745),ISNUMBER(H745)),IF(H745&gt;0,1,0),0)</f>
        <v>0</v>
      </c>
      <c r="Y745" s="96">
        <f>IF(Q745=0,0,IF(OR(T745=0,X745=0,NOT(ISNUMBER(E745)),AND(J745="Sim",L745="",M745=""),AND(ISNUMBER(E745),ISNUMBER(V745),N(V745)&gt;0,E745&lt;N(V745))),1,0))</f>
        <v>0</v>
      </c>
      <c r="Z745" s="96">
        <f>IF(AND(Q745=1,T745=1,X745=1,J745="Sim",OR(L745&lt;&gt;"",M745&lt;&gt;"")),1,0)</f>
        <v>0</v>
      </c>
      <c r="AA745" s="96">
        <f>IF(Q745=0,0,IF(AND(OR(r_ini="",AND(ISNUMBER(E745),E745&gt;=r_ini)),OR(r_fim="",AND(ISNUMBER(E745),E745&lt;=r_fim)),OR(r_un="",r_un="(Todas)",IF(N(U745)&gt;0,INDEX('MTRs'!$G$6:$G$505,U745),"")=r_un),OR(r_de="",r_de="(Todos)",D745=r_de)),1,0))</f>
        <v>0</v>
      </c>
      <c r="AB745" s="96" t="str">
        <f>IF(AA745=1,COUNTIF($AA$6:AA745,1),"")</f>
        <v/>
      </c>
    </row>
    <row r="746">
      <c r="A746" s="89" t="inlineStr">
        <is>
          <t>REC-000741</t>
        </is>
      </c>
      <c r="B746" s="94" t="str">
        <f>IF(T746=1,INDEX('ITENS_MTR'!$S$6:$S$1005,S746)&amp;"","")</f>
        <v/>
      </c>
      <c r="C746" s="91" t="n"/>
      <c r="D746" s="94" t="str">
        <f>IF(N(U746)&gt;0,INDEX('MTRs'!$I$6:$I$505,U746)&amp;"","")</f>
        <v/>
      </c>
      <c r="E746" s="92" t="n"/>
      <c r="F746" s="98" t="n"/>
      <c r="G746" s="91" t="n"/>
      <c r="H746" s="93" t="str">
        <f>IF(Q746=0,"",IF(NOT(ISNUMBER(F746)),"",IF(ISNUMBER(W746),F746*W746,"UNIDADE A CONFERIR")))</f>
        <v/>
      </c>
      <c r="I746" s="91" t="n"/>
      <c r="J746" s="91" t="n"/>
      <c r="K746" s="92" t="n"/>
      <c r="L746" s="91" t="n"/>
      <c r="M746" s="91" t="n"/>
      <c r="N746" s="91" t="n"/>
      <c r="O746" s="91" t="n"/>
      <c r="P746" s="94" t="str">
        <f>IF(Q746=0,"",IF(C746="","Item de resíduo não informado",IF(T746=0,"Item inexistente (referência inválida)",IF(NOT(ISNUMBER(F746)),"Quantidade não informada",IF(F746&lt;=0,"Quantidade não positiva",IF(G746="","Unidade não informada",IF(NOT(ISNUMBER(H746)),"Unidade a conferir",IF(NOT(ISNUMBER(E746)),"Data de recebimento não informada",IF(AND(ISNUMBER(V746),N(V746)&gt;0,E746&lt;N(V746)),"Data anterior à emissão do MTR",IF(AND(J746="Sim",L746="",M746=""),"Conferido sem evidência identificada",IF(J746&lt;&gt;"Sim","Aguardando conferência",IF(INDEX('ITENS_MTR'!$AM$6:$AM$1005,S746)=1,"Conferido (ver diferença no item)","Conferido"))))))))))))</f>
        <v/>
      </c>
      <c r="Q746" s="96">
        <f>IF(COUNTA(C746,E746:G746,I746:O746)&gt;0,1,0)</f>
        <v>0</v>
      </c>
      <c r="R746" s="96" t="str">
        <f>IF(C746="","",TRIM(LEFT(C746,FIND(" |",C746&amp;" |")-1)))</f>
        <v/>
      </c>
      <c r="S746" s="96" t="str">
        <f>IF(R746="","",IFERROR(MATCH(R746,'ITENS_MTR'!$A$6:$A$1005,0),""))</f>
        <v/>
      </c>
      <c r="T746" s="96">
        <f>IF(S746="",0,IF(INDEX('ITENS_MTR'!$R$6:$R$1005,S746)=1,1,0))</f>
        <v>0</v>
      </c>
      <c r="U746" s="96" t="str">
        <f>IF(T746=1,INDEX('ITENS_MTR'!$T$6:$T$1005,S746),"")</f>
        <v/>
      </c>
      <c r="V746" s="97" t="str">
        <f>IF(N(U746)&gt;0,INDEX('MTRs'!$E$6:$E$505,U746),"")</f>
        <v/>
      </c>
      <c r="W746" s="96" t="str">
        <f>IF(G746="","",IFERROR(IF(ISNUMBER(INDEX(cfg_fac,MATCH(G746,cfg_units,0))),IF(INDEX(cfg_fac,MATCH(G746,cfg_units,0))&gt;0,INDEX(cfg_fac,MATCH(G746,cfg_units,0)),""),""),""))</f>
        <v/>
      </c>
      <c r="X746" s="96">
        <f>IF(AND(ISNUMBER(F746),ISNUMBER(H746)),IF(H746&gt;0,1,0),0)</f>
        <v>0</v>
      </c>
      <c r="Y746" s="96">
        <f>IF(Q746=0,0,IF(OR(T746=0,X746=0,NOT(ISNUMBER(E746)),AND(J746="Sim",L746="",M746=""),AND(ISNUMBER(E746),ISNUMBER(V746),N(V746)&gt;0,E746&lt;N(V746))),1,0))</f>
        <v>0</v>
      </c>
      <c r="Z746" s="96">
        <f>IF(AND(Q746=1,T746=1,X746=1,J746="Sim",OR(L746&lt;&gt;"",M746&lt;&gt;"")),1,0)</f>
        <v>0</v>
      </c>
      <c r="AA746" s="96">
        <f>IF(Q746=0,0,IF(AND(OR(r_ini="",AND(ISNUMBER(E746),E746&gt;=r_ini)),OR(r_fim="",AND(ISNUMBER(E746),E746&lt;=r_fim)),OR(r_un="",r_un="(Todas)",IF(N(U746)&gt;0,INDEX('MTRs'!$G$6:$G$505,U746),"")=r_un),OR(r_de="",r_de="(Todos)",D746=r_de)),1,0))</f>
        <v>0</v>
      </c>
      <c r="AB746" s="96" t="str">
        <f>IF(AA746=1,COUNTIF($AA$6:AA746,1),"")</f>
        <v/>
      </c>
    </row>
    <row r="747">
      <c r="A747" s="89" t="inlineStr">
        <is>
          <t>REC-000742</t>
        </is>
      </c>
      <c r="B747" s="94" t="str">
        <f>IF(T747=1,INDEX('ITENS_MTR'!$S$6:$S$1005,S747)&amp;"","")</f>
        <v/>
      </c>
      <c r="C747" s="91" t="n"/>
      <c r="D747" s="94" t="str">
        <f>IF(N(U747)&gt;0,INDEX('MTRs'!$I$6:$I$505,U747)&amp;"","")</f>
        <v/>
      </c>
      <c r="E747" s="92" t="n"/>
      <c r="F747" s="98" t="n"/>
      <c r="G747" s="91" t="n"/>
      <c r="H747" s="93" t="str">
        <f>IF(Q747=0,"",IF(NOT(ISNUMBER(F747)),"",IF(ISNUMBER(W747),F747*W747,"UNIDADE A CONFERIR")))</f>
        <v/>
      </c>
      <c r="I747" s="91" t="n"/>
      <c r="J747" s="91" t="n"/>
      <c r="K747" s="92" t="n"/>
      <c r="L747" s="91" t="n"/>
      <c r="M747" s="91" t="n"/>
      <c r="N747" s="91" t="n"/>
      <c r="O747" s="91" t="n"/>
      <c r="P747" s="94" t="str">
        <f>IF(Q747=0,"",IF(C747="","Item de resíduo não informado",IF(T747=0,"Item inexistente (referência inválida)",IF(NOT(ISNUMBER(F747)),"Quantidade não informada",IF(F747&lt;=0,"Quantidade não positiva",IF(G747="","Unidade não informada",IF(NOT(ISNUMBER(H747)),"Unidade a conferir",IF(NOT(ISNUMBER(E747)),"Data de recebimento não informada",IF(AND(ISNUMBER(V747),N(V747)&gt;0,E747&lt;N(V747)),"Data anterior à emissão do MTR",IF(AND(J747="Sim",L747="",M747=""),"Conferido sem evidência identificada",IF(J747&lt;&gt;"Sim","Aguardando conferência",IF(INDEX('ITENS_MTR'!$AM$6:$AM$1005,S747)=1,"Conferido (ver diferença no item)","Conferido"))))))))))))</f>
        <v/>
      </c>
      <c r="Q747" s="96">
        <f>IF(COUNTA(C747,E747:G747,I747:O747)&gt;0,1,0)</f>
        <v>0</v>
      </c>
      <c r="R747" s="96" t="str">
        <f>IF(C747="","",TRIM(LEFT(C747,FIND(" |",C747&amp;" |")-1)))</f>
        <v/>
      </c>
      <c r="S747" s="96" t="str">
        <f>IF(R747="","",IFERROR(MATCH(R747,'ITENS_MTR'!$A$6:$A$1005,0),""))</f>
        <v/>
      </c>
      <c r="T747" s="96">
        <f>IF(S747="",0,IF(INDEX('ITENS_MTR'!$R$6:$R$1005,S747)=1,1,0))</f>
        <v>0</v>
      </c>
      <c r="U747" s="96" t="str">
        <f>IF(T747=1,INDEX('ITENS_MTR'!$T$6:$T$1005,S747),"")</f>
        <v/>
      </c>
      <c r="V747" s="97" t="str">
        <f>IF(N(U747)&gt;0,INDEX('MTRs'!$E$6:$E$505,U747),"")</f>
        <v/>
      </c>
      <c r="W747" s="96" t="str">
        <f>IF(G747="","",IFERROR(IF(ISNUMBER(INDEX(cfg_fac,MATCH(G747,cfg_units,0))),IF(INDEX(cfg_fac,MATCH(G747,cfg_units,0))&gt;0,INDEX(cfg_fac,MATCH(G747,cfg_units,0)),""),""),""))</f>
        <v/>
      </c>
      <c r="X747" s="96">
        <f>IF(AND(ISNUMBER(F747),ISNUMBER(H747)),IF(H747&gt;0,1,0),0)</f>
        <v>0</v>
      </c>
      <c r="Y747" s="96">
        <f>IF(Q747=0,0,IF(OR(T747=0,X747=0,NOT(ISNUMBER(E747)),AND(J747="Sim",L747="",M747=""),AND(ISNUMBER(E747),ISNUMBER(V747),N(V747)&gt;0,E747&lt;N(V747))),1,0))</f>
        <v>0</v>
      </c>
      <c r="Z747" s="96">
        <f>IF(AND(Q747=1,T747=1,X747=1,J747="Sim",OR(L747&lt;&gt;"",M747&lt;&gt;"")),1,0)</f>
        <v>0</v>
      </c>
      <c r="AA747" s="96">
        <f>IF(Q747=0,0,IF(AND(OR(r_ini="",AND(ISNUMBER(E747),E747&gt;=r_ini)),OR(r_fim="",AND(ISNUMBER(E747),E747&lt;=r_fim)),OR(r_un="",r_un="(Todas)",IF(N(U747)&gt;0,INDEX('MTRs'!$G$6:$G$505,U747),"")=r_un),OR(r_de="",r_de="(Todos)",D747=r_de)),1,0))</f>
        <v>0</v>
      </c>
      <c r="AB747" s="96" t="str">
        <f>IF(AA747=1,COUNTIF($AA$6:AA747,1),"")</f>
        <v/>
      </c>
    </row>
    <row r="748">
      <c r="A748" s="89" t="inlineStr">
        <is>
          <t>REC-000743</t>
        </is>
      </c>
      <c r="B748" s="94" t="str">
        <f>IF(T748=1,INDEX('ITENS_MTR'!$S$6:$S$1005,S748)&amp;"","")</f>
        <v/>
      </c>
      <c r="C748" s="91" t="n"/>
      <c r="D748" s="94" t="str">
        <f>IF(N(U748)&gt;0,INDEX('MTRs'!$I$6:$I$505,U748)&amp;"","")</f>
        <v/>
      </c>
      <c r="E748" s="92" t="n"/>
      <c r="F748" s="98" t="n"/>
      <c r="G748" s="91" t="n"/>
      <c r="H748" s="93" t="str">
        <f>IF(Q748=0,"",IF(NOT(ISNUMBER(F748)),"",IF(ISNUMBER(W748),F748*W748,"UNIDADE A CONFERIR")))</f>
        <v/>
      </c>
      <c r="I748" s="91" t="n"/>
      <c r="J748" s="91" t="n"/>
      <c r="K748" s="92" t="n"/>
      <c r="L748" s="91" t="n"/>
      <c r="M748" s="91" t="n"/>
      <c r="N748" s="91" t="n"/>
      <c r="O748" s="91" t="n"/>
      <c r="P748" s="94" t="str">
        <f>IF(Q748=0,"",IF(C748="","Item de resíduo não informado",IF(T748=0,"Item inexistente (referência inválida)",IF(NOT(ISNUMBER(F748)),"Quantidade não informada",IF(F748&lt;=0,"Quantidade não positiva",IF(G748="","Unidade não informada",IF(NOT(ISNUMBER(H748)),"Unidade a conferir",IF(NOT(ISNUMBER(E748)),"Data de recebimento não informada",IF(AND(ISNUMBER(V748),N(V748)&gt;0,E748&lt;N(V748)),"Data anterior à emissão do MTR",IF(AND(J748="Sim",L748="",M748=""),"Conferido sem evidência identificada",IF(J748&lt;&gt;"Sim","Aguardando conferência",IF(INDEX('ITENS_MTR'!$AM$6:$AM$1005,S748)=1,"Conferido (ver diferença no item)","Conferido"))))))))))))</f>
        <v/>
      </c>
      <c r="Q748" s="96">
        <f>IF(COUNTA(C748,E748:G748,I748:O748)&gt;0,1,0)</f>
        <v>0</v>
      </c>
      <c r="R748" s="96" t="str">
        <f>IF(C748="","",TRIM(LEFT(C748,FIND(" |",C748&amp;" |")-1)))</f>
        <v/>
      </c>
      <c r="S748" s="96" t="str">
        <f>IF(R748="","",IFERROR(MATCH(R748,'ITENS_MTR'!$A$6:$A$1005,0),""))</f>
        <v/>
      </c>
      <c r="T748" s="96">
        <f>IF(S748="",0,IF(INDEX('ITENS_MTR'!$R$6:$R$1005,S748)=1,1,0))</f>
        <v>0</v>
      </c>
      <c r="U748" s="96" t="str">
        <f>IF(T748=1,INDEX('ITENS_MTR'!$T$6:$T$1005,S748),"")</f>
        <v/>
      </c>
      <c r="V748" s="97" t="str">
        <f>IF(N(U748)&gt;0,INDEX('MTRs'!$E$6:$E$505,U748),"")</f>
        <v/>
      </c>
      <c r="W748" s="96" t="str">
        <f>IF(G748="","",IFERROR(IF(ISNUMBER(INDEX(cfg_fac,MATCH(G748,cfg_units,0))),IF(INDEX(cfg_fac,MATCH(G748,cfg_units,0))&gt;0,INDEX(cfg_fac,MATCH(G748,cfg_units,0)),""),""),""))</f>
        <v/>
      </c>
      <c r="X748" s="96">
        <f>IF(AND(ISNUMBER(F748),ISNUMBER(H748)),IF(H748&gt;0,1,0),0)</f>
        <v>0</v>
      </c>
      <c r="Y748" s="96">
        <f>IF(Q748=0,0,IF(OR(T748=0,X748=0,NOT(ISNUMBER(E748)),AND(J748="Sim",L748="",M748=""),AND(ISNUMBER(E748),ISNUMBER(V748),N(V748)&gt;0,E748&lt;N(V748))),1,0))</f>
        <v>0</v>
      </c>
      <c r="Z748" s="96">
        <f>IF(AND(Q748=1,T748=1,X748=1,J748="Sim",OR(L748&lt;&gt;"",M748&lt;&gt;"")),1,0)</f>
        <v>0</v>
      </c>
      <c r="AA748" s="96">
        <f>IF(Q748=0,0,IF(AND(OR(r_ini="",AND(ISNUMBER(E748),E748&gt;=r_ini)),OR(r_fim="",AND(ISNUMBER(E748),E748&lt;=r_fim)),OR(r_un="",r_un="(Todas)",IF(N(U748)&gt;0,INDEX('MTRs'!$G$6:$G$505,U748),"")=r_un),OR(r_de="",r_de="(Todos)",D748=r_de)),1,0))</f>
        <v>0</v>
      </c>
      <c r="AB748" s="96" t="str">
        <f>IF(AA748=1,COUNTIF($AA$6:AA748,1),"")</f>
        <v/>
      </c>
    </row>
    <row r="749">
      <c r="A749" s="89" t="inlineStr">
        <is>
          <t>REC-000744</t>
        </is>
      </c>
      <c r="B749" s="94" t="str">
        <f>IF(T749=1,INDEX('ITENS_MTR'!$S$6:$S$1005,S749)&amp;"","")</f>
        <v/>
      </c>
      <c r="C749" s="91" t="n"/>
      <c r="D749" s="94" t="str">
        <f>IF(N(U749)&gt;0,INDEX('MTRs'!$I$6:$I$505,U749)&amp;"","")</f>
        <v/>
      </c>
      <c r="E749" s="92" t="n"/>
      <c r="F749" s="98" t="n"/>
      <c r="G749" s="91" t="n"/>
      <c r="H749" s="93" t="str">
        <f>IF(Q749=0,"",IF(NOT(ISNUMBER(F749)),"",IF(ISNUMBER(W749),F749*W749,"UNIDADE A CONFERIR")))</f>
        <v/>
      </c>
      <c r="I749" s="91" t="n"/>
      <c r="J749" s="91" t="n"/>
      <c r="K749" s="92" t="n"/>
      <c r="L749" s="91" t="n"/>
      <c r="M749" s="91" t="n"/>
      <c r="N749" s="91" t="n"/>
      <c r="O749" s="91" t="n"/>
      <c r="P749" s="94" t="str">
        <f>IF(Q749=0,"",IF(C749="","Item de resíduo não informado",IF(T749=0,"Item inexistente (referência inválida)",IF(NOT(ISNUMBER(F749)),"Quantidade não informada",IF(F749&lt;=0,"Quantidade não positiva",IF(G749="","Unidade não informada",IF(NOT(ISNUMBER(H749)),"Unidade a conferir",IF(NOT(ISNUMBER(E749)),"Data de recebimento não informada",IF(AND(ISNUMBER(V749),N(V749)&gt;0,E749&lt;N(V749)),"Data anterior à emissão do MTR",IF(AND(J749="Sim",L749="",M749=""),"Conferido sem evidência identificada",IF(J749&lt;&gt;"Sim","Aguardando conferência",IF(INDEX('ITENS_MTR'!$AM$6:$AM$1005,S749)=1,"Conferido (ver diferença no item)","Conferido"))))))))))))</f>
        <v/>
      </c>
      <c r="Q749" s="96">
        <f>IF(COUNTA(C749,E749:G749,I749:O749)&gt;0,1,0)</f>
        <v>0</v>
      </c>
      <c r="R749" s="96" t="str">
        <f>IF(C749="","",TRIM(LEFT(C749,FIND(" |",C749&amp;" |")-1)))</f>
        <v/>
      </c>
      <c r="S749" s="96" t="str">
        <f>IF(R749="","",IFERROR(MATCH(R749,'ITENS_MTR'!$A$6:$A$1005,0),""))</f>
        <v/>
      </c>
      <c r="T749" s="96">
        <f>IF(S749="",0,IF(INDEX('ITENS_MTR'!$R$6:$R$1005,S749)=1,1,0))</f>
        <v>0</v>
      </c>
      <c r="U749" s="96" t="str">
        <f>IF(T749=1,INDEX('ITENS_MTR'!$T$6:$T$1005,S749),"")</f>
        <v/>
      </c>
      <c r="V749" s="97" t="str">
        <f>IF(N(U749)&gt;0,INDEX('MTRs'!$E$6:$E$505,U749),"")</f>
        <v/>
      </c>
      <c r="W749" s="96" t="str">
        <f>IF(G749="","",IFERROR(IF(ISNUMBER(INDEX(cfg_fac,MATCH(G749,cfg_units,0))),IF(INDEX(cfg_fac,MATCH(G749,cfg_units,0))&gt;0,INDEX(cfg_fac,MATCH(G749,cfg_units,0)),""),""),""))</f>
        <v/>
      </c>
      <c r="X749" s="96">
        <f>IF(AND(ISNUMBER(F749),ISNUMBER(H749)),IF(H749&gt;0,1,0),0)</f>
        <v>0</v>
      </c>
      <c r="Y749" s="96">
        <f>IF(Q749=0,0,IF(OR(T749=0,X749=0,NOT(ISNUMBER(E749)),AND(J749="Sim",L749="",M749=""),AND(ISNUMBER(E749),ISNUMBER(V749),N(V749)&gt;0,E749&lt;N(V749))),1,0))</f>
        <v>0</v>
      </c>
      <c r="Z749" s="96">
        <f>IF(AND(Q749=1,T749=1,X749=1,J749="Sim",OR(L749&lt;&gt;"",M749&lt;&gt;"")),1,0)</f>
        <v>0</v>
      </c>
      <c r="AA749" s="96">
        <f>IF(Q749=0,0,IF(AND(OR(r_ini="",AND(ISNUMBER(E749),E749&gt;=r_ini)),OR(r_fim="",AND(ISNUMBER(E749),E749&lt;=r_fim)),OR(r_un="",r_un="(Todas)",IF(N(U749)&gt;0,INDEX('MTRs'!$G$6:$G$505,U749),"")=r_un),OR(r_de="",r_de="(Todos)",D749=r_de)),1,0))</f>
        <v>0</v>
      </c>
      <c r="AB749" s="96" t="str">
        <f>IF(AA749=1,COUNTIF($AA$6:AA749,1),"")</f>
        <v/>
      </c>
    </row>
    <row r="750">
      <c r="A750" s="89" t="inlineStr">
        <is>
          <t>REC-000745</t>
        </is>
      </c>
      <c r="B750" s="94" t="str">
        <f>IF(T750=1,INDEX('ITENS_MTR'!$S$6:$S$1005,S750)&amp;"","")</f>
        <v/>
      </c>
      <c r="C750" s="91" t="n"/>
      <c r="D750" s="94" t="str">
        <f>IF(N(U750)&gt;0,INDEX('MTRs'!$I$6:$I$505,U750)&amp;"","")</f>
        <v/>
      </c>
      <c r="E750" s="92" t="n"/>
      <c r="F750" s="98" t="n"/>
      <c r="G750" s="91" t="n"/>
      <c r="H750" s="93" t="str">
        <f>IF(Q750=0,"",IF(NOT(ISNUMBER(F750)),"",IF(ISNUMBER(W750),F750*W750,"UNIDADE A CONFERIR")))</f>
        <v/>
      </c>
      <c r="I750" s="91" t="n"/>
      <c r="J750" s="91" t="n"/>
      <c r="K750" s="92" t="n"/>
      <c r="L750" s="91" t="n"/>
      <c r="M750" s="91" t="n"/>
      <c r="N750" s="91" t="n"/>
      <c r="O750" s="91" t="n"/>
      <c r="P750" s="94" t="str">
        <f>IF(Q750=0,"",IF(C750="","Item de resíduo não informado",IF(T750=0,"Item inexistente (referência inválida)",IF(NOT(ISNUMBER(F750)),"Quantidade não informada",IF(F750&lt;=0,"Quantidade não positiva",IF(G750="","Unidade não informada",IF(NOT(ISNUMBER(H750)),"Unidade a conferir",IF(NOT(ISNUMBER(E750)),"Data de recebimento não informada",IF(AND(ISNUMBER(V750),N(V750)&gt;0,E750&lt;N(V750)),"Data anterior à emissão do MTR",IF(AND(J750="Sim",L750="",M750=""),"Conferido sem evidência identificada",IF(J750&lt;&gt;"Sim","Aguardando conferência",IF(INDEX('ITENS_MTR'!$AM$6:$AM$1005,S750)=1,"Conferido (ver diferença no item)","Conferido"))))))))))))</f>
        <v/>
      </c>
      <c r="Q750" s="96">
        <f>IF(COUNTA(C750,E750:G750,I750:O750)&gt;0,1,0)</f>
        <v>0</v>
      </c>
      <c r="R750" s="96" t="str">
        <f>IF(C750="","",TRIM(LEFT(C750,FIND(" |",C750&amp;" |")-1)))</f>
        <v/>
      </c>
      <c r="S750" s="96" t="str">
        <f>IF(R750="","",IFERROR(MATCH(R750,'ITENS_MTR'!$A$6:$A$1005,0),""))</f>
        <v/>
      </c>
      <c r="T750" s="96">
        <f>IF(S750="",0,IF(INDEX('ITENS_MTR'!$R$6:$R$1005,S750)=1,1,0))</f>
        <v>0</v>
      </c>
      <c r="U750" s="96" t="str">
        <f>IF(T750=1,INDEX('ITENS_MTR'!$T$6:$T$1005,S750),"")</f>
        <v/>
      </c>
      <c r="V750" s="97" t="str">
        <f>IF(N(U750)&gt;0,INDEX('MTRs'!$E$6:$E$505,U750),"")</f>
        <v/>
      </c>
      <c r="W750" s="96" t="str">
        <f>IF(G750="","",IFERROR(IF(ISNUMBER(INDEX(cfg_fac,MATCH(G750,cfg_units,0))),IF(INDEX(cfg_fac,MATCH(G750,cfg_units,0))&gt;0,INDEX(cfg_fac,MATCH(G750,cfg_units,0)),""),""),""))</f>
        <v/>
      </c>
      <c r="X750" s="96">
        <f>IF(AND(ISNUMBER(F750),ISNUMBER(H750)),IF(H750&gt;0,1,0),0)</f>
        <v>0</v>
      </c>
      <c r="Y750" s="96">
        <f>IF(Q750=0,0,IF(OR(T750=0,X750=0,NOT(ISNUMBER(E750)),AND(J750="Sim",L750="",M750=""),AND(ISNUMBER(E750),ISNUMBER(V750),N(V750)&gt;0,E750&lt;N(V750))),1,0))</f>
        <v>0</v>
      </c>
      <c r="Z750" s="96">
        <f>IF(AND(Q750=1,T750=1,X750=1,J750="Sim",OR(L750&lt;&gt;"",M750&lt;&gt;"")),1,0)</f>
        <v>0</v>
      </c>
      <c r="AA750" s="96">
        <f>IF(Q750=0,0,IF(AND(OR(r_ini="",AND(ISNUMBER(E750),E750&gt;=r_ini)),OR(r_fim="",AND(ISNUMBER(E750),E750&lt;=r_fim)),OR(r_un="",r_un="(Todas)",IF(N(U750)&gt;0,INDEX('MTRs'!$G$6:$G$505,U750),"")=r_un),OR(r_de="",r_de="(Todos)",D750=r_de)),1,0))</f>
        <v>0</v>
      </c>
      <c r="AB750" s="96" t="str">
        <f>IF(AA750=1,COUNTIF($AA$6:AA750,1),"")</f>
        <v/>
      </c>
    </row>
    <row r="751">
      <c r="A751" s="89" t="inlineStr">
        <is>
          <t>REC-000746</t>
        </is>
      </c>
      <c r="B751" s="94" t="str">
        <f>IF(T751=1,INDEX('ITENS_MTR'!$S$6:$S$1005,S751)&amp;"","")</f>
        <v/>
      </c>
      <c r="C751" s="91" t="n"/>
      <c r="D751" s="94" t="str">
        <f>IF(N(U751)&gt;0,INDEX('MTRs'!$I$6:$I$505,U751)&amp;"","")</f>
        <v/>
      </c>
      <c r="E751" s="92" t="n"/>
      <c r="F751" s="98" t="n"/>
      <c r="G751" s="91" t="n"/>
      <c r="H751" s="93" t="str">
        <f>IF(Q751=0,"",IF(NOT(ISNUMBER(F751)),"",IF(ISNUMBER(W751),F751*W751,"UNIDADE A CONFERIR")))</f>
        <v/>
      </c>
      <c r="I751" s="91" t="n"/>
      <c r="J751" s="91" t="n"/>
      <c r="K751" s="92" t="n"/>
      <c r="L751" s="91" t="n"/>
      <c r="M751" s="91" t="n"/>
      <c r="N751" s="91" t="n"/>
      <c r="O751" s="91" t="n"/>
      <c r="P751" s="94" t="str">
        <f>IF(Q751=0,"",IF(C751="","Item de resíduo não informado",IF(T751=0,"Item inexistente (referência inválida)",IF(NOT(ISNUMBER(F751)),"Quantidade não informada",IF(F751&lt;=0,"Quantidade não positiva",IF(G751="","Unidade não informada",IF(NOT(ISNUMBER(H751)),"Unidade a conferir",IF(NOT(ISNUMBER(E751)),"Data de recebimento não informada",IF(AND(ISNUMBER(V751),N(V751)&gt;0,E751&lt;N(V751)),"Data anterior à emissão do MTR",IF(AND(J751="Sim",L751="",M751=""),"Conferido sem evidência identificada",IF(J751&lt;&gt;"Sim","Aguardando conferência",IF(INDEX('ITENS_MTR'!$AM$6:$AM$1005,S751)=1,"Conferido (ver diferença no item)","Conferido"))))))))))))</f>
        <v/>
      </c>
      <c r="Q751" s="96">
        <f>IF(COUNTA(C751,E751:G751,I751:O751)&gt;0,1,0)</f>
        <v>0</v>
      </c>
      <c r="R751" s="96" t="str">
        <f>IF(C751="","",TRIM(LEFT(C751,FIND(" |",C751&amp;" |")-1)))</f>
        <v/>
      </c>
      <c r="S751" s="96" t="str">
        <f>IF(R751="","",IFERROR(MATCH(R751,'ITENS_MTR'!$A$6:$A$1005,0),""))</f>
        <v/>
      </c>
      <c r="T751" s="96">
        <f>IF(S751="",0,IF(INDEX('ITENS_MTR'!$R$6:$R$1005,S751)=1,1,0))</f>
        <v>0</v>
      </c>
      <c r="U751" s="96" t="str">
        <f>IF(T751=1,INDEX('ITENS_MTR'!$T$6:$T$1005,S751),"")</f>
        <v/>
      </c>
      <c r="V751" s="97" t="str">
        <f>IF(N(U751)&gt;0,INDEX('MTRs'!$E$6:$E$505,U751),"")</f>
        <v/>
      </c>
      <c r="W751" s="96" t="str">
        <f>IF(G751="","",IFERROR(IF(ISNUMBER(INDEX(cfg_fac,MATCH(G751,cfg_units,0))),IF(INDEX(cfg_fac,MATCH(G751,cfg_units,0))&gt;0,INDEX(cfg_fac,MATCH(G751,cfg_units,0)),""),""),""))</f>
        <v/>
      </c>
      <c r="X751" s="96">
        <f>IF(AND(ISNUMBER(F751),ISNUMBER(H751)),IF(H751&gt;0,1,0),0)</f>
        <v>0</v>
      </c>
      <c r="Y751" s="96">
        <f>IF(Q751=0,0,IF(OR(T751=0,X751=0,NOT(ISNUMBER(E751)),AND(J751="Sim",L751="",M751=""),AND(ISNUMBER(E751),ISNUMBER(V751),N(V751)&gt;0,E751&lt;N(V751))),1,0))</f>
        <v>0</v>
      </c>
      <c r="Z751" s="96">
        <f>IF(AND(Q751=1,T751=1,X751=1,J751="Sim",OR(L751&lt;&gt;"",M751&lt;&gt;"")),1,0)</f>
        <v>0</v>
      </c>
      <c r="AA751" s="96">
        <f>IF(Q751=0,0,IF(AND(OR(r_ini="",AND(ISNUMBER(E751),E751&gt;=r_ini)),OR(r_fim="",AND(ISNUMBER(E751),E751&lt;=r_fim)),OR(r_un="",r_un="(Todas)",IF(N(U751)&gt;0,INDEX('MTRs'!$G$6:$G$505,U751),"")=r_un),OR(r_de="",r_de="(Todos)",D751=r_de)),1,0))</f>
        <v>0</v>
      </c>
      <c r="AB751" s="96" t="str">
        <f>IF(AA751=1,COUNTIF($AA$6:AA751,1),"")</f>
        <v/>
      </c>
    </row>
    <row r="752">
      <c r="A752" s="89" t="inlineStr">
        <is>
          <t>REC-000747</t>
        </is>
      </c>
      <c r="B752" s="94" t="str">
        <f>IF(T752=1,INDEX('ITENS_MTR'!$S$6:$S$1005,S752)&amp;"","")</f>
        <v/>
      </c>
      <c r="C752" s="91" t="n"/>
      <c r="D752" s="94" t="str">
        <f>IF(N(U752)&gt;0,INDEX('MTRs'!$I$6:$I$505,U752)&amp;"","")</f>
        <v/>
      </c>
      <c r="E752" s="92" t="n"/>
      <c r="F752" s="98" t="n"/>
      <c r="G752" s="91" t="n"/>
      <c r="H752" s="93" t="str">
        <f>IF(Q752=0,"",IF(NOT(ISNUMBER(F752)),"",IF(ISNUMBER(W752),F752*W752,"UNIDADE A CONFERIR")))</f>
        <v/>
      </c>
      <c r="I752" s="91" t="n"/>
      <c r="J752" s="91" t="n"/>
      <c r="K752" s="92" t="n"/>
      <c r="L752" s="91" t="n"/>
      <c r="M752" s="91" t="n"/>
      <c r="N752" s="91" t="n"/>
      <c r="O752" s="91" t="n"/>
      <c r="P752" s="94" t="str">
        <f>IF(Q752=0,"",IF(C752="","Item de resíduo não informado",IF(T752=0,"Item inexistente (referência inválida)",IF(NOT(ISNUMBER(F752)),"Quantidade não informada",IF(F752&lt;=0,"Quantidade não positiva",IF(G752="","Unidade não informada",IF(NOT(ISNUMBER(H752)),"Unidade a conferir",IF(NOT(ISNUMBER(E752)),"Data de recebimento não informada",IF(AND(ISNUMBER(V752),N(V752)&gt;0,E752&lt;N(V752)),"Data anterior à emissão do MTR",IF(AND(J752="Sim",L752="",M752=""),"Conferido sem evidência identificada",IF(J752&lt;&gt;"Sim","Aguardando conferência",IF(INDEX('ITENS_MTR'!$AM$6:$AM$1005,S752)=1,"Conferido (ver diferença no item)","Conferido"))))))))))))</f>
        <v/>
      </c>
      <c r="Q752" s="96">
        <f>IF(COUNTA(C752,E752:G752,I752:O752)&gt;0,1,0)</f>
        <v>0</v>
      </c>
      <c r="R752" s="96" t="str">
        <f>IF(C752="","",TRIM(LEFT(C752,FIND(" |",C752&amp;" |")-1)))</f>
        <v/>
      </c>
      <c r="S752" s="96" t="str">
        <f>IF(R752="","",IFERROR(MATCH(R752,'ITENS_MTR'!$A$6:$A$1005,0),""))</f>
        <v/>
      </c>
      <c r="T752" s="96">
        <f>IF(S752="",0,IF(INDEX('ITENS_MTR'!$R$6:$R$1005,S752)=1,1,0))</f>
        <v>0</v>
      </c>
      <c r="U752" s="96" t="str">
        <f>IF(T752=1,INDEX('ITENS_MTR'!$T$6:$T$1005,S752),"")</f>
        <v/>
      </c>
      <c r="V752" s="97" t="str">
        <f>IF(N(U752)&gt;0,INDEX('MTRs'!$E$6:$E$505,U752),"")</f>
        <v/>
      </c>
      <c r="W752" s="96" t="str">
        <f>IF(G752="","",IFERROR(IF(ISNUMBER(INDEX(cfg_fac,MATCH(G752,cfg_units,0))),IF(INDEX(cfg_fac,MATCH(G752,cfg_units,0))&gt;0,INDEX(cfg_fac,MATCH(G752,cfg_units,0)),""),""),""))</f>
        <v/>
      </c>
      <c r="X752" s="96">
        <f>IF(AND(ISNUMBER(F752),ISNUMBER(H752)),IF(H752&gt;0,1,0),0)</f>
        <v>0</v>
      </c>
      <c r="Y752" s="96">
        <f>IF(Q752=0,0,IF(OR(T752=0,X752=0,NOT(ISNUMBER(E752)),AND(J752="Sim",L752="",M752=""),AND(ISNUMBER(E752),ISNUMBER(V752),N(V752)&gt;0,E752&lt;N(V752))),1,0))</f>
        <v>0</v>
      </c>
      <c r="Z752" s="96">
        <f>IF(AND(Q752=1,T752=1,X752=1,J752="Sim",OR(L752&lt;&gt;"",M752&lt;&gt;"")),1,0)</f>
        <v>0</v>
      </c>
      <c r="AA752" s="96">
        <f>IF(Q752=0,0,IF(AND(OR(r_ini="",AND(ISNUMBER(E752),E752&gt;=r_ini)),OR(r_fim="",AND(ISNUMBER(E752),E752&lt;=r_fim)),OR(r_un="",r_un="(Todas)",IF(N(U752)&gt;0,INDEX('MTRs'!$G$6:$G$505,U752),"")=r_un),OR(r_de="",r_de="(Todos)",D752=r_de)),1,0))</f>
        <v>0</v>
      </c>
      <c r="AB752" s="96" t="str">
        <f>IF(AA752=1,COUNTIF($AA$6:AA752,1),"")</f>
        <v/>
      </c>
    </row>
    <row r="753">
      <c r="A753" s="89" t="inlineStr">
        <is>
          <t>REC-000748</t>
        </is>
      </c>
      <c r="B753" s="94" t="str">
        <f>IF(T753=1,INDEX('ITENS_MTR'!$S$6:$S$1005,S753)&amp;"","")</f>
        <v/>
      </c>
      <c r="C753" s="91" t="n"/>
      <c r="D753" s="94" t="str">
        <f>IF(N(U753)&gt;0,INDEX('MTRs'!$I$6:$I$505,U753)&amp;"","")</f>
        <v/>
      </c>
      <c r="E753" s="92" t="n"/>
      <c r="F753" s="98" t="n"/>
      <c r="G753" s="91" t="n"/>
      <c r="H753" s="93" t="str">
        <f>IF(Q753=0,"",IF(NOT(ISNUMBER(F753)),"",IF(ISNUMBER(W753),F753*W753,"UNIDADE A CONFERIR")))</f>
        <v/>
      </c>
      <c r="I753" s="91" t="n"/>
      <c r="J753" s="91" t="n"/>
      <c r="K753" s="92" t="n"/>
      <c r="L753" s="91" t="n"/>
      <c r="M753" s="91" t="n"/>
      <c r="N753" s="91" t="n"/>
      <c r="O753" s="91" t="n"/>
      <c r="P753" s="94" t="str">
        <f>IF(Q753=0,"",IF(C753="","Item de resíduo não informado",IF(T753=0,"Item inexistente (referência inválida)",IF(NOT(ISNUMBER(F753)),"Quantidade não informada",IF(F753&lt;=0,"Quantidade não positiva",IF(G753="","Unidade não informada",IF(NOT(ISNUMBER(H753)),"Unidade a conferir",IF(NOT(ISNUMBER(E753)),"Data de recebimento não informada",IF(AND(ISNUMBER(V753),N(V753)&gt;0,E753&lt;N(V753)),"Data anterior à emissão do MTR",IF(AND(J753="Sim",L753="",M753=""),"Conferido sem evidência identificada",IF(J753&lt;&gt;"Sim","Aguardando conferência",IF(INDEX('ITENS_MTR'!$AM$6:$AM$1005,S753)=1,"Conferido (ver diferença no item)","Conferido"))))))))))))</f>
        <v/>
      </c>
      <c r="Q753" s="96">
        <f>IF(COUNTA(C753,E753:G753,I753:O753)&gt;0,1,0)</f>
        <v>0</v>
      </c>
      <c r="R753" s="96" t="str">
        <f>IF(C753="","",TRIM(LEFT(C753,FIND(" |",C753&amp;" |")-1)))</f>
        <v/>
      </c>
      <c r="S753" s="96" t="str">
        <f>IF(R753="","",IFERROR(MATCH(R753,'ITENS_MTR'!$A$6:$A$1005,0),""))</f>
        <v/>
      </c>
      <c r="T753" s="96">
        <f>IF(S753="",0,IF(INDEX('ITENS_MTR'!$R$6:$R$1005,S753)=1,1,0))</f>
        <v>0</v>
      </c>
      <c r="U753" s="96" t="str">
        <f>IF(T753=1,INDEX('ITENS_MTR'!$T$6:$T$1005,S753),"")</f>
        <v/>
      </c>
      <c r="V753" s="97" t="str">
        <f>IF(N(U753)&gt;0,INDEX('MTRs'!$E$6:$E$505,U753),"")</f>
        <v/>
      </c>
      <c r="W753" s="96" t="str">
        <f>IF(G753="","",IFERROR(IF(ISNUMBER(INDEX(cfg_fac,MATCH(G753,cfg_units,0))),IF(INDEX(cfg_fac,MATCH(G753,cfg_units,0))&gt;0,INDEX(cfg_fac,MATCH(G753,cfg_units,0)),""),""),""))</f>
        <v/>
      </c>
      <c r="X753" s="96">
        <f>IF(AND(ISNUMBER(F753),ISNUMBER(H753)),IF(H753&gt;0,1,0),0)</f>
        <v>0</v>
      </c>
      <c r="Y753" s="96">
        <f>IF(Q753=0,0,IF(OR(T753=0,X753=0,NOT(ISNUMBER(E753)),AND(J753="Sim",L753="",M753=""),AND(ISNUMBER(E753),ISNUMBER(V753),N(V753)&gt;0,E753&lt;N(V753))),1,0))</f>
        <v>0</v>
      </c>
      <c r="Z753" s="96">
        <f>IF(AND(Q753=1,T753=1,X753=1,J753="Sim",OR(L753&lt;&gt;"",M753&lt;&gt;"")),1,0)</f>
        <v>0</v>
      </c>
      <c r="AA753" s="96">
        <f>IF(Q753=0,0,IF(AND(OR(r_ini="",AND(ISNUMBER(E753),E753&gt;=r_ini)),OR(r_fim="",AND(ISNUMBER(E753),E753&lt;=r_fim)),OR(r_un="",r_un="(Todas)",IF(N(U753)&gt;0,INDEX('MTRs'!$G$6:$G$505,U753),"")=r_un),OR(r_de="",r_de="(Todos)",D753=r_de)),1,0))</f>
        <v>0</v>
      </c>
      <c r="AB753" s="96" t="str">
        <f>IF(AA753=1,COUNTIF($AA$6:AA753,1),"")</f>
        <v/>
      </c>
    </row>
    <row r="754">
      <c r="A754" s="89" t="inlineStr">
        <is>
          <t>REC-000749</t>
        </is>
      </c>
      <c r="B754" s="94" t="str">
        <f>IF(T754=1,INDEX('ITENS_MTR'!$S$6:$S$1005,S754)&amp;"","")</f>
        <v/>
      </c>
      <c r="C754" s="91" t="n"/>
      <c r="D754" s="94" t="str">
        <f>IF(N(U754)&gt;0,INDEX('MTRs'!$I$6:$I$505,U754)&amp;"","")</f>
        <v/>
      </c>
      <c r="E754" s="92" t="n"/>
      <c r="F754" s="98" t="n"/>
      <c r="G754" s="91" t="n"/>
      <c r="H754" s="93" t="str">
        <f>IF(Q754=0,"",IF(NOT(ISNUMBER(F754)),"",IF(ISNUMBER(W754),F754*W754,"UNIDADE A CONFERIR")))</f>
        <v/>
      </c>
      <c r="I754" s="91" t="n"/>
      <c r="J754" s="91" t="n"/>
      <c r="K754" s="92" t="n"/>
      <c r="L754" s="91" t="n"/>
      <c r="M754" s="91" t="n"/>
      <c r="N754" s="91" t="n"/>
      <c r="O754" s="91" t="n"/>
      <c r="P754" s="94" t="str">
        <f>IF(Q754=0,"",IF(C754="","Item de resíduo não informado",IF(T754=0,"Item inexistente (referência inválida)",IF(NOT(ISNUMBER(F754)),"Quantidade não informada",IF(F754&lt;=0,"Quantidade não positiva",IF(G754="","Unidade não informada",IF(NOT(ISNUMBER(H754)),"Unidade a conferir",IF(NOT(ISNUMBER(E754)),"Data de recebimento não informada",IF(AND(ISNUMBER(V754),N(V754)&gt;0,E754&lt;N(V754)),"Data anterior à emissão do MTR",IF(AND(J754="Sim",L754="",M754=""),"Conferido sem evidência identificada",IF(J754&lt;&gt;"Sim","Aguardando conferência",IF(INDEX('ITENS_MTR'!$AM$6:$AM$1005,S754)=1,"Conferido (ver diferença no item)","Conferido"))))))))))))</f>
        <v/>
      </c>
      <c r="Q754" s="96">
        <f>IF(COUNTA(C754,E754:G754,I754:O754)&gt;0,1,0)</f>
        <v>0</v>
      </c>
      <c r="R754" s="96" t="str">
        <f>IF(C754="","",TRIM(LEFT(C754,FIND(" |",C754&amp;" |")-1)))</f>
        <v/>
      </c>
      <c r="S754" s="96" t="str">
        <f>IF(R754="","",IFERROR(MATCH(R754,'ITENS_MTR'!$A$6:$A$1005,0),""))</f>
        <v/>
      </c>
      <c r="T754" s="96">
        <f>IF(S754="",0,IF(INDEX('ITENS_MTR'!$R$6:$R$1005,S754)=1,1,0))</f>
        <v>0</v>
      </c>
      <c r="U754" s="96" t="str">
        <f>IF(T754=1,INDEX('ITENS_MTR'!$T$6:$T$1005,S754),"")</f>
        <v/>
      </c>
      <c r="V754" s="97" t="str">
        <f>IF(N(U754)&gt;0,INDEX('MTRs'!$E$6:$E$505,U754),"")</f>
        <v/>
      </c>
      <c r="W754" s="96" t="str">
        <f>IF(G754="","",IFERROR(IF(ISNUMBER(INDEX(cfg_fac,MATCH(G754,cfg_units,0))),IF(INDEX(cfg_fac,MATCH(G754,cfg_units,0))&gt;0,INDEX(cfg_fac,MATCH(G754,cfg_units,0)),""),""),""))</f>
        <v/>
      </c>
      <c r="X754" s="96">
        <f>IF(AND(ISNUMBER(F754),ISNUMBER(H754)),IF(H754&gt;0,1,0),0)</f>
        <v>0</v>
      </c>
      <c r="Y754" s="96">
        <f>IF(Q754=0,0,IF(OR(T754=0,X754=0,NOT(ISNUMBER(E754)),AND(J754="Sim",L754="",M754=""),AND(ISNUMBER(E754),ISNUMBER(V754),N(V754)&gt;0,E754&lt;N(V754))),1,0))</f>
        <v>0</v>
      </c>
      <c r="Z754" s="96">
        <f>IF(AND(Q754=1,T754=1,X754=1,J754="Sim",OR(L754&lt;&gt;"",M754&lt;&gt;"")),1,0)</f>
        <v>0</v>
      </c>
      <c r="AA754" s="96">
        <f>IF(Q754=0,0,IF(AND(OR(r_ini="",AND(ISNUMBER(E754),E754&gt;=r_ini)),OR(r_fim="",AND(ISNUMBER(E754),E754&lt;=r_fim)),OR(r_un="",r_un="(Todas)",IF(N(U754)&gt;0,INDEX('MTRs'!$G$6:$G$505,U754),"")=r_un),OR(r_de="",r_de="(Todos)",D754=r_de)),1,0))</f>
        <v>0</v>
      </c>
      <c r="AB754" s="96" t="str">
        <f>IF(AA754=1,COUNTIF($AA$6:AA754,1),"")</f>
        <v/>
      </c>
    </row>
    <row r="755">
      <c r="A755" s="89" t="inlineStr">
        <is>
          <t>REC-000750</t>
        </is>
      </c>
      <c r="B755" s="94" t="str">
        <f>IF(T755=1,INDEX('ITENS_MTR'!$S$6:$S$1005,S755)&amp;"","")</f>
        <v/>
      </c>
      <c r="C755" s="91" t="n"/>
      <c r="D755" s="94" t="str">
        <f>IF(N(U755)&gt;0,INDEX('MTRs'!$I$6:$I$505,U755)&amp;"","")</f>
        <v/>
      </c>
      <c r="E755" s="92" t="n"/>
      <c r="F755" s="98" t="n"/>
      <c r="G755" s="91" t="n"/>
      <c r="H755" s="93" t="str">
        <f>IF(Q755=0,"",IF(NOT(ISNUMBER(F755)),"",IF(ISNUMBER(W755),F755*W755,"UNIDADE A CONFERIR")))</f>
        <v/>
      </c>
      <c r="I755" s="91" t="n"/>
      <c r="J755" s="91" t="n"/>
      <c r="K755" s="92" t="n"/>
      <c r="L755" s="91" t="n"/>
      <c r="M755" s="91" t="n"/>
      <c r="N755" s="91" t="n"/>
      <c r="O755" s="91" t="n"/>
      <c r="P755" s="94" t="str">
        <f>IF(Q755=0,"",IF(C755="","Item de resíduo não informado",IF(T755=0,"Item inexistente (referência inválida)",IF(NOT(ISNUMBER(F755)),"Quantidade não informada",IF(F755&lt;=0,"Quantidade não positiva",IF(G755="","Unidade não informada",IF(NOT(ISNUMBER(H755)),"Unidade a conferir",IF(NOT(ISNUMBER(E755)),"Data de recebimento não informada",IF(AND(ISNUMBER(V755),N(V755)&gt;0,E755&lt;N(V755)),"Data anterior à emissão do MTR",IF(AND(J755="Sim",L755="",M755=""),"Conferido sem evidência identificada",IF(J755&lt;&gt;"Sim","Aguardando conferência",IF(INDEX('ITENS_MTR'!$AM$6:$AM$1005,S755)=1,"Conferido (ver diferença no item)","Conferido"))))))))))))</f>
        <v/>
      </c>
      <c r="Q755" s="96">
        <f>IF(COUNTA(C755,E755:G755,I755:O755)&gt;0,1,0)</f>
        <v>0</v>
      </c>
      <c r="R755" s="96" t="str">
        <f>IF(C755="","",TRIM(LEFT(C755,FIND(" |",C755&amp;" |")-1)))</f>
        <v/>
      </c>
      <c r="S755" s="96" t="str">
        <f>IF(R755="","",IFERROR(MATCH(R755,'ITENS_MTR'!$A$6:$A$1005,0),""))</f>
        <v/>
      </c>
      <c r="T755" s="96">
        <f>IF(S755="",0,IF(INDEX('ITENS_MTR'!$R$6:$R$1005,S755)=1,1,0))</f>
        <v>0</v>
      </c>
      <c r="U755" s="96" t="str">
        <f>IF(T755=1,INDEX('ITENS_MTR'!$T$6:$T$1005,S755),"")</f>
        <v/>
      </c>
      <c r="V755" s="97" t="str">
        <f>IF(N(U755)&gt;0,INDEX('MTRs'!$E$6:$E$505,U755),"")</f>
        <v/>
      </c>
      <c r="W755" s="96" t="str">
        <f>IF(G755="","",IFERROR(IF(ISNUMBER(INDEX(cfg_fac,MATCH(G755,cfg_units,0))),IF(INDEX(cfg_fac,MATCH(G755,cfg_units,0))&gt;0,INDEX(cfg_fac,MATCH(G755,cfg_units,0)),""),""),""))</f>
        <v/>
      </c>
      <c r="X755" s="96">
        <f>IF(AND(ISNUMBER(F755),ISNUMBER(H755)),IF(H755&gt;0,1,0),0)</f>
        <v>0</v>
      </c>
      <c r="Y755" s="96">
        <f>IF(Q755=0,0,IF(OR(T755=0,X755=0,NOT(ISNUMBER(E755)),AND(J755="Sim",L755="",M755=""),AND(ISNUMBER(E755),ISNUMBER(V755),N(V755)&gt;0,E755&lt;N(V755))),1,0))</f>
        <v>0</v>
      </c>
      <c r="Z755" s="96">
        <f>IF(AND(Q755=1,T755=1,X755=1,J755="Sim",OR(L755&lt;&gt;"",M755&lt;&gt;"")),1,0)</f>
        <v>0</v>
      </c>
      <c r="AA755" s="96">
        <f>IF(Q755=0,0,IF(AND(OR(r_ini="",AND(ISNUMBER(E755),E755&gt;=r_ini)),OR(r_fim="",AND(ISNUMBER(E755),E755&lt;=r_fim)),OR(r_un="",r_un="(Todas)",IF(N(U755)&gt;0,INDEX('MTRs'!$G$6:$G$505,U755),"")=r_un),OR(r_de="",r_de="(Todos)",D755=r_de)),1,0))</f>
        <v>0</v>
      </c>
      <c r="AB755" s="96" t="str">
        <f>IF(AA755=1,COUNTIF($AA$6:AA755,1),"")</f>
        <v/>
      </c>
    </row>
    <row r="756">
      <c r="A756" s="89" t="inlineStr">
        <is>
          <t>REC-000751</t>
        </is>
      </c>
      <c r="B756" s="94" t="str">
        <f>IF(T756=1,INDEX('ITENS_MTR'!$S$6:$S$1005,S756)&amp;"","")</f>
        <v/>
      </c>
      <c r="C756" s="91" t="n"/>
      <c r="D756" s="94" t="str">
        <f>IF(N(U756)&gt;0,INDEX('MTRs'!$I$6:$I$505,U756)&amp;"","")</f>
        <v/>
      </c>
      <c r="E756" s="92" t="n"/>
      <c r="F756" s="98" t="n"/>
      <c r="G756" s="91" t="n"/>
      <c r="H756" s="93" t="str">
        <f>IF(Q756=0,"",IF(NOT(ISNUMBER(F756)),"",IF(ISNUMBER(W756),F756*W756,"UNIDADE A CONFERIR")))</f>
        <v/>
      </c>
      <c r="I756" s="91" t="n"/>
      <c r="J756" s="91" t="n"/>
      <c r="K756" s="92" t="n"/>
      <c r="L756" s="91" t="n"/>
      <c r="M756" s="91" t="n"/>
      <c r="N756" s="91" t="n"/>
      <c r="O756" s="91" t="n"/>
      <c r="P756" s="94" t="str">
        <f>IF(Q756=0,"",IF(C756="","Item de resíduo não informado",IF(T756=0,"Item inexistente (referência inválida)",IF(NOT(ISNUMBER(F756)),"Quantidade não informada",IF(F756&lt;=0,"Quantidade não positiva",IF(G756="","Unidade não informada",IF(NOT(ISNUMBER(H756)),"Unidade a conferir",IF(NOT(ISNUMBER(E756)),"Data de recebimento não informada",IF(AND(ISNUMBER(V756),N(V756)&gt;0,E756&lt;N(V756)),"Data anterior à emissão do MTR",IF(AND(J756="Sim",L756="",M756=""),"Conferido sem evidência identificada",IF(J756&lt;&gt;"Sim","Aguardando conferência",IF(INDEX('ITENS_MTR'!$AM$6:$AM$1005,S756)=1,"Conferido (ver diferença no item)","Conferido"))))))))))))</f>
        <v/>
      </c>
      <c r="Q756" s="96">
        <f>IF(COUNTA(C756,E756:G756,I756:O756)&gt;0,1,0)</f>
        <v>0</v>
      </c>
      <c r="R756" s="96" t="str">
        <f>IF(C756="","",TRIM(LEFT(C756,FIND(" |",C756&amp;" |")-1)))</f>
        <v/>
      </c>
      <c r="S756" s="96" t="str">
        <f>IF(R756="","",IFERROR(MATCH(R756,'ITENS_MTR'!$A$6:$A$1005,0),""))</f>
        <v/>
      </c>
      <c r="T756" s="96">
        <f>IF(S756="",0,IF(INDEX('ITENS_MTR'!$R$6:$R$1005,S756)=1,1,0))</f>
        <v>0</v>
      </c>
      <c r="U756" s="96" t="str">
        <f>IF(T756=1,INDEX('ITENS_MTR'!$T$6:$T$1005,S756),"")</f>
        <v/>
      </c>
      <c r="V756" s="97" t="str">
        <f>IF(N(U756)&gt;0,INDEX('MTRs'!$E$6:$E$505,U756),"")</f>
        <v/>
      </c>
      <c r="W756" s="96" t="str">
        <f>IF(G756="","",IFERROR(IF(ISNUMBER(INDEX(cfg_fac,MATCH(G756,cfg_units,0))),IF(INDEX(cfg_fac,MATCH(G756,cfg_units,0))&gt;0,INDEX(cfg_fac,MATCH(G756,cfg_units,0)),""),""),""))</f>
        <v/>
      </c>
      <c r="X756" s="96">
        <f>IF(AND(ISNUMBER(F756),ISNUMBER(H756)),IF(H756&gt;0,1,0),0)</f>
        <v>0</v>
      </c>
      <c r="Y756" s="96">
        <f>IF(Q756=0,0,IF(OR(T756=0,X756=0,NOT(ISNUMBER(E756)),AND(J756="Sim",L756="",M756=""),AND(ISNUMBER(E756),ISNUMBER(V756),N(V756)&gt;0,E756&lt;N(V756))),1,0))</f>
        <v>0</v>
      </c>
      <c r="Z756" s="96">
        <f>IF(AND(Q756=1,T756=1,X756=1,J756="Sim",OR(L756&lt;&gt;"",M756&lt;&gt;"")),1,0)</f>
        <v>0</v>
      </c>
      <c r="AA756" s="96">
        <f>IF(Q756=0,0,IF(AND(OR(r_ini="",AND(ISNUMBER(E756),E756&gt;=r_ini)),OR(r_fim="",AND(ISNUMBER(E756),E756&lt;=r_fim)),OR(r_un="",r_un="(Todas)",IF(N(U756)&gt;0,INDEX('MTRs'!$G$6:$G$505,U756),"")=r_un),OR(r_de="",r_de="(Todos)",D756=r_de)),1,0))</f>
        <v>0</v>
      </c>
      <c r="AB756" s="96" t="str">
        <f>IF(AA756=1,COUNTIF($AA$6:AA756,1),"")</f>
        <v/>
      </c>
    </row>
    <row r="757">
      <c r="A757" s="89" t="inlineStr">
        <is>
          <t>REC-000752</t>
        </is>
      </c>
      <c r="B757" s="94" t="str">
        <f>IF(T757=1,INDEX('ITENS_MTR'!$S$6:$S$1005,S757)&amp;"","")</f>
        <v/>
      </c>
      <c r="C757" s="91" t="n"/>
      <c r="D757" s="94" t="str">
        <f>IF(N(U757)&gt;0,INDEX('MTRs'!$I$6:$I$505,U757)&amp;"","")</f>
        <v/>
      </c>
      <c r="E757" s="92" t="n"/>
      <c r="F757" s="98" t="n"/>
      <c r="G757" s="91" t="n"/>
      <c r="H757" s="93" t="str">
        <f>IF(Q757=0,"",IF(NOT(ISNUMBER(F757)),"",IF(ISNUMBER(W757),F757*W757,"UNIDADE A CONFERIR")))</f>
        <v/>
      </c>
      <c r="I757" s="91" t="n"/>
      <c r="J757" s="91" t="n"/>
      <c r="K757" s="92" t="n"/>
      <c r="L757" s="91" t="n"/>
      <c r="M757" s="91" t="n"/>
      <c r="N757" s="91" t="n"/>
      <c r="O757" s="91" t="n"/>
      <c r="P757" s="94" t="str">
        <f>IF(Q757=0,"",IF(C757="","Item de resíduo não informado",IF(T757=0,"Item inexistente (referência inválida)",IF(NOT(ISNUMBER(F757)),"Quantidade não informada",IF(F757&lt;=0,"Quantidade não positiva",IF(G757="","Unidade não informada",IF(NOT(ISNUMBER(H757)),"Unidade a conferir",IF(NOT(ISNUMBER(E757)),"Data de recebimento não informada",IF(AND(ISNUMBER(V757),N(V757)&gt;0,E757&lt;N(V757)),"Data anterior à emissão do MTR",IF(AND(J757="Sim",L757="",M757=""),"Conferido sem evidência identificada",IF(J757&lt;&gt;"Sim","Aguardando conferência",IF(INDEX('ITENS_MTR'!$AM$6:$AM$1005,S757)=1,"Conferido (ver diferença no item)","Conferido"))))))))))))</f>
        <v/>
      </c>
      <c r="Q757" s="96">
        <f>IF(COUNTA(C757,E757:G757,I757:O757)&gt;0,1,0)</f>
        <v>0</v>
      </c>
      <c r="R757" s="96" t="str">
        <f>IF(C757="","",TRIM(LEFT(C757,FIND(" |",C757&amp;" |")-1)))</f>
        <v/>
      </c>
      <c r="S757" s="96" t="str">
        <f>IF(R757="","",IFERROR(MATCH(R757,'ITENS_MTR'!$A$6:$A$1005,0),""))</f>
        <v/>
      </c>
      <c r="T757" s="96">
        <f>IF(S757="",0,IF(INDEX('ITENS_MTR'!$R$6:$R$1005,S757)=1,1,0))</f>
        <v>0</v>
      </c>
      <c r="U757" s="96" t="str">
        <f>IF(T757=1,INDEX('ITENS_MTR'!$T$6:$T$1005,S757),"")</f>
        <v/>
      </c>
      <c r="V757" s="97" t="str">
        <f>IF(N(U757)&gt;0,INDEX('MTRs'!$E$6:$E$505,U757),"")</f>
        <v/>
      </c>
      <c r="W757" s="96" t="str">
        <f>IF(G757="","",IFERROR(IF(ISNUMBER(INDEX(cfg_fac,MATCH(G757,cfg_units,0))),IF(INDEX(cfg_fac,MATCH(G757,cfg_units,0))&gt;0,INDEX(cfg_fac,MATCH(G757,cfg_units,0)),""),""),""))</f>
        <v/>
      </c>
      <c r="X757" s="96">
        <f>IF(AND(ISNUMBER(F757),ISNUMBER(H757)),IF(H757&gt;0,1,0),0)</f>
        <v>0</v>
      </c>
      <c r="Y757" s="96">
        <f>IF(Q757=0,0,IF(OR(T757=0,X757=0,NOT(ISNUMBER(E757)),AND(J757="Sim",L757="",M757=""),AND(ISNUMBER(E757),ISNUMBER(V757),N(V757)&gt;0,E757&lt;N(V757))),1,0))</f>
        <v>0</v>
      </c>
      <c r="Z757" s="96">
        <f>IF(AND(Q757=1,T757=1,X757=1,J757="Sim",OR(L757&lt;&gt;"",M757&lt;&gt;"")),1,0)</f>
        <v>0</v>
      </c>
      <c r="AA757" s="96">
        <f>IF(Q757=0,0,IF(AND(OR(r_ini="",AND(ISNUMBER(E757),E757&gt;=r_ini)),OR(r_fim="",AND(ISNUMBER(E757),E757&lt;=r_fim)),OR(r_un="",r_un="(Todas)",IF(N(U757)&gt;0,INDEX('MTRs'!$G$6:$G$505,U757),"")=r_un),OR(r_de="",r_de="(Todos)",D757=r_de)),1,0))</f>
        <v>0</v>
      </c>
      <c r="AB757" s="96" t="str">
        <f>IF(AA757=1,COUNTIF($AA$6:AA757,1),"")</f>
        <v/>
      </c>
    </row>
    <row r="758">
      <c r="A758" s="89" t="inlineStr">
        <is>
          <t>REC-000753</t>
        </is>
      </c>
      <c r="B758" s="94" t="str">
        <f>IF(T758=1,INDEX('ITENS_MTR'!$S$6:$S$1005,S758)&amp;"","")</f>
        <v/>
      </c>
      <c r="C758" s="91" t="n"/>
      <c r="D758" s="94" t="str">
        <f>IF(N(U758)&gt;0,INDEX('MTRs'!$I$6:$I$505,U758)&amp;"","")</f>
        <v/>
      </c>
      <c r="E758" s="92" t="n"/>
      <c r="F758" s="98" t="n"/>
      <c r="G758" s="91" t="n"/>
      <c r="H758" s="93" t="str">
        <f>IF(Q758=0,"",IF(NOT(ISNUMBER(F758)),"",IF(ISNUMBER(W758),F758*W758,"UNIDADE A CONFERIR")))</f>
        <v/>
      </c>
      <c r="I758" s="91" t="n"/>
      <c r="J758" s="91" t="n"/>
      <c r="K758" s="92" t="n"/>
      <c r="L758" s="91" t="n"/>
      <c r="M758" s="91" t="n"/>
      <c r="N758" s="91" t="n"/>
      <c r="O758" s="91" t="n"/>
      <c r="P758" s="94" t="str">
        <f>IF(Q758=0,"",IF(C758="","Item de resíduo não informado",IF(T758=0,"Item inexistente (referência inválida)",IF(NOT(ISNUMBER(F758)),"Quantidade não informada",IF(F758&lt;=0,"Quantidade não positiva",IF(G758="","Unidade não informada",IF(NOT(ISNUMBER(H758)),"Unidade a conferir",IF(NOT(ISNUMBER(E758)),"Data de recebimento não informada",IF(AND(ISNUMBER(V758),N(V758)&gt;0,E758&lt;N(V758)),"Data anterior à emissão do MTR",IF(AND(J758="Sim",L758="",M758=""),"Conferido sem evidência identificada",IF(J758&lt;&gt;"Sim","Aguardando conferência",IF(INDEX('ITENS_MTR'!$AM$6:$AM$1005,S758)=1,"Conferido (ver diferença no item)","Conferido"))))))))))))</f>
        <v/>
      </c>
      <c r="Q758" s="96">
        <f>IF(COUNTA(C758,E758:G758,I758:O758)&gt;0,1,0)</f>
        <v>0</v>
      </c>
      <c r="R758" s="96" t="str">
        <f>IF(C758="","",TRIM(LEFT(C758,FIND(" |",C758&amp;" |")-1)))</f>
        <v/>
      </c>
      <c r="S758" s="96" t="str">
        <f>IF(R758="","",IFERROR(MATCH(R758,'ITENS_MTR'!$A$6:$A$1005,0),""))</f>
        <v/>
      </c>
      <c r="T758" s="96">
        <f>IF(S758="",0,IF(INDEX('ITENS_MTR'!$R$6:$R$1005,S758)=1,1,0))</f>
        <v>0</v>
      </c>
      <c r="U758" s="96" t="str">
        <f>IF(T758=1,INDEX('ITENS_MTR'!$T$6:$T$1005,S758),"")</f>
        <v/>
      </c>
      <c r="V758" s="97" t="str">
        <f>IF(N(U758)&gt;0,INDEX('MTRs'!$E$6:$E$505,U758),"")</f>
        <v/>
      </c>
      <c r="W758" s="96" t="str">
        <f>IF(G758="","",IFERROR(IF(ISNUMBER(INDEX(cfg_fac,MATCH(G758,cfg_units,0))),IF(INDEX(cfg_fac,MATCH(G758,cfg_units,0))&gt;0,INDEX(cfg_fac,MATCH(G758,cfg_units,0)),""),""),""))</f>
        <v/>
      </c>
      <c r="X758" s="96">
        <f>IF(AND(ISNUMBER(F758),ISNUMBER(H758)),IF(H758&gt;0,1,0),0)</f>
        <v>0</v>
      </c>
      <c r="Y758" s="96">
        <f>IF(Q758=0,0,IF(OR(T758=0,X758=0,NOT(ISNUMBER(E758)),AND(J758="Sim",L758="",M758=""),AND(ISNUMBER(E758),ISNUMBER(V758),N(V758)&gt;0,E758&lt;N(V758))),1,0))</f>
        <v>0</v>
      </c>
      <c r="Z758" s="96">
        <f>IF(AND(Q758=1,T758=1,X758=1,J758="Sim",OR(L758&lt;&gt;"",M758&lt;&gt;"")),1,0)</f>
        <v>0</v>
      </c>
      <c r="AA758" s="96">
        <f>IF(Q758=0,0,IF(AND(OR(r_ini="",AND(ISNUMBER(E758),E758&gt;=r_ini)),OR(r_fim="",AND(ISNUMBER(E758),E758&lt;=r_fim)),OR(r_un="",r_un="(Todas)",IF(N(U758)&gt;0,INDEX('MTRs'!$G$6:$G$505,U758),"")=r_un),OR(r_de="",r_de="(Todos)",D758=r_de)),1,0))</f>
        <v>0</v>
      </c>
      <c r="AB758" s="96" t="str">
        <f>IF(AA758=1,COUNTIF($AA$6:AA758,1),"")</f>
        <v/>
      </c>
    </row>
    <row r="759">
      <c r="A759" s="89" t="inlineStr">
        <is>
          <t>REC-000754</t>
        </is>
      </c>
      <c r="B759" s="94" t="str">
        <f>IF(T759=1,INDEX('ITENS_MTR'!$S$6:$S$1005,S759)&amp;"","")</f>
        <v/>
      </c>
      <c r="C759" s="91" t="n"/>
      <c r="D759" s="94" t="str">
        <f>IF(N(U759)&gt;0,INDEX('MTRs'!$I$6:$I$505,U759)&amp;"","")</f>
        <v/>
      </c>
      <c r="E759" s="92" t="n"/>
      <c r="F759" s="98" t="n"/>
      <c r="G759" s="91" t="n"/>
      <c r="H759" s="93" t="str">
        <f>IF(Q759=0,"",IF(NOT(ISNUMBER(F759)),"",IF(ISNUMBER(W759),F759*W759,"UNIDADE A CONFERIR")))</f>
        <v/>
      </c>
      <c r="I759" s="91" t="n"/>
      <c r="J759" s="91" t="n"/>
      <c r="K759" s="92" t="n"/>
      <c r="L759" s="91" t="n"/>
      <c r="M759" s="91" t="n"/>
      <c r="N759" s="91" t="n"/>
      <c r="O759" s="91" t="n"/>
      <c r="P759" s="94" t="str">
        <f>IF(Q759=0,"",IF(C759="","Item de resíduo não informado",IF(T759=0,"Item inexistente (referência inválida)",IF(NOT(ISNUMBER(F759)),"Quantidade não informada",IF(F759&lt;=0,"Quantidade não positiva",IF(G759="","Unidade não informada",IF(NOT(ISNUMBER(H759)),"Unidade a conferir",IF(NOT(ISNUMBER(E759)),"Data de recebimento não informada",IF(AND(ISNUMBER(V759),N(V759)&gt;0,E759&lt;N(V759)),"Data anterior à emissão do MTR",IF(AND(J759="Sim",L759="",M759=""),"Conferido sem evidência identificada",IF(J759&lt;&gt;"Sim","Aguardando conferência",IF(INDEX('ITENS_MTR'!$AM$6:$AM$1005,S759)=1,"Conferido (ver diferença no item)","Conferido"))))))))))))</f>
        <v/>
      </c>
      <c r="Q759" s="96">
        <f>IF(COUNTA(C759,E759:G759,I759:O759)&gt;0,1,0)</f>
        <v>0</v>
      </c>
      <c r="R759" s="96" t="str">
        <f>IF(C759="","",TRIM(LEFT(C759,FIND(" |",C759&amp;" |")-1)))</f>
        <v/>
      </c>
      <c r="S759" s="96" t="str">
        <f>IF(R759="","",IFERROR(MATCH(R759,'ITENS_MTR'!$A$6:$A$1005,0),""))</f>
        <v/>
      </c>
      <c r="T759" s="96">
        <f>IF(S759="",0,IF(INDEX('ITENS_MTR'!$R$6:$R$1005,S759)=1,1,0))</f>
        <v>0</v>
      </c>
      <c r="U759" s="96" t="str">
        <f>IF(T759=1,INDEX('ITENS_MTR'!$T$6:$T$1005,S759),"")</f>
        <v/>
      </c>
      <c r="V759" s="97" t="str">
        <f>IF(N(U759)&gt;0,INDEX('MTRs'!$E$6:$E$505,U759),"")</f>
        <v/>
      </c>
      <c r="W759" s="96" t="str">
        <f>IF(G759="","",IFERROR(IF(ISNUMBER(INDEX(cfg_fac,MATCH(G759,cfg_units,0))),IF(INDEX(cfg_fac,MATCH(G759,cfg_units,0))&gt;0,INDEX(cfg_fac,MATCH(G759,cfg_units,0)),""),""),""))</f>
        <v/>
      </c>
      <c r="X759" s="96">
        <f>IF(AND(ISNUMBER(F759),ISNUMBER(H759)),IF(H759&gt;0,1,0),0)</f>
        <v>0</v>
      </c>
      <c r="Y759" s="96">
        <f>IF(Q759=0,0,IF(OR(T759=0,X759=0,NOT(ISNUMBER(E759)),AND(J759="Sim",L759="",M759=""),AND(ISNUMBER(E759),ISNUMBER(V759),N(V759)&gt;0,E759&lt;N(V759))),1,0))</f>
        <v>0</v>
      </c>
      <c r="Z759" s="96">
        <f>IF(AND(Q759=1,T759=1,X759=1,J759="Sim",OR(L759&lt;&gt;"",M759&lt;&gt;"")),1,0)</f>
        <v>0</v>
      </c>
      <c r="AA759" s="96">
        <f>IF(Q759=0,0,IF(AND(OR(r_ini="",AND(ISNUMBER(E759),E759&gt;=r_ini)),OR(r_fim="",AND(ISNUMBER(E759),E759&lt;=r_fim)),OR(r_un="",r_un="(Todas)",IF(N(U759)&gt;0,INDEX('MTRs'!$G$6:$G$505,U759),"")=r_un),OR(r_de="",r_de="(Todos)",D759=r_de)),1,0))</f>
        <v>0</v>
      </c>
      <c r="AB759" s="96" t="str">
        <f>IF(AA759=1,COUNTIF($AA$6:AA759,1),"")</f>
        <v/>
      </c>
    </row>
    <row r="760">
      <c r="A760" s="89" t="inlineStr">
        <is>
          <t>REC-000755</t>
        </is>
      </c>
      <c r="B760" s="94" t="str">
        <f>IF(T760=1,INDEX('ITENS_MTR'!$S$6:$S$1005,S760)&amp;"","")</f>
        <v/>
      </c>
      <c r="C760" s="91" t="n"/>
      <c r="D760" s="94" t="str">
        <f>IF(N(U760)&gt;0,INDEX('MTRs'!$I$6:$I$505,U760)&amp;"","")</f>
        <v/>
      </c>
      <c r="E760" s="92" t="n"/>
      <c r="F760" s="98" t="n"/>
      <c r="G760" s="91" t="n"/>
      <c r="H760" s="93" t="str">
        <f>IF(Q760=0,"",IF(NOT(ISNUMBER(F760)),"",IF(ISNUMBER(W760),F760*W760,"UNIDADE A CONFERIR")))</f>
        <v/>
      </c>
      <c r="I760" s="91" t="n"/>
      <c r="J760" s="91" t="n"/>
      <c r="K760" s="92" t="n"/>
      <c r="L760" s="91" t="n"/>
      <c r="M760" s="91" t="n"/>
      <c r="N760" s="91" t="n"/>
      <c r="O760" s="91" t="n"/>
      <c r="P760" s="94" t="str">
        <f>IF(Q760=0,"",IF(C760="","Item de resíduo não informado",IF(T760=0,"Item inexistente (referência inválida)",IF(NOT(ISNUMBER(F760)),"Quantidade não informada",IF(F760&lt;=0,"Quantidade não positiva",IF(G760="","Unidade não informada",IF(NOT(ISNUMBER(H760)),"Unidade a conferir",IF(NOT(ISNUMBER(E760)),"Data de recebimento não informada",IF(AND(ISNUMBER(V760),N(V760)&gt;0,E760&lt;N(V760)),"Data anterior à emissão do MTR",IF(AND(J760="Sim",L760="",M760=""),"Conferido sem evidência identificada",IF(J760&lt;&gt;"Sim","Aguardando conferência",IF(INDEX('ITENS_MTR'!$AM$6:$AM$1005,S760)=1,"Conferido (ver diferença no item)","Conferido"))))))))))))</f>
        <v/>
      </c>
      <c r="Q760" s="96">
        <f>IF(COUNTA(C760,E760:G760,I760:O760)&gt;0,1,0)</f>
        <v>0</v>
      </c>
      <c r="R760" s="96" t="str">
        <f>IF(C760="","",TRIM(LEFT(C760,FIND(" |",C760&amp;" |")-1)))</f>
        <v/>
      </c>
      <c r="S760" s="96" t="str">
        <f>IF(R760="","",IFERROR(MATCH(R760,'ITENS_MTR'!$A$6:$A$1005,0),""))</f>
        <v/>
      </c>
      <c r="T760" s="96">
        <f>IF(S760="",0,IF(INDEX('ITENS_MTR'!$R$6:$R$1005,S760)=1,1,0))</f>
        <v>0</v>
      </c>
      <c r="U760" s="96" t="str">
        <f>IF(T760=1,INDEX('ITENS_MTR'!$T$6:$T$1005,S760),"")</f>
        <v/>
      </c>
      <c r="V760" s="97" t="str">
        <f>IF(N(U760)&gt;0,INDEX('MTRs'!$E$6:$E$505,U760),"")</f>
        <v/>
      </c>
      <c r="W760" s="96" t="str">
        <f>IF(G760="","",IFERROR(IF(ISNUMBER(INDEX(cfg_fac,MATCH(G760,cfg_units,0))),IF(INDEX(cfg_fac,MATCH(G760,cfg_units,0))&gt;0,INDEX(cfg_fac,MATCH(G760,cfg_units,0)),""),""),""))</f>
        <v/>
      </c>
      <c r="X760" s="96">
        <f>IF(AND(ISNUMBER(F760),ISNUMBER(H760)),IF(H760&gt;0,1,0),0)</f>
        <v>0</v>
      </c>
      <c r="Y760" s="96">
        <f>IF(Q760=0,0,IF(OR(T760=0,X760=0,NOT(ISNUMBER(E760)),AND(J760="Sim",L760="",M760=""),AND(ISNUMBER(E760),ISNUMBER(V760),N(V760)&gt;0,E760&lt;N(V760))),1,0))</f>
        <v>0</v>
      </c>
      <c r="Z760" s="96">
        <f>IF(AND(Q760=1,T760=1,X760=1,J760="Sim",OR(L760&lt;&gt;"",M760&lt;&gt;"")),1,0)</f>
        <v>0</v>
      </c>
      <c r="AA760" s="96">
        <f>IF(Q760=0,0,IF(AND(OR(r_ini="",AND(ISNUMBER(E760),E760&gt;=r_ini)),OR(r_fim="",AND(ISNUMBER(E760),E760&lt;=r_fim)),OR(r_un="",r_un="(Todas)",IF(N(U760)&gt;0,INDEX('MTRs'!$G$6:$G$505,U760),"")=r_un),OR(r_de="",r_de="(Todos)",D760=r_de)),1,0))</f>
        <v>0</v>
      </c>
      <c r="AB760" s="96" t="str">
        <f>IF(AA760=1,COUNTIF($AA$6:AA760,1),"")</f>
        <v/>
      </c>
    </row>
    <row r="761">
      <c r="A761" s="89" t="inlineStr">
        <is>
          <t>REC-000756</t>
        </is>
      </c>
      <c r="B761" s="94" t="str">
        <f>IF(T761=1,INDEX('ITENS_MTR'!$S$6:$S$1005,S761)&amp;"","")</f>
        <v/>
      </c>
      <c r="C761" s="91" t="n"/>
      <c r="D761" s="94" t="str">
        <f>IF(N(U761)&gt;0,INDEX('MTRs'!$I$6:$I$505,U761)&amp;"","")</f>
        <v/>
      </c>
      <c r="E761" s="92" t="n"/>
      <c r="F761" s="98" t="n"/>
      <c r="G761" s="91" t="n"/>
      <c r="H761" s="93" t="str">
        <f>IF(Q761=0,"",IF(NOT(ISNUMBER(F761)),"",IF(ISNUMBER(W761),F761*W761,"UNIDADE A CONFERIR")))</f>
        <v/>
      </c>
      <c r="I761" s="91" t="n"/>
      <c r="J761" s="91" t="n"/>
      <c r="K761" s="92" t="n"/>
      <c r="L761" s="91" t="n"/>
      <c r="M761" s="91" t="n"/>
      <c r="N761" s="91" t="n"/>
      <c r="O761" s="91" t="n"/>
      <c r="P761" s="94" t="str">
        <f>IF(Q761=0,"",IF(C761="","Item de resíduo não informado",IF(T761=0,"Item inexistente (referência inválida)",IF(NOT(ISNUMBER(F761)),"Quantidade não informada",IF(F761&lt;=0,"Quantidade não positiva",IF(G761="","Unidade não informada",IF(NOT(ISNUMBER(H761)),"Unidade a conferir",IF(NOT(ISNUMBER(E761)),"Data de recebimento não informada",IF(AND(ISNUMBER(V761),N(V761)&gt;0,E761&lt;N(V761)),"Data anterior à emissão do MTR",IF(AND(J761="Sim",L761="",M761=""),"Conferido sem evidência identificada",IF(J761&lt;&gt;"Sim","Aguardando conferência",IF(INDEX('ITENS_MTR'!$AM$6:$AM$1005,S761)=1,"Conferido (ver diferença no item)","Conferido"))))))))))))</f>
        <v/>
      </c>
      <c r="Q761" s="96">
        <f>IF(COUNTA(C761,E761:G761,I761:O761)&gt;0,1,0)</f>
        <v>0</v>
      </c>
      <c r="R761" s="96" t="str">
        <f>IF(C761="","",TRIM(LEFT(C761,FIND(" |",C761&amp;" |")-1)))</f>
        <v/>
      </c>
      <c r="S761" s="96" t="str">
        <f>IF(R761="","",IFERROR(MATCH(R761,'ITENS_MTR'!$A$6:$A$1005,0),""))</f>
        <v/>
      </c>
      <c r="T761" s="96">
        <f>IF(S761="",0,IF(INDEX('ITENS_MTR'!$R$6:$R$1005,S761)=1,1,0))</f>
        <v>0</v>
      </c>
      <c r="U761" s="96" t="str">
        <f>IF(T761=1,INDEX('ITENS_MTR'!$T$6:$T$1005,S761),"")</f>
        <v/>
      </c>
      <c r="V761" s="97" t="str">
        <f>IF(N(U761)&gt;0,INDEX('MTRs'!$E$6:$E$505,U761),"")</f>
        <v/>
      </c>
      <c r="W761" s="96" t="str">
        <f>IF(G761="","",IFERROR(IF(ISNUMBER(INDEX(cfg_fac,MATCH(G761,cfg_units,0))),IF(INDEX(cfg_fac,MATCH(G761,cfg_units,0))&gt;0,INDEX(cfg_fac,MATCH(G761,cfg_units,0)),""),""),""))</f>
        <v/>
      </c>
      <c r="X761" s="96">
        <f>IF(AND(ISNUMBER(F761),ISNUMBER(H761)),IF(H761&gt;0,1,0),0)</f>
        <v>0</v>
      </c>
      <c r="Y761" s="96">
        <f>IF(Q761=0,0,IF(OR(T761=0,X761=0,NOT(ISNUMBER(E761)),AND(J761="Sim",L761="",M761=""),AND(ISNUMBER(E761),ISNUMBER(V761),N(V761)&gt;0,E761&lt;N(V761))),1,0))</f>
        <v>0</v>
      </c>
      <c r="Z761" s="96">
        <f>IF(AND(Q761=1,T761=1,X761=1,J761="Sim",OR(L761&lt;&gt;"",M761&lt;&gt;"")),1,0)</f>
        <v>0</v>
      </c>
      <c r="AA761" s="96">
        <f>IF(Q761=0,0,IF(AND(OR(r_ini="",AND(ISNUMBER(E761),E761&gt;=r_ini)),OR(r_fim="",AND(ISNUMBER(E761),E761&lt;=r_fim)),OR(r_un="",r_un="(Todas)",IF(N(U761)&gt;0,INDEX('MTRs'!$G$6:$G$505,U761),"")=r_un),OR(r_de="",r_de="(Todos)",D761=r_de)),1,0))</f>
        <v>0</v>
      </c>
      <c r="AB761" s="96" t="str">
        <f>IF(AA761=1,COUNTIF($AA$6:AA761,1),"")</f>
        <v/>
      </c>
    </row>
    <row r="762">
      <c r="A762" s="89" t="inlineStr">
        <is>
          <t>REC-000757</t>
        </is>
      </c>
      <c r="B762" s="94" t="str">
        <f>IF(T762=1,INDEX('ITENS_MTR'!$S$6:$S$1005,S762)&amp;"","")</f>
        <v/>
      </c>
      <c r="C762" s="91" t="n"/>
      <c r="D762" s="94" t="str">
        <f>IF(N(U762)&gt;0,INDEX('MTRs'!$I$6:$I$505,U762)&amp;"","")</f>
        <v/>
      </c>
      <c r="E762" s="92" t="n"/>
      <c r="F762" s="98" t="n"/>
      <c r="G762" s="91" t="n"/>
      <c r="H762" s="93" t="str">
        <f>IF(Q762=0,"",IF(NOT(ISNUMBER(F762)),"",IF(ISNUMBER(W762),F762*W762,"UNIDADE A CONFERIR")))</f>
        <v/>
      </c>
      <c r="I762" s="91" t="n"/>
      <c r="J762" s="91" t="n"/>
      <c r="K762" s="92" t="n"/>
      <c r="L762" s="91" t="n"/>
      <c r="M762" s="91" t="n"/>
      <c r="N762" s="91" t="n"/>
      <c r="O762" s="91" t="n"/>
      <c r="P762" s="94" t="str">
        <f>IF(Q762=0,"",IF(C762="","Item de resíduo não informado",IF(T762=0,"Item inexistente (referência inválida)",IF(NOT(ISNUMBER(F762)),"Quantidade não informada",IF(F762&lt;=0,"Quantidade não positiva",IF(G762="","Unidade não informada",IF(NOT(ISNUMBER(H762)),"Unidade a conferir",IF(NOT(ISNUMBER(E762)),"Data de recebimento não informada",IF(AND(ISNUMBER(V762),N(V762)&gt;0,E762&lt;N(V762)),"Data anterior à emissão do MTR",IF(AND(J762="Sim",L762="",M762=""),"Conferido sem evidência identificada",IF(J762&lt;&gt;"Sim","Aguardando conferência",IF(INDEX('ITENS_MTR'!$AM$6:$AM$1005,S762)=1,"Conferido (ver diferença no item)","Conferido"))))))))))))</f>
        <v/>
      </c>
      <c r="Q762" s="96">
        <f>IF(COUNTA(C762,E762:G762,I762:O762)&gt;0,1,0)</f>
        <v>0</v>
      </c>
      <c r="R762" s="96" t="str">
        <f>IF(C762="","",TRIM(LEFT(C762,FIND(" |",C762&amp;" |")-1)))</f>
        <v/>
      </c>
      <c r="S762" s="96" t="str">
        <f>IF(R762="","",IFERROR(MATCH(R762,'ITENS_MTR'!$A$6:$A$1005,0),""))</f>
        <v/>
      </c>
      <c r="T762" s="96">
        <f>IF(S762="",0,IF(INDEX('ITENS_MTR'!$R$6:$R$1005,S762)=1,1,0))</f>
        <v>0</v>
      </c>
      <c r="U762" s="96" t="str">
        <f>IF(T762=1,INDEX('ITENS_MTR'!$T$6:$T$1005,S762),"")</f>
        <v/>
      </c>
      <c r="V762" s="97" t="str">
        <f>IF(N(U762)&gt;0,INDEX('MTRs'!$E$6:$E$505,U762),"")</f>
        <v/>
      </c>
      <c r="W762" s="96" t="str">
        <f>IF(G762="","",IFERROR(IF(ISNUMBER(INDEX(cfg_fac,MATCH(G762,cfg_units,0))),IF(INDEX(cfg_fac,MATCH(G762,cfg_units,0))&gt;0,INDEX(cfg_fac,MATCH(G762,cfg_units,0)),""),""),""))</f>
        <v/>
      </c>
      <c r="X762" s="96">
        <f>IF(AND(ISNUMBER(F762),ISNUMBER(H762)),IF(H762&gt;0,1,0),0)</f>
        <v>0</v>
      </c>
      <c r="Y762" s="96">
        <f>IF(Q762=0,0,IF(OR(T762=0,X762=0,NOT(ISNUMBER(E762)),AND(J762="Sim",L762="",M762=""),AND(ISNUMBER(E762),ISNUMBER(V762),N(V762)&gt;0,E762&lt;N(V762))),1,0))</f>
        <v>0</v>
      </c>
      <c r="Z762" s="96">
        <f>IF(AND(Q762=1,T762=1,X762=1,J762="Sim",OR(L762&lt;&gt;"",M762&lt;&gt;"")),1,0)</f>
        <v>0</v>
      </c>
      <c r="AA762" s="96">
        <f>IF(Q762=0,0,IF(AND(OR(r_ini="",AND(ISNUMBER(E762),E762&gt;=r_ini)),OR(r_fim="",AND(ISNUMBER(E762),E762&lt;=r_fim)),OR(r_un="",r_un="(Todas)",IF(N(U762)&gt;0,INDEX('MTRs'!$G$6:$G$505,U762),"")=r_un),OR(r_de="",r_de="(Todos)",D762=r_de)),1,0))</f>
        <v>0</v>
      </c>
      <c r="AB762" s="96" t="str">
        <f>IF(AA762=1,COUNTIF($AA$6:AA762,1),"")</f>
        <v/>
      </c>
    </row>
    <row r="763">
      <c r="A763" s="89" t="inlineStr">
        <is>
          <t>REC-000758</t>
        </is>
      </c>
      <c r="B763" s="94" t="str">
        <f>IF(T763=1,INDEX('ITENS_MTR'!$S$6:$S$1005,S763)&amp;"","")</f>
        <v/>
      </c>
      <c r="C763" s="91" t="n"/>
      <c r="D763" s="94" t="str">
        <f>IF(N(U763)&gt;0,INDEX('MTRs'!$I$6:$I$505,U763)&amp;"","")</f>
        <v/>
      </c>
      <c r="E763" s="92" t="n"/>
      <c r="F763" s="98" t="n"/>
      <c r="G763" s="91" t="n"/>
      <c r="H763" s="93" t="str">
        <f>IF(Q763=0,"",IF(NOT(ISNUMBER(F763)),"",IF(ISNUMBER(W763),F763*W763,"UNIDADE A CONFERIR")))</f>
        <v/>
      </c>
      <c r="I763" s="91" t="n"/>
      <c r="J763" s="91" t="n"/>
      <c r="K763" s="92" t="n"/>
      <c r="L763" s="91" t="n"/>
      <c r="M763" s="91" t="n"/>
      <c r="N763" s="91" t="n"/>
      <c r="O763" s="91" t="n"/>
      <c r="P763" s="94" t="str">
        <f>IF(Q763=0,"",IF(C763="","Item de resíduo não informado",IF(T763=0,"Item inexistente (referência inválida)",IF(NOT(ISNUMBER(F763)),"Quantidade não informada",IF(F763&lt;=0,"Quantidade não positiva",IF(G763="","Unidade não informada",IF(NOT(ISNUMBER(H763)),"Unidade a conferir",IF(NOT(ISNUMBER(E763)),"Data de recebimento não informada",IF(AND(ISNUMBER(V763),N(V763)&gt;0,E763&lt;N(V763)),"Data anterior à emissão do MTR",IF(AND(J763="Sim",L763="",M763=""),"Conferido sem evidência identificada",IF(J763&lt;&gt;"Sim","Aguardando conferência",IF(INDEX('ITENS_MTR'!$AM$6:$AM$1005,S763)=1,"Conferido (ver diferença no item)","Conferido"))))))))))))</f>
        <v/>
      </c>
      <c r="Q763" s="96">
        <f>IF(COUNTA(C763,E763:G763,I763:O763)&gt;0,1,0)</f>
        <v>0</v>
      </c>
      <c r="R763" s="96" t="str">
        <f>IF(C763="","",TRIM(LEFT(C763,FIND(" |",C763&amp;" |")-1)))</f>
        <v/>
      </c>
      <c r="S763" s="96" t="str">
        <f>IF(R763="","",IFERROR(MATCH(R763,'ITENS_MTR'!$A$6:$A$1005,0),""))</f>
        <v/>
      </c>
      <c r="T763" s="96">
        <f>IF(S763="",0,IF(INDEX('ITENS_MTR'!$R$6:$R$1005,S763)=1,1,0))</f>
        <v>0</v>
      </c>
      <c r="U763" s="96" t="str">
        <f>IF(T763=1,INDEX('ITENS_MTR'!$T$6:$T$1005,S763),"")</f>
        <v/>
      </c>
      <c r="V763" s="97" t="str">
        <f>IF(N(U763)&gt;0,INDEX('MTRs'!$E$6:$E$505,U763),"")</f>
        <v/>
      </c>
      <c r="W763" s="96" t="str">
        <f>IF(G763="","",IFERROR(IF(ISNUMBER(INDEX(cfg_fac,MATCH(G763,cfg_units,0))),IF(INDEX(cfg_fac,MATCH(G763,cfg_units,0))&gt;0,INDEX(cfg_fac,MATCH(G763,cfg_units,0)),""),""),""))</f>
        <v/>
      </c>
      <c r="X763" s="96">
        <f>IF(AND(ISNUMBER(F763),ISNUMBER(H763)),IF(H763&gt;0,1,0),0)</f>
        <v>0</v>
      </c>
      <c r="Y763" s="96">
        <f>IF(Q763=0,0,IF(OR(T763=0,X763=0,NOT(ISNUMBER(E763)),AND(J763="Sim",L763="",M763=""),AND(ISNUMBER(E763),ISNUMBER(V763),N(V763)&gt;0,E763&lt;N(V763))),1,0))</f>
        <v>0</v>
      </c>
      <c r="Z763" s="96">
        <f>IF(AND(Q763=1,T763=1,X763=1,J763="Sim",OR(L763&lt;&gt;"",M763&lt;&gt;"")),1,0)</f>
        <v>0</v>
      </c>
      <c r="AA763" s="96">
        <f>IF(Q763=0,0,IF(AND(OR(r_ini="",AND(ISNUMBER(E763),E763&gt;=r_ini)),OR(r_fim="",AND(ISNUMBER(E763),E763&lt;=r_fim)),OR(r_un="",r_un="(Todas)",IF(N(U763)&gt;0,INDEX('MTRs'!$G$6:$G$505,U763),"")=r_un),OR(r_de="",r_de="(Todos)",D763=r_de)),1,0))</f>
        <v>0</v>
      </c>
      <c r="AB763" s="96" t="str">
        <f>IF(AA763=1,COUNTIF($AA$6:AA763,1),"")</f>
        <v/>
      </c>
    </row>
    <row r="764">
      <c r="A764" s="89" t="inlineStr">
        <is>
          <t>REC-000759</t>
        </is>
      </c>
      <c r="B764" s="94" t="str">
        <f>IF(T764=1,INDEX('ITENS_MTR'!$S$6:$S$1005,S764)&amp;"","")</f>
        <v/>
      </c>
      <c r="C764" s="91" t="n"/>
      <c r="D764" s="94" t="str">
        <f>IF(N(U764)&gt;0,INDEX('MTRs'!$I$6:$I$505,U764)&amp;"","")</f>
        <v/>
      </c>
      <c r="E764" s="92" t="n"/>
      <c r="F764" s="98" t="n"/>
      <c r="G764" s="91" t="n"/>
      <c r="H764" s="93" t="str">
        <f>IF(Q764=0,"",IF(NOT(ISNUMBER(F764)),"",IF(ISNUMBER(W764),F764*W764,"UNIDADE A CONFERIR")))</f>
        <v/>
      </c>
      <c r="I764" s="91" t="n"/>
      <c r="J764" s="91" t="n"/>
      <c r="K764" s="92" t="n"/>
      <c r="L764" s="91" t="n"/>
      <c r="M764" s="91" t="n"/>
      <c r="N764" s="91" t="n"/>
      <c r="O764" s="91" t="n"/>
      <c r="P764" s="94" t="str">
        <f>IF(Q764=0,"",IF(C764="","Item de resíduo não informado",IF(T764=0,"Item inexistente (referência inválida)",IF(NOT(ISNUMBER(F764)),"Quantidade não informada",IF(F764&lt;=0,"Quantidade não positiva",IF(G764="","Unidade não informada",IF(NOT(ISNUMBER(H764)),"Unidade a conferir",IF(NOT(ISNUMBER(E764)),"Data de recebimento não informada",IF(AND(ISNUMBER(V764),N(V764)&gt;0,E764&lt;N(V764)),"Data anterior à emissão do MTR",IF(AND(J764="Sim",L764="",M764=""),"Conferido sem evidência identificada",IF(J764&lt;&gt;"Sim","Aguardando conferência",IF(INDEX('ITENS_MTR'!$AM$6:$AM$1005,S764)=1,"Conferido (ver diferença no item)","Conferido"))))))))))))</f>
        <v/>
      </c>
      <c r="Q764" s="96">
        <f>IF(COUNTA(C764,E764:G764,I764:O764)&gt;0,1,0)</f>
        <v>0</v>
      </c>
      <c r="R764" s="96" t="str">
        <f>IF(C764="","",TRIM(LEFT(C764,FIND(" |",C764&amp;" |")-1)))</f>
        <v/>
      </c>
      <c r="S764" s="96" t="str">
        <f>IF(R764="","",IFERROR(MATCH(R764,'ITENS_MTR'!$A$6:$A$1005,0),""))</f>
        <v/>
      </c>
      <c r="T764" s="96">
        <f>IF(S764="",0,IF(INDEX('ITENS_MTR'!$R$6:$R$1005,S764)=1,1,0))</f>
        <v>0</v>
      </c>
      <c r="U764" s="96" t="str">
        <f>IF(T764=1,INDEX('ITENS_MTR'!$T$6:$T$1005,S764),"")</f>
        <v/>
      </c>
      <c r="V764" s="97" t="str">
        <f>IF(N(U764)&gt;0,INDEX('MTRs'!$E$6:$E$505,U764),"")</f>
        <v/>
      </c>
      <c r="W764" s="96" t="str">
        <f>IF(G764="","",IFERROR(IF(ISNUMBER(INDEX(cfg_fac,MATCH(G764,cfg_units,0))),IF(INDEX(cfg_fac,MATCH(G764,cfg_units,0))&gt;0,INDEX(cfg_fac,MATCH(G764,cfg_units,0)),""),""),""))</f>
        <v/>
      </c>
      <c r="X764" s="96">
        <f>IF(AND(ISNUMBER(F764),ISNUMBER(H764)),IF(H764&gt;0,1,0),0)</f>
        <v>0</v>
      </c>
      <c r="Y764" s="96">
        <f>IF(Q764=0,0,IF(OR(T764=0,X764=0,NOT(ISNUMBER(E764)),AND(J764="Sim",L764="",M764=""),AND(ISNUMBER(E764),ISNUMBER(V764),N(V764)&gt;0,E764&lt;N(V764))),1,0))</f>
        <v>0</v>
      </c>
      <c r="Z764" s="96">
        <f>IF(AND(Q764=1,T764=1,X764=1,J764="Sim",OR(L764&lt;&gt;"",M764&lt;&gt;"")),1,0)</f>
        <v>0</v>
      </c>
      <c r="AA764" s="96">
        <f>IF(Q764=0,0,IF(AND(OR(r_ini="",AND(ISNUMBER(E764),E764&gt;=r_ini)),OR(r_fim="",AND(ISNUMBER(E764),E764&lt;=r_fim)),OR(r_un="",r_un="(Todas)",IF(N(U764)&gt;0,INDEX('MTRs'!$G$6:$G$505,U764),"")=r_un),OR(r_de="",r_de="(Todos)",D764=r_de)),1,0))</f>
        <v>0</v>
      </c>
      <c r="AB764" s="96" t="str">
        <f>IF(AA764=1,COUNTIF($AA$6:AA764,1),"")</f>
        <v/>
      </c>
    </row>
    <row r="765">
      <c r="A765" s="89" t="inlineStr">
        <is>
          <t>REC-000760</t>
        </is>
      </c>
      <c r="B765" s="94" t="str">
        <f>IF(T765=1,INDEX('ITENS_MTR'!$S$6:$S$1005,S765)&amp;"","")</f>
        <v/>
      </c>
      <c r="C765" s="91" t="n"/>
      <c r="D765" s="94" t="str">
        <f>IF(N(U765)&gt;0,INDEX('MTRs'!$I$6:$I$505,U765)&amp;"","")</f>
        <v/>
      </c>
      <c r="E765" s="92" t="n"/>
      <c r="F765" s="98" t="n"/>
      <c r="G765" s="91" t="n"/>
      <c r="H765" s="93" t="str">
        <f>IF(Q765=0,"",IF(NOT(ISNUMBER(F765)),"",IF(ISNUMBER(W765),F765*W765,"UNIDADE A CONFERIR")))</f>
        <v/>
      </c>
      <c r="I765" s="91" t="n"/>
      <c r="J765" s="91" t="n"/>
      <c r="K765" s="92" t="n"/>
      <c r="L765" s="91" t="n"/>
      <c r="M765" s="91" t="n"/>
      <c r="N765" s="91" t="n"/>
      <c r="O765" s="91" t="n"/>
      <c r="P765" s="94" t="str">
        <f>IF(Q765=0,"",IF(C765="","Item de resíduo não informado",IF(T765=0,"Item inexistente (referência inválida)",IF(NOT(ISNUMBER(F765)),"Quantidade não informada",IF(F765&lt;=0,"Quantidade não positiva",IF(G765="","Unidade não informada",IF(NOT(ISNUMBER(H765)),"Unidade a conferir",IF(NOT(ISNUMBER(E765)),"Data de recebimento não informada",IF(AND(ISNUMBER(V765),N(V765)&gt;0,E765&lt;N(V765)),"Data anterior à emissão do MTR",IF(AND(J765="Sim",L765="",M765=""),"Conferido sem evidência identificada",IF(J765&lt;&gt;"Sim","Aguardando conferência",IF(INDEX('ITENS_MTR'!$AM$6:$AM$1005,S765)=1,"Conferido (ver diferença no item)","Conferido"))))))))))))</f>
        <v/>
      </c>
      <c r="Q765" s="96">
        <f>IF(COUNTA(C765,E765:G765,I765:O765)&gt;0,1,0)</f>
        <v>0</v>
      </c>
      <c r="R765" s="96" t="str">
        <f>IF(C765="","",TRIM(LEFT(C765,FIND(" |",C765&amp;" |")-1)))</f>
        <v/>
      </c>
      <c r="S765" s="96" t="str">
        <f>IF(R765="","",IFERROR(MATCH(R765,'ITENS_MTR'!$A$6:$A$1005,0),""))</f>
        <v/>
      </c>
      <c r="T765" s="96">
        <f>IF(S765="",0,IF(INDEX('ITENS_MTR'!$R$6:$R$1005,S765)=1,1,0))</f>
        <v>0</v>
      </c>
      <c r="U765" s="96" t="str">
        <f>IF(T765=1,INDEX('ITENS_MTR'!$T$6:$T$1005,S765),"")</f>
        <v/>
      </c>
      <c r="V765" s="97" t="str">
        <f>IF(N(U765)&gt;0,INDEX('MTRs'!$E$6:$E$505,U765),"")</f>
        <v/>
      </c>
      <c r="W765" s="96" t="str">
        <f>IF(G765="","",IFERROR(IF(ISNUMBER(INDEX(cfg_fac,MATCH(G765,cfg_units,0))),IF(INDEX(cfg_fac,MATCH(G765,cfg_units,0))&gt;0,INDEX(cfg_fac,MATCH(G765,cfg_units,0)),""),""),""))</f>
        <v/>
      </c>
      <c r="X765" s="96">
        <f>IF(AND(ISNUMBER(F765),ISNUMBER(H765)),IF(H765&gt;0,1,0),0)</f>
        <v>0</v>
      </c>
      <c r="Y765" s="96">
        <f>IF(Q765=0,0,IF(OR(T765=0,X765=0,NOT(ISNUMBER(E765)),AND(J765="Sim",L765="",M765=""),AND(ISNUMBER(E765),ISNUMBER(V765),N(V765)&gt;0,E765&lt;N(V765))),1,0))</f>
        <v>0</v>
      </c>
      <c r="Z765" s="96">
        <f>IF(AND(Q765=1,T765=1,X765=1,J765="Sim",OR(L765&lt;&gt;"",M765&lt;&gt;"")),1,0)</f>
        <v>0</v>
      </c>
      <c r="AA765" s="96">
        <f>IF(Q765=0,0,IF(AND(OR(r_ini="",AND(ISNUMBER(E765),E765&gt;=r_ini)),OR(r_fim="",AND(ISNUMBER(E765),E765&lt;=r_fim)),OR(r_un="",r_un="(Todas)",IF(N(U765)&gt;0,INDEX('MTRs'!$G$6:$G$505,U765),"")=r_un),OR(r_de="",r_de="(Todos)",D765=r_de)),1,0))</f>
        <v>0</v>
      </c>
      <c r="AB765" s="96" t="str">
        <f>IF(AA765=1,COUNTIF($AA$6:AA765,1),"")</f>
        <v/>
      </c>
    </row>
    <row r="766">
      <c r="A766" s="89" t="inlineStr">
        <is>
          <t>REC-000761</t>
        </is>
      </c>
      <c r="B766" s="94" t="str">
        <f>IF(T766=1,INDEX('ITENS_MTR'!$S$6:$S$1005,S766)&amp;"","")</f>
        <v/>
      </c>
      <c r="C766" s="91" t="n"/>
      <c r="D766" s="94" t="str">
        <f>IF(N(U766)&gt;0,INDEX('MTRs'!$I$6:$I$505,U766)&amp;"","")</f>
        <v/>
      </c>
      <c r="E766" s="92" t="n"/>
      <c r="F766" s="98" t="n"/>
      <c r="G766" s="91" t="n"/>
      <c r="H766" s="93" t="str">
        <f>IF(Q766=0,"",IF(NOT(ISNUMBER(F766)),"",IF(ISNUMBER(W766),F766*W766,"UNIDADE A CONFERIR")))</f>
        <v/>
      </c>
      <c r="I766" s="91" t="n"/>
      <c r="J766" s="91" t="n"/>
      <c r="K766" s="92" t="n"/>
      <c r="L766" s="91" t="n"/>
      <c r="M766" s="91" t="n"/>
      <c r="N766" s="91" t="n"/>
      <c r="O766" s="91" t="n"/>
      <c r="P766" s="94" t="str">
        <f>IF(Q766=0,"",IF(C766="","Item de resíduo não informado",IF(T766=0,"Item inexistente (referência inválida)",IF(NOT(ISNUMBER(F766)),"Quantidade não informada",IF(F766&lt;=0,"Quantidade não positiva",IF(G766="","Unidade não informada",IF(NOT(ISNUMBER(H766)),"Unidade a conferir",IF(NOT(ISNUMBER(E766)),"Data de recebimento não informada",IF(AND(ISNUMBER(V766),N(V766)&gt;0,E766&lt;N(V766)),"Data anterior à emissão do MTR",IF(AND(J766="Sim",L766="",M766=""),"Conferido sem evidência identificada",IF(J766&lt;&gt;"Sim","Aguardando conferência",IF(INDEX('ITENS_MTR'!$AM$6:$AM$1005,S766)=1,"Conferido (ver diferença no item)","Conferido"))))))))))))</f>
        <v/>
      </c>
      <c r="Q766" s="96">
        <f>IF(COUNTA(C766,E766:G766,I766:O766)&gt;0,1,0)</f>
        <v>0</v>
      </c>
      <c r="R766" s="96" t="str">
        <f>IF(C766="","",TRIM(LEFT(C766,FIND(" |",C766&amp;" |")-1)))</f>
        <v/>
      </c>
      <c r="S766" s="96" t="str">
        <f>IF(R766="","",IFERROR(MATCH(R766,'ITENS_MTR'!$A$6:$A$1005,0),""))</f>
        <v/>
      </c>
      <c r="T766" s="96">
        <f>IF(S766="",0,IF(INDEX('ITENS_MTR'!$R$6:$R$1005,S766)=1,1,0))</f>
        <v>0</v>
      </c>
      <c r="U766" s="96" t="str">
        <f>IF(T766=1,INDEX('ITENS_MTR'!$T$6:$T$1005,S766),"")</f>
        <v/>
      </c>
      <c r="V766" s="97" t="str">
        <f>IF(N(U766)&gt;0,INDEX('MTRs'!$E$6:$E$505,U766),"")</f>
        <v/>
      </c>
      <c r="W766" s="96" t="str">
        <f>IF(G766="","",IFERROR(IF(ISNUMBER(INDEX(cfg_fac,MATCH(G766,cfg_units,0))),IF(INDEX(cfg_fac,MATCH(G766,cfg_units,0))&gt;0,INDEX(cfg_fac,MATCH(G766,cfg_units,0)),""),""),""))</f>
        <v/>
      </c>
      <c r="X766" s="96">
        <f>IF(AND(ISNUMBER(F766),ISNUMBER(H766)),IF(H766&gt;0,1,0),0)</f>
        <v>0</v>
      </c>
      <c r="Y766" s="96">
        <f>IF(Q766=0,0,IF(OR(T766=0,X766=0,NOT(ISNUMBER(E766)),AND(J766="Sim",L766="",M766=""),AND(ISNUMBER(E766),ISNUMBER(V766),N(V766)&gt;0,E766&lt;N(V766))),1,0))</f>
        <v>0</v>
      </c>
      <c r="Z766" s="96">
        <f>IF(AND(Q766=1,T766=1,X766=1,J766="Sim",OR(L766&lt;&gt;"",M766&lt;&gt;"")),1,0)</f>
        <v>0</v>
      </c>
      <c r="AA766" s="96">
        <f>IF(Q766=0,0,IF(AND(OR(r_ini="",AND(ISNUMBER(E766),E766&gt;=r_ini)),OR(r_fim="",AND(ISNUMBER(E766),E766&lt;=r_fim)),OR(r_un="",r_un="(Todas)",IF(N(U766)&gt;0,INDEX('MTRs'!$G$6:$G$505,U766),"")=r_un),OR(r_de="",r_de="(Todos)",D766=r_de)),1,0))</f>
        <v>0</v>
      </c>
      <c r="AB766" s="96" t="str">
        <f>IF(AA766=1,COUNTIF($AA$6:AA766,1),"")</f>
        <v/>
      </c>
    </row>
    <row r="767">
      <c r="A767" s="89" t="inlineStr">
        <is>
          <t>REC-000762</t>
        </is>
      </c>
      <c r="B767" s="94" t="str">
        <f>IF(T767=1,INDEX('ITENS_MTR'!$S$6:$S$1005,S767)&amp;"","")</f>
        <v/>
      </c>
      <c r="C767" s="91" t="n"/>
      <c r="D767" s="94" t="str">
        <f>IF(N(U767)&gt;0,INDEX('MTRs'!$I$6:$I$505,U767)&amp;"","")</f>
        <v/>
      </c>
      <c r="E767" s="92" t="n"/>
      <c r="F767" s="98" t="n"/>
      <c r="G767" s="91" t="n"/>
      <c r="H767" s="93" t="str">
        <f>IF(Q767=0,"",IF(NOT(ISNUMBER(F767)),"",IF(ISNUMBER(W767),F767*W767,"UNIDADE A CONFERIR")))</f>
        <v/>
      </c>
      <c r="I767" s="91" t="n"/>
      <c r="J767" s="91" t="n"/>
      <c r="K767" s="92" t="n"/>
      <c r="L767" s="91" t="n"/>
      <c r="M767" s="91" t="n"/>
      <c r="N767" s="91" t="n"/>
      <c r="O767" s="91" t="n"/>
      <c r="P767" s="94" t="str">
        <f>IF(Q767=0,"",IF(C767="","Item de resíduo não informado",IF(T767=0,"Item inexistente (referência inválida)",IF(NOT(ISNUMBER(F767)),"Quantidade não informada",IF(F767&lt;=0,"Quantidade não positiva",IF(G767="","Unidade não informada",IF(NOT(ISNUMBER(H767)),"Unidade a conferir",IF(NOT(ISNUMBER(E767)),"Data de recebimento não informada",IF(AND(ISNUMBER(V767),N(V767)&gt;0,E767&lt;N(V767)),"Data anterior à emissão do MTR",IF(AND(J767="Sim",L767="",M767=""),"Conferido sem evidência identificada",IF(J767&lt;&gt;"Sim","Aguardando conferência",IF(INDEX('ITENS_MTR'!$AM$6:$AM$1005,S767)=1,"Conferido (ver diferença no item)","Conferido"))))))))))))</f>
        <v/>
      </c>
      <c r="Q767" s="96">
        <f>IF(COUNTA(C767,E767:G767,I767:O767)&gt;0,1,0)</f>
        <v>0</v>
      </c>
      <c r="R767" s="96" t="str">
        <f>IF(C767="","",TRIM(LEFT(C767,FIND(" |",C767&amp;" |")-1)))</f>
        <v/>
      </c>
      <c r="S767" s="96" t="str">
        <f>IF(R767="","",IFERROR(MATCH(R767,'ITENS_MTR'!$A$6:$A$1005,0),""))</f>
        <v/>
      </c>
      <c r="T767" s="96">
        <f>IF(S767="",0,IF(INDEX('ITENS_MTR'!$R$6:$R$1005,S767)=1,1,0))</f>
        <v>0</v>
      </c>
      <c r="U767" s="96" t="str">
        <f>IF(T767=1,INDEX('ITENS_MTR'!$T$6:$T$1005,S767),"")</f>
        <v/>
      </c>
      <c r="V767" s="97" t="str">
        <f>IF(N(U767)&gt;0,INDEX('MTRs'!$E$6:$E$505,U767),"")</f>
        <v/>
      </c>
      <c r="W767" s="96" t="str">
        <f>IF(G767="","",IFERROR(IF(ISNUMBER(INDEX(cfg_fac,MATCH(G767,cfg_units,0))),IF(INDEX(cfg_fac,MATCH(G767,cfg_units,0))&gt;0,INDEX(cfg_fac,MATCH(G767,cfg_units,0)),""),""),""))</f>
        <v/>
      </c>
      <c r="X767" s="96">
        <f>IF(AND(ISNUMBER(F767),ISNUMBER(H767)),IF(H767&gt;0,1,0),0)</f>
        <v>0</v>
      </c>
      <c r="Y767" s="96">
        <f>IF(Q767=0,0,IF(OR(T767=0,X767=0,NOT(ISNUMBER(E767)),AND(J767="Sim",L767="",M767=""),AND(ISNUMBER(E767),ISNUMBER(V767),N(V767)&gt;0,E767&lt;N(V767))),1,0))</f>
        <v>0</v>
      </c>
      <c r="Z767" s="96">
        <f>IF(AND(Q767=1,T767=1,X767=1,J767="Sim",OR(L767&lt;&gt;"",M767&lt;&gt;"")),1,0)</f>
        <v>0</v>
      </c>
      <c r="AA767" s="96">
        <f>IF(Q767=0,0,IF(AND(OR(r_ini="",AND(ISNUMBER(E767),E767&gt;=r_ini)),OR(r_fim="",AND(ISNUMBER(E767),E767&lt;=r_fim)),OR(r_un="",r_un="(Todas)",IF(N(U767)&gt;0,INDEX('MTRs'!$G$6:$G$505,U767),"")=r_un),OR(r_de="",r_de="(Todos)",D767=r_de)),1,0))</f>
        <v>0</v>
      </c>
      <c r="AB767" s="96" t="str">
        <f>IF(AA767=1,COUNTIF($AA$6:AA767,1),"")</f>
        <v/>
      </c>
    </row>
    <row r="768">
      <c r="A768" s="89" t="inlineStr">
        <is>
          <t>REC-000763</t>
        </is>
      </c>
      <c r="B768" s="94" t="str">
        <f>IF(T768=1,INDEX('ITENS_MTR'!$S$6:$S$1005,S768)&amp;"","")</f>
        <v/>
      </c>
      <c r="C768" s="91" t="n"/>
      <c r="D768" s="94" t="str">
        <f>IF(N(U768)&gt;0,INDEX('MTRs'!$I$6:$I$505,U768)&amp;"","")</f>
        <v/>
      </c>
      <c r="E768" s="92" t="n"/>
      <c r="F768" s="98" t="n"/>
      <c r="G768" s="91" t="n"/>
      <c r="H768" s="93" t="str">
        <f>IF(Q768=0,"",IF(NOT(ISNUMBER(F768)),"",IF(ISNUMBER(W768),F768*W768,"UNIDADE A CONFERIR")))</f>
        <v/>
      </c>
      <c r="I768" s="91" t="n"/>
      <c r="J768" s="91" t="n"/>
      <c r="K768" s="92" t="n"/>
      <c r="L768" s="91" t="n"/>
      <c r="M768" s="91" t="n"/>
      <c r="N768" s="91" t="n"/>
      <c r="O768" s="91" t="n"/>
      <c r="P768" s="94" t="str">
        <f>IF(Q768=0,"",IF(C768="","Item de resíduo não informado",IF(T768=0,"Item inexistente (referência inválida)",IF(NOT(ISNUMBER(F768)),"Quantidade não informada",IF(F768&lt;=0,"Quantidade não positiva",IF(G768="","Unidade não informada",IF(NOT(ISNUMBER(H768)),"Unidade a conferir",IF(NOT(ISNUMBER(E768)),"Data de recebimento não informada",IF(AND(ISNUMBER(V768),N(V768)&gt;0,E768&lt;N(V768)),"Data anterior à emissão do MTR",IF(AND(J768="Sim",L768="",M768=""),"Conferido sem evidência identificada",IF(J768&lt;&gt;"Sim","Aguardando conferência",IF(INDEX('ITENS_MTR'!$AM$6:$AM$1005,S768)=1,"Conferido (ver diferença no item)","Conferido"))))))))))))</f>
        <v/>
      </c>
      <c r="Q768" s="96">
        <f>IF(COUNTA(C768,E768:G768,I768:O768)&gt;0,1,0)</f>
        <v>0</v>
      </c>
      <c r="R768" s="96" t="str">
        <f>IF(C768="","",TRIM(LEFT(C768,FIND(" |",C768&amp;" |")-1)))</f>
        <v/>
      </c>
      <c r="S768" s="96" t="str">
        <f>IF(R768="","",IFERROR(MATCH(R768,'ITENS_MTR'!$A$6:$A$1005,0),""))</f>
        <v/>
      </c>
      <c r="T768" s="96">
        <f>IF(S768="",0,IF(INDEX('ITENS_MTR'!$R$6:$R$1005,S768)=1,1,0))</f>
        <v>0</v>
      </c>
      <c r="U768" s="96" t="str">
        <f>IF(T768=1,INDEX('ITENS_MTR'!$T$6:$T$1005,S768),"")</f>
        <v/>
      </c>
      <c r="V768" s="97" t="str">
        <f>IF(N(U768)&gt;0,INDEX('MTRs'!$E$6:$E$505,U768),"")</f>
        <v/>
      </c>
      <c r="W768" s="96" t="str">
        <f>IF(G768="","",IFERROR(IF(ISNUMBER(INDEX(cfg_fac,MATCH(G768,cfg_units,0))),IF(INDEX(cfg_fac,MATCH(G768,cfg_units,0))&gt;0,INDEX(cfg_fac,MATCH(G768,cfg_units,0)),""),""),""))</f>
        <v/>
      </c>
      <c r="X768" s="96">
        <f>IF(AND(ISNUMBER(F768),ISNUMBER(H768)),IF(H768&gt;0,1,0),0)</f>
        <v>0</v>
      </c>
      <c r="Y768" s="96">
        <f>IF(Q768=0,0,IF(OR(T768=0,X768=0,NOT(ISNUMBER(E768)),AND(J768="Sim",L768="",M768=""),AND(ISNUMBER(E768),ISNUMBER(V768),N(V768)&gt;0,E768&lt;N(V768))),1,0))</f>
        <v>0</v>
      </c>
      <c r="Z768" s="96">
        <f>IF(AND(Q768=1,T768=1,X768=1,J768="Sim",OR(L768&lt;&gt;"",M768&lt;&gt;"")),1,0)</f>
        <v>0</v>
      </c>
      <c r="AA768" s="96">
        <f>IF(Q768=0,0,IF(AND(OR(r_ini="",AND(ISNUMBER(E768),E768&gt;=r_ini)),OR(r_fim="",AND(ISNUMBER(E768),E768&lt;=r_fim)),OR(r_un="",r_un="(Todas)",IF(N(U768)&gt;0,INDEX('MTRs'!$G$6:$G$505,U768),"")=r_un),OR(r_de="",r_de="(Todos)",D768=r_de)),1,0))</f>
        <v>0</v>
      </c>
      <c r="AB768" s="96" t="str">
        <f>IF(AA768=1,COUNTIF($AA$6:AA768,1),"")</f>
        <v/>
      </c>
    </row>
    <row r="769">
      <c r="A769" s="89" t="inlineStr">
        <is>
          <t>REC-000764</t>
        </is>
      </c>
      <c r="B769" s="94" t="str">
        <f>IF(T769=1,INDEX('ITENS_MTR'!$S$6:$S$1005,S769)&amp;"","")</f>
        <v/>
      </c>
      <c r="C769" s="91" t="n"/>
      <c r="D769" s="94" t="str">
        <f>IF(N(U769)&gt;0,INDEX('MTRs'!$I$6:$I$505,U769)&amp;"","")</f>
        <v/>
      </c>
      <c r="E769" s="92" t="n"/>
      <c r="F769" s="98" t="n"/>
      <c r="G769" s="91" t="n"/>
      <c r="H769" s="93" t="str">
        <f>IF(Q769=0,"",IF(NOT(ISNUMBER(F769)),"",IF(ISNUMBER(W769),F769*W769,"UNIDADE A CONFERIR")))</f>
        <v/>
      </c>
      <c r="I769" s="91" t="n"/>
      <c r="J769" s="91" t="n"/>
      <c r="K769" s="92" t="n"/>
      <c r="L769" s="91" t="n"/>
      <c r="M769" s="91" t="n"/>
      <c r="N769" s="91" t="n"/>
      <c r="O769" s="91" t="n"/>
      <c r="P769" s="94" t="str">
        <f>IF(Q769=0,"",IF(C769="","Item de resíduo não informado",IF(T769=0,"Item inexistente (referência inválida)",IF(NOT(ISNUMBER(F769)),"Quantidade não informada",IF(F769&lt;=0,"Quantidade não positiva",IF(G769="","Unidade não informada",IF(NOT(ISNUMBER(H769)),"Unidade a conferir",IF(NOT(ISNUMBER(E769)),"Data de recebimento não informada",IF(AND(ISNUMBER(V769),N(V769)&gt;0,E769&lt;N(V769)),"Data anterior à emissão do MTR",IF(AND(J769="Sim",L769="",M769=""),"Conferido sem evidência identificada",IF(J769&lt;&gt;"Sim","Aguardando conferência",IF(INDEX('ITENS_MTR'!$AM$6:$AM$1005,S769)=1,"Conferido (ver diferença no item)","Conferido"))))))))))))</f>
        <v/>
      </c>
      <c r="Q769" s="96">
        <f>IF(COUNTA(C769,E769:G769,I769:O769)&gt;0,1,0)</f>
        <v>0</v>
      </c>
      <c r="R769" s="96" t="str">
        <f>IF(C769="","",TRIM(LEFT(C769,FIND(" |",C769&amp;" |")-1)))</f>
        <v/>
      </c>
      <c r="S769" s="96" t="str">
        <f>IF(R769="","",IFERROR(MATCH(R769,'ITENS_MTR'!$A$6:$A$1005,0),""))</f>
        <v/>
      </c>
      <c r="T769" s="96">
        <f>IF(S769="",0,IF(INDEX('ITENS_MTR'!$R$6:$R$1005,S769)=1,1,0))</f>
        <v>0</v>
      </c>
      <c r="U769" s="96" t="str">
        <f>IF(T769=1,INDEX('ITENS_MTR'!$T$6:$T$1005,S769),"")</f>
        <v/>
      </c>
      <c r="V769" s="97" t="str">
        <f>IF(N(U769)&gt;0,INDEX('MTRs'!$E$6:$E$505,U769),"")</f>
        <v/>
      </c>
      <c r="W769" s="96" t="str">
        <f>IF(G769="","",IFERROR(IF(ISNUMBER(INDEX(cfg_fac,MATCH(G769,cfg_units,0))),IF(INDEX(cfg_fac,MATCH(G769,cfg_units,0))&gt;0,INDEX(cfg_fac,MATCH(G769,cfg_units,0)),""),""),""))</f>
        <v/>
      </c>
      <c r="X769" s="96">
        <f>IF(AND(ISNUMBER(F769),ISNUMBER(H769)),IF(H769&gt;0,1,0),0)</f>
        <v>0</v>
      </c>
      <c r="Y769" s="96">
        <f>IF(Q769=0,0,IF(OR(T769=0,X769=0,NOT(ISNUMBER(E769)),AND(J769="Sim",L769="",M769=""),AND(ISNUMBER(E769),ISNUMBER(V769),N(V769)&gt;0,E769&lt;N(V769))),1,0))</f>
        <v>0</v>
      </c>
      <c r="Z769" s="96">
        <f>IF(AND(Q769=1,T769=1,X769=1,J769="Sim",OR(L769&lt;&gt;"",M769&lt;&gt;"")),1,0)</f>
        <v>0</v>
      </c>
      <c r="AA769" s="96">
        <f>IF(Q769=0,0,IF(AND(OR(r_ini="",AND(ISNUMBER(E769),E769&gt;=r_ini)),OR(r_fim="",AND(ISNUMBER(E769),E769&lt;=r_fim)),OR(r_un="",r_un="(Todas)",IF(N(U769)&gt;0,INDEX('MTRs'!$G$6:$G$505,U769),"")=r_un),OR(r_de="",r_de="(Todos)",D769=r_de)),1,0))</f>
        <v>0</v>
      </c>
      <c r="AB769" s="96" t="str">
        <f>IF(AA769=1,COUNTIF($AA$6:AA769,1),"")</f>
        <v/>
      </c>
    </row>
    <row r="770">
      <c r="A770" s="89" t="inlineStr">
        <is>
          <t>REC-000765</t>
        </is>
      </c>
      <c r="B770" s="94" t="str">
        <f>IF(T770=1,INDEX('ITENS_MTR'!$S$6:$S$1005,S770)&amp;"","")</f>
        <v/>
      </c>
      <c r="C770" s="91" t="n"/>
      <c r="D770" s="94" t="str">
        <f>IF(N(U770)&gt;0,INDEX('MTRs'!$I$6:$I$505,U770)&amp;"","")</f>
        <v/>
      </c>
      <c r="E770" s="92" t="n"/>
      <c r="F770" s="98" t="n"/>
      <c r="G770" s="91" t="n"/>
      <c r="H770" s="93" t="str">
        <f>IF(Q770=0,"",IF(NOT(ISNUMBER(F770)),"",IF(ISNUMBER(W770),F770*W770,"UNIDADE A CONFERIR")))</f>
        <v/>
      </c>
      <c r="I770" s="91" t="n"/>
      <c r="J770" s="91" t="n"/>
      <c r="K770" s="92" t="n"/>
      <c r="L770" s="91" t="n"/>
      <c r="M770" s="91" t="n"/>
      <c r="N770" s="91" t="n"/>
      <c r="O770" s="91" t="n"/>
      <c r="P770" s="94" t="str">
        <f>IF(Q770=0,"",IF(C770="","Item de resíduo não informado",IF(T770=0,"Item inexistente (referência inválida)",IF(NOT(ISNUMBER(F770)),"Quantidade não informada",IF(F770&lt;=0,"Quantidade não positiva",IF(G770="","Unidade não informada",IF(NOT(ISNUMBER(H770)),"Unidade a conferir",IF(NOT(ISNUMBER(E770)),"Data de recebimento não informada",IF(AND(ISNUMBER(V770),N(V770)&gt;0,E770&lt;N(V770)),"Data anterior à emissão do MTR",IF(AND(J770="Sim",L770="",M770=""),"Conferido sem evidência identificada",IF(J770&lt;&gt;"Sim","Aguardando conferência",IF(INDEX('ITENS_MTR'!$AM$6:$AM$1005,S770)=1,"Conferido (ver diferença no item)","Conferido"))))))))))))</f>
        <v/>
      </c>
      <c r="Q770" s="96">
        <f>IF(COUNTA(C770,E770:G770,I770:O770)&gt;0,1,0)</f>
        <v>0</v>
      </c>
      <c r="R770" s="96" t="str">
        <f>IF(C770="","",TRIM(LEFT(C770,FIND(" |",C770&amp;" |")-1)))</f>
        <v/>
      </c>
      <c r="S770" s="96" t="str">
        <f>IF(R770="","",IFERROR(MATCH(R770,'ITENS_MTR'!$A$6:$A$1005,0),""))</f>
        <v/>
      </c>
      <c r="T770" s="96">
        <f>IF(S770="",0,IF(INDEX('ITENS_MTR'!$R$6:$R$1005,S770)=1,1,0))</f>
        <v>0</v>
      </c>
      <c r="U770" s="96" t="str">
        <f>IF(T770=1,INDEX('ITENS_MTR'!$T$6:$T$1005,S770),"")</f>
        <v/>
      </c>
      <c r="V770" s="97" t="str">
        <f>IF(N(U770)&gt;0,INDEX('MTRs'!$E$6:$E$505,U770),"")</f>
        <v/>
      </c>
      <c r="W770" s="96" t="str">
        <f>IF(G770="","",IFERROR(IF(ISNUMBER(INDEX(cfg_fac,MATCH(G770,cfg_units,0))),IF(INDEX(cfg_fac,MATCH(G770,cfg_units,0))&gt;0,INDEX(cfg_fac,MATCH(G770,cfg_units,0)),""),""),""))</f>
        <v/>
      </c>
      <c r="X770" s="96">
        <f>IF(AND(ISNUMBER(F770),ISNUMBER(H770)),IF(H770&gt;0,1,0),0)</f>
        <v>0</v>
      </c>
      <c r="Y770" s="96">
        <f>IF(Q770=0,0,IF(OR(T770=0,X770=0,NOT(ISNUMBER(E770)),AND(J770="Sim",L770="",M770=""),AND(ISNUMBER(E770),ISNUMBER(V770),N(V770)&gt;0,E770&lt;N(V770))),1,0))</f>
        <v>0</v>
      </c>
      <c r="Z770" s="96">
        <f>IF(AND(Q770=1,T770=1,X770=1,J770="Sim",OR(L770&lt;&gt;"",M770&lt;&gt;"")),1,0)</f>
        <v>0</v>
      </c>
      <c r="AA770" s="96">
        <f>IF(Q770=0,0,IF(AND(OR(r_ini="",AND(ISNUMBER(E770),E770&gt;=r_ini)),OR(r_fim="",AND(ISNUMBER(E770),E770&lt;=r_fim)),OR(r_un="",r_un="(Todas)",IF(N(U770)&gt;0,INDEX('MTRs'!$G$6:$G$505,U770),"")=r_un),OR(r_de="",r_de="(Todos)",D770=r_de)),1,0))</f>
        <v>0</v>
      </c>
      <c r="AB770" s="96" t="str">
        <f>IF(AA770=1,COUNTIF($AA$6:AA770,1),"")</f>
        <v/>
      </c>
    </row>
    <row r="771">
      <c r="A771" s="89" t="inlineStr">
        <is>
          <t>REC-000766</t>
        </is>
      </c>
      <c r="B771" s="94" t="str">
        <f>IF(T771=1,INDEX('ITENS_MTR'!$S$6:$S$1005,S771)&amp;"","")</f>
        <v/>
      </c>
      <c r="C771" s="91" t="n"/>
      <c r="D771" s="94" t="str">
        <f>IF(N(U771)&gt;0,INDEX('MTRs'!$I$6:$I$505,U771)&amp;"","")</f>
        <v/>
      </c>
      <c r="E771" s="92" t="n"/>
      <c r="F771" s="98" t="n"/>
      <c r="G771" s="91" t="n"/>
      <c r="H771" s="93" t="str">
        <f>IF(Q771=0,"",IF(NOT(ISNUMBER(F771)),"",IF(ISNUMBER(W771),F771*W771,"UNIDADE A CONFERIR")))</f>
        <v/>
      </c>
      <c r="I771" s="91" t="n"/>
      <c r="J771" s="91" t="n"/>
      <c r="K771" s="92" t="n"/>
      <c r="L771" s="91" t="n"/>
      <c r="M771" s="91" t="n"/>
      <c r="N771" s="91" t="n"/>
      <c r="O771" s="91" t="n"/>
      <c r="P771" s="94" t="str">
        <f>IF(Q771=0,"",IF(C771="","Item de resíduo não informado",IF(T771=0,"Item inexistente (referência inválida)",IF(NOT(ISNUMBER(F771)),"Quantidade não informada",IF(F771&lt;=0,"Quantidade não positiva",IF(G771="","Unidade não informada",IF(NOT(ISNUMBER(H771)),"Unidade a conferir",IF(NOT(ISNUMBER(E771)),"Data de recebimento não informada",IF(AND(ISNUMBER(V771),N(V771)&gt;0,E771&lt;N(V771)),"Data anterior à emissão do MTR",IF(AND(J771="Sim",L771="",M771=""),"Conferido sem evidência identificada",IF(J771&lt;&gt;"Sim","Aguardando conferência",IF(INDEX('ITENS_MTR'!$AM$6:$AM$1005,S771)=1,"Conferido (ver diferença no item)","Conferido"))))))))))))</f>
        <v/>
      </c>
      <c r="Q771" s="96">
        <f>IF(COUNTA(C771,E771:G771,I771:O771)&gt;0,1,0)</f>
        <v>0</v>
      </c>
      <c r="R771" s="96" t="str">
        <f>IF(C771="","",TRIM(LEFT(C771,FIND(" |",C771&amp;" |")-1)))</f>
        <v/>
      </c>
      <c r="S771" s="96" t="str">
        <f>IF(R771="","",IFERROR(MATCH(R771,'ITENS_MTR'!$A$6:$A$1005,0),""))</f>
        <v/>
      </c>
      <c r="T771" s="96">
        <f>IF(S771="",0,IF(INDEX('ITENS_MTR'!$R$6:$R$1005,S771)=1,1,0))</f>
        <v>0</v>
      </c>
      <c r="U771" s="96" t="str">
        <f>IF(T771=1,INDEX('ITENS_MTR'!$T$6:$T$1005,S771),"")</f>
        <v/>
      </c>
      <c r="V771" s="97" t="str">
        <f>IF(N(U771)&gt;0,INDEX('MTRs'!$E$6:$E$505,U771),"")</f>
        <v/>
      </c>
      <c r="W771" s="96" t="str">
        <f>IF(G771="","",IFERROR(IF(ISNUMBER(INDEX(cfg_fac,MATCH(G771,cfg_units,0))),IF(INDEX(cfg_fac,MATCH(G771,cfg_units,0))&gt;0,INDEX(cfg_fac,MATCH(G771,cfg_units,0)),""),""),""))</f>
        <v/>
      </c>
      <c r="X771" s="96">
        <f>IF(AND(ISNUMBER(F771),ISNUMBER(H771)),IF(H771&gt;0,1,0),0)</f>
        <v>0</v>
      </c>
      <c r="Y771" s="96">
        <f>IF(Q771=0,0,IF(OR(T771=0,X771=0,NOT(ISNUMBER(E771)),AND(J771="Sim",L771="",M771=""),AND(ISNUMBER(E771),ISNUMBER(V771),N(V771)&gt;0,E771&lt;N(V771))),1,0))</f>
        <v>0</v>
      </c>
      <c r="Z771" s="96">
        <f>IF(AND(Q771=1,T771=1,X771=1,J771="Sim",OR(L771&lt;&gt;"",M771&lt;&gt;"")),1,0)</f>
        <v>0</v>
      </c>
      <c r="AA771" s="96">
        <f>IF(Q771=0,0,IF(AND(OR(r_ini="",AND(ISNUMBER(E771),E771&gt;=r_ini)),OR(r_fim="",AND(ISNUMBER(E771),E771&lt;=r_fim)),OR(r_un="",r_un="(Todas)",IF(N(U771)&gt;0,INDEX('MTRs'!$G$6:$G$505,U771),"")=r_un),OR(r_de="",r_de="(Todos)",D771=r_de)),1,0))</f>
        <v>0</v>
      </c>
      <c r="AB771" s="96" t="str">
        <f>IF(AA771=1,COUNTIF($AA$6:AA771,1),"")</f>
        <v/>
      </c>
    </row>
    <row r="772">
      <c r="A772" s="89" t="inlineStr">
        <is>
          <t>REC-000767</t>
        </is>
      </c>
      <c r="B772" s="94" t="str">
        <f>IF(T772=1,INDEX('ITENS_MTR'!$S$6:$S$1005,S772)&amp;"","")</f>
        <v/>
      </c>
      <c r="C772" s="91" t="n"/>
      <c r="D772" s="94" t="str">
        <f>IF(N(U772)&gt;0,INDEX('MTRs'!$I$6:$I$505,U772)&amp;"","")</f>
        <v/>
      </c>
      <c r="E772" s="92" t="n"/>
      <c r="F772" s="98" t="n"/>
      <c r="G772" s="91" t="n"/>
      <c r="H772" s="93" t="str">
        <f>IF(Q772=0,"",IF(NOT(ISNUMBER(F772)),"",IF(ISNUMBER(W772),F772*W772,"UNIDADE A CONFERIR")))</f>
        <v/>
      </c>
      <c r="I772" s="91" t="n"/>
      <c r="J772" s="91" t="n"/>
      <c r="K772" s="92" t="n"/>
      <c r="L772" s="91" t="n"/>
      <c r="M772" s="91" t="n"/>
      <c r="N772" s="91" t="n"/>
      <c r="O772" s="91" t="n"/>
      <c r="P772" s="94" t="str">
        <f>IF(Q772=0,"",IF(C772="","Item de resíduo não informado",IF(T772=0,"Item inexistente (referência inválida)",IF(NOT(ISNUMBER(F772)),"Quantidade não informada",IF(F772&lt;=0,"Quantidade não positiva",IF(G772="","Unidade não informada",IF(NOT(ISNUMBER(H772)),"Unidade a conferir",IF(NOT(ISNUMBER(E772)),"Data de recebimento não informada",IF(AND(ISNUMBER(V772),N(V772)&gt;0,E772&lt;N(V772)),"Data anterior à emissão do MTR",IF(AND(J772="Sim",L772="",M772=""),"Conferido sem evidência identificada",IF(J772&lt;&gt;"Sim","Aguardando conferência",IF(INDEX('ITENS_MTR'!$AM$6:$AM$1005,S772)=1,"Conferido (ver diferença no item)","Conferido"))))))))))))</f>
        <v/>
      </c>
      <c r="Q772" s="96">
        <f>IF(COUNTA(C772,E772:G772,I772:O772)&gt;0,1,0)</f>
        <v>0</v>
      </c>
      <c r="R772" s="96" t="str">
        <f>IF(C772="","",TRIM(LEFT(C772,FIND(" |",C772&amp;" |")-1)))</f>
        <v/>
      </c>
      <c r="S772" s="96" t="str">
        <f>IF(R772="","",IFERROR(MATCH(R772,'ITENS_MTR'!$A$6:$A$1005,0),""))</f>
        <v/>
      </c>
      <c r="T772" s="96">
        <f>IF(S772="",0,IF(INDEX('ITENS_MTR'!$R$6:$R$1005,S772)=1,1,0))</f>
        <v>0</v>
      </c>
      <c r="U772" s="96" t="str">
        <f>IF(T772=1,INDEX('ITENS_MTR'!$T$6:$T$1005,S772),"")</f>
        <v/>
      </c>
      <c r="V772" s="97" t="str">
        <f>IF(N(U772)&gt;0,INDEX('MTRs'!$E$6:$E$505,U772),"")</f>
        <v/>
      </c>
      <c r="W772" s="96" t="str">
        <f>IF(G772="","",IFERROR(IF(ISNUMBER(INDEX(cfg_fac,MATCH(G772,cfg_units,0))),IF(INDEX(cfg_fac,MATCH(G772,cfg_units,0))&gt;0,INDEX(cfg_fac,MATCH(G772,cfg_units,0)),""),""),""))</f>
        <v/>
      </c>
      <c r="X772" s="96">
        <f>IF(AND(ISNUMBER(F772),ISNUMBER(H772)),IF(H772&gt;0,1,0),0)</f>
        <v>0</v>
      </c>
      <c r="Y772" s="96">
        <f>IF(Q772=0,0,IF(OR(T772=0,X772=0,NOT(ISNUMBER(E772)),AND(J772="Sim",L772="",M772=""),AND(ISNUMBER(E772),ISNUMBER(V772),N(V772)&gt;0,E772&lt;N(V772))),1,0))</f>
        <v>0</v>
      </c>
      <c r="Z772" s="96">
        <f>IF(AND(Q772=1,T772=1,X772=1,J772="Sim",OR(L772&lt;&gt;"",M772&lt;&gt;"")),1,0)</f>
        <v>0</v>
      </c>
      <c r="AA772" s="96">
        <f>IF(Q772=0,0,IF(AND(OR(r_ini="",AND(ISNUMBER(E772),E772&gt;=r_ini)),OR(r_fim="",AND(ISNUMBER(E772),E772&lt;=r_fim)),OR(r_un="",r_un="(Todas)",IF(N(U772)&gt;0,INDEX('MTRs'!$G$6:$G$505,U772),"")=r_un),OR(r_de="",r_de="(Todos)",D772=r_de)),1,0))</f>
        <v>0</v>
      </c>
      <c r="AB772" s="96" t="str">
        <f>IF(AA772=1,COUNTIF($AA$6:AA772,1),"")</f>
        <v/>
      </c>
    </row>
    <row r="773">
      <c r="A773" s="89" t="inlineStr">
        <is>
          <t>REC-000768</t>
        </is>
      </c>
      <c r="B773" s="94" t="str">
        <f>IF(T773=1,INDEX('ITENS_MTR'!$S$6:$S$1005,S773)&amp;"","")</f>
        <v/>
      </c>
      <c r="C773" s="91" t="n"/>
      <c r="D773" s="94" t="str">
        <f>IF(N(U773)&gt;0,INDEX('MTRs'!$I$6:$I$505,U773)&amp;"","")</f>
        <v/>
      </c>
      <c r="E773" s="92" t="n"/>
      <c r="F773" s="98" t="n"/>
      <c r="G773" s="91" t="n"/>
      <c r="H773" s="93" t="str">
        <f>IF(Q773=0,"",IF(NOT(ISNUMBER(F773)),"",IF(ISNUMBER(W773),F773*W773,"UNIDADE A CONFERIR")))</f>
        <v/>
      </c>
      <c r="I773" s="91" t="n"/>
      <c r="J773" s="91" t="n"/>
      <c r="K773" s="92" t="n"/>
      <c r="L773" s="91" t="n"/>
      <c r="M773" s="91" t="n"/>
      <c r="N773" s="91" t="n"/>
      <c r="O773" s="91" t="n"/>
      <c r="P773" s="94" t="str">
        <f>IF(Q773=0,"",IF(C773="","Item de resíduo não informado",IF(T773=0,"Item inexistente (referência inválida)",IF(NOT(ISNUMBER(F773)),"Quantidade não informada",IF(F773&lt;=0,"Quantidade não positiva",IF(G773="","Unidade não informada",IF(NOT(ISNUMBER(H773)),"Unidade a conferir",IF(NOT(ISNUMBER(E773)),"Data de recebimento não informada",IF(AND(ISNUMBER(V773),N(V773)&gt;0,E773&lt;N(V773)),"Data anterior à emissão do MTR",IF(AND(J773="Sim",L773="",M773=""),"Conferido sem evidência identificada",IF(J773&lt;&gt;"Sim","Aguardando conferência",IF(INDEX('ITENS_MTR'!$AM$6:$AM$1005,S773)=1,"Conferido (ver diferença no item)","Conferido"))))))))))))</f>
        <v/>
      </c>
      <c r="Q773" s="96">
        <f>IF(COUNTA(C773,E773:G773,I773:O773)&gt;0,1,0)</f>
        <v>0</v>
      </c>
      <c r="R773" s="96" t="str">
        <f>IF(C773="","",TRIM(LEFT(C773,FIND(" |",C773&amp;" |")-1)))</f>
        <v/>
      </c>
      <c r="S773" s="96" t="str">
        <f>IF(R773="","",IFERROR(MATCH(R773,'ITENS_MTR'!$A$6:$A$1005,0),""))</f>
        <v/>
      </c>
      <c r="T773" s="96">
        <f>IF(S773="",0,IF(INDEX('ITENS_MTR'!$R$6:$R$1005,S773)=1,1,0))</f>
        <v>0</v>
      </c>
      <c r="U773" s="96" t="str">
        <f>IF(T773=1,INDEX('ITENS_MTR'!$T$6:$T$1005,S773),"")</f>
        <v/>
      </c>
      <c r="V773" s="97" t="str">
        <f>IF(N(U773)&gt;0,INDEX('MTRs'!$E$6:$E$505,U773),"")</f>
        <v/>
      </c>
      <c r="W773" s="96" t="str">
        <f>IF(G773="","",IFERROR(IF(ISNUMBER(INDEX(cfg_fac,MATCH(G773,cfg_units,0))),IF(INDEX(cfg_fac,MATCH(G773,cfg_units,0))&gt;0,INDEX(cfg_fac,MATCH(G773,cfg_units,0)),""),""),""))</f>
        <v/>
      </c>
      <c r="X773" s="96">
        <f>IF(AND(ISNUMBER(F773),ISNUMBER(H773)),IF(H773&gt;0,1,0),0)</f>
        <v>0</v>
      </c>
      <c r="Y773" s="96">
        <f>IF(Q773=0,0,IF(OR(T773=0,X773=0,NOT(ISNUMBER(E773)),AND(J773="Sim",L773="",M773=""),AND(ISNUMBER(E773),ISNUMBER(V773),N(V773)&gt;0,E773&lt;N(V773))),1,0))</f>
        <v>0</v>
      </c>
      <c r="Z773" s="96">
        <f>IF(AND(Q773=1,T773=1,X773=1,J773="Sim",OR(L773&lt;&gt;"",M773&lt;&gt;"")),1,0)</f>
        <v>0</v>
      </c>
      <c r="AA773" s="96">
        <f>IF(Q773=0,0,IF(AND(OR(r_ini="",AND(ISNUMBER(E773),E773&gt;=r_ini)),OR(r_fim="",AND(ISNUMBER(E773),E773&lt;=r_fim)),OR(r_un="",r_un="(Todas)",IF(N(U773)&gt;0,INDEX('MTRs'!$G$6:$G$505,U773),"")=r_un),OR(r_de="",r_de="(Todos)",D773=r_de)),1,0))</f>
        <v>0</v>
      </c>
      <c r="AB773" s="96" t="str">
        <f>IF(AA773=1,COUNTIF($AA$6:AA773,1),"")</f>
        <v/>
      </c>
    </row>
    <row r="774">
      <c r="A774" s="89" t="inlineStr">
        <is>
          <t>REC-000769</t>
        </is>
      </c>
      <c r="B774" s="94" t="str">
        <f>IF(T774=1,INDEX('ITENS_MTR'!$S$6:$S$1005,S774)&amp;"","")</f>
        <v/>
      </c>
      <c r="C774" s="91" t="n"/>
      <c r="D774" s="94" t="str">
        <f>IF(N(U774)&gt;0,INDEX('MTRs'!$I$6:$I$505,U774)&amp;"","")</f>
        <v/>
      </c>
      <c r="E774" s="92" t="n"/>
      <c r="F774" s="98" t="n"/>
      <c r="G774" s="91" t="n"/>
      <c r="H774" s="93" t="str">
        <f>IF(Q774=0,"",IF(NOT(ISNUMBER(F774)),"",IF(ISNUMBER(W774),F774*W774,"UNIDADE A CONFERIR")))</f>
        <v/>
      </c>
      <c r="I774" s="91" t="n"/>
      <c r="J774" s="91" t="n"/>
      <c r="K774" s="92" t="n"/>
      <c r="L774" s="91" t="n"/>
      <c r="M774" s="91" t="n"/>
      <c r="N774" s="91" t="n"/>
      <c r="O774" s="91" t="n"/>
      <c r="P774" s="94" t="str">
        <f>IF(Q774=0,"",IF(C774="","Item de resíduo não informado",IF(T774=0,"Item inexistente (referência inválida)",IF(NOT(ISNUMBER(F774)),"Quantidade não informada",IF(F774&lt;=0,"Quantidade não positiva",IF(G774="","Unidade não informada",IF(NOT(ISNUMBER(H774)),"Unidade a conferir",IF(NOT(ISNUMBER(E774)),"Data de recebimento não informada",IF(AND(ISNUMBER(V774),N(V774)&gt;0,E774&lt;N(V774)),"Data anterior à emissão do MTR",IF(AND(J774="Sim",L774="",M774=""),"Conferido sem evidência identificada",IF(J774&lt;&gt;"Sim","Aguardando conferência",IF(INDEX('ITENS_MTR'!$AM$6:$AM$1005,S774)=1,"Conferido (ver diferença no item)","Conferido"))))))))))))</f>
        <v/>
      </c>
      <c r="Q774" s="96">
        <f>IF(COUNTA(C774,E774:G774,I774:O774)&gt;0,1,0)</f>
        <v>0</v>
      </c>
      <c r="R774" s="96" t="str">
        <f>IF(C774="","",TRIM(LEFT(C774,FIND(" |",C774&amp;" |")-1)))</f>
        <v/>
      </c>
      <c r="S774" s="96" t="str">
        <f>IF(R774="","",IFERROR(MATCH(R774,'ITENS_MTR'!$A$6:$A$1005,0),""))</f>
        <v/>
      </c>
      <c r="T774" s="96">
        <f>IF(S774="",0,IF(INDEX('ITENS_MTR'!$R$6:$R$1005,S774)=1,1,0))</f>
        <v>0</v>
      </c>
      <c r="U774" s="96" t="str">
        <f>IF(T774=1,INDEX('ITENS_MTR'!$T$6:$T$1005,S774),"")</f>
        <v/>
      </c>
      <c r="V774" s="97" t="str">
        <f>IF(N(U774)&gt;0,INDEX('MTRs'!$E$6:$E$505,U774),"")</f>
        <v/>
      </c>
      <c r="W774" s="96" t="str">
        <f>IF(G774="","",IFERROR(IF(ISNUMBER(INDEX(cfg_fac,MATCH(G774,cfg_units,0))),IF(INDEX(cfg_fac,MATCH(G774,cfg_units,0))&gt;0,INDEX(cfg_fac,MATCH(G774,cfg_units,0)),""),""),""))</f>
        <v/>
      </c>
      <c r="X774" s="96">
        <f>IF(AND(ISNUMBER(F774),ISNUMBER(H774)),IF(H774&gt;0,1,0),0)</f>
        <v>0</v>
      </c>
      <c r="Y774" s="96">
        <f>IF(Q774=0,0,IF(OR(T774=0,X774=0,NOT(ISNUMBER(E774)),AND(J774="Sim",L774="",M774=""),AND(ISNUMBER(E774),ISNUMBER(V774),N(V774)&gt;0,E774&lt;N(V774))),1,0))</f>
        <v>0</v>
      </c>
      <c r="Z774" s="96">
        <f>IF(AND(Q774=1,T774=1,X774=1,J774="Sim",OR(L774&lt;&gt;"",M774&lt;&gt;"")),1,0)</f>
        <v>0</v>
      </c>
      <c r="AA774" s="96">
        <f>IF(Q774=0,0,IF(AND(OR(r_ini="",AND(ISNUMBER(E774),E774&gt;=r_ini)),OR(r_fim="",AND(ISNUMBER(E774),E774&lt;=r_fim)),OR(r_un="",r_un="(Todas)",IF(N(U774)&gt;0,INDEX('MTRs'!$G$6:$G$505,U774),"")=r_un),OR(r_de="",r_de="(Todos)",D774=r_de)),1,0))</f>
        <v>0</v>
      </c>
      <c r="AB774" s="96" t="str">
        <f>IF(AA774=1,COUNTIF($AA$6:AA774,1),"")</f>
        <v/>
      </c>
    </row>
    <row r="775">
      <c r="A775" s="89" t="inlineStr">
        <is>
          <t>REC-000770</t>
        </is>
      </c>
      <c r="B775" s="94" t="str">
        <f>IF(T775=1,INDEX('ITENS_MTR'!$S$6:$S$1005,S775)&amp;"","")</f>
        <v/>
      </c>
      <c r="C775" s="91" t="n"/>
      <c r="D775" s="94" t="str">
        <f>IF(N(U775)&gt;0,INDEX('MTRs'!$I$6:$I$505,U775)&amp;"","")</f>
        <v/>
      </c>
      <c r="E775" s="92" t="n"/>
      <c r="F775" s="98" t="n"/>
      <c r="G775" s="91" t="n"/>
      <c r="H775" s="93" t="str">
        <f>IF(Q775=0,"",IF(NOT(ISNUMBER(F775)),"",IF(ISNUMBER(W775),F775*W775,"UNIDADE A CONFERIR")))</f>
        <v/>
      </c>
      <c r="I775" s="91" t="n"/>
      <c r="J775" s="91" t="n"/>
      <c r="K775" s="92" t="n"/>
      <c r="L775" s="91" t="n"/>
      <c r="M775" s="91" t="n"/>
      <c r="N775" s="91" t="n"/>
      <c r="O775" s="91" t="n"/>
      <c r="P775" s="94" t="str">
        <f>IF(Q775=0,"",IF(C775="","Item de resíduo não informado",IF(T775=0,"Item inexistente (referência inválida)",IF(NOT(ISNUMBER(F775)),"Quantidade não informada",IF(F775&lt;=0,"Quantidade não positiva",IF(G775="","Unidade não informada",IF(NOT(ISNUMBER(H775)),"Unidade a conferir",IF(NOT(ISNUMBER(E775)),"Data de recebimento não informada",IF(AND(ISNUMBER(V775),N(V775)&gt;0,E775&lt;N(V775)),"Data anterior à emissão do MTR",IF(AND(J775="Sim",L775="",M775=""),"Conferido sem evidência identificada",IF(J775&lt;&gt;"Sim","Aguardando conferência",IF(INDEX('ITENS_MTR'!$AM$6:$AM$1005,S775)=1,"Conferido (ver diferença no item)","Conferido"))))))))))))</f>
        <v/>
      </c>
      <c r="Q775" s="96">
        <f>IF(COUNTA(C775,E775:G775,I775:O775)&gt;0,1,0)</f>
        <v>0</v>
      </c>
      <c r="R775" s="96" t="str">
        <f>IF(C775="","",TRIM(LEFT(C775,FIND(" |",C775&amp;" |")-1)))</f>
        <v/>
      </c>
      <c r="S775" s="96" t="str">
        <f>IF(R775="","",IFERROR(MATCH(R775,'ITENS_MTR'!$A$6:$A$1005,0),""))</f>
        <v/>
      </c>
      <c r="T775" s="96">
        <f>IF(S775="",0,IF(INDEX('ITENS_MTR'!$R$6:$R$1005,S775)=1,1,0))</f>
        <v>0</v>
      </c>
      <c r="U775" s="96" t="str">
        <f>IF(T775=1,INDEX('ITENS_MTR'!$T$6:$T$1005,S775),"")</f>
        <v/>
      </c>
      <c r="V775" s="97" t="str">
        <f>IF(N(U775)&gt;0,INDEX('MTRs'!$E$6:$E$505,U775),"")</f>
        <v/>
      </c>
      <c r="W775" s="96" t="str">
        <f>IF(G775="","",IFERROR(IF(ISNUMBER(INDEX(cfg_fac,MATCH(G775,cfg_units,0))),IF(INDEX(cfg_fac,MATCH(G775,cfg_units,0))&gt;0,INDEX(cfg_fac,MATCH(G775,cfg_units,0)),""),""),""))</f>
        <v/>
      </c>
      <c r="X775" s="96">
        <f>IF(AND(ISNUMBER(F775),ISNUMBER(H775)),IF(H775&gt;0,1,0),0)</f>
        <v>0</v>
      </c>
      <c r="Y775" s="96">
        <f>IF(Q775=0,0,IF(OR(T775=0,X775=0,NOT(ISNUMBER(E775)),AND(J775="Sim",L775="",M775=""),AND(ISNUMBER(E775),ISNUMBER(V775),N(V775)&gt;0,E775&lt;N(V775))),1,0))</f>
        <v>0</v>
      </c>
      <c r="Z775" s="96">
        <f>IF(AND(Q775=1,T775=1,X775=1,J775="Sim",OR(L775&lt;&gt;"",M775&lt;&gt;"")),1,0)</f>
        <v>0</v>
      </c>
      <c r="AA775" s="96">
        <f>IF(Q775=0,0,IF(AND(OR(r_ini="",AND(ISNUMBER(E775),E775&gt;=r_ini)),OR(r_fim="",AND(ISNUMBER(E775),E775&lt;=r_fim)),OR(r_un="",r_un="(Todas)",IF(N(U775)&gt;0,INDEX('MTRs'!$G$6:$G$505,U775),"")=r_un),OR(r_de="",r_de="(Todos)",D775=r_de)),1,0))</f>
        <v>0</v>
      </c>
      <c r="AB775" s="96" t="str">
        <f>IF(AA775=1,COUNTIF($AA$6:AA775,1),"")</f>
        <v/>
      </c>
    </row>
    <row r="776">
      <c r="A776" s="89" t="inlineStr">
        <is>
          <t>REC-000771</t>
        </is>
      </c>
      <c r="B776" s="94" t="str">
        <f>IF(T776=1,INDEX('ITENS_MTR'!$S$6:$S$1005,S776)&amp;"","")</f>
        <v/>
      </c>
      <c r="C776" s="91" t="n"/>
      <c r="D776" s="94" t="str">
        <f>IF(N(U776)&gt;0,INDEX('MTRs'!$I$6:$I$505,U776)&amp;"","")</f>
        <v/>
      </c>
      <c r="E776" s="92" t="n"/>
      <c r="F776" s="98" t="n"/>
      <c r="G776" s="91" t="n"/>
      <c r="H776" s="93" t="str">
        <f>IF(Q776=0,"",IF(NOT(ISNUMBER(F776)),"",IF(ISNUMBER(W776),F776*W776,"UNIDADE A CONFERIR")))</f>
        <v/>
      </c>
      <c r="I776" s="91" t="n"/>
      <c r="J776" s="91" t="n"/>
      <c r="K776" s="92" t="n"/>
      <c r="L776" s="91" t="n"/>
      <c r="M776" s="91" t="n"/>
      <c r="N776" s="91" t="n"/>
      <c r="O776" s="91" t="n"/>
      <c r="P776" s="94" t="str">
        <f>IF(Q776=0,"",IF(C776="","Item de resíduo não informado",IF(T776=0,"Item inexistente (referência inválida)",IF(NOT(ISNUMBER(F776)),"Quantidade não informada",IF(F776&lt;=0,"Quantidade não positiva",IF(G776="","Unidade não informada",IF(NOT(ISNUMBER(H776)),"Unidade a conferir",IF(NOT(ISNUMBER(E776)),"Data de recebimento não informada",IF(AND(ISNUMBER(V776),N(V776)&gt;0,E776&lt;N(V776)),"Data anterior à emissão do MTR",IF(AND(J776="Sim",L776="",M776=""),"Conferido sem evidência identificada",IF(J776&lt;&gt;"Sim","Aguardando conferência",IF(INDEX('ITENS_MTR'!$AM$6:$AM$1005,S776)=1,"Conferido (ver diferença no item)","Conferido"))))))))))))</f>
        <v/>
      </c>
      <c r="Q776" s="96">
        <f>IF(COUNTA(C776,E776:G776,I776:O776)&gt;0,1,0)</f>
        <v>0</v>
      </c>
      <c r="R776" s="96" t="str">
        <f>IF(C776="","",TRIM(LEFT(C776,FIND(" |",C776&amp;" |")-1)))</f>
        <v/>
      </c>
      <c r="S776" s="96" t="str">
        <f>IF(R776="","",IFERROR(MATCH(R776,'ITENS_MTR'!$A$6:$A$1005,0),""))</f>
        <v/>
      </c>
      <c r="T776" s="96">
        <f>IF(S776="",0,IF(INDEX('ITENS_MTR'!$R$6:$R$1005,S776)=1,1,0))</f>
        <v>0</v>
      </c>
      <c r="U776" s="96" t="str">
        <f>IF(T776=1,INDEX('ITENS_MTR'!$T$6:$T$1005,S776),"")</f>
        <v/>
      </c>
      <c r="V776" s="97" t="str">
        <f>IF(N(U776)&gt;0,INDEX('MTRs'!$E$6:$E$505,U776),"")</f>
        <v/>
      </c>
      <c r="W776" s="96" t="str">
        <f>IF(G776="","",IFERROR(IF(ISNUMBER(INDEX(cfg_fac,MATCH(G776,cfg_units,0))),IF(INDEX(cfg_fac,MATCH(G776,cfg_units,0))&gt;0,INDEX(cfg_fac,MATCH(G776,cfg_units,0)),""),""),""))</f>
        <v/>
      </c>
      <c r="X776" s="96">
        <f>IF(AND(ISNUMBER(F776),ISNUMBER(H776)),IF(H776&gt;0,1,0),0)</f>
        <v>0</v>
      </c>
      <c r="Y776" s="96">
        <f>IF(Q776=0,0,IF(OR(T776=0,X776=0,NOT(ISNUMBER(E776)),AND(J776="Sim",L776="",M776=""),AND(ISNUMBER(E776),ISNUMBER(V776),N(V776)&gt;0,E776&lt;N(V776))),1,0))</f>
        <v>0</v>
      </c>
      <c r="Z776" s="96">
        <f>IF(AND(Q776=1,T776=1,X776=1,J776="Sim",OR(L776&lt;&gt;"",M776&lt;&gt;"")),1,0)</f>
        <v>0</v>
      </c>
      <c r="AA776" s="96">
        <f>IF(Q776=0,0,IF(AND(OR(r_ini="",AND(ISNUMBER(E776),E776&gt;=r_ini)),OR(r_fim="",AND(ISNUMBER(E776),E776&lt;=r_fim)),OR(r_un="",r_un="(Todas)",IF(N(U776)&gt;0,INDEX('MTRs'!$G$6:$G$505,U776),"")=r_un),OR(r_de="",r_de="(Todos)",D776=r_de)),1,0))</f>
        <v>0</v>
      </c>
      <c r="AB776" s="96" t="str">
        <f>IF(AA776=1,COUNTIF($AA$6:AA776,1),"")</f>
        <v/>
      </c>
    </row>
    <row r="777">
      <c r="A777" s="89" t="inlineStr">
        <is>
          <t>REC-000772</t>
        </is>
      </c>
      <c r="B777" s="94" t="str">
        <f>IF(T777=1,INDEX('ITENS_MTR'!$S$6:$S$1005,S777)&amp;"","")</f>
        <v/>
      </c>
      <c r="C777" s="91" t="n"/>
      <c r="D777" s="94" t="str">
        <f>IF(N(U777)&gt;0,INDEX('MTRs'!$I$6:$I$505,U777)&amp;"","")</f>
        <v/>
      </c>
      <c r="E777" s="92" t="n"/>
      <c r="F777" s="98" t="n"/>
      <c r="G777" s="91" t="n"/>
      <c r="H777" s="93" t="str">
        <f>IF(Q777=0,"",IF(NOT(ISNUMBER(F777)),"",IF(ISNUMBER(W777),F777*W777,"UNIDADE A CONFERIR")))</f>
        <v/>
      </c>
      <c r="I777" s="91" t="n"/>
      <c r="J777" s="91" t="n"/>
      <c r="K777" s="92" t="n"/>
      <c r="L777" s="91" t="n"/>
      <c r="M777" s="91" t="n"/>
      <c r="N777" s="91" t="n"/>
      <c r="O777" s="91" t="n"/>
      <c r="P777" s="94" t="str">
        <f>IF(Q777=0,"",IF(C777="","Item de resíduo não informado",IF(T777=0,"Item inexistente (referência inválida)",IF(NOT(ISNUMBER(F777)),"Quantidade não informada",IF(F777&lt;=0,"Quantidade não positiva",IF(G777="","Unidade não informada",IF(NOT(ISNUMBER(H777)),"Unidade a conferir",IF(NOT(ISNUMBER(E777)),"Data de recebimento não informada",IF(AND(ISNUMBER(V777),N(V777)&gt;0,E777&lt;N(V777)),"Data anterior à emissão do MTR",IF(AND(J777="Sim",L777="",M777=""),"Conferido sem evidência identificada",IF(J777&lt;&gt;"Sim","Aguardando conferência",IF(INDEX('ITENS_MTR'!$AM$6:$AM$1005,S777)=1,"Conferido (ver diferença no item)","Conferido"))))))))))))</f>
        <v/>
      </c>
      <c r="Q777" s="96">
        <f>IF(COUNTA(C777,E777:G777,I777:O777)&gt;0,1,0)</f>
        <v>0</v>
      </c>
      <c r="R777" s="96" t="str">
        <f>IF(C777="","",TRIM(LEFT(C777,FIND(" |",C777&amp;" |")-1)))</f>
        <v/>
      </c>
      <c r="S777" s="96" t="str">
        <f>IF(R777="","",IFERROR(MATCH(R777,'ITENS_MTR'!$A$6:$A$1005,0),""))</f>
        <v/>
      </c>
      <c r="T777" s="96">
        <f>IF(S777="",0,IF(INDEX('ITENS_MTR'!$R$6:$R$1005,S777)=1,1,0))</f>
        <v>0</v>
      </c>
      <c r="U777" s="96" t="str">
        <f>IF(T777=1,INDEX('ITENS_MTR'!$T$6:$T$1005,S777),"")</f>
        <v/>
      </c>
      <c r="V777" s="97" t="str">
        <f>IF(N(U777)&gt;0,INDEX('MTRs'!$E$6:$E$505,U777),"")</f>
        <v/>
      </c>
      <c r="W777" s="96" t="str">
        <f>IF(G777="","",IFERROR(IF(ISNUMBER(INDEX(cfg_fac,MATCH(G777,cfg_units,0))),IF(INDEX(cfg_fac,MATCH(G777,cfg_units,0))&gt;0,INDEX(cfg_fac,MATCH(G777,cfg_units,0)),""),""),""))</f>
        <v/>
      </c>
      <c r="X777" s="96">
        <f>IF(AND(ISNUMBER(F777),ISNUMBER(H777)),IF(H777&gt;0,1,0),0)</f>
        <v>0</v>
      </c>
      <c r="Y777" s="96">
        <f>IF(Q777=0,0,IF(OR(T777=0,X777=0,NOT(ISNUMBER(E777)),AND(J777="Sim",L777="",M777=""),AND(ISNUMBER(E777),ISNUMBER(V777),N(V777)&gt;0,E777&lt;N(V777))),1,0))</f>
        <v>0</v>
      </c>
      <c r="Z777" s="96">
        <f>IF(AND(Q777=1,T777=1,X777=1,J777="Sim",OR(L777&lt;&gt;"",M777&lt;&gt;"")),1,0)</f>
        <v>0</v>
      </c>
      <c r="AA777" s="96">
        <f>IF(Q777=0,0,IF(AND(OR(r_ini="",AND(ISNUMBER(E777),E777&gt;=r_ini)),OR(r_fim="",AND(ISNUMBER(E777),E777&lt;=r_fim)),OR(r_un="",r_un="(Todas)",IF(N(U777)&gt;0,INDEX('MTRs'!$G$6:$G$505,U777),"")=r_un),OR(r_de="",r_de="(Todos)",D777=r_de)),1,0))</f>
        <v>0</v>
      </c>
      <c r="AB777" s="96" t="str">
        <f>IF(AA777=1,COUNTIF($AA$6:AA777,1),"")</f>
        <v/>
      </c>
    </row>
    <row r="778">
      <c r="A778" s="89" t="inlineStr">
        <is>
          <t>REC-000773</t>
        </is>
      </c>
      <c r="B778" s="94" t="str">
        <f>IF(T778=1,INDEX('ITENS_MTR'!$S$6:$S$1005,S778)&amp;"","")</f>
        <v/>
      </c>
      <c r="C778" s="91" t="n"/>
      <c r="D778" s="94" t="str">
        <f>IF(N(U778)&gt;0,INDEX('MTRs'!$I$6:$I$505,U778)&amp;"","")</f>
        <v/>
      </c>
      <c r="E778" s="92" t="n"/>
      <c r="F778" s="98" t="n"/>
      <c r="G778" s="91" t="n"/>
      <c r="H778" s="93" t="str">
        <f>IF(Q778=0,"",IF(NOT(ISNUMBER(F778)),"",IF(ISNUMBER(W778),F778*W778,"UNIDADE A CONFERIR")))</f>
        <v/>
      </c>
      <c r="I778" s="91" t="n"/>
      <c r="J778" s="91" t="n"/>
      <c r="K778" s="92" t="n"/>
      <c r="L778" s="91" t="n"/>
      <c r="M778" s="91" t="n"/>
      <c r="N778" s="91" t="n"/>
      <c r="O778" s="91" t="n"/>
      <c r="P778" s="94" t="str">
        <f>IF(Q778=0,"",IF(C778="","Item de resíduo não informado",IF(T778=0,"Item inexistente (referência inválida)",IF(NOT(ISNUMBER(F778)),"Quantidade não informada",IF(F778&lt;=0,"Quantidade não positiva",IF(G778="","Unidade não informada",IF(NOT(ISNUMBER(H778)),"Unidade a conferir",IF(NOT(ISNUMBER(E778)),"Data de recebimento não informada",IF(AND(ISNUMBER(V778),N(V778)&gt;0,E778&lt;N(V778)),"Data anterior à emissão do MTR",IF(AND(J778="Sim",L778="",M778=""),"Conferido sem evidência identificada",IF(J778&lt;&gt;"Sim","Aguardando conferência",IF(INDEX('ITENS_MTR'!$AM$6:$AM$1005,S778)=1,"Conferido (ver diferença no item)","Conferido"))))))))))))</f>
        <v/>
      </c>
      <c r="Q778" s="96">
        <f>IF(COUNTA(C778,E778:G778,I778:O778)&gt;0,1,0)</f>
        <v>0</v>
      </c>
      <c r="R778" s="96" t="str">
        <f>IF(C778="","",TRIM(LEFT(C778,FIND(" |",C778&amp;" |")-1)))</f>
        <v/>
      </c>
      <c r="S778" s="96" t="str">
        <f>IF(R778="","",IFERROR(MATCH(R778,'ITENS_MTR'!$A$6:$A$1005,0),""))</f>
        <v/>
      </c>
      <c r="T778" s="96">
        <f>IF(S778="",0,IF(INDEX('ITENS_MTR'!$R$6:$R$1005,S778)=1,1,0))</f>
        <v>0</v>
      </c>
      <c r="U778" s="96" t="str">
        <f>IF(T778=1,INDEX('ITENS_MTR'!$T$6:$T$1005,S778),"")</f>
        <v/>
      </c>
      <c r="V778" s="97" t="str">
        <f>IF(N(U778)&gt;0,INDEX('MTRs'!$E$6:$E$505,U778),"")</f>
        <v/>
      </c>
      <c r="W778" s="96" t="str">
        <f>IF(G778="","",IFERROR(IF(ISNUMBER(INDEX(cfg_fac,MATCH(G778,cfg_units,0))),IF(INDEX(cfg_fac,MATCH(G778,cfg_units,0))&gt;0,INDEX(cfg_fac,MATCH(G778,cfg_units,0)),""),""),""))</f>
        <v/>
      </c>
      <c r="X778" s="96">
        <f>IF(AND(ISNUMBER(F778),ISNUMBER(H778)),IF(H778&gt;0,1,0),0)</f>
        <v>0</v>
      </c>
      <c r="Y778" s="96">
        <f>IF(Q778=0,0,IF(OR(T778=0,X778=0,NOT(ISNUMBER(E778)),AND(J778="Sim",L778="",M778=""),AND(ISNUMBER(E778),ISNUMBER(V778),N(V778)&gt;0,E778&lt;N(V778))),1,0))</f>
        <v>0</v>
      </c>
      <c r="Z778" s="96">
        <f>IF(AND(Q778=1,T778=1,X778=1,J778="Sim",OR(L778&lt;&gt;"",M778&lt;&gt;"")),1,0)</f>
        <v>0</v>
      </c>
      <c r="AA778" s="96">
        <f>IF(Q778=0,0,IF(AND(OR(r_ini="",AND(ISNUMBER(E778),E778&gt;=r_ini)),OR(r_fim="",AND(ISNUMBER(E778),E778&lt;=r_fim)),OR(r_un="",r_un="(Todas)",IF(N(U778)&gt;0,INDEX('MTRs'!$G$6:$G$505,U778),"")=r_un),OR(r_de="",r_de="(Todos)",D778=r_de)),1,0))</f>
        <v>0</v>
      </c>
      <c r="AB778" s="96" t="str">
        <f>IF(AA778=1,COUNTIF($AA$6:AA778,1),"")</f>
        <v/>
      </c>
    </row>
    <row r="779">
      <c r="A779" s="89" t="inlineStr">
        <is>
          <t>REC-000774</t>
        </is>
      </c>
      <c r="B779" s="94" t="str">
        <f>IF(T779=1,INDEX('ITENS_MTR'!$S$6:$S$1005,S779)&amp;"","")</f>
        <v/>
      </c>
      <c r="C779" s="91" t="n"/>
      <c r="D779" s="94" t="str">
        <f>IF(N(U779)&gt;0,INDEX('MTRs'!$I$6:$I$505,U779)&amp;"","")</f>
        <v/>
      </c>
      <c r="E779" s="92" t="n"/>
      <c r="F779" s="98" t="n"/>
      <c r="G779" s="91" t="n"/>
      <c r="H779" s="93" t="str">
        <f>IF(Q779=0,"",IF(NOT(ISNUMBER(F779)),"",IF(ISNUMBER(W779),F779*W779,"UNIDADE A CONFERIR")))</f>
        <v/>
      </c>
      <c r="I779" s="91" t="n"/>
      <c r="J779" s="91" t="n"/>
      <c r="K779" s="92" t="n"/>
      <c r="L779" s="91" t="n"/>
      <c r="M779" s="91" t="n"/>
      <c r="N779" s="91" t="n"/>
      <c r="O779" s="91" t="n"/>
      <c r="P779" s="94" t="str">
        <f>IF(Q779=0,"",IF(C779="","Item de resíduo não informado",IF(T779=0,"Item inexistente (referência inválida)",IF(NOT(ISNUMBER(F779)),"Quantidade não informada",IF(F779&lt;=0,"Quantidade não positiva",IF(G779="","Unidade não informada",IF(NOT(ISNUMBER(H779)),"Unidade a conferir",IF(NOT(ISNUMBER(E779)),"Data de recebimento não informada",IF(AND(ISNUMBER(V779),N(V779)&gt;0,E779&lt;N(V779)),"Data anterior à emissão do MTR",IF(AND(J779="Sim",L779="",M779=""),"Conferido sem evidência identificada",IF(J779&lt;&gt;"Sim","Aguardando conferência",IF(INDEX('ITENS_MTR'!$AM$6:$AM$1005,S779)=1,"Conferido (ver diferença no item)","Conferido"))))))))))))</f>
        <v/>
      </c>
      <c r="Q779" s="96">
        <f>IF(COUNTA(C779,E779:G779,I779:O779)&gt;0,1,0)</f>
        <v>0</v>
      </c>
      <c r="R779" s="96" t="str">
        <f>IF(C779="","",TRIM(LEFT(C779,FIND(" |",C779&amp;" |")-1)))</f>
        <v/>
      </c>
      <c r="S779" s="96" t="str">
        <f>IF(R779="","",IFERROR(MATCH(R779,'ITENS_MTR'!$A$6:$A$1005,0),""))</f>
        <v/>
      </c>
      <c r="T779" s="96">
        <f>IF(S779="",0,IF(INDEX('ITENS_MTR'!$R$6:$R$1005,S779)=1,1,0))</f>
        <v>0</v>
      </c>
      <c r="U779" s="96" t="str">
        <f>IF(T779=1,INDEX('ITENS_MTR'!$T$6:$T$1005,S779),"")</f>
        <v/>
      </c>
      <c r="V779" s="97" t="str">
        <f>IF(N(U779)&gt;0,INDEX('MTRs'!$E$6:$E$505,U779),"")</f>
        <v/>
      </c>
      <c r="W779" s="96" t="str">
        <f>IF(G779="","",IFERROR(IF(ISNUMBER(INDEX(cfg_fac,MATCH(G779,cfg_units,0))),IF(INDEX(cfg_fac,MATCH(G779,cfg_units,0))&gt;0,INDEX(cfg_fac,MATCH(G779,cfg_units,0)),""),""),""))</f>
        <v/>
      </c>
      <c r="X779" s="96">
        <f>IF(AND(ISNUMBER(F779),ISNUMBER(H779)),IF(H779&gt;0,1,0),0)</f>
        <v>0</v>
      </c>
      <c r="Y779" s="96">
        <f>IF(Q779=0,0,IF(OR(T779=0,X779=0,NOT(ISNUMBER(E779)),AND(J779="Sim",L779="",M779=""),AND(ISNUMBER(E779),ISNUMBER(V779),N(V779)&gt;0,E779&lt;N(V779))),1,0))</f>
        <v>0</v>
      </c>
      <c r="Z779" s="96">
        <f>IF(AND(Q779=1,T779=1,X779=1,J779="Sim",OR(L779&lt;&gt;"",M779&lt;&gt;"")),1,0)</f>
        <v>0</v>
      </c>
      <c r="AA779" s="96">
        <f>IF(Q779=0,0,IF(AND(OR(r_ini="",AND(ISNUMBER(E779),E779&gt;=r_ini)),OR(r_fim="",AND(ISNUMBER(E779),E779&lt;=r_fim)),OR(r_un="",r_un="(Todas)",IF(N(U779)&gt;0,INDEX('MTRs'!$G$6:$G$505,U779),"")=r_un),OR(r_de="",r_de="(Todos)",D779=r_de)),1,0))</f>
        <v>0</v>
      </c>
      <c r="AB779" s="96" t="str">
        <f>IF(AA779=1,COUNTIF($AA$6:AA779,1),"")</f>
        <v/>
      </c>
    </row>
    <row r="780">
      <c r="A780" s="89" t="inlineStr">
        <is>
          <t>REC-000775</t>
        </is>
      </c>
      <c r="B780" s="94" t="str">
        <f>IF(T780=1,INDEX('ITENS_MTR'!$S$6:$S$1005,S780)&amp;"","")</f>
        <v/>
      </c>
      <c r="C780" s="91" t="n"/>
      <c r="D780" s="94" t="str">
        <f>IF(N(U780)&gt;0,INDEX('MTRs'!$I$6:$I$505,U780)&amp;"","")</f>
        <v/>
      </c>
      <c r="E780" s="92" t="n"/>
      <c r="F780" s="98" t="n"/>
      <c r="G780" s="91" t="n"/>
      <c r="H780" s="93" t="str">
        <f>IF(Q780=0,"",IF(NOT(ISNUMBER(F780)),"",IF(ISNUMBER(W780),F780*W780,"UNIDADE A CONFERIR")))</f>
        <v/>
      </c>
      <c r="I780" s="91" t="n"/>
      <c r="J780" s="91" t="n"/>
      <c r="K780" s="92" t="n"/>
      <c r="L780" s="91" t="n"/>
      <c r="M780" s="91" t="n"/>
      <c r="N780" s="91" t="n"/>
      <c r="O780" s="91" t="n"/>
      <c r="P780" s="94" t="str">
        <f>IF(Q780=0,"",IF(C780="","Item de resíduo não informado",IF(T780=0,"Item inexistente (referência inválida)",IF(NOT(ISNUMBER(F780)),"Quantidade não informada",IF(F780&lt;=0,"Quantidade não positiva",IF(G780="","Unidade não informada",IF(NOT(ISNUMBER(H780)),"Unidade a conferir",IF(NOT(ISNUMBER(E780)),"Data de recebimento não informada",IF(AND(ISNUMBER(V780),N(V780)&gt;0,E780&lt;N(V780)),"Data anterior à emissão do MTR",IF(AND(J780="Sim",L780="",M780=""),"Conferido sem evidência identificada",IF(J780&lt;&gt;"Sim","Aguardando conferência",IF(INDEX('ITENS_MTR'!$AM$6:$AM$1005,S780)=1,"Conferido (ver diferença no item)","Conferido"))))))))))))</f>
        <v/>
      </c>
      <c r="Q780" s="96">
        <f>IF(COUNTA(C780,E780:G780,I780:O780)&gt;0,1,0)</f>
        <v>0</v>
      </c>
      <c r="R780" s="96" t="str">
        <f>IF(C780="","",TRIM(LEFT(C780,FIND(" |",C780&amp;" |")-1)))</f>
        <v/>
      </c>
      <c r="S780" s="96" t="str">
        <f>IF(R780="","",IFERROR(MATCH(R780,'ITENS_MTR'!$A$6:$A$1005,0),""))</f>
        <v/>
      </c>
      <c r="T780" s="96">
        <f>IF(S780="",0,IF(INDEX('ITENS_MTR'!$R$6:$R$1005,S780)=1,1,0))</f>
        <v>0</v>
      </c>
      <c r="U780" s="96" t="str">
        <f>IF(T780=1,INDEX('ITENS_MTR'!$T$6:$T$1005,S780),"")</f>
        <v/>
      </c>
      <c r="V780" s="97" t="str">
        <f>IF(N(U780)&gt;0,INDEX('MTRs'!$E$6:$E$505,U780),"")</f>
        <v/>
      </c>
      <c r="W780" s="96" t="str">
        <f>IF(G780="","",IFERROR(IF(ISNUMBER(INDEX(cfg_fac,MATCH(G780,cfg_units,0))),IF(INDEX(cfg_fac,MATCH(G780,cfg_units,0))&gt;0,INDEX(cfg_fac,MATCH(G780,cfg_units,0)),""),""),""))</f>
        <v/>
      </c>
      <c r="X780" s="96">
        <f>IF(AND(ISNUMBER(F780),ISNUMBER(H780)),IF(H780&gt;0,1,0),0)</f>
        <v>0</v>
      </c>
      <c r="Y780" s="96">
        <f>IF(Q780=0,0,IF(OR(T780=0,X780=0,NOT(ISNUMBER(E780)),AND(J780="Sim",L780="",M780=""),AND(ISNUMBER(E780),ISNUMBER(V780),N(V780)&gt;0,E780&lt;N(V780))),1,0))</f>
        <v>0</v>
      </c>
      <c r="Z780" s="96">
        <f>IF(AND(Q780=1,T780=1,X780=1,J780="Sim",OR(L780&lt;&gt;"",M780&lt;&gt;"")),1,0)</f>
        <v>0</v>
      </c>
      <c r="AA780" s="96">
        <f>IF(Q780=0,0,IF(AND(OR(r_ini="",AND(ISNUMBER(E780),E780&gt;=r_ini)),OR(r_fim="",AND(ISNUMBER(E780),E780&lt;=r_fim)),OR(r_un="",r_un="(Todas)",IF(N(U780)&gt;0,INDEX('MTRs'!$G$6:$G$505,U780),"")=r_un),OR(r_de="",r_de="(Todos)",D780=r_de)),1,0))</f>
        <v>0</v>
      </c>
      <c r="AB780" s="96" t="str">
        <f>IF(AA780=1,COUNTIF($AA$6:AA780,1),"")</f>
        <v/>
      </c>
    </row>
    <row r="781">
      <c r="A781" s="89" t="inlineStr">
        <is>
          <t>REC-000776</t>
        </is>
      </c>
      <c r="B781" s="94" t="str">
        <f>IF(T781=1,INDEX('ITENS_MTR'!$S$6:$S$1005,S781)&amp;"","")</f>
        <v/>
      </c>
      <c r="C781" s="91" t="n"/>
      <c r="D781" s="94" t="str">
        <f>IF(N(U781)&gt;0,INDEX('MTRs'!$I$6:$I$505,U781)&amp;"","")</f>
        <v/>
      </c>
      <c r="E781" s="92" t="n"/>
      <c r="F781" s="98" t="n"/>
      <c r="G781" s="91" t="n"/>
      <c r="H781" s="93" t="str">
        <f>IF(Q781=0,"",IF(NOT(ISNUMBER(F781)),"",IF(ISNUMBER(W781),F781*W781,"UNIDADE A CONFERIR")))</f>
        <v/>
      </c>
      <c r="I781" s="91" t="n"/>
      <c r="J781" s="91" t="n"/>
      <c r="K781" s="92" t="n"/>
      <c r="L781" s="91" t="n"/>
      <c r="M781" s="91" t="n"/>
      <c r="N781" s="91" t="n"/>
      <c r="O781" s="91" t="n"/>
      <c r="P781" s="94" t="str">
        <f>IF(Q781=0,"",IF(C781="","Item de resíduo não informado",IF(T781=0,"Item inexistente (referência inválida)",IF(NOT(ISNUMBER(F781)),"Quantidade não informada",IF(F781&lt;=0,"Quantidade não positiva",IF(G781="","Unidade não informada",IF(NOT(ISNUMBER(H781)),"Unidade a conferir",IF(NOT(ISNUMBER(E781)),"Data de recebimento não informada",IF(AND(ISNUMBER(V781),N(V781)&gt;0,E781&lt;N(V781)),"Data anterior à emissão do MTR",IF(AND(J781="Sim",L781="",M781=""),"Conferido sem evidência identificada",IF(J781&lt;&gt;"Sim","Aguardando conferência",IF(INDEX('ITENS_MTR'!$AM$6:$AM$1005,S781)=1,"Conferido (ver diferença no item)","Conferido"))))))))))))</f>
        <v/>
      </c>
      <c r="Q781" s="96">
        <f>IF(COUNTA(C781,E781:G781,I781:O781)&gt;0,1,0)</f>
        <v>0</v>
      </c>
      <c r="R781" s="96" t="str">
        <f>IF(C781="","",TRIM(LEFT(C781,FIND(" |",C781&amp;" |")-1)))</f>
        <v/>
      </c>
      <c r="S781" s="96" t="str">
        <f>IF(R781="","",IFERROR(MATCH(R781,'ITENS_MTR'!$A$6:$A$1005,0),""))</f>
        <v/>
      </c>
      <c r="T781" s="96">
        <f>IF(S781="",0,IF(INDEX('ITENS_MTR'!$R$6:$R$1005,S781)=1,1,0))</f>
        <v>0</v>
      </c>
      <c r="U781" s="96" t="str">
        <f>IF(T781=1,INDEX('ITENS_MTR'!$T$6:$T$1005,S781),"")</f>
        <v/>
      </c>
      <c r="V781" s="97" t="str">
        <f>IF(N(U781)&gt;0,INDEX('MTRs'!$E$6:$E$505,U781),"")</f>
        <v/>
      </c>
      <c r="W781" s="96" t="str">
        <f>IF(G781="","",IFERROR(IF(ISNUMBER(INDEX(cfg_fac,MATCH(G781,cfg_units,0))),IF(INDEX(cfg_fac,MATCH(G781,cfg_units,0))&gt;0,INDEX(cfg_fac,MATCH(G781,cfg_units,0)),""),""),""))</f>
        <v/>
      </c>
      <c r="X781" s="96">
        <f>IF(AND(ISNUMBER(F781),ISNUMBER(H781)),IF(H781&gt;0,1,0),0)</f>
        <v>0</v>
      </c>
      <c r="Y781" s="96">
        <f>IF(Q781=0,0,IF(OR(T781=0,X781=0,NOT(ISNUMBER(E781)),AND(J781="Sim",L781="",M781=""),AND(ISNUMBER(E781),ISNUMBER(V781),N(V781)&gt;0,E781&lt;N(V781))),1,0))</f>
        <v>0</v>
      </c>
      <c r="Z781" s="96">
        <f>IF(AND(Q781=1,T781=1,X781=1,J781="Sim",OR(L781&lt;&gt;"",M781&lt;&gt;"")),1,0)</f>
        <v>0</v>
      </c>
      <c r="AA781" s="96">
        <f>IF(Q781=0,0,IF(AND(OR(r_ini="",AND(ISNUMBER(E781),E781&gt;=r_ini)),OR(r_fim="",AND(ISNUMBER(E781),E781&lt;=r_fim)),OR(r_un="",r_un="(Todas)",IF(N(U781)&gt;0,INDEX('MTRs'!$G$6:$G$505,U781),"")=r_un),OR(r_de="",r_de="(Todos)",D781=r_de)),1,0))</f>
        <v>0</v>
      </c>
      <c r="AB781" s="96" t="str">
        <f>IF(AA781=1,COUNTIF($AA$6:AA781,1),"")</f>
        <v/>
      </c>
    </row>
    <row r="782">
      <c r="A782" s="89" t="inlineStr">
        <is>
          <t>REC-000777</t>
        </is>
      </c>
      <c r="B782" s="94" t="str">
        <f>IF(T782=1,INDEX('ITENS_MTR'!$S$6:$S$1005,S782)&amp;"","")</f>
        <v/>
      </c>
      <c r="C782" s="91" t="n"/>
      <c r="D782" s="94" t="str">
        <f>IF(N(U782)&gt;0,INDEX('MTRs'!$I$6:$I$505,U782)&amp;"","")</f>
        <v/>
      </c>
      <c r="E782" s="92" t="n"/>
      <c r="F782" s="98" t="n"/>
      <c r="G782" s="91" t="n"/>
      <c r="H782" s="93" t="str">
        <f>IF(Q782=0,"",IF(NOT(ISNUMBER(F782)),"",IF(ISNUMBER(W782),F782*W782,"UNIDADE A CONFERIR")))</f>
        <v/>
      </c>
      <c r="I782" s="91" t="n"/>
      <c r="J782" s="91" t="n"/>
      <c r="K782" s="92" t="n"/>
      <c r="L782" s="91" t="n"/>
      <c r="M782" s="91" t="n"/>
      <c r="N782" s="91" t="n"/>
      <c r="O782" s="91" t="n"/>
      <c r="P782" s="94" t="str">
        <f>IF(Q782=0,"",IF(C782="","Item de resíduo não informado",IF(T782=0,"Item inexistente (referência inválida)",IF(NOT(ISNUMBER(F782)),"Quantidade não informada",IF(F782&lt;=0,"Quantidade não positiva",IF(G782="","Unidade não informada",IF(NOT(ISNUMBER(H782)),"Unidade a conferir",IF(NOT(ISNUMBER(E782)),"Data de recebimento não informada",IF(AND(ISNUMBER(V782),N(V782)&gt;0,E782&lt;N(V782)),"Data anterior à emissão do MTR",IF(AND(J782="Sim",L782="",M782=""),"Conferido sem evidência identificada",IF(J782&lt;&gt;"Sim","Aguardando conferência",IF(INDEX('ITENS_MTR'!$AM$6:$AM$1005,S782)=1,"Conferido (ver diferença no item)","Conferido"))))))))))))</f>
        <v/>
      </c>
      <c r="Q782" s="96">
        <f>IF(COUNTA(C782,E782:G782,I782:O782)&gt;0,1,0)</f>
        <v>0</v>
      </c>
      <c r="R782" s="96" t="str">
        <f>IF(C782="","",TRIM(LEFT(C782,FIND(" |",C782&amp;" |")-1)))</f>
        <v/>
      </c>
      <c r="S782" s="96" t="str">
        <f>IF(R782="","",IFERROR(MATCH(R782,'ITENS_MTR'!$A$6:$A$1005,0),""))</f>
        <v/>
      </c>
      <c r="T782" s="96">
        <f>IF(S782="",0,IF(INDEX('ITENS_MTR'!$R$6:$R$1005,S782)=1,1,0))</f>
        <v>0</v>
      </c>
      <c r="U782" s="96" t="str">
        <f>IF(T782=1,INDEX('ITENS_MTR'!$T$6:$T$1005,S782),"")</f>
        <v/>
      </c>
      <c r="V782" s="97" t="str">
        <f>IF(N(U782)&gt;0,INDEX('MTRs'!$E$6:$E$505,U782),"")</f>
        <v/>
      </c>
      <c r="W782" s="96" t="str">
        <f>IF(G782="","",IFERROR(IF(ISNUMBER(INDEX(cfg_fac,MATCH(G782,cfg_units,0))),IF(INDEX(cfg_fac,MATCH(G782,cfg_units,0))&gt;0,INDEX(cfg_fac,MATCH(G782,cfg_units,0)),""),""),""))</f>
        <v/>
      </c>
      <c r="X782" s="96">
        <f>IF(AND(ISNUMBER(F782),ISNUMBER(H782)),IF(H782&gt;0,1,0),0)</f>
        <v>0</v>
      </c>
      <c r="Y782" s="96">
        <f>IF(Q782=0,0,IF(OR(T782=0,X782=0,NOT(ISNUMBER(E782)),AND(J782="Sim",L782="",M782=""),AND(ISNUMBER(E782),ISNUMBER(V782),N(V782)&gt;0,E782&lt;N(V782))),1,0))</f>
        <v>0</v>
      </c>
      <c r="Z782" s="96">
        <f>IF(AND(Q782=1,T782=1,X782=1,J782="Sim",OR(L782&lt;&gt;"",M782&lt;&gt;"")),1,0)</f>
        <v>0</v>
      </c>
      <c r="AA782" s="96">
        <f>IF(Q782=0,0,IF(AND(OR(r_ini="",AND(ISNUMBER(E782),E782&gt;=r_ini)),OR(r_fim="",AND(ISNUMBER(E782),E782&lt;=r_fim)),OR(r_un="",r_un="(Todas)",IF(N(U782)&gt;0,INDEX('MTRs'!$G$6:$G$505,U782),"")=r_un),OR(r_de="",r_de="(Todos)",D782=r_de)),1,0))</f>
        <v>0</v>
      </c>
      <c r="AB782" s="96" t="str">
        <f>IF(AA782=1,COUNTIF($AA$6:AA782,1),"")</f>
        <v/>
      </c>
    </row>
    <row r="783">
      <c r="A783" s="89" t="inlineStr">
        <is>
          <t>REC-000778</t>
        </is>
      </c>
      <c r="B783" s="94" t="str">
        <f>IF(T783=1,INDEX('ITENS_MTR'!$S$6:$S$1005,S783)&amp;"","")</f>
        <v/>
      </c>
      <c r="C783" s="91" t="n"/>
      <c r="D783" s="94" t="str">
        <f>IF(N(U783)&gt;0,INDEX('MTRs'!$I$6:$I$505,U783)&amp;"","")</f>
        <v/>
      </c>
      <c r="E783" s="92" t="n"/>
      <c r="F783" s="98" t="n"/>
      <c r="G783" s="91" t="n"/>
      <c r="H783" s="93" t="str">
        <f>IF(Q783=0,"",IF(NOT(ISNUMBER(F783)),"",IF(ISNUMBER(W783),F783*W783,"UNIDADE A CONFERIR")))</f>
        <v/>
      </c>
      <c r="I783" s="91" t="n"/>
      <c r="J783" s="91" t="n"/>
      <c r="K783" s="92" t="n"/>
      <c r="L783" s="91" t="n"/>
      <c r="M783" s="91" t="n"/>
      <c r="N783" s="91" t="n"/>
      <c r="O783" s="91" t="n"/>
      <c r="P783" s="94" t="str">
        <f>IF(Q783=0,"",IF(C783="","Item de resíduo não informado",IF(T783=0,"Item inexistente (referência inválida)",IF(NOT(ISNUMBER(F783)),"Quantidade não informada",IF(F783&lt;=0,"Quantidade não positiva",IF(G783="","Unidade não informada",IF(NOT(ISNUMBER(H783)),"Unidade a conferir",IF(NOT(ISNUMBER(E783)),"Data de recebimento não informada",IF(AND(ISNUMBER(V783),N(V783)&gt;0,E783&lt;N(V783)),"Data anterior à emissão do MTR",IF(AND(J783="Sim",L783="",M783=""),"Conferido sem evidência identificada",IF(J783&lt;&gt;"Sim","Aguardando conferência",IF(INDEX('ITENS_MTR'!$AM$6:$AM$1005,S783)=1,"Conferido (ver diferença no item)","Conferido"))))))))))))</f>
        <v/>
      </c>
      <c r="Q783" s="96">
        <f>IF(COUNTA(C783,E783:G783,I783:O783)&gt;0,1,0)</f>
        <v>0</v>
      </c>
      <c r="R783" s="96" t="str">
        <f>IF(C783="","",TRIM(LEFT(C783,FIND(" |",C783&amp;" |")-1)))</f>
        <v/>
      </c>
      <c r="S783" s="96" t="str">
        <f>IF(R783="","",IFERROR(MATCH(R783,'ITENS_MTR'!$A$6:$A$1005,0),""))</f>
        <v/>
      </c>
      <c r="T783" s="96">
        <f>IF(S783="",0,IF(INDEX('ITENS_MTR'!$R$6:$R$1005,S783)=1,1,0))</f>
        <v>0</v>
      </c>
      <c r="U783" s="96" t="str">
        <f>IF(T783=1,INDEX('ITENS_MTR'!$T$6:$T$1005,S783),"")</f>
        <v/>
      </c>
      <c r="V783" s="97" t="str">
        <f>IF(N(U783)&gt;0,INDEX('MTRs'!$E$6:$E$505,U783),"")</f>
        <v/>
      </c>
      <c r="W783" s="96" t="str">
        <f>IF(G783="","",IFERROR(IF(ISNUMBER(INDEX(cfg_fac,MATCH(G783,cfg_units,0))),IF(INDEX(cfg_fac,MATCH(G783,cfg_units,0))&gt;0,INDEX(cfg_fac,MATCH(G783,cfg_units,0)),""),""),""))</f>
        <v/>
      </c>
      <c r="X783" s="96">
        <f>IF(AND(ISNUMBER(F783),ISNUMBER(H783)),IF(H783&gt;0,1,0),0)</f>
        <v>0</v>
      </c>
      <c r="Y783" s="96">
        <f>IF(Q783=0,0,IF(OR(T783=0,X783=0,NOT(ISNUMBER(E783)),AND(J783="Sim",L783="",M783=""),AND(ISNUMBER(E783),ISNUMBER(V783),N(V783)&gt;0,E783&lt;N(V783))),1,0))</f>
        <v>0</v>
      </c>
      <c r="Z783" s="96">
        <f>IF(AND(Q783=1,T783=1,X783=1,J783="Sim",OR(L783&lt;&gt;"",M783&lt;&gt;"")),1,0)</f>
        <v>0</v>
      </c>
      <c r="AA783" s="96">
        <f>IF(Q783=0,0,IF(AND(OR(r_ini="",AND(ISNUMBER(E783),E783&gt;=r_ini)),OR(r_fim="",AND(ISNUMBER(E783),E783&lt;=r_fim)),OR(r_un="",r_un="(Todas)",IF(N(U783)&gt;0,INDEX('MTRs'!$G$6:$G$505,U783),"")=r_un),OR(r_de="",r_de="(Todos)",D783=r_de)),1,0))</f>
        <v>0</v>
      </c>
      <c r="AB783" s="96" t="str">
        <f>IF(AA783=1,COUNTIF($AA$6:AA783,1),"")</f>
        <v/>
      </c>
    </row>
    <row r="784">
      <c r="A784" s="89" t="inlineStr">
        <is>
          <t>REC-000779</t>
        </is>
      </c>
      <c r="B784" s="94" t="str">
        <f>IF(T784=1,INDEX('ITENS_MTR'!$S$6:$S$1005,S784)&amp;"","")</f>
        <v/>
      </c>
      <c r="C784" s="91" t="n"/>
      <c r="D784" s="94" t="str">
        <f>IF(N(U784)&gt;0,INDEX('MTRs'!$I$6:$I$505,U784)&amp;"","")</f>
        <v/>
      </c>
      <c r="E784" s="92" t="n"/>
      <c r="F784" s="98" t="n"/>
      <c r="G784" s="91" t="n"/>
      <c r="H784" s="93" t="str">
        <f>IF(Q784=0,"",IF(NOT(ISNUMBER(F784)),"",IF(ISNUMBER(W784),F784*W784,"UNIDADE A CONFERIR")))</f>
        <v/>
      </c>
      <c r="I784" s="91" t="n"/>
      <c r="J784" s="91" t="n"/>
      <c r="K784" s="92" t="n"/>
      <c r="L784" s="91" t="n"/>
      <c r="M784" s="91" t="n"/>
      <c r="N784" s="91" t="n"/>
      <c r="O784" s="91" t="n"/>
      <c r="P784" s="94" t="str">
        <f>IF(Q784=0,"",IF(C784="","Item de resíduo não informado",IF(T784=0,"Item inexistente (referência inválida)",IF(NOT(ISNUMBER(F784)),"Quantidade não informada",IF(F784&lt;=0,"Quantidade não positiva",IF(G784="","Unidade não informada",IF(NOT(ISNUMBER(H784)),"Unidade a conferir",IF(NOT(ISNUMBER(E784)),"Data de recebimento não informada",IF(AND(ISNUMBER(V784),N(V784)&gt;0,E784&lt;N(V784)),"Data anterior à emissão do MTR",IF(AND(J784="Sim",L784="",M784=""),"Conferido sem evidência identificada",IF(J784&lt;&gt;"Sim","Aguardando conferência",IF(INDEX('ITENS_MTR'!$AM$6:$AM$1005,S784)=1,"Conferido (ver diferença no item)","Conferido"))))))))))))</f>
        <v/>
      </c>
      <c r="Q784" s="96">
        <f>IF(COUNTA(C784,E784:G784,I784:O784)&gt;0,1,0)</f>
        <v>0</v>
      </c>
      <c r="R784" s="96" t="str">
        <f>IF(C784="","",TRIM(LEFT(C784,FIND(" |",C784&amp;" |")-1)))</f>
        <v/>
      </c>
      <c r="S784" s="96" t="str">
        <f>IF(R784="","",IFERROR(MATCH(R784,'ITENS_MTR'!$A$6:$A$1005,0),""))</f>
        <v/>
      </c>
      <c r="T784" s="96">
        <f>IF(S784="",0,IF(INDEX('ITENS_MTR'!$R$6:$R$1005,S784)=1,1,0))</f>
        <v>0</v>
      </c>
      <c r="U784" s="96" t="str">
        <f>IF(T784=1,INDEX('ITENS_MTR'!$T$6:$T$1005,S784),"")</f>
        <v/>
      </c>
      <c r="V784" s="97" t="str">
        <f>IF(N(U784)&gt;0,INDEX('MTRs'!$E$6:$E$505,U784),"")</f>
        <v/>
      </c>
      <c r="W784" s="96" t="str">
        <f>IF(G784="","",IFERROR(IF(ISNUMBER(INDEX(cfg_fac,MATCH(G784,cfg_units,0))),IF(INDEX(cfg_fac,MATCH(G784,cfg_units,0))&gt;0,INDEX(cfg_fac,MATCH(G784,cfg_units,0)),""),""),""))</f>
        <v/>
      </c>
      <c r="X784" s="96">
        <f>IF(AND(ISNUMBER(F784),ISNUMBER(H784)),IF(H784&gt;0,1,0),0)</f>
        <v>0</v>
      </c>
      <c r="Y784" s="96">
        <f>IF(Q784=0,0,IF(OR(T784=0,X784=0,NOT(ISNUMBER(E784)),AND(J784="Sim",L784="",M784=""),AND(ISNUMBER(E784),ISNUMBER(V784),N(V784)&gt;0,E784&lt;N(V784))),1,0))</f>
        <v>0</v>
      </c>
      <c r="Z784" s="96">
        <f>IF(AND(Q784=1,T784=1,X784=1,J784="Sim",OR(L784&lt;&gt;"",M784&lt;&gt;"")),1,0)</f>
        <v>0</v>
      </c>
      <c r="AA784" s="96">
        <f>IF(Q784=0,0,IF(AND(OR(r_ini="",AND(ISNUMBER(E784),E784&gt;=r_ini)),OR(r_fim="",AND(ISNUMBER(E784),E784&lt;=r_fim)),OR(r_un="",r_un="(Todas)",IF(N(U784)&gt;0,INDEX('MTRs'!$G$6:$G$505,U784),"")=r_un),OR(r_de="",r_de="(Todos)",D784=r_de)),1,0))</f>
        <v>0</v>
      </c>
      <c r="AB784" s="96" t="str">
        <f>IF(AA784=1,COUNTIF($AA$6:AA784,1),"")</f>
        <v/>
      </c>
    </row>
    <row r="785">
      <c r="A785" s="89" t="inlineStr">
        <is>
          <t>REC-000780</t>
        </is>
      </c>
      <c r="B785" s="94" t="str">
        <f>IF(T785=1,INDEX('ITENS_MTR'!$S$6:$S$1005,S785)&amp;"","")</f>
        <v/>
      </c>
      <c r="C785" s="91" t="n"/>
      <c r="D785" s="94" t="str">
        <f>IF(N(U785)&gt;0,INDEX('MTRs'!$I$6:$I$505,U785)&amp;"","")</f>
        <v/>
      </c>
      <c r="E785" s="92" t="n"/>
      <c r="F785" s="98" t="n"/>
      <c r="G785" s="91" t="n"/>
      <c r="H785" s="93" t="str">
        <f>IF(Q785=0,"",IF(NOT(ISNUMBER(F785)),"",IF(ISNUMBER(W785),F785*W785,"UNIDADE A CONFERIR")))</f>
        <v/>
      </c>
      <c r="I785" s="91" t="n"/>
      <c r="J785" s="91" t="n"/>
      <c r="K785" s="92" t="n"/>
      <c r="L785" s="91" t="n"/>
      <c r="M785" s="91" t="n"/>
      <c r="N785" s="91" t="n"/>
      <c r="O785" s="91" t="n"/>
      <c r="P785" s="94" t="str">
        <f>IF(Q785=0,"",IF(C785="","Item de resíduo não informado",IF(T785=0,"Item inexistente (referência inválida)",IF(NOT(ISNUMBER(F785)),"Quantidade não informada",IF(F785&lt;=0,"Quantidade não positiva",IF(G785="","Unidade não informada",IF(NOT(ISNUMBER(H785)),"Unidade a conferir",IF(NOT(ISNUMBER(E785)),"Data de recebimento não informada",IF(AND(ISNUMBER(V785),N(V785)&gt;0,E785&lt;N(V785)),"Data anterior à emissão do MTR",IF(AND(J785="Sim",L785="",M785=""),"Conferido sem evidência identificada",IF(J785&lt;&gt;"Sim","Aguardando conferência",IF(INDEX('ITENS_MTR'!$AM$6:$AM$1005,S785)=1,"Conferido (ver diferença no item)","Conferido"))))))))))))</f>
        <v/>
      </c>
      <c r="Q785" s="96">
        <f>IF(COUNTA(C785,E785:G785,I785:O785)&gt;0,1,0)</f>
        <v>0</v>
      </c>
      <c r="R785" s="96" t="str">
        <f>IF(C785="","",TRIM(LEFT(C785,FIND(" |",C785&amp;" |")-1)))</f>
        <v/>
      </c>
      <c r="S785" s="96" t="str">
        <f>IF(R785="","",IFERROR(MATCH(R785,'ITENS_MTR'!$A$6:$A$1005,0),""))</f>
        <v/>
      </c>
      <c r="T785" s="96">
        <f>IF(S785="",0,IF(INDEX('ITENS_MTR'!$R$6:$R$1005,S785)=1,1,0))</f>
        <v>0</v>
      </c>
      <c r="U785" s="96" t="str">
        <f>IF(T785=1,INDEX('ITENS_MTR'!$T$6:$T$1005,S785),"")</f>
        <v/>
      </c>
      <c r="V785" s="97" t="str">
        <f>IF(N(U785)&gt;0,INDEX('MTRs'!$E$6:$E$505,U785),"")</f>
        <v/>
      </c>
      <c r="W785" s="96" t="str">
        <f>IF(G785="","",IFERROR(IF(ISNUMBER(INDEX(cfg_fac,MATCH(G785,cfg_units,0))),IF(INDEX(cfg_fac,MATCH(G785,cfg_units,0))&gt;0,INDEX(cfg_fac,MATCH(G785,cfg_units,0)),""),""),""))</f>
        <v/>
      </c>
      <c r="X785" s="96">
        <f>IF(AND(ISNUMBER(F785),ISNUMBER(H785)),IF(H785&gt;0,1,0),0)</f>
        <v>0</v>
      </c>
      <c r="Y785" s="96">
        <f>IF(Q785=0,0,IF(OR(T785=0,X785=0,NOT(ISNUMBER(E785)),AND(J785="Sim",L785="",M785=""),AND(ISNUMBER(E785),ISNUMBER(V785),N(V785)&gt;0,E785&lt;N(V785))),1,0))</f>
        <v>0</v>
      </c>
      <c r="Z785" s="96">
        <f>IF(AND(Q785=1,T785=1,X785=1,J785="Sim",OR(L785&lt;&gt;"",M785&lt;&gt;"")),1,0)</f>
        <v>0</v>
      </c>
      <c r="AA785" s="96">
        <f>IF(Q785=0,0,IF(AND(OR(r_ini="",AND(ISNUMBER(E785),E785&gt;=r_ini)),OR(r_fim="",AND(ISNUMBER(E785),E785&lt;=r_fim)),OR(r_un="",r_un="(Todas)",IF(N(U785)&gt;0,INDEX('MTRs'!$G$6:$G$505,U785),"")=r_un),OR(r_de="",r_de="(Todos)",D785=r_de)),1,0))</f>
        <v>0</v>
      </c>
      <c r="AB785" s="96" t="str">
        <f>IF(AA785=1,COUNTIF($AA$6:AA785,1),"")</f>
        <v/>
      </c>
    </row>
    <row r="786">
      <c r="A786" s="89" t="inlineStr">
        <is>
          <t>REC-000781</t>
        </is>
      </c>
      <c r="B786" s="94" t="str">
        <f>IF(T786=1,INDEX('ITENS_MTR'!$S$6:$S$1005,S786)&amp;"","")</f>
        <v/>
      </c>
      <c r="C786" s="91" t="n"/>
      <c r="D786" s="94" t="str">
        <f>IF(N(U786)&gt;0,INDEX('MTRs'!$I$6:$I$505,U786)&amp;"","")</f>
        <v/>
      </c>
      <c r="E786" s="92" t="n"/>
      <c r="F786" s="98" t="n"/>
      <c r="G786" s="91" t="n"/>
      <c r="H786" s="93" t="str">
        <f>IF(Q786=0,"",IF(NOT(ISNUMBER(F786)),"",IF(ISNUMBER(W786),F786*W786,"UNIDADE A CONFERIR")))</f>
        <v/>
      </c>
      <c r="I786" s="91" t="n"/>
      <c r="J786" s="91" t="n"/>
      <c r="K786" s="92" t="n"/>
      <c r="L786" s="91" t="n"/>
      <c r="M786" s="91" t="n"/>
      <c r="N786" s="91" t="n"/>
      <c r="O786" s="91" t="n"/>
      <c r="P786" s="94" t="str">
        <f>IF(Q786=0,"",IF(C786="","Item de resíduo não informado",IF(T786=0,"Item inexistente (referência inválida)",IF(NOT(ISNUMBER(F786)),"Quantidade não informada",IF(F786&lt;=0,"Quantidade não positiva",IF(G786="","Unidade não informada",IF(NOT(ISNUMBER(H786)),"Unidade a conferir",IF(NOT(ISNUMBER(E786)),"Data de recebimento não informada",IF(AND(ISNUMBER(V786),N(V786)&gt;0,E786&lt;N(V786)),"Data anterior à emissão do MTR",IF(AND(J786="Sim",L786="",M786=""),"Conferido sem evidência identificada",IF(J786&lt;&gt;"Sim","Aguardando conferência",IF(INDEX('ITENS_MTR'!$AM$6:$AM$1005,S786)=1,"Conferido (ver diferença no item)","Conferido"))))))))))))</f>
        <v/>
      </c>
      <c r="Q786" s="96">
        <f>IF(COUNTA(C786,E786:G786,I786:O786)&gt;0,1,0)</f>
        <v>0</v>
      </c>
      <c r="R786" s="96" t="str">
        <f>IF(C786="","",TRIM(LEFT(C786,FIND(" |",C786&amp;" |")-1)))</f>
        <v/>
      </c>
      <c r="S786" s="96" t="str">
        <f>IF(R786="","",IFERROR(MATCH(R786,'ITENS_MTR'!$A$6:$A$1005,0),""))</f>
        <v/>
      </c>
      <c r="T786" s="96">
        <f>IF(S786="",0,IF(INDEX('ITENS_MTR'!$R$6:$R$1005,S786)=1,1,0))</f>
        <v>0</v>
      </c>
      <c r="U786" s="96" t="str">
        <f>IF(T786=1,INDEX('ITENS_MTR'!$T$6:$T$1005,S786),"")</f>
        <v/>
      </c>
      <c r="V786" s="97" t="str">
        <f>IF(N(U786)&gt;0,INDEX('MTRs'!$E$6:$E$505,U786),"")</f>
        <v/>
      </c>
      <c r="W786" s="96" t="str">
        <f>IF(G786="","",IFERROR(IF(ISNUMBER(INDEX(cfg_fac,MATCH(G786,cfg_units,0))),IF(INDEX(cfg_fac,MATCH(G786,cfg_units,0))&gt;0,INDEX(cfg_fac,MATCH(G786,cfg_units,0)),""),""),""))</f>
        <v/>
      </c>
      <c r="X786" s="96">
        <f>IF(AND(ISNUMBER(F786),ISNUMBER(H786)),IF(H786&gt;0,1,0),0)</f>
        <v>0</v>
      </c>
      <c r="Y786" s="96">
        <f>IF(Q786=0,0,IF(OR(T786=0,X786=0,NOT(ISNUMBER(E786)),AND(J786="Sim",L786="",M786=""),AND(ISNUMBER(E786),ISNUMBER(V786),N(V786)&gt;0,E786&lt;N(V786))),1,0))</f>
        <v>0</v>
      </c>
      <c r="Z786" s="96">
        <f>IF(AND(Q786=1,T786=1,X786=1,J786="Sim",OR(L786&lt;&gt;"",M786&lt;&gt;"")),1,0)</f>
        <v>0</v>
      </c>
      <c r="AA786" s="96">
        <f>IF(Q786=0,0,IF(AND(OR(r_ini="",AND(ISNUMBER(E786),E786&gt;=r_ini)),OR(r_fim="",AND(ISNUMBER(E786),E786&lt;=r_fim)),OR(r_un="",r_un="(Todas)",IF(N(U786)&gt;0,INDEX('MTRs'!$G$6:$G$505,U786),"")=r_un),OR(r_de="",r_de="(Todos)",D786=r_de)),1,0))</f>
        <v>0</v>
      </c>
      <c r="AB786" s="96" t="str">
        <f>IF(AA786=1,COUNTIF($AA$6:AA786,1),"")</f>
        <v/>
      </c>
    </row>
    <row r="787">
      <c r="A787" s="89" t="inlineStr">
        <is>
          <t>REC-000782</t>
        </is>
      </c>
      <c r="B787" s="94" t="str">
        <f>IF(T787=1,INDEX('ITENS_MTR'!$S$6:$S$1005,S787)&amp;"","")</f>
        <v/>
      </c>
      <c r="C787" s="91" t="n"/>
      <c r="D787" s="94" t="str">
        <f>IF(N(U787)&gt;0,INDEX('MTRs'!$I$6:$I$505,U787)&amp;"","")</f>
        <v/>
      </c>
      <c r="E787" s="92" t="n"/>
      <c r="F787" s="98" t="n"/>
      <c r="G787" s="91" t="n"/>
      <c r="H787" s="93" t="str">
        <f>IF(Q787=0,"",IF(NOT(ISNUMBER(F787)),"",IF(ISNUMBER(W787),F787*W787,"UNIDADE A CONFERIR")))</f>
        <v/>
      </c>
      <c r="I787" s="91" t="n"/>
      <c r="J787" s="91" t="n"/>
      <c r="K787" s="92" t="n"/>
      <c r="L787" s="91" t="n"/>
      <c r="M787" s="91" t="n"/>
      <c r="N787" s="91" t="n"/>
      <c r="O787" s="91" t="n"/>
      <c r="P787" s="94" t="str">
        <f>IF(Q787=0,"",IF(C787="","Item de resíduo não informado",IF(T787=0,"Item inexistente (referência inválida)",IF(NOT(ISNUMBER(F787)),"Quantidade não informada",IF(F787&lt;=0,"Quantidade não positiva",IF(G787="","Unidade não informada",IF(NOT(ISNUMBER(H787)),"Unidade a conferir",IF(NOT(ISNUMBER(E787)),"Data de recebimento não informada",IF(AND(ISNUMBER(V787),N(V787)&gt;0,E787&lt;N(V787)),"Data anterior à emissão do MTR",IF(AND(J787="Sim",L787="",M787=""),"Conferido sem evidência identificada",IF(J787&lt;&gt;"Sim","Aguardando conferência",IF(INDEX('ITENS_MTR'!$AM$6:$AM$1005,S787)=1,"Conferido (ver diferença no item)","Conferido"))))))))))))</f>
        <v/>
      </c>
      <c r="Q787" s="96">
        <f>IF(COUNTA(C787,E787:G787,I787:O787)&gt;0,1,0)</f>
        <v>0</v>
      </c>
      <c r="R787" s="96" t="str">
        <f>IF(C787="","",TRIM(LEFT(C787,FIND(" |",C787&amp;" |")-1)))</f>
        <v/>
      </c>
      <c r="S787" s="96" t="str">
        <f>IF(R787="","",IFERROR(MATCH(R787,'ITENS_MTR'!$A$6:$A$1005,0),""))</f>
        <v/>
      </c>
      <c r="T787" s="96">
        <f>IF(S787="",0,IF(INDEX('ITENS_MTR'!$R$6:$R$1005,S787)=1,1,0))</f>
        <v>0</v>
      </c>
      <c r="U787" s="96" t="str">
        <f>IF(T787=1,INDEX('ITENS_MTR'!$T$6:$T$1005,S787),"")</f>
        <v/>
      </c>
      <c r="V787" s="97" t="str">
        <f>IF(N(U787)&gt;0,INDEX('MTRs'!$E$6:$E$505,U787),"")</f>
        <v/>
      </c>
      <c r="W787" s="96" t="str">
        <f>IF(G787="","",IFERROR(IF(ISNUMBER(INDEX(cfg_fac,MATCH(G787,cfg_units,0))),IF(INDEX(cfg_fac,MATCH(G787,cfg_units,0))&gt;0,INDEX(cfg_fac,MATCH(G787,cfg_units,0)),""),""),""))</f>
        <v/>
      </c>
      <c r="X787" s="96">
        <f>IF(AND(ISNUMBER(F787),ISNUMBER(H787)),IF(H787&gt;0,1,0),0)</f>
        <v>0</v>
      </c>
      <c r="Y787" s="96">
        <f>IF(Q787=0,0,IF(OR(T787=0,X787=0,NOT(ISNUMBER(E787)),AND(J787="Sim",L787="",M787=""),AND(ISNUMBER(E787),ISNUMBER(V787),N(V787)&gt;0,E787&lt;N(V787))),1,0))</f>
        <v>0</v>
      </c>
      <c r="Z787" s="96">
        <f>IF(AND(Q787=1,T787=1,X787=1,J787="Sim",OR(L787&lt;&gt;"",M787&lt;&gt;"")),1,0)</f>
        <v>0</v>
      </c>
      <c r="AA787" s="96">
        <f>IF(Q787=0,0,IF(AND(OR(r_ini="",AND(ISNUMBER(E787),E787&gt;=r_ini)),OR(r_fim="",AND(ISNUMBER(E787),E787&lt;=r_fim)),OR(r_un="",r_un="(Todas)",IF(N(U787)&gt;0,INDEX('MTRs'!$G$6:$G$505,U787),"")=r_un),OR(r_de="",r_de="(Todos)",D787=r_de)),1,0))</f>
        <v>0</v>
      </c>
      <c r="AB787" s="96" t="str">
        <f>IF(AA787=1,COUNTIF($AA$6:AA787,1),"")</f>
        <v/>
      </c>
    </row>
    <row r="788">
      <c r="A788" s="89" t="inlineStr">
        <is>
          <t>REC-000783</t>
        </is>
      </c>
      <c r="B788" s="94" t="str">
        <f>IF(T788=1,INDEX('ITENS_MTR'!$S$6:$S$1005,S788)&amp;"","")</f>
        <v/>
      </c>
      <c r="C788" s="91" t="n"/>
      <c r="D788" s="94" t="str">
        <f>IF(N(U788)&gt;0,INDEX('MTRs'!$I$6:$I$505,U788)&amp;"","")</f>
        <v/>
      </c>
      <c r="E788" s="92" t="n"/>
      <c r="F788" s="98" t="n"/>
      <c r="G788" s="91" t="n"/>
      <c r="H788" s="93" t="str">
        <f>IF(Q788=0,"",IF(NOT(ISNUMBER(F788)),"",IF(ISNUMBER(W788),F788*W788,"UNIDADE A CONFERIR")))</f>
        <v/>
      </c>
      <c r="I788" s="91" t="n"/>
      <c r="J788" s="91" t="n"/>
      <c r="K788" s="92" t="n"/>
      <c r="L788" s="91" t="n"/>
      <c r="M788" s="91" t="n"/>
      <c r="N788" s="91" t="n"/>
      <c r="O788" s="91" t="n"/>
      <c r="P788" s="94" t="str">
        <f>IF(Q788=0,"",IF(C788="","Item de resíduo não informado",IF(T788=0,"Item inexistente (referência inválida)",IF(NOT(ISNUMBER(F788)),"Quantidade não informada",IF(F788&lt;=0,"Quantidade não positiva",IF(G788="","Unidade não informada",IF(NOT(ISNUMBER(H788)),"Unidade a conferir",IF(NOT(ISNUMBER(E788)),"Data de recebimento não informada",IF(AND(ISNUMBER(V788),N(V788)&gt;0,E788&lt;N(V788)),"Data anterior à emissão do MTR",IF(AND(J788="Sim",L788="",M788=""),"Conferido sem evidência identificada",IF(J788&lt;&gt;"Sim","Aguardando conferência",IF(INDEX('ITENS_MTR'!$AM$6:$AM$1005,S788)=1,"Conferido (ver diferença no item)","Conferido"))))))))))))</f>
        <v/>
      </c>
      <c r="Q788" s="96">
        <f>IF(COUNTA(C788,E788:G788,I788:O788)&gt;0,1,0)</f>
        <v>0</v>
      </c>
      <c r="R788" s="96" t="str">
        <f>IF(C788="","",TRIM(LEFT(C788,FIND(" |",C788&amp;" |")-1)))</f>
        <v/>
      </c>
      <c r="S788" s="96" t="str">
        <f>IF(R788="","",IFERROR(MATCH(R788,'ITENS_MTR'!$A$6:$A$1005,0),""))</f>
        <v/>
      </c>
      <c r="T788" s="96">
        <f>IF(S788="",0,IF(INDEX('ITENS_MTR'!$R$6:$R$1005,S788)=1,1,0))</f>
        <v>0</v>
      </c>
      <c r="U788" s="96" t="str">
        <f>IF(T788=1,INDEX('ITENS_MTR'!$T$6:$T$1005,S788),"")</f>
        <v/>
      </c>
      <c r="V788" s="97" t="str">
        <f>IF(N(U788)&gt;0,INDEX('MTRs'!$E$6:$E$505,U788),"")</f>
        <v/>
      </c>
      <c r="W788" s="96" t="str">
        <f>IF(G788="","",IFERROR(IF(ISNUMBER(INDEX(cfg_fac,MATCH(G788,cfg_units,0))),IF(INDEX(cfg_fac,MATCH(G788,cfg_units,0))&gt;0,INDEX(cfg_fac,MATCH(G788,cfg_units,0)),""),""),""))</f>
        <v/>
      </c>
      <c r="X788" s="96">
        <f>IF(AND(ISNUMBER(F788),ISNUMBER(H788)),IF(H788&gt;0,1,0),0)</f>
        <v>0</v>
      </c>
      <c r="Y788" s="96">
        <f>IF(Q788=0,0,IF(OR(T788=0,X788=0,NOT(ISNUMBER(E788)),AND(J788="Sim",L788="",M788=""),AND(ISNUMBER(E788),ISNUMBER(V788),N(V788)&gt;0,E788&lt;N(V788))),1,0))</f>
        <v>0</v>
      </c>
      <c r="Z788" s="96">
        <f>IF(AND(Q788=1,T788=1,X788=1,J788="Sim",OR(L788&lt;&gt;"",M788&lt;&gt;"")),1,0)</f>
        <v>0</v>
      </c>
      <c r="AA788" s="96">
        <f>IF(Q788=0,0,IF(AND(OR(r_ini="",AND(ISNUMBER(E788),E788&gt;=r_ini)),OR(r_fim="",AND(ISNUMBER(E788),E788&lt;=r_fim)),OR(r_un="",r_un="(Todas)",IF(N(U788)&gt;0,INDEX('MTRs'!$G$6:$G$505,U788),"")=r_un),OR(r_de="",r_de="(Todos)",D788=r_de)),1,0))</f>
        <v>0</v>
      </c>
      <c r="AB788" s="96" t="str">
        <f>IF(AA788=1,COUNTIF($AA$6:AA788,1),"")</f>
        <v/>
      </c>
    </row>
    <row r="789">
      <c r="A789" s="89" t="inlineStr">
        <is>
          <t>REC-000784</t>
        </is>
      </c>
      <c r="B789" s="94" t="str">
        <f>IF(T789=1,INDEX('ITENS_MTR'!$S$6:$S$1005,S789)&amp;"","")</f>
        <v/>
      </c>
      <c r="C789" s="91" t="n"/>
      <c r="D789" s="94" t="str">
        <f>IF(N(U789)&gt;0,INDEX('MTRs'!$I$6:$I$505,U789)&amp;"","")</f>
        <v/>
      </c>
      <c r="E789" s="92" t="n"/>
      <c r="F789" s="98" t="n"/>
      <c r="G789" s="91" t="n"/>
      <c r="H789" s="93" t="str">
        <f>IF(Q789=0,"",IF(NOT(ISNUMBER(F789)),"",IF(ISNUMBER(W789),F789*W789,"UNIDADE A CONFERIR")))</f>
        <v/>
      </c>
      <c r="I789" s="91" t="n"/>
      <c r="J789" s="91" t="n"/>
      <c r="K789" s="92" t="n"/>
      <c r="L789" s="91" t="n"/>
      <c r="M789" s="91" t="n"/>
      <c r="N789" s="91" t="n"/>
      <c r="O789" s="91" t="n"/>
      <c r="P789" s="94" t="str">
        <f>IF(Q789=0,"",IF(C789="","Item de resíduo não informado",IF(T789=0,"Item inexistente (referência inválida)",IF(NOT(ISNUMBER(F789)),"Quantidade não informada",IF(F789&lt;=0,"Quantidade não positiva",IF(G789="","Unidade não informada",IF(NOT(ISNUMBER(H789)),"Unidade a conferir",IF(NOT(ISNUMBER(E789)),"Data de recebimento não informada",IF(AND(ISNUMBER(V789),N(V789)&gt;0,E789&lt;N(V789)),"Data anterior à emissão do MTR",IF(AND(J789="Sim",L789="",M789=""),"Conferido sem evidência identificada",IF(J789&lt;&gt;"Sim","Aguardando conferência",IF(INDEX('ITENS_MTR'!$AM$6:$AM$1005,S789)=1,"Conferido (ver diferença no item)","Conferido"))))))))))))</f>
        <v/>
      </c>
      <c r="Q789" s="96">
        <f>IF(COUNTA(C789,E789:G789,I789:O789)&gt;0,1,0)</f>
        <v>0</v>
      </c>
      <c r="R789" s="96" t="str">
        <f>IF(C789="","",TRIM(LEFT(C789,FIND(" |",C789&amp;" |")-1)))</f>
        <v/>
      </c>
      <c r="S789" s="96" t="str">
        <f>IF(R789="","",IFERROR(MATCH(R789,'ITENS_MTR'!$A$6:$A$1005,0),""))</f>
        <v/>
      </c>
      <c r="T789" s="96">
        <f>IF(S789="",0,IF(INDEX('ITENS_MTR'!$R$6:$R$1005,S789)=1,1,0))</f>
        <v>0</v>
      </c>
      <c r="U789" s="96" t="str">
        <f>IF(T789=1,INDEX('ITENS_MTR'!$T$6:$T$1005,S789),"")</f>
        <v/>
      </c>
      <c r="V789" s="97" t="str">
        <f>IF(N(U789)&gt;0,INDEX('MTRs'!$E$6:$E$505,U789),"")</f>
        <v/>
      </c>
      <c r="W789" s="96" t="str">
        <f>IF(G789="","",IFERROR(IF(ISNUMBER(INDEX(cfg_fac,MATCH(G789,cfg_units,0))),IF(INDEX(cfg_fac,MATCH(G789,cfg_units,0))&gt;0,INDEX(cfg_fac,MATCH(G789,cfg_units,0)),""),""),""))</f>
        <v/>
      </c>
      <c r="X789" s="96">
        <f>IF(AND(ISNUMBER(F789),ISNUMBER(H789)),IF(H789&gt;0,1,0),0)</f>
        <v>0</v>
      </c>
      <c r="Y789" s="96">
        <f>IF(Q789=0,0,IF(OR(T789=0,X789=0,NOT(ISNUMBER(E789)),AND(J789="Sim",L789="",M789=""),AND(ISNUMBER(E789),ISNUMBER(V789),N(V789)&gt;0,E789&lt;N(V789))),1,0))</f>
        <v>0</v>
      </c>
      <c r="Z789" s="96">
        <f>IF(AND(Q789=1,T789=1,X789=1,J789="Sim",OR(L789&lt;&gt;"",M789&lt;&gt;"")),1,0)</f>
        <v>0</v>
      </c>
      <c r="AA789" s="96">
        <f>IF(Q789=0,0,IF(AND(OR(r_ini="",AND(ISNUMBER(E789),E789&gt;=r_ini)),OR(r_fim="",AND(ISNUMBER(E789),E789&lt;=r_fim)),OR(r_un="",r_un="(Todas)",IF(N(U789)&gt;0,INDEX('MTRs'!$G$6:$G$505,U789),"")=r_un),OR(r_de="",r_de="(Todos)",D789=r_de)),1,0))</f>
        <v>0</v>
      </c>
      <c r="AB789" s="96" t="str">
        <f>IF(AA789=1,COUNTIF($AA$6:AA789,1),"")</f>
        <v/>
      </c>
    </row>
    <row r="790">
      <c r="A790" s="89" t="inlineStr">
        <is>
          <t>REC-000785</t>
        </is>
      </c>
      <c r="B790" s="94" t="str">
        <f>IF(T790=1,INDEX('ITENS_MTR'!$S$6:$S$1005,S790)&amp;"","")</f>
        <v/>
      </c>
      <c r="C790" s="91" t="n"/>
      <c r="D790" s="94" t="str">
        <f>IF(N(U790)&gt;0,INDEX('MTRs'!$I$6:$I$505,U790)&amp;"","")</f>
        <v/>
      </c>
      <c r="E790" s="92" t="n"/>
      <c r="F790" s="98" t="n"/>
      <c r="G790" s="91" t="n"/>
      <c r="H790" s="93" t="str">
        <f>IF(Q790=0,"",IF(NOT(ISNUMBER(F790)),"",IF(ISNUMBER(W790),F790*W790,"UNIDADE A CONFERIR")))</f>
        <v/>
      </c>
      <c r="I790" s="91" t="n"/>
      <c r="J790" s="91" t="n"/>
      <c r="K790" s="92" t="n"/>
      <c r="L790" s="91" t="n"/>
      <c r="M790" s="91" t="n"/>
      <c r="N790" s="91" t="n"/>
      <c r="O790" s="91" t="n"/>
      <c r="P790" s="94" t="str">
        <f>IF(Q790=0,"",IF(C790="","Item de resíduo não informado",IF(T790=0,"Item inexistente (referência inválida)",IF(NOT(ISNUMBER(F790)),"Quantidade não informada",IF(F790&lt;=0,"Quantidade não positiva",IF(G790="","Unidade não informada",IF(NOT(ISNUMBER(H790)),"Unidade a conferir",IF(NOT(ISNUMBER(E790)),"Data de recebimento não informada",IF(AND(ISNUMBER(V790),N(V790)&gt;0,E790&lt;N(V790)),"Data anterior à emissão do MTR",IF(AND(J790="Sim",L790="",M790=""),"Conferido sem evidência identificada",IF(J790&lt;&gt;"Sim","Aguardando conferência",IF(INDEX('ITENS_MTR'!$AM$6:$AM$1005,S790)=1,"Conferido (ver diferença no item)","Conferido"))))))))))))</f>
        <v/>
      </c>
      <c r="Q790" s="96">
        <f>IF(COUNTA(C790,E790:G790,I790:O790)&gt;0,1,0)</f>
        <v>0</v>
      </c>
      <c r="R790" s="96" t="str">
        <f>IF(C790="","",TRIM(LEFT(C790,FIND(" |",C790&amp;" |")-1)))</f>
        <v/>
      </c>
      <c r="S790" s="96" t="str">
        <f>IF(R790="","",IFERROR(MATCH(R790,'ITENS_MTR'!$A$6:$A$1005,0),""))</f>
        <v/>
      </c>
      <c r="T790" s="96">
        <f>IF(S790="",0,IF(INDEX('ITENS_MTR'!$R$6:$R$1005,S790)=1,1,0))</f>
        <v>0</v>
      </c>
      <c r="U790" s="96" t="str">
        <f>IF(T790=1,INDEX('ITENS_MTR'!$T$6:$T$1005,S790),"")</f>
        <v/>
      </c>
      <c r="V790" s="97" t="str">
        <f>IF(N(U790)&gt;0,INDEX('MTRs'!$E$6:$E$505,U790),"")</f>
        <v/>
      </c>
      <c r="W790" s="96" t="str">
        <f>IF(G790="","",IFERROR(IF(ISNUMBER(INDEX(cfg_fac,MATCH(G790,cfg_units,0))),IF(INDEX(cfg_fac,MATCH(G790,cfg_units,0))&gt;0,INDEX(cfg_fac,MATCH(G790,cfg_units,0)),""),""),""))</f>
        <v/>
      </c>
      <c r="X790" s="96">
        <f>IF(AND(ISNUMBER(F790),ISNUMBER(H790)),IF(H790&gt;0,1,0),0)</f>
        <v>0</v>
      </c>
      <c r="Y790" s="96">
        <f>IF(Q790=0,0,IF(OR(T790=0,X790=0,NOT(ISNUMBER(E790)),AND(J790="Sim",L790="",M790=""),AND(ISNUMBER(E790),ISNUMBER(V790),N(V790)&gt;0,E790&lt;N(V790))),1,0))</f>
        <v>0</v>
      </c>
      <c r="Z790" s="96">
        <f>IF(AND(Q790=1,T790=1,X790=1,J790="Sim",OR(L790&lt;&gt;"",M790&lt;&gt;"")),1,0)</f>
        <v>0</v>
      </c>
      <c r="AA790" s="96">
        <f>IF(Q790=0,0,IF(AND(OR(r_ini="",AND(ISNUMBER(E790),E790&gt;=r_ini)),OR(r_fim="",AND(ISNUMBER(E790),E790&lt;=r_fim)),OR(r_un="",r_un="(Todas)",IF(N(U790)&gt;0,INDEX('MTRs'!$G$6:$G$505,U790),"")=r_un),OR(r_de="",r_de="(Todos)",D790=r_de)),1,0))</f>
        <v>0</v>
      </c>
      <c r="AB790" s="96" t="str">
        <f>IF(AA790=1,COUNTIF($AA$6:AA790,1),"")</f>
        <v/>
      </c>
    </row>
    <row r="791">
      <c r="A791" s="89" t="inlineStr">
        <is>
          <t>REC-000786</t>
        </is>
      </c>
      <c r="B791" s="94" t="str">
        <f>IF(T791=1,INDEX('ITENS_MTR'!$S$6:$S$1005,S791)&amp;"","")</f>
        <v/>
      </c>
      <c r="C791" s="91" t="n"/>
      <c r="D791" s="94" t="str">
        <f>IF(N(U791)&gt;0,INDEX('MTRs'!$I$6:$I$505,U791)&amp;"","")</f>
        <v/>
      </c>
      <c r="E791" s="92" t="n"/>
      <c r="F791" s="98" t="n"/>
      <c r="G791" s="91" t="n"/>
      <c r="H791" s="93" t="str">
        <f>IF(Q791=0,"",IF(NOT(ISNUMBER(F791)),"",IF(ISNUMBER(W791),F791*W791,"UNIDADE A CONFERIR")))</f>
        <v/>
      </c>
      <c r="I791" s="91" t="n"/>
      <c r="J791" s="91" t="n"/>
      <c r="K791" s="92" t="n"/>
      <c r="L791" s="91" t="n"/>
      <c r="M791" s="91" t="n"/>
      <c r="N791" s="91" t="n"/>
      <c r="O791" s="91" t="n"/>
      <c r="P791" s="94" t="str">
        <f>IF(Q791=0,"",IF(C791="","Item de resíduo não informado",IF(T791=0,"Item inexistente (referência inválida)",IF(NOT(ISNUMBER(F791)),"Quantidade não informada",IF(F791&lt;=0,"Quantidade não positiva",IF(G791="","Unidade não informada",IF(NOT(ISNUMBER(H791)),"Unidade a conferir",IF(NOT(ISNUMBER(E791)),"Data de recebimento não informada",IF(AND(ISNUMBER(V791),N(V791)&gt;0,E791&lt;N(V791)),"Data anterior à emissão do MTR",IF(AND(J791="Sim",L791="",M791=""),"Conferido sem evidência identificada",IF(J791&lt;&gt;"Sim","Aguardando conferência",IF(INDEX('ITENS_MTR'!$AM$6:$AM$1005,S791)=1,"Conferido (ver diferença no item)","Conferido"))))))))))))</f>
        <v/>
      </c>
      <c r="Q791" s="96">
        <f>IF(COUNTA(C791,E791:G791,I791:O791)&gt;0,1,0)</f>
        <v>0</v>
      </c>
      <c r="R791" s="96" t="str">
        <f>IF(C791="","",TRIM(LEFT(C791,FIND(" |",C791&amp;" |")-1)))</f>
        <v/>
      </c>
      <c r="S791" s="96" t="str">
        <f>IF(R791="","",IFERROR(MATCH(R791,'ITENS_MTR'!$A$6:$A$1005,0),""))</f>
        <v/>
      </c>
      <c r="T791" s="96">
        <f>IF(S791="",0,IF(INDEX('ITENS_MTR'!$R$6:$R$1005,S791)=1,1,0))</f>
        <v>0</v>
      </c>
      <c r="U791" s="96" t="str">
        <f>IF(T791=1,INDEX('ITENS_MTR'!$T$6:$T$1005,S791),"")</f>
        <v/>
      </c>
      <c r="V791" s="97" t="str">
        <f>IF(N(U791)&gt;0,INDEX('MTRs'!$E$6:$E$505,U791),"")</f>
        <v/>
      </c>
      <c r="W791" s="96" t="str">
        <f>IF(G791="","",IFERROR(IF(ISNUMBER(INDEX(cfg_fac,MATCH(G791,cfg_units,0))),IF(INDEX(cfg_fac,MATCH(G791,cfg_units,0))&gt;0,INDEX(cfg_fac,MATCH(G791,cfg_units,0)),""),""),""))</f>
        <v/>
      </c>
      <c r="X791" s="96">
        <f>IF(AND(ISNUMBER(F791),ISNUMBER(H791)),IF(H791&gt;0,1,0),0)</f>
        <v>0</v>
      </c>
      <c r="Y791" s="96">
        <f>IF(Q791=0,0,IF(OR(T791=0,X791=0,NOT(ISNUMBER(E791)),AND(J791="Sim",L791="",M791=""),AND(ISNUMBER(E791),ISNUMBER(V791),N(V791)&gt;0,E791&lt;N(V791))),1,0))</f>
        <v>0</v>
      </c>
      <c r="Z791" s="96">
        <f>IF(AND(Q791=1,T791=1,X791=1,J791="Sim",OR(L791&lt;&gt;"",M791&lt;&gt;"")),1,0)</f>
        <v>0</v>
      </c>
      <c r="AA791" s="96">
        <f>IF(Q791=0,0,IF(AND(OR(r_ini="",AND(ISNUMBER(E791),E791&gt;=r_ini)),OR(r_fim="",AND(ISNUMBER(E791),E791&lt;=r_fim)),OR(r_un="",r_un="(Todas)",IF(N(U791)&gt;0,INDEX('MTRs'!$G$6:$G$505,U791),"")=r_un),OR(r_de="",r_de="(Todos)",D791=r_de)),1,0))</f>
        <v>0</v>
      </c>
      <c r="AB791" s="96" t="str">
        <f>IF(AA791=1,COUNTIF($AA$6:AA791,1),"")</f>
        <v/>
      </c>
    </row>
    <row r="792">
      <c r="A792" s="89" t="inlineStr">
        <is>
          <t>REC-000787</t>
        </is>
      </c>
      <c r="B792" s="94" t="str">
        <f>IF(T792=1,INDEX('ITENS_MTR'!$S$6:$S$1005,S792)&amp;"","")</f>
        <v/>
      </c>
      <c r="C792" s="91" t="n"/>
      <c r="D792" s="94" t="str">
        <f>IF(N(U792)&gt;0,INDEX('MTRs'!$I$6:$I$505,U792)&amp;"","")</f>
        <v/>
      </c>
      <c r="E792" s="92" t="n"/>
      <c r="F792" s="98" t="n"/>
      <c r="G792" s="91" t="n"/>
      <c r="H792" s="93" t="str">
        <f>IF(Q792=0,"",IF(NOT(ISNUMBER(F792)),"",IF(ISNUMBER(W792),F792*W792,"UNIDADE A CONFERIR")))</f>
        <v/>
      </c>
      <c r="I792" s="91" t="n"/>
      <c r="J792" s="91" t="n"/>
      <c r="K792" s="92" t="n"/>
      <c r="L792" s="91" t="n"/>
      <c r="M792" s="91" t="n"/>
      <c r="N792" s="91" t="n"/>
      <c r="O792" s="91" t="n"/>
      <c r="P792" s="94" t="str">
        <f>IF(Q792=0,"",IF(C792="","Item de resíduo não informado",IF(T792=0,"Item inexistente (referência inválida)",IF(NOT(ISNUMBER(F792)),"Quantidade não informada",IF(F792&lt;=0,"Quantidade não positiva",IF(G792="","Unidade não informada",IF(NOT(ISNUMBER(H792)),"Unidade a conferir",IF(NOT(ISNUMBER(E792)),"Data de recebimento não informada",IF(AND(ISNUMBER(V792),N(V792)&gt;0,E792&lt;N(V792)),"Data anterior à emissão do MTR",IF(AND(J792="Sim",L792="",M792=""),"Conferido sem evidência identificada",IF(J792&lt;&gt;"Sim","Aguardando conferência",IF(INDEX('ITENS_MTR'!$AM$6:$AM$1005,S792)=1,"Conferido (ver diferença no item)","Conferido"))))))))))))</f>
        <v/>
      </c>
      <c r="Q792" s="96">
        <f>IF(COUNTA(C792,E792:G792,I792:O792)&gt;0,1,0)</f>
        <v>0</v>
      </c>
      <c r="R792" s="96" t="str">
        <f>IF(C792="","",TRIM(LEFT(C792,FIND(" |",C792&amp;" |")-1)))</f>
        <v/>
      </c>
      <c r="S792" s="96" t="str">
        <f>IF(R792="","",IFERROR(MATCH(R792,'ITENS_MTR'!$A$6:$A$1005,0),""))</f>
        <v/>
      </c>
      <c r="T792" s="96">
        <f>IF(S792="",0,IF(INDEX('ITENS_MTR'!$R$6:$R$1005,S792)=1,1,0))</f>
        <v>0</v>
      </c>
      <c r="U792" s="96" t="str">
        <f>IF(T792=1,INDEX('ITENS_MTR'!$T$6:$T$1005,S792),"")</f>
        <v/>
      </c>
      <c r="V792" s="97" t="str">
        <f>IF(N(U792)&gt;0,INDEX('MTRs'!$E$6:$E$505,U792),"")</f>
        <v/>
      </c>
      <c r="W792" s="96" t="str">
        <f>IF(G792="","",IFERROR(IF(ISNUMBER(INDEX(cfg_fac,MATCH(G792,cfg_units,0))),IF(INDEX(cfg_fac,MATCH(G792,cfg_units,0))&gt;0,INDEX(cfg_fac,MATCH(G792,cfg_units,0)),""),""),""))</f>
        <v/>
      </c>
      <c r="X792" s="96">
        <f>IF(AND(ISNUMBER(F792),ISNUMBER(H792)),IF(H792&gt;0,1,0),0)</f>
        <v>0</v>
      </c>
      <c r="Y792" s="96">
        <f>IF(Q792=0,0,IF(OR(T792=0,X792=0,NOT(ISNUMBER(E792)),AND(J792="Sim",L792="",M792=""),AND(ISNUMBER(E792),ISNUMBER(V792),N(V792)&gt;0,E792&lt;N(V792))),1,0))</f>
        <v>0</v>
      </c>
      <c r="Z792" s="96">
        <f>IF(AND(Q792=1,T792=1,X792=1,J792="Sim",OR(L792&lt;&gt;"",M792&lt;&gt;"")),1,0)</f>
        <v>0</v>
      </c>
      <c r="AA792" s="96">
        <f>IF(Q792=0,0,IF(AND(OR(r_ini="",AND(ISNUMBER(E792),E792&gt;=r_ini)),OR(r_fim="",AND(ISNUMBER(E792),E792&lt;=r_fim)),OR(r_un="",r_un="(Todas)",IF(N(U792)&gt;0,INDEX('MTRs'!$G$6:$G$505,U792),"")=r_un),OR(r_de="",r_de="(Todos)",D792=r_de)),1,0))</f>
        <v>0</v>
      </c>
      <c r="AB792" s="96" t="str">
        <f>IF(AA792=1,COUNTIF($AA$6:AA792,1),"")</f>
        <v/>
      </c>
    </row>
    <row r="793">
      <c r="A793" s="89" t="inlineStr">
        <is>
          <t>REC-000788</t>
        </is>
      </c>
      <c r="B793" s="94" t="str">
        <f>IF(T793=1,INDEX('ITENS_MTR'!$S$6:$S$1005,S793)&amp;"","")</f>
        <v/>
      </c>
      <c r="C793" s="91" t="n"/>
      <c r="D793" s="94" t="str">
        <f>IF(N(U793)&gt;0,INDEX('MTRs'!$I$6:$I$505,U793)&amp;"","")</f>
        <v/>
      </c>
      <c r="E793" s="92" t="n"/>
      <c r="F793" s="98" t="n"/>
      <c r="G793" s="91" t="n"/>
      <c r="H793" s="93" t="str">
        <f>IF(Q793=0,"",IF(NOT(ISNUMBER(F793)),"",IF(ISNUMBER(W793),F793*W793,"UNIDADE A CONFERIR")))</f>
        <v/>
      </c>
      <c r="I793" s="91" t="n"/>
      <c r="J793" s="91" t="n"/>
      <c r="K793" s="92" t="n"/>
      <c r="L793" s="91" t="n"/>
      <c r="M793" s="91" t="n"/>
      <c r="N793" s="91" t="n"/>
      <c r="O793" s="91" t="n"/>
      <c r="P793" s="94" t="str">
        <f>IF(Q793=0,"",IF(C793="","Item de resíduo não informado",IF(T793=0,"Item inexistente (referência inválida)",IF(NOT(ISNUMBER(F793)),"Quantidade não informada",IF(F793&lt;=0,"Quantidade não positiva",IF(G793="","Unidade não informada",IF(NOT(ISNUMBER(H793)),"Unidade a conferir",IF(NOT(ISNUMBER(E793)),"Data de recebimento não informada",IF(AND(ISNUMBER(V793),N(V793)&gt;0,E793&lt;N(V793)),"Data anterior à emissão do MTR",IF(AND(J793="Sim",L793="",M793=""),"Conferido sem evidência identificada",IF(J793&lt;&gt;"Sim","Aguardando conferência",IF(INDEX('ITENS_MTR'!$AM$6:$AM$1005,S793)=1,"Conferido (ver diferença no item)","Conferido"))))))))))))</f>
        <v/>
      </c>
      <c r="Q793" s="96">
        <f>IF(COUNTA(C793,E793:G793,I793:O793)&gt;0,1,0)</f>
        <v>0</v>
      </c>
      <c r="R793" s="96" t="str">
        <f>IF(C793="","",TRIM(LEFT(C793,FIND(" |",C793&amp;" |")-1)))</f>
        <v/>
      </c>
      <c r="S793" s="96" t="str">
        <f>IF(R793="","",IFERROR(MATCH(R793,'ITENS_MTR'!$A$6:$A$1005,0),""))</f>
        <v/>
      </c>
      <c r="T793" s="96">
        <f>IF(S793="",0,IF(INDEX('ITENS_MTR'!$R$6:$R$1005,S793)=1,1,0))</f>
        <v>0</v>
      </c>
      <c r="U793" s="96" t="str">
        <f>IF(T793=1,INDEX('ITENS_MTR'!$T$6:$T$1005,S793),"")</f>
        <v/>
      </c>
      <c r="V793" s="97" t="str">
        <f>IF(N(U793)&gt;0,INDEX('MTRs'!$E$6:$E$505,U793),"")</f>
        <v/>
      </c>
      <c r="W793" s="96" t="str">
        <f>IF(G793="","",IFERROR(IF(ISNUMBER(INDEX(cfg_fac,MATCH(G793,cfg_units,0))),IF(INDEX(cfg_fac,MATCH(G793,cfg_units,0))&gt;0,INDEX(cfg_fac,MATCH(G793,cfg_units,0)),""),""),""))</f>
        <v/>
      </c>
      <c r="X793" s="96">
        <f>IF(AND(ISNUMBER(F793),ISNUMBER(H793)),IF(H793&gt;0,1,0),0)</f>
        <v>0</v>
      </c>
      <c r="Y793" s="96">
        <f>IF(Q793=0,0,IF(OR(T793=0,X793=0,NOT(ISNUMBER(E793)),AND(J793="Sim",L793="",M793=""),AND(ISNUMBER(E793),ISNUMBER(V793),N(V793)&gt;0,E793&lt;N(V793))),1,0))</f>
        <v>0</v>
      </c>
      <c r="Z793" s="96">
        <f>IF(AND(Q793=1,T793=1,X793=1,J793="Sim",OR(L793&lt;&gt;"",M793&lt;&gt;"")),1,0)</f>
        <v>0</v>
      </c>
      <c r="AA793" s="96">
        <f>IF(Q793=0,0,IF(AND(OR(r_ini="",AND(ISNUMBER(E793),E793&gt;=r_ini)),OR(r_fim="",AND(ISNUMBER(E793),E793&lt;=r_fim)),OR(r_un="",r_un="(Todas)",IF(N(U793)&gt;0,INDEX('MTRs'!$G$6:$G$505,U793),"")=r_un),OR(r_de="",r_de="(Todos)",D793=r_de)),1,0))</f>
        <v>0</v>
      </c>
      <c r="AB793" s="96" t="str">
        <f>IF(AA793=1,COUNTIF($AA$6:AA793,1),"")</f>
        <v/>
      </c>
    </row>
    <row r="794">
      <c r="A794" s="89" t="inlineStr">
        <is>
          <t>REC-000789</t>
        </is>
      </c>
      <c r="B794" s="94" t="str">
        <f>IF(T794=1,INDEX('ITENS_MTR'!$S$6:$S$1005,S794)&amp;"","")</f>
        <v/>
      </c>
      <c r="C794" s="91" t="n"/>
      <c r="D794" s="94" t="str">
        <f>IF(N(U794)&gt;0,INDEX('MTRs'!$I$6:$I$505,U794)&amp;"","")</f>
        <v/>
      </c>
      <c r="E794" s="92" t="n"/>
      <c r="F794" s="98" t="n"/>
      <c r="G794" s="91" t="n"/>
      <c r="H794" s="93" t="str">
        <f>IF(Q794=0,"",IF(NOT(ISNUMBER(F794)),"",IF(ISNUMBER(W794),F794*W794,"UNIDADE A CONFERIR")))</f>
        <v/>
      </c>
      <c r="I794" s="91" t="n"/>
      <c r="J794" s="91" t="n"/>
      <c r="K794" s="92" t="n"/>
      <c r="L794" s="91" t="n"/>
      <c r="M794" s="91" t="n"/>
      <c r="N794" s="91" t="n"/>
      <c r="O794" s="91" t="n"/>
      <c r="P794" s="94" t="str">
        <f>IF(Q794=0,"",IF(C794="","Item de resíduo não informado",IF(T794=0,"Item inexistente (referência inválida)",IF(NOT(ISNUMBER(F794)),"Quantidade não informada",IF(F794&lt;=0,"Quantidade não positiva",IF(G794="","Unidade não informada",IF(NOT(ISNUMBER(H794)),"Unidade a conferir",IF(NOT(ISNUMBER(E794)),"Data de recebimento não informada",IF(AND(ISNUMBER(V794),N(V794)&gt;0,E794&lt;N(V794)),"Data anterior à emissão do MTR",IF(AND(J794="Sim",L794="",M794=""),"Conferido sem evidência identificada",IF(J794&lt;&gt;"Sim","Aguardando conferência",IF(INDEX('ITENS_MTR'!$AM$6:$AM$1005,S794)=1,"Conferido (ver diferença no item)","Conferido"))))))))))))</f>
        <v/>
      </c>
      <c r="Q794" s="96">
        <f>IF(COUNTA(C794,E794:G794,I794:O794)&gt;0,1,0)</f>
        <v>0</v>
      </c>
      <c r="R794" s="96" t="str">
        <f>IF(C794="","",TRIM(LEFT(C794,FIND(" |",C794&amp;" |")-1)))</f>
        <v/>
      </c>
      <c r="S794" s="96" t="str">
        <f>IF(R794="","",IFERROR(MATCH(R794,'ITENS_MTR'!$A$6:$A$1005,0),""))</f>
        <v/>
      </c>
      <c r="T794" s="96">
        <f>IF(S794="",0,IF(INDEX('ITENS_MTR'!$R$6:$R$1005,S794)=1,1,0))</f>
        <v>0</v>
      </c>
      <c r="U794" s="96" t="str">
        <f>IF(T794=1,INDEX('ITENS_MTR'!$T$6:$T$1005,S794),"")</f>
        <v/>
      </c>
      <c r="V794" s="97" t="str">
        <f>IF(N(U794)&gt;0,INDEX('MTRs'!$E$6:$E$505,U794),"")</f>
        <v/>
      </c>
      <c r="W794" s="96" t="str">
        <f>IF(G794="","",IFERROR(IF(ISNUMBER(INDEX(cfg_fac,MATCH(G794,cfg_units,0))),IF(INDEX(cfg_fac,MATCH(G794,cfg_units,0))&gt;0,INDEX(cfg_fac,MATCH(G794,cfg_units,0)),""),""),""))</f>
        <v/>
      </c>
      <c r="X794" s="96">
        <f>IF(AND(ISNUMBER(F794),ISNUMBER(H794)),IF(H794&gt;0,1,0),0)</f>
        <v>0</v>
      </c>
      <c r="Y794" s="96">
        <f>IF(Q794=0,0,IF(OR(T794=0,X794=0,NOT(ISNUMBER(E794)),AND(J794="Sim",L794="",M794=""),AND(ISNUMBER(E794),ISNUMBER(V794),N(V794)&gt;0,E794&lt;N(V794))),1,0))</f>
        <v>0</v>
      </c>
      <c r="Z794" s="96">
        <f>IF(AND(Q794=1,T794=1,X794=1,J794="Sim",OR(L794&lt;&gt;"",M794&lt;&gt;"")),1,0)</f>
        <v>0</v>
      </c>
      <c r="AA794" s="96">
        <f>IF(Q794=0,0,IF(AND(OR(r_ini="",AND(ISNUMBER(E794),E794&gt;=r_ini)),OR(r_fim="",AND(ISNUMBER(E794),E794&lt;=r_fim)),OR(r_un="",r_un="(Todas)",IF(N(U794)&gt;0,INDEX('MTRs'!$G$6:$G$505,U794),"")=r_un),OR(r_de="",r_de="(Todos)",D794=r_de)),1,0))</f>
        <v>0</v>
      </c>
      <c r="AB794" s="96" t="str">
        <f>IF(AA794=1,COUNTIF($AA$6:AA794,1),"")</f>
        <v/>
      </c>
    </row>
    <row r="795">
      <c r="A795" s="89" t="inlineStr">
        <is>
          <t>REC-000790</t>
        </is>
      </c>
      <c r="B795" s="94" t="str">
        <f>IF(T795=1,INDEX('ITENS_MTR'!$S$6:$S$1005,S795)&amp;"","")</f>
        <v/>
      </c>
      <c r="C795" s="91" t="n"/>
      <c r="D795" s="94" t="str">
        <f>IF(N(U795)&gt;0,INDEX('MTRs'!$I$6:$I$505,U795)&amp;"","")</f>
        <v/>
      </c>
      <c r="E795" s="92" t="n"/>
      <c r="F795" s="98" t="n"/>
      <c r="G795" s="91" t="n"/>
      <c r="H795" s="93" t="str">
        <f>IF(Q795=0,"",IF(NOT(ISNUMBER(F795)),"",IF(ISNUMBER(W795),F795*W795,"UNIDADE A CONFERIR")))</f>
        <v/>
      </c>
      <c r="I795" s="91" t="n"/>
      <c r="J795" s="91" t="n"/>
      <c r="K795" s="92" t="n"/>
      <c r="L795" s="91" t="n"/>
      <c r="M795" s="91" t="n"/>
      <c r="N795" s="91" t="n"/>
      <c r="O795" s="91" t="n"/>
      <c r="P795" s="94" t="str">
        <f>IF(Q795=0,"",IF(C795="","Item de resíduo não informado",IF(T795=0,"Item inexistente (referência inválida)",IF(NOT(ISNUMBER(F795)),"Quantidade não informada",IF(F795&lt;=0,"Quantidade não positiva",IF(G795="","Unidade não informada",IF(NOT(ISNUMBER(H795)),"Unidade a conferir",IF(NOT(ISNUMBER(E795)),"Data de recebimento não informada",IF(AND(ISNUMBER(V795),N(V795)&gt;0,E795&lt;N(V795)),"Data anterior à emissão do MTR",IF(AND(J795="Sim",L795="",M795=""),"Conferido sem evidência identificada",IF(J795&lt;&gt;"Sim","Aguardando conferência",IF(INDEX('ITENS_MTR'!$AM$6:$AM$1005,S795)=1,"Conferido (ver diferença no item)","Conferido"))))))))))))</f>
        <v/>
      </c>
      <c r="Q795" s="96">
        <f>IF(COUNTA(C795,E795:G795,I795:O795)&gt;0,1,0)</f>
        <v>0</v>
      </c>
      <c r="R795" s="96" t="str">
        <f>IF(C795="","",TRIM(LEFT(C795,FIND(" |",C795&amp;" |")-1)))</f>
        <v/>
      </c>
      <c r="S795" s="96" t="str">
        <f>IF(R795="","",IFERROR(MATCH(R795,'ITENS_MTR'!$A$6:$A$1005,0),""))</f>
        <v/>
      </c>
      <c r="T795" s="96">
        <f>IF(S795="",0,IF(INDEX('ITENS_MTR'!$R$6:$R$1005,S795)=1,1,0))</f>
        <v>0</v>
      </c>
      <c r="U795" s="96" t="str">
        <f>IF(T795=1,INDEX('ITENS_MTR'!$T$6:$T$1005,S795),"")</f>
        <v/>
      </c>
      <c r="V795" s="97" t="str">
        <f>IF(N(U795)&gt;0,INDEX('MTRs'!$E$6:$E$505,U795),"")</f>
        <v/>
      </c>
      <c r="W795" s="96" t="str">
        <f>IF(G795="","",IFERROR(IF(ISNUMBER(INDEX(cfg_fac,MATCH(G795,cfg_units,0))),IF(INDEX(cfg_fac,MATCH(G795,cfg_units,0))&gt;0,INDEX(cfg_fac,MATCH(G795,cfg_units,0)),""),""),""))</f>
        <v/>
      </c>
      <c r="X795" s="96">
        <f>IF(AND(ISNUMBER(F795),ISNUMBER(H795)),IF(H795&gt;0,1,0),0)</f>
        <v>0</v>
      </c>
      <c r="Y795" s="96">
        <f>IF(Q795=0,0,IF(OR(T795=0,X795=0,NOT(ISNUMBER(E795)),AND(J795="Sim",L795="",M795=""),AND(ISNUMBER(E795),ISNUMBER(V795),N(V795)&gt;0,E795&lt;N(V795))),1,0))</f>
        <v>0</v>
      </c>
      <c r="Z795" s="96">
        <f>IF(AND(Q795=1,T795=1,X795=1,J795="Sim",OR(L795&lt;&gt;"",M795&lt;&gt;"")),1,0)</f>
        <v>0</v>
      </c>
      <c r="AA795" s="96">
        <f>IF(Q795=0,0,IF(AND(OR(r_ini="",AND(ISNUMBER(E795),E795&gt;=r_ini)),OR(r_fim="",AND(ISNUMBER(E795),E795&lt;=r_fim)),OR(r_un="",r_un="(Todas)",IF(N(U795)&gt;0,INDEX('MTRs'!$G$6:$G$505,U795),"")=r_un),OR(r_de="",r_de="(Todos)",D795=r_de)),1,0))</f>
        <v>0</v>
      </c>
      <c r="AB795" s="96" t="str">
        <f>IF(AA795=1,COUNTIF($AA$6:AA795,1),"")</f>
        <v/>
      </c>
    </row>
    <row r="796">
      <c r="A796" s="89" t="inlineStr">
        <is>
          <t>REC-000791</t>
        </is>
      </c>
      <c r="B796" s="94" t="str">
        <f>IF(T796=1,INDEX('ITENS_MTR'!$S$6:$S$1005,S796)&amp;"","")</f>
        <v/>
      </c>
      <c r="C796" s="91" t="n"/>
      <c r="D796" s="94" t="str">
        <f>IF(N(U796)&gt;0,INDEX('MTRs'!$I$6:$I$505,U796)&amp;"","")</f>
        <v/>
      </c>
      <c r="E796" s="92" t="n"/>
      <c r="F796" s="98" t="n"/>
      <c r="G796" s="91" t="n"/>
      <c r="H796" s="93" t="str">
        <f>IF(Q796=0,"",IF(NOT(ISNUMBER(F796)),"",IF(ISNUMBER(W796),F796*W796,"UNIDADE A CONFERIR")))</f>
        <v/>
      </c>
      <c r="I796" s="91" t="n"/>
      <c r="J796" s="91" t="n"/>
      <c r="K796" s="92" t="n"/>
      <c r="L796" s="91" t="n"/>
      <c r="M796" s="91" t="n"/>
      <c r="N796" s="91" t="n"/>
      <c r="O796" s="91" t="n"/>
      <c r="P796" s="94" t="str">
        <f>IF(Q796=0,"",IF(C796="","Item de resíduo não informado",IF(T796=0,"Item inexistente (referência inválida)",IF(NOT(ISNUMBER(F796)),"Quantidade não informada",IF(F796&lt;=0,"Quantidade não positiva",IF(G796="","Unidade não informada",IF(NOT(ISNUMBER(H796)),"Unidade a conferir",IF(NOT(ISNUMBER(E796)),"Data de recebimento não informada",IF(AND(ISNUMBER(V796),N(V796)&gt;0,E796&lt;N(V796)),"Data anterior à emissão do MTR",IF(AND(J796="Sim",L796="",M796=""),"Conferido sem evidência identificada",IF(J796&lt;&gt;"Sim","Aguardando conferência",IF(INDEX('ITENS_MTR'!$AM$6:$AM$1005,S796)=1,"Conferido (ver diferença no item)","Conferido"))))))))))))</f>
        <v/>
      </c>
      <c r="Q796" s="96">
        <f>IF(COUNTA(C796,E796:G796,I796:O796)&gt;0,1,0)</f>
        <v>0</v>
      </c>
      <c r="R796" s="96" t="str">
        <f>IF(C796="","",TRIM(LEFT(C796,FIND(" |",C796&amp;" |")-1)))</f>
        <v/>
      </c>
      <c r="S796" s="96" t="str">
        <f>IF(R796="","",IFERROR(MATCH(R796,'ITENS_MTR'!$A$6:$A$1005,0),""))</f>
        <v/>
      </c>
      <c r="T796" s="96">
        <f>IF(S796="",0,IF(INDEX('ITENS_MTR'!$R$6:$R$1005,S796)=1,1,0))</f>
        <v>0</v>
      </c>
      <c r="U796" s="96" t="str">
        <f>IF(T796=1,INDEX('ITENS_MTR'!$T$6:$T$1005,S796),"")</f>
        <v/>
      </c>
      <c r="V796" s="97" t="str">
        <f>IF(N(U796)&gt;0,INDEX('MTRs'!$E$6:$E$505,U796),"")</f>
        <v/>
      </c>
      <c r="W796" s="96" t="str">
        <f>IF(G796="","",IFERROR(IF(ISNUMBER(INDEX(cfg_fac,MATCH(G796,cfg_units,0))),IF(INDEX(cfg_fac,MATCH(G796,cfg_units,0))&gt;0,INDEX(cfg_fac,MATCH(G796,cfg_units,0)),""),""),""))</f>
        <v/>
      </c>
      <c r="X796" s="96">
        <f>IF(AND(ISNUMBER(F796),ISNUMBER(H796)),IF(H796&gt;0,1,0),0)</f>
        <v>0</v>
      </c>
      <c r="Y796" s="96">
        <f>IF(Q796=0,0,IF(OR(T796=0,X796=0,NOT(ISNUMBER(E796)),AND(J796="Sim",L796="",M796=""),AND(ISNUMBER(E796),ISNUMBER(V796),N(V796)&gt;0,E796&lt;N(V796))),1,0))</f>
        <v>0</v>
      </c>
      <c r="Z796" s="96">
        <f>IF(AND(Q796=1,T796=1,X796=1,J796="Sim",OR(L796&lt;&gt;"",M796&lt;&gt;"")),1,0)</f>
        <v>0</v>
      </c>
      <c r="AA796" s="96">
        <f>IF(Q796=0,0,IF(AND(OR(r_ini="",AND(ISNUMBER(E796),E796&gt;=r_ini)),OR(r_fim="",AND(ISNUMBER(E796),E796&lt;=r_fim)),OR(r_un="",r_un="(Todas)",IF(N(U796)&gt;0,INDEX('MTRs'!$G$6:$G$505,U796),"")=r_un),OR(r_de="",r_de="(Todos)",D796=r_de)),1,0))</f>
        <v>0</v>
      </c>
      <c r="AB796" s="96" t="str">
        <f>IF(AA796=1,COUNTIF($AA$6:AA796,1),"")</f>
        <v/>
      </c>
    </row>
    <row r="797">
      <c r="A797" s="89" t="inlineStr">
        <is>
          <t>REC-000792</t>
        </is>
      </c>
      <c r="B797" s="94" t="str">
        <f>IF(T797=1,INDEX('ITENS_MTR'!$S$6:$S$1005,S797)&amp;"","")</f>
        <v/>
      </c>
      <c r="C797" s="91" t="n"/>
      <c r="D797" s="94" t="str">
        <f>IF(N(U797)&gt;0,INDEX('MTRs'!$I$6:$I$505,U797)&amp;"","")</f>
        <v/>
      </c>
      <c r="E797" s="92" t="n"/>
      <c r="F797" s="98" t="n"/>
      <c r="G797" s="91" t="n"/>
      <c r="H797" s="93" t="str">
        <f>IF(Q797=0,"",IF(NOT(ISNUMBER(F797)),"",IF(ISNUMBER(W797),F797*W797,"UNIDADE A CONFERIR")))</f>
        <v/>
      </c>
      <c r="I797" s="91" t="n"/>
      <c r="J797" s="91" t="n"/>
      <c r="K797" s="92" t="n"/>
      <c r="L797" s="91" t="n"/>
      <c r="M797" s="91" t="n"/>
      <c r="N797" s="91" t="n"/>
      <c r="O797" s="91" t="n"/>
      <c r="P797" s="94" t="str">
        <f>IF(Q797=0,"",IF(C797="","Item de resíduo não informado",IF(T797=0,"Item inexistente (referência inválida)",IF(NOT(ISNUMBER(F797)),"Quantidade não informada",IF(F797&lt;=0,"Quantidade não positiva",IF(G797="","Unidade não informada",IF(NOT(ISNUMBER(H797)),"Unidade a conferir",IF(NOT(ISNUMBER(E797)),"Data de recebimento não informada",IF(AND(ISNUMBER(V797),N(V797)&gt;0,E797&lt;N(V797)),"Data anterior à emissão do MTR",IF(AND(J797="Sim",L797="",M797=""),"Conferido sem evidência identificada",IF(J797&lt;&gt;"Sim","Aguardando conferência",IF(INDEX('ITENS_MTR'!$AM$6:$AM$1005,S797)=1,"Conferido (ver diferença no item)","Conferido"))))))))))))</f>
        <v/>
      </c>
      <c r="Q797" s="96">
        <f>IF(COUNTA(C797,E797:G797,I797:O797)&gt;0,1,0)</f>
        <v>0</v>
      </c>
      <c r="R797" s="96" t="str">
        <f>IF(C797="","",TRIM(LEFT(C797,FIND(" |",C797&amp;" |")-1)))</f>
        <v/>
      </c>
      <c r="S797" s="96" t="str">
        <f>IF(R797="","",IFERROR(MATCH(R797,'ITENS_MTR'!$A$6:$A$1005,0),""))</f>
        <v/>
      </c>
      <c r="T797" s="96">
        <f>IF(S797="",0,IF(INDEX('ITENS_MTR'!$R$6:$R$1005,S797)=1,1,0))</f>
        <v>0</v>
      </c>
      <c r="U797" s="96" t="str">
        <f>IF(T797=1,INDEX('ITENS_MTR'!$T$6:$T$1005,S797),"")</f>
        <v/>
      </c>
      <c r="V797" s="97" t="str">
        <f>IF(N(U797)&gt;0,INDEX('MTRs'!$E$6:$E$505,U797),"")</f>
        <v/>
      </c>
      <c r="W797" s="96" t="str">
        <f>IF(G797="","",IFERROR(IF(ISNUMBER(INDEX(cfg_fac,MATCH(G797,cfg_units,0))),IF(INDEX(cfg_fac,MATCH(G797,cfg_units,0))&gt;0,INDEX(cfg_fac,MATCH(G797,cfg_units,0)),""),""),""))</f>
        <v/>
      </c>
      <c r="X797" s="96">
        <f>IF(AND(ISNUMBER(F797),ISNUMBER(H797)),IF(H797&gt;0,1,0),0)</f>
        <v>0</v>
      </c>
      <c r="Y797" s="96">
        <f>IF(Q797=0,0,IF(OR(T797=0,X797=0,NOT(ISNUMBER(E797)),AND(J797="Sim",L797="",M797=""),AND(ISNUMBER(E797),ISNUMBER(V797),N(V797)&gt;0,E797&lt;N(V797))),1,0))</f>
        <v>0</v>
      </c>
      <c r="Z797" s="96">
        <f>IF(AND(Q797=1,T797=1,X797=1,J797="Sim",OR(L797&lt;&gt;"",M797&lt;&gt;"")),1,0)</f>
        <v>0</v>
      </c>
      <c r="AA797" s="96">
        <f>IF(Q797=0,0,IF(AND(OR(r_ini="",AND(ISNUMBER(E797),E797&gt;=r_ini)),OR(r_fim="",AND(ISNUMBER(E797),E797&lt;=r_fim)),OR(r_un="",r_un="(Todas)",IF(N(U797)&gt;0,INDEX('MTRs'!$G$6:$G$505,U797),"")=r_un),OR(r_de="",r_de="(Todos)",D797=r_de)),1,0))</f>
        <v>0</v>
      </c>
      <c r="AB797" s="96" t="str">
        <f>IF(AA797=1,COUNTIF($AA$6:AA797,1),"")</f>
        <v/>
      </c>
    </row>
    <row r="798">
      <c r="A798" s="89" t="inlineStr">
        <is>
          <t>REC-000793</t>
        </is>
      </c>
      <c r="B798" s="94" t="str">
        <f>IF(T798=1,INDEX('ITENS_MTR'!$S$6:$S$1005,S798)&amp;"","")</f>
        <v/>
      </c>
      <c r="C798" s="91" t="n"/>
      <c r="D798" s="94" t="str">
        <f>IF(N(U798)&gt;0,INDEX('MTRs'!$I$6:$I$505,U798)&amp;"","")</f>
        <v/>
      </c>
      <c r="E798" s="92" t="n"/>
      <c r="F798" s="98" t="n"/>
      <c r="G798" s="91" t="n"/>
      <c r="H798" s="93" t="str">
        <f>IF(Q798=0,"",IF(NOT(ISNUMBER(F798)),"",IF(ISNUMBER(W798),F798*W798,"UNIDADE A CONFERIR")))</f>
        <v/>
      </c>
      <c r="I798" s="91" t="n"/>
      <c r="J798" s="91" t="n"/>
      <c r="K798" s="92" t="n"/>
      <c r="L798" s="91" t="n"/>
      <c r="M798" s="91" t="n"/>
      <c r="N798" s="91" t="n"/>
      <c r="O798" s="91" t="n"/>
      <c r="P798" s="94" t="str">
        <f>IF(Q798=0,"",IF(C798="","Item de resíduo não informado",IF(T798=0,"Item inexistente (referência inválida)",IF(NOT(ISNUMBER(F798)),"Quantidade não informada",IF(F798&lt;=0,"Quantidade não positiva",IF(G798="","Unidade não informada",IF(NOT(ISNUMBER(H798)),"Unidade a conferir",IF(NOT(ISNUMBER(E798)),"Data de recebimento não informada",IF(AND(ISNUMBER(V798),N(V798)&gt;0,E798&lt;N(V798)),"Data anterior à emissão do MTR",IF(AND(J798="Sim",L798="",M798=""),"Conferido sem evidência identificada",IF(J798&lt;&gt;"Sim","Aguardando conferência",IF(INDEX('ITENS_MTR'!$AM$6:$AM$1005,S798)=1,"Conferido (ver diferença no item)","Conferido"))))))))))))</f>
        <v/>
      </c>
      <c r="Q798" s="96">
        <f>IF(COUNTA(C798,E798:G798,I798:O798)&gt;0,1,0)</f>
        <v>0</v>
      </c>
      <c r="R798" s="96" t="str">
        <f>IF(C798="","",TRIM(LEFT(C798,FIND(" |",C798&amp;" |")-1)))</f>
        <v/>
      </c>
      <c r="S798" s="96" t="str">
        <f>IF(R798="","",IFERROR(MATCH(R798,'ITENS_MTR'!$A$6:$A$1005,0),""))</f>
        <v/>
      </c>
      <c r="T798" s="96">
        <f>IF(S798="",0,IF(INDEX('ITENS_MTR'!$R$6:$R$1005,S798)=1,1,0))</f>
        <v>0</v>
      </c>
      <c r="U798" s="96" t="str">
        <f>IF(T798=1,INDEX('ITENS_MTR'!$T$6:$T$1005,S798),"")</f>
        <v/>
      </c>
      <c r="V798" s="97" t="str">
        <f>IF(N(U798)&gt;0,INDEX('MTRs'!$E$6:$E$505,U798),"")</f>
        <v/>
      </c>
      <c r="W798" s="96" t="str">
        <f>IF(G798="","",IFERROR(IF(ISNUMBER(INDEX(cfg_fac,MATCH(G798,cfg_units,0))),IF(INDEX(cfg_fac,MATCH(G798,cfg_units,0))&gt;0,INDEX(cfg_fac,MATCH(G798,cfg_units,0)),""),""),""))</f>
        <v/>
      </c>
      <c r="X798" s="96">
        <f>IF(AND(ISNUMBER(F798),ISNUMBER(H798)),IF(H798&gt;0,1,0),0)</f>
        <v>0</v>
      </c>
      <c r="Y798" s="96">
        <f>IF(Q798=0,0,IF(OR(T798=0,X798=0,NOT(ISNUMBER(E798)),AND(J798="Sim",L798="",M798=""),AND(ISNUMBER(E798),ISNUMBER(V798),N(V798)&gt;0,E798&lt;N(V798))),1,0))</f>
        <v>0</v>
      </c>
      <c r="Z798" s="96">
        <f>IF(AND(Q798=1,T798=1,X798=1,J798="Sim",OR(L798&lt;&gt;"",M798&lt;&gt;"")),1,0)</f>
        <v>0</v>
      </c>
      <c r="AA798" s="96">
        <f>IF(Q798=0,0,IF(AND(OR(r_ini="",AND(ISNUMBER(E798),E798&gt;=r_ini)),OR(r_fim="",AND(ISNUMBER(E798),E798&lt;=r_fim)),OR(r_un="",r_un="(Todas)",IF(N(U798)&gt;0,INDEX('MTRs'!$G$6:$G$505,U798),"")=r_un),OR(r_de="",r_de="(Todos)",D798=r_de)),1,0))</f>
        <v>0</v>
      </c>
      <c r="AB798" s="96" t="str">
        <f>IF(AA798=1,COUNTIF($AA$6:AA798,1),"")</f>
        <v/>
      </c>
    </row>
    <row r="799">
      <c r="A799" s="89" t="inlineStr">
        <is>
          <t>REC-000794</t>
        </is>
      </c>
      <c r="B799" s="94" t="str">
        <f>IF(T799=1,INDEX('ITENS_MTR'!$S$6:$S$1005,S799)&amp;"","")</f>
        <v/>
      </c>
      <c r="C799" s="91" t="n"/>
      <c r="D799" s="94" t="str">
        <f>IF(N(U799)&gt;0,INDEX('MTRs'!$I$6:$I$505,U799)&amp;"","")</f>
        <v/>
      </c>
      <c r="E799" s="92" t="n"/>
      <c r="F799" s="98" t="n"/>
      <c r="G799" s="91" t="n"/>
      <c r="H799" s="93" t="str">
        <f>IF(Q799=0,"",IF(NOT(ISNUMBER(F799)),"",IF(ISNUMBER(W799),F799*W799,"UNIDADE A CONFERIR")))</f>
        <v/>
      </c>
      <c r="I799" s="91" t="n"/>
      <c r="J799" s="91" t="n"/>
      <c r="K799" s="92" t="n"/>
      <c r="L799" s="91" t="n"/>
      <c r="M799" s="91" t="n"/>
      <c r="N799" s="91" t="n"/>
      <c r="O799" s="91" t="n"/>
      <c r="P799" s="94" t="str">
        <f>IF(Q799=0,"",IF(C799="","Item de resíduo não informado",IF(T799=0,"Item inexistente (referência inválida)",IF(NOT(ISNUMBER(F799)),"Quantidade não informada",IF(F799&lt;=0,"Quantidade não positiva",IF(G799="","Unidade não informada",IF(NOT(ISNUMBER(H799)),"Unidade a conferir",IF(NOT(ISNUMBER(E799)),"Data de recebimento não informada",IF(AND(ISNUMBER(V799),N(V799)&gt;0,E799&lt;N(V799)),"Data anterior à emissão do MTR",IF(AND(J799="Sim",L799="",M799=""),"Conferido sem evidência identificada",IF(J799&lt;&gt;"Sim","Aguardando conferência",IF(INDEX('ITENS_MTR'!$AM$6:$AM$1005,S799)=1,"Conferido (ver diferença no item)","Conferido"))))))))))))</f>
        <v/>
      </c>
      <c r="Q799" s="96">
        <f>IF(COUNTA(C799,E799:G799,I799:O799)&gt;0,1,0)</f>
        <v>0</v>
      </c>
      <c r="R799" s="96" t="str">
        <f>IF(C799="","",TRIM(LEFT(C799,FIND(" |",C799&amp;" |")-1)))</f>
        <v/>
      </c>
      <c r="S799" s="96" t="str">
        <f>IF(R799="","",IFERROR(MATCH(R799,'ITENS_MTR'!$A$6:$A$1005,0),""))</f>
        <v/>
      </c>
      <c r="T799" s="96">
        <f>IF(S799="",0,IF(INDEX('ITENS_MTR'!$R$6:$R$1005,S799)=1,1,0))</f>
        <v>0</v>
      </c>
      <c r="U799" s="96" t="str">
        <f>IF(T799=1,INDEX('ITENS_MTR'!$T$6:$T$1005,S799),"")</f>
        <v/>
      </c>
      <c r="V799" s="97" t="str">
        <f>IF(N(U799)&gt;0,INDEX('MTRs'!$E$6:$E$505,U799),"")</f>
        <v/>
      </c>
      <c r="W799" s="96" t="str">
        <f>IF(G799="","",IFERROR(IF(ISNUMBER(INDEX(cfg_fac,MATCH(G799,cfg_units,0))),IF(INDEX(cfg_fac,MATCH(G799,cfg_units,0))&gt;0,INDEX(cfg_fac,MATCH(G799,cfg_units,0)),""),""),""))</f>
        <v/>
      </c>
      <c r="X799" s="96">
        <f>IF(AND(ISNUMBER(F799),ISNUMBER(H799)),IF(H799&gt;0,1,0),0)</f>
        <v>0</v>
      </c>
      <c r="Y799" s="96">
        <f>IF(Q799=0,0,IF(OR(T799=0,X799=0,NOT(ISNUMBER(E799)),AND(J799="Sim",L799="",M799=""),AND(ISNUMBER(E799),ISNUMBER(V799),N(V799)&gt;0,E799&lt;N(V799))),1,0))</f>
        <v>0</v>
      </c>
      <c r="Z799" s="96">
        <f>IF(AND(Q799=1,T799=1,X799=1,J799="Sim",OR(L799&lt;&gt;"",M799&lt;&gt;"")),1,0)</f>
        <v>0</v>
      </c>
      <c r="AA799" s="96">
        <f>IF(Q799=0,0,IF(AND(OR(r_ini="",AND(ISNUMBER(E799),E799&gt;=r_ini)),OR(r_fim="",AND(ISNUMBER(E799),E799&lt;=r_fim)),OR(r_un="",r_un="(Todas)",IF(N(U799)&gt;0,INDEX('MTRs'!$G$6:$G$505,U799),"")=r_un),OR(r_de="",r_de="(Todos)",D799=r_de)),1,0))</f>
        <v>0</v>
      </c>
      <c r="AB799" s="96" t="str">
        <f>IF(AA799=1,COUNTIF($AA$6:AA799,1),"")</f>
        <v/>
      </c>
    </row>
    <row r="800">
      <c r="A800" s="89" t="inlineStr">
        <is>
          <t>REC-000795</t>
        </is>
      </c>
      <c r="B800" s="94" t="str">
        <f>IF(T800=1,INDEX('ITENS_MTR'!$S$6:$S$1005,S800)&amp;"","")</f>
        <v/>
      </c>
      <c r="C800" s="91" t="n"/>
      <c r="D800" s="94" t="str">
        <f>IF(N(U800)&gt;0,INDEX('MTRs'!$I$6:$I$505,U800)&amp;"","")</f>
        <v/>
      </c>
      <c r="E800" s="92" t="n"/>
      <c r="F800" s="98" t="n"/>
      <c r="G800" s="91" t="n"/>
      <c r="H800" s="93" t="str">
        <f>IF(Q800=0,"",IF(NOT(ISNUMBER(F800)),"",IF(ISNUMBER(W800),F800*W800,"UNIDADE A CONFERIR")))</f>
        <v/>
      </c>
      <c r="I800" s="91" t="n"/>
      <c r="J800" s="91" t="n"/>
      <c r="K800" s="92" t="n"/>
      <c r="L800" s="91" t="n"/>
      <c r="M800" s="91" t="n"/>
      <c r="N800" s="91" t="n"/>
      <c r="O800" s="91" t="n"/>
      <c r="P800" s="94" t="str">
        <f>IF(Q800=0,"",IF(C800="","Item de resíduo não informado",IF(T800=0,"Item inexistente (referência inválida)",IF(NOT(ISNUMBER(F800)),"Quantidade não informada",IF(F800&lt;=0,"Quantidade não positiva",IF(G800="","Unidade não informada",IF(NOT(ISNUMBER(H800)),"Unidade a conferir",IF(NOT(ISNUMBER(E800)),"Data de recebimento não informada",IF(AND(ISNUMBER(V800),N(V800)&gt;0,E800&lt;N(V800)),"Data anterior à emissão do MTR",IF(AND(J800="Sim",L800="",M800=""),"Conferido sem evidência identificada",IF(J800&lt;&gt;"Sim","Aguardando conferência",IF(INDEX('ITENS_MTR'!$AM$6:$AM$1005,S800)=1,"Conferido (ver diferença no item)","Conferido"))))))))))))</f>
        <v/>
      </c>
      <c r="Q800" s="96">
        <f>IF(COUNTA(C800,E800:G800,I800:O800)&gt;0,1,0)</f>
        <v>0</v>
      </c>
      <c r="R800" s="96" t="str">
        <f>IF(C800="","",TRIM(LEFT(C800,FIND(" |",C800&amp;" |")-1)))</f>
        <v/>
      </c>
      <c r="S800" s="96" t="str">
        <f>IF(R800="","",IFERROR(MATCH(R800,'ITENS_MTR'!$A$6:$A$1005,0),""))</f>
        <v/>
      </c>
      <c r="T800" s="96">
        <f>IF(S800="",0,IF(INDEX('ITENS_MTR'!$R$6:$R$1005,S800)=1,1,0))</f>
        <v>0</v>
      </c>
      <c r="U800" s="96" t="str">
        <f>IF(T800=1,INDEX('ITENS_MTR'!$T$6:$T$1005,S800),"")</f>
        <v/>
      </c>
      <c r="V800" s="97" t="str">
        <f>IF(N(U800)&gt;0,INDEX('MTRs'!$E$6:$E$505,U800),"")</f>
        <v/>
      </c>
      <c r="W800" s="96" t="str">
        <f>IF(G800="","",IFERROR(IF(ISNUMBER(INDEX(cfg_fac,MATCH(G800,cfg_units,0))),IF(INDEX(cfg_fac,MATCH(G800,cfg_units,0))&gt;0,INDEX(cfg_fac,MATCH(G800,cfg_units,0)),""),""),""))</f>
        <v/>
      </c>
      <c r="X800" s="96">
        <f>IF(AND(ISNUMBER(F800),ISNUMBER(H800)),IF(H800&gt;0,1,0),0)</f>
        <v>0</v>
      </c>
      <c r="Y800" s="96">
        <f>IF(Q800=0,0,IF(OR(T800=0,X800=0,NOT(ISNUMBER(E800)),AND(J800="Sim",L800="",M800=""),AND(ISNUMBER(E800),ISNUMBER(V800),N(V800)&gt;0,E800&lt;N(V800))),1,0))</f>
        <v>0</v>
      </c>
      <c r="Z800" s="96">
        <f>IF(AND(Q800=1,T800=1,X800=1,J800="Sim",OR(L800&lt;&gt;"",M800&lt;&gt;"")),1,0)</f>
        <v>0</v>
      </c>
      <c r="AA800" s="96">
        <f>IF(Q800=0,0,IF(AND(OR(r_ini="",AND(ISNUMBER(E800),E800&gt;=r_ini)),OR(r_fim="",AND(ISNUMBER(E800),E800&lt;=r_fim)),OR(r_un="",r_un="(Todas)",IF(N(U800)&gt;0,INDEX('MTRs'!$G$6:$G$505,U800),"")=r_un),OR(r_de="",r_de="(Todos)",D800=r_de)),1,0))</f>
        <v>0</v>
      </c>
      <c r="AB800" s="96" t="str">
        <f>IF(AA800=1,COUNTIF($AA$6:AA800,1),"")</f>
        <v/>
      </c>
    </row>
    <row r="801">
      <c r="A801" s="89" t="inlineStr">
        <is>
          <t>REC-000796</t>
        </is>
      </c>
      <c r="B801" s="94" t="str">
        <f>IF(T801=1,INDEX('ITENS_MTR'!$S$6:$S$1005,S801)&amp;"","")</f>
        <v/>
      </c>
      <c r="C801" s="91" t="n"/>
      <c r="D801" s="94" t="str">
        <f>IF(N(U801)&gt;0,INDEX('MTRs'!$I$6:$I$505,U801)&amp;"","")</f>
        <v/>
      </c>
      <c r="E801" s="92" t="n"/>
      <c r="F801" s="98" t="n"/>
      <c r="G801" s="91" t="n"/>
      <c r="H801" s="93" t="str">
        <f>IF(Q801=0,"",IF(NOT(ISNUMBER(F801)),"",IF(ISNUMBER(W801),F801*W801,"UNIDADE A CONFERIR")))</f>
        <v/>
      </c>
      <c r="I801" s="91" t="n"/>
      <c r="J801" s="91" t="n"/>
      <c r="K801" s="92" t="n"/>
      <c r="L801" s="91" t="n"/>
      <c r="M801" s="91" t="n"/>
      <c r="N801" s="91" t="n"/>
      <c r="O801" s="91" t="n"/>
      <c r="P801" s="94" t="str">
        <f>IF(Q801=0,"",IF(C801="","Item de resíduo não informado",IF(T801=0,"Item inexistente (referência inválida)",IF(NOT(ISNUMBER(F801)),"Quantidade não informada",IF(F801&lt;=0,"Quantidade não positiva",IF(G801="","Unidade não informada",IF(NOT(ISNUMBER(H801)),"Unidade a conferir",IF(NOT(ISNUMBER(E801)),"Data de recebimento não informada",IF(AND(ISNUMBER(V801),N(V801)&gt;0,E801&lt;N(V801)),"Data anterior à emissão do MTR",IF(AND(J801="Sim",L801="",M801=""),"Conferido sem evidência identificada",IF(J801&lt;&gt;"Sim","Aguardando conferência",IF(INDEX('ITENS_MTR'!$AM$6:$AM$1005,S801)=1,"Conferido (ver diferença no item)","Conferido"))))))))))))</f>
        <v/>
      </c>
      <c r="Q801" s="96">
        <f>IF(COUNTA(C801,E801:G801,I801:O801)&gt;0,1,0)</f>
        <v>0</v>
      </c>
      <c r="R801" s="96" t="str">
        <f>IF(C801="","",TRIM(LEFT(C801,FIND(" |",C801&amp;" |")-1)))</f>
        <v/>
      </c>
      <c r="S801" s="96" t="str">
        <f>IF(R801="","",IFERROR(MATCH(R801,'ITENS_MTR'!$A$6:$A$1005,0),""))</f>
        <v/>
      </c>
      <c r="T801" s="96">
        <f>IF(S801="",0,IF(INDEX('ITENS_MTR'!$R$6:$R$1005,S801)=1,1,0))</f>
        <v>0</v>
      </c>
      <c r="U801" s="96" t="str">
        <f>IF(T801=1,INDEX('ITENS_MTR'!$T$6:$T$1005,S801),"")</f>
        <v/>
      </c>
      <c r="V801" s="97" t="str">
        <f>IF(N(U801)&gt;0,INDEX('MTRs'!$E$6:$E$505,U801),"")</f>
        <v/>
      </c>
      <c r="W801" s="96" t="str">
        <f>IF(G801="","",IFERROR(IF(ISNUMBER(INDEX(cfg_fac,MATCH(G801,cfg_units,0))),IF(INDEX(cfg_fac,MATCH(G801,cfg_units,0))&gt;0,INDEX(cfg_fac,MATCH(G801,cfg_units,0)),""),""),""))</f>
        <v/>
      </c>
      <c r="X801" s="96">
        <f>IF(AND(ISNUMBER(F801),ISNUMBER(H801)),IF(H801&gt;0,1,0),0)</f>
        <v>0</v>
      </c>
      <c r="Y801" s="96">
        <f>IF(Q801=0,0,IF(OR(T801=0,X801=0,NOT(ISNUMBER(E801)),AND(J801="Sim",L801="",M801=""),AND(ISNUMBER(E801),ISNUMBER(V801),N(V801)&gt;0,E801&lt;N(V801))),1,0))</f>
        <v>0</v>
      </c>
      <c r="Z801" s="96">
        <f>IF(AND(Q801=1,T801=1,X801=1,J801="Sim",OR(L801&lt;&gt;"",M801&lt;&gt;"")),1,0)</f>
        <v>0</v>
      </c>
      <c r="AA801" s="96">
        <f>IF(Q801=0,0,IF(AND(OR(r_ini="",AND(ISNUMBER(E801),E801&gt;=r_ini)),OR(r_fim="",AND(ISNUMBER(E801),E801&lt;=r_fim)),OR(r_un="",r_un="(Todas)",IF(N(U801)&gt;0,INDEX('MTRs'!$G$6:$G$505,U801),"")=r_un),OR(r_de="",r_de="(Todos)",D801=r_de)),1,0))</f>
        <v>0</v>
      </c>
      <c r="AB801" s="96" t="str">
        <f>IF(AA801=1,COUNTIF($AA$6:AA801,1),"")</f>
        <v/>
      </c>
    </row>
    <row r="802">
      <c r="A802" s="89" t="inlineStr">
        <is>
          <t>REC-000797</t>
        </is>
      </c>
      <c r="B802" s="94" t="str">
        <f>IF(T802=1,INDEX('ITENS_MTR'!$S$6:$S$1005,S802)&amp;"","")</f>
        <v/>
      </c>
      <c r="C802" s="91" t="n"/>
      <c r="D802" s="94" t="str">
        <f>IF(N(U802)&gt;0,INDEX('MTRs'!$I$6:$I$505,U802)&amp;"","")</f>
        <v/>
      </c>
      <c r="E802" s="92" t="n"/>
      <c r="F802" s="98" t="n"/>
      <c r="G802" s="91" t="n"/>
      <c r="H802" s="93" t="str">
        <f>IF(Q802=0,"",IF(NOT(ISNUMBER(F802)),"",IF(ISNUMBER(W802),F802*W802,"UNIDADE A CONFERIR")))</f>
        <v/>
      </c>
      <c r="I802" s="91" t="n"/>
      <c r="J802" s="91" t="n"/>
      <c r="K802" s="92" t="n"/>
      <c r="L802" s="91" t="n"/>
      <c r="M802" s="91" t="n"/>
      <c r="N802" s="91" t="n"/>
      <c r="O802" s="91" t="n"/>
      <c r="P802" s="94" t="str">
        <f>IF(Q802=0,"",IF(C802="","Item de resíduo não informado",IF(T802=0,"Item inexistente (referência inválida)",IF(NOT(ISNUMBER(F802)),"Quantidade não informada",IF(F802&lt;=0,"Quantidade não positiva",IF(G802="","Unidade não informada",IF(NOT(ISNUMBER(H802)),"Unidade a conferir",IF(NOT(ISNUMBER(E802)),"Data de recebimento não informada",IF(AND(ISNUMBER(V802),N(V802)&gt;0,E802&lt;N(V802)),"Data anterior à emissão do MTR",IF(AND(J802="Sim",L802="",M802=""),"Conferido sem evidência identificada",IF(J802&lt;&gt;"Sim","Aguardando conferência",IF(INDEX('ITENS_MTR'!$AM$6:$AM$1005,S802)=1,"Conferido (ver diferença no item)","Conferido"))))))))))))</f>
        <v/>
      </c>
      <c r="Q802" s="96">
        <f>IF(COUNTA(C802,E802:G802,I802:O802)&gt;0,1,0)</f>
        <v>0</v>
      </c>
      <c r="R802" s="96" t="str">
        <f>IF(C802="","",TRIM(LEFT(C802,FIND(" |",C802&amp;" |")-1)))</f>
        <v/>
      </c>
      <c r="S802" s="96" t="str">
        <f>IF(R802="","",IFERROR(MATCH(R802,'ITENS_MTR'!$A$6:$A$1005,0),""))</f>
        <v/>
      </c>
      <c r="T802" s="96">
        <f>IF(S802="",0,IF(INDEX('ITENS_MTR'!$R$6:$R$1005,S802)=1,1,0))</f>
        <v>0</v>
      </c>
      <c r="U802" s="96" t="str">
        <f>IF(T802=1,INDEX('ITENS_MTR'!$T$6:$T$1005,S802),"")</f>
        <v/>
      </c>
      <c r="V802" s="97" t="str">
        <f>IF(N(U802)&gt;0,INDEX('MTRs'!$E$6:$E$505,U802),"")</f>
        <v/>
      </c>
      <c r="W802" s="96" t="str">
        <f>IF(G802="","",IFERROR(IF(ISNUMBER(INDEX(cfg_fac,MATCH(G802,cfg_units,0))),IF(INDEX(cfg_fac,MATCH(G802,cfg_units,0))&gt;0,INDEX(cfg_fac,MATCH(G802,cfg_units,0)),""),""),""))</f>
        <v/>
      </c>
      <c r="X802" s="96">
        <f>IF(AND(ISNUMBER(F802),ISNUMBER(H802)),IF(H802&gt;0,1,0),0)</f>
        <v>0</v>
      </c>
      <c r="Y802" s="96">
        <f>IF(Q802=0,0,IF(OR(T802=0,X802=0,NOT(ISNUMBER(E802)),AND(J802="Sim",L802="",M802=""),AND(ISNUMBER(E802),ISNUMBER(V802),N(V802)&gt;0,E802&lt;N(V802))),1,0))</f>
        <v>0</v>
      </c>
      <c r="Z802" s="96">
        <f>IF(AND(Q802=1,T802=1,X802=1,J802="Sim",OR(L802&lt;&gt;"",M802&lt;&gt;"")),1,0)</f>
        <v>0</v>
      </c>
      <c r="AA802" s="96">
        <f>IF(Q802=0,0,IF(AND(OR(r_ini="",AND(ISNUMBER(E802),E802&gt;=r_ini)),OR(r_fim="",AND(ISNUMBER(E802),E802&lt;=r_fim)),OR(r_un="",r_un="(Todas)",IF(N(U802)&gt;0,INDEX('MTRs'!$G$6:$G$505,U802),"")=r_un),OR(r_de="",r_de="(Todos)",D802=r_de)),1,0))</f>
        <v>0</v>
      </c>
      <c r="AB802" s="96" t="str">
        <f>IF(AA802=1,COUNTIF($AA$6:AA802,1),"")</f>
        <v/>
      </c>
    </row>
    <row r="803">
      <c r="A803" s="89" t="inlineStr">
        <is>
          <t>REC-000798</t>
        </is>
      </c>
      <c r="B803" s="94" t="str">
        <f>IF(T803=1,INDEX('ITENS_MTR'!$S$6:$S$1005,S803)&amp;"","")</f>
        <v/>
      </c>
      <c r="C803" s="91" t="n"/>
      <c r="D803" s="94" t="str">
        <f>IF(N(U803)&gt;0,INDEX('MTRs'!$I$6:$I$505,U803)&amp;"","")</f>
        <v/>
      </c>
      <c r="E803" s="92" t="n"/>
      <c r="F803" s="98" t="n"/>
      <c r="G803" s="91" t="n"/>
      <c r="H803" s="93" t="str">
        <f>IF(Q803=0,"",IF(NOT(ISNUMBER(F803)),"",IF(ISNUMBER(W803),F803*W803,"UNIDADE A CONFERIR")))</f>
        <v/>
      </c>
      <c r="I803" s="91" t="n"/>
      <c r="J803" s="91" t="n"/>
      <c r="K803" s="92" t="n"/>
      <c r="L803" s="91" t="n"/>
      <c r="M803" s="91" t="n"/>
      <c r="N803" s="91" t="n"/>
      <c r="O803" s="91" t="n"/>
      <c r="P803" s="94" t="str">
        <f>IF(Q803=0,"",IF(C803="","Item de resíduo não informado",IF(T803=0,"Item inexistente (referência inválida)",IF(NOT(ISNUMBER(F803)),"Quantidade não informada",IF(F803&lt;=0,"Quantidade não positiva",IF(G803="","Unidade não informada",IF(NOT(ISNUMBER(H803)),"Unidade a conferir",IF(NOT(ISNUMBER(E803)),"Data de recebimento não informada",IF(AND(ISNUMBER(V803),N(V803)&gt;0,E803&lt;N(V803)),"Data anterior à emissão do MTR",IF(AND(J803="Sim",L803="",M803=""),"Conferido sem evidência identificada",IF(J803&lt;&gt;"Sim","Aguardando conferência",IF(INDEX('ITENS_MTR'!$AM$6:$AM$1005,S803)=1,"Conferido (ver diferença no item)","Conferido"))))))))))))</f>
        <v/>
      </c>
      <c r="Q803" s="96">
        <f>IF(COUNTA(C803,E803:G803,I803:O803)&gt;0,1,0)</f>
        <v>0</v>
      </c>
      <c r="R803" s="96" t="str">
        <f>IF(C803="","",TRIM(LEFT(C803,FIND(" |",C803&amp;" |")-1)))</f>
        <v/>
      </c>
      <c r="S803" s="96" t="str">
        <f>IF(R803="","",IFERROR(MATCH(R803,'ITENS_MTR'!$A$6:$A$1005,0),""))</f>
        <v/>
      </c>
      <c r="T803" s="96">
        <f>IF(S803="",0,IF(INDEX('ITENS_MTR'!$R$6:$R$1005,S803)=1,1,0))</f>
        <v>0</v>
      </c>
      <c r="U803" s="96" t="str">
        <f>IF(T803=1,INDEX('ITENS_MTR'!$T$6:$T$1005,S803),"")</f>
        <v/>
      </c>
      <c r="V803" s="97" t="str">
        <f>IF(N(U803)&gt;0,INDEX('MTRs'!$E$6:$E$505,U803),"")</f>
        <v/>
      </c>
      <c r="W803" s="96" t="str">
        <f>IF(G803="","",IFERROR(IF(ISNUMBER(INDEX(cfg_fac,MATCH(G803,cfg_units,0))),IF(INDEX(cfg_fac,MATCH(G803,cfg_units,0))&gt;0,INDEX(cfg_fac,MATCH(G803,cfg_units,0)),""),""),""))</f>
        <v/>
      </c>
      <c r="X803" s="96">
        <f>IF(AND(ISNUMBER(F803),ISNUMBER(H803)),IF(H803&gt;0,1,0),0)</f>
        <v>0</v>
      </c>
      <c r="Y803" s="96">
        <f>IF(Q803=0,0,IF(OR(T803=0,X803=0,NOT(ISNUMBER(E803)),AND(J803="Sim",L803="",M803=""),AND(ISNUMBER(E803),ISNUMBER(V803),N(V803)&gt;0,E803&lt;N(V803))),1,0))</f>
        <v>0</v>
      </c>
      <c r="Z803" s="96">
        <f>IF(AND(Q803=1,T803=1,X803=1,J803="Sim",OR(L803&lt;&gt;"",M803&lt;&gt;"")),1,0)</f>
        <v>0</v>
      </c>
      <c r="AA803" s="96">
        <f>IF(Q803=0,0,IF(AND(OR(r_ini="",AND(ISNUMBER(E803),E803&gt;=r_ini)),OR(r_fim="",AND(ISNUMBER(E803),E803&lt;=r_fim)),OR(r_un="",r_un="(Todas)",IF(N(U803)&gt;0,INDEX('MTRs'!$G$6:$G$505,U803),"")=r_un),OR(r_de="",r_de="(Todos)",D803=r_de)),1,0))</f>
        <v>0</v>
      </c>
      <c r="AB803" s="96" t="str">
        <f>IF(AA803=1,COUNTIF($AA$6:AA803,1),"")</f>
        <v/>
      </c>
    </row>
    <row r="804">
      <c r="A804" s="89" t="inlineStr">
        <is>
          <t>REC-000799</t>
        </is>
      </c>
      <c r="B804" s="94" t="str">
        <f>IF(T804=1,INDEX('ITENS_MTR'!$S$6:$S$1005,S804)&amp;"","")</f>
        <v/>
      </c>
      <c r="C804" s="91" t="n"/>
      <c r="D804" s="94" t="str">
        <f>IF(N(U804)&gt;0,INDEX('MTRs'!$I$6:$I$505,U804)&amp;"","")</f>
        <v/>
      </c>
      <c r="E804" s="92" t="n"/>
      <c r="F804" s="98" t="n"/>
      <c r="G804" s="91" t="n"/>
      <c r="H804" s="93" t="str">
        <f>IF(Q804=0,"",IF(NOT(ISNUMBER(F804)),"",IF(ISNUMBER(W804),F804*W804,"UNIDADE A CONFERIR")))</f>
        <v/>
      </c>
      <c r="I804" s="91" t="n"/>
      <c r="J804" s="91" t="n"/>
      <c r="K804" s="92" t="n"/>
      <c r="L804" s="91" t="n"/>
      <c r="M804" s="91" t="n"/>
      <c r="N804" s="91" t="n"/>
      <c r="O804" s="91" t="n"/>
      <c r="P804" s="94" t="str">
        <f>IF(Q804=0,"",IF(C804="","Item de resíduo não informado",IF(T804=0,"Item inexistente (referência inválida)",IF(NOT(ISNUMBER(F804)),"Quantidade não informada",IF(F804&lt;=0,"Quantidade não positiva",IF(G804="","Unidade não informada",IF(NOT(ISNUMBER(H804)),"Unidade a conferir",IF(NOT(ISNUMBER(E804)),"Data de recebimento não informada",IF(AND(ISNUMBER(V804),N(V804)&gt;0,E804&lt;N(V804)),"Data anterior à emissão do MTR",IF(AND(J804="Sim",L804="",M804=""),"Conferido sem evidência identificada",IF(J804&lt;&gt;"Sim","Aguardando conferência",IF(INDEX('ITENS_MTR'!$AM$6:$AM$1005,S804)=1,"Conferido (ver diferença no item)","Conferido"))))))))))))</f>
        <v/>
      </c>
      <c r="Q804" s="96">
        <f>IF(COUNTA(C804,E804:G804,I804:O804)&gt;0,1,0)</f>
        <v>0</v>
      </c>
      <c r="R804" s="96" t="str">
        <f>IF(C804="","",TRIM(LEFT(C804,FIND(" |",C804&amp;" |")-1)))</f>
        <v/>
      </c>
      <c r="S804" s="96" t="str">
        <f>IF(R804="","",IFERROR(MATCH(R804,'ITENS_MTR'!$A$6:$A$1005,0),""))</f>
        <v/>
      </c>
      <c r="T804" s="96">
        <f>IF(S804="",0,IF(INDEX('ITENS_MTR'!$R$6:$R$1005,S804)=1,1,0))</f>
        <v>0</v>
      </c>
      <c r="U804" s="96" t="str">
        <f>IF(T804=1,INDEX('ITENS_MTR'!$T$6:$T$1005,S804),"")</f>
        <v/>
      </c>
      <c r="V804" s="97" t="str">
        <f>IF(N(U804)&gt;0,INDEX('MTRs'!$E$6:$E$505,U804),"")</f>
        <v/>
      </c>
      <c r="W804" s="96" t="str">
        <f>IF(G804="","",IFERROR(IF(ISNUMBER(INDEX(cfg_fac,MATCH(G804,cfg_units,0))),IF(INDEX(cfg_fac,MATCH(G804,cfg_units,0))&gt;0,INDEX(cfg_fac,MATCH(G804,cfg_units,0)),""),""),""))</f>
        <v/>
      </c>
      <c r="X804" s="96">
        <f>IF(AND(ISNUMBER(F804),ISNUMBER(H804)),IF(H804&gt;0,1,0),0)</f>
        <v>0</v>
      </c>
      <c r="Y804" s="96">
        <f>IF(Q804=0,0,IF(OR(T804=0,X804=0,NOT(ISNUMBER(E804)),AND(J804="Sim",L804="",M804=""),AND(ISNUMBER(E804),ISNUMBER(V804),N(V804)&gt;0,E804&lt;N(V804))),1,0))</f>
        <v>0</v>
      </c>
      <c r="Z804" s="96">
        <f>IF(AND(Q804=1,T804=1,X804=1,J804="Sim",OR(L804&lt;&gt;"",M804&lt;&gt;"")),1,0)</f>
        <v>0</v>
      </c>
      <c r="AA804" s="96">
        <f>IF(Q804=0,0,IF(AND(OR(r_ini="",AND(ISNUMBER(E804),E804&gt;=r_ini)),OR(r_fim="",AND(ISNUMBER(E804),E804&lt;=r_fim)),OR(r_un="",r_un="(Todas)",IF(N(U804)&gt;0,INDEX('MTRs'!$G$6:$G$505,U804),"")=r_un),OR(r_de="",r_de="(Todos)",D804=r_de)),1,0))</f>
        <v>0</v>
      </c>
      <c r="AB804" s="96" t="str">
        <f>IF(AA804=1,COUNTIF($AA$6:AA804,1),"")</f>
        <v/>
      </c>
    </row>
    <row r="805">
      <c r="A805" s="89" t="inlineStr">
        <is>
          <t>REC-000800</t>
        </is>
      </c>
      <c r="B805" s="94" t="str">
        <f>IF(T805=1,INDEX('ITENS_MTR'!$S$6:$S$1005,S805)&amp;"","")</f>
        <v/>
      </c>
      <c r="C805" s="91" t="n"/>
      <c r="D805" s="94" t="str">
        <f>IF(N(U805)&gt;0,INDEX('MTRs'!$I$6:$I$505,U805)&amp;"","")</f>
        <v/>
      </c>
      <c r="E805" s="92" t="n"/>
      <c r="F805" s="98" t="n"/>
      <c r="G805" s="91" t="n"/>
      <c r="H805" s="93" t="str">
        <f>IF(Q805=0,"",IF(NOT(ISNUMBER(F805)),"",IF(ISNUMBER(W805),F805*W805,"UNIDADE A CONFERIR")))</f>
        <v/>
      </c>
      <c r="I805" s="91" t="n"/>
      <c r="J805" s="91" t="n"/>
      <c r="K805" s="92" t="n"/>
      <c r="L805" s="91" t="n"/>
      <c r="M805" s="91" t="n"/>
      <c r="N805" s="91" t="n"/>
      <c r="O805" s="91" t="n"/>
      <c r="P805" s="94" t="str">
        <f>IF(Q805=0,"",IF(C805="","Item de resíduo não informado",IF(T805=0,"Item inexistente (referência inválida)",IF(NOT(ISNUMBER(F805)),"Quantidade não informada",IF(F805&lt;=0,"Quantidade não positiva",IF(G805="","Unidade não informada",IF(NOT(ISNUMBER(H805)),"Unidade a conferir",IF(NOT(ISNUMBER(E805)),"Data de recebimento não informada",IF(AND(ISNUMBER(V805),N(V805)&gt;0,E805&lt;N(V805)),"Data anterior à emissão do MTR",IF(AND(J805="Sim",L805="",M805=""),"Conferido sem evidência identificada",IF(J805&lt;&gt;"Sim","Aguardando conferência",IF(INDEX('ITENS_MTR'!$AM$6:$AM$1005,S805)=1,"Conferido (ver diferença no item)","Conferido"))))))))))))</f>
        <v/>
      </c>
      <c r="Q805" s="96">
        <f>IF(COUNTA(C805,E805:G805,I805:O805)&gt;0,1,0)</f>
        <v>0</v>
      </c>
      <c r="R805" s="96" t="str">
        <f>IF(C805="","",TRIM(LEFT(C805,FIND(" |",C805&amp;" |")-1)))</f>
        <v/>
      </c>
      <c r="S805" s="96" t="str">
        <f>IF(R805="","",IFERROR(MATCH(R805,'ITENS_MTR'!$A$6:$A$1005,0),""))</f>
        <v/>
      </c>
      <c r="T805" s="96">
        <f>IF(S805="",0,IF(INDEX('ITENS_MTR'!$R$6:$R$1005,S805)=1,1,0))</f>
        <v>0</v>
      </c>
      <c r="U805" s="96" t="str">
        <f>IF(T805=1,INDEX('ITENS_MTR'!$T$6:$T$1005,S805),"")</f>
        <v/>
      </c>
      <c r="V805" s="97" t="str">
        <f>IF(N(U805)&gt;0,INDEX('MTRs'!$E$6:$E$505,U805),"")</f>
        <v/>
      </c>
      <c r="W805" s="96" t="str">
        <f>IF(G805="","",IFERROR(IF(ISNUMBER(INDEX(cfg_fac,MATCH(G805,cfg_units,0))),IF(INDEX(cfg_fac,MATCH(G805,cfg_units,0))&gt;0,INDEX(cfg_fac,MATCH(G805,cfg_units,0)),""),""),""))</f>
        <v/>
      </c>
      <c r="X805" s="96">
        <f>IF(AND(ISNUMBER(F805),ISNUMBER(H805)),IF(H805&gt;0,1,0),0)</f>
        <v>0</v>
      </c>
      <c r="Y805" s="96">
        <f>IF(Q805=0,0,IF(OR(T805=0,X805=0,NOT(ISNUMBER(E805)),AND(J805="Sim",L805="",M805=""),AND(ISNUMBER(E805),ISNUMBER(V805),N(V805)&gt;0,E805&lt;N(V805))),1,0))</f>
        <v>0</v>
      </c>
      <c r="Z805" s="96">
        <f>IF(AND(Q805=1,T805=1,X805=1,J805="Sim",OR(L805&lt;&gt;"",M805&lt;&gt;"")),1,0)</f>
        <v>0</v>
      </c>
      <c r="AA805" s="96">
        <f>IF(Q805=0,0,IF(AND(OR(r_ini="",AND(ISNUMBER(E805),E805&gt;=r_ini)),OR(r_fim="",AND(ISNUMBER(E805),E805&lt;=r_fim)),OR(r_un="",r_un="(Todas)",IF(N(U805)&gt;0,INDEX('MTRs'!$G$6:$G$505,U805),"")=r_un),OR(r_de="",r_de="(Todos)",D805=r_de)),1,0))</f>
        <v>0</v>
      </c>
      <c r="AB805" s="96" t="str">
        <f>IF(AA805=1,COUNTIF($AA$6:AA805,1),"")</f>
        <v/>
      </c>
    </row>
    <row r="806">
      <c r="A806" s="89" t="inlineStr">
        <is>
          <t>REC-000801</t>
        </is>
      </c>
      <c r="B806" s="94" t="str">
        <f>IF(T806=1,INDEX('ITENS_MTR'!$S$6:$S$1005,S806)&amp;"","")</f>
        <v/>
      </c>
      <c r="C806" s="91" t="n"/>
      <c r="D806" s="94" t="str">
        <f>IF(N(U806)&gt;0,INDEX('MTRs'!$I$6:$I$505,U806)&amp;"","")</f>
        <v/>
      </c>
      <c r="E806" s="92" t="n"/>
      <c r="F806" s="98" t="n"/>
      <c r="G806" s="91" t="n"/>
      <c r="H806" s="93" t="str">
        <f>IF(Q806=0,"",IF(NOT(ISNUMBER(F806)),"",IF(ISNUMBER(W806),F806*W806,"UNIDADE A CONFERIR")))</f>
        <v/>
      </c>
      <c r="I806" s="91" t="n"/>
      <c r="J806" s="91" t="n"/>
      <c r="K806" s="92" t="n"/>
      <c r="L806" s="91" t="n"/>
      <c r="M806" s="91" t="n"/>
      <c r="N806" s="91" t="n"/>
      <c r="O806" s="91" t="n"/>
      <c r="P806" s="94" t="str">
        <f>IF(Q806=0,"",IF(C806="","Item de resíduo não informado",IF(T806=0,"Item inexistente (referência inválida)",IF(NOT(ISNUMBER(F806)),"Quantidade não informada",IF(F806&lt;=0,"Quantidade não positiva",IF(G806="","Unidade não informada",IF(NOT(ISNUMBER(H806)),"Unidade a conferir",IF(NOT(ISNUMBER(E806)),"Data de recebimento não informada",IF(AND(ISNUMBER(V806),N(V806)&gt;0,E806&lt;N(V806)),"Data anterior à emissão do MTR",IF(AND(J806="Sim",L806="",M806=""),"Conferido sem evidência identificada",IF(J806&lt;&gt;"Sim","Aguardando conferência",IF(INDEX('ITENS_MTR'!$AM$6:$AM$1005,S806)=1,"Conferido (ver diferença no item)","Conferido"))))))))))))</f>
        <v/>
      </c>
      <c r="Q806" s="96">
        <f>IF(COUNTA(C806,E806:G806,I806:O806)&gt;0,1,0)</f>
        <v>0</v>
      </c>
      <c r="R806" s="96" t="str">
        <f>IF(C806="","",TRIM(LEFT(C806,FIND(" |",C806&amp;" |")-1)))</f>
        <v/>
      </c>
      <c r="S806" s="96" t="str">
        <f>IF(R806="","",IFERROR(MATCH(R806,'ITENS_MTR'!$A$6:$A$1005,0),""))</f>
        <v/>
      </c>
      <c r="T806" s="96">
        <f>IF(S806="",0,IF(INDEX('ITENS_MTR'!$R$6:$R$1005,S806)=1,1,0))</f>
        <v>0</v>
      </c>
      <c r="U806" s="96" t="str">
        <f>IF(T806=1,INDEX('ITENS_MTR'!$T$6:$T$1005,S806),"")</f>
        <v/>
      </c>
      <c r="V806" s="97" t="str">
        <f>IF(N(U806)&gt;0,INDEX('MTRs'!$E$6:$E$505,U806),"")</f>
        <v/>
      </c>
      <c r="W806" s="96" t="str">
        <f>IF(G806="","",IFERROR(IF(ISNUMBER(INDEX(cfg_fac,MATCH(G806,cfg_units,0))),IF(INDEX(cfg_fac,MATCH(G806,cfg_units,0))&gt;0,INDEX(cfg_fac,MATCH(G806,cfg_units,0)),""),""),""))</f>
        <v/>
      </c>
      <c r="X806" s="96">
        <f>IF(AND(ISNUMBER(F806),ISNUMBER(H806)),IF(H806&gt;0,1,0),0)</f>
        <v>0</v>
      </c>
      <c r="Y806" s="96">
        <f>IF(Q806=0,0,IF(OR(T806=0,X806=0,NOT(ISNUMBER(E806)),AND(J806="Sim",L806="",M806=""),AND(ISNUMBER(E806),ISNUMBER(V806),N(V806)&gt;0,E806&lt;N(V806))),1,0))</f>
        <v>0</v>
      </c>
      <c r="Z806" s="96">
        <f>IF(AND(Q806=1,T806=1,X806=1,J806="Sim",OR(L806&lt;&gt;"",M806&lt;&gt;"")),1,0)</f>
        <v>0</v>
      </c>
      <c r="AA806" s="96">
        <f>IF(Q806=0,0,IF(AND(OR(r_ini="",AND(ISNUMBER(E806),E806&gt;=r_ini)),OR(r_fim="",AND(ISNUMBER(E806),E806&lt;=r_fim)),OR(r_un="",r_un="(Todas)",IF(N(U806)&gt;0,INDEX('MTRs'!$G$6:$G$505,U806),"")=r_un),OR(r_de="",r_de="(Todos)",D806=r_de)),1,0))</f>
        <v>0</v>
      </c>
      <c r="AB806" s="96" t="str">
        <f>IF(AA806=1,COUNTIF($AA$6:AA806,1),"")</f>
        <v/>
      </c>
    </row>
    <row r="807">
      <c r="A807" s="89" t="inlineStr">
        <is>
          <t>REC-000802</t>
        </is>
      </c>
      <c r="B807" s="94" t="str">
        <f>IF(T807=1,INDEX('ITENS_MTR'!$S$6:$S$1005,S807)&amp;"","")</f>
        <v/>
      </c>
      <c r="C807" s="91" t="n"/>
      <c r="D807" s="94" t="str">
        <f>IF(N(U807)&gt;0,INDEX('MTRs'!$I$6:$I$505,U807)&amp;"","")</f>
        <v/>
      </c>
      <c r="E807" s="92" t="n"/>
      <c r="F807" s="98" t="n"/>
      <c r="G807" s="91" t="n"/>
      <c r="H807" s="93" t="str">
        <f>IF(Q807=0,"",IF(NOT(ISNUMBER(F807)),"",IF(ISNUMBER(W807),F807*W807,"UNIDADE A CONFERIR")))</f>
        <v/>
      </c>
      <c r="I807" s="91" t="n"/>
      <c r="J807" s="91" t="n"/>
      <c r="K807" s="92" t="n"/>
      <c r="L807" s="91" t="n"/>
      <c r="M807" s="91" t="n"/>
      <c r="N807" s="91" t="n"/>
      <c r="O807" s="91" t="n"/>
      <c r="P807" s="94" t="str">
        <f>IF(Q807=0,"",IF(C807="","Item de resíduo não informado",IF(T807=0,"Item inexistente (referência inválida)",IF(NOT(ISNUMBER(F807)),"Quantidade não informada",IF(F807&lt;=0,"Quantidade não positiva",IF(G807="","Unidade não informada",IF(NOT(ISNUMBER(H807)),"Unidade a conferir",IF(NOT(ISNUMBER(E807)),"Data de recebimento não informada",IF(AND(ISNUMBER(V807),N(V807)&gt;0,E807&lt;N(V807)),"Data anterior à emissão do MTR",IF(AND(J807="Sim",L807="",M807=""),"Conferido sem evidência identificada",IF(J807&lt;&gt;"Sim","Aguardando conferência",IF(INDEX('ITENS_MTR'!$AM$6:$AM$1005,S807)=1,"Conferido (ver diferença no item)","Conferido"))))))))))))</f>
        <v/>
      </c>
      <c r="Q807" s="96">
        <f>IF(COUNTA(C807,E807:G807,I807:O807)&gt;0,1,0)</f>
        <v>0</v>
      </c>
      <c r="R807" s="96" t="str">
        <f>IF(C807="","",TRIM(LEFT(C807,FIND(" |",C807&amp;" |")-1)))</f>
        <v/>
      </c>
      <c r="S807" s="96" t="str">
        <f>IF(R807="","",IFERROR(MATCH(R807,'ITENS_MTR'!$A$6:$A$1005,0),""))</f>
        <v/>
      </c>
      <c r="T807" s="96">
        <f>IF(S807="",0,IF(INDEX('ITENS_MTR'!$R$6:$R$1005,S807)=1,1,0))</f>
        <v>0</v>
      </c>
      <c r="U807" s="96" t="str">
        <f>IF(T807=1,INDEX('ITENS_MTR'!$T$6:$T$1005,S807),"")</f>
        <v/>
      </c>
      <c r="V807" s="97" t="str">
        <f>IF(N(U807)&gt;0,INDEX('MTRs'!$E$6:$E$505,U807),"")</f>
        <v/>
      </c>
      <c r="W807" s="96" t="str">
        <f>IF(G807="","",IFERROR(IF(ISNUMBER(INDEX(cfg_fac,MATCH(G807,cfg_units,0))),IF(INDEX(cfg_fac,MATCH(G807,cfg_units,0))&gt;0,INDEX(cfg_fac,MATCH(G807,cfg_units,0)),""),""),""))</f>
        <v/>
      </c>
      <c r="X807" s="96">
        <f>IF(AND(ISNUMBER(F807),ISNUMBER(H807)),IF(H807&gt;0,1,0),0)</f>
        <v>0</v>
      </c>
      <c r="Y807" s="96">
        <f>IF(Q807=0,0,IF(OR(T807=0,X807=0,NOT(ISNUMBER(E807)),AND(J807="Sim",L807="",M807=""),AND(ISNUMBER(E807),ISNUMBER(V807),N(V807)&gt;0,E807&lt;N(V807))),1,0))</f>
        <v>0</v>
      </c>
      <c r="Z807" s="96">
        <f>IF(AND(Q807=1,T807=1,X807=1,J807="Sim",OR(L807&lt;&gt;"",M807&lt;&gt;"")),1,0)</f>
        <v>0</v>
      </c>
      <c r="AA807" s="96">
        <f>IF(Q807=0,0,IF(AND(OR(r_ini="",AND(ISNUMBER(E807),E807&gt;=r_ini)),OR(r_fim="",AND(ISNUMBER(E807),E807&lt;=r_fim)),OR(r_un="",r_un="(Todas)",IF(N(U807)&gt;0,INDEX('MTRs'!$G$6:$G$505,U807),"")=r_un),OR(r_de="",r_de="(Todos)",D807=r_de)),1,0))</f>
        <v>0</v>
      </c>
      <c r="AB807" s="96" t="str">
        <f>IF(AA807=1,COUNTIF($AA$6:AA807,1),"")</f>
        <v/>
      </c>
    </row>
    <row r="808">
      <c r="A808" s="89" t="inlineStr">
        <is>
          <t>REC-000803</t>
        </is>
      </c>
      <c r="B808" s="94" t="str">
        <f>IF(T808=1,INDEX('ITENS_MTR'!$S$6:$S$1005,S808)&amp;"","")</f>
        <v/>
      </c>
      <c r="C808" s="91" t="n"/>
      <c r="D808" s="94" t="str">
        <f>IF(N(U808)&gt;0,INDEX('MTRs'!$I$6:$I$505,U808)&amp;"","")</f>
        <v/>
      </c>
      <c r="E808" s="92" t="n"/>
      <c r="F808" s="98" t="n"/>
      <c r="G808" s="91" t="n"/>
      <c r="H808" s="93" t="str">
        <f>IF(Q808=0,"",IF(NOT(ISNUMBER(F808)),"",IF(ISNUMBER(W808),F808*W808,"UNIDADE A CONFERIR")))</f>
        <v/>
      </c>
      <c r="I808" s="91" t="n"/>
      <c r="J808" s="91" t="n"/>
      <c r="K808" s="92" t="n"/>
      <c r="L808" s="91" t="n"/>
      <c r="M808" s="91" t="n"/>
      <c r="N808" s="91" t="n"/>
      <c r="O808" s="91" t="n"/>
      <c r="P808" s="94" t="str">
        <f>IF(Q808=0,"",IF(C808="","Item de resíduo não informado",IF(T808=0,"Item inexistente (referência inválida)",IF(NOT(ISNUMBER(F808)),"Quantidade não informada",IF(F808&lt;=0,"Quantidade não positiva",IF(G808="","Unidade não informada",IF(NOT(ISNUMBER(H808)),"Unidade a conferir",IF(NOT(ISNUMBER(E808)),"Data de recebimento não informada",IF(AND(ISNUMBER(V808),N(V808)&gt;0,E808&lt;N(V808)),"Data anterior à emissão do MTR",IF(AND(J808="Sim",L808="",M808=""),"Conferido sem evidência identificada",IF(J808&lt;&gt;"Sim","Aguardando conferência",IF(INDEX('ITENS_MTR'!$AM$6:$AM$1005,S808)=1,"Conferido (ver diferença no item)","Conferido"))))))))))))</f>
        <v/>
      </c>
      <c r="Q808" s="96">
        <f>IF(COUNTA(C808,E808:G808,I808:O808)&gt;0,1,0)</f>
        <v>0</v>
      </c>
      <c r="R808" s="96" t="str">
        <f>IF(C808="","",TRIM(LEFT(C808,FIND(" |",C808&amp;" |")-1)))</f>
        <v/>
      </c>
      <c r="S808" s="96" t="str">
        <f>IF(R808="","",IFERROR(MATCH(R808,'ITENS_MTR'!$A$6:$A$1005,0),""))</f>
        <v/>
      </c>
      <c r="T808" s="96">
        <f>IF(S808="",0,IF(INDEX('ITENS_MTR'!$R$6:$R$1005,S808)=1,1,0))</f>
        <v>0</v>
      </c>
      <c r="U808" s="96" t="str">
        <f>IF(T808=1,INDEX('ITENS_MTR'!$T$6:$T$1005,S808),"")</f>
        <v/>
      </c>
      <c r="V808" s="97" t="str">
        <f>IF(N(U808)&gt;0,INDEX('MTRs'!$E$6:$E$505,U808),"")</f>
        <v/>
      </c>
      <c r="W808" s="96" t="str">
        <f>IF(G808="","",IFERROR(IF(ISNUMBER(INDEX(cfg_fac,MATCH(G808,cfg_units,0))),IF(INDEX(cfg_fac,MATCH(G808,cfg_units,0))&gt;0,INDEX(cfg_fac,MATCH(G808,cfg_units,0)),""),""),""))</f>
        <v/>
      </c>
      <c r="X808" s="96">
        <f>IF(AND(ISNUMBER(F808),ISNUMBER(H808)),IF(H808&gt;0,1,0),0)</f>
        <v>0</v>
      </c>
      <c r="Y808" s="96">
        <f>IF(Q808=0,0,IF(OR(T808=0,X808=0,NOT(ISNUMBER(E808)),AND(J808="Sim",L808="",M808=""),AND(ISNUMBER(E808),ISNUMBER(V808),N(V808)&gt;0,E808&lt;N(V808))),1,0))</f>
        <v>0</v>
      </c>
      <c r="Z808" s="96">
        <f>IF(AND(Q808=1,T808=1,X808=1,J808="Sim",OR(L808&lt;&gt;"",M808&lt;&gt;"")),1,0)</f>
        <v>0</v>
      </c>
      <c r="AA808" s="96">
        <f>IF(Q808=0,0,IF(AND(OR(r_ini="",AND(ISNUMBER(E808),E808&gt;=r_ini)),OR(r_fim="",AND(ISNUMBER(E808),E808&lt;=r_fim)),OR(r_un="",r_un="(Todas)",IF(N(U808)&gt;0,INDEX('MTRs'!$G$6:$G$505,U808),"")=r_un),OR(r_de="",r_de="(Todos)",D808=r_de)),1,0))</f>
        <v>0</v>
      </c>
      <c r="AB808" s="96" t="str">
        <f>IF(AA808=1,COUNTIF($AA$6:AA808,1),"")</f>
        <v/>
      </c>
    </row>
    <row r="809">
      <c r="A809" s="89" t="inlineStr">
        <is>
          <t>REC-000804</t>
        </is>
      </c>
      <c r="B809" s="94" t="str">
        <f>IF(T809=1,INDEX('ITENS_MTR'!$S$6:$S$1005,S809)&amp;"","")</f>
        <v/>
      </c>
      <c r="C809" s="91" t="n"/>
      <c r="D809" s="94" t="str">
        <f>IF(N(U809)&gt;0,INDEX('MTRs'!$I$6:$I$505,U809)&amp;"","")</f>
        <v/>
      </c>
      <c r="E809" s="92" t="n"/>
      <c r="F809" s="98" t="n"/>
      <c r="G809" s="91" t="n"/>
      <c r="H809" s="93" t="str">
        <f>IF(Q809=0,"",IF(NOT(ISNUMBER(F809)),"",IF(ISNUMBER(W809),F809*W809,"UNIDADE A CONFERIR")))</f>
        <v/>
      </c>
      <c r="I809" s="91" t="n"/>
      <c r="J809" s="91" t="n"/>
      <c r="K809" s="92" t="n"/>
      <c r="L809" s="91" t="n"/>
      <c r="M809" s="91" t="n"/>
      <c r="N809" s="91" t="n"/>
      <c r="O809" s="91" t="n"/>
      <c r="P809" s="94" t="str">
        <f>IF(Q809=0,"",IF(C809="","Item de resíduo não informado",IF(T809=0,"Item inexistente (referência inválida)",IF(NOT(ISNUMBER(F809)),"Quantidade não informada",IF(F809&lt;=0,"Quantidade não positiva",IF(G809="","Unidade não informada",IF(NOT(ISNUMBER(H809)),"Unidade a conferir",IF(NOT(ISNUMBER(E809)),"Data de recebimento não informada",IF(AND(ISNUMBER(V809),N(V809)&gt;0,E809&lt;N(V809)),"Data anterior à emissão do MTR",IF(AND(J809="Sim",L809="",M809=""),"Conferido sem evidência identificada",IF(J809&lt;&gt;"Sim","Aguardando conferência",IF(INDEX('ITENS_MTR'!$AM$6:$AM$1005,S809)=1,"Conferido (ver diferença no item)","Conferido"))))))))))))</f>
        <v/>
      </c>
      <c r="Q809" s="96">
        <f>IF(COUNTA(C809,E809:G809,I809:O809)&gt;0,1,0)</f>
        <v>0</v>
      </c>
      <c r="R809" s="96" t="str">
        <f>IF(C809="","",TRIM(LEFT(C809,FIND(" |",C809&amp;" |")-1)))</f>
        <v/>
      </c>
      <c r="S809" s="96" t="str">
        <f>IF(R809="","",IFERROR(MATCH(R809,'ITENS_MTR'!$A$6:$A$1005,0),""))</f>
        <v/>
      </c>
      <c r="T809" s="96">
        <f>IF(S809="",0,IF(INDEX('ITENS_MTR'!$R$6:$R$1005,S809)=1,1,0))</f>
        <v>0</v>
      </c>
      <c r="U809" s="96" t="str">
        <f>IF(T809=1,INDEX('ITENS_MTR'!$T$6:$T$1005,S809),"")</f>
        <v/>
      </c>
      <c r="V809" s="97" t="str">
        <f>IF(N(U809)&gt;0,INDEX('MTRs'!$E$6:$E$505,U809),"")</f>
        <v/>
      </c>
      <c r="W809" s="96" t="str">
        <f>IF(G809="","",IFERROR(IF(ISNUMBER(INDEX(cfg_fac,MATCH(G809,cfg_units,0))),IF(INDEX(cfg_fac,MATCH(G809,cfg_units,0))&gt;0,INDEX(cfg_fac,MATCH(G809,cfg_units,0)),""),""),""))</f>
        <v/>
      </c>
      <c r="X809" s="96">
        <f>IF(AND(ISNUMBER(F809),ISNUMBER(H809)),IF(H809&gt;0,1,0),0)</f>
        <v>0</v>
      </c>
      <c r="Y809" s="96">
        <f>IF(Q809=0,0,IF(OR(T809=0,X809=0,NOT(ISNUMBER(E809)),AND(J809="Sim",L809="",M809=""),AND(ISNUMBER(E809),ISNUMBER(V809),N(V809)&gt;0,E809&lt;N(V809))),1,0))</f>
        <v>0</v>
      </c>
      <c r="Z809" s="96">
        <f>IF(AND(Q809=1,T809=1,X809=1,J809="Sim",OR(L809&lt;&gt;"",M809&lt;&gt;"")),1,0)</f>
        <v>0</v>
      </c>
      <c r="AA809" s="96">
        <f>IF(Q809=0,0,IF(AND(OR(r_ini="",AND(ISNUMBER(E809),E809&gt;=r_ini)),OR(r_fim="",AND(ISNUMBER(E809),E809&lt;=r_fim)),OR(r_un="",r_un="(Todas)",IF(N(U809)&gt;0,INDEX('MTRs'!$G$6:$G$505,U809),"")=r_un),OR(r_de="",r_de="(Todos)",D809=r_de)),1,0))</f>
        <v>0</v>
      </c>
      <c r="AB809" s="96" t="str">
        <f>IF(AA809=1,COUNTIF($AA$6:AA809,1),"")</f>
        <v/>
      </c>
    </row>
    <row r="810">
      <c r="A810" s="89" t="inlineStr">
        <is>
          <t>REC-000805</t>
        </is>
      </c>
      <c r="B810" s="94" t="str">
        <f>IF(T810=1,INDEX('ITENS_MTR'!$S$6:$S$1005,S810)&amp;"","")</f>
        <v/>
      </c>
      <c r="C810" s="91" t="n"/>
      <c r="D810" s="94" t="str">
        <f>IF(N(U810)&gt;0,INDEX('MTRs'!$I$6:$I$505,U810)&amp;"","")</f>
        <v/>
      </c>
      <c r="E810" s="92" t="n"/>
      <c r="F810" s="98" t="n"/>
      <c r="G810" s="91" t="n"/>
      <c r="H810" s="93" t="str">
        <f>IF(Q810=0,"",IF(NOT(ISNUMBER(F810)),"",IF(ISNUMBER(W810),F810*W810,"UNIDADE A CONFERIR")))</f>
        <v/>
      </c>
      <c r="I810" s="91" t="n"/>
      <c r="J810" s="91" t="n"/>
      <c r="K810" s="92" t="n"/>
      <c r="L810" s="91" t="n"/>
      <c r="M810" s="91" t="n"/>
      <c r="N810" s="91" t="n"/>
      <c r="O810" s="91" t="n"/>
      <c r="P810" s="94" t="str">
        <f>IF(Q810=0,"",IF(C810="","Item de resíduo não informado",IF(T810=0,"Item inexistente (referência inválida)",IF(NOT(ISNUMBER(F810)),"Quantidade não informada",IF(F810&lt;=0,"Quantidade não positiva",IF(G810="","Unidade não informada",IF(NOT(ISNUMBER(H810)),"Unidade a conferir",IF(NOT(ISNUMBER(E810)),"Data de recebimento não informada",IF(AND(ISNUMBER(V810),N(V810)&gt;0,E810&lt;N(V810)),"Data anterior à emissão do MTR",IF(AND(J810="Sim",L810="",M810=""),"Conferido sem evidência identificada",IF(J810&lt;&gt;"Sim","Aguardando conferência",IF(INDEX('ITENS_MTR'!$AM$6:$AM$1005,S810)=1,"Conferido (ver diferença no item)","Conferido"))))))))))))</f>
        <v/>
      </c>
      <c r="Q810" s="96">
        <f>IF(COUNTA(C810,E810:G810,I810:O810)&gt;0,1,0)</f>
        <v>0</v>
      </c>
      <c r="R810" s="96" t="str">
        <f>IF(C810="","",TRIM(LEFT(C810,FIND(" |",C810&amp;" |")-1)))</f>
        <v/>
      </c>
      <c r="S810" s="96" t="str">
        <f>IF(R810="","",IFERROR(MATCH(R810,'ITENS_MTR'!$A$6:$A$1005,0),""))</f>
        <v/>
      </c>
      <c r="T810" s="96">
        <f>IF(S810="",0,IF(INDEX('ITENS_MTR'!$R$6:$R$1005,S810)=1,1,0))</f>
        <v>0</v>
      </c>
      <c r="U810" s="96" t="str">
        <f>IF(T810=1,INDEX('ITENS_MTR'!$T$6:$T$1005,S810),"")</f>
        <v/>
      </c>
      <c r="V810" s="97" t="str">
        <f>IF(N(U810)&gt;0,INDEX('MTRs'!$E$6:$E$505,U810),"")</f>
        <v/>
      </c>
      <c r="W810" s="96" t="str">
        <f>IF(G810="","",IFERROR(IF(ISNUMBER(INDEX(cfg_fac,MATCH(G810,cfg_units,0))),IF(INDEX(cfg_fac,MATCH(G810,cfg_units,0))&gt;0,INDEX(cfg_fac,MATCH(G810,cfg_units,0)),""),""),""))</f>
        <v/>
      </c>
      <c r="X810" s="96">
        <f>IF(AND(ISNUMBER(F810),ISNUMBER(H810)),IF(H810&gt;0,1,0),0)</f>
        <v>0</v>
      </c>
      <c r="Y810" s="96">
        <f>IF(Q810=0,0,IF(OR(T810=0,X810=0,NOT(ISNUMBER(E810)),AND(J810="Sim",L810="",M810=""),AND(ISNUMBER(E810),ISNUMBER(V810),N(V810)&gt;0,E810&lt;N(V810))),1,0))</f>
        <v>0</v>
      </c>
      <c r="Z810" s="96">
        <f>IF(AND(Q810=1,T810=1,X810=1,J810="Sim",OR(L810&lt;&gt;"",M810&lt;&gt;"")),1,0)</f>
        <v>0</v>
      </c>
      <c r="AA810" s="96">
        <f>IF(Q810=0,0,IF(AND(OR(r_ini="",AND(ISNUMBER(E810),E810&gt;=r_ini)),OR(r_fim="",AND(ISNUMBER(E810),E810&lt;=r_fim)),OR(r_un="",r_un="(Todas)",IF(N(U810)&gt;0,INDEX('MTRs'!$G$6:$G$505,U810),"")=r_un),OR(r_de="",r_de="(Todos)",D810=r_de)),1,0))</f>
        <v>0</v>
      </c>
      <c r="AB810" s="96" t="str">
        <f>IF(AA810=1,COUNTIF($AA$6:AA810,1),"")</f>
        <v/>
      </c>
    </row>
    <row r="811">
      <c r="A811" s="89" t="inlineStr">
        <is>
          <t>REC-000806</t>
        </is>
      </c>
      <c r="B811" s="94" t="str">
        <f>IF(T811=1,INDEX('ITENS_MTR'!$S$6:$S$1005,S811)&amp;"","")</f>
        <v/>
      </c>
      <c r="C811" s="91" t="n"/>
      <c r="D811" s="94" t="str">
        <f>IF(N(U811)&gt;0,INDEX('MTRs'!$I$6:$I$505,U811)&amp;"","")</f>
        <v/>
      </c>
      <c r="E811" s="92" t="n"/>
      <c r="F811" s="98" t="n"/>
      <c r="G811" s="91" t="n"/>
      <c r="H811" s="93" t="str">
        <f>IF(Q811=0,"",IF(NOT(ISNUMBER(F811)),"",IF(ISNUMBER(W811),F811*W811,"UNIDADE A CONFERIR")))</f>
        <v/>
      </c>
      <c r="I811" s="91" t="n"/>
      <c r="J811" s="91" t="n"/>
      <c r="K811" s="92" t="n"/>
      <c r="L811" s="91" t="n"/>
      <c r="M811" s="91" t="n"/>
      <c r="N811" s="91" t="n"/>
      <c r="O811" s="91" t="n"/>
      <c r="P811" s="94" t="str">
        <f>IF(Q811=0,"",IF(C811="","Item de resíduo não informado",IF(T811=0,"Item inexistente (referência inválida)",IF(NOT(ISNUMBER(F811)),"Quantidade não informada",IF(F811&lt;=0,"Quantidade não positiva",IF(G811="","Unidade não informada",IF(NOT(ISNUMBER(H811)),"Unidade a conferir",IF(NOT(ISNUMBER(E811)),"Data de recebimento não informada",IF(AND(ISNUMBER(V811),N(V811)&gt;0,E811&lt;N(V811)),"Data anterior à emissão do MTR",IF(AND(J811="Sim",L811="",M811=""),"Conferido sem evidência identificada",IF(J811&lt;&gt;"Sim","Aguardando conferência",IF(INDEX('ITENS_MTR'!$AM$6:$AM$1005,S811)=1,"Conferido (ver diferença no item)","Conferido"))))))))))))</f>
        <v/>
      </c>
      <c r="Q811" s="96">
        <f>IF(COUNTA(C811,E811:G811,I811:O811)&gt;0,1,0)</f>
        <v>0</v>
      </c>
      <c r="R811" s="96" t="str">
        <f>IF(C811="","",TRIM(LEFT(C811,FIND(" |",C811&amp;" |")-1)))</f>
        <v/>
      </c>
      <c r="S811" s="96" t="str">
        <f>IF(R811="","",IFERROR(MATCH(R811,'ITENS_MTR'!$A$6:$A$1005,0),""))</f>
        <v/>
      </c>
      <c r="T811" s="96">
        <f>IF(S811="",0,IF(INDEX('ITENS_MTR'!$R$6:$R$1005,S811)=1,1,0))</f>
        <v>0</v>
      </c>
      <c r="U811" s="96" t="str">
        <f>IF(T811=1,INDEX('ITENS_MTR'!$T$6:$T$1005,S811),"")</f>
        <v/>
      </c>
      <c r="V811" s="97" t="str">
        <f>IF(N(U811)&gt;0,INDEX('MTRs'!$E$6:$E$505,U811),"")</f>
        <v/>
      </c>
      <c r="W811" s="96" t="str">
        <f>IF(G811="","",IFERROR(IF(ISNUMBER(INDEX(cfg_fac,MATCH(G811,cfg_units,0))),IF(INDEX(cfg_fac,MATCH(G811,cfg_units,0))&gt;0,INDEX(cfg_fac,MATCH(G811,cfg_units,0)),""),""),""))</f>
        <v/>
      </c>
      <c r="X811" s="96">
        <f>IF(AND(ISNUMBER(F811),ISNUMBER(H811)),IF(H811&gt;0,1,0),0)</f>
        <v>0</v>
      </c>
      <c r="Y811" s="96">
        <f>IF(Q811=0,0,IF(OR(T811=0,X811=0,NOT(ISNUMBER(E811)),AND(J811="Sim",L811="",M811=""),AND(ISNUMBER(E811),ISNUMBER(V811),N(V811)&gt;0,E811&lt;N(V811))),1,0))</f>
        <v>0</v>
      </c>
      <c r="Z811" s="96">
        <f>IF(AND(Q811=1,T811=1,X811=1,J811="Sim",OR(L811&lt;&gt;"",M811&lt;&gt;"")),1,0)</f>
        <v>0</v>
      </c>
      <c r="AA811" s="96">
        <f>IF(Q811=0,0,IF(AND(OR(r_ini="",AND(ISNUMBER(E811),E811&gt;=r_ini)),OR(r_fim="",AND(ISNUMBER(E811),E811&lt;=r_fim)),OR(r_un="",r_un="(Todas)",IF(N(U811)&gt;0,INDEX('MTRs'!$G$6:$G$505,U811),"")=r_un),OR(r_de="",r_de="(Todos)",D811=r_de)),1,0))</f>
        <v>0</v>
      </c>
      <c r="AB811" s="96" t="str">
        <f>IF(AA811=1,COUNTIF($AA$6:AA811,1),"")</f>
        <v/>
      </c>
    </row>
    <row r="812">
      <c r="A812" s="89" t="inlineStr">
        <is>
          <t>REC-000807</t>
        </is>
      </c>
      <c r="B812" s="94" t="str">
        <f>IF(T812=1,INDEX('ITENS_MTR'!$S$6:$S$1005,S812)&amp;"","")</f>
        <v/>
      </c>
      <c r="C812" s="91" t="n"/>
      <c r="D812" s="94" t="str">
        <f>IF(N(U812)&gt;0,INDEX('MTRs'!$I$6:$I$505,U812)&amp;"","")</f>
        <v/>
      </c>
      <c r="E812" s="92" t="n"/>
      <c r="F812" s="98" t="n"/>
      <c r="G812" s="91" t="n"/>
      <c r="H812" s="93" t="str">
        <f>IF(Q812=0,"",IF(NOT(ISNUMBER(F812)),"",IF(ISNUMBER(W812),F812*W812,"UNIDADE A CONFERIR")))</f>
        <v/>
      </c>
      <c r="I812" s="91" t="n"/>
      <c r="J812" s="91" t="n"/>
      <c r="K812" s="92" t="n"/>
      <c r="L812" s="91" t="n"/>
      <c r="M812" s="91" t="n"/>
      <c r="N812" s="91" t="n"/>
      <c r="O812" s="91" t="n"/>
      <c r="P812" s="94" t="str">
        <f>IF(Q812=0,"",IF(C812="","Item de resíduo não informado",IF(T812=0,"Item inexistente (referência inválida)",IF(NOT(ISNUMBER(F812)),"Quantidade não informada",IF(F812&lt;=0,"Quantidade não positiva",IF(G812="","Unidade não informada",IF(NOT(ISNUMBER(H812)),"Unidade a conferir",IF(NOT(ISNUMBER(E812)),"Data de recebimento não informada",IF(AND(ISNUMBER(V812),N(V812)&gt;0,E812&lt;N(V812)),"Data anterior à emissão do MTR",IF(AND(J812="Sim",L812="",M812=""),"Conferido sem evidência identificada",IF(J812&lt;&gt;"Sim","Aguardando conferência",IF(INDEX('ITENS_MTR'!$AM$6:$AM$1005,S812)=1,"Conferido (ver diferença no item)","Conferido"))))))))))))</f>
        <v/>
      </c>
      <c r="Q812" s="96">
        <f>IF(COUNTA(C812,E812:G812,I812:O812)&gt;0,1,0)</f>
        <v>0</v>
      </c>
      <c r="R812" s="96" t="str">
        <f>IF(C812="","",TRIM(LEFT(C812,FIND(" |",C812&amp;" |")-1)))</f>
        <v/>
      </c>
      <c r="S812" s="96" t="str">
        <f>IF(R812="","",IFERROR(MATCH(R812,'ITENS_MTR'!$A$6:$A$1005,0),""))</f>
        <v/>
      </c>
      <c r="T812" s="96">
        <f>IF(S812="",0,IF(INDEX('ITENS_MTR'!$R$6:$R$1005,S812)=1,1,0))</f>
        <v>0</v>
      </c>
      <c r="U812" s="96" t="str">
        <f>IF(T812=1,INDEX('ITENS_MTR'!$T$6:$T$1005,S812),"")</f>
        <v/>
      </c>
      <c r="V812" s="97" t="str">
        <f>IF(N(U812)&gt;0,INDEX('MTRs'!$E$6:$E$505,U812),"")</f>
        <v/>
      </c>
      <c r="W812" s="96" t="str">
        <f>IF(G812="","",IFERROR(IF(ISNUMBER(INDEX(cfg_fac,MATCH(G812,cfg_units,0))),IF(INDEX(cfg_fac,MATCH(G812,cfg_units,0))&gt;0,INDEX(cfg_fac,MATCH(G812,cfg_units,0)),""),""),""))</f>
        <v/>
      </c>
      <c r="X812" s="96">
        <f>IF(AND(ISNUMBER(F812),ISNUMBER(H812)),IF(H812&gt;0,1,0),0)</f>
        <v>0</v>
      </c>
      <c r="Y812" s="96">
        <f>IF(Q812=0,0,IF(OR(T812=0,X812=0,NOT(ISNUMBER(E812)),AND(J812="Sim",L812="",M812=""),AND(ISNUMBER(E812),ISNUMBER(V812),N(V812)&gt;0,E812&lt;N(V812))),1,0))</f>
        <v>0</v>
      </c>
      <c r="Z812" s="96">
        <f>IF(AND(Q812=1,T812=1,X812=1,J812="Sim",OR(L812&lt;&gt;"",M812&lt;&gt;"")),1,0)</f>
        <v>0</v>
      </c>
      <c r="AA812" s="96">
        <f>IF(Q812=0,0,IF(AND(OR(r_ini="",AND(ISNUMBER(E812),E812&gt;=r_ini)),OR(r_fim="",AND(ISNUMBER(E812),E812&lt;=r_fim)),OR(r_un="",r_un="(Todas)",IF(N(U812)&gt;0,INDEX('MTRs'!$G$6:$G$505,U812),"")=r_un),OR(r_de="",r_de="(Todos)",D812=r_de)),1,0))</f>
        <v>0</v>
      </c>
      <c r="AB812" s="96" t="str">
        <f>IF(AA812=1,COUNTIF($AA$6:AA812,1),"")</f>
        <v/>
      </c>
    </row>
    <row r="813">
      <c r="A813" s="89" t="inlineStr">
        <is>
          <t>REC-000808</t>
        </is>
      </c>
      <c r="B813" s="94" t="str">
        <f>IF(T813=1,INDEX('ITENS_MTR'!$S$6:$S$1005,S813)&amp;"","")</f>
        <v/>
      </c>
      <c r="C813" s="91" t="n"/>
      <c r="D813" s="94" t="str">
        <f>IF(N(U813)&gt;0,INDEX('MTRs'!$I$6:$I$505,U813)&amp;"","")</f>
        <v/>
      </c>
      <c r="E813" s="92" t="n"/>
      <c r="F813" s="98" t="n"/>
      <c r="G813" s="91" t="n"/>
      <c r="H813" s="93" t="str">
        <f>IF(Q813=0,"",IF(NOT(ISNUMBER(F813)),"",IF(ISNUMBER(W813),F813*W813,"UNIDADE A CONFERIR")))</f>
        <v/>
      </c>
      <c r="I813" s="91" t="n"/>
      <c r="J813" s="91" t="n"/>
      <c r="K813" s="92" t="n"/>
      <c r="L813" s="91" t="n"/>
      <c r="M813" s="91" t="n"/>
      <c r="N813" s="91" t="n"/>
      <c r="O813" s="91" t="n"/>
      <c r="P813" s="94" t="str">
        <f>IF(Q813=0,"",IF(C813="","Item de resíduo não informado",IF(T813=0,"Item inexistente (referência inválida)",IF(NOT(ISNUMBER(F813)),"Quantidade não informada",IF(F813&lt;=0,"Quantidade não positiva",IF(G813="","Unidade não informada",IF(NOT(ISNUMBER(H813)),"Unidade a conferir",IF(NOT(ISNUMBER(E813)),"Data de recebimento não informada",IF(AND(ISNUMBER(V813),N(V813)&gt;0,E813&lt;N(V813)),"Data anterior à emissão do MTR",IF(AND(J813="Sim",L813="",M813=""),"Conferido sem evidência identificada",IF(J813&lt;&gt;"Sim","Aguardando conferência",IF(INDEX('ITENS_MTR'!$AM$6:$AM$1005,S813)=1,"Conferido (ver diferença no item)","Conferido"))))))))))))</f>
        <v/>
      </c>
      <c r="Q813" s="96">
        <f>IF(COUNTA(C813,E813:G813,I813:O813)&gt;0,1,0)</f>
        <v>0</v>
      </c>
      <c r="R813" s="96" t="str">
        <f>IF(C813="","",TRIM(LEFT(C813,FIND(" |",C813&amp;" |")-1)))</f>
        <v/>
      </c>
      <c r="S813" s="96" t="str">
        <f>IF(R813="","",IFERROR(MATCH(R813,'ITENS_MTR'!$A$6:$A$1005,0),""))</f>
        <v/>
      </c>
      <c r="T813" s="96">
        <f>IF(S813="",0,IF(INDEX('ITENS_MTR'!$R$6:$R$1005,S813)=1,1,0))</f>
        <v>0</v>
      </c>
      <c r="U813" s="96" t="str">
        <f>IF(T813=1,INDEX('ITENS_MTR'!$T$6:$T$1005,S813),"")</f>
        <v/>
      </c>
      <c r="V813" s="97" t="str">
        <f>IF(N(U813)&gt;0,INDEX('MTRs'!$E$6:$E$505,U813),"")</f>
        <v/>
      </c>
      <c r="W813" s="96" t="str">
        <f>IF(G813="","",IFERROR(IF(ISNUMBER(INDEX(cfg_fac,MATCH(G813,cfg_units,0))),IF(INDEX(cfg_fac,MATCH(G813,cfg_units,0))&gt;0,INDEX(cfg_fac,MATCH(G813,cfg_units,0)),""),""),""))</f>
        <v/>
      </c>
      <c r="X813" s="96">
        <f>IF(AND(ISNUMBER(F813),ISNUMBER(H813)),IF(H813&gt;0,1,0),0)</f>
        <v>0</v>
      </c>
      <c r="Y813" s="96">
        <f>IF(Q813=0,0,IF(OR(T813=0,X813=0,NOT(ISNUMBER(E813)),AND(J813="Sim",L813="",M813=""),AND(ISNUMBER(E813),ISNUMBER(V813),N(V813)&gt;0,E813&lt;N(V813))),1,0))</f>
        <v>0</v>
      </c>
      <c r="Z813" s="96">
        <f>IF(AND(Q813=1,T813=1,X813=1,J813="Sim",OR(L813&lt;&gt;"",M813&lt;&gt;"")),1,0)</f>
        <v>0</v>
      </c>
      <c r="AA813" s="96">
        <f>IF(Q813=0,0,IF(AND(OR(r_ini="",AND(ISNUMBER(E813),E813&gt;=r_ini)),OR(r_fim="",AND(ISNUMBER(E813),E813&lt;=r_fim)),OR(r_un="",r_un="(Todas)",IF(N(U813)&gt;0,INDEX('MTRs'!$G$6:$G$505,U813),"")=r_un),OR(r_de="",r_de="(Todos)",D813=r_de)),1,0))</f>
        <v>0</v>
      </c>
      <c r="AB813" s="96" t="str">
        <f>IF(AA813=1,COUNTIF($AA$6:AA813,1),"")</f>
        <v/>
      </c>
    </row>
    <row r="814">
      <c r="A814" s="89" t="inlineStr">
        <is>
          <t>REC-000809</t>
        </is>
      </c>
      <c r="B814" s="94" t="str">
        <f>IF(T814=1,INDEX('ITENS_MTR'!$S$6:$S$1005,S814)&amp;"","")</f>
        <v/>
      </c>
      <c r="C814" s="91" t="n"/>
      <c r="D814" s="94" t="str">
        <f>IF(N(U814)&gt;0,INDEX('MTRs'!$I$6:$I$505,U814)&amp;"","")</f>
        <v/>
      </c>
      <c r="E814" s="92" t="n"/>
      <c r="F814" s="98" t="n"/>
      <c r="G814" s="91" t="n"/>
      <c r="H814" s="93" t="str">
        <f>IF(Q814=0,"",IF(NOT(ISNUMBER(F814)),"",IF(ISNUMBER(W814),F814*W814,"UNIDADE A CONFERIR")))</f>
        <v/>
      </c>
      <c r="I814" s="91" t="n"/>
      <c r="J814" s="91" t="n"/>
      <c r="K814" s="92" t="n"/>
      <c r="L814" s="91" t="n"/>
      <c r="M814" s="91" t="n"/>
      <c r="N814" s="91" t="n"/>
      <c r="O814" s="91" t="n"/>
      <c r="P814" s="94" t="str">
        <f>IF(Q814=0,"",IF(C814="","Item de resíduo não informado",IF(T814=0,"Item inexistente (referência inválida)",IF(NOT(ISNUMBER(F814)),"Quantidade não informada",IF(F814&lt;=0,"Quantidade não positiva",IF(G814="","Unidade não informada",IF(NOT(ISNUMBER(H814)),"Unidade a conferir",IF(NOT(ISNUMBER(E814)),"Data de recebimento não informada",IF(AND(ISNUMBER(V814),N(V814)&gt;0,E814&lt;N(V814)),"Data anterior à emissão do MTR",IF(AND(J814="Sim",L814="",M814=""),"Conferido sem evidência identificada",IF(J814&lt;&gt;"Sim","Aguardando conferência",IF(INDEX('ITENS_MTR'!$AM$6:$AM$1005,S814)=1,"Conferido (ver diferença no item)","Conferido"))))))))))))</f>
        <v/>
      </c>
      <c r="Q814" s="96">
        <f>IF(COUNTA(C814,E814:G814,I814:O814)&gt;0,1,0)</f>
        <v>0</v>
      </c>
      <c r="R814" s="96" t="str">
        <f>IF(C814="","",TRIM(LEFT(C814,FIND(" |",C814&amp;" |")-1)))</f>
        <v/>
      </c>
      <c r="S814" s="96" t="str">
        <f>IF(R814="","",IFERROR(MATCH(R814,'ITENS_MTR'!$A$6:$A$1005,0),""))</f>
        <v/>
      </c>
      <c r="T814" s="96">
        <f>IF(S814="",0,IF(INDEX('ITENS_MTR'!$R$6:$R$1005,S814)=1,1,0))</f>
        <v>0</v>
      </c>
      <c r="U814" s="96" t="str">
        <f>IF(T814=1,INDEX('ITENS_MTR'!$T$6:$T$1005,S814),"")</f>
        <v/>
      </c>
      <c r="V814" s="97" t="str">
        <f>IF(N(U814)&gt;0,INDEX('MTRs'!$E$6:$E$505,U814),"")</f>
        <v/>
      </c>
      <c r="W814" s="96" t="str">
        <f>IF(G814="","",IFERROR(IF(ISNUMBER(INDEX(cfg_fac,MATCH(G814,cfg_units,0))),IF(INDEX(cfg_fac,MATCH(G814,cfg_units,0))&gt;0,INDEX(cfg_fac,MATCH(G814,cfg_units,0)),""),""),""))</f>
        <v/>
      </c>
      <c r="X814" s="96">
        <f>IF(AND(ISNUMBER(F814),ISNUMBER(H814)),IF(H814&gt;0,1,0),0)</f>
        <v>0</v>
      </c>
      <c r="Y814" s="96">
        <f>IF(Q814=0,0,IF(OR(T814=0,X814=0,NOT(ISNUMBER(E814)),AND(J814="Sim",L814="",M814=""),AND(ISNUMBER(E814),ISNUMBER(V814),N(V814)&gt;0,E814&lt;N(V814))),1,0))</f>
        <v>0</v>
      </c>
      <c r="Z814" s="96">
        <f>IF(AND(Q814=1,T814=1,X814=1,J814="Sim",OR(L814&lt;&gt;"",M814&lt;&gt;"")),1,0)</f>
        <v>0</v>
      </c>
      <c r="AA814" s="96">
        <f>IF(Q814=0,0,IF(AND(OR(r_ini="",AND(ISNUMBER(E814),E814&gt;=r_ini)),OR(r_fim="",AND(ISNUMBER(E814),E814&lt;=r_fim)),OR(r_un="",r_un="(Todas)",IF(N(U814)&gt;0,INDEX('MTRs'!$G$6:$G$505,U814),"")=r_un),OR(r_de="",r_de="(Todos)",D814=r_de)),1,0))</f>
        <v>0</v>
      </c>
      <c r="AB814" s="96" t="str">
        <f>IF(AA814=1,COUNTIF($AA$6:AA814,1),"")</f>
        <v/>
      </c>
    </row>
    <row r="815">
      <c r="A815" s="89" t="inlineStr">
        <is>
          <t>REC-000810</t>
        </is>
      </c>
      <c r="B815" s="94" t="str">
        <f>IF(T815=1,INDEX('ITENS_MTR'!$S$6:$S$1005,S815)&amp;"","")</f>
        <v/>
      </c>
      <c r="C815" s="91" t="n"/>
      <c r="D815" s="94" t="str">
        <f>IF(N(U815)&gt;0,INDEX('MTRs'!$I$6:$I$505,U815)&amp;"","")</f>
        <v/>
      </c>
      <c r="E815" s="92" t="n"/>
      <c r="F815" s="98" t="n"/>
      <c r="G815" s="91" t="n"/>
      <c r="H815" s="93" t="str">
        <f>IF(Q815=0,"",IF(NOT(ISNUMBER(F815)),"",IF(ISNUMBER(W815),F815*W815,"UNIDADE A CONFERIR")))</f>
        <v/>
      </c>
      <c r="I815" s="91" t="n"/>
      <c r="J815" s="91" t="n"/>
      <c r="K815" s="92" t="n"/>
      <c r="L815" s="91" t="n"/>
      <c r="M815" s="91" t="n"/>
      <c r="N815" s="91" t="n"/>
      <c r="O815" s="91" t="n"/>
      <c r="P815" s="94" t="str">
        <f>IF(Q815=0,"",IF(C815="","Item de resíduo não informado",IF(T815=0,"Item inexistente (referência inválida)",IF(NOT(ISNUMBER(F815)),"Quantidade não informada",IF(F815&lt;=0,"Quantidade não positiva",IF(G815="","Unidade não informada",IF(NOT(ISNUMBER(H815)),"Unidade a conferir",IF(NOT(ISNUMBER(E815)),"Data de recebimento não informada",IF(AND(ISNUMBER(V815),N(V815)&gt;0,E815&lt;N(V815)),"Data anterior à emissão do MTR",IF(AND(J815="Sim",L815="",M815=""),"Conferido sem evidência identificada",IF(J815&lt;&gt;"Sim","Aguardando conferência",IF(INDEX('ITENS_MTR'!$AM$6:$AM$1005,S815)=1,"Conferido (ver diferença no item)","Conferido"))))))))))))</f>
        <v/>
      </c>
      <c r="Q815" s="96">
        <f>IF(COUNTA(C815,E815:G815,I815:O815)&gt;0,1,0)</f>
        <v>0</v>
      </c>
      <c r="R815" s="96" t="str">
        <f>IF(C815="","",TRIM(LEFT(C815,FIND(" |",C815&amp;" |")-1)))</f>
        <v/>
      </c>
      <c r="S815" s="96" t="str">
        <f>IF(R815="","",IFERROR(MATCH(R815,'ITENS_MTR'!$A$6:$A$1005,0),""))</f>
        <v/>
      </c>
      <c r="T815" s="96">
        <f>IF(S815="",0,IF(INDEX('ITENS_MTR'!$R$6:$R$1005,S815)=1,1,0))</f>
        <v>0</v>
      </c>
      <c r="U815" s="96" t="str">
        <f>IF(T815=1,INDEX('ITENS_MTR'!$T$6:$T$1005,S815),"")</f>
        <v/>
      </c>
      <c r="V815" s="97" t="str">
        <f>IF(N(U815)&gt;0,INDEX('MTRs'!$E$6:$E$505,U815),"")</f>
        <v/>
      </c>
      <c r="W815" s="96" t="str">
        <f>IF(G815="","",IFERROR(IF(ISNUMBER(INDEX(cfg_fac,MATCH(G815,cfg_units,0))),IF(INDEX(cfg_fac,MATCH(G815,cfg_units,0))&gt;0,INDEX(cfg_fac,MATCH(G815,cfg_units,0)),""),""),""))</f>
        <v/>
      </c>
      <c r="X815" s="96">
        <f>IF(AND(ISNUMBER(F815),ISNUMBER(H815)),IF(H815&gt;0,1,0),0)</f>
        <v>0</v>
      </c>
      <c r="Y815" s="96">
        <f>IF(Q815=0,0,IF(OR(T815=0,X815=0,NOT(ISNUMBER(E815)),AND(J815="Sim",L815="",M815=""),AND(ISNUMBER(E815),ISNUMBER(V815),N(V815)&gt;0,E815&lt;N(V815))),1,0))</f>
        <v>0</v>
      </c>
      <c r="Z815" s="96">
        <f>IF(AND(Q815=1,T815=1,X815=1,J815="Sim",OR(L815&lt;&gt;"",M815&lt;&gt;"")),1,0)</f>
        <v>0</v>
      </c>
      <c r="AA815" s="96">
        <f>IF(Q815=0,0,IF(AND(OR(r_ini="",AND(ISNUMBER(E815),E815&gt;=r_ini)),OR(r_fim="",AND(ISNUMBER(E815),E815&lt;=r_fim)),OR(r_un="",r_un="(Todas)",IF(N(U815)&gt;0,INDEX('MTRs'!$G$6:$G$505,U815),"")=r_un),OR(r_de="",r_de="(Todos)",D815=r_de)),1,0))</f>
        <v>0</v>
      </c>
      <c r="AB815" s="96" t="str">
        <f>IF(AA815=1,COUNTIF($AA$6:AA815,1),"")</f>
        <v/>
      </c>
    </row>
    <row r="816">
      <c r="A816" s="89" t="inlineStr">
        <is>
          <t>REC-000811</t>
        </is>
      </c>
      <c r="B816" s="94" t="str">
        <f>IF(T816=1,INDEX('ITENS_MTR'!$S$6:$S$1005,S816)&amp;"","")</f>
        <v/>
      </c>
      <c r="C816" s="91" t="n"/>
      <c r="D816" s="94" t="str">
        <f>IF(N(U816)&gt;0,INDEX('MTRs'!$I$6:$I$505,U816)&amp;"","")</f>
        <v/>
      </c>
      <c r="E816" s="92" t="n"/>
      <c r="F816" s="98" t="n"/>
      <c r="G816" s="91" t="n"/>
      <c r="H816" s="93" t="str">
        <f>IF(Q816=0,"",IF(NOT(ISNUMBER(F816)),"",IF(ISNUMBER(W816),F816*W816,"UNIDADE A CONFERIR")))</f>
        <v/>
      </c>
      <c r="I816" s="91" t="n"/>
      <c r="J816" s="91" t="n"/>
      <c r="K816" s="92" t="n"/>
      <c r="L816" s="91" t="n"/>
      <c r="M816" s="91" t="n"/>
      <c r="N816" s="91" t="n"/>
      <c r="O816" s="91" t="n"/>
      <c r="P816" s="94" t="str">
        <f>IF(Q816=0,"",IF(C816="","Item de resíduo não informado",IF(T816=0,"Item inexistente (referência inválida)",IF(NOT(ISNUMBER(F816)),"Quantidade não informada",IF(F816&lt;=0,"Quantidade não positiva",IF(G816="","Unidade não informada",IF(NOT(ISNUMBER(H816)),"Unidade a conferir",IF(NOT(ISNUMBER(E816)),"Data de recebimento não informada",IF(AND(ISNUMBER(V816),N(V816)&gt;0,E816&lt;N(V816)),"Data anterior à emissão do MTR",IF(AND(J816="Sim",L816="",M816=""),"Conferido sem evidência identificada",IF(J816&lt;&gt;"Sim","Aguardando conferência",IF(INDEX('ITENS_MTR'!$AM$6:$AM$1005,S816)=1,"Conferido (ver diferença no item)","Conferido"))))))))))))</f>
        <v/>
      </c>
      <c r="Q816" s="96">
        <f>IF(COUNTA(C816,E816:G816,I816:O816)&gt;0,1,0)</f>
        <v>0</v>
      </c>
      <c r="R816" s="96" t="str">
        <f>IF(C816="","",TRIM(LEFT(C816,FIND(" |",C816&amp;" |")-1)))</f>
        <v/>
      </c>
      <c r="S816" s="96" t="str">
        <f>IF(R816="","",IFERROR(MATCH(R816,'ITENS_MTR'!$A$6:$A$1005,0),""))</f>
        <v/>
      </c>
      <c r="T816" s="96">
        <f>IF(S816="",0,IF(INDEX('ITENS_MTR'!$R$6:$R$1005,S816)=1,1,0))</f>
        <v>0</v>
      </c>
      <c r="U816" s="96" t="str">
        <f>IF(T816=1,INDEX('ITENS_MTR'!$T$6:$T$1005,S816),"")</f>
        <v/>
      </c>
      <c r="V816" s="97" t="str">
        <f>IF(N(U816)&gt;0,INDEX('MTRs'!$E$6:$E$505,U816),"")</f>
        <v/>
      </c>
      <c r="W816" s="96" t="str">
        <f>IF(G816="","",IFERROR(IF(ISNUMBER(INDEX(cfg_fac,MATCH(G816,cfg_units,0))),IF(INDEX(cfg_fac,MATCH(G816,cfg_units,0))&gt;0,INDEX(cfg_fac,MATCH(G816,cfg_units,0)),""),""),""))</f>
        <v/>
      </c>
      <c r="X816" s="96">
        <f>IF(AND(ISNUMBER(F816),ISNUMBER(H816)),IF(H816&gt;0,1,0),0)</f>
        <v>0</v>
      </c>
      <c r="Y816" s="96">
        <f>IF(Q816=0,0,IF(OR(T816=0,X816=0,NOT(ISNUMBER(E816)),AND(J816="Sim",L816="",M816=""),AND(ISNUMBER(E816),ISNUMBER(V816),N(V816)&gt;0,E816&lt;N(V816))),1,0))</f>
        <v>0</v>
      </c>
      <c r="Z816" s="96">
        <f>IF(AND(Q816=1,T816=1,X816=1,J816="Sim",OR(L816&lt;&gt;"",M816&lt;&gt;"")),1,0)</f>
        <v>0</v>
      </c>
      <c r="AA816" s="96">
        <f>IF(Q816=0,0,IF(AND(OR(r_ini="",AND(ISNUMBER(E816),E816&gt;=r_ini)),OR(r_fim="",AND(ISNUMBER(E816),E816&lt;=r_fim)),OR(r_un="",r_un="(Todas)",IF(N(U816)&gt;0,INDEX('MTRs'!$G$6:$G$505,U816),"")=r_un),OR(r_de="",r_de="(Todos)",D816=r_de)),1,0))</f>
        <v>0</v>
      </c>
      <c r="AB816" s="96" t="str">
        <f>IF(AA816=1,COUNTIF($AA$6:AA816,1),"")</f>
        <v/>
      </c>
    </row>
    <row r="817">
      <c r="A817" s="89" t="inlineStr">
        <is>
          <t>REC-000812</t>
        </is>
      </c>
      <c r="B817" s="94" t="str">
        <f>IF(T817=1,INDEX('ITENS_MTR'!$S$6:$S$1005,S817)&amp;"","")</f>
        <v/>
      </c>
      <c r="C817" s="91" t="n"/>
      <c r="D817" s="94" t="str">
        <f>IF(N(U817)&gt;0,INDEX('MTRs'!$I$6:$I$505,U817)&amp;"","")</f>
        <v/>
      </c>
      <c r="E817" s="92" t="n"/>
      <c r="F817" s="98" t="n"/>
      <c r="G817" s="91" t="n"/>
      <c r="H817" s="93" t="str">
        <f>IF(Q817=0,"",IF(NOT(ISNUMBER(F817)),"",IF(ISNUMBER(W817),F817*W817,"UNIDADE A CONFERIR")))</f>
        <v/>
      </c>
      <c r="I817" s="91" t="n"/>
      <c r="J817" s="91" t="n"/>
      <c r="K817" s="92" t="n"/>
      <c r="L817" s="91" t="n"/>
      <c r="M817" s="91" t="n"/>
      <c r="N817" s="91" t="n"/>
      <c r="O817" s="91" t="n"/>
      <c r="P817" s="94" t="str">
        <f>IF(Q817=0,"",IF(C817="","Item de resíduo não informado",IF(T817=0,"Item inexistente (referência inválida)",IF(NOT(ISNUMBER(F817)),"Quantidade não informada",IF(F817&lt;=0,"Quantidade não positiva",IF(G817="","Unidade não informada",IF(NOT(ISNUMBER(H817)),"Unidade a conferir",IF(NOT(ISNUMBER(E817)),"Data de recebimento não informada",IF(AND(ISNUMBER(V817),N(V817)&gt;0,E817&lt;N(V817)),"Data anterior à emissão do MTR",IF(AND(J817="Sim",L817="",M817=""),"Conferido sem evidência identificada",IF(J817&lt;&gt;"Sim","Aguardando conferência",IF(INDEX('ITENS_MTR'!$AM$6:$AM$1005,S817)=1,"Conferido (ver diferença no item)","Conferido"))))))))))))</f>
        <v/>
      </c>
      <c r="Q817" s="96">
        <f>IF(COUNTA(C817,E817:G817,I817:O817)&gt;0,1,0)</f>
        <v>0</v>
      </c>
      <c r="R817" s="96" t="str">
        <f>IF(C817="","",TRIM(LEFT(C817,FIND(" |",C817&amp;" |")-1)))</f>
        <v/>
      </c>
      <c r="S817" s="96" t="str">
        <f>IF(R817="","",IFERROR(MATCH(R817,'ITENS_MTR'!$A$6:$A$1005,0),""))</f>
        <v/>
      </c>
      <c r="T817" s="96">
        <f>IF(S817="",0,IF(INDEX('ITENS_MTR'!$R$6:$R$1005,S817)=1,1,0))</f>
        <v>0</v>
      </c>
      <c r="U817" s="96" t="str">
        <f>IF(T817=1,INDEX('ITENS_MTR'!$T$6:$T$1005,S817),"")</f>
        <v/>
      </c>
      <c r="V817" s="97" t="str">
        <f>IF(N(U817)&gt;0,INDEX('MTRs'!$E$6:$E$505,U817),"")</f>
        <v/>
      </c>
      <c r="W817" s="96" t="str">
        <f>IF(G817="","",IFERROR(IF(ISNUMBER(INDEX(cfg_fac,MATCH(G817,cfg_units,0))),IF(INDEX(cfg_fac,MATCH(G817,cfg_units,0))&gt;0,INDEX(cfg_fac,MATCH(G817,cfg_units,0)),""),""),""))</f>
        <v/>
      </c>
      <c r="X817" s="96">
        <f>IF(AND(ISNUMBER(F817),ISNUMBER(H817)),IF(H817&gt;0,1,0),0)</f>
        <v>0</v>
      </c>
      <c r="Y817" s="96">
        <f>IF(Q817=0,0,IF(OR(T817=0,X817=0,NOT(ISNUMBER(E817)),AND(J817="Sim",L817="",M817=""),AND(ISNUMBER(E817),ISNUMBER(V817),N(V817)&gt;0,E817&lt;N(V817))),1,0))</f>
        <v>0</v>
      </c>
      <c r="Z817" s="96">
        <f>IF(AND(Q817=1,T817=1,X817=1,J817="Sim",OR(L817&lt;&gt;"",M817&lt;&gt;"")),1,0)</f>
        <v>0</v>
      </c>
      <c r="AA817" s="96">
        <f>IF(Q817=0,0,IF(AND(OR(r_ini="",AND(ISNUMBER(E817),E817&gt;=r_ini)),OR(r_fim="",AND(ISNUMBER(E817),E817&lt;=r_fim)),OR(r_un="",r_un="(Todas)",IF(N(U817)&gt;0,INDEX('MTRs'!$G$6:$G$505,U817),"")=r_un),OR(r_de="",r_de="(Todos)",D817=r_de)),1,0))</f>
        <v>0</v>
      </c>
      <c r="AB817" s="96" t="str">
        <f>IF(AA817=1,COUNTIF($AA$6:AA817,1),"")</f>
        <v/>
      </c>
    </row>
    <row r="818">
      <c r="A818" s="89" t="inlineStr">
        <is>
          <t>REC-000813</t>
        </is>
      </c>
      <c r="B818" s="94" t="str">
        <f>IF(T818=1,INDEX('ITENS_MTR'!$S$6:$S$1005,S818)&amp;"","")</f>
        <v/>
      </c>
      <c r="C818" s="91" t="n"/>
      <c r="D818" s="94" t="str">
        <f>IF(N(U818)&gt;0,INDEX('MTRs'!$I$6:$I$505,U818)&amp;"","")</f>
        <v/>
      </c>
      <c r="E818" s="92" t="n"/>
      <c r="F818" s="98" t="n"/>
      <c r="G818" s="91" t="n"/>
      <c r="H818" s="93" t="str">
        <f>IF(Q818=0,"",IF(NOT(ISNUMBER(F818)),"",IF(ISNUMBER(W818),F818*W818,"UNIDADE A CONFERIR")))</f>
        <v/>
      </c>
      <c r="I818" s="91" t="n"/>
      <c r="J818" s="91" t="n"/>
      <c r="K818" s="92" t="n"/>
      <c r="L818" s="91" t="n"/>
      <c r="M818" s="91" t="n"/>
      <c r="N818" s="91" t="n"/>
      <c r="O818" s="91" t="n"/>
      <c r="P818" s="94" t="str">
        <f>IF(Q818=0,"",IF(C818="","Item de resíduo não informado",IF(T818=0,"Item inexistente (referência inválida)",IF(NOT(ISNUMBER(F818)),"Quantidade não informada",IF(F818&lt;=0,"Quantidade não positiva",IF(G818="","Unidade não informada",IF(NOT(ISNUMBER(H818)),"Unidade a conferir",IF(NOT(ISNUMBER(E818)),"Data de recebimento não informada",IF(AND(ISNUMBER(V818),N(V818)&gt;0,E818&lt;N(V818)),"Data anterior à emissão do MTR",IF(AND(J818="Sim",L818="",M818=""),"Conferido sem evidência identificada",IF(J818&lt;&gt;"Sim","Aguardando conferência",IF(INDEX('ITENS_MTR'!$AM$6:$AM$1005,S818)=1,"Conferido (ver diferença no item)","Conferido"))))))))))))</f>
        <v/>
      </c>
      <c r="Q818" s="96">
        <f>IF(COUNTA(C818,E818:G818,I818:O818)&gt;0,1,0)</f>
        <v>0</v>
      </c>
      <c r="R818" s="96" t="str">
        <f>IF(C818="","",TRIM(LEFT(C818,FIND(" |",C818&amp;" |")-1)))</f>
        <v/>
      </c>
      <c r="S818" s="96" t="str">
        <f>IF(R818="","",IFERROR(MATCH(R818,'ITENS_MTR'!$A$6:$A$1005,0),""))</f>
        <v/>
      </c>
      <c r="T818" s="96">
        <f>IF(S818="",0,IF(INDEX('ITENS_MTR'!$R$6:$R$1005,S818)=1,1,0))</f>
        <v>0</v>
      </c>
      <c r="U818" s="96" t="str">
        <f>IF(T818=1,INDEX('ITENS_MTR'!$T$6:$T$1005,S818),"")</f>
        <v/>
      </c>
      <c r="V818" s="97" t="str">
        <f>IF(N(U818)&gt;0,INDEX('MTRs'!$E$6:$E$505,U818),"")</f>
        <v/>
      </c>
      <c r="W818" s="96" t="str">
        <f>IF(G818="","",IFERROR(IF(ISNUMBER(INDEX(cfg_fac,MATCH(G818,cfg_units,0))),IF(INDEX(cfg_fac,MATCH(G818,cfg_units,0))&gt;0,INDEX(cfg_fac,MATCH(G818,cfg_units,0)),""),""),""))</f>
        <v/>
      </c>
      <c r="X818" s="96">
        <f>IF(AND(ISNUMBER(F818),ISNUMBER(H818)),IF(H818&gt;0,1,0),0)</f>
        <v>0</v>
      </c>
      <c r="Y818" s="96">
        <f>IF(Q818=0,0,IF(OR(T818=0,X818=0,NOT(ISNUMBER(E818)),AND(J818="Sim",L818="",M818=""),AND(ISNUMBER(E818),ISNUMBER(V818),N(V818)&gt;0,E818&lt;N(V818))),1,0))</f>
        <v>0</v>
      </c>
      <c r="Z818" s="96">
        <f>IF(AND(Q818=1,T818=1,X818=1,J818="Sim",OR(L818&lt;&gt;"",M818&lt;&gt;"")),1,0)</f>
        <v>0</v>
      </c>
      <c r="AA818" s="96">
        <f>IF(Q818=0,0,IF(AND(OR(r_ini="",AND(ISNUMBER(E818),E818&gt;=r_ini)),OR(r_fim="",AND(ISNUMBER(E818),E818&lt;=r_fim)),OR(r_un="",r_un="(Todas)",IF(N(U818)&gt;0,INDEX('MTRs'!$G$6:$G$505,U818),"")=r_un),OR(r_de="",r_de="(Todos)",D818=r_de)),1,0))</f>
        <v>0</v>
      </c>
      <c r="AB818" s="96" t="str">
        <f>IF(AA818=1,COUNTIF($AA$6:AA818,1),"")</f>
        <v/>
      </c>
    </row>
    <row r="819">
      <c r="A819" s="89" t="inlineStr">
        <is>
          <t>REC-000814</t>
        </is>
      </c>
      <c r="B819" s="94" t="str">
        <f>IF(T819=1,INDEX('ITENS_MTR'!$S$6:$S$1005,S819)&amp;"","")</f>
        <v/>
      </c>
      <c r="C819" s="91" t="n"/>
      <c r="D819" s="94" t="str">
        <f>IF(N(U819)&gt;0,INDEX('MTRs'!$I$6:$I$505,U819)&amp;"","")</f>
        <v/>
      </c>
      <c r="E819" s="92" t="n"/>
      <c r="F819" s="98" t="n"/>
      <c r="G819" s="91" t="n"/>
      <c r="H819" s="93" t="str">
        <f>IF(Q819=0,"",IF(NOT(ISNUMBER(F819)),"",IF(ISNUMBER(W819),F819*W819,"UNIDADE A CONFERIR")))</f>
        <v/>
      </c>
      <c r="I819" s="91" t="n"/>
      <c r="J819" s="91" t="n"/>
      <c r="K819" s="92" t="n"/>
      <c r="L819" s="91" t="n"/>
      <c r="M819" s="91" t="n"/>
      <c r="N819" s="91" t="n"/>
      <c r="O819" s="91" t="n"/>
      <c r="P819" s="94" t="str">
        <f>IF(Q819=0,"",IF(C819="","Item de resíduo não informado",IF(T819=0,"Item inexistente (referência inválida)",IF(NOT(ISNUMBER(F819)),"Quantidade não informada",IF(F819&lt;=0,"Quantidade não positiva",IF(G819="","Unidade não informada",IF(NOT(ISNUMBER(H819)),"Unidade a conferir",IF(NOT(ISNUMBER(E819)),"Data de recebimento não informada",IF(AND(ISNUMBER(V819),N(V819)&gt;0,E819&lt;N(V819)),"Data anterior à emissão do MTR",IF(AND(J819="Sim",L819="",M819=""),"Conferido sem evidência identificada",IF(J819&lt;&gt;"Sim","Aguardando conferência",IF(INDEX('ITENS_MTR'!$AM$6:$AM$1005,S819)=1,"Conferido (ver diferença no item)","Conferido"))))))))))))</f>
        <v/>
      </c>
      <c r="Q819" s="96">
        <f>IF(COUNTA(C819,E819:G819,I819:O819)&gt;0,1,0)</f>
        <v>0</v>
      </c>
      <c r="R819" s="96" t="str">
        <f>IF(C819="","",TRIM(LEFT(C819,FIND(" |",C819&amp;" |")-1)))</f>
        <v/>
      </c>
      <c r="S819" s="96" t="str">
        <f>IF(R819="","",IFERROR(MATCH(R819,'ITENS_MTR'!$A$6:$A$1005,0),""))</f>
        <v/>
      </c>
      <c r="T819" s="96">
        <f>IF(S819="",0,IF(INDEX('ITENS_MTR'!$R$6:$R$1005,S819)=1,1,0))</f>
        <v>0</v>
      </c>
      <c r="U819" s="96" t="str">
        <f>IF(T819=1,INDEX('ITENS_MTR'!$T$6:$T$1005,S819),"")</f>
        <v/>
      </c>
      <c r="V819" s="97" t="str">
        <f>IF(N(U819)&gt;0,INDEX('MTRs'!$E$6:$E$505,U819),"")</f>
        <v/>
      </c>
      <c r="W819" s="96" t="str">
        <f>IF(G819="","",IFERROR(IF(ISNUMBER(INDEX(cfg_fac,MATCH(G819,cfg_units,0))),IF(INDEX(cfg_fac,MATCH(G819,cfg_units,0))&gt;0,INDEX(cfg_fac,MATCH(G819,cfg_units,0)),""),""),""))</f>
        <v/>
      </c>
      <c r="X819" s="96">
        <f>IF(AND(ISNUMBER(F819),ISNUMBER(H819)),IF(H819&gt;0,1,0),0)</f>
        <v>0</v>
      </c>
      <c r="Y819" s="96">
        <f>IF(Q819=0,0,IF(OR(T819=0,X819=0,NOT(ISNUMBER(E819)),AND(J819="Sim",L819="",M819=""),AND(ISNUMBER(E819),ISNUMBER(V819),N(V819)&gt;0,E819&lt;N(V819))),1,0))</f>
        <v>0</v>
      </c>
      <c r="Z819" s="96">
        <f>IF(AND(Q819=1,T819=1,X819=1,J819="Sim",OR(L819&lt;&gt;"",M819&lt;&gt;"")),1,0)</f>
        <v>0</v>
      </c>
      <c r="AA819" s="96">
        <f>IF(Q819=0,0,IF(AND(OR(r_ini="",AND(ISNUMBER(E819),E819&gt;=r_ini)),OR(r_fim="",AND(ISNUMBER(E819),E819&lt;=r_fim)),OR(r_un="",r_un="(Todas)",IF(N(U819)&gt;0,INDEX('MTRs'!$G$6:$G$505,U819),"")=r_un),OR(r_de="",r_de="(Todos)",D819=r_de)),1,0))</f>
        <v>0</v>
      </c>
      <c r="AB819" s="96" t="str">
        <f>IF(AA819=1,COUNTIF($AA$6:AA819,1),"")</f>
        <v/>
      </c>
    </row>
    <row r="820">
      <c r="A820" s="89" t="inlineStr">
        <is>
          <t>REC-000815</t>
        </is>
      </c>
      <c r="B820" s="94" t="str">
        <f>IF(T820=1,INDEX('ITENS_MTR'!$S$6:$S$1005,S820)&amp;"","")</f>
        <v/>
      </c>
      <c r="C820" s="91" t="n"/>
      <c r="D820" s="94" t="str">
        <f>IF(N(U820)&gt;0,INDEX('MTRs'!$I$6:$I$505,U820)&amp;"","")</f>
        <v/>
      </c>
      <c r="E820" s="92" t="n"/>
      <c r="F820" s="98" t="n"/>
      <c r="G820" s="91" t="n"/>
      <c r="H820" s="93" t="str">
        <f>IF(Q820=0,"",IF(NOT(ISNUMBER(F820)),"",IF(ISNUMBER(W820),F820*W820,"UNIDADE A CONFERIR")))</f>
        <v/>
      </c>
      <c r="I820" s="91" t="n"/>
      <c r="J820" s="91" t="n"/>
      <c r="K820" s="92" t="n"/>
      <c r="L820" s="91" t="n"/>
      <c r="M820" s="91" t="n"/>
      <c r="N820" s="91" t="n"/>
      <c r="O820" s="91" t="n"/>
      <c r="P820" s="94" t="str">
        <f>IF(Q820=0,"",IF(C820="","Item de resíduo não informado",IF(T820=0,"Item inexistente (referência inválida)",IF(NOT(ISNUMBER(F820)),"Quantidade não informada",IF(F820&lt;=0,"Quantidade não positiva",IF(G820="","Unidade não informada",IF(NOT(ISNUMBER(H820)),"Unidade a conferir",IF(NOT(ISNUMBER(E820)),"Data de recebimento não informada",IF(AND(ISNUMBER(V820),N(V820)&gt;0,E820&lt;N(V820)),"Data anterior à emissão do MTR",IF(AND(J820="Sim",L820="",M820=""),"Conferido sem evidência identificada",IF(J820&lt;&gt;"Sim","Aguardando conferência",IF(INDEX('ITENS_MTR'!$AM$6:$AM$1005,S820)=1,"Conferido (ver diferença no item)","Conferido"))))))))))))</f>
        <v/>
      </c>
      <c r="Q820" s="96">
        <f>IF(COUNTA(C820,E820:G820,I820:O820)&gt;0,1,0)</f>
        <v>0</v>
      </c>
      <c r="R820" s="96" t="str">
        <f>IF(C820="","",TRIM(LEFT(C820,FIND(" |",C820&amp;" |")-1)))</f>
        <v/>
      </c>
      <c r="S820" s="96" t="str">
        <f>IF(R820="","",IFERROR(MATCH(R820,'ITENS_MTR'!$A$6:$A$1005,0),""))</f>
        <v/>
      </c>
      <c r="T820" s="96">
        <f>IF(S820="",0,IF(INDEX('ITENS_MTR'!$R$6:$R$1005,S820)=1,1,0))</f>
        <v>0</v>
      </c>
      <c r="U820" s="96" t="str">
        <f>IF(T820=1,INDEX('ITENS_MTR'!$T$6:$T$1005,S820),"")</f>
        <v/>
      </c>
      <c r="V820" s="97" t="str">
        <f>IF(N(U820)&gt;0,INDEX('MTRs'!$E$6:$E$505,U820),"")</f>
        <v/>
      </c>
      <c r="W820" s="96" t="str">
        <f>IF(G820="","",IFERROR(IF(ISNUMBER(INDEX(cfg_fac,MATCH(G820,cfg_units,0))),IF(INDEX(cfg_fac,MATCH(G820,cfg_units,0))&gt;0,INDEX(cfg_fac,MATCH(G820,cfg_units,0)),""),""),""))</f>
        <v/>
      </c>
      <c r="X820" s="96">
        <f>IF(AND(ISNUMBER(F820),ISNUMBER(H820)),IF(H820&gt;0,1,0),0)</f>
        <v>0</v>
      </c>
      <c r="Y820" s="96">
        <f>IF(Q820=0,0,IF(OR(T820=0,X820=0,NOT(ISNUMBER(E820)),AND(J820="Sim",L820="",M820=""),AND(ISNUMBER(E820),ISNUMBER(V820),N(V820)&gt;0,E820&lt;N(V820))),1,0))</f>
        <v>0</v>
      </c>
      <c r="Z820" s="96">
        <f>IF(AND(Q820=1,T820=1,X820=1,J820="Sim",OR(L820&lt;&gt;"",M820&lt;&gt;"")),1,0)</f>
        <v>0</v>
      </c>
      <c r="AA820" s="96">
        <f>IF(Q820=0,0,IF(AND(OR(r_ini="",AND(ISNUMBER(E820),E820&gt;=r_ini)),OR(r_fim="",AND(ISNUMBER(E820),E820&lt;=r_fim)),OR(r_un="",r_un="(Todas)",IF(N(U820)&gt;0,INDEX('MTRs'!$G$6:$G$505,U820),"")=r_un),OR(r_de="",r_de="(Todos)",D820=r_de)),1,0))</f>
        <v>0</v>
      </c>
      <c r="AB820" s="96" t="str">
        <f>IF(AA820=1,COUNTIF($AA$6:AA820,1),"")</f>
        <v/>
      </c>
    </row>
    <row r="821">
      <c r="A821" s="89" t="inlineStr">
        <is>
          <t>REC-000816</t>
        </is>
      </c>
      <c r="B821" s="94" t="str">
        <f>IF(T821=1,INDEX('ITENS_MTR'!$S$6:$S$1005,S821)&amp;"","")</f>
        <v/>
      </c>
      <c r="C821" s="91" t="n"/>
      <c r="D821" s="94" t="str">
        <f>IF(N(U821)&gt;0,INDEX('MTRs'!$I$6:$I$505,U821)&amp;"","")</f>
        <v/>
      </c>
      <c r="E821" s="92" t="n"/>
      <c r="F821" s="98" t="n"/>
      <c r="G821" s="91" t="n"/>
      <c r="H821" s="93" t="str">
        <f>IF(Q821=0,"",IF(NOT(ISNUMBER(F821)),"",IF(ISNUMBER(W821),F821*W821,"UNIDADE A CONFERIR")))</f>
        <v/>
      </c>
      <c r="I821" s="91" t="n"/>
      <c r="J821" s="91" t="n"/>
      <c r="K821" s="92" t="n"/>
      <c r="L821" s="91" t="n"/>
      <c r="M821" s="91" t="n"/>
      <c r="N821" s="91" t="n"/>
      <c r="O821" s="91" t="n"/>
      <c r="P821" s="94" t="str">
        <f>IF(Q821=0,"",IF(C821="","Item de resíduo não informado",IF(T821=0,"Item inexistente (referência inválida)",IF(NOT(ISNUMBER(F821)),"Quantidade não informada",IF(F821&lt;=0,"Quantidade não positiva",IF(G821="","Unidade não informada",IF(NOT(ISNUMBER(H821)),"Unidade a conferir",IF(NOT(ISNUMBER(E821)),"Data de recebimento não informada",IF(AND(ISNUMBER(V821),N(V821)&gt;0,E821&lt;N(V821)),"Data anterior à emissão do MTR",IF(AND(J821="Sim",L821="",M821=""),"Conferido sem evidência identificada",IF(J821&lt;&gt;"Sim","Aguardando conferência",IF(INDEX('ITENS_MTR'!$AM$6:$AM$1005,S821)=1,"Conferido (ver diferença no item)","Conferido"))))))))))))</f>
        <v/>
      </c>
      <c r="Q821" s="96">
        <f>IF(COUNTA(C821,E821:G821,I821:O821)&gt;0,1,0)</f>
        <v>0</v>
      </c>
      <c r="R821" s="96" t="str">
        <f>IF(C821="","",TRIM(LEFT(C821,FIND(" |",C821&amp;" |")-1)))</f>
        <v/>
      </c>
      <c r="S821" s="96" t="str">
        <f>IF(R821="","",IFERROR(MATCH(R821,'ITENS_MTR'!$A$6:$A$1005,0),""))</f>
        <v/>
      </c>
      <c r="T821" s="96">
        <f>IF(S821="",0,IF(INDEX('ITENS_MTR'!$R$6:$R$1005,S821)=1,1,0))</f>
        <v>0</v>
      </c>
      <c r="U821" s="96" t="str">
        <f>IF(T821=1,INDEX('ITENS_MTR'!$T$6:$T$1005,S821),"")</f>
        <v/>
      </c>
      <c r="V821" s="97" t="str">
        <f>IF(N(U821)&gt;0,INDEX('MTRs'!$E$6:$E$505,U821),"")</f>
        <v/>
      </c>
      <c r="W821" s="96" t="str">
        <f>IF(G821="","",IFERROR(IF(ISNUMBER(INDEX(cfg_fac,MATCH(G821,cfg_units,0))),IF(INDEX(cfg_fac,MATCH(G821,cfg_units,0))&gt;0,INDEX(cfg_fac,MATCH(G821,cfg_units,0)),""),""),""))</f>
        <v/>
      </c>
      <c r="X821" s="96">
        <f>IF(AND(ISNUMBER(F821),ISNUMBER(H821)),IF(H821&gt;0,1,0),0)</f>
        <v>0</v>
      </c>
      <c r="Y821" s="96">
        <f>IF(Q821=0,0,IF(OR(T821=0,X821=0,NOT(ISNUMBER(E821)),AND(J821="Sim",L821="",M821=""),AND(ISNUMBER(E821),ISNUMBER(V821),N(V821)&gt;0,E821&lt;N(V821))),1,0))</f>
        <v>0</v>
      </c>
      <c r="Z821" s="96">
        <f>IF(AND(Q821=1,T821=1,X821=1,J821="Sim",OR(L821&lt;&gt;"",M821&lt;&gt;"")),1,0)</f>
        <v>0</v>
      </c>
      <c r="AA821" s="96">
        <f>IF(Q821=0,0,IF(AND(OR(r_ini="",AND(ISNUMBER(E821),E821&gt;=r_ini)),OR(r_fim="",AND(ISNUMBER(E821),E821&lt;=r_fim)),OR(r_un="",r_un="(Todas)",IF(N(U821)&gt;0,INDEX('MTRs'!$G$6:$G$505,U821),"")=r_un),OR(r_de="",r_de="(Todos)",D821=r_de)),1,0))</f>
        <v>0</v>
      </c>
      <c r="AB821" s="96" t="str">
        <f>IF(AA821=1,COUNTIF($AA$6:AA821,1),"")</f>
        <v/>
      </c>
    </row>
    <row r="822">
      <c r="A822" s="89" t="inlineStr">
        <is>
          <t>REC-000817</t>
        </is>
      </c>
      <c r="B822" s="94" t="str">
        <f>IF(T822=1,INDEX('ITENS_MTR'!$S$6:$S$1005,S822)&amp;"","")</f>
        <v/>
      </c>
      <c r="C822" s="91" t="n"/>
      <c r="D822" s="94" t="str">
        <f>IF(N(U822)&gt;0,INDEX('MTRs'!$I$6:$I$505,U822)&amp;"","")</f>
        <v/>
      </c>
      <c r="E822" s="92" t="n"/>
      <c r="F822" s="98" t="n"/>
      <c r="G822" s="91" t="n"/>
      <c r="H822" s="93" t="str">
        <f>IF(Q822=0,"",IF(NOT(ISNUMBER(F822)),"",IF(ISNUMBER(W822),F822*W822,"UNIDADE A CONFERIR")))</f>
        <v/>
      </c>
      <c r="I822" s="91" t="n"/>
      <c r="J822" s="91" t="n"/>
      <c r="K822" s="92" t="n"/>
      <c r="L822" s="91" t="n"/>
      <c r="M822" s="91" t="n"/>
      <c r="N822" s="91" t="n"/>
      <c r="O822" s="91" t="n"/>
      <c r="P822" s="94" t="str">
        <f>IF(Q822=0,"",IF(C822="","Item de resíduo não informado",IF(T822=0,"Item inexistente (referência inválida)",IF(NOT(ISNUMBER(F822)),"Quantidade não informada",IF(F822&lt;=0,"Quantidade não positiva",IF(G822="","Unidade não informada",IF(NOT(ISNUMBER(H822)),"Unidade a conferir",IF(NOT(ISNUMBER(E822)),"Data de recebimento não informada",IF(AND(ISNUMBER(V822),N(V822)&gt;0,E822&lt;N(V822)),"Data anterior à emissão do MTR",IF(AND(J822="Sim",L822="",M822=""),"Conferido sem evidência identificada",IF(J822&lt;&gt;"Sim","Aguardando conferência",IF(INDEX('ITENS_MTR'!$AM$6:$AM$1005,S822)=1,"Conferido (ver diferença no item)","Conferido"))))))))))))</f>
        <v/>
      </c>
      <c r="Q822" s="96">
        <f>IF(COUNTA(C822,E822:G822,I822:O822)&gt;0,1,0)</f>
        <v>0</v>
      </c>
      <c r="R822" s="96" t="str">
        <f>IF(C822="","",TRIM(LEFT(C822,FIND(" |",C822&amp;" |")-1)))</f>
        <v/>
      </c>
      <c r="S822" s="96" t="str">
        <f>IF(R822="","",IFERROR(MATCH(R822,'ITENS_MTR'!$A$6:$A$1005,0),""))</f>
        <v/>
      </c>
      <c r="T822" s="96">
        <f>IF(S822="",0,IF(INDEX('ITENS_MTR'!$R$6:$R$1005,S822)=1,1,0))</f>
        <v>0</v>
      </c>
      <c r="U822" s="96" t="str">
        <f>IF(T822=1,INDEX('ITENS_MTR'!$T$6:$T$1005,S822),"")</f>
        <v/>
      </c>
      <c r="V822" s="97" t="str">
        <f>IF(N(U822)&gt;0,INDEX('MTRs'!$E$6:$E$505,U822),"")</f>
        <v/>
      </c>
      <c r="W822" s="96" t="str">
        <f>IF(G822="","",IFERROR(IF(ISNUMBER(INDEX(cfg_fac,MATCH(G822,cfg_units,0))),IF(INDEX(cfg_fac,MATCH(G822,cfg_units,0))&gt;0,INDEX(cfg_fac,MATCH(G822,cfg_units,0)),""),""),""))</f>
        <v/>
      </c>
      <c r="X822" s="96">
        <f>IF(AND(ISNUMBER(F822),ISNUMBER(H822)),IF(H822&gt;0,1,0),0)</f>
        <v>0</v>
      </c>
      <c r="Y822" s="96">
        <f>IF(Q822=0,0,IF(OR(T822=0,X822=0,NOT(ISNUMBER(E822)),AND(J822="Sim",L822="",M822=""),AND(ISNUMBER(E822),ISNUMBER(V822),N(V822)&gt;0,E822&lt;N(V822))),1,0))</f>
        <v>0</v>
      </c>
      <c r="Z822" s="96">
        <f>IF(AND(Q822=1,T822=1,X822=1,J822="Sim",OR(L822&lt;&gt;"",M822&lt;&gt;"")),1,0)</f>
        <v>0</v>
      </c>
      <c r="AA822" s="96">
        <f>IF(Q822=0,0,IF(AND(OR(r_ini="",AND(ISNUMBER(E822),E822&gt;=r_ini)),OR(r_fim="",AND(ISNUMBER(E822),E822&lt;=r_fim)),OR(r_un="",r_un="(Todas)",IF(N(U822)&gt;0,INDEX('MTRs'!$G$6:$G$505,U822),"")=r_un),OR(r_de="",r_de="(Todos)",D822=r_de)),1,0))</f>
        <v>0</v>
      </c>
      <c r="AB822" s="96" t="str">
        <f>IF(AA822=1,COUNTIF($AA$6:AA822,1),"")</f>
        <v/>
      </c>
    </row>
    <row r="823">
      <c r="A823" s="89" t="inlineStr">
        <is>
          <t>REC-000818</t>
        </is>
      </c>
      <c r="B823" s="94" t="str">
        <f>IF(T823=1,INDEX('ITENS_MTR'!$S$6:$S$1005,S823)&amp;"","")</f>
        <v/>
      </c>
      <c r="C823" s="91" t="n"/>
      <c r="D823" s="94" t="str">
        <f>IF(N(U823)&gt;0,INDEX('MTRs'!$I$6:$I$505,U823)&amp;"","")</f>
        <v/>
      </c>
      <c r="E823" s="92" t="n"/>
      <c r="F823" s="98" t="n"/>
      <c r="G823" s="91" t="n"/>
      <c r="H823" s="93" t="str">
        <f>IF(Q823=0,"",IF(NOT(ISNUMBER(F823)),"",IF(ISNUMBER(W823),F823*W823,"UNIDADE A CONFERIR")))</f>
        <v/>
      </c>
      <c r="I823" s="91" t="n"/>
      <c r="J823" s="91" t="n"/>
      <c r="K823" s="92" t="n"/>
      <c r="L823" s="91" t="n"/>
      <c r="M823" s="91" t="n"/>
      <c r="N823" s="91" t="n"/>
      <c r="O823" s="91" t="n"/>
      <c r="P823" s="94" t="str">
        <f>IF(Q823=0,"",IF(C823="","Item de resíduo não informado",IF(T823=0,"Item inexistente (referência inválida)",IF(NOT(ISNUMBER(F823)),"Quantidade não informada",IF(F823&lt;=0,"Quantidade não positiva",IF(G823="","Unidade não informada",IF(NOT(ISNUMBER(H823)),"Unidade a conferir",IF(NOT(ISNUMBER(E823)),"Data de recebimento não informada",IF(AND(ISNUMBER(V823),N(V823)&gt;0,E823&lt;N(V823)),"Data anterior à emissão do MTR",IF(AND(J823="Sim",L823="",M823=""),"Conferido sem evidência identificada",IF(J823&lt;&gt;"Sim","Aguardando conferência",IF(INDEX('ITENS_MTR'!$AM$6:$AM$1005,S823)=1,"Conferido (ver diferença no item)","Conferido"))))))))))))</f>
        <v/>
      </c>
      <c r="Q823" s="96">
        <f>IF(COUNTA(C823,E823:G823,I823:O823)&gt;0,1,0)</f>
        <v>0</v>
      </c>
      <c r="R823" s="96" t="str">
        <f>IF(C823="","",TRIM(LEFT(C823,FIND(" |",C823&amp;" |")-1)))</f>
        <v/>
      </c>
      <c r="S823" s="96" t="str">
        <f>IF(R823="","",IFERROR(MATCH(R823,'ITENS_MTR'!$A$6:$A$1005,0),""))</f>
        <v/>
      </c>
      <c r="T823" s="96">
        <f>IF(S823="",0,IF(INDEX('ITENS_MTR'!$R$6:$R$1005,S823)=1,1,0))</f>
        <v>0</v>
      </c>
      <c r="U823" s="96" t="str">
        <f>IF(T823=1,INDEX('ITENS_MTR'!$T$6:$T$1005,S823),"")</f>
        <v/>
      </c>
      <c r="V823" s="97" t="str">
        <f>IF(N(U823)&gt;0,INDEX('MTRs'!$E$6:$E$505,U823),"")</f>
        <v/>
      </c>
      <c r="W823" s="96" t="str">
        <f>IF(G823="","",IFERROR(IF(ISNUMBER(INDEX(cfg_fac,MATCH(G823,cfg_units,0))),IF(INDEX(cfg_fac,MATCH(G823,cfg_units,0))&gt;0,INDEX(cfg_fac,MATCH(G823,cfg_units,0)),""),""),""))</f>
        <v/>
      </c>
      <c r="X823" s="96">
        <f>IF(AND(ISNUMBER(F823),ISNUMBER(H823)),IF(H823&gt;0,1,0),0)</f>
        <v>0</v>
      </c>
      <c r="Y823" s="96">
        <f>IF(Q823=0,0,IF(OR(T823=0,X823=0,NOT(ISNUMBER(E823)),AND(J823="Sim",L823="",M823=""),AND(ISNUMBER(E823),ISNUMBER(V823),N(V823)&gt;0,E823&lt;N(V823))),1,0))</f>
        <v>0</v>
      </c>
      <c r="Z823" s="96">
        <f>IF(AND(Q823=1,T823=1,X823=1,J823="Sim",OR(L823&lt;&gt;"",M823&lt;&gt;"")),1,0)</f>
        <v>0</v>
      </c>
      <c r="AA823" s="96">
        <f>IF(Q823=0,0,IF(AND(OR(r_ini="",AND(ISNUMBER(E823),E823&gt;=r_ini)),OR(r_fim="",AND(ISNUMBER(E823),E823&lt;=r_fim)),OR(r_un="",r_un="(Todas)",IF(N(U823)&gt;0,INDEX('MTRs'!$G$6:$G$505,U823),"")=r_un),OR(r_de="",r_de="(Todos)",D823=r_de)),1,0))</f>
        <v>0</v>
      </c>
      <c r="AB823" s="96" t="str">
        <f>IF(AA823=1,COUNTIF($AA$6:AA823,1),"")</f>
        <v/>
      </c>
    </row>
    <row r="824">
      <c r="A824" s="89" t="inlineStr">
        <is>
          <t>REC-000819</t>
        </is>
      </c>
      <c r="B824" s="94" t="str">
        <f>IF(T824=1,INDEX('ITENS_MTR'!$S$6:$S$1005,S824)&amp;"","")</f>
        <v/>
      </c>
      <c r="C824" s="91" t="n"/>
      <c r="D824" s="94" t="str">
        <f>IF(N(U824)&gt;0,INDEX('MTRs'!$I$6:$I$505,U824)&amp;"","")</f>
        <v/>
      </c>
      <c r="E824" s="92" t="n"/>
      <c r="F824" s="98" t="n"/>
      <c r="G824" s="91" t="n"/>
      <c r="H824" s="93" t="str">
        <f>IF(Q824=0,"",IF(NOT(ISNUMBER(F824)),"",IF(ISNUMBER(W824),F824*W824,"UNIDADE A CONFERIR")))</f>
        <v/>
      </c>
      <c r="I824" s="91" t="n"/>
      <c r="J824" s="91" t="n"/>
      <c r="K824" s="92" t="n"/>
      <c r="L824" s="91" t="n"/>
      <c r="M824" s="91" t="n"/>
      <c r="N824" s="91" t="n"/>
      <c r="O824" s="91" t="n"/>
      <c r="P824" s="94" t="str">
        <f>IF(Q824=0,"",IF(C824="","Item de resíduo não informado",IF(T824=0,"Item inexistente (referência inválida)",IF(NOT(ISNUMBER(F824)),"Quantidade não informada",IF(F824&lt;=0,"Quantidade não positiva",IF(G824="","Unidade não informada",IF(NOT(ISNUMBER(H824)),"Unidade a conferir",IF(NOT(ISNUMBER(E824)),"Data de recebimento não informada",IF(AND(ISNUMBER(V824),N(V824)&gt;0,E824&lt;N(V824)),"Data anterior à emissão do MTR",IF(AND(J824="Sim",L824="",M824=""),"Conferido sem evidência identificada",IF(J824&lt;&gt;"Sim","Aguardando conferência",IF(INDEX('ITENS_MTR'!$AM$6:$AM$1005,S824)=1,"Conferido (ver diferença no item)","Conferido"))))))))))))</f>
        <v/>
      </c>
      <c r="Q824" s="96">
        <f>IF(COUNTA(C824,E824:G824,I824:O824)&gt;0,1,0)</f>
        <v>0</v>
      </c>
      <c r="R824" s="96" t="str">
        <f>IF(C824="","",TRIM(LEFT(C824,FIND(" |",C824&amp;" |")-1)))</f>
        <v/>
      </c>
      <c r="S824" s="96" t="str">
        <f>IF(R824="","",IFERROR(MATCH(R824,'ITENS_MTR'!$A$6:$A$1005,0),""))</f>
        <v/>
      </c>
      <c r="T824" s="96">
        <f>IF(S824="",0,IF(INDEX('ITENS_MTR'!$R$6:$R$1005,S824)=1,1,0))</f>
        <v>0</v>
      </c>
      <c r="U824" s="96" t="str">
        <f>IF(T824=1,INDEX('ITENS_MTR'!$T$6:$T$1005,S824),"")</f>
        <v/>
      </c>
      <c r="V824" s="97" t="str">
        <f>IF(N(U824)&gt;0,INDEX('MTRs'!$E$6:$E$505,U824),"")</f>
        <v/>
      </c>
      <c r="W824" s="96" t="str">
        <f>IF(G824="","",IFERROR(IF(ISNUMBER(INDEX(cfg_fac,MATCH(G824,cfg_units,0))),IF(INDEX(cfg_fac,MATCH(G824,cfg_units,0))&gt;0,INDEX(cfg_fac,MATCH(G824,cfg_units,0)),""),""),""))</f>
        <v/>
      </c>
      <c r="X824" s="96">
        <f>IF(AND(ISNUMBER(F824),ISNUMBER(H824)),IF(H824&gt;0,1,0),0)</f>
        <v>0</v>
      </c>
      <c r="Y824" s="96">
        <f>IF(Q824=0,0,IF(OR(T824=0,X824=0,NOT(ISNUMBER(E824)),AND(J824="Sim",L824="",M824=""),AND(ISNUMBER(E824),ISNUMBER(V824),N(V824)&gt;0,E824&lt;N(V824))),1,0))</f>
        <v>0</v>
      </c>
      <c r="Z824" s="96">
        <f>IF(AND(Q824=1,T824=1,X824=1,J824="Sim",OR(L824&lt;&gt;"",M824&lt;&gt;"")),1,0)</f>
        <v>0</v>
      </c>
      <c r="AA824" s="96">
        <f>IF(Q824=0,0,IF(AND(OR(r_ini="",AND(ISNUMBER(E824),E824&gt;=r_ini)),OR(r_fim="",AND(ISNUMBER(E824),E824&lt;=r_fim)),OR(r_un="",r_un="(Todas)",IF(N(U824)&gt;0,INDEX('MTRs'!$G$6:$G$505,U824),"")=r_un),OR(r_de="",r_de="(Todos)",D824=r_de)),1,0))</f>
        <v>0</v>
      </c>
      <c r="AB824" s="96" t="str">
        <f>IF(AA824=1,COUNTIF($AA$6:AA824,1),"")</f>
        <v/>
      </c>
    </row>
    <row r="825">
      <c r="A825" s="89" t="inlineStr">
        <is>
          <t>REC-000820</t>
        </is>
      </c>
      <c r="B825" s="94" t="str">
        <f>IF(T825=1,INDEX('ITENS_MTR'!$S$6:$S$1005,S825)&amp;"","")</f>
        <v/>
      </c>
      <c r="C825" s="91" t="n"/>
      <c r="D825" s="94" t="str">
        <f>IF(N(U825)&gt;0,INDEX('MTRs'!$I$6:$I$505,U825)&amp;"","")</f>
        <v/>
      </c>
      <c r="E825" s="92" t="n"/>
      <c r="F825" s="98" t="n"/>
      <c r="G825" s="91" t="n"/>
      <c r="H825" s="93" t="str">
        <f>IF(Q825=0,"",IF(NOT(ISNUMBER(F825)),"",IF(ISNUMBER(W825),F825*W825,"UNIDADE A CONFERIR")))</f>
        <v/>
      </c>
      <c r="I825" s="91" t="n"/>
      <c r="J825" s="91" t="n"/>
      <c r="K825" s="92" t="n"/>
      <c r="L825" s="91" t="n"/>
      <c r="M825" s="91" t="n"/>
      <c r="N825" s="91" t="n"/>
      <c r="O825" s="91" t="n"/>
      <c r="P825" s="94" t="str">
        <f>IF(Q825=0,"",IF(C825="","Item de resíduo não informado",IF(T825=0,"Item inexistente (referência inválida)",IF(NOT(ISNUMBER(F825)),"Quantidade não informada",IF(F825&lt;=0,"Quantidade não positiva",IF(G825="","Unidade não informada",IF(NOT(ISNUMBER(H825)),"Unidade a conferir",IF(NOT(ISNUMBER(E825)),"Data de recebimento não informada",IF(AND(ISNUMBER(V825),N(V825)&gt;0,E825&lt;N(V825)),"Data anterior à emissão do MTR",IF(AND(J825="Sim",L825="",M825=""),"Conferido sem evidência identificada",IF(J825&lt;&gt;"Sim","Aguardando conferência",IF(INDEX('ITENS_MTR'!$AM$6:$AM$1005,S825)=1,"Conferido (ver diferença no item)","Conferido"))))))))))))</f>
        <v/>
      </c>
      <c r="Q825" s="96">
        <f>IF(COUNTA(C825,E825:G825,I825:O825)&gt;0,1,0)</f>
        <v>0</v>
      </c>
      <c r="R825" s="96" t="str">
        <f>IF(C825="","",TRIM(LEFT(C825,FIND(" |",C825&amp;" |")-1)))</f>
        <v/>
      </c>
      <c r="S825" s="96" t="str">
        <f>IF(R825="","",IFERROR(MATCH(R825,'ITENS_MTR'!$A$6:$A$1005,0),""))</f>
        <v/>
      </c>
      <c r="T825" s="96">
        <f>IF(S825="",0,IF(INDEX('ITENS_MTR'!$R$6:$R$1005,S825)=1,1,0))</f>
        <v>0</v>
      </c>
      <c r="U825" s="96" t="str">
        <f>IF(T825=1,INDEX('ITENS_MTR'!$T$6:$T$1005,S825),"")</f>
        <v/>
      </c>
      <c r="V825" s="97" t="str">
        <f>IF(N(U825)&gt;0,INDEX('MTRs'!$E$6:$E$505,U825),"")</f>
        <v/>
      </c>
      <c r="W825" s="96" t="str">
        <f>IF(G825="","",IFERROR(IF(ISNUMBER(INDEX(cfg_fac,MATCH(G825,cfg_units,0))),IF(INDEX(cfg_fac,MATCH(G825,cfg_units,0))&gt;0,INDEX(cfg_fac,MATCH(G825,cfg_units,0)),""),""),""))</f>
        <v/>
      </c>
      <c r="X825" s="96">
        <f>IF(AND(ISNUMBER(F825),ISNUMBER(H825)),IF(H825&gt;0,1,0),0)</f>
        <v>0</v>
      </c>
      <c r="Y825" s="96">
        <f>IF(Q825=0,0,IF(OR(T825=0,X825=0,NOT(ISNUMBER(E825)),AND(J825="Sim",L825="",M825=""),AND(ISNUMBER(E825),ISNUMBER(V825),N(V825)&gt;0,E825&lt;N(V825))),1,0))</f>
        <v>0</v>
      </c>
      <c r="Z825" s="96">
        <f>IF(AND(Q825=1,T825=1,X825=1,J825="Sim",OR(L825&lt;&gt;"",M825&lt;&gt;"")),1,0)</f>
        <v>0</v>
      </c>
      <c r="AA825" s="96">
        <f>IF(Q825=0,0,IF(AND(OR(r_ini="",AND(ISNUMBER(E825),E825&gt;=r_ini)),OR(r_fim="",AND(ISNUMBER(E825),E825&lt;=r_fim)),OR(r_un="",r_un="(Todas)",IF(N(U825)&gt;0,INDEX('MTRs'!$G$6:$G$505,U825),"")=r_un),OR(r_de="",r_de="(Todos)",D825=r_de)),1,0))</f>
        <v>0</v>
      </c>
      <c r="AB825" s="96" t="str">
        <f>IF(AA825=1,COUNTIF($AA$6:AA825,1),"")</f>
        <v/>
      </c>
    </row>
    <row r="826">
      <c r="A826" s="89" t="inlineStr">
        <is>
          <t>REC-000821</t>
        </is>
      </c>
      <c r="B826" s="94" t="str">
        <f>IF(T826=1,INDEX('ITENS_MTR'!$S$6:$S$1005,S826)&amp;"","")</f>
        <v/>
      </c>
      <c r="C826" s="91" t="n"/>
      <c r="D826" s="94" t="str">
        <f>IF(N(U826)&gt;0,INDEX('MTRs'!$I$6:$I$505,U826)&amp;"","")</f>
        <v/>
      </c>
      <c r="E826" s="92" t="n"/>
      <c r="F826" s="98" t="n"/>
      <c r="G826" s="91" t="n"/>
      <c r="H826" s="93" t="str">
        <f>IF(Q826=0,"",IF(NOT(ISNUMBER(F826)),"",IF(ISNUMBER(W826),F826*W826,"UNIDADE A CONFERIR")))</f>
        <v/>
      </c>
      <c r="I826" s="91" t="n"/>
      <c r="J826" s="91" t="n"/>
      <c r="K826" s="92" t="n"/>
      <c r="L826" s="91" t="n"/>
      <c r="M826" s="91" t="n"/>
      <c r="N826" s="91" t="n"/>
      <c r="O826" s="91" t="n"/>
      <c r="P826" s="94" t="str">
        <f>IF(Q826=0,"",IF(C826="","Item de resíduo não informado",IF(T826=0,"Item inexistente (referência inválida)",IF(NOT(ISNUMBER(F826)),"Quantidade não informada",IF(F826&lt;=0,"Quantidade não positiva",IF(G826="","Unidade não informada",IF(NOT(ISNUMBER(H826)),"Unidade a conferir",IF(NOT(ISNUMBER(E826)),"Data de recebimento não informada",IF(AND(ISNUMBER(V826),N(V826)&gt;0,E826&lt;N(V826)),"Data anterior à emissão do MTR",IF(AND(J826="Sim",L826="",M826=""),"Conferido sem evidência identificada",IF(J826&lt;&gt;"Sim","Aguardando conferência",IF(INDEX('ITENS_MTR'!$AM$6:$AM$1005,S826)=1,"Conferido (ver diferença no item)","Conferido"))))))))))))</f>
        <v/>
      </c>
      <c r="Q826" s="96">
        <f>IF(COUNTA(C826,E826:G826,I826:O826)&gt;0,1,0)</f>
        <v>0</v>
      </c>
      <c r="R826" s="96" t="str">
        <f>IF(C826="","",TRIM(LEFT(C826,FIND(" |",C826&amp;" |")-1)))</f>
        <v/>
      </c>
      <c r="S826" s="96" t="str">
        <f>IF(R826="","",IFERROR(MATCH(R826,'ITENS_MTR'!$A$6:$A$1005,0),""))</f>
        <v/>
      </c>
      <c r="T826" s="96">
        <f>IF(S826="",0,IF(INDEX('ITENS_MTR'!$R$6:$R$1005,S826)=1,1,0))</f>
        <v>0</v>
      </c>
      <c r="U826" s="96" t="str">
        <f>IF(T826=1,INDEX('ITENS_MTR'!$T$6:$T$1005,S826),"")</f>
        <v/>
      </c>
      <c r="V826" s="97" t="str">
        <f>IF(N(U826)&gt;0,INDEX('MTRs'!$E$6:$E$505,U826),"")</f>
        <v/>
      </c>
      <c r="W826" s="96" t="str">
        <f>IF(G826="","",IFERROR(IF(ISNUMBER(INDEX(cfg_fac,MATCH(G826,cfg_units,0))),IF(INDEX(cfg_fac,MATCH(G826,cfg_units,0))&gt;0,INDEX(cfg_fac,MATCH(G826,cfg_units,0)),""),""),""))</f>
        <v/>
      </c>
      <c r="X826" s="96">
        <f>IF(AND(ISNUMBER(F826),ISNUMBER(H826)),IF(H826&gt;0,1,0),0)</f>
        <v>0</v>
      </c>
      <c r="Y826" s="96">
        <f>IF(Q826=0,0,IF(OR(T826=0,X826=0,NOT(ISNUMBER(E826)),AND(J826="Sim",L826="",M826=""),AND(ISNUMBER(E826),ISNUMBER(V826),N(V826)&gt;0,E826&lt;N(V826))),1,0))</f>
        <v>0</v>
      </c>
      <c r="Z826" s="96">
        <f>IF(AND(Q826=1,T826=1,X826=1,J826="Sim",OR(L826&lt;&gt;"",M826&lt;&gt;"")),1,0)</f>
        <v>0</v>
      </c>
      <c r="AA826" s="96">
        <f>IF(Q826=0,0,IF(AND(OR(r_ini="",AND(ISNUMBER(E826),E826&gt;=r_ini)),OR(r_fim="",AND(ISNUMBER(E826),E826&lt;=r_fim)),OR(r_un="",r_un="(Todas)",IF(N(U826)&gt;0,INDEX('MTRs'!$G$6:$G$505,U826),"")=r_un),OR(r_de="",r_de="(Todos)",D826=r_de)),1,0))</f>
        <v>0</v>
      </c>
      <c r="AB826" s="96" t="str">
        <f>IF(AA826=1,COUNTIF($AA$6:AA826,1),"")</f>
        <v/>
      </c>
    </row>
    <row r="827">
      <c r="A827" s="89" t="inlineStr">
        <is>
          <t>REC-000822</t>
        </is>
      </c>
      <c r="B827" s="94" t="str">
        <f>IF(T827=1,INDEX('ITENS_MTR'!$S$6:$S$1005,S827)&amp;"","")</f>
        <v/>
      </c>
      <c r="C827" s="91" t="n"/>
      <c r="D827" s="94" t="str">
        <f>IF(N(U827)&gt;0,INDEX('MTRs'!$I$6:$I$505,U827)&amp;"","")</f>
        <v/>
      </c>
      <c r="E827" s="92" t="n"/>
      <c r="F827" s="98" t="n"/>
      <c r="G827" s="91" t="n"/>
      <c r="H827" s="93" t="str">
        <f>IF(Q827=0,"",IF(NOT(ISNUMBER(F827)),"",IF(ISNUMBER(W827),F827*W827,"UNIDADE A CONFERIR")))</f>
        <v/>
      </c>
      <c r="I827" s="91" t="n"/>
      <c r="J827" s="91" t="n"/>
      <c r="K827" s="92" t="n"/>
      <c r="L827" s="91" t="n"/>
      <c r="M827" s="91" t="n"/>
      <c r="N827" s="91" t="n"/>
      <c r="O827" s="91" t="n"/>
      <c r="P827" s="94" t="str">
        <f>IF(Q827=0,"",IF(C827="","Item de resíduo não informado",IF(T827=0,"Item inexistente (referência inválida)",IF(NOT(ISNUMBER(F827)),"Quantidade não informada",IF(F827&lt;=0,"Quantidade não positiva",IF(G827="","Unidade não informada",IF(NOT(ISNUMBER(H827)),"Unidade a conferir",IF(NOT(ISNUMBER(E827)),"Data de recebimento não informada",IF(AND(ISNUMBER(V827),N(V827)&gt;0,E827&lt;N(V827)),"Data anterior à emissão do MTR",IF(AND(J827="Sim",L827="",M827=""),"Conferido sem evidência identificada",IF(J827&lt;&gt;"Sim","Aguardando conferência",IF(INDEX('ITENS_MTR'!$AM$6:$AM$1005,S827)=1,"Conferido (ver diferença no item)","Conferido"))))))))))))</f>
        <v/>
      </c>
      <c r="Q827" s="96">
        <f>IF(COUNTA(C827,E827:G827,I827:O827)&gt;0,1,0)</f>
        <v>0</v>
      </c>
      <c r="R827" s="96" t="str">
        <f>IF(C827="","",TRIM(LEFT(C827,FIND(" |",C827&amp;" |")-1)))</f>
        <v/>
      </c>
      <c r="S827" s="96" t="str">
        <f>IF(R827="","",IFERROR(MATCH(R827,'ITENS_MTR'!$A$6:$A$1005,0),""))</f>
        <v/>
      </c>
      <c r="T827" s="96">
        <f>IF(S827="",0,IF(INDEX('ITENS_MTR'!$R$6:$R$1005,S827)=1,1,0))</f>
        <v>0</v>
      </c>
      <c r="U827" s="96" t="str">
        <f>IF(T827=1,INDEX('ITENS_MTR'!$T$6:$T$1005,S827),"")</f>
        <v/>
      </c>
      <c r="V827" s="97" t="str">
        <f>IF(N(U827)&gt;0,INDEX('MTRs'!$E$6:$E$505,U827),"")</f>
        <v/>
      </c>
      <c r="W827" s="96" t="str">
        <f>IF(G827="","",IFERROR(IF(ISNUMBER(INDEX(cfg_fac,MATCH(G827,cfg_units,0))),IF(INDEX(cfg_fac,MATCH(G827,cfg_units,0))&gt;0,INDEX(cfg_fac,MATCH(G827,cfg_units,0)),""),""),""))</f>
        <v/>
      </c>
      <c r="X827" s="96">
        <f>IF(AND(ISNUMBER(F827),ISNUMBER(H827)),IF(H827&gt;0,1,0),0)</f>
        <v>0</v>
      </c>
      <c r="Y827" s="96">
        <f>IF(Q827=0,0,IF(OR(T827=0,X827=0,NOT(ISNUMBER(E827)),AND(J827="Sim",L827="",M827=""),AND(ISNUMBER(E827),ISNUMBER(V827),N(V827)&gt;0,E827&lt;N(V827))),1,0))</f>
        <v>0</v>
      </c>
      <c r="Z827" s="96">
        <f>IF(AND(Q827=1,T827=1,X827=1,J827="Sim",OR(L827&lt;&gt;"",M827&lt;&gt;"")),1,0)</f>
        <v>0</v>
      </c>
      <c r="AA827" s="96">
        <f>IF(Q827=0,0,IF(AND(OR(r_ini="",AND(ISNUMBER(E827),E827&gt;=r_ini)),OR(r_fim="",AND(ISNUMBER(E827),E827&lt;=r_fim)),OR(r_un="",r_un="(Todas)",IF(N(U827)&gt;0,INDEX('MTRs'!$G$6:$G$505,U827),"")=r_un),OR(r_de="",r_de="(Todos)",D827=r_de)),1,0))</f>
        <v>0</v>
      </c>
      <c r="AB827" s="96" t="str">
        <f>IF(AA827=1,COUNTIF($AA$6:AA827,1),"")</f>
        <v/>
      </c>
    </row>
    <row r="828">
      <c r="A828" s="89" t="inlineStr">
        <is>
          <t>REC-000823</t>
        </is>
      </c>
      <c r="B828" s="94" t="str">
        <f>IF(T828=1,INDEX('ITENS_MTR'!$S$6:$S$1005,S828)&amp;"","")</f>
        <v/>
      </c>
      <c r="C828" s="91" t="n"/>
      <c r="D828" s="94" t="str">
        <f>IF(N(U828)&gt;0,INDEX('MTRs'!$I$6:$I$505,U828)&amp;"","")</f>
        <v/>
      </c>
      <c r="E828" s="92" t="n"/>
      <c r="F828" s="98" t="n"/>
      <c r="G828" s="91" t="n"/>
      <c r="H828" s="93" t="str">
        <f>IF(Q828=0,"",IF(NOT(ISNUMBER(F828)),"",IF(ISNUMBER(W828),F828*W828,"UNIDADE A CONFERIR")))</f>
        <v/>
      </c>
      <c r="I828" s="91" t="n"/>
      <c r="J828" s="91" t="n"/>
      <c r="K828" s="92" t="n"/>
      <c r="L828" s="91" t="n"/>
      <c r="M828" s="91" t="n"/>
      <c r="N828" s="91" t="n"/>
      <c r="O828" s="91" t="n"/>
      <c r="P828" s="94" t="str">
        <f>IF(Q828=0,"",IF(C828="","Item de resíduo não informado",IF(T828=0,"Item inexistente (referência inválida)",IF(NOT(ISNUMBER(F828)),"Quantidade não informada",IF(F828&lt;=0,"Quantidade não positiva",IF(G828="","Unidade não informada",IF(NOT(ISNUMBER(H828)),"Unidade a conferir",IF(NOT(ISNUMBER(E828)),"Data de recebimento não informada",IF(AND(ISNUMBER(V828),N(V828)&gt;0,E828&lt;N(V828)),"Data anterior à emissão do MTR",IF(AND(J828="Sim",L828="",M828=""),"Conferido sem evidência identificada",IF(J828&lt;&gt;"Sim","Aguardando conferência",IF(INDEX('ITENS_MTR'!$AM$6:$AM$1005,S828)=1,"Conferido (ver diferença no item)","Conferido"))))))))))))</f>
        <v/>
      </c>
      <c r="Q828" s="96">
        <f>IF(COUNTA(C828,E828:G828,I828:O828)&gt;0,1,0)</f>
        <v>0</v>
      </c>
      <c r="R828" s="96" t="str">
        <f>IF(C828="","",TRIM(LEFT(C828,FIND(" |",C828&amp;" |")-1)))</f>
        <v/>
      </c>
      <c r="S828" s="96" t="str">
        <f>IF(R828="","",IFERROR(MATCH(R828,'ITENS_MTR'!$A$6:$A$1005,0),""))</f>
        <v/>
      </c>
      <c r="T828" s="96">
        <f>IF(S828="",0,IF(INDEX('ITENS_MTR'!$R$6:$R$1005,S828)=1,1,0))</f>
        <v>0</v>
      </c>
      <c r="U828" s="96" t="str">
        <f>IF(T828=1,INDEX('ITENS_MTR'!$T$6:$T$1005,S828),"")</f>
        <v/>
      </c>
      <c r="V828" s="97" t="str">
        <f>IF(N(U828)&gt;0,INDEX('MTRs'!$E$6:$E$505,U828),"")</f>
        <v/>
      </c>
      <c r="W828" s="96" t="str">
        <f>IF(G828="","",IFERROR(IF(ISNUMBER(INDEX(cfg_fac,MATCH(G828,cfg_units,0))),IF(INDEX(cfg_fac,MATCH(G828,cfg_units,0))&gt;0,INDEX(cfg_fac,MATCH(G828,cfg_units,0)),""),""),""))</f>
        <v/>
      </c>
      <c r="X828" s="96">
        <f>IF(AND(ISNUMBER(F828),ISNUMBER(H828)),IF(H828&gt;0,1,0),0)</f>
        <v>0</v>
      </c>
      <c r="Y828" s="96">
        <f>IF(Q828=0,0,IF(OR(T828=0,X828=0,NOT(ISNUMBER(E828)),AND(J828="Sim",L828="",M828=""),AND(ISNUMBER(E828),ISNUMBER(V828),N(V828)&gt;0,E828&lt;N(V828))),1,0))</f>
        <v>0</v>
      </c>
      <c r="Z828" s="96">
        <f>IF(AND(Q828=1,T828=1,X828=1,J828="Sim",OR(L828&lt;&gt;"",M828&lt;&gt;"")),1,0)</f>
        <v>0</v>
      </c>
      <c r="AA828" s="96">
        <f>IF(Q828=0,0,IF(AND(OR(r_ini="",AND(ISNUMBER(E828),E828&gt;=r_ini)),OR(r_fim="",AND(ISNUMBER(E828),E828&lt;=r_fim)),OR(r_un="",r_un="(Todas)",IF(N(U828)&gt;0,INDEX('MTRs'!$G$6:$G$505,U828),"")=r_un),OR(r_de="",r_de="(Todos)",D828=r_de)),1,0))</f>
        <v>0</v>
      </c>
      <c r="AB828" s="96" t="str">
        <f>IF(AA828=1,COUNTIF($AA$6:AA828,1),"")</f>
        <v/>
      </c>
    </row>
    <row r="829">
      <c r="A829" s="89" t="inlineStr">
        <is>
          <t>REC-000824</t>
        </is>
      </c>
      <c r="B829" s="94" t="str">
        <f>IF(T829=1,INDEX('ITENS_MTR'!$S$6:$S$1005,S829)&amp;"","")</f>
        <v/>
      </c>
      <c r="C829" s="91" t="n"/>
      <c r="D829" s="94" t="str">
        <f>IF(N(U829)&gt;0,INDEX('MTRs'!$I$6:$I$505,U829)&amp;"","")</f>
        <v/>
      </c>
      <c r="E829" s="92" t="n"/>
      <c r="F829" s="98" t="n"/>
      <c r="G829" s="91" t="n"/>
      <c r="H829" s="93" t="str">
        <f>IF(Q829=0,"",IF(NOT(ISNUMBER(F829)),"",IF(ISNUMBER(W829),F829*W829,"UNIDADE A CONFERIR")))</f>
        <v/>
      </c>
      <c r="I829" s="91" t="n"/>
      <c r="J829" s="91" t="n"/>
      <c r="K829" s="92" t="n"/>
      <c r="L829" s="91" t="n"/>
      <c r="M829" s="91" t="n"/>
      <c r="N829" s="91" t="n"/>
      <c r="O829" s="91" t="n"/>
      <c r="P829" s="94" t="str">
        <f>IF(Q829=0,"",IF(C829="","Item de resíduo não informado",IF(T829=0,"Item inexistente (referência inválida)",IF(NOT(ISNUMBER(F829)),"Quantidade não informada",IF(F829&lt;=0,"Quantidade não positiva",IF(G829="","Unidade não informada",IF(NOT(ISNUMBER(H829)),"Unidade a conferir",IF(NOT(ISNUMBER(E829)),"Data de recebimento não informada",IF(AND(ISNUMBER(V829),N(V829)&gt;0,E829&lt;N(V829)),"Data anterior à emissão do MTR",IF(AND(J829="Sim",L829="",M829=""),"Conferido sem evidência identificada",IF(J829&lt;&gt;"Sim","Aguardando conferência",IF(INDEX('ITENS_MTR'!$AM$6:$AM$1005,S829)=1,"Conferido (ver diferença no item)","Conferido"))))))))))))</f>
        <v/>
      </c>
      <c r="Q829" s="96">
        <f>IF(COUNTA(C829,E829:G829,I829:O829)&gt;0,1,0)</f>
        <v>0</v>
      </c>
      <c r="R829" s="96" t="str">
        <f>IF(C829="","",TRIM(LEFT(C829,FIND(" |",C829&amp;" |")-1)))</f>
        <v/>
      </c>
      <c r="S829" s="96" t="str">
        <f>IF(R829="","",IFERROR(MATCH(R829,'ITENS_MTR'!$A$6:$A$1005,0),""))</f>
        <v/>
      </c>
      <c r="T829" s="96">
        <f>IF(S829="",0,IF(INDEX('ITENS_MTR'!$R$6:$R$1005,S829)=1,1,0))</f>
        <v>0</v>
      </c>
      <c r="U829" s="96" t="str">
        <f>IF(T829=1,INDEX('ITENS_MTR'!$T$6:$T$1005,S829),"")</f>
        <v/>
      </c>
      <c r="V829" s="97" t="str">
        <f>IF(N(U829)&gt;0,INDEX('MTRs'!$E$6:$E$505,U829),"")</f>
        <v/>
      </c>
      <c r="W829" s="96" t="str">
        <f>IF(G829="","",IFERROR(IF(ISNUMBER(INDEX(cfg_fac,MATCH(G829,cfg_units,0))),IF(INDEX(cfg_fac,MATCH(G829,cfg_units,0))&gt;0,INDEX(cfg_fac,MATCH(G829,cfg_units,0)),""),""),""))</f>
        <v/>
      </c>
      <c r="X829" s="96">
        <f>IF(AND(ISNUMBER(F829),ISNUMBER(H829)),IF(H829&gt;0,1,0),0)</f>
        <v>0</v>
      </c>
      <c r="Y829" s="96">
        <f>IF(Q829=0,0,IF(OR(T829=0,X829=0,NOT(ISNUMBER(E829)),AND(J829="Sim",L829="",M829=""),AND(ISNUMBER(E829),ISNUMBER(V829),N(V829)&gt;0,E829&lt;N(V829))),1,0))</f>
        <v>0</v>
      </c>
      <c r="Z829" s="96">
        <f>IF(AND(Q829=1,T829=1,X829=1,J829="Sim",OR(L829&lt;&gt;"",M829&lt;&gt;"")),1,0)</f>
        <v>0</v>
      </c>
      <c r="AA829" s="96">
        <f>IF(Q829=0,0,IF(AND(OR(r_ini="",AND(ISNUMBER(E829),E829&gt;=r_ini)),OR(r_fim="",AND(ISNUMBER(E829),E829&lt;=r_fim)),OR(r_un="",r_un="(Todas)",IF(N(U829)&gt;0,INDEX('MTRs'!$G$6:$G$505,U829),"")=r_un),OR(r_de="",r_de="(Todos)",D829=r_de)),1,0))</f>
        <v>0</v>
      </c>
      <c r="AB829" s="96" t="str">
        <f>IF(AA829=1,COUNTIF($AA$6:AA829,1),"")</f>
        <v/>
      </c>
    </row>
    <row r="830">
      <c r="A830" s="89" t="inlineStr">
        <is>
          <t>REC-000825</t>
        </is>
      </c>
      <c r="B830" s="94" t="str">
        <f>IF(T830=1,INDEX('ITENS_MTR'!$S$6:$S$1005,S830)&amp;"","")</f>
        <v/>
      </c>
      <c r="C830" s="91" t="n"/>
      <c r="D830" s="94" t="str">
        <f>IF(N(U830)&gt;0,INDEX('MTRs'!$I$6:$I$505,U830)&amp;"","")</f>
        <v/>
      </c>
      <c r="E830" s="92" t="n"/>
      <c r="F830" s="98" t="n"/>
      <c r="G830" s="91" t="n"/>
      <c r="H830" s="93" t="str">
        <f>IF(Q830=0,"",IF(NOT(ISNUMBER(F830)),"",IF(ISNUMBER(W830),F830*W830,"UNIDADE A CONFERIR")))</f>
        <v/>
      </c>
      <c r="I830" s="91" t="n"/>
      <c r="J830" s="91" t="n"/>
      <c r="K830" s="92" t="n"/>
      <c r="L830" s="91" t="n"/>
      <c r="M830" s="91" t="n"/>
      <c r="N830" s="91" t="n"/>
      <c r="O830" s="91" t="n"/>
      <c r="P830" s="94" t="str">
        <f>IF(Q830=0,"",IF(C830="","Item de resíduo não informado",IF(T830=0,"Item inexistente (referência inválida)",IF(NOT(ISNUMBER(F830)),"Quantidade não informada",IF(F830&lt;=0,"Quantidade não positiva",IF(G830="","Unidade não informada",IF(NOT(ISNUMBER(H830)),"Unidade a conferir",IF(NOT(ISNUMBER(E830)),"Data de recebimento não informada",IF(AND(ISNUMBER(V830),N(V830)&gt;0,E830&lt;N(V830)),"Data anterior à emissão do MTR",IF(AND(J830="Sim",L830="",M830=""),"Conferido sem evidência identificada",IF(J830&lt;&gt;"Sim","Aguardando conferência",IF(INDEX('ITENS_MTR'!$AM$6:$AM$1005,S830)=1,"Conferido (ver diferença no item)","Conferido"))))))))))))</f>
        <v/>
      </c>
      <c r="Q830" s="96">
        <f>IF(COUNTA(C830,E830:G830,I830:O830)&gt;0,1,0)</f>
        <v>0</v>
      </c>
      <c r="R830" s="96" t="str">
        <f>IF(C830="","",TRIM(LEFT(C830,FIND(" |",C830&amp;" |")-1)))</f>
        <v/>
      </c>
      <c r="S830" s="96" t="str">
        <f>IF(R830="","",IFERROR(MATCH(R830,'ITENS_MTR'!$A$6:$A$1005,0),""))</f>
        <v/>
      </c>
      <c r="T830" s="96">
        <f>IF(S830="",0,IF(INDEX('ITENS_MTR'!$R$6:$R$1005,S830)=1,1,0))</f>
        <v>0</v>
      </c>
      <c r="U830" s="96" t="str">
        <f>IF(T830=1,INDEX('ITENS_MTR'!$T$6:$T$1005,S830),"")</f>
        <v/>
      </c>
      <c r="V830" s="97" t="str">
        <f>IF(N(U830)&gt;0,INDEX('MTRs'!$E$6:$E$505,U830),"")</f>
        <v/>
      </c>
      <c r="W830" s="96" t="str">
        <f>IF(G830="","",IFERROR(IF(ISNUMBER(INDEX(cfg_fac,MATCH(G830,cfg_units,0))),IF(INDEX(cfg_fac,MATCH(G830,cfg_units,0))&gt;0,INDEX(cfg_fac,MATCH(G830,cfg_units,0)),""),""),""))</f>
        <v/>
      </c>
      <c r="X830" s="96">
        <f>IF(AND(ISNUMBER(F830),ISNUMBER(H830)),IF(H830&gt;0,1,0),0)</f>
        <v>0</v>
      </c>
      <c r="Y830" s="96">
        <f>IF(Q830=0,0,IF(OR(T830=0,X830=0,NOT(ISNUMBER(E830)),AND(J830="Sim",L830="",M830=""),AND(ISNUMBER(E830),ISNUMBER(V830),N(V830)&gt;0,E830&lt;N(V830))),1,0))</f>
        <v>0</v>
      </c>
      <c r="Z830" s="96">
        <f>IF(AND(Q830=1,T830=1,X830=1,J830="Sim",OR(L830&lt;&gt;"",M830&lt;&gt;"")),1,0)</f>
        <v>0</v>
      </c>
      <c r="AA830" s="96">
        <f>IF(Q830=0,0,IF(AND(OR(r_ini="",AND(ISNUMBER(E830),E830&gt;=r_ini)),OR(r_fim="",AND(ISNUMBER(E830),E830&lt;=r_fim)),OR(r_un="",r_un="(Todas)",IF(N(U830)&gt;0,INDEX('MTRs'!$G$6:$G$505,U830),"")=r_un),OR(r_de="",r_de="(Todos)",D830=r_de)),1,0))</f>
        <v>0</v>
      </c>
      <c r="AB830" s="96" t="str">
        <f>IF(AA830=1,COUNTIF($AA$6:AA830,1),"")</f>
        <v/>
      </c>
    </row>
    <row r="831">
      <c r="A831" s="89" t="inlineStr">
        <is>
          <t>REC-000826</t>
        </is>
      </c>
      <c r="B831" s="94" t="str">
        <f>IF(T831=1,INDEX('ITENS_MTR'!$S$6:$S$1005,S831)&amp;"","")</f>
        <v/>
      </c>
      <c r="C831" s="91" t="n"/>
      <c r="D831" s="94" t="str">
        <f>IF(N(U831)&gt;0,INDEX('MTRs'!$I$6:$I$505,U831)&amp;"","")</f>
        <v/>
      </c>
      <c r="E831" s="92" t="n"/>
      <c r="F831" s="98" t="n"/>
      <c r="G831" s="91" t="n"/>
      <c r="H831" s="93" t="str">
        <f>IF(Q831=0,"",IF(NOT(ISNUMBER(F831)),"",IF(ISNUMBER(W831),F831*W831,"UNIDADE A CONFERIR")))</f>
        <v/>
      </c>
      <c r="I831" s="91" t="n"/>
      <c r="J831" s="91" t="n"/>
      <c r="K831" s="92" t="n"/>
      <c r="L831" s="91" t="n"/>
      <c r="M831" s="91" t="n"/>
      <c r="N831" s="91" t="n"/>
      <c r="O831" s="91" t="n"/>
      <c r="P831" s="94" t="str">
        <f>IF(Q831=0,"",IF(C831="","Item de resíduo não informado",IF(T831=0,"Item inexistente (referência inválida)",IF(NOT(ISNUMBER(F831)),"Quantidade não informada",IF(F831&lt;=0,"Quantidade não positiva",IF(G831="","Unidade não informada",IF(NOT(ISNUMBER(H831)),"Unidade a conferir",IF(NOT(ISNUMBER(E831)),"Data de recebimento não informada",IF(AND(ISNUMBER(V831),N(V831)&gt;0,E831&lt;N(V831)),"Data anterior à emissão do MTR",IF(AND(J831="Sim",L831="",M831=""),"Conferido sem evidência identificada",IF(J831&lt;&gt;"Sim","Aguardando conferência",IF(INDEX('ITENS_MTR'!$AM$6:$AM$1005,S831)=1,"Conferido (ver diferença no item)","Conferido"))))))))))))</f>
        <v/>
      </c>
      <c r="Q831" s="96">
        <f>IF(COUNTA(C831,E831:G831,I831:O831)&gt;0,1,0)</f>
        <v>0</v>
      </c>
      <c r="R831" s="96" t="str">
        <f>IF(C831="","",TRIM(LEFT(C831,FIND(" |",C831&amp;" |")-1)))</f>
        <v/>
      </c>
      <c r="S831" s="96" t="str">
        <f>IF(R831="","",IFERROR(MATCH(R831,'ITENS_MTR'!$A$6:$A$1005,0),""))</f>
        <v/>
      </c>
      <c r="T831" s="96">
        <f>IF(S831="",0,IF(INDEX('ITENS_MTR'!$R$6:$R$1005,S831)=1,1,0))</f>
        <v>0</v>
      </c>
      <c r="U831" s="96" t="str">
        <f>IF(T831=1,INDEX('ITENS_MTR'!$T$6:$T$1005,S831),"")</f>
        <v/>
      </c>
      <c r="V831" s="97" t="str">
        <f>IF(N(U831)&gt;0,INDEX('MTRs'!$E$6:$E$505,U831),"")</f>
        <v/>
      </c>
      <c r="W831" s="96" t="str">
        <f>IF(G831="","",IFERROR(IF(ISNUMBER(INDEX(cfg_fac,MATCH(G831,cfg_units,0))),IF(INDEX(cfg_fac,MATCH(G831,cfg_units,0))&gt;0,INDEX(cfg_fac,MATCH(G831,cfg_units,0)),""),""),""))</f>
        <v/>
      </c>
      <c r="X831" s="96">
        <f>IF(AND(ISNUMBER(F831),ISNUMBER(H831)),IF(H831&gt;0,1,0),0)</f>
        <v>0</v>
      </c>
      <c r="Y831" s="96">
        <f>IF(Q831=0,0,IF(OR(T831=0,X831=0,NOT(ISNUMBER(E831)),AND(J831="Sim",L831="",M831=""),AND(ISNUMBER(E831),ISNUMBER(V831),N(V831)&gt;0,E831&lt;N(V831))),1,0))</f>
        <v>0</v>
      </c>
      <c r="Z831" s="96">
        <f>IF(AND(Q831=1,T831=1,X831=1,J831="Sim",OR(L831&lt;&gt;"",M831&lt;&gt;"")),1,0)</f>
        <v>0</v>
      </c>
      <c r="AA831" s="96">
        <f>IF(Q831=0,0,IF(AND(OR(r_ini="",AND(ISNUMBER(E831),E831&gt;=r_ini)),OR(r_fim="",AND(ISNUMBER(E831),E831&lt;=r_fim)),OR(r_un="",r_un="(Todas)",IF(N(U831)&gt;0,INDEX('MTRs'!$G$6:$G$505,U831),"")=r_un),OR(r_de="",r_de="(Todos)",D831=r_de)),1,0))</f>
        <v>0</v>
      </c>
      <c r="AB831" s="96" t="str">
        <f>IF(AA831=1,COUNTIF($AA$6:AA831,1),"")</f>
        <v/>
      </c>
    </row>
    <row r="832">
      <c r="A832" s="89" t="inlineStr">
        <is>
          <t>REC-000827</t>
        </is>
      </c>
      <c r="B832" s="94" t="str">
        <f>IF(T832=1,INDEX('ITENS_MTR'!$S$6:$S$1005,S832)&amp;"","")</f>
        <v/>
      </c>
      <c r="C832" s="91" t="n"/>
      <c r="D832" s="94" t="str">
        <f>IF(N(U832)&gt;0,INDEX('MTRs'!$I$6:$I$505,U832)&amp;"","")</f>
        <v/>
      </c>
      <c r="E832" s="92" t="n"/>
      <c r="F832" s="98" t="n"/>
      <c r="G832" s="91" t="n"/>
      <c r="H832" s="93" t="str">
        <f>IF(Q832=0,"",IF(NOT(ISNUMBER(F832)),"",IF(ISNUMBER(W832),F832*W832,"UNIDADE A CONFERIR")))</f>
        <v/>
      </c>
      <c r="I832" s="91" t="n"/>
      <c r="J832" s="91" t="n"/>
      <c r="K832" s="92" t="n"/>
      <c r="L832" s="91" t="n"/>
      <c r="M832" s="91" t="n"/>
      <c r="N832" s="91" t="n"/>
      <c r="O832" s="91" t="n"/>
      <c r="P832" s="94" t="str">
        <f>IF(Q832=0,"",IF(C832="","Item de resíduo não informado",IF(T832=0,"Item inexistente (referência inválida)",IF(NOT(ISNUMBER(F832)),"Quantidade não informada",IF(F832&lt;=0,"Quantidade não positiva",IF(G832="","Unidade não informada",IF(NOT(ISNUMBER(H832)),"Unidade a conferir",IF(NOT(ISNUMBER(E832)),"Data de recebimento não informada",IF(AND(ISNUMBER(V832),N(V832)&gt;0,E832&lt;N(V832)),"Data anterior à emissão do MTR",IF(AND(J832="Sim",L832="",M832=""),"Conferido sem evidência identificada",IF(J832&lt;&gt;"Sim","Aguardando conferência",IF(INDEX('ITENS_MTR'!$AM$6:$AM$1005,S832)=1,"Conferido (ver diferença no item)","Conferido"))))))))))))</f>
        <v/>
      </c>
      <c r="Q832" s="96">
        <f>IF(COUNTA(C832,E832:G832,I832:O832)&gt;0,1,0)</f>
        <v>0</v>
      </c>
      <c r="R832" s="96" t="str">
        <f>IF(C832="","",TRIM(LEFT(C832,FIND(" |",C832&amp;" |")-1)))</f>
        <v/>
      </c>
      <c r="S832" s="96" t="str">
        <f>IF(R832="","",IFERROR(MATCH(R832,'ITENS_MTR'!$A$6:$A$1005,0),""))</f>
        <v/>
      </c>
      <c r="T832" s="96">
        <f>IF(S832="",0,IF(INDEX('ITENS_MTR'!$R$6:$R$1005,S832)=1,1,0))</f>
        <v>0</v>
      </c>
      <c r="U832" s="96" t="str">
        <f>IF(T832=1,INDEX('ITENS_MTR'!$T$6:$T$1005,S832),"")</f>
        <v/>
      </c>
      <c r="V832" s="97" t="str">
        <f>IF(N(U832)&gt;0,INDEX('MTRs'!$E$6:$E$505,U832),"")</f>
        <v/>
      </c>
      <c r="W832" s="96" t="str">
        <f>IF(G832="","",IFERROR(IF(ISNUMBER(INDEX(cfg_fac,MATCH(G832,cfg_units,0))),IF(INDEX(cfg_fac,MATCH(G832,cfg_units,0))&gt;0,INDEX(cfg_fac,MATCH(G832,cfg_units,0)),""),""),""))</f>
        <v/>
      </c>
      <c r="X832" s="96">
        <f>IF(AND(ISNUMBER(F832),ISNUMBER(H832)),IF(H832&gt;0,1,0),0)</f>
        <v>0</v>
      </c>
      <c r="Y832" s="96">
        <f>IF(Q832=0,0,IF(OR(T832=0,X832=0,NOT(ISNUMBER(E832)),AND(J832="Sim",L832="",M832=""),AND(ISNUMBER(E832),ISNUMBER(V832),N(V832)&gt;0,E832&lt;N(V832))),1,0))</f>
        <v>0</v>
      </c>
      <c r="Z832" s="96">
        <f>IF(AND(Q832=1,T832=1,X832=1,J832="Sim",OR(L832&lt;&gt;"",M832&lt;&gt;"")),1,0)</f>
        <v>0</v>
      </c>
      <c r="AA832" s="96">
        <f>IF(Q832=0,0,IF(AND(OR(r_ini="",AND(ISNUMBER(E832),E832&gt;=r_ini)),OR(r_fim="",AND(ISNUMBER(E832),E832&lt;=r_fim)),OR(r_un="",r_un="(Todas)",IF(N(U832)&gt;0,INDEX('MTRs'!$G$6:$G$505,U832),"")=r_un),OR(r_de="",r_de="(Todos)",D832=r_de)),1,0))</f>
        <v>0</v>
      </c>
      <c r="AB832" s="96" t="str">
        <f>IF(AA832=1,COUNTIF($AA$6:AA832,1),"")</f>
        <v/>
      </c>
    </row>
    <row r="833">
      <c r="A833" s="89" t="inlineStr">
        <is>
          <t>REC-000828</t>
        </is>
      </c>
      <c r="B833" s="94" t="str">
        <f>IF(T833=1,INDEX('ITENS_MTR'!$S$6:$S$1005,S833)&amp;"","")</f>
        <v/>
      </c>
      <c r="C833" s="91" t="n"/>
      <c r="D833" s="94" t="str">
        <f>IF(N(U833)&gt;0,INDEX('MTRs'!$I$6:$I$505,U833)&amp;"","")</f>
        <v/>
      </c>
      <c r="E833" s="92" t="n"/>
      <c r="F833" s="98" t="n"/>
      <c r="G833" s="91" t="n"/>
      <c r="H833" s="93" t="str">
        <f>IF(Q833=0,"",IF(NOT(ISNUMBER(F833)),"",IF(ISNUMBER(W833),F833*W833,"UNIDADE A CONFERIR")))</f>
        <v/>
      </c>
      <c r="I833" s="91" t="n"/>
      <c r="J833" s="91" t="n"/>
      <c r="K833" s="92" t="n"/>
      <c r="L833" s="91" t="n"/>
      <c r="M833" s="91" t="n"/>
      <c r="N833" s="91" t="n"/>
      <c r="O833" s="91" t="n"/>
      <c r="P833" s="94" t="str">
        <f>IF(Q833=0,"",IF(C833="","Item de resíduo não informado",IF(T833=0,"Item inexistente (referência inválida)",IF(NOT(ISNUMBER(F833)),"Quantidade não informada",IF(F833&lt;=0,"Quantidade não positiva",IF(G833="","Unidade não informada",IF(NOT(ISNUMBER(H833)),"Unidade a conferir",IF(NOT(ISNUMBER(E833)),"Data de recebimento não informada",IF(AND(ISNUMBER(V833),N(V833)&gt;0,E833&lt;N(V833)),"Data anterior à emissão do MTR",IF(AND(J833="Sim",L833="",M833=""),"Conferido sem evidência identificada",IF(J833&lt;&gt;"Sim","Aguardando conferência",IF(INDEX('ITENS_MTR'!$AM$6:$AM$1005,S833)=1,"Conferido (ver diferença no item)","Conferido"))))))))))))</f>
        <v/>
      </c>
      <c r="Q833" s="96">
        <f>IF(COUNTA(C833,E833:G833,I833:O833)&gt;0,1,0)</f>
        <v>0</v>
      </c>
      <c r="R833" s="96" t="str">
        <f>IF(C833="","",TRIM(LEFT(C833,FIND(" |",C833&amp;" |")-1)))</f>
        <v/>
      </c>
      <c r="S833" s="96" t="str">
        <f>IF(R833="","",IFERROR(MATCH(R833,'ITENS_MTR'!$A$6:$A$1005,0),""))</f>
        <v/>
      </c>
      <c r="T833" s="96">
        <f>IF(S833="",0,IF(INDEX('ITENS_MTR'!$R$6:$R$1005,S833)=1,1,0))</f>
        <v>0</v>
      </c>
      <c r="U833" s="96" t="str">
        <f>IF(T833=1,INDEX('ITENS_MTR'!$T$6:$T$1005,S833),"")</f>
        <v/>
      </c>
      <c r="V833" s="97" t="str">
        <f>IF(N(U833)&gt;0,INDEX('MTRs'!$E$6:$E$505,U833),"")</f>
        <v/>
      </c>
      <c r="W833" s="96" t="str">
        <f>IF(G833="","",IFERROR(IF(ISNUMBER(INDEX(cfg_fac,MATCH(G833,cfg_units,0))),IF(INDEX(cfg_fac,MATCH(G833,cfg_units,0))&gt;0,INDEX(cfg_fac,MATCH(G833,cfg_units,0)),""),""),""))</f>
        <v/>
      </c>
      <c r="X833" s="96">
        <f>IF(AND(ISNUMBER(F833),ISNUMBER(H833)),IF(H833&gt;0,1,0),0)</f>
        <v>0</v>
      </c>
      <c r="Y833" s="96">
        <f>IF(Q833=0,0,IF(OR(T833=0,X833=0,NOT(ISNUMBER(E833)),AND(J833="Sim",L833="",M833=""),AND(ISNUMBER(E833),ISNUMBER(V833),N(V833)&gt;0,E833&lt;N(V833))),1,0))</f>
        <v>0</v>
      </c>
      <c r="Z833" s="96">
        <f>IF(AND(Q833=1,T833=1,X833=1,J833="Sim",OR(L833&lt;&gt;"",M833&lt;&gt;"")),1,0)</f>
        <v>0</v>
      </c>
      <c r="AA833" s="96">
        <f>IF(Q833=0,0,IF(AND(OR(r_ini="",AND(ISNUMBER(E833),E833&gt;=r_ini)),OR(r_fim="",AND(ISNUMBER(E833),E833&lt;=r_fim)),OR(r_un="",r_un="(Todas)",IF(N(U833)&gt;0,INDEX('MTRs'!$G$6:$G$505,U833),"")=r_un),OR(r_de="",r_de="(Todos)",D833=r_de)),1,0))</f>
        <v>0</v>
      </c>
      <c r="AB833" s="96" t="str">
        <f>IF(AA833=1,COUNTIF($AA$6:AA833,1),"")</f>
        <v/>
      </c>
    </row>
    <row r="834">
      <c r="A834" s="89" t="inlineStr">
        <is>
          <t>REC-000829</t>
        </is>
      </c>
      <c r="B834" s="94" t="str">
        <f>IF(T834=1,INDEX('ITENS_MTR'!$S$6:$S$1005,S834)&amp;"","")</f>
        <v/>
      </c>
      <c r="C834" s="91" t="n"/>
      <c r="D834" s="94" t="str">
        <f>IF(N(U834)&gt;0,INDEX('MTRs'!$I$6:$I$505,U834)&amp;"","")</f>
        <v/>
      </c>
      <c r="E834" s="92" t="n"/>
      <c r="F834" s="98" t="n"/>
      <c r="G834" s="91" t="n"/>
      <c r="H834" s="93" t="str">
        <f>IF(Q834=0,"",IF(NOT(ISNUMBER(F834)),"",IF(ISNUMBER(W834),F834*W834,"UNIDADE A CONFERIR")))</f>
        <v/>
      </c>
      <c r="I834" s="91" t="n"/>
      <c r="J834" s="91" t="n"/>
      <c r="K834" s="92" t="n"/>
      <c r="L834" s="91" t="n"/>
      <c r="M834" s="91" t="n"/>
      <c r="N834" s="91" t="n"/>
      <c r="O834" s="91" t="n"/>
      <c r="P834" s="94" t="str">
        <f>IF(Q834=0,"",IF(C834="","Item de resíduo não informado",IF(T834=0,"Item inexistente (referência inválida)",IF(NOT(ISNUMBER(F834)),"Quantidade não informada",IF(F834&lt;=0,"Quantidade não positiva",IF(G834="","Unidade não informada",IF(NOT(ISNUMBER(H834)),"Unidade a conferir",IF(NOT(ISNUMBER(E834)),"Data de recebimento não informada",IF(AND(ISNUMBER(V834),N(V834)&gt;0,E834&lt;N(V834)),"Data anterior à emissão do MTR",IF(AND(J834="Sim",L834="",M834=""),"Conferido sem evidência identificada",IF(J834&lt;&gt;"Sim","Aguardando conferência",IF(INDEX('ITENS_MTR'!$AM$6:$AM$1005,S834)=1,"Conferido (ver diferença no item)","Conferido"))))))))))))</f>
        <v/>
      </c>
      <c r="Q834" s="96">
        <f>IF(COUNTA(C834,E834:G834,I834:O834)&gt;0,1,0)</f>
        <v>0</v>
      </c>
      <c r="R834" s="96" t="str">
        <f>IF(C834="","",TRIM(LEFT(C834,FIND(" |",C834&amp;" |")-1)))</f>
        <v/>
      </c>
      <c r="S834" s="96" t="str">
        <f>IF(R834="","",IFERROR(MATCH(R834,'ITENS_MTR'!$A$6:$A$1005,0),""))</f>
        <v/>
      </c>
      <c r="T834" s="96">
        <f>IF(S834="",0,IF(INDEX('ITENS_MTR'!$R$6:$R$1005,S834)=1,1,0))</f>
        <v>0</v>
      </c>
      <c r="U834" s="96" t="str">
        <f>IF(T834=1,INDEX('ITENS_MTR'!$T$6:$T$1005,S834),"")</f>
        <v/>
      </c>
      <c r="V834" s="97" t="str">
        <f>IF(N(U834)&gt;0,INDEX('MTRs'!$E$6:$E$505,U834),"")</f>
        <v/>
      </c>
      <c r="W834" s="96" t="str">
        <f>IF(G834="","",IFERROR(IF(ISNUMBER(INDEX(cfg_fac,MATCH(G834,cfg_units,0))),IF(INDEX(cfg_fac,MATCH(G834,cfg_units,0))&gt;0,INDEX(cfg_fac,MATCH(G834,cfg_units,0)),""),""),""))</f>
        <v/>
      </c>
      <c r="X834" s="96">
        <f>IF(AND(ISNUMBER(F834),ISNUMBER(H834)),IF(H834&gt;0,1,0),0)</f>
        <v>0</v>
      </c>
      <c r="Y834" s="96">
        <f>IF(Q834=0,0,IF(OR(T834=0,X834=0,NOT(ISNUMBER(E834)),AND(J834="Sim",L834="",M834=""),AND(ISNUMBER(E834),ISNUMBER(V834),N(V834)&gt;0,E834&lt;N(V834))),1,0))</f>
        <v>0</v>
      </c>
      <c r="Z834" s="96">
        <f>IF(AND(Q834=1,T834=1,X834=1,J834="Sim",OR(L834&lt;&gt;"",M834&lt;&gt;"")),1,0)</f>
        <v>0</v>
      </c>
      <c r="AA834" s="96">
        <f>IF(Q834=0,0,IF(AND(OR(r_ini="",AND(ISNUMBER(E834),E834&gt;=r_ini)),OR(r_fim="",AND(ISNUMBER(E834),E834&lt;=r_fim)),OR(r_un="",r_un="(Todas)",IF(N(U834)&gt;0,INDEX('MTRs'!$G$6:$G$505,U834),"")=r_un),OR(r_de="",r_de="(Todos)",D834=r_de)),1,0))</f>
        <v>0</v>
      </c>
      <c r="AB834" s="96" t="str">
        <f>IF(AA834=1,COUNTIF($AA$6:AA834,1),"")</f>
        <v/>
      </c>
    </row>
    <row r="835">
      <c r="A835" s="89" t="inlineStr">
        <is>
          <t>REC-000830</t>
        </is>
      </c>
      <c r="B835" s="94" t="str">
        <f>IF(T835=1,INDEX('ITENS_MTR'!$S$6:$S$1005,S835)&amp;"","")</f>
        <v/>
      </c>
      <c r="C835" s="91" t="n"/>
      <c r="D835" s="94" t="str">
        <f>IF(N(U835)&gt;0,INDEX('MTRs'!$I$6:$I$505,U835)&amp;"","")</f>
        <v/>
      </c>
      <c r="E835" s="92" t="n"/>
      <c r="F835" s="98" t="n"/>
      <c r="G835" s="91" t="n"/>
      <c r="H835" s="93" t="str">
        <f>IF(Q835=0,"",IF(NOT(ISNUMBER(F835)),"",IF(ISNUMBER(W835),F835*W835,"UNIDADE A CONFERIR")))</f>
        <v/>
      </c>
      <c r="I835" s="91" t="n"/>
      <c r="J835" s="91" t="n"/>
      <c r="K835" s="92" t="n"/>
      <c r="L835" s="91" t="n"/>
      <c r="M835" s="91" t="n"/>
      <c r="N835" s="91" t="n"/>
      <c r="O835" s="91" t="n"/>
      <c r="P835" s="94" t="str">
        <f>IF(Q835=0,"",IF(C835="","Item de resíduo não informado",IF(T835=0,"Item inexistente (referência inválida)",IF(NOT(ISNUMBER(F835)),"Quantidade não informada",IF(F835&lt;=0,"Quantidade não positiva",IF(G835="","Unidade não informada",IF(NOT(ISNUMBER(H835)),"Unidade a conferir",IF(NOT(ISNUMBER(E835)),"Data de recebimento não informada",IF(AND(ISNUMBER(V835),N(V835)&gt;0,E835&lt;N(V835)),"Data anterior à emissão do MTR",IF(AND(J835="Sim",L835="",M835=""),"Conferido sem evidência identificada",IF(J835&lt;&gt;"Sim","Aguardando conferência",IF(INDEX('ITENS_MTR'!$AM$6:$AM$1005,S835)=1,"Conferido (ver diferença no item)","Conferido"))))))))))))</f>
        <v/>
      </c>
      <c r="Q835" s="96">
        <f>IF(COUNTA(C835,E835:G835,I835:O835)&gt;0,1,0)</f>
        <v>0</v>
      </c>
      <c r="R835" s="96" t="str">
        <f>IF(C835="","",TRIM(LEFT(C835,FIND(" |",C835&amp;" |")-1)))</f>
        <v/>
      </c>
      <c r="S835" s="96" t="str">
        <f>IF(R835="","",IFERROR(MATCH(R835,'ITENS_MTR'!$A$6:$A$1005,0),""))</f>
        <v/>
      </c>
      <c r="T835" s="96">
        <f>IF(S835="",0,IF(INDEX('ITENS_MTR'!$R$6:$R$1005,S835)=1,1,0))</f>
        <v>0</v>
      </c>
      <c r="U835" s="96" t="str">
        <f>IF(T835=1,INDEX('ITENS_MTR'!$T$6:$T$1005,S835),"")</f>
        <v/>
      </c>
      <c r="V835" s="97" t="str">
        <f>IF(N(U835)&gt;0,INDEX('MTRs'!$E$6:$E$505,U835),"")</f>
        <v/>
      </c>
      <c r="W835" s="96" t="str">
        <f>IF(G835="","",IFERROR(IF(ISNUMBER(INDEX(cfg_fac,MATCH(G835,cfg_units,0))),IF(INDEX(cfg_fac,MATCH(G835,cfg_units,0))&gt;0,INDEX(cfg_fac,MATCH(G835,cfg_units,0)),""),""),""))</f>
        <v/>
      </c>
      <c r="X835" s="96">
        <f>IF(AND(ISNUMBER(F835),ISNUMBER(H835)),IF(H835&gt;0,1,0),0)</f>
        <v>0</v>
      </c>
      <c r="Y835" s="96">
        <f>IF(Q835=0,0,IF(OR(T835=0,X835=0,NOT(ISNUMBER(E835)),AND(J835="Sim",L835="",M835=""),AND(ISNUMBER(E835),ISNUMBER(V835),N(V835)&gt;0,E835&lt;N(V835))),1,0))</f>
        <v>0</v>
      </c>
      <c r="Z835" s="96">
        <f>IF(AND(Q835=1,T835=1,X835=1,J835="Sim",OR(L835&lt;&gt;"",M835&lt;&gt;"")),1,0)</f>
        <v>0</v>
      </c>
      <c r="AA835" s="96">
        <f>IF(Q835=0,0,IF(AND(OR(r_ini="",AND(ISNUMBER(E835),E835&gt;=r_ini)),OR(r_fim="",AND(ISNUMBER(E835),E835&lt;=r_fim)),OR(r_un="",r_un="(Todas)",IF(N(U835)&gt;0,INDEX('MTRs'!$G$6:$G$505,U835),"")=r_un),OR(r_de="",r_de="(Todos)",D835=r_de)),1,0))</f>
        <v>0</v>
      </c>
      <c r="AB835" s="96" t="str">
        <f>IF(AA835=1,COUNTIF($AA$6:AA835,1),"")</f>
        <v/>
      </c>
    </row>
    <row r="836">
      <c r="A836" s="89" t="inlineStr">
        <is>
          <t>REC-000831</t>
        </is>
      </c>
      <c r="B836" s="94" t="str">
        <f>IF(T836=1,INDEX('ITENS_MTR'!$S$6:$S$1005,S836)&amp;"","")</f>
        <v/>
      </c>
      <c r="C836" s="91" t="n"/>
      <c r="D836" s="94" t="str">
        <f>IF(N(U836)&gt;0,INDEX('MTRs'!$I$6:$I$505,U836)&amp;"","")</f>
        <v/>
      </c>
      <c r="E836" s="92" t="n"/>
      <c r="F836" s="98" t="n"/>
      <c r="G836" s="91" t="n"/>
      <c r="H836" s="93" t="str">
        <f>IF(Q836=0,"",IF(NOT(ISNUMBER(F836)),"",IF(ISNUMBER(W836),F836*W836,"UNIDADE A CONFERIR")))</f>
        <v/>
      </c>
      <c r="I836" s="91" t="n"/>
      <c r="J836" s="91" t="n"/>
      <c r="K836" s="92" t="n"/>
      <c r="L836" s="91" t="n"/>
      <c r="M836" s="91" t="n"/>
      <c r="N836" s="91" t="n"/>
      <c r="O836" s="91" t="n"/>
      <c r="P836" s="94" t="str">
        <f>IF(Q836=0,"",IF(C836="","Item de resíduo não informado",IF(T836=0,"Item inexistente (referência inválida)",IF(NOT(ISNUMBER(F836)),"Quantidade não informada",IF(F836&lt;=0,"Quantidade não positiva",IF(G836="","Unidade não informada",IF(NOT(ISNUMBER(H836)),"Unidade a conferir",IF(NOT(ISNUMBER(E836)),"Data de recebimento não informada",IF(AND(ISNUMBER(V836),N(V836)&gt;0,E836&lt;N(V836)),"Data anterior à emissão do MTR",IF(AND(J836="Sim",L836="",M836=""),"Conferido sem evidência identificada",IF(J836&lt;&gt;"Sim","Aguardando conferência",IF(INDEX('ITENS_MTR'!$AM$6:$AM$1005,S836)=1,"Conferido (ver diferença no item)","Conferido"))))))))))))</f>
        <v/>
      </c>
      <c r="Q836" s="96">
        <f>IF(COUNTA(C836,E836:G836,I836:O836)&gt;0,1,0)</f>
        <v>0</v>
      </c>
      <c r="R836" s="96" t="str">
        <f>IF(C836="","",TRIM(LEFT(C836,FIND(" |",C836&amp;" |")-1)))</f>
        <v/>
      </c>
      <c r="S836" s="96" t="str">
        <f>IF(R836="","",IFERROR(MATCH(R836,'ITENS_MTR'!$A$6:$A$1005,0),""))</f>
        <v/>
      </c>
      <c r="T836" s="96">
        <f>IF(S836="",0,IF(INDEX('ITENS_MTR'!$R$6:$R$1005,S836)=1,1,0))</f>
        <v>0</v>
      </c>
      <c r="U836" s="96" t="str">
        <f>IF(T836=1,INDEX('ITENS_MTR'!$T$6:$T$1005,S836),"")</f>
        <v/>
      </c>
      <c r="V836" s="97" t="str">
        <f>IF(N(U836)&gt;0,INDEX('MTRs'!$E$6:$E$505,U836),"")</f>
        <v/>
      </c>
      <c r="W836" s="96" t="str">
        <f>IF(G836="","",IFERROR(IF(ISNUMBER(INDEX(cfg_fac,MATCH(G836,cfg_units,0))),IF(INDEX(cfg_fac,MATCH(G836,cfg_units,0))&gt;0,INDEX(cfg_fac,MATCH(G836,cfg_units,0)),""),""),""))</f>
        <v/>
      </c>
      <c r="X836" s="96">
        <f>IF(AND(ISNUMBER(F836),ISNUMBER(H836)),IF(H836&gt;0,1,0),0)</f>
        <v>0</v>
      </c>
      <c r="Y836" s="96">
        <f>IF(Q836=0,0,IF(OR(T836=0,X836=0,NOT(ISNUMBER(E836)),AND(J836="Sim",L836="",M836=""),AND(ISNUMBER(E836),ISNUMBER(V836),N(V836)&gt;0,E836&lt;N(V836))),1,0))</f>
        <v>0</v>
      </c>
      <c r="Z836" s="96">
        <f>IF(AND(Q836=1,T836=1,X836=1,J836="Sim",OR(L836&lt;&gt;"",M836&lt;&gt;"")),1,0)</f>
        <v>0</v>
      </c>
      <c r="AA836" s="96">
        <f>IF(Q836=0,0,IF(AND(OR(r_ini="",AND(ISNUMBER(E836),E836&gt;=r_ini)),OR(r_fim="",AND(ISNUMBER(E836),E836&lt;=r_fim)),OR(r_un="",r_un="(Todas)",IF(N(U836)&gt;0,INDEX('MTRs'!$G$6:$G$505,U836),"")=r_un),OR(r_de="",r_de="(Todos)",D836=r_de)),1,0))</f>
        <v>0</v>
      </c>
      <c r="AB836" s="96" t="str">
        <f>IF(AA836=1,COUNTIF($AA$6:AA836,1),"")</f>
        <v/>
      </c>
    </row>
    <row r="837">
      <c r="A837" s="89" t="inlineStr">
        <is>
          <t>REC-000832</t>
        </is>
      </c>
      <c r="B837" s="94" t="str">
        <f>IF(T837=1,INDEX('ITENS_MTR'!$S$6:$S$1005,S837)&amp;"","")</f>
        <v/>
      </c>
      <c r="C837" s="91" t="n"/>
      <c r="D837" s="94" t="str">
        <f>IF(N(U837)&gt;0,INDEX('MTRs'!$I$6:$I$505,U837)&amp;"","")</f>
        <v/>
      </c>
      <c r="E837" s="92" t="n"/>
      <c r="F837" s="98" t="n"/>
      <c r="G837" s="91" t="n"/>
      <c r="H837" s="93" t="str">
        <f>IF(Q837=0,"",IF(NOT(ISNUMBER(F837)),"",IF(ISNUMBER(W837),F837*W837,"UNIDADE A CONFERIR")))</f>
        <v/>
      </c>
      <c r="I837" s="91" t="n"/>
      <c r="J837" s="91" t="n"/>
      <c r="K837" s="92" t="n"/>
      <c r="L837" s="91" t="n"/>
      <c r="M837" s="91" t="n"/>
      <c r="N837" s="91" t="n"/>
      <c r="O837" s="91" t="n"/>
      <c r="P837" s="94" t="str">
        <f>IF(Q837=0,"",IF(C837="","Item de resíduo não informado",IF(T837=0,"Item inexistente (referência inválida)",IF(NOT(ISNUMBER(F837)),"Quantidade não informada",IF(F837&lt;=0,"Quantidade não positiva",IF(G837="","Unidade não informada",IF(NOT(ISNUMBER(H837)),"Unidade a conferir",IF(NOT(ISNUMBER(E837)),"Data de recebimento não informada",IF(AND(ISNUMBER(V837),N(V837)&gt;0,E837&lt;N(V837)),"Data anterior à emissão do MTR",IF(AND(J837="Sim",L837="",M837=""),"Conferido sem evidência identificada",IF(J837&lt;&gt;"Sim","Aguardando conferência",IF(INDEX('ITENS_MTR'!$AM$6:$AM$1005,S837)=1,"Conferido (ver diferença no item)","Conferido"))))))))))))</f>
        <v/>
      </c>
      <c r="Q837" s="96">
        <f>IF(COUNTA(C837,E837:G837,I837:O837)&gt;0,1,0)</f>
        <v>0</v>
      </c>
      <c r="R837" s="96" t="str">
        <f>IF(C837="","",TRIM(LEFT(C837,FIND(" |",C837&amp;" |")-1)))</f>
        <v/>
      </c>
      <c r="S837" s="96" t="str">
        <f>IF(R837="","",IFERROR(MATCH(R837,'ITENS_MTR'!$A$6:$A$1005,0),""))</f>
        <v/>
      </c>
      <c r="T837" s="96">
        <f>IF(S837="",0,IF(INDEX('ITENS_MTR'!$R$6:$R$1005,S837)=1,1,0))</f>
        <v>0</v>
      </c>
      <c r="U837" s="96" t="str">
        <f>IF(T837=1,INDEX('ITENS_MTR'!$T$6:$T$1005,S837),"")</f>
        <v/>
      </c>
      <c r="V837" s="97" t="str">
        <f>IF(N(U837)&gt;0,INDEX('MTRs'!$E$6:$E$505,U837),"")</f>
        <v/>
      </c>
      <c r="W837" s="96" t="str">
        <f>IF(G837="","",IFERROR(IF(ISNUMBER(INDEX(cfg_fac,MATCH(G837,cfg_units,0))),IF(INDEX(cfg_fac,MATCH(G837,cfg_units,0))&gt;0,INDEX(cfg_fac,MATCH(G837,cfg_units,0)),""),""),""))</f>
        <v/>
      </c>
      <c r="X837" s="96">
        <f>IF(AND(ISNUMBER(F837),ISNUMBER(H837)),IF(H837&gt;0,1,0),0)</f>
        <v>0</v>
      </c>
      <c r="Y837" s="96">
        <f>IF(Q837=0,0,IF(OR(T837=0,X837=0,NOT(ISNUMBER(E837)),AND(J837="Sim",L837="",M837=""),AND(ISNUMBER(E837),ISNUMBER(V837),N(V837)&gt;0,E837&lt;N(V837))),1,0))</f>
        <v>0</v>
      </c>
      <c r="Z837" s="96">
        <f>IF(AND(Q837=1,T837=1,X837=1,J837="Sim",OR(L837&lt;&gt;"",M837&lt;&gt;"")),1,0)</f>
        <v>0</v>
      </c>
      <c r="AA837" s="96">
        <f>IF(Q837=0,0,IF(AND(OR(r_ini="",AND(ISNUMBER(E837),E837&gt;=r_ini)),OR(r_fim="",AND(ISNUMBER(E837),E837&lt;=r_fim)),OR(r_un="",r_un="(Todas)",IF(N(U837)&gt;0,INDEX('MTRs'!$G$6:$G$505,U837),"")=r_un),OR(r_de="",r_de="(Todos)",D837=r_de)),1,0))</f>
        <v>0</v>
      </c>
      <c r="AB837" s="96" t="str">
        <f>IF(AA837=1,COUNTIF($AA$6:AA837,1),"")</f>
        <v/>
      </c>
    </row>
    <row r="838">
      <c r="A838" s="89" t="inlineStr">
        <is>
          <t>REC-000833</t>
        </is>
      </c>
      <c r="B838" s="94" t="str">
        <f>IF(T838=1,INDEX('ITENS_MTR'!$S$6:$S$1005,S838)&amp;"","")</f>
        <v/>
      </c>
      <c r="C838" s="91" t="n"/>
      <c r="D838" s="94" t="str">
        <f>IF(N(U838)&gt;0,INDEX('MTRs'!$I$6:$I$505,U838)&amp;"","")</f>
        <v/>
      </c>
      <c r="E838" s="92" t="n"/>
      <c r="F838" s="98" t="n"/>
      <c r="G838" s="91" t="n"/>
      <c r="H838" s="93" t="str">
        <f>IF(Q838=0,"",IF(NOT(ISNUMBER(F838)),"",IF(ISNUMBER(W838),F838*W838,"UNIDADE A CONFERIR")))</f>
        <v/>
      </c>
      <c r="I838" s="91" t="n"/>
      <c r="J838" s="91" t="n"/>
      <c r="K838" s="92" t="n"/>
      <c r="L838" s="91" t="n"/>
      <c r="M838" s="91" t="n"/>
      <c r="N838" s="91" t="n"/>
      <c r="O838" s="91" t="n"/>
      <c r="P838" s="94" t="str">
        <f>IF(Q838=0,"",IF(C838="","Item de resíduo não informado",IF(T838=0,"Item inexistente (referência inválida)",IF(NOT(ISNUMBER(F838)),"Quantidade não informada",IF(F838&lt;=0,"Quantidade não positiva",IF(G838="","Unidade não informada",IF(NOT(ISNUMBER(H838)),"Unidade a conferir",IF(NOT(ISNUMBER(E838)),"Data de recebimento não informada",IF(AND(ISNUMBER(V838),N(V838)&gt;0,E838&lt;N(V838)),"Data anterior à emissão do MTR",IF(AND(J838="Sim",L838="",M838=""),"Conferido sem evidência identificada",IF(J838&lt;&gt;"Sim","Aguardando conferência",IF(INDEX('ITENS_MTR'!$AM$6:$AM$1005,S838)=1,"Conferido (ver diferença no item)","Conferido"))))))))))))</f>
        <v/>
      </c>
      <c r="Q838" s="96">
        <f>IF(COUNTA(C838,E838:G838,I838:O838)&gt;0,1,0)</f>
        <v>0</v>
      </c>
      <c r="R838" s="96" t="str">
        <f>IF(C838="","",TRIM(LEFT(C838,FIND(" |",C838&amp;" |")-1)))</f>
        <v/>
      </c>
      <c r="S838" s="96" t="str">
        <f>IF(R838="","",IFERROR(MATCH(R838,'ITENS_MTR'!$A$6:$A$1005,0),""))</f>
        <v/>
      </c>
      <c r="T838" s="96">
        <f>IF(S838="",0,IF(INDEX('ITENS_MTR'!$R$6:$R$1005,S838)=1,1,0))</f>
        <v>0</v>
      </c>
      <c r="U838" s="96" t="str">
        <f>IF(T838=1,INDEX('ITENS_MTR'!$T$6:$T$1005,S838),"")</f>
        <v/>
      </c>
      <c r="V838" s="97" t="str">
        <f>IF(N(U838)&gt;0,INDEX('MTRs'!$E$6:$E$505,U838),"")</f>
        <v/>
      </c>
      <c r="W838" s="96" t="str">
        <f>IF(G838="","",IFERROR(IF(ISNUMBER(INDEX(cfg_fac,MATCH(G838,cfg_units,0))),IF(INDEX(cfg_fac,MATCH(G838,cfg_units,0))&gt;0,INDEX(cfg_fac,MATCH(G838,cfg_units,0)),""),""),""))</f>
        <v/>
      </c>
      <c r="X838" s="96">
        <f>IF(AND(ISNUMBER(F838),ISNUMBER(H838)),IF(H838&gt;0,1,0),0)</f>
        <v>0</v>
      </c>
      <c r="Y838" s="96">
        <f>IF(Q838=0,0,IF(OR(T838=0,X838=0,NOT(ISNUMBER(E838)),AND(J838="Sim",L838="",M838=""),AND(ISNUMBER(E838),ISNUMBER(V838),N(V838)&gt;0,E838&lt;N(V838))),1,0))</f>
        <v>0</v>
      </c>
      <c r="Z838" s="96">
        <f>IF(AND(Q838=1,T838=1,X838=1,J838="Sim",OR(L838&lt;&gt;"",M838&lt;&gt;"")),1,0)</f>
        <v>0</v>
      </c>
      <c r="AA838" s="96">
        <f>IF(Q838=0,0,IF(AND(OR(r_ini="",AND(ISNUMBER(E838),E838&gt;=r_ini)),OR(r_fim="",AND(ISNUMBER(E838),E838&lt;=r_fim)),OR(r_un="",r_un="(Todas)",IF(N(U838)&gt;0,INDEX('MTRs'!$G$6:$G$505,U838),"")=r_un),OR(r_de="",r_de="(Todos)",D838=r_de)),1,0))</f>
        <v>0</v>
      </c>
      <c r="AB838" s="96" t="str">
        <f>IF(AA838=1,COUNTIF($AA$6:AA838,1),"")</f>
        <v/>
      </c>
    </row>
    <row r="839">
      <c r="A839" s="89" t="inlineStr">
        <is>
          <t>REC-000834</t>
        </is>
      </c>
      <c r="B839" s="94" t="str">
        <f>IF(T839=1,INDEX('ITENS_MTR'!$S$6:$S$1005,S839)&amp;"","")</f>
        <v/>
      </c>
      <c r="C839" s="91" t="n"/>
      <c r="D839" s="94" t="str">
        <f>IF(N(U839)&gt;0,INDEX('MTRs'!$I$6:$I$505,U839)&amp;"","")</f>
        <v/>
      </c>
      <c r="E839" s="92" t="n"/>
      <c r="F839" s="98" t="n"/>
      <c r="G839" s="91" t="n"/>
      <c r="H839" s="93" t="str">
        <f>IF(Q839=0,"",IF(NOT(ISNUMBER(F839)),"",IF(ISNUMBER(W839),F839*W839,"UNIDADE A CONFERIR")))</f>
        <v/>
      </c>
      <c r="I839" s="91" t="n"/>
      <c r="J839" s="91" t="n"/>
      <c r="K839" s="92" t="n"/>
      <c r="L839" s="91" t="n"/>
      <c r="M839" s="91" t="n"/>
      <c r="N839" s="91" t="n"/>
      <c r="O839" s="91" t="n"/>
      <c r="P839" s="94" t="str">
        <f>IF(Q839=0,"",IF(C839="","Item de resíduo não informado",IF(T839=0,"Item inexistente (referência inválida)",IF(NOT(ISNUMBER(F839)),"Quantidade não informada",IF(F839&lt;=0,"Quantidade não positiva",IF(G839="","Unidade não informada",IF(NOT(ISNUMBER(H839)),"Unidade a conferir",IF(NOT(ISNUMBER(E839)),"Data de recebimento não informada",IF(AND(ISNUMBER(V839),N(V839)&gt;0,E839&lt;N(V839)),"Data anterior à emissão do MTR",IF(AND(J839="Sim",L839="",M839=""),"Conferido sem evidência identificada",IF(J839&lt;&gt;"Sim","Aguardando conferência",IF(INDEX('ITENS_MTR'!$AM$6:$AM$1005,S839)=1,"Conferido (ver diferença no item)","Conferido"))))))))))))</f>
        <v/>
      </c>
      <c r="Q839" s="96">
        <f>IF(COUNTA(C839,E839:G839,I839:O839)&gt;0,1,0)</f>
        <v>0</v>
      </c>
      <c r="R839" s="96" t="str">
        <f>IF(C839="","",TRIM(LEFT(C839,FIND(" |",C839&amp;" |")-1)))</f>
        <v/>
      </c>
      <c r="S839" s="96" t="str">
        <f>IF(R839="","",IFERROR(MATCH(R839,'ITENS_MTR'!$A$6:$A$1005,0),""))</f>
        <v/>
      </c>
      <c r="T839" s="96">
        <f>IF(S839="",0,IF(INDEX('ITENS_MTR'!$R$6:$R$1005,S839)=1,1,0))</f>
        <v>0</v>
      </c>
      <c r="U839" s="96" t="str">
        <f>IF(T839=1,INDEX('ITENS_MTR'!$T$6:$T$1005,S839),"")</f>
        <v/>
      </c>
      <c r="V839" s="97" t="str">
        <f>IF(N(U839)&gt;0,INDEX('MTRs'!$E$6:$E$505,U839),"")</f>
        <v/>
      </c>
      <c r="W839" s="96" t="str">
        <f>IF(G839="","",IFERROR(IF(ISNUMBER(INDEX(cfg_fac,MATCH(G839,cfg_units,0))),IF(INDEX(cfg_fac,MATCH(G839,cfg_units,0))&gt;0,INDEX(cfg_fac,MATCH(G839,cfg_units,0)),""),""),""))</f>
        <v/>
      </c>
      <c r="X839" s="96">
        <f>IF(AND(ISNUMBER(F839),ISNUMBER(H839)),IF(H839&gt;0,1,0),0)</f>
        <v>0</v>
      </c>
      <c r="Y839" s="96">
        <f>IF(Q839=0,0,IF(OR(T839=0,X839=0,NOT(ISNUMBER(E839)),AND(J839="Sim",L839="",M839=""),AND(ISNUMBER(E839),ISNUMBER(V839),N(V839)&gt;0,E839&lt;N(V839))),1,0))</f>
        <v>0</v>
      </c>
      <c r="Z839" s="96">
        <f>IF(AND(Q839=1,T839=1,X839=1,J839="Sim",OR(L839&lt;&gt;"",M839&lt;&gt;"")),1,0)</f>
        <v>0</v>
      </c>
      <c r="AA839" s="96">
        <f>IF(Q839=0,0,IF(AND(OR(r_ini="",AND(ISNUMBER(E839),E839&gt;=r_ini)),OR(r_fim="",AND(ISNUMBER(E839),E839&lt;=r_fim)),OR(r_un="",r_un="(Todas)",IF(N(U839)&gt;0,INDEX('MTRs'!$G$6:$G$505,U839),"")=r_un),OR(r_de="",r_de="(Todos)",D839=r_de)),1,0))</f>
        <v>0</v>
      </c>
      <c r="AB839" s="96" t="str">
        <f>IF(AA839=1,COUNTIF($AA$6:AA839,1),"")</f>
        <v/>
      </c>
    </row>
    <row r="840">
      <c r="A840" s="89" t="inlineStr">
        <is>
          <t>REC-000835</t>
        </is>
      </c>
      <c r="B840" s="94" t="str">
        <f>IF(T840=1,INDEX('ITENS_MTR'!$S$6:$S$1005,S840)&amp;"","")</f>
        <v/>
      </c>
      <c r="C840" s="91" t="n"/>
      <c r="D840" s="94" t="str">
        <f>IF(N(U840)&gt;0,INDEX('MTRs'!$I$6:$I$505,U840)&amp;"","")</f>
        <v/>
      </c>
      <c r="E840" s="92" t="n"/>
      <c r="F840" s="98" t="n"/>
      <c r="G840" s="91" t="n"/>
      <c r="H840" s="93" t="str">
        <f>IF(Q840=0,"",IF(NOT(ISNUMBER(F840)),"",IF(ISNUMBER(W840),F840*W840,"UNIDADE A CONFERIR")))</f>
        <v/>
      </c>
      <c r="I840" s="91" t="n"/>
      <c r="J840" s="91" t="n"/>
      <c r="K840" s="92" t="n"/>
      <c r="L840" s="91" t="n"/>
      <c r="M840" s="91" t="n"/>
      <c r="N840" s="91" t="n"/>
      <c r="O840" s="91" t="n"/>
      <c r="P840" s="94" t="str">
        <f>IF(Q840=0,"",IF(C840="","Item de resíduo não informado",IF(T840=0,"Item inexistente (referência inválida)",IF(NOT(ISNUMBER(F840)),"Quantidade não informada",IF(F840&lt;=0,"Quantidade não positiva",IF(G840="","Unidade não informada",IF(NOT(ISNUMBER(H840)),"Unidade a conferir",IF(NOT(ISNUMBER(E840)),"Data de recebimento não informada",IF(AND(ISNUMBER(V840),N(V840)&gt;0,E840&lt;N(V840)),"Data anterior à emissão do MTR",IF(AND(J840="Sim",L840="",M840=""),"Conferido sem evidência identificada",IF(J840&lt;&gt;"Sim","Aguardando conferência",IF(INDEX('ITENS_MTR'!$AM$6:$AM$1005,S840)=1,"Conferido (ver diferença no item)","Conferido"))))))))))))</f>
        <v/>
      </c>
      <c r="Q840" s="96">
        <f>IF(COUNTA(C840,E840:G840,I840:O840)&gt;0,1,0)</f>
        <v>0</v>
      </c>
      <c r="R840" s="96" t="str">
        <f>IF(C840="","",TRIM(LEFT(C840,FIND(" |",C840&amp;" |")-1)))</f>
        <v/>
      </c>
      <c r="S840" s="96" t="str">
        <f>IF(R840="","",IFERROR(MATCH(R840,'ITENS_MTR'!$A$6:$A$1005,0),""))</f>
        <v/>
      </c>
      <c r="T840" s="96">
        <f>IF(S840="",0,IF(INDEX('ITENS_MTR'!$R$6:$R$1005,S840)=1,1,0))</f>
        <v>0</v>
      </c>
      <c r="U840" s="96" t="str">
        <f>IF(T840=1,INDEX('ITENS_MTR'!$T$6:$T$1005,S840),"")</f>
        <v/>
      </c>
      <c r="V840" s="97" t="str">
        <f>IF(N(U840)&gt;0,INDEX('MTRs'!$E$6:$E$505,U840),"")</f>
        <v/>
      </c>
      <c r="W840" s="96" t="str">
        <f>IF(G840="","",IFERROR(IF(ISNUMBER(INDEX(cfg_fac,MATCH(G840,cfg_units,0))),IF(INDEX(cfg_fac,MATCH(G840,cfg_units,0))&gt;0,INDEX(cfg_fac,MATCH(G840,cfg_units,0)),""),""),""))</f>
        <v/>
      </c>
      <c r="X840" s="96">
        <f>IF(AND(ISNUMBER(F840),ISNUMBER(H840)),IF(H840&gt;0,1,0),0)</f>
        <v>0</v>
      </c>
      <c r="Y840" s="96">
        <f>IF(Q840=0,0,IF(OR(T840=0,X840=0,NOT(ISNUMBER(E840)),AND(J840="Sim",L840="",M840=""),AND(ISNUMBER(E840),ISNUMBER(V840),N(V840)&gt;0,E840&lt;N(V840))),1,0))</f>
        <v>0</v>
      </c>
      <c r="Z840" s="96">
        <f>IF(AND(Q840=1,T840=1,X840=1,J840="Sim",OR(L840&lt;&gt;"",M840&lt;&gt;"")),1,0)</f>
        <v>0</v>
      </c>
      <c r="AA840" s="96">
        <f>IF(Q840=0,0,IF(AND(OR(r_ini="",AND(ISNUMBER(E840),E840&gt;=r_ini)),OR(r_fim="",AND(ISNUMBER(E840),E840&lt;=r_fim)),OR(r_un="",r_un="(Todas)",IF(N(U840)&gt;0,INDEX('MTRs'!$G$6:$G$505,U840),"")=r_un),OR(r_de="",r_de="(Todos)",D840=r_de)),1,0))</f>
        <v>0</v>
      </c>
      <c r="AB840" s="96" t="str">
        <f>IF(AA840=1,COUNTIF($AA$6:AA840,1),"")</f>
        <v/>
      </c>
    </row>
    <row r="841">
      <c r="A841" s="89" t="inlineStr">
        <is>
          <t>REC-000836</t>
        </is>
      </c>
      <c r="B841" s="94" t="str">
        <f>IF(T841=1,INDEX('ITENS_MTR'!$S$6:$S$1005,S841)&amp;"","")</f>
        <v/>
      </c>
      <c r="C841" s="91" t="n"/>
      <c r="D841" s="94" t="str">
        <f>IF(N(U841)&gt;0,INDEX('MTRs'!$I$6:$I$505,U841)&amp;"","")</f>
        <v/>
      </c>
      <c r="E841" s="92" t="n"/>
      <c r="F841" s="98" t="n"/>
      <c r="G841" s="91" t="n"/>
      <c r="H841" s="93" t="str">
        <f>IF(Q841=0,"",IF(NOT(ISNUMBER(F841)),"",IF(ISNUMBER(W841),F841*W841,"UNIDADE A CONFERIR")))</f>
        <v/>
      </c>
      <c r="I841" s="91" t="n"/>
      <c r="J841" s="91" t="n"/>
      <c r="K841" s="92" t="n"/>
      <c r="L841" s="91" t="n"/>
      <c r="M841" s="91" t="n"/>
      <c r="N841" s="91" t="n"/>
      <c r="O841" s="91" t="n"/>
      <c r="P841" s="94" t="str">
        <f>IF(Q841=0,"",IF(C841="","Item de resíduo não informado",IF(T841=0,"Item inexistente (referência inválida)",IF(NOT(ISNUMBER(F841)),"Quantidade não informada",IF(F841&lt;=0,"Quantidade não positiva",IF(G841="","Unidade não informada",IF(NOT(ISNUMBER(H841)),"Unidade a conferir",IF(NOT(ISNUMBER(E841)),"Data de recebimento não informada",IF(AND(ISNUMBER(V841),N(V841)&gt;0,E841&lt;N(V841)),"Data anterior à emissão do MTR",IF(AND(J841="Sim",L841="",M841=""),"Conferido sem evidência identificada",IF(J841&lt;&gt;"Sim","Aguardando conferência",IF(INDEX('ITENS_MTR'!$AM$6:$AM$1005,S841)=1,"Conferido (ver diferença no item)","Conferido"))))))))))))</f>
        <v/>
      </c>
      <c r="Q841" s="96">
        <f>IF(COUNTA(C841,E841:G841,I841:O841)&gt;0,1,0)</f>
        <v>0</v>
      </c>
      <c r="R841" s="96" t="str">
        <f>IF(C841="","",TRIM(LEFT(C841,FIND(" |",C841&amp;" |")-1)))</f>
        <v/>
      </c>
      <c r="S841" s="96" t="str">
        <f>IF(R841="","",IFERROR(MATCH(R841,'ITENS_MTR'!$A$6:$A$1005,0),""))</f>
        <v/>
      </c>
      <c r="T841" s="96">
        <f>IF(S841="",0,IF(INDEX('ITENS_MTR'!$R$6:$R$1005,S841)=1,1,0))</f>
        <v>0</v>
      </c>
      <c r="U841" s="96" t="str">
        <f>IF(T841=1,INDEX('ITENS_MTR'!$T$6:$T$1005,S841),"")</f>
        <v/>
      </c>
      <c r="V841" s="97" t="str">
        <f>IF(N(U841)&gt;0,INDEX('MTRs'!$E$6:$E$505,U841),"")</f>
        <v/>
      </c>
      <c r="W841" s="96" t="str">
        <f>IF(G841="","",IFERROR(IF(ISNUMBER(INDEX(cfg_fac,MATCH(G841,cfg_units,0))),IF(INDEX(cfg_fac,MATCH(G841,cfg_units,0))&gt;0,INDEX(cfg_fac,MATCH(G841,cfg_units,0)),""),""),""))</f>
        <v/>
      </c>
      <c r="X841" s="96">
        <f>IF(AND(ISNUMBER(F841),ISNUMBER(H841)),IF(H841&gt;0,1,0),0)</f>
        <v>0</v>
      </c>
      <c r="Y841" s="96">
        <f>IF(Q841=0,0,IF(OR(T841=0,X841=0,NOT(ISNUMBER(E841)),AND(J841="Sim",L841="",M841=""),AND(ISNUMBER(E841),ISNUMBER(V841),N(V841)&gt;0,E841&lt;N(V841))),1,0))</f>
        <v>0</v>
      </c>
      <c r="Z841" s="96">
        <f>IF(AND(Q841=1,T841=1,X841=1,J841="Sim",OR(L841&lt;&gt;"",M841&lt;&gt;"")),1,0)</f>
        <v>0</v>
      </c>
      <c r="AA841" s="96">
        <f>IF(Q841=0,0,IF(AND(OR(r_ini="",AND(ISNUMBER(E841),E841&gt;=r_ini)),OR(r_fim="",AND(ISNUMBER(E841),E841&lt;=r_fim)),OR(r_un="",r_un="(Todas)",IF(N(U841)&gt;0,INDEX('MTRs'!$G$6:$G$505,U841),"")=r_un),OR(r_de="",r_de="(Todos)",D841=r_de)),1,0))</f>
        <v>0</v>
      </c>
      <c r="AB841" s="96" t="str">
        <f>IF(AA841=1,COUNTIF($AA$6:AA841,1),"")</f>
        <v/>
      </c>
    </row>
    <row r="842">
      <c r="A842" s="89" t="inlineStr">
        <is>
          <t>REC-000837</t>
        </is>
      </c>
      <c r="B842" s="94" t="str">
        <f>IF(T842=1,INDEX('ITENS_MTR'!$S$6:$S$1005,S842)&amp;"","")</f>
        <v/>
      </c>
      <c r="C842" s="91" t="n"/>
      <c r="D842" s="94" t="str">
        <f>IF(N(U842)&gt;0,INDEX('MTRs'!$I$6:$I$505,U842)&amp;"","")</f>
        <v/>
      </c>
      <c r="E842" s="92" t="n"/>
      <c r="F842" s="98" t="n"/>
      <c r="G842" s="91" t="n"/>
      <c r="H842" s="93" t="str">
        <f>IF(Q842=0,"",IF(NOT(ISNUMBER(F842)),"",IF(ISNUMBER(W842),F842*W842,"UNIDADE A CONFERIR")))</f>
        <v/>
      </c>
      <c r="I842" s="91" t="n"/>
      <c r="J842" s="91" t="n"/>
      <c r="K842" s="92" t="n"/>
      <c r="L842" s="91" t="n"/>
      <c r="M842" s="91" t="n"/>
      <c r="N842" s="91" t="n"/>
      <c r="O842" s="91" t="n"/>
      <c r="P842" s="94" t="str">
        <f>IF(Q842=0,"",IF(C842="","Item de resíduo não informado",IF(T842=0,"Item inexistente (referência inválida)",IF(NOT(ISNUMBER(F842)),"Quantidade não informada",IF(F842&lt;=0,"Quantidade não positiva",IF(G842="","Unidade não informada",IF(NOT(ISNUMBER(H842)),"Unidade a conferir",IF(NOT(ISNUMBER(E842)),"Data de recebimento não informada",IF(AND(ISNUMBER(V842),N(V842)&gt;0,E842&lt;N(V842)),"Data anterior à emissão do MTR",IF(AND(J842="Sim",L842="",M842=""),"Conferido sem evidência identificada",IF(J842&lt;&gt;"Sim","Aguardando conferência",IF(INDEX('ITENS_MTR'!$AM$6:$AM$1005,S842)=1,"Conferido (ver diferença no item)","Conferido"))))))))))))</f>
        <v/>
      </c>
      <c r="Q842" s="96">
        <f>IF(COUNTA(C842,E842:G842,I842:O842)&gt;0,1,0)</f>
        <v>0</v>
      </c>
      <c r="R842" s="96" t="str">
        <f>IF(C842="","",TRIM(LEFT(C842,FIND(" |",C842&amp;" |")-1)))</f>
        <v/>
      </c>
      <c r="S842" s="96" t="str">
        <f>IF(R842="","",IFERROR(MATCH(R842,'ITENS_MTR'!$A$6:$A$1005,0),""))</f>
        <v/>
      </c>
      <c r="T842" s="96">
        <f>IF(S842="",0,IF(INDEX('ITENS_MTR'!$R$6:$R$1005,S842)=1,1,0))</f>
        <v>0</v>
      </c>
      <c r="U842" s="96" t="str">
        <f>IF(T842=1,INDEX('ITENS_MTR'!$T$6:$T$1005,S842),"")</f>
        <v/>
      </c>
      <c r="V842" s="97" t="str">
        <f>IF(N(U842)&gt;0,INDEX('MTRs'!$E$6:$E$505,U842),"")</f>
        <v/>
      </c>
      <c r="W842" s="96" t="str">
        <f>IF(G842="","",IFERROR(IF(ISNUMBER(INDEX(cfg_fac,MATCH(G842,cfg_units,0))),IF(INDEX(cfg_fac,MATCH(G842,cfg_units,0))&gt;0,INDEX(cfg_fac,MATCH(G842,cfg_units,0)),""),""),""))</f>
        <v/>
      </c>
      <c r="X842" s="96">
        <f>IF(AND(ISNUMBER(F842),ISNUMBER(H842)),IF(H842&gt;0,1,0),0)</f>
        <v>0</v>
      </c>
      <c r="Y842" s="96">
        <f>IF(Q842=0,0,IF(OR(T842=0,X842=0,NOT(ISNUMBER(E842)),AND(J842="Sim",L842="",M842=""),AND(ISNUMBER(E842),ISNUMBER(V842),N(V842)&gt;0,E842&lt;N(V842))),1,0))</f>
        <v>0</v>
      </c>
      <c r="Z842" s="96">
        <f>IF(AND(Q842=1,T842=1,X842=1,J842="Sim",OR(L842&lt;&gt;"",M842&lt;&gt;"")),1,0)</f>
        <v>0</v>
      </c>
      <c r="AA842" s="96">
        <f>IF(Q842=0,0,IF(AND(OR(r_ini="",AND(ISNUMBER(E842),E842&gt;=r_ini)),OR(r_fim="",AND(ISNUMBER(E842),E842&lt;=r_fim)),OR(r_un="",r_un="(Todas)",IF(N(U842)&gt;0,INDEX('MTRs'!$G$6:$G$505,U842),"")=r_un),OR(r_de="",r_de="(Todos)",D842=r_de)),1,0))</f>
        <v>0</v>
      </c>
      <c r="AB842" s="96" t="str">
        <f>IF(AA842=1,COUNTIF($AA$6:AA842,1),"")</f>
        <v/>
      </c>
    </row>
    <row r="843">
      <c r="A843" s="89" t="inlineStr">
        <is>
          <t>REC-000838</t>
        </is>
      </c>
      <c r="B843" s="94" t="str">
        <f>IF(T843=1,INDEX('ITENS_MTR'!$S$6:$S$1005,S843)&amp;"","")</f>
        <v/>
      </c>
      <c r="C843" s="91" t="n"/>
      <c r="D843" s="94" t="str">
        <f>IF(N(U843)&gt;0,INDEX('MTRs'!$I$6:$I$505,U843)&amp;"","")</f>
        <v/>
      </c>
      <c r="E843" s="92" t="n"/>
      <c r="F843" s="98" t="n"/>
      <c r="G843" s="91" t="n"/>
      <c r="H843" s="93" t="str">
        <f>IF(Q843=0,"",IF(NOT(ISNUMBER(F843)),"",IF(ISNUMBER(W843),F843*W843,"UNIDADE A CONFERIR")))</f>
        <v/>
      </c>
      <c r="I843" s="91" t="n"/>
      <c r="J843" s="91" t="n"/>
      <c r="K843" s="92" t="n"/>
      <c r="L843" s="91" t="n"/>
      <c r="M843" s="91" t="n"/>
      <c r="N843" s="91" t="n"/>
      <c r="O843" s="91" t="n"/>
      <c r="P843" s="94" t="str">
        <f>IF(Q843=0,"",IF(C843="","Item de resíduo não informado",IF(T843=0,"Item inexistente (referência inválida)",IF(NOT(ISNUMBER(F843)),"Quantidade não informada",IF(F843&lt;=0,"Quantidade não positiva",IF(G843="","Unidade não informada",IF(NOT(ISNUMBER(H843)),"Unidade a conferir",IF(NOT(ISNUMBER(E843)),"Data de recebimento não informada",IF(AND(ISNUMBER(V843),N(V843)&gt;0,E843&lt;N(V843)),"Data anterior à emissão do MTR",IF(AND(J843="Sim",L843="",M843=""),"Conferido sem evidência identificada",IF(J843&lt;&gt;"Sim","Aguardando conferência",IF(INDEX('ITENS_MTR'!$AM$6:$AM$1005,S843)=1,"Conferido (ver diferença no item)","Conferido"))))))))))))</f>
        <v/>
      </c>
      <c r="Q843" s="96">
        <f>IF(COUNTA(C843,E843:G843,I843:O843)&gt;0,1,0)</f>
        <v>0</v>
      </c>
      <c r="R843" s="96" t="str">
        <f>IF(C843="","",TRIM(LEFT(C843,FIND(" |",C843&amp;" |")-1)))</f>
        <v/>
      </c>
      <c r="S843" s="96" t="str">
        <f>IF(R843="","",IFERROR(MATCH(R843,'ITENS_MTR'!$A$6:$A$1005,0),""))</f>
        <v/>
      </c>
      <c r="T843" s="96">
        <f>IF(S843="",0,IF(INDEX('ITENS_MTR'!$R$6:$R$1005,S843)=1,1,0))</f>
        <v>0</v>
      </c>
      <c r="U843" s="96" t="str">
        <f>IF(T843=1,INDEX('ITENS_MTR'!$T$6:$T$1005,S843),"")</f>
        <v/>
      </c>
      <c r="V843" s="97" t="str">
        <f>IF(N(U843)&gt;0,INDEX('MTRs'!$E$6:$E$505,U843),"")</f>
        <v/>
      </c>
      <c r="W843" s="96" t="str">
        <f>IF(G843="","",IFERROR(IF(ISNUMBER(INDEX(cfg_fac,MATCH(G843,cfg_units,0))),IF(INDEX(cfg_fac,MATCH(G843,cfg_units,0))&gt;0,INDEX(cfg_fac,MATCH(G843,cfg_units,0)),""),""),""))</f>
        <v/>
      </c>
      <c r="X843" s="96">
        <f>IF(AND(ISNUMBER(F843),ISNUMBER(H843)),IF(H843&gt;0,1,0),0)</f>
        <v>0</v>
      </c>
      <c r="Y843" s="96">
        <f>IF(Q843=0,0,IF(OR(T843=0,X843=0,NOT(ISNUMBER(E843)),AND(J843="Sim",L843="",M843=""),AND(ISNUMBER(E843),ISNUMBER(V843),N(V843)&gt;0,E843&lt;N(V843))),1,0))</f>
        <v>0</v>
      </c>
      <c r="Z843" s="96">
        <f>IF(AND(Q843=1,T843=1,X843=1,J843="Sim",OR(L843&lt;&gt;"",M843&lt;&gt;"")),1,0)</f>
        <v>0</v>
      </c>
      <c r="AA843" s="96">
        <f>IF(Q843=0,0,IF(AND(OR(r_ini="",AND(ISNUMBER(E843),E843&gt;=r_ini)),OR(r_fim="",AND(ISNUMBER(E843),E843&lt;=r_fim)),OR(r_un="",r_un="(Todas)",IF(N(U843)&gt;0,INDEX('MTRs'!$G$6:$G$505,U843),"")=r_un),OR(r_de="",r_de="(Todos)",D843=r_de)),1,0))</f>
        <v>0</v>
      </c>
      <c r="AB843" s="96" t="str">
        <f>IF(AA843=1,COUNTIF($AA$6:AA843,1),"")</f>
        <v/>
      </c>
    </row>
    <row r="844">
      <c r="A844" s="89" t="inlineStr">
        <is>
          <t>REC-000839</t>
        </is>
      </c>
      <c r="B844" s="94" t="str">
        <f>IF(T844=1,INDEX('ITENS_MTR'!$S$6:$S$1005,S844)&amp;"","")</f>
        <v/>
      </c>
      <c r="C844" s="91" t="n"/>
      <c r="D844" s="94" t="str">
        <f>IF(N(U844)&gt;0,INDEX('MTRs'!$I$6:$I$505,U844)&amp;"","")</f>
        <v/>
      </c>
      <c r="E844" s="92" t="n"/>
      <c r="F844" s="98" t="n"/>
      <c r="G844" s="91" t="n"/>
      <c r="H844" s="93" t="str">
        <f>IF(Q844=0,"",IF(NOT(ISNUMBER(F844)),"",IF(ISNUMBER(W844),F844*W844,"UNIDADE A CONFERIR")))</f>
        <v/>
      </c>
      <c r="I844" s="91" t="n"/>
      <c r="J844" s="91" t="n"/>
      <c r="K844" s="92" t="n"/>
      <c r="L844" s="91" t="n"/>
      <c r="M844" s="91" t="n"/>
      <c r="N844" s="91" t="n"/>
      <c r="O844" s="91" t="n"/>
      <c r="P844" s="94" t="str">
        <f>IF(Q844=0,"",IF(C844="","Item de resíduo não informado",IF(T844=0,"Item inexistente (referência inválida)",IF(NOT(ISNUMBER(F844)),"Quantidade não informada",IF(F844&lt;=0,"Quantidade não positiva",IF(G844="","Unidade não informada",IF(NOT(ISNUMBER(H844)),"Unidade a conferir",IF(NOT(ISNUMBER(E844)),"Data de recebimento não informada",IF(AND(ISNUMBER(V844),N(V844)&gt;0,E844&lt;N(V844)),"Data anterior à emissão do MTR",IF(AND(J844="Sim",L844="",M844=""),"Conferido sem evidência identificada",IF(J844&lt;&gt;"Sim","Aguardando conferência",IF(INDEX('ITENS_MTR'!$AM$6:$AM$1005,S844)=1,"Conferido (ver diferença no item)","Conferido"))))))))))))</f>
        <v/>
      </c>
      <c r="Q844" s="96">
        <f>IF(COUNTA(C844,E844:G844,I844:O844)&gt;0,1,0)</f>
        <v>0</v>
      </c>
      <c r="R844" s="96" t="str">
        <f>IF(C844="","",TRIM(LEFT(C844,FIND(" |",C844&amp;" |")-1)))</f>
        <v/>
      </c>
      <c r="S844" s="96" t="str">
        <f>IF(R844="","",IFERROR(MATCH(R844,'ITENS_MTR'!$A$6:$A$1005,0),""))</f>
        <v/>
      </c>
      <c r="T844" s="96">
        <f>IF(S844="",0,IF(INDEX('ITENS_MTR'!$R$6:$R$1005,S844)=1,1,0))</f>
        <v>0</v>
      </c>
      <c r="U844" s="96" t="str">
        <f>IF(T844=1,INDEX('ITENS_MTR'!$T$6:$T$1005,S844),"")</f>
        <v/>
      </c>
      <c r="V844" s="97" t="str">
        <f>IF(N(U844)&gt;0,INDEX('MTRs'!$E$6:$E$505,U844),"")</f>
        <v/>
      </c>
      <c r="W844" s="96" t="str">
        <f>IF(G844="","",IFERROR(IF(ISNUMBER(INDEX(cfg_fac,MATCH(G844,cfg_units,0))),IF(INDEX(cfg_fac,MATCH(G844,cfg_units,0))&gt;0,INDEX(cfg_fac,MATCH(G844,cfg_units,0)),""),""),""))</f>
        <v/>
      </c>
      <c r="X844" s="96">
        <f>IF(AND(ISNUMBER(F844),ISNUMBER(H844)),IF(H844&gt;0,1,0),0)</f>
        <v>0</v>
      </c>
      <c r="Y844" s="96">
        <f>IF(Q844=0,0,IF(OR(T844=0,X844=0,NOT(ISNUMBER(E844)),AND(J844="Sim",L844="",M844=""),AND(ISNUMBER(E844),ISNUMBER(V844),N(V844)&gt;0,E844&lt;N(V844))),1,0))</f>
        <v>0</v>
      </c>
      <c r="Z844" s="96">
        <f>IF(AND(Q844=1,T844=1,X844=1,J844="Sim",OR(L844&lt;&gt;"",M844&lt;&gt;"")),1,0)</f>
        <v>0</v>
      </c>
      <c r="AA844" s="96">
        <f>IF(Q844=0,0,IF(AND(OR(r_ini="",AND(ISNUMBER(E844),E844&gt;=r_ini)),OR(r_fim="",AND(ISNUMBER(E844),E844&lt;=r_fim)),OR(r_un="",r_un="(Todas)",IF(N(U844)&gt;0,INDEX('MTRs'!$G$6:$G$505,U844),"")=r_un),OR(r_de="",r_de="(Todos)",D844=r_de)),1,0))</f>
        <v>0</v>
      </c>
      <c r="AB844" s="96" t="str">
        <f>IF(AA844=1,COUNTIF($AA$6:AA844,1),"")</f>
        <v/>
      </c>
    </row>
    <row r="845">
      <c r="A845" s="89" t="inlineStr">
        <is>
          <t>REC-000840</t>
        </is>
      </c>
      <c r="B845" s="94" t="str">
        <f>IF(T845=1,INDEX('ITENS_MTR'!$S$6:$S$1005,S845)&amp;"","")</f>
        <v/>
      </c>
      <c r="C845" s="91" t="n"/>
      <c r="D845" s="94" t="str">
        <f>IF(N(U845)&gt;0,INDEX('MTRs'!$I$6:$I$505,U845)&amp;"","")</f>
        <v/>
      </c>
      <c r="E845" s="92" t="n"/>
      <c r="F845" s="98" t="n"/>
      <c r="G845" s="91" t="n"/>
      <c r="H845" s="93" t="str">
        <f>IF(Q845=0,"",IF(NOT(ISNUMBER(F845)),"",IF(ISNUMBER(W845),F845*W845,"UNIDADE A CONFERIR")))</f>
        <v/>
      </c>
      <c r="I845" s="91" t="n"/>
      <c r="J845" s="91" t="n"/>
      <c r="K845" s="92" t="n"/>
      <c r="L845" s="91" t="n"/>
      <c r="M845" s="91" t="n"/>
      <c r="N845" s="91" t="n"/>
      <c r="O845" s="91" t="n"/>
      <c r="P845" s="94" t="str">
        <f>IF(Q845=0,"",IF(C845="","Item de resíduo não informado",IF(T845=0,"Item inexistente (referência inválida)",IF(NOT(ISNUMBER(F845)),"Quantidade não informada",IF(F845&lt;=0,"Quantidade não positiva",IF(G845="","Unidade não informada",IF(NOT(ISNUMBER(H845)),"Unidade a conferir",IF(NOT(ISNUMBER(E845)),"Data de recebimento não informada",IF(AND(ISNUMBER(V845),N(V845)&gt;0,E845&lt;N(V845)),"Data anterior à emissão do MTR",IF(AND(J845="Sim",L845="",M845=""),"Conferido sem evidência identificada",IF(J845&lt;&gt;"Sim","Aguardando conferência",IF(INDEX('ITENS_MTR'!$AM$6:$AM$1005,S845)=1,"Conferido (ver diferença no item)","Conferido"))))))))))))</f>
        <v/>
      </c>
      <c r="Q845" s="96">
        <f>IF(COUNTA(C845,E845:G845,I845:O845)&gt;0,1,0)</f>
        <v>0</v>
      </c>
      <c r="R845" s="96" t="str">
        <f>IF(C845="","",TRIM(LEFT(C845,FIND(" |",C845&amp;" |")-1)))</f>
        <v/>
      </c>
      <c r="S845" s="96" t="str">
        <f>IF(R845="","",IFERROR(MATCH(R845,'ITENS_MTR'!$A$6:$A$1005,0),""))</f>
        <v/>
      </c>
      <c r="T845" s="96">
        <f>IF(S845="",0,IF(INDEX('ITENS_MTR'!$R$6:$R$1005,S845)=1,1,0))</f>
        <v>0</v>
      </c>
      <c r="U845" s="96" t="str">
        <f>IF(T845=1,INDEX('ITENS_MTR'!$T$6:$T$1005,S845),"")</f>
        <v/>
      </c>
      <c r="V845" s="97" t="str">
        <f>IF(N(U845)&gt;0,INDEX('MTRs'!$E$6:$E$505,U845),"")</f>
        <v/>
      </c>
      <c r="W845" s="96" t="str">
        <f>IF(G845="","",IFERROR(IF(ISNUMBER(INDEX(cfg_fac,MATCH(G845,cfg_units,0))),IF(INDEX(cfg_fac,MATCH(G845,cfg_units,0))&gt;0,INDEX(cfg_fac,MATCH(G845,cfg_units,0)),""),""),""))</f>
        <v/>
      </c>
      <c r="X845" s="96">
        <f>IF(AND(ISNUMBER(F845),ISNUMBER(H845)),IF(H845&gt;0,1,0),0)</f>
        <v>0</v>
      </c>
      <c r="Y845" s="96">
        <f>IF(Q845=0,0,IF(OR(T845=0,X845=0,NOT(ISNUMBER(E845)),AND(J845="Sim",L845="",M845=""),AND(ISNUMBER(E845),ISNUMBER(V845),N(V845)&gt;0,E845&lt;N(V845))),1,0))</f>
        <v>0</v>
      </c>
      <c r="Z845" s="96">
        <f>IF(AND(Q845=1,T845=1,X845=1,J845="Sim",OR(L845&lt;&gt;"",M845&lt;&gt;"")),1,0)</f>
        <v>0</v>
      </c>
      <c r="AA845" s="96">
        <f>IF(Q845=0,0,IF(AND(OR(r_ini="",AND(ISNUMBER(E845),E845&gt;=r_ini)),OR(r_fim="",AND(ISNUMBER(E845),E845&lt;=r_fim)),OR(r_un="",r_un="(Todas)",IF(N(U845)&gt;0,INDEX('MTRs'!$G$6:$G$505,U845),"")=r_un),OR(r_de="",r_de="(Todos)",D845=r_de)),1,0))</f>
        <v>0</v>
      </c>
      <c r="AB845" s="96" t="str">
        <f>IF(AA845=1,COUNTIF($AA$6:AA845,1),"")</f>
        <v/>
      </c>
    </row>
    <row r="846">
      <c r="A846" s="89" t="inlineStr">
        <is>
          <t>REC-000841</t>
        </is>
      </c>
      <c r="B846" s="94" t="str">
        <f>IF(T846=1,INDEX('ITENS_MTR'!$S$6:$S$1005,S846)&amp;"","")</f>
        <v/>
      </c>
      <c r="C846" s="91" t="n"/>
      <c r="D846" s="94" t="str">
        <f>IF(N(U846)&gt;0,INDEX('MTRs'!$I$6:$I$505,U846)&amp;"","")</f>
        <v/>
      </c>
      <c r="E846" s="92" t="n"/>
      <c r="F846" s="98" t="n"/>
      <c r="G846" s="91" t="n"/>
      <c r="H846" s="93" t="str">
        <f>IF(Q846=0,"",IF(NOT(ISNUMBER(F846)),"",IF(ISNUMBER(W846),F846*W846,"UNIDADE A CONFERIR")))</f>
        <v/>
      </c>
      <c r="I846" s="91" t="n"/>
      <c r="J846" s="91" t="n"/>
      <c r="K846" s="92" t="n"/>
      <c r="L846" s="91" t="n"/>
      <c r="M846" s="91" t="n"/>
      <c r="N846" s="91" t="n"/>
      <c r="O846" s="91" t="n"/>
      <c r="P846" s="94" t="str">
        <f>IF(Q846=0,"",IF(C846="","Item de resíduo não informado",IF(T846=0,"Item inexistente (referência inválida)",IF(NOT(ISNUMBER(F846)),"Quantidade não informada",IF(F846&lt;=0,"Quantidade não positiva",IF(G846="","Unidade não informada",IF(NOT(ISNUMBER(H846)),"Unidade a conferir",IF(NOT(ISNUMBER(E846)),"Data de recebimento não informada",IF(AND(ISNUMBER(V846),N(V846)&gt;0,E846&lt;N(V846)),"Data anterior à emissão do MTR",IF(AND(J846="Sim",L846="",M846=""),"Conferido sem evidência identificada",IF(J846&lt;&gt;"Sim","Aguardando conferência",IF(INDEX('ITENS_MTR'!$AM$6:$AM$1005,S846)=1,"Conferido (ver diferença no item)","Conferido"))))))))))))</f>
        <v/>
      </c>
      <c r="Q846" s="96">
        <f>IF(COUNTA(C846,E846:G846,I846:O846)&gt;0,1,0)</f>
        <v>0</v>
      </c>
      <c r="R846" s="96" t="str">
        <f>IF(C846="","",TRIM(LEFT(C846,FIND(" |",C846&amp;" |")-1)))</f>
        <v/>
      </c>
      <c r="S846" s="96" t="str">
        <f>IF(R846="","",IFERROR(MATCH(R846,'ITENS_MTR'!$A$6:$A$1005,0),""))</f>
        <v/>
      </c>
      <c r="T846" s="96">
        <f>IF(S846="",0,IF(INDEX('ITENS_MTR'!$R$6:$R$1005,S846)=1,1,0))</f>
        <v>0</v>
      </c>
      <c r="U846" s="96" t="str">
        <f>IF(T846=1,INDEX('ITENS_MTR'!$T$6:$T$1005,S846),"")</f>
        <v/>
      </c>
      <c r="V846" s="97" t="str">
        <f>IF(N(U846)&gt;0,INDEX('MTRs'!$E$6:$E$505,U846),"")</f>
        <v/>
      </c>
      <c r="W846" s="96" t="str">
        <f>IF(G846="","",IFERROR(IF(ISNUMBER(INDEX(cfg_fac,MATCH(G846,cfg_units,0))),IF(INDEX(cfg_fac,MATCH(G846,cfg_units,0))&gt;0,INDEX(cfg_fac,MATCH(G846,cfg_units,0)),""),""),""))</f>
        <v/>
      </c>
      <c r="X846" s="96">
        <f>IF(AND(ISNUMBER(F846),ISNUMBER(H846)),IF(H846&gt;0,1,0),0)</f>
        <v>0</v>
      </c>
      <c r="Y846" s="96">
        <f>IF(Q846=0,0,IF(OR(T846=0,X846=0,NOT(ISNUMBER(E846)),AND(J846="Sim",L846="",M846=""),AND(ISNUMBER(E846),ISNUMBER(V846),N(V846)&gt;0,E846&lt;N(V846))),1,0))</f>
        <v>0</v>
      </c>
      <c r="Z846" s="96">
        <f>IF(AND(Q846=1,T846=1,X846=1,J846="Sim",OR(L846&lt;&gt;"",M846&lt;&gt;"")),1,0)</f>
        <v>0</v>
      </c>
      <c r="AA846" s="96">
        <f>IF(Q846=0,0,IF(AND(OR(r_ini="",AND(ISNUMBER(E846),E846&gt;=r_ini)),OR(r_fim="",AND(ISNUMBER(E846),E846&lt;=r_fim)),OR(r_un="",r_un="(Todas)",IF(N(U846)&gt;0,INDEX('MTRs'!$G$6:$G$505,U846),"")=r_un),OR(r_de="",r_de="(Todos)",D846=r_de)),1,0))</f>
        <v>0</v>
      </c>
      <c r="AB846" s="96" t="str">
        <f>IF(AA846=1,COUNTIF($AA$6:AA846,1),"")</f>
        <v/>
      </c>
    </row>
    <row r="847">
      <c r="A847" s="89" t="inlineStr">
        <is>
          <t>REC-000842</t>
        </is>
      </c>
      <c r="B847" s="94" t="str">
        <f>IF(T847=1,INDEX('ITENS_MTR'!$S$6:$S$1005,S847)&amp;"","")</f>
        <v/>
      </c>
      <c r="C847" s="91" t="n"/>
      <c r="D847" s="94" t="str">
        <f>IF(N(U847)&gt;0,INDEX('MTRs'!$I$6:$I$505,U847)&amp;"","")</f>
        <v/>
      </c>
      <c r="E847" s="92" t="n"/>
      <c r="F847" s="98" t="n"/>
      <c r="G847" s="91" t="n"/>
      <c r="H847" s="93" t="str">
        <f>IF(Q847=0,"",IF(NOT(ISNUMBER(F847)),"",IF(ISNUMBER(W847),F847*W847,"UNIDADE A CONFERIR")))</f>
        <v/>
      </c>
      <c r="I847" s="91" t="n"/>
      <c r="J847" s="91" t="n"/>
      <c r="K847" s="92" t="n"/>
      <c r="L847" s="91" t="n"/>
      <c r="M847" s="91" t="n"/>
      <c r="N847" s="91" t="n"/>
      <c r="O847" s="91" t="n"/>
      <c r="P847" s="94" t="str">
        <f>IF(Q847=0,"",IF(C847="","Item de resíduo não informado",IF(T847=0,"Item inexistente (referência inválida)",IF(NOT(ISNUMBER(F847)),"Quantidade não informada",IF(F847&lt;=0,"Quantidade não positiva",IF(G847="","Unidade não informada",IF(NOT(ISNUMBER(H847)),"Unidade a conferir",IF(NOT(ISNUMBER(E847)),"Data de recebimento não informada",IF(AND(ISNUMBER(V847),N(V847)&gt;0,E847&lt;N(V847)),"Data anterior à emissão do MTR",IF(AND(J847="Sim",L847="",M847=""),"Conferido sem evidência identificada",IF(J847&lt;&gt;"Sim","Aguardando conferência",IF(INDEX('ITENS_MTR'!$AM$6:$AM$1005,S847)=1,"Conferido (ver diferença no item)","Conferido"))))))))))))</f>
        <v/>
      </c>
      <c r="Q847" s="96">
        <f>IF(COUNTA(C847,E847:G847,I847:O847)&gt;0,1,0)</f>
        <v>0</v>
      </c>
      <c r="R847" s="96" t="str">
        <f>IF(C847="","",TRIM(LEFT(C847,FIND(" |",C847&amp;" |")-1)))</f>
        <v/>
      </c>
      <c r="S847" s="96" t="str">
        <f>IF(R847="","",IFERROR(MATCH(R847,'ITENS_MTR'!$A$6:$A$1005,0),""))</f>
        <v/>
      </c>
      <c r="T847" s="96">
        <f>IF(S847="",0,IF(INDEX('ITENS_MTR'!$R$6:$R$1005,S847)=1,1,0))</f>
        <v>0</v>
      </c>
      <c r="U847" s="96" t="str">
        <f>IF(T847=1,INDEX('ITENS_MTR'!$T$6:$T$1005,S847),"")</f>
        <v/>
      </c>
      <c r="V847" s="97" t="str">
        <f>IF(N(U847)&gt;0,INDEX('MTRs'!$E$6:$E$505,U847),"")</f>
        <v/>
      </c>
      <c r="W847" s="96" t="str">
        <f>IF(G847="","",IFERROR(IF(ISNUMBER(INDEX(cfg_fac,MATCH(G847,cfg_units,0))),IF(INDEX(cfg_fac,MATCH(G847,cfg_units,0))&gt;0,INDEX(cfg_fac,MATCH(G847,cfg_units,0)),""),""),""))</f>
        <v/>
      </c>
      <c r="X847" s="96">
        <f>IF(AND(ISNUMBER(F847),ISNUMBER(H847)),IF(H847&gt;0,1,0),0)</f>
        <v>0</v>
      </c>
      <c r="Y847" s="96">
        <f>IF(Q847=0,0,IF(OR(T847=0,X847=0,NOT(ISNUMBER(E847)),AND(J847="Sim",L847="",M847=""),AND(ISNUMBER(E847),ISNUMBER(V847),N(V847)&gt;0,E847&lt;N(V847))),1,0))</f>
        <v>0</v>
      </c>
      <c r="Z847" s="96">
        <f>IF(AND(Q847=1,T847=1,X847=1,J847="Sim",OR(L847&lt;&gt;"",M847&lt;&gt;"")),1,0)</f>
        <v>0</v>
      </c>
      <c r="AA847" s="96">
        <f>IF(Q847=0,0,IF(AND(OR(r_ini="",AND(ISNUMBER(E847),E847&gt;=r_ini)),OR(r_fim="",AND(ISNUMBER(E847),E847&lt;=r_fim)),OR(r_un="",r_un="(Todas)",IF(N(U847)&gt;0,INDEX('MTRs'!$G$6:$G$505,U847),"")=r_un),OR(r_de="",r_de="(Todos)",D847=r_de)),1,0))</f>
        <v>0</v>
      </c>
      <c r="AB847" s="96" t="str">
        <f>IF(AA847=1,COUNTIF($AA$6:AA847,1),"")</f>
        <v/>
      </c>
    </row>
    <row r="848">
      <c r="A848" s="89" t="inlineStr">
        <is>
          <t>REC-000843</t>
        </is>
      </c>
      <c r="B848" s="94" t="str">
        <f>IF(T848=1,INDEX('ITENS_MTR'!$S$6:$S$1005,S848)&amp;"","")</f>
        <v/>
      </c>
      <c r="C848" s="91" t="n"/>
      <c r="D848" s="94" t="str">
        <f>IF(N(U848)&gt;0,INDEX('MTRs'!$I$6:$I$505,U848)&amp;"","")</f>
        <v/>
      </c>
      <c r="E848" s="92" t="n"/>
      <c r="F848" s="98" t="n"/>
      <c r="G848" s="91" t="n"/>
      <c r="H848" s="93" t="str">
        <f>IF(Q848=0,"",IF(NOT(ISNUMBER(F848)),"",IF(ISNUMBER(W848),F848*W848,"UNIDADE A CONFERIR")))</f>
        <v/>
      </c>
      <c r="I848" s="91" t="n"/>
      <c r="J848" s="91" t="n"/>
      <c r="K848" s="92" t="n"/>
      <c r="L848" s="91" t="n"/>
      <c r="M848" s="91" t="n"/>
      <c r="N848" s="91" t="n"/>
      <c r="O848" s="91" t="n"/>
      <c r="P848" s="94" t="str">
        <f>IF(Q848=0,"",IF(C848="","Item de resíduo não informado",IF(T848=0,"Item inexistente (referência inválida)",IF(NOT(ISNUMBER(F848)),"Quantidade não informada",IF(F848&lt;=0,"Quantidade não positiva",IF(G848="","Unidade não informada",IF(NOT(ISNUMBER(H848)),"Unidade a conferir",IF(NOT(ISNUMBER(E848)),"Data de recebimento não informada",IF(AND(ISNUMBER(V848),N(V848)&gt;0,E848&lt;N(V848)),"Data anterior à emissão do MTR",IF(AND(J848="Sim",L848="",M848=""),"Conferido sem evidência identificada",IF(J848&lt;&gt;"Sim","Aguardando conferência",IF(INDEX('ITENS_MTR'!$AM$6:$AM$1005,S848)=1,"Conferido (ver diferença no item)","Conferido"))))))))))))</f>
        <v/>
      </c>
      <c r="Q848" s="96">
        <f>IF(COUNTA(C848,E848:G848,I848:O848)&gt;0,1,0)</f>
        <v>0</v>
      </c>
      <c r="R848" s="96" t="str">
        <f>IF(C848="","",TRIM(LEFT(C848,FIND(" |",C848&amp;" |")-1)))</f>
        <v/>
      </c>
      <c r="S848" s="96" t="str">
        <f>IF(R848="","",IFERROR(MATCH(R848,'ITENS_MTR'!$A$6:$A$1005,0),""))</f>
        <v/>
      </c>
      <c r="T848" s="96">
        <f>IF(S848="",0,IF(INDEX('ITENS_MTR'!$R$6:$R$1005,S848)=1,1,0))</f>
        <v>0</v>
      </c>
      <c r="U848" s="96" t="str">
        <f>IF(T848=1,INDEX('ITENS_MTR'!$T$6:$T$1005,S848),"")</f>
        <v/>
      </c>
      <c r="V848" s="97" t="str">
        <f>IF(N(U848)&gt;0,INDEX('MTRs'!$E$6:$E$505,U848),"")</f>
        <v/>
      </c>
      <c r="W848" s="96" t="str">
        <f>IF(G848="","",IFERROR(IF(ISNUMBER(INDEX(cfg_fac,MATCH(G848,cfg_units,0))),IF(INDEX(cfg_fac,MATCH(G848,cfg_units,0))&gt;0,INDEX(cfg_fac,MATCH(G848,cfg_units,0)),""),""),""))</f>
        <v/>
      </c>
      <c r="X848" s="96">
        <f>IF(AND(ISNUMBER(F848),ISNUMBER(H848)),IF(H848&gt;0,1,0),0)</f>
        <v>0</v>
      </c>
      <c r="Y848" s="96">
        <f>IF(Q848=0,0,IF(OR(T848=0,X848=0,NOT(ISNUMBER(E848)),AND(J848="Sim",L848="",M848=""),AND(ISNUMBER(E848),ISNUMBER(V848),N(V848)&gt;0,E848&lt;N(V848))),1,0))</f>
        <v>0</v>
      </c>
      <c r="Z848" s="96">
        <f>IF(AND(Q848=1,T848=1,X848=1,J848="Sim",OR(L848&lt;&gt;"",M848&lt;&gt;"")),1,0)</f>
        <v>0</v>
      </c>
      <c r="AA848" s="96">
        <f>IF(Q848=0,0,IF(AND(OR(r_ini="",AND(ISNUMBER(E848),E848&gt;=r_ini)),OR(r_fim="",AND(ISNUMBER(E848),E848&lt;=r_fim)),OR(r_un="",r_un="(Todas)",IF(N(U848)&gt;0,INDEX('MTRs'!$G$6:$G$505,U848),"")=r_un),OR(r_de="",r_de="(Todos)",D848=r_de)),1,0))</f>
        <v>0</v>
      </c>
      <c r="AB848" s="96" t="str">
        <f>IF(AA848=1,COUNTIF($AA$6:AA848,1),"")</f>
        <v/>
      </c>
    </row>
    <row r="849">
      <c r="A849" s="89" t="inlineStr">
        <is>
          <t>REC-000844</t>
        </is>
      </c>
      <c r="B849" s="94" t="str">
        <f>IF(T849=1,INDEX('ITENS_MTR'!$S$6:$S$1005,S849)&amp;"","")</f>
        <v/>
      </c>
      <c r="C849" s="91" t="n"/>
      <c r="D849" s="94" t="str">
        <f>IF(N(U849)&gt;0,INDEX('MTRs'!$I$6:$I$505,U849)&amp;"","")</f>
        <v/>
      </c>
      <c r="E849" s="92" t="n"/>
      <c r="F849" s="98" t="n"/>
      <c r="G849" s="91" t="n"/>
      <c r="H849" s="93" t="str">
        <f>IF(Q849=0,"",IF(NOT(ISNUMBER(F849)),"",IF(ISNUMBER(W849),F849*W849,"UNIDADE A CONFERIR")))</f>
        <v/>
      </c>
      <c r="I849" s="91" t="n"/>
      <c r="J849" s="91" t="n"/>
      <c r="K849" s="92" t="n"/>
      <c r="L849" s="91" t="n"/>
      <c r="M849" s="91" t="n"/>
      <c r="N849" s="91" t="n"/>
      <c r="O849" s="91" t="n"/>
      <c r="P849" s="94" t="str">
        <f>IF(Q849=0,"",IF(C849="","Item de resíduo não informado",IF(T849=0,"Item inexistente (referência inválida)",IF(NOT(ISNUMBER(F849)),"Quantidade não informada",IF(F849&lt;=0,"Quantidade não positiva",IF(G849="","Unidade não informada",IF(NOT(ISNUMBER(H849)),"Unidade a conferir",IF(NOT(ISNUMBER(E849)),"Data de recebimento não informada",IF(AND(ISNUMBER(V849),N(V849)&gt;0,E849&lt;N(V849)),"Data anterior à emissão do MTR",IF(AND(J849="Sim",L849="",M849=""),"Conferido sem evidência identificada",IF(J849&lt;&gt;"Sim","Aguardando conferência",IF(INDEX('ITENS_MTR'!$AM$6:$AM$1005,S849)=1,"Conferido (ver diferença no item)","Conferido"))))))))))))</f>
        <v/>
      </c>
      <c r="Q849" s="96">
        <f>IF(COUNTA(C849,E849:G849,I849:O849)&gt;0,1,0)</f>
        <v>0</v>
      </c>
      <c r="R849" s="96" t="str">
        <f>IF(C849="","",TRIM(LEFT(C849,FIND(" |",C849&amp;" |")-1)))</f>
        <v/>
      </c>
      <c r="S849" s="96" t="str">
        <f>IF(R849="","",IFERROR(MATCH(R849,'ITENS_MTR'!$A$6:$A$1005,0),""))</f>
        <v/>
      </c>
      <c r="T849" s="96">
        <f>IF(S849="",0,IF(INDEX('ITENS_MTR'!$R$6:$R$1005,S849)=1,1,0))</f>
        <v>0</v>
      </c>
      <c r="U849" s="96" t="str">
        <f>IF(T849=1,INDEX('ITENS_MTR'!$T$6:$T$1005,S849),"")</f>
        <v/>
      </c>
      <c r="V849" s="97" t="str">
        <f>IF(N(U849)&gt;0,INDEX('MTRs'!$E$6:$E$505,U849),"")</f>
        <v/>
      </c>
      <c r="W849" s="96" t="str">
        <f>IF(G849="","",IFERROR(IF(ISNUMBER(INDEX(cfg_fac,MATCH(G849,cfg_units,0))),IF(INDEX(cfg_fac,MATCH(G849,cfg_units,0))&gt;0,INDEX(cfg_fac,MATCH(G849,cfg_units,0)),""),""),""))</f>
        <v/>
      </c>
      <c r="X849" s="96">
        <f>IF(AND(ISNUMBER(F849),ISNUMBER(H849)),IF(H849&gt;0,1,0),0)</f>
        <v>0</v>
      </c>
      <c r="Y849" s="96">
        <f>IF(Q849=0,0,IF(OR(T849=0,X849=0,NOT(ISNUMBER(E849)),AND(J849="Sim",L849="",M849=""),AND(ISNUMBER(E849),ISNUMBER(V849),N(V849)&gt;0,E849&lt;N(V849))),1,0))</f>
        <v>0</v>
      </c>
      <c r="Z849" s="96">
        <f>IF(AND(Q849=1,T849=1,X849=1,J849="Sim",OR(L849&lt;&gt;"",M849&lt;&gt;"")),1,0)</f>
        <v>0</v>
      </c>
      <c r="AA849" s="96">
        <f>IF(Q849=0,0,IF(AND(OR(r_ini="",AND(ISNUMBER(E849),E849&gt;=r_ini)),OR(r_fim="",AND(ISNUMBER(E849),E849&lt;=r_fim)),OR(r_un="",r_un="(Todas)",IF(N(U849)&gt;0,INDEX('MTRs'!$G$6:$G$505,U849),"")=r_un),OR(r_de="",r_de="(Todos)",D849=r_de)),1,0))</f>
        <v>0</v>
      </c>
      <c r="AB849" s="96" t="str">
        <f>IF(AA849=1,COUNTIF($AA$6:AA849,1),"")</f>
        <v/>
      </c>
    </row>
    <row r="850">
      <c r="A850" s="89" t="inlineStr">
        <is>
          <t>REC-000845</t>
        </is>
      </c>
      <c r="B850" s="94" t="str">
        <f>IF(T850=1,INDEX('ITENS_MTR'!$S$6:$S$1005,S850)&amp;"","")</f>
        <v/>
      </c>
      <c r="C850" s="91" t="n"/>
      <c r="D850" s="94" t="str">
        <f>IF(N(U850)&gt;0,INDEX('MTRs'!$I$6:$I$505,U850)&amp;"","")</f>
        <v/>
      </c>
      <c r="E850" s="92" t="n"/>
      <c r="F850" s="98" t="n"/>
      <c r="G850" s="91" t="n"/>
      <c r="H850" s="93" t="str">
        <f>IF(Q850=0,"",IF(NOT(ISNUMBER(F850)),"",IF(ISNUMBER(W850),F850*W850,"UNIDADE A CONFERIR")))</f>
        <v/>
      </c>
      <c r="I850" s="91" t="n"/>
      <c r="J850" s="91" t="n"/>
      <c r="K850" s="92" t="n"/>
      <c r="L850" s="91" t="n"/>
      <c r="M850" s="91" t="n"/>
      <c r="N850" s="91" t="n"/>
      <c r="O850" s="91" t="n"/>
      <c r="P850" s="94" t="str">
        <f>IF(Q850=0,"",IF(C850="","Item de resíduo não informado",IF(T850=0,"Item inexistente (referência inválida)",IF(NOT(ISNUMBER(F850)),"Quantidade não informada",IF(F850&lt;=0,"Quantidade não positiva",IF(G850="","Unidade não informada",IF(NOT(ISNUMBER(H850)),"Unidade a conferir",IF(NOT(ISNUMBER(E850)),"Data de recebimento não informada",IF(AND(ISNUMBER(V850),N(V850)&gt;0,E850&lt;N(V850)),"Data anterior à emissão do MTR",IF(AND(J850="Sim",L850="",M850=""),"Conferido sem evidência identificada",IF(J850&lt;&gt;"Sim","Aguardando conferência",IF(INDEX('ITENS_MTR'!$AM$6:$AM$1005,S850)=1,"Conferido (ver diferença no item)","Conferido"))))))))))))</f>
        <v/>
      </c>
      <c r="Q850" s="96">
        <f>IF(COUNTA(C850,E850:G850,I850:O850)&gt;0,1,0)</f>
        <v>0</v>
      </c>
      <c r="R850" s="96" t="str">
        <f>IF(C850="","",TRIM(LEFT(C850,FIND(" |",C850&amp;" |")-1)))</f>
        <v/>
      </c>
      <c r="S850" s="96" t="str">
        <f>IF(R850="","",IFERROR(MATCH(R850,'ITENS_MTR'!$A$6:$A$1005,0),""))</f>
        <v/>
      </c>
      <c r="T850" s="96">
        <f>IF(S850="",0,IF(INDEX('ITENS_MTR'!$R$6:$R$1005,S850)=1,1,0))</f>
        <v>0</v>
      </c>
      <c r="U850" s="96" t="str">
        <f>IF(T850=1,INDEX('ITENS_MTR'!$T$6:$T$1005,S850),"")</f>
        <v/>
      </c>
      <c r="V850" s="97" t="str">
        <f>IF(N(U850)&gt;0,INDEX('MTRs'!$E$6:$E$505,U850),"")</f>
        <v/>
      </c>
      <c r="W850" s="96" t="str">
        <f>IF(G850="","",IFERROR(IF(ISNUMBER(INDEX(cfg_fac,MATCH(G850,cfg_units,0))),IF(INDEX(cfg_fac,MATCH(G850,cfg_units,0))&gt;0,INDEX(cfg_fac,MATCH(G850,cfg_units,0)),""),""),""))</f>
        <v/>
      </c>
      <c r="X850" s="96">
        <f>IF(AND(ISNUMBER(F850),ISNUMBER(H850)),IF(H850&gt;0,1,0),0)</f>
        <v>0</v>
      </c>
      <c r="Y850" s="96">
        <f>IF(Q850=0,0,IF(OR(T850=0,X850=0,NOT(ISNUMBER(E850)),AND(J850="Sim",L850="",M850=""),AND(ISNUMBER(E850),ISNUMBER(V850),N(V850)&gt;0,E850&lt;N(V850))),1,0))</f>
        <v>0</v>
      </c>
      <c r="Z850" s="96">
        <f>IF(AND(Q850=1,T850=1,X850=1,J850="Sim",OR(L850&lt;&gt;"",M850&lt;&gt;"")),1,0)</f>
        <v>0</v>
      </c>
      <c r="AA850" s="96">
        <f>IF(Q850=0,0,IF(AND(OR(r_ini="",AND(ISNUMBER(E850),E850&gt;=r_ini)),OR(r_fim="",AND(ISNUMBER(E850),E850&lt;=r_fim)),OR(r_un="",r_un="(Todas)",IF(N(U850)&gt;0,INDEX('MTRs'!$G$6:$G$505,U850),"")=r_un),OR(r_de="",r_de="(Todos)",D850=r_de)),1,0))</f>
        <v>0</v>
      </c>
      <c r="AB850" s="96" t="str">
        <f>IF(AA850=1,COUNTIF($AA$6:AA850,1),"")</f>
        <v/>
      </c>
    </row>
    <row r="851">
      <c r="A851" s="89" t="inlineStr">
        <is>
          <t>REC-000846</t>
        </is>
      </c>
      <c r="B851" s="94" t="str">
        <f>IF(T851=1,INDEX('ITENS_MTR'!$S$6:$S$1005,S851)&amp;"","")</f>
        <v/>
      </c>
      <c r="C851" s="91" t="n"/>
      <c r="D851" s="94" t="str">
        <f>IF(N(U851)&gt;0,INDEX('MTRs'!$I$6:$I$505,U851)&amp;"","")</f>
        <v/>
      </c>
      <c r="E851" s="92" t="n"/>
      <c r="F851" s="98" t="n"/>
      <c r="G851" s="91" t="n"/>
      <c r="H851" s="93" t="str">
        <f>IF(Q851=0,"",IF(NOT(ISNUMBER(F851)),"",IF(ISNUMBER(W851),F851*W851,"UNIDADE A CONFERIR")))</f>
        <v/>
      </c>
      <c r="I851" s="91" t="n"/>
      <c r="J851" s="91" t="n"/>
      <c r="K851" s="92" t="n"/>
      <c r="L851" s="91" t="n"/>
      <c r="M851" s="91" t="n"/>
      <c r="N851" s="91" t="n"/>
      <c r="O851" s="91" t="n"/>
      <c r="P851" s="94" t="str">
        <f>IF(Q851=0,"",IF(C851="","Item de resíduo não informado",IF(T851=0,"Item inexistente (referência inválida)",IF(NOT(ISNUMBER(F851)),"Quantidade não informada",IF(F851&lt;=0,"Quantidade não positiva",IF(G851="","Unidade não informada",IF(NOT(ISNUMBER(H851)),"Unidade a conferir",IF(NOT(ISNUMBER(E851)),"Data de recebimento não informada",IF(AND(ISNUMBER(V851),N(V851)&gt;0,E851&lt;N(V851)),"Data anterior à emissão do MTR",IF(AND(J851="Sim",L851="",M851=""),"Conferido sem evidência identificada",IF(J851&lt;&gt;"Sim","Aguardando conferência",IF(INDEX('ITENS_MTR'!$AM$6:$AM$1005,S851)=1,"Conferido (ver diferença no item)","Conferido"))))))))))))</f>
        <v/>
      </c>
      <c r="Q851" s="96">
        <f>IF(COUNTA(C851,E851:G851,I851:O851)&gt;0,1,0)</f>
        <v>0</v>
      </c>
      <c r="R851" s="96" t="str">
        <f>IF(C851="","",TRIM(LEFT(C851,FIND(" |",C851&amp;" |")-1)))</f>
        <v/>
      </c>
      <c r="S851" s="96" t="str">
        <f>IF(R851="","",IFERROR(MATCH(R851,'ITENS_MTR'!$A$6:$A$1005,0),""))</f>
        <v/>
      </c>
      <c r="T851" s="96">
        <f>IF(S851="",0,IF(INDEX('ITENS_MTR'!$R$6:$R$1005,S851)=1,1,0))</f>
        <v>0</v>
      </c>
      <c r="U851" s="96" t="str">
        <f>IF(T851=1,INDEX('ITENS_MTR'!$T$6:$T$1005,S851),"")</f>
        <v/>
      </c>
      <c r="V851" s="97" t="str">
        <f>IF(N(U851)&gt;0,INDEX('MTRs'!$E$6:$E$505,U851),"")</f>
        <v/>
      </c>
      <c r="W851" s="96" t="str">
        <f>IF(G851="","",IFERROR(IF(ISNUMBER(INDEX(cfg_fac,MATCH(G851,cfg_units,0))),IF(INDEX(cfg_fac,MATCH(G851,cfg_units,0))&gt;0,INDEX(cfg_fac,MATCH(G851,cfg_units,0)),""),""),""))</f>
        <v/>
      </c>
      <c r="X851" s="96">
        <f>IF(AND(ISNUMBER(F851),ISNUMBER(H851)),IF(H851&gt;0,1,0),0)</f>
        <v>0</v>
      </c>
      <c r="Y851" s="96">
        <f>IF(Q851=0,0,IF(OR(T851=0,X851=0,NOT(ISNUMBER(E851)),AND(J851="Sim",L851="",M851=""),AND(ISNUMBER(E851),ISNUMBER(V851),N(V851)&gt;0,E851&lt;N(V851))),1,0))</f>
        <v>0</v>
      </c>
      <c r="Z851" s="96">
        <f>IF(AND(Q851=1,T851=1,X851=1,J851="Sim",OR(L851&lt;&gt;"",M851&lt;&gt;"")),1,0)</f>
        <v>0</v>
      </c>
      <c r="AA851" s="96">
        <f>IF(Q851=0,0,IF(AND(OR(r_ini="",AND(ISNUMBER(E851),E851&gt;=r_ini)),OR(r_fim="",AND(ISNUMBER(E851),E851&lt;=r_fim)),OR(r_un="",r_un="(Todas)",IF(N(U851)&gt;0,INDEX('MTRs'!$G$6:$G$505,U851),"")=r_un),OR(r_de="",r_de="(Todos)",D851=r_de)),1,0))</f>
        <v>0</v>
      </c>
      <c r="AB851" s="96" t="str">
        <f>IF(AA851=1,COUNTIF($AA$6:AA851,1),"")</f>
        <v/>
      </c>
    </row>
    <row r="852">
      <c r="A852" s="89" t="inlineStr">
        <is>
          <t>REC-000847</t>
        </is>
      </c>
      <c r="B852" s="94" t="str">
        <f>IF(T852=1,INDEX('ITENS_MTR'!$S$6:$S$1005,S852)&amp;"","")</f>
        <v/>
      </c>
      <c r="C852" s="91" t="n"/>
      <c r="D852" s="94" t="str">
        <f>IF(N(U852)&gt;0,INDEX('MTRs'!$I$6:$I$505,U852)&amp;"","")</f>
        <v/>
      </c>
      <c r="E852" s="92" t="n"/>
      <c r="F852" s="98" t="n"/>
      <c r="G852" s="91" t="n"/>
      <c r="H852" s="93" t="str">
        <f>IF(Q852=0,"",IF(NOT(ISNUMBER(F852)),"",IF(ISNUMBER(W852),F852*W852,"UNIDADE A CONFERIR")))</f>
        <v/>
      </c>
      <c r="I852" s="91" t="n"/>
      <c r="J852" s="91" t="n"/>
      <c r="K852" s="92" t="n"/>
      <c r="L852" s="91" t="n"/>
      <c r="M852" s="91" t="n"/>
      <c r="N852" s="91" t="n"/>
      <c r="O852" s="91" t="n"/>
      <c r="P852" s="94" t="str">
        <f>IF(Q852=0,"",IF(C852="","Item de resíduo não informado",IF(T852=0,"Item inexistente (referência inválida)",IF(NOT(ISNUMBER(F852)),"Quantidade não informada",IF(F852&lt;=0,"Quantidade não positiva",IF(G852="","Unidade não informada",IF(NOT(ISNUMBER(H852)),"Unidade a conferir",IF(NOT(ISNUMBER(E852)),"Data de recebimento não informada",IF(AND(ISNUMBER(V852),N(V852)&gt;0,E852&lt;N(V852)),"Data anterior à emissão do MTR",IF(AND(J852="Sim",L852="",M852=""),"Conferido sem evidência identificada",IF(J852&lt;&gt;"Sim","Aguardando conferência",IF(INDEX('ITENS_MTR'!$AM$6:$AM$1005,S852)=1,"Conferido (ver diferença no item)","Conferido"))))))))))))</f>
        <v/>
      </c>
      <c r="Q852" s="96">
        <f>IF(COUNTA(C852,E852:G852,I852:O852)&gt;0,1,0)</f>
        <v>0</v>
      </c>
      <c r="R852" s="96" t="str">
        <f>IF(C852="","",TRIM(LEFT(C852,FIND(" |",C852&amp;" |")-1)))</f>
        <v/>
      </c>
      <c r="S852" s="96" t="str">
        <f>IF(R852="","",IFERROR(MATCH(R852,'ITENS_MTR'!$A$6:$A$1005,0),""))</f>
        <v/>
      </c>
      <c r="T852" s="96">
        <f>IF(S852="",0,IF(INDEX('ITENS_MTR'!$R$6:$R$1005,S852)=1,1,0))</f>
        <v>0</v>
      </c>
      <c r="U852" s="96" t="str">
        <f>IF(T852=1,INDEX('ITENS_MTR'!$T$6:$T$1005,S852),"")</f>
        <v/>
      </c>
      <c r="V852" s="97" t="str">
        <f>IF(N(U852)&gt;0,INDEX('MTRs'!$E$6:$E$505,U852),"")</f>
        <v/>
      </c>
      <c r="W852" s="96" t="str">
        <f>IF(G852="","",IFERROR(IF(ISNUMBER(INDEX(cfg_fac,MATCH(G852,cfg_units,0))),IF(INDEX(cfg_fac,MATCH(G852,cfg_units,0))&gt;0,INDEX(cfg_fac,MATCH(G852,cfg_units,0)),""),""),""))</f>
        <v/>
      </c>
      <c r="X852" s="96">
        <f>IF(AND(ISNUMBER(F852),ISNUMBER(H852)),IF(H852&gt;0,1,0),0)</f>
        <v>0</v>
      </c>
      <c r="Y852" s="96">
        <f>IF(Q852=0,0,IF(OR(T852=0,X852=0,NOT(ISNUMBER(E852)),AND(J852="Sim",L852="",M852=""),AND(ISNUMBER(E852),ISNUMBER(V852),N(V852)&gt;0,E852&lt;N(V852))),1,0))</f>
        <v>0</v>
      </c>
      <c r="Z852" s="96">
        <f>IF(AND(Q852=1,T852=1,X852=1,J852="Sim",OR(L852&lt;&gt;"",M852&lt;&gt;"")),1,0)</f>
        <v>0</v>
      </c>
      <c r="AA852" s="96">
        <f>IF(Q852=0,0,IF(AND(OR(r_ini="",AND(ISNUMBER(E852),E852&gt;=r_ini)),OR(r_fim="",AND(ISNUMBER(E852),E852&lt;=r_fim)),OR(r_un="",r_un="(Todas)",IF(N(U852)&gt;0,INDEX('MTRs'!$G$6:$G$505,U852),"")=r_un),OR(r_de="",r_de="(Todos)",D852=r_de)),1,0))</f>
        <v>0</v>
      </c>
      <c r="AB852" s="96" t="str">
        <f>IF(AA852=1,COUNTIF($AA$6:AA852,1),"")</f>
        <v/>
      </c>
    </row>
    <row r="853">
      <c r="A853" s="89" t="inlineStr">
        <is>
          <t>REC-000848</t>
        </is>
      </c>
      <c r="B853" s="94" t="str">
        <f>IF(T853=1,INDEX('ITENS_MTR'!$S$6:$S$1005,S853)&amp;"","")</f>
        <v/>
      </c>
      <c r="C853" s="91" t="n"/>
      <c r="D853" s="94" t="str">
        <f>IF(N(U853)&gt;0,INDEX('MTRs'!$I$6:$I$505,U853)&amp;"","")</f>
        <v/>
      </c>
      <c r="E853" s="92" t="n"/>
      <c r="F853" s="98" t="n"/>
      <c r="G853" s="91" t="n"/>
      <c r="H853" s="93" t="str">
        <f>IF(Q853=0,"",IF(NOT(ISNUMBER(F853)),"",IF(ISNUMBER(W853),F853*W853,"UNIDADE A CONFERIR")))</f>
        <v/>
      </c>
      <c r="I853" s="91" t="n"/>
      <c r="J853" s="91" t="n"/>
      <c r="K853" s="92" t="n"/>
      <c r="L853" s="91" t="n"/>
      <c r="M853" s="91" t="n"/>
      <c r="N853" s="91" t="n"/>
      <c r="O853" s="91" t="n"/>
      <c r="P853" s="94" t="str">
        <f>IF(Q853=0,"",IF(C853="","Item de resíduo não informado",IF(T853=0,"Item inexistente (referência inválida)",IF(NOT(ISNUMBER(F853)),"Quantidade não informada",IF(F853&lt;=0,"Quantidade não positiva",IF(G853="","Unidade não informada",IF(NOT(ISNUMBER(H853)),"Unidade a conferir",IF(NOT(ISNUMBER(E853)),"Data de recebimento não informada",IF(AND(ISNUMBER(V853),N(V853)&gt;0,E853&lt;N(V853)),"Data anterior à emissão do MTR",IF(AND(J853="Sim",L853="",M853=""),"Conferido sem evidência identificada",IF(J853&lt;&gt;"Sim","Aguardando conferência",IF(INDEX('ITENS_MTR'!$AM$6:$AM$1005,S853)=1,"Conferido (ver diferença no item)","Conferido"))))))))))))</f>
        <v/>
      </c>
      <c r="Q853" s="96">
        <f>IF(COUNTA(C853,E853:G853,I853:O853)&gt;0,1,0)</f>
        <v>0</v>
      </c>
      <c r="R853" s="96" t="str">
        <f>IF(C853="","",TRIM(LEFT(C853,FIND(" |",C853&amp;" |")-1)))</f>
        <v/>
      </c>
      <c r="S853" s="96" t="str">
        <f>IF(R853="","",IFERROR(MATCH(R853,'ITENS_MTR'!$A$6:$A$1005,0),""))</f>
        <v/>
      </c>
      <c r="T853" s="96">
        <f>IF(S853="",0,IF(INDEX('ITENS_MTR'!$R$6:$R$1005,S853)=1,1,0))</f>
        <v>0</v>
      </c>
      <c r="U853" s="96" t="str">
        <f>IF(T853=1,INDEX('ITENS_MTR'!$T$6:$T$1005,S853),"")</f>
        <v/>
      </c>
      <c r="V853" s="97" t="str">
        <f>IF(N(U853)&gt;0,INDEX('MTRs'!$E$6:$E$505,U853),"")</f>
        <v/>
      </c>
      <c r="W853" s="96" t="str">
        <f>IF(G853="","",IFERROR(IF(ISNUMBER(INDEX(cfg_fac,MATCH(G853,cfg_units,0))),IF(INDEX(cfg_fac,MATCH(G853,cfg_units,0))&gt;0,INDEX(cfg_fac,MATCH(G853,cfg_units,0)),""),""),""))</f>
        <v/>
      </c>
      <c r="X853" s="96">
        <f>IF(AND(ISNUMBER(F853),ISNUMBER(H853)),IF(H853&gt;0,1,0),0)</f>
        <v>0</v>
      </c>
      <c r="Y853" s="96">
        <f>IF(Q853=0,0,IF(OR(T853=0,X853=0,NOT(ISNUMBER(E853)),AND(J853="Sim",L853="",M853=""),AND(ISNUMBER(E853),ISNUMBER(V853),N(V853)&gt;0,E853&lt;N(V853))),1,0))</f>
        <v>0</v>
      </c>
      <c r="Z853" s="96">
        <f>IF(AND(Q853=1,T853=1,X853=1,J853="Sim",OR(L853&lt;&gt;"",M853&lt;&gt;"")),1,0)</f>
        <v>0</v>
      </c>
      <c r="AA853" s="96">
        <f>IF(Q853=0,0,IF(AND(OR(r_ini="",AND(ISNUMBER(E853),E853&gt;=r_ini)),OR(r_fim="",AND(ISNUMBER(E853),E853&lt;=r_fim)),OR(r_un="",r_un="(Todas)",IF(N(U853)&gt;0,INDEX('MTRs'!$G$6:$G$505,U853),"")=r_un),OR(r_de="",r_de="(Todos)",D853=r_de)),1,0))</f>
        <v>0</v>
      </c>
      <c r="AB853" s="96" t="str">
        <f>IF(AA853=1,COUNTIF($AA$6:AA853,1),"")</f>
        <v/>
      </c>
    </row>
    <row r="854">
      <c r="A854" s="89" t="inlineStr">
        <is>
          <t>REC-000849</t>
        </is>
      </c>
      <c r="B854" s="94" t="str">
        <f>IF(T854=1,INDEX('ITENS_MTR'!$S$6:$S$1005,S854)&amp;"","")</f>
        <v/>
      </c>
      <c r="C854" s="91" t="n"/>
      <c r="D854" s="94" t="str">
        <f>IF(N(U854)&gt;0,INDEX('MTRs'!$I$6:$I$505,U854)&amp;"","")</f>
        <v/>
      </c>
      <c r="E854" s="92" t="n"/>
      <c r="F854" s="98" t="n"/>
      <c r="G854" s="91" t="n"/>
      <c r="H854" s="93" t="str">
        <f>IF(Q854=0,"",IF(NOT(ISNUMBER(F854)),"",IF(ISNUMBER(W854),F854*W854,"UNIDADE A CONFERIR")))</f>
        <v/>
      </c>
      <c r="I854" s="91" t="n"/>
      <c r="J854" s="91" t="n"/>
      <c r="K854" s="92" t="n"/>
      <c r="L854" s="91" t="n"/>
      <c r="M854" s="91" t="n"/>
      <c r="N854" s="91" t="n"/>
      <c r="O854" s="91" t="n"/>
      <c r="P854" s="94" t="str">
        <f>IF(Q854=0,"",IF(C854="","Item de resíduo não informado",IF(T854=0,"Item inexistente (referência inválida)",IF(NOT(ISNUMBER(F854)),"Quantidade não informada",IF(F854&lt;=0,"Quantidade não positiva",IF(G854="","Unidade não informada",IF(NOT(ISNUMBER(H854)),"Unidade a conferir",IF(NOT(ISNUMBER(E854)),"Data de recebimento não informada",IF(AND(ISNUMBER(V854),N(V854)&gt;0,E854&lt;N(V854)),"Data anterior à emissão do MTR",IF(AND(J854="Sim",L854="",M854=""),"Conferido sem evidência identificada",IF(J854&lt;&gt;"Sim","Aguardando conferência",IF(INDEX('ITENS_MTR'!$AM$6:$AM$1005,S854)=1,"Conferido (ver diferença no item)","Conferido"))))))))))))</f>
        <v/>
      </c>
      <c r="Q854" s="96">
        <f>IF(COUNTA(C854,E854:G854,I854:O854)&gt;0,1,0)</f>
        <v>0</v>
      </c>
      <c r="R854" s="96" t="str">
        <f>IF(C854="","",TRIM(LEFT(C854,FIND(" |",C854&amp;" |")-1)))</f>
        <v/>
      </c>
      <c r="S854" s="96" t="str">
        <f>IF(R854="","",IFERROR(MATCH(R854,'ITENS_MTR'!$A$6:$A$1005,0),""))</f>
        <v/>
      </c>
      <c r="T854" s="96">
        <f>IF(S854="",0,IF(INDEX('ITENS_MTR'!$R$6:$R$1005,S854)=1,1,0))</f>
        <v>0</v>
      </c>
      <c r="U854" s="96" t="str">
        <f>IF(T854=1,INDEX('ITENS_MTR'!$T$6:$T$1005,S854),"")</f>
        <v/>
      </c>
      <c r="V854" s="97" t="str">
        <f>IF(N(U854)&gt;0,INDEX('MTRs'!$E$6:$E$505,U854),"")</f>
        <v/>
      </c>
      <c r="W854" s="96" t="str">
        <f>IF(G854="","",IFERROR(IF(ISNUMBER(INDEX(cfg_fac,MATCH(G854,cfg_units,0))),IF(INDEX(cfg_fac,MATCH(G854,cfg_units,0))&gt;0,INDEX(cfg_fac,MATCH(G854,cfg_units,0)),""),""),""))</f>
        <v/>
      </c>
      <c r="X854" s="96">
        <f>IF(AND(ISNUMBER(F854),ISNUMBER(H854)),IF(H854&gt;0,1,0),0)</f>
        <v>0</v>
      </c>
      <c r="Y854" s="96">
        <f>IF(Q854=0,0,IF(OR(T854=0,X854=0,NOT(ISNUMBER(E854)),AND(J854="Sim",L854="",M854=""),AND(ISNUMBER(E854),ISNUMBER(V854),N(V854)&gt;0,E854&lt;N(V854))),1,0))</f>
        <v>0</v>
      </c>
      <c r="Z854" s="96">
        <f>IF(AND(Q854=1,T854=1,X854=1,J854="Sim",OR(L854&lt;&gt;"",M854&lt;&gt;"")),1,0)</f>
        <v>0</v>
      </c>
      <c r="AA854" s="96">
        <f>IF(Q854=0,0,IF(AND(OR(r_ini="",AND(ISNUMBER(E854),E854&gt;=r_ini)),OR(r_fim="",AND(ISNUMBER(E854),E854&lt;=r_fim)),OR(r_un="",r_un="(Todas)",IF(N(U854)&gt;0,INDEX('MTRs'!$G$6:$G$505,U854),"")=r_un),OR(r_de="",r_de="(Todos)",D854=r_de)),1,0))</f>
        <v>0</v>
      </c>
      <c r="AB854" s="96" t="str">
        <f>IF(AA854=1,COUNTIF($AA$6:AA854,1),"")</f>
        <v/>
      </c>
    </row>
    <row r="855">
      <c r="A855" s="89" t="inlineStr">
        <is>
          <t>REC-000850</t>
        </is>
      </c>
      <c r="B855" s="94" t="str">
        <f>IF(T855=1,INDEX('ITENS_MTR'!$S$6:$S$1005,S855)&amp;"","")</f>
        <v/>
      </c>
      <c r="C855" s="91" t="n"/>
      <c r="D855" s="94" t="str">
        <f>IF(N(U855)&gt;0,INDEX('MTRs'!$I$6:$I$505,U855)&amp;"","")</f>
        <v/>
      </c>
      <c r="E855" s="92" t="n"/>
      <c r="F855" s="98" t="n"/>
      <c r="G855" s="91" t="n"/>
      <c r="H855" s="93" t="str">
        <f>IF(Q855=0,"",IF(NOT(ISNUMBER(F855)),"",IF(ISNUMBER(W855),F855*W855,"UNIDADE A CONFERIR")))</f>
        <v/>
      </c>
      <c r="I855" s="91" t="n"/>
      <c r="J855" s="91" t="n"/>
      <c r="K855" s="92" t="n"/>
      <c r="L855" s="91" t="n"/>
      <c r="M855" s="91" t="n"/>
      <c r="N855" s="91" t="n"/>
      <c r="O855" s="91" t="n"/>
      <c r="P855" s="94" t="str">
        <f>IF(Q855=0,"",IF(C855="","Item de resíduo não informado",IF(T855=0,"Item inexistente (referência inválida)",IF(NOT(ISNUMBER(F855)),"Quantidade não informada",IF(F855&lt;=0,"Quantidade não positiva",IF(G855="","Unidade não informada",IF(NOT(ISNUMBER(H855)),"Unidade a conferir",IF(NOT(ISNUMBER(E855)),"Data de recebimento não informada",IF(AND(ISNUMBER(V855),N(V855)&gt;0,E855&lt;N(V855)),"Data anterior à emissão do MTR",IF(AND(J855="Sim",L855="",M855=""),"Conferido sem evidência identificada",IF(J855&lt;&gt;"Sim","Aguardando conferência",IF(INDEX('ITENS_MTR'!$AM$6:$AM$1005,S855)=1,"Conferido (ver diferença no item)","Conferido"))))))))))))</f>
        <v/>
      </c>
      <c r="Q855" s="96">
        <f>IF(COUNTA(C855,E855:G855,I855:O855)&gt;0,1,0)</f>
        <v>0</v>
      </c>
      <c r="R855" s="96" t="str">
        <f>IF(C855="","",TRIM(LEFT(C855,FIND(" |",C855&amp;" |")-1)))</f>
        <v/>
      </c>
      <c r="S855" s="96" t="str">
        <f>IF(R855="","",IFERROR(MATCH(R855,'ITENS_MTR'!$A$6:$A$1005,0),""))</f>
        <v/>
      </c>
      <c r="T855" s="96">
        <f>IF(S855="",0,IF(INDEX('ITENS_MTR'!$R$6:$R$1005,S855)=1,1,0))</f>
        <v>0</v>
      </c>
      <c r="U855" s="96" t="str">
        <f>IF(T855=1,INDEX('ITENS_MTR'!$T$6:$T$1005,S855),"")</f>
        <v/>
      </c>
      <c r="V855" s="97" t="str">
        <f>IF(N(U855)&gt;0,INDEX('MTRs'!$E$6:$E$505,U855),"")</f>
        <v/>
      </c>
      <c r="W855" s="96" t="str">
        <f>IF(G855="","",IFERROR(IF(ISNUMBER(INDEX(cfg_fac,MATCH(G855,cfg_units,0))),IF(INDEX(cfg_fac,MATCH(G855,cfg_units,0))&gt;0,INDEX(cfg_fac,MATCH(G855,cfg_units,0)),""),""),""))</f>
        <v/>
      </c>
      <c r="X855" s="96">
        <f>IF(AND(ISNUMBER(F855),ISNUMBER(H855)),IF(H855&gt;0,1,0),0)</f>
        <v>0</v>
      </c>
      <c r="Y855" s="96">
        <f>IF(Q855=0,0,IF(OR(T855=0,X855=0,NOT(ISNUMBER(E855)),AND(J855="Sim",L855="",M855=""),AND(ISNUMBER(E855),ISNUMBER(V855),N(V855)&gt;0,E855&lt;N(V855))),1,0))</f>
        <v>0</v>
      </c>
      <c r="Z855" s="96">
        <f>IF(AND(Q855=1,T855=1,X855=1,J855="Sim",OR(L855&lt;&gt;"",M855&lt;&gt;"")),1,0)</f>
        <v>0</v>
      </c>
      <c r="AA855" s="96">
        <f>IF(Q855=0,0,IF(AND(OR(r_ini="",AND(ISNUMBER(E855),E855&gt;=r_ini)),OR(r_fim="",AND(ISNUMBER(E855),E855&lt;=r_fim)),OR(r_un="",r_un="(Todas)",IF(N(U855)&gt;0,INDEX('MTRs'!$G$6:$G$505,U855),"")=r_un),OR(r_de="",r_de="(Todos)",D855=r_de)),1,0))</f>
        <v>0</v>
      </c>
      <c r="AB855" s="96" t="str">
        <f>IF(AA855=1,COUNTIF($AA$6:AA855,1),"")</f>
        <v/>
      </c>
    </row>
    <row r="856">
      <c r="A856" s="89" t="inlineStr">
        <is>
          <t>REC-000851</t>
        </is>
      </c>
      <c r="B856" s="94" t="str">
        <f>IF(T856=1,INDEX('ITENS_MTR'!$S$6:$S$1005,S856)&amp;"","")</f>
        <v/>
      </c>
      <c r="C856" s="91" t="n"/>
      <c r="D856" s="94" t="str">
        <f>IF(N(U856)&gt;0,INDEX('MTRs'!$I$6:$I$505,U856)&amp;"","")</f>
        <v/>
      </c>
      <c r="E856" s="92" t="n"/>
      <c r="F856" s="98" t="n"/>
      <c r="G856" s="91" t="n"/>
      <c r="H856" s="93" t="str">
        <f>IF(Q856=0,"",IF(NOT(ISNUMBER(F856)),"",IF(ISNUMBER(W856),F856*W856,"UNIDADE A CONFERIR")))</f>
        <v/>
      </c>
      <c r="I856" s="91" t="n"/>
      <c r="J856" s="91" t="n"/>
      <c r="K856" s="92" t="n"/>
      <c r="L856" s="91" t="n"/>
      <c r="M856" s="91" t="n"/>
      <c r="N856" s="91" t="n"/>
      <c r="O856" s="91" t="n"/>
      <c r="P856" s="94" t="str">
        <f>IF(Q856=0,"",IF(C856="","Item de resíduo não informado",IF(T856=0,"Item inexistente (referência inválida)",IF(NOT(ISNUMBER(F856)),"Quantidade não informada",IF(F856&lt;=0,"Quantidade não positiva",IF(G856="","Unidade não informada",IF(NOT(ISNUMBER(H856)),"Unidade a conferir",IF(NOT(ISNUMBER(E856)),"Data de recebimento não informada",IF(AND(ISNUMBER(V856),N(V856)&gt;0,E856&lt;N(V856)),"Data anterior à emissão do MTR",IF(AND(J856="Sim",L856="",M856=""),"Conferido sem evidência identificada",IF(J856&lt;&gt;"Sim","Aguardando conferência",IF(INDEX('ITENS_MTR'!$AM$6:$AM$1005,S856)=1,"Conferido (ver diferença no item)","Conferido"))))))))))))</f>
        <v/>
      </c>
      <c r="Q856" s="96">
        <f>IF(COUNTA(C856,E856:G856,I856:O856)&gt;0,1,0)</f>
        <v>0</v>
      </c>
      <c r="R856" s="96" t="str">
        <f>IF(C856="","",TRIM(LEFT(C856,FIND(" |",C856&amp;" |")-1)))</f>
        <v/>
      </c>
      <c r="S856" s="96" t="str">
        <f>IF(R856="","",IFERROR(MATCH(R856,'ITENS_MTR'!$A$6:$A$1005,0),""))</f>
        <v/>
      </c>
      <c r="T856" s="96">
        <f>IF(S856="",0,IF(INDEX('ITENS_MTR'!$R$6:$R$1005,S856)=1,1,0))</f>
        <v>0</v>
      </c>
      <c r="U856" s="96" t="str">
        <f>IF(T856=1,INDEX('ITENS_MTR'!$T$6:$T$1005,S856),"")</f>
        <v/>
      </c>
      <c r="V856" s="97" t="str">
        <f>IF(N(U856)&gt;0,INDEX('MTRs'!$E$6:$E$505,U856),"")</f>
        <v/>
      </c>
      <c r="W856" s="96" t="str">
        <f>IF(G856="","",IFERROR(IF(ISNUMBER(INDEX(cfg_fac,MATCH(G856,cfg_units,0))),IF(INDEX(cfg_fac,MATCH(G856,cfg_units,0))&gt;0,INDEX(cfg_fac,MATCH(G856,cfg_units,0)),""),""),""))</f>
        <v/>
      </c>
      <c r="X856" s="96">
        <f>IF(AND(ISNUMBER(F856),ISNUMBER(H856)),IF(H856&gt;0,1,0),0)</f>
        <v>0</v>
      </c>
      <c r="Y856" s="96">
        <f>IF(Q856=0,0,IF(OR(T856=0,X856=0,NOT(ISNUMBER(E856)),AND(J856="Sim",L856="",M856=""),AND(ISNUMBER(E856),ISNUMBER(V856),N(V856)&gt;0,E856&lt;N(V856))),1,0))</f>
        <v>0</v>
      </c>
      <c r="Z856" s="96">
        <f>IF(AND(Q856=1,T856=1,X856=1,J856="Sim",OR(L856&lt;&gt;"",M856&lt;&gt;"")),1,0)</f>
        <v>0</v>
      </c>
      <c r="AA856" s="96">
        <f>IF(Q856=0,0,IF(AND(OR(r_ini="",AND(ISNUMBER(E856),E856&gt;=r_ini)),OR(r_fim="",AND(ISNUMBER(E856),E856&lt;=r_fim)),OR(r_un="",r_un="(Todas)",IF(N(U856)&gt;0,INDEX('MTRs'!$G$6:$G$505,U856),"")=r_un),OR(r_de="",r_de="(Todos)",D856=r_de)),1,0))</f>
        <v>0</v>
      </c>
      <c r="AB856" s="96" t="str">
        <f>IF(AA856=1,COUNTIF($AA$6:AA856,1),"")</f>
        <v/>
      </c>
    </row>
    <row r="857">
      <c r="A857" s="89" t="inlineStr">
        <is>
          <t>REC-000852</t>
        </is>
      </c>
      <c r="B857" s="94" t="str">
        <f>IF(T857=1,INDEX('ITENS_MTR'!$S$6:$S$1005,S857)&amp;"","")</f>
        <v/>
      </c>
      <c r="C857" s="91" t="n"/>
      <c r="D857" s="94" t="str">
        <f>IF(N(U857)&gt;0,INDEX('MTRs'!$I$6:$I$505,U857)&amp;"","")</f>
        <v/>
      </c>
      <c r="E857" s="92" t="n"/>
      <c r="F857" s="98" t="n"/>
      <c r="G857" s="91" t="n"/>
      <c r="H857" s="93" t="str">
        <f>IF(Q857=0,"",IF(NOT(ISNUMBER(F857)),"",IF(ISNUMBER(W857),F857*W857,"UNIDADE A CONFERIR")))</f>
        <v/>
      </c>
      <c r="I857" s="91" t="n"/>
      <c r="J857" s="91" t="n"/>
      <c r="K857" s="92" t="n"/>
      <c r="L857" s="91" t="n"/>
      <c r="M857" s="91" t="n"/>
      <c r="N857" s="91" t="n"/>
      <c r="O857" s="91" t="n"/>
      <c r="P857" s="94" t="str">
        <f>IF(Q857=0,"",IF(C857="","Item de resíduo não informado",IF(T857=0,"Item inexistente (referência inválida)",IF(NOT(ISNUMBER(F857)),"Quantidade não informada",IF(F857&lt;=0,"Quantidade não positiva",IF(G857="","Unidade não informada",IF(NOT(ISNUMBER(H857)),"Unidade a conferir",IF(NOT(ISNUMBER(E857)),"Data de recebimento não informada",IF(AND(ISNUMBER(V857),N(V857)&gt;0,E857&lt;N(V857)),"Data anterior à emissão do MTR",IF(AND(J857="Sim",L857="",M857=""),"Conferido sem evidência identificada",IF(J857&lt;&gt;"Sim","Aguardando conferência",IF(INDEX('ITENS_MTR'!$AM$6:$AM$1005,S857)=1,"Conferido (ver diferença no item)","Conferido"))))))))))))</f>
        <v/>
      </c>
      <c r="Q857" s="96">
        <f>IF(COUNTA(C857,E857:G857,I857:O857)&gt;0,1,0)</f>
        <v>0</v>
      </c>
      <c r="R857" s="96" t="str">
        <f>IF(C857="","",TRIM(LEFT(C857,FIND(" |",C857&amp;" |")-1)))</f>
        <v/>
      </c>
      <c r="S857" s="96" t="str">
        <f>IF(R857="","",IFERROR(MATCH(R857,'ITENS_MTR'!$A$6:$A$1005,0),""))</f>
        <v/>
      </c>
      <c r="T857" s="96">
        <f>IF(S857="",0,IF(INDEX('ITENS_MTR'!$R$6:$R$1005,S857)=1,1,0))</f>
        <v>0</v>
      </c>
      <c r="U857" s="96" t="str">
        <f>IF(T857=1,INDEX('ITENS_MTR'!$T$6:$T$1005,S857),"")</f>
        <v/>
      </c>
      <c r="V857" s="97" t="str">
        <f>IF(N(U857)&gt;0,INDEX('MTRs'!$E$6:$E$505,U857),"")</f>
        <v/>
      </c>
      <c r="W857" s="96" t="str">
        <f>IF(G857="","",IFERROR(IF(ISNUMBER(INDEX(cfg_fac,MATCH(G857,cfg_units,0))),IF(INDEX(cfg_fac,MATCH(G857,cfg_units,0))&gt;0,INDEX(cfg_fac,MATCH(G857,cfg_units,0)),""),""),""))</f>
        <v/>
      </c>
      <c r="X857" s="96">
        <f>IF(AND(ISNUMBER(F857),ISNUMBER(H857)),IF(H857&gt;0,1,0),0)</f>
        <v>0</v>
      </c>
      <c r="Y857" s="96">
        <f>IF(Q857=0,0,IF(OR(T857=0,X857=0,NOT(ISNUMBER(E857)),AND(J857="Sim",L857="",M857=""),AND(ISNUMBER(E857),ISNUMBER(V857),N(V857)&gt;0,E857&lt;N(V857))),1,0))</f>
        <v>0</v>
      </c>
      <c r="Z857" s="96">
        <f>IF(AND(Q857=1,T857=1,X857=1,J857="Sim",OR(L857&lt;&gt;"",M857&lt;&gt;"")),1,0)</f>
        <v>0</v>
      </c>
      <c r="AA857" s="96">
        <f>IF(Q857=0,0,IF(AND(OR(r_ini="",AND(ISNUMBER(E857),E857&gt;=r_ini)),OR(r_fim="",AND(ISNUMBER(E857),E857&lt;=r_fim)),OR(r_un="",r_un="(Todas)",IF(N(U857)&gt;0,INDEX('MTRs'!$G$6:$G$505,U857),"")=r_un),OR(r_de="",r_de="(Todos)",D857=r_de)),1,0))</f>
        <v>0</v>
      </c>
      <c r="AB857" s="96" t="str">
        <f>IF(AA857=1,COUNTIF($AA$6:AA857,1),"")</f>
        <v/>
      </c>
    </row>
    <row r="858">
      <c r="A858" s="89" t="inlineStr">
        <is>
          <t>REC-000853</t>
        </is>
      </c>
      <c r="B858" s="94" t="str">
        <f>IF(T858=1,INDEX('ITENS_MTR'!$S$6:$S$1005,S858)&amp;"","")</f>
        <v/>
      </c>
      <c r="C858" s="91" t="n"/>
      <c r="D858" s="94" t="str">
        <f>IF(N(U858)&gt;0,INDEX('MTRs'!$I$6:$I$505,U858)&amp;"","")</f>
        <v/>
      </c>
      <c r="E858" s="92" t="n"/>
      <c r="F858" s="98" t="n"/>
      <c r="G858" s="91" t="n"/>
      <c r="H858" s="93" t="str">
        <f>IF(Q858=0,"",IF(NOT(ISNUMBER(F858)),"",IF(ISNUMBER(W858),F858*W858,"UNIDADE A CONFERIR")))</f>
        <v/>
      </c>
      <c r="I858" s="91" t="n"/>
      <c r="J858" s="91" t="n"/>
      <c r="K858" s="92" t="n"/>
      <c r="L858" s="91" t="n"/>
      <c r="M858" s="91" t="n"/>
      <c r="N858" s="91" t="n"/>
      <c r="O858" s="91" t="n"/>
      <c r="P858" s="94" t="str">
        <f>IF(Q858=0,"",IF(C858="","Item de resíduo não informado",IF(T858=0,"Item inexistente (referência inválida)",IF(NOT(ISNUMBER(F858)),"Quantidade não informada",IF(F858&lt;=0,"Quantidade não positiva",IF(G858="","Unidade não informada",IF(NOT(ISNUMBER(H858)),"Unidade a conferir",IF(NOT(ISNUMBER(E858)),"Data de recebimento não informada",IF(AND(ISNUMBER(V858),N(V858)&gt;0,E858&lt;N(V858)),"Data anterior à emissão do MTR",IF(AND(J858="Sim",L858="",M858=""),"Conferido sem evidência identificada",IF(J858&lt;&gt;"Sim","Aguardando conferência",IF(INDEX('ITENS_MTR'!$AM$6:$AM$1005,S858)=1,"Conferido (ver diferença no item)","Conferido"))))))))))))</f>
        <v/>
      </c>
      <c r="Q858" s="96">
        <f>IF(COUNTA(C858,E858:G858,I858:O858)&gt;0,1,0)</f>
        <v>0</v>
      </c>
      <c r="R858" s="96" t="str">
        <f>IF(C858="","",TRIM(LEFT(C858,FIND(" |",C858&amp;" |")-1)))</f>
        <v/>
      </c>
      <c r="S858" s="96" t="str">
        <f>IF(R858="","",IFERROR(MATCH(R858,'ITENS_MTR'!$A$6:$A$1005,0),""))</f>
        <v/>
      </c>
      <c r="T858" s="96">
        <f>IF(S858="",0,IF(INDEX('ITENS_MTR'!$R$6:$R$1005,S858)=1,1,0))</f>
        <v>0</v>
      </c>
      <c r="U858" s="96" t="str">
        <f>IF(T858=1,INDEX('ITENS_MTR'!$T$6:$T$1005,S858),"")</f>
        <v/>
      </c>
      <c r="V858" s="97" t="str">
        <f>IF(N(U858)&gt;0,INDEX('MTRs'!$E$6:$E$505,U858),"")</f>
        <v/>
      </c>
      <c r="W858" s="96" t="str">
        <f>IF(G858="","",IFERROR(IF(ISNUMBER(INDEX(cfg_fac,MATCH(G858,cfg_units,0))),IF(INDEX(cfg_fac,MATCH(G858,cfg_units,0))&gt;0,INDEX(cfg_fac,MATCH(G858,cfg_units,0)),""),""),""))</f>
        <v/>
      </c>
      <c r="X858" s="96">
        <f>IF(AND(ISNUMBER(F858),ISNUMBER(H858)),IF(H858&gt;0,1,0),0)</f>
        <v>0</v>
      </c>
      <c r="Y858" s="96">
        <f>IF(Q858=0,0,IF(OR(T858=0,X858=0,NOT(ISNUMBER(E858)),AND(J858="Sim",L858="",M858=""),AND(ISNUMBER(E858),ISNUMBER(V858),N(V858)&gt;0,E858&lt;N(V858))),1,0))</f>
        <v>0</v>
      </c>
      <c r="Z858" s="96">
        <f>IF(AND(Q858=1,T858=1,X858=1,J858="Sim",OR(L858&lt;&gt;"",M858&lt;&gt;"")),1,0)</f>
        <v>0</v>
      </c>
      <c r="AA858" s="96">
        <f>IF(Q858=0,0,IF(AND(OR(r_ini="",AND(ISNUMBER(E858),E858&gt;=r_ini)),OR(r_fim="",AND(ISNUMBER(E858),E858&lt;=r_fim)),OR(r_un="",r_un="(Todas)",IF(N(U858)&gt;0,INDEX('MTRs'!$G$6:$G$505,U858),"")=r_un),OR(r_de="",r_de="(Todos)",D858=r_de)),1,0))</f>
        <v>0</v>
      </c>
      <c r="AB858" s="96" t="str">
        <f>IF(AA858=1,COUNTIF($AA$6:AA858,1),"")</f>
        <v/>
      </c>
    </row>
    <row r="859">
      <c r="A859" s="89" t="inlineStr">
        <is>
          <t>REC-000854</t>
        </is>
      </c>
      <c r="B859" s="94" t="str">
        <f>IF(T859=1,INDEX('ITENS_MTR'!$S$6:$S$1005,S859)&amp;"","")</f>
        <v/>
      </c>
      <c r="C859" s="91" t="n"/>
      <c r="D859" s="94" t="str">
        <f>IF(N(U859)&gt;0,INDEX('MTRs'!$I$6:$I$505,U859)&amp;"","")</f>
        <v/>
      </c>
      <c r="E859" s="92" t="n"/>
      <c r="F859" s="98" t="n"/>
      <c r="G859" s="91" t="n"/>
      <c r="H859" s="93" t="str">
        <f>IF(Q859=0,"",IF(NOT(ISNUMBER(F859)),"",IF(ISNUMBER(W859),F859*W859,"UNIDADE A CONFERIR")))</f>
        <v/>
      </c>
      <c r="I859" s="91" t="n"/>
      <c r="J859" s="91" t="n"/>
      <c r="K859" s="92" t="n"/>
      <c r="L859" s="91" t="n"/>
      <c r="M859" s="91" t="n"/>
      <c r="N859" s="91" t="n"/>
      <c r="O859" s="91" t="n"/>
      <c r="P859" s="94" t="str">
        <f>IF(Q859=0,"",IF(C859="","Item de resíduo não informado",IF(T859=0,"Item inexistente (referência inválida)",IF(NOT(ISNUMBER(F859)),"Quantidade não informada",IF(F859&lt;=0,"Quantidade não positiva",IF(G859="","Unidade não informada",IF(NOT(ISNUMBER(H859)),"Unidade a conferir",IF(NOT(ISNUMBER(E859)),"Data de recebimento não informada",IF(AND(ISNUMBER(V859),N(V859)&gt;0,E859&lt;N(V859)),"Data anterior à emissão do MTR",IF(AND(J859="Sim",L859="",M859=""),"Conferido sem evidência identificada",IF(J859&lt;&gt;"Sim","Aguardando conferência",IF(INDEX('ITENS_MTR'!$AM$6:$AM$1005,S859)=1,"Conferido (ver diferença no item)","Conferido"))))))))))))</f>
        <v/>
      </c>
      <c r="Q859" s="96">
        <f>IF(COUNTA(C859,E859:G859,I859:O859)&gt;0,1,0)</f>
        <v>0</v>
      </c>
      <c r="R859" s="96" t="str">
        <f>IF(C859="","",TRIM(LEFT(C859,FIND(" |",C859&amp;" |")-1)))</f>
        <v/>
      </c>
      <c r="S859" s="96" t="str">
        <f>IF(R859="","",IFERROR(MATCH(R859,'ITENS_MTR'!$A$6:$A$1005,0),""))</f>
        <v/>
      </c>
      <c r="T859" s="96">
        <f>IF(S859="",0,IF(INDEX('ITENS_MTR'!$R$6:$R$1005,S859)=1,1,0))</f>
        <v>0</v>
      </c>
      <c r="U859" s="96" t="str">
        <f>IF(T859=1,INDEX('ITENS_MTR'!$T$6:$T$1005,S859),"")</f>
        <v/>
      </c>
      <c r="V859" s="97" t="str">
        <f>IF(N(U859)&gt;0,INDEX('MTRs'!$E$6:$E$505,U859),"")</f>
        <v/>
      </c>
      <c r="W859" s="96" t="str">
        <f>IF(G859="","",IFERROR(IF(ISNUMBER(INDEX(cfg_fac,MATCH(G859,cfg_units,0))),IF(INDEX(cfg_fac,MATCH(G859,cfg_units,0))&gt;0,INDEX(cfg_fac,MATCH(G859,cfg_units,0)),""),""),""))</f>
        <v/>
      </c>
      <c r="X859" s="96">
        <f>IF(AND(ISNUMBER(F859),ISNUMBER(H859)),IF(H859&gt;0,1,0),0)</f>
        <v>0</v>
      </c>
      <c r="Y859" s="96">
        <f>IF(Q859=0,0,IF(OR(T859=0,X859=0,NOT(ISNUMBER(E859)),AND(J859="Sim",L859="",M859=""),AND(ISNUMBER(E859),ISNUMBER(V859),N(V859)&gt;0,E859&lt;N(V859))),1,0))</f>
        <v>0</v>
      </c>
      <c r="Z859" s="96">
        <f>IF(AND(Q859=1,T859=1,X859=1,J859="Sim",OR(L859&lt;&gt;"",M859&lt;&gt;"")),1,0)</f>
        <v>0</v>
      </c>
      <c r="AA859" s="96">
        <f>IF(Q859=0,0,IF(AND(OR(r_ini="",AND(ISNUMBER(E859),E859&gt;=r_ini)),OR(r_fim="",AND(ISNUMBER(E859),E859&lt;=r_fim)),OR(r_un="",r_un="(Todas)",IF(N(U859)&gt;0,INDEX('MTRs'!$G$6:$G$505,U859),"")=r_un),OR(r_de="",r_de="(Todos)",D859=r_de)),1,0))</f>
        <v>0</v>
      </c>
      <c r="AB859" s="96" t="str">
        <f>IF(AA859=1,COUNTIF($AA$6:AA859,1),"")</f>
        <v/>
      </c>
    </row>
    <row r="860">
      <c r="A860" s="89" t="inlineStr">
        <is>
          <t>REC-000855</t>
        </is>
      </c>
      <c r="B860" s="94" t="str">
        <f>IF(T860=1,INDEX('ITENS_MTR'!$S$6:$S$1005,S860)&amp;"","")</f>
        <v/>
      </c>
      <c r="C860" s="91" t="n"/>
      <c r="D860" s="94" t="str">
        <f>IF(N(U860)&gt;0,INDEX('MTRs'!$I$6:$I$505,U860)&amp;"","")</f>
        <v/>
      </c>
      <c r="E860" s="92" t="n"/>
      <c r="F860" s="98" t="n"/>
      <c r="G860" s="91" t="n"/>
      <c r="H860" s="93" t="str">
        <f>IF(Q860=0,"",IF(NOT(ISNUMBER(F860)),"",IF(ISNUMBER(W860),F860*W860,"UNIDADE A CONFERIR")))</f>
        <v/>
      </c>
      <c r="I860" s="91" t="n"/>
      <c r="J860" s="91" t="n"/>
      <c r="K860" s="92" t="n"/>
      <c r="L860" s="91" t="n"/>
      <c r="M860" s="91" t="n"/>
      <c r="N860" s="91" t="n"/>
      <c r="O860" s="91" t="n"/>
      <c r="P860" s="94" t="str">
        <f>IF(Q860=0,"",IF(C860="","Item de resíduo não informado",IF(T860=0,"Item inexistente (referência inválida)",IF(NOT(ISNUMBER(F860)),"Quantidade não informada",IF(F860&lt;=0,"Quantidade não positiva",IF(G860="","Unidade não informada",IF(NOT(ISNUMBER(H860)),"Unidade a conferir",IF(NOT(ISNUMBER(E860)),"Data de recebimento não informada",IF(AND(ISNUMBER(V860),N(V860)&gt;0,E860&lt;N(V860)),"Data anterior à emissão do MTR",IF(AND(J860="Sim",L860="",M860=""),"Conferido sem evidência identificada",IF(J860&lt;&gt;"Sim","Aguardando conferência",IF(INDEX('ITENS_MTR'!$AM$6:$AM$1005,S860)=1,"Conferido (ver diferença no item)","Conferido"))))))))))))</f>
        <v/>
      </c>
      <c r="Q860" s="96">
        <f>IF(COUNTA(C860,E860:G860,I860:O860)&gt;0,1,0)</f>
        <v>0</v>
      </c>
      <c r="R860" s="96" t="str">
        <f>IF(C860="","",TRIM(LEFT(C860,FIND(" |",C860&amp;" |")-1)))</f>
        <v/>
      </c>
      <c r="S860" s="96" t="str">
        <f>IF(R860="","",IFERROR(MATCH(R860,'ITENS_MTR'!$A$6:$A$1005,0),""))</f>
        <v/>
      </c>
      <c r="T860" s="96">
        <f>IF(S860="",0,IF(INDEX('ITENS_MTR'!$R$6:$R$1005,S860)=1,1,0))</f>
        <v>0</v>
      </c>
      <c r="U860" s="96" t="str">
        <f>IF(T860=1,INDEX('ITENS_MTR'!$T$6:$T$1005,S860),"")</f>
        <v/>
      </c>
      <c r="V860" s="97" t="str">
        <f>IF(N(U860)&gt;0,INDEX('MTRs'!$E$6:$E$505,U860),"")</f>
        <v/>
      </c>
      <c r="W860" s="96" t="str">
        <f>IF(G860="","",IFERROR(IF(ISNUMBER(INDEX(cfg_fac,MATCH(G860,cfg_units,0))),IF(INDEX(cfg_fac,MATCH(G860,cfg_units,0))&gt;0,INDEX(cfg_fac,MATCH(G860,cfg_units,0)),""),""),""))</f>
        <v/>
      </c>
      <c r="X860" s="96">
        <f>IF(AND(ISNUMBER(F860),ISNUMBER(H860)),IF(H860&gt;0,1,0),0)</f>
        <v>0</v>
      </c>
      <c r="Y860" s="96">
        <f>IF(Q860=0,0,IF(OR(T860=0,X860=0,NOT(ISNUMBER(E860)),AND(J860="Sim",L860="",M860=""),AND(ISNUMBER(E860),ISNUMBER(V860),N(V860)&gt;0,E860&lt;N(V860))),1,0))</f>
        <v>0</v>
      </c>
      <c r="Z860" s="96">
        <f>IF(AND(Q860=1,T860=1,X860=1,J860="Sim",OR(L860&lt;&gt;"",M860&lt;&gt;"")),1,0)</f>
        <v>0</v>
      </c>
      <c r="AA860" s="96">
        <f>IF(Q860=0,0,IF(AND(OR(r_ini="",AND(ISNUMBER(E860),E860&gt;=r_ini)),OR(r_fim="",AND(ISNUMBER(E860),E860&lt;=r_fim)),OR(r_un="",r_un="(Todas)",IF(N(U860)&gt;0,INDEX('MTRs'!$G$6:$G$505,U860),"")=r_un),OR(r_de="",r_de="(Todos)",D860=r_de)),1,0))</f>
        <v>0</v>
      </c>
      <c r="AB860" s="96" t="str">
        <f>IF(AA860=1,COUNTIF($AA$6:AA860,1),"")</f>
        <v/>
      </c>
    </row>
    <row r="861">
      <c r="A861" s="89" t="inlineStr">
        <is>
          <t>REC-000856</t>
        </is>
      </c>
      <c r="B861" s="94" t="str">
        <f>IF(T861=1,INDEX('ITENS_MTR'!$S$6:$S$1005,S861)&amp;"","")</f>
        <v/>
      </c>
      <c r="C861" s="91" t="n"/>
      <c r="D861" s="94" t="str">
        <f>IF(N(U861)&gt;0,INDEX('MTRs'!$I$6:$I$505,U861)&amp;"","")</f>
        <v/>
      </c>
      <c r="E861" s="92" t="n"/>
      <c r="F861" s="98" t="n"/>
      <c r="G861" s="91" t="n"/>
      <c r="H861" s="93" t="str">
        <f>IF(Q861=0,"",IF(NOT(ISNUMBER(F861)),"",IF(ISNUMBER(W861),F861*W861,"UNIDADE A CONFERIR")))</f>
        <v/>
      </c>
      <c r="I861" s="91" t="n"/>
      <c r="J861" s="91" t="n"/>
      <c r="K861" s="92" t="n"/>
      <c r="L861" s="91" t="n"/>
      <c r="M861" s="91" t="n"/>
      <c r="N861" s="91" t="n"/>
      <c r="O861" s="91" t="n"/>
      <c r="P861" s="94" t="str">
        <f>IF(Q861=0,"",IF(C861="","Item de resíduo não informado",IF(T861=0,"Item inexistente (referência inválida)",IF(NOT(ISNUMBER(F861)),"Quantidade não informada",IF(F861&lt;=0,"Quantidade não positiva",IF(G861="","Unidade não informada",IF(NOT(ISNUMBER(H861)),"Unidade a conferir",IF(NOT(ISNUMBER(E861)),"Data de recebimento não informada",IF(AND(ISNUMBER(V861),N(V861)&gt;0,E861&lt;N(V861)),"Data anterior à emissão do MTR",IF(AND(J861="Sim",L861="",M861=""),"Conferido sem evidência identificada",IF(J861&lt;&gt;"Sim","Aguardando conferência",IF(INDEX('ITENS_MTR'!$AM$6:$AM$1005,S861)=1,"Conferido (ver diferença no item)","Conferido"))))))))))))</f>
        <v/>
      </c>
      <c r="Q861" s="96">
        <f>IF(COUNTA(C861,E861:G861,I861:O861)&gt;0,1,0)</f>
        <v>0</v>
      </c>
      <c r="R861" s="96" t="str">
        <f>IF(C861="","",TRIM(LEFT(C861,FIND(" |",C861&amp;" |")-1)))</f>
        <v/>
      </c>
      <c r="S861" s="96" t="str">
        <f>IF(R861="","",IFERROR(MATCH(R861,'ITENS_MTR'!$A$6:$A$1005,0),""))</f>
        <v/>
      </c>
      <c r="T861" s="96">
        <f>IF(S861="",0,IF(INDEX('ITENS_MTR'!$R$6:$R$1005,S861)=1,1,0))</f>
        <v>0</v>
      </c>
      <c r="U861" s="96" t="str">
        <f>IF(T861=1,INDEX('ITENS_MTR'!$T$6:$T$1005,S861),"")</f>
        <v/>
      </c>
      <c r="V861" s="97" t="str">
        <f>IF(N(U861)&gt;0,INDEX('MTRs'!$E$6:$E$505,U861),"")</f>
        <v/>
      </c>
      <c r="W861" s="96" t="str">
        <f>IF(G861="","",IFERROR(IF(ISNUMBER(INDEX(cfg_fac,MATCH(G861,cfg_units,0))),IF(INDEX(cfg_fac,MATCH(G861,cfg_units,0))&gt;0,INDEX(cfg_fac,MATCH(G861,cfg_units,0)),""),""),""))</f>
        <v/>
      </c>
      <c r="X861" s="96">
        <f>IF(AND(ISNUMBER(F861),ISNUMBER(H861)),IF(H861&gt;0,1,0),0)</f>
        <v>0</v>
      </c>
      <c r="Y861" s="96">
        <f>IF(Q861=0,0,IF(OR(T861=0,X861=0,NOT(ISNUMBER(E861)),AND(J861="Sim",L861="",M861=""),AND(ISNUMBER(E861),ISNUMBER(V861),N(V861)&gt;0,E861&lt;N(V861))),1,0))</f>
        <v>0</v>
      </c>
      <c r="Z861" s="96">
        <f>IF(AND(Q861=1,T861=1,X861=1,J861="Sim",OR(L861&lt;&gt;"",M861&lt;&gt;"")),1,0)</f>
        <v>0</v>
      </c>
      <c r="AA861" s="96">
        <f>IF(Q861=0,0,IF(AND(OR(r_ini="",AND(ISNUMBER(E861),E861&gt;=r_ini)),OR(r_fim="",AND(ISNUMBER(E861),E861&lt;=r_fim)),OR(r_un="",r_un="(Todas)",IF(N(U861)&gt;0,INDEX('MTRs'!$G$6:$G$505,U861),"")=r_un),OR(r_de="",r_de="(Todos)",D861=r_de)),1,0))</f>
        <v>0</v>
      </c>
      <c r="AB861" s="96" t="str">
        <f>IF(AA861=1,COUNTIF($AA$6:AA861,1),"")</f>
        <v/>
      </c>
    </row>
    <row r="862">
      <c r="A862" s="89" t="inlineStr">
        <is>
          <t>REC-000857</t>
        </is>
      </c>
      <c r="B862" s="94" t="str">
        <f>IF(T862=1,INDEX('ITENS_MTR'!$S$6:$S$1005,S862)&amp;"","")</f>
        <v/>
      </c>
      <c r="C862" s="91" t="n"/>
      <c r="D862" s="94" t="str">
        <f>IF(N(U862)&gt;0,INDEX('MTRs'!$I$6:$I$505,U862)&amp;"","")</f>
        <v/>
      </c>
      <c r="E862" s="92" t="n"/>
      <c r="F862" s="98" t="n"/>
      <c r="G862" s="91" t="n"/>
      <c r="H862" s="93" t="str">
        <f>IF(Q862=0,"",IF(NOT(ISNUMBER(F862)),"",IF(ISNUMBER(W862),F862*W862,"UNIDADE A CONFERIR")))</f>
        <v/>
      </c>
      <c r="I862" s="91" t="n"/>
      <c r="J862" s="91" t="n"/>
      <c r="K862" s="92" t="n"/>
      <c r="L862" s="91" t="n"/>
      <c r="M862" s="91" t="n"/>
      <c r="N862" s="91" t="n"/>
      <c r="O862" s="91" t="n"/>
      <c r="P862" s="94" t="str">
        <f>IF(Q862=0,"",IF(C862="","Item de resíduo não informado",IF(T862=0,"Item inexistente (referência inválida)",IF(NOT(ISNUMBER(F862)),"Quantidade não informada",IF(F862&lt;=0,"Quantidade não positiva",IF(G862="","Unidade não informada",IF(NOT(ISNUMBER(H862)),"Unidade a conferir",IF(NOT(ISNUMBER(E862)),"Data de recebimento não informada",IF(AND(ISNUMBER(V862),N(V862)&gt;0,E862&lt;N(V862)),"Data anterior à emissão do MTR",IF(AND(J862="Sim",L862="",M862=""),"Conferido sem evidência identificada",IF(J862&lt;&gt;"Sim","Aguardando conferência",IF(INDEX('ITENS_MTR'!$AM$6:$AM$1005,S862)=1,"Conferido (ver diferença no item)","Conferido"))))))))))))</f>
        <v/>
      </c>
      <c r="Q862" s="96">
        <f>IF(COUNTA(C862,E862:G862,I862:O862)&gt;0,1,0)</f>
        <v>0</v>
      </c>
      <c r="R862" s="96" t="str">
        <f>IF(C862="","",TRIM(LEFT(C862,FIND(" |",C862&amp;" |")-1)))</f>
        <v/>
      </c>
      <c r="S862" s="96" t="str">
        <f>IF(R862="","",IFERROR(MATCH(R862,'ITENS_MTR'!$A$6:$A$1005,0),""))</f>
        <v/>
      </c>
      <c r="T862" s="96">
        <f>IF(S862="",0,IF(INDEX('ITENS_MTR'!$R$6:$R$1005,S862)=1,1,0))</f>
        <v>0</v>
      </c>
      <c r="U862" s="96" t="str">
        <f>IF(T862=1,INDEX('ITENS_MTR'!$T$6:$T$1005,S862),"")</f>
        <v/>
      </c>
      <c r="V862" s="97" t="str">
        <f>IF(N(U862)&gt;0,INDEX('MTRs'!$E$6:$E$505,U862),"")</f>
        <v/>
      </c>
      <c r="W862" s="96" t="str">
        <f>IF(G862="","",IFERROR(IF(ISNUMBER(INDEX(cfg_fac,MATCH(G862,cfg_units,0))),IF(INDEX(cfg_fac,MATCH(G862,cfg_units,0))&gt;0,INDEX(cfg_fac,MATCH(G862,cfg_units,0)),""),""),""))</f>
        <v/>
      </c>
      <c r="X862" s="96">
        <f>IF(AND(ISNUMBER(F862),ISNUMBER(H862)),IF(H862&gt;0,1,0),0)</f>
        <v>0</v>
      </c>
      <c r="Y862" s="96">
        <f>IF(Q862=0,0,IF(OR(T862=0,X862=0,NOT(ISNUMBER(E862)),AND(J862="Sim",L862="",M862=""),AND(ISNUMBER(E862),ISNUMBER(V862),N(V862)&gt;0,E862&lt;N(V862))),1,0))</f>
        <v>0</v>
      </c>
      <c r="Z862" s="96">
        <f>IF(AND(Q862=1,T862=1,X862=1,J862="Sim",OR(L862&lt;&gt;"",M862&lt;&gt;"")),1,0)</f>
        <v>0</v>
      </c>
      <c r="AA862" s="96">
        <f>IF(Q862=0,0,IF(AND(OR(r_ini="",AND(ISNUMBER(E862),E862&gt;=r_ini)),OR(r_fim="",AND(ISNUMBER(E862),E862&lt;=r_fim)),OR(r_un="",r_un="(Todas)",IF(N(U862)&gt;0,INDEX('MTRs'!$G$6:$G$505,U862),"")=r_un),OR(r_de="",r_de="(Todos)",D862=r_de)),1,0))</f>
        <v>0</v>
      </c>
      <c r="AB862" s="96" t="str">
        <f>IF(AA862=1,COUNTIF($AA$6:AA862,1),"")</f>
        <v/>
      </c>
    </row>
    <row r="863">
      <c r="A863" s="89" t="inlineStr">
        <is>
          <t>REC-000858</t>
        </is>
      </c>
      <c r="B863" s="94" t="str">
        <f>IF(T863=1,INDEX('ITENS_MTR'!$S$6:$S$1005,S863)&amp;"","")</f>
        <v/>
      </c>
      <c r="C863" s="91" t="n"/>
      <c r="D863" s="94" t="str">
        <f>IF(N(U863)&gt;0,INDEX('MTRs'!$I$6:$I$505,U863)&amp;"","")</f>
        <v/>
      </c>
      <c r="E863" s="92" t="n"/>
      <c r="F863" s="98" t="n"/>
      <c r="G863" s="91" t="n"/>
      <c r="H863" s="93" t="str">
        <f>IF(Q863=0,"",IF(NOT(ISNUMBER(F863)),"",IF(ISNUMBER(W863),F863*W863,"UNIDADE A CONFERIR")))</f>
        <v/>
      </c>
      <c r="I863" s="91" t="n"/>
      <c r="J863" s="91" t="n"/>
      <c r="K863" s="92" t="n"/>
      <c r="L863" s="91" t="n"/>
      <c r="M863" s="91" t="n"/>
      <c r="N863" s="91" t="n"/>
      <c r="O863" s="91" t="n"/>
      <c r="P863" s="94" t="str">
        <f>IF(Q863=0,"",IF(C863="","Item de resíduo não informado",IF(T863=0,"Item inexistente (referência inválida)",IF(NOT(ISNUMBER(F863)),"Quantidade não informada",IF(F863&lt;=0,"Quantidade não positiva",IF(G863="","Unidade não informada",IF(NOT(ISNUMBER(H863)),"Unidade a conferir",IF(NOT(ISNUMBER(E863)),"Data de recebimento não informada",IF(AND(ISNUMBER(V863),N(V863)&gt;0,E863&lt;N(V863)),"Data anterior à emissão do MTR",IF(AND(J863="Sim",L863="",M863=""),"Conferido sem evidência identificada",IF(J863&lt;&gt;"Sim","Aguardando conferência",IF(INDEX('ITENS_MTR'!$AM$6:$AM$1005,S863)=1,"Conferido (ver diferença no item)","Conferido"))))))))))))</f>
        <v/>
      </c>
      <c r="Q863" s="96">
        <f>IF(COUNTA(C863,E863:G863,I863:O863)&gt;0,1,0)</f>
        <v>0</v>
      </c>
      <c r="R863" s="96" t="str">
        <f>IF(C863="","",TRIM(LEFT(C863,FIND(" |",C863&amp;" |")-1)))</f>
        <v/>
      </c>
      <c r="S863" s="96" t="str">
        <f>IF(R863="","",IFERROR(MATCH(R863,'ITENS_MTR'!$A$6:$A$1005,0),""))</f>
        <v/>
      </c>
      <c r="T863" s="96">
        <f>IF(S863="",0,IF(INDEX('ITENS_MTR'!$R$6:$R$1005,S863)=1,1,0))</f>
        <v>0</v>
      </c>
      <c r="U863" s="96" t="str">
        <f>IF(T863=1,INDEX('ITENS_MTR'!$T$6:$T$1005,S863),"")</f>
        <v/>
      </c>
      <c r="V863" s="97" t="str">
        <f>IF(N(U863)&gt;0,INDEX('MTRs'!$E$6:$E$505,U863),"")</f>
        <v/>
      </c>
      <c r="W863" s="96" t="str">
        <f>IF(G863="","",IFERROR(IF(ISNUMBER(INDEX(cfg_fac,MATCH(G863,cfg_units,0))),IF(INDEX(cfg_fac,MATCH(G863,cfg_units,0))&gt;0,INDEX(cfg_fac,MATCH(G863,cfg_units,0)),""),""),""))</f>
        <v/>
      </c>
      <c r="X863" s="96">
        <f>IF(AND(ISNUMBER(F863),ISNUMBER(H863)),IF(H863&gt;0,1,0),0)</f>
        <v>0</v>
      </c>
      <c r="Y863" s="96">
        <f>IF(Q863=0,0,IF(OR(T863=0,X863=0,NOT(ISNUMBER(E863)),AND(J863="Sim",L863="",M863=""),AND(ISNUMBER(E863),ISNUMBER(V863),N(V863)&gt;0,E863&lt;N(V863))),1,0))</f>
        <v>0</v>
      </c>
      <c r="Z863" s="96">
        <f>IF(AND(Q863=1,T863=1,X863=1,J863="Sim",OR(L863&lt;&gt;"",M863&lt;&gt;"")),1,0)</f>
        <v>0</v>
      </c>
      <c r="AA863" s="96">
        <f>IF(Q863=0,0,IF(AND(OR(r_ini="",AND(ISNUMBER(E863),E863&gt;=r_ini)),OR(r_fim="",AND(ISNUMBER(E863),E863&lt;=r_fim)),OR(r_un="",r_un="(Todas)",IF(N(U863)&gt;0,INDEX('MTRs'!$G$6:$G$505,U863),"")=r_un),OR(r_de="",r_de="(Todos)",D863=r_de)),1,0))</f>
        <v>0</v>
      </c>
      <c r="AB863" s="96" t="str">
        <f>IF(AA863=1,COUNTIF($AA$6:AA863,1),"")</f>
        <v/>
      </c>
    </row>
    <row r="864">
      <c r="A864" s="89" t="inlineStr">
        <is>
          <t>REC-000859</t>
        </is>
      </c>
      <c r="B864" s="94" t="str">
        <f>IF(T864=1,INDEX('ITENS_MTR'!$S$6:$S$1005,S864)&amp;"","")</f>
        <v/>
      </c>
      <c r="C864" s="91" t="n"/>
      <c r="D864" s="94" t="str">
        <f>IF(N(U864)&gt;0,INDEX('MTRs'!$I$6:$I$505,U864)&amp;"","")</f>
        <v/>
      </c>
      <c r="E864" s="92" t="n"/>
      <c r="F864" s="98" t="n"/>
      <c r="G864" s="91" t="n"/>
      <c r="H864" s="93" t="str">
        <f>IF(Q864=0,"",IF(NOT(ISNUMBER(F864)),"",IF(ISNUMBER(W864),F864*W864,"UNIDADE A CONFERIR")))</f>
        <v/>
      </c>
      <c r="I864" s="91" t="n"/>
      <c r="J864" s="91" t="n"/>
      <c r="K864" s="92" t="n"/>
      <c r="L864" s="91" t="n"/>
      <c r="M864" s="91" t="n"/>
      <c r="N864" s="91" t="n"/>
      <c r="O864" s="91" t="n"/>
      <c r="P864" s="94" t="str">
        <f>IF(Q864=0,"",IF(C864="","Item de resíduo não informado",IF(T864=0,"Item inexistente (referência inválida)",IF(NOT(ISNUMBER(F864)),"Quantidade não informada",IF(F864&lt;=0,"Quantidade não positiva",IF(G864="","Unidade não informada",IF(NOT(ISNUMBER(H864)),"Unidade a conferir",IF(NOT(ISNUMBER(E864)),"Data de recebimento não informada",IF(AND(ISNUMBER(V864),N(V864)&gt;0,E864&lt;N(V864)),"Data anterior à emissão do MTR",IF(AND(J864="Sim",L864="",M864=""),"Conferido sem evidência identificada",IF(J864&lt;&gt;"Sim","Aguardando conferência",IF(INDEX('ITENS_MTR'!$AM$6:$AM$1005,S864)=1,"Conferido (ver diferença no item)","Conferido"))))))))))))</f>
        <v/>
      </c>
      <c r="Q864" s="96">
        <f>IF(COUNTA(C864,E864:G864,I864:O864)&gt;0,1,0)</f>
        <v>0</v>
      </c>
      <c r="R864" s="96" t="str">
        <f>IF(C864="","",TRIM(LEFT(C864,FIND(" |",C864&amp;" |")-1)))</f>
        <v/>
      </c>
      <c r="S864" s="96" t="str">
        <f>IF(R864="","",IFERROR(MATCH(R864,'ITENS_MTR'!$A$6:$A$1005,0),""))</f>
        <v/>
      </c>
      <c r="T864" s="96">
        <f>IF(S864="",0,IF(INDEX('ITENS_MTR'!$R$6:$R$1005,S864)=1,1,0))</f>
        <v>0</v>
      </c>
      <c r="U864" s="96" t="str">
        <f>IF(T864=1,INDEX('ITENS_MTR'!$T$6:$T$1005,S864),"")</f>
        <v/>
      </c>
      <c r="V864" s="97" t="str">
        <f>IF(N(U864)&gt;0,INDEX('MTRs'!$E$6:$E$505,U864),"")</f>
        <v/>
      </c>
      <c r="W864" s="96" t="str">
        <f>IF(G864="","",IFERROR(IF(ISNUMBER(INDEX(cfg_fac,MATCH(G864,cfg_units,0))),IF(INDEX(cfg_fac,MATCH(G864,cfg_units,0))&gt;0,INDEX(cfg_fac,MATCH(G864,cfg_units,0)),""),""),""))</f>
        <v/>
      </c>
      <c r="X864" s="96">
        <f>IF(AND(ISNUMBER(F864),ISNUMBER(H864)),IF(H864&gt;0,1,0),0)</f>
        <v>0</v>
      </c>
      <c r="Y864" s="96">
        <f>IF(Q864=0,0,IF(OR(T864=0,X864=0,NOT(ISNUMBER(E864)),AND(J864="Sim",L864="",M864=""),AND(ISNUMBER(E864),ISNUMBER(V864),N(V864)&gt;0,E864&lt;N(V864))),1,0))</f>
        <v>0</v>
      </c>
      <c r="Z864" s="96">
        <f>IF(AND(Q864=1,T864=1,X864=1,J864="Sim",OR(L864&lt;&gt;"",M864&lt;&gt;"")),1,0)</f>
        <v>0</v>
      </c>
      <c r="AA864" s="96">
        <f>IF(Q864=0,0,IF(AND(OR(r_ini="",AND(ISNUMBER(E864),E864&gt;=r_ini)),OR(r_fim="",AND(ISNUMBER(E864),E864&lt;=r_fim)),OR(r_un="",r_un="(Todas)",IF(N(U864)&gt;0,INDEX('MTRs'!$G$6:$G$505,U864),"")=r_un),OR(r_de="",r_de="(Todos)",D864=r_de)),1,0))</f>
        <v>0</v>
      </c>
      <c r="AB864" s="96" t="str">
        <f>IF(AA864=1,COUNTIF($AA$6:AA864,1),"")</f>
        <v/>
      </c>
    </row>
    <row r="865">
      <c r="A865" s="89" t="inlineStr">
        <is>
          <t>REC-000860</t>
        </is>
      </c>
      <c r="B865" s="94" t="str">
        <f>IF(T865=1,INDEX('ITENS_MTR'!$S$6:$S$1005,S865)&amp;"","")</f>
        <v/>
      </c>
      <c r="C865" s="91" t="n"/>
      <c r="D865" s="94" t="str">
        <f>IF(N(U865)&gt;0,INDEX('MTRs'!$I$6:$I$505,U865)&amp;"","")</f>
        <v/>
      </c>
      <c r="E865" s="92" t="n"/>
      <c r="F865" s="98" t="n"/>
      <c r="G865" s="91" t="n"/>
      <c r="H865" s="93" t="str">
        <f>IF(Q865=0,"",IF(NOT(ISNUMBER(F865)),"",IF(ISNUMBER(W865),F865*W865,"UNIDADE A CONFERIR")))</f>
        <v/>
      </c>
      <c r="I865" s="91" t="n"/>
      <c r="J865" s="91" t="n"/>
      <c r="K865" s="92" t="n"/>
      <c r="L865" s="91" t="n"/>
      <c r="M865" s="91" t="n"/>
      <c r="N865" s="91" t="n"/>
      <c r="O865" s="91" t="n"/>
      <c r="P865" s="94" t="str">
        <f>IF(Q865=0,"",IF(C865="","Item de resíduo não informado",IF(T865=0,"Item inexistente (referência inválida)",IF(NOT(ISNUMBER(F865)),"Quantidade não informada",IF(F865&lt;=0,"Quantidade não positiva",IF(G865="","Unidade não informada",IF(NOT(ISNUMBER(H865)),"Unidade a conferir",IF(NOT(ISNUMBER(E865)),"Data de recebimento não informada",IF(AND(ISNUMBER(V865),N(V865)&gt;0,E865&lt;N(V865)),"Data anterior à emissão do MTR",IF(AND(J865="Sim",L865="",M865=""),"Conferido sem evidência identificada",IF(J865&lt;&gt;"Sim","Aguardando conferência",IF(INDEX('ITENS_MTR'!$AM$6:$AM$1005,S865)=1,"Conferido (ver diferença no item)","Conferido"))))))))))))</f>
        <v/>
      </c>
      <c r="Q865" s="96">
        <f>IF(COUNTA(C865,E865:G865,I865:O865)&gt;0,1,0)</f>
        <v>0</v>
      </c>
      <c r="R865" s="96" t="str">
        <f>IF(C865="","",TRIM(LEFT(C865,FIND(" |",C865&amp;" |")-1)))</f>
        <v/>
      </c>
      <c r="S865" s="96" t="str">
        <f>IF(R865="","",IFERROR(MATCH(R865,'ITENS_MTR'!$A$6:$A$1005,0),""))</f>
        <v/>
      </c>
      <c r="T865" s="96">
        <f>IF(S865="",0,IF(INDEX('ITENS_MTR'!$R$6:$R$1005,S865)=1,1,0))</f>
        <v>0</v>
      </c>
      <c r="U865" s="96" t="str">
        <f>IF(T865=1,INDEX('ITENS_MTR'!$T$6:$T$1005,S865),"")</f>
        <v/>
      </c>
      <c r="V865" s="97" t="str">
        <f>IF(N(U865)&gt;0,INDEX('MTRs'!$E$6:$E$505,U865),"")</f>
        <v/>
      </c>
      <c r="W865" s="96" t="str">
        <f>IF(G865="","",IFERROR(IF(ISNUMBER(INDEX(cfg_fac,MATCH(G865,cfg_units,0))),IF(INDEX(cfg_fac,MATCH(G865,cfg_units,0))&gt;0,INDEX(cfg_fac,MATCH(G865,cfg_units,0)),""),""),""))</f>
        <v/>
      </c>
      <c r="X865" s="96">
        <f>IF(AND(ISNUMBER(F865),ISNUMBER(H865)),IF(H865&gt;0,1,0),0)</f>
        <v>0</v>
      </c>
      <c r="Y865" s="96">
        <f>IF(Q865=0,0,IF(OR(T865=0,X865=0,NOT(ISNUMBER(E865)),AND(J865="Sim",L865="",M865=""),AND(ISNUMBER(E865),ISNUMBER(V865),N(V865)&gt;0,E865&lt;N(V865))),1,0))</f>
        <v>0</v>
      </c>
      <c r="Z865" s="96">
        <f>IF(AND(Q865=1,T865=1,X865=1,J865="Sim",OR(L865&lt;&gt;"",M865&lt;&gt;"")),1,0)</f>
        <v>0</v>
      </c>
      <c r="AA865" s="96">
        <f>IF(Q865=0,0,IF(AND(OR(r_ini="",AND(ISNUMBER(E865),E865&gt;=r_ini)),OR(r_fim="",AND(ISNUMBER(E865),E865&lt;=r_fim)),OR(r_un="",r_un="(Todas)",IF(N(U865)&gt;0,INDEX('MTRs'!$G$6:$G$505,U865),"")=r_un),OR(r_de="",r_de="(Todos)",D865=r_de)),1,0))</f>
        <v>0</v>
      </c>
      <c r="AB865" s="96" t="str">
        <f>IF(AA865=1,COUNTIF($AA$6:AA865,1),"")</f>
        <v/>
      </c>
    </row>
    <row r="866">
      <c r="A866" s="89" t="inlineStr">
        <is>
          <t>REC-000861</t>
        </is>
      </c>
      <c r="B866" s="94" t="str">
        <f>IF(T866=1,INDEX('ITENS_MTR'!$S$6:$S$1005,S866)&amp;"","")</f>
        <v/>
      </c>
      <c r="C866" s="91" t="n"/>
      <c r="D866" s="94" t="str">
        <f>IF(N(U866)&gt;0,INDEX('MTRs'!$I$6:$I$505,U866)&amp;"","")</f>
        <v/>
      </c>
      <c r="E866" s="92" t="n"/>
      <c r="F866" s="98" t="n"/>
      <c r="G866" s="91" t="n"/>
      <c r="H866" s="93" t="str">
        <f>IF(Q866=0,"",IF(NOT(ISNUMBER(F866)),"",IF(ISNUMBER(W866),F866*W866,"UNIDADE A CONFERIR")))</f>
        <v/>
      </c>
      <c r="I866" s="91" t="n"/>
      <c r="J866" s="91" t="n"/>
      <c r="K866" s="92" t="n"/>
      <c r="L866" s="91" t="n"/>
      <c r="M866" s="91" t="n"/>
      <c r="N866" s="91" t="n"/>
      <c r="O866" s="91" t="n"/>
      <c r="P866" s="94" t="str">
        <f>IF(Q866=0,"",IF(C866="","Item de resíduo não informado",IF(T866=0,"Item inexistente (referência inválida)",IF(NOT(ISNUMBER(F866)),"Quantidade não informada",IF(F866&lt;=0,"Quantidade não positiva",IF(G866="","Unidade não informada",IF(NOT(ISNUMBER(H866)),"Unidade a conferir",IF(NOT(ISNUMBER(E866)),"Data de recebimento não informada",IF(AND(ISNUMBER(V866),N(V866)&gt;0,E866&lt;N(V866)),"Data anterior à emissão do MTR",IF(AND(J866="Sim",L866="",M866=""),"Conferido sem evidência identificada",IF(J866&lt;&gt;"Sim","Aguardando conferência",IF(INDEX('ITENS_MTR'!$AM$6:$AM$1005,S866)=1,"Conferido (ver diferença no item)","Conferido"))))))))))))</f>
        <v/>
      </c>
      <c r="Q866" s="96">
        <f>IF(COUNTA(C866,E866:G866,I866:O866)&gt;0,1,0)</f>
        <v>0</v>
      </c>
      <c r="R866" s="96" t="str">
        <f>IF(C866="","",TRIM(LEFT(C866,FIND(" |",C866&amp;" |")-1)))</f>
        <v/>
      </c>
      <c r="S866" s="96" t="str">
        <f>IF(R866="","",IFERROR(MATCH(R866,'ITENS_MTR'!$A$6:$A$1005,0),""))</f>
        <v/>
      </c>
      <c r="T866" s="96">
        <f>IF(S866="",0,IF(INDEX('ITENS_MTR'!$R$6:$R$1005,S866)=1,1,0))</f>
        <v>0</v>
      </c>
      <c r="U866" s="96" t="str">
        <f>IF(T866=1,INDEX('ITENS_MTR'!$T$6:$T$1005,S866),"")</f>
        <v/>
      </c>
      <c r="V866" s="97" t="str">
        <f>IF(N(U866)&gt;0,INDEX('MTRs'!$E$6:$E$505,U866),"")</f>
        <v/>
      </c>
      <c r="W866" s="96" t="str">
        <f>IF(G866="","",IFERROR(IF(ISNUMBER(INDEX(cfg_fac,MATCH(G866,cfg_units,0))),IF(INDEX(cfg_fac,MATCH(G866,cfg_units,0))&gt;0,INDEX(cfg_fac,MATCH(G866,cfg_units,0)),""),""),""))</f>
        <v/>
      </c>
      <c r="X866" s="96">
        <f>IF(AND(ISNUMBER(F866),ISNUMBER(H866)),IF(H866&gt;0,1,0),0)</f>
        <v>0</v>
      </c>
      <c r="Y866" s="96">
        <f>IF(Q866=0,0,IF(OR(T866=0,X866=0,NOT(ISNUMBER(E866)),AND(J866="Sim",L866="",M866=""),AND(ISNUMBER(E866),ISNUMBER(V866),N(V866)&gt;0,E866&lt;N(V866))),1,0))</f>
        <v>0</v>
      </c>
      <c r="Z866" s="96">
        <f>IF(AND(Q866=1,T866=1,X866=1,J866="Sim",OR(L866&lt;&gt;"",M866&lt;&gt;"")),1,0)</f>
        <v>0</v>
      </c>
      <c r="AA866" s="96">
        <f>IF(Q866=0,0,IF(AND(OR(r_ini="",AND(ISNUMBER(E866),E866&gt;=r_ini)),OR(r_fim="",AND(ISNUMBER(E866),E866&lt;=r_fim)),OR(r_un="",r_un="(Todas)",IF(N(U866)&gt;0,INDEX('MTRs'!$G$6:$G$505,U866),"")=r_un),OR(r_de="",r_de="(Todos)",D866=r_de)),1,0))</f>
        <v>0</v>
      </c>
      <c r="AB866" s="96" t="str">
        <f>IF(AA866=1,COUNTIF($AA$6:AA866,1),"")</f>
        <v/>
      </c>
    </row>
    <row r="867">
      <c r="A867" s="89" t="inlineStr">
        <is>
          <t>REC-000862</t>
        </is>
      </c>
      <c r="B867" s="94" t="str">
        <f>IF(T867=1,INDEX('ITENS_MTR'!$S$6:$S$1005,S867)&amp;"","")</f>
        <v/>
      </c>
      <c r="C867" s="91" t="n"/>
      <c r="D867" s="94" t="str">
        <f>IF(N(U867)&gt;0,INDEX('MTRs'!$I$6:$I$505,U867)&amp;"","")</f>
        <v/>
      </c>
      <c r="E867" s="92" t="n"/>
      <c r="F867" s="98" t="n"/>
      <c r="G867" s="91" t="n"/>
      <c r="H867" s="93" t="str">
        <f>IF(Q867=0,"",IF(NOT(ISNUMBER(F867)),"",IF(ISNUMBER(W867),F867*W867,"UNIDADE A CONFERIR")))</f>
        <v/>
      </c>
      <c r="I867" s="91" t="n"/>
      <c r="J867" s="91" t="n"/>
      <c r="K867" s="92" t="n"/>
      <c r="L867" s="91" t="n"/>
      <c r="M867" s="91" t="n"/>
      <c r="N867" s="91" t="n"/>
      <c r="O867" s="91" t="n"/>
      <c r="P867" s="94" t="str">
        <f>IF(Q867=0,"",IF(C867="","Item de resíduo não informado",IF(T867=0,"Item inexistente (referência inválida)",IF(NOT(ISNUMBER(F867)),"Quantidade não informada",IF(F867&lt;=0,"Quantidade não positiva",IF(G867="","Unidade não informada",IF(NOT(ISNUMBER(H867)),"Unidade a conferir",IF(NOT(ISNUMBER(E867)),"Data de recebimento não informada",IF(AND(ISNUMBER(V867),N(V867)&gt;0,E867&lt;N(V867)),"Data anterior à emissão do MTR",IF(AND(J867="Sim",L867="",M867=""),"Conferido sem evidência identificada",IF(J867&lt;&gt;"Sim","Aguardando conferência",IF(INDEX('ITENS_MTR'!$AM$6:$AM$1005,S867)=1,"Conferido (ver diferença no item)","Conferido"))))))))))))</f>
        <v/>
      </c>
      <c r="Q867" s="96">
        <f>IF(COUNTA(C867,E867:G867,I867:O867)&gt;0,1,0)</f>
        <v>0</v>
      </c>
      <c r="R867" s="96" t="str">
        <f>IF(C867="","",TRIM(LEFT(C867,FIND(" |",C867&amp;" |")-1)))</f>
        <v/>
      </c>
      <c r="S867" s="96" t="str">
        <f>IF(R867="","",IFERROR(MATCH(R867,'ITENS_MTR'!$A$6:$A$1005,0),""))</f>
        <v/>
      </c>
      <c r="T867" s="96">
        <f>IF(S867="",0,IF(INDEX('ITENS_MTR'!$R$6:$R$1005,S867)=1,1,0))</f>
        <v>0</v>
      </c>
      <c r="U867" s="96" t="str">
        <f>IF(T867=1,INDEX('ITENS_MTR'!$T$6:$T$1005,S867),"")</f>
        <v/>
      </c>
      <c r="V867" s="97" t="str">
        <f>IF(N(U867)&gt;0,INDEX('MTRs'!$E$6:$E$505,U867),"")</f>
        <v/>
      </c>
      <c r="W867" s="96" t="str">
        <f>IF(G867="","",IFERROR(IF(ISNUMBER(INDEX(cfg_fac,MATCH(G867,cfg_units,0))),IF(INDEX(cfg_fac,MATCH(G867,cfg_units,0))&gt;0,INDEX(cfg_fac,MATCH(G867,cfg_units,0)),""),""),""))</f>
        <v/>
      </c>
      <c r="X867" s="96">
        <f>IF(AND(ISNUMBER(F867),ISNUMBER(H867)),IF(H867&gt;0,1,0),0)</f>
        <v>0</v>
      </c>
      <c r="Y867" s="96">
        <f>IF(Q867=0,0,IF(OR(T867=0,X867=0,NOT(ISNUMBER(E867)),AND(J867="Sim",L867="",M867=""),AND(ISNUMBER(E867),ISNUMBER(V867),N(V867)&gt;0,E867&lt;N(V867))),1,0))</f>
        <v>0</v>
      </c>
      <c r="Z867" s="96">
        <f>IF(AND(Q867=1,T867=1,X867=1,J867="Sim",OR(L867&lt;&gt;"",M867&lt;&gt;"")),1,0)</f>
        <v>0</v>
      </c>
      <c r="AA867" s="96">
        <f>IF(Q867=0,0,IF(AND(OR(r_ini="",AND(ISNUMBER(E867),E867&gt;=r_ini)),OR(r_fim="",AND(ISNUMBER(E867),E867&lt;=r_fim)),OR(r_un="",r_un="(Todas)",IF(N(U867)&gt;0,INDEX('MTRs'!$G$6:$G$505,U867),"")=r_un),OR(r_de="",r_de="(Todos)",D867=r_de)),1,0))</f>
        <v>0</v>
      </c>
      <c r="AB867" s="96" t="str">
        <f>IF(AA867=1,COUNTIF($AA$6:AA867,1),"")</f>
        <v/>
      </c>
    </row>
    <row r="868">
      <c r="A868" s="89" t="inlineStr">
        <is>
          <t>REC-000863</t>
        </is>
      </c>
      <c r="B868" s="94" t="str">
        <f>IF(T868=1,INDEX('ITENS_MTR'!$S$6:$S$1005,S868)&amp;"","")</f>
        <v/>
      </c>
      <c r="C868" s="91" t="n"/>
      <c r="D868" s="94" t="str">
        <f>IF(N(U868)&gt;0,INDEX('MTRs'!$I$6:$I$505,U868)&amp;"","")</f>
        <v/>
      </c>
      <c r="E868" s="92" t="n"/>
      <c r="F868" s="98" t="n"/>
      <c r="G868" s="91" t="n"/>
      <c r="H868" s="93" t="str">
        <f>IF(Q868=0,"",IF(NOT(ISNUMBER(F868)),"",IF(ISNUMBER(W868),F868*W868,"UNIDADE A CONFERIR")))</f>
        <v/>
      </c>
      <c r="I868" s="91" t="n"/>
      <c r="J868" s="91" t="n"/>
      <c r="K868" s="92" t="n"/>
      <c r="L868" s="91" t="n"/>
      <c r="M868" s="91" t="n"/>
      <c r="N868" s="91" t="n"/>
      <c r="O868" s="91" t="n"/>
      <c r="P868" s="94" t="str">
        <f>IF(Q868=0,"",IF(C868="","Item de resíduo não informado",IF(T868=0,"Item inexistente (referência inválida)",IF(NOT(ISNUMBER(F868)),"Quantidade não informada",IF(F868&lt;=0,"Quantidade não positiva",IF(G868="","Unidade não informada",IF(NOT(ISNUMBER(H868)),"Unidade a conferir",IF(NOT(ISNUMBER(E868)),"Data de recebimento não informada",IF(AND(ISNUMBER(V868),N(V868)&gt;0,E868&lt;N(V868)),"Data anterior à emissão do MTR",IF(AND(J868="Sim",L868="",M868=""),"Conferido sem evidência identificada",IF(J868&lt;&gt;"Sim","Aguardando conferência",IF(INDEX('ITENS_MTR'!$AM$6:$AM$1005,S868)=1,"Conferido (ver diferença no item)","Conferido"))))))))))))</f>
        <v/>
      </c>
      <c r="Q868" s="96">
        <f>IF(COUNTA(C868,E868:G868,I868:O868)&gt;0,1,0)</f>
        <v>0</v>
      </c>
      <c r="R868" s="96" t="str">
        <f>IF(C868="","",TRIM(LEFT(C868,FIND(" |",C868&amp;" |")-1)))</f>
        <v/>
      </c>
      <c r="S868" s="96" t="str">
        <f>IF(R868="","",IFERROR(MATCH(R868,'ITENS_MTR'!$A$6:$A$1005,0),""))</f>
        <v/>
      </c>
      <c r="T868" s="96">
        <f>IF(S868="",0,IF(INDEX('ITENS_MTR'!$R$6:$R$1005,S868)=1,1,0))</f>
        <v>0</v>
      </c>
      <c r="U868" s="96" t="str">
        <f>IF(T868=1,INDEX('ITENS_MTR'!$T$6:$T$1005,S868),"")</f>
        <v/>
      </c>
      <c r="V868" s="97" t="str">
        <f>IF(N(U868)&gt;0,INDEX('MTRs'!$E$6:$E$505,U868),"")</f>
        <v/>
      </c>
      <c r="W868" s="96" t="str">
        <f>IF(G868="","",IFERROR(IF(ISNUMBER(INDEX(cfg_fac,MATCH(G868,cfg_units,0))),IF(INDEX(cfg_fac,MATCH(G868,cfg_units,0))&gt;0,INDEX(cfg_fac,MATCH(G868,cfg_units,0)),""),""),""))</f>
        <v/>
      </c>
      <c r="X868" s="96">
        <f>IF(AND(ISNUMBER(F868),ISNUMBER(H868)),IF(H868&gt;0,1,0),0)</f>
        <v>0</v>
      </c>
      <c r="Y868" s="96">
        <f>IF(Q868=0,0,IF(OR(T868=0,X868=0,NOT(ISNUMBER(E868)),AND(J868="Sim",L868="",M868=""),AND(ISNUMBER(E868),ISNUMBER(V868),N(V868)&gt;0,E868&lt;N(V868))),1,0))</f>
        <v>0</v>
      </c>
      <c r="Z868" s="96">
        <f>IF(AND(Q868=1,T868=1,X868=1,J868="Sim",OR(L868&lt;&gt;"",M868&lt;&gt;"")),1,0)</f>
        <v>0</v>
      </c>
      <c r="AA868" s="96">
        <f>IF(Q868=0,0,IF(AND(OR(r_ini="",AND(ISNUMBER(E868),E868&gt;=r_ini)),OR(r_fim="",AND(ISNUMBER(E868),E868&lt;=r_fim)),OR(r_un="",r_un="(Todas)",IF(N(U868)&gt;0,INDEX('MTRs'!$G$6:$G$505,U868),"")=r_un),OR(r_de="",r_de="(Todos)",D868=r_de)),1,0))</f>
        <v>0</v>
      </c>
      <c r="AB868" s="96" t="str">
        <f>IF(AA868=1,COUNTIF($AA$6:AA868,1),"")</f>
        <v/>
      </c>
    </row>
    <row r="869">
      <c r="A869" s="89" t="inlineStr">
        <is>
          <t>REC-000864</t>
        </is>
      </c>
      <c r="B869" s="94" t="str">
        <f>IF(T869=1,INDEX('ITENS_MTR'!$S$6:$S$1005,S869)&amp;"","")</f>
        <v/>
      </c>
      <c r="C869" s="91" t="n"/>
      <c r="D869" s="94" t="str">
        <f>IF(N(U869)&gt;0,INDEX('MTRs'!$I$6:$I$505,U869)&amp;"","")</f>
        <v/>
      </c>
      <c r="E869" s="92" t="n"/>
      <c r="F869" s="98" t="n"/>
      <c r="G869" s="91" t="n"/>
      <c r="H869" s="93" t="str">
        <f>IF(Q869=0,"",IF(NOT(ISNUMBER(F869)),"",IF(ISNUMBER(W869),F869*W869,"UNIDADE A CONFERIR")))</f>
        <v/>
      </c>
      <c r="I869" s="91" t="n"/>
      <c r="J869" s="91" t="n"/>
      <c r="K869" s="92" t="n"/>
      <c r="L869" s="91" t="n"/>
      <c r="M869" s="91" t="n"/>
      <c r="N869" s="91" t="n"/>
      <c r="O869" s="91" t="n"/>
      <c r="P869" s="94" t="str">
        <f>IF(Q869=0,"",IF(C869="","Item de resíduo não informado",IF(T869=0,"Item inexistente (referência inválida)",IF(NOT(ISNUMBER(F869)),"Quantidade não informada",IF(F869&lt;=0,"Quantidade não positiva",IF(G869="","Unidade não informada",IF(NOT(ISNUMBER(H869)),"Unidade a conferir",IF(NOT(ISNUMBER(E869)),"Data de recebimento não informada",IF(AND(ISNUMBER(V869),N(V869)&gt;0,E869&lt;N(V869)),"Data anterior à emissão do MTR",IF(AND(J869="Sim",L869="",M869=""),"Conferido sem evidência identificada",IF(J869&lt;&gt;"Sim","Aguardando conferência",IF(INDEX('ITENS_MTR'!$AM$6:$AM$1005,S869)=1,"Conferido (ver diferença no item)","Conferido"))))))))))))</f>
        <v/>
      </c>
      <c r="Q869" s="96">
        <f>IF(COUNTA(C869,E869:G869,I869:O869)&gt;0,1,0)</f>
        <v>0</v>
      </c>
      <c r="R869" s="96" t="str">
        <f>IF(C869="","",TRIM(LEFT(C869,FIND(" |",C869&amp;" |")-1)))</f>
        <v/>
      </c>
      <c r="S869" s="96" t="str">
        <f>IF(R869="","",IFERROR(MATCH(R869,'ITENS_MTR'!$A$6:$A$1005,0),""))</f>
        <v/>
      </c>
      <c r="T869" s="96">
        <f>IF(S869="",0,IF(INDEX('ITENS_MTR'!$R$6:$R$1005,S869)=1,1,0))</f>
        <v>0</v>
      </c>
      <c r="U869" s="96" t="str">
        <f>IF(T869=1,INDEX('ITENS_MTR'!$T$6:$T$1005,S869),"")</f>
        <v/>
      </c>
      <c r="V869" s="97" t="str">
        <f>IF(N(U869)&gt;0,INDEX('MTRs'!$E$6:$E$505,U869),"")</f>
        <v/>
      </c>
      <c r="W869" s="96" t="str">
        <f>IF(G869="","",IFERROR(IF(ISNUMBER(INDEX(cfg_fac,MATCH(G869,cfg_units,0))),IF(INDEX(cfg_fac,MATCH(G869,cfg_units,0))&gt;0,INDEX(cfg_fac,MATCH(G869,cfg_units,0)),""),""),""))</f>
        <v/>
      </c>
      <c r="X869" s="96">
        <f>IF(AND(ISNUMBER(F869),ISNUMBER(H869)),IF(H869&gt;0,1,0),0)</f>
        <v>0</v>
      </c>
      <c r="Y869" s="96">
        <f>IF(Q869=0,0,IF(OR(T869=0,X869=0,NOT(ISNUMBER(E869)),AND(J869="Sim",L869="",M869=""),AND(ISNUMBER(E869),ISNUMBER(V869),N(V869)&gt;0,E869&lt;N(V869))),1,0))</f>
        <v>0</v>
      </c>
      <c r="Z869" s="96">
        <f>IF(AND(Q869=1,T869=1,X869=1,J869="Sim",OR(L869&lt;&gt;"",M869&lt;&gt;"")),1,0)</f>
        <v>0</v>
      </c>
      <c r="AA869" s="96">
        <f>IF(Q869=0,0,IF(AND(OR(r_ini="",AND(ISNUMBER(E869),E869&gt;=r_ini)),OR(r_fim="",AND(ISNUMBER(E869),E869&lt;=r_fim)),OR(r_un="",r_un="(Todas)",IF(N(U869)&gt;0,INDEX('MTRs'!$G$6:$G$505,U869),"")=r_un),OR(r_de="",r_de="(Todos)",D869=r_de)),1,0))</f>
        <v>0</v>
      </c>
      <c r="AB869" s="96" t="str">
        <f>IF(AA869=1,COUNTIF($AA$6:AA869,1),"")</f>
        <v/>
      </c>
    </row>
    <row r="870">
      <c r="A870" s="89" t="inlineStr">
        <is>
          <t>REC-000865</t>
        </is>
      </c>
      <c r="B870" s="94" t="str">
        <f>IF(T870=1,INDEX('ITENS_MTR'!$S$6:$S$1005,S870)&amp;"","")</f>
        <v/>
      </c>
      <c r="C870" s="91" t="n"/>
      <c r="D870" s="94" t="str">
        <f>IF(N(U870)&gt;0,INDEX('MTRs'!$I$6:$I$505,U870)&amp;"","")</f>
        <v/>
      </c>
      <c r="E870" s="92" t="n"/>
      <c r="F870" s="98" t="n"/>
      <c r="G870" s="91" t="n"/>
      <c r="H870" s="93" t="str">
        <f>IF(Q870=0,"",IF(NOT(ISNUMBER(F870)),"",IF(ISNUMBER(W870),F870*W870,"UNIDADE A CONFERIR")))</f>
        <v/>
      </c>
      <c r="I870" s="91" t="n"/>
      <c r="J870" s="91" t="n"/>
      <c r="K870" s="92" t="n"/>
      <c r="L870" s="91" t="n"/>
      <c r="M870" s="91" t="n"/>
      <c r="N870" s="91" t="n"/>
      <c r="O870" s="91" t="n"/>
      <c r="P870" s="94" t="str">
        <f>IF(Q870=0,"",IF(C870="","Item de resíduo não informado",IF(T870=0,"Item inexistente (referência inválida)",IF(NOT(ISNUMBER(F870)),"Quantidade não informada",IF(F870&lt;=0,"Quantidade não positiva",IF(G870="","Unidade não informada",IF(NOT(ISNUMBER(H870)),"Unidade a conferir",IF(NOT(ISNUMBER(E870)),"Data de recebimento não informada",IF(AND(ISNUMBER(V870),N(V870)&gt;0,E870&lt;N(V870)),"Data anterior à emissão do MTR",IF(AND(J870="Sim",L870="",M870=""),"Conferido sem evidência identificada",IF(J870&lt;&gt;"Sim","Aguardando conferência",IF(INDEX('ITENS_MTR'!$AM$6:$AM$1005,S870)=1,"Conferido (ver diferença no item)","Conferido"))))))))))))</f>
        <v/>
      </c>
      <c r="Q870" s="96">
        <f>IF(COUNTA(C870,E870:G870,I870:O870)&gt;0,1,0)</f>
        <v>0</v>
      </c>
      <c r="R870" s="96" t="str">
        <f>IF(C870="","",TRIM(LEFT(C870,FIND(" |",C870&amp;" |")-1)))</f>
        <v/>
      </c>
      <c r="S870" s="96" t="str">
        <f>IF(R870="","",IFERROR(MATCH(R870,'ITENS_MTR'!$A$6:$A$1005,0),""))</f>
        <v/>
      </c>
      <c r="T870" s="96">
        <f>IF(S870="",0,IF(INDEX('ITENS_MTR'!$R$6:$R$1005,S870)=1,1,0))</f>
        <v>0</v>
      </c>
      <c r="U870" s="96" t="str">
        <f>IF(T870=1,INDEX('ITENS_MTR'!$T$6:$T$1005,S870),"")</f>
        <v/>
      </c>
      <c r="V870" s="97" t="str">
        <f>IF(N(U870)&gt;0,INDEX('MTRs'!$E$6:$E$505,U870),"")</f>
        <v/>
      </c>
      <c r="W870" s="96" t="str">
        <f>IF(G870="","",IFERROR(IF(ISNUMBER(INDEX(cfg_fac,MATCH(G870,cfg_units,0))),IF(INDEX(cfg_fac,MATCH(G870,cfg_units,0))&gt;0,INDEX(cfg_fac,MATCH(G870,cfg_units,0)),""),""),""))</f>
        <v/>
      </c>
      <c r="X870" s="96">
        <f>IF(AND(ISNUMBER(F870),ISNUMBER(H870)),IF(H870&gt;0,1,0),0)</f>
        <v>0</v>
      </c>
      <c r="Y870" s="96">
        <f>IF(Q870=0,0,IF(OR(T870=0,X870=0,NOT(ISNUMBER(E870)),AND(J870="Sim",L870="",M870=""),AND(ISNUMBER(E870),ISNUMBER(V870),N(V870)&gt;0,E870&lt;N(V870))),1,0))</f>
        <v>0</v>
      </c>
      <c r="Z870" s="96">
        <f>IF(AND(Q870=1,T870=1,X870=1,J870="Sim",OR(L870&lt;&gt;"",M870&lt;&gt;"")),1,0)</f>
        <v>0</v>
      </c>
      <c r="AA870" s="96">
        <f>IF(Q870=0,0,IF(AND(OR(r_ini="",AND(ISNUMBER(E870),E870&gt;=r_ini)),OR(r_fim="",AND(ISNUMBER(E870),E870&lt;=r_fim)),OR(r_un="",r_un="(Todas)",IF(N(U870)&gt;0,INDEX('MTRs'!$G$6:$G$505,U870),"")=r_un),OR(r_de="",r_de="(Todos)",D870=r_de)),1,0))</f>
        <v>0</v>
      </c>
      <c r="AB870" s="96" t="str">
        <f>IF(AA870=1,COUNTIF($AA$6:AA870,1),"")</f>
        <v/>
      </c>
    </row>
    <row r="871">
      <c r="A871" s="89" t="inlineStr">
        <is>
          <t>REC-000866</t>
        </is>
      </c>
      <c r="B871" s="94" t="str">
        <f>IF(T871=1,INDEX('ITENS_MTR'!$S$6:$S$1005,S871)&amp;"","")</f>
        <v/>
      </c>
      <c r="C871" s="91" t="n"/>
      <c r="D871" s="94" t="str">
        <f>IF(N(U871)&gt;0,INDEX('MTRs'!$I$6:$I$505,U871)&amp;"","")</f>
        <v/>
      </c>
      <c r="E871" s="92" t="n"/>
      <c r="F871" s="98" t="n"/>
      <c r="G871" s="91" t="n"/>
      <c r="H871" s="93" t="str">
        <f>IF(Q871=0,"",IF(NOT(ISNUMBER(F871)),"",IF(ISNUMBER(W871),F871*W871,"UNIDADE A CONFERIR")))</f>
        <v/>
      </c>
      <c r="I871" s="91" t="n"/>
      <c r="J871" s="91" t="n"/>
      <c r="K871" s="92" t="n"/>
      <c r="L871" s="91" t="n"/>
      <c r="M871" s="91" t="n"/>
      <c r="N871" s="91" t="n"/>
      <c r="O871" s="91" t="n"/>
      <c r="P871" s="94" t="str">
        <f>IF(Q871=0,"",IF(C871="","Item de resíduo não informado",IF(T871=0,"Item inexistente (referência inválida)",IF(NOT(ISNUMBER(F871)),"Quantidade não informada",IF(F871&lt;=0,"Quantidade não positiva",IF(G871="","Unidade não informada",IF(NOT(ISNUMBER(H871)),"Unidade a conferir",IF(NOT(ISNUMBER(E871)),"Data de recebimento não informada",IF(AND(ISNUMBER(V871),N(V871)&gt;0,E871&lt;N(V871)),"Data anterior à emissão do MTR",IF(AND(J871="Sim",L871="",M871=""),"Conferido sem evidência identificada",IF(J871&lt;&gt;"Sim","Aguardando conferência",IF(INDEX('ITENS_MTR'!$AM$6:$AM$1005,S871)=1,"Conferido (ver diferença no item)","Conferido"))))))))))))</f>
        <v/>
      </c>
      <c r="Q871" s="96">
        <f>IF(COUNTA(C871,E871:G871,I871:O871)&gt;0,1,0)</f>
        <v>0</v>
      </c>
      <c r="R871" s="96" t="str">
        <f>IF(C871="","",TRIM(LEFT(C871,FIND(" |",C871&amp;" |")-1)))</f>
        <v/>
      </c>
      <c r="S871" s="96" t="str">
        <f>IF(R871="","",IFERROR(MATCH(R871,'ITENS_MTR'!$A$6:$A$1005,0),""))</f>
        <v/>
      </c>
      <c r="T871" s="96">
        <f>IF(S871="",0,IF(INDEX('ITENS_MTR'!$R$6:$R$1005,S871)=1,1,0))</f>
        <v>0</v>
      </c>
      <c r="U871" s="96" t="str">
        <f>IF(T871=1,INDEX('ITENS_MTR'!$T$6:$T$1005,S871),"")</f>
        <v/>
      </c>
      <c r="V871" s="97" t="str">
        <f>IF(N(U871)&gt;0,INDEX('MTRs'!$E$6:$E$505,U871),"")</f>
        <v/>
      </c>
      <c r="W871" s="96" t="str">
        <f>IF(G871="","",IFERROR(IF(ISNUMBER(INDEX(cfg_fac,MATCH(G871,cfg_units,0))),IF(INDEX(cfg_fac,MATCH(G871,cfg_units,0))&gt;0,INDEX(cfg_fac,MATCH(G871,cfg_units,0)),""),""),""))</f>
        <v/>
      </c>
      <c r="X871" s="96">
        <f>IF(AND(ISNUMBER(F871),ISNUMBER(H871)),IF(H871&gt;0,1,0),0)</f>
        <v>0</v>
      </c>
      <c r="Y871" s="96">
        <f>IF(Q871=0,0,IF(OR(T871=0,X871=0,NOT(ISNUMBER(E871)),AND(J871="Sim",L871="",M871=""),AND(ISNUMBER(E871),ISNUMBER(V871),N(V871)&gt;0,E871&lt;N(V871))),1,0))</f>
        <v>0</v>
      </c>
      <c r="Z871" s="96">
        <f>IF(AND(Q871=1,T871=1,X871=1,J871="Sim",OR(L871&lt;&gt;"",M871&lt;&gt;"")),1,0)</f>
        <v>0</v>
      </c>
      <c r="AA871" s="96">
        <f>IF(Q871=0,0,IF(AND(OR(r_ini="",AND(ISNUMBER(E871),E871&gt;=r_ini)),OR(r_fim="",AND(ISNUMBER(E871),E871&lt;=r_fim)),OR(r_un="",r_un="(Todas)",IF(N(U871)&gt;0,INDEX('MTRs'!$G$6:$G$505,U871),"")=r_un),OR(r_de="",r_de="(Todos)",D871=r_de)),1,0))</f>
        <v>0</v>
      </c>
      <c r="AB871" s="96" t="str">
        <f>IF(AA871=1,COUNTIF($AA$6:AA871,1),"")</f>
        <v/>
      </c>
    </row>
    <row r="872">
      <c r="A872" s="89" t="inlineStr">
        <is>
          <t>REC-000867</t>
        </is>
      </c>
      <c r="B872" s="94" t="str">
        <f>IF(T872=1,INDEX('ITENS_MTR'!$S$6:$S$1005,S872)&amp;"","")</f>
        <v/>
      </c>
      <c r="C872" s="91" t="n"/>
      <c r="D872" s="94" t="str">
        <f>IF(N(U872)&gt;0,INDEX('MTRs'!$I$6:$I$505,U872)&amp;"","")</f>
        <v/>
      </c>
      <c r="E872" s="92" t="n"/>
      <c r="F872" s="98" t="n"/>
      <c r="G872" s="91" t="n"/>
      <c r="H872" s="93" t="str">
        <f>IF(Q872=0,"",IF(NOT(ISNUMBER(F872)),"",IF(ISNUMBER(W872),F872*W872,"UNIDADE A CONFERIR")))</f>
        <v/>
      </c>
      <c r="I872" s="91" t="n"/>
      <c r="J872" s="91" t="n"/>
      <c r="K872" s="92" t="n"/>
      <c r="L872" s="91" t="n"/>
      <c r="M872" s="91" t="n"/>
      <c r="N872" s="91" t="n"/>
      <c r="O872" s="91" t="n"/>
      <c r="P872" s="94" t="str">
        <f>IF(Q872=0,"",IF(C872="","Item de resíduo não informado",IF(T872=0,"Item inexistente (referência inválida)",IF(NOT(ISNUMBER(F872)),"Quantidade não informada",IF(F872&lt;=0,"Quantidade não positiva",IF(G872="","Unidade não informada",IF(NOT(ISNUMBER(H872)),"Unidade a conferir",IF(NOT(ISNUMBER(E872)),"Data de recebimento não informada",IF(AND(ISNUMBER(V872),N(V872)&gt;0,E872&lt;N(V872)),"Data anterior à emissão do MTR",IF(AND(J872="Sim",L872="",M872=""),"Conferido sem evidência identificada",IF(J872&lt;&gt;"Sim","Aguardando conferência",IF(INDEX('ITENS_MTR'!$AM$6:$AM$1005,S872)=1,"Conferido (ver diferença no item)","Conferido"))))))))))))</f>
        <v/>
      </c>
      <c r="Q872" s="96">
        <f>IF(COUNTA(C872,E872:G872,I872:O872)&gt;0,1,0)</f>
        <v>0</v>
      </c>
      <c r="R872" s="96" t="str">
        <f>IF(C872="","",TRIM(LEFT(C872,FIND(" |",C872&amp;" |")-1)))</f>
        <v/>
      </c>
      <c r="S872" s="96" t="str">
        <f>IF(R872="","",IFERROR(MATCH(R872,'ITENS_MTR'!$A$6:$A$1005,0),""))</f>
        <v/>
      </c>
      <c r="T872" s="96">
        <f>IF(S872="",0,IF(INDEX('ITENS_MTR'!$R$6:$R$1005,S872)=1,1,0))</f>
        <v>0</v>
      </c>
      <c r="U872" s="96" t="str">
        <f>IF(T872=1,INDEX('ITENS_MTR'!$T$6:$T$1005,S872),"")</f>
        <v/>
      </c>
      <c r="V872" s="97" t="str">
        <f>IF(N(U872)&gt;0,INDEX('MTRs'!$E$6:$E$505,U872),"")</f>
        <v/>
      </c>
      <c r="W872" s="96" t="str">
        <f>IF(G872="","",IFERROR(IF(ISNUMBER(INDEX(cfg_fac,MATCH(G872,cfg_units,0))),IF(INDEX(cfg_fac,MATCH(G872,cfg_units,0))&gt;0,INDEX(cfg_fac,MATCH(G872,cfg_units,0)),""),""),""))</f>
        <v/>
      </c>
      <c r="X872" s="96">
        <f>IF(AND(ISNUMBER(F872),ISNUMBER(H872)),IF(H872&gt;0,1,0),0)</f>
        <v>0</v>
      </c>
      <c r="Y872" s="96">
        <f>IF(Q872=0,0,IF(OR(T872=0,X872=0,NOT(ISNUMBER(E872)),AND(J872="Sim",L872="",M872=""),AND(ISNUMBER(E872),ISNUMBER(V872),N(V872)&gt;0,E872&lt;N(V872))),1,0))</f>
        <v>0</v>
      </c>
      <c r="Z872" s="96">
        <f>IF(AND(Q872=1,T872=1,X872=1,J872="Sim",OR(L872&lt;&gt;"",M872&lt;&gt;"")),1,0)</f>
        <v>0</v>
      </c>
      <c r="AA872" s="96">
        <f>IF(Q872=0,0,IF(AND(OR(r_ini="",AND(ISNUMBER(E872),E872&gt;=r_ini)),OR(r_fim="",AND(ISNUMBER(E872),E872&lt;=r_fim)),OR(r_un="",r_un="(Todas)",IF(N(U872)&gt;0,INDEX('MTRs'!$G$6:$G$505,U872),"")=r_un),OR(r_de="",r_de="(Todos)",D872=r_de)),1,0))</f>
        <v>0</v>
      </c>
      <c r="AB872" s="96" t="str">
        <f>IF(AA872=1,COUNTIF($AA$6:AA872,1),"")</f>
        <v/>
      </c>
    </row>
    <row r="873">
      <c r="A873" s="89" t="inlineStr">
        <is>
          <t>REC-000868</t>
        </is>
      </c>
      <c r="B873" s="94" t="str">
        <f>IF(T873=1,INDEX('ITENS_MTR'!$S$6:$S$1005,S873)&amp;"","")</f>
        <v/>
      </c>
      <c r="C873" s="91" t="n"/>
      <c r="D873" s="94" t="str">
        <f>IF(N(U873)&gt;0,INDEX('MTRs'!$I$6:$I$505,U873)&amp;"","")</f>
        <v/>
      </c>
      <c r="E873" s="92" t="n"/>
      <c r="F873" s="98" t="n"/>
      <c r="G873" s="91" t="n"/>
      <c r="H873" s="93" t="str">
        <f>IF(Q873=0,"",IF(NOT(ISNUMBER(F873)),"",IF(ISNUMBER(W873),F873*W873,"UNIDADE A CONFERIR")))</f>
        <v/>
      </c>
      <c r="I873" s="91" t="n"/>
      <c r="J873" s="91" t="n"/>
      <c r="K873" s="92" t="n"/>
      <c r="L873" s="91" t="n"/>
      <c r="M873" s="91" t="n"/>
      <c r="N873" s="91" t="n"/>
      <c r="O873" s="91" t="n"/>
      <c r="P873" s="94" t="str">
        <f>IF(Q873=0,"",IF(C873="","Item de resíduo não informado",IF(T873=0,"Item inexistente (referência inválida)",IF(NOT(ISNUMBER(F873)),"Quantidade não informada",IF(F873&lt;=0,"Quantidade não positiva",IF(G873="","Unidade não informada",IF(NOT(ISNUMBER(H873)),"Unidade a conferir",IF(NOT(ISNUMBER(E873)),"Data de recebimento não informada",IF(AND(ISNUMBER(V873),N(V873)&gt;0,E873&lt;N(V873)),"Data anterior à emissão do MTR",IF(AND(J873="Sim",L873="",M873=""),"Conferido sem evidência identificada",IF(J873&lt;&gt;"Sim","Aguardando conferência",IF(INDEX('ITENS_MTR'!$AM$6:$AM$1005,S873)=1,"Conferido (ver diferença no item)","Conferido"))))))))))))</f>
        <v/>
      </c>
      <c r="Q873" s="96">
        <f>IF(COUNTA(C873,E873:G873,I873:O873)&gt;0,1,0)</f>
        <v>0</v>
      </c>
      <c r="R873" s="96" t="str">
        <f>IF(C873="","",TRIM(LEFT(C873,FIND(" |",C873&amp;" |")-1)))</f>
        <v/>
      </c>
      <c r="S873" s="96" t="str">
        <f>IF(R873="","",IFERROR(MATCH(R873,'ITENS_MTR'!$A$6:$A$1005,0),""))</f>
        <v/>
      </c>
      <c r="T873" s="96">
        <f>IF(S873="",0,IF(INDEX('ITENS_MTR'!$R$6:$R$1005,S873)=1,1,0))</f>
        <v>0</v>
      </c>
      <c r="U873" s="96" t="str">
        <f>IF(T873=1,INDEX('ITENS_MTR'!$T$6:$T$1005,S873),"")</f>
        <v/>
      </c>
      <c r="V873" s="97" t="str">
        <f>IF(N(U873)&gt;0,INDEX('MTRs'!$E$6:$E$505,U873),"")</f>
        <v/>
      </c>
      <c r="W873" s="96" t="str">
        <f>IF(G873="","",IFERROR(IF(ISNUMBER(INDEX(cfg_fac,MATCH(G873,cfg_units,0))),IF(INDEX(cfg_fac,MATCH(G873,cfg_units,0))&gt;0,INDEX(cfg_fac,MATCH(G873,cfg_units,0)),""),""),""))</f>
        <v/>
      </c>
      <c r="X873" s="96">
        <f>IF(AND(ISNUMBER(F873),ISNUMBER(H873)),IF(H873&gt;0,1,0),0)</f>
        <v>0</v>
      </c>
      <c r="Y873" s="96">
        <f>IF(Q873=0,0,IF(OR(T873=0,X873=0,NOT(ISNUMBER(E873)),AND(J873="Sim",L873="",M873=""),AND(ISNUMBER(E873),ISNUMBER(V873),N(V873)&gt;0,E873&lt;N(V873))),1,0))</f>
        <v>0</v>
      </c>
      <c r="Z873" s="96">
        <f>IF(AND(Q873=1,T873=1,X873=1,J873="Sim",OR(L873&lt;&gt;"",M873&lt;&gt;"")),1,0)</f>
        <v>0</v>
      </c>
      <c r="AA873" s="96">
        <f>IF(Q873=0,0,IF(AND(OR(r_ini="",AND(ISNUMBER(E873),E873&gt;=r_ini)),OR(r_fim="",AND(ISNUMBER(E873),E873&lt;=r_fim)),OR(r_un="",r_un="(Todas)",IF(N(U873)&gt;0,INDEX('MTRs'!$G$6:$G$505,U873),"")=r_un),OR(r_de="",r_de="(Todos)",D873=r_de)),1,0))</f>
        <v>0</v>
      </c>
      <c r="AB873" s="96" t="str">
        <f>IF(AA873=1,COUNTIF($AA$6:AA873,1),"")</f>
        <v/>
      </c>
    </row>
    <row r="874">
      <c r="A874" s="89" t="inlineStr">
        <is>
          <t>REC-000869</t>
        </is>
      </c>
      <c r="B874" s="94" t="str">
        <f>IF(T874=1,INDEX('ITENS_MTR'!$S$6:$S$1005,S874)&amp;"","")</f>
        <v/>
      </c>
      <c r="C874" s="91" t="n"/>
      <c r="D874" s="94" t="str">
        <f>IF(N(U874)&gt;0,INDEX('MTRs'!$I$6:$I$505,U874)&amp;"","")</f>
        <v/>
      </c>
      <c r="E874" s="92" t="n"/>
      <c r="F874" s="98" t="n"/>
      <c r="G874" s="91" t="n"/>
      <c r="H874" s="93" t="str">
        <f>IF(Q874=0,"",IF(NOT(ISNUMBER(F874)),"",IF(ISNUMBER(W874),F874*W874,"UNIDADE A CONFERIR")))</f>
        <v/>
      </c>
      <c r="I874" s="91" t="n"/>
      <c r="J874" s="91" t="n"/>
      <c r="K874" s="92" t="n"/>
      <c r="L874" s="91" t="n"/>
      <c r="M874" s="91" t="n"/>
      <c r="N874" s="91" t="n"/>
      <c r="O874" s="91" t="n"/>
      <c r="P874" s="94" t="str">
        <f>IF(Q874=0,"",IF(C874="","Item de resíduo não informado",IF(T874=0,"Item inexistente (referência inválida)",IF(NOT(ISNUMBER(F874)),"Quantidade não informada",IF(F874&lt;=0,"Quantidade não positiva",IF(G874="","Unidade não informada",IF(NOT(ISNUMBER(H874)),"Unidade a conferir",IF(NOT(ISNUMBER(E874)),"Data de recebimento não informada",IF(AND(ISNUMBER(V874),N(V874)&gt;0,E874&lt;N(V874)),"Data anterior à emissão do MTR",IF(AND(J874="Sim",L874="",M874=""),"Conferido sem evidência identificada",IF(J874&lt;&gt;"Sim","Aguardando conferência",IF(INDEX('ITENS_MTR'!$AM$6:$AM$1005,S874)=1,"Conferido (ver diferença no item)","Conferido"))))))))))))</f>
        <v/>
      </c>
      <c r="Q874" s="96">
        <f>IF(COUNTA(C874,E874:G874,I874:O874)&gt;0,1,0)</f>
        <v>0</v>
      </c>
      <c r="R874" s="96" t="str">
        <f>IF(C874="","",TRIM(LEFT(C874,FIND(" |",C874&amp;" |")-1)))</f>
        <v/>
      </c>
      <c r="S874" s="96" t="str">
        <f>IF(R874="","",IFERROR(MATCH(R874,'ITENS_MTR'!$A$6:$A$1005,0),""))</f>
        <v/>
      </c>
      <c r="T874" s="96">
        <f>IF(S874="",0,IF(INDEX('ITENS_MTR'!$R$6:$R$1005,S874)=1,1,0))</f>
        <v>0</v>
      </c>
      <c r="U874" s="96" t="str">
        <f>IF(T874=1,INDEX('ITENS_MTR'!$T$6:$T$1005,S874),"")</f>
        <v/>
      </c>
      <c r="V874" s="97" t="str">
        <f>IF(N(U874)&gt;0,INDEX('MTRs'!$E$6:$E$505,U874),"")</f>
        <v/>
      </c>
      <c r="W874" s="96" t="str">
        <f>IF(G874="","",IFERROR(IF(ISNUMBER(INDEX(cfg_fac,MATCH(G874,cfg_units,0))),IF(INDEX(cfg_fac,MATCH(G874,cfg_units,0))&gt;0,INDEX(cfg_fac,MATCH(G874,cfg_units,0)),""),""),""))</f>
        <v/>
      </c>
      <c r="X874" s="96">
        <f>IF(AND(ISNUMBER(F874),ISNUMBER(H874)),IF(H874&gt;0,1,0),0)</f>
        <v>0</v>
      </c>
      <c r="Y874" s="96">
        <f>IF(Q874=0,0,IF(OR(T874=0,X874=0,NOT(ISNUMBER(E874)),AND(J874="Sim",L874="",M874=""),AND(ISNUMBER(E874),ISNUMBER(V874),N(V874)&gt;0,E874&lt;N(V874))),1,0))</f>
        <v>0</v>
      </c>
      <c r="Z874" s="96">
        <f>IF(AND(Q874=1,T874=1,X874=1,J874="Sim",OR(L874&lt;&gt;"",M874&lt;&gt;"")),1,0)</f>
        <v>0</v>
      </c>
      <c r="AA874" s="96">
        <f>IF(Q874=0,0,IF(AND(OR(r_ini="",AND(ISNUMBER(E874),E874&gt;=r_ini)),OR(r_fim="",AND(ISNUMBER(E874),E874&lt;=r_fim)),OR(r_un="",r_un="(Todas)",IF(N(U874)&gt;0,INDEX('MTRs'!$G$6:$G$505,U874),"")=r_un),OR(r_de="",r_de="(Todos)",D874=r_de)),1,0))</f>
        <v>0</v>
      </c>
      <c r="AB874" s="96" t="str">
        <f>IF(AA874=1,COUNTIF($AA$6:AA874,1),"")</f>
        <v/>
      </c>
    </row>
    <row r="875">
      <c r="A875" s="89" t="inlineStr">
        <is>
          <t>REC-000870</t>
        </is>
      </c>
      <c r="B875" s="94" t="str">
        <f>IF(T875=1,INDEX('ITENS_MTR'!$S$6:$S$1005,S875)&amp;"","")</f>
        <v/>
      </c>
      <c r="C875" s="91" t="n"/>
      <c r="D875" s="94" t="str">
        <f>IF(N(U875)&gt;0,INDEX('MTRs'!$I$6:$I$505,U875)&amp;"","")</f>
        <v/>
      </c>
      <c r="E875" s="92" t="n"/>
      <c r="F875" s="98" t="n"/>
      <c r="G875" s="91" t="n"/>
      <c r="H875" s="93" t="str">
        <f>IF(Q875=0,"",IF(NOT(ISNUMBER(F875)),"",IF(ISNUMBER(W875),F875*W875,"UNIDADE A CONFERIR")))</f>
        <v/>
      </c>
      <c r="I875" s="91" t="n"/>
      <c r="J875" s="91" t="n"/>
      <c r="K875" s="92" t="n"/>
      <c r="L875" s="91" t="n"/>
      <c r="M875" s="91" t="n"/>
      <c r="N875" s="91" t="n"/>
      <c r="O875" s="91" t="n"/>
      <c r="P875" s="94" t="str">
        <f>IF(Q875=0,"",IF(C875="","Item de resíduo não informado",IF(T875=0,"Item inexistente (referência inválida)",IF(NOT(ISNUMBER(F875)),"Quantidade não informada",IF(F875&lt;=0,"Quantidade não positiva",IF(G875="","Unidade não informada",IF(NOT(ISNUMBER(H875)),"Unidade a conferir",IF(NOT(ISNUMBER(E875)),"Data de recebimento não informada",IF(AND(ISNUMBER(V875),N(V875)&gt;0,E875&lt;N(V875)),"Data anterior à emissão do MTR",IF(AND(J875="Sim",L875="",M875=""),"Conferido sem evidência identificada",IF(J875&lt;&gt;"Sim","Aguardando conferência",IF(INDEX('ITENS_MTR'!$AM$6:$AM$1005,S875)=1,"Conferido (ver diferença no item)","Conferido"))))))))))))</f>
        <v/>
      </c>
      <c r="Q875" s="96">
        <f>IF(COUNTA(C875,E875:G875,I875:O875)&gt;0,1,0)</f>
        <v>0</v>
      </c>
      <c r="R875" s="96" t="str">
        <f>IF(C875="","",TRIM(LEFT(C875,FIND(" |",C875&amp;" |")-1)))</f>
        <v/>
      </c>
      <c r="S875" s="96" t="str">
        <f>IF(R875="","",IFERROR(MATCH(R875,'ITENS_MTR'!$A$6:$A$1005,0),""))</f>
        <v/>
      </c>
      <c r="T875" s="96">
        <f>IF(S875="",0,IF(INDEX('ITENS_MTR'!$R$6:$R$1005,S875)=1,1,0))</f>
        <v>0</v>
      </c>
      <c r="U875" s="96" t="str">
        <f>IF(T875=1,INDEX('ITENS_MTR'!$T$6:$T$1005,S875),"")</f>
        <v/>
      </c>
      <c r="V875" s="97" t="str">
        <f>IF(N(U875)&gt;0,INDEX('MTRs'!$E$6:$E$505,U875),"")</f>
        <v/>
      </c>
      <c r="W875" s="96" t="str">
        <f>IF(G875="","",IFERROR(IF(ISNUMBER(INDEX(cfg_fac,MATCH(G875,cfg_units,0))),IF(INDEX(cfg_fac,MATCH(G875,cfg_units,0))&gt;0,INDEX(cfg_fac,MATCH(G875,cfg_units,0)),""),""),""))</f>
        <v/>
      </c>
      <c r="X875" s="96">
        <f>IF(AND(ISNUMBER(F875),ISNUMBER(H875)),IF(H875&gt;0,1,0),0)</f>
        <v>0</v>
      </c>
      <c r="Y875" s="96">
        <f>IF(Q875=0,0,IF(OR(T875=0,X875=0,NOT(ISNUMBER(E875)),AND(J875="Sim",L875="",M875=""),AND(ISNUMBER(E875),ISNUMBER(V875),N(V875)&gt;0,E875&lt;N(V875))),1,0))</f>
        <v>0</v>
      </c>
      <c r="Z875" s="96">
        <f>IF(AND(Q875=1,T875=1,X875=1,J875="Sim",OR(L875&lt;&gt;"",M875&lt;&gt;"")),1,0)</f>
        <v>0</v>
      </c>
      <c r="AA875" s="96">
        <f>IF(Q875=0,0,IF(AND(OR(r_ini="",AND(ISNUMBER(E875),E875&gt;=r_ini)),OR(r_fim="",AND(ISNUMBER(E875),E875&lt;=r_fim)),OR(r_un="",r_un="(Todas)",IF(N(U875)&gt;0,INDEX('MTRs'!$G$6:$G$505,U875),"")=r_un),OR(r_de="",r_de="(Todos)",D875=r_de)),1,0))</f>
        <v>0</v>
      </c>
      <c r="AB875" s="96" t="str">
        <f>IF(AA875=1,COUNTIF($AA$6:AA875,1),"")</f>
        <v/>
      </c>
    </row>
    <row r="876">
      <c r="A876" s="89" t="inlineStr">
        <is>
          <t>REC-000871</t>
        </is>
      </c>
      <c r="B876" s="94" t="str">
        <f>IF(T876=1,INDEX('ITENS_MTR'!$S$6:$S$1005,S876)&amp;"","")</f>
        <v/>
      </c>
      <c r="C876" s="91" t="n"/>
      <c r="D876" s="94" t="str">
        <f>IF(N(U876)&gt;0,INDEX('MTRs'!$I$6:$I$505,U876)&amp;"","")</f>
        <v/>
      </c>
      <c r="E876" s="92" t="n"/>
      <c r="F876" s="98" t="n"/>
      <c r="G876" s="91" t="n"/>
      <c r="H876" s="93" t="str">
        <f>IF(Q876=0,"",IF(NOT(ISNUMBER(F876)),"",IF(ISNUMBER(W876),F876*W876,"UNIDADE A CONFERIR")))</f>
        <v/>
      </c>
      <c r="I876" s="91" t="n"/>
      <c r="J876" s="91" t="n"/>
      <c r="K876" s="92" t="n"/>
      <c r="L876" s="91" t="n"/>
      <c r="M876" s="91" t="n"/>
      <c r="N876" s="91" t="n"/>
      <c r="O876" s="91" t="n"/>
      <c r="P876" s="94" t="str">
        <f>IF(Q876=0,"",IF(C876="","Item de resíduo não informado",IF(T876=0,"Item inexistente (referência inválida)",IF(NOT(ISNUMBER(F876)),"Quantidade não informada",IF(F876&lt;=0,"Quantidade não positiva",IF(G876="","Unidade não informada",IF(NOT(ISNUMBER(H876)),"Unidade a conferir",IF(NOT(ISNUMBER(E876)),"Data de recebimento não informada",IF(AND(ISNUMBER(V876),N(V876)&gt;0,E876&lt;N(V876)),"Data anterior à emissão do MTR",IF(AND(J876="Sim",L876="",M876=""),"Conferido sem evidência identificada",IF(J876&lt;&gt;"Sim","Aguardando conferência",IF(INDEX('ITENS_MTR'!$AM$6:$AM$1005,S876)=1,"Conferido (ver diferença no item)","Conferido"))))))))))))</f>
        <v/>
      </c>
      <c r="Q876" s="96">
        <f>IF(COUNTA(C876,E876:G876,I876:O876)&gt;0,1,0)</f>
        <v>0</v>
      </c>
      <c r="R876" s="96" t="str">
        <f>IF(C876="","",TRIM(LEFT(C876,FIND(" |",C876&amp;" |")-1)))</f>
        <v/>
      </c>
      <c r="S876" s="96" t="str">
        <f>IF(R876="","",IFERROR(MATCH(R876,'ITENS_MTR'!$A$6:$A$1005,0),""))</f>
        <v/>
      </c>
      <c r="T876" s="96">
        <f>IF(S876="",0,IF(INDEX('ITENS_MTR'!$R$6:$R$1005,S876)=1,1,0))</f>
        <v>0</v>
      </c>
      <c r="U876" s="96" t="str">
        <f>IF(T876=1,INDEX('ITENS_MTR'!$T$6:$T$1005,S876),"")</f>
        <v/>
      </c>
      <c r="V876" s="97" t="str">
        <f>IF(N(U876)&gt;0,INDEX('MTRs'!$E$6:$E$505,U876),"")</f>
        <v/>
      </c>
      <c r="W876" s="96" t="str">
        <f>IF(G876="","",IFERROR(IF(ISNUMBER(INDEX(cfg_fac,MATCH(G876,cfg_units,0))),IF(INDEX(cfg_fac,MATCH(G876,cfg_units,0))&gt;0,INDEX(cfg_fac,MATCH(G876,cfg_units,0)),""),""),""))</f>
        <v/>
      </c>
      <c r="X876" s="96">
        <f>IF(AND(ISNUMBER(F876),ISNUMBER(H876)),IF(H876&gt;0,1,0),0)</f>
        <v>0</v>
      </c>
      <c r="Y876" s="96">
        <f>IF(Q876=0,0,IF(OR(T876=0,X876=0,NOT(ISNUMBER(E876)),AND(J876="Sim",L876="",M876=""),AND(ISNUMBER(E876),ISNUMBER(V876),N(V876)&gt;0,E876&lt;N(V876))),1,0))</f>
        <v>0</v>
      </c>
      <c r="Z876" s="96">
        <f>IF(AND(Q876=1,T876=1,X876=1,J876="Sim",OR(L876&lt;&gt;"",M876&lt;&gt;"")),1,0)</f>
        <v>0</v>
      </c>
      <c r="AA876" s="96">
        <f>IF(Q876=0,0,IF(AND(OR(r_ini="",AND(ISNUMBER(E876),E876&gt;=r_ini)),OR(r_fim="",AND(ISNUMBER(E876),E876&lt;=r_fim)),OR(r_un="",r_un="(Todas)",IF(N(U876)&gt;0,INDEX('MTRs'!$G$6:$G$505,U876),"")=r_un),OR(r_de="",r_de="(Todos)",D876=r_de)),1,0))</f>
        <v>0</v>
      </c>
      <c r="AB876" s="96" t="str">
        <f>IF(AA876=1,COUNTIF($AA$6:AA876,1),"")</f>
        <v/>
      </c>
    </row>
    <row r="877">
      <c r="A877" s="89" t="inlineStr">
        <is>
          <t>REC-000872</t>
        </is>
      </c>
      <c r="B877" s="94" t="str">
        <f>IF(T877=1,INDEX('ITENS_MTR'!$S$6:$S$1005,S877)&amp;"","")</f>
        <v/>
      </c>
      <c r="C877" s="91" t="n"/>
      <c r="D877" s="94" t="str">
        <f>IF(N(U877)&gt;0,INDEX('MTRs'!$I$6:$I$505,U877)&amp;"","")</f>
        <v/>
      </c>
      <c r="E877" s="92" t="n"/>
      <c r="F877" s="98" t="n"/>
      <c r="G877" s="91" t="n"/>
      <c r="H877" s="93" t="str">
        <f>IF(Q877=0,"",IF(NOT(ISNUMBER(F877)),"",IF(ISNUMBER(W877),F877*W877,"UNIDADE A CONFERIR")))</f>
        <v/>
      </c>
      <c r="I877" s="91" t="n"/>
      <c r="J877" s="91" t="n"/>
      <c r="K877" s="92" t="n"/>
      <c r="L877" s="91" t="n"/>
      <c r="M877" s="91" t="n"/>
      <c r="N877" s="91" t="n"/>
      <c r="O877" s="91" t="n"/>
      <c r="P877" s="94" t="str">
        <f>IF(Q877=0,"",IF(C877="","Item de resíduo não informado",IF(T877=0,"Item inexistente (referência inválida)",IF(NOT(ISNUMBER(F877)),"Quantidade não informada",IF(F877&lt;=0,"Quantidade não positiva",IF(G877="","Unidade não informada",IF(NOT(ISNUMBER(H877)),"Unidade a conferir",IF(NOT(ISNUMBER(E877)),"Data de recebimento não informada",IF(AND(ISNUMBER(V877),N(V877)&gt;0,E877&lt;N(V877)),"Data anterior à emissão do MTR",IF(AND(J877="Sim",L877="",M877=""),"Conferido sem evidência identificada",IF(J877&lt;&gt;"Sim","Aguardando conferência",IF(INDEX('ITENS_MTR'!$AM$6:$AM$1005,S877)=1,"Conferido (ver diferença no item)","Conferido"))))))))))))</f>
        <v/>
      </c>
      <c r="Q877" s="96">
        <f>IF(COUNTA(C877,E877:G877,I877:O877)&gt;0,1,0)</f>
        <v>0</v>
      </c>
      <c r="R877" s="96" t="str">
        <f>IF(C877="","",TRIM(LEFT(C877,FIND(" |",C877&amp;" |")-1)))</f>
        <v/>
      </c>
      <c r="S877" s="96" t="str">
        <f>IF(R877="","",IFERROR(MATCH(R877,'ITENS_MTR'!$A$6:$A$1005,0),""))</f>
        <v/>
      </c>
      <c r="T877" s="96">
        <f>IF(S877="",0,IF(INDEX('ITENS_MTR'!$R$6:$R$1005,S877)=1,1,0))</f>
        <v>0</v>
      </c>
      <c r="U877" s="96" t="str">
        <f>IF(T877=1,INDEX('ITENS_MTR'!$T$6:$T$1005,S877),"")</f>
        <v/>
      </c>
      <c r="V877" s="97" t="str">
        <f>IF(N(U877)&gt;0,INDEX('MTRs'!$E$6:$E$505,U877),"")</f>
        <v/>
      </c>
      <c r="W877" s="96" t="str">
        <f>IF(G877="","",IFERROR(IF(ISNUMBER(INDEX(cfg_fac,MATCH(G877,cfg_units,0))),IF(INDEX(cfg_fac,MATCH(G877,cfg_units,0))&gt;0,INDEX(cfg_fac,MATCH(G877,cfg_units,0)),""),""),""))</f>
        <v/>
      </c>
      <c r="X877" s="96">
        <f>IF(AND(ISNUMBER(F877),ISNUMBER(H877)),IF(H877&gt;0,1,0),0)</f>
        <v>0</v>
      </c>
      <c r="Y877" s="96">
        <f>IF(Q877=0,0,IF(OR(T877=0,X877=0,NOT(ISNUMBER(E877)),AND(J877="Sim",L877="",M877=""),AND(ISNUMBER(E877),ISNUMBER(V877),N(V877)&gt;0,E877&lt;N(V877))),1,0))</f>
        <v>0</v>
      </c>
      <c r="Z877" s="96">
        <f>IF(AND(Q877=1,T877=1,X877=1,J877="Sim",OR(L877&lt;&gt;"",M877&lt;&gt;"")),1,0)</f>
        <v>0</v>
      </c>
      <c r="AA877" s="96">
        <f>IF(Q877=0,0,IF(AND(OR(r_ini="",AND(ISNUMBER(E877),E877&gt;=r_ini)),OR(r_fim="",AND(ISNUMBER(E877),E877&lt;=r_fim)),OR(r_un="",r_un="(Todas)",IF(N(U877)&gt;0,INDEX('MTRs'!$G$6:$G$505,U877),"")=r_un),OR(r_de="",r_de="(Todos)",D877=r_de)),1,0))</f>
        <v>0</v>
      </c>
      <c r="AB877" s="96" t="str">
        <f>IF(AA877=1,COUNTIF($AA$6:AA877,1),"")</f>
        <v/>
      </c>
    </row>
    <row r="878">
      <c r="A878" s="89" t="inlineStr">
        <is>
          <t>REC-000873</t>
        </is>
      </c>
      <c r="B878" s="94" t="str">
        <f>IF(T878=1,INDEX('ITENS_MTR'!$S$6:$S$1005,S878)&amp;"","")</f>
        <v/>
      </c>
      <c r="C878" s="91" t="n"/>
      <c r="D878" s="94" t="str">
        <f>IF(N(U878)&gt;0,INDEX('MTRs'!$I$6:$I$505,U878)&amp;"","")</f>
        <v/>
      </c>
      <c r="E878" s="92" t="n"/>
      <c r="F878" s="98" t="n"/>
      <c r="G878" s="91" t="n"/>
      <c r="H878" s="93" t="str">
        <f>IF(Q878=0,"",IF(NOT(ISNUMBER(F878)),"",IF(ISNUMBER(W878),F878*W878,"UNIDADE A CONFERIR")))</f>
        <v/>
      </c>
      <c r="I878" s="91" t="n"/>
      <c r="J878" s="91" t="n"/>
      <c r="K878" s="92" t="n"/>
      <c r="L878" s="91" t="n"/>
      <c r="M878" s="91" t="n"/>
      <c r="N878" s="91" t="n"/>
      <c r="O878" s="91" t="n"/>
      <c r="P878" s="94" t="str">
        <f>IF(Q878=0,"",IF(C878="","Item de resíduo não informado",IF(T878=0,"Item inexistente (referência inválida)",IF(NOT(ISNUMBER(F878)),"Quantidade não informada",IF(F878&lt;=0,"Quantidade não positiva",IF(G878="","Unidade não informada",IF(NOT(ISNUMBER(H878)),"Unidade a conferir",IF(NOT(ISNUMBER(E878)),"Data de recebimento não informada",IF(AND(ISNUMBER(V878),N(V878)&gt;0,E878&lt;N(V878)),"Data anterior à emissão do MTR",IF(AND(J878="Sim",L878="",M878=""),"Conferido sem evidência identificada",IF(J878&lt;&gt;"Sim","Aguardando conferência",IF(INDEX('ITENS_MTR'!$AM$6:$AM$1005,S878)=1,"Conferido (ver diferença no item)","Conferido"))))))))))))</f>
        <v/>
      </c>
      <c r="Q878" s="96">
        <f>IF(COUNTA(C878,E878:G878,I878:O878)&gt;0,1,0)</f>
        <v>0</v>
      </c>
      <c r="R878" s="96" t="str">
        <f>IF(C878="","",TRIM(LEFT(C878,FIND(" |",C878&amp;" |")-1)))</f>
        <v/>
      </c>
      <c r="S878" s="96" t="str">
        <f>IF(R878="","",IFERROR(MATCH(R878,'ITENS_MTR'!$A$6:$A$1005,0),""))</f>
        <v/>
      </c>
      <c r="T878" s="96">
        <f>IF(S878="",0,IF(INDEX('ITENS_MTR'!$R$6:$R$1005,S878)=1,1,0))</f>
        <v>0</v>
      </c>
      <c r="U878" s="96" t="str">
        <f>IF(T878=1,INDEX('ITENS_MTR'!$T$6:$T$1005,S878),"")</f>
        <v/>
      </c>
      <c r="V878" s="97" t="str">
        <f>IF(N(U878)&gt;0,INDEX('MTRs'!$E$6:$E$505,U878),"")</f>
        <v/>
      </c>
      <c r="W878" s="96" t="str">
        <f>IF(G878="","",IFERROR(IF(ISNUMBER(INDEX(cfg_fac,MATCH(G878,cfg_units,0))),IF(INDEX(cfg_fac,MATCH(G878,cfg_units,0))&gt;0,INDEX(cfg_fac,MATCH(G878,cfg_units,0)),""),""),""))</f>
        <v/>
      </c>
      <c r="X878" s="96">
        <f>IF(AND(ISNUMBER(F878),ISNUMBER(H878)),IF(H878&gt;0,1,0),0)</f>
        <v>0</v>
      </c>
      <c r="Y878" s="96">
        <f>IF(Q878=0,0,IF(OR(T878=0,X878=0,NOT(ISNUMBER(E878)),AND(J878="Sim",L878="",M878=""),AND(ISNUMBER(E878),ISNUMBER(V878),N(V878)&gt;0,E878&lt;N(V878))),1,0))</f>
        <v>0</v>
      </c>
      <c r="Z878" s="96">
        <f>IF(AND(Q878=1,T878=1,X878=1,J878="Sim",OR(L878&lt;&gt;"",M878&lt;&gt;"")),1,0)</f>
        <v>0</v>
      </c>
      <c r="AA878" s="96">
        <f>IF(Q878=0,0,IF(AND(OR(r_ini="",AND(ISNUMBER(E878),E878&gt;=r_ini)),OR(r_fim="",AND(ISNUMBER(E878),E878&lt;=r_fim)),OR(r_un="",r_un="(Todas)",IF(N(U878)&gt;0,INDEX('MTRs'!$G$6:$G$505,U878),"")=r_un),OR(r_de="",r_de="(Todos)",D878=r_de)),1,0))</f>
        <v>0</v>
      </c>
      <c r="AB878" s="96" t="str">
        <f>IF(AA878=1,COUNTIF($AA$6:AA878,1),"")</f>
        <v/>
      </c>
    </row>
    <row r="879">
      <c r="A879" s="89" t="inlineStr">
        <is>
          <t>REC-000874</t>
        </is>
      </c>
      <c r="B879" s="94" t="str">
        <f>IF(T879=1,INDEX('ITENS_MTR'!$S$6:$S$1005,S879)&amp;"","")</f>
        <v/>
      </c>
      <c r="C879" s="91" t="n"/>
      <c r="D879" s="94" t="str">
        <f>IF(N(U879)&gt;0,INDEX('MTRs'!$I$6:$I$505,U879)&amp;"","")</f>
        <v/>
      </c>
      <c r="E879" s="92" t="n"/>
      <c r="F879" s="98" t="n"/>
      <c r="G879" s="91" t="n"/>
      <c r="H879" s="93" t="str">
        <f>IF(Q879=0,"",IF(NOT(ISNUMBER(F879)),"",IF(ISNUMBER(W879),F879*W879,"UNIDADE A CONFERIR")))</f>
        <v/>
      </c>
      <c r="I879" s="91" t="n"/>
      <c r="J879" s="91" t="n"/>
      <c r="K879" s="92" t="n"/>
      <c r="L879" s="91" t="n"/>
      <c r="M879" s="91" t="n"/>
      <c r="N879" s="91" t="n"/>
      <c r="O879" s="91" t="n"/>
      <c r="P879" s="94" t="str">
        <f>IF(Q879=0,"",IF(C879="","Item de resíduo não informado",IF(T879=0,"Item inexistente (referência inválida)",IF(NOT(ISNUMBER(F879)),"Quantidade não informada",IF(F879&lt;=0,"Quantidade não positiva",IF(G879="","Unidade não informada",IF(NOT(ISNUMBER(H879)),"Unidade a conferir",IF(NOT(ISNUMBER(E879)),"Data de recebimento não informada",IF(AND(ISNUMBER(V879),N(V879)&gt;0,E879&lt;N(V879)),"Data anterior à emissão do MTR",IF(AND(J879="Sim",L879="",M879=""),"Conferido sem evidência identificada",IF(J879&lt;&gt;"Sim","Aguardando conferência",IF(INDEX('ITENS_MTR'!$AM$6:$AM$1005,S879)=1,"Conferido (ver diferença no item)","Conferido"))))))))))))</f>
        <v/>
      </c>
      <c r="Q879" s="96">
        <f>IF(COUNTA(C879,E879:G879,I879:O879)&gt;0,1,0)</f>
        <v>0</v>
      </c>
      <c r="R879" s="96" t="str">
        <f>IF(C879="","",TRIM(LEFT(C879,FIND(" |",C879&amp;" |")-1)))</f>
        <v/>
      </c>
      <c r="S879" s="96" t="str">
        <f>IF(R879="","",IFERROR(MATCH(R879,'ITENS_MTR'!$A$6:$A$1005,0),""))</f>
        <v/>
      </c>
      <c r="T879" s="96">
        <f>IF(S879="",0,IF(INDEX('ITENS_MTR'!$R$6:$R$1005,S879)=1,1,0))</f>
        <v>0</v>
      </c>
      <c r="U879" s="96" t="str">
        <f>IF(T879=1,INDEX('ITENS_MTR'!$T$6:$T$1005,S879),"")</f>
        <v/>
      </c>
      <c r="V879" s="97" t="str">
        <f>IF(N(U879)&gt;0,INDEX('MTRs'!$E$6:$E$505,U879),"")</f>
        <v/>
      </c>
      <c r="W879" s="96" t="str">
        <f>IF(G879="","",IFERROR(IF(ISNUMBER(INDEX(cfg_fac,MATCH(G879,cfg_units,0))),IF(INDEX(cfg_fac,MATCH(G879,cfg_units,0))&gt;0,INDEX(cfg_fac,MATCH(G879,cfg_units,0)),""),""),""))</f>
        <v/>
      </c>
      <c r="X879" s="96">
        <f>IF(AND(ISNUMBER(F879),ISNUMBER(H879)),IF(H879&gt;0,1,0),0)</f>
        <v>0</v>
      </c>
      <c r="Y879" s="96">
        <f>IF(Q879=0,0,IF(OR(T879=0,X879=0,NOT(ISNUMBER(E879)),AND(J879="Sim",L879="",M879=""),AND(ISNUMBER(E879),ISNUMBER(V879),N(V879)&gt;0,E879&lt;N(V879))),1,0))</f>
        <v>0</v>
      </c>
      <c r="Z879" s="96">
        <f>IF(AND(Q879=1,T879=1,X879=1,J879="Sim",OR(L879&lt;&gt;"",M879&lt;&gt;"")),1,0)</f>
        <v>0</v>
      </c>
      <c r="AA879" s="96">
        <f>IF(Q879=0,0,IF(AND(OR(r_ini="",AND(ISNUMBER(E879),E879&gt;=r_ini)),OR(r_fim="",AND(ISNUMBER(E879),E879&lt;=r_fim)),OR(r_un="",r_un="(Todas)",IF(N(U879)&gt;0,INDEX('MTRs'!$G$6:$G$505,U879),"")=r_un),OR(r_de="",r_de="(Todos)",D879=r_de)),1,0))</f>
        <v>0</v>
      </c>
      <c r="AB879" s="96" t="str">
        <f>IF(AA879=1,COUNTIF($AA$6:AA879,1),"")</f>
        <v/>
      </c>
    </row>
    <row r="880">
      <c r="A880" s="89" t="inlineStr">
        <is>
          <t>REC-000875</t>
        </is>
      </c>
      <c r="B880" s="94" t="str">
        <f>IF(T880=1,INDEX('ITENS_MTR'!$S$6:$S$1005,S880)&amp;"","")</f>
        <v/>
      </c>
      <c r="C880" s="91" t="n"/>
      <c r="D880" s="94" t="str">
        <f>IF(N(U880)&gt;0,INDEX('MTRs'!$I$6:$I$505,U880)&amp;"","")</f>
        <v/>
      </c>
      <c r="E880" s="92" t="n"/>
      <c r="F880" s="98" t="n"/>
      <c r="G880" s="91" t="n"/>
      <c r="H880" s="93" t="str">
        <f>IF(Q880=0,"",IF(NOT(ISNUMBER(F880)),"",IF(ISNUMBER(W880),F880*W880,"UNIDADE A CONFERIR")))</f>
        <v/>
      </c>
      <c r="I880" s="91" t="n"/>
      <c r="J880" s="91" t="n"/>
      <c r="K880" s="92" t="n"/>
      <c r="L880" s="91" t="n"/>
      <c r="M880" s="91" t="n"/>
      <c r="N880" s="91" t="n"/>
      <c r="O880" s="91" t="n"/>
      <c r="P880" s="94" t="str">
        <f>IF(Q880=0,"",IF(C880="","Item de resíduo não informado",IF(T880=0,"Item inexistente (referência inválida)",IF(NOT(ISNUMBER(F880)),"Quantidade não informada",IF(F880&lt;=0,"Quantidade não positiva",IF(G880="","Unidade não informada",IF(NOT(ISNUMBER(H880)),"Unidade a conferir",IF(NOT(ISNUMBER(E880)),"Data de recebimento não informada",IF(AND(ISNUMBER(V880),N(V880)&gt;0,E880&lt;N(V880)),"Data anterior à emissão do MTR",IF(AND(J880="Sim",L880="",M880=""),"Conferido sem evidência identificada",IF(J880&lt;&gt;"Sim","Aguardando conferência",IF(INDEX('ITENS_MTR'!$AM$6:$AM$1005,S880)=1,"Conferido (ver diferença no item)","Conferido"))))))))))))</f>
        <v/>
      </c>
      <c r="Q880" s="96">
        <f>IF(COUNTA(C880,E880:G880,I880:O880)&gt;0,1,0)</f>
        <v>0</v>
      </c>
      <c r="R880" s="96" t="str">
        <f>IF(C880="","",TRIM(LEFT(C880,FIND(" |",C880&amp;" |")-1)))</f>
        <v/>
      </c>
      <c r="S880" s="96" t="str">
        <f>IF(R880="","",IFERROR(MATCH(R880,'ITENS_MTR'!$A$6:$A$1005,0),""))</f>
        <v/>
      </c>
      <c r="T880" s="96">
        <f>IF(S880="",0,IF(INDEX('ITENS_MTR'!$R$6:$R$1005,S880)=1,1,0))</f>
        <v>0</v>
      </c>
      <c r="U880" s="96" t="str">
        <f>IF(T880=1,INDEX('ITENS_MTR'!$T$6:$T$1005,S880),"")</f>
        <v/>
      </c>
      <c r="V880" s="97" t="str">
        <f>IF(N(U880)&gt;0,INDEX('MTRs'!$E$6:$E$505,U880),"")</f>
        <v/>
      </c>
      <c r="W880" s="96" t="str">
        <f>IF(G880="","",IFERROR(IF(ISNUMBER(INDEX(cfg_fac,MATCH(G880,cfg_units,0))),IF(INDEX(cfg_fac,MATCH(G880,cfg_units,0))&gt;0,INDEX(cfg_fac,MATCH(G880,cfg_units,0)),""),""),""))</f>
        <v/>
      </c>
      <c r="X880" s="96">
        <f>IF(AND(ISNUMBER(F880),ISNUMBER(H880)),IF(H880&gt;0,1,0),0)</f>
        <v>0</v>
      </c>
      <c r="Y880" s="96">
        <f>IF(Q880=0,0,IF(OR(T880=0,X880=0,NOT(ISNUMBER(E880)),AND(J880="Sim",L880="",M880=""),AND(ISNUMBER(E880),ISNUMBER(V880),N(V880)&gt;0,E880&lt;N(V880))),1,0))</f>
        <v>0</v>
      </c>
      <c r="Z880" s="96">
        <f>IF(AND(Q880=1,T880=1,X880=1,J880="Sim",OR(L880&lt;&gt;"",M880&lt;&gt;"")),1,0)</f>
        <v>0</v>
      </c>
      <c r="AA880" s="96">
        <f>IF(Q880=0,0,IF(AND(OR(r_ini="",AND(ISNUMBER(E880),E880&gt;=r_ini)),OR(r_fim="",AND(ISNUMBER(E880),E880&lt;=r_fim)),OR(r_un="",r_un="(Todas)",IF(N(U880)&gt;0,INDEX('MTRs'!$G$6:$G$505,U880),"")=r_un),OR(r_de="",r_de="(Todos)",D880=r_de)),1,0))</f>
        <v>0</v>
      </c>
      <c r="AB880" s="96" t="str">
        <f>IF(AA880=1,COUNTIF($AA$6:AA880,1),"")</f>
        <v/>
      </c>
    </row>
    <row r="881">
      <c r="A881" s="89" t="inlineStr">
        <is>
          <t>REC-000876</t>
        </is>
      </c>
      <c r="B881" s="94" t="str">
        <f>IF(T881=1,INDEX('ITENS_MTR'!$S$6:$S$1005,S881)&amp;"","")</f>
        <v/>
      </c>
      <c r="C881" s="91" t="n"/>
      <c r="D881" s="94" t="str">
        <f>IF(N(U881)&gt;0,INDEX('MTRs'!$I$6:$I$505,U881)&amp;"","")</f>
        <v/>
      </c>
      <c r="E881" s="92" t="n"/>
      <c r="F881" s="98" t="n"/>
      <c r="G881" s="91" t="n"/>
      <c r="H881" s="93" t="str">
        <f>IF(Q881=0,"",IF(NOT(ISNUMBER(F881)),"",IF(ISNUMBER(W881),F881*W881,"UNIDADE A CONFERIR")))</f>
        <v/>
      </c>
      <c r="I881" s="91" t="n"/>
      <c r="J881" s="91" t="n"/>
      <c r="K881" s="92" t="n"/>
      <c r="L881" s="91" t="n"/>
      <c r="M881" s="91" t="n"/>
      <c r="N881" s="91" t="n"/>
      <c r="O881" s="91" t="n"/>
      <c r="P881" s="94" t="str">
        <f>IF(Q881=0,"",IF(C881="","Item de resíduo não informado",IF(T881=0,"Item inexistente (referência inválida)",IF(NOT(ISNUMBER(F881)),"Quantidade não informada",IF(F881&lt;=0,"Quantidade não positiva",IF(G881="","Unidade não informada",IF(NOT(ISNUMBER(H881)),"Unidade a conferir",IF(NOT(ISNUMBER(E881)),"Data de recebimento não informada",IF(AND(ISNUMBER(V881),N(V881)&gt;0,E881&lt;N(V881)),"Data anterior à emissão do MTR",IF(AND(J881="Sim",L881="",M881=""),"Conferido sem evidência identificada",IF(J881&lt;&gt;"Sim","Aguardando conferência",IF(INDEX('ITENS_MTR'!$AM$6:$AM$1005,S881)=1,"Conferido (ver diferença no item)","Conferido"))))))))))))</f>
        <v/>
      </c>
      <c r="Q881" s="96">
        <f>IF(COUNTA(C881,E881:G881,I881:O881)&gt;0,1,0)</f>
        <v>0</v>
      </c>
      <c r="R881" s="96" t="str">
        <f>IF(C881="","",TRIM(LEFT(C881,FIND(" |",C881&amp;" |")-1)))</f>
        <v/>
      </c>
      <c r="S881" s="96" t="str">
        <f>IF(R881="","",IFERROR(MATCH(R881,'ITENS_MTR'!$A$6:$A$1005,0),""))</f>
        <v/>
      </c>
      <c r="T881" s="96">
        <f>IF(S881="",0,IF(INDEX('ITENS_MTR'!$R$6:$R$1005,S881)=1,1,0))</f>
        <v>0</v>
      </c>
      <c r="U881" s="96" t="str">
        <f>IF(T881=1,INDEX('ITENS_MTR'!$T$6:$T$1005,S881),"")</f>
        <v/>
      </c>
      <c r="V881" s="97" t="str">
        <f>IF(N(U881)&gt;0,INDEX('MTRs'!$E$6:$E$505,U881),"")</f>
        <v/>
      </c>
      <c r="W881" s="96" t="str">
        <f>IF(G881="","",IFERROR(IF(ISNUMBER(INDEX(cfg_fac,MATCH(G881,cfg_units,0))),IF(INDEX(cfg_fac,MATCH(G881,cfg_units,0))&gt;0,INDEX(cfg_fac,MATCH(G881,cfg_units,0)),""),""),""))</f>
        <v/>
      </c>
      <c r="X881" s="96">
        <f>IF(AND(ISNUMBER(F881),ISNUMBER(H881)),IF(H881&gt;0,1,0),0)</f>
        <v>0</v>
      </c>
      <c r="Y881" s="96">
        <f>IF(Q881=0,0,IF(OR(T881=0,X881=0,NOT(ISNUMBER(E881)),AND(J881="Sim",L881="",M881=""),AND(ISNUMBER(E881),ISNUMBER(V881),N(V881)&gt;0,E881&lt;N(V881))),1,0))</f>
        <v>0</v>
      </c>
      <c r="Z881" s="96">
        <f>IF(AND(Q881=1,T881=1,X881=1,J881="Sim",OR(L881&lt;&gt;"",M881&lt;&gt;"")),1,0)</f>
        <v>0</v>
      </c>
      <c r="AA881" s="96">
        <f>IF(Q881=0,0,IF(AND(OR(r_ini="",AND(ISNUMBER(E881),E881&gt;=r_ini)),OR(r_fim="",AND(ISNUMBER(E881),E881&lt;=r_fim)),OR(r_un="",r_un="(Todas)",IF(N(U881)&gt;0,INDEX('MTRs'!$G$6:$G$505,U881),"")=r_un),OR(r_de="",r_de="(Todos)",D881=r_de)),1,0))</f>
        <v>0</v>
      </c>
      <c r="AB881" s="96" t="str">
        <f>IF(AA881=1,COUNTIF($AA$6:AA881,1),"")</f>
        <v/>
      </c>
    </row>
    <row r="882">
      <c r="A882" s="89" t="inlineStr">
        <is>
          <t>REC-000877</t>
        </is>
      </c>
      <c r="B882" s="94" t="str">
        <f>IF(T882=1,INDEX('ITENS_MTR'!$S$6:$S$1005,S882)&amp;"","")</f>
        <v/>
      </c>
      <c r="C882" s="91" t="n"/>
      <c r="D882" s="94" t="str">
        <f>IF(N(U882)&gt;0,INDEX('MTRs'!$I$6:$I$505,U882)&amp;"","")</f>
        <v/>
      </c>
      <c r="E882" s="92" t="n"/>
      <c r="F882" s="98" t="n"/>
      <c r="G882" s="91" t="n"/>
      <c r="H882" s="93" t="str">
        <f>IF(Q882=0,"",IF(NOT(ISNUMBER(F882)),"",IF(ISNUMBER(W882),F882*W882,"UNIDADE A CONFERIR")))</f>
        <v/>
      </c>
      <c r="I882" s="91" t="n"/>
      <c r="J882" s="91" t="n"/>
      <c r="K882" s="92" t="n"/>
      <c r="L882" s="91" t="n"/>
      <c r="M882" s="91" t="n"/>
      <c r="N882" s="91" t="n"/>
      <c r="O882" s="91" t="n"/>
      <c r="P882" s="94" t="str">
        <f>IF(Q882=0,"",IF(C882="","Item de resíduo não informado",IF(T882=0,"Item inexistente (referência inválida)",IF(NOT(ISNUMBER(F882)),"Quantidade não informada",IF(F882&lt;=0,"Quantidade não positiva",IF(G882="","Unidade não informada",IF(NOT(ISNUMBER(H882)),"Unidade a conferir",IF(NOT(ISNUMBER(E882)),"Data de recebimento não informada",IF(AND(ISNUMBER(V882),N(V882)&gt;0,E882&lt;N(V882)),"Data anterior à emissão do MTR",IF(AND(J882="Sim",L882="",M882=""),"Conferido sem evidência identificada",IF(J882&lt;&gt;"Sim","Aguardando conferência",IF(INDEX('ITENS_MTR'!$AM$6:$AM$1005,S882)=1,"Conferido (ver diferença no item)","Conferido"))))))))))))</f>
        <v/>
      </c>
      <c r="Q882" s="96">
        <f>IF(COUNTA(C882,E882:G882,I882:O882)&gt;0,1,0)</f>
        <v>0</v>
      </c>
      <c r="R882" s="96" t="str">
        <f>IF(C882="","",TRIM(LEFT(C882,FIND(" |",C882&amp;" |")-1)))</f>
        <v/>
      </c>
      <c r="S882" s="96" t="str">
        <f>IF(R882="","",IFERROR(MATCH(R882,'ITENS_MTR'!$A$6:$A$1005,0),""))</f>
        <v/>
      </c>
      <c r="T882" s="96">
        <f>IF(S882="",0,IF(INDEX('ITENS_MTR'!$R$6:$R$1005,S882)=1,1,0))</f>
        <v>0</v>
      </c>
      <c r="U882" s="96" t="str">
        <f>IF(T882=1,INDEX('ITENS_MTR'!$T$6:$T$1005,S882),"")</f>
        <v/>
      </c>
      <c r="V882" s="97" t="str">
        <f>IF(N(U882)&gt;0,INDEX('MTRs'!$E$6:$E$505,U882),"")</f>
        <v/>
      </c>
      <c r="W882" s="96" t="str">
        <f>IF(G882="","",IFERROR(IF(ISNUMBER(INDEX(cfg_fac,MATCH(G882,cfg_units,0))),IF(INDEX(cfg_fac,MATCH(G882,cfg_units,0))&gt;0,INDEX(cfg_fac,MATCH(G882,cfg_units,0)),""),""),""))</f>
        <v/>
      </c>
      <c r="X882" s="96">
        <f>IF(AND(ISNUMBER(F882),ISNUMBER(H882)),IF(H882&gt;0,1,0),0)</f>
        <v>0</v>
      </c>
      <c r="Y882" s="96">
        <f>IF(Q882=0,0,IF(OR(T882=0,X882=0,NOT(ISNUMBER(E882)),AND(J882="Sim",L882="",M882=""),AND(ISNUMBER(E882),ISNUMBER(V882),N(V882)&gt;0,E882&lt;N(V882))),1,0))</f>
        <v>0</v>
      </c>
      <c r="Z882" s="96">
        <f>IF(AND(Q882=1,T882=1,X882=1,J882="Sim",OR(L882&lt;&gt;"",M882&lt;&gt;"")),1,0)</f>
        <v>0</v>
      </c>
      <c r="AA882" s="96">
        <f>IF(Q882=0,0,IF(AND(OR(r_ini="",AND(ISNUMBER(E882),E882&gt;=r_ini)),OR(r_fim="",AND(ISNUMBER(E882),E882&lt;=r_fim)),OR(r_un="",r_un="(Todas)",IF(N(U882)&gt;0,INDEX('MTRs'!$G$6:$G$505,U882),"")=r_un),OR(r_de="",r_de="(Todos)",D882=r_de)),1,0))</f>
        <v>0</v>
      </c>
      <c r="AB882" s="96" t="str">
        <f>IF(AA882=1,COUNTIF($AA$6:AA882,1),"")</f>
        <v/>
      </c>
    </row>
    <row r="883">
      <c r="A883" s="89" t="inlineStr">
        <is>
          <t>REC-000878</t>
        </is>
      </c>
      <c r="B883" s="94" t="str">
        <f>IF(T883=1,INDEX('ITENS_MTR'!$S$6:$S$1005,S883)&amp;"","")</f>
        <v/>
      </c>
      <c r="C883" s="91" t="n"/>
      <c r="D883" s="94" t="str">
        <f>IF(N(U883)&gt;0,INDEX('MTRs'!$I$6:$I$505,U883)&amp;"","")</f>
        <v/>
      </c>
      <c r="E883" s="92" t="n"/>
      <c r="F883" s="98" t="n"/>
      <c r="G883" s="91" t="n"/>
      <c r="H883" s="93" t="str">
        <f>IF(Q883=0,"",IF(NOT(ISNUMBER(F883)),"",IF(ISNUMBER(W883),F883*W883,"UNIDADE A CONFERIR")))</f>
        <v/>
      </c>
      <c r="I883" s="91" t="n"/>
      <c r="J883" s="91" t="n"/>
      <c r="K883" s="92" t="n"/>
      <c r="L883" s="91" t="n"/>
      <c r="M883" s="91" t="n"/>
      <c r="N883" s="91" t="n"/>
      <c r="O883" s="91" t="n"/>
      <c r="P883" s="94" t="str">
        <f>IF(Q883=0,"",IF(C883="","Item de resíduo não informado",IF(T883=0,"Item inexistente (referência inválida)",IF(NOT(ISNUMBER(F883)),"Quantidade não informada",IF(F883&lt;=0,"Quantidade não positiva",IF(G883="","Unidade não informada",IF(NOT(ISNUMBER(H883)),"Unidade a conferir",IF(NOT(ISNUMBER(E883)),"Data de recebimento não informada",IF(AND(ISNUMBER(V883),N(V883)&gt;0,E883&lt;N(V883)),"Data anterior à emissão do MTR",IF(AND(J883="Sim",L883="",M883=""),"Conferido sem evidência identificada",IF(J883&lt;&gt;"Sim","Aguardando conferência",IF(INDEX('ITENS_MTR'!$AM$6:$AM$1005,S883)=1,"Conferido (ver diferença no item)","Conferido"))))))))))))</f>
        <v/>
      </c>
      <c r="Q883" s="96">
        <f>IF(COUNTA(C883,E883:G883,I883:O883)&gt;0,1,0)</f>
        <v>0</v>
      </c>
      <c r="R883" s="96" t="str">
        <f>IF(C883="","",TRIM(LEFT(C883,FIND(" |",C883&amp;" |")-1)))</f>
        <v/>
      </c>
      <c r="S883" s="96" t="str">
        <f>IF(R883="","",IFERROR(MATCH(R883,'ITENS_MTR'!$A$6:$A$1005,0),""))</f>
        <v/>
      </c>
      <c r="T883" s="96">
        <f>IF(S883="",0,IF(INDEX('ITENS_MTR'!$R$6:$R$1005,S883)=1,1,0))</f>
        <v>0</v>
      </c>
      <c r="U883" s="96" t="str">
        <f>IF(T883=1,INDEX('ITENS_MTR'!$T$6:$T$1005,S883),"")</f>
        <v/>
      </c>
      <c r="V883" s="97" t="str">
        <f>IF(N(U883)&gt;0,INDEX('MTRs'!$E$6:$E$505,U883),"")</f>
        <v/>
      </c>
      <c r="W883" s="96" t="str">
        <f>IF(G883="","",IFERROR(IF(ISNUMBER(INDEX(cfg_fac,MATCH(G883,cfg_units,0))),IF(INDEX(cfg_fac,MATCH(G883,cfg_units,0))&gt;0,INDEX(cfg_fac,MATCH(G883,cfg_units,0)),""),""),""))</f>
        <v/>
      </c>
      <c r="X883" s="96">
        <f>IF(AND(ISNUMBER(F883),ISNUMBER(H883)),IF(H883&gt;0,1,0),0)</f>
        <v>0</v>
      </c>
      <c r="Y883" s="96">
        <f>IF(Q883=0,0,IF(OR(T883=0,X883=0,NOT(ISNUMBER(E883)),AND(J883="Sim",L883="",M883=""),AND(ISNUMBER(E883),ISNUMBER(V883),N(V883)&gt;0,E883&lt;N(V883))),1,0))</f>
        <v>0</v>
      </c>
      <c r="Z883" s="96">
        <f>IF(AND(Q883=1,T883=1,X883=1,J883="Sim",OR(L883&lt;&gt;"",M883&lt;&gt;"")),1,0)</f>
        <v>0</v>
      </c>
      <c r="AA883" s="96">
        <f>IF(Q883=0,0,IF(AND(OR(r_ini="",AND(ISNUMBER(E883),E883&gt;=r_ini)),OR(r_fim="",AND(ISNUMBER(E883),E883&lt;=r_fim)),OR(r_un="",r_un="(Todas)",IF(N(U883)&gt;0,INDEX('MTRs'!$G$6:$G$505,U883),"")=r_un),OR(r_de="",r_de="(Todos)",D883=r_de)),1,0))</f>
        <v>0</v>
      </c>
      <c r="AB883" s="96" t="str">
        <f>IF(AA883=1,COUNTIF($AA$6:AA883,1),"")</f>
        <v/>
      </c>
    </row>
    <row r="884">
      <c r="A884" s="89" t="inlineStr">
        <is>
          <t>REC-000879</t>
        </is>
      </c>
      <c r="B884" s="94" t="str">
        <f>IF(T884=1,INDEX('ITENS_MTR'!$S$6:$S$1005,S884)&amp;"","")</f>
        <v/>
      </c>
      <c r="C884" s="91" t="n"/>
      <c r="D884" s="94" t="str">
        <f>IF(N(U884)&gt;0,INDEX('MTRs'!$I$6:$I$505,U884)&amp;"","")</f>
        <v/>
      </c>
      <c r="E884" s="92" t="n"/>
      <c r="F884" s="98" t="n"/>
      <c r="G884" s="91" t="n"/>
      <c r="H884" s="93" t="str">
        <f>IF(Q884=0,"",IF(NOT(ISNUMBER(F884)),"",IF(ISNUMBER(W884),F884*W884,"UNIDADE A CONFERIR")))</f>
        <v/>
      </c>
      <c r="I884" s="91" t="n"/>
      <c r="J884" s="91" t="n"/>
      <c r="K884" s="92" t="n"/>
      <c r="L884" s="91" t="n"/>
      <c r="M884" s="91" t="n"/>
      <c r="N884" s="91" t="n"/>
      <c r="O884" s="91" t="n"/>
      <c r="P884" s="94" t="str">
        <f>IF(Q884=0,"",IF(C884="","Item de resíduo não informado",IF(T884=0,"Item inexistente (referência inválida)",IF(NOT(ISNUMBER(F884)),"Quantidade não informada",IF(F884&lt;=0,"Quantidade não positiva",IF(G884="","Unidade não informada",IF(NOT(ISNUMBER(H884)),"Unidade a conferir",IF(NOT(ISNUMBER(E884)),"Data de recebimento não informada",IF(AND(ISNUMBER(V884),N(V884)&gt;0,E884&lt;N(V884)),"Data anterior à emissão do MTR",IF(AND(J884="Sim",L884="",M884=""),"Conferido sem evidência identificada",IF(J884&lt;&gt;"Sim","Aguardando conferência",IF(INDEX('ITENS_MTR'!$AM$6:$AM$1005,S884)=1,"Conferido (ver diferença no item)","Conferido"))))))))))))</f>
        <v/>
      </c>
      <c r="Q884" s="96">
        <f>IF(COUNTA(C884,E884:G884,I884:O884)&gt;0,1,0)</f>
        <v>0</v>
      </c>
      <c r="R884" s="96" t="str">
        <f>IF(C884="","",TRIM(LEFT(C884,FIND(" |",C884&amp;" |")-1)))</f>
        <v/>
      </c>
      <c r="S884" s="96" t="str">
        <f>IF(R884="","",IFERROR(MATCH(R884,'ITENS_MTR'!$A$6:$A$1005,0),""))</f>
        <v/>
      </c>
      <c r="T884" s="96">
        <f>IF(S884="",0,IF(INDEX('ITENS_MTR'!$R$6:$R$1005,S884)=1,1,0))</f>
        <v>0</v>
      </c>
      <c r="U884" s="96" t="str">
        <f>IF(T884=1,INDEX('ITENS_MTR'!$T$6:$T$1005,S884),"")</f>
        <v/>
      </c>
      <c r="V884" s="97" t="str">
        <f>IF(N(U884)&gt;0,INDEX('MTRs'!$E$6:$E$505,U884),"")</f>
        <v/>
      </c>
      <c r="W884" s="96" t="str">
        <f>IF(G884="","",IFERROR(IF(ISNUMBER(INDEX(cfg_fac,MATCH(G884,cfg_units,0))),IF(INDEX(cfg_fac,MATCH(G884,cfg_units,0))&gt;0,INDEX(cfg_fac,MATCH(G884,cfg_units,0)),""),""),""))</f>
        <v/>
      </c>
      <c r="X884" s="96">
        <f>IF(AND(ISNUMBER(F884),ISNUMBER(H884)),IF(H884&gt;0,1,0),0)</f>
        <v>0</v>
      </c>
      <c r="Y884" s="96">
        <f>IF(Q884=0,0,IF(OR(T884=0,X884=0,NOT(ISNUMBER(E884)),AND(J884="Sim",L884="",M884=""),AND(ISNUMBER(E884),ISNUMBER(V884),N(V884)&gt;0,E884&lt;N(V884))),1,0))</f>
        <v>0</v>
      </c>
      <c r="Z884" s="96">
        <f>IF(AND(Q884=1,T884=1,X884=1,J884="Sim",OR(L884&lt;&gt;"",M884&lt;&gt;"")),1,0)</f>
        <v>0</v>
      </c>
      <c r="AA884" s="96">
        <f>IF(Q884=0,0,IF(AND(OR(r_ini="",AND(ISNUMBER(E884),E884&gt;=r_ini)),OR(r_fim="",AND(ISNUMBER(E884),E884&lt;=r_fim)),OR(r_un="",r_un="(Todas)",IF(N(U884)&gt;0,INDEX('MTRs'!$G$6:$G$505,U884),"")=r_un),OR(r_de="",r_de="(Todos)",D884=r_de)),1,0))</f>
        <v>0</v>
      </c>
      <c r="AB884" s="96" t="str">
        <f>IF(AA884=1,COUNTIF($AA$6:AA884,1),"")</f>
        <v/>
      </c>
    </row>
    <row r="885">
      <c r="A885" s="89" t="inlineStr">
        <is>
          <t>REC-000880</t>
        </is>
      </c>
      <c r="B885" s="94" t="str">
        <f>IF(T885=1,INDEX('ITENS_MTR'!$S$6:$S$1005,S885)&amp;"","")</f>
        <v/>
      </c>
      <c r="C885" s="91" t="n"/>
      <c r="D885" s="94" t="str">
        <f>IF(N(U885)&gt;0,INDEX('MTRs'!$I$6:$I$505,U885)&amp;"","")</f>
        <v/>
      </c>
      <c r="E885" s="92" t="n"/>
      <c r="F885" s="98" t="n"/>
      <c r="G885" s="91" t="n"/>
      <c r="H885" s="93" t="str">
        <f>IF(Q885=0,"",IF(NOT(ISNUMBER(F885)),"",IF(ISNUMBER(W885),F885*W885,"UNIDADE A CONFERIR")))</f>
        <v/>
      </c>
      <c r="I885" s="91" t="n"/>
      <c r="J885" s="91" t="n"/>
      <c r="K885" s="92" t="n"/>
      <c r="L885" s="91" t="n"/>
      <c r="M885" s="91" t="n"/>
      <c r="N885" s="91" t="n"/>
      <c r="O885" s="91" t="n"/>
      <c r="P885" s="94" t="str">
        <f>IF(Q885=0,"",IF(C885="","Item de resíduo não informado",IF(T885=0,"Item inexistente (referência inválida)",IF(NOT(ISNUMBER(F885)),"Quantidade não informada",IF(F885&lt;=0,"Quantidade não positiva",IF(G885="","Unidade não informada",IF(NOT(ISNUMBER(H885)),"Unidade a conferir",IF(NOT(ISNUMBER(E885)),"Data de recebimento não informada",IF(AND(ISNUMBER(V885),N(V885)&gt;0,E885&lt;N(V885)),"Data anterior à emissão do MTR",IF(AND(J885="Sim",L885="",M885=""),"Conferido sem evidência identificada",IF(J885&lt;&gt;"Sim","Aguardando conferência",IF(INDEX('ITENS_MTR'!$AM$6:$AM$1005,S885)=1,"Conferido (ver diferença no item)","Conferido"))))))))))))</f>
        <v/>
      </c>
      <c r="Q885" s="96">
        <f>IF(COUNTA(C885,E885:G885,I885:O885)&gt;0,1,0)</f>
        <v>0</v>
      </c>
      <c r="R885" s="96" t="str">
        <f>IF(C885="","",TRIM(LEFT(C885,FIND(" |",C885&amp;" |")-1)))</f>
        <v/>
      </c>
      <c r="S885" s="96" t="str">
        <f>IF(R885="","",IFERROR(MATCH(R885,'ITENS_MTR'!$A$6:$A$1005,0),""))</f>
        <v/>
      </c>
      <c r="T885" s="96">
        <f>IF(S885="",0,IF(INDEX('ITENS_MTR'!$R$6:$R$1005,S885)=1,1,0))</f>
        <v>0</v>
      </c>
      <c r="U885" s="96" t="str">
        <f>IF(T885=1,INDEX('ITENS_MTR'!$T$6:$T$1005,S885),"")</f>
        <v/>
      </c>
      <c r="V885" s="97" t="str">
        <f>IF(N(U885)&gt;0,INDEX('MTRs'!$E$6:$E$505,U885),"")</f>
        <v/>
      </c>
      <c r="W885" s="96" t="str">
        <f>IF(G885="","",IFERROR(IF(ISNUMBER(INDEX(cfg_fac,MATCH(G885,cfg_units,0))),IF(INDEX(cfg_fac,MATCH(G885,cfg_units,0))&gt;0,INDEX(cfg_fac,MATCH(G885,cfg_units,0)),""),""),""))</f>
        <v/>
      </c>
      <c r="X885" s="96">
        <f>IF(AND(ISNUMBER(F885),ISNUMBER(H885)),IF(H885&gt;0,1,0),0)</f>
        <v>0</v>
      </c>
      <c r="Y885" s="96">
        <f>IF(Q885=0,0,IF(OR(T885=0,X885=0,NOT(ISNUMBER(E885)),AND(J885="Sim",L885="",M885=""),AND(ISNUMBER(E885),ISNUMBER(V885),N(V885)&gt;0,E885&lt;N(V885))),1,0))</f>
        <v>0</v>
      </c>
      <c r="Z885" s="96">
        <f>IF(AND(Q885=1,T885=1,X885=1,J885="Sim",OR(L885&lt;&gt;"",M885&lt;&gt;"")),1,0)</f>
        <v>0</v>
      </c>
      <c r="AA885" s="96">
        <f>IF(Q885=0,0,IF(AND(OR(r_ini="",AND(ISNUMBER(E885),E885&gt;=r_ini)),OR(r_fim="",AND(ISNUMBER(E885),E885&lt;=r_fim)),OR(r_un="",r_un="(Todas)",IF(N(U885)&gt;0,INDEX('MTRs'!$G$6:$G$505,U885),"")=r_un),OR(r_de="",r_de="(Todos)",D885=r_de)),1,0))</f>
        <v>0</v>
      </c>
      <c r="AB885" s="96" t="str">
        <f>IF(AA885=1,COUNTIF($AA$6:AA885,1),"")</f>
        <v/>
      </c>
    </row>
    <row r="886">
      <c r="A886" s="89" t="inlineStr">
        <is>
          <t>REC-000881</t>
        </is>
      </c>
      <c r="B886" s="94" t="str">
        <f>IF(T886=1,INDEX('ITENS_MTR'!$S$6:$S$1005,S886)&amp;"","")</f>
        <v/>
      </c>
      <c r="C886" s="91" t="n"/>
      <c r="D886" s="94" t="str">
        <f>IF(N(U886)&gt;0,INDEX('MTRs'!$I$6:$I$505,U886)&amp;"","")</f>
        <v/>
      </c>
      <c r="E886" s="92" t="n"/>
      <c r="F886" s="98" t="n"/>
      <c r="G886" s="91" t="n"/>
      <c r="H886" s="93" t="str">
        <f>IF(Q886=0,"",IF(NOT(ISNUMBER(F886)),"",IF(ISNUMBER(W886),F886*W886,"UNIDADE A CONFERIR")))</f>
        <v/>
      </c>
      <c r="I886" s="91" t="n"/>
      <c r="J886" s="91" t="n"/>
      <c r="K886" s="92" t="n"/>
      <c r="L886" s="91" t="n"/>
      <c r="M886" s="91" t="n"/>
      <c r="N886" s="91" t="n"/>
      <c r="O886" s="91" t="n"/>
      <c r="P886" s="94" t="str">
        <f>IF(Q886=0,"",IF(C886="","Item de resíduo não informado",IF(T886=0,"Item inexistente (referência inválida)",IF(NOT(ISNUMBER(F886)),"Quantidade não informada",IF(F886&lt;=0,"Quantidade não positiva",IF(G886="","Unidade não informada",IF(NOT(ISNUMBER(H886)),"Unidade a conferir",IF(NOT(ISNUMBER(E886)),"Data de recebimento não informada",IF(AND(ISNUMBER(V886),N(V886)&gt;0,E886&lt;N(V886)),"Data anterior à emissão do MTR",IF(AND(J886="Sim",L886="",M886=""),"Conferido sem evidência identificada",IF(J886&lt;&gt;"Sim","Aguardando conferência",IF(INDEX('ITENS_MTR'!$AM$6:$AM$1005,S886)=1,"Conferido (ver diferença no item)","Conferido"))))))))))))</f>
        <v/>
      </c>
      <c r="Q886" s="96">
        <f>IF(COUNTA(C886,E886:G886,I886:O886)&gt;0,1,0)</f>
        <v>0</v>
      </c>
      <c r="R886" s="96" t="str">
        <f>IF(C886="","",TRIM(LEFT(C886,FIND(" |",C886&amp;" |")-1)))</f>
        <v/>
      </c>
      <c r="S886" s="96" t="str">
        <f>IF(R886="","",IFERROR(MATCH(R886,'ITENS_MTR'!$A$6:$A$1005,0),""))</f>
        <v/>
      </c>
      <c r="T886" s="96">
        <f>IF(S886="",0,IF(INDEX('ITENS_MTR'!$R$6:$R$1005,S886)=1,1,0))</f>
        <v>0</v>
      </c>
      <c r="U886" s="96" t="str">
        <f>IF(T886=1,INDEX('ITENS_MTR'!$T$6:$T$1005,S886),"")</f>
        <v/>
      </c>
      <c r="V886" s="97" t="str">
        <f>IF(N(U886)&gt;0,INDEX('MTRs'!$E$6:$E$505,U886),"")</f>
        <v/>
      </c>
      <c r="W886" s="96" t="str">
        <f>IF(G886="","",IFERROR(IF(ISNUMBER(INDEX(cfg_fac,MATCH(G886,cfg_units,0))),IF(INDEX(cfg_fac,MATCH(G886,cfg_units,0))&gt;0,INDEX(cfg_fac,MATCH(G886,cfg_units,0)),""),""),""))</f>
        <v/>
      </c>
      <c r="X886" s="96">
        <f>IF(AND(ISNUMBER(F886),ISNUMBER(H886)),IF(H886&gt;0,1,0),0)</f>
        <v>0</v>
      </c>
      <c r="Y886" s="96">
        <f>IF(Q886=0,0,IF(OR(T886=0,X886=0,NOT(ISNUMBER(E886)),AND(J886="Sim",L886="",M886=""),AND(ISNUMBER(E886),ISNUMBER(V886),N(V886)&gt;0,E886&lt;N(V886))),1,0))</f>
        <v>0</v>
      </c>
      <c r="Z886" s="96">
        <f>IF(AND(Q886=1,T886=1,X886=1,J886="Sim",OR(L886&lt;&gt;"",M886&lt;&gt;"")),1,0)</f>
        <v>0</v>
      </c>
      <c r="AA886" s="96">
        <f>IF(Q886=0,0,IF(AND(OR(r_ini="",AND(ISNUMBER(E886),E886&gt;=r_ini)),OR(r_fim="",AND(ISNUMBER(E886),E886&lt;=r_fim)),OR(r_un="",r_un="(Todas)",IF(N(U886)&gt;0,INDEX('MTRs'!$G$6:$G$505,U886),"")=r_un),OR(r_de="",r_de="(Todos)",D886=r_de)),1,0))</f>
        <v>0</v>
      </c>
      <c r="AB886" s="96" t="str">
        <f>IF(AA886=1,COUNTIF($AA$6:AA886,1),"")</f>
        <v/>
      </c>
    </row>
    <row r="887">
      <c r="A887" s="89" t="inlineStr">
        <is>
          <t>REC-000882</t>
        </is>
      </c>
      <c r="B887" s="94" t="str">
        <f>IF(T887=1,INDEX('ITENS_MTR'!$S$6:$S$1005,S887)&amp;"","")</f>
        <v/>
      </c>
      <c r="C887" s="91" t="n"/>
      <c r="D887" s="94" t="str">
        <f>IF(N(U887)&gt;0,INDEX('MTRs'!$I$6:$I$505,U887)&amp;"","")</f>
        <v/>
      </c>
      <c r="E887" s="92" t="n"/>
      <c r="F887" s="98" t="n"/>
      <c r="G887" s="91" t="n"/>
      <c r="H887" s="93" t="str">
        <f>IF(Q887=0,"",IF(NOT(ISNUMBER(F887)),"",IF(ISNUMBER(W887),F887*W887,"UNIDADE A CONFERIR")))</f>
        <v/>
      </c>
      <c r="I887" s="91" t="n"/>
      <c r="J887" s="91" t="n"/>
      <c r="K887" s="92" t="n"/>
      <c r="L887" s="91" t="n"/>
      <c r="M887" s="91" t="n"/>
      <c r="N887" s="91" t="n"/>
      <c r="O887" s="91" t="n"/>
      <c r="P887" s="94" t="str">
        <f>IF(Q887=0,"",IF(C887="","Item de resíduo não informado",IF(T887=0,"Item inexistente (referência inválida)",IF(NOT(ISNUMBER(F887)),"Quantidade não informada",IF(F887&lt;=0,"Quantidade não positiva",IF(G887="","Unidade não informada",IF(NOT(ISNUMBER(H887)),"Unidade a conferir",IF(NOT(ISNUMBER(E887)),"Data de recebimento não informada",IF(AND(ISNUMBER(V887),N(V887)&gt;0,E887&lt;N(V887)),"Data anterior à emissão do MTR",IF(AND(J887="Sim",L887="",M887=""),"Conferido sem evidência identificada",IF(J887&lt;&gt;"Sim","Aguardando conferência",IF(INDEX('ITENS_MTR'!$AM$6:$AM$1005,S887)=1,"Conferido (ver diferença no item)","Conferido"))))))))))))</f>
        <v/>
      </c>
      <c r="Q887" s="96">
        <f>IF(COUNTA(C887,E887:G887,I887:O887)&gt;0,1,0)</f>
        <v>0</v>
      </c>
      <c r="R887" s="96" t="str">
        <f>IF(C887="","",TRIM(LEFT(C887,FIND(" |",C887&amp;" |")-1)))</f>
        <v/>
      </c>
      <c r="S887" s="96" t="str">
        <f>IF(R887="","",IFERROR(MATCH(R887,'ITENS_MTR'!$A$6:$A$1005,0),""))</f>
        <v/>
      </c>
      <c r="T887" s="96">
        <f>IF(S887="",0,IF(INDEX('ITENS_MTR'!$R$6:$R$1005,S887)=1,1,0))</f>
        <v>0</v>
      </c>
      <c r="U887" s="96" t="str">
        <f>IF(T887=1,INDEX('ITENS_MTR'!$T$6:$T$1005,S887),"")</f>
        <v/>
      </c>
      <c r="V887" s="97" t="str">
        <f>IF(N(U887)&gt;0,INDEX('MTRs'!$E$6:$E$505,U887),"")</f>
        <v/>
      </c>
      <c r="W887" s="96" t="str">
        <f>IF(G887="","",IFERROR(IF(ISNUMBER(INDEX(cfg_fac,MATCH(G887,cfg_units,0))),IF(INDEX(cfg_fac,MATCH(G887,cfg_units,0))&gt;0,INDEX(cfg_fac,MATCH(G887,cfg_units,0)),""),""),""))</f>
        <v/>
      </c>
      <c r="X887" s="96">
        <f>IF(AND(ISNUMBER(F887),ISNUMBER(H887)),IF(H887&gt;0,1,0),0)</f>
        <v>0</v>
      </c>
      <c r="Y887" s="96">
        <f>IF(Q887=0,0,IF(OR(T887=0,X887=0,NOT(ISNUMBER(E887)),AND(J887="Sim",L887="",M887=""),AND(ISNUMBER(E887),ISNUMBER(V887),N(V887)&gt;0,E887&lt;N(V887))),1,0))</f>
        <v>0</v>
      </c>
      <c r="Z887" s="96">
        <f>IF(AND(Q887=1,T887=1,X887=1,J887="Sim",OR(L887&lt;&gt;"",M887&lt;&gt;"")),1,0)</f>
        <v>0</v>
      </c>
      <c r="AA887" s="96">
        <f>IF(Q887=0,0,IF(AND(OR(r_ini="",AND(ISNUMBER(E887),E887&gt;=r_ini)),OR(r_fim="",AND(ISNUMBER(E887),E887&lt;=r_fim)),OR(r_un="",r_un="(Todas)",IF(N(U887)&gt;0,INDEX('MTRs'!$G$6:$G$505,U887),"")=r_un),OR(r_de="",r_de="(Todos)",D887=r_de)),1,0))</f>
        <v>0</v>
      </c>
      <c r="AB887" s="96" t="str">
        <f>IF(AA887=1,COUNTIF($AA$6:AA887,1),"")</f>
        <v/>
      </c>
    </row>
    <row r="888">
      <c r="A888" s="89" t="inlineStr">
        <is>
          <t>REC-000883</t>
        </is>
      </c>
      <c r="B888" s="94" t="str">
        <f>IF(T888=1,INDEX('ITENS_MTR'!$S$6:$S$1005,S888)&amp;"","")</f>
        <v/>
      </c>
      <c r="C888" s="91" t="n"/>
      <c r="D888" s="94" t="str">
        <f>IF(N(U888)&gt;0,INDEX('MTRs'!$I$6:$I$505,U888)&amp;"","")</f>
        <v/>
      </c>
      <c r="E888" s="92" t="n"/>
      <c r="F888" s="98" t="n"/>
      <c r="G888" s="91" t="n"/>
      <c r="H888" s="93" t="str">
        <f>IF(Q888=0,"",IF(NOT(ISNUMBER(F888)),"",IF(ISNUMBER(W888),F888*W888,"UNIDADE A CONFERIR")))</f>
        <v/>
      </c>
      <c r="I888" s="91" t="n"/>
      <c r="J888" s="91" t="n"/>
      <c r="K888" s="92" t="n"/>
      <c r="L888" s="91" t="n"/>
      <c r="M888" s="91" t="n"/>
      <c r="N888" s="91" t="n"/>
      <c r="O888" s="91" t="n"/>
      <c r="P888" s="94" t="str">
        <f>IF(Q888=0,"",IF(C888="","Item de resíduo não informado",IF(T888=0,"Item inexistente (referência inválida)",IF(NOT(ISNUMBER(F888)),"Quantidade não informada",IF(F888&lt;=0,"Quantidade não positiva",IF(G888="","Unidade não informada",IF(NOT(ISNUMBER(H888)),"Unidade a conferir",IF(NOT(ISNUMBER(E888)),"Data de recebimento não informada",IF(AND(ISNUMBER(V888),N(V888)&gt;0,E888&lt;N(V888)),"Data anterior à emissão do MTR",IF(AND(J888="Sim",L888="",M888=""),"Conferido sem evidência identificada",IF(J888&lt;&gt;"Sim","Aguardando conferência",IF(INDEX('ITENS_MTR'!$AM$6:$AM$1005,S888)=1,"Conferido (ver diferença no item)","Conferido"))))))))))))</f>
        <v/>
      </c>
      <c r="Q888" s="96">
        <f>IF(COUNTA(C888,E888:G888,I888:O888)&gt;0,1,0)</f>
        <v>0</v>
      </c>
      <c r="R888" s="96" t="str">
        <f>IF(C888="","",TRIM(LEFT(C888,FIND(" |",C888&amp;" |")-1)))</f>
        <v/>
      </c>
      <c r="S888" s="96" t="str">
        <f>IF(R888="","",IFERROR(MATCH(R888,'ITENS_MTR'!$A$6:$A$1005,0),""))</f>
        <v/>
      </c>
      <c r="T888" s="96">
        <f>IF(S888="",0,IF(INDEX('ITENS_MTR'!$R$6:$R$1005,S888)=1,1,0))</f>
        <v>0</v>
      </c>
      <c r="U888" s="96" t="str">
        <f>IF(T888=1,INDEX('ITENS_MTR'!$T$6:$T$1005,S888),"")</f>
        <v/>
      </c>
      <c r="V888" s="97" t="str">
        <f>IF(N(U888)&gt;0,INDEX('MTRs'!$E$6:$E$505,U888),"")</f>
        <v/>
      </c>
      <c r="W888" s="96" t="str">
        <f>IF(G888="","",IFERROR(IF(ISNUMBER(INDEX(cfg_fac,MATCH(G888,cfg_units,0))),IF(INDEX(cfg_fac,MATCH(G888,cfg_units,0))&gt;0,INDEX(cfg_fac,MATCH(G888,cfg_units,0)),""),""),""))</f>
        <v/>
      </c>
      <c r="X888" s="96">
        <f>IF(AND(ISNUMBER(F888),ISNUMBER(H888)),IF(H888&gt;0,1,0),0)</f>
        <v>0</v>
      </c>
      <c r="Y888" s="96">
        <f>IF(Q888=0,0,IF(OR(T888=0,X888=0,NOT(ISNUMBER(E888)),AND(J888="Sim",L888="",M888=""),AND(ISNUMBER(E888),ISNUMBER(V888),N(V888)&gt;0,E888&lt;N(V888))),1,0))</f>
        <v>0</v>
      </c>
      <c r="Z888" s="96">
        <f>IF(AND(Q888=1,T888=1,X888=1,J888="Sim",OR(L888&lt;&gt;"",M888&lt;&gt;"")),1,0)</f>
        <v>0</v>
      </c>
      <c r="AA888" s="96">
        <f>IF(Q888=0,0,IF(AND(OR(r_ini="",AND(ISNUMBER(E888),E888&gt;=r_ini)),OR(r_fim="",AND(ISNUMBER(E888),E888&lt;=r_fim)),OR(r_un="",r_un="(Todas)",IF(N(U888)&gt;0,INDEX('MTRs'!$G$6:$G$505,U888),"")=r_un),OR(r_de="",r_de="(Todos)",D888=r_de)),1,0))</f>
        <v>0</v>
      </c>
      <c r="AB888" s="96" t="str">
        <f>IF(AA888=1,COUNTIF($AA$6:AA888,1),"")</f>
        <v/>
      </c>
    </row>
    <row r="889">
      <c r="A889" s="89" t="inlineStr">
        <is>
          <t>REC-000884</t>
        </is>
      </c>
      <c r="B889" s="94" t="str">
        <f>IF(T889=1,INDEX('ITENS_MTR'!$S$6:$S$1005,S889)&amp;"","")</f>
        <v/>
      </c>
      <c r="C889" s="91" t="n"/>
      <c r="D889" s="94" t="str">
        <f>IF(N(U889)&gt;0,INDEX('MTRs'!$I$6:$I$505,U889)&amp;"","")</f>
        <v/>
      </c>
      <c r="E889" s="92" t="n"/>
      <c r="F889" s="98" t="n"/>
      <c r="G889" s="91" t="n"/>
      <c r="H889" s="93" t="str">
        <f>IF(Q889=0,"",IF(NOT(ISNUMBER(F889)),"",IF(ISNUMBER(W889),F889*W889,"UNIDADE A CONFERIR")))</f>
        <v/>
      </c>
      <c r="I889" s="91" t="n"/>
      <c r="J889" s="91" t="n"/>
      <c r="K889" s="92" t="n"/>
      <c r="L889" s="91" t="n"/>
      <c r="M889" s="91" t="n"/>
      <c r="N889" s="91" t="n"/>
      <c r="O889" s="91" t="n"/>
      <c r="P889" s="94" t="str">
        <f>IF(Q889=0,"",IF(C889="","Item de resíduo não informado",IF(T889=0,"Item inexistente (referência inválida)",IF(NOT(ISNUMBER(F889)),"Quantidade não informada",IF(F889&lt;=0,"Quantidade não positiva",IF(G889="","Unidade não informada",IF(NOT(ISNUMBER(H889)),"Unidade a conferir",IF(NOT(ISNUMBER(E889)),"Data de recebimento não informada",IF(AND(ISNUMBER(V889),N(V889)&gt;0,E889&lt;N(V889)),"Data anterior à emissão do MTR",IF(AND(J889="Sim",L889="",M889=""),"Conferido sem evidência identificada",IF(J889&lt;&gt;"Sim","Aguardando conferência",IF(INDEX('ITENS_MTR'!$AM$6:$AM$1005,S889)=1,"Conferido (ver diferença no item)","Conferido"))))))))))))</f>
        <v/>
      </c>
      <c r="Q889" s="96">
        <f>IF(COUNTA(C889,E889:G889,I889:O889)&gt;0,1,0)</f>
        <v>0</v>
      </c>
      <c r="R889" s="96" t="str">
        <f>IF(C889="","",TRIM(LEFT(C889,FIND(" |",C889&amp;" |")-1)))</f>
        <v/>
      </c>
      <c r="S889" s="96" t="str">
        <f>IF(R889="","",IFERROR(MATCH(R889,'ITENS_MTR'!$A$6:$A$1005,0),""))</f>
        <v/>
      </c>
      <c r="T889" s="96">
        <f>IF(S889="",0,IF(INDEX('ITENS_MTR'!$R$6:$R$1005,S889)=1,1,0))</f>
        <v>0</v>
      </c>
      <c r="U889" s="96" t="str">
        <f>IF(T889=1,INDEX('ITENS_MTR'!$T$6:$T$1005,S889),"")</f>
        <v/>
      </c>
      <c r="V889" s="97" t="str">
        <f>IF(N(U889)&gt;0,INDEX('MTRs'!$E$6:$E$505,U889),"")</f>
        <v/>
      </c>
      <c r="W889" s="96" t="str">
        <f>IF(G889="","",IFERROR(IF(ISNUMBER(INDEX(cfg_fac,MATCH(G889,cfg_units,0))),IF(INDEX(cfg_fac,MATCH(G889,cfg_units,0))&gt;0,INDEX(cfg_fac,MATCH(G889,cfg_units,0)),""),""),""))</f>
        <v/>
      </c>
      <c r="X889" s="96">
        <f>IF(AND(ISNUMBER(F889),ISNUMBER(H889)),IF(H889&gt;0,1,0),0)</f>
        <v>0</v>
      </c>
      <c r="Y889" s="96">
        <f>IF(Q889=0,0,IF(OR(T889=0,X889=0,NOT(ISNUMBER(E889)),AND(J889="Sim",L889="",M889=""),AND(ISNUMBER(E889),ISNUMBER(V889),N(V889)&gt;0,E889&lt;N(V889))),1,0))</f>
        <v>0</v>
      </c>
      <c r="Z889" s="96">
        <f>IF(AND(Q889=1,T889=1,X889=1,J889="Sim",OR(L889&lt;&gt;"",M889&lt;&gt;"")),1,0)</f>
        <v>0</v>
      </c>
      <c r="AA889" s="96">
        <f>IF(Q889=0,0,IF(AND(OR(r_ini="",AND(ISNUMBER(E889),E889&gt;=r_ini)),OR(r_fim="",AND(ISNUMBER(E889),E889&lt;=r_fim)),OR(r_un="",r_un="(Todas)",IF(N(U889)&gt;0,INDEX('MTRs'!$G$6:$G$505,U889),"")=r_un),OR(r_de="",r_de="(Todos)",D889=r_de)),1,0))</f>
        <v>0</v>
      </c>
      <c r="AB889" s="96" t="str">
        <f>IF(AA889=1,COUNTIF($AA$6:AA889,1),"")</f>
        <v/>
      </c>
    </row>
    <row r="890">
      <c r="A890" s="89" t="inlineStr">
        <is>
          <t>REC-000885</t>
        </is>
      </c>
      <c r="B890" s="94" t="str">
        <f>IF(T890=1,INDEX('ITENS_MTR'!$S$6:$S$1005,S890)&amp;"","")</f>
        <v/>
      </c>
      <c r="C890" s="91" t="n"/>
      <c r="D890" s="94" t="str">
        <f>IF(N(U890)&gt;0,INDEX('MTRs'!$I$6:$I$505,U890)&amp;"","")</f>
        <v/>
      </c>
      <c r="E890" s="92" t="n"/>
      <c r="F890" s="98" t="n"/>
      <c r="G890" s="91" t="n"/>
      <c r="H890" s="93" t="str">
        <f>IF(Q890=0,"",IF(NOT(ISNUMBER(F890)),"",IF(ISNUMBER(W890),F890*W890,"UNIDADE A CONFERIR")))</f>
        <v/>
      </c>
      <c r="I890" s="91" t="n"/>
      <c r="J890" s="91" t="n"/>
      <c r="K890" s="92" t="n"/>
      <c r="L890" s="91" t="n"/>
      <c r="M890" s="91" t="n"/>
      <c r="N890" s="91" t="n"/>
      <c r="O890" s="91" t="n"/>
      <c r="P890" s="94" t="str">
        <f>IF(Q890=0,"",IF(C890="","Item de resíduo não informado",IF(T890=0,"Item inexistente (referência inválida)",IF(NOT(ISNUMBER(F890)),"Quantidade não informada",IF(F890&lt;=0,"Quantidade não positiva",IF(G890="","Unidade não informada",IF(NOT(ISNUMBER(H890)),"Unidade a conferir",IF(NOT(ISNUMBER(E890)),"Data de recebimento não informada",IF(AND(ISNUMBER(V890),N(V890)&gt;0,E890&lt;N(V890)),"Data anterior à emissão do MTR",IF(AND(J890="Sim",L890="",M890=""),"Conferido sem evidência identificada",IF(J890&lt;&gt;"Sim","Aguardando conferência",IF(INDEX('ITENS_MTR'!$AM$6:$AM$1005,S890)=1,"Conferido (ver diferença no item)","Conferido"))))))))))))</f>
        <v/>
      </c>
      <c r="Q890" s="96">
        <f>IF(COUNTA(C890,E890:G890,I890:O890)&gt;0,1,0)</f>
        <v>0</v>
      </c>
      <c r="R890" s="96" t="str">
        <f>IF(C890="","",TRIM(LEFT(C890,FIND(" |",C890&amp;" |")-1)))</f>
        <v/>
      </c>
      <c r="S890" s="96" t="str">
        <f>IF(R890="","",IFERROR(MATCH(R890,'ITENS_MTR'!$A$6:$A$1005,0),""))</f>
        <v/>
      </c>
      <c r="T890" s="96">
        <f>IF(S890="",0,IF(INDEX('ITENS_MTR'!$R$6:$R$1005,S890)=1,1,0))</f>
        <v>0</v>
      </c>
      <c r="U890" s="96" t="str">
        <f>IF(T890=1,INDEX('ITENS_MTR'!$T$6:$T$1005,S890),"")</f>
        <v/>
      </c>
      <c r="V890" s="97" t="str">
        <f>IF(N(U890)&gt;0,INDEX('MTRs'!$E$6:$E$505,U890),"")</f>
        <v/>
      </c>
      <c r="W890" s="96" t="str">
        <f>IF(G890="","",IFERROR(IF(ISNUMBER(INDEX(cfg_fac,MATCH(G890,cfg_units,0))),IF(INDEX(cfg_fac,MATCH(G890,cfg_units,0))&gt;0,INDEX(cfg_fac,MATCH(G890,cfg_units,0)),""),""),""))</f>
        <v/>
      </c>
      <c r="X890" s="96">
        <f>IF(AND(ISNUMBER(F890),ISNUMBER(H890)),IF(H890&gt;0,1,0),0)</f>
        <v>0</v>
      </c>
      <c r="Y890" s="96">
        <f>IF(Q890=0,0,IF(OR(T890=0,X890=0,NOT(ISNUMBER(E890)),AND(J890="Sim",L890="",M890=""),AND(ISNUMBER(E890),ISNUMBER(V890),N(V890)&gt;0,E890&lt;N(V890))),1,0))</f>
        <v>0</v>
      </c>
      <c r="Z890" s="96">
        <f>IF(AND(Q890=1,T890=1,X890=1,J890="Sim",OR(L890&lt;&gt;"",M890&lt;&gt;"")),1,0)</f>
        <v>0</v>
      </c>
      <c r="AA890" s="96">
        <f>IF(Q890=0,0,IF(AND(OR(r_ini="",AND(ISNUMBER(E890),E890&gt;=r_ini)),OR(r_fim="",AND(ISNUMBER(E890),E890&lt;=r_fim)),OR(r_un="",r_un="(Todas)",IF(N(U890)&gt;0,INDEX('MTRs'!$G$6:$G$505,U890),"")=r_un),OR(r_de="",r_de="(Todos)",D890=r_de)),1,0))</f>
        <v>0</v>
      </c>
      <c r="AB890" s="96" t="str">
        <f>IF(AA890=1,COUNTIF($AA$6:AA890,1),"")</f>
        <v/>
      </c>
    </row>
    <row r="891">
      <c r="A891" s="89" t="inlineStr">
        <is>
          <t>REC-000886</t>
        </is>
      </c>
      <c r="B891" s="94" t="str">
        <f>IF(T891=1,INDEX('ITENS_MTR'!$S$6:$S$1005,S891)&amp;"","")</f>
        <v/>
      </c>
      <c r="C891" s="91" t="n"/>
      <c r="D891" s="94" t="str">
        <f>IF(N(U891)&gt;0,INDEX('MTRs'!$I$6:$I$505,U891)&amp;"","")</f>
        <v/>
      </c>
      <c r="E891" s="92" t="n"/>
      <c r="F891" s="98" t="n"/>
      <c r="G891" s="91" t="n"/>
      <c r="H891" s="93" t="str">
        <f>IF(Q891=0,"",IF(NOT(ISNUMBER(F891)),"",IF(ISNUMBER(W891),F891*W891,"UNIDADE A CONFERIR")))</f>
        <v/>
      </c>
      <c r="I891" s="91" t="n"/>
      <c r="J891" s="91" t="n"/>
      <c r="K891" s="92" t="n"/>
      <c r="L891" s="91" t="n"/>
      <c r="M891" s="91" t="n"/>
      <c r="N891" s="91" t="n"/>
      <c r="O891" s="91" t="n"/>
      <c r="P891" s="94" t="str">
        <f>IF(Q891=0,"",IF(C891="","Item de resíduo não informado",IF(T891=0,"Item inexistente (referência inválida)",IF(NOT(ISNUMBER(F891)),"Quantidade não informada",IF(F891&lt;=0,"Quantidade não positiva",IF(G891="","Unidade não informada",IF(NOT(ISNUMBER(H891)),"Unidade a conferir",IF(NOT(ISNUMBER(E891)),"Data de recebimento não informada",IF(AND(ISNUMBER(V891),N(V891)&gt;0,E891&lt;N(V891)),"Data anterior à emissão do MTR",IF(AND(J891="Sim",L891="",M891=""),"Conferido sem evidência identificada",IF(J891&lt;&gt;"Sim","Aguardando conferência",IF(INDEX('ITENS_MTR'!$AM$6:$AM$1005,S891)=1,"Conferido (ver diferença no item)","Conferido"))))))))))))</f>
        <v/>
      </c>
      <c r="Q891" s="96">
        <f>IF(COUNTA(C891,E891:G891,I891:O891)&gt;0,1,0)</f>
        <v>0</v>
      </c>
      <c r="R891" s="96" t="str">
        <f>IF(C891="","",TRIM(LEFT(C891,FIND(" |",C891&amp;" |")-1)))</f>
        <v/>
      </c>
      <c r="S891" s="96" t="str">
        <f>IF(R891="","",IFERROR(MATCH(R891,'ITENS_MTR'!$A$6:$A$1005,0),""))</f>
        <v/>
      </c>
      <c r="T891" s="96">
        <f>IF(S891="",0,IF(INDEX('ITENS_MTR'!$R$6:$R$1005,S891)=1,1,0))</f>
        <v>0</v>
      </c>
      <c r="U891" s="96" t="str">
        <f>IF(T891=1,INDEX('ITENS_MTR'!$T$6:$T$1005,S891),"")</f>
        <v/>
      </c>
      <c r="V891" s="97" t="str">
        <f>IF(N(U891)&gt;0,INDEX('MTRs'!$E$6:$E$505,U891),"")</f>
        <v/>
      </c>
      <c r="W891" s="96" t="str">
        <f>IF(G891="","",IFERROR(IF(ISNUMBER(INDEX(cfg_fac,MATCH(G891,cfg_units,0))),IF(INDEX(cfg_fac,MATCH(G891,cfg_units,0))&gt;0,INDEX(cfg_fac,MATCH(G891,cfg_units,0)),""),""),""))</f>
        <v/>
      </c>
      <c r="X891" s="96">
        <f>IF(AND(ISNUMBER(F891),ISNUMBER(H891)),IF(H891&gt;0,1,0),0)</f>
        <v>0</v>
      </c>
      <c r="Y891" s="96">
        <f>IF(Q891=0,0,IF(OR(T891=0,X891=0,NOT(ISNUMBER(E891)),AND(J891="Sim",L891="",M891=""),AND(ISNUMBER(E891),ISNUMBER(V891),N(V891)&gt;0,E891&lt;N(V891))),1,0))</f>
        <v>0</v>
      </c>
      <c r="Z891" s="96">
        <f>IF(AND(Q891=1,T891=1,X891=1,J891="Sim",OR(L891&lt;&gt;"",M891&lt;&gt;"")),1,0)</f>
        <v>0</v>
      </c>
      <c r="AA891" s="96">
        <f>IF(Q891=0,0,IF(AND(OR(r_ini="",AND(ISNUMBER(E891),E891&gt;=r_ini)),OR(r_fim="",AND(ISNUMBER(E891),E891&lt;=r_fim)),OR(r_un="",r_un="(Todas)",IF(N(U891)&gt;0,INDEX('MTRs'!$G$6:$G$505,U891),"")=r_un),OR(r_de="",r_de="(Todos)",D891=r_de)),1,0))</f>
        <v>0</v>
      </c>
      <c r="AB891" s="96" t="str">
        <f>IF(AA891=1,COUNTIF($AA$6:AA891,1),"")</f>
        <v/>
      </c>
    </row>
    <row r="892">
      <c r="A892" s="89" t="inlineStr">
        <is>
          <t>REC-000887</t>
        </is>
      </c>
      <c r="B892" s="94" t="str">
        <f>IF(T892=1,INDEX('ITENS_MTR'!$S$6:$S$1005,S892)&amp;"","")</f>
        <v/>
      </c>
      <c r="C892" s="91" t="n"/>
      <c r="D892" s="94" t="str">
        <f>IF(N(U892)&gt;0,INDEX('MTRs'!$I$6:$I$505,U892)&amp;"","")</f>
        <v/>
      </c>
      <c r="E892" s="92" t="n"/>
      <c r="F892" s="98" t="n"/>
      <c r="G892" s="91" t="n"/>
      <c r="H892" s="93" t="str">
        <f>IF(Q892=0,"",IF(NOT(ISNUMBER(F892)),"",IF(ISNUMBER(W892),F892*W892,"UNIDADE A CONFERIR")))</f>
        <v/>
      </c>
      <c r="I892" s="91" t="n"/>
      <c r="J892" s="91" t="n"/>
      <c r="K892" s="92" t="n"/>
      <c r="L892" s="91" t="n"/>
      <c r="M892" s="91" t="n"/>
      <c r="N892" s="91" t="n"/>
      <c r="O892" s="91" t="n"/>
      <c r="P892" s="94" t="str">
        <f>IF(Q892=0,"",IF(C892="","Item de resíduo não informado",IF(T892=0,"Item inexistente (referência inválida)",IF(NOT(ISNUMBER(F892)),"Quantidade não informada",IF(F892&lt;=0,"Quantidade não positiva",IF(G892="","Unidade não informada",IF(NOT(ISNUMBER(H892)),"Unidade a conferir",IF(NOT(ISNUMBER(E892)),"Data de recebimento não informada",IF(AND(ISNUMBER(V892),N(V892)&gt;0,E892&lt;N(V892)),"Data anterior à emissão do MTR",IF(AND(J892="Sim",L892="",M892=""),"Conferido sem evidência identificada",IF(J892&lt;&gt;"Sim","Aguardando conferência",IF(INDEX('ITENS_MTR'!$AM$6:$AM$1005,S892)=1,"Conferido (ver diferença no item)","Conferido"))))))))))))</f>
        <v/>
      </c>
      <c r="Q892" s="96">
        <f>IF(COUNTA(C892,E892:G892,I892:O892)&gt;0,1,0)</f>
        <v>0</v>
      </c>
      <c r="R892" s="96" t="str">
        <f>IF(C892="","",TRIM(LEFT(C892,FIND(" |",C892&amp;" |")-1)))</f>
        <v/>
      </c>
      <c r="S892" s="96" t="str">
        <f>IF(R892="","",IFERROR(MATCH(R892,'ITENS_MTR'!$A$6:$A$1005,0),""))</f>
        <v/>
      </c>
      <c r="T892" s="96">
        <f>IF(S892="",0,IF(INDEX('ITENS_MTR'!$R$6:$R$1005,S892)=1,1,0))</f>
        <v>0</v>
      </c>
      <c r="U892" s="96" t="str">
        <f>IF(T892=1,INDEX('ITENS_MTR'!$T$6:$T$1005,S892),"")</f>
        <v/>
      </c>
      <c r="V892" s="97" t="str">
        <f>IF(N(U892)&gt;0,INDEX('MTRs'!$E$6:$E$505,U892),"")</f>
        <v/>
      </c>
      <c r="W892" s="96" t="str">
        <f>IF(G892="","",IFERROR(IF(ISNUMBER(INDEX(cfg_fac,MATCH(G892,cfg_units,0))),IF(INDEX(cfg_fac,MATCH(G892,cfg_units,0))&gt;0,INDEX(cfg_fac,MATCH(G892,cfg_units,0)),""),""),""))</f>
        <v/>
      </c>
      <c r="X892" s="96">
        <f>IF(AND(ISNUMBER(F892),ISNUMBER(H892)),IF(H892&gt;0,1,0),0)</f>
        <v>0</v>
      </c>
      <c r="Y892" s="96">
        <f>IF(Q892=0,0,IF(OR(T892=0,X892=0,NOT(ISNUMBER(E892)),AND(J892="Sim",L892="",M892=""),AND(ISNUMBER(E892),ISNUMBER(V892),N(V892)&gt;0,E892&lt;N(V892))),1,0))</f>
        <v>0</v>
      </c>
      <c r="Z892" s="96">
        <f>IF(AND(Q892=1,T892=1,X892=1,J892="Sim",OR(L892&lt;&gt;"",M892&lt;&gt;"")),1,0)</f>
        <v>0</v>
      </c>
      <c r="AA892" s="96">
        <f>IF(Q892=0,0,IF(AND(OR(r_ini="",AND(ISNUMBER(E892),E892&gt;=r_ini)),OR(r_fim="",AND(ISNUMBER(E892),E892&lt;=r_fim)),OR(r_un="",r_un="(Todas)",IF(N(U892)&gt;0,INDEX('MTRs'!$G$6:$G$505,U892),"")=r_un),OR(r_de="",r_de="(Todos)",D892=r_de)),1,0))</f>
        <v>0</v>
      </c>
      <c r="AB892" s="96" t="str">
        <f>IF(AA892=1,COUNTIF($AA$6:AA892,1),"")</f>
        <v/>
      </c>
    </row>
    <row r="893">
      <c r="A893" s="89" t="inlineStr">
        <is>
          <t>REC-000888</t>
        </is>
      </c>
      <c r="B893" s="94" t="str">
        <f>IF(T893=1,INDEX('ITENS_MTR'!$S$6:$S$1005,S893)&amp;"","")</f>
        <v/>
      </c>
      <c r="C893" s="91" t="n"/>
      <c r="D893" s="94" t="str">
        <f>IF(N(U893)&gt;0,INDEX('MTRs'!$I$6:$I$505,U893)&amp;"","")</f>
        <v/>
      </c>
      <c r="E893" s="92" t="n"/>
      <c r="F893" s="98" t="n"/>
      <c r="G893" s="91" t="n"/>
      <c r="H893" s="93" t="str">
        <f>IF(Q893=0,"",IF(NOT(ISNUMBER(F893)),"",IF(ISNUMBER(W893),F893*W893,"UNIDADE A CONFERIR")))</f>
        <v/>
      </c>
      <c r="I893" s="91" t="n"/>
      <c r="J893" s="91" t="n"/>
      <c r="K893" s="92" t="n"/>
      <c r="L893" s="91" t="n"/>
      <c r="M893" s="91" t="n"/>
      <c r="N893" s="91" t="n"/>
      <c r="O893" s="91" t="n"/>
      <c r="P893" s="94" t="str">
        <f>IF(Q893=0,"",IF(C893="","Item de resíduo não informado",IF(T893=0,"Item inexistente (referência inválida)",IF(NOT(ISNUMBER(F893)),"Quantidade não informada",IF(F893&lt;=0,"Quantidade não positiva",IF(G893="","Unidade não informada",IF(NOT(ISNUMBER(H893)),"Unidade a conferir",IF(NOT(ISNUMBER(E893)),"Data de recebimento não informada",IF(AND(ISNUMBER(V893),N(V893)&gt;0,E893&lt;N(V893)),"Data anterior à emissão do MTR",IF(AND(J893="Sim",L893="",M893=""),"Conferido sem evidência identificada",IF(J893&lt;&gt;"Sim","Aguardando conferência",IF(INDEX('ITENS_MTR'!$AM$6:$AM$1005,S893)=1,"Conferido (ver diferença no item)","Conferido"))))))))))))</f>
        <v/>
      </c>
      <c r="Q893" s="96">
        <f>IF(COUNTA(C893,E893:G893,I893:O893)&gt;0,1,0)</f>
        <v>0</v>
      </c>
      <c r="R893" s="96" t="str">
        <f>IF(C893="","",TRIM(LEFT(C893,FIND(" |",C893&amp;" |")-1)))</f>
        <v/>
      </c>
      <c r="S893" s="96" t="str">
        <f>IF(R893="","",IFERROR(MATCH(R893,'ITENS_MTR'!$A$6:$A$1005,0),""))</f>
        <v/>
      </c>
      <c r="T893" s="96">
        <f>IF(S893="",0,IF(INDEX('ITENS_MTR'!$R$6:$R$1005,S893)=1,1,0))</f>
        <v>0</v>
      </c>
      <c r="U893" s="96" t="str">
        <f>IF(T893=1,INDEX('ITENS_MTR'!$T$6:$T$1005,S893),"")</f>
        <v/>
      </c>
      <c r="V893" s="97" t="str">
        <f>IF(N(U893)&gt;0,INDEX('MTRs'!$E$6:$E$505,U893),"")</f>
        <v/>
      </c>
      <c r="W893" s="96" t="str">
        <f>IF(G893="","",IFERROR(IF(ISNUMBER(INDEX(cfg_fac,MATCH(G893,cfg_units,0))),IF(INDEX(cfg_fac,MATCH(G893,cfg_units,0))&gt;0,INDEX(cfg_fac,MATCH(G893,cfg_units,0)),""),""),""))</f>
        <v/>
      </c>
      <c r="X893" s="96">
        <f>IF(AND(ISNUMBER(F893),ISNUMBER(H893)),IF(H893&gt;0,1,0),0)</f>
        <v>0</v>
      </c>
      <c r="Y893" s="96">
        <f>IF(Q893=0,0,IF(OR(T893=0,X893=0,NOT(ISNUMBER(E893)),AND(J893="Sim",L893="",M893=""),AND(ISNUMBER(E893),ISNUMBER(V893),N(V893)&gt;0,E893&lt;N(V893))),1,0))</f>
        <v>0</v>
      </c>
      <c r="Z893" s="96">
        <f>IF(AND(Q893=1,T893=1,X893=1,J893="Sim",OR(L893&lt;&gt;"",M893&lt;&gt;"")),1,0)</f>
        <v>0</v>
      </c>
      <c r="AA893" s="96">
        <f>IF(Q893=0,0,IF(AND(OR(r_ini="",AND(ISNUMBER(E893),E893&gt;=r_ini)),OR(r_fim="",AND(ISNUMBER(E893),E893&lt;=r_fim)),OR(r_un="",r_un="(Todas)",IF(N(U893)&gt;0,INDEX('MTRs'!$G$6:$G$505,U893),"")=r_un),OR(r_de="",r_de="(Todos)",D893=r_de)),1,0))</f>
        <v>0</v>
      </c>
      <c r="AB893" s="96" t="str">
        <f>IF(AA893=1,COUNTIF($AA$6:AA893,1),"")</f>
        <v/>
      </c>
    </row>
    <row r="894">
      <c r="A894" s="89" t="inlineStr">
        <is>
          <t>REC-000889</t>
        </is>
      </c>
      <c r="B894" s="94" t="str">
        <f>IF(T894=1,INDEX('ITENS_MTR'!$S$6:$S$1005,S894)&amp;"","")</f>
        <v/>
      </c>
      <c r="C894" s="91" t="n"/>
      <c r="D894" s="94" t="str">
        <f>IF(N(U894)&gt;0,INDEX('MTRs'!$I$6:$I$505,U894)&amp;"","")</f>
        <v/>
      </c>
      <c r="E894" s="92" t="n"/>
      <c r="F894" s="98" t="n"/>
      <c r="G894" s="91" t="n"/>
      <c r="H894" s="93" t="str">
        <f>IF(Q894=0,"",IF(NOT(ISNUMBER(F894)),"",IF(ISNUMBER(W894),F894*W894,"UNIDADE A CONFERIR")))</f>
        <v/>
      </c>
      <c r="I894" s="91" t="n"/>
      <c r="J894" s="91" t="n"/>
      <c r="K894" s="92" t="n"/>
      <c r="L894" s="91" t="n"/>
      <c r="M894" s="91" t="n"/>
      <c r="N894" s="91" t="n"/>
      <c r="O894" s="91" t="n"/>
      <c r="P894" s="94" t="str">
        <f>IF(Q894=0,"",IF(C894="","Item de resíduo não informado",IF(T894=0,"Item inexistente (referência inválida)",IF(NOT(ISNUMBER(F894)),"Quantidade não informada",IF(F894&lt;=0,"Quantidade não positiva",IF(G894="","Unidade não informada",IF(NOT(ISNUMBER(H894)),"Unidade a conferir",IF(NOT(ISNUMBER(E894)),"Data de recebimento não informada",IF(AND(ISNUMBER(V894),N(V894)&gt;0,E894&lt;N(V894)),"Data anterior à emissão do MTR",IF(AND(J894="Sim",L894="",M894=""),"Conferido sem evidência identificada",IF(J894&lt;&gt;"Sim","Aguardando conferência",IF(INDEX('ITENS_MTR'!$AM$6:$AM$1005,S894)=1,"Conferido (ver diferença no item)","Conferido"))))))))))))</f>
        <v/>
      </c>
      <c r="Q894" s="96">
        <f>IF(COUNTA(C894,E894:G894,I894:O894)&gt;0,1,0)</f>
        <v>0</v>
      </c>
      <c r="R894" s="96" t="str">
        <f>IF(C894="","",TRIM(LEFT(C894,FIND(" |",C894&amp;" |")-1)))</f>
        <v/>
      </c>
      <c r="S894" s="96" t="str">
        <f>IF(R894="","",IFERROR(MATCH(R894,'ITENS_MTR'!$A$6:$A$1005,0),""))</f>
        <v/>
      </c>
      <c r="T894" s="96">
        <f>IF(S894="",0,IF(INDEX('ITENS_MTR'!$R$6:$R$1005,S894)=1,1,0))</f>
        <v>0</v>
      </c>
      <c r="U894" s="96" t="str">
        <f>IF(T894=1,INDEX('ITENS_MTR'!$T$6:$T$1005,S894),"")</f>
        <v/>
      </c>
      <c r="V894" s="97" t="str">
        <f>IF(N(U894)&gt;0,INDEX('MTRs'!$E$6:$E$505,U894),"")</f>
        <v/>
      </c>
      <c r="W894" s="96" t="str">
        <f>IF(G894="","",IFERROR(IF(ISNUMBER(INDEX(cfg_fac,MATCH(G894,cfg_units,0))),IF(INDEX(cfg_fac,MATCH(G894,cfg_units,0))&gt;0,INDEX(cfg_fac,MATCH(G894,cfg_units,0)),""),""),""))</f>
        <v/>
      </c>
      <c r="X894" s="96">
        <f>IF(AND(ISNUMBER(F894),ISNUMBER(H894)),IF(H894&gt;0,1,0),0)</f>
        <v>0</v>
      </c>
      <c r="Y894" s="96">
        <f>IF(Q894=0,0,IF(OR(T894=0,X894=0,NOT(ISNUMBER(E894)),AND(J894="Sim",L894="",M894=""),AND(ISNUMBER(E894),ISNUMBER(V894),N(V894)&gt;0,E894&lt;N(V894))),1,0))</f>
        <v>0</v>
      </c>
      <c r="Z894" s="96">
        <f>IF(AND(Q894=1,T894=1,X894=1,J894="Sim",OR(L894&lt;&gt;"",M894&lt;&gt;"")),1,0)</f>
        <v>0</v>
      </c>
      <c r="AA894" s="96">
        <f>IF(Q894=0,0,IF(AND(OR(r_ini="",AND(ISNUMBER(E894),E894&gt;=r_ini)),OR(r_fim="",AND(ISNUMBER(E894),E894&lt;=r_fim)),OR(r_un="",r_un="(Todas)",IF(N(U894)&gt;0,INDEX('MTRs'!$G$6:$G$505,U894),"")=r_un),OR(r_de="",r_de="(Todos)",D894=r_de)),1,0))</f>
        <v>0</v>
      </c>
      <c r="AB894" s="96" t="str">
        <f>IF(AA894=1,COUNTIF($AA$6:AA894,1),"")</f>
        <v/>
      </c>
    </row>
    <row r="895">
      <c r="A895" s="89" t="inlineStr">
        <is>
          <t>REC-000890</t>
        </is>
      </c>
      <c r="B895" s="94" t="str">
        <f>IF(T895=1,INDEX('ITENS_MTR'!$S$6:$S$1005,S895)&amp;"","")</f>
        <v/>
      </c>
      <c r="C895" s="91" t="n"/>
      <c r="D895" s="94" t="str">
        <f>IF(N(U895)&gt;0,INDEX('MTRs'!$I$6:$I$505,U895)&amp;"","")</f>
        <v/>
      </c>
      <c r="E895" s="92" t="n"/>
      <c r="F895" s="98" t="n"/>
      <c r="G895" s="91" t="n"/>
      <c r="H895" s="93" t="str">
        <f>IF(Q895=0,"",IF(NOT(ISNUMBER(F895)),"",IF(ISNUMBER(W895),F895*W895,"UNIDADE A CONFERIR")))</f>
        <v/>
      </c>
      <c r="I895" s="91" t="n"/>
      <c r="J895" s="91" t="n"/>
      <c r="K895" s="92" t="n"/>
      <c r="L895" s="91" t="n"/>
      <c r="M895" s="91" t="n"/>
      <c r="N895" s="91" t="n"/>
      <c r="O895" s="91" t="n"/>
      <c r="P895" s="94" t="str">
        <f>IF(Q895=0,"",IF(C895="","Item de resíduo não informado",IF(T895=0,"Item inexistente (referência inválida)",IF(NOT(ISNUMBER(F895)),"Quantidade não informada",IF(F895&lt;=0,"Quantidade não positiva",IF(G895="","Unidade não informada",IF(NOT(ISNUMBER(H895)),"Unidade a conferir",IF(NOT(ISNUMBER(E895)),"Data de recebimento não informada",IF(AND(ISNUMBER(V895),N(V895)&gt;0,E895&lt;N(V895)),"Data anterior à emissão do MTR",IF(AND(J895="Sim",L895="",M895=""),"Conferido sem evidência identificada",IF(J895&lt;&gt;"Sim","Aguardando conferência",IF(INDEX('ITENS_MTR'!$AM$6:$AM$1005,S895)=1,"Conferido (ver diferença no item)","Conferido"))))))))))))</f>
        <v/>
      </c>
      <c r="Q895" s="96">
        <f>IF(COUNTA(C895,E895:G895,I895:O895)&gt;0,1,0)</f>
        <v>0</v>
      </c>
      <c r="R895" s="96" t="str">
        <f>IF(C895="","",TRIM(LEFT(C895,FIND(" |",C895&amp;" |")-1)))</f>
        <v/>
      </c>
      <c r="S895" s="96" t="str">
        <f>IF(R895="","",IFERROR(MATCH(R895,'ITENS_MTR'!$A$6:$A$1005,0),""))</f>
        <v/>
      </c>
      <c r="T895" s="96">
        <f>IF(S895="",0,IF(INDEX('ITENS_MTR'!$R$6:$R$1005,S895)=1,1,0))</f>
        <v>0</v>
      </c>
      <c r="U895" s="96" t="str">
        <f>IF(T895=1,INDEX('ITENS_MTR'!$T$6:$T$1005,S895),"")</f>
        <v/>
      </c>
      <c r="V895" s="97" t="str">
        <f>IF(N(U895)&gt;0,INDEX('MTRs'!$E$6:$E$505,U895),"")</f>
        <v/>
      </c>
      <c r="W895" s="96" t="str">
        <f>IF(G895="","",IFERROR(IF(ISNUMBER(INDEX(cfg_fac,MATCH(G895,cfg_units,0))),IF(INDEX(cfg_fac,MATCH(G895,cfg_units,0))&gt;0,INDEX(cfg_fac,MATCH(G895,cfg_units,0)),""),""),""))</f>
        <v/>
      </c>
      <c r="X895" s="96">
        <f>IF(AND(ISNUMBER(F895),ISNUMBER(H895)),IF(H895&gt;0,1,0),0)</f>
        <v>0</v>
      </c>
      <c r="Y895" s="96">
        <f>IF(Q895=0,0,IF(OR(T895=0,X895=0,NOT(ISNUMBER(E895)),AND(J895="Sim",L895="",M895=""),AND(ISNUMBER(E895),ISNUMBER(V895),N(V895)&gt;0,E895&lt;N(V895))),1,0))</f>
        <v>0</v>
      </c>
      <c r="Z895" s="96">
        <f>IF(AND(Q895=1,T895=1,X895=1,J895="Sim",OR(L895&lt;&gt;"",M895&lt;&gt;"")),1,0)</f>
        <v>0</v>
      </c>
      <c r="AA895" s="96">
        <f>IF(Q895=0,0,IF(AND(OR(r_ini="",AND(ISNUMBER(E895),E895&gt;=r_ini)),OR(r_fim="",AND(ISNUMBER(E895),E895&lt;=r_fim)),OR(r_un="",r_un="(Todas)",IF(N(U895)&gt;0,INDEX('MTRs'!$G$6:$G$505,U895),"")=r_un),OR(r_de="",r_de="(Todos)",D895=r_de)),1,0))</f>
        <v>0</v>
      </c>
      <c r="AB895" s="96" t="str">
        <f>IF(AA895=1,COUNTIF($AA$6:AA895,1),"")</f>
        <v/>
      </c>
    </row>
    <row r="896">
      <c r="A896" s="89" t="inlineStr">
        <is>
          <t>REC-000891</t>
        </is>
      </c>
      <c r="B896" s="94" t="str">
        <f>IF(T896=1,INDEX('ITENS_MTR'!$S$6:$S$1005,S896)&amp;"","")</f>
        <v/>
      </c>
      <c r="C896" s="91" t="n"/>
      <c r="D896" s="94" t="str">
        <f>IF(N(U896)&gt;0,INDEX('MTRs'!$I$6:$I$505,U896)&amp;"","")</f>
        <v/>
      </c>
      <c r="E896" s="92" t="n"/>
      <c r="F896" s="98" t="n"/>
      <c r="G896" s="91" t="n"/>
      <c r="H896" s="93" t="str">
        <f>IF(Q896=0,"",IF(NOT(ISNUMBER(F896)),"",IF(ISNUMBER(W896),F896*W896,"UNIDADE A CONFERIR")))</f>
        <v/>
      </c>
      <c r="I896" s="91" t="n"/>
      <c r="J896" s="91" t="n"/>
      <c r="K896" s="92" t="n"/>
      <c r="L896" s="91" t="n"/>
      <c r="M896" s="91" t="n"/>
      <c r="N896" s="91" t="n"/>
      <c r="O896" s="91" t="n"/>
      <c r="P896" s="94" t="str">
        <f>IF(Q896=0,"",IF(C896="","Item de resíduo não informado",IF(T896=0,"Item inexistente (referência inválida)",IF(NOT(ISNUMBER(F896)),"Quantidade não informada",IF(F896&lt;=0,"Quantidade não positiva",IF(G896="","Unidade não informada",IF(NOT(ISNUMBER(H896)),"Unidade a conferir",IF(NOT(ISNUMBER(E896)),"Data de recebimento não informada",IF(AND(ISNUMBER(V896),N(V896)&gt;0,E896&lt;N(V896)),"Data anterior à emissão do MTR",IF(AND(J896="Sim",L896="",M896=""),"Conferido sem evidência identificada",IF(J896&lt;&gt;"Sim","Aguardando conferência",IF(INDEX('ITENS_MTR'!$AM$6:$AM$1005,S896)=1,"Conferido (ver diferença no item)","Conferido"))))))))))))</f>
        <v/>
      </c>
      <c r="Q896" s="96">
        <f>IF(COUNTA(C896,E896:G896,I896:O896)&gt;0,1,0)</f>
        <v>0</v>
      </c>
      <c r="R896" s="96" t="str">
        <f>IF(C896="","",TRIM(LEFT(C896,FIND(" |",C896&amp;" |")-1)))</f>
        <v/>
      </c>
      <c r="S896" s="96" t="str">
        <f>IF(R896="","",IFERROR(MATCH(R896,'ITENS_MTR'!$A$6:$A$1005,0),""))</f>
        <v/>
      </c>
      <c r="T896" s="96">
        <f>IF(S896="",0,IF(INDEX('ITENS_MTR'!$R$6:$R$1005,S896)=1,1,0))</f>
        <v>0</v>
      </c>
      <c r="U896" s="96" t="str">
        <f>IF(T896=1,INDEX('ITENS_MTR'!$T$6:$T$1005,S896),"")</f>
        <v/>
      </c>
      <c r="V896" s="97" t="str">
        <f>IF(N(U896)&gt;0,INDEX('MTRs'!$E$6:$E$505,U896),"")</f>
        <v/>
      </c>
      <c r="W896" s="96" t="str">
        <f>IF(G896="","",IFERROR(IF(ISNUMBER(INDEX(cfg_fac,MATCH(G896,cfg_units,0))),IF(INDEX(cfg_fac,MATCH(G896,cfg_units,0))&gt;0,INDEX(cfg_fac,MATCH(G896,cfg_units,0)),""),""),""))</f>
        <v/>
      </c>
      <c r="X896" s="96">
        <f>IF(AND(ISNUMBER(F896),ISNUMBER(H896)),IF(H896&gt;0,1,0),0)</f>
        <v>0</v>
      </c>
      <c r="Y896" s="96">
        <f>IF(Q896=0,0,IF(OR(T896=0,X896=0,NOT(ISNUMBER(E896)),AND(J896="Sim",L896="",M896=""),AND(ISNUMBER(E896),ISNUMBER(V896),N(V896)&gt;0,E896&lt;N(V896))),1,0))</f>
        <v>0</v>
      </c>
      <c r="Z896" s="96">
        <f>IF(AND(Q896=1,T896=1,X896=1,J896="Sim",OR(L896&lt;&gt;"",M896&lt;&gt;"")),1,0)</f>
        <v>0</v>
      </c>
      <c r="AA896" s="96">
        <f>IF(Q896=0,0,IF(AND(OR(r_ini="",AND(ISNUMBER(E896),E896&gt;=r_ini)),OR(r_fim="",AND(ISNUMBER(E896),E896&lt;=r_fim)),OR(r_un="",r_un="(Todas)",IF(N(U896)&gt;0,INDEX('MTRs'!$G$6:$G$505,U896),"")=r_un),OR(r_de="",r_de="(Todos)",D896=r_de)),1,0))</f>
        <v>0</v>
      </c>
      <c r="AB896" s="96" t="str">
        <f>IF(AA896=1,COUNTIF($AA$6:AA896,1),"")</f>
        <v/>
      </c>
    </row>
    <row r="897">
      <c r="A897" s="89" t="inlineStr">
        <is>
          <t>REC-000892</t>
        </is>
      </c>
      <c r="B897" s="94" t="str">
        <f>IF(T897=1,INDEX('ITENS_MTR'!$S$6:$S$1005,S897)&amp;"","")</f>
        <v/>
      </c>
      <c r="C897" s="91" t="n"/>
      <c r="D897" s="94" t="str">
        <f>IF(N(U897)&gt;0,INDEX('MTRs'!$I$6:$I$505,U897)&amp;"","")</f>
        <v/>
      </c>
      <c r="E897" s="92" t="n"/>
      <c r="F897" s="98" t="n"/>
      <c r="G897" s="91" t="n"/>
      <c r="H897" s="93" t="str">
        <f>IF(Q897=0,"",IF(NOT(ISNUMBER(F897)),"",IF(ISNUMBER(W897),F897*W897,"UNIDADE A CONFERIR")))</f>
        <v/>
      </c>
      <c r="I897" s="91" t="n"/>
      <c r="J897" s="91" t="n"/>
      <c r="K897" s="92" t="n"/>
      <c r="L897" s="91" t="n"/>
      <c r="M897" s="91" t="n"/>
      <c r="N897" s="91" t="n"/>
      <c r="O897" s="91" t="n"/>
      <c r="P897" s="94" t="str">
        <f>IF(Q897=0,"",IF(C897="","Item de resíduo não informado",IF(T897=0,"Item inexistente (referência inválida)",IF(NOT(ISNUMBER(F897)),"Quantidade não informada",IF(F897&lt;=0,"Quantidade não positiva",IF(G897="","Unidade não informada",IF(NOT(ISNUMBER(H897)),"Unidade a conferir",IF(NOT(ISNUMBER(E897)),"Data de recebimento não informada",IF(AND(ISNUMBER(V897),N(V897)&gt;0,E897&lt;N(V897)),"Data anterior à emissão do MTR",IF(AND(J897="Sim",L897="",M897=""),"Conferido sem evidência identificada",IF(J897&lt;&gt;"Sim","Aguardando conferência",IF(INDEX('ITENS_MTR'!$AM$6:$AM$1005,S897)=1,"Conferido (ver diferença no item)","Conferido"))))))))))))</f>
        <v/>
      </c>
      <c r="Q897" s="96">
        <f>IF(COUNTA(C897,E897:G897,I897:O897)&gt;0,1,0)</f>
        <v>0</v>
      </c>
      <c r="R897" s="96" t="str">
        <f>IF(C897="","",TRIM(LEFT(C897,FIND(" |",C897&amp;" |")-1)))</f>
        <v/>
      </c>
      <c r="S897" s="96" t="str">
        <f>IF(R897="","",IFERROR(MATCH(R897,'ITENS_MTR'!$A$6:$A$1005,0),""))</f>
        <v/>
      </c>
      <c r="T897" s="96">
        <f>IF(S897="",0,IF(INDEX('ITENS_MTR'!$R$6:$R$1005,S897)=1,1,0))</f>
        <v>0</v>
      </c>
      <c r="U897" s="96" t="str">
        <f>IF(T897=1,INDEX('ITENS_MTR'!$T$6:$T$1005,S897),"")</f>
        <v/>
      </c>
      <c r="V897" s="97" t="str">
        <f>IF(N(U897)&gt;0,INDEX('MTRs'!$E$6:$E$505,U897),"")</f>
        <v/>
      </c>
      <c r="W897" s="96" t="str">
        <f>IF(G897="","",IFERROR(IF(ISNUMBER(INDEX(cfg_fac,MATCH(G897,cfg_units,0))),IF(INDEX(cfg_fac,MATCH(G897,cfg_units,0))&gt;0,INDEX(cfg_fac,MATCH(G897,cfg_units,0)),""),""),""))</f>
        <v/>
      </c>
      <c r="X897" s="96">
        <f>IF(AND(ISNUMBER(F897),ISNUMBER(H897)),IF(H897&gt;0,1,0),0)</f>
        <v>0</v>
      </c>
      <c r="Y897" s="96">
        <f>IF(Q897=0,0,IF(OR(T897=0,X897=0,NOT(ISNUMBER(E897)),AND(J897="Sim",L897="",M897=""),AND(ISNUMBER(E897),ISNUMBER(V897),N(V897)&gt;0,E897&lt;N(V897))),1,0))</f>
        <v>0</v>
      </c>
      <c r="Z897" s="96">
        <f>IF(AND(Q897=1,T897=1,X897=1,J897="Sim",OR(L897&lt;&gt;"",M897&lt;&gt;"")),1,0)</f>
        <v>0</v>
      </c>
      <c r="AA897" s="96">
        <f>IF(Q897=0,0,IF(AND(OR(r_ini="",AND(ISNUMBER(E897),E897&gt;=r_ini)),OR(r_fim="",AND(ISNUMBER(E897),E897&lt;=r_fim)),OR(r_un="",r_un="(Todas)",IF(N(U897)&gt;0,INDEX('MTRs'!$G$6:$G$505,U897),"")=r_un),OR(r_de="",r_de="(Todos)",D897=r_de)),1,0))</f>
        <v>0</v>
      </c>
      <c r="AB897" s="96" t="str">
        <f>IF(AA897=1,COUNTIF($AA$6:AA897,1),"")</f>
        <v/>
      </c>
    </row>
    <row r="898">
      <c r="A898" s="89" t="inlineStr">
        <is>
          <t>REC-000893</t>
        </is>
      </c>
      <c r="B898" s="94" t="str">
        <f>IF(T898=1,INDEX('ITENS_MTR'!$S$6:$S$1005,S898)&amp;"","")</f>
        <v/>
      </c>
      <c r="C898" s="91" t="n"/>
      <c r="D898" s="94" t="str">
        <f>IF(N(U898)&gt;0,INDEX('MTRs'!$I$6:$I$505,U898)&amp;"","")</f>
        <v/>
      </c>
      <c r="E898" s="92" t="n"/>
      <c r="F898" s="98" t="n"/>
      <c r="G898" s="91" t="n"/>
      <c r="H898" s="93" t="str">
        <f>IF(Q898=0,"",IF(NOT(ISNUMBER(F898)),"",IF(ISNUMBER(W898),F898*W898,"UNIDADE A CONFERIR")))</f>
        <v/>
      </c>
      <c r="I898" s="91" t="n"/>
      <c r="J898" s="91" t="n"/>
      <c r="K898" s="92" t="n"/>
      <c r="L898" s="91" t="n"/>
      <c r="M898" s="91" t="n"/>
      <c r="N898" s="91" t="n"/>
      <c r="O898" s="91" t="n"/>
      <c r="P898" s="94" t="str">
        <f>IF(Q898=0,"",IF(C898="","Item de resíduo não informado",IF(T898=0,"Item inexistente (referência inválida)",IF(NOT(ISNUMBER(F898)),"Quantidade não informada",IF(F898&lt;=0,"Quantidade não positiva",IF(G898="","Unidade não informada",IF(NOT(ISNUMBER(H898)),"Unidade a conferir",IF(NOT(ISNUMBER(E898)),"Data de recebimento não informada",IF(AND(ISNUMBER(V898),N(V898)&gt;0,E898&lt;N(V898)),"Data anterior à emissão do MTR",IF(AND(J898="Sim",L898="",M898=""),"Conferido sem evidência identificada",IF(J898&lt;&gt;"Sim","Aguardando conferência",IF(INDEX('ITENS_MTR'!$AM$6:$AM$1005,S898)=1,"Conferido (ver diferença no item)","Conferido"))))))))))))</f>
        <v/>
      </c>
      <c r="Q898" s="96">
        <f>IF(COUNTA(C898,E898:G898,I898:O898)&gt;0,1,0)</f>
        <v>0</v>
      </c>
      <c r="R898" s="96" t="str">
        <f>IF(C898="","",TRIM(LEFT(C898,FIND(" |",C898&amp;" |")-1)))</f>
        <v/>
      </c>
      <c r="S898" s="96" t="str">
        <f>IF(R898="","",IFERROR(MATCH(R898,'ITENS_MTR'!$A$6:$A$1005,0),""))</f>
        <v/>
      </c>
      <c r="T898" s="96">
        <f>IF(S898="",0,IF(INDEX('ITENS_MTR'!$R$6:$R$1005,S898)=1,1,0))</f>
        <v>0</v>
      </c>
      <c r="U898" s="96" t="str">
        <f>IF(T898=1,INDEX('ITENS_MTR'!$T$6:$T$1005,S898),"")</f>
        <v/>
      </c>
      <c r="V898" s="97" t="str">
        <f>IF(N(U898)&gt;0,INDEX('MTRs'!$E$6:$E$505,U898),"")</f>
        <v/>
      </c>
      <c r="W898" s="96" t="str">
        <f>IF(G898="","",IFERROR(IF(ISNUMBER(INDEX(cfg_fac,MATCH(G898,cfg_units,0))),IF(INDEX(cfg_fac,MATCH(G898,cfg_units,0))&gt;0,INDEX(cfg_fac,MATCH(G898,cfg_units,0)),""),""),""))</f>
        <v/>
      </c>
      <c r="X898" s="96">
        <f>IF(AND(ISNUMBER(F898),ISNUMBER(H898)),IF(H898&gt;0,1,0),0)</f>
        <v>0</v>
      </c>
      <c r="Y898" s="96">
        <f>IF(Q898=0,0,IF(OR(T898=0,X898=0,NOT(ISNUMBER(E898)),AND(J898="Sim",L898="",M898=""),AND(ISNUMBER(E898),ISNUMBER(V898),N(V898)&gt;0,E898&lt;N(V898))),1,0))</f>
        <v>0</v>
      </c>
      <c r="Z898" s="96">
        <f>IF(AND(Q898=1,T898=1,X898=1,J898="Sim",OR(L898&lt;&gt;"",M898&lt;&gt;"")),1,0)</f>
        <v>0</v>
      </c>
      <c r="AA898" s="96">
        <f>IF(Q898=0,0,IF(AND(OR(r_ini="",AND(ISNUMBER(E898),E898&gt;=r_ini)),OR(r_fim="",AND(ISNUMBER(E898),E898&lt;=r_fim)),OR(r_un="",r_un="(Todas)",IF(N(U898)&gt;0,INDEX('MTRs'!$G$6:$G$505,U898),"")=r_un),OR(r_de="",r_de="(Todos)",D898=r_de)),1,0))</f>
        <v>0</v>
      </c>
      <c r="AB898" s="96" t="str">
        <f>IF(AA898=1,COUNTIF($AA$6:AA898,1),"")</f>
        <v/>
      </c>
    </row>
    <row r="899">
      <c r="A899" s="89" t="inlineStr">
        <is>
          <t>REC-000894</t>
        </is>
      </c>
      <c r="B899" s="94" t="str">
        <f>IF(T899=1,INDEX('ITENS_MTR'!$S$6:$S$1005,S899)&amp;"","")</f>
        <v/>
      </c>
      <c r="C899" s="91" t="n"/>
      <c r="D899" s="94" t="str">
        <f>IF(N(U899)&gt;0,INDEX('MTRs'!$I$6:$I$505,U899)&amp;"","")</f>
        <v/>
      </c>
      <c r="E899" s="92" t="n"/>
      <c r="F899" s="98" t="n"/>
      <c r="G899" s="91" t="n"/>
      <c r="H899" s="93" t="str">
        <f>IF(Q899=0,"",IF(NOT(ISNUMBER(F899)),"",IF(ISNUMBER(W899),F899*W899,"UNIDADE A CONFERIR")))</f>
        <v/>
      </c>
      <c r="I899" s="91" t="n"/>
      <c r="J899" s="91" t="n"/>
      <c r="K899" s="92" t="n"/>
      <c r="L899" s="91" t="n"/>
      <c r="M899" s="91" t="n"/>
      <c r="N899" s="91" t="n"/>
      <c r="O899" s="91" t="n"/>
      <c r="P899" s="94" t="str">
        <f>IF(Q899=0,"",IF(C899="","Item de resíduo não informado",IF(T899=0,"Item inexistente (referência inválida)",IF(NOT(ISNUMBER(F899)),"Quantidade não informada",IF(F899&lt;=0,"Quantidade não positiva",IF(G899="","Unidade não informada",IF(NOT(ISNUMBER(H899)),"Unidade a conferir",IF(NOT(ISNUMBER(E899)),"Data de recebimento não informada",IF(AND(ISNUMBER(V899),N(V899)&gt;0,E899&lt;N(V899)),"Data anterior à emissão do MTR",IF(AND(J899="Sim",L899="",M899=""),"Conferido sem evidência identificada",IF(J899&lt;&gt;"Sim","Aguardando conferência",IF(INDEX('ITENS_MTR'!$AM$6:$AM$1005,S899)=1,"Conferido (ver diferença no item)","Conferido"))))))))))))</f>
        <v/>
      </c>
      <c r="Q899" s="96">
        <f>IF(COUNTA(C899,E899:G899,I899:O899)&gt;0,1,0)</f>
        <v>0</v>
      </c>
      <c r="R899" s="96" t="str">
        <f>IF(C899="","",TRIM(LEFT(C899,FIND(" |",C899&amp;" |")-1)))</f>
        <v/>
      </c>
      <c r="S899" s="96" t="str">
        <f>IF(R899="","",IFERROR(MATCH(R899,'ITENS_MTR'!$A$6:$A$1005,0),""))</f>
        <v/>
      </c>
      <c r="T899" s="96">
        <f>IF(S899="",0,IF(INDEX('ITENS_MTR'!$R$6:$R$1005,S899)=1,1,0))</f>
        <v>0</v>
      </c>
      <c r="U899" s="96" t="str">
        <f>IF(T899=1,INDEX('ITENS_MTR'!$T$6:$T$1005,S899),"")</f>
        <v/>
      </c>
      <c r="V899" s="97" t="str">
        <f>IF(N(U899)&gt;0,INDEX('MTRs'!$E$6:$E$505,U899),"")</f>
        <v/>
      </c>
      <c r="W899" s="96" t="str">
        <f>IF(G899="","",IFERROR(IF(ISNUMBER(INDEX(cfg_fac,MATCH(G899,cfg_units,0))),IF(INDEX(cfg_fac,MATCH(G899,cfg_units,0))&gt;0,INDEX(cfg_fac,MATCH(G899,cfg_units,0)),""),""),""))</f>
        <v/>
      </c>
      <c r="X899" s="96">
        <f>IF(AND(ISNUMBER(F899),ISNUMBER(H899)),IF(H899&gt;0,1,0),0)</f>
        <v>0</v>
      </c>
      <c r="Y899" s="96">
        <f>IF(Q899=0,0,IF(OR(T899=0,X899=0,NOT(ISNUMBER(E899)),AND(J899="Sim",L899="",M899=""),AND(ISNUMBER(E899),ISNUMBER(V899),N(V899)&gt;0,E899&lt;N(V899))),1,0))</f>
        <v>0</v>
      </c>
      <c r="Z899" s="96">
        <f>IF(AND(Q899=1,T899=1,X899=1,J899="Sim",OR(L899&lt;&gt;"",M899&lt;&gt;"")),1,0)</f>
        <v>0</v>
      </c>
      <c r="AA899" s="96">
        <f>IF(Q899=0,0,IF(AND(OR(r_ini="",AND(ISNUMBER(E899),E899&gt;=r_ini)),OR(r_fim="",AND(ISNUMBER(E899),E899&lt;=r_fim)),OR(r_un="",r_un="(Todas)",IF(N(U899)&gt;0,INDEX('MTRs'!$G$6:$G$505,U899),"")=r_un),OR(r_de="",r_de="(Todos)",D899=r_de)),1,0))</f>
        <v>0</v>
      </c>
      <c r="AB899" s="96" t="str">
        <f>IF(AA899=1,COUNTIF($AA$6:AA899,1),"")</f>
        <v/>
      </c>
    </row>
    <row r="900">
      <c r="A900" s="89" t="inlineStr">
        <is>
          <t>REC-000895</t>
        </is>
      </c>
      <c r="B900" s="94" t="str">
        <f>IF(T900=1,INDEX('ITENS_MTR'!$S$6:$S$1005,S900)&amp;"","")</f>
        <v/>
      </c>
      <c r="C900" s="91" t="n"/>
      <c r="D900" s="94" t="str">
        <f>IF(N(U900)&gt;0,INDEX('MTRs'!$I$6:$I$505,U900)&amp;"","")</f>
        <v/>
      </c>
      <c r="E900" s="92" t="n"/>
      <c r="F900" s="98" t="n"/>
      <c r="G900" s="91" t="n"/>
      <c r="H900" s="93" t="str">
        <f>IF(Q900=0,"",IF(NOT(ISNUMBER(F900)),"",IF(ISNUMBER(W900),F900*W900,"UNIDADE A CONFERIR")))</f>
        <v/>
      </c>
      <c r="I900" s="91" t="n"/>
      <c r="J900" s="91" t="n"/>
      <c r="K900" s="92" t="n"/>
      <c r="L900" s="91" t="n"/>
      <c r="M900" s="91" t="n"/>
      <c r="N900" s="91" t="n"/>
      <c r="O900" s="91" t="n"/>
      <c r="P900" s="94" t="str">
        <f>IF(Q900=0,"",IF(C900="","Item de resíduo não informado",IF(T900=0,"Item inexistente (referência inválida)",IF(NOT(ISNUMBER(F900)),"Quantidade não informada",IF(F900&lt;=0,"Quantidade não positiva",IF(G900="","Unidade não informada",IF(NOT(ISNUMBER(H900)),"Unidade a conferir",IF(NOT(ISNUMBER(E900)),"Data de recebimento não informada",IF(AND(ISNUMBER(V900),N(V900)&gt;0,E900&lt;N(V900)),"Data anterior à emissão do MTR",IF(AND(J900="Sim",L900="",M900=""),"Conferido sem evidência identificada",IF(J900&lt;&gt;"Sim","Aguardando conferência",IF(INDEX('ITENS_MTR'!$AM$6:$AM$1005,S900)=1,"Conferido (ver diferença no item)","Conferido"))))))))))))</f>
        <v/>
      </c>
      <c r="Q900" s="96">
        <f>IF(COUNTA(C900,E900:G900,I900:O900)&gt;0,1,0)</f>
        <v>0</v>
      </c>
      <c r="R900" s="96" t="str">
        <f>IF(C900="","",TRIM(LEFT(C900,FIND(" |",C900&amp;" |")-1)))</f>
        <v/>
      </c>
      <c r="S900" s="96" t="str">
        <f>IF(R900="","",IFERROR(MATCH(R900,'ITENS_MTR'!$A$6:$A$1005,0),""))</f>
        <v/>
      </c>
      <c r="T900" s="96">
        <f>IF(S900="",0,IF(INDEX('ITENS_MTR'!$R$6:$R$1005,S900)=1,1,0))</f>
        <v>0</v>
      </c>
      <c r="U900" s="96" t="str">
        <f>IF(T900=1,INDEX('ITENS_MTR'!$T$6:$T$1005,S900),"")</f>
        <v/>
      </c>
      <c r="V900" s="97" t="str">
        <f>IF(N(U900)&gt;0,INDEX('MTRs'!$E$6:$E$505,U900),"")</f>
        <v/>
      </c>
      <c r="W900" s="96" t="str">
        <f>IF(G900="","",IFERROR(IF(ISNUMBER(INDEX(cfg_fac,MATCH(G900,cfg_units,0))),IF(INDEX(cfg_fac,MATCH(G900,cfg_units,0))&gt;0,INDEX(cfg_fac,MATCH(G900,cfg_units,0)),""),""),""))</f>
        <v/>
      </c>
      <c r="X900" s="96">
        <f>IF(AND(ISNUMBER(F900),ISNUMBER(H900)),IF(H900&gt;0,1,0),0)</f>
        <v>0</v>
      </c>
      <c r="Y900" s="96">
        <f>IF(Q900=0,0,IF(OR(T900=0,X900=0,NOT(ISNUMBER(E900)),AND(J900="Sim",L900="",M900=""),AND(ISNUMBER(E900),ISNUMBER(V900),N(V900)&gt;0,E900&lt;N(V900))),1,0))</f>
        <v>0</v>
      </c>
      <c r="Z900" s="96">
        <f>IF(AND(Q900=1,T900=1,X900=1,J900="Sim",OR(L900&lt;&gt;"",M900&lt;&gt;"")),1,0)</f>
        <v>0</v>
      </c>
      <c r="AA900" s="96">
        <f>IF(Q900=0,0,IF(AND(OR(r_ini="",AND(ISNUMBER(E900),E900&gt;=r_ini)),OR(r_fim="",AND(ISNUMBER(E900),E900&lt;=r_fim)),OR(r_un="",r_un="(Todas)",IF(N(U900)&gt;0,INDEX('MTRs'!$G$6:$G$505,U900),"")=r_un),OR(r_de="",r_de="(Todos)",D900=r_de)),1,0))</f>
        <v>0</v>
      </c>
      <c r="AB900" s="96" t="str">
        <f>IF(AA900=1,COUNTIF($AA$6:AA900,1),"")</f>
        <v/>
      </c>
    </row>
    <row r="901">
      <c r="A901" s="89" t="inlineStr">
        <is>
          <t>REC-000896</t>
        </is>
      </c>
      <c r="B901" s="94" t="str">
        <f>IF(T901=1,INDEX('ITENS_MTR'!$S$6:$S$1005,S901)&amp;"","")</f>
        <v/>
      </c>
      <c r="C901" s="91" t="n"/>
      <c r="D901" s="94" t="str">
        <f>IF(N(U901)&gt;0,INDEX('MTRs'!$I$6:$I$505,U901)&amp;"","")</f>
        <v/>
      </c>
      <c r="E901" s="92" t="n"/>
      <c r="F901" s="98" t="n"/>
      <c r="G901" s="91" t="n"/>
      <c r="H901" s="93" t="str">
        <f>IF(Q901=0,"",IF(NOT(ISNUMBER(F901)),"",IF(ISNUMBER(W901),F901*W901,"UNIDADE A CONFERIR")))</f>
        <v/>
      </c>
      <c r="I901" s="91" t="n"/>
      <c r="J901" s="91" t="n"/>
      <c r="K901" s="92" t="n"/>
      <c r="L901" s="91" t="n"/>
      <c r="M901" s="91" t="n"/>
      <c r="N901" s="91" t="n"/>
      <c r="O901" s="91" t="n"/>
      <c r="P901" s="94" t="str">
        <f>IF(Q901=0,"",IF(C901="","Item de resíduo não informado",IF(T901=0,"Item inexistente (referência inválida)",IF(NOT(ISNUMBER(F901)),"Quantidade não informada",IF(F901&lt;=0,"Quantidade não positiva",IF(G901="","Unidade não informada",IF(NOT(ISNUMBER(H901)),"Unidade a conferir",IF(NOT(ISNUMBER(E901)),"Data de recebimento não informada",IF(AND(ISNUMBER(V901),N(V901)&gt;0,E901&lt;N(V901)),"Data anterior à emissão do MTR",IF(AND(J901="Sim",L901="",M901=""),"Conferido sem evidência identificada",IF(J901&lt;&gt;"Sim","Aguardando conferência",IF(INDEX('ITENS_MTR'!$AM$6:$AM$1005,S901)=1,"Conferido (ver diferença no item)","Conferido"))))))))))))</f>
        <v/>
      </c>
      <c r="Q901" s="96">
        <f>IF(COUNTA(C901,E901:G901,I901:O901)&gt;0,1,0)</f>
        <v>0</v>
      </c>
      <c r="R901" s="96" t="str">
        <f>IF(C901="","",TRIM(LEFT(C901,FIND(" |",C901&amp;" |")-1)))</f>
        <v/>
      </c>
      <c r="S901" s="96" t="str">
        <f>IF(R901="","",IFERROR(MATCH(R901,'ITENS_MTR'!$A$6:$A$1005,0),""))</f>
        <v/>
      </c>
      <c r="T901" s="96">
        <f>IF(S901="",0,IF(INDEX('ITENS_MTR'!$R$6:$R$1005,S901)=1,1,0))</f>
        <v>0</v>
      </c>
      <c r="U901" s="96" t="str">
        <f>IF(T901=1,INDEX('ITENS_MTR'!$T$6:$T$1005,S901),"")</f>
        <v/>
      </c>
      <c r="V901" s="97" t="str">
        <f>IF(N(U901)&gt;0,INDEX('MTRs'!$E$6:$E$505,U901),"")</f>
        <v/>
      </c>
      <c r="W901" s="96" t="str">
        <f>IF(G901="","",IFERROR(IF(ISNUMBER(INDEX(cfg_fac,MATCH(G901,cfg_units,0))),IF(INDEX(cfg_fac,MATCH(G901,cfg_units,0))&gt;0,INDEX(cfg_fac,MATCH(G901,cfg_units,0)),""),""),""))</f>
        <v/>
      </c>
      <c r="X901" s="96">
        <f>IF(AND(ISNUMBER(F901),ISNUMBER(H901)),IF(H901&gt;0,1,0),0)</f>
        <v>0</v>
      </c>
      <c r="Y901" s="96">
        <f>IF(Q901=0,0,IF(OR(T901=0,X901=0,NOT(ISNUMBER(E901)),AND(J901="Sim",L901="",M901=""),AND(ISNUMBER(E901),ISNUMBER(V901),N(V901)&gt;0,E901&lt;N(V901))),1,0))</f>
        <v>0</v>
      </c>
      <c r="Z901" s="96">
        <f>IF(AND(Q901=1,T901=1,X901=1,J901="Sim",OR(L901&lt;&gt;"",M901&lt;&gt;"")),1,0)</f>
        <v>0</v>
      </c>
      <c r="AA901" s="96">
        <f>IF(Q901=0,0,IF(AND(OR(r_ini="",AND(ISNUMBER(E901),E901&gt;=r_ini)),OR(r_fim="",AND(ISNUMBER(E901),E901&lt;=r_fim)),OR(r_un="",r_un="(Todas)",IF(N(U901)&gt;0,INDEX('MTRs'!$G$6:$G$505,U901),"")=r_un),OR(r_de="",r_de="(Todos)",D901=r_de)),1,0))</f>
        <v>0</v>
      </c>
      <c r="AB901" s="96" t="str">
        <f>IF(AA901=1,COUNTIF($AA$6:AA901,1),"")</f>
        <v/>
      </c>
    </row>
    <row r="902">
      <c r="A902" s="89" t="inlineStr">
        <is>
          <t>REC-000897</t>
        </is>
      </c>
      <c r="B902" s="94" t="str">
        <f>IF(T902=1,INDEX('ITENS_MTR'!$S$6:$S$1005,S902)&amp;"","")</f>
        <v/>
      </c>
      <c r="C902" s="91" t="n"/>
      <c r="D902" s="94" t="str">
        <f>IF(N(U902)&gt;0,INDEX('MTRs'!$I$6:$I$505,U902)&amp;"","")</f>
        <v/>
      </c>
      <c r="E902" s="92" t="n"/>
      <c r="F902" s="98" t="n"/>
      <c r="G902" s="91" t="n"/>
      <c r="H902" s="93" t="str">
        <f>IF(Q902=0,"",IF(NOT(ISNUMBER(F902)),"",IF(ISNUMBER(W902),F902*W902,"UNIDADE A CONFERIR")))</f>
        <v/>
      </c>
      <c r="I902" s="91" t="n"/>
      <c r="J902" s="91" t="n"/>
      <c r="K902" s="92" t="n"/>
      <c r="L902" s="91" t="n"/>
      <c r="M902" s="91" t="n"/>
      <c r="N902" s="91" t="n"/>
      <c r="O902" s="91" t="n"/>
      <c r="P902" s="94" t="str">
        <f>IF(Q902=0,"",IF(C902="","Item de resíduo não informado",IF(T902=0,"Item inexistente (referência inválida)",IF(NOT(ISNUMBER(F902)),"Quantidade não informada",IF(F902&lt;=0,"Quantidade não positiva",IF(G902="","Unidade não informada",IF(NOT(ISNUMBER(H902)),"Unidade a conferir",IF(NOT(ISNUMBER(E902)),"Data de recebimento não informada",IF(AND(ISNUMBER(V902),N(V902)&gt;0,E902&lt;N(V902)),"Data anterior à emissão do MTR",IF(AND(J902="Sim",L902="",M902=""),"Conferido sem evidência identificada",IF(J902&lt;&gt;"Sim","Aguardando conferência",IF(INDEX('ITENS_MTR'!$AM$6:$AM$1005,S902)=1,"Conferido (ver diferença no item)","Conferido"))))))))))))</f>
        <v/>
      </c>
      <c r="Q902" s="96">
        <f>IF(COUNTA(C902,E902:G902,I902:O902)&gt;0,1,0)</f>
        <v>0</v>
      </c>
      <c r="R902" s="96" t="str">
        <f>IF(C902="","",TRIM(LEFT(C902,FIND(" |",C902&amp;" |")-1)))</f>
        <v/>
      </c>
      <c r="S902" s="96" t="str">
        <f>IF(R902="","",IFERROR(MATCH(R902,'ITENS_MTR'!$A$6:$A$1005,0),""))</f>
        <v/>
      </c>
      <c r="T902" s="96">
        <f>IF(S902="",0,IF(INDEX('ITENS_MTR'!$R$6:$R$1005,S902)=1,1,0))</f>
        <v>0</v>
      </c>
      <c r="U902" s="96" t="str">
        <f>IF(T902=1,INDEX('ITENS_MTR'!$T$6:$T$1005,S902),"")</f>
        <v/>
      </c>
      <c r="V902" s="97" t="str">
        <f>IF(N(U902)&gt;0,INDEX('MTRs'!$E$6:$E$505,U902),"")</f>
        <v/>
      </c>
      <c r="W902" s="96" t="str">
        <f>IF(G902="","",IFERROR(IF(ISNUMBER(INDEX(cfg_fac,MATCH(G902,cfg_units,0))),IF(INDEX(cfg_fac,MATCH(G902,cfg_units,0))&gt;0,INDEX(cfg_fac,MATCH(G902,cfg_units,0)),""),""),""))</f>
        <v/>
      </c>
      <c r="X902" s="96">
        <f>IF(AND(ISNUMBER(F902),ISNUMBER(H902)),IF(H902&gt;0,1,0),0)</f>
        <v>0</v>
      </c>
      <c r="Y902" s="96">
        <f>IF(Q902=0,0,IF(OR(T902=0,X902=0,NOT(ISNUMBER(E902)),AND(J902="Sim",L902="",M902=""),AND(ISNUMBER(E902),ISNUMBER(V902),N(V902)&gt;0,E902&lt;N(V902))),1,0))</f>
        <v>0</v>
      </c>
      <c r="Z902" s="96">
        <f>IF(AND(Q902=1,T902=1,X902=1,J902="Sim",OR(L902&lt;&gt;"",M902&lt;&gt;"")),1,0)</f>
        <v>0</v>
      </c>
      <c r="AA902" s="96">
        <f>IF(Q902=0,0,IF(AND(OR(r_ini="",AND(ISNUMBER(E902),E902&gt;=r_ini)),OR(r_fim="",AND(ISNUMBER(E902),E902&lt;=r_fim)),OR(r_un="",r_un="(Todas)",IF(N(U902)&gt;0,INDEX('MTRs'!$G$6:$G$505,U902),"")=r_un),OR(r_de="",r_de="(Todos)",D902=r_de)),1,0))</f>
        <v>0</v>
      </c>
      <c r="AB902" s="96" t="str">
        <f>IF(AA902=1,COUNTIF($AA$6:AA902,1),"")</f>
        <v/>
      </c>
    </row>
    <row r="903">
      <c r="A903" s="89" t="inlineStr">
        <is>
          <t>REC-000898</t>
        </is>
      </c>
      <c r="B903" s="94" t="str">
        <f>IF(T903=1,INDEX('ITENS_MTR'!$S$6:$S$1005,S903)&amp;"","")</f>
        <v/>
      </c>
      <c r="C903" s="91" t="n"/>
      <c r="D903" s="94" t="str">
        <f>IF(N(U903)&gt;0,INDEX('MTRs'!$I$6:$I$505,U903)&amp;"","")</f>
        <v/>
      </c>
      <c r="E903" s="92" t="n"/>
      <c r="F903" s="98" t="n"/>
      <c r="G903" s="91" t="n"/>
      <c r="H903" s="93" t="str">
        <f>IF(Q903=0,"",IF(NOT(ISNUMBER(F903)),"",IF(ISNUMBER(W903),F903*W903,"UNIDADE A CONFERIR")))</f>
        <v/>
      </c>
      <c r="I903" s="91" t="n"/>
      <c r="J903" s="91" t="n"/>
      <c r="K903" s="92" t="n"/>
      <c r="L903" s="91" t="n"/>
      <c r="M903" s="91" t="n"/>
      <c r="N903" s="91" t="n"/>
      <c r="O903" s="91" t="n"/>
      <c r="P903" s="94" t="str">
        <f>IF(Q903=0,"",IF(C903="","Item de resíduo não informado",IF(T903=0,"Item inexistente (referência inválida)",IF(NOT(ISNUMBER(F903)),"Quantidade não informada",IF(F903&lt;=0,"Quantidade não positiva",IF(G903="","Unidade não informada",IF(NOT(ISNUMBER(H903)),"Unidade a conferir",IF(NOT(ISNUMBER(E903)),"Data de recebimento não informada",IF(AND(ISNUMBER(V903),N(V903)&gt;0,E903&lt;N(V903)),"Data anterior à emissão do MTR",IF(AND(J903="Sim",L903="",M903=""),"Conferido sem evidência identificada",IF(J903&lt;&gt;"Sim","Aguardando conferência",IF(INDEX('ITENS_MTR'!$AM$6:$AM$1005,S903)=1,"Conferido (ver diferença no item)","Conferido"))))))))))))</f>
        <v/>
      </c>
      <c r="Q903" s="96">
        <f>IF(COUNTA(C903,E903:G903,I903:O903)&gt;0,1,0)</f>
        <v>0</v>
      </c>
      <c r="R903" s="96" t="str">
        <f>IF(C903="","",TRIM(LEFT(C903,FIND(" |",C903&amp;" |")-1)))</f>
        <v/>
      </c>
      <c r="S903" s="96" t="str">
        <f>IF(R903="","",IFERROR(MATCH(R903,'ITENS_MTR'!$A$6:$A$1005,0),""))</f>
        <v/>
      </c>
      <c r="T903" s="96">
        <f>IF(S903="",0,IF(INDEX('ITENS_MTR'!$R$6:$R$1005,S903)=1,1,0))</f>
        <v>0</v>
      </c>
      <c r="U903" s="96" t="str">
        <f>IF(T903=1,INDEX('ITENS_MTR'!$T$6:$T$1005,S903),"")</f>
        <v/>
      </c>
      <c r="V903" s="97" t="str">
        <f>IF(N(U903)&gt;0,INDEX('MTRs'!$E$6:$E$505,U903),"")</f>
        <v/>
      </c>
      <c r="W903" s="96" t="str">
        <f>IF(G903="","",IFERROR(IF(ISNUMBER(INDEX(cfg_fac,MATCH(G903,cfg_units,0))),IF(INDEX(cfg_fac,MATCH(G903,cfg_units,0))&gt;0,INDEX(cfg_fac,MATCH(G903,cfg_units,0)),""),""),""))</f>
        <v/>
      </c>
      <c r="X903" s="96">
        <f>IF(AND(ISNUMBER(F903),ISNUMBER(H903)),IF(H903&gt;0,1,0),0)</f>
        <v>0</v>
      </c>
      <c r="Y903" s="96">
        <f>IF(Q903=0,0,IF(OR(T903=0,X903=0,NOT(ISNUMBER(E903)),AND(J903="Sim",L903="",M903=""),AND(ISNUMBER(E903),ISNUMBER(V903),N(V903)&gt;0,E903&lt;N(V903))),1,0))</f>
        <v>0</v>
      </c>
      <c r="Z903" s="96">
        <f>IF(AND(Q903=1,T903=1,X903=1,J903="Sim",OR(L903&lt;&gt;"",M903&lt;&gt;"")),1,0)</f>
        <v>0</v>
      </c>
      <c r="AA903" s="96">
        <f>IF(Q903=0,0,IF(AND(OR(r_ini="",AND(ISNUMBER(E903),E903&gt;=r_ini)),OR(r_fim="",AND(ISNUMBER(E903),E903&lt;=r_fim)),OR(r_un="",r_un="(Todas)",IF(N(U903)&gt;0,INDEX('MTRs'!$G$6:$G$505,U903),"")=r_un),OR(r_de="",r_de="(Todos)",D903=r_de)),1,0))</f>
        <v>0</v>
      </c>
      <c r="AB903" s="96" t="str">
        <f>IF(AA903=1,COUNTIF($AA$6:AA903,1),"")</f>
        <v/>
      </c>
    </row>
    <row r="904">
      <c r="A904" s="89" t="inlineStr">
        <is>
          <t>REC-000899</t>
        </is>
      </c>
      <c r="B904" s="94" t="str">
        <f>IF(T904=1,INDEX('ITENS_MTR'!$S$6:$S$1005,S904)&amp;"","")</f>
        <v/>
      </c>
      <c r="C904" s="91" t="n"/>
      <c r="D904" s="94" t="str">
        <f>IF(N(U904)&gt;0,INDEX('MTRs'!$I$6:$I$505,U904)&amp;"","")</f>
        <v/>
      </c>
      <c r="E904" s="92" t="n"/>
      <c r="F904" s="98" t="n"/>
      <c r="G904" s="91" t="n"/>
      <c r="H904" s="93" t="str">
        <f>IF(Q904=0,"",IF(NOT(ISNUMBER(F904)),"",IF(ISNUMBER(W904),F904*W904,"UNIDADE A CONFERIR")))</f>
        <v/>
      </c>
      <c r="I904" s="91" t="n"/>
      <c r="J904" s="91" t="n"/>
      <c r="K904" s="92" t="n"/>
      <c r="L904" s="91" t="n"/>
      <c r="M904" s="91" t="n"/>
      <c r="N904" s="91" t="n"/>
      <c r="O904" s="91" t="n"/>
      <c r="P904" s="94" t="str">
        <f>IF(Q904=0,"",IF(C904="","Item de resíduo não informado",IF(T904=0,"Item inexistente (referência inválida)",IF(NOT(ISNUMBER(F904)),"Quantidade não informada",IF(F904&lt;=0,"Quantidade não positiva",IF(G904="","Unidade não informada",IF(NOT(ISNUMBER(H904)),"Unidade a conferir",IF(NOT(ISNUMBER(E904)),"Data de recebimento não informada",IF(AND(ISNUMBER(V904),N(V904)&gt;0,E904&lt;N(V904)),"Data anterior à emissão do MTR",IF(AND(J904="Sim",L904="",M904=""),"Conferido sem evidência identificada",IF(J904&lt;&gt;"Sim","Aguardando conferência",IF(INDEX('ITENS_MTR'!$AM$6:$AM$1005,S904)=1,"Conferido (ver diferença no item)","Conferido"))))))))))))</f>
        <v/>
      </c>
      <c r="Q904" s="96">
        <f>IF(COUNTA(C904,E904:G904,I904:O904)&gt;0,1,0)</f>
        <v>0</v>
      </c>
      <c r="R904" s="96" t="str">
        <f>IF(C904="","",TRIM(LEFT(C904,FIND(" |",C904&amp;" |")-1)))</f>
        <v/>
      </c>
      <c r="S904" s="96" t="str">
        <f>IF(R904="","",IFERROR(MATCH(R904,'ITENS_MTR'!$A$6:$A$1005,0),""))</f>
        <v/>
      </c>
      <c r="T904" s="96">
        <f>IF(S904="",0,IF(INDEX('ITENS_MTR'!$R$6:$R$1005,S904)=1,1,0))</f>
        <v>0</v>
      </c>
      <c r="U904" s="96" t="str">
        <f>IF(T904=1,INDEX('ITENS_MTR'!$T$6:$T$1005,S904),"")</f>
        <v/>
      </c>
      <c r="V904" s="97" t="str">
        <f>IF(N(U904)&gt;0,INDEX('MTRs'!$E$6:$E$505,U904),"")</f>
        <v/>
      </c>
      <c r="W904" s="96" t="str">
        <f>IF(G904="","",IFERROR(IF(ISNUMBER(INDEX(cfg_fac,MATCH(G904,cfg_units,0))),IF(INDEX(cfg_fac,MATCH(G904,cfg_units,0))&gt;0,INDEX(cfg_fac,MATCH(G904,cfg_units,0)),""),""),""))</f>
        <v/>
      </c>
      <c r="X904" s="96">
        <f>IF(AND(ISNUMBER(F904),ISNUMBER(H904)),IF(H904&gt;0,1,0),0)</f>
        <v>0</v>
      </c>
      <c r="Y904" s="96">
        <f>IF(Q904=0,0,IF(OR(T904=0,X904=0,NOT(ISNUMBER(E904)),AND(J904="Sim",L904="",M904=""),AND(ISNUMBER(E904),ISNUMBER(V904),N(V904)&gt;0,E904&lt;N(V904))),1,0))</f>
        <v>0</v>
      </c>
      <c r="Z904" s="96">
        <f>IF(AND(Q904=1,T904=1,X904=1,J904="Sim",OR(L904&lt;&gt;"",M904&lt;&gt;"")),1,0)</f>
        <v>0</v>
      </c>
      <c r="AA904" s="96">
        <f>IF(Q904=0,0,IF(AND(OR(r_ini="",AND(ISNUMBER(E904),E904&gt;=r_ini)),OR(r_fim="",AND(ISNUMBER(E904),E904&lt;=r_fim)),OR(r_un="",r_un="(Todas)",IF(N(U904)&gt;0,INDEX('MTRs'!$G$6:$G$505,U904),"")=r_un),OR(r_de="",r_de="(Todos)",D904=r_de)),1,0))</f>
        <v>0</v>
      </c>
      <c r="AB904" s="96" t="str">
        <f>IF(AA904=1,COUNTIF($AA$6:AA904,1),"")</f>
        <v/>
      </c>
    </row>
    <row r="905">
      <c r="A905" s="89" t="inlineStr">
        <is>
          <t>REC-000900</t>
        </is>
      </c>
      <c r="B905" s="94" t="str">
        <f>IF(T905=1,INDEX('ITENS_MTR'!$S$6:$S$1005,S905)&amp;"","")</f>
        <v/>
      </c>
      <c r="C905" s="91" t="n"/>
      <c r="D905" s="94" t="str">
        <f>IF(N(U905)&gt;0,INDEX('MTRs'!$I$6:$I$505,U905)&amp;"","")</f>
        <v/>
      </c>
      <c r="E905" s="92" t="n"/>
      <c r="F905" s="98" t="n"/>
      <c r="G905" s="91" t="n"/>
      <c r="H905" s="93" t="str">
        <f>IF(Q905=0,"",IF(NOT(ISNUMBER(F905)),"",IF(ISNUMBER(W905),F905*W905,"UNIDADE A CONFERIR")))</f>
        <v/>
      </c>
      <c r="I905" s="91" t="n"/>
      <c r="J905" s="91" t="n"/>
      <c r="K905" s="92" t="n"/>
      <c r="L905" s="91" t="n"/>
      <c r="M905" s="91" t="n"/>
      <c r="N905" s="91" t="n"/>
      <c r="O905" s="91" t="n"/>
      <c r="P905" s="94" t="str">
        <f>IF(Q905=0,"",IF(C905="","Item de resíduo não informado",IF(T905=0,"Item inexistente (referência inválida)",IF(NOT(ISNUMBER(F905)),"Quantidade não informada",IF(F905&lt;=0,"Quantidade não positiva",IF(G905="","Unidade não informada",IF(NOT(ISNUMBER(H905)),"Unidade a conferir",IF(NOT(ISNUMBER(E905)),"Data de recebimento não informada",IF(AND(ISNUMBER(V905),N(V905)&gt;0,E905&lt;N(V905)),"Data anterior à emissão do MTR",IF(AND(J905="Sim",L905="",M905=""),"Conferido sem evidência identificada",IF(J905&lt;&gt;"Sim","Aguardando conferência",IF(INDEX('ITENS_MTR'!$AM$6:$AM$1005,S905)=1,"Conferido (ver diferença no item)","Conferido"))))))))))))</f>
        <v/>
      </c>
      <c r="Q905" s="96">
        <f>IF(COUNTA(C905,E905:G905,I905:O905)&gt;0,1,0)</f>
        <v>0</v>
      </c>
      <c r="R905" s="96" t="str">
        <f>IF(C905="","",TRIM(LEFT(C905,FIND(" |",C905&amp;" |")-1)))</f>
        <v/>
      </c>
      <c r="S905" s="96" t="str">
        <f>IF(R905="","",IFERROR(MATCH(R905,'ITENS_MTR'!$A$6:$A$1005,0),""))</f>
        <v/>
      </c>
      <c r="T905" s="96">
        <f>IF(S905="",0,IF(INDEX('ITENS_MTR'!$R$6:$R$1005,S905)=1,1,0))</f>
        <v>0</v>
      </c>
      <c r="U905" s="96" t="str">
        <f>IF(T905=1,INDEX('ITENS_MTR'!$T$6:$T$1005,S905),"")</f>
        <v/>
      </c>
      <c r="V905" s="97" t="str">
        <f>IF(N(U905)&gt;0,INDEX('MTRs'!$E$6:$E$505,U905),"")</f>
        <v/>
      </c>
      <c r="W905" s="96" t="str">
        <f>IF(G905="","",IFERROR(IF(ISNUMBER(INDEX(cfg_fac,MATCH(G905,cfg_units,0))),IF(INDEX(cfg_fac,MATCH(G905,cfg_units,0))&gt;0,INDEX(cfg_fac,MATCH(G905,cfg_units,0)),""),""),""))</f>
        <v/>
      </c>
      <c r="X905" s="96">
        <f>IF(AND(ISNUMBER(F905),ISNUMBER(H905)),IF(H905&gt;0,1,0),0)</f>
        <v>0</v>
      </c>
      <c r="Y905" s="96">
        <f>IF(Q905=0,0,IF(OR(T905=0,X905=0,NOT(ISNUMBER(E905)),AND(J905="Sim",L905="",M905=""),AND(ISNUMBER(E905),ISNUMBER(V905),N(V905)&gt;0,E905&lt;N(V905))),1,0))</f>
        <v>0</v>
      </c>
      <c r="Z905" s="96">
        <f>IF(AND(Q905=1,T905=1,X905=1,J905="Sim",OR(L905&lt;&gt;"",M905&lt;&gt;"")),1,0)</f>
        <v>0</v>
      </c>
      <c r="AA905" s="96">
        <f>IF(Q905=0,0,IF(AND(OR(r_ini="",AND(ISNUMBER(E905),E905&gt;=r_ini)),OR(r_fim="",AND(ISNUMBER(E905),E905&lt;=r_fim)),OR(r_un="",r_un="(Todas)",IF(N(U905)&gt;0,INDEX('MTRs'!$G$6:$G$505,U905),"")=r_un),OR(r_de="",r_de="(Todos)",D905=r_de)),1,0))</f>
        <v>0</v>
      </c>
      <c r="AB905" s="96" t="str">
        <f>IF(AA905=1,COUNTIF($AA$6:AA905,1),"")</f>
        <v/>
      </c>
    </row>
    <row r="906">
      <c r="A906" s="89" t="inlineStr">
        <is>
          <t>REC-000901</t>
        </is>
      </c>
      <c r="B906" s="94" t="str">
        <f>IF(T906=1,INDEX('ITENS_MTR'!$S$6:$S$1005,S906)&amp;"","")</f>
        <v/>
      </c>
      <c r="C906" s="91" t="n"/>
      <c r="D906" s="94" t="str">
        <f>IF(N(U906)&gt;0,INDEX('MTRs'!$I$6:$I$505,U906)&amp;"","")</f>
        <v/>
      </c>
      <c r="E906" s="92" t="n"/>
      <c r="F906" s="98" t="n"/>
      <c r="G906" s="91" t="n"/>
      <c r="H906" s="93" t="str">
        <f>IF(Q906=0,"",IF(NOT(ISNUMBER(F906)),"",IF(ISNUMBER(W906),F906*W906,"UNIDADE A CONFERIR")))</f>
        <v/>
      </c>
      <c r="I906" s="91" t="n"/>
      <c r="J906" s="91" t="n"/>
      <c r="K906" s="92" t="n"/>
      <c r="L906" s="91" t="n"/>
      <c r="M906" s="91" t="n"/>
      <c r="N906" s="91" t="n"/>
      <c r="O906" s="91" t="n"/>
      <c r="P906" s="94" t="str">
        <f>IF(Q906=0,"",IF(C906="","Item de resíduo não informado",IF(T906=0,"Item inexistente (referência inválida)",IF(NOT(ISNUMBER(F906)),"Quantidade não informada",IF(F906&lt;=0,"Quantidade não positiva",IF(G906="","Unidade não informada",IF(NOT(ISNUMBER(H906)),"Unidade a conferir",IF(NOT(ISNUMBER(E906)),"Data de recebimento não informada",IF(AND(ISNUMBER(V906),N(V906)&gt;0,E906&lt;N(V906)),"Data anterior à emissão do MTR",IF(AND(J906="Sim",L906="",M906=""),"Conferido sem evidência identificada",IF(J906&lt;&gt;"Sim","Aguardando conferência",IF(INDEX('ITENS_MTR'!$AM$6:$AM$1005,S906)=1,"Conferido (ver diferença no item)","Conferido"))))))))))))</f>
        <v/>
      </c>
      <c r="Q906" s="96">
        <f>IF(COUNTA(C906,E906:G906,I906:O906)&gt;0,1,0)</f>
        <v>0</v>
      </c>
      <c r="R906" s="96" t="str">
        <f>IF(C906="","",TRIM(LEFT(C906,FIND(" |",C906&amp;" |")-1)))</f>
        <v/>
      </c>
      <c r="S906" s="96" t="str">
        <f>IF(R906="","",IFERROR(MATCH(R906,'ITENS_MTR'!$A$6:$A$1005,0),""))</f>
        <v/>
      </c>
      <c r="T906" s="96">
        <f>IF(S906="",0,IF(INDEX('ITENS_MTR'!$R$6:$R$1005,S906)=1,1,0))</f>
        <v>0</v>
      </c>
      <c r="U906" s="96" t="str">
        <f>IF(T906=1,INDEX('ITENS_MTR'!$T$6:$T$1005,S906),"")</f>
        <v/>
      </c>
      <c r="V906" s="97" t="str">
        <f>IF(N(U906)&gt;0,INDEX('MTRs'!$E$6:$E$505,U906),"")</f>
        <v/>
      </c>
      <c r="W906" s="96" t="str">
        <f>IF(G906="","",IFERROR(IF(ISNUMBER(INDEX(cfg_fac,MATCH(G906,cfg_units,0))),IF(INDEX(cfg_fac,MATCH(G906,cfg_units,0))&gt;0,INDEX(cfg_fac,MATCH(G906,cfg_units,0)),""),""),""))</f>
        <v/>
      </c>
      <c r="X906" s="96">
        <f>IF(AND(ISNUMBER(F906),ISNUMBER(H906)),IF(H906&gt;0,1,0),0)</f>
        <v>0</v>
      </c>
      <c r="Y906" s="96">
        <f>IF(Q906=0,0,IF(OR(T906=0,X906=0,NOT(ISNUMBER(E906)),AND(J906="Sim",L906="",M906=""),AND(ISNUMBER(E906),ISNUMBER(V906),N(V906)&gt;0,E906&lt;N(V906))),1,0))</f>
        <v>0</v>
      </c>
      <c r="Z906" s="96">
        <f>IF(AND(Q906=1,T906=1,X906=1,J906="Sim",OR(L906&lt;&gt;"",M906&lt;&gt;"")),1,0)</f>
        <v>0</v>
      </c>
      <c r="AA906" s="96">
        <f>IF(Q906=0,0,IF(AND(OR(r_ini="",AND(ISNUMBER(E906),E906&gt;=r_ini)),OR(r_fim="",AND(ISNUMBER(E906),E906&lt;=r_fim)),OR(r_un="",r_un="(Todas)",IF(N(U906)&gt;0,INDEX('MTRs'!$G$6:$G$505,U906),"")=r_un),OR(r_de="",r_de="(Todos)",D906=r_de)),1,0))</f>
        <v>0</v>
      </c>
      <c r="AB906" s="96" t="str">
        <f>IF(AA906=1,COUNTIF($AA$6:AA906,1),"")</f>
        <v/>
      </c>
    </row>
    <row r="907">
      <c r="A907" s="89" t="inlineStr">
        <is>
          <t>REC-000902</t>
        </is>
      </c>
      <c r="B907" s="94" t="str">
        <f>IF(T907=1,INDEX('ITENS_MTR'!$S$6:$S$1005,S907)&amp;"","")</f>
        <v/>
      </c>
      <c r="C907" s="91" t="n"/>
      <c r="D907" s="94" t="str">
        <f>IF(N(U907)&gt;0,INDEX('MTRs'!$I$6:$I$505,U907)&amp;"","")</f>
        <v/>
      </c>
      <c r="E907" s="92" t="n"/>
      <c r="F907" s="98" t="n"/>
      <c r="G907" s="91" t="n"/>
      <c r="H907" s="93" t="str">
        <f>IF(Q907=0,"",IF(NOT(ISNUMBER(F907)),"",IF(ISNUMBER(W907),F907*W907,"UNIDADE A CONFERIR")))</f>
        <v/>
      </c>
      <c r="I907" s="91" t="n"/>
      <c r="J907" s="91" t="n"/>
      <c r="K907" s="92" t="n"/>
      <c r="L907" s="91" t="n"/>
      <c r="M907" s="91" t="n"/>
      <c r="N907" s="91" t="n"/>
      <c r="O907" s="91" t="n"/>
      <c r="P907" s="94" t="str">
        <f>IF(Q907=0,"",IF(C907="","Item de resíduo não informado",IF(T907=0,"Item inexistente (referência inválida)",IF(NOT(ISNUMBER(F907)),"Quantidade não informada",IF(F907&lt;=0,"Quantidade não positiva",IF(G907="","Unidade não informada",IF(NOT(ISNUMBER(H907)),"Unidade a conferir",IF(NOT(ISNUMBER(E907)),"Data de recebimento não informada",IF(AND(ISNUMBER(V907),N(V907)&gt;0,E907&lt;N(V907)),"Data anterior à emissão do MTR",IF(AND(J907="Sim",L907="",M907=""),"Conferido sem evidência identificada",IF(J907&lt;&gt;"Sim","Aguardando conferência",IF(INDEX('ITENS_MTR'!$AM$6:$AM$1005,S907)=1,"Conferido (ver diferença no item)","Conferido"))))))))))))</f>
        <v/>
      </c>
      <c r="Q907" s="96">
        <f>IF(COUNTA(C907,E907:G907,I907:O907)&gt;0,1,0)</f>
        <v>0</v>
      </c>
      <c r="R907" s="96" t="str">
        <f>IF(C907="","",TRIM(LEFT(C907,FIND(" |",C907&amp;" |")-1)))</f>
        <v/>
      </c>
      <c r="S907" s="96" t="str">
        <f>IF(R907="","",IFERROR(MATCH(R907,'ITENS_MTR'!$A$6:$A$1005,0),""))</f>
        <v/>
      </c>
      <c r="T907" s="96">
        <f>IF(S907="",0,IF(INDEX('ITENS_MTR'!$R$6:$R$1005,S907)=1,1,0))</f>
        <v>0</v>
      </c>
      <c r="U907" s="96" t="str">
        <f>IF(T907=1,INDEX('ITENS_MTR'!$T$6:$T$1005,S907),"")</f>
        <v/>
      </c>
      <c r="V907" s="97" t="str">
        <f>IF(N(U907)&gt;0,INDEX('MTRs'!$E$6:$E$505,U907),"")</f>
        <v/>
      </c>
      <c r="W907" s="96" t="str">
        <f>IF(G907="","",IFERROR(IF(ISNUMBER(INDEX(cfg_fac,MATCH(G907,cfg_units,0))),IF(INDEX(cfg_fac,MATCH(G907,cfg_units,0))&gt;0,INDEX(cfg_fac,MATCH(G907,cfg_units,0)),""),""),""))</f>
        <v/>
      </c>
      <c r="X907" s="96">
        <f>IF(AND(ISNUMBER(F907),ISNUMBER(H907)),IF(H907&gt;0,1,0),0)</f>
        <v>0</v>
      </c>
      <c r="Y907" s="96">
        <f>IF(Q907=0,0,IF(OR(T907=0,X907=0,NOT(ISNUMBER(E907)),AND(J907="Sim",L907="",M907=""),AND(ISNUMBER(E907),ISNUMBER(V907),N(V907)&gt;0,E907&lt;N(V907))),1,0))</f>
        <v>0</v>
      </c>
      <c r="Z907" s="96">
        <f>IF(AND(Q907=1,T907=1,X907=1,J907="Sim",OR(L907&lt;&gt;"",M907&lt;&gt;"")),1,0)</f>
        <v>0</v>
      </c>
      <c r="AA907" s="96">
        <f>IF(Q907=0,0,IF(AND(OR(r_ini="",AND(ISNUMBER(E907),E907&gt;=r_ini)),OR(r_fim="",AND(ISNUMBER(E907),E907&lt;=r_fim)),OR(r_un="",r_un="(Todas)",IF(N(U907)&gt;0,INDEX('MTRs'!$G$6:$G$505,U907),"")=r_un),OR(r_de="",r_de="(Todos)",D907=r_de)),1,0))</f>
        <v>0</v>
      </c>
      <c r="AB907" s="96" t="str">
        <f>IF(AA907=1,COUNTIF($AA$6:AA907,1),"")</f>
        <v/>
      </c>
    </row>
    <row r="908">
      <c r="A908" s="89" t="inlineStr">
        <is>
          <t>REC-000903</t>
        </is>
      </c>
      <c r="B908" s="94" t="str">
        <f>IF(T908=1,INDEX('ITENS_MTR'!$S$6:$S$1005,S908)&amp;"","")</f>
        <v/>
      </c>
      <c r="C908" s="91" t="n"/>
      <c r="D908" s="94" t="str">
        <f>IF(N(U908)&gt;0,INDEX('MTRs'!$I$6:$I$505,U908)&amp;"","")</f>
        <v/>
      </c>
      <c r="E908" s="92" t="n"/>
      <c r="F908" s="98" t="n"/>
      <c r="G908" s="91" t="n"/>
      <c r="H908" s="93" t="str">
        <f>IF(Q908=0,"",IF(NOT(ISNUMBER(F908)),"",IF(ISNUMBER(W908),F908*W908,"UNIDADE A CONFERIR")))</f>
        <v/>
      </c>
      <c r="I908" s="91" t="n"/>
      <c r="J908" s="91" t="n"/>
      <c r="K908" s="92" t="n"/>
      <c r="L908" s="91" t="n"/>
      <c r="M908" s="91" t="n"/>
      <c r="N908" s="91" t="n"/>
      <c r="O908" s="91" t="n"/>
      <c r="P908" s="94" t="str">
        <f>IF(Q908=0,"",IF(C908="","Item de resíduo não informado",IF(T908=0,"Item inexistente (referência inválida)",IF(NOT(ISNUMBER(F908)),"Quantidade não informada",IF(F908&lt;=0,"Quantidade não positiva",IF(G908="","Unidade não informada",IF(NOT(ISNUMBER(H908)),"Unidade a conferir",IF(NOT(ISNUMBER(E908)),"Data de recebimento não informada",IF(AND(ISNUMBER(V908),N(V908)&gt;0,E908&lt;N(V908)),"Data anterior à emissão do MTR",IF(AND(J908="Sim",L908="",M908=""),"Conferido sem evidência identificada",IF(J908&lt;&gt;"Sim","Aguardando conferência",IF(INDEX('ITENS_MTR'!$AM$6:$AM$1005,S908)=1,"Conferido (ver diferença no item)","Conferido"))))))))))))</f>
        <v/>
      </c>
      <c r="Q908" s="96">
        <f>IF(COUNTA(C908,E908:G908,I908:O908)&gt;0,1,0)</f>
        <v>0</v>
      </c>
      <c r="R908" s="96" t="str">
        <f>IF(C908="","",TRIM(LEFT(C908,FIND(" |",C908&amp;" |")-1)))</f>
        <v/>
      </c>
      <c r="S908" s="96" t="str">
        <f>IF(R908="","",IFERROR(MATCH(R908,'ITENS_MTR'!$A$6:$A$1005,0),""))</f>
        <v/>
      </c>
      <c r="T908" s="96">
        <f>IF(S908="",0,IF(INDEX('ITENS_MTR'!$R$6:$R$1005,S908)=1,1,0))</f>
        <v>0</v>
      </c>
      <c r="U908" s="96" t="str">
        <f>IF(T908=1,INDEX('ITENS_MTR'!$T$6:$T$1005,S908),"")</f>
        <v/>
      </c>
      <c r="V908" s="97" t="str">
        <f>IF(N(U908)&gt;0,INDEX('MTRs'!$E$6:$E$505,U908),"")</f>
        <v/>
      </c>
      <c r="W908" s="96" t="str">
        <f>IF(G908="","",IFERROR(IF(ISNUMBER(INDEX(cfg_fac,MATCH(G908,cfg_units,0))),IF(INDEX(cfg_fac,MATCH(G908,cfg_units,0))&gt;0,INDEX(cfg_fac,MATCH(G908,cfg_units,0)),""),""),""))</f>
        <v/>
      </c>
      <c r="X908" s="96">
        <f>IF(AND(ISNUMBER(F908),ISNUMBER(H908)),IF(H908&gt;0,1,0),0)</f>
        <v>0</v>
      </c>
      <c r="Y908" s="96">
        <f>IF(Q908=0,0,IF(OR(T908=0,X908=0,NOT(ISNUMBER(E908)),AND(J908="Sim",L908="",M908=""),AND(ISNUMBER(E908),ISNUMBER(V908),N(V908)&gt;0,E908&lt;N(V908))),1,0))</f>
        <v>0</v>
      </c>
      <c r="Z908" s="96">
        <f>IF(AND(Q908=1,T908=1,X908=1,J908="Sim",OR(L908&lt;&gt;"",M908&lt;&gt;"")),1,0)</f>
        <v>0</v>
      </c>
      <c r="AA908" s="96">
        <f>IF(Q908=0,0,IF(AND(OR(r_ini="",AND(ISNUMBER(E908),E908&gt;=r_ini)),OR(r_fim="",AND(ISNUMBER(E908),E908&lt;=r_fim)),OR(r_un="",r_un="(Todas)",IF(N(U908)&gt;0,INDEX('MTRs'!$G$6:$G$505,U908),"")=r_un),OR(r_de="",r_de="(Todos)",D908=r_de)),1,0))</f>
        <v>0</v>
      </c>
      <c r="AB908" s="96" t="str">
        <f>IF(AA908=1,COUNTIF($AA$6:AA908,1),"")</f>
        <v/>
      </c>
    </row>
    <row r="909">
      <c r="A909" s="89" t="inlineStr">
        <is>
          <t>REC-000904</t>
        </is>
      </c>
      <c r="B909" s="94" t="str">
        <f>IF(T909=1,INDEX('ITENS_MTR'!$S$6:$S$1005,S909)&amp;"","")</f>
        <v/>
      </c>
      <c r="C909" s="91" t="n"/>
      <c r="D909" s="94" t="str">
        <f>IF(N(U909)&gt;0,INDEX('MTRs'!$I$6:$I$505,U909)&amp;"","")</f>
        <v/>
      </c>
      <c r="E909" s="92" t="n"/>
      <c r="F909" s="98" t="n"/>
      <c r="G909" s="91" t="n"/>
      <c r="H909" s="93" t="str">
        <f>IF(Q909=0,"",IF(NOT(ISNUMBER(F909)),"",IF(ISNUMBER(W909),F909*W909,"UNIDADE A CONFERIR")))</f>
        <v/>
      </c>
      <c r="I909" s="91" t="n"/>
      <c r="J909" s="91" t="n"/>
      <c r="K909" s="92" t="n"/>
      <c r="L909" s="91" t="n"/>
      <c r="M909" s="91" t="n"/>
      <c r="N909" s="91" t="n"/>
      <c r="O909" s="91" t="n"/>
      <c r="P909" s="94" t="str">
        <f>IF(Q909=0,"",IF(C909="","Item de resíduo não informado",IF(T909=0,"Item inexistente (referência inválida)",IF(NOT(ISNUMBER(F909)),"Quantidade não informada",IF(F909&lt;=0,"Quantidade não positiva",IF(G909="","Unidade não informada",IF(NOT(ISNUMBER(H909)),"Unidade a conferir",IF(NOT(ISNUMBER(E909)),"Data de recebimento não informada",IF(AND(ISNUMBER(V909),N(V909)&gt;0,E909&lt;N(V909)),"Data anterior à emissão do MTR",IF(AND(J909="Sim",L909="",M909=""),"Conferido sem evidência identificada",IF(J909&lt;&gt;"Sim","Aguardando conferência",IF(INDEX('ITENS_MTR'!$AM$6:$AM$1005,S909)=1,"Conferido (ver diferença no item)","Conferido"))))))))))))</f>
        <v/>
      </c>
      <c r="Q909" s="96">
        <f>IF(COUNTA(C909,E909:G909,I909:O909)&gt;0,1,0)</f>
        <v>0</v>
      </c>
      <c r="R909" s="96" t="str">
        <f>IF(C909="","",TRIM(LEFT(C909,FIND(" |",C909&amp;" |")-1)))</f>
        <v/>
      </c>
      <c r="S909" s="96" t="str">
        <f>IF(R909="","",IFERROR(MATCH(R909,'ITENS_MTR'!$A$6:$A$1005,0),""))</f>
        <v/>
      </c>
      <c r="T909" s="96">
        <f>IF(S909="",0,IF(INDEX('ITENS_MTR'!$R$6:$R$1005,S909)=1,1,0))</f>
        <v>0</v>
      </c>
      <c r="U909" s="96" t="str">
        <f>IF(T909=1,INDEX('ITENS_MTR'!$T$6:$T$1005,S909),"")</f>
        <v/>
      </c>
      <c r="V909" s="97" t="str">
        <f>IF(N(U909)&gt;0,INDEX('MTRs'!$E$6:$E$505,U909),"")</f>
        <v/>
      </c>
      <c r="W909" s="96" t="str">
        <f>IF(G909="","",IFERROR(IF(ISNUMBER(INDEX(cfg_fac,MATCH(G909,cfg_units,0))),IF(INDEX(cfg_fac,MATCH(G909,cfg_units,0))&gt;0,INDEX(cfg_fac,MATCH(G909,cfg_units,0)),""),""),""))</f>
        <v/>
      </c>
      <c r="X909" s="96">
        <f>IF(AND(ISNUMBER(F909),ISNUMBER(H909)),IF(H909&gt;0,1,0),0)</f>
        <v>0</v>
      </c>
      <c r="Y909" s="96">
        <f>IF(Q909=0,0,IF(OR(T909=0,X909=0,NOT(ISNUMBER(E909)),AND(J909="Sim",L909="",M909=""),AND(ISNUMBER(E909),ISNUMBER(V909),N(V909)&gt;0,E909&lt;N(V909))),1,0))</f>
        <v>0</v>
      </c>
      <c r="Z909" s="96">
        <f>IF(AND(Q909=1,T909=1,X909=1,J909="Sim",OR(L909&lt;&gt;"",M909&lt;&gt;"")),1,0)</f>
        <v>0</v>
      </c>
      <c r="AA909" s="96">
        <f>IF(Q909=0,0,IF(AND(OR(r_ini="",AND(ISNUMBER(E909),E909&gt;=r_ini)),OR(r_fim="",AND(ISNUMBER(E909),E909&lt;=r_fim)),OR(r_un="",r_un="(Todas)",IF(N(U909)&gt;0,INDEX('MTRs'!$G$6:$G$505,U909),"")=r_un),OR(r_de="",r_de="(Todos)",D909=r_de)),1,0))</f>
        <v>0</v>
      </c>
      <c r="AB909" s="96" t="str">
        <f>IF(AA909=1,COUNTIF($AA$6:AA909,1),"")</f>
        <v/>
      </c>
    </row>
    <row r="910">
      <c r="A910" s="89" t="inlineStr">
        <is>
          <t>REC-000905</t>
        </is>
      </c>
      <c r="B910" s="94" t="str">
        <f>IF(T910=1,INDEX('ITENS_MTR'!$S$6:$S$1005,S910)&amp;"","")</f>
        <v/>
      </c>
      <c r="C910" s="91" t="n"/>
      <c r="D910" s="94" t="str">
        <f>IF(N(U910)&gt;0,INDEX('MTRs'!$I$6:$I$505,U910)&amp;"","")</f>
        <v/>
      </c>
      <c r="E910" s="92" t="n"/>
      <c r="F910" s="98" t="n"/>
      <c r="G910" s="91" t="n"/>
      <c r="H910" s="93" t="str">
        <f>IF(Q910=0,"",IF(NOT(ISNUMBER(F910)),"",IF(ISNUMBER(W910),F910*W910,"UNIDADE A CONFERIR")))</f>
        <v/>
      </c>
      <c r="I910" s="91" t="n"/>
      <c r="J910" s="91" t="n"/>
      <c r="K910" s="92" t="n"/>
      <c r="L910" s="91" t="n"/>
      <c r="M910" s="91" t="n"/>
      <c r="N910" s="91" t="n"/>
      <c r="O910" s="91" t="n"/>
      <c r="P910" s="94" t="str">
        <f>IF(Q910=0,"",IF(C910="","Item de resíduo não informado",IF(T910=0,"Item inexistente (referência inválida)",IF(NOT(ISNUMBER(F910)),"Quantidade não informada",IF(F910&lt;=0,"Quantidade não positiva",IF(G910="","Unidade não informada",IF(NOT(ISNUMBER(H910)),"Unidade a conferir",IF(NOT(ISNUMBER(E910)),"Data de recebimento não informada",IF(AND(ISNUMBER(V910),N(V910)&gt;0,E910&lt;N(V910)),"Data anterior à emissão do MTR",IF(AND(J910="Sim",L910="",M910=""),"Conferido sem evidência identificada",IF(J910&lt;&gt;"Sim","Aguardando conferência",IF(INDEX('ITENS_MTR'!$AM$6:$AM$1005,S910)=1,"Conferido (ver diferença no item)","Conferido"))))))))))))</f>
        <v/>
      </c>
      <c r="Q910" s="96">
        <f>IF(COUNTA(C910,E910:G910,I910:O910)&gt;0,1,0)</f>
        <v>0</v>
      </c>
      <c r="R910" s="96" t="str">
        <f>IF(C910="","",TRIM(LEFT(C910,FIND(" |",C910&amp;" |")-1)))</f>
        <v/>
      </c>
      <c r="S910" s="96" t="str">
        <f>IF(R910="","",IFERROR(MATCH(R910,'ITENS_MTR'!$A$6:$A$1005,0),""))</f>
        <v/>
      </c>
      <c r="T910" s="96">
        <f>IF(S910="",0,IF(INDEX('ITENS_MTR'!$R$6:$R$1005,S910)=1,1,0))</f>
        <v>0</v>
      </c>
      <c r="U910" s="96" t="str">
        <f>IF(T910=1,INDEX('ITENS_MTR'!$T$6:$T$1005,S910),"")</f>
        <v/>
      </c>
      <c r="V910" s="97" t="str">
        <f>IF(N(U910)&gt;0,INDEX('MTRs'!$E$6:$E$505,U910),"")</f>
        <v/>
      </c>
      <c r="W910" s="96" t="str">
        <f>IF(G910="","",IFERROR(IF(ISNUMBER(INDEX(cfg_fac,MATCH(G910,cfg_units,0))),IF(INDEX(cfg_fac,MATCH(G910,cfg_units,0))&gt;0,INDEX(cfg_fac,MATCH(G910,cfg_units,0)),""),""),""))</f>
        <v/>
      </c>
      <c r="X910" s="96">
        <f>IF(AND(ISNUMBER(F910),ISNUMBER(H910)),IF(H910&gt;0,1,0),0)</f>
        <v>0</v>
      </c>
      <c r="Y910" s="96">
        <f>IF(Q910=0,0,IF(OR(T910=0,X910=0,NOT(ISNUMBER(E910)),AND(J910="Sim",L910="",M910=""),AND(ISNUMBER(E910),ISNUMBER(V910),N(V910)&gt;0,E910&lt;N(V910))),1,0))</f>
        <v>0</v>
      </c>
      <c r="Z910" s="96">
        <f>IF(AND(Q910=1,T910=1,X910=1,J910="Sim",OR(L910&lt;&gt;"",M910&lt;&gt;"")),1,0)</f>
        <v>0</v>
      </c>
      <c r="AA910" s="96">
        <f>IF(Q910=0,0,IF(AND(OR(r_ini="",AND(ISNUMBER(E910),E910&gt;=r_ini)),OR(r_fim="",AND(ISNUMBER(E910),E910&lt;=r_fim)),OR(r_un="",r_un="(Todas)",IF(N(U910)&gt;0,INDEX('MTRs'!$G$6:$G$505,U910),"")=r_un),OR(r_de="",r_de="(Todos)",D910=r_de)),1,0))</f>
        <v>0</v>
      </c>
      <c r="AB910" s="96" t="str">
        <f>IF(AA910=1,COUNTIF($AA$6:AA910,1),"")</f>
        <v/>
      </c>
    </row>
    <row r="911">
      <c r="A911" s="89" t="inlineStr">
        <is>
          <t>REC-000906</t>
        </is>
      </c>
      <c r="B911" s="94" t="str">
        <f>IF(T911=1,INDEX('ITENS_MTR'!$S$6:$S$1005,S911)&amp;"","")</f>
        <v/>
      </c>
      <c r="C911" s="91" t="n"/>
      <c r="D911" s="94" t="str">
        <f>IF(N(U911)&gt;0,INDEX('MTRs'!$I$6:$I$505,U911)&amp;"","")</f>
        <v/>
      </c>
      <c r="E911" s="92" t="n"/>
      <c r="F911" s="98" t="n"/>
      <c r="G911" s="91" t="n"/>
      <c r="H911" s="93" t="str">
        <f>IF(Q911=0,"",IF(NOT(ISNUMBER(F911)),"",IF(ISNUMBER(W911),F911*W911,"UNIDADE A CONFERIR")))</f>
        <v/>
      </c>
      <c r="I911" s="91" t="n"/>
      <c r="J911" s="91" t="n"/>
      <c r="K911" s="92" t="n"/>
      <c r="L911" s="91" t="n"/>
      <c r="M911" s="91" t="n"/>
      <c r="N911" s="91" t="n"/>
      <c r="O911" s="91" t="n"/>
      <c r="P911" s="94" t="str">
        <f>IF(Q911=0,"",IF(C911="","Item de resíduo não informado",IF(T911=0,"Item inexistente (referência inválida)",IF(NOT(ISNUMBER(F911)),"Quantidade não informada",IF(F911&lt;=0,"Quantidade não positiva",IF(G911="","Unidade não informada",IF(NOT(ISNUMBER(H911)),"Unidade a conferir",IF(NOT(ISNUMBER(E911)),"Data de recebimento não informada",IF(AND(ISNUMBER(V911),N(V911)&gt;0,E911&lt;N(V911)),"Data anterior à emissão do MTR",IF(AND(J911="Sim",L911="",M911=""),"Conferido sem evidência identificada",IF(J911&lt;&gt;"Sim","Aguardando conferência",IF(INDEX('ITENS_MTR'!$AM$6:$AM$1005,S911)=1,"Conferido (ver diferença no item)","Conferido"))))))))))))</f>
        <v/>
      </c>
      <c r="Q911" s="96">
        <f>IF(COUNTA(C911,E911:G911,I911:O911)&gt;0,1,0)</f>
        <v>0</v>
      </c>
      <c r="R911" s="96" t="str">
        <f>IF(C911="","",TRIM(LEFT(C911,FIND(" |",C911&amp;" |")-1)))</f>
        <v/>
      </c>
      <c r="S911" s="96" t="str">
        <f>IF(R911="","",IFERROR(MATCH(R911,'ITENS_MTR'!$A$6:$A$1005,0),""))</f>
        <v/>
      </c>
      <c r="T911" s="96">
        <f>IF(S911="",0,IF(INDEX('ITENS_MTR'!$R$6:$R$1005,S911)=1,1,0))</f>
        <v>0</v>
      </c>
      <c r="U911" s="96" t="str">
        <f>IF(T911=1,INDEX('ITENS_MTR'!$T$6:$T$1005,S911),"")</f>
        <v/>
      </c>
      <c r="V911" s="97" t="str">
        <f>IF(N(U911)&gt;0,INDEX('MTRs'!$E$6:$E$505,U911),"")</f>
        <v/>
      </c>
      <c r="W911" s="96" t="str">
        <f>IF(G911="","",IFERROR(IF(ISNUMBER(INDEX(cfg_fac,MATCH(G911,cfg_units,0))),IF(INDEX(cfg_fac,MATCH(G911,cfg_units,0))&gt;0,INDEX(cfg_fac,MATCH(G911,cfg_units,0)),""),""),""))</f>
        <v/>
      </c>
      <c r="X911" s="96">
        <f>IF(AND(ISNUMBER(F911),ISNUMBER(H911)),IF(H911&gt;0,1,0),0)</f>
        <v>0</v>
      </c>
      <c r="Y911" s="96">
        <f>IF(Q911=0,0,IF(OR(T911=0,X911=0,NOT(ISNUMBER(E911)),AND(J911="Sim",L911="",M911=""),AND(ISNUMBER(E911),ISNUMBER(V911),N(V911)&gt;0,E911&lt;N(V911))),1,0))</f>
        <v>0</v>
      </c>
      <c r="Z911" s="96">
        <f>IF(AND(Q911=1,T911=1,X911=1,J911="Sim",OR(L911&lt;&gt;"",M911&lt;&gt;"")),1,0)</f>
        <v>0</v>
      </c>
      <c r="AA911" s="96">
        <f>IF(Q911=0,0,IF(AND(OR(r_ini="",AND(ISNUMBER(E911),E911&gt;=r_ini)),OR(r_fim="",AND(ISNUMBER(E911),E911&lt;=r_fim)),OR(r_un="",r_un="(Todas)",IF(N(U911)&gt;0,INDEX('MTRs'!$G$6:$G$505,U911),"")=r_un),OR(r_de="",r_de="(Todos)",D911=r_de)),1,0))</f>
        <v>0</v>
      </c>
      <c r="AB911" s="96" t="str">
        <f>IF(AA911=1,COUNTIF($AA$6:AA911,1),"")</f>
        <v/>
      </c>
    </row>
    <row r="912">
      <c r="A912" s="89" t="inlineStr">
        <is>
          <t>REC-000907</t>
        </is>
      </c>
      <c r="B912" s="94" t="str">
        <f>IF(T912=1,INDEX('ITENS_MTR'!$S$6:$S$1005,S912)&amp;"","")</f>
        <v/>
      </c>
      <c r="C912" s="91" t="n"/>
      <c r="D912" s="94" t="str">
        <f>IF(N(U912)&gt;0,INDEX('MTRs'!$I$6:$I$505,U912)&amp;"","")</f>
        <v/>
      </c>
      <c r="E912" s="92" t="n"/>
      <c r="F912" s="98" t="n"/>
      <c r="G912" s="91" t="n"/>
      <c r="H912" s="93" t="str">
        <f>IF(Q912=0,"",IF(NOT(ISNUMBER(F912)),"",IF(ISNUMBER(W912),F912*W912,"UNIDADE A CONFERIR")))</f>
        <v/>
      </c>
      <c r="I912" s="91" t="n"/>
      <c r="J912" s="91" t="n"/>
      <c r="K912" s="92" t="n"/>
      <c r="L912" s="91" t="n"/>
      <c r="M912" s="91" t="n"/>
      <c r="N912" s="91" t="n"/>
      <c r="O912" s="91" t="n"/>
      <c r="P912" s="94" t="str">
        <f>IF(Q912=0,"",IF(C912="","Item de resíduo não informado",IF(T912=0,"Item inexistente (referência inválida)",IF(NOT(ISNUMBER(F912)),"Quantidade não informada",IF(F912&lt;=0,"Quantidade não positiva",IF(G912="","Unidade não informada",IF(NOT(ISNUMBER(H912)),"Unidade a conferir",IF(NOT(ISNUMBER(E912)),"Data de recebimento não informada",IF(AND(ISNUMBER(V912),N(V912)&gt;0,E912&lt;N(V912)),"Data anterior à emissão do MTR",IF(AND(J912="Sim",L912="",M912=""),"Conferido sem evidência identificada",IF(J912&lt;&gt;"Sim","Aguardando conferência",IF(INDEX('ITENS_MTR'!$AM$6:$AM$1005,S912)=1,"Conferido (ver diferença no item)","Conferido"))))))))))))</f>
        <v/>
      </c>
      <c r="Q912" s="96">
        <f>IF(COUNTA(C912,E912:G912,I912:O912)&gt;0,1,0)</f>
        <v>0</v>
      </c>
      <c r="R912" s="96" t="str">
        <f>IF(C912="","",TRIM(LEFT(C912,FIND(" |",C912&amp;" |")-1)))</f>
        <v/>
      </c>
      <c r="S912" s="96" t="str">
        <f>IF(R912="","",IFERROR(MATCH(R912,'ITENS_MTR'!$A$6:$A$1005,0),""))</f>
        <v/>
      </c>
      <c r="T912" s="96">
        <f>IF(S912="",0,IF(INDEX('ITENS_MTR'!$R$6:$R$1005,S912)=1,1,0))</f>
        <v>0</v>
      </c>
      <c r="U912" s="96" t="str">
        <f>IF(T912=1,INDEX('ITENS_MTR'!$T$6:$T$1005,S912),"")</f>
        <v/>
      </c>
      <c r="V912" s="97" t="str">
        <f>IF(N(U912)&gt;0,INDEX('MTRs'!$E$6:$E$505,U912),"")</f>
        <v/>
      </c>
      <c r="W912" s="96" t="str">
        <f>IF(G912="","",IFERROR(IF(ISNUMBER(INDEX(cfg_fac,MATCH(G912,cfg_units,0))),IF(INDEX(cfg_fac,MATCH(G912,cfg_units,0))&gt;0,INDEX(cfg_fac,MATCH(G912,cfg_units,0)),""),""),""))</f>
        <v/>
      </c>
      <c r="X912" s="96">
        <f>IF(AND(ISNUMBER(F912),ISNUMBER(H912)),IF(H912&gt;0,1,0),0)</f>
        <v>0</v>
      </c>
      <c r="Y912" s="96">
        <f>IF(Q912=0,0,IF(OR(T912=0,X912=0,NOT(ISNUMBER(E912)),AND(J912="Sim",L912="",M912=""),AND(ISNUMBER(E912),ISNUMBER(V912),N(V912)&gt;0,E912&lt;N(V912))),1,0))</f>
        <v>0</v>
      </c>
      <c r="Z912" s="96">
        <f>IF(AND(Q912=1,T912=1,X912=1,J912="Sim",OR(L912&lt;&gt;"",M912&lt;&gt;"")),1,0)</f>
        <v>0</v>
      </c>
      <c r="AA912" s="96">
        <f>IF(Q912=0,0,IF(AND(OR(r_ini="",AND(ISNUMBER(E912),E912&gt;=r_ini)),OR(r_fim="",AND(ISNUMBER(E912),E912&lt;=r_fim)),OR(r_un="",r_un="(Todas)",IF(N(U912)&gt;0,INDEX('MTRs'!$G$6:$G$505,U912),"")=r_un),OR(r_de="",r_de="(Todos)",D912=r_de)),1,0))</f>
        <v>0</v>
      </c>
      <c r="AB912" s="96" t="str">
        <f>IF(AA912=1,COUNTIF($AA$6:AA912,1),"")</f>
        <v/>
      </c>
    </row>
    <row r="913">
      <c r="A913" s="89" t="inlineStr">
        <is>
          <t>REC-000908</t>
        </is>
      </c>
      <c r="B913" s="94" t="str">
        <f>IF(T913=1,INDEX('ITENS_MTR'!$S$6:$S$1005,S913)&amp;"","")</f>
        <v/>
      </c>
      <c r="C913" s="91" t="n"/>
      <c r="D913" s="94" t="str">
        <f>IF(N(U913)&gt;0,INDEX('MTRs'!$I$6:$I$505,U913)&amp;"","")</f>
        <v/>
      </c>
      <c r="E913" s="92" t="n"/>
      <c r="F913" s="98" t="n"/>
      <c r="G913" s="91" t="n"/>
      <c r="H913" s="93" t="str">
        <f>IF(Q913=0,"",IF(NOT(ISNUMBER(F913)),"",IF(ISNUMBER(W913),F913*W913,"UNIDADE A CONFERIR")))</f>
        <v/>
      </c>
      <c r="I913" s="91" t="n"/>
      <c r="J913" s="91" t="n"/>
      <c r="K913" s="92" t="n"/>
      <c r="L913" s="91" t="n"/>
      <c r="M913" s="91" t="n"/>
      <c r="N913" s="91" t="n"/>
      <c r="O913" s="91" t="n"/>
      <c r="P913" s="94" t="str">
        <f>IF(Q913=0,"",IF(C913="","Item de resíduo não informado",IF(T913=0,"Item inexistente (referência inválida)",IF(NOT(ISNUMBER(F913)),"Quantidade não informada",IF(F913&lt;=0,"Quantidade não positiva",IF(G913="","Unidade não informada",IF(NOT(ISNUMBER(H913)),"Unidade a conferir",IF(NOT(ISNUMBER(E913)),"Data de recebimento não informada",IF(AND(ISNUMBER(V913),N(V913)&gt;0,E913&lt;N(V913)),"Data anterior à emissão do MTR",IF(AND(J913="Sim",L913="",M913=""),"Conferido sem evidência identificada",IF(J913&lt;&gt;"Sim","Aguardando conferência",IF(INDEX('ITENS_MTR'!$AM$6:$AM$1005,S913)=1,"Conferido (ver diferença no item)","Conferido"))))))))))))</f>
        <v/>
      </c>
      <c r="Q913" s="96">
        <f>IF(COUNTA(C913,E913:G913,I913:O913)&gt;0,1,0)</f>
        <v>0</v>
      </c>
      <c r="R913" s="96" t="str">
        <f>IF(C913="","",TRIM(LEFT(C913,FIND(" |",C913&amp;" |")-1)))</f>
        <v/>
      </c>
      <c r="S913" s="96" t="str">
        <f>IF(R913="","",IFERROR(MATCH(R913,'ITENS_MTR'!$A$6:$A$1005,0),""))</f>
        <v/>
      </c>
      <c r="T913" s="96">
        <f>IF(S913="",0,IF(INDEX('ITENS_MTR'!$R$6:$R$1005,S913)=1,1,0))</f>
        <v>0</v>
      </c>
      <c r="U913" s="96" t="str">
        <f>IF(T913=1,INDEX('ITENS_MTR'!$T$6:$T$1005,S913),"")</f>
        <v/>
      </c>
      <c r="V913" s="97" t="str">
        <f>IF(N(U913)&gt;0,INDEX('MTRs'!$E$6:$E$505,U913),"")</f>
        <v/>
      </c>
      <c r="W913" s="96" t="str">
        <f>IF(G913="","",IFERROR(IF(ISNUMBER(INDEX(cfg_fac,MATCH(G913,cfg_units,0))),IF(INDEX(cfg_fac,MATCH(G913,cfg_units,0))&gt;0,INDEX(cfg_fac,MATCH(G913,cfg_units,0)),""),""),""))</f>
        <v/>
      </c>
      <c r="X913" s="96">
        <f>IF(AND(ISNUMBER(F913),ISNUMBER(H913)),IF(H913&gt;0,1,0),0)</f>
        <v>0</v>
      </c>
      <c r="Y913" s="96">
        <f>IF(Q913=0,0,IF(OR(T913=0,X913=0,NOT(ISNUMBER(E913)),AND(J913="Sim",L913="",M913=""),AND(ISNUMBER(E913),ISNUMBER(V913),N(V913)&gt;0,E913&lt;N(V913))),1,0))</f>
        <v>0</v>
      </c>
      <c r="Z913" s="96">
        <f>IF(AND(Q913=1,T913=1,X913=1,J913="Sim",OR(L913&lt;&gt;"",M913&lt;&gt;"")),1,0)</f>
        <v>0</v>
      </c>
      <c r="AA913" s="96">
        <f>IF(Q913=0,0,IF(AND(OR(r_ini="",AND(ISNUMBER(E913),E913&gt;=r_ini)),OR(r_fim="",AND(ISNUMBER(E913),E913&lt;=r_fim)),OR(r_un="",r_un="(Todas)",IF(N(U913)&gt;0,INDEX('MTRs'!$G$6:$G$505,U913),"")=r_un),OR(r_de="",r_de="(Todos)",D913=r_de)),1,0))</f>
        <v>0</v>
      </c>
      <c r="AB913" s="96" t="str">
        <f>IF(AA913=1,COUNTIF($AA$6:AA913,1),"")</f>
        <v/>
      </c>
    </row>
    <row r="914">
      <c r="A914" s="89" t="inlineStr">
        <is>
          <t>REC-000909</t>
        </is>
      </c>
      <c r="B914" s="94" t="str">
        <f>IF(T914=1,INDEX('ITENS_MTR'!$S$6:$S$1005,S914)&amp;"","")</f>
        <v/>
      </c>
      <c r="C914" s="91" t="n"/>
      <c r="D914" s="94" t="str">
        <f>IF(N(U914)&gt;0,INDEX('MTRs'!$I$6:$I$505,U914)&amp;"","")</f>
        <v/>
      </c>
      <c r="E914" s="92" t="n"/>
      <c r="F914" s="98" t="n"/>
      <c r="G914" s="91" t="n"/>
      <c r="H914" s="93" t="str">
        <f>IF(Q914=0,"",IF(NOT(ISNUMBER(F914)),"",IF(ISNUMBER(W914),F914*W914,"UNIDADE A CONFERIR")))</f>
        <v/>
      </c>
      <c r="I914" s="91" t="n"/>
      <c r="J914" s="91" t="n"/>
      <c r="K914" s="92" t="n"/>
      <c r="L914" s="91" t="n"/>
      <c r="M914" s="91" t="n"/>
      <c r="N914" s="91" t="n"/>
      <c r="O914" s="91" t="n"/>
      <c r="P914" s="94" t="str">
        <f>IF(Q914=0,"",IF(C914="","Item de resíduo não informado",IF(T914=0,"Item inexistente (referência inválida)",IF(NOT(ISNUMBER(F914)),"Quantidade não informada",IF(F914&lt;=0,"Quantidade não positiva",IF(G914="","Unidade não informada",IF(NOT(ISNUMBER(H914)),"Unidade a conferir",IF(NOT(ISNUMBER(E914)),"Data de recebimento não informada",IF(AND(ISNUMBER(V914),N(V914)&gt;0,E914&lt;N(V914)),"Data anterior à emissão do MTR",IF(AND(J914="Sim",L914="",M914=""),"Conferido sem evidência identificada",IF(J914&lt;&gt;"Sim","Aguardando conferência",IF(INDEX('ITENS_MTR'!$AM$6:$AM$1005,S914)=1,"Conferido (ver diferença no item)","Conferido"))))))))))))</f>
        <v/>
      </c>
      <c r="Q914" s="96">
        <f>IF(COUNTA(C914,E914:G914,I914:O914)&gt;0,1,0)</f>
        <v>0</v>
      </c>
      <c r="R914" s="96" t="str">
        <f>IF(C914="","",TRIM(LEFT(C914,FIND(" |",C914&amp;" |")-1)))</f>
        <v/>
      </c>
      <c r="S914" s="96" t="str">
        <f>IF(R914="","",IFERROR(MATCH(R914,'ITENS_MTR'!$A$6:$A$1005,0),""))</f>
        <v/>
      </c>
      <c r="T914" s="96">
        <f>IF(S914="",0,IF(INDEX('ITENS_MTR'!$R$6:$R$1005,S914)=1,1,0))</f>
        <v>0</v>
      </c>
      <c r="U914" s="96" t="str">
        <f>IF(T914=1,INDEX('ITENS_MTR'!$T$6:$T$1005,S914),"")</f>
        <v/>
      </c>
      <c r="V914" s="97" t="str">
        <f>IF(N(U914)&gt;0,INDEX('MTRs'!$E$6:$E$505,U914),"")</f>
        <v/>
      </c>
      <c r="W914" s="96" t="str">
        <f>IF(G914="","",IFERROR(IF(ISNUMBER(INDEX(cfg_fac,MATCH(G914,cfg_units,0))),IF(INDEX(cfg_fac,MATCH(G914,cfg_units,0))&gt;0,INDEX(cfg_fac,MATCH(G914,cfg_units,0)),""),""),""))</f>
        <v/>
      </c>
      <c r="X914" s="96">
        <f>IF(AND(ISNUMBER(F914),ISNUMBER(H914)),IF(H914&gt;0,1,0),0)</f>
        <v>0</v>
      </c>
      <c r="Y914" s="96">
        <f>IF(Q914=0,0,IF(OR(T914=0,X914=0,NOT(ISNUMBER(E914)),AND(J914="Sim",L914="",M914=""),AND(ISNUMBER(E914),ISNUMBER(V914),N(V914)&gt;0,E914&lt;N(V914))),1,0))</f>
        <v>0</v>
      </c>
      <c r="Z914" s="96">
        <f>IF(AND(Q914=1,T914=1,X914=1,J914="Sim",OR(L914&lt;&gt;"",M914&lt;&gt;"")),1,0)</f>
        <v>0</v>
      </c>
      <c r="AA914" s="96">
        <f>IF(Q914=0,0,IF(AND(OR(r_ini="",AND(ISNUMBER(E914),E914&gt;=r_ini)),OR(r_fim="",AND(ISNUMBER(E914),E914&lt;=r_fim)),OR(r_un="",r_un="(Todas)",IF(N(U914)&gt;0,INDEX('MTRs'!$G$6:$G$505,U914),"")=r_un),OR(r_de="",r_de="(Todos)",D914=r_de)),1,0))</f>
        <v>0</v>
      </c>
      <c r="AB914" s="96" t="str">
        <f>IF(AA914=1,COUNTIF($AA$6:AA914,1),"")</f>
        <v/>
      </c>
    </row>
    <row r="915">
      <c r="A915" s="89" t="inlineStr">
        <is>
          <t>REC-000910</t>
        </is>
      </c>
      <c r="B915" s="94" t="str">
        <f>IF(T915=1,INDEX('ITENS_MTR'!$S$6:$S$1005,S915)&amp;"","")</f>
        <v/>
      </c>
      <c r="C915" s="91" t="n"/>
      <c r="D915" s="94" t="str">
        <f>IF(N(U915)&gt;0,INDEX('MTRs'!$I$6:$I$505,U915)&amp;"","")</f>
        <v/>
      </c>
      <c r="E915" s="92" t="n"/>
      <c r="F915" s="98" t="n"/>
      <c r="G915" s="91" t="n"/>
      <c r="H915" s="93" t="str">
        <f>IF(Q915=0,"",IF(NOT(ISNUMBER(F915)),"",IF(ISNUMBER(W915),F915*W915,"UNIDADE A CONFERIR")))</f>
        <v/>
      </c>
      <c r="I915" s="91" t="n"/>
      <c r="J915" s="91" t="n"/>
      <c r="K915" s="92" t="n"/>
      <c r="L915" s="91" t="n"/>
      <c r="M915" s="91" t="n"/>
      <c r="N915" s="91" t="n"/>
      <c r="O915" s="91" t="n"/>
      <c r="P915" s="94" t="str">
        <f>IF(Q915=0,"",IF(C915="","Item de resíduo não informado",IF(T915=0,"Item inexistente (referência inválida)",IF(NOT(ISNUMBER(F915)),"Quantidade não informada",IF(F915&lt;=0,"Quantidade não positiva",IF(G915="","Unidade não informada",IF(NOT(ISNUMBER(H915)),"Unidade a conferir",IF(NOT(ISNUMBER(E915)),"Data de recebimento não informada",IF(AND(ISNUMBER(V915),N(V915)&gt;0,E915&lt;N(V915)),"Data anterior à emissão do MTR",IF(AND(J915="Sim",L915="",M915=""),"Conferido sem evidência identificada",IF(J915&lt;&gt;"Sim","Aguardando conferência",IF(INDEX('ITENS_MTR'!$AM$6:$AM$1005,S915)=1,"Conferido (ver diferença no item)","Conferido"))))))))))))</f>
        <v/>
      </c>
      <c r="Q915" s="96">
        <f>IF(COUNTA(C915,E915:G915,I915:O915)&gt;0,1,0)</f>
        <v>0</v>
      </c>
      <c r="R915" s="96" t="str">
        <f>IF(C915="","",TRIM(LEFT(C915,FIND(" |",C915&amp;" |")-1)))</f>
        <v/>
      </c>
      <c r="S915" s="96" t="str">
        <f>IF(R915="","",IFERROR(MATCH(R915,'ITENS_MTR'!$A$6:$A$1005,0),""))</f>
        <v/>
      </c>
      <c r="T915" s="96">
        <f>IF(S915="",0,IF(INDEX('ITENS_MTR'!$R$6:$R$1005,S915)=1,1,0))</f>
        <v>0</v>
      </c>
      <c r="U915" s="96" t="str">
        <f>IF(T915=1,INDEX('ITENS_MTR'!$T$6:$T$1005,S915),"")</f>
        <v/>
      </c>
      <c r="V915" s="97" t="str">
        <f>IF(N(U915)&gt;0,INDEX('MTRs'!$E$6:$E$505,U915),"")</f>
        <v/>
      </c>
      <c r="W915" s="96" t="str">
        <f>IF(G915="","",IFERROR(IF(ISNUMBER(INDEX(cfg_fac,MATCH(G915,cfg_units,0))),IF(INDEX(cfg_fac,MATCH(G915,cfg_units,0))&gt;0,INDEX(cfg_fac,MATCH(G915,cfg_units,0)),""),""),""))</f>
        <v/>
      </c>
      <c r="X915" s="96">
        <f>IF(AND(ISNUMBER(F915),ISNUMBER(H915)),IF(H915&gt;0,1,0),0)</f>
        <v>0</v>
      </c>
      <c r="Y915" s="96">
        <f>IF(Q915=0,0,IF(OR(T915=0,X915=0,NOT(ISNUMBER(E915)),AND(J915="Sim",L915="",M915=""),AND(ISNUMBER(E915),ISNUMBER(V915),N(V915)&gt;0,E915&lt;N(V915))),1,0))</f>
        <v>0</v>
      </c>
      <c r="Z915" s="96">
        <f>IF(AND(Q915=1,T915=1,X915=1,J915="Sim",OR(L915&lt;&gt;"",M915&lt;&gt;"")),1,0)</f>
        <v>0</v>
      </c>
      <c r="AA915" s="96">
        <f>IF(Q915=0,0,IF(AND(OR(r_ini="",AND(ISNUMBER(E915),E915&gt;=r_ini)),OR(r_fim="",AND(ISNUMBER(E915),E915&lt;=r_fim)),OR(r_un="",r_un="(Todas)",IF(N(U915)&gt;0,INDEX('MTRs'!$G$6:$G$505,U915),"")=r_un),OR(r_de="",r_de="(Todos)",D915=r_de)),1,0))</f>
        <v>0</v>
      </c>
      <c r="AB915" s="96" t="str">
        <f>IF(AA915=1,COUNTIF($AA$6:AA915,1),"")</f>
        <v/>
      </c>
    </row>
    <row r="916">
      <c r="A916" s="89" t="inlineStr">
        <is>
          <t>REC-000911</t>
        </is>
      </c>
      <c r="B916" s="94" t="str">
        <f>IF(T916=1,INDEX('ITENS_MTR'!$S$6:$S$1005,S916)&amp;"","")</f>
        <v/>
      </c>
      <c r="C916" s="91" t="n"/>
      <c r="D916" s="94" t="str">
        <f>IF(N(U916)&gt;0,INDEX('MTRs'!$I$6:$I$505,U916)&amp;"","")</f>
        <v/>
      </c>
      <c r="E916" s="92" t="n"/>
      <c r="F916" s="98" t="n"/>
      <c r="G916" s="91" t="n"/>
      <c r="H916" s="93" t="str">
        <f>IF(Q916=0,"",IF(NOT(ISNUMBER(F916)),"",IF(ISNUMBER(W916),F916*W916,"UNIDADE A CONFERIR")))</f>
        <v/>
      </c>
      <c r="I916" s="91" t="n"/>
      <c r="J916" s="91" t="n"/>
      <c r="K916" s="92" t="n"/>
      <c r="L916" s="91" t="n"/>
      <c r="M916" s="91" t="n"/>
      <c r="N916" s="91" t="n"/>
      <c r="O916" s="91" t="n"/>
      <c r="P916" s="94" t="str">
        <f>IF(Q916=0,"",IF(C916="","Item de resíduo não informado",IF(T916=0,"Item inexistente (referência inválida)",IF(NOT(ISNUMBER(F916)),"Quantidade não informada",IF(F916&lt;=0,"Quantidade não positiva",IF(G916="","Unidade não informada",IF(NOT(ISNUMBER(H916)),"Unidade a conferir",IF(NOT(ISNUMBER(E916)),"Data de recebimento não informada",IF(AND(ISNUMBER(V916),N(V916)&gt;0,E916&lt;N(V916)),"Data anterior à emissão do MTR",IF(AND(J916="Sim",L916="",M916=""),"Conferido sem evidência identificada",IF(J916&lt;&gt;"Sim","Aguardando conferência",IF(INDEX('ITENS_MTR'!$AM$6:$AM$1005,S916)=1,"Conferido (ver diferença no item)","Conferido"))))))))))))</f>
        <v/>
      </c>
      <c r="Q916" s="96">
        <f>IF(COUNTA(C916,E916:G916,I916:O916)&gt;0,1,0)</f>
        <v>0</v>
      </c>
      <c r="R916" s="96" t="str">
        <f>IF(C916="","",TRIM(LEFT(C916,FIND(" |",C916&amp;" |")-1)))</f>
        <v/>
      </c>
      <c r="S916" s="96" t="str">
        <f>IF(R916="","",IFERROR(MATCH(R916,'ITENS_MTR'!$A$6:$A$1005,0),""))</f>
        <v/>
      </c>
      <c r="T916" s="96">
        <f>IF(S916="",0,IF(INDEX('ITENS_MTR'!$R$6:$R$1005,S916)=1,1,0))</f>
        <v>0</v>
      </c>
      <c r="U916" s="96" t="str">
        <f>IF(T916=1,INDEX('ITENS_MTR'!$T$6:$T$1005,S916),"")</f>
        <v/>
      </c>
      <c r="V916" s="97" t="str">
        <f>IF(N(U916)&gt;0,INDEX('MTRs'!$E$6:$E$505,U916),"")</f>
        <v/>
      </c>
      <c r="W916" s="96" t="str">
        <f>IF(G916="","",IFERROR(IF(ISNUMBER(INDEX(cfg_fac,MATCH(G916,cfg_units,0))),IF(INDEX(cfg_fac,MATCH(G916,cfg_units,0))&gt;0,INDEX(cfg_fac,MATCH(G916,cfg_units,0)),""),""),""))</f>
        <v/>
      </c>
      <c r="X916" s="96">
        <f>IF(AND(ISNUMBER(F916),ISNUMBER(H916)),IF(H916&gt;0,1,0),0)</f>
        <v>0</v>
      </c>
      <c r="Y916" s="96">
        <f>IF(Q916=0,0,IF(OR(T916=0,X916=0,NOT(ISNUMBER(E916)),AND(J916="Sim",L916="",M916=""),AND(ISNUMBER(E916),ISNUMBER(V916),N(V916)&gt;0,E916&lt;N(V916))),1,0))</f>
        <v>0</v>
      </c>
      <c r="Z916" s="96">
        <f>IF(AND(Q916=1,T916=1,X916=1,J916="Sim",OR(L916&lt;&gt;"",M916&lt;&gt;"")),1,0)</f>
        <v>0</v>
      </c>
      <c r="AA916" s="96">
        <f>IF(Q916=0,0,IF(AND(OR(r_ini="",AND(ISNUMBER(E916),E916&gt;=r_ini)),OR(r_fim="",AND(ISNUMBER(E916),E916&lt;=r_fim)),OR(r_un="",r_un="(Todas)",IF(N(U916)&gt;0,INDEX('MTRs'!$G$6:$G$505,U916),"")=r_un),OR(r_de="",r_de="(Todos)",D916=r_de)),1,0))</f>
        <v>0</v>
      </c>
      <c r="AB916" s="96" t="str">
        <f>IF(AA916=1,COUNTIF($AA$6:AA916,1),"")</f>
        <v/>
      </c>
    </row>
    <row r="917">
      <c r="A917" s="89" t="inlineStr">
        <is>
          <t>REC-000912</t>
        </is>
      </c>
      <c r="B917" s="94" t="str">
        <f>IF(T917=1,INDEX('ITENS_MTR'!$S$6:$S$1005,S917)&amp;"","")</f>
        <v/>
      </c>
      <c r="C917" s="91" t="n"/>
      <c r="D917" s="94" t="str">
        <f>IF(N(U917)&gt;0,INDEX('MTRs'!$I$6:$I$505,U917)&amp;"","")</f>
        <v/>
      </c>
      <c r="E917" s="92" t="n"/>
      <c r="F917" s="98" t="n"/>
      <c r="G917" s="91" t="n"/>
      <c r="H917" s="93" t="str">
        <f>IF(Q917=0,"",IF(NOT(ISNUMBER(F917)),"",IF(ISNUMBER(W917),F917*W917,"UNIDADE A CONFERIR")))</f>
        <v/>
      </c>
      <c r="I917" s="91" t="n"/>
      <c r="J917" s="91" t="n"/>
      <c r="K917" s="92" t="n"/>
      <c r="L917" s="91" t="n"/>
      <c r="M917" s="91" t="n"/>
      <c r="N917" s="91" t="n"/>
      <c r="O917" s="91" t="n"/>
      <c r="P917" s="94" t="str">
        <f>IF(Q917=0,"",IF(C917="","Item de resíduo não informado",IF(T917=0,"Item inexistente (referência inválida)",IF(NOT(ISNUMBER(F917)),"Quantidade não informada",IF(F917&lt;=0,"Quantidade não positiva",IF(G917="","Unidade não informada",IF(NOT(ISNUMBER(H917)),"Unidade a conferir",IF(NOT(ISNUMBER(E917)),"Data de recebimento não informada",IF(AND(ISNUMBER(V917),N(V917)&gt;0,E917&lt;N(V917)),"Data anterior à emissão do MTR",IF(AND(J917="Sim",L917="",M917=""),"Conferido sem evidência identificada",IF(J917&lt;&gt;"Sim","Aguardando conferência",IF(INDEX('ITENS_MTR'!$AM$6:$AM$1005,S917)=1,"Conferido (ver diferença no item)","Conferido"))))))))))))</f>
        <v/>
      </c>
      <c r="Q917" s="96">
        <f>IF(COUNTA(C917,E917:G917,I917:O917)&gt;0,1,0)</f>
        <v>0</v>
      </c>
      <c r="R917" s="96" t="str">
        <f>IF(C917="","",TRIM(LEFT(C917,FIND(" |",C917&amp;" |")-1)))</f>
        <v/>
      </c>
      <c r="S917" s="96" t="str">
        <f>IF(R917="","",IFERROR(MATCH(R917,'ITENS_MTR'!$A$6:$A$1005,0),""))</f>
        <v/>
      </c>
      <c r="T917" s="96">
        <f>IF(S917="",0,IF(INDEX('ITENS_MTR'!$R$6:$R$1005,S917)=1,1,0))</f>
        <v>0</v>
      </c>
      <c r="U917" s="96" t="str">
        <f>IF(T917=1,INDEX('ITENS_MTR'!$T$6:$T$1005,S917),"")</f>
        <v/>
      </c>
      <c r="V917" s="97" t="str">
        <f>IF(N(U917)&gt;0,INDEX('MTRs'!$E$6:$E$505,U917),"")</f>
        <v/>
      </c>
      <c r="W917" s="96" t="str">
        <f>IF(G917="","",IFERROR(IF(ISNUMBER(INDEX(cfg_fac,MATCH(G917,cfg_units,0))),IF(INDEX(cfg_fac,MATCH(G917,cfg_units,0))&gt;0,INDEX(cfg_fac,MATCH(G917,cfg_units,0)),""),""),""))</f>
        <v/>
      </c>
      <c r="X917" s="96">
        <f>IF(AND(ISNUMBER(F917),ISNUMBER(H917)),IF(H917&gt;0,1,0),0)</f>
        <v>0</v>
      </c>
      <c r="Y917" s="96">
        <f>IF(Q917=0,0,IF(OR(T917=0,X917=0,NOT(ISNUMBER(E917)),AND(J917="Sim",L917="",M917=""),AND(ISNUMBER(E917),ISNUMBER(V917),N(V917)&gt;0,E917&lt;N(V917))),1,0))</f>
        <v>0</v>
      </c>
      <c r="Z917" s="96">
        <f>IF(AND(Q917=1,T917=1,X917=1,J917="Sim",OR(L917&lt;&gt;"",M917&lt;&gt;"")),1,0)</f>
        <v>0</v>
      </c>
      <c r="AA917" s="96">
        <f>IF(Q917=0,0,IF(AND(OR(r_ini="",AND(ISNUMBER(E917),E917&gt;=r_ini)),OR(r_fim="",AND(ISNUMBER(E917),E917&lt;=r_fim)),OR(r_un="",r_un="(Todas)",IF(N(U917)&gt;0,INDEX('MTRs'!$G$6:$G$505,U917),"")=r_un),OR(r_de="",r_de="(Todos)",D917=r_de)),1,0))</f>
        <v>0</v>
      </c>
      <c r="AB917" s="96" t="str">
        <f>IF(AA917=1,COUNTIF($AA$6:AA917,1),"")</f>
        <v/>
      </c>
    </row>
    <row r="918">
      <c r="A918" s="89" t="inlineStr">
        <is>
          <t>REC-000913</t>
        </is>
      </c>
      <c r="B918" s="94" t="str">
        <f>IF(T918=1,INDEX('ITENS_MTR'!$S$6:$S$1005,S918)&amp;"","")</f>
        <v/>
      </c>
      <c r="C918" s="91" t="n"/>
      <c r="D918" s="94" t="str">
        <f>IF(N(U918)&gt;0,INDEX('MTRs'!$I$6:$I$505,U918)&amp;"","")</f>
        <v/>
      </c>
      <c r="E918" s="92" t="n"/>
      <c r="F918" s="98" t="n"/>
      <c r="G918" s="91" t="n"/>
      <c r="H918" s="93" t="str">
        <f>IF(Q918=0,"",IF(NOT(ISNUMBER(F918)),"",IF(ISNUMBER(W918),F918*W918,"UNIDADE A CONFERIR")))</f>
        <v/>
      </c>
      <c r="I918" s="91" t="n"/>
      <c r="J918" s="91" t="n"/>
      <c r="K918" s="92" t="n"/>
      <c r="L918" s="91" t="n"/>
      <c r="M918" s="91" t="n"/>
      <c r="N918" s="91" t="n"/>
      <c r="O918" s="91" t="n"/>
      <c r="P918" s="94" t="str">
        <f>IF(Q918=0,"",IF(C918="","Item de resíduo não informado",IF(T918=0,"Item inexistente (referência inválida)",IF(NOT(ISNUMBER(F918)),"Quantidade não informada",IF(F918&lt;=0,"Quantidade não positiva",IF(G918="","Unidade não informada",IF(NOT(ISNUMBER(H918)),"Unidade a conferir",IF(NOT(ISNUMBER(E918)),"Data de recebimento não informada",IF(AND(ISNUMBER(V918),N(V918)&gt;0,E918&lt;N(V918)),"Data anterior à emissão do MTR",IF(AND(J918="Sim",L918="",M918=""),"Conferido sem evidência identificada",IF(J918&lt;&gt;"Sim","Aguardando conferência",IF(INDEX('ITENS_MTR'!$AM$6:$AM$1005,S918)=1,"Conferido (ver diferença no item)","Conferido"))))))))))))</f>
        <v/>
      </c>
      <c r="Q918" s="96">
        <f>IF(COUNTA(C918,E918:G918,I918:O918)&gt;0,1,0)</f>
        <v>0</v>
      </c>
      <c r="R918" s="96" t="str">
        <f>IF(C918="","",TRIM(LEFT(C918,FIND(" |",C918&amp;" |")-1)))</f>
        <v/>
      </c>
      <c r="S918" s="96" t="str">
        <f>IF(R918="","",IFERROR(MATCH(R918,'ITENS_MTR'!$A$6:$A$1005,0),""))</f>
        <v/>
      </c>
      <c r="T918" s="96">
        <f>IF(S918="",0,IF(INDEX('ITENS_MTR'!$R$6:$R$1005,S918)=1,1,0))</f>
        <v>0</v>
      </c>
      <c r="U918" s="96" t="str">
        <f>IF(T918=1,INDEX('ITENS_MTR'!$T$6:$T$1005,S918),"")</f>
        <v/>
      </c>
      <c r="V918" s="97" t="str">
        <f>IF(N(U918)&gt;0,INDEX('MTRs'!$E$6:$E$505,U918),"")</f>
        <v/>
      </c>
      <c r="W918" s="96" t="str">
        <f>IF(G918="","",IFERROR(IF(ISNUMBER(INDEX(cfg_fac,MATCH(G918,cfg_units,0))),IF(INDEX(cfg_fac,MATCH(G918,cfg_units,0))&gt;0,INDEX(cfg_fac,MATCH(G918,cfg_units,0)),""),""),""))</f>
        <v/>
      </c>
      <c r="X918" s="96">
        <f>IF(AND(ISNUMBER(F918),ISNUMBER(H918)),IF(H918&gt;0,1,0),0)</f>
        <v>0</v>
      </c>
      <c r="Y918" s="96">
        <f>IF(Q918=0,0,IF(OR(T918=0,X918=0,NOT(ISNUMBER(E918)),AND(J918="Sim",L918="",M918=""),AND(ISNUMBER(E918),ISNUMBER(V918),N(V918)&gt;0,E918&lt;N(V918))),1,0))</f>
        <v>0</v>
      </c>
      <c r="Z918" s="96">
        <f>IF(AND(Q918=1,T918=1,X918=1,J918="Sim",OR(L918&lt;&gt;"",M918&lt;&gt;"")),1,0)</f>
        <v>0</v>
      </c>
      <c r="AA918" s="96">
        <f>IF(Q918=0,0,IF(AND(OR(r_ini="",AND(ISNUMBER(E918),E918&gt;=r_ini)),OR(r_fim="",AND(ISNUMBER(E918),E918&lt;=r_fim)),OR(r_un="",r_un="(Todas)",IF(N(U918)&gt;0,INDEX('MTRs'!$G$6:$G$505,U918),"")=r_un),OR(r_de="",r_de="(Todos)",D918=r_de)),1,0))</f>
        <v>0</v>
      </c>
      <c r="AB918" s="96" t="str">
        <f>IF(AA918=1,COUNTIF($AA$6:AA918,1),"")</f>
        <v/>
      </c>
    </row>
    <row r="919">
      <c r="A919" s="89" t="inlineStr">
        <is>
          <t>REC-000914</t>
        </is>
      </c>
      <c r="B919" s="94" t="str">
        <f>IF(T919=1,INDEX('ITENS_MTR'!$S$6:$S$1005,S919)&amp;"","")</f>
        <v/>
      </c>
      <c r="C919" s="91" t="n"/>
      <c r="D919" s="94" t="str">
        <f>IF(N(U919)&gt;0,INDEX('MTRs'!$I$6:$I$505,U919)&amp;"","")</f>
        <v/>
      </c>
      <c r="E919" s="92" t="n"/>
      <c r="F919" s="98" t="n"/>
      <c r="G919" s="91" t="n"/>
      <c r="H919" s="93" t="str">
        <f>IF(Q919=0,"",IF(NOT(ISNUMBER(F919)),"",IF(ISNUMBER(W919),F919*W919,"UNIDADE A CONFERIR")))</f>
        <v/>
      </c>
      <c r="I919" s="91" t="n"/>
      <c r="J919" s="91" t="n"/>
      <c r="K919" s="92" t="n"/>
      <c r="L919" s="91" t="n"/>
      <c r="M919" s="91" t="n"/>
      <c r="N919" s="91" t="n"/>
      <c r="O919" s="91" t="n"/>
      <c r="P919" s="94" t="str">
        <f>IF(Q919=0,"",IF(C919="","Item de resíduo não informado",IF(T919=0,"Item inexistente (referência inválida)",IF(NOT(ISNUMBER(F919)),"Quantidade não informada",IF(F919&lt;=0,"Quantidade não positiva",IF(G919="","Unidade não informada",IF(NOT(ISNUMBER(H919)),"Unidade a conferir",IF(NOT(ISNUMBER(E919)),"Data de recebimento não informada",IF(AND(ISNUMBER(V919),N(V919)&gt;0,E919&lt;N(V919)),"Data anterior à emissão do MTR",IF(AND(J919="Sim",L919="",M919=""),"Conferido sem evidência identificada",IF(J919&lt;&gt;"Sim","Aguardando conferência",IF(INDEX('ITENS_MTR'!$AM$6:$AM$1005,S919)=1,"Conferido (ver diferença no item)","Conferido"))))))))))))</f>
        <v/>
      </c>
      <c r="Q919" s="96">
        <f>IF(COUNTA(C919,E919:G919,I919:O919)&gt;0,1,0)</f>
        <v>0</v>
      </c>
      <c r="R919" s="96" t="str">
        <f>IF(C919="","",TRIM(LEFT(C919,FIND(" |",C919&amp;" |")-1)))</f>
        <v/>
      </c>
      <c r="S919" s="96" t="str">
        <f>IF(R919="","",IFERROR(MATCH(R919,'ITENS_MTR'!$A$6:$A$1005,0),""))</f>
        <v/>
      </c>
      <c r="T919" s="96">
        <f>IF(S919="",0,IF(INDEX('ITENS_MTR'!$R$6:$R$1005,S919)=1,1,0))</f>
        <v>0</v>
      </c>
      <c r="U919" s="96" t="str">
        <f>IF(T919=1,INDEX('ITENS_MTR'!$T$6:$T$1005,S919),"")</f>
        <v/>
      </c>
      <c r="V919" s="97" t="str">
        <f>IF(N(U919)&gt;0,INDEX('MTRs'!$E$6:$E$505,U919),"")</f>
        <v/>
      </c>
      <c r="W919" s="96" t="str">
        <f>IF(G919="","",IFERROR(IF(ISNUMBER(INDEX(cfg_fac,MATCH(G919,cfg_units,0))),IF(INDEX(cfg_fac,MATCH(G919,cfg_units,0))&gt;0,INDEX(cfg_fac,MATCH(G919,cfg_units,0)),""),""),""))</f>
        <v/>
      </c>
      <c r="X919" s="96">
        <f>IF(AND(ISNUMBER(F919),ISNUMBER(H919)),IF(H919&gt;0,1,0),0)</f>
        <v>0</v>
      </c>
      <c r="Y919" s="96">
        <f>IF(Q919=0,0,IF(OR(T919=0,X919=0,NOT(ISNUMBER(E919)),AND(J919="Sim",L919="",M919=""),AND(ISNUMBER(E919),ISNUMBER(V919),N(V919)&gt;0,E919&lt;N(V919))),1,0))</f>
        <v>0</v>
      </c>
      <c r="Z919" s="96">
        <f>IF(AND(Q919=1,T919=1,X919=1,J919="Sim",OR(L919&lt;&gt;"",M919&lt;&gt;"")),1,0)</f>
        <v>0</v>
      </c>
      <c r="AA919" s="96">
        <f>IF(Q919=0,0,IF(AND(OR(r_ini="",AND(ISNUMBER(E919),E919&gt;=r_ini)),OR(r_fim="",AND(ISNUMBER(E919),E919&lt;=r_fim)),OR(r_un="",r_un="(Todas)",IF(N(U919)&gt;0,INDEX('MTRs'!$G$6:$G$505,U919),"")=r_un),OR(r_de="",r_de="(Todos)",D919=r_de)),1,0))</f>
        <v>0</v>
      </c>
      <c r="AB919" s="96" t="str">
        <f>IF(AA919=1,COUNTIF($AA$6:AA919,1),"")</f>
        <v/>
      </c>
    </row>
    <row r="920">
      <c r="A920" s="89" t="inlineStr">
        <is>
          <t>REC-000915</t>
        </is>
      </c>
      <c r="B920" s="94" t="str">
        <f>IF(T920=1,INDEX('ITENS_MTR'!$S$6:$S$1005,S920)&amp;"","")</f>
        <v/>
      </c>
      <c r="C920" s="91" t="n"/>
      <c r="D920" s="94" t="str">
        <f>IF(N(U920)&gt;0,INDEX('MTRs'!$I$6:$I$505,U920)&amp;"","")</f>
        <v/>
      </c>
      <c r="E920" s="92" t="n"/>
      <c r="F920" s="98" t="n"/>
      <c r="G920" s="91" t="n"/>
      <c r="H920" s="93" t="str">
        <f>IF(Q920=0,"",IF(NOT(ISNUMBER(F920)),"",IF(ISNUMBER(W920),F920*W920,"UNIDADE A CONFERIR")))</f>
        <v/>
      </c>
      <c r="I920" s="91" t="n"/>
      <c r="J920" s="91" t="n"/>
      <c r="K920" s="92" t="n"/>
      <c r="L920" s="91" t="n"/>
      <c r="M920" s="91" t="n"/>
      <c r="N920" s="91" t="n"/>
      <c r="O920" s="91" t="n"/>
      <c r="P920" s="94" t="str">
        <f>IF(Q920=0,"",IF(C920="","Item de resíduo não informado",IF(T920=0,"Item inexistente (referência inválida)",IF(NOT(ISNUMBER(F920)),"Quantidade não informada",IF(F920&lt;=0,"Quantidade não positiva",IF(G920="","Unidade não informada",IF(NOT(ISNUMBER(H920)),"Unidade a conferir",IF(NOT(ISNUMBER(E920)),"Data de recebimento não informada",IF(AND(ISNUMBER(V920),N(V920)&gt;0,E920&lt;N(V920)),"Data anterior à emissão do MTR",IF(AND(J920="Sim",L920="",M920=""),"Conferido sem evidência identificada",IF(J920&lt;&gt;"Sim","Aguardando conferência",IF(INDEX('ITENS_MTR'!$AM$6:$AM$1005,S920)=1,"Conferido (ver diferença no item)","Conferido"))))))))))))</f>
        <v/>
      </c>
      <c r="Q920" s="96">
        <f>IF(COUNTA(C920,E920:G920,I920:O920)&gt;0,1,0)</f>
        <v>0</v>
      </c>
      <c r="R920" s="96" t="str">
        <f>IF(C920="","",TRIM(LEFT(C920,FIND(" |",C920&amp;" |")-1)))</f>
        <v/>
      </c>
      <c r="S920" s="96" t="str">
        <f>IF(R920="","",IFERROR(MATCH(R920,'ITENS_MTR'!$A$6:$A$1005,0),""))</f>
        <v/>
      </c>
      <c r="T920" s="96">
        <f>IF(S920="",0,IF(INDEX('ITENS_MTR'!$R$6:$R$1005,S920)=1,1,0))</f>
        <v>0</v>
      </c>
      <c r="U920" s="96" t="str">
        <f>IF(T920=1,INDEX('ITENS_MTR'!$T$6:$T$1005,S920),"")</f>
        <v/>
      </c>
      <c r="V920" s="97" t="str">
        <f>IF(N(U920)&gt;0,INDEX('MTRs'!$E$6:$E$505,U920),"")</f>
        <v/>
      </c>
      <c r="W920" s="96" t="str">
        <f>IF(G920="","",IFERROR(IF(ISNUMBER(INDEX(cfg_fac,MATCH(G920,cfg_units,0))),IF(INDEX(cfg_fac,MATCH(G920,cfg_units,0))&gt;0,INDEX(cfg_fac,MATCH(G920,cfg_units,0)),""),""),""))</f>
        <v/>
      </c>
      <c r="X920" s="96">
        <f>IF(AND(ISNUMBER(F920),ISNUMBER(H920)),IF(H920&gt;0,1,0),0)</f>
        <v>0</v>
      </c>
      <c r="Y920" s="96">
        <f>IF(Q920=0,0,IF(OR(T920=0,X920=0,NOT(ISNUMBER(E920)),AND(J920="Sim",L920="",M920=""),AND(ISNUMBER(E920),ISNUMBER(V920),N(V920)&gt;0,E920&lt;N(V920))),1,0))</f>
        <v>0</v>
      </c>
      <c r="Z920" s="96">
        <f>IF(AND(Q920=1,T920=1,X920=1,J920="Sim",OR(L920&lt;&gt;"",M920&lt;&gt;"")),1,0)</f>
        <v>0</v>
      </c>
      <c r="AA920" s="96">
        <f>IF(Q920=0,0,IF(AND(OR(r_ini="",AND(ISNUMBER(E920),E920&gt;=r_ini)),OR(r_fim="",AND(ISNUMBER(E920),E920&lt;=r_fim)),OR(r_un="",r_un="(Todas)",IF(N(U920)&gt;0,INDEX('MTRs'!$G$6:$G$505,U920),"")=r_un),OR(r_de="",r_de="(Todos)",D920=r_de)),1,0))</f>
        <v>0</v>
      </c>
      <c r="AB920" s="96" t="str">
        <f>IF(AA920=1,COUNTIF($AA$6:AA920,1),"")</f>
        <v/>
      </c>
    </row>
    <row r="921">
      <c r="A921" s="89" t="inlineStr">
        <is>
          <t>REC-000916</t>
        </is>
      </c>
      <c r="B921" s="94" t="str">
        <f>IF(T921=1,INDEX('ITENS_MTR'!$S$6:$S$1005,S921)&amp;"","")</f>
        <v/>
      </c>
      <c r="C921" s="91" t="n"/>
      <c r="D921" s="94" t="str">
        <f>IF(N(U921)&gt;0,INDEX('MTRs'!$I$6:$I$505,U921)&amp;"","")</f>
        <v/>
      </c>
      <c r="E921" s="92" t="n"/>
      <c r="F921" s="98" t="n"/>
      <c r="G921" s="91" t="n"/>
      <c r="H921" s="93" t="str">
        <f>IF(Q921=0,"",IF(NOT(ISNUMBER(F921)),"",IF(ISNUMBER(W921),F921*W921,"UNIDADE A CONFERIR")))</f>
        <v/>
      </c>
      <c r="I921" s="91" t="n"/>
      <c r="J921" s="91" t="n"/>
      <c r="K921" s="92" t="n"/>
      <c r="L921" s="91" t="n"/>
      <c r="M921" s="91" t="n"/>
      <c r="N921" s="91" t="n"/>
      <c r="O921" s="91" t="n"/>
      <c r="P921" s="94" t="str">
        <f>IF(Q921=0,"",IF(C921="","Item de resíduo não informado",IF(T921=0,"Item inexistente (referência inválida)",IF(NOT(ISNUMBER(F921)),"Quantidade não informada",IF(F921&lt;=0,"Quantidade não positiva",IF(G921="","Unidade não informada",IF(NOT(ISNUMBER(H921)),"Unidade a conferir",IF(NOT(ISNUMBER(E921)),"Data de recebimento não informada",IF(AND(ISNUMBER(V921),N(V921)&gt;0,E921&lt;N(V921)),"Data anterior à emissão do MTR",IF(AND(J921="Sim",L921="",M921=""),"Conferido sem evidência identificada",IF(J921&lt;&gt;"Sim","Aguardando conferência",IF(INDEX('ITENS_MTR'!$AM$6:$AM$1005,S921)=1,"Conferido (ver diferença no item)","Conferido"))))))))))))</f>
        <v/>
      </c>
      <c r="Q921" s="96">
        <f>IF(COUNTA(C921,E921:G921,I921:O921)&gt;0,1,0)</f>
        <v>0</v>
      </c>
      <c r="R921" s="96" t="str">
        <f>IF(C921="","",TRIM(LEFT(C921,FIND(" |",C921&amp;" |")-1)))</f>
        <v/>
      </c>
      <c r="S921" s="96" t="str">
        <f>IF(R921="","",IFERROR(MATCH(R921,'ITENS_MTR'!$A$6:$A$1005,0),""))</f>
        <v/>
      </c>
      <c r="T921" s="96">
        <f>IF(S921="",0,IF(INDEX('ITENS_MTR'!$R$6:$R$1005,S921)=1,1,0))</f>
        <v>0</v>
      </c>
      <c r="U921" s="96" t="str">
        <f>IF(T921=1,INDEX('ITENS_MTR'!$T$6:$T$1005,S921),"")</f>
        <v/>
      </c>
      <c r="V921" s="97" t="str">
        <f>IF(N(U921)&gt;0,INDEX('MTRs'!$E$6:$E$505,U921),"")</f>
        <v/>
      </c>
      <c r="W921" s="96" t="str">
        <f>IF(G921="","",IFERROR(IF(ISNUMBER(INDEX(cfg_fac,MATCH(G921,cfg_units,0))),IF(INDEX(cfg_fac,MATCH(G921,cfg_units,0))&gt;0,INDEX(cfg_fac,MATCH(G921,cfg_units,0)),""),""),""))</f>
        <v/>
      </c>
      <c r="X921" s="96">
        <f>IF(AND(ISNUMBER(F921),ISNUMBER(H921)),IF(H921&gt;0,1,0),0)</f>
        <v>0</v>
      </c>
      <c r="Y921" s="96">
        <f>IF(Q921=0,0,IF(OR(T921=0,X921=0,NOT(ISNUMBER(E921)),AND(J921="Sim",L921="",M921=""),AND(ISNUMBER(E921),ISNUMBER(V921),N(V921)&gt;0,E921&lt;N(V921))),1,0))</f>
        <v>0</v>
      </c>
      <c r="Z921" s="96">
        <f>IF(AND(Q921=1,T921=1,X921=1,J921="Sim",OR(L921&lt;&gt;"",M921&lt;&gt;"")),1,0)</f>
        <v>0</v>
      </c>
      <c r="AA921" s="96">
        <f>IF(Q921=0,0,IF(AND(OR(r_ini="",AND(ISNUMBER(E921),E921&gt;=r_ini)),OR(r_fim="",AND(ISNUMBER(E921),E921&lt;=r_fim)),OR(r_un="",r_un="(Todas)",IF(N(U921)&gt;0,INDEX('MTRs'!$G$6:$G$505,U921),"")=r_un),OR(r_de="",r_de="(Todos)",D921=r_de)),1,0))</f>
        <v>0</v>
      </c>
      <c r="AB921" s="96" t="str">
        <f>IF(AA921=1,COUNTIF($AA$6:AA921,1),"")</f>
        <v/>
      </c>
    </row>
    <row r="922">
      <c r="A922" s="89" t="inlineStr">
        <is>
          <t>REC-000917</t>
        </is>
      </c>
      <c r="B922" s="94" t="str">
        <f>IF(T922=1,INDEX('ITENS_MTR'!$S$6:$S$1005,S922)&amp;"","")</f>
        <v/>
      </c>
      <c r="C922" s="91" t="n"/>
      <c r="D922" s="94" t="str">
        <f>IF(N(U922)&gt;0,INDEX('MTRs'!$I$6:$I$505,U922)&amp;"","")</f>
        <v/>
      </c>
      <c r="E922" s="92" t="n"/>
      <c r="F922" s="98" t="n"/>
      <c r="G922" s="91" t="n"/>
      <c r="H922" s="93" t="str">
        <f>IF(Q922=0,"",IF(NOT(ISNUMBER(F922)),"",IF(ISNUMBER(W922),F922*W922,"UNIDADE A CONFERIR")))</f>
        <v/>
      </c>
      <c r="I922" s="91" t="n"/>
      <c r="J922" s="91" t="n"/>
      <c r="K922" s="92" t="n"/>
      <c r="L922" s="91" t="n"/>
      <c r="M922" s="91" t="n"/>
      <c r="N922" s="91" t="n"/>
      <c r="O922" s="91" t="n"/>
      <c r="P922" s="94" t="str">
        <f>IF(Q922=0,"",IF(C922="","Item de resíduo não informado",IF(T922=0,"Item inexistente (referência inválida)",IF(NOT(ISNUMBER(F922)),"Quantidade não informada",IF(F922&lt;=0,"Quantidade não positiva",IF(G922="","Unidade não informada",IF(NOT(ISNUMBER(H922)),"Unidade a conferir",IF(NOT(ISNUMBER(E922)),"Data de recebimento não informada",IF(AND(ISNUMBER(V922),N(V922)&gt;0,E922&lt;N(V922)),"Data anterior à emissão do MTR",IF(AND(J922="Sim",L922="",M922=""),"Conferido sem evidência identificada",IF(J922&lt;&gt;"Sim","Aguardando conferência",IF(INDEX('ITENS_MTR'!$AM$6:$AM$1005,S922)=1,"Conferido (ver diferença no item)","Conferido"))))))))))))</f>
        <v/>
      </c>
      <c r="Q922" s="96">
        <f>IF(COUNTA(C922,E922:G922,I922:O922)&gt;0,1,0)</f>
        <v>0</v>
      </c>
      <c r="R922" s="96" t="str">
        <f>IF(C922="","",TRIM(LEFT(C922,FIND(" |",C922&amp;" |")-1)))</f>
        <v/>
      </c>
      <c r="S922" s="96" t="str">
        <f>IF(R922="","",IFERROR(MATCH(R922,'ITENS_MTR'!$A$6:$A$1005,0),""))</f>
        <v/>
      </c>
      <c r="T922" s="96">
        <f>IF(S922="",0,IF(INDEX('ITENS_MTR'!$R$6:$R$1005,S922)=1,1,0))</f>
        <v>0</v>
      </c>
      <c r="U922" s="96" t="str">
        <f>IF(T922=1,INDEX('ITENS_MTR'!$T$6:$T$1005,S922),"")</f>
        <v/>
      </c>
      <c r="V922" s="97" t="str">
        <f>IF(N(U922)&gt;0,INDEX('MTRs'!$E$6:$E$505,U922),"")</f>
        <v/>
      </c>
      <c r="W922" s="96" t="str">
        <f>IF(G922="","",IFERROR(IF(ISNUMBER(INDEX(cfg_fac,MATCH(G922,cfg_units,0))),IF(INDEX(cfg_fac,MATCH(G922,cfg_units,0))&gt;0,INDEX(cfg_fac,MATCH(G922,cfg_units,0)),""),""),""))</f>
        <v/>
      </c>
      <c r="X922" s="96">
        <f>IF(AND(ISNUMBER(F922),ISNUMBER(H922)),IF(H922&gt;0,1,0),0)</f>
        <v>0</v>
      </c>
      <c r="Y922" s="96">
        <f>IF(Q922=0,0,IF(OR(T922=0,X922=0,NOT(ISNUMBER(E922)),AND(J922="Sim",L922="",M922=""),AND(ISNUMBER(E922),ISNUMBER(V922),N(V922)&gt;0,E922&lt;N(V922))),1,0))</f>
        <v>0</v>
      </c>
      <c r="Z922" s="96">
        <f>IF(AND(Q922=1,T922=1,X922=1,J922="Sim",OR(L922&lt;&gt;"",M922&lt;&gt;"")),1,0)</f>
        <v>0</v>
      </c>
      <c r="AA922" s="96">
        <f>IF(Q922=0,0,IF(AND(OR(r_ini="",AND(ISNUMBER(E922),E922&gt;=r_ini)),OR(r_fim="",AND(ISNUMBER(E922),E922&lt;=r_fim)),OR(r_un="",r_un="(Todas)",IF(N(U922)&gt;0,INDEX('MTRs'!$G$6:$G$505,U922),"")=r_un),OR(r_de="",r_de="(Todos)",D922=r_de)),1,0))</f>
        <v>0</v>
      </c>
      <c r="AB922" s="96" t="str">
        <f>IF(AA922=1,COUNTIF($AA$6:AA922,1),"")</f>
        <v/>
      </c>
    </row>
    <row r="923">
      <c r="A923" s="89" t="inlineStr">
        <is>
          <t>REC-000918</t>
        </is>
      </c>
      <c r="B923" s="94" t="str">
        <f>IF(T923=1,INDEX('ITENS_MTR'!$S$6:$S$1005,S923)&amp;"","")</f>
        <v/>
      </c>
      <c r="C923" s="91" t="n"/>
      <c r="D923" s="94" t="str">
        <f>IF(N(U923)&gt;0,INDEX('MTRs'!$I$6:$I$505,U923)&amp;"","")</f>
        <v/>
      </c>
      <c r="E923" s="92" t="n"/>
      <c r="F923" s="98" t="n"/>
      <c r="G923" s="91" t="n"/>
      <c r="H923" s="93" t="str">
        <f>IF(Q923=0,"",IF(NOT(ISNUMBER(F923)),"",IF(ISNUMBER(W923),F923*W923,"UNIDADE A CONFERIR")))</f>
        <v/>
      </c>
      <c r="I923" s="91" t="n"/>
      <c r="J923" s="91" t="n"/>
      <c r="K923" s="92" t="n"/>
      <c r="L923" s="91" t="n"/>
      <c r="M923" s="91" t="n"/>
      <c r="N923" s="91" t="n"/>
      <c r="O923" s="91" t="n"/>
      <c r="P923" s="94" t="str">
        <f>IF(Q923=0,"",IF(C923="","Item de resíduo não informado",IF(T923=0,"Item inexistente (referência inválida)",IF(NOT(ISNUMBER(F923)),"Quantidade não informada",IF(F923&lt;=0,"Quantidade não positiva",IF(G923="","Unidade não informada",IF(NOT(ISNUMBER(H923)),"Unidade a conferir",IF(NOT(ISNUMBER(E923)),"Data de recebimento não informada",IF(AND(ISNUMBER(V923),N(V923)&gt;0,E923&lt;N(V923)),"Data anterior à emissão do MTR",IF(AND(J923="Sim",L923="",M923=""),"Conferido sem evidência identificada",IF(J923&lt;&gt;"Sim","Aguardando conferência",IF(INDEX('ITENS_MTR'!$AM$6:$AM$1005,S923)=1,"Conferido (ver diferença no item)","Conferido"))))))))))))</f>
        <v/>
      </c>
      <c r="Q923" s="96">
        <f>IF(COUNTA(C923,E923:G923,I923:O923)&gt;0,1,0)</f>
        <v>0</v>
      </c>
      <c r="R923" s="96" t="str">
        <f>IF(C923="","",TRIM(LEFT(C923,FIND(" |",C923&amp;" |")-1)))</f>
        <v/>
      </c>
      <c r="S923" s="96" t="str">
        <f>IF(R923="","",IFERROR(MATCH(R923,'ITENS_MTR'!$A$6:$A$1005,0),""))</f>
        <v/>
      </c>
      <c r="T923" s="96">
        <f>IF(S923="",0,IF(INDEX('ITENS_MTR'!$R$6:$R$1005,S923)=1,1,0))</f>
        <v>0</v>
      </c>
      <c r="U923" s="96" t="str">
        <f>IF(T923=1,INDEX('ITENS_MTR'!$T$6:$T$1005,S923),"")</f>
        <v/>
      </c>
      <c r="V923" s="97" t="str">
        <f>IF(N(U923)&gt;0,INDEX('MTRs'!$E$6:$E$505,U923),"")</f>
        <v/>
      </c>
      <c r="W923" s="96" t="str">
        <f>IF(G923="","",IFERROR(IF(ISNUMBER(INDEX(cfg_fac,MATCH(G923,cfg_units,0))),IF(INDEX(cfg_fac,MATCH(G923,cfg_units,0))&gt;0,INDEX(cfg_fac,MATCH(G923,cfg_units,0)),""),""),""))</f>
        <v/>
      </c>
      <c r="X923" s="96">
        <f>IF(AND(ISNUMBER(F923),ISNUMBER(H923)),IF(H923&gt;0,1,0),0)</f>
        <v>0</v>
      </c>
      <c r="Y923" s="96">
        <f>IF(Q923=0,0,IF(OR(T923=0,X923=0,NOT(ISNUMBER(E923)),AND(J923="Sim",L923="",M923=""),AND(ISNUMBER(E923),ISNUMBER(V923),N(V923)&gt;0,E923&lt;N(V923))),1,0))</f>
        <v>0</v>
      </c>
      <c r="Z923" s="96">
        <f>IF(AND(Q923=1,T923=1,X923=1,J923="Sim",OR(L923&lt;&gt;"",M923&lt;&gt;"")),1,0)</f>
        <v>0</v>
      </c>
      <c r="AA923" s="96">
        <f>IF(Q923=0,0,IF(AND(OR(r_ini="",AND(ISNUMBER(E923),E923&gt;=r_ini)),OR(r_fim="",AND(ISNUMBER(E923),E923&lt;=r_fim)),OR(r_un="",r_un="(Todas)",IF(N(U923)&gt;0,INDEX('MTRs'!$G$6:$G$505,U923),"")=r_un),OR(r_de="",r_de="(Todos)",D923=r_de)),1,0))</f>
        <v>0</v>
      </c>
      <c r="AB923" s="96" t="str">
        <f>IF(AA923=1,COUNTIF($AA$6:AA923,1),"")</f>
        <v/>
      </c>
    </row>
    <row r="924">
      <c r="A924" s="89" t="inlineStr">
        <is>
          <t>REC-000919</t>
        </is>
      </c>
      <c r="B924" s="94" t="str">
        <f>IF(T924=1,INDEX('ITENS_MTR'!$S$6:$S$1005,S924)&amp;"","")</f>
        <v/>
      </c>
      <c r="C924" s="91" t="n"/>
      <c r="D924" s="94" t="str">
        <f>IF(N(U924)&gt;0,INDEX('MTRs'!$I$6:$I$505,U924)&amp;"","")</f>
        <v/>
      </c>
      <c r="E924" s="92" t="n"/>
      <c r="F924" s="98" t="n"/>
      <c r="G924" s="91" t="n"/>
      <c r="H924" s="93" t="str">
        <f>IF(Q924=0,"",IF(NOT(ISNUMBER(F924)),"",IF(ISNUMBER(W924),F924*W924,"UNIDADE A CONFERIR")))</f>
        <v/>
      </c>
      <c r="I924" s="91" t="n"/>
      <c r="J924" s="91" t="n"/>
      <c r="K924" s="92" t="n"/>
      <c r="L924" s="91" t="n"/>
      <c r="M924" s="91" t="n"/>
      <c r="N924" s="91" t="n"/>
      <c r="O924" s="91" t="n"/>
      <c r="P924" s="94" t="str">
        <f>IF(Q924=0,"",IF(C924="","Item de resíduo não informado",IF(T924=0,"Item inexistente (referência inválida)",IF(NOT(ISNUMBER(F924)),"Quantidade não informada",IF(F924&lt;=0,"Quantidade não positiva",IF(G924="","Unidade não informada",IF(NOT(ISNUMBER(H924)),"Unidade a conferir",IF(NOT(ISNUMBER(E924)),"Data de recebimento não informada",IF(AND(ISNUMBER(V924),N(V924)&gt;0,E924&lt;N(V924)),"Data anterior à emissão do MTR",IF(AND(J924="Sim",L924="",M924=""),"Conferido sem evidência identificada",IF(J924&lt;&gt;"Sim","Aguardando conferência",IF(INDEX('ITENS_MTR'!$AM$6:$AM$1005,S924)=1,"Conferido (ver diferença no item)","Conferido"))))))))))))</f>
        <v/>
      </c>
      <c r="Q924" s="96">
        <f>IF(COUNTA(C924,E924:G924,I924:O924)&gt;0,1,0)</f>
        <v>0</v>
      </c>
      <c r="R924" s="96" t="str">
        <f>IF(C924="","",TRIM(LEFT(C924,FIND(" |",C924&amp;" |")-1)))</f>
        <v/>
      </c>
      <c r="S924" s="96" t="str">
        <f>IF(R924="","",IFERROR(MATCH(R924,'ITENS_MTR'!$A$6:$A$1005,0),""))</f>
        <v/>
      </c>
      <c r="T924" s="96">
        <f>IF(S924="",0,IF(INDEX('ITENS_MTR'!$R$6:$R$1005,S924)=1,1,0))</f>
        <v>0</v>
      </c>
      <c r="U924" s="96" t="str">
        <f>IF(T924=1,INDEX('ITENS_MTR'!$T$6:$T$1005,S924),"")</f>
        <v/>
      </c>
      <c r="V924" s="97" t="str">
        <f>IF(N(U924)&gt;0,INDEX('MTRs'!$E$6:$E$505,U924),"")</f>
        <v/>
      </c>
      <c r="W924" s="96" t="str">
        <f>IF(G924="","",IFERROR(IF(ISNUMBER(INDEX(cfg_fac,MATCH(G924,cfg_units,0))),IF(INDEX(cfg_fac,MATCH(G924,cfg_units,0))&gt;0,INDEX(cfg_fac,MATCH(G924,cfg_units,0)),""),""),""))</f>
        <v/>
      </c>
      <c r="X924" s="96">
        <f>IF(AND(ISNUMBER(F924),ISNUMBER(H924)),IF(H924&gt;0,1,0),0)</f>
        <v>0</v>
      </c>
      <c r="Y924" s="96">
        <f>IF(Q924=0,0,IF(OR(T924=0,X924=0,NOT(ISNUMBER(E924)),AND(J924="Sim",L924="",M924=""),AND(ISNUMBER(E924),ISNUMBER(V924),N(V924)&gt;0,E924&lt;N(V924))),1,0))</f>
        <v>0</v>
      </c>
      <c r="Z924" s="96">
        <f>IF(AND(Q924=1,T924=1,X924=1,J924="Sim",OR(L924&lt;&gt;"",M924&lt;&gt;"")),1,0)</f>
        <v>0</v>
      </c>
      <c r="AA924" s="96">
        <f>IF(Q924=0,0,IF(AND(OR(r_ini="",AND(ISNUMBER(E924),E924&gt;=r_ini)),OR(r_fim="",AND(ISNUMBER(E924),E924&lt;=r_fim)),OR(r_un="",r_un="(Todas)",IF(N(U924)&gt;0,INDEX('MTRs'!$G$6:$G$505,U924),"")=r_un),OR(r_de="",r_de="(Todos)",D924=r_de)),1,0))</f>
        <v>0</v>
      </c>
      <c r="AB924" s="96" t="str">
        <f>IF(AA924=1,COUNTIF($AA$6:AA924,1),"")</f>
        <v/>
      </c>
    </row>
    <row r="925">
      <c r="A925" s="89" t="inlineStr">
        <is>
          <t>REC-000920</t>
        </is>
      </c>
      <c r="B925" s="94" t="str">
        <f>IF(T925=1,INDEX('ITENS_MTR'!$S$6:$S$1005,S925)&amp;"","")</f>
        <v/>
      </c>
      <c r="C925" s="91" t="n"/>
      <c r="D925" s="94" t="str">
        <f>IF(N(U925)&gt;0,INDEX('MTRs'!$I$6:$I$505,U925)&amp;"","")</f>
        <v/>
      </c>
      <c r="E925" s="92" t="n"/>
      <c r="F925" s="98" t="n"/>
      <c r="G925" s="91" t="n"/>
      <c r="H925" s="93" t="str">
        <f>IF(Q925=0,"",IF(NOT(ISNUMBER(F925)),"",IF(ISNUMBER(W925),F925*W925,"UNIDADE A CONFERIR")))</f>
        <v/>
      </c>
      <c r="I925" s="91" t="n"/>
      <c r="J925" s="91" t="n"/>
      <c r="K925" s="92" t="n"/>
      <c r="L925" s="91" t="n"/>
      <c r="M925" s="91" t="n"/>
      <c r="N925" s="91" t="n"/>
      <c r="O925" s="91" t="n"/>
      <c r="P925" s="94" t="str">
        <f>IF(Q925=0,"",IF(C925="","Item de resíduo não informado",IF(T925=0,"Item inexistente (referência inválida)",IF(NOT(ISNUMBER(F925)),"Quantidade não informada",IF(F925&lt;=0,"Quantidade não positiva",IF(G925="","Unidade não informada",IF(NOT(ISNUMBER(H925)),"Unidade a conferir",IF(NOT(ISNUMBER(E925)),"Data de recebimento não informada",IF(AND(ISNUMBER(V925),N(V925)&gt;0,E925&lt;N(V925)),"Data anterior à emissão do MTR",IF(AND(J925="Sim",L925="",M925=""),"Conferido sem evidência identificada",IF(J925&lt;&gt;"Sim","Aguardando conferência",IF(INDEX('ITENS_MTR'!$AM$6:$AM$1005,S925)=1,"Conferido (ver diferença no item)","Conferido"))))))))))))</f>
        <v/>
      </c>
      <c r="Q925" s="96">
        <f>IF(COUNTA(C925,E925:G925,I925:O925)&gt;0,1,0)</f>
        <v>0</v>
      </c>
      <c r="R925" s="96" t="str">
        <f>IF(C925="","",TRIM(LEFT(C925,FIND(" |",C925&amp;" |")-1)))</f>
        <v/>
      </c>
      <c r="S925" s="96" t="str">
        <f>IF(R925="","",IFERROR(MATCH(R925,'ITENS_MTR'!$A$6:$A$1005,0),""))</f>
        <v/>
      </c>
      <c r="T925" s="96">
        <f>IF(S925="",0,IF(INDEX('ITENS_MTR'!$R$6:$R$1005,S925)=1,1,0))</f>
        <v>0</v>
      </c>
      <c r="U925" s="96" t="str">
        <f>IF(T925=1,INDEX('ITENS_MTR'!$T$6:$T$1005,S925),"")</f>
        <v/>
      </c>
      <c r="V925" s="97" t="str">
        <f>IF(N(U925)&gt;0,INDEX('MTRs'!$E$6:$E$505,U925),"")</f>
        <v/>
      </c>
      <c r="W925" s="96" t="str">
        <f>IF(G925="","",IFERROR(IF(ISNUMBER(INDEX(cfg_fac,MATCH(G925,cfg_units,0))),IF(INDEX(cfg_fac,MATCH(G925,cfg_units,0))&gt;0,INDEX(cfg_fac,MATCH(G925,cfg_units,0)),""),""),""))</f>
        <v/>
      </c>
      <c r="X925" s="96">
        <f>IF(AND(ISNUMBER(F925),ISNUMBER(H925)),IF(H925&gt;0,1,0),0)</f>
        <v>0</v>
      </c>
      <c r="Y925" s="96">
        <f>IF(Q925=0,0,IF(OR(T925=0,X925=0,NOT(ISNUMBER(E925)),AND(J925="Sim",L925="",M925=""),AND(ISNUMBER(E925),ISNUMBER(V925),N(V925)&gt;0,E925&lt;N(V925))),1,0))</f>
        <v>0</v>
      </c>
      <c r="Z925" s="96">
        <f>IF(AND(Q925=1,T925=1,X925=1,J925="Sim",OR(L925&lt;&gt;"",M925&lt;&gt;"")),1,0)</f>
        <v>0</v>
      </c>
      <c r="AA925" s="96">
        <f>IF(Q925=0,0,IF(AND(OR(r_ini="",AND(ISNUMBER(E925),E925&gt;=r_ini)),OR(r_fim="",AND(ISNUMBER(E925),E925&lt;=r_fim)),OR(r_un="",r_un="(Todas)",IF(N(U925)&gt;0,INDEX('MTRs'!$G$6:$G$505,U925),"")=r_un),OR(r_de="",r_de="(Todos)",D925=r_de)),1,0))</f>
        <v>0</v>
      </c>
      <c r="AB925" s="96" t="str">
        <f>IF(AA925=1,COUNTIF($AA$6:AA925,1),"")</f>
        <v/>
      </c>
    </row>
    <row r="926">
      <c r="A926" s="89" t="inlineStr">
        <is>
          <t>REC-000921</t>
        </is>
      </c>
      <c r="B926" s="94" t="str">
        <f>IF(T926=1,INDEX('ITENS_MTR'!$S$6:$S$1005,S926)&amp;"","")</f>
        <v/>
      </c>
      <c r="C926" s="91" t="n"/>
      <c r="D926" s="94" t="str">
        <f>IF(N(U926)&gt;0,INDEX('MTRs'!$I$6:$I$505,U926)&amp;"","")</f>
        <v/>
      </c>
      <c r="E926" s="92" t="n"/>
      <c r="F926" s="98" t="n"/>
      <c r="G926" s="91" t="n"/>
      <c r="H926" s="93" t="str">
        <f>IF(Q926=0,"",IF(NOT(ISNUMBER(F926)),"",IF(ISNUMBER(W926),F926*W926,"UNIDADE A CONFERIR")))</f>
        <v/>
      </c>
      <c r="I926" s="91" t="n"/>
      <c r="J926" s="91" t="n"/>
      <c r="K926" s="92" t="n"/>
      <c r="L926" s="91" t="n"/>
      <c r="M926" s="91" t="n"/>
      <c r="N926" s="91" t="n"/>
      <c r="O926" s="91" t="n"/>
      <c r="P926" s="94" t="str">
        <f>IF(Q926=0,"",IF(C926="","Item de resíduo não informado",IF(T926=0,"Item inexistente (referência inválida)",IF(NOT(ISNUMBER(F926)),"Quantidade não informada",IF(F926&lt;=0,"Quantidade não positiva",IF(G926="","Unidade não informada",IF(NOT(ISNUMBER(H926)),"Unidade a conferir",IF(NOT(ISNUMBER(E926)),"Data de recebimento não informada",IF(AND(ISNUMBER(V926),N(V926)&gt;0,E926&lt;N(V926)),"Data anterior à emissão do MTR",IF(AND(J926="Sim",L926="",M926=""),"Conferido sem evidência identificada",IF(J926&lt;&gt;"Sim","Aguardando conferência",IF(INDEX('ITENS_MTR'!$AM$6:$AM$1005,S926)=1,"Conferido (ver diferença no item)","Conferido"))))))))))))</f>
        <v/>
      </c>
      <c r="Q926" s="96">
        <f>IF(COUNTA(C926,E926:G926,I926:O926)&gt;0,1,0)</f>
        <v>0</v>
      </c>
      <c r="R926" s="96" t="str">
        <f>IF(C926="","",TRIM(LEFT(C926,FIND(" |",C926&amp;" |")-1)))</f>
        <v/>
      </c>
      <c r="S926" s="96" t="str">
        <f>IF(R926="","",IFERROR(MATCH(R926,'ITENS_MTR'!$A$6:$A$1005,0),""))</f>
        <v/>
      </c>
      <c r="T926" s="96">
        <f>IF(S926="",0,IF(INDEX('ITENS_MTR'!$R$6:$R$1005,S926)=1,1,0))</f>
        <v>0</v>
      </c>
      <c r="U926" s="96" t="str">
        <f>IF(T926=1,INDEX('ITENS_MTR'!$T$6:$T$1005,S926),"")</f>
        <v/>
      </c>
      <c r="V926" s="97" t="str">
        <f>IF(N(U926)&gt;0,INDEX('MTRs'!$E$6:$E$505,U926),"")</f>
        <v/>
      </c>
      <c r="W926" s="96" t="str">
        <f>IF(G926="","",IFERROR(IF(ISNUMBER(INDEX(cfg_fac,MATCH(G926,cfg_units,0))),IF(INDEX(cfg_fac,MATCH(G926,cfg_units,0))&gt;0,INDEX(cfg_fac,MATCH(G926,cfg_units,0)),""),""),""))</f>
        <v/>
      </c>
      <c r="X926" s="96">
        <f>IF(AND(ISNUMBER(F926),ISNUMBER(H926)),IF(H926&gt;0,1,0),0)</f>
        <v>0</v>
      </c>
      <c r="Y926" s="96">
        <f>IF(Q926=0,0,IF(OR(T926=0,X926=0,NOT(ISNUMBER(E926)),AND(J926="Sim",L926="",M926=""),AND(ISNUMBER(E926),ISNUMBER(V926),N(V926)&gt;0,E926&lt;N(V926))),1,0))</f>
        <v>0</v>
      </c>
      <c r="Z926" s="96">
        <f>IF(AND(Q926=1,T926=1,X926=1,J926="Sim",OR(L926&lt;&gt;"",M926&lt;&gt;"")),1,0)</f>
        <v>0</v>
      </c>
      <c r="AA926" s="96">
        <f>IF(Q926=0,0,IF(AND(OR(r_ini="",AND(ISNUMBER(E926),E926&gt;=r_ini)),OR(r_fim="",AND(ISNUMBER(E926),E926&lt;=r_fim)),OR(r_un="",r_un="(Todas)",IF(N(U926)&gt;0,INDEX('MTRs'!$G$6:$G$505,U926),"")=r_un),OR(r_de="",r_de="(Todos)",D926=r_de)),1,0))</f>
        <v>0</v>
      </c>
      <c r="AB926" s="96" t="str">
        <f>IF(AA926=1,COUNTIF($AA$6:AA926,1),"")</f>
        <v/>
      </c>
    </row>
    <row r="927">
      <c r="A927" s="89" t="inlineStr">
        <is>
          <t>REC-000922</t>
        </is>
      </c>
      <c r="B927" s="94" t="str">
        <f>IF(T927=1,INDEX('ITENS_MTR'!$S$6:$S$1005,S927)&amp;"","")</f>
        <v/>
      </c>
      <c r="C927" s="91" t="n"/>
      <c r="D927" s="94" t="str">
        <f>IF(N(U927)&gt;0,INDEX('MTRs'!$I$6:$I$505,U927)&amp;"","")</f>
        <v/>
      </c>
      <c r="E927" s="92" t="n"/>
      <c r="F927" s="98" t="n"/>
      <c r="G927" s="91" t="n"/>
      <c r="H927" s="93" t="str">
        <f>IF(Q927=0,"",IF(NOT(ISNUMBER(F927)),"",IF(ISNUMBER(W927),F927*W927,"UNIDADE A CONFERIR")))</f>
        <v/>
      </c>
      <c r="I927" s="91" t="n"/>
      <c r="J927" s="91" t="n"/>
      <c r="K927" s="92" t="n"/>
      <c r="L927" s="91" t="n"/>
      <c r="M927" s="91" t="n"/>
      <c r="N927" s="91" t="n"/>
      <c r="O927" s="91" t="n"/>
      <c r="P927" s="94" t="str">
        <f>IF(Q927=0,"",IF(C927="","Item de resíduo não informado",IF(T927=0,"Item inexistente (referência inválida)",IF(NOT(ISNUMBER(F927)),"Quantidade não informada",IF(F927&lt;=0,"Quantidade não positiva",IF(G927="","Unidade não informada",IF(NOT(ISNUMBER(H927)),"Unidade a conferir",IF(NOT(ISNUMBER(E927)),"Data de recebimento não informada",IF(AND(ISNUMBER(V927),N(V927)&gt;0,E927&lt;N(V927)),"Data anterior à emissão do MTR",IF(AND(J927="Sim",L927="",M927=""),"Conferido sem evidência identificada",IF(J927&lt;&gt;"Sim","Aguardando conferência",IF(INDEX('ITENS_MTR'!$AM$6:$AM$1005,S927)=1,"Conferido (ver diferença no item)","Conferido"))))))))))))</f>
        <v/>
      </c>
      <c r="Q927" s="96">
        <f>IF(COUNTA(C927,E927:G927,I927:O927)&gt;0,1,0)</f>
        <v>0</v>
      </c>
      <c r="R927" s="96" t="str">
        <f>IF(C927="","",TRIM(LEFT(C927,FIND(" |",C927&amp;" |")-1)))</f>
        <v/>
      </c>
      <c r="S927" s="96" t="str">
        <f>IF(R927="","",IFERROR(MATCH(R927,'ITENS_MTR'!$A$6:$A$1005,0),""))</f>
        <v/>
      </c>
      <c r="T927" s="96">
        <f>IF(S927="",0,IF(INDEX('ITENS_MTR'!$R$6:$R$1005,S927)=1,1,0))</f>
        <v>0</v>
      </c>
      <c r="U927" s="96" t="str">
        <f>IF(T927=1,INDEX('ITENS_MTR'!$T$6:$T$1005,S927),"")</f>
        <v/>
      </c>
      <c r="V927" s="97" t="str">
        <f>IF(N(U927)&gt;0,INDEX('MTRs'!$E$6:$E$505,U927),"")</f>
        <v/>
      </c>
      <c r="W927" s="96" t="str">
        <f>IF(G927="","",IFERROR(IF(ISNUMBER(INDEX(cfg_fac,MATCH(G927,cfg_units,0))),IF(INDEX(cfg_fac,MATCH(G927,cfg_units,0))&gt;0,INDEX(cfg_fac,MATCH(G927,cfg_units,0)),""),""),""))</f>
        <v/>
      </c>
      <c r="X927" s="96">
        <f>IF(AND(ISNUMBER(F927),ISNUMBER(H927)),IF(H927&gt;0,1,0),0)</f>
        <v>0</v>
      </c>
      <c r="Y927" s="96">
        <f>IF(Q927=0,0,IF(OR(T927=0,X927=0,NOT(ISNUMBER(E927)),AND(J927="Sim",L927="",M927=""),AND(ISNUMBER(E927),ISNUMBER(V927),N(V927)&gt;0,E927&lt;N(V927))),1,0))</f>
        <v>0</v>
      </c>
      <c r="Z927" s="96">
        <f>IF(AND(Q927=1,T927=1,X927=1,J927="Sim",OR(L927&lt;&gt;"",M927&lt;&gt;"")),1,0)</f>
        <v>0</v>
      </c>
      <c r="AA927" s="96">
        <f>IF(Q927=0,0,IF(AND(OR(r_ini="",AND(ISNUMBER(E927),E927&gt;=r_ini)),OR(r_fim="",AND(ISNUMBER(E927),E927&lt;=r_fim)),OR(r_un="",r_un="(Todas)",IF(N(U927)&gt;0,INDEX('MTRs'!$G$6:$G$505,U927),"")=r_un),OR(r_de="",r_de="(Todos)",D927=r_de)),1,0))</f>
        <v>0</v>
      </c>
      <c r="AB927" s="96" t="str">
        <f>IF(AA927=1,COUNTIF($AA$6:AA927,1),"")</f>
        <v/>
      </c>
    </row>
    <row r="928">
      <c r="A928" s="89" t="inlineStr">
        <is>
          <t>REC-000923</t>
        </is>
      </c>
      <c r="B928" s="94" t="str">
        <f>IF(T928=1,INDEX('ITENS_MTR'!$S$6:$S$1005,S928)&amp;"","")</f>
        <v/>
      </c>
      <c r="C928" s="91" t="n"/>
      <c r="D928" s="94" t="str">
        <f>IF(N(U928)&gt;0,INDEX('MTRs'!$I$6:$I$505,U928)&amp;"","")</f>
        <v/>
      </c>
      <c r="E928" s="92" t="n"/>
      <c r="F928" s="98" t="n"/>
      <c r="G928" s="91" t="n"/>
      <c r="H928" s="93" t="str">
        <f>IF(Q928=0,"",IF(NOT(ISNUMBER(F928)),"",IF(ISNUMBER(W928),F928*W928,"UNIDADE A CONFERIR")))</f>
        <v/>
      </c>
      <c r="I928" s="91" t="n"/>
      <c r="J928" s="91" t="n"/>
      <c r="K928" s="92" t="n"/>
      <c r="L928" s="91" t="n"/>
      <c r="M928" s="91" t="n"/>
      <c r="N928" s="91" t="n"/>
      <c r="O928" s="91" t="n"/>
      <c r="P928" s="94" t="str">
        <f>IF(Q928=0,"",IF(C928="","Item de resíduo não informado",IF(T928=0,"Item inexistente (referência inválida)",IF(NOT(ISNUMBER(F928)),"Quantidade não informada",IF(F928&lt;=0,"Quantidade não positiva",IF(G928="","Unidade não informada",IF(NOT(ISNUMBER(H928)),"Unidade a conferir",IF(NOT(ISNUMBER(E928)),"Data de recebimento não informada",IF(AND(ISNUMBER(V928),N(V928)&gt;0,E928&lt;N(V928)),"Data anterior à emissão do MTR",IF(AND(J928="Sim",L928="",M928=""),"Conferido sem evidência identificada",IF(J928&lt;&gt;"Sim","Aguardando conferência",IF(INDEX('ITENS_MTR'!$AM$6:$AM$1005,S928)=1,"Conferido (ver diferença no item)","Conferido"))))))))))))</f>
        <v/>
      </c>
      <c r="Q928" s="96">
        <f>IF(COUNTA(C928,E928:G928,I928:O928)&gt;0,1,0)</f>
        <v>0</v>
      </c>
      <c r="R928" s="96" t="str">
        <f>IF(C928="","",TRIM(LEFT(C928,FIND(" |",C928&amp;" |")-1)))</f>
        <v/>
      </c>
      <c r="S928" s="96" t="str">
        <f>IF(R928="","",IFERROR(MATCH(R928,'ITENS_MTR'!$A$6:$A$1005,0),""))</f>
        <v/>
      </c>
      <c r="T928" s="96">
        <f>IF(S928="",0,IF(INDEX('ITENS_MTR'!$R$6:$R$1005,S928)=1,1,0))</f>
        <v>0</v>
      </c>
      <c r="U928" s="96" t="str">
        <f>IF(T928=1,INDEX('ITENS_MTR'!$T$6:$T$1005,S928),"")</f>
        <v/>
      </c>
      <c r="V928" s="97" t="str">
        <f>IF(N(U928)&gt;0,INDEX('MTRs'!$E$6:$E$505,U928),"")</f>
        <v/>
      </c>
      <c r="W928" s="96" t="str">
        <f>IF(G928="","",IFERROR(IF(ISNUMBER(INDEX(cfg_fac,MATCH(G928,cfg_units,0))),IF(INDEX(cfg_fac,MATCH(G928,cfg_units,0))&gt;0,INDEX(cfg_fac,MATCH(G928,cfg_units,0)),""),""),""))</f>
        <v/>
      </c>
      <c r="X928" s="96">
        <f>IF(AND(ISNUMBER(F928),ISNUMBER(H928)),IF(H928&gt;0,1,0),0)</f>
        <v>0</v>
      </c>
      <c r="Y928" s="96">
        <f>IF(Q928=0,0,IF(OR(T928=0,X928=0,NOT(ISNUMBER(E928)),AND(J928="Sim",L928="",M928=""),AND(ISNUMBER(E928),ISNUMBER(V928),N(V928)&gt;0,E928&lt;N(V928))),1,0))</f>
        <v>0</v>
      </c>
      <c r="Z928" s="96">
        <f>IF(AND(Q928=1,T928=1,X928=1,J928="Sim",OR(L928&lt;&gt;"",M928&lt;&gt;"")),1,0)</f>
        <v>0</v>
      </c>
      <c r="AA928" s="96">
        <f>IF(Q928=0,0,IF(AND(OR(r_ini="",AND(ISNUMBER(E928),E928&gt;=r_ini)),OR(r_fim="",AND(ISNUMBER(E928),E928&lt;=r_fim)),OR(r_un="",r_un="(Todas)",IF(N(U928)&gt;0,INDEX('MTRs'!$G$6:$G$505,U928),"")=r_un),OR(r_de="",r_de="(Todos)",D928=r_de)),1,0))</f>
        <v>0</v>
      </c>
      <c r="AB928" s="96" t="str">
        <f>IF(AA928=1,COUNTIF($AA$6:AA928,1),"")</f>
        <v/>
      </c>
    </row>
    <row r="929">
      <c r="A929" s="89" t="inlineStr">
        <is>
          <t>REC-000924</t>
        </is>
      </c>
      <c r="B929" s="94" t="str">
        <f>IF(T929=1,INDEX('ITENS_MTR'!$S$6:$S$1005,S929)&amp;"","")</f>
        <v/>
      </c>
      <c r="C929" s="91" t="n"/>
      <c r="D929" s="94" t="str">
        <f>IF(N(U929)&gt;0,INDEX('MTRs'!$I$6:$I$505,U929)&amp;"","")</f>
        <v/>
      </c>
      <c r="E929" s="92" t="n"/>
      <c r="F929" s="98" t="n"/>
      <c r="G929" s="91" t="n"/>
      <c r="H929" s="93" t="str">
        <f>IF(Q929=0,"",IF(NOT(ISNUMBER(F929)),"",IF(ISNUMBER(W929),F929*W929,"UNIDADE A CONFERIR")))</f>
        <v/>
      </c>
      <c r="I929" s="91" t="n"/>
      <c r="J929" s="91" t="n"/>
      <c r="K929" s="92" t="n"/>
      <c r="L929" s="91" t="n"/>
      <c r="M929" s="91" t="n"/>
      <c r="N929" s="91" t="n"/>
      <c r="O929" s="91" t="n"/>
      <c r="P929" s="94" t="str">
        <f>IF(Q929=0,"",IF(C929="","Item de resíduo não informado",IF(T929=0,"Item inexistente (referência inválida)",IF(NOT(ISNUMBER(F929)),"Quantidade não informada",IF(F929&lt;=0,"Quantidade não positiva",IF(G929="","Unidade não informada",IF(NOT(ISNUMBER(H929)),"Unidade a conferir",IF(NOT(ISNUMBER(E929)),"Data de recebimento não informada",IF(AND(ISNUMBER(V929),N(V929)&gt;0,E929&lt;N(V929)),"Data anterior à emissão do MTR",IF(AND(J929="Sim",L929="",M929=""),"Conferido sem evidência identificada",IF(J929&lt;&gt;"Sim","Aguardando conferência",IF(INDEX('ITENS_MTR'!$AM$6:$AM$1005,S929)=1,"Conferido (ver diferença no item)","Conferido"))))))))))))</f>
        <v/>
      </c>
      <c r="Q929" s="96">
        <f>IF(COUNTA(C929,E929:G929,I929:O929)&gt;0,1,0)</f>
        <v>0</v>
      </c>
      <c r="R929" s="96" t="str">
        <f>IF(C929="","",TRIM(LEFT(C929,FIND(" |",C929&amp;" |")-1)))</f>
        <v/>
      </c>
      <c r="S929" s="96" t="str">
        <f>IF(R929="","",IFERROR(MATCH(R929,'ITENS_MTR'!$A$6:$A$1005,0),""))</f>
        <v/>
      </c>
      <c r="T929" s="96">
        <f>IF(S929="",0,IF(INDEX('ITENS_MTR'!$R$6:$R$1005,S929)=1,1,0))</f>
        <v>0</v>
      </c>
      <c r="U929" s="96" t="str">
        <f>IF(T929=1,INDEX('ITENS_MTR'!$T$6:$T$1005,S929),"")</f>
        <v/>
      </c>
      <c r="V929" s="97" t="str">
        <f>IF(N(U929)&gt;0,INDEX('MTRs'!$E$6:$E$505,U929),"")</f>
        <v/>
      </c>
      <c r="W929" s="96" t="str">
        <f>IF(G929="","",IFERROR(IF(ISNUMBER(INDEX(cfg_fac,MATCH(G929,cfg_units,0))),IF(INDEX(cfg_fac,MATCH(G929,cfg_units,0))&gt;0,INDEX(cfg_fac,MATCH(G929,cfg_units,0)),""),""),""))</f>
        <v/>
      </c>
      <c r="X929" s="96">
        <f>IF(AND(ISNUMBER(F929),ISNUMBER(H929)),IF(H929&gt;0,1,0),0)</f>
        <v>0</v>
      </c>
      <c r="Y929" s="96">
        <f>IF(Q929=0,0,IF(OR(T929=0,X929=0,NOT(ISNUMBER(E929)),AND(J929="Sim",L929="",M929=""),AND(ISNUMBER(E929),ISNUMBER(V929),N(V929)&gt;0,E929&lt;N(V929))),1,0))</f>
        <v>0</v>
      </c>
      <c r="Z929" s="96">
        <f>IF(AND(Q929=1,T929=1,X929=1,J929="Sim",OR(L929&lt;&gt;"",M929&lt;&gt;"")),1,0)</f>
        <v>0</v>
      </c>
      <c r="AA929" s="96">
        <f>IF(Q929=0,0,IF(AND(OR(r_ini="",AND(ISNUMBER(E929),E929&gt;=r_ini)),OR(r_fim="",AND(ISNUMBER(E929),E929&lt;=r_fim)),OR(r_un="",r_un="(Todas)",IF(N(U929)&gt;0,INDEX('MTRs'!$G$6:$G$505,U929),"")=r_un),OR(r_de="",r_de="(Todos)",D929=r_de)),1,0))</f>
        <v>0</v>
      </c>
      <c r="AB929" s="96" t="str">
        <f>IF(AA929=1,COUNTIF($AA$6:AA929,1),"")</f>
        <v/>
      </c>
    </row>
    <row r="930">
      <c r="A930" s="89" t="inlineStr">
        <is>
          <t>REC-000925</t>
        </is>
      </c>
      <c r="B930" s="94" t="str">
        <f>IF(T930=1,INDEX('ITENS_MTR'!$S$6:$S$1005,S930)&amp;"","")</f>
        <v/>
      </c>
      <c r="C930" s="91" t="n"/>
      <c r="D930" s="94" t="str">
        <f>IF(N(U930)&gt;0,INDEX('MTRs'!$I$6:$I$505,U930)&amp;"","")</f>
        <v/>
      </c>
      <c r="E930" s="92" t="n"/>
      <c r="F930" s="98" t="n"/>
      <c r="G930" s="91" t="n"/>
      <c r="H930" s="93" t="str">
        <f>IF(Q930=0,"",IF(NOT(ISNUMBER(F930)),"",IF(ISNUMBER(W930),F930*W930,"UNIDADE A CONFERIR")))</f>
        <v/>
      </c>
      <c r="I930" s="91" t="n"/>
      <c r="J930" s="91" t="n"/>
      <c r="K930" s="92" t="n"/>
      <c r="L930" s="91" t="n"/>
      <c r="M930" s="91" t="n"/>
      <c r="N930" s="91" t="n"/>
      <c r="O930" s="91" t="n"/>
      <c r="P930" s="94" t="str">
        <f>IF(Q930=0,"",IF(C930="","Item de resíduo não informado",IF(T930=0,"Item inexistente (referência inválida)",IF(NOT(ISNUMBER(F930)),"Quantidade não informada",IF(F930&lt;=0,"Quantidade não positiva",IF(G930="","Unidade não informada",IF(NOT(ISNUMBER(H930)),"Unidade a conferir",IF(NOT(ISNUMBER(E930)),"Data de recebimento não informada",IF(AND(ISNUMBER(V930),N(V930)&gt;0,E930&lt;N(V930)),"Data anterior à emissão do MTR",IF(AND(J930="Sim",L930="",M930=""),"Conferido sem evidência identificada",IF(J930&lt;&gt;"Sim","Aguardando conferência",IF(INDEX('ITENS_MTR'!$AM$6:$AM$1005,S930)=1,"Conferido (ver diferença no item)","Conferido"))))))))))))</f>
        <v/>
      </c>
      <c r="Q930" s="96">
        <f>IF(COUNTA(C930,E930:G930,I930:O930)&gt;0,1,0)</f>
        <v>0</v>
      </c>
      <c r="R930" s="96" t="str">
        <f>IF(C930="","",TRIM(LEFT(C930,FIND(" |",C930&amp;" |")-1)))</f>
        <v/>
      </c>
      <c r="S930" s="96" t="str">
        <f>IF(R930="","",IFERROR(MATCH(R930,'ITENS_MTR'!$A$6:$A$1005,0),""))</f>
        <v/>
      </c>
      <c r="T930" s="96">
        <f>IF(S930="",0,IF(INDEX('ITENS_MTR'!$R$6:$R$1005,S930)=1,1,0))</f>
        <v>0</v>
      </c>
      <c r="U930" s="96" t="str">
        <f>IF(T930=1,INDEX('ITENS_MTR'!$T$6:$T$1005,S930),"")</f>
        <v/>
      </c>
      <c r="V930" s="97" t="str">
        <f>IF(N(U930)&gt;0,INDEX('MTRs'!$E$6:$E$505,U930),"")</f>
        <v/>
      </c>
      <c r="W930" s="96" t="str">
        <f>IF(G930="","",IFERROR(IF(ISNUMBER(INDEX(cfg_fac,MATCH(G930,cfg_units,0))),IF(INDEX(cfg_fac,MATCH(G930,cfg_units,0))&gt;0,INDEX(cfg_fac,MATCH(G930,cfg_units,0)),""),""),""))</f>
        <v/>
      </c>
      <c r="X930" s="96">
        <f>IF(AND(ISNUMBER(F930),ISNUMBER(H930)),IF(H930&gt;0,1,0),0)</f>
        <v>0</v>
      </c>
      <c r="Y930" s="96">
        <f>IF(Q930=0,0,IF(OR(T930=0,X930=0,NOT(ISNUMBER(E930)),AND(J930="Sim",L930="",M930=""),AND(ISNUMBER(E930),ISNUMBER(V930),N(V930)&gt;0,E930&lt;N(V930))),1,0))</f>
        <v>0</v>
      </c>
      <c r="Z930" s="96">
        <f>IF(AND(Q930=1,T930=1,X930=1,J930="Sim",OR(L930&lt;&gt;"",M930&lt;&gt;"")),1,0)</f>
        <v>0</v>
      </c>
      <c r="AA930" s="96">
        <f>IF(Q930=0,0,IF(AND(OR(r_ini="",AND(ISNUMBER(E930),E930&gt;=r_ini)),OR(r_fim="",AND(ISNUMBER(E930),E930&lt;=r_fim)),OR(r_un="",r_un="(Todas)",IF(N(U930)&gt;0,INDEX('MTRs'!$G$6:$G$505,U930),"")=r_un),OR(r_de="",r_de="(Todos)",D930=r_de)),1,0))</f>
        <v>0</v>
      </c>
      <c r="AB930" s="96" t="str">
        <f>IF(AA930=1,COUNTIF($AA$6:AA930,1),"")</f>
        <v/>
      </c>
    </row>
    <row r="931">
      <c r="A931" s="89" t="inlineStr">
        <is>
          <t>REC-000926</t>
        </is>
      </c>
      <c r="B931" s="94" t="str">
        <f>IF(T931=1,INDEX('ITENS_MTR'!$S$6:$S$1005,S931)&amp;"","")</f>
        <v/>
      </c>
      <c r="C931" s="91" t="n"/>
      <c r="D931" s="94" t="str">
        <f>IF(N(U931)&gt;0,INDEX('MTRs'!$I$6:$I$505,U931)&amp;"","")</f>
        <v/>
      </c>
      <c r="E931" s="92" t="n"/>
      <c r="F931" s="98" t="n"/>
      <c r="G931" s="91" t="n"/>
      <c r="H931" s="93" t="str">
        <f>IF(Q931=0,"",IF(NOT(ISNUMBER(F931)),"",IF(ISNUMBER(W931),F931*W931,"UNIDADE A CONFERIR")))</f>
        <v/>
      </c>
      <c r="I931" s="91" t="n"/>
      <c r="J931" s="91" t="n"/>
      <c r="K931" s="92" t="n"/>
      <c r="L931" s="91" t="n"/>
      <c r="M931" s="91" t="n"/>
      <c r="N931" s="91" t="n"/>
      <c r="O931" s="91" t="n"/>
      <c r="P931" s="94" t="str">
        <f>IF(Q931=0,"",IF(C931="","Item de resíduo não informado",IF(T931=0,"Item inexistente (referência inválida)",IF(NOT(ISNUMBER(F931)),"Quantidade não informada",IF(F931&lt;=0,"Quantidade não positiva",IF(G931="","Unidade não informada",IF(NOT(ISNUMBER(H931)),"Unidade a conferir",IF(NOT(ISNUMBER(E931)),"Data de recebimento não informada",IF(AND(ISNUMBER(V931),N(V931)&gt;0,E931&lt;N(V931)),"Data anterior à emissão do MTR",IF(AND(J931="Sim",L931="",M931=""),"Conferido sem evidência identificada",IF(J931&lt;&gt;"Sim","Aguardando conferência",IF(INDEX('ITENS_MTR'!$AM$6:$AM$1005,S931)=1,"Conferido (ver diferença no item)","Conferido"))))))))))))</f>
        <v/>
      </c>
      <c r="Q931" s="96">
        <f>IF(COUNTA(C931,E931:G931,I931:O931)&gt;0,1,0)</f>
        <v>0</v>
      </c>
      <c r="R931" s="96" t="str">
        <f>IF(C931="","",TRIM(LEFT(C931,FIND(" |",C931&amp;" |")-1)))</f>
        <v/>
      </c>
      <c r="S931" s="96" t="str">
        <f>IF(R931="","",IFERROR(MATCH(R931,'ITENS_MTR'!$A$6:$A$1005,0),""))</f>
        <v/>
      </c>
      <c r="T931" s="96">
        <f>IF(S931="",0,IF(INDEX('ITENS_MTR'!$R$6:$R$1005,S931)=1,1,0))</f>
        <v>0</v>
      </c>
      <c r="U931" s="96" t="str">
        <f>IF(T931=1,INDEX('ITENS_MTR'!$T$6:$T$1005,S931),"")</f>
        <v/>
      </c>
      <c r="V931" s="97" t="str">
        <f>IF(N(U931)&gt;0,INDEX('MTRs'!$E$6:$E$505,U931),"")</f>
        <v/>
      </c>
      <c r="W931" s="96" t="str">
        <f>IF(G931="","",IFERROR(IF(ISNUMBER(INDEX(cfg_fac,MATCH(G931,cfg_units,0))),IF(INDEX(cfg_fac,MATCH(G931,cfg_units,0))&gt;0,INDEX(cfg_fac,MATCH(G931,cfg_units,0)),""),""),""))</f>
        <v/>
      </c>
      <c r="X931" s="96">
        <f>IF(AND(ISNUMBER(F931),ISNUMBER(H931)),IF(H931&gt;0,1,0),0)</f>
        <v>0</v>
      </c>
      <c r="Y931" s="96">
        <f>IF(Q931=0,0,IF(OR(T931=0,X931=0,NOT(ISNUMBER(E931)),AND(J931="Sim",L931="",M931=""),AND(ISNUMBER(E931),ISNUMBER(V931),N(V931)&gt;0,E931&lt;N(V931))),1,0))</f>
        <v>0</v>
      </c>
      <c r="Z931" s="96">
        <f>IF(AND(Q931=1,T931=1,X931=1,J931="Sim",OR(L931&lt;&gt;"",M931&lt;&gt;"")),1,0)</f>
        <v>0</v>
      </c>
      <c r="AA931" s="96">
        <f>IF(Q931=0,0,IF(AND(OR(r_ini="",AND(ISNUMBER(E931),E931&gt;=r_ini)),OR(r_fim="",AND(ISNUMBER(E931),E931&lt;=r_fim)),OR(r_un="",r_un="(Todas)",IF(N(U931)&gt;0,INDEX('MTRs'!$G$6:$G$505,U931),"")=r_un),OR(r_de="",r_de="(Todos)",D931=r_de)),1,0))</f>
        <v>0</v>
      </c>
      <c r="AB931" s="96" t="str">
        <f>IF(AA931=1,COUNTIF($AA$6:AA931,1),"")</f>
        <v/>
      </c>
    </row>
    <row r="932">
      <c r="A932" s="89" t="inlineStr">
        <is>
          <t>REC-000927</t>
        </is>
      </c>
      <c r="B932" s="94" t="str">
        <f>IF(T932=1,INDEX('ITENS_MTR'!$S$6:$S$1005,S932)&amp;"","")</f>
        <v/>
      </c>
      <c r="C932" s="91" t="n"/>
      <c r="D932" s="94" t="str">
        <f>IF(N(U932)&gt;0,INDEX('MTRs'!$I$6:$I$505,U932)&amp;"","")</f>
        <v/>
      </c>
      <c r="E932" s="92" t="n"/>
      <c r="F932" s="98" t="n"/>
      <c r="G932" s="91" t="n"/>
      <c r="H932" s="93" t="str">
        <f>IF(Q932=0,"",IF(NOT(ISNUMBER(F932)),"",IF(ISNUMBER(W932),F932*W932,"UNIDADE A CONFERIR")))</f>
        <v/>
      </c>
      <c r="I932" s="91" t="n"/>
      <c r="J932" s="91" t="n"/>
      <c r="K932" s="92" t="n"/>
      <c r="L932" s="91" t="n"/>
      <c r="M932" s="91" t="n"/>
      <c r="N932" s="91" t="n"/>
      <c r="O932" s="91" t="n"/>
      <c r="P932" s="94" t="str">
        <f>IF(Q932=0,"",IF(C932="","Item de resíduo não informado",IF(T932=0,"Item inexistente (referência inválida)",IF(NOT(ISNUMBER(F932)),"Quantidade não informada",IF(F932&lt;=0,"Quantidade não positiva",IF(G932="","Unidade não informada",IF(NOT(ISNUMBER(H932)),"Unidade a conferir",IF(NOT(ISNUMBER(E932)),"Data de recebimento não informada",IF(AND(ISNUMBER(V932),N(V932)&gt;0,E932&lt;N(V932)),"Data anterior à emissão do MTR",IF(AND(J932="Sim",L932="",M932=""),"Conferido sem evidência identificada",IF(J932&lt;&gt;"Sim","Aguardando conferência",IF(INDEX('ITENS_MTR'!$AM$6:$AM$1005,S932)=1,"Conferido (ver diferença no item)","Conferido"))))))))))))</f>
        <v/>
      </c>
      <c r="Q932" s="96">
        <f>IF(COUNTA(C932,E932:G932,I932:O932)&gt;0,1,0)</f>
        <v>0</v>
      </c>
      <c r="R932" s="96" t="str">
        <f>IF(C932="","",TRIM(LEFT(C932,FIND(" |",C932&amp;" |")-1)))</f>
        <v/>
      </c>
      <c r="S932" s="96" t="str">
        <f>IF(R932="","",IFERROR(MATCH(R932,'ITENS_MTR'!$A$6:$A$1005,0),""))</f>
        <v/>
      </c>
      <c r="T932" s="96">
        <f>IF(S932="",0,IF(INDEX('ITENS_MTR'!$R$6:$R$1005,S932)=1,1,0))</f>
        <v>0</v>
      </c>
      <c r="U932" s="96" t="str">
        <f>IF(T932=1,INDEX('ITENS_MTR'!$T$6:$T$1005,S932),"")</f>
        <v/>
      </c>
      <c r="V932" s="97" t="str">
        <f>IF(N(U932)&gt;0,INDEX('MTRs'!$E$6:$E$505,U932),"")</f>
        <v/>
      </c>
      <c r="W932" s="96" t="str">
        <f>IF(G932="","",IFERROR(IF(ISNUMBER(INDEX(cfg_fac,MATCH(G932,cfg_units,0))),IF(INDEX(cfg_fac,MATCH(G932,cfg_units,0))&gt;0,INDEX(cfg_fac,MATCH(G932,cfg_units,0)),""),""),""))</f>
        <v/>
      </c>
      <c r="X932" s="96">
        <f>IF(AND(ISNUMBER(F932),ISNUMBER(H932)),IF(H932&gt;0,1,0),0)</f>
        <v>0</v>
      </c>
      <c r="Y932" s="96">
        <f>IF(Q932=0,0,IF(OR(T932=0,X932=0,NOT(ISNUMBER(E932)),AND(J932="Sim",L932="",M932=""),AND(ISNUMBER(E932),ISNUMBER(V932),N(V932)&gt;0,E932&lt;N(V932))),1,0))</f>
        <v>0</v>
      </c>
      <c r="Z932" s="96">
        <f>IF(AND(Q932=1,T932=1,X932=1,J932="Sim",OR(L932&lt;&gt;"",M932&lt;&gt;"")),1,0)</f>
        <v>0</v>
      </c>
      <c r="AA932" s="96">
        <f>IF(Q932=0,0,IF(AND(OR(r_ini="",AND(ISNUMBER(E932),E932&gt;=r_ini)),OR(r_fim="",AND(ISNUMBER(E932),E932&lt;=r_fim)),OR(r_un="",r_un="(Todas)",IF(N(U932)&gt;0,INDEX('MTRs'!$G$6:$G$505,U932),"")=r_un),OR(r_de="",r_de="(Todos)",D932=r_de)),1,0))</f>
        <v>0</v>
      </c>
      <c r="AB932" s="96" t="str">
        <f>IF(AA932=1,COUNTIF($AA$6:AA932,1),"")</f>
        <v/>
      </c>
    </row>
    <row r="933">
      <c r="A933" s="89" t="inlineStr">
        <is>
          <t>REC-000928</t>
        </is>
      </c>
      <c r="B933" s="94" t="str">
        <f>IF(T933=1,INDEX('ITENS_MTR'!$S$6:$S$1005,S933)&amp;"","")</f>
        <v/>
      </c>
      <c r="C933" s="91" t="n"/>
      <c r="D933" s="94" t="str">
        <f>IF(N(U933)&gt;0,INDEX('MTRs'!$I$6:$I$505,U933)&amp;"","")</f>
        <v/>
      </c>
      <c r="E933" s="92" t="n"/>
      <c r="F933" s="98" t="n"/>
      <c r="G933" s="91" t="n"/>
      <c r="H933" s="93" t="str">
        <f>IF(Q933=0,"",IF(NOT(ISNUMBER(F933)),"",IF(ISNUMBER(W933),F933*W933,"UNIDADE A CONFERIR")))</f>
        <v/>
      </c>
      <c r="I933" s="91" t="n"/>
      <c r="J933" s="91" t="n"/>
      <c r="K933" s="92" t="n"/>
      <c r="L933" s="91" t="n"/>
      <c r="M933" s="91" t="n"/>
      <c r="N933" s="91" t="n"/>
      <c r="O933" s="91" t="n"/>
      <c r="P933" s="94" t="str">
        <f>IF(Q933=0,"",IF(C933="","Item de resíduo não informado",IF(T933=0,"Item inexistente (referência inválida)",IF(NOT(ISNUMBER(F933)),"Quantidade não informada",IF(F933&lt;=0,"Quantidade não positiva",IF(G933="","Unidade não informada",IF(NOT(ISNUMBER(H933)),"Unidade a conferir",IF(NOT(ISNUMBER(E933)),"Data de recebimento não informada",IF(AND(ISNUMBER(V933),N(V933)&gt;0,E933&lt;N(V933)),"Data anterior à emissão do MTR",IF(AND(J933="Sim",L933="",M933=""),"Conferido sem evidência identificada",IF(J933&lt;&gt;"Sim","Aguardando conferência",IF(INDEX('ITENS_MTR'!$AM$6:$AM$1005,S933)=1,"Conferido (ver diferença no item)","Conferido"))))))))))))</f>
        <v/>
      </c>
      <c r="Q933" s="96">
        <f>IF(COUNTA(C933,E933:G933,I933:O933)&gt;0,1,0)</f>
        <v>0</v>
      </c>
      <c r="R933" s="96" t="str">
        <f>IF(C933="","",TRIM(LEFT(C933,FIND(" |",C933&amp;" |")-1)))</f>
        <v/>
      </c>
      <c r="S933" s="96" t="str">
        <f>IF(R933="","",IFERROR(MATCH(R933,'ITENS_MTR'!$A$6:$A$1005,0),""))</f>
        <v/>
      </c>
      <c r="T933" s="96">
        <f>IF(S933="",0,IF(INDEX('ITENS_MTR'!$R$6:$R$1005,S933)=1,1,0))</f>
        <v>0</v>
      </c>
      <c r="U933" s="96" t="str">
        <f>IF(T933=1,INDEX('ITENS_MTR'!$T$6:$T$1005,S933),"")</f>
        <v/>
      </c>
      <c r="V933" s="97" t="str">
        <f>IF(N(U933)&gt;0,INDEX('MTRs'!$E$6:$E$505,U933),"")</f>
        <v/>
      </c>
      <c r="W933" s="96" t="str">
        <f>IF(G933="","",IFERROR(IF(ISNUMBER(INDEX(cfg_fac,MATCH(G933,cfg_units,0))),IF(INDEX(cfg_fac,MATCH(G933,cfg_units,0))&gt;0,INDEX(cfg_fac,MATCH(G933,cfg_units,0)),""),""),""))</f>
        <v/>
      </c>
      <c r="X933" s="96">
        <f>IF(AND(ISNUMBER(F933),ISNUMBER(H933)),IF(H933&gt;0,1,0),0)</f>
        <v>0</v>
      </c>
      <c r="Y933" s="96">
        <f>IF(Q933=0,0,IF(OR(T933=0,X933=0,NOT(ISNUMBER(E933)),AND(J933="Sim",L933="",M933=""),AND(ISNUMBER(E933),ISNUMBER(V933),N(V933)&gt;0,E933&lt;N(V933))),1,0))</f>
        <v>0</v>
      </c>
      <c r="Z933" s="96">
        <f>IF(AND(Q933=1,T933=1,X933=1,J933="Sim",OR(L933&lt;&gt;"",M933&lt;&gt;"")),1,0)</f>
        <v>0</v>
      </c>
      <c r="AA933" s="96">
        <f>IF(Q933=0,0,IF(AND(OR(r_ini="",AND(ISNUMBER(E933),E933&gt;=r_ini)),OR(r_fim="",AND(ISNUMBER(E933),E933&lt;=r_fim)),OR(r_un="",r_un="(Todas)",IF(N(U933)&gt;0,INDEX('MTRs'!$G$6:$G$505,U933),"")=r_un),OR(r_de="",r_de="(Todos)",D933=r_de)),1,0))</f>
        <v>0</v>
      </c>
      <c r="AB933" s="96" t="str">
        <f>IF(AA933=1,COUNTIF($AA$6:AA933,1),"")</f>
        <v/>
      </c>
    </row>
    <row r="934">
      <c r="A934" s="89" t="inlineStr">
        <is>
          <t>REC-000929</t>
        </is>
      </c>
      <c r="B934" s="94" t="str">
        <f>IF(T934=1,INDEX('ITENS_MTR'!$S$6:$S$1005,S934)&amp;"","")</f>
        <v/>
      </c>
      <c r="C934" s="91" t="n"/>
      <c r="D934" s="94" t="str">
        <f>IF(N(U934)&gt;0,INDEX('MTRs'!$I$6:$I$505,U934)&amp;"","")</f>
        <v/>
      </c>
      <c r="E934" s="92" t="n"/>
      <c r="F934" s="98" t="n"/>
      <c r="G934" s="91" t="n"/>
      <c r="H934" s="93" t="str">
        <f>IF(Q934=0,"",IF(NOT(ISNUMBER(F934)),"",IF(ISNUMBER(W934),F934*W934,"UNIDADE A CONFERIR")))</f>
        <v/>
      </c>
      <c r="I934" s="91" t="n"/>
      <c r="J934" s="91" t="n"/>
      <c r="K934" s="92" t="n"/>
      <c r="L934" s="91" t="n"/>
      <c r="M934" s="91" t="n"/>
      <c r="N934" s="91" t="n"/>
      <c r="O934" s="91" t="n"/>
      <c r="P934" s="94" t="str">
        <f>IF(Q934=0,"",IF(C934="","Item de resíduo não informado",IF(T934=0,"Item inexistente (referência inválida)",IF(NOT(ISNUMBER(F934)),"Quantidade não informada",IF(F934&lt;=0,"Quantidade não positiva",IF(G934="","Unidade não informada",IF(NOT(ISNUMBER(H934)),"Unidade a conferir",IF(NOT(ISNUMBER(E934)),"Data de recebimento não informada",IF(AND(ISNUMBER(V934),N(V934)&gt;0,E934&lt;N(V934)),"Data anterior à emissão do MTR",IF(AND(J934="Sim",L934="",M934=""),"Conferido sem evidência identificada",IF(J934&lt;&gt;"Sim","Aguardando conferência",IF(INDEX('ITENS_MTR'!$AM$6:$AM$1005,S934)=1,"Conferido (ver diferença no item)","Conferido"))))))))))))</f>
        <v/>
      </c>
      <c r="Q934" s="96">
        <f>IF(COUNTA(C934,E934:G934,I934:O934)&gt;0,1,0)</f>
        <v>0</v>
      </c>
      <c r="R934" s="96" t="str">
        <f>IF(C934="","",TRIM(LEFT(C934,FIND(" |",C934&amp;" |")-1)))</f>
        <v/>
      </c>
      <c r="S934" s="96" t="str">
        <f>IF(R934="","",IFERROR(MATCH(R934,'ITENS_MTR'!$A$6:$A$1005,0),""))</f>
        <v/>
      </c>
      <c r="T934" s="96">
        <f>IF(S934="",0,IF(INDEX('ITENS_MTR'!$R$6:$R$1005,S934)=1,1,0))</f>
        <v>0</v>
      </c>
      <c r="U934" s="96" t="str">
        <f>IF(T934=1,INDEX('ITENS_MTR'!$T$6:$T$1005,S934),"")</f>
        <v/>
      </c>
      <c r="V934" s="97" t="str">
        <f>IF(N(U934)&gt;0,INDEX('MTRs'!$E$6:$E$505,U934),"")</f>
        <v/>
      </c>
      <c r="W934" s="96" t="str">
        <f>IF(G934="","",IFERROR(IF(ISNUMBER(INDEX(cfg_fac,MATCH(G934,cfg_units,0))),IF(INDEX(cfg_fac,MATCH(G934,cfg_units,0))&gt;0,INDEX(cfg_fac,MATCH(G934,cfg_units,0)),""),""),""))</f>
        <v/>
      </c>
      <c r="X934" s="96">
        <f>IF(AND(ISNUMBER(F934),ISNUMBER(H934)),IF(H934&gt;0,1,0),0)</f>
        <v>0</v>
      </c>
      <c r="Y934" s="96">
        <f>IF(Q934=0,0,IF(OR(T934=0,X934=0,NOT(ISNUMBER(E934)),AND(J934="Sim",L934="",M934=""),AND(ISNUMBER(E934),ISNUMBER(V934),N(V934)&gt;0,E934&lt;N(V934))),1,0))</f>
        <v>0</v>
      </c>
      <c r="Z934" s="96">
        <f>IF(AND(Q934=1,T934=1,X934=1,J934="Sim",OR(L934&lt;&gt;"",M934&lt;&gt;"")),1,0)</f>
        <v>0</v>
      </c>
      <c r="AA934" s="96">
        <f>IF(Q934=0,0,IF(AND(OR(r_ini="",AND(ISNUMBER(E934),E934&gt;=r_ini)),OR(r_fim="",AND(ISNUMBER(E934),E934&lt;=r_fim)),OR(r_un="",r_un="(Todas)",IF(N(U934)&gt;0,INDEX('MTRs'!$G$6:$G$505,U934),"")=r_un),OR(r_de="",r_de="(Todos)",D934=r_de)),1,0))</f>
        <v>0</v>
      </c>
      <c r="AB934" s="96" t="str">
        <f>IF(AA934=1,COUNTIF($AA$6:AA934,1),"")</f>
        <v/>
      </c>
    </row>
    <row r="935">
      <c r="A935" s="89" t="inlineStr">
        <is>
          <t>REC-000930</t>
        </is>
      </c>
      <c r="B935" s="94" t="str">
        <f>IF(T935=1,INDEX('ITENS_MTR'!$S$6:$S$1005,S935)&amp;"","")</f>
        <v/>
      </c>
      <c r="C935" s="91" t="n"/>
      <c r="D935" s="94" t="str">
        <f>IF(N(U935)&gt;0,INDEX('MTRs'!$I$6:$I$505,U935)&amp;"","")</f>
        <v/>
      </c>
      <c r="E935" s="92" t="n"/>
      <c r="F935" s="98" t="n"/>
      <c r="G935" s="91" t="n"/>
      <c r="H935" s="93" t="str">
        <f>IF(Q935=0,"",IF(NOT(ISNUMBER(F935)),"",IF(ISNUMBER(W935),F935*W935,"UNIDADE A CONFERIR")))</f>
        <v/>
      </c>
      <c r="I935" s="91" t="n"/>
      <c r="J935" s="91" t="n"/>
      <c r="K935" s="92" t="n"/>
      <c r="L935" s="91" t="n"/>
      <c r="M935" s="91" t="n"/>
      <c r="N935" s="91" t="n"/>
      <c r="O935" s="91" t="n"/>
      <c r="P935" s="94" t="str">
        <f>IF(Q935=0,"",IF(C935="","Item de resíduo não informado",IF(T935=0,"Item inexistente (referência inválida)",IF(NOT(ISNUMBER(F935)),"Quantidade não informada",IF(F935&lt;=0,"Quantidade não positiva",IF(G935="","Unidade não informada",IF(NOT(ISNUMBER(H935)),"Unidade a conferir",IF(NOT(ISNUMBER(E935)),"Data de recebimento não informada",IF(AND(ISNUMBER(V935),N(V935)&gt;0,E935&lt;N(V935)),"Data anterior à emissão do MTR",IF(AND(J935="Sim",L935="",M935=""),"Conferido sem evidência identificada",IF(J935&lt;&gt;"Sim","Aguardando conferência",IF(INDEX('ITENS_MTR'!$AM$6:$AM$1005,S935)=1,"Conferido (ver diferença no item)","Conferido"))))))))))))</f>
        <v/>
      </c>
      <c r="Q935" s="96">
        <f>IF(COUNTA(C935,E935:G935,I935:O935)&gt;0,1,0)</f>
        <v>0</v>
      </c>
      <c r="R935" s="96" t="str">
        <f>IF(C935="","",TRIM(LEFT(C935,FIND(" |",C935&amp;" |")-1)))</f>
        <v/>
      </c>
      <c r="S935" s="96" t="str">
        <f>IF(R935="","",IFERROR(MATCH(R935,'ITENS_MTR'!$A$6:$A$1005,0),""))</f>
        <v/>
      </c>
      <c r="T935" s="96">
        <f>IF(S935="",0,IF(INDEX('ITENS_MTR'!$R$6:$R$1005,S935)=1,1,0))</f>
        <v>0</v>
      </c>
      <c r="U935" s="96" t="str">
        <f>IF(T935=1,INDEX('ITENS_MTR'!$T$6:$T$1005,S935),"")</f>
        <v/>
      </c>
      <c r="V935" s="97" t="str">
        <f>IF(N(U935)&gt;0,INDEX('MTRs'!$E$6:$E$505,U935),"")</f>
        <v/>
      </c>
      <c r="W935" s="96" t="str">
        <f>IF(G935="","",IFERROR(IF(ISNUMBER(INDEX(cfg_fac,MATCH(G935,cfg_units,0))),IF(INDEX(cfg_fac,MATCH(G935,cfg_units,0))&gt;0,INDEX(cfg_fac,MATCH(G935,cfg_units,0)),""),""),""))</f>
        <v/>
      </c>
      <c r="X935" s="96">
        <f>IF(AND(ISNUMBER(F935),ISNUMBER(H935)),IF(H935&gt;0,1,0),0)</f>
        <v>0</v>
      </c>
      <c r="Y935" s="96">
        <f>IF(Q935=0,0,IF(OR(T935=0,X935=0,NOT(ISNUMBER(E935)),AND(J935="Sim",L935="",M935=""),AND(ISNUMBER(E935),ISNUMBER(V935),N(V935)&gt;0,E935&lt;N(V935))),1,0))</f>
        <v>0</v>
      </c>
      <c r="Z935" s="96">
        <f>IF(AND(Q935=1,T935=1,X935=1,J935="Sim",OR(L935&lt;&gt;"",M935&lt;&gt;"")),1,0)</f>
        <v>0</v>
      </c>
      <c r="AA935" s="96">
        <f>IF(Q935=0,0,IF(AND(OR(r_ini="",AND(ISNUMBER(E935),E935&gt;=r_ini)),OR(r_fim="",AND(ISNUMBER(E935),E935&lt;=r_fim)),OR(r_un="",r_un="(Todas)",IF(N(U935)&gt;0,INDEX('MTRs'!$G$6:$G$505,U935),"")=r_un),OR(r_de="",r_de="(Todos)",D935=r_de)),1,0))</f>
        <v>0</v>
      </c>
      <c r="AB935" s="96" t="str">
        <f>IF(AA935=1,COUNTIF($AA$6:AA935,1),"")</f>
        <v/>
      </c>
    </row>
    <row r="936">
      <c r="A936" s="89" t="inlineStr">
        <is>
          <t>REC-000931</t>
        </is>
      </c>
      <c r="B936" s="94" t="str">
        <f>IF(T936=1,INDEX('ITENS_MTR'!$S$6:$S$1005,S936)&amp;"","")</f>
        <v/>
      </c>
      <c r="C936" s="91" t="n"/>
      <c r="D936" s="94" t="str">
        <f>IF(N(U936)&gt;0,INDEX('MTRs'!$I$6:$I$505,U936)&amp;"","")</f>
        <v/>
      </c>
      <c r="E936" s="92" t="n"/>
      <c r="F936" s="98" t="n"/>
      <c r="G936" s="91" t="n"/>
      <c r="H936" s="93" t="str">
        <f>IF(Q936=0,"",IF(NOT(ISNUMBER(F936)),"",IF(ISNUMBER(W936),F936*W936,"UNIDADE A CONFERIR")))</f>
        <v/>
      </c>
      <c r="I936" s="91" t="n"/>
      <c r="J936" s="91" t="n"/>
      <c r="K936" s="92" t="n"/>
      <c r="L936" s="91" t="n"/>
      <c r="M936" s="91" t="n"/>
      <c r="N936" s="91" t="n"/>
      <c r="O936" s="91" t="n"/>
      <c r="P936" s="94" t="str">
        <f>IF(Q936=0,"",IF(C936="","Item de resíduo não informado",IF(T936=0,"Item inexistente (referência inválida)",IF(NOT(ISNUMBER(F936)),"Quantidade não informada",IF(F936&lt;=0,"Quantidade não positiva",IF(G936="","Unidade não informada",IF(NOT(ISNUMBER(H936)),"Unidade a conferir",IF(NOT(ISNUMBER(E936)),"Data de recebimento não informada",IF(AND(ISNUMBER(V936),N(V936)&gt;0,E936&lt;N(V936)),"Data anterior à emissão do MTR",IF(AND(J936="Sim",L936="",M936=""),"Conferido sem evidência identificada",IF(J936&lt;&gt;"Sim","Aguardando conferência",IF(INDEX('ITENS_MTR'!$AM$6:$AM$1005,S936)=1,"Conferido (ver diferença no item)","Conferido"))))))))))))</f>
        <v/>
      </c>
      <c r="Q936" s="96">
        <f>IF(COUNTA(C936,E936:G936,I936:O936)&gt;0,1,0)</f>
        <v>0</v>
      </c>
      <c r="R936" s="96" t="str">
        <f>IF(C936="","",TRIM(LEFT(C936,FIND(" |",C936&amp;" |")-1)))</f>
        <v/>
      </c>
      <c r="S936" s="96" t="str">
        <f>IF(R936="","",IFERROR(MATCH(R936,'ITENS_MTR'!$A$6:$A$1005,0),""))</f>
        <v/>
      </c>
      <c r="T936" s="96">
        <f>IF(S936="",0,IF(INDEX('ITENS_MTR'!$R$6:$R$1005,S936)=1,1,0))</f>
        <v>0</v>
      </c>
      <c r="U936" s="96" t="str">
        <f>IF(T936=1,INDEX('ITENS_MTR'!$T$6:$T$1005,S936),"")</f>
        <v/>
      </c>
      <c r="V936" s="97" t="str">
        <f>IF(N(U936)&gt;0,INDEX('MTRs'!$E$6:$E$505,U936),"")</f>
        <v/>
      </c>
      <c r="W936" s="96" t="str">
        <f>IF(G936="","",IFERROR(IF(ISNUMBER(INDEX(cfg_fac,MATCH(G936,cfg_units,0))),IF(INDEX(cfg_fac,MATCH(G936,cfg_units,0))&gt;0,INDEX(cfg_fac,MATCH(G936,cfg_units,0)),""),""),""))</f>
        <v/>
      </c>
      <c r="X936" s="96">
        <f>IF(AND(ISNUMBER(F936),ISNUMBER(H936)),IF(H936&gt;0,1,0),0)</f>
        <v>0</v>
      </c>
      <c r="Y936" s="96">
        <f>IF(Q936=0,0,IF(OR(T936=0,X936=0,NOT(ISNUMBER(E936)),AND(J936="Sim",L936="",M936=""),AND(ISNUMBER(E936),ISNUMBER(V936),N(V936)&gt;0,E936&lt;N(V936))),1,0))</f>
        <v>0</v>
      </c>
      <c r="Z936" s="96">
        <f>IF(AND(Q936=1,T936=1,X936=1,J936="Sim",OR(L936&lt;&gt;"",M936&lt;&gt;"")),1,0)</f>
        <v>0</v>
      </c>
      <c r="AA936" s="96">
        <f>IF(Q936=0,0,IF(AND(OR(r_ini="",AND(ISNUMBER(E936),E936&gt;=r_ini)),OR(r_fim="",AND(ISNUMBER(E936),E936&lt;=r_fim)),OR(r_un="",r_un="(Todas)",IF(N(U936)&gt;0,INDEX('MTRs'!$G$6:$G$505,U936),"")=r_un),OR(r_de="",r_de="(Todos)",D936=r_de)),1,0))</f>
        <v>0</v>
      </c>
      <c r="AB936" s="96" t="str">
        <f>IF(AA936=1,COUNTIF($AA$6:AA936,1),"")</f>
        <v/>
      </c>
    </row>
    <row r="937">
      <c r="A937" s="89" t="inlineStr">
        <is>
          <t>REC-000932</t>
        </is>
      </c>
      <c r="B937" s="94" t="str">
        <f>IF(T937=1,INDEX('ITENS_MTR'!$S$6:$S$1005,S937)&amp;"","")</f>
        <v/>
      </c>
      <c r="C937" s="91" t="n"/>
      <c r="D937" s="94" t="str">
        <f>IF(N(U937)&gt;0,INDEX('MTRs'!$I$6:$I$505,U937)&amp;"","")</f>
        <v/>
      </c>
      <c r="E937" s="92" t="n"/>
      <c r="F937" s="98" t="n"/>
      <c r="G937" s="91" t="n"/>
      <c r="H937" s="93" t="str">
        <f>IF(Q937=0,"",IF(NOT(ISNUMBER(F937)),"",IF(ISNUMBER(W937),F937*W937,"UNIDADE A CONFERIR")))</f>
        <v/>
      </c>
      <c r="I937" s="91" t="n"/>
      <c r="J937" s="91" t="n"/>
      <c r="K937" s="92" t="n"/>
      <c r="L937" s="91" t="n"/>
      <c r="M937" s="91" t="n"/>
      <c r="N937" s="91" t="n"/>
      <c r="O937" s="91" t="n"/>
      <c r="P937" s="94" t="str">
        <f>IF(Q937=0,"",IF(C937="","Item de resíduo não informado",IF(T937=0,"Item inexistente (referência inválida)",IF(NOT(ISNUMBER(F937)),"Quantidade não informada",IF(F937&lt;=0,"Quantidade não positiva",IF(G937="","Unidade não informada",IF(NOT(ISNUMBER(H937)),"Unidade a conferir",IF(NOT(ISNUMBER(E937)),"Data de recebimento não informada",IF(AND(ISNUMBER(V937),N(V937)&gt;0,E937&lt;N(V937)),"Data anterior à emissão do MTR",IF(AND(J937="Sim",L937="",M937=""),"Conferido sem evidência identificada",IF(J937&lt;&gt;"Sim","Aguardando conferência",IF(INDEX('ITENS_MTR'!$AM$6:$AM$1005,S937)=1,"Conferido (ver diferença no item)","Conferido"))))))))))))</f>
        <v/>
      </c>
      <c r="Q937" s="96">
        <f>IF(COUNTA(C937,E937:G937,I937:O937)&gt;0,1,0)</f>
        <v>0</v>
      </c>
      <c r="R937" s="96" t="str">
        <f>IF(C937="","",TRIM(LEFT(C937,FIND(" |",C937&amp;" |")-1)))</f>
        <v/>
      </c>
      <c r="S937" s="96" t="str">
        <f>IF(R937="","",IFERROR(MATCH(R937,'ITENS_MTR'!$A$6:$A$1005,0),""))</f>
        <v/>
      </c>
      <c r="T937" s="96">
        <f>IF(S937="",0,IF(INDEX('ITENS_MTR'!$R$6:$R$1005,S937)=1,1,0))</f>
        <v>0</v>
      </c>
      <c r="U937" s="96" t="str">
        <f>IF(T937=1,INDEX('ITENS_MTR'!$T$6:$T$1005,S937),"")</f>
        <v/>
      </c>
      <c r="V937" s="97" t="str">
        <f>IF(N(U937)&gt;0,INDEX('MTRs'!$E$6:$E$505,U937),"")</f>
        <v/>
      </c>
      <c r="W937" s="96" t="str">
        <f>IF(G937="","",IFERROR(IF(ISNUMBER(INDEX(cfg_fac,MATCH(G937,cfg_units,0))),IF(INDEX(cfg_fac,MATCH(G937,cfg_units,0))&gt;0,INDEX(cfg_fac,MATCH(G937,cfg_units,0)),""),""),""))</f>
        <v/>
      </c>
      <c r="X937" s="96">
        <f>IF(AND(ISNUMBER(F937),ISNUMBER(H937)),IF(H937&gt;0,1,0),0)</f>
        <v>0</v>
      </c>
      <c r="Y937" s="96">
        <f>IF(Q937=0,0,IF(OR(T937=0,X937=0,NOT(ISNUMBER(E937)),AND(J937="Sim",L937="",M937=""),AND(ISNUMBER(E937),ISNUMBER(V937),N(V937)&gt;0,E937&lt;N(V937))),1,0))</f>
        <v>0</v>
      </c>
      <c r="Z937" s="96">
        <f>IF(AND(Q937=1,T937=1,X937=1,J937="Sim",OR(L937&lt;&gt;"",M937&lt;&gt;"")),1,0)</f>
        <v>0</v>
      </c>
      <c r="AA937" s="96">
        <f>IF(Q937=0,0,IF(AND(OR(r_ini="",AND(ISNUMBER(E937),E937&gt;=r_ini)),OR(r_fim="",AND(ISNUMBER(E937),E937&lt;=r_fim)),OR(r_un="",r_un="(Todas)",IF(N(U937)&gt;0,INDEX('MTRs'!$G$6:$G$505,U937),"")=r_un),OR(r_de="",r_de="(Todos)",D937=r_de)),1,0))</f>
        <v>0</v>
      </c>
      <c r="AB937" s="96" t="str">
        <f>IF(AA937=1,COUNTIF($AA$6:AA937,1),"")</f>
        <v/>
      </c>
    </row>
    <row r="938">
      <c r="A938" s="89" t="inlineStr">
        <is>
          <t>REC-000933</t>
        </is>
      </c>
      <c r="B938" s="94" t="str">
        <f>IF(T938=1,INDEX('ITENS_MTR'!$S$6:$S$1005,S938)&amp;"","")</f>
        <v/>
      </c>
      <c r="C938" s="91" t="n"/>
      <c r="D938" s="94" t="str">
        <f>IF(N(U938)&gt;0,INDEX('MTRs'!$I$6:$I$505,U938)&amp;"","")</f>
        <v/>
      </c>
      <c r="E938" s="92" t="n"/>
      <c r="F938" s="98" t="n"/>
      <c r="G938" s="91" t="n"/>
      <c r="H938" s="93" t="str">
        <f>IF(Q938=0,"",IF(NOT(ISNUMBER(F938)),"",IF(ISNUMBER(W938),F938*W938,"UNIDADE A CONFERIR")))</f>
        <v/>
      </c>
      <c r="I938" s="91" t="n"/>
      <c r="J938" s="91" t="n"/>
      <c r="K938" s="92" t="n"/>
      <c r="L938" s="91" t="n"/>
      <c r="M938" s="91" t="n"/>
      <c r="N938" s="91" t="n"/>
      <c r="O938" s="91" t="n"/>
      <c r="P938" s="94" t="str">
        <f>IF(Q938=0,"",IF(C938="","Item de resíduo não informado",IF(T938=0,"Item inexistente (referência inválida)",IF(NOT(ISNUMBER(F938)),"Quantidade não informada",IF(F938&lt;=0,"Quantidade não positiva",IF(G938="","Unidade não informada",IF(NOT(ISNUMBER(H938)),"Unidade a conferir",IF(NOT(ISNUMBER(E938)),"Data de recebimento não informada",IF(AND(ISNUMBER(V938),N(V938)&gt;0,E938&lt;N(V938)),"Data anterior à emissão do MTR",IF(AND(J938="Sim",L938="",M938=""),"Conferido sem evidência identificada",IF(J938&lt;&gt;"Sim","Aguardando conferência",IF(INDEX('ITENS_MTR'!$AM$6:$AM$1005,S938)=1,"Conferido (ver diferença no item)","Conferido"))))))))))))</f>
        <v/>
      </c>
      <c r="Q938" s="96">
        <f>IF(COUNTA(C938,E938:G938,I938:O938)&gt;0,1,0)</f>
        <v>0</v>
      </c>
      <c r="R938" s="96" t="str">
        <f>IF(C938="","",TRIM(LEFT(C938,FIND(" |",C938&amp;" |")-1)))</f>
        <v/>
      </c>
      <c r="S938" s="96" t="str">
        <f>IF(R938="","",IFERROR(MATCH(R938,'ITENS_MTR'!$A$6:$A$1005,0),""))</f>
        <v/>
      </c>
      <c r="T938" s="96">
        <f>IF(S938="",0,IF(INDEX('ITENS_MTR'!$R$6:$R$1005,S938)=1,1,0))</f>
        <v>0</v>
      </c>
      <c r="U938" s="96" t="str">
        <f>IF(T938=1,INDEX('ITENS_MTR'!$T$6:$T$1005,S938),"")</f>
        <v/>
      </c>
      <c r="V938" s="97" t="str">
        <f>IF(N(U938)&gt;0,INDEX('MTRs'!$E$6:$E$505,U938),"")</f>
        <v/>
      </c>
      <c r="W938" s="96" t="str">
        <f>IF(G938="","",IFERROR(IF(ISNUMBER(INDEX(cfg_fac,MATCH(G938,cfg_units,0))),IF(INDEX(cfg_fac,MATCH(G938,cfg_units,0))&gt;0,INDEX(cfg_fac,MATCH(G938,cfg_units,0)),""),""),""))</f>
        <v/>
      </c>
      <c r="X938" s="96">
        <f>IF(AND(ISNUMBER(F938),ISNUMBER(H938)),IF(H938&gt;0,1,0),0)</f>
        <v>0</v>
      </c>
      <c r="Y938" s="96">
        <f>IF(Q938=0,0,IF(OR(T938=0,X938=0,NOT(ISNUMBER(E938)),AND(J938="Sim",L938="",M938=""),AND(ISNUMBER(E938),ISNUMBER(V938),N(V938)&gt;0,E938&lt;N(V938))),1,0))</f>
        <v>0</v>
      </c>
      <c r="Z938" s="96">
        <f>IF(AND(Q938=1,T938=1,X938=1,J938="Sim",OR(L938&lt;&gt;"",M938&lt;&gt;"")),1,0)</f>
        <v>0</v>
      </c>
      <c r="AA938" s="96">
        <f>IF(Q938=0,0,IF(AND(OR(r_ini="",AND(ISNUMBER(E938),E938&gt;=r_ini)),OR(r_fim="",AND(ISNUMBER(E938),E938&lt;=r_fim)),OR(r_un="",r_un="(Todas)",IF(N(U938)&gt;0,INDEX('MTRs'!$G$6:$G$505,U938),"")=r_un),OR(r_de="",r_de="(Todos)",D938=r_de)),1,0))</f>
        <v>0</v>
      </c>
      <c r="AB938" s="96" t="str">
        <f>IF(AA938=1,COUNTIF($AA$6:AA938,1),"")</f>
        <v/>
      </c>
    </row>
    <row r="939">
      <c r="A939" s="89" t="inlineStr">
        <is>
          <t>REC-000934</t>
        </is>
      </c>
      <c r="B939" s="94" t="str">
        <f>IF(T939=1,INDEX('ITENS_MTR'!$S$6:$S$1005,S939)&amp;"","")</f>
        <v/>
      </c>
      <c r="C939" s="91" t="n"/>
      <c r="D939" s="94" t="str">
        <f>IF(N(U939)&gt;0,INDEX('MTRs'!$I$6:$I$505,U939)&amp;"","")</f>
        <v/>
      </c>
      <c r="E939" s="92" t="n"/>
      <c r="F939" s="98" t="n"/>
      <c r="G939" s="91" t="n"/>
      <c r="H939" s="93" t="str">
        <f>IF(Q939=0,"",IF(NOT(ISNUMBER(F939)),"",IF(ISNUMBER(W939),F939*W939,"UNIDADE A CONFERIR")))</f>
        <v/>
      </c>
      <c r="I939" s="91" t="n"/>
      <c r="J939" s="91" t="n"/>
      <c r="K939" s="92" t="n"/>
      <c r="L939" s="91" t="n"/>
      <c r="M939" s="91" t="n"/>
      <c r="N939" s="91" t="n"/>
      <c r="O939" s="91" t="n"/>
      <c r="P939" s="94" t="str">
        <f>IF(Q939=0,"",IF(C939="","Item de resíduo não informado",IF(T939=0,"Item inexistente (referência inválida)",IF(NOT(ISNUMBER(F939)),"Quantidade não informada",IF(F939&lt;=0,"Quantidade não positiva",IF(G939="","Unidade não informada",IF(NOT(ISNUMBER(H939)),"Unidade a conferir",IF(NOT(ISNUMBER(E939)),"Data de recebimento não informada",IF(AND(ISNUMBER(V939),N(V939)&gt;0,E939&lt;N(V939)),"Data anterior à emissão do MTR",IF(AND(J939="Sim",L939="",M939=""),"Conferido sem evidência identificada",IF(J939&lt;&gt;"Sim","Aguardando conferência",IF(INDEX('ITENS_MTR'!$AM$6:$AM$1005,S939)=1,"Conferido (ver diferença no item)","Conferido"))))))))))))</f>
        <v/>
      </c>
      <c r="Q939" s="96">
        <f>IF(COUNTA(C939,E939:G939,I939:O939)&gt;0,1,0)</f>
        <v>0</v>
      </c>
      <c r="R939" s="96" t="str">
        <f>IF(C939="","",TRIM(LEFT(C939,FIND(" |",C939&amp;" |")-1)))</f>
        <v/>
      </c>
      <c r="S939" s="96" t="str">
        <f>IF(R939="","",IFERROR(MATCH(R939,'ITENS_MTR'!$A$6:$A$1005,0),""))</f>
        <v/>
      </c>
      <c r="T939" s="96">
        <f>IF(S939="",0,IF(INDEX('ITENS_MTR'!$R$6:$R$1005,S939)=1,1,0))</f>
        <v>0</v>
      </c>
      <c r="U939" s="96" t="str">
        <f>IF(T939=1,INDEX('ITENS_MTR'!$T$6:$T$1005,S939),"")</f>
        <v/>
      </c>
      <c r="V939" s="97" t="str">
        <f>IF(N(U939)&gt;0,INDEX('MTRs'!$E$6:$E$505,U939),"")</f>
        <v/>
      </c>
      <c r="W939" s="96" t="str">
        <f>IF(G939="","",IFERROR(IF(ISNUMBER(INDEX(cfg_fac,MATCH(G939,cfg_units,0))),IF(INDEX(cfg_fac,MATCH(G939,cfg_units,0))&gt;0,INDEX(cfg_fac,MATCH(G939,cfg_units,0)),""),""),""))</f>
        <v/>
      </c>
      <c r="X939" s="96">
        <f>IF(AND(ISNUMBER(F939),ISNUMBER(H939)),IF(H939&gt;0,1,0),0)</f>
        <v>0</v>
      </c>
      <c r="Y939" s="96">
        <f>IF(Q939=0,0,IF(OR(T939=0,X939=0,NOT(ISNUMBER(E939)),AND(J939="Sim",L939="",M939=""),AND(ISNUMBER(E939),ISNUMBER(V939),N(V939)&gt;0,E939&lt;N(V939))),1,0))</f>
        <v>0</v>
      </c>
      <c r="Z939" s="96">
        <f>IF(AND(Q939=1,T939=1,X939=1,J939="Sim",OR(L939&lt;&gt;"",M939&lt;&gt;"")),1,0)</f>
        <v>0</v>
      </c>
      <c r="AA939" s="96">
        <f>IF(Q939=0,0,IF(AND(OR(r_ini="",AND(ISNUMBER(E939),E939&gt;=r_ini)),OR(r_fim="",AND(ISNUMBER(E939),E939&lt;=r_fim)),OR(r_un="",r_un="(Todas)",IF(N(U939)&gt;0,INDEX('MTRs'!$G$6:$G$505,U939),"")=r_un),OR(r_de="",r_de="(Todos)",D939=r_de)),1,0))</f>
        <v>0</v>
      </c>
      <c r="AB939" s="96" t="str">
        <f>IF(AA939=1,COUNTIF($AA$6:AA939,1),"")</f>
        <v/>
      </c>
    </row>
    <row r="940">
      <c r="A940" s="89" t="inlineStr">
        <is>
          <t>REC-000935</t>
        </is>
      </c>
      <c r="B940" s="94" t="str">
        <f>IF(T940=1,INDEX('ITENS_MTR'!$S$6:$S$1005,S940)&amp;"","")</f>
        <v/>
      </c>
      <c r="C940" s="91" t="n"/>
      <c r="D940" s="94" t="str">
        <f>IF(N(U940)&gt;0,INDEX('MTRs'!$I$6:$I$505,U940)&amp;"","")</f>
        <v/>
      </c>
      <c r="E940" s="92" t="n"/>
      <c r="F940" s="98" t="n"/>
      <c r="G940" s="91" t="n"/>
      <c r="H940" s="93" t="str">
        <f>IF(Q940=0,"",IF(NOT(ISNUMBER(F940)),"",IF(ISNUMBER(W940),F940*W940,"UNIDADE A CONFERIR")))</f>
        <v/>
      </c>
      <c r="I940" s="91" t="n"/>
      <c r="J940" s="91" t="n"/>
      <c r="K940" s="92" t="n"/>
      <c r="L940" s="91" t="n"/>
      <c r="M940" s="91" t="n"/>
      <c r="N940" s="91" t="n"/>
      <c r="O940" s="91" t="n"/>
      <c r="P940" s="94" t="str">
        <f>IF(Q940=0,"",IF(C940="","Item de resíduo não informado",IF(T940=0,"Item inexistente (referência inválida)",IF(NOT(ISNUMBER(F940)),"Quantidade não informada",IF(F940&lt;=0,"Quantidade não positiva",IF(G940="","Unidade não informada",IF(NOT(ISNUMBER(H940)),"Unidade a conferir",IF(NOT(ISNUMBER(E940)),"Data de recebimento não informada",IF(AND(ISNUMBER(V940),N(V940)&gt;0,E940&lt;N(V940)),"Data anterior à emissão do MTR",IF(AND(J940="Sim",L940="",M940=""),"Conferido sem evidência identificada",IF(J940&lt;&gt;"Sim","Aguardando conferência",IF(INDEX('ITENS_MTR'!$AM$6:$AM$1005,S940)=1,"Conferido (ver diferença no item)","Conferido"))))))))))))</f>
        <v/>
      </c>
      <c r="Q940" s="96">
        <f>IF(COUNTA(C940,E940:G940,I940:O940)&gt;0,1,0)</f>
        <v>0</v>
      </c>
      <c r="R940" s="96" t="str">
        <f>IF(C940="","",TRIM(LEFT(C940,FIND(" |",C940&amp;" |")-1)))</f>
        <v/>
      </c>
      <c r="S940" s="96" t="str">
        <f>IF(R940="","",IFERROR(MATCH(R940,'ITENS_MTR'!$A$6:$A$1005,0),""))</f>
        <v/>
      </c>
      <c r="T940" s="96">
        <f>IF(S940="",0,IF(INDEX('ITENS_MTR'!$R$6:$R$1005,S940)=1,1,0))</f>
        <v>0</v>
      </c>
      <c r="U940" s="96" t="str">
        <f>IF(T940=1,INDEX('ITENS_MTR'!$T$6:$T$1005,S940),"")</f>
        <v/>
      </c>
      <c r="V940" s="97" t="str">
        <f>IF(N(U940)&gt;0,INDEX('MTRs'!$E$6:$E$505,U940),"")</f>
        <v/>
      </c>
      <c r="W940" s="96" t="str">
        <f>IF(G940="","",IFERROR(IF(ISNUMBER(INDEX(cfg_fac,MATCH(G940,cfg_units,0))),IF(INDEX(cfg_fac,MATCH(G940,cfg_units,0))&gt;0,INDEX(cfg_fac,MATCH(G940,cfg_units,0)),""),""),""))</f>
        <v/>
      </c>
      <c r="X940" s="96">
        <f>IF(AND(ISNUMBER(F940),ISNUMBER(H940)),IF(H940&gt;0,1,0),0)</f>
        <v>0</v>
      </c>
      <c r="Y940" s="96">
        <f>IF(Q940=0,0,IF(OR(T940=0,X940=0,NOT(ISNUMBER(E940)),AND(J940="Sim",L940="",M940=""),AND(ISNUMBER(E940),ISNUMBER(V940),N(V940)&gt;0,E940&lt;N(V940))),1,0))</f>
        <v>0</v>
      </c>
      <c r="Z940" s="96">
        <f>IF(AND(Q940=1,T940=1,X940=1,J940="Sim",OR(L940&lt;&gt;"",M940&lt;&gt;"")),1,0)</f>
        <v>0</v>
      </c>
      <c r="AA940" s="96">
        <f>IF(Q940=0,0,IF(AND(OR(r_ini="",AND(ISNUMBER(E940),E940&gt;=r_ini)),OR(r_fim="",AND(ISNUMBER(E940),E940&lt;=r_fim)),OR(r_un="",r_un="(Todas)",IF(N(U940)&gt;0,INDEX('MTRs'!$G$6:$G$505,U940),"")=r_un),OR(r_de="",r_de="(Todos)",D940=r_de)),1,0))</f>
        <v>0</v>
      </c>
      <c r="AB940" s="96" t="str">
        <f>IF(AA940=1,COUNTIF($AA$6:AA940,1),"")</f>
        <v/>
      </c>
    </row>
    <row r="941">
      <c r="A941" s="89" t="inlineStr">
        <is>
          <t>REC-000936</t>
        </is>
      </c>
      <c r="B941" s="94" t="str">
        <f>IF(T941=1,INDEX('ITENS_MTR'!$S$6:$S$1005,S941)&amp;"","")</f>
        <v/>
      </c>
      <c r="C941" s="91" t="n"/>
      <c r="D941" s="94" t="str">
        <f>IF(N(U941)&gt;0,INDEX('MTRs'!$I$6:$I$505,U941)&amp;"","")</f>
        <v/>
      </c>
      <c r="E941" s="92" t="n"/>
      <c r="F941" s="98" t="n"/>
      <c r="G941" s="91" t="n"/>
      <c r="H941" s="93" t="str">
        <f>IF(Q941=0,"",IF(NOT(ISNUMBER(F941)),"",IF(ISNUMBER(W941),F941*W941,"UNIDADE A CONFERIR")))</f>
        <v/>
      </c>
      <c r="I941" s="91" t="n"/>
      <c r="J941" s="91" t="n"/>
      <c r="K941" s="92" t="n"/>
      <c r="L941" s="91" t="n"/>
      <c r="M941" s="91" t="n"/>
      <c r="N941" s="91" t="n"/>
      <c r="O941" s="91" t="n"/>
      <c r="P941" s="94" t="str">
        <f>IF(Q941=0,"",IF(C941="","Item de resíduo não informado",IF(T941=0,"Item inexistente (referência inválida)",IF(NOT(ISNUMBER(F941)),"Quantidade não informada",IF(F941&lt;=0,"Quantidade não positiva",IF(G941="","Unidade não informada",IF(NOT(ISNUMBER(H941)),"Unidade a conferir",IF(NOT(ISNUMBER(E941)),"Data de recebimento não informada",IF(AND(ISNUMBER(V941),N(V941)&gt;0,E941&lt;N(V941)),"Data anterior à emissão do MTR",IF(AND(J941="Sim",L941="",M941=""),"Conferido sem evidência identificada",IF(J941&lt;&gt;"Sim","Aguardando conferência",IF(INDEX('ITENS_MTR'!$AM$6:$AM$1005,S941)=1,"Conferido (ver diferença no item)","Conferido"))))))))))))</f>
        <v/>
      </c>
      <c r="Q941" s="96">
        <f>IF(COUNTA(C941,E941:G941,I941:O941)&gt;0,1,0)</f>
        <v>0</v>
      </c>
      <c r="R941" s="96" t="str">
        <f>IF(C941="","",TRIM(LEFT(C941,FIND(" |",C941&amp;" |")-1)))</f>
        <v/>
      </c>
      <c r="S941" s="96" t="str">
        <f>IF(R941="","",IFERROR(MATCH(R941,'ITENS_MTR'!$A$6:$A$1005,0),""))</f>
        <v/>
      </c>
      <c r="T941" s="96">
        <f>IF(S941="",0,IF(INDEX('ITENS_MTR'!$R$6:$R$1005,S941)=1,1,0))</f>
        <v>0</v>
      </c>
      <c r="U941" s="96" t="str">
        <f>IF(T941=1,INDEX('ITENS_MTR'!$T$6:$T$1005,S941),"")</f>
        <v/>
      </c>
      <c r="V941" s="97" t="str">
        <f>IF(N(U941)&gt;0,INDEX('MTRs'!$E$6:$E$505,U941),"")</f>
        <v/>
      </c>
      <c r="W941" s="96" t="str">
        <f>IF(G941="","",IFERROR(IF(ISNUMBER(INDEX(cfg_fac,MATCH(G941,cfg_units,0))),IF(INDEX(cfg_fac,MATCH(G941,cfg_units,0))&gt;0,INDEX(cfg_fac,MATCH(G941,cfg_units,0)),""),""),""))</f>
        <v/>
      </c>
      <c r="X941" s="96">
        <f>IF(AND(ISNUMBER(F941),ISNUMBER(H941)),IF(H941&gt;0,1,0),0)</f>
        <v>0</v>
      </c>
      <c r="Y941" s="96">
        <f>IF(Q941=0,0,IF(OR(T941=0,X941=0,NOT(ISNUMBER(E941)),AND(J941="Sim",L941="",M941=""),AND(ISNUMBER(E941),ISNUMBER(V941),N(V941)&gt;0,E941&lt;N(V941))),1,0))</f>
        <v>0</v>
      </c>
      <c r="Z941" s="96">
        <f>IF(AND(Q941=1,T941=1,X941=1,J941="Sim",OR(L941&lt;&gt;"",M941&lt;&gt;"")),1,0)</f>
        <v>0</v>
      </c>
      <c r="AA941" s="96">
        <f>IF(Q941=0,0,IF(AND(OR(r_ini="",AND(ISNUMBER(E941),E941&gt;=r_ini)),OR(r_fim="",AND(ISNUMBER(E941),E941&lt;=r_fim)),OR(r_un="",r_un="(Todas)",IF(N(U941)&gt;0,INDEX('MTRs'!$G$6:$G$505,U941),"")=r_un),OR(r_de="",r_de="(Todos)",D941=r_de)),1,0))</f>
        <v>0</v>
      </c>
      <c r="AB941" s="96" t="str">
        <f>IF(AA941=1,COUNTIF($AA$6:AA941,1),"")</f>
        <v/>
      </c>
    </row>
    <row r="942">
      <c r="A942" s="89" t="inlineStr">
        <is>
          <t>REC-000937</t>
        </is>
      </c>
      <c r="B942" s="94" t="str">
        <f>IF(T942=1,INDEX('ITENS_MTR'!$S$6:$S$1005,S942)&amp;"","")</f>
        <v/>
      </c>
      <c r="C942" s="91" t="n"/>
      <c r="D942" s="94" t="str">
        <f>IF(N(U942)&gt;0,INDEX('MTRs'!$I$6:$I$505,U942)&amp;"","")</f>
        <v/>
      </c>
      <c r="E942" s="92" t="n"/>
      <c r="F942" s="98" t="n"/>
      <c r="G942" s="91" t="n"/>
      <c r="H942" s="93" t="str">
        <f>IF(Q942=0,"",IF(NOT(ISNUMBER(F942)),"",IF(ISNUMBER(W942),F942*W942,"UNIDADE A CONFERIR")))</f>
        <v/>
      </c>
      <c r="I942" s="91" t="n"/>
      <c r="J942" s="91" t="n"/>
      <c r="K942" s="92" t="n"/>
      <c r="L942" s="91" t="n"/>
      <c r="M942" s="91" t="n"/>
      <c r="N942" s="91" t="n"/>
      <c r="O942" s="91" t="n"/>
      <c r="P942" s="94" t="str">
        <f>IF(Q942=0,"",IF(C942="","Item de resíduo não informado",IF(T942=0,"Item inexistente (referência inválida)",IF(NOT(ISNUMBER(F942)),"Quantidade não informada",IF(F942&lt;=0,"Quantidade não positiva",IF(G942="","Unidade não informada",IF(NOT(ISNUMBER(H942)),"Unidade a conferir",IF(NOT(ISNUMBER(E942)),"Data de recebimento não informada",IF(AND(ISNUMBER(V942),N(V942)&gt;0,E942&lt;N(V942)),"Data anterior à emissão do MTR",IF(AND(J942="Sim",L942="",M942=""),"Conferido sem evidência identificada",IF(J942&lt;&gt;"Sim","Aguardando conferência",IF(INDEX('ITENS_MTR'!$AM$6:$AM$1005,S942)=1,"Conferido (ver diferença no item)","Conferido"))))))))))))</f>
        <v/>
      </c>
      <c r="Q942" s="96">
        <f>IF(COUNTA(C942,E942:G942,I942:O942)&gt;0,1,0)</f>
        <v>0</v>
      </c>
      <c r="R942" s="96" t="str">
        <f>IF(C942="","",TRIM(LEFT(C942,FIND(" |",C942&amp;" |")-1)))</f>
        <v/>
      </c>
      <c r="S942" s="96" t="str">
        <f>IF(R942="","",IFERROR(MATCH(R942,'ITENS_MTR'!$A$6:$A$1005,0),""))</f>
        <v/>
      </c>
      <c r="T942" s="96">
        <f>IF(S942="",0,IF(INDEX('ITENS_MTR'!$R$6:$R$1005,S942)=1,1,0))</f>
        <v>0</v>
      </c>
      <c r="U942" s="96" t="str">
        <f>IF(T942=1,INDEX('ITENS_MTR'!$T$6:$T$1005,S942),"")</f>
        <v/>
      </c>
      <c r="V942" s="97" t="str">
        <f>IF(N(U942)&gt;0,INDEX('MTRs'!$E$6:$E$505,U942),"")</f>
        <v/>
      </c>
      <c r="W942" s="96" t="str">
        <f>IF(G942="","",IFERROR(IF(ISNUMBER(INDEX(cfg_fac,MATCH(G942,cfg_units,0))),IF(INDEX(cfg_fac,MATCH(G942,cfg_units,0))&gt;0,INDEX(cfg_fac,MATCH(G942,cfg_units,0)),""),""),""))</f>
        <v/>
      </c>
      <c r="X942" s="96">
        <f>IF(AND(ISNUMBER(F942),ISNUMBER(H942)),IF(H942&gt;0,1,0),0)</f>
        <v>0</v>
      </c>
      <c r="Y942" s="96">
        <f>IF(Q942=0,0,IF(OR(T942=0,X942=0,NOT(ISNUMBER(E942)),AND(J942="Sim",L942="",M942=""),AND(ISNUMBER(E942),ISNUMBER(V942),N(V942)&gt;0,E942&lt;N(V942))),1,0))</f>
        <v>0</v>
      </c>
      <c r="Z942" s="96">
        <f>IF(AND(Q942=1,T942=1,X942=1,J942="Sim",OR(L942&lt;&gt;"",M942&lt;&gt;"")),1,0)</f>
        <v>0</v>
      </c>
      <c r="AA942" s="96">
        <f>IF(Q942=0,0,IF(AND(OR(r_ini="",AND(ISNUMBER(E942),E942&gt;=r_ini)),OR(r_fim="",AND(ISNUMBER(E942),E942&lt;=r_fim)),OR(r_un="",r_un="(Todas)",IF(N(U942)&gt;0,INDEX('MTRs'!$G$6:$G$505,U942),"")=r_un),OR(r_de="",r_de="(Todos)",D942=r_de)),1,0))</f>
        <v>0</v>
      </c>
      <c r="AB942" s="96" t="str">
        <f>IF(AA942=1,COUNTIF($AA$6:AA942,1),"")</f>
        <v/>
      </c>
    </row>
    <row r="943">
      <c r="A943" s="89" t="inlineStr">
        <is>
          <t>REC-000938</t>
        </is>
      </c>
      <c r="B943" s="94" t="str">
        <f>IF(T943=1,INDEX('ITENS_MTR'!$S$6:$S$1005,S943)&amp;"","")</f>
        <v/>
      </c>
      <c r="C943" s="91" t="n"/>
      <c r="D943" s="94" t="str">
        <f>IF(N(U943)&gt;0,INDEX('MTRs'!$I$6:$I$505,U943)&amp;"","")</f>
        <v/>
      </c>
      <c r="E943" s="92" t="n"/>
      <c r="F943" s="98" t="n"/>
      <c r="G943" s="91" t="n"/>
      <c r="H943" s="93" t="str">
        <f>IF(Q943=0,"",IF(NOT(ISNUMBER(F943)),"",IF(ISNUMBER(W943),F943*W943,"UNIDADE A CONFERIR")))</f>
        <v/>
      </c>
      <c r="I943" s="91" t="n"/>
      <c r="J943" s="91" t="n"/>
      <c r="K943" s="92" t="n"/>
      <c r="L943" s="91" t="n"/>
      <c r="M943" s="91" t="n"/>
      <c r="N943" s="91" t="n"/>
      <c r="O943" s="91" t="n"/>
      <c r="P943" s="94" t="str">
        <f>IF(Q943=0,"",IF(C943="","Item de resíduo não informado",IF(T943=0,"Item inexistente (referência inválida)",IF(NOT(ISNUMBER(F943)),"Quantidade não informada",IF(F943&lt;=0,"Quantidade não positiva",IF(G943="","Unidade não informada",IF(NOT(ISNUMBER(H943)),"Unidade a conferir",IF(NOT(ISNUMBER(E943)),"Data de recebimento não informada",IF(AND(ISNUMBER(V943),N(V943)&gt;0,E943&lt;N(V943)),"Data anterior à emissão do MTR",IF(AND(J943="Sim",L943="",M943=""),"Conferido sem evidência identificada",IF(J943&lt;&gt;"Sim","Aguardando conferência",IF(INDEX('ITENS_MTR'!$AM$6:$AM$1005,S943)=1,"Conferido (ver diferença no item)","Conferido"))))))))))))</f>
        <v/>
      </c>
      <c r="Q943" s="96">
        <f>IF(COUNTA(C943,E943:G943,I943:O943)&gt;0,1,0)</f>
        <v>0</v>
      </c>
      <c r="R943" s="96" t="str">
        <f>IF(C943="","",TRIM(LEFT(C943,FIND(" |",C943&amp;" |")-1)))</f>
        <v/>
      </c>
      <c r="S943" s="96" t="str">
        <f>IF(R943="","",IFERROR(MATCH(R943,'ITENS_MTR'!$A$6:$A$1005,0),""))</f>
        <v/>
      </c>
      <c r="T943" s="96">
        <f>IF(S943="",0,IF(INDEX('ITENS_MTR'!$R$6:$R$1005,S943)=1,1,0))</f>
        <v>0</v>
      </c>
      <c r="U943" s="96" t="str">
        <f>IF(T943=1,INDEX('ITENS_MTR'!$T$6:$T$1005,S943),"")</f>
        <v/>
      </c>
      <c r="V943" s="97" t="str">
        <f>IF(N(U943)&gt;0,INDEX('MTRs'!$E$6:$E$505,U943),"")</f>
        <v/>
      </c>
      <c r="W943" s="96" t="str">
        <f>IF(G943="","",IFERROR(IF(ISNUMBER(INDEX(cfg_fac,MATCH(G943,cfg_units,0))),IF(INDEX(cfg_fac,MATCH(G943,cfg_units,0))&gt;0,INDEX(cfg_fac,MATCH(G943,cfg_units,0)),""),""),""))</f>
        <v/>
      </c>
      <c r="X943" s="96">
        <f>IF(AND(ISNUMBER(F943),ISNUMBER(H943)),IF(H943&gt;0,1,0),0)</f>
        <v>0</v>
      </c>
      <c r="Y943" s="96">
        <f>IF(Q943=0,0,IF(OR(T943=0,X943=0,NOT(ISNUMBER(E943)),AND(J943="Sim",L943="",M943=""),AND(ISNUMBER(E943),ISNUMBER(V943),N(V943)&gt;0,E943&lt;N(V943))),1,0))</f>
        <v>0</v>
      </c>
      <c r="Z943" s="96">
        <f>IF(AND(Q943=1,T943=1,X943=1,J943="Sim",OR(L943&lt;&gt;"",M943&lt;&gt;"")),1,0)</f>
        <v>0</v>
      </c>
      <c r="AA943" s="96">
        <f>IF(Q943=0,0,IF(AND(OR(r_ini="",AND(ISNUMBER(E943),E943&gt;=r_ini)),OR(r_fim="",AND(ISNUMBER(E943),E943&lt;=r_fim)),OR(r_un="",r_un="(Todas)",IF(N(U943)&gt;0,INDEX('MTRs'!$G$6:$G$505,U943),"")=r_un),OR(r_de="",r_de="(Todos)",D943=r_de)),1,0))</f>
        <v>0</v>
      </c>
      <c r="AB943" s="96" t="str">
        <f>IF(AA943=1,COUNTIF($AA$6:AA943,1),"")</f>
        <v/>
      </c>
    </row>
    <row r="944">
      <c r="A944" s="89" t="inlineStr">
        <is>
          <t>REC-000939</t>
        </is>
      </c>
      <c r="B944" s="94" t="str">
        <f>IF(T944=1,INDEX('ITENS_MTR'!$S$6:$S$1005,S944)&amp;"","")</f>
        <v/>
      </c>
      <c r="C944" s="91" t="n"/>
      <c r="D944" s="94" t="str">
        <f>IF(N(U944)&gt;0,INDEX('MTRs'!$I$6:$I$505,U944)&amp;"","")</f>
        <v/>
      </c>
      <c r="E944" s="92" t="n"/>
      <c r="F944" s="98" t="n"/>
      <c r="G944" s="91" t="n"/>
      <c r="H944" s="93" t="str">
        <f>IF(Q944=0,"",IF(NOT(ISNUMBER(F944)),"",IF(ISNUMBER(W944),F944*W944,"UNIDADE A CONFERIR")))</f>
        <v/>
      </c>
      <c r="I944" s="91" t="n"/>
      <c r="J944" s="91" t="n"/>
      <c r="K944" s="92" t="n"/>
      <c r="L944" s="91" t="n"/>
      <c r="M944" s="91" t="n"/>
      <c r="N944" s="91" t="n"/>
      <c r="O944" s="91" t="n"/>
      <c r="P944" s="94" t="str">
        <f>IF(Q944=0,"",IF(C944="","Item de resíduo não informado",IF(T944=0,"Item inexistente (referência inválida)",IF(NOT(ISNUMBER(F944)),"Quantidade não informada",IF(F944&lt;=0,"Quantidade não positiva",IF(G944="","Unidade não informada",IF(NOT(ISNUMBER(H944)),"Unidade a conferir",IF(NOT(ISNUMBER(E944)),"Data de recebimento não informada",IF(AND(ISNUMBER(V944),N(V944)&gt;0,E944&lt;N(V944)),"Data anterior à emissão do MTR",IF(AND(J944="Sim",L944="",M944=""),"Conferido sem evidência identificada",IF(J944&lt;&gt;"Sim","Aguardando conferência",IF(INDEX('ITENS_MTR'!$AM$6:$AM$1005,S944)=1,"Conferido (ver diferença no item)","Conferido"))))))))))))</f>
        <v/>
      </c>
      <c r="Q944" s="96">
        <f>IF(COUNTA(C944,E944:G944,I944:O944)&gt;0,1,0)</f>
        <v>0</v>
      </c>
      <c r="R944" s="96" t="str">
        <f>IF(C944="","",TRIM(LEFT(C944,FIND(" |",C944&amp;" |")-1)))</f>
        <v/>
      </c>
      <c r="S944" s="96" t="str">
        <f>IF(R944="","",IFERROR(MATCH(R944,'ITENS_MTR'!$A$6:$A$1005,0),""))</f>
        <v/>
      </c>
      <c r="T944" s="96">
        <f>IF(S944="",0,IF(INDEX('ITENS_MTR'!$R$6:$R$1005,S944)=1,1,0))</f>
        <v>0</v>
      </c>
      <c r="U944" s="96" t="str">
        <f>IF(T944=1,INDEX('ITENS_MTR'!$T$6:$T$1005,S944),"")</f>
        <v/>
      </c>
      <c r="V944" s="97" t="str">
        <f>IF(N(U944)&gt;0,INDEX('MTRs'!$E$6:$E$505,U944),"")</f>
        <v/>
      </c>
      <c r="W944" s="96" t="str">
        <f>IF(G944="","",IFERROR(IF(ISNUMBER(INDEX(cfg_fac,MATCH(G944,cfg_units,0))),IF(INDEX(cfg_fac,MATCH(G944,cfg_units,0))&gt;0,INDEX(cfg_fac,MATCH(G944,cfg_units,0)),""),""),""))</f>
        <v/>
      </c>
      <c r="X944" s="96">
        <f>IF(AND(ISNUMBER(F944),ISNUMBER(H944)),IF(H944&gt;0,1,0),0)</f>
        <v>0</v>
      </c>
      <c r="Y944" s="96">
        <f>IF(Q944=0,0,IF(OR(T944=0,X944=0,NOT(ISNUMBER(E944)),AND(J944="Sim",L944="",M944=""),AND(ISNUMBER(E944),ISNUMBER(V944),N(V944)&gt;0,E944&lt;N(V944))),1,0))</f>
        <v>0</v>
      </c>
      <c r="Z944" s="96">
        <f>IF(AND(Q944=1,T944=1,X944=1,J944="Sim",OR(L944&lt;&gt;"",M944&lt;&gt;"")),1,0)</f>
        <v>0</v>
      </c>
      <c r="AA944" s="96">
        <f>IF(Q944=0,0,IF(AND(OR(r_ini="",AND(ISNUMBER(E944),E944&gt;=r_ini)),OR(r_fim="",AND(ISNUMBER(E944),E944&lt;=r_fim)),OR(r_un="",r_un="(Todas)",IF(N(U944)&gt;0,INDEX('MTRs'!$G$6:$G$505,U944),"")=r_un),OR(r_de="",r_de="(Todos)",D944=r_de)),1,0))</f>
        <v>0</v>
      </c>
      <c r="AB944" s="96" t="str">
        <f>IF(AA944=1,COUNTIF($AA$6:AA944,1),"")</f>
        <v/>
      </c>
    </row>
    <row r="945">
      <c r="A945" s="89" t="inlineStr">
        <is>
          <t>REC-000940</t>
        </is>
      </c>
      <c r="B945" s="94" t="str">
        <f>IF(T945=1,INDEX('ITENS_MTR'!$S$6:$S$1005,S945)&amp;"","")</f>
        <v/>
      </c>
      <c r="C945" s="91" t="n"/>
      <c r="D945" s="94" t="str">
        <f>IF(N(U945)&gt;0,INDEX('MTRs'!$I$6:$I$505,U945)&amp;"","")</f>
        <v/>
      </c>
      <c r="E945" s="92" t="n"/>
      <c r="F945" s="98" t="n"/>
      <c r="G945" s="91" t="n"/>
      <c r="H945" s="93" t="str">
        <f>IF(Q945=0,"",IF(NOT(ISNUMBER(F945)),"",IF(ISNUMBER(W945),F945*W945,"UNIDADE A CONFERIR")))</f>
        <v/>
      </c>
      <c r="I945" s="91" t="n"/>
      <c r="J945" s="91" t="n"/>
      <c r="K945" s="92" t="n"/>
      <c r="L945" s="91" t="n"/>
      <c r="M945" s="91" t="n"/>
      <c r="N945" s="91" t="n"/>
      <c r="O945" s="91" t="n"/>
      <c r="P945" s="94" t="str">
        <f>IF(Q945=0,"",IF(C945="","Item de resíduo não informado",IF(T945=0,"Item inexistente (referência inválida)",IF(NOT(ISNUMBER(F945)),"Quantidade não informada",IF(F945&lt;=0,"Quantidade não positiva",IF(G945="","Unidade não informada",IF(NOT(ISNUMBER(H945)),"Unidade a conferir",IF(NOT(ISNUMBER(E945)),"Data de recebimento não informada",IF(AND(ISNUMBER(V945),N(V945)&gt;0,E945&lt;N(V945)),"Data anterior à emissão do MTR",IF(AND(J945="Sim",L945="",M945=""),"Conferido sem evidência identificada",IF(J945&lt;&gt;"Sim","Aguardando conferência",IF(INDEX('ITENS_MTR'!$AM$6:$AM$1005,S945)=1,"Conferido (ver diferença no item)","Conferido"))))))))))))</f>
        <v/>
      </c>
      <c r="Q945" s="96">
        <f>IF(COUNTA(C945,E945:G945,I945:O945)&gt;0,1,0)</f>
        <v>0</v>
      </c>
      <c r="R945" s="96" t="str">
        <f>IF(C945="","",TRIM(LEFT(C945,FIND(" |",C945&amp;" |")-1)))</f>
        <v/>
      </c>
      <c r="S945" s="96" t="str">
        <f>IF(R945="","",IFERROR(MATCH(R945,'ITENS_MTR'!$A$6:$A$1005,0),""))</f>
        <v/>
      </c>
      <c r="T945" s="96">
        <f>IF(S945="",0,IF(INDEX('ITENS_MTR'!$R$6:$R$1005,S945)=1,1,0))</f>
        <v>0</v>
      </c>
      <c r="U945" s="96" t="str">
        <f>IF(T945=1,INDEX('ITENS_MTR'!$T$6:$T$1005,S945),"")</f>
        <v/>
      </c>
      <c r="V945" s="97" t="str">
        <f>IF(N(U945)&gt;0,INDEX('MTRs'!$E$6:$E$505,U945),"")</f>
        <v/>
      </c>
      <c r="W945" s="96" t="str">
        <f>IF(G945="","",IFERROR(IF(ISNUMBER(INDEX(cfg_fac,MATCH(G945,cfg_units,0))),IF(INDEX(cfg_fac,MATCH(G945,cfg_units,0))&gt;0,INDEX(cfg_fac,MATCH(G945,cfg_units,0)),""),""),""))</f>
        <v/>
      </c>
      <c r="X945" s="96">
        <f>IF(AND(ISNUMBER(F945),ISNUMBER(H945)),IF(H945&gt;0,1,0),0)</f>
        <v>0</v>
      </c>
      <c r="Y945" s="96">
        <f>IF(Q945=0,0,IF(OR(T945=0,X945=0,NOT(ISNUMBER(E945)),AND(J945="Sim",L945="",M945=""),AND(ISNUMBER(E945),ISNUMBER(V945),N(V945)&gt;0,E945&lt;N(V945))),1,0))</f>
        <v>0</v>
      </c>
      <c r="Z945" s="96">
        <f>IF(AND(Q945=1,T945=1,X945=1,J945="Sim",OR(L945&lt;&gt;"",M945&lt;&gt;"")),1,0)</f>
        <v>0</v>
      </c>
      <c r="AA945" s="96">
        <f>IF(Q945=0,0,IF(AND(OR(r_ini="",AND(ISNUMBER(E945),E945&gt;=r_ini)),OR(r_fim="",AND(ISNUMBER(E945),E945&lt;=r_fim)),OR(r_un="",r_un="(Todas)",IF(N(U945)&gt;0,INDEX('MTRs'!$G$6:$G$505,U945),"")=r_un),OR(r_de="",r_de="(Todos)",D945=r_de)),1,0))</f>
        <v>0</v>
      </c>
      <c r="AB945" s="96" t="str">
        <f>IF(AA945=1,COUNTIF($AA$6:AA945,1),"")</f>
        <v/>
      </c>
    </row>
    <row r="946">
      <c r="A946" s="89" t="inlineStr">
        <is>
          <t>REC-000941</t>
        </is>
      </c>
      <c r="B946" s="94" t="str">
        <f>IF(T946=1,INDEX('ITENS_MTR'!$S$6:$S$1005,S946)&amp;"","")</f>
        <v/>
      </c>
      <c r="C946" s="91" t="n"/>
      <c r="D946" s="94" t="str">
        <f>IF(N(U946)&gt;0,INDEX('MTRs'!$I$6:$I$505,U946)&amp;"","")</f>
        <v/>
      </c>
      <c r="E946" s="92" t="n"/>
      <c r="F946" s="98" t="n"/>
      <c r="G946" s="91" t="n"/>
      <c r="H946" s="93" t="str">
        <f>IF(Q946=0,"",IF(NOT(ISNUMBER(F946)),"",IF(ISNUMBER(W946),F946*W946,"UNIDADE A CONFERIR")))</f>
        <v/>
      </c>
      <c r="I946" s="91" t="n"/>
      <c r="J946" s="91" t="n"/>
      <c r="K946" s="92" t="n"/>
      <c r="L946" s="91" t="n"/>
      <c r="M946" s="91" t="n"/>
      <c r="N946" s="91" t="n"/>
      <c r="O946" s="91" t="n"/>
      <c r="P946" s="94" t="str">
        <f>IF(Q946=0,"",IF(C946="","Item de resíduo não informado",IF(T946=0,"Item inexistente (referência inválida)",IF(NOT(ISNUMBER(F946)),"Quantidade não informada",IF(F946&lt;=0,"Quantidade não positiva",IF(G946="","Unidade não informada",IF(NOT(ISNUMBER(H946)),"Unidade a conferir",IF(NOT(ISNUMBER(E946)),"Data de recebimento não informada",IF(AND(ISNUMBER(V946),N(V946)&gt;0,E946&lt;N(V946)),"Data anterior à emissão do MTR",IF(AND(J946="Sim",L946="",M946=""),"Conferido sem evidência identificada",IF(J946&lt;&gt;"Sim","Aguardando conferência",IF(INDEX('ITENS_MTR'!$AM$6:$AM$1005,S946)=1,"Conferido (ver diferença no item)","Conferido"))))))))))))</f>
        <v/>
      </c>
      <c r="Q946" s="96">
        <f>IF(COUNTA(C946,E946:G946,I946:O946)&gt;0,1,0)</f>
        <v>0</v>
      </c>
      <c r="R946" s="96" t="str">
        <f>IF(C946="","",TRIM(LEFT(C946,FIND(" |",C946&amp;" |")-1)))</f>
        <v/>
      </c>
      <c r="S946" s="96" t="str">
        <f>IF(R946="","",IFERROR(MATCH(R946,'ITENS_MTR'!$A$6:$A$1005,0),""))</f>
        <v/>
      </c>
      <c r="T946" s="96">
        <f>IF(S946="",0,IF(INDEX('ITENS_MTR'!$R$6:$R$1005,S946)=1,1,0))</f>
        <v>0</v>
      </c>
      <c r="U946" s="96" t="str">
        <f>IF(T946=1,INDEX('ITENS_MTR'!$T$6:$T$1005,S946),"")</f>
        <v/>
      </c>
      <c r="V946" s="97" t="str">
        <f>IF(N(U946)&gt;0,INDEX('MTRs'!$E$6:$E$505,U946),"")</f>
        <v/>
      </c>
      <c r="W946" s="96" t="str">
        <f>IF(G946="","",IFERROR(IF(ISNUMBER(INDEX(cfg_fac,MATCH(G946,cfg_units,0))),IF(INDEX(cfg_fac,MATCH(G946,cfg_units,0))&gt;0,INDEX(cfg_fac,MATCH(G946,cfg_units,0)),""),""),""))</f>
        <v/>
      </c>
      <c r="X946" s="96">
        <f>IF(AND(ISNUMBER(F946),ISNUMBER(H946)),IF(H946&gt;0,1,0),0)</f>
        <v>0</v>
      </c>
      <c r="Y946" s="96">
        <f>IF(Q946=0,0,IF(OR(T946=0,X946=0,NOT(ISNUMBER(E946)),AND(J946="Sim",L946="",M946=""),AND(ISNUMBER(E946),ISNUMBER(V946),N(V946)&gt;0,E946&lt;N(V946))),1,0))</f>
        <v>0</v>
      </c>
      <c r="Z946" s="96">
        <f>IF(AND(Q946=1,T946=1,X946=1,J946="Sim",OR(L946&lt;&gt;"",M946&lt;&gt;"")),1,0)</f>
        <v>0</v>
      </c>
      <c r="AA946" s="96">
        <f>IF(Q946=0,0,IF(AND(OR(r_ini="",AND(ISNUMBER(E946),E946&gt;=r_ini)),OR(r_fim="",AND(ISNUMBER(E946),E946&lt;=r_fim)),OR(r_un="",r_un="(Todas)",IF(N(U946)&gt;0,INDEX('MTRs'!$G$6:$G$505,U946),"")=r_un),OR(r_de="",r_de="(Todos)",D946=r_de)),1,0))</f>
        <v>0</v>
      </c>
      <c r="AB946" s="96" t="str">
        <f>IF(AA946=1,COUNTIF($AA$6:AA946,1),"")</f>
        <v/>
      </c>
    </row>
    <row r="947">
      <c r="A947" s="89" t="inlineStr">
        <is>
          <t>REC-000942</t>
        </is>
      </c>
      <c r="B947" s="94" t="str">
        <f>IF(T947=1,INDEX('ITENS_MTR'!$S$6:$S$1005,S947)&amp;"","")</f>
        <v/>
      </c>
      <c r="C947" s="91" t="n"/>
      <c r="D947" s="94" t="str">
        <f>IF(N(U947)&gt;0,INDEX('MTRs'!$I$6:$I$505,U947)&amp;"","")</f>
        <v/>
      </c>
      <c r="E947" s="92" t="n"/>
      <c r="F947" s="98" t="n"/>
      <c r="G947" s="91" t="n"/>
      <c r="H947" s="93" t="str">
        <f>IF(Q947=0,"",IF(NOT(ISNUMBER(F947)),"",IF(ISNUMBER(W947),F947*W947,"UNIDADE A CONFERIR")))</f>
        <v/>
      </c>
      <c r="I947" s="91" t="n"/>
      <c r="J947" s="91" t="n"/>
      <c r="K947" s="92" t="n"/>
      <c r="L947" s="91" t="n"/>
      <c r="M947" s="91" t="n"/>
      <c r="N947" s="91" t="n"/>
      <c r="O947" s="91" t="n"/>
      <c r="P947" s="94" t="str">
        <f>IF(Q947=0,"",IF(C947="","Item de resíduo não informado",IF(T947=0,"Item inexistente (referência inválida)",IF(NOT(ISNUMBER(F947)),"Quantidade não informada",IF(F947&lt;=0,"Quantidade não positiva",IF(G947="","Unidade não informada",IF(NOT(ISNUMBER(H947)),"Unidade a conferir",IF(NOT(ISNUMBER(E947)),"Data de recebimento não informada",IF(AND(ISNUMBER(V947),N(V947)&gt;0,E947&lt;N(V947)),"Data anterior à emissão do MTR",IF(AND(J947="Sim",L947="",M947=""),"Conferido sem evidência identificada",IF(J947&lt;&gt;"Sim","Aguardando conferência",IF(INDEX('ITENS_MTR'!$AM$6:$AM$1005,S947)=1,"Conferido (ver diferença no item)","Conferido"))))))))))))</f>
        <v/>
      </c>
      <c r="Q947" s="96">
        <f>IF(COUNTA(C947,E947:G947,I947:O947)&gt;0,1,0)</f>
        <v>0</v>
      </c>
      <c r="R947" s="96" t="str">
        <f>IF(C947="","",TRIM(LEFT(C947,FIND(" |",C947&amp;" |")-1)))</f>
        <v/>
      </c>
      <c r="S947" s="96" t="str">
        <f>IF(R947="","",IFERROR(MATCH(R947,'ITENS_MTR'!$A$6:$A$1005,0),""))</f>
        <v/>
      </c>
      <c r="T947" s="96">
        <f>IF(S947="",0,IF(INDEX('ITENS_MTR'!$R$6:$R$1005,S947)=1,1,0))</f>
        <v>0</v>
      </c>
      <c r="U947" s="96" t="str">
        <f>IF(T947=1,INDEX('ITENS_MTR'!$T$6:$T$1005,S947),"")</f>
        <v/>
      </c>
      <c r="V947" s="97" t="str">
        <f>IF(N(U947)&gt;0,INDEX('MTRs'!$E$6:$E$505,U947),"")</f>
        <v/>
      </c>
      <c r="W947" s="96" t="str">
        <f>IF(G947="","",IFERROR(IF(ISNUMBER(INDEX(cfg_fac,MATCH(G947,cfg_units,0))),IF(INDEX(cfg_fac,MATCH(G947,cfg_units,0))&gt;0,INDEX(cfg_fac,MATCH(G947,cfg_units,0)),""),""),""))</f>
        <v/>
      </c>
      <c r="X947" s="96">
        <f>IF(AND(ISNUMBER(F947),ISNUMBER(H947)),IF(H947&gt;0,1,0),0)</f>
        <v>0</v>
      </c>
      <c r="Y947" s="96">
        <f>IF(Q947=0,0,IF(OR(T947=0,X947=0,NOT(ISNUMBER(E947)),AND(J947="Sim",L947="",M947=""),AND(ISNUMBER(E947),ISNUMBER(V947),N(V947)&gt;0,E947&lt;N(V947))),1,0))</f>
        <v>0</v>
      </c>
      <c r="Z947" s="96">
        <f>IF(AND(Q947=1,T947=1,X947=1,J947="Sim",OR(L947&lt;&gt;"",M947&lt;&gt;"")),1,0)</f>
        <v>0</v>
      </c>
      <c r="AA947" s="96">
        <f>IF(Q947=0,0,IF(AND(OR(r_ini="",AND(ISNUMBER(E947),E947&gt;=r_ini)),OR(r_fim="",AND(ISNUMBER(E947),E947&lt;=r_fim)),OR(r_un="",r_un="(Todas)",IF(N(U947)&gt;0,INDEX('MTRs'!$G$6:$G$505,U947),"")=r_un),OR(r_de="",r_de="(Todos)",D947=r_de)),1,0))</f>
        <v>0</v>
      </c>
      <c r="AB947" s="96" t="str">
        <f>IF(AA947=1,COUNTIF($AA$6:AA947,1),"")</f>
        <v/>
      </c>
    </row>
    <row r="948">
      <c r="A948" s="89" t="inlineStr">
        <is>
          <t>REC-000943</t>
        </is>
      </c>
      <c r="B948" s="94" t="str">
        <f>IF(T948=1,INDEX('ITENS_MTR'!$S$6:$S$1005,S948)&amp;"","")</f>
        <v/>
      </c>
      <c r="C948" s="91" t="n"/>
      <c r="D948" s="94" t="str">
        <f>IF(N(U948)&gt;0,INDEX('MTRs'!$I$6:$I$505,U948)&amp;"","")</f>
        <v/>
      </c>
      <c r="E948" s="92" t="n"/>
      <c r="F948" s="98" t="n"/>
      <c r="G948" s="91" t="n"/>
      <c r="H948" s="93" t="str">
        <f>IF(Q948=0,"",IF(NOT(ISNUMBER(F948)),"",IF(ISNUMBER(W948),F948*W948,"UNIDADE A CONFERIR")))</f>
        <v/>
      </c>
      <c r="I948" s="91" t="n"/>
      <c r="J948" s="91" t="n"/>
      <c r="K948" s="92" t="n"/>
      <c r="L948" s="91" t="n"/>
      <c r="M948" s="91" t="n"/>
      <c r="N948" s="91" t="n"/>
      <c r="O948" s="91" t="n"/>
      <c r="P948" s="94" t="str">
        <f>IF(Q948=0,"",IF(C948="","Item de resíduo não informado",IF(T948=0,"Item inexistente (referência inválida)",IF(NOT(ISNUMBER(F948)),"Quantidade não informada",IF(F948&lt;=0,"Quantidade não positiva",IF(G948="","Unidade não informada",IF(NOT(ISNUMBER(H948)),"Unidade a conferir",IF(NOT(ISNUMBER(E948)),"Data de recebimento não informada",IF(AND(ISNUMBER(V948),N(V948)&gt;0,E948&lt;N(V948)),"Data anterior à emissão do MTR",IF(AND(J948="Sim",L948="",M948=""),"Conferido sem evidência identificada",IF(J948&lt;&gt;"Sim","Aguardando conferência",IF(INDEX('ITENS_MTR'!$AM$6:$AM$1005,S948)=1,"Conferido (ver diferença no item)","Conferido"))))))))))))</f>
        <v/>
      </c>
      <c r="Q948" s="96">
        <f>IF(COUNTA(C948,E948:G948,I948:O948)&gt;0,1,0)</f>
        <v>0</v>
      </c>
      <c r="R948" s="96" t="str">
        <f>IF(C948="","",TRIM(LEFT(C948,FIND(" |",C948&amp;" |")-1)))</f>
        <v/>
      </c>
      <c r="S948" s="96" t="str">
        <f>IF(R948="","",IFERROR(MATCH(R948,'ITENS_MTR'!$A$6:$A$1005,0),""))</f>
        <v/>
      </c>
      <c r="T948" s="96">
        <f>IF(S948="",0,IF(INDEX('ITENS_MTR'!$R$6:$R$1005,S948)=1,1,0))</f>
        <v>0</v>
      </c>
      <c r="U948" s="96" t="str">
        <f>IF(T948=1,INDEX('ITENS_MTR'!$T$6:$T$1005,S948),"")</f>
        <v/>
      </c>
      <c r="V948" s="97" t="str">
        <f>IF(N(U948)&gt;0,INDEX('MTRs'!$E$6:$E$505,U948),"")</f>
        <v/>
      </c>
      <c r="W948" s="96" t="str">
        <f>IF(G948="","",IFERROR(IF(ISNUMBER(INDEX(cfg_fac,MATCH(G948,cfg_units,0))),IF(INDEX(cfg_fac,MATCH(G948,cfg_units,0))&gt;0,INDEX(cfg_fac,MATCH(G948,cfg_units,0)),""),""),""))</f>
        <v/>
      </c>
      <c r="X948" s="96">
        <f>IF(AND(ISNUMBER(F948),ISNUMBER(H948)),IF(H948&gt;0,1,0),0)</f>
        <v>0</v>
      </c>
      <c r="Y948" s="96">
        <f>IF(Q948=0,0,IF(OR(T948=0,X948=0,NOT(ISNUMBER(E948)),AND(J948="Sim",L948="",M948=""),AND(ISNUMBER(E948),ISNUMBER(V948),N(V948)&gt;0,E948&lt;N(V948))),1,0))</f>
        <v>0</v>
      </c>
      <c r="Z948" s="96">
        <f>IF(AND(Q948=1,T948=1,X948=1,J948="Sim",OR(L948&lt;&gt;"",M948&lt;&gt;"")),1,0)</f>
        <v>0</v>
      </c>
      <c r="AA948" s="96">
        <f>IF(Q948=0,0,IF(AND(OR(r_ini="",AND(ISNUMBER(E948),E948&gt;=r_ini)),OR(r_fim="",AND(ISNUMBER(E948),E948&lt;=r_fim)),OR(r_un="",r_un="(Todas)",IF(N(U948)&gt;0,INDEX('MTRs'!$G$6:$G$505,U948),"")=r_un),OR(r_de="",r_de="(Todos)",D948=r_de)),1,0))</f>
        <v>0</v>
      </c>
      <c r="AB948" s="96" t="str">
        <f>IF(AA948=1,COUNTIF($AA$6:AA948,1),"")</f>
        <v/>
      </c>
    </row>
    <row r="949">
      <c r="A949" s="89" t="inlineStr">
        <is>
          <t>REC-000944</t>
        </is>
      </c>
      <c r="B949" s="94" t="str">
        <f>IF(T949=1,INDEX('ITENS_MTR'!$S$6:$S$1005,S949)&amp;"","")</f>
        <v/>
      </c>
      <c r="C949" s="91" t="n"/>
      <c r="D949" s="94" t="str">
        <f>IF(N(U949)&gt;0,INDEX('MTRs'!$I$6:$I$505,U949)&amp;"","")</f>
        <v/>
      </c>
      <c r="E949" s="92" t="n"/>
      <c r="F949" s="98" t="n"/>
      <c r="G949" s="91" t="n"/>
      <c r="H949" s="93" t="str">
        <f>IF(Q949=0,"",IF(NOT(ISNUMBER(F949)),"",IF(ISNUMBER(W949),F949*W949,"UNIDADE A CONFERIR")))</f>
        <v/>
      </c>
      <c r="I949" s="91" t="n"/>
      <c r="J949" s="91" t="n"/>
      <c r="K949" s="92" t="n"/>
      <c r="L949" s="91" t="n"/>
      <c r="M949" s="91" t="n"/>
      <c r="N949" s="91" t="n"/>
      <c r="O949" s="91" t="n"/>
      <c r="P949" s="94" t="str">
        <f>IF(Q949=0,"",IF(C949="","Item de resíduo não informado",IF(T949=0,"Item inexistente (referência inválida)",IF(NOT(ISNUMBER(F949)),"Quantidade não informada",IF(F949&lt;=0,"Quantidade não positiva",IF(G949="","Unidade não informada",IF(NOT(ISNUMBER(H949)),"Unidade a conferir",IF(NOT(ISNUMBER(E949)),"Data de recebimento não informada",IF(AND(ISNUMBER(V949),N(V949)&gt;0,E949&lt;N(V949)),"Data anterior à emissão do MTR",IF(AND(J949="Sim",L949="",M949=""),"Conferido sem evidência identificada",IF(J949&lt;&gt;"Sim","Aguardando conferência",IF(INDEX('ITENS_MTR'!$AM$6:$AM$1005,S949)=1,"Conferido (ver diferença no item)","Conferido"))))))))))))</f>
        <v/>
      </c>
      <c r="Q949" s="96">
        <f>IF(COUNTA(C949,E949:G949,I949:O949)&gt;0,1,0)</f>
        <v>0</v>
      </c>
      <c r="R949" s="96" t="str">
        <f>IF(C949="","",TRIM(LEFT(C949,FIND(" |",C949&amp;" |")-1)))</f>
        <v/>
      </c>
      <c r="S949" s="96" t="str">
        <f>IF(R949="","",IFERROR(MATCH(R949,'ITENS_MTR'!$A$6:$A$1005,0),""))</f>
        <v/>
      </c>
      <c r="T949" s="96">
        <f>IF(S949="",0,IF(INDEX('ITENS_MTR'!$R$6:$R$1005,S949)=1,1,0))</f>
        <v>0</v>
      </c>
      <c r="U949" s="96" t="str">
        <f>IF(T949=1,INDEX('ITENS_MTR'!$T$6:$T$1005,S949),"")</f>
        <v/>
      </c>
      <c r="V949" s="97" t="str">
        <f>IF(N(U949)&gt;0,INDEX('MTRs'!$E$6:$E$505,U949),"")</f>
        <v/>
      </c>
      <c r="W949" s="96" t="str">
        <f>IF(G949="","",IFERROR(IF(ISNUMBER(INDEX(cfg_fac,MATCH(G949,cfg_units,0))),IF(INDEX(cfg_fac,MATCH(G949,cfg_units,0))&gt;0,INDEX(cfg_fac,MATCH(G949,cfg_units,0)),""),""),""))</f>
        <v/>
      </c>
      <c r="X949" s="96">
        <f>IF(AND(ISNUMBER(F949),ISNUMBER(H949)),IF(H949&gt;0,1,0),0)</f>
        <v>0</v>
      </c>
      <c r="Y949" s="96">
        <f>IF(Q949=0,0,IF(OR(T949=0,X949=0,NOT(ISNUMBER(E949)),AND(J949="Sim",L949="",M949=""),AND(ISNUMBER(E949),ISNUMBER(V949),N(V949)&gt;0,E949&lt;N(V949))),1,0))</f>
        <v>0</v>
      </c>
      <c r="Z949" s="96">
        <f>IF(AND(Q949=1,T949=1,X949=1,J949="Sim",OR(L949&lt;&gt;"",M949&lt;&gt;"")),1,0)</f>
        <v>0</v>
      </c>
      <c r="AA949" s="96">
        <f>IF(Q949=0,0,IF(AND(OR(r_ini="",AND(ISNUMBER(E949),E949&gt;=r_ini)),OR(r_fim="",AND(ISNUMBER(E949),E949&lt;=r_fim)),OR(r_un="",r_un="(Todas)",IF(N(U949)&gt;0,INDEX('MTRs'!$G$6:$G$505,U949),"")=r_un),OR(r_de="",r_de="(Todos)",D949=r_de)),1,0))</f>
        <v>0</v>
      </c>
      <c r="AB949" s="96" t="str">
        <f>IF(AA949=1,COUNTIF($AA$6:AA949,1),"")</f>
        <v/>
      </c>
    </row>
    <row r="950">
      <c r="A950" s="89" t="inlineStr">
        <is>
          <t>REC-000945</t>
        </is>
      </c>
      <c r="B950" s="94" t="str">
        <f>IF(T950=1,INDEX('ITENS_MTR'!$S$6:$S$1005,S950)&amp;"","")</f>
        <v/>
      </c>
      <c r="C950" s="91" t="n"/>
      <c r="D950" s="94" t="str">
        <f>IF(N(U950)&gt;0,INDEX('MTRs'!$I$6:$I$505,U950)&amp;"","")</f>
        <v/>
      </c>
      <c r="E950" s="92" t="n"/>
      <c r="F950" s="98" t="n"/>
      <c r="G950" s="91" t="n"/>
      <c r="H950" s="93" t="str">
        <f>IF(Q950=0,"",IF(NOT(ISNUMBER(F950)),"",IF(ISNUMBER(W950),F950*W950,"UNIDADE A CONFERIR")))</f>
        <v/>
      </c>
      <c r="I950" s="91" t="n"/>
      <c r="J950" s="91" t="n"/>
      <c r="K950" s="92" t="n"/>
      <c r="L950" s="91" t="n"/>
      <c r="M950" s="91" t="n"/>
      <c r="N950" s="91" t="n"/>
      <c r="O950" s="91" t="n"/>
      <c r="P950" s="94" t="str">
        <f>IF(Q950=0,"",IF(C950="","Item de resíduo não informado",IF(T950=0,"Item inexistente (referência inválida)",IF(NOT(ISNUMBER(F950)),"Quantidade não informada",IF(F950&lt;=0,"Quantidade não positiva",IF(G950="","Unidade não informada",IF(NOT(ISNUMBER(H950)),"Unidade a conferir",IF(NOT(ISNUMBER(E950)),"Data de recebimento não informada",IF(AND(ISNUMBER(V950),N(V950)&gt;0,E950&lt;N(V950)),"Data anterior à emissão do MTR",IF(AND(J950="Sim",L950="",M950=""),"Conferido sem evidência identificada",IF(J950&lt;&gt;"Sim","Aguardando conferência",IF(INDEX('ITENS_MTR'!$AM$6:$AM$1005,S950)=1,"Conferido (ver diferença no item)","Conferido"))))))))))))</f>
        <v/>
      </c>
      <c r="Q950" s="96">
        <f>IF(COUNTA(C950,E950:G950,I950:O950)&gt;0,1,0)</f>
        <v>0</v>
      </c>
      <c r="R950" s="96" t="str">
        <f>IF(C950="","",TRIM(LEFT(C950,FIND(" |",C950&amp;" |")-1)))</f>
        <v/>
      </c>
      <c r="S950" s="96" t="str">
        <f>IF(R950="","",IFERROR(MATCH(R950,'ITENS_MTR'!$A$6:$A$1005,0),""))</f>
        <v/>
      </c>
      <c r="T950" s="96">
        <f>IF(S950="",0,IF(INDEX('ITENS_MTR'!$R$6:$R$1005,S950)=1,1,0))</f>
        <v>0</v>
      </c>
      <c r="U950" s="96" t="str">
        <f>IF(T950=1,INDEX('ITENS_MTR'!$T$6:$T$1005,S950),"")</f>
        <v/>
      </c>
      <c r="V950" s="97" t="str">
        <f>IF(N(U950)&gt;0,INDEX('MTRs'!$E$6:$E$505,U950),"")</f>
        <v/>
      </c>
      <c r="W950" s="96" t="str">
        <f>IF(G950="","",IFERROR(IF(ISNUMBER(INDEX(cfg_fac,MATCH(G950,cfg_units,0))),IF(INDEX(cfg_fac,MATCH(G950,cfg_units,0))&gt;0,INDEX(cfg_fac,MATCH(G950,cfg_units,0)),""),""),""))</f>
        <v/>
      </c>
      <c r="X950" s="96">
        <f>IF(AND(ISNUMBER(F950),ISNUMBER(H950)),IF(H950&gt;0,1,0),0)</f>
        <v>0</v>
      </c>
      <c r="Y950" s="96">
        <f>IF(Q950=0,0,IF(OR(T950=0,X950=0,NOT(ISNUMBER(E950)),AND(J950="Sim",L950="",M950=""),AND(ISNUMBER(E950),ISNUMBER(V950),N(V950)&gt;0,E950&lt;N(V950))),1,0))</f>
        <v>0</v>
      </c>
      <c r="Z950" s="96">
        <f>IF(AND(Q950=1,T950=1,X950=1,J950="Sim",OR(L950&lt;&gt;"",M950&lt;&gt;"")),1,0)</f>
        <v>0</v>
      </c>
      <c r="AA950" s="96">
        <f>IF(Q950=0,0,IF(AND(OR(r_ini="",AND(ISNUMBER(E950),E950&gt;=r_ini)),OR(r_fim="",AND(ISNUMBER(E950),E950&lt;=r_fim)),OR(r_un="",r_un="(Todas)",IF(N(U950)&gt;0,INDEX('MTRs'!$G$6:$G$505,U950),"")=r_un),OR(r_de="",r_de="(Todos)",D950=r_de)),1,0))</f>
        <v>0</v>
      </c>
      <c r="AB950" s="96" t="str">
        <f>IF(AA950=1,COUNTIF($AA$6:AA950,1),"")</f>
        <v/>
      </c>
    </row>
    <row r="951">
      <c r="A951" s="89" t="inlineStr">
        <is>
          <t>REC-000946</t>
        </is>
      </c>
      <c r="B951" s="94" t="str">
        <f>IF(T951=1,INDEX('ITENS_MTR'!$S$6:$S$1005,S951)&amp;"","")</f>
        <v/>
      </c>
      <c r="C951" s="91" t="n"/>
      <c r="D951" s="94" t="str">
        <f>IF(N(U951)&gt;0,INDEX('MTRs'!$I$6:$I$505,U951)&amp;"","")</f>
        <v/>
      </c>
      <c r="E951" s="92" t="n"/>
      <c r="F951" s="98" t="n"/>
      <c r="G951" s="91" t="n"/>
      <c r="H951" s="93" t="str">
        <f>IF(Q951=0,"",IF(NOT(ISNUMBER(F951)),"",IF(ISNUMBER(W951),F951*W951,"UNIDADE A CONFERIR")))</f>
        <v/>
      </c>
      <c r="I951" s="91" t="n"/>
      <c r="J951" s="91" t="n"/>
      <c r="K951" s="92" t="n"/>
      <c r="L951" s="91" t="n"/>
      <c r="M951" s="91" t="n"/>
      <c r="N951" s="91" t="n"/>
      <c r="O951" s="91" t="n"/>
      <c r="P951" s="94" t="str">
        <f>IF(Q951=0,"",IF(C951="","Item de resíduo não informado",IF(T951=0,"Item inexistente (referência inválida)",IF(NOT(ISNUMBER(F951)),"Quantidade não informada",IF(F951&lt;=0,"Quantidade não positiva",IF(G951="","Unidade não informada",IF(NOT(ISNUMBER(H951)),"Unidade a conferir",IF(NOT(ISNUMBER(E951)),"Data de recebimento não informada",IF(AND(ISNUMBER(V951),N(V951)&gt;0,E951&lt;N(V951)),"Data anterior à emissão do MTR",IF(AND(J951="Sim",L951="",M951=""),"Conferido sem evidência identificada",IF(J951&lt;&gt;"Sim","Aguardando conferência",IF(INDEX('ITENS_MTR'!$AM$6:$AM$1005,S951)=1,"Conferido (ver diferença no item)","Conferido"))))))))))))</f>
        <v/>
      </c>
      <c r="Q951" s="96">
        <f>IF(COUNTA(C951,E951:G951,I951:O951)&gt;0,1,0)</f>
        <v>0</v>
      </c>
      <c r="R951" s="96" t="str">
        <f>IF(C951="","",TRIM(LEFT(C951,FIND(" |",C951&amp;" |")-1)))</f>
        <v/>
      </c>
      <c r="S951" s="96" t="str">
        <f>IF(R951="","",IFERROR(MATCH(R951,'ITENS_MTR'!$A$6:$A$1005,0),""))</f>
        <v/>
      </c>
      <c r="T951" s="96">
        <f>IF(S951="",0,IF(INDEX('ITENS_MTR'!$R$6:$R$1005,S951)=1,1,0))</f>
        <v>0</v>
      </c>
      <c r="U951" s="96" t="str">
        <f>IF(T951=1,INDEX('ITENS_MTR'!$T$6:$T$1005,S951),"")</f>
        <v/>
      </c>
      <c r="V951" s="97" t="str">
        <f>IF(N(U951)&gt;0,INDEX('MTRs'!$E$6:$E$505,U951),"")</f>
        <v/>
      </c>
      <c r="W951" s="96" t="str">
        <f>IF(G951="","",IFERROR(IF(ISNUMBER(INDEX(cfg_fac,MATCH(G951,cfg_units,0))),IF(INDEX(cfg_fac,MATCH(G951,cfg_units,0))&gt;0,INDEX(cfg_fac,MATCH(G951,cfg_units,0)),""),""),""))</f>
        <v/>
      </c>
      <c r="X951" s="96">
        <f>IF(AND(ISNUMBER(F951),ISNUMBER(H951)),IF(H951&gt;0,1,0),0)</f>
        <v>0</v>
      </c>
      <c r="Y951" s="96">
        <f>IF(Q951=0,0,IF(OR(T951=0,X951=0,NOT(ISNUMBER(E951)),AND(J951="Sim",L951="",M951=""),AND(ISNUMBER(E951),ISNUMBER(V951),N(V951)&gt;0,E951&lt;N(V951))),1,0))</f>
        <v>0</v>
      </c>
      <c r="Z951" s="96">
        <f>IF(AND(Q951=1,T951=1,X951=1,J951="Sim",OR(L951&lt;&gt;"",M951&lt;&gt;"")),1,0)</f>
        <v>0</v>
      </c>
      <c r="AA951" s="96">
        <f>IF(Q951=0,0,IF(AND(OR(r_ini="",AND(ISNUMBER(E951),E951&gt;=r_ini)),OR(r_fim="",AND(ISNUMBER(E951),E951&lt;=r_fim)),OR(r_un="",r_un="(Todas)",IF(N(U951)&gt;0,INDEX('MTRs'!$G$6:$G$505,U951),"")=r_un),OR(r_de="",r_de="(Todos)",D951=r_de)),1,0))</f>
        <v>0</v>
      </c>
      <c r="AB951" s="96" t="str">
        <f>IF(AA951=1,COUNTIF($AA$6:AA951,1),"")</f>
        <v/>
      </c>
    </row>
    <row r="952">
      <c r="A952" s="89" t="inlineStr">
        <is>
          <t>REC-000947</t>
        </is>
      </c>
      <c r="B952" s="94" t="str">
        <f>IF(T952=1,INDEX('ITENS_MTR'!$S$6:$S$1005,S952)&amp;"","")</f>
        <v/>
      </c>
      <c r="C952" s="91" t="n"/>
      <c r="D952" s="94" t="str">
        <f>IF(N(U952)&gt;0,INDEX('MTRs'!$I$6:$I$505,U952)&amp;"","")</f>
        <v/>
      </c>
      <c r="E952" s="92" t="n"/>
      <c r="F952" s="98" t="n"/>
      <c r="G952" s="91" t="n"/>
      <c r="H952" s="93" t="str">
        <f>IF(Q952=0,"",IF(NOT(ISNUMBER(F952)),"",IF(ISNUMBER(W952),F952*W952,"UNIDADE A CONFERIR")))</f>
        <v/>
      </c>
      <c r="I952" s="91" t="n"/>
      <c r="J952" s="91" t="n"/>
      <c r="K952" s="92" t="n"/>
      <c r="L952" s="91" t="n"/>
      <c r="M952" s="91" t="n"/>
      <c r="N952" s="91" t="n"/>
      <c r="O952" s="91" t="n"/>
      <c r="P952" s="94" t="str">
        <f>IF(Q952=0,"",IF(C952="","Item de resíduo não informado",IF(T952=0,"Item inexistente (referência inválida)",IF(NOT(ISNUMBER(F952)),"Quantidade não informada",IF(F952&lt;=0,"Quantidade não positiva",IF(G952="","Unidade não informada",IF(NOT(ISNUMBER(H952)),"Unidade a conferir",IF(NOT(ISNUMBER(E952)),"Data de recebimento não informada",IF(AND(ISNUMBER(V952),N(V952)&gt;0,E952&lt;N(V952)),"Data anterior à emissão do MTR",IF(AND(J952="Sim",L952="",M952=""),"Conferido sem evidência identificada",IF(J952&lt;&gt;"Sim","Aguardando conferência",IF(INDEX('ITENS_MTR'!$AM$6:$AM$1005,S952)=1,"Conferido (ver diferença no item)","Conferido"))))))))))))</f>
        <v/>
      </c>
      <c r="Q952" s="96">
        <f>IF(COUNTA(C952,E952:G952,I952:O952)&gt;0,1,0)</f>
        <v>0</v>
      </c>
      <c r="R952" s="96" t="str">
        <f>IF(C952="","",TRIM(LEFT(C952,FIND(" |",C952&amp;" |")-1)))</f>
        <v/>
      </c>
      <c r="S952" s="96" t="str">
        <f>IF(R952="","",IFERROR(MATCH(R952,'ITENS_MTR'!$A$6:$A$1005,0),""))</f>
        <v/>
      </c>
      <c r="T952" s="96">
        <f>IF(S952="",0,IF(INDEX('ITENS_MTR'!$R$6:$R$1005,S952)=1,1,0))</f>
        <v>0</v>
      </c>
      <c r="U952" s="96" t="str">
        <f>IF(T952=1,INDEX('ITENS_MTR'!$T$6:$T$1005,S952),"")</f>
        <v/>
      </c>
      <c r="V952" s="97" t="str">
        <f>IF(N(U952)&gt;0,INDEX('MTRs'!$E$6:$E$505,U952),"")</f>
        <v/>
      </c>
      <c r="W952" s="96" t="str">
        <f>IF(G952="","",IFERROR(IF(ISNUMBER(INDEX(cfg_fac,MATCH(G952,cfg_units,0))),IF(INDEX(cfg_fac,MATCH(G952,cfg_units,0))&gt;0,INDEX(cfg_fac,MATCH(G952,cfg_units,0)),""),""),""))</f>
        <v/>
      </c>
      <c r="X952" s="96">
        <f>IF(AND(ISNUMBER(F952),ISNUMBER(H952)),IF(H952&gt;0,1,0),0)</f>
        <v>0</v>
      </c>
      <c r="Y952" s="96">
        <f>IF(Q952=0,0,IF(OR(T952=0,X952=0,NOT(ISNUMBER(E952)),AND(J952="Sim",L952="",M952=""),AND(ISNUMBER(E952),ISNUMBER(V952),N(V952)&gt;0,E952&lt;N(V952))),1,0))</f>
        <v>0</v>
      </c>
      <c r="Z952" s="96">
        <f>IF(AND(Q952=1,T952=1,X952=1,J952="Sim",OR(L952&lt;&gt;"",M952&lt;&gt;"")),1,0)</f>
        <v>0</v>
      </c>
      <c r="AA952" s="96">
        <f>IF(Q952=0,0,IF(AND(OR(r_ini="",AND(ISNUMBER(E952),E952&gt;=r_ini)),OR(r_fim="",AND(ISNUMBER(E952),E952&lt;=r_fim)),OR(r_un="",r_un="(Todas)",IF(N(U952)&gt;0,INDEX('MTRs'!$G$6:$G$505,U952),"")=r_un),OR(r_de="",r_de="(Todos)",D952=r_de)),1,0))</f>
        <v>0</v>
      </c>
      <c r="AB952" s="96" t="str">
        <f>IF(AA952=1,COUNTIF($AA$6:AA952,1),"")</f>
        <v/>
      </c>
    </row>
    <row r="953">
      <c r="A953" s="89" t="inlineStr">
        <is>
          <t>REC-000948</t>
        </is>
      </c>
      <c r="B953" s="94" t="str">
        <f>IF(T953=1,INDEX('ITENS_MTR'!$S$6:$S$1005,S953)&amp;"","")</f>
        <v/>
      </c>
      <c r="C953" s="91" t="n"/>
      <c r="D953" s="94" t="str">
        <f>IF(N(U953)&gt;0,INDEX('MTRs'!$I$6:$I$505,U953)&amp;"","")</f>
        <v/>
      </c>
      <c r="E953" s="92" t="n"/>
      <c r="F953" s="98" t="n"/>
      <c r="G953" s="91" t="n"/>
      <c r="H953" s="93" t="str">
        <f>IF(Q953=0,"",IF(NOT(ISNUMBER(F953)),"",IF(ISNUMBER(W953),F953*W953,"UNIDADE A CONFERIR")))</f>
        <v/>
      </c>
      <c r="I953" s="91" t="n"/>
      <c r="J953" s="91" t="n"/>
      <c r="K953" s="92" t="n"/>
      <c r="L953" s="91" t="n"/>
      <c r="M953" s="91" t="n"/>
      <c r="N953" s="91" t="n"/>
      <c r="O953" s="91" t="n"/>
      <c r="P953" s="94" t="str">
        <f>IF(Q953=0,"",IF(C953="","Item de resíduo não informado",IF(T953=0,"Item inexistente (referência inválida)",IF(NOT(ISNUMBER(F953)),"Quantidade não informada",IF(F953&lt;=0,"Quantidade não positiva",IF(G953="","Unidade não informada",IF(NOT(ISNUMBER(H953)),"Unidade a conferir",IF(NOT(ISNUMBER(E953)),"Data de recebimento não informada",IF(AND(ISNUMBER(V953),N(V953)&gt;0,E953&lt;N(V953)),"Data anterior à emissão do MTR",IF(AND(J953="Sim",L953="",M953=""),"Conferido sem evidência identificada",IF(J953&lt;&gt;"Sim","Aguardando conferência",IF(INDEX('ITENS_MTR'!$AM$6:$AM$1005,S953)=1,"Conferido (ver diferença no item)","Conferido"))))))))))))</f>
        <v/>
      </c>
      <c r="Q953" s="96">
        <f>IF(COUNTA(C953,E953:G953,I953:O953)&gt;0,1,0)</f>
        <v>0</v>
      </c>
      <c r="R953" s="96" t="str">
        <f>IF(C953="","",TRIM(LEFT(C953,FIND(" |",C953&amp;" |")-1)))</f>
        <v/>
      </c>
      <c r="S953" s="96" t="str">
        <f>IF(R953="","",IFERROR(MATCH(R953,'ITENS_MTR'!$A$6:$A$1005,0),""))</f>
        <v/>
      </c>
      <c r="T953" s="96">
        <f>IF(S953="",0,IF(INDEX('ITENS_MTR'!$R$6:$R$1005,S953)=1,1,0))</f>
        <v>0</v>
      </c>
      <c r="U953" s="96" t="str">
        <f>IF(T953=1,INDEX('ITENS_MTR'!$T$6:$T$1005,S953),"")</f>
        <v/>
      </c>
      <c r="V953" s="97" t="str">
        <f>IF(N(U953)&gt;0,INDEX('MTRs'!$E$6:$E$505,U953),"")</f>
        <v/>
      </c>
      <c r="W953" s="96" t="str">
        <f>IF(G953="","",IFERROR(IF(ISNUMBER(INDEX(cfg_fac,MATCH(G953,cfg_units,0))),IF(INDEX(cfg_fac,MATCH(G953,cfg_units,0))&gt;0,INDEX(cfg_fac,MATCH(G953,cfg_units,0)),""),""),""))</f>
        <v/>
      </c>
      <c r="X953" s="96">
        <f>IF(AND(ISNUMBER(F953),ISNUMBER(H953)),IF(H953&gt;0,1,0),0)</f>
        <v>0</v>
      </c>
      <c r="Y953" s="96">
        <f>IF(Q953=0,0,IF(OR(T953=0,X953=0,NOT(ISNUMBER(E953)),AND(J953="Sim",L953="",M953=""),AND(ISNUMBER(E953),ISNUMBER(V953),N(V953)&gt;0,E953&lt;N(V953))),1,0))</f>
        <v>0</v>
      </c>
      <c r="Z953" s="96">
        <f>IF(AND(Q953=1,T953=1,X953=1,J953="Sim",OR(L953&lt;&gt;"",M953&lt;&gt;"")),1,0)</f>
        <v>0</v>
      </c>
      <c r="AA953" s="96">
        <f>IF(Q953=0,0,IF(AND(OR(r_ini="",AND(ISNUMBER(E953),E953&gt;=r_ini)),OR(r_fim="",AND(ISNUMBER(E953),E953&lt;=r_fim)),OR(r_un="",r_un="(Todas)",IF(N(U953)&gt;0,INDEX('MTRs'!$G$6:$G$505,U953),"")=r_un),OR(r_de="",r_de="(Todos)",D953=r_de)),1,0))</f>
        <v>0</v>
      </c>
      <c r="AB953" s="96" t="str">
        <f>IF(AA953=1,COUNTIF($AA$6:AA953,1),"")</f>
        <v/>
      </c>
    </row>
    <row r="954">
      <c r="A954" s="89" t="inlineStr">
        <is>
          <t>REC-000949</t>
        </is>
      </c>
      <c r="B954" s="94" t="str">
        <f>IF(T954=1,INDEX('ITENS_MTR'!$S$6:$S$1005,S954)&amp;"","")</f>
        <v/>
      </c>
      <c r="C954" s="91" t="n"/>
      <c r="D954" s="94" t="str">
        <f>IF(N(U954)&gt;0,INDEX('MTRs'!$I$6:$I$505,U954)&amp;"","")</f>
        <v/>
      </c>
      <c r="E954" s="92" t="n"/>
      <c r="F954" s="98" t="n"/>
      <c r="G954" s="91" t="n"/>
      <c r="H954" s="93" t="str">
        <f>IF(Q954=0,"",IF(NOT(ISNUMBER(F954)),"",IF(ISNUMBER(W954),F954*W954,"UNIDADE A CONFERIR")))</f>
        <v/>
      </c>
      <c r="I954" s="91" t="n"/>
      <c r="J954" s="91" t="n"/>
      <c r="K954" s="92" t="n"/>
      <c r="L954" s="91" t="n"/>
      <c r="M954" s="91" t="n"/>
      <c r="N954" s="91" t="n"/>
      <c r="O954" s="91" t="n"/>
      <c r="P954" s="94" t="str">
        <f>IF(Q954=0,"",IF(C954="","Item de resíduo não informado",IF(T954=0,"Item inexistente (referência inválida)",IF(NOT(ISNUMBER(F954)),"Quantidade não informada",IF(F954&lt;=0,"Quantidade não positiva",IF(G954="","Unidade não informada",IF(NOT(ISNUMBER(H954)),"Unidade a conferir",IF(NOT(ISNUMBER(E954)),"Data de recebimento não informada",IF(AND(ISNUMBER(V954),N(V954)&gt;0,E954&lt;N(V954)),"Data anterior à emissão do MTR",IF(AND(J954="Sim",L954="",M954=""),"Conferido sem evidência identificada",IF(J954&lt;&gt;"Sim","Aguardando conferência",IF(INDEX('ITENS_MTR'!$AM$6:$AM$1005,S954)=1,"Conferido (ver diferença no item)","Conferido"))))))))))))</f>
        <v/>
      </c>
      <c r="Q954" s="96">
        <f>IF(COUNTA(C954,E954:G954,I954:O954)&gt;0,1,0)</f>
        <v>0</v>
      </c>
      <c r="R954" s="96" t="str">
        <f>IF(C954="","",TRIM(LEFT(C954,FIND(" |",C954&amp;" |")-1)))</f>
        <v/>
      </c>
      <c r="S954" s="96" t="str">
        <f>IF(R954="","",IFERROR(MATCH(R954,'ITENS_MTR'!$A$6:$A$1005,0),""))</f>
        <v/>
      </c>
      <c r="T954" s="96">
        <f>IF(S954="",0,IF(INDEX('ITENS_MTR'!$R$6:$R$1005,S954)=1,1,0))</f>
        <v>0</v>
      </c>
      <c r="U954" s="96" t="str">
        <f>IF(T954=1,INDEX('ITENS_MTR'!$T$6:$T$1005,S954),"")</f>
        <v/>
      </c>
      <c r="V954" s="97" t="str">
        <f>IF(N(U954)&gt;0,INDEX('MTRs'!$E$6:$E$505,U954),"")</f>
        <v/>
      </c>
      <c r="W954" s="96" t="str">
        <f>IF(G954="","",IFERROR(IF(ISNUMBER(INDEX(cfg_fac,MATCH(G954,cfg_units,0))),IF(INDEX(cfg_fac,MATCH(G954,cfg_units,0))&gt;0,INDEX(cfg_fac,MATCH(G954,cfg_units,0)),""),""),""))</f>
        <v/>
      </c>
      <c r="X954" s="96">
        <f>IF(AND(ISNUMBER(F954),ISNUMBER(H954)),IF(H954&gt;0,1,0),0)</f>
        <v>0</v>
      </c>
      <c r="Y954" s="96">
        <f>IF(Q954=0,0,IF(OR(T954=0,X954=0,NOT(ISNUMBER(E954)),AND(J954="Sim",L954="",M954=""),AND(ISNUMBER(E954),ISNUMBER(V954),N(V954)&gt;0,E954&lt;N(V954))),1,0))</f>
        <v>0</v>
      </c>
      <c r="Z954" s="96">
        <f>IF(AND(Q954=1,T954=1,X954=1,J954="Sim",OR(L954&lt;&gt;"",M954&lt;&gt;"")),1,0)</f>
        <v>0</v>
      </c>
      <c r="AA954" s="96">
        <f>IF(Q954=0,0,IF(AND(OR(r_ini="",AND(ISNUMBER(E954),E954&gt;=r_ini)),OR(r_fim="",AND(ISNUMBER(E954),E954&lt;=r_fim)),OR(r_un="",r_un="(Todas)",IF(N(U954)&gt;0,INDEX('MTRs'!$G$6:$G$505,U954),"")=r_un),OR(r_de="",r_de="(Todos)",D954=r_de)),1,0))</f>
        <v>0</v>
      </c>
      <c r="AB954" s="96" t="str">
        <f>IF(AA954=1,COUNTIF($AA$6:AA954,1),"")</f>
        <v/>
      </c>
    </row>
    <row r="955">
      <c r="A955" s="89" t="inlineStr">
        <is>
          <t>REC-000950</t>
        </is>
      </c>
      <c r="B955" s="94" t="str">
        <f>IF(T955=1,INDEX('ITENS_MTR'!$S$6:$S$1005,S955)&amp;"","")</f>
        <v/>
      </c>
      <c r="C955" s="91" t="n"/>
      <c r="D955" s="94" t="str">
        <f>IF(N(U955)&gt;0,INDEX('MTRs'!$I$6:$I$505,U955)&amp;"","")</f>
        <v/>
      </c>
      <c r="E955" s="92" t="n"/>
      <c r="F955" s="98" t="n"/>
      <c r="G955" s="91" t="n"/>
      <c r="H955" s="93" t="str">
        <f>IF(Q955=0,"",IF(NOT(ISNUMBER(F955)),"",IF(ISNUMBER(W955),F955*W955,"UNIDADE A CONFERIR")))</f>
        <v/>
      </c>
      <c r="I955" s="91" t="n"/>
      <c r="J955" s="91" t="n"/>
      <c r="K955" s="92" t="n"/>
      <c r="L955" s="91" t="n"/>
      <c r="M955" s="91" t="n"/>
      <c r="N955" s="91" t="n"/>
      <c r="O955" s="91" t="n"/>
      <c r="P955" s="94" t="str">
        <f>IF(Q955=0,"",IF(C955="","Item de resíduo não informado",IF(T955=0,"Item inexistente (referência inválida)",IF(NOT(ISNUMBER(F955)),"Quantidade não informada",IF(F955&lt;=0,"Quantidade não positiva",IF(G955="","Unidade não informada",IF(NOT(ISNUMBER(H955)),"Unidade a conferir",IF(NOT(ISNUMBER(E955)),"Data de recebimento não informada",IF(AND(ISNUMBER(V955),N(V955)&gt;0,E955&lt;N(V955)),"Data anterior à emissão do MTR",IF(AND(J955="Sim",L955="",M955=""),"Conferido sem evidência identificada",IF(J955&lt;&gt;"Sim","Aguardando conferência",IF(INDEX('ITENS_MTR'!$AM$6:$AM$1005,S955)=1,"Conferido (ver diferença no item)","Conferido"))))))))))))</f>
        <v/>
      </c>
      <c r="Q955" s="96">
        <f>IF(COUNTA(C955,E955:G955,I955:O955)&gt;0,1,0)</f>
        <v>0</v>
      </c>
      <c r="R955" s="96" t="str">
        <f>IF(C955="","",TRIM(LEFT(C955,FIND(" |",C955&amp;" |")-1)))</f>
        <v/>
      </c>
      <c r="S955" s="96" t="str">
        <f>IF(R955="","",IFERROR(MATCH(R955,'ITENS_MTR'!$A$6:$A$1005,0),""))</f>
        <v/>
      </c>
      <c r="T955" s="96">
        <f>IF(S955="",0,IF(INDEX('ITENS_MTR'!$R$6:$R$1005,S955)=1,1,0))</f>
        <v>0</v>
      </c>
      <c r="U955" s="96" t="str">
        <f>IF(T955=1,INDEX('ITENS_MTR'!$T$6:$T$1005,S955),"")</f>
        <v/>
      </c>
      <c r="V955" s="97" t="str">
        <f>IF(N(U955)&gt;0,INDEX('MTRs'!$E$6:$E$505,U955),"")</f>
        <v/>
      </c>
      <c r="W955" s="96" t="str">
        <f>IF(G955="","",IFERROR(IF(ISNUMBER(INDEX(cfg_fac,MATCH(G955,cfg_units,0))),IF(INDEX(cfg_fac,MATCH(G955,cfg_units,0))&gt;0,INDEX(cfg_fac,MATCH(G955,cfg_units,0)),""),""),""))</f>
        <v/>
      </c>
      <c r="X955" s="96">
        <f>IF(AND(ISNUMBER(F955),ISNUMBER(H955)),IF(H955&gt;0,1,0),0)</f>
        <v>0</v>
      </c>
      <c r="Y955" s="96">
        <f>IF(Q955=0,0,IF(OR(T955=0,X955=0,NOT(ISNUMBER(E955)),AND(J955="Sim",L955="",M955=""),AND(ISNUMBER(E955),ISNUMBER(V955),N(V955)&gt;0,E955&lt;N(V955))),1,0))</f>
        <v>0</v>
      </c>
      <c r="Z955" s="96">
        <f>IF(AND(Q955=1,T955=1,X955=1,J955="Sim",OR(L955&lt;&gt;"",M955&lt;&gt;"")),1,0)</f>
        <v>0</v>
      </c>
      <c r="AA955" s="96">
        <f>IF(Q955=0,0,IF(AND(OR(r_ini="",AND(ISNUMBER(E955),E955&gt;=r_ini)),OR(r_fim="",AND(ISNUMBER(E955),E955&lt;=r_fim)),OR(r_un="",r_un="(Todas)",IF(N(U955)&gt;0,INDEX('MTRs'!$G$6:$G$505,U955),"")=r_un),OR(r_de="",r_de="(Todos)",D955=r_de)),1,0))</f>
        <v>0</v>
      </c>
      <c r="AB955" s="96" t="str">
        <f>IF(AA955=1,COUNTIF($AA$6:AA955,1),"")</f>
        <v/>
      </c>
    </row>
    <row r="956">
      <c r="A956" s="89" t="inlineStr">
        <is>
          <t>REC-000951</t>
        </is>
      </c>
      <c r="B956" s="94" t="str">
        <f>IF(T956=1,INDEX('ITENS_MTR'!$S$6:$S$1005,S956)&amp;"","")</f>
        <v/>
      </c>
      <c r="C956" s="91" t="n"/>
      <c r="D956" s="94" t="str">
        <f>IF(N(U956)&gt;0,INDEX('MTRs'!$I$6:$I$505,U956)&amp;"","")</f>
        <v/>
      </c>
      <c r="E956" s="92" t="n"/>
      <c r="F956" s="98" t="n"/>
      <c r="G956" s="91" t="n"/>
      <c r="H956" s="93" t="str">
        <f>IF(Q956=0,"",IF(NOT(ISNUMBER(F956)),"",IF(ISNUMBER(W956),F956*W956,"UNIDADE A CONFERIR")))</f>
        <v/>
      </c>
      <c r="I956" s="91" t="n"/>
      <c r="J956" s="91" t="n"/>
      <c r="K956" s="92" t="n"/>
      <c r="L956" s="91" t="n"/>
      <c r="M956" s="91" t="n"/>
      <c r="N956" s="91" t="n"/>
      <c r="O956" s="91" t="n"/>
      <c r="P956" s="94" t="str">
        <f>IF(Q956=0,"",IF(C956="","Item de resíduo não informado",IF(T956=0,"Item inexistente (referência inválida)",IF(NOT(ISNUMBER(F956)),"Quantidade não informada",IF(F956&lt;=0,"Quantidade não positiva",IF(G956="","Unidade não informada",IF(NOT(ISNUMBER(H956)),"Unidade a conferir",IF(NOT(ISNUMBER(E956)),"Data de recebimento não informada",IF(AND(ISNUMBER(V956),N(V956)&gt;0,E956&lt;N(V956)),"Data anterior à emissão do MTR",IF(AND(J956="Sim",L956="",M956=""),"Conferido sem evidência identificada",IF(J956&lt;&gt;"Sim","Aguardando conferência",IF(INDEX('ITENS_MTR'!$AM$6:$AM$1005,S956)=1,"Conferido (ver diferença no item)","Conferido"))))))))))))</f>
        <v/>
      </c>
      <c r="Q956" s="96">
        <f>IF(COUNTA(C956,E956:G956,I956:O956)&gt;0,1,0)</f>
        <v>0</v>
      </c>
      <c r="R956" s="96" t="str">
        <f>IF(C956="","",TRIM(LEFT(C956,FIND(" |",C956&amp;" |")-1)))</f>
        <v/>
      </c>
      <c r="S956" s="96" t="str">
        <f>IF(R956="","",IFERROR(MATCH(R956,'ITENS_MTR'!$A$6:$A$1005,0),""))</f>
        <v/>
      </c>
      <c r="T956" s="96">
        <f>IF(S956="",0,IF(INDEX('ITENS_MTR'!$R$6:$R$1005,S956)=1,1,0))</f>
        <v>0</v>
      </c>
      <c r="U956" s="96" t="str">
        <f>IF(T956=1,INDEX('ITENS_MTR'!$T$6:$T$1005,S956),"")</f>
        <v/>
      </c>
      <c r="V956" s="97" t="str">
        <f>IF(N(U956)&gt;0,INDEX('MTRs'!$E$6:$E$505,U956),"")</f>
        <v/>
      </c>
      <c r="W956" s="96" t="str">
        <f>IF(G956="","",IFERROR(IF(ISNUMBER(INDEX(cfg_fac,MATCH(G956,cfg_units,0))),IF(INDEX(cfg_fac,MATCH(G956,cfg_units,0))&gt;0,INDEX(cfg_fac,MATCH(G956,cfg_units,0)),""),""),""))</f>
        <v/>
      </c>
      <c r="X956" s="96">
        <f>IF(AND(ISNUMBER(F956),ISNUMBER(H956)),IF(H956&gt;0,1,0),0)</f>
        <v>0</v>
      </c>
      <c r="Y956" s="96">
        <f>IF(Q956=0,0,IF(OR(T956=0,X956=0,NOT(ISNUMBER(E956)),AND(J956="Sim",L956="",M956=""),AND(ISNUMBER(E956),ISNUMBER(V956),N(V956)&gt;0,E956&lt;N(V956))),1,0))</f>
        <v>0</v>
      </c>
      <c r="Z956" s="96">
        <f>IF(AND(Q956=1,T956=1,X956=1,J956="Sim",OR(L956&lt;&gt;"",M956&lt;&gt;"")),1,0)</f>
        <v>0</v>
      </c>
      <c r="AA956" s="96">
        <f>IF(Q956=0,0,IF(AND(OR(r_ini="",AND(ISNUMBER(E956),E956&gt;=r_ini)),OR(r_fim="",AND(ISNUMBER(E956),E956&lt;=r_fim)),OR(r_un="",r_un="(Todas)",IF(N(U956)&gt;0,INDEX('MTRs'!$G$6:$G$505,U956),"")=r_un),OR(r_de="",r_de="(Todos)",D956=r_de)),1,0))</f>
        <v>0</v>
      </c>
      <c r="AB956" s="96" t="str">
        <f>IF(AA956=1,COUNTIF($AA$6:AA956,1),"")</f>
        <v/>
      </c>
    </row>
    <row r="957">
      <c r="A957" s="89" t="inlineStr">
        <is>
          <t>REC-000952</t>
        </is>
      </c>
      <c r="B957" s="94" t="str">
        <f>IF(T957=1,INDEX('ITENS_MTR'!$S$6:$S$1005,S957)&amp;"","")</f>
        <v/>
      </c>
      <c r="C957" s="91" t="n"/>
      <c r="D957" s="94" t="str">
        <f>IF(N(U957)&gt;0,INDEX('MTRs'!$I$6:$I$505,U957)&amp;"","")</f>
        <v/>
      </c>
      <c r="E957" s="92" t="n"/>
      <c r="F957" s="98" t="n"/>
      <c r="G957" s="91" t="n"/>
      <c r="H957" s="93" t="str">
        <f>IF(Q957=0,"",IF(NOT(ISNUMBER(F957)),"",IF(ISNUMBER(W957),F957*W957,"UNIDADE A CONFERIR")))</f>
        <v/>
      </c>
      <c r="I957" s="91" t="n"/>
      <c r="J957" s="91" t="n"/>
      <c r="K957" s="92" t="n"/>
      <c r="L957" s="91" t="n"/>
      <c r="M957" s="91" t="n"/>
      <c r="N957" s="91" t="n"/>
      <c r="O957" s="91" t="n"/>
      <c r="P957" s="94" t="str">
        <f>IF(Q957=0,"",IF(C957="","Item de resíduo não informado",IF(T957=0,"Item inexistente (referência inválida)",IF(NOT(ISNUMBER(F957)),"Quantidade não informada",IF(F957&lt;=0,"Quantidade não positiva",IF(G957="","Unidade não informada",IF(NOT(ISNUMBER(H957)),"Unidade a conferir",IF(NOT(ISNUMBER(E957)),"Data de recebimento não informada",IF(AND(ISNUMBER(V957),N(V957)&gt;0,E957&lt;N(V957)),"Data anterior à emissão do MTR",IF(AND(J957="Sim",L957="",M957=""),"Conferido sem evidência identificada",IF(J957&lt;&gt;"Sim","Aguardando conferência",IF(INDEX('ITENS_MTR'!$AM$6:$AM$1005,S957)=1,"Conferido (ver diferença no item)","Conferido"))))))))))))</f>
        <v/>
      </c>
      <c r="Q957" s="96">
        <f>IF(COUNTA(C957,E957:G957,I957:O957)&gt;0,1,0)</f>
        <v>0</v>
      </c>
      <c r="R957" s="96" t="str">
        <f>IF(C957="","",TRIM(LEFT(C957,FIND(" |",C957&amp;" |")-1)))</f>
        <v/>
      </c>
      <c r="S957" s="96" t="str">
        <f>IF(R957="","",IFERROR(MATCH(R957,'ITENS_MTR'!$A$6:$A$1005,0),""))</f>
        <v/>
      </c>
      <c r="T957" s="96">
        <f>IF(S957="",0,IF(INDEX('ITENS_MTR'!$R$6:$R$1005,S957)=1,1,0))</f>
        <v>0</v>
      </c>
      <c r="U957" s="96" t="str">
        <f>IF(T957=1,INDEX('ITENS_MTR'!$T$6:$T$1005,S957),"")</f>
        <v/>
      </c>
      <c r="V957" s="97" t="str">
        <f>IF(N(U957)&gt;0,INDEX('MTRs'!$E$6:$E$505,U957),"")</f>
        <v/>
      </c>
      <c r="W957" s="96" t="str">
        <f>IF(G957="","",IFERROR(IF(ISNUMBER(INDEX(cfg_fac,MATCH(G957,cfg_units,0))),IF(INDEX(cfg_fac,MATCH(G957,cfg_units,0))&gt;0,INDEX(cfg_fac,MATCH(G957,cfg_units,0)),""),""),""))</f>
        <v/>
      </c>
      <c r="X957" s="96">
        <f>IF(AND(ISNUMBER(F957),ISNUMBER(H957)),IF(H957&gt;0,1,0),0)</f>
        <v>0</v>
      </c>
      <c r="Y957" s="96">
        <f>IF(Q957=0,0,IF(OR(T957=0,X957=0,NOT(ISNUMBER(E957)),AND(J957="Sim",L957="",M957=""),AND(ISNUMBER(E957),ISNUMBER(V957),N(V957)&gt;0,E957&lt;N(V957))),1,0))</f>
        <v>0</v>
      </c>
      <c r="Z957" s="96">
        <f>IF(AND(Q957=1,T957=1,X957=1,J957="Sim",OR(L957&lt;&gt;"",M957&lt;&gt;"")),1,0)</f>
        <v>0</v>
      </c>
      <c r="AA957" s="96">
        <f>IF(Q957=0,0,IF(AND(OR(r_ini="",AND(ISNUMBER(E957),E957&gt;=r_ini)),OR(r_fim="",AND(ISNUMBER(E957),E957&lt;=r_fim)),OR(r_un="",r_un="(Todas)",IF(N(U957)&gt;0,INDEX('MTRs'!$G$6:$G$505,U957),"")=r_un),OR(r_de="",r_de="(Todos)",D957=r_de)),1,0))</f>
        <v>0</v>
      </c>
      <c r="AB957" s="96" t="str">
        <f>IF(AA957=1,COUNTIF($AA$6:AA957,1),"")</f>
        <v/>
      </c>
    </row>
    <row r="958">
      <c r="A958" s="89" t="inlineStr">
        <is>
          <t>REC-000953</t>
        </is>
      </c>
      <c r="B958" s="94" t="str">
        <f>IF(T958=1,INDEX('ITENS_MTR'!$S$6:$S$1005,S958)&amp;"","")</f>
        <v/>
      </c>
      <c r="C958" s="91" t="n"/>
      <c r="D958" s="94" t="str">
        <f>IF(N(U958)&gt;0,INDEX('MTRs'!$I$6:$I$505,U958)&amp;"","")</f>
        <v/>
      </c>
      <c r="E958" s="92" t="n"/>
      <c r="F958" s="98" t="n"/>
      <c r="G958" s="91" t="n"/>
      <c r="H958" s="93" t="str">
        <f>IF(Q958=0,"",IF(NOT(ISNUMBER(F958)),"",IF(ISNUMBER(W958),F958*W958,"UNIDADE A CONFERIR")))</f>
        <v/>
      </c>
      <c r="I958" s="91" t="n"/>
      <c r="J958" s="91" t="n"/>
      <c r="K958" s="92" t="n"/>
      <c r="L958" s="91" t="n"/>
      <c r="M958" s="91" t="n"/>
      <c r="N958" s="91" t="n"/>
      <c r="O958" s="91" t="n"/>
      <c r="P958" s="94" t="str">
        <f>IF(Q958=0,"",IF(C958="","Item de resíduo não informado",IF(T958=0,"Item inexistente (referência inválida)",IF(NOT(ISNUMBER(F958)),"Quantidade não informada",IF(F958&lt;=0,"Quantidade não positiva",IF(G958="","Unidade não informada",IF(NOT(ISNUMBER(H958)),"Unidade a conferir",IF(NOT(ISNUMBER(E958)),"Data de recebimento não informada",IF(AND(ISNUMBER(V958),N(V958)&gt;0,E958&lt;N(V958)),"Data anterior à emissão do MTR",IF(AND(J958="Sim",L958="",M958=""),"Conferido sem evidência identificada",IF(J958&lt;&gt;"Sim","Aguardando conferência",IF(INDEX('ITENS_MTR'!$AM$6:$AM$1005,S958)=1,"Conferido (ver diferença no item)","Conferido"))))))))))))</f>
        <v/>
      </c>
      <c r="Q958" s="96">
        <f>IF(COUNTA(C958,E958:G958,I958:O958)&gt;0,1,0)</f>
        <v>0</v>
      </c>
      <c r="R958" s="96" t="str">
        <f>IF(C958="","",TRIM(LEFT(C958,FIND(" |",C958&amp;" |")-1)))</f>
        <v/>
      </c>
      <c r="S958" s="96" t="str">
        <f>IF(R958="","",IFERROR(MATCH(R958,'ITENS_MTR'!$A$6:$A$1005,0),""))</f>
        <v/>
      </c>
      <c r="T958" s="96">
        <f>IF(S958="",0,IF(INDEX('ITENS_MTR'!$R$6:$R$1005,S958)=1,1,0))</f>
        <v>0</v>
      </c>
      <c r="U958" s="96" t="str">
        <f>IF(T958=1,INDEX('ITENS_MTR'!$T$6:$T$1005,S958),"")</f>
        <v/>
      </c>
      <c r="V958" s="97" t="str">
        <f>IF(N(U958)&gt;0,INDEX('MTRs'!$E$6:$E$505,U958),"")</f>
        <v/>
      </c>
      <c r="W958" s="96" t="str">
        <f>IF(G958="","",IFERROR(IF(ISNUMBER(INDEX(cfg_fac,MATCH(G958,cfg_units,0))),IF(INDEX(cfg_fac,MATCH(G958,cfg_units,0))&gt;0,INDEX(cfg_fac,MATCH(G958,cfg_units,0)),""),""),""))</f>
        <v/>
      </c>
      <c r="X958" s="96">
        <f>IF(AND(ISNUMBER(F958),ISNUMBER(H958)),IF(H958&gt;0,1,0),0)</f>
        <v>0</v>
      </c>
      <c r="Y958" s="96">
        <f>IF(Q958=0,0,IF(OR(T958=0,X958=0,NOT(ISNUMBER(E958)),AND(J958="Sim",L958="",M958=""),AND(ISNUMBER(E958),ISNUMBER(V958),N(V958)&gt;0,E958&lt;N(V958))),1,0))</f>
        <v>0</v>
      </c>
      <c r="Z958" s="96">
        <f>IF(AND(Q958=1,T958=1,X958=1,J958="Sim",OR(L958&lt;&gt;"",M958&lt;&gt;"")),1,0)</f>
        <v>0</v>
      </c>
      <c r="AA958" s="96">
        <f>IF(Q958=0,0,IF(AND(OR(r_ini="",AND(ISNUMBER(E958),E958&gt;=r_ini)),OR(r_fim="",AND(ISNUMBER(E958),E958&lt;=r_fim)),OR(r_un="",r_un="(Todas)",IF(N(U958)&gt;0,INDEX('MTRs'!$G$6:$G$505,U958),"")=r_un),OR(r_de="",r_de="(Todos)",D958=r_de)),1,0))</f>
        <v>0</v>
      </c>
      <c r="AB958" s="96" t="str">
        <f>IF(AA958=1,COUNTIF($AA$6:AA958,1),"")</f>
        <v/>
      </c>
    </row>
    <row r="959">
      <c r="A959" s="89" t="inlineStr">
        <is>
          <t>REC-000954</t>
        </is>
      </c>
      <c r="B959" s="94" t="str">
        <f>IF(T959=1,INDEX('ITENS_MTR'!$S$6:$S$1005,S959)&amp;"","")</f>
        <v/>
      </c>
      <c r="C959" s="91" t="n"/>
      <c r="D959" s="94" t="str">
        <f>IF(N(U959)&gt;0,INDEX('MTRs'!$I$6:$I$505,U959)&amp;"","")</f>
        <v/>
      </c>
      <c r="E959" s="92" t="n"/>
      <c r="F959" s="98" t="n"/>
      <c r="G959" s="91" t="n"/>
      <c r="H959" s="93" t="str">
        <f>IF(Q959=0,"",IF(NOT(ISNUMBER(F959)),"",IF(ISNUMBER(W959),F959*W959,"UNIDADE A CONFERIR")))</f>
        <v/>
      </c>
      <c r="I959" s="91" t="n"/>
      <c r="J959" s="91" t="n"/>
      <c r="K959" s="92" t="n"/>
      <c r="L959" s="91" t="n"/>
      <c r="M959" s="91" t="n"/>
      <c r="N959" s="91" t="n"/>
      <c r="O959" s="91" t="n"/>
      <c r="P959" s="94" t="str">
        <f>IF(Q959=0,"",IF(C959="","Item de resíduo não informado",IF(T959=0,"Item inexistente (referência inválida)",IF(NOT(ISNUMBER(F959)),"Quantidade não informada",IF(F959&lt;=0,"Quantidade não positiva",IF(G959="","Unidade não informada",IF(NOT(ISNUMBER(H959)),"Unidade a conferir",IF(NOT(ISNUMBER(E959)),"Data de recebimento não informada",IF(AND(ISNUMBER(V959),N(V959)&gt;0,E959&lt;N(V959)),"Data anterior à emissão do MTR",IF(AND(J959="Sim",L959="",M959=""),"Conferido sem evidência identificada",IF(J959&lt;&gt;"Sim","Aguardando conferência",IF(INDEX('ITENS_MTR'!$AM$6:$AM$1005,S959)=1,"Conferido (ver diferença no item)","Conferido"))))))))))))</f>
        <v/>
      </c>
      <c r="Q959" s="96">
        <f>IF(COUNTA(C959,E959:G959,I959:O959)&gt;0,1,0)</f>
        <v>0</v>
      </c>
      <c r="R959" s="96" t="str">
        <f>IF(C959="","",TRIM(LEFT(C959,FIND(" |",C959&amp;" |")-1)))</f>
        <v/>
      </c>
      <c r="S959" s="96" t="str">
        <f>IF(R959="","",IFERROR(MATCH(R959,'ITENS_MTR'!$A$6:$A$1005,0),""))</f>
        <v/>
      </c>
      <c r="T959" s="96">
        <f>IF(S959="",0,IF(INDEX('ITENS_MTR'!$R$6:$R$1005,S959)=1,1,0))</f>
        <v>0</v>
      </c>
      <c r="U959" s="96" t="str">
        <f>IF(T959=1,INDEX('ITENS_MTR'!$T$6:$T$1005,S959),"")</f>
        <v/>
      </c>
      <c r="V959" s="97" t="str">
        <f>IF(N(U959)&gt;0,INDEX('MTRs'!$E$6:$E$505,U959),"")</f>
        <v/>
      </c>
      <c r="W959" s="96" t="str">
        <f>IF(G959="","",IFERROR(IF(ISNUMBER(INDEX(cfg_fac,MATCH(G959,cfg_units,0))),IF(INDEX(cfg_fac,MATCH(G959,cfg_units,0))&gt;0,INDEX(cfg_fac,MATCH(G959,cfg_units,0)),""),""),""))</f>
        <v/>
      </c>
      <c r="X959" s="96">
        <f>IF(AND(ISNUMBER(F959),ISNUMBER(H959)),IF(H959&gt;0,1,0),0)</f>
        <v>0</v>
      </c>
      <c r="Y959" s="96">
        <f>IF(Q959=0,0,IF(OR(T959=0,X959=0,NOT(ISNUMBER(E959)),AND(J959="Sim",L959="",M959=""),AND(ISNUMBER(E959),ISNUMBER(V959),N(V959)&gt;0,E959&lt;N(V959))),1,0))</f>
        <v>0</v>
      </c>
      <c r="Z959" s="96">
        <f>IF(AND(Q959=1,T959=1,X959=1,J959="Sim",OR(L959&lt;&gt;"",M959&lt;&gt;"")),1,0)</f>
        <v>0</v>
      </c>
      <c r="AA959" s="96">
        <f>IF(Q959=0,0,IF(AND(OR(r_ini="",AND(ISNUMBER(E959),E959&gt;=r_ini)),OR(r_fim="",AND(ISNUMBER(E959),E959&lt;=r_fim)),OR(r_un="",r_un="(Todas)",IF(N(U959)&gt;0,INDEX('MTRs'!$G$6:$G$505,U959),"")=r_un),OR(r_de="",r_de="(Todos)",D959=r_de)),1,0))</f>
        <v>0</v>
      </c>
      <c r="AB959" s="96" t="str">
        <f>IF(AA959=1,COUNTIF($AA$6:AA959,1),"")</f>
        <v/>
      </c>
    </row>
    <row r="960">
      <c r="A960" s="89" t="inlineStr">
        <is>
          <t>REC-000955</t>
        </is>
      </c>
      <c r="B960" s="94" t="str">
        <f>IF(T960=1,INDEX('ITENS_MTR'!$S$6:$S$1005,S960)&amp;"","")</f>
        <v/>
      </c>
      <c r="C960" s="91" t="n"/>
      <c r="D960" s="94" t="str">
        <f>IF(N(U960)&gt;0,INDEX('MTRs'!$I$6:$I$505,U960)&amp;"","")</f>
        <v/>
      </c>
      <c r="E960" s="92" t="n"/>
      <c r="F960" s="98" t="n"/>
      <c r="G960" s="91" t="n"/>
      <c r="H960" s="93" t="str">
        <f>IF(Q960=0,"",IF(NOT(ISNUMBER(F960)),"",IF(ISNUMBER(W960),F960*W960,"UNIDADE A CONFERIR")))</f>
        <v/>
      </c>
      <c r="I960" s="91" t="n"/>
      <c r="J960" s="91" t="n"/>
      <c r="K960" s="92" t="n"/>
      <c r="L960" s="91" t="n"/>
      <c r="M960" s="91" t="n"/>
      <c r="N960" s="91" t="n"/>
      <c r="O960" s="91" t="n"/>
      <c r="P960" s="94" t="str">
        <f>IF(Q960=0,"",IF(C960="","Item de resíduo não informado",IF(T960=0,"Item inexistente (referência inválida)",IF(NOT(ISNUMBER(F960)),"Quantidade não informada",IF(F960&lt;=0,"Quantidade não positiva",IF(G960="","Unidade não informada",IF(NOT(ISNUMBER(H960)),"Unidade a conferir",IF(NOT(ISNUMBER(E960)),"Data de recebimento não informada",IF(AND(ISNUMBER(V960),N(V960)&gt;0,E960&lt;N(V960)),"Data anterior à emissão do MTR",IF(AND(J960="Sim",L960="",M960=""),"Conferido sem evidência identificada",IF(J960&lt;&gt;"Sim","Aguardando conferência",IF(INDEX('ITENS_MTR'!$AM$6:$AM$1005,S960)=1,"Conferido (ver diferença no item)","Conferido"))))))))))))</f>
        <v/>
      </c>
      <c r="Q960" s="96">
        <f>IF(COUNTA(C960,E960:G960,I960:O960)&gt;0,1,0)</f>
        <v>0</v>
      </c>
      <c r="R960" s="96" t="str">
        <f>IF(C960="","",TRIM(LEFT(C960,FIND(" |",C960&amp;" |")-1)))</f>
        <v/>
      </c>
      <c r="S960" s="96" t="str">
        <f>IF(R960="","",IFERROR(MATCH(R960,'ITENS_MTR'!$A$6:$A$1005,0),""))</f>
        <v/>
      </c>
      <c r="T960" s="96">
        <f>IF(S960="",0,IF(INDEX('ITENS_MTR'!$R$6:$R$1005,S960)=1,1,0))</f>
        <v>0</v>
      </c>
      <c r="U960" s="96" t="str">
        <f>IF(T960=1,INDEX('ITENS_MTR'!$T$6:$T$1005,S960),"")</f>
        <v/>
      </c>
      <c r="V960" s="97" t="str">
        <f>IF(N(U960)&gt;0,INDEX('MTRs'!$E$6:$E$505,U960),"")</f>
        <v/>
      </c>
      <c r="W960" s="96" t="str">
        <f>IF(G960="","",IFERROR(IF(ISNUMBER(INDEX(cfg_fac,MATCH(G960,cfg_units,0))),IF(INDEX(cfg_fac,MATCH(G960,cfg_units,0))&gt;0,INDEX(cfg_fac,MATCH(G960,cfg_units,0)),""),""),""))</f>
        <v/>
      </c>
      <c r="X960" s="96">
        <f>IF(AND(ISNUMBER(F960),ISNUMBER(H960)),IF(H960&gt;0,1,0),0)</f>
        <v>0</v>
      </c>
      <c r="Y960" s="96">
        <f>IF(Q960=0,0,IF(OR(T960=0,X960=0,NOT(ISNUMBER(E960)),AND(J960="Sim",L960="",M960=""),AND(ISNUMBER(E960),ISNUMBER(V960),N(V960)&gt;0,E960&lt;N(V960))),1,0))</f>
        <v>0</v>
      </c>
      <c r="Z960" s="96">
        <f>IF(AND(Q960=1,T960=1,X960=1,J960="Sim",OR(L960&lt;&gt;"",M960&lt;&gt;"")),1,0)</f>
        <v>0</v>
      </c>
      <c r="AA960" s="96">
        <f>IF(Q960=0,0,IF(AND(OR(r_ini="",AND(ISNUMBER(E960),E960&gt;=r_ini)),OR(r_fim="",AND(ISNUMBER(E960),E960&lt;=r_fim)),OR(r_un="",r_un="(Todas)",IF(N(U960)&gt;0,INDEX('MTRs'!$G$6:$G$505,U960),"")=r_un),OR(r_de="",r_de="(Todos)",D960=r_de)),1,0))</f>
        <v>0</v>
      </c>
      <c r="AB960" s="96" t="str">
        <f>IF(AA960=1,COUNTIF($AA$6:AA960,1),"")</f>
        <v/>
      </c>
    </row>
    <row r="961">
      <c r="A961" s="89" t="inlineStr">
        <is>
          <t>REC-000956</t>
        </is>
      </c>
      <c r="B961" s="94" t="str">
        <f>IF(T961=1,INDEX('ITENS_MTR'!$S$6:$S$1005,S961)&amp;"","")</f>
        <v/>
      </c>
      <c r="C961" s="91" t="n"/>
      <c r="D961" s="94" t="str">
        <f>IF(N(U961)&gt;0,INDEX('MTRs'!$I$6:$I$505,U961)&amp;"","")</f>
        <v/>
      </c>
      <c r="E961" s="92" t="n"/>
      <c r="F961" s="98" t="n"/>
      <c r="G961" s="91" t="n"/>
      <c r="H961" s="93" t="str">
        <f>IF(Q961=0,"",IF(NOT(ISNUMBER(F961)),"",IF(ISNUMBER(W961),F961*W961,"UNIDADE A CONFERIR")))</f>
        <v/>
      </c>
      <c r="I961" s="91" t="n"/>
      <c r="J961" s="91" t="n"/>
      <c r="K961" s="92" t="n"/>
      <c r="L961" s="91" t="n"/>
      <c r="M961" s="91" t="n"/>
      <c r="N961" s="91" t="n"/>
      <c r="O961" s="91" t="n"/>
      <c r="P961" s="94" t="str">
        <f>IF(Q961=0,"",IF(C961="","Item de resíduo não informado",IF(T961=0,"Item inexistente (referência inválida)",IF(NOT(ISNUMBER(F961)),"Quantidade não informada",IF(F961&lt;=0,"Quantidade não positiva",IF(G961="","Unidade não informada",IF(NOT(ISNUMBER(H961)),"Unidade a conferir",IF(NOT(ISNUMBER(E961)),"Data de recebimento não informada",IF(AND(ISNUMBER(V961),N(V961)&gt;0,E961&lt;N(V961)),"Data anterior à emissão do MTR",IF(AND(J961="Sim",L961="",M961=""),"Conferido sem evidência identificada",IF(J961&lt;&gt;"Sim","Aguardando conferência",IF(INDEX('ITENS_MTR'!$AM$6:$AM$1005,S961)=1,"Conferido (ver diferença no item)","Conferido"))))))))))))</f>
        <v/>
      </c>
      <c r="Q961" s="96">
        <f>IF(COUNTA(C961,E961:G961,I961:O961)&gt;0,1,0)</f>
        <v>0</v>
      </c>
      <c r="R961" s="96" t="str">
        <f>IF(C961="","",TRIM(LEFT(C961,FIND(" |",C961&amp;" |")-1)))</f>
        <v/>
      </c>
      <c r="S961" s="96" t="str">
        <f>IF(R961="","",IFERROR(MATCH(R961,'ITENS_MTR'!$A$6:$A$1005,0),""))</f>
        <v/>
      </c>
      <c r="T961" s="96">
        <f>IF(S961="",0,IF(INDEX('ITENS_MTR'!$R$6:$R$1005,S961)=1,1,0))</f>
        <v>0</v>
      </c>
      <c r="U961" s="96" t="str">
        <f>IF(T961=1,INDEX('ITENS_MTR'!$T$6:$T$1005,S961),"")</f>
        <v/>
      </c>
      <c r="V961" s="97" t="str">
        <f>IF(N(U961)&gt;0,INDEX('MTRs'!$E$6:$E$505,U961),"")</f>
        <v/>
      </c>
      <c r="W961" s="96" t="str">
        <f>IF(G961="","",IFERROR(IF(ISNUMBER(INDEX(cfg_fac,MATCH(G961,cfg_units,0))),IF(INDEX(cfg_fac,MATCH(G961,cfg_units,0))&gt;0,INDEX(cfg_fac,MATCH(G961,cfg_units,0)),""),""),""))</f>
        <v/>
      </c>
      <c r="X961" s="96">
        <f>IF(AND(ISNUMBER(F961),ISNUMBER(H961)),IF(H961&gt;0,1,0),0)</f>
        <v>0</v>
      </c>
      <c r="Y961" s="96">
        <f>IF(Q961=0,0,IF(OR(T961=0,X961=0,NOT(ISNUMBER(E961)),AND(J961="Sim",L961="",M961=""),AND(ISNUMBER(E961),ISNUMBER(V961),N(V961)&gt;0,E961&lt;N(V961))),1,0))</f>
        <v>0</v>
      </c>
      <c r="Z961" s="96">
        <f>IF(AND(Q961=1,T961=1,X961=1,J961="Sim",OR(L961&lt;&gt;"",M961&lt;&gt;"")),1,0)</f>
        <v>0</v>
      </c>
      <c r="AA961" s="96">
        <f>IF(Q961=0,0,IF(AND(OR(r_ini="",AND(ISNUMBER(E961),E961&gt;=r_ini)),OR(r_fim="",AND(ISNUMBER(E961),E961&lt;=r_fim)),OR(r_un="",r_un="(Todas)",IF(N(U961)&gt;0,INDEX('MTRs'!$G$6:$G$505,U961),"")=r_un),OR(r_de="",r_de="(Todos)",D961=r_de)),1,0))</f>
        <v>0</v>
      </c>
      <c r="AB961" s="96" t="str">
        <f>IF(AA961=1,COUNTIF($AA$6:AA961,1),"")</f>
        <v/>
      </c>
    </row>
    <row r="962">
      <c r="A962" s="89" t="inlineStr">
        <is>
          <t>REC-000957</t>
        </is>
      </c>
      <c r="B962" s="94" t="str">
        <f>IF(T962=1,INDEX('ITENS_MTR'!$S$6:$S$1005,S962)&amp;"","")</f>
        <v/>
      </c>
      <c r="C962" s="91" t="n"/>
      <c r="D962" s="94" t="str">
        <f>IF(N(U962)&gt;0,INDEX('MTRs'!$I$6:$I$505,U962)&amp;"","")</f>
        <v/>
      </c>
      <c r="E962" s="92" t="n"/>
      <c r="F962" s="98" t="n"/>
      <c r="G962" s="91" t="n"/>
      <c r="H962" s="93" t="str">
        <f>IF(Q962=0,"",IF(NOT(ISNUMBER(F962)),"",IF(ISNUMBER(W962),F962*W962,"UNIDADE A CONFERIR")))</f>
        <v/>
      </c>
      <c r="I962" s="91" t="n"/>
      <c r="J962" s="91" t="n"/>
      <c r="K962" s="92" t="n"/>
      <c r="L962" s="91" t="n"/>
      <c r="M962" s="91" t="n"/>
      <c r="N962" s="91" t="n"/>
      <c r="O962" s="91" t="n"/>
      <c r="P962" s="94" t="str">
        <f>IF(Q962=0,"",IF(C962="","Item de resíduo não informado",IF(T962=0,"Item inexistente (referência inválida)",IF(NOT(ISNUMBER(F962)),"Quantidade não informada",IF(F962&lt;=0,"Quantidade não positiva",IF(G962="","Unidade não informada",IF(NOT(ISNUMBER(H962)),"Unidade a conferir",IF(NOT(ISNUMBER(E962)),"Data de recebimento não informada",IF(AND(ISNUMBER(V962),N(V962)&gt;0,E962&lt;N(V962)),"Data anterior à emissão do MTR",IF(AND(J962="Sim",L962="",M962=""),"Conferido sem evidência identificada",IF(J962&lt;&gt;"Sim","Aguardando conferência",IF(INDEX('ITENS_MTR'!$AM$6:$AM$1005,S962)=1,"Conferido (ver diferença no item)","Conferido"))))))))))))</f>
        <v/>
      </c>
      <c r="Q962" s="96">
        <f>IF(COUNTA(C962,E962:G962,I962:O962)&gt;0,1,0)</f>
        <v>0</v>
      </c>
      <c r="R962" s="96" t="str">
        <f>IF(C962="","",TRIM(LEFT(C962,FIND(" |",C962&amp;" |")-1)))</f>
        <v/>
      </c>
      <c r="S962" s="96" t="str">
        <f>IF(R962="","",IFERROR(MATCH(R962,'ITENS_MTR'!$A$6:$A$1005,0),""))</f>
        <v/>
      </c>
      <c r="T962" s="96">
        <f>IF(S962="",0,IF(INDEX('ITENS_MTR'!$R$6:$R$1005,S962)=1,1,0))</f>
        <v>0</v>
      </c>
      <c r="U962" s="96" t="str">
        <f>IF(T962=1,INDEX('ITENS_MTR'!$T$6:$T$1005,S962),"")</f>
        <v/>
      </c>
      <c r="V962" s="97" t="str">
        <f>IF(N(U962)&gt;0,INDEX('MTRs'!$E$6:$E$505,U962),"")</f>
        <v/>
      </c>
      <c r="W962" s="96" t="str">
        <f>IF(G962="","",IFERROR(IF(ISNUMBER(INDEX(cfg_fac,MATCH(G962,cfg_units,0))),IF(INDEX(cfg_fac,MATCH(G962,cfg_units,0))&gt;0,INDEX(cfg_fac,MATCH(G962,cfg_units,0)),""),""),""))</f>
        <v/>
      </c>
      <c r="X962" s="96">
        <f>IF(AND(ISNUMBER(F962),ISNUMBER(H962)),IF(H962&gt;0,1,0),0)</f>
        <v>0</v>
      </c>
      <c r="Y962" s="96">
        <f>IF(Q962=0,0,IF(OR(T962=0,X962=0,NOT(ISNUMBER(E962)),AND(J962="Sim",L962="",M962=""),AND(ISNUMBER(E962),ISNUMBER(V962),N(V962)&gt;0,E962&lt;N(V962))),1,0))</f>
        <v>0</v>
      </c>
      <c r="Z962" s="96">
        <f>IF(AND(Q962=1,T962=1,X962=1,J962="Sim",OR(L962&lt;&gt;"",M962&lt;&gt;"")),1,0)</f>
        <v>0</v>
      </c>
      <c r="AA962" s="96">
        <f>IF(Q962=0,0,IF(AND(OR(r_ini="",AND(ISNUMBER(E962),E962&gt;=r_ini)),OR(r_fim="",AND(ISNUMBER(E962),E962&lt;=r_fim)),OR(r_un="",r_un="(Todas)",IF(N(U962)&gt;0,INDEX('MTRs'!$G$6:$G$505,U962),"")=r_un),OR(r_de="",r_de="(Todos)",D962=r_de)),1,0))</f>
        <v>0</v>
      </c>
      <c r="AB962" s="96" t="str">
        <f>IF(AA962=1,COUNTIF($AA$6:AA962,1),"")</f>
        <v/>
      </c>
    </row>
    <row r="963">
      <c r="A963" s="89" t="inlineStr">
        <is>
          <t>REC-000958</t>
        </is>
      </c>
      <c r="B963" s="94" t="str">
        <f>IF(T963=1,INDEX('ITENS_MTR'!$S$6:$S$1005,S963)&amp;"","")</f>
        <v/>
      </c>
      <c r="C963" s="91" t="n"/>
      <c r="D963" s="94" t="str">
        <f>IF(N(U963)&gt;0,INDEX('MTRs'!$I$6:$I$505,U963)&amp;"","")</f>
        <v/>
      </c>
      <c r="E963" s="92" t="n"/>
      <c r="F963" s="98" t="n"/>
      <c r="G963" s="91" t="n"/>
      <c r="H963" s="93" t="str">
        <f>IF(Q963=0,"",IF(NOT(ISNUMBER(F963)),"",IF(ISNUMBER(W963),F963*W963,"UNIDADE A CONFERIR")))</f>
        <v/>
      </c>
      <c r="I963" s="91" t="n"/>
      <c r="J963" s="91" t="n"/>
      <c r="K963" s="92" t="n"/>
      <c r="L963" s="91" t="n"/>
      <c r="M963" s="91" t="n"/>
      <c r="N963" s="91" t="n"/>
      <c r="O963" s="91" t="n"/>
      <c r="P963" s="94" t="str">
        <f>IF(Q963=0,"",IF(C963="","Item de resíduo não informado",IF(T963=0,"Item inexistente (referência inválida)",IF(NOT(ISNUMBER(F963)),"Quantidade não informada",IF(F963&lt;=0,"Quantidade não positiva",IF(G963="","Unidade não informada",IF(NOT(ISNUMBER(H963)),"Unidade a conferir",IF(NOT(ISNUMBER(E963)),"Data de recebimento não informada",IF(AND(ISNUMBER(V963),N(V963)&gt;0,E963&lt;N(V963)),"Data anterior à emissão do MTR",IF(AND(J963="Sim",L963="",M963=""),"Conferido sem evidência identificada",IF(J963&lt;&gt;"Sim","Aguardando conferência",IF(INDEX('ITENS_MTR'!$AM$6:$AM$1005,S963)=1,"Conferido (ver diferença no item)","Conferido"))))))))))))</f>
        <v/>
      </c>
      <c r="Q963" s="96">
        <f>IF(COUNTA(C963,E963:G963,I963:O963)&gt;0,1,0)</f>
        <v>0</v>
      </c>
      <c r="R963" s="96" t="str">
        <f>IF(C963="","",TRIM(LEFT(C963,FIND(" |",C963&amp;" |")-1)))</f>
        <v/>
      </c>
      <c r="S963" s="96" t="str">
        <f>IF(R963="","",IFERROR(MATCH(R963,'ITENS_MTR'!$A$6:$A$1005,0),""))</f>
        <v/>
      </c>
      <c r="T963" s="96">
        <f>IF(S963="",0,IF(INDEX('ITENS_MTR'!$R$6:$R$1005,S963)=1,1,0))</f>
        <v>0</v>
      </c>
      <c r="U963" s="96" t="str">
        <f>IF(T963=1,INDEX('ITENS_MTR'!$T$6:$T$1005,S963),"")</f>
        <v/>
      </c>
      <c r="V963" s="97" t="str">
        <f>IF(N(U963)&gt;0,INDEX('MTRs'!$E$6:$E$505,U963),"")</f>
        <v/>
      </c>
      <c r="W963" s="96" t="str">
        <f>IF(G963="","",IFERROR(IF(ISNUMBER(INDEX(cfg_fac,MATCH(G963,cfg_units,0))),IF(INDEX(cfg_fac,MATCH(G963,cfg_units,0))&gt;0,INDEX(cfg_fac,MATCH(G963,cfg_units,0)),""),""),""))</f>
        <v/>
      </c>
      <c r="X963" s="96">
        <f>IF(AND(ISNUMBER(F963),ISNUMBER(H963)),IF(H963&gt;0,1,0),0)</f>
        <v>0</v>
      </c>
      <c r="Y963" s="96">
        <f>IF(Q963=0,0,IF(OR(T963=0,X963=0,NOT(ISNUMBER(E963)),AND(J963="Sim",L963="",M963=""),AND(ISNUMBER(E963),ISNUMBER(V963),N(V963)&gt;0,E963&lt;N(V963))),1,0))</f>
        <v>0</v>
      </c>
      <c r="Z963" s="96">
        <f>IF(AND(Q963=1,T963=1,X963=1,J963="Sim",OR(L963&lt;&gt;"",M963&lt;&gt;"")),1,0)</f>
        <v>0</v>
      </c>
      <c r="AA963" s="96">
        <f>IF(Q963=0,0,IF(AND(OR(r_ini="",AND(ISNUMBER(E963),E963&gt;=r_ini)),OR(r_fim="",AND(ISNUMBER(E963),E963&lt;=r_fim)),OR(r_un="",r_un="(Todas)",IF(N(U963)&gt;0,INDEX('MTRs'!$G$6:$G$505,U963),"")=r_un),OR(r_de="",r_de="(Todos)",D963=r_de)),1,0))</f>
        <v>0</v>
      </c>
      <c r="AB963" s="96" t="str">
        <f>IF(AA963=1,COUNTIF($AA$6:AA963,1),"")</f>
        <v/>
      </c>
    </row>
    <row r="964">
      <c r="A964" s="89" t="inlineStr">
        <is>
          <t>REC-000959</t>
        </is>
      </c>
      <c r="B964" s="94" t="str">
        <f>IF(T964=1,INDEX('ITENS_MTR'!$S$6:$S$1005,S964)&amp;"","")</f>
        <v/>
      </c>
      <c r="C964" s="91" t="n"/>
      <c r="D964" s="94" t="str">
        <f>IF(N(U964)&gt;0,INDEX('MTRs'!$I$6:$I$505,U964)&amp;"","")</f>
        <v/>
      </c>
      <c r="E964" s="92" t="n"/>
      <c r="F964" s="98" t="n"/>
      <c r="G964" s="91" t="n"/>
      <c r="H964" s="93" t="str">
        <f>IF(Q964=0,"",IF(NOT(ISNUMBER(F964)),"",IF(ISNUMBER(W964),F964*W964,"UNIDADE A CONFERIR")))</f>
        <v/>
      </c>
      <c r="I964" s="91" t="n"/>
      <c r="J964" s="91" t="n"/>
      <c r="K964" s="92" t="n"/>
      <c r="L964" s="91" t="n"/>
      <c r="M964" s="91" t="n"/>
      <c r="N964" s="91" t="n"/>
      <c r="O964" s="91" t="n"/>
      <c r="P964" s="94" t="str">
        <f>IF(Q964=0,"",IF(C964="","Item de resíduo não informado",IF(T964=0,"Item inexistente (referência inválida)",IF(NOT(ISNUMBER(F964)),"Quantidade não informada",IF(F964&lt;=0,"Quantidade não positiva",IF(G964="","Unidade não informada",IF(NOT(ISNUMBER(H964)),"Unidade a conferir",IF(NOT(ISNUMBER(E964)),"Data de recebimento não informada",IF(AND(ISNUMBER(V964),N(V964)&gt;0,E964&lt;N(V964)),"Data anterior à emissão do MTR",IF(AND(J964="Sim",L964="",M964=""),"Conferido sem evidência identificada",IF(J964&lt;&gt;"Sim","Aguardando conferência",IF(INDEX('ITENS_MTR'!$AM$6:$AM$1005,S964)=1,"Conferido (ver diferença no item)","Conferido"))))))))))))</f>
        <v/>
      </c>
      <c r="Q964" s="96">
        <f>IF(COUNTA(C964,E964:G964,I964:O964)&gt;0,1,0)</f>
        <v>0</v>
      </c>
      <c r="R964" s="96" t="str">
        <f>IF(C964="","",TRIM(LEFT(C964,FIND(" |",C964&amp;" |")-1)))</f>
        <v/>
      </c>
      <c r="S964" s="96" t="str">
        <f>IF(R964="","",IFERROR(MATCH(R964,'ITENS_MTR'!$A$6:$A$1005,0),""))</f>
        <v/>
      </c>
      <c r="T964" s="96">
        <f>IF(S964="",0,IF(INDEX('ITENS_MTR'!$R$6:$R$1005,S964)=1,1,0))</f>
        <v>0</v>
      </c>
      <c r="U964" s="96" t="str">
        <f>IF(T964=1,INDEX('ITENS_MTR'!$T$6:$T$1005,S964),"")</f>
        <v/>
      </c>
      <c r="V964" s="97" t="str">
        <f>IF(N(U964)&gt;0,INDEX('MTRs'!$E$6:$E$505,U964),"")</f>
        <v/>
      </c>
      <c r="W964" s="96" t="str">
        <f>IF(G964="","",IFERROR(IF(ISNUMBER(INDEX(cfg_fac,MATCH(G964,cfg_units,0))),IF(INDEX(cfg_fac,MATCH(G964,cfg_units,0))&gt;0,INDEX(cfg_fac,MATCH(G964,cfg_units,0)),""),""),""))</f>
        <v/>
      </c>
      <c r="X964" s="96">
        <f>IF(AND(ISNUMBER(F964),ISNUMBER(H964)),IF(H964&gt;0,1,0),0)</f>
        <v>0</v>
      </c>
      <c r="Y964" s="96">
        <f>IF(Q964=0,0,IF(OR(T964=0,X964=0,NOT(ISNUMBER(E964)),AND(J964="Sim",L964="",M964=""),AND(ISNUMBER(E964),ISNUMBER(V964),N(V964)&gt;0,E964&lt;N(V964))),1,0))</f>
        <v>0</v>
      </c>
      <c r="Z964" s="96">
        <f>IF(AND(Q964=1,T964=1,X964=1,J964="Sim",OR(L964&lt;&gt;"",M964&lt;&gt;"")),1,0)</f>
        <v>0</v>
      </c>
      <c r="AA964" s="96">
        <f>IF(Q964=0,0,IF(AND(OR(r_ini="",AND(ISNUMBER(E964),E964&gt;=r_ini)),OR(r_fim="",AND(ISNUMBER(E964),E964&lt;=r_fim)),OR(r_un="",r_un="(Todas)",IF(N(U964)&gt;0,INDEX('MTRs'!$G$6:$G$505,U964),"")=r_un),OR(r_de="",r_de="(Todos)",D964=r_de)),1,0))</f>
        <v>0</v>
      </c>
      <c r="AB964" s="96" t="str">
        <f>IF(AA964=1,COUNTIF($AA$6:AA964,1),"")</f>
        <v/>
      </c>
    </row>
    <row r="965">
      <c r="A965" s="89" t="inlineStr">
        <is>
          <t>REC-000960</t>
        </is>
      </c>
      <c r="B965" s="94" t="str">
        <f>IF(T965=1,INDEX('ITENS_MTR'!$S$6:$S$1005,S965)&amp;"","")</f>
        <v/>
      </c>
      <c r="C965" s="91" t="n"/>
      <c r="D965" s="94" t="str">
        <f>IF(N(U965)&gt;0,INDEX('MTRs'!$I$6:$I$505,U965)&amp;"","")</f>
        <v/>
      </c>
      <c r="E965" s="92" t="n"/>
      <c r="F965" s="98" t="n"/>
      <c r="G965" s="91" t="n"/>
      <c r="H965" s="93" t="str">
        <f>IF(Q965=0,"",IF(NOT(ISNUMBER(F965)),"",IF(ISNUMBER(W965),F965*W965,"UNIDADE A CONFERIR")))</f>
        <v/>
      </c>
      <c r="I965" s="91" t="n"/>
      <c r="J965" s="91" t="n"/>
      <c r="K965" s="92" t="n"/>
      <c r="L965" s="91" t="n"/>
      <c r="M965" s="91" t="n"/>
      <c r="N965" s="91" t="n"/>
      <c r="O965" s="91" t="n"/>
      <c r="P965" s="94" t="str">
        <f>IF(Q965=0,"",IF(C965="","Item de resíduo não informado",IF(T965=0,"Item inexistente (referência inválida)",IF(NOT(ISNUMBER(F965)),"Quantidade não informada",IF(F965&lt;=0,"Quantidade não positiva",IF(G965="","Unidade não informada",IF(NOT(ISNUMBER(H965)),"Unidade a conferir",IF(NOT(ISNUMBER(E965)),"Data de recebimento não informada",IF(AND(ISNUMBER(V965),N(V965)&gt;0,E965&lt;N(V965)),"Data anterior à emissão do MTR",IF(AND(J965="Sim",L965="",M965=""),"Conferido sem evidência identificada",IF(J965&lt;&gt;"Sim","Aguardando conferência",IF(INDEX('ITENS_MTR'!$AM$6:$AM$1005,S965)=1,"Conferido (ver diferença no item)","Conferido"))))))))))))</f>
        <v/>
      </c>
      <c r="Q965" s="96">
        <f>IF(COUNTA(C965,E965:G965,I965:O965)&gt;0,1,0)</f>
        <v>0</v>
      </c>
      <c r="R965" s="96" t="str">
        <f>IF(C965="","",TRIM(LEFT(C965,FIND(" |",C965&amp;" |")-1)))</f>
        <v/>
      </c>
      <c r="S965" s="96" t="str">
        <f>IF(R965="","",IFERROR(MATCH(R965,'ITENS_MTR'!$A$6:$A$1005,0),""))</f>
        <v/>
      </c>
      <c r="T965" s="96">
        <f>IF(S965="",0,IF(INDEX('ITENS_MTR'!$R$6:$R$1005,S965)=1,1,0))</f>
        <v>0</v>
      </c>
      <c r="U965" s="96" t="str">
        <f>IF(T965=1,INDEX('ITENS_MTR'!$T$6:$T$1005,S965),"")</f>
        <v/>
      </c>
      <c r="V965" s="97" t="str">
        <f>IF(N(U965)&gt;0,INDEX('MTRs'!$E$6:$E$505,U965),"")</f>
        <v/>
      </c>
      <c r="W965" s="96" t="str">
        <f>IF(G965="","",IFERROR(IF(ISNUMBER(INDEX(cfg_fac,MATCH(G965,cfg_units,0))),IF(INDEX(cfg_fac,MATCH(G965,cfg_units,0))&gt;0,INDEX(cfg_fac,MATCH(G965,cfg_units,0)),""),""),""))</f>
        <v/>
      </c>
      <c r="X965" s="96">
        <f>IF(AND(ISNUMBER(F965),ISNUMBER(H965)),IF(H965&gt;0,1,0),0)</f>
        <v>0</v>
      </c>
      <c r="Y965" s="96">
        <f>IF(Q965=0,0,IF(OR(T965=0,X965=0,NOT(ISNUMBER(E965)),AND(J965="Sim",L965="",M965=""),AND(ISNUMBER(E965),ISNUMBER(V965),N(V965)&gt;0,E965&lt;N(V965))),1,0))</f>
        <v>0</v>
      </c>
      <c r="Z965" s="96">
        <f>IF(AND(Q965=1,T965=1,X965=1,J965="Sim",OR(L965&lt;&gt;"",M965&lt;&gt;"")),1,0)</f>
        <v>0</v>
      </c>
      <c r="AA965" s="96">
        <f>IF(Q965=0,0,IF(AND(OR(r_ini="",AND(ISNUMBER(E965),E965&gt;=r_ini)),OR(r_fim="",AND(ISNUMBER(E965),E965&lt;=r_fim)),OR(r_un="",r_un="(Todas)",IF(N(U965)&gt;0,INDEX('MTRs'!$G$6:$G$505,U965),"")=r_un),OR(r_de="",r_de="(Todos)",D965=r_de)),1,0))</f>
        <v>0</v>
      </c>
      <c r="AB965" s="96" t="str">
        <f>IF(AA965=1,COUNTIF($AA$6:AA965,1),"")</f>
        <v/>
      </c>
    </row>
    <row r="966">
      <c r="A966" s="89" t="inlineStr">
        <is>
          <t>REC-000961</t>
        </is>
      </c>
      <c r="B966" s="94" t="str">
        <f>IF(T966=1,INDEX('ITENS_MTR'!$S$6:$S$1005,S966)&amp;"","")</f>
        <v/>
      </c>
      <c r="C966" s="91" t="n"/>
      <c r="D966" s="94" t="str">
        <f>IF(N(U966)&gt;0,INDEX('MTRs'!$I$6:$I$505,U966)&amp;"","")</f>
        <v/>
      </c>
      <c r="E966" s="92" t="n"/>
      <c r="F966" s="98" t="n"/>
      <c r="G966" s="91" t="n"/>
      <c r="H966" s="93" t="str">
        <f>IF(Q966=0,"",IF(NOT(ISNUMBER(F966)),"",IF(ISNUMBER(W966),F966*W966,"UNIDADE A CONFERIR")))</f>
        <v/>
      </c>
      <c r="I966" s="91" t="n"/>
      <c r="J966" s="91" t="n"/>
      <c r="K966" s="92" t="n"/>
      <c r="L966" s="91" t="n"/>
      <c r="M966" s="91" t="n"/>
      <c r="N966" s="91" t="n"/>
      <c r="O966" s="91" t="n"/>
      <c r="P966" s="94" t="str">
        <f>IF(Q966=0,"",IF(C966="","Item de resíduo não informado",IF(T966=0,"Item inexistente (referência inválida)",IF(NOT(ISNUMBER(F966)),"Quantidade não informada",IF(F966&lt;=0,"Quantidade não positiva",IF(G966="","Unidade não informada",IF(NOT(ISNUMBER(H966)),"Unidade a conferir",IF(NOT(ISNUMBER(E966)),"Data de recebimento não informada",IF(AND(ISNUMBER(V966),N(V966)&gt;0,E966&lt;N(V966)),"Data anterior à emissão do MTR",IF(AND(J966="Sim",L966="",M966=""),"Conferido sem evidência identificada",IF(J966&lt;&gt;"Sim","Aguardando conferência",IF(INDEX('ITENS_MTR'!$AM$6:$AM$1005,S966)=1,"Conferido (ver diferença no item)","Conferido"))))))))))))</f>
        <v/>
      </c>
      <c r="Q966" s="96">
        <f>IF(COUNTA(C966,E966:G966,I966:O966)&gt;0,1,0)</f>
        <v>0</v>
      </c>
      <c r="R966" s="96" t="str">
        <f>IF(C966="","",TRIM(LEFT(C966,FIND(" |",C966&amp;" |")-1)))</f>
        <v/>
      </c>
      <c r="S966" s="96" t="str">
        <f>IF(R966="","",IFERROR(MATCH(R966,'ITENS_MTR'!$A$6:$A$1005,0),""))</f>
        <v/>
      </c>
      <c r="T966" s="96">
        <f>IF(S966="",0,IF(INDEX('ITENS_MTR'!$R$6:$R$1005,S966)=1,1,0))</f>
        <v>0</v>
      </c>
      <c r="U966" s="96" t="str">
        <f>IF(T966=1,INDEX('ITENS_MTR'!$T$6:$T$1005,S966),"")</f>
        <v/>
      </c>
      <c r="V966" s="97" t="str">
        <f>IF(N(U966)&gt;0,INDEX('MTRs'!$E$6:$E$505,U966),"")</f>
        <v/>
      </c>
      <c r="W966" s="96" t="str">
        <f>IF(G966="","",IFERROR(IF(ISNUMBER(INDEX(cfg_fac,MATCH(G966,cfg_units,0))),IF(INDEX(cfg_fac,MATCH(G966,cfg_units,0))&gt;0,INDEX(cfg_fac,MATCH(G966,cfg_units,0)),""),""),""))</f>
        <v/>
      </c>
      <c r="X966" s="96">
        <f>IF(AND(ISNUMBER(F966),ISNUMBER(H966)),IF(H966&gt;0,1,0),0)</f>
        <v>0</v>
      </c>
      <c r="Y966" s="96">
        <f>IF(Q966=0,0,IF(OR(T966=0,X966=0,NOT(ISNUMBER(E966)),AND(J966="Sim",L966="",M966=""),AND(ISNUMBER(E966),ISNUMBER(V966),N(V966)&gt;0,E966&lt;N(V966))),1,0))</f>
        <v>0</v>
      </c>
      <c r="Z966" s="96">
        <f>IF(AND(Q966=1,T966=1,X966=1,J966="Sim",OR(L966&lt;&gt;"",M966&lt;&gt;"")),1,0)</f>
        <v>0</v>
      </c>
      <c r="AA966" s="96">
        <f>IF(Q966=0,0,IF(AND(OR(r_ini="",AND(ISNUMBER(E966),E966&gt;=r_ini)),OR(r_fim="",AND(ISNUMBER(E966),E966&lt;=r_fim)),OR(r_un="",r_un="(Todas)",IF(N(U966)&gt;0,INDEX('MTRs'!$G$6:$G$505,U966),"")=r_un),OR(r_de="",r_de="(Todos)",D966=r_de)),1,0))</f>
        <v>0</v>
      </c>
      <c r="AB966" s="96" t="str">
        <f>IF(AA966=1,COUNTIF($AA$6:AA966,1),"")</f>
        <v/>
      </c>
    </row>
    <row r="967">
      <c r="A967" s="89" t="inlineStr">
        <is>
          <t>REC-000962</t>
        </is>
      </c>
      <c r="B967" s="94" t="str">
        <f>IF(T967=1,INDEX('ITENS_MTR'!$S$6:$S$1005,S967)&amp;"","")</f>
        <v/>
      </c>
      <c r="C967" s="91" t="n"/>
      <c r="D967" s="94" t="str">
        <f>IF(N(U967)&gt;0,INDEX('MTRs'!$I$6:$I$505,U967)&amp;"","")</f>
        <v/>
      </c>
      <c r="E967" s="92" t="n"/>
      <c r="F967" s="98" t="n"/>
      <c r="G967" s="91" t="n"/>
      <c r="H967" s="93" t="str">
        <f>IF(Q967=0,"",IF(NOT(ISNUMBER(F967)),"",IF(ISNUMBER(W967),F967*W967,"UNIDADE A CONFERIR")))</f>
        <v/>
      </c>
      <c r="I967" s="91" t="n"/>
      <c r="J967" s="91" t="n"/>
      <c r="K967" s="92" t="n"/>
      <c r="L967" s="91" t="n"/>
      <c r="M967" s="91" t="n"/>
      <c r="N967" s="91" t="n"/>
      <c r="O967" s="91" t="n"/>
      <c r="P967" s="94" t="str">
        <f>IF(Q967=0,"",IF(C967="","Item de resíduo não informado",IF(T967=0,"Item inexistente (referência inválida)",IF(NOT(ISNUMBER(F967)),"Quantidade não informada",IF(F967&lt;=0,"Quantidade não positiva",IF(G967="","Unidade não informada",IF(NOT(ISNUMBER(H967)),"Unidade a conferir",IF(NOT(ISNUMBER(E967)),"Data de recebimento não informada",IF(AND(ISNUMBER(V967),N(V967)&gt;0,E967&lt;N(V967)),"Data anterior à emissão do MTR",IF(AND(J967="Sim",L967="",M967=""),"Conferido sem evidência identificada",IF(J967&lt;&gt;"Sim","Aguardando conferência",IF(INDEX('ITENS_MTR'!$AM$6:$AM$1005,S967)=1,"Conferido (ver diferença no item)","Conferido"))))))))))))</f>
        <v/>
      </c>
      <c r="Q967" s="96">
        <f>IF(COUNTA(C967,E967:G967,I967:O967)&gt;0,1,0)</f>
        <v>0</v>
      </c>
      <c r="R967" s="96" t="str">
        <f>IF(C967="","",TRIM(LEFT(C967,FIND(" |",C967&amp;" |")-1)))</f>
        <v/>
      </c>
      <c r="S967" s="96" t="str">
        <f>IF(R967="","",IFERROR(MATCH(R967,'ITENS_MTR'!$A$6:$A$1005,0),""))</f>
        <v/>
      </c>
      <c r="T967" s="96">
        <f>IF(S967="",0,IF(INDEX('ITENS_MTR'!$R$6:$R$1005,S967)=1,1,0))</f>
        <v>0</v>
      </c>
      <c r="U967" s="96" t="str">
        <f>IF(T967=1,INDEX('ITENS_MTR'!$T$6:$T$1005,S967),"")</f>
        <v/>
      </c>
      <c r="V967" s="97" t="str">
        <f>IF(N(U967)&gt;0,INDEX('MTRs'!$E$6:$E$505,U967),"")</f>
        <v/>
      </c>
      <c r="W967" s="96" t="str">
        <f>IF(G967="","",IFERROR(IF(ISNUMBER(INDEX(cfg_fac,MATCH(G967,cfg_units,0))),IF(INDEX(cfg_fac,MATCH(G967,cfg_units,0))&gt;0,INDEX(cfg_fac,MATCH(G967,cfg_units,0)),""),""),""))</f>
        <v/>
      </c>
      <c r="X967" s="96">
        <f>IF(AND(ISNUMBER(F967),ISNUMBER(H967)),IF(H967&gt;0,1,0),0)</f>
        <v>0</v>
      </c>
      <c r="Y967" s="96">
        <f>IF(Q967=0,0,IF(OR(T967=0,X967=0,NOT(ISNUMBER(E967)),AND(J967="Sim",L967="",M967=""),AND(ISNUMBER(E967),ISNUMBER(V967),N(V967)&gt;0,E967&lt;N(V967))),1,0))</f>
        <v>0</v>
      </c>
      <c r="Z967" s="96">
        <f>IF(AND(Q967=1,T967=1,X967=1,J967="Sim",OR(L967&lt;&gt;"",M967&lt;&gt;"")),1,0)</f>
        <v>0</v>
      </c>
      <c r="AA967" s="96">
        <f>IF(Q967=0,0,IF(AND(OR(r_ini="",AND(ISNUMBER(E967),E967&gt;=r_ini)),OR(r_fim="",AND(ISNUMBER(E967),E967&lt;=r_fim)),OR(r_un="",r_un="(Todas)",IF(N(U967)&gt;0,INDEX('MTRs'!$G$6:$G$505,U967),"")=r_un),OR(r_de="",r_de="(Todos)",D967=r_de)),1,0))</f>
        <v>0</v>
      </c>
      <c r="AB967" s="96" t="str">
        <f>IF(AA967=1,COUNTIF($AA$6:AA967,1),"")</f>
        <v/>
      </c>
    </row>
    <row r="968">
      <c r="A968" s="89" t="inlineStr">
        <is>
          <t>REC-000963</t>
        </is>
      </c>
      <c r="B968" s="94" t="str">
        <f>IF(T968=1,INDEX('ITENS_MTR'!$S$6:$S$1005,S968)&amp;"","")</f>
        <v/>
      </c>
      <c r="C968" s="91" t="n"/>
      <c r="D968" s="94" t="str">
        <f>IF(N(U968)&gt;0,INDEX('MTRs'!$I$6:$I$505,U968)&amp;"","")</f>
        <v/>
      </c>
      <c r="E968" s="92" t="n"/>
      <c r="F968" s="98" t="n"/>
      <c r="G968" s="91" t="n"/>
      <c r="H968" s="93" t="str">
        <f>IF(Q968=0,"",IF(NOT(ISNUMBER(F968)),"",IF(ISNUMBER(W968),F968*W968,"UNIDADE A CONFERIR")))</f>
        <v/>
      </c>
      <c r="I968" s="91" t="n"/>
      <c r="J968" s="91" t="n"/>
      <c r="K968" s="92" t="n"/>
      <c r="L968" s="91" t="n"/>
      <c r="M968" s="91" t="n"/>
      <c r="N968" s="91" t="n"/>
      <c r="O968" s="91" t="n"/>
      <c r="P968" s="94" t="str">
        <f>IF(Q968=0,"",IF(C968="","Item de resíduo não informado",IF(T968=0,"Item inexistente (referência inválida)",IF(NOT(ISNUMBER(F968)),"Quantidade não informada",IF(F968&lt;=0,"Quantidade não positiva",IF(G968="","Unidade não informada",IF(NOT(ISNUMBER(H968)),"Unidade a conferir",IF(NOT(ISNUMBER(E968)),"Data de recebimento não informada",IF(AND(ISNUMBER(V968),N(V968)&gt;0,E968&lt;N(V968)),"Data anterior à emissão do MTR",IF(AND(J968="Sim",L968="",M968=""),"Conferido sem evidência identificada",IF(J968&lt;&gt;"Sim","Aguardando conferência",IF(INDEX('ITENS_MTR'!$AM$6:$AM$1005,S968)=1,"Conferido (ver diferença no item)","Conferido"))))))))))))</f>
        <v/>
      </c>
      <c r="Q968" s="96">
        <f>IF(COUNTA(C968,E968:G968,I968:O968)&gt;0,1,0)</f>
        <v>0</v>
      </c>
      <c r="R968" s="96" t="str">
        <f>IF(C968="","",TRIM(LEFT(C968,FIND(" |",C968&amp;" |")-1)))</f>
        <v/>
      </c>
      <c r="S968" s="96" t="str">
        <f>IF(R968="","",IFERROR(MATCH(R968,'ITENS_MTR'!$A$6:$A$1005,0),""))</f>
        <v/>
      </c>
      <c r="T968" s="96">
        <f>IF(S968="",0,IF(INDEX('ITENS_MTR'!$R$6:$R$1005,S968)=1,1,0))</f>
        <v>0</v>
      </c>
      <c r="U968" s="96" t="str">
        <f>IF(T968=1,INDEX('ITENS_MTR'!$T$6:$T$1005,S968),"")</f>
        <v/>
      </c>
      <c r="V968" s="97" t="str">
        <f>IF(N(U968)&gt;0,INDEX('MTRs'!$E$6:$E$505,U968),"")</f>
        <v/>
      </c>
      <c r="W968" s="96" t="str">
        <f>IF(G968="","",IFERROR(IF(ISNUMBER(INDEX(cfg_fac,MATCH(G968,cfg_units,0))),IF(INDEX(cfg_fac,MATCH(G968,cfg_units,0))&gt;0,INDEX(cfg_fac,MATCH(G968,cfg_units,0)),""),""),""))</f>
        <v/>
      </c>
      <c r="X968" s="96">
        <f>IF(AND(ISNUMBER(F968),ISNUMBER(H968)),IF(H968&gt;0,1,0),0)</f>
        <v>0</v>
      </c>
      <c r="Y968" s="96">
        <f>IF(Q968=0,0,IF(OR(T968=0,X968=0,NOT(ISNUMBER(E968)),AND(J968="Sim",L968="",M968=""),AND(ISNUMBER(E968),ISNUMBER(V968),N(V968)&gt;0,E968&lt;N(V968))),1,0))</f>
        <v>0</v>
      </c>
      <c r="Z968" s="96">
        <f>IF(AND(Q968=1,T968=1,X968=1,J968="Sim",OR(L968&lt;&gt;"",M968&lt;&gt;"")),1,0)</f>
        <v>0</v>
      </c>
      <c r="AA968" s="96">
        <f>IF(Q968=0,0,IF(AND(OR(r_ini="",AND(ISNUMBER(E968),E968&gt;=r_ini)),OR(r_fim="",AND(ISNUMBER(E968),E968&lt;=r_fim)),OR(r_un="",r_un="(Todas)",IF(N(U968)&gt;0,INDEX('MTRs'!$G$6:$G$505,U968),"")=r_un),OR(r_de="",r_de="(Todos)",D968=r_de)),1,0))</f>
        <v>0</v>
      </c>
      <c r="AB968" s="96" t="str">
        <f>IF(AA968=1,COUNTIF($AA$6:AA968,1),"")</f>
        <v/>
      </c>
    </row>
    <row r="969">
      <c r="A969" s="89" t="inlineStr">
        <is>
          <t>REC-000964</t>
        </is>
      </c>
      <c r="B969" s="94" t="str">
        <f>IF(T969=1,INDEX('ITENS_MTR'!$S$6:$S$1005,S969)&amp;"","")</f>
        <v/>
      </c>
      <c r="C969" s="91" t="n"/>
      <c r="D969" s="94" t="str">
        <f>IF(N(U969)&gt;0,INDEX('MTRs'!$I$6:$I$505,U969)&amp;"","")</f>
        <v/>
      </c>
      <c r="E969" s="92" t="n"/>
      <c r="F969" s="98" t="n"/>
      <c r="G969" s="91" t="n"/>
      <c r="H969" s="93" t="str">
        <f>IF(Q969=0,"",IF(NOT(ISNUMBER(F969)),"",IF(ISNUMBER(W969),F969*W969,"UNIDADE A CONFERIR")))</f>
        <v/>
      </c>
      <c r="I969" s="91" t="n"/>
      <c r="J969" s="91" t="n"/>
      <c r="K969" s="92" t="n"/>
      <c r="L969" s="91" t="n"/>
      <c r="M969" s="91" t="n"/>
      <c r="N969" s="91" t="n"/>
      <c r="O969" s="91" t="n"/>
      <c r="P969" s="94" t="str">
        <f>IF(Q969=0,"",IF(C969="","Item de resíduo não informado",IF(T969=0,"Item inexistente (referência inválida)",IF(NOT(ISNUMBER(F969)),"Quantidade não informada",IF(F969&lt;=0,"Quantidade não positiva",IF(G969="","Unidade não informada",IF(NOT(ISNUMBER(H969)),"Unidade a conferir",IF(NOT(ISNUMBER(E969)),"Data de recebimento não informada",IF(AND(ISNUMBER(V969),N(V969)&gt;0,E969&lt;N(V969)),"Data anterior à emissão do MTR",IF(AND(J969="Sim",L969="",M969=""),"Conferido sem evidência identificada",IF(J969&lt;&gt;"Sim","Aguardando conferência",IF(INDEX('ITENS_MTR'!$AM$6:$AM$1005,S969)=1,"Conferido (ver diferença no item)","Conferido"))))))))))))</f>
        <v/>
      </c>
      <c r="Q969" s="96">
        <f>IF(COUNTA(C969,E969:G969,I969:O969)&gt;0,1,0)</f>
        <v>0</v>
      </c>
      <c r="R969" s="96" t="str">
        <f>IF(C969="","",TRIM(LEFT(C969,FIND(" |",C969&amp;" |")-1)))</f>
        <v/>
      </c>
      <c r="S969" s="96" t="str">
        <f>IF(R969="","",IFERROR(MATCH(R969,'ITENS_MTR'!$A$6:$A$1005,0),""))</f>
        <v/>
      </c>
      <c r="T969" s="96">
        <f>IF(S969="",0,IF(INDEX('ITENS_MTR'!$R$6:$R$1005,S969)=1,1,0))</f>
        <v>0</v>
      </c>
      <c r="U969" s="96" t="str">
        <f>IF(T969=1,INDEX('ITENS_MTR'!$T$6:$T$1005,S969),"")</f>
        <v/>
      </c>
      <c r="V969" s="97" t="str">
        <f>IF(N(U969)&gt;0,INDEX('MTRs'!$E$6:$E$505,U969),"")</f>
        <v/>
      </c>
      <c r="W969" s="96" t="str">
        <f>IF(G969="","",IFERROR(IF(ISNUMBER(INDEX(cfg_fac,MATCH(G969,cfg_units,0))),IF(INDEX(cfg_fac,MATCH(G969,cfg_units,0))&gt;0,INDEX(cfg_fac,MATCH(G969,cfg_units,0)),""),""),""))</f>
        <v/>
      </c>
      <c r="X969" s="96">
        <f>IF(AND(ISNUMBER(F969),ISNUMBER(H969)),IF(H969&gt;0,1,0),0)</f>
        <v>0</v>
      </c>
      <c r="Y969" s="96">
        <f>IF(Q969=0,0,IF(OR(T969=0,X969=0,NOT(ISNUMBER(E969)),AND(J969="Sim",L969="",M969=""),AND(ISNUMBER(E969),ISNUMBER(V969),N(V969)&gt;0,E969&lt;N(V969))),1,0))</f>
        <v>0</v>
      </c>
      <c r="Z969" s="96">
        <f>IF(AND(Q969=1,T969=1,X969=1,J969="Sim",OR(L969&lt;&gt;"",M969&lt;&gt;"")),1,0)</f>
        <v>0</v>
      </c>
      <c r="AA969" s="96">
        <f>IF(Q969=0,0,IF(AND(OR(r_ini="",AND(ISNUMBER(E969),E969&gt;=r_ini)),OR(r_fim="",AND(ISNUMBER(E969),E969&lt;=r_fim)),OR(r_un="",r_un="(Todas)",IF(N(U969)&gt;0,INDEX('MTRs'!$G$6:$G$505,U969),"")=r_un),OR(r_de="",r_de="(Todos)",D969=r_de)),1,0))</f>
        <v>0</v>
      </c>
      <c r="AB969" s="96" t="str">
        <f>IF(AA969=1,COUNTIF($AA$6:AA969,1),"")</f>
        <v/>
      </c>
    </row>
    <row r="970">
      <c r="A970" s="89" t="inlineStr">
        <is>
          <t>REC-000965</t>
        </is>
      </c>
      <c r="B970" s="94" t="str">
        <f>IF(T970=1,INDEX('ITENS_MTR'!$S$6:$S$1005,S970)&amp;"","")</f>
        <v/>
      </c>
      <c r="C970" s="91" t="n"/>
      <c r="D970" s="94" t="str">
        <f>IF(N(U970)&gt;0,INDEX('MTRs'!$I$6:$I$505,U970)&amp;"","")</f>
        <v/>
      </c>
      <c r="E970" s="92" t="n"/>
      <c r="F970" s="98" t="n"/>
      <c r="G970" s="91" t="n"/>
      <c r="H970" s="93" t="str">
        <f>IF(Q970=0,"",IF(NOT(ISNUMBER(F970)),"",IF(ISNUMBER(W970),F970*W970,"UNIDADE A CONFERIR")))</f>
        <v/>
      </c>
      <c r="I970" s="91" t="n"/>
      <c r="J970" s="91" t="n"/>
      <c r="K970" s="92" t="n"/>
      <c r="L970" s="91" t="n"/>
      <c r="M970" s="91" t="n"/>
      <c r="N970" s="91" t="n"/>
      <c r="O970" s="91" t="n"/>
      <c r="P970" s="94" t="str">
        <f>IF(Q970=0,"",IF(C970="","Item de resíduo não informado",IF(T970=0,"Item inexistente (referência inválida)",IF(NOT(ISNUMBER(F970)),"Quantidade não informada",IF(F970&lt;=0,"Quantidade não positiva",IF(G970="","Unidade não informada",IF(NOT(ISNUMBER(H970)),"Unidade a conferir",IF(NOT(ISNUMBER(E970)),"Data de recebimento não informada",IF(AND(ISNUMBER(V970),N(V970)&gt;0,E970&lt;N(V970)),"Data anterior à emissão do MTR",IF(AND(J970="Sim",L970="",M970=""),"Conferido sem evidência identificada",IF(J970&lt;&gt;"Sim","Aguardando conferência",IF(INDEX('ITENS_MTR'!$AM$6:$AM$1005,S970)=1,"Conferido (ver diferença no item)","Conferido"))))))))))))</f>
        <v/>
      </c>
      <c r="Q970" s="96">
        <f>IF(COUNTA(C970,E970:G970,I970:O970)&gt;0,1,0)</f>
        <v>0</v>
      </c>
      <c r="R970" s="96" t="str">
        <f>IF(C970="","",TRIM(LEFT(C970,FIND(" |",C970&amp;" |")-1)))</f>
        <v/>
      </c>
      <c r="S970" s="96" t="str">
        <f>IF(R970="","",IFERROR(MATCH(R970,'ITENS_MTR'!$A$6:$A$1005,0),""))</f>
        <v/>
      </c>
      <c r="T970" s="96">
        <f>IF(S970="",0,IF(INDEX('ITENS_MTR'!$R$6:$R$1005,S970)=1,1,0))</f>
        <v>0</v>
      </c>
      <c r="U970" s="96" t="str">
        <f>IF(T970=1,INDEX('ITENS_MTR'!$T$6:$T$1005,S970),"")</f>
        <v/>
      </c>
      <c r="V970" s="97" t="str">
        <f>IF(N(U970)&gt;0,INDEX('MTRs'!$E$6:$E$505,U970),"")</f>
        <v/>
      </c>
      <c r="W970" s="96" t="str">
        <f>IF(G970="","",IFERROR(IF(ISNUMBER(INDEX(cfg_fac,MATCH(G970,cfg_units,0))),IF(INDEX(cfg_fac,MATCH(G970,cfg_units,0))&gt;0,INDEX(cfg_fac,MATCH(G970,cfg_units,0)),""),""),""))</f>
        <v/>
      </c>
      <c r="X970" s="96">
        <f>IF(AND(ISNUMBER(F970),ISNUMBER(H970)),IF(H970&gt;0,1,0),0)</f>
        <v>0</v>
      </c>
      <c r="Y970" s="96">
        <f>IF(Q970=0,0,IF(OR(T970=0,X970=0,NOT(ISNUMBER(E970)),AND(J970="Sim",L970="",M970=""),AND(ISNUMBER(E970),ISNUMBER(V970),N(V970)&gt;0,E970&lt;N(V970))),1,0))</f>
        <v>0</v>
      </c>
      <c r="Z970" s="96">
        <f>IF(AND(Q970=1,T970=1,X970=1,J970="Sim",OR(L970&lt;&gt;"",M970&lt;&gt;"")),1,0)</f>
        <v>0</v>
      </c>
      <c r="AA970" s="96">
        <f>IF(Q970=0,0,IF(AND(OR(r_ini="",AND(ISNUMBER(E970),E970&gt;=r_ini)),OR(r_fim="",AND(ISNUMBER(E970),E970&lt;=r_fim)),OR(r_un="",r_un="(Todas)",IF(N(U970)&gt;0,INDEX('MTRs'!$G$6:$G$505,U970),"")=r_un),OR(r_de="",r_de="(Todos)",D970=r_de)),1,0))</f>
        <v>0</v>
      </c>
      <c r="AB970" s="96" t="str">
        <f>IF(AA970=1,COUNTIF($AA$6:AA970,1),"")</f>
        <v/>
      </c>
    </row>
    <row r="971">
      <c r="A971" s="89" t="inlineStr">
        <is>
          <t>REC-000966</t>
        </is>
      </c>
      <c r="B971" s="94" t="str">
        <f>IF(T971=1,INDEX('ITENS_MTR'!$S$6:$S$1005,S971)&amp;"","")</f>
        <v/>
      </c>
      <c r="C971" s="91" t="n"/>
      <c r="D971" s="94" t="str">
        <f>IF(N(U971)&gt;0,INDEX('MTRs'!$I$6:$I$505,U971)&amp;"","")</f>
        <v/>
      </c>
      <c r="E971" s="92" t="n"/>
      <c r="F971" s="98" t="n"/>
      <c r="G971" s="91" t="n"/>
      <c r="H971" s="93" t="str">
        <f>IF(Q971=0,"",IF(NOT(ISNUMBER(F971)),"",IF(ISNUMBER(W971),F971*W971,"UNIDADE A CONFERIR")))</f>
        <v/>
      </c>
      <c r="I971" s="91" t="n"/>
      <c r="J971" s="91" t="n"/>
      <c r="K971" s="92" t="n"/>
      <c r="L971" s="91" t="n"/>
      <c r="M971" s="91" t="n"/>
      <c r="N971" s="91" t="n"/>
      <c r="O971" s="91" t="n"/>
      <c r="P971" s="94" t="str">
        <f>IF(Q971=0,"",IF(C971="","Item de resíduo não informado",IF(T971=0,"Item inexistente (referência inválida)",IF(NOT(ISNUMBER(F971)),"Quantidade não informada",IF(F971&lt;=0,"Quantidade não positiva",IF(G971="","Unidade não informada",IF(NOT(ISNUMBER(H971)),"Unidade a conferir",IF(NOT(ISNUMBER(E971)),"Data de recebimento não informada",IF(AND(ISNUMBER(V971),N(V971)&gt;0,E971&lt;N(V971)),"Data anterior à emissão do MTR",IF(AND(J971="Sim",L971="",M971=""),"Conferido sem evidência identificada",IF(J971&lt;&gt;"Sim","Aguardando conferência",IF(INDEX('ITENS_MTR'!$AM$6:$AM$1005,S971)=1,"Conferido (ver diferença no item)","Conferido"))))))))))))</f>
        <v/>
      </c>
      <c r="Q971" s="96">
        <f>IF(COUNTA(C971,E971:G971,I971:O971)&gt;0,1,0)</f>
        <v>0</v>
      </c>
      <c r="R971" s="96" t="str">
        <f>IF(C971="","",TRIM(LEFT(C971,FIND(" |",C971&amp;" |")-1)))</f>
        <v/>
      </c>
      <c r="S971" s="96" t="str">
        <f>IF(R971="","",IFERROR(MATCH(R971,'ITENS_MTR'!$A$6:$A$1005,0),""))</f>
        <v/>
      </c>
      <c r="T971" s="96">
        <f>IF(S971="",0,IF(INDEX('ITENS_MTR'!$R$6:$R$1005,S971)=1,1,0))</f>
        <v>0</v>
      </c>
      <c r="U971" s="96" t="str">
        <f>IF(T971=1,INDEX('ITENS_MTR'!$T$6:$T$1005,S971),"")</f>
        <v/>
      </c>
      <c r="V971" s="97" t="str">
        <f>IF(N(U971)&gt;0,INDEX('MTRs'!$E$6:$E$505,U971),"")</f>
        <v/>
      </c>
      <c r="W971" s="96" t="str">
        <f>IF(G971="","",IFERROR(IF(ISNUMBER(INDEX(cfg_fac,MATCH(G971,cfg_units,0))),IF(INDEX(cfg_fac,MATCH(G971,cfg_units,0))&gt;0,INDEX(cfg_fac,MATCH(G971,cfg_units,0)),""),""),""))</f>
        <v/>
      </c>
      <c r="X971" s="96">
        <f>IF(AND(ISNUMBER(F971),ISNUMBER(H971)),IF(H971&gt;0,1,0),0)</f>
        <v>0</v>
      </c>
      <c r="Y971" s="96">
        <f>IF(Q971=0,0,IF(OR(T971=0,X971=0,NOT(ISNUMBER(E971)),AND(J971="Sim",L971="",M971=""),AND(ISNUMBER(E971),ISNUMBER(V971),N(V971)&gt;0,E971&lt;N(V971))),1,0))</f>
        <v>0</v>
      </c>
      <c r="Z971" s="96">
        <f>IF(AND(Q971=1,T971=1,X971=1,J971="Sim",OR(L971&lt;&gt;"",M971&lt;&gt;"")),1,0)</f>
        <v>0</v>
      </c>
      <c r="AA971" s="96">
        <f>IF(Q971=0,0,IF(AND(OR(r_ini="",AND(ISNUMBER(E971),E971&gt;=r_ini)),OR(r_fim="",AND(ISNUMBER(E971),E971&lt;=r_fim)),OR(r_un="",r_un="(Todas)",IF(N(U971)&gt;0,INDEX('MTRs'!$G$6:$G$505,U971),"")=r_un),OR(r_de="",r_de="(Todos)",D971=r_de)),1,0))</f>
        <v>0</v>
      </c>
      <c r="AB971" s="96" t="str">
        <f>IF(AA971=1,COUNTIF($AA$6:AA971,1),"")</f>
        <v/>
      </c>
    </row>
    <row r="972">
      <c r="A972" s="89" t="inlineStr">
        <is>
          <t>REC-000967</t>
        </is>
      </c>
      <c r="B972" s="94" t="str">
        <f>IF(T972=1,INDEX('ITENS_MTR'!$S$6:$S$1005,S972)&amp;"","")</f>
        <v/>
      </c>
      <c r="C972" s="91" t="n"/>
      <c r="D972" s="94" t="str">
        <f>IF(N(U972)&gt;0,INDEX('MTRs'!$I$6:$I$505,U972)&amp;"","")</f>
        <v/>
      </c>
      <c r="E972" s="92" t="n"/>
      <c r="F972" s="98" t="n"/>
      <c r="G972" s="91" t="n"/>
      <c r="H972" s="93" t="str">
        <f>IF(Q972=0,"",IF(NOT(ISNUMBER(F972)),"",IF(ISNUMBER(W972),F972*W972,"UNIDADE A CONFERIR")))</f>
        <v/>
      </c>
      <c r="I972" s="91" t="n"/>
      <c r="J972" s="91" t="n"/>
      <c r="K972" s="92" t="n"/>
      <c r="L972" s="91" t="n"/>
      <c r="M972" s="91" t="n"/>
      <c r="N972" s="91" t="n"/>
      <c r="O972" s="91" t="n"/>
      <c r="P972" s="94" t="str">
        <f>IF(Q972=0,"",IF(C972="","Item de resíduo não informado",IF(T972=0,"Item inexistente (referência inválida)",IF(NOT(ISNUMBER(F972)),"Quantidade não informada",IF(F972&lt;=0,"Quantidade não positiva",IF(G972="","Unidade não informada",IF(NOT(ISNUMBER(H972)),"Unidade a conferir",IF(NOT(ISNUMBER(E972)),"Data de recebimento não informada",IF(AND(ISNUMBER(V972),N(V972)&gt;0,E972&lt;N(V972)),"Data anterior à emissão do MTR",IF(AND(J972="Sim",L972="",M972=""),"Conferido sem evidência identificada",IF(J972&lt;&gt;"Sim","Aguardando conferência",IF(INDEX('ITENS_MTR'!$AM$6:$AM$1005,S972)=1,"Conferido (ver diferença no item)","Conferido"))))))))))))</f>
        <v/>
      </c>
      <c r="Q972" s="96">
        <f>IF(COUNTA(C972,E972:G972,I972:O972)&gt;0,1,0)</f>
        <v>0</v>
      </c>
      <c r="R972" s="96" t="str">
        <f>IF(C972="","",TRIM(LEFT(C972,FIND(" |",C972&amp;" |")-1)))</f>
        <v/>
      </c>
      <c r="S972" s="96" t="str">
        <f>IF(R972="","",IFERROR(MATCH(R972,'ITENS_MTR'!$A$6:$A$1005,0),""))</f>
        <v/>
      </c>
      <c r="T972" s="96">
        <f>IF(S972="",0,IF(INDEX('ITENS_MTR'!$R$6:$R$1005,S972)=1,1,0))</f>
        <v>0</v>
      </c>
      <c r="U972" s="96" t="str">
        <f>IF(T972=1,INDEX('ITENS_MTR'!$T$6:$T$1005,S972),"")</f>
        <v/>
      </c>
      <c r="V972" s="97" t="str">
        <f>IF(N(U972)&gt;0,INDEX('MTRs'!$E$6:$E$505,U972),"")</f>
        <v/>
      </c>
      <c r="W972" s="96" t="str">
        <f>IF(G972="","",IFERROR(IF(ISNUMBER(INDEX(cfg_fac,MATCH(G972,cfg_units,0))),IF(INDEX(cfg_fac,MATCH(G972,cfg_units,0))&gt;0,INDEX(cfg_fac,MATCH(G972,cfg_units,0)),""),""),""))</f>
        <v/>
      </c>
      <c r="X972" s="96">
        <f>IF(AND(ISNUMBER(F972),ISNUMBER(H972)),IF(H972&gt;0,1,0),0)</f>
        <v>0</v>
      </c>
      <c r="Y972" s="96">
        <f>IF(Q972=0,0,IF(OR(T972=0,X972=0,NOT(ISNUMBER(E972)),AND(J972="Sim",L972="",M972=""),AND(ISNUMBER(E972),ISNUMBER(V972),N(V972)&gt;0,E972&lt;N(V972))),1,0))</f>
        <v>0</v>
      </c>
      <c r="Z972" s="96">
        <f>IF(AND(Q972=1,T972=1,X972=1,J972="Sim",OR(L972&lt;&gt;"",M972&lt;&gt;"")),1,0)</f>
        <v>0</v>
      </c>
      <c r="AA972" s="96">
        <f>IF(Q972=0,0,IF(AND(OR(r_ini="",AND(ISNUMBER(E972),E972&gt;=r_ini)),OR(r_fim="",AND(ISNUMBER(E972),E972&lt;=r_fim)),OR(r_un="",r_un="(Todas)",IF(N(U972)&gt;0,INDEX('MTRs'!$G$6:$G$505,U972),"")=r_un),OR(r_de="",r_de="(Todos)",D972=r_de)),1,0))</f>
        <v>0</v>
      </c>
      <c r="AB972" s="96" t="str">
        <f>IF(AA972=1,COUNTIF($AA$6:AA972,1),"")</f>
        <v/>
      </c>
    </row>
    <row r="973">
      <c r="A973" s="89" t="inlineStr">
        <is>
          <t>REC-000968</t>
        </is>
      </c>
      <c r="B973" s="94" t="str">
        <f>IF(T973=1,INDEX('ITENS_MTR'!$S$6:$S$1005,S973)&amp;"","")</f>
        <v/>
      </c>
      <c r="C973" s="91" t="n"/>
      <c r="D973" s="94" t="str">
        <f>IF(N(U973)&gt;0,INDEX('MTRs'!$I$6:$I$505,U973)&amp;"","")</f>
        <v/>
      </c>
      <c r="E973" s="92" t="n"/>
      <c r="F973" s="98" t="n"/>
      <c r="G973" s="91" t="n"/>
      <c r="H973" s="93" t="str">
        <f>IF(Q973=0,"",IF(NOT(ISNUMBER(F973)),"",IF(ISNUMBER(W973),F973*W973,"UNIDADE A CONFERIR")))</f>
        <v/>
      </c>
      <c r="I973" s="91" t="n"/>
      <c r="J973" s="91" t="n"/>
      <c r="K973" s="92" t="n"/>
      <c r="L973" s="91" t="n"/>
      <c r="M973" s="91" t="n"/>
      <c r="N973" s="91" t="n"/>
      <c r="O973" s="91" t="n"/>
      <c r="P973" s="94" t="str">
        <f>IF(Q973=0,"",IF(C973="","Item de resíduo não informado",IF(T973=0,"Item inexistente (referência inválida)",IF(NOT(ISNUMBER(F973)),"Quantidade não informada",IF(F973&lt;=0,"Quantidade não positiva",IF(G973="","Unidade não informada",IF(NOT(ISNUMBER(H973)),"Unidade a conferir",IF(NOT(ISNUMBER(E973)),"Data de recebimento não informada",IF(AND(ISNUMBER(V973),N(V973)&gt;0,E973&lt;N(V973)),"Data anterior à emissão do MTR",IF(AND(J973="Sim",L973="",M973=""),"Conferido sem evidência identificada",IF(J973&lt;&gt;"Sim","Aguardando conferência",IF(INDEX('ITENS_MTR'!$AM$6:$AM$1005,S973)=1,"Conferido (ver diferença no item)","Conferido"))))))))))))</f>
        <v/>
      </c>
      <c r="Q973" s="96">
        <f>IF(COUNTA(C973,E973:G973,I973:O973)&gt;0,1,0)</f>
        <v>0</v>
      </c>
      <c r="R973" s="96" t="str">
        <f>IF(C973="","",TRIM(LEFT(C973,FIND(" |",C973&amp;" |")-1)))</f>
        <v/>
      </c>
      <c r="S973" s="96" t="str">
        <f>IF(R973="","",IFERROR(MATCH(R973,'ITENS_MTR'!$A$6:$A$1005,0),""))</f>
        <v/>
      </c>
      <c r="T973" s="96">
        <f>IF(S973="",0,IF(INDEX('ITENS_MTR'!$R$6:$R$1005,S973)=1,1,0))</f>
        <v>0</v>
      </c>
      <c r="U973" s="96" t="str">
        <f>IF(T973=1,INDEX('ITENS_MTR'!$T$6:$T$1005,S973),"")</f>
        <v/>
      </c>
      <c r="V973" s="97" t="str">
        <f>IF(N(U973)&gt;0,INDEX('MTRs'!$E$6:$E$505,U973),"")</f>
        <v/>
      </c>
      <c r="W973" s="96" t="str">
        <f>IF(G973="","",IFERROR(IF(ISNUMBER(INDEX(cfg_fac,MATCH(G973,cfg_units,0))),IF(INDEX(cfg_fac,MATCH(G973,cfg_units,0))&gt;0,INDEX(cfg_fac,MATCH(G973,cfg_units,0)),""),""),""))</f>
        <v/>
      </c>
      <c r="X973" s="96">
        <f>IF(AND(ISNUMBER(F973),ISNUMBER(H973)),IF(H973&gt;0,1,0),0)</f>
        <v>0</v>
      </c>
      <c r="Y973" s="96">
        <f>IF(Q973=0,0,IF(OR(T973=0,X973=0,NOT(ISNUMBER(E973)),AND(J973="Sim",L973="",M973=""),AND(ISNUMBER(E973),ISNUMBER(V973),N(V973)&gt;0,E973&lt;N(V973))),1,0))</f>
        <v>0</v>
      </c>
      <c r="Z973" s="96">
        <f>IF(AND(Q973=1,T973=1,X973=1,J973="Sim",OR(L973&lt;&gt;"",M973&lt;&gt;"")),1,0)</f>
        <v>0</v>
      </c>
      <c r="AA973" s="96">
        <f>IF(Q973=0,0,IF(AND(OR(r_ini="",AND(ISNUMBER(E973),E973&gt;=r_ini)),OR(r_fim="",AND(ISNUMBER(E973),E973&lt;=r_fim)),OR(r_un="",r_un="(Todas)",IF(N(U973)&gt;0,INDEX('MTRs'!$G$6:$G$505,U973),"")=r_un),OR(r_de="",r_de="(Todos)",D973=r_de)),1,0))</f>
        <v>0</v>
      </c>
      <c r="AB973" s="96" t="str">
        <f>IF(AA973=1,COUNTIF($AA$6:AA973,1),"")</f>
        <v/>
      </c>
    </row>
    <row r="974">
      <c r="A974" s="89" t="inlineStr">
        <is>
          <t>REC-000969</t>
        </is>
      </c>
      <c r="B974" s="94" t="str">
        <f>IF(T974=1,INDEX('ITENS_MTR'!$S$6:$S$1005,S974)&amp;"","")</f>
        <v/>
      </c>
      <c r="C974" s="91" t="n"/>
      <c r="D974" s="94" t="str">
        <f>IF(N(U974)&gt;0,INDEX('MTRs'!$I$6:$I$505,U974)&amp;"","")</f>
        <v/>
      </c>
      <c r="E974" s="92" t="n"/>
      <c r="F974" s="98" t="n"/>
      <c r="G974" s="91" t="n"/>
      <c r="H974" s="93" t="str">
        <f>IF(Q974=0,"",IF(NOT(ISNUMBER(F974)),"",IF(ISNUMBER(W974),F974*W974,"UNIDADE A CONFERIR")))</f>
        <v/>
      </c>
      <c r="I974" s="91" t="n"/>
      <c r="J974" s="91" t="n"/>
      <c r="K974" s="92" t="n"/>
      <c r="L974" s="91" t="n"/>
      <c r="M974" s="91" t="n"/>
      <c r="N974" s="91" t="n"/>
      <c r="O974" s="91" t="n"/>
      <c r="P974" s="94" t="str">
        <f>IF(Q974=0,"",IF(C974="","Item de resíduo não informado",IF(T974=0,"Item inexistente (referência inválida)",IF(NOT(ISNUMBER(F974)),"Quantidade não informada",IF(F974&lt;=0,"Quantidade não positiva",IF(G974="","Unidade não informada",IF(NOT(ISNUMBER(H974)),"Unidade a conferir",IF(NOT(ISNUMBER(E974)),"Data de recebimento não informada",IF(AND(ISNUMBER(V974),N(V974)&gt;0,E974&lt;N(V974)),"Data anterior à emissão do MTR",IF(AND(J974="Sim",L974="",M974=""),"Conferido sem evidência identificada",IF(J974&lt;&gt;"Sim","Aguardando conferência",IF(INDEX('ITENS_MTR'!$AM$6:$AM$1005,S974)=1,"Conferido (ver diferença no item)","Conferido"))))))))))))</f>
        <v/>
      </c>
      <c r="Q974" s="96">
        <f>IF(COUNTA(C974,E974:G974,I974:O974)&gt;0,1,0)</f>
        <v>0</v>
      </c>
      <c r="R974" s="96" t="str">
        <f>IF(C974="","",TRIM(LEFT(C974,FIND(" |",C974&amp;" |")-1)))</f>
        <v/>
      </c>
      <c r="S974" s="96" t="str">
        <f>IF(R974="","",IFERROR(MATCH(R974,'ITENS_MTR'!$A$6:$A$1005,0),""))</f>
        <v/>
      </c>
      <c r="T974" s="96">
        <f>IF(S974="",0,IF(INDEX('ITENS_MTR'!$R$6:$R$1005,S974)=1,1,0))</f>
        <v>0</v>
      </c>
      <c r="U974" s="96" t="str">
        <f>IF(T974=1,INDEX('ITENS_MTR'!$T$6:$T$1005,S974),"")</f>
        <v/>
      </c>
      <c r="V974" s="97" t="str">
        <f>IF(N(U974)&gt;0,INDEX('MTRs'!$E$6:$E$505,U974),"")</f>
        <v/>
      </c>
      <c r="W974" s="96" t="str">
        <f>IF(G974="","",IFERROR(IF(ISNUMBER(INDEX(cfg_fac,MATCH(G974,cfg_units,0))),IF(INDEX(cfg_fac,MATCH(G974,cfg_units,0))&gt;0,INDEX(cfg_fac,MATCH(G974,cfg_units,0)),""),""),""))</f>
        <v/>
      </c>
      <c r="X974" s="96">
        <f>IF(AND(ISNUMBER(F974),ISNUMBER(H974)),IF(H974&gt;0,1,0),0)</f>
        <v>0</v>
      </c>
      <c r="Y974" s="96">
        <f>IF(Q974=0,0,IF(OR(T974=0,X974=0,NOT(ISNUMBER(E974)),AND(J974="Sim",L974="",M974=""),AND(ISNUMBER(E974),ISNUMBER(V974),N(V974)&gt;0,E974&lt;N(V974))),1,0))</f>
        <v>0</v>
      </c>
      <c r="Z974" s="96">
        <f>IF(AND(Q974=1,T974=1,X974=1,J974="Sim",OR(L974&lt;&gt;"",M974&lt;&gt;"")),1,0)</f>
        <v>0</v>
      </c>
      <c r="AA974" s="96">
        <f>IF(Q974=0,0,IF(AND(OR(r_ini="",AND(ISNUMBER(E974),E974&gt;=r_ini)),OR(r_fim="",AND(ISNUMBER(E974),E974&lt;=r_fim)),OR(r_un="",r_un="(Todas)",IF(N(U974)&gt;0,INDEX('MTRs'!$G$6:$G$505,U974),"")=r_un),OR(r_de="",r_de="(Todos)",D974=r_de)),1,0))</f>
        <v>0</v>
      </c>
      <c r="AB974" s="96" t="str">
        <f>IF(AA974=1,COUNTIF($AA$6:AA974,1),"")</f>
        <v/>
      </c>
    </row>
    <row r="975">
      <c r="A975" s="89" t="inlineStr">
        <is>
          <t>REC-000970</t>
        </is>
      </c>
      <c r="B975" s="94" t="str">
        <f>IF(T975=1,INDEX('ITENS_MTR'!$S$6:$S$1005,S975)&amp;"","")</f>
        <v/>
      </c>
      <c r="C975" s="91" t="n"/>
      <c r="D975" s="94" t="str">
        <f>IF(N(U975)&gt;0,INDEX('MTRs'!$I$6:$I$505,U975)&amp;"","")</f>
        <v/>
      </c>
      <c r="E975" s="92" t="n"/>
      <c r="F975" s="98" t="n"/>
      <c r="G975" s="91" t="n"/>
      <c r="H975" s="93" t="str">
        <f>IF(Q975=0,"",IF(NOT(ISNUMBER(F975)),"",IF(ISNUMBER(W975),F975*W975,"UNIDADE A CONFERIR")))</f>
        <v/>
      </c>
      <c r="I975" s="91" t="n"/>
      <c r="J975" s="91" t="n"/>
      <c r="K975" s="92" t="n"/>
      <c r="L975" s="91" t="n"/>
      <c r="M975" s="91" t="n"/>
      <c r="N975" s="91" t="n"/>
      <c r="O975" s="91" t="n"/>
      <c r="P975" s="94" t="str">
        <f>IF(Q975=0,"",IF(C975="","Item de resíduo não informado",IF(T975=0,"Item inexistente (referência inválida)",IF(NOT(ISNUMBER(F975)),"Quantidade não informada",IF(F975&lt;=0,"Quantidade não positiva",IF(G975="","Unidade não informada",IF(NOT(ISNUMBER(H975)),"Unidade a conferir",IF(NOT(ISNUMBER(E975)),"Data de recebimento não informada",IF(AND(ISNUMBER(V975),N(V975)&gt;0,E975&lt;N(V975)),"Data anterior à emissão do MTR",IF(AND(J975="Sim",L975="",M975=""),"Conferido sem evidência identificada",IF(J975&lt;&gt;"Sim","Aguardando conferência",IF(INDEX('ITENS_MTR'!$AM$6:$AM$1005,S975)=1,"Conferido (ver diferença no item)","Conferido"))))))))))))</f>
        <v/>
      </c>
      <c r="Q975" s="96">
        <f>IF(COUNTA(C975,E975:G975,I975:O975)&gt;0,1,0)</f>
        <v>0</v>
      </c>
      <c r="R975" s="96" t="str">
        <f>IF(C975="","",TRIM(LEFT(C975,FIND(" |",C975&amp;" |")-1)))</f>
        <v/>
      </c>
      <c r="S975" s="96" t="str">
        <f>IF(R975="","",IFERROR(MATCH(R975,'ITENS_MTR'!$A$6:$A$1005,0),""))</f>
        <v/>
      </c>
      <c r="T975" s="96">
        <f>IF(S975="",0,IF(INDEX('ITENS_MTR'!$R$6:$R$1005,S975)=1,1,0))</f>
        <v>0</v>
      </c>
      <c r="U975" s="96" t="str">
        <f>IF(T975=1,INDEX('ITENS_MTR'!$T$6:$T$1005,S975),"")</f>
        <v/>
      </c>
      <c r="V975" s="97" t="str">
        <f>IF(N(U975)&gt;0,INDEX('MTRs'!$E$6:$E$505,U975),"")</f>
        <v/>
      </c>
      <c r="W975" s="96" t="str">
        <f>IF(G975="","",IFERROR(IF(ISNUMBER(INDEX(cfg_fac,MATCH(G975,cfg_units,0))),IF(INDEX(cfg_fac,MATCH(G975,cfg_units,0))&gt;0,INDEX(cfg_fac,MATCH(G975,cfg_units,0)),""),""),""))</f>
        <v/>
      </c>
      <c r="X975" s="96">
        <f>IF(AND(ISNUMBER(F975),ISNUMBER(H975)),IF(H975&gt;0,1,0),0)</f>
        <v>0</v>
      </c>
      <c r="Y975" s="96">
        <f>IF(Q975=0,0,IF(OR(T975=0,X975=0,NOT(ISNUMBER(E975)),AND(J975="Sim",L975="",M975=""),AND(ISNUMBER(E975),ISNUMBER(V975),N(V975)&gt;0,E975&lt;N(V975))),1,0))</f>
        <v>0</v>
      </c>
      <c r="Z975" s="96">
        <f>IF(AND(Q975=1,T975=1,X975=1,J975="Sim",OR(L975&lt;&gt;"",M975&lt;&gt;"")),1,0)</f>
        <v>0</v>
      </c>
      <c r="AA975" s="96">
        <f>IF(Q975=0,0,IF(AND(OR(r_ini="",AND(ISNUMBER(E975),E975&gt;=r_ini)),OR(r_fim="",AND(ISNUMBER(E975),E975&lt;=r_fim)),OR(r_un="",r_un="(Todas)",IF(N(U975)&gt;0,INDEX('MTRs'!$G$6:$G$505,U975),"")=r_un),OR(r_de="",r_de="(Todos)",D975=r_de)),1,0))</f>
        <v>0</v>
      </c>
      <c r="AB975" s="96" t="str">
        <f>IF(AA975=1,COUNTIF($AA$6:AA975,1),"")</f>
        <v/>
      </c>
    </row>
    <row r="976">
      <c r="A976" s="89" t="inlineStr">
        <is>
          <t>REC-000971</t>
        </is>
      </c>
      <c r="B976" s="94" t="str">
        <f>IF(T976=1,INDEX('ITENS_MTR'!$S$6:$S$1005,S976)&amp;"","")</f>
        <v/>
      </c>
      <c r="C976" s="91" t="n"/>
      <c r="D976" s="94" t="str">
        <f>IF(N(U976)&gt;0,INDEX('MTRs'!$I$6:$I$505,U976)&amp;"","")</f>
        <v/>
      </c>
      <c r="E976" s="92" t="n"/>
      <c r="F976" s="98" t="n"/>
      <c r="G976" s="91" t="n"/>
      <c r="H976" s="93" t="str">
        <f>IF(Q976=0,"",IF(NOT(ISNUMBER(F976)),"",IF(ISNUMBER(W976),F976*W976,"UNIDADE A CONFERIR")))</f>
        <v/>
      </c>
      <c r="I976" s="91" t="n"/>
      <c r="J976" s="91" t="n"/>
      <c r="K976" s="92" t="n"/>
      <c r="L976" s="91" t="n"/>
      <c r="M976" s="91" t="n"/>
      <c r="N976" s="91" t="n"/>
      <c r="O976" s="91" t="n"/>
      <c r="P976" s="94" t="str">
        <f>IF(Q976=0,"",IF(C976="","Item de resíduo não informado",IF(T976=0,"Item inexistente (referência inválida)",IF(NOT(ISNUMBER(F976)),"Quantidade não informada",IF(F976&lt;=0,"Quantidade não positiva",IF(G976="","Unidade não informada",IF(NOT(ISNUMBER(H976)),"Unidade a conferir",IF(NOT(ISNUMBER(E976)),"Data de recebimento não informada",IF(AND(ISNUMBER(V976),N(V976)&gt;0,E976&lt;N(V976)),"Data anterior à emissão do MTR",IF(AND(J976="Sim",L976="",M976=""),"Conferido sem evidência identificada",IF(J976&lt;&gt;"Sim","Aguardando conferência",IF(INDEX('ITENS_MTR'!$AM$6:$AM$1005,S976)=1,"Conferido (ver diferença no item)","Conferido"))))))))))))</f>
        <v/>
      </c>
      <c r="Q976" s="96">
        <f>IF(COUNTA(C976,E976:G976,I976:O976)&gt;0,1,0)</f>
        <v>0</v>
      </c>
      <c r="R976" s="96" t="str">
        <f>IF(C976="","",TRIM(LEFT(C976,FIND(" |",C976&amp;" |")-1)))</f>
        <v/>
      </c>
      <c r="S976" s="96" t="str">
        <f>IF(R976="","",IFERROR(MATCH(R976,'ITENS_MTR'!$A$6:$A$1005,0),""))</f>
        <v/>
      </c>
      <c r="T976" s="96">
        <f>IF(S976="",0,IF(INDEX('ITENS_MTR'!$R$6:$R$1005,S976)=1,1,0))</f>
        <v>0</v>
      </c>
      <c r="U976" s="96" t="str">
        <f>IF(T976=1,INDEX('ITENS_MTR'!$T$6:$T$1005,S976),"")</f>
        <v/>
      </c>
      <c r="V976" s="97" t="str">
        <f>IF(N(U976)&gt;0,INDEX('MTRs'!$E$6:$E$505,U976),"")</f>
        <v/>
      </c>
      <c r="W976" s="96" t="str">
        <f>IF(G976="","",IFERROR(IF(ISNUMBER(INDEX(cfg_fac,MATCH(G976,cfg_units,0))),IF(INDEX(cfg_fac,MATCH(G976,cfg_units,0))&gt;0,INDEX(cfg_fac,MATCH(G976,cfg_units,0)),""),""),""))</f>
        <v/>
      </c>
      <c r="X976" s="96">
        <f>IF(AND(ISNUMBER(F976),ISNUMBER(H976)),IF(H976&gt;0,1,0),0)</f>
        <v>0</v>
      </c>
      <c r="Y976" s="96">
        <f>IF(Q976=0,0,IF(OR(T976=0,X976=0,NOT(ISNUMBER(E976)),AND(J976="Sim",L976="",M976=""),AND(ISNUMBER(E976),ISNUMBER(V976),N(V976)&gt;0,E976&lt;N(V976))),1,0))</f>
        <v>0</v>
      </c>
      <c r="Z976" s="96">
        <f>IF(AND(Q976=1,T976=1,X976=1,J976="Sim",OR(L976&lt;&gt;"",M976&lt;&gt;"")),1,0)</f>
        <v>0</v>
      </c>
      <c r="AA976" s="96">
        <f>IF(Q976=0,0,IF(AND(OR(r_ini="",AND(ISNUMBER(E976),E976&gt;=r_ini)),OR(r_fim="",AND(ISNUMBER(E976),E976&lt;=r_fim)),OR(r_un="",r_un="(Todas)",IF(N(U976)&gt;0,INDEX('MTRs'!$G$6:$G$505,U976),"")=r_un),OR(r_de="",r_de="(Todos)",D976=r_de)),1,0))</f>
        <v>0</v>
      </c>
      <c r="AB976" s="96" t="str">
        <f>IF(AA976=1,COUNTIF($AA$6:AA976,1),"")</f>
        <v/>
      </c>
    </row>
    <row r="977">
      <c r="A977" s="89" t="inlineStr">
        <is>
          <t>REC-000972</t>
        </is>
      </c>
      <c r="B977" s="94" t="str">
        <f>IF(T977=1,INDEX('ITENS_MTR'!$S$6:$S$1005,S977)&amp;"","")</f>
        <v/>
      </c>
      <c r="C977" s="91" t="n"/>
      <c r="D977" s="94" t="str">
        <f>IF(N(U977)&gt;0,INDEX('MTRs'!$I$6:$I$505,U977)&amp;"","")</f>
        <v/>
      </c>
      <c r="E977" s="92" t="n"/>
      <c r="F977" s="98" t="n"/>
      <c r="G977" s="91" t="n"/>
      <c r="H977" s="93" t="str">
        <f>IF(Q977=0,"",IF(NOT(ISNUMBER(F977)),"",IF(ISNUMBER(W977),F977*W977,"UNIDADE A CONFERIR")))</f>
        <v/>
      </c>
      <c r="I977" s="91" t="n"/>
      <c r="J977" s="91" t="n"/>
      <c r="K977" s="92" t="n"/>
      <c r="L977" s="91" t="n"/>
      <c r="M977" s="91" t="n"/>
      <c r="N977" s="91" t="n"/>
      <c r="O977" s="91" t="n"/>
      <c r="P977" s="94" t="str">
        <f>IF(Q977=0,"",IF(C977="","Item de resíduo não informado",IF(T977=0,"Item inexistente (referência inválida)",IF(NOT(ISNUMBER(F977)),"Quantidade não informada",IF(F977&lt;=0,"Quantidade não positiva",IF(G977="","Unidade não informada",IF(NOT(ISNUMBER(H977)),"Unidade a conferir",IF(NOT(ISNUMBER(E977)),"Data de recebimento não informada",IF(AND(ISNUMBER(V977),N(V977)&gt;0,E977&lt;N(V977)),"Data anterior à emissão do MTR",IF(AND(J977="Sim",L977="",M977=""),"Conferido sem evidência identificada",IF(J977&lt;&gt;"Sim","Aguardando conferência",IF(INDEX('ITENS_MTR'!$AM$6:$AM$1005,S977)=1,"Conferido (ver diferença no item)","Conferido"))))))))))))</f>
        <v/>
      </c>
      <c r="Q977" s="96">
        <f>IF(COUNTA(C977,E977:G977,I977:O977)&gt;0,1,0)</f>
        <v>0</v>
      </c>
      <c r="R977" s="96" t="str">
        <f>IF(C977="","",TRIM(LEFT(C977,FIND(" |",C977&amp;" |")-1)))</f>
        <v/>
      </c>
      <c r="S977" s="96" t="str">
        <f>IF(R977="","",IFERROR(MATCH(R977,'ITENS_MTR'!$A$6:$A$1005,0),""))</f>
        <v/>
      </c>
      <c r="T977" s="96">
        <f>IF(S977="",0,IF(INDEX('ITENS_MTR'!$R$6:$R$1005,S977)=1,1,0))</f>
        <v>0</v>
      </c>
      <c r="U977" s="96" t="str">
        <f>IF(T977=1,INDEX('ITENS_MTR'!$T$6:$T$1005,S977),"")</f>
        <v/>
      </c>
      <c r="V977" s="97" t="str">
        <f>IF(N(U977)&gt;0,INDEX('MTRs'!$E$6:$E$505,U977),"")</f>
        <v/>
      </c>
      <c r="W977" s="96" t="str">
        <f>IF(G977="","",IFERROR(IF(ISNUMBER(INDEX(cfg_fac,MATCH(G977,cfg_units,0))),IF(INDEX(cfg_fac,MATCH(G977,cfg_units,0))&gt;0,INDEX(cfg_fac,MATCH(G977,cfg_units,0)),""),""),""))</f>
        <v/>
      </c>
      <c r="X977" s="96">
        <f>IF(AND(ISNUMBER(F977),ISNUMBER(H977)),IF(H977&gt;0,1,0),0)</f>
        <v>0</v>
      </c>
      <c r="Y977" s="96">
        <f>IF(Q977=0,0,IF(OR(T977=0,X977=0,NOT(ISNUMBER(E977)),AND(J977="Sim",L977="",M977=""),AND(ISNUMBER(E977),ISNUMBER(V977),N(V977)&gt;0,E977&lt;N(V977))),1,0))</f>
        <v>0</v>
      </c>
      <c r="Z977" s="96">
        <f>IF(AND(Q977=1,T977=1,X977=1,J977="Sim",OR(L977&lt;&gt;"",M977&lt;&gt;"")),1,0)</f>
        <v>0</v>
      </c>
      <c r="AA977" s="96">
        <f>IF(Q977=0,0,IF(AND(OR(r_ini="",AND(ISNUMBER(E977),E977&gt;=r_ini)),OR(r_fim="",AND(ISNUMBER(E977),E977&lt;=r_fim)),OR(r_un="",r_un="(Todas)",IF(N(U977)&gt;0,INDEX('MTRs'!$G$6:$G$505,U977),"")=r_un),OR(r_de="",r_de="(Todos)",D977=r_de)),1,0))</f>
        <v>0</v>
      </c>
      <c r="AB977" s="96" t="str">
        <f>IF(AA977=1,COUNTIF($AA$6:AA977,1),"")</f>
        <v/>
      </c>
    </row>
    <row r="978">
      <c r="A978" s="89" t="inlineStr">
        <is>
          <t>REC-000973</t>
        </is>
      </c>
      <c r="B978" s="94" t="str">
        <f>IF(T978=1,INDEX('ITENS_MTR'!$S$6:$S$1005,S978)&amp;"","")</f>
        <v/>
      </c>
      <c r="C978" s="91" t="n"/>
      <c r="D978" s="94" t="str">
        <f>IF(N(U978)&gt;0,INDEX('MTRs'!$I$6:$I$505,U978)&amp;"","")</f>
        <v/>
      </c>
      <c r="E978" s="92" t="n"/>
      <c r="F978" s="98" t="n"/>
      <c r="G978" s="91" t="n"/>
      <c r="H978" s="93" t="str">
        <f>IF(Q978=0,"",IF(NOT(ISNUMBER(F978)),"",IF(ISNUMBER(W978),F978*W978,"UNIDADE A CONFERIR")))</f>
        <v/>
      </c>
      <c r="I978" s="91" t="n"/>
      <c r="J978" s="91" t="n"/>
      <c r="K978" s="92" t="n"/>
      <c r="L978" s="91" t="n"/>
      <c r="M978" s="91" t="n"/>
      <c r="N978" s="91" t="n"/>
      <c r="O978" s="91" t="n"/>
      <c r="P978" s="94" t="str">
        <f>IF(Q978=0,"",IF(C978="","Item de resíduo não informado",IF(T978=0,"Item inexistente (referência inválida)",IF(NOT(ISNUMBER(F978)),"Quantidade não informada",IF(F978&lt;=0,"Quantidade não positiva",IF(G978="","Unidade não informada",IF(NOT(ISNUMBER(H978)),"Unidade a conferir",IF(NOT(ISNUMBER(E978)),"Data de recebimento não informada",IF(AND(ISNUMBER(V978),N(V978)&gt;0,E978&lt;N(V978)),"Data anterior à emissão do MTR",IF(AND(J978="Sim",L978="",M978=""),"Conferido sem evidência identificada",IF(J978&lt;&gt;"Sim","Aguardando conferência",IF(INDEX('ITENS_MTR'!$AM$6:$AM$1005,S978)=1,"Conferido (ver diferença no item)","Conferido"))))))))))))</f>
        <v/>
      </c>
      <c r="Q978" s="96">
        <f>IF(COUNTA(C978,E978:G978,I978:O978)&gt;0,1,0)</f>
        <v>0</v>
      </c>
      <c r="R978" s="96" t="str">
        <f>IF(C978="","",TRIM(LEFT(C978,FIND(" |",C978&amp;" |")-1)))</f>
        <v/>
      </c>
      <c r="S978" s="96" t="str">
        <f>IF(R978="","",IFERROR(MATCH(R978,'ITENS_MTR'!$A$6:$A$1005,0),""))</f>
        <v/>
      </c>
      <c r="T978" s="96">
        <f>IF(S978="",0,IF(INDEX('ITENS_MTR'!$R$6:$R$1005,S978)=1,1,0))</f>
        <v>0</v>
      </c>
      <c r="U978" s="96" t="str">
        <f>IF(T978=1,INDEX('ITENS_MTR'!$T$6:$T$1005,S978),"")</f>
        <v/>
      </c>
      <c r="V978" s="97" t="str">
        <f>IF(N(U978)&gt;0,INDEX('MTRs'!$E$6:$E$505,U978),"")</f>
        <v/>
      </c>
      <c r="W978" s="96" t="str">
        <f>IF(G978="","",IFERROR(IF(ISNUMBER(INDEX(cfg_fac,MATCH(G978,cfg_units,0))),IF(INDEX(cfg_fac,MATCH(G978,cfg_units,0))&gt;0,INDEX(cfg_fac,MATCH(G978,cfg_units,0)),""),""),""))</f>
        <v/>
      </c>
      <c r="X978" s="96">
        <f>IF(AND(ISNUMBER(F978),ISNUMBER(H978)),IF(H978&gt;0,1,0),0)</f>
        <v>0</v>
      </c>
      <c r="Y978" s="96">
        <f>IF(Q978=0,0,IF(OR(T978=0,X978=0,NOT(ISNUMBER(E978)),AND(J978="Sim",L978="",M978=""),AND(ISNUMBER(E978),ISNUMBER(V978),N(V978)&gt;0,E978&lt;N(V978))),1,0))</f>
        <v>0</v>
      </c>
      <c r="Z978" s="96">
        <f>IF(AND(Q978=1,T978=1,X978=1,J978="Sim",OR(L978&lt;&gt;"",M978&lt;&gt;"")),1,0)</f>
        <v>0</v>
      </c>
      <c r="AA978" s="96">
        <f>IF(Q978=0,0,IF(AND(OR(r_ini="",AND(ISNUMBER(E978),E978&gt;=r_ini)),OR(r_fim="",AND(ISNUMBER(E978),E978&lt;=r_fim)),OR(r_un="",r_un="(Todas)",IF(N(U978)&gt;0,INDEX('MTRs'!$G$6:$G$505,U978),"")=r_un),OR(r_de="",r_de="(Todos)",D978=r_de)),1,0))</f>
        <v>0</v>
      </c>
      <c r="AB978" s="96" t="str">
        <f>IF(AA978=1,COUNTIF($AA$6:AA978,1),"")</f>
        <v/>
      </c>
    </row>
    <row r="979">
      <c r="A979" s="89" t="inlineStr">
        <is>
          <t>REC-000974</t>
        </is>
      </c>
      <c r="B979" s="94" t="str">
        <f>IF(T979=1,INDEX('ITENS_MTR'!$S$6:$S$1005,S979)&amp;"","")</f>
        <v/>
      </c>
      <c r="C979" s="91" t="n"/>
      <c r="D979" s="94" t="str">
        <f>IF(N(U979)&gt;0,INDEX('MTRs'!$I$6:$I$505,U979)&amp;"","")</f>
        <v/>
      </c>
      <c r="E979" s="92" t="n"/>
      <c r="F979" s="98" t="n"/>
      <c r="G979" s="91" t="n"/>
      <c r="H979" s="93" t="str">
        <f>IF(Q979=0,"",IF(NOT(ISNUMBER(F979)),"",IF(ISNUMBER(W979),F979*W979,"UNIDADE A CONFERIR")))</f>
        <v/>
      </c>
      <c r="I979" s="91" t="n"/>
      <c r="J979" s="91" t="n"/>
      <c r="K979" s="92" t="n"/>
      <c r="L979" s="91" t="n"/>
      <c r="M979" s="91" t="n"/>
      <c r="N979" s="91" t="n"/>
      <c r="O979" s="91" t="n"/>
      <c r="P979" s="94" t="str">
        <f>IF(Q979=0,"",IF(C979="","Item de resíduo não informado",IF(T979=0,"Item inexistente (referência inválida)",IF(NOT(ISNUMBER(F979)),"Quantidade não informada",IF(F979&lt;=0,"Quantidade não positiva",IF(G979="","Unidade não informada",IF(NOT(ISNUMBER(H979)),"Unidade a conferir",IF(NOT(ISNUMBER(E979)),"Data de recebimento não informada",IF(AND(ISNUMBER(V979),N(V979)&gt;0,E979&lt;N(V979)),"Data anterior à emissão do MTR",IF(AND(J979="Sim",L979="",M979=""),"Conferido sem evidência identificada",IF(J979&lt;&gt;"Sim","Aguardando conferência",IF(INDEX('ITENS_MTR'!$AM$6:$AM$1005,S979)=1,"Conferido (ver diferença no item)","Conferido"))))))))))))</f>
        <v/>
      </c>
      <c r="Q979" s="96">
        <f>IF(COUNTA(C979,E979:G979,I979:O979)&gt;0,1,0)</f>
        <v>0</v>
      </c>
      <c r="R979" s="96" t="str">
        <f>IF(C979="","",TRIM(LEFT(C979,FIND(" |",C979&amp;" |")-1)))</f>
        <v/>
      </c>
      <c r="S979" s="96" t="str">
        <f>IF(R979="","",IFERROR(MATCH(R979,'ITENS_MTR'!$A$6:$A$1005,0),""))</f>
        <v/>
      </c>
      <c r="T979" s="96">
        <f>IF(S979="",0,IF(INDEX('ITENS_MTR'!$R$6:$R$1005,S979)=1,1,0))</f>
        <v>0</v>
      </c>
      <c r="U979" s="96" t="str">
        <f>IF(T979=1,INDEX('ITENS_MTR'!$T$6:$T$1005,S979),"")</f>
        <v/>
      </c>
      <c r="V979" s="97" t="str">
        <f>IF(N(U979)&gt;0,INDEX('MTRs'!$E$6:$E$505,U979),"")</f>
        <v/>
      </c>
      <c r="W979" s="96" t="str">
        <f>IF(G979="","",IFERROR(IF(ISNUMBER(INDEX(cfg_fac,MATCH(G979,cfg_units,0))),IF(INDEX(cfg_fac,MATCH(G979,cfg_units,0))&gt;0,INDEX(cfg_fac,MATCH(G979,cfg_units,0)),""),""),""))</f>
        <v/>
      </c>
      <c r="X979" s="96">
        <f>IF(AND(ISNUMBER(F979),ISNUMBER(H979)),IF(H979&gt;0,1,0),0)</f>
        <v>0</v>
      </c>
      <c r="Y979" s="96">
        <f>IF(Q979=0,0,IF(OR(T979=0,X979=0,NOT(ISNUMBER(E979)),AND(J979="Sim",L979="",M979=""),AND(ISNUMBER(E979),ISNUMBER(V979),N(V979)&gt;0,E979&lt;N(V979))),1,0))</f>
        <v>0</v>
      </c>
      <c r="Z979" s="96">
        <f>IF(AND(Q979=1,T979=1,X979=1,J979="Sim",OR(L979&lt;&gt;"",M979&lt;&gt;"")),1,0)</f>
        <v>0</v>
      </c>
      <c r="AA979" s="96">
        <f>IF(Q979=0,0,IF(AND(OR(r_ini="",AND(ISNUMBER(E979),E979&gt;=r_ini)),OR(r_fim="",AND(ISNUMBER(E979),E979&lt;=r_fim)),OR(r_un="",r_un="(Todas)",IF(N(U979)&gt;0,INDEX('MTRs'!$G$6:$G$505,U979),"")=r_un),OR(r_de="",r_de="(Todos)",D979=r_de)),1,0))</f>
        <v>0</v>
      </c>
      <c r="AB979" s="96" t="str">
        <f>IF(AA979=1,COUNTIF($AA$6:AA979,1),"")</f>
        <v/>
      </c>
    </row>
    <row r="980">
      <c r="A980" s="89" t="inlineStr">
        <is>
          <t>REC-000975</t>
        </is>
      </c>
      <c r="B980" s="94" t="str">
        <f>IF(T980=1,INDEX('ITENS_MTR'!$S$6:$S$1005,S980)&amp;"","")</f>
        <v/>
      </c>
      <c r="C980" s="91" t="n"/>
      <c r="D980" s="94" t="str">
        <f>IF(N(U980)&gt;0,INDEX('MTRs'!$I$6:$I$505,U980)&amp;"","")</f>
        <v/>
      </c>
      <c r="E980" s="92" t="n"/>
      <c r="F980" s="98" t="n"/>
      <c r="G980" s="91" t="n"/>
      <c r="H980" s="93" t="str">
        <f>IF(Q980=0,"",IF(NOT(ISNUMBER(F980)),"",IF(ISNUMBER(W980),F980*W980,"UNIDADE A CONFERIR")))</f>
        <v/>
      </c>
      <c r="I980" s="91" t="n"/>
      <c r="J980" s="91" t="n"/>
      <c r="K980" s="92" t="n"/>
      <c r="L980" s="91" t="n"/>
      <c r="M980" s="91" t="n"/>
      <c r="N980" s="91" t="n"/>
      <c r="O980" s="91" t="n"/>
      <c r="P980" s="94" t="str">
        <f>IF(Q980=0,"",IF(C980="","Item de resíduo não informado",IF(T980=0,"Item inexistente (referência inválida)",IF(NOT(ISNUMBER(F980)),"Quantidade não informada",IF(F980&lt;=0,"Quantidade não positiva",IF(G980="","Unidade não informada",IF(NOT(ISNUMBER(H980)),"Unidade a conferir",IF(NOT(ISNUMBER(E980)),"Data de recebimento não informada",IF(AND(ISNUMBER(V980),N(V980)&gt;0,E980&lt;N(V980)),"Data anterior à emissão do MTR",IF(AND(J980="Sim",L980="",M980=""),"Conferido sem evidência identificada",IF(J980&lt;&gt;"Sim","Aguardando conferência",IF(INDEX('ITENS_MTR'!$AM$6:$AM$1005,S980)=1,"Conferido (ver diferença no item)","Conferido"))))))))))))</f>
        <v/>
      </c>
      <c r="Q980" s="96">
        <f>IF(COUNTA(C980,E980:G980,I980:O980)&gt;0,1,0)</f>
        <v>0</v>
      </c>
      <c r="R980" s="96" t="str">
        <f>IF(C980="","",TRIM(LEFT(C980,FIND(" |",C980&amp;" |")-1)))</f>
        <v/>
      </c>
      <c r="S980" s="96" t="str">
        <f>IF(R980="","",IFERROR(MATCH(R980,'ITENS_MTR'!$A$6:$A$1005,0),""))</f>
        <v/>
      </c>
      <c r="T980" s="96">
        <f>IF(S980="",0,IF(INDEX('ITENS_MTR'!$R$6:$R$1005,S980)=1,1,0))</f>
        <v>0</v>
      </c>
      <c r="U980" s="96" t="str">
        <f>IF(T980=1,INDEX('ITENS_MTR'!$T$6:$T$1005,S980),"")</f>
        <v/>
      </c>
      <c r="V980" s="97" t="str">
        <f>IF(N(U980)&gt;0,INDEX('MTRs'!$E$6:$E$505,U980),"")</f>
        <v/>
      </c>
      <c r="W980" s="96" t="str">
        <f>IF(G980="","",IFERROR(IF(ISNUMBER(INDEX(cfg_fac,MATCH(G980,cfg_units,0))),IF(INDEX(cfg_fac,MATCH(G980,cfg_units,0))&gt;0,INDEX(cfg_fac,MATCH(G980,cfg_units,0)),""),""),""))</f>
        <v/>
      </c>
      <c r="X980" s="96">
        <f>IF(AND(ISNUMBER(F980),ISNUMBER(H980)),IF(H980&gt;0,1,0),0)</f>
        <v>0</v>
      </c>
      <c r="Y980" s="96">
        <f>IF(Q980=0,0,IF(OR(T980=0,X980=0,NOT(ISNUMBER(E980)),AND(J980="Sim",L980="",M980=""),AND(ISNUMBER(E980),ISNUMBER(V980),N(V980)&gt;0,E980&lt;N(V980))),1,0))</f>
        <v>0</v>
      </c>
      <c r="Z980" s="96">
        <f>IF(AND(Q980=1,T980=1,X980=1,J980="Sim",OR(L980&lt;&gt;"",M980&lt;&gt;"")),1,0)</f>
        <v>0</v>
      </c>
      <c r="AA980" s="96">
        <f>IF(Q980=0,0,IF(AND(OR(r_ini="",AND(ISNUMBER(E980),E980&gt;=r_ini)),OR(r_fim="",AND(ISNUMBER(E980),E980&lt;=r_fim)),OR(r_un="",r_un="(Todas)",IF(N(U980)&gt;0,INDEX('MTRs'!$G$6:$G$505,U980),"")=r_un),OR(r_de="",r_de="(Todos)",D980=r_de)),1,0))</f>
        <v>0</v>
      </c>
      <c r="AB980" s="96" t="str">
        <f>IF(AA980=1,COUNTIF($AA$6:AA980,1),"")</f>
        <v/>
      </c>
    </row>
    <row r="981">
      <c r="A981" s="89" t="inlineStr">
        <is>
          <t>REC-000976</t>
        </is>
      </c>
      <c r="B981" s="94" t="str">
        <f>IF(T981=1,INDEX('ITENS_MTR'!$S$6:$S$1005,S981)&amp;"","")</f>
        <v/>
      </c>
      <c r="C981" s="91" t="n"/>
      <c r="D981" s="94" t="str">
        <f>IF(N(U981)&gt;0,INDEX('MTRs'!$I$6:$I$505,U981)&amp;"","")</f>
        <v/>
      </c>
      <c r="E981" s="92" t="n"/>
      <c r="F981" s="98" t="n"/>
      <c r="G981" s="91" t="n"/>
      <c r="H981" s="93" t="str">
        <f>IF(Q981=0,"",IF(NOT(ISNUMBER(F981)),"",IF(ISNUMBER(W981),F981*W981,"UNIDADE A CONFERIR")))</f>
        <v/>
      </c>
      <c r="I981" s="91" t="n"/>
      <c r="J981" s="91" t="n"/>
      <c r="K981" s="92" t="n"/>
      <c r="L981" s="91" t="n"/>
      <c r="M981" s="91" t="n"/>
      <c r="N981" s="91" t="n"/>
      <c r="O981" s="91" t="n"/>
      <c r="P981" s="94" t="str">
        <f>IF(Q981=0,"",IF(C981="","Item de resíduo não informado",IF(T981=0,"Item inexistente (referência inválida)",IF(NOT(ISNUMBER(F981)),"Quantidade não informada",IF(F981&lt;=0,"Quantidade não positiva",IF(G981="","Unidade não informada",IF(NOT(ISNUMBER(H981)),"Unidade a conferir",IF(NOT(ISNUMBER(E981)),"Data de recebimento não informada",IF(AND(ISNUMBER(V981),N(V981)&gt;0,E981&lt;N(V981)),"Data anterior à emissão do MTR",IF(AND(J981="Sim",L981="",M981=""),"Conferido sem evidência identificada",IF(J981&lt;&gt;"Sim","Aguardando conferência",IF(INDEX('ITENS_MTR'!$AM$6:$AM$1005,S981)=1,"Conferido (ver diferença no item)","Conferido"))))))))))))</f>
        <v/>
      </c>
      <c r="Q981" s="96">
        <f>IF(COUNTA(C981,E981:G981,I981:O981)&gt;0,1,0)</f>
        <v>0</v>
      </c>
      <c r="R981" s="96" t="str">
        <f>IF(C981="","",TRIM(LEFT(C981,FIND(" |",C981&amp;" |")-1)))</f>
        <v/>
      </c>
      <c r="S981" s="96" t="str">
        <f>IF(R981="","",IFERROR(MATCH(R981,'ITENS_MTR'!$A$6:$A$1005,0),""))</f>
        <v/>
      </c>
      <c r="T981" s="96">
        <f>IF(S981="",0,IF(INDEX('ITENS_MTR'!$R$6:$R$1005,S981)=1,1,0))</f>
        <v>0</v>
      </c>
      <c r="U981" s="96" t="str">
        <f>IF(T981=1,INDEX('ITENS_MTR'!$T$6:$T$1005,S981),"")</f>
        <v/>
      </c>
      <c r="V981" s="97" t="str">
        <f>IF(N(U981)&gt;0,INDEX('MTRs'!$E$6:$E$505,U981),"")</f>
        <v/>
      </c>
      <c r="W981" s="96" t="str">
        <f>IF(G981="","",IFERROR(IF(ISNUMBER(INDEX(cfg_fac,MATCH(G981,cfg_units,0))),IF(INDEX(cfg_fac,MATCH(G981,cfg_units,0))&gt;0,INDEX(cfg_fac,MATCH(G981,cfg_units,0)),""),""),""))</f>
        <v/>
      </c>
      <c r="X981" s="96">
        <f>IF(AND(ISNUMBER(F981),ISNUMBER(H981)),IF(H981&gt;0,1,0),0)</f>
        <v>0</v>
      </c>
      <c r="Y981" s="96">
        <f>IF(Q981=0,0,IF(OR(T981=0,X981=0,NOT(ISNUMBER(E981)),AND(J981="Sim",L981="",M981=""),AND(ISNUMBER(E981),ISNUMBER(V981),N(V981)&gt;0,E981&lt;N(V981))),1,0))</f>
        <v>0</v>
      </c>
      <c r="Z981" s="96">
        <f>IF(AND(Q981=1,T981=1,X981=1,J981="Sim",OR(L981&lt;&gt;"",M981&lt;&gt;"")),1,0)</f>
        <v>0</v>
      </c>
      <c r="AA981" s="96">
        <f>IF(Q981=0,0,IF(AND(OR(r_ini="",AND(ISNUMBER(E981),E981&gt;=r_ini)),OR(r_fim="",AND(ISNUMBER(E981),E981&lt;=r_fim)),OR(r_un="",r_un="(Todas)",IF(N(U981)&gt;0,INDEX('MTRs'!$G$6:$G$505,U981),"")=r_un),OR(r_de="",r_de="(Todos)",D981=r_de)),1,0))</f>
        <v>0</v>
      </c>
      <c r="AB981" s="96" t="str">
        <f>IF(AA981=1,COUNTIF($AA$6:AA981,1),"")</f>
        <v/>
      </c>
    </row>
    <row r="982">
      <c r="A982" s="89" t="inlineStr">
        <is>
          <t>REC-000977</t>
        </is>
      </c>
      <c r="B982" s="94" t="str">
        <f>IF(T982=1,INDEX('ITENS_MTR'!$S$6:$S$1005,S982)&amp;"","")</f>
        <v/>
      </c>
      <c r="C982" s="91" t="n"/>
      <c r="D982" s="94" t="str">
        <f>IF(N(U982)&gt;0,INDEX('MTRs'!$I$6:$I$505,U982)&amp;"","")</f>
        <v/>
      </c>
      <c r="E982" s="92" t="n"/>
      <c r="F982" s="98" t="n"/>
      <c r="G982" s="91" t="n"/>
      <c r="H982" s="93" t="str">
        <f>IF(Q982=0,"",IF(NOT(ISNUMBER(F982)),"",IF(ISNUMBER(W982),F982*W982,"UNIDADE A CONFERIR")))</f>
        <v/>
      </c>
      <c r="I982" s="91" t="n"/>
      <c r="J982" s="91" t="n"/>
      <c r="K982" s="92" t="n"/>
      <c r="L982" s="91" t="n"/>
      <c r="M982" s="91" t="n"/>
      <c r="N982" s="91" t="n"/>
      <c r="O982" s="91" t="n"/>
      <c r="P982" s="94" t="str">
        <f>IF(Q982=0,"",IF(C982="","Item de resíduo não informado",IF(T982=0,"Item inexistente (referência inválida)",IF(NOT(ISNUMBER(F982)),"Quantidade não informada",IF(F982&lt;=0,"Quantidade não positiva",IF(G982="","Unidade não informada",IF(NOT(ISNUMBER(H982)),"Unidade a conferir",IF(NOT(ISNUMBER(E982)),"Data de recebimento não informada",IF(AND(ISNUMBER(V982),N(V982)&gt;0,E982&lt;N(V982)),"Data anterior à emissão do MTR",IF(AND(J982="Sim",L982="",M982=""),"Conferido sem evidência identificada",IF(J982&lt;&gt;"Sim","Aguardando conferência",IF(INDEX('ITENS_MTR'!$AM$6:$AM$1005,S982)=1,"Conferido (ver diferença no item)","Conferido"))))))))))))</f>
        <v/>
      </c>
      <c r="Q982" s="96">
        <f>IF(COUNTA(C982,E982:G982,I982:O982)&gt;0,1,0)</f>
        <v>0</v>
      </c>
      <c r="R982" s="96" t="str">
        <f>IF(C982="","",TRIM(LEFT(C982,FIND(" |",C982&amp;" |")-1)))</f>
        <v/>
      </c>
      <c r="S982" s="96" t="str">
        <f>IF(R982="","",IFERROR(MATCH(R982,'ITENS_MTR'!$A$6:$A$1005,0),""))</f>
        <v/>
      </c>
      <c r="T982" s="96">
        <f>IF(S982="",0,IF(INDEX('ITENS_MTR'!$R$6:$R$1005,S982)=1,1,0))</f>
        <v>0</v>
      </c>
      <c r="U982" s="96" t="str">
        <f>IF(T982=1,INDEX('ITENS_MTR'!$T$6:$T$1005,S982),"")</f>
        <v/>
      </c>
      <c r="V982" s="97" t="str">
        <f>IF(N(U982)&gt;0,INDEX('MTRs'!$E$6:$E$505,U982),"")</f>
        <v/>
      </c>
      <c r="W982" s="96" t="str">
        <f>IF(G982="","",IFERROR(IF(ISNUMBER(INDEX(cfg_fac,MATCH(G982,cfg_units,0))),IF(INDEX(cfg_fac,MATCH(G982,cfg_units,0))&gt;0,INDEX(cfg_fac,MATCH(G982,cfg_units,0)),""),""),""))</f>
        <v/>
      </c>
      <c r="X982" s="96">
        <f>IF(AND(ISNUMBER(F982),ISNUMBER(H982)),IF(H982&gt;0,1,0),0)</f>
        <v>0</v>
      </c>
      <c r="Y982" s="96">
        <f>IF(Q982=0,0,IF(OR(T982=0,X982=0,NOT(ISNUMBER(E982)),AND(J982="Sim",L982="",M982=""),AND(ISNUMBER(E982),ISNUMBER(V982),N(V982)&gt;0,E982&lt;N(V982))),1,0))</f>
        <v>0</v>
      </c>
      <c r="Z982" s="96">
        <f>IF(AND(Q982=1,T982=1,X982=1,J982="Sim",OR(L982&lt;&gt;"",M982&lt;&gt;"")),1,0)</f>
        <v>0</v>
      </c>
      <c r="AA982" s="96">
        <f>IF(Q982=0,0,IF(AND(OR(r_ini="",AND(ISNUMBER(E982),E982&gt;=r_ini)),OR(r_fim="",AND(ISNUMBER(E982),E982&lt;=r_fim)),OR(r_un="",r_un="(Todas)",IF(N(U982)&gt;0,INDEX('MTRs'!$G$6:$G$505,U982),"")=r_un),OR(r_de="",r_de="(Todos)",D982=r_de)),1,0))</f>
        <v>0</v>
      </c>
      <c r="AB982" s="96" t="str">
        <f>IF(AA982=1,COUNTIF($AA$6:AA982,1),"")</f>
        <v/>
      </c>
    </row>
    <row r="983">
      <c r="A983" s="89" t="inlineStr">
        <is>
          <t>REC-000978</t>
        </is>
      </c>
      <c r="B983" s="94" t="str">
        <f>IF(T983=1,INDEX('ITENS_MTR'!$S$6:$S$1005,S983)&amp;"","")</f>
        <v/>
      </c>
      <c r="C983" s="91" t="n"/>
      <c r="D983" s="94" t="str">
        <f>IF(N(U983)&gt;0,INDEX('MTRs'!$I$6:$I$505,U983)&amp;"","")</f>
        <v/>
      </c>
      <c r="E983" s="92" t="n"/>
      <c r="F983" s="98" t="n"/>
      <c r="G983" s="91" t="n"/>
      <c r="H983" s="93" t="str">
        <f>IF(Q983=0,"",IF(NOT(ISNUMBER(F983)),"",IF(ISNUMBER(W983),F983*W983,"UNIDADE A CONFERIR")))</f>
        <v/>
      </c>
      <c r="I983" s="91" t="n"/>
      <c r="J983" s="91" t="n"/>
      <c r="K983" s="92" t="n"/>
      <c r="L983" s="91" t="n"/>
      <c r="M983" s="91" t="n"/>
      <c r="N983" s="91" t="n"/>
      <c r="O983" s="91" t="n"/>
      <c r="P983" s="94" t="str">
        <f>IF(Q983=0,"",IF(C983="","Item de resíduo não informado",IF(T983=0,"Item inexistente (referência inválida)",IF(NOT(ISNUMBER(F983)),"Quantidade não informada",IF(F983&lt;=0,"Quantidade não positiva",IF(G983="","Unidade não informada",IF(NOT(ISNUMBER(H983)),"Unidade a conferir",IF(NOT(ISNUMBER(E983)),"Data de recebimento não informada",IF(AND(ISNUMBER(V983),N(V983)&gt;0,E983&lt;N(V983)),"Data anterior à emissão do MTR",IF(AND(J983="Sim",L983="",M983=""),"Conferido sem evidência identificada",IF(J983&lt;&gt;"Sim","Aguardando conferência",IF(INDEX('ITENS_MTR'!$AM$6:$AM$1005,S983)=1,"Conferido (ver diferença no item)","Conferido"))))))))))))</f>
        <v/>
      </c>
      <c r="Q983" s="96">
        <f>IF(COUNTA(C983,E983:G983,I983:O983)&gt;0,1,0)</f>
        <v>0</v>
      </c>
      <c r="R983" s="96" t="str">
        <f>IF(C983="","",TRIM(LEFT(C983,FIND(" |",C983&amp;" |")-1)))</f>
        <v/>
      </c>
      <c r="S983" s="96" t="str">
        <f>IF(R983="","",IFERROR(MATCH(R983,'ITENS_MTR'!$A$6:$A$1005,0),""))</f>
        <v/>
      </c>
      <c r="T983" s="96">
        <f>IF(S983="",0,IF(INDEX('ITENS_MTR'!$R$6:$R$1005,S983)=1,1,0))</f>
        <v>0</v>
      </c>
      <c r="U983" s="96" t="str">
        <f>IF(T983=1,INDEX('ITENS_MTR'!$T$6:$T$1005,S983),"")</f>
        <v/>
      </c>
      <c r="V983" s="97" t="str">
        <f>IF(N(U983)&gt;0,INDEX('MTRs'!$E$6:$E$505,U983),"")</f>
        <v/>
      </c>
      <c r="W983" s="96" t="str">
        <f>IF(G983="","",IFERROR(IF(ISNUMBER(INDEX(cfg_fac,MATCH(G983,cfg_units,0))),IF(INDEX(cfg_fac,MATCH(G983,cfg_units,0))&gt;0,INDEX(cfg_fac,MATCH(G983,cfg_units,0)),""),""),""))</f>
        <v/>
      </c>
      <c r="X983" s="96">
        <f>IF(AND(ISNUMBER(F983),ISNUMBER(H983)),IF(H983&gt;0,1,0),0)</f>
        <v>0</v>
      </c>
      <c r="Y983" s="96">
        <f>IF(Q983=0,0,IF(OR(T983=0,X983=0,NOT(ISNUMBER(E983)),AND(J983="Sim",L983="",M983=""),AND(ISNUMBER(E983),ISNUMBER(V983),N(V983)&gt;0,E983&lt;N(V983))),1,0))</f>
        <v>0</v>
      </c>
      <c r="Z983" s="96">
        <f>IF(AND(Q983=1,T983=1,X983=1,J983="Sim",OR(L983&lt;&gt;"",M983&lt;&gt;"")),1,0)</f>
        <v>0</v>
      </c>
      <c r="AA983" s="96">
        <f>IF(Q983=0,0,IF(AND(OR(r_ini="",AND(ISNUMBER(E983),E983&gt;=r_ini)),OR(r_fim="",AND(ISNUMBER(E983),E983&lt;=r_fim)),OR(r_un="",r_un="(Todas)",IF(N(U983)&gt;0,INDEX('MTRs'!$G$6:$G$505,U983),"")=r_un),OR(r_de="",r_de="(Todos)",D983=r_de)),1,0))</f>
        <v>0</v>
      </c>
      <c r="AB983" s="96" t="str">
        <f>IF(AA983=1,COUNTIF($AA$6:AA983,1),"")</f>
        <v/>
      </c>
    </row>
    <row r="984">
      <c r="A984" s="89" t="inlineStr">
        <is>
          <t>REC-000979</t>
        </is>
      </c>
      <c r="B984" s="94" t="str">
        <f>IF(T984=1,INDEX('ITENS_MTR'!$S$6:$S$1005,S984)&amp;"","")</f>
        <v/>
      </c>
      <c r="C984" s="91" t="n"/>
      <c r="D984" s="94" t="str">
        <f>IF(N(U984)&gt;0,INDEX('MTRs'!$I$6:$I$505,U984)&amp;"","")</f>
        <v/>
      </c>
      <c r="E984" s="92" t="n"/>
      <c r="F984" s="98" t="n"/>
      <c r="G984" s="91" t="n"/>
      <c r="H984" s="93" t="str">
        <f>IF(Q984=0,"",IF(NOT(ISNUMBER(F984)),"",IF(ISNUMBER(W984),F984*W984,"UNIDADE A CONFERIR")))</f>
        <v/>
      </c>
      <c r="I984" s="91" t="n"/>
      <c r="J984" s="91" t="n"/>
      <c r="K984" s="92" t="n"/>
      <c r="L984" s="91" t="n"/>
      <c r="M984" s="91" t="n"/>
      <c r="N984" s="91" t="n"/>
      <c r="O984" s="91" t="n"/>
      <c r="P984" s="94" t="str">
        <f>IF(Q984=0,"",IF(C984="","Item de resíduo não informado",IF(T984=0,"Item inexistente (referência inválida)",IF(NOT(ISNUMBER(F984)),"Quantidade não informada",IF(F984&lt;=0,"Quantidade não positiva",IF(G984="","Unidade não informada",IF(NOT(ISNUMBER(H984)),"Unidade a conferir",IF(NOT(ISNUMBER(E984)),"Data de recebimento não informada",IF(AND(ISNUMBER(V984),N(V984)&gt;0,E984&lt;N(V984)),"Data anterior à emissão do MTR",IF(AND(J984="Sim",L984="",M984=""),"Conferido sem evidência identificada",IF(J984&lt;&gt;"Sim","Aguardando conferência",IF(INDEX('ITENS_MTR'!$AM$6:$AM$1005,S984)=1,"Conferido (ver diferença no item)","Conferido"))))))))))))</f>
        <v/>
      </c>
      <c r="Q984" s="96">
        <f>IF(COUNTA(C984,E984:G984,I984:O984)&gt;0,1,0)</f>
        <v>0</v>
      </c>
      <c r="R984" s="96" t="str">
        <f>IF(C984="","",TRIM(LEFT(C984,FIND(" |",C984&amp;" |")-1)))</f>
        <v/>
      </c>
      <c r="S984" s="96" t="str">
        <f>IF(R984="","",IFERROR(MATCH(R984,'ITENS_MTR'!$A$6:$A$1005,0),""))</f>
        <v/>
      </c>
      <c r="T984" s="96">
        <f>IF(S984="",0,IF(INDEX('ITENS_MTR'!$R$6:$R$1005,S984)=1,1,0))</f>
        <v>0</v>
      </c>
      <c r="U984" s="96" t="str">
        <f>IF(T984=1,INDEX('ITENS_MTR'!$T$6:$T$1005,S984),"")</f>
        <v/>
      </c>
      <c r="V984" s="97" t="str">
        <f>IF(N(U984)&gt;0,INDEX('MTRs'!$E$6:$E$505,U984),"")</f>
        <v/>
      </c>
      <c r="W984" s="96" t="str">
        <f>IF(G984="","",IFERROR(IF(ISNUMBER(INDEX(cfg_fac,MATCH(G984,cfg_units,0))),IF(INDEX(cfg_fac,MATCH(G984,cfg_units,0))&gt;0,INDEX(cfg_fac,MATCH(G984,cfg_units,0)),""),""),""))</f>
        <v/>
      </c>
      <c r="X984" s="96">
        <f>IF(AND(ISNUMBER(F984),ISNUMBER(H984)),IF(H984&gt;0,1,0),0)</f>
        <v>0</v>
      </c>
      <c r="Y984" s="96">
        <f>IF(Q984=0,0,IF(OR(T984=0,X984=0,NOT(ISNUMBER(E984)),AND(J984="Sim",L984="",M984=""),AND(ISNUMBER(E984),ISNUMBER(V984),N(V984)&gt;0,E984&lt;N(V984))),1,0))</f>
        <v>0</v>
      </c>
      <c r="Z984" s="96">
        <f>IF(AND(Q984=1,T984=1,X984=1,J984="Sim",OR(L984&lt;&gt;"",M984&lt;&gt;"")),1,0)</f>
        <v>0</v>
      </c>
      <c r="AA984" s="96">
        <f>IF(Q984=0,0,IF(AND(OR(r_ini="",AND(ISNUMBER(E984),E984&gt;=r_ini)),OR(r_fim="",AND(ISNUMBER(E984),E984&lt;=r_fim)),OR(r_un="",r_un="(Todas)",IF(N(U984)&gt;0,INDEX('MTRs'!$G$6:$G$505,U984),"")=r_un),OR(r_de="",r_de="(Todos)",D984=r_de)),1,0))</f>
        <v>0</v>
      </c>
      <c r="AB984" s="96" t="str">
        <f>IF(AA984=1,COUNTIF($AA$6:AA984,1),"")</f>
        <v/>
      </c>
    </row>
    <row r="985">
      <c r="A985" s="89" t="inlineStr">
        <is>
          <t>REC-000980</t>
        </is>
      </c>
      <c r="B985" s="94" t="str">
        <f>IF(T985=1,INDEX('ITENS_MTR'!$S$6:$S$1005,S985)&amp;"","")</f>
        <v/>
      </c>
      <c r="C985" s="91" t="n"/>
      <c r="D985" s="94" t="str">
        <f>IF(N(U985)&gt;0,INDEX('MTRs'!$I$6:$I$505,U985)&amp;"","")</f>
        <v/>
      </c>
      <c r="E985" s="92" t="n"/>
      <c r="F985" s="98" t="n"/>
      <c r="G985" s="91" t="n"/>
      <c r="H985" s="93" t="str">
        <f>IF(Q985=0,"",IF(NOT(ISNUMBER(F985)),"",IF(ISNUMBER(W985),F985*W985,"UNIDADE A CONFERIR")))</f>
        <v/>
      </c>
      <c r="I985" s="91" t="n"/>
      <c r="J985" s="91" t="n"/>
      <c r="K985" s="92" t="n"/>
      <c r="L985" s="91" t="n"/>
      <c r="M985" s="91" t="n"/>
      <c r="N985" s="91" t="n"/>
      <c r="O985" s="91" t="n"/>
      <c r="P985" s="94" t="str">
        <f>IF(Q985=0,"",IF(C985="","Item de resíduo não informado",IF(T985=0,"Item inexistente (referência inválida)",IF(NOT(ISNUMBER(F985)),"Quantidade não informada",IF(F985&lt;=0,"Quantidade não positiva",IF(G985="","Unidade não informada",IF(NOT(ISNUMBER(H985)),"Unidade a conferir",IF(NOT(ISNUMBER(E985)),"Data de recebimento não informada",IF(AND(ISNUMBER(V985),N(V985)&gt;0,E985&lt;N(V985)),"Data anterior à emissão do MTR",IF(AND(J985="Sim",L985="",M985=""),"Conferido sem evidência identificada",IF(J985&lt;&gt;"Sim","Aguardando conferência",IF(INDEX('ITENS_MTR'!$AM$6:$AM$1005,S985)=1,"Conferido (ver diferença no item)","Conferido"))))))))))))</f>
        <v/>
      </c>
      <c r="Q985" s="96">
        <f>IF(COUNTA(C985,E985:G985,I985:O985)&gt;0,1,0)</f>
        <v>0</v>
      </c>
      <c r="R985" s="96" t="str">
        <f>IF(C985="","",TRIM(LEFT(C985,FIND(" |",C985&amp;" |")-1)))</f>
        <v/>
      </c>
      <c r="S985" s="96" t="str">
        <f>IF(R985="","",IFERROR(MATCH(R985,'ITENS_MTR'!$A$6:$A$1005,0),""))</f>
        <v/>
      </c>
      <c r="T985" s="96">
        <f>IF(S985="",0,IF(INDEX('ITENS_MTR'!$R$6:$R$1005,S985)=1,1,0))</f>
        <v>0</v>
      </c>
      <c r="U985" s="96" t="str">
        <f>IF(T985=1,INDEX('ITENS_MTR'!$T$6:$T$1005,S985),"")</f>
        <v/>
      </c>
      <c r="V985" s="97" t="str">
        <f>IF(N(U985)&gt;0,INDEX('MTRs'!$E$6:$E$505,U985),"")</f>
        <v/>
      </c>
      <c r="W985" s="96" t="str">
        <f>IF(G985="","",IFERROR(IF(ISNUMBER(INDEX(cfg_fac,MATCH(G985,cfg_units,0))),IF(INDEX(cfg_fac,MATCH(G985,cfg_units,0))&gt;0,INDEX(cfg_fac,MATCH(G985,cfg_units,0)),""),""),""))</f>
        <v/>
      </c>
      <c r="X985" s="96">
        <f>IF(AND(ISNUMBER(F985),ISNUMBER(H985)),IF(H985&gt;0,1,0),0)</f>
        <v>0</v>
      </c>
      <c r="Y985" s="96">
        <f>IF(Q985=0,0,IF(OR(T985=0,X985=0,NOT(ISNUMBER(E985)),AND(J985="Sim",L985="",M985=""),AND(ISNUMBER(E985),ISNUMBER(V985),N(V985)&gt;0,E985&lt;N(V985))),1,0))</f>
        <v>0</v>
      </c>
      <c r="Z985" s="96">
        <f>IF(AND(Q985=1,T985=1,X985=1,J985="Sim",OR(L985&lt;&gt;"",M985&lt;&gt;"")),1,0)</f>
        <v>0</v>
      </c>
      <c r="AA985" s="96">
        <f>IF(Q985=0,0,IF(AND(OR(r_ini="",AND(ISNUMBER(E985),E985&gt;=r_ini)),OR(r_fim="",AND(ISNUMBER(E985),E985&lt;=r_fim)),OR(r_un="",r_un="(Todas)",IF(N(U985)&gt;0,INDEX('MTRs'!$G$6:$G$505,U985),"")=r_un),OR(r_de="",r_de="(Todos)",D985=r_de)),1,0))</f>
        <v>0</v>
      </c>
      <c r="AB985" s="96" t="str">
        <f>IF(AA985=1,COUNTIF($AA$6:AA985,1),"")</f>
        <v/>
      </c>
    </row>
    <row r="986">
      <c r="A986" s="89" t="inlineStr">
        <is>
          <t>REC-000981</t>
        </is>
      </c>
      <c r="B986" s="94" t="str">
        <f>IF(T986=1,INDEX('ITENS_MTR'!$S$6:$S$1005,S986)&amp;"","")</f>
        <v/>
      </c>
      <c r="C986" s="91" t="n"/>
      <c r="D986" s="94" t="str">
        <f>IF(N(U986)&gt;0,INDEX('MTRs'!$I$6:$I$505,U986)&amp;"","")</f>
        <v/>
      </c>
      <c r="E986" s="92" t="n"/>
      <c r="F986" s="98" t="n"/>
      <c r="G986" s="91" t="n"/>
      <c r="H986" s="93" t="str">
        <f>IF(Q986=0,"",IF(NOT(ISNUMBER(F986)),"",IF(ISNUMBER(W986),F986*W986,"UNIDADE A CONFERIR")))</f>
        <v/>
      </c>
      <c r="I986" s="91" t="n"/>
      <c r="J986" s="91" t="n"/>
      <c r="K986" s="92" t="n"/>
      <c r="L986" s="91" t="n"/>
      <c r="M986" s="91" t="n"/>
      <c r="N986" s="91" t="n"/>
      <c r="O986" s="91" t="n"/>
      <c r="P986" s="94" t="str">
        <f>IF(Q986=0,"",IF(C986="","Item de resíduo não informado",IF(T986=0,"Item inexistente (referência inválida)",IF(NOT(ISNUMBER(F986)),"Quantidade não informada",IF(F986&lt;=0,"Quantidade não positiva",IF(G986="","Unidade não informada",IF(NOT(ISNUMBER(H986)),"Unidade a conferir",IF(NOT(ISNUMBER(E986)),"Data de recebimento não informada",IF(AND(ISNUMBER(V986),N(V986)&gt;0,E986&lt;N(V986)),"Data anterior à emissão do MTR",IF(AND(J986="Sim",L986="",M986=""),"Conferido sem evidência identificada",IF(J986&lt;&gt;"Sim","Aguardando conferência",IF(INDEX('ITENS_MTR'!$AM$6:$AM$1005,S986)=1,"Conferido (ver diferença no item)","Conferido"))))))))))))</f>
        <v/>
      </c>
      <c r="Q986" s="96">
        <f>IF(COUNTA(C986,E986:G986,I986:O986)&gt;0,1,0)</f>
        <v>0</v>
      </c>
      <c r="R986" s="96" t="str">
        <f>IF(C986="","",TRIM(LEFT(C986,FIND(" |",C986&amp;" |")-1)))</f>
        <v/>
      </c>
      <c r="S986" s="96" t="str">
        <f>IF(R986="","",IFERROR(MATCH(R986,'ITENS_MTR'!$A$6:$A$1005,0),""))</f>
        <v/>
      </c>
      <c r="T986" s="96">
        <f>IF(S986="",0,IF(INDEX('ITENS_MTR'!$R$6:$R$1005,S986)=1,1,0))</f>
        <v>0</v>
      </c>
      <c r="U986" s="96" t="str">
        <f>IF(T986=1,INDEX('ITENS_MTR'!$T$6:$T$1005,S986),"")</f>
        <v/>
      </c>
      <c r="V986" s="97" t="str">
        <f>IF(N(U986)&gt;0,INDEX('MTRs'!$E$6:$E$505,U986),"")</f>
        <v/>
      </c>
      <c r="W986" s="96" t="str">
        <f>IF(G986="","",IFERROR(IF(ISNUMBER(INDEX(cfg_fac,MATCH(G986,cfg_units,0))),IF(INDEX(cfg_fac,MATCH(G986,cfg_units,0))&gt;0,INDEX(cfg_fac,MATCH(G986,cfg_units,0)),""),""),""))</f>
        <v/>
      </c>
      <c r="X986" s="96">
        <f>IF(AND(ISNUMBER(F986),ISNUMBER(H986)),IF(H986&gt;0,1,0),0)</f>
        <v>0</v>
      </c>
      <c r="Y986" s="96">
        <f>IF(Q986=0,0,IF(OR(T986=0,X986=0,NOT(ISNUMBER(E986)),AND(J986="Sim",L986="",M986=""),AND(ISNUMBER(E986),ISNUMBER(V986),N(V986)&gt;0,E986&lt;N(V986))),1,0))</f>
        <v>0</v>
      </c>
      <c r="Z986" s="96">
        <f>IF(AND(Q986=1,T986=1,X986=1,J986="Sim",OR(L986&lt;&gt;"",M986&lt;&gt;"")),1,0)</f>
        <v>0</v>
      </c>
      <c r="AA986" s="96">
        <f>IF(Q986=0,0,IF(AND(OR(r_ini="",AND(ISNUMBER(E986),E986&gt;=r_ini)),OR(r_fim="",AND(ISNUMBER(E986),E986&lt;=r_fim)),OR(r_un="",r_un="(Todas)",IF(N(U986)&gt;0,INDEX('MTRs'!$G$6:$G$505,U986),"")=r_un),OR(r_de="",r_de="(Todos)",D986=r_de)),1,0))</f>
        <v>0</v>
      </c>
      <c r="AB986" s="96" t="str">
        <f>IF(AA986=1,COUNTIF($AA$6:AA986,1),"")</f>
        <v/>
      </c>
    </row>
    <row r="987">
      <c r="A987" s="89" t="inlineStr">
        <is>
          <t>REC-000982</t>
        </is>
      </c>
      <c r="B987" s="94" t="str">
        <f>IF(T987=1,INDEX('ITENS_MTR'!$S$6:$S$1005,S987)&amp;"","")</f>
        <v/>
      </c>
      <c r="C987" s="91" t="n"/>
      <c r="D987" s="94" t="str">
        <f>IF(N(U987)&gt;0,INDEX('MTRs'!$I$6:$I$505,U987)&amp;"","")</f>
        <v/>
      </c>
      <c r="E987" s="92" t="n"/>
      <c r="F987" s="98" t="n"/>
      <c r="G987" s="91" t="n"/>
      <c r="H987" s="93" t="str">
        <f>IF(Q987=0,"",IF(NOT(ISNUMBER(F987)),"",IF(ISNUMBER(W987),F987*W987,"UNIDADE A CONFERIR")))</f>
        <v/>
      </c>
      <c r="I987" s="91" t="n"/>
      <c r="J987" s="91" t="n"/>
      <c r="K987" s="92" t="n"/>
      <c r="L987" s="91" t="n"/>
      <c r="M987" s="91" t="n"/>
      <c r="N987" s="91" t="n"/>
      <c r="O987" s="91" t="n"/>
      <c r="P987" s="94" t="str">
        <f>IF(Q987=0,"",IF(C987="","Item de resíduo não informado",IF(T987=0,"Item inexistente (referência inválida)",IF(NOT(ISNUMBER(F987)),"Quantidade não informada",IF(F987&lt;=0,"Quantidade não positiva",IF(G987="","Unidade não informada",IF(NOT(ISNUMBER(H987)),"Unidade a conferir",IF(NOT(ISNUMBER(E987)),"Data de recebimento não informada",IF(AND(ISNUMBER(V987),N(V987)&gt;0,E987&lt;N(V987)),"Data anterior à emissão do MTR",IF(AND(J987="Sim",L987="",M987=""),"Conferido sem evidência identificada",IF(J987&lt;&gt;"Sim","Aguardando conferência",IF(INDEX('ITENS_MTR'!$AM$6:$AM$1005,S987)=1,"Conferido (ver diferença no item)","Conferido"))))))))))))</f>
        <v/>
      </c>
      <c r="Q987" s="96">
        <f>IF(COUNTA(C987,E987:G987,I987:O987)&gt;0,1,0)</f>
        <v>0</v>
      </c>
      <c r="R987" s="96" t="str">
        <f>IF(C987="","",TRIM(LEFT(C987,FIND(" |",C987&amp;" |")-1)))</f>
        <v/>
      </c>
      <c r="S987" s="96" t="str">
        <f>IF(R987="","",IFERROR(MATCH(R987,'ITENS_MTR'!$A$6:$A$1005,0),""))</f>
        <v/>
      </c>
      <c r="T987" s="96">
        <f>IF(S987="",0,IF(INDEX('ITENS_MTR'!$R$6:$R$1005,S987)=1,1,0))</f>
        <v>0</v>
      </c>
      <c r="U987" s="96" t="str">
        <f>IF(T987=1,INDEX('ITENS_MTR'!$T$6:$T$1005,S987),"")</f>
        <v/>
      </c>
      <c r="V987" s="97" t="str">
        <f>IF(N(U987)&gt;0,INDEX('MTRs'!$E$6:$E$505,U987),"")</f>
        <v/>
      </c>
      <c r="W987" s="96" t="str">
        <f>IF(G987="","",IFERROR(IF(ISNUMBER(INDEX(cfg_fac,MATCH(G987,cfg_units,0))),IF(INDEX(cfg_fac,MATCH(G987,cfg_units,0))&gt;0,INDEX(cfg_fac,MATCH(G987,cfg_units,0)),""),""),""))</f>
        <v/>
      </c>
      <c r="X987" s="96">
        <f>IF(AND(ISNUMBER(F987),ISNUMBER(H987)),IF(H987&gt;0,1,0),0)</f>
        <v>0</v>
      </c>
      <c r="Y987" s="96">
        <f>IF(Q987=0,0,IF(OR(T987=0,X987=0,NOT(ISNUMBER(E987)),AND(J987="Sim",L987="",M987=""),AND(ISNUMBER(E987),ISNUMBER(V987),N(V987)&gt;0,E987&lt;N(V987))),1,0))</f>
        <v>0</v>
      </c>
      <c r="Z987" s="96">
        <f>IF(AND(Q987=1,T987=1,X987=1,J987="Sim",OR(L987&lt;&gt;"",M987&lt;&gt;"")),1,0)</f>
        <v>0</v>
      </c>
      <c r="AA987" s="96">
        <f>IF(Q987=0,0,IF(AND(OR(r_ini="",AND(ISNUMBER(E987),E987&gt;=r_ini)),OR(r_fim="",AND(ISNUMBER(E987),E987&lt;=r_fim)),OR(r_un="",r_un="(Todas)",IF(N(U987)&gt;0,INDEX('MTRs'!$G$6:$G$505,U987),"")=r_un),OR(r_de="",r_de="(Todos)",D987=r_de)),1,0))</f>
        <v>0</v>
      </c>
      <c r="AB987" s="96" t="str">
        <f>IF(AA987=1,COUNTIF($AA$6:AA987,1),"")</f>
        <v/>
      </c>
    </row>
    <row r="988">
      <c r="A988" s="89" t="inlineStr">
        <is>
          <t>REC-000983</t>
        </is>
      </c>
      <c r="B988" s="94" t="str">
        <f>IF(T988=1,INDEX('ITENS_MTR'!$S$6:$S$1005,S988)&amp;"","")</f>
        <v/>
      </c>
      <c r="C988" s="91" t="n"/>
      <c r="D988" s="94" t="str">
        <f>IF(N(U988)&gt;0,INDEX('MTRs'!$I$6:$I$505,U988)&amp;"","")</f>
        <v/>
      </c>
      <c r="E988" s="92" t="n"/>
      <c r="F988" s="98" t="n"/>
      <c r="G988" s="91" t="n"/>
      <c r="H988" s="93" t="str">
        <f>IF(Q988=0,"",IF(NOT(ISNUMBER(F988)),"",IF(ISNUMBER(W988),F988*W988,"UNIDADE A CONFERIR")))</f>
        <v/>
      </c>
      <c r="I988" s="91" t="n"/>
      <c r="J988" s="91" t="n"/>
      <c r="K988" s="92" t="n"/>
      <c r="L988" s="91" t="n"/>
      <c r="M988" s="91" t="n"/>
      <c r="N988" s="91" t="n"/>
      <c r="O988" s="91" t="n"/>
      <c r="P988" s="94" t="str">
        <f>IF(Q988=0,"",IF(C988="","Item de resíduo não informado",IF(T988=0,"Item inexistente (referência inválida)",IF(NOT(ISNUMBER(F988)),"Quantidade não informada",IF(F988&lt;=0,"Quantidade não positiva",IF(G988="","Unidade não informada",IF(NOT(ISNUMBER(H988)),"Unidade a conferir",IF(NOT(ISNUMBER(E988)),"Data de recebimento não informada",IF(AND(ISNUMBER(V988),N(V988)&gt;0,E988&lt;N(V988)),"Data anterior à emissão do MTR",IF(AND(J988="Sim",L988="",M988=""),"Conferido sem evidência identificada",IF(J988&lt;&gt;"Sim","Aguardando conferência",IF(INDEX('ITENS_MTR'!$AM$6:$AM$1005,S988)=1,"Conferido (ver diferença no item)","Conferido"))))))))))))</f>
        <v/>
      </c>
      <c r="Q988" s="96">
        <f>IF(COUNTA(C988,E988:G988,I988:O988)&gt;0,1,0)</f>
        <v>0</v>
      </c>
      <c r="R988" s="96" t="str">
        <f>IF(C988="","",TRIM(LEFT(C988,FIND(" |",C988&amp;" |")-1)))</f>
        <v/>
      </c>
      <c r="S988" s="96" t="str">
        <f>IF(R988="","",IFERROR(MATCH(R988,'ITENS_MTR'!$A$6:$A$1005,0),""))</f>
        <v/>
      </c>
      <c r="T988" s="96">
        <f>IF(S988="",0,IF(INDEX('ITENS_MTR'!$R$6:$R$1005,S988)=1,1,0))</f>
        <v>0</v>
      </c>
      <c r="U988" s="96" t="str">
        <f>IF(T988=1,INDEX('ITENS_MTR'!$T$6:$T$1005,S988),"")</f>
        <v/>
      </c>
      <c r="V988" s="97" t="str">
        <f>IF(N(U988)&gt;0,INDEX('MTRs'!$E$6:$E$505,U988),"")</f>
        <v/>
      </c>
      <c r="W988" s="96" t="str">
        <f>IF(G988="","",IFERROR(IF(ISNUMBER(INDEX(cfg_fac,MATCH(G988,cfg_units,0))),IF(INDEX(cfg_fac,MATCH(G988,cfg_units,0))&gt;0,INDEX(cfg_fac,MATCH(G988,cfg_units,0)),""),""),""))</f>
        <v/>
      </c>
      <c r="X988" s="96">
        <f>IF(AND(ISNUMBER(F988),ISNUMBER(H988)),IF(H988&gt;0,1,0),0)</f>
        <v>0</v>
      </c>
      <c r="Y988" s="96">
        <f>IF(Q988=0,0,IF(OR(T988=0,X988=0,NOT(ISNUMBER(E988)),AND(J988="Sim",L988="",M988=""),AND(ISNUMBER(E988),ISNUMBER(V988),N(V988)&gt;0,E988&lt;N(V988))),1,0))</f>
        <v>0</v>
      </c>
      <c r="Z988" s="96">
        <f>IF(AND(Q988=1,T988=1,X988=1,J988="Sim",OR(L988&lt;&gt;"",M988&lt;&gt;"")),1,0)</f>
        <v>0</v>
      </c>
      <c r="AA988" s="96">
        <f>IF(Q988=0,0,IF(AND(OR(r_ini="",AND(ISNUMBER(E988),E988&gt;=r_ini)),OR(r_fim="",AND(ISNUMBER(E988),E988&lt;=r_fim)),OR(r_un="",r_un="(Todas)",IF(N(U988)&gt;0,INDEX('MTRs'!$G$6:$G$505,U988),"")=r_un),OR(r_de="",r_de="(Todos)",D988=r_de)),1,0))</f>
        <v>0</v>
      </c>
      <c r="AB988" s="96" t="str">
        <f>IF(AA988=1,COUNTIF($AA$6:AA988,1),"")</f>
        <v/>
      </c>
    </row>
    <row r="989">
      <c r="A989" s="89" t="inlineStr">
        <is>
          <t>REC-000984</t>
        </is>
      </c>
      <c r="B989" s="94" t="str">
        <f>IF(T989=1,INDEX('ITENS_MTR'!$S$6:$S$1005,S989)&amp;"","")</f>
        <v/>
      </c>
      <c r="C989" s="91" t="n"/>
      <c r="D989" s="94" t="str">
        <f>IF(N(U989)&gt;0,INDEX('MTRs'!$I$6:$I$505,U989)&amp;"","")</f>
        <v/>
      </c>
      <c r="E989" s="92" t="n"/>
      <c r="F989" s="98" t="n"/>
      <c r="G989" s="91" t="n"/>
      <c r="H989" s="93" t="str">
        <f>IF(Q989=0,"",IF(NOT(ISNUMBER(F989)),"",IF(ISNUMBER(W989),F989*W989,"UNIDADE A CONFERIR")))</f>
        <v/>
      </c>
      <c r="I989" s="91" t="n"/>
      <c r="J989" s="91" t="n"/>
      <c r="K989" s="92" t="n"/>
      <c r="L989" s="91" t="n"/>
      <c r="M989" s="91" t="n"/>
      <c r="N989" s="91" t="n"/>
      <c r="O989" s="91" t="n"/>
      <c r="P989" s="94" t="str">
        <f>IF(Q989=0,"",IF(C989="","Item de resíduo não informado",IF(T989=0,"Item inexistente (referência inválida)",IF(NOT(ISNUMBER(F989)),"Quantidade não informada",IF(F989&lt;=0,"Quantidade não positiva",IF(G989="","Unidade não informada",IF(NOT(ISNUMBER(H989)),"Unidade a conferir",IF(NOT(ISNUMBER(E989)),"Data de recebimento não informada",IF(AND(ISNUMBER(V989),N(V989)&gt;0,E989&lt;N(V989)),"Data anterior à emissão do MTR",IF(AND(J989="Sim",L989="",M989=""),"Conferido sem evidência identificada",IF(J989&lt;&gt;"Sim","Aguardando conferência",IF(INDEX('ITENS_MTR'!$AM$6:$AM$1005,S989)=1,"Conferido (ver diferença no item)","Conferido"))))))))))))</f>
        <v/>
      </c>
      <c r="Q989" s="96">
        <f>IF(COUNTA(C989,E989:G989,I989:O989)&gt;0,1,0)</f>
        <v>0</v>
      </c>
      <c r="R989" s="96" t="str">
        <f>IF(C989="","",TRIM(LEFT(C989,FIND(" |",C989&amp;" |")-1)))</f>
        <v/>
      </c>
      <c r="S989" s="96" t="str">
        <f>IF(R989="","",IFERROR(MATCH(R989,'ITENS_MTR'!$A$6:$A$1005,0),""))</f>
        <v/>
      </c>
      <c r="T989" s="96">
        <f>IF(S989="",0,IF(INDEX('ITENS_MTR'!$R$6:$R$1005,S989)=1,1,0))</f>
        <v>0</v>
      </c>
      <c r="U989" s="96" t="str">
        <f>IF(T989=1,INDEX('ITENS_MTR'!$T$6:$T$1005,S989),"")</f>
        <v/>
      </c>
      <c r="V989" s="97" t="str">
        <f>IF(N(U989)&gt;0,INDEX('MTRs'!$E$6:$E$505,U989),"")</f>
        <v/>
      </c>
      <c r="W989" s="96" t="str">
        <f>IF(G989="","",IFERROR(IF(ISNUMBER(INDEX(cfg_fac,MATCH(G989,cfg_units,0))),IF(INDEX(cfg_fac,MATCH(G989,cfg_units,0))&gt;0,INDEX(cfg_fac,MATCH(G989,cfg_units,0)),""),""),""))</f>
        <v/>
      </c>
      <c r="X989" s="96">
        <f>IF(AND(ISNUMBER(F989),ISNUMBER(H989)),IF(H989&gt;0,1,0),0)</f>
        <v>0</v>
      </c>
      <c r="Y989" s="96">
        <f>IF(Q989=0,0,IF(OR(T989=0,X989=0,NOT(ISNUMBER(E989)),AND(J989="Sim",L989="",M989=""),AND(ISNUMBER(E989),ISNUMBER(V989),N(V989)&gt;0,E989&lt;N(V989))),1,0))</f>
        <v>0</v>
      </c>
      <c r="Z989" s="96">
        <f>IF(AND(Q989=1,T989=1,X989=1,J989="Sim",OR(L989&lt;&gt;"",M989&lt;&gt;"")),1,0)</f>
        <v>0</v>
      </c>
      <c r="AA989" s="96">
        <f>IF(Q989=0,0,IF(AND(OR(r_ini="",AND(ISNUMBER(E989),E989&gt;=r_ini)),OR(r_fim="",AND(ISNUMBER(E989),E989&lt;=r_fim)),OR(r_un="",r_un="(Todas)",IF(N(U989)&gt;0,INDEX('MTRs'!$G$6:$G$505,U989),"")=r_un),OR(r_de="",r_de="(Todos)",D989=r_de)),1,0))</f>
        <v>0</v>
      </c>
      <c r="AB989" s="96" t="str">
        <f>IF(AA989=1,COUNTIF($AA$6:AA989,1),"")</f>
        <v/>
      </c>
    </row>
    <row r="990">
      <c r="A990" s="89" t="inlineStr">
        <is>
          <t>REC-000985</t>
        </is>
      </c>
      <c r="B990" s="94" t="str">
        <f>IF(T990=1,INDEX('ITENS_MTR'!$S$6:$S$1005,S990)&amp;"","")</f>
        <v/>
      </c>
      <c r="C990" s="91" t="n"/>
      <c r="D990" s="94" t="str">
        <f>IF(N(U990)&gt;0,INDEX('MTRs'!$I$6:$I$505,U990)&amp;"","")</f>
        <v/>
      </c>
      <c r="E990" s="92" t="n"/>
      <c r="F990" s="98" t="n"/>
      <c r="G990" s="91" t="n"/>
      <c r="H990" s="93" t="str">
        <f>IF(Q990=0,"",IF(NOT(ISNUMBER(F990)),"",IF(ISNUMBER(W990),F990*W990,"UNIDADE A CONFERIR")))</f>
        <v/>
      </c>
      <c r="I990" s="91" t="n"/>
      <c r="J990" s="91" t="n"/>
      <c r="K990" s="92" t="n"/>
      <c r="L990" s="91" t="n"/>
      <c r="M990" s="91" t="n"/>
      <c r="N990" s="91" t="n"/>
      <c r="O990" s="91" t="n"/>
      <c r="P990" s="94" t="str">
        <f>IF(Q990=0,"",IF(C990="","Item de resíduo não informado",IF(T990=0,"Item inexistente (referência inválida)",IF(NOT(ISNUMBER(F990)),"Quantidade não informada",IF(F990&lt;=0,"Quantidade não positiva",IF(G990="","Unidade não informada",IF(NOT(ISNUMBER(H990)),"Unidade a conferir",IF(NOT(ISNUMBER(E990)),"Data de recebimento não informada",IF(AND(ISNUMBER(V990),N(V990)&gt;0,E990&lt;N(V990)),"Data anterior à emissão do MTR",IF(AND(J990="Sim",L990="",M990=""),"Conferido sem evidência identificada",IF(J990&lt;&gt;"Sim","Aguardando conferência",IF(INDEX('ITENS_MTR'!$AM$6:$AM$1005,S990)=1,"Conferido (ver diferença no item)","Conferido"))))))))))))</f>
        <v/>
      </c>
      <c r="Q990" s="96">
        <f>IF(COUNTA(C990,E990:G990,I990:O990)&gt;0,1,0)</f>
        <v>0</v>
      </c>
      <c r="R990" s="96" t="str">
        <f>IF(C990="","",TRIM(LEFT(C990,FIND(" |",C990&amp;" |")-1)))</f>
        <v/>
      </c>
      <c r="S990" s="96" t="str">
        <f>IF(R990="","",IFERROR(MATCH(R990,'ITENS_MTR'!$A$6:$A$1005,0),""))</f>
        <v/>
      </c>
      <c r="T990" s="96">
        <f>IF(S990="",0,IF(INDEX('ITENS_MTR'!$R$6:$R$1005,S990)=1,1,0))</f>
        <v>0</v>
      </c>
      <c r="U990" s="96" t="str">
        <f>IF(T990=1,INDEX('ITENS_MTR'!$T$6:$T$1005,S990),"")</f>
        <v/>
      </c>
      <c r="V990" s="97" t="str">
        <f>IF(N(U990)&gt;0,INDEX('MTRs'!$E$6:$E$505,U990),"")</f>
        <v/>
      </c>
      <c r="W990" s="96" t="str">
        <f>IF(G990="","",IFERROR(IF(ISNUMBER(INDEX(cfg_fac,MATCH(G990,cfg_units,0))),IF(INDEX(cfg_fac,MATCH(G990,cfg_units,0))&gt;0,INDEX(cfg_fac,MATCH(G990,cfg_units,0)),""),""),""))</f>
        <v/>
      </c>
      <c r="X990" s="96">
        <f>IF(AND(ISNUMBER(F990),ISNUMBER(H990)),IF(H990&gt;0,1,0),0)</f>
        <v>0</v>
      </c>
      <c r="Y990" s="96">
        <f>IF(Q990=0,0,IF(OR(T990=0,X990=0,NOT(ISNUMBER(E990)),AND(J990="Sim",L990="",M990=""),AND(ISNUMBER(E990),ISNUMBER(V990),N(V990)&gt;0,E990&lt;N(V990))),1,0))</f>
        <v>0</v>
      </c>
      <c r="Z990" s="96">
        <f>IF(AND(Q990=1,T990=1,X990=1,J990="Sim",OR(L990&lt;&gt;"",M990&lt;&gt;"")),1,0)</f>
        <v>0</v>
      </c>
      <c r="AA990" s="96">
        <f>IF(Q990=0,0,IF(AND(OR(r_ini="",AND(ISNUMBER(E990),E990&gt;=r_ini)),OR(r_fim="",AND(ISNUMBER(E990),E990&lt;=r_fim)),OR(r_un="",r_un="(Todas)",IF(N(U990)&gt;0,INDEX('MTRs'!$G$6:$G$505,U990),"")=r_un),OR(r_de="",r_de="(Todos)",D990=r_de)),1,0))</f>
        <v>0</v>
      </c>
      <c r="AB990" s="96" t="str">
        <f>IF(AA990=1,COUNTIF($AA$6:AA990,1),"")</f>
        <v/>
      </c>
    </row>
    <row r="991">
      <c r="A991" s="89" t="inlineStr">
        <is>
          <t>REC-000986</t>
        </is>
      </c>
      <c r="B991" s="94" t="str">
        <f>IF(T991=1,INDEX('ITENS_MTR'!$S$6:$S$1005,S991)&amp;"","")</f>
        <v/>
      </c>
      <c r="C991" s="91" t="n"/>
      <c r="D991" s="94" t="str">
        <f>IF(N(U991)&gt;0,INDEX('MTRs'!$I$6:$I$505,U991)&amp;"","")</f>
        <v/>
      </c>
      <c r="E991" s="92" t="n"/>
      <c r="F991" s="98" t="n"/>
      <c r="G991" s="91" t="n"/>
      <c r="H991" s="93" t="str">
        <f>IF(Q991=0,"",IF(NOT(ISNUMBER(F991)),"",IF(ISNUMBER(W991),F991*W991,"UNIDADE A CONFERIR")))</f>
        <v/>
      </c>
      <c r="I991" s="91" t="n"/>
      <c r="J991" s="91" t="n"/>
      <c r="K991" s="92" t="n"/>
      <c r="L991" s="91" t="n"/>
      <c r="M991" s="91" t="n"/>
      <c r="N991" s="91" t="n"/>
      <c r="O991" s="91" t="n"/>
      <c r="P991" s="94" t="str">
        <f>IF(Q991=0,"",IF(C991="","Item de resíduo não informado",IF(T991=0,"Item inexistente (referência inválida)",IF(NOT(ISNUMBER(F991)),"Quantidade não informada",IF(F991&lt;=0,"Quantidade não positiva",IF(G991="","Unidade não informada",IF(NOT(ISNUMBER(H991)),"Unidade a conferir",IF(NOT(ISNUMBER(E991)),"Data de recebimento não informada",IF(AND(ISNUMBER(V991),N(V991)&gt;0,E991&lt;N(V991)),"Data anterior à emissão do MTR",IF(AND(J991="Sim",L991="",M991=""),"Conferido sem evidência identificada",IF(J991&lt;&gt;"Sim","Aguardando conferência",IF(INDEX('ITENS_MTR'!$AM$6:$AM$1005,S991)=1,"Conferido (ver diferença no item)","Conferido"))))))))))))</f>
        <v/>
      </c>
      <c r="Q991" s="96">
        <f>IF(COUNTA(C991,E991:G991,I991:O991)&gt;0,1,0)</f>
        <v>0</v>
      </c>
      <c r="R991" s="96" t="str">
        <f>IF(C991="","",TRIM(LEFT(C991,FIND(" |",C991&amp;" |")-1)))</f>
        <v/>
      </c>
      <c r="S991" s="96" t="str">
        <f>IF(R991="","",IFERROR(MATCH(R991,'ITENS_MTR'!$A$6:$A$1005,0),""))</f>
        <v/>
      </c>
      <c r="T991" s="96">
        <f>IF(S991="",0,IF(INDEX('ITENS_MTR'!$R$6:$R$1005,S991)=1,1,0))</f>
        <v>0</v>
      </c>
      <c r="U991" s="96" t="str">
        <f>IF(T991=1,INDEX('ITENS_MTR'!$T$6:$T$1005,S991),"")</f>
        <v/>
      </c>
      <c r="V991" s="97" t="str">
        <f>IF(N(U991)&gt;0,INDEX('MTRs'!$E$6:$E$505,U991),"")</f>
        <v/>
      </c>
      <c r="W991" s="96" t="str">
        <f>IF(G991="","",IFERROR(IF(ISNUMBER(INDEX(cfg_fac,MATCH(G991,cfg_units,0))),IF(INDEX(cfg_fac,MATCH(G991,cfg_units,0))&gt;0,INDEX(cfg_fac,MATCH(G991,cfg_units,0)),""),""),""))</f>
        <v/>
      </c>
      <c r="X991" s="96">
        <f>IF(AND(ISNUMBER(F991),ISNUMBER(H991)),IF(H991&gt;0,1,0),0)</f>
        <v>0</v>
      </c>
      <c r="Y991" s="96">
        <f>IF(Q991=0,0,IF(OR(T991=0,X991=0,NOT(ISNUMBER(E991)),AND(J991="Sim",L991="",M991=""),AND(ISNUMBER(E991),ISNUMBER(V991),N(V991)&gt;0,E991&lt;N(V991))),1,0))</f>
        <v>0</v>
      </c>
      <c r="Z991" s="96">
        <f>IF(AND(Q991=1,T991=1,X991=1,J991="Sim",OR(L991&lt;&gt;"",M991&lt;&gt;"")),1,0)</f>
        <v>0</v>
      </c>
      <c r="AA991" s="96">
        <f>IF(Q991=0,0,IF(AND(OR(r_ini="",AND(ISNUMBER(E991),E991&gt;=r_ini)),OR(r_fim="",AND(ISNUMBER(E991),E991&lt;=r_fim)),OR(r_un="",r_un="(Todas)",IF(N(U991)&gt;0,INDEX('MTRs'!$G$6:$G$505,U991),"")=r_un),OR(r_de="",r_de="(Todos)",D991=r_de)),1,0))</f>
        <v>0</v>
      </c>
      <c r="AB991" s="96" t="str">
        <f>IF(AA991=1,COUNTIF($AA$6:AA991,1),"")</f>
        <v/>
      </c>
    </row>
    <row r="992">
      <c r="A992" s="89" t="inlineStr">
        <is>
          <t>REC-000987</t>
        </is>
      </c>
      <c r="B992" s="94" t="str">
        <f>IF(T992=1,INDEX('ITENS_MTR'!$S$6:$S$1005,S992)&amp;"","")</f>
        <v/>
      </c>
      <c r="C992" s="91" t="n"/>
      <c r="D992" s="94" t="str">
        <f>IF(N(U992)&gt;0,INDEX('MTRs'!$I$6:$I$505,U992)&amp;"","")</f>
        <v/>
      </c>
      <c r="E992" s="92" t="n"/>
      <c r="F992" s="98" t="n"/>
      <c r="G992" s="91" t="n"/>
      <c r="H992" s="93" t="str">
        <f>IF(Q992=0,"",IF(NOT(ISNUMBER(F992)),"",IF(ISNUMBER(W992),F992*W992,"UNIDADE A CONFERIR")))</f>
        <v/>
      </c>
      <c r="I992" s="91" t="n"/>
      <c r="J992" s="91" t="n"/>
      <c r="K992" s="92" t="n"/>
      <c r="L992" s="91" t="n"/>
      <c r="M992" s="91" t="n"/>
      <c r="N992" s="91" t="n"/>
      <c r="O992" s="91" t="n"/>
      <c r="P992" s="94" t="str">
        <f>IF(Q992=0,"",IF(C992="","Item de resíduo não informado",IF(T992=0,"Item inexistente (referência inválida)",IF(NOT(ISNUMBER(F992)),"Quantidade não informada",IF(F992&lt;=0,"Quantidade não positiva",IF(G992="","Unidade não informada",IF(NOT(ISNUMBER(H992)),"Unidade a conferir",IF(NOT(ISNUMBER(E992)),"Data de recebimento não informada",IF(AND(ISNUMBER(V992),N(V992)&gt;0,E992&lt;N(V992)),"Data anterior à emissão do MTR",IF(AND(J992="Sim",L992="",M992=""),"Conferido sem evidência identificada",IF(J992&lt;&gt;"Sim","Aguardando conferência",IF(INDEX('ITENS_MTR'!$AM$6:$AM$1005,S992)=1,"Conferido (ver diferença no item)","Conferido"))))))))))))</f>
        <v/>
      </c>
      <c r="Q992" s="96">
        <f>IF(COUNTA(C992,E992:G992,I992:O992)&gt;0,1,0)</f>
        <v>0</v>
      </c>
      <c r="R992" s="96" t="str">
        <f>IF(C992="","",TRIM(LEFT(C992,FIND(" |",C992&amp;" |")-1)))</f>
        <v/>
      </c>
      <c r="S992" s="96" t="str">
        <f>IF(R992="","",IFERROR(MATCH(R992,'ITENS_MTR'!$A$6:$A$1005,0),""))</f>
        <v/>
      </c>
      <c r="T992" s="96">
        <f>IF(S992="",0,IF(INDEX('ITENS_MTR'!$R$6:$R$1005,S992)=1,1,0))</f>
        <v>0</v>
      </c>
      <c r="U992" s="96" t="str">
        <f>IF(T992=1,INDEX('ITENS_MTR'!$T$6:$T$1005,S992),"")</f>
        <v/>
      </c>
      <c r="V992" s="97" t="str">
        <f>IF(N(U992)&gt;0,INDEX('MTRs'!$E$6:$E$505,U992),"")</f>
        <v/>
      </c>
      <c r="W992" s="96" t="str">
        <f>IF(G992="","",IFERROR(IF(ISNUMBER(INDEX(cfg_fac,MATCH(G992,cfg_units,0))),IF(INDEX(cfg_fac,MATCH(G992,cfg_units,0))&gt;0,INDEX(cfg_fac,MATCH(G992,cfg_units,0)),""),""),""))</f>
        <v/>
      </c>
      <c r="X992" s="96">
        <f>IF(AND(ISNUMBER(F992),ISNUMBER(H992)),IF(H992&gt;0,1,0),0)</f>
        <v>0</v>
      </c>
      <c r="Y992" s="96">
        <f>IF(Q992=0,0,IF(OR(T992=0,X992=0,NOT(ISNUMBER(E992)),AND(J992="Sim",L992="",M992=""),AND(ISNUMBER(E992),ISNUMBER(V992),N(V992)&gt;0,E992&lt;N(V992))),1,0))</f>
        <v>0</v>
      </c>
      <c r="Z992" s="96">
        <f>IF(AND(Q992=1,T992=1,X992=1,J992="Sim",OR(L992&lt;&gt;"",M992&lt;&gt;"")),1,0)</f>
        <v>0</v>
      </c>
      <c r="AA992" s="96">
        <f>IF(Q992=0,0,IF(AND(OR(r_ini="",AND(ISNUMBER(E992),E992&gt;=r_ini)),OR(r_fim="",AND(ISNUMBER(E992),E992&lt;=r_fim)),OR(r_un="",r_un="(Todas)",IF(N(U992)&gt;0,INDEX('MTRs'!$G$6:$G$505,U992),"")=r_un),OR(r_de="",r_de="(Todos)",D992=r_de)),1,0))</f>
        <v>0</v>
      </c>
      <c r="AB992" s="96" t="str">
        <f>IF(AA992=1,COUNTIF($AA$6:AA992,1),"")</f>
        <v/>
      </c>
    </row>
    <row r="993">
      <c r="A993" s="89" t="inlineStr">
        <is>
          <t>REC-000988</t>
        </is>
      </c>
      <c r="B993" s="94" t="str">
        <f>IF(T993=1,INDEX('ITENS_MTR'!$S$6:$S$1005,S993)&amp;"","")</f>
        <v/>
      </c>
      <c r="C993" s="91" t="n"/>
      <c r="D993" s="94" t="str">
        <f>IF(N(U993)&gt;0,INDEX('MTRs'!$I$6:$I$505,U993)&amp;"","")</f>
        <v/>
      </c>
      <c r="E993" s="92" t="n"/>
      <c r="F993" s="98" t="n"/>
      <c r="G993" s="91" t="n"/>
      <c r="H993" s="93" t="str">
        <f>IF(Q993=0,"",IF(NOT(ISNUMBER(F993)),"",IF(ISNUMBER(W993),F993*W993,"UNIDADE A CONFERIR")))</f>
        <v/>
      </c>
      <c r="I993" s="91" t="n"/>
      <c r="J993" s="91" t="n"/>
      <c r="K993" s="92" t="n"/>
      <c r="L993" s="91" t="n"/>
      <c r="M993" s="91" t="n"/>
      <c r="N993" s="91" t="n"/>
      <c r="O993" s="91" t="n"/>
      <c r="P993" s="94" t="str">
        <f>IF(Q993=0,"",IF(C993="","Item de resíduo não informado",IF(T993=0,"Item inexistente (referência inválida)",IF(NOT(ISNUMBER(F993)),"Quantidade não informada",IF(F993&lt;=0,"Quantidade não positiva",IF(G993="","Unidade não informada",IF(NOT(ISNUMBER(H993)),"Unidade a conferir",IF(NOT(ISNUMBER(E993)),"Data de recebimento não informada",IF(AND(ISNUMBER(V993),N(V993)&gt;0,E993&lt;N(V993)),"Data anterior à emissão do MTR",IF(AND(J993="Sim",L993="",M993=""),"Conferido sem evidência identificada",IF(J993&lt;&gt;"Sim","Aguardando conferência",IF(INDEX('ITENS_MTR'!$AM$6:$AM$1005,S993)=1,"Conferido (ver diferença no item)","Conferido"))))))))))))</f>
        <v/>
      </c>
      <c r="Q993" s="96">
        <f>IF(COUNTA(C993,E993:G993,I993:O993)&gt;0,1,0)</f>
        <v>0</v>
      </c>
      <c r="R993" s="96" t="str">
        <f>IF(C993="","",TRIM(LEFT(C993,FIND(" |",C993&amp;" |")-1)))</f>
        <v/>
      </c>
      <c r="S993" s="96" t="str">
        <f>IF(R993="","",IFERROR(MATCH(R993,'ITENS_MTR'!$A$6:$A$1005,0),""))</f>
        <v/>
      </c>
      <c r="T993" s="96">
        <f>IF(S993="",0,IF(INDEX('ITENS_MTR'!$R$6:$R$1005,S993)=1,1,0))</f>
        <v>0</v>
      </c>
      <c r="U993" s="96" t="str">
        <f>IF(T993=1,INDEX('ITENS_MTR'!$T$6:$T$1005,S993),"")</f>
        <v/>
      </c>
      <c r="V993" s="97" t="str">
        <f>IF(N(U993)&gt;0,INDEX('MTRs'!$E$6:$E$505,U993),"")</f>
        <v/>
      </c>
      <c r="W993" s="96" t="str">
        <f>IF(G993="","",IFERROR(IF(ISNUMBER(INDEX(cfg_fac,MATCH(G993,cfg_units,0))),IF(INDEX(cfg_fac,MATCH(G993,cfg_units,0))&gt;0,INDEX(cfg_fac,MATCH(G993,cfg_units,0)),""),""),""))</f>
        <v/>
      </c>
      <c r="X993" s="96">
        <f>IF(AND(ISNUMBER(F993),ISNUMBER(H993)),IF(H993&gt;0,1,0),0)</f>
        <v>0</v>
      </c>
      <c r="Y993" s="96">
        <f>IF(Q993=0,0,IF(OR(T993=0,X993=0,NOT(ISNUMBER(E993)),AND(J993="Sim",L993="",M993=""),AND(ISNUMBER(E993),ISNUMBER(V993),N(V993)&gt;0,E993&lt;N(V993))),1,0))</f>
        <v>0</v>
      </c>
      <c r="Z993" s="96">
        <f>IF(AND(Q993=1,T993=1,X993=1,J993="Sim",OR(L993&lt;&gt;"",M993&lt;&gt;"")),1,0)</f>
        <v>0</v>
      </c>
      <c r="AA993" s="96">
        <f>IF(Q993=0,0,IF(AND(OR(r_ini="",AND(ISNUMBER(E993),E993&gt;=r_ini)),OR(r_fim="",AND(ISNUMBER(E993),E993&lt;=r_fim)),OR(r_un="",r_un="(Todas)",IF(N(U993)&gt;0,INDEX('MTRs'!$G$6:$G$505,U993),"")=r_un),OR(r_de="",r_de="(Todos)",D993=r_de)),1,0))</f>
        <v>0</v>
      </c>
      <c r="AB993" s="96" t="str">
        <f>IF(AA993=1,COUNTIF($AA$6:AA993,1),"")</f>
        <v/>
      </c>
    </row>
    <row r="994">
      <c r="A994" s="89" t="inlineStr">
        <is>
          <t>REC-000989</t>
        </is>
      </c>
      <c r="B994" s="94" t="str">
        <f>IF(T994=1,INDEX('ITENS_MTR'!$S$6:$S$1005,S994)&amp;"","")</f>
        <v/>
      </c>
      <c r="C994" s="91" t="n"/>
      <c r="D994" s="94" t="str">
        <f>IF(N(U994)&gt;0,INDEX('MTRs'!$I$6:$I$505,U994)&amp;"","")</f>
        <v/>
      </c>
      <c r="E994" s="92" t="n"/>
      <c r="F994" s="98" t="n"/>
      <c r="G994" s="91" t="n"/>
      <c r="H994" s="93" t="str">
        <f>IF(Q994=0,"",IF(NOT(ISNUMBER(F994)),"",IF(ISNUMBER(W994),F994*W994,"UNIDADE A CONFERIR")))</f>
        <v/>
      </c>
      <c r="I994" s="91" t="n"/>
      <c r="J994" s="91" t="n"/>
      <c r="K994" s="92" t="n"/>
      <c r="L994" s="91" t="n"/>
      <c r="M994" s="91" t="n"/>
      <c r="N994" s="91" t="n"/>
      <c r="O994" s="91" t="n"/>
      <c r="P994" s="94" t="str">
        <f>IF(Q994=0,"",IF(C994="","Item de resíduo não informado",IF(T994=0,"Item inexistente (referência inválida)",IF(NOT(ISNUMBER(F994)),"Quantidade não informada",IF(F994&lt;=0,"Quantidade não positiva",IF(G994="","Unidade não informada",IF(NOT(ISNUMBER(H994)),"Unidade a conferir",IF(NOT(ISNUMBER(E994)),"Data de recebimento não informada",IF(AND(ISNUMBER(V994),N(V994)&gt;0,E994&lt;N(V994)),"Data anterior à emissão do MTR",IF(AND(J994="Sim",L994="",M994=""),"Conferido sem evidência identificada",IF(J994&lt;&gt;"Sim","Aguardando conferência",IF(INDEX('ITENS_MTR'!$AM$6:$AM$1005,S994)=1,"Conferido (ver diferença no item)","Conferido"))))))))))))</f>
        <v/>
      </c>
      <c r="Q994" s="96">
        <f>IF(COUNTA(C994,E994:G994,I994:O994)&gt;0,1,0)</f>
        <v>0</v>
      </c>
      <c r="R994" s="96" t="str">
        <f>IF(C994="","",TRIM(LEFT(C994,FIND(" |",C994&amp;" |")-1)))</f>
        <v/>
      </c>
      <c r="S994" s="96" t="str">
        <f>IF(R994="","",IFERROR(MATCH(R994,'ITENS_MTR'!$A$6:$A$1005,0),""))</f>
        <v/>
      </c>
      <c r="T994" s="96">
        <f>IF(S994="",0,IF(INDEX('ITENS_MTR'!$R$6:$R$1005,S994)=1,1,0))</f>
        <v>0</v>
      </c>
      <c r="U994" s="96" t="str">
        <f>IF(T994=1,INDEX('ITENS_MTR'!$T$6:$T$1005,S994),"")</f>
        <v/>
      </c>
      <c r="V994" s="97" t="str">
        <f>IF(N(U994)&gt;0,INDEX('MTRs'!$E$6:$E$505,U994),"")</f>
        <v/>
      </c>
      <c r="W994" s="96" t="str">
        <f>IF(G994="","",IFERROR(IF(ISNUMBER(INDEX(cfg_fac,MATCH(G994,cfg_units,0))),IF(INDEX(cfg_fac,MATCH(G994,cfg_units,0))&gt;0,INDEX(cfg_fac,MATCH(G994,cfg_units,0)),""),""),""))</f>
        <v/>
      </c>
      <c r="X994" s="96">
        <f>IF(AND(ISNUMBER(F994),ISNUMBER(H994)),IF(H994&gt;0,1,0),0)</f>
        <v>0</v>
      </c>
      <c r="Y994" s="96">
        <f>IF(Q994=0,0,IF(OR(T994=0,X994=0,NOT(ISNUMBER(E994)),AND(J994="Sim",L994="",M994=""),AND(ISNUMBER(E994),ISNUMBER(V994),N(V994)&gt;0,E994&lt;N(V994))),1,0))</f>
        <v>0</v>
      </c>
      <c r="Z994" s="96">
        <f>IF(AND(Q994=1,T994=1,X994=1,J994="Sim",OR(L994&lt;&gt;"",M994&lt;&gt;"")),1,0)</f>
        <v>0</v>
      </c>
      <c r="AA994" s="96">
        <f>IF(Q994=0,0,IF(AND(OR(r_ini="",AND(ISNUMBER(E994),E994&gt;=r_ini)),OR(r_fim="",AND(ISNUMBER(E994),E994&lt;=r_fim)),OR(r_un="",r_un="(Todas)",IF(N(U994)&gt;0,INDEX('MTRs'!$G$6:$G$505,U994),"")=r_un),OR(r_de="",r_de="(Todos)",D994=r_de)),1,0))</f>
        <v>0</v>
      </c>
      <c r="AB994" s="96" t="str">
        <f>IF(AA994=1,COUNTIF($AA$6:AA994,1),"")</f>
        <v/>
      </c>
    </row>
    <row r="995">
      <c r="A995" s="89" t="inlineStr">
        <is>
          <t>REC-000990</t>
        </is>
      </c>
      <c r="B995" s="94" t="str">
        <f>IF(T995=1,INDEX('ITENS_MTR'!$S$6:$S$1005,S995)&amp;"","")</f>
        <v/>
      </c>
      <c r="C995" s="91" t="n"/>
      <c r="D995" s="94" t="str">
        <f>IF(N(U995)&gt;0,INDEX('MTRs'!$I$6:$I$505,U995)&amp;"","")</f>
        <v/>
      </c>
      <c r="E995" s="92" t="n"/>
      <c r="F995" s="98" t="n"/>
      <c r="G995" s="91" t="n"/>
      <c r="H995" s="93" t="str">
        <f>IF(Q995=0,"",IF(NOT(ISNUMBER(F995)),"",IF(ISNUMBER(W995),F995*W995,"UNIDADE A CONFERIR")))</f>
        <v/>
      </c>
      <c r="I995" s="91" t="n"/>
      <c r="J995" s="91" t="n"/>
      <c r="K995" s="92" t="n"/>
      <c r="L995" s="91" t="n"/>
      <c r="M995" s="91" t="n"/>
      <c r="N995" s="91" t="n"/>
      <c r="O995" s="91" t="n"/>
      <c r="P995" s="94" t="str">
        <f>IF(Q995=0,"",IF(C995="","Item de resíduo não informado",IF(T995=0,"Item inexistente (referência inválida)",IF(NOT(ISNUMBER(F995)),"Quantidade não informada",IF(F995&lt;=0,"Quantidade não positiva",IF(G995="","Unidade não informada",IF(NOT(ISNUMBER(H995)),"Unidade a conferir",IF(NOT(ISNUMBER(E995)),"Data de recebimento não informada",IF(AND(ISNUMBER(V995),N(V995)&gt;0,E995&lt;N(V995)),"Data anterior à emissão do MTR",IF(AND(J995="Sim",L995="",M995=""),"Conferido sem evidência identificada",IF(J995&lt;&gt;"Sim","Aguardando conferência",IF(INDEX('ITENS_MTR'!$AM$6:$AM$1005,S995)=1,"Conferido (ver diferença no item)","Conferido"))))))))))))</f>
        <v/>
      </c>
      <c r="Q995" s="96">
        <f>IF(COUNTA(C995,E995:G995,I995:O995)&gt;0,1,0)</f>
        <v>0</v>
      </c>
      <c r="R995" s="96" t="str">
        <f>IF(C995="","",TRIM(LEFT(C995,FIND(" |",C995&amp;" |")-1)))</f>
        <v/>
      </c>
      <c r="S995" s="96" t="str">
        <f>IF(R995="","",IFERROR(MATCH(R995,'ITENS_MTR'!$A$6:$A$1005,0),""))</f>
        <v/>
      </c>
      <c r="T995" s="96">
        <f>IF(S995="",0,IF(INDEX('ITENS_MTR'!$R$6:$R$1005,S995)=1,1,0))</f>
        <v>0</v>
      </c>
      <c r="U995" s="96" t="str">
        <f>IF(T995=1,INDEX('ITENS_MTR'!$T$6:$T$1005,S995),"")</f>
        <v/>
      </c>
      <c r="V995" s="97" t="str">
        <f>IF(N(U995)&gt;0,INDEX('MTRs'!$E$6:$E$505,U995),"")</f>
        <v/>
      </c>
      <c r="W995" s="96" t="str">
        <f>IF(G995="","",IFERROR(IF(ISNUMBER(INDEX(cfg_fac,MATCH(G995,cfg_units,0))),IF(INDEX(cfg_fac,MATCH(G995,cfg_units,0))&gt;0,INDEX(cfg_fac,MATCH(G995,cfg_units,0)),""),""),""))</f>
        <v/>
      </c>
      <c r="X995" s="96">
        <f>IF(AND(ISNUMBER(F995),ISNUMBER(H995)),IF(H995&gt;0,1,0),0)</f>
        <v>0</v>
      </c>
      <c r="Y995" s="96">
        <f>IF(Q995=0,0,IF(OR(T995=0,X995=0,NOT(ISNUMBER(E995)),AND(J995="Sim",L995="",M995=""),AND(ISNUMBER(E995),ISNUMBER(V995),N(V995)&gt;0,E995&lt;N(V995))),1,0))</f>
        <v>0</v>
      </c>
      <c r="Z995" s="96">
        <f>IF(AND(Q995=1,T995=1,X995=1,J995="Sim",OR(L995&lt;&gt;"",M995&lt;&gt;"")),1,0)</f>
        <v>0</v>
      </c>
      <c r="AA995" s="96">
        <f>IF(Q995=0,0,IF(AND(OR(r_ini="",AND(ISNUMBER(E995),E995&gt;=r_ini)),OR(r_fim="",AND(ISNUMBER(E995),E995&lt;=r_fim)),OR(r_un="",r_un="(Todas)",IF(N(U995)&gt;0,INDEX('MTRs'!$G$6:$G$505,U995),"")=r_un),OR(r_de="",r_de="(Todos)",D995=r_de)),1,0))</f>
        <v>0</v>
      </c>
      <c r="AB995" s="96" t="str">
        <f>IF(AA995=1,COUNTIF($AA$6:AA995,1),"")</f>
        <v/>
      </c>
    </row>
    <row r="996">
      <c r="A996" s="89" t="inlineStr">
        <is>
          <t>REC-000991</t>
        </is>
      </c>
      <c r="B996" s="94" t="str">
        <f>IF(T996=1,INDEX('ITENS_MTR'!$S$6:$S$1005,S996)&amp;"","")</f>
        <v/>
      </c>
      <c r="C996" s="91" t="n"/>
      <c r="D996" s="94" t="str">
        <f>IF(N(U996)&gt;0,INDEX('MTRs'!$I$6:$I$505,U996)&amp;"","")</f>
        <v/>
      </c>
      <c r="E996" s="92" t="n"/>
      <c r="F996" s="98" t="n"/>
      <c r="G996" s="91" t="n"/>
      <c r="H996" s="93" t="str">
        <f>IF(Q996=0,"",IF(NOT(ISNUMBER(F996)),"",IF(ISNUMBER(W996),F996*W996,"UNIDADE A CONFERIR")))</f>
        <v/>
      </c>
      <c r="I996" s="91" t="n"/>
      <c r="J996" s="91" t="n"/>
      <c r="K996" s="92" t="n"/>
      <c r="L996" s="91" t="n"/>
      <c r="M996" s="91" t="n"/>
      <c r="N996" s="91" t="n"/>
      <c r="O996" s="91" t="n"/>
      <c r="P996" s="94" t="str">
        <f>IF(Q996=0,"",IF(C996="","Item de resíduo não informado",IF(T996=0,"Item inexistente (referência inválida)",IF(NOT(ISNUMBER(F996)),"Quantidade não informada",IF(F996&lt;=0,"Quantidade não positiva",IF(G996="","Unidade não informada",IF(NOT(ISNUMBER(H996)),"Unidade a conferir",IF(NOT(ISNUMBER(E996)),"Data de recebimento não informada",IF(AND(ISNUMBER(V996),N(V996)&gt;0,E996&lt;N(V996)),"Data anterior à emissão do MTR",IF(AND(J996="Sim",L996="",M996=""),"Conferido sem evidência identificada",IF(J996&lt;&gt;"Sim","Aguardando conferência",IF(INDEX('ITENS_MTR'!$AM$6:$AM$1005,S996)=1,"Conferido (ver diferença no item)","Conferido"))))))))))))</f>
        <v/>
      </c>
      <c r="Q996" s="96">
        <f>IF(COUNTA(C996,E996:G996,I996:O996)&gt;0,1,0)</f>
        <v>0</v>
      </c>
      <c r="R996" s="96" t="str">
        <f>IF(C996="","",TRIM(LEFT(C996,FIND(" |",C996&amp;" |")-1)))</f>
        <v/>
      </c>
      <c r="S996" s="96" t="str">
        <f>IF(R996="","",IFERROR(MATCH(R996,'ITENS_MTR'!$A$6:$A$1005,0),""))</f>
        <v/>
      </c>
      <c r="T996" s="96">
        <f>IF(S996="",0,IF(INDEX('ITENS_MTR'!$R$6:$R$1005,S996)=1,1,0))</f>
        <v>0</v>
      </c>
      <c r="U996" s="96" t="str">
        <f>IF(T996=1,INDEX('ITENS_MTR'!$T$6:$T$1005,S996),"")</f>
        <v/>
      </c>
      <c r="V996" s="97" t="str">
        <f>IF(N(U996)&gt;0,INDEX('MTRs'!$E$6:$E$505,U996),"")</f>
        <v/>
      </c>
      <c r="W996" s="96" t="str">
        <f>IF(G996="","",IFERROR(IF(ISNUMBER(INDEX(cfg_fac,MATCH(G996,cfg_units,0))),IF(INDEX(cfg_fac,MATCH(G996,cfg_units,0))&gt;0,INDEX(cfg_fac,MATCH(G996,cfg_units,0)),""),""),""))</f>
        <v/>
      </c>
      <c r="X996" s="96">
        <f>IF(AND(ISNUMBER(F996),ISNUMBER(H996)),IF(H996&gt;0,1,0),0)</f>
        <v>0</v>
      </c>
      <c r="Y996" s="96">
        <f>IF(Q996=0,0,IF(OR(T996=0,X996=0,NOT(ISNUMBER(E996)),AND(J996="Sim",L996="",M996=""),AND(ISNUMBER(E996),ISNUMBER(V996),N(V996)&gt;0,E996&lt;N(V996))),1,0))</f>
        <v>0</v>
      </c>
      <c r="Z996" s="96">
        <f>IF(AND(Q996=1,T996=1,X996=1,J996="Sim",OR(L996&lt;&gt;"",M996&lt;&gt;"")),1,0)</f>
        <v>0</v>
      </c>
      <c r="AA996" s="96">
        <f>IF(Q996=0,0,IF(AND(OR(r_ini="",AND(ISNUMBER(E996),E996&gt;=r_ini)),OR(r_fim="",AND(ISNUMBER(E996),E996&lt;=r_fim)),OR(r_un="",r_un="(Todas)",IF(N(U996)&gt;0,INDEX('MTRs'!$G$6:$G$505,U996),"")=r_un),OR(r_de="",r_de="(Todos)",D996=r_de)),1,0))</f>
        <v>0</v>
      </c>
      <c r="AB996" s="96" t="str">
        <f>IF(AA996=1,COUNTIF($AA$6:AA996,1),"")</f>
        <v/>
      </c>
    </row>
    <row r="997">
      <c r="A997" s="89" t="inlineStr">
        <is>
          <t>REC-000992</t>
        </is>
      </c>
      <c r="B997" s="94" t="str">
        <f>IF(T997=1,INDEX('ITENS_MTR'!$S$6:$S$1005,S997)&amp;"","")</f>
        <v/>
      </c>
      <c r="C997" s="91" t="n"/>
      <c r="D997" s="94" t="str">
        <f>IF(N(U997)&gt;0,INDEX('MTRs'!$I$6:$I$505,U997)&amp;"","")</f>
        <v/>
      </c>
      <c r="E997" s="92" t="n"/>
      <c r="F997" s="98" t="n"/>
      <c r="G997" s="91" t="n"/>
      <c r="H997" s="93" t="str">
        <f>IF(Q997=0,"",IF(NOT(ISNUMBER(F997)),"",IF(ISNUMBER(W997),F997*W997,"UNIDADE A CONFERIR")))</f>
        <v/>
      </c>
      <c r="I997" s="91" t="n"/>
      <c r="J997" s="91" t="n"/>
      <c r="K997" s="92" t="n"/>
      <c r="L997" s="91" t="n"/>
      <c r="M997" s="91" t="n"/>
      <c r="N997" s="91" t="n"/>
      <c r="O997" s="91" t="n"/>
      <c r="P997" s="94" t="str">
        <f>IF(Q997=0,"",IF(C997="","Item de resíduo não informado",IF(T997=0,"Item inexistente (referência inválida)",IF(NOT(ISNUMBER(F997)),"Quantidade não informada",IF(F997&lt;=0,"Quantidade não positiva",IF(G997="","Unidade não informada",IF(NOT(ISNUMBER(H997)),"Unidade a conferir",IF(NOT(ISNUMBER(E997)),"Data de recebimento não informada",IF(AND(ISNUMBER(V997),N(V997)&gt;0,E997&lt;N(V997)),"Data anterior à emissão do MTR",IF(AND(J997="Sim",L997="",M997=""),"Conferido sem evidência identificada",IF(J997&lt;&gt;"Sim","Aguardando conferência",IF(INDEX('ITENS_MTR'!$AM$6:$AM$1005,S997)=1,"Conferido (ver diferença no item)","Conferido"))))))))))))</f>
        <v/>
      </c>
      <c r="Q997" s="96">
        <f>IF(COUNTA(C997,E997:G997,I997:O997)&gt;0,1,0)</f>
        <v>0</v>
      </c>
      <c r="R997" s="96" t="str">
        <f>IF(C997="","",TRIM(LEFT(C997,FIND(" |",C997&amp;" |")-1)))</f>
        <v/>
      </c>
      <c r="S997" s="96" t="str">
        <f>IF(R997="","",IFERROR(MATCH(R997,'ITENS_MTR'!$A$6:$A$1005,0),""))</f>
        <v/>
      </c>
      <c r="T997" s="96">
        <f>IF(S997="",0,IF(INDEX('ITENS_MTR'!$R$6:$R$1005,S997)=1,1,0))</f>
        <v>0</v>
      </c>
      <c r="U997" s="96" t="str">
        <f>IF(T997=1,INDEX('ITENS_MTR'!$T$6:$T$1005,S997),"")</f>
        <v/>
      </c>
      <c r="V997" s="97" t="str">
        <f>IF(N(U997)&gt;0,INDEX('MTRs'!$E$6:$E$505,U997),"")</f>
        <v/>
      </c>
      <c r="W997" s="96" t="str">
        <f>IF(G997="","",IFERROR(IF(ISNUMBER(INDEX(cfg_fac,MATCH(G997,cfg_units,0))),IF(INDEX(cfg_fac,MATCH(G997,cfg_units,0))&gt;0,INDEX(cfg_fac,MATCH(G997,cfg_units,0)),""),""),""))</f>
        <v/>
      </c>
      <c r="X997" s="96">
        <f>IF(AND(ISNUMBER(F997),ISNUMBER(H997)),IF(H997&gt;0,1,0),0)</f>
        <v>0</v>
      </c>
      <c r="Y997" s="96">
        <f>IF(Q997=0,0,IF(OR(T997=0,X997=0,NOT(ISNUMBER(E997)),AND(J997="Sim",L997="",M997=""),AND(ISNUMBER(E997),ISNUMBER(V997),N(V997)&gt;0,E997&lt;N(V997))),1,0))</f>
        <v>0</v>
      </c>
      <c r="Z997" s="96">
        <f>IF(AND(Q997=1,T997=1,X997=1,J997="Sim",OR(L997&lt;&gt;"",M997&lt;&gt;"")),1,0)</f>
        <v>0</v>
      </c>
      <c r="AA997" s="96">
        <f>IF(Q997=0,0,IF(AND(OR(r_ini="",AND(ISNUMBER(E997),E997&gt;=r_ini)),OR(r_fim="",AND(ISNUMBER(E997),E997&lt;=r_fim)),OR(r_un="",r_un="(Todas)",IF(N(U997)&gt;0,INDEX('MTRs'!$G$6:$G$505,U997),"")=r_un),OR(r_de="",r_de="(Todos)",D997=r_de)),1,0))</f>
        <v>0</v>
      </c>
      <c r="AB997" s="96" t="str">
        <f>IF(AA997=1,COUNTIF($AA$6:AA997,1),"")</f>
        <v/>
      </c>
    </row>
    <row r="998">
      <c r="A998" s="89" t="inlineStr">
        <is>
          <t>REC-000993</t>
        </is>
      </c>
      <c r="B998" s="94" t="str">
        <f>IF(T998=1,INDEX('ITENS_MTR'!$S$6:$S$1005,S998)&amp;"","")</f>
        <v/>
      </c>
      <c r="C998" s="91" t="n"/>
      <c r="D998" s="94" t="str">
        <f>IF(N(U998)&gt;0,INDEX('MTRs'!$I$6:$I$505,U998)&amp;"","")</f>
        <v/>
      </c>
      <c r="E998" s="92" t="n"/>
      <c r="F998" s="98" t="n"/>
      <c r="G998" s="91" t="n"/>
      <c r="H998" s="93" t="str">
        <f>IF(Q998=0,"",IF(NOT(ISNUMBER(F998)),"",IF(ISNUMBER(W998),F998*W998,"UNIDADE A CONFERIR")))</f>
        <v/>
      </c>
      <c r="I998" s="91" t="n"/>
      <c r="J998" s="91" t="n"/>
      <c r="K998" s="92" t="n"/>
      <c r="L998" s="91" t="n"/>
      <c r="M998" s="91" t="n"/>
      <c r="N998" s="91" t="n"/>
      <c r="O998" s="91" t="n"/>
      <c r="P998" s="94" t="str">
        <f>IF(Q998=0,"",IF(C998="","Item de resíduo não informado",IF(T998=0,"Item inexistente (referência inválida)",IF(NOT(ISNUMBER(F998)),"Quantidade não informada",IF(F998&lt;=0,"Quantidade não positiva",IF(G998="","Unidade não informada",IF(NOT(ISNUMBER(H998)),"Unidade a conferir",IF(NOT(ISNUMBER(E998)),"Data de recebimento não informada",IF(AND(ISNUMBER(V998),N(V998)&gt;0,E998&lt;N(V998)),"Data anterior à emissão do MTR",IF(AND(J998="Sim",L998="",M998=""),"Conferido sem evidência identificada",IF(J998&lt;&gt;"Sim","Aguardando conferência",IF(INDEX('ITENS_MTR'!$AM$6:$AM$1005,S998)=1,"Conferido (ver diferença no item)","Conferido"))))))))))))</f>
        <v/>
      </c>
      <c r="Q998" s="96">
        <f>IF(COUNTA(C998,E998:G998,I998:O998)&gt;0,1,0)</f>
        <v>0</v>
      </c>
      <c r="R998" s="96" t="str">
        <f>IF(C998="","",TRIM(LEFT(C998,FIND(" |",C998&amp;" |")-1)))</f>
        <v/>
      </c>
      <c r="S998" s="96" t="str">
        <f>IF(R998="","",IFERROR(MATCH(R998,'ITENS_MTR'!$A$6:$A$1005,0),""))</f>
        <v/>
      </c>
      <c r="T998" s="96">
        <f>IF(S998="",0,IF(INDEX('ITENS_MTR'!$R$6:$R$1005,S998)=1,1,0))</f>
        <v>0</v>
      </c>
      <c r="U998" s="96" t="str">
        <f>IF(T998=1,INDEX('ITENS_MTR'!$T$6:$T$1005,S998),"")</f>
        <v/>
      </c>
      <c r="V998" s="97" t="str">
        <f>IF(N(U998)&gt;0,INDEX('MTRs'!$E$6:$E$505,U998),"")</f>
        <v/>
      </c>
      <c r="W998" s="96" t="str">
        <f>IF(G998="","",IFERROR(IF(ISNUMBER(INDEX(cfg_fac,MATCH(G998,cfg_units,0))),IF(INDEX(cfg_fac,MATCH(G998,cfg_units,0))&gt;0,INDEX(cfg_fac,MATCH(G998,cfg_units,0)),""),""),""))</f>
        <v/>
      </c>
      <c r="X998" s="96">
        <f>IF(AND(ISNUMBER(F998),ISNUMBER(H998)),IF(H998&gt;0,1,0),0)</f>
        <v>0</v>
      </c>
      <c r="Y998" s="96">
        <f>IF(Q998=0,0,IF(OR(T998=0,X998=0,NOT(ISNUMBER(E998)),AND(J998="Sim",L998="",M998=""),AND(ISNUMBER(E998),ISNUMBER(V998),N(V998)&gt;0,E998&lt;N(V998))),1,0))</f>
        <v>0</v>
      </c>
      <c r="Z998" s="96">
        <f>IF(AND(Q998=1,T998=1,X998=1,J998="Sim",OR(L998&lt;&gt;"",M998&lt;&gt;"")),1,0)</f>
        <v>0</v>
      </c>
      <c r="AA998" s="96">
        <f>IF(Q998=0,0,IF(AND(OR(r_ini="",AND(ISNUMBER(E998),E998&gt;=r_ini)),OR(r_fim="",AND(ISNUMBER(E998),E998&lt;=r_fim)),OR(r_un="",r_un="(Todas)",IF(N(U998)&gt;0,INDEX('MTRs'!$G$6:$G$505,U998),"")=r_un),OR(r_de="",r_de="(Todos)",D998=r_de)),1,0))</f>
        <v>0</v>
      </c>
      <c r="AB998" s="96" t="str">
        <f>IF(AA998=1,COUNTIF($AA$6:AA998,1),"")</f>
        <v/>
      </c>
    </row>
    <row r="999">
      <c r="A999" s="89" t="inlineStr">
        <is>
          <t>REC-000994</t>
        </is>
      </c>
      <c r="B999" s="94" t="str">
        <f>IF(T999=1,INDEX('ITENS_MTR'!$S$6:$S$1005,S999)&amp;"","")</f>
        <v/>
      </c>
      <c r="C999" s="91" t="n"/>
      <c r="D999" s="94" t="str">
        <f>IF(N(U999)&gt;0,INDEX('MTRs'!$I$6:$I$505,U999)&amp;"","")</f>
        <v/>
      </c>
      <c r="E999" s="92" t="n"/>
      <c r="F999" s="98" t="n"/>
      <c r="G999" s="91" t="n"/>
      <c r="H999" s="93" t="str">
        <f>IF(Q999=0,"",IF(NOT(ISNUMBER(F999)),"",IF(ISNUMBER(W999),F999*W999,"UNIDADE A CONFERIR")))</f>
        <v/>
      </c>
      <c r="I999" s="91" t="n"/>
      <c r="J999" s="91" t="n"/>
      <c r="K999" s="92" t="n"/>
      <c r="L999" s="91" t="n"/>
      <c r="M999" s="91" t="n"/>
      <c r="N999" s="91" t="n"/>
      <c r="O999" s="91" t="n"/>
      <c r="P999" s="94" t="str">
        <f>IF(Q999=0,"",IF(C999="","Item de resíduo não informado",IF(T999=0,"Item inexistente (referência inválida)",IF(NOT(ISNUMBER(F999)),"Quantidade não informada",IF(F999&lt;=0,"Quantidade não positiva",IF(G999="","Unidade não informada",IF(NOT(ISNUMBER(H999)),"Unidade a conferir",IF(NOT(ISNUMBER(E999)),"Data de recebimento não informada",IF(AND(ISNUMBER(V999),N(V999)&gt;0,E999&lt;N(V999)),"Data anterior à emissão do MTR",IF(AND(J999="Sim",L999="",M999=""),"Conferido sem evidência identificada",IF(J999&lt;&gt;"Sim","Aguardando conferência",IF(INDEX('ITENS_MTR'!$AM$6:$AM$1005,S999)=1,"Conferido (ver diferença no item)","Conferido"))))))))))))</f>
        <v/>
      </c>
      <c r="Q999" s="96">
        <f>IF(COUNTA(C999,E999:G999,I999:O999)&gt;0,1,0)</f>
        <v>0</v>
      </c>
      <c r="R999" s="96" t="str">
        <f>IF(C999="","",TRIM(LEFT(C999,FIND(" |",C999&amp;" |")-1)))</f>
        <v/>
      </c>
      <c r="S999" s="96" t="str">
        <f>IF(R999="","",IFERROR(MATCH(R999,'ITENS_MTR'!$A$6:$A$1005,0),""))</f>
        <v/>
      </c>
      <c r="T999" s="96">
        <f>IF(S999="",0,IF(INDEX('ITENS_MTR'!$R$6:$R$1005,S999)=1,1,0))</f>
        <v>0</v>
      </c>
      <c r="U999" s="96" t="str">
        <f>IF(T999=1,INDEX('ITENS_MTR'!$T$6:$T$1005,S999),"")</f>
        <v/>
      </c>
      <c r="V999" s="97" t="str">
        <f>IF(N(U999)&gt;0,INDEX('MTRs'!$E$6:$E$505,U999),"")</f>
        <v/>
      </c>
      <c r="W999" s="96" t="str">
        <f>IF(G999="","",IFERROR(IF(ISNUMBER(INDEX(cfg_fac,MATCH(G999,cfg_units,0))),IF(INDEX(cfg_fac,MATCH(G999,cfg_units,0))&gt;0,INDEX(cfg_fac,MATCH(G999,cfg_units,0)),""),""),""))</f>
        <v/>
      </c>
      <c r="X999" s="96">
        <f>IF(AND(ISNUMBER(F999),ISNUMBER(H999)),IF(H999&gt;0,1,0),0)</f>
        <v>0</v>
      </c>
      <c r="Y999" s="96">
        <f>IF(Q999=0,0,IF(OR(T999=0,X999=0,NOT(ISNUMBER(E999)),AND(J999="Sim",L999="",M999=""),AND(ISNUMBER(E999),ISNUMBER(V999),N(V999)&gt;0,E999&lt;N(V999))),1,0))</f>
        <v>0</v>
      </c>
      <c r="Z999" s="96">
        <f>IF(AND(Q999=1,T999=1,X999=1,J999="Sim",OR(L999&lt;&gt;"",M999&lt;&gt;"")),1,0)</f>
        <v>0</v>
      </c>
      <c r="AA999" s="96">
        <f>IF(Q999=0,0,IF(AND(OR(r_ini="",AND(ISNUMBER(E999),E999&gt;=r_ini)),OR(r_fim="",AND(ISNUMBER(E999),E999&lt;=r_fim)),OR(r_un="",r_un="(Todas)",IF(N(U999)&gt;0,INDEX('MTRs'!$G$6:$G$505,U999),"")=r_un),OR(r_de="",r_de="(Todos)",D999=r_de)),1,0))</f>
        <v>0</v>
      </c>
      <c r="AB999" s="96" t="str">
        <f>IF(AA999=1,COUNTIF($AA$6:AA999,1),"")</f>
        <v/>
      </c>
    </row>
    <row r="1000">
      <c r="A1000" s="89" t="inlineStr">
        <is>
          <t>REC-000995</t>
        </is>
      </c>
      <c r="B1000" s="94" t="str">
        <f>IF(T1000=1,INDEX('ITENS_MTR'!$S$6:$S$1005,S1000)&amp;"","")</f>
        <v/>
      </c>
      <c r="C1000" s="91" t="n"/>
      <c r="D1000" s="94" t="str">
        <f>IF(N(U1000)&gt;0,INDEX('MTRs'!$I$6:$I$505,U1000)&amp;"","")</f>
        <v/>
      </c>
      <c r="E1000" s="92" t="n"/>
      <c r="F1000" s="98" t="n"/>
      <c r="G1000" s="91" t="n"/>
      <c r="H1000" s="93" t="str">
        <f>IF(Q1000=0,"",IF(NOT(ISNUMBER(F1000)),"",IF(ISNUMBER(W1000),F1000*W1000,"UNIDADE A CONFERIR")))</f>
        <v/>
      </c>
      <c r="I1000" s="91" t="n"/>
      <c r="J1000" s="91" t="n"/>
      <c r="K1000" s="92" t="n"/>
      <c r="L1000" s="91" t="n"/>
      <c r="M1000" s="91" t="n"/>
      <c r="N1000" s="91" t="n"/>
      <c r="O1000" s="91" t="n"/>
      <c r="P1000" s="94" t="str">
        <f>IF(Q1000=0,"",IF(C1000="","Item de resíduo não informado",IF(T1000=0,"Item inexistente (referência inválida)",IF(NOT(ISNUMBER(F1000)),"Quantidade não informada",IF(F1000&lt;=0,"Quantidade não positiva",IF(G1000="","Unidade não informada",IF(NOT(ISNUMBER(H1000)),"Unidade a conferir",IF(NOT(ISNUMBER(E1000)),"Data de recebimento não informada",IF(AND(ISNUMBER(V1000),N(V1000)&gt;0,E1000&lt;N(V1000)),"Data anterior à emissão do MTR",IF(AND(J1000="Sim",L1000="",M1000=""),"Conferido sem evidência identificada",IF(J1000&lt;&gt;"Sim","Aguardando conferência",IF(INDEX('ITENS_MTR'!$AM$6:$AM$1005,S1000)=1,"Conferido (ver diferença no item)","Conferido"))))))))))))</f>
        <v/>
      </c>
      <c r="Q1000" s="96">
        <f>IF(COUNTA(C1000,E1000:G1000,I1000:O1000)&gt;0,1,0)</f>
        <v>0</v>
      </c>
      <c r="R1000" s="96" t="str">
        <f>IF(C1000="","",TRIM(LEFT(C1000,FIND(" |",C1000&amp;" |")-1)))</f>
        <v/>
      </c>
      <c r="S1000" s="96" t="str">
        <f>IF(R1000="","",IFERROR(MATCH(R1000,'ITENS_MTR'!$A$6:$A$1005,0),""))</f>
        <v/>
      </c>
      <c r="T1000" s="96">
        <f>IF(S1000="",0,IF(INDEX('ITENS_MTR'!$R$6:$R$1005,S1000)=1,1,0))</f>
        <v>0</v>
      </c>
      <c r="U1000" s="96" t="str">
        <f>IF(T1000=1,INDEX('ITENS_MTR'!$T$6:$T$1005,S1000),"")</f>
        <v/>
      </c>
      <c r="V1000" s="97" t="str">
        <f>IF(N(U1000)&gt;0,INDEX('MTRs'!$E$6:$E$505,U1000),"")</f>
        <v/>
      </c>
      <c r="W1000" s="96" t="str">
        <f>IF(G1000="","",IFERROR(IF(ISNUMBER(INDEX(cfg_fac,MATCH(G1000,cfg_units,0))),IF(INDEX(cfg_fac,MATCH(G1000,cfg_units,0))&gt;0,INDEX(cfg_fac,MATCH(G1000,cfg_units,0)),""),""),""))</f>
        <v/>
      </c>
      <c r="X1000" s="96">
        <f>IF(AND(ISNUMBER(F1000),ISNUMBER(H1000)),IF(H1000&gt;0,1,0),0)</f>
        <v>0</v>
      </c>
      <c r="Y1000" s="96">
        <f>IF(Q1000=0,0,IF(OR(T1000=0,X1000=0,NOT(ISNUMBER(E1000)),AND(J1000="Sim",L1000="",M1000=""),AND(ISNUMBER(E1000),ISNUMBER(V1000),N(V1000)&gt;0,E1000&lt;N(V1000))),1,0))</f>
        <v>0</v>
      </c>
      <c r="Z1000" s="96">
        <f>IF(AND(Q1000=1,T1000=1,X1000=1,J1000="Sim",OR(L1000&lt;&gt;"",M1000&lt;&gt;"")),1,0)</f>
        <v>0</v>
      </c>
      <c r="AA1000" s="96">
        <f>IF(Q1000=0,0,IF(AND(OR(r_ini="",AND(ISNUMBER(E1000),E1000&gt;=r_ini)),OR(r_fim="",AND(ISNUMBER(E1000),E1000&lt;=r_fim)),OR(r_un="",r_un="(Todas)",IF(N(U1000)&gt;0,INDEX('MTRs'!$G$6:$G$505,U1000),"")=r_un),OR(r_de="",r_de="(Todos)",D1000=r_de)),1,0))</f>
        <v>0</v>
      </c>
      <c r="AB1000" s="96" t="str">
        <f>IF(AA1000=1,COUNTIF($AA$6:AA1000,1),"")</f>
        <v/>
      </c>
    </row>
    <row r="1001">
      <c r="A1001" s="89" t="inlineStr">
        <is>
          <t>REC-000996</t>
        </is>
      </c>
      <c r="B1001" s="94" t="str">
        <f>IF(T1001=1,INDEX('ITENS_MTR'!$S$6:$S$1005,S1001)&amp;"","")</f>
        <v/>
      </c>
      <c r="C1001" s="91" t="n"/>
      <c r="D1001" s="94" t="str">
        <f>IF(N(U1001)&gt;0,INDEX('MTRs'!$I$6:$I$505,U1001)&amp;"","")</f>
        <v/>
      </c>
      <c r="E1001" s="92" t="n"/>
      <c r="F1001" s="98" t="n"/>
      <c r="G1001" s="91" t="n"/>
      <c r="H1001" s="93" t="str">
        <f>IF(Q1001=0,"",IF(NOT(ISNUMBER(F1001)),"",IF(ISNUMBER(W1001),F1001*W1001,"UNIDADE A CONFERIR")))</f>
        <v/>
      </c>
      <c r="I1001" s="91" t="n"/>
      <c r="J1001" s="91" t="n"/>
      <c r="K1001" s="92" t="n"/>
      <c r="L1001" s="91" t="n"/>
      <c r="M1001" s="91" t="n"/>
      <c r="N1001" s="91" t="n"/>
      <c r="O1001" s="91" t="n"/>
      <c r="P1001" s="94" t="str">
        <f>IF(Q1001=0,"",IF(C1001="","Item de resíduo não informado",IF(T1001=0,"Item inexistente (referência inválida)",IF(NOT(ISNUMBER(F1001)),"Quantidade não informada",IF(F1001&lt;=0,"Quantidade não positiva",IF(G1001="","Unidade não informada",IF(NOT(ISNUMBER(H1001)),"Unidade a conferir",IF(NOT(ISNUMBER(E1001)),"Data de recebimento não informada",IF(AND(ISNUMBER(V1001),N(V1001)&gt;0,E1001&lt;N(V1001)),"Data anterior à emissão do MTR",IF(AND(J1001="Sim",L1001="",M1001=""),"Conferido sem evidência identificada",IF(J1001&lt;&gt;"Sim","Aguardando conferência",IF(INDEX('ITENS_MTR'!$AM$6:$AM$1005,S1001)=1,"Conferido (ver diferença no item)","Conferido"))))))))))))</f>
        <v/>
      </c>
      <c r="Q1001" s="96">
        <f>IF(COUNTA(C1001,E1001:G1001,I1001:O1001)&gt;0,1,0)</f>
        <v>0</v>
      </c>
      <c r="R1001" s="96" t="str">
        <f>IF(C1001="","",TRIM(LEFT(C1001,FIND(" |",C1001&amp;" |")-1)))</f>
        <v/>
      </c>
      <c r="S1001" s="96" t="str">
        <f>IF(R1001="","",IFERROR(MATCH(R1001,'ITENS_MTR'!$A$6:$A$1005,0),""))</f>
        <v/>
      </c>
      <c r="T1001" s="96">
        <f>IF(S1001="",0,IF(INDEX('ITENS_MTR'!$R$6:$R$1005,S1001)=1,1,0))</f>
        <v>0</v>
      </c>
      <c r="U1001" s="96" t="str">
        <f>IF(T1001=1,INDEX('ITENS_MTR'!$T$6:$T$1005,S1001),"")</f>
        <v/>
      </c>
      <c r="V1001" s="97" t="str">
        <f>IF(N(U1001)&gt;0,INDEX('MTRs'!$E$6:$E$505,U1001),"")</f>
        <v/>
      </c>
      <c r="W1001" s="96" t="str">
        <f>IF(G1001="","",IFERROR(IF(ISNUMBER(INDEX(cfg_fac,MATCH(G1001,cfg_units,0))),IF(INDEX(cfg_fac,MATCH(G1001,cfg_units,0))&gt;0,INDEX(cfg_fac,MATCH(G1001,cfg_units,0)),""),""),""))</f>
        <v/>
      </c>
      <c r="X1001" s="96">
        <f>IF(AND(ISNUMBER(F1001),ISNUMBER(H1001)),IF(H1001&gt;0,1,0),0)</f>
        <v>0</v>
      </c>
      <c r="Y1001" s="96">
        <f>IF(Q1001=0,0,IF(OR(T1001=0,X1001=0,NOT(ISNUMBER(E1001)),AND(J1001="Sim",L1001="",M1001=""),AND(ISNUMBER(E1001),ISNUMBER(V1001),N(V1001)&gt;0,E1001&lt;N(V1001))),1,0))</f>
        <v>0</v>
      </c>
      <c r="Z1001" s="96">
        <f>IF(AND(Q1001=1,T1001=1,X1001=1,J1001="Sim",OR(L1001&lt;&gt;"",M1001&lt;&gt;"")),1,0)</f>
        <v>0</v>
      </c>
      <c r="AA1001" s="96">
        <f>IF(Q1001=0,0,IF(AND(OR(r_ini="",AND(ISNUMBER(E1001),E1001&gt;=r_ini)),OR(r_fim="",AND(ISNUMBER(E1001),E1001&lt;=r_fim)),OR(r_un="",r_un="(Todas)",IF(N(U1001)&gt;0,INDEX('MTRs'!$G$6:$G$505,U1001),"")=r_un),OR(r_de="",r_de="(Todos)",D1001=r_de)),1,0))</f>
        <v>0</v>
      </c>
      <c r="AB1001" s="96" t="str">
        <f>IF(AA1001=1,COUNTIF($AA$6:AA1001,1),"")</f>
        <v/>
      </c>
    </row>
    <row r="1002">
      <c r="A1002" s="89" t="inlineStr">
        <is>
          <t>REC-000997</t>
        </is>
      </c>
      <c r="B1002" s="94" t="str">
        <f>IF(T1002=1,INDEX('ITENS_MTR'!$S$6:$S$1005,S1002)&amp;"","")</f>
        <v/>
      </c>
      <c r="C1002" s="91" t="n"/>
      <c r="D1002" s="94" t="str">
        <f>IF(N(U1002)&gt;0,INDEX('MTRs'!$I$6:$I$505,U1002)&amp;"","")</f>
        <v/>
      </c>
      <c r="E1002" s="92" t="n"/>
      <c r="F1002" s="98" t="n"/>
      <c r="G1002" s="91" t="n"/>
      <c r="H1002" s="93" t="str">
        <f>IF(Q1002=0,"",IF(NOT(ISNUMBER(F1002)),"",IF(ISNUMBER(W1002),F1002*W1002,"UNIDADE A CONFERIR")))</f>
        <v/>
      </c>
      <c r="I1002" s="91" t="n"/>
      <c r="J1002" s="91" t="n"/>
      <c r="K1002" s="92" t="n"/>
      <c r="L1002" s="91" t="n"/>
      <c r="M1002" s="91" t="n"/>
      <c r="N1002" s="91" t="n"/>
      <c r="O1002" s="91" t="n"/>
      <c r="P1002" s="94" t="str">
        <f>IF(Q1002=0,"",IF(C1002="","Item de resíduo não informado",IF(T1002=0,"Item inexistente (referência inválida)",IF(NOT(ISNUMBER(F1002)),"Quantidade não informada",IF(F1002&lt;=0,"Quantidade não positiva",IF(G1002="","Unidade não informada",IF(NOT(ISNUMBER(H1002)),"Unidade a conferir",IF(NOT(ISNUMBER(E1002)),"Data de recebimento não informada",IF(AND(ISNUMBER(V1002),N(V1002)&gt;0,E1002&lt;N(V1002)),"Data anterior à emissão do MTR",IF(AND(J1002="Sim",L1002="",M1002=""),"Conferido sem evidência identificada",IF(J1002&lt;&gt;"Sim","Aguardando conferência",IF(INDEX('ITENS_MTR'!$AM$6:$AM$1005,S1002)=1,"Conferido (ver diferença no item)","Conferido"))))))))))))</f>
        <v/>
      </c>
      <c r="Q1002" s="96">
        <f>IF(COUNTA(C1002,E1002:G1002,I1002:O1002)&gt;0,1,0)</f>
        <v>0</v>
      </c>
      <c r="R1002" s="96" t="str">
        <f>IF(C1002="","",TRIM(LEFT(C1002,FIND(" |",C1002&amp;" |")-1)))</f>
        <v/>
      </c>
      <c r="S1002" s="96" t="str">
        <f>IF(R1002="","",IFERROR(MATCH(R1002,'ITENS_MTR'!$A$6:$A$1005,0),""))</f>
        <v/>
      </c>
      <c r="T1002" s="96">
        <f>IF(S1002="",0,IF(INDEX('ITENS_MTR'!$R$6:$R$1005,S1002)=1,1,0))</f>
        <v>0</v>
      </c>
      <c r="U1002" s="96" t="str">
        <f>IF(T1002=1,INDEX('ITENS_MTR'!$T$6:$T$1005,S1002),"")</f>
        <v/>
      </c>
      <c r="V1002" s="97" t="str">
        <f>IF(N(U1002)&gt;0,INDEX('MTRs'!$E$6:$E$505,U1002),"")</f>
        <v/>
      </c>
      <c r="W1002" s="96" t="str">
        <f>IF(G1002="","",IFERROR(IF(ISNUMBER(INDEX(cfg_fac,MATCH(G1002,cfg_units,0))),IF(INDEX(cfg_fac,MATCH(G1002,cfg_units,0))&gt;0,INDEX(cfg_fac,MATCH(G1002,cfg_units,0)),""),""),""))</f>
        <v/>
      </c>
      <c r="X1002" s="96">
        <f>IF(AND(ISNUMBER(F1002),ISNUMBER(H1002)),IF(H1002&gt;0,1,0),0)</f>
        <v>0</v>
      </c>
      <c r="Y1002" s="96">
        <f>IF(Q1002=0,0,IF(OR(T1002=0,X1002=0,NOT(ISNUMBER(E1002)),AND(J1002="Sim",L1002="",M1002=""),AND(ISNUMBER(E1002),ISNUMBER(V1002),N(V1002)&gt;0,E1002&lt;N(V1002))),1,0))</f>
        <v>0</v>
      </c>
      <c r="Z1002" s="96">
        <f>IF(AND(Q1002=1,T1002=1,X1002=1,J1002="Sim",OR(L1002&lt;&gt;"",M1002&lt;&gt;"")),1,0)</f>
        <v>0</v>
      </c>
      <c r="AA1002" s="96">
        <f>IF(Q1002=0,0,IF(AND(OR(r_ini="",AND(ISNUMBER(E1002),E1002&gt;=r_ini)),OR(r_fim="",AND(ISNUMBER(E1002),E1002&lt;=r_fim)),OR(r_un="",r_un="(Todas)",IF(N(U1002)&gt;0,INDEX('MTRs'!$G$6:$G$505,U1002),"")=r_un),OR(r_de="",r_de="(Todos)",D1002=r_de)),1,0))</f>
        <v>0</v>
      </c>
      <c r="AB1002" s="96" t="str">
        <f>IF(AA1002=1,COUNTIF($AA$6:AA1002,1),"")</f>
        <v/>
      </c>
    </row>
    <row r="1003">
      <c r="A1003" s="89" t="inlineStr">
        <is>
          <t>REC-000998</t>
        </is>
      </c>
      <c r="B1003" s="94" t="str">
        <f>IF(T1003=1,INDEX('ITENS_MTR'!$S$6:$S$1005,S1003)&amp;"","")</f>
        <v/>
      </c>
      <c r="C1003" s="91" t="n"/>
      <c r="D1003" s="94" t="str">
        <f>IF(N(U1003)&gt;0,INDEX('MTRs'!$I$6:$I$505,U1003)&amp;"","")</f>
        <v/>
      </c>
      <c r="E1003" s="92" t="n"/>
      <c r="F1003" s="98" t="n"/>
      <c r="G1003" s="91" t="n"/>
      <c r="H1003" s="93" t="str">
        <f>IF(Q1003=0,"",IF(NOT(ISNUMBER(F1003)),"",IF(ISNUMBER(W1003),F1003*W1003,"UNIDADE A CONFERIR")))</f>
        <v/>
      </c>
      <c r="I1003" s="91" t="n"/>
      <c r="J1003" s="91" t="n"/>
      <c r="K1003" s="92" t="n"/>
      <c r="L1003" s="91" t="n"/>
      <c r="M1003" s="91" t="n"/>
      <c r="N1003" s="91" t="n"/>
      <c r="O1003" s="91" t="n"/>
      <c r="P1003" s="94" t="str">
        <f>IF(Q1003=0,"",IF(C1003="","Item de resíduo não informado",IF(T1003=0,"Item inexistente (referência inválida)",IF(NOT(ISNUMBER(F1003)),"Quantidade não informada",IF(F1003&lt;=0,"Quantidade não positiva",IF(G1003="","Unidade não informada",IF(NOT(ISNUMBER(H1003)),"Unidade a conferir",IF(NOT(ISNUMBER(E1003)),"Data de recebimento não informada",IF(AND(ISNUMBER(V1003),N(V1003)&gt;0,E1003&lt;N(V1003)),"Data anterior à emissão do MTR",IF(AND(J1003="Sim",L1003="",M1003=""),"Conferido sem evidência identificada",IF(J1003&lt;&gt;"Sim","Aguardando conferência",IF(INDEX('ITENS_MTR'!$AM$6:$AM$1005,S1003)=1,"Conferido (ver diferença no item)","Conferido"))))))))))))</f>
        <v/>
      </c>
      <c r="Q1003" s="96">
        <f>IF(COUNTA(C1003,E1003:G1003,I1003:O1003)&gt;0,1,0)</f>
        <v>0</v>
      </c>
      <c r="R1003" s="96" t="str">
        <f>IF(C1003="","",TRIM(LEFT(C1003,FIND(" |",C1003&amp;" |")-1)))</f>
        <v/>
      </c>
      <c r="S1003" s="96" t="str">
        <f>IF(R1003="","",IFERROR(MATCH(R1003,'ITENS_MTR'!$A$6:$A$1005,0),""))</f>
        <v/>
      </c>
      <c r="T1003" s="96">
        <f>IF(S1003="",0,IF(INDEX('ITENS_MTR'!$R$6:$R$1005,S1003)=1,1,0))</f>
        <v>0</v>
      </c>
      <c r="U1003" s="96" t="str">
        <f>IF(T1003=1,INDEX('ITENS_MTR'!$T$6:$T$1005,S1003),"")</f>
        <v/>
      </c>
      <c r="V1003" s="97" t="str">
        <f>IF(N(U1003)&gt;0,INDEX('MTRs'!$E$6:$E$505,U1003),"")</f>
        <v/>
      </c>
      <c r="W1003" s="96" t="str">
        <f>IF(G1003="","",IFERROR(IF(ISNUMBER(INDEX(cfg_fac,MATCH(G1003,cfg_units,0))),IF(INDEX(cfg_fac,MATCH(G1003,cfg_units,0))&gt;0,INDEX(cfg_fac,MATCH(G1003,cfg_units,0)),""),""),""))</f>
        <v/>
      </c>
      <c r="X1003" s="96">
        <f>IF(AND(ISNUMBER(F1003),ISNUMBER(H1003)),IF(H1003&gt;0,1,0),0)</f>
        <v>0</v>
      </c>
      <c r="Y1003" s="96">
        <f>IF(Q1003=0,0,IF(OR(T1003=0,X1003=0,NOT(ISNUMBER(E1003)),AND(J1003="Sim",L1003="",M1003=""),AND(ISNUMBER(E1003),ISNUMBER(V1003),N(V1003)&gt;0,E1003&lt;N(V1003))),1,0))</f>
        <v>0</v>
      </c>
      <c r="Z1003" s="96">
        <f>IF(AND(Q1003=1,T1003=1,X1003=1,J1003="Sim",OR(L1003&lt;&gt;"",M1003&lt;&gt;"")),1,0)</f>
        <v>0</v>
      </c>
      <c r="AA1003" s="96">
        <f>IF(Q1003=0,0,IF(AND(OR(r_ini="",AND(ISNUMBER(E1003),E1003&gt;=r_ini)),OR(r_fim="",AND(ISNUMBER(E1003),E1003&lt;=r_fim)),OR(r_un="",r_un="(Todas)",IF(N(U1003)&gt;0,INDEX('MTRs'!$G$6:$G$505,U1003),"")=r_un),OR(r_de="",r_de="(Todos)",D1003=r_de)),1,0))</f>
        <v>0</v>
      </c>
      <c r="AB1003" s="96" t="str">
        <f>IF(AA1003=1,COUNTIF($AA$6:AA1003,1),"")</f>
        <v/>
      </c>
    </row>
    <row r="1004">
      <c r="A1004" s="89" t="inlineStr">
        <is>
          <t>REC-000999</t>
        </is>
      </c>
      <c r="B1004" s="94" t="str">
        <f>IF(T1004=1,INDEX('ITENS_MTR'!$S$6:$S$1005,S1004)&amp;"","")</f>
        <v/>
      </c>
      <c r="C1004" s="91" t="n"/>
      <c r="D1004" s="94" t="str">
        <f>IF(N(U1004)&gt;0,INDEX('MTRs'!$I$6:$I$505,U1004)&amp;"","")</f>
        <v/>
      </c>
      <c r="E1004" s="92" t="n"/>
      <c r="F1004" s="98" t="n"/>
      <c r="G1004" s="91" t="n"/>
      <c r="H1004" s="93" t="str">
        <f>IF(Q1004=0,"",IF(NOT(ISNUMBER(F1004)),"",IF(ISNUMBER(W1004),F1004*W1004,"UNIDADE A CONFERIR")))</f>
        <v/>
      </c>
      <c r="I1004" s="91" t="n"/>
      <c r="J1004" s="91" t="n"/>
      <c r="K1004" s="92" t="n"/>
      <c r="L1004" s="91" t="n"/>
      <c r="M1004" s="91" t="n"/>
      <c r="N1004" s="91" t="n"/>
      <c r="O1004" s="91" t="n"/>
      <c r="P1004" s="94" t="str">
        <f>IF(Q1004=0,"",IF(C1004="","Item de resíduo não informado",IF(T1004=0,"Item inexistente (referência inválida)",IF(NOT(ISNUMBER(F1004)),"Quantidade não informada",IF(F1004&lt;=0,"Quantidade não positiva",IF(G1004="","Unidade não informada",IF(NOT(ISNUMBER(H1004)),"Unidade a conferir",IF(NOT(ISNUMBER(E1004)),"Data de recebimento não informada",IF(AND(ISNUMBER(V1004),N(V1004)&gt;0,E1004&lt;N(V1004)),"Data anterior à emissão do MTR",IF(AND(J1004="Sim",L1004="",M1004=""),"Conferido sem evidência identificada",IF(J1004&lt;&gt;"Sim","Aguardando conferência",IF(INDEX('ITENS_MTR'!$AM$6:$AM$1005,S1004)=1,"Conferido (ver diferença no item)","Conferido"))))))))))))</f>
        <v/>
      </c>
      <c r="Q1004" s="96">
        <f>IF(COUNTA(C1004,E1004:G1004,I1004:O1004)&gt;0,1,0)</f>
        <v>0</v>
      </c>
      <c r="R1004" s="96" t="str">
        <f>IF(C1004="","",TRIM(LEFT(C1004,FIND(" |",C1004&amp;" |")-1)))</f>
        <v/>
      </c>
      <c r="S1004" s="96" t="str">
        <f>IF(R1004="","",IFERROR(MATCH(R1004,'ITENS_MTR'!$A$6:$A$1005,0),""))</f>
        <v/>
      </c>
      <c r="T1004" s="96">
        <f>IF(S1004="",0,IF(INDEX('ITENS_MTR'!$R$6:$R$1005,S1004)=1,1,0))</f>
        <v>0</v>
      </c>
      <c r="U1004" s="96" t="str">
        <f>IF(T1004=1,INDEX('ITENS_MTR'!$T$6:$T$1005,S1004),"")</f>
        <v/>
      </c>
      <c r="V1004" s="97" t="str">
        <f>IF(N(U1004)&gt;0,INDEX('MTRs'!$E$6:$E$505,U1004),"")</f>
        <v/>
      </c>
      <c r="W1004" s="96" t="str">
        <f>IF(G1004="","",IFERROR(IF(ISNUMBER(INDEX(cfg_fac,MATCH(G1004,cfg_units,0))),IF(INDEX(cfg_fac,MATCH(G1004,cfg_units,0))&gt;0,INDEX(cfg_fac,MATCH(G1004,cfg_units,0)),""),""),""))</f>
        <v/>
      </c>
      <c r="X1004" s="96">
        <f>IF(AND(ISNUMBER(F1004),ISNUMBER(H1004)),IF(H1004&gt;0,1,0),0)</f>
        <v>0</v>
      </c>
      <c r="Y1004" s="96">
        <f>IF(Q1004=0,0,IF(OR(T1004=0,X1004=0,NOT(ISNUMBER(E1004)),AND(J1004="Sim",L1004="",M1004=""),AND(ISNUMBER(E1004),ISNUMBER(V1004),N(V1004)&gt;0,E1004&lt;N(V1004))),1,0))</f>
        <v>0</v>
      </c>
      <c r="Z1004" s="96">
        <f>IF(AND(Q1004=1,T1004=1,X1004=1,J1004="Sim",OR(L1004&lt;&gt;"",M1004&lt;&gt;"")),1,0)</f>
        <v>0</v>
      </c>
      <c r="AA1004" s="96">
        <f>IF(Q1004=0,0,IF(AND(OR(r_ini="",AND(ISNUMBER(E1004),E1004&gt;=r_ini)),OR(r_fim="",AND(ISNUMBER(E1004),E1004&lt;=r_fim)),OR(r_un="",r_un="(Todas)",IF(N(U1004)&gt;0,INDEX('MTRs'!$G$6:$G$505,U1004),"")=r_un),OR(r_de="",r_de="(Todos)",D1004=r_de)),1,0))</f>
        <v>0</v>
      </c>
      <c r="AB1004" s="96" t="str">
        <f>IF(AA1004=1,COUNTIF($AA$6:AA1004,1),"")</f>
        <v/>
      </c>
    </row>
    <row r="1005">
      <c r="A1005" s="89" t="inlineStr">
        <is>
          <t>REC-001000</t>
        </is>
      </c>
      <c r="B1005" s="94" t="str">
        <f>IF(T1005=1,INDEX('ITENS_MTR'!$S$6:$S$1005,S1005)&amp;"","")</f>
        <v/>
      </c>
      <c r="C1005" s="91" t="n"/>
      <c r="D1005" s="94" t="str">
        <f>IF(N(U1005)&gt;0,INDEX('MTRs'!$I$6:$I$505,U1005)&amp;"","")</f>
        <v/>
      </c>
      <c r="E1005" s="92" t="n"/>
      <c r="F1005" s="98" t="n"/>
      <c r="G1005" s="91" t="n"/>
      <c r="H1005" s="93" t="str">
        <f>IF(Q1005=0,"",IF(NOT(ISNUMBER(F1005)),"",IF(ISNUMBER(W1005),F1005*W1005,"UNIDADE A CONFERIR")))</f>
        <v/>
      </c>
      <c r="I1005" s="91" t="n"/>
      <c r="J1005" s="91" t="n"/>
      <c r="K1005" s="92" t="n"/>
      <c r="L1005" s="91" t="n"/>
      <c r="M1005" s="91" t="n"/>
      <c r="N1005" s="91" t="n"/>
      <c r="O1005" s="91" t="n"/>
      <c r="P1005" s="94" t="str">
        <f>IF(Q1005=0,"",IF(C1005="","Item de resíduo não informado",IF(T1005=0,"Item inexistente (referência inválida)",IF(NOT(ISNUMBER(F1005)),"Quantidade não informada",IF(F1005&lt;=0,"Quantidade não positiva",IF(G1005="","Unidade não informada",IF(NOT(ISNUMBER(H1005)),"Unidade a conferir",IF(NOT(ISNUMBER(E1005)),"Data de recebimento não informada",IF(AND(ISNUMBER(V1005),N(V1005)&gt;0,E1005&lt;N(V1005)),"Data anterior à emissão do MTR",IF(AND(J1005="Sim",L1005="",M1005=""),"Conferido sem evidência identificada",IF(J1005&lt;&gt;"Sim","Aguardando conferência",IF(INDEX('ITENS_MTR'!$AM$6:$AM$1005,S1005)=1,"Conferido (ver diferença no item)","Conferido"))))))))))))</f>
        <v/>
      </c>
      <c r="Q1005" s="96">
        <f>IF(COUNTA(C1005,E1005:G1005,I1005:O1005)&gt;0,1,0)</f>
        <v>0</v>
      </c>
      <c r="R1005" s="96" t="str">
        <f>IF(C1005="","",TRIM(LEFT(C1005,FIND(" |",C1005&amp;" |")-1)))</f>
        <v/>
      </c>
      <c r="S1005" s="96" t="str">
        <f>IF(R1005="","",IFERROR(MATCH(R1005,'ITENS_MTR'!$A$6:$A$1005,0),""))</f>
        <v/>
      </c>
      <c r="T1005" s="96">
        <f>IF(S1005="",0,IF(INDEX('ITENS_MTR'!$R$6:$R$1005,S1005)=1,1,0))</f>
        <v>0</v>
      </c>
      <c r="U1005" s="96" t="str">
        <f>IF(T1005=1,INDEX('ITENS_MTR'!$T$6:$T$1005,S1005),"")</f>
        <v/>
      </c>
      <c r="V1005" s="97" t="str">
        <f>IF(N(U1005)&gt;0,INDEX('MTRs'!$E$6:$E$505,U1005),"")</f>
        <v/>
      </c>
      <c r="W1005" s="96" t="str">
        <f>IF(G1005="","",IFERROR(IF(ISNUMBER(INDEX(cfg_fac,MATCH(G1005,cfg_units,0))),IF(INDEX(cfg_fac,MATCH(G1005,cfg_units,0))&gt;0,INDEX(cfg_fac,MATCH(G1005,cfg_units,0)),""),""),""))</f>
        <v/>
      </c>
      <c r="X1005" s="96">
        <f>IF(AND(ISNUMBER(F1005),ISNUMBER(H1005)),IF(H1005&gt;0,1,0),0)</f>
        <v>0</v>
      </c>
      <c r="Y1005" s="96">
        <f>IF(Q1005=0,0,IF(OR(T1005=0,X1005=0,NOT(ISNUMBER(E1005)),AND(J1005="Sim",L1005="",M1005=""),AND(ISNUMBER(E1005),ISNUMBER(V1005),N(V1005)&gt;0,E1005&lt;N(V1005))),1,0))</f>
        <v>0</v>
      </c>
      <c r="Z1005" s="96">
        <f>IF(AND(Q1005=1,T1005=1,X1005=1,J1005="Sim",OR(L1005&lt;&gt;"",M1005&lt;&gt;"")),1,0)</f>
        <v>0</v>
      </c>
      <c r="AA1005" s="96">
        <f>IF(Q1005=0,0,IF(AND(OR(r_ini="",AND(ISNUMBER(E1005),E1005&gt;=r_ini)),OR(r_fim="",AND(ISNUMBER(E1005),E1005&lt;=r_fim)),OR(r_un="",r_un="(Todas)",IF(N(U1005)&gt;0,INDEX('MTRs'!$G$6:$G$505,U1005),"")=r_un),OR(r_de="",r_de="(Todos)",D1005=r_de)),1,0))</f>
        <v>0</v>
      </c>
      <c r="AB1005" s="96" t="str">
        <f>IF(AA1005=1,COUNTIF($AA$6:AA1005,1),"")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1:P1"/>
    <mergeCell ref="A2:P2"/>
  </mergeCells>
  <conditionalFormatting sqref="P6:P1005">
    <cfRule type="expression" priority="1" dxfId="0" stopIfTrue="1">
      <formula>OR(ISNUMBER(SEARCH("Cancelado",P6)),ISNUMBER(SEARCH("cancelado",P6)))</formula>
    </cfRule>
    <cfRule type="expression" priority="2" dxfId="1" stopIfTrue="1">
      <formula>OR(ISNUMBER(SEARCH("revisar",P6)),ISNUMBER(SEARCH("REVISAR",P6)),ISNUMBER(SEARCH("incompleto",P6)),ISNUMBER(SEARCH("INCOMPLETO",P6)),ISNUMBER(SEARCH("inexistente",P6)),ISNUMBER(SEARCH("inválid",P6)),ISNUMBER(SEARCH("não informad",P6)),ISNUMBER(SEARCH("fora do cadastro",P6)),ISNUMBER(SEARCH("duplicidade",P6)),ISNUMBER(SEARCH("DUPLICIDADE",P6)),ISNUMBER(SEARCH("UNIDADE A CONFERIR",P6)),ISNUMBER(SEARCH("Unidade a conferir",P6)),ISNUMBER(SEARCH("sem evidência",P6)),ISNUMBER(SEARCH("anterior à emissão",P6)),ISNUMBER(SEARCH("não positiva",P6)),ISNUMBER(SEARCH("não identificado",P6)),ISNUMBER(SEARCH("Sem MTR",P6)),ISNUMBER(SEARCH("Necessita",P6)),ISNUMBER(SEARCH("incompletas",P6)),ISNUMBER(SEARCH("Nome repetido",P6)),ISNUMBER(SEARCH("Informe",P6)),ISNUMBER(SEARCH("vencida",P6)))</formula>
    </cfRule>
    <cfRule type="expression" priority="3" dxfId="2" stopIfTrue="1">
      <formula>OR(ISNUMBER(SEARCH("a conferir",P6)),ISNUMBER(SEARCH("A CONFERIR",P6)),ISNUMBER(SEARCH("Aguardando conferência",P6)),ISNUMBER(SEARCH("Localizado",P6)),ISNUMBER(SEARCH("ver diferença",P6)),ISNUMBER(SEARCH("analisado",P6)),ISNUMBER(SEARCH("Data futura",P6)),ISNUMBER(SEARCH("Não calculável",P6)))</formula>
    </cfRule>
    <cfRule type="expression" priority="4" dxfId="3" stopIfTrue="1">
      <formula>OR(ISNUMBER(SEARCH("Aguardando",P6)),ISNUMBER(SEARCH("parcial",P6)),ISNUMBER(SEARCH("Cadastrado",P6)),ISNUMBER(SEARCH("NÃO CONFIRMADO",P6)),ISNUMBER(SEARCH("NÃO LOCALIZADO",P6)),ISNUMBER(SEARCH("VÍNCULO INCOMPLETO",P6)))</formula>
    </cfRule>
    <cfRule type="expression" priority="5" dxfId="4" stopIfTrue="1">
      <formula>OR(EXACT(P6,"OK"),ISNUMBER(SEARCH("conferida",P6)),ISNUMBER(SEARCH("Conferido",P6)),ISNUMBER(SEARCH("Nenhuma",P6)))</formula>
    </cfRule>
  </conditionalFormatting>
  <conditionalFormatting sqref="C6:C1005 E6:E1005 F6:F1005 G6:G1005 I6:I1005 J6:J1005 K6:K1005 L6:L1005 M6:M1005 N6:N1005 O6:O1005">
    <cfRule type="expression" priority="6" dxfId="5">
      <formula>MOD(ROW(),2)=0</formula>
    </cfRule>
  </conditionalFormatting>
  <conditionalFormatting sqref="B6:B1005 D6:D1005 H6:H1005 P6:P1005">
    <cfRule type="expression" priority="7" dxfId="6">
      <formula>MOD(ROW(),2)=0</formula>
    </cfRule>
  </conditionalFormatting>
  <dataValidations count="7">
    <dataValidation sqref="C6:C1005" showDropDown="0" showInputMessage="0" showErrorMessage="1" allowBlank="1" errorTitle="Valor fora da lista" error="Valor fora da lista. Confira o cadastro ou ajuste a lista em CONFIGURAÇÕES." type="list" errorStyle="warning">
      <formula1>=lst_itens</formula1>
    </dataValidation>
    <dataValidation sqref="E6:E1005" showDropDown="0" showInputMessage="0" showErrorMessage="1" allowBlank="1" errorTitle="Data" error="Informe uma data válida (dd/mm/aaaa)." type="date" errorStyle="warning" operator="between">
      <formula1>36526</formula1>
      <formula2>73050</formula2>
    </dataValidation>
    <dataValidation sqref="F6:F1005" showDropDown="0" showInputMessage="0" showErrorMessage="1" allowBlank="1" errorTitle="Quantidade" error="A quantidade deve ser um número maior que zero." type="decimal" errorStyle="warning" operator="greaterThan">
      <formula1>0</formula1>
    </dataValidation>
    <dataValidation sqref="G6:G1005" showDropDown="0" showInputMessage="0" showErrorMessage="1" allowBlank="1" errorTitle="Valor fora da lista" error="Valor fora da lista. Confira o cadastro ou ajuste a lista em CONFIGURAÇÕES." type="list" errorStyle="warning">
      <formula1>=lst_un</formula1>
    </dataValidation>
    <dataValidation sqref="I6:I1005" showDropDown="0" showInputMessage="0" showErrorMessage="1" allowBlank="1" errorTitle="Valor fora da lista" error="Valor fora da lista. Confira o cadastro ou ajuste a lista em CONFIGURAÇÕES." type="list" errorStyle="warning">
      <formula1>=lst_sit_mtr</formula1>
    </dataValidation>
    <dataValidation sqref="J6:J1005" showDropDown="0" showInputMessage="0" showErrorMessage="1" allowBlank="1" errorTitle="Valor fora da lista" error="Valor fora da lista. Confira o cadastro ou ajuste a lista em CONFIGURAÇÕES." type="list" errorStyle="warning">
      <formula1>=lst_simnao</formula1>
    </dataValidation>
    <dataValidation sqref="K6:K1005" showDropDown="0" showInputMessage="0" showErrorMessage="1" allowBlank="1" errorTitle="Data" error="Informe uma data válida (dd/mm/aaaa)." type="date" errorStyle="warning" operator="between">
      <formula1>36526</formula1>
      <formula2>73050</formula2>
    </dataValidation>
  </dataValidations>
  <hyperlinks>
    <hyperlink ref="A3" location="'INÍCIO'!A1"/>
    <hyperlink ref="B3" location="'PAINEL'!A1"/>
    <hyperlink ref="C3" location="'PENDÊNCIAS'!A1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766A9"/>
    <outlinePr summaryBelow="1" summaryRight="1"/>
    <pageSetUpPr fitToPage="1"/>
  </sheetPr>
  <dimension ref="A1:AB505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12" customWidth="1" min="4" max="4"/>
    <col width="20" customWidth="1" min="5" max="5"/>
    <col width="28" customWidth="1" min="6" max="6"/>
    <col width="26" customWidth="1" min="7" max="7"/>
    <col width="16" customWidth="1" min="8" max="8"/>
    <col width="12" customWidth="1" min="9" max="9"/>
    <col width="12" customWidth="1" min="10" max="10"/>
    <col width="12" customWidth="1" min="11" max="11"/>
    <col width="28" customWidth="1" min="12" max="12"/>
    <col width="18" customWidth="1" min="13" max="13"/>
    <col width="26" customWidth="1" min="14" max="14"/>
    <col width="14" customWidth="1" min="15" max="15"/>
    <col width="10" customWidth="1" min="16" max="16"/>
    <col width="28" customWidth="1" min="17" max="17"/>
    <col width="10" customWidth="1" min="18" max="18"/>
    <col hidden="1" width="6" customWidth="1" min="19" max="19"/>
    <col hidden="1" width="6" customWidth="1" min="20" max="20"/>
    <col hidden="1" width="6" customWidth="1" min="21" max="21"/>
    <col hidden="1" width="6" customWidth="1" min="22" max="22"/>
    <col hidden="1" width="6" customWidth="1" min="23" max="23"/>
    <col hidden="1" width="6" customWidth="1" min="24" max="24"/>
    <col hidden="1" width="6" customWidth="1" min="25" max="25"/>
    <col hidden="1" width="6" customWidth="1" min="26" max="26"/>
    <col hidden="1" width="6" customWidth="1" min="27" max="27"/>
    <col hidden="1" width="6" customWidth="1" min="28" max="28"/>
  </cols>
  <sheetData>
    <row r="1" ht="34" customHeight="1">
      <c r="A1" s="79" t="inlineStr">
        <is>
          <t>CADASTRO DE CDFs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79" t="n"/>
      <c r="K1" s="79" t="n"/>
      <c r="L1" s="79" t="n"/>
      <c r="M1" s="79" t="n"/>
      <c r="N1" s="79" t="n"/>
      <c r="O1" s="79" t="n"/>
      <c r="P1" s="79" t="n"/>
      <c r="Q1" s="79" t="n"/>
      <c r="R1" s="79" t="n"/>
    </row>
    <row r="2" ht="30" customHeight="1">
      <c r="A2" s="80" t="inlineStr">
        <is>
          <t>Cada linha é um Certificado de Destinação Final realmente disponível.  Um CDF pode cobrir vários MTRs. A ligação com os resíduos é feita na aba VÍNCULOS_CDF.</t>
        </is>
      </c>
      <c r="B2" s="80" t="n"/>
      <c r="C2" s="80" t="n"/>
      <c r="D2" s="80" t="n"/>
      <c r="E2" s="80" t="n"/>
      <c r="F2" s="80" t="n"/>
      <c r="G2" s="80" t="n"/>
      <c r="H2" s="80" t="n"/>
      <c r="I2" s="80" t="n"/>
      <c r="J2" s="80" t="n"/>
      <c r="K2" s="80" t="n"/>
      <c r="L2" s="80" t="n"/>
      <c r="M2" s="80" t="n"/>
      <c r="N2" s="80" t="n"/>
      <c r="O2" s="80" t="n"/>
      <c r="P2" s="80" t="n"/>
      <c r="Q2" s="80" t="n"/>
      <c r="R2" s="80" t="n"/>
    </row>
    <row r="3" ht="20" customHeight="1">
      <c r="A3" s="81" t="inlineStr">
        <is>
          <t>◀ INÍCIO</t>
        </is>
      </c>
      <c r="B3" s="81" t="inlineStr">
        <is>
          <t>PAINEL</t>
        </is>
      </c>
      <c r="C3" s="81" t="inlineStr">
        <is>
          <t>PENDÊNCIAS</t>
        </is>
      </c>
      <c r="D3" s="82" t="inlineStr">
        <is>
          <t>Azul-claro = preencher   |   Cinza = automático   |   Linhas prontas: 500 registros</t>
        </is>
      </c>
    </row>
    <row r="4">
      <c r="A4" s="83" t="inlineStr">
        <is>
          <t>ID FIXO</t>
        </is>
      </c>
      <c r="B4" s="84" t="inlineStr">
        <is>
          <t>PREENCHER</t>
        </is>
      </c>
      <c r="C4" s="84" t="inlineStr">
        <is>
          <t>PREENCHER</t>
        </is>
      </c>
      <c r="D4" s="84" t="inlineStr">
        <is>
          <t>PREENCHER</t>
        </is>
      </c>
      <c r="E4" s="84" t="inlineStr">
        <is>
          <t>PREENCHER</t>
        </is>
      </c>
      <c r="F4" s="84" t="inlineStr">
        <is>
          <t>PREENCHER</t>
        </is>
      </c>
      <c r="G4" s="84" t="inlineStr">
        <is>
          <t>PREENCHER</t>
        </is>
      </c>
      <c r="H4" s="84" t="inlineStr">
        <is>
          <t>PREENCHER</t>
        </is>
      </c>
      <c r="I4" s="84" t="inlineStr">
        <is>
          <t>PREENCHER</t>
        </is>
      </c>
      <c r="J4" s="84" t="inlineStr">
        <is>
          <t>PREENCHER</t>
        </is>
      </c>
      <c r="K4" s="84" t="inlineStr">
        <is>
          <t>PREENCHER</t>
        </is>
      </c>
      <c r="L4" s="84" t="inlineStr">
        <is>
          <t>PREENCHER</t>
        </is>
      </c>
      <c r="M4" s="84" t="inlineStr">
        <is>
          <t>PREENCHER</t>
        </is>
      </c>
      <c r="N4" s="84" t="inlineStr">
        <is>
          <t>PREENCHER</t>
        </is>
      </c>
      <c r="O4" s="85" t="inlineStr">
        <is>
          <t>AUTOMÁTICO</t>
        </is>
      </c>
      <c r="P4" s="85" t="inlineStr">
        <is>
          <t>AUTOMÁTICO</t>
        </is>
      </c>
      <c r="Q4" s="85" t="inlineStr">
        <is>
          <t>AUTOMÁTICO</t>
        </is>
      </c>
      <c r="R4" s="85" t="inlineStr">
        <is>
          <t>AUTOMÁTICO</t>
        </is>
      </c>
    </row>
    <row r="5" ht="46" customHeight="1">
      <c r="A5" s="86" t="inlineStr">
        <is>
          <t>ID interno do CDF</t>
        </is>
      </c>
      <c r="B5" s="86" t="inlineStr">
        <is>
          <t>Número oficial do CDF</t>
        </is>
      </c>
      <c r="C5" s="86" t="inlineStr">
        <is>
          <t>Sistema de origem</t>
        </is>
      </c>
      <c r="D5" s="86" t="inlineStr">
        <is>
          <t>Data de emissão</t>
        </is>
      </c>
      <c r="E5" s="86" t="inlineStr">
        <is>
          <t>Data ou período de destinação informado</t>
        </is>
      </c>
      <c r="F5" s="86" t="inlineStr">
        <is>
          <t>Unidade destinadora</t>
        </is>
      </c>
      <c r="G5" s="86" t="inlineStr">
        <is>
          <t>Modalidade de destinação informada</t>
        </is>
      </c>
      <c r="H5" s="86" t="inlineStr">
        <is>
          <t>Situação informada no sistema</t>
        </is>
      </c>
      <c r="I5" s="86" t="inlineStr">
        <is>
          <t>Certificado localizado?</t>
        </is>
      </c>
      <c r="J5" s="86" t="inlineStr">
        <is>
          <t>Certificado conferido?</t>
        </is>
      </c>
      <c r="K5" s="86" t="inlineStr">
        <is>
          <t>Data da conferência</t>
        </is>
      </c>
      <c r="L5" s="86" t="inlineStr">
        <is>
          <t>Link ou caminho do PDF</t>
        </is>
      </c>
      <c r="M5" s="86" t="inlineStr">
        <is>
          <t>Responsável pela conferência</t>
        </is>
      </c>
      <c r="N5" s="86" t="inlineStr">
        <is>
          <t>Observações</t>
        </is>
      </c>
      <c r="O5" s="87" t="inlineStr">
        <is>
          <t>Quantidade total vinculada ao CDF (kg)</t>
        </is>
      </c>
      <c r="P5" s="87" t="inlineStr">
        <is>
          <t>Nº de itens de resíduo vinculados</t>
        </is>
      </c>
      <c r="Q5" s="87" t="inlineStr">
        <is>
          <t>Situação de controle do CDF</t>
        </is>
      </c>
      <c r="R5" s="87" t="inlineStr">
        <is>
          <t>Nº de MTRs relacionados</t>
        </is>
      </c>
      <c r="S5" s="88" t="inlineStr">
        <is>
          <t>aux registro ativo</t>
        </is>
      </c>
      <c r="T5" s="88" t="inlineStr">
        <is>
          <t>aux chave duplicidade</t>
        </is>
      </c>
      <c r="U5" s="88" t="inlineStr">
        <is>
          <t>aux duplicado</t>
        </is>
      </c>
      <c r="V5" s="88" t="inlineStr">
        <is>
          <t>aux destinador válido</t>
        </is>
      </c>
      <c r="W5" s="88" t="inlineStr">
        <is>
          <t>aux conferido válido</t>
        </is>
      </c>
      <c r="X5" s="88" t="inlineStr">
        <is>
          <t>aux vínculos com alerta</t>
        </is>
      </c>
      <c r="Y5" s="88" t="inlineStr">
        <is>
          <t>aux rótulo seleção</t>
        </is>
      </c>
      <c r="Z5" s="88" t="inlineStr">
        <is>
          <t>aux ordem seleção</t>
        </is>
      </c>
      <c r="AA5" s="88" t="inlineStr">
        <is>
          <t>aux filtro relatórios</t>
        </is>
      </c>
      <c r="AB5" s="88" t="inlineStr">
        <is>
          <t>aux ordem relatório 04</t>
        </is>
      </c>
    </row>
    <row r="6">
      <c r="A6" s="89" t="inlineStr">
        <is>
          <t>CDF-000001</t>
        </is>
      </c>
      <c r="B6" s="90" t="n"/>
      <c r="C6" s="91" t="n"/>
      <c r="D6" s="92" t="n"/>
      <c r="E6" s="91" t="n"/>
      <c r="F6" s="91" t="n"/>
      <c r="G6" s="91" t="n"/>
      <c r="H6" s="91" t="n"/>
      <c r="I6" s="91" t="n"/>
      <c r="J6" s="91" t="n"/>
      <c r="K6" s="92" t="n"/>
      <c r="L6" s="91" t="n"/>
      <c r="M6" s="91" t="n"/>
      <c r="N6" s="91" t="n"/>
      <c r="O6" s="93" t="str">
        <f>IF(S6=0,"",SUMIFS('VÍNCULOS_CDF'!$H$6:$H$1005,'VÍNCULOS_CDF'!$O$6:$O$1005,A6,'VÍNCULOS_CDF'!$V$6:$V$1005,1))</f>
        <v/>
      </c>
      <c r="P6" s="95" t="str">
        <f>IF(S6=0,"",COUNTIFS('VÍNCULOS_CDF'!$O$6:$O$1005,A6,'VÍNCULOS_CDF'!$N$6:$N$1005,1))</f>
        <v/>
      </c>
      <c r="Q6" s="94" t="str">
        <f>IF(S6=0,"",IF(OR(B6="",F6=""),"Informações incompletas",IF(U6=1,"Possível duplicidade",IF(V6=0,"Destinador fora do cadastro",IF(AND(J6="Sim",N(P6)=0),"Necessita revisão de vínculos",IF(X6&gt;0,"Necessita revisão de vínculos",IF(J6="Sim","Conferido",IF(I6="Sim","Localizado, aguardando conferência","Cadastrado"))))))))</f>
        <v/>
      </c>
      <c r="R6" s="95" t="str">
        <f>IF(S6=0,"",COUNTIFS('VÍNCULOS_CDF'!$O$6:$O$1005,A6,'VÍNCULOS_CDF'!$AB$6:$AB$1005,1))</f>
        <v/>
      </c>
      <c r="S6" s="96">
        <f>IF(COUNTA(B6:N6)&gt;0,1,0)</f>
        <v>0</v>
      </c>
      <c r="T6" s="96" t="str">
        <f>IF(AND(S6=1,B6&lt;&gt;""),C6&amp;"|"&amp;TRIM(B6),"")</f>
        <v/>
      </c>
      <c r="U6" s="96">
        <f>IF(T6="",0,IF(SUMPRODUCT(--($T$6:$T$505=T6))&gt;1,1,0))</f>
        <v>0</v>
      </c>
      <c r="V6" s="96">
        <f>IF(F6="",0,IF(ISNUMBER(MATCH(F6,cmp_dest,0)),1,0))</f>
        <v>0</v>
      </c>
      <c r="W6" s="96">
        <f>IF(AND(S6=1,B6&lt;&gt;"",F6&lt;&gt;"",J6="Sim",U6=0),1,0)</f>
        <v>0</v>
      </c>
      <c r="X6" s="96">
        <f>IF(S6=0,0,COUNTIFS('VÍNCULOS_CDF'!$O$6:$O$1005,A6,'VÍNCULOS_CDF'!$Y$6:$Y$1005,1))</f>
        <v>0</v>
      </c>
      <c r="Y6" s="96" t="str">
        <f>IF(S6=1,A6&amp;" | CDF "&amp;IF(B6="","(sem número)",B6)&amp;" | "&amp;IF(F6="","(sem destinador)",F6),"")</f>
        <v/>
      </c>
      <c r="Z6" s="96" t="str">
        <f>IF(S6=1,COUNTIF($S$6:S6,1),"")</f>
        <v/>
      </c>
      <c r="AA6" s="96">
        <f>IF(S6=0,0,IF(AND(OR(r_ini="",AND(ISNUMBER(D6),D6&gt;=r_ini)),OR(r_fim="",AND(ISNUMBER(D6),D6&lt;=r_fim)),OR(r_de="",r_de="(Todos)",F6=r_de)),1,0))</f>
        <v>0</v>
      </c>
      <c r="AB6" s="96" t="str">
        <f>IF(AA6=1,IF(F6="",0,COUNTIF($F$6:$F$505,"&lt;"&amp;F6))*1000+1,"")</f>
        <v/>
      </c>
    </row>
    <row r="7">
      <c r="A7" s="89" t="inlineStr">
        <is>
          <t>CDF-000002</t>
        </is>
      </c>
      <c r="B7" s="90" t="n"/>
      <c r="C7" s="91" t="n"/>
      <c r="D7" s="92" t="n"/>
      <c r="E7" s="91" t="n"/>
      <c r="F7" s="91" t="n"/>
      <c r="G7" s="91" t="n"/>
      <c r="H7" s="91" t="n"/>
      <c r="I7" s="91" t="n"/>
      <c r="J7" s="91" t="n"/>
      <c r="K7" s="92" t="n"/>
      <c r="L7" s="91" t="n"/>
      <c r="M7" s="91" t="n"/>
      <c r="N7" s="91" t="n"/>
      <c r="O7" s="93" t="str">
        <f>IF(S7=0,"",SUMIFS('VÍNCULOS_CDF'!$H$6:$H$1005,'VÍNCULOS_CDF'!$O$6:$O$1005,A7,'VÍNCULOS_CDF'!$V$6:$V$1005,1))</f>
        <v/>
      </c>
      <c r="P7" s="95" t="str">
        <f>IF(S7=0,"",COUNTIFS('VÍNCULOS_CDF'!$O$6:$O$1005,A7,'VÍNCULOS_CDF'!$N$6:$N$1005,1))</f>
        <v/>
      </c>
      <c r="Q7" s="94" t="str">
        <f>IF(S7=0,"",IF(OR(B7="",F7=""),"Informações incompletas",IF(U7=1,"Possível duplicidade",IF(V7=0,"Destinador fora do cadastro",IF(AND(J7="Sim",N(P7)=0),"Necessita revisão de vínculos",IF(X7&gt;0,"Necessita revisão de vínculos",IF(J7="Sim","Conferido",IF(I7="Sim","Localizado, aguardando conferência","Cadastrado"))))))))</f>
        <v/>
      </c>
      <c r="R7" s="95" t="str">
        <f>IF(S7=0,"",COUNTIFS('VÍNCULOS_CDF'!$O$6:$O$1005,A7,'VÍNCULOS_CDF'!$AB$6:$AB$1005,1))</f>
        <v/>
      </c>
      <c r="S7" s="96">
        <f>IF(COUNTA(B7:N7)&gt;0,1,0)</f>
        <v>0</v>
      </c>
      <c r="T7" s="96" t="str">
        <f>IF(AND(S7=1,B7&lt;&gt;""),C7&amp;"|"&amp;TRIM(B7),"")</f>
        <v/>
      </c>
      <c r="U7" s="96">
        <f>IF(T7="",0,IF(SUMPRODUCT(--($T$6:$T$505=T7))&gt;1,1,0))</f>
        <v>0</v>
      </c>
      <c r="V7" s="96">
        <f>IF(F7="",0,IF(ISNUMBER(MATCH(F7,cmp_dest,0)),1,0))</f>
        <v>0</v>
      </c>
      <c r="W7" s="96">
        <f>IF(AND(S7=1,B7&lt;&gt;"",F7&lt;&gt;"",J7="Sim",U7=0),1,0)</f>
        <v>0</v>
      </c>
      <c r="X7" s="96">
        <f>IF(S7=0,0,COUNTIFS('VÍNCULOS_CDF'!$O$6:$O$1005,A7,'VÍNCULOS_CDF'!$Y$6:$Y$1005,1))</f>
        <v>0</v>
      </c>
      <c r="Y7" s="96" t="str">
        <f>IF(S7=1,A7&amp;" | CDF "&amp;IF(B7="","(sem número)",B7)&amp;" | "&amp;IF(F7="","(sem destinador)",F7),"")</f>
        <v/>
      </c>
      <c r="Z7" s="96" t="str">
        <f>IF(S7=1,COUNTIF($S$6:S7,1),"")</f>
        <v/>
      </c>
      <c r="AA7" s="96">
        <f>IF(S7=0,0,IF(AND(OR(r_ini="",AND(ISNUMBER(D7),D7&gt;=r_ini)),OR(r_fim="",AND(ISNUMBER(D7),D7&lt;=r_fim)),OR(r_de="",r_de="(Todos)",F7=r_de)),1,0))</f>
        <v>0</v>
      </c>
      <c r="AB7" s="96" t="str">
        <f>IF(AA7=1,IF(F7="",0,COUNTIF($F$6:$F$505,"&lt;"&amp;F7))*1000+2,"")</f>
        <v/>
      </c>
    </row>
    <row r="8">
      <c r="A8" s="89" t="inlineStr">
        <is>
          <t>CDF-000003</t>
        </is>
      </c>
      <c r="B8" s="90" t="n"/>
      <c r="C8" s="91" t="n"/>
      <c r="D8" s="92" t="n"/>
      <c r="E8" s="91" t="n"/>
      <c r="F8" s="91" t="n"/>
      <c r="G8" s="91" t="n"/>
      <c r="H8" s="91" t="n"/>
      <c r="I8" s="91" t="n"/>
      <c r="J8" s="91" t="n"/>
      <c r="K8" s="92" t="n"/>
      <c r="L8" s="91" t="n"/>
      <c r="M8" s="91" t="n"/>
      <c r="N8" s="91" t="n"/>
      <c r="O8" s="93" t="str">
        <f>IF(S8=0,"",SUMIFS('VÍNCULOS_CDF'!$H$6:$H$1005,'VÍNCULOS_CDF'!$O$6:$O$1005,A8,'VÍNCULOS_CDF'!$V$6:$V$1005,1))</f>
        <v/>
      </c>
      <c r="P8" s="95" t="str">
        <f>IF(S8=0,"",COUNTIFS('VÍNCULOS_CDF'!$O$6:$O$1005,A8,'VÍNCULOS_CDF'!$N$6:$N$1005,1))</f>
        <v/>
      </c>
      <c r="Q8" s="94" t="str">
        <f>IF(S8=0,"",IF(OR(B8="",F8=""),"Informações incompletas",IF(U8=1,"Possível duplicidade",IF(V8=0,"Destinador fora do cadastro",IF(AND(J8="Sim",N(P8)=0),"Necessita revisão de vínculos",IF(X8&gt;0,"Necessita revisão de vínculos",IF(J8="Sim","Conferido",IF(I8="Sim","Localizado, aguardando conferência","Cadastrado"))))))))</f>
        <v/>
      </c>
      <c r="R8" s="95" t="str">
        <f>IF(S8=0,"",COUNTIFS('VÍNCULOS_CDF'!$O$6:$O$1005,A8,'VÍNCULOS_CDF'!$AB$6:$AB$1005,1))</f>
        <v/>
      </c>
      <c r="S8" s="96">
        <f>IF(COUNTA(B8:N8)&gt;0,1,0)</f>
        <v>0</v>
      </c>
      <c r="T8" s="96" t="str">
        <f>IF(AND(S8=1,B8&lt;&gt;""),C8&amp;"|"&amp;TRIM(B8),"")</f>
        <v/>
      </c>
      <c r="U8" s="96">
        <f>IF(T8="",0,IF(SUMPRODUCT(--($T$6:$T$505=T8))&gt;1,1,0))</f>
        <v>0</v>
      </c>
      <c r="V8" s="96">
        <f>IF(F8="",0,IF(ISNUMBER(MATCH(F8,cmp_dest,0)),1,0))</f>
        <v>0</v>
      </c>
      <c r="W8" s="96">
        <f>IF(AND(S8=1,B8&lt;&gt;"",F8&lt;&gt;"",J8="Sim",U8=0),1,0)</f>
        <v>0</v>
      </c>
      <c r="X8" s="96">
        <f>IF(S8=0,0,COUNTIFS('VÍNCULOS_CDF'!$O$6:$O$1005,A8,'VÍNCULOS_CDF'!$Y$6:$Y$1005,1))</f>
        <v>0</v>
      </c>
      <c r="Y8" s="96" t="str">
        <f>IF(S8=1,A8&amp;" | CDF "&amp;IF(B8="","(sem número)",B8)&amp;" | "&amp;IF(F8="","(sem destinador)",F8),"")</f>
        <v/>
      </c>
      <c r="Z8" s="96" t="str">
        <f>IF(S8=1,COUNTIF($S$6:S8,1),"")</f>
        <v/>
      </c>
      <c r="AA8" s="96">
        <f>IF(S8=0,0,IF(AND(OR(r_ini="",AND(ISNUMBER(D8),D8&gt;=r_ini)),OR(r_fim="",AND(ISNUMBER(D8),D8&lt;=r_fim)),OR(r_de="",r_de="(Todos)",F8=r_de)),1,0))</f>
        <v>0</v>
      </c>
      <c r="AB8" s="96" t="str">
        <f>IF(AA8=1,IF(F8="",0,COUNTIF($F$6:$F$505,"&lt;"&amp;F8))*1000+3,"")</f>
        <v/>
      </c>
    </row>
    <row r="9">
      <c r="A9" s="89" t="inlineStr">
        <is>
          <t>CDF-000004</t>
        </is>
      </c>
      <c r="B9" s="90" t="n"/>
      <c r="C9" s="91" t="n"/>
      <c r="D9" s="92" t="n"/>
      <c r="E9" s="91" t="n"/>
      <c r="F9" s="91" t="n"/>
      <c r="G9" s="91" t="n"/>
      <c r="H9" s="91" t="n"/>
      <c r="I9" s="91" t="n"/>
      <c r="J9" s="91" t="n"/>
      <c r="K9" s="92" t="n"/>
      <c r="L9" s="91" t="n"/>
      <c r="M9" s="91" t="n"/>
      <c r="N9" s="91" t="n"/>
      <c r="O9" s="93" t="str">
        <f>IF(S9=0,"",SUMIFS('VÍNCULOS_CDF'!$H$6:$H$1005,'VÍNCULOS_CDF'!$O$6:$O$1005,A9,'VÍNCULOS_CDF'!$V$6:$V$1005,1))</f>
        <v/>
      </c>
      <c r="P9" s="95" t="str">
        <f>IF(S9=0,"",COUNTIFS('VÍNCULOS_CDF'!$O$6:$O$1005,A9,'VÍNCULOS_CDF'!$N$6:$N$1005,1))</f>
        <v/>
      </c>
      <c r="Q9" s="94" t="str">
        <f>IF(S9=0,"",IF(OR(B9="",F9=""),"Informações incompletas",IF(U9=1,"Possível duplicidade",IF(V9=0,"Destinador fora do cadastro",IF(AND(J9="Sim",N(P9)=0),"Necessita revisão de vínculos",IF(X9&gt;0,"Necessita revisão de vínculos",IF(J9="Sim","Conferido",IF(I9="Sim","Localizado, aguardando conferência","Cadastrado"))))))))</f>
        <v/>
      </c>
      <c r="R9" s="95" t="str">
        <f>IF(S9=0,"",COUNTIFS('VÍNCULOS_CDF'!$O$6:$O$1005,A9,'VÍNCULOS_CDF'!$AB$6:$AB$1005,1))</f>
        <v/>
      </c>
      <c r="S9" s="96">
        <f>IF(COUNTA(B9:N9)&gt;0,1,0)</f>
        <v>0</v>
      </c>
      <c r="T9" s="96" t="str">
        <f>IF(AND(S9=1,B9&lt;&gt;""),C9&amp;"|"&amp;TRIM(B9),"")</f>
        <v/>
      </c>
      <c r="U9" s="96">
        <f>IF(T9="",0,IF(SUMPRODUCT(--($T$6:$T$505=T9))&gt;1,1,0))</f>
        <v>0</v>
      </c>
      <c r="V9" s="96">
        <f>IF(F9="",0,IF(ISNUMBER(MATCH(F9,cmp_dest,0)),1,0))</f>
        <v>0</v>
      </c>
      <c r="W9" s="96">
        <f>IF(AND(S9=1,B9&lt;&gt;"",F9&lt;&gt;"",J9="Sim",U9=0),1,0)</f>
        <v>0</v>
      </c>
      <c r="X9" s="96">
        <f>IF(S9=0,0,COUNTIFS('VÍNCULOS_CDF'!$O$6:$O$1005,A9,'VÍNCULOS_CDF'!$Y$6:$Y$1005,1))</f>
        <v>0</v>
      </c>
      <c r="Y9" s="96" t="str">
        <f>IF(S9=1,A9&amp;" | CDF "&amp;IF(B9="","(sem número)",B9)&amp;" | "&amp;IF(F9="","(sem destinador)",F9),"")</f>
        <v/>
      </c>
      <c r="Z9" s="96" t="str">
        <f>IF(S9=1,COUNTIF($S$6:S9,1),"")</f>
        <v/>
      </c>
      <c r="AA9" s="96">
        <f>IF(S9=0,0,IF(AND(OR(r_ini="",AND(ISNUMBER(D9),D9&gt;=r_ini)),OR(r_fim="",AND(ISNUMBER(D9),D9&lt;=r_fim)),OR(r_de="",r_de="(Todos)",F9=r_de)),1,0))</f>
        <v>0</v>
      </c>
      <c r="AB9" s="96" t="str">
        <f>IF(AA9=1,IF(F9="",0,COUNTIF($F$6:$F$505,"&lt;"&amp;F9))*1000+4,"")</f>
        <v/>
      </c>
    </row>
    <row r="10">
      <c r="A10" s="89" t="inlineStr">
        <is>
          <t>CDF-000005</t>
        </is>
      </c>
      <c r="B10" s="90" t="n"/>
      <c r="C10" s="91" t="n"/>
      <c r="D10" s="92" t="n"/>
      <c r="E10" s="91" t="n"/>
      <c r="F10" s="91" t="n"/>
      <c r="G10" s="91" t="n"/>
      <c r="H10" s="91" t="n"/>
      <c r="I10" s="91" t="n"/>
      <c r="J10" s="91" t="n"/>
      <c r="K10" s="92" t="n"/>
      <c r="L10" s="91" t="n"/>
      <c r="M10" s="91" t="n"/>
      <c r="N10" s="91" t="n"/>
      <c r="O10" s="93" t="str">
        <f>IF(S10=0,"",SUMIFS('VÍNCULOS_CDF'!$H$6:$H$1005,'VÍNCULOS_CDF'!$O$6:$O$1005,A10,'VÍNCULOS_CDF'!$V$6:$V$1005,1))</f>
        <v/>
      </c>
      <c r="P10" s="95" t="str">
        <f>IF(S10=0,"",COUNTIFS('VÍNCULOS_CDF'!$O$6:$O$1005,A10,'VÍNCULOS_CDF'!$N$6:$N$1005,1))</f>
        <v/>
      </c>
      <c r="Q10" s="94" t="str">
        <f>IF(S10=0,"",IF(OR(B10="",F10=""),"Informações incompletas",IF(U10=1,"Possível duplicidade",IF(V10=0,"Destinador fora do cadastro",IF(AND(J10="Sim",N(P10)=0),"Necessita revisão de vínculos",IF(X10&gt;0,"Necessita revisão de vínculos",IF(J10="Sim","Conferido",IF(I10="Sim","Localizado, aguardando conferência","Cadastrado"))))))))</f>
        <v/>
      </c>
      <c r="R10" s="95" t="str">
        <f>IF(S10=0,"",COUNTIFS('VÍNCULOS_CDF'!$O$6:$O$1005,A10,'VÍNCULOS_CDF'!$AB$6:$AB$1005,1))</f>
        <v/>
      </c>
      <c r="S10" s="96">
        <f>IF(COUNTA(B10:N10)&gt;0,1,0)</f>
        <v>0</v>
      </c>
      <c r="T10" s="96" t="str">
        <f>IF(AND(S10=1,B10&lt;&gt;""),C10&amp;"|"&amp;TRIM(B10),"")</f>
        <v/>
      </c>
      <c r="U10" s="96">
        <f>IF(T10="",0,IF(SUMPRODUCT(--($T$6:$T$505=T10))&gt;1,1,0))</f>
        <v>0</v>
      </c>
      <c r="V10" s="96">
        <f>IF(F10="",0,IF(ISNUMBER(MATCH(F10,cmp_dest,0)),1,0))</f>
        <v>0</v>
      </c>
      <c r="W10" s="96">
        <f>IF(AND(S10=1,B10&lt;&gt;"",F10&lt;&gt;"",J10="Sim",U10=0),1,0)</f>
        <v>0</v>
      </c>
      <c r="X10" s="96">
        <f>IF(S10=0,0,COUNTIFS('VÍNCULOS_CDF'!$O$6:$O$1005,A10,'VÍNCULOS_CDF'!$Y$6:$Y$1005,1))</f>
        <v>0</v>
      </c>
      <c r="Y10" s="96" t="str">
        <f>IF(S10=1,A10&amp;" | CDF "&amp;IF(B10="","(sem número)",B10)&amp;" | "&amp;IF(F10="","(sem destinador)",F10),"")</f>
        <v/>
      </c>
      <c r="Z10" s="96" t="str">
        <f>IF(S10=1,COUNTIF($S$6:S10,1),"")</f>
        <v/>
      </c>
      <c r="AA10" s="96">
        <f>IF(S10=0,0,IF(AND(OR(r_ini="",AND(ISNUMBER(D10),D10&gt;=r_ini)),OR(r_fim="",AND(ISNUMBER(D10),D10&lt;=r_fim)),OR(r_de="",r_de="(Todos)",F10=r_de)),1,0))</f>
        <v>0</v>
      </c>
      <c r="AB10" s="96" t="str">
        <f>IF(AA10=1,IF(F10="",0,COUNTIF($F$6:$F$505,"&lt;"&amp;F10))*1000+5,"")</f>
        <v/>
      </c>
    </row>
    <row r="11">
      <c r="A11" s="89" t="inlineStr">
        <is>
          <t>CDF-000006</t>
        </is>
      </c>
      <c r="B11" s="90" t="n"/>
      <c r="C11" s="91" t="n"/>
      <c r="D11" s="92" t="n"/>
      <c r="E11" s="91" t="n"/>
      <c r="F11" s="91" t="n"/>
      <c r="G11" s="91" t="n"/>
      <c r="H11" s="91" t="n"/>
      <c r="I11" s="91" t="n"/>
      <c r="J11" s="91" t="n"/>
      <c r="K11" s="92" t="n"/>
      <c r="L11" s="91" t="n"/>
      <c r="M11" s="91" t="n"/>
      <c r="N11" s="91" t="n"/>
      <c r="O11" s="93" t="str">
        <f>IF(S11=0,"",SUMIFS('VÍNCULOS_CDF'!$H$6:$H$1005,'VÍNCULOS_CDF'!$O$6:$O$1005,A11,'VÍNCULOS_CDF'!$V$6:$V$1005,1))</f>
        <v/>
      </c>
      <c r="P11" s="95" t="str">
        <f>IF(S11=0,"",COUNTIFS('VÍNCULOS_CDF'!$O$6:$O$1005,A11,'VÍNCULOS_CDF'!$N$6:$N$1005,1))</f>
        <v/>
      </c>
      <c r="Q11" s="94" t="str">
        <f>IF(S11=0,"",IF(OR(B11="",F11=""),"Informações incompletas",IF(U11=1,"Possível duplicidade",IF(V11=0,"Destinador fora do cadastro",IF(AND(J11="Sim",N(P11)=0),"Necessita revisão de vínculos",IF(X11&gt;0,"Necessita revisão de vínculos",IF(J11="Sim","Conferido",IF(I11="Sim","Localizado, aguardando conferência","Cadastrado"))))))))</f>
        <v/>
      </c>
      <c r="R11" s="95" t="str">
        <f>IF(S11=0,"",COUNTIFS('VÍNCULOS_CDF'!$O$6:$O$1005,A11,'VÍNCULOS_CDF'!$AB$6:$AB$1005,1))</f>
        <v/>
      </c>
      <c r="S11" s="96">
        <f>IF(COUNTA(B11:N11)&gt;0,1,0)</f>
        <v>0</v>
      </c>
      <c r="T11" s="96" t="str">
        <f>IF(AND(S11=1,B11&lt;&gt;""),C11&amp;"|"&amp;TRIM(B11),"")</f>
        <v/>
      </c>
      <c r="U11" s="96">
        <f>IF(T11="",0,IF(SUMPRODUCT(--($T$6:$T$505=T11))&gt;1,1,0))</f>
        <v>0</v>
      </c>
      <c r="V11" s="96">
        <f>IF(F11="",0,IF(ISNUMBER(MATCH(F11,cmp_dest,0)),1,0))</f>
        <v>0</v>
      </c>
      <c r="W11" s="96">
        <f>IF(AND(S11=1,B11&lt;&gt;"",F11&lt;&gt;"",J11="Sim",U11=0),1,0)</f>
        <v>0</v>
      </c>
      <c r="X11" s="96">
        <f>IF(S11=0,0,COUNTIFS('VÍNCULOS_CDF'!$O$6:$O$1005,A11,'VÍNCULOS_CDF'!$Y$6:$Y$1005,1))</f>
        <v>0</v>
      </c>
      <c r="Y11" s="96" t="str">
        <f>IF(S11=1,A11&amp;" | CDF "&amp;IF(B11="","(sem número)",B11)&amp;" | "&amp;IF(F11="","(sem destinador)",F11),"")</f>
        <v/>
      </c>
      <c r="Z11" s="96" t="str">
        <f>IF(S11=1,COUNTIF($S$6:S11,1),"")</f>
        <v/>
      </c>
      <c r="AA11" s="96">
        <f>IF(S11=0,0,IF(AND(OR(r_ini="",AND(ISNUMBER(D11),D11&gt;=r_ini)),OR(r_fim="",AND(ISNUMBER(D11),D11&lt;=r_fim)),OR(r_de="",r_de="(Todos)",F11=r_de)),1,0))</f>
        <v>0</v>
      </c>
      <c r="AB11" s="96" t="str">
        <f>IF(AA11=1,IF(F11="",0,COUNTIF($F$6:$F$505,"&lt;"&amp;F11))*1000+6,"")</f>
        <v/>
      </c>
    </row>
    <row r="12">
      <c r="A12" s="89" t="inlineStr">
        <is>
          <t>CDF-000007</t>
        </is>
      </c>
      <c r="B12" s="90" t="n"/>
      <c r="C12" s="91" t="n"/>
      <c r="D12" s="92" t="n"/>
      <c r="E12" s="91" t="n"/>
      <c r="F12" s="91" t="n"/>
      <c r="G12" s="91" t="n"/>
      <c r="H12" s="91" t="n"/>
      <c r="I12" s="91" t="n"/>
      <c r="J12" s="91" t="n"/>
      <c r="K12" s="92" t="n"/>
      <c r="L12" s="91" t="n"/>
      <c r="M12" s="91" t="n"/>
      <c r="N12" s="91" t="n"/>
      <c r="O12" s="93" t="str">
        <f>IF(S12=0,"",SUMIFS('VÍNCULOS_CDF'!$H$6:$H$1005,'VÍNCULOS_CDF'!$O$6:$O$1005,A12,'VÍNCULOS_CDF'!$V$6:$V$1005,1))</f>
        <v/>
      </c>
      <c r="P12" s="95" t="str">
        <f>IF(S12=0,"",COUNTIFS('VÍNCULOS_CDF'!$O$6:$O$1005,A12,'VÍNCULOS_CDF'!$N$6:$N$1005,1))</f>
        <v/>
      </c>
      <c r="Q12" s="94" t="str">
        <f>IF(S12=0,"",IF(OR(B12="",F12=""),"Informações incompletas",IF(U12=1,"Possível duplicidade",IF(V12=0,"Destinador fora do cadastro",IF(AND(J12="Sim",N(P12)=0),"Necessita revisão de vínculos",IF(X12&gt;0,"Necessita revisão de vínculos",IF(J12="Sim","Conferido",IF(I12="Sim","Localizado, aguardando conferência","Cadastrado"))))))))</f>
        <v/>
      </c>
      <c r="R12" s="95" t="str">
        <f>IF(S12=0,"",COUNTIFS('VÍNCULOS_CDF'!$O$6:$O$1005,A12,'VÍNCULOS_CDF'!$AB$6:$AB$1005,1))</f>
        <v/>
      </c>
      <c r="S12" s="96">
        <f>IF(COUNTA(B12:N12)&gt;0,1,0)</f>
        <v>0</v>
      </c>
      <c r="T12" s="96" t="str">
        <f>IF(AND(S12=1,B12&lt;&gt;""),C12&amp;"|"&amp;TRIM(B12),"")</f>
        <v/>
      </c>
      <c r="U12" s="96">
        <f>IF(T12="",0,IF(SUMPRODUCT(--($T$6:$T$505=T12))&gt;1,1,0))</f>
        <v>0</v>
      </c>
      <c r="V12" s="96">
        <f>IF(F12="",0,IF(ISNUMBER(MATCH(F12,cmp_dest,0)),1,0))</f>
        <v>0</v>
      </c>
      <c r="W12" s="96">
        <f>IF(AND(S12=1,B12&lt;&gt;"",F12&lt;&gt;"",J12="Sim",U12=0),1,0)</f>
        <v>0</v>
      </c>
      <c r="X12" s="96">
        <f>IF(S12=0,0,COUNTIFS('VÍNCULOS_CDF'!$O$6:$O$1005,A12,'VÍNCULOS_CDF'!$Y$6:$Y$1005,1))</f>
        <v>0</v>
      </c>
      <c r="Y12" s="96" t="str">
        <f>IF(S12=1,A12&amp;" | CDF "&amp;IF(B12="","(sem número)",B12)&amp;" | "&amp;IF(F12="","(sem destinador)",F12),"")</f>
        <v/>
      </c>
      <c r="Z12" s="96" t="str">
        <f>IF(S12=1,COUNTIF($S$6:S12,1),"")</f>
        <v/>
      </c>
      <c r="AA12" s="96">
        <f>IF(S12=0,0,IF(AND(OR(r_ini="",AND(ISNUMBER(D12),D12&gt;=r_ini)),OR(r_fim="",AND(ISNUMBER(D12),D12&lt;=r_fim)),OR(r_de="",r_de="(Todos)",F12=r_de)),1,0))</f>
        <v>0</v>
      </c>
      <c r="AB12" s="96" t="str">
        <f>IF(AA12=1,IF(F12="",0,COUNTIF($F$6:$F$505,"&lt;"&amp;F12))*1000+7,"")</f>
        <v/>
      </c>
    </row>
    <row r="13">
      <c r="A13" s="89" t="inlineStr">
        <is>
          <t>CDF-000008</t>
        </is>
      </c>
      <c r="B13" s="90" t="n"/>
      <c r="C13" s="91" t="n"/>
      <c r="D13" s="92" t="n"/>
      <c r="E13" s="91" t="n"/>
      <c r="F13" s="91" t="n"/>
      <c r="G13" s="91" t="n"/>
      <c r="H13" s="91" t="n"/>
      <c r="I13" s="91" t="n"/>
      <c r="J13" s="91" t="n"/>
      <c r="K13" s="92" t="n"/>
      <c r="L13" s="91" t="n"/>
      <c r="M13" s="91" t="n"/>
      <c r="N13" s="91" t="n"/>
      <c r="O13" s="93" t="str">
        <f>IF(S13=0,"",SUMIFS('VÍNCULOS_CDF'!$H$6:$H$1005,'VÍNCULOS_CDF'!$O$6:$O$1005,A13,'VÍNCULOS_CDF'!$V$6:$V$1005,1))</f>
        <v/>
      </c>
      <c r="P13" s="95" t="str">
        <f>IF(S13=0,"",COUNTIFS('VÍNCULOS_CDF'!$O$6:$O$1005,A13,'VÍNCULOS_CDF'!$N$6:$N$1005,1))</f>
        <v/>
      </c>
      <c r="Q13" s="94" t="str">
        <f>IF(S13=0,"",IF(OR(B13="",F13=""),"Informações incompletas",IF(U13=1,"Possível duplicidade",IF(V13=0,"Destinador fora do cadastro",IF(AND(J13="Sim",N(P13)=0),"Necessita revisão de vínculos",IF(X13&gt;0,"Necessita revisão de vínculos",IF(J13="Sim","Conferido",IF(I13="Sim","Localizado, aguardando conferência","Cadastrado"))))))))</f>
        <v/>
      </c>
      <c r="R13" s="95" t="str">
        <f>IF(S13=0,"",COUNTIFS('VÍNCULOS_CDF'!$O$6:$O$1005,A13,'VÍNCULOS_CDF'!$AB$6:$AB$1005,1))</f>
        <v/>
      </c>
      <c r="S13" s="96">
        <f>IF(COUNTA(B13:N13)&gt;0,1,0)</f>
        <v>0</v>
      </c>
      <c r="T13" s="96" t="str">
        <f>IF(AND(S13=1,B13&lt;&gt;""),C13&amp;"|"&amp;TRIM(B13),"")</f>
        <v/>
      </c>
      <c r="U13" s="96">
        <f>IF(T13="",0,IF(SUMPRODUCT(--($T$6:$T$505=T13))&gt;1,1,0))</f>
        <v>0</v>
      </c>
      <c r="V13" s="96">
        <f>IF(F13="",0,IF(ISNUMBER(MATCH(F13,cmp_dest,0)),1,0))</f>
        <v>0</v>
      </c>
      <c r="W13" s="96">
        <f>IF(AND(S13=1,B13&lt;&gt;"",F13&lt;&gt;"",J13="Sim",U13=0),1,0)</f>
        <v>0</v>
      </c>
      <c r="X13" s="96">
        <f>IF(S13=0,0,COUNTIFS('VÍNCULOS_CDF'!$O$6:$O$1005,A13,'VÍNCULOS_CDF'!$Y$6:$Y$1005,1))</f>
        <v>0</v>
      </c>
      <c r="Y13" s="96" t="str">
        <f>IF(S13=1,A13&amp;" | CDF "&amp;IF(B13="","(sem número)",B13)&amp;" | "&amp;IF(F13="","(sem destinador)",F13),"")</f>
        <v/>
      </c>
      <c r="Z13" s="96" t="str">
        <f>IF(S13=1,COUNTIF($S$6:S13,1),"")</f>
        <v/>
      </c>
      <c r="AA13" s="96">
        <f>IF(S13=0,0,IF(AND(OR(r_ini="",AND(ISNUMBER(D13),D13&gt;=r_ini)),OR(r_fim="",AND(ISNUMBER(D13),D13&lt;=r_fim)),OR(r_de="",r_de="(Todos)",F13=r_de)),1,0))</f>
        <v>0</v>
      </c>
      <c r="AB13" s="96" t="str">
        <f>IF(AA13=1,IF(F13="",0,COUNTIF($F$6:$F$505,"&lt;"&amp;F13))*1000+8,"")</f>
        <v/>
      </c>
    </row>
    <row r="14">
      <c r="A14" s="89" t="inlineStr">
        <is>
          <t>CDF-000009</t>
        </is>
      </c>
      <c r="B14" s="90" t="n"/>
      <c r="C14" s="91" t="n"/>
      <c r="D14" s="92" t="n"/>
      <c r="E14" s="91" t="n"/>
      <c r="F14" s="91" t="n"/>
      <c r="G14" s="91" t="n"/>
      <c r="H14" s="91" t="n"/>
      <c r="I14" s="91" t="n"/>
      <c r="J14" s="91" t="n"/>
      <c r="K14" s="92" t="n"/>
      <c r="L14" s="91" t="n"/>
      <c r="M14" s="91" t="n"/>
      <c r="N14" s="91" t="n"/>
      <c r="O14" s="93" t="str">
        <f>IF(S14=0,"",SUMIFS('VÍNCULOS_CDF'!$H$6:$H$1005,'VÍNCULOS_CDF'!$O$6:$O$1005,A14,'VÍNCULOS_CDF'!$V$6:$V$1005,1))</f>
        <v/>
      </c>
      <c r="P14" s="95" t="str">
        <f>IF(S14=0,"",COUNTIFS('VÍNCULOS_CDF'!$O$6:$O$1005,A14,'VÍNCULOS_CDF'!$N$6:$N$1005,1))</f>
        <v/>
      </c>
      <c r="Q14" s="94" t="str">
        <f>IF(S14=0,"",IF(OR(B14="",F14=""),"Informações incompletas",IF(U14=1,"Possível duplicidade",IF(V14=0,"Destinador fora do cadastro",IF(AND(J14="Sim",N(P14)=0),"Necessita revisão de vínculos",IF(X14&gt;0,"Necessita revisão de vínculos",IF(J14="Sim","Conferido",IF(I14="Sim","Localizado, aguardando conferência","Cadastrado"))))))))</f>
        <v/>
      </c>
      <c r="R14" s="95" t="str">
        <f>IF(S14=0,"",COUNTIFS('VÍNCULOS_CDF'!$O$6:$O$1005,A14,'VÍNCULOS_CDF'!$AB$6:$AB$1005,1))</f>
        <v/>
      </c>
      <c r="S14" s="96">
        <f>IF(COUNTA(B14:N14)&gt;0,1,0)</f>
        <v>0</v>
      </c>
      <c r="T14" s="96" t="str">
        <f>IF(AND(S14=1,B14&lt;&gt;""),C14&amp;"|"&amp;TRIM(B14),"")</f>
        <v/>
      </c>
      <c r="U14" s="96">
        <f>IF(T14="",0,IF(SUMPRODUCT(--($T$6:$T$505=T14))&gt;1,1,0))</f>
        <v>0</v>
      </c>
      <c r="V14" s="96">
        <f>IF(F14="",0,IF(ISNUMBER(MATCH(F14,cmp_dest,0)),1,0))</f>
        <v>0</v>
      </c>
      <c r="W14" s="96">
        <f>IF(AND(S14=1,B14&lt;&gt;"",F14&lt;&gt;"",J14="Sim",U14=0),1,0)</f>
        <v>0</v>
      </c>
      <c r="X14" s="96">
        <f>IF(S14=0,0,COUNTIFS('VÍNCULOS_CDF'!$O$6:$O$1005,A14,'VÍNCULOS_CDF'!$Y$6:$Y$1005,1))</f>
        <v>0</v>
      </c>
      <c r="Y14" s="96" t="str">
        <f>IF(S14=1,A14&amp;" | CDF "&amp;IF(B14="","(sem número)",B14)&amp;" | "&amp;IF(F14="","(sem destinador)",F14),"")</f>
        <v/>
      </c>
      <c r="Z14" s="96" t="str">
        <f>IF(S14=1,COUNTIF($S$6:S14,1),"")</f>
        <v/>
      </c>
      <c r="AA14" s="96">
        <f>IF(S14=0,0,IF(AND(OR(r_ini="",AND(ISNUMBER(D14),D14&gt;=r_ini)),OR(r_fim="",AND(ISNUMBER(D14),D14&lt;=r_fim)),OR(r_de="",r_de="(Todos)",F14=r_de)),1,0))</f>
        <v>0</v>
      </c>
      <c r="AB14" s="96" t="str">
        <f>IF(AA14=1,IF(F14="",0,COUNTIF($F$6:$F$505,"&lt;"&amp;F14))*1000+9,"")</f>
        <v/>
      </c>
    </row>
    <row r="15">
      <c r="A15" s="89" t="inlineStr">
        <is>
          <t>CDF-000010</t>
        </is>
      </c>
      <c r="B15" s="90" t="n"/>
      <c r="C15" s="91" t="n"/>
      <c r="D15" s="92" t="n"/>
      <c r="E15" s="91" t="n"/>
      <c r="F15" s="91" t="n"/>
      <c r="G15" s="91" t="n"/>
      <c r="H15" s="91" t="n"/>
      <c r="I15" s="91" t="n"/>
      <c r="J15" s="91" t="n"/>
      <c r="K15" s="92" t="n"/>
      <c r="L15" s="91" t="n"/>
      <c r="M15" s="91" t="n"/>
      <c r="N15" s="91" t="n"/>
      <c r="O15" s="93" t="str">
        <f>IF(S15=0,"",SUMIFS('VÍNCULOS_CDF'!$H$6:$H$1005,'VÍNCULOS_CDF'!$O$6:$O$1005,A15,'VÍNCULOS_CDF'!$V$6:$V$1005,1))</f>
        <v/>
      </c>
      <c r="P15" s="95" t="str">
        <f>IF(S15=0,"",COUNTIFS('VÍNCULOS_CDF'!$O$6:$O$1005,A15,'VÍNCULOS_CDF'!$N$6:$N$1005,1))</f>
        <v/>
      </c>
      <c r="Q15" s="94" t="str">
        <f>IF(S15=0,"",IF(OR(B15="",F15=""),"Informações incompletas",IF(U15=1,"Possível duplicidade",IF(V15=0,"Destinador fora do cadastro",IF(AND(J15="Sim",N(P15)=0),"Necessita revisão de vínculos",IF(X15&gt;0,"Necessita revisão de vínculos",IF(J15="Sim","Conferido",IF(I15="Sim","Localizado, aguardando conferência","Cadastrado"))))))))</f>
        <v/>
      </c>
      <c r="R15" s="95" t="str">
        <f>IF(S15=0,"",COUNTIFS('VÍNCULOS_CDF'!$O$6:$O$1005,A15,'VÍNCULOS_CDF'!$AB$6:$AB$1005,1))</f>
        <v/>
      </c>
      <c r="S15" s="96">
        <f>IF(COUNTA(B15:N15)&gt;0,1,0)</f>
        <v>0</v>
      </c>
      <c r="T15" s="96" t="str">
        <f>IF(AND(S15=1,B15&lt;&gt;""),C15&amp;"|"&amp;TRIM(B15),"")</f>
        <v/>
      </c>
      <c r="U15" s="96">
        <f>IF(T15="",0,IF(SUMPRODUCT(--($T$6:$T$505=T15))&gt;1,1,0))</f>
        <v>0</v>
      </c>
      <c r="V15" s="96">
        <f>IF(F15="",0,IF(ISNUMBER(MATCH(F15,cmp_dest,0)),1,0))</f>
        <v>0</v>
      </c>
      <c r="W15" s="96">
        <f>IF(AND(S15=1,B15&lt;&gt;"",F15&lt;&gt;"",J15="Sim",U15=0),1,0)</f>
        <v>0</v>
      </c>
      <c r="X15" s="96">
        <f>IF(S15=0,0,COUNTIFS('VÍNCULOS_CDF'!$O$6:$O$1005,A15,'VÍNCULOS_CDF'!$Y$6:$Y$1005,1))</f>
        <v>0</v>
      </c>
      <c r="Y15" s="96" t="str">
        <f>IF(S15=1,A15&amp;" | CDF "&amp;IF(B15="","(sem número)",B15)&amp;" | "&amp;IF(F15="","(sem destinador)",F15),"")</f>
        <v/>
      </c>
      <c r="Z15" s="96" t="str">
        <f>IF(S15=1,COUNTIF($S$6:S15,1),"")</f>
        <v/>
      </c>
      <c r="AA15" s="96">
        <f>IF(S15=0,0,IF(AND(OR(r_ini="",AND(ISNUMBER(D15),D15&gt;=r_ini)),OR(r_fim="",AND(ISNUMBER(D15),D15&lt;=r_fim)),OR(r_de="",r_de="(Todos)",F15=r_de)),1,0))</f>
        <v>0</v>
      </c>
      <c r="AB15" s="96" t="str">
        <f>IF(AA15=1,IF(F15="",0,COUNTIF($F$6:$F$505,"&lt;"&amp;F15))*1000+10,"")</f>
        <v/>
      </c>
    </row>
    <row r="16">
      <c r="A16" s="89" t="inlineStr">
        <is>
          <t>CDF-000011</t>
        </is>
      </c>
      <c r="B16" s="90" t="n"/>
      <c r="C16" s="91" t="n"/>
      <c r="D16" s="92" t="n"/>
      <c r="E16" s="91" t="n"/>
      <c r="F16" s="91" t="n"/>
      <c r="G16" s="91" t="n"/>
      <c r="H16" s="91" t="n"/>
      <c r="I16" s="91" t="n"/>
      <c r="J16" s="91" t="n"/>
      <c r="K16" s="92" t="n"/>
      <c r="L16" s="91" t="n"/>
      <c r="M16" s="91" t="n"/>
      <c r="N16" s="91" t="n"/>
      <c r="O16" s="93" t="str">
        <f>IF(S16=0,"",SUMIFS('VÍNCULOS_CDF'!$H$6:$H$1005,'VÍNCULOS_CDF'!$O$6:$O$1005,A16,'VÍNCULOS_CDF'!$V$6:$V$1005,1))</f>
        <v/>
      </c>
      <c r="P16" s="95" t="str">
        <f>IF(S16=0,"",COUNTIFS('VÍNCULOS_CDF'!$O$6:$O$1005,A16,'VÍNCULOS_CDF'!$N$6:$N$1005,1))</f>
        <v/>
      </c>
      <c r="Q16" s="94" t="str">
        <f>IF(S16=0,"",IF(OR(B16="",F16=""),"Informações incompletas",IF(U16=1,"Possível duplicidade",IF(V16=0,"Destinador fora do cadastro",IF(AND(J16="Sim",N(P16)=0),"Necessita revisão de vínculos",IF(X16&gt;0,"Necessita revisão de vínculos",IF(J16="Sim","Conferido",IF(I16="Sim","Localizado, aguardando conferência","Cadastrado"))))))))</f>
        <v/>
      </c>
      <c r="R16" s="95" t="str">
        <f>IF(S16=0,"",COUNTIFS('VÍNCULOS_CDF'!$O$6:$O$1005,A16,'VÍNCULOS_CDF'!$AB$6:$AB$1005,1))</f>
        <v/>
      </c>
      <c r="S16" s="96">
        <f>IF(COUNTA(B16:N16)&gt;0,1,0)</f>
        <v>0</v>
      </c>
      <c r="T16" s="96" t="str">
        <f>IF(AND(S16=1,B16&lt;&gt;""),C16&amp;"|"&amp;TRIM(B16),"")</f>
        <v/>
      </c>
      <c r="U16" s="96">
        <f>IF(T16="",0,IF(SUMPRODUCT(--($T$6:$T$505=T16))&gt;1,1,0))</f>
        <v>0</v>
      </c>
      <c r="V16" s="96">
        <f>IF(F16="",0,IF(ISNUMBER(MATCH(F16,cmp_dest,0)),1,0))</f>
        <v>0</v>
      </c>
      <c r="W16" s="96">
        <f>IF(AND(S16=1,B16&lt;&gt;"",F16&lt;&gt;"",J16="Sim",U16=0),1,0)</f>
        <v>0</v>
      </c>
      <c r="X16" s="96">
        <f>IF(S16=0,0,COUNTIFS('VÍNCULOS_CDF'!$O$6:$O$1005,A16,'VÍNCULOS_CDF'!$Y$6:$Y$1005,1))</f>
        <v>0</v>
      </c>
      <c r="Y16" s="96" t="str">
        <f>IF(S16=1,A16&amp;" | CDF "&amp;IF(B16="","(sem número)",B16)&amp;" | "&amp;IF(F16="","(sem destinador)",F16),"")</f>
        <v/>
      </c>
      <c r="Z16" s="96" t="str">
        <f>IF(S16=1,COUNTIF($S$6:S16,1),"")</f>
        <v/>
      </c>
      <c r="AA16" s="96">
        <f>IF(S16=0,0,IF(AND(OR(r_ini="",AND(ISNUMBER(D16),D16&gt;=r_ini)),OR(r_fim="",AND(ISNUMBER(D16),D16&lt;=r_fim)),OR(r_de="",r_de="(Todos)",F16=r_de)),1,0))</f>
        <v>0</v>
      </c>
      <c r="AB16" s="96" t="str">
        <f>IF(AA16=1,IF(F16="",0,COUNTIF($F$6:$F$505,"&lt;"&amp;F16))*1000+11,"")</f>
        <v/>
      </c>
    </row>
    <row r="17">
      <c r="A17" s="89" t="inlineStr">
        <is>
          <t>CDF-000012</t>
        </is>
      </c>
      <c r="B17" s="90" t="n"/>
      <c r="C17" s="91" t="n"/>
      <c r="D17" s="92" t="n"/>
      <c r="E17" s="91" t="n"/>
      <c r="F17" s="91" t="n"/>
      <c r="G17" s="91" t="n"/>
      <c r="H17" s="91" t="n"/>
      <c r="I17" s="91" t="n"/>
      <c r="J17" s="91" t="n"/>
      <c r="K17" s="92" t="n"/>
      <c r="L17" s="91" t="n"/>
      <c r="M17" s="91" t="n"/>
      <c r="N17" s="91" t="n"/>
      <c r="O17" s="93" t="str">
        <f>IF(S17=0,"",SUMIFS('VÍNCULOS_CDF'!$H$6:$H$1005,'VÍNCULOS_CDF'!$O$6:$O$1005,A17,'VÍNCULOS_CDF'!$V$6:$V$1005,1))</f>
        <v/>
      </c>
      <c r="P17" s="95" t="str">
        <f>IF(S17=0,"",COUNTIFS('VÍNCULOS_CDF'!$O$6:$O$1005,A17,'VÍNCULOS_CDF'!$N$6:$N$1005,1))</f>
        <v/>
      </c>
      <c r="Q17" s="94" t="str">
        <f>IF(S17=0,"",IF(OR(B17="",F17=""),"Informações incompletas",IF(U17=1,"Possível duplicidade",IF(V17=0,"Destinador fora do cadastro",IF(AND(J17="Sim",N(P17)=0),"Necessita revisão de vínculos",IF(X17&gt;0,"Necessita revisão de vínculos",IF(J17="Sim","Conferido",IF(I17="Sim","Localizado, aguardando conferência","Cadastrado"))))))))</f>
        <v/>
      </c>
      <c r="R17" s="95" t="str">
        <f>IF(S17=0,"",COUNTIFS('VÍNCULOS_CDF'!$O$6:$O$1005,A17,'VÍNCULOS_CDF'!$AB$6:$AB$1005,1))</f>
        <v/>
      </c>
      <c r="S17" s="96">
        <f>IF(COUNTA(B17:N17)&gt;0,1,0)</f>
        <v>0</v>
      </c>
      <c r="T17" s="96" t="str">
        <f>IF(AND(S17=1,B17&lt;&gt;""),C17&amp;"|"&amp;TRIM(B17),"")</f>
        <v/>
      </c>
      <c r="U17" s="96">
        <f>IF(T17="",0,IF(SUMPRODUCT(--($T$6:$T$505=T17))&gt;1,1,0))</f>
        <v>0</v>
      </c>
      <c r="V17" s="96">
        <f>IF(F17="",0,IF(ISNUMBER(MATCH(F17,cmp_dest,0)),1,0))</f>
        <v>0</v>
      </c>
      <c r="W17" s="96">
        <f>IF(AND(S17=1,B17&lt;&gt;"",F17&lt;&gt;"",J17="Sim",U17=0),1,0)</f>
        <v>0</v>
      </c>
      <c r="X17" s="96">
        <f>IF(S17=0,0,COUNTIFS('VÍNCULOS_CDF'!$O$6:$O$1005,A17,'VÍNCULOS_CDF'!$Y$6:$Y$1005,1))</f>
        <v>0</v>
      </c>
      <c r="Y17" s="96" t="str">
        <f>IF(S17=1,A17&amp;" | CDF "&amp;IF(B17="","(sem número)",B17)&amp;" | "&amp;IF(F17="","(sem destinador)",F17),"")</f>
        <v/>
      </c>
      <c r="Z17" s="96" t="str">
        <f>IF(S17=1,COUNTIF($S$6:S17,1),"")</f>
        <v/>
      </c>
      <c r="AA17" s="96">
        <f>IF(S17=0,0,IF(AND(OR(r_ini="",AND(ISNUMBER(D17),D17&gt;=r_ini)),OR(r_fim="",AND(ISNUMBER(D17),D17&lt;=r_fim)),OR(r_de="",r_de="(Todos)",F17=r_de)),1,0))</f>
        <v>0</v>
      </c>
      <c r="AB17" s="96" t="str">
        <f>IF(AA17=1,IF(F17="",0,COUNTIF($F$6:$F$505,"&lt;"&amp;F17))*1000+12,"")</f>
        <v/>
      </c>
    </row>
    <row r="18">
      <c r="A18" s="89" t="inlineStr">
        <is>
          <t>CDF-000013</t>
        </is>
      </c>
      <c r="B18" s="90" t="n"/>
      <c r="C18" s="91" t="n"/>
      <c r="D18" s="92" t="n"/>
      <c r="E18" s="91" t="n"/>
      <c r="F18" s="91" t="n"/>
      <c r="G18" s="91" t="n"/>
      <c r="H18" s="91" t="n"/>
      <c r="I18" s="91" t="n"/>
      <c r="J18" s="91" t="n"/>
      <c r="K18" s="92" t="n"/>
      <c r="L18" s="91" t="n"/>
      <c r="M18" s="91" t="n"/>
      <c r="N18" s="91" t="n"/>
      <c r="O18" s="93" t="str">
        <f>IF(S18=0,"",SUMIFS('VÍNCULOS_CDF'!$H$6:$H$1005,'VÍNCULOS_CDF'!$O$6:$O$1005,A18,'VÍNCULOS_CDF'!$V$6:$V$1005,1))</f>
        <v/>
      </c>
      <c r="P18" s="95" t="str">
        <f>IF(S18=0,"",COUNTIFS('VÍNCULOS_CDF'!$O$6:$O$1005,A18,'VÍNCULOS_CDF'!$N$6:$N$1005,1))</f>
        <v/>
      </c>
      <c r="Q18" s="94" t="str">
        <f>IF(S18=0,"",IF(OR(B18="",F18=""),"Informações incompletas",IF(U18=1,"Possível duplicidade",IF(V18=0,"Destinador fora do cadastro",IF(AND(J18="Sim",N(P18)=0),"Necessita revisão de vínculos",IF(X18&gt;0,"Necessita revisão de vínculos",IF(J18="Sim","Conferido",IF(I18="Sim","Localizado, aguardando conferência","Cadastrado"))))))))</f>
        <v/>
      </c>
      <c r="R18" s="95" t="str">
        <f>IF(S18=0,"",COUNTIFS('VÍNCULOS_CDF'!$O$6:$O$1005,A18,'VÍNCULOS_CDF'!$AB$6:$AB$1005,1))</f>
        <v/>
      </c>
      <c r="S18" s="96">
        <f>IF(COUNTA(B18:N18)&gt;0,1,0)</f>
        <v>0</v>
      </c>
      <c r="T18" s="96" t="str">
        <f>IF(AND(S18=1,B18&lt;&gt;""),C18&amp;"|"&amp;TRIM(B18),"")</f>
        <v/>
      </c>
      <c r="U18" s="96">
        <f>IF(T18="",0,IF(SUMPRODUCT(--($T$6:$T$505=T18))&gt;1,1,0))</f>
        <v>0</v>
      </c>
      <c r="V18" s="96">
        <f>IF(F18="",0,IF(ISNUMBER(MATCH(F18,cmp_dest,0)),1,0))</f>
        <v>0</v>
      </c>
      <c r="W18" s="96">
        <f>IF(AND(S18=1,B18&lt;&gt;"",F18&lt;&gt;"",J18="Sim",U18=0),1,0)</f>
        <v>0</v>
      </c>
      <c r="X18" s="96">
        <f>IF(S18=0,0,COUNTIFS('VÍNCULOS_CDF'!$O$6:$O$1005,A18,'VÍNCULOS_CDF'!$Y$6:$Y$1005,1))</f>
        <v>0</v>
      </c>
      <c r="Y18" s="96" t="str">
        <f>IF(S18=1,A18&amp;" | CDF "&amp;IF(B18="","(sem número)",B18)&amp;" | "&amp;IF(F18="","(sem destinador)",F18),"")</f>
        <v/>
      </c>
      <c r="Z18" s="96" t="str">
        <f>IF(S18=1,COUNTIF($S$6:S18,1),"")</f>
        <v/>
      </c>
      <c r="AA18" s="96">
        <f>IF(S18=0,0,IF(AND(OR(r_ini="",AND(ISNUMBER(D18),D18&gt;=r_ini)),OR(r_fim="",AND(ISNUMBER(D18),D18&lt;=r_fim)),OR(r_de="",r_de="(Todos)",F18=r_de)),1,0))</f>
        <v>0</v>
      </c>
      <c r="AB18" s="96" t="str">
        <f>IF(AA18=1,IF(F18="",0,COUNTIF($F$6:$F$505,"&lt;"&amp;F18))*1000+13,"")</f>
        <v/>
      </c>
    </row>
    <row r="19">
      <c r="A19" s="89" t="inlineStr">
        <is>
          <t>CDF-000014</t>
        </is>
      </c>
      <c r="B19" s="90" t="n"/>
      <c r="C19" s="91" t="n"/>
      <c r="D19" s="92" t="n"/>
      <c r="E19" s="91" t="n"/>
      <c r="F19" s="91" t="n"/>
      <c r="G19" s="91" t="n"/>
      <c r="H19" s="91" t="n"/>
      <c r="I19" s="91" t="n"/>
      <c r="J19" s="91" t="n"/>
      <c r="K19" s="92" t="n"/>
      <c r="L19" s="91" t="n"/>
      <c r="M19" s="91" t="n"/>
      <c r="N19" s="91" t="n"/>
      <c r="O19" s="93" t="str">
        <f>IF(S19=0,"",SUMIFS('VÍNCULOS_CDF'!$H$6:$H$1005,'VÍNCULOS_CDF'!$O$6:$O$1005,A19,'VÍNCULOS_CDF'!$V$6:$V$1005,1))</f>
        <v/>
      </c>
      <c r="P19" s="95" t="str">
        <f>IF(S19=0,"",COUNTIFS('VÍNCULOS_CDF'!$O$6:$O$1005,A19,'VÍNCULOS_CDF'!$N$6:$N$1005,1))</f>
        <v/>
      </c>
      <c r="Q19" s="94" t="str">
        <f>IF(S19=0,"",IF(OR(B19="",F19=""),"Informações incompletas",IF(U19=1,"Possível duplicidade",IF(V19=0,"Destinador fora do cadastro",IF(AND(J19="Sim",N(P19)=0),"Necessita revisão de vínculos",IF(X19&gt;0,"Necessita revisão de vínculos",IF(J19="Sim","Conferido",IF(I19="Sim","Localizado, aguardando conferência","Cadastrado"))))))))</f>
        <v/>
      </c>
      <c r="R19" s="95" t="str">
        <f>IF(S19=0,"",COUNTIFS('VÍNCULOS_CDF'!$O$6:$O$1005,A19,'VÍNCULOS_CDF'!$AB$6:$AB$1005,1))</f>
        <v/>
      </c>
      <c r="S19" s="96">
        <f>IF(COUNTA(B19:N19)&gt;0,1,0)</f>
        <v>0</v>
      </c>
      <c r="T19" s="96" t="str">
        <f>IF(AND(S19=1,B19&lt;&gt;""),C19&amp;"|"&amp;TRIM(B19),"")</f>
        <v/>
      </c>
      <c r="U19" s="96">
        <f>IF(T19="",0,IF(SUMPRODUCT(--($T$6:$T$505=T19))&gt;1,1,0))</f>
        <v>0</v>
      </c>
      <c r="V19" s="96">
        <f>IF(F19="",0,IF(ISNUMBER(MATCH(F19,cmp_dest,0)),1,0))</f>
        <v>0</v>
      </c>
      <c r="W19" s="96">
        <f>IF(AND(S19=1,B19&lt;&gt;"",F19&lt;&gt;"",J19="Sim",U19=0),1,0)</f>
        <v>0</v>
      </c>
      <c r="X19" s="96">
        <f>IF(S19=0,0,COUNTIFS('VÍNCULOS_CDF'!$O$6:$O$1005,A19,'VÍNCULOS_CDF'!$Y$6:$Y$1005,1))</f>
        <v>0</v>
      </c>
      <c r="Y19" s="96" t="str">
        <f>IF(S19=1,A19&amp;" | CDF "&amp;IF(B19="","(sem número)",B19)&amp;" | "&amp;IF(F19="","(sem destinador)",F19),"")</f>
        <v/>
      </c>
      <c r="Z19" s="96" t="str">
        <f>IF(S19=1,COUNTIF($S$6:S19,1),"")</f>
        <v/>
      </c>
      <c r="AA19" s="96">
        <f>IF(S19=0,0,IF(AND(OR(r_ini="",AND(ISNUMBER(D19),D19&gt;=r_ini)),OR(r_fim="",AND(ISNUMBER(D19),D19&lt;=r_fim)),OR(r_de="",r_de="(Todos)",F19=r_de)),1,0))</f>
        <v>0</v>
      </c>
      <c r="AB19" s="96" t="str">
        <f>IF(AA19=1,IF(F19="",0,COUNTIF($F$6:$F$505,"&lt;"&amp;F19))*1000+14,"")</f>
        <v/>
      </c>
    </row>
    <row r="20">
      <c r="A20" s="89" t="inlineStr">
        <is>
          <t>CDF-000015</t>
        </is>
      </c>
      <c r="B20" s="90" t="n"/>
      <c r="C20" s="91" t="n"/>
      <c r="D20" s="92" t="n"/>
      <c r="E20" s="91" t="n"/>
      <c r="F20" s="91" t="n"/>
      <c r="G20" s="91" t="n"/>
      <c r="H20" s="91" t="n"/>
      <c r="I20" s="91" t="n"/>
      <c r="J20" s="91" t="n"/>
      <c r="K20" s="92" t="n"/>
      <c r="L20" s="91" t="n"/>
      <c r="M20" s="91" t="n"/>
      <c r="N20" s="91" t="n"/>
      <c r="O20" s="93" t="str">
        <f>IF(S20=0,"",SUMIFS('VÍNCULOS_CDF'!$H$6:$H$1005,'VÍNCULOS_CDF'!$O$6:$O$1005,A20,'VÍNCULOS_CDF'!$V$6:$V$1005,1))</f>
        <v/>
      </c>
      <c r="P20" s="95" t="str">
        <f>IF(S20=0,"",COUNTIFS('VÍNCULOS_CDF'!$O$6:$O$1005,A20,'VÍNCULOS_CDF'!$N$6:$N$1005,1))</f>
        <v/>
      </c>
      <c r="Q20" s="94" t="str">
        <f>IF(S20=0,"",IF(OR(B20="",F20=""),"Informações incompletas",IF(U20=1,"Possível duplicidade",IF(V20=0,"Destinador fora do cadastro",IF(AND(J20="Sim",N(P20)=0),"Necessita revisão de vínculos",IF(X20&gt;0,"Necessita revisão de vínculos",IF(J20="Sim","Conferido",IF(I20="Sim","Localizado, aguardando conferência","Cadastrado"))))))))</f>
        <v/>
      </c>
      <c r="R20" s="95" t="str">
        <f>IF(S20=0,"",COUNTIFS('VÍNCULOS_CDF'!$O$6:$O$1005,A20,'VÍNCULOS_CDF'!$AB$6:$AB$1005,1))</f>
        <v/>
      </c>
      <c r="S20" s="96">
        <f>IF(COUNTA(B20:N20)&gt;0,1,0)</f>
        <v>0</v>
      </c>
      <c r="T20" s="96" t="str">
        <f>IF(AND(S20=1,B20&lt;&gt;""),C20&amp;"|"&amp;TRIM(B20),"")</f>
        <v/>
      </c>
      <c r="U20" s="96">
        <f>IF(T20="",0,IF(SUMPRODUCT(--($T$6:$T$505=T20))&gt;1,1,0))</f>
        <v>0</v>
      </c>
      <c r="V20" s="96">
        <f>IF(F20="",0,IF(ISNUMBER(MATCH(F20,cmp_dest,0)),1,0))</f>
        <v>0</v>
      </c>
      <c r="W20" s="96">
        <f>IF(AND(S20=1,B20&lt;&gt;"",F20&lt;&gt;"",J20="Sim",U20=0),1,0)</f>
        <v>0</v>
      </c>
      <c r="X20" s="96">
        <f>IF(S20=0,0,COUNTIFS('VÍNCULOS_CDF'!$O$6:$O$1005,A20,'VÍNCULOS_CDF'!$Y$6:$Y$1005,1))</f>
        <v>0</v>
      </c>
      <c r="Y20" s="96" t="str">
        <f>IF(S20=1,A20&amp;" | CDF "&amp;IF(B20="","(sem número)",B20)&amp;" | "&amp;IF(F20="","(sem destinador)",F20),"")</f>
        <v/>
      </c>
      <c r="Z20" s="96" t="str">
        <f>IF(S20=1,COUNTIF($S$6:S20,1),"")</f>
        <v/>
      </c>
      <c r="AA20" s="96">
        <f>IF(S20=0,0,IF(AND(OR(r_ini="",AND(ISNUMBER(D20),D20&gt;=r_ini)),OR(r_fim="",AND(ISNUMBER(D20),D20&lt;=r_fim)),OR(r_de="",r_de="(Todos)",F20=r_de)),1,0))</f>
        <v>0</v>
      </c>
      <c r="AB20" s="96" t="str">
        <f>IF(AA20=1,IF(F20="",0,COUNTIF($F$6:$F$505,"&lt;"&amp;F20))*1000+15,"")</f>
        <v/>
      </c>
    </row>
    <row r="21">
      <c r="A21" s="89" t="inlineStr">
        <is>
          <t>CDF-000016</t>
        </is>
      </c>
      <c r="B21" s="90" t="n"/>
      <c r="C21" s="91" t="n"/>
      <c r="D21" s="92" t="n"/>
      <c r="E21" s="91" t="n"/>
      <c r="F21" s="91" t="n"/>
      <c r="G21" s="91" t="n"/>
      <c r="H21" s="91" t="n"/>
      <c r="I21" s="91" t="n"/>
      <c r="J21" s="91" t="n"/>
      <c r="K21" s="92" t="n"/>
      <c r="L21" s="91" t="n"/>
      <c r="M21" s="91" t="n"/>
      <c r="N21" s="91" t="n"/>
      <c r="O21" s="93" t="str">
        <f>IF(S21=0,"",SUMIFS('VÍNCULOS_CDF'!$H$6:$H$1005,'VÍNCULOS_CDF'!$O$6:$O$1005,A21,'VÍNCULOS_CDF'!$V$6:$V$1005,1))</f>
        <v/>
      </c>
      <c r="P21" s="95" t="str">
        <f>IF(S21=0,"",COUNTIFS('VÍNCULOS_CDF'!$O$6:$O$1005,A21,'VÍNCULOS_CDF'!$N$6:$N$1005,1))</f>
        <v/>
      </c>
      <c r="Q21" s="94" t="str">
        <f>IF(S21=0,"",IF(OR(B21="",F21=""),"Informações incompletas",IF(U21=1,"Possível duplicidade",IF(V21=0,"Destinador fora do cadastro",IF(AND(J21="Sim",N(P21)=0),"Necessita revisão de vínculos",IF(X21&gt;0,"Necessita revisão de vínculos",IF(J21="Sim","Conferido",IF(I21="Sim","Localizado, aguardando conferência","Cadastrado"))))))))</f>
        <v/>
      </c>
      <c r="R21" s="95" t="str">
        <f>IF(S21=0,"",COUNTIFS('VÍNCULOS_CDF'!$O$6:$O$1005,A21,'VÍNCULOS_CDF'!$AB$6:$AB$1005,1))</f>
        <v/>
      </c>
      <c r="S21" s="96">
        <f>IF(COUNTA(B21:N21)&gt;0,1,0)</f>
        <v>0</v>
      </c>
      <c r="T21" s="96" t="str">
        <f>IF(AND(S21=1,B21&lt;&gt;""),C21&amp;"|"&amp;TRIM(B21),"")</f>
        <v/>
      </c>
      <c r="U21" s="96">
        <f>IF(T21="",0,IF(SUMPRODUCT(--($T$6:$T$505=T21))&gt;1,1,0))</f>
        <v>0</v>
      </c>
      <c r="V21" s="96">
        <f>IF(F21="",0,IF(ISNUMBER(MATCH(F21,cmp_dest,0)),1,0))</f>
        <v>0</v>
      </c>
      <c r="W21" s="96">
        <f>IF(AND(S21=1,B21&lt;&gt;"",F21&lt;&gt;"",J21="Sim",U21=0),1,0)</f>
        <v>0</v>
      </c>
      <c r="X21" s="96">
        <f>IF(S21=0,0,COUNTIFS('VÍNCULOS_CDF'!$O$6:$O$1005,A21,'VÍNCULOS_CDF'!$Y$6:$Y$1005,1))</f>
        <v>0</v>
      </c>
      <c r="Y21" s="96" t="str">
        <f>IF(S21=1,A21&amp;" | CDF "&amp;IF(B21="","(sem número)",B21)&amp;" | "&amp;IF(F21="","(sem destinador)",F21),"")</f>
        <v/>
      </c>
      <c r="Z21" s="96" t="str">
        <f>IF(S21=1,COUNTIF($S$6:S21,1),"")</f>
        <v/>
      </c>
      <c r="AA21" s="96">
        <f>IF(S21=0,0,IF(AND(OR(r_ini="",AND(ISNUMBER(D21),D21&gt;=r_ini)),OR(r_fim="",AND(ISNUMBER(D21),D21&lt;=r_fim)),OR(r_de="",r_de="(Todos)",F21=r_de)),1,0))</f>
        <v>0</v>
      </c>
      <c r="AB21" s="96" t="str">
        <f>IF(AA21=1,IF(F21="",0,COUNTIF($F$6:$F$505,"&lt;"&amp;F21))*1000+16,"")</f>
        <v/>
      </c>
    </row>
    <row r="22">
      <c r="A22" s="89" t="inlineStr">
        <is>
          <t>CDF-000017</t>
        </is>
      </c>
      <c r="B22" s="90" t="n"/>
      <c r="C22" s="91" t="n"/>
      <c r="D22" s="92" t="n"/>
      <c r="E22" s="91" t="n"/>
      <c r="F22" s="91" t="n"/>
      <c r="G22" s="91" t="n"/>
      <c r="H22" s="91" t="n"/>
      <c r="I22" s="91" t="n"/>
      <c r="J22" s="91" t="n"/>
      <c r="K22" s="92" t="n"/>
      <c r="L22" s="91" t="n"/>
      <c r="M22" s="91" t="n"/>
      <c r="N22" s="91" t="n"/>
      <c r="O22" s="93" t="str">
        <f>IF(S22=0,"",SUMIFS('VÍNCULOS_CDF'!$H$6:$H$1005,'VÍNCULOS_CDF'!$O$6:$O$1005,A22,'VÍNCULOS_CDF'!$V$6:$V$1005,1))</f>
        <v/>
      </c>
      <c r="P22" s="95" t="str">
        <f>IF(S22=0,"",COUNTIFS('VÍNCULOS_CDF'!$O$6:$O$1005,A22,'VÍNCULOS_CDF'!$N$6:$N$1005,1))</f>
        <v/>
      </c>
      <c r="Q22" s="94" t="str">
        <f>IF(S22=0,"",IF(OR(B22="",F22=""),"Informações incompletas",IF(U22=1,"Possível duplicidade",IF(V22=0,"Destinador fora do cadastro",IF(AND(J22="Sim",N(P22)=0),"Necessita revisão de vínculos",IF(X22&gt;0,"Necessita revisão de vínculos",IF(J22="Sim","Conferido",IF(I22="Sim","Localizado, aguardando conferência","Cadastrado"))))))))</f>
        <v/>
      </c>
      <c r="R22" s="95" t="str">
        <f>IF(S22=0,"",COUNTIFS('VÍNCULOS_CDF'!$O$6:$O$1005,A22,'VÍNCULOS_CDF'!$AB$6:$AB$1005,1))</f>
        <v/>
      </c>
      <c r="S22" s="96">
        <f>IF(COUNTA(B22:N22)&gt;0,1,0)</f>
        <v>0</v>
      </c>
      <c r="T22" s="96" t="str">
        <f>IF(AND(S22=1,B22&lt;&gt;""),C22&amp;"|"&amp;TRIM(B22),"")</f>
        <v/>
      </c>
      <c r="U22" s="96">
        <f>IF(T22="",0,IF(SUMPRODUCT(--($T$6:$T$505=T22))&gt;1,1,0))</f>
        <v>0</v>
      </c>
      <c r="V22" s="96">
        <f>IF(F22="",0,IF(ISNUMBER(MATCH(F22,cmp_dest,0)),1,0))</f>
        <v>0</v>
      </c>
      <c r="W22" s="96">
        <f>IF(AND(S22=1,B22&lt;&gt;"",F22&lt;&gt;"",J22="Sim",U22=0),1,0)</f>
        <v>0</v>
      </c>
      <c r="X22" s="96">
        <f>IF(S22=0,0,COUNTIFS('VÍNCULOS_CDF'!$O$6:$O$1005,A22,'VÍNCULOS_CDF'!$Y$6:$Y$1005,1))</f>
        <v>0</v>
      </c>
      <c r="Y22" s="96" t="str">
        <f>IF(S22=1,A22&amp;" | CDF "&amp;IF(B22="","(sem número)",B22)&amp;" | "&amp;IF(F22="","(sem destinador)",F22),"")</f>
        <v/>
      </c>
      <c r="Z22" s="96" t="str">
        <f>IF(S22=1,COUNTIF($S$6:S22,1),"")</f>
        <v/>
      </c>
      <c r="AA22" s="96">
        <f>IF(S22=0,0,IF(AND(OR(r_ini="",AND(ISNUMBER(D22),D22&gt;=r_ini)),OR(r_fim="",AND(ISNUMBER(D22),D22&lt;=r_fim)),OR(r_de="",r_de="(Todos)",F22=r_de)),1,0))</f>
        <v>0</v>
      </c>
      <c r="AB22" s="96" t="str">
        <f>IF(AA22=1,IF(F22="",0,COUNTIF($F$6:$F$505,"&lt;"&amp;F22))*1000+17,"")</f>
        <v/>
      </c>
    </row>
    <row r="23">
      <c r="A23" s="89" t="inlineStr">
        <is>
          <t>CDF-000018</t>
        </is>
      </c>
      <c r="B23" s="90" t="n"/>
      <c r="C23" s="91" t="n"/>
      <c r="D23" s="92" t="n"/>
      <c r="E23" s="91" t="n"/>
      <c r="F23" s="91" t="n"/>
      <c r="G23" s="91" t="n"/>
      <c r="H23" s="91" t="n"/>
      <c r="I23" s="91" t="n"/>
      <c r="J23" s="91" t="n"/>
      <c r="K23" s="92" t="n"/>
      <c r="L23" s="91" t="n"/>
      <c r="M23" s="91" t="n"/>
      <c r="N23" s="91" t="n"/>
      <c r="O23" s="93" t="str">
        <f>IF(S23=0,"",SUMIFS('VÍNCULOS_CDF'!$H$6:$H$1005,'VÍNCULOS_CDF'!$O$6:$O$1005,A23,'VÍNCULOS_CDF'!$V$6:$V$1005,1))</f>
        <v/>
      </c>
      <c r="P23" s="95" t="str">
        <f>IF(S23=0,"",COUNTIFS('VÍNCULOS_CDF'!$O$6:$O$1005,A23,'VÍNCULOS_CDF'!$N$6:$N$1005,1))</f>
        <v/>
      </c>
      <c r="Q23" s="94" t="str">
        <f>IF(S23=0,"",IF(OR(B23="",F23=""),"Informações incompletas",IF(U23=1,"Possível duplicidade",IF(V23=0,"Destinador fora do cadastro",IF(AND(J23="Sim",N(P23)=0),"Necessita revisão de vínculos",IF(X23&gt;0,"Necessita revisão de vínculos",IF(J23="Sim","Conferido",IF(I23="Sim","Localizado, aguardando conferência","Cadastrado"))))))))</f>
        <v/>
      </c>
      <c r="R23" s="95" t="str">
        <f>IF(S23=0,"",COUNTIFS('VÍNCULOS_CDF'!$O$6:$O$1005,A23,'VÍNCULOS_CDF'!$AB$6:$AB$1005,1))</f>
        <v/>
      </c>
      <c r="S23" s="96">
        <f>IF(COUNTA(B23:N23)&gt;0,1,0)</f>
        <v>0</v>
      </c>
      <c r="T23" s="96" t="str">
        <f>IF(AND(S23=1,B23&lt;&gt;""),C23&amp;"|"&amp;TRIM(B23),"")</f>
        <v/>
      </c>
      <c r="U23" s="96">
        <f>IF(T23="",0,IF(SUMPRODUCT(--($T$6:$T$505=T23))&gt;1,1,0))</f>
        <v>0</v>
      </c>
      <c r="V23" s="96">
        <f>IF(F23="",0,IF(ISNUMBER(MATCH(F23,cmp_dest,0)),1,0))</f>
        <v>0</v>
      </c>
      <c r="W23" s="96">
        <f>IF(AND(S23=1,B23&lt;&gt;"",F23&lt;&gt;"",J23="Sim",U23=0),1,0)</f>
        <v>0</v>
      </c>
      <c r="X23" s="96">
        <f>IF(S23=0,0,COUNTIFS('VÍNCULOS_CDF'!$O$6:$O$1005,A23,'VÍNCULOS_CDF'!$Y$6:$Y$1005,1))</f>
        <v>0</v>
      </c>
      <c r="Y23" s="96" t="str">
        <f>IF(S23=1,A23&amp;" | CDF "&amp;IF(B23="","(sem número)",B23)&amp;" | "&amp;IF(F23="","(sem destinador)",F23),"")</f>
        <v/>
      </c>
      <c r="Z23" s="96" t="str">
        <f>IF(S23=1,COUNTIF($S$6:S23,1),"")</f>
        <v/>
      </c>
      <c r="AA23" s="96">
        <f>IF(S23=0,0,IF(AND(OR(r_ini="",AND(ISNUMBER(D23),D23&gt;=r_ini)),OR(r_fim="",AND(ISNUMBER(D23),D23&lt;=r_fim)),OR(r_de="",r_de="(Todos)",F23=r_de)),1,0))</f>
        <v>0</v>
      </c>
      <c r="AB23" s="96" t="str">
        <f>IF(AA23=1,IF(F23="",0,COUNTIF($F$6:$F$505,"&lt;"&amp;F23))*1000+18,"")</f>
        <v/>
      </c>
    </row>
    <row r="24">
      <c r="A24" s="89" t="inlineStr">
        <is>
          <t>CDF-000019</t>
        </is>
      </c>
      <c r="B24" s="90" t="n"/>
      <c r="C24" s="91" t="n"/>
      <c r="D24" s="92" t="n"/>
      <c r="E24" s="91" t="n"/>
      <c r="F24" s="91" t="n"/>
      <c r="G24" s="91" t="n"/>
      <c r="H24" s="91" t="n"/>
      <c r="I24" s="91" t="n"/>
      <c r="J24" s="91" t="n"/>
      <c r="K24" s="92" t="n"/>
      <c r="L24" s="91" t="n"/>
      <c r="M24" s="91" t="n"/>
      <c r="N24" s="91" t="n"/>
      <c r="O24" s="93" t="str">
        <f>IF(S24=0,"",SUMIFS('VÍNCULOS_CDF'!$H$6:$H$1005,'VÍNCULOS_CDF'!$O$6:$O$1005,A24,'VÍNCULOS_CDF'!$V$6:$V$1005,1))</f>
        <v/>
      </c>
      <c r="P24" s="95" t="str">
        <f>IF(S24=0,"",COUNTIFS('VÍNCULOS_CDF'!$O$6:$O$1005,A24,'VÍNCULOS_CDF'!$N$6:$N$1005,1))</f>
        <v/>
      </c>
      <c r="Q24" s="94" t="str">
        <f>IF(S24=0,"",IF(OR(B24="",F24=""),"Informações incompletas",IF(U24=1,"Possível duplicidade",IF(V24=0,"Destinador fora do cadastro",IF(AND(J24="Sim",N(P24)=0),"Necessita revisão de vínculos",IF(X24&gt;0,"Necessita revisão de vínculos",IF(J24="Sim","Conferido",IF(I24="Sim","Localizado, aguardando conferência","Cadastrado"))))))))</f>
        <v/>
      </c>
      <c r="R24" s="95" t="str">
        <f>IF(S24=0,"",COUNTIFS('VÍNCULOS_CDF'!$O$6:$O$1005,A24,'VÍNCULOS_CDF'!$AB$6:$AB$1005,1))</f>
        <v/>
      </c>
      <c r="S24" s="96">
        <f>IF(COUNTA(B24:N24)&gt;0,1,0)</f>
        <v>0</v>
      </c>
      <c r="T24" s="96" t="str">
        <f>IF(AND(S24=1,B24&lt;&gt;""),C24&amp;"|"&amp;TRIM(B24),"")</f>
        <v/>
      </c>
      <c r="U24" s="96">
        <f>IF(T24="",0,IF(SUMPRODUCT(--($T$6:$T$505=T24))&gt;1,1,0))</f>
        <v>0</v>
      </c>
      <c r="V24" s="96">
        <f>IF(F24="",0,IF(ISNUMBER(MATCH(F24,cmp_dest,0)),1,0))</f>
        <v>0</v>
      </c>
      <c r="W24" s="96">
        <f>IF(AND(S24=1,B24&lt;&gt;"",F24&lt;&gt;"",J24="Sim",U24=0),1,0)</f>
        <v>0</v>
      </c>
      <c r="X24" s="96">
        <f>IF(S24=0,0,COUNTIFS('VÍNCULOS_CDF'!$O$6:$O$1005,A24,'VÍNCULOS_CDF'!$Y$6:$Y$1005,1))</f>
        <v>0</v>
      </c>
      <c r="Y24" s="96" t="str">
        <f>IF(S24=1,A24&amp;" | CDF "&amp;IF(B24="","(sem número)",B24)&amp;" | "&amp;IF(F24="","(sem destinador)",F24),"")</f>
        <v/>
      </c>
      <c r="Z24" s="96" t="str">
        <f>IF(S24=1,COUNTIF($S$6:S24,1),"")</f>
        <v/>
      </c>
      <c r="AA24" s="96">
        <f>IF(S24=0,0,IF(AND(OR(r_ini="",AND(ISNUMBER(D24),D24&gt;=r_ini)),OR(r_fim="",AND(ISNUMBER(D24),D24&lt;=r_fim)),OR(r_de="",r_de="(Todos)",F24=r_de)),1,0))</f>
        <v>0</v>
      </c>
      <c r="AB24" s="96" t="str">
        <f>IF(AA24=1,IF(F24="",0,COUNTIF($F$6:$F$505,"&lt;"&amp;F24))*1000+19,"")</f>
        <v/>
      </c>
    </row>
    <row r="25">
      <c r="A25" s="89" t="inlineStr">
        <is>
          <t>CDF-000020</t>
        </is>
      </c>
      <c r="B25" s="90" t="n"/>
      <c r="C25" s="91" t="n"/>
      <c r="D25" s="92" t="n"/>
      <c r="E25" s="91" t="n"/>
      <c r="F25" s="91" t="n"/>
      <c r="G25" s="91" t="n"/>
      <c r="H25" s="91" t="n"/>
      <c r="I25" s="91" t="n"/>
      <c r="J25" s="91" t="n"/>
      <c r="K25" s="92" t="n"/>
      <c r="L25" s="91" t="n"/>
      <c r="M25" s="91" t="n"/>
      <c r="N25" s="91" t="n"/>
      <c r="O25" s="93" t="str">
        <f>IF(S25=0,"",SUMIFS('VÍNCULOS_CDF'!$H$6:$H$1005,'VÍNCULOS_CDF'!$O$6:$O$1005,A25,'VÍNCULOS_CDF'!$V$6:$V$1005,1))</f>
        <v/>
      </c>
      <c r="P25" s="95" t="str">
        <f>IF(S25=0,"",COUNTIFS('VÍNCULOS_CDF'!$O$6:$O$1005,A25,'VÍNCULOS_CDF'!$N$6:$N$1005,1))</f>
        <v/>
      </c>
      <c r="Q25" s="94" t="str">
        <f>IF(S25=0,"",IF(OR(B25="",F25=""),"Informações incompletas",IF(U25=1,"Possível duplicidade",IF(V25=0,"Destinador fora do cadastro",IF(AND(J25="Sim",N(P25)=0),"Necessita revisão de vínculos",IF(X25&gt;0,"Necessita revisão de vínculos",IF(J25="Sim","Conferido",IF(I25="Sim","Localizado, aguardando conferência","Cadastrado"))))))))</f>
        <v/>
      </c>
      <c r="R25" s="95" t="str">
        <f>IF(S25=0,"",COUNTIFS('VÍNCULOS_CDF'!$O$6:$O$1005,A25,'VÍNCULOS_CDF'!$AB$6:$AB$1005,1))</f>
        <v/>
      </c>
      <c r="S25" s="96">
        <f>IF(COUNTA(B25:N25)&gt;0,1,0)</f>
        <v>0</v>
      </c>
      <c r="T25" s="96" t="str">
        <f>IF(AND(S25=1,B25&lt;&gt;""),C25&amp;"|"&amp;TRIM(B25),"")</f>
        <v/>
      </c>
      <c r="U25" s="96">
        <f>IF(T25="",0,IF(SUMPRODUCT(--($T$6:$T$505=T25))&gt;1,1,0))</f>
        <v>0</v>
      </c>
      <c r="V25" s="96">
        <f>IF(F25="",0,IF(ISNUMBER(MATCH(F25,cmp_dest,0)),1,0))</f>
        <v>0</v>
      </c>
      <c r="W25" s="96">
        <f>IF(AND(S25=1,B25&lt;&gt;"",F25&lt;&gt;"",J25="Sim",U25=0),1,0)</f>
        <v>0</v>
      </c>
      <c r="X25" s="96">
        <f>IF(S25=0,0,COUNTIFS('VÍNCULOS_CDF'!$O$6:$O$1005,A25,'VÍNCULOS_CDF'!$Y$6:$Y$1005,1))</f>
        <v>0</v>
      </c>
      <c r="Y25" s="96" t="str">
        <f>IF(S25=1,A25&amp;" | CDF "&amp;IF(B25="","(sem número)",B25)&amp;" | "&amp;IF(F25="","(sem destinador)",F25),"")</f>
        <v/>
      </c>
      <c r="Z25" s="96" t="str">
        <f>IF(S25=1,COUNTIF($S$6:S25,1),"")</f>
        <v/>
      </c>
      <c r="AA25" s="96">
        <f>IF(S25=0,0,IF(AND(OR(r_ini="",AND(ISNUMBER(D25),D25&gt;=r_ini)),OR(r_fim="",AND(ISNUMBER(D25),D25&lt;=r_fim)),OR(r_de="",r_de="(Todos)",F25=r_de)),1,0))</f>
        <v>0</v>
      </c>
      <c r="AB25" s="96" t="str">
        <f>IF(AA25=1,IF(F25="",0,COUNTIF($F$6:$F$505,"&lt;"&amp;F25))*1000+20,"")</f>
        <v/>
      </c>
    </row>
    <row r="26">
      <c r="A26" s="89" t="inlineStr">
        <is>
          <t>CDF-000021</t>
        </is>
      </c>
      <c r="B26" s="90" t="n"/>
      <c r="C26" s="91" t="n"/>
      <c r="D26" s="92" t="n"/>
      <c r="E26" s="91" t="n"/>
      <c r="F26" s="91" t="n"/>
      <c r="G26" s="91" t="n"/>
      <c r="H26" s="91" t="n"/>
      <c r="I26" s="91" t="n"/>
      <c r="J26" s="91" t="n"/>
      <c r="K26" s="92" t="n"/>
      <c r="L26" s="91" t="n"/>
      <c r="M26" s="91" t="n"/>
      <c r="N26" s="91" t="n"/>
      <c r="O26" s="93" t="str">
        <f>IF(S26=0,"",SUMIFS('VÍNCULOS_CDF'!$H$6:$H$1005,'VÍNCULOS_CDF'!$O$6:$O$1005,A26,'VÍNCULOS_CDF'!$V$6:$V$1005,1))</f>
        <v/>
      </c>
      <c r="P26" s="95" t="str">
        <f>IF(S26=0,"",COUNTIFS('VÍNCULOS_CDF'!$O$6:$O$1005,A26,'VÍNCULOS_CDF'!$N$6:$N$1005,1))</f>
        <v/>
      </c>
      <c r="Q26" s="94" t="str">
        <f>IF(S26=0,"",IF(OR(B26="",F26=""),"Informações incompletas",IF(U26=1,"Possível duplicidade",IF(V26=0,"Destinador fora do cadastro",IF(AND(J26="Sim",N(P26)=0),"Necessita revisão de vínculos",IF(X26&gt;0,"Necessita revisão de vínculos",IF(J26="Sim","Conferido",IF(I26="Sim","Localizado, aguardando conferência","Cadastrado"))))))))</f>
        <v/>
      </c>
      <c r="R26" s="95" t="str">
        <f>IF(S26=0,"",COUNTIFS('VÍNCULOS_CDF'!$O$6:$O$1005,A26,'VÍNCULOS_CDF'!$AB$6:$AB$1005,1))</f>
        <v/>
      </c>
      <c r="S26" s="96">
        <f>IF(COUNTA(B26:N26)&gt;0,1,0)</f>
        <v>0</v>
      </c>
      <c r="T26" s="96" t="str">
        <f>IF(AND(S26=1,B26&lt;&gt;""),C26&amp;"|"&amp;TRIM(B26),"")</f>
        <v/>
      </c>
      <c r="U26" s="96">
        <f>IF(T26="",0,IF(SUMPRODUCT(--($T$6:$T$505=T26))&gt;1,1,0))</f>
        <v>0</v>
      </c>
      <c r="V26" s="96">
        <f>IF(F26="",0,IF(ISNUMBER(MATCH(F26,cmp_dest,0)),1,0))</f>
        <v>0</v>
      </c>
      <c r="W26" s="96">
        <f>IF(AND(S26=1,B26&lt;&gt;"",F26&lt;&gt;"",J26="Sim",U26=0),1,0)</f>
        <v>0</v>
      </c>
      <c r="X26" s="96">
        <f>IF(S26=0,0,COUNTIFS('VÍNCULOS_CDF'!$O$6:$O$1005,A26,'VÍNCULOS_CDF'!$Y$6:$Y$1005,1))</f>
        <v>0</v>
      </c>
      <c r="Y26" s="96" t="str">
        <f>IF(S26=1,A26&amp;" | CDF "&amp;IF(B26="","(sem número)",B26)&amp;" | "&amp;IF(F26="","(sem destinador)",F26),"")</f>
        <v/>
      </c>
      <c r="Z26" s="96" t="str">
        <f>IF(S26=1,COUNTIF($S$6:S26,1),"")</f>
        <v/>
      </c>
      <c r="AA26" s="96">
        <f>IF(S26=0,0,IF(AND(OR(r_ini="",AND(ISNUMBER(D26),D26&gt;=r_ini)),OR(r_fim="",AND(ISNUMBER(D26),D26&lt;=r_fim)),OR(r_de="",r_de="(Todos)",F26=r_de)),1,0))</f>
        <v>0</v>
      </c>
      <c r="AB26" s="96" t="str">
        <f>IF(AA26=1,IF(F26="",0,COUNTIF($F$6:$F$505,"&lt;"&amp;F26))*1000+21,"")</f>
        <v/>
      </c>
    </row>
    <row r="27">
      <c r="A27" s="89" t="inlineStr">
        <is>
          <t>CDF-000022</t>
        </is>
      </c>
      <c r="B27" s="90" t="n"/>
      <c r="C27" s="91" t="n"/>
      <c r="D27" s="92" t="n"/>
      <c r="E27" s="91" t="n"/>
      <c r="F27" s="91" t="n"/>
      <c r="G27" s="91" t="n"/>
      <c r="H27" s="91" t="n"/>
      <c r="I27" s="91" t="n"/>
      <c r="J27" s="91" t="n"/>
      <c r="K27" s="92" t="n"/>
      <c r="L27" s="91" t="n"/>
      <c r="M27" s="91" t="n"/>
      <c r="N27" s="91" t="n"/>
      <c r="O27" s="93" t="str">
        <f>IF(S27=0,"",SUMIFS('VÍNCULOS_CDF'!$H$6:$H$1005,'VÍNCULOS_CDF'!$O$6:$O$1005,A27,'VÍNCULOS_CDF'!$V$6:$V$1005,1))</f>
        <v/>
      </c>
      <c r="P27" s="95" t="str">
        <f>IF(S27=0,"",COUNTIFS('VÍNCULOS_CDF'!$O$6:$O$1005,A27,'VÍNCULOS_CDF'!$N$6:$N$1005,1))</f>
        <v/>
      </c>
      <c r="Q27" s="94" t="str">
        <f>IF(S27=0,"",IF(OR(B27="",F27=""),"Informações incompletas",IF(U27=1,"Possível duplicidade",IF(V27=0,"Destinador fora do cadastro",IF(AND(J27="Sim",N(P27)=0),"Necessita revisão de vínculos",IF(X27&gt;0,"Necessita revisão de vínculos",IF(J27="Sim","Conferido",IF(I27="Sim","Localizado, aguardando conferência","Cadastrado"))))))))</f>
        <v/>
      </c>
      <c r="R27" s="95" t="str">
        <f>IF(S27=0,"",COUNTIFS('VÍNCULOS_CDF'!$O$6:$O$1005,A27,'VÍNCULOS_CDF'!$AB$6:$AB$1005,1))</f>
        <v/>
      </c>
      <c r="S27" s="96">
        <f>IF(COUNTA(B27:N27)&gt;0,1,0)</f>
        <v>0</v>
      </c>
      <c r="T27" s="96" t="str">
        <f>IF(AND(S27=1,B27&lt;&gt;""),C27&amp;"|"&amp;TRIM(B27),"")</f>
        <v/>
      </c>
      <c r="U27" s="96">
        <f>IF(T27="",0,IF(SUMPRODUCT(--($T$6:$T$505=T27))&gt;1,1,0))</f>
        <v>0</v>
      </c>
      <c r="V27" s="96">
        <f>IF(F27="",0,IF(ISNUMBER(MATCH(F27,cmp_dest,0)),1,0))</f>
        <v>0</v>
      </c>
      <c r="W27" s="96">
        <f>IF(AND(S27=1,B27&lt;&gt;"",F27&lt;&gt;"",J27="Sim",U27=0),1,0)</f>
        <v>0</v>
      </c>
      <c r="X27" s="96">
        <f>IF(S27=0,0,COUNTIFS('VÍNCULOS_CDF'!$O$6:$O$1005,A27,'VÍNCULOS_CDF'!$Y$6:$Y$1005,1))</f>
        <v>0</v>
      </c>
      <c r="Y27" s="96" t="str">
        <f>IF(S27=1,A27&amp;" | CDF "&amp;IF(B27="","(sem número)",B27)&amp;" | "&amp;IF(F27="","(sem destinador)",F27),"")</f>
        <v/>
      </c>
      <c r="Z27" s="96" t="str">
        <f>IF(S27=1,COUNTIF($S$6:S27,1),"")</f>
        <v/>
      </c>
      <c r="AA27" s="96">
        <f>IF(S27=0,0,IF(AND(OR(r_ini="",AND(ISNUMBER(D27),D27&gt;=r_ini)),OR(r_fim="",AND(ISNUMBER(D27),D27&lt;=r_fim)),OR(r_de="",r_de="(Todos)",F27=r_de)),1,0))</f>
        <v>0</v>
      </c>
      <c r="AB27" s="96" t="str">
        <f>IF(AA27=1,IF(F27="",0,COUNTIF($F$6:$F$505,"&lt;"&amp;F27))*1000+22,"")</f>
        <v/>
      </c>
    </row>
    <row r="28">
      <c r="A28" s="89" t="inlineStr">
        <is>
          <t>CDF-000023</t>
        </is>
      </c>
      <c r="B28" s="90" t="n"/>
      <c r="C28" s="91" t="n"/>
      <c r="D28" s="92" t="n"/>
      <c r="E28" s="91" t="n"/>
      <c r="F28" s="91" t="n"/>
      <c r="G28" s="91" t="n"/>
      <c r="H28" s="91" t="n"/>
      <c r="I28" s="91" t="n"/>
      <c r="J28" s="91" t="n"/>
      <c r="K28" s="92" t="n"/>
      <c r="L28" s="91" t="n"/>
      <c r="M28" s="91" t="n"/>
      <c r="N28" s="91" t="n"/>
      <c r="O28" s="93" t="str">
        <f>IF(S28=0,"",SUMIFS('VÍNCULOS_CDF'!$H$6:$H$1005,'VÍNCULOS_CDF'!$O$6:$O$1005,A28,'VÍNCULOS_CDF'!$V$6:$V$1005,1))</f>
        <v/>
      </c>
      <c r="P28" s="95" t="str">
        <f>IF(S28=0,"",COUNTIFS('VÍNCULOS_CDF'!$O$6:$O$1005,A28,'VÍNCULOS_CDF'!$N$6:$N$1005,1))</f>
        <v/>
      </c>
      <c r="Q28" s="94" t="str">
        <f>IF(S28=0,"",IF(OR(B28="",F28=""),"Informações incompletas",IF(U28=1,"Possível duplicidade",IF(V28=0,"Destinador fora do cadastro",IF(AND(J28="Sim",N(P28)=0),"Necessita revisão de vínculos",IF(X28&gt;0,"Necessita revisão de vínculos",IF(J28="Sim","Conferido",IF(I28="Sim","Localizado, aguardando conferência","Cadastrado"))))))))</f>
        <v/>
      </c>
      <c r="R28" s="95" t="str">
        <f>IF(S28=0,"",COUNTIFS('VÍNCULOS_CDF'!$O$6:$O$1005,A28,'VÍNCULOS_CDF'!$AB$6:$AB$1005,1))</f>
        <v/>
      </c>
      <c r="S28" s="96">
        <f>IF(COUNTA(B28:N28)&gt;0,1,0)</f>
        <v>0</v>
      </c>
      <c r="T28" s="96" t="str">
        <f>IF(AND(S28=1,B28&lt;&gt;""),C28&amp;"|"&amp;TRIM(B28),"")</f>
        <v/>
      </c>
      <c r="U28" s="96">
        <f>IF(T28="",0,IF(SUMPRODUCT(--($T$6:$T$505=T28))&gt;1,1,0))</f>
        <v>0</v>
      </c>
      <c r="V28" s="96">
        <f>IF(F28="",0,IF(ISNUMBER(MATCH(F28,cmp_dest,0)),1,0))</f>
        <v>0</v>
      </c>
      <c r="W28" s="96">
        <f>IF(AND(S28=1,B28&lt;&gt;"",F28&lt;&gt;"",J28="Sim",U28=0),1,0)</f>
        <v>0</v>
      </c>
      <c r="X28" s="96">
        <f>IF(S28=0,0,COUNTIFS('VÍNCULOS_CDF'!$O$6:$O$1005,A28,'VÍNCULOS_CDF'!$Y$6:$Y$1005,1))</f>
        <v>0</v>
      </c>
      <c r="Y28" s="96" t="str">
        <f>IF(S28=1,A28&amp;" | CDF "&amp;IF(B28="","(sem número)",B28)&amp;" | "&amp;IF(F28="","(sem destinador)",F28),"")</f>
        <v/>
      </c>
      <c r="Z28" s="96" t="str">
        <f>IF(S28=1,COUNTIF($S$6:S28,1),"")</f>
        <v/>
      </c>
      <c r="AA28" s="96">
        <f>IF(S28=0,0,IF(AND(OR(r_ini="",AND(ISNUMBER(D28),D28&gt;=r_ini)),OR(r_fim="",AND(ISNUMBER(D28),D28&lt;=r_fim)),OR(r_de="",r_de="(Todos)",F28=r_de)),1,0))</f>
        <v>0</v>
      </c>
      <c r="AB28" s="96" t="str">
        <f>IF(AA28=1,IF(F28="",0,COUNTIF($F$6:$F$505,"&lt;"&amp;F28))*1000+23,"")</f>
        <v/>
      </c>
    </row>
    <row r="29">
      <c r="A29" s="89" t="inlineStr">
        <is>
          <t>CDF-000024</t>
        </is>
      </c>
      <c r="B29" s="90" t="n"/>
      <c r="C29" s="91" t="n"/>
      <c r="D29" s="92" t="n"/>
      <c r="E29" s="91" t="n"/>
      <c r="F29" s="91" t="n"/>
      <c r="G29" s="91" t="n"/>
      <c r="H29" s="91" t="n"/>
      <c r="I29" s="91" t="n"/>
      <c r="J29" s="91" t="n"/>
      <c r="K29" s="92" t="n"/>
      <c r="L29" s="91" t="n"/>
      <c r="M29" s="91" t="n"/>
      <c r="N29" s="91" t="n"/>
      <c r="O29" s="93" t="str">
        <f>IF(S29=0,"",SUMIFS('VÍNCULOS_CDF'!$H$6:$H$1005,'VÍNCULOS_CDF'!$O$6:$O$1005,A29,'VÍNCULOS_CDF'!$V$6:$V$1005,1))</f>
        <v/>
      </c>
      <c r="P29" s="95" t="str">
        <f>IF(S29=0,"",COUNTIFS('VÍNCULOS_CDF'!$O$6:$O$1005,A29,'VÍNCULOS_CDF'!$N$6:$N$1005,1))</f>
        <v/>
      </c>
      <c r="Q29" s="94" t="str">
        <f>IF(S29=0,"",IF(OR(B29="",F29=""),"Informações incompletas",IF(U29=1,"Possível duplicidade",IF(V29=0,"Destinador fora do cadastro",IF(AND(J29="Sim",N(P29)=0),"Necessita revisão de vínculos",IF(X29&gt;0,"Necessita revisão de vínculos",IF(J29="Sim","Conferido",IF(I29="Sim","Localizado, aguardando conferência","Cadastrado"))))))))</f>
        <v/>
      </c>
      <c r="R29" s="95" t="str">
        <f>IF(S29=0,"",COUNTIFS('VÍNCULOS_CDF'!$O$6:$O$1005,A29,'VÍNCULOS_CDF'!$AB$6:$AB$1005,1))</f>
        <v/>
      </c>
      <c r="S29" s="96">
        <f>IF(COUNTA(B29:N29)&gt;0,1,0)</f>
        <v>0</v>
      </c>
      <c r="T29" s="96" t="str">
        <f>IF(AND(S29=1,B29&lt;&gt;""),C29&amp;"|"&amp;TRIM(B29),"")</f>
        <v/>
      </c>
      <c r="U29" s="96">
        <f>IF(T29="",0,IF(SUMPRODUCT(--($T$6:$T$505=T29))&gt;1,1,0))</f>
        <v>0</v>
      </c>
      <c r="V29" s="96">
        <f>IF(F29="",0,IF(ISNUMBER(MATCH(F29,cmp_dest,0)),1,0))</f>
        <v>0</v>
      </c>
      <c r="W29" s="96">
        <f>IF(AND(S29=1,B29&lt;&gt;"",F29&lt;&gt;"",J29="Sim",U29=0),1,0)</f>
        <v>0</v>
      </c>
      <c r="X29" s="96">
        <f>IF(S29=0,0,COUNTIFS('VÍNCULOS_CDF'!$O$6:$O$1005,A29,'VÍNCULOS_CDF'!$Y$6:$Y$1005,1))</f>
        <v>0</v>
      </c>
      <c r="Y29" s="96" t="str">
        <f>IF(S29=1,A29&amp;" | CDF "&amp;IF(B29="","(sem número)",B29)&amp;" | "&amp;IF(F29="","(sem destinador)",F29),"")</f>
        <v/>
      </c>
      <c r="Z29" s="96" t="str">
        <f>IF(S29=1,COUNTIF($S$6:S29,1),"")</f>
        <v/>
      </c>
      <c r="AA29" s="96">
        <f>IF(S29=0,0,IF(AND(OR(r_ini="",AND(ISNUMBER(D29),D29&gt;=r_ini)),OR(r_fim="",AND(ISNUMBER(D29),D29&lt;=r_fim)),OR(r_de="",r_de="(Todos)",F29=r_de)),1,0))</f>
        <v>0</v>
      </c>
      <c r="AB29" s="96" t="str">
        <f>IF(AA29=1,IF(F29="",0,COUNTIF($F$6:$F$505,"&lt;"&amp;F29))*1000+24,"")</f>
        <v/>
      </c>
    </row>
    <row r="30">
      <c r="A30" s="89" t="inlineStr">
        <is>
          <t>CDF-000025</t>
        </is>
      </c>
      <c r="B30" s="90" t="n"/>
      <c r="C30" s="91" t="n"/>
      <c r="D30" s="92" t="n"/>
      <c r="E30" s="91" t="n"/>
      <c r="F30" s="91" t="n"/>
      <c r="G30" s="91" t="n"/>
      <c r="H30" s="91" t="n"/>
      <c r="I30" s="91" t="n"/>
      <c r="J30" s="91" t="n"/>
      <c r="K30" s="92" t="n"/>
      <c r="L30" s="91" t="n"/>
      <c r="M30" s="91" t="n"/>
      <c r="N30" s="91" t="n"/>
      <c r="O30" s="93" t="str">
        <f>IF(S30=0,"",SUMIFS('VÍNCULOS_CDF'!$H$6:$H$1005,'VÍNCULOS_CDF'!$O$6:$O$1005,A30,'VÍNCULOS_CDF'!$V$6:$V$1005,1))</f>
        <v/>
      </c>
      <c r="P30" s="95" t="str">
        <f>IF(S30=0,"",COUNTIFS('VÍNCULOS_CDF'!$O$6:$O$1005,A30,'VÍNCULOS_CDF'!$N$6:$N$1005,1))</f>
        <v/>
      </c>
      <c r="Q30" s="94" t="str">
        <f>IF(S30=0,"",IF(OR(B30="",F30=""),"Informações incompletas",IF(U30=1,"Possível duplicidade",IF(V30=0,"Destinador fora do cadastro",IF(AND(J30="Sim",N(P30)=0),"Necessita revisão de vínculos",IF(X30&gt;0,"Necessita revisão de vínculos",IF(J30="Sim","Conferido",IF(I30="Sim","Localizado, aguardando conferência","Cadastrado"))))))))</f>
        <v/>
      </c>
      <c r="R30" s="95" t="str">
        <f>IF(S30=0,"",COUNTIFS('VÍNCULOS_CDF'!$O$6:$O$1005,A30,'VÍNCULOS_CDF'!$AB$6:$AB$1005,1))</f>
        <v/>
      </c>
      <c r="S30" s="96">
        <f>IF(COUNTA(B30:N30)&gt;0,1,0)</f>
        <v>0</v>
      </c>
      <c r="T30" s="96" t="str">
        <f>IF(AND(S30=1,B30&lt;&gt;""),C30&amp;"|"&amp;TRIM(B30),"")</f>
        <v/>
      </c>
      <c r="U30" s="96">
        <f>IF(T30="",0,IF(SUMPRODUCT(--($T$6:$T$505=T30))&gt;1,1,0))</f>
        <v>0</v>
      </c>
      <c r="V30" s="96">
        <f>IF(F30="",0,IF(ISNUMBER(MATCH(F30,cmp_dest,0)),1,0))</f>
        <v>0</v>
      </c>
      <c r="W30" s="96">
        <f>IF(AND(S30=1,B30&lt;&gt;"",F30&lt;&gt;"",J30="Sim",U30=0),1,0)</f>
        <v>0</v>
      </c>
      <c r="X30" s="96">
        <f>IF(S30=0,0,COUNTIFS('VÍNCULOS_CDF'!$O$6:$O$1005,A30,'VÍNCULOS_CDF'!$Y$6:$Y$1005,1))</f>
        <v>0</v>
      </c>
      <c r="Y30" s="96" t="str">
        <f>IF(S30=1,A30&amp;" | CDF "&amp;IF(B30="","(sem número)",B30)&amp;" | "&amp;IF(F30="","(sem destinador)",F30),"")</f>
        <v/>
      </c>
      <c r="Z30" s="96" t="str">
        <f>IF(S30=1,COUNTIF($S$6:S30,1),"")</f>
        <v/>
      </c>
      <c r="AA30" s="96">
        <f>IF(S30=0,0,IF(AND(OR(r_ini="",AND(ISNUMBER(D30),D30&gt;=r_ini)),OR(r_fim="",AND(ISNUMBER(D30),D30&lt;=r_fim)),OR(r_de="",r_de="(Todos)",F30=r_de)),1,0))</f>
        <v>0</v>
      </c>
      <c r="AB30" s="96" t="str">
        <f>IF(AA30=1,IF(F30="",0,COUNTIF($F$6:$F$505,"&lt;"&amp;F30))*1000+25,"")</f>
        <v/>
      </c>
    </row>
    <row r="31">
      <c r="A31" s="89" t="inlineStr">
        <is>
          <t>CDF-000026</t>
        </is>
      </c>
      <c r="B31" s="90" t="n"/>
      <c r="C31" s="91" t="n"/>
      <c r="D31" s="92" t="n"/>
      <c r="E31" s="91" t="n"/>
      <c r="F31" s="91" t="n"/>
      <c r="G31" s="91" t="n"/>
      <c r="H31" s="91" t="n"/>
      <c r="I31" s="91" t="n"/>
      <c r="J31" s="91" t="n"/>
      <c r="K31" s="92" t="n"/>
      <c r="L31" s="91" t="n"/>
      <c r="M31" s="91" t="n"/>
      <c r="N31" s="91" t="n"/>
      <c r="O31" s="93" t="str">
        <f>IF(S31=0,"",SUMIFS('VÍNCULOS_CDF'!$H$6:$H$1005,'VÍNCULOS_CDF'!$O$6:$O$1005,A31,'VÍNCULOS_CDF'!$V$6:$V$1005,1))</f>
        <v/>
      </c>
      <c r="P31" s="95" t="str">
        <f>IF(S31=0,"",COUNTIFS('VÍNCULOS_CDF'!$O$6:$O$1005,A31,'VÍNCULOS_CDF'!$N$6:$N$1005,1))</f>
        <v/>
      </c>
      <c r="Q31" s="94" t="str">
        <f>IF(S31=0,"",IF(OR(B31="",F31=""),"Informações incompletas",IF(U31=1,"Possível duplicidade",IF(V31=0,"Destinador fora do cadastro",IF(AND(J31="Sim",N(P31)=0),"Necessita revisão de vínculos",IF(X31&gt;0,"Necessita revisão de vínculos",IF(J31="Sim","Conferido",IF(I31="Sim","Localizado, aguardando conferência","Cadastrado"))))))))</f>
        <v/>
      </c>
      <c r="R31" s="95" t="str">
        <f>IF(S31=0,"",COUNTIFS('VÍNCULOS_CDF'!$O$6:$O$1005,A31,'VÍNCULOS_CDF'!$AB$6:$AB$1005,1))</f>
        <v/>
      </c>
      <c r="S31" s="96">
        <f>IF(COUNTA(B31:N31)&gt;0,1,0)</f>
        <v>0</v>
      </c>
      <c r="T31" s="96" t="str">
        <f>IF(AND(S31=1,B31&lt;&gt;""),C31&amp;"|"&amp;TRIM(B31),"")</f>
        <v/>
      </c>
      <c r="U31" s="96">
        <f>IF(T31="",0,IF(SUMPRODUCT(--($T$6:$T$505=T31))&gt;1,1,0))</f>
        <v>0</v>
      </c>
      <c r="V31" s="96">
        <f>IF(F31="",0,IF(ISNUMBER(MATCH(F31,cmp_dest,0)),1,0))</f>
        <v>0</v>
      </c>
      <c r="W31" s="96">
        <f>IF(AND(S31=1,B31&lt;&gt;"",F31&lt;&gt;"",J31="Sim",U31=0),1,0)</f>
        <v>0</v>
      </c>
      <c r="X31" s="96">
        <f>IF(S31=0,0,COUNTIFS('VÍNCULOS_CDF'!$O$6:$O$1005,A31,'VÍNCULOS_CDF'!$Y$6:$Y$1005,1))</f>
        <v>0</v>
      </c>
      <c r="Y31" s="96" t="str">
        <f>IF(S31=1,A31&amp;" | CDF "&amp;IF(B31="","(sem número)",B31)&amp;" | "&amp;IF(F31="","(sem destinador)",F31),"")</f>
        <v/>
      </c>
      <c r="Z31" s="96" t="str">
        <f>IF(S31=1,COUNTIF($S$6:S31,1),"")</f>
        <v/>
      </c>
      <c r="AA31" s="96">
        <f>IF(S31=0,0,IF(AND(OR(r_ini="",AND(ISNUMBER(D31),D31&gt;=r_ini)),OR(r_fim="",AND(ISNUMBER(D31),D31&lt;=r_fim)),OR(r_de="",r_de="(Todos)",F31=r_de)),1,0))</f>
        <v>0</v>
      </c>
      <c r="AB31" s="96" t="str">
        <f>IF(AA31=1,IF(F31="",0,COUNTIF($F$6:$F$505,"&lt;"&amp;F31))*1000+26,"")</f>
        <v/>
      </c>
    </row>
    <row r="32">
      <c r="A32" s="89" t="inlineStr">
        <is>
          <t>CDF-000027</t>
        </is>
      </c>
      <c r="B32" s="90" t="n"/>
      <c r="C32" s="91" t="n"/>
      <c r="D32" s="92" t="n"/>
      <c r="E32" s="91" t="n"/>
      <c r="F32" s="91" t="n"/>
      <c r="G32" s="91" t="n"/>
      <c r="H32" s="91" t="n"/>
      <c r="I32" s="91" t="n"/>
      <c r="J32" s="91" t="n"/>
      <c r="K32" s="92" t="n"/>
      <c r="L32" s="91" t="n"/>
      <c r="M32" s="91" t="n"/>
      <c r="N32" s="91" t="n"/>
      <c r="O32" s="93" t="str">
        <f>IF(S32=0,"",SUMIFS('VÍNCULOS_CDF'!$H$6:$H$1005,'VÍNCULOS_CDF'!$O$6:$O$1005,A32,'VÍNCULOS_CDF'!$V$6:$V$1005,1))</f>
        <v/>
      </c>
      <c r="P32" s="95" t="str">
        <f>IF(S32=0,"",COUNTIFS('VÍNCULOS_CDF'!$O$6:$O$1005,A32,'VÍNCULOS_CDF'!$N$6:$N$1005,1))</f>
        <v/>
      </c>
      <c r="Q32" s="94" t="str">
        <f>IF(S32=0,"",IF(OR(B32="",F32=""),"Informações incompletas",IF(U32=1,"Possível duplicidade",IF(V32=0,"Destinador fora do cadastro",IF(AND(J32="Sim",N(P32)=0),"Necessita revisão de vínculos",IF(X32&gt;0,"Necessita revisão de vínculos",IF(J32="Sim","Conferido",IF(I32="Sim","Localizado, aguardando conferência","Cadastrado"))))))))</f>
        <v/>
      </c>
      <c r="R32" s="95" t="str">
        <f>IF(S32=0,"",COUNTIFS('VÍNCULOS_CDF'!$O$6:$O$1005,A32,'VÍNCULOS_CDF'!$AB$6:$AB$1005,1))</f>
        <v/>
      </c>
      <c r="S32" s="96">
        <f>IF(COUNTA(B32:N32)&gt;0,1,0)</f>
        <v>0</v>
      </c>
      <c r="T32" s="96" t="str">
        <f>IF(AND(S32=1,B32&lt;&gt;""),C32&amp;"|"&amp;TRIM(B32),"")</f>
        <v/>
      </c>
      <c r="U32" s="96">
        <f>IF(T32="",0,IF(SUMPRODUCT(--($T$6:$T$505=T32))&gt;1,1,0))</f>
        <v>0</v>
      </c>
      <c r="V32" s="96">
        <f>IF(F32="",0,IF(ISNUMBER(MATCH(F32,cmp_dest,0)),1,0))</f>
        <v>0</v>
      </c>
      <c r="W32" s="96">
        <f>IF(AND(S32=1,B32&lt;&gt;"",F32&lt;&gt;"",J32="Sim",U32=0),1,0)</f>
        <v>0</v>
      </c>
      <c r="X32" s="96">
        <f>IF(S32=0,0,COUNTIFS('VÍNCULOS_CDF'!$O$6:$O$1005,A32,'VÍNCULOS_CDF'!$Y$6:$Y$1005,1))</f>
        <v>0</v>
      </c>
      <c r="Y32" s="96" t="str">
        <f>IF(S32=1,A32&amp;" | CDF "&amp;IF(B32="","(sem número)",B32)&amp;" | "&amp;IF(F32="","(sem destinador)",F32),"")</f>
        <v/>
      </c>
      <c r="Z32" s="96" t="str">
        <f>IF(S32=1,COUNTIF($S$6:S32,1),"")</f>
        <v/>
      </c>
      <c r="AA32" s="96">
        <f>IF(S32=0,0,IF(AND(OR(r_ini="",AND(ISNUMBER(D32),D32&gt;=r_ini)),OR(r_fim="",AND(ISNUMBER(D32),D32&lt;=r_fim)),OR(r_de="",r_de="(Todos)",F32=r_de)),1,0))</f>
        <v>0</v>
      </c>
      <c r="AB32" s="96" t="str">
        <f>IF(AA32=1,IF(F32="",0,COUNTIF($F$6:$F$505,"&lt;"&amp;F32))*1000+27,"")</f>
        <v/>
      </c>
    </row>
    <row r="33">
      <c r="A33" s="89" t="inlineStr">
        <is>
          <t>CDF-000028</t>
        </is>
      </c>
      <c r="B33" s="90" t="n"/>
      <c r="C33" s="91" t="n"/>
      <c r="D33" s="92" t="n"/>
      <c r="E33" s="91" t="n"/>
      <c r="F33" s="91" t="n"/>
      <c r="G33" s="91" t="n"/>
      <c r="H33" s="91" t="n"/>
      <c r="I33" s="91" t="n"/>
      <c r="J33" s="91" t="n"/>
      <c r="K33" s="92" t="n"/>
      <c r="L33" s="91" t="n"/>
      <c r="M33" s="91" t="n"/>
      <c r="N33" s="91" t="n"/>
      <c r="O33" s="93" t="str">
        <f>IF(S33=0,"",SUMIFS('VÍNCULOS_CDF'!$H$6:$H$1005,'VÍNCULOS_CDF'!$O$6:$O$1005,A33,'VÍNCULOS_CDF'!$V$6:$V$1005,1))</f>
        <v/>
      </c>
      <c r="P33" s="95" t="str">
        <f>IF(S33=0,"",COUNTIFS('VÍNCULOS_CDF'!$O$6:$O$1005,A33,'VÍNCULOS_CDF'!$N$6:$N$1005,1))</f>
        <v/>
      </c>
      <c r="Q33" s="94" t="str">
        <f>IF(S33=0,"",IF(OR(B33="",F33=""),"Informações incompletas",IF(U33=1,"Possível duplicidade",IF(V33=0,"Destinador fora do cadastro",IF(AND(J33="Sim",N(P33)=0),"Necessita revisão de vínculos",IF(X33&gt;0,"Necessita revisão de vínculos",IF(J33="Sim","Conferido",IF(I33="Sim","Localizado, aguardando conferência","Cadastrado"))))))))</f>
        <v/>
      </c>
      <c r="R33" s="95" t="str">
        <f>IF(S33=0,"",COUNTIFS('VÍNCULOS_CDF'!$O$6:$O$1005,A33,'VÍNCULOS_CDF'!$AB$6:$AB$1005,1))</f>
        <v/>
      </c>
      <c r="S33" s="96">
        <f>IF(COUNTA(B33:N33)&gt;0,1,0)</f>
        <v>0</v>
      </c>
      <c r="T33" s="96" t="str">
        <f>IF(AND(S33=1,B33&lt;&gt;""),C33&amp;"|"&amp;TRIM(B33),"")</f>
        <v/>
      </c>
      <c r="U33" s="96">
        <f>IF(T33="",0,IF(SUMPRODUCT(--($T$6:$T$505=T33))&gt;1,1,0))</f>
        <v>0</v>
      </c>
      <c r="V33" s="96">
        <f>IF(F33="",0,IF(ISNUMBER(MATCH(F33,cmp_dest,0)),1,0))</f>
        <v>0</v>
      </c>
      <c r="W33" s="96">
        <f>IF(AND(S33=1,B33&lt;&gt;"",F33&lt;&gt;"",J33="Sim",U33=0),1,0)</f>
        <v>0</v>
      </c>
      <c r="X33" s="96">
        <f>IF(S33=0,0,COUNTIFS('VÍNCULOS_CDF'!$O$6:$O$1005,A33,'VÍNCULOS_CDF'!$Y$6:$Y$1005,1))</f>
        <v>0</v>
      </c>
      <c r="Y33" s="96" t="str">
        <f>IF(S33=1,A33&amp;" | CDF "&amp;IF(B33="","(sem número)",B33)&amp;" | "&amp;IF(F33="","(sem destinador)",F33),"")</f>
        <v/>
      </c>
      <c r="Z33" s="96" t="str">
        <f>IF(S33=1,COUNTIF($S$6:S33,1),"")</f>
        <v/>
      </c>
      <c r="AA33" s="96">
        <f>IF(S33=0,0,IF(AND(OR(r_ini="",AND(ISNUMBER(D33),D33&gt;=r_ini)),OR(r_fim="",AND(ISNUMBER(D33),D33&lt;=r_fim)),OR(r_de="",r_de="(Todos)",F33=r_de)),1,0))</f>
        <v>0</v>
      </c>
      <c r="AB33" s="96" t="str">
        <f>IF(AA33=1,IF(F33="",0,COUNTIF($F$6:$F$505,"&lt;"&amp;F33))*1000+28,"")</f>
        <v/>
      </c>
    </row>
    <row r="34">
      <c r="A34" s="89" t="inlineStr">
        <is>
          <t>CDF-000029</t>
        </is>
      </c>
      <c r="B34" s="90" t="n"/>
      <c r="C34" s="91" t="n"/>
      <c r="D34" s="92" t="n"/>
      <c r="E34" s="91" t="n"/>
      <c r="F34" s="91" t="n"/>
      <c r="G34" s="91" t="n"/>
      <c r="H34" s="91" t="n"/>
      <c r="I34" s="91" t="n"/>
      <c r="J34" s="91" t="n"/>
      <c r="K34" s="92" t="n"/>
      <c r="L34" s="91" t="n"/>
      <c r="M34" s="91" t="n"/>
      <c r="N34" s="91" t="n"/>
      <c r="O34" s="93" t="str">
        <f>IF(S34=0,"",SUMIFS('VÍNCULOS_CDF'!$H$6:$H$1005,'VÍNCULOS_CDF'!$O$6:$O$1005,A34,'VÍNCULOS_CDF'!$V$6:$V$1005,1))</f>
        <v/>
      </c>
      <c r="P34" s="95" t="str">
        <f>IF(S34=0,"",COUNTIFS('VÍNCULOS_CDF'!$O$6:$O$1005,A34,'VÍNCULOS_CDF'!$N$6:$N$1005,1))</f>
        <v/>
      </c>
      <c r="Q34" s="94" t="str">
        <f>IF(S34=0,"",IF(OR(B34="",F34=""),"Informações incompletas",IF(U34=1,"Possível duplicidade",IF(V34=0,"Destinador fora do cadastro",IF(AND(J34="Sim",N(P34)=0),"Necessita revisão de vínculos",IF(X34&gt;0,"Necessita revisão de vínculos",IF(J34="Sim","Conferido",IF(I34="Sim","Localizado, aguardando conferência","Cadastrado"))))))))</f>
        <v/>
      </c>
      <c r="R34" s="95" t="str">
        <f>IF(S34=0,"",COUNTIFS('VÍNCULOS_CDF'!$O$6:$O$1005,A34,'VÍNCULOS_CDF'!$AB$6:$AB$1005,1))</f>
        <v/>
      </c>
      <c r="S34" s="96">
        <f>IF(COUNTA(B34:N34)&gt;0,1,0)</f>
        <v>0</v>
      </c>
      <c r="T34" s="96" t="str">
        <f>IF(AND(S34=1,B34&lt;&gt;""),C34&amp;"|"&amp;TRIM(B34),"")</f>
        <v/>
      </c>
      <c r="U34" s="96">
        <f>IF(T34="",0,IF(SUMPRODUCT(--($T$6:$T$505=T34))&gt;1,1,0))</f>
        <v>0</v>
      </c>
      <c r="V34" s="96">
        <f>IF(F34="",0,IF(ISNUMBER(MATCH(F34,cmp_dest,0)),1,0))</f>
        <v>0</v>
      </c>
      <c r="W34" s="96">
        <f>IF(AND(S34=1,B34&lt;&gt;"",F34&lt;&gt;"",J34="Sim",U34=0),1,0)</f>
        <v>0</v>
      </c>
      <c r="X34" s="96">
        <f>IF(S34=0,0,COUNTIFS('VÍNCULOS_CDF'!$O$6:$O$1005,A34,'VÍNCULOS_CDF'!$Y$6:$Y$1005,1))</f>
        <v>0</v>
      </c>
      <c r="Y34" s="96" t="str">
        <f>IF(S34=1,A34&amp;" | CDF "&amp;IF(B34="","(sem número)",B34)&amp;" | "&amp;IF(F34="","(sem destinador)",F34),"")</f>
        <v/>
      </c>
      <c r="Z34" s="96" t="str">
        <f>IF(S34=1,COUNTIF($S$6:S34,1),"")</f>
        <v/>
      </c>
      <c r="AA34" s="96">
        <f>IF(S34=0,0,IF(AND(OR(r_ini="",AND(ISNUMBER(D34),D34&gt;=r_ini)),OR(r_fim="",AND(ISNUMBER(D34),D34&lt;=r_fim)),OR(r_de="",r_de="(Todos)",F34=r_de)),1,0))</f>
        <v>0</v>
      </c>
      <c r="AB34" s="96" t="str">
        <f>IF(AA34=1,IF(F34="",0,COUNTIF($F$6:$F$505,"&lt;"&amp;F34))*1000+29,"")</f>
        <v/>
      </c>
    </row>
    <row r="35">
      <c r="A35" s="89" t="inlineStr">
        <is>
          <t>CDF-000030</t>
        </is>
      </c>
      <c r="B35" s="90" t="n"/>
      <c r="C35" s="91" t="n"/>
      <c r="D35" s="92" t="n"/>
      <c r="E35" s="91" t="n"/>
      <c r="F35" s="91" t="n"/>
      <c r="G35" s="91" t="n"/>
      <c r="H35" s="91" t="n"/>
      <c r="I35" s="91" t="n"/>
      <c r="J35" s="91" t="n"/>
      <c r="K35" s="92" t="n"/>
      <c r="L35" s="91" t="n"/>
      <c r="M35" s="91" t="n"/>
      <c r="N35" s="91" t="n"/>
      <c r="O35" s="93" t="str">
        <f>IF(S35=0,"",SUMIFS('VÍNCULOS_CDF'!$H$6:$H$1005,'VÍNCULOS_CDF'!$O$6:$O$1005,A35,'VÍNCULOS_CDF'!$V$6:$V$1005,1))</f>
        <v/>
      </c>
      <c r="P35" s="95" t="str">
        <f>IF(S35=0,"",COUNTIFS('VÍNCULOS_CDF'!$O$6:$O$1005,A35,'VÍNCULOS_CDF'!$N$6:$N$1005,1))</f>
        <v/>
      </c>
      <c r="Q35" s="94" t="str">
        <f>IF(S35=0,"",IF(OR(B35="",F35=""),"Informações incompletas",IF(U35=1,"Possível duplicidade",IF(V35=0,"Destinador fora do cadastro",IF(AND(J35="Sim",N(P35)=0),"Necessita revisão de vínculos",IF(X35&gt;0,"Necessita revisão de vínculos",IF(J35="Sim","Conferido",IF(I35="Sim","Localizado, aguardando conferência","Cadastrado"))))))))</f>
        <v/>
      </c>
      <c r="R35" s="95" t="str">
        <f>IF(S35=0,"",COUNTIFS('VÍNCULOS_CDF'!$O$6:$O$1005,A35,'VÍNCULOS_CDF'!$AB$6:$AB$1005,1))</f>
        <v/>
      </c>
      <c r="S35" s="96">
        <f>IF(COUNTA(B35:N35)&gt;0,1,0)</f>
        <v>0</v>
      </c>
      <c r="T35" s="96" t="str">
        <f>IF(AND(S35=1,B35&lt;&gt;""),C35&amp;"|"&amp;TRIM(B35),"")</f>
        <v/>
      </c>
      <c r="U35" s="96">
        <f>IF(T35="",0,IF(SUMPRODUCT(--($T$6:$T$505=T35))&gt;1,1,0))</f>
        <v>0</v>
      </c>
      <c r="V35" s="96">
        <f>IF(F35="",0,IF(ISNUMBER(MATCH(F35,cmp_dest,0)),1,0))</f>
        <v>0</v>
      </c>
      <c r="W35" s="96">
        <f>IF(AND(S35=1,B35&lt;&gt;"",F35&lt;&gt;"",J35="Sim",U35=0),1,0)</f>
        <v>0</v>
      </c>
      <c r="X35" s="96">
        <f>IF(S35=0,0,COUNTIFS('VÍNCULOS_CDF'!$O$6:$O$1005,A35,'VÍNCULOS_CDF'!$Y$6:$Y$1005,1))</f>
        <v>0</v>
      </c>
      <c r="Y35" s="96" t="str">
        <f>IF(S35=1,A35&amp;" | CDF "&amp;IF(B35="","(sem número)",B35)&amp;" | "&amp;IF(F35="","(sem destinador)",F35),"")</f>
        <v/>
      </c>
      <c r="Z35" s="96" t="str">
        <f>IF(S35=1,COUNTIF($S$6:S35,1),"")</f>
        <v/>
      </c>
      <c r="AA35" s="96">
        <f>IF(S35=0,0,IF(AND(OR(r_ini="",AND(ISNUMBER(D35),D35&gt;=r_ini)),OR(r_fim="",AND(ISNUMBER(D35),D35&lt;=r_fim)),OR(r_de="",r_de="(Todos)",F35=r_de)),1,0))</f>
        <v>0</v>
      </c>
      <c r="AB35" s="96" t="str">
        <f>IF(AA35=1,IF(F35="",0,COUNTIF($F$6:$F$505,"&lt;"&amp;F35))*1000+30,"")</f>
        <v/>
      </c>
    </row>
    <row r="36">
      <c r="A36" s="89" t="inlineStr">
        <is>
          <t>CDF-000031</t>
        </is>
      </c>
      <c r="B36" s="90" t="n"/>
      <c r="C36" s="91" t="n"/>
      <c r="D36" s="92" t="n"/>
      <c r="E36" s="91" t="n"/>
      <c r="F36" s="91" t="n"/>
      <c r="G36" s="91" t="n"/>
      <c r="H36" s="91" t="n"/>
      <c r="I36" s="91" t="n"/>
      <c r="J36" s="91" t="n"/>
      <c r="K36" s="92" t="n"/>
      <c r="L36" s="91" t="n"/>
      <c r="M36" s="91" t="n"/>
      <c r="N36" s="91" t="n"/>
      <c r="O36" s="93" t="str">
        <f>IF(S36=0,"",SUMIFS('VÍNCULOS_CDF'!$H$6:$H$1005,'VÍNCULOS_CDF'!$O$6:$O$1005,A36,'VÍNCULOS_CDF'!$V$6:$V$1005,1))</f>
        <v/>
      </c>
      <c r="P36" s="95" t="str">
        <f>IF(S36=0,"",COUNTIFS('VÍNCULOS_CDF'!$O$6:$O$1005,A36,'VÍNCULOS_CDF'!$N$6:$N$1005,1))</f>
        <v/>
      </c>
      <c r="Q36" s="94" t="str">
        <f>IF(S36=0,"",IF(OR(B36="",F36=""),"Informações incompletas",IF(U36=1,"Possível duplicidade",IF(V36=0,"Destinador fora do cadastro",IF(AND(J36="Sim",N(P36)=0),"Necessita revisão de vínculos",IF(X36&gt;0,"Necessita revisão de vínculos",IF(J36="Sim","Conferido",IF(I36="Sim","Localizado, aguardando conferência","Cadastrado"))))))))</f>
        <v/>
      </c>
      <c r="R36" s="95" t="str">
        <f>IF(S36=0,"",COUNTIFS('VÍNCULOS_CDF'!$O$6:$O$1005,A36,'VÍNCULOS_CDF'!$AB$6:$AB$1005,1))</f>
        <v/>
      </c>
      <c r="S36" s="96">
        <f>IF(COUNTA(B36:N36)&gt;0,1,0)</f>
        <v>0</v>
      </c>
      <c r="T36" s="96" t="str">
        <f>IF(AND(S36=1,B36&lt;&gt;""),C36&amp;"|"&amp;TRIM(B36),"")</f>
        <v/>
      </c>
      <c r="U36" s="96">
        <f>IF(T36="",0,IF(SUMPRODUCT(--($T$6:$T$505=T36))&gt;1,1,0))</f>
        <v>0</v>
      </c>
      <c r="V36" s="96">
        <f>IF(F36="",0,IF(ISNUMBER(MATCH(F36,cmp_dest,0)),1,0))</f>
        <v>0</v>
      </c>
      <c r="W36" s="96">
        <f>IF(AND(S36=1,B36&lt;&gt;"",F36&lt;&gt;"",J36="Sim",U36=0),1,0)</f>
        <v>0</v>
      </c>
      <c r="X36" s="96">
        <f>IF(S36=0,0,COUNTIFS('VÍNCULOS_CDF'!$O$6:$O$1005,A36,'VÍNCULOS_CDF'!$Y$6:$Y$1005,1))</f>
        <v>0</v>
      </c>
      <c r="Y36" s="96" t="str">
        <f>IF(S36=1,A36&amp;" | CDF "&amp;IF(B36="","(sem número)",B36)&amp;" | "&amp;IF(F36="","(sem destinador)",F36),"")</f>
        <v/>
      </c>
      <c r="Z36" s="96" t="str">
        <f>IF(S36=1,COUNTIF($S$6:S36,1),"")</f>
        <v/>
      </c>
      <c r="AA36" s="96">
        <f>IF(S36=0,0,IF(AND(OR(r_ini="",AND(ISNUMBER(D36),D36&gt;=r_ini)),OR(r_fim="",AND(ISNUMBER(D36),D36&lt;=r_fim)),OR(r_de="",r_de="(Todos)",F36=r_de)),1,0))</f>
        <v>0</v>
      </c>
      <c r="AB36" s="96" t="str">
        <f>IF(AA36=1,IF(F36="",0,COUNTIF($F$6:$F$505,"&lt;"&amp;F36))*1000+31,"")</f>
        <v/>
      </c>
    </row>
    <row r="37">
      <c r="A37" s="89" t="inlineStr">
        <is>
          <t>CDF-000032</t>
        </is>
      </c>
      <c r="B37" s="90" t="n"/>
      <c r="C37" s="91" t="n"/>
      <c r="D37" s="92" t="n"/>
      <c r="E37" s="91" t="n"/>
      <c r="F37" s="91" t="n"/>
      <c r="G37" s="91" t="n"/>
      <c r="H37" s="91" t="n"/>
      <c r="I37" s="91" t="n"/>
      <c r="J37" s="91" t="n"/>
      <c r="K37" s="92" t="n"/>
      <c r="L37" s="91" t="n"/>
      <c r="M37" s="91" t="n"/>
      <c r="N37" s="91" t="n"/>
      <c r="O37" s="93" t="str">
        <f>IF(S37=0,"",SUMIFS('VÍNCULOS_CDF'!$H$6:$H$1005,'VÍNCULOS_CDF'!$O$6:$O$1005,A37,'VÍNCULOS_CDF'!$V$6:$V$1005,1))</f>
        <v/>
      </c>
      <c r="P37" s="95" t="str">
        <f>IF(S37=0,"",COUNTIFS('VÍNCULOS_CDF'!$O$6:$O$1005,A37,'VÍNCULOS_CDF'!$N$6:$N$1005,1))</f>
        <v/>
      </c>
      <c r="Q37" s="94" t="str">
        <f>IF(S37=0,"",IF(OR(B37="",F37=""),"Informações incompletas",IF(U37=1,"Possível duplicidade",IF(V37=0,"Destinador fora do cadastro",IF(AND(J37="Sim",N(P37)=0),"Necessita revisão de vínculos",IF(X37&gt;0,"Necessita revisão de vínculos",IF(J37="Sim","Conferido",IF(I37="Sim","Localizado, aguardando conferência","Cadastrado"))))))))</f>
        <v/>
      </c>
      <c r="R37" s="95" t="str">
        <f>IF(S37=0,"",COUNTIFS('VÍNCULOS_CDF'!$O$6:$O$1005,A37,'VÍNCULOS_CDF'!$AB$6:$AB$1005,1))</f>
        <v/>
      </c>
      <c r="S37" s="96">
        <f>IF(COUNTA(B37:N37)&gt;0,1,0)</f>
        <v>0</v>
      </c>
      <c r="T37" s="96" t="str">
        <f>IF(AND(S37=1,B37&lt;&gt;""),C37&amp;"|"&amp;TRIM(B37),"")</f>
        <v/>
      </c>
      <c r="U37" s="96">
        <f>IF(T37="",0,IF(SUMPRODUCT(--($T$6:$T$505=T37))&gt;1,1,0))</f>
        <v>0</v>
      </c>
      <c r="V37" s="96">
        <f>IF(F37="",0,IF(ISNUMBER(MATCH(F37,cmp_dest,0)),1,0))</f>
        <v>0</v>
      </c>
      <c r="W37" s="96">
        <f>IF(AND(S37=1,B37&lt;&gt;"",F37&lt;&gt;"",J37="Sim",U37=0),1,0)</f>
        <v>0</v>
      </c>
      <c r="X37" s="96">
        <f>IF(S37=0,0,COUNTIFS('VÍNCULOS_CDF'!$O$6:$O$1005,A37,'VÍNCULOS_CDF'!$Y$6:$Y$1005,1))</f>
        <v>0</v>
      </c>
      <c r="Y37" s="96" t="str">
        <f>IF(S37=1,A37&amp;" | CDF "&amp;IF(B37="","(sem número)",B37)&amp;" | "&amp;IF(F37="","(sem destinador)",F37),"")</f>
        <v/>
      </c>
      <c r="Z37" s="96" t="str">
        <f>IF(S37=1,COUNTIF($S$6:S37,1),"")</f>
        <v/>
      </c>
      <c r="AA37" s="96">
        <f>IF(S37=0,0,IF(AND(OR(r_ini="",AND(ISNUMBER(D37),D37&gt;=r_ini)),OR(r_fim="",AND(ISNUMBER(D37),D37&lt;=r_fim)),OR(r_de="",r_de="(Todos)",F37=r_de)),1,0))</f>
        <v>0</v>
      </c>
      <c r="AB37" s="96" t="str">
        <f>IF(AA37=1,IF(F37="",0,COUNTIF($F$6:$F$505,"&lt;"&amp;F37))*1000+32,"")</f>
        <v/>
      </c>
    </row>
    <row r="38">
      <c r="A38" s="89" t="inlineStr">
        <is>
          <t>CDF-000033</t>
        </is>
      </c>
      <c r="B38" s="90" t="n"/>
      <c r="C38" s="91" t="n"/>
      <c r="D38" s="92" t="n"/>
      <c r="E38" s="91" t="n"/>
      <c r="F38" s="91" t="n"/>
      <c r="G38" s="91" t="n"/>
      <c r="H38" s="91" t="n"/>
      <c r="I38" s="91" t="n"/>
      <c r="J38" s="91" t="n"/>
      <c r="K38" s="92" t="n"/>
      <c r="L38" s="91" t="n"/>
      <c r="M38" s="91" t="n"/>
      <c r="N38" s="91" t="n"/>
      <c r="O38" s="93" t="str">
        <f>IF(S38=0,"",SUMIFS('VÍNCULOS_CDF'!$H$6:$H$1005,'VÍNCULOS_CDF'!$O$6:$O$1005,A38,'VÍNCULOS_CDF'!$V$6:$V$1005,1))</f>
        <v/>
      </c>
      <c r="P38" s="95" t="str">
        <f>IF(S38=0,"",COUNTIFS('VÍNCULOS_CDF'!$O$6:$O$1005,A38,'VÍNCULOS_CDF'!$N$6:$N$1005,1))</f>
        <v/>
      </c>
      <c r="Q38" s="94" t="str">
        <f>IF(S38=0,"",IF(OR(B38="",F38=""),"Informações incompletas",IF(U38=1,"Possível duplicidade",IF(V38=0,"Destinador fora do cadastro",IF(AND(J38="Sim",N(P38)=0),"Necessita revisão de vínculos",IF(X38&gt;0,"Necessita revisão de vínculos",IF(J38="Sim","Conferido",IF(I38="Sim","Localizado, aguardando conferência","Cadastrado"))))))))</f>
        <v/>
      </c>
      <c r="R38" s="95" t="str">
        <f>IF(S38=0,"",COUNTIFS('VÍNCULOS_CDF'!$O$6:$O$1005,A38,'VÍNCULOS_CDF'!$AB$6:$AB$1005,1))</f>
        <v/>
      </c>
      <c r="S38" s="96">
        <f>IF(COUNTA(B38:N38)&gt;0,1,0)</f>
        <v>0</v>
      </c>
      <c r="T38" s="96" t="str">
        <f>IF(AND(S38=1,B38&lt;&gt;""),C38&amp;"|"&amp;TRIM(B38),"")</f>
        <v/>
      </c>
      <c r="U38" s="96">
        <f>IF(T38="",0,IF(SUMPRODUCT(--($T$6:$T$505=T38))&gt;1,1,0))</f>
        <v>0</v>
      </c>
      <c r="V38" s="96">
        <f>IF(F38="",0,IF(ISNUMBER(MATCH(F38,cmp_dest,0)),1,0))</f>
        <v>0</v>
      </c>
      <c r="W38" s="96">
        <f>IF(AND(S38=1,B38&lt;&gt;"",F38&lt;&gt;"",J38="Sim",U38=0),1,0)</f>
        <v>0</v>
      </c>
      <c r="X38" s="96">
        <f>IF(S38=0,0,COUNTIFS('VÍNCULOS_CDF'!$O$6:$O$1005,A38,'VÍNCULOS_CDF'!$Y$6:$Y$1005,1))</f>
        <v>0</v>
      </c>
      <c r="Y38" s="96" t="str">
        <f>IF(S38=1,A38&amp;" | CDF "&amp;IF(B38="","(sem número)",B38)&amp;" | "&amp;IF(F38="","(sem destinador)",F38),"")</f>
        <v/>
      </c>
      <c r="Z38" s="96" t="str">
        <f>IF(S38=1,COUNTIF($S$6:S38,1),"")</f>
        <v/>
      </c>
      <c r="AA38" s="96">
        <f>IF(S38=0,0,IF(AND(OR(r_ini="",AND(ISNUMBER(D38),D38&gt;=r_ini)),OR(r_fim="",AND(ISNUMBER(D38),D38&lt;=r_fim)),OR(r_de="",r_de="(Todos)",F38=r_de)),1,0))</f>
        <v>0</v>
      </c>
      <c r="AB38" s="96" t="str">
        <f>IF(AA38=1,IF(F38="",0,COUNTIF($F$6:$F$505,"&lt;"&amp;F38))*1000+33,"")</f>
        <v/>
      </c>
    </row>
    <row r="39">
      <c r="A39" s="89" t="inlineStr">
        <is>
          <t>CDF-000034</t>
        </is>
      </c>
      <c r="B39" s="90" t="n"/>
      <c r="C39" s="91" t="n"/>
      <c r="D39" s="92" t="n"/>
      <c r="E39" s="91" t="n"/>
      <c r="F39" s="91" t="n"/>
      <c r="G39" s="91" t="n"/>
      <c r="H39" s="91" t="n"/>
      <c r="I39" s="91" t="n"/>
      <c r="J39" s="91" t="n"/>
      <c r="K39" s="92" t="n"/>
      <c r="L39" s="91" t="n"/>
      <c r="M39" s="91" t="n"/>
      <c r="N39" s="91" t="n"/>
      <c r="O39" s="93" t="str">
        <f>IF(S39=0,"",SUMIFS('VÍNCULOS_CDF'!$H$6:$H$1005,'VÍNCULOS_CDF'!$O$6:$O$1005,A39,'VÍNCULOS_CDF'!$V$6:$V$1005,1))</f>
        <v/>
      </c>
      <c r="P39" s="95" t="str">
        <f>IF(S39=0,"",COUNTIFS('VÍNCULOS_CDF'!$O$6:$O$1005,A39,'VÍNCULOS_CDF'!$N$6:$N$1005,1))</f>
        <v/>
      </c>
      <c r="Q39" s="94" t="str">
        <f>IF(S39=0,"",IF(OR(B39="",F39=""),"Informações incompletas",IF(U39=1,"Possível duplicidade",IF(V39=0,"Destinador fora do cadastro",IF(AND(J39="Sim",N(P39)=0),"Necessita revisão de vínculos",IF(X39&gt;0,"Necessita revisão de vínculos",IF(J39="Sim","Conferido",IF(I39="Sim","Localizado, aguardando conferência","Cadastrado"))))))))</f>
        <v/>
      </c>
      <c r="R39" s="95" t="str">
        <f>IF(S39=0,"",COUNTIFS('VÍNCULOS_CDF'!$O$6:$O$1005,A39,'VÍNCULOS_CDF'!$AB$6:$AB$1005,1))</f>
        <v/>
      </c>
      <c r="S39" s="96">
        <f>IF(COUNTA(B39:N39)&gt;0,1,0)</f>
        <v>0</v>
      </c>
      <c r="T39" s="96" t="str">
        <f>IF(AND(S39=1,B39&lt;&gt;""),C39&amp;"|"&amp;TRIM(B39),"")</f>
        <v/>
      </c>
      <c r="U39" s="96">
        <f>IF(T39="",0,IF(SUMPRODUCT(--($T$6:$T$505=T39))&gt;1,1,0))</f>
        <v>0</v>
      </c>
      <c r="V39" s="96">
        <f>IF(F39="",0,IF(ISNUMBER(MATCH(F39,cmp_dest,0)),1,0))</f>
        <v>0</v>
      </c>
      <c r="W39" s="96">
        <f>IF(AND(S39=1,B39&lt;&gt;"",F39&lt;&gt;"",J39="Sim",U39=0),1,0)</f>
        <v>0</v>
      </c>
      <c r="X39" s="96">
        <f>IF(S39=0,0,COUNTIFS('VÍNCULOS_CDF'!$O$6:$O$1005,A39,'VÍNCULOS_CDF'!$Y$6:$Y$1005,1))</f>
        <v>0</v>
      </c>
      <c r="Y39" s="96" t="str">
        <f>IF(S39=1,A39&amp;" | CDF "&amp;IF(B39="","(sem número)",B39)&amp;" | "&amp;IF(F39="","(sem destinador)",F39),"")</f>
        <v/>
      </c>
      <c r="Z39" s="96" t="str">
        <f>IF(S39=1,COUNTIF($S$6:S39,1),"")</f>
        <v/>
      </c>
      <c r="AA39" s="96">
        <f>IF(S39=0,0,IF(AND(OR(r_ini="",AND(ISNUMBER(D39),D39&gt;=r_ini)),OR(r_fim="",AND(ISNUMBER(D39),D39&lt;=r_fim)),OR(r_de="",r_de="(Todos)",F39=r_de)),1,0))</f>
        <v>0</v>
      </c>
      <c r="AB39" s="96" t="str">
        <f>IF(AA39=1,IF(F39="",0,COUNTIF($F$6:$F$505,"&lt;"&amp;F39))*1000+34,"")</f>
        <v/>
      </c>
    </row>
    <row r="40">
      <c r="A40" s="89" t="inlineStr">
        <is>
          <t>CDF-000035</t>
        </is>
      </c>
      <c r="B40" s="90" t="n"/>
      <c r="C40" s="91" t="n"/>
      <c r="D40" s="92" t="n"/>
      <c r="E40" s="91" t="n"/>
      <c r="F40" s="91" t="n"/>
      <c r="G40" s="91" t="n"/>
      <c r="H40" s="91" t="n"/>
      <c r="I40" s="91" t="n"/>
      <c r="J40" s="91" t="n"/>
      <c r="K40" s="92" t="n"/>
      <c r="L40" s="91" t="n"/>
      <c r="M40" s="91" t="n"/>
      <c r="N40" s="91" t="n"/>
      <c r="O40" s="93" t="str">
        <f>IF(S40=0,"",SUMIFS('VÍNCULOS_CDF'!$H$6:$H$1005,'VÍNCULOS_CDF'!$O$6:$O$1005,A40,'VÍNCULOS_CDF'!$V$6:$V$1005,1))</f>
        <v/>
      </c>
      <c r="P40" s="95" t="str">
        <f>IF(S40=0,"",COUNTIFS('VÍNCULOS_CDF'!$O$6:$O$1005,A40,'VÍNCULOS_CDF'!$N$6:$N$1005,1))</f>
        <v/>
      </c>
      <c r="Q40" s="94" t="str">
        <f>IF(S40=0,"",IF(OR(B40="",F40=""),"Informações incompletas",IF(U40=1,"Possível duplicidade",IF(V40=0,"Destinador fora do cadastro",IF(AND(J40="Sim",N(P40)=0),"Necessita revisão de vínculos",IF(X40&gt;0,"Necessita revisão de vínculos",IF(J40="Sim","Conferido",IF(I40="Sim","Localizado, aguardando conferência","Cadastrado"))))))))</f>
        <v/>
      </c>
      <c r="R40" s="95" t="str">
        <f>IF(S40=0,"",COUNTIFS('VÍNCULOS_CDF'!$O$6:$O$1005,A40,'VÍNCULOS_CDF'!$AB$6:$AB$1005,1))</f>
        <v/>
      </c>
      <c r="S40" s="96">
        <f>IF(COUNTA(B40:N40)&gt;0,1,0)</f>
        <v>0</v>
      </c>
      <c r="T40" s="96" t="str">
        <f>IF(AND(S40=1,B40&lt;&gt;""),C40&amp;"|"&amp;TRIM(B40),"")</f>
        <v/>
      </c>
      <c r="U40" s="96">
        <f>IF(T40="",0,IF(SUMPRODUCT(--($T$6:$T$505=T40))&gt;1,1,0))</f>
        <v>0</v>
      </c>
      <c r="V40" s="96">
        <f>IF(F40="",0,IF(ISNUMBER(MATCH(F40,cmp_dest,0)),1,0))</f>
        <v>0</v>
      </c>
      <c r="W40" s="96">
        <f>IF(AND(S40=1,B40&lt;&gt;"",F40&lt;&gt;"",J40="Sim",U40=0),1,0)</f>
        <v>0</v>
      </c>
      <c r="X40" s="96">
        <f>IF(S40=0,0,COUNTIFS('VÍNCULOS_CDF'!$O$6:$O$1005,A40,'VÍNCULOS_CDF'!$Y$6:$Y$1005,1))</f>
        <v>0</v>
      </c>
      <c r="Y40" s="96" t="str">
        <f>IF(S40=1,A40&amp;" | CDF "&amp;IF(B40="","(sem número)",B40)&amp;" | "&amp;IF(F40="","(sem destinador)",F40),"")</f>
        <v/>
      </c>
      <c r="Z40" s="96" t="str">
        <f>IF(S40=1,COUNTIF($S$6:S40,1),"")</f>
        <v/>
      </c>
      <c r="AA40" s="96">
        <f>IF(S40=0,0,IF(AND(OR(r_ini="",AND(ISNUMBER(D40),D40&gt;=r_ini)),OR(r_fim="",AND(ISNUMBER(D40),D40&lt;=r_fim)),OR(r_de="",r_de="(Todos)",F40=r_de)),1,0))</f>
        <v>0</v>
      </c>
      <c r="AB40" s="96" t="str">
        <f>IF(AA40=1,IF(F40="",0,COUNTIF($F$6:$F$505,"&lt;"&amp;F40))*1000+35,"")</f>
        <v/>
      </c>
    </row>
    <row r="41">
      <c r="A41" s="89" t="inlineStr">
        <is>
          <t>CDF-000036</t>
        </is>
      </c>
      <c r="B41" s="90" t="n"/>
      <c r="C41" s="91" t="n"/>
      <c r="D41" s="92" t="n"/>
      <c r="E41" s="91" t="n"/>
      <c r="F41" s="91" t="n"/>
      <c r="G41" s="91" t="n"/>
      <c r="H41" s="91" t="n"/>
      <c r="I41" s="91" t="n"/>
      <c r="J41" s="91" t="n"/>
      <c r="K41" s="92" t="n"/>
      <c r="L41" s="91" t="n"/>
      <c r="M41" s="91" t="n"/>
      <c r="N41" s="91" t="n"/>
      <c r="O41" s="93" t="str">
        <f>IF(S41=0,"",SUMIFS('VÍNCULOS_CDF'!$H$6:$H$1005,'VÍNCULOS_CDF'!$O$6:$O$1005,A41,'VÍNCULOS_CDF'!$V$6:$V$1005,1))</f>
        <v/>
      </c>
      <c r="P41" s="95" t="str">
        <f>IF(S41=0,"",COUNTIFS('VÍNCULOS_CDF'!$O$6:$O$1005,A41,'VÍNCULOS_CDF'!$N$6:$N$1005,1))</f>
        <v/>
      </c>
      <c r="Q41" s="94" t="str">
        <f>IF(S41=0,"",IF(OR(B41="",F41=""),"Informações incompletas",IF(U41=1,"Possível duplicidade",IF(V41=0,"Destinador fora do cadastro",IF(AND(J41="Sim",N(P41)=0),"Necessita revisão de vínculos",IF(X41&gt;0,"Necessita revisão de vínculos",IF(J41="Sim","Conferido",IF(I41="Sim","Localizado, aguardando conferência","Cadastrado"))))))))</f>
        <v/>
      </c>
      <c r="R41" s="95" t="str">
        <f>IF(S41=0,"",COUNTIFS('VÍNCULOS_CDF'!$O$6:$O$1005,A41,'VÍNCULOS_CDF'!$AB$6:$AB$1005,1))</f>
        <v/>
      </c>
      <c r="S41" s="96">
        <f>IF(COUNTA(B41:N41)&gt;0,1,0)</f>
        <v>0</v>
      </c>
      <c r="T41" s="96" t="str">
        <f>IF(AND(S41=1,B41&lt;&gt;""),C41&amp;"|"&amp;TRIM(B41),"")</f>
        <v/>
      </c>
      <c r="U41" s="96">
        <f>IF(T41="",0,IF(SUMPRODUCT(--($T$6:$T$505=T41))&gt;1,1,0))</f>
        <v>0</v>
      </c>
      <c r="V41" s="96">
        <f>IF(F41="",0,IF(ISNUMBER(MATCH(F41,cmp_dest,0)),1,0))</f>
        <v>0</v>
      </c>
      <c r="W41" s="96">
        <f>IF(AND(S41=1,B41&lt;&gt;"",F41&lt;&gt;"",J41="Sim",U41=0),1,0)</f>
        <v>0</v>
      </c>
      <c r="X41" s="96">
        <f>IF(S41=0,0,COUNTIFS('VÍNCULOS_CDF'!$O$6:$O$1005,A41,'VÍNCULOS_CDF'!$Y$6:$Y$1005,1))</f>
        <v>0</v>
      </c>
      <c r="Y41" s="96" t="str">
        <f>IF(S41=1,A41&amp;" | CDF "&amp;IF(B41="","(sem número)",B41)&amp;" | "&amp;IF(F41="","(sem destinador)",F41),"")</f>
        <v/>
      </c>
      <c r="Z41" s="96" t="str">
        <f>IF(S41=1,COUNTIF($S$6:S41,1),"")</f>
        <v/>
      </c>
      <c r="AA41" s="96">
        <f>IF(S41=0,0,IF(AND(OR(r_ini="",AND(ISNUMBER(D41),D41&gt;=r_ini)),OR(r_fim="",AND(ISNUMBER(D41),D41&lt;=r_fim)),OR(r_de="",r_de="(Todos)",F41=r_de)),1,0))</f>
        <v>0</v>
      </c>
      <c r="AB41" s="96" t="str">
        <f>IF(AA41=1,IF(F41="",0,COUNTIF($F$6:$F$505,"&lt;"&amp;F41))*1000+36,"")</f>
        <v/>
      </c>
    </row>
    <row r="42">
      <c r="A42" s="89" t="inlineStr">
        <is>
          <t>CDF-000037</t>
        </is>
      </c>
      <c r="B42" s="90" t="n"/>
      <c r="C42" s="91" t="n"/>
      <c r="D42" s="92" t="n"/>
      <c r="E42" s="91" t="n"/>
      <c r="F42" s="91" t="n"/>
      <c r="G42" s="91" t="n"/>
      <c r="H42" s="91" t="n"/>
      <c r="I42" s="91" t="n"/>
      <c r="J42" s="91" t="n"/>
      <c r="K42" s="92" t="n"/>
      <c r="L42" s="91" t="n"/>
      <c r="M42" s="91" t="n"/>
      <c r="N42" s="91" t="n"/>
      <c r="O42" s="93" t="str">
        <f>IF(S42=0,"",SUMIFS('VÍNCULOS_CDF'!$H$6:$H$1005,'VÍNCULOS_CDF'!$O$6:$O$1005,A42,'VÍNCULOS_CDF'!$V$6:$V$1005,1))</f>
        <v/>
      </c>
      <c r="P42" s="95" t="str">
        <f>IF(S42=0,"",COUNTIFS('VÍNCULOS_CDF'!$O$6:$O$1005,A42,'VÍNCULOS_CDF'!$N$6:$N$1005,1))</f>
        <v/>
      </c>
      <c r="Q42" s="94" t="str">
        <f>IF(S42=0,"",IF(OR(B42="",F42=""),"Informações incompletas",IF(U42=1,"Possível duplicidade",IF(V42=0,"Destinador fora do cadastro",IF(AND(J42="Sim",N(P42)=0),"Necessita revisão de vínculos",IF(X42&gt;0,"Necessita revisão de vínculos",IF(J42="Sim","Conferido",IF(I42="Sim","Localizado, aguardando conferência","Cadastrado"))))))))</f>
        <v/>
      </c>
      <c r="R42" s="95" t="str">
        <f>IF(S42=0,"",COUNTIFS('VÍNCULOS_CDF'!$O$6:$O$1005,A42,'VÍNCULOS_CDF'!$AB$6:$AB$1005,1))</f>
        <v/>
      </c>
      <c r="S42" s="96">
        <f>IF(COUNTA(B42:N42)&gt;0,1,0)</f>
        <v>0</v>
      </c>
      <c r="T42" s="96" t="str">
        <f>IF(AND(S42=1,B42&lt;&gt;""),C42&amp;"|"&amp;TRIM(B42),"")</f>
        <v/>
      </c>
      <c r="U42" s="96">
        <f>IF(T42="",0,IF(SUMPRODUCT(--($T$6:$T$505=T42))&gt;1,1,0))</f>
        <v>0</v>
      </c>
      <c r="V42" s="96">
        <f>IF(F42="",0,IF(ISNUMBER(MATCH(F42,cmp_dest,0)),1,0))</f>
        <v>0</v>
      </c>
      <c r="W42" s="96">
        <f>IF(AND(S42=1,B42&lt;&gt;"",F42&lt;&gt;"",J42="Sim",U42=0),1,0)</f>
        <v>0</v>
      </c>
      <c r="X42" s="96">
        <f>IF(S42=0,0,COUNTIFS('VÍNCULOS_CDF'!$O$6:$O$1005,A42,'VÍNCULOS_CDF'!$Y$6:$Y$1005,1))</f>
        <v>0</v>
      </c>
      <c r="Y42" s="96" t="str">
        <f>IF(S42=1,A42&amp;" | CDF "&amp;IF(B42="","(sem número)",B42)&amp;" | "&amp;IF(F42="","(sem destinador)",F42),"")</f>
        <v/>
      </c>
      <c r="Z42" s="96" t="str">
        <f>IF(S42=1,COUNTIF($S$6:S42,1),"")</f>
        <v/>
      </c>
      <c r="AA42" s="96">
        <f>IF(S42=0,0,IF(AND(OR(r_ini="",AND(ISNUMBER(D42),D42&gt;=r_ini)),OR(r_fim="",AND(ISNUMBER(D42),D42&lt;=r_fim)),OR(r_de="",r_de="(Todos)",F42=r_de)),1,0))</f>
        <v>0</v>
      </c>
      <c r="AB42" s="96" t="str">
        <f>IF(AA42=1,IF(F42="",0,COUNTIF($F$6:$F$505,"&lt;"&amp;F42))*1000+37,"")</f>
        <v/>
      </c>
    </row>
    <row r="43">
      <c r="A43" s="89" t="inlineStr">
        <is>
          <t>CDF-000038</t>
        </is>
      </c>
      <c r="B43" s="90" t="n"/>
      <c r="C43" s="91" t="n"/>
      <c r="D43" s="92" t="n"/>
      <c r="E43" s="91" t="n"/>
      <c r="F43" s="91" t="n"/>
      <c r="G43" s="91" t="n"/>
      <c r="H43" s="91" t="n"/>
      <c r="I43" s="91" t="n"/>
      <c r="J43" s="91" t="n"/>
      <c r="K43" s="92" t="n"/>
      <c r="L43" s="91" t="n"/>
      <c r="M43" s="91" t="n"/>
      <c r="N43" s="91" t="n"/>
      <c r="O43" s="93" t="str">
        <f>IF(S43=0,"",SUMIFS('VÍNCULOS_CDF'!$H$6:$H$1005,'VÍNCULOS_CDF'!$O$6:$O$1005,A43,'VÍNCULOS_CDF'!$V$6:$V$1005,1))</f>
        <v/>
      </c>
      <c r="P43" s="95" t="str">
        <f>IF(S43=0,"",COUNTIFS('VÍNCULOS_CDF'!$O$6:$O$1005,A43,'VÍNCULOS_CDF'!$N$6:$N$1005,1))</f>
        <v/>
      </c>
      <c r="Q43" s="94" t="str">
        <f>IF(S43=0,"",IF(OR(B43="",F43=""),"Informações incompletas",IF(U43=1,"Possível duplicidade",IF(V43=0,"Destinador fora do cadastro",IF(AND(J43="Sim",N(P43)=0),"Necessita revisão de vínculos",IF(X43&gt;0,"Necessita revisão de vínculos",IF(J43="Sim","Conferido",IF(I43="Sim","Localizado, aguardando conferência","Cadastrado"))))))))</f>
        <v/>
      </c>
      <c r="R43" s="95" t="str">
        <f>IF(S43=0,"",COUNTIFS('VÍNCULOS_CDF'!$O$6:$O$1005,A43,'VÍNCULOS_CDF'!$AB$6:$AB$1005,1))</f>
        <v/>
      </c>
      <c r="S43" s="96">
        <f>IF(COUNTA(B43:N43)&gt;0,1,0)</f>
        <v>0</v>
      </c>
      <c r="T43" s="96" t="str">
        <f>IF(AND(S43=1,B43&lt;&gt;""),C43&amp;"|"&amp;TRIM(B43),"")</f>
        <v/>
      </c>
      <c r="U43" s="96">
        <f>IF(T43="",0,IF(SUMPRODUCT(--($T$6:$T$505=T43))&gt;1,1,0))</f>
        <v>0</v>
      </c>
      <c r="V43" s="96">
        <f>IF(F43="",0,IF(ISNUMBER(MATCH(F43,cmp_dest,0)),1,0))</f>
        <v>0</v>
      </c>
      <c r="W43" s="96">
        <f>IF(AND(S43=1,B43&lt;&gt;"",F43&lt;&gt;"",J43="Sim",U43=0),1,0)</f>
        <v>0</v>
      </c>
      <c r="X43" s="96">
        <f>IF(S43=0,0,COUNTIFS('VÍNCULOS_CDF'!$O$6:$O$1005,A43,'VÍNCULOS_CDF'!$Y$6:$Y$1005,1))</f>
        <v>0</v>
      </c>
      <c r="Y43" s="96" t="str">
        <f>IF(S43=1,A43&amp;" | CDF "&amp;IF(B43="","(sem número)",B43)&amp;" | "&amp;IF(F43="","(sem destinador)",F43),"")</f>
        <v/>
      </c>
      <c r="Z43" s="96" t="str">
        <f>IF(S43=1,COUNTIF($S$6:S43,1),"")</f>
        <v/>
      </c>
      <c r="AA43" s="96">
        <f>IF(S43=0,0,IF(AND(OR(r_ini="",AND(ISNUMBER(D43),D43&gt;=r_ini)),OR(r_fim="",AND(ISNUMBER(D43),D43&lt;=r_fim)),OR(r_de="",r_de="(Todos)",F43=r_de)),1,0))</f>
        <v>0</v>
      </c>
      <c r="AB43" s="96" t="str">
        <f>IF(AA43=1,IF(F43="",0,COUNTIF($F$6:$F$505,"&lt;"&amp;F43))*1000+38,"")</f>
        <v/>
      </c>
    </row>
    <row r="44">
      <c r="A44" s="89" t="inlineStr">
        <is>
          <t>CDF-000039</t>
        </is>
      </c>
      <c r="B44" s="90" t="n"/>
      <c r="C44" s="91" t="n"/>
      <c r="D44" s="92" t="n"/>
      <c r="E44" s="91" t="n"/>
      <c r="F44" s="91" t="n"/>
      <c r="G44" s="91" t="n"/>
      <c r="H44" s="91" t="n"/>
      <c r="I44" s="91" t="n"/>
      <c r="J44" s="91" t="n"/>
      <c r="K44" s="92" t="n"/>
      <c r="L44" s="91" t="n"/>
      <c r="M44" s="91" t="n"/>
      <c r="N44" s="91" t="n"/>
      <c r="O44" s="93" t="str">
        <f>IF(S44=0,"",SUMIFS('VÍNCULOS_CDF'!$H$6:$H$1005,'VÍNCULOS_CDF'!$O$6:$O$1005,A44,'VÍNCULOS_CDF'!$V$6:$V$1005,1))</f>
        <v/>
      </c>
      <c r="P44" s="95" t="str">
        <f>IF(S44=0,"",COUNTIFS('VÍNCULOS_CDF'!$O$6:$O$1005,A44,'VÍNCULOS_CDF'!$N$6:$N$1005,1))</f>
        <v/>
      </c>
      <c r="Q44" s="94" t="str">
        <f>IF(S44=0,"",IF(OR(B44="",F44=""),"Informações incompletas",IF(U44=1,"Possível duplicidade",IF(V44=0,"Destinador fora do cadastro",IF(AND(J44="Sim",N(P44)=0),"Necessita revisão de vínculos",IF(X44&gt;0,"Necessita revisão de vínculos",IF(J44="Sim","Conferido",IF(I44="Sim","Localizado, aguardando conferência","Cadastrado"))))))))</f>
        <v/>
      </c>
      <c r="R44" s="95" t="str">
        <f>IF(S44=0,"",COUNTIFS('VÍNCULOS_CDF'!$O$6:$O$1005,A44,'VÍNCULOS_CDF'!$AB$6:$AB$1005,1))</f>
        <v/>
      </c>
      <c r="S44" s="96">
        <f>IF(COUNTA(B44:N44)&gt;0,1,0)</f>
        <v>0</v>
      </c>
      <c r="T44" s="96" t="str">
        <f>IF(AND(S44=1,B44&lt;&gt;""),C44&amp;"|"&amp;TRIM(B44),"")</f>
        <v/>
      </c>
      <c r="U44" s="96">
        <f>IF(T44="",0,IF(SUMPRODUCT(--($T$6:$T$505=T44))&gt;1,1,0))</f>
        <v>0</v>
      </c>
      <c r="V44" s="96">
        <f>IF(F44="",0,IF(ISNUMBER(MATCH(F44,cmp_dest,0)),1,0))</f>
        <v>0</v>
      </c>
      <c r="W44" s="96">
        <f>IF(AND(S44=1,B44&lt;&gt;"",F44&lt;&gt;"",J44="Sim",U44=0),1,0)</f>
        <v>0</v>
      </c>
      <c r="X44" s="96">
        <f>IF(S44=0,0,COUNTIFS('VÍNCULOS_CDF'!$O$6:$O$1005,A44,'VÍNCULOS_CDF'!$Y$6:$Y$1005,1))</f>
        <v>0</v>
      </c>
      <c r="Y44" s="96" t="str">
        <f>IF(S44=1,A44&amp;" | CDF "&amp;IF(B44="","(sem número)",B44)&amp;" | "&amp;IF(F44="","(sem destinador)",F44),"")</f>
        <v/>
      </c>
      <c r="Z44" s="96" t="str">
        <f>IF(S44=1,COUNTIF($S$6:S44,1),"")</f>
        <v/>
      </c>
      <c r="AA44" s="96">
        <f>IF(S44=0,0,IF(AND(OR(r_ini="",AND(ISNUMBER(D44),D44&gt;=r_ini)),OR(r_fim="",AND(ISNUMBER(D44),D44&lt;=r_fim)),OR(r_de="",r_de="(Todos)",F44=r_de)),1,0))</f>
        <v>0</v>
      </c>
      <c r="AB44" s="96" t="str">
        <f>IF(AA44=1,IF(F44="",0,COUNTIF($F$6:$F$505,"&lt;"&amp;F44))*1000+39,"")</f>
        <v/>
      </c>
    </row>
    <row r="45">
      <c r="A45" s="89" t="inlineStr">
        <is>
          <t>CDF-000040</t>
        </is>
      </c>
      <c r="B45" s="90" t="n"/>
      <c r="C45" s="91" t="n"/>
      <c r="D45" s="92" t="n"/>
      <c r="E45" s="91" t="n"/>
      <c r="F45" s="91" t="n"/>
      <c r="G45" s="91" t="n"/>
      <c r="H45" s="91" t="n"/>
      <c r="I45" s="91" t="n"/>
      <c r="J45" s="91" t="n"/>
      <c r="K45" s="92" t="n"/>
      <c r="L45" s="91" t="n"/>
      <c r="M45" s="91" t="n"/>
      <c r="N45" s="91" t="n"/>
      <c r="O45" s="93" t="str">
        <f>IF(S45=0,"",SUMIFS('VÍNCULOS_CDF'!$H$6:$H$1005,'VÍNCULOS_CDF'!$O$6:$O$1005,A45,'VÍNCULOS_CDF'!$V$6:$V$1005,1))</f>
        <v/>
      </c>
      <c r="P45" s="95" t="str">
        <f>IF(S45=0,"",COUNTIFS('VÍNCULOS_CDF'!$O$6:$O$1005,A45,'VÍNCULOS_CDF'!$N$6:$N$1005,1))</f>
        <v/>
      </c>
      <c r="Q45" s="94" t="str">
        <f>IF(S45=0,"",IF(OR(B45="",F45=""),"Informações incompletas",IF(U45=1,"Possível duplicidade",IF(V45=0,"Destinador fora do cadastro",IF(AND(J45="Sim",N(P45)=0),"Necessita revisão de vínculos",IF(X45&gt;0,"Necessita revisão de vínculos",IF(J45="Sim","Conferido",IF(I45="Sim","Localizado, aguardando conferência","Cadastrado"))))))))</f>
        <v/>
      </c>
      <c r="R45" s="95" t="str">
        <f>IF(S45=0,"",COUNTIFS('VÍNCULOS_CDF'!$O$6:$O$1005,A45,'VÍNCULOS_CDF'!$AB$6:$AB$1005,1))</f>
        <v/>
      </c>
      <c r="S45" s="96">
        <f>IF(COUNTA(B45:N45)&gt;0,1,0)</f>
        <v>0</v>
      </c>
      <c r="T45" s="96" t="str">
        <f>IF(AND(S45=1,B45&lt;&gt;""),C45&amp;"|"&amp;TRIM(B45),"")</f>
        <v/>
      </c>
      <c r="U45" s="96">
        <f>IF(T45="",0,IF(SUMPRODUCT(--($T$6:$T$505=T45))&gt;1,1,0))</f>
        <v>0</v>
      </c>
      <c r="V45" s="96">
        <f>IF(F45="",0,IF(ISNUMBER(MATCH(F45,cmp_dest,0)),1,0))</f>
        <v>0</v>
      </c>
      <c r="W45" s="96">
        <f>IF(AND(S45=1,B45&lt;&gt;"",F45&lt;&gt;"",J45="Sim",U45=0),1,0)</f>
        <v>0</v>
      </c>
      <c r="X45" s="96">
        <f>IF(S45=0,0,COUNTIFS('VÍNCULOS_CDF'!$O$6:$O$1005,A45,'VÍNCULOS_CDF'!$Y$6:$Y$1005,1))</f>
        <v>0</v>
      </c>
      <c r="Y45" s="96" t="str">
        <f>IF(S45=1,A45&amp;" | CDF "&amp;IF(B45="","(sem número)",B45)&amp;" | "&amp;IF(F45="","(sem destinador)",F45),"")</f>
        <v/>
      </c>
      <c r="Z45" s="96" t="str">
        <f>IF(S45=1,COUNTIF($S$6:S45,1),"")</f>
        <v/>
      </c>
      <c r="AA45" s="96">
        <f>IF(S45=0,0,IF(AND(OR(r_ini="",AND(ISNUMBER(D45),D45&gt;=r_ini)),OR(r_fim="",AND(ISNUMBER(D45),D45&lt;=r_fim)),OR(r_de="",r_de="(Todos)",F45=r_de)),1,0))</f>
        <v>0</v>
      </c>
      <c r="AB45" s="96" t="str">
        <f>IF(AA45=1,IF(F45="",0,COUNTIF($F$6:$F$505,"&lt;"&amp;F45))*1000+40,"")</f>
        <v/>
      </c>
    </row>
    <row r="46">
      <c r="A46" s="89" t="inlineStr">
        <is>
          <t>CDF-000041</t>
        </is>
      </c>
      <c r="B46" s="90" t="n"/>
      <c r="C46" s="91" t="n"/>
      <c r="D46" s="92" t="n"/>
      <c r="E46" s="91" t="n"/>
      <c r="F46" s="91" t="n"/>
      <c r="G46" s="91" t="n"/>
      <c r="H46" s="91" t="n"/>
      <c r="I46" s="91" t="n"/>
      <c r="J46" s="91" t="n"/>
      <c r="K46" s="92" t="n"/>
      <c r="L46" s="91" t="n"/>
      <c r="M46" s="91" t="n"/>
      <c r="N46" s="91" t="n"/>
      <c r="O46" s="93" t="str">
        <f>IF(S46=0,"",SUMIFS('VÍNCULOS_CDF'!$H$6:$H$1005,'VÍNCULOS_CDF'!$O$6:$O$1005,A46,'VÍNCULOS_CDF'!$V$6:$V$1005,1))</f>
        <v/>
      </c>
      <c r="P46" s="95" t="str">
        <f>IF(S46=0,"",COUNTIFS('VÍNCULOS_CDF'!$O$6:$O$1005,A46,'VÍNCULOS_CDF'!$N$6:$N$1005,1))</f>
        <v/>
      </c>
      <c r="Q46" s="94" t="str">
        <f>IF(S46=0,"",IF(OR(B46="",F46=""),"Informações incompletas",IF(U46=1,"Possível duplicidade",IF(V46=0,"Destinador fora do cadastro",IF(AND(J46="Sim",N(P46)=0),"Necessita revisão de vínculos",IF(X46&gt;0,"Necessita revisão de vínculos",IF(J46="Sim","Conferido",IF(I46="Sim","Localizado, aguardando conferência","Cadastrado"))))))))</f>
        <v/>
      </c>
      <c r="R46" s="95" t="str">
        <f>IF(S46=0,"",COUNTIFS('VÍNCULOS_CDF'!$O$6:$O$1005,A46,'VÍNCULOS_CDF'!$AB$6:$AB$1005,1))</f>
        <v/>
      </c>
      <c r="S46" s="96">
        <f>IF(COUNTA(B46:N46)&gt;0,1,0)</f>
        <v>0</v>
      </c>
      <c r="T46" s="96" t="str">
        <f>IF(AND(S46=1,B46&lt;&gt;""),C46&amp;"|"&amp;TRIM(B46),"")</f>
        <v/>
      </c>
      <c r="U46" s="96">
        <f>IF(T46="",0,IF(SUMPRODUCT(--($T$6:$T$505=T46))&gt;1,1,0))</f>
        <v>0</v>
      </c>
      <c r="V46" s="96">
        <f>IF(F46="",0,IF(ISNUMBER(MATCH(F46,cmp_dest,0)),1,0))</f>
        <v>0</v>
      </c>
      <c r="W46" s="96">
        <f>IF(AND(S46=1,B46&lt;&gt;"",F46&lt;&gt;"",J46="Sim",U46=0),1,0)</f>
        <v>0</v>
      </c>
      <c r="X46" s="96">
        <f>IF(S46=0,0,COUNTIFS('VÍNCULOS_CDF'!$O$6:$O$1005,A46,'VÍNCULOS_CDF'!$Y$6:$Y$1005,1))</f>
        <v>0</v>
      </c>
      <c r="Y46" s="96" t="str">
        <f>IF(S46=1,A46&amp;" | CDF "&amp;IF(B46="","(sem número)",B46)&amp;" | "&amp;IF(F46="","(sem destinador)",F46),"")</f>
        <v/>
      </c>
      <c r="Z46" s="96" t="str">
        <f>IF(S46=1,COUNTIF($S$6:S46,1),"")</f>
        <v/>
      </c>
      <c r="AA46" s="96">
        <f>IF(S46=0,0,IF(AND(OR(r_ini="",AND(ISNUMBER(D46),D46&gt;=r_ini)),OR(r_fim="",AND(ISNUMBER(D46),D46&lt;=r_fim)),OR(r_de="",r_de="(Todos)",F46=r_de)),1,0))</f>
        <v>0</v>
      </c>
      <c r="AB46" s="96" t="str">
        <f>IF(AA46=1,IF(F46="",0,COUNTIF($F$6:$F$505,"&lt;"&amp;F46))*1000+41,"")</f>
        <v/>
      </c>
    </row>
    <row r="47">
      <c r="A47" s="89" t="inlineStr">
        <is>
          <t>CDF-000042</t>
        </is>
      </c>
      <c r="B47" s="90" t="n"/>
      <c r="C47" s="91" t="n"/>
      <c r="D47" s="92" t="n"/>
      <c r="E47" s="91" t="n"/>
      <c r="F47" s="91" t="n"/>
      <c r="G47" s="91" t="n"/>
      <c r="H47" s="91" t="n"/>
      <c r="I47" s="91" t="n"/>
      <c r="J47" s="91" t="n"/>
      <c r="K47" s="92" t="n"/>
      <c r="L47" s="91" t="n"/>
      <c r="M47" s="91" t="n"/>
      <c r="N47" s="91" t="n"/>
      <c r="O47" s="93" t="str">
        <f>IF(S47=0,"",SUMIFS('VÍNCULOS_CDF'!$H$6:$H$1005,'VÍNCULOS_CDF'!$O$6:$O$1005,A47,'VÍNCULOS_CDF'!$V$6:$V$1005,1))</f>
        <v/>
      </c>
      <c r="P47" s="95" t="str">
        <f>IF(S47=0,"",COUNTIFS('VÍNCULOS_CDF'!$O$6:$O$1005,A47,'VÍNCULOS_CDF'!$N$6:$N$1005,1))</f>
        <v/>
      </c>
      <c r="Q47" s="94" t="str">
        <f>IF(S47=0,"",IF(OR(B47="",F47=""),"Informações incompletas",IF(U47=1,"Possível duplicidade",IF(V47=0,"Destinador fora do cadastro",IF(AND(J47="Sim",N(P47)=0),"Necessita revisão de vínculos",IF(X47&gt;0,"Necessita revisão de vínculos",IF(J47="Sim","Conferido",IF(I47="Sim","Localizado, aguardando conferência","Cadastrado"))))))))</f>
        <v/>
      </c>
      <c r="R47" s="95" t="str">
        <f>IF(S47=0,"",COUNTIFS('VÍNCULOS_CDF'!$O$6:$O$1005,A47,'VÍNCULOS_CDF'!$AB$6:$AB$1005,1))</f>
        <v/>
      </c>
      <c r="S47" s="96">
        <f>IF(COUNTA(B47:N47)&gt;0,1,0)</f>
        <v>0</v>
      </c>
      <c r="T47" s="96" t="str">
        <f>IF(AND(S47=1,B47&lt;&gt;""),C47&amp;"|"&amp;TRIM(B47),"")</f>
        <v/>
      </c>
      <c r="U47" s="96">
        <f>IF(T47="",0,IF(SUMPRODUCT(--($T$6:$T$505=T47))&gt;1,1,0))</f>
        <v>0</v>
      </c>
      <c r="V47" s="96">
        <f>IF(F47="",0,IF(ISNUMBER(MATCH(F47,cmp_dest,0)),1,0))</f>
        <v>0</v>
      </c>
      <c r="W47" s="96">
        <f>IF(AND(S47=1,B47&lt;&gt;"",F47&lt;&gt;"",J47="Sim",U47=0),1,0)</f>
        <v>0</v>
      </c>
      <c r="X47" s="96">
        <f>IF(S47=0,0,COUNTIFS('VÍNCULOS_CDF'!$O$6:$O$1005,A47,'VÍNCULOS_CDF'!$Y$6:$Y$1005,1))</f>
        <v>0</v>
      </c>
      <c r="Y47" s="96" t="str">
        <f>IF(S47=1,A47&amp;" | CDF "&amp;IF(B47="","(sem número)",B47)&amp;" | "&amp;IF(F47="","(sem destinador)",F47),"")</f>
        <v/>
      </c>
      <c r="Z47" s="96" t="str">
        <f>IF(S47=1,COUNTIF($S$6:S47,1),"")</f>
        <v/>
      </c>
      <c r="AA47" s="96">
        <f>IF(S47=0,0,IF(AND(OR(r_ini="",AND(ISNUMBER(D47),D47&gt;=r_ini)),OR(r_fim="",AND(ISNUMBER(D47),D47&lt;=r_fim)),OR(r_de="",r_de="(Todos)",F47=r_de)),1,0))</f>
        <v>0</v>
      </c>
      <c r="AB47" s="96" t="str">
        <f>IF(AA47=1,IF(F47="",0,COUNTIF($F$6:$F$505,"&lt;"&amp;F47))*1000+42,"")</f>
        <v/>
      </c>
    </row>
    <row r="48">
      <c r="A48" s="89" t="inlineStr">
        <is>
          <t>CDF-000043</t>
        </is>
      </c>
      <c r="B48" s="90" t="n"/>
      <c r="C48" s="91" t="n"/>
      <c r="D48" s="92" t="n"/>
      <c r="E48" s="91" t="n"/>
      <c r="F48" s="91" t="n"/>
      <c r="G48" s="91" t="n"/>
      <c r="H48" s="91" t="n"/>
      <c r="I48" s="91" t="n"/>
      <c r="J48" s="91" t="n"/>
      <c r="K48" s="92" t="n"/>
      <c r="L48" s="91" t="n"/>
      <c r="M48" s="91" t="n"/>
      <c r="N48" s="91" t="n"/>
      <c r="O48" s="93" t="str">
        <f>IF(S48=0,"",SUMIFS('VÍNCULOS_CDF'!$H$6:$H$1005,'VÍNCULOS_CDF'!$O$6:$O$1005,A48,'VÍNCULOS_CDF'!$V$6:$V$1005,1))</f>
        <v/>
      </c>
      <c r="P48" s="95" t="str">
        <f>IF(S48=0,"",COUNTIFS('VÍNCULOS_CDF'!$O$6:$O$1005,A48,'VÍNCULOS_CDF'!$N$6:$N$1005,1))</f>
        <v/>
      </c>
      <c r="Q48" s="94" t="str">
        <f>IF(S48=0,"",IF(OR(B48="",F48=""),"Informações incompletas",IF(U48=1,"Possível duplicidade",IF(V48=0,"Destinador fora do cadastro",IF(AND(J48="Sim",N(P48)=0),"Necessita revisão de vínculos",IF(X48&gt;0,"Necessita revisão de vínculos",IF(J48="Sim","Conferido",IF(I48="Sim","Localizado, aguardando conferência","Cadastrado"))))))))</f>
        <v/>
      </c>
      <c r="R48" s="95" t="str">
        <f>IF(S48=0,"",COUNTIFS('VÍNCULOS_CDF'!$O$6:$O$1005,A48,'VÍNCULOS_CDF'!$AB$6:$AB$1005,1))</f>
        <v/>
      </c>
      <c r="S48" s="96">
        <f>IF(COUNTA(B48:N48)&gt;0,1,0)</f>
        <v>0</v>
      </c>
      <c r="T48" s="96" t="str">
        <f>IF(AND(S48=1,B48&lt;&gt;""),C48&amp;"|"&amp;TRIM(B48),"")</f>
        <v/>
      </c>
      <c r="U48" s="96">
        <f>IF(T48="",0,IF(SUMPRODUCT(--($T$6:$T$505=T48))&gt;1,1,0))</f>
        <v>0</v>
      </c>
      <c r="V48" s="96">
        <f>IF(F48="",0,IF(ISNUMBER(MATCH(F48,cmp_dest,0)),1,0))</f>
        <v>0</v>
      </c>
      <c r="W48" s="96">
        <f>IF(AND(S48=1,B48&lt;&gt;"",F48&lt;&gt;"",J48="Sim",U48=0),1,0)</f>
        <v>0</v>
      </c>
      <c r="X48" s="96">
        <f>IF(S48=0,0,COUNTIFS('VÍNCULOS_CDF'!$O$6:$O$1005,A48,'VÍNCULOS_CDF'!$Y$6:$Y$1005,1))</f>
        <v>0</v>
      </c>
      <c r="Y48" s="96" t="str">
        <f>IF(S48=1,A48&amp;" | CDF "&amp;IF(B48="","(sem número)",B48)&amp;" | "&amp;IF(F48="","(sem destinador)",F48),"")</f>
        <v/>
      </c>
      <c r="Z48" s="96" t="str">
        <f>IF(S48=1,COUNTIF($S$6:S48,1),"")</f>
        <v/>
      </c>
      <c r="AA48" s="96">
        <f>IF(S48=0,0,IF(AND(OR(r_ini="",AND(ISNUMBER(D48),D48&gt;=r_ini)),OR(r_fim="",AND(ISNUMBER(D48),D48&lt;=r_fim)),OR(r_de="",r_de="(Todos)",F48=r_de)),1,0))</f>
        <v>0</v>
      </c>
      <c r="AB48" s="96" t="str">
        <f>IF(AA48=1,IF(F48="",0,COUNTIF($F$6:$F$505,"&lt;"&amp;F48))*1000+43,"")</f>
        <v/>
      </c>
    </row>
    <row r="49">
      <c r="A49" s="89" t="inlineStr">
        <is>
          <t>CDF-000044</t>
        </is>
      </c>
      <c r="B49" s="90" t="n"/>
      <c r="C49" s="91" t="n"/>
      <c r="D49" s="92" t="n"/>
      <c r="E49" s="91" t="n"/>
      <c r="F49" s="91" t="n"/>
      <c r="G49" s="91" t="n"/>
      <c r="H49" s="91" t="n"/>
      <c r="I49" s="91" t="n"/>
      <c r="J49" s="91" t="n"/>
      <c r="K49" s="92" t="n"/>
      <c r="L49" s="91" t="n"/>
      <c r="M49" s="91" t="n"/>
      <c r="N49" s="91" t="n"/>
      <c r="O49" s="93" t="str">
        <f>IF(S49=0,"",SUMIFS('VÍNCULOS_CDF'!$H$6:$H$1005,'VÍNCULOS_CDF'!$O$6:$O$1005,A49,'VÍNCULOS_CDF'!$V$6:$V$1005,1))</f>
        <v/>
      </c>
      <c r="P49" s="95" t="str">
        <f>IF(S49=0,"",COUNTIFS('VÍNCULOS_CDF'!$O$6:$O$1005,A49,'VÍNCULOS_CDF'!$N$6:$N$1005,1))</f>
        <v/>
      </c>
      <c r="Q49" s="94" t="str">
        <f>IF(S49=0,"",IF(OR(B49="",F49=""),"Informações incompletas",IF(U49=1,"Possível duplicidade",IF(V49=0,"Destinador fora do cadastro",IF(AND(J49="Sim",N(P49)=0),"Necessita revisão de vínculos",IF(X49&gt;0,"Necessita revisão de vínculos",IF(J49="Sim","Conferido",IF(I49="Sim","Localizado, aguardando conferência","Cadastrado"))))))))</f>
        <v/>
      </c>
      <c r="R49" s="95" t="str">
        <f>IF(S49=0,"",COUNTIFS('VÍNCULOS_CDF'!$O$6:$O$1005,A49,'VÍNCULOS_CDF'!$AB$6:$AB$1005,1))</f>
        <v/>
      </c>
      <c r="S49" s="96">
        <f>IF(COUNTA(B49:N49)&gt;0,1,0)</f>
        <v>0</v>
      </c>
      <c r="T49" s="96" t="str">
        <f>IF(AND(S49=1,B49&lt;&gt;""),C49&amp;"|"&amp;TRIM(B49),"")</f>
        <v/>
      </c>
      <c r="U49" s="96">
        <f>IF(T49="",0,IF(SUMPRODUCT(--($T$6:$T$505=T49))&gt;1,1,0))</f>
        <v>0</v>
      </c>
      <c r="V49" s="96">
        <f>IF(F49="",0,IF(ISNUMBER(MATCH(F49,cmp_dest,0)),1,0))</f>
        <v>0</v>
      </c>
      <c r="W49" s="96">
        <f>IF(AND(S49=1,B49&lt;&gt;"",F49&lt;&gt;"",J49="Sim",U49=0),1,0)</f>
        <v>0</v>
      </c>
      <c r="X49" s="96">
        <f>IF(S49=0,0,COUNTIFS('VÍNCULOS_CDF'!$O$6:$O$1005,A49,'VÍNCULOS_CDF'!$Y$6:$Y$1005,1))</f>
        <v>0</v>
      </c>
      <c r="Y49" s="96" t="str">
        <f>IF(S49=1,A49&amp;" | CDF "&amp;IF(B49="","(sem número)",B49)&amp;" | "&amp;IF(F49="","(sem destinador)",F49),"")</f>
        <v/>
      </c>
      <c r="Z49" s="96" t="str">
        <f>IF(S49=1,COUNTIF($S$6:S49,1),"")</f>
        <v/>
      </c>
      <c r="AA49" s="96">
        <f>IF(S49=0,0,IF(AND(OR(r_ini="",AND(ISNUMBER(D49),D49&gt;=r_ini)),OR(r_fim="",AND(ISNUMBER(D49),D49&lt;=r_fim)),OR(r_de="",r_de="(Todos)",F49=r_de)),1,0))</f>
        <v>0</v>
      </c>
      <c r="AB49" s="96" t="str">
        <f>IF(AA49=1,IF(F49="",0,COUNTIF($F$6:$F$505,"&lt;"&amp;F49))*1000+44,"")</f>
        <v/>
      </c>
    </row>
    <row r="50">
      <c r="A50" s="89" t="inlineStr">
        <is>
          <t>CDF-000045</t>
        </is>
      </c>
      <c r="B50" s="90" t="n"/>
      <c r="C50" s="91" t="n"/>
      <c r="D50" s="92" t="n"/>
      <c r="E50" s="91" t="n"/>
      <c r="F50" s="91" t="n"/>
      <c r="G50" s="91" t="n"/>
      <c r="H50" s="91" t="n"/>
      <c r="I50" s="91" t="n"/>
      <c r="J50" s="91" t="n"/>
      <c r="K50" s="92" t="n"/>
      <c r="L50" s="91" t="n"/>
      <c r="M50" s="91" t="n"/>
      <c r="N50" s="91" t="n"/>
      <c r="O50" s="93" t="str">
        <f>IF(S50=0,"",SUMIFS('VÍNCULOS_CDF'!$H$6:$H$1005,'VÍNCULOS_CDF'!$O$6:$O$1005,A50,'VÍNCULOS_CDF'!$V$6:$V$1005,1))</f>
        <v/>
      </c>
      <c r="P50" s="95" t="str">
        <f>IF(S50=0,"",COUNTIFS('VÍNCULOS_CDF'!$O$6:$O$1005,A50,'VÍNCULOS_CDF'!$N$6:$N$1005,1))</f>
        <v/>
      </c>
      <c r="Q50" s="94" t="str">
        <f>IF(S50=0,"",IF(OR(B50="",F50=""),"Informações incompletas",IF(U50=1,"Possível duplicidade",IF(V50=0,"Destinador fora do cadastro",IF(AND(J50="Sim",N(P50)=0),"Necessita revisão de vínculos",IF(X50&gt;0,"Necessita revisão de vínculos",IF(J50="Sim","Conferido",IF(I50="Sim","Localizado, aguardando conferência","Cadastrado"))))))))</f>
        <v/>
      </c>
      <c r="R50" s="95" t="str">
        <f>IF(S50=0,"",COUNTIFS('VÍNCULOS_CDF'!$O$6:$O$1005,A50,'VÍNCULOS_CDF'!$AB$6:$AB$1005,1))</f>
        <v/>
      </c>
      <c r="S50" s="96">
        <f>IF(COUNTA(B50:N50)&gt;0,1,0)</f>
        <v>0</v>
      </c>
      <c r="T50" s="96" t="str">
        <f>IF(AND(S50=1,B50&lt;&gt;""),C50&amp;"|"&amp;TRIM(B50),"")</f>
        <v/>
      </c>
      <c r="U50" s="96">
        <f>IF(T50="",0,IF(SUMPRODUCT(--($T$6:$T$505=T50))&gt;1,1,0))</f>
        <v>0</v>
      </c>
      <c r="V50" s="96">
        <f>IF(F50="",0,IF(ISNUMBER(MATCH(F50,cmp_dest,0)),1,0))</f>
        <v>0</v>
      </c>
      <c r="W50" s="96">
        <f>IF(AND(S50=1,B50&lt;&gt;"",F50&lt;&gt;"",J50="Sim",U50=0),1,0)</f>
        <v>0</v>
      </c>
      <c r="X50" s="96">
        <f>IF(S50=0,0,COUNTIFS('VÍNCULOS_CDF'!$O$6:$O$1005,A50,'VÍNCULOS_CDF'!$Y$6:$Y$1005,1))</f>
        <v>0</v>
      </c>
      <c r="Y50" s="96" t="str">
        <f>IF(S50=1,A50&amp;" | CDF "&amp;IF(B50="","(sem número)",B50)&amp;" | "&amp;IF(F50="","(sem destinador)",F50),"")</f>
        <v/>
      </c>
      <c r="Z50" s="96" t="str">
        <f>IF(S50=1,COUNTIF($S$6:S50,1),"")</f>
        <v/>
      </c>
      <c r="AA50" s="96">
        <f>IF(S50=0,0,IF(AND(OR(r_ini="",AND(ISNUMBER(D50),D50&gt;=r_ini)),OR(r_fim="",AND(ISNUMBER(D50),D50&lt;=r_fim)),OR(r_de="",r_de="(Todos)",F50=r_de)),1,0))</f>
        <v>0</v>
      </c>
      <c r="AB50" s="96" t="str">
        <f>IF(AA50=1,IF(F50="",0,COUNTIF($F$6:$F$505,"&lt;"&amp;F50))*1000+45,"")</f>
        <v/>
      </c>
    </row>
    <row r="51">
      <c r="A51" s="89" t="inlineStr">
        <is>
          <t>CDF-000046</t>
        </is>
      </c>
      <c r="B51" s="90" t="n"/>
      <c r="C51" s="91" t="n"/>
      <c r="D51" s="92" t="n"/>
      <c r="E51" s="91" t="n"/>
      <c r="F51" s="91" t="n"/>
      <c r="G51" s="91" t="n"/>
      <c r="H51" s="91" t="n"/>
      <c r="I51" s="91" t="n"/>
      <c r="J51" s="91" t="n"/>
      <c r="K51" s="92" t="n"/>
      <c r="L51" s="91" t="n"/>
      <c r="M51" s="91" t="n"/>
      <c r="N51" s="91" t="n"/>
      <c r="O51" s="93" t="str">
        <f>IF(S51=0,"",SUMIFS('VÍNCULOS_CDF'!$H$6:$H$1005,'VÍNCULOS_CDF'!$O$6:$O$1005,A51,'VÍNCULOS_CDF'!$V$6:$V$1005,1))</f>
        <v/>
      </c>
      <c r="P51" s="95" t="str">
        <f>IF(S51=0,"",COUNTIFS('VÍNCULOS_CDF'!$O$6:$O$1005,A51,'VÍNCULOS_CDF'!$N$6:$N$1005,1))</f>
        <v/>
      </c>
      <c r="Q51" s="94" t="str">
        <f>IF(S51=0,"",IF(OR(B51="",F51=""),"Informações incompletas",IF(U51=1,"Possível duplicidade",IF(V51=0,"Destinador fora do cadastro",IF(AND(J51="Sim",N(P51)=0),"Necessita revisão de vínculos",IF(X51&gt;0,"Necessita revisão de vínculos",IF(J51="Sim","Conferido",IF(I51="Sim","Localizado, aguardando conferência","Cadastrado"))))))))</f>
        <v/>
      </c>
      <c r="R51" s="95" t="str">
        <f>IF(S51=0,"",COUNTIFS('VÍNCULOS_CDF'!$O$6:$O$1005,A51,'VÍNCULOS_CDF'!$AB$6:$AB$1005,1))</f>
        <v/>
      </c>
      <c r="S51" s="96">
        <f>IF(COUNTA(B51:N51)&gt;0,1,0)</f>
        <v>0</v>
      </c>
      <c r="T51" s="96" t="str">
        <f>IF(AND(S51=1,B51&lt;&gt;""),C51&amp;"|"&amp;TRIM(B51),"")</f>
        <v/>
      </c>
      <c r="U51" s="96">
        <f>IF(T51="",0,IF(SUMPRODUCT(--($T$6:$T$505=T51))&gt;1,1,0))</f>
        <v>0</v>
      </c>
      <c r="V51" s="96">
        <f>IF(F51="",0,IF(ISNUMBER(MATCH(F51,cmp_dest,0)),1,0))</f>
        <v>0</v>
      </c>
      <c r="W51" s="96">
        <f>IF(AND(S51=1,B51&lt;&gt;"",F51&lt;&gt;"",J51="Sim",U51=0),1,0)</f>
        <v>0</v>
      </c>
      <c r="X51" s="96">
        <f>IF(S51=0,0,COUNTIFS('VÍNCULOS_CDF'!$O$6:$O$1005,A51,'VÍNCULOS_CDF'!$Y$6:$Y$1005,1))</f>
        <v>0</v>
      </c>
      <c r="Y51" s="96" t="str">
        <f>IF(S51=1,A51&amp;" | CDF "&amp;IF(B51="","(sem número)",B51)&amp;" | "&amp;IF(F51="","(sem destinador)",F51),"")</f>
        <v/>
      </c>
      <c r="Z51" s="96" t="str">
        <f>IF(S51=1,COUNTIF($S$6:S51,1),"")</f>
        <v/>
      </c>
      <c r="AA51" s="96">
        <f>IF(S51=0,0,IF(AND(OR(r_ini="",AND(ISNUMBER(D51),D51&gt;=r_ini)),OR(r_fim="",AND(ISNUMBER(D51),D51&lt;=r_fim)),OR(r_de="",r_de="(Todos)",F51=r_de)),1,0))</f>
        <v>0</v>
      </c>
      <c r="AB51" s="96" t="str">
        <f>IF(AA51=1,IF(F51="",0,COUNTIF($F$6:$F$505,"&lt;"&amp;F51))*1000+46,"")</f>
        <v/>
      </c>
    </row>
    <row r="52">
      <c r="A52" s="89" t="inlineStr">
        <is>
          <t>CDF-000047</t>
        </is>
      </c>
      <c r="B52" s="90" t="n"/>
      <c r="C52" s="91" t="n"/>
      <c r="D52" s="92" t="n"/>
      <c r="E52" s="91" t="n"/>
      <c r="F52" s="91" t="n"/>
      <c r="G52" s="91" t="n"/>
      <c r="H52" s="91" t="n"/>
      <c r="I52" s="91" t="n"/>
      <c r="J52" s="91" t="n"/>
      <c r="K52" s="92" t="n"/>
      <c r="L52" s="91" t="n"/>
      <c r="M52" s="91" t="n"/>
      <c r="N52" s="91" t="n"/>
      <c r="O52" s="93" t="str">
        <f>IF(S52=0,"",SUMIFS('VÍNCULOS_CDF'!$H$6:$H$1005,'VÍNCULOS_CDF'!$O$6:$O$1005,A52,'VÍNCULOS_CDF'!$V$6:$V$1005,1))</f>
        <v/>
      </c>
      <c r="P52" s="95" t="str">
        <f>IF(S52=0,"",COUNTIFS('VÍNCULOS_CDF'!$O$6:$O$1005,A52,'VÍNCULOS_CDF'!$N$6:$N$1005,1))</f>
        <v/>
      </c>
      <c r="Q52" s="94" t="str">
        <f>IF(S52=0,"",IF(OR(B52="",F52=""),"Informações incompletas",IF(U52=1,"Possível duplicidade",IF(V52=0,"Destinador fora do cadastro",IF(AND(J52="Sim",N(P52)=0),"Necessita revisão de vínculos",IF(X52&gt;0,"Necessita revisão de vínculos",IF(J52="Sim","Conferido",IF(I52="Sim","Localizado, aguardando conferência","Cadastrado"))))))))</f>
        <v/>
      </c>
      <c r="R52" s="95" t="str">
        <f>IF(S52=0,"",COUNTIFS('VÍNCULOS_CDF'!$O$6:$O$1005,A52,'VÍNCULOS_CDF'!$AB$6:$AB$1005,1))</f>
        <v/>
      </c>
      <c r="S52" s="96">
        <f>IF(COUNTA(B52:N52)&gt;0,1,0)</f>
        <v>0</v>
      </c>
      <c r="T52" s="96" t="str">
        <f>IF(AND(S52=1,B52&lt;&gt;""),C52&amp;"|"&amp;TRIM(B52),"")</f>
        <v/>
      </c>
      <c r="U52" s="96">
        <f>IF(T52="",0,IF(SUMPRODUCT(--($T$6:$T$505=T52))&gt;1,1,0))</f>
        <v>0</v>
      </c>
      <c r="V52" s="96">
        <f>IF(F52="",0,IF(ISNUMBER(MATCH(F52,cmp_dest,0)),1,0))</f>
        <v>0</v>
      </c>
      <c r="W52" s="96">
        <f>IF(AND(S52=1,B52&lt;&gt;"",F52&lt;&gt;"",J52="Sim",U52=0),1,0)</f>
        <v>0</v>
      </c>
      <c r="X52" s="96">
        <f>IF(S52=0,0,COUNTIFS('VÍNCULOS_CDF'!$O$6:$O$1005,A52,'VÍNCULOS_CDF'!$Y$6:$Y$1005,1))</f>
        <v>0</v>
      </c>
      <c r="Y52" s="96" t="str">
        <f>IF(S52=1,A52&amp;" | CDF "&amp;IF(B52="","(sem número)",B52)&amp;" | "&amp;IF(F52="","(sem destinador)",F52),"")</f>
        <v/>
      </c>
      <c r="Z52" s="96" t="str">
        <f>IF(S52=1,COUNTIF($S$6:S52,1),"")</f>
        <v/>
      </c>
      <c r="AA52" s="96">
        <f>IF(S52=0,0,IF(AND(OR(r_ini="",AND(ISNUMBER(D52),D52&gt;=r_ini)),OR(r_fim="",AND(ISNUMBER(D52),D52&lt;=r_fim)),OR(r_de="",r_de="(Todos)",F52=r_de)),1,0))</f>
        <v>0</v>
      </c>
      <c r="AB52" s="96" t="str">
        <f>IF(AA52=1,IF(F52="",0,COUNTIF($F$6:$F$505,"&lt;"&amp;F52))*1000+47,"")</f>
        <v/>
      </c>
    </row>
    <row r="53">
      <c r="A53" s="89" t="inlineStr">
        <is>
          <t>CDF-000048</t>
        </is>
      </c>
      <c r="B53" s="90" t="n"/>
      <c r="C53" s="91" t="n"/>
      <c r="D53" s="92" t="n"/>
      <c r="E53" s="91" t="n"/>
      <c r="F53" s="91" t="n"/>
      <c r="G53" s="91" t="n"/>
      <c r="H53" s="91" t="n"/>
      <c r="I53" s="91" t="n"/>
      <c r="J53" s="91" t="n"/>
      <c r="K53" s="92" t="n"/>
      <c r="L53" s="91" t="n"/>
      <c r="M53" s="91" t="n"/>
      <c r="N53" s="91" t="n"/>
      <c r="O53" s="93" t="str">
        <f>IF(S53=0,"",SUMIFS('VÍNCULOS_CDF'!$H$6:$H$1005,'VÍNCULOS_CDF'!$O$6:$O$1005,A53,'VÍNCULOS_CDF'!$V$6:$V$1005,1))</f>
        <v/>
      </c>
      <c r="P53" s="95" t="str">
        <f>IF(S53=0,"",COUNTIFS('VÍNCULOS_CDF'!$O$6:$O$1005,A53,'VÍNCULOS_CDF'!$N$6:$N$1005,1))</f>
        <v/>
      </c>
      <c r="Q53" s="94" t="str">
        <f>IF(S53=0,"",IF(OR(B53="",F53=""),"Informações incompletas",IF(U53=1,"Possível duplicidade",IF(V53=0,"Destinador fora do cadastro",IF(AND(J53="Sim",N(P53)=0),"Necessita revisão de vínculos",IF(X53&gt;0,"Necessita revisão de vínculos",IF(J53="Sim","Conferido",IF(I53="Sim","Localizado, aguardando conferência","Cadastrado"))))))))</f>
        <v/>
      </c>
      <c r="R53" s="95" t="str">
        <f>IF(S53=0,"",COUNTIFS('VÍNCULOS_CDF'!$O$6:$O$1005,A53,'VÍNCULOS_CDF'!$AB$6:$AB$1005,1))</f>
        <v/>
      </c>
      <c r="S53" s="96">
        <f>IF(COUNTA(B53:N53)&gt;0,1,0)</f>
        <v>0</v>
      </c>
      <c r="T53" s="96" t="str">
        <f>IF(AND(S53=1,B53&lt;&gt;""),C53&amp;"|"&amp;TRIM(B53),"")</f>
        <v/>
      </c>
      <c r="U53" s="96">
        <f>IF(T53="",0,IF(SUMPRODUCT(--($T$6:$T$505=T53))&gt;1,1,0))</f>
        <v>0</v>
      </c>
      <c r="V53" s="96">
        <f>IF(F53="",0,IF(ISNUMBER(MATCH(F53,cmp_dest,0)),1,0))</f>
        <v>0</v>
      </c>
      <c r="W53" s="96">
        <f>IF(AND(S53=1,B53&lt;&gt;"",F53&lt;&gt;"",J53="Sim",U53=0),1,0)</f>
        <v>0</v>
      </c>
      <c r="X53" s="96">
        <f>IF(S53=0,0,COUNTIFS('VÍNCULOS_CDF'!$O$6:$O$1005,A53,'VÍNCULOS_CDF'!$Y$6:$Y$1005,1))</f>
        <v>0</v>
      </c>
      <c r="Y53" s="96" t="str">
        <f>IF(S53=1,A53&amp;" | CDF "&amp;IF(B53="","(sem número)",B53)&amp;" | "&amp;IF(F53="","(sem destinador)",F53),"")</f>
        <v/>
      </c>
      <c r="Z53" s="96" t="str">
        <f>IF(S53=1,COUNTIF($S$6:S53,1),"")</f>
        <v/>
      </c>
      <c r="AA53" s="96">
        <f>IF(S53=0,0,IF(AND(OR(r_ini="",AND(ISNUMBER(D53),D53&gt;=r_ini)),OR(r_fim="",AND(ISNUMBER(D53),D53&lt;=r_fim)),OR(r_de="",r_de="(Todos)",F53=r_de)),1,0))</f>
        <v>0</v>
      </c>
      <c r="AB53" s="96" t="str">
        <f>IF(AA53=1,IF(F53="",0,COUNTIF($F$6:$F$505,"&lt;"&amp;F53))*1000+48,"")</f>
        <v/>
      </c>
    </row>
    <row r="54">
      <c r="A54" s="89" t="inlineStr">
        <is>
          <t>CDF-000049</t>
        </is>
      </c>
      <c r="B54" s="90" t="n"/>
      <c r="C54" s="91" t="n"/>
      <c r="D54" s="92" t="n"/>
      <c r="E54" s="91" t="n"/>
      <c r="F54" s="91" t="n"/>
      <c r="G54" s="91" t="n"/>
      <c r="H54" s="91" t="n"/>
      <c r="I54" s="91" t="n"/>
      <c r="J54" s="91" t="n"/>
      <c r="K54" s="92" t="n"/>
      <c r="L54" s="91" t="n"/>
      <c r="M54" s="91" t="n"/>
      <c r="N54" s="91" t="n"/>
      <c r="O54" s="93" t="str">
        <f>IF(S54=0,"",SUMIFS('VÍNCULOS_CDF'!$H$6:$H$1005,'VÍNCULOS_CDF'!$O$6:$O$1005,A54,'VÍNCULOS_CDF'!$V$6:$V$1005,1))</f>
        <v/>
      </c>
      <c r="P54" s="95" t="str">
        <f>IF(S54=0,"",COUNTIFS('VÍNCULOS_CDF'!$O$6:$O$1005,A54,'VÍNCULOS_CDF'!$N$6:$N$1005,1))</f>
        <v/>
      </c>
      <c r="Q54" s="94" t="str">
        <f>IF(S54=0,"",IF(OR(B54="",F54=""),"Informações incompletas",IF(U54=1,"Possível duplicidade",IF(V54=0,"Destinador fora do cadastro",IF(AND(J54="Sim",N(P54)=0),"Necessita revisão de vínculos",IF(X54&gt;0,"Necessita revisão de vínculos",IF(J54="Sim","Conferido",IF(I54="Sim","Localizado, aguardando conferência","Cadastrado"))))))))</f>
        <v/>
      </c>
      <c r="R54" s="95" t="str">
        <f>IF(S54=0,"",COUNTIFS('VÍNCULOS_CDF'!$O$6:$O$1005,A54,'VÍNCULOS_CDF'!$AB$6:$AB$1005,1))</f>
        <v/>
      </c>
      <c r="S54" s="96">
        <f>IF(COUNTA(B54:N54)&gt;0,1,0)</f>
        <v>0</v>
      </c>
      <c r="T54" s="96" t="str">
        <f>IF(AND(S54=1,B54&lt;&gt;""),C54&amp;"|"&amp;TRIM(B54),"")</f>
        <v/>
      </c>
      <c r="U54" s="96">
        <f>IF(T54="",0,IF(SUMPRODUCT(--($T$6:$T$505=T54))&gt;1,1,0))</f>
        <v>0</v>
      </c>
      <c r="V54" s="96">
        <f>IF(F54="",0,IF(ISNUMBER(MATCH(F54,cmp_dest,0)),1,0))</f>
        <v>0</v>
      </c>
      <c r="W54" s="96">
        <f>IF(AND(S54=1,B54&lt;&gt;"",F54&lt;&gt;"",J54="Sim",U54=0),1,0)</f>
        <v>0</v>
      </c>
      <c r="X54" s="96">
        <f>IF(S54=0,0,COUNTIFS('VÍNCULOS_CDF'!$O$6:$O$1005,A54,'VÍNCULOS_CDF'!$Y$6:$Y$1005,1))</f>
        <v>0</v>
      </c>
      <c r="Y54" s="96" t="str">
        <f>IF(S54=1,A54&amp;" | CDF "&amp;IF(B54="","(sem número)",B54)&amp;" | "&amp;IF(F54="","(sem destinador)",F54),"")</f>
        <v/>
      </c>
      <c r="Z54" s="96" t="str">
        <f>IF(S54=1,COUNTIF($S$6:S54,1),"")</f>
        <v/>
      </c>
      <c r="AA54" s="96">
        <f>IF(S54=0,0,IF(AND(OR(r_ini="",AND(ISNUMBER(D54),D54&gt;=r_ini)),OR(r_fim="",AND(ISNUMBER(D54),D54&lt;=r_fim)),OR(r_de="",r_de="(Todos)",F54=r_de)),1,0))</f>
        <v>0</v>
      </c>
      <c r="AB54" s="96" t="str">
        <f>IF(AA54=1,IF(F54="",0,COUNTIF($F$6:$F$505,"&lt;"&amp;F54))*1000+49,"")</f>
        <v/>
      </c>
    </row>
    <row r="55">
      <c r="A55" s="89" t="inlineStr">
        <is>
          <t>CDF-000050</t>
        </is>
      </c>
      <c r="B55" s="90" t="n"/>
      <c r="C55" s="91" t="n"/>
      <c r="D55" s="92" t="n"/>
      <c r="E55" s="91" t="n"/>
      <c r="F55" s="91" t="n"/>
      <c r="G55" s="91" t="n"/>
      <c r="H55" s="91" t="n"/>
      <c r="I55" s="91" t="n"/>
      <c r="J55" s="91" t="n"/>
      <c r="K55" s="92" t="n"/>
      <c r="L55" s="91" t="n"/>
      <c r="M55" s="91" t="n"/>
      <c r="N55" s="91" t="n"/>
      <c r="O55" s="93" t="str">
        <f>IF(S55=0,"",SUMIFS('VÍNCULOS_CDF'!$H$6:$H$1005,'VÍNCULOS_CDF'!$O$6:$O$1005,A55,'VÍNCULOS_CDF'!$V$6:$V$1005,1))</f>
        <v/>
      </c>
      <c r="P55" s="95" t="str">
        <f>IF(S55=0,"",COUNTIFS('VÍNCULOS_CDF'!$O$6:$O$1005,A55,'VÍNCULOS_CDF'!$N$6:$N$1005,1))</f>
        <v/>
      </c>
      <c r="Q55" s="94" t="str">
        <f>IF(S55=0,"",IF(OR(B55="",F55=""),"Informações incompletas",IF(U55=1,"Possível duplicidade",IF(V55=0,"Destinador fora do cadastro",IF(AND(J55="Sim",N(P55)=0),"Necessita revisão de vínculos",IF(X55&gt;0,"Necessita revisão de vínculos",IF(J55="Sim","Conferido",IF(I55="Sim","Localizado, aguardando conferência","Cadastrado"))))))))</f>
        <v/>
      </c>
      <c r="R55" s="95" t="str">
        <f>IF(S55=0,"",COUNTIFS('VÍNCULOS_CDF'!$O$6:$O$1005,A55,'VÍNCULOS_CDF'!$AB$6:$AB$1005,1))</f>
        <v/>
      </c>
      <c r="S55" s="96">
        <f>IF(COUNTA(B55:N55)&gt;0,1,0)</f>
        <v>0</v>
      </c>
      <c r="T55" s="96" t="str">
        <f>IF(AND(S55=1,B55&lt;&gt;""),C55&amp;"|"&amp;TRIM(B55),"")</f>
        <v/>
      </c>
      <c r="U55" s="96">
        <f>IF(T55="",0,IF(SUMPRODUCT(--($T$6:$T$505=T55))&gt;1,1,0))</f>
        <v>0</v>
      </c>
      <c r="V55" s="96">
        <f>IF(F55="",0,IF(ISNUMBER(MATCH(F55,cmp_dest,0)),1,0))</f>
        <v>0</v>
      </c>
      <c r="W55" s="96">
        <f>IF(AND(S55=1,B55&lt;&gt;"",F55&lt;&gt;"",J55="Sim",U55=0),1,0)</f>
        <v>0</v>
      </c>
      <c r="X55" s="96">
        <f>IF(S55=0,0,COUNTIFS('VÍNCULOS_CDF'!$O$6:$O$1005,A55,'VÍNCULOS_CDF'!$Y$6:$Y$1005,1))</f>
        <v>0</v>
      </c>
      <c r="Y55" s="96" t="str">
        <f>IF(S55=1,A55&amp;" | CDF "&amp;IF(B55="","(sem número)",B55)&amp;" | "&amp;IF(F55="","(sem destinador)",F55),"")</f>
        <v/>
      </c>
      <c r="Z55" s="96" t="str">
        <f>IF(S55=1,COUNTIF($S$6:S55,1),"")</f>
        <v/>
      </c>
      <c r="AA55" s="96">
        <f>IF(S55=0,0,IF(AND(OR(r_ini="",AND(ISNUMBER(D55),D55&gt;=r_ini)),OR(r_fim="",AND(ISNUMBER(D55),D55&lt;=r_fim)),OR(r_de="",r_de="(Todos)",F55=r_de)),1,0))</f>
        <v>0</v>
      </c>
      <c r="AB55" s="96" t="str">
        <f>IF(AA55=1,IF(F55="",0,COUNTIF($F$6:$F$505,"&lt;"&amp;F55))*1000+50,"")</f>
        <v/>
      </c>
    </row>
    <row r="56">
      <c r="A56" s="89" t="inlineStr">
        <is>
          <t>CDF-000051</t>
        </is>
      </c>
      <c r="B56" s="90" t="n"/>
      <c r="C56" s="91" t="n"/>
      <c r="D56" s="92" t="n"/>
      <c r="E56" s="91" t="n"/>
      <c r="F56" s="91" t="n"/>
      <c r="G56" s="91" t="n"/>
      <c r="H56" s="91" t="n"/>
      <c r="I56" s="91" t="n"/>
      <c r="J56" s="91" t="n"/>
      <c r="K56" s="92" t="n"/>
      <c r="L56" s="91" t="n"/>
      <c r="M56" s="91" t="n"/>
      <c r="N56" s="91" t="n"/>
      <c r="O56" s="93" t="str">
        <f>IF(S56=0,"",SUMIFS('VÍNCULOS_CDF'!$H$6:$H$1005,'VÍNCULOS_CDF'!$O$6:$O$1005,A56,'VÍNCULOS_CDF'!$V$6:$V$1005,1))</f>
        <v/>
      </c>
      <c r="P56" s="95" t="str">
        <f>IF(S56=0,"",COUNTIFS('VÍNCULOS_CDF'!$O$6:$O$1005,A56,'VÍNCULOS_CDF'!$N$6:$N$1005,1))</f>
        <v/>
      </c>
      <c r="Q56" s="94" t="str">
        <f>IF(S56=0,"",IF(OR(B56="",F56=""),"Informações incompletas",IF(U56=1,"Possível duplicidade",IF(V56=0,"Destinador fora do cadastro",IF(AND(J56="Sim",N(P56)=0),"Necessita revisão de vínculos",IF(X56&gt;0,"Necessita revisão de vínculos",IF(J56="Sim","Conferido",IF(I56="Sim","Localizado, aguardando conferência","Cadastrado"))))))))</f>
        <v/>
      </c>
      <c r="R56" s="95" t="str">
        <f>IF(S56=0,"",COUNTIFS('VÍNCULOS_CDF'!$O$6:$O$1005,A56,'VÍNCULOS_CDF'!$AB$6:$AB$1005,1))</f>
        <v/>
      </c>
      <c r="S56" s="96">
        <f>IF(COUNTA(B56:N56)&gt;0,1,0)</f>
        <v>0</v>
      </c>
      <c r="T56" s="96" t="str">
        <f>IF(AND(S56=1,B56&lt;&gt;""),C56&amp;"|"&amp;TRIM(B56),"")</f>
        <v/>
      </c>
      <c r="U56" s="96">
        <f>IF(T56="",0,IF(SUMPRODUCT(--($T$6:$T$505=T56))&gt;1,1,0))</f>
        <v>0</v>
      </c>
      <c r="V56" s="96">
        <f>IF(F56="",0,IF(ISNUMBER(MATCH(F56,cmp_dest,0)),1,0))</f>
        <v>0</v>
      </c>
      <c r="W56" s="96">
        <f>IF(AND(S56=1,B56&lt;&gt;"",F56&lt;&gt;"",J56="Sim",U56=0),1,0)</f>
        <v>0</v>
      </c>
      <c r="X56" s="96">
        <f>IF(S56=0,0,COUNTIFS('VÍNCULOS_CDF'!$O$6:$O$1005,A56,'VÍNCULOS_CDF'!$Y$6:$Y$1005,1))</f>
        <v>0</v>
      </c>
      <c r="Y56" s="96" t="str">
        <f>IF(S56=1,A56&amp;" | CDF "&amp;IF(B56="","(sem número)",B56)&amp;" | "&amp;IF(F56="","(sem destinador)",F56),"")</f>
        <v/>
      </c>
      <c r="Z56" s="96" t="str">
        <f>IF(S56=1,COUNTIF($S$6:S56,1),"")</f>
        <v/>
      </c>
      <c r="AA56" s="96">
        <f>IF(S56=0,0,IF(AND(OR(r_ini="",AND(ISNUMBER(D56),D56&gt;=r_ini)),OR(r_fim="",AND(ISNUMBER(D56),D56&lt;=r_fim)),OR(r_de="",r_de="(Todos)",F56=r_de)),1,0))</f>
        <v>0</v>
      </c>
      <c r="AB56" s="96" t="str">
        <f>IF(AA56=1,IF(F56="",0,COUNTIF($F$6:$F$505,"&lt;"&amp;F56))*1000+51,"")</f>
        <v/>
      </c>
    </row>
    <row r="57">
      <c r="A57" s="89" t="inlineStr">
        <is>
          <t>CDF-000052</t>
        </is>
      </c>
      <c r="B57" s="90" t="n"/>
      <c r="C57" s="91" t="n"/>
      <c r="D57" s="92" t="n"/>
      <c r="E57" s="91" t="n"/>
      <c r="F57" s="91" t="n"/>
      <c r="G57" s="91" t="n"/>
      <c r="H57" s="91" t="n"/>
      <c r="I57" s="91" t="n"/>
      <c r="J57" s="91" t="n"/>
      <c r="K57" s="92" t="n"/>
      <c r="L57" s="91" t="n"/>
      <c r="M57" s="91" t="n"/>
      <c r="N57" s="91" t="n"/>
      <c r="O57" s="93" t="str">
        <f>IF(S57=0,"",SUMIFS('VÍNCULOS_CDF'!$H$6:$H$1005,'VÍNCULOS_CDF'!$O$6:$O$1005,A57,'VÍNCULOS_CDF'!$V$6:$V$1005,1))</f>
        <v/>
      </c>
      <c r="P57" s="95" t="str">
        <f>IF(S57=0,"",COUNTIFS('VÍNCULOS_CDF'!$O$6:$O$1005,A57,'VÍNCULOS_CDF'!$N$6:$N$1005,1))</f>
        <v/>
      </c>
      <c r="Q57" s="94" t="str">
        <f>IF(S57=0,"",IF(OR(B57="",F57=""),"Informações incompletas",IF(U57=1,"Possível duplicidade",IF(V57=0,"Destinador fora do cadastro",IF(AND(J57="Sim",N(P57)=0),"Necessita revisão de vínculos",IF(X57&gt;0,"Necessita revisão de vínculos",IF(J57="Sim","Conferido",IF(I57="Sim","Localizado, aguardando conferência","Cadastrado"))))))))</f>
        <v/>
      </c>
      <c r="R57" s="95" t="str">
        <f>IF(S57=0,"",COUNTIFS('VÍNCULOS_CDF'!$O$6:$O$1005,A57,'VÍNCULOS_CDF'!$AB$6:$AB$1005,1))</f>
        <v/>
      </c>
      <c r="S57" s="96">
        <f>IF(COUNTA(B57:N57)&gt;0,1,0)</f>
        <v>0</v>
      </c>
      <c r="T57" s="96" t="str">
        <f>IF(AND(S57=1,B57&lt;&gt;""),C57&amp;"|"&amp;TRIM(B57),"")</f>
        <v/>
      </c>
      <c r="U57" s="96">
        <f>IF(T57="",0,IF(SUMPRODUCT(--($T$6:$T$505=T57))&gt;1,1,0))</f>
        <v>0</v>
      </c>
      <c r="V57" s="96">
        <f>IF(F57="",0,IF(ISNUMBER(MATCH(F57,cmp_dest,0)),1,0))</f>
        <v>0</v>
      </c>
      <c r="W57" s="96">
        <f>IF(AND(S57=1,B57&lt;&gt;"",F57&lt;&gt;"",J57="Sim",U57=0),1,0)</f>
        <v>0</v>
      </c>
      <c r="X57" s="96">
        <f>IF(S57=0,0,COUNTIFS('VÍNCULOS_CDF'!$O$6:$O$1005,A57,'VÍNCULOS_CDF'!$Y$6:$Y$1005,1))</f>
        <v>0</v>
      </c>
      <c r="Y57" s="96" t="str">
        <f>IF(S57=1,A57&amp;" | CDF "&amp;IF(B57="","(sem número)",B57)&amp;" | "&amp;IF(F57="","(sem destinador)",F57),"")</f>
        <v/>
      </c>
      <c r="Z57" s="96" t="str">
        <f>IF(S57=1,COUNTIF($S$6:S57,1),"")</f>
        <v/>
      </c>
      <c r="AA57" s="96">
        <f>IF(S57=0,0,IF(AND(OR(r_ini="",AND(ISNUMBER(D57),D57&gt;=r_ini)),OR(r_fim="",AND(ISNUMBER(D57),D57&lt;=r_fim)),OR(r_de="",r_de="(Todos)",F57=r_de)),1,0))</f>
        <v>0</v>
      </c>
      <c r="AB57" s="96" t="str">
        <f>IF(AA57=1,IF(F57="",0,COUNTIF($F$6:$F$505,"&lt;"&amp;F57))*1000+52,"")</f>
        <v/>
      </c>
    </row>
    <row r="58">
      <c r="A58" s="89" t="inlineStr">
        <is>
          <t>CDF-000053</t>
        </is>
      </c>
      <c r="B58" s="90" t="n"/>
      <c r="C58" s="91" t="n"/>
      <c r="D58" s="92" t="n"/>
      <c r="E58" s="91" t="n"/>
      <c r="F58" s="91" t="n"/>
      <c r="G58" s="91" t="n"/>
      <c r="H58" s="91" t="n"/>
      <c r="I58" s="91" t="n"/>
      <c r="J58" s="91" t="n"/>
      <c r="K58" s="92" t="n"/>
      <c r="L58" s="91" t="n"/>
      <c r="M58" s="91" t="n"/>
      <c r="N58" s="91" t="n"/>
      <c r="O58" s="93" t="str">
        <f>IF(S58=0,"",SUMIFS('VÍNCULOS_CDF'!$H$6:$H$1005,'VÍNCULOS_CDF'!$O$6:$O$1005,A58,'VÍNCULOS_CDF'!$V$6:$V$1005,1))</f>
        <v/>
      </c>
      <c r="P58" s="95" t="str">
        <f>IF(S58=0,"",COUNTIFS('VÍNCULOS_CDF'!$O$6:$O$1005,A58,'VÍNCULOS_CDF'!$N$6:$N$1005,1))</f>
        <v/>
      </c>
      <c r="Q58" s="94" t="str">
        <f>IF(S58=0,"",IF(OR(B58="",F58=""),"Informações incompletas",IF(U58=1,"Possível duplicidade",IF(V58=0,"Destinador fora do cadastro",IF(AND(J58="Sim",N(P58)=0),"Necessita revisão de vínculos",IF(X58&gt;0,"Necessita revisão de vínculos",IF(J58="Sim","Conferido",IF(I58="Sim","Localizado, aguardando conferência","Cadastrado"))))))))</f>
        <v/>
      </c>
      <c r="R58" s="95" t="str">
        <f>IF(S58=0,"",COUNTIFS('VÍNCULOS_CDF'!$O$6:$O$1005,A58,'VÍNCULOS_CDF'!$AB$6:$AB$1005,1))</f>
        <v/>
      </c>
      <c r="S58" s="96">
        <f>IF(COUNTA(B58:N58)&gt;0,1,0)</f>
        <v>0</v>
      </c>
      <c r="T58" s="96" t="str">
        <f>IF(AND(S58=1,B58&lt;&gt;""),C58&amp;"|"&amp;TRIM(B58),"")</f>
        <v/>
      </c>
      <c r="U58" s="96">
        <f>IF(T58="",0,IF(SUMPRODUCT(--($T$6:$T$505=T58))&gt;1,1,0))</f>
        <v>0</v>
      </c>
      <c r="V58" s="96">
        <f>IF(F58="",0,IF(ISNUMBER(MATCH(F58,cmp_dest,0)),1,0))</f>
        <v>0</v>
      </c>
      <c r="W58" s="96">
        <f>IF(AND(S58=1,B58&lt;&gt;"",F58&lt;&gt;"",J58="Sim",U58=0),1,0)</f>
        <v>0</v>
      </c>
      <c r="X58" s="96">
        <f>IF(S58=0,0,COUNTIFS('VÍNCULOS_CDF'!$O$6:$O$1005,A58,'VÍNCULOS_CDF'!$Y$6:$Y$1005,1))</f>
        <v>0</v>
      </c>
      <c r="Y58" s="96" t="str">
        <f>IF(S58=1,A58&amp;" | CDF "&amp;IF(B58="","(sem número)",B58)&amp;" | "&amp;IF(F58="","(sem destinador)",F58),"")</f>
        <v/>
      </c>
      <c r="Z58" s="96" t="str">
        <f>IF(S58=1,COUNTIF($S$6:S58,1),"")</f>
        <v/>
      </c>
      <c r="AA58" s="96">
        <f>IF(S58=0,0,IF(AND(OR(r_ini="",AND(ISNUMBER(D58),D58&gt;=r_ini)),OR(r_fim="",AND(ISNUMBER(D58),D58&lt;=r_fim)),OR(r_de="",r_de="(Todos)",F58=r_de)),1,0))</f>
        <v>0</v>
      </c>
      <c r="AB58" s="96" t="str">
        <f>IF(AA58=1,IF(F58="",0,COUNTIF($F$6:$F$505,"&lt;"&amp;F58))*1000+53,"")</f>
        <v/>
      </c>
    </row>
    <row r="59">
      <c r="A59" s="89" t="inlineStr">
        <is>
          <t>CDF-000054</t>
        </is>
      </c>
      <c r="B59" s="90" t="n"/>
      <c r="C59" s="91" t="n"/>
      <c r="D59" s="92" t="n"/>
      <c r="E59" s="91" t="n"/>
      <c r="F59" s="91" t="n"/>
      <c r="G59" s="91" t="n"/>
      <c r="H59" s="91" t="n"/>
      <c r="I59" s="91" t="n"/>
      <c r="J59" s="91" t="n"/>
      <c r="K59" s="92" t="n"/>
      <c r="L59" s="91" t="n"/>
      <c r="M59" s="91" t="n"/>
      <c r="N59" s="91" t="n"/>
      <c r="O59" s="93" t="str">
        <f>IF(S59=0,"",SUMIFS('VÍNCULOS_CDF'!$H$6:$H$1005,'VÍNCULOS_CDF'!$O$6:$O$1005,A59,'VÍNCULOS_CDF'!$V$6:$V$1005,1))</f>
        <v/>
      </c>
      <c r="P59" s="95" t="str">
        <f>IF(S59=0,"",COUNTIFS('VÍNCULOS_CDF'!$O$6:$O$1005,A59,'VÍNCULOS_CDF'!$N$6:$N$1005,1))</f>
        <v/>
      </c>
      <c r="Q59" s="94" t="str">
        <f>IF(S59=0,"",IF(OR(B59="",F59=""),"Informações incompletas",IF(U59=1,"Possível duplicidade",IF(V59=0,"Destinador fora do cadastro",IF(AND(J59="Sim",N(P59)=0),"Necessita revisão de vínculos",IF(X59&gt;0,"Necessita revisão de vínculos",IF(J59="Sim","Conferido",IF(I59="Sim","Localizado, aguardando conferência","Cadastrado"))))))))</f>
        <v/>
      </c>
      <c r="R59" s="95" t="str">
        <f>IF(S59=0,"",COUNTIFS('VÍNCULOS_CDF'!$O$6:$O$1005,A59,'VÍNCULOS_CDF'!$AB$6:$AB$1005,1))</f>
        <v/>
      </c>
      <c r="S59" s="96">
        <f>IF(COUNTA(B59:N59)&gt;0,1,0)</f>
        <v>0</v>
      </c>
      <c r="T59" s="96" t="str">
        <f>IF(AND(S59=1,B59&lt;&gt;""),C59&amp;"|"&amp;TRIM(B59),"")</f>
        <v/>
      </c>
      <c r="U59" s="96">
        <f>IF(T59="",0,IF(SUMPRODUCT(--($T$6:$T$505=T59))&gt;1,1,0))</f>
        <v>0</v>
      </c>
      <c r="V59" s="96">
        <f>IF(F59="",0,IF(ISNUMBER(MATCH(F59,cmp_dest,0)),1,0))</f>
        <v>0</v>
      </c>
      <c r="W59" s="96">
        <f>IF(AND(S59=1,B59&lt;&gt;"",F59&lt;&gt;"",J59="Sim",U59=0),1,0)</f>
        <v>0</v>
      </c>
      <c r="X59" s="96">
        <f>IF(S59=0,0,COUNTIFS('VÍNCULOS_CDF'!$O$6:$O$1005,A59,'VÍNCULOS_CDF'!$Y$6:$Y$1005,1))</f>
        <v>0</v>
      </c>
      <c r="Y59" s="96" t="str">
        <f>IF(S59=1,A59&amp;" | CDF "&amp;IF(B59="","(sem número)",B59)&amp;" | "&amp;IF(F59="","(sem destinador)",F59),"")</f>
        <v/>
      </c>
      <c r="Z59" s="96" t="str">
        <f>IF(S59=1,COUNTIF($S$6:S59,1),"")</f>
        <v/>
      </c>
      <c r="AA59" s="96">
        <f>IF(S59=0,0,IF(AND(OR(r_ini="",AND(ISNUMBER(D59),D59&gt;=r_ini)),OR(r_fim="",AND(ISNUMBER(D59),D59&lt;=r_fim)),OR(r_de="",r_de="(Todos)",F59=r_de)),1,0))</f>
        <v>0</v>
      </c>
      <c r="AB59" s="96" t="str">
        <f>IF(AA59=1,IF(F59="",0,COUNTIF($F$6:$F$505,"&lt;"&amp;F59))*1000+54,"")</f>
        <v/>
      </c>
    </row>
    <row r="60">
      <c r="A60" s="89" t="inlineStr">
        <is>
          <t>CDF-000055</t>
        </is>
      </c>
      <c r="B60" s="90" t="n"/>
      <c r="C60" s="91" t="n"/>
      <c r="D60" s="92" t="n"/>
      <c r="E60" s="91" t="n"/>
      <c r="F60" s="91" t="n"/>
      <c r="G60" s="91" t="n"/>
      <c r="H60" s="91" t="n"/>
      <c r="I60" s="91" t="n"/>
      <c r="J60" s="91" t="n"/>
      <c r="K60" s="92" t="n"/>
      <c r="L60" s="91" t="n"/>
      <c r="M60" s="91" t="n"/>
      <c r="N60" s="91" t="n"/>
      <c r="O60" s="93" t="str">
        <f>IF(S60=0,"",SUMIFS('VÍNCULOS_CDF'!$H$6:$H$1005,'VÍNCULOS_CDF'!$O$6:$O$1005,A60,'VÍNCULOS_CDF'!$V$6:$V$1005,1))</f>
        <v/>
      </c>
      <c r="P60" s="95" t="str">
        <f>IF(S60=0,"",COUNTIFS('VÍNCULOS_CDF'!$O$6:$O$1005,A60,'VÍNCULOS_CDF'!$N$6:$N$1005,1))</f>
        <v/>
      </c>
      <c r="Q60" s="94" t="str">
        <f>IF(S60=0,"",IF(OR(B60="",F60=""),"Informações incompletas",IF(U60=1,"Possível duplicidade",IF(V60=0,"Destinador fora do cadastro",IF(AND(J60="Sim",N(P60)=0),"Necessita revisão de vínculos",IF(X60&gt;0,"Necessita revisão de vínculos",IF(J60="Sim","Conferido",IF(I60="Sim","Localizado, aguardando conferência","Cadastrado"))))))))</f>
        <v/>
      </c>
      <c r="R60" s="95" t="str">
        <f>IF(S60=0,"",COUNTIFS('VÍNCULOS_CDF'!$O$6:$O$1005,A60,'VÍNCULOS_CDF'!$AB$6:$AB$1005,1))</f>
        <v/>
      </c>
      <c r="S60" s="96">
        <f>IF(COUNTA(B60:N60)&gt;0,1,0)</f>
        <v>0</v>
      </c>
      <c r="T60" s="96" t="str">
        <f>IF(AND(S60=1,B60&lt;&gt;""),C60&amp;"|"&amp;TRIM(B60),"")</f>
        <v/>
      </c>
      <c r="U60" s="96">
        <f>IF(T60="",0,IF(SUMPRODUCT(--($T$6:$T$505=T60))&gt;1,1,0))</f>
        <v>0</v>
      </c>
      <c r="V60" s="96">
        <f>IF(F60="",0,IF(ISNUMBER(MATCH(F60,cmp_dest,0)),1,0))</f>
        <v>0</v>
      </c>
      <c r="W60" s="96">
        <f>IF(AND(S60=1,B60&lt;&gt;"",F60&lt;&gt;"",J60="Sim",U60=0),1,0)</f>
        <v>0</v>
      </c>
      <c r="X60" s="96">
        <f>IF(S60=0,0,COUNTIFS('VÍNCULOS_CDF'!$O$6:$O$1005,A60,'VÍNCULOS_CDF'!$Y$6:$Y$1005,1))</f>
        <v>0</v>
      </c>
      <c r="Y60" s="96" t="str">
        <f>IF(S60=1,A60&amp;" | CDF "&amp;IF(B60="","(sem número)",B60)&amp;" | "&amp;IF(F60="","(sem destinador)",F60),"")</f>
        <v/>
      </c>
      <c r="Z60" s="96" t="str">
        <f>IF(S60=1,COUNTIF($S$6:S60,1),"")</f>
        <v/>
      </c>
      <c r="AA60" s="96">
        <f>IF(S60=0,0,IF(AND(OR(r_ini="",AND(ISNUMBER(D60),D60&gt;=r_ini)),OR(r_fim="",AND(ISNUMBER(D60),D60&lt;=r_fim)),OR(r_de="",r_de="(Todos)",F60=r_de)),1,0))</f>
        <v>0</v>
      </c>
      <c r="AB60" s="96" t="str">
        <f>IF(AA60=1,IF(F60="",0,COUNTIF($F$6:$F$505,"&lt;"&amp;F60))*1000+55,"")</f>
        <v/>
      </c>
    </row>
    <row r="61">
      <c r="A61" s="89" t="inlineStr">
        <is>
          <t>CDF-000056</t>
        </is>
      </c>
      <c r="B61" s="90" t="n"/>
      <c r="C61" s="91" t="n"/>
      <c r="D61" s="92" t="n"/>
      <c r="E61" s="91" t="n"/>
      <c r="F61" s="91" t="n"/>
      <c r="G61" s="91" t="n"/>
      <c r="H61" s="91" t="n"/>
      <c r="I61" s="91" t="n"/>
      <c r="J61" s="91" t="n"/>
      <c r="K61" s="92" t="n"/>
      <c r="L61" s="91" t="n"/>
      <c r="M61" s="91" t="n"/>
      <c r="N61" s="91" t="n"/>
      <c r="O61" s="93" t="str">
        <f>IF(S61=0,"",SUMIFS('VÍNCULOS_CDF'!$H$6:$H$1005,'VÍNCULOS_CDF'!$O$6:$O$1005,A61,'VÍNCULOS_CDF'!$V$6:$V$1005,1))</f>
        <v/>
      </c>
      <c r="P61" s="95" t="str">
        <f>IF(S61=0,"",COUNTIFS('VÍNCULOS_CDF'!$O$6:$O$1005,A61,'VÍNCULOS_CDF'!$N$6:$N$1005,1))</f>
        <v/>
      </c>
      <c r="Q61" s="94" t="str">
        <f>IF(S61=0,"",IF(OR(B61="",F61=""),"Informações incompletas",IF(U61=1,"Possível duplicidade",IF(V61=0,"Destinador fora do cadastro",IF(AND(J61="Sim",N(P61)=0),"Necessita revisão de vínculos",IF(X61&gt;0,"Necessita revisão de vínculos",IF(J61="Sim","Conferido",IF(I61="Sim","Localizado, aguardando conferência","Cadastrado"))))))))</f>
        <v/>
      </c>
      <c r="R61" s="95" t="str">
        <f>IF(S61=0,"",COUNTIFS('VÍNCULOS_CDF'!$O$6:$O$1005,A61,'VÍNCULOS_CDF'!$AB$6:$AB$1005,1))</f>
        <v/>
      </c>
      <c r="S61" s="96">
        <f>IF(COUNTA(B61:N61)&gt;0,1,0)</f>
        <v>0</v>
      </c>
      <c r="T61" s="96" t="str">
        <f>IF(AND(S61=1,B61&lt;&gt;""),C61&amp;"|"&amp;TRIM(B61),"")</f>
        <v/>
      </c>
      <c r="U61" s="96">
        <f>IF(T61="",0,IF(SUMPRODUCT(--($T$6:$T$505=T61))&gt;1,1,0))</f>
        <v>0</v>
      </c>
      <c r="V61" s="96">
        <f>IF(F61="",0,IF(ISNUMBER(MATCH(F61,cmp_dest,0)),1,0))</f>
        <v>0</v>
      </c>
      <c r="W61" s="96">
        <f>IF(AND(S61=1,B61&lt;&gt;"",F61&lt;&gt;"",J61="Sim",U61=0),1,0)</f>
        <v>0</v>
      </c>
      <c r="X61" s="96">
        <f>IF(S61=0,0,COUNTIFS('VÍNCULOS_CDF'!$O$6:$O$1005,A61,'VÍNCULOS_CDF'!$Y$6:$Y$1005,1))</f>
        <v>0</v>
      </c>
      <c r="Y61" s="96" t="str">
        <f>IF(S61=1,A61&amp;" | CDF "&amp;IF(B61="","(sem número)",B61)&amp;" | "&amp;IF(F61="","(sem destinador)",F61),"")</f>
        <v/>
      </c>
      <c r="Z61" s="96" t="str">
        <f>IF(S61=1,COUNTIF($S$6:S61,1),"")</f>
        <v/>
      </c>
      <c r="AA61" s="96">
        <f>IF(S61=0,0,IF(AND(OR(r_ini="",AND(ISNUMBER(D61),D61&gt;=r_ini)),OR(r_fim="",AND(ISNUMBER(D61),D61&lt;=r_fim)),OR(r_de="",r_de="(Todos)",F61=r_de)),1,0))</f>
        <v>0</v>
      </c>
      <c r="AB61" s="96" t="str">
        <f>IF(AA61=1,IF(F61="",0,COUNTIF($F$6:$F$505,"&lt;"&amp;F61))*1000+56,"")</f>
        <v/>
      </c>
    </row>
    <row r="62">
      <c r="A62" s="89" t="inlineStr">
        <is>
          <t>CDF-000057</t>
        </is>
      </c>
      <c r="B62" s="90" t="n"/>
      <c r="C62" s="91" t="n"/>
      <c r="D62" s="92" t="n"/>
      <c r="E62" s="91" t="n"/>
      <c r="F62" s="91" t="n"/>
      <c r="G62" s="91" t="n"/>
      <c r="H62" s="91" t="n"/>
      <c r="I62" s="91" t="n"/>
      <c r="J62" s="91" t="n"/>
      <c r="K62" s="92" t="n"/>
      <c r="L62" s="91" t="n"/>
      <c r="M62" s="91" t="n"/>
      <c r="N62" s="91" t="n"/>
      <c r="O62" s="93" t="str">
        <f>IF(S62=0,"",SUMIFS('VÍNCULOS_CDF'!$H$6:$H$1005,'VÍNCULOS_CDF'!$O$6:$O$1005,A62,'VÍNCULOS_CDF'!$V$6:$V$1005,1))</f>
        <v/>
      </c>
      <c r="P62" s="95" t="str">
        <f>IF(S62=0,"",COUNTIFS('VÍNCULOS_CDF'!$O$6:$O$1005,A62,'VÍNCULOS_CDF'!$N$6:$N$1005,1))</f>
        <v/>
      </c>
      <c r="Q62" s="94" t="str">
        <f>IF(S62=0,"",IF(OR(B62="",F62=""),"Informações incompletas",IF(U62=1,"Possível duplicidade",IF(V62=0,"Destinador fora do cadastro",IF(AND(J62="Sim",N(P62)=0),"Necessita revisão de vínculos",IF(X62&gt;0,"Necessita revisão de vínculos",IF(J62="Sim","Conferido",IF(I62="Sim","Localizado, aguardando conferência","Cadastrado"))))))))</f>
        <v/>
      </c>
      <c r="R62" s="95" t="str">
        <f>IF(S62=0,"",COUNTIFS('VÍNCULOS_CDF'!$O$6:$O$1005,A62,'VÍNCULOS_CDF'!$AB$6:$AB$1005,1))</f>
        <v/>
      </c>
      <c r="S62" s="96">
        <f>IF(COUNTA(B62:N62)&gt;0,1,0)</f>
        <v>0</v>
      </c>
      <c r="T62" s="96" t="str">
        <f>IF(AND(S62=1,B62&lt;&gt;""),C62&amp;"|"&amp;TRIM(B62),"")</f>
        <v/>
      </c>
      <c r="U62" s="96">
        <f>IF(T62="",0,IF(SUMPRODUCT(--($T$6:$T$505=T62))&gt;1,1,0))</f>
        <v>0</v>
      </c>
      <c r="V62" s="96">
        <f>IF(F62="",0,IF(ISNUMBER(MATCH(F62,cmp_dest,0)),1,0))</f>
        <v>0</v>
      </c>
      <c r="W62" s="96">
        <f>IF(AND(S62=1,B62&lt;&gt;"",F62&lt;&gt;"",J62="Sim",U62=0),1,0)</f>
        <v>0</v>
      </c>
      <c r="X62" s="96">
        <f>IF(S62=0,0,COUNTIFS('VÍNCULOS_CDF'!$O$6:$O$1005,A62,'VÍNCULOS_CDF'!$Y$6:$Y$1005,1))</f>
        <v>0</v>
      </c>
      <c r="Y62" s="96" t="str">
        <f>IF(S62=1,A62&amp;" | CDF "&amp;IF(B62="","(sem número)",B62)&amp;" | "&amp;IF(F62="","(sem destinador)",F62),"")</f>
        <v/>
      </c>
      <c r="Z62" s="96" t="str">
        <f>IF(S62=1,COUNTIF($S$6:S62,1),"")</f>
        <v/>
      </c>
      <c r="AA62" s="96">
        <f>IF(S62=0,0,IF(AND(OR(r_ini="",AND(ISNUMBER(D62),D62&gt;=r_ini)),OR(r_fim="",AND(ISNUMBER(D62),D62&lt;=r_fim)),OR(r_de="",r_de="(Todos)",F62=r_de)),1,0))</f>
        <v>0</v>
      </c>
      <c r="AB62" s="96" t="str">
        <f>IF(AA62=1,IF(F62="",0,COUNTIF($F$6:$F$505,"&lt;"&amp;F62))*1000+57,"")</f>
        <v/>
      </c>
    </row>
    <row r="63">
      <c r="A63" s="89" t="inlineStr">
        <is>
          <t>CDF-000058</t>
        </is>
      </c>
      <c r="B63" s="90" t="n"/>
      <c r="C63" s="91" t="n"/>
      <c r="D63" s="92" t="n"/>
      <c r="E63" s="91" t="n"/>
      <c r="F63" s="91" t="n"/>
      <c r="G63" s="91" t="n"/>
      <c r="H63" s="91" t="n"/>
      <c r="I63" s="91" t="n"/>
      <c r="J63" s="91" t="n"/>
      <c r="K63" s="92" t="n"/>
      <c r="L63" s="91" t="n"/>
      <c r="M63" s="91" t="n"/>
      <c r="N63" s="91" t="n"/>
      <c r="O63" s="93" t="str">
        <f>IF(S63=0,"",SUMIFS('VÍNCULOS_CDF'!$H$6:$H$1005,'VÍNCULOS_CDF'!$O$6:$O$1005,A63,'VÍNCULOS_CDF'!$V$6:$V$1005,1))</f>
        <v/>
      </c>
      <c r="P63" s="95" t="str">
        <f>IF(S63=0,"",COUNTIFS('VÍNCULOS_CDF'!$O$6:$O$1005,A63,'VÍNCULOS_CDF'!$N$6:$N$1005,1))</f>
        <v/>
      </c>
      <c r="Q63" s="94" t="str">
        <f>IF(S63=0,"",IF(OR(B63="",F63=""),"Informações incompletas",IF(U63=1,"Possível duplicidade",IF(V63=0,"Destinador fora do cadastro",IF(AND(J63="Sim",N(P63)=0),"Necessita revisão de vínculos",IF(X63&gt;0,"Necessita revisão de vínculos",IF(J63="Sim","Conferido",IF(I63="Sim","Localizado, aguardando conferência","Cadastrado"))))))))</f>
        <v/>
      </c>
      <c r="R63" s="95" t="str">
        <f>IF(S63=0,"",COUNTIFS('VÍNCULOS_CDF'!$O$6:$O$1005,A63,'VÍNCULOS_CDF'!$AB$6:$AB$1005,1))</f>
        <v/>
      </c>
      <c r="S63" s="96">
        <f>IF(COUNTA(B63:N63)&gt;0,1,0)</f>
        <v>0</v>
      </c>
      <c r="T63" s="96" t="str">
        <f>IF(AND(S63=1,B63&lt;&gt;""),C63&amp;"|"&amp;TRIM(B63),"")</f>
        <v/>
      </c>
      <c r="U63" s="96">
        <f>IF(T63="",0,IF(SUMPRODUCT(--($T$6:$T$505=T63))&gt;1,1,0))</f>
        <v>0</v>
      </c>
      <c r="V63" s="96">
        <f>IF(F63="",0,IF(ISNUMBER(MATCH(F63,cmp_dest,0)),1,0))</f>
        <v>0</v>
      </c>
      <c r="W63" s="96">
        <f>IF(AND(S63=1,B63&lt;&gt;"",F63&lt;&gt;"",J63="Sim",U63=0),1,0)</f>
        <v>0</v>
      </c>
      <c r="X63" s="96">
        <f>IF(S63=0,0,COUNTIFS('VÍNCULOS_CDF'!$O$6:$O$1005,A63,'VÍNCULOS_CDF'!$Y$6:$Y$1005,1))</f>
        <v>0</v>
      </c>
      <c r="Y63" s="96" t="str">
        <f>IF(S63=1,A63&amp;" | CDF "&amp;IF(B63="","(sem número)",B63)&amp;" | "&amp;IF(F63="","(sem destinador)",F63),"")</f>
        <v/>
      </c>
      <c r="Z63" s="96" t="str">
        <f>IF(S63=1,COUNTIF($S$6:S63,1),"")</f>
        <v/>
      </c>
      <c r="AA63" s="96">
        <f>IF(S63=0,0,IF(AND(OR(r_ini="",AND(ISNUMBER(D63),D63&gt;=r_ini)),OR(r_fim="",AND(ISNUMBER(D63),D63&lt;=r_fim)),OR(r_de="",r_de="(Todos)",F63=r_de)),1,0))</f>
        <v>0</v>
      </c>
      <c r="AB63" s="96" t="str">
        <f>IF(AA63=1,IF(F63="",0,COUNTIF($F$6:$F$505,"&lt;"&amp;F63))*1000+58,"")</f>
        <v/>
      </c>
    </row>
    <row r="64">
      <c r="A64" s="89" t="inlineStr">
        <is>
          <t>CDF-000059</t>
        </is>
      </c>
      <c r="B64" s="90" t="n"/>
      <c r="C64" s="91" t="n"/>
      <c r="D64" s="92" t="n"/>
      <c r="E64" s="91" t="n"/>
      <c r="F64" s="91" t="n"/>
      <c r="G64" s="91" t="n"/>
      <c r="H64" s="91" t="n"/>
      <c r="I64" s="91" t="n"/>
      <c r="J64" s="91" t="n"/>
      <c r="K64" s="92" t="n"/>
      <c r="L64" s="91" t="n"/>
      <c r="M64" s="91" t="n"/>
      <c r="N64" s="91" t="n"/>
      <c r="O64" s="93" t="str">
        <f>IF(S64=0,"",SUMIFS('VÍNCULOS_CDF'!$H$6:$H$1005,'VÍNCULOS_CDF'!$O$6:$O$1005,A64,'VÍNCULOS_CDF'!$V$6:$V$1005,1))</f>
        <v/>
      </c>
      <c r="P64" s="95" t="str">
        <f>IF(S64=0,"",COUNTIFS('VÍNCULOS_CDF'!$O$6:$O$1005,A64,'VÍNCULOS_CDF'!$N$6:$N$1005,1))</f>
        <v/>
      </c>
      <c r="Q64" s="94" t="str">
        <f>IF(S64=0,"",IF(OR(B64="",F64=""),"Informações incompletas",IF(U64=1,"Possível duplicidade",IF(V64=0,"Destinador fora do cadastro",IF(AND(J64="Sim",N(P64)=0),"Necessita revisão de vínculos",IF(X64&gt;0,"Necessita revisão de vínculos",IF(J64="Sim","Conferido",IF(I64="Sim","Localizado, aguardando conferência","Cadastrado"))))))))</f>
        <v/>
      </c>
      <c r="R64" s="95" t="str">
        <f>IF(S64=0,"",COUNTIFS('VÍNCULOS_CDF'!$O$6:$O$1005,A64,'VÍNCULOS_CDF'!$AB$6:$AB$1005,1))</f>
        <v/>
      </c>
      <c r="S64" s="96">
        <f>IF(COUNTA(B64:N64)&gt;0,1,0)</f>
        <v>0</v>
      </c>
      <c r="T64" s="96" t="str">
        <f>IF(AND(S64=1,B64&lt;&gt;""),C64&amp;"|"&amp;TRIM(B64),"")</f>
        <v/>
      </c>
      <c r="U64" s="96">
        <f>IF(T64="",0,IF(SUMPRODUCT(--($T$6:$T$505=T64))&gt;1,1,0))</f>
        <v>0</v>
      </c>
      <c r="V64" s="96">
        <f>IF(F64="",0,IF(ISNUMBER(MATCH(F64,cmp_dest,0)),1,0))</f>
        <v>0</v>
      </c>
      <c r="W64" s="96">
        <f>IF(AND(S64=1,B64&lt;&gt;"",F64&lt;&gt;"",J64="Sim",U64=0),1,0)</f>
        <v>0</v>
      </c>
      <c r="X64" s="96">
        <f>IF(S64=0,0,COUNTIFS('VÍNCULOS_CDF'!$O$6:$O$1005,A64,'VÍNCULOS_CDF'!$Y$6:$Y$1005,1))</f>
        <v>0</v>
      </c>
      <c r="Y64" s="96" t="str">
        <f>IF(S64=1,A64&amp;" | CDF "&amp;IF(B64="","(sem número)",B64)&amp;" | "&amp;IF(F64="","(sem destinador)",F64),"")</f>
        <v/>
      </c>
      <c r="Z64" s="96" t="str">
        <f>IF(S64=1,COUNTIF($S$6:S64,1),"")</f>
        <v/>
      </c>
      <c r="AA64" s="96">
        <f>IF(S64=0,0,IF(AND(OR(r_ini="",AND(ISNUMBER(D64),D64&gt;=r_ini)),OR(r_fim="",AND(ISNUMBER(D64),D64&lt;=r_fim)),OR(r_de="",r_de="(Todos)",F64=r_de)),1,0))</f>
        <v>0</v>
      </c>
      <c r="AB64" s="96" t="str">
        <f>IF(AA64=1,IF(F64="",0,COUNTIF($F$6:$F$505,"&lt;"&amp;F64))*1000+59,"")</f>
        <v/>
      </c>
    </row>
    <row r="65">
      <c r="A65" s="89" t="inlineStr">
        <is>
          <t>CDF-000060</t>
        </is>
      </c>
      <c r="B65" s="90" t="n"/>
      <c r="C65" s="91" t="n"/>
      <c r="D65" s="92" t="n"/>
      <c r="E65" s="91" t="n"/>
      <c r="F65" s="91" t="n"/>
      <c r="G65" s="91" t="n"/>
      <c r="H65" s="91" t="n"/>
      <c r="I65" s="91" t="n"/>
      <c r="J65" s="91" t="n"/>
      <c r="K65" s="92" t="n"/>
      <c r="L65" s="91" t="n"/>
      <c r="M65" s="91" t="n"/>
      <c r="N65" s="91" t="n"/>
      <c r="O65" s="93" t="str">
        <f>IF(S65=0,"",SUMIFS('VÍNCULOS_CDF'!$H$6:$H$1005,'VÍNCULOS_CDF'!$O$6:$O$1005,A65,'VÍNCULOS_CDF'!$V$6:$V$1005,1))</f>
        <v/>
      </c>
      <c r="P65" s="95" t="str">
        <f>IF(S65=0,"",COUNTIFS('VÍNCULOS_CDF'!$O$6:$O$1005,A65,'VÍNCULOS_CDF'!$N$6:$N$1005,1))</f>
        <v/>
      </c>
      <c r="Q65" s="94" t="str">
        <f>IF(S65=0,"",IF(OR(B65="",F65=""),"Informações incompletas",IF(U65=1,"Possível duplicidade",IF(V65=0,"Destinador fora do cadastro",IF(AND(J65="Sim",N(P65)=0),"Necessita revisão de vínculos",IF(X65&gt;0,"Necessita revisão de vínculos",IF(J65="Sim","Conferido",IF(I65="Sim","Localizado, aguardando conferência","Cadastrado"))))))))</f>
        <v/>
      </c>
      <c r="R65" s="95" t="str">
        <f>IF(S65=0,"",COUNTIFS('VÍNCULOS_CDF'!$O$6:$O$1005,A65,'VÍNCULOS_CDF'!$AB$6:$AB$1005,1))</f>
        <v/>
      </c>
      <c r="S65" s="96">
        <f>IF(COUNTA(B65:N65)&gt;0,1,0)</f>
        <v>0</v>
      </c>
      <c r="T65" s="96" t="str">
        <f>IF(AND(S65=1,B65&lt;&gt;""),C65&amp;"|"&amp;TRIM(B65),"")</f>
        <v/>
      </c>
      <c r="U65" s="96">
        <f>IF(T65="",0,IF(SUMPRODUCT(--($T$6:$T$505=T65))&gt;1,1,0))</f>
        <v>0</v>
      </c>
      <c r="V65" s="96">
        <f>IF(F65="",0,IF(ISNUMBER(MATCH(F65,cmp_dest,0)),1,0))</f>
        <v>0</v>
      </c>
      <c r="W65" s="96">
        <f>IF(AND(S65=1,B65&lt;&gt;"",F65&lt;&gt;"",J65="Sim",U65=0),1,0)</f>
        <v>0</v>
      </c>
      <c r="X65" s="96">
        <f>IF(S65=0,0,COUNTIFS('VÍNCULOS_CDF'!$O$6:$O$1005,A65,'VÍNCULOS_CDF'!$Y$6:$Y$1005,1))</f>
        <v>0</v>
      </c>
      <c r="Y65" s="96" t="str">
        <f>IF(S65=1,A65&amp;" | CDF "&amp;IF(B65="","(sem número)",B65)&amp;" | "&amp;IF(F65="","(sem destinador)",F65),"")</f>
        <v/>
      </c>
      <c r="Z65" s="96" t="str">
        <f>IF(S65=1,COUNTIF($S$6:S65,1),"")</f>
        <v/>
      </c>
      <c r="AA65" s="96">
        <f>IF(S65=0,0,IF(AND(OR(r_ini="",AND(ISNUMBER(D65),D65&gt;=r_ini)),OR(r_fim="",AND(ISNUMBER(D65),D65&lt;=r_fim)),OR(r_de="",r_de="(Todos)",F65=r_de)),1,0))</f>
        <v>0</v>
      </c>
      <c r="AB65" s="96" t="str">
        <f>IF(AA65=1,IF(F65="",0,COUNTIF($F$6:$F$505,"&lt;"&amp;F65))*1000+60,"")</f>
        <v/>
      </c>
    </row>
    <row r="66">
      <c r="A66" s="89" t="inlineStr">
        <is>
          <t>CDF-000061</t>
        </is>
      </c>
      <c r="B66" s="90" t="n"/>
      <c r="C66" s="91" t="n"/>
      <c r="D66" s="92" t="n"/>
      <c r="E66" s="91" t="n"/>
      <c r="F66" s="91" t="n"/>
      <c r="G66" s="91" t="n"/>
      <c r="H66" s="91" t="n"/>
      <c r="I66" s="91" t="n"/>
      <c r="J66" s="91" t="n"/>
      <c r="K66" s="92" t="n"/>
      <c r="L66" s="91" t="n"/>
      <c r="M66" s="91" t="n"/>
      <c r="N66" s="91" t="n"/>
      <c r="O66" s="93" t="str">
        <f>IF(S66=0,"",SUMIFS('VÍNCULOS_CDF'!$H$6:$H$1005,'VÍNCULOS_CDF'!$O$6:$O$1005,A66,'VÍNCULOS_CDF'!$V$6:$V$1005,1))</f>
        <v/>
      </c>
      <c r="P66" s="95" t="str">
        <f>IF(S66=0,"",COUNTIFS('VÍNCULOS_CDF'!$O$6:$O$1005,A66,'VÍNCULOS_CDF'!$N$6:$N$1005,1))</f>
        <v/>
      </c>
      <c r="Q66" s="94" t="str">
        <f>IF(S66=0,"",IF(OR(B66="",F66=""),"Informações incompletas",IF(U66=1,"Possível duplicidade",IF(V66=0,"Destinador fora do cadastro",IF(AND(J66="Sim",N(P66)=0),"Necessita revisão de vínculos",IF(X66&gt;0,"Necessita revisão de vínculos",IF(J66="Sim","Conferido",IF(I66="Sim","Localizado, aguardando conferência","Cadastrado"))))))))</f>
        <v/>
      </c>
      <c r="R66" s="95" t="str">
        <f>IF(S66=0,"",COUNTIFS('VÍNCULOS_CDF'!$O$6:$O$1005,A66,'VÍNCULOS_CDF'!$AB$6:$AB$1005,1))</f>
        <v/>
      </c>
      <c r="S66" s="96">
        <f>IF(COUNTA(B66:N66)&gt;0,1,0)</f>
        <v>0</v>
      </c>
      <c r="T66" s="96" t="str">
        <f>IF(AND(S66=1,B66&lt;&gt;""),C66&amp;"|"&amp;TRIM(B66),"")</f>
        <v/>
      </c>
      <c r="U66" s="96">
        <f>IF(T66="",0,IF(SUMPRODUCT(--($T$6:$T$505=T66))&gt;1,1,0))</f>
        <v>0</v>
      </c>
      <c r="V66" s="96">
        <f>IF(F66="",0,IF(ISNUMBER(MATCH(F66,cmp_dest,0)),1,0))</f>
        <v>0</v>
      </c>
      <c r="W66" s="96">
        <f>IF(AND(S66=1,B66&lt;&gt;"",F66&lt;&gt;"",J66="Sim",U66=0),1,0)</f>
        <v>0</v>
      </c>
      <c r="X66" s="96">
        <f>IF(S66=0,0,COUNTIFS('VÍNCULOS_CDF'!$O$6:$O$1005,A66,'VÍNCULOS_CDF'!$Y$6:$Y$1005,1))</f>
        <v>0</v>
      </c>
      <c r="Y66" s="96" t="str">
        <f>IF(S66=1,A66&amp;" | CDF "&amp;IF(B66="","(sem número)",B66)&amp;" | "&amp;IF(F66="","(sem destinador)",F66),"")</f>
        <v/>
      </c>
      <c r="Z66" s="96" t="str">
        <f>IF(S66=1,COUNTIF($S$6:S66,1),"")</f>
        <v/>
      </c>
      <c r="AA66" s="96">
        <f>IF(S66=0,0,IF(AND(OR(r_ini="",AND(ISNUMBER(D66),D66&gt;=r_ini)),OR(r_fim="",AND(ISNUMBER(D66),D66&lt;=r_fim)),OR(r_de="",r_de="(Todos)",F66=r_de)),1,0))</f>
        <v>0</v>
      </c>
      <c r="AB66" s="96" t="str">
        <f>IF(AA66=1,IF(F66="",0,COUNTIF($F$6:$F$505,"&lt;"&amp;F66))*1000+61,"")</f>
        <v/>
      </c>
    </row>
    <row r="67">
      <c r="A67" s="89" t="inlineStr">
        <is>
          <t>CDF-000062</t>
        </is>
      </c>
      <c r="B67" s="90" t="n"/>
      <c r="C67" s="91" t="n"/>
      <c r="D67" s="92" t="n"/>
      <c r="E67" s="91" t="n"/>
      <c r="F67" s="91" t="n"/>
      <c r="G67" s="91" t="n"/>
      <c r="H67" s="91" t="n"/>
      <c r="I67" s="91" t="n"/>
      <c r="J67" s="91" t="n"/>
      <c r="K67" s="92" t="n"/>
      <c r="L67" s="91" t="n"/>
      <c r="M67" s="91" t="n"/>
      <c r="N67" s="91" t="n"/>
      <c r="O67" s="93" t="str">
        <f>IF(S67=0,"",SUMIFS('VÍNCULOS_CDF'!$H$6:$H$1005,'VÍNCULOS_CDF'!$O$6:$O$1005,A67,'VÍNCULOS_CDF'!$V$6:$V$1005,1))</f>
        <v/>
      </c>
      <c r="P67" s="95" t="str">
        <f>IF(S67=0,"",COUNTIFS('VÍNCULOS_CDF'!$O$6:$O$1005,A67,'VÍNCULOS_CDF'!$N$6:$N$1005,1))</f>
        <v/>
      </c>
      <c r="Q67" s="94" t="str">
        <f>IF(S67=0,"",IF(OR(B67="",F67=""),"Informações incompletas",IF(U67=1,"Possível duplicidade",IF(V67=0,"Destinador fora do cadastro",IF(AND(J67="Sim",N(P67)=0),"Necessita revisão de vínculos",IF(X67&gt;0,"Necessita revisão de vínculos",IF(J67="Sim","Conferido",IF(I67="Sim","Localizado, aguardando conferência","Cadastrado"))))))))</f>
        <v/>
      </c>
      <c r="R67" s="95" t="str">
        <f>IF(S67=0,"",COUNTIFS('VÍNCULOS_CDF'!$O$6:$O$1005,A67,'VÍNCULOS_CDF'!$AB$6:$AB$1005,1))</f>
        <v/>
      </c>
      <c r="S67" s="96">
        <f>IF(COUNTA(B67:N67)&gt;0,1,0)</f>
        <v>0</v>
      </c>
      <c r="T67" s="96" t="str">
        <f>IF(AND(S67=1,B67&lt;&gt;""),C67&amp;"|"&amp;TRIM(B67),"")</f>
        <v/>
      </c>
      <c r="U67" s="96">
        <f>IF(T67="",0,IF(SUMPRODUCT(--($T$6:$T$505=T67))&gt;1,1,0))</f>
        <v>0</v>
      </c>
      <c r="V67" s="96">
        <f>IF(F67="",0,IF(ISNUMBER(MATCH(F67,cmp_dest,0)),1,0))</f>
        <v>0</v>
      </c>
      <c r="W67" s="96">
        <f>IF(AND(S67=1,B67&lt;&gt;"",F67&lt;&gt;"",J67="Sim",U67=0),1,0)</f>
        <v>0</v>
      </c>
      <c r="X67" s="96">
        <f>IF(S67=0,0,COUNTIFS('VÍNCULOS_CDF'!$O$6:$O$1005,A67,'VÍNCULOS_CDF'!$Y$6:$Y$1005,1))</f>
        <v>0</v>
      </c>
      <c r="Y67" s="96" t="str">
        <f>IF(S67=1,A67&amp;" | CDF "&amp;IF(B67="","(sem número)",B67)&amp;" | "&amp;IF(F67="","(sem destinador)",F67),"")</f>
        <v/>
      </c>
      <c r="Z67" s="96" t="str">
        <f>IF(S67=1,COUNTIF($S$6:S67,1),"")</f>
        <v/>
      </c>
      <c r="AA67" s="96">
        <f>IF(S67=0,0,IF(AND(OR(r_ini="",AND(ISNUMBER(D67),D67&gt;=r_ini)),OR(r_fim="",AND(ISNUMBER(D67),D67&lt;=r_fim)),OR(r_de="",r_de="(Todos)",F67=r_de)),1,0))</f>
        <v>0</v>
      </c>
      <c r="AB67" s="96" t="str">
        <f>IF(AA67=1,IF(F67="",0,COUNTIF($F$6:$F$505,"&lt;"&amp;F67))*1000+62,"")</f>
        <v/>
      </c>
    </row>
    <row r="68">
      <c r="A68" s="89" t="inlineStr">
        <is>
          <t>CDF-000063</t>
        </is>
      </c>
      <c r="B68" s="90" t="n"/>
      <c r="C68" s="91" t="n"/>
      <c r="D68" s="92" t="n"/>
      <c r="E68" s="91" t="n"/>
      <c r="F68" s="91" t="n"/>
      <c r="G68" s="91" t="n"/>
      <c r="H68" s="91" t="n"/>
      <c r="I68" s="91" t="n"/>
      <c r="J68" s="91" t="n"/>
      <c r="K68" s="92" t="n"/>
      <c r="L68" s="91" t="n"/>
      <c r="M68" s="91" t="n"/>
      <c r="N68" s="91" t="n"/>
      <c r="O68" s="93" t="str">
        <f>IF(S68=0,"",SUMIFS('VÍNCULOS_CDF'!$H$6:$H$1005,'VÍNCULOS_CDF'!$O$6:$O$1005,A68,'VÍNCULOS_CDF'!$V$6:$V$1005,1))</f>
        <v/>
      </c>
      <c r="P68" s="95" t="str">
        <f>IF(S68=0,"",COUNTIFS('VÍNCULOS_CDF'!$O$6:$O$1005,A68,'VÍNCULOS_CDF'!$N$6:$N$1005,1))</f>
        <v/>
      </c>
      <c r="Q68" s="94" t="str">
        <f>IF(S68=0,"",IF(OR(B68="",F68=""),"Informações incompletas",IF(U68=1,"Possível duplicidade",IF(V68=0,"Destinador fora do cadastro",IF(AND(J68="Sim",N(P68)=0),"Necessita revisão de vínculos",IF(X68&gt;0,"Necessita revisão de vínculos",IF(J68="Sim","Conferido",IF(I68="Sim","Localizado, aguardando conferência","Cadastrado"))))))))</f>
        <v/>
      </c>
      <c r="R68" s="95" t="str">
        <f>IF(S68=0,"",COUNTIFS('VÍNCULOS_CDF'!$O$6:$O$1005,A68,'VÍNCULOS_CDF'!$AB$6:$AB$1005,1))</f>
        <v/>
      </c>
      <c r="S68" s="96">
        <f>IF(COUNTA(B68:N68)&gt;0,1,0)</f>
        <v>0</v>
      </c>
      <c r="T68" s="96" t="str">
        <f>IF(AND(S68=1,B68&lt;&gt;""),C68&amp;"|"&amp;TRIM(B68),"")</f>
        <v/>
      </c>
      <c r="U68" s="96">
        <f>IF(T68="",0,IF(SUMPRODUCT(--($T$6:$T$505=T68))&gt;1,1,0))</f>
        <v>0</v>
      </c>
      <c r="V68" s="96">
        <f>IF(F68="",0,IF(ISNUMBER(MATCH(F68,cmp_dest,0)),1,0))</f>
        <v>0</v>
      </c>
      <c r="W68" s="96">
        <f>IF(AND(S68=1,B68&lt;&gt;"",F68&lt;&gt;"",J68="Sim",U68=0),1,0)</f>
        <v>0</v>
      </c>
      <c r="X68" s="96">
        <f>IF(S68=0,0,COUNTIFS('VÍNCULOS_CDF'!$O$6:$O$1005,A68,'VÍNCULOS_CDF'!$Y$6:$Y$1005,1))</f>
        <v>0</v>
      </c>
      <c r="Y68" s="96" t="str">
        <f>IF(S68=1,A68&amp;" | CDF "&amp;IF(B68="","(sem número)",B68)&amp;" | "&amp;IF(F68="","(sem destinador)",F68),"")</f>
        <v/>
      </c>
      <c r="Z68" s="96" t="str">
        <f>IF(S68=1,COUNTIF($S$6:S68,1),"")</f>
        <v/>
      </c>
      <c r="AA68" s="96">
        <f>IF(S68=0,0,IF(AND(OR(r_ini="",AND(ISNUMBER(D68),D68&gt;=r_ini)),OR(r_fim="",AND(ISNUMBER(D68),D68&lt;=r_fim)),OR(r_de="",r_de="(Todos)",F68=r_de)),1,0))</f>
        <v>0</v>
      </c>
      <c r="AB68" s="96" t="str">
        <f>IF(AA68=1,IF(F68="",0,COUNTIF($F$6:$F$505,"&lt;"&amp;F68))*1000+63,"")</f>
        <v/>
      </c>
    </row>
    <row r="69">
      <c r="A69" s="89" t="inlineStr">
        <is>
          <t>CDF-000064</t>
        </is>
      </c>
      <c r="B69" s="90" t="n"/>
      <c r="C69" s="91" t="n"/>
      <c r="D69" s="92" t="n"/>
      <c r="E69" s="91" t="n"/>
      <c r="F69" s="91" t="n"/>
      <c r="G69" s="91" t="n"/>
      <c r="H69" s="91" t="n"/>
      <c r="I69" s="91" t="n"/>
      <c r="J69" s="91" t="n"/>
      <c r="K69" s="92" t="n"/>
      <c r="L69" s="91" t="n"/>
      <c r="M69" s="91" t="n"/>
      <c r="N69" s="91" t="n"/>
      <c r="O69" s="93" t="str">
        <f>IF(S69=0,"",SUMIFS('VÍNCULOS_CDF'!$H$6:$H$1005,'VÍNCULOS_CDF'!$O$6:$O$1005,A69,'VÍNCULOS_CDF'!$V$6:$V$1005,1))</f>
        <v/>
      </c>
      <c r="P69" s="95" t="str">
        <f>IF(S69=0,"",COUNTIFS('VÍNCULOS_CDF'!$O$6:$O$1005,A69,'VÍNCULOS_CDF'!$N$6:$N$1005,1))</f>
        <v/>
      </c>
      <c r="Q69" s="94" t="str">
        <f>IF(S69=0,"",IF(OR(B69="",F69=""),"Informações incompletas",IF(U69=1,"Possível duplicidade",IF(V69=0,"Destinador fora do cadastro",IF(AND(J69="Sim",N(P69)=0),"Necessita revisão de vínculos",IF(X69&gt;0,"Necessita revisão de vínculos",IF(J69="Sim","Conferido",IF(I69="Sim","Localizado, aguardando conferência","Cadastrado"))))))))</f>
        <v/>
      </c>
      <c r="R69" s="95" t="str">
        <f>IF(S69=0,"",COUNTIFS('VÍNCULOS_CDF'!$O$6:$O$1005,A69,'VÍNCULOS_CDF'!$AB$6:$AB$1005,1))</f>
        <v/>
      </c>
      <c r="S69" s="96">
        <f>IF(COUNTA(B69:N69)&gt;0,1,0)</f>
        <v>0</v>
      </c>
      <c r="T69" s="96" t="str">
        <f>IF(AND(S69=1,B69&lt;&gt;""),C69&amp;"|"&amp;TRIM(B69),"")</f>
        <v/>
      </c>
      <c r="U69" s="96">
        <f>IF(T69="",0,IF(SUMPRODUCT(--($T$6:$T$505=T69))&gt;1,1,0))</f>
        <v>0</v>
      </c>
      <c r="V69" s="96">
        <f>IF(F69="",0,IF(ISNUMBER(MATCH(F69,cmp_dest,0)),1,0))</f>
        <v>0</v>
      </c>
      <c r="W69" s="96">
        <f>IF(AND(S69=1,B69&lt;&gt;"",F69&lt;&gt;"",J69="Sim",U69=0),1,0)</f>
        <v>0</v>
      </c>
      <c r="X69" s="96">
        <f>IF(S69=0,0,COUNTIFS('VÍNCULOS_CDF'!$O$6:$O$1005,A69,'VÍNCULOS_CDF'!$Y$6:$Y$1005,1))</f>
        <v>0</v>
      </c>
      <c r="Y69" s="96" t="str">
        <f>IF(S69=1,A69&amp;" | CDF "&amp;IF(B69="","(sem número)",B69)&amp;" | "&amp;IF(F69="","(sem destinador)",F69),"")</f>
        <v/>
      </c>
      <c r="Z69" s="96" t="str">
        <f>IF(S69=1,COUNTIF($S$6:S69,1),"")</f>
        <v/>
      </c>
      <c r="AA69" s="96">
        <f>IF(S69=0,0,IF(AND(OR(r_ini="",AND(ISNUMBER(D69),D69&gt;=r_ini)),OR(r_fim="",AND(ISNUMBER(D69),D69&lt;=r_fim)),OR(r_de="",r_de="(Todos)",F69=r_de)),1,0))</f>
        <v>0</v>
      </c>
      <c r="AB69" s="96" t="str">
        <f>IF(AA69=1,IF(F69="",0,COUNTIF($F$6:$F$505,"&lt;"&amp;F69))*1000+64,"")</f>
        <v/>
      </c>
    </row>
    <row r="70">
      <c r="A70" s="89" t="inlineStr">
        <is>
          <t>CDF-000065</t>
        </is>
      </c>
      <c r="B70" s="90" t="n"/>
      <c r="C70" s="91" t="n"/>
      <c r="D70" s="92" t="n"/>
      <c r="E70" s="91" t="n"/>
      <c r="F70" s="91" t="n"/>
      <c r="G70" s="91" t="n"/>
      <c r="H70" s="91" t="n"/>
      <c r="I70" s="91" t="n"/>
      <c r="J70" s="91" t="n"/>
      <c r="K70" s="92" t="n"/>
      <c r="L70" s="91" t="n"/>
      <c r="M70" s="91" t="n"/>
      <c r="N70" s="91" t="n"/>
      <c r="O70" s="93" t="str">
        <f>IF(S70=0,"",SUMIFS('VÍNCULOS_CDF'!$H$6:$H$1005,'VÍNCULOS_CDF'!$O$6:$O$1005,A70,'VÍNCULOS_CDF'!$V$6:$V$1005,1))</f>
        <v/>
      </c>
      <c r="P70" s="95" t="str">
        <f>IF(S70=0,"",COUNTIFS('VÍNCULOS_CDF'!$O$6:$O$1005,A70,'VÍNCULOS_CDF'!$N$6:$N$1005,1))</f>
        <v/>
      </c>
      <c r="Q70" s="94" t="str">
        <f>IF(S70=0,"",IF(OR(B70="",F70=""),"Informações incompletas",IF(U70=1,"Possível duplicidade",IF(V70=0,"Destinador fora do cadastro",IF(AND(J70="Sim",N(P70)=0),"Necessita revisão de vínculos",IF(X70&gt;0,"Necessita revisão de vínculos",IF(J70="Sim","Conferido",IF(I70="Sim","Localizado, aguardando conferência","Cadastrado"))))))))</f>
        <v/>
      </c>
      <c r="R70" s="95" t="str">
        <f>IF(S70=0,"",COUNTIFS('VÍNCULOS_CDF'!$O$6:$O$1005,A70,'VÍNCULOS_CDF'!$AB$6:$AB$1005,1))</f>
        <v/>
      </c>
      <c r="S70" s="96">
        <f>IF(COUNTA(B70:N70)&gt;0,1,0)</f>
        <v>0</v>
      </c>
      <c r="T70" s="96" t="str">
        <f>IF(AND(S70=1,B70&lt;&gt;""),C70&amp;"|"&amp;TRIM(B70),"")</f>
        <v/>
      </c>
      <c r="U70" s="96">
        <f>IF(T70="",0,IF(SUMPRODUCT(--($T$6:$T$505=T70))&gt;1,1,0))</f>
        <v>0</v>
      </c>
      <c r="V70" s="96">
        <f>IF(F70="",0,IF(ISNUMBER(MATCH(F70,cmp_dest,0)),1,0))</f>
        <v>0</v>
      </c>
      <c r="W70" s="96">
        <f>IF(AND(S70=1,B70&lt;&gt;"",F70&lt;&gt;"",J70="Sim",U70=0),1,0)</f>
        <v>0</v>
      </c>
      <c r="X70" s="96">
        <f>IF(S70=0,0,COUNTIFS('VÍNCULOS_CDF'!$O$6:$O$1005,A70,'VÍNCULOS_CDF'!$Y$6:$Y$1005,1))</f>
        <v>0</v>
      </c>
      <c r="Y70" s="96" t="str">
        <f>IF(S70=1,A70&amp;" | CDF "&amp;IF(B70="","(sem número)",B70)&amp;" | "&amp;IF(F70="","(sem destinador)",F70),"")</f>
        <v/>
      </c>
      <c r="Z70" s="96" t="str">
        <f>IF(S70=1,COUNTIF($S$6:S70,1),"")</f>
        <v/>
      </c>
      <c r="AA70" s="96">
        <f>IF(S70=0,0,IF(AND(OR(r_ini="",AND(ISNUMBER(D70),D70&gt;=r_ini)),OR(r_fim="",AND(ISNUMBER(D70),D70&lt;=r_fim)),OR(r_de="",r_de="(Todos)",F70=r_de)),1,0))</f>
        <v>0</v>
      </c>
      <c r="AB70" s="96" t="str">
        <f>IF(AA70=1,IF(F70="",0,COUNTIF($F$6:$F$505,"&lt;"&amp;F70))*1000+65,"")</f>
        <v/>
      </c>
    </row>
    <row r="71">
      <c r="A71" s="89" t="inlineStr">
        <is>
          <t>CDF-000066</t>
        </is>
      </c>
      <c r="B71" s="90" t="n"/>
      <c r="C71" s="91" t="n"/>
      <c r="D71" s="92" t="n"/>
      <c r="E71" s="91" t="n"/>
      <c r="F71" s="91" t="n"/>
      <c r="G71" s="91" t="n"/>
      <c r="H71" s="91" t="n"/>
      <c r="I71" s="91" t="n"/>
      <c r="J71" s="91" t="n"/>
      <c r="K71" s="92" t="n"/>
      <c r="L71" s="91" t="n"/>
      <c r="M71" s="91" t="n"/>
      <c r="N71" s="91" t="n"/>
      <c r="O71" s="93" t="str">
        <f>IF(S71=0,"",SUMIFS('VÍNCULOS_CDF'!$H$6:$H$1005,'VÍNCULOS_CDF'!$O$6:$O$1005,A71,'VÍNCULOS_CDF'!$V$6:$V$1005,1))</f>
        <v/>
      </c>
      <c r="P71" s="95" t="str">
        <f>IF(S71=0,"",COUNTIFS('VÍNCULOS_CDF'!$O$6:$O$1005,A71,'VÍNCULOS_CDF'!$N$6:$N$1005,1))</f>
        <v/>
      </c>
      <c r="Q71" s="94" t="str">
        <f>IF(S71=0,"",IF(OR(B71="",F71=""),"Informações incompletas",IF(U71=1,"Possível duplicidade",IF(V71=0,"Destinador fora do cadastro",IF(AND(J71="Sim",N(P71)=0),"Necessita revisão de vínculos",IF(X71&gt;0,"Necessita revisão de vínculos",IF(J71="Sim","Conferido",IF(I71="Sim","Localizado, aguardando conferência","Cadastrado"))))))))</f>
        <v/>
      </c>
      <c r="R71" s="95" t="str">
        <f>IF(S71=0,"",COUNTIFS('VÍNCULOS_CDF'!$O$6:$O$1005,A71,'VÍNCULOS_CDF'!$AB$6:$AB$1005,1))</f>
        <v/>
      </c>
      <c r="S71" s="96">
        <f>IF(COUNTA(B71:N71)&gt;0,1,0)</f>
        <v>0</v>
      </c>
      <c r="T71" s="96" t="str">
        <f>IF(AND(S71=1,B71&lt;&gt;""),C71&amp;"|"&amp;TRIM(B71),"")</f>
        <v/>
      </c>
      <c r="U71" s="96">
        <f>IF(T71="",0,IF(SUMPRODUCT(--($T$6:$T$505=T71))&gt;1,1,0))</f>
        <v>0</v>
      </c>
      <c r="V71" s="96">
        <f>IF(F71="",0,IF(ISNUMBER(MATCH(F71,cmp_dest,0)),1,0))</f>
        <v>0</v>
      </c>
      <c r="W71" s="96">
        <f>IF(AND(S71=1,B71&lt;&gt;"",F71&lt;&gt;"",J71="Sim",U71=0),1,0)</f>
        <v>0</v>
      </c>
      <c r="X71" s="96">
        <f>IF(S71=0,0,COUNTIFS('VÍNCULOS_CDF'!$O$6:$O$1005,A71,'VÍNCULOS_CDF'!$Y$6:$Y$1005,1))</f>
        <v>0</v>
      </c>
      <c r="Y71" s="96" t="str">
        <f>IF(S71=1,A71&amp;" | CDF "&amp;IF(B71="","(sem número)",B71)&amp;" | "&amp;IF(F71="","(sem destinador)",F71),"")</f>
        <v/>
      </c>
      <c r="Z71" s="96" t="str">
        <f>IF(S71=1,COUNTIF($S$6:S71,1),"")</f>
        <v/>
      </c>
      <c r="AA71" s="96">
        <f>IF(S71=0,0,IF(AND(OR(r_ini="",AND(ISNUMBER(D71),D71&gt;=r_ini)),OR(r_fim="",AND(ISNUMBER(D71),D71&lt;=r_fim)),OR(r_de="",r_de="(Todos)",F71=r_de)),1,0))</f>
        <v>0</v>
      </c>
      <c r="AB71" s="96" t="str">
        <f>IF(AA71=1,IF(F71="",0,COUNTIF($F$6:$F$505,"&lt;"&amp;F71))*1000+66,"")</f>
        <v/>
      </c>
    </row>
    <row r="72">
      <c r="A72" s="89" t="inlineStr">
        <is>
          <t>CDF-000067</t>
        </is>
      </c>
      <c r="B72" s="90" t="n"/>
      <c r="C72" s="91" t="n"/>
      <c r="D72" s="92" t="n"/>
      <c r="E72" s="91" t="n"/>
      <c r="F72" s="91" t="n"/>
      <c r="G72" s="91" t="n"/>
      <c r="H72" s="91" t="n"/>
      <c r="I72" s="91" t="n"/>
      <c r="J72" s="91" t="n"/>
      <c r="K72" s="92" t="n"/>
      <c r="L72" s="91" t="n"/>
      <c r="M72" s="91" t="n"/>
      <c r="N72" s="91" t="n"/>
      <c r="O72" s="93" t="str">
        <f>IF(S72=0,"",SUMIFS('VÍNCULOS_CDF'!$H$6:$H$1005,'VÍNCULOS_CDF'!$O$6:$O$1005,A72,'VÍNCULOS_CDF'!$V$6:$V$1005,1))</f>
        <v/>
      </c>
      <c r="P72" s="95" t="str">
        <f>IF(S72=0,"",COUNTIFS('VÍNCULOS_CDF'!$O$6:$O$1005,A72,'VÍNCULOS_CDF'!$N$6:$N$1005,1))</f>
        <v/>
      </c>
      <c r="Q72" s="94" t="str">
        <f>IF(S72=0,"",IF(OR(B72="",F72=""),"Informações incompletas",IF(U72=1,"Possível duplicidade",IF(V72=0,"Destinador fora do cadastro",IF(AND(J72="Sim",N(P72)=0),"Necessita revisão de vínculos",IF(X72&gt;0,"Necessita revisão de vínculos",IF(J72="Sim","Conferido",IF(I72="Sim","Localizado, aguardando conferência","Cadastrado"))))))))</f>
        <v/>
      </c>
      <c r="R72" s="95" t="str">
        <f>IF(S72=0,"",COUNTIFS('VÍNCULOS_CDF'!$O$6:$O$1005,A72,'VÍNCULOS_CDF'!$AB$6:$AB$1005,1))</f>
        <v/>
      </c>
      <c r="S72" s="96">
        <f>IF(COUNTA(B72:N72)&gt;0,1,0)</f>
        <v>0</v>
      </c>
      <c r="T72" s="96" t="str">
        <f>IF(AND(S72=1,B72&lt;&gt;""),C72&amp;"|"&amp;TRIM(B72),"")</f>
        <v/>
      </c>
      <c r="U72" s="96">
        <f>IF(T72="",0,IF(SUMPRODUCT(--($T$6:$T$505=T72))&gt;1,1,0))</f>
        <v>0</v>
      </c>
      <c r="V72" s="96">
        <f>IF(F72="",0,IF(ISNUMBER(MATCH(F72,cmp_dest,0)),1,0))</f>
        <v>0</v>
      </c>
      <c r="W72" s="96">
        <f>IF(AND(S72=1,B72&lt;&gt;"",F72&lt;&gt;"",J72="Sim",U72=0),1,0)</f>
        <v>0</v>
      </c>
      <c r="X72" s="96">
        <f>IF(S72=0,0,COUNTIFS('VÍNCULOS_CDF'!$O$6:$O$1005,A72,'VÍNCULOS_CDF'!$Y$6:$Y$1005,1))</f>
        <v>0</v>
      </c>
      <c r="Y72" s="96" t="str">
        <f>IF(S72=1,A72&amp;" | CDF "&amp;IF(B72="","(sem número)",B72)&amp;" | "&amp;IF(F72="","(sem destinador)",F72),"")</f>
        <v/>
      </c>
      <c r="Z72" s="96" t="str">
        <f>IF(S72=1,COUNTIF($S$6:S72,1),"")</f>
        <v/>
      </c>
      <c r="AA72" s="96">
        <f>IF(S72=0,0,IF(AND(OR(r_ini="",AND(ISNUMBER(D72),D72&gt;=r_ini)),OR(r_fim="",AND(ISNUMBER(D72),D72&lt;=r_fim)),OR(r_de="",r_de="(Todos)",F72=r_de)),1,0))</f>
        <v>0</v>
      </c>
      <c r="AB72" s="96" t="str">
        <f>IF(AA72=1,IF(F72="",0,COUNTIF($F$6:$F$505,"&lt;"&amp;F72))*1000+67,"")</f>
        <v/>
      </c>
    </row>
    <row r="73">
      <c r="A73" s="89" t="inlineStr">
        <is>
          <t>CDF-000068</t>
        </is>
      </c>
      <c r="B73" s="90" t="n"/>
      <c r="C73" s="91" t="n"/>
      <c r="D73" s="92" t="n"/>
      <c r="E73" s="91" t="n"/>
      <c r="F73" s="91" t="n"/>
      <c r="G73" s="91" t="n"/>
      <c r="H73" s="91" t="n"/>
      <c r="I73" s="91" t="n"/>
      <c r="J73" s="91" t="n"/>
      <c r="K73" s="92" t="n"/>
      <c r="L73" s="91" t="n"/>
      <c r="M73" s="91" t="n"/>
      <c r="N73" s="91" t="n"/>
      <c r="O73" s="93" t="str">
        <f>IF(S73=0,"",SUMIFS('VÍNCULOS_CDF'!$H$6:$H$1005,'VÍNCULOS_CDF'!$O$6:$O$1005,A73,'VÍNCULOS_CDF'!$V$6:$V$1005,1))</f>
        <v/>
      </c>
      <c r="P73" s="95" t="str">
        <f>IF(S73=0,"",COUNTIFS('VÍNCULOS_CDF'!$O$6:$O$1005,A73,'VÍNCULOS_CDF'!$N$6:$N$1005,1))</f>
        <v/>
      </c>
      <c r="Q73" s="94" t="str">
        <f>IF(S73=0,"",IF(OR(B73="",F73=""),"Informações incompletas",IF(U73=1,"Possível duplicidade",IF(V73=0,"Destinador fora do cadastro",IF(AND(J73="Sim",N(P73)=0),"Necessita revisão de vínculos",IF(X73&gt;0,"Necessita revisão de vínculos",IF(J73="Sim","Conferido",IF(I73="Sim","Localizado, aguardando conferência","Cadastrado"))))))))</f>
        <v/>
      </c>
      <c r="R73" s="95" t="str">
        <f>IF(S73=0,"",COUNTIFS('VÍNCULOS_CDF'!$O$6:$O$1005,A73,'VÍNCULOS_CDF'!$AB$6:$AB$1005,1))</f>
        <v/>
      </c>
      <c r="S73" s="96">
        <f>IF(COUNTA(B73:N73)&gt;0,1,0)</f>
        <v>0</v>
      </c>
      <c r="T73" s="96" t="str">
        <f>IF(AND(S73=1,B73&lt;&gt;""),C73&amp;"|"&amp;TRIM(B73),"")</f>
        <v/>
      </c>
      <c r="U73" s="96">
        <f>IF(T73="",0,IF(SUMPRODUCT(--($T$6:$T$505=T73))&gt;1,1,0))</f>
        <v>0</v>
      </c>
      <c r="V73" s="96">
        <f>IF(F73="",0,IF(ISNUMBER(MATCH(F73,cmp_dest,0)),1,0))</f>
        <v>0</v>
      </c>
      <c r="W73" s="96">
        <f>IF(AND(S73=1,B73&lt;&gt;"",F73&lt;&gt;"",J73="Sim",U73=0),1,0)</f>
        <v>0</v>
      </c>
      <c r="X73" s="96">
        <f>IF(S73=0,0,COUNTIFS('VÍNCULOS_CDF'!$O$6:$O$1005,A73,'VÍNCULOS_CDF'!$Y$6:$Y$1005,1))</f>
        <v>0</v>
      </c>
      <c r="Y73" s="96" t="str">
        <f>IF(S73=1,A73&amp;" | CDF "&amp;IF(B73="","(sem número)",B73)&amp;" | "&amp;IF(F73="","(sem destinador)",F73),"")</f>
        <v/>
      </c>
      <c r="Z73" s="96" t="str">
        <f>IF(S73=1,COUNTIF($S$6:S73,1),"")</f>
        <v/>
      </c>
      <c r="AA73" s="96">
        <f>IF(S73=0,0,IF(AND(OR(r_ini="",AND(ISNUMBER(D73),D73&gt;=r_ini)),OR(r_fim="",AND(ISNUMBER(D73),D73&lt;=r_fim)),OR(r_de="",r_de="(Todos)",F73=r_de)),1,0))</f>
        <v>0</v>
      </c>
      <c r="AB73" s="96" t="str">
        <f>IF(AA73=1,IF(F73="",0,COUNTIF($F$6:$F$505,"&lt;"&amp;F73))*1000+68,"")</f>
        <v/>
      </c>
    </row>
    <row r="74">
      <c r="A74" s="89" t="inlineStr">
        <is>
          <t>CDF-000069</t>
        </is>
      </c>
      <c r="B74" s="90" t="n"/>
      <c r="C74" s="91" t="n"/>
      <c r="D74" s="92" t="n"/>
      <c r="E74" s="91" t="n"/>
      <c r="F74" s="91" t="n"/>
      <c r="G74" s="91" t="n"/>
      <c r="H74" s="91" t="n"/>
      <c r="I74" s="91" t="n"/>
      <c r="J74" s="91" t="n"/>
      <c r="K74" s="92" t="n"/>
      <c r="L74" s="91" t="n"/>
      <c r="M74" s="91" t="n"/>
      <c r="N74" s="91" t="n"/>
      <c r="O74" s="93" t="str">
        <f>IF(S74=0,"",SUMIFS('VÍNCULOS_CDF'!$H$6:$H$1005,'VÍNCULOS_CDF'!$O$6:$O$1005,A74,'VÍNCULOS_CDF'!$V$6:$V$1005,1))</f>
        <v/>
      </c>
      <c r="P74" s="95" t="str">
        <f>IF(S74=0,"",COUNTIFS('VÍNCULOS_CDF'!$O$6:$O$1005,A74,'VÍNCULOS_CDF'!$N$6:$N$1005,1))</f>
        <v/>
      </c>
      <c r="Q74" s="94" t="str">
        <f>IF(S74=0,"",IF(OR(B74="",F74=""),"Informações incompletas",IF(U74=1,"Possível duplicidade",IF(V74=0,"Destinador fora do cadastro",IF(AND(J74="Sim",N(P74)=0),"Necessita revisão de vínculos",IF(X74&gt;0,"Necessita revisão de vínculos",IF(J74="Sim","Conferido",IF(I74="Sim","Localizado, aguardando conferência","Cadastrado"))))))))</f>
        <v/>
      </c>
      <c r="R74" s="95" t="str">
        <f>IF(S74=0,"",COUNTIFS('VÍNCULOS_CDF'!$O$6:$O$1005,A74,'VÍNCULOS_CDF'!$AB$6:$AB$1005,1))</f>
        <v/>
      </c>
      <c r="S74" s="96">
        <f>IF(COUNTA(B74:N74)&gt;0,1,0)</f>
        <v>0</v>
      </c>
      <c r="T74" s="96" t="str">
        <f>IF(AND(S74=1,B74&lt;&gt;""),C74&amp;"|"&amp;TRIM(B74),"")</f>
        <v/>
      </c>
      <c r="U74" s="96">
        <f>IF(T74="",0,IF(SUMPRODUCT(--($T$6:$T$505=T74))&gt;1,1,0))</f>
        <v>0</v>
      </c>
      <c r="V74" s="96">
        <f>IF(F74="",0,IF(ISNUMBER(MATCH(F74,cmp_dest,0)),1,0))</f>
        <v>0</v>
      </c>
      <c r="W74" s="96">
        <f>IF(AND(S74=1,B74&lt;&gt;"",F74&lt;&gt;"",J74="Sim",U74=0),1,0)</f>
        <v>0</v>
      </c>
      <c r="X74" s="96">
        <f>IF(S74=0,0,COUNTIFS('VÍNCULOS_CDF'!$O$6:$O$1005,A74,'VÍNCULOS_CDF'!$Y$6:$Y$1005,1))</f>
        <v>0</v>
      </c>
      <c r="Y74" s="96" t="str">
        <f>IF(S74=1,A74&amp;" | CDF "&amp;IF(B74="","(sem número)",B74)&amp;" | "&amp;IF(F74="","(sem destinador)",F74),"")</f>
        <v/>
      </c>
      <c r="Z74" s="96" t="str">
        <f>IF(S74=1,COUNTIF($S$6:S74,1),"")</f>
        <v/>
      </c>
      <c r="AA74" s="96">
        <f>IF(S74=0,0,IF(AND(OR(r_ini="",AND(ISNUMBER(D74),D74&gt;=r_ini)),OR(r_fim="",AND(ISNUMBER(D74),D74&lt;=r_fim)),OR(r_de="",r_de="(Todos)",F74=r_de)),1,0))</f>
        <v>0</v>
      </c>
      <c r="AB74" s="96" t="str">
        <f>IF(AA74=1,IF(F74="",0,COUNTIF($F$6:$F$505,"&lt;"&amp;F74))*1000+69,"")</f>
        <v/>
      </c>
    </row>
    <row r="75">
      <c r="A75" s="89" t="inlineStr">
        <is>
          <t>CDF-000070</t>
        </is>
      </c>
      <c r="B75" s="90" t="n"/>
      <c r="C75" s="91" t="n"/>
      <c r="D75" s="92" t="n"/>
      <c r="E75" s="91" t="n"/>
      <c r="F75" s="91" t="n"/>
      <c r="G75" s="91" t="n"/>
      <c r="H75" s="91" t="n"/>
      <c r="I75" s="91" t="n"/>
      <c r="J75" s="91" t="n"/>
      <c r="K75" s="92" t="n"/>
      <c r="L75" s="91" t="n"/>
      <c r="M75" s="91" t="n"/>
      <c r="N75" s="91" t="n"/>
      <c r="O75" s="93" t="str">
        <f>IF(S75=0,"",SUMIFS('VÍNCULOS_CDF'!$H$6:$H$1005,'VÍNCULOS_CDF'!$O$6:$O$1005,A75,'VÍNCULOS_CDF'!$V$6:$V$1005,1))</f>
        <v/>
      </c>
      <c r="P75" s="95" t="str">
        <f>IF(S75=0,"",COUNTIFS('VÍNCULOS_CDF'!$O$6:$O$1005,A75,'VÍNCULOS_CDF'!$N$6:$N$1005,1))</f>
        <v/>
      </c>
      <c r="Q75" s="94" t="str">
        <f>IF(S75=0,"",IF(OR(B75="",F75=""),"Informações incompletas",IF(U75=1,"Possível duplicidade",IF(V75=0,"Destinador fora do cadastro",IF(AND(J75="Sim",N(P75)=0),"Necessita revisão de vínculos",IF(X75&gt;0,"Necessita revisão de vínculos",IF(J75="Sim","Conferido",IF(I75="Sim","Localizado, aguardando conferência","Cadastrado"))))))))</f>
        <v/>
      </c>
      <c r="R75" s="95" t="str">
        <f>IF(S75=0,"",COUNTIFS('VÍNCULOS_CDF'!$O$6:$O$1005,A75,'VÍNCULOS_CDF'!$AB$6:$AB$1005,1))</f>
        <v/>
      </c>
      <c r="S75" s="96">
        <f>IF(COUNTA(B75:N75)&gt;0,1,0)</f>
        <v>0</v>
      </c>
      <c r="T75" s="96" t="str">
        <f>IF(AND(S75=1,B75&lt;&gt;""),C75&amp;"|"&amp;TRIM(B75),"")</f>
        <v/>
      </c>
      <c r="U75" s="96">
        <f>IF(T75="",0,IF(SUMPRODUCT(--($T$6:$T$505=T75))&gt;1,1,0))</f>
        <v>0</v>
      </c>
      <c r="V75" s="96">
        <f>IF(F75="",0,IF(ISNUMBER(MATCH(F75,cmp_dest,0)),1,0))</f>
        <v>0</v>
      </c>
      <c r="W75" s="96">
        <f>IF(AND(S75=1,B75&lt;&gt;"",F75&lt;&gt;"",J75="Sim",U75=0),1,0)</f>
        <v>0</v>
      </c>
      <c r="X75" s="96">
        <f>IF(S75=0,0,COUNTIFS('VÍNCULOS_CDF'!$O$6:$O$1005,A75,'VÍNCULOS_CDF'!$Y$6:$Y$1005,1))</f>
        <v>0</v>
      </c>
      <c r="Y75" s="96" t="str">
        <f>IF(S75=1,A75&amp;" | CDF "&amp;IF(B75="","(sem número)",B75)&amp;" | "&amp;IF(F75="","(sem destinador)",F75),"")</f>
        <v/>
      </c>
      <c r="Z75" s="96" t="str">
        <f>IF(S75=1,COUNTIF($S$6:S75,1),"")</f>
        <v/>
      </c>
      <c r="AA75" s="96">
        <f>IF(S75=0,0,IF(AND(OR(r_ini="",AND(ISNUMBER(D75),D75&gt;=r_ini)),OR(r_fim="",AND(ISNUMBER(D75),D75&lt;=r_fim)),OR(r_de="",r_de="(Todos)",F75=r_de)),1,0))</f>
        <v>0</v>
      </c>
      <c r="AB75" s="96" t="str">
        <f>IF(AA75=1,IF(F75="",0,COUNTIF($F$6:$F$505,"&lt;"&amp;F75))*1000+70,"")</f>
        <v/>
      </c>
    </row>
    <row r="76">
      <c r="A76" s="89" t="inlineStr">
        <is>
          <t>CDF-000071</t>
        </is>
      </c>
      <c r="B76" s="90" t="n"/>
      <c r="C76" s="91" t="n"/>
      <c r="D76" s="92" t="n"/>
      <c r="E76" s="91" t="n"/>
      <c r="F76" s="91" t="n"/>
      <c r="G76" s="91" t="n"/>
      <c r="H76" s="91" t="n"/>
      <c r="I76" s="91" t="n"/>
      <c r="J76" s="91" t="n"/>
      <c r="K76" s="92" t="n"/>
      <c r="L76" s="91" t="n"/>
      <c r="M76" s="91" t="n"/>
      <c r="N76" s="91" t="n"/>
      <c r="O76" s="93" t="str">
        <f>IF(S76=0,"",SUMIFS('VÍNCULOS_CDF'!$H$6:$H$1005,'VÍNCULOS_CDF'!$O$6:$O$1005,A76,'VÍNCULOS_CDF'!$V$6:$V$1005,1))</f>
        <v/>
      </c>
      <c r="P76" s="95" t="str">
        <f>IF(S76=0,"",COUNTIFS('VÍNCULOS_CDF'!$O$6:$O$1005,A76,'VÍNCULOS_CDF'!$N$6:$N$1005,1))</f>
        <v/>
      </c>
      <c r="Q76" s="94" t="str">
        <f>IF(S76=0,"",IF(OR(B76="",F76=""),"Informações incompletas",IF(U76=1,"Possível duplicidade",IF(V76=0,"Destinador fora do cadastro",IF(AND(J76="Sim",N(P76)=0),"Necessita revisão de vínculos",IF(X76&gt;0,"Necessita revisão de vínculos",IF(J76="Sim","Conferido",IF(I76="Sim","Localizado, aguardando conferência","Cadastrado"))))))))</f>
        <v/>
      </c>
      <c r="R76" s="95" t="str">
        <f>IF(S76=0,"",COUNTIFS('VÍNCULOS_CDF'!$O$6:$O$1005,A76,'VÍNCULOS_CDF'!$AB$6:$AB$1005,1))</f>
        <v/>
      </c>
      <c r="S76" s="96">
        <f>IF(COUNTA(B76:N76)&gt;0,1,0)</f>
        <v>0</v>
      </c>
      <c r="T76" s="96" t="str">
        <f>IF(AND(S76=1,B76&lt;&gt;""),C76&amp;"|"&amp;TRIM(B76),"")</f>
        <v/>
      </c>
      <c r="U76" s="96">
        <f>IF(T76="",0,IF(SUMPRODUCT(--($T$6:$T$505=T76))&gt;1,1,0))</f>
        <v>0</v>
      </c>
      <c r="V76" s="96">
        <f>IF(F76="",0,IF(ISNUMBER(MATCH(F76,cmp_dest,0)),1,0))</f>
        <v>0</v>
      </c>
      <c r="W76" s="96">
        <f>IF(AND(S76=1,B76&lt;&gt;"",F76&lt;&gt;"",J76="Sim",U76=0),1,0)</f>
        <v>0</v>
      </c>
      <c r="X76" s="96">
        <f>IF(S76=0,0,COUNTIFS('VÍNCULOS_CDF'!$O$6:$O$1005,A76,'VÍNCULOS_CDF'!$Y$6:$Y$1005,1))</f>
        <v>0</v>
      </c>
      <c r="Y76" s="96" t="str">
        <f>IF(S76=1,A76&amp;" | CDF "&amp;IF(B76="","(sem número)",B76)&amp;" | "&amp;IF(F76="","(sem destinador)",F76),"")</f>
        <v/>
      </c>
      <c r="Z76" s="96" t="str">
        <f>IF(S76=1,COUNTIF($S$6:S76,1),"")</f>
        <v/>
      </c>
      <c r="AA76" s="96">
        <f>IF(S76=0,0,IF(AND(OR(r_ini="",AND(ISNUMBER(D76),D76&gt;=r_ini)),OR(r_fim="",AND(ISNUMBER(D76),D76&lt;=r_fim)),OR(r_de="",r_de="(Todos)",F76=r_de)),1,0))</f>
        <v>0</v>
      </c>
      <c r="AB76" s="96" t="str">
        <f>IF(AA76=1,IF(F76="",0,COUNTIF($F$6:$F$505,"&lt;"&amp;F76))*1000+71,"")</f>
        <v/>
      </c>
    </row>
    <row r="77">
      <c r="A77" s="89" t="inlineStr">
        <is>
          <t>CDF-000072</t>
        </is>
      </c>
      <c r="B77" s="90" t="n"/>
      <c r="C77" s="91" t="n"/>
      <c r="D77" s="92" t="n"/>
      <c r="E77" s="91" t="n"/>
      <c r="F77" s="91" t="n"/>
      <c r="G77" s="91" t="n"/>
      <c r="H77" s="91" t="n"/>
      <c r="I77" s="91" t="n"/>
      <c r="J77" s="91" t="n"/>
      <c r="K77" s="92" t="n"/>
      <c r="L77" s="91" t="n"/>
      <c r="M77" s="91" t="n"/>
      <c r="N77" s="91" t="n"/>
      <c r="O77" s="93" t="str">
        <f>IF(S77=0,"",SUMIFS('VÍNCULOS_CDF'!$H$6:$H$1005,'VÍNCULOS_CDF'!$O$6:$O$1005,A77,'VÍNCULOS_CDF'!$V$6:$V$1005,1))</f>
        <v/>
      </c>
      <c r="P77" s="95" t="str">
        <f>IF(S77=0,"",COUNTIFS('VÍNCULOS_CDF'!$O$6:$O$1005,A77,'VÍNCULOS_CDF'!$N$6:$N$1005,1))</f>
        <v/>
      </c>
      <c r="Q77" s="94" t="str">
        <f>IF(S77=0,"",IF(OR(B77="",F77=""),"Informações incompletas",IF(U77=1,"Possível duplicidade",IF(V77=0,"Destinador fora do cadastro",IF(AND(J77="Sim",N(P77)=0),"Necessita revisão de vínculos",IF(X77&gt;0,"Necessita revisão de vínculos",IF(J77="Sim","Conferido",IF(I77="Sim","Localizado, aguardando conferência","Cadastrado"))))))))</f>
        <v/>
      </c>
      <c r="R77" s="95" t="str">
        <f>IF(S77=0,"",COUNTIFS('VÍNCULOS_CDF'!$O$6:$O$1005,A77,'VÍNCULOS_CDF'!$AB$6:$AB$1005,1))</f>
        <v/>
      </c>
      <c r="S77" s="96">
        <f>IF(COUNTA(B77:N77)&gt;0,1,0)</f>
        <v>0</v>
      </c>
      <c r="T77" s="96" t="str">
        <f>IF(AND(S77=1,B77&lt;&gt;""),C77&amp;"|"&amp;TRIM(B77),"")</f>
        <v/>
      </c>
      <c r="U77" s="96">
        <f>IF(T77="",0,IF(SUMPRODUCT(--($T$6:$T$505=T77))&gt;1,1,0))</f>
        <v>0</v>
      </c>
      <c r="V77" s="96">
        <f>IF(F77="",0,IF(ISNUMBER(MATCH(F77,cmp_dest,0)),1,0))</f>
        <v>0</v>
      </c>
      <c r="W77" s="96">
        <f>IF(AND(S77=1,B77&lt;&gt;"",F77&lt;&gt;"",J77="Sim",U77=0),1,0)</f>
        <v>0</v>
      </c>
      <c r="X77" s="96">
        <f>IF(S77=0,0,COUNTIFS('VÍNCULOS_CDF'!$O$6:$O$1005,A77,'VÍNCULOS_CDF'!$Y$6:$Y$1005,1))</f>
        <v>0</v>
      </c>
      <c r="Y77" s="96" t="str">
        <f>IF(S77=1,A77&amp;" | CDF "&amp;IF(B77="","(sem número)",B77)&amp;" | "&amp;IF(F77="","(sem destinador)",F77),"")</f>
        <v/>
      </c>
      <c r="Z77" s="96" t="str">
        <f>IF(S77=1,COUNTIF($S$6:S77,1),"")</f>
        <v/>
      </c>
      <c r="AA77" s="96">
        <f>IF(S77=0,0,IF(AND(OR(r_ini="",AND(ISNUMBER(D77),D77&gt;=r_ini)),OR(r_fim="",AND(ISNUMBER(D77),D77&lt;=r_fim)),OR(r_de="",r_de="(Todos)",F77=r_de)),1,0))</f>
        <v>0</v>
      </c>
      <c r="AB77" s="96" t="str">
        <f>IF(AA77=1,IF(F77="",0,COUNTIF($F$6:$F$505,"&lt;"&amp;F77))*1000+72,"")</f>
        <v/>
      </c>
    </row>
    <row r="78">
      <c r="A78" s="89" t="inlineStr">
        <is>
          <t>CDF-000073</t>
        </is>
      </c>
      <c r="B78" s="90" t="n"/>
      <c r="C78" s="91" t="n"/>
      <c r="D78" s="92" t="n"/>
      <c r="E78" s="91" t="n"/>
      <c r="F78" s="91" t="n"/>
      <c r="G78" s="91" t="n"/>
      <c r="H78" s="91" t="n"/>
      <c r="I78" s="91" t="n"/>
      <c r="J78" s="91" t="n"/>
      <c r="K78" s="92" t="n"/>
      <c r="L78" s="91" t="n"/>
      <c r="M78" s="91" t="n"/>
      <c r="N78" s="91" t="n"/>
      <c r="O78" s="93" t="str">
        <f>IF(S78=0,"",SUMIFS('VÍNCULOS_CDF'!$H$6:$H$1005,'VÍNCULOS_CDF'!$O$6:$O$1005,A78,'VÍNCULOS_CDF'!$V$6:$V$1005,1))</f>
        <v/>
      </c>
      <c r="P78" s="95" t="str">
        <f>IF(S78=0,"",COUNTIFS('VÍNCULOS_CDF'!$O$6:$O$1005,A78,'VÍNCULOS_CDF'!$N$6:$N$1005,1))</f>
        <v/>
      </c>
      <c r="Q78" s="94" t="str">
        <f>IF(S78=0,"",IF(OR(B78="",F78=""),"Informações incompletas",IF(U78=1,"Possível duplicidade",IF(V78=0,"Destinador fora do cadastro",IF(AND(J78="Sim",N(P78)=0),"Necessita revisão de vínculos",IF(X78&gt;0,"Necessita revisão de vínculos",IF(J78="Sim","Conferido",IF(I78="Sim","Localizado, aguardando conferência","Cadastrado"))))))))</f>
        <v/>
      </c>
      <c r="R78" s="95" t="str">
        <f>IF(S78=0,"",COUNTIFS('VÍNCULOS_CDF'!$O$6:$O$1005,A78,'VÍNCULOS_CDF'!$AB$6:$AB$1005,1))</f>
        <v/>
      </c>
      <c r="S78" s="96">
        <f>IF(COUNTA(B78:N78)&gt;0,1,0)</f>
        <v>0</v>
      </c>
      <c r="T78" s="96" t="str">
        <f>IF(AND(S78=1,B78&lt;&gt;""),C78&amp;"|"&amp;TRIM(B78),"")</f>
        <v/>
      </c>
      <c r="U78" s="96">
        <f>IF(T78="",0,IF(SUMPRODUCT(--($T$6:$T$505=T78))&gt;1,1,0))</f>
        <v>0</v>
      </c>
      <c r="V78" s="96">
        <f>IF(F78="",0,IF(ISNUMBER(MATCH(F78,cmp_dest,0)),1,0))</f>
        <v>0</v>
      </c>
      <c r="W78" s="96">
        <f>IF(AND(S78=1,B78&lt;&gt;"",F78&lt;&gt;"",J78="Sim",U78=0),1,0)</f>
        <v>0</v>
      </c>
      <c r="X78" s="96">
        <f>IF(S78=0,0,COUNTIFS('VÍNCULOS_CDF'!$O$6:$O$1005,A78,'VÍNCULOS_CDF'!$Y$6:$Y$1005,1))</f>
        <v>0</v>
      </c>
      <c r="Y78" s="96" t="str">
        <f>IF(S78=1,A78&amp;" | CDF "&amp;IF(B78="","(sem número)",B78)&amp;" | "&amp;IF(F78="","(sem destinador)",F78),"")</f>
        <v/>
      </c>
      <c r="Z78" s="96" t="str">
        <f>IF(S78=1,COUNTIF($S$6:S78,1),"")</f>
        <v/>
      </c>
      <c r="AA78" s="96">
        <f>IF(S78=0,0,IF(AND(OR(r_ini="",AND(ISNUMBER(D78),D78&gt;=r_ini)),OR(r_fim="",AND(ISNUMBER(D78),D78&lt;=r_fim)),OR(r_de="",r_de="(Todos)",F78=r_de)),1,0))</f>
        <v>0</v>
      </c>
      <c r="AB78" s="96" t="str">
        <f>IF(AA78=1,IF(F78="",0,COUNTIF($F$6:$F$505,"&lt;"&amp;F78))*1000+73,"")</f>
        <v/>
      </c>
    </row>
    <row r="79">
      <c r="A79" s="89" t="inlineStr">
        <is>
          <t>CDF-000074</t>
        </is>
      </c>
      <c r="B79" s="90" t="n"/>
      <c r="C79" s="91" t="n"/>
      <c r="D79" s="92" t="n"/>
      <c r="E79" s="91" t="n"/>
      <c r="F79" s="91" t="n"/>
      <c r="G79" s="91" t="n"/>
      <c r="H79" s="91" t="n"/>
      <c r="I79" s="91" t="n"/>
      <c r="J79" s="91" t="n"/>
      <c r="K79" s="92" t="n"/>
      <c r="L79" s="91" t="n"/>
      <c r="M79" s="91" t="n"/>
      <c r="N79" s="91" t="n"/>
      <c r="O79" s="93" t="str">
        <f>IF(S79=0,"",SUMIFS('VÍNCULOS_CDF'!$H$6:$H$1005,'VÍNCULOS_CDF'!$O$6:$O$1005,A79,'VÍNCULOS_CDF'!$V$6:$V$1005,1))</f>
        <v/>
      </c>
      <c r="P79" s="95" t="str">
        <f>IF(S79=0,"",COUNTIFS('VÍNCULOS_CDF'!$O$6:$O$1005,A79,'VÍNCULOS_CDF'!$N$6:$N$1005,1))</f>
        <v/>
      </c>
      <c r="Q79" s="94" t="str">
        <f>IF(S79=0,"",IF(OR(B79="",F79=""),"Informações incompletas",IF(U79=1,"Possível duplicidade",IF(V79=0,"Destinador fora do cadastro",IF(AND(J79="Sim",N(P79)=0),"Necessita revisão de vínculos",IF(X79&gt;0,"Necessita revisão de vínculos",IF(J79="Sim","Conferido",IF(I79="Sim","Localizado, aguardando conferência","Cadastrado"))))))))</f>
        <v/>
      </c>
      <c r="R79" s="95" t="str">
        <f>IF(S79=0,"",COUNTIFS('VÍNCULOS_CDF'!$O$6:$O$1005,A79,'VÍNCULOS_CDF'!$AB$6:$AB$1005,1))</f>
        <v/>
      </c>
      <c r="S79" s="96">
        <f>IF(COUNTA(B79:N79)&gt;0,1,0)</f>
        <v>0</v>
      </c>
      <c r="T79" s="96" t="str">
        <f>IF(AND(S79=1,B79&lt;&gt;""),C79&amp;"|"&amp;TRIM(B79),"")</f>
        <v/>
      </c>
      <c r="U79" s="96">
        <f>IF(T79="",0,IF(SUMPRODUCT(--($T$6:$T$505=T79))&gt;1,1,0))</f>
        <v>0</v>
      </c>
      <c r="V79" s="96">
        <f>IF(F79="",0,IF(ISNUMBER(MATCH(F79,cmp_dest,0)),1,0))</f>
        <v>0</v>
      </c>
      <c r="W79" s="96">
        <f>IF(AND(S79=1,B79&lt;&gt;"",F79&lt;&gt;"",J79="Sim",U79=0),1,0)</f>
        <v>0</v>
      </c>
      <c r="X79" s="96">
        <f>IF(S79=0,0,COUNTIFS('VÍNCULOS_CDF'!$O$6:$O$1005,A79,'VÍNCULOS_CDF'!$Y$6:$Y$1005,1))</f>
        <v>0</v>
      </c>
      <c r="Y79" s="96" t="str">
        <f>IF(S79=1,A79&amp;" | CDF "&amp;IF(B79="","(sem número)",B79)&amp;" | "&amp;IF(F79="","(sem destinador)",F79),"")</f>
        <v/>
      </c>
      <c r="Z79" s="96" t="str">
        <f>IF(S79=1,COUNTIF($S$6:S79,1),"")</f>
        <v/>
      </c>
      <c r="AA79" s="96">
        <f>IF(S79=0,0,IF(AND(OR(r_ini="",AND(ISNUMBER(D79),D79&gt;=r_ini)),OR(r_fim="",AND(ISNUMBER(D79),D79&lt;=r_fim)),OR(r_de="",r_de="(Todos)",F79=r_de)),1,0))</f>
        <v>0</v>
      </c>
      <c r="AB79" s="96" t="str">
        <f>IF(AA79=1,IF(F79="",0,COUNTIF($F$6:$F$505,"&lt;"&amp;F79))*1000+74,"")</f>
        <v/>
      </c>
    </row>
    <row r="80">
      <c r="A80" s="89" t="inlineStr">
        <is>
          <t>CDF-000075</t>
        </is>
      </c>
      <c r="B80" s="90" t="n"/>
      <c r="C80" s="91" t="n"/>
      <c r="D80" s="92" t="n"/>
      <c r="E80" s="91" t="n"/>
      <c r="F80" s="91" t="n"/>
      <c r="G80" s="91" t="n"/>
      <c r="H80" s="91" t="n"/>
      <c r="I80" s="91" t="n"/>
      <c r="J80" s="91" t="n"/>
      <c r="K80" s="92" t="n"/>
      <c r="L80" s="91" t="n"/>
      <c r="M80" s="91" t="n"/>
      <c r="N80" s="91" t="n"/>
      <c r="O80" s="93" t="str">
        <f>IF(S80=0,"",SUMIFS('VÍNCULOS_CDF'!$H$6:$H$1005,'VÍNCULOS_CDF'!$O$6:$O$1005,A80,'VÍNCULOS_CDF'!$V$6:$V$1005,1))</f>
        <v/>
      </c>
      <c r="P80" s="95" t="str">
        <f>IF(S80=0,"",COUNTIFS('VÍNCULOS_CDF'!$O$6:$O$1005,A80,'VÍNCULOS_CDF'!$N$6:$N$1005,1))</f>
        <v/>
      </c>
      <c r="Q80" s="94" t="str">
        <f>IF(S80=0,"",IF(OR(B80="",F80=""),"Informações incompletas",IF(U80=1,"Possível duplicidade",IF(V80=0,"Destinador fora do cadastro",IF(AND(J80="Sim",N(P80)=0),"Necessita revisão de vínculos",IF(X80&gt;0,"Necessita revisão de vínculos",IF(J80="Sim","Conferido",IF(I80="Sim","Localizado, aguardando conferência","Cadastrado"))))))))</f>
        <v/>
      </c>
      <c r="R80" s="95" t="str">
        <f>IF(S80=0,"",COUNTIFS('VÍNCULOS_CDF'!$O$6:$O$1005,A80,'VÍNCULOS_CDF'!$AB$6:$AB$1005,1))</f>
        <v/>
      </c>
      <c r="S80" s="96">
        <f>IF(COUNTA(B80:N80)&gt;0,1,0)</f>
        <v>0</v>
      </c>
      <c r="T80" s="96" t="str">
        <f>IF(AND(S80=1,B80&lt;&gt;""),C80&amp;"|"&amp;TRIM(B80),"")</f>
        <v/>
      </c>
      <c r="U80" s="96">
        <f>IF(T80="",0,IF(SUMPRODUCT(--($T$6:$T$505=T80))&gt;1,1,0))</f>
        <v>0</v>
      </c>
      <c r="V80" s="96">
        <f>IF(F80="",0,IF(ISNUMBER(MATCH(F80,cmp_dest,0)),1,0))</f>
        <v>0</v>
      </c>
      <c r="W80" s="96">
        <f>IF(AND(S80=1,B80&lt;&gt;"",F80&lt;&gt;"",J80="Sim",U80=0),1,0)</f>
        <v>0</v>
      </c>
      <c r="X80" s="96">
        <f>IF(S80=0,0,COUNTIFS('VÍNCULOS_CDF'!$O$6:$O$1005,A80,'VÍNCULOS_CDF'!$Y$6:$Y$1005,1))</f>
        <v>0</v>
      </c>
      <c r="Y80" s="96" t="str">
        <f>IF(S80=1,A80&amp;" | CDF "&amp;IF(B80="","(sem número)",B80)&amp;" | "&amp;IF(F80="","(sem destinador)",F80),"")</f>
        <v/>
      </c>
      <c r="Z80" s="96" t="str">
        <f>IF(S80=1,COUNTIF($S$6:S80,1),"")</f>
        <v/>
      </c>
      <c r="AA80" s="96">
        <f>IF(S80=0,0,IF(AND(OR(r_ini="",AND(ISNUMBER(D80),D80&gt;=r_ini)),OR(r_fim="",AND(ISNUMBER(D80),D80&lt;=r_fim)),OR(r_de="",r_de="(Todos)",F80=r_de)),1,0))</f>
        <v>0</v>
      </c>
      <c r="AB80" s="96" t="str">
        <f>IF(AA80=1,IF(F80="",0,COUNTIF($F$6:$F$505,"&lt;"&amp;F80))*1000+75,"")</f>
        <v/>
      </c>
    </row>
    <row r="81">
      <c r="A81" s="89" t="inlineStr">
        <is>
          <t>CDF-000076</t>
        </is>
      </c>
      <c r="B81" s="90" t="n"/>
      <c r="C81" s="91" t="n"/>
      <c r="D81" s="92" t="n"/>
      <c r="E81" s="91" t="n"/>
      <c r="F81" s="91" t="n"/>
      <c r="G81" s="91" t="n"/>
      <c r="H81" s="91" t="n"/>
      <c r="I81" s="91" t="n"/>
      <c r="J81" s="91" t="n"/>
      <c r="K81" s="92" t="n"/>
      <c r="L81" s="91" t="n"/>
      <c r="M81" s="91" t="n"/>
      <c r="N81" s="91" t="n"/>
      <c r="O81" s="93" t="str">
        <f>IF(S81=0,"",SUMIFS('VÍNCULOS_CDF'!$H$6:$H$1005,'VÍNCULOS_CDF'!$O$6:$O$1005,A81,'VÍNCULOS_CDF'!$V$6:$V$1005,1))</f>
        <v/>
      </c>
      <c r="P81" s="95" t="str">
        <f>IF(S81=0,"",COUNTIFS('VÍNCULOS_CDF'!$O$6:$O$1005,A81,'VÍNCULOS_CDF'!$N$6:$N$1005,1))</f>
        <v/>
      </c>
      <c r="Q81" s="94" t="str">
        <f>IF(S81=0,"",IF(OR(B81="",F81=""),"Informações incompletas",IF(U81=1,"Possível duplicidade",IF(V81=0,"Destinador fora do cadastro",IF(AND(J81="Sim",N(P81)=0),"Necessita revisão de vínculos",IF(X81&gt;0,"Necessita revisão de vínculos",IF(J81="Sim","Conferido",IF(I81="Sim","Localizado, aguardando conferência","Cadastrado"))))))))</f>
        <v/>
      </c>
      <c r="R81" s="95" t="str">
        <f>IF(S81=0,"",COUNTIFS('VÍNCULOS_CDF'!$O$6:$O$1005,A81,'VÍNCULOS_CDF'!$AB$6:$AB$1005,1))</f>
        <v/>
      </c>
      <c r="S81" s="96">
        <f>IF(COUNTA(B81:N81)&gt;0,1,0)</f>
        <v>0</v>
      </c>
      <c r="T81" s="96" t="str">
        <f>IF(AND(S81=1,B81&lt;&gt;""),C81&amp;"|"&amp;TRIM(B81),"")</f>
        <v/>
      </c>
      <c r="U81" s="96">
        <f>IF(T81="",0,IF(SUMPRODUCT(--($T$6:$T$505=T81))&gt;1,1,0))</f>
        <v>0</v>
      </c>
      <c r="V81" s="96">
        <f>IF(F81="",0,IF(ISNUMBER(MATCH(F81,cmp_dest,0)),1,0))</f>
        <v>0</v>
      </c>
      <c r="W81" s="96">
        <f>IF(AND(S81=1,B81&lt;&gt;"",F81&lt;&gt;"",J81="Sim",U81=0),1,0)</f>
        <v>0</v>
      </c>
      <c r="X81" s="96">
        <f>IF(S81=0,0,COUNTIFS('VÍNCULOS_CDF'!$O$6:$O$1005,A81,'VÍNCULOS_CDF'!$Y$6:$Y$1005,1))</f>
        <v>0</v>
      </c>
      <c r="Y81" s="96" t="str">
        <f>IF(S81=1,A81&amp;" | CDF "&amp;IF(B81="","(sem número)",B81)&amp;" | "&amp;IF(F81="","(sem destinador)",F81),"")</f>
        <v/>
      </c>
      <c r="Z81" s="96" t="str">
        <f>IF(S81=1,COUNTIF($S$6:S81,1),"")</f>
        <v/>
      </c>
      <c r="AA81" s="96">
        <f>IF(S81=0,0,IF(AND(OR(r_ini="",AND(ISNUMBER(D81),D81&gt;=r_ini)),OR(r_fim="",AND(ISNUMBER(D81),D81&lt;=r_fim)),OR(r_de="",r_de="(Todos)",F81=r_de)),1,0))</f>
        <v>0</v>
      </c>
      <c r="AB81" s="96" t="str">
        <f>IF(AA81=1,IF(F81="",0,COUNTIF($F$6:$F$505,"&lt;"&amp;F81))*1000+76,"")</f>
        <v/>
      </c>
    </row>
    <row r="82">
      <c r="A82" s="89" t="inlineStr">
        <is>
          <t>CDF-000077</t>
        </is>
      </c>
      <c r="B82" s="90" t="n"/>
      <c r="C82" s="91" t="n"/>
      <c r="D82" s="92" t="n"/>
      <c r="E82" s="91" t="n"/>
      <c r="F82" s="91" t="n"/>
      <c r="G82" s="91" t="n"/>
      <c r="H82" s="91" t="n"/>
      <c r="I82" s="91" t="n"/>
      <c r="J82" s="91" t="n"/>
      <c r="K82" s="92" t="n"/>
      <c r="L82" s="91" t="n"/>
      <c r="M82" s="91" t="n"/>
      <c r="N82" s="91" t="n"/>
      <c r="O82" s="93" t="str">
        <f>IF(S82=0,"",SUMIFS('VÍNCULOS_CDF'!$H$6:$H$1005,'VÍNCULOS_CDF'!$O$6:$O$1005,A82,'VÍNCULOS_CDF'!$V$6:$V$1005,1))</f>
        <v/>
      </c>
      <c r="P82" s="95" t="str">
        <f>IF(S82=0,"",COUNTIFS('VÍNCULOS_CDF'!$O$6:$O$1005,A82,'VÍNCULOS_CDF'!$N$6:$N$1005,1))</f>
        <v/>
      </c>
      <c r="Q82" s="94" t="str">
        <f>IF(S82=0,"",IF(OR(B82="",F82=""),"Informações incompletas",IF(U82=1,"Possível duplicidade",IF(V82=0,"Destinador fora do cadastro",IF(AND(J82="Sim",N(P82)=0),"Necessita revisão de vínculos",IF(X82&gt;0,"Necessita revisão de vínculos",IF(J82="Sim","Conferido",IF(I82="Sim","Localizado, aguardando conferência","Cadastrado"))))))))</f>
        <v/>
      </c>
      <c r="R82" s="95" t="str">
        <f>IF(S82=0,"",COUNTIFS('VÍNCULOS_CDF'!$O$6:$O$1005,A82,'VÍNCULOS_CDF'!$AB$6:$AB$1005,1))</f>
        <v/>
      </c>
      <c r="S82" s="96">
        <f>IF(COUNTA(B82:N82)&gt;0,1,0)</f>
        <v>0</v>
      </c>
      <c r="T82" s="96" t="str">
        <f>IF(AND(S82=1,B82&lt;&gt;""),C82&amp;"|"&amp;TRIM(B82),"")</f>
        <v/>
      </c>
      <c r="U82" s="96">
        <f>IF(T82="",0,IF(SUMPRODUCT(--($T$6:$T$505=T82))&gt;1,1,0))</f>
        <v>0</v>
      </c>
      <c r="V82" s="96">
        <f>IF(F82="",0,IF(ISNUMBER(MATCH(F82,cmp_dest,0)),1,0))</f>
        <v>0</v>
      </c>
      <c r="W82" s="96">
        <f>IF(AND(S82=1,B82&lt;&gt;"",F82&lt;&gt;"",J82="Sim",U82=0),1,0)</f>
        <v>0</v>
      </c>
      <c r="X82" s="96">
        <f>IF(S82=0,0,COUNTIFS('VÍNCULOS_CDF'!$O$6:$O$1005,A82,'VÍNCULOS_CDF'!$Y$6:$Y$1005,1))</f>
        <v>0</v>
      </c>
      <c r="Y82" s="96" t="str">
        <f>IF(S82=1,A82&amp;" | CDF "&amp;IF(B82="","(sem número)",B82)&amp;" | "&amp;IF(F82="","(sem destinador)",F82),"")</f>
        <v/>
      </c>
      <c r="Z82" s="96" t="str">
        <f>IF(S82=1,COUNTIF($S$6:S82,1),"")</f>
        <v/>
      </c>
      <c r="AA82" s="96">
        <f>IF(S82=0,0,IF(AND(OR(r_ini="",AND(ISNUMBER(D82),D82&gt;=r_ini)),OR(r_fim="",AND(ISNUMBER(D82),D82&lt;=r_fim)),OR(r_de="",r_de="(Todos)",F82=r_de)),1,0))</f>
        <v>0</v>
      </c>
      <c r="AB82" s="96" t="str">
        <f>IF(AA82=1,IF(F82="",0,COUNTIF($F$6:$F$505,"&lt;"&amp;F82))*1000+77,"")</f>
        <v/>
      </c>
    </row>
    <row r="83">
      <c r="A83" s="89" t="inlineStr">
        <is>
          <t>CDF-000078</t>
        </is>
      </c>
      <c r="B83" s="90" t="n"/>
      <c r="C83" s="91" t="n"/>
      <c r="D83" s="92" t="n"/>
      <c r="E83" s="91" t="n"/>
      <c r="F83" s="91" t="n"/>
      <c r="G83" s="91" t="n"/>
      <c r="H83" s="91" t="n"/>
      <c r="I83" s="91" t="n"/>
      <c r="J83" s="91" t="n"/>
      <c r="K83" s="92" t="n"/>
      <c r="L83" s="91" t="n"/>
      <c r="M83" s="91" t="n"/>
      <c r="N83" s="91" t="n"/>
      <c r="O83" s="93" t="str">
        <f>IF(S83=0,"",SUMIFS('VÍNCULOS_CDF'!$H$6:$H$1005,'VÍNCULOS_CDF'!$O$6:$O$1005,A83,'VÍNCULOS_CDF'!$V$6:$V$1005,1))</f>
        <v/>
      </c>
      <c r="P83" s="95" t="str">
        <f>IF(S83=0,"",COUNTIFS('VÍNCULOS_CDF'!$O$6:$O$1005,A83,'VÍNCULOS_CDF'!$N$6:$N$1005,1))</f>
        <v/>
      </c>
      <c r="Q83" s="94" t="str">
        <f>IF(S83=0,"",IF(OR(B83="",F83=""),"Informações incompletas",IF(U83=1,"Possível duplicidade",IF(V83=0,"Destinador fora do cadastro",IF(AND(J83="Sim",N(P83)=0),"Necessita revisão de vínculos",IF(X83&gt;0,"Necessita revisão de vínculos",IF(J83="Sim","Conferido",IF(I83="Sim","Localizado, aguardando conferência","Cadastrado"))))))))</f>
        <v/>
      </c>
      <c r="R83" s="95" t="str">
        <f>IF(S83=0,"",COUNTIFS('VÍNCULOS_CDF'!$O$6:$O$1005,A83,'VÍNCULOS_CDF'!$AB$6:$AB$1005,1))</f>
        <v/>
      </c>
      <c r="S83" s="96">
        <f>IF(COUNTA(B83:N83)&gt;0,1,0)</f>
        <v>0</v>
      </c>
      <c r="T83" s="96" t="str">
        <f>IF(AND(S83=1,B83&lt;&gt;""),C83&amp;"|"&amp;TRIM(B83),"")</f>
        <v/>
      </c>
      <c r="U83" s="96">
        <f>IF(T83="",0,IF(SUMPRODUCT(--($T$6:$T$505=T83))&gt;1,1,0))</f>
        <v>0</v>
      </c>
      <c r="V83" s="96">
        <f>IF(F83="",0,IF(ISNUMBER(MATCH(F83,cmp_dest,0)),1,0))</f>
        <v>0</v>
      </c>
      <c r="W83" s="96">
        <f>IF(AND(S83=1,B83&lt;&gt;"",F83&lt;&gt;"",J83="Sim",U83=0),1,0)</f>
        <v>0</v>
      </c>
      <c r="X83" s="96">
        <f>IF(S83=0,0,COUNTIFS('VÍNCULOS_CDF'!$O$6:$O$1005,A83,'VÍNCULOS_CDF'!$Y$6:$Y$1005,1))</f>
        <v>0</v>
      </c>
      <c r="Y83" s="96" t="str">
        <f>IF(S83=1,A83&amp;" | CDF "&amp;IF(B83="","(sem número)",B83)&amp;" | "&amp;IF(F83="","(sem destinador)",F83),"")</f>
        <v/>
      </c>
      <c r="Z83" s="96" t="str">
        <f>IF(S83=1,COUNTIF($S$6:S83,1),"")</f>
        <v/>
      </c>
      <c r="AA83" s="96">
        <f>IF(S83=0,0,IF(AND(OR(r_ini="",AND(ISNUMBER(D83),D83&gt;=r_ini)),OR(r_fim="",AND(ISNUMBER(D83),D83&lt;=r_fim)),OR(r_de="",r_de="(Todos)",F83=r_de)),1,0))</f>
        <v>0</v>
      </c>
      <c r="AB83" s="96" t="str">
        <f>IF(AA83=1,IF(F83="",0,COUNTIF($F$6:$F$505,"&lt;"&amp;F83))*1000+78,"")</f>
        <v/>
      </c>
    </row>
    <row r="84">
      <c r="A84" s="89" t="inlineStr">
        <is>
          <t>CDF-000079</t>
        </is>
      </c>
      <c r="B84" s="90" t="n"/>
      <c r="C84" s="91" t="n"/>
      <c r="D84" s="92" t="n"/>
      <c r="E84" s="91" t="n"/>
      <c r="F84" s="91" t="n"/>
      <c r="G84" s="91" t="n"/>
      <c r="H84" s="91" t="n"/>
      <c r="I84" s="91" t="n"/>
      <c r="J84" s="91" t="n"/>
      <c r="K84" s="92" t="n"/>
      <c r="L84" s="91" t="n"/>
      <c r="M84" s="91" t="n"/>
      <c r="N84" s="91" t="n"/>
      <c r="O84" s="93" t="str">
        <f>IF(S84=0,"",SUMIFS('VÍNCULOS_CDF'!$H$6:$H$1005,'VÍNCULOS_CDF'!$O$6:$O$1005,A84,'VÍNCULOS_CDF'!$V$6:$V$1005,1))</f>
        <v/>
      </c>
      <c r="P84" s="95" t="str">
        <f>IF(S84=0,"",COUNTIFS('VÍNCULOS_CDF'!$O$6:$O$1005,A84,'VÍNCULOS_CDF'!$N$6:$N$1005,1))</f>
        <v/>
      </c>
      <c r="Q84" s="94" t="str">
        <f>IF(S84=0,"",IF(OR(B84="",F84=""),"Informações incompletas",IF(U84=1,"Possível duplicidade",IF(V84=0,"Destinador fora do cadastro",IF(AND(J84="Sim",N(P84)=0),"Necessita revisão de vínculos",IF(X84&gt;0,"Necessita revisão de vínculos",IF(J84="Sim","Conferido",IF(I84="Sim","Localizado, aguardando conferência","Cadastrado"))))))))</f>
        <v/>
      </c>
      <c r="R84" s="95" t="str">
        <f>IF(S84=0,"",COUNTIFS('VÍNCULOS_CDF'!$O$6:$O$1005,A84,'VÍNCULOS_CDF'!$AB$6:$AB$1005,1))</f>
        <v/>
      </c>
      <c r="S84" s="96">
        <f>IF(COUNTA(B84:N84)&gt;0,1,0)</f>
        <v>0</v>
      </c>
      <c r="T84" s="96" t="str">
        <f>IF(AND(S84=1,B84&lt;&gt;""),C84&amp;"|"&amp;TRIM(B84),"")</f>
        <v/>
      </c>
      <c r="U84" s="96">
        <f>IF(T84="",0,IF(SUMPRODUCT(--($T$6:$T$505=T84))&gt;1,1,0))</f>
        <v>0</v>
      </c>
      <c r="V84" s="96">
        <f>IF(F84="",0,IF(ISNUMBER(MATCH(F84,cmp_dest,0)),1,0))</f>
        <v>0</v>
      </c>
      <c r="W84" s="96">
        <f>IF(AND(S84=1,B84&lt;&gt;"",F84&lt;&gt;"",J84="Sim",U84=0),1,0)</f>
        <v>0</v>
      </c>
      <c r="X84" s="96">
        <f>IF(S84=0,0,COUNTIFS('VÍNCULOS_CDF'!$O$6:$O$1005,A84,'VÍNCULOS_CDF'!$Y$6:$Y$1005,1))</f>
        <v>0</v>
      </c>
      <c r="Y84" s="96" t="str">
        <f>IF(S84=1,A84&amp;" | CDF "&amp;IF(B84="","(sem número)",B84)&amp;" | "&amp;IF(F84="","(sem destinador)",F84),"")</f>
        <v/>
      </c>
      <c r="Z84" s="96" t="str">
        <f>IF(S84=1,COUNTIF($S$6:S84,1),"")</f>
        <v/>
      </c>
      <c r="AA84" s="96">
        <f>IF(S84=0,0,IF(AND(OR(r_ini="",AND(ISNUMBER(D84),D84&gt;=r_ini)),OR(r_fim="",AND(ISNUMBER(D84),D84&lt;=r_fim)),OR(r_de="",r_de="(Todos)",F84=r_de)),1,0))</f>
        <v>0</v>
      </c>
      <c r="AB84" s="96" t="str">
        <f>IF(AA84=1,IF(F84="",0,COUNTIF($F$6:$F$505,"&lt;"&amp;F84))*1000+79,"")</f>
        <v/>
      </c>
    </row>
    <row r="85">
      <c r="A85" s="89" t="inlineStr">
        <is>
          <t>CDF-000080</t>
        </is>
      </c>
      <c r="B85" s="90" t="n"/>
      <c r="C85" s="91" t="n"/>
      <c r="D85" s="92" t="n"/>
      <c r="E85" s="91" t="n"/>
      <c r="F85" s="91" t="n"/>
      <c r="G85" s="91" t="n"/>
      <c r="H85" s="91" t="n"/>
      <c r="I85" s="91" t="n"/>
      <c r="J85" s="91" t="n"/>
      <c r="K85" s="92" t="n"/>
      <c r="L85" s="91" t="n"/>
      <c r="M85" s="91" t="n"/>
      <c r="N85" s="91" t="n"/>
      <c r="O85" s="93" t="str">
        <f>IF(S85=0,"",SUMIFS('VÍNCULOS_CDF'!$H$6:$H$1005,'VÍNCULOS_CDF'!$O$6:$O$1005,A85,'VÍNCULOS_CDF'!$V$6:$V$1005,1))</f>
        <v/>
      </c>
      <c r="P85" s="95" t="str">
        <f>IF(S85=0,"",COUNTIFS('VÍNCULOS_CDF'!$O$6:$O$1005,A85,'VÍNCULOS_CDF'!$N$6:$N$1005,1))</f>
        <v/>
      </c>
      <c r="Q85" s="94" t="str">
        <f>IF(S85=0,"",IF(OR(B85="",F85=""),"Informações incompletas",IF(U85=1,"Possível duplicidade",IF(V85=0,"Destinador fora do cadastro",IF(AND(J85="Sim",N(P85)=0),"Necessita revisão de vínculos",IF(X85&gt;0,"Necessita revisão de vínculos",IF(J85="Sim","Conferido",IF(I85="Sim","Localizado, aguardando conferência","Cadastrado"))))))))</f>
        <v/>
      </c>
      <c r="R85" s="95" t="str">
        <f>IF(S85=0,"",COUNTIFS('VÍNCULOS_CDF'!$O$6:$O$1005,A85,'VÍNCULOS_CDF'!$AB$6:$AB$1005,1))</f>
        <v/>
      </c>
      <c r="S85" s="96">
        <f>IF(COUNTA(B85:N85)&gt;0,1,0)</f>
        <v>0</v>
      </c>
      <c r="T85" s="96" t="str">
        <f>IF(AND(S85=1,B85&lt;&gt;""),C85&amp;"|"&amp;TRIM(B85),"")</f>
        <v/>
      </c>
      <c r="U85" s="96">
        <f>IF(T85="",0,IF(SUMPRODUCT(--($T$6:$T$505=T85))&gt;1,1,0))</f>
        <v>0</v>
      </c>
      <c r="V85" s="96">
        <f>IF(F85="",0,IF(ISNUMBER(MATCH(F85,cmp_dest,0)),1,0))</f>
        <v>0</v>
      </c>
      <c r="W85" s="96">
        <f>IF(AND(S85=1,B85&lt;&gt;"",F85&lt;&gt;"",J85="Sim",U85=0),1,0)</f>
        <v>0</v>
      </c>
      <c r="X85" s="96">
        <f>IF(S85=0,0,COUNTIFS('VÍNCULOS_CDF'!$O$6:$O$1005,A85,'VÍNCULOS_CDF'!$Y$6:$Y$1005,1))</f>
        <v>0</v>
      </c>
      <c r="Y85" s="96" t="str">
        <f>IF(S85=1,A85&amp;" | CDF "&amp;IF(B85="","(sem número)",B85)&amp;" | "&amp;IF(F85="","(sem destinador)",F85),"")</f>
        <v/>
      </c>
      <c r="Z85" s="96" t="str">
        <f>IF(S85=1,COUNTIF($S$6:S85,1),"")</f>
        <v/>
      </c>
      <c r="AA85" s="96">
        <f>IF(S85=0,0,IF(AND(OR(r_ini="",AND(ISNUMBER(D85),D85&gt;=r_ini)),OR(r_fim="",AND(ISNUMBER(D85),D85&lt;=r_fim)),OR(r_de="",r_de="(Todos)",F85=r_de)),1,0))</f>
        <v>0</v>
      </c>
      <c r="AB85" s="96" t="str">
        <f>IF(AA85=1,IF(F85="",0,COUNTIF($F$6:$F$505,"&lt;"&amp;F85))*1000+80,"")</f>
        <v/>
      </c>
    </row>
    <row r="86">
      <c r="A86" s="89" t="inlineStr">
        <is>
          <t>CDF-000081</t>
        </is>
      </c>
      <c r="B86" s="90" t="n"/>
      <c r="C86" s="91" t="n"/>
      <c r="D86" s="92" t="n"/>
      <c r="E86" s="91" t="n"/>
      <c r="F86" s="91" t="n"/>
      <c r="G86" s="91" t="n"/>
      <c r="H86" s="91" t="n"/>
      <c r="I86" s="91" t="n"/>
      <c r="J86" s="91" t="n"/>
      <c r="K86" s="92" t="n"/>
      <c r="L86" s="91" t="n"/>
      <c r="M86" s="91" t="n"/>
      <c r="N86" s="91" t="n"/>
      <c r="O86" s="93" t="str">
        <f>IF(S86=0,"",SUMIFS('VÍNCULOS_CDF'!$H$6:$H$1005,'VÍNCULOS_CDF'!$O$6:$O$1005,A86,'VÍNCULOS_CDF'!$V$6:$V$1005,1))</f>
        <v/>
      </c>
      <c r="P86" s="95" t="str">
        <f>IF(S86=0,"",COUNTIFS('VÍNCULOS_CDF'!$O$6:$O$1005,A86,'VÍNCULOS_CDF'!$N$6:$N$1005,1))</f>
        <v/>
      </c>
      <c r="Q86" s="94" t="str">
        <f>IF(S86=0,"",IF(OR(B86="",F86=""),"Informações incompletas",IF(U86=1,"Possível duplicidade",IF(V86=0,"Destinador fora do cadastro",IF(AND(J86="Sim",N(P86)=0),"Necessita revisão de vínculos",IF(X86&gt;0,"Necessita revisão de vínculos",IF(J86="Sim","Conferido",IF(I86="Sim","Localizado, aguardando conferência","Cadastrado"))))))))</f>
        <v/>
      </c>
      <c r="R86" s="95" t="str">
        <f>IF(S86=0,"",COUNTIFS('VÍNCULOS_CDF'!$O$6:$O$1005,A86,'VÍNCULOS_CDF'!$AB$6:$AB$1005,1))</f>
        <v/>
      </c>
      <c r="S86" s="96">
        <f>IF(COUNTA(B86:N86)&gt;0,1,0)</f>
        <v>0</v>
      </c>
      <c r="T86" s="96" t="str">
        <f>IF(AND(S86=1,B86&lt;&gt;""),C86&amp;"|"&amp;TRIM(B86),"")</f>
        <v/>
      </c>
      <c r="U86" s="96">
        <f>IF(T86="",0,IF(SUMPRODUCT(--($T$6:$T$505=T86))&gt;1,1,0))</f>
        <v>0</v>
      </c>
      <c r="V86" s="96">
        <f>IF(F86="",0,IF(ISNUMBER(MATCH(F86,cmp_dest,0)),1,0))</f>
        <v>0</v>
      </c>
      <c r="W86" s="96">
        <f>IF(AND(S86=1,B86&lt;&gt;"",F86&lt;&gt;"",J86="Sim",U86=0),1,0)</f>
        <v>0</v>
      </c>
      <c r="X86" s="96">
        <f>IF(S86=0,0,COUNTIFS('VÍNCULOS_CDF'!$O$6:$O$1005,A86,'VÍNCULOS_CDF'!$Y$6:$Y$1005,1))</f>
        <v>0</v>
      </c>
      <c r="Y86" s="96" t="str">
        <f>IF(S86=1,A86&amp;" | CDF "&amp;IF(B86="","(sem número)",B86)&amp;" | "&amp;IF(F86="","(sem destinador)",F86),"")</f>
        <v/>
      </c>
      <c r="Z86" s="96" t="str">
        <f>IF(S86=1,COUNTIF($S$6:S86,1),"")</f>
        <v/>
      </c>
      <c r="AA86" s="96">
        <f>IF(S86=0,0,IF(AND(OR(r_ini="",AND(ISNUMBER(D86),D86&gt;=r_ini)),OR(r_fim="",AND(ISNUMBER(D86),D86&lt;=r_fim)),OR(r_de="",r_de="(Todos)",F86=r_de)),1,0))</f>
        <v>0</v>
      </c>
      <c r="AB86" s="96" t="str">
        <f>IF(AA86=1,IF(F86="",0,COUNTIF($F$6:$F$505,"&lt;"&amp;F86))*1000+81,"")</f>
        <v/>
      </c>
    </row>
    <row r="87">
      <c r="A87" s="89" t="inlineStr">
        <is>
          <t>CDF-000082</t>
        </is>
      </c>
      <c r="B87" s="90" t="n"/>
      <c r="C87" s="91" t="n"/>
      <c r="D87" s="92" t="n"/>
      <c r="E87" s="91" t="n"/>
      <c r="F87" s="91" t="n"/>
      <c r="G87" s="91" t="n"/>
      <c r="H87" s="91" t="n"/>
      <c r="I87" s="91" t="n"/>
      <c r="J87" s="91" t="n"/>
      <c r="K87" s="92" t="n"/>
      <c r="L87" s="91" t="n"/>
      <c r="M87" s="91" t="n"/>
      <c r="N87" s="91" t="n"/>
      <c r="O87" s="93" t="str">
        <f>IF(S87=0,"",SUMIFS('VÍNCULOS_CDF'!$H$6:$H$1005,'VÍNCULOS_CDF'!$O$6:$O$1005,A87,'VÍNCULOS_CDF'!$V$6:$V$1005,1))</f>
        <v/>
      </c>
      <c r="P87" s="95" t="str">
        <f>IF(S87=0,"",COUNTIFS('VÍNCULOS_CDF'!$O$6:$O$1005,A87,'VÍNCULOS_CDF'!$N$6:$N$1005,1))</f>
        <v/>
      </c>
      <c r="Q87" s="94" t="str">
        <f>IF(S87=0,"",IF(OR(B87="",F87=""),"Informações incompletas",IF(U87=1,"Possível duplicidade",IF(V87=0,"Destinador fora do cadastro",IF(AND(J87="Sim",N(P87)=0),"Necessita revisão de vínculos",IF(X87&gt;0,"Necessita revisão de vínculos",IF(J87="Sim","Conferido",IF(I87="Sim","Localizado, aguardando conferência","Cadastrado"))))))))</f>
        <v/>
      </c>
      <c r="R87" s="95" t="str">
        <f>IF(S87=0,"",COUNTIFS('VÍNCULOS_CDF'!$O$6:$O$1005,A87,'VÍNCULOS_CDF'!$AB$6:$AB$1005,1))</f>
        <v/>
      </c>
      <c r="S87" s="96">
        <f>IF(COUNTA(B87:N87)&gt;0,1,0)</f>
        <v>0</v>
      </c>
      <c r="T87" s="96" t="str">
        <f>IF(AND(S87=1,B87&lt;&gt;""),C87&amp;"|"&amp;TRIM(B87),"")</f>
        <v/>
      </c>
      <c r="U87" s="96">
        <f>IF(T87="",0,IF(SUMPRODUCT(--($T$6:$T$505=T87))&gt;1,1,0))</f>
        <v>0</v>
      </c>
      <c r="V87" s="96">
        <f>IF(F87="",0,IF(ISNUMBER(MATCH(F87,cmp_dest,0)),1,0))</f>
        <v>0</v>
      </c>
      <c r="W87" s="96">
        <f>IF(AND(S87=1,B87&lt;&gt;"",F87&lt;&gt;"",J87="Sim",U87=0),1,0)</f>
        <v>0</v>
      </c>
      <c r="X87" s="96">
        <f>IF(S87=0,0,COUNTIFS('VÍNCULOS_CDF'!$O$6:$O$1005,A87,'VÍNCULOS_CDF'!$Y$6:$Y$1005,1))</f>
        <v>0</v>
      </c>
      <c r="Y87" s="96" t="str">
        <f>IF(S87=1,A87&amp;" | CDF "&amp;IF(B87="","(sem número)",B87)&amp;" | "&amp;IF(F87="","(sem destinador)",F87),"")</f>
        <v/>
      </c>
      <c r="Z87" s="96" t="str">
        <f>IF(S87=1,COUNTIF($S$6:S87,1),"")</f>
        <v/>
      </c>
      <c r="AA87" s="96">
        <f>IF(S87=0,0,IF(AND(OR(r_ini="",AND(ISNUMBER(D87),D87&gt;=r_ini)),OR(r_fim="",AND(ISNUMBER(D87),D87&lt;=r_fim)),OR(r_de="",r_de="(Todos)",F87=r_de)),1,0))</f>
        <v>0</v>
      </c>
      <c r="AB87" s="96" t="str">
        <f>IF(AA87=1,IF(F87="",0,COUNTIF($F$6:$F$505,"&lt;"&amp;F87))*1000+82,"")</f>
        <v/>
      </c>
    </row>
    <row r="88">
      <c r="A88" s="89" t="inlineStr">
        <is>
          <t>CDF-000083</t>
        </is>
      </c>
      <c r="B88" s="90" t="n"/>
      <c r="C88" s="91" t="n"/>
      <c r="D88" s="92" t="n"/>
      <c r="E88" s="91" t="n"/>
      <c r="F88" s="91" t="n"/>
      <c r="G88" s="91" t="n"/>
      <c r="H88" s="91" t="n"/>
      <c r="I88" s="91" t="n"/>
      <c r="J88" s="91" t="n"/>
      <c r="K88" s="92" t="n"/>
      <c r="L88" s="91" t="n"/>
      <c r="M88" s="91" t="n"/>
      <c r="N88" s="91" t="n"/>
      <c r="O88" s="93" t="str">
        <f>IF(S88=0,"",SUMIFS('VÍNCULOS_CDF'!$H$6:$H$1005,'VÍNCULOS_CDF'!$O$6:$O$1005,A88,'VÍNCULOS_CDF'!$V$6:$V$1005,1))</f>
        <v/>
      </c>
      <c r="P88" s="95" t="str">
        <f>IF(S88=0,"",COUNTIFS('VÍNCULOS_CDF'!$O$6:$O$1005,A88,'VÍNCULOS_CDF'!$N$6:$N$1005,1))</f>
        <v/>
      </c>
      <c r="Q88" s="94" t="str">
        <f>IF(S88=0,"",IF(OR(B88="",F88=""),"Informações incompletas",IF(U88=1,"Possível duplicidade",IF(V88=0,"Destinador fora do cadastro",IF(AND(J88="Sim",N(P88)=0),"Necessita revisão de vínculos",IF(X88&gt;0,"Necessita revisão de vínculos",IF(J88="Sim","Conferido",IF(I88="Sim","Localizado, aguardando conferência","Cadastrado"))))))))</f>
        <v/>
      </c>
      <c r="R88" s="95" t="str">
        <f>IF(S88=0,"",COUNTIFS('VÍNCULOS_CDF'!$O$6:$O$1005,A88,'VÍNCULOS_CDF'!$AB$6:$AB$1005,1))</f>
        <v/>
      </c>
      <c r="S88" s="96">
        <f>IF(COUNTA(B88:N88)&gt;0,1,0)</f>
        <v>0</v>
      </c>
      <c r="T88" s="96" t="str">
        <f>IF(AND(S88=1,B88&lt;&gt;""),C88&amp;"|"&amp;TRIM(B88),"")</f>
        <v/>
      </c>
      <c r="U88" s="96">
        <f>IF(T88="",0,IF(SUMPRODUCT(--($T$6:$T$505=T88))&gt;1,1,0))</f>
        <v>0</v>
      </c>
      <c r="V88" s="96">
        <f>IF(F88="",0,IF(ISNUMBER(MATCH(F88,cmp_dest,0)),1,0))</f>
        <v>0</v>
      </c>
      <c r="W88" s="96">
        <f>IF(AND(S88=1,B88&lt;&gt;"",F88&lt;&gt;"",J88="Sim",U88=0),1,0)</f>
        <v>0</v>
      </c>
      <c r="X88" s="96">
        <f>IF(S88=0,0,COUNTIFS('VÍNCULOS_CDF'!$O$6:$O$1005,A88,'VÍNCULOS_CDF'!$Y$6:$Y$1005,1))</f>
        <v>0</v>
      </c>
      <c r="Y88" s="96" t="str">
        <f>IF(S88=1,A88&amp;" | CDF "&amp;IF(B88="","(sem número)",B88)&amp;" | "&amp;IF(F88="","(sem destinador)",F88),"")</f>
        <v/>
      </c>
      <c r="Z88" s="96" t="str">
        <f>IF(S88=1,COUNTIF($S$6:S88,1),"")</f>
        <v/>
      </c>
      <c r="AA88" s="96">
        <f>IF(S88=0,0,IF(AND(OR(r_ini="",AND(ISNUMBER(D88),D88&gt;=r_ini)),OR(r_fim="",AND(ISNUMBER(D88),D88&lt;=r_fim)),OR(r_de="",r_de="(Todos)",F88=r_de)),1,0))</f>
        <v>0</v>
      </c>
      <c r="AB88" s="96" t="str">
        <f>IF(AA88=1,IF(F88="",0,COUNTIF($F$6:$F$505,"&lt;"&amp;F88))*1000+83,"")</f>
        <v/>
      </c>
    </row>
    <row r="89">
      <c r="A89" s="89" t="inlineStr">
        <is>
          <t>CDF-000084</t>
        </is>
      </c>
      <c r="B89" s="90" t="n"/>
      <c r="C89" s="91" t="n"/>
      <c r="D89" s="92" t="n"/>
      <c r="E89" s="91" t="n"/>
      <c r="F89" s="91" t="n"/>
      <c r="G89" s="91" t="n"/>
      <c r="H89" s="91" t="n"/>
      <c r="I89" s="91" t="n"/>
      <c r="J89" s="91" t="n"/>
      <c r="K89" s="92" t="n"/>
      <c r="L89" s="91" t="n"/>
      <c r="M89" s="91" t="n"/>
      <c r="N89" s="91" t="n"/>
      <c r="O89" s="93" t="str">
        <f>IF(S89=0,"",SUMIFS('VÍNCULOS_CDF'!$H$6:$H$1005,'VÍNCULOS_CDF'!$O$6:$O$1005,A89,'VÍNCULOS_CDF'!$V$6:$V$1005,1))</f>
        <v/>
      </c>
      <c r="P89" s="95" t="str">
        <f>IF(S89=0,"",COUNTIFS('VÍNCULOS_CDF'!$O$6:$O$1005,A89,'VÍNCULOS_CDF'!$N$6:$N$1005,1))</f>
        <v/>
      </c>
      <c r="Q89" s="94" t="str">
        <f>IF(S89=0,"",IF(OR(B89="",F89=""),"Informações incompletas",IF(U89=1,"Possível duplicidade",IF(V89=0,"Destinador fora do cadastro",IF(AND(J89="Sim",N(P89)=0),"Necessita revisão de vínculos",IF(X89&gt;0,"Necessita revisão de vínculos",IF(J89="Sim","Conferido",IF(I89="Sim","Localizado, aguardando conferência","Cadastrado"))))))))</f>
        <v/>
      </c>
      <c r="R89" s="95" t="str">
        <f>IF(S89=0,"",COUNTIFS('VÍNCULOS_CDF'!$O$6:$O$1005,A89,'VÍNCULOS_CDF'!$AB$6:$AB$1005,1))</f>
        <v/>
      </c>
      <c r="S89" s="96">
        <f>IF(COUNTA(B89:N89)&gt;0,1,0)</f>
        <v>0</v>
      </c>
      <c r="T89" s="96" t="str">
        <f>IF(AND(S89=1,B89&lt;&gt;""),C89&amp;"|"&amp;TRIM(B89),"")</f>
        <v/>
      </c>
      <c r="U89" s="96">
        <f>IF(T89="",0,IF(SUMPRODUCT(--($T$6:$T$505=T89))&gt;1,1,0))</f>
        <v>0</v>
      </c>
      <c r="V89" s="96">
        <f>IF(F89="",0,IF(ISNUMBER(MATCH(F89,cmp_dest,0)),1,0))</f>
        <v>0</v>
      </c>
      <c r="W89" s="96">
        <f>IF(AND(S89=1,B89&lt;&gt;"",F89&lt;&gt;"",J89="Sim",U89=0),1,0)</f>
        <v>0</v>
      </c>
      <c r="X89" s="96">
        <f>IF(S89=0,0,COUNTIFS('VÍNCULOS_CDF'!$O$6:$O$1005,A89,'VÍNCULOS_CDF'!$Y$6:$Y$1005,1))</f>
        <v>0</v>
      </c>
      <c r="Y89" s="96" t="str">
        <f>IF(S89=1,A89&amp;" | CDF "&amp;IF(B89="","(sem número)",B89)&amp;" | "&amp;IF(F89="","(sem destinador)",F89),"")</f>
        <v/>
      </c>
      <c r="Z89" s="96" t="str">
        <f>IF(S89=1,COUNTIF($S$6:S89,1),"")</f>
        <v/>
      </c>
      <c r="AA89" s="96">
        <f>IF(S89=0,0,IF(AND(OR(r_ini="",AND(ISNUMBER(D89),D89&gt;=r_ini)),OR(r_fim="",AND(ISNUMBER(D89),D89&lt;=r_fim)),OR(r_de="",r_de="(Todos)",F89=r_de)),1,0))</f>
        <v>0</v>
      </c>
      <c r="AB89" s="96" t="str">
        <f>IF(AA89=1,IF(F89="",0,COUNTIF($F$6:$F$505,"&lt;"&amp;F89))*1000+84,"")</f>
        <v/>
      </c>
    </row>
    <row r="90">
      <c r="A90" s="89" t="inlineStr">
        <is>
          <t>CDF-000085</t>
        </is>
      </c>
      <c r="B90" s="90" t="n"/>
      <c r="C90" s="91" t="n"/>
      <c r="D90" s="92" t="n"/>
      <c r="E90" s="91" t="n"/>
      <c r="F90" s="91" t="n"/>
      <c r="G90" s="91" t="n"/>
      <c r="H90" s="91" t="n"/>
      <c r="I90" s="91" t="n"/>
      <c r="J90" s="91" t="n"/>
      <c r="K90" s="92" t="n"/>
      <c r="L90" s="91" t="n"/>
      <c r="M90" s="91" t="n"/>
      <c r="N90" s="91" t="n"/>
      <c r="O90" s="93" t="str">
        <f>IF(S90=0,"",SUMIFS('VÍNCULOS_CDF'!$H$6:$H$1005,'VÍNCULOS_CDF'!$O$6:$O$1005,A90,'VÍNCULOS_CDF'!$V$6:$V$1005,1))</f>
        <v/>
      </c>
      <c r="P90" s="95" t="str">
        <f>IF(S90=0,"",COUNTIFS('VÍNCULOS_CDF'!$O$6:$O$1005,A90,'VÍNCULOS_CDF'!$N$6:$N$1005,1))</f>
        <v/>
      </c>
      <c r="Q90" s="94" t="str">
        <f>IF(S90=0,"",IF(OR(B90="",F90=""),"Informações incompletas",IF(U90=1,"Possível duplicidade",IF(V90=0,"Destinador fora do cadastro",IF(AND(J90="Sim",N(P90)=0),"Necessita revisão de vínculos",IF(X90&gt;0,"Necessita revisão de vínculos",IF(J90="Sim","Conferido",IF(I90="Sim","Localizado, aguardando conferência","Cadastrado"))))))))</f>
        <v/>
      </c>
      <c r="R90" s="95" t="str">
        <f>IF(S90=0,"",COUNTIFS('VÍNCULOS_CDF'!$O$6:$O$1005,A90,'VÍNCULOS_CDF'!$AB$6:$AB$1005,1))</f>
        <v/>
      </c>
      <c r="S90" s="96">
        <f>IF(COUNTA(B90:N90)&gt;0,1,0)</f>
        <v>0</v>
      </c>
      <c r="T90" s="96" t="str">
        <f>IF(AND(S90=1,B90&lt;&gt;""),C90&amp;"|"&amp;TRIM(B90),"")</f>
        <v/>
      </c>
      <c r="U90" s="96">
        <f>IF(T90="",0,IF(SUMPRODUCT(--($T$6:$T$505=T90))&gt;1,1,0))</f>
        <v>0</v>
      </c>
      <c r="V90" s="96">
        <f>IF(F90="",0,IF(ISNUMBER(MATCH(F90,cmp_dest,0)),1,0))</f>
        <v>0</v>
      </c>
      <c r="W90" s="96">
        <f>IF(AND(S90=1,B90&lt;&gt;"",F90&lt;&gt;"",J90="Sim",U90=0),1,0)</f>
        <v>0</v>
      </c>
      <c r="X90" s="96">
        <f>IF(S90=0,0,COUNTIFS('VÍNCULOS_CDF'!$O$6:$O$1005,A90,'VÍNCULOS_CDF'!$Y$6:$Y$1005,1))</f>
        <v>0</v>
      </c>
      <c r="Y90" s="96" t="str">
        <f>IF(S90=1,A90&amp;" | CDF "&amp;IF(B90="","(sem número)",B90)&amp;" | "&amp;IF(F90="","(sem destinador)",F90),"")</f>
        <v/>
      </c>
      <c r="Z90" s="96" t="str">
        <f>IF(S90=1,COUNTIF($S$6:S90,1),"")</f>
        <v/>
      </c>
      <c r="AA90" s="96">
        <f>IF(S90=0,0,IF(AND(OR(r_ini="",AND(ISNUMBER(D90),D90&gt;=r_ini)),OR(r_fim="",AND(ISNUMBER(D90),D90&lt;=r_fim)),OR(r_de="",r_de="(Todos)",F90=r_de)),1,0))</f>
        <v>0</v>
      </c>
      <c r="AB90" s="96" t="str">
        <f>IF(AA90=1,IF(F90="",0,COUNTIF($F$6:$F$505,"&lt;"&amp;F90))*1000+85,"")</f>
        <v/>
      </c>
    </row>
    <row r="91">
      <c r="A91" s="89" t="inlineStr">
        <is>
          <t>CDF-000086</t>
        </is>
      </c>
      <c r="B91" s="90" t="n"/>
      <c r="C91" s="91" t="n"/>
      <c r="D91" s="92" t="n"/>
      <c r="E91" s="91" t="n"/>
      <c r="F91" s="91" t="n"/>
      <c r="G91" s="91" t="n"/>
      <c r="H91" s="91" t="n"/>
      <c r="I91" s="91" t="n"/>
      <c r="J91" s="91" t="n"/>
      <c r="K91" s="92" t="n"/>
      <c r="L91" s="91" t="n"/>
      <c r="M91" s="91" t="n"/>
      <c r="N91" s="91" t="n"/>
      <c r="O91" s="93" t="str">
        <f>IF(S91=0,"",SUMIFS('VÍNCULOS_CDF'!$H$6:$H$1005,'VÍNCULOS_CDF'!$O$6:$O$1005,A91,'VÍNCULOS_CDF'!$V$6:$V$1005,1))</f>
        <v/>
      </c>
      <c r="P91" s="95" t="str">
        <f>IF(S91=0,"",COUNTIFS('VÍNCULOS_CDF'!$O$6:$O$1005,A91,'VÍNCULOS_CDF'!$N$6:$N$1005,1))</f>
        <v/>
      </c>
      <c r="Q91" s="94" t="str">
        <f>IF(S91=0,"",IF(OR(B91="",F91=""),"Informações incompletas",IF(U91=1,"Possível duplicidade",IF(V91=0,"Destinador fora do cadastro",IF(AND(J91="Sim",N(P91)=0),"Necessita revisão de vínculos",IF(X91&gt;0,"Necessita revisão de vínculos",IF(J91="Sim","Conferido",IF(I91="Sim","Localizado, aguardando conferência","Cadastrado"))))))))</f>
        <v/>
      </c>
      <c r="R91" s="95" t="str">
        <f>IF(S91=0,"",COUNTIFS('VÍNCULOS_CDF'!$O$6:$O$1005,A91,'VÍNCULOS_CDF'!$AB$6:$AB$1005,1))</f>
        <v/>
      </c>
      <c r="S91" s="96">
        <f>IF(COUNTA(B91:N91)&gt;0,1,0)</f>
        <v>0</v>
      </c>
      <c r="T91" s="96" t="str">
        <f>IF(AND(S91=1,B91&lt;&gt;""),C91&amp;"|"&amp;TRIM(B91),"")</f>
        <v/>
      </c>
      <c r="U91" s="96">
        <f>IF(T91="",0,IF(SUMPRODUCT(--($T$6:$T$505=T91))&gt;1,1,0))</f>
        <v>0</v>
      </c>
      <c r="V91" s="96">
        <f>IF(F91="",0,IF(ISNUMBER(MATCH(F91,cmp_dest,0)),1,0))</f>
        <v>0</v>
      </c>
      <c r="W91" s="96">
        <f>IF(AND(S91=1,B91&lt;&gt;"",F91&lt;&gt;"",J91="Sim",U91=0),1,0)</f>
        <v>0</v>
      </c>
      <c r="X91" s="96">
        <f>IF(S91=0,0,COUNTIFS('VÍNCULOS_CDF'!$O$6:$O$1005,A91,'VÍNCULOS_CDF'!$Y$6:$Y$1005,1))</f>
        <v>0</v>
      </c>
      <c r="Y91" s="96" t="str">
        <f>IF(S91=1,A91&amp;" | CDF "&amp;IF(B91="","(sem número)",B91)&amp;" | "&amp;IF(F91="","(sem destinador)",F91),"")</f>
        <v/>
      </c>
      <c r="Z91" s="96" t="str">
        <f>IF(S91=1,COUNTIF($S$6:S91,1),"")</f>
        <v/>
      </c>
      <c r="AA91" s="96">
        <f>IF(S91=0,0,IF(AND(OR(r_ini="",AND(ISNUMBER(D91),D91&gt;=r_ini)),OR(r_fim="",AND(ISNUMBER(D91),D91&lt;=r_fim)),OR(r_de="",r_de="(Todos)",F91=r_de)),1,0))</f>
        <v>0</v>
      </c>
      <c r="AB91" s="96" t="str">
        <f>IF(AA91=1,IF(F91="",0,COUNTIF($F$6:$F$505,"&lt;"&amp;F91))*1000+86,"")</f>
        <v/>
      </c>
    </row>
    <row r="92">
      <c r="A92" s="89" t="inlineStr">
        <is>
          <t>CDF-000087</t>
        </is>
      </c>
      <c r="B92" s="90" t="n"/>
      <c r="C92" s="91" t="n"/>
      <c r="D92" s="92" t="n"/>
      <c r="E92" s="91" t="n"/>
      <c r="F92" s="91" t="n"/>
      <c r="G92" s="91" t="n"/>
      <c r="H92" s="91" t="n"/>
      <c r="I92" s="91" t="n"/>
      <c r="J92" s="91" t="n"/>
      <c r="K92" s="92" t="n"/>
      <c r="L92" s="91" t="n"/>
      <c r="M92" s="91" t="n"/>
      <c r="N92" s="91" t="n"/>
      <c r="O92" s="93" t="str">
        <f>IF(S92=0,"",SUMIFS('VÍNCULOS_CDF'!$H$6:$H$1005,'VÍNCULOS_CDF'!$O$6:$O$1005,A92,'VÍNCULOS_CDF'!$V$6:$V$1005,1))</f>
        <v/>
      </c>
      <c r="P92" s="95" t="str">
        <f>IF(S92=0,"",COUNTIFS('VÍNCULOS_CDF'!$O$6:$O$1005,A92,'VÍNCULOS_CDF'!$N$6:$N$1005,1))</f>
        <v/>
      </c>
      <c r="Q92" s="94" t="str">
        <f>IF(S92=0,"",IF(OR(B92="",F92=""),"Informações incompletas",IF(U92=1,"Possível duplicidade",IF(V92=0,"Destinador fora do cadastro",IF(AND(J92="Sim",N(P92)=0),"Necessita revisão de vínculos",IF(X92&gt;0,"Necessita revisão de vínculos",IF(J92="Sim","Conferido",IF(I92="Sim","Localizado, aguardando conferência","Cadastrado"))))))))</f>
        <v/>
      </c>
      <c r="R92" s="95" t="str">
        <f>IF(S92=0,"",COUNTIFS('VÍNCULOS_CDF'!$O$6:$O$1005,A92,'VÍNCULOS_CDF'!$AB$6:$AB$1005,1))</f>
        <v/>
      </c>
      <c r="S92" s="96">
        <f>IF(COUNTA(B92:N92)&gt;0,1,0)</f>
        <v>0</v>
      </c>
      <c r="T92" s="96" t="str">
        <f>IF(AND(S92=1,B92&lt;&gt;""),C92&amp;"|"&amp;TRIM(B92),"")</f>
        <v/>
      </c>
      <c r="U92" s="96">
        <f>IF(T92="",0,IF(SUMPRODUCT(--($T$6:$T$505=T92))&gt;1,1,0))</f>
        <v>0</v>
      </c>
      <c r="V92" s="96">
        <f>IF(F92="",0,IF(ISNUMBER(MATCH(F92,cmp_dest,0)),1,0))</f>
        <v>0</v>
      </c>
      <c r="W92" s="96">
        <f>IF(AND(S92=1,B92&lt;&gt;"",F92&lt;&gt;"",J92="Sim",U92=0),1,0)</f>
        <v>0</v>
      </c>
      <c r="X92" s="96">
        <f>IF(S92=0,0,COUNTIFS('VÍNCULOS_CDF'!$O$6:$O$1005,A92,'VÍNCULOS_CDF'!$Y$6:$Y$1005,1))</f>
        <v>0</v>
      </c>
      <c r="Y92" s="96" t="str">
        <f>IF(S92=1,A92&amp;" | CDF "&amp;IF(B92="","(sem número)",B92)&amp;" | "&amp;IF(F92="","(sem destinador)",F92),"")</f>
        <v/>
      </c>
      <c r="Z92" s="96" t="str">
        <f>IF(S92=1,COUNTIF($S$6:S92,1),"")</f>
        <v/>
      </c>
      <c r="AA92" s="96">
        <f>IF(S92=0,0,IF(AND(OR(r_ini="",AND(ISNUMBER(D92),D92&gt;=r_ini)),OR(r_fim="",AND(ISNUMBER(D92),D92&lt;=r_fim)),OR(r_de="",r_de="(Todos)",F92=r_de)),1,0))</f>
        <v>0</v>
      </c>
      <c r="AB92" s="96" t="str">
        <f>IF(AA92=1,IF(F92="",0,COUNTIF($F$6:$F$505,"&lt;"&amp;F92))*1000+87,"")</f>
        <v/>
      </c>
    </row>
    <row r="93">
      <c r="A93" s="89" t="inlineStr">
        <is>
          <t>CDF-000088</t>
        </is>
      </c>
      <c r="B93" s="90" t="n"/>
      <c r="C93" s="91" t="n"/>
      <c r="D93" s="92" t="n"/>
      <c r="E93" s="91" t="n"/>
      <c r="F93" s="91" t="n"/>
      <c r="G93" s="91" t="n"/>
      <c r="H93" s="91" t="n"/>
      <c r="I93" s="91" t="n"/>
      <c r="J93" s="91" t="n"/>
      <c r="K93" s="92" t="n"/>
      <c r="L93" s="91" t="n"/>
      <c r="M93" s="91" t="n"/>
      <c r="N93" s="91" t="n"/>
      <c r="O93" s="93" t="str">
        <f>IF(S93=0,"",SUMIFS('VÍNCULOS_CDF'!$H$6:$H$1005,'VÍNCULOS_CDF'!$O$6:$O$1005,A93,'VÍNCULOS_CDF'!$V$6:$V$1005,1))</f>
        <v/>
      </c>
      <c r="P93" s="95" t="str">
        <f>IF(S93=0,"",COUNTIFS('VÍNCULOS_CDF'!$O$6:$O$1005,A93,'VÍNCULOS_CDF'!$N$6:$N$1005,1))</f>
        <v/>
      </c>
      <c r="Q93" s="94" t="str">
        <f>IF(S93=0,"",IF(OR(B93="",F93=""),"Informações incompletas",IF(U93=1,"Possível duplicidade",IF(V93=0,"Destinador fora do cadastro",IF(AND(J93="Sim",N(P93)=0),"Necessita revisão de vínculos",IF(X93&gt;0,"Necessita revisão de vínculos",IF(J93="Sim","Conferido",IF(I93="Sim","Localizado, aguardando conferência","Cadastrado"))))))))</f>
        <v/>
      </c>
      <c r="R93" s="95" t="str">
        <f>IF(S93=0,"",COUNTIFS('VÍNCULOS_CDF'!$O$6:$O$1005,A93,'VÍNCULOS_CDF'!$AB$6:$AB$1005,1))</f>
        <v/>
      </c>
      <c r="S93" s="96">
        <f>IF(COUNTA(B93:N93)&gt;0,1,0)</f>
        <v>0</v>
      </c>
      <c r="T93" s="96" t="str">
        <f>IF(AND(S93=1,B93&lt;&gt;""),C93&amp;"|"&amp;TRIM(B93),"")</f>
        <v/>
      </c>
      <c r="U93" s="96">
        <f>IF(T93="",0,IF(SUMPRODUCT(--($T$6:$T$505=T93))&gt;1,1,0))</f>
        <v>0</v>
      </c>
      <c r="V93" s="96">
        <f>IF(F93="",0,IF(ISNUMBER(MATCH(F93,cmp_dest,0)),1,0))</f>
        <v>0</v>
      </c>
      <c r="W93" s="96">
        <f>IF(AND(S93=1,B93&lt;&gt;"",F93&lt;&gt;"",J93="Sim",U93=0),1,0)</f>
        <v>0</v>
      </c>
      <c r="X93" s="96">
        <f>IF(S93=0,0,COUNTIFS('VÍNCULOS_CDF'!$O$6:$O$1005,A93,'VÍNCULOS_CDF'!$Y$6:$Y$1005,1))</f>
        <v>0</v>
      </c>
      <c r="Y93" s="96" t="str">
        <f>IF(S93=1,A93&amp;" | CDF "&amp;IF(B93="","(sem número)",B93)&amp;" | "&amp;IF(F93="","(sem destinador)",F93),"")</f>
        <v/>
      </c>
      <c r="Z93" s="96" t="str">
        <f>IF(S93=1,COUNTIF($S$6:S93,1),"")</f>
        <v/>
      </c>
      <c r="AA93" s="96">
        <f>IF(S93=0,0,IF(AND(OR(r_ini="",AND(ISNUMBER(D93),D93&gt;=r_ini)),OR(r_fim="",AND(ISNUMBER(D93),D93&lt;=r_fim)),OR(r_de="",r_de="(Todos)",F93=r_de)),1,0))</f>
        <v>0</v>
      </c>
      <c r="AB93" s="96" t="str">
        <f>IF(AA93=1,IF(F93="",0,COUNTIF($F$6:$F$505,"&lt;"&amp;F93))*1000+88,"")</f>
        <v/>
      </c>
    </row>
    <row r="94">
      <c r="A94" s="89" t="inlineStr">
        <is>
          <t>CDF-000089</t>
        </is>
      </c>
      <c r="B94" s="90" t="n"/>
      <c r="C94" s="91" t="n"/>
      <c r="D94" s="92" t="n"/>
      <c r="E94" s="91" t="n"/>
      <c r="F94" s="91" t="n"/>
      <c r="G94" s="91" t="n"/>
      <c r="H94" s="91" t="n"/>
      <c r="I94" s="91" t="n"/>
      <c r="J94" s="91" t="n"/>
      <c r="K94" s="92" t="n"/>
      <c r="L94" s="91" t="n"/>
      <c r="M94" s="91" t="n"/>
      <c r="N94" s="91" t="n"/>
      <c r="O94" s="93" t="str">
        <f>IF(S94=0,"",SUMIFS('VÍNCULOS_CDF'!$H$6:$H$1005,'VÍNCULOS_CDF'!$O$6:$O$1005,A94,'VÍNCULOS_CDF'!$V$6:$V$1005,1))</f>
        <v/>
      </c>
      <c r="P94" s="95" t="str">
        <f>IF(S94=0,"",COUNTIFS('VÍNCULOS_CDF'!$O$6:$O$1005,A94,'VÍNCULOS_CDF'!$N$6:$N$1005,1))</f>
        <v/>
      </c>
      <c r="Q94" s="94" t="str">
        <f>IF(S94=0,"",IF(OR(B94="",F94=""),"Informações incompletas",IF(U94=1,"Possível duplicidade",IF(V94=0,"Destinador fora do cadastro",IF(AND(J94="Sim",N(P94)=0),"Necessita revisão de vínculos",IF(X94&gt;0,"Necessita revisão de vínculos",IF(J94="Sim","Conferido",IF(I94="Sim","Localizado, aguardando conferência","Cadastrado"))))))))</f>
        <v/>
      </c>
      <c r="R94" s="95" t="str">
        <f>IF(S94=0,"",COUNTIFS('VÍNCULOS_CDF'!$O$6:$O$1005,A94,'VÍNCULOS_CDF'!$AB$6:$AB$1005,1))</f>
        <v/>
      </c>
      <c r="S94" s="96">
        <f>IF(COUNTA(B94:N94)&gt;0,1,0)</f>
        <v>0</v>
      </c>
      <c r="T94" s="96" t="str">
        <f>IF(AND(S94=1,B94&lt;&gt;""),C94&amp;"|"&amp;TRIM(B94),"")</f>
        <v/>
      </c>
      <c r="U94" s="96">
        <f>IF(T94="",0,IF(SUMPRODUCT(--($T$6:$T$505=T94))&gt;1,1,0))</f>
        <v>0</v>
      </c>
      <c r="V94" s="96">
        <f>IF(F94="",0,IF(ISNUMBER(MATCH(F94,cmp_dest,0)),1,0))</f>
        <v>0</v>
      </c>
      <c r="W94" s="96">
        <f>IF(AND(S94=1,B94&lt;&gt;"",F94&lt;&gt;"",J94="Sim",U94=0),1,0)</f>
        <v>0</v>
      </c>
      <c r="X94" s="96">
        <f>IF(S94=0,0,COUNTIFS('VÍNCULOS_CDF'!$O$6:$O$1005,A94,'VÍNCULOS_CDF'!$Y$6:$Y$1005,1))</f>
        <v>0</v>
      </c>
      <c r="Y94" s="96" t="str">
        <f>IF(S94=1,A94&amp;" | CDF "&amp;IF(B94="","(sem número)",B94)&amp;" | "&amp;IF(F94="","(sem destinador)",F94),"")</f>
        <v/>
      </c>
      <c r="Z94" s="96" t="str">
        <f>IF(S94=1,COUNTIF($S$6:S94,1),"")</f>
        <v/>
      </c>
      <c r="AA94" s="96">
        <f>IF(S94=0,0,IF(AND(OR(r_ini="",AND(ISNUMBER(D94),D94&gt;=r_ini)),OR(r_fim="",AND(ISNUMBER(D94),D94&lt;=r_fim)),OR(r_de="",r_de="(Todos)",F94=r_de)),1,0))</f>
        <v>0</v>
      </c>
      <c r="AB94" s="96" t="str">
        <f>IF(AA94=1,IF(F94="",0,COUNTIF($F$6:$F$505,"&lt;"&amp;F94))*1000+89,"")</f>
        <v/>
      </c>
    </row>
    <row r="95">
      <c r="A95" s="89" t="inlineStr">
        <is>
          <t>CDF-000090</t>
        </is>
      </c>
      <c r="B95" s="90" t="n"/>
      <c r="C95" s="91" t="n"/>
      <c r="D95" s="92" t="n"/>
      <c r="E95" s="91" t="n"/>
      <c r="F95" s="91" t="n"/>
      <c r="G95" s="91" t="n"/>
      <c r="H95" s="91" t="n"/>
      <c r="I95" s="91" t="n"/>
      <c r="J95" s="91" t="n"/>
      <c r="K95" s="92" t="n"/>
      <c r="L95" s="91" t="n"/>
      <c r="M95" s="91" t="n"/>
      <c r="N95" s="91" t="n"/>
      <c r="O95" s="93" t="str">
        <f>IF(S95=0,"",SUMIFS('VÍNCULOS_CDF'!$H$6:$H$1005,'VÍNCULOS_CDF'!$O$6:$O$1005,A95,'VÍNCULOS_CDF'!$V$6:$V$1005,1))</f>
        <v/>
      </c>
      <c r="P95" s="95" t="str">
        <f>IF(S95=0,"",COUNTIFS('VÍNCULOS_CDF'!$O$6:$O$1005,A95,'VÍNCULOS_CDF'!$N$6:$N$1005,1))</f>
        <v/>
      </c>
      <c r="Q95" s="94" t="str">
        <f>IF(S95=0,"",IF(OR(B95="",F95=""),"Informações incompletas",IF(U95=1,"Possível duplicidade",IF(V95=0,"Destinador fora do cadastro",IF(AND(J95="Sim",N(P95)=0),"Necessita revisão de vínculos",IF(X95&gt;0,"Necessita revisão de vínculos",IF(J95="Sim","Conferido",IF(I95="Sim","Localizado, aguardando conferência","Cadastrado"))))))))</f>
        <v/>
      </c>
      <c r="R95" s="95" t="str">
        <f>IF(S95=0,"",COUNTIFS('VÍNCULOS_CDF'!$O$6:$O$1005,A95,'VÍNCULOS_CDF'!$AB$6:$AB$1005,1))</f>
        <v/>
      </c>
      <c r="S95" s="96">
        <f>IF(COUNTA(B95:N95)&gt;0,1,0)</f>
        <v>0</v>
      </c>
      <c r="T95" s="96" t="str">
        <f>IF(AND(S95=1,B95&lt;&gt;""),C95&amp;"|"&amp;TRIM(B95),"")</f>
        <v/>
      </c>
      <c r="U95" s="96">
        <f>IF(T95="",0,IF(SUMPRODUCT(--($T$6:$T$505=T95))&gt;1,1,0))</f>
        <v>0</v>
      </c>
      <c r="V95" s="96">
        <f>IF(F95="",0,IF(ISNUMBER(MATCH(F95,cmp_dest,0)),1,0))</f>
        <v>0</v>
      </c>
      <c r="W95" s="96">
        <f>IF(AND(S95=1,B95&lt;&gt;"",F95&lt;&gt;"",J95="Sim",U95=0),1,0)</f>
        <v>0</v>
      </c>
      <c r="X95" s="96">
        <f>IF(S95=0,0,COUNTIFS('VÍNCULOS_CDF'!$O$6:$O$1005,A95,'VÍNCULOS_CDF'!$Y$6:$Y$1005,1))</f>
        <v>0</v>
      </c>
      <c r="Y95" s="96" t="str">
        <f>IF(S95=1,A95&amp;" | CDF "&amp;IF(B95="","(sem número)",B95)&amp;" | "&amp;IF(F95="","(sem destinador)",F95),"")</f>
        <v/>
      </c>
      <c r="Z95" s="96" t="str">
        <f>IF(S95=1,COUNTIF($S$6:S95,1),"")</f>
        <v/>
      </c>
      <c r="AA95" s="96">
        <f>IF(S95=0,0,IF(AND(OR(r_ini="",AND(ISNUMBER(D95),D95&gt;=r_ini)),OR(r_fim="",AND(ISNUMBER(D95),D95&lt;=r_fim)),OR(r_de="",r_de="(Todos)",F95=r_de)),1,0))</f>
        <v>0</v>
      </c>
      <c r="AB95" s="96" t="str">
        <f>IF(AA95=1,IF(F95="",0,COUNTIF($F$6:$F$505,"&lt;"&amp;F95))*1000+90,"")</f>
        <v/>
      </c>
    </row>
    <row r="96">
      <c r="A96" s="89" t="inlineStr">
        <is>
          <t>CDF-000091</t>
        </is>
      </c>
      <c r="B96" s="90" t="n"/>
      <c r="C96" s="91" t="n"/>
      <c r="D96" s="92" t="n"/>
      <c r="E96" s="91" t="n"/>
      <c r="F96" s="91" t="n"/>
      <c r="G96" s="91" t="n"/>
      <c r="H96" s="91" t="n"/>
      <c r="I96" s="91" t="n"/>
      <c r="J96" s="91" t="n"/>
      <c r="K96" s="92" t="n"/>
      <c r="L96" s="91" t="n"/>
      <c r="M96" s="91" t="n"/>
      <c r="N96" s="91" t="n"/>
      <c r="O96" s="93" t="str">
        <f>IF(S96=0,"",SUMIFS('VÍNCULOS_CDF'!$H$6:$H$1005,'VÍNCULOS_CDF'!$O$6:$O$1005,A96,'VÍNCULOS_CDF'!$V$6:$V$1005,1))</f>
        <v/>
      </c>
      <c r="P96" s="95" t="str">
        <f>IF(S96=0,"",COUNTIFS('VÍNCULOS_CDF'!$O$6:$O$1005,A96,'VÍNCULOS_CDF'!$N$6:$N$1005,1))</f>
        <v/>
      </c>
      <c r="Q96" s="94" t="str">
        <f>IF(S96=0,"",IF(OR(B96="",F96=""),"Informações incompletas",IF(U96=1,"Possível duplicidade",IF(V96=0,"Destinador fora do cadastro",IF(AND(J96="Sim",N(P96)=0),"Necessita revisão de vínculos",IF(X96&gt;0,"Necessita revisão de vínculos",IF(J96="Sim","Conferido",IF(I96="Sim","Localizado, aguardando conferência","Cadastrado"))))))))</f>
        <v/>
      </c>
      <c r="R96" s="95" t="str">
        <f>IF(S96=0,"",COUNTIFS('VÍNCULOS_CDF'!$O$6:$O$1005,A96,'VÍNCULOS_CDF'!$AB$6:$AB$1005,1))</f>
        <v/>
      </c>
      <c r="S96" s="96">
        <f>IF(COUNTA(B96:N96)&gt;0,1,0)</f>
        <v>0</v>
      </c>
      <c r="T96" s="96" t="str">
        <f>IF(AND(S96=1,B96&lt;&gt;""),C96&amp;"|"&amp;TRIM(B96),"")</f>
        <v/>
      </c>
      <c r="U96" s="96">
        <f>IF(T96="",0,IF(SUMPRODUCT(--($T$6:$T$505=T96))&gt;1,1,0))</f>
        <v>0</v>
      </c>
      <c r="V96" s="96">
        <f>IF(F96="",0,IF(ISNUMBER(MATCH(F96,cmp_dest,0)),1,0))</f>
        <v>0</v>
      </c>
      <c r="W96" s="96">
        <f>IF(AND(S96=1,B96&lt;&gt;"",F96&lt;&gt;"",J96="Sim",U96=0),1,0)</f>
        <v>0</v>
      </c>
      <c r="X96" s="96">
        <f>IF(S96=0,0,COUNTIFS('VÍNCULOS_CDF'!$O$6:$O$1005,A96,'VÍNCULOS_CDF'!$Y$6:$Y$1005,1))</f>
        <v>0</v>
      </c>
      <c r="Y96" s="96" t="str">
        <f>IF(S96=1,A96&amp;" | CDF "&amp;IF(B96="","(sem número)",B96)&amp;" | "&amp;IF(F96="","(sem destinador)",F96),"")</f>
        <v/>
      </c>
      <c r="Z96" s="96" t="str">
        <f>IF(S96=1,COUNTIF($S$6:S96,1),"")</f>
        <v/>
      </c>
      <c r="AA96" s="96">
        <f>IF(S96=0,0,IF(AND(OR(r_ini="",AND(ISNUMBER(D96),D96&gt;=r_ini)),OR(r_fim="",AND(ISNUMBER(D96),D96&lt;=r_fim)),OR(r_de="",r_de="(Todos)",F96=r_de)),1,0))</f>
        <v>0</v>
      </c>
      <c r="AB96" s="96" t="str">
        <f>IF(AA96=1,IF(F96="",0,COUNTIF($F$6:$F$505,"&lt;"&amp;F96))*1000+91,"")</f>
        <v/>
      </c>
    </row>
    <row r="97">
      <c r="A97" s="89" t="inlineStr">
        <is>
          <t>CDF-000092</t>
        </is>
      </c>
      <c r="B97" s="90" t="n"/>
      <c r="C97" s="91" t="n"/>
      <c r="D97" s="92" t="n"/>
      <c r="E97" s="91" t="n"/>
      <c r="F97" s="91" t="n"/>
      <c r="G97" s="91" t="n"/>
      <c r="H97" s="91" t="n"/>
      <c r="I97" s="91" t="n"/>
      <c r="J97" s="91" t="n"/>
      <c r="K97" s="92" t="n"/>
      <c r="L97" s="91" t="n"/>
      <c r="M97" s="91" t="n"/>
      <c r="N97" s="91" t="n"/>
      <c r="O97" s="93" t="str">
        <f>IF(S97=0,"",SUMIFS('VÍNCULOS_CDF'!$H$6:$H$1005,'VÍNCULOS_CDF'!$O$6:$O$1005,A97,'VÍNCULOS_CDF'!$V$6:$V$1005,1))</f>
        <v/>
      </c>
      <c r="P97" s="95" t="str">
        <f>IF(S97=0,"",COUNTIFS('VÍNCULOS_CDF'!$O$6:$O$1005,A97,'VÍNCULOS_CDF'!$N$6:$N$1005,1))</f>
        <v/>
      </c>
      <c r="Q97" s="94" t="str">
        <f>IF(S97=0,"",IF(OR(B97="",F97=""),"Informações incompletas",IF(U97=1,"Possível duplicidade",IF(V97=0,"Destinador fora do cadastro",IF(AND(J97="Sim",N(P97)=0),"Necessita revisão de vínculos",IF(X97&gt;0,"Necessita revisão de vínculos",IF(J97="Sim","Conferido",IF(I97="Sim","Localizado, aguardando conferência","Cadastrado"))))))))</f>
        <v/>
      </c>
      <c r="R97" s="95" t="str">
        <f>IF(S97=0,"",COUNTIFS('VÍNCULOS_CDF'!$O$6:$O$1005,A97,'VÍNCULOS_CDF'!$AB$6:$AB$1005,1))</f>
        <v/>
      </c>
      <c r="S97" s="96">
        <f>IF(COUNTA(B97:N97)&gt;0,1,0)</f>
        <v>0</v>
      </c>
      <c r="T97" s="96" t="str">
        <f>IF(AND(S97=1,B97&lt;&gt;""),C97&amp;"|"&amp;TRIM(B97),"")</f>
        <v/>
      </c>
      <c r="U97" s="96">
        <f>IF(T97="",0,IF(SUMPRODUCT(--($T$6:$T$505=T97))&gt;1,1,0))</f>
        <v>0</v>
      </c>
      <c r="V97" s="96">
        <f>IF(F97="",0,IF(ISNUMBER(MATCH(F97,cmp_dest,0)),1,0))</f>
        <v>0</v>
      </c>
      <c r="W97" s="96">
        <f>IF(AND(S97=1,B97&lt;&gt;"",F97&lt;&gt;"",J97="Sim",U97=0),1,0)</f>
        <v>0</v>
      </c>
      <c r="X97" s="96">
        <f>IF(S97=0,0,COUNTIFS('VÍNCULOS_CDF'!$O$6:$O$1005,A97,'VÍNCULOS_CDF'!$Y$6:$Y$1005,1))</f>
        <v>0</v>
      </c>
      <c r="Y97" s="96" t="str">
        <f>IF(S97=1,A97&amp;" | CDF "&amp;IF(B97="","(sem número)",B97)&amp;" | "&amp;IF(F97="","(sem destinador)",F97),"")</f>
        <v/>
      </c>
      <c r="Z97" s="96" t="str">
        <f>IF(S97=1,COUNTIF($S$6:S97,1),"")</f>
        <v/>
      </c>
      <c r="AA97" s="96">
        <f>IF(S97=0,0,IF(AND(OR(r_ini="",AND(ISNUMBER(D97),D97&gt;=r_ini)),OR(r_fim="",AND(ISNUMBER(D97),D97&lt;=r_fim)),OR(r_de="",r_de="(Todos)",F97=r_de)),1,0))</f>
        <v>0</v>
      </c>
      <c r="AB97" s="96" t="str">
        <f>IF(AA97=1,IF(F97="",0,COUNTIF($F$6:$F$505,"&lt;"&amp;F97))*1000+92,"")</f>
        <v/>
      </c>
    </row>
    <row r="98">
      <c r="A98" s="89" t="inlineStr">
        <is>
          <t>CDF-000093</t>
        </is>
      </c>
      <c r="B98" s="90" t="n"/>
      <c r="C98" s="91" t="n"/>
      <c r="D98" s="92" t="n"/>
      <c r="E98" s="91" t="n"/>
      <c r="F98" s="91" t="n"/>
      <c r="G98" s="91" t="n"/>
      <c r="H98" s="91" t="n"/>
      <c r="I98" s="91" t="n"/>
      <c r="J98" s="91" t="n"/>
      <c r="K98" s="92" t="n"/>
      <c r="L98" s="91" t="n"/>
      <c r="M98" s="91" t="n"/>
      <c r="N98" s="91" t="n"/>
      <c r="O98" s="93" t="str">
        <f>IF(S98=0,"",SUMIFS('VÍNCULOS_CDF'!$H$6:$H$1005,'VÍNCULOS_CDF'!$O$6:$O$1005,A98,'VÍNCULOS_CDF'!$V$6:$V$1005,1))</f>
        <v/>
      </c>
      <c r="P98" s="95" t="str">
        <f>IF(S98=0,"",COUNTIFS('VÍNCULOS_CDF'!$O$6:$O$1005,A98,'VÍNCULOS_CDF'!$N$6:$N$1005,1))</f>
        <v/>
      </c>
      <c r="Q98" s="94" t="str">
        <f>IF(S98=0,"",IF(OR(B98="",F98=""),"Informações incompletas",IF(U98=1,"Possível duplicidade",IF(V98=0,"Destinador fora do cadastro",IF(AND(J98="Sim",N(P98)=0),"Necessita revisão de vínculos",IF(X98&gt;0,"Necessita revisão de vínculos",IF(J98="Sim","Conferido",IF(I98="Sim","Localizado, aguardando conferência","Cadastrado"))))))))</f>
        <v/>
      </c>
      <c r="R98" s="95" t="str">
        <f>IF(S98=0,"",COUNTIFS('VÍNCULOS_CDF'!$O$6:$O$1005,A98,'VÍNCULOS_CDF'!$AB$6:$AB$1005,1))</f>
        <v/>
      </c>
      <c r="S98" s="96">
        <f>IF(COUNTA(B98:N98)&gt;0,1,0)</f>
        <v>0</v>
      </c>
      <c r="T98" s="96" t="str">
        <f>IF(AND(S98=1,B98&lt;&gt;""),C98&amp;"|"&amp;TRIM(B98),"")</f>
        <v/>
      </c>
      <c r="U98" s="96">
        <f>IF(T98="",0,IF(SUMPRODUCT(--($T$6:$T$505=T98))&gt;1,1,0))</f>
        <v>0</v>
      </c>
      <c r="V98" s="96">
        <f>IF(F98="",0,IF(ISNUMBER(MATCH(F98,cmp_dest,0)),1,0))</f>
        <v>0</v>
      </c>
      <c r="W98" s="96">
        <f>IF(AND(S98=1,B98&lt;&gt;"",F98&lt;&gt;"",J98="Sim",U98=0),1,0)</f>
        <v>0</v>
      </c>
      <c r="X98" s="96">
        <f>IF(S98=0,0,COUNTIFS('VÍNCULOS_CDF'!$O$6:$O$1005,A98,'VÍNCULOS_CDF'!$Y$6:$Y$1005,1))</f>
        <v>0</v>
      </c>
      <c r="Y98" s="96" t="str">
        <f>IF(S98=1,A98&amp;" | CDF "&amp;IF(B98="","(sem número)",B98)&amp;" | "&amp;IF(F98="","(sem destinador)",F98),"")</f>
        <v/>
      </c>
      <c r="Z98" s="96" t="str">
        <f>IF(S98=1,COUNTIF($S$6:S98,1),"")</f>
        <v/>
      </c>
      <c r="AA98" s="96">
        <f>IF(S98=0,0,IF(AND(OR(r_ini="",AND(ISNUMBER(D98),D98&gt;=r_ini)),OR(r_fim="",AND(ISNUMBER(D98),D98&lt;=r_fim)),OR(r_de="",r_de="(Todos)",F98=r_de)),1,0))</f>
        <v>0</v>
      </c>
      <c r="AB98" s="96" t="str">
        <f>IF(AA98=1,IF(F98="",0,COUNTIF($F$6:$F$505,"&lt;"&amp;F98))*1000+93,"")</f>
        <v/>
      </c>
    </row>
    <row r="99">
      <c r="A99" s="89" t="inlineStr">
        <is>
          <t>CDF-000094</t>
        </is>
      </c>
      <c r="B99" s="90" t="n"/>
      <c r="C99" s="91" t="n"/>
      <c r="D99" s="92" t="n"/>
      <c r="E99" s="91" t="n"/>
      <c r="F99" s="91" t="n"/>
      <c r="G99" s="91" t="n"/>
      <c r="H99" s="91" t="n"/>
      <c r="I99" s="91" t="n"/>
      <c r="J99" s="91" t="n"/>
      <c r="K99" s="92" t="n"/>
      <c r="L99" s="91" t="n"/>
      <c r="M99" s="91" t="n"/>
      <c r="N99" s="91" t="n"/>
      <c r="O99" s="93" t="str">
        <f>IF(S99=0,"",SUMIFS('VÍNCULOS_CDF'!$H$6:$H$1005,'VÍNCULOS_CDF'!$O$6:$O$1005,A99,'VÍNCULOS_CDF'!$V$6:$V$1005,1))</f>
        <v/>
      </c>
      <c r="P99" s="95" t="str">
        <f>IF(S99=0,"",COUNTIFS('VÍNCULOS_CDF'!$O$6:$O$1005,A99,'VÍNCULOS_CDF'!$N$6:$N$1005,1))</f>
        <v/>
      </c>
      <c r="Q99" s="94" t="str">
        <f>IF(S99=0,"",IF(OR(B99="",F99=""),"Informações incompletas",IF(U99=1,"Possível duplicidade",IF(V99=0,"Destinador fora do cadastro",IF(AND(J99="Sim",N(P99)=0),"Necessita revisão de vínculos",IF(X99&gt;0,"Necessita revisão de vínculos",IF(J99="Sim","Conferido",IF(I99="Sim","Localizado, aguardando conferência","Cadastrado"))))))))</f>
        <v/>
      </c>
      <c r="R99" s="95" t="str">
        <f>IF(S99=0,"",COUNTIFS('VÍNCULOS_CDF'!$O$6:$O$1005,A99,'VÍNCULOS_CDF'!$AB$6:$AB$1005,1))</f>
        <v/>
      </c>
      <c r="S99" s="96">
        <f>IF(COUNTA(B99:N99)&gt;0,1,0)</f>
        <v>0</v>
      </c>
      <c r="T99" s="96" t="str">
        <f>IF(AND(S99=1,B99&lt;&gt;""),C99&amp;"|"&amp;TRIM(B99),"")</f>
        <v/>
      </c>
      <c r="U99" s="96">
        <f>IF(T99="",0,IF(SUMPRODUCT(--($T$6:$T$505=T99))&gt;1,1,0))</f>
        <v>0</v>
      </c>
      <c r="V99" s="96">
        <f>IF(F99="",0,IF(ISNUMBER(MATCH(F99,cmp_dest,0)),1,0))</f>
        <v>0</v>
      </c>
      <c r="W99" s="96">
        <f>IF(AND(S99=1,B99&lt;&gt;"",F99&lt;&gt;"",J99="Sim",U99=0),1,0)</f>
        <v>0</v>
      </c>
      <c r="X99" s="96">
        <f>IF(S99=0,0,COUNTIFS('VÍNCULOS_CDF'!$O$6:$O$1005,A99,'VÍNCULOS_CDF'!$Y$6:$Y$1005,1))</f>
        <v>0</v>
      </c>
      <c r="Y99" s="96" t="str">
        <f>IF(S99=1,A99&amp;" | CDF "&amp;IF(B99="","(sem número)",B99)&amp;" | "&amp;IF(F99="","(sem destinador)",F99),"")</f>
        <v/>
      </c>
      <c r="Z99" s="96" t="str">
        <f>IF(S99=1,COUNTIF($S$6:S99,1),"")</f>
        <v/>
      </c>
      <c r="AA99" s="96">
        <f>IF(S99=0,0,IF(AND(OR(r_ini="",AND(ISNUMBER(D99),D99&gt;=r_ini)),OR(r_fim="",AND(ISNUMBER(D99),D99&lt;=r_fim)),OR(r_de="",r_de="(Todos)",F99=r_de)),1,0))</f>
        <v>0</v>
      </c>
      <c r="AB99" s="96" t="str">
        <f>IF(AA99=1,IF(F99="",0,COUNTIF($F$6:$F$505,"&lt;"&amp;F99))*1000+94,"")</f>
        <v/>
      </c>
    </row>
    <row r="100">
      <c r="A100" s="89" t="inlineStr">
        <is>
          <t>CDF-000095</t>
        </is>
      </c>
      <c r="B100" s="90" t="n"/>
      <c r="C100" s="91" t="n"/>
      <c r="D100" s="92" t="n"/>
      <c r="E100" s="91" t="n"/>
      <c r="F100" s="91" t="n"/>
      <c r="G100" s="91" t="n"/>
      <c r="H100" s="91" t="n"/>
      <c r="I100" s="91" t="n"/>
      <c r="J100" s="91" t="n"/>
      <c r="K100" s="92" t="n"/>
      <c r="L100" s="91" t="n"/>
      <c r="M100" s="91" t="n"/>
      <c r="N100" s="91" t="n"/>
      <c r="O100" s="93" t="str">
        <f>IF(S100=0,"",SUMIFS('VÍNCULOS_CDF'!$H$6:$H$1005,'VÍNCULOS_CDF'!$O$6:$O$1005,A100,'VÍNCULOS_CDF'!$V$6:$V$1005,1))</f>
        <v/>
      </c>
      <c r="P100" s="95" t="str">
        <f>IF(S100=0,"",COUNTIFS('VÍNCULOS_CDF'!$O$6:$O$1005,A100,'VÍNCULOS_CDF'!$N$6:$N$1005,1))</f>
        <v/>
      </c>
      <c r="Q100" s="94" t="str">
        <f>IF(S100=0,"",IF(OR(B100="",F100=""),"Informações incompletas",IF(U100=1,"Possível duplicidade",IF(V100=0,"Destinador fora do cadastro",IF(AND(J100="Sim",N(P100)=0),"Necessita revisão de vínculos",IF(X100&gt;0,"Necessita revisão de vínculos",IF(J100="Sim","Conferido",IF(I100="Sim","Localizado, aguardando conferência","Cadastrado"))))))))</f>
        <v/>
      </c>
      <c r="R100" s="95" t="str">
        <f>IF(S100=0,"",COUNTIFS('VÍNCULOS_CDF'!$O$6:$O$1005,A100,'VÍNCULOS_CDF'!$AB$6:$AB$1005,1))</f>
        <v/>
      </c>
      <c r="S100" s="96">
        <f>IF(COUNTA(B100:N100)&gt;0,1,0)</f>
        <v>0</v>
      </c>
      <c r="T100" s="96" t="str">
        <f>IF(AND(S100=1,B100&lt;&gt;""),C100&amp;"|"&amp;TRIM(B100),"")</f>
        <v/>
      </c>
      <c r="U100" s="96">
        <f>IF(T100="",0,IF(SUMPRODUCT(--($T$6:$T$505=T100))&gt;1,1,0))</f>
        <v>0</v>
      </c>
      <c r="V100" s="96">
        <f>IF(F100="",0,IF(ISNUMBER(MATCH(F100,cmp_dest,0)),1,0))</f>
        <v>0</v>
      </c>
      <c r="W100" s="96">
        <f>IF(AND(S100=1,B100&lt;&gt;"",F100&lt;&gt;"",J100="Sim",U100=0),1,0)</f>
        <v>0</v>
      </c>
      <c r="X100" s="96">
        <f>IF(S100=0,0,COUNTIFS('VÍNCULOS_CDF'!$O$6:$O$1005,A100,'VÍNCULOS_CDF'!$Y$6:$Y$1005,1))</f>
        <v>0</v>
      </c>
      <c r="Y100" s="96" t="str">
        <f>IF(S100=1,A100&amp;" | CDF "&amp;IF(B100="","(sem número)",B100)&amp;" | "&amp;IF(F100="","(sem destinador)",F100),"")</f>
        <v/>
      </c>
      <c r="Z100" s="96" t="str">
        <f>IF(S100=1,COUNTIF($S$6:S100,1),"")</f>
        <v/>
      </c>
      <c r="AA100" s="96">
        <f>IF(S100=0,0,IF(AND(OR(r_ini="",AND(ISNUMBER(D100),D100&gt;=r_ini)),OR(r_fim="",AND(ISNUMBER(D100),D100&lt;=r_fim)),OR(r_de="",r_de="(Todos)",F100=r_de)),1,0))</f>
        <v>0</v>
      </c>
      <c r="AB100" s="96" t="str">
        <f>IF(AA100=1,IF(F100="",0,COUNTIF($F$6:$F$505,"&lt;"&amp;F100))*1000+95,"")</f>
        <v/>
      </c>
    </row>
    <row r="101">
      <c r="A101" s="89" t="inlineStr">
        <is>
          <t>CDF-000096</t>
        </is>
      </c>
      <c r="B101" s="90" t="n"/>
      <c r="C101" s="91" t="n"/>
      <c r="D101" s="92" t="n"/>
      <c r="E101" s="91" t="n"/>
      <c r="F101" s="91" t="n"/>
      <c r="G101" s="91" t="n"/>
      <c r="H101" s="91" t="n"/>
      <c r="I101" s="91" t="n"/>
      <c r="J101" s="91" t="n"/>
      <c r="K101" s="92" t="n"/>
      <c r="L101" s="91" t="n"/>
      <c r="M101" s="91" t="n"/>
      <c r="N101" s="91" t="n"/>
      <c r="O101" s="93" t="str">
        <f>IF(S101=0,"",SUMIFS('VÍNCULOS_CDF'!$H$6:$H$1005,'VÍNCULOS_CDF'!$O$6:$O$1005,A101,'VÍNCULOS_CDF'!$V$6:$V$1005,1))</f>
        <v/>
      </c>
      <c r="P101" s="95" t="str">
        <f>IF(S101=0,"",COUNTIFS('VÍNCULOS_CDF'!$O$6:$O$1005,A101,'VÍNCULOS_CDF'!$N$6:$N$1005,1))</f>
        <v/>
      </c>
      <c r="Q101" s="94" t="str">
        <f>IF(S101=0,"",IF(OR(B101="",F101=""),"Informações incompletas",IF(U101=1,"Possível duplicidade",IF(V101=0,"Destinador fora do cadastro",IF(AND(J101="Sim",N(P101)=0),"Necessita revisão de vínculos",IF(X101&gt;0,"Necessita revisão de vínculos",IF(J101="Sim","Conferido",IF(I101="Sim","Localizado, aguardando conferência","Cadastrado"))))))))</f>
        <v/>
      </c>
      <c r="R101" s="95" t="str">
        <f>IF(S101=0,"",COUNTIFS('VÍNCULOS_CDF'!$O$6:$O$1005,A101,'VÍNCULOS_CDF'!$AB$6:$AB$1005,1))</f>
        <v/>
      </c>
      <c r="S101" s="96">
        <f>IF(COUNTA(B101:N101)&gt;0,1,0)</f>
        <v>0</v>
      </c>
      <c r="T101" s="96" t="str">
        <f>IF(AND(S101=1,B101&lt;&gt;""),C101&amp;"|"&amp;TRIM(B101),"")</f>
        <v/>
      </c>
      <c r="U101" s="96">
        <f>IF(T101="",0,IF(SUMPRODUCT(--($T$6:$T$505=T101))&gt;1,1,0))</f>
        <v>0</v>
      </c>
      <c r="V101" s="96">
        <f>IF(F101="",0,IF(ISNUMBER(MATCH(F101,cmp_dest,0)),1,0))</f>
        <v>0</v>
      </c>
      <c r="W101" s="96">
        <f>IF(AND(S101=1,B101&lt;&gt;"",F101&lt;&gt;"",J101="Sim",U101=0),1,0)</f>
        <v>0</v>
      </c>
      <c r="X101" s="96">
        <f>IF(S101=0,0,COUNTIFS('VÍNCULOS_CDF'!$O$6:$O$1005,A101,'VÍNCULOS_CDF'!$Y$6:$Y$1005,1))</f>
        <v>0</v>
      </c>
      <c r="Y101" s="96" t="str">
        <f>IF(S101=1,A101&amp;" | CDF "&amp;IF(B101="","(sem número)",B101)&amp;" | "&amp;IF(F101="","(sem destinador)",F101),"")</f>
        <v/>
      </c>
      <c r="Z101" s="96" t="str">
        <f>IF(S101=1,COUNTIF($S$6:S101,1),"")</f>
        <v/>
      </c>
      <c r="AA101" s="96">
        <f>IF(S101=0,0,IF(AND(OR(r_ini="",AND(ISNUMBER(D101),D101&gt;=r_ini)),OR(r_fim="",AND(ISNUMBER(D101),D101&lt;=r_fim)),OR(r_de="",r_de="(Todos)",F101=r_de)),1,0))</f>
        <v>0</v>
      </c>
      <c r="AB101" s="96" t="str">
        <f>IF(AA101=1,IF(F101="",0,COUNTIF($F$6:$F$505,"&lt;"&amp;F101))*1000+96,"")</f>
        <v/>
      </c>
    </row>
    <row r="102">
      <c r="A102" s="89" t="inlineStr">
        <is>
          <t>CDF-000097</t>
        </is>
      </c>
      <c r="B102" s="90" t="n"/>
      <c r="C102" s="91" t="n"/>
      <c r="D102" s="92" t="n"/>
      <c r="E102" s="91" t="n"/>
      <c r="F102" s="91" t="n"/>
      <c r="G102" s="91" t="n"/>
      <c r="H102" s="91" t="n"/>
      <c r="I102" s="91" t="n"/>
      <c r="J102" s="91" t="n"/>
      <c r="K102" s="92" t="n"/>
      <c r="L102" s="91" t="n"/>
      <c r="M102" s="91" t="n"/>
      <c r="N102" s="91" t="n"/>
      <c r="O102" s="93" t="str">
        <f>IF(S102=0,"",SUMIFS('VÍNCULOS_CDF'!$H$6:$H$1005,'VÍNCULOS_CDF'!$O$6:$O$1005,A102,'VÍNCULOS_CDF'!$V$6:$V$1005,1))</f>
        <v/>
      </c>
      <c r="P102" s="95" t="str">
        <f>IF(S102=0,"",COUNTIFS('VÍNCULOS_CDF'!$O$6:$O$1005,A102,'VÍNCULOS_CDF'!$N$6:$N$1005,1))</f>
        <v/>
      </c>
      <c r="Q102" s="94" t="str">
        <f>IF(S102=0,"",IF(OR(B102="",F102=""),"Informações incompletas",IF(U102=1,"Possível duplicidade",IF(V102=0,"Destinador fora do cadastro",IF(AND(J102="Sim",N(P102)=0),"Necessita revisão de vínculos",IF(X102&gt;0,"Necessita revisão de vínculos",IF(J102="Sim","Conferido",IF(I102="Sim","Localizado, aguardando conferência","Cadastrado"))))))))</f>
        <v/>
      </c>
      <c r="R102" s="95" t="str">
        <f>IF(S102=0,"",COUNTIFS('VÍNCULOS_CDF'!$O$6:$O$1005,A102,'VÍNCULOS_CDF'!$AB$6:$AB$1005,1))</f>
        <v/>
      </c>
      <c r="S102" s="96">
        <f>IF(COUNTA(B102:N102)&gt;0,1,0)</f>
        <v>0</v>
      </c>
      <c r="T102" s="96" t="str">
        <f>IF(AND(S102=1,B102&lt;&gt;""),C102&amp;"|"&amp;TRIM(B102),"")</f>
        <v/>
      </c>
      <c r="U102" s="96">
        <f>IF(T102="",0,IF(SUMPRODUCT(--($T$6:$T$505=T102))&gt;1,1,0))</f>
        <v>0</v>
      </c>
      <c r="V102" s="96">
        <f>IF(F102="",0,IF(ISNUMBER(MATCH(F102,cmp_dest,0)),1,0))</f>
        <v>0</v>
      </c>
      <c r="W102" s="96">
        <f>IF(AND(S102=1,B102&lt;&gt;"",F102&lt;&gt;"",J102="Sim",U102=0),1,0)</f>
        <v>0</v>
      </c>
      <c r="X102" s="96">
        <f>IF(S102=0,0,COUNTIFS('VÍNCULOS_CDF'!$O$6:$O$1005,A102,'VÍNCULOS_CDF'!$Y$6:$Y$1005,1))</f>
        <v>0</v>
      </c>
      <c r="Y102" s="96" t="str">
        <f>IF(S102=1,A102&amp;" | CDF "&amp;IF(B102="","(sem número)",B102)&amp;" | "&amp;IF(F102="","(sem destinador)",F102),"")</f>
        <v/>
      </c>
      <c r="Z102" s="96" t="str">
        <f>IF(S102=1,COUNTIF($S$6:S102,1),"")</f>
        <v/>
      </c>
      <c r="AA102" s="96">
        <f>IF(S102=0,0,IF(AND(OR(r_ini="",AND(ISNUMBER(D102),D102&gt;=r_ini)),OR(r_fim="",AND(ISNUMBER(D102),D102&lt;=r_fim)),OR(r_de="",r_de="(Todos)",F102=r_de)),1,0))</f>
        <v>0</v>
      </c>
      <c r="AB102" s="96" t="str">
        <f>IF(AA102=1,IF(F102="",0,COUNTIF($F$6:$F$505,"&lt;"&amp;F102))*1000+97,"")</f>
        <v/>
      </c>
    </row>
    <row r="103">
      <c r="A103" s="89" t="inlineStr">
        <is>
          <t>CDF-000098</t>
        </is>
      </c>
      <c r="B103" s="90" t="n"/>
      <c r="C103" s="91" t="n"/>
      <c r="D103" s="92" t="n"/>
      <c r="E103" s="91" t="n"/>
      <c r="F103" s="91" t="n"/>
      <c r="G103" s="91" t="n"/>
      <c r="H103" s="91" t="n"/>
      <c r="I103" s="91" t="n"/>
      <c r="J103" s="91" t="n"/>
      <c r="K103" s="92" t="n"/>
      <c r="L103" s="91" t="n"/>
      <c r="M103" s="91" t="n"/>
      <c r="N103" s="91" t="n"/>
      <c r="O103" s="93" t="str">
        <f>IF(S103=0,"",SUMIFS('VÍNCULOS_CDF'!$H$6:$H$1005,'VÍNCULOS_CDF'!$O$6:$O$1005,A103,'VÍNCULOS_CDF'!$V$6:$V$1005,1))</f>
        <v/>
      </c>
      <c r="P103" s="95" t="str">
        <f>IF(S103=0,"",COUNTIFS('VÍNCULOS_CDF'!$O$6:$O$1005,A103,'VÍNCULOS_CDF'!$N$6:$N$1005,1))</f>
        <v/>
      </c>
      <c r="Q103" s="94" t="str">
        <f>IF(S103=0,"",IF(OR(B103="",F103=""),"Informações incompletas",IF(U103=1,"Possível duplicidade",IF(V103=0,"Destinador fora do cadastro",IF(AND(J103="Sim",N(P103)=0),"Necessita revisão de vínculos",IF(X103&gt;0,"Necessita revisão de vínculos",IF(J103="Sim","Conferido",IF(I103="Sim","Localizado, aguardando conferência","Cadastrado"))))))))</f>
        <v/>
      </c>
      <c r="R103" s="95" t="str">
        <f>IF(S103=0,"",COUNTIFS('VÍNCULOS_CDF'!$O$6:$O$1005,A103,'VÍNCULOS_CDF'!$AB$6:$AB$1005,1))</f>
        <v/>
      </c>
      <c r="S103" s="96">
        <f>IF(COUNTA(B103:N103)&gt;0,1,0)</f>
        <v>0</v>
      </c>
      <c r="T103" s="96" t="str">
        <f>IF(AND(S103=1,B103&lt;&gt;""),C103&amp;"|"&amp;TRIM(B103),"")</f>
        <v/>
      </c>
      <c r="U103" s="96">
        <f>IF(T103="",0,IF(SUMPRODUCT(--($T$6:$T$505=T103))&gt;1,1,0))</f>
        <v>0</v>
      </c>
      <c r="V103" s="96">
        <f>IF(F103="",0,IF(ISNUMBER(MATCH(F103,cmp_dest,0)),1,0))</f>
        <v>0</v>
      </c>
      <c r="W103" s="96">
        <f>IF(AND(S103=1,B103&lt;&gt;"",F103&lt;&gt;"",J103="Sim",U103=0),1,0)</f>
        <v>0</v>
      </c>
      <c r="X103" s="96">
        <f>IF(S103=0,0,COUNTIFS('VÍNCULOS_CDF'!$O$6:$O$1005,A103,'VÍNCULOS_CDF'!$Y$6:$Y$1005,1))</f>
        <v>0</v>
      </c>
      <c r="Y103" s="96" t="str">
        <f>IF(S103=1,A103&amp;" | CDF "&amp;IF(B103="","(sem número)",B103)&amp;" | "&amp;IF(F103="","(sem destinador)",F103),"")</f>
        <v/>
      </c>
      <c r="Z103" s="96" t="str">
        <f>IF(S103=1,COUNTIF($S$6:S103,1),"")</f>
        <v/>
      </c>
      <c r="AA103" s="96">
        <f>IF(S103=0,0,IF(AND(OR(r_ini="",AND(ISNUMBER(D103),D103&gt;=r_ini)),OR(r_fim="",AND(ISNUMBER(D103),D103&lt;=r_fim)),OR(r_de="",r_de="(Todos)",F103=r_de)),1,0))</f>
        <v>0</v>
      </c>
      <c r="AB103" s="96" t="str">
        <f>IF(AA103=1,IF(F103="",0,COUNTIF($F$6:$F$505,"&lt;"&amp;F103))*1000+98,"")</f>
        <v/>
      </c>
    </row>
    <row r="104">
      <c r="A104" s="89" t="inlineStr">
        <is>
          <t>CDF-000099</t>
        </is>
      </c>
      <c r="B104" s="90" t="n"/>
      <c r="C104" s="91" t="n"/>
      <c r="D104" s="92" t="n"/>
      <c r="E104" s="91" t="n"/>
      <c r="F104" s="91" t="n"/>
      <c r="G104" s="91" t="n"/>
      <c r="H104" s="91" t="n"/>
      <c r="I104" s="91" t="n"/>
      <c r="J104" s="91" t="n"/>
      <c r="K104" s="92" t="n"/>
      <c r="L104" s="91" t="n"/>
      <c r="M104" s="91" t="n"/>
      <c r="N104" s="91" t="n"/>
      <c r="O104" s="93" t="str">
        <f>IF(S104=0,"",SUMIFS('VÍNCULOS_CDF'!$H$6:$H$1005,'VÍNCULOS_CDF'!$O$6:$O$1005,A104,'VÍNCULOS_CDF'!$V$6:$V$1005,1))</f>
        <v/>
      </c>
      <c r="P104" s="95" t="str">
        <f>IF(S104=0,"",COUNTIFS('VÍNCULOS_CDF'!$O$6:$O$1005,A104,'VÍNCULOS_CDF'!$N$6:$N$1005,1))</f>
        <v/>
      </c>
      <c r="Q104" s="94" t="str">
        <f>IF(S104=0,"",IF(OR(B104="",F104=""),"Informações incompletas",IF(U104=1,"Possível duplicidade",IF(V104=0,"Destinador fora do cadastro",IF(AND(J104="Sim",N(P104)=0),"Necessita revisão de vínculos",IF(X104&gt;0,"Necessita revisão de vínculos",IF(J104="Sim","Conferido",IF(I104="Sim","Localizado, aguardando conferência","Cadastrado"))))))))</f>
        <v/>
      </c>
      <c r="R104" s="95" t="str">
        <f>IF(S104=0,"",COUNTIFS('VÍNCULOS_CDF'!$O$6:$O$1005,A104,'VÍNCULOS_CDF'!$AB$6:$AB$1005,1))</f>
        <v/>
      </c>
      <c r="S104" s="96">
        <f>IF(COUNTA(B104:N104)&gt;0,1,0)</f>
        <v>0</v>
      </c>
      <c r="T104" s="96" t="str">
        <f>IF(AND(S104=1,B104&lt;&gt;""),C104&amp;"|"&amp;TRIM(B104),"")</f>
        <v/>
      </c>
      <c r="U104" s="96">
        <f>IF(T104="",0,IF(SUMPRODUCT(--($T$6:$T$505=T104))&gt;1,1,0))</f>
        <v>0</v>
      </c>
      <c r="V104" s="96">
        <f>IF(F104="",0,IF(ISNUMBER(MATCH(F104,cmp_dest,0)),1,0))</f>
        <v>0</v>
      </c>
      <c r="W104" s="96">
        <f>IF(AND(S104=1,B104&lt;&gt;"",F104&lt;&gt;"",J104="Sim",U104=0),1,0)</f>
        <v>0</v>
      </c>
      <c r="X104" s="96">
        <f>IF(S104=0,0,COUNTIFS('VÍNCULOS_CDF'!$O$6:$O$1005,A104,'VÍNCULOS_CDF'!$Y$6:$Y$1005,1))</f>
        <v>0</v>
      </c>
      <c r="Y104" s="96" t="str">
        <f>IF(S104=1,A104&amp;" | CDF "&amp;IF(B104="","(sem número)",B104)&amp;" | "&amp;IF(F104="","(sem destinador)",F104),"")</f>
        <v/>
      </c>
      <c r="Z104" s="96" t="str">
        <f>IF(S104=1,COUNTIF($S$6:S104,1),"")</f>
        <v/>
      </c>
      <c r="AA104" s="96">
        <f>IF(S104=0,0,IF(AND(OR(r_ini="",AND(ISNUMBER(D104),D104&gt;=r_ini)),OR(r_fim="",AND(ISNUMBER(D104),D104&lt;=r_fim)),OR(r_de="",r_de="(Todos)",F104=r_de)),1,0))</f>
        <v>0</v>
      </c>
      <c r="AB104" s="96" t="str">
        <f>IF(AA104=1,IF(F104="",0,COUNTIF($F$6:$F$505,"&lt;"&amp;F104))*1000+99,"")</f>
        <v/>
      </c>
    </row>
    <row r="105">
      <c r="A105" s="89" t="inlineStr">
        <is>
          <t>CDF-000100</t>
        </is>
      </c>
      <c r="B105" s="90" t="n"/>
      <c r="C105" s="91" t="n"/>
      <c r="D105" s="92" t="n"/>
      <c r="E105" s="91" t="n"/>
      <c r="F105" s="91" t="n"/>
      <c r="G105" s="91" t="n"/>
      <c r="H105" s="91" t="n"/>
      <c r="I105" s="91" t="n"/>
      <c r="J105" s="91" t="n"/>
      <c r="K105" s="92" t="n"/>
      <c r="L105" s="91" t="n"/>
      <c r="M105" s="91" t="n"/>
      <c r="N105" s="91" t="n"/>
      <c r="O105" s="93" t="str">
        <f>IF(S105=0,"",SUMIFS('VÍNCULOS_CDF'!$H$6:$H$1005,'VÍNCULOS_CDF'!$O$6:$O$1005,A105,'VÍNCULOS_CDF'!$V$6:$V$1005,1))</f>
        <v/>
      </c>
      <c r="P105" s="95" t="str">
        <f>IF(S105=0,"",COUNTIFS('VÍNCULOS_CDF'!$O$6:$O$1005,A105,'VÍNCULOS_CDF'!$N$6:$N$1005,1))</f>
        <v/>
      </c>
      <c r="Q105" s="94" t="str">
        <f>IF(S105=0,"",IF(OR(B105="",F105=""),"Informações incompletas",IF(U105=1,"Possível duplicidade",IF(V105=0,"Destinador fora do cadastro",IF(AND(J105="Sim",N(P105)=0),"Necessita revisão de vínculos",IF(X105&gt;0,"Necessita revisão de vínculos",IF(J105="Sim","Conferido",IF(I105="Sim","Localizado, aguardando conferência","Cadastrado"))))))))</f>
        <v/>
      </c>
      <c r="R105" s="95" t="str">
        <f>IF(S105=0,"",COUNTIFS('VÍNCULOS_CDF'!$O$6:$O$1005,A105,'VÍNCULOS_CDF'!$AB$6:$AB$1005,1))</f>
        <v/>
      </c>
      <c r="S105" s="96">
        <f>IF(COUNTA(B105:N105)&gt;0,1,0)</f>
        <v>0</v>
      </c>
      <c r="T105" s="96" t="str">
        <f>IF(AND(S105=1,B105&lt;&gt;""),C105&amp;"|"&amp;TRIM(B105),"")</f>
        <v/>
      </c>
      <c r="U105" s="96">
        <f>IF(T105="",0,IF(SUMPRODUCT(--($T$6:$T$505=T105))&gt;1,1,0))</f>
        <v>0</v>
      </c>
      <c r="V105" s="96">
        <f>IF(F105="",0,IF(ISNUMBER(MATCH(F105,cmp_dest,0)),1,0))</f>
        <v>0</v>
      </c>
      <c r="W105" s="96">
        <f>IF(AND(S105=1,B105&lt;&gt;"",F105&lt;&gt;"",J105="Sim",U105=0),1,0)</f>
        <v>0</v>
      </c>
      <c r="X105" s="96">
        <f>IF(S105=0,0,COUNTIFS('VÍNCULOS_CDF'!$O$6:$O$1005,A105,'VÍNCULOS_CDF'!$Y$6:$Y$1005,1))</f>
        <v>0</v>
      </c>
      <c r="Y105" s="96" t="str">
        <f>IF(S105=1,A105&amp;" | CDF "&amp;IF(B105="","(sem número)",B105)&amp;" | "&amp;IF(F105="","(sem destinador)",F105),"")</f>
        <v/>
      </c>
      <c r="Z105" s="96" t="str">
        <f>IF(S105=1,COUNTIF($S$6:S105,1),"")</f>
        <v/>
      </c>
      <c r="AA105" s="96">
        <f>IF(S105=0,0,IF(AND(OR(r_ini="",AND(ISNUMBER(D105),D105&gt;=r_ini)),OR(r_fim="",AND(ISNUMBER(D105),D105&lt;=r_fim)),OR(r_de="",r_de="(Todos)",F105=r_de)),1,0))</f>
        <v>0</v>
      </c>
      <c r="AB105" s="96" t="str">
        <f>IF(AA105=1,IF(F105="",0,COUNTIF($F$6:$F$505,"&lt;"&amp;F105))*1000+100,"")</f>
        <v/>
      </c>
    </row>
    <row r="106">
      <c r="A106" s="89" t="inlineStr">
        <is>
          <t>CDF-000101</t>
        </is>
      </c>
      <c r="B106" s="90" t="n"/>
      <c r="C106" s="91" t="n"/>
      <c r="D106" s="92" t="n"/>
      <c r="E106" s="91" t="n"/>
      <c r="F106" s="91" t="n"/>
      <c r="G106" s="91" t="n"/>
      <c r="H106" s="91" t="n"/>
      <c r="I106" s="91" t="n"/>
      <c r="J106" s="91" t="n"/>
      <c r="K106" s="92" t="n"/>
      <c r="L106" s="91" t="n"/>
      <c r="M106" s="91" t="n"/>
      <c r="N106" s="91" t="n"/>
      <c r="O106" s="93" t="str">
        <f>IF(S106=0,"",SUMIFS('VÍNCULOS_CDF'!$H$6:$H$1005,'VÍNCULOS_CDF'!$O$6:$O$1005,A106,'VÍNCULOS_CDF'!$V$6:$V$1005,1))</f>
        <v/>
      </c>
      <c r="P106" s="95" t="str">
        <f>IF(S106=0,"",COUNTIFS('VÍNCULOS_CDF'!$O$6:$O$1005,A106,'VÍNCULOS_CDF'!$N$6:$N$1005,1))</f>
        <v/>
      </c>
      <c r="Q106" s="94" t="str">
        <f>IF(S106=0,"",IF(OR(B106="",F106=""),"Informações incompletas",IF(U106=1,"Possível duplicidade",IF(V106=0,"Destinador fora do cadastro",IF(AND(J106="Sim",N(P106)=0),"Necessita revisão de vínculos",IF(X106&gt;0,"Necessita revisão de vínculos",IF(J106="Sim","Conferido",IF(I106="Sim","Localizado, aguardando conferência","Cadastrado"))))))))</f>
        <v/>
      </c>
      <c r="R106" s="95" t="str">
        <f>IF(S106=0,"",COUNTIFS('VÍNCULOS_CDF'!$O$6:$O$1005,A106,'VÍNCULOS_CDF'!$AB$6:$AB$1005,1))</f>
        <v/>
      </c>
      <c r="S106" s="96">
        <f>IF(COUNTA(B106:N106)&gt;0,1,0)</f>
        <v>0</v>
      </c>
      <c r="T106" s="96" t="str">
        <f>IF(AND(S106=1,B106&lt;&gt;""),C106&amp;"|"&amp;TRIM(B106),"")</f>
        <v/>
      </c>
      <c r="U106" s="96">
        <f>IF(T106="",0,IF(SUMPRODUCT(--($T$6:$T$505=T106))&gt;1,1,0))</f>
        <v>0</v>
      </c>
      <c r="V106" s="96">
        <f>IF(F106="",0,IF(ISNUMBER(MATCH(F106,cmp_dest,0)),1,0))</f>
        <v>0</v>
      </c>
      <c r="W106" s="96">
        <f>IF(AND(S106=1,B106&lt;&gt;"",F106&lt;&gt;"",J106="Sim",U106=0),1,0)</f>
        <v>0</v>
      </c>
      <c r="X106" s="96">
        <f>IF(S106=0,0,COUNTIFS('VÍNCULOS_CDF'!$O$6:$O$1005,A106,'VÍNCULOS_CDF'!$Y$6:$Y$1005,1))</f>
        <v>0</v>
      </c>
      <c r="Y106" s="96" t="str">
        <f>IF(S106=1,A106&amp;" | CDF "&amp;IF(B106="","(sem número)",B106)&amp;" | "&amp;IF(F106="","(sem destinador)",F106),"")</f>
        <v/>
      </c>
      <c r="Z106" s="96" t="str">
        <f>IF(S106=1,COUNTIF($S$6:S106,1),"")</f>
        <v/>
      </c>
      <c r="AA106" s="96">
        <f>IF(S106=0,0,IF(AND(OR(r_ini="",AND(ISNUMBER(D106),D106&gt;=r_ini)),OR(r_fim="",AND(ISNUMBER(D106),D106&lt;=r_fim)),OR(r_de="",r_de="(Todos)",F106=r_de)),1,0))</f>
        <v>0</v>
      </c>
      <c r="AB106" s="96" t="str">
        <f>IF(AA106=1,IF(F106="",0,COUNTIF($F$6:$F$505,"&lt;"&amp;F106))*1000+101,"")</f>
        <v/>
      </c>
    </row>
    <row r="107">
      <c r="A107" s="89" t="inlineStr">
        <is>
          <t>CDF-000102</t>
        </is>
      </c>
      <c r="B107" s="90" t="n"/>
      <c r="C107" s="91" t="n"/>
      <c r="D107" s="92" t="n"/>
      <c r="E107" s="91" t="n"/>
      <c r="F107" s="91" t="n"/>
      <c r="G107" s="91" t="n"/>
      <c r="H107" s="91" t="n"/>
      <c r="I107" s="91" t="n"/>
      <c r="J107" s="91" t="n"/>
      <c r="K107" s="92" t="n"/>
      <c r="L107" s="91" t="n"/>
      <c r="M107" s="91" t="n"/>
      <c r="N107" s="91" t="n"/>
      <c r="O107" s="93" t="str">
        <f>IF(S107=0,"",SUMIFS('VÍNCULOS_CDF'!$H$6:$H$1005,'VÍNCULOS_CDF'!$O$6:$O$1005,A107,'VÍNCULOS_CDF'!$V$6:$V$1005,1))</f>
        <v/>
      </c>
      <c r="P107" s="95" t="str">
        <f>IF(S107=0,"",COUNTIFS('VÍNCULOS_CDF'!$O$6:$O$1005,A107,'VÍNCULOS_CDF'!$N$6:$N$1005,1))</f>
        <v/>
      </c>
      <c r="Q107" s="94" t="str">
        <f>IF(S107=0,"",IF(OR(B107="",F107=""),"Informações incompletas",IF(U107=1,"Possível duplicidade",IF(V107=0,"Destinador fora do cadastro",IF(AND(J107="Sim",N(P107)=0),"Necessita revisão de vínculos",IF(X107&gt;0,"Necessita revisão de vínculos",IF(J107="Sim","Conferido",IF(I107="Sim","Localizado, aguardando conferência","Cadastrado"))))))))</f>
        <v/>
      </c>
      <c r="R107" s="95" t="str">
        <f>IF(S107=0,"",COUNTIFS('VÍNCULOS_CDF'!$O$6:$O$1005,A107,'VÍNCULOS_CDF'!$AB$6:$AB$1005,1))</f>
        <v/>
      </c>
      <c r="S107" s="96">
        <f>IF(COUNTA(B107:N107)&gt;0,1,0)</f>
        <v>0</v>
      </c>
      <c r="T107" s="96" t="str">
        <f>IF(AND(S107=1,B107&lt;&gt;""),C107&amp;"|"&amp;TRIM(B107),"")</f>
        <v/>
      </c>
      <c r="U107" s="96">
        <f>IF(T107="",0,IF(SUMPRODUCT(--($T$6:$T$505=T107))&gt;1,1,0))</f>
        <v>0</v>
      </c>
      <c r="V107" s="96">
        <f>IF(F107="",0,IF(ISNUMBER(MATCH(F107,cmp_dest,0)),1,0))</f>
        <v>0</v>
      </c>
      <c r="W107" s="96">
        <f>IF(AND(S107=1,B107&lt;&gt;"",F107&lt;&gt;"",J107="Sim",U107=0),1,0)</f>
        <v>0</v>
      </c>
      <c r="X107" s="96">
        <f>IF(S107=0,0,COUNTIFS('VÍNCULOS_CDF'!$O$6:$O$1005,A107,'VÍNCULOS_CDF'!$Y$6:$Y$1005,1))</f>
        <v>0</v>
      </c>
      <c r="Y107" s="96" t="str">
        <f>IF(S107=1,A107&amp;" | CDF "&amp;IF(B107="","(sem número)",B107)&amp;" | "&amp;IF(F107="","(sem destinador)",F107),"")</f>
        <v/>
      </c>
      <c r="Z107" s="96" t="str">
        <f>IF(S107=1,COUNTIF($S$6:S107,1),"")</f>
        <v/>
      </c>
      <c r="AA107" s="96">
        <f>IF(S107=0,0,IF(AND(OR(r_ini="",AND(ISNUMBER(D107),D107&gt;=r_ini)),OR(r_fim="",AND(ISNUMBER(D107),D107&lt;=r_fim)),OR(r_de="",r_de="(Todos)",F107=r_de)),1,0))</f>
        <v>0</v>
      </c>
      <c r="AB107" s="96" t="str">
        <f>IF(AA107=1,IF(F107="",0,COUNTIF($F$6:$F$505,"&lt;"&amp;F107))*1000+102,"")</f>
        <v/>
      </c>
    </row>
    <row r="108">
      <c r="A108" s="89" t="inlineStr">
        <is>
          <t>CDF-000103</t>
        </is>
      </c>
      <c r="B108" s="90" t="n"/>
      <c r="C108" s="91" t="n"/>
      <c r="D108" s="92" t="n"/>
      <c r="E108" s="91" t="n"/>
      <c r="F108" s="91" t="n"/>
      <c r="G108" s="91" t="n"/>
      <c r="H108" s="91" t="n"/>
      <c r="I108" s="91" t="n"/>
      <c r="J108" s="91" t="n"/>
      <c r="K108" s="92" t="n"/>
      <c r="L108" s="91" t="n"/>
      <c r="M108" s="91" t="n"/>
      <c r="N108" s="91" t="n"/>
      <c r="O108" s="93" t="str">
        <f>IF(S108=0,"",SUMIFS('VÍNCULOS_CDF'!$H$6:$H$1005,'VÍNCULOS_CDF'!$O$6:$O$1005,A108,'VÍNCULOS_CDF'!$V$6:$V$1005,1))</f>
        <v/>
      </c>
      <c r="P108" s="95" t="str">
        <f>IF(S108=0,"",COUNTIFS('VÍNCULOS_CDF'!$O$6:$O$1005,A108,'VÍNCULOS_CDF'!$N$6:$N$1005,1))</f>
        <v/>
      </c>
      <c r="Q108" s="94" t="str">
        <f>IF(S108=0,"",IF(OR(B108="",F108=""),"Informações incompletas",IF(U108=1,"Possível duplicidade",IF(V108=0,"Destinador fora do cadastro",IF(AND(J108="Sim",N(P108)=0),"Necessita revisão de vínculos",IF(X108&gt;0,"Necessita revisão de vínculos",IF(J108="Sim","Conferido",IF(I108="Sim","Localizado, aguardando conferência","Cadastrado"))))))))</f>
        <v/>
      </c>
      <c r="R108" s="95" t="str">
        <f>IF(S108=0,"",COUNTIFS('VÍNCULOS_CDF'!$O$6:$O$1005,A108,'VÍNCULOS_CDF'!$AB$6:$AB$1005,1))</f>
        <v/>
      </c>
      <c r="S108" s="96">
        <f>IF(COUNTA(B108:N108)&gt;0,1,0)</f>
        <v>0</v>
      </c>
      <c r="T108" s="96" t="str">
        <f>IF(AND(S108=1,B108&lt;&gt;""),C108&amp;"|"&amp;TRIM(B108),"")</f>
        <v/>
      </c>
      <c r="U108" s="96">
        <f>IF(T108="",0,IF(SUMPRODUCT(--($T$6:$T$505=T108))&gt;1,1,0))</f>
        <v>0</v>
      </c>
      <c r="V108" s="96">
        <f>IF(F108="",0,IF(ISNUMBER(MATCH(F108,cmp_dest,0)),1,0))</f>
        <v>0</v>
      </c>
      <c r="W108" s="96">
        <f>IF(AND(S108=1,B108&lt;&gt;"",F108&lt;&gt;"",J108="Sim",U108=0),1,0)</f>
        <v>0</v>
      </c>
      <c r="X108" s="96">
        <f>IF(S108=0,0,COUNTIFS('VÍNCULOS_CDF'!$O$6:$O$1005,A108,'VÍNCULOS_CDF'!$Y$6:$Y$1005,1))</f>
        <v>0</v>
      </c>
      <c r="Y108" s="96" t="str">
        <f>IF(S108=1,A108&amp;" | CDF "&amp;IF(B108="","(sem número)",B108)&amp;" | "&amp;IF(F108="","(sem destinador)",F108),"")</f>
        <v/>
      </c>
      <c r="Z108" s="96" t="str">
        <f>IF(S108=1,COUNTIF($S$6:S108,1),"")</f>
        <v/>
      </c>
      <c r="AA108" s="96">
        <f>IF(S108=0,0,IF(AND(OR(r_ini="",AND(ISNUMBER(D108),D108&gt;=r_ini)),OR(r_fim="",AND(ISNUMBER(D108),D108&lt;=r_fim)),OR(r_de="",r_de="(Todos)",F108=r_de)),1,0))</f>
        <v>0</v>
      </c>
      <c r="AB108" s="96" t="str">
        <f>IF(AA108=1,IF(F108="",0,COUNTIF($F$6:$F$505,"&lt;"&amp;F108))*1000+103,"")</f>
        <v/>
      </c>
    </row>
    <row r="109">
      <c r="A109" s="89" t="inlineStr">
        <is>
          <t>CDF-000104</t>
        </is>
      </c>
      <c r="B109" s="90" t="n"/>
      <c r="C109" s="91" t="n"/>
      <c r="D109" s="92" t="n"/>
      <c r="E109" s="91" t="n"/>
      <c r="F109" s="91" t="n"/>
      <c r="G109" s="91" t="n"/>
      <c r="H109" s="91" t="n"/>
      <c r="I109" s="91" t="n"/>
      <c r="J109" s="91" t="n"/>
      <c r="K109" s="92" t="n"/>
      <c r="L109" s="91" t="n"/>
      <c r="M109" s="91" t="n"/>
      <c r="N109" s="91" t="n"/>
      <c r="O109" s="93" t="str">
        <f>IF(S109=0,"",SUMIFS('VÍNCULOS_CDF'!$H$6:$H$1005,'VÍNCULOS_CDF'!$O$6:$O$1005,A109,'VÍNCULOS_CDF'!$V$6:$V$1005,1))</f>
        <v/>
      </c>
      <c r="P109" s="95" t="str">
        <f>IF(S109=0,"",COUNTIFS('VÍNCULOS_CDF'!$O$6:$O$1005,A109,'VÍNCULOS_CDF'!$N$6:$N$1005,1))</f>
        <v/>
      </c>
      <c r="Q109" s="94" t="str">
        <f>IF(S109=0,"",IF(OR(B109="",F109=""),"Informações incompletas",IF(U109=1,"Possível duplicidade",IF(V109=0,"Destinador fora do cadastro",IF(AND(J109="Sim",N(P109)=0),"Necessita revisão de vínculos",IF(X109&gt;0,"Necessita revisão de vínculos",IF(J109="Sim","Conferido",IF(I109="Sim","Localizado, aguardando conferência","Cadastrado"))))))))</f>
        <v/>
      </c>
      <c r="R109" s="95" t="str">
        <f>IF(S109=0,"",COUNTIFS('VÍNCULOS_CDF'!$O$6:$O$1005,A109,'VÍNCULOS_CDF'!$AB$6:$AB$1005,1))</f>
        <v/>
      </c>
      <c r="S109" s="96">
        <f>IF(COUNTA(B109:N109)&gt;0,1,0)</f>
        <v>0</v>
      </c>
      <c r="T109" s="96" t="str">
        <f>IF(AND(S109=1,B109&lt;&gt;""),C109&amp;"|"&amp;TRIM(B109),"")</f>
        <v/>
      </c>
      <c r="U109" s="96">
        <f>IF(T109="",0,IF(SUMPRODUCT(--($T$6:$T$505=T109))&gt;1,1,0))</f>
        <v>0</v>
      </c>
      <c r="V109" s="96">
        <f>IF(F109="",0,IF(ISNUMBER(MATCH(F109,cmp_dest,0)),1,0))</f>
        <v>0</v>
      </c>
      <c r="W109" s="96">
        <f>IF(AND(S109=1,B109&lt;&gt;"",F109&lt;&gt;"",J109="Sim",U109=0),1,0)</f>
        <v>0</v>
      </c>
      <c r="X109" s="96">
        <f>IF(S109=0,0,COUNTIFS('VÍNCULOS_CDF'!$O$6:$O$1005,A109,'VÍNCULOS_CDF'!$Y$6:$Y$1005,1))</f>
        <v>0</v>
      </c>
      <c r="Y109" s="96" t="str">
        <f>IF(S109=1,A109&amp;" | CDF "&amp;IF(B109="","(sem número)",B109)&amp;" | "&amp;IF(F109="","(sem destinador)",F109),"")</f>
        <v/>
      </c>
      <c r="Z109" s="96" t="str">
        <f>IF(S109=1,COUNTIF($S$6:S109,1),"")</f>
        <v/>
      </c>
      <c r="AA109" s="96">
        <f>IF(S109=0,0,IF(AND(OR(r_ini="",AND(ISNUMBER(D109),D109&gt;=r_ini)),OR(r_fim="",AND(ISNUMBER(D109),D109&lt;=r_fim)),OR(r_de="",r_de="(Todos)",F109=r_de)),1,0))</f>
        <v>0</v>
      </c>
      <c r="AB109" s="96" t="str">
        <f>IF(AA109=1,IF(F109="",0,COUNTIF($F$6:$F$505,"&lt;"&amp;F109))*1000+104,"")</f>
        <v/>
      </c>
    </row>
    <row r="110">
      <c r="A110" s="89" t="inlineStr">
        <is>
          <t>CDF-000105</t>
        </is>
      </c>
      <c r="B110" s="90" t="n"/>
      <c r="C110" s="91" t="n"/>
      <c r="D110" s="92" t="n"/>
      <c r="E110" s="91" t="n"/>
      <c r="F110" s="91" t="n"/>
      <c r="G110" s="91" t="n"/>
      <c r="H110" s="91" t="n"/>
      <c r="I110" s="91" t="n"/>
      <c r="J110" s="91" t="n"/>
      <c r="K110" s="92" t="n"/>
      <c r="L110" s="91" t="n"/>
      <c r="M110" s="91" t="n"/>
      <c r="N110" s="91" t="n"/>
      <c r="O110" s="93" t="str">
        <f>IF(S110=0,"",SUMIFS('VÍNCULOS_CDF'!$H$6:$H$1005,'VÍNCULOS_CDF'!$O$6:$O$1005,A110,'VÍNCULOS_CDF'!$V$6:$V$1005,1))</f>
        <v/>
      </c>
      <c r="P110" s="95" t="str">
        <f>IF(S110=0,"",COUNTIFS('VÍNCULOS_CDF'!$O$6:$O$1005,A110,'VÍNCULOS_CDF'!$N$6:$N$1005,1))</f>
        <v/>
      </c>
      <c r="Q110" s="94" t="str">
        <f>IF(S110=0,"",IF(OR(B110="",F110=""),"Informações incompletas",IF(U110=1,"Possível duplicidade",IF(V110=0,"Destinador fora do cadastro",IF(AND(J110="Sim",N(P110)=0),"Necessita revisão de vínculos",IF(X110&gt;0,"Necessita revisão de vínculos",IF(J110="Sim","Conferido",IF(I110="Sim","Localizado, aguardando conferência","Cadastrado"))))))))</f>
        <v/>
      </c>
      <c r="R110" s="95" t="str">
        <f>IF(S110=0,"",COUNTIFS('VÍNCULOS_CDF'!$O$6:$O$1005,A110,'VÍNCULOS_CDF'!$AB$6:$AB$1005,1))</f>
        <v/>
      </c>
      <c r="S110" s="96">
        <f>IF(COUNTA(B110:N110)&gt;0,1,0)</f>
        <v>0</v>
      </c>
      <c r="T110" s="96" t="str">
        <f>IF(AND(S110=1,B110&lt;&gt;""),C110&amp;"|"&amp;TRIM(B110),"")</f>
        <v/>
      </c>
      <c r="U110" s="96">
        <f>IF(T110="",0,IF(SUMPRODUCT(--($T$6:$T$505=T110))&gt;1,1,0))</f>
        <v>0</v>
      </c>
      <c r="V110" s="96">
        <f>IF(F110="",0,IF(ISNUMBER(MATCH(F110,cmp_dest,0)),1,0))</f>
        <v>0</v>
      </c>
      <c r="W110" s="96">
        <f>IF(AND(S110=1,B110&lt;&gt;"",F110&lt;&gt;"",J110="Sim",U110=0),1,0)</f>
        <v>0</v>
      </c>
      <c r="X110" s="96">
        <f>IF(S110=0,0,COUNTIFS('VÍNCULOS_CDF'!$O$6:$O$1005,A110,'VÍNCULOS_CDF'!$Y$6:$Y$1005,1))</f>
        <v>0</v>
      </c>
      <c r="Y110" s="96" t="str">
        <f>IF(S110=1,A110&amp;" | CDF "&amp;IF(B110="","(sem número)",B110)&amp;" | "&amp;IF(F110="","(sem destinador)",F110),"")</f>
        <v/>
      </c>
      <c r="Z110" s="96" t="str">
        <f>IF(S110=1,COUNTIF($S$6:S110,1),"")</f>
        <v/>
      </c>
      <c r="AA110" s="96">
        <f>IF(S110=0,0,IF(AND(OR(r_ini="",AND(ISNUMBER(D110),D110&gt;=r_ini)),OR(r_fim="",AND(ISNUMBER(D110),D110&lt;=r_fim)),OR(r_de="",r_de="(Todos)",F110=r_de)),1,0))</f>
        <v>0</v>
      </c>
      <c r="AB110" s="96" t="str">
        <f>IF(AA110=1,IF(F110="",0,COUNTIF($F$6:$F$505,"&lt;"&amp;F110))*1000+105,"")</f>
        <v/>
      </c>
    </row>
    <row r="111">
      <c r="A111" s="89" t="inlineStr">
        <is>
          <t>CDF-000106</t>
        </is>
      </c>
      <c r="B111" s="90" t="n"/>
      <c r="C111" s="91" t="n"/>
      <c r="D111" s="92" t="n"/>
      <c r="E111" s="91" t="n"/>
      <c r="F111" s="91" t="n"/>
      <c r="G111" s="91" t="n"/>
      <c r="H111" s="91" t="n"/>
      <c r="I111" s="91" t="n"/>
      <c r="J111" s="91" t="n"/>
      <c r="K111" s="92" t="n"/>
      <c r="L111" s="91" t="n"/>
      <c r="M111" s="91" t="n"/>
      <c r="N111" s="91" t="n"/>
      <c r="O111" s="93" t="str">
        <f>IF(S111=0,"",SUMIFS('VÍNCULOS_CDF'!$H$6:$H$1005,'VÍNCULOS_CDF'!$O$6:$O$1005,A111,'VÍNCULOS_CDF'!$V$6:$V$1005,1))</f>
        <v/>
      </c>
      <c r="P111" s="95" t="str">
        <f>IF(S111=0,"",COUNTIFS('VÍNCULOS_CDF'!$O$6:$O$1005,A111,'VÍNCULOS_CDF'!$N$6:$N$1005,1))</f>
        <v/>
      </c>
      <c r="Q111" s="94" t="str">
        <f>IF(S111=0,"",IF(OR(B111="",F111=""),"Informações incompletas",IF(U111=1,"Possível duplicidade",IF(V111=0,"Destinador fora do cadastro",IF(AND(J111="Sim",N(P111)=0),"Necessita revisão de vínculos",IF(X111&gt;0,"Necessita revisão de vínculos",IF(J111="Sim","Conferido",IF(I111="Sim","Localizado, aguardando conferência","Cadastrado"))))))))</f>
        <v/>
      </c>
      <c r="R111" s="95" t="str">
        <f>IF(S111=0,"",COUNTIFS('VÍNCULOS_CDF'!$O$6:$O$1005,A111,'VÍNCULOS_CDF'!$AB$6:$AB$1005,1))</f>
        <v/>
      </c>
      <c r="S111" s="96">
        <f>IF(COUNTA(B111:N111)&gt;0,1,0)</f>
        <v>0</v>
      </c>
      <c r="T111" s="96" t="str">
        <f>IF(AND(S111=1,B111&lt;&gt;""),C111&amp;"|"&amp;TRIM(B111),"")</f>
        <v/>
      </c>
      <c r="U111" s="96">
        <f>IF(T111="",0,IF(SUMPRODUCT(--($T$6:$T$505=T111))&gt;1,1,0))</f>
        <v>0</v>
      </c>
      <c r="V111" s="96">
        <f>IF(F111="",0,IF(ISNUMBER(MATCH(F111,cmp_dest,0)),1,0))</f>
        <v>0</v>
      </c>
      <c r="W111" s="96">
        <f>IF(AND(S111=1,B111&lt;&gt;"",F111&lt;&gt;"",J111="Sim",U111=0),1,0)</f>
        <v>0</v>
      </c>
      <c r="X111" s="96">
        <f>IF(S111=0,0,COUNTIFS('VÍNCULOS_CDF'!$O$6:$O$1005,A111,'VÍNCULOS_CDF'!$Y$6:$Y$1005,1))</f>
        <v>0</v>
      </c>
      <c r="Y111" s="96" t="str">
        <f>IF(S111=1,A111&amp;" | CDF "&amp;IF(B111="","(sem número)",B111)&amp;" | "&amp;IF(F111="","(sem destinador)",F111),"")</f>
        <v/>
      </c>
      <c r="Z111" s="96" t="str">
        <f>IF(S111=1,COUNTIF($S$6:S111,1),"")</f>
        <v/>
      </c>
      <c r="AA111" s="96">
        <f>IF(S111=0,0,IF(AND(OR(r_ini="",AND(ISNUMBER(D111),D111&gt;=r_ini)),OR(r_fim="",AND(ISNUMBER(D111),D111&lt;=r_fim)),OR(r_de="",r_de="(Todos)",F111=r_de)),1,0))</f>
        <v>0</v>
      </c>
      <c r="AB111" s="96" t="str">
        <f>IF(AA111=1,IF(F111="",0,COUNTIF($F$6:$F$505,"&lt;"&amp;F111))*1000+106,"")</f>
        <v/>
      </c>
    </row>
    <row r="112">
      <c r="A112" s="89" t="inlineStr">
        <is>
          <t>CDF-000107</t>
        </is>
      </c>
      <c r="B112" s="90" t="n"/>
      <c r="C112" s="91" t="n"/>
      <c r="D112" s="92" t="n"/>
      <c r="E112" s="91" t="n"/>
      <c r="F112" s="91" t="n"/>
      <c r="G112" s="91" t="n"/>
      <c r="H112" s="91" t="n"/>
      <c r="I112" s="91" t="n"/>
      <c r="J112" s="91" t="n"/>
      <c r="K112" s="92" t="n"/>
      <c r="L112" s="91" t="n"/>
      <c r="M112" s="91" t="n"/>
      <c r="N112" s="91" t="n"/>
      <c r="O112" s="93" t="str">
        <f>IF(S112=0,"",SUMIFS('VÍNCULOS_CDF'!$H$6:$H$1005,'VÍNCULOS_CDF'!$O$6:$O$1005,A112,'VÍNCULOS_CDF'!$V$6:$V$1005,1))</f>
        <v/>
      </c>
      <c r="P112" s="95" t="str">
        <f>IF(S112=0,"",COUNTIFS('VÍNCULOS_CDF'!$O$6:$O$1005,A112,'VÍNCULOS_CDF'!$N$6:$N$1005,1))</f>
        <v/>
      </c>
      <c r="Q112" s="94" t="str">
        <f>IF(S112=0,"",IF(OR(B112="",F112=""),"Informações incompletas",IF(U112=1,"Possível duplicidade",IF(V112=0,"Destinador fora do cadastro",IF(AND(J112="Sim",N(P112)=0),"Necessita revisão de vínculos",IF(X112&gt;0,"Necessita revisão de vínculos",IF(J112="Sim","Conferido",IF(I112="Sim","Localizado, aguardando conferência","Cadastrado"))))))))</f>
        <v/>
      </c>
      <c r="R112" s="95" t="str">
        <f>IF(S112=0,"",COUNTIFS('VÍNCULOS_CDF'!$O$6:$O$1005,A112,'VÍNCULOS_CDF'!$AB$6:$AB$1005,1))</f>
        <v/>
      </c>
      <c r="S112" s="96">
        <f>IF(COUNTA(B112:N112)&gt;0,1,0)</f>
        <v>0</v>
      </c>
      <c r="T112" s="96" t="str">
        <f>IF(AND(S112=1,B112&lt;&gt;""),C112&amp;"|"&amp;TRIM(B112),"")</f>
        <v/>
      </c>
      <c r="U112" s="96">
        <f>IF(T112="",0,IF(SUMPRODUCT(--($T$6:$T$505=T112))&gt;1,1,0))</f>
        <v>0</v>
      </c>
      <c r="V112" s="96">
        <f>IF(F112="",0,IF(ISNUMBER(MATCH(F112,cmp_dest,0)),1,0))</f>
        <v>0</v>
      </c>
      <c r="W112" s="96">
        <f>IF(AND(S112=1,B112&lt;&gt;"",F112&lt;&gt;"",J112="Sim",U112=0),1,0)</f>
        <v>0</v>
      </c>
      <c r="X112" s="96">
        <f>IF(S112=0,0,COUNTIFS('VÍNCULOS_CDF'!$O$6:$O$1005,A112,'VÍNCULOS_CDF'!$Y$6:$Y$1005,1))</f>
        <v>0</v>
      </c>
      <c r="Y112" s="96" t="str">
        <f>IF(S112=1,A112&amp;" | CDF "&amp;IF(B112="","(sem número)",B112)&amp;" | "&amp;IF(F112="","(sem destinador)",F112),"")</f>
        <v/>
      </c>
      <c r="Z112" s="96" t="str">
        <f>IF(S112=1,COUNTIF($S$6:S112,1),"")</f>
        <v/>
      </c>
      <c r="AA112" s="96">
        <f>IF(S112=0,0,IF(AND(OR(r_ini="",AND(ISNUMBER(D112),D112&gt;=r_ini)),OR(r_fim="",AND(ISNUMBER(D112),D112&lt;=r_fim)),OR(r_de="",r_de="(Todos)",F112=r_de)),1,0))</f>
        <v>0</v>
      </c>
      <c r="AB112" s="96" t="str">
        <f>IF(AA112=1,IF(F112="",0,COUNTIF($F$6:$F$505,"&lt;"&amp;F112))*1000+107,"")</f>
        <v/>
      </c>
    </row>
    <row r="113">
      <c r="A113" s="89" t="inlineStr">
        <is>
          <t>CDF-000108</t>
        </is>
      </c>
      <c r="B113" s="90" t="n"/>
      <c r="C113" s="91" t="n"/>
      <c r="D113" s="92" t="n"/>
      <c r="E113" s="91" t="n"/>
      <c r="F113" s="91" t="n"/>
      <c r="G113" s="91" t="n"/>
      <c r="H113" s="91" t="n"/>
      <c r="I113" s="91" t="n"/>
      <c r="J113" s="91" t="n"/>
      <c r="K113" s="92" t="n"/>
      <c r="L113" s="91" t="n"/>
      <c r="M113" s="91" t="n"/>
      <c r="N113" s="91" t="n"/>
      <c r="O113" s="93" t="str">
        <f>IF(S113=0,"",SUMIFS('VÍNCULOS_CDF'!$H$6:$H$1005,'VÍNCULOS_CDF'!$O$6:$O$1005,A113,'VÍNCULOS_CDF'!$V$6:$V$1005,1))</f>
        <v/>
      </c>
      <c r="P113" s="95" t="str">
        <f>IF(S113=0,"",COUNTIFS('VÍNCULOS_CDF'!$O$6:$O$1005,A113,'VÍNCULOS_CDF'!$N$6:$N$1005,1))</f>
        <v/>
      </c>
      <c r="Q113" s="94" t="str">
        <f>IF(S113=0,"",IF(OR(B113="",F113=""),"Informações incompletas",IF(U113=1,"Possível duplicidade",IF(V113=0,"Destinador fora do cadastro",IF(AND(J113="Sim",N(P113)=0),"Necessita revisão de vínculos",IF(X113&gt;0,"Necessita revisão de vínculos",IF(J113="Sim","Conferido",IF(I113="Sim","Localizado, aguardando conferência","Cadastrado"))))))))</f>
        <v/>
      </c>
      <c r="R113" s="95" t="str">
        <f>IF(S113=0,"",COUNTIFS('VÍNCULOS_CDF'!$O$6:$O$1005,A113,'VÍNCULOS_CDF'!$AB$6:$AB$1005,1))</f>
        <v/>
      </c>
      <c r="S113" s="96">
        <f>IF(COUNTA(B113:N113)&gt;0,1,0)</f>
        <v>0</v>
      </c>
      <c r="T113" s="96" t="str">
        <f>IF(AND(S113=1,B113&lt;&gt;""),C113&amp;"|"&amp;TRIM(B113),"")</f>
        <v/>
      </c>
      <c r="U113" s="96">
        <f>IF(T113="",0,IF(SUMPRODUCT(--($T$6:$T$505=T113))&gt;1,1,0))</f>
        <v>0</v>
      </c>
      <c r="V113" s="96">
        <f>IF(F113="",0,IF(ISNUMBER(MATCH(F113,cmp_dest,0)),1,0))</f>
        <v>0</v>
      </c>
      <c r="W113" s="96">
        <f>IF(AND(S113=1,B113&lt;&gt;"",F113&lt;&gt;"",J113="Sim",U113=0),1,0)</f>
        <v>0</v>
      </c>
      <c r="X113" s="96">
        <f>IF(S113=0,0,COUNTIFS('VÍNCULOS_CDF'!$O$6:$O$1005,A113,'VÍNCULOS_CDF'!$Y$6:$Y$1005,1))</f>
        <v>0</v>
      </c>
      <c r="Y113" s="96" t="str">
        <f>IF(S113=1,A113&amp;" | CDF "&amp;IF(B113="","(sem número)",B113)&amp;" | "&amp;IF(F113="","(sem destinador)",F113),"")</f>
        <v/>
      </c>
      <c r="Z113" s="96" t="str">
        <f>IF(S113=1,COUNTIF($S$6:S113,1),"")</f>
        <v/>
      </c>
      <c r="AA113" s="96">
        <f>IF(S113=0,0,IF(AND(OR(r_ini="",AND(ISNUMBER(D113),D113&gt;=r_ini)),OR(r_fim="",AND(ISNUMBER(D113),D113&lt;=r_fim)),OR(r_de="",r_de="(Todos)",F113=r_de)),1,0))</f>
        <v>0</v>
      </c>
      <c r="AB113" s="96" t="str">
        <f>IF(AA113=1,IF(F113="",0,COUNTIF($F$6:$F$505,"&lt;"&amp;F113))*1000+108,"")</f>
        <v/>
      </c>
    </row>
    <row r="114">
      <c r="A114" s="89" t="inlineStr">
        <is>
          <t>CDF-000109</t>
        </is>
      </c>
      <c r="B114" s="90" t="n"/>
      <c r="C114" s="91" t="n"/>
      <c r="D114" s="92" t="n"/>
      <c r="E114" s="91" t="n"/>
      <c r="F114" s="91" t="n"/>
      <c r="G114" s="91" t="n"/>
      <c r="H114" s="91" t="n"/>
      <c r="I114" s="91" t="n"/>
      <c r="J114" s="91" t="n"/>
      <c r="K114" s="92" t="n"/>
      <c r="L114" s="91" t="n"/>
      <c r="M114" s="91" t="n"/>
      <c r="N114" s="91" t="n"/>
      <c r="O114" s="93" t="str">
        <f>IF(S114=0,"",SUMIFS('VÍNCULOS_CDF'!$H$6:$H$1005,'VÍNCULOS_CDF'!$O$6:$O$1005,A114,'VÍNCULOS_CDF'!$V$6:$V$1005,1))</f>
        <v/>
      </c>
      <c r="P114" s="95" t="str">
        <f>IF(S114=0,"",COUNTIFS('VÍNCULOS_CDF'!$O$6:$O$1005,A114,'VÍNCULOS_CDF'!$N$6:$N$1005,1))</f>
        <v/>
      </c>
      <c r="Q114" s="94" t="str">
        <f>IF(S114=0,"",IF(OR(B114="",F114=""),"Informações incompletas",IF(U114=1,"Possível duplicidade",IF(V114=0,"Destinador fora do cadastro",IF(AND(J114="Sim",N(P114)=0),"Necessita revisão de vínculos",IF(X114&gt;0,"Necessita revisão de vínculos",IF(J114="Sim","Conferido",IF(I114="Sim","Localizado, aguardando conferência","Cadastrado"))))))))</f>
        <v/>
      </c>
      <c r="R114" s="95" t="str">
        <f>IF(S114=0,"",COUNTIFS('VÍNCULOS_CDF'!$O$6:$O$1005,A114,'VÍNCULOS_CDF'!$AB$6:$AB$1005,1))</f>
        <v/>
      </c>
      <c r="S114" s="96">
        <f>IF(COUNTA(B114:N114)&gt;0,1,0)</f>
        <v>0</v>
      </c>
      <c r="T114" s="96" t="str">
        <f>IF(AND(S114=1,B114&lt;&gt;""),C114&amp;"|"&amp;TRIM(B114),"")</f>
        <v/>
      </c>
      <c r="U114" s="96">
        <f>IF(T114="",0,IF(SUMPRODUCT(--($T$6:$T$505=T114))&gt;1,1,0))</f>
        <v>0</v>
      </c>
      <c r="V114" s="96">
        <f>IF(F114="",0,IF(ISNUMBER(MATCH(F114,cmp_dest,0)),1,0))</f>
        <v>0</v>
      </c>
      <c r="W114" s="96">
        <f>IF(AND(S114=1,B114&lt;&gt;"",F114&lt;&gt;"",J114="Sim",U114=0),1,0)</f>
        <v>0</v>
      </c>
      <c r="X114" s="96">
        <f>IF(S114=0,0,COUNTIFS('VÍNCULOS_CDF'!$O$6:$O$1005,A114,'VÍNCULOS_CDF'!$Y$6:$Y$1005,1))</f>
        <v>0</v>
      </c>
      <c r="Y114" s="96" t="str">
        <f>IF(S114=1,A114&amp;" | CDF "&amp;IF(B114="","(sem número)",B114)&amp;" | "&amp;IF(F114="","(sem destinador)",F114),"")</f>
        <v/>
      </c>
      <c r="Z114" s="96" t="str">
        <f>IF(S114=1,COUNTIF($S$6:S114,1),"")</f>
        <v/>
      </c>
      <c r="AA114" s="96">
        <f>IF(S114=0,0,IF(AND(OR(r_ini="",AND(ISNUMBER(D114),D114&gt;=r_ini)),OR(r_fim="",AND(ISNUMBER(D114),D114&lt;=r_fim)),OR(r_de="",r_de="(Todos)",F114=r_de)),1,0))</f>
        <v>0</v>
      </c>
      <c r="AB114" s="96" t="str">
        <f>IF(AA114=1,IF(F114="",0,COUNTIF($F$6:$F$505,"&lt;"&amp;F114))*1000+109,"")</f>
        <v/>
      </c>
    </row>
    <row r="115">
      <c r="A115" s="89" t="inlineStr">
        <is>
          <t>CDF-000110</t>
        </is>
      </c>
      <c r="B115" s="90" t="n"/>
      <c r="C115" s="91" t="n"/>
      <c r="D115" s="92" t="n"/>
      <c r="E115" s="91" t="n"/>
      <c r="F115" s="91" t="n"/>
      <c r="G115" s="91" t="n"/>
      <c r="H115" s="91" t="n"/>
      <c r="I115" s="91" t="n"/>
      <c r="J115" s="91" t="n"/>
      <c r="K115" s="92" t="n"/>
      <c r="L115" s="91" t="n"/>
      <c r="M115" s="91" t="n"/>
      <c r="N115" s="91" t="n"/>
      <c r="O115" s="93" t="str">
        <f>IF(S115=0,"",SUMIFS('VÍNCULOS_CDF'!$H$6:$H$1005,'VÍNCULOS_CDF'!$O$6:$O$1005,A115,'VÍNCULOS_CDF'!$V$6:$V$1005,1))</f>
        <v/>
      </c>
      <c r="P115" s="95" t="str">
        <f>IF(S115=0,"",COUNTIFS('VÍNCULOS_CDF'!$O$6:$O$1005,A115,'VÍNCULOS_CDF'!$N$6:$N$1005,1))</f>
        <v/>
      </c>
      <c r="Q115" s="94" t="str">
        <f>IF(S115=0,"",IF(OR(B115="",F115=""),"Informações incompletas",IF(U115=1,"Possível duplicidade",IF(V115=0,"Destinador fora do cadastro",IF(AND(J115="Sim",N(P115)=0),"Necessita revisão de vínculos",IF(X115&gt;0,"Necessita revisão de vínculos",IF(J115="Sim","Conferido",IF(I115="Sim","Localizado, aguardando conferência","Cadastrado"))))))))</f>
        <v/>
      </c>
      <c r="R115" s="95" t="str">
        <f>IF(S115=0,"",COUNTIFS('VÍNCULOS_CDF'!$O$6:$O$1005,A115,'VÍNCULOS_CDF'!$AB$6:$AB$1005,1))</f>
        <v/>
      </c>
      <c r="S115" s="96">
        <f>IF(COUNTA(B115:N115)&gt;0,1,0)</f>
        <v>0</v>
      </c>
      <c r="T115" s="96" t="str">
        <f>IF(AND(S115=1,B115&lt;&gt;""),C115&amp;"|"&amp;TRIM(B115),"")</f>
        <v/>
      </c>
      <c r="U115" s="96">
        <f>IF(T115="",0,IF(SUMPRODUCT(--($T$6:$T$505=T115))&gt;1,1,0))</f>
        <v>0</v>
      </c>
      <c r="V115" s="96">
        <f>IF(F115="",0,IF(ISNUMBER(MATCH(F115,cmp_dest,0)),1,0))</f>
        <v>0</v>
      </c>
      <c r="W115" s="96">
        <f>IF(AND(S115=1,B115&lt;&gt;"",F115&lt;&gt;"",J115="Sim",U115=0),1,0)</f>
        <v>0</v>
      </c>
      <c r="X115" s="96">
        <f>IF(S115=0,0,COUNTIFS('VÍNCULOS_CDF'!$O$6:$O$1005,A115,'VÍNCULOS_CDF'!$Y$6:$Y$1005,1))</f>
        <v>0</v>
      </c>
      <c r="Y115" s="96" t="str">
        <f>IF(S115=1,A115&amp;" | CDF "&amp;IF(B115="","(sem número)",B115)&amp;" | "&amp;IF(F115="","(sem destinador)",F115),"")</f>
        <v/>
      </c>
      <c r="Z115" s="96" t="str">
        <f>IF(S115=1,COUNTIF($S$6:S115,1),"")</f>
        <v/>
      </c>
      <c r="AA115" s="96">
        <f>IF(S115=0,0,IF(AND(OR(r_ini="",AND(ISNUMBER(D115),D115&gt;=r_ini)),OR(r_fim="",AND(ISNUMBER(D115),D115&lt;=r_fim)),OR(r_de="",r_de="(Todos)",F115=r_de)),1,0))</f>
        <v>0</v>
      </c>
      <c r="AB115" s="96" t="str">
        <f>IF(AA115=1,IF(F115="",0,COUNTIF($F$6:$F$505,"&lt;"&amp;F115))*1000+110,"")</f>
        <v/>
      </c>
    </row>
    <row r="116">
      <c r="A116" s="89" t="inlineStr">
        <is>
          <t>CDF-000111</t>
        </is>
      </c>
      <c r="B116" s="90" t="n"/>
      <c r="C116" s="91" t="n"/>
      <c r="D116" s="92" t="n"/>
      <c r="E116" s="91" t="n"/>
      <c r="F116" s="91" t="n"/>
      <c r="G116" s="91" t="n"/>
      <c r="H116" s="91" t="n"/>
      <c r="I116" s="91" t="n"/>
      <c r="J116" s="91" t="n"/>
      <c r="K116" s="92" t="n"/>
      <c r="L116" s="91" t="n"/>
      <c r="M116" s="91" t="n"/>
      <c r="N116" s="91" t="n"/>
      <c r="O116" s="93" t="str">
        <f>IF(S116=0,"",SUMIFS('VÍNCULOS_CDF'!$H$6:$H$1005,'VÍNCULOS_CDF'!$O$6:$O$1005,A116,'VÍNCULOS_CDF'!$V$6:$V$1005,1))</f>
        <v/>
      </c>
      <c r="P116" s="95" t="str">
        <f>IF(S116=0,"",COUNTIFS('VÍNCULOS_CDF'!$O$6:$O$1005,A116,'VÍNCULOS_CDF'!$N$6:$N$1005,1))</f>
        <v/>
      </c>
      <c r="Q116" s="94" t="str">
        <f>IF(S116=0,"",IF(OR(B116="",F116=""),"Informações incompletas",IF(U116=1,"Possível duplicidade",IF(V116=0,"Destinador fora do cadastro",IF(AND(J116="Sim",N(P116)=0),"Necessita revisão de vínculos",IF(X116&gt;0,"Necessita revisão de vínculos",IF(J116="Sim","Conferido",IF(I116="Sim","Localizado, aguardando conferência","Cadastrado"))))))))</f>
        <v/>
      </c>
      <c r="R116" s="95" t="str">
        <f>IF(S116=0,"",COUNTIFS('VÍNCULOS_CDF'!$O$6:$O$1005,A116,'VÍNCULOS_CDF'!$AB$6:$AB$1005,1))</f>
        <v/>
      </c>
      <c r="S116" s="96">
        <f>IF(COUNTA(B116:N116)&gt;0,1,0)</f>
        <v>0</v>
      </c>
      <c r="T116" s="96" t="str">
        <f>IF(AND(S116=1,B116&lt;&gt;""),C116&amp;"|"&amp;TRIM(B116),"")</f>
        <v/>
      </c>
      <c r="U116" s="96">
        <f>IF(T116="",0,IF(SUMPRODUCT(--($T$6:$T$505=T116))&gt;1,1,0))</f>
        <v>0</v>
      </c>
      <c r="V116" s="96">
        <f>IF(F116="",0,IF(ISNUMBER(MATCH(F116,cmp_dest,0)),1,0))</f>
        <v>0</v>
      </c>
      <c r="W116" s="96">
        <f>IF(AND(S116=1,B116&lt;&gt;"",F116&lt;&gt;"",J116="Sim",U116=0),1,0)</f>
        <v>0</v>
      </c>
      <c r="X116" s="96">
        <f>IF(S116=0,0,COUNTIFS('VÍNCULOS_CDF'!$O$6:$O$1005,A116,'VÍNCULOS_CDF'!$Y$6:$Y$1005,1))</f>
        <v>0</v>
      </c>
      <c r="Y116" s="96" t="str">
        <f>IF(S116=1,A116&amp;" | CDF "&amp;IF(B116="","(sem número)",B116)&amp;" | "&amp;IF(F116="","(sem destinador)",F116),"")</f>
        <v/>
      </c>
      <c r="Z116" s="96" t="str">
        <f>IF(S116=1,COUNTIF($S$6:S116,1),"")</f>
        <v/>
      </c>
      <c r="AA116" s="96">
        <f>IF(S116=0,0,IF(AND(OR(r_ini="",AND(ISNUMBER(D116),D116&gt;=r_ini)),OR(r_fim="",AND(ISNUMBER(D116),D116&lt;=r_fim)),OR(r_de="",r_de="(Todos)",F116=r_de)),1,0))</f>
        <v>0</v>
      </c>
      <c r="AB116" s="96" t="str">
        <f>IF(AA116=1,IF(F116="",0,COUNTIF($F$6:$F$505,"&lt;"&amp;F116))*1000+111,"")</f>
        <v/>
      </c>
    </row>
    <row r="117">
      <c r="A117" s="89" t="inlineStr">
        <is>
          <t>CDF-000112</t>
        </is>
      </c>
      <c r="B117" s="90" t="n"/>
      <c r="C117" s="91" t="n"/>
      <c r="D117" s="92" t="n"/>
      <c r="E117" s="91" t="n"/>
      <c r="F117" s="91" t="n"/>
      <c r="G117" s="91" t="n"/>
      <c r="H117" s="91" t="n"/>
      <c r="I117" s="91" t="n"/>
      <c r="J117" s="91" t="n"/>
      <c r="K117" s="92" t="n"/>
      <c r="L117" s="91" t="n"/>
      <c r="M117" s="91" t="n"/>
      <c r="N117" s="91" t="n"/>
      <c r="O117" s="93" t="str">
        <f>IF(S117=0,"",SUMIFS('VÍNCULOS_CDF'!$H$6:$H$1005,'VÍNCULOS_CDF'!$O$6:$O$1005,A117,'VÍNCULOS_CDF'!$V$6:$V$1005,1))</f>
        <v/>
      </c>
      <c r="P117" s="95" t="str">
        <f>IF(S117=0,"",COUNTIFS('VÍNCULOS_CDF'!$O$6:$O$1005,A117,'VÍNCULOS_CDF'!$N$6:$N$1005,1))</f>
        <v/>
      </c>
      <c r="Q117" s="94" t="str">
        <f>IF(S117=0,"",IF(OR(B117="",F117=""),"Informações incompletas",IF(U117=1,"Possível duplicidade",IF(V117=0,"Destinador fora do cadastro",IF(AND(J117="Sim",N(P117)=0),"Necessita revisão de vínculos",IF(X117&gt;0,"Necessita revisão de vínculos",IF(J117="Sim","Conferido",IF(I117="Sim","Localizado, aguardando conferência","Cadastrado"))))))))</f>
        <v/>
      </c>
      <c r="R117" s="95" t="str">
        <f>IF(S117=0,"",COUNTIFS('VÍNCULOS_CDF'!$O$6:$O$1005,A117,'VÍNCULOS_CDF'!$AB$6:$AB$1005,1))</f>
        <v/>
      </c>
      <c r="S117" s="96">
        <f>IF(COUNTA(B117:N117)&gt;0,1,0)</f>
        <v>0</v>
      </c>
      <c r="T117" s="96" t="str">
        <f>IF(AND(S117=1,B117&lt;&gt;""),C117&amp;"|"&amp;TRIM(B117),"")</f>
        <v/>
      </c>
      <c r="U117" s="96">
        <f>IF(T117="",0,IF(SUMPRODUCT(--($T$6:$T$505=T117))&gt;1,1,0))</f>
        <v>0</v>
      </c>
      <c r="V117" s="96">
        <f>IF(F117="",0,IF(ISNUMBER(MATCH(F117,cmp_dest,0)),1,0))</f>
        <v>0</v>
      </c>
      <c r="W117" s="96">
        <f>IF(AND(S117=1,B117&lt;&gt;"",F117&lt;&gt;"",J117="Sim",U117=0),1,0)</f>
        <v>0</v>
      </c>
      <c r="X117" s="96">
        <f>IF(S117=0,0,COUNTIFS('VÍNCULOS_CDF'!$O$6:$O$1005,A117,'VÍNCULOS_CDF'!$Y$6:$Y$1005,1))</f>
        <v>0</v>
      </c>
      <c r="Y117" s="96" t="str">
        <f>IF(S117=1,A117&amp;" | CDF "&amp;IF(B117="","(sem número)",B117)&amp;" | "&amp;IF(F117="","(sem destinador)",F117),"")</f>
        <v/>
      </c>
      <c r="Z117" s="96" t="str">
        <f>IF(S117=1,COUNTIF($S$6:S117,1),"")</f>
        <v/>
      </c>
      <c r="AA117" s="96">
        <f>IF(S117=0,0,IF(AND(OR(r_ini="",AND(ISNUMBER(D117),D117&gt;=r_ini)),OR(r_fim="",AND(ISNUMBER(D117),D117&lt;=r_fim)),OR(r_de="",r_de="(Todos)",F117=r_de)),1,0))</f>
        <v>0</v>
      </c>
      <c r="AB117" s="96" t="str">
        <f>IF(AA117=1,IF(F117="",0,COUNTIF($F$6:$F$505,"&lt;"&amp;F117))*1000+112,"")</f>
        <v/>
      </c>
    </row>
    <row r="118">
      <c r="A118" s="89" t="inlineStr">
        <is>
          <t>CDF-000113</t>
        </is>
      </c>
      <c r="B118" s="90" t="n"/>
      <c r="C118" s="91" t="n"/>
      <c r="D118" s="92" t="n"/>
      <c r="E118" s="91" t="n"/>
      <c r="F118" s="91" t="n"/>
      <c r="G118" s="91" t="n"/>
      <c r="H118" s="91" t="n"/>
      <c r="I118" s="91" t="n"/>
      <c r="J118" s="91" t="n"/>
      <c r="K118" s="92" t="n"/>
      <c r="L118" s="91" t="n"/>
      <c r="M118" s="91" t="n"/>
      <c r="N118" s="91" t="n"/>
      <c r="O118" s="93" t="str">
        <f>IF(S118=0,"",SUMIFS('VÍNCULOS_CDF'!$H$6:$H$1005,'VÍNCULOS_CDF'!$O$6:$O$1005,A118,'VÍNCULOS_CDF'!$V$6:$V$1005,1))</f>
        <v/>
      </c>
      <c r="P118" s="95" t="str">
        <f>IF(S118=0,"",COUNTIFS('VÍNCULOS_CDF'!$O$6:$O$1005,A118,'VÍNCULOS_CDF'!$N$6:$N$1005,1))</f>
        <v/>
      </c>
      <c r="Q118" s="94" t="str">
        <f>IF(S118=0,"",IF(OR(B118="",F118=""),"Informações incompletas",IF(U118=1,"Possível duplicidade",IF(V118=0,"Destinador fora do cadastro",IF(AND(J118="Sim",N(P118)=0),"Necessita revisão de vínculos",IF(X118&gt;0,"Necessita revisão de vínculos",IF(J118="Sim","Conferido",IF(I118="Sim","Localizado, aguardando conferência","Cadastrado"))))))))</f>
        <v/>
      </c>
      <c r="R118" s="95" t="str">
        <f>IF(S118=0,"",COUNTIFS('VÍNCULOS_CDF'!$O$6:$O$1005,A118,'VÍNCULOS_CDF'!$AB$6:$AB$1005,1))</f>
        <v/>
      </c>
      <c r="S118" s="96">
        <f>IF(COUNTA(B118:N118)&gt;0,1,0)</f>
        <v>0</v>
      </c>
      <c r="T118" s="96" t="str">
        <f>IF(AND(S118=1,B118&lt;&gt;""),C118&amp;"|"&amp;TRIM(B118),"")</f>
        <v/>
      </c>
      <c r="U118" s="96">
        <f>IF(T118="",0,IF(SUMPRODUCT(--($T$6:$T$505=T118))&gt;1,1,0))</f>
        <v>0</v>
      </c>
      <c r="V118" s="96">
        <f>IF(F118="",0,IF(ISNUMBER(MATCH(F118,cmp_dest,0)),1,0))</f>
        <v>0</v>
      </c>
      <c r="W118" s="96">
        <f>IF(AND(S118=1,B118&lt;&gt;"",F118&lt;&gt;"",J118="Sim",U118=0),1,0)</f>
        <v>0</v>
      </c>
      <c r="X118" s="96">
        <f>IF(S118=0,0,COUNTIFS('VÍNCULOS_CDF'!$O$6:$O$1005,A118,'VÍNCULOS_CDF'!$Y$6:$Y$1005,1))</f>
        <v>0</v>
      </c>
      <c r="Y118" s="96" t="str">
        <f>IF(S118=1,A118&amp;" | CDF "&amp;IF(B118="","(sem número)",B118)&amp;" | "&amp;IF(F118="","(sem destinador)",F118),"")</f>
        <v/>
      </c>
      <c r="Z118" s="96" t="str">
        <f>IF(S118=1,COUNTIF($S$6:S118,1),"")</f>
        <v/>
      </c>
      <c r="AA118" s="96">
        <f>IF(S118=0,0,IF(AND(OR(r_ini="",AND(ISNUMBER(D118),D118&gt;=r_ini)),OR(r_fim="",AND(ISNUMBER(D118),D118&lt;=r_fim)),OR(r_de="",r_de="(Todos)",F118=r_de)),1,0))</f>
        <v>0</v>
      </c>
      <c r="AB118" s="96" t="str">
        <f>IF(AA118=1,IF(F118="",0,COUNTIF($F$6:$F$505,"&lt;"&amp;F118))*1000+113,"")</f>
        <v/>
      </c>
    </row>
    <row r="119">
      <c r="A119" s="89" t="inlineStr">
        <is>
          <t>CDF-000114</t>
        </is>
      </c>
      <c r="B119" s="90" t="n"/>
      <c r="C119" s="91" t="n"/>
      <c r="D119" s="92" t="n"/>
      <c r="E119" s="91" t="n"/>
      <c r="F119" s="91" t="n"/>
      <c r="G119" s="91" t="n"/>
      <c r="H119" s="91" t="n"/>
      <c r="I119" s="91" t="n"/>
      <c r="J119" s="91" t="n"/>
      <c r="K119" s="92" t="n"/>
      <c r="L119" s="91" t="n"/>
      <c r="M119" s="91" t="n"/>
      <c r="N119" s="91" t="n"/>
      <c r="O119" s="93" t="str">
        <f>IF(S119=0,"",SUMIFS('VÍNCULOS_CDF'!$H$6:$H$1005,'VÍNCULOS_CDF'!$O$6:$O$1005,A119,'VÍNCULOS_CDF'!$V$6:$V$1005,1))</f>
        <v/>
      </c>
      <c r="P119" s="95" t="str">
        <f>IF(S119=0,"",COUNTIFS('VÍNCULOS_CDF'!$O$6:$O$1005,A119,'VÍNCULOS_CDF'!$N$6:$N$1005,1))</f>
        <v/>
      </c>
      <c r="Q119" s="94" t="str">
        <f>IF(S119=0,"",IF(OR(B119="",F119=""),"Informações incompletas",IF(U119=1,"Possível duplicidade",IF(V119=0,"Destinador fora do cadastro",IF(AND(J119="Sim",N(P119)=0),"Necessita revisão de vínculos",IF(X119&gt;0,"Necessita revisão de vínculos",IF(J119="Sim","Conferido",IF(I119="Sim","Localizado, aguardando conferência","Cadastrado"))))))))</f>
        <v/>
      </c>
      <c r="R119" s="95" t="str">
        <f>IF(S119=0,"",COUNTIFS('VÍNCULOS_CDF'!$O$6:$O$1005,A119,'VÍNCULOS_CDF'!$AB$6:$AB$1005,1))</f>
        <v/>
      </c>
      <c r="S119" s="96">
        <f>IF(COUNTA(B119:N119)&gt;0,1,0)</f>
        <v>0</v>
      </c>
      <c r="T119" s="96" t="str">
        <f>IF(AND(S119=1,B119&lt;&gt;""),C119&amp;"|"&amp;TRIM(B119),"")</f>
        <v/>
      </c>
      <c r="U119" s="96">
        <f>IF(T119="",0,IF(SUMPRODUCT(--($T$6:$T$505=T119))&gt;1,1,0))</f>
        <v>0</v>
      </c>
      <c r="V119" s="96">
        <f>IF(F119="",0,IF(ISNUMBER(MATCH(F119,cmp_dest,0)),1,0))</f>
        <v>0</v>
      </c>
      <c r="W119" s="96">
        <f>IF(AND(S119=1,B119&lt;&gt;"",F119&lt;&gt;"",J119="Sim",U119=0),1,0)</f>
        <v>0</v>
      </c>
      <c r="X119" s="96">
        <f>IF(S119=0,0,COUNTIFS('VÍNCULOS_CDF'!$O$6:$O$1005,A119,'VÍNCULOS_CDF'!$Y$6:$Y$1005,1))</f>
        <v>0</v>
      </c>
      <c r="Y119" s="96" t="str">
        <f>IF(S119=1,A119&amp;" | CDF "&amp;IF(B119="","(sem número)",B119)&amp;" | "&amp;IF(F119="","(sem destinador)",F119),"")</f>
        <v/>
      </c>
      <c r="Z119" s="96" t="str">
        <f>IF(S119=1,COUNTIF($S$6:S119,1),"")</f>
        <v/>
      </c>
      <c r="AA119" s="96">
        <f>IF(S119=0,0,IF(AND(OR(r_ini="",AND(ISNUMBER(D119),D119&gt;=r_ini)),OR(r_fim="",AND(ISNUMBER(D119),D119&lt;=r_fim)),OR(r_de="",r_de="(Todos)",F119=r_de)),1,0))</f>
        <v>0</v>
      </c>
      <c r="AB119" s="96" t="str">
        <f>IF(AA119=1,IF(F119="",0,COUNTIF($F$6:$F$505,"&lt;"&amp;F119))*1000+114,"")</f>
        <v/>
      </c>
    </row>
    <row r="120">
      <c r="A120" s="89" t="inlineStr">
        <is>
          <t>CDF-000115</t>
        </is>
      </c>
      <c r="B120" s="90" t="n"/>
      <c r="C120" s="91" t="n"/>
      <c r="D120" s="92" t="n"/>
      <c r="E120" s="91" t="n"/>
      <c r="F120" s="91" t="n"/>
      <c r="G120" s="91" t="n"/>
      <c r="H120" s="91" t="n"/>
      <c r="I120" s="91" t="n"/>
      <c r="J120" s="91" t="n"/>
      <c r="K120" s="92" t="n"/>
      <c r="L120" s="91" t="n"/>
      <c r="M120" s="91" t="n"/>
      <c r="N120" s="91" t="n"/>
      <c r="O120" s="93" t="str">
        <f>IF(S120=0,"",SUMIFS('VÍNCULOS_CDF'!$H$6:$H$1005,'VÍNCULOS_CDF'!$O$6:$O$1005,A120,'VÍNCULOS_CDF'!$V$6:$V$1005,1))</f>
        <v/>
      </c>
      <c r="P120" s="95" t="str">
        <f>IF(S120=0,"",COUNTIFS('VÍNCULOS_CDF'!$O$6:$O$1005,A120,'VÍNCULOS_CDF'!$N$6:$N$1005,1))</f>
        <v/>
      </c>
      <c r="Q120" s="94" t="str">
        <f>IF(S120=0,"",IF(OR(B120="",F120=""),"Informações incompletas",IF(U120=1,"Possível duplicidade",IF(V120=0,"Destinador fora do cadastro",IF(AND(J120="Sim",N(P120)=0),"Necessita revisão de vínculos",IF(X120&gt;0,"Necessita revisão de vínculos",IF(J120="Sim","Conferido",IF(I120="Sim","Localizado, aguardando conferência","Cadastrado"))))))))</f>
        <v/>
      </c>
      <c r="R120" s="95" t="str">
        <f>IF(S120=0,"",COUNTIFS('VÍNCULOS_CDF'!$O$6:$O$1005,A120,'VÍNCULOS_CDF'!$AB$6:$AB$1005,1))</f>
        <v/>
      </c>
      <c r="S120" s="96">
        <f>IF(COUNTA(B120:N120)&gt;0,1,0)</f>
        <v>0</v>
      </c>
      <c r="T120" s="96" t="str">
        <f>IF(AND(S120=1,B120&lt;&gt;""),C120&amp;"|"&amp;TRIM(B120),"")</f>
        <v/>
      </c>
      <c r="U120" s="96">
        <f>IF(T120="",0,IF(SUMPRODUCT(--($T$6:$T$505=T120))&gt;1,1,0))</f>
        <v>0</v>
      </c>
      <c r="V120" s="96">
        <f>IF(F120="",0,IF(ISNUMBER(MATCH(F120,cmp_dest,0)),1,0))</f>
        <v>0</v>
      </c>
      <c r="W120" s="96">
        <f>IF(AND(S120=1,B120&lt;&gt;"",F120&lt;&gt;"",J120="Sim",U120=0),1,0)</f>
        <v>0</v>
      </c>
      <c r="X120" s="96">
        <f>IF(S120=0,0,COUNTIFS('VÍNCULOS_CDF'!$O$6:$O$1005,A120,'VÍNCULOS_CDF'!$Y$6:$Y$1005,1))</f>
        <v>0</v>
      </c>
      <c r="Y120" s="96" t="str">
        <f>IF(S120=1,A120&amp;" | CDF "&amp;IF(B120="","(sem número)",B120)&amp;" | "&amp;IF(F120="","(sem destinador)",F120),"")</f>
        <v/>
      </c>
      <c r="Z120" s="96" t="str">
        <f>IF(S120=1,COUNTIF($S$6:S120,1),"")</f>
        <v/>
      </c>
      <c r="AA120" s="96">
        <f>IF(S120=0,0,IF(AND(OR(r_ini="",AND(ISNUMBER(D120),D120&gt;=r_ini)),OR(r_fim="",AND(ISNUMBER(D120),D120&lt;=r_fim)),OR(r_de="",r_de="(Todos)",F120=r_de)),1,0))</f>
        <v>0</v>
      </c>
      <c r="AB120" s="96" t="str">
        <f>IF(AA120=1,IF(F120="",0,COUNTIF($F$6:$F$505,"&lt;"&amp;F120))*1000+115,"")</f>
        <v/>
      </c>
    </row>
    <row r="121">
      <c r="A121" s="89" t="inlineStr">
        <is>
          <t>CDF-000116</t>
        </is>
      </c>
      <c r="B121" s="90" t="n"/>
      <c r="C121" s="91" t="n"/>
      <c r="D121" s="92" t="n"/>
      <c r="E121" s="91" t="n"/>
      <c r="F121" s="91" t="n"/>
      <c r="G121" s="91" t="n"/>
      <c r="H121" s="91" t="n"/>
      <c r="I121" s="91" t="n"/>
      <c r="J121" s="91" t="n"/>
      <c r="K121" s="92" t="n"/>
      <c r="L121" s="91" t="n"/>
      <c r="M121" s="91" t="n"/>
      <c r="N121" s="91" t="n"/>
      <c r="O121" s="93" t="str">
        <f>IF(S121=0,"",SUMIFS('VÍNCULOS_CDF'!$H$6:$H$1005,'VÍNCULOS_CDF'!$O$6:$O$1005,A121,'VÍNCULOS_CDF'!$V$6:$V$1005,1))</f>
        <v/>
      </c>
      <c r="P121" s="95" t="str">
        <f>IF(S121=0,"",COUNTIFS('VÍNCULOS_CDF'!$O$6:$O$1005,A121,'VÍNCULOS_CDF'!$N$6:$N$1005,1))</f>
        <v/>
      </c>
      <c r="Q121" s="94" t="str">
        <f>IF(S121=0,"",IF(OR(B121="",F121=""),"Informações incompletas",IF(U121=1,"Possível duplicidade",IF(V121=0,"Destinador fora do cadastro",IF(AND(J121="Sim",N(P121)=0),"Necessita revisão de vínculos",IF(X121&gt;0,"Necessita revisão de vínculos",IF(J121="Sim","Conferido",IF(I121="Sim","Localizado, aguardando conferência","Cadastrado"))))))))</f>
        <v/>
      </c>
      <c r="R121" s="95" t="str">
        <f>IF(S121=0,"",COUNTIFS('VÍNCULOS_CDF'!$O$6:$O$1005,A121,'VÍNCULOS_CDF'!$AB$6:$AB$1005,1))</f>
        <v/>
      </c>
      <c r="S121" s="96">
        <f>IF(COUNTA(B121:N121)&gt;0,1,0)</f>
        <v>0</v>
      </c>
      <c r="T121" s="96" t="str">
        <f>IF(AND(S121=1,B121&lt;&gt;""),C121&amp;"|"&amp;TRIM(B121),"")</f>
        <v/>
      </c>
      <c r="U121" s="96">
        <f>IF(T121="",0,IF(SUMPRODUCT(--($T$6:$T$505=T121))&gt;1,1,0))</f>
        <v>0</v>
      </c>
      <c r="V121" s="96">
        <f>IF(F121="",0,IF(ISNUMBER(MATCH(F121,cmp_dest,0)),1,0))</f>
        <v>0</v>
      </c>
      <c r="W121" s="96">
        <f>IF(AND(S121=1,B121&lt;&gt;"",F121&lt;&gt;"",J121="Sim",U121=0),1,0)</f>
        <v>0</v>
      </c>
      <c r="X121" s="96">
        <f>IF(S121=0,0,COUNTIFS('VÍNCULOS_CDF'!$O$6:$O$1005,A121,'VÍNCULOS_CDF'!$Y$6:$Y$1005,1))</f>
        <v>0</v>
      </c>
      <c r="Y121" s="96" t="str">
        <f>IF(S121=1,A121&amp;" | CDF "&amp;IF(B121="","(sem número)",B121)&amp;" | "&amp;IF(F121="","(sem destinador)",F121),"")</f>
        <v/>
      </c>
      <c r="Z121" s="96" t="str">
        <f>IF(S121=1,COUNTIF($S$6:S121,1),"")</f>
        <v/>
      </c>
      <c r="AA121" s="96">
        <f>IF(S121=0,0,IF(AND(OR(r_ini="",AND(ISNUMBER(D121),D121&gt;=r_ini)),OR(r_fim="",AND(ISNUMBER(D121),D121&lt;=r_fim)),OR(r_de="",r_de="(Todos)",F121=r_de)),1,0))</f>
        <v>0</v>
      </c>
      <c r="AB121" s="96" t="str">
        <f>IF(AA121=1,IF(F121="",0,COUNTIF($F$6:$F$505,"&lt;"&amp;F121))*1000+116,"")</f>
        <v/>
      </c>
    </row>
    <row r="122">
      <c r="A122" s="89" t="inlineStr">
        <is>
          <t>CDF-000117</t>
        </is>
      </c>
      <c r="B122" s="90" t="n"/>
      <c r="C122" s="91" t="n"/>
      <c r="D122" s="92" t="n"/>
      <c r="E122" s="91" t="n"/>
      <c r="F122" s="91" t="n"/>
      <c r="G122" s="91" t="n"/>
      <c r="H122" s="91" t="n"/>
      <c r="I122" s="91" t="n"/>
      <c r="J122" s="91" t="n"/>
      <c r="K122" s="92" t="n"/>
      <c r="L122" s="91" t="n"/>
      <c r="M122" s="91" t="n"/>
      <c r="N122" s="91" t="n"/>
      <c r="O122" s="93" t="str">
        <f>IF(S122=0,"",SUMIFS('VÍNCULOS_CDF'!$H$6:$H$1005,'VÍNCULOS_CDF'!$O$6:$O$1005,A122,'VÍNCULOS_CDF'!$V$6:$V$1005,1))</f>
        <v/>
      </c>
      <c r="P122" s="95" t="str">
        <f>IF(S122=0,"",COUNTIFS('VÍNCULOS_CDF'!$O$6:$O$1005,A122,'VÍNCULOS_CDF'!$N$6:$N$1005,1))</f>
        <v/>
      </c>
      <c r="Q122" s="94" t="str">
        <f>IF(S122=0,"",IF(OR(B122="",F122=""),"Informações incompletas",IF(U122=1,"Possível duplicidade",IF(V122=0,"Destinador fora do cadastro",IF(AND(J122="Sim",N(P122)=0),"Necessita revisão de vínculos",IF(X122&gt;0,"Necessita revisão de vínculos",IF(J122="Sim","Conferido",IF(I122="Sim","Localizado, aguardando conferência","Cadastrado"))))))))</f>
        <v/>
      </c>
      <c r="R122" s="95" t="str">
        <f>IF(S122=0,"",COUNTIFS('VÍNCULOS_CDF'!$O$6:$O$1005,A122,'VÍNCULOS_CDF'!$AB$6:$AB$1005,1))</f>
        <v/>
      </c>
      <c r="S122" s="96">
        <f>IF(COUNTA(B122:N122)&gt;0,1,0)</f>
        <v>0</v>
      </c>
      <c r="T122" s="96" t="str">
        <f>IF(AND(S122=1,B122&lt;&gt;""),C122&amp;"|"&amp;TRIM(B122),"")</f>
        <v/>
      </c>
      <c r="U122" s="96">
        <f>IF(T122="",0,IF(SUMPRODUCT(--($T$6:$T$505=T122))&gt;1,1,0))</f>
        <v>0</v>
      </c>
      <c r="V122" s="96">
        <f>IF(F122="",0,IF(ISNUMBER(MATCH(F122,cmp_dest,0)),1,0))</f>
        <v>0</v>
      </c>
      <c r="W122" s="96">
        <f>IF(AND(S122=1,B122&lt;&gt;"",F122&lt;&gt;"",J122="Sim",U122=0),1,0)</f>
        <v>0</v>
      </c>
      <c r="X122" s="96">
        <f>IF(S122=0,0,COUNTIFS('VÍNCULOS_CDF'!$O$6:$O$1005,A122,'VÍNCULOS_CDF'!$Y$6:$Y$1005,1))</f>
        <v>0</v>
      </c>
      <c r="Y122" s="96" t="str">
        <f>IF(S122=1,A122&amp;" | CDF "&amp;IF(B122="","(sem número)",B122)&amp;" | "&amp;IF(F122="","(sem destinador)",F122),"")</f>
        <v/>
      </c>
      <c r="Z122" s="96" t="str">
        <f>IF(S122=1,COUNTIF($S$6:S122,1),"")</f>
        <v/>
      </c>
      <c r="AA122" s="96">
        <f>IF(S122=0,0,IF(AND(OR(r_ini="",AND(ISNUMBER(D122),D122&gt;=r_ini)),OR(r_fim="",AND(ISNUMBER(D122),D122&lt;=r_fim)),OR(r_de="",r_de="(Todos)",F122=r_de)),1,0))</f>
        <v>0</v>
      </c>
      <c r="AB122" s="96" t="str">
        <f>IF(AA122=1,IF(F122="",0,COUNTIF($F$6:$F$505,"&lt;"&amp;F122))*1000+117,"")</f>
        <v/>
      </c>
    </row>
    <row r="123">
      <c r="A123" s="89" t="inlineStr">
        <is>
          <t>CDF-000118</t>
        </is>
      </c>
      <c r="B123" s="90" t="n"/>
      <c r="C123" s="91" t="n"/>
      <c r="D123" s="92" t="n"/>
      <c r="E123" s="91" t="n"/>
      <c r="F123" s="91" t="n"/>
      <c r="G123" s="91" t="n"/>
      <c r="H123" s="91" t="n"/>
      <c r="I123" s="91" t="n"/>
      <c r="J123" s="91" t="n"/>
      <c r="K123" s="92" t="n"/>
      <c r="L123" s="91" t="n"/>
      <c r="M123" s="91" t="n"/>
      <c r="N123" s="91" t="n"/>
      <c r="O123" s="93" t="str">
        <f>IF(S123=0,"",SUMIFS('VÍNCULOS_CDF'!$H$6:$H$1005,'VÍNCULOS_CDF'!$O$6:$O$1005,A123,'VÍNCULOS_CDF'!$V$6:$V$1005,1))</f>
        <v/>
      </c>
      <c r="P123" s="95" t="str">
        <f>IF(S123=0,"",COUNTIFS('VÍNCULOS_CDF'!$O$6:$O$1005,A123,'VÍNCULOS_CDF'!$N$6:$N$1005,1))</f>
        <v/>
      </c>
      <c r="Q123" s="94" t="str">
        <f>IF(S123=0,"",IF(OR(B123="",F123=""),"Informações incompletas",IF(U123=1,"Possível duplicidade",IF(V123=0,"Destinador fora do cadastro",IF(AND(J123="Sim",N(P123)=0),"Necessita revisão de vínculos",IF(X123&gt;0,"Necessita revisão de vínculos",IF(J123="Sim","Conferido",IF(I123="Sim","Localizado, aguardando conferência","Cadastrado"))))))))</f>
        <v/>
      </c>
      <c r="R123" s="95" t="str">
        <f>IF(S123=0,"",COUNTIFS('VÍNCULOS_CDF'!$O$6:$O$1005,A123,'VÍNCULOS_CDF'!$AB$6:$AB$1005,1))</f>
        <v/>
      </c>
      <c r="S123" s="96">
        <f>IF(COUNTA(B123:N123)&gt;0,1,0)</f>
        <v>0</v>
      </c>
      <c r="T123" s="96" t="str">
        <f>IF(AND(S123=1,B123&lt;&gt;""),C123&amp;"|"&amp;TRIM(B123),"")</f>
        <v/>
      </c>
      <c r="U123" s="96">
        <f>IF(T123="",0,IF(SUMPRODUCT(--($T$6:$T$505=T123))&gt;1,1,0))</f>
        <v>0</v>
      </c>
      <c r="V123" s="96">
        <f>IF(F123="",0,IF(ISNUMBER(MATCH(F123,cmp_dest,0)),1,0))</f>
        <v>0</v>
      </c>
      <c r="W123" s="96">
        <f>IF(AND(S123=1,B123&lt;&gt;"",F123&lt;&gt;"",J123="Sim",U123=0),1,0)</f>
        <v>0</v>
      </c>
      <c r="X123" s="96">
        <f>IF(S123=0,0,COUNTIFS('VÍNCULOS_CDF'!$O$6:$O$1005,A123,'VÍNCULOS_CDF'!$Y$6:$Y$1005,1))</f>
        <v>0</v>
      </c>
      <c r="Y123" s="96" t="str">
        <f>IF(S123=1,A123&amp;" | CDF "&amp;IF(B123="","(sem número)",B123)&amp;" | "&amp;IF(F123="","(sem destinador)",F123),"")</f>
        <v/>
      </c>
      <c r="Z123" s="96" t="str">
        <f>IF(S123=1,COUNTIF($S$6:S123,1),"")</f>
        <v/>
      </c>
      <c r="AA123" s="96">
        <f>IF(S123=0,0,IF(AND(OR(r_ini="",AND(ISNUMBER(D123),D123&gt;=r_ini)),OR(r_fim="",AND(ISNUMBER(D123),D123&lt;=r_fim)),OR(r_de="",r_de="(Todos)",F123=r_de)),1,0))</f>
        <v>0</v>
      </c>
      <c r="AB123" s="96" t="str">
        <f>IF(AA123=1,IF(F123="",0,COUNTIF($F$6:$F$505,"&lt;"&amp;F123))*1000+118,"")</f>
        <v/>
      </c>
    </row>
    <row r="124">
      <c r="A124" s="89" t="inlineStr">
        <is>
          <t>CDF-000119</t>
        </is>
      </c>
      <c r="B124" s="90" t="n"/>
      <c r="C124" s="91" t="n"/>
      <c r="D124" s="92" t="n"/>
      <c r="E124" s="91" t="n"/>
      <c r="F124" s="91" t="n"/>
      <c r="G124" s="91" t="n"/>
      <c r="H124" s="91" t="n"/>
      <c r="I124" s="91" t="n"/>
      <c r="J124" s="91" t="n"/>
      <c r="K124" s="92" t="n"/>
      <c r="L124" s="91" t="n"/>
      <c r="M124" s="91" t="n"/>
      <c r="N124" s="91" t="n"/>
      <c r="O124" s="93" t="str">
        <f>IF(S124=0,"",SUMIFS('VÍNCULOS_CDF'!$H$6:$H$1005,'VÍNCULOS_CDF'!$O$6:$O$1005,A124,'VÍNCULOS_CDF'!$V$6:$V$1005,1))</f>
        <v/>
      </c>
      <c r="P124" s="95" t="str">
        <f>IF(S124=0,"",COUNTIFS('VÍNCULOS_CDF'!$O$6:$O$1005,A124,'VÍNCULOS_CDF'!$N$6:$N$1005,1))</f>
        <v/>
      </c>
      <c r="Q124" s="94" t="str">
        <f>IF(S124=0,"",IF(OR(B124="",F124=""),"Informações incompletas",IF(U124=1,"Possível duplicidade",IF(V124=0,"Destinador fora do cadastro",IF(AND(J124="Sim",N(P124)=0),"Necessita revisão de vínculos",IF(X124&gt;0,"Necessita revisão de vínculos",IF(J124="Sim","Conferido",IF(I124="Sim","Localizado, aguardando conferência","Cadastrado"))))))))</f>
        <v/>
      </c>
      <c r="R124" s="95" t="str">
        <f>IF(S124=0,"",COUNTIFS('VÍNCULOS_CDF'!$O$6:$O$1005,A124,'VÍNCULOS_CDF'!$AB$6:$AB$1005,1))</f>
        <v/>
      </c>
      <c r="S124" s="96">
        <f>IF(COUNTA(B124:N124)&gt;0,1,0)</f>
        <v>0</v>
      </c>
      <c r="T124" s="96" t="str">
        <f>IF(AND(S124=1,B124&lt;&gt;""),C124&amp;"|"&amp;TRIM(B124),"")</f>
        <v/>
      </c>
      <c r="U124" s="96">
        <f>IF(T124="",0,IF(SUMPRODUCT(--($T$6:$T$505=T124))&gt;1,1,0))</f>
        <v>0</v>
      </c>
      <c r="V124" s="96">
        <f>IF(F124="",0,IF(ISNUMBER(MATCH(F124,cmp_dest,0)),1,0))</f>
        <v>0</v>
      </c>
      <c r="W124" s="96">
        <f>IF(AND(S124=1,B124&lt;&gt;"",F124&lt;&gt;"",J124="Sim",U124=0),1,0)</f>
        <v>0</v>
      </c>
      <c r="X124" s="96">
        <f>IF(S124=0,0,COUNTIFS('VÍNCULOS_CDF'!$O$6:$O$1005,A124,'VÍNCULOS_CDF'!$Y$6:$Y$1005,1))</f>
        <v>0</v>
      </c>
      <c r="Y124" s="96" t="str">
        <f>IF(S124=1,A124&amp;" | CDF "&amp;IF(B124="","(sem número)",B124)&amp;" | "&amp;IF(F124="","(sem destinador)",F124),"")</f>
        <v/>
      </c>
      <c r="Z124" s="96" t="str">
        <f>IF(S124=1,COUNTIF($S$6:S124,1),"")</f>
        <v/>
      </c>
      <c r="AA124" s="96">
        <f>IF(S124=0,0,IF(AND(OR(r_ini="",AND(ISNUMBER(D124),D124&gt;=r_ini)),OR(r_fim="",AND(ISNUMBER(D124),D124&lt;=r_fim)),OR(r_de="",r_de="(Todos)",F124=r_de)),1,0))</f>
        <v>0</v>
      </c>
      <c r="AB124" s="96" t="str">
        <f>IF(AA124=1,IF(F124="",0,COUNTIF($F$6:$F$505,"&lt;"&amp;F124))*1000+119,"")</f>
        <v/>
      </c>
    </row>
    <row r="125">
      <c r="A125" s="89" t="inlineStr">
        <is>
          <t>CDF-000120</t>
        </is>
      </c>
      <c r="B125" s="90" t="n"/>
      <c r="C125" s="91" t="n"/>
      <c r="D125" s="92" t="n"/>
      <c r="E125" s="91" t="n"/>
      <c r="F125" s="91" t="n"/>
      <c r="G125" s="91" t="n"/>
      <c r="H125" s="91" t="n"/>
      <c r="I125" s="91" t="n"/>
      <c r="J125" s="91" t="n"/>
      <c r="K125" s="92" t="n"/>
      <c r="L125" s="91" t="n"/>
      <c r="M125" s="91" t="n"/>
      <c r="N125" s="91" t="n"/>
      <c r="O125" s="93" t="str">
        <f>IF(S125=0,"",SUMIFS('VÍNCULOS_CDF'!$H$6:$H$1005,'VÍNCULOS_CDF'!$O$6:$O$1005,A125,'VÍNCULOS_CDF'!$V$6:$V$1005,1))</f>
        <v/>
      </c>
      <c r="P125" s="95" t="str">
        <f>IF(S125=0,"",COUNTIFS('VÍNCULOS_CDF'!$O$6:$O$1005,A125,'VÍNCULOS_CDF'!$N$6:$N$1005,1))</f>
        <v/>
      </c>
      <c r="Q125" s="94" t="str">
        <f>IF(S125=0,"",IF(OR(B125="",F125=""),"Informações incompletas",IF(U125=1,"Possível duplicidade",IF(V125=0,"Destinador fora do cadastro",IF(AND(J125="Sim",N(P125)=0),"Necessita revisão de vínculos",IF(X125&gt;0,"Necessita revisão de vínculos",IF(J125="Sim","Conferido",IF(I125="Sim","Localizado, aguardando conferência","Cadastrado"))))))))</f>
        <v/>
      </c>
      <c r="R125" s="95" t="str">
        <f>IF(S125=0,"",COUNTIFS('VÍNCULOS_CDF'!$O$6:$O$1005,A125,'VÍNCULOS_CDF'!$AB$6:$AB$1005,1))</f>
        <v/>
      </c>
      <c r="S125" s="96">
        <f>IF(COUNTA(B125:N125)&gt;0,1,0)</f>
        <v>0</v>
      </c>
      <c r="T125" s="96" t="str">
        <f>IF(AND(S125=1,B125&lt;&gt;""),C125&amp;"|"&amp;TRIM(B125),"")</f>
        <v/>
      </c>
      <c r="U125" s="96">
        <f>IF(T125="",0,IF(SUMPRODUCT(--($T$6:$T$505=T125))&gt;1,1,0))</f>
        <v>0</v>
      </c>
      <c r="V125" s="96">
        <f>IF(F125="",0,IF(ISNUMBER(MATCH(F125,cmp_dest,0)),1,0))</f>
        <v>0</v>
      </c>
      <c r="W125" s="96">
        <f>IF(AND(S125=1,B125&lt;&gt;"",F125&lt;&gt;"",J125="Sim",U125=0),1,0)</f>
        <v>0</v>
      </c>
      <c r="X125" s="96">
        <f>IF(S125=0,0,COUNTIFS('VÍNCULOS_CDF'!$O$6:$O$1005,A125,'VÍNCULOS_CDF'!$Y$6:$Y$1005,1))</f>
        <v>0</v>
      </c>
      <c r="Y125" s="96" t="str">
        <f>IF(S125=1,A125&amp;" | CDF "&amp;IF(B125="","(sem número)",B125)&amp;" | "&amp;IF(F125="","(sem destinador)",F125),"")</f>
        <v/>
      </c>
      <c r="Z125" s="96" t="str">
        <f>IF(S125=1,COUNTIF($S$6:S125,1),"")</f>
        <v/>
      </c>
      <c r="AA125" s="96">
        <f>IF(S125=0,0,IF(AND(OR(r_ini="",AND(ISNUMBER(D125),D125&gt;=r_ini)),OR(r_fim="",AND(ISNUMBER(D125),D125&lt;=r_fim)),OR(r_de="",r_de="(Todos)",F125=r_de)),1,0))</f>
        <v>0</v>
      </c>
      <c r="AB125" s="96" t="str">
        <f>IF(AA125=1,IF(F125="",0,COUNTIF($F$6:$F$505,"&lt;"&amp;F125))*1000+120,"")</f>
        <v/>
      </c>
    </row>
    <row r="126">
      <c r="A126" s="89" t="inlineStr">
        <is>
          <t>CDF-000121</t>
        </is>
      </c>
      <c r="B126" s="90" t="n"/>
      <c r="C126" s="91" t="n"/>
      <c r="D126" s="92" t="n"/>
      <c r="E126" s="91" t="n"/>
      <c r="F126" s="91" t="n"/>
      <c r="G126" s="91" t="n"/>
      <c r="H126" s="91" t="n"/>
      <c r="I126" s="91" t="n"/>
      <c r="J126" s="91" t="n"/>
      <c r="K126" s="92" t="n"/>
      <c r="L126" s="91" t="n"/>
      <c r="M126" s="91" t="n"/>
      <c r="N126" s="91" t="n"/>
      <c r="O126" s="93" t="str">
        <f>IF(S126=0,"",SUMIFS('VÍNCULOS_CDF'!$H$6:$H$1005,'VÍNCULOS_CDF'!$O$6:$O$1005,A126,'VÍNCULOS_CDF'!$V$6:$V$1005,1))</f>
        <v/>
      </c>
      <c r="P126" s="95" t="str">
        <f>IF(S126=0,"",COUNTIFS('VÍNCULOS_CDF'!$O$6:$O$1005,A126,'VÍNCULOS_CDF'!$N$6:$N$1005,1))</f>
        <v/>
      </c>
      <c r="Q126" s="94" t="str">
        <f>IF(S126=0,"",IF(OR(B126="",F126=""),"Informações incompletas",IF(U126=1,"Possível duplicidade",IF(V126=0,"Destinador fora do cadastro",IF(AND(J126="Sim",N(P126)=0),"Necessita revisão de vínculos",IF(X126&gt;0,"Necessita revisão de vínculos",IF(J126="Sim","Conferido",IF(I126="Sim","Localizado, aguardando conferência","Cadastrado"))))))))</f>
        <v/>
      </c>
      <c r="R126" s="95" t="str">
        <f>IF(S126=0,"",COUNTIFS('VÍNCULOS_CDF'!$O$6:$O$1005,A126,'VÍNCULOS_CDF'!$AB$6:$AB$1005,1))</f>
        <v/>
      </c>
      <c r="S126" s="96">
        <f>IF(COUNTA(B126:N126)&gt;0,1,0)</f>
        <v>0</v>
      </c>
      <c r="T126" s="96" t="str">
        <f>IF(AND(S126=1,B126&lt;&gt;""),C126&amp;"|"&amp;TRIM(B126),"")</f>
        <v/>
      </c>
      <c r="U126" s="96">
        <f>IF(T126="",0,IF(SUMPRODUCT(--($T$6:$T$505=T126))&gt;1,1,0))</f>
        <v>0</v>
      </c>
      <c r="V126" s="96">
        <f>IF(F126="",0,IF(ISNUMBER(MATCH(F126,cmp_dest,0)),1,0))</f>
        <v>0</v>
      </c>
      <c r="W126" s="96">
        <f>IF(AND(S126=1,B126&lt;&gt;"",F126&lt;&gt;"",J126="Sim",U126=0),1,0)</f>
        <v>0</v>
      </c>
      <c r="X126" s="96">
        <f>IF(S126=0,0,COUNTIFS('VÍNCULOS_CDF'!$O$6:$O$1005,A126,'VÍNCULOS_CDF'!$Y$6:$Y$1005,1))</f>
        <v>0</v>
      </c>
      <c r="Y126" s="96" t="str">
        <f>IF(S126=1,A126&amp;" | CDF "&amp;IF(B126="","(sem número)",B126)&amp;" | "&amp;IF(F126="","(sem destinador)",F126),"")</f>
        <v/>
      </c>
      <c r="Z126" s="96" t="str">
        <f>IF(S126=1,COUNTIF($S$6:S126,1),"")</f>
        <v/>
      </c>
      <c r="AA126" s="96">
        <f>IF(S126=0,0,IF(AND(OR(r_ini="",AND(ISNUMBER(D126),D126&gt;=r_ini)),OR(r_fim="",AND(ISNUMBER(D126),D126&lt;=r_fim)),OR(r_de="",r_de="(Todos)",F126=r_de)),1,0))</f>
        <v>0</v>
      </c>
      <c r="AB126" s="96" t="str">
        <f>IF(AA126=1,IF(F126="",0,COUNTIF($F$6:$F$505,"&lt;"&amp;F126))*1000+121,"")</f>
        <v/>
      </c>
    </row>
    <row r="127">
      <c r="A127" s="89" t="inlineStr">
        <is>
          <t>CDF-000122</t>
        </is>
      </c>
      <c r="B127" s="90" t="n"/>
      <c r="C127" s="91" t="n"/>
      <c r="D127" s="92" t="n"/>
      <c r="E127" s="91" t="n"/>
      <c r="F127" s="91" t="n"/>
      <c r="G127" s="91" t="n"/>
      <c r="H127" s="91" t="n"/>
      <c r="I127" s="91" t="n"/>
      <c r="J127" s="91" t="n"/>
      <c r="K127" s="92" t="n"/>
      <c r="L127" s="91" t="n"/>
      <c r="M127" s="91" t="n"/>
      <c r="N127" s="91" t="n"/>
      <c r="O127" s="93" t="str">
        <f>IF(S127=0,"",SUMIFS('VÍNCULOS_CDF'!$H$6:$H$1005,'VÍNCULOS_CDF'!$O$6:$O$1005,A127,'VÍNCULOS_CDF'!$V$6:$V$1005,1))</f>
        <v/>
      </c>
      <c r="P127" s="95" t="str">
        <f>IF(S127=0,"",COUNTIFS('VÍNCULOS_CDF'!$O$6:$O$1005,A127,'VÍNCULOS_CDF'!$N$6:$N$1005,1))</f>
        <v/>
      </c>
      <c r="Q127" s="94" t="str">
        <f>IF(S127=0,"",IF(OR(B127="",F127=""),"Informações incompletas",IF(U127=1,"Possível duplicidade",IF(V127=0,"Destinador fora do cadastro",IF(AND(J127="Sim",N(P127)=0),"Necessita revisão de vínculos",IF(X127&gt;0,"Necessita revisão de vínculos",IF(J127="Sim","Conferido",IF(I127="Sim","Localizado, aguardando conferência","Cadastrado"))))))))</f>
        <v/>
      </c>
      <c r="R127" s="95" t="str">
        <f>IF(S127=0,"",COUNTIFS('VÍNCULOS_CDF'!$O$6:$O$1005,A127,'VÍNCULOS_CDF'!$AB$6:$AB$1005,1))</f>
        <v/>
      </c>
      <c r="S127" s="96">
        <f>IF(COUNTA(B127:N127)&gt;0,1,0)</f>
        <v>0</v>
      </c>
      <c r="T127" s="96" t="str">
        <f>IF(AND(S127=1,B127&lt;&gt;""),C127&amp;"|"&amp;TRIM(B127),"")</f>
        <v/>
      </c>
      <c r="U127" s="96">
        <f>IF(T127="",0,IF(SUMPRODUCT(--($T$6:$T$505=T127))&gt;1,1,0))</f>
        <v>0</v>
      </c>
      <c r="V127" s="96">
        <f>IF(F127="",0,IF(ISNUMBER(MATCH(F127,cmp_dest,0)),1,0))</f>
        <v>0</v>
      </c>
      <c r="W127" s="96">
        <f>IF(AND(S127=1,B127&lt;&gt;"",F127&lt;&gt;"",J127="Sim",U127=0),1,0)</f>
        <v>0</v>
      </c>
      <c r="X127" s="96">
        <f>IF(S127=0,0,COUNTIFS('VÍNCULOS_CDF'!$O$6:$O$1005,A127,'VÍNCULOS_CDF'!$Y$6:$Y$1005,1))</f>
        <v>0</v>
      </c>
      <c r="Y127" s="96" t="str">
        <f>IF(S127=1,A127&amp;" | CDF "&amp;IF(B127="","(sem número)",B127)&amp;" | "&amp;IF(F127="","(sem destinador)",F127),"")</f>
        <v/>
      </c>
      <c r="Z127" s="96" t="str">
        <f>IF(S127=1,COUNTIF($S$6:S127,1),"")</f>
        <v/>
      </c>
      <c r="AA127" s="96">
        <f>IF(S127=0,0,IF(AND(OR(r_ini="",AND(ISNUMBER(D127),D127&gt;=r_ini)),OR(r_fim="",AND(ISNUMBER(D127),D127&lt;=r_fim)),OR(r_de="",r_de="(Todos)",F127=r_de)),1,0))</f>
        <v>0</v>
      </c>
      <c r="AB127" s="96" t="str">
        <f>IF(AA127=1,IF(F127="",0,COUNTIF($F$6:$F$505,"&lt;"&amp;F127))*1000+122,"")</f>
        <v/>
      </c>
    </row>
    <row r="128">
      <c r="A128" s="89" t="inlineStr">
        <is>
          <t>CDF-000123</t>
        </is>
      </c>
      <c r="B128" s="90" t="n"/>
      <c r="C128" s="91" t="n"/>
      <c r="D128" s="92" t="n"/>
      <c r="E128" s="91" t="n"/>
      <c r="F128" s="91" t="n"/>
      <c r="G128" s="91" t="n"/>
      <c r="H128" s="91" t="n"/>
      <c r="I128" s="91" t="n"/>
      <c r="J128" s="91" t="n"/>
      <c r="K128" s="92" t="n"/>
      <c r="L128" s="91" t="n"/>
      <c r="M128" s="91" t="n"/>
      <c r="N128" s="91" t="n"/>
      <c r="O128" s="93" t="str">
        <f>IF(S128=0,"",SUMIFS('VÍNCULOS_CDF'!$H$6:$H$1005,'VÍNCULOS_CDF'!$O$6:$O$1005,A128,'VÍNCULOS_CDF'!$V$6:$V$1005,1))</f>
        <v/>
      </c>
      <c r="P128" s="95" t="str">
        <f>IF(S128=0,"",COUNTIFS('VÍNCULOS_CDF'!$O$6:$O$1005,A128,'VÍNCULOS_CDF'!$N$6:$N$1005,1))</f>
        <v/>
      </c>
      <c r="Q128" s="94" t="str">
        <f>IF(S128=0,"",IF(OR(B128="",F128=""),"Informações incompletas",IF(U128=1,"Possível duplicidade",IF(V128=0,"Destinador fora do cadastro",IF(AND(J128="Sim",N(P128)=0),"Necessita revisão de vínculos",IF(X128&gt;0,"Necessita revisão de vínculos",IF(J128="Sim","Conferido",IF(I128="Sim","Localizado, aguardando conferência","Cadastrado"))))))))</f>
        <v/>
      </c>
      <c r="R128" s="95" t="str">
        <f>IF(S128=0,"",COUNTIFS('VÍNCULOS_CDF'!$O$6:$O$1005,A128,'VÍNCULOS_CDF'!$AB$6:$AB$1005,1))</f>
        <v/>
      </c>
      <c r="S128" s="96">
        <f>IF(COUNTA(B128:N128)&gt;0,1,0)</f>
        <v>0</v>
      </c>
      <c r="T128" s="96" t="str">
        <f>IF(AND(S128=1,B128&lt;&gt;""),C128&amp;"|"&amp;TRIM(B128),"")</f>
        <v/>
      </c>
      <c r="U128" s="96">
        <f>IF(T128="",0,IF(SUMPRODUCT(--($T$6:$T$505=T128))&gt;1,1,0))</f>
        <v>0</v>
      </c>
      <c r="V128" s="96">
        <f>IF(F128="",0,IF(ISNUMBER(MATCH(F128,cmp_dest,0)),1,0))</f>
        <v>0</v>
      </c>
      <c r="W128" s="96">
        <f>IF(AND(S128=1,B128&lt;&gt;"",F128&lt;&gt;"",J128="Sim",U128=0),1,0)</f>
        <v>0</v>
      </c>
      <c r="X128" s="96">
        <f>IF(S128=0,0,COUNTIFS('VÍNCULOS_CDF'!$O$6:$O$1005,A128,'VÍNCULOS_CDF'!$Y$6:$Y$1005,1))</f>
        <v>0</v>
      </c>
      <c r="Y128" s="96" t="str">
        <f>IF(S128=1,A128&amp;" | CDF "&amp;IF(B128="","(sem número)",B128)&amp;" | "&amp;IF(F128="","(sem destinador)",F128),"")</f>
        <v/>
      </c>
      <c r="Z128" s="96" t="str">
        <f>IF(S128=1,COUNTIF($S$6:S128,1),"")</f>
        <v/>
      </c>
      <c r="AA128" s="96">
        <f>IF(S128=0,0,IF(AND(OR(r_ini="",AND(ISNUMBER(D128),D128&gt;=r_ini)),OR(r_fim="",AND(ISNUMBER(D128),D128&lt;=r_fim)),OR(r_de="",r_de="(Todos)",F128=r_de)),1,0))</f>
        <v>0</v>
      </c>
      <c r="AB128" s="96" t="str">
        <f>IF(AA128=1,IF(F128="",0,COUNTIF($F$6:$F$505,"&lt;"&amp;F128))*1000+123,"")</f>
        <v/>
      </c>
    </row>
    <row r="129">
      <c r="A129" s="89" t="inlineStr">
        <is>
          <t>CDF-000124</t>
        </is>
      </c>
      <c r="B129" s="90" t="n"/>
      <c r="C129" s="91" t="n"/>
      <c r="D129" s="92" t="n"/>
      <c r="E129" s="91" t="n"/>
      <c r="F129" s="91" t="n"/>
      <c r="G129" s="91" t="n"/>
      <c r="H129" s="91" t="n"/>
      <c r="I129" s="91" t="n"/>
      <c r="J129" s="91" t="n"/>
      <c r="K129" s="92" t="n"/>
      <c r="L129" s="91" t="n"/>
      <c r="M129" s="91" t="n"/>
      <c r="N129" s="91" t="n"/>
      <c r="O129" s="93" t="str">
        <f>IF(S129=0,"",SUMIFS('VÍNCULOS_CDF'!$H$6:$H$1005,'VÍNCULOS_CDF'!$O$6:$O$1005,A129,'VÍNCULOS_CDF'!$V$6:$V$1005,1))</f>
        <v/>
      </c>
      <c r="P129" s="95" t="str">
        <f>IF(S129=0,"",COUNTIFS('VÍNCULOS_CDF'!$O$6:$O$1005,A129,'VÍNCULOS_CDF'!$N$6:$N$1005,1))</f>
        <v/>
      </c>
      <c r="Q129" s="94" t="str">
        <f>IF(S129=0,"",IF(OR(B129="",F129=""),"Informações incompletas",IF(U129=1,"Possível duplicidade",IF(V129=0,"Destinador fora do cadastro",IF(AND(J129="Sim",N(P129)=0),"Necessita revisão de vínculos",IF(X129&gt;0,"Necessita revisão de vínculos",IF(J129="Sim","Conferido",IF(I129="Sim","Localizado, aguardando conferência","Cadastrado"))))))))</f>
        <v/>
      </c>
      <c r="R129" s="95" t="str">
        <f>IF(S129=0,"",COUNTIFS('VÍNCULOS_CDF'!$O$6:$O$1005,A129,'VÍNCULOS_CDF'!$AB$6:$AB$1005,1))</f>
        <v/>
      </c>
      <c r="S129" s="96">
        <f>IF(COUNTA(B129:N129)&gt;0,1,0)</f>
        <v>0</v>
      </c>
      <c r="T129" s="96" t="str">
        <f>IF(AND(S129=1,B129&lt;&gt;""),C129&amp;"|"&amp;TRIM(B129),"")</f>
        <v/>
      </c>
      <c r="U129" s="96">
        <f>IF(T129="",0,IF(SUMPRODUCT(--($T$6:$T$505=T129))&gt;1,1,0))</f>
        <v>0</v>
      </c>
      <c r="V129" s="96">
        <f>IF(F129="",0,IF(ISNUMBER(MATCH(F129,cmp_dest,0)),1,0))</f>
        <v>0</v>
      </c>
      <c r="W129" s="96">
        <f>IF(AND(S129=1,B129&lt;&gt;"",F129&lt;&gt;"",J129="Sim",U129=0),1,0)</f>
        <v>0</v>
      </c>
      <c r="X129" s="96">
        <f>IF(S129=0,0,COUNTIFS('VÍNCULOS_CDF'!$O$6:$O$1005,A129,'VÍNCULOS_CDF'!$Y$6:$Y$1005,1))</f>
        <v>0</v>
      </c>
      <c r="Y129" s="96" t="str">
        <f>IF(S129=1,A129&amp;" | CDF "&amp;IF(B129="","(sem número)",B129)&amp;" | "&amp;IF(F129="","(sem destinador)",F129),"")</f>
        <v/>
      </c>
      <c r="Z129" s="96" t="str">
        <f>IF(S129=1,COUNTIF($S$6:S129,1),"")</f>
        <v/>
      </c>
      <c r="AA129" s="96">
        <f>IF(S129=0,0,IF(AND(OR(r_ini="",AND(ISNUMBER(D129),D129&gt;=r_ini)),OR(r_fim="",AND(ISNUMBER(D129),D129&lt;=r_fim)),OR(r_de="",r_de="(Todos)",F129=r_de)),1,0))</f>
        <v>0</v>
      </c>
      <c r="AB129" s="96" t="str">
        <f>IF(AA129=1,IF(F129="",0,COUNTIF($F$6:$F$505,"&lt;"&amp;F129))*1000+124,"")</f>
        <v/>
      </c>
    </row>
    <row r="130">
      <c r="A130" s="89" t="inlineStr">
        <is>
          <t>CDF-000125</t>
        </is>
      </c>
      <c r="B130" s="90" t="n"/>
      <c r="C130" s="91" t="n"/>
      <c r="D130" s="92" t="n"/>
      <c r="E130" s="91" t="n"/>
      <c r="F130" s="91" t="n"/>
      <c r="G130" s="91" t="n"/>
      <c r="H130" s="91" t="n"/>
      <c r="I130" s="91" t="n"/>
      <c r="J130" s="91" t="n"/>
      <c r="K130" s="92" t="n"/>
      <c r="L130" s="91" t="n"/>
      <c r="M130" s="91" t="n"/>
      <c r="N130" s="91" t="n"/>
      <c r="O130" s="93" t="str">
        <f>IF(S130=0,"",SUMIFS('VÍNCULOS_CDF'!$H$6:$H$1005,'VÍNCULOS_CDF'!$O$6:$O$1005,A130,'VÍNCULOS_CDF'!$V$6:$V$1005,1))</f>
        <v/>
      </c>
      <c r="P130" s="95" t="str">
        <f>IF(S130=0,"",COUNTIFS('VÍNCULOS_CDF'!$O$6:$O$1005,A130,'VÍNCULOS_CDF'!$N$6:$N$1005,1))</f>
        <v/>
      </c>
      <c r="Q130" s="94" t="str">
        <f>IF(S130=0,"",IF(OR(B130="",F130=""),"Informações incompletas",IF(U130=1,"Possível duplicidade",IF(V130=0,"Destinador fora do cadastro",IF(AND(J130="Sim",N(P130)=0),"Necessita revisão de vínculos",IF(X130&gt;0,"Necessita revisão de vínculos",IF(J130="Sim","Conferido",IF(I130="Sim","Localizado, aguardando conferência","Cadastrado"))))))))</f>
        <v/>
      </c>
      <c r="R130" s="95" t="str">
        <f>IF(S130=0,"",COUNTIFS('VÍNCULOS_CDF'!$O$6:$O$1005,A130,'VÍNCULOS_CDF'!$AB$6:$AB$1005,1))</f>
        <v/>
      </c>
      <c r="S130" s="96">
        <f>IF(COUNTA(B130:N130)&gt;0,1,0)</f>
        <v>0</v>
      </c>
      <c r="T130" s="96" t="str">
        <f>IF(AND(S130=1,B130&lt;&gt;""),C130&amp;"|"&amp;TRIM(B130),"")</f>
        <v/>
      </c>
      <c r="U130" s="96">
        <f>IF(T130="",0,IF(SUMPRODUCT(--($T$6:$T$505=T130))&gt;1,1,0))</f>
        <v>0</v>
      </c>
      <c r="V130" s="96">
        <f>IF(F130="",0,IF(ISNUMBER(MATCH(F130,cmp_dest,0)),1,0))</f>
        <v>0</v>
      </c>
      <c r="W130" s="96">
        <f>IF(AND(S130=1,B130&lt;&gt;"",F130&lt;&gt;"",J130="Sim",U130=0),1,0)</f>
        <v>0</v>
      </c>
      <c r="X130" s="96">
        <f>IF(S130=0,0,COUNTIFS('VÍNCULOS_CDF'!$O$6:$O$1005,A130,'VÍNCULOS_CDF'!$Y$6:$Y$1005,1))</f>
        <v>0</v>
      </c>
      <c r="Y130" s="96" t="str">
        <f>IF(S130=1,A130&amp;" | CDF "&amp;IF(B130="","(sem número)",B130)&amp;" | "&amp;IF(F130="","(sem destinador)",F130),"")</f>
        <v/>
      </c>
      <c r="Z130" s="96" t="str">
        <f>IF(S130=1,COUNTIF($S$6:S130,1),"")</f>
        <v/>
      </c>
      <c r="AA130" s="96">
        <f>IF(S130=0,0,IF(AND(OR(r_ini="",AND(ISNUMBER(D130),D130&gt;=r_ini)),OR(r_fim="",AND(ISNUMBER(D130),D130&lt;=r_fim)),OR(r_de="",r_de="(Todos)",F130=r_de)),1,0))</f>
        <v>0</v>
      </c>
      <c r="AB130" s="96" t="str">
        <f>IF(AA130=1,IF(F130="",0,COUNTIF($F$6:$F$505,"&lt;"&amp;F130))*1000+125,"")</f>
        <v/>
      </c>
    </row>
    <row r="131">
      <c r="A131" s="89" t="inlineStr">
        <is>
          <t>CDF-000126</t>
        </is>
      </c>
      <c r="B131" s="90" t="n"/>
      <c r="C131" s="91" t="n"/>
      <c r="D131" s="92" t="n"/>
      <c r="E131" s="91" t="n"/>
      <c r="F131" s="91" t="n"/>
      <c r="G131" s="91" t="n"/>
      <c r="H131" s="91" t="n"/>
      <c r="I131" s="91" t="n"/>
      <c r="J131" s="91" t="n"/>
      <c r="K131" s="92" t="n"/>
      <c r="L131" s="91" t="n"/>
      <c r="M131" s="91" t="n"/>
      <c r="N131" s="91" t="n"/>
      <c r="O131" s="93" t="str">
        <f>IF(S131=0,"",SUMIFS('VÍNCULOS_CDF'!$H$6:$H$1005,'VÍNCULOS_CDF'!$O$6:$O$1005,A131,'VÍNCULOS_CDF'!$V$6:$V$1005,1))</f>
        <v/>
      </c>
      <c r="P131" s="95" t="str">
        <f>IF(S131=0,"",COUNTIFS('VÍNCULOS_CDF'!$O$6:$O$1005,A131,'VÍNCULOS_CDF'!$N$6:$N$1005,1))</f>
        <v/>
      </c>
      <c r="Q131" s="94" t="str">
        <f>IF(S131=0,"",IF(OR(B131="",F131=""),"Informações incompletas",IF(U131=1,"Possível duplicidade",IF(V131=0,"Destinador fora do cadastro",IF(AND(J131="Sim",N(P131)=0),"Necessita revisão de vínculos",IF(X131&gt;0,"Necessita revisão de vínculos",IF(J131="Sim","Conferido",IF(I131="Sim","Localizado, aguardando conferência","Cadastrado"))))))))</f>
        <v/>
      </c>
      <c r="R131" s="95" t="str">
        <f>IF(S131=0,"",COUNTIFS('VÍNCULOS_CDF'!$O$6:$O$1005,A131,'VÍNCULOS_CDF'!$AB$6:$AB$1005,1))</f>
        <v/>
      </c>
      <c r="S131" s="96">
        <f>IF(COUNTA(B131:N131)&gt;0,1,0)</f>
        <v>0</v>
      </c>
      <c r="T131" s="96" t="str">
        <f>IF(AND(S131=1,B131&lt;&gt;""),C131&amp;"|"&amp;TRIM(B131),"")</f>
        <v/>
      </c>
      <c r="U131" s="96">
        <f>IF(T131="",0,IF(SUMPRODUCT(--($T$6:$T$505=T131))&gt;1,1,0))</f>
        <v>0</v>
      </c>
      <c r="V131" s="96">
        <f>IF(F131="",0,IF(ISNUMBER(MATCH(F131,cmp_dest,0)),1,0))</f>
        <v>0</v>
      </c>
      <c r="W131" s="96">
        <f>IF(AND(S131=1,B131&lt;&gt;"",F131&lt;&gt;"",J131="Sim",U131=0),1,0)</f>
        <v>0</v>
      </c>
      <c r="X131" s="96">
        <f>IF(S131=0,0,COUNTIFS('VÍNCULOS_CDF'!$O$6:$O$1005,A131,'VÍNCULOS_CDF'!$Y$6:$Y$1005,1))</f>
        <v>0</v>
      </c>
      <c r="Y131" s="96" t="str">
        <f>IF(S131=1,A131&amp;" | CDF "&amp;IF(B131="","(sem número)",B131)&amp;" | "&amp;IF(F131="","(sem destinador)",F131),"")</f>
        <v/>
      </c>
      <c r="Z131" s="96" t="str">
        <f>IF(S131=1,COUNTIF($S$6:S131,1),"")</f>
        <v/>
      </c>
      <c r="AA131" s="96">
        <f>IF(S131=0,0,IF(AND(OR(r_ini="",AND(ISNUMBER(D131),D131&gt;=r_ini)),OR(r_fim="",AND(ISNUMBER(D131),D131&lt;=r_fim)),OR(r_de="",r_de="(Todos)",F131=r_de)),1,0))</f>
        <v>0</v>
      </c>
      <c r="AB131" s="96" t="str">
        <f>IF(AA131=1,IF(F131="",0,COUNTIF($F$6:$F$505,"&lt;"&amp;F131))*1000+126,"")</f>
        <v/>
      </c>
    </row>
    <row r="132">
      <c r="A132" s="89" t="inlineStr">
        <is>
          <t>CDF-000127</t>
        </is>
      </c>
      <c r="B132" s="90" t="n"/>
      <c r="C132" s="91" t="n"/>
      <c r="D132" s="92" t="n"/>
      <c r="E132" s="91" t="n"/>
      <c r="F132" s="91" t="n"/>
      <c r="G132" s="91" t="n"/>
      <c r="H132" s="91" t="n"/>
      <c r="I132" s="91" t="n"/>
      <c r="J132" s="91" t="n"/>
      <c r="K132" s="92" t="n"/>
      <c r="L132" s="91" t="n"/>
      <c r="M132" s="91" t="n"/>
      <c r="N132" s="91" t="n"/>
      <c r="O132" s="93" t="str">
        <f>IF(S132=0,"",SUMIFS('VÍNCULOS_CDF'!$H$6:$H$1005,'VÍNCULOS_CDF'!$O$6:$O$1005,A132,'VÍNCULOS_CDF'!$V$6:$V$1005,1))</f>
        <v/>
      </c>
      <c r="P132" s="95" t="str">
        <f>IF(S132=0,"",COUNTIFS('VÍNCULOS_CDF'!$O$6:$O$1005,A132,'VÍNCULOS_CDF'!$N$6:$N$1005,1))</f>
        <v/>
      </c>
      <c r="Q132" s="94" t="str">
        <f>IF(S132=0,"",IF(OR(B132="",F132=""),"Informações incompletas",IF(U132=1,"Possível duplicidade",IF(V132=0,"Destinador fora do cadastro",IF(AND(J132="Sim",N(P132)=0),"Necessita revisão de vínculos",IF(X132&gt;0,"Necessita revisão de vínculos",IF(J132="Sim","Conferido",IF(I132="Sim","Localizado, aguardando conferência","Cadastrado"))))))))</f>
        <v/>
      </c>
      <c r="R132" s="95" t="str">
        <f>IF(S132=0,"",COUNTIFS('VÍNCULOS_CDF'!$O$6:$O$1005,A132,'VÍNCULOS_CDF'!$AB$6:$AB$1005,1))</f>
        <v/>
      </c>
      <c r="S132" s="96">
        <f>IF(COUNTA(B132:N132)&gt;0,1,0)</f>
        <v>0</v>
      </c>
      <c r="T132" s="96" t="str">
        <f>IF(AND(S132=1,B132&lt;&gt;""),C132&amp;"|"&amp;TRIM(B132),"")</f>
        <v/>
      </c>
      <c r="U132" s="96">
        <f>IF(T132="",0,IF(SUMPRODUCT(--($T$6:$T$505=T132))&gt;1,1,0))</f>
        <v>0</v>
      </c>
      <c r="V132" s="96">
        <f>IF(F132="",0,IF(ISNUMBER(MATCH(F132,cmp_dest,0)),1,0))</f>
        <v>0</v>
      </c>
      <c r="W132" s="96">
        <f>IF(AND(S132=1,B132&lt;&gt;"",F132&lt;&gt;"",J132="Sim",U132=0),1,0)</f>
        <v>0</v>
      </c>
      <c r="X132" s="96">
        <f>IF(S132=0,0,COUNTIFS('VÍNCULOS_CDF'!$O$6:$O$1005,A132,'VÍNCULOS_CDF'!$Y$6:$Y$1005,1))</f>
        <v>0</v>
      </c>
      <c r="Y132" s="96" t="str">
        <f>IF(S132=1,A132&amp;" | CDF "&amp;IF(B132="","(sem número)",B132)&amp;" | "&amp;IF(F132="","(sem destinador)",F132),"")</f>
        <v/>
      </c>
      <c r="Z132" s="96" t="str">
        <f>IF(S132=1,COUNTIF($S$6:S132,1),"")</f>
        <v/>
      </c>
      <c r="AA132" s="96">
        <f>IF(S132=0,0,IF(AND(OR(r_ini="",AND(ISNUMBER(D132),D132&gt;=r_ini)),OR(r_fim="",AND(ISNUMBER(D132),D132&lt;=r_fim)),OR(r_de="",r_de="(Todos)",F132=r_de)),1,0))</f>
        <v>0</v>
      </c>
      <c r="AB132" s="96" t="str">
        <f>IF(AA132=1,IF(F132="",0,COUNTIF($F$6:$F$505,"&lt;"&amp;F132))*1000+127,"")</f>
        <v/>
      </c>
    </row>
    <row r="133">
      <c r="A133" s="89" t="inlineStr">
        <is>
          <t>CDF-000128</t>
        </is>
      </c>
      <c r="B133" s="90" t="n"/>
      <c r="C133" s="91" t="n"/>
      <c r="D133" s="92" t="n"/>
      <c r="E133" s="91" t="n"/>
      <c r="F133" s="91" t="n"/>
      <c r="G133" s="91" t="n"/>
      <c r="H133" s="91" t="n"/>
      <c r="I133" s="91" t="n"/>
      <c r="J133" s="91" t="n"/>
      <c r="K133" s="92" t="n"/>
      <c r="L133" s="91" t="n"/>
      <c r="M133" s="91" t="n"/>
      <c r="N133" s="91" t="n"/>
      <c r="O133" s="93" t="str">
        <f>IF(S133=0,"",SUMIFS('VÍNCULOS_CDF'!$H$6:$H$1005,'VÍNCULOS_CDF'!$O$6:$O$1005,A133,'VÍNCULOS_CDF'!$V$6:$V$1005,1))</f>
        <v/>
      </c>
      <c r="P133" s="95" t="str">
        <f>IF(S133=0,"",COUNTIFS('VÍNCULOS_CDF'!$O$6:$O$1005,A133,'VÍNCULOS_CDF'!$N$6:$N$1005,1))</f>
        <v/>
      </c>
      <c r="Q133" s="94" t="str">
        <f>IF(S133=0,"",IF(OR(B133="",F133=""),"Informações incompletas",IF(U133=1,"Possível duplicidade",IF(V133=0,"Destinador fora do cadastro",IF(AND(J133="Sim",N(P133)=0),"Necessita revisão de vínculos",IF(X133&gt;0,"Necessita revisão de vínculos",IF(J133="Sim","Conferido",IF(I133="Sim","Localizado, aguardando conferência","Cadastrado"))))))))</f>
        <v/>
      </c>
      <c r="R133" s="95" t="str">
        <f>IF(S133=0,"",COUNTIFS('VÍNCULOS_CDF'!$O$6:$O$1005,A133,'VÍNCULOS_CDF'!$AB$6:$AB$1005,1))</f>
        <v/>
      </c>
      <c r="S133" s="96">
        <f>IF(COUNTA(B133:N133)&gt;0,1,0)</f>
        <v>0</v>
      </c>
      <c r="T133" s="96" t="str">
        <f>IF(AND(S133=1,B133&lt;&gt;""),C133&amp;"|"&amp;TRIM(B133),"")</f>
        <v/>
      </c>
      <c r="U133" s="96">
        <f>IF(T133="",0,IF(SUMPRODUCT(--($T$6:$T$505=T133))&gt;1,1,0))</f>
        <v>0</v>
      </c>
      <c r="V133" s="96">
        <f>IF(F133="",0,IF(ISNUMBER(MATCH(F133,cmp_dest,0)),1,0))</f>
        <v>0</v>
      </c>
      <c r="W133" s="96">
        <f>IF(AND(S133=1,B133&lt;&gt;"",F133&lt;&gt;"",J133="Sim",U133=0),1,0)</f>
        <v>0</v>
      </c>
      <c r="X133" s="96">
        <f>IF(S133=0,0,COUNTIFS('VÍNCULOS_CDF'!$O$6:$O$1005,A133,'VÍNCULOS_CDF'!$Y$6:$Y$1005,1))</f>
        <v>0</v>
      </c>
      <c r="Y133" s="96" t="str">
        <f>IF(S133=1,A133&amp;" | CDF "&amp;IF(B133="","(sem número)",B133)&amp;" | "&amp;IF(F133="","(sem destinador)",F133),"")</f>
        <v/>
      </c>
      <c r="Z133" s="96" t="str">
        <f>IF(S133=1,COUNTIF($S$6:S133,1),"")</f>
        <v/>
      </c>
      <c r="AA133" s="96">
        <f>IF(S133=0,0,IF(AND(OR(r_ini="",AND(ISNUMBER(D133),D133&gt;=r_ini)),OR(r_fim="",AND(ISNUMBER(D133),D133&lt;=r_fim)),OR(r_de="",r_de="(Todos)",F133=r_de)),1,0))</f>
        <v>0</v>
      </c>
      <c r="AB133" s="96" t="str">
        <f>IF(AA133=1,IF(F133="",0,COUNTIF($F$6:$F$505,"&lt;"&amp;F133))*1000+128,"")</f>
        <v/>
      </c>
    </row>
    <row r="134">
      <c r="A134" s="89" t="inlineStr">
        <is>
          <t>CDF-000129</t>
        </is>
      </c>
      <c r="B134" s="90" t="n"/>
      <c r="C134" s="91" t="n"/>
      <c r="D134" s="92" t="n"/>
      <c r="E134" s="91" t="n"/>
      <c r="F134" s="91" t="n"/>
      <c r="G134" s="91" t="n"/>
      <c r="H134" s="91" t="n"/>
      <c r="I134" s="91" t="n"/>
      <c r="J134" s="91" t="n"/>
      <c r="K134" s="92" t="n"/>
      <c r="L134" s="91" t="n"/>
      <c r="M134" s="91" t="n"/>
      <c r="N134" s="91" t="n"/>
      <c r="O134" s="93" t="str">
        <f>IF(S134=0,"",SUMIFS('VÍNCULOS_CDF'!$H$6:$H$1005,'VÍNCULOS_CDF'!$O$6:$O$1005,A134,'VÍNCULOS_CDF'!$V$6:$V$1005,1))</f>
        <v/>
      </c>
      <c r="P134" s="95" t="str">
        <f>IF(S134=0,"",COUNTIFS('VÍNCULOS_CDF'!$O$6:$O$1005,A134,'VÍNCULOS_CDF'!$N$6:$N$1005,1))</f>
        <v/>
      </c>
      <c r="Q134" s="94" t="str">
        <f>IF(S134=0,"",IF(OR(B134="",F134=""),"Informações incompletas",IF(U134=1,"Possível duplicidade",IF(V134=0,"Destinador fora do cadastro",IF(AND(J134="Sim",N(P134)=0),"Necessita revisão de vínculos",IF(X134&gt;0,"Necessita revisão de vínculos",IF(J134="Sim","Conferido",IF(I134="Sim","Localizado, aguardando conferência","Cadastrado"))))))))</f>
        <v/>
      </c>
      <c r="R134" s="95" t="str">
        <f>IF(S134=0,"",COUNTIFS('VÍNCULOS_CDF'!$O$6:$O$1005,A134,'VÍNCULOS_CDF'!$AB$6:$AB$1005,1))</f>
        <v/>
      </c>
      <c r="S134" s="96">
        <f>IF(COUNTA(B134:N134)&gt;0,1,0)</f>
        <v>0</v>
      </c>
      <c r="T134" s="96" t="str">
        <f>IF(AND(S134=1,B134&lt;&gt;""),C134&amp;"|"&amp;TRIM(B134),"")</f>
        <v/>
      </c>
      <c r="U134" s="96">
        <f>IF(T134="",0,IF(SUMPRODUCT(--($T$6:$T$505=T134))&gt;1,1,0))</f>
        <v>0</v>
      </c>
      <c r="V134" s="96">
        <f>IF(F134="",0,IF(ISNUMBER(MATCH(F134,cmp_dest,0)),1,0))</f>
        <v>0</v>
      </c>
      <c r="W134" s="96">
        <f>IF(AND(S134=1,B134&lt;&gt;"",F134&lt;&gt;"",J134="Sim",U134=0),1,0)</f>
        <v>0</v>
      </c>
      <c r="X134" s="96">
        <f>IF(S134=0,0,COUNTIFS('VÍNCULOS_CDF'!$O$6:$O$1005,A134,'VÍNCULOS_CDF'!$Y$6:$Y$1005,1))</f>
        <v>0</v>
      </c>
      <c r="Y134" s="96" t="str">
        <f>IF(S134=1,A134&amp;" | CDF "&amp;IF(B134="","(sem número)",B134)&amp;" | "&amp;IF(F134="","(sem destinador)",F134),"")</f>
        <v/>
      </c>
      <c r="Z134" s="96" t="str">
        <f>IF(S134=1,COUNTIF($S$6:S134,1),"")</f>
        <v/>
      </c>
      <c r="AA134" s="96">
        <f>IF(S134=0,0,IF(AND(OR(r_ini="",AND(ISNUMBER(D134),D134&gt;=r_ini)),OR(r_fim="",AND(ISNUMBER(D134),D134&lt;=r_fim)),OR(r_de="",r_de="(Todos)",F134=r_de)),1,0))</f>
        <v>0</v>
      </c>
      <c r="AB134" s="96" t="str">
        <f>IF(AA134=1,IF(F134="",0,COUNTIF($F$6:$F$505,"&lt;"&amp;F134))*1000+129,"")</f>
        <v/>
      </c>
    </row>
    <row r="135">
      <c r="A135" s="89" t="inlineStr">
        <is>
          <t>CDF-000130</t>
        </is>
      </c>
      <c r="B135" s="90" t="n"/>
      <c r="C135" s="91" t="n"/>
      <c r="D135" s="92" t="n"/>
      <c r="E135" s="91" t="n"/>
      <c r="F135" s="91" t="n"/>
      <c r="G135" s="91" t="n"/>
      <c r="H135" s="91" t="n"/>
      <c r="I135" s="91" t="n"/>
      <c r="J135" s="91" t="n"/>
      <c r="K135" s="92" t="n"/>
      <c r="L135" s="91" t="n"/>
      <c r="M135" s="91" t="n"/>
      <c r="N135" s="91" t="n"/>
      <c r="O135" s="93" t="str">
        <f>IF(S135=0,"",SUMIFS('VÍNCULOS_CDF'!$H$6:$H$1005,'VÍNCULOS_CDF'!$O$6:$O$1005,A135,'VÍNCULOS_CDF'!$V$6:$V$1005,1))</f>
        <v/>
      </c>
      <c r="P135" s="95" t="str">
        <f>IF(S135=0,"",COUNTIFS('VÍNCULOS_CDF'!$O$6:$O$1005,A135,'VÍNCULOS_CDF'!$N$6:$N$1005,1))</f>
        <v/>
      </c>
      <c r="Q135" s="94" t="str">
        <f>IF(S135=0,"",IF(OR(B135="",F135=""),"Informações incompletas",IF(U135=1,"Possível duplicidade",IF(V135=0,"Destinador fora do cadastro",IF(AND(J135="Sim",N(P135)=0),"Necessita revisão de vínculos",IF(X135&gt;0,"Necessita revisão de vínculos",IF(J135="Sim","Conferido",IF(I135="Sim","Localizado, aguardando conferência","Cadastrado"))))))))</f>
        <v/>
      </c>
      <c r="R135" s="95" t="str">
        <f>IF(S135=0,"",COUNTIFS('VÍNCULOS_CDF'!$O$6:$O$1005,A135,'VÍNCULOS_CDF'!$AB$6:$AB$1005,1))</f>
        <v/>
      </c>
      <c r="S135" s="96">
        <f>IF(COUNTA(B135:N135)&gt;0,1,0)</f>
        <v>0</v>
      </c>
      <c r="T135" s="96" t="str">
        <f>IF(AND(S135=1,B135&lt;&gt;""),C135&amp;"|"&amp;TRIM(B135),"")</f>
        <v/>
      </c>
      <c r="U135" s="96">
        <f>IF(T135="",0,IF(SUMPRODUCT(--($T$6:$T$505=T135))&gt;1,1,0))</f>
        <v>0</v>
      </c>
      <c r="V135" s="96">
        <f>IF(F135="",0,IF(ISNUMBER(MATCH(F135,cmp_dest,0)),1,0))</f>
        <v>0</v>
      </c>
      <c r="W135" s="96">
        <f>IF(AND(S135=1,B135&lt;&gt;"",F135&lt;&gt;"",J135="Sim",U135=0),1,0)</f>
        <v>0</v>
      </c>
      <c r="X135" s="96">
        <f>IF(S135=0,0,COUNTIFS('VÍNCULOS_CDF'!$O$6:$O$1005,A135,'VÍNCULOS_CDF'!$Y$6:$Y$1005,1))</f>
        <v>0</v>
      </c>
      <c r="Y135" s="96" t="str">
        <f>IF(S135=1,A135&amp;" | CDF "&amp;IF(B135="","(sem número)",B135)&amp;" | "&amp;IF(F135="","(sem destinador)",F135),"")</f>
        <v/>
      </c>
      <c r="Z135" s="96" t="str">
        <f>IF(S135=1,COUNTIF($S$6:S135,1),"")</f>
        <v/>
      </c>
      <c r="AA135" s="96">
        <f>IF(S135=0,0,IF(AND(OR(r_ini="",AND(ISNUMBER(D135),D135&gt;=r_ini)),OR(r_fim="",AND(ISNUMBER(D135),D135&lt;=r_fim)),OR(r_de="",r_de="(Todos)",F135=r_de)),1,0))</f>
        <v>0</v>
      </c>
      <c r="AB135" s="96" t="str">
        <f>IF(AA135=1,IF(F135="",0,COUNTIF($F$6:$F$505,"&lt;"&amp;F135))*1000+130,"")</f>
        <v/>
      </c>
    </row>
    <row r="136">
      <c r="A136" s="89" t="inlineStr">
        <is>
          <t>CDF-000131</t>
        </is>
      </c>
      <c r="B136" s="90" t="n"/>
      <c r="C136" s="91" t="n"/>
      <c r="D136" s="92" t="n"/>
      <c r="E136" s="91" t="n"/>
      <c r="F136" s="91" t="n"/>
      <c r="G136" s="91" t="n"/>
      <c r="H136" s="91" t="n"/>
      <c r="I136" s="91" t="n"/>
      <c r="J136" s="91" t="n"/>
      <c r="K136" s="92" t="n"/>
      <c r="L136" s="91" t="n"/>
      <c r="M136" s="91" t="n"/>
      <c r="N136" s="91" t="n"/>
      <c r="O136" s="93" t="str">
        <f>IF(S136=0,"",SUMIFS('VÍNCULOS_CDF'!$H$6:$H$1005,'VÍNCULOS_CDF'!$O$6:$O$1005,A136,'VÍNCULOS_CDF'!$V$6:$V$1005,1))</f>
        <v/>
      </c>
      <c r="P136" s="95" t="str">
        <f>IF(S136=0,"",COUNTIFS('VÍNCULOS_CDF'!$O$6:$O$1005,A136,'VÍNCULOS_CDF'!$N$6:$N$1005,1))</f>
        <v/>
      </c>
      <c r="Q136" s="94" t="str">
        <f>IF(S136=0,"",IF(OR(B136="",F136=""),"Informações incompletas",IF(U136=1,"Possível duplicidade",IF(V136=0,"Destinador fora do cadastro",IF(AND(J136="Sim",N(P136)=0),"Necessita revisão de vínculos",IF(X136&gt;0,"Necessita revisão de vínculos",IF(J136="Sim","Conferido",IF(I136="Sim","Localizado, aguardando conferência","Cadastrado"))))))))</f>
        <v/>
      </c>
      <c r="R136" s="95" t="str">
        <f>IF(S136=0,"",COUNTIFS('VÍNCULOS_CDF'!$O$6:$O$1005,A136,'VÍNCULOS_CDF'!$AB$6:$AB$1005,1))</f>
        <v/>
      </c>
      <c r="S136" s="96">
        <f>IF(COUNTA(B136:N136)&gt;0,1,0)</f>
        <v>0</v>
      </c>
      <c r="T136" s="96" t="str">
        <f>IF(AND(S136=1,B136&lt;&gt;""),C136&amp;"|"&amp;TRIM(B136),"")</f>
        <v/>
      </c>
      <c r="U136" s="96">
        <f>IF(T136="",0,IF(SUMPRODUCT(--($T$6:$T$505=T136))&gt;1,1,0))</f>
        <v>0</v>
      </c>
      <c r="V136" s="96">
        <f>IF(F136="",0,IF(ISNUMBER(MATCH(F136,cmp_dest,0)),1,0))</f>
        <v>0</v>
      </c>
      <c r="W136" s="96">
        <f>IF(AND(S136=1,B136&lt;&gt;"",F136&lt;&gt;"",J136="Sim",U136=0),1,0)</f>
        <v>0</v>
      </c>
      <c r="X136" s="96">
        <f>IF(S136=0,0,COUNTIFS('VÍNCULOS_CDF'!$O$6:$O$1005,A136,'VÍNCULOS_CDF'!$Y$6:$Y$1005,1))</f>
        <v>0</v>
      </c>
      <c r="Y136" s="96" t="str">
        <f>IF(S136=1,A136&amp;" | CDF "&amp;IF(B136="","(sem número)",B136)&amp;" | "&amp;IF(F136="","(sem destinador)",F136),"")</f>
        <v/>
      </c>
      <c r="Z136" s="96" t="str">
        <f>IF(S136=1,COUNTIF($S$6:S136,1),"")</f>
        <v/>
      </c>
      <c r="AA136" s="96">
        <f>IF(S136=0,0,IF(AND(OR(r_ini="",AND(ISNUMBER(D136),D136&gt;=r_ini)),OR(r_fim="",AND(ISNUMBER(D136),D136&lt;=r_fim)),OR(r_de="",r_de="(Todos)",F136=r_de)),1,0))</f>
        <v>0</v>
      </c>
      <c r="AB136" s="96" t="str">
        <f>IF(AA136=1,IF(F136="",0,COUNTIF($F$6:$F$505,"&lt;"&amp;F136))*1000+131,"")</f>
        <v/>
      </c>
    </row>
    <row r="137">
      <c r="A137" s="89" t="inlineStr">
        <is>
          <t>CDF-000132</t>
        </is>
      </c>
      <c r="B137" s="90" t="n"/>
      <c r="C137" s="91" t="n"/>
      <c r="D137" s="92" t="n"/>
      <c r="E137" s="91" t="n"/>
      <c r="F137" s="91" t="n"/>
      <c r="G137" s="91" t="n"/>
      <c r="H137" s="91" t="n"/>
      <c r="I137" s="91" t="n"/>
      <c r="J137" s="91" t="n"/>
      <c r="K137" s="92" t="n"/>
      <c r="L137" s="91" t="n"/>
      <c r="M137" s="91" t="n"/>
      <c r="N137" s="91" t="n"/>
      <c r="O137" s="93" t="str">
        <f>IF(S137=0,"",SUMIFS('VÍNCULOS_CDF'!$H$6:$H$1005,'VÍNCULOS_CDF'!$O$6:$O$1005,A137,'VÍNCULOS_CDF'!$V$6:$V$1005,1))</f>
        <v/>
      </c>
      <c r="P137" s="95" t="str">
        <f>IF(S137=0,"",COUNTIFS('VÍNCULOS_CDF'!$O$6:$O$1005,A137,'VÍNCULOS_CDF'!$N$6:$N$1005,1))</f>
        <v/>
      </c>
      <c r="Q137" s="94" t="str">
        <f>IF(S137=0,"",IF(OR(B137="",F137=""),"Informações incompletas",IF(U137=1,"Possível duplicidade",IF(V137=0,"Destinador fora do cadastro",IF(AND(J137="Sim",N(P137)=0),"Necessita revisão de vínculos",IF(X137&gt;0,"Necessita revisão de vínculos",IF(J137="Sim","Conferido",IF(I137="Sim","Localizado, aguardando conferência","Cadastrado"))))))))</f>
        <v/>
      </c>
      <c r="R137" s="95" t="str">
        <f>IF(S137=0,"",COUNTIFS('VÍNCULOS_CDF'!$O$6:$O$1005,A137,'VÍNCULOS_CDF'!$AB$6:$AB$1005,1))</f>
        <v/>
      </c>
      <c r="S137" s="96">
        <f>IF(COUNTA(B137:N137)&gt;0,1,0)</f>
        <v>0</v>
      </c>
      <c r="T137" s="96" t="str">
        <f>IF(AND(S137=1,B137&lt;&gt;""),C137&amp;"|"&amp;TRIM(B137),"")</f>
        <v/>
      </c>
      <c r="U137" s="96">
        <f>IF(T137="",0,IF(SUMPRODUCT(--($T$6:$T$505=T137))&gt;1,1,0))</f>
        <v>0</v>
      </c>
      <c r="V137" s="96">
        <f>IF(F137="",0,IF(ISNUMBER(MATCH(F137,cmp_dest,0)),1,0))</f>
        <v>0</v>
      </c>
      <c r="W137" s="96">
        <f>IF(AND(S137=1,B137&lt;&gt;"",F137&lt;&gt;"",J137="Sim",U137=0),1,0)</f>
        <v>0</v>
      </c>
      <c r="X137" s="96">
        <f>IF(S137=0,0,COUNTIFS('VÍNCULOS_CDF'!$O$6:$O$1005,A137,'VÍNCULOS_CDF'!$Y$6:$Y$1005,1))</f>
        <v>0</v>
      </c>
      <c r="Y137" s="96" t="str">
        <f>IF(S137=1,A137&amp;" | CDF "&amp;IF(B137="","(sem número)",B137)&amp;" | "&amp;IF(F137="","(sem destinador)",F137),"")</f>
        <v/>
      </c>
      <c r="Z137" s="96" t="str">
        <f>IF(S137=1,COUNTIF($S$6:S137,1),"")</f>
        <v/>
      </c>
      <c r="AA137" s="96">
        <f>IF(S137=0,0,IF(AND(OR(r_ini="",AND(ISNUMBER(D137),D137&gt;=r_ini)),OR(r_fim="",AND(ISNUMBER(D137),D137&lt;=r_fim)),OR(r_de="",r_de="(Todos)",F137=r_de)),1,0))</f>
        <v>0</v>
      </c>
      <c r="AB137" s="96" t="str">
        <f>IF(AA137=1,IF(F137="",0,COUNTIF($F$6:$F$505,"&lt;"&amp;F137))*1000+132,"")</f>
        <v/>
      </c>
    </row>
    <row r="138">
      <c r="A138" s="89" t="inlineStr">
        <is>
          <t>CDF-000133</t>
        </is>
      </c>
      <c r="B138" s="90" t="n"/>
      <c r="C138" s="91" t="n"/>
      <c r="D138" s="92" t="n"/>
      <c r="E138" s="91" t="n"/>
      <c r="F138" s="91" t="n"/>
      <c r="G138" s="91" t="n"/>
      <c r="H138" s="91" t="n"/>
      <c r="I138" s="91" t="n"/>
      <c r="J138" s="91" t="n"/>
      <c r="K138" s="92" t="n"/>
      <c r="L138" s="91" t="n"/>
      <c r="M138" s="91" t="n"/>
      <c r="N138" s="91" t="n"/>
      <c r="O138" s="93" t="str">
        <f>IF(S138=0,"",SUMIFS('VÍNCULOS_CDF'!$H$6:$H$1005,'VÍNCULOS_CDF'!$O$6:$O$1005,A138,'VÍNCULOS_CDF'!$V$6:$V$1005,1))</f>
        <v/>
      </c>
      <c r="P138" s="95" t="str">
        <f>IF(S138=0,"",COUNTIFS('VÍNCULOS_CDF'!$O$6:$O$1005,A138,'VÍNCULOS_CDF'!$N$6:$N$1005,1))</f>
        <v/>
      </c>
      <c r="Q138" s="94" t="str">
        <f>IF(S138=0,"",IF(OR(B138="",F138=""),"Informações incompletas",IF(U138=1,"Possível duplicidade",IF(V138=0,"Destinador fora do cadastro",IF(AND(J138="Sim",N(P138)=0),"Necessita revisão de vínculos",IF(X138&gt;0,"Necessita revisão de vínculos",IF(J138="Sim","Conferido",IF(I138="Sim","Localizado, aguardando conferência","Cadastrado"))))))))</f>
        <v/>
      </c>
      <c r="R138" s="95" t="str">
        <f>IF(S138=0,"",COUNTIFS('VÍNCULOS_CDF'!$O$6:$O$1005,A138,'VÍNCULOS_CDF'!$AB$6:$AB$1005,1))</f>
        <v/>
      </c>
      <c r="S138" s="96">
        <f>IF(COUNTA(B138:N138)&gt;0,1,0)</f>
        <v>0</v>
      </c>
      <c r="T138" s="96" t="str">
        <f>IF(AND(S138=1,B138&lt;&gt;""),C138&amp;"|"&amp;TRIM(B138),"")</f>
        <v/>
      </c>
      <c r="U138" s="96">
        <f>IF(T138="",0,IF(SUMPRODUCT(--($T$6:$T$505=T138))&gt;1,1,0))</f>
        <v>0</v>
      </c>
      <c r="V138" s="96">
        <f>IF(F138="",0,IF(ISNUMBER(MATCH(F138,cmp_dest,0)),1,0))</f>
        <v>0</v>
      </c>
      <c r="W138" s="96">
        <f>IF(AND(S138=1,B138&lt;&gt;"",F138&lt;&gt;"",J138="Sim",U138=0),1,0)</f>
        <v>0</v>
      </c>
      <c r="X138" s="96">
        <f>IF(S138=0,0,COUNTIFS('VÍNCULOS_CDF'!$O$6:$O$1005,A138,'VÍNCULOS_CDF'!$Y$6:$Y$1005,1))</f>
        <v>0</v>
      </c>
      <c r="Y138" s="96" t="str">
        <f>IF(S138=1,A138&amp;" | CDF "&amp;IF(B138="","(sem número)",B138)&amp;" | "&amp;IF(F138="","(sem destinador)",F138),"")</f>
        <v/>
      </c>
      <c r="Z138" s="96" t="str">
        <f>IF(S138=1,COUNTIF($S$6:S138,1),"")</f>
        <v/>
      </c>
      <c r="AA138" s="96">
        <f>IF(S138=0,0,IF(AND(OR(r_ini="",AND(ISNUMBER(D138),D138&gt;=r_ini)),OR(r_fim="",AND(ISNUMBER(D138),D138&lt;=r_fim)),OR(r_de="",r_de="(Todos)",F138=r_de)),1,0))</f>
        <v>0</v>
      </c>
      <c r="AB138" s="96" t="str">
        <f>IF(AA138=1,IF(F138="",0,COUNTIF($F$6:$F$505,"&lt;"&amp;F138))*1000+133,"")</f>
        <v/>
      </c>
    </row>
    <row r="139">
      <c r="A139" s="89" t="inlineStr">
        <is>
          <t>CDF-000134</t>
        </is>
      </c>
      <c r="B139" s="90" t="n"/>
      <c r="C139" s="91" t="n"/>
      <c r="D139" s="92" t="n"/>
      <c r="E139" s="91" t="n"/>
      <c r="F139" s="91" t="n"/>
      <c r="G139" s="91" t="n"/>
      <c r="H139" s="91" t="n"/>
      <c r="I139" s="91" t="n"/>
      <c r="J139" s="91" t="n"/>
      <c r="K139" s="92" t="n"/>
      <c r="L139" s="91" t="n"/>
      <c r="M139" s="91" t="n"/>
      <c r="N139" s="91" t="n"/>
      <c r="O139" s="93" t="str">
        <f>IF(S139=0,"",SUMIFS('VÍNCULOS_CDF'!$H$6:$H$1005,'VÍNCULOS_CDF'!$O$6:$O$1005,A139,'VÍNCULOS_CDF'!$V$6:$V$1005,1))</f>
        <v/>
      </c>
      <c r="P139" s="95" t="str">
        <f>IF(S139=0,"",COUNTIFS('VÍNCULOS_CDF'!$O$6:$O$1005,A139,'VÍNCULOS_CDF'!$N$6:$N$1005,1))</f>
        <v/>
      </c>
      <c r="Q139" s="94" t="str">
        <f>IF(S139=0,"",IF(OR(B139="",F139=""),"Informações incompletas",IF(U139=1,"Possível duplicidade",IF(V139=0,"Destinador fora do cadastro",IF(AND(J139="Sim",N(P139)=0),"Necessita revisão de vínculos",IF(X139&gt;0,"Necessita revisão de vínculos",IF(J139="Sim","Conferido",IF(I139="Sim","Localizado, aguardando conferência","Cadastrado"))))))))</f>
        <v/>
      </c>
      <c r="R139" s="95" t="str">
        <f>IF(S139=0,"",COUNTIFS('VÍNCULOS_CDF'!$O$6:$O$1005,A139,'VÍNCULOS_CDF'!$AB$6:$AB$1005,1))</f>
        <v/>
      </c>
      <c r="S139" s="96">
        <f>IF(COUNTA(B139:N139)&gt;0,1,0)</f>
        <v>0</v>
      </c>
      <c r="T139" s="96" t="str">
        <f>IF(AND(S139=1,B139&lt;&gt;""),C139&amp;"|"&amp;TRIM(B139),"")</f>
        <v/>
      </c>
      <c r="U139" s="96">
        <f>IF(T139="",0,IF(SUMPRODUCT(--($T$6:$T$505=T139))&gt;1,1,0))</f>
        <v>0</v>
      </c>
      <c r="V139" s="96">
        <f>IF(F139="",0,IF(ISNUMBER(MATCH(F139,cmp_dest,0)),1,0))</f>
        <v>0</v>
      </c>
      <c r="W139" s="96">
        <f>IF(AND(S139=1,B139&lt;&gt;"",F139&lt;&gt;"",J139="Sim",U139=0),1,0)</f>
        <v>0</v>
      </c>
      <c r="X139" s="96">
        <f>IF(S139=0,0,COUNTIFS('VÍNCULOS_CDF'!$O$6:$O$1005,A139,'VÍNCULOS_CDF'!$Y$6:$Y$1005,1))</f>
        <v>0</v>
      </c>
      <c r="Y139" s="96" t="str">
        <f>IF(S139=1,A139&amp;" | CDF "&amp;IF(B139="","(sem número)",B139)&amp;" | "&amp;IF(F139="","(sem destinador)",F139),"")</f>
        <v/>
      </c>
      <c r="Z139" s="96" t="str">
        <f>IF(S139=1,COUNTIF($S$6:S139,1),"")</f>
        <v/>
      </c>
      <c r="AA139" s="96">
        <f>IF(S139=0,0,IF(AND(OR(r_ini="",AND(ISNUMBER(D139),D139&gt;=r_ini)),OR(r_fim="",AND(ISNUMBER(D139),D139&lt;=r_fim)),OR(r_de="",r_de="(Todos)",F139=r_de)),1,0))</f>
        <v>0</v>
      </c>
      <c r="AB139" s="96" t="str">
        <f>IF(AA139=1,IF(F139="",0,COUNTIF($F$6:$F$505,"&lt;"&amp;F139))*1000+134,"")</f>
        <v/>
      </c>
    </row>
    <row r="140">
      <c r="A140" s="89" t="inlineStr">
        <is>
          <t>CDF-000135</t>
        </is>
      </c>
      <c r="B140" s="90" t="n"/>
      <c r="C140" s="91" t="n"/>
      <c r="D140" s="92" t="n"/>
      <c r="E140" s="91" t="n"/>
      <c r="F140" s="91" t="n"/>
      <c r="G140" s="91" t="n"/>
      <c r="H140" s="91" t="n"/>
      <c r="I140" s="91" t="n"/>
      <c r="J140" s="91" t="n"/>
      <c r="K140" s="92" t="n"/>
      <c r="L140" s="91" t="n"/>
      <c r="M140" s="91" t="n"/>
      <c r="N140" s="91" t="n"/>
      <c r="O140" s="93" t="str">
        <f>IF(S140=0,"",SUMIFS('VÍNCULOS_CDF'!$H$6:$H$1005,'VÍNCULOS_CDF'!$O$6:$O$1005,A140,'VÍNCULOS_CDF'!$V$6:$V$1005,1))</f>
        <v/>
      </c>
      <c r="P140" s="95" t="str">
        <f>IF(S140=0,"",COUNTIFS('VÍNCULOS_CDF'!$O$6:$O$1005,A140,'VÍNCULOS_CDF'!$N$6:$N$1005,1))</f>
        <v/>
      </c>
      <c r="Q140" s="94" t="str">
        <f>IF(S140=0,"",IF(OR(B140="",F140=""),"Informações incompletas",IF(U140=1,"Possível duplicidade",IF(V140=0,"Destinador fora do cadastro",IF(AND(J140="Sim",N(P140)=0),"Necessita revisão de vínculos",IF(X140&gt;0,"Necessita revisão de vínculos",IF(J140="Sim","Conferido",IF(I140="Sim","Localizado, aguardando conferência","Cadastrado"))))))))</f>
        <v/>
      </c>
      <c r="R140" s="95" t="str">
        <f>IF(S140=0,"",COUNTIFS('VÍNCULOS_CDF'!$O$6:$O$1005,A140,'VÍNCULOS_CDF'!$AB$6:$AB$1005,1))</f>
        <v/>
      </c>
      <c r="S140" s="96">
        <f>IF(COUNTA(B140:N140)&gt;0,1,0)</f>
        <v>0</v>
      </c>
      <c r="T140" s="96" t="str">
        <f>IF(AND(S140=1,B140&lt;&gt;""),C140&amp;"|"&amp;TRIM(B140),"")</f>
        <v/>
      </c>
      <c r="U140" s="96">
        <f>IF(T140="",0,IF(SUMPRODUCT(--($T$6:$T$505=T140))&gt;1,1,0))</f>
        <v>0</v>
      </c>
      <c r="V140" s="96">
        <f>IF(F140="",0,IF(ISNUMBER(MATCH(F140,cmp_dest,0)),1,0))</f>
        <v>0</v>
      </c>
      <c r="W140" s="96">
        <f>IF(AND(S140=1,B140&lt;&gt;"",F140&lt;&gt;"",J140="Sim",U140=0),1,0)</f>
        <v>0</v>
      </c>
      <c r="X140" s="96">
        <f>IF(S140=0,0,COUNTIFS('VÍNCULOS_CDF'!$O$6:$O$1005,A140,'VÍNCULOS_CDF'!$Y$6:$Y$1005,1))</f>
        <v>0</v>
      </c>
      <c r="Y140" s="96" t="str">
        <f>IF(S140=1,A140&amp;" | CDF "&amp;IF(B140="","(sem número)",B140)&amp;" | "&amp;IF(F140="","(sem destinador)",F140),"")</f>
        <v/>
      </c>
      <c r="Z140" s="96" t="str">
        <f>IF(S140=1,COUNTIF($S$6:S140,1),"")</f>
        <v/>
      </c>
      <c r="AA140" s="96">
        <f>IF(S140=0,0,IF(AND(OR(r_ini="",AND(ISNUMBER(D140),D140&gt;=r_ini)),OR(r_fim="",AND(ISNUMBER(D140),D140&lt;=r_fim)),OR(r_de="",r_de="(Todos)",F140=r_de)),1,0))</f>
        <v>0</v>
      </c>
      <c r="AB140" s="96" t="str">
        <f>IF(AA140=1,IF(F140="",0,COUNTIF($F$6:$F$505,"&lt;"&amp;F140))*1000+135,"")</f>
        <v/>
      </c>
    </row>
    <row r="141">
      <c r="A141" s="89" t="inlineStr">
        <is>
          <t>CDF-000136</t>
        </is>
      </c>
      <c r="B141" s="90" t="n"/>
      <c r="C141" s="91" t="n"/>
      <c r="D141" s="92" t="n"/>
      <c r="E141" s="91" t="n"/>
      <c r="F141" s="91" t="n"/>
      <c r="G141" s="91" t="n"/>
      <c r="H141" s="91" t="n"/>
      <c r="I141" s="91" t="n"/>
      <c r="J141" s="91" t="n"/>
      <c r="K141" s="92" t="n"/>
      <c r="L141" s="91" t="n"/>
      <c r="M141" s="91" t="n"/>
      <c r="N141" s="91" t="n"/>
      <c r="O141" s="93" t="str">
        <f>IF(S141=0,"",SUMIFS('VÍNCULOS_CDF'!$H$6:$H$1005,'VÍNCULOS_CDF'!$O$6:$O$1005,A141,'VÍNCULOS_CDF'!$V$6:$V$1005,1))</f>
        <v/>
      </c>
      <c r="P141" s="95" t="str">
        <f>IF(S141=0,"",COUNTIFS('VÍNCULOS_CDF'!$O$6:$O$1005,A141,'VÍNCULOS_CDF'!$N$6:$N$1005,1))</f>
        <v/>
      </c>
      <c r="Q141" s="94" t="str">
        <f>IF(S141=0,"",IF(OR(B141="",F141=""),"Informações incompletas",IF(U141=1,"Possível duplicidade",IF(V141=0,"Destinador fora do cadastro",IF(AND(J141="Sim",N(P141)=0),"Necessita revisão de vínculos",IF(X141&gt;0,"Necessita revisão de vínculos",IF(J141="Sim","Conferido",IF(I141="Sim","Localizado, aguardando conferência","Cadastrado"))))))))</f>
        <v/>
      </c>
      <c r="R141" s="95" t="str">
        <f>IF(S141=0,"",COUNTIFS('VÍNCULOS_CDF'!$O$6:$O$1005,A141,'VÍNCULOS_CDF'!$AB$6:$AB$1005,1))</f>
        <v/>
      </c>
      <c r="S141" s="96">
        <f>IF(COUNTA(B141:N141)&gt;0,1,0)</f>
        <v>0</v>
      </c>
      <c r="T141" s="96" t="str">
        <f>IF(AND(S141=1,B141&lt;&gt;""),C141&amp;"|"&amp;TRIM(B141),"")</f>
        <v/>
      </c>
      <c r="U141" s="96">
        <f>IF(T141="",0,IF(SUMPRODUCT(--($T$6:$T$505=T141))&gt;1,1,0))</f>
        <v>0</v>
      </c>
      <c r="V141" s="96">
        <f>IF(F141="",0,IF(ISNUMBER(MATCH(F141,cmp_dest,0)),1,0))</f>
        <v>0</v>
      </c>
      <c r="W141" s="96">
        <f>IF(AND(S141=1,B141&lt;&gt;"",F141&lt;&gt;"",J141="Sim",U141=0),1,0)</f>
        <v>0</v>
      </c>
      <c r="X141" s="96">
        <f>IF(S141=0,0,COUNTIFS('VÍNCULOS_CDF'!$O$6:$O$1005,A141,'VÍNCULOS_CDF'!$Y$6:$Y$1005,1))</f>
        <v>0</v>
      </c>
      <c r="Y141" s="96" t="str">
        <f>IF(S141=1,A141&amp;" | CDF "&amp;IF(B141="","(sem número)",B141)&amp;" | "&amp;IF(F141="","(sem destinador)",F141),"")</f>
        <v/>
      </c>
      <c r="Z141" s="96" t="str">
        <f>IF(S141=1,COUNTIF($S$6:S141,1),"")</f>
        <v/>
      </c>
      <c r="AA141" s="96">
        <f>IF(S141=0,0,IF(AND(OR(r_ini="",AND(ISNUMBER(D141),D141&gt;=r_ini)),OR(r_fim="",AND(ISNUMBER(D141),D141&lt;=r_fim)),OR(r_de="",r_de="(Todos)",F141=r_de)),1,0))</f>
        <v>0</v>
      </c>
      <c r="AB141" s="96" t="str">
        <f>IF(AA141=1,IF(F141="",0,COUNTIF($F$6:$F$505,"&lt;"&amp;F141))*1000+136,"")</f>
        <v/>
      </c>
    </row>
    <row r="142">
      <c r="A142" s="89" t="inlineStr">
        <is>
          <t>CDF-000137</t>
        </is>
      </c>
      <c r="B142" s="90" t="n"/>
      <c r="C142" s="91" t="n"/>
      <c r="D142" s="92" t="n"/>
      <c r="E142" s="91" t="n"/>
      <c r="F142" s="91" t="n"/>
      <c r="G142" s="91" t="n"/>
      <c r="H142" s="91" t="n"/>
      <c r="I142" s="91" t="n"/>
      <c r="J142" s="91" t="n"/>
      <c r="K142" s="92" t="n"/>
      <c r="L142" s="91" t="n"/>
      <c r="M142" s="91" t="n"/>
      <c r="N142" s="91" t="n"/>
      <c r="O142" s="93" t="str">
        <f>IF(S142=0,"",SUMIFS('VÍNCULOS_CDF'!$H$6:$H$1005,'VÍNCULOS_CDF'!$O$6:$O$1005,A142,'VÍNCULOS_CDF'!$V$6:$V$1005,1))</f>
        <v/>
      </c>
      <c r="P142" s="95" t="str">
        <f>IF(S142=0,"",COUNTIFS('VÍNCULOS_CDF'!$O$6:$O$1005,A142,'VÍNCULOS_CDF'!$N$6:$N$1005,1))</f>
        <v/>
      </c>
      <c r="Q142" s="94" t="str">
        <f>IF(S142=0,"",IF(OR(B142="",F142=""),"Informações incompletas",IF(U142=1,"Possível duplicidade",IF(V142=0,"Destinador fora do cadastro",IF(AND(J142="Sim",N(P142)=0),"Necessita revisão de vínculos",IF(X142&gt;0,"Necessita revisão de vínculos",IF(J142="Sim","Conferido",IF(I142="Sim","Localizado, aguardando conferência","Cadastrado"))))))))</f>
        <v/>
      </c>
      <c r="R142" s="95" t="str">
        <f>IF(S142=0,"",COUNTIFS('VÍNCULOS_CDF'!$O$6:$O$1005,A142,'VÍNCULOS_CDF'!$AB$6:$AB$1005,1))</f>
        <v/>
      </c>
      <c r="S142" s="96">
        <f>IF(COUNTA(B142:N142)&gt;0,1,0)</f>
        <v>0</v>
      </c>
      <c r="T142" s="96" t="str">
        <f>IF(AND(S142=1,B142&lt;&gt;""),C142&amp;"|"&amp;TRIM(B142),"")</f>
        <v/>
      </c>
      <c r="U142" s="96">
        <f>IF(T142="",0,IF(SUMPRODUCT(--($T$6:$T$505=T142))&gt;1,1,0))</f>
        <v>0</v>
      </c>
      <c r="V142" s="96">
        <f>IF(F142="",0,IF(ISNUMBER(MATCH(F142,cmp_dest,0)),1,0))</f>
        <v>0</v>
      </c>
      <c r="W142" s="96">
        <f>IF(AND(S142=1,B142&lt;&gt;"",F142&lt;&gt;"",J142="Sim",U142=0),1,0)</f>
        <v>0</v>
      </c>
      <c r="X142" s="96">
        <f>IF(S142=0,0,COUNTIFS('VÍNCULOS_CDF'!$O$6:$O$1005,A142,'VÍNCULOS_CDF'!$Y$6:$Y$1005,1))</f>
        <v>0</v>
      </c>
      <c r="Y142" s="96" t="str">
        <f>IF(S142=1,A142&amp;" | CDF "&amp;IF(B142="","(sem número)",B142)&amp;" | "&amp;IF(F142="","(sem destinador)",F142),"")</f>
        <v/>
      </c>
      <c r="Z142" s="96" t="str">
        <f>IF(S142=1,COUNTIF($S$6:S142,1),"")</f>
        <v/>
      </c>
      <c r="AA142" s="96">
        <f>IF(S142=0,0,IF(AND(OR(r_ini="",AND(ISNUMBER(D142),D142&gt;=r_ini)),OR(r_fim="",AND(ISNUMBER(D142),D142&lt;=r_fim)),OR(r_de="",r_de="(Todos)",F142=r_de)),1,0))</f>
        <v>0</v>
      </c>
      <c r="AB142" s="96" t="str">
        <f>IF(AA142=1,IF(F142="",0,COUNTIF($F$6:$F$505,"&lt;"&amp;F142))*1000+137,"")</f>
        <v/>
      </c>
    </row>
    <row r="143">
      <c r="A143" s="89" t="inlineStr">
        <is>
          <t>CDF-000138</t>
        </is>
      </c>
      <c r="B143" s="90" t="n"/>
      <c r="C143" s="91" t="n"/>
      <c r="D143" s="92" t="n"/>
      <c r="E143" s="91" t="n"/>
      <c r="F143" s="91" t="n"/>
      <c r="G143" s="91" t="n"/>
      <c r="H143" s="91" t="n"/>
      <c r="I143" s="91" t="n"/>
      <c r="J143" s="91" t="n"/>
      <c r="K143" s="92" t="n"/>
      <c r="L143" s="91" t="n"/>
      <c r="M143" s="91" t="n"/>
      <c r="N143" s="91" t="n"/>
      <c r="O143" s="93" t="str">
        <f>IF(S143=0,"",SUMIFS('VÍNCULOS_CDF'!$H$6:$H$1005,'VÍNCULOS_CDF'!$O$6:$O$1005,A143,'VÍNCULOS_CDF'!$V$6:$V$1005,1))</f>
        <v/>
      </c>
      <c r="P143" s="95" t="str">
        <f>IF(S143=0,"",COUNTIFS('VÍNCULOS_CDF'!$O$6:$O$1005,A143,'VÍNCULOS_CDF'!$N$6:$N$1005,1))</f>
        <v/>
      </c>
      <c r="Q143" s="94" t="str">
        <f>IF(S143=0,"",IF(OR(B143="",F143=""),"Informações incompletas",IF(U143=1,"Possível duplicidade",IF(V143=0,"Destinador fora do cadastro",IF(AND(J143="Sim",N(P143)=0),"Necessita revisão de vínculos",IF(X143&gt;0,"Necessita revisão de vínculos",IF(J143="Sim","Conferido",IF(I143="Sim","Localizado, aguardando conferência","Cadastrado"))))))))</f>
        <v/>
      </c>
      <c r="R143" s="95" t="str">
        <f>IF(S143=0,"",COUNTIFS('VÍNCULOS_CDF'!$O$6:$O$1005,A143,'VÍNCULOS_CDF'!$AB$6:$AB$1005,1))</f>
        <v/>
      </c>
      <c r="S143" s="96">
        <f>IF(COUNTA(B143:N143)&gt;0,1,0)</f>
        <v>0</v>
      </c>
      <c r="T143" s="96" t="str">
        <f>IF(AND(S143=1,B143&lt;&gt;""),C143&amp;"|"&amp;TRIM(B143),"")</f>
        <v/>
      </c>
      <c r="U143" s="96">
        <f>IF(T143="",0,IF(SUMPRODUCT(--($T$6:$T$505=T143))&gt;1,1,0))</f>
        <v>0</v>
      </c>
      <c r="V143" s="96">
        <f>IF(F143="",0,IF(ISNUMBER(MATCH(F143,cmp_dest,0)),1,0))</f>
        <v>0</v>
      </c>
      <c r="W143" s="96">
        <f>IF(AND(S143=1,B143&lt;&gt;"",F143&lt;&gt;"",J143="Sim",U143=0),1,0)</f>
        <v>0</v>
      </c>
      <c r="X143" s="96">
        <f>IF(S143=0,0,COUNTIFS('VÍNCULOS_CDF'!$O$6:$O$1005,A143,'VÍNCULOS_CDF'!$Y$6:$Y$1005,1))</f>
        <v>0</v>
      </c>
      <c r="Y143" s="96" t="str">
        <f>IF(S143=1,A143&amp;" | CDF "&amp;IF(B143="","(sem número)",B143)&amp;" | "&amp;IF(F143="","(sem destinador)",F143),"")</f>
        <v/>
      </c>
      <c r="Z143" s="96" t="str">
        <f>IF(S143=1,COUNTIF($S$6:S143,1),"")</f>
        <v/>
      </c>
      <c r="AA143" s="96">
        <f>IF(S143=0,0,IF(AND(OR(r_ini="",AND(ISNUMBER(D143),D143&gt;=r_ini)),OR(r_fim="",AND(ISNUMBER(D143),D143&lt;=r_fim)),OR(r_de="",r_de="(Todos)",F143=r_de)),1,0))</f>
        <v>0</v>
      </c>
      <c r="AB143" s="96" t="str">
        <f>IF(AA143=1,IF(F143="",0,COUNTIF($F$6:$F$505,"&lt;"&amp;F143))*1000+138,"")</f>
        <v/>
      </c>
    </row>
    <row r="144">
      <c r="A144" s="89" t="inlineStr">
        <is>
          <t>CDF-000139</t>
        </is>
      </c>
      <c r="B144" s="90" t="n"/>
      <c r="C144" s="91" t="n"/>
      <c r="D144" s="92" t="n"/>
      <c r="E144" s="91" t="n"/>
      <c r="F144" s="91" t="n"/>
      <c r="G144" s="91" t="n"/>
      <c r="H144" s="91" t="n"/>
      <c r="I144" s="91" t="n"/>
      <c r="J144" s="91" t="n"/>
      <c r="K144" s="92" t="n"/>
      <c r="L144" s="91" t="n"/>
      <c r="M144" s="91" t="n"/>
      <c r="N144" s="91" t="n"/>
      <c r="O144" s="93" t="str">
        <f>IF(S144=0,"",SUMIFS('VÍNCULOS_CDF'!$H$6:$H$1005,'VÍNCULOS_CDF'!$O$6:$O$1005,A144,'VÍNCULOS_CDF'!$V$6:$V$1005,1))</f>
        <v/>
      </c>
      <c r="P144" s="95" t="str">
        <f>IF(S144=0,"",COUNTIFS('VÍNCULOS_CDF'!$O$6:$O$1005,A144,'VÍNCULOS_CDF'!$N$6:$N$1005,1))</f>
        <v/>
      </c>
      <c r="Q144" s="94" t="str">
        <f>IF(S144=0,"",IF(OR(B144="",F144=""),"Informações incompletas",IF(U144=1,"Possível duplicidade",IF(V144=0,"Destinador fora do cadastro",IF(AND(J144="Sim",N(P144)=0),"Necessita revisão de vínculos",IF(X144&gt;0,"Necessita revisão de vínculos",IF(J144="Sim","Conferido",IF(I144="Sim","Localizado, aguardando conferência","Cadastrado"))))))))</f>
        <v/>
      </c>
      <c r="R144" s="95" t="str">
        <f>IF(S144=0,"",COUNTIFS('VÍNCULOS_CDF'!$O$6:$O$1005,A144,'VÍNCULOS_CDF'!$AB$6:$AB$1005,1))</f>
        <v/>
      </c>
      <c r="S144" s="96">
        <f>IF(COUNTA(B144:N144)&gt;0,1,0)</f>
        <v>0</v>
      </c>
      <c r="T144" s="96" t="str">
        <f>IF(AND(S144=1,B144&lt;&gt;""),C144&amp;"|"&amp;TRIM(B144),"")</f>
        <v/>
      </c>
      <c r="U144" s="96">
        <f>IF(T144="",0,IF(SUMPRODUCT(--($T$6:$T$505=T144))&gt;1,1,0))</f>
        <v>0</v>
      </c>
      <c r="V144" s="96">
        <f>IF(F144="",0,IF(ISNUMBER(MATCH(F144,cmp_dest,0)),1,0))</f>
        <v>0</v>
      </c>
      <c r="W144" s="96">
        <f>IF(AND(S144=1,B144&lt;&gt;"",F144&lt;&gt;"",J144="Sim",U144=0),1,0)</f>
        <v>0</v>
      </c>
      <c r="X144" s="96">
        <f>IF(S144=0,0,COUNTIFS('VÍNCULOS_CDF'!$O$6:$O$1005,A144,'VÍNCULOS_CDF'!$Y$6:$Y$1005,1))</f>
        <v>0</v>
      </c>
      <c r="Y144" s="96" t="str">
        <f>IF(S144=1,A144&amp;" | CDF "&amp;IF(B144="","(sem número)",B144)&amp;" | "&amp;IF(F144="","(sem destinador)",F144),"")</f>
        <v/>
      </c>
      <c r="Z144" s="96" t="str">
        <f>IF(S144=1,COUNTIF($S$6:S144,1),"")</f>
        <v/>
      </c>
      <c r="AA144" s="96">
        <f>IF(S144=0,0,IF(AND(OR(r_ini="",AND(ISNUMBER(D144),D144&gt;=r_ini)),OR(r_fim="",AND(ISNUMBER(D144),D144&lt;=r_fim)),OR(r_de="",r_de="(Todos)",F144=r_de)),1,0))</f>
        <v>0</v>
      </c>
      <c r="AB144" s="96" t="str">
        <f>IF(AA144=1,IF(F144="",0,COUNTIF($F$6:$F$505,"&lt;"&amp;F144))*1000+139,"")</f>
        <v/>
      </c>
    </row>
    <row r="145">
      <c r="A145" s="89" t="inlineStr">
        <is>
          <t>CDF-000140</t>
        </is>
      </c>
      <c r="B145" s="90" t="n"/>
      <c r="C145" s="91" t="n"/>
      <c r="D145" s="92" t="n"/>
      <c r="E145" s="91" t="n"/>
      <c r="F145" s="91" t="n"/>
      <c r="G145" s="91" t="n"/>
      <c r="H145" s="91" t="n"/>
      <c r="I145" s="91" t="n"/>
      <c r="J145" s="91" t="n"/>
      <c r="K145" s="92" t="n"/>
      <c r="L145" s="91" t="n"/>
      <c r="M145" s="91" t="n"/>
      <c r="N145" s="91" t="n"/>
      <c r="O145" s="93" t="str">
        <f>IF(S145=0,"",SUMIFS('VÍNCULOS_CDF'!$H$6:$H$1005,'VÍNCULOS_CDF'!$O$6:$O$1005,A145,'VÍNCULOS_CDF'!$V$6:$V$1005,1))</f>
        <v/>
      </c>
      <c r="P145" s="95" t="str">
        <f>IF(S145=0,"",COUNTIFS('VÍNCULOS_CDF'!$O$6:$O$1005,A145,'VÍNCULOS_CDF'!$N$6:$N$1005,1))</f>
        <v/>
      </c>
      <c r="Q145" s="94" t="str">
        <f>IF(S145=0,"",IF(OR(B145="",F145=""),"Informações incompletas",IF(U145=1,"Possível duplicidade",IF(V145=0,"Destinador fora do cadastro",IF(AND(J145="Sim",N(P145)=0),"Necessita revisão de vínculos",IF(X145&gt;0,"Necessita revisão de vínculos",IF(J145="Sim","Conferido",IF(I145="Sim","Localizado, aguardando conferência","Cadastrado"))))))))</f>
        <v/>
      </c>
      <c r="R145" s="95" t="str">
        <f>IF(S145=0,"",COUNTIFS('VÍNCULOS_CDF'!$O$6:$O$1005,A145,'VÍNCULOS_CDF'!$AB$6:$AB$1005,1))</f>
        <v/>
      </c>
      <c r="S145" s="96">
        <f>IF(COUNTA(B145:N145)&gt;0,1,0)</f>
        <v>0</v>
      </c>
      <c r="T145" s="96" t="str">
        <f>IF(AND(S145=1,B145&lt;&gt;""),C145&amp;"|"&amp;TRIM(B145),"")</f>
        <v/>
      </c>
      <c r="U145" s="96">
        <f>IF(T145="",0,IF(SUMPRODUCT(--($T$6:$T$505=T145))&gt;1,1,0))</f>
        <v>0</v>
      </c>
      <c r="V145" s="96">
        <f>IF(F145="",0,IF(ISNUMBER(MATCH(F145,cmp_dest,0)),1,0))</f>
        <v>0</v>
      </c>
      <c r="W145" s="96">
        <f>IF(AND(S145=1,B145&lt;&gt;"",F145&lt;&gt;"",J145="Sim",U145=0),1,0)</f>
        <v>0</v>
      </c>
      <c r="X145" s="96">
        <f>IF(S145=0,0,COUNTIFS('VÍNCULOS_CDF'!$O$6:$O$1005,A145,'VÍNCULOS_CDF'!$Y$6:$Y$1005,1))</f>
        <v>0</v>
      </c>
      <c r="Y145" s="96" t="str">
        <f>IF(S145=1,A145&amp;" | CDF "&amp;IF(B145="","(sem número)",B145)&amp;" | "&amp;IF(F145="","(sem destinador)",F145),"")</f>
        <v/>
      </c>
      <c r="Z145" s="96" t="str">
        <f>IF(S145=1,COUNTIF($S$6:S145,1),"")</f>
        <v/>
      </c>
      <c r="AA145" s="96">
        <f>IF(S145=0,0,IF(AND(OR(r_ini="",AND(ISNUMBER(D145),D145&gt;=r_ini)),OR(r_fim="",AND(ISNUMBER(D145),D145&lt;=r_fim)),OR(r_de="",r_de="(Todos)",F145=r_de)),1,0))</f>
        <v>0</v>
      </c>
      <c r="AB145" s="96" t="str">
        <f>IF(AA145=1,IF(F145="",0,COUNTIF($F$6:$F$505,"&lt;"&amp;F145))*1000+140,"")</f>
        <v/>
      </c>
    </row>
    <row r="146">
      <c r="A146" s="89" t="inlineStr">
        <is>
          <t>CDF-000141</t>
        </is>
      </c>
      <c r="B146" s="90" t="n"/>
      <c r="C146" s="91" t="n"/>
      <c r="D146" s="92" t="n"/>
      <c r="E146" s="91" t="n"/>
      <c r="F146" s="91" t="n"/>
      <c r="G146" s="91" t="n"/>
      <c r="H146" s="91" t="n"/>
      <c r="I146" s="91" t="n"/>
      <c r="J146" s="91" t="n"/>
      <c r="K146" s="92" t="n"/>
      <c r="L146" s="91" t="n"/>
      <c r="M146" s="91" t="n"/>
      <c r="N146" s="91" t="n"/>
      <c r="O146" s="93" t="str">
        <f>IF(S146=0,"",SUMIFS('VÍNCULOS_CDF'!$H$6:$H$1005,'VÍNCULOS_CDF'!$O$6:$O$1005,A146,'VÍNCULOS_CDF'!$V$6:$V$1005,1))</f>
        <v/>
      </c>
      <c r="P146" s="95" t="str">
        <f>IF(S146=0,"",COUNTIFS('VÍNCULOS_CDF'!$O$6:$O$1005,A146,'VÍNCULOS_CDF'!$N$6:$N$1005,1))</f>
        <v/>
      </c>
      <c r="Q146" s="94" t="str">
        <f>IF(S146=0,"",IF(OR(B146="",F146=""),"Informações incompletas",IF(U146=1,"Possível duplicidade",IF(V146=0,"Destinador fora do cadastro",IF(AND(J146="Sim",N(P146)=0),"Necessita revisão de vínculos",IF(X146&gt;0,"Necessita revisão de vínculos",IF(J146="Sim","Conferido",IF(I146="Sim","Localizado, aguardando conferência","Cadastrado"))))))))</f>
        <v/>
      </c>
      <c r="R146" s="95" t="str">
        <f>IF(S146=0,"",COUNTIFS('VÍNCULOS_CDF'!$O$6:$O$1005,A146,'VÍNCULOS_CDF'!$AB$6:$AB$1005,1))</f>
        <v/>
      </c>
      <c r="S146" s="96">
        <f>IF(COUNTA(B146:N146)&gt;0,1,0)</f>
        <v>0</v>
      </c>
      <c r="T146" s="96" t="str">
        <f>IF(AND(S146=1,B146&lt;&gt;""),C146&amp;"|"&amp;TRIM(B146),"")</f>
        <v/>
      </c>
      <c r="U146" s="96">
        <f>IF(T146="",0,IF(SUMPRODUCT(--($T$6:$T$505=T146))&gt;1,1,0))</f>
        <v>0</v>
      </c>
      <c r="V146" s="96">
        <f>IF(F146="",0,IF(ISNUMBER(MATCH(F146,cmp_dest,0)),1,0))</f>
        <v>0</v>
      </c>
      <c r="W146" s="96">
        <f>IF(AND(S146=1,B146&lt;&gt;"",F146&lt;&gt;"",J146="Sim",U146=0),1,0)</f>
        <v>0</v>
      </c>
      <c r="X146" s="96">
        <f>IF(S146=0,0,COUNTIFS('VÍNCULOS_CDF'!$O$6:$O$1005,A146,'VÍNCULOS_CDF'!$Y$6:$Y$1005,1))</f>
        <v>0</v>
      </c>
      <c r="Y146" s="96" t="str">
        <f>IF(S146=1,A146&amp;" | CDF "&amp;IF(B146="","(sem número)",B146)&amp;" | "&amp;IF(F146="","(sem destinador)",F146),"")</f>
        <v/>
      </c>
      <c r="Z146" s="96" t="str">
        <f>IF(S146=1,COUNTIF($S$6:S146,1),"")</f>
        <v/>
      </c>
      <c r="AA146" s="96">
        <f>IF(S146=0,0,IF(AND(OR(r_ini="",AND(ISNUMBER(D146),D146&gt;=r_ini)),OR(r_fim="",AND(ISNUMBER(D146),D146&lt;=r_fim)),OR(r_de="",r_de="(Todos)",F146=r_de)),1,0))</f>
        <v>0</v>
      </c>
      <c r="AB146" s="96" t="str">
        <f>IF(AA146=1,IF(F146="",0,COUNTIF($F$6:$F$505,"&lt;"&amp;F146))*1000+141,"")</f>
        <v/>
      </c>
    </row>
    <row r="147">
      <c r="A147" s="89" t="inlineStr">
        <is>
          <t>CDF-000142</t>
        </is>
      </c>
      <c r="B147" s="90" t="n"/>
      <c r="C147" s="91" t="n"/>
      <c r="D147" s="92" t="n"/>
      <c r="E147" s="91" t="n"/>
      <c r="F147" s="91" t="n"/>
      <c r="G147" s="91" t="n"/>
      <c r="H147" s="91" t="n"/>
      <c r="I147" s="91" t="n"/>
      <c r="J147" s="91" t="n"/>
      <c r="K147" s="92" t="n"/>
      <c r="L147" s="91" t="n"/>
      <c r="M147" s="91" t="n"/>
      <c r="N147" s="91" t="n"/>
      <c r="O147" s="93" t="str">
        <f>IF(S147=0,"",SUMIFS('VÍNCULOS_CDF'!$H$6:$H$1005,'VÍNCULOS_CDF'!$O$6:$O$1005,A147,'VÍNCULOS_CDF'!$V$6:$V$1005,1))</f>
        <v/>
      </c>
      <c r="P147" s="95" t="str">
        <f>IF(S147=0,"",COUNTIFS('VÍNCULOS_CDF'!$O$6:$O$1005,A147,'VÍNCULOS_CDF'!$N$6:$N$1005,1))</f>
        <v/>
      </c>
      <c r="Q147" s="94" t="str">
        <f>IF(S147=0,"",IF(OR(B147="",F147=""),"Informações incompletas",IF(U147=1,"Possível duplicidade",IF(V147=0,"Destinador fora do cadastro",IF(AND(J147="Sim",N(P147)=0),"Necessita revisão de vínculos",IF(X147&gt;0,"Necessita revisão de vínculos",IF(J147="Sim","Conferido",IF(I147="Sim","Localizado, aguardando conferência","Cadastrado"))))))))</f>
        <v/>
      </c>
      <c r="R147" s="95" t="str">
        <f>IF(S147=0,"",COUNTIFS('VÍNCULOS_CDF'!$O$6:$O$1005,A147,'VÍNCULOS_CDF'!$AB$6:$AB$1005,1))</f>
        <v/>
      </c>
      <c r="S147" s="96">
        <f>IF(COUNTA(B147:N147)&gt;0,1,0)</f>
        <v>0</v>
      </c>
      <c r="T147" s="96" t="str">
        <f>IF(AND(S147=1,B147&lt;&gt;""),C147&amp;"|"&amp;TRIM(B147),"")</f>
        <v/>
      </c>
      <c r="U147" s="96">
        <f>IF(T147="",0,IF(SUMPRODUCT(--($T$6:$T$505=T147))&gt;1,1,0))</f>
        <v>0</v>
      </c>
      <c r="V147" s="96">
        <f>IF(F147="",0,IF(ISNUMBER(MATCH(F147,cmp_dest,0)),1,0))</f>
        <v>0</v>
      </c>
      <c r="W147" s="96">
        <f>IF(AND(S147=1,B147&lt;&gt;"",F147&lt;&gt;"",J147="Sim",U147=0),1,0)</f>
        <v>0</v>
      </c>
      <c r="X147" s="96">
        <f>IF(S147=0,0,COUNTIFS('VÍNCULOS_CDF'!$O$6:$O$1005,A147,'VÍNCULOS_CDF'!$Y$6:$Y$1005,1))</f>
        <v>0</v>
      </c>
      <c r="Y147" s="96" t="str">
        <f>IF(S147=1,A147&amp;" | CDF "&amp;IF(B147="","(sem número)",B147)&amp;" | "&amp;IF(F147="","(sem destinador)",F147),"")</f>
        <v/>
      </c>
      <c r="Z147" s="96" t="str">
        <f>IF(S147=1,COUNTIF($S$6:S147,1),"")</f>
        <v/>
      </c>
      <c r="AA147" s="96">
        <f>IF(S147=0,0,IF(AND(OR(r_ini="",AND(ISNUMBER(D147),D147&gt;=r_ini)),OR(r_fim="",AND(ISNUMBER(D147),D147&lt;=r_fim)),OR(r_de="",r_de="(Todos)",F147=r_de)),1,0))</f>
        <v>0</v>
      </c>
      <c r="AB147" s="96" t="str">
        <f>IF(AA147=1,IF(F147="",0,COUNTIF($F$6:$F$505,"&lt;"&amp;F147))*1000+142,"")</f>
        <v/>
      </c>
    </row>
    <row r="148">
      <c r="A148" s="89" t="inlineStr">
        <is>
          <t>CDF-000143</t>
        </is>
      </c>
      <c r="B148" s="90" t="n"/>
      <c r="C148" s="91" t="n"/>
      <c r="D148" s="92" t="n"/>
      <c r="E148" s="91" t="n"/>
      <c r="F148" s="91" t="n"/>
      <c r="G148" s="91" t="n"/>
      <c r="H148" s="91" t="n"/>
      <c r="I148" s="91" t="n"/>
      <c r="J148" s="91" t="n"/>
      <c r="K148" s="92" t="n"/>
      <c r="L148" s="91" t="n"/>
      <c r="M148" s="91" t="n"/>
      <c r="N148" s="91" t="n"/>
      <c r="O148" s="93" t="str">
        <f>IF(S148=0,"",SUMIFS('VÍNCULOS_CDF'!$H$6:$H$1005,'VÍNCULOS_CDF'!$O$6:$O$1005,A148,'VÍNCULOS_CDF'!$V$6:$V$1005,1))</f>
        <v/>
      </c>
      <c r="P148" s="95" t="str">
        <f>IF(S148=0,"",COUNTIFS('VÍNCULOS_CDF'!$O$6:$O$1005,A148,'VÍNCULOS_CDF'!$N$6:$N$1005,1))</f>
        <v/>
      </c>
      <c r="Q148" s="94" t="str">
        <f>IF(S148=0,"",IF(OR(B148="",F148=""),"Informações incompletas",IF(U148=1,"Possível duplicidade",IF(V148=0,"Destinador fora do cadastro",IF(AND(J148="Sim",N(P148)=0),"Necessita revisão de vínculos",IF(X148&gt;0,"Necessita revisão de vínculos",IF(J148="Sim","Conferido",IF(I148="Sim","Localizado, aguardando conferência","Cadastrado"))))))))</f>
        <v/>
      </c>
      <c r="R148" s="95" t="str">
        <f>IF(S148=0,"",COUNTIFS('VÍNCULOS_CDF'!$O$6:$O$1005,A148,'VÍNCULOS_CDF'!$AB$6:$AB$1005,1))</f>
        <v/>
      </c>
      <c r="S148" s="96">
        <f>IF(COUNTA(B148:N148)&gt;0,1,0)</f>
        <v>0</v>
      </c>
      <c r="T148" s="96" t="str">
        <f>IF(AND(S148=1,B148&lt;&gt;""),C148&amp;"|"&amp;TRIM(B148),"")</f>
        <v/>
      </c>
      <c r="U148" s="96">
        <f>IF(T148="",0,IF(SUMPRODUCT(--($T$6:$T$505=T148))&gt;1,1,0))</f>
        <v>0</v>
      </c>
      <c r="V148" s="96">
        <f>IF(F148="",0,IF(ISNUMBER(MATCH(F148,cmp_dest,0)),1,0))</f>
        <v>0</v>
      </c>
      <c r="W148" s="96">
        <f>IF(AND(S148=1,B148&lt;&gt;"",F148&lt;&gt;"",J148="Sim",U148=0),1,0)</f>
        <v>0</v>
      </c>
      <c r="X148" s="96">
        <f>IF(S148=0,0,COUNTIFS('VÍNCULOS_CDF'!$O$6:$O$1005,A148,'VÍNCULOS_CDF'!$Y$6:$Y$1005,1))</f>
        <v>0</v>
      </c>
      <c r="Y148" s="96" t="str">
        <f>IF(S148=1,A148&amp;" | CDF "&amp;IF(B148="","(sem número)",B148)&amp;" | "&amp;IF(F148="","(sem destinador)",F148),"")</f>
        <v/>
      </c>
      <c r="Z148" s="96" t="str">
        <f>IF(S148=1,COUNTIF($S$6:S148,1),"")</f>
        <v/>
      </c>
      <c r="AA148" s="96">
        <f>IF(S148=0,0,IF(AND(OR(r_ini="",AND(ISNUMBER(D148),D148&gt;=r_ini)),OR(r_fim="",AND(ISNUMBER(D148),D148&lt;=r_fim)),OR(r_de="",r_de="(Todos)",F148=r_de)),1,0))</f>
        <v>0</v>
      </c>
      <c r="AB148" s="96" t="str">
        <f>IF(AA148=1,IF(F148="",0,COUNTIF($F$6:$F$505,"&lt;"&amp;F148))*1000+143,"")</f>
        <v/>
      </c>
    </row>
    <row r="149">
      <c r="A149" s="89" t="inlineStr">
        <is>
          <t>CDF-000144</t>
        </is>
      </c>
      <c r="B149" s="90" t="n"/>
      <c r="C149" s="91" t="n"/>
      <c r="D149" s="92" t="n"/>
      <c r="E149" s="91" t="n"/>
      <c r="F149" s="91" t="n"/>
      <c r="G149" s="91" t="n"/>
      <c r="H149" s="91" t="n"/>
      <c r="I149" s="91" t="n"/>
      <c r="J149" s="91" t="n"/>
      <c r="K149" s="92" t="n"/>
      <c r="L149" s="91" t="n"/>
      <c r="M149" s="91" t="n"/>
      <c r="N149" s="91" t="n"/>
      <c r="O149" s="93" t="str">
        <f>IF(S149=0,"",SUMIFS('VÍNCULOS_CDF'!$H$6:$H$1005,'VÍNCULOS_CDF'!$O$6:$O$1005,A149,'VÍNCULOS_CDF'!$V$6:$V$1005,1))</f>
        <v/>
      </c>
      <c r="P149" s="95" t="str">
        <f>IF(S149=0,"",COUNTIFS('VÍNCULOS_CDF'!$O$6:$O$1005,A149,'VÍNCULOS_CDF'!$N$6:$N$1005,1))</f>
        <v/>
      </c>
      <c r="Q149" s="94" t="str">
        <f>IF(S149=0,"",IF(OR(B149="",F149=""),"Informações incompletas",IF(U149=1,"Possível duplicidade",IF(V149=0,"Destinador fora do cadastro",IF(AND(J149="Sim",N(P149)=0),"Necessita revisão de vínculos",IF(X149&gt;0,"Necessita revisão de vínculos",IF(J149="Sim","Conferido",IF(I149="Sim","Localizado, aguardando conferência","Cadastrado"))))))))</f>
        <v/>
      </c>
      <c r="R149" s="95" t="str">
        <f>IF(S149=0,"",COUNTIFS('VÍNCULOS_CDF'!$O$6:$O$1005,A149,'VÍNCULOS_CDF'!$AB$6:$AB$1005,1))</f>
        <v/>
      </c>
      <c r="S149" s="96">
        <f>IF(COUNTA(B149:N149)&gt;0,1,0)</f>
        <v>0</v>
      </c>
      <c r="T149" s="96" t="str">
        <f>IF(AND(S149=1,B149&lt;&gt;""),C149&amp;"|"&amp;TRIM(B149),"")</f>
        <v/>
      </c>
      <c r="U149" s="96">
        <f>IF(T149="",0,IF(SUMPRODUCT(--($T$6:$T$505=T149))&gt;1,1,0))</f>
        <v>0</v>
      </c>
      <c r="V149" s="96">
        <f>IF(F149="",0,IF(ISNUMBER(MATCH(F149,cmp_dest,0)),1,0))</f>
        <v>0</v>
      </c>
      <c r="W149" s="96">
        <f>IF(AND(S149=1,B149&lt;&gt;"",F149&lt;&gt;"",J149="Sim",U149=0),1,0)</f>
        <v>0</v>
      </c>
      <c r="X149" s="96">
        <f>IF(S149=0,0,COUNTIFS('VÍNCULOS_CDF'!$O$6:$O$1005,A149,'VÍNCULOS_CDF'!$Y$6:$Y$1005,1))</f>
        <v>0</v>
      </c>
      <c r="Y149" s="96" t="str">
        <f>IF(S149=1,A149&amp;" | CDF "&amp;IF(B149="","(sem número)",B149)&amp;" | "&amp;IF(F149="","(sem destinador)",F149),"")</f>
        <v/>
      </c>
      <c r="Z149" s="96" t="str">
        <f>IF(S149=1,COUNTIF($S$6:S149,1),"")</f>
        <v/>
      </c>
      <c r="AA149" s="96">
        <f>IF(S149=0,0,IF(AND(OR(r_ini="",AND(ISNUMBER(D149),D149&gt;=r_ini)),OR(r_fim="",AND(ISNUMBER(D149),D149&lt;=r_fim)),OR(r_de="",r_de="(Todos)",F149=r_de)),1,0))</f>
        <v>0</v>
      </c>
      <c r="AB149" s="96" t="str">
        <f>IF(AA149=1,IF(F149="",0,COUNTIF($F$6:$F$505,"&lt;"&amp;F149))*1000+144,"")</f>
        <v/>
      </c>
    </row>
    <row r="150">
      <c r="A150" s="89" t="inlineStr">
        <is>
          <t>CDF-000145</t>
        </is>
      </c>
      <c r="B150" s="90" t="n"/>
      <c r="C150" s="91" t="n"/>
      <c r="D150" s="92" t="n"/>
      <c r="E150" s="91" t="n"/>
      <c r="F150" s="91" t="n"/>
      <c r="G150" s="91" t="n"/>
      <c r="H150" s="91" t="n"/>
      <c r="I150" s="91" t="n"/>
      <c r="J150" s="91" t="n"/>
      <c r="K150" s="92" t="n"/>
      <c r="L150" s="91" t="n"/>
      <c r="M150" s="91" t="n"/>
      <c r="N150" s="91" t="n"/>
      <c r="O150" s="93" t="str">
        <f>IF(S150=0,"",SUMIFS('VÍNCULOS_CDF'!$H$6:$H$1005,'VÍNCULOS_CDF'!$O$6:$O$1005,A150,'VÍNCULOS_CDF'!$V$6:$V$1005,1))</f>
        <v/>
      </c>
      <c r="P150" s="95" t="str">
        <f>IF(S150=0,"",COUNTIFS('VÍNCULOS_CDF'!$O$6:$O$1005,A150,'VÍNCULOS_CDF'!$N$6:$N$1005,1))</f>
        <v/>
      </c>
      <c r="Q150" s="94" t="str">
        <f>IF(S150=0,"",IF(OR(B150="",F150=""),"Informações incompletas",IF(U150=1,"Possível duplicidade",IF(V150=0,"Destinador fora do cadastro",IF(AND(J150="Sim",N(P150)=0),"Necessita revisão de vínculos",IF(X150&gt;0,"Necessita revisão de vínculos",IF(J150="Sim","Conferido",IF(I150="Sim","Localizado, aguardando conferência","Cadastrado"))))))))</f>
        <v/>
      </c>
      <c r="R150" s="95" t="str">
        <f>IF(S150=0,"",COUNTIFS('VÍNCULOS_CDF'!$O$6:$O$1005,A150,'VÍNCULOS_CDF'!$AB$6:$AB$1005,1))</f>
        <v/>
      </c>
      <c r="S150" s="96">
        <f>IF(COUNTA(B150:N150)&gt;0,1,0)</f>
        <v>0</v>
      </c>
      <c r="T150" s="96" t="str">
        <f>IF(AND(S150=1,B150&lt;&gt;""),C150&amp;"|"&amp;TRIM(B150),"")</f>
        <v/>
      </c>
      <c r="U150" s="96">
        <f>IF(T150="",0,IF(SUMPRODUCT(--($T$6:$T$505=T150))&gt;1,1,0))</f>
        <v>0</v>
      </c>
      <c r="V150" s="96">
        <f>IF(F150="",0,IF(ISNUMBER(MATCH(F150,cmp_dest,0)),1,0))</f>
        <v>0</v>
      </c>
      <c r="W150" s="96">
        <f>IF(AND(S150=1,B150&lt;&gt;"",F150&lt;&gt;"",J150="Sim",U150=0),1,0)</f>
        <v>0</v>
      </c>
      <c r="X150" s="96">
        <f>IF(S150=0,0,COUNTIFS('VÍNCULOS_CDF'!$O$6:$O$1005,A150,'VÍNCULOS_CDF'!$Y$6:$Y$1005,1))</f>
        <v>0</v>
      </c>
      <c r="Y150" s="96" t="str">
        <f>IF(S150=1,A150&amp;" | CDF "&amp;IF(B150="","(sem número)",B150)&amp;" | "&amp;IF(F150="","(sem destinador)",F150),"")</f>
        <v/>
      </c>
      <c r="Z150" s="96" t="str">
        <f>IF(S150=1,COUNTIF($S$6:S150,1),"")</f>
        <v/>
      </c>
      <c r="AA150" s="96">
        <f>IF(S150=0,0,IF(AND(OR(r_ini="",AND(ISNUMBER(D150),D150&gt;=r_ini)),OR(r_fim="",AND(ISNUMBER(D150),D150&lt;=r_fim)),OR(r_de="",r_de="(Todos)",F150=r_de)),1,0))</f>
        <v>0</v>
      </c>
      <c r="AB150" s="96" t="str">
        <f>IF(AA150=1,IF(F150="",0,COUNTIF($F$6:$F$505,"&lt;"&amp;F150))*1000+145,"")</f>
        <v/>
      </c>
    </row>
    <row r="151">
      <c r="A151" s="89" t="inlineStr">
        <is>
          <t>CDF-000146</t>
        </is>
      </c>
      <c r="B151" s="90" t="n"/>
      <c r="C151" s="91" t="n"/>
      <c r="D151" s="92" t="n"/>
      <c r="E151" s="91" t="n"/>
      <c r="F151" s="91" t="n"/>
      <c r="G151" s="91" t="n"/>
      <c r="H151" s="91" t="n"/>
      <c r="I151" s="91" t="n"/>
      <c r="J151" s="91" t="n"/>
      <c r="K151" s="92" t="n"/>
      <c r="L151" s="91" t="n"/>
      <c r="M151" s="91" t="n"/>
      <c r="N151" s="91" t="n"/>
      <c r="O151" s="93" t="str">
        <f>IF(S151=0,"",SUMIFS('VÍNCULOS_CDF'!$H$6:$H$1005,'VÍNCULOS_CDF'!$O$6:$O$1005,A151,'VÍNCULOS_CDF'!$V$6:$V$1005,1))</f>
        <v/>
      </c>
      <c r="P151" s="95" t="str">
        <f>IF(S151=0,"",COUNTIFS('VÍNCULOS_CDF'!$O$6:$O$1005,A151,'VÍNCULOS_CDF'!$N$6:$N$1005,1))</f>
        <v/>
      </c>
      <c r="Q151" s="94" t="str">
        <f>IF(S151=0,"",IF(OR(B151="",F151=""),"Informações incompletas",IF(U151=1,"Possível duplicidade",IF(V151=0,"Destinador fora do cadastro",IF(AND(J151="Sim",N(P151)=0),"Necessita revisão de vínculos",IF(X151&gt;0,"Necessita revisão de vínculos",IF(J151="Sim","Conferido",IF(I151="Sim","Localizado, aguardando conferência","Cadastrado"))))))))</f>
        <v/>
      </c>
      <c r="R151" s="95" t="str">
        <f>IF(S151=0,"",COUNTIFS('VÍNCULOS_CDF'!$O$6:$O$1005,A151,'VÍNCULOS_CDF'!$AB$6:$AB$1005,1))</f>
        <v/>
      </c>
      <c r="S151" s="96">
        <f>IF(COUNTA(B151:N151)&gt;0,1,0)</f>
        <v>0</v>
      </c>
      <c r="T151" s="96" t="str">
        <f>IF(AND(S151=1,B151&lt;&gt;""),C151&amp;"|"&amp;TRIM(B151),"")</f>
        <v/>
      </c>
      <c r="U151" s="96">
        <f>IF(T151="",0,IF(SUMPRODUCT(--($T$6:$T$505=T151))&gt;1,1,0))</f>
        <v>0</v>
      </c>
      <c r="V151" s="96">
        <f>IF(F151="",0,IF(ISNUMBER(MATCH(F151,cmp_dest,0)),1,0))</f>
        <v>0</v>
      </c>
      <c r="W151" s="96">
        <f>IF(AND(S151=1,B151&lt;&gt;"",F151&lt;&gt;"",J151="Sim",U151=0),1,0)</f>
        <v>0</v>
      </c>
      <c r="X151" s="96">
        <f>IF(S151=0,0,COUNTIFS('VÍNCULOS_CDF'!$O$6:$O$1005,A151,'VÍNCULOS_CDF'!$Y$6:$Y$1005,1))</f>
        <v>0</v>
      </c>
      <c r="Y151" s="96" t="str">
        <f>IF(S151=1,A151&amp;" | CDF "&amp;IF(B151="","(sem número)",B151)&amp;" | "&amp;IF(F151="","(sem destinador)",F151),"")</f>
        <v/>
      </c>
      <c r="Z151" s="96" t="str">
        <f>IF(S151=1,COUNTIF($S$6:S151,1),"")</f>
        <v/>
      </c>
      <c r="AA151" s="96">
        <f>IF(S151=0,0,IF(AND(OR(r_ini="",AND(ISNUMBER(D151),D151&gt;=r_ini)),OR(r_fim="",AND(ISNUMBER(D151),D151&lt;=r_fim)),OR(r_de="",r_de="(Todos)",F151=r_de)),1,0))</f>
        <v>0</v>
      </c>
      <c r="AB151" s="96" t="str">
        <f>IF(AA151=1,IF(F151="",0,COUNTIF($F$6:$F$505,"&lt;"&amp;F151))*1000+146,"")</f>
        <v/>
      </c>
    </row>
    <row r="152">
      <c r="A152" s="89" t="inlineStr">
        <is>
          <t>CDF-000147</t>
        </is>
      </c>
      <c r="B152" s="90" t="n"/>
      <c r="C152" s="91" t="n"/>
      <c r="D152" s="92" t="n"/>
      <c r="E152" s="91" t="n"/>
      <c r="F152" s="91" t="n"/>
      <c r="G152" s="91" t="n"/>
      <c r="H152" s="91" t="n"/>
      <c r="I152" s="91" t="n"/>
      <c r="J152" s="91" t="n"/>
      <c r="K152" s="92" t="n"/>
      <c r="L152" s="91" t="n"/>
      <c r="M152" s="91" t="n"/>
      <c r="N152" s="91" t="n"/>
      <c r="O152" s="93" t="str">
        <f>IF(S152=0,"",SUMIFS('VÍNCULOS_CDF'!$H$6:$H$1005,'VÍNCULOS_CDF'!$O$6:$O$1005,A152,'VÍNCULOS_CDF'!$V$6:$V$1005,1))</f>
        <v/>
      </c>
      <c r="P152" s="95" t="str">
        <f>IF(S152=0,"",COUNTIFS('VÍNCULOS_CDF'!$O$6:$O$1005,A152,'VÍNCULOS_CDF'!$N$6:$N$1005,1))</f>
        <v/>
      </c>
      <c r="Q152" s="94" t="str">
        <f>IF(S152=0,"",IF(OR(B152="",F152=""),"Informações incompletas",IF(U152=1,"Possível duplicidade",IF(V152=0,"Destinador fora do cadastro",IF(AND(J152="Sim",N(P152)=0),"Necessita revisão de vínculos",IF(X152&gt;0,"Necessita revisão de vínculos",IF(J152="Sim","Conferido",IF(I152="Sim","Localizado, aguardando conferência","Cadastrado"))))))))</f>
        <v/>
      </c>
      <c r="R152" s="95" t="str">
        <f>IF(S152=0,"",COUNTIFS('VÍNCULOS_CDF'!$O$6:$O$1005,A152,'VÍNCULOS_CDF'!$AB$6:$AB$1005,1))</f>
        <v/>
      </c>
      <c r="S152" s="96">
        <f>IF(COUNTA(B152:N152)&gt;0,1,0)</f>
        <v>0</v>
      </c>
      <c r="T152" s="96" t="str">
        <f>IF(AND(S152=1,B152&lt;&gt;""),C152&amp;"|"&amp;TRIM(B152),"")</f>
        <v/>
      </c>
      <c r="U152" s="96">
        <f>IF(T152="",0,IF(SUMPRODUCT(--($T$6:$T$505=T152))&gt;1,1,0))</f>
        <v>0</v>
      </c>
      <c r="V152" s="96">
        <f>IF(F152="",0,IF(ISNUMBER(MATCH(F152,cmp_dest,0)),1,0))</f>
        <v>0</v>
      </c>
      <c r="W152" s="96">
        <f>IF(AND(S152=1,B152&lt;&gt;"",F152&lt;&gt;"",J152="Sim",U152=0),1,0)</f>
        <v>0</v>
      </c>
      <c r="X152" s="96">
        <f>IF(S152=0,0,COUNTIFS('VÍNCULOS_CDF'!$O$6:$O$1005,A152,'VÍNCULOS_CDF'!$Y$6:$Y$1005,1))</f>
        <v>0</v>
      </c>
      <c r="Y152" s="96" t="str">
        <f>IF(S152=1,A152&amp;" | CDF "&amp;IF(B152="","(sem número)",B152)&amp;" | "&amp;IF(F152="","(sem destinador)",F152),"")</f>
        <v/>
      </c>
      <c r="Z152" s="96" t="str">
        <f>IF(S152=1,COUNTIF($S$6:S152,1),"")</f>
        <v/>
      </c>
      <c r="AA152" s="96">
        <f>IF(S152=0,0,IF(AND(OR(r_ini="",AND(ISNUMBER(D152),D152&gt;=r_ini)),OR(r_fim="",AND(ISNUMBER(D152),D152&lt;=r_fim)),OR(r_de="",r_de="(Todos)",F152=r_de)),1,0))</f>
        <v>0</v>
      </c>
      <c r="AB152" s="96" t="str">
        <f>IF(AA152=1,IF(F152="",0,COUNTIF($F$6:$F$505,"&lt;"&amp;F152))*1000+147,"")</f>
        <v/>
      </c>
    </row>
    <row r="153">
      <c r="A153" s="89" t="inlineStr">
        <is>
          <t>CDF-000148</t>
        </is>
      </c>
      <c r="B153" s="90" t="n"/>
      <c r="C153" s="91" t="n"/>
      <c r="D153" s="92" t="n"/>
      <c r="E153" s="91" t="n"/>
      <c r="F153" s="91" t="n"/>
      <c r="G153" s="91" t="n"/>
      <c r="H153" s="91" t="n"/>
      <c r="I153" s="91" t="n"/>
      <c r="J153" s="91" t="n"/>
      <c r="K153" s="92" t="n"/>
      <c r="L153" s="91" t="n"/>
      <c r="M153" s="91" t="n"/>
      <c r="N153" s="91" t="n"/>
      <c r="O153" s="93" t="str">
        <f>IF(S153=0,"",SUMIFS('VÍNCULOS_CDF'!$H$6:$H$1005,'VÍNCULOS_CDF'!$O$6:$O$1005,A153,'VÍNCULOS_CDF'!$V$6:$V$1005,1))</f>
        <v/>
      </c>
      <c r="P153" s="95" t="str">
        <f>IF(S153=0,"",COUNTIFS('VÍNCULOS_CDF'!$O$6:$O$1005,A153,'VÍNCULOS_CDF'!$N$6:$N$1005,1))</f>
        <v/>
      </c>
      <c r="Q153" s="94" t="str">
        <f>IF(S153=0,"",IF(OR(B153="",F153=""),"Informações incompletas",IF(U153=1,"Possível duplicidade",IF(V153=0,"Destinador fora do cadastro",IF(AND(J153="Sim",N(P153)=0),"Necessita revisão de vínculos",IF(X153&gt;0,"Necessita revisão de vínculos",IF(J153="Sim","Conferido",IF(I153="Sim","Localizado, aguardando conferência","Cadastrado"))))))))</f>
        <v/>
      </c>
      <c r="R153" s="95" t="str">
        <f>IF(S153=0,"",COUNTIFS('VÍNCULOS_CDF'!$O$6:$O$1005,A153,'VÍNCULOS_CDF'!$AB$6:$AB$1005,1))</f>
        <v/>
      </c>
      <c r="S153" s="96">
        <f>IF(COUNTA(B153:N153)&gt;0,1,0)</f>
        <v>0</v>
      </c>
      <c r="T153" s="96" t="str">
        <f>IF(AND(S153=1,B153&lt;&gt;""),C153&amp;"|"&amp;TRIM(B153),"")</f>
        <v/>
      </c>
      <c r="U153" s="96">
        <f>IF(T153="",0,IF(SUMPRODUCT(--($T$6:$T$505=T153))&gt;1,1,0))</f>
        <v>0</v>
      </c>
      <c r="V153" s="96">
        <f>IF(F153="",0,IF(ISNUMBER(MATCH(F153,cmp_dest,0)),1,0))</f>
        <v>0</v>
      </c>
      <c r="W153" s="96">
        <f>IF(AND(S153=1,B153&lt;&gt;"",F153&lt;&gt;"",J153="Sim",U153=0),1,0)</f>
        <v>0</v>
      </c>
      <c r="X153" s="96">
        <f>IF(S153=0,0,COUNTIFS('VÍNCULOS_CDF'!$O$6:$O$1005,A153,'VÍNCULOS_CDF'!$Y$6:$Y$1005,1))</f>
        <v>0</v>
      </c>
      <c r="Y153" s="96" t="str">
        <f>IF(S153=1,A153&amp;" | CDF "&amp;IF(B153="","(sem número)",B153)&amp;" | "&amp;IF(F153="","(sem destinador)",F153),"")</f>
        <v/>
      </c>
      <c r="Z153" s="96" t="str">
        <f>IF(S153=1,COUNTIF($S$6:S153,1),"")</f>
        <v/>
      </c>
      <c r="AA153" s="96">
        <f>IF(S153=0,0,IF(AND(OR(r_ini="",AND(ISNUMBER(D153),D153&gt;=r_ini)),OR(r_fim="",AND(ISNUMBER(D153),D153&lt;=r_fim)),OR(r_de="",r_de="(Todos)",F153=r_de)),1,0))</f>
        <v>0</v>
      </c>
      <c r="AB153" s="96" t="str">
        <f>IF(AA153=1,IF(F153="",0,COUNTIF($F$6:$F$505,"&lt;"&amp;F153))*1000+148,"")</f>
        <v/>
      </c>
    </row>
    <row r="154">
      <c r="A154" s="89" t="inlineStr">
        <is>
          <t>CDF-000149</t>
        </is>
      </c>
      <c r="B154" s="90" t="n"/>
      <c r="C154" s="91" t="n"/>
      <c r="D154" s="92" t="n"/>
      <c r="E154" s="91" t="n"/>
      <c r="F154" s="91" t="n"/>
      <c r="G154" s="91" t="n"/>
      <c r="H154" s="91" t="n"/>
      <c r="I154" s="91" t="n"/>
      <c r="J154" s="91" t="n"/>
      <c r="K154" s="92" t="n"/>
      <c r="L154" s="91" t="n"/>
      <c r="M154" s="91" t="n"/>
      <c r="N154" s="91" t="n"/>
      <c r="O154" s="93" t="str">
        <f>IF(S154=0,"",SUMIFS('VÍNCULOS_CDF'!$H$6:$H$1005,'VÍNCULOS_CDF'!$O$6:$O$1005,A154,'VÍNCULOS_CDF'!$V$6:$V$1005,1))</f>
        <v/>
      </c>
      <c r="P154" s="95" t="str">
        <f>IF(S154=0,"",COUNTIFS('VÍNCULOS_CDF'!$O$6:$O$1005,A154,'VÍNCULOS_CDF'!$N$6:$N$1005,1))</f>
        <v/>
      </c>
      <c r="Q154" s="94" t="str">
        <f>IF(S154=0,"",IF(OR(B154="",F154=""),"Informações incompletas",IF(U154=1,"Possível duplicidade",IF(V154=0,"Destinador fora do cadastro",IF(AND(J154="Sim",N(P154)=0),"Necessita revisão de vínculos",IF(X154&gt;0,"Necessita revisão de vínculos",IF(J154="Sim","Conferido",IF(I154="Sim","Localizado, aguardando conferência","Cadastrado"))))))))</f>
        <v/>
      </c>
      <c r="R154" s="95" t="str">
        <f>IF(S154=0,"",COUNTIFS('VÍNCULOS_CDF'!$O$6:$O$1005,A154,'VÍNCULOS_CDF'!$AB$6:$AB$1005,1))</f>
        <v/>
      </c>
      <c r="S154" s="96">
        <f>IF(COUNTA(B154:N154)&gt;0,1,0)</f>
        <v>0</v>
      </c>
      <c r="T154" s="96" t="str">
        <f>IF(AND(S154=1,B154&lt;&gt;""),C154&amp;"|"&amp;TRIM(B154),"")</f>
        <v/>
      </c>
      <c r="U154" s="96">
        <f>IF(T154="",0,IF(SUMPRODUCT(--($T$6:$T$505=T154))&gt;1,1,0))</f>
        <v>0</v>
      </c>
      <c r="V154" s="96">
        <f>IF(F154="",0,IF(ISNUMBER(MATCH(F154,cmp_dest,0)),1,0))</f>
        <v>0</v>
      </c>
      <c r="W154" s="96">
        <f>IF(AND(S154=1,B154&lt;&gt;"",F154&lt;&gt;"",J154="Sim",U154=0),1,0)</f>
        <v>0</v>
      </c>
      <c r="X154" s="96">
        <f>IF(S154=0,0,COUNTIFS('VÍNCULOS_CDF'!$O$6:$O$1005,A154,'VÍNCULOS_CDF'!$Y$6:$Y$1005,1))</f>
        <v>0</v>
      </c>
      <c r="Y154" s="96" t="str">
        <f>IF(S154=1,A154&amp;" | CDF "&amp;IF(B154="","(sem número)",B154)&amp;" | "&amp;IF(F154="","(sem destinador)",F154),"")</f>
        <v/>
      </c>
      <c r="Z154" s="96" t="str">
        <f>IF(S154=1,COUNTIF($S$6:S154,1),"")</f>
        <v/>
      </c>
      <c r="AA154" s="96">
        <f>IF(S154=0,0,IF(AND(OR(r_ini="",AND(ISNUMBER(D154),D154&gt;=r_ini)),OR(r_fim="",AND(ISNUMBER(D154),D154&lt;=r_fim)),OR(r_de="",r_de="(Todos)",F154=r_de)),1,0))</f>
        <v>0</v>
      </c>
      <c r="AB154" s="96" t="str">
        <f>IF(AA154=1,IF(F154="",0,COUNTIF($F$6:$F$505,"&lt;"&amp;F154))*1000+149,"")</f>
        <v/>
      </c>
    </row>
    <row r="155">
      <c r="A155" s="89" t="inlineStr">
        <is>
          <t>CDF-000150</t>
        </is>
      </c>
      <c r="B155" s="90" t="n"/>
      <c r="C155" s="91" t="n"/>
      <c r="D155" s="92" t="n"/>
      <c r="E155" s="91" t="n"/>
      <c r="F155" s="91" t="n"/>
      <c r="G155" s="91" t="n"/>
      <c r="H155" s="91" t="n"/>
      <c r="I155" s="91" t="n"/>
      <c r="J155" s="91" t="n"/>
      <c r="K155" s="92" t="n"/>
      <c r="L155" s="91" t="n"/>
      <c r="M155" s="91" t="n"/>
      <c r="N155" s="91" t="n"/>
      <c r="O155" s="93" t="str">
        <f>IF(S155=0,"",SUMIFS('VÍNCULOS_CDF'!$H$6:$H$1005,'VÍNCULOS_CDF'!$O$6:$O$1005,A155,'VÍNCULOS_CDF'!$V$6:$V$1005,1))</f>
        <v/>
      </c>
      <c r="P155" s="95" t="str">
        <f>IF(S155=0,"",COUNTIFS('VÍNCULOS_CDF'!$O$6:$O$1005,A155,'VÍNCULOS_CDF'!$N$6:$N$1005,1))</f>
        <v/>
      </c>
      <c r="Q155" s="94" t="str">
        <f>IF(S155=0,"",IF(OR(B155="",F155=""),"Informações incompletas",IF(U155=1,"Possível duplicidade",IF(V155=0,"Destinador fora do cadastro",IF(AND(J155="Sim",N(P155)=0),"Necessita revisão de vínculos",IF(X155&gt;0,"Necessita revisão de vínculos",IF(J155="Sim","Conferido",IF(I155="Sim","Localizado, aguardando conferência","Cadastrado"))))))))</f>
        <v/>
      </c>
      <c r="R155" s="95" t="str">
        <f>IF(S155=0,"",COUNTIFS('VÍNCULOS_CDF'!$O$6:$O$1005,A155,'VÍNCULOS_CDF'!$AB$6:$AB$1005,1))</f>
        <v/>
      </c>
      <c r="S155" s="96">
        <f>IF(COUNTA(B155:N155)&gt;0,1,0)</f>
        <v>0</v>
      </c>
      <c r="T155" s="96" t="str">
        <f>IF(AND(S155=1,B155&lt;&gt;""),C155&amp;"|"&amp;TRIM(B155),"")</f>
        <v/>
      </c>
      <c r="U155" s="96">
        <f>IF(T155="",0,IF(SUMPRODUCT(--($T$6:$T$505=T155))&gt;1,1,0))</f>
        <v>0</v>
      </c>
      <c r="V155" s="96">
        <f>IF(F155="",0,IF(ISNUMBER(MATCH(F155,cmp_dest,0)),1,0))</f>
        <v>0</v>
      </c>
      <c r="W155" s="96">
        <f>IF(AND(S155=1,B155&lt;&gt;"",F155&lt;&gt;"",J155="Sim",U155=0),1,0)</f>
        <v>0</v>
      </c>
      <c r="X155" s="96">
        <f>IF(S155=0,0,COUNTIFS('VÍNCULOS_CDF'!$O$6:$O$1005,A155,'VÍNCULOS_CDF'!$Y$6:$Y$1005,1))</f>
        <v>0</v>
      </c>
      <c r="Y155" s="96" t="str">
        <f>IF(S155=1,A155&amp;" | CDF "&amp;IF(B155="","(sem número)",B155)&amp;" | "&amp;IF(F155="","(sem destinador)",F155),"")</f>
        <v/>
      </c>
      <c r="Z155" s="96" t="str">
        <f>IF(S155=1,COUNTIF($S$6:S155,1),"")</f>
        <v/>
      </c>
      <c r="AA155" s="96">
        <f>IF(S155=0,0,IF(AND(OR(r_ini="",AND(ISNUMBER(D155),D155&gt;=r_ini)),OR(r_fim="",AND(ISNUMBER(D155),D155&lt;=r_fim)),OR(r_de="",r_de="(Todos)",F155=r_de)),1,0))</f>
        <v>0</v>
      </c>
      <c r="AB155" s="96" t="str">
        <f>IF(AA155=1,IF(F155="",0,COUNTIF($F$6:$F$505,"&lt;"&amp;F155))*1000+150,"")</f>
        <v/>
      </c>
    </row>
    <row r="156">
      <c r="A156" s="89" t="inlineStr">
        <is>
          <t>CDF-000151</t>
        </is>
      </c>
      <c r="B156" s="90" t="n"/>
      <c r="C156" s="91" t="n"/>
      <c r="D156" s="92" t="n"/>
      <c r="E156" s="91" t="n"/>
      <c r="F156" s="91" t="n"/>
      <c r="G156" s="91" t="n"/>
      <c r="H156" s="91" t="n"/>
      <c r="I156" s="91" t="n"/>
      <c r="J156" s="91" t="n"/>
      <c r="K156" s="92" t="n"/>
      <c r="L156" s="91" t="n"/>
      <c r="M156" s="91" t="n"/>
      <c r="N156" s="91" t="n"/>
      <c r="O156" s="93" t="str">
        <f>IF(S156=0,"",SUMIFS('VÍNCULOS_CDF'!$H$6:$H$1005,'VÍNCULOS_CDF'!$O$6:$O$1005,A156,'VÍNCULOS_CDF'!$V$6:$V$1005,1))</f>
        <v/>
      </c>
      <c r="P156" s="95" t="str">
        <f>IF(S156=0,"",COUNTIFS('VÍNCULOS_CDF'!$O$6:$O$1005,A156,'VÍNCULOS_CDF'!$N$6:$N$1005,1))</f>
        <v/>
      </c>
      <c r="Q156" s="94" t="str">
        <f>IF(S156=0,"",IF(OR(B156="",F156=""),"Informações incompletas",IF(U156=1,"Possível duplicidade",IF(V156=0,"Destinador fora do cadastro",IF(AND(J156="Sim",N(P156)=0),"Necessita revisão de vínculos",IF(X156&gt;0,"Necessita revisão de vínculos",IF(J156="Sim","Conferido",IF(I156="Sim","Localizado, aguardando conferência","Cadastrado"))))))))</f>
        <v/>
      </c>
      <c r="R156" s="95" t="str">
        <f>IF(S156=0,"",COUNTIFS('VÍNCULOS_CDF'!$O$6:$O$1005,A156,'VÍNCULOS_CDF'!$AB$6:$AB$1005,1))</f>
        <v/>
      </c>
      <c r="S156" s="96">
        <f>IF(COUNTA(B156:N156)&gt;0,1,0)</f>
        <v>0</v>
      </c>
      <c r="T156" s="96" t="str">
        <f>IF(AND(S156=1,B156&lt;&gt;""),C156&amp;"|"&amp;TRIM(B156),"")</f>
        <v/>
      </c>
      <c r="U156" s="96">
        <f>IF(T156="",0,IF(SUMPRODUCT(--($T$6:$T$505=T156))&gt;1,1,0))</f>
        <v>0</v>
      </c>
      <c r="V156" s="96">
        <f>IF(F156="",0,IF(ISNUMBER(MATCH(F156,cmp_dest,0)),1,0))</f>
        <v>0</v>
      </c>
      <c r="W156" s="96">
        <f>IF(AND(S156=1,B156&lt;&gt;"",F156&lt;&gt;"",J156="Sim",U156=0),1,0)</f>
        <v>0</v>
      </c>
      <c r="X156" s="96">
        <f>IF(S156=0,0,COUNTIFS('VÍNCULOS_CDF'!$O$6:$O$1005,A156,'VÍNCULOS_CDF'!$Y$6:$Y$1005,1))</f>
        <v>0</v>
      </c>
      <c r="Y156" s="96" t="str">
        <f>IF(S156=1,A156&amp;" | CDF "&amp;IF(B156="","(sem número)",B156)&amp;" | "&amp;IF(F156="","(sem destinador)",F156),"")</f>
        <v/>
      </c>
      <c r="Z156" s="96" t="str">
        <f>IF(S156=1,COUNTIF($S$6:S156,1),"")</f>
        <v/>
      </c>
      <c r="AA156" s="96">
        <f>IF(S156=0,0,IF(AND(OR(r_ini="",AND(ISNUMBER(D156),D156&gt;=r_ini)),OR(r_fim="",AND(ISNUMBER(D156),D156&lt;=r_fim)),OR(r_de="",r_de="(Todos)",F156=r_de)),1,0))</f>
        <v>0</v>
      </c>
      <c r="AB156" s="96" t="str">
        <f>IF(AA156=1,IF(F156="",0,COUNTIF($F$6:$F$505,"&lt;"&amp;F156))*1000+151,"")</f>
        <v/>
      </c>
    </row>
    <row r="157">
      <c r="A157" s="89" t="inlineStr">
        <is>
          <t>CDF-000152</t>
        </is>
      </c>
      <c r="B157" s="90" t="n"/>
      <c r="C157" s="91" t="n"/>
      <c r="D157" s="92" t="n"/>
      <c r="E157" s="91" t="n"/>
      <c r="F157" s="91" t="n"/>
      <c r="G157" s="91" t="n"/>
      <c r="H157" s="91" t="n"/>
      <c r="I157" s="91" t="n"/>
      <c r="J157" s="91" t="n"/>
      <c r="K157" s="92" t="n"/>
      <c r="L157" s="91" t="n"/>
      <c r="M157" s="91" t="n"/>
      <c r="N157" s="91" t="n"/>
      <c r="O157" s="93" t="str">
        <f>IF(S157=0,"",SUMIFS('VÍNCULOS_CDF'!$H$6:$H$1005,'VÍNCULOS_CDF'!$O$6:$O$1005,A157,'VÍNCULOS_CDF'!$V$6:$V$1005,1))</f>
        <v/>
      </c>
      <c r="P157" s="95" t="str">
        <f>IF(S157=0,"",COUNTIFS('VÍNCULOS_CDF'!$O$6:$O$1005,A157,'VÍNCULOS_CDF'!$N$6:$N$1005,1))</f>
        <v/>
      </c>
      <c r="Q157" s="94" t="str">
        <f>IF(S157=0,"",IF(OR(B157="",F157=""),"Informações incompletas",IF(U157=1,"Possível duplicidade",IF(V157=0,"Destinador fora do cadastro",IF(AND(J157="Sim",N(P157)=0),"Necessita revisão de vínculos",IF(X157&gt;0,"Necessita revisão de vínculos",IF(J157="Sim","Conferido",IF(I157="Sim","Localizado, aguardando conferência","Cadastrado"))))))))</f>
        <v/>
      </c>
      <c r="R157" s="95" t="str">
        <f>IF(S157=0,"",COUNTIFS('VÍNCULOS_CDF'!$O$6:$O$1005,A157,'VÍNCULOS_CDF'!$AB$6:$AB$1005,1))</f>
        <v/>
      </c>
      <c r="S157" s="96">
        <f>IF(COUNTA(B157:N157)&gt;0,1,0)</f>
        <v>0</v>
      </c>
      <c r="T157" s="96" t="str">
        <f>IF(AND(S157=1,B157&lt;&gt;""),C157&amp;"|"&amp;TRIM(B157),"")</f>
        <v/>
      </c>
      <c r="U157" s="96">
        <f>IF(T157="",0,IF(SUMPRODUCT(--($T$6:$T$505=T157))&gt;1,1,0))</f>
        <v>0</v>
      </c>
      <c r="V157" s="96">
        <f>IF(F157="",0,IF(ISNUMBER(MATCH(F157,cmp_dest,0)),1,0))</f>
        <v>0</v>
      </c>
      <c r="W157" s="96">
        <f>IF(AND(S157=1,B157&lt;&gt;"",F157&lt;&gt;"",J157="Sim",U157=0),1,0)</f>
        <v>0</v>
      </c>
      <c r="X157" s="96">
        <f>IF(S157=0,0,COUNTIFS('VÍNCULOS_CDF'!$O$6:$O$1005,A157,'VÍNCULOS_CDF'!$Y$6:$Y$1005,1))</f>
        <v>0</v>
      </c>
      <c r="Y157" s="96" t="str">
        <f>IF(S157=1,A157&amp;" | CDF "&amp;IF(B157="","(sem número)",B157)&amp;" | "&amp;IF(F157="","(sem destinador)",F157),"")</f>
        <v/>
      </c>
      <c r="Z157" s="96" t="str">
        <f>IF(S157=1,COUNTIF($S$6:S157,1),"")</f>
        <v/>
      </c>
      <c r="AA157" s="96">
        <f>IF(S157=0,0,IF(AND(OR(r_ini="",AND(ISNUMBER(D157),D157&gt;=r_ini)),OR(r_fim="",AND(ISNUMBER(D157),D157&lt;=r_fim)),OR(r_de="",r_de="(Todos)",F157=r_de)),1,0))</f>
        <v>0</v>
      </c>
      <c r="AB157" s="96" t="str">
        <f>IF(AA157=1,IF(F157="",0,COUNTIF($F$6:$F$505,"&lt;"&amp;F157))*1000+152,"")</f>
        <v/>
      </c>
    </row>
    <row r="158">
      <c r="A158" s="89" t="inlineStr">
        <is>
          <t>CDF-000153</t>
        </is>
      </c>
      <c r="B158" s="90" t="n"/>
      <c r="C158" s="91" t="n"/>
      <c r="D158" s="92" t="n"/>
      <c r="E158" s="91" t="n"/>
      <c r="F158" s="91" t="n"/>
      <c r="G158" s="91" t="n"/>
      <c r="H158" s="91" t="n"/>
      <c r="I158" s="91" t="n"/>
      <c r="J158" s="91" t="n"/>
      <c r="K158" s="92" t="n"/>
      <c r="L158" s="91" t="n"/>
      <c r="M158" s="91" t="n"/>
      <c r="N158" s="91" t="n"/>
      <c r="O158" s="93" t="str">
        <f>IF(S158=0,"",SUMIFS('VÍNCULOS_CDF'!$H$6:$H$1005,'VÍNCULOS_CDF'!$O$6:$O$1005,A158,'VÍNCULOS_CDF'!$V$6:$V$1005,1))</f>
        <v/>
      </c>
      <c r="P158" s="95" t="str">
        <f>IF(S158=0,"",COUNTIFS('VÍNCULOS_CDF'!$O$6:$O$1005,A158,'VÍNCULOS_CDF'!$N$6:$N$1005,1))</f>
        <v/>
      </c>
      <c r="Q158" s="94" t="str">
        <f>IF(S158=0,"",IF(OR(B158="",F158=""),"Informações incompletas",IF(U158=1,"Possível duplicidade",IF(V158=0,"Destinador fora do cadastro",IF(AND(J158="Sim",N(P158)=0),"Necessita revisão de vínculos",IF(X158&gt;0,"Necessita revisão de vínculos",IF(J158="Sim","Conferido",IF(I158="Sim","Localizado, aguardando conferência","Cadastrado"))))))))</f>
        <v/>
      </c>
      <c r="R158" s="95" t="str">
        <f>IF(S158=0,"",COUNTIFS('VÍNCULOS_CDF'!$O$6:$O$1005,A158,'VÍNCULOS_CDF'!$AB$6:$AB$1005,1))</f>
        <v/>
      </c>
      <c r="S158" s="96">
        <f>IF(COUNTA(B158:N158)&gt;0,1,0)</f>
        <v>0</v>
      </c>
      <c r="T158" s="96" t="str">
        <f>IF(AND(S158=1,B158&lt;&gt;""),C158&amp;"|"&amp;TRIM(B158),"")</f>
        <v/>
      </c>
      <c r="U158" s="96">
        <f>IF(T158="",0,IF(SUMPRODUCT(--($T$6:$T$505=T158))&gt;1,1,0))</f>
        <v>0</v>
      </c>
      <c r="V158" s="96">
        <f>IF(F158="",0,IF(ISNUMBER(MATCH(F158,cmp_dest,0)),1,0))</f>
        <v>0</v>
      </c>
      <c r="W158" s="96">
        <f>IF(AND(S158=1,B158&lt;&gt;"",F158&lt;&gt;"",J158="Sim",U158=0),1,0)</f>
        <v>0</v>
      </c>
      <c r="X158" s="96">
        <f>IF(S158=0,0,COUNTIFS('VÍNCULOS_CDF'!$O$6:$O$1005,A158,'VÍNCULOS_CDF'!$Y$6:$Y$1005,1))</f>
        <v>0</v>
      </c>
      <c r="Y158" s="96" t="str">
        <f>IF(S158=1,A158&amp;" | CDF "&amp;IF(B158="","(sem número)",B158)&amp;" | "&amp;IF(F158="","(sem destinador)",F158),"")</f>
        <v/>
      </c>
      <c r="Z158" s="96" t="str">
        <f>IF(S158=1,COUNTIF($S$6:S158,1),"")</f>
        <v/>
      </c>
      <c r="AA158" s="96">
        <f>IF(S158=0,0,IF(AND(OR(r_ini="",AND(ISNUMBER(D158),D158&gt;=r_ini)),OR(r_fim="",AND(ISNUMBER(D158),D158&lt;=r_fim)),OR(r_de="",r_de="(Todos)",F158=r_de)),1,0))</f>
        <v>0</v>
      </c>
      <c r="AB158" s="96" t="str">
        <f>IF(AA158=1,IF(F158="",0,COUNTIF($F$6:$F$505,"&lt;"&amp;F158))*1000+153,"")</f>
        <v/>
      </c>
    </row>
    <row r="159">
      <c r="A159" s="89" t="inlineStr">
        <is>
          <t>CDF-000154</t>
        </is>
      </c>
      <c r="B159" s="90" t="n"/>
      <c r="C159" s="91" t="n"/>
      <c r="D159" s="92" t="n"/>
      <c r="E159" s="91" t="n"/>
      <c r="F159" s="91" t="n"/>
      <c r="G159" s="91" t="n"/>
      <c r="H159" s="91" t="n"/>
      <c r="I159" s="91" t="n"/>
      <c r="J159" s="91" t="n"/>
      <c r="K159" s="92" t="n"/>
      <c r="L159" s="91" t="n"/>
      <c r="M159" s="91" t="n"/>
      <c r="N159" s="91" t="n"/>
      <c r="O159" s="93" t="str">
        <f>IF(S159=0,"",SUMIFS('VÍNCULOS_CDF'!$H$6:$H$1005,'VÍNCULOS_CDF'!$O$6:$O$1005,A159,'VÍNCULOS_CDF'!$V$6:$V$1005,1))</f>
        <v/>
      </c>
      <c r="P159" s="95" t="str">
        <f>IF(S159=0,"",COUNTIFS('VÍNCULOS_CDF'!$O$6:$O$1005,A159,'VÍNCULOS_CDF'!$N$6:$N$1005,1))</f>
        <v/>
      </c>
      <c r="Q159" s="94" t="str">
        <f>IF(S159=0,"",IF(OR(B159="",F159=""),"Informações incompletas",IF(U159=1,"Possível duplicidade",IF(V159=0,"Destinador fora do cadastro",IF(AND(J159="Sim",N(P159)=0),"Necessita revisão de vínculos",IF(X159&gt;0,"Necessita revisão de vínculos",IF(J159="Sim","Conferido",IF(I159="Sim","Localizado, aguardando conferência","Cadastrado"))))))))</f>
        <v/>
      </c>
      <c r="R159" s="95" t="str">
        <f>IF(S159=0,"",COUNTIFS('VÍNCULOS_CDF'!$O$6:$O$1005,A159,'VÍNCULOS_CDF'!$AB$6:$AB$1005,1))</f>
        <v/>
      </c>
      <c r="S159" s="96">
        <f>IF(COUNTA(B159:N159)&gt;0,1,0)</f>
        <v>0</v>
      </c>
      <c r="T159" s="96" t="str">
        <f>IF(AND(S159=1,B159&lt;&gt;""),C159&amp;"|"&amp;TRIM(B159),"")</f>
        <v/>
      </c>
      <c r="U159" s="96">
        <f>IF(T159="",0,IF(SUMPRODUCT(--($T$6:$T$505=T159))&gt;1,1,0))</f>
        <v>0</v>
      </c>
      <c r="V159" s="96">
        <f>IF(F159="",0,IF(ISNUMBER(MATCH(F159,cmp_dest,0)),1,0))</f>
        <v>0</v>
      </c>
      <c r="W159" s="96">
        <f>IF(AND(S159=1,B159&lt;&gt;"",F159&lt;&gt;"",J159="Sim",U159=0),1,0)</f>
        <v>0</v>
      </c>
      <c r="X159" s="96">
        <f>IF(S159=0,0,COUNTIFS('VÍNCULOS_CDF'!$O$6:$O$1005,A159,'VÍNCULOS_CDF'!$Y$6:$Y$1005,1))</f>
        <v>0</v>
      </c>
      <c r="Y159" s="96" t="str">
        <f>IF(S159=1,A159&amp;" | CDF "&amp;IF(B159="","(sem número)",B159)&amp;" | "&amp;IF(F159="","(sem destinador)",F159),"")</f>
        <v/>
      </c>
      <c r="Z159" s="96" t="str">
        <f>IF(S159=1,COUNTIF($S$6:S159,1),"")</f>
        <v/>
      </c>
      <c r="AA159" s="96">
        <f>IF(S159=0,0,IF(AND(OR(r_ini="",AND(ISNUMBER(D159),D159&gt;=r_ini)),OR(r_fim="",AND(ISNUMBER(D159),D159&lt;=r_fim)),OR(r_de="",r_de="(Todos)",F159=r_de)),1,0))</f>
        <v>0</v>
      </c>
      <c r="AB159" s="96" t="str">
        <f>IF(AA159=1,IF(F159="",0,COUNTIF($F$6:$F$505,"&lt;"&amp;F159))*1000+154,"")</f>
        <v/>
      </c>
    </row>
    <row r="160">
      <c r="A160" s="89" t="inlineStr">
        <is>
          <t>CDF-000155</t>
        </is>
      </c>
      <c r="B160" s="90" t="n"/>
      <c r="C160" s="91" t="n"/>
      <c r="D160" s="92" t="n"/>
      <c r="E160" s="91" t="n"/>
      <c r="F160" s="91" t="n"/>
      <c r="G160" s="91" t="n"/>
      <c r="H160" s="91" t="n"/>
      <c r="I160" s="91" t="n"/>
      <c r="J160" s="91" t="n"/>
      <c r="K160" s="92" t="n"/>
      <c r="L160" s="91" t="n"/>
      <c r="M160" s="91" t="n"/>
      <c r="N160" s="91" t="n"/>
      <c r="O160" s="93" t="str">
        <f>IF(S160=0,"",SUMIFS('VÍNCULOS_CDF'!$H$6:$H$1005,'VÍNCULOS_CDF'!$O$6:$O$1005,A160,'VÍNCULOS_CDF'!$V$6:$V$1005,1))</f>
        <v/>
      </c>
      <c r="P160" s="95" t="str">
        <f>IF(S160=0,"",COUNTIFS('VÍNCULOS_CDF'!$O$6:$O$1005,A160,'VÍNCULOS_CDF'!$N$6:$N$1005,1))</f>
        <v/>
      </c>
      <c r="Q160" s="94" t="str">
        <f>IF(S160=0,"",IF(OR(B160="",F160=""),"Informações incompletas",IF(U160=1,"Possível duplicidade",IF(V160=0,"Destinador fora do cadastro",IF(AND(J160="Sim",N(P160)=0),"Necessita revisão de vínculos",IF(X160&gt;0,"Necessita revisão de vínculos",IF(J160="Sim","Conferido",IF(I160="Sim","Localizado, aguardando conferência","Cadastrado"))))))))</f>
        <v/>
      </c>
      <c r="R160" s="95" t="str">
        <f>IF(S160=0,"",COUNTIFS('VÍNCULOS_CDF'!$O$6:$O$1005,A160,'VÍNCULOS_CDF'!$AB$6:$AB$1005,1))</f>
        <v/>
      </c>
      <c r="S160" s="96">
        <f>IF(COUNTA(B160:N160)&gt;0,1,0)</f>
        <v>0</v>
      </c>
      <c r="T160" s="96" t="str">
        <f>IF(AND(S160=1,B160&lt;&gt;""),C160&amp;"|"&amp;TRIM(B160),"")</f>
        <v/>
      </c>
      <c r="U160" s="96">
        <f>IF(T160="",0,IF(SUMPRODUCT(--($T$6:$T$505=T160))&gt;1,1,0))</f>
        <v>0</v>
      </c>
      <c r="V160" s="96">
        <f>IF(F160="",0,IF(ISNUMBER(MATCH(F160,cmp_dest,0)),1,0))</f>
        <v>0</v>
      </c>
      <c r="W160" s="96">
        <f>IF(AND(S160=1,B160&lt;&gt;"",F160&lt;&gt;"",J160="Sim",U160=0),1,0)</f>
        <v>0</v>
      </c>
      <c r="X160" s="96">
        <f>IF(S160=0,0,COUNTIFS('VÍNCULOS_CDF'!$O$6:$O$1005,A160,'VÍNCULOS_CDF'!$Y$6:$Y$1005,1))</f>
        <v>0</v>
      </c>
      <c r="Y160" s="96" t="str">
        <f>IF(S160=1,A160&amp;" | CDF "&amp;IF(B160="","(sem número)",B160)&amp;" | "&amp;IF(F160="","(sem destinador)",F160),"")</f>
        <v/>
      </c>
      <c r="Z160" s="96" t="str">
        <f>IF(S160=1,COUNTIF($S$6:S160,1),"")</f>
        <v/>
      </c>
      <c r="AA160" s="96">
        <f>IF(S160=0,0,IF(AND(OR(r_ini="",AND(ISNUMBER(D160),D160&gt;=r_ini)),OR(r_fim="",AND(ISNUMBER(D160),D160&lt;=r_fim)),OR(r_de="",r_de="(Todos)",F160=r_de)),1,0))</f>
        <v>0</v>
      </c>
      <c r="AB160" s="96" t="str">
        <f>IF(AA160=1,IF(F160="",0,COUNTIF($F$6:$F$505,"&lt;"&amp;F160))*1000+155,"")</f>
        <v/>
      </c>
    </row>
    <row r="161">
      <c r="A161" s="89" t="inlineStr">
        <is>
          <t>CDF-000156</t>
        </is>
      </c>
      <c r="B161" s="90" t="n"/>
      <c r="C161" s="91" t="n"/>
      <c r="D161" s="92" t="n"/>
      <c r="E161" s="91" t="n"/>
      <c r="F161" s="91" t="n"/>
      <c r="G161" s="91" t="n"/>
      <c r="H161" s="91" t="n"/>
      <c r="I161" s="91" t="n"/>
      <c r="J161" s="91" t="n"/>
      <c r="K161" s="92" t="n"/>
      <c r="L161" s="91" t="n"/>
      <c r="M161" s="91" t="n"/>
      <c r="N161" s="91" t="n"/>
      <c r="O161" s="93" t="str">
        <f>IF(S161=0,"",SUMIFS('VÍNCULOS_CDF'!$H$6:$H$1005,'VÍNCULOS_CDF'!$O$6:$O$1005,A161,'VÍNCULOS_CDF'!$V$6:$V$1005,1))</f>
        <v/>
      </c>
      <c r="P161" s="95" t="str">
        <f>IF(S161=0,"",COUNTIFS('VÍNCULOS_CDF'!$O$6:$O$1005,A161,'VÍNCULOS_CDF'!$N$6:$N$1005,1))</f>
        <v/>
      </c>
      <c r="Q161" s="94" t="str">
        <f>IF(S161=0,"",IF(OR(B161="",F161=""),"Informações incompletas",IF(U161=1,"Possível duplicidade",IF(V161=0,"Destinador fora do cadastro",IF(AND(J161="Sim",N(P161)=0),"Necessita revisão de vínculos",IF(X161&gt;0,"Necessita revisão de vínculos",IF(J161="Sim","Conferido",IF(I161="Sim","Localizado, aguardando conferência","Cadastrado"))))))))</f>
        <v/>
      </c>
      <c r="R161" s="95" t="str">
        <f>IF(S161=0,"",COUNTIFS('VÍNCULOS_CDF'!$O$6:$O$1005,A161,'VÍNCULOS_CDF'!$AB$6:$AB$1005,1))</f>
        <v/>
      </c>
      <c r="S161" s="96">
        <f>IF(COUNTA(B161:N161)&gt;0,1,0)</f>
        <v>0</v>
      </c>
      <c r="T161" s="96" t="str">
        <f>IF(AND(S161=1,B161&lt;&gt;""),C161&amp;"|"&amp;TRIM(B161),"")</f>
        <v/>
      </c>
      <c r="U161" s="96">
        <f>IF(T161="",0,IF(SUMPRODUCT(--($T$6:$T$505=T161))&gt;1,1,0))</f>
        <v>0</v>
      </c>
      <c r="V161" s="96">
        <f>IF(F161="",0,IF(ISNUMBER(MATCH(F161,cmp_dest,0)),1,0))</f>
        <v>0</v>
      </c>
      <c r="W161" s="96">
        <f>IF(AND(S161=1,B161&lt;&gt;"",F161&lt;&gt;"",J161="Sim",U161=0),1,0)</f>
        <v>0</v>
      </c>
      <c r="X161" s="96">
        <f>IF(S161=0,0,COUNTIFS('VÍNCULOS_CDF'!$O$6:$O$1005,A161,'VÍNCULOS_CDF'!$Y$6:$Y$1005,1))</f>
        <v>0</v>
      </c>
      <c r="Y161" s="96" t="str">
        <f>IF(S161=1,A161&amp;" | CDF "&amp;IF(B161="","(sem número)",B161)&amp;" | "&amp;IF(F161="","(sem destinador)",F161),"")</f>
        <v/>
      </c>
      <c r="Z161" s="96" t="str">
        <f>IF(S161=1,COUNTIF($S$6:S161,1),"")</f>
        <v/>
      </c>
      <c r="AA161" s="96">
        <f>IF(S161=0,0,IF(AND(OR(r_ini="",AND(ISNUMBER(D161),D161&gt;=r_ini)),OR(r_fim="",AND(ISNUMBER(D161),D161&lt;=r_fim)),OR(r_de="",r_de="(Todos)",F161=r_de)),1,0))</f>
        <v>0</v>
      </c>
      <c r="AB161" s="96" t="str">
        <f>IF(AA161=1,IF(F161="",0,COUNTIF($F$6:$F$505,"&lt;"&amp;F161))*1000+156,"")</f>
        <v/>
      </c>
    </row>
    <row r="162">
      <c r="A162" s="89" t="inlineStr">
        <is>
          <t>CDF-000157</t>
        </is>
      </c>
      <c r="B162" s="90" t="n"/>
      <c r="C162" s="91" t="n"/>
      <c r="D162" s="92" t="n"/>
      <c r="E162" s="91" t="n"/>
      <c r="F162" s="91" t="n"/>
      <c r="G162" s="91" t="n"/>
      <c r="H162" s="91" t="n"/>
      <c r="I162" s="91" t="n"/>
      <c r="J162" s="91" t="n"/>
      <c r="K162" s="92" t="n"/>
      <c r="L162" s="91" t="n"/>
      <c r="M162" s="91" t="n"/>
      <c r="N162" s="91" t="n"/>
      <c r="O162" s="93" t="str">
        <f>IF(S162=0,"",SUMIFS('VÍNCULOS_CDF'!$H$6:$H$1005,'VÍNCULOS_CDF'!$O$6:$O$1005,A162,'VÍNCULOS_CDF'!$V$6:$V$1005,1))</f>
        <v/>
      </c>
      <c r="P162" s="95" t="str">
        <f>IF(S162=0,"",COUNTIFS('VÍNCULOS_CDF'!$O$6:$O$1005,A162,'VÍNCULOS_CDF'!$N$6:$N$1005,1))</f>
        <v/>
      </c>
      <c r="Q162" s="94" t="str">
        <f>IF(S162=0,"",IF(OR(B162="",F162=""),"Informações incompletas",IF(U162=1,"Possível duplicidade",IF(V162=0,"Destinador fora do cadastro",IF(AND(J162="Sim",N(P162)=0),"Necessita revisão de vínculos",IF(X162&gt;0,"Necessita revisão de vínculos",IF(J162="Sim","Conferido",IF(I162="Sim","Localizado, aguardando conferência","Cadastrado"))))))))</f>
        <v/>
      </c>
      <c r="R162" s="95" t="str">
        <f>IF(S162=0,"",COUNTIFS('VÍNCULOS_CDF'!$O$6:$O$1005,A162,'VÍNCULOS_CDF'!$AB$6:$AB$1005,1))</f>
        <v/>
      </c>
      <c r="S162" s="96">
        <f>IF(COUNTA(B162:N162)&gt;0,1,0)</f>
        <v>0</v>
      </c>
      <c r="T162" s="96" t="str">
        <f>IF(AND(S162=1,B162&lt;&gt;""),C162&amp;"|"&amp;TRIM(B162),"")</f>
        <v/>
      </c>
      <c r="U162" s="96">
        <f>IF(T162="",0,IF(SUMPRODUCT(--($T$6:$T$505=T162))&gt;1,1,0))</f>
        <v>0</v>
      </c>
      <c r="V162" s="96">
        <f>IF(F162="",0,IF(ISNUMBER(MATCH(F162,cmp_dest,0)),1,0))</f>
        <v>0</v>
      </c>
      <c r="W162" s="96">
        <f>IF(AND(S162=1,B162&lt;&gt;"",F162&lt;&gt;"",J162="Sim",U162=0),1,0)</f>
        <v>0</v>
      </c>
      <c r="X162" s="96">
        <f>IF(S162=0,0,COUNTIFS('VÍNCULOS_CDF'!$O$6:$O$1005,A162,'VÍNCULOS_CDF'!$Y$6:$Y$1005,1))</f>
        <v>0</v>
      </c>
      <c r="Y162" s="96" t="str">
        <f>IF(S162=1,A162&amp;" | CDF "&amp;IF(B162="","(sem número)",B162)&amp;" | "&amp;IF(F162="","(sem destinador)",F162),"")</f>
        <v/>
      </c>
      <c r="Z162" s="96" t="str">
        <f>IF(S162=1,COUNTIF($S$6:S162,1),"")</f>
        <v/>
      </c>
      <c r="AA162" s="96">
        <f>IF(S162=0,0,IF(AND(OR(r_ini="",AND(ISNUMBER(D162),D162&gt;=r_ini)),OR(r_fim="",AND(ISNUMBER(D162),D162&lt;=r_fim)),OR(r_de="",r_de="(Todos)",F162=r_de)),1,0))</f>
        <v>0</v>
      </c>
      <c r="AB162" s="96" t="str">
        <f>IF(AA162=1,IF(F162="",0,COUNTIF($F$6:$F$505,"&lt;"&amp;F162))*1000+157,"")</f>
        <v/>
      </c>
    </row>
    <row r="163">
      <c r="A163" s="89" t="inlineStr">
        <is>
          <t>CDF-000158</t>
        </is>
      </c>
      <c r="B163" s="90" t="n"/>
      <c r="C163" s="91" t="n"/>
      <c r="D163" s="92" t="n"/>
      <c r="E163" s="91" t="n"/>
      <c r="F163" s="91" t="n"/>
      <c r="G163" s="91" t="n"/>
      <c r="H163" s="91" t="n"/>
      <c r="I163" s="91" t="n"/>
      <c r="J163" s="91" t="n"/>
      <c r="K163" s="92" t="n"/>
      <c r="L163" s="91" t="n"/>
      <c r="M163" s="91" t="n"/>
      <c r="N163" s="91" t="n"/>
      <c r="O163" s="93" t="str">
        <f>IF(S163=0,"",SUMIFS('VÍNCULOS_CDF'!$H$6:$H$1005,'VÍNCULOS_CDF'!$O$6:$O$1005,A163,'VÍNCULOS_CDF'!$V$6:$V$1005,1))</f>
        <v/>
      </c>
      <c r="P163" s="95" t="str">
        <f>IF(S163=0,"",COUNTIFS('VÍNCULOS_CDF'!$O$6:$O$1005,A163,'VÍNCULOS_CDF'!$N$6:$N$1005,1))</f>
        <v/>
      </c>
      <c r="Q163" s="94" t="str">
        <f>IF(S163=0,"",IF(OR(B163="",F163=""),"Informações incompletas",IF(U163=1,"Possível duplicidade",IF(V163=0,"Destinador fora do cadastro",IF(AND(J163="Sim",N(P163)=0),"Necessita revisão de vínculos",IF(X163&gt;0,"Necessita revisão de vínculos",IF(J163="Sim","Conferido",IF(I163="Sim","Localizado, aguardando conferência","Cadastrado"))))))))</f>
        <v/>
      </c>
      <c r="R163" s="95" t="str">
        <f>IF(S163=0,"",COUNTIFS('VÍNCULOS_CDF'!$O$6:$O$1005,A163,'VÍNCULOS_CDF'!$AB$6:$AB$1005,1))</f>
        <v/>
      </c>
      <c r="S163" s="96">
        <f>IF(COUNTA(B163:N163)&gt;0,1,0)</f>
        <v>0</v>
      </c>
      <c r="T163" s="96" t="str">
        <f>IF(AND(S163=1,B163&lt;&gt;""),C163&amp;"|"&amp;TRIM(B163),"")</f>
        <v/>
      </c>
      <c r="U163" s="96">
        <f>IF(T163="",0,IF(SUMPRODUCT(--($T$6:$T$505=T163))&gt;1,1,0))</f>
        <v>0</v>
      </c>
      <c r="V163" s="96">
        <f>IF(F163="",0,IF(ISNUMBER(MATCH(F163,cmp_dest,0)),1,0))</f>
        <v>0</v>
      </c>
      <c r="W163" s="96">
        <f>IF(AND(S163=1,B163&lt;&gt;"",F163&lt;&gt;"",J163="Sim",U163=0),1,0)</f>
        <v>0</v>
      </c>
      <c r="X163" s="96">
        <f>IF(S163=0,0,COUNTIFS('VÍNCULOS_CDF'!$O$6:$O$1005,A163,'VÍNCULOS_CDF'!$Y$6:$Y$1005,1))</f>
        <v>0</v>
      </c>
      <c r="Y163" s="96" t="str">
        <f>IF(S163=1,A163&amp;" | CDF "&amp;IF(B163="","(sem número)",B163)&amp;" | "&amp;IF(F163="","(sem destinador)",F163),"")</f>
        <v/>
      </c>
      <c r="Z163" s="96" t="str">
        <f>IF(S163=1,COUNTIF($S$6:S163,1),"")</f>
        <v/>
      </c>
      <c r="AA163" s="96">
        <f>IF(S163=0,0,IF(AND(OR(r_ini="",AND(ISNUMBER(D163),D163&gt;=r_ini)),OR(r_fim="",AND(ISNUMBER(D163),D163&lt;=r_fim)),OR(r_de="",r_de="(Todos)",F163=r_de)),1,0))</f>
        <v>0</v>
      </c>
      <c r="AB163" s="96" t="str">
        <f>IF(AA163=1,IF(F163="",0,COUNTIF($F$6:$F$505,"&lt;"&amp;F163))*1000+158,"")</f>
        <v/>
      </c>
    </row>
    <row r="164">
      <c r="A164" s="89" t="inlineStr">
        <is>
          <t>CDF-000159</t>
        </is>
      </c>
      <c r="B164" s="90" t="n"/>
      <c r="C164" s="91" t="n"/>
      <c r="D164" s="92" t="n"/>
      <c r="E164" s="91" t="n"/>
      <c r="F164" s="91" t="n"/>
      <c r="G164" s="91" t="n"/>
      <c r="H164" s="91" t="n"/>
      <c r="I164" s="91" t="n"/>
      <c r="J164" s="91" t="n"/>
      <c r="K164" s="92" t="n"/>
      <c r="L164" s="91" t="n"/>
      <c r="M164" s="91" t="n"/>
      <c r="N164" s="91" t="n"/>
      <c r="O164" s="93" t="str">
        <f>IF(S164=0,"",SUMIFS('VÍNCULOS_CDF'!$H$6:$H$1005,'VÍNCULOS_CDF'!$O$6:$O$1005,A164,'VÍNCULOS_CDF'!$V$6:$V$1005,1))</f>
        <v/>
      </c>
      <c r="P164" s="95" t="str">
        <f>IF(S164=0,"",COUNTIFS('VÍNCULOS_CDF'!$O$6:$O$1005,A164,'VÍNCULOS_CDF'!$N$6:$N$1005,1))</f>
        <v/>
      </c>
      <c r="Q164" s="94" t="str">
        <f>IF(S164=0,"",IF(OR(B164="",F164=""),"Informações incompletas",IF(U164=1,"Possível duplicidade",IF(V164=0,"Destinador fora do cadastro",IF(AND(J164="Sim",N(P164)=0),"Necessita revisão de vínculos",IF(X164&gt;0,"Necessita revisão de vínculos",IF(J164="Sim","Conferido",IF(I164="Sim","Localizado, aguardando conferência","Cadastrado"))))))))</f>
        <v/>
      </c>
      <c r="R164" s="95" t="str">
        <f>IF(S164=0,"",COUNTIFS('VÍNCULOS_CDF'!$O$6:$O$1005,A164,'VÍNCULOS_CDF'!$AB$6:$AB$1005,1))</f>
        <v/>
      </c>
      <c r="S164" s="96">
        <f>IF(COUNTA(B164:N164)&gt;0,1,0)</f>
        <v>0</v>
      </c>
      <c r="T164" s="96" t="str">
        <f>IF(AND(S164=1,B164&lt;&gt;""),C164&amp;"|"&amp;TRIM(B164),"")</f>
        <v/>
      </c>
      <c r="U164" s="96">
        <f>IF(T164="",0,IF(SUMPRODUCT(--($T$6:$T$505=T164))&gt;1,1,0))</f>
        <v>0</v>
      </c>
      <c r="V164" s="96">
        <f>IF(F164="",0,IF(ISNUMBER(MATCH(F164,cmp_dest,0)),1,0))</f>
        <v>0</v>
      </c>
      <c r="W164" s="96">
        <f>IF(AND(S164=1,B164&lt;&gt;"",F164&lt;&gt;"",J164="Sim",U164=0),1,0)</f>
        <v>0</v>
      </c>
      <c r="X164" s="96">
        <f>IF(S164=0,0,COUNTIFS('VÍNCULOS_CDF'!$O$6:$O$1005,A164,'VÍNCULOS_CDF'!$Y$6:$Y$1005,1))</f>
        <v>0</v>
      </c>
      <c r="Y164" s="96" t="str">
        <f>IF(S164=1,A164&amp;" | CDF "&amp;IF(B164="","(sem número)",B164)&amp;" | "&amp;IF(F164="","(sem destinador)",F164),"")</f>
        <v/>
      </c>
      <c r="Z164" s="96" t="str">
        <f>IF(S164=1,COUNTIF($S$6:S164,1),"")</f>
        <v/>
      </c>
      <c r="AA164" s="96">
        <f>IF(S164=0,0,IF(AND(OR(r_ini="",AND(ISNUMBER(D164),D164&gt;=r_ini)),OR(r_fim="",AND(ISNUMBER(D164),D164&lt;=r_fim)),OR(r_de="",r_de="(Todos)",F164=r_de)),1,0))</f>
        <v>0</v>
      </c>
      <c r="AB164" s="96" t="str">
        <f>IF(AA164=1,IF(F164="",0,COUNTIF($F$6:$F$505,"&lt;"&amp;F164))*1000+159,"")</f>
        <v/>
      </c>
    </row>
    <row r="165">
      <c r="A165" s="89" t="inlineStr">
        <is>
          <t>CDF-000160</t>
        </is>
      </c>
      <c r="B165" s="90" t="n"/>
      <c r="C165" s="91" t="n"/>
      <c r="D165" s="92" t="n"/>
      <c r="E165" s="91" t="n"/>
      <c r="F165" s="91" t="n"/>
      <c r="G165" s="91" t="n"/>
      <c r="H165" s="91" t="n"/>
      <c r="I165" s="91" t="n"/>
      <c r="J165" s="91" t="n"/>
      <c r="K165" s="92" t="n"/>
      <c r="L165" s="91" t="n"/>
      <c r="M165" s="91" t="n"/>
      <c r="N165" s="91" t="n"/>
      <c r="O165" s="93" t="str">
        <f>IF(S165=0,"",SUMIFS('VÍNCULOS_CDF'!$H$6:$H$1005,'VÍNCULOS_CDF'!$O$6:$O$1005,A165,'VÍNCULOS_CDF'!$V$6:$V$1005,1))</f>
        <v/>
      </c>
      <c r="P165" s="95" t="str">
        <f>IF(S165=0,"",COUNTIFS('VÍNCULOS_CDF'!$O$6:$O$1005,A165,'VÍNCULOS_CDF'!$N$6:$N$1005,1))</f>
        <v/>
      </c>
      <c r="Q165" s="94" t="str">
        <f>IF(S165=0,"",IF(OR(B165="",F165=""),"Informações incompletas",IF(U165=1,"Possível duplicidade",IF(V165=0,"Destinador fora do cadastro",IF(AND(J165="Sim",N(P165)=0),"Necessita revisão de vínculos",IF(X165&gt;0,"Necessita revisão de vínculos",IF(J165="Sim","Conferido",IF(I165="Sim","Localizado, aguardando conferência","Cadastrado"))))))))</f>
        <v/>
      </c>
      <c r="R165" s="95" t="str">
        <f>IF(S165=0,"",COUNTIFS('VÍNCULOS_CDF'!$O$6:$O$1005,A165,'VÍNCULOS_CDF'!$AB$6:$AB$1005,1))</f>
        <v/>
      </c>
      <c r="S165" s="96">
        <f>IF(COUNTA(B165:N165)&gt;0,1,0)</f>
        <v>0</v>
      </c>
      <c r="T165" s="96" t="str">
        <f>IF(AND(S165=1,B165&lt;&gt;""),C165&amp;"|"&amp;TRIM(B165),"")</f>
        <v/>
      </c>
      <c r="U165" s="96">
        <f>IF(T165="",0,IF(SUMPRODUCT(--($T$6:$T$505=T165))&gt;1,1,0))</f>
        <v>0</v>
      </c>
      <c r="V165" s="96">
        <f>IF(F165="",0,IF(ISNUMBER(MATCH(F165,cmp_dest,0)),1,0))</f>
        <v>0</v>
      </c>
      <c r="W165" s="96">
        <f>IF(AND(S165=1,B165&lt;&gt;"",F165&lt;&gt;"",J165="Sim",U165=0),1,0)</f>
        <v>0</v>
      </c>
      <c r="X165" s="96">
        <f>IF(S165=0,0,COUNTIFS('VÍNCULOS_CDF'!$O$6:$O$1005,A165,'VÍNCULOS_CDF'!$Y$6:$Y$1005,1))</f>
        <v>0</v>
      </c>
      <c r="Y165" s="96" t="str">
        <f>IF(S165=1,A165&amp;" | CDF "&amp;IF(B165="","(sem número)",B165)&amp;" | "&amp;IF(F165="","(sem destinador)",F165),"")</f>
        <v/>
      </c>
      <c r="Z165" s="96" t="str">
        <f>IF(S165=1,COUNTIF($S$6:S165,1),"")</f>
        <v/>
      </c>
      <c r="AA165" s="96">
        <f>IF(S165=0,0,IF(AND(OR(r_ini="",AND(ISNUMBER(D165),D165&gt;=r_ini)),OR(r_fim="",AND(ISNUMBER(D165),D165&lt;=r_fim)),OR(r_de="",r_de="(Todos)",F165=r_de)),1,0))</f>
        <v>0</v>
      </c>
      <c r="AB165" s="96" t="str">
        <f>IF(AA165=1,IF(F165="",0,COUNTIF($F$6:$F$505,"&lt;"&amp;F165))*1000+160,"")</f>
        <v/>
      </c>
    </row>
    <row r="166">
      <c r="A166" s="89" t="inlineStr">
        <is>
          <t>CDF-000161</t>
        </is>
      </c>
      <c r="B166" s="90" t="n"/>
      <c r="C166" s="91" t="n"/>
      <c r="D166" s="92" t="n"/>
      <c r="E166" s="91" t="n"/>
      <c r="F166" s="91" t="n"/>
      <c r="G166" s="91" t="n"/>
      <c r="H166" s="91" t="n"/>
      <c r="I166" s="91" t="n"/>
      <c r="J166" s="91" t="n"/>
      <c r="K166" s="92" t="n"/>
      <c r="L166" s="91" t="n"/>
      <c r="M166" s="91" t="n"/>
      <c r="N166" s="91" t="n"/>
      <c r="O166" s="93" t="str">
        <f>IF(S166=0,"",SUMIFS('VÍNCULOS_CDF'!$H$6:$H$1005,'VÍNCULOS_CDF'!$O$6:$O$1005,A166,'VÍNCULOS_CDF'!$V$6:$V$1005,1))</f>
        <v/>
      </c>
      <c r="P166" s="95" t="str">
        <f>IF(S166=0,"",COUNTIFS('VÍNCULOS_CDF'!$O$6:$O$1005,A166,'VÍNCULOS_CDF'!$N$6:$N$1005,1))</f>
        <v/>
      </c>
      <c r="Q166" s="94" t="str">
        <f>IF(S166=0,"",IF(OR(B166="",F166=""),"Informações incompletas",IF(U166=1,"Possível duplicidade",IF(V166=0,"Destinador fora do cadastro",IF(AND(J166="Sim",N(P166)=0),"Necessita revisão de vínculos",IF(X166&gt;0,"Necessita revisão de vínculos",IF(J166="Sim","Conferido",IF(I166="Sim","Localizado, aguardando conferência","Cadastrado"))))))))</f>
        <v/>
      </c>
      <c r="R166" s="95" t="str">
        <f>IF(S166=0,"",COUNTIFS('VÍNCULOS_CDF'!$O$6:$O$1005,A166,'VÍNCULOS_CDF'!$AB$6:$AB$1005,1))</f>
        <v/>
      </c>
      <c r="S166" s="96">
        <f>IF(COUNTA(B166:N166)&gt;0,1,0)</f>
        <v>0</v>
      </c>
      <c r="T166" s="96" t="str">
        <f>IF(AND(S166=1,B166&lt;&gt;""),C166&amp;"|"&amp;TRIM(B166),"")</f>
        <v/>
      </c>
      <c r="U166" s="96">
        <f>IF(T166="",0,IF(SUMPRODUCT(--($T$6:$T$505=T166))&gt;1,1,0))</f>
        <v>0</v>
      </c>
      <c r="V166" s="96">
        <f>IF(F166="",0,IF(ISNUMBER(MATCH(F166,cmp_dest,0)),1,0))</f>
        <v>0</v>
      </c>
      <c r="W166" s="96">
        <f>IF(AND(S166=1,B166&lt;&gt;"",F166&lt;&gt;"",J166="Sim",U166=0),1,0)</f>
        <v>0</v>
      </c>
      <c r="X166" s="96">
        <f>IF(S166=0,0,COUNTIFS('VÍNCULOS_CDF'!$O$6:$O$1005,A166,'VÍNCULOS_CDF'!$Y$6:$Y$1005,1))</f>
        <v>0</v>
      </c>
      <c r="Y166" s="96" t="str">
        <f>IF(S166=1,A166&amp;" | CDF "&amp;IF(B166="","(sem número)",B166)&amp;" | "&amp;IF(F166="","(sem destinador)",F166),"")</f>
        <v/>
      </c>
      <c r="Z166" s="96" t="str">
        <f>IF(S166=1,COUNTIF($S$6:S166,1),"")</f>
        <v/>
      </c>
      <c r="AA166" s="96">
        <f>IF(S166=0,0,IF(AND(OR(r_ini="",AND(ISNUMBER(D166),D166&gt;=r_ini)),OR(r_fim="",AND(ISNUMBER(D166),D166&lt;=r_fim)),OR(r_de="",r_de="(Todos)",F166=r_de)),1,0))</f>
        <v>0</v>
      </c>
      <c r="AB166" s="96" t="str">
        <f>IF(AA166=1,IF(F166="",0,COUNTIF($F$6:$F$505,"&lt;"&amp;F166))*1000+161,"")</f>
        <v/>
      </c>
    </row>
    <row r="167">
      <c r="A167" s="89" t="inlineStr">
        <is>
          <t>CDF-000162</t>
        </is>
      </c>
      <c r="B167" s="90" t="n"/>
      <c r="C167" s="91" t="n"/>
      <c r="D167" s="92" t="n"/>
      <c r="E167" s="91" t="n"/>
      <c r="F167" s="91" t="n"/>
      <c r="G167" s="91" t="n"/>
      <c r="H167" s="91" t="n"/>
      <c r="I167" s="91" t="n"/>
      <c r="J167" s="91" t="n"/>
      <c r="K167" s="92" t="n"/>
      <c r="L167" s="91" t="n"/>
      <c r="M167" s="91" t="n"/>
      <c r="N167" s="91" t="n"/>
      <c r="O167" s="93" t="str">
        <f>IF(S167=0,"",SUMIFS('VÍNCULOS_CDF'!$H$6:$H$1005,'VÍNCULOS_CDF'!$O$6:$O$1005,A167,'VÍNCULOS_CDF'!$V$6:$V$1005,1))</f>
        <v/>
      </c>
      <c r="P167" s="95" t="str">
        <f>IF(S167=0,"",COUNTIFS('VÍNCULOS_CDF'!$O$6:$O$1005,A167,'VÍNCULOS_CDF'!$N$6:$N$1005,1))</f>
        <v/>
      </c>
      <c r="Q167" s="94" t="str">
        <f>IF(S167=0,"",IF(OR(B167="",F167=""),"Informações incompletas",IF(U167=1,"Possível duplicidade",IF(V167=0,"Destinador fora do cadastro",IF(AND(J167="Sim",N(P167)=0),"Necessita revisão de vínculos",IF(X167&gt;0,"Necessita revisão de vínculos",IF(J167="Sim","Conferido",IF(I167="Sim","Localizado, aguardando conferência","Cadastrado"))))))))</f>
        <v/>
      </c>
      <c r="R167" s="95" t="str">
        <f>IF(S167=0,"",COUNTIFS('VÍNCULOS_CDF'!$O$6:$O$1005,A167,'VÍNCULOS_CDF'!$AB$6:$AB$1005,1))</f>
        <v/>
      </c>
      <c r="S167" s="96">
        <f>IF(COUNTA(B167:N167)&gt;0,1,0)</f>
        <v>0</v>
      </c>
      <c r="T167" s="96" t="str">
        <f>IF(AND(S167=1,B167&lt;&gt;""),C167&amp;"|"&amp;TRIM(B167),"")</f>
        <v/>
      </c>
      <c r="U167" s="96">
        <f>IF(T167="",0,IF(SUMPRODUCT(--($T$6:$T$505=T167))&gt;1,1,0))</f>
        <v>0</v>
      </c>
      <c r="V167" s="96">
        <f>IF(F167="",0,IF(ISNUMBER(MATCH(F167,cmp_dest,0)),1,0))</f>
        <v>0</v>
      </c>
      <c r="W167" s="96">
        <f>IF(AND(S167=1,B167&lt;&gt;"",F167&lt;&gt;"",J167="Sim",U167=0),1,0)</f>
        <v>0</v>
      </c>
      <c r="X167" s="96">
        <f>IF(S167=0,0,COUNTIFS('VÍNCULOS_CDF'!$O$6:$O$1005,A167,'VÍNCULOS_CDF'!$Y$6:$Y$1005,1))</f>
        <v>0</v>
      </c>
      <c r="Y167" s="96" t="str">
        <f>IF(S167=1,A167&amp;" | CDF "&amp;IF(B167="","(sem número)",B167)&amp;" | "&amp;IF(F167="","(sem destinador)",F167),"")</f>
        <v/>
      </c>
      <c r="Z167" s="96" t="str">
        <f>IF(S167=1,COUNTIF($S$6:S167,1),"")</f>
        <v/>
      </c>
      <c r="AA167" s="96">
        <f>IF(S167=0,0,IF(AND(OR(r_ini="",AND(ISNUMBER(D167),D167&gt;=r_ini)),OR(r_fim="",AND(ISNUMBER(D167),D167&lt;=r_fim)),OR(r_de="",r_de="(Todos)",F167=r_de)),1,0))</f>
        <v>0</v>
      </c>
      <c r="AB167" s="96" t="str">
        <f>IF(AA167=1,IF(F167="",0,COUNTIF($F$6:$F$505,"&lt;"&amp;F167))*1000+162,"")</f>
        <v/>
      </c>
    </row>
    <row r="168">
      <c r="A168" s="89" t="inlineStr">
        <is>
          <t>CDF-000163</t>
        </is>
      </c>
      <c r="B168" s="90" t="n"/>
      <c r="C168" s="91" t="n"/>
      <c r="D168" s="92" t="n"/>
      <c r="E168" s="91" t="n"/>
      <c r="F168" s="91" t="n"/>
      <c r="G168" s="91" t="n"/>
      <c r="H168" s="91" t="n"/>
      <c r="I168" s="91" t="n"/>
      <c r="J168" s="91" t="n"/>
      <c r="K168" s="92" t="n"/>
      <c r="L168" s="91" t="n"/>
      <c r="M168" s="91" t="n"/>
      <c r="N168" s="91" t="n"/>
      <c r="O168" s="93" t="str">
        <f>IF(S168=0,"",SUMIFS('VÍNCULOS_CDF'!$H$6:$H$1005,'VÍNCULOS_CDF'!$O$6:$O$1005,A168,'VÍNCULOS_CDF'!$V$6:$V$1005,1))</f>
        <v/>
      </c>
      <c r="P168" s="95" t="str">
        <f>IF(S168=0,"",COUNTIFS('VÍNCULOS_CDF'!$O$6:$O$1005,A168,'VÍNCULOS_CDF'!$N$6:$N$1005,1))</f>
        <v/>
      </c>
      <c r="Q168" s="94" t="str">
        <f>IF(S168=0,"",IF(OR(B168="",F168=""),"Informações incompletas",IF(U168=1,"Possível duplicidade",IF(V168=0,"Destinador fora do cadastro",IF(AND(J168="Sim",N(P168)=0),"Necessita revisão de vínculos",IF(X168&gt;0,"Necessita revisão de vínculos",IF(J168="Sim","Conferido",IF(I168="Sim","Localizado, aguardando conferência","Cadastrado"))))))))</f>
        <v/>
      </c>
      <c r="R168" s="95" t="str">
        <f>IF(S168=0,"",COUNTIFS('VÍNCULOS_CDF'!$O$6:$O$1005,A168,'VÍNCULOS_CDF'!$AB$6:$AB$1005,1))</f>
        <v/>
      </c>
      <c r="S168" s="96">
        <f>IF(COUNTA(B168:N168)&gt;0,1,0)</f>
        <v>0</v>
      </c>
      <c r="T168" s="96" t="str">
        <f>IF(AND(S168=1,B168&lt;&gt;""),C168&amp;"|"&amp;TRIM(B168),"")</f>
        <v/>
      </c>
      <c r="U168" s="96">
        <f>IF(T168="",0,IF(SUMPRODUCT(--($T$6:$T$505=T168))&gt;1,1,0))</f>
        <v>0</v>
      </c>
      <c r="V168" s="96">
        <f>IF(F168="",0,IF(ISNUMBER(MATCH(F168,cmp_dest,0)),1,0))</f>
        <v>0</v>
      </c>
      <c r="W168" s="96">
        <f>IF(AND(S168=1,B168&lt;&gt;"",F168&lt;&gt;"",J168="Sim",U168=0),1,0)</f>
        <v>0</v>
      </c>
      <c r="X168" s="96">
        <f>IF(S168=0,0,COUNTIFS('VÍNCULOS_CDF'!$O$6:$O$1005,A168,'VÍNCULOS_CDF'!$Y$6:$Y$1005,1))</f>
        <v>0</v>
      </c>
      <c r="Y168" s="96" t="str">
        <f>IF(S168=1,A168&amp;" | CDF "&amp;IF(B168="","(sem número)",B168)&amp;" | "&amp;IF(F168="","(sem destinador)",F168),"")</f>
        <v/>
      </c>
      <c r="Z168" s="96" t="str">
        <f>IF(S168=1,COUNTIF($S$6:S168,1),"")</f>
        <v/>
      </c>
      <c r="AA168" s="96">
        <f>IF(S168=0,0,IF(AND(OR(r_ini="",AND(ISNUMBER(D168),D168&gt;=r_ini)),OR(r_fim="",AND(ISNUMBER(D168),D168&lt;=r_fim)),OR(r_de="",r_de="(Todos)",F168=r_de)),1,0))</f>
        <v>0</v>
      </c>
      <c r="AB168" s="96" t="str">
        <f>IF(AA168=1,IF(F168="",0,COUNTIF($F$6:$F$505,"&lt;"&amp;F168))*1000+163,"")</f>
        <v/>
      </c>
    </row>
    <row r="169">
      <c r="A169" s="89" t="inlineStr">
        <is>
          <t>CDF-000164</t>
        </is>
      </c>
      <c r="B169" s="90" t="n"/>
      <c r="C169" s="91" t="n"/>
      <c r="D169" s="92" t="n"/>
      <c r="E169" s="91" t="n"/>
      <c r="F169" s="91" t="n"/>
      <c r="G169" s="91" t="n"/>
      <c r="H169" s="91" t="n"/>
      <c r="I169" s="91" t="n"/>
      <c r="J169" s="91" t="n"/>
      <c r="K169" s="92" t="n"/>
      <c r="L169" s="91" t="n"/>
      <c r="M169" s="91" t="n"/>
      <c r="N169" s="91" t="n"/>
      <c r="O169" s="93" t="str">
        <f>IF(S169=0,"",SUMIFS('VÍNCULOS_CDF'!$H$6:$H$1005,'VÍNCULOS_CDF'!$O$6:$O$1005,A169,'VÍNCULOS_CDF'!$V$6:$V$1005,1))</f>
        <v/>
      </c>
      <c r="P169" s="95" t="str">
        <f>IF(S169=0,"",COUNTIFS('VÍNCULOS_CDF'!$O$6:$O$1005,A169,'VÍNCULOS_CDF'!$N$6:$N$1005,1))</f>
        <v/>
      </c>
      <c r="Q169" s="94" t="str">
        <f>IF(S169=0,"",IF(OR(B169="",F169=""),"Informações incompletas",IF(U169=1,"Possível duplicidade",IF(V169=0,"Destinador fora do cadastro",IF(AND(J169="Sim",N(P169)=0),"Necessita revisão de vínculos",IF(X169&gt;0,"Necessita revisão de vínculos",IF(J169="Sim","Conferido",IF(I169="Sim","Localizado, aguardando conferência","Cadastrado"))))))))</f>
        <v/>
      </c>
      <c r="R169" s="95" t="str">
        <f>IF(S169=0,"",COUNTIFS('VÍNCULOS_CDF'!$O$6:$O$1005,A169,'VÍNCULOS_CDF'!$AB$6:$AB$1005,1))</f>
        <v/>
      </c>
      <c r="S169" s="96">
        <f>IF(COUNTA(B169:N169)&gt;0,1,0)</f>
        <v>0</v>
      </c>
      <c r="T169" s="96" t="str">
        <f>IF(AND(S169=1,B169&lt;&gt;""),C169&amp;"|"&amp;TRIM(B169),"")</f>
        <v/>
      </c>
      <c r="U169" s="96">
        <f>IF(T169="",0,IF(SUMPRODUCT(--($T$6:$T$505=T169))&gt;1,1,0))</f>
        <v>0</v>
      </c>
      <c r="V169" s="96">
        <f>IF(F169="",0,IF(ISNUMBER(MATCH(F169,cmp_dest,0)),1,0))</f>
        <v>0</v>
      </c>
      <c r="W169" s="96">
        <f>IF(AND(S169=1,B169&lt;&gt;"",F169&lt;&gt;"",J169="Sim",U169=0),1,0)</f>
        <v>0</v>
      </c>
      <c r="X169" s="96">
        <f>IF(S169=0,0,COUNTIFS('VÍNCULOS_CDF'!$O$6:$O$1005,A169,'VÍNCULOS_CDF'!$Y$6:$Y$1005,1))</f>
        <v>0</v>
      </c>
      <c r="Y169" s="96" t="str">
        <f>IF(S169=1,A169&amp;" | CDF "&amp;IF(B169="","(sem número)",B169)&amp;" | "&amp;IF(F169="","(sem destinador)",F169),"")</f>
        <v/>
      </c>
      <c r="Z169" s="96" t="str">
        <f>IF(S169=1,COUNTIF($S$6:S169,1),"")</f>
        <v/>
      </c>
      <c r="AA169" s="96">
        <f>IF(S169=0,0,IF(AND(OR(r_ini="",AND(ISNUMBER(D169),D169&gt;=r_ini)),OR(r_fim="",AND(ISNUMBER(D169),D169&lt;=r_fim)),OR(r_de="",r_de="(Todos)",F169=r_de)),1,0))</f>
        <v>0</v>
      </c>
      <c r="AB169" s="96" t="str">
        <f>IF(AA169=1,IF(F169="",0,COUNTIF($F$6:$F$505,"&lt;"&amp;F169))*1000+164,"")</f>
        <v/>
      </c>
    </row>
    <row r="170">
      <c r="A170" s="89" t="inlineStr">
        <is>
          <t>CDF-000165</t>
        </is>
      </c>
      <c r="B170" s="90" t="n"/>
      <c r="C170" s="91" t="n"/>
      <c r="D170" s="92" t="n"/>
      <c r="E170" s="91" t="n"/>
      <c r="F170" s="91" t="n"/>
      <c r="G170" s="91" t="n"/>
      <c r="H170" s="91" t="n"/>
      <c r="I170" s="91" t="n"/>
      <c r="J170" s="91" t="n"/>
      <c r="K170" s="92" t="n"/>
      <c r="L170" s="91" t="n"/>
      <c r="M170" s="91" t="n"/>
      <c r="N170" s="91" t="n"/>
      <c r="O170" s="93" t="str">
        <f>IF(S170=0,"",SUMIFS('VÍNCULOS_CDF'!$H$6:$H$1005,'VÍNCULOS_CDF'!$O$6:$O$1005,A170,'VÍNCULOS_CDF'!$V$6:$V$1005,1))</f>
        <v/>
      </c>
      <c r="P170" s="95" t="str">
        <f>IF(S170=0,"",COUNTIFS('VÍNCULOS_CDF'!$O$6:$O$1005,A170,'VÍNCULOS_CDF'!$N$6:$N$1005,1))</f>
        <v/>
      </c>
      <c r="Q170" s="94" t="str">
        <f>IF(S170=0,"",IF(OR(B170="",F170=""),"Informações incompletas",IF(U170=1,"Possível duplicidade",IF(V170=0,"Destinador fora do cadastro",IF(AND(J170="Sim",N(P170)=0),"Necessita revisão de vínculos",IF(X170&gt;0,"Necessita revisão de vínculos",IF(J170="Sim","Conferido",IF(I170="Sim","Localizado, aguardando conferência","Cadastrado"))))))))</f>
        <v/>
      </c>
      <c r="R170" s="95" t="str">
        <f>IF(S170=0,"",COUNTIFS('VÍNCULOS_CDF'!$O$6:$O$1005,A170,'VÍNCULOS_CDF'!$AB$6:$AB$1005,1))</f>
        <v/>
      </c>
      <c r="S170" s="96">
        <f>IF(COUNTA(B170:N170)&gt;0,1,0)</f>
        <v>0</v>
      </c>
      <c r="T170" s="96" t="str">
        <f>IF(AND(S170=1,B170&lt;&gt;""),C170&amp;"|"&amp;TRIM(B170),"")</f>
        <v/>
      </c>
      <c r="U170" s="96">
        <f>IF(T170="",0,IF(SUMPRODUCT(--($T$6:$T$505=T170))&gt;1,1,0))</f>
        <v>0</v>
      </c>
      <c r="V170" s="96">
        <f>IF(F170="",0,IF(ISNUMBER(MATCH(F170,cmp_dest,0)),1,0))</f>
        <v>0</v>
      </c>
      <c r="W170" s="96">
        <f>IF(AND(S170=1,B170&lt;&gt;"",F170&lt;&gt;"",J170="Sim",U170=0),1,0)</f>
        <v>0</v>
      </c>
      <c r="X170" s="96">
        <f>IF(S170=0,0,COUNTIFS('VÍNCULOS_CDF'!$O$6:$O$1005,A170,'VÍNCULOS_CDF'!$Y$6:$Y$1005,1))</f>
        <v>0</v>
      </c>
      <c r="Y170" s="96" t="str">
        <f>IF(S170=1,A170&amp;" | CDF "&amp;IF(B170="","(sem número)",B170)&amp;" | "&amp;IF(F170="","(sem destinador)",F170),"")</f>
        <v/>
      </c>
      <c r="Z170" s="96" t="str">
        <f>IF(S170=1,COUNTIF($S$6:S170,1),"")</f>
        <v/>
      </c>
      <c r="AA170" s="96">
        <f>IF(S170=0,0,IF(AND(OR(r_ini="",AND(ISNUMBER(D170),D170&gt;=r_ini)),OR(r_fim="",AND(ISNUMBER(D170),D170&lt;=r_fim)),OR(r_de="",r_de="(Todos)",F170=r_de)),1,0))</f>
        <v>0</v>
      </c>
      <c r="AB170" s="96" t="str">
        <f>IF(AA170=1,IF(F170="",0,COUNTIF($F$6:$F$505,"&lt;"&amp;F170))*1000+165,"")</f>
        <v/>
      </c>
    </row>
    <row r="171">
      <c r="A171" s="89" t="inlineStr">
        <is>
          <t>CDF-000166</t>
        </is>
      </c>
      <c r="B171" s="90" t="n"/>
      <c r="C171" s="91" t="n"/>
      <c r="D171" s="92" t="n"/>
      <c r="E171" s="91" t="n"/>
      <c r="F171" s="91" t="n"/>
      <c r="G171" s="91" t="n"/>
      <c r="H171" s="91" t="n"/>
      <c r="I171" s="91" t="n"/>
      <c r="J171" s="91" t="n"/>
      <c r="K171" s="92" t="n"/>
      <c r="L171" s="91" t="n"/>
      <c r="M171" s="91" t="n"/>
      <c r="N171" s="91" t="n"/>
      <c r="O171" s="93" t="str">
        <f>IF(S171=0,"",SUMIFS('VÍNCULOS_CDF'!$H$6:$H$1005,'VÍNCULOS_CDF'!$O$6:$O$1005,A171,'VÍNCULOS_CDF'!$V$6:$V$1005,1))</f>
        <v/>
      </c>
      <c r="P171" s="95" t="str">
        <f>IF(S171=0,"",COUNTIFS('VÍNCULOS_CDF'!$O$6:$O$1005,A171,'VÍNCULOS_CDF'!$N$6:$N$1005,1))</f>
        <v/>
      </c>
      <c r="Q171" s="94" t="str">
        <f>IF(S171=0,"",IF(OR(B171="",F171=""),"Informações incompletas",IF(U171=1,"Possível duplicidade",IF(V171=0,"Destinador fora do cadastro",IF(AND(J171="Sim",N(P171)=0),"Necessita revisão de vínculos",IF(X171&gt;0,"Necessita revisão de vínculos",IF(J171="Sim","Conferido",IF(I171="Sim","Localizado, aguardando conferência","Cadastrado"))))))))</f>
        <v/>
      </c>
      <c r="R171" s="95" t="str">
        <f>IF(S171=0,"",COUNTIFS('VÍNCULOS_CDF'!$O$6:$O$1005,A171,'VÍNCULOS_CDF'!$AB$6:$AB$1005,1))</f>
        <v/>
      </c>
      <c r="S171" s="96">
        <f>IF(COUNTA(B171:N171)&gt;0,1,0)</f>
        <v>0</v>
      </c>
      <c r="T171" s="96" t="str">
        <f>IF(AND(S171=1,B171&lt;&gt;""),C171&amp;"|"&amp;TRIM(B171),"")</f>
        <v/>
      </c>
      <c r="U171" s="96">
        <f>IF(T171="",0,IF(SUMPRODUCT(--($T$6:$T$505=T171))&gt;1,1,0))</f>
        <v>0</v>
      </c>
      <c r="V171" s="96">
        <f>IF(F171="",0,IF(ISNUMBER(MATCH(F171,cmp_dest,0)),1,0))</f>
        <v>0</v>
      </c>
      <c r="W171" s="96">
        <f>IF(AND(S171=1,B171&lt;&gt;"",F171&lt;&gt;"",J171="Sim",U171=0),1,0)</f>
        <v>0</v>
      </c>
      <c r="X171" s="96">
        <f>IF(S171=0,0,COUNTIFS('VÍNCULOS_CDF'!$O$6:$O$1005,A171,'VÍNCULOS_CDF'!$Y$6:$Y$1005,1))</f>
        <v>0</v>
      </c>
      <c r="Y171" s="96" t="str">
        <f>IF(S171=1,A171&amp;" | CDF "&amp;IF(B171="","(sem número)",B171)&amp;" | "&amp;IF(F171="","(sem destinador)",F171),"")</f>
        <v/>
      </c>
      <c r="Z171" s="96" t="str">
        <f>IF(S171=1,COUNTIF($S$6:S171,1),"")</f>
        <v/>
      </c>
      <c r="AA171" s="96">
        <f>IF(S171=0,0,IF(AND(OR(r_ini="",AND(ISNUMBER(D171),D171&gt;=r_ini)),OR(r_fim="",AND(ISNUMBER(D171),D171&lt;=r_fim)),OR(r_de="",r_de="(Todos)",F171=r_de)),1,0))</f>
        <v>0</v>
      </c>
      <c r="AB171" s="96" t="str">
        <f>IF(AA171=1,IF(F171="",0,COUNTIF($F$6:$F$505,"&lt;"&amp;F171))*1000+166,"")</f>
        <v/>
      </c>
    </row>
    <row r="172">
      <c r="A172" s="89" t="inlineStr">
        <is>
          <t>CDF-000167</t>
        </is>
      </c>
      <c r="B172" s="90" t="n"/>
      <c r="C172" s="91" t="n"/>
      <c r="D172" s="92" t="n"/>
      <c r="E172" s="91" t="n"/>
      <c r="F172" s="91" t="n"/>
      <c r="G172" s="91" t="n"/>
      <c r="H172" s="91" t="n"/>
      <c r="I172" s="91" t="n"/>
      <c r="J172" s="91" t="n"/>
      <c r="K172" s="92" t="n"/>
      <c r="L172" s="91" t="n"/>
      <c r="M172" s="91" t="n"/>
      <c r="N172" s="91" t="n"/>
      <c r="O172" s="93" t="str">
        <f>IF(S172=0,"",SUMIFS('VÍNCULOS_CDF'!$H$6:$H$1005,'VÍNCULOS_CDF'!$O$6:$O$1005,A172,'VÍNCULOS_CDF'!$V$6:$V$1005,1))</f>
        <v/>
      </c>
      <c r="P172" s="95" t="str">
        <f>IF(S172=0,"",COUNTIFS('VÍNCULOS_CDF'!$O$6:$O$1005,A172,'VÍNCULOS_CDF'!$N$6:$N$1005,1))</f>
        <v/>
      </c>
      <c r="Q172" s="94" t="str">
        <f>IF(S172=0,"",IF(OR(B172="",F172=""),"Informações incompletas",IF(U172=1,"Possível duplicidade",IF(V172=0,"Destinador fora do cadastro",IF(AND(J172="Sim",N(P172)=0),"Necessita revisão de vínculos",IF(X172&gt;0,"Necessita revisão de vínculos",IF(J172="Sim","Conferido",IF(I172="Sim","Localizado, aguardando conferência","Cadastrado"))))))))</f>
        <v/>
      </c>
      <c r="R172" s="95" t="str">
        <f>IF(S172=0,"",COUNTIFS('VÍNCULOS_CDF'!$O$6:$O$1005,A172,'VÍNCULOS_CDF'!$AB$6:$AB$1005,1))</f>
        <v/>
      </c>
      <c r="S172" s="96">
        <f>IF(COUNTA(B172:N172)&gt;0,1,0)</f>
        <v>0</v>
      </c>
      <c r="T172" s="96" t="str">
        <f>IF(AND(S172=1,B172&lt;&gt;""),C172&amp;"|"&amp;TRIM(B172),"")</f>
        <v/>
      </c>
      <c r="U172" s="96">
        <f>IF(T172="",0,IF(SUMPRODUCT(--($T$6:$T$505=T172))&gt;1,1,0))</f>
        <v>0</v>
      </c>
      <c r="V172" s="96">
        <f>IF(F172="",0,IF(ISNUMBER(MATCH(F172,cmp_dest,0)),1,0))</f>
        <v>0</v>
      </c>
      <c r="W172" s="96">
        <f>IF(AND(S172=1,B172&lt;&gt;"",F172&lt;&gt;"",J172="Sim",U172=0),1,0)</f>
        <v>0</v>
      </c>
      <c r="X172" s="96">
        <f>IF(S172=0,0,COUNTIFS('VÍNCULOS_CDF'!$O$6:$O$1005,A172,'VÍNCULOS_CDF'!$Y$6:$Y$1005,1))</f>
        <v>0</v>
      </c>
      <c r="Y172" s="96" t="str">
        <f>IF(S172=1,A172&amp;" | CDF "&amp;IF(B172="","(sem número)",B172)&amp;" | "&amp;IF(F172="","(sem destinador)",F172),"")</f>
        <v/>
      </c>
      <c r="Z172" s="96" t="str">
        <f>IF(S172=1,COUNTIF($S$6:S172,1),"")</f>
        <v/>
      </c>
      <c r="AA172" s="96">
        <f>IF(S172=0,0,IF(AND(OR(r_ini="",AND(ISNUMBER(D172),D172&gt;=r_ini)),OR(r_fim="",AND(ISNUMBER(D172),D172&lt;=r_fim)),OR(r_de="",r_de="(Todos)",F172=r_de)),1,0))</f>
        <v>0</v>
      </c>
      <c r="AB172" s="96" t="str">
        <f>IF(AA172=1,IF(F172="",0,COUNTIF($F$6:$F$505,"&lt;"&amp;F172))*1000+167,"")</f>
        <v/>
      </c>
    </row>
    <row r="173">
      <c r="A173" s="89" t="inlineStr">
        <is>
          <t>CDF-000168</t>
        </is>
      </c>
      <c r="B173" s="90" t="n"/>
      <c r="C173" s="91" t="n"/>
      <c r="D173" s="92" t="n"/>
      <c r="E173" s="91" t="n"/>
      <c r="F173" s="91" t="n"/>
      <c r="G173" s="91" t="n"/>
      <c r="H173" s="91" t="n"/>
      <c r="I173" s="91" t="n"/>
      <c r="J173" s="91" t="n"/>
      <c r="K173" s="92" t="n"/>
      <c r="L173" s="91" t="n"/>
      <c r="M173" s="91" t="n"/>
      <c r="N173" s="91" t="n"/>
      <c r="O173" s="93" t="str">
        <f>IF(S173=0,"",SUMIFS('VÍNCULOS_CDF'!$H$6:$H$1005,'VÍNCULOS_CDF'!$O$6:$O$1005,A173,'VÍNCULOS_CDF'!$V$6:$V$1005,1))</f>
        <v/>
      </c>
      <c r="P173" s="95" t="str">
        <f>IF(S173=0,"",COUNTIFS('VÍNCULOS_CDF'!$O$6:$O$1005,A173,'VÍNCULOS_CDF'!$N$6:$N$1005,1))</f>
        <v/>
      </c>
      <c r="Q173" s="94" t="str">
        <f>IF(S173=0,"",IF(OR(B173="",F173=""),"Informações incompletas",IF(U173=1,"Possível duplicidade",IF(V173=0,"Destinador fora do cadastro",IF(AND(J173="Sim",N(P173)=0),"Necessita revisão de vínculos",IF(X173&gt;0,"Necessita revisão de vínculos",IF(J173="Sim","Conferido",IF(I173="Sim","Localizado, aguardando conferência","Cadastrado"))))))))</f>
        <v/>
      </c>
      <c r="R173" s="95" t="str">
        <f>IF(S173=0,"",COUNTIFS('VÍNCULOS_CDF'!$O$6:$O$1005,A173,'VÍNCULOS_CDF'!$AB$6:$AB$1005,1))</f>
        <v/>
      </c>
      <c r="S173" s="96">
        <f>IF(COUNTA(B173:N173)&gt;0,1,0)</f>
        <v>0</v>
      </c>
      <c r="T173" s="96" t="str">
        <f>IF(AND(S173=1,B173&lt;&gt;""),C173&amp;"|"&amp;TRIM(B173),"")</f>
        <v/>
      </c>
      <c r="U173" s="96">
        <f>IF(T173="",0,IF(SUMPRODUCT(--($T$6:$T$505=T173))&gt;1,1,0))</f>
        <v>0</v>
      </c>
      <c r="V173" s="96">
        <f>IF(F173="",0,IF(ISNUMBER(MATCH(F173,cmp_dest,0)),1,0))</f>
        <v>0</v>
      </c>
      <c r="W173" s="96">
        <f>IF(AND(S173=1,B173&lt;&gt;"",F173&lt;&gt;"",J173="Sim",U173=0),1,0)</f>
        <v>0</v>
      </c>
      <c r="X173" s="96">
        <f>IF(S173=0,0,COUNTIFS('VÍNCULOS_CDF'!$O$6:$O$1005,A173,'VÍNCULOS_CDF'!$Y$6:$Y$1005,1))</f>
        <v>0</v>
      </c>
      <c r="Y173" s="96" t="str">
        <f>IF(S173=1,A173&amp;" | CDF "&amp;IF(B173="","(sem número)",B173)&amp;" | "&amp;IF(F173="","(sem destinador)",F173),"")</f>
        <v/>
      </c>
      <c r="Z173" s="96" t="str">
        <f>IF(S173=1,COUNTIF($S$6:S173,1),"")</f>
        <v/>
      </c>
      <c r="AA173" s="96">
        <f>IF(S173=0,0,IF(AND(OR(r_ini="",AND(ISNUMBER(D173),D173&gt;=r_ini)),OR(r_fim="",AND(ISNUMBER(D173),D173&lt;=r_fim)),OR(r_de="",r_de="(Todos)",F173=r_de)),1,0))</f>
        <v>0</v>
      </c>
      <c r="AB173" s="96" t="str">
        <f>IF(AA173=1,IF(F173="",0,COUNTIF($F$6:$F$505,"&lt;"&amp;F173))*1000+168,"")</f>
        <v/>
      </c>
    </row>
    <row r="174">
      <c r="A174" s="89" t="inlineStr">
        <is>
          <t>CDF-000169</t>
        </is>
      </c>
      <c r="B174" s="90" t="n"/>
      <c r="C174" s="91" t="n"/>
      <c r="D174" s="92" t="n"/>
      <c r="E174" s="91" t="n"/>
      <c r="F174" s="91" t="n"/>
      <c r="G174" s="91" t="n"/>
      <c r="H174" s="91" t="n"/>
      <c r="I174" s="91" t="n"/>
      <c r="J174" s="91" t="n"/>
      <c r="K174" s="92" t="n"/>
      <c r="L174" s="91" t="n"/>
      <c r="M174" s="91" t="n"/>
      <c r="N174" s="91" t="n"/>
      <c r="O174" s="93" t="str">
        <f>IF(S174=0,"",SUMIFS('VÍNCULOS_CDF'!$H$6:$H$1005,'VÍNCULOS_CDF'!$O$6:$O$1005,A174,'VÍNCULOS_CDF'!$V$6:$V$1005,1))</f>
        <v/>
      </c>
      <c r="P174" s="95" t="str">
        <f>IF(S174=0,"",COUNTIFS('VÍNCULOS_CDF'!$O$6:$O$1005,A174,'VÍNCULOS_CDF'!$N$6:$N$1005,1))</f>
        <v/>
      </c>
      <c r="Q174" s="94" t="str">
        <f>IF(S174=0,"",IF(OR(B174="",F174=""),"Informações incompletas",IF(U174=1,"Possível duplicidade",IF(V174=0,"Destinador fora do cadastro",IF(AND(J174="Sim",N(P174)=0),"Necessita revisão de vínculos",IF(X174&gt;0,"Necessita revisão de vínculos",IF(J174="Sim","Conferido",IF(I174="Sim","Localizado, aguardando conferência","Cadastrado"))))))))</f>
        <v/>
      </c>
      <c r="R174" s="95" t="str">
        <f>IF(S174=0,"",COUNTIFS('VÍNCULOS_CDF'!$O$6:$O$1005,A174,'VÍNCULOS_CDF'!$AB$6:$AB$1005,1))</f>
        <v/>
      </c>
      <c r="S174" s="96">
        <f>IF(COUNTA(B174:N174)&gt;0,1,0)</f>
        <v>0</v>
      </c>
      <c r="T174" s="96" t="str">
        <f>IF(AND(S174=1,B174&lt;&gt;""),C174&amp;"|"&amp;TRIM(B174),"")</f>
        <v/>
      </c>
      <c r="U174" s="96">
        <f>IF(T174="",0,IF(SUMPRODUCT(--($T$6:$T$505=T174))&gt;1,1,0))</f>
        <v>0</v>
      </c>
      <c r="V174" s="96">
        <f>IF(F174="",0,IF(ISNUMBER(MATCH(F174,cmp_dest,0)),1,0))</f>
        <v>0</v>
      </c>
      <c r="W174" s="96">
        <f>IF(AND(S174=1,B174&lt;&gt;"",F174&lt;&gt;"",J174="Sim",U174=0),1,0)</f>
        <v>0</v>
      </c>
      <c r="X174" s="96">
        <f>IF(S174=0,0,COUNTIFS('VÍNCULOS_CDF'!$O$6:$O$1005,A174,'VÍNCULOS_CDF'!$Y$6:$Y$1005,1))</f>
        <v>0</v>
      </c>
      <c r="Y174" s="96" t="str">
        <f>IF(S174=1,A174&amp;" | CDF "&amp;IF(B174="","(sem número)",B174)&amp;" | "&amp;IF(F174="","(sem destinador)",F174),"")</f>
        <v/>
      </c>
      <c r="Z174" s="96" t="str">
        <f>IF(S174=1,COUNTIF($S$6:S174,1),"")</f>
        <v/>
      </c>
      <c r="AA174" s="96">
        <f>IF(S174=0,0,IF(AND(OR(r_ini="",AND(ISNUMBER(D174),D174&gt;=r_ini)),OR(r_fim="",AND(ISNUMBER(D174),D174&lt;=r_fim)),OR(r_de="",r_de="(Todos)",F174=r_de)),1,0))</f>
        <v>0</v>
      </c>
      <c r="AB174" s="96" t="str">
        <f>IF(AA174=1,IF(F174="",0,COUNTIF($F$6:$F$505,"&lt;"&amp;F174))*1000+169,"")</f>
        <v/>
      </c>
    </row>
    <row r="175">
      <c r="A175" s="89" t="inlineStr">
        <is>
          <t>CDF-000170</t>
        </is>
      </c>
      <c r="B175" s="90" t="n"/>
      <c r="C175" s="91" t="n"/>
      <c r="D175" s="92" t="n"/>
      <c r="E175" s="91" t="n"/>
      <c r="F175" s="91" t="n"/>
      <c r="G175" s="91" t="n"/>
      <c r="H175" s="91" t="n"/>
      <c r="I175" s="91" t="n"/>
      <c r="J175" s="91" t="n"/>
      <c r="K175" s="92" t="n"/>
      <c r="L175" s="91" t="n"/>
      <c r="M175" s="91" t="n"/>
      <c r="N175" s="91" t="n"/>
      <c r="O175" s="93" t="str">
        <f>IF(S175=0,"",SUMIFS('VÍNCULOS_CDF'!$H$6:$H$1005,'VÍNCULOS_CDF'!$O$6:$O$1005,A175,'VÍNCULOS_CDF'!$V$6:$V$1005,1))</f>
        <v/>
      </c>
      <c r="P175" s="95" t="str">
        <f>IF(S175=0,"",COUNTIFS('VÍNCULOS_CDF'!$O$6:$O$1005,A175,'VÍNCULOS_CDF'!$N$6:$N$1005,1))</f>
        <v/>
      </c>
      <c r="Q175" s="94" t="str">
        <f>IF(S175=0,"",IF(OR(B175="",F175=""),"Informações incompletas",IF(U175=1,"Possível duplicidade",IF(V175=0,"Destinador fora do cadastro",IF(AND(J175="Sim",N(P175)=0),"Necessita revisão de vínculos",IF(X175&gt;0,"Necessita revisão de vínculos",IF(J175="Sim","Conferido",IF(I175="Sim","Localizado, aguardando conferência","Cadastrado"))))))))</f>
        <v/>
      </c>
      <c r="R175" s="95" t="str">
        <f>IF(S175=0,"",COUNTIFS('VÍNCULOS_CDF'!$O$6:$O$1005,A175,'VÍNCULOS_CDF'!$AB$6:$AB$1005,1))</f>
        <v/>
      </c>
      <c r="S175" s="96">
        <f>IF(COUNTA(B175:N175)&gt;0,1,0)</f>
        <v>0</v>
      </c>
      <c r="T175" s="96" t="str">
        <f>IF(AND(S175=1,B175&lt;&gt;""),C175&amp;"|"&amp;TRIM(B175),"")</f>
        <v/>
      </c>
      <c r="U175" s="96">
        <f>IF(T175="",0,IF(SUMPRODUCT(--($T$6:$T$505=T175))&gt;1,1,0))</f>
        <v>0</v>
      </c>
      <c r="V175" s="96">
        <f>IF(F175="",0,IF(ISNUMBER(MATCH(F175,cmp_dest,0)),1,0))</f>
        <v>0</v>
      </c>
      <c r="W175" s="96">
        <f>IF(AND(S175=1,B175&lt;&gt;"",F175&lt;&gt;"",J175="Sim",U175=0),1,0)</f>
        <v>0</v>
      </c>
      <c r="X175" s="96">
        <f>IF(S175=0,0,COUNTIFS('VÍNCULOS_CDF'!$O$6:$O$1005,A175,'VÍNCULOS_CDF'!$Y$6:$Y$1005,1))</f>
        <v>0</v>
      </c>
      <c r="Y175" s="96" t="str">
        <f>IF(S175=1,A175&amp;" | CDF "&amp;IF(B175="","(sem número)",B175)&amp;" | "&amp;IF(F175="","(sem destinador)",F175),"")</f>
        <v/>
      </c>
      <c r="Z175" s="96" t="str">
        <f>IF(S175=1,COUNTIF($S$6:S175,1),"")</f>
        <v/>
      </c>
      <c r="AA175" s="96">
        <f>IF(S175=0,0,IF(AND(OR(r_ini="",AND(ISNUMBER(D175),D175&gt;=r_ini)),OR(r_fim="",AND(ISNUMBER(D175),D175&lt;=r_fim)),OR(r_de="",r_de="(Todos)",F175=r_de)),1,0))</f>
        <v>0</v>
      </c>
      <c r="AB175" s="96" t="str">
        <f>IF(AA175=1,IF(F175="",0,COUNTIF($F$6:$F$505,"&lt;"&amp;F175))*1000+170,"")</f>
        <v/>
      </c>
    </row>
    <row r="176">
      <c r="A176" s="89" t="inlineStr">
        <is>
          <t>CDF-000171</t>
        </is>
      </c>
      <c r="B176" s="90" t="n"/>
      <c r="C176" s="91" t="n"/>
      <c r="D176" s="92" t="n"/>
      <c r="E176" s="91" t="n"/>
      <c r="F176" s="91" t="n"/>
      <c r="G176" s="91" t="n"/>
      <c r="H176" s="91" t="n"/>
      <c r="I176" s="91" t="n"/>
      <c r="J176" s="91" t="n"/>
      <c r="K176" s="92" t="n"/>
      <c r="L176" s="91" t="n"/>
      <c r="M176" s="91" t="n"/>
      <c r="N176" s="91" t="n"/>
      <c r="O176" s="93" t="str">
        <f>IF(S176=0,"",SUMIFS('VÍNCULOS_CDF'!$H$6:$H$1005,'VÍNCULOS_CDF'!$O$6:$O$1005,A176,'VÍNCULOS_CDF'!$V$6:$V$1005,1))</f>
        <v/>
      </c>
      <c r="P176" s="95" t="str">
        <f>IF(S176=0,"",COUNTIFS('VÍNCULOS_CDF'!$O$6:$O$1005,A176,'VÍNCULOS_CDF'!$N$6:$N$1005,1))</f>
        <v/>
      </c>
      <c r="Q176" s="94" t="str">
        <f>IF(S176=0,"",IF(OR(B176="",F176=""),"Informações incompletas",IF(U176=1,"Possível duplicidade",IF(V176=0,"Destinador fora do cadastro",IF(AND(J176="Sim",N(P176)=0),"Necessita revisão de vínculos",IF(X176&gt;0,"Necessita revisão de vínculos",IF(J176="Sim","Conferido",IF(I176="Sim","Localizado, aguardando conferência","Cadastrado"))))))))</f>
        <v/>
      </c>
      <c r="R176" s="95" t="str">
        <f>IF(S176=0,"",COUNTIFS('VÍNCULOS_CDF'!$O$6:$O$1005,A176,'VÍNCULOS_CDF'!$AB$6:$AB$1005,1))</f>
        <v/>
      </c>
      <c r="S176" s="96">
        <f>IF(COUNTA(B176:N176)&gt;0,1,0)</f>
        <v>0</v>
      </c>
      <c r="T176" s="96" t="str">
        <f>IF(AND(S176=1,B176&lt;&gt;""),C176&amp;"|"&amp;TRIM(B176),"")</f>
        <v/>
      </c>
      <c r="U176" s="96">
        <f>IF(T176="",0,IF(SUMPRODUCT(--($T$6:$T$505=T176))&gt;1,1,0))</f>
        <v>0</v>
      </c>
      <c r="V176" s="96">
        <f>IF(F176="",0,IF(ISNUMBER(MATCH(F176,cmp_dest,0)),1,0))</f>
        <v>0</v>
      </c>
      <c r="W176" s="96">
        <f>IF(AND(S176=1,B176&lt;&gt;"",F176&lt;&gt;"",J176="Sim",U176=0),1,0)</f>
        <v>0</v>
      </c>
      <c r="X176" s="96">
        <f>IF(S176=0,0,COUNTIFS('VÍNCULOS_CDF'!$O$6:$O$1005,A176,'VÍNCULOS_CDF'!$Y$6:$Y$1005,1))</f>
        <v>0</v>
      </c>
      <c r="Y176" s="96" t="str">
        <f>IF(S176=1,A176&amp;" | CDF "&amp;IF(B176="","(sem número)",B176)&amp;" | "&amp;IF(F176="","(sem destinador)",F176),"")</f>
        <v/>
      </c>
      <c r="Z176" s="96" t="str">
        <f>IF(S176=1,COUNTIF($S$6:S176,1),"")</f>
        <v/>
      </c>
      <c r="AA176" s="96">
        <f>IF(S176=0,0,IF(AND(OR(r_ini="",AND(ISNUMBER(D176),D176&gt;=r_ini)),OR(r_fim="",AND(ISNUMBER(D176),D176&lt;=r_fim)),OR(r_de="",r_de="(Todos)",F176=r_de)),1,0))</f>
        <v>0</v>
      </c>
      <c r="AB176" s="96" t="str">
        <f>IF(AA176=1,IF(F176="",0,COUNTIF($F$6:$F$505,"&lt;"&amp;F176))*1000+171,"")</f>
        <v/>
      </c>
    </row>
    <row r="177">
      <c r="A177" s="89" t="inlineStr">
        <is>
          <t>CDF-000172</t>
        </is>
      </c>
      <c r="B177" s="90" t="n"/>
      <c r="C177" s="91" t="n"/>
      <c r="D177" s="92" t="n"/>
      <c r="E177" s="91" t="n"/>
      <c r="F177" s="91" t="n"/>
      <c r="G177" s="91" t="n"/>
      <c r="H177" s="91" t="n"/>
      <c r="I177" s="91" t="n"/>
      <c r="J177" s="91" t="n"/>
      <c r="K177" s="92" t="n"/>
      <c r="L177" s="91" t="n"/>
      <c r="M177" s="91" t="n"/>
      <c r="N177" s="91" t="n"/>
      <c r="O177" s="93" t="str">
        <f>IF(S177=0,"",SUMIFS('VÍNCULOS_CDF'!$H$6:$H$1005,'VÍNCULOS_CDF'!$O$6:$O$1005,A177,'VÍNCULOS_CDF'!$V$6:$V$1005,1))</f>
        <v/>
      </c>
      <c r="P177" s="95" t="str">
        <f>IF(S177=0,"",COUNTIFS('VÍNCULOS_CDF'!$O$6:$O$1005,A177,'VÍNCULOS_CDF'!$N$6:$N$1005,1))</f>
        <v/>
      </c>
      <c r="Q177" s="94" t="str">
        <f>IF(S177=0,"",IF(OR(B177="",F177=""),"Informações incompletas",IF(U177=1,"Possível duplicidade",IF(V177=0,"Destinador fora do cadastro",IF(AND(J177="Sim",N(P177)=0),"Necessita revisão de vínculos",IF(X177&gt;0,"Necessita revisão de vínculos",IF(J177="Sim","Conferido",IF(I177="Sim","Localizado, aguardando conferência","Cadastrado"))))))))</f>
        <v/>
      </c>
      <c r="R177" s="95" t="str">
        <f>IF(S177=0,"",COUNTIFS('VÍNCULOS_CDF'!$O$6:$O$1005,A177,'VÍNCULOS_CDF'!$AB$6:$AB$1005,1))</f>
        <v/>
      </c>
      <c r="S177" s="96">
        <f>IF(COUNTA(B177:N177)&gt;0,1,0)</f>
        <v>0</v>
      </c>
      <c r="T177" s="96" t="str">
        <f>IF(AND(S177=1,B177&lt;&gt;""),C177&amp;"|"&amp;TRIM(B177),"")</f>
        <v/>
      </c>
      <c r="U177" s="96">
        <f>IF(T177="",0,IF(SUMPRODUCT(--($T$6:$T$505=T177))&gt;1,1,0))</f>
        <v>0</v>
      </c>
      <c r="V177" s="96">
        <f>IF(F177="",0,IF(ISNUMBER(MATCH(F177,cmp_dest,0)),1,0))</f>
        <v>0</v>
      </c>
      <c r="W177" s="96">
        <f>IF(AND(S177=1,B177&lt;&gt;"",F177&lt;&gt;"",J177="Sim",U177=0),1,0)</f>
        <v>0</v>
      </c>
      <c r="X177" s="96">
        <f>IF(S177=0,0,COUNTIFS('VÍNCULOS_CDF'!$O$6:$O$1005,A177,'VÍNCULOS_CDF'!$Y$6:$Y$1005,1))</f>
        <v>0</v>
      </c>
      <c r="Y177" s="96" t="str">
        <f>IF(S177=1,A177&amp;" | CDF "&amp;IF(B177="","(sem número)",B177)&amp;" | "&amp;IF(F177="","(sem destinador)",F177),"")</f>
        <v/>
      </c>
      <c r="Z177" s="96" t="str">
        <f>IF(S177=1,COUNTIF($S$6:S177,1),"")</f>
        <v/>
      </c>
      <c r="AA177" s="96">
        <f>IF(S177=0,0,IF(AND(OR(r_ini="",AND(ISNUMBER(D177),D177&gt;=r_ini)),OR(r_fim="",AND(ISNUMBER(D177),D177&lt;=r_fim)),OR(r_de="",r_de="(Todos)",F177=r_de)),1,0))</f>
        <v>0</v>
      </c>
      <c r="AB177" s="96" t="str">
        <f>IF(AA177=1,IF(F177="",0,COUNTIF($F$6:$F$505,"&lt;"&amp;F177))*1000+172,"")</f>
        <v/>
      </c>
    </row>
    <row r="178">
      <c r="A178" s="89" t="inlineStr">
        <is>
          <t>CDF-000173</t>
        </is>
      </c>
      <c r="B178" s="90" t="n"/>
      <c r="C178" s="91" t="n"/>
      <c r="D178" s="92" t="n"/>
      <c r="E178" s="91" t="n"/>
      <c r="F178" s="91" t="n"/>
      <c r="G178" s="91" t="n"/>
      <c r="H178" s="91" t="n"/>
      <c r="I178" s="91" t="n"/>
      <c r="J178" s="91" t="n"/>
      <c r="K178" s="92" t="n"/>
      <c r="L178" s="91" t="n"/>
      <c r="M178" s="91" t="n"/>
      <c r="N178" s="91" t="n"/>
      <c r="O178" s="93" t="str">
        <f>IF(S178=0,"",SUMIFS('VÍNCULOS_CDF'!$H$6:$H$1005,'VÍNCULOS_CDF'!$O$6:$O$1005,A178,'VÍNCULOS_CDF'!$V$6:$V$1005,1))</f>
        <v/>
      </c>
      <c r="P178" s="95" t="str">
        <f>IF(S178=0,"",COUNTIFS('VÍNCULOS_CDF'!$O$6:$O$1005,A178,'VÍNCULOS_CDF'!$N$6:$N$1005,1))</f>
        <v/>
      </c>
      <c r="Q178" s="94" t="str">
        <f>IF(S178=0,"",IF(OR(B178="",F178=""),"Informações incompletas",IF(U178=1,"Possível duplicidade",IF(V178=0,"Destinador fora do cadastro",IF(AND(J178="Sim",N(P178)=0),"Necessita revisão de vínculos",IF(X178&gt;0,"Necessita revisão de vínculos",IF(J178="Sim","Conferido",IF(I178="Sim","Localizado, aguardando conferência","Cadastrado"))))))))</f>
        <v/>
      </c>
      <c r="R178" s="95" t="str">
        <f>IF(S178=0,"",COUNTIFS('VÍNCULOS_CDF'!$O$6:$O$1005,A178,'VÍNCULOS_CDF'!$AB$6:$AB$1005,1))</f>
        <v/>
      </c>
      <c r="S178" s="96">
        <f>IF(COUNTA(B178:N178)&gt;0,1,0)</f>
        <v>0</v>
      </c>
      <c r="T178" s="96" t="str">
        <f>IF(AND(S178=1,B178&lt;&gt;""),C178&amp;"|"&amp;TRIM(B178),"")</f>
        <v/>
      </c>
      <c r="U178" s="96">
        <f>IF(T178="",0,IF(SUMPRODUCT(--($T$6:$T$505=T178))&gt;1,1,0))</f>
        <v>0</v>
      </c>
      <c r="V178" s="96">
        <f>IF(F178="",0,IF(ISNUMBER(MATCH(F178,cmp_dest,0)),1,0))</f>
        <v>0</v>
      </c>
      <c r="W178" s="96">
        <f>IF(AND(S178=1,B178&lt;&gt;"",F178&lt;&gt;"",J178="Sim",U178=0),1,0)</f>
        <v>0</v>
      </c>
      <c r="X178" s="96">
        <f>IF(S178=0,0,COUNTIFS('VÍNCULOS_CDF'!$O$6:$O$1005,A178,'VÍNCULOS_CDF'!$Y$6:$Y$1005,1))</f>
        <v>0</v>
      </c>
      <c r="Y178" s="96" t="str">
        <f>IF(S178=1,A178&amp;" | CDF "&amp;IF(B178="","(sem número)",B178)&amp;" | "&amp;IF(F178="","(sem destinador)",F178),"")</f>
        <v/>
      </c>
      <c r="Z178" s="96" t="str">
        <f>IF(S178=1,COUNTIF($S$6:S178,1),"")</f>
        <v/>
      </c>
      <c r="AA178" s="96">
        <f>IF(S178=0,0,IF(AND(OR(r_ini="",AND(ISNUMBER(D178),D178&gt;=r_ini)),OR(r_fim="",AND(ISNUMBER(D178),D178&lt;=r_fim)),OR(r_de="",r_de="(Todos)",F178=r_de)),1,0))</f>
        <v>0</v>
      </c>
      <c r="AB178" s="96" t="str">
        <f>IF(AA178=1,IF(F178="",0,COUNTIF($F$6:$F$505,"&lt;"&amp;F178))*1000+173,"")</f>
        <v/>
      </c>
    </row>
    <row r="179">
      <c r="A179" s="89" t="inlineStr">
        <is>
          <t>CDF-000174</t>
        </is>
      </c>
      <c r="B179" s="90" t="n"/>
      <c r="C179" s="91" t="n"/>
      <c r="D179" s="92" t="n"/>
      <c r="E179" s="91" t="n"/>
      <c r="F179" s="91" t="n"/>
      <c r="G179" s="91" t="n"/>
      <c r="H179" s="91" t="n"/>
      <c r="I179" s="91" t="n"/>
      <c r="J179" s="91" t="n"/>
      <c r="K179" s="92" t="n"/>
      <c r="L179" s="91" t="n"/>
      <c r="M179" s="91" t="n"/>
      <c r="N179" s="91" t="n"/>
      <c r="O179" s="93" t="str">
        <f>IF(S179=0,"",SUMIFS('VÍNCULOS_CDF'!$H$6:$H$1005,'VÍNCULOS_CDF'!$O$6:$O$1005,A179,'VÍNCULOS_CDF'!$V$6:$V$1005,1))</f>
        <v/>
      </c>
      <c r="P179" s="95" t="str">
        <f>IF(S179=0,"",COUNTIFS('VÍNCULOS_CDF'!$O$6:$O$1005,A179,'VÍNCULOS_CDF'!$N$6:$N$1005,1))</f>
        <v/>
      </c>
      <c r="Q179" s="94" t="str">
        <f>IF(S179=0,"",IF(OR(B179="",F179=""),"Informações incompletas",IF(U179=1,"Possível duplicidade",IF(V179=0,"Destinador fora do cadastro",IF(AND(J179="Sim",N(P179)=0),"Necessita revisão de vínculos",IF(X179&gt;0,"Necessita revisão de vínculos",IF(J179="Sim","Conferido",IF(I179="Sim","Localizado, aguardando conferência","Cadastrado"))))))))</f>
        <v/>
      </c>
      <c r="R179" s="95" t="str">
        <f>IF(S179=0,"",COUNTIFS('VÍNCULOS_CDF'!$O$6:$O$1005,A179,'VÍNCULOS_CDF'!$AB$6:$AB$1005,1))</f>
        <v/>
      </c>
      <c r="S179" s="96">
        <f>IF(COUNTA(B179:N179)&gt;0,1,0)</f>
        <v>0</v>
      </c>
      <c r="T179" s="96" t="str">
        <f>IF(AND(S179=1,B179&lt;&gt;""),C179&amp;"|"&amp;TRIM(B179),"")</f>
        <v/>
      </c>
      <c r="U179" s="96">
        <f>IF(T179="",0,IF(SUMPRODUCT(--($T$6:$T$505=T179))&gt;1,1,0))</f>
        <v>0</v>
      </c>
      <c r="V179" s="96">
        <f>IF(F179="",0,IF(ISNUMBER(MATCH(F179,cmp_dest,0)),1,0))</f>
        <v>0</v>
      </c>
      <c r="W179" s="96">
        <f>IF(AND(S179=1,B179&lt;&gt;"",F179&lt;&gt;"",J179="Sim",U179=0),1,0)</f>
        <v>0</v>
      </c>
      <c r="X179" s="96">
        <f>IF(S179=0,0,COUNTIFS('VÍNCULOS_CDF'!$O$6:$O$1005,A179,'VÍNCULOS_CDF'!$Y$6:$Y$1005,1))</f>
        <v>0</v>
      </c>
      <c r="Y179" s="96" t="str">
        <f>IF(S179=1,A179&amp;" | CDF "&amp;IF(B179="","(sem número)",B179)&amp;" | "&amp;IF(F179="","(sem destinador)",F179),"")</f>
        <v/>
      </c>
      <c r="Z179" s="96" t="str">
        <f>IF(S179=1,COUNTIF($S$6:S179,1),"")</f>
        <v/>
      </c>
      <c r="AA179" s="96">
        <f>IF(S179=0,0,IF(AND(OR(r_ini="",AND(ISNUMBER(D179),D179&gt;=r_ini)),OR(r_fim="",AND(ISNUMBER(D179),D179&lt;=r_fim)),OR(r_de="",r_de="(Todos)",F179=r_de)),1,0))</f>
        <v>0</v>
      </c>
      <c r="AB179" s="96" t="str">
        <f>IF(AA179=1,IF(F179="",0,COUNTIF($F$6:$F$505,"&lt;"&amp;F179))*1000+174,"")</f>
        <v/>
      </c>
    </row>
    <row r="180">
      <c r="A180" s="89" t="inlineStr">
        <is>
          <t>CDF-000175</t>
        </is>
      </c>
      <c r="B180" s="90" t="n"/>
      <c r="C180" s="91" t="n"/>
      <c r="D180" s="92" t="n"/>
      <c r="E180" s="91" t="n"/>
      <c r="F180" s="91" t="n"/>
      <c r="G180" s="91" t="n"/>
      <c r="H180" s="91" t="n"/>
      <c r="I180" s="91" t="n"/>
      <c r="J180" s="91" t="n"/>
      <c r="K180" s="92" t="n"/>
      <c r="L180" s="91" t="n"/>
      <c r="M180" s="91" t="n"/>
      <c r="N180" s="91" t="n"/>
      <c r="O180" s="93" t="str">
        <f>IF(S180=0,"",SUMIFS('VÍNCULOS_CDF'!$H$6:$H$1005,'VÍNCULOS_CDF'!$O$6:$O$1005,A180,'VÍNCULOS_CDF'!$V$6:$V$1005,1))</f>
        <v/>
      </c>
      <c r="P180" s="95" t="str">
        <f>IF(S180=0,"",COUNTIFS('VÍNCULOS_CDF'!$O$6:$O$1005,A180,'VÍNCULOS_CDF'!$N$6:$N$1005,1))</f>
        <v/>
      </c>
      <c r="Q180" s="94" t="str">
        <f>IF(S180=0,"",IF(OR(B180="",F180=""),"Informações incompletas",IF(U180=1,"Possível duplicidade",IF(V180=0,"Destinador fora do cadastro",IF(AND(J180="Sim",N(P180)=0),"Necessita revisão de vínculos",IF(X180&gt;0,"Necessita revisão de vínculos",IF(J180="Sim","Conferido",IF(I180="Sim","Localizado, aguardando conferência","Cadastrado"))))))))</f>
        <v/>
      </c>
      <c r="R180" s="95" t="str">
        <f>IF(S180=0,"",COUNTIFS('VÍNCULOS_CDF'!$O$6:$O$1005,A180,'VÍNCULOS_CDF'!$AB$6:$AB$1005,1))</f>
        <v/>
      </c>
      <c r="S180" s="96">
        <f>IF(COUNTA(B180:N180)&gt;0,1,0)</f>
        <v>0</v>
      </c>
      <c r="T180" s="96" t="str">
        <f>IF(AND(S180=1,B180&lt;&gt;""),C180&amp;"|"&amp;TRIM(B180),"")</f>
        <v/>
      </c>
      <c r="U180" s="96">
        <f>IF(T180="",0,IF(SUMPRODUCT(--($T$6:$T$505=T180))&gt;1,1,0))</f>
        <v>0</v>
      </c>
      <c r="V180" s="96">
        <f>IF(F180="",0,IF(ISNUMBER(MATCH(F180,cmp_dest,0)),1,0))</f>
        <v>0</v>
      </c>
      <c r="W180" s="96">
        <f>IF(AND(S180=1,B180&lt;&gt;"",F180&lt;&gt;"",J180="Sim",U180=0),1,0)</f>
        <v>0</v>
      </c>
      <c r="X180" s="96">
        <f>IF(S180=0,0,COUNTIFS('VÍNCULOS_CDF'!$O$6:$O$1005,A180,'VÍNCULOS_CDF'!$Y$6:$Y$1005,1))</f>
        <v>0</v>
      </c>
      <c r="Y180" s="96" t="str">
        <f>IF(S180=1,A180&amp;" | CDF "&amp;IF(B180="","(sem número)",B180)&amp;" | "&amp;IF(F180="","(sem destinador)",F180),"")</f>
        <v/>
      </c>
      <c r="Z180" s="96" t="str">
        <f>IF(S180=1,COUNTIF($S$6:S180,1),"")</f>
        <v/>
      </c>
      <c r="AA180" s="96">
        <f>IF(S180=0,0,IF(AND(OR(r_ini="",AND(ISNUMBER(D180),D180&gt;=r_ini)),OR(r_fim="",AND(ISNUMBER(D180),D180&lt;=r_fim)),OR(r_de="",r_de="(Todos)",F180=r_de)),1,0))</f>
        <v>0</v>
      </c>
      <c r="AB180" s="96" t="str">
        <f>IF(AA180=1,IF(F180="",0,COUNTIF($F$6:$F$505,"&lt;"&amp;F180))*1000+175,"")</f>
        <v/>
      </c>
    </row>
    <row r="181">
      <c r="A181" s="89" t="inlineStr">
        <is>
          <t>CDF-000176</t>
        </is>
      </c>
      <c r="B181" s="90" t="n"/>
      <c r="C181" s="91" t="n"/>
      <c r="D181" s="92" t="n"/>
      <c r="E181" s="91" t="n"/>
      <c r="F181" s="91" t="n"/>
      <c r="G181" s="91" t="n"/>
      <c r="H181" s="91" t="n"/>
      <c r="I181" s="91" t="n"/>
      <c r="J181" s="91" t="n"/>
      <c r="K181" s="92" t="n"/>
      <c r="L181" s="91" t="n"/>
      <c r="M181" s="91" t="n"/>
      <c r="N181" s="91" t="n"/>
      <c r="O181" s="93" t="str">
        <f>IF(S181=0,"",SUMIFS('VÍNCULOS_CDF'!$H$6:$H$1005,'VÍNCULOS_CDF'!$O$6:$O$1005,A181,'VÍNCULOS_CDF'!$V$6:$V$1005,1))</f>
        <v/>
      </c>
      <c r="P181" s="95" t="str">
        <f>IF(S181=0,"",COUNTIFS('VÍNCULOS_CDF'!$O$6:$O$1005,A181,'VÍNCULOS_CDF'!$N$6:$N$1005,1))</f>
        <v/>
      </c>
      <c r="Q181" s="94" t="str">
        <f>IF(S181=0,"",IF(OR(B181="",F181=""),"Informações incompletas",IF(U181=1,"Possível duplicidade",IF(V181=0,"Destinador fora do cadastro",IF(AND(J181="Sim",N(P181)=0),"Necessita revisão de vínculos",IF(X181&gt;0,"Necessita revisão de vínculos",IF(J181="Sim","Conferido",IF(I181="Sim","Localizado, aguardando conferência","Cadastrado"))))))))</f>
        <v/>
      </c>
      <c r="R181" s="95" t="str">
        <f>IF(S181=0,"",COUNTIFS('VÍNCULOS_CDF'!$O$6:$O$1005,A181,'VÍNCULOS_CDF'!$AB$6:$AB$1005,1))</f>
        <v/>
      </c>
      <c r="S181" s="96">
        <f>IF(COUNTA(B181:N181)&gt;0,1,0)</f>
        <v>0</v>
      </c>
      <c r="T181" s="96" t="str">
        <f>IF(AND(S181=1,B181&lt;&gt;""),C181&amp;"|"&amp;TRIM(B181),"")</f>
        <v/>
      </c>
      <c r="U181" s="96">
        <f>IF(T181="",0,IF(SUMPRODUCT(--($T$6:$T$505=T181))&gt;1,1,0))</f>
        <v>0</v>
      </c>
      <c r="V181" s="96">
        <f>IF(F181="",0,IF(ISNUMBER(MATCH(F181,cmp_dest,0)),1,0))</f>
        <v>0</v>
      </c>
      <c r="W181" s="96">
        <f>IF(AND(S181=1,B181&lt;&gt;"",F181&lt;&gt;"",J181="Sim",U181=0),1,0)</f>
        <v>0</v>
      </c>
      <c r="X181" s="96">
        <f>IF(S181=0,0,COUNTIFS('VÍNCULOS_CDF'!$O$6:$O$1005,A181,'VÍNCULOS_CDF'!$Y$6:$Y$1005,1))</f>
        <v>0</v>
      </c>
      <c r="Y181" s="96" t="str">
        <f>IF(S181=1,A181&amp;" | CDF "&amp;IF(B181="","(sem número)",B181)&amp;" | "&amp;IF(F181="","(sem destinador)",F181),"")</f>
        <v/>
      </c>
      <c r="Z181" s="96" t="str">
        <f>IF(S181=1,COUNTIF($S$6:S181,1),"")</f>
        <v/>
      </c>
      <c r="AA181" s="96">
        <f>IF(S181=0,0,IF(AND(OR(r_ini="",AND(ISNUMBER(D181),D181&gt;=r_ini)),OR(r_fim="",AND(ISNUMBER(D181),D181&lt;=r_fim)),OR(r_de="",r_de="(Todos)",F181=r_de)),1,0))</f>
        <v>0</v>
      </c>
      <c r="AB181" s="96" t="str">
        <f>IF(AA181=1,IF(F181="",0,COUNTIF($F$6:$F$505,"&lt;"&amp;F181))*1000+176,"")</f>
        <v/>
      </c>
    </row>
    <row r="182">
      <c r="A182" s="89" t="inlineStr">
        <is>
          <t>CDF-000177</t>
        </is>
      </c>
      <c r="B182" s="90" t="n"/>
      <c r="C182" s="91" t="n"/>
      <c r="D182" s="92" t="n"/>
      <c r="E182" s="91" t="n"/>
      <c r="F182" s="91" t="n"/>
      <c r="G182" s="91" t="n"/>
      <c r="H182" s="91" t="n"/>
      <c r="I182" s="91" t="n"/>
      <c r="J182" s="91" t="n"/>
      <c r="K182" s="92" t="n"/>
      <c r="L182" s="91" t="n"/>
      <c r="M182" s="91" t="n"/>
      <c r="N182" s="91" t="n"/>
      <c r="O182" s="93" t="str">
        <f>IF(S182=0,"",SUMIFS('VÍNCULOS_CDF'!$H$6:$H$1005,'VÍNCULOS_CDF'!$O$6:$O$1005,A182,'VÍNCULOS_CDF'!$V$6:$V$1005,1))</f>
        <v/>
      </c>
      <c r="P182" s="95" t="str">
        <f>IF(S182=0,"",COUNTIFS('VÍNCULOS_CDF'!$O$6:$O$1005,A182,'VÍNCULOS_CDF'!$N$6:$N$1005,1))</f>
        <v/>
      </c>
      <c r="Q182" s="94" t="str">
        <f>IF(S182=0,"",IF(OR(B182="",F182=""),"Informações incompletas",IF(U182=1,"Possível duplicidade",IF(V182=0,"Destinador fora do cadastro",IF(AND(J182="Sim",N(P182)=0),"Necessita revisão de vínculos",IF(X182&gt;0,"Necessita revisão de vínculos",IF(J182="Sim","Conferido",IF(I182="Sim","Localizado, aguardando conferência","Cadastrado"))))))))</f>
        <v/>
      </c>
      <c r="R182" s="95" t="str">
        <f>IF(S182=0,"",COUNTIFS('VÍNCULOS_CDF'!$O$6:$O$1005,A182,'VÍNCULOS_CDF'!$AB$6:$AB$1005,1))</f>
        <v/>
      </c>
      <c r="S182" s="96">
        <f>IF(COUNTA(B182:N182)&gt;0,1,0)</f>
        <v>0</v>
      </c>
      <c r="T182" s="96" t="str">
        <f>IF(AND(S182=1,B182&lt;&gt;""),C182&amp;"|"&amp;TRIM(B182),"")</f>
        <v/>
      </c>
      <c r="U182" s="96">
        <f>IF(T182="",0,IF(SUMPRODUCT(--($T$6:$T$505=T182))&gt;1,1,0))</f>
        <v>0</v>
      </c>
      <c r="V182" s="96">
        <f>IF(F182="",0,IF(ISNUMBER(MATCH(F182,cmp_dest,0)),1,0))</f>
        <v>0</v>
      </c>
      <c r="W182" s="96">
        <f>IF(AND(S182=1,B182&lt;&gt;"",F182&lt;&gt;"",J182="Sim",U182=0),1,0)</f>
        <v>0</v>
      </c>
      <c r="X182" s="96">
        <f>IF(S182=0,0,COUNTIFS('VÍNCULOS_CDF'!$O$6:$O$1005,A182,'VÍNCULOS_CDF'!$Y$6:$Y$1005,1))</f>
        <v>0</v>
      </c>
      <c r="Y182" s="96" t="str">
        <f>IF(S182=1,A182&amp;" | CDF "&amp;IF(B182="","(sem número)",B182)&amp;" | "&amp;IF(F182="","(sem destinador)",F182),"")</f>
        <v/>
      </c>
      <c r="Z182" s="96" t="str">
        <f>IF(S182=1,COUNTIF($S$6:S182,1),"")</f>
        <v/>
      </c>
      <c r="AA182" s="96">
        <f>IF(S182=0,0,IF(AND(OR(r_ini="",AND(ISNUMBER(D182),D182&gt;=r_ini)),OR(r_fim="",AND(ISNUMBER(D182),D182&lt;=r_fim)),OR(r_de="",r_de="(Todos)",F182=r_de)),1,0))</f>
        <v>0</v>
      </c>
      <c r="AB182" s="96" t="str">
        <f>IF(AA182=1,IF(F182="",0,COUNTIF($F$6:$F$505,"&lt;"&amp;F182))*1000+177,"")</f>
        <v/>
      </c>
    </row>
    <row r="183">
      <c r="A183" s="89" t="inlineStr">
        <is>
          <t>CDF-000178</t>
        </is>
      </c>
      <c r="B183" s="90" t="n"/>
      <c r="C183" s="91" t="n"/>
      <c r="D183" s="92" t="n"/>
      <c r="E183" s="91" t="n"/>
      <c r="F183" s="91" t="n"/>
      <c r="G183" s="91" t="n"/>
      <c r="H183" s="91" t="n"/>
      <c r="I183" s="91" t="n"/>
      <c r="J183" s="91" t="n"/>
      <c r="K183" s="92" t="n"/>
      <c r="L183" s="91" t="n"/>
      <c r="M183" s="91" t="n"/>
      <c r="N183" s="91" t="n"/>
      <c r="O183" s="93" t="str">
        <f>IF(S183=0,"",SUMIFS('VÍNCULOS_CDF'!$H$6:$H$1005,'VÍNCULOS_CDF'!$O$6:$O$1005,A183,'VÍNCULOS_CDF'!$V$6:$V$1005,1))</f>
        <v/>
      </c>
      <c r="P183" s="95" t="str">
        <f>IF(S183=0,"",COUNTIFS('VÍNCULOS_CDF'!$O$6:$O$1005,A183,'VÍNCULOS_CDF'!$N$6:$N$1005,1))</f>
        <v/>
      </c>
      <c r="Q183" s="94" t="str">
        <f>IF(S183=0,"",IF(OR(B183="",F183=""),"Informações incompletas",IF(U183=1,"Possível duplicidade",IF(V183=0,"Destinador fora do cadastro",IF(AND(J183="Sim",N(P183)=0),"Necessita revisão de vínculos",IF(X183&gt;0,"Necessita revisão de vínculos",IF(J183="Sim","Conferido",IF(I183="Sim","Localizado, aguardando conferência","Cadastrado"))))))))</f>
        <v/>
      </c>
      <c r="R183" s="95" t="str">
        <f>IF(S183=0,"",COUNTIFS('VÍNCULOS_CDF'!$O$6:$O$1005,A183,'VÍNCULOS_CDF'!$AB$6:$AB$1005,1))</f>
        <v/>
      </c>
      <c r="S183" s="96">
        <f>IF(COUNTA(B183:N183)&gt;0,1,0)</f>
        <v>0</v>
      </c>
      <c r="T183" s="96" t="str">
        <f>IF(AND(S183=1,B183&lt;&gt;""),C183&amp;"|"&amp;TRIM(B183),"")</f>
        <v/>
      </c>
      <c r="U183" s="96">
        <f>IF(T183="",0,IF(SUMPRODUCT(--($T$6:$T$505=T183))&gt;1,1,0))</f>
        <v>0</v>
      </c>
      <c r="V183" s="96">
        <f>IF(F183="",0,IF(ISNUMBER(MATCH(F183,cmp_dest,0)),1,0))</f>
        <v>0</v>
      </c>
      <c r="W183" s="96">
        <f>IF(AND(S183=1,B183&lt;&gt;"",F183&lt;&gt;"",J183="Sim",U183=0),1,0)</f>
        <v>0</v>
      </c>
      <c r="X183" s="96">
        <f>IF(S183=0,0,COUNTIFS('VÍNCULOS_CDF'!$O$6:$O$1005,A183,'VÍNCULOS_CDF'!$Y$6:$Y$1005,1))</f>
        <v>0</v>
      </c>
      <c r="Y183" s="96" t="str">
        <f>IF(S183=1,A183&amp;" | CDF "&amp;IF(B183="","(sem número)",B183)&amp;" | "&amp;IF(F183="","(sem destinador)",F183),"")</f>
        <v/>
      </c>
      <c r="Z183" s="96" t="str">
        <f>IF(S183=1,COUNTIF($S$6:S183,1),"")</f>
        <v/>
      </c>
      <c r="AA183" s="96">
        <f>IF(S183=0,0,IF(AND(OR(r_ini="",AND(ISNUMBER(D183),D183&gt;=r_ini)),OR(r_fim="",AND(ISNUMBER(D183),D183&lt;=r_fim)),OR(r_de="",r_de="(Todos)",F183=r_de)),1,0))</f>
        <v>0</v>
      </c>
      <c r="AB183" s="96" t="str">
        <f>IF(AA183=1,IF(F183="",0,COUNTIF($F$6:$F$505,"&lt;"&amp;F183))*1000+178,"")</f>
        <v/>
      </c>
    </row>
    <row r="184">
      <c r="A184" s="89" t="inlineStr">
        <is>
          <t>CDF-000179</t>
        </is>
      </c>
      <c r="B184" s="90" t="n"/>
      <c r="C184" s="91" t="n"/>
      <c r="D184" s="92" t="n"/>
      <c r="E184" s="91" t="n"/>
      <c r="F184" s="91" t="n"/>
      <c r="G184" s="91" t="n"/>
      <c r="H184" s="91" t="n"/>
      <c r="I184" s="91" t="n"/>
      <c r="J184" s="91" t="n"/>
      <c r="K184" s="92" t="n"/>
      <c r="L184" s="91" t="n"/>
      <c r="M184" s="91" t="n"/>
      <c r="N184" s="91" t="n"/>
      <c r="O184" s="93" t="str">
        <f>IF(S184=0,"",SUMIFS('VÍNCULOS_CDF'!$H$6:$H$1005,'VÍNCULOS_CDF'!$O$6:$O$1005,A184,'VÍNCULOS_CDF'!$V$6:$V$1005,1))</f>
        <v/>
      </c>
      <c r="P184" s="95" t="str">
        <f>IF(S184=0,"",COUNTIFS('VÍNCULOS_CDF'!$O$6:$O$1005,A184,'VÍNCULOS_CDF'!$N$6:$N$1005,1))</f>
        <v/>
      </c>
      <c r="Q184" s="94" t="str">
        <f>IF(S184=0,"",IF(OR(B184="",F184=""),"Informações incompletas",IF(U184=1,"Possível duplicidade",IF(V184=0,"Destinador fora do cadastro",IF(AND(J184="Sim",N(P184)=0),"Necessita revisão de vínculos",IF(X184&gt;0,"Necessita revisão de vínculos",IF(J184="Sim","Conferido",IF(I184="Sim","Localizado, aguardando conferência","Cadastrado"))))))))</f>
        <v/>
      </c>
      <c r="R184" s="95" t="str">
        <f>IF(S184=0,"",COUNTIFS('VÍNCULOS_CDF'!$O$6:$O$1005,A184,'VÍNCULOS_CDF'!$AB$6:$AB$1005,1))</f>
        <v/>
      </c>
      <c r="S184" s="96">
        <f>IF(COUNTA(B184:N184)&gt;0,1,0)</f>
        <v>0</v>
      </c>
      <c r="T184" s="96" t="str">
        <f>IF(AND(S184=1,B184&lt;&gt;""),C184&amp;"|"&amp;TRIM(B184),"")</f>
        <v/>
      </c>
      <c r="U184" s="96">
        <f>IF(T184="",0,IF(SUMPRODUCT(--($T$6:$T$505=T184))&gt;1,1,0))</f>
        <v>0</v>
      </c>
      <c r="V184" s="96">
        <f>IF(F184="",0,IF(ISNUMBER(MATCH(F184,cmp_dest,0)),1,0))</f>
        <v>0</v>
      </c>
      <c r="W184" s="96">
        <f>IF(AND(S184=1,B184&lt;&gt;"",F184&lt;&gt;"",J184="Sim",U184=0),1,0)</f>
        <v>0</v>
      </c>
      <c r="X184" s="96">
        <f>IF(S184=0,0,COUNTIFS('VÍNCULOS_CDF'!$O$6:$O$1005,A184,'VÍNCULOS_CDF'!$Y$6:$Y$1005,1))</f>
        <v>0</v>
      </c>
      <c r="Y184" s="96" t="str">
        <f>IF(S184=1,A184&amp;" | CDF "&amp;IF(B184="","(sem número)",B184)&amp;" | "&amp;IF(F184="","(sem destinador)",F184),"")</f>
        <v/>
      </c>
      <c r="Z184" s="96" t="str">
        <f>IF(S184=1,COUNTIF($S$6:S184,1),"")</f>
        <v/>
      </c>
      <c r="AA184" s="96">
        <f>IF(S184=0,0,IF(AND(OR(r_ini="",AND(ISNUMBER(D184),D184&gt;=r_ini)),OR(r_fim="",AND(ISNUMBER(D184),D184&lt;=r_fim)),OR(r_de="",r_de="(Todos)",F184=r_de)),1,0))</f>
        <v>0</v>
      </c>
      <c r="AB184" s="96" t="str">
        <f>IF(AA184=1,IF(F184="",0,COUNTIF($F$6:$F$505,"&lt;"&amp;F184))*1000+179,"")</f>
        <v/>
      </c>
    </row>
    <row r="185">
      <c r="A185" s="89" t="inlineStr">
        <is>
          <t>CDF-000180</t>
        </is>
      </c>
      <c r="B185" s="90" t="n"/>
      <c r="C185" s="91" t="n"/>
      <c r="D185" s="92" t="n"/>
      <c r="E185" s="91" t="n"/>
      <c r="F185" s="91" t="n"/>
      <c r="G185" s="91" t="n"/>
      <c r="H185" s="91" t="n"/>
      <c r="I185" s="91" t="n"/>
      <c r="J185" s="91" t="n"/>
      <c r="K185" s="92" t="n"/>
      <c r="L185" s="91" t="n"/>
      <c r="M185" s="91" t="n"/>
      <c r="N185" s="91" t="n"/>
      <c r="O185" s="93" t="str">
        <f>IF(S185=0,"",SUMIFS('VÍNCULOS_CDF'!$H$6:$H$1005,'VÍNCULOS_CDF'!$O$6:$O$1005,A185,'VÍNCULOS_CDF'!$V$6:$V$1005,1))</f>
        <v/>
      </c>
      <c r="P185" s="95" t="str">
        <f>IF(S185=0,"",COUNTIFS('VÍNCULOS_CDF'!$O$6:$O$1005,A185,'VÍNCULOS_CDF'!$N$6:$N$1005,1))</f>
        <v/>
      </c>
      <c r="Q185" s="94" t="str">
        <f>IF(S185=0,"",IF(OR(B185="",F185=""),"Informações incompletas",IF(U185=1,"Possível duplicidade",IF(V185=0,"Destinador fora do cadastro",IF(AND(J185="Sim",N(P185)=0),"Necessita revisão de vínculos",IF(X185&gt;0,"Necessita revisão de vínculos",IF(J185="Sim","Conferido",IF(I185="Sim","Localizado, aguardando conferência","Cadastrado"))))))))</f>
        <v/>
      </c>
      <c r="R185" s="95" t="str">
        <f>IF(S185=0,"",COUNTIFS('VÍNCULOS_CDF'!$O$6:$O$1005,A185,'VÍNCULOS_CDF'!$AB$6:$AB$1005,1))</f>
        <v/>
      </c>
      <c r="S185" s="96">
        <f>IF(COUNTA(B185:N185)&gt;0,1,0)</f>
        <v>0</v>
      </c>
      <c r="T185" s="96" t="str">
        <f>IF(AND(S185=1,B185&lt;&gt;""),C185&amp;"|"&amp;TRIM(B185),"")</f>
        <v/>
      </c>
      <c r="U185" s="96">
        <f>IF(T185="",0,IF(SUMPRODUCT(--($T$6:$T$505=T185))&gt;1,1,0))</f>
        <v>0</v>
      </c>
      <c r="V185" s="96">
        <f>IF(F185="",0,IF(ISNUMBER(MATCH(F185,cmp_dest,0)),1,0))</f>
        <v>0</v>
      </c>
      <c r="W185" s="96">
        <f>IF(AND(S185=1,B185&lt;&gt;"",F185&lt;&gt;"",J185="Sim",U185=0),1,0)</f>
        <v>0</v>
      </c>
      <c r="X185" s="96">
        <f>IF(S185=0,0,COUNTIFS('VÍNCULOS_CDF'!$O$6:$O$1005,A185,'VÍNCULOS_CDF'!$Y$6:$Y$1005,1))</f>
        <v>0</v>
      </c>
      <c r="Y185" s="96" t="str">
        <f>IF(S185=1,A185&amp;" | CDF "&amp;IF(B185="","(sem número)",B185)&amp;" | "&amp;IF(F185="","(sem destinador)",F185),"")</f>
        <v/>
      </c>
      <c r="Z185" s="96" t="str">
        <f>IF(S185=1,COUNTIF($S$6:S185,1),"")</f>
        <v/>
      </c>
      <c r="AA185" s="96">
        <f>IF(S185=0,0,IF(AND(OR(r_ini="",AND(ISNUMBER(D185),D185&gt;=r_ini)),OR(r_fim="",AND(ISNUMBER(D185),D185&lt;=r_fim)),OR(r_de="",r_de="(Todos)",F185=r_de)),1,0))</f>
        <v>0</v>
      </c>
      <c r="AB185" s="96" t="str">
        <f>IF(AA185=1,IF(F185="",0,COUNTIF($F$6:$F$505,"&lt;"&amp;F185))*1000+180,"")</f>
        <v/>
      </c>
    </row>
    <row r="186">
      <c r="A186" s="89" t="inlineStr">
        <is>
          <t>CDF-000181</t>
        </is>
      </c>
      <c r="B186" s="90" t="n"/>
      <c r="C186" s="91" t="n"/>
      <c r="D186" s="92" t="n"/>
      <c r="E186" s="91" t="n"/>
      <c r="F186" s="91" t="n"/>
      <c r="G186" s="91" t="n"/>
      <c r="H186" s="91" t="n"/>
      <c r="I186" s="91" t="n"/>
      <c r="J186" s="91" t="n"/>
      <c r="K186" s="92" t="n"/>
      <c r="L186" s="91" t="n"/>
      <c r="M186" s="91" t="n"/>
      <c r="N186" s="91" t="n"/>
      <c r="O186" s="93" t="str">
        <f>IF(S186=0,"",SUMIFS('VÍNCULOS_CDF'!$H$6:$H$1005,'VÍNCULOS_CDF'!$O$6:$O$1005,A186,'VÍNCULOS_CDF'!$V$6:$V$1005,1))</f>
        <v/>
      </c>
      <c r="P186" s="95" t="str">
        <f>IF(S186=0,"",COUNTIFS('VÍNCULOS_CDF'!$O$6:$O$1005,A186,'VÍNCULOS_CDF'!$N$6:$N$1005,1))</f>
        <v/>
      </c>
      <c r="Q186" s="94" t="str">
        <f>IF(S186=0,"",IF(OR(B186="",F186=""),"Informações incompletas",IF(U186=1,"Possível duplicidade",IF(V186=0,"Destinador fora do cadastro",IF(AND(J186="Sim",N(P186)=0),"Necessita revisão de vínculos",IF(X186&gt;0,"Necessita revisão de vínculos",IF(J186="Sim","Conferido",IF(I186="Sim","Localizado, aguardando conferência","Cadastrado"))))))))</f>
        <v/>
      </c>
      <c r="R186" s="95" t="str">
        <f>IF(S186=0,"",COUNTIFS('VÍNCULOS_CDF'!$O$6:$O$1005,A186,'VÍNCULOS_CDF'!$AB$6:$AB$1005,1))</f>
        <v/>
      </c>
      <c r="S186" s="96">
        <f>IF(COUNTA(B186:N186)&gt;0,1,0)</f>
        <v>0</v>
      </c>
      <c r="T186" s="96" t="str">
        <f>IF(AND(S186=1,B186&lt;&gt;""),C186&amp;"|"&amp;TRIM(B186),"")</f>
        <v/>
      </c>
      <c r="U186" s="96">
        <f>IF(T186="",0,IF(SUMPRODUCT(--($T$6:$T$505=T186))&gt;1,1,0))</f>
        <v>0</v>
      </c>
      <c r="V186" s="96">
        <f>IF(F186="",0,IF(ISNUMBER(MATCH(F186,cmp_dest,0)),1,0))</f>
        <v>0</v>
      </c>
      <c r="W186" s="96">
        <f>IF(AND(S186=1,B186&lt;&gt;"",F186&lt;&gt;"",J186="Sim",U186=0),1,0)</f>
        <v>0</v>
      </c>
      <c r="X186" s="96">
        <f>IF(S186=0,0,COUNTIFS('VÍNCULOS_CDF'!$O$6:$O$1005,A186,'VÍNCULOS_CDF'!$Y$6:$Y$1005,1))</f>
        <v>0</v>
      </c>
      <c r="Y186" s="96" t="str">
        <f>IF(S186=1,A186&amp;" | CDF "&amp;IF(B186="","(sem número)",B186)&amp;" | "&amp;IF(F186="","(sem destinador)",F186),"")</f>
        <v/>
      </c>
      <c r="Z186" s="96" t="str">
        <f>IF(S186=1,COUNTIF($S$6:S186,1),"")</f>
        <v/>
      </c>
      <c r="AA186" s="96">
        <f>IF(S186=0,0,IF(AND(OR(r_ini="",AND(ISNUMBER(D186),D186&gt;=r_ini)),OR(r_fim="",AND(ISNUMBER(D186),D186&lt;=r_fim)),OR(r_de="",r_de="(Todos)",F186=r_de)),1,0))</f>
        <v>0</v>
      </c>
      <c r="AB186" s="96" t="str">
        <f>IF(AA186=1,IF(F186="",0,COUNTIF($F$6:$F$505,"&lt;"&amp;F186))*1000+181,"")</f>
        <v/>
      </c>
    </row>
    <row r="187">
      <c r="A187" s="89" t="inlineStr">
        <is>
          <t>CDF-000182</t>
        </is>
      </c>
      <c r="B187" s="90" t="n"/>
      <c r="C187" s="91" t="n"/>
      <c r="D187" s="92" t="n"/>
      <c r="E187" s="91" t="n"/>
      <c r="F187" s="91" t="n"/>
      <c r="G187" s="91" t="n"/>
      <c r="H187" s="91" t="n"/>
      <c r="I187" s="91" t="n"/>
      <c r="J187" s="91" t="n"/>
      <c r="K187" s="92" t="n"/>
      <c r="L187" s="91" t="n"/>
      <c r="M187" s="91" t="n"/>
      <c r="N187" s="91" t="n"/>
      <c r="O187" s="93" t="str">
        <f>IF(S187=0,"",SUMIFS('VÍNCULOS_CDF'!$H$6:$H$1005,'VÍNCULOS_CDF'!$O$6:$O$1005,A187,'VÍNCULOS_CDF'!$V$6:$V$1005,1))</f>
        <v/>
      </c>
      <c r="P187" s="95" t="str">
        <f>IF(S187=0,"",COUNTIFS('VÍNCULOS_CDF'!$O$6:$O$1005,A187,'VÍNCULOS_CDF'!$N$6:$N$1005,1))</f>
        <v/>
      </c>
      <c r="Q187" s="94" t="str">
        <f>IF(S187=0,"",IF(OR(B187="",F187=""),"Informações incompletas",IF(U187=1,"Possível duplicidade",IF(V187=0,"Destinador fora do cadastro",IF(AND(J187="Sim",N(P187)=0),"Necessita revisão de vínculos",IF(X187&gt;0,"Necessita revisão de vínculos",IF(J187="Sim","Conferido",IF(I187="Sim","Localizado, aguardando conferência","Cadastrado"))))))))</f>
        <v/>
      </c>
      <c r="R187" s="95" t="str">
        <f>IF(S187=0,"",COUNTIFS('VÍNCULOS_CDF'!$O$6:$O$1005,A187,'VÍNCULOS_CDF'!$AB$6:$AB$1005,1))</f>
        <v/>
      </c>
      <c r="S187" s="96">
        <f>IF(COUNTA(B187:N187)&gt;0,1,0)</f>
        <v>0</v>
      </c>
      <c r="T187" s="96" t="str">
        <f>IF(AND(S187=1,B187&lt;&gt;""),C187&amp;"|"&amp;TRIM(B187),"")</f>
        <v/>
      </c>
      <c r="U187" s="96">
        <f>IF(T187="",0,IF(SUMPRODUCT(--($T$6:$T$505=T187))&gt;1,1,0))</f>
        <v>0</v>
      </c>
      <c r="V187" s="96">
        <f>IF(F187="",0,IF(ISNUMBER(MATCH(F187,cmp_dest,0)),1,0))</f>
        <v>0</v>
      </c>
      <c r="W187" s="96">
        <f>IF(AND(S187=1,B187&lt;&gt;"",F187&lt;&gt;"",J187="Sim",U187=0),1,0)</f>
        <v>0</v>
      </c>
      <c r="X187" s="96">
        <f>IF(S187=0,0,COUNTIFS('VÍNCULOS_CDF'!$O$6:$O$1005,A187,'VÍNCULOS_CDF'!$Y$6:$Y$1005,1))</f>
        <v>0</v>
      </c>
      <c r="Y187" s="96" t="str">
        <f>IF(S187=1,A187&amp;" | CDF "&amp;IF(B187="","(sem número)",B187)&amp;" | "&amp;IF(F187="","(sem destinador)",F187),"")</f>
        <v/>
      </c>
      <c r="Z187" s="96" t="str">
        <f>IF(S187=1,COUNTIF($S$6:S187,1),"")</f>
        <v/>
      </c>
      <c r="AA187" s="96">
        <f>IF(S187=0,0,IF(AND(OR(r_ini="",AND(ISNUMBER(D187),D187&gt;=r_ini)),OR(r_fim="",AND(ISNUMBER(D187),D187&lt;=r_fim)),OR(r_de="",r_de="(Todos)",F187=r_de)),1,0))</f>
        <v>0</v>
      </c>
      <c r="AB187" s="96" t="str">
        <f>IF(AA187=1,IF(F187="",0,COUNTIF($F$6:$F$505,"&lt;"&amp;F187))*1000+182,"")</f>
        <v/>
      </c>
    </row>
    <row r="188">
      <c r="A188" s="89" t="inlineStr">
        <is>
          <t>CDF-000183</t>
        </is>
      </c>
      <c r="B188" s="90" t="n"/>
      <c r="C188" s="91" t="n"/>
      <c r="D188" s="92" t="n"/>
      <c r="E188" s="91" t="n"/>
      <c r="F188" s="91" t="n"/>
      <c r="G188" s="91" t="n"/>
      <c r="H188" s="91" t="n"/>
      <c r="I188" s="91" t="n"/>
      <c r="J188" s="91" t="n"/>
      <c r="K188" s="92" t="n"/>
      <c r="L188" s="91" t="n"/>
      <c r="M188" s="91" t="n"/>
      <c r="N188" s="91" t="n"/>
      <c r="O188" s="93" t="str">
        <f>IF(S188=0,"",SUMIFS('VÍNCULOS_CDF'!$H$6:$H$1005,'VÍNCULOS_CDF'!$O$6:$O$1005,A188,'VÍNCULOS_CDF'!$V$6:$V$1005,1))</f>
        <v/>
      </c>
      <c r="P188" s="95" t="str">
        <f>IF(S188=0,"",COUNTIFS('VÍNCULOS_CDF'!$O$6:$O$1005,A188,'VÍNCULOS_CDF'!$N$6:$N$1005,1))</f>
        <v/>
      </c>
      <c r="Q188" s="94" t="str">
        <f>IF(S188=0,"",IF(OR(B188="",F188=""),"Informações incompletas",IF(U188=1,"Possível duplicidade",IF(V188=0,"Destinador fora do cadastro",IF(AND(J188="Sim",N(P188)=0),"Necessita revisão de vínculos",IF(X188&gt;0,"Necessita revisão de vínculos",IF(J188="Sim","Conferido",IF(I188="Sim","Localizado, aguardando conferência","Cadastrado"))))))))</f>
        <v/>
      </c>
      <c r="R188" s="95" t="str">
        <f>IF(S188=0,"",COUNTIFS('VÍNCULOS_CDF'!$O$6:$O$1005,A188,'VÍNCULOS_CDF'!$AB$6:$AB$1005,1))</f>
        <v/>
      </c>
      <c r="S188" s="96">
        <f>IF(COUNTA(B188:N188)&gt;0,1,0)</f>
        <v>0</v>
      </c>
      <c r="T188" s="96" t="str">
        <f>IF(AND(S188=1,B188&lt;&gt;""),C188&amp;"|"&amp;TRIM(B188),"")</f>
        <v/>
      </c>
      <c r="U188" s="96">
        <f>IF(T188="",0,IF(SUMPRODUCT(--($T$6:$T$505=T188))&gt;1,1,0))</f>
        <v>0</v>
      </c>
      <c r="V188" s="96">
        <f>IF(F188="",0,IF(ISNUMBER(MATCH(F188,cmp_dest,0)),1,0))</f>
        <v>0</v>
      </c>
      <c r="W188" s="96">
        <f>IF(AND(S188=1,B188&lt;&gt;"",F188&lt;&gt;"",J188="Sim",U188=0),1,0)</f>
        <v>0</v>
      </c>
      <c r="X188" s="96">
        <f>IF(S188=0,0,COUNTIFS('VÍNCULOS_CDF'!$O$6:$O$1005,A188,'VÍNCULOS_CDF'!$Y$6:$Y$1005,1))</f>
        <v>0</v>
      </c>
      <c r="Y188" s="96" t="str">
        <f>IF(S188=1,A188&amp;" | CDF "&amp;IF(B188="","(sem número)",B188)&amp;" | "&amp;IF(F188="","(sem destinador)",F188),"")</f>
        <v/>
      </c>
      <c r="Z188" s="96" t="str">
        <f>IF(S188=1,COUNTIF($S$6:S188,1),"")</f>
        <v/>
      </c>
      <c r="AA188" s="96">
        <f>IF(S188=0,0,IF(AND(OR(r_ini="",AND(ISNUMBER(D188),D188&gt;=r_ini)),OR(r_fim="",AND(ISNUMBER(D188),D188&lt;=r_fim)),OR(r_de="",r_de="(Todos)",F188=r_de)),1,0))</f>
        <v>0</v>
      </c>
      <c r="AB188" s="96" t="str">
        <f>IF(AA188=1,IF(F188="",0,COUNTIF($F$6:$F$505,"&lt;"&amp;F188))*1000+183,"")</f>
        <v/>
      </c>
    </row>
    <row r="189">
      <c r="A189" s="89" t="inlineStr">
        <is>
          <t>CDF-000184</t>
        </is>
      </c>
      <c r="B189" s="90" t="n"/>
      <c r="C189" s="91" t="n"/>
      <c r="D189" s="92" t="n"/>
      <c r="E189" s="91" t="n"/>
      <c r="F189" s="91" t="n"/>
      <c r="G189" s="91" t="n"/>
      <c r="H189" s="91" t="n"/>
      <c r="I189" s="91" t="n"/>
      <c r="J189" s="91" t="n"/>
      <c r="K189" s="92" t="n"/>
      <c r="L189" s="91" t="n"/>
      <c r="M189" s="91" t="n"/>
      <c r="N189" s="91" t="n"/>
      <c r="O189" s="93" t="str">
        <f>IF(S189=0,"",SUMIFS('VÍNCULOS_CDF'!$H$6:$H$1005,'VÍNCULOS_CDF'!$O$6:$O$1005,A189,'VÍNCULOS_CDF'!$V$6:$V$1005,1))</f>
        <v/>
      </c>
      <c r="P189" s="95" t="str">
        <f>IF(S189=0,"",COUNTIFS('VÍNCULOS_CDF'!$O$6:$O$1005,A189,'VÍNCULOS_CDF'!$N$6:$N$1005,1))</f>
        <v/>
      </c>
      <c r="Q189" s="94" t="str">
        <f>IF(S189=0,"",IF(OR(B189="",F189=""),"Informações incompletas",IF(U189=1,"Possível duplicidade",IF(V189=0,"Destinador fora do cadastro",IF(AND(J189="Sim",N(P189)=0),"Necessita revisão de vínculos",IF(X189&gt;0,"Necessita revisão de vínculos",IF(J189="Sim","Conferido",IF(I189="Sim","Localizado, aguardando conferência","Cadastrado"))))))))</f>
        <v/>
      </c>
      <c r="R189" s="95" t="str">
        <f>IF(S189=0,"",COUNTIFS('VÍNCULOS_CDF'!$O$6:$O$1005,A189,'VÍNCULOS_CDF'!$AB$6:$AB$1005,1))</f>
        <v/>
      </c>
      <c r="S189" s="96">
        <f>IF(COUNTA(B189:N189)&gt;0,1,0)</f>
        <v>0</v>
      </c>
      <c r="T189" s="96" t="str">
        <f>IF(AND(S189=1,B189&lt;&gt;""),C189&amp;"|"&amp;TRIM(B189),"")</f>
        <v/>
      </c>
      <c r="U189" s="96">
        <f>IF(T189="",0,IF(SUMPRODUCT(--($T$6:$T$505=T189))&gt;1,1,0))</f>
        <v>0</v>
      </c>
      <c r="V189" s="96">
        <f>IF(F189="",0,IF(ISNUMBER(MATCH(F189,cmp_dest,0)),1,0))</f>
        <v>0</v>
      </c>
      <c r="W189" s="96">
        <f>IF(AND(S189=1,B189&lt;&gt;"",F189&lt;&gt;"",J189="Sim",U189=0),1,0)</f>
        <v>0</v>
      </c>
      <c r="X189" s="96">
        <f>IF(S189=0,0,COUNTIFS('VÍNCULOS_CDF'!$O$6:$O$1005,A189,'VÍNCULOS_CDF'!$Y$6:$Y$1005,1))</f>
        <v>0</v>
      </c>
      <c r="Y189" s="96" t="str">
        <f>IF(S189=1,A189&amp;" | CDF "&amp;IF(B189="","(sem número)",B189)&amp;" | "&amp;IF(F189="","(sem destinador)",F189),"")</f>
        <v/>
      </c>
      <c r="Z189" s="96" t="str">
        <f>IF(S189=1,COUNTIF($S$6:S189,1),"")</f>
        <v/>
      </c>
      <c r="AA189" s="96">
        <f>IF(S189=0,0,IF(AND(OR(r_ini="",AND(ISNUMBER(D189),D189&gt;=r_ini)),OR(r_fim="",AND(ISNUMBER(D189),D189&lt;=r_fim)),OR(r_de="",r_de="(Todos)",F189=r_de)),1,0))</f>
        <v>0</v>
      </c>
      <c r="AB189" s="96" t="str">
        <f>IF(AA189=1,IF(F189="",0,COUNTIF($F$6:$F$505,"&lt;"&amp;F189))*1000+184,"")</f>
        <v/>
      </c>
    </row>
    <row r="190">
      <c r="A190" s="89" t="inlineStr">
        <is>
          <t>CDF-000185</t>
        </is>
      </c>
      <c r="B190" s="90" t="n"/>
      <c r="C190" s="91" t="n"/>
      <c r="D190" s="92" t="n"/>
      <c r="E190" s="91" t="n"/>
      <c r="F190" s="91" t="n"/>
      <c r="G190" s="91" t="n"/>
      <c r="H190" s="91" t="n"/>
      <c r="I190" s="91" t="n"/>
      <c r="J190" s="91" t="n"/>
      <c r="K190" s="92" t="n"/>
      <c r="L190" s="91" t="n"/>
      <c r="M190" s="91" t="n"/>
      <c r="N190" s="91" t="n"/>
      <c r="O190" s="93" t="str">
        <f>IF(S190=0,"",SUMIFS('VÍNCULOS_CDF'!$H$6:$H$1005,'VÍNCULOS_CDF'!$O$6:$O$1005,A190,'VÍNCULOS_CDF'!$V$6:$V$1005,1))</f>
        <v/>
      </c>
      <c r="P190" s="95" t="str">
        <f>IF(S190=0,"",COUNTIFS('VÍNCULOS_CDF'!$O$6:$O$1005,A190,'VÍNCULOS_CDF'!$N$6:$N$1005,1))</f>
        <v/>
      </c>
      <c r="Q190" s="94" t="str">
        <f>IF(S190=0,"",IF(OR(B190="",F190=""),"Informações incompletas",IF(U190=1,"Possível duplicidade",IF(V190=0,"Destinador fora do cadastro",IF(AND(J190="Sim",N(P190)=0),"Necessita revisão de vínculos",IF(X190&gt;0,"Necessita revisão de vínculos",IF(J190="Sim","Conferido",IF(I190="Sim","Localizado, aguardando conferência","Cadastrado"))))))))</f>
        <v/>
      </c>
      <c r="R190" s="95" t="str">
        <f>IF(S190=0,"",COUNTIFS('VÍNCULOS_CDF'!$O$6:$O$1005,A190,'VÍNCULOS_CDF'!$AB$6:$AB$1005,1))</f>
        <v/>
      </c>
      <c r="S190" s="96">
        <f>IF(COUNTA(B190:N190)&gt;0,1,0)</f>
        <v>0</v>
      </c>
      <c r="T190" s="96" t="str">
        <f>IF(AND(S190=1,B190&lt;&gt;""),C190&amp;"|"&amp;TRIM(B190),"")</f>
        <v/>
      </c>
      <c r="U190" s="96">
        <f>IF(T190="",0,IF(SUMPRODUCT(--($T$6:$T$505=T190))&gt;1,1,0))</f>
        <v>0</v>
      </c>
      <c r="V190" s="96">
        <f>IF(F190="",0,IF(ISNUMBER(MATCH(F190,cmp_dest,0)),1,0))</f>
        <v>0</v>
      </c>
      <c r="W190" s="96">
        <f>IF(AND(S190=1,B190&lt;&gt;"",F190&lt;&gt;"",J190="Sim",U190=0),1,0)</f>
        <v>0</v>
      </c>
      <c r="X190" s="96">
        <f>IF(S190=0,0,COUNTIFS('VÍNCULOS_CDF'!$O$6:$O$1005,A190,'VÍNCULOS_CDF'!$Y$6:$Y$1005,1))</f>
        <v>0</v>
      </c>
      <c r="Y190" s="96" t="str">
        <f>IF(S190=1,A190&amp;" | CDF "&amp;IF(B190="","(sem número)",B190)&amp;" | "&amp;IF(F190="","(sem destinador)",F190),"")</f>
        <v/>
      </c>
      <c r="Z190" s="96" t="str">
        <f>IF(S190=1,COUNTIF($S$6:S190,1),"")</f>
        <v/>
      </c>
      <c r="AA190" s="96">
        <f>IF(S190=0,0,IF(AND(OR(r_ini="",AND(ISNUMBER(D190),D190&gt;=r_ini)),OR(r_fim="",AND(ISNUMBER(D190),D190&lt;=r_fim)),OR(r_de="",r_de="(Todos)",F190=r_de)),1,0))</f>
        <v>0</v>
      </c>
      <c r="AB190" s="96" t="str">
        <f>IF(AA190=1,IF(F190="",0,COUNTIF($F$6:$F$505,"&lt;"&amp;F190))*1000+185,"")</f>
        <v/>
      </c>
    </row>
    <row r="191">
      <c r="A191" s="89" t="inlineStr">
        <is>
          <t>CDF-000186</t>
        </is>
      </c>
      <c r="B191" s="90" t="n"/>
      <c r="C191" s="91" t="n"/>
      <c r="D191" s="92" t="n"/>
      <c r="E191" s="91" t="n"/>
      <c r="F191" s="91" t="n"/>
      <c r="G191" s="91" t="n"/>
      <c r="H191" s="91" t="n"/>
      <c r="I191" s="91" t="n"/>
      <c r="J191" s="91" t="n"/>
      <c r="K191" s="92" t="n"/>
      <c r="L191" s="91" t="n"/>
      <c r="M191" s="91" t="n"/>
      <c r="N191" s="91" t="n"/>
      <c r="O191" s="93" t="str">
        <f>IF(S191=0,"",SUMIFS('VÍNCULOS_CDF'!$H$6:$H$1005,'VÍNCULOS_CDF'!$O$6:$O$1005,A191,'VÍNCULOS_CDF'!$V$6:$V$1005,1))</f>
        <v/>
      </c>
      <c r="P191" s="95" t="str">
        <f>IF(S191=0,"",COUNTIFS('VÍNCULOS_CDF'!$O$6:$O$1005,A191,'VÍNCULOS_CDF'!$N$6:$N$1005,1))</f>
        <v/>
      </c>
      <c r="Q191" s="94" t="str">
        <f>IF(S191=0,"",IF(OR(B191="",F191=""),"Informações incompletas",IF(U191=1,"Possível duplicidade",IF(V191=0,"Destinador fora do cadastro",IF(AND(J191="Sim",N(P191)=0),"Necessita revisão de vínculos",IF(X191&gt;0,"Necessita revisão de vínculos",IF(J191="Sim","Conferido",IF(I191="Sim","Localizado, aguardando conferência","Cadastrado"))))))))</f>
        <v/>
      </c>
      <c r="R191" s="95" t="str">
        <f>IF(S191=0,"",COUNTIFS('VÍNCULOS_CDF'!$O$6:$O$1005,A191,'VÍNCULOS_CDF'!$AB$6:$AB$1005,1))</f>
        <v/>
      </c>
      <c r="S191" s="96">
        <f>IF(COUNTA(B191:N191)&gt;0,1,0)</f>
        <v>0</v>
      </c>
      <c r="T191" s="96" t="str">
        <f>IF(AND(S191=1,B191&lt;&gt;""),C191&amp;"|"&amp;TRIM(B191),"")</f>
        <v/>
      </c>
      <c r="U191" s="96">
        <f>IF(T191="",0,IF(SUMPRODUCT(--($T$6:$T$505=T191))&gt;1,1,0))</f>
        <v>0</v>
      </c>
      <c r="V191" s="96">
        <f>IF(F191="",0,IF(ISNUMBER(MATCH(F191,cmp_dest,0)),1,0))</f>
        <v>0</v>
      </c>
      <c r="W191" s="96">
        <f>IF(AND(S191=1,B191&lt;&gt;"",F191&lt;&gt;"",J191="Sim",U191=0),1,0)</f>
        <v>0</v>
      </c>
      <c r="X191" s="96">
        <f>IF(S191=0,0,COUNTIFS('VÍNCULOS_CDF'!$O$6:$O$1005,A191,'VÍNCULOS_CDF'!$Y$6:$Y$1005,1))</f>
        <v>0</v>
      </c>
      <c r="Y191" s="96" t="str">
        <f>IF(S191=1,A191&amp;" | CDF "&amp;IF(B191="","(sem número)",B191)&amp;" | "&amp;IF(F191="","(sem destinador)",F191),"")</f>
        <v/>
      </c>
      <c r="Z191" s="96" t="str">
        <f>IF(S191=1,COUNTIF($S$6:S191,1),"")</f>
        <v/>
      </c>
      <c r="AA191" s="96">
        <f>IF(S191=0,0,IF(AND(OR(r_ini="",AND(ISNUMBER(D191),D191&gt;=r_ini)),OR(r_fim="",AND(ISNUMBER(D191),D191&lt;=r_fim)),OR(r_de="",r_de="(Todos)",F191=r_de)),1,0))</f>
        <v>0</v>
      </c>
      <c r="AB191" s="96" t="str">
        <f>IF(AA191=1,IF(F191="",0,COUNTIF($F$6:$F$505,"&lt;"&amp;F191))*1000+186,"")</f>
        <v/>
      </c>
    </row>
    <row r="192">
      <c r="A192" s="89" t="inlineStr">
        <is>
          <t>CDF-000187</t>
        </is>
      </c>
      <c r="B192" s="90" t="n"/>
      <c r="C192" s="91" t="n"/>
      <c r="D192" s="92" t="n"/>
      <c r="E192" s="91" t="n"/>
      <c r="F192" s="91" t="n"/>
      <c r="G192" s="91" t="n"/>
      <c r="H192" s="91" t="n"/>
      <c r="I192" s="91" t="n"/>
      <c r="J192" s="91" t="n"/>
      <c r="K192" s="92" t="n"/>
      <c r="L192" s="91" t="n"/>
      <c r="M192" s="91" t="n"/>
      <c r="N192" s="91" t="n"/>
      <c r="O192" s="93" t="str">
        <f>IF(S192=0,"",SUMIFS('VÍNCULOS_CDF'!$H$6:$H$1005,'VÍNCULOS_CDF'!$O$6:$O$1005,A192,'VÍNCULOS_CDF'!$V$6:$V$1005,1))</f>
        <v/>
      </c>
      <c r="P192" s="95" t="str">
        <f>IF(S192=0,"",COUNTIFS('VÍNCULOS_CDF'!$O$6:$O$1005,A192,'VÍNCULOS_CDF'!$N$6:$N$1005,1))</f>
        <v/>
      </c>
      <c r="Q192" s="94" t="str">
        <f>IF(S192=0,"",IF(OR(B192="",F192=""),"Informações incompletas",IF(U192=1,"Possível duplicidade",IF(V192=0,"Destinador fora do cadastro",IF(AND(J192="Sim",N(P192)=0),"Necessita revisão de vínculos",IF(X192&gt;0,"Necessita revisão de vínculos",IF(J192="Sim","Conferido",IF(I192="Sim","Localizado, aguardando conferência","Cadastrado"))))))))</f>
        <v/>
      </c>
      <c r="R192" s="95" t="str">
        <f>IF(S192=0,"",COUNTIFS('VÍNCULOS_CDF'!$O$6:$O$1005,A192,'VÍNCULOS_CDF'!$AB$6:$AB$1005,1))</f>
        <v/>
      </c>
      <c r="S192" s="96">
        <f>IF(COUNTA(B192:N192)&gt;0,1,0)</f>
        <v>0</v>
      </c>
      <c r="T192" s="96" t="str">
        <f>IF(AND(S192=1,B192&lt;&gt;""),C192&amp;"|"&amp;TRIM(B192),"")</f>
        <v/>
      </c>
      <c r="U192" s="96">
        <f>IF(T192="",0,IF(SUMPRODUCT(--($T$6:$T$505=T192))&gt;1,1,0))</f>
        <v>0</v>
      </c>
      <c r="V192" s="96">
        <f>IF(F192="",0,IF(ISNUMBER(MATCH(F192,cmp_dest,0)),1,0))</f>
        <v>0</v>
      </c>
      <c r="W192" s="96">
        <f>IF(AND(S192=1,B192&lt;&gt;"",F192&lt;&gt;"",J192="Sim",U192=0),1,0)</f>
        <v>0</v>
      </c>
      <c r="X192" s="96">
        <f>IF(S192=0,0,COUNTIFS('VÍNCULOS_CDF'!$O$6:$O$1005,A192,'VÍNCULOS_CDF'!$Y$6:$Y$1005,1))</f>
        <v>0</v>
      </c>
      <c r="Y192" s="96" t="str">
        <f>IF(S192=1,A192&amp;" | CDF "&amp;IF(B192="","(sem número)",B192)&amp;" | "&amp;IF(F192="","(sem destinador)",F192),"")</f>
        <v/>
      </c>
      <c r="Z192" s="96" t="str">
        <f>IF(S192=1,COUNTIF($S$6:S192,1),"")</f>
        <v/>
      </c>
      <c r="AA192" s="96">
        <f>IF(S192=0,0,IF(AND(OR(r_ini="",AND(ISNUMBER(D192),D192&gt;=r_ini)),OR(r_fim="",AND(ISNUMBER(D192),D192&lt;=r_fim)),OR(r_de="",r_de="(Todos)",F192=r_de)),1,0))</f>
        <v>0</v>
      </c>
      <c r="AB192" s="96" t="str">
        <f>IF(AA192=1,IF(F192="",0,COUNTIF($F$6:$F$505,"&lt;"&amp;F192))*1000+187,"")</f>
        <v/>
      </c>
    </row>
    <row r="193">
      <c r="A193" s="89" t="inlineStr">
        <is>
          <t>CDF-000188</t>
        </is>
      </c>
      <c r="B193" s="90" t="n"/>
      <c r="C193" s="91" t="n"/>
      <c r="D193" s="92" t="n"/>
      <c r="E193" s="91" t="n"/>
      <c r="F193" s="91" t="n"/>
      <c r="G193" s="91" t="n"/>
      <c r="H193" s="91" t="n"/>
      <c r="I193" s="91" t="n"/>
      <c r="J193" s="91" t="n"/>
      <c r="K193" s="92" t="n"/>
      <c r="L193" s="91" t="n"/>
      <c r="M193" s="91" t="n"/>
      <c r="N193" s="91" t="n"/>
      <c r="O193" s="93" t="str">
        <f>IF(S193=0,"",SUMIFS('VÍNCULOS_CDF'!$H$6:$H$1005,'VÍNCULOS_CDF'!$O$6:$O$1005,A193,'VÍNCULOS_CDF'!$V$6:$V$1005,1))</f>
        <v/>
      </c>
      <c r="P193" s="95" t="str">
        <f>IF(S193=0,"",COUNTIFS('VÍNCULOS_CDF'!$O$6:$O$1005,A193,'VÍNCULOS_CDF'!$N$6:$N$1005,1))</f>
        <v/>
      </c>
      <c r="Q193" s="94" t="str">
        <f>IF(S193=0,"",IF(OR(B193="",F193=""),"Informações incompletas",IF(U193=1,"Possível duplicidade",IF(V193=0,"Destinador fora do cadastro",IF(AND(J193="Sim",N(P193)=0),"Necessita revisão de vínculos",IF(X193&gt;0,"Necessita revisão de vínculos",IF(J193="Sim","Conferido",IF(I193="Sim","Localizado, aguardando conferência","Cadastrado"))))))))</f>
        <v/>
      </c>
      <c r="R193" s="95" t="str">
        <f>IF(S193=0,"",COUNTIFS('VÍNCULOS_CDF'!$O$6:$O$1005,A193,'VÍNCULOS_CDF'!$AB$6:$AB$1005,1))</f>
        <v/>
      </c>
      <c r="S193" s="96">
        <f>IF(COUNTA(B193:N193)&gt;0,1,0)</f>
        <v>0</v>
      </c>
      <c r="T193" s="96" t="str">
        <f>IF(AND(S193=1,B193&lt;&gt;""),C193&amp;"|"&amp;TRIM(B193),"")</f>
        <v/>
      </c>
      <c r="U193" s="96">
        <f>IF(T193="",0,IF(SUMPRODUCT(--($T$6:$T$505=T193))&gt;1,1,0))</f>
        <v>0</v>
      </c>
      <c r="V193" s="96">
        <f>IF(F193="",0,IF(ISNUMBER(MATCH(F193,cmp_dest,0)),1,0))</f>
        <v>0</v>
      </c>
      <c r="W193" s="96">
        <f>IF(AND(S193=1,B193&lt;&gt;"",F193&lt;&gt;"",J193="Sim",U193=0),1,0)</f>
        <v>0</v>
      </c>
      <c r="X193" s="96">
        <f>IF(S193=0,0,COUNTIFS('VÍNCULOS_CDF'!$O$6:$O$1005,A193,'VÍNCULOS_CDF'!$Y$6:$Y$1005,1))</f>
        <v>0</v>
      </c>
      <c r="Y193" s="96" t="str">
        <f>IF(S193=1,A193&amp;" | CDF "&amp;IF(B193="","(sem número)",B193)&amp;" | "&amp;IF(F193="","(sem destinador)",F193),"")</f>
        <v/>
      </c>
      <c r="Z193" s="96" t="str">
        <f>IF(S193=1,COUNTIF($S$6:S193,1),"")</f>
        <v/>
      </c>
      <c r="AA193" s="96">
        <f>IF(S193=0,0,IF(AND(OR(r_ini="",AND(ISNUMBER(D193),D193&gt;=r_ini)),OR(r_fim="",AND(ISNUMBER(D193),D193&lt;=r_fim)),OR(r_de="",r_de="(Todos)",F193=r_de)),1,0))</f>
        <v>0</v>
      </c>
      <c r="AB193" s="96" t="str">
        <f>IF(AA193=1,IF(F193="",0,COUNTIF($F$6:$F$505,"&lt;"&amp;F193))*1000+188,"")</f>
        <v/>
      </c>
    </row>
    <row r="194">
      <c r="A194" s="89" t="inlineStr">
        <is>
          <t>CDF-000189</t>
        </is>
      </c>
      <c r="B194" s="90" t="n"/>
      <c r="C194" s="91" t="n"/>
      <c r="D194" s="92" t="n"/>
      <c r="E194" s="91" t="n"/>
      <c r="F194" s="91" t="n"/>
      <c r="G194" s="91" t="n"/>
      <c r="H194" s="91" t="n"/>
      <c r="I194" s="91" t="n"/>
      <c r="J194" s="91" t="n"/>
      <c r="K194" s="92" t="n"/>
      <c r="L194" s="91" t="n"/>
      <c r="M194" s="91" t="n"/>
      <c r="N194" s="91" t="n"/>
      <c r="O194" s="93" t="str">
        <f>IF(S194=0,"",SUMIFS('VÍNCULOS_CDF'!$H$6:$H$1005,'VÍNCULOS_CDF'!$O$6:$O$1005,A194,'VÍNCULOS_CDF'!$V$6:$V$1005,1))</f>
        <v/>
      </c>
      <c r="P194" s="95" t="str">
        <f>IF(S194=0,"",COUNTIFS('VÍNCULOS_CDF'!$O$6:$O$1005,A194,'VÍNCULOS_CDF'!$N$6:$N$1005,1))</f>
        <v/>
      </c>
      <c r="Q194" s="94" t="str">
        <f>IF(S194=0,"",IF(OR(B194="",F194=""),"Informações incompletas",IF(U194=1,"Possível duplicidade",IF(V194=0,"Destinador fora do cadastro",IF(AND(J194="Sim",N(P194)=0),"Necessita revisão de vínculos",IF(X194&gt;0,"Necessita revisão de vínculos",IF(J194="Sim","Conferido",IF(I194="Sim","Localizado, aguardando conferência","Cadastrado"))))))))</f>
        <v/>
      </c>
      <c r="R194" s="95" t="str">
        <f>IF(S194=0,"",COUNTIFS('VÍNCULOS_CDF'!$O$6:$O$1005,A194,'VÍNCULOS_CDF'!$AB$6:$AB$1005,1))</f>
        <v/>
      </c>
      <c r="S194" s="96">
        <f>IF(COUNTA(B194:N194)&gt;0,1,0)</f>
        <v>0</v>
      </c>
      <c r="T194" s="96" t="str">
        <f>IF(AND(S194=1,B194&lt;&gt;""),C194&amp;"|"&amp;TRIM(B194),"")</f>
        <v/>
      </c>
      <c r="U194" s="96">
        <f>IF(T194="",0,IF(SUMPRODUCT(--($T$6:$T$505=T194))&gt;1,1,0))</f>
        <v>0</v>
      </c>
      <c r="V194" s="96">
        <f>IF(F194="",0,IF(ISNUMBER(MATCH(F194,cmp_dest,0)),1,0))</f>
        <v>0</v>
      </c>
      <c r="W194" s="96">
        <f>IF(AND(S194=1,B194&lt;&gt;"",F194&lt;&gt;"",J194="Sim",U194=0),1,0)</f>
        <v>0</v>
      </c>
      <c r="X194" s="96">
        <f>IF(S194=0,0,COUNTIFS('VÍNCULOS_CDF'!$O$6:$O$1005,A194,'VÍNCULOS_CDF'!$Y$6:$Y$1005,1))</f>
        <v>0</v>
      </c>
      <c r="Y194" s="96" t="str">
        <f>IF(S194=1,A194&amp;" | CDF "&amp;IF(B194="","(sem número)",B194)&amp;" | "&amp;IF(F194="","(sem destinador)",F194),"")</f>
        <v/>
      </c>
      <c r="Z194" s="96" t="str">
        <f>IF(S194=1,COUNTIF($S$6:S194,1),"")</f>
        <v/>
      </c>
      <c r="AA194" s="96">
        <f>IF(S194=0,0,IF(AND(OR(r_ini="",AND(ISNUMBER(D194),D194&gt;=r_ini)),OR(r_fim="",AND(ISNUMBER(D194),D194&lt;=r_fim)),OR(r_de="",r_de="(Todos)",F194=r_de)),1,0))</f>
        <v>0</v>
      </c>
      <c r="AB194" s="96" t="str">
        <f>IF(AA194=1,IF(F194="",0,COUNTIF($F$6:$F$505,"&lt;"&amp;F194))*1000+189,"")</f>
        <v/>
      </c>
    </row>
    <row r="195">
      <c r="A195" s="89" t="inlineStr">
        <is>
          <t>CDF-000190</t>
        </is>
      </c>
      <c r="B195" s="90" t="n"/>
      <c r="C195" s="91" t="n"/>
      <c r="D195" s="92" t="n"/>
      <c r="E195" s="91" t="n"/>
      <c r="F195" s="91" t="n"/>
      <c r="G195" s="91" t="n"/>
      <c r="H195" s="91" t="n"/>
      <c r="I195" s="91" t="n"/>
      <c r="J195" s="91" t="n"/>
      <c r="K195" s="92" t="n"/>
      <c r="L195" s="91" t="n"/>
      <c r="M195" s="91" t="n"/>
      <c r="N195" s="91" t="n"/>
      <c r="O195" s="93" t="str">
        <f>IF(S195=0,"",SUMIFS('VÍNCULOS_CDF'!$H$6:$H$1005,'VÍNCULOS_CDF'!$O$6:$O$1005,A195,'VÍNCULOS_CDF'!$V$6:$V$1005,1))</f>
        <v/>
      </c>
      <c r="P195" s="95" t="str">
        <f>IF(S195=0,"",COUNTIFS('VÍNCULOS_CDF'!$O$6:$O$1005,A195,'VÍNCULOS_CDF'!$N$6:$N$1005,1))</f>
        <v/>
      </c>
      <c r="Q195" s="94" t="str">
        <f>IF(S195=0,"",IF(OR(B195="",F195=""),"Informações incompletas",IF(U195=1,"Possível duplicidade",IF(V195=0,"Destinador fora do cadastro",IF(AND(J195="Sim",N(P195)=0),"Necessita revisão de vínculos",IF(X195&gt;0,"Necessita revisão de vínculos",IF(J195="Sim","Conferido",IF(I195="Sim","Localizado, aguardando conferência","Cadastrado"))))))))</f>
        <v/>
      </c>
      <c r="R195" s="95" t="str">
        <f>IF(S195=0,"",COUNTIFS('VÍNCULOS_CDF'!$O$6:$O$1005,A195,'VÍNCULOS_CDF'!$AB$6:$AB$1005,1))</f>
        <v/>
      </c>
      <c r="S195" s="96">
        <f>IF(COUNTA(B195:N195)&gt;0,1,0)</f>
        <v>0</v>
      </c>
      <c r="T195" s="96" t="str">
        <f>IF(AND(S195=1,B195&lt;&gt;""),C195&amp;"|"&amp;TRIM(B195),"")</f>
        <v/>
      </c>
      <c r="U195" s="96">
        <f>IF(T195="",0,IF(SUMPRODUCT(--($T$6:$T$505=T195))&gt;1,1,0))</f>
        <v>0</v>
      </c>
      <c r="V195" s="96">
        <f>IF(F195="",0,IF(ISNUMBER(MATCH(F195,cmp_dest,0)),1,0))</f>
        <v>0</v>
      </c>
      <c r="W195" s="96">
        <f>IF(AND(S195=1,B195&lt;&gt;"",F195&lt;&gt;"",J195="Sim",U195=0),1,0)</f>
        <v>0</v>
      </c>
      <c r="X195" s="96">
        <f>IF(S195=0,0,COUNTIFS('VÍNCULOS_CDF'!$O$6:$O$1005,A195,'VÍNCULOS_CDF'!$Y$6:$Y$1005,1))</f>
        <v>0</v>
      </c>
      <c r="Y195" s="96" t="str">
        <f>IF(S195=1,A195&amp;" | CDF "&amp;IF(B195="","(sem número)",B195)&amp;" | "&amp;IF(F195="","(sem destinador)",F195),"")</f>
        <v/>
      </c>
      <c r="Z195" s="96" t="str">
        <f>IF(S195=1,COUNTIF($S$6:S195,1),"")</f>
        <v/>
      </c>
      <c r="AA195" s="96">
        <f>IF(S195=0,0,IF(AND(OR(r_ini="",AND(ISNUMBER(D195),D195&gt;=r_ini)),OR(r_fim="",AND(ISNUMBER(D195),D195&lt;=r_fim)),OR(r_de="",r_de="(Todos)",F195=r_de)),1,0))</f>
        <v>0</v>
      </c>
      <c r="AB195" s="96" t="str">
        <f>IF(AA195=1,IF(F195="",0,COUNTIF($F$6:$F$505,"&lt;"&amp;F195))*1000+190,"")</f>
        <v/>
      </c>
    </row>
    <row r="196">
      <c r="A196" s="89" t="inlineStr">
        <is>
          <t>CDF-000191</t>
        </is>
      </c>
      <c r="B196" s="90" t="n"/>
      <c r="C196" s="91" t="n"/>
      <c r="D196" s="92" t="n"/>
      <c r="E196" s="91" t="n"/>
      <c r="F196" s="91" t="n"/>
      <c r="G196" s="91" t="n"/>
      <c r="H196" s="91" t="n"/>
      <c r="I196" s="91" t="n"/>
      <c r="J196" s="91" t="n"/>
      <c r="K196" s="92" t="n"/>
      <c r="L196" s="91" t="n"/>
      <c r="M196" s="91" t="n"/>
      <c r="N196" s="91" t="n"/>
      <c r="O196" s="93" t="str">
        <f>IF(S196=0,"",SUMIFS('VÍNCULOS_CDF'!$H$6:$H$1005,'VÍNCULOS_CDF'!$O$6:$O$1005,A196,'VÍNCULOS_CDF'!$V$6:$V$1005,1))</f>
        <v/>
      </c>
      <c r="P196" s="95" t="str">
        <f>IF(S196=0,"",COUNTIFS('VÍNCULOS_CDF'!$O$6:$O$1005,A196,'VÍNCULOS_CDF'!$N$6:$N$1005,1))</f>
        <v/>
      </c>
      <c r="Q196" s="94" t="str">
        <f>IF(S196=0,"",IF(OR(B196="",F196=""),"Informações incompletas",IF(U196=1,"Possível duplicidade",IF(V196=0,"Destinador fora do cadastro",IF(AND(J196="Sim",N(P196)=0),"Necessita revisão de vínculos",IF(X196&gt;0,"Necessita revisão de vínculos",IF(J196="Sim","Conferido",IF(I196="Sim","Localizado, aguardando conferência","Cadastrado"))))))))</f>
        <v/>
      </c>
      <c r="R196" s="95" t="str">
        <f>IF(S196=0,"",COUNTIFS('VÍNCULOS_CDF'!$O$6:$O$1005,A196,'VÍNCULOS_CDF'!$AB$6:$AB$1005,1))</f>
        <v/>
      </c>
      <c r="S196" s="96">
        <f>IF(COUNTA(B196:N196)&gt;0,1,0)</f>
        <v>0</v>
      </c>
      <c r="T196" s="96" t="str">
        <f>IF(AND(S196=1,B196&lt;&gt;""),C196&amp;"|"&amp;TRIM(B196),"")</f>
        <v/>
      </c>
      <c r="U196" s="96">
        <f>IF(T196="",0,IF(SUMPRODUCT(--($T$6:$T$505=T196))&gt;1,1,0))</f>
        <v>0</v>
      </c>
      <c r="V196" s="96">
        <f>IF(F196="",0,IF(ISNUMBER(MATCH(F196,cmp_dest,0)),1,0))</f>
        <v>0</v>
      </c>
      <c r="W196" s="96">
        <f>IF(AND(S196=1,B196&lt;&gt;"",F196&lt;&gt;"",J196="Sim",U196=0),1,0)</f>
        <v>0</v>
      </c>
      <c r="X196" s="96">
        <f>IF(S196=0,0,COUNTIFS('VÍNCULOS_CDF'!$O$6:$O$1005,A196,'VÍNCULOS_CDF'!$Y$6:$Y$1005,1))</f>
        <v>0</v>
      </c>
      <c r="Y196" s="96" t="str">
        <f>IF(S196=1,A196&amp;" | CDF "&amp;IF(B196="","(sem número)",B196)&amp;" | "&amp;IF(F196="","(sem destinador)",F196),"")</f>
        <v/>
      </c>
      <c r="Z196" s="96" t="str">
        <f>IF(S196=1,COUNTIF($S$6:S196,1),"")</f>
        <v/>
      </c>
      <c r="AA196" s="96">
        <f>IF(S196=0,0,IF(AND(OR(r_ini="",AND(ISNUMBER(D196),D196&gt;=r_ini)),OR(r_fim="",AND(ISNUMBER(D196),D196&lt;=r_fim)),OR(r_de="",r_de="(Todos)",F196=r_de)),1,0))</f>
        <v>0</v>
      </c>
      <c r="AB196" s="96" t="str">
        <f>IF(AA196=1,IF(F196="",0,COUNTIF($F$6:$F$505,"&lt;"&amp;F196))*1000+191,"")</f>
        <v/>
      </c>
    </row>
    <row r="197">
      <c r="A197" s="89" t="inlineStr">
        <is>
          <t>CDF-000192</t>
        </is>
      </c>
      <c r="B197" s="90" t="n"/>
      <c r="C197" s="91" t="n"/>
      <c r="D197" s="92" t="n"/>
      <c r="E197" s="91" t="n"/>
      <c r="F197" s="91" t="n"/>
      <c r="G197" s="91" t="n"/>
      <c r="H197" s="91" t="n"/>
      <c r="I197" s="91" t="n"/>
      <c r="J197" s="91" t="n"/>
      <c r="K197" s="92" t="n"/>
      <c r="L197" s="91" t="n"/>
      <c r="M197" s="91" t="n"/>
      <c r="N197" s="91" t="n"/>
      <c r="O197" s="93" t="str">
        <f>IF(S197=0,"",SUMIFS('VÍNCULOS_CDF'!$H$6:$H$1005,'VÍNCULOS_CDF'!$O$6:$O$1005,A197,'VÍNCULOS_CDF'!$V$6:$V$1005,1))</f>
        <v/>
      </c>
      <c r="P197" s="95" t="str">
        <f>IF(S197=0,"",COUNTIFS('VÍNCULOS_CDF'!$O$6:$O$1005,A197,'VÍNCULOS_CDF'!$N$6:$N$1005,1))</f>
        <v/>
      </c>
      <c r="Q197" s="94" t="str">
        <f>IF(S197=0,"",IF(OR(B197="",F197=""),"Informações incompletas",IF(U197=1,"Possível duplicidade",IF(V197=0,"Destinador fora do cadastro",IF(AND(J197="Sim",N(P197)=0),"Necessita revisão de vínculos",IF(X197&gt;0,"Necessita revisão de vínculos",IF(J197="Sim","Conferido",IF(I197="Sim","Localizado, aguardando conferência","Cadastrado"))))))))</f>
        <v/>
      </c>
      <c r="R197" s="95" t="str">
        <f>IF(S197=0,"",COUNTIFS('VÍNCULOS_CDF'!$O$6:$O$1005,A197,'VÍNCULOS_CDF'!$AB$6:$AB$1005,1))</f>
        <v/>
      </c>
      <c r="S197" s="96">
        <f>IF(COUNTA(B197:N197)&gt;0,1,0)</f>
        <v>0</v>
      </c>
      <c r="T197" s="96" t="str">
        <f>IF(AND(S197=1,B197&lt;&gt;""),C197&amp;"|"&amp;TRIM(B197),"")</f>
        <v/>
      </c>
      <c r="U197" s="96">
        <f>IF(T197="",0,IF(SUMPRODUCT(--($T$6:$T$505=T197))&gt;1,1,0))</f>
        <v>0</v>
      </c>
      <c r="V197" s="96">
        <f>IF(F197="",0,IF(ISNUMBER(MATCH(F197,cmp_dest,0)),1,0))</f>
        <v>0</v>
      </c>
      <c r="W197" s="96">
        <f>IF(AND(S197=1,B197&lt;&gt;"",F197&lt;&gt;"",J197="Sim",U197=0),1,0)</f>
        <v>0</v>
      </c>
      <c r="X197" s="96">
        <f>IF(S197=0,0,COUNTIFS('VÍNCULOS_CDF'!$O$6:$O$1005,A197,'VÍNCULOS_CDF'!$Y$6:$Y$1005,1))</f>
        <v>0</v>
      </c>
      <c r="Y197" s="96" t="str">
        <f>IF(S197=1,A197&amp;" | CDF "&amp;IF(B197="","(sem número)",B197)&amp;" | "&amp;IF(F197="","(sem destinador)",F197),"")</f>
        <v/>
      </c>
      <c r="Z197" s="96" t="str">
        <f>IF(S197=1,COUNTIF($S$6:S197,1),"")</f>
        <v/>
      </c>
      <c r="AA197" s="96">
        <f>IF(S197=0,0,IF(AND(OR(r_ini="",AND(ISNUMBER(D197),D197&gt;=r_ini)),OR(r_fim="",AND(ISNUMBER(D197),D197&lt;=r_fim)),OR(r_de="",r_de="(Todos)",F197=r_de)),1,0))</f>
        <v>0</v>
      </c>
      <c r="AB197" s="96" t="str">
        <f>IF(AA197=1,IF(F197="",0,COUNTIF($F$6:$F$505,"&lt;"&amp;F197))*1000+192,"")</f>
        <v/>
      </c>
    </row>
    <row r="198">
      <c r="A198" s="89" t="inlineStr">
        <is>
          <t>CDF-000193</t>
        </is>
      </c>
      <c r="B198" s="90" t="n"/>
      <c r="C198" s="91" t="n"/>
      <c r="D198" s="92" t="n"/>
      <c r="E198" s="91" t="n"/>
      <c r="F198" s="91" t="n"/>
      <c r="G198" s="91" t="n"/>
      <c r="H198" s="91" t="n"/>
      <c r="I198" s="91" t="n"/>
      <c r="J198" s="91" t="n"/>
      <c r="K198" s="92" t="n"/>
      <c r="L198" s="91" t="n"/>
      <c r="M198" s="91" t="n"/>
      <c r="N198" s="91" t="n"/>
      <c r="O198" s="93" t="str">
        <f>IF(S198=0,"",SUMIFS('VÍNCULOS_CDF'!$H$6:$H$1005,'VÍNCULOS_CDF'!$O$6:$O$1005,A198,'VÍNCULOS_CDF'!$V$6:$V$1005,1))</f>
        <v/>
      </c>
      <c r="P198" s="95" t="str">
        <f>IF(S198=0,"",COUNTIFS('VÍNCULOS_CDF'!$O$6:$O$1005,A198,'VÍNCULOS_CDF'!$N$6:$N$1005,1))</f>
        <v/>
      </c>
      <c r="Q198" s="94" t="str">
        <f>IF(S198=0,"",IF(OR(B198="",F198=""),"Informações incompletas",IF(U198=1,"Possível duplicidade",IF(V198=0,"Destinador fora do cadastro",IF(AND(J198="Sim",N(P198)=0),"Necessita revisão de vínculos",IF(X198&gt;0,"Necessita revisão de vínculos",IF(J198="Sim","Conferido",IF(I198="Sim","Localizado, aguardando conferência","Cadastrado"))))))))</f>
        <v/>
      </c>
      <c r="R198" s="95" t="str">
        <f>IF(S198=0,"",COUNTIFS('VÍNCULOS_CDF'!$O$6:$O$1005,A198,'VÍNCULOS_CDF'!$AB$6:$AB$1005,1))</f>
        <v/>
      </c>
      <c r="S198" s="96">
        <f>IF(COUNTA(B198:N198)&gt;0,1,0)</f>
        <v>0</v>
      </c>
      <c r="T198" s="96" t="str">
        <f>IF(AND(S198=1,B198&lt;&gt;""),C198&amp;"|"&amp;TRIM(B198),"")</f>
        <v/>
      </c>
      <c r="U198" s="96">
        <f>IF(T198="",0,IF(SUMPRODUCT(--($T$6:$T$505=T198))&gt;1,1,0))</f>
        <v>0</v>
      </c>
      <c r="V198" s="96">
        <f>IF(F198="",0,IF(ISNUMBER(MATCH(F198,cmp_dest,0)),1,0))</f>
        <v>0</v>
      </c>
      <c r="W198" s="96">
        <f>IF(AND(S198=1,B198&lt;&gt;"",F198&lt;&gt;"",J198="Sim",U198=0),1,0)</f>
        <v>0</v>
      </c>
      <c r="X198" s="96">
        <f>IF(S198=0,0,COUNTIFS('VÍNCULOS_CDF'!$O$6:$O$1005,A198,'VÍNCULOS_CDF'!$Y$6:$Y$1005,1))</f>
        <v>0</v>
      </c>
      <c r="Y198" s="96" t="str">
        <f>IF(S198=1,A198&amp;" | CDF "&amp;IF(B198="","(sem número)",B198)&amp;" | "&amp;IF(F198="","(sem destinador)",F198),"")</f>
        <v/>
      </c>
      <c r="Z198" s="96" t="str">
        <f>IF(S198=1,COUNTIF($S$6:S198,1),"")</f>
        <v/>
      </c>
      <c r="AA198" s="96">
        <f>IF(S198=0,0,IF(AND(OR(r_ini="",AND(ISNUMBER(D198),D198&gt;=r_ini)),OR(r_fim="",AND(ISNUMBER(D198),D198&lt;=r_fim)),OR(r_de="",r_de="(Todos)",F198=r_de)),1,0))</f>
        <v>0</v>
      </c>
      <c r="AB198" s="96" t="str">
        <f>IF(AA198=1,IF(F198="",0,COUNTIF($F$6:$F$505,"&lt;"&amp;F198))*1000+193,"")</f>
        <v/>
      </c>
    </row>
    <row r="199">
      <c r="A199" s="89" t="inlineStr">
        <is>
          <t>CDF-000194</t>
        </is>
      </c>
      <c r="B199" s="90" t="n"/>
      <c r="C199" s="91" t="n"/>
      <c r="D199" s="92" t="n"/>
      <c r="E199" s="91" t="n"/>
      <c r="F199" s="91" t="n"/>
      <c r="G199" s="91" t="n"/>
      <c r="H199" s="91" t="n"/>
      <c r="I199" s="91" t="n"/>
      <c r="J199" s="91" t="n"/>
      <c r="K199" s="92" t="n"/>
      <c r="L199" s="91" t="n"/>
      <c r="M199" s="91" t="n"/>
      <c r="N199" s="91" t="n"/>
      <c r="O199" s="93" t="str">
        <f>IF(S199=0,"",SUMIFS('VÍNCULOS_CDF'!$H$6:$H$1005,'VÍNCULOS_CDF'!$O$6:$O$1005,A199,'VÍNCULOS_CDF'!$V$6:$V$1005,1))</f>
        <v/>
      </c>
      <c r="P199" s="95" t="str">
        <f>IF(S199=0,"",COUNTIFS('VÍNCULOS_CDF'!$O$6:$O$1005,A199,'VÍNCULOS_CDF'!$N$6:$N$1005,1))</f>
        <v/>
      </c>
      <c r="Q199" s="94" t="str">
        <f>IF(S199=0,"",IF(OR(B199="",F199=""),"Informações incompletas",IF(U199=1,"Possível duplicidade",IF(V199=0,"Destinador fora do cadastro",IF(AND(J199="Sim",N(P199)=0),"Necessita revisão de vínculos",IF(X199&gt;0,"Necessita revisão de vínculos",IF(J199="Sim","Conferido",IF(I199="Sim","Localizado, aguardando conferência","Cadastrado"))))))))</f>
        <v/>
      </c>
      <c r="R199" s="95" t="str">
        <f>IF(S199=0,"",COUNTIFS('VÍNCULOS_CDF'!$O$6:$O$1005,A199,'VÍNCULOS_CDF'!$AB$6:$AB$1005,1))</f>
        <v/>
      </c>
      <c r="S199" s="96">
        <f>IF(COUNTA(B199:N199)&gt;0,1,0)</f>
        <v>0</v>
      </c>
      <c r="T199" s="96" t="str">
        <f>IF(AND(S199=1,B199&lt;&gt;""),C199&amp;"|"&amp;TRIM(B199),"")</f>
        <v/>
      </c>
      <c r="U199" s="96">
        <f>IF(T199="",0,IF(SUMPRODUCT(--($T$6:$T$505=T199))&gt;1,1,0))</f>
        <v>0</v>
      </c>
      <c r="V199" s="96">
        <f>IF(F199="",0,IF(ISNUMBER(MATCH(F199,cmp_dest,0)),1,0))</f>
        <v>0</v>
      </c>
      <c r="W199" s="96">
        <f>IF(AND(S199=1,B199&lt;&gt;"",F199&lt;&gt;"",J199="Sim",U199=0),1,0)</f>
        <v>0</v>
      </c>
      <c r="X199" s="96">
        <f>IF(S199=0,0,COUNTIFS('VÍNCULOS_CDF'!$O$6:$O$1005,A199,'VÍNCULOS_CDF'!$Y$6:$Y$1005,1))</f>
        <v>0</v>
      </c>
      <c r="Y199" s="96" t="str">
        <f>IF(S199=1,A199&amp;" | CDF "&amp;IF(B199="","(sem número)",B199)&amp;" | "&amp;IF(F199="","(sem destinador)",F199),"")</f>
        <v/>
      </c>
      <c r="Z199" s="96" t="str">
        <f>IF(S199=1,COUNTIF($S$6:S199,1),"")</f>
        <v/>
      </c>
      <c r="AA199" s="96">
        <f>IF(S199=0,0,IF(AND(OR(r_ini="",AND(ISNUMBER(D199),D199&gt;=r_ini)),OR(r_fim="",AND(ISNUMBER(D199),D199&lt;=r_fim)),OR(r_de="",r_de="(Todos)",F199=r_de)),1,0))</f>
        <v>0</v>
      </c>
      <c r="AB199" s="96" t="str">
        <f>IF(AA199=1,IF(F199="",0,COUNTIF($F$6:$F$505,"&lt;"&amp;F199))*1000+194,"")</f>
        <v/>
      </c>
    </row>
    <row r="200">
      <c r="A200" s="89" t="inlineStr">
        <is>
          <t>CDF-000195</t>
        </is>
      </c>
      <c r="B200" s="90" t="n"/>
      <c r="C200" s="91" t="n"/>
      <c r="D200" s="92" t="n"/>
      <c r="E200" s="91" t="n"/>
      <c r="F200" s="91" t="n"/>
      <c r="G200" s="91" t="n"/>
      <c r="H200" s="91" t="n"/>
      <c r="I200" s="91" t="n"/>
      <c r="J200" s="91" t="n"/>
      <c r="K200" s="92" t="n"/>
      <c r="L200" s="91" t="n"/>
      <c r="M200" s="91" t="n"/>
      <c r="N200" s="91" t="n"/>
      <c r="O200" s="93" t="str">
        <f>IF(S200=0,"",SUMIFS('VÍNCULOS_CDF'!$H$6:$H$1005,'VÍNCULOS_CDF'!$O$6:$O$1005,A200,'VÍNCULOS_CDF'!$V$6:$V$1005,1))</f>
        <v/>
      </c>
      <c r="P200" s="95" t="str">
        <f>IF(S200=0,"",COUNTIFS('VÍNCULOS_CDF'!$O$6:$O$1005,A200,'VÍNCULOS_CDF'!$N$6:$N$1005,1))</f>
        <v/>
      </c>
      <c r="Q200" s="94" t="str">
        <f>IF(S200=0,"",IF(OR(B200="",F200=""),"Informações incompletas",IF(U200=1,"Possível duplicidade",IF(V200=0,"Destinador fora do cadastro",IF(AND(J200="Sim",N(P200)=0),"Necessita revisão de vínculos",IF(X200&gt;0,"Necessita revisão de vínculos",IF(J200="Sim","Conferido",IF(I200="Sim","Localizado, aguardando conferência","Cadastrado"))))))))</f>
        <v/>
      </c>
      <c r="R200" s="95" t="str">
        <f>IF(S200=0,"",COUNTIFS('VÍNCULOS_CDF'!$O$6:$O$1005,A200,'VÍNCULOS_CDF'!$AB$6:$AB$1005,1))</f>
        <v/>
      </c>
      <c r="S200" s="96">
        <f>IF(COUNTA(B200:N200)&gt;0,1,0)</f>
        <v>0</v>
      </c>
      <c r="T200" s="96" t="str">
        <f>IF(AND(S200=1,B200&lt;&gt;""),C200&amp;"|"&amp;TRIM(B200),"")</f>
        <v/>
      </c>
      <c r="U200" s="96">
        <f>IF(T200="",0,IF(SUMPRODUCT(--($T$6:$T$505=T200))&gt;1,1,0))</f>
        <v>0</v>
      </c>
      <c r="V200" s="96">
        <f>IF(F200="",0,IF(ISNUMBER(MATCH(F200,cmp_dest,0)),1,0))</f>
        <v>0</v>
      </c>
      <c r="W200" s="96">
        <f>IF(AND(S200=1,B200&lt;&gt;"",F200&lt;&gt;"",J200="Sim",U200=0),1,0)</f>
        <v>0</v>
      </c>
      <c r="X200" s="96">
        <f>IF(S200=0,0,COUNTIFS('VÍNCULOS_CDF'!$O$6:$O$1005,A200,'VÍNCULOS_CDF'!$Y$6:$Y$1005,1))</f>
        <v>0</v>
      </c>
      <c r="Y200" s="96" t="str">
        <f>IF(S200=1,A200&amp;" | CDF "&amp;IF(B200="","(sem número)",B200)&amp;" | "&amp;IF(F200="","(sem destinador)",F200),"")</f>
        <v/>
      </c>
      <c r="Z200" s="96" t="str">
        <f>IF(S200=1,COUNTIF($S$6:S200,1),"")</f>
        <v/>
      </c>
      <c r="AA200" s="96">
        <f>IF(S200=0,0,IF(AND(OR(r_ini="",AND(ISNUMBER(D200),D200&gt;=r_ini)),OR(r_fim="",AND(ISNUMBER(D200),D200&lt;=r_fim)),OR(r_de="",r_de="(Todos)",F200=r_de)),1,0))</f>
        <v>0</v>
      </c>
      <c r="AB200" s="96" t="str">
        <f>IF(AA200=1,IF(F200="",0,COUNTIF($F$6:$F$505,"&lt;"&amp;F200))*1000+195,"")</f>
        <v/>
      </c>
    </row>
    <row r="201">
      <c r="A201" s="89" t="inlineStr">
        <is>
          <t>CDF-000196</t>
        </is>
      </c>
      <c r="B201" s="90" t="n"/>
      <c r="C201" s="91" t="n"/>
      <c r="D201" s="92" t="n"/>
      <c r="E201" s="91" t="n"/>
      <c r="F201" s="91" t="n"/>
      <c r="G201" s="91" t="n"/>
      <c r="H201" s="91" t="n"/>
      <c r="I201" s="91" t="n"/>
      <c r="J201" s="91" t="n"/>
      <c r="K201" s="92" t="n"/>
      <c r="L201" s="91" t="n"/>
      <c r="M201" s="91" t="n"/>
      <c r="N201" s="91" t="n"/>
      <c r="O201" s="93" t="str">
        <f>IF(S201=0,"",SUMIFS('VÍNCULOS_CDF'!$H$6:$H$1005,'VÍNCULOS_CDF'!$O$6:$O$1005,A201,'VÍNCULOS_CDF'!$V$6:$V$1005,1))</f>
        <v/>
      </c>
      <c r="P201" s="95" t="str">
        <f>IF(S201=0,"",COUNTIFS('VÍNCULOS_CDF'!$O$6:$O$1005,A201,'VÍNCULOS_CDF'!$N$6:$N$1005,1))</f>
        <v/>
      </c>
      <c r="Q201" s="94" t="str">
        <f>IF(S201=0,"",IF(OR(B201="",F201=""),"Informações incompletas",IF(U201=1,"Possível duplicidade",IF(V201=0,"Destinador fora do cadastro",IF(AND(J201="Sim",N(P201)=0),"Necessita revisão de vínculos",IF(X201&gt;0,"Necessita revisão de vínculos",IF(J201="Sim","Conferido",IF(I201="Sim","Localizado, aguardando conferência","Cadastrado"))))))))</f>
        <v/>
      </c>
      <c r="R201" s="95" t="str">
        <f>IF(S201=0,"",COUNTIFS('VÍNCULOS_CDF'!$O$6:$O$1005,A201,'VÍNCULOS_CDF'!$AB$6:$AB$1005,1))</f>
        <v/>
      </c>
      <c r="S201" s="96">
        <f>IF(COUNTA(B201:N201)&gt;0,1,0)</f>
        <v>0</v>
      </c>
      <c r="T201" s="96" t="str">
        <f>IF(AND(S201=1,B201&lt;&gt;""),C201&amp;"|"&amp;TRIM(B201),"")</f>
        <v/>
      </c>
      <c r="U201" s="96">
        <f>IF(T201="",0,IF(SUMPRODUCT(--($T$6:$T$505=T201))&gt;1,1,0))</f>
        <v>0</v>
      </c>
      <c r="V201" s="96">
        <f>IF(F201="",0,IF(ISNUMBER(MATCH(F201,cmp_dest,0)),1,0))</f>
        <v>0</v>
      </c>
      <c r="W201" s="96">
        <f>IF(AND(S201=1,B201&lt;&gt;"",F201&lt;&gt;"",J201="Sim",U201=0),1,0)</f>
        <v>0</v>
      </c>
      <c r="X201" s="96">
        <f>IF(S201=0,0,COUNTIFS('VÍNCULOS_CDF'!$O$6:$O$1005,A201,'VÍNCULOS_CDF'!$Y$6:$Y$1005,1))</f>
        <v>0</v>
      </c>
      <c r="Y201" s="96" t="str">
        <f>IF(S201=1,A201&amp;" | CDF "&amp;IF(B201="","(sem número)",B201)&amp;" | "&amp;IF(F201="","(sem destinador)",F201),"")</f>
        <v/>
      </c>
      <c r="Z201" s="96" t="str">
        <f>IF(S201=1,COUNTIF($S$6:S201,1),"")</f>
        <v/>
      </c>
      <c r="AA201" s="96">
        <f>IF(S201=0,0,IF(AND(OR(r_ini="",AND(ISNUMBER(D201),D201&gt;=r_ini)),OR(r_fim="",AND(ISNUMBER(D201),D201&lt;=r_fim)),OR(r_de="",r_de="(Todos)",F201=r_de)),1,0))</f>
        <v>0</v>
      </c>
      <c r="AB201" s="96" t="str">
        <f>IF(AA201=1,IF(F201="",0,COUNTIF($F$6:$F$505,"&lt;"&amp;F201))*1000+196,"")</f>
        <v/>
      </c>
    </row>
    <row r="202">
      <c r="A202" s="89" t="inlineStr">
        <is>
          <t>CDF-000197</t>
        </is>
      </c>
      <c r="B202" s="90" t="n"/>
      <c r="C202" s="91" t="n"/>
      <c r="D202" s="92" t="n"/>
      <c r="E202" s="91" t="n"/>
      <c r="F202" s="91" t="n"/>
      <c r="G202" s="91" t="n"/>
      <c r="H202" s="91" t="n"/>
      <c r="I202" s="91" t="n"/>
      <c r="J202" s="91" t="n"/>
      <c r="K202" s="92" t="n"/>
      <c r="L202" s="91" t="n"/>
      <c r="M202" s="91" t="n"/>
      <c r="N202" s="91" t="n"/>
      <c r="O202" s="93" t="str">
        <f>IF(S202=0,"",SUMIFS('VÍNCULOS_CDF'!$H$6:$H$1005,'VÍNCULOS_CDF'!$O$6:$O$1005,A202,'VÍNCULOS_CDF'!$V$6:$V$1005,1))</f>
        <v/>
      </c>
      <c r="P202" s="95" t="str">
        <f>IF(S202=0,"",COUNTIFS('VÍNCULOS_CDF'!$O$6:$O$1005,A202,'VÍNCULOS_CDF'!$N$6:$N$1005,1))</f>
        <v/>
      </c>
      <c r="Q202" s="94" t="str">
        <f>IF(S202=0,"",IF(OR(B202="",F202=""),"Informações incompletas",IF(U202=1,"Possível duplicidade",IF(V202=0,"Destinador fora do cadastro",IF(AND(J202="Sim",N(P202)=0),"Necessita revisão de vínculos",IF(X202&gt;0,"Necessita revisão de vínculos",IF(J202="Sim","Conferido",IF(I202="Sim","Localizado, aguardando conferência","Cadastrado"))))))))</f>
        <v/>
      </c>
      <c r="R202" s="95" t="str">
        <f>IF(S202=0,"",COUNTIFS('VÍNCULOS_CDF'!$O$6:$O$1005,A202,'VÍNCULOS_CDF'!$AB$6:$AB$1005,1))</f>
        <v/>
      </c>
      <c r="S202" s="96">
        <f>IF(COUNTA(B202:N202)&gt;0,1,0)</f>
        <v>0</v>
      </c>
      <c r="T202" s="96" t="str">
        <f>IF(AND(S202=1,B202&lt;&gt;""),C202&amp;"|"&amp;TRIM(B202),"")</f>
        <v/>
      </c>
      <c r="U202" s="96">
        <f>IF(T202="",0,IF(SUMPRODUCT(--($T$6:$T$505=T202))&gt;1,1,0))</f>
        <v>0</v>
      </c>
      <c r="V202" s="96">
        <f>IF(F202="",0,IF(ISNUMBER(MATCH(F202,cmp_dest,0)),1,0))</f>
        <v>0</v>
      </c>
      <c r="W202" s="96">
        <f>IF(AND(S202=1,B202&lt;&gt;"",F202&lt;&gt;"",J202="Sim",U202=0),1,0)</f>
        <v>0</v>
      </c>
      <c r="X202" s="96">
        <f>IF(S202=0,0,COUNTIFS('VÍNCULOS_CDF'!$O$6:$O$1005,A202,'VÍNCULOS_CDF'!$Y$6:$Y$1005,1))</f>
        <v>0</v>
      </c>
      <c r="Y202" s="96" t="str">
        <f>IF(S202=1,A202&amp;" | CDF "&amp;IF(B202="","(sem número)",B202)&amp;" | "&amp;IF(F202="","(sem destinador)",F202),"")</f>
        <v/>
      </c>
      <c r="Z202" s="96" t="str">
        <f>IF(S202=1,COUNTIF($S$6:S202,1),"")</f>
        <v/>
      </c>
      <c r="AA202" s="96">
        <f>IF(S202=0,0,IF(AND(OR(r_ini="",AND(ISNUMBER(D202),D202&gt;=r_ini)),OR(r_fim="",AND(ISNUMBER(D202),D202&lt;=r_fim)),OR(r_de="",r_de="(Todos)",F202=r_de)),1,0))</f>
        <v>0</v>
      </c>
      <c r="AB202" s="96" t="str">
        <f>IF(AA202=1,IF(F202="",0,COUNTIF($F$6:$F$505,"&lt;"&amp;F202))*1000+197,"")</f>
        <v/>
      </c>
    </row>
    <row r="203">
      <c r="A203" s="89" t="inlineStr">
        <is>
          <t>CDF-000198</t>
        </is>
      </c>
      <c r="B203" s="90" t="n"/>
      <c r="C203" s="91" t="n"/>
      <c r="D203" s="92" t="n"/>
      <c r="E203" s="91" t="n"/>
      <c r="F203" s="91" t="n"/>
      <c r="G203" s="91" t="n"/>
      <c r="H203" s="91" t="n"/>
      <c r="I203" s="91" t="n"/>
      <c r="J203" s="91" t="n"/>
      <c r="K203" s="92" t="n"/>
      <c r="L203" s="91" t="n"/>
      <c r="M203" s="91" t="n"/>
      <c r="N203" s="91" t="n"/>
      <c r="O203" s="93" t="str">
        <f>IF(S203=0,"",SUMIFS('VÍNCULOS_CDF'!$H$6:$H$1005,'VÍNCULOS_CDF'!$O$6:$O$1005,A203,'VÍNCULOS_CDF'!$V$6:$V$1005,1))</f>
        <v/>
      </c>
      <c r="P203" s="95" t="str">
        <f>IF(S203=0,"",COUNTIFS('VÍNCULOS_CDF'!$O$6:$O$1005,A203,'VÍNCULOS_CDF'!$N$6:$N$1005,1))</f>
        <v/>
      </c>
      <c r="Q203" s="94" t="str">
        <f>IF(S203=0,"",IF(OR(B203="",F203=""),"Informações incompletas",IF(U203=1,"Possível duplicidade",IF(V203=0,"Destinador fora do cadastro",IF(AND(J203="Sim",N(P203)=0),"Necessita revisão de vínculos",IF(X203&gt;0,"Necessita revisão de vínculos",IF(J203="Sim","Conferido",IF(I203="Sim","Localizado, aguardando conferência","Cadastrado"))))))))</f>
        <v/>
      </c>
      <c r="R203" s="95" t="str">
        <f>IF(S203=0,"",COUNTIFS('VÍNCULOS_CDF'!$O$6:$O$1005,A203,'VÍNCULOS_CDF'!$AB$6:$AB$1005,1))</f>
        <v/>
      </c>
      <c r="S203" s="96">
        <f>IF(COUNTA(B203:N203)&gt;0,1,0)</f>
        <v>0</v>
      </c>
      <c r="T203" s="96" t="str">
        <f>IF(AND(S203=1,B203&lt;&gt;""),C203&amp;"|"&amp;TRIM(B203),"")</f>
        <v/>
      </c>
      <c r="U203" s="96">
        <f>IF(T203="",0,IF(SUMPRODUCT(--($T$6:$T$505=T203))&gt;1,1,0))</f>
        <v>0</v>
      </c>
      <c r="V203" s="96">
        <f>IF(F203="",0,IF(ISNUMBER(MATCH(F203,cmp_dest,0)),1,0))</f>
        <v>0</v>
      </c>
      <c r="W203" s="96">
        <f>IF(AND(S203=1,B203&lt;&gt;"",F203&lt;&gt;"",J203="Sim",U203=0),1,0)</f>
        <v>0</v>
      </c>
      <c r="X203" s="96">
        <f>IF(S203=0,0,COUNTIFS('VÍNCULOS_CDF'!$O$6:$O$1005,A203,'VÍNCULOS_CDF'!$Y$6:$Y$1005,1))</f>
        <v>0</v>
      </c>
      <c r="Y203" s="96" t="str">
        <f>IF(S203=1,A203&amp;" | CDF "&amp;IF(B203="","(sem número)",B203)&amp;" | "&amp;IF(F203="","(sem destinador)",F203),"")</f>
        <v/>
      </c>
      <c r="Z203" s="96" t="str">
        <f>IF(S203=1,COUNTIF($S$6:S203,1),"")</f>
        <v/>
      </c>
      <c r="AA203" s="96">
        <f>IF(S203=0,0,IF(AND(OR(r_ini="",AND(ISNUMBER(D203),D203&gt;=r_ini)),OR(r_fim="",AND(ISNUMBER(D203),D203&lt;=r_fim)),OR(r_de="",r_de="(Todos)",F203=r_de)),1,0))</f>
        <v>0</v>
      </c>
      <c r="AB203" s="96" t="str">
        <f>IF(AA203=1,IF(F203="",0,COUNTIF($F$6:$F$505,"&lt;"&amp;F203))*1000+198,"")</f>
        <v/>
      </c>
    </row>
    <row r="204">
      <c r="A204" s="89" t="inlineStr">
        <is>
          <t>CDF-000199</t>
        </is>
      </c>
      <c r="B204" s="90" t="n"/>
      <c r="C204" s="91" t="n"/>
      <c r="D204" s="92" t="n"/>
      <c r="E204" s="91" t="n"/>
      <c r="F204" s="91" t="n"/>
      <c r="G204" s="91" t="n"/>
      <c r="H204" s="91" t="n"/>
      <c r="I204" s="91" t="n"/>
      <c r="J204" s="91" t="n"/>
      <c r="K204" s="92" t="n"/>
      <c r="L204" s="91" t="n"/>
      <c r="M204" s="91" t="n"/>
      <c r="N204" s="91" t="n"/>
      <c r="O204" s="93" t="str">
        <f>IF(S204=0,"",SUMIFS('VÍNCULOS_CDF'!$H$6:$H$1005,'VÍNCULOS_CDF'!$O$6:$O$1005,A204,'VÍNCULOS_CDF'!$V$6:$V$1005,1))</f>
        <v/>
      </c>
      <c r="P204" s="95" t="str">
        <f>IF(S204=0,"",COUNTIFS('VÍNCULOS_CDF'!$O$6:$O$1005,A204,'VÍNCULOS_CDF'!$N$6:$N$1005,1))</f>
        <v/>
      </c>
      <c r="Q204" s="94" t="str">
        <f>IF(S204=0,"",IF(OR(B204="",F204=""),"Informações incompletas",IF(U204=1,"Possível duplicidade",IF(V204=0,"Destinador fora do cadastro",IF(AND(J204="Sim",N(P204)=0),"Necessita revisão de vínculos",IF(X204&gt;0,"Necessita revisão de vínculos",IF(J204="Sim","Conferido",IF(I204="Sim","Localizado, aguardando conferência","Cadastrado"))))))))</f>
        <v/>
      </c>
      <c r="R204" s="95" t="str">
        <f>IF(S204=0,"",COUNTIFS('VÍNCULOS_CDF'!$O$6:$O$1005,A204,'VÍNCULOS_CDF'!$AB$6:$AB$1005,1))</f>
        <v/>
      </c>
      <c r="S204" s="96">
        <f>IF(COUNTA(B204:N204)&gt;0,1,0)</f>
        <v>0</v>
      </c>
      <c r="T204" s="96" t="str">
        <f>IF(AND(S204=1,B204&lt;&gt;""),C204&amp;"|"&amp;TRIM(B204),"")</f>
        <v/>
      </c>
      <c r="U204" s="96">
        <f>IF(T204="",0,IF(SUMPRODUCT(--($T$6:$T$505=T204))&gt;1,1,0))</f>
        <v>0</v>
      </c>
      <c r="V204" s="96">
        <f>IF(F204="",0,IF(ISNUMBER(MATCH(F204,cmp_dest,0)),1,0))</f>
        <v>0</v>
      </c>
      <c r="W204" s="96">
        <f>IF(AND(S204=1,B204&lt;&gt;"",F204&lt;&gt;"",J204="Sim",U204=0),1,0)</f>
        <v>0</v>
      </c>
      <c r="X204" s="96">
        <f>IF(S204=0,0,COUNTIFS('VÍNCULOS_CDF'!$O$6:$O$1005,A204,'VÍNCULOS_CDF'!$Y$6:$Y$1005,1))</f>
        <v>0</v>
      </c>
      <c r="Y204" s="96" t="str">
        <f>IF(S204=1,A204&amp;" | CDF "&amp;IF(B204="","(sem número)",B204)&amp;" | "&amp;IF(F204="","(sem destinador)",F204),"")</f>
        <v/>
      </c>
      <c r="Z204" s="96" t="str">
        <f>IF(S204=1,COUNTIF($S$6:S204,1),"")</f>
        <v/>
      </c>
      <c r="AA204" s="96">
        <f>IF(S204=0,0,IF(AND(OR(r_ini="",AND(ISNUMBER(D204),D204&gt;=r_ini)),OR(r_fim="",AND(ISNUMBER(D204),D204&lt;=r_fim)),OR(r_de="",r_de="(Todos)",F204=r_de)),1,0))</f>
        <v>0</v>
      </c>
      <c r="AB204" s="96" t="str">
        <f>IF(AA204=1,IF(F204="",0,COUNTIF($F$6:$F$505,"&lt;"&amp;F204))*1000+199,"")</f>
        <v/>
      </c>
    </row>
    <row r="205">
      <c r="A205" s="89" t="inlineStr">
        <is>
          <t>CDF-000200</t>
        </is>
      </c>
      <c r="B205" s="90" t="n"/>
      <c r="C205" s="91" t="n"/>
      <c r="D205" s="92" t="n"/>
      <c r="E205" s="91" t="n"/>
      <c r="F205" s="91" t="n"/>
      <c r="G205" s="91" t="n"/>
      <c r="H205" s="91" t="n"/>
      <c r="I205" s="91" t="n"/>
      <c r="J205" s="91" t="n"/>
      <c r="K205" s="92" t="n"/>
      <c r="L205" s="91" t="n"/>
      <c r="M205" s="91" t="n"/>
      <c r="N205" s="91" t="n"/>
      <c r="O205" s="93" t="str">
        <f>IF(S205=0,"",SUMIFS('VÍNCULOS_CDF'!$H$6:$H$1005,'VÍNCULOS_CDF'!$O$6:$O$1005,A205,'VÍNCULOS_CDF'!$V$6:$V$1005,1))</f>
        <v/>
      </c>
      <c r="P205" s="95" t="str">
        <f>IF(S205=0,"",COUNTIFS('VÍNCULOS_CDF'!$O$6:$O$1005,A205,'VÍNCULOS_CDF'!$N$6:$N$1005,1))</f>
        <v/>
      </c>
      <c r="Q205" s="94" t="str">
        <f>IF(S205=0,"",IF(OR(B205="",F205=""),"Informações incompletas",IF(U205=1,"Possível duplicidade",IF(V205=0,"Destinador fora do cadastro",IF(AND(J205="Sim",N(P205)=0),"Necessita revisão de vínculos",IF(X205&gt;0,"Necessita revisão de vínculos",IF(J205="Sim","Conferido",IF(I205="Sim","Localizado, aguardando conferência","Cadastrado"))))))))</f>
        <v/>
      </c>
      <c r="R205" s="95" t="str">
        <f>IF(S205=0,"",COUNTIFS('VÍNCULOS_CDF'!$O$6:$O$1005,A205,'VÍNCULOS_CDF'!$AB$6:$AB$1005,1))</f>
        <v/>
      </c>
      <c r="S205" s="96">
        <f>IF(COUNTA(B205:N205)&gt;0,1,0)</f>
        <v>0</v>
      </c>
      <c r="T205" s="96" t="str">
        <f>IF(AND(S205=1,B205&lt;&gt;""),C205&amp;"|"&amp;TRIM(B205),"")</f>
        <v/>
      </c>
      <c r="U205" s="96">
        <f>IF(T205="",0,IF(SUMPRODUCT(--($T$6:$T$505=T205))&gt;1,1,0))</f>
        <v>0</v>
      </c>
      <c r="V205" s="96">
        <f>IF(F205="",0,IF(ISNUMBER(MATCH(F205,cmp_dest,0)),1,0))</f>
        <v>0</v>
      </c>
      <c r="W205" s="96">
        <f>IF(AND(S205=1,B205&lt;&gt;"",F205&lt;&gt;"",J205="Sim",U205=0),1,0)</f>
        <v>0</v>
      </c>
      <c r="X205" s="96">
        <f>IF(S205=0,0,COUNTIFS('VÍNCULOS_CDF'!$O$6:$O$1005,A205,'VÍNCULOS_CDF'!$Y$6:$Y$1005,1))</f>
        <v>0</v>
      </c>
      <c r="Y205" s="96" t="str">
        <f>IF(S205=1,A205&amp;" | CDF "&amp;IF(B205="","(sem número)",B205)&amp;" | "&amp;IF(F205="","(sem destinador)",F205),"")</f>
        <v/>
      </c>
      <c r="Z205" s="96" t="str">
        <f>IF(S205=1,COUNTIF($S$6:S205,1),"")</f>
        <v/>
      </c>
      <c r="AA205" s="96">
        <f>IF(S205=0,0,IF(AND(OR(r_ini="",AND(ISNUMBER(D205),D205&gt;=r_ini)),OR(r_fim="",AND(ISNUMBER(D205),D205&lt;=r_fim)),OR(r_de="",r_de="(Todos)",F205=r_de)),1,0))</f>
        <v>0</v>
      </c>
      <c r="AB205" s="96" t="str">
        <f>IF(AA205=1,IF(F205="",0,COUNTIF($F$6:$F$505,"&lt;"&amp;F205))*1000+200,"")</f>
        <v/>
      </c>
    </row>
    <row r="206">
      <c r="A206" s="89" t="inlineStr">
        <is>
          <t>CDF-000201</t>
        </is>
      </c>
      <c r="B206" s="90" t="n"/>
      <c r="C206" s="91" t="n"/>
      <c r="D206" s="92" t="n"/>
      <c r="E206" s="91" t="n"/>
      <c r="F206" s="91" t="n"/>
      <c r="G206" s="91" t="n"/>
      <c r="H206" s="91" t="n"/>
      <c r="I206" s="91" t="n"/>
      <c r="J206" s="91" t="n"/>
      <c r="K206" s="92" t="n"/>
      <c r="L206" s="91" t="n"/>
      <c r="M206" s="91" t="n"/>
      <c r="N206" s="91" t="n"/>
      <c r="O206" s="93" t="str">
        <f>IF(S206=0,"",SUMIFS('VÍNCULOS_CDF'!$H$6:$H$1005,'VÍNCULOS_CDF'!$O$6:$O$1005,A206,'VÍNCULOS_CDF'!$V$6:$V$1005,1))</f>
        <v/>
      </c>
      <c r="P206" s="95" t="str">
        <f>IF(S206=0,"",COUNTIFS('VÍNCULOS_CDF'!$O$6:$O$1005,A206,'VÍNCULOS_CDF'!$N$6:$N$1005,1))</f>
        <v/>
      </c>
      <c r="Q206" s="94" t="str">
        <f>IF(S206=0,"",IF(OR(B206="",F206=""),"Informações incompletas",IF(U206=1,"Possível duplicidade",IF(V206=0,"Destinador fora do cadastro",IF(AND(J206="Sim",N(P206)=0),"Necessita revisão de vínculos",IF(X206&gt;0,"Necessita revisão de vínculos",IF(J206="Sim","Conferido",IF(I206="Sim","Localizado, aguardando conferência","Cadastrado"))))))))</f>
        <v/>
      </c>
      <c r="R206" s="95" t="str">
        <f>IF(S206=0,"",COUNTIFS('VÍNCULOS_CDF'!$O$6:$O$1005,A206,'VÍNCULOS_CDF'!$AB$6:$AB$1005,1))</f>
        <v/>
      </c>
      <c r="S206" s="96">
        <f>IF(COUNTA(B206:N206)&gt;0,1,0)</f>
        <v>0</v>
      </c>
      <c r="T206" s="96" t="str">
        <f>IF(AND(S206=1,B206&lt;&gt;""),C206&amp;"|"&amp;TRIM(B206),"")</f>
        <v/>
      </c>
      <c r="U206" s="96">
        <f>IF(T206="",0,IF(SUMPRODUCT(--($T$6:$T$505=T206))&gt;1,1,0))</f>
        <v>0</v>
      </c>
      <c r="V206" s="96">
        <f>IF(F206="",0,IF(ISNUMBER(MATCH(F206,cmp_dest,0)),1,0))</f>
        <v>0</v>
      </c>
      <c r="W206" s="96">
        <f>IF(AND(S206=1,B206&lt;&gt;"",F206&lt;&gt;"",J206="Sim",U206=0),1,0)</f>
        <v>0</v>
      </c>
      <c r="X206" s="96">
        <f>IF(S206=0,0,COUNTIFS('VÍNCULOS_CDF'!$O$6:$O$1005,A206,'VÍNCULOS_CDF'!$Y$6:$Y$1005,1))</f>
        <v>0</v>
      </c>
      <c r="Y206" s="96" t="str">
        <f>IF(S206=1,A206&amp;" | CDF "&amp;IF(B206="","(sem número)",B206)&amp;" | "&amp;IF(F206="","(sem destinador)",F206),"")</f>
        <v/>
      </c>
      <c r="Z206" s="96" t="str">
        <f>IF(S206=1,COUNTIF($S$6:S206,1),"")</f>
        <v/>
      </c>
      <c r="AA206" s="96">
        <f>IF(S206=0,0,IF(AND(OR(r_ini="",AND(ISNUMBER(D206),D206&gt;=r_ini)),OR(r_fim="",AND(ISNUMBER(D206),D206&lt;=r_fim)),OR(r_de="",r_de="(Todos)",F206=r_de)),1,0))</f>
        <v>0</v>
      </c>
      <c r="AB206" s="96" t="str">
        <f>IF(AA206=1,IF(F206="",0,COUNTIF($F$6:$F$505,"&lt;"&amp;F206))*1000+201,"")</f>
        <v/>
      </c>
    </row>
    <row r="207">
      <c r="A207" s="89" t="inlineStr">
        <is>
          <t>CDF-000202</t>
        </is>
      </c>
      <c r="B207" s="90" t="n"/>
      <c r="C207" s="91" t="n"/>
      <c r="D207" s="92" t="n"/>
      <c r="E207" s="91" t="n"/>
      <c r="F207" s="91" t="n"/>
      <c r="G207" s="91" t="n"/>
      <c r="H207" s="91" t="n"/>
      <c r="I207" s="91" t="n"/>
      <c r="J207" s="91" t="n"/>
      <c r="K207" s="92" t="n"/>
      <c r="L207" s="91" t="n"/>
      <c r="M207" s="91" t="n"/>
      <c r="N207" s="91" t="n"/>
      <c r="O207" s="93" t="str">
        <f>IF(S207=0,"",SUMIFS('VÍNCULOS_CDF'!$H$6:$H$1005,'VÍNCULOS_CDF'!$O$6:$O$1005,A207,'VÍNCULOS_CDF'!$V$6:$V$1005,1))</f>
        <v/>
      </c>
      <c r="P207" s="95" t="str">
        <f>IF(S207=0,"",COUNTIFS('VÍNCULOS_CDF'!$O$6:$O$1005,A207,'VÍNCULOS_CDF'!$N$6:$N$1005,1))</f>
        <v/>
      </c>
      <c r="Q207" s="94" t="str">
        <f>IF(S207=0,"",IF(OR(B207="",F207=""),"Informações incompletas",IF(U207=1,"Possível duplicidade",IF(V207=0,"Destinador fora do cadastro",IF(AND(J207="Sim",N(P207)=0),"Necessita revisão de vínculos",IF(X207&gt;0,"Necessita revisão de vínculos",IF(J207="Sim","Conferido",IF(I207="Sim","Localizado, aguardando conferência","Cadastrado"))))))))</f>
        <v/>
      </c>
      <c r="R207" s="95" t="str">
        <f>IF(S207=0,"",COUNTIFS('VÍNCULOS_CDF'!$O$6:$O$1005,A207,'VÍNCULOS_CDF'!$AB$6:$AB$1005,1))</f>
        <v/>
      </c>
      <c r="S207" s="96">
        <f>IF(COUNTA(B207:N207)&gt;0,1,0)</f>
        <v>0</v>
      </c>
      <c r="T207" s="96" t="str">
        <f>IF(AND(S207=1,B207&lt;&gt;""),C207&amp;"|"&amp;TRIM(B207),"")</f>
        <v/>
      </c>
      <c r="U207" s="96">
        <f>IF(T207="",0,IF(SUMPRODUCT(--($T$6:$T$505=T207))&gt;1,1,0))</f>
        <v>0</v>
      </c>
      <c r="V207" s="96">
        <f>IF(F207="",0,IF(ISNUMBER(MATCH(F207,cmp_dest,0)),1,0))</f>
        <v>0</v>
      </c>
      <c r="W207" s="96">
        <f>IF(AND(S207=1,B207&lt;&gt;"",F207&lt;&gt;"",J207="Sim",U207=0),1,0)</f>
        <v>0</v>
      </c>
      <c r="X207" s="96">
        <f>IF(S207=0,0,COUNTIFS('VÍNCULOS_CDF'!$O$6:$O$1005,A207,'VÍNCULOS_CDF'!$Y$6:$Y$1005,1))</f>
        <v>0</v>
      </c>
      <c r="Y207" s="96" t="str">
        <f>IF(S207=1,A207&amp;" | CDF "&amp;IF(B207="","(sem número)",B207)&amp;" | "&amp;IF(F207="","(sem destinador)",F207),"")</f>
        <v/>
      </c>
      <c r="Z207" s="96" t="str">
        <f>IF(S207=1,COUNTIF($S$6:S207,1),"")</f>
        <v/>
      </c>
      <c r="AA207" s="96">
        <f>IF(S207=0,0,IF(AND(OR(r_ini="",AND(ISNUMBER(D207),D207&gt;=r_ini)),OR(r_fim="",AND(ISNUMBER(D207),D207&lt;=r_fim)),OR(r_de="",r_de="(Todos)",F207=r_de)),1,0))</f>
        <v>0</v>
      </c>
      <c r="AB207" s="96" t="str">
        <f>IF(AA207=1,IF(F207="",0,COUNTIF($F$6:$F$505,"&lt;"&amp;F207))*1000+202,"")</f>
        <v/>
      </c>
    </row>
    <row r="208">
      <c r="A208" s="89" t="inlineStr">
        <is>
          <t>CDF-000203</t>
        </is>
      </c>
      <c r="B208" s="90" t="n"/>
      <c r="C208" s="91" t="n"/>
      <c r="D208" s="92" t="n"/>
      <c r="E208" s="91" t="n"/>
      <c r="F208" s="91" t="n"/>
      <c r="G208" s="91" t="n"/>
      <c r="H208" s="91" t="n"/>
      <c r="I208" s="91" t="n"/>
      <c r="J208" s="91" t="n"/>
      <c r="K208" s="92" t="n"/>
      <c r="L208" s="91" t="n"/>
      <c r="M208" s="91" t="n"/>
      <c r="N208" s="91" t="n"/>
      <c r="O208" s="93" t="str">
        <f>IF(S208=0,"",SUMIFS('VÍNCULOS_CDF'!$H$6:$H$1005,'VÍNCULOS_CDF'!$O$6:$O$1005,A208,'VÍNCULOS_CDF'!$V$6:$V$1005,1))</f>
        <v/>
      </c>
      <c r="P208" s="95" t="str">
        <f>IF(S208=0,"",COUNTIFS('VÍNCULOS_CDF'!$O$6:$O$1005,A208,'VÍNCULOS_CDF'!$N$6:$N$1005,1))</f>
        <v/>
      </c>
      <c r="Q208" s="94" t="str">
        <f>IF(S208=0,"",IF(OR(B208="",F208=""),"Informações incompletas",IF(U208=1,"Possível duplicidade",IF(V208=0,"Destinador fora do cadastro",IF(AND(J208="Sim",N(P208)=0),"Necessita revisão de vínculos",IF(X208&gt;0,"Necessita revisão de vínculos",IF(J208="Sim","Conferido",IF(I208="Sim","Localizado, aguardando conferência","Cadastrado"))))))))</f>
        <v/>
      </c>
      <c r="R208" s="95" t="str">
        <f>IF(S208=0,"",COUNTIFS('VÍNCULOS_CDF'!$O$6:$O$1005,A208,'VÍNCULOS_CDF'!$AB$6:$AB$1005,1))</f>
        <v/>
      </c>
      <c r="S208" s="96">
        <f>IF(COUNTA(B208:N208)&gt;0,1,0)</f>
        <v>0</v>
      </c>
      <c r="T208" s="96" t="str">
        <f>IF(AND(S208=1,B208&lt;&gt;""),C208&amp;"|"&amp;TRIM(B208),"")</f>
        <v/>
      </c>
      <c r="U208" s="96">
        <f>IF(T208="",0,IF(SUMPRODUCT(--($T$6:$T$505=T208))&gt;1,1,0))</f>
        <v>0</v>
      </c>
      <c r="V208" s="96">
        <f>IF(F208="",0,IF(ISNUMBER(MATCH(F208,cmp_dest,0)),1,0))</f>
        <v>0</v>
      </c>
      <c r="W208" s="96">
        <f>IF(AND(S208=1,B208&lt;&gt;"",F208&lt;&gt;"",J208="Sim",U208=0),1,0)</f>
        <v>0</v>
      </c>
      <c r="X208" s="96">
        <f>IF(S208=0,0,COUNTIFS('VÍNCULOS_CDF'!$O$6:$O$1005,A208,'VÍNCULOS_CDF'!$Y$6:$Y$1005,1))</f>
        <v>0</v>
      </c>
      <c r="Y208" s="96" t="str">
        <f>IF(S208=1,A208&amp;" | CDF "&amp;IF(B208="","(sem número)",B208)&amp;" | "&amp;IF(F208="","(sem destinador)",F208),"")</f>
        <v/>
      </c>
      <c r="Z208" s="96" t="str">
        <f>IF(S208=1,COUNTIF($S$6:S208,1),"")</f>
        <v/>
      </c>
      <c r="AA208" s="96">
        <f>IF(S208=0,0,IF(AND(OR(r_ini="",AND(ISNUMBER(D208),D208&gt;=r_ini)),OR(r_fim="",AND(ISNUMBER(D208),D208&lt;=r_fim)),OR(r_de="",r_de="(Todos)",F208=r_de)),1,0))</f>
        <v>0</v>
      </c>
      <c r="AB208" s="96" t="str">
        <f>IF(AA208=1,IF(F208="",0,COUNTIF($F$6:$F$505,"&lt;"&amp;F208))*1000+203,"")</f>
        <v/>
      </c>
    </row>
    <row r="209">
      <c r="A209" s="89" t="inlineStr">
        <is>
          <t>CDF-000204</t>
        </is>
      </c>
      <c r="B209" s="90" t="n"/>
      <c r="C209" s="91" t="n"/>
      <c r="D209" s="92" t="n"/>
      <c r="E209" s="91" t="n"/>
      <c r="F209" s="91" t="n"/>
      <c r="G209" s="91" t="n"/>
      <c r="H209" s="91" t="n"/>
      <c r="I209" s="91" t="n"/>
      <c r="J209" s="91" t="n"/>
      <c r="K209" s="92" t="n"/>
      <c r="L209" s="91" t="n"/>
      <c r="M209" s="91" t="n"/>
      <c r="N209" s="91" t="n"/>
      <c r="O209" s="93" t="str">
        <f>IF(S209=0,"",SUMIFS('VÍNCULOS_CDF'!$H$6:$H$1005,'VÍNCULOS_CDF'!$O$6:$O$1005,A209,'VÍNCULOS_CDF'!$V$6:$V$1005,1))</f>
        <v/>
      </c>
      <c r="P209" s="95" t="str">
        <f>IF(S209=0,"",COUNTIFS('VÍNCULOS_CDF'!$O$6:$O$1005,A209,'VÍNCULOS_CDF'!$N$6:$N$1005,1))</f>
        <v/>
      </c>
      <c r="Q209" s="94" t="str">
        <f>IF(S209=0,"",IF(OR(B209="",F209=""),"Informações incompletas",IF(U209=1,"Possível duplicidade",IF(V209=0,"Destinador fora do cadastro",IF(AND(J209="Sim",N(P209)=0),"Necessita revisão de vínculos",IF(X209&gt;0,"Necessita revisão de vínculos",IF(J209="Sim","Conferido",IF(I209="Sim","Localizado, aguardando conferência","Cadastrado"))))))))</f>
        <v/>
      </c>
      <c r="R209" s="95" t="str">
        <f>IF(S209=0,"",COUNTIFS('VÍNCULOS_CDF'!$O$6:$O$1005,A209,'VÍNCULOS_CDF'!$AB$6:$AB$1005,1))</f>
        <v/>
      </c>
      <c r="S209" s="96">
        <f>IF(COUNTA(B209:N209)&gt;0,1,0)</f>
        <v>0</v>
      </c>
      <c r="T209" s="96" t="str">
        <f>IF(AND(S209=1,B209&lt;&gt;""),C209&amp;"|"&amp;TRIM(B209),"")</f>
        <v/>
      </c>
      <c r="U209" s="96">
        <f>IF(T209="",0,IF(SUMPRODUCT(--($T$6:$T$505=T209))&gt;1,1,0))</f>
        <v>0</v>
      </c>
      <c r="V209" s="96">
        <f>IF(F209="",0,IF(ISNUMBER(MATCH(F209,cmp_dest,0)),1,0))</f>
        <v>0</v>
      </c>
      <c r="W209" s="96">
        <f>IF(AND(S209=1,B209&lt;&gt;"",F209&lt;&gt;"",J209="Sim",U209=0),1,0)</f>
        <v>0</v>
      </c>
      <c r="X209" s="96">
        <f>IF(S209=0,0,COUNTIFS('VÍNCULOS_CDF'!$O$6:$O$1005,A209,'VÍNCULOS_CDF'!$Y$6:$Y$1005,1))</f>
        <v>0</v>
      </c>
      <c r="Y209" s="96" t="str">
        <f>IF(S209=1,A209&amp;" | CDF "&amp;IF(B209="","(sem número)",B209)&amp;" | "&amp;IF(F209="","(sem destinador)",F209),"")</f>
        <v/>
      </c>
      <c r="Z209" s="96" t="str">
        <f>IF(S209=1,COUNTIF($S$6:S209,1),"")</f>
        <v/>
      </c>
      <c r="AA209" s="96">
        <f>IF(S209=0,0,IF(AND(OR(r_ini="",AND(ISNUMBER(D209),D209&gt;=r_ini)),OR(r_fim="",AND(ISNUMBER(D209),D209&lt;=r_fim)),OR(r_de="",r_de="(Todos)",F209=r_de)),1,0))</f>
        <v>0</v>
      </c>
      <c r="AB209" s="96" t="str">
        <f>IF(AA209=1,IF(F209="",0,COUNTIF($F$6:$F$505,"&lt;"&amp;F209))*1000+204,"")</f>
        <v/>
      </c>
    </row>
    <row r="210">
      <c r="A210" s="89" t="inlineStr">
        <is>
          <t>CDF-000205</t>
        </is>
      </c>
      <c r="B210" s="90" t="n"/>
      <c r="C210" s="91" t="n"/>
      <c r="D210" s="92" t="n"/>
      <c r="E210" s="91" t="n"/>
      <c r="F210" s="91" t="n"/>
      <c r="G210" s="91" t="n"/>
      <c r="H210" s="91" t="n"/>
      <c r="I210" s="91" t="n"/>
      <c r="J210" s="91" t="n"/>
      <c r="K210" s="92" t="n"/>
      <c r="L210" s="91" t="n"/>
      <c r="M210" s="91" t="n"/>
      <c r="N210" s="91" t="n"/>
      <c r="O210" s="93" t="str">
        <f>IF(S210=0,"",SUMIFS('VÍNCULOS_CDF'!$H$6:$H$1005,'VÍNCULOS_CDF'!$O$6:$O$1005,A210,'VÍNCULOS_CDF'!$V$6:$V$1005,1))</f>
        <v/>
      </c>
      <c r="P210" s="95" t="str">
        <f>IF(S210=0,"",COUNTIFS('VÍNCULOS_CDF'!$O$6:$O$1005,A210,'VÍNCULOS_CDF'!$N$6:$N$1005,1))</f>
        <v/>
      </c>
      <c r="Q210" s="94" t="str">
        <f>IF(S210=0,"",IF(OR(B210="",F210=""),"Informações incompletas",IF(U210=1,"Possível duplicidade",IF(V210=0,"Destinador fora do cadastro",IF(AND(J210="Sim",N(P210)=0),"Necessita revisão de vínculos",IF(X210&gt;0,"Necessita revisão de vínculos",IF(J210="Sim","Conferido",IF(I210="Sim","Localizado, aguardando conferência","Cadastrado"))))))))</f>
        <v/>
      </c>
      <c r="R210" s="95" t="str">
        <f>IF(S210=0,"",COUNTIFS('VÍNCULOS_CDF'!$O$6:$O$1005,A210,'VÍNCULOS_CDF'!$AB$6:$AB$1005,1))</f>
        <v/>
      </c>
      <c r="S210" s="96">
        <f>IF(COUNTA(B210:N210)&gt;0,1,0)</f>
        <v>0</v>
      </c>
      <c r="T210" s="96" t="str">
        <f>IF(AND(S210=1,B210&lt;&gt;""),C210&amp;"|"&amp;TRIM(B210),"")</f>
        <v/>
      </c>
      <c r="U210" s="96">
        <f>IF(T210="",0,IF(SUMPRODUCT(--($T$6:$T$505=T210))&gt;1,1,0))</f>
        <v>0</v>
      </c>
      <c r="V210" s="96">
        <f>IF(F210="",0,IF(ISNUMBER(MATCH(F210,cmp_dest,0)),1,0))</f>
        <v>0</v>
      </c>
      <c r="W210" s="96">
        <f>IF(AND(S210=1,B210&lt;&gt;"",F210&lt;&gt;"",J210="Sim",U210=0),1,0)</f>
        <v>0</v>
      </c>
      <c r="X210" s="96">
        <f>IF(S210=0,0,COUNTIFS('VÍNCULOS_CDF'!$O$6:$O$1005,A210,'VÍNCULOS_CDF'!$Y$6:$Y$1005,1))</f>
        <v>0</v>
      </c>
      <c r="Y210" s="96" t="str">
        <f>IF(S210=1,A210&amp;" | CDF "&amp;IF(B210="","(sem número)",B210)&amp;" | "&amp;IF(F210="","(sem destinador)",F210),"")</f>
        <v/>
      </c>
      <c r="Z210" s="96" t="str">
        <f>IF(S210=1,COUNTIF($S$6:S210,1),"")</f>
        <v/>
      </c>
      <c r="AA210" s="96">
        <f>IF(S210=0,0,IF(AND(OR(r_ini="",AND(ISNUMBER(D210),D210&gt;=r_ini)),OR(r_fim="",AND(ISNUMBER(D210),D210&lt;=r_fim)),OR(r_de="",r_de="(Todos)",F210=r_de)),1,0))</f>
        <v>0</v>
      </c>
      <c r="AB210" s="96" t="str">
        <f>IF(AA210=1,IF(F210="",0,COUNTIF($F$6:$F$505,"&lt;"&amp;F210))*1000+205,"")</f>
        <v/>
      </c>
    </row>
    <row r="211">
      <c r="A211" s="89" t="inlineStr">
        <is>
          <t>CDF-000206</t>
        </is>
      </c>
      <c r="B211" s="90" t="n"/>
      <c r="C211" s="91" t="n"/>
      <c r="D211" s="92" t="n"/>
      <c r="E211" s="91" t="n"/>
      <c r="F211" s="91" t="n"/>
      <c r="G211" s="91" t="n"/>
      <c r="H211" s="91" t="n"/>
      <c r="I211" s="91" t="n"/>
      <c r="J211" s="91" t="n"/>
      <c r="K211" s="92" t="n"/>
      <c r="L211" s="91" t="n"/>
      <c r="M211" s="91" t="n"/>
      <c r="N211" s="91" t="n"/>
      <c r="O211" s="93" t="str">
        <f>IF(S211=0,"",SUMIFS('VÍNCULOS_CDF'!$H$6:$H$1005,'VÍNCULOS_CDF'!$O$6:$O$1005,A211,'VÍNCULOS_CDF'!$V$6:$V$1005,1))</f>
        <v/>
      </c>
      <c r="P211" s="95" t="str">
        <f>IF(S211=0,"",COUNTIFS('VÍNCULOS_CDF'!$O$6:$O$1005,A211,'VÍNCULOS_CDF'!$N$6:$N$1005,1))</f>
        <v/>
      </c>
      <c r="Q211" s="94" t="str">
        <f>IF(S211=0,"",IF(OR(B211="",F211=""),"Informações incompletas",IF(U211=1,"Possível duplicidade",IF(V211=0,"Destinador fora do cadastro",IF(AND(J211="Sim",N(P211)=0),"Necessita revisão de vínculos",IF(X211&gt;0,"Necessita revisão de vínculos",IF(J211="Sim","Conferido",IF(I211="Sim","Localizado, aguardando conferência","Cadastrado"))))))))</f>
        <v/>
      </c>
      <c r="R211" s="95" t="str">
        <f>IF(S211=0,"",COUNTIFS('VÍNCULOS_CDF'!$O$6:$O$1005,A211,'VÍNCULOS_CDF'!$AB$6:$AB$1005,1))</f>
        <v/>
      </c>
      <c r="S211" s="96">
        <f>IF(COUNTA(B211:N211)&gt;0,1,0)</f>
        <v>0</v>
      </c>
      <c r="T211" s="96" t="str">
        <f>IF(AND(S211=1,B211&lt;&gt;""),C211&amp;"|"&amp;TRIM(B211),"")</f>
        <v/>
      </c>
      <c r="U211" s="96">
        <f>IF(T211="",0,IF(SUMPRODUCT(--($T$6:$T$505=T211))&gt;1,1,0))</f>
        <v>0</v>
      </c>
      <c r="V211" s="96">
        <f>IF(F211="",0,IF(ISNUMBER(MATCH(F211,cmp_dest,0)),1,0))</f>
        <v>0</v>
      </c>
      <c r="W211" s="96">
        <f>IF(AND(S211=1,B211&lt;&gt;"",F211&lt;&gt;"",J211="Sim",U211=0),1,0)</f>
        <v>0</v>
      </c>
      <c r="X211" s="96">
        <f>IF(S211=0,0,COUNTIFS('VÍNCULOS_CDF'!$O$6:$O$1005,A211,'VÍNCULOS_CDF'!$Y$6:$Y$1005,1))</f>
        <v>0</v>
      </c>
      <c r="Y211" s="96" t="str">
        <f>IF(S211=1,A211&amp;" | CDF "&amp;IF(B211="","(sem número)",B211)&amp;" | "&amp;IF(F211="","(sem destinador)",F211),"")</f>
        <v/>
      </c>
      <c r="Z211" s="96" t="str">
        <f>IF(S211=1,COUNTIF($S$6:S211,1),"")</f>
        <v/>
      </c>
      <c r="AA211" s="96">
        <f>IF(S211=0,0,IF(AND(OR(r_ini="",AND(ISNUMBER(D211),D211&gt;=r_ini)),OR(r_fim="",AND(ISNUMBER(D211),D211&lt;=r_fim)),OR(r_de="",r_de="(Todos)",F211=r_de)),1,0))</f>
        <v>0</v>
      </c>
      <c r="AB211" s="96" t="str">
        <f>IF(AA211=1,IF(F211="",0,COUNTIF($F$6:$F$505,"&lt;"&amp;F211))*1000+206,"")</f>
        <v/>
      </c>
    </row>
    <row r="212">
      <c r="A212" s="89" t="inlineStr">
        <is>
          <t>CDF-000207</t>
        </is>
      </c>
      <c r="B212" s="90" t="n"/>
      <c r="C212" s="91" t="n"/>
      <c r="D212" s="92" t="n"/>
      <c r="E212" s="91" t="n"/>
      <c r="F212" s="91" t="n"/>
      <c r="G212" s="91" t="n"/>
      <c r="H212" s="91" t="n"/>
      <c r="I212" s="91" t="n"/>
      <c r="J212" s="91" t="n"/>
      <c r="K212" s="92" t="n"/>
      <c r="L212" s="91" t="n"/>
      <c r="M212" s="91" t="n"/>
      <c r="N212" s="91" t="n"/>
      <c r="O212" s="93" t="str">
        <f>IF(S212=0,"",SUMIFS('VÍNCULOS_CDF'!$H$6:$H$1005,'VÍNCULOS_CDF'!$O$6:$O$1005,A212,'VÍNCULOS_CDF'!$V$6:$V$1005,1))</f>
        <v/>
      </c>
      <c r="P212" s="95" t="str">
        <f>IF(S212=0,"",COUNTIFS('VÍNCULOS_CDF'!$O$6:$O$1005,A212,'VÍNCULOS_CDF'!$N$6:$N$1005,1))</f>
        <v/>
      </c>
      <c r="Q212" s="94" t="str">
        <f>IF(S212=0,"",IF(OR(B212="",F212=""),"Informações incompletas",IF(U212=1,"Possível duplicidade",IF(V212=0,"Destinador fora do cadastro",IF(AND(J212="Sim",N(P212)=0),"Necessita revisão de vínculos",IF(X212&gt;0,"Necessita revisão de vínculos",IF(J212="Sim","Conferido",IF(I212="Sim","Localizado, aguardando conferência","Cadastrado"))))))))</f>
        <v/>
      </c>
      <c r="R212" s="95" t="str">
        <f>IF(S212=0,"",COUNTIFS('VÍNCULOS_CDF'!$O$6:$O$1005,A212,'VÍNCULOS_CDF'!$AB$6:$AB$1005,1))</f>
        <v/>
      </c>
      <c r="S212" s="96">
        <f>IF(COUNTA(B212:N212)&gt;0,1,0)</f>
        <v>0</v>
      </c>
      <c r="T212" s="96" t="str">
        <f>IF(AND(S212=1,B212&lt;&gt;""),C212&amp;"|"&amp;TRIM(B212),"")</f>
        <v/>
      </c>
      <c r="U212" s="96">
        <f>IF(T212="",0,IF(SUMPRODUCT(--($T$6:$T$505=T212))&gt;1,1,0))</f>
        <v>0</v>
      </c>
      <c r="V212" s="96">
        <f>IF(F212="",0,IF(ISNUMBER(MATCH(F212,cmp_dest,0)),1,0))</f>
        <v>0</v>
      </c>
      <c r="W212" s="96">
        <f>IF(AND(S212=1,B212&lt;&gt;"",F212&lt;&gt;"",J212="Sim",U212=0),1,0)</f>
        <v>0</v>
      </c>
      <c r="X212" s="96">
        <f>IF(S212=0,0,COUNTIFS('VÍNCULOS_CDF'!$O$6:$O$1005,A212,'VÍNCULOS_CDF'!$Y$6:$Y$1005,1))</f>
        <v>0</v>
      </c>
      <c r="Y212" s="96" t="str">
        <f>IF(S212=1,A212&amp;" | CDF "&amp;IF(B212="","(sem número)",B212)&amp;" | "&amp;IF(F212="","(sem destinador)",F212),"")</f>
        <v/>
      </c>
      <c r="Z212" s="96" t="str">
        <f>IF(S212=1,COUNTIF($S$6:S212,1),"")</f>
        <v/>
      </c>
      <c r="AA212" s="96">
        <f>IF(S212=0,0,IF(AND(OR(r_ini="",AND(ISNUMBER(D212),D212&gt;=r_ini)),OR(r_fim="",AND(ISNUMBER(D212),D212&lt;=r_fim)),OR(r_de="",r_de="(Todos)",F212=r_de)),1,0))</f>
        <v>0</v>
      </c>
      <c r="AB212" s="96" t="str">
        <f>IF(AA212=1,IF(F212="",0,COUNTIF($F$6:$F$505,"&lt;"&amp;F212))*1000+207,"")</f>
        <v/>
      </c>
    </row>
    <row r="213">
      <c r="A213" s="89" t="inlineStr">
        <is>
          <t>CDF-000208</t>
        </is>
      </c>
      <c r="B213" s="90" t="n"/>
      <c r="C213" s="91" t="n"/>
      <c r="D213" s="92" t="n"/>
      <c r="E213" s="91" t="n"/>
      <c r="F213" s="91" t="n"/>
      <c r="G213" s="91" t="n"/>
      <c r="H213" s="91" t="n"/>
      <c r="I213" s="91" t="n"/>
      <c r="J213" s="91" t="n"/>
      <c r="K213" s="92" t="n"/>
      <c r="L213" s="91" t="n"/>
      <c r="M213" s="91" t="n"/>
      <c r="N213" s="91" t="n"/>
      <c r="O213" s="93" t="str">
        <f>IF(S213=0,"",SUMIFS('VÍNCULOS_CDF'!$H$6:$H$1005,'VÍNCULOS_CDF'!$O$6:$O$1005,A213,'VÍNCULOS_CDF'!$V$6:$V$1005,1))</f>
        <v/>
      </c>
      <c r="P213" s="95" t="str">
        <f>IF(S213=0,"",COUNTIFS('VÍNCULOS_CDF'!$O$6:$O$1005,A213,'VÍNCULOS_CDF'!$N$6:$N$1005,1))</f>
        <v/>
      </c>
      <c r="Q213" s="94" t="str">
        <f>IF(S213=0,"",IF(OR(B213="",F213=""),"Informações incompletas",IF(U213=1,"Possível duplicidade",IF(V213=0,"Destinador fora do cadastro",IF(AND(J213="Sim",N(P213)=0),"Necessita revisão de vínculos",IF(X213&gt;0,"Necessita revisão de vínculos",IF(J213="Sim","Conferido",IF(I213="Sim","Localizado, aguardando conferência","Cadastrado"))))))))</f>
        <v/>
      </c>
      <c r="R213" s="95" t="str">
        <f>IF(S213=0,"",COUNTIFS('VÍNCULOS_CDF'!$O$6:$O$1005,A213,'VÍNCULOS_CDF'!$AB$6:$AB$1005,1))</f>
        <v/>
      </c>
      <c r="S213" s="96">
        <f>IF(COUNTA(B213:N213)&gt;0,1,0)</f>
        <v>0</v>
      </c>
      <c r="T213" s="96" t="str">
        <f>IF(AND(S213=1,B213&lt;&gt;""),C213&amp;"|"&amp;TRIM(B213),"")</f>
        <v/>
      </c>
      <c r="U213" s="96">
        <f>IF(T213="",0,IF(SUMPRODUCT(--($T$6:$T$505=T213))&gt;1,1,0))</f>
        <v>0</v>
      </c>
      <c r="V213" s="96">
        <f>IF(F213="",0,IF(ISNUMBER(MATCH(F213,cmp_dest,0)),1,0))</f>
        <v>0</v>
      </c>
      <c r="W213" s="96">
        <f>IF(AND(S213=1,B213&lt;&gt;"",F213&lt;&gt;"",J213="Sim",U213=0),1,0)</f>
        <v>0</v>
      </c>
      <c r="X213" s="96">
        <f>IF(S213=0,0,COUNTIFS('VÍNCULOS_CDF'!$O$6:$O$1005,A213,'VÍNCULOS_CDF'!$Y$6:$Y$1005,1))</f>
        <v>0</v>
      </c>
      <c r="Y213" s="96" t="str">
        <f>IF(S213=1,A213&amp;" | CDF "&amp;IF(B213="","(sem número)",B213)&amp;" | "&amp;IF(F213="","(sem destinador)",F213),"")</f>
        <v/>
      </c>
      <c r="Z213" s="96" t="str">
        <f>IF(S213=1,COUNTIF($S$6:S213,1),"")</f>
        <v/>
      </c>
      <c r="AA213" s="96">
        <f>IF(S213=0,0,IF(AND(OR(r_ini="",AND(ISNUMBER(D213),D213&gt;=r_ini)),OR(r_fim="",AND(ISNUMBER(D213),D213&lt;=r_fim)),OR(r_de="",r_de="(Todos)",F213=r_de)),1,0))</f>
        <v>0</v>
      </c>
      <c r="AB213" s="96" t="str">
        <f>IF(AA213=1,IF(F213="",0,COUNTIF($F$6:$F$505,"&lt;"&amp;F213))*1000+208,"")</f>
        <v/>
      </c>
    </row>
    <row r="214">
      <c r="A214" s="89" t="inlineStr">
        <is>
          <t>CDF-000209</t>
        </is>
      </c>
      <c r="B214" s="90" t="n"/>
      <c r="C214" s="91" t="n"/>
      <c r="D214" s="92" t="n"/>
      <c r="E214" s="91" t="n"/>
      <c r="F214" s="91" t="n"/>
      <c r="G214" s="91" t="n"/>
      <c r="H214" s="91" t="n"/>
      <c r="I214" s="91" t="n"/>
      <c r="J214" s="91" t="n"/>
      <c r="K214" s="92" t="n"/>
      <c r="L214" s="91" t="n"/>
      <c r="M214" s="91" t="n"/>
      <c r="N214" s="91" t="n"/>
      <c r="O214" s="93" t="str">
        <f>IF(S214=0,"",SUMIFS('VÍNCULOS_CDF'!$H$6:$H$1005,'VÍNCULOS_CDF'!$O$6:$O$1005,A214,'VÍNCULOS_CDF'!$V$6:$V$1005,1))</f>
        <v/>
      </c>
      <c r="P214" s="95" t="str">
        <f>IF(S214=0,"",COUNTIFS('VÍNCULOS_CDF'!$O$6:$O$1005,A214,'VÍNCULOS_CDF'!$N$6:$N$1005,1))</f>
        <v/>
      </c>
      <c r="Q214" s="94" t="str">
        <f>IF(S214=0,"",IF(OR(B214="",F214=""),"Informações incompletas",IF(U214=1,"Possível duplicidade",IF(V214=0,"Destinador fora do cadastro",IF(AND(J214="Sim",N(P214)=0),"Necessita revisão de vínculos",IF(X214&gt;0,"Necessita revisão de vínculos",IF(J214="Sim","Conferido",IF(I214="Sim","Localizado, aguardando conferência","Cadastrado"))))))))</f>
        <v/>
      </c>
      <c r="R214" s="95" t="str">
        <f>IF(S214=0,"",COUNTIFS('VÍNCULOS_CDF'!$O$6:$O$1005,A214,'VÍNCULOS_CDF'!$AB$6:$AB$1005,1))</f>
        <v/>
      </c>
      <c r="S214" s="96">
        <f>IF(COUNTA(B214:N214)&gt;0,1,0)</f>
        <v>0</v>
      </c>
      <c r="T214" s="96" t="str">
        <f>IF(AND(S214=1,B214&lt;&gt;""),C214&amp;"|"&amp;TRIM(B214),"")</f>
        <v/>
      </c>
      <c r="U214" s="96">
        <f>IF(T214="",0,IF(SUMPRODUCT(--($T$6:$T$505=T214))&gt;1,1,0))</f>
        <v>0</v>
      </c>
      <c r="V214" s="96">
        <f>IF(F214="",0,IF(ISNUMBER(MATCH(F214,cmp_dest,0)),1,0))</f>
        <v>0</v>
      </c>
      <c r="W214" s="96">
        <f>IF(AND(S214=1,B214&lt;&gt;"",F214&lt;&gt;"",J214="Sim",U214=0),1,0)</f>
        <v>0</v>
      </c>
      <c r="X214" s="96">
        <f>IF(S214=0,0,COUNTIFS('VÍNCULOS_CDF'!$O$6:$O$1005,A214,'VÍNCULOS_CDF'!$Y$6:$Y$1005,1))</f>
        <v>0</v>
      </c>
      <c r="Y214" s="96" t="str">
        <f>IF(S214=1,A214&amp;" | CDF "&amp;IF(B214="","(sem número)",B214)&amp;" | "&amp;IF(F214="","(sem destinador)",F214),"")</f>
        <v/>
      </c>
      <c r="Z214" s="96" t="str">
        <f>IF(S214=1,COUNTIF($S$6:S214,1),"")</f>
        <v/>
      </c>
      <c r="AA214" s="96">
        <f>IF(S214=0,0,IF(AND(OR(r_ini="",AND(ISNUMBER(D214),D214&gt;=r_ini)),OR(r_fim="",AND(ISNUMBER(D214),D214&lt;=r_fim)),OR(r_de="",r_de="(Todos)",F214=r_de)),1,0))</f>
        <v>0</v>
      </c>
      <c r="AB214" s="96" t="str">
        <f>IF(AA214=1,IF(F214="",0,COUNTIF($F$6:$F$505,"&lt;"&amp;F214))*1000+209,"")</f>
        <v/>
      </c>
    </row>
    <row r="215">
      <c r="A215" s="89" t="inlineStr">
        <is>
          <t>CDF-000210</t>
        </is>
      </c>
      <c r="B215" s="90" t="n"/>
      <c r="C215" s="91" t="n"/>
      <c r="D215" s="92" t="n"/>
      <c r="E215" s="91" t="n"/>
      <c r="F215" s="91" t="n"/>
      <c r="G215" s="91" t="n"/>
      <c r="H215" s="91" t="n"/>
      <c r="I215" s="91" t="n"/>
      <c r="J215" s="91" t="n"/>
      <c r="K215" s="92" t="n"/>
      <c r="L215" s="91" t="n"/>
      <c r="M215" s="91" t="n"/>
      <c r="N215" s="91" t="n"/>
      <c r="O215" s="93" t="str">
        <f>IF(S215=0,"",SUMIFS('VÍNCULOS_CDF'!$H$6:$H$1005,'VÍNCULOS_CDF'!$O$6:$O$1005,A215,'VÍNCULOS_CDF'!$V$6:$V$1005,1))</f>
        <v/>
      </c>
      <c r="P215" s="95" t="str">
        <f>IF(S215=0,"",COUNTIFS('VÍNCULOS_CDF'!$O$6:$O$1005,A215,'VÍNCULOS_CDF'!$N$6:$N$1005,1))</f>
        <v/>
      </c>
      <c r="Q215" s="94" t="str">
        <f>IF(S215=0,"",IF(OR(B215="",F215=""),"Informações incompletas",IF(U215=1,"Possível duplicidade",IF(V215=0,"Destinador fora do cadastro",IF(AND(J215="Sim",N(P215)=0),"Necessita revisão de vínculos",IF(X215&gt;0,"Necessita revisão de vínculos",IF(J215="Sim","Conferido",IF(I215="Sim","Localizado, aguardando conferência","Cadastrado"))))))))</f>
        <v/>
      </c>
      <c r="R215" s="95" t="str">
        <f>IF(S215=0,"",COUNTIFS('VÍNCULOS_CDF'!$O$6:$O$1005,A215,'VÍNCULOS_CDF'!$AB$6:$AB$1005,1))</f>
        <v/>
      </c>
      <c r="S215" s="96">
        <f>IF(COUNTA(B215:N215)&gt;0,1,0)</f>
        <v>0</v>
      </c>
      <c r="T215" s="96" t="str">
        <f>IF(AND(S215=1,B215&lt;&gt;""),C215&amp;"|"&amp;TRIM(B215),"")</f>
        <v/>
      </c>
      <c r="U215" s="96">
        <f>IF(T215="",0,IF(SUMPRODUCT(--($T$6:$T$505=T215))&gt;1,1,0))</f>
        <v>0</v>
      </c>
      <c r="V215" s="96">
        <f>IF(F215="",0,IF(ISNUMBER(MATCH(F215,cmp_dest,0)),1,0))</f>
        <v>0</v>
      </c>
      <c r="W215" s="96">
        <f>IF(AND(S215=1,B215&lt;&gt;"",F215&lt;&gt;"",J215="Sim",U215=0),1,0)</f>
        <v>0</v>
      </c>
      <c r="X215" s="96">
        <f>IF(S215=0,0,COUNTIFS('VÍNCULOS_CDF'!$O$6:$O$1005,A215,'VÍNCULOS_CDF'!$Y$6:$Y$1005,1))</f>
        <v>0</v>
      </c>
      <c r="Y215" s="96" t="str">
        <f>IF(S215=1,A215&amp;" | CDF "&amp;IF(B215="","(sem número)",B215)&amp;" | "&amp;IF(F215="","(sem destinador)",F215),"")</f>
        <v/>
      </c>
      <c r="Z215" s="96" t="str">
        <f>IF(S215=1,COUNTIF($S$6:S215,1),"")</f>
        <v/>
      </c>
      <c r="AA215" s="96">
        <f>IF(S215=0,0,IF(AND(OR(r_ini="",AND(ISNUMBER(D215),D215&gt;=r_ini)),OR(r_fim="",AND(ISNUMBER(D215),D215&lt;=r_fim)),OR(r_de="",r_de="(Todos)",F215=r_de)),1,0))</f>
        <v>0</v>
      </c>
      <c r="AB215" s="96" t="str">
        <f>IF(AA215=1,IF(F215="",0,COUNTIF($F$6:$F$505,"&lt;"&amp;F215))*1000+210,"")</f>
        <v/>
      </c>
    </row>
    <row r="216">
      <c r="A216" s="89" t="inlineStr">
        <is>
          <t>CDF-000211</t>
        </is>
      </c>
      <c r="B216" s="90" t="n"/>
      <c r="C216" s="91" t="n"/>
      <c r="D216" s="92" t="n"/>
      <c r="E216" s="91" t="n"/>
      <c r="F216" s="91" t="n"/>
      <c r="G216" s="91" t="n"/>
      <c r="H216" s="91" t="n"/>
      <c r="I216" s="91" t="n"/>
      <c r="J216" s="91" t="n"/>
      <c r="K216" s="92" t="n"/>
      <c r="L216" s="91" t="n"/>
      <c r="M216" s="91" t="n"/>
      <c r="N216" s="91" t="n"/>
      <c r="O216" s="93" t="str">
        <f>IF(S216=0,"",SUMIFS('VÍNCULOS_CDF'!$H$6:$H$1005,'VÍNCULOS_CDF'!$O$6:$O$1005,A216,'VÍNCULOS_CDF'!$V$6:$V$1005,1))</f>
        <v/>
      </c>
      <c r="P216" s="95" t="str">
        <f>IF(S216=0,"",COUNTIFS('VÍNCULOS_CDF'!$O$6:$O$1005,A216,'VÍNCULOS_CDF'!$N$6:$N$1005,1))</f>
        <v/>
      </c>
      <c r="Q216" s="94" t="str">
        <f>IF(S216=0,"",IF(OR(B216="",F216=""),"Informações incompletas",IF(U216=1,"Possível duplicidade",IF(V216=0,"Destinador fora do cadastro",IF(AND(J216="Sim",N(P216)=0),"Necessita revisão de vínculos",IF(X216&gt;0,"Necessita revisão de vínculos",IF(J216="Sim","Conferido",IF(I216="Sim","Localizado, aguardando conferência","Cadastrado"))))))))</f>
        <v/>
      </c>
      <c r="R216" s="95" t="str">
        <f>IF(S216=0,"",COUNTIFS('VÍNCULOS_CDF'!$O$6:$O$1005,A216,'VÍNCULOS_CDF'!$AB$6:$AB$1005,1))</f>
        <v/>
      </c>
      <c r="S216" s="96">
        <f>IF(COUNTA(B216:N216)&gt;0,1,0)</f>
        <v>0</v>
      </c>
      <c r="T216" s="96" t="str">
        <f>IF(AND(S216=1,B216&lt;&gt;""),C216&amp;"|"&amp;TRIM(B216),"")</f>
        <v/>
      </c>
      <c r="U216" s="96">
        <f>IF(T216="",0,IF(SUMPRODUCT(--($T$6:$T$505=T216))&gt;1,1,0))</f>
        <v>0</v>
      </c>
      <c r="V216" s="96">
        <f>IF(F216="",0,IF(ISNUMBER(MATCH(F216,cmp_dest,0)),1,0))</f>
        <v>0</v>
      </c>
      <c r="W216" s="96">
        <f>IF(AND(S216=1,B216&lt;&gt;"",F216&lt;&gt;"",J216="Sim",U216=0),1,0)</f>
        <v>0</v>
      </c>
      <c r="X216" s="96">
        <f>IF(S216=0,0,COUNTIFS('VÍNCULOS_CDF'!$O$6:$O$1005,A216,'VÍNCULOS_CDF'!$Y$6:$Y$1005,1))</f>
        <v>0</v>
      </c>
      <c r="Y216" s="96" t="str">
        <f>IF(S216=1,A216&amp;" | CDF "&amp;IF(B216="","(sem número)",B216)&amp;" | "&amp;IF(F216="","(sem destinador)",F216),"")</f>
        <v/>
      </c>
      <c r="Z216" s="96" t="str">
        <f>IF(S216=1,COUNTIF($S$6:S216,1),"")</f>
        <v/>
      </c>
      <c r="AA216" s="96">
        <f>IF(S216=0,0,IF(AND(OR(r_ini="",AND(ISNUMBER(D216),D216&gt;=r_ini)),OR(r_fim="",AND(ISNUMBER(D216),D216&lt;=r_fim)),OR(r_de="",r_de="(Todos)",F216=r_de)),1,0))</f>
        <v>0</v>
      </c>
      <c r="AB216" s="96" t="str">
        <f>IF(AA216=1,IF(F216="",0,COUNTIF($F$6:$F$505,"&lt;"&amp;F216))*1000+211,"")</f>
        <v/>
      </c>
    </row>
    <row r="217">
      <c r="A217" s="89" t="inlineStr">
        <is>
          <t>CDF-000212</t>
        </is>
      </c>
      <c r="B217" s="90" t="n"/>
      <c r="C217" s="91" t="n"/>
      <c r="D217" s="92" t="n"/>
      <c r="E217" s="91" t="n"/>
      <c r="F217" s="91" t="n"/>
      <c r="G217" s="91" t="n"/>
      <c r="H217" s="91" t="n"/>
      <c r="I217" s="91" t="n"/>
      <c r="J217" s="91" t="n"/>
      <c r="K217" s="92" t="n"/>
      <c r="L217" s="91" t="n"/>
      <c r="M217" s="91" t="n"/>
      <c r="N217" s="91" t="n"/>
      <c r="O217" s="93" t="str">
        <f>IF(S217=0,"",SUMIFS('VÍNCULOS_CDF'!$H$6:$H$1005,'VÍNCULOS_CDF'!$O$6:$O$1005,A217,'VÍNCULOS_CDF'!$V$6:$V$1005,1))</f>
        <v/>
      </c>
      <c r="P217" s="95" t="str">
        <f>IF(S217=0,"",COUNTIFS('VÍNCULOS_CDF'!$O$6:$O$1005,A217,'VÍNCULOS_CDF'!$N$6:$N$1005,1))</f>
        <v/>
      </c>
      <c r="Q217" s="94" t="str">
        <f>IF(S217=0,"",IF(OR(B217="",F217=""),"Informações incompletas",IF(U217=1,"Possível duplicidade",IF(V217=0,"Destinador fora do cadastro",IF(AND(J217="Sim",N(P217)=0),"Necessita revisão de vínculos",IF(X217&gt;0,"Necessita revisão de vínculos",IF(J217="Sim","Conferido",IF(I217="Sim","Localizado, aguardando conferência","Cadastrado"))))))))</f>
        <v/>
      </c>
      <c r="R217" s="95" t="str">
        <f>IF(S217=0,"",COUNTIFS('VÍNCULOS_CDF'!$O$6:$O$1005,A217,'VÍNCULOS_CDF'!$AB$6:$AB$1005,1))</f>
        <v/>
      </c>
      <c r="S217" s="96">
        <f>IF(COUNTA(B217:N217)&gt;0,1,0)</f>
        <v>0</v>
      </c>
      <c r="T217" s="96" t="str">
        <f>IF(AND(S217=1,B217&lt;&gt;""),C217&amp;"|"&amp;TRIM(B217),"")</f>
        <v/>
      </c>
      <c r="U217" s="96">
        <f>IF(T217="",0,IF(SUMPRODUCT(--($T$6:$T$505=T217))&gt;1,1,0))</f>
        <v>0</v>
      </c>
      <c r="V217" s="96">
        <f>IF(F217="",0,IF(ISNUMBER(MATCH(F217,cmp_dest,0)),1,0))</f>
        <v>0</v>
      </c>
      <c r="W217" s="96">
        <f>IF(AND(S217=1,B217&lt;&gt;"",F217&lt;&gt;"",J217="Sim",U217=0),1,0)</f>
        <v>0</v>
      </c>
      <c r="X217" s="96">
        <f>IF(S217=0,0,COUNTIFS('VÍNCULOS_CDF'!$O$6:$O$1005,A217,'VÍNCULOS_CDF'!$Y$6:$Y$1005,1))</f>
        <v>0</v>
      </c>
      <c r="Y217" s="96" t="str">
        <f>IF(S217=1,A217&amp;" | CDF "&amp;IF(B217="","(sem número)",B217)&amp;" | "&amp;IF(F217="","(sem destinador)",F217),"")</f>
        <v/>
      </c>
      <c r="Z217" s="96" t="str">
        <f>IF(S217=1,COUNTIF($S$6:S217,1),"")</f>
        <v/>
      </c>
      <c r="AA217" s="96">
        <f>IF(S217=0,0,IF(AND(OR(r_ini="",AND(ISNUMBER(D217),D217&gt;=r_ini)),OR(r_fim="",AND(ISNUMBER(D217),D217&lt;=r_fim)),OR(r_de="",r_de="(Todos)",F217=r_de)),1,0))</f>
        <v>0</v>
      </c>
      <c r="AB217" s="96" t="str">
        <f>IF(AA217=1,IF(F217="",0,COUNTIF($F$6:$F$505,"&lt;"&amp;F217))*1000+212,"")</f>
        <v/>
      </c>
    </row>
    <row r="218">
      <c r="A218" s="89" t="inlineStr">
        <is>
          <t>CDF-000213</t>
        </is>
      </c>
      <c r="B218" s="90" t="n"/>
      <c r="C218" s="91" t="n"/>
      <c r="D218" s="92" t="n"/>
      <c r="E218" s="91" t="n"/>
      <c r="F218" s="91" t="n"/>
      <c r="G218" s="91" t="n"/>
      <c r="H218" s="91" t="n"/>
      <c r="I218" s="91" t="n"/>
      <c r="J218" s="91" t="n"/>
      <c r="K218" s="92" t="n"/>
      <c r="L218" s="91" t="n"/>
      <c r="M218" s="91" t="n"/>
      <c r="N218" s="91" t="n"/>
      <c r="O218" s="93" t="str">
        <f>IF(S218=0,"",SUMIFS('VÍNCULOS_CDF'!$H$6:$H$1005,'VÍNCULOS_CDF'!$O$6:$O$1005,A218,'VÍNCULOS_CDF'!$V$6:$V$1005,1))</f>
        <v/>
      </c>
      <c r="P218" s="95" t="str">
        <f>IF(S218=0,"",COUNTIFS('VÍNCULOS_CDF'!$O$6:$O$1005,A218,'VÍNCULOS_CDF'!$N$6:$N$1005,1))</f>
        <v/>
      </c>
      <c r="Q218" s="94" t="str">
        <f>IF(S218=0,"",IF(OR(B218="",F218=""),"Informações incompletas",IF(U218=1,"Possível duplicidade",IF(V218=0,"Destinador fora do cadastro",IF(AND(J218="Sim",N(P218)=0),"Necessita revisão de vínculos",IF(X218&gt;0,"Necessita revisão de vínculos",IF(J218="Sim","Conferido",IF(I218="Sim","Localizado, aguardando conferência","Cadastrado"))))))))</f>
        <v/>
      </c>
      <c r="R218" s="95" t="str">
        <f>IF(S218=0,"",COUNTIFS('VÍNCULOS_CDF'!$O$6:$O$1005,A218,'VÍNCULOS_CDF'!$AB$6:$AB$1005,1))</f>
        <v/>
      </c>
      <c r="S218" s="96">
        <f>IF(COUNTA(B218:N218)&gt;0,1,0)</f>
        <v>0</v>
      </c>
      <c r="T218" s="96" t="str">
        <f>IF(AND(S218=1,B218&lt;&gt;""),C218&amp;"|"&amp;TRIM(B218),"")</f>
        <v/>
      </c>
      <c r="U218" s="96">
        <f>IF(T218="",0,IF(SUMPRODUCT(--($T$6:$T$505=T218))&gt;1,1,0))</f>
        <v>0</v>
      </c>
      <c r="V218" s="96">
        <f>IF(F218="",0,IF(ISNUMBER(MATCH(F218,cmp_dest,0)),1,0))</f>
        <v>0</v>
      </c>
      <c r="W218" s="96">
        <f>IF(AND(S218=1,B218&lt;&gt;"",F218&lt;&gt;"",J218="Sim",U218=0),1,0)</f>
        <v>0</v>
      </c>
      <c r="X218" s="96">
        <f>IF(S218=0,0,COUNTIFS('VÍNCULOS_CDF'!$O$6:$O$1005,A218,'VÍNCULOS_CDF'!$Y$6:$Y$1005,1))</f>
        <v>0</v>
      </c>
      <c r="Y218" s="96" t="str">
        <f>IF(S218=1,A218&amp;" | CDF "&amp;IF(B218="","(sem número)",B218)&amp;" | "&amp;IF(F218="","(sem destinador)",F218),"")</f>
        <v/>
      </c>
      <c r="Z218" s="96" t="str">
        <f>IF(S218=1,COUNTIF($S$6:S218,1),"")</f>
        <v/>
      </c>
      <c r="AA218" s="96">
        <f>IF(S218=0,0,IF(AND(OR(r_ini="",AND(ISNUMBER(D218),D218&gt;=r_ini)),OR(r_fim="",AND(ISNUMBER(D218),D218&lt;=r_fim)),OR(r_de="",r_de="(Todos)",F218=r_de)),1,0))</f>
        <v>0</v>
      </c>
      <c r="AB218" s="96" t="str">
        <f>IF(AA218=1,IF(F218="",0,COUNTIF($F$6:$F$505,"&lt;"&amp;F218))*1000+213,"")</f>
        <v/>
      </c>
    </row>
    <row r="219">
      <c r="A219" s="89" t="inlineStr">
        <is>
          <t>CDF-000214</t>
        </is>
      </c>
      <c r="B219" s="90" t="n"/>
      <c r="C219" s="91" t="n"/>
      <c r="D219" s="92" t="n"/>
      <c r="E219" s="91" t="n"/>
      <c r="F219" s="91" t="n"/>
      <c r="G219" s="91" t="n"/>
      <c r="H219" s="91" t="n"/>
      <c r="I219" s="91" t="n"/>
      <c r="J219" s="91" t="n"/>
      <c r="K219" s="92" t="n"/>
      <c r="L219" s="91" t="n"/>
      <c r="M219" s="91" t="n"/>
      <c r="N219" s="91" t="n"/>
      <c r="O219" s="93" t="str">
        <f>IF(S219=0,"",SUMIFS('VÍNCULOS_CDF'!$H$6:$H$1005,'VÍNCULOS_CDF'!$O$6:$O$1005,A219,'VÍNCULOS_CDF'!$V$6:$V$1005,1))</f>
        <v/>
      </c>
      <c r="P219" s="95" t="str">
        <f>IF(S219=0,"",COUNTIFS('VÍNCULOS_CDF'!$O$6:$O$1005,A219,'VÍNCULOS_CDF'!$N$6:$N$1005,1))</f>
        <v/>
      </c>
      <c r="Q219" s="94" t="str">
        <f>IF(S219=0,"",IF(OR(B219="",F219=""),"Informações incompletas",IF(U219=1,"Possível duplicidade",IF(V219=0,"Destinador fora do cadastro",IF(AND(J219="Sim",N(P219)=0),"Necessita revisão de vínculos",IF(X219&gt;0,"Necessita revisão de vínculos",IF(J219="Sim","Conferido",IF(I219="Sim","Localizado, aguardando conferência","Cadastrado"))))))))</f>
        <v/>
      </c>
      <c r="R219" s="95" t="str">
        <f>IF(S219=0,"",COUNTIFS('VÍNCULOS_CDF'!$O$6:$O$1005,A219,'VÍNCULOS_CDF'!$AB$6:$AB$1005,1))</f>
        <v/>
      </c>
      <c r="S219" s="96">
        <f>IF(COUNTA(B219:N219)&gt;0,1,0)</f>
        <v>0</v>
      </c>
      <c r="T219" s="96" t="str">
        <f>IF(AND(S219=1,B219&lt;&gt;""),C219&amp;"|"&amp;TRIM(B219),"")</f>
        <v/>
      </c>
      <c r="U219" s="96">
        <f>IF(T219="",0,IF(SUMPRODUCT(--($T$6:$T$505=T219))&gt;1,1,0))</f>
        <v>0</v>
      </c>
      <c r="V219" s="96">
        <f>IF(F219="",0,IF(ISNUMBER(MATCH(F219,cmp_dest,0)),1,0))</f>
        <v>0</v>
      </c>
      <c r="W219" s="96">
        <f>IF(AND(S219=1,B219&lt;&gt;"",F219&lt;&gt;"",J219="Sim",U219=0),1,0)</f>
        <v>0</v>
      </c>
      <c r="X219" s="96">
        <f>IF(S219=0,0,COUNTIFS('VÍNCULOS_CDF'!$O$6:$O$1005,A219,'VÍNCULOS_CDF'!$Y$6:$Y$1005,1))</f>
        <v>0</v>
      </c>
      <c r="Y219" s="96" t="str">
        <f>IF(S219=1,A219&amp;" | CDF "&amp;IF(B219="","(sem número)",B219)&amp;" | "&amp;IF(F219="","(sem destinador)",F219),"")</f>
        <v/>
      </c>
      <c r="Z219" s="96" t="str">
        <f>IF(S219=1,COUNTIF($S$6:S219,1),"")</f>
        <v/>
      </c>
      <c r="AA219" s="96">
        <f>IF(S219=0,0,IF(AND(OR(r_ini="",AND(ISNUMBER(D219),D219&gt;=r_ini)),OR(r_fim="",AND(ISNUMBER(D219),D219&lt;=r_fim)),OR(r_de="",r_de="(Todos)",F219=r_de)),1,0))</f>
        <v>0</v>
      </c>
      <c r="AB219" s="96" t="str">
        <f>IF(AA219=1,IF(F219="",0,COUNTIF($F$6:$F$505,"&lt;"&amp;F219))*1000+214,"")</f>
        <v/>
      </c>
    </row>
    <row r="220">
      <c r="A220" s="89" t="inlineStr">
        <is>
          <t>CDF-000215</t>
        </is>
      </c>
      <c r="B220" s="90" t="n"/>
      <c r="C220" s="91" t="n"/>
      <c r="D220" s="92" t="n"/>
      <c r="E220" s="91" t="n"/>
      <c r="F220" s="91" t="n"/>
      <c r="G220" s="91" t="n"/>
      <c r="H220" s="91" t="n"/>
      <c r="I220" s="91" t="n"/>
      <c r="J220" s="91" t="n"/>
      <c r="K220" s="92" t="n"/>
      <c r="L220" s="91" t="n"/>
      <c r="M220" s="91" t="n"/>
      <c r="N220" s="91" t="n"/>
      <c r="O220" s="93" t="str">
        <f>IF(S220=0,"",SUMIFS('VÍNCULOS_CDF'!$H$6:$H$1005,'VÍNCULOS_CDF'!$O$6:$O$1005,A220,'VÍNCULOS_CDF'!$V$6:$V$1005,1))</f>
        <v/>
      </c>
      <c r="P220" s="95" t="str">
        <f>IF(S220=0,"",COUNTIFS('VÍNCULOS_CDF'!$O$6:$O$1005,A220,'VÍNCULOS_CDF'!$N$6:$N$1005,1))</f>
        <v/>
      </c>
      <c r="Q220" s="94" t="str">
        <f>IF(S220=0,"",IF(OR(B220="",F220=""),"Informações incompletas",IF(U220=1,"Possível duplicidade",IF(V220=0,"Destinador fora do cadastro",IF(AND(J220="Sim",N(P220)=0),"Necessita revisão de vínculos",IF(X220&gt;0,"Necessita revisão de vínculos",IF(J220="Sim","Conferido",IF(I220="Sim","Localizado, aguardando conferência","Cadastrado"))))))))</f>
        <v/>
      </c>
      <c r="R220" s="95" t="str">
        <f>IF(S220=0,"",COUNTIFS('VÍNCULOS_CDF'!$O$6:$O$1005,A220,'VÍNCULOS_CDF'!$AB$6:$AB$1005,1))</f>
        <v/>
      </c>
      <c r="S220" s="96">
        <f>IF(COUNTA(B220:N220)&gt;0,1,0)</f>
        <v>0</v>
      </c>
      <c r="T220" s="96" t="str">
        <f>IF(AND(S220=1,B220&lt;&gt;""),C220&amp;"|"&amp;TRIM(B220),"")</f>
        <v/>
      </c>
      <c r="U220" s="96">
        <f>IF(T220="",0,IF(SUMPRODUCT(--($T$6:$T$505=T220))&gt;1,1,0))</f>
        <v>0</v>
      </c>
      <c r="V220" s="96">
        <f>IF(F220="",0,IF(ISNUMBER(MATCH(F220,cmp_dest,0)),1,0))</f>
        <v>0</v>
      </c>
      <c r="W220" s="96">
        <f>IF(AND(S220=1,B220&lt;&gt;"",F220&lt;&gt;"",J220="Sim",U220=0),1,0)</f>
        <v>0</v>
      </c>
      <c r="X220" s="96">
        <f>IF(S220=0,0,COUNTIFS('VÍNCULOS_CDF'!$O$6:$O$1005,A220,'VÍNCULOS_CDF'!$Y$6:$Y$1005,1))</f>
        <v>0</v>
      </c>
      <c r="Y220" s="96" t="str">
        <f>IF(S220=1,A220&amp;" | CDF "&amp;IF(B220="","(sem número)",B220)&amp;" | "&amp;IF(F220="","(sem destinador)",F220),"")</f>
        <v/>
      </c>
      <c r="Z220" s="96" t="str">
        <f>IF(S220=1,COUNTIF($S$6:S220,1),"")</f>
        <v/>
      </c>
      <c r="AA220" s="96">
        <f>IF(S220=0,0,IF(AND(OR(r_ini="",AND(ISNUMBER(D220),D220&gt;=r_ini)),OR(r_fim="",AND(ISNUMBER(D220),D220&lt;=r_fim)),OR(r_de="",r_de="(Todos)",F220=r_de)),1,0))</f>
        <v>0</v>
      </c>
      <c r="AB220" s="96" t="str">
        <f>IF(AA220=1,IF(F220="",0,COUNTIF($F$6:$F$505,"&lt;"&amp;F220))*1000+215,"")</f>
        <v/>
      </c>
    </row>
    <row r="221">
      <c r="A221" s="89" t="inlineStr">
        <is>
          <t>CDF-000216</t>
        </is>
      </c>
      <c r="B221" s="90" t="n"/>
      <c r="C221" s="91" t="n"/>
      <c r="D221" s="92" t="n"/>
      <c r="E221" s="91" t="n"/>
      <c r="F221" s="91" t="n"/>
      <c r="G221" s="91" t="n"/>
      <c r="H221" s="91" t="n"/>
      <c r="I221" s="91" t="n"/>
      <c r="J221" s="91" t="n"/>
      <c r="K221" s="92" t="n"/>
      <c r="L221" s="91" t="n"/>
      <c r="M221" s="91" t="n"/>
      <c r="N221" s="91" t="n"/>
      <c r="O221" s="93" t="str">
        <f>IF(S221=0,"",SUMIFS('VÍNCULOS_CDF'!$H$6:$H$1005,'VÍNCULOS_CDF'!$O$6:$O$1005,A221,'VÍNCULOS_CDF'!$V$6:$V$1005,1))</f>
        <v/>
      </c>
      <c r="P221" s="95" t="str">
        <f>IF(S221=0,"",COUNTIFS('VÍNCULOS_CDF'!$O$6:$O$1005,A221,'VÍNCULOS_CDF'!$N$6:$N$1005,1))</f>
        <v/>
      </c>
      <c r="Q221" s="94" t="str">
        <f>IF(S221=0,"",IF(OR(B221="",F221=""),"Informações incompletas",IF(U221=1,"Possível duplicidade",IF(V221=0,"Destinador fora do cadastro",IF(AND(J221="Sim",N(P221)=0),"Necessita revisão de vínculos",IF(X221&gt;0,"Necessita revisão de vínculos",IF(J221="Sim","Conferido",IF(I221="Sim","Localizado, aguardando conferência","Cadastrado"))))))))</f>
        <v/>
      </c>
      <c r="R221" s="95" t="str">
        <f>IF(S221=0,"",COUNTIFS('VÍNCULOS_CDF'!$O$6:$O$1005,A221,'VÍNCULOS_CDF'!$AB$6:$AB$1005,1))</f>
        <v/>
      </c>
      <c r="S221" s="96">
        <f>IF(COUNTA(B221:N221)&gt;0,1,0)</f>
        <v>0</v>
      </c>
      <c r="T221" s="96" t="str">
        <f>IF(AND(S221=1,B221&lt;&gt;""),C221&amp;"|"&amp;TRIM(B221),"")</f>
        <v/>
      </c>
      <c r="U221" s="96">
        <f>IF(T221="",0,IF(SUMPRODUCT(--($T$6:$T$505=T221))&gt;1,1,0))</f>
        <v>0</v>
      </c>
      <c r="V221" s="96">
        <f>IF(F221="",0,IF(ISNUMBER(MATCH(F221,cmp_dest,0)),1,0))</f>
        <v>0</v>
      </c>
      <c r="W221" s="96">
        <f>IF(AND(S221=1,B221&lt;&gt;"",F221&lt;&gt;"",J221="Sim",U221=0),1,0)</f>
        <v>0</v>
      </c>
      <c r="X221" s="96">
        <f>IF(S221=0,0,COUNTIFS('VÍNCULOS_CDF'!$O$6:$O$1005,A221,'VÍNCULOS_CDF'!$Y$6:$Y$1005,1))</f>
        <v>0</v>
      </c>
      <c r="Y221" s="96" t="str">
        <f>IF(S221=1,A221&amp;" | CDF "&amp;IF(B221="","(sem número)",B221)&amp;" | "&amp;IF(F221="","(sem destinador)",F221),"")</f>
        <v/>
      </c>
      <c r="Z221" s="96" t="str">
        <f>IF(S221=1,COUNTIF($S$6:S221,1),"")</f>
        <v/>
      </c>
      <c r="AA221" s="96">
        <f>IF(S221=0,0,IF(AND(OR(r_ini="",AND(ISNUMBER(D221),D221&gt;=r_ini)),OR(r_fim="",AND(ISNUMBER(D221),D221&lt;=r_fim)),OR(r_de="",r_de="(Todos)",F221=r_de)),1,0))</f>
        <v>0</v>
      </c>
      <c r="AB221" s="96" t="str">
        <f>IF(AA221=1,IF(F221="",0,COUNTIF($F$6:$F$505,"&lt;"&amp;F221))*1000+216,"")</f>
        <v/>
      </c>
    </row>
    <row r="222">
      <c r="A222" s="89" t="inlineStr">
        <is>
          <t>CDF-000217</t>
        </is>
      </c>
      <c r="B222" s="90" t="n"/>
      <c r="C222" s="91" t="n"/>
      <c r="D222" s="92" t="n"/>
      <c r="E222" s="91" t="n"/>
      <c r="F222" s="91" t="n"/>
      <c r="G222" s="91" t="n"/>
      <c r="H222" s="91" t="n"/>
      <c r="I222" s="91" t="n"/>
      <c r="J222" s="91" t="n"/>
      <c r="K222" s="92" t="n"/>
      <c r="L222" s="91" t="n"/>
      <c r="M222" s="91" t="n"/>
      <c r="N222" s="91" t="n"/>
      <c r="O222" s="93" t="str">
        <f>IF(S222=0,"",SUMIFS('VÍNCULOS_CDF'!$H$6:$H$1005,'VÍNCULOS_CDF'!$O$6:$O$1005,A222,'VÍNCULOS_CDF'!$V$6:$V$1005,1))</f>
        <v/>
      </c>
      <c r="P222" s="95" t="str">
        <f>IF(S222=0,"",COUNTIFS('VÍNCULOS_CDF'!$O$6:$O$1005,A222,'VÍNCULOS_CDF'!$N$6:$N$1005,1))</f>
        <v/>
      </c>
      <c r="Q222" s="94" t="str">
        <f>IF(S222=0,"",IF(OR(B222="",F222=""),"Informações incompletas",IF(U222=1,"Possível duplicidade",IF(V222=0,"Destinador fora do cadastro",IF(AND(J222="Sim",N(P222)=0),"Necessita revisão de vínculos",IF(X222&gt;0,"Necessita revisão de vínculos",IF(J222="Sim","Conferido",IF(I222="Sim","Localizado, aguardando conferência","Cadastrado"))))))))</f>
        <v/>
      </c>
      <c r="R222" s="95" t="str">
        <f>IF(S222=0,"",COUNTIFS('VÍNCULOS_CDF'!$O$6:$O$1005,A222,'VÍNCULOS_CDF'!$AB$6:$AB$1005,1))</f>
        <v/>
      </c>
      <c r="S222" s="96">
        <f>IF(COUNTA(B222:N222)&gt;0,1,0)</f>
        <v>0</v>
      </c>
      <c r="T222" s="96" t="str">
        <f>IF(AND(S222=1,B222&lt;&gt;""),C222&amp;"|"&amp;TRIM(B222),"")</f>
        <v/>
      </c>
      <c r="U222" s="96">
        <f>IF(T222="",0,IF(SUMPRODUCT(--($T$6:$T$505=T222))&gt;1,1,0))</f>
        <v>0</v>
      </c>
      <c r="V222" s="96">
        <f>IF(F222="",0,IF(ISNUMBER(MATCH(F222,cmp_dest,0)),1,0))</f>
        <v>0</v>
      </c>
      <c r="W222" s="96">
        <f>IF(AND(S222=1,B222&lt;&gt;"",F222&lt;&gt;"",J222="Sim",U222=0),1,0)</f>
        <v>0</v>
      </c>
      <c r="X222" s="96">
        <f>IF(S222=0,0,COUNTIFS('VÍNCULOS_CDF'!$O$6:$O$1005,A222,'VÍNCULOS_CDF'!$Y$6:$Y$1005,1))</f>
        <v>0</v>
      </c>
      <c r="Y222" s="96" t="str">
        <f>IF(S222=1,A222&amp;" | CDF "&amp;IF(B222="","(sem número)",B222)&amp;" | "&amp;IF(F222="","(sem destinador)",F222),"")</f>
        <v/>
      </c>
      <c r="Z222" s="96" t="str">
        <f>IF(S222=1,COUNTIF($S$6:S222,1),"")</f>
        <v/>
      </c>
      <c r="AA222" s="96">
        <f>IF(S222=0,0,IF(AND(OR(r_ini="",AND(ISNUMBER(D222),D222&gt;=r_ini)),OR(r_fim="",AND(ISNUMBER(D222),D222&lt;=r_fim)),OR(r_de="",r_de="(Todos)",F222=r_de)),1,0))</f>
        <v>0</v>
      </c>
      <c r="AB222" s="96" t="str">
        <f>IF(AA222=1,IF(F222="",0,COUNTIF($F$6:$F$505,"&lt;"&amp;F222))*1000+217,"")</f>
        <v/>
      </c>
    </row>
    <row r="223">
      <c r="A223" s="89" t="inlineStr">
        <is>
          <t>CDF-000218</t>
        </is>
      </c>
      <c r="B223" s="90" t="n"/>
      <c r="C223" s="91" t="n"/>
      <c r="D223" s="92" t="n"/>
      <c r="E223" s="91" t="n"/>
      <c r="F223" s="91" t="n"/>
      <c r="G223" s="91" t="n"/>
      <c r="H223" s="91" t="n"/>
      <c r="I223" s="91" t="n"/>
      <c r="J223" s="91" t="n"/>
      <c r="K223" s="92" t="n"/>
      <c r="L223" s="91" t="n"/>
      <c r="M223" s="91" t="n"/>
      <c r="N223" s="91" t="n"/>
      <c r="O223" s="93" t="str">
        <f>IF(S223=0,"",SUMIFS('VÍNCULOS_CDF'!$H$6:$H$1005,'VÍNCULOS_CDF'!$O$6:$O$1005,A223,'VÍNCULOS_CDF'!$V$6:$V$1005,1))</f>
        <v/>
      </c>
      <c r="P223" s="95" t="str">
        <f>IF(S223=0,"",COUNTIFS('VÍNCULOS_CDF'!$O$6:$O$1005,A223,'VÍNCULOS_CDF'!$N$6:$N$1005,1))</f>
        <v/>
      </c>
      <c r="Q223" s="94" t="str">
        <f>IF(S223=0,"",IF(OR(B223="",F223=""),"Informações incompletas",IF(U223=1,"Possível duplicidade",IF(V223=0,"Destinador fora do cadastro",IF(AND(J223="Sim",N(P223)=0),"Necessita revisão de vínculos",IF(X223&gt;0,"Necessita revisão de vínculos",IF(J223="Sim","Conferido",IF(I223="Sim","Localizado, aguardando conferência","Cadastrado"))))))))</f>
        <v/>
      </c>
      <c r="R223" s="95" t="str">
        <f>IF(S223=0,"",COUNTIFS('VÍNCULOS_CDF'!$O$6:$O$1005,A223,'VÍNCULOS_CDF'!$AB$6:$AB$1005,1))</f>
        <v/>
      </c>
      <c r="S223" s="96">
        <f>IF(COUNTA(B223:N223)&gt;0,1,0)</f>
        <v>0</v>
      </c>
      <c r="T223" s="96" t="str">
        <f>IF(AND(S223=1,B223&lt;&gt;""),C223&amp;"|"&amp;TRIM(B223),"")</f>
        <v/>
      </c>
      <c r="U223" s="96">
        <f>IF(T223="",0,IF(SUMPRODUCT(--($T$6:$T$505=T223))&gt;1,1,0))</f>
        <v>0</v>
      </c>
      <c r="V223" s="96">
        <f>IF(F223="",0,IF(ISNUMBER(MATCH(F223,cmp_dest,0)),1,0))</f>
        <v>0</v>
      </c>
      <c r="W223" s="96">
        <f>IF(AND(S223=1,B223&lt;&gt;"",F223&lt;&gt;"",J223="Sim",U223=0),1,0)</f>
        <v>0</v>
      </c>
      <c r="X223" s="96">
        <f>IF(S223=0,0,COUNTIFS('VÍNCULOS_CDF'!$O$6:$O$1005,A223,'VÍNCULOS_CDF'!$Y$6:$Y$1005,1))</f>
        <v>0</v>
      </c>
      <c r="Y223" s="96" t="str">
        <f>IF(S223=1,A223&amp;" | CDF "&amp;IF(B223="","(sem número)",B223)&amp;" | "&amp;IF(F223="","(sem destinador)",F223),"")</f>
        <v/>
      </c>
      <c r="Z223" s="96" t="str">
        <f>IF(S223=1,COUNTIF($S$6:S223,1),"")</f>
        <v/>
      </c>
      <c r="AA223" s="96">
        <f>IF(S223=0,0,IF(AND(OR(r_ini="",AND(ISNUMBER(D223),D223&gt;=r_ini)),OR(r_fim="",AND(ISNUMBER(D223),D223&lt;=r_fim)),OR(r_de="",r_de="(Todos)",F223=r_de)),1,0))</f>
        <v>0</v>
      </c>
      <c r="AB223" s="96" t="str">
        <f>IF(AA223=1,IF(F223="",0,COUNTIF($F$6:$F$505,"&lt;"&amp;F223))*1000+218,"")</f>
        <v/>
      </c>
    </row>
    <row r="224">
      <c r="A224" s="89" t="inlineStr">
        <is>
          <t>CDF-000219</t>
        </is>
      </c>
      <c r="B224" s="90" t="n"/>
      <c r="C224" s="91" t="n"/>
      <c r="D224" s="92" t="n"/>
      <c r="E224" s="91" t="n"/>
      <c r="F224" s="91" t="n"/>
      <c r="G224" s="91" t="n"/>
      <c r="H224" s="91" t="n"/>
      <c r="I224" s="91" t="n"/>
      <c r="J224" s="91" t="n"/>
      <c r="K224" s="92" t="n"/>
      <c r="L224" s="91" t="n"/>
      <c r="M224" s="91" t="n"/>
      <c r="N224" s="91" t="n"/>
      <c r="O224" s="93" t="str">
        <f>IF(S224=0,"",SUMIFS('VÍNCULOS_CDF'!$H$6:$H$1005,'VÍNCULOS_CDF'!$O$6:$O$1005,A224,'VÍNCULOS_CDF'!$V$6:$V$1005,1))</f>
        <v/>
      </c>
      <c r="P224" s="95" t="str">
        <f>IF(S224=0,"",COUNTIFS('VÍNCULOS_CDF'!$O$6:$O$1005,A224,'VÍNCULOS_CDF'!$N$6:$N$1005,1))</f>
        <v/>
      </c>
      <c r="Q224" s="94" t="str">
        <f>IF(S224=0,"",IF(OR(B224="",F224=""),"Informações incompletas",IF(U224=1,"Possível duplicidade",IF(V224=0,"Destinador fora do cadastro",IF(AND(J224="Sim",N(P224)=0),"Necessita revisão de vínculos",IF(X224&gt;0,"Necessita revisão de vínculos",IF(J224="Sim","Conferido",IF(I224="Sim","Localizado, aguardando conferência","Cadastrado"))))))))</f>
        <v/>
      </c>
      <c r="R224" s="95" t="str">
        <f>IF(S224=0,"",COUNTIFS('VÍNCULOS_CDF'!$O$6:$O$1005,A224,'VÍNCULOS_CDF'!$AB$6:$AB$1005,1))</f>
        <v/>
      </c>
      <c r="S224" s="96">
        <f>IF(COUNTA(B224:N224)&gt;0,1,0)</f>
        <v>0</v>
      </c>
      <c r="T224" s="96" t="str">
        <f>IF(AND(S224=1,B224&lt;&gt;""),C224&amp;"|"&amp;TRIM(B224),"")</f>
        <v/>
      </c>
      <c r="U224" s="96">
        <f>IF(T224="",0,IF(SUMPRODUCT(--($T$6:$T$505=T224))&gt;1,1,0))</f>
        <v>0</v>
      </c>
      <c r="V224" s="96">
        <f>IF(F224="",0,IF(ISNUMBER(MATCH(F224,cmp_dest,0)),1,0))</f>
        <v>0</v>
      </c>
      <c r="W224" s="96">
        <f>IF(AND(S224=1,B224&lt;&gt;"",F224&lt;&gt;"",J224="Sim",U224=0),1,0)</f>
        <v>0</v>
      </c>
      <c r="X224" s="96">
        <f>IF(S224=0,0,COUNTIFS('VÍNCULOS_CDF'!$O$6:$O$1005,A224,'VÍNCULOS_CDF'!$Y$6:$Y$1005,1))</f>
        <v>0</v>
      </c>
      <c r="Y224" s="96" t="str">
        <f>IF(S224=1,A224&amp;" | CDF "&amp;IF(B224="","(sem número)",B224)&amp;" | "&amp;IF(F224="","(sem destinador)",F224),"")</f>
        <v/>
      </c>
      <c r="Z224" s="96" t="str">
        <f>IF(S224=1,COUNTIF($S$6:S224,1),"")</f>
        <v/>
      </c>
      <c r="AA224" s="96">
        <f>IF(S224=0,0,IF(AND(OR(r_ini="",AND(ISNUMBER(D224),D224&gt;=r_ini)),OR(r_fim="",AND(ISNUMBER(D224),D224&lt;=r_fim)),OR(r_de="",r_de="(Todos)",F224=r_de)),1,0))</f>
        <v>0</v>
      </c>
      <c r="AB224" s="96" t="str">
        <f>IF(AA224=1,IF(F224="",0,COUNTIF($F$6:$F$505,"&lt;"&amp;F224))*1000+219,"")</f>
        <v/>
      </c>
    </row>
    <row r="225">
      <c r="A225" s="89" t="inlineStr">
        <is>
          <t>CDF-000220</t>
        </is>
      </c>
      <c r="B225" s="90" t="n"/>
      <c r="C225" s="91" t="n"/>
      <c r="D225" s="92" t="n"/>
      <c r="E225" s="91" t="n"/>
      <c r="F225" s="91" t="n"/>
      <c r="G225" s="91" t="n"/>
      <c r="H225" s="91" t="n"/>
      <c r="I225" s="91" t="n"/>
      <c r="J225" s="91" t="n"/>
      <c r="K225" s="92" t="n"/>
      <c r="L225" s="91" t="n"/>
      <c r="M225" s="91" t="n"/>
      <c r="N225" s="91" t="n"/>
      <c r="O225" s="93" t="str">
        <f>IF(S225=0,"",SUMIFS('VÍNCULOS_CDF'!$H$6:$H$1005,'VÍNCULOS_CDF'!$O$6:$O$1005,A225,'VÍNCULOS_CDF'!$V$6:$V$1005,1))</f>
        <v/>
      </c>
      <c r="P225" s="95" t="str">
        <f>IF(S225=0,"",COUNTIFS('VÍNCULOS_CDF'!$O$6:$O$1005,A225,'VÍNCULOS_CDF'!$N$6:$N$1005,1))</f>
        <v/>
      </c>
      <c r="Q225" s="94" t="str">
        <f>IF(S225=0,"",IF(OR(B225="",F225=""),"Informações incompletas",IF(U225=1,"Possível duplicidade",IF(V225=0,"Destinador fora do cadastro",IF(AND(J225="Sim",N(P225)=0),"Necessita revisão de vínculos",IF(X225&gt;0,"Necessita revisão de vínculos",IF(J225="Sim","Conferido",IF(I225="Sim","Localizado, aguardando conferência","Cadastrado"))))))))</f>
        <v/>
      </c>
      <c r="R225" s="95" t="str">
        <f>IF(S225=0,"",COUNTIFS('VÍNCULOS_CDF'!$O$6:$O$1005,A225,'VÍNCULOS_CDF'!$AB$6:$AB$1005,1))</f>
        <v/>
      </c>
      <c r="S225" s="96">
        <f>IF(COUNTA(B225:N225)&gt;0,1,0)</f>
        <v>0</v>
      </c>
      <c r="T225" s="96" t="str">
        <f>IF(AND(S225=1,B225&lt;&gt;""),C225&amp;"|"&amp;TRIM(B225),"")</f>
        <v/>
      </c>
      <c r="U225" s="96">
        <f>IF(T225="",0,IF(SUMPRODUCT(--($T$6:$T$505=T225))&gt;1,1,0))</f>
        <v>0</v>
      </c>
      <c r="V225" s="96">
        <f>IF(F225="",0,IF(ISNUMBER(MATCH(F225,cmp_dest,0)),1,0))</f>
        <v>0</v>
      </c>
      <c r="W225" s="96">
        <f>IF(AND(S225=1,B225&lt;&gt;"",F225&lt;&gt;"",J225="Sim",U225=0),1,0)</f>
        <v>0</v>
      </c>
      <c r="X225" s="96">
        <f>IF(S225=0,0,COUNTIFS('VÍNCULOS_CDF'!$O$6:$O$1005,A225,'VÍNCULOS_CDF'!$Y$6:$Y$1005,1))</f>
        <v>0</v>
      </c>
      <c r="Y225" s="96" t="str">
        <f>IF(S225=1,A225&amp;" | CDF "&amp;IF(B225="","(sem número)",B225)&amp;" | "&amp;IF(F225="","(sem destinador)",F225),"")</f>
        <v/>
      </c>
      <c r="Z225" s="96" t="str">
        <f>IF(S225=1,COUNTIF($S$6:S225,1),"")</f>
        <v/>
      </c>
      <c r="AA225" s="96">
        <f>IF(S225=0,0,IF(AND(OR(r_ini="",AND(ISNUMBER(D225),D225&gt;=r_ini)),OR(r_fim="",AND(ISNUMBER(D225),D225&lt;=r_fim)),OR(r_de="",r_de="(Todos)",F225=r_de)),1,0))</f>
        <v>0</v>
      </c>
      <c r="AB225" s="96" t="str">
        <f>IF(AA225=1,IF(F225="",0,COUNTIF($F$6:$F$505,"&lt;"&amp;F225))*1000+220,"")</f>
        <v/>
      </c>
    </row>
    <row r="226">
      <c r="A226" s="89" t="inlineStr">
        <is>
          <t>CDF-000221</t>
        </is>
      </c>
      <c r="B226" s="90" t="n"/>
      <c r="C226" s="91" t="n"/>
      <c r="D226" s="92" t="n"/>
      <c r="E226" s="91" t="n"/>
      <c r="F226" s="91" t="n"/>
      <c r="G226" s="91" t="n"/>
      <c r="H226" s="91" t="n"/>
      <c r="I226" s="91" t="n"/>
      <c r="J226" s="91" t="n"/>
      <c r="K226" s="92" t="n"/>
      <c r="L226" s="91" t="n"/>
      <c r="M226" s="91" t="n"/>
      <c r="N226" s="91" t="n"/>
      <c r="O226" s="93" t="str">
        <f>IF(S226=0,"",SUMIFS('VÍNCULOS_CDF'!$H$6:$H$1005,'VÍNCULOS_CDF'!$O$6:$O$1005,A226,'VÍNCULOS_CDF'!$V$6:$V$1005,1))</f>
        <v/>
      </c>
      <c r="P226" s="95" t="str">
        <f>IF(S226=0,"",COUNTIFS('VÍNCULOS_CDF'!$O$6:$O$1005,A226,'VÍNCULOS_CDF'!$N$6:$N$1005,1))</f>
        <v/>
      </c>
      <c r="Q226" s="94" t="str">
        <f>IF(S226=0,"",IF(OR(B226="",F226=""),"Informações incompletas",IF(U226=1,"Possível duplicidade",IF(V226=0,"Destinador fora do cadastro",IF(AND(J226="Sim",N(P226)=0),"Necessita revisão de vínculos",IF(X226&gt;0,"Necessita revisão de vínculos",IF(J226="Sim","Conferido",IF(I226="Sim","Localizado, aguardando conferência","Cadastrado"))))))))</f>
        <v/>
      </c>
      <c r="R226" s="95" t="str">
        <f>IF(S226=0,"",COUNTIFS('VÍNCULOS_CDF'!$O$6:$O$1005,A226,'VÍNCULOS_CDF'!$AB$6:$AB$1005,1))</f>
        <v/>
      </c>
      <c r="S226" s="96">
        <f>IF(COUNTA(B226:N226)&gt;0,1,0)</f>
        <v>0</v>
      </c>
      <c r="T226" s="96" t="str">
        <f>IF(AND(S226=1,B226&lt;&gt;""),C226&amp;"|"&amp;TRIM(B226),"")</f>
        <v/>
      </c>
      <c r="U226" s="96">
        <f>IF(T226="",0,IF(SUMPRODUCT(--($T$6:$T$505=T226))&gt;1,1,0))</f>
        <v>0</v>
      </c>
      <c r="V226" s="96">
        <f>IF(F226="",0,IF(ISNUMBER(MATCH(F226,cmp_dest,0)),1,0))</f>
        <v>0</v>
      </c>
      <c r="W226" s="96">
        <f>IF(AND(S226=1,B226&lt;&gt;"",F226&lt;&gt;"",J226="Sim",U226=0),1,0)</f>
        <v>0</v>
      </c>
      <c r="X226" s="96">
        <f>IF(S226=0,0,COUNTIFS('VÍNCULOS_CDF'!$O$6:$O$1005,A226,'VÍNCULOS_CDF'!$Y$6:$Y$1005,1))</f>
        <v>0</v>
      </c>
      <c r="Y226" s="96" t="str">
        <f>IF(S226=1,A226&amp;" | CDF "&amp;IF(B226="","(sem número)",B226)&amp;" | "&amp;IF(F226="","(sem destinador)",F226),"")</f>
        <v/>
      </c>
      <c r="Z226" s="96" t="str">
        <f>IF(S226=1,COUNTIF($S$6:S226,1),"")</f>
        <v/>
      </c>
      <c r="AA226" s="96">
        <f>IF(S226=0,0,IF(AND(OR(r_ini="",AND(ISNUMBER(D226),D226&gt;=r_ini)),OR(r_fim="",AND(ISNUMBER(D226),D226&lt;=r_fim)),OR(r_de="",r_de="(Todos)",F226=r_de)),1,0))</f>
        <v>0</v>
      </c>
      <c r="AB226" s="96" t="str">
        <f>IF(AA226=1,IF(F226="",0,COUNTIF($F$6:$F$505,"&lt;"&amp;F226))*1000+221,"")</f>
        <v/>
      </c>
    </row>
    <row r="227">
      <c r="A227" s="89" t="inlineStr">
        <is>
          <t>CDF-000222</t>
        </is>
      </c>
      <c r="B227" s="90" t="n"/>
      <c r="C227" s="91" t="n"/>
      <c r="D227" s="92" t="n"/>
      <c r="E227" s="91" t="n"/>
      <c r="F227" s="91" t="n"/>
      <c r="G227" s="91" t="n"/>
      <c r="H227" s="91" t="n"/>
      <c r="I227" s="91" t="n"/>
      <c r="J227" s="91" t="n"/>
      <c r="K227" s="92" t="n"/>
      <c r="L227" s="91" t="n"/>
      <c r="M227" s="91" t="n"/>
      <c r="N227" s="91" t="n"/>
      <c r="O227" s="93" t="str">
        <f>IF(S227=0,"",SUMIFS('VÍNCULOS_CDF'!$H$6:$H$1005,'VÍNCULOS_CDF'!$O$6:$O$1005,A227,'VÍNCULOS_CDF'!$V$6:$V$1005,1))</f>
        <v/>
      </c>
      <c r="P227" s="95" t="str">
        <f>IF(S227=0,"",COUNTIFS('VÍNCULOS_CDF'!$O$6:$O$1005,A227,'VÍNCULOS_CDF'!$N$6:$N$1005,1))</f>
        <v/>
      </c>
      <c r="Q227" s="94" t="str">
        <f>IF(S227=0,"",IF(OR(B227="",F227=""),"Informações incompletas",IF(U227=1,"Possível duplicidade",IF(V227=0,"Destinador fora do cadastro",IF(AND(J227="Sim",N(P227)=0),"Necessita revisão de vínculos",IF(X227&gt;0,"Necessita revisão de vínculos",IF(J227="Sim","Conferido",IF(I227="Sim","Localizado, aguardando conferência","Cadastrado"))))))))</f>
        <v/>
      </c>
      <c r="R227" s="95" t="str">
        <f>IF(S227=0,"",COUNTIFS('VÍNCULOS_CDF'!$O$6:$O$1005,A227,'VÍNCULOS_CDF'!$AB$6:$AB$1005,1))</f>
        <v/>
      </c>
      <c r="S227" s="96">
        <f>IF(COUNTA(B227:N227)&gt;0,1,0)</f>
        <v>0</v>
      </c>
      <c r="T227" s="96" t="str">
        <f>IF(AND(S227=1,B227&lt;&gt;""),C227&amp;"|"&amp;TRIM(B227),"")</f>
        <v/>
      </c>
      <c r="U227" s="96">
        <f>IF(T227="",0,IF(SUMPRODUCT(--($T$6:$T$505=T227))&gt;1,1,0))</f>
        <v>0</v>
      </c>
      <c r="V227" s="96">
        <f>IF(F227="",0,IF(ISNUMBER(MATCH(F227,cmp_dest,0)),1,0))</f>
        <v>0</v>
      </c>
      <c r="W227" s="96">
        <f>IF(AND(S227=1,B227&lt;&gt;"",F227&lt;&gt;"",J227="Sim",U227=0),1,0)</f>
        <v>0</v>
      </c>
      <c r="X227" s="96">
        <f>IF(S227=0,0,COUNTIFS('VÍNCULOS_CDF'!$O$6:$O$1005,A227,'VÍNCULOS_CDF'!$Y$6:$Y$1005,1))</f>
        <v>0</v>
      </c>
      <c r="Y227" s="96" t="str">
        <f>IF(S227=1,A227&amp;" | CDF "&amp;IF(B227="","(sem número)",B227)&amp;" | "&amp;IF(F227="","(sem destinador)",F227),"")</f>
        <v/>
      </c>
      <c r="Z227" s="96" t="str">
        <f>IF(S227=1,COUNTIF($S$6:S227,1),"")</f>
        <v/>
      </c>
      <c r="AA227" s="96">
        <f>IF(S227=0,0,IF(AND(OR(r_ini="",AND(ISNUMBER(D227),D227&gt;=r_ini)),OR(r_fim="",AND(ISNUMBER(D227),D227&lt;=r_fim)),OR(r_de="",r_de="(Todos)",F227=r_de)),1,0))</f>
        <v>0</v>
      </c>
      <c r="AB227" s="96" t="str">
        <f>IF(AA227=1,IF(F227="",0,COUNTIF($F$6:$F$505,"&lt;"&amp;F227))*1000+222,"")</f>
        <v/>
      </c>
    </row>
    <row r="228">
      <c r="A228" s="89" t="inlineStr">
        <is>
          <t>CDF-000223</t>
        </is>
      </c>
      <c r="B228" s="90" t="n"/>
      <c r="C228" s="91" t="n"/>
      <c r="D228" s="92" t="n"/>
      <c r="E228" s="91" t="n"/>
      <c r="F228" s="91" t="n"/>
      <c r="G228" s="91" t="n"/>
      <c r="H228" s="91" t="n"/>
      <c r="I228" s="91" t="n"/>
      <c r="J228" s="91" t="n"/>
      <c r="K228" s="92" t="n"/>
      <c r="L228" s="91" t="n"/>
      <c r="M228" s="91" t="n"/>
      <c r="N228" s="91" t="n"/>
      <c r="O228" s="93" t="str">
        <f>IF(S228=0,"",SUMIFS('VÍNCULOS_CDF'!$H$6:$H$1005,'VÍNCULOS_CDF'!$O$6:$O$1005,A228,'VÍNCULOS_CDF'!$V$6:$V$1005,1))</f>
        <v/>
      </c>
      <c r="P228" s="95" t="str">
        <f>IF(S228=0,"",COUNTIFS('VÍNCULOS_CDF'!$O$6:$O$1005,A228,'VÍNCULOS_CDF'!$N$6:$N$1005,1))</f>
        <v/>
      </c>
      <c r="Q228" s="94" t="str">
        <f>IF(S228=0,"",IF(OR(B228="",F228=""),"Informações incompletas",IF(U228=1,"Possível duplicidade",IF(V228=0,"Destinador fora do cadastro",IF(AND(J228="Sim",N(P228)=0),"Necessita revisão de vínculos",IF(X228&gt;0,"Necessita revisão de vínculos",IF(J228="Sim","Conferido",IF(I228="Sim","Localizado, aguardando conferência","Cadastrado"))))))))</f>
        <v/>
      </c>
      <c r="R228" s="95" t="str">
        <f>IF(S228=0,"",COUNTIFS('VÍNCULOS_CDF'!$O$6:$O$1005,A228,'VÍNCULOS_CDF'!$AB$6:$AB$1005,1))</f>
        <v/>
      </c>
      <c r="S228" s="96">
        <f>IF(COUNTA(B228:N228)&gt;0,1,0)</f>
        <v>0</v>
      </c>
      <c r="T228" s="96" t="str">
        <f>IF(AND(S228=1,B228&lt;&gt;""),C228&amp;"|"&amp;TRIM(B228),"")</f>
        <v/>
      </c>
      <c r="U228" s="96">
        <f>IF(T228="",0,IF(SUMPRODUCT(--($T$6:$T$505=T228))&gt;1,1,0))</f>
        <v>0</v>
      </c>
      <c r="V228" s="96">
        <f>IF(F228="",0,IF(ISNUMBER(MATCH(F228,cmp_dest,0)),1,0))</f>
        <v>0</v>
      </c>
      <c r="W228" s="96">
        <f>IF(AND(S228=1,B228&lt;&gt;"",F228&lt;&gt;"",J228="Sim",U228=0),1,0)</f>
        <v>0</v>
      </c>
      <c r="X228" s="96">
        <f>IF(S228=0,0,COUNTIFS('VÍNCULOS_CDF'!$O$6:$O$1005,A228,'VÍNCULOS_CDF'!$Y$6:$Y$1005,1))</f>
        <v>0</v>
      </c>
      <c r="Y228" s="96" t="str">
        <f>IF(S228=1,A228&amp;" | CDF "&amp;IF(B228="","(sem número)",B228)&amp;" | "&amp;IF(F228="","(sem destinador)",F228),"")</f>
        <v/>
      </c>
      <c r="Z228" s="96" t="str">
        <f>IF(S228=1,COUNTIF($S$6:S228,1),"")</f>
        <v/>
      </c>
      <c r="AA228" s="96">
        <f>IF(S228=0,0,IF(AND(OR(r_ini="",AND(ISNUMBER(D228),D228&gt;=r_ini)),OR(r_fim="",AND(ISNUMBER(D228),D228&lt;=r_fim)),OR(r_de="",r_de="(Todos)",F228=r_de)),1,0))</f>
        <v>0</v>
      </c>
      <c r="AB228" s="96" t="str">
        <f>IF(AA228=1,IF(F228="",0,COUNTIF($F$6:$F$505,"&lt;"&amp;F228))*1000+223,"")</f>
        <v/>
      </c>
    </row>
    <row r="229">
      <c r="A229" s="89" t="inlineStr">
        <is>
          <t>CDF-000224</t>
        </is>
      </c>
      <c r="B229" s="90" t="n"/>
      <c r="C229" s="91" t="n"/>
      <c r="D229" s="92" t="n"/>
      <c r="E229" s="91" t="n"/>
      <c r="F229" s="91" t="n"/>
      <c r="G229" s="91" t="n"/>
      <c r="H229" s="91" t="n"/>
      <c r="I229" s="91" t="n"/>
      <c r="J229" s="91" t="n"/>
      <c r="K229" s="92" t="n"/>
      <c r="L229" s="91" t="n"/>
      <c r="M229" s="91" t="n"/>
      <c r="N229" s="91" t="n"/>
      <c r="O229" s="93" t="str">
        <f>IF(S229=0,"",SUMIFS('VÍNCULOS_CDF'!$H$6:$H$1005,'VÍNCULOS_CDF'!$O$6:$O$1005,A229,'VÍNCULOS_CDF'!$V$6:$V$1005,1))</f>
        <v/>
      </c>
      <c r="P229" s="95" t="str">
        <f>IF(S229=0,"",COUNTIFS('VÍNCULOS_CDF'!$O$6:$O$1005,A229,'VÍNCULOS_CDF'!$N$6:$N$1005,1))</f>
        <v/>
      </c>
      <c r="Q229" s="94" t="str">
        <f>IF(S229=0,"",IF(OR(B229="",F229=""),"Informações incompletas",IF(U229=1,"Possível duplicidade",IF(V229=0,"Destinador fora do cadastro",IF(AND(J229="Sim",N(P229)=0),"Necessita revisão de vínculos",IF(X229&gt;0,"Necessita revisão de vínculos",IF(J229="Sim","Conferido",IF(I229="Sim","Localizado, aguardando conferência","Cadastrado"))))))))</f>
        <v/>
      </c>
      <c r="R229" s="95" t="str">
        <f>IF(S229=0,"",COUNTIFS('VÍNCULOS_CDF'!$O$6:$O$1005,A229,'VÍNCULOS_CDF'!$AB$6:$AB$1005,1))</f>
        <v/>
      </c>
      <c r="S229" s="96">
        <f>IF(COUNTA(B229:N229)&gt;0,1,0)</f>
        <v>0</v>
      </c>
      <c r="T229" s="96" t="str">
        <f>IF(AND(S229=1,B229&lt;&gt;""),C229&amp;"|"&amp;TRIM(B229),"")</f>
        <v/>
      </c>
      <c r="U229" s="96">
        <f>IF(T229="",0,IF(SUMPRODUCT(--($T$6:$T$505=T229))&gt;1,1,0))</f>
        <v>0</v>
      </c>
      <c r="V229" s="96">
        <f>IF(F229="",0,IF(ISNUMBER(MATCH(F229,cmp_dest,0)),1,0))</f>
        <v>0</v>
      </c>
      <c r="W229" s="96">
        <f>IF(AND(S229=1,B229&lt;&gt;"",F229&lt;&gt;"",J229="Sim",U229=0),1,0)</f>
        <v>0</v>
      </c>
      <c r="X229" s="96">
        <f>IF(S229=0,0,COUNTIFS('VÍNCULOS_CDF'!$O$6:$O$1005,A229,'VÍNCULOS_CDF'!$Y$6:$Y$1005,1))</f>
        <v>0</v>
      </c>
      <c r="Y229" s="96" t="str">
        <f>IF(S229=1,A229&amp;" | CDF "&amp;IF(B229="","(sem número)",B229)&amp;" | "&amp;IF(F229="","(sem destinador)",F229),"")</f>
        <v/>
      </c>
      <c r="Z229" s="96" t="str">
        <f>IF(S229=1,COUNTIF($S$6:S229,1),"")</f>
        <v/>
      </c>
      <c r="AA229" s="96">
        <f>IF(S229=0,0,IF(AND(OR(r_ini="",AND(ISNUMBER(D229),D229&gt;=r_ini)),OR(r_fim="",AND(ISNUMBER(D229),D229&lt;=r_fim)),OR(r_de="",r_de="(Todos)",F229=r_de)),1,0))</f>
        <v>0</v>
      </c>
      <c r="AB229" s="96" t="str">
        <f>IF(AA229=1,IF(F229="",0,COUNTIF($F$6:$F$505,"&lt;"&amp;F229))*1000+224,"")</f>
        <v/>
      </c>
    </row>
    <row r="230">
      <c r="A230" s="89" t="inlineStr">
        <is>
          <t>CDF-000225</t>
        </is>
      </c>
      <c r="B230" s="90" t="n"/>
      <c r="C230" s="91" t="n"/>
      <c r="D230" s="92" t="n"/>
      <c r="E230" s="91" t="n"/>
      <c r="F230" s="91" t="n"/>
      <c r="G230" s="91" t="n"/>
      <c r="H230" s="91" t="n"/>
      <c r="I230" s="91" t="n"/>
      <c r="J230" s="91" t="n"/>
      <c r="K230" s="92" t="n"/>
      <c r="L230" s="91" t="n"/>
      <c r="M230" s="91" t="n"/>
      <c r="N230" s="91" t="n"/>
      <c r="O230" s="93" t="str">
        <f>IF(S230=0,"",SUMIFS('VÍNCULOS_CDF'!$H$6:$H$1005,'VÍNCULOS_CDF'!$O$6:$O$1005,A230,'VÍNCULOS_CDF'!$V$6:$V$1005,1))</f>
        <v/>
      </c>
      <c r="P230" s="95" t="str">
        <f>IF(S230=0,"",COUNTIFS('VÍNCULOS_CDF'!$O$6:$O$1005,A230,'VÍNCULOS_CDF'!$N$6:$N$1005,1))</f>
        <v/>
      </c>
      <c r="Q230" s="94" t="str">
        <f>IF(S230=0,"",IF(OR(B230="",F230=""),"Informações incompletas",IF(U230=1,"Possível duplicidade",IF(V230=0,"Destinador fora do cadastro",IF(AND(J230="Sim",N(P230)=0),"Necessita revisão de vínculos",IF(X230&gt;0,"Necessita revisão de vínculos",IF(J230="Sim","Conferido",IF(I230="Sim","Localizado, aguardando conferência","Cadastrado"))))))))</f>
        <v/>
      </c>
      <c r="R230" s="95" t="str">
        <f>IF(S230=0,"",COUNTIFS('VÍNCULOS_CDF'!$O$6:$O$1005,A230,'VÍNCULOS_CDF'!$AB$6:$AB$1005,1))</f>
        <v/>
      </c>
      <c r="S230" s="96">
        <f>IF(COUNTA(B230:N230)&gt;0,1,0)</f>
        <v>0</v>
      </c>
      <c r="T230" s="96" t="str">
        <f>IF(AND(S230=1,B230&lt;&gt;""),C230&amp;"|"&amp;TRIM(B230),"")</f>
        <v/>
      </c>
      <c r="U230" s="96">
        <f>IF(T230="",0,IF(SUMPRODUCT(--($T$6:$T$505=T230))&gt;1,1,0))</f>
        <v>0</v>
      </c>
      <c r="V230" s="96">
        <f>IF(F230="",0,IF(ISNUMBER(MATCH(F230,cmp_dest,0)),1,0))</f>
        <v>0</v>
      </c>
      <c r="W230" s="96">
        <f>IF(AND(S230=1,B230&lt;&gt;"",F230&lt;&gt;"",J230="Sim",U230=0),1,0)</f>
        <v>0</v>
      </c>
      <c r="X230" s="96">
        <f>IF(S230=0,0,COUNTIFS('VÍNCULOS_CDF'!$O$6:$O$1005,A230,'VÍNCULOS_CDF'!$Y$6:$Y$1005,1))</f>
        <v>0</v>
      </c>
      <c r="Y230" s="96" t="str">
        <f>IF(S230=1,A230&amp;" | CDF "&amp;IF(B230="","(sem número)",B230)&amp;" | "&amp;IF(F230="","(sem destinador)",F230),"")</f>
        <v/>
      </c>
      <c r="Z230" s="96" t="str">
        <f>IF(S230=1,COUNTIF($S$6:S230,1),"")</f>
        <v/>
      </c>
      <c r="AA230" s="96">
        <f>IF(S230=0,0,IF(AND(OR(r_ini="",AND(ISNUMBER(D230),D230&gt;=r_ini)),OR(r_fim="",AND(ISNUMBER(D230),D230&lt;=r_fim)),OR(r_de="",r_de="(Todos)",F230=r_de)),1,0))</f>
        <v>0</v>
      </c>
      <c r="AB230" s="96" t="str">
        <f>IF(AA230=1,IF(F230="",0,COUNTIF($F$6:$F$505,"&lt;"&amp;F230))*1000+225,"")</f>
        <v/>
      </c>
    </row>
    <row r="231">
      <c r="A231" s="89" t="inlineStr">
        <is>
          <t>CDF-000226</t>
        </is>
      </c>
      <c r="B231" s="90" t="n"/>
      <c r="C231" s="91" t="n"/>
      <c r="D231" s="92" t="n"/>
      <c r="E231" s="91" t="n"/>
      <c r="F231" s="91" t="n"/>
      <c r="G231" s="91" t="n"/>
      <c r="H231" s="91" t="n"/>
      <c r="I231" s="91" t="n"/>
      <c r="J231" s="91" t="n"/>
      <c r="K231" s="92" t="n"/>
      <c r="L231" s="91" t="n"/>
      <c r="M231" s="91" t="n"/>
      <c r="N231" s="91" t="n"/>
      <c r="O231" s="93" t="str">
        <f>IF(S231=0,"",SUMIFS('VÍNCULOS_CDF'!$H$6:$H$1005,'VÍNCULOS_CDF'!$O$6:$O$1005,A231,'VÍNCULOS_CDF'!$V$6:$V$1005,1))</f>
        <v/>
      </c>
      <c r="P231" s="95" t="str">
        <f>IF(S231=0,"",COUNTIFS('VÍNCULOS_CDF'!$O$6:$O$1005,A231,'VÍNCULOS_CDF'!$N$6:$N$1005,1))</f>
        <v/>
      </c>
      <c r="Q231" s="94" t="str">
        <f>IF(S231=0,"",IF(OR(B231="",F231=""),"Informações incompletas",IF(U231=1,"Possível duplicidade",IF(V231=0,"Destinador fora do cadastro",IF(AND(J231="Sim",N(P231)=0),"Necessita revisão de vínculos",IF(X231&gt;0,"Necessita revisão de vínculos",IF(J231="Sim","Conferido",IF(I231="Sim","Localizado, aguardando conferência","Cadastrado"))))))))</f>
        <v/>
      </c>
      <c r="R231" s="95" t="str">
        <f>IF(S231=0,"",COUNTIFS('VÍNCULOS_CDF'!$O$6:$O$1005,A231,'VÍNCULOS_CDF'!$AB$6:$AB$1005,1))</f>
        <v/>
      </c>
      <c r="S231" s="96">
        <f>IF(COUNTA(B231:N231)&gt;0,1,0)</f>
        <v>0</v>
      </c>
      <c r="T231" s="96" t="str">
        <f>IF(AND(S231=1,B231&lt;&gt;""),C231&amp;"|"&amp;TRIM(B231),"")</f>
        <v/>
      </c>
      <c r="U231" s="96">
        <f>IF(T231="",0,IF(SUMPRODUCT(--($T$6:$T$505=T231))&gt;1,1,0))</f>
        <v>0</v>
      </c>
      <c r="V231" s="96">
        <f>IF(F231="",0,IF(ISNUMBER(MATCH(F231,cmp_dest,0)),1,0))</f>
        <v>0</v>
      </c>
      <c r="W231" s="96">
        <f>IF(AND(S231=1,B231&lt;&gt;"",F231&lt;&gt;"",J231="Sim",U231=0),1,0)</f>
        <v>0</v>
      </c>
      <c r="X231" s="96">
        <f>IF(S231=0,0,COUNTIFS('VÍNCULOS_CDF'!$O$6:$O$1005,A231,'VÍNCULOS_CDF'!$Y$6:$Y$1005,1))</f>
        <v>0</v>
      </c>
      <c r="Y231" s="96" t="str">
        <f>IF(S231=1,A231&amp;" | CDF "&amp;IF(B231="","(sem número)",B231)&amp;" | "&amp;IF(F231="","(sem destinador)",F231),"")</f>
        <v/>
      </c>
      <c r="Z231" s="96" t="str">
        <f>IF(S231=1,COUNTIF($S$6:S231,1),"")</f>
        <v/>
      </c>
      <c r="AA231" s="96">
        <f>IF(S231=0,0,IF(AND(OR(r_ini="",AND(ISNUMBER(D231),D231&gt;=r_ini)),OR(r_fim="",AND(ISNUMBER(D231),D231&lt;=r_fim)),OR(r_de="",r_de="(Todos)",F231=r_de)),1,0))</f>
        <v>0</v>
      </c>
      <c r="AB231" s="96" t="str">
        <f>IF(AA231=1,IF(F231="",0,COUNTIF($F$6:$F$505,"&lt;"&amp;F231))*1000+226,"")</f>
        <v/>
      </c>
    </row>
    <row r="232">
      <c r="A232" s="89" t="inlineStr">
        <is>
          <t>CDF-000227</t>
        </is>
      </c>
      <c r="B232" s="90" t="n"/>
      <c r="C232" s="91" t="n"/>
      <c r="D232" s="92" t="n"/>
      <c r="E232" s="91" t="n"/>
      <c r="F232" s="91" t="n"/>
      <c r="G232" s="91" t="n"/>
      <c r="H232" s="91" t="n"/>
      <c r="I232" s="91" t="n"/>
      <c r="J232" s="91" t="n"/>
      <c r="K232" s="92" t="n"/>
      <c r="L232" s="91" t="n"/>
      <c r="M232" s="91" t="n"/>
      <c r="N232" s="91" t="n"/>
      <c r="O232" s="93" t="str">
        <f>IF(S232=0,"",SUMIFS('VÍNCULOS_CDF'!$H$6:$H$1005,'VÍNCULOS_CDF'!$O$6:$O$1005,A232,'VÍNCULOS_CDF'!$V$6:$V$1005,1))</f>
        <v/>
      </c>
      <c r="P232" s="95" t="str">
        <f>IF(S232=0,"",COUNTIFS('VÍNCULOS_CDF'!$O$6:$O$1005,A232,'VÍNCULOS_CDF'!$N$6:$N$1005,1))</f>
        <v/>
      </c>
      <c r="Q232" s="94" t="str">
        <f>IF(S232=0,"",IF(OR(B232="",F232=""),"Informações incompletas",IF(U232=1,"Possível duplicidade",IF(V232=0,"Destinador fora do cadastro",IF(AND(J232="Sim",N(P232)=0),"Necessita revisão de vínculos",IF(X232&gt;0,"Necessita revisão de vínculos",IF(J232="Sim","Conferido",IF(I232="Sim","Localizado, aguardando conferência","Cadastrado"))))))))</f>
        <v/>
      </c>
      <c r="R232" s="95" t="str">
        <f>IF(S232=0,"",COUNTIFS('VÍNCULOS_CDF'!$O$6:$O$1005,A232,'VÍNCULOS_CDF'!$AB$6:$AB$1005,1))</f>
        <v/>
      </c>
      <c r="S232" s="96">
        <f>IF(COUNTA(B232:N232)&gt;0,1,0)</f>
        <v>0</v>
      </c>
      <c r="T232" s="96" t="str">
        <f>IF(AND(S232=1,B232&lt;&gt;""),C232&amp;"|"&amp;TRIM(B232),"")</f>
        <v/>
      </c>
      <c r="U232" s="96">
        <f>IF(T232="",0,IF(SUMPRODUCT(--($T$6:$T$505=T232))&gt;1,1,0))</f>
        <v>0</v>
      </c>
      <c r="V232" s="96">
        <f>IF(F232="",0,IF(ISNUMBER(MATCH(F232,cmp_dest,0)),1,0))</f>
        <v>0</v>
      </c>
      <c r="W232" s="96">
        <f>IF(AND(S232=1,B232&lt;&gt;"",F232&lt;&gt;"",J232="Sim",U232=0),1,0)</f>
        <v>0</v>
      </c>
      <c r="X232" s="96">
        <f>IF(S232=0,0,COUNTIFS('VÍNCULOS_CDF'!$O$6:$O$1005,A232,'VÍNCULOS_CDF'!$Y$6:$Y$1005,1))</f>
        <v>0</v>
      </c>
      <c r="Y232" s="96" t="str">
        <f>IF(S232=1,A232&amp;" | CDF "&amp;IF(B232="","(sem número)",B232)&amp;" | "&amp;IF(F232="","(sem destinador)",F232),"")</f>
        <v/>
      </c>
      <c r="Z232" s="96" t="str">
        <f>IF(S232=1,COUNTIF($S$6:S232,1),"")</f>
        <v/>
      </c>
      <c r="AA232" s="96">
        <f>IF(S232=0,0,IF(AND(OR(r_ini="",AND(ISNUMBER(D232),D232&gt;=r_ini)),OR(r_fim="",AND(ISNUMBER(D232),D232&lt;=r_fim)),OR(r_de="",r_de="(Todos)",F232=r_de)),1,0))</f>
        <v>0</v>
      </c>
      <c r="AB232" s="96" t="str">
        <f>IF(AA232=1,IF(F232="",0,COUNTIF($F$6:$F$505,"&lt;"&amp;F232))*1000+227,"")</f>
        <v/>
      </c>
    </row>
    <row r="233">
      <c r="A233" s="89" t="inlineStr">
        <is>
          <t>CDF-000228</t>
        </is>
      </c>
      <c r="B233" s="90" t="n"/>
      <c r="C233" s="91" t="n"/>
      <c r="D233" s="92" t="n"/>
      <c r="E233" s="91" t="n"/>
      <c r="F233" s="91" t="n"/>
      <c r="G233" s="91" t="n"/>
      <c r="H233" s="91" t="n"/>
      <c r="I233" s="91" t="n"/>
      <c r="J233" s="91" t="n"/>
      <c r="K233" s="92" t="n"/>
      <c r="L233" s="91" t="n"/>
      <c r="M233" s="91" t="n"/>
      <c r="N233" s="91" t="n"/>
      <c r="O233" s="93" t="str">
        <f>IF(S233=0,"",SUMIFS('VÍNCULOS_CDF'!$H$6:$H$1005,'VÍNCULOS_CDF'!$O$6:$O$1005,A233,'VÍNCULOS_CDF'!$V$6:$V$1005,1))</f>
        <v/>
      </c>
      <c r="P233" s="95" t="str">
        <f>IF(S233=0,"",COUNTIFS('VÍNCULOS_CDF'!$O$6:$O$1005,A233,'VÍNCULOS_CDF'!$N$6:$N$1005,1))</f>
        <v/>
      </c>
      <c r="Q233" s="94" t="str">
        <f>IF(S233=0,"",IF(OR(B233="",F233=""),"Informações incompletas",IF(U233=1,"Possível duplicidade",IF(V233=0,"Destinador fora do cadastro",IF(AND(J233="Sim",N(P233)=0),"Necessita revisão de vínculos",IF(X233&gt;0,"Necessita revisão de vínculos",IF(J233="Sim","Conferido",IF(I233="Sim","Localizado, aguardando conferência","Cadastrado"))))))))</f>
        <v/>
      </c>
      <c r="R233" s="95" t="str">
        <f>IF(S233=0,"",COUNTIFS('VÍNCULOS_CDF'!$O$6:$O$1005,A233,'VÍNCULOS_CDF'!$AB$6:$AB$1005,1))</f>
        <v/>
      </c>
      <c r="S233" s="96">
        <f>IF(COUNTA(B233:N233)&gt;0,1,0)</f>
        <v>0</v>
      </c>
      <c r="T233" s="96" t="str">
        <f>IF(AND(S233=1,B233&lt;&gt;""),C233&amp;"|"&amp;TRIM(B233),"")</f>
        <v/>
      </c>
      <c r="U233" s="96">
        <f>IF(T233="",0,IF(SUMPRODUCT(--($T$6:$T$505=T233))&gt;1,1,0))</f>
        <v>0</v>
      </c>
      <c r="V233" s="96">
        <f>IF(F233="",0,IF(ISNUMBER(MATCH(F233,cmp_dest,0)),1,0))</f>
        <v>0</v>
      </c>
      <c r="W233" s="96">
        <f>IF(AND(S233=1,B233&lt;&gt;"",F233&lt;&gt;"",J233="Sim",U233=0),1,0)</f>
        <v>0</v>
      </c>
      <c r="X233" s="96">
        <f>IF(S233=0,0,COUNTIFS('VÍNCULOS_CDF'!$O$6:$O$1005,A233,'VÍNCULOS_CDF'!$Y$6:$Y$1005,1))</f>
        <v>0</v>
      </c>
      <c r="Y233" s="96" t="str">
        <f>IF(S233=1,A233&amp;" | CDF "&amp;IF(B233="","(sem número)",B233)&amp;" | "&amp;IF(F233="","(sem destinador)",F233),"")</f>
        <v/>
      </c>
      <c r="Z233" s="96" t="str">
        <f>IF(S233=1,COUNTIF($S$6:S233,1),"")</f>
        <v/>
      </c>
      <c r="AA233" s="96">
        <f>IF(S233=0,0,IF(AND(OR(r_ini="",AND(ISNUMBER(D233),D233&gt;=r_ini)),OR(r_fim="",AND(ISNUMBER(D233),D233&lt;=r_fim)),OR(r_de="",r_de="(Todos)",F233=r_de)),1,0))</f>
        <v>0</v>
      </c>
      <c r="AB233" s="96" t="str">
        <f>IF(AA233=1,IF(F233="",0,COUNTIF($F$6:$F$505,"&lt;"&amp;F233))*1000+228,"")</f>
        <v/>
      </c>
    </row>
    <row r="234">
      <c r="A234" s="89" t="inlineStr">
        <is>
          <t>CDF-000229</t>
        </is>
      </c>
      <c r="B234" s="90" t="n"/>
      <c r="C234" s="91" t="n"/>
      <c r="D234" s="92" t="n"/>
      <c r="E234" s="91" t="n"/>
      <c r="F234" s="91" t="n"/>
      <c r="G234" s="91" t="n"/>
      <c r="H234" s="91" t="n"/>
      <c r="I234" s="91" t="n"/>
      <c r="J234" s="91" t="n"/>
      <c r="K234" s="92" t="n"/>
      <c r="L234" s="91" t="n"/>
      <c r="M234" s="91" t="n"/>
      <c r="N234" s="91" t="n"/>
      <c r="O234" s="93" t="str">
        <f>IF(S234=0,"",SUMIFS('VÍNCULOS_CDF'!$H$6:$H$1005,'VÍNCULOS_CDF'!$O$6:$O$1005,A234,'VÍNCULOS_CDF'!$V$6:$V$1005,1))</f>
        <v/>
      </c>
      <c r="P234" s="95" t="str">
        <f>IF(S234=0,"",COUNTIFS('VÍNCULOS_CDF'!$O$6:$O$1005,A234,'VÍNCULOS_CDF'!$N$6:$N$1005,1))</f>
        <v/>
      </c>
      <c r="Q234" s="94" t="str">
        <f>IF(S234=0,"",IF(OR(B234="",F234=""),"Informações incompletas",IF(U234=1,"Possível duplicidade",IF(V234=0,"Destinador fora do cadastro",IF(AND(J234="Sim",N(P234)=0),"Necessita revisão de vínculos",IF(X234&gt;0,"Necessita revisão de vínculos",IF(J234="Sim","Conferido",IF(I234="Sim","Localizado, aguardando conferência","Cadastrado"))))))))</f>
        <v/>
      </c>
      <c r="R234" s="95" t="str">
        <f>IF(S234=0,"",COUNTIFS('VÍNCULOS_CDF'!$O$6:$O$1005,A234,'VÍNCULOS_CDF'!$AB$6:$AB$1005,1))</f>
        <v/>
      </c>
      <c r="S234" s="96">
        <f>IF(COUNTA(B234:N234)&gt;0,1,0)</f>
        <v>0</v>
      </c>
      <c r="T234" s="96" t="str">
        <f>IF(AND(S234=1,B234&lt;&gt;""),C234&amp;"|"&amp;TRIM(B234),"")</f>
        <v/>
      </c>
      <c r="U234" s="96">
        <f>IF(T234="",0,IF(SUMPRODUCT(--($T$6:$T$505=T234))&gt;1,1,0))</f>
        <v>0</v>
      </c>
      <c r="V234" s="96">
        <f>IF(F234="",0,IF(ISNUMBER(MATCH(F234,cmp_dest,0)),1,0))</f>
        <v>0</v>
      </c>
      <c r="W234" s="96">
        <f>IF(AND(S234=1,B234&lt;&gt;"",F234&lt;&gt;"",J234="Sim",U234=0),1,0)</f>
        <v>0</v>
      </c>
      <c r="X234" s="96">
        <f>IF(S234=0,0,COUNTIFS('VÍNCULOS_CDF'!$O$6:$O$1005,A234,'VÍNCULOS_CDF'!$Y$6:$Y$1005,1))</f>
        <v>0</v>
      </c>
      <c r="Y234" s="96" t="str">
        <f>IF(S234=1,A234&amp;" | CDF "&amp;IF(B234="","(sem número)",B234)&amp;" | "&amp;IF(F234="","(sem destinador)",F234),"")</f>
        <v/>
      </c>
      <c r="Z234" s="96" t="str">
        <f>IF(S234=1,COUNTIF($S$6:S234,1),"")</f>
        <v/>
      </c>
      <c r="AA234" s="96">
        <f>IF(S234=0,0,IF(AND(OR(r_ini="",AND(ISNUMBER(D234),D234&gt;=r_ini)),OR(r_fim="",AND(ISNUMBER(D234),D234&lt;=r_fim)),OR(r_de="",r_de="(Todos)",F234=r_de)),1,0))</f>
        <v>0</v>
      </c>
      <c r="AB234" s="96" t="str">
        <f>IF(AA234=1,IF(F234="",0,COUNTIF($F$6:$F$505,"&lt;"&amp;F234))*1000+229,"")</f>
        <v/>
      </c>
    </row>
    <row r="235">
      <c r="A235" s="89" t="inlineStr">
        <is>
          <t>CDF-000230</t>
        </is>
      </c>
      <c r="B235" s="90" t="n"/>
      <c r="C235" s="91" t="n"/>
      <c r="D235" s="92" t="n"/>
      <c r="E235" s="91" t="n"/>
      <c r="F235" s="91" t="n"/>
      <c r="G235" s="91" t="n"/>
      <c r="H235" s="91" t="n"/>
      <c r="I235" s="91" t="n"/>
      <c r="J235" s="91" t="n"/>
      <c r="K235" s="92" t="n"/>
      <c r="L235" s="91" t="n"/>
      <c r="M235" s="91" t="n"/>
      <c r="N235" s="91" t="n"/>
      <c r="O235" s="93" t="str">
        <f>IF(S235=0,"",SUMIFS('VÍNCULOS_CDF'!$H$6:$H$1005,'VÍNCULOS_CDF'!$O$6:$O$1005,A235,'VÍNCULOS_CDF'!$V$6:$V$1005,1))</f>
        <v/>
      </c>
      <c r="P235" s="95" t="str">
        <f>IF(S235=0,"",COUNTIFS('VÍNCULOS_CDF'!$O$6:$O$1005,A235,'VÍNCULOS_CDF'!$N$6:$N$1005,1))</f>
        <v/>
      </c>
      <c r="Q235" s="94" t="str">
        <f>IF(S235=0,"",IF(OR(B235="",F235=""),"Informações incompletas",IF(U235=1,"Possível duplicidade",IF(V235=0,"Destinador fora do cadastro",IF(AND(J235="Sim",N(P235)=0),"Necessita revisão de vínculos",IF(X235&gt;0,"Necessita revisão de vínculos",IF(J235="Sim","Conferido",IF(I235="Sim","Localizado, aguardando conferência","Cadastrado"))))))))</f>
        <v/>
      </c>
      <c r="R235" s="95" t="str">
        <f>IF(S235=0,"",COUNTIFS('VÍNCULOS_CDF'!$O$6:$O$1005,A235,'VÍNCULOS_CDF'!$AB$6:$AB$1005,1))</f>
        <v/>
      </c>
      <c r="S235" s="96">
        <f>IF(COUNTA(B235:N235)&gt;0,1,0)</f>
        <v>0</v>
      </c>
      <c r="T235" s="96" t="str">
        <f>IF(AND(S235=1,B235&lt;&gt;""),C235&amp;"|"&amp;TRIM(B235),"")</f>
        <v/>
      </c>
      <c r="U235" s="96">
        <f>IF(T235="",0,IF(SUMPRODUCT(--($T$6:$T$505=T235))&gt;1,1,0))</f>
        <v>0</v>
      </c>
      <c r="V235" s="96">
        <f>IF(F235="",0,IF(ISNUMBER(MATCH(F235,cmp_dest,0)),1,0))</f>
        <v>0</v>
      </c>
      <c r="W235" s="96">
        <f>IF(AND(S235=1,B235&lt;&gt;"",F235&lt;&gt;"",J235="Sim",U235=0),1,0)</f>
        <v>0</v>
      </c>
      <c r="X235" s="96">
        <f>IF(S235=0,0,COUNTIFS('VÍNCULOS_CDF'!$O$6:$O$1005,A235,'VÍNCULOS_CDF'!$Y$6:$Y$1005,1))</f>
        <v>0</v>
      </c>
      <c r="Y235" s="96" t="str">
        <f>IF(S235=1,A235&amp;" | CDF "&amp;IF(B235="","(sem número)",B235)&amp;" | "&amp;IF(F235="","(sem destinador)",F235),"")</f>
        <v/>
      </c>
      <c r="Z235" s="96" t="str">
        <f>IF(S235=1,COUNTIF($S$6:S235,1),"")</f>
        <v/>
      </c>
      <c r="AA235" s="96">
        <f>IF(S235=0,0,IF(AND(OR(r_ini="",AND(ISNUMBER(D235),D235&gt;=r_ini)),OR(r_fim="",AND(ISNUMBER(D235),D235&lt;=r_fim)),OR(r_de="",r_de="(Todos)",F235=r_de)),1,0))</f>
        <v>0</v>
      </c>
      <c r="AB235" s="96" t="str">
        <f>IF(AA235=1,IF(F235="",0,COUNTIF($F$6:$F$505,"&lt;"&amp;F235))*1000+230,"")</f>
        <v/>
      </c>
    </row>
    <row r="236">
      <c r="A236" s="89" t="inlineStr">
        <is>
          <t>CDF-000231</t>
        </is>
      </c>
      <c r="B236" s="90" t="n"/>
      <c r="C236" s="91" t="n"/>
      <c r="D236" s="92" t="n"/>
      <c r="E236" s="91" t="n"/>
      <c r="F236" s="91" t="n"/>
      <c r="G236" s="91" t="n"/>
      <c r="H236" s="91" t="n"/>
      <c r="I236" s="91" t="n"/>
      <c r="J236" s="91" t="n"/>
      <c r="K236" s="92" t="n"/>
      <c r="L236" s="91" t="n"/>
      <c r="M236" s="91" t="n"/>
      <c r="N236" s="91" t="n"/>
      <c r="O236" s="93" t="str">
        <f>IF(S236=0,"",SUMIFS('VÍNCULOS_CDF'!$H$6:$H$1005,'VÍNCULOS_CDF'!$O$6:$O$1005,A236,'VÍNCULOS_CDF'!$V$6:$V$1005,1))</f>
        <v/>
      </c>
      <c r="P236" s="95" t="str">
        <f>IF(S236=0,"",COUNTIFS('VÍNCULOS_CDF'!$O$6:$O$1005,A236,'VÍNCULOS_CDF'!$N$6:$N$1005,1))</f>
        <v/>
      </c>
      <c r="Q236" s="94" t="str">
        <f>IF(S236=0,"",IF(OR(B236="",F236=""),"Informações incompletas",IF(U236=1,"Possível duplicidade",IF(V236=0,"Destinador fora do cadastro",IF(AND(J236="Sim",N(P236)=0),"Necessita revisão de vínculos",IF(X236&gt;0,"Necessita revisão de vínculos",IF(J236="Sim","Conferido",IF(I236="Sim","Localizado, aguardando conferência","Cadastrado"))))))))</f>
        <v/>
      </c>
      <c r="R236" s="95" t="str">
        <f>IF(S236=0,"",COUNTIFS('VÍNCULOS_CDF'!$O$6:$O$1005,A236,'VÍNCULOS_CDF'!$AB$6:$AB$1005,1))</f>
        <v/>
      </c>
      <c r="S236" s="96">
        <f>IF(COUNTA(B236:N236)&gt;0,1,0)</f>
        <v>0</v>
      </c>
      <c r="T236" s="96" t="str">
        <f>IF(AND(S236=1,B236&lt;&gt;""),C236&amp;"|"&amp;TRIM(B236),"")</f>
        <v/>
      </c>
      <c r="U236" s="96">
        <f>IF(T236="",0,IF(SUMPRODUCT(--($T$6:$T$505=T236))&gt;1,1,0))</f>
        <v>0</v>
      </c>
      <c r="V236" s="96">
        <f>IF(F236="",0,IF(ISNUMBER(MATCH(F236,cmp_dest,0)),1,0))</f>
        <v>0</v>
      </c>
      <c r="W236" s="96">
        <f>IF(AND(S236=1,B236&lt;&gt;"",F236&lt;&gt;"",J236="Sim",U236=0),1,0)</f>
        <v>0</v>
      </c>
      <c r="X236" s="96">
        <f>IF(S236=0,0,COUNTIFS('VÍNCULOS_CDF'!$O$6:$O$1005,A236,'VÍNCULOS_CDF'!$Y$6:$Y$1005,1))</f>
        <v>0</v>
      </c>
      <c r="Y236" s="96" t="str">
        <f>IF(S236=1,A236&amp;" | CDF "&amp;IF(B236="","(sem número)",B236)&amp;" | "&amp;IF(F236="","(sem destinador)",F236),"")</f>
        <v/>
      </c>
      <c r="Z236" s="96" t="str">
        <f>IF(S236=1,COUNTIF($S$6:S236,1),"")</f>
        <v/>
      </c>
      <c r="AA236" s="96">
        <f>IF(S236=0,0,IF(AND(OR(r_ini="",AND(ISNUMBER(D236),D236&gt;=r_ini)),OR(r_fim="",AND(ISNUMBER(D236),D236&lt;=r_fim)),OR(r_de="",r_de="(Todos)",F236=r_de)),1,0))</f>
        <v>0</v>
      </c>
      <c r="AB236" s="96" t="str">
        <f>IF(AA236=1,IF(F236="",0,COUNTIF($F$6:$F$505,"&lt;"&amp;F236))*1000+231,"")</f>
        <v/>
      </c>
    </row>
    <row r="237">
      <c r="A237" s="89" t="inlineStr">
        <is>
          <t>CDF-000232</t>
        </is>
      </c>
      <c r="B237" s="90" t="n"/>
      <c r="C237" s="91" t="n"/>
      <c r="D237" s="92" t="n"/>
      <c r="E237" s="91" t="n"/>
      <c r="F237" s="91" t="n"/>
      <c r="G237" s="91" t="n"/>
      <c r="H237" s="91" t="n"/>
      <c r="I237" s="91" t="n"/>
      <c r="J237" s="91" t="n"/>
      <c r="K237" s="92" t="n"/>
      <c r="L237" s="91" t="n"/>
      <c r="M237" s="91" t="n"/>
      <c r="N237" s="91" t="n"/>
      <c r="O237" s="93" t="str">
        <f>IF(S237=0,"",SUMIFS('VÍNCULOS_CDF'!$H$6:$H$1005,'VÍNCULOS_CDF'!$O$6:$O$1005,A237,'VÍNCULOS_CDF'!$V$6:$V$1005,1))</f>
        <v/>
      </c>
      <c r="P237" s="95" t="str">
        <f>IF(S237=0,"",COUNTIFS('VÍNCULOS_CDF'!$O$6:$O$1005,A237,'VÍNCULOS_CDF'!$N$6:$N$1005,1))</f>
        <v/>
      </c>
      <c r="Q237" s="94" t="str">
        <f>IF(S237=0,"",IF(OR(B237="",F237=""),"Informações incompletas",IF(U237=1,"Possível duplicidade",IF(V237=0,"Destinador fora do cadastro",IF(AND(J237="Sim",N(P237)=0),"Necessita revisão de vínculos",IF(X237&gt;0,"Necessita revisão de vínculos",IF(J237="Sim","Conferido",IF(I237="Sim","Localizado, aguardando conferência","Cadastrado"))))))))</f>
        <v/>
      </c>
      <c r="R237" s="95" t="str">
        <f>IF(S237=0,"",COUNTIFS('VÍNCULOS_CDF'!$O$6:$O$1005,A237,'VÍNCULOS_CDF'!$AB$6:$AB$1005,1))</f>
        <v/>
      </c>
      <c r="S237" s="96">
        <f>IF(COUNTA(B237:N237)&gt;0,1,0)</f>
        <v>0</v>
      </c>
      <c r="T237" s="96" t="str">
        <f>IF(AND(S237=1,B237&lt;&gt;""),C237&amp;"|"&amp;TRIM(B237),"")</f>
        <v/>
      </c>
      <c r="U237" s="96">
        <f>IF(T237="",0,IF(SUMPRODUCT(--($T$6:$T$505=T237))&gt;1,1,0))</f>
        <v>0</v>
      </c>
      <c r="V237" s="96">
        <f>IF(F237="",0,IF(ISNUMBER(MATCH(F237,cmp_dest,0)),1,0))</f>
        <v>0</v>
      </c>
      <c r="W237" s="96">
        <f>IF(AND(S237=1,B237&lt;&gt;"",F237&lt;&gt;"",J237="Sim",U237=0),1,0)</f>
        <v>0</v>
      </c>
      <c r="X237" s="96">
        <f>IF(S237=0,0,COUNTIFS('VÍNCULOS_CDF'!$O$6:$O$1005,A237,'VÍNCULOS_CDF'!$Y$6:$Y$1005,1))</f>
        <v>0</v>
      </c>
      <c r="Y237" s="96" t="str">
        <f>IF(S237=1,A237&amp;" | CDF "&amp;IF(B237="","(sem número)",B237)&amp;" | "&amp;IF(F237="","(sem destinador)",F237),"")</f>
        <v/>
      </c>
      <c r="Z237" s="96" t="str">
        <f>IF(S237=1,COUNTIF($S$6:S237,1),"")</f>
        <v/>
      </c>
      <c r="AA237" s="96">
        <f>IF(S237=0,0,IF(AND(OR(r_ini="",AND(ISNUMBER(D237),D237&gt;=r_ini)),OR(r_fim="",AND(ISNUMBER(D237),D237&lt;=r_fim)),OR(r_de="",r_de="(Todos)",F237=r_de)),1,0))</f>
        <v>0</v>
      </c>
      <c r="AB237" s="96" t="str">
        <f>IF(AA237=1,IF(F237="",0,COUNTIF($F$6:$F$505,"&lt;"&amp;F237))*1000+232,"")</f>
        <v/>
      </c>
    </row>
    <row r="238">
      <c r="A238" s="89" t="inlineStr">
        <is>
          <t>CDF-000233</t>
        </is>
      </c>
      <c r="B238" s="90" t="n"/>
      <c r="C238" s="91" t="n"/>
      <c r="D238" s="92" t="n"/>
      <c r="E238" s="91" t="n"/>
      <c r="F238" s="91" t="n"/>
      <c r="G238" s="91" t="n"/>
      <c r="H238" s="91" t="n"/>
      <c r="I238" s="91" t="n"/>
      <c r="J238" s="91" t="n"/>
      <c r="K238" s="92" t="n"/>
      <c r="L238" s="91" t="n"/>
      <c r="M238" s="91" t="n"/>
      <c r="N238" s="91" t="n"/>
      <c r="O238" s="93" t="str">
        <f>IF(S238=0,"",SUMIFS('VÍNCULOS_CDF'!$H$6:$H$1005,'VÍNCULOS_CDF'!$O$6:$O$1005,A238,'VÍNCULOS_CDF'!$V$6:$V$1005,1))</f>
        <v/>
      </c>
      <c r="P238" s="95" t="str">
        <f>IF(S238=0,"",COUNTIFS('VÍNCULOS_CDF'!$O$6:$O$1005,A238,'VÍNCULOS_CDF'!$N$6:$N$1005,1))</f>
        <v/>
      </c>
      <c r="Q238" s="94" t="str">
        <f>IF(S238=0,"",IF(OR(B238="",F238=""),"Informações incompletas",IF(U238=1,"Possível duplicidade",IF(V238=0,"Destinador fora do cadastro",IF(AND(J238="Sim",N(P238)=0),"Necessita revisão de vínculos",IF(X238&gt;0,"Necessita revisão de vínculos",IF(J238="Sim","Conferido",IF(I238="Sim","Localizado, aguardando conferência","Cadastrado"))))))))</f>
        <v/>
      </c>
      <c r="R238" s="95" t="str">
        <f>IF(S238=0,"",COUNTIFS('VÍNCULOS_CDF'!$O$6:$O$1005,A238,'VÍNCULOS_CDF'!$AB$6:$AB$1005,1))</f>
        <v/>
      </c>
      <c r="S238" s="96">
        <f>IF(COUNTA(B238:N238)&gt;0,1,0)</f>
        <v>0</v>
      </c>
      <c r="T238" s="96" t="str">
        <f>IF(AND(S238=1,B238&lt;&gt;""),C238&amp;"|"&amp;TRIM(B238),"")</f>
        <v/>
      </c>
      <c r="U238" s="96">
        <f>IF(T238="",0,IF(SUMPRODUCT(--($T$6:$T$505=T238))&gt;1,1,0))</f>
        <v>0</v>
      </c>
      <c r="V238" s="96">
        <f>IF(F238="",0,IF(ISNUMBER(MATCH(F238,cmp_dest,0)),1,0))</f>
        <v>0</v>
      </c>
      <c r="W238" s="96">
        <f>IF(AND(S238=1,B238&lt;&gt;"",F238&lt;&gt;"",J238="Sim",U238=0),1,0)</f>
        <v>0</v>
      </c>
      <c r="X238" s="96">
        <f>IF(S238=0,0,COUNTIFS('VÍNCULOS_CDF'!$O$6:$O$1005,A238,'VÍNCULOS_CDF'!$Y$6:$Y$1005,1))</f>
        <v>0</v>
      </c>
      <c r="Y238" s="96" t="str">
        <f>IF(S238=1,A238&amp;" | CDF "&amp;IF(B238="","(sem número)",B238)&amp;" | "&amp;IF(F238="","(sem destinador)",F238),"")</f>
        <v/>
      </c>
      <c r="Z238" s="96" t="str">
        <f>IF(S238=1,COUNTIF($S$6:S238,1),"")</f>
        <v/>
      </c>
      <c r="AA238" s="96">
        <f>IF(S238=0,0,IF(AND(OR(r_ini="",AND(ISNUMBER(D238),D238&gt;=r_ini)),OR(r_fim="",AND(ISNUMBER(D238),D238&lt;=r_fim)),OR(r_de="",r_de="(Todos)",F238=r_de)),1,0))</f>
        <v>0</v>
      </c>
      <c r="AB238" s="96" t="str">
        <f>IF(AA238=1,IF(F238="",0,COUNTIF($F$6:$F$505,"&lt;"&amp;F238))*1000+233,"")</f>
        <v/>
      </c>
    </row>
    <row r="239">
      <c r="A239" s="89" t="inlineStr">
        <is>
          <t>CDF-000234</t>
        </is>
      </c>
      <c r="B239" s="90" t="n"/>
      <c r="C239" s="91" t="n"/>
      <c r="D239" s="92" t="n"/>
      <c r="E239" s="91" t="n"/>
      <c r="F239" s="91" t="n"/>
      <c r="G239" s="91" t="n"/>
      <c r="H239" s="91" t="n"/>
      <c r="I239" s="91" t="n"/>
      <c r="J239" s="91" t="n"/>
      <c r="K239" s="92" t="n"/>
      <c r="L239" s="91" t="n"/>
      <c r="M239" s="91" t="n"/>
      <c r="N239" s="91" t="n"/>
      <c r="O239" s="93" t="str">
        <f>IF(S239=0,"",SUMIFS('VÍNCULOS_CDF'!$H$6:$H$1005,'VÍNCULOS_CDF'!$O$6:$O$1005,A239,'VÍNCULOS_CDF'!$V$6:$V$1005,1))</f>
        <v/>
      </c>
      <c r="P239" s="95" t="str">
        <f>IF(S239=0,"",COUNTIFS('VÍNCULOS_CDF'!$O$6:$O$1005,A239,'VÍNCULOS_CDF'!$N$6:$N$1005,1))</f>
        <v/>
      </c>
      <c r="Q239" s="94" t="str">
        <f>IF(S239=0,"",IF(OR(B239="",F239=""),"Informações incompletas",IF(U239=1,"Possível duplicidade",IF(V239=0,"Destinador fora do cadastro",IF(AND(J239="Sim",N(P239)=0),"Necessita revisão de vínculos",IF(X239&gt;0,"Necessita revisão de vínculos",IF(J239="Sim","Conferido",IF(I239="Sim","Localizado, aguardando conferência","Cadastrado"))))))))</f>
        <v/>
      </c>
      <c r="R239" s="95" t="str">
        <f>IF(S239=0,"",COUNTIFS('VÍNCULOS_CDF'!$O$6:$O$1005,A239,'VÍNCULOS_CDF'!$AB$6:$AB$1005,1))</f>
        <v/>
      </c>
      <c r="S239" s="96">
        <f>IF(COUNTA(B239:N239)&gt;0,1,0)</f>
        <v>0</v>
      </c>
      <c r="T239" s="96" t="str">
        <f>IF(AND(S239=1,B239&lt;&gt;""),C239&amp;"|"&amp;TRIM(B239),"")</f>
        <v/>
      </c>
      <c r="U239" s="96">
        <f>IF(T239="",0,IF(SUMPRODUCT(--($T$6:$T$505=T239))&gt;1,1,0))</f>
        <v>0</v>
      </c>
      <c r="V239" s="96">
        <f>IF(F239="",0,IF(ISNUMBER(MATCH(F239,cmp_dest,0)),1,0))</f>
        <v>0</v>
      </c>
      <c r="W239" s="96">
        <f>IF(AND(S239=1,B239&lt;&gt;"",F239&lt;&gt;"",J239="Sim",U239=0),1,0)</f>
        <v>0</v>
      </c>
      <c r="X239" s="96">
        <f>IF(S239=0,0,COUNTIFS('VÍNCULOS_CDF'!$O$6:$O$1005,A239,'VÍNCULOS_CDF'!$Y$6:$Y$1005,1))</f>
        <v>0</v>
      </c>
      <c r="Y239" s="96" t="str">
        <f>IF(S239=1,A239&amp;" | CDF "&amp;IF(B239="","(sem número)",B239)&amp;" | "&amp;IF(F239="","(sem destinador)",F239),"")</f>
        <v/>
      </c>
      <c r="Z239" s="96" t="str">
        <f>IF(S239=1,COUNTIF($S$6:S239,1),"")</f>
        <v/>
      </c>
      <c r="AA239" s="96">
        <f>IF(S239=0,0,IF(AND(OR(r_ini="",AND(ISNUMBER(D239),D239&gt;=r_ini)),OR(r_fim="",AND(ISNUMBER(D239),D239&lt;=r_fim)),OR(r_de="",r_de="(Todos)",F239=r_de)),1,0))</f>
        <v>0</v>
      </c>
      <c r="AB239" s="96" t="str">
        <f>IF(AA239=1,IF(F239="",0,COUNTIF($F$6:$F$505,"&lt;"&amp;F239))*1000+234,"")</f>
        <v/>
      </c>
    </row>
    <row r="240">
      <c r="A240" s="89" t="inlineStr">
        <is>
          <t>CDF-000235</t>
        </is>
      </c>
      <c r="B240" s="90" t="n"/>
      <c r="C240" s="91" t="n"/>
      <c r="D240" s="92" t="n"/>
      <c r="E240" s="91" t="n"/>
      <c r="F240" s="91" t="n"/>
      <c r="G240" s="91" t="n"/>
      <c r="H240" s="91" t="n"/>
      <c r="I240" s="91" t="n"/>
      <c r="J240" s="91" t="n"/>
      <c r="K240" s="92" t="n"/>
      <c r="L240" s="91" t="n"/>
      <c r="M240" s="91" t="n"/>
      <c r="N240" s="91" t="n"/>
      <c r="O240" s="93" t="str">
        <f>IF(S240=0,"",SUMIFS('VÍNCULOS_CDF'!$H$6:$H$1005,'VÍNCULOS_CDF'!$O$6:$O$1005,A240,'VÍNCULOS_CDF'!$V$6:$V$1005,1))</f>
        <v/>
      </c>
      <c r="P240" s="95" t="str">
        <f>IF(S240=0,"",COUNTIFS('VÍNCULOS_CDF'!$O$6:$O$1005,A240,'VÍNCULOS_CDF'!$N$6:$N$1005,1))</f>
        <v/>
      </c>
      <c r="Q240" s="94" t="str">
        <f>IF(S240=0,"",IF(OR(B240="",F240=""),"Informações incompletas",IF(U240=1,"Possível duplicidade",IF(V240=0,"Destinador fora do cadastro",IF(AND(J240="Sim",N(P240)=0),"Necessita revisão de vínculos",IF(X240&gt;0,"Necessita revisão de vínculos",IF(J240="Sim","Conferido",IF(I240="Sim","Localizado, aguardando conferência","Cadastrado"))))))))</f>
        <v/>
      </c>
      <c r="R240" s="95" t="str">
        <f>IF(S240=0,"",COUNTIFS('VÍNCULOS_CDF'!$O$6:$O$1005,A240,'VÍNCULOS_CDF'!$AB$6:$AB$1005,1))</f>
        <v/>
      </c>
      <c r="S240" s="96">
        <f>IF(COUNTA(B240:N240)&gt;0,1,0)</f>
        <v>0</v>
      </c>
      <c r="T240" s="96" t="str">
        <f>IF(AND(S240=1,B240&lt;&gt;""),C240&amp;"|"&amp;TRIM(B240),"")</f>
        <v/>
      </c>
      <c r="U240" s="96">
        <f>IF(T240="",0,IF(SUMPRODUCT(--($T$6:$T$505=T240))&gt;1,1,0))</f>
        <v>0</v>
      </c>
      <c r="V240" s="96">
        <f>IF(F240="",0,IF(ISNUMBER(MATCH(F240,cmp_dest,0)),1,0))</f>
        <v>0</v>
      </c>
      <c r="W240" s="96">
        <f>IF(AND(S240=1,B240&lt;&gt;"",F240&lt;&gt;"",J240="Sim",U240=0),1,0)</f>
        <v>0</v>
      </c>
      <c r="X240" s="96">
        <f>IF(S240=0,0,COUNTIFS('VÍNCULOS_CDF'!$O$6:$O$1005,A240,'VÍNCULOS_CDF'!$Y$6:$Y$1005,1))</f>
        <v>0</v>
      </c>
      <c r="Y240" s="96" t="str">
        <f>IF(S240=1,A240&amp;" | CDF "&amp;IF(B240="","(sem número)",B240)&amp;" | "&amp;IF(F240="","(sem destinador)",F240),"")</f>
        <v/>
      </c>
      <c r="Z240" s="96" t="str">
        <f>IF(S240=1,COUNTIF($S$6:S240,1),"")</f>
        <v/>
      </c>
      <c r="AA240" s="96">
        <f>IF(S240=0,0,IF(AND(OR(r_ini="",AND(ISNUMBER(D240),D240&gt;=r_ini)),OR(r_fim="",AND(ISNUMBER(D240),D240&lt;=r_fim)),OR(r_de="",r_de="(Todos)",F240=r_de)),1,0))</f>
        <v>0</v>
      </c>
      <c r="AB240" s="96" t="str">
        <f>IF(AA240=1,IF(F240="",0,COUNTIF($F$6:$F$505,"&lt;"&amp;F240))*1000+235,"")</f>
        <v/>
      </c>
    </row>
    <row r="241">
      <c r="A241" s="89" t="inlineStr">
        <is>
          <t>CDF-000236</t>
        </is>
      </c>
      <c r="B241" s="90" t="n"/>
      <c r="C241" s="91" t="n"/>
      <c r="D241" s="92" t="n"/>
      <c r="E241" s="91" t="n"/>
      <c r="F241" s="91" t="n"/>
      <c r="G241" s="91" t="n"/>
      <c r="H241" s="91" t="n"/>
      <c r="I241" s="91" t="n"/>
      <c r="J241" s="91" t="n"/>
      <c r="K241" s="92" t="n"/>
      <c r="L241" s="91" t="n"/>
      <c r="M241" s="91" t="n"/>
      <c r="N241" s="91" t="n"/>
      <c r="O241" s="93" t="str">
        <f>IF(S241=0,"",SUMIFS('VÍNCULOS_CDF'!$H$6:$H$1005,'VÍNCULOS_CDF'!$O$6:$O$1005,A241,'VÍNCULOS_CDF'!$V$6:$V$1005,1))</f>
        <v/>
      </c>
      <c r="P241" s="95" t="str">
        <f>IF(S241=0,"",COUNTIFS('VÍNCULOS_CDF'!$O$6:$O$1005,A241,'VÍNCULOS_CDF'!$N$6:$N$1005,1))</f>
        <v/>
      </c>
      <c r="Q241" s="94" t="str">
        <f>IF(S241=0,"",IF(OR(B241="",F241=""),"Informações incompletas",IF(U241=1,"Possível duplicidade",IF(V241=0,"Destinador fora do cadastro",IF(AND(J241="Sim",N(P241)=0),"Necessita revisão de vínculos",IF(X241&gt;0,"Necessita revisão de vínculos",IF(J241="Sim","Conferido",IF(I241="Sim","Localizado, aguardando conferência","Cadastrado"))))))))</f>
        <v/>
      </c>
      <c r="R241" s="95" t="str">
        <f>IF(S241=0,"",COUNTIFS('VÍNCULOS_CDF'!$O$6:$O$1005,A241,'VÍNCULOS_CDF'!$AB$6:$AB$1005,1))</f>
        <v/>
      </c>
      <c r="S241" s="96">
        <f>IF(COUNTA(B241:N241)&gt;0,1,0)</f>
        <v>0</v>
      </c>
      <c r="T241" s="96" t="str">
        <f>IF(AND(S241=1,B241&lt;&gt;""),C241&amp;"|"&amp;TRIM(B241),"")</f>
        <v/>
      </c>
      <c r="U241" s="96">
        <f>IF(T241="",0,IF(SUMPRODUCT(--($T$6:$T$505=T241))&gt;1,1,0))</f>
        <v>0</v>
      </c>
      <c r="V241" s="96">
        <f>IF(F241="",0,IF(ISNUMBER(MATCH(F241,cmp_dest,0)),1,0))</f>
        <v>0</v>
      </c>
      <c r="W241" s="96">
        <f>IF(AND(S241=1,B241&lt;&gt;"",F241&lt;&gt;"",J241="Sim",U241=0),1,0)</f>
        <v>0</v>
      </c>
      <c r="X241" s="96">
        <f>IF(S241=0,0,COUNTIFS('VÍNCULOS_CDF'!$O$6:$O$1005,A241,'VÍNCULOS_CDF'!$Y$6:$Y$1005,1))</f>
        <v>0</v>
      </c>
      <c r="Y241" s="96" t="str">
        <f>IF(S241=1,A241&amp;" | CDF "&amp;IF(B241="","(sem número)",B241)&amp;" | "&amp;IF(F241="","(sem destinador)",F241),"")</f>
        <v/>
      </c>
      <c r="Z241" s="96" t="str">
        <f>IF(S241=1,COUNTIF($S$6:S241,1),"")</f>
        <v/>
      </c>
      <c r="AA241" s="96">
        <f>IF(S241=0,0,IF(AND(OR(r_ini="",AND(ISNUMBER(D241),D241&gt;=r_ini)),OR(r_fim="",AND(ISNUMBER(D241),D241&lt;=r_fim)),OR(r_de="",r_de="(Todos)",F241=r_de)),1,0))</f>
        <v>0</v>
      </c>
      <c r="AB241" s="96" t="str">
        <f>IF(AA241=1,IF(F241="",0,COUNTIF($F$6:$F$505,"&lt;"&amp;F241))*1000+236,"")</f>
        <v/>
      </c>
    </row>
    <row r="242">
      <c r="A242" s="89" t="inlineStr">
        <is>
          <t>CDF-000237</t>
        </is>
      </c>
      <c r="B242" s="90" t="n"/>
      <c r="C242" s="91" t="n"/>
      <c r="D242" s="92" t="n"/>
      <c r="E242" s="91" t="n"/>
      <c r="F242" s="91" t="n"/>
      <c r="G242" s="91" t="n"/>
      <c r="H242" s="91" t="n"/>
      <c r="I242" s="91" t="n"/>
      <c r="J242" s="91" t="n"/>
      <c r="K242" s="92" t="n"/>
      <c r="L242" s="91" t="n"/>
      <c r="M242" s="91" t="n"/>
      <c r="N242" s="91" t="n"/>
      <c r="O242" s="93" t="str">
        <f>IF(S242=0,"",SUMIFS('VÍNCULOS_CDF'!$H$6:$H$1005,'VÍNCULOS_CDF'!$O$6:$O$1005,A242,'VÍNCULOS_CDF'!$V$6:$V$1005,1))</f>
        <v/>
      </c>
      <c r="P242" s="95" t="str">
        <f>IF(S242=0,"",COUNTIFS('VÍNCULOS_CDF'!$O$6:$O$1005,A242,'VÍNCULOS_CDF'!$N$6:$N$1005,1))</f>
        <v/>
      </c>
      <c r="Q242" s="94" t="str">
        <f>IF(S242=0,"",IF(OR(B242="",F242=""),"Informações incompletas",IF(U242=1,"Possível duplicidade",IF(V242=0,"Destinador fora do cadastro",IF(AND(J242="Sim",N(P242)=0),"Necessita revisão de vínculos",IF(X242&gt;0,"Necessita revisão de vínculos",IF(J242="Sim","Conferido",IF(I242="Sim","Localizado, aguardando conferência","Cadastrado"))))))))</f>
        <v/>
      </c>
      <c r="R242" s="95" t="str">
        <f>IF(S242=0,"",COUNTIFS('VÍNCULOS_CDF'!$O$6:$O$1005,A242,'VÍNCULOS_CDF'!$AB$6:$AB$1005,1))</f>
        <v/>
      </c>
      <c r="S242" s="96">
        <f>IF(COUNTA(B242:N242)&gt;0,1,0)</f>
        <v>0</v>
      </c>
      <c r="T242" s="96" t="str">
        <f>IF(AND(S242=1,B242&lt;&gt;""),C242&amp;"|"&amp;TRIM(B242),"")</f>
        <v/>
      </c>
      <c r="U242" s="96">
        <f>IF(T242="",0,IF(SUMPRODUCT(--($T$6:$T$505=T242))&gt;1,1,0))</f>
        <v>0</v>
      </c>
      <c r="V242" s="96">
        <f>IF(F242="",0,IF(ISNUMBER(MATCH(F242,cmp_dest,0)),1,0))</f>
        <v>0</v>
      </c>
      <c r="W242" s="96">
        <f>IF(AND(S242=1,B242&lt;&gt;"",F242&lt;&gt;"",J242="Sim",U242=0),1,0)</f>
        <v>0</v>
      </c>
      <c r="X242" s="96">
        <f>IF(S242=0,0,COUNTIFS('VÍNCULOS_CDF'!$O$6:$O$1005,A242,'VÍNCULOS_CDF'!$Y$6:$Y$1005,1))</f>
        <v>0</v>
      </c>
      <c r="Y242" s="96" t="str">
        <f>IF(S242=1,A242&amp;" | CDF "&amp;IF(B242="","(sem número)",B242)&amp;" | "&amp;IF(F242="","(sem destinador)",F242),"")</f>
        <v/>
      </c>
      <c r="Z242" s="96" t="str">
        <f>IF(S242=1,COUNTIF($S$6:S242,1),"")</f>
        <v/>
      </c>
      <c r="AA242" s="96">
        <f>IF(S242=0,0,IF(AND(OR(r_ini="",AND(ISNUMBER(D242),D242&gt;=r_ini)),OR(r_fim="",AND(ISNUMBER(D242),D242&lt;=r_fim)),OR(r_de="",r_de="(Todos)",F242=r_de)),1,0))</f>
        <v>0</v>
      </c>
      <c r="AB242" s="96" t="str">
        <f>IF(AA242=1,IF(F242="",0,COUNTIF($F$6:$F$505,"&lt;"&amp;F242))*1000+237,"")</f>
        <v/>
      </c>
    </row>
    <row r="243">
      <c r="A243" s="89" t="inlineStr">
        <is>
          <t>CDF-000238</t>
        </is>
      </c>
      <c r="B243" s="90" t="n"/>
      <c r="C243" s="91" t="n"/>
      <c r="D243" s="92" t="n"/>
      <c r="E243" s="91" t="n"/>
      <c r="F243" s="91" t="n"/>
      <c r="G243" s="91" t="n"/>
      <c r="H243" s="91" t="n"/>
      <c r="I243" s="91" t="n"/>
      <c r="J243" s="91" t="n"/>
      <c r="K243" s="92" t="n"/>
      <c r="L243" s="91" t="n"/>
      <c r="M243" s="91" t="n"/>
      <c r="N243" s="91" t="n"/>
      <c r="O243" s="93" t="str">
        <f>IF(S243=0,"",SUMIFS('VÍNCULOS_CDF'!$H$6:$H$1005,'VÍNCULOS_CDF'!$O$6:$O$1005,A243,'VÍNCULOS_CDF'!$V$6:$V$1005,1))</f>
        <v/>
      </c>
      <c r="P243" s="95" t="str">
        <f>IF(S243=0,"",COUNTIFS('VÍNCULOS_CDF'!$O$6:$O$1005,A243,'VÍNCULOS_CDF'!$N$6:$N$1005,1))</f>
        <v/>
      </c>
      <c r="Q243" s="94" t="str">
        <f>IF(S243=0,"",IF(OR(B243="",F243=""),"Informações incompletas",IF(U243=1,"Possível duplicidade",IF(V243=0,"Destinador fora do cadastro",IF(AND(J243="Sim",N(P243)=0),"Necessita revisão de vínculos",IF(X243&gt;0,"Necessita revisão de vínculos",IF(J243="Sim","Conferido",IF(I243="Sim","Localizado, aguardando conferência","Cadastrado"))))))))</f>
        <v/>
      </c>
      <c r="R243" s="95" t="str">
        <f>IF(S243=0,"",COUNTIFS('VÍNCULOS_CDF'!$O$6:$O$1005,A243,'VÍNCULOS_CDF'!$AB$6:$AB$1005,1))</f>
        <v/>
      </c>
      <c r="S243" s="96">
        <f>IF(COUNTA(B243:N243)&gt;0,1,0)</f>
        <v>0</v>
      </c>
      <c r="T243" s="96" t="str">
        <f>IF(AND(S243=1,B243&lt;&gt;""),C243&amp;"|"&amp;TRIM(B243),"")</f>
        <v/>
      </c>
      <c r="U243" s="96">
        <f>IF(T243="",0,IF(SUMPRODUCT(--($T$6:$T$505=T243))&gt;1,1,0))</f>
        <v>0</v>
      </c>
      <c r="V243" s="96">
        <f>IF(F243="",0,IF(ISNUMBER(MATCH(F243,cmp_dest,0)),1,0))</f>
        <v>0</v>
      </c>
      <c r="W243" s="96">
        <f>IF(AND(S243=1,B243&lt;&gt;"",F243&lt;&gt;"",J243="Sim",U243=0),1,0)</f>
        <v>0</v>
      </c>
      <c r="X243" s="96">
        <f>IF(S243=0,0,COUNTIFS('VÍNCULOS_CDF'!$O$6:$O$1005,A243,'VÍNCULOS_CDF'!$Y$6:$Y$1005,1))</f>
        <v>0</v>
      </c>
      <c r="Y243" s="96" t="str">
        <f>IF(S243=1,A243&amp;" | CDF "&amp;IF(B243="","(sem número)",B243)&amp;" | "&amp;IF(F243="","(sem destinador)",F243),"")</f>
        <v/>
      </c>
      <c r="Z243" s="96" t="str">
        <f>IF(S243=1,COUNTIF($S$6:S243,1),"")</f>
        <v/>
      </c>
      <c r="AA243" s="96">
        <f>IF(S243=0,0,IF(AND(OR(r_ini="",AND(ISNUMBER(D243),D243&gt;=r_ini)),OR(r_fim="",AND(ISNUMBER(D243),D243&lt;=r_fim)),OR(r_de="",r_de="(Todos)",F243=r_de)),1,0))</f>
        <v>0</v>
      </c>
      <c r="AB243" s="96" t="str">
        <f>IF(AA243=1,IF(F243="",0,COUNTIF($F$6:$F$505,"&lt;"&amp;F243))*1000+238,"")</f>
        <v/>
      </c>
    </row>
    <row r="244">
      <c r="A244" s="89" t="inlineStr">
        <is>
          <t>CDF-000239</t>
        </is>
      </c>
      <c r="B244" s="90" t="n"/>
      <c r="C244" s="91" t="n"/>
      <c r="D244" s="92" t="n"/>
      <c r="E244" s="91" t="n"/>
      <c r="F244" s="91" t="n"/>
      <c r="G244" s="91" t="n"/>
      <c r="H244" s="91" t="n"/>
      <c r="I244" s="91" t="n"/>
      <c r="J244" s="91" t="n"/>
      <c r="K244" s="92" t="n"/>
      <c r="L244" s="91" t="n"/>
      <c r="M244" s="91" t="n"/>
      <c r="N244" s="91" t="n"/>
      <c r="O244" s="93" t="str">
        <f>IF(S244=0,"",SUMIFS('VÍNCULOS_CDF'!$H$6:$H$1005,'VÍNCULOS_CDF'!$O$6:$O$1005,A244,'VÍNCULOS_CDF'!$V$6:$V$1005,1))</f>
        <v/>
      </c>
      <c r="P244" s="95" t="str">
        <f>IF(S244=0,"",COUNTIFS('VÍNCULOS_CDF'!$O$6:$O$1005,A244,'VÍNCULOS_CDF'!$N$6:$N$1005,1))</f>
        <v/>
      </c>
      <c r="Q244" s="94" t="str">
        <f>IF(S244=0,"",IF(OR(B244="",F244=""),"Informações incompletas",IF(U244=1,"Possível duplicidade",IF(V244=0,"Destinador fora do cadastro",IF(AND(J244="Sim",N(P244)=0),"Necessita revisão de vínculos",IF(X244&gt;0,"Necessita revisão de vínculos",IF(J244="Sim","Conferido",IF(I244="Sim","Localizado, aguardando conferência","Cadastrado"))))))))</f>
        <v/>
      </c>
      <c r="R244" s="95" t="str">
        <f>IF(S244=0,"",COUNTIFS('VÍNCULOS_CDF'!$O$6:$O$1005,A244,'VÍNCULOS_CDF'!$AB$6:$AB$1005,1))</f>
        <v/>
      </c>
      <c r="S244" s="96">
        <f>IF(COUNTA(B244:N244)&gt;0,1,0)</f>
        <v>0</v>
      </c>
      <c r="T244" s="96" t="str">
        <f>IF(AND(S244=1,B244&lt;&gt;""),C244&amp;"|"&amp;TRIM(B244),"")</f>
        <v/>
      </c>
      <c r="U244" s="96">
        <f>IF(T244="",0,IF(SUMPRODUCT(--($T$6:$T$505=T244))&gt;1,1,0))</f>
        <v>0</v>
      </c>
      <c r="V244" s="96">
        <f>IF(F244="",0,IF(ISNUMBER(MATCH(F244,cmp_dest,0)),1,0))</f>
        <v>0</v>
      </c>
      <c r="W244" s="96">
        <f>IF(AND(S244=1,B244&lt;&gt;"",F244&lt;&gt;"",J244="Sim",U244=0),1,0)</f>
        <v>0</v>
      </c>
      <c r="X244" s="96">
        <f>IF(S244=0,0,COUNTIFS('VÍNCULOS_CDF'!$O$6:$O$1005,A244,'VÍNCULOS_CDF'!$Y$6:$Y$1005,1))</f>
        <v>0</v>
      </c>
      <c r="Y244" s="96" t="str">
        <f>IF(S244=1,A244&amp;" | CDF "&amp;IF(B244="","(sem número)",B244)&amp;" | "&amp;IF(F244="","(sem destinador)",F244),"")</f>
        <v/>
      </c>
      <c r="Z244" s="96" t="str">
        <f>IF(S244=1,COUNTIF($S$6:S244,1),"")</f>
        <v/>
      </c>
      <c r="AA244" s="96">
        <f>IF(S244=0,0,IF(AND(OR(r_ini="",AND(ISNUMBER(D244),D244&gt;=r_ini)),OR(r_fim="",AND(ISNUMBER(D244),D244&lt;=r_fim)),OR(r_de="",r_de="(Todos)",F244=r_de)),1,0))</f>
        <v>0</v>
      </c>
      <c r="AB244" s="96" t="str">
        <f>IF(AA244=1,IF(F244="",0,COUNTIF($F$6:$F$505,"&lt;"&amp;F244))*1000+239,"")</f>
        <v/>
      </c>
    </row>
    <row r="245">
      <c r="A245" s="89" t="inlineStr">
        <is>
          <t>CDF-000240</t>
        </is>
      </c>
      <c r="B245" s="90" t="n"/>
      <c r="C245" s="91" t="n"/>
      <c r="D245" s="92" t="n"/>
      <c r="E245" s="91" t="n"/>
      <c r="F245" s="91" t="n"/>
      <c r="G245" s="91" t="n"/>
      <c r="H245" s="91" t="n"/>
      <c r="I245" s="91" t="n"/>
      <c r="J245" s="91" t="n"/>
      <c r="K245" s="92" t="n"/>
      <c r="L245" s="91" t="n"/>
      <c r="M245" s="91" t="n"/>
      <c r="N245" s="91" t="n"/>
      <c r="O245" s="93" t="str">
        <f>IF(S245=0,"",SUMIFS('VÍNCULOS_CDF'!$H$6:$H$1005,'VÍNCULOS_CDF'!$O$6:$O$1005,A245,'VÍNCULOS_CDF'!$V$6:$V$1005,1))</f>
        <v/>
      </c>
      <c r="P245" s="95" t="str">
        <f>IF(S245=0,"",COUNTIFS('VÍNCULOS_CDF'!$O$6:$O$1005,A245,'VÍNCULOS_CDF'!$N$6:$N$1005,1))</f>
        <v/>
      </c>
      <c r="Q245" s="94" t="str">
        <f>IF(S245=0,"",IF(OR(B245="",F245=""),"Informações incompletas",IF(U245=1,"Possível duplicidade",IF(V245=0,"Destinador fora do cadastro",IF(AND(J245="Sim",N(P245)=0),"Necessita revisão de vínculos",IF(X245&gt;0,"Necessita revisão de vínculos",IF(J245="Sim","Conferido",IF(I245="Sim","Localizado, aguardando conferência","Cadastrado"))))))))</f>
        <v/>
      </c>
      <c r="R245" s="95" t="str">
        <f>IF(S245=0,"",COUNTIFS('VÍNCULOS_CDF'!$O$6:$O$1005,A245,'VÍNCULOS_CDF'!$AB$6:$AB$1005,1))</f>
        <v/>
      </c>
      <c r="S245" s="96">
        <f>IF(COUNTA(B245:N245)&gt;0,1,0)</f>
        <v>0</v>
      </c>
      <c r="T245" s="96" t="str">
        <f>IF(AND(S245=1,B245&lt;&gt;""),C245&amp;"|"&amp;TRIM(B245),"")</f>
        <v/>
      </c>
      <c r="U245" s="96">
        <f>IF(T245="",0,IF(SUMPRODUCT(--($T$6:$T$505=T245))&gt;1,1,0))</f>
        <v>0</v>
      </c>
      <c r="V245" s="96">
        <f>IF(F245="",0,IF(ISNUMBER(MATCH(F245,cmp_dest,0)),1,0))</f>
        <v>0</v>
      </c>
      <c r="W245" s="96">
        <f>IF(AND(S245=1,B245&lt;&gt;"",F245&lt;&gt;"",J245="Sim",U245=0),1,0)</f>
        <v>0</v>
      </c>
      <c r="X245" s="96">
        <f>IF(S245=0,0,COUNTIFS('VÍNCULOS_CDF'!$O$6:$O$1005,A245,'VÍNCULOS_CDF'!$Y$6:$Y$1005,1))</f>
        <v>0</v>
      </c>
      <c r="Y245" s="96" t="str">
        <f>IF(S245=1,A245&amp;" | CDF "&amp;IF(B245="","(sem número)",B245)&amp;" | "&amp;IF(F245="","(sem destinador)",F245),"")</f>
        <v/>
      </c>
      <c r="Z245" s="96" t="str">
        <f>IF(S245=1,COUNTIF($S$6:S245,1),"")</f>
        <v/>
      </c>
      <c r="AA245" s="96">
        <f>IF(S245=0,0,IF(AND(OR(r_ini="",AND(ISNUMBER(D245),D245&gt;=r_ini)),OR(r_fim="",AND(ISNUMBER(D245),D245&lt;=r_fim)),OR(r_de="",r_de="(Todos)",F245=r_de)),1,0))</f>
        <v>0</v>
      </c>
      <c r="AB245" s="96" t="str">
        <f>IF(AA245=1,IF(F245="",0,COUNTIF($F$6:$F$505,"&lt;"&amp;F245))*1000+240,"")</f>
        <v/>
      </c>
    </row>
    <row r="246">
      <c r="A246" s="89" t="inlineStr">
        <is>
          <t>CDF-000241</t>
        </is>
      </c>
      <c r="B246" s="90" t="n"/>
      <c r="C246" s="91" t="n"/>
      <c r="D246" s="92" t="n"/>
      <c r="E246" s="91" t="n"/>
      <c r="F246" s="91" t="n"/>
      <c r="G246" s="91" t="n"/>
      <c r="H246" s="91" t="n"/>
      <c r="I246" s="91" t="n"/>
      <c r="J246" s="91" t="n"/>
      <c r="K246" s="92" t="n"/>
      <c r="L246" s="91" t="n"/>
      <c r="M246" s="91" t="n"/>
      <c r="N246" s="91" t="n"/>
      <c r="O246" s="93" t="str">
        <f>IF(S246=0,"",SUMIFS('VÍNCULOS_CDF'!$H$6:$H$1005,'VÍNCULOS_CDF'!$O$6:$O$1005,A246,'VÍNCULOS_CDF'!$V$6:$V$1005,1))</f>
        <v/>
      </c>
      <c r="P246" s="95" t="str">
        <f>IF(S246=0,"",COUNTIFS('VÍNCULOS_CDF'!$O$6:$O$1005,A246,'VÍNCULOS_CDF'!$N$6:$N$1005,1))</f>
        <v/>
      </c>
      <c r="Q246" s="94" t="str">
        <f>IF(S246=0,"",IF(OR(B246="",F246=""),"Informações incompletas",IF(U246=1,"Possível duplicidade",IF(V246=0,"Destinador fora do cadastro",IF(AND(J246="Sim",N(P246)=0),"Necessita revisão de vínculos",IF(X246&gt;0,"Necessita revisão de vínculos",IF(J246="Sim","Conferido",IF(I246="Sim","Localizado, aguardando conferência","Cadastrado"))))))))</f>
        <v/>
      </c>
      <c r="R246" s="95" t="str">
        <f>IF(S246=0,"",COUNTIFS('VÍNCULOS_CDF'!$O$6:$O$1005,A246,'VÍNCULOS_CDF'!$AB$6:$AB$1005,1))</f>
        <v/>
      </c>
      <c r="S246" s="96">
        <f>IF(COUNTA(B246:N246)&gt;0,1,0)</f>
        <v>0</v>
      </c>
      <c r="T246" s="96" t="str">
        <f>IF(AND(S246=1,B246&lt;&gt;""),C246&amp;"|"&amp;TRIM(B246),"")</f>
        <v/>
      </c>
      <c r="U246" s="96">
        <f>IF(T246="",0,IF(SUMPRODUCT(--($T$6:$T$505=T246))&gt;1,1,0))</f>
        <v>0</v>
      </c>
      <c r="V246" s="96">
        <f>IF(F246="",0,IF(ISNUMBER(MATCH(F246,cmp_dest,0)),1,0))</f>
        <v>0</v>
      </c>
      <c r="W246" s="96">
        <f>IF(AND(S246=1,B246&lt;&gt;"",F246&lt;&gt;"",J246="Sim",U246=0),1,0)</f>
        <v>0</v>
      </c>
      <c r="X246" s="96">
        <f>IF(S246=0,0,COUNTIFS('VÍNCULOS_CDF'!$O$6:$O$1005,A246,'VÍNCULOS_CDF'!$Y$6:$Y$1005,1))</f>
        <v>0</v>
      </c>
      <c r="Y246" s="96" t="str">
        <f>IF(S246=1,A246&amp;" | CDF "&amp;IF(B246="","(sem número)",B246)&amp;" | "&amp;IF(F246="","(sem destinador)",F246),"")</f>
        <v/>
      </c>
      <c r="Z246" s="96" t="str">
        <f>IF(S246=1,COUNTIF($S$6:S246,1),"")</f>
        <v/>
      </c>
      <c r="AA246" s="96">
        <f>IF(S246=0,0,IF(AND(OR(r_ini="",AND(ISNUMBER(D246),D246&gt;=r_ini)),OR(r_fim="",AND(ISNUMBER(D246),D246&lt;=r_fim)),OR(r_de="",r_de="(Todos)",F246=r_de)),1,0))</f>
        <v>0</v>
      </c>
      <c r="AB246" s="96" t="str">
        <f>IF(AA246=1,IF(F246="",0,COUNTIF($F$6:$F$505,"&lt;"&amp;F246))*1000+241,"")</f>
        <v/>
      </c>
    </row>
    <row r="247">
      <c r="A247" s="89" t="inlineStr">
        <is>
          <t>CDF-000242</t>
        </is>
      </c>
      <c r="B247" s="90" t="n"/>
      <c r="C247" s="91" t="n"/>
      <c r="D247" s="92" t="n"/>
      <c r="E247" s="91" t="n"/>
      <c r="F247" s="91" t="n"/>
      <c r="G247" s="91" t="n"/>
      <c r="H247" s="91" t="n"/>
      <c r="I247" s="91" t="n"/>
      <c r="J247" s="91" t="n"/>
      <c r="K247" s="92" t="n"/>
      <c r="L247" s="91" t="n"/>
      <c r="M247" s="91" t="n"/>
      <c r="N247" s="91" t="n"/>
      <c r="O247" s="93" t="str">
        <f>IF(S247=0,"",SUMIFS('VÍNCULOS_CDF'!$H$6:$H$1005,'VÍNCULOS_CDF'!$O$6:$O$1005,A247,'VÍNCULOS_CDF'!$V$6:$V$1005,1))</f>
        <v/>
      </c>
      <c r="P247" s="95" t="str">
        <f>IF(S247=0,"",COUNTIFS('VÍNCULOS_CDF'!$O$6:$O$1005,A247,'VÍNCULOS_CDF'!$N$6:$N$1005,1))</f>
        <v/>
      </c>
      <c r="Q247" s="94" t="str">
        <f>IF(S247=0,"",IF(OR(B247="",F247=""),"Informações incompletas",IF(U247=1,"Possível duplicidade",IF(V247=0,"Destinador fora do cadastro",IF(AND(J247="Sim",N(P247)=0),"Necessita revisão de vínculos",IF(X247&gt;0,"Necessita revisão de vínculos",IF(J247="Sim","Conferido",IF(I247="Sim","Localizado, aguardando conferência","Cadastrado"))))))))</f>
        <v/>
      </c>
      <c r="R247" s="95" t="str">
        <f>IF(S247=0,"",COUNTIFS('VÍNCULOS_CDF'!$O$6:$O$1005,A247,'VÍNCULOS_CDF'!$AB$6:$AB$1005,1))</f>
        <v/>
      </c>
      <c r="S247" s="96">
        <f>IF(COUNTA(B247:N247)&gt;0,1,0)</f>
        <v>0</v>
      </c>
      <c r="T247" s="96" t="str">
        <f>IF(AND(S247=1,B247&lt;&gt;""),C247&amp;"|"&amp;TRIM(B247),"")</f>
        <v/>
      </c>
      <c r="U247" s="96">
        <f>IF(T247="",0,IF(SUMPRODUCT(--($T$6:$T$505=T247))&gt;1,1,0))</f>
        <v>0</v>
      </c>
      <c r="V247" s="96">
        <f>IF(F247="",0,IF(ISNUMBER(MATCH(F247,cmp_dest,0)),1,0))</f>
        <v>0</v>
      </c>
      <c r="W247" s="96">
        <f>IF(AND(S247=1,B247&lt;&gt;"",F247&lt;&gt;"",J247="Sim",U247=0),1,0)</f>
        <v>0</v>
      </c>
      <c r="X247" s="96">
        <f>IF(S247=0,0,COUNTIFS('VÍNCULOS_CDF'!$O$6:$O$1005,A247,'VÍNCULOS_CDF'!$Y$6:$Y$1005,1))</f>
        <v>0</v>
      </c>
      <c r="Y247" s="96" t="str">
        <f>IF(S247=1,A247&amp;" | CDF "&amp;IF(B247="","(sem número)",B247)&amp;" | "&amp;IF(F247="","(sem destinador)",F247),"")</f>
        <v/>
      </c>
      <c r="Z247" s="96" t="str">
        <f>IF(S247=1,COUNTIF($S$6:S247,1),"")</f>
        <v/>
      </c>
      <c r="AA247" s="96">
        <f>IF(S247=0,0,IF(AND(OR(r_ini="",AND(ISNUMBER(D247),D247&gt;=r_ini)),OR(r_fim="",AND(ISNUMBER(D247),D247&lt;=r_fim)),OR(r_de="",r_de="(Todos)",F247=r_de)),1,0))</f>
        <v>0</v>
      </c>
      <c r="AB247" s="96" t="str">
        <f>IF(AA247=1,IF(F247="",0,COUNTIF($F$6:$F$505,"&lt;"&amp;F247))*1000+242,"")</f>
        <v/>
      </c>
    </row>
    <row r="248">
      <c r="A248" s="89" t="inlineStr">
        <is>
          <t>CDF-000243</t>
        </is>
      </c>
      <c r="B248" s="90" t="n"/>
      <c r="C248" s="91" t="n"/>
      <c r="D248" s="92" t="n"/>
      <c r="E248" s="91" t="n"/>
      <c r="F248" s="91" t="n"/>
      <c r="G248" s="91" t="n"/>
      <c r="H248" s="91" t="n"/>
      <c r="I248" s="91" t="n"/>
      <c r="J248" s="91" t="n"/>
      <c r="K248" s="92" t="n"/>
      <c r="L248" s="91" t="n"/>
      <c r="M248" s="91" t="n"/>
      <c r="N248" s="91" t="n"/>
      <c r="O248" s="93" t="str">
        <f>IF(S248=0,"",SUMIFS('VÍNCULOS_CDF'!$H$6:$H$1005,'VÍNCULOS_CDF'!$O$6:$O$1005,A248,'VÍNCULOS_CDF'!$V$6:$V$1005,1))</f>
        <v/>
      </c>
      <c r="P248" s="95" t="str">
        <f>IF(S248=0,"",COUNTIFS('VÍNCULOS_CDF'!$O$6:$O$1005,A248,'VÍNCULOS_CDF'!$N$6:$N$1005,1))</f>
        <v/>
      </c>
      <c r="Q248" s="94" t="str">
        <f>IF(S248=0,"",IF(OR(B248="",F248=""),"Informações incompletas",IF(U248=1,"Possível duplicidade",IF(V248=0,"Destinador fora do cadastro",IF(AND(J248="Sim",N(P248)=0),"Necessita revisão de vínculos",IF(X248&gt;0,"Necessita revisão de vínculos",IF(J248="Sim","Conferido",IF(I248="Sim","Localizado, aguardando conferência","Cadastrado"))))))))</f>
        <v/>
      </c>
      <c r="R248" s="95" t="str">
        <f>IF(S248=0,"",COUNTIFS('VÍNCULOS_CDF'!$O$6:$O$1005,A248,'VÍNCULOS_CDF'!$AB$6:$AB$1005,1))</f>
        <v/>
      </c>
      <c r="S248" s="96">
        <f>IF(COUNTA(B248:N248)&gt;0,1,0)</f>
        <v>0</v>
      </c>
      <c r="T248" s="96" t="str">
        <f>IF(AND(S248=1,B248&lt;&gt;""),C248&amp;"|"&amp;TRIM(B248),"")</f>
        <v/>
      </c>
      <c r="U248" s="96">
        <f>IF(T248="",0,IF(SUMPRODUCT(--($T$6:$T$505=T248))&gt;1,1,0))</f>
        <v>0</v>
      </c>
      <c r="V248" s="96">
        <f>IF(F248="",0,IF(ISNUMBER(MATCH(F248,cmp_dest,0)),1,0))</f>
        <v>0</v>
      </c>
      <c r="W248" s="96">
        <f>IF(AND(S248=1,B248&lt;&gt;"",F248&lt;&gt;"",J248="Sim",U248=0),1,0)</f>
        <v>0</v>
      </c>
      <c r="X248" s="96">
        <f>IF(S248=0,0,COUNTIFS('VÍNCULOS_CDF'!$O$6:$O$1005,A248,'VÍNCULOS_CDF'!$Y$6:$Y$1005,1))</f>
        <v>0</v>
      </c>
      <c r="Y248" s="96" t="str">
        <f>IF(S248=1,A248&amp;" | CDF "&amp;IF(B248="","(sem número)",B248)&amp;" | "&amp;IF(F248="","(sem destinador)",F248),"")</f>
        <v/>
      </c>
      <c r="Z248" s="96" t="str">
        <f>IF(S248=1,COUNTIF($S$6:S248,1),"")</f>
        <v/>
      </c>
      <c r="AA248" s="96">
        <f>IF(S248=0,0,IF(AND(OR(r_ini="",AND(ISNUMBER(D248),D248&gt;=r_ini)),OR(r_fim="",AND(ISNUMBER(D248),D248&lt;=r_fim)),OR(r_de="",r_de="(Todos)",F248=r_de)),1,0))</f>
        <v>0</v>
      </c>
      <c r="AB248" s="96" t="str">
        <f>IF(AA248=1,IF(F248="",0,COUNTIF($F$6:$F$505,"&lt;"&amp;F248))*1000+243,"")</f>
        <v/>
      </c>
    </row>
    <row r="249">
      <c r="A249" s="89" t="inlineStr">
        <is>
          <t>CDF-000244</t>
        </is>
      </c>
      <c r="B249" s="90" t="n"/>
      <c r="C249" s="91" t="n"/>
      <c r="D249" s="92" t="n"/>
      <c r="E249" s="91" t="n"/>
      <c r="F249" s="91" t="n"/>
      <c r="G249" s="91" t="n"/>
      <c r="H249" s="91" t="n"/>
      <c r="I249" s="91" t="n"/>
      <c r="J249" s="91" t="n"/>
      <c r="K249" s="92" t="n"/>
      <c r="L249" s="91" t="n"/>
      <c r="M249" s="91" t="n"/>
      <c r="N249" s="91" t="n"/>
      <c r="O249" s="93" t="str">
        <f>IF(S249=0,"",SUMIFS('VÍNCULOS_CDF'!$H$6:$H$1005,'VÍNCULOS_CDF'!$O$6:$O$1005,A249,'VÍNCULOS_CDF'!$V$6:$V$1005,1))</f>
        <v/>
      </c>
      <c r="P249" s="95" t="str">
        <f>IF(S249=0,"",COUNTIFS('VÍNCULOS_CDF'!$O$6:$O$1005,A249,'VÍNCULOS_CDF'!$N$6:$N$1005,1))</f>
        <v/>
      </c>
      <c r="Q249" s="94" t="str">
        <f>IF(S249=0,"",IF(OR(B249="",F249=""),"Informações incompletas",IF(U249=1,"Possível duplicidade",IF(V249=0,"Destinador fora do cadastro",IF(AND(J249="Sim",N(P249)=0),"Necessita revisão de vínculos",IF(X249&gt;0,"Necessita revisão de vínculos",IF(J249="Sim","Conferido",IF(I249="Sim","Localizado, aguardando conferência","Cadastrado"))))))))</f>
        <v/>
      </c>
      <c r="R249" s="95" t="str">
        <f>IF(S249=0,"",COUNTIFS('VÍNCULOS_CDF'!$O$6:$O$1005,A249,'VÍNCULOS_CDF'!$AB$6:$AB$1005,1))</f>
        <v/>
      </c>
      <c r="S249" s="96">
        <f>IF(COUNTA(B249:N249)&gt;0,1,0)</f>
        <v>0</v>
      </c>
      <c r="T249" s="96" t="str">
        <f>IF(AND(S249=1,B249&lt;&gt;""),C249&amp;"|"&amp;TRIM(B249),"")</f>
        <v/>
      </c>
      <c r="U249" s="96">
        <f>IF(T249="",0,IF(SUMPRODUCT(--($T$6:$T$505=T249))&gt;1,1,0))</f>
        <v>0</v>
      </c>
      <c r="V249" s="96">
        <f>IF(F249="",0,IF(ISNUMBER(MATCH(F249,cmp_dest,0)),1,0))</f>
        <v>0</v>
      </c>
      <c r="W249" s="96">
        <f>IF(AND(S249=1,B249&lt;&gt;"",F249&lt;&gt;"",J249="Sim",U249=0),1,0)</f>
        <v>0</v>
      </c>
      <c r="X249" s="96">
        <f>IF(S249=0,0,COUNTIFS('VÍNCULOS_CDF'!$O$6:$O$1005,A249,'VÍNCULOS_CDF'!$Y$6:$Y$1005,1))</f>
        <v>0</v>
      </c>
      <c r="Y249" s="96" t="str">
        <f>IF(S249=1,A249&amp;" | CDF "&amp;IF(B249="","(sem número)",B249)&amp;" | "&amp;IF(F249="","(sem destinador)",F249),"")</f>
        <v/>
      </c>
      <c r="Z249" s="96" t="str">
        <f>IF(S249=1,COUNTIF($S$6:S249,1),"")</f>
        <v/>
      </c>
      <c r="AA249" s="96">
        <f>IF(S249=0,0,IF(AND(OR(r_ini="",AND(ISNUMBER(D249),D249&gt;=r_ini)),OR(r_fim="",AND(ISNUMBER(D249),D249&lt;=r_fim)),OR(r_de="",r_de="(Todos)",F249=r_de)),1,0))</f>
        <v>0</v>
      </c>
      <c r="AB249" s="96" t="str">
        <f>IF(AA249=1,IF(F249="",0,COUNTIF($F$6:$F$505,"&lt;"&amp;F249))*1000+244,"")</f>
        <v/>
      </c>
    </row>
    <row r="250">
      <c r="A250" s="89" t="inlineStr">
        <is>
          <t>CDF-000245</t>
        </is>
      </c>
      <c r="B250" s="90" t="n"/>
      <c r="C250" s="91" t="n"/>
      <c r="D250" s="92" t="n"/>
      <c r="E250" s="91" t="n"/>
      <c r="F250" s="91" t="n"/>
      <c r="G250" s="91" t="n"/>
      <c r="H250" s="91" t="n"/>
      <c r="I250" s="91" t="n"/>
      <c r="J250" s="91" t="n"/>
      <c r="K250" s="92" t="n"/>
      <c r="L250" s="91" t="n"/>
      <c r="M250" s="91" t="n"/>
      <c r="N250" s="91" t="n"/>
      <c r="O250" s="93" t="str">
        <f>IF(S250=0,"",SUMIFS('VÍNCULOS_CDF'!$H$6:$H$1005,'VÍNCULOS_CDF'!$O$6:$O$1005,A250,'VÍNCULOS_CDF'!$V$6:$V$1005,1))</f>
        <v/>
      </c>
      <c r="P250" s="95" t="str">
        <f>IF(S250=0,"",COUNTIFS('VÍNCULOS_CDF'!$O$6:$O$1005,A250,'VÍNCULOS_CDF'!$N$6:$N$1005,1))</f>
        <v/>
      </c>
      <c r="Q250" s="94" t="str">
        <f>IF(S250=0,"",IF(OR(B250="",F250=""),"Informações incompletas",IF(U250=1,"Possível duplicidade",IF(V250=0,"Destinador fora do cadastro",IF(AND(J250="Sim",N(P250)=0),"Necessita revisão de vínculos",IF(X250&gt;0,"Necessita revisão de vínculos",IF(J250="Sim","Conferido",IF(I250="Sim","Localizado, aguardando conferência","Cadastrado"))))))))</f>
        <v/>
      </c>
      <c r="R250" s="95" t="str">
        <f>IF(S250=0,"",COUNTIFS('VÍNCULOS_CDF'!$O$6:$O$1005,A250,'VÍNCULOS_CDF'!$AB$6:$AB$1005,1))</f>
        <v/>
      </c>
      <c r="S250" s="96">
        <f>IF(COUNTA(B250:N250)&gt;0,1,0)</f>
        <v>0</v>
      </c>
      <c r="T250" s="96" t="str">
        <f>IF(AND(S250=1,B250&lt;&gt;""),C250&amp;"|"&amp;TRIM(B250),"")</f>
        <v/>
      </c>
      <c r="U250" s="96">
        <f>IF(T250="",0,IF(SUMPRODUCT(--($T$6:$T$505=T250))&gt;1,1,0))</f>
        <v>0</v>
      </c>
      <c r="V250" s="96">
        <f>IF(F250="",0,IF(ISNUMBER(MATCH(F250,cmp_dest,0)),1,0))</f>
        <v>0</v>
      </c>
      <c r="W250" s="96">
        <f>IF(AND(S250=1,B250&lt;&gt;"",F250&lt;&gt;"",J250="Sim",U250=0),1,0)</f>
        <v>0</v>
      </c>
      <c r="X250" s="96">
        <f>IF(S250=0,0,COUNTIFS('VÍNCULOS_CDF'!$O$6:$O$1005,A250,'VÍNCULOS_CDF'!$Y$6:$Y$1005,1))</f>
        <v>0</v>
      </c>
      <c r="Y250" s="96" t="str">
        <f>IF(S250=1,A250&amp;" | CDF "&amp;IF(B250="","(sem número)",B250)&amp;" | "&amp;IF(F250="","(sem destinador)",F250),"")</f>
        <v/>
      </c>
      <c r="Z250" s="96" t="str">
        <f>IF(S250=1,COUNTIF($S$6:S250,1),"")</f>
        <v/>
      </c>
      <c r="AA250" s="96">
        <f>IF(S250=0,0,IF(AND(OR(r_ini="",AND(ISNUMBER(D250),D250&gt;=r_ini)),OR(r_fim="",AND(ISNUMBER(D250),D250&lt;=r_fim)),OR(r_de="",r_de="(Todos)",F250=r_de)),1,0))</f>
        <v>0</v>
      </c>
      <c r="AB250" s="96" t="str">
        <f>IF(AA250=1,IF(F250="",0,COUNTIF($F$6:$F$505,"&lt;"&amp;F250))*1000+245,"")</f>
        <v/>
      </c>
    </row>
    <row r="251">
      <c r="A251" s="89" t="inlineStr">
        <is>
          <t>CDF-000246</t>
        </is>
      </c>
      <c r="B251" s="90" t="n"/>
      <c r="C251" s="91" t="n"/>
      <c r="D251" s="92" t="n"/>
      <c r="E251" s="91" t="n"/>
      <c r="F251" s="91" t="n"/>
      <c r="G251" s="91" t="n"/>
      <c r="H251" s="91" t="n"/>
      <c r="I251" s="91" t="n"/>
      <c r="J251" s="91" t="n"/>
      <c r="K251" s="92" t="n"/>
      <c r="L251" s="91" t="n"/>
      <c r="M251" s="91" t="n"/>
      <c r="N251" s="91" t="n"/>
      <c r="O251" s="93" t="str">
        <f>IF(S251=0,"",SUMIFS('VÍNCULOS_CDF'!$H$6:$H$1005,'VÍNCULOS_CDF'!$O$6:$O$1005,A251,'VÍNCULOS_CDF'!$V$6:$V$1005,1))</f>
        <v/>
      </c>
      <c r="P251" s="95" t="str">
        <f>IF(S251=0,"",COUNTIFS('VÍNCULOS_CDF'!$O$6:$O$1005,A251,'VÍNCULOS_CDF'!$N$6:$N$1005,1))</f>
        <v/>
      </c>
      <c r="Q251" s="94" t="str">
        <f>IF(S251=0,"",IF(OR(B251="",F251=""),"Informações incompletas",IF(U251=1,"Possível duplicidade",IF(V251=0,"Destinador fora do cadastro",IF(AND(J251="Sim",N(P251)=0),"Necessita revisão de vínculos",IF(X251&gt;0,"Necessita revisão de vínculos",IF(J251="Sim","Conferido",IF(I251="Sim","Localizado, aguardando conferência","Cadastrado"))))))))</f>
        <v/>
      </c>
      <c r="R251" s="95" t="str">
        <f>IF(S251=0,"",COUNTIFS('VÍNCULOS_CDF'!$O$6:$O$1005,A251,'VÍNCULOS_CDF'!$AB$6:$AB$1005,1))</f>
        <v/>
      </c>
      <c r="S251" s="96">
        <f>IF(COUNTA(B251:N251)&gt;0,1,0)</f>
        <v>0</v>
      </c>
      <c r="T251" s="96" t="str">
        <f>IF(AND(S251=1,B251&lt;&gt;""),C251&amp;"|"&amp;TRIM(B251),"")</f>
        <v/>
      </c>
      <c r="U251" s="96">
        <f>IF(T251="",0,IF(SUMPRODUCT(--($T$6:$T$505=T251))&gt;1,1,0))</f>
        <v>0</v>
      </c>
      <c r="V251" s="96">
        <f>IF(F251="",0,IF(ISNUMBER(MATCH(F251,cmp_dest,0)),1,0))</f>
        <v>0</v>
      </c>
      <c r="W251" s="96">
        <f>IF(AND(S251=1,B251&lt;&gt;"",F251&lt;&gt;"",J251="Sim",U251=0),1,0)</f>
        <v>0</v>
      </c>
      <c r="X251" s="96">
        <f>IF(S251=0,0,COUNTIFS('VÍNCULOS_CDF'!$O$6:$O$1005,A251,'VÍNCULOS_CDF'!$Y$6:$Y$1005,1))</f>
        <v>0</v>
      </c>
      <c r="Y251" s="96" t="str">
        <f>IF(S251=1,A251&amp;" | CDF "&amp;IF(B251="","(sem número)",B251)&amp;" | "&amp;IF(F251="","(sem destinador)",F251),"")</f>
        <v/>
      </c>
      <c r="Z251" s="96" t="str">
        <f>IF(S251=1,COUNTIF($S$6:S251,1),"")</f>
        <v/>
      </c>
      <c r="AA251" s="96">
        <f>IF(S251=0,0,IF(AND(OR(r_ini="",AND(ISNUMBER(D251),D251&gt;=r_ini)),OR(r_fim="",AND(ISNUMBER(D251),D251&lt;=r_fim)),OR(r_de="",r_de="(Todos)",F251=r_de)),1,0))</f>
        <v>0</v>
      </c>
      <c r="AB251" s="96" t="str">
        <f>IF(AA251=1,IF(F251="",0,COUNTIF($F$6:$F$505,"&lt;"&amp;F251))*1000+246,"")</f>
        <v/>
      </c>
    </row>
    <row r="252">
      <c r="A252" s="89" t="inlineStr">
        <is>
          <t>CDF-000247</t>
        </is>
      </c>
      <c r="B252" s="90" t="n"/>
      <c r="C252" s="91" t="n"/>
      <c r="D252" s="92" t="n"/>
      <c r="E252" s="91" t="n"/>
      <c r="F252" s="91" t="n"/>
      <c r="G252" s="91" t="n"/>
      <c r="H252" s="91" t="n"/>
      <c r="I252" s="91" t="n"/>
      <c r="J252" s="91" t="n"/>
      <c r="K252" s="92" t="n"/>
      <c r="L252" s="91" t="n"/>
      <c r="M252" s="91" t="n"/>
      <c r="N252" s="91" t="n"/>
      <c r="O252" s="93" t="str">
        <f>IF(S252=0,"",SUMIFS('VÍNCULOS_CDF'!$H$6:$H$1005,'VÍNCULOS_CDF'!$O$6:$O$1005,A252,'VÍNCULOS_CDF'!$V$6:$V$1005,1))</f>
        <v/>
      </c>
      <c r="P252" s="95" t="str">
        <f>IF(S252=0,"",COUNTIFS('VÍNCULOS_CDF'!$O$6:$O$1005,A252,'VÍNCULOS_CDF'!$N$6:$N$1005,1))</f>
        <v/>
      </c>
      <c r="Q252" s="94" t="str">
        <f>IF(S252=0,"",IF(OR(B252="",F252=""),"Informações incompletas",IF(U252=1,"Possível duplicidade",IF(V252=0,"Destinador fora do cadastro",IF(AND(J252="Sim",N(P252)=0),"Necessita revisão de vínculos",IF(X252&gt;0,"Necessita revisão de vínculos",IF(J252="Sim","Conferido",IF(I252="Sim","Localizado, aguardando conferência","Cadastrado"))))))))</f>
        <v/>
      </c>
      <c r="R252" s="95" t="str">
        <f>IF(S252=0,"",COUNTIFS('VÍNCULOS_CDF'!$O$6:$O$1005,A252,'VÍNCULOS_CDF'!$AB$6:$AB$1005,1))</f>
        <v/>
      </c>
      <c r="S252" s="96">
        <f>IF(COUNTA(B252:N252)&gt;0,1,0)</f>
        <v>0</v>
      </c>
      <c r="T252" s="96" t="str">
        <f>IF(AND(S252=1,B252&lt;&gt;""),C252&amp;"|"&amp;TRIM(B252),"")</f>
        <v/>
      </c>
      <c r="U252" s="96">
        <f>IF(T252="",0,IF(SUMPRODUCT(--($T$6:$T$505=T252))&gt;1,1,0))</f>
        <v>0</v>
      </c>
      <c r="V252" s="96">
        <f>IF(F252="",0,IF(ISNUMBER(MATCH(F252,cmp_dest,0)),1,0))</f>
        <v>0</v>
      </c>
      <c r="W252" s="96">
        <f>IF(AND(S252=1,B252&lt;&gt;"",F252&lt;&gt;"",J252="Sim",U252=0),1,0)</f>
        <v>0</v>
      </c>
      <c r="X252" s="96">
        <f>IF(S252=0,0,COUNTIFS('VÍNCULOS_CDF'!$O$6:$O$1005,A252,'VÍNCULOS_CDF'!$Y$6:$Y$1005,1))</f>
        <v>0</v>
      </c>
      <c r="Y252" s="96" t="str">
        <f>IF(S252=1,A252&amp;" | CDF "&amp;IF(B252="","(sem número)",B252)&amp;" | "&amp;IF(F252="","(sem destinador)",F252),"")</f>
        <v/>
      </c>
      <c r="Z252" s="96" t="str">
        <f>IF(S252=1,COUNTIF($S$6:S252,1),"")</f>
        <v/>
      </c>
      <c r="AA252" s="96">
        <f>IF(S252=0,0,IF(AND(OR(r_ini="",AND(ISNUMBER(D252),D252&gt;=r_ini)),OR(r_fim="",AND(ISNUMBER(D252),D252&lt;=r_fim)),OR(r_de="",r_de="(Todos)",F252=r_de)),1,0))</f>
        <v>0</v>
      </c>
      <c r="AB252" s="96" t="str">
        <f>IF(AA252=1,IF(F252="",0,COUNTIF($F$6:$F$505,"&lt;"&amp;F252))*1000+247,"")</f>
        <v/>
      </c>
    </row>
    <row r="253">
      <c r="A253" s="89" t="inlineStr">
        <is>
          <t>CDF-000248</t>
        </is>
      </c>
      <c r="B253" s="90" t="n"/>
      <c r="C253" s="91" t="n"/>
      <c r="D253" s="92" t="n"/>
      <c r="E253" s="91" t="n"/>
      <c r="F253" s="91" t="n"/>
      <c r="G253" s="91" t="n"/>
      <c r="H253" s="91" t="n"/>
      <c r="I253" s="91" t="n"/>
      <c r="J253" s="91" t="n"/>
      <c r="K253" s="92" t="n"/>
      <c r="L253" s="91" t="n"/>
      <c r="M253" s="91" t="n"/>
      <c r="N253" s="91" t="n"/>
      <c r="O253" s="93" t="str">
        <f>IF(S253=0,"",SUMIFS('VÍNCULOS_CDF'!$H$6:$H$1005,'VÍNCULOS_CDF'!$O$6:$O$1005,A253,'VÍNCULOS_CDF'!$V$6:$V$1005,1))</f>
        <v/>
      </c>
      <c r="P253" s="95" t="str">
        <f>IF(S253=0,"",COUNTIFS('VÍNCULOS_CDF'!$O$6:$O$1005,A253,'VÍNCULOS_CDF'!$N$6:$N$1005,1))</f>
        <v/>
      </c>
      <c r="Q253" s="94" t="str">
        <f>IF(S253=0,"",IF(OR(B253="",F253=""),"Informações incompletas",IF(U253=1,"Possível duplicidade",IF(V253=0,"Destinador fora do cadastro",IF(AND(J253="Sim",N(P253)=0),"Necessita revisão de vínculos",IF(X253&gt;0,"Necessita revisão de vínculos",IF(J253="Sim","Conferido",IF(I253="Sim","Localizado, aguardando conferência","Cadastrado"))))))))</f>
        <v/>
      </c>
      <c r="R253" s="95" t="str">
        <f>IF(S253=0,"",COUNTIFS('VÍNCULOS_CDF'!$O$6:$O$1005,A253,'VÍNCULOS_CDF'!$AB$6:$AB$1005,1))</f>
        <v/>
      </c>
      <c r="S253" s="96">
        <f>IF(COUNTA(B253:N253)&gt;0,1,0)</f>
        <v>0</v>
      </c>
      <c r="T253" s="96" t="str">
        <f>IF(AND(S253=1,B253&lt;&gt;""),C253&amp;"|"&amp;TRIM(B253),"")</f>
        <v/>
      </c>
      <c r="U253" s="96">
        <f>IF(T253="",0,IF(SUMPRODUCT(--($T$6:$T$505=T253))&gt;1,1,0))</f>
        <v>0</v>
      </c>
      <c r="V253" s="96">
        <f>IF(F253="",0,IF(ISNUMBER(MATCH(F253,cmp_dest,0)),1,0))</f>
        <v>0</v>
      </c>
      <c r="W253" s="96">
        <f>IF(AND(S253=1,B253&lt;&gt;"",F253&lt;&gt;"",J253="Sim",U253=0),1,0)</f>
        <v>0</v>
      </c>
      <c r="X253" s="96">
        <f>IF(S253=0,0,COUNTIFS('VÍNCULOS_CDF'!$O$6:$O$1005,A253,'VÍNCULOS_CDF'!$Y$6:$Y$1005,1))</f>
        <v>0</v>
      </c>
      <c r="Y253" s="96" t="str">
        <f>IF(S253=1,A253&amp;" | CDF "&amp;IF(B253="","(sem número)",B253)&amp;" | "&amp;IF(F253="","(sem destinador)",F253),"")</f>
        <v/>
      </c>
      <c r="Z253" s="96" t="str">
        <f>IF(S253=1,COUNTIF($S$6:S253,1),"")</f>
        <v/>
      </c>
      <c r="AA253" s="96">
        <f>IF(S253=0,0,IF(AND(OR(r_ini="",AND(ISNUMBER(D253),D253&gt;=r_ini)),OR(r_fim="",AND(ISNUMBER(D253),D253&lt;=r_fim)),OR(r_de="",r_de="(Todos)",F253=r_de)),1,0))</f>
        <v>0</v>
      </c>
      <c r="AB253" s="96" t="str">
        <f>IF(AA253=1,IF(F253="",0,COUNTIF($F$6:$F$505,"&lt;"&amp;F253))*1000+248,"")</f>
        <v/>
      </c>
    </row>
    <row r="254">
      <c r="A254" s="89" t="inlineStr">
        <is>
          <t>CDF-000249</t>
        </is>
      </c>
      <c r="B254" s="90" t="n"/>
      <c r="C254" s="91" t="n"/>
      <c r="D254" s="92" t="n"/>
      <c r="E254" s="91" t="n"/>
      <c r="F254" s="91" t="n"/>
      <c r="G254" s="91" t="n"/>
      <c r="H254" s="91" t="n"/>
      <c r="I254" s="91" t="n"/>
      <c r="J254" s="91" t="n"/>
      <c r="K254" s="92" t="n"/>
      <c r="L254" s="91" t="n"/>
      <c r="M254" s="91" t="n"/>
      <c r="N254" s="91" t="n"/>
      <c r="O254" s="93" t="str">
        <f>IF(S254=0,"",SUMIFS('VÍNCULOS_CDF'!$H$6:$H$1005,'VÍNCULOS_CDF'!$O$6:$O$1005,A254,'VÍNCULOS_CDF'!$V$6:$V$1005,1))</f>
        <v/>
      </c>
      <c r="P254" s="95" t="str">
        <f>IF(S254=0,"",COUNTIFS('VÍNCULOS_CDF'!$O$6:$O$1005,A254,'VÍNCULOS_CDF'!$N$6:$N$1005,1))</f>
        <v/>
      </c>
      <c r="Q254" s="94" t="str">
        <f>IF(S254=0,"",IF(OR(B254="",F254=""),"Informações incompletas",IF(U254=1,"Possível duplicidade",IF(V254=0,"Destinador fora do cadastro",IF(AND(J254="Sim",N(P254)=0),"Necessita revisão de vínculos",IF(X254&gt;0,"Necessita revisão de vínculos",IF(J254="Sim","Conferido",IF(I254="Sim","Localizado, aguardando conferência","Cadastrado"))))))))</f>
        <v/>
      </c>
      <c r="R254" s="95" t="str">
        <f>IF(S254=0,"",COUNTIFS('VÍNCULOS_CDF'!$O$6:$O$1005,A254,'VÍNCULOS_CDF'!$AB$6:$AB$1005,1))</f>
        <v/>
      </c>
      <c r="S254" s="96">
        <f>IF(COUNTA(B254:N254)&gt;0,1,0)</f>
        <v>0</v>
      </c>
      <c r="T254" s="96" t="str">
        <f>IF(AND(S254=1,B254&lt;&gt;""),C254&amp;"|"&amp;TRIM(B254),"")</f>
        <v/>
      </c>
      <c r="U254" s="96">
        <f>IF(T254="",0,IF(SUMPRODUCT(--($T$6:$T$505=T254))&gt;1,1,0))</f>
        <v>0</v>
      </c>
      <c r="V254" s="96">
        <f>IF(F254="",0,IF(ISNUMBER(MATCH(F254,cmp_dest,0)),1,0))</f>
        <v>0</v>
      </c>
      <c r="W254" s="96">
        <f>IF(AND(S254=1,B254&lt;&gt;"",F254&lt;&gt;"",J254="Sim",U254=0),1,0)</f>
        <v>0</v>
      </c>
      <c r="X254" s="96">
        <f>IF(S254=0,0,COUNTIFS('VÍNCULOS_CDF'!$O$6:$O$1005,A254,'VÍNCULOS_CDF'!$Y$6:$Y$1005,1))</f>
        <v>0</v>
      </c>
      <c r="Y254" s="96" t="str">
        <f>IF(S254=1,A254&amp;" | CDF "&amp;IF(B254="","(sem número)",B254)&amp;" | "&amp;IF(F254="","(sem destinador)",F254),"")</f>
        <v/>
      </c>
      <c r="Z254" s="96" t="str">
        <f>IF(S254=1,COUNTIF($S$6:S254,1),"")</f>
        <v/>
      </c>
      <c r="AA254" s="96">
        <f>IF(S254=0,0,IF(AND(OR(r_ini="",AND(ISNUMBER(D254),D254&gt;=r_ini)),OR(r_fim="",AND(ISNUMBER(D254),D254&lt;=r_fim)),OR(r_de="",r_de="(Todos)",F254=r_de)),1,0))</f>
        <v>0</v>
      </c>
      <c r="AB254" s="96" t="str">
        <f>IF(AA254=1,IF(F254="",0,COUNTIF($F$6:$F$505,"&lt;"&amp;F254))*1000+249,"")</f>
        <v/>
      </c>
    </row>
    <row r="255">
      <c r="A255" s="89" t="inlineStr">
        <is>
          <t>CDF-000250</t>
        </is>
      </c>
      <c r="B255" s="90" t="n"/>
      <c r="C255" s="91" t="n"/>
      <c r="D255" s="92" t="n"/>
      <c r="E255" s="91" t="n"/>
      <c r="F255" s="91" t="n"/>
      <c r="G255" s="91" t="n"/>
      <c r="H255" s="91" t="n"/>
      <c r="I255" s="91" t="n"/>
      <c r="J255" s="91" t="n"/>
      <c r="K255" s="92" t="n"/>
      <c r="L255" s="91" t="n"/>
      <c r="M255" s="91" t="n"/>
      <c r="N255" s="91" t="n"/>
      <c r="O255" s="93" t="str">
        <f>IF(S255=0,"",SUMIFS('VÍNCULOS_CDF'!$H$6:$H$1005,'VÍNCULOS_CDF'!$O$6:$O$1005,A255,'VÍNCULOS_CDF'!$V$6:$V$1005,1))</f>
        <v/>
      </c>
      <c r="P255" s="95" t="str">
        <f>IF(S255=0,"",COUNTIFS('VÍNCULOS_CDF'!$O$6:$O$1005,A255,'VÍNCULOS_CDF'!$N$6:$N$1005,1))</f>
        <v/>
      </c>
      <c r="Q255" s="94" t="str">
        <f>IF(S255=0,"",IF(OR(B255="",F255=""),"Informações incompletas",IF(U255=1,"Possível duplicidade",IF(V255=0,"Destinador fora do cadastro",IF(AND(J255="Sim",N(P255)=0),"Necessita revisão de vínculos",IF(X255&gt;0,"Necessita revisão de vínculos",IF(J255="Sim","Conferido",IF(I255="Sim","Localizado, aguardando conferência","Cadastrado"))))))))</f>
        <v/>
      </c>
      <c r="R255" s="95" t="str">
        <f>IF(S255=0,"",COUNTIFS('VÍNCULOS_CDF'!$O$6:$O$1005,A255,'VÍNCULOS_CDF'!$AB$6:$AB$1005,1))</f>
        <v/>
      </c>
      <c r="S255" s="96">
        <f>IF(COUNTA(B255:N255)&gt;0,1,0)</f>
        <v>0</v>
      </c>
      <c r="T255" s="96" t="str">
        <f>IF(AND(S255=1,B255&lt;&gt;""),C255&amp;"|"&amp;TRIM(B255),"")</f>
        <v/>
      </c>
      <c r="U255" s="96">
        <f>IF(T255="",0,IF(SUMPRODUCT(--($T$6:$T$505=T255))&gt;1,1,0))</f>
        <v>0</v>
      </c>
      <c r="V255" s="96">
        <f>IF(F255="",0,IF(ISNUMBER(MATCH(F255,cmp_dest,0)),1,0))</f>
        <v>0</v>
      </c>
      <c r="W255" s="96">
        <f>IF(AND(S255=1,B255&lt;&gt;"",F255&lt;&gt;"",J255="Sim",U255=0),1,0)</f>
        <v>0</v>
      </c>
      <c r="X255" s="96">
        <f>IF(S255=0,0,COUNTIFS('VÍNCULOS_CDF'!$O$6:$O$1005,A255,'VÍNCULOS_CDF'!$Y$6:$Y$1005,1))</f>
        <v>0</v>
      </c>
      <c r="Y255" s="96" t="str">
        <f>IF(S255=1,A255&amp;" | CDF "&amp;IF(B255="","(sem número)",B255)&amp;" | "&amp;IF(F255="","(sem destinador)",F255),"")</f>
        <v/>
      </c>
      <c r="Z255" s="96" t="str">
        <f>IF(S255=1,COUNTIF($S$6:S255,1),"")</f>
        <v/>
      </c>
      <c r="AA255" s="96">
        <f>IF(S255=0,0,IF(AND(OR(r_ini="",AND(ISNUMBER(D255),D255&gt;=r_ini)),OR(r_fim="",AND(ISNUMBER(D255),D255&lt;=r_fim)),OR(r_de="",r_de="(Todos)",F255=r_de)),1,0))</f>
        <v>0</v>
      </c>
      <c r="AB255" s="96" t="str">
        <f>IF(AA255=1,IF(F255="",0,COUNTIF($F$6:$F$505,"&lt;"&amp;F255))*1000+250,"")</f>
        <v/>
      </c>
    </row>
    <row r="256">
      <c r="A256" s="89" t="inlineStr">
        <is>
          <t>CDF-000251</t>
        </is>
      </c>
      <c r="B256" s="90" t="n"/>
      <c r="C256" s="91" t="n"/>
      <c r="D256" s="92" t="n"/>
      <c r="E256" s="91" t="n"/>
      <c r="F256" s="91" t="n"/>
      <c r="G256" s="91" t="n"/>
      <c r="H256" s="91" t="n"/>
      <c r="I256" s="91" t="n"/>
      <c r="J256" s="91" t="n"/>
      <c r="K256" s="92" t="n"/>
      <c r="L256" s="91" t="n"/>
      <c r="M256" s="91" t="n"/>
      <c r="N256" s="91" t="n"/>
      <c r="O256" s="93" t="str">
        <f>IF(S256=0,"",SUMIFS('VÍNCULOS_CDF'!$H$6:$H$1005,'VÍNCULOS_CDF'!$O$6:$O$1005,A256,'VÍNCULOS_CDF'!$V$6:$V$1005,1))</f>
        <v/>
      </c>
      <c r="P256" s="95" t="str">
        <f>IF(S256=0,"",COUNTIFS('VÍNCULOS_CDF'!$O$6:$O$1005,A256,'VÍNCULOS_CDF'!$N$6:$N$1005,1))</f>
        <v/>
      </c>
      <c r="Q256" s="94" t="str">
        <f>IF(S256=0,"",IF(OR(B256="",F256=""),"Informações incompletas",IF(U256=1,"Possível duplicidade",IF(V256=0,"Destinador fora do cadastro",IF(AND(J256="Sim",N(P256)=0),"Necessita revisão de vínculos",IF(X256&gt;0,"Necessita revisão de vínculos",IF(J256="Sim","Conferido",IF(I256="Sim","Localizado, aguardando conferência","Cadastrado"))))))))</f>
        <v/>
      </c>
      <c r="R256" s="95" t="str">
        <f>IF(S256=0,"",COUNTIFS('VÍNCULOS_CDF'!$O$6:$O$1005,A256,'VÍNCULOS_CDF'!$AB$6:$AB$1005,1))</f>
        <v/>
      </c>
      <c r="S256" s="96">
        <f>IF(COUNTA(B256:N256)&gt;0,1,0)</f>
        <v>0</v>
      </c>
      <c r="T256" s="96" t="str">
        <f>IF(AND(S256=1,B256&lt;&gt;""),C256&amp;"|"&amp;TRIM(B256),"")</f>
        <v/>
      </c>
      <c r="U256" s="96">
        <f>IF(T256="",0,IF(SUMPRODUCT(--($T$6:$T$505=T256))&gt;1,1,0))</f>
        <v>0</v>
      </c>
      <c r="V256" s="96">
        <f>IF(F256="",0,IF(ISNUMBER(MATCH(F256,cmp_dest,0)),1,0))</f>
        <v>0</v>
      </c>
      <c r="W256" s="96">
        <f>IF(AND(S256=1,B256&lt;&gt;"",F256&lt;&gt;"",J256="Sim",U256=0),1,0)</f>
        <v>0</v>
      </c>
      <c r="X256" s="96">
        <f>IF(S256=0,0,COUNTIFS('VÍNCULOS_CDF'!$O$6:$O$1005,A256,'VÍNCULOS_CDF'!$Y$6:$Y$1005,1))</f>
        <v>0</v>
      </c>
      <c r="Y256" s="96" t="str">
        <f>IF(S256=1,A256&amp;" | CDF "&amp;IF(B256="","(sem número)",B256)&amp;" | "&amp;IF(F256="","(sem destinador)",F256),"")</f>
        <v/>
      </c>
      <c r="Z256" s="96" t="str">
        <f>IF(S256=1,COUNTIF($S$6:S256,1),"")</f>
        <v/>
      </c>
      <c r="AA256" s="96">
        <f>IF(S256=0,0,IF(AND(OR(r_ini="",AND(ISNUMBER(D256),D256&gt;=r_ini)),OR(r_fim="",AND(ISNUMBER(D256),D256&lt;=r_fim)),OR(r_de="",r_de="(Todos)",F256=r_de)),1,0))</f>
        <v>0</v>
      </c>
      <c r="AB256" s="96" t="str">
        <f>IF(AA256=1,IF(F256="",0,COUNTIF($F$6:$F$505,"&lt;"&amp;F256))*1000+251,"")</f>
        <v/>
      </c>
    </row>
    <row r="257">
      <c r="A257" s="89" t="inlineStr">
        <is>
          <t>CDF-000252</t>
        </is>
      </c>
      <c r="B257" s="90" t="n"/>
      <c r="C257" s="91" t="n"/>
      <c r="D257" s="92" t="n"/>
      <c r="E257" s="91" t="n"/>
      <c r="F257" s="91" t="n"/>
      <c r="G257" s="91" t="n"/>
      <c r="H257" s="91" t="n"/>
      <c r="I257" s="91" t="n"/>
      <c r="J257" s="91" t="n"/>
      <c r="K257" s="92" t="n"/>
      <c r="L257" s="91" t="n"/>
      <c r="M257" s="91" t="n"/>
      <c r="N257" s="91" t="n"/>
      <c r="O257" s="93" t="str">
        <f>IF(S257=0,"",SUMIFS('VÍNCULOS_CDF'!$H$6:$H$1005,'VÍNCULOS_CDF'!$O$6:$O$1005,A257,'VÍNCULOS_CDF'!$V$6:$V$1005,1))</f>
        <v/>
      </c>
      <c r="P257" s="95" t="str">
        <f>IF(S257=0,"",COUNTIFS('VÍNCULOS_CDF'!$O$6:$O$1005,A257,'VÍNCULOS_CDF'!$N$6:$N$1005,1))</f>
        <v/>
      </c>
      <c r="Q257" s="94" t="str">
        <f>IF(S257=0,"",IF(OR(B257="",F257=""),"Informações incompletas",IF(U257=1,"Possível duplicidade",IF(V257=0,"Destinador fora do cadastro",IF(AND(J257="Sim",N(P257)=0),"Necessita revisão de vínculos",IF(X257&gt;0,"Necessita revisão de vínculos",IF(J257="Sim","Conferido",IF(I257="Sim","Localizado, aguardando conferência","Cadastrado"))))))))</f>
        <v/>
      </c>
      <c r="R257" s="95" t="str">
        <f>IF(S257=0,"",COUNTIFS('VÍNCULOS_CDF'!$O$6:$O$1005,A257,'VÍNCULOS_CDF'!$AB$6:$AB$1005,1))</f>
        <v/>
      </c>
      <c r="S257" s="96">
        <f>IF(COUNTA(B257:N257)&gt;0,1,0)</f>
        <v>0</v>
      </c>
      <c r="T257" s="96" t="str">
        <f>IF(AND(S257=1,B257&lt;&gt;""),C257&amp;"|"&amp;TRIM(B257),"")</f>
        <v/>
      </c>
      <c r="U257" s="96">
        <f>IF(T257="",0,IF(SUMPRODUCT(--($T$6:$T$505=T257))&gt;1,1,0))</f>
        <v>0</v>
      </c>
      <c r="V257" s="96">
        <f>IF(F257="",0,IF(ISNUMBER(MATCH(F257,cmp_dest,0)),1,0))</f>
        <v>0</v>
      </c>
      <c r="W257" s="96">
        <f>IF(AND(S257=1,B257&lt;&gt;"",F257&lt;&gt;"",J257="Sim",U257=0),1,0)</f>
        <v>0</v>
      </c>
      <c r="X257" s="96">
        <f>IF(S257=0,0,COUNTIFS('VÍNCULOS_CDF'!$O$6:$O$1005,A257,'VÍNCULOS_CDF'!$Y$6:$Y$1005,1))</f>
        <v>0</v>
      </c>
      <c r="Y257" s="96" t="str">
        <f>IF(S257=1,A257&amp;" | CDF "&amp;IF(B257="","(sem número)",B257)&amp;" | "&amp;IF(F257="","(sem destinador)",F257),"")</f>
        <v/>
      </c>
      <c r="Z257" s="96" t="str">
        <f>IF(S257=1,COUNTIF($S$6:S257,1),"")</f>
        <v/>
      </c>
      <c r="AA257" s="96">
        <f>IF(S257=0,0,IF(AND(OR(r_ini="",AND(ISNUMBER(D257),D257&gt;=r_ini)),OR(r_fim="",AND(ISNUMBER(D257),D257&lt;=r_fim)),OR(r_de="",r_de="(Todos)",F257=r_de)),1,0))</f>
        <v>0</v>
      </c>
      <c r="AB257" s="96" t="str">
        <f>IF(AA257=1,IF(F257="",0,COUNTIF($F$6:$F$505,"&lt;"&amp;F257))*1000+252,"")</f>
        <v/>
      </c>
    </row>
    <row r="258">
      <c r="A258" s="89" t="inlineStr">
        <is>
          <t>CDF-000253</t>
        </is>
      </c>
      <c r="B258" s="90" t="n"/>
      <c r="C258" s="91" t="n"/>
      <c r="D258" s="92" t="n"/>
      <c r="E258" s="91" t="n"/>
      <c r="F258" s="91" t="n"/>
      <c r="G258" s="91" t="n"/>
      <c r="H258" s="91" t="n"/>
      <c r="I258" s="91" t="n"/>
      <c r="J258" s="91" t="n"/>
      <c r="K258" s="92" t="n"/>
      <c r="L258" s="91" t="n"/>
      <c r="M258" s="91" t="n"/>
      <c r="N258" s="91" t="n"/>
      <c r="O258" s="93" t="str">
        <f>IF(S258=0,"",SUMIFS('VÍNCULOS_CDF'!$H$6:$H$1005,'VÍNCULOS_CDF'!$O$6:$O$1005,A258,'VÍNCULOS_CDF'!$V$6:$V$1005,1))</f>
        <v/>
      </c>
      <c r="P258" s="95" t="str">
        <f>IF(S258=0,"",COUNTIFS('VÍNCULOS_CDF'!$O$6:$O$1005,A258,'VÍNCULOS_CDF'!$N$6:$N$1005,1))</f>
        <v/>
      </c>
      <c r="Q258" s="94" t="str">
        <f>IF(S258=0,"",IF(OR(B258="",F258=""),"Informações incompletas",IF(U258=1,"Possível duplicidade",IF(V258=0,"Destinador fora do cadastro",IF(AND(J258="Sim",N(P258)=0),"Necessita revisão de vínculos",IF(X258&gt;0,"Necessita revisão de vínculos",IF(J258="Sim","Conferido",IF(I258="Sim","Localizado, aguardando conferência","Cadastrado"))))))))</f>
        <v/>
      </c>
      <c r="R258" s="95" t="str">
        <f>IF(S258=0,"",COUNTIFS('VÍNCULOS_CDF'!$O$6:$O$1005,A258,'VÍNCULOS_CDF'!$AB$6:$AB$1005,1))</f>
        <v/>
      </c>
      <c r="S258" s="96">
        <f>IF(COUNTA(B258:N258)&gt;0,1,0)</f>
        <v>0</v>
      </c>
      <c r="T258" s="96" t="str">
        <f>IF(AND(S258=1,B258&lt;&gt;""),C258&amp;"|"&amp;TRIM(B258),"")</f>
        <v/>
      </c>
      <c r="U258" s="96">
        <f>IF(T258="",0,IF(SUMPRODUCT(--($T$6:$T$505=T258))&gt;1,1,0))</f>
        <v>0</v>
      </c>
      <c r="V258" s="96">
        <f>IF(F258="",0,IF(ISNUMBER(MATCH(F258,cmp_dest,0)),1,0))</f>
        <v>0</v>
      </c>
      <c r="W258" s="96">
        <f>IF(AND(S258=1,B258&lt;&gt;"",F258&lt;&gt;"",J258="Sim",U258=0),1,0)</f>
        <v>0</v>
      </c>
      <c r="X258" s="96">
        <f>IF(S258=0,0,COUNTIFS('VÍNCULOS_CDF'!$O$6:$O$1005,A258,'VÍNCULOS_CDF'!$Y$6:$Y$1005,1))</f>
        <v>0</v>
      </c>
      <c r="Y258" s="96" t="str">
        <f>IF(S258=1,A258&amp;" | CDF "&amp;IF(B258="","(sem número)",B258)&amp;" | "&amp;IF(F258="","(sem destinador)",F258),"")</f>
        <v/>
      </c>
      <c r="Z258" s="96" t="str">
        <f>IF(S258=1,COUNTIF($S$6:S258,1),"")</f>
        <v/>
      </c>
      <c r="AA258" s="96">
        <f>IF(S258=0,0,IF(AND(OR(r_ini="",AND(ISNUMBER(D258),D258&gt;=r_ini)),OR(r_fim="",AND(ISNUMBER(D258),D258&lt;=r_fim)),OR(r_de="",r_de="(Todos)",F258=r_de)),1,0))</f>
        <v>0</v>
      </c>
      <c r="AB258" s="96" t="str">
        <f>IF(AA258=1,IF(F258="",0,COUNTIF($F$6:$F$505,"&lt;"&amp;F258))*1000+253,"")</f>
        <v/>
      </c>
    </row>
    <row r="259">
      <c r="A259" s="89" t="inlineStr">
        <is>
          <t>CDF-000254</t>
        </is>
      </c>
      <c r="B259" s="90" t="n"/>
      <c r="C259" s="91" t="n"/>
      <c r="D259" s="92" t="n"/>
      <c r="E259" s="91" t="n"/>
      <c r="F259" s="91" t="n"/>
      <c r="G259" s="91" t="n"/>
      <c r="H259" s="91" t="n"/>
      <c r="I259" s="91" t="n"/>
      <c r="J259" s="91" t="n"/>
      <c r="K259" s="92" t="n"/>
      <c r="L259" s="91" t="n"/>
      <c r="M259" s="91" t="n"/>
      <c r="N259" s="91" t="n"/>
      <c r="O259" s="93" t="str">
        <f>IF(S259=0,"",SUMIFS('VÍNCULOS_CDF'!$H$6:$H$1005,'VÍNCULOS_CDF'!$O$6:$O$1005,A259,'VÍNCULOS_CDF'!$V$6:$V$1005,1))</f>
        <v/>
      </c>
      <c r="P259" s="95" t="str">
        <f>IF(S259=0,"",COUNTIFS('VÍNCULOS_CDF'!$O$6:$O$1005,A259,'VÍNCULOS_CDF'!$N$6:$N$1005,1))</f>
        <v/>
      </c>
      <c r="Q259" s="94" t="str">
        <f>IF(S259=0,"",IF(OR(B259="",F259=""),"Informações incompletas",IF(U259=1,"Possível duplicidade",IF(V259=0,"Destinador fora do cadastro",IF(AND(J259="Sim",N(P259)=0),"Necessita revisão de vínculos",IF(X259&gt;0,"Necessita revisão de vínculos",IF(J259="Sim","Conferido",IF(I259="Sim","Localizado, aguardando conferência","Cadastrado"))))))))</f>
        <v/>
      </c>
      <c r="R259" s="95" t="str">
        <f>IF(S259=0,"",COUNTIFS('VÍNCULOS_CDF'!$O$6:$O$1005,A259,'VÍNCULOS_CDF'!$AB$6:$AB$1005,1))</f>
        <v/>
      </c>
      <c r="S259" s="96">
        <f>IF(COUNTA(B259:N259)&gt;0,1,0)</f>
        <v>0</v>
      </c>
      <c r="T259" s="96" t="str">
        <f>IF(AND(S259=1,B259&lt;&gt;""),C259&amp;"|"&amp;TRIM(B259),"")</f>
        <v/>
      </c>
      <c r="U259" s="96">
        <f>IF(T259="",0,IF(SUMPRODUCT(--($T$6:$T$505=T259))&gt;1,1,0))</f>
        <v>0</v>
      </c>
      <c r="V259" s="96">
        <f>IF(F259="",0,IF(ISNUMBER(MATCH(F259,cmp_dest,0)),1,0))</f>
        <v>0</v>
      </c>
      <c r="W259" s="96">
        <f>IF(AND(S259=1,B259&lt;&gt;"",F259&lt;&gt;"",J259="Sim",U259=0),1,0)</f>
        <v>0</v>
      </c>
      <c r="X259" s="96">
        <f>IF(S259=0,0,COUNTIFS('VÍNCULOS_CDF'!$O$6:$O$1005,A259,'VÍNCULOS_CDF'!$Y$6:$Y$1005,1))</f>
        <v>0</v>
      </c>
      <c r="Y259" s="96" t="str">
        <f>IF(S259=1,A259&amp;" | CDF "&amp;IF(B259="","(sem número)",B259)&amp;" | "&amp;IF(F259="","(sem destinador)",F259),"")</f>
        <v/>
      </c>
      <c r="Z259" s="96" t="str">
        <f>IF(S259=1,COUNTIF($S$6:S259,1),"")</f>
        <v/>
      </c>
      <c r="AA259" s="96">
        <f>IF(S259=0,0,IF(AND(OR(r_ini="",AND(ISNUMBER(D259),D259&gt;=r_ini)),OR(r_fim="",AND(ISNUMBER(D259),D259&lt;=r_fim)),OR(r_de="",r_de="(Todos)",F259=r_de)),1,0))</f>
        <v>0</v>
      </c>
      <c r="AB259" s="96" t="str">
        <f>IF(AA259=1,IF(F259="",0,COUNTIF($F$6:$F$505,"&lt;"&amp;F259))*1000+254,"")</f>
        <v/>
      </c>
    </row>
    <row r="260">
      <c r="A260" s="89" t="inlineStr">
        <is>
          <t>CDF-000255</t>
        </is>
      </c>
      <c r="B260" s="90" t="n"/>
      <c r="C260" s="91" t="n"/>
      <c r="D260" s="92" t="n"/>
      <c r="E260" s="91" t="n"/>
      <c r="F260" s="91" t="n"/>
      <c r="G260" s="91" t="n"/>
      <c r="H260" s="91" t="n"/>
      <c r="I260" s="91" t="n"/>
      <c r="J260" s="91" t="n"/>
      <c r="K260" s="92" t="n"/>
      <c r="L260" s="91" t="n"/>
      <c r="M260" s="91" t="n"/>
      <c r="N260" s="91" t="n"/>
      <c r="O260" s="93" t="str">
        <f>IF(S260=0,"",SUMIFS('VÍNCULOS_CDF'!$H$6:$H$1005,'VÍNCULOS_CDF'!$O$6:$O$1005,A260,'VÍNCULOS_CDF'!$V$6:$V$1005,1))</f>
        <v/>
      </c>
      <c r="P260" s="95" t="str">
        <f>IF(S260=0,"",COUNTIFS('VÍNCULOS_CDF'!$O$6:$O$1005,A260,'VÍNCULOS_CDF'!$N$6:$N$1005,1))</f>
        <v/>
      </c>
      <c r="Q260" s="94" t="str">
        <f>IF(S260=0,"",IF(OR(B260="",F260=""),"Informações incompletas",IF(U260=1,"Possível duplicidade",IF(V260=0,"Destinador fora do cadastro",IF(AND(J260="Sim",N(P260)=0),"Necessita revisão de vínculos",IF(X260&gt;0,"Necessita revisão de vínculos",IF(J260="Sim","Conferido",IF(I260="Sim","Localizado, aguardando conferência","Cadastrado"))))))))</f>
        <v/>
      </c>
      <c r="R260" s="95" t="str">
        <f>IF(S260=0,"",COUNTIFS('VÍNCULOS_CDF'!$O$6:$O$1005,A260,'VÍNCULOS_CDF'!$AB$6:$AB$1005,1))</f>
        <v/>
      </c>
      <c r="S260" s="96">
        <f>IF(COUNTA(B260:N260)&gt;0,1,0)</f>
        <v>0</v>
      </c>
      <c r="T260" s="96" t="str">
        <f>IF(AND(S260=1,B260&lt;&gt;""),C260&amp;"|"&amp;TRIM(B260),"")</f>
        <v/>
      </c>
      <c r="U260" s="96">
        <f>IF(T260="",0,IF(SUMPRODUCT(--($T$6:$T$505=T260))&gt;1,1,0))</f>
        <v>0</v>
      </c>
      <c r="V260" s="96">
        <f>IF(F260="",0,IF(ISNUMBER(MATCH(F260,cmp_dest,0)),1,0))</f>
        <v>0</v>
      </c>
      <c r="W260" s="96">
        <f>IF(AND(S260=1,B260&lt;&gt;"",F260&lt;&gt;"",J260="Sim",U260=0),1,0)</f>
        <v>0</v>
      </c>
      <c r="X260" s="96">
        <f>IF(S260=0,0,COUNTIFS('VÍNCULOS_CDF'!$O$6:$O$1005,A260,'VÍNCULOS_CDF'!$Y$6:$Y$1005,1))</f>
        <v>0</v>
      </c>
      <c r="Y260" s="96" t="str">
        <f>IF(S260=1,A260&amp;" | CDF "&amp;IF(B260="","(sem número)",B260)&amp;" | "&amp;IF(F260="","(sem destinador)",F260),"")</f>
        <v/>
      </c>
      <c r="Z260" s="96" t="str">
        <f>IF(S260=1,COUNTIF($S$6:S260,1),"")</f>
        <v/>
      </c>
      <c r="AA260" s="96">
        <f>IF(S260=0,0,IF(AND(OR(r_ini="",AND(ISNUMBER(D260),D260&gt;=r_ini)),OR(r_fim="",AND(ISNUMBER(D260),D260&lt;=r_fim)),OR(r_de="",r_de="(Todos)",F260=r_de)),1,0))</f>
        <v>0</v>
      </c>
      <c r="AB260" s="96" t="str">
        <f>IF(AA260=1,IF(F260="",0,COUNTIF($F$6:$F$505,"&lt;"&amp;F260))*1000+255,"")</f>
        <v/>
      </c>
    </row>
    <row r="261">
      <c r="A261" s="89" t="inlineStr">
        <is>
          <t>CDF-000256</t>
        </is>
      </c>
      <c r="B261" s="90" t="n"/>
      <c r="C261" s="91" t="n"/>
      <c r="D261" s="92" t="n"/>
      <c r="E261" s="91" t="n"/>
      <c r="F261" s="91" t="n"/>
      <c r="G261" s="91" t="n"/>
      <c r="H261" s="91" t="n"/>
      <c r="I261" s="91" t="n"/>
      <c r="J261" s="91" t="n"/>
      <c r="K261" s="92" t="n"/>
      <c r="L261" s="91" t="n"/>
      <c r="M261" s="91" t="n"/>
      <c r="N261" s="91" t="n"/>
      <c r="O261" s="93" t="str">
        <f>IF(S261=0,"",SUMIFS('VÍNCULOS_CDF'!$H$6:$H$1005,'VÍNCULOS_CDF'!$O$6:$O$1005,A261,'VÍNCULOS_CDF'!$V$6:$V$1005,1))</f>
        <v/>
      </c>
      <c r="P261" s="95" t="str">
        <f>IF(S261=0,"",COUNTIFS('VÍNCULOS_CDF'!$O$6:$O$1005,A261,'VÍNCULOS_CDF'!$N$6:$N$1005,1))</f>
        <v/>
      </c>
      <c r="Q261" s="94" t="str">
        <f>IF(S261=0,"",IF(OR(B261="",F261=""),"Informações incompletas",IF(U261=1,"Possível duplicidade",IF(V261=0,"Destinador fora do cadastro",IF(AND(J261="Sim",N(P261)=0),"Necessita revisão de vínculos",IF(X261&gt;0,"Necessita revisão de vínculos",IF(J261="Sim","Conferido",IF(I261="Sim","Localizado, aguardando conferência","Cadastrado"))))))))</f>
        <v/>
      </c>
      <c r="R261" s="95" t="str">
        <f>IF(S261=0,"",COUNTIFS('VÍNCULOS_CDF'!$O$6:$O$1005,A261,'VÍNCULOS_CDF'!$AB$6:$AB$1005,1))</f>
        <v/>
      </c>
      <c r="S261" s="96">
        <f>IF(COUNTA(B261:N261)&gt;0,1,0)</f>
        <v>0</v>
      </c>
      <c r="T261" s="96" t="str">
        <f>IF(AND(S261=1,B261&lt;&gt;""),C261&amp;"|"&amp;TRIM(B261),"")</f>
        <v/>
      </c>
      <c r="U261" s="96">
        <f>IF(T261="",0,IF(SUMPRODUCT(--($T$6:$T$505=T261))&gt;1,1,0))</f>
        <v>0</v>
      </c>
      <c r="V261" s="96">
        <f>IF(F261="",0,IF(ISNUMBER(MATCH(F261,cmp_dest,0)),1,0))</f>
        <v>0</v>
      </c>
      <c r="W261" s="96">
        <f>IF(AND(S261=1,B261&lt;&gt;"",F261&lt;&gt;"",J261="Sim",U261=0),1,0)</f>
        <v>0</v>
      </c>
      <c r="X261" s="96">
        <f>IF(S261=0,0,COUNTIFS('VÍNCULOS_CDF'!$O$6:$O$1005,A261,'VÍNCULOS_CDF'!$Y$6:$Y$1005,1))</f>
        <v>0</v>
      </c>
      <c r="Y261" s="96" t="str">
        <f>IF(S261=1,A261&amp;" | CDF "&amp;IF(B261="","(sem número)",B261)&amp;" | "&amp;IF(F261="","(sem destinador)",F261),"")</f>
        <v/>
      </c>
      <c r="Z261" s="96" t="str">
        <f>IF(S261=1,COUNTIF($S$6:S261,1),"")</f>
        <v/>
      </c>
      <c r="AA261" s="96">
        <f>IF(S261=0,0,IF(AND(OR(r_ini="",AND(ISNUMBER(D261),D261&gt;=r_ini)),OR(r_fim="",AND(ISNUMBER(D261),D261&lt;=r_fim)),OR(r_de="",r_de="(Todos)",F261=r_de)),1,0))</f>
        <v>0</v>
      </c>
      <c r="AB261" s="96" t="str">
        <f>IF(AA261=1,IF(F261="",0,COUNTIF($F$6:$F$505,"&lt;"&amp;F261))*1000+256,"")</f>
        <v/>
      </c>
    </row>
    <row r="262">
      <c r="A262" s="89" t="inlineStr">
        <is>
          <t>CDF-000257</t>
        </is>
      </c>
      <c r="B262" s="90" t="n"/>
      <c r="C262" s="91" t="n"/>
      <c r="D262" s="92" t="n"/>
      <c r="E262" s="91" t="n"/>
      <c r="F262" s="91" t="n"/>
      <c r="G262" s="91" t="n"/>
      <c r="H262" s="91" t="n"/>
      <c r="I262" s="91" t="n"/>
      <c r="J262" s="91" t="n"/>
      <c r="K262" s="92" t="n"/>
      <c r="L262" s="91" t="n"/>
      <c r="M262" s="91" t="n"/>
      <c r="N262" s="91" t="n"/>
      <c r="O262" s="93" t="str">
        <f>IF(S262=0,"",SUMIFS('VÍNCULOS_CDF'!$H$6:$H$1005,'VÍNCULOS_CDF'!$O$6:$O$1005,A262,'VÍNCULOS_CDF'!$V$6:$V$1005,1))</f>
        <v/>
      </c>
      <c r="P262" s="95" t="str">
        <f>IF(S262=0,"",COUNTIFS('VÍNCULOS_CDF'!$O$6:$O$1005,A262,'VÍNCULOS_CDF'!$N$6:$N$1005,1))</f>
        <v/>
      </c>
      <c r="Q262" s="94" t="str">
        <f>IF(S262=0,"",IF(OR(B262="",F262=""),"Informações incompletas",IF(U262=1,"Possível duplicidade",IF(V262=0,"Destinador fora do cadastro",IF(AND(J262="Sim",N(P262)=0),"Necessita revisão de vínculos",IF(X262&gt;0,"Necessita revisão de vínculos",IF(J262="Sim","Conferido",IF(I262="Sim","Localizado, aguardando conferência","Cadastrado"))))))))</f>
        <v/>
      </c>
      <c r="R262" s="95" t="str">
        <f>IF(S262=0,"",COUNTIFS('VÍNCULOS_CDF'!$O$6:$O$1005,A262,'VÍNCULOS_CDF'!$AB$6:$AB$1005,1))</f>
        <v/>
      </c>
      <c r="S262" s="96">
        <f>IF(COUNTA(B262:N262)&gt;0,1,0)</f>
        <v>0</v>
      </c>
      <c r="T262" s="96" t="str">
        <f>IF(AND(S262=1,B262&lt;&gt;""),C262&amp;"|"&amp;TRIM(B262),"")</f>
        <v/>
      </c>
      <c r="U262" s="96">
        <f>IF(T262="",0,IF(SUMPRODUCT(--($T$6:$T$505=T262))&gt;1,1,0))</f>
        <v>0</v>
      </c>
      <c r="V262" s="96">
        <f>IF(F262="",0,IF(ISNUMBER(MATCH(F262,cmp_dest,0)),1,0))</f>
        <v>0</v>
      </c>
      <c r="W262" s="96">
        <f>IF(AND(S262=1,B262&lt;&gt;"",F262&lt;&gt;"",J262="Sim",U262=0),1,0)</f>
        <v>0</v>
      </c>
      <c r="X262" s="96">
        <f>IF(S262=0,0,COUNTIFS('VÍNCULOS_CDF'!$O$6:$O$1005,A262,'VÍNCULOS_CDF'!$Y$6:$Y$1005,1))</f>
        <v>0</v>
      </c>
      <c r="Y262" s="96" t="str">
        <f>IF(S262=1,A262&amp;" | CDF "&amp;IF(B262="","(sem número)",B262)&amp;" | "&amp;IF(F262="","(sem destinador)",F262),"")</f>
        <v/>
      </c>
      <c r="Z262" s="96" t="str">
        <f>IF(S262=1,COUNTIF($S$6:S262,1),"")</f>
        <v/>
      </c>
      <c r="AA262" s="96">
        <f>IF(S262=0,0,IF(AND(OR(r_ini="",AND(ISNUMBER(D262),D262&gt;=r_ini)),OR(r_fim="",AND(ISNUMBER(D262),D262&lt;=r_fim)),OR(r_de="",r_de="(Todos)",F262=r_de)),1,0))</f>
        <v>0</v>
      </c>
      <c r="AB262" s="96" t="str">
        <f>IF(AA262=1,IF(F262="",0,COUNTIF($F$6:$F$505,"&lt;"&amp;F262))*1000+257,"")</f>
        <v/>
      </c>
    </row>
    <row r="263">
      <c r="A263" s="89" t="inlineStr">
        <is>
          <t>CDF-000258</t>
        </is>
      </c>
      <c r="B263" s="90" t="n"/>
      <c r="C263" s="91" t="n"/>
      <c r="D263" s="92" t="n"/>
      <c r="E263" s="91" t="n"/>
      <c r="F263" s="91" t="n"/>
      <c r="G263" s="91" t="n"/>
      <c r="H263" s="91" t="n"/>
      <c r="I263" s="91" t="n"/>
      <c r="J263" s="91" t="n"/>
      <c r="K263" s="92" t="n"/>
      <c r="L263" s="91" t="n"/>
      <c r="M263" s="91" t="n"/>
      <c r="N263" s="91" t="n"/>
      <c r="O263" s="93" t="str">
        <f>IF(S263=0,"",SUMIFS('VÍNCULOS_CDF'!$H$6:$H$1005,'VÍNCULOS_CDF'!$O$6:$O$1005,A263,'VÍNCULOS_CDF'!$V$6:$V$1005,1))</f>
        <v/>
      </c>
      <c r="P263" s="95" t="str">
        <f>IF(S263=0,"",COUNTIFS('VÍNCULOS_CDF'!$O$6:$O$1005,A263,'VÍNCULOS_CDF'!$N$6:$N$1005,1))</f>
        <v/>
      </c>
      <c r="Q263" s="94" t="str">
        <f>IF(S263=0,"",IF(OR(B263="",F263=""),"Informações incompletas",IF(U263=1,"Possível duplicidade",IF(V263=0,"Destinador fora do cadastro",IF(AND(J263="Sim",N(P263)=0),"Necessita revisão de vínculos",IF(X263&gt;0,"Necessita revisão de vínculos",IF(J263="Sim","Conferido",IF(I263="Sim","Localizado, aguardando conferência","Cadastrado"))))))))</f>
        <v/>
      </c>
      <c r="R263" s="95" t="str">
        <f>IF(S263=0,"",COUNTIFS('VÍNCULOS_CDF'!$O$6:$O$1005,A263,'VÍNCULOS_CDF'!$AB$6:$AB$1005,1))</f>
        <v/>
      </c>
      <c r="S263" s="96">
        <f>IF(COUNTA(B263:N263)&gt;0,1,0)</f>
        <v>0</v>
      </c>
      <c r="T263" s="96" t="str">
        <f>IF(AND(S263=1,B263&lt;&gt;""),C263&amp;"|"&amp;TRIM(B263),"")</f>
        <v/>
      </c>
      <c r="U263" s="96">
        <f>IF(T263="",0,IF(SUMPRODUCT(--($T$6:$T$505=T263))&gt;1,1,0))</f>
        <v>0</v>
      </c>
      <c r="V263" s="96">
        <f>IF(F263="",0,IF(ISNUMBER(MATCH(F263,cmp_dest,0)),1,0))</f>
        <v>0</v>
      </c>
      <c r="W263" s="96">
        <f>IF(AND(S263=1,B263&lt;&gt;"",F263&lt;&gt;"",J263="Sim",U263=0),1,0)</f>
        <v>0</v>
      </c>
      <c r="X263" s="96">
        <f>IF(S263=0,0,COUNTIFS('VÍNCULOS_CDF'!$O$6:$O$1005,A263,'VÍNCULOS_CDF'!$Y$6:$Y$1005,1))</f>
        <v>0</v>
      </c>
      <c r="Y263" s="96" t="str">
        <f>IF(S263=1,A263&amp;" | CDF "&amp;IF(B263="","(sem número)",B263)&amp;" | "&amp;IF(F263="","(sem destinador)",F263),"")</f>
        <v/>
      </c>
      <c r="Z263" s="96" t="str">
        <f>IF(S263=1,COUNTIF($S$6:S263,1),"")</f>
        <v/>
      </c>
      <c r="AA263" s="96">
        <f>IF(S263=0,0,IF(AND(OR(r_ini="",AND(ISNUMBER(D263),D263&gt;=r_ini)),OR(r_fim="",AND(ISNUMBER(D263),D263&lt;=r_fim)),OR(r_de="",r_de="(Todos)",F263=r_de)),1,0))</f>
        <v>0</v>
      </c>
      <c r="AB263" s="96" t="str">
        <f>IF(AA263=1,IF(F263="",0,COUNTIF($F$6:$F$505,"&lt;"&amp;F263))*1000+258,"")</f>
        <v/>
      </c>
    </row>
    <row r="264">
      <c r="A264" s="89" t="inlineStr">
        <is>
          <t>CDF-000259</t>
        </is>
      </c>
      <c r="B264" s="90" t="n"/>
      <c r="C264" s="91" t="n"/>
      <c r="D264" s="92" t="n"/>
      <c r="E264" s="91" t="n"/>
      <c r="F264" s="91" t="n"/>
      <c r="G264" s="91" t="n"/>
      <c r="H264" s="91" t="n"/>
      <c r="I264" s="91" t="n"/>
      <c r="J264" s="91" t="n"/>
      <c r="K264" s="92" t="n"/>
      <c r="L264" s="91" t="n"/>
      <c r="M264" s="91" t="n"/>
      <c r="N264" s="91" t="n"/>
      <c r="O264" s="93" t="str">
        <f>IF(S264=0,"",SUMIFS('VÍNCULOS_CDF'!$H$6:$H$1005,'VÍNCULOS_CDF'!$O$6:$O$1005,A264,'VÍNCULOS_CDF'!$V$6:$V$1005,1))</f>
        <v/>
      </c>
      <c r="P264" s="95" t="str">
        <f>IF(S264=0,"",COUNTIFS('VÍNCULOS_CDF'!$O$6:$O$1005,A264,'VÍNCULOS_CDF'!$N$6:$N$1005,1))</f>
        <v/>
      </c>
      <c r="Q264" s="94" t="str">
        <f>IF(S264=0,"",IF(OR(B264="",F264=""),"Informações incompletas",IF(U264=1,"Possível duplicidade",IF(V264=0,"Destinador fora do cadastro",IF(AND(J264="Sim",N(P264)=0),"Necessita revisão de vínculos",IF(X264&gt;0,"Necessita revisão de vínculos",IF(J264="Sim","Conferido",IF(I264="Sim","Localizado, aguardando conferência","Cadastrado"))))))))</f>
        <v/>
      </c>
      <c r="R264" s="95" t="str">
        <f>IF(S264=0,"",COUNTIFS('VÍNCULOS_CDF'!$O$6:$O$1005,A264,'VÍNCULOS_CDF'!$AB$6:$AB$1005,1))</f>
        <v/>
      </c>
      <c r="S264" s="96">
        <f>IF(COUNTA(B264:N264)&gt;0,1,0)</f>
        <v>0</v>
      </c>
      <c r="T264" s="96" t="str">
        <f>IF(AND(S264=1,B264&lt;&gt;""),C264&amp;"|"&amp;TRIM(B264),"")</f>
        <v/>
      </c>
      <c r="U264" s="96">
        <f>IF(T264="",0,IF(SUMPRODUCT(--($T$6:$T$505=T264))&gt;1,1,0))</f>
        <v>0</v>
      </c>
      <c r="V264" s="96">
        <f>IF(F264="",0,IF(ISNUMBER(MATCH(F264,cmp_dest,0)),1,0))</f>
        <v>0</v>
      </c>
      <c r="W264" s="96">
        <f>IF(AND(S264=1,B264&lt;&gt;"",F264&lt;&gt;"",J264="Sim",U264=0),1,0)</f>
        <v>0</v>
      </c>
      <c r="X264" s="96">
        <f>IF(S264=0,0,COUNTIFS('VÍNCULOS_CDF'!$O$6:$O$1005,A264,'VÍNCULOS_CDF'!$Y$6:$Y$1005,1))</f>
        <v>0</v>
      </c>
      <c r="Y264" s="96" t="str">
        <f>IF(S264=1,A264&amp;" | CDF "&amp;IF(B264="","(sem número)",B264)&amp;" | "&amp;IF(F264="","(sem destinador)",F264),"")</f>
        <v/>
      </c>
      <c r="Z264" s="96" t="str">
        <f>IF(S264=1,COUNTIF($S$6:S264,1),"")</f>
        <v/>
      </c>
      <c r="AA264" s="96">
        <f>IF(S264=0,0,IF(AND(OR(r_ini="",AND(ISNUMBER(D264),D264&gt;=r_ini)),OR(r_fim="",AND(ISNUMBER(D264),D264&lt;=r_fim)),OR(r_de="",r_de="(Todos)",F264=r_de)),1,0))</f>
        <v>0</v>
      </c>
      <c r="AB264" s="96" t="str">
        <f>IF(AA264=1,IF(F264="",0,COUNTIF($F$6:$F$505,"&lt;"&amp;F264))*1000+259,"")</f>
        <v/>
      </c>
    </row>
    <row r="265">
      <c r="A265" s="89" t="inlineStr">
        <is>
          <t>CDF-000260</t>
        </is>
      </c>
      <c r="B265" s="90" t="n"/>
      <c r="C265" s="91" t="n"/>
      <c r="D265" s="92" t="n"/>
      <c r="E265" s="91" t="n"/>
      <c r="F265" s="91" t="n"/>
      <c r="G265" s="91" t="n"/>
      <c r="H265" s="91" t="n"/>
      <c r="I265" s="91" t="n"/>
      <c r="J265" s="91" t="n"/>
      <c r="K265" s="92" t="n"/>
      <c r="L265" s="91" t="n"/>
      <c r="M265" s="91" t="n"/>
      <c r="N265" s="91" t="n"/>
      <c r="O265" s="93" t="str">
        <f>IF(S265=0,"",SUMIFS('VÍNCULOS_CDF'!$H$6:$H$1005,'VÍNCULOS_CDF'!$O$6:$O$1005,A265,'VÍNCULOS_CDF'!$V$6:$V$1005,1))</f>
        <v/>
      </c>
      <c r="P265" s="95" t="str">
        <f>IF(S265=0,"",COUNTIFS('VÍNCULOS_CDF'!$O$6:$O$1005,A265,'VÍNCULOS_CDF'!$N$6:$N$1005,1))</f>
        <v/>
      </c>
      <c r="Q265" s="94" t="str">
        <f>IF(S265=0,"",IF(OR(B265="",F265=""),"Informações incompletas",IF(U265=1,"Possível duplicidade",IF(V265=0,"Destinador fora do cadastro",IF(AND(J265="Sim",N(P265)=0),"Necessita revisão de vínculos",IF(X265&gt;0,"Necessita revisão de vínculos",IF(J265="Sim","Conferido",IF(I265="Sim","Localizado, aguardando conferência","Cadastrado"))))))))</f>
        <v/>
      </c>
      <c r="R265" s="95" t="str">
        <f>IF(S265=0,"",COUNTIFS('VÍNCULOS_CDF'!$O$6:$O$1005,A265,'VÍNCULOS_CDF'!$AB$6:$AB$1005,1))</f>
        <v/>
      </c>
      <c r="S265" s="96">
        <f>IF(COUNTA(B265:N265)&gt;0,1,0)</f>
        <v>0</v>
      </c>
      <c r="T265" s="96" t="str">
        <f>IF(AND(S265=1,B265&lt;&gt;""),C265&amp;"|"&amp;TRIM(B265),"")</f>
        <v/>
      </c>
      <c r="U265" s="96">
        <f>IF(T265="",0,IF(SUMPRODUCT(--($T$6:$T$505=T265))&gt;1,1,0))</f>
        <v>0</v>
      </c>
      <c r="V265" s="96">
        <f>IF(F265="",0,IF(ISNUMBER(MATCH(F265,cmp_dest,0)),1,0))</f>
        <v>0</v>
      </c>
      <c r="W265" s="96">
        <f>IF(AND(S265=1,B265&lt;&gt;"",F265&lt;&gt;"",J265="Sim",U265=0),1,0)</f>
        <v>0</v>
      </c>
      <c r="X265" s="96">
        <f>IF(S265=0,0,COUNTIFS('VÍNCULOS_CDF'!$O$6:$O$1005,A265,'VÍNCULOS_CDF'!$Y$6:$Y$1005,1))</f>
        <v>0</v>
      </c>
      <c r="Y265" s="96" t="str">
        <f>IF(S265=1,A265&amp;" | CDF "&amp;IF(B265="","(sem número)",B265)&amp;" | "&amp;IF(F265="","(sem destinador)",F265),"")</f>
        <v/>
      </c>
      <c r="Z265" s="96" t="str">
        <f>IF(S265=1,COUNTIF($S$6:S265,1),"")</f>
        <v/>
      </c>
      <c r="AA265" s="96">
        <f>IF(S265=0,0,IF(AND(OR(r_ini="",AND(ISNUMBER(D265),D265&gt;=r_ini)),OR(r_fim="",AND(ISNUMBER(D265),D265&lt;=r_fim)),OR(r_de="",r_de="(Todos)",F265=r_de)),1,0))</f>
        <v>0</v>
      </c>
      <c r="AB265" s="96" t="str">
        <f>IF(AA265=1,IF(F265="",0,COUNTIF($F$6:$F$505,"&lt;"&amp;F265))*1000+260,"")</f>
        <v/>
      </c>
    </row>
    <row r="266">
      <c r="A266" s="89" t="inlineStr">
        <is>
          <t>CDF-000261</t>
        </is>
      </c>
      <c r="B266" s="90" t="n"/>
      <c r="C266" s="91" t="n"/>
      <c r="D266" s="92" t="n"/>
      <c r="E266" s="91" t="n"/>
      <c r="F266" s="91" t="n"/>
      <c r="G266" s="91" t="n"/>
      <c r="H266" s="91" t="n"/>
      <c r="I266" s="91" t="n"/>
      <c r="J266" s="91" t="n"/>
      <c r="K266" s="92" t="n"/>
      <c r="L266" s="91" t="n"/>
      <c r="M266" s="91" t="n"/>
      <c r="N266" s="91" t="n"/>
      <c r="O266" s="93" t="str">
        <f>IF(S266=0,"",SUMIFS('VÍNCULOS_CDF'!$H$6:$H$1005,'VÍNCULOS_CDF'!$O$6:$O$1005,A266,'VÍNCULOS_CDF'!$V$6:$V$1005,1))</f>
        <v/>
      </c>
      <c r="P266" s="95" t="str">
        <f>IF(S266=0,"",COUNTIFS('VÍNCULOS_CDF'!$O$6:$O$1005,A266,'VÍNCULOS_CDF'!$N$6:$N$1005,1))</f>
        <v/>
      </c>
      <c r="Q266" s="94" t="str">
        <f>IF(S266=0,"",IF(OR(B266="",F266=""),"Informações incompletas",IF(U266=1,"Possível duplicidade",IF(V266=0,"Destinador fora do cadastro",IF(AND(J266="Sim",N(P266)=0),"Necessita revisão de vínculos",IF(X266&gt;0,"Necessita revisão de vínculos",IF(J266="Sim","Conferido",IF(I266="Sim","Localizado, aguardando conferência","Cadastrado"))))))))</f>
        <v/>
      </c>
      <c r="R266" s="95" t="str">
        <f>IF(S266=0,"",COUNTIFS('VÍNCULOS_CDF'!$O$6:$O$1005,A266,'VÍNCULOS_CDF'!$AB$6:$AB$1005,1))</f>
        <v/>
      </c>
      <c r="S266" s="96">
        <f>IF(COUNTA(B266:N266)&gt;0,1,0)</f>
        <v>0</v>
      </c>
      <c r="T266" s="96" t="str">
        <f>IF(AND(S266=1,B266&lt;&gt;""),C266&amp;"|"&amp;TRIM(B266),"")</f>
        <v/>
      </c>
      <c r="U266" s="96">
        <f>IF(T266="",0,IF(SUMPRODUCT(--($T$6:$T$505=T266))&gt;1,1,0))</f>
        <v>0</v>
      </c>
      <c r="V266" s="96">
        <f>IF(F266="",0,IF(ISNUMBER(MATCH(F266,cmp_dest,0)),1,0))</f>
        <v>0</v>
      </c>
      <c r="W266" s="96">
        <f>IF(AND(S266=1,B266&lt;&gt;"",F266&lt;&gt;"",J266="Sim",U266=0),1,0)</f>
        <v>0</v>
      </c>
      <c r="X266" s="96">
        <f>IF(S266=0,0,COUNTIFS('VÍNCULOS_CDF'!$O$6:$O$1005,A266,'VÍNCULOS_CDF'!$Y$6:$Y$1005,1))</f>
        <v>0</v>
      </c>
      <c r="Y266" s="96" t="str">
        <f>IF(S266=1,A266&amp;" | CDF "&amp;IF(B266="","(sem número)",B266)&amp;" | "&amp;IF(F266="","(sem destinador)",F266),"")</f>
        <v/>
      </c>
      <c r="Z266" s="96" t="str">
        <f>IF(S266=1,COUNTIF($S$6:S266,1),"")</f>
        <v/>
      </c>
      <c r="AA266" s="96">
        <f>IF(S266=0,0,IF(AND(OR(r_ini="",AND(ISNUMBER(D266),D266&gt;=r_ini)),OR(r_fim="",AND(ISNUMBER(D266),D266&lt;=r_fim)),OR(r_de="",r_de="(Todos)",F266=r_de)),1,0))</f>
        <v>0</v>
      </c>
      <c r="AB266" s="96" t="str">
        <f>IF(AA266=1,IF(F266="",0,COUNTIF($F$6:$F$505,"&lt;"&amp;F266))*1000+261,"")</f>
        <v/>
      </c>
    </row>
    <row r="267">
      <c r="A267" s="89" t="inlineStr">
        <is>
          <t>CDF-000262</t>
        </is>
      </c>
      <c r="B267" s="90" t="n"/>
      <c r="C267" s="91" t="n"/>
      <c r="D267" s="92" t="n"/>
      <c r="E267" s="91" t="n"/>
      <c r="F267" s="91" t="n"/>
      <c r="G267" s="91" t="n"/>
      <c r="H267" s="91" t="n"/>
      <c r="I267" s="91" t="n"/>
      <c r="J267" s="91" t="n"/>
      <c r="K267" s="92" t="n"/>
      <c r="L267" s="91" t="n"/>
      <c r="M267" s="91" t="n"/>
      <c r="N267" s="91" t="n"/>
      <c r="O267" s="93" t="str">
        <f>IF(S267=0,"",SUMIFS('VÍNCULOS_CDF'!$H$6:$H$1005,'VÍNCULOS_CDF'!$O$6:$O$1005,A267,'VÍNCULOS_CDF'!$V$6:$V$1005,1))</f>
        <v/>
      </c>
      <c r="P267" s="95" t="str">
        <f>IF(S267=0,"",COUNTIFS('VÍNCULOS_CDF'!$O$6:$O$1005,A267,'VÍNCULOS_CDF'!$N$6:$N$1005,1))</f>
        <v/>
      </c>
      <c r="Q267" s="94" t="str">
        <f>IF(S267=0,"",IF(OR(B267="",F267=""),"Informações incompletas",IF(U267=1,"Possível duplicidade",IF(V267=0,"Destinador fora do cadastro",IF(AND(J267="Sim",N(P267)=0),"Necessita revisão de vínculos",IF(X267&gt;0,"Necessita revisão de vínculos",IF(J267="Sim","Conferido",IF(I267="Sim","Localizado, aguardando conferência","Cadastrado"))))))))</f>
        <v/>
      </c>
      <c r="R267" s="95" t="str">
        <f>IF(S267=0,"",COUNTIFS('VÍNCULOS_CDF'!$O$6:$O$1005,A267,'VÍNCULOS_CDF'!$AB$6:$AB$1005,1))</f>
        <v/>
      </c>
      <c r="S267" s="96">
        <f>IF(COUNTA(B267:N267)&gt;0,1,0)</f>
        <v>0</v>
      </c>
      <c r="T267" s="96" t="str">
        <f>IF(AND(S267=1,B267&lt;&gt;""),C267&amp;"|"&amp;TRIM(B267),"")</f>
        <v/>
      </c>
      <c r="U267" s="96">
        <f>IF(T267="",0,IF(SUMPRODUCT(--($T$6:$T$505=T267))&gt;1,1,0))</f>
        <v>0</v>
      </c>
      <c r="V267" s="96">
        <f>IF(F267="",0,IF(ISNUMBER(MATCH(F267,cmp_dest,0)),1,0))</f>
        <v>0</v>
      </c>
      <c r="W267" s="96">
        <f>IF(AND(S267=1,B267&lt;&gt;"",F267&lt;&gt;"",J267="Sim",U267=0),1,0)</f>
        <v>0</v>
      </c>
      <c r="X267" s="96">
        <f>IF(S267=0,0,COUNTIFS('VÍNCULOS_CDF'!$O$6:$O$1005,A267,'VÍNCULOS_CDF'!$Y$6:$Y$1005,1))</f>
        <v>0</v>
      </c>
      <c r="Y267" s="96" t="str">
        <f>IF(S267=1,A267&amp;" | CDF "&amp;IF(B267="","(sem número)",B267)&amp;" | "&amp;IF(F267="","(sem destinador)",F267),"")</f>
        <v/>
      </c>
      <c r="Z267" s="96" t="str">
        <f>IF(S267=1,COUNTIF($S$6:S267,1),"")</f>
        <v/>
      </c>
      <c r="AA267" s="96">
        <f>IF(S267=0,0,IF(AND(OR(r_ini="",AND(ISNUMBER(D267),D267&gt;=r_ini)),OR(r_fim="",AND(ISNUMBER(D267),D267&lt;=r_fim)),OR(r_de="",r_de="(Todos)",F267=r_de)),1,0))</f>
        <v>0</v>
      </c>
      <c r="AB267" s="96" t="str">
        <f>IF(AA267=1,IF(F267="",0,COUNTIF($F$6:$F$505,"&lt;"&amp;F267))*1000+262,"")</f>
        <v/>
      </c>
    </row>
    <row r="268">
      <c r="A268" s="89" t="inlineStr">
        <is>
          <t>CDF-000263</t>
        </is>
      </c>
      <c r="B268" s="90" t="n"/>
      <c r="C268" s="91" t="n"/>
      <c r="D268" s="92" t="n"/>
      <c r="E268" s="91" t="n"/>
      <c r="F268" s="91" t="n"/>
      <c r="G268" s="91" t="n"/>
      <c r="H268" s="91" t="n"/>
      <c r="I268" s="91" t="n"/>
      <c r="J268" s="91" t="n"/>
      <c r="K268" s="92" t="n"/>
      <c r="L268" s="91" t="n"/>
      <c r="M268" s="91" t="n"/>
      <c r="N268" s="91" t="n"/>
      <c r="O268" s="93" t="str">
        <f>IF(S268=0,"",SUMIFS('VÍNCULOS_CDF'!$H$6:$H$1005,'VÍNCULOS_CDF'!$O$6:$O$1005,A268,'VÍNCULOS_CDF'!$V$6:$V$1005,1))</f>
        <v/>
      </c>
      <c r="P268" s="95" t="str">
        <f>IF(S268=0,"",COUNTIFS('VÍNCULOS_CDF'!$O$6:$O$1005,A268,'VÍNCULOS_CDF'!$N$6:$N$1005,1))</f>
        <v/>
      </c>
      <c r="Q268" s="94" t="str">
        <f>IF(S268=0,"",IF(OR(B268="",F268=""),"Informações incompletas",IF(U268=1,"Possível duplicidade",IF(V268=0,"Destinador fora do cadastro",IF(AND(J268="Sim",N(P268)=0),"Necessita revisão de vínculos",IF(X268&gt;0,"Necessita revisão de vínculos",IF(J268="Sim","Conferido",IF(I268="Sim","Localizado, aguardando conferência","Cadastrado"))))))))</f>
        <v/>
      </c>
      <c r="R268" s="95" t="str">
        <f>IF(S268=0,"",COUNTIFS('VÍNCULOS_CDF'!$O$6:$O$1005,A268,'VÍNCULOS_CDF'!$AB$6:$AB$1005,1))</f>
        <v/>
      </c>
      <c r="S268" s="96">
        <f>IF(COUNTA(B268:N268)&gt;0,1,0)</f>
        <v>0</v>
      </c>
      <c r="T268" s="96" t="str">
        <f>IF(AND(S268=1,B268&lt;&gt;""),C268&amp;"|"&amp;TRIM(B268),"")</f>
        <v/>
      </c>
      <c r="U268" s="96">
        <f>IF(T268="",0,IF(SUMPRODUCT(--($T$6:$T$505=T268))&gt;1,1,0))</f>
        <v>0</v>
      </c>
      <c r="V268" s="96">
        <f>IF(F268="",0,IF(ISNUMBER(MATCH(F268,cmp_dest,0)),1,0))</f>
        <v>0</v>
      </c>
      <c r="W268" s="96">
        <f>IF(AND(S268=1,B268&lt;&gt;"",F268&lt;&gt;"",J268="Sim",U268=0),1,0)</f>
        <v>0</v>
      </c>
      <c r="X268" s="96">
        <f>IF(S268=0,0,COUNTIFS('VÍNCULOS_CDF'!$O$6:$O$1005,A268,'VÍNCULOS_CDF'!$Y$6:$Y$1005,1))</f>
        <v>0</v>
      </c>
      <c r="Y268" s="96" t="str">
        <f>IF(S268=1,A268&amp;" | CDF "&amp;IF(B268="","(sem número)",B268)&amp;" | "&amp;IF(F268="","(sem destinador)",F268),"")</f>
        <v/>
      </c>
      <c r="Z268" s="96" t="str">
        <f>IF(S268=1,COUNTIF($S$6:S268,1),"")</f>
        <v/>
      </c>
      <c r="AA268" s="96">
        <f>IF(S268=0,0,IF(AND(OR(r_ini="",AND(ISNUMBER(D268),D268&gt;=r_ini)),OR(r_fim="",AND(ISNUMBER(D268),D268&lt;=r_fim)),OR(r_de="",r_de="(Todos)",F268=r_de)),1,0))</f>
        <v>0</v>
      </c>
      <c r="AB268" s="96" t="str">
        <f>IF(AA268=1,IF(F268="",0,COUNTIF($F$6:$F$505,"&lt;"&amp;F268))*1000+263,"")</f>
        <v/>
      </c>
    </row>
    <row r="269">
      <c r="A269" s="89" t="inlineStr">
        <is>
          <t>CDF-000264</t>
        </is>
      </c>
      <c r="B269" s="90" t="n"/>
      <c r="C269" s="91" t="n"/>
      <c r="D269" s="92" t="n"/>
      <c r="E269" s="91" t="n"/>
      <c r="F269" s="91" t="n"/>
      <c r="G269" s="91" t="n"/>
      <c r="H269" s="91" t="n"/>
      <c r="I269" s="91" t="n"/>
      <c r="J269" s="91" t="n"/>
      <c r="K269" s="92" t="n"/>
      <c r="L269" s="91" t="n"/>
      <c r="M269" s="91" t="n"/>
      <c r="N269" s="91" t="n"/>
      <c r="O269" s="93" t="str">
        <f>IF(S269=0,"",SUMIFS('VÍNCULOS_CDF'!$H$6:$H$1005,'VÍNCULOS_CDF'!$O$6:$O$1005,A269,'VÍNCULOS_CDF'!$V$6:$V$1005,1))</f>
        <v/>
      </c>
      <c r="P269" s="95" t="str">
        <f>IF(S269=0,"",COUNTIFS('VÍNCULOS_CDF'!$O$6:$O$1005,A269,'VÍNCULOS_CDF'!$N$6:$N$1005,1))</f>
        <v/>
      </c>
      <c r="Q269" s="94" t="str">
        <f>IF(S269=0,"",IF(OR(B269="",F269=""),"Informações incompletas",IF(U269=1,"Possível duplicidade",IF(V269=0,"Destinador fora do cadastro",IF(AND(J269="Sim",N(P269)=0),"Necessita revisão de vínculos",IF(X269&gt;0,"Necessita revisão de vínculos",IF(J269="Sim","Conferido",IF(I269="Sim","Localizado, aguardando conferência","Cadastrado"))))))))</f>
        <v/>
      </c>
      <c r="R269" s="95" t="str">
        <f>IF(S269=0,"",COUNTIFS('VÍNCULOS_CDF'!$O$6:$O$1005,A269,'VÍNCULOS_CDF'!$AB$6:$AB$1005,1))</f>
        <v/>
      </c>
      <c r="S269" s="96">
        <f>IF(COUNTA(B269:N269)&gt;0,1,0)</f>
        <v>0</v>
      </c>
      <c r="T269" s="96" t="str">
        <f>IF(AND(S269=1,B269&lt;&gt;""),C269&amp;"|"&amp;TRIM(B269),"")</f>
        <v/>
      </c>
      <c r="U269" s="96">
        <f>IF(T269="",0,IF(SUMPRODUCT(--($T$6:$T$505=T269))&gt;1,1,0))</f>
        <v>0</v>
      </c>
      <c r="V269" s="96">
        <f>IF(F269="",0,IF(ISNUMBER(MATCH(F269,cmp_dest,0)),1,0))</f>
        <v>0</v>
      </c>
      <c r="W269" s="96">
        <f>IF(AND(S269=1,B269&lt;&gt;"",F269&lt;&gt;"",J269="Sim",U269=0),1,0)</f>
        <v>0</v>
      </c>
      <c r="X269" s="96">
        <f>IF(S269=0,0,COUNTIFS('VÍNCULOS_CDF'!$O$6:$O$1005,A269,'VÍNCULOS_CDF'!$Y$6:$Y$1005,1))</f>
        <v>0</v>
      </c>
      <c r="Y269" s="96" t="str">
        <f>IF(S269=1,A269&amp;" | CDF "&amp;IF(B269="","(sem número)",B269)&amp;" | "&amp;IF(F269="","(sem destinador)",F269),"")</f>
        <v/>
      </c>
      <c r="Z269" s="96" t="str">
        <f>IF(S269=1,COUNTIF($S$6:S269,1),"")</f>
        <v/>
      </c>
      <c r="AA269" s="96">
        <f>IF(S269=0,0,IF(AND(OR(r_ini="",AND(ISNUMBER(D269),D269&gt;=r_ini)),OR(r_fim="",AND(ISNUMBER(D269),D269&lt;=r_fim)),OR(r_de="",r_de="(Todos)",F269=r_de)),1,0))</f>
        <v>0</v>
      </c>
      <c r="AB269" s="96" t="str">
        <f>IF(AA269=1,IF(F269="",0,COUNTIF($F$6:$F$505,"&lt;"&amp;F269))*1000+264,"")</f>
        <v/>
      </c>
    </row>
    <row r="270">
      <c r="A270" s="89" t="inlineStr">
        <is>
          <t>CDF-000265</t>
        </is>
      </c>
      <c r="B270" s="90" t="n"/>
      <c r="C270" s="91" t="n"/>
      <c r="D270" s="92" t="n"/>
      <c r="E270" s="91" t="n"/>
      <c r="F270" s="91" t="n"/>
      <c r="G270" s="91" t="n"/>
      <c r="H270" s="91" t="n"/>
      <c r="I270" s="91" t="n"/>
      <c r="J270" s="91" t="n"/>
      <c r="K270" s="92" t="n"/>
      <c r="L270" s="91" t="n"/>
      <c r="M270" s="91" t="n"/>
      <c r="N270" s="91" t="n"/>
      <c r="O270" s="93" t="str">
        <f>IF(S270=0,"",SUMIFS('VÍNCULOS_CDF'!$H$6:$H$1005,'VÍNCULOS_CDF'!$O$6:$O$1005,A270,'VÍNCULOS_CDF'!$V$6:$V$1005,1))</f>
        <v/>
      </c>
      <c r="P270" s="95" t="str">
        <f>IF(S270=0,"",COUNTIFS('VÍNCULOS_CDF'!$O$6:$O$1005,A270,'VÍNCULOS_CDF'!$N$6:$N$1005,1))</f>
        <v/>
      </c>
      <c r="Q270" s="94" t="str">
        <f>IF(S270=0,"",IF(OR(B270="",F270=""),"Informações incompletas",IF(U270=1,"Possível duplicidade",IF(V270=0,"Destinador fora do cadastro",IF(AND(J270="Sim",N(P270)=0),"Necessita revisão de vínculos",IF(X270&gt;0,"Necessita revisão de vínculos",IF(J270="Sim","Conferido",IF(I270="Sim","Localizado, aguardando conferência","Cadastrado"))))))))</f>
        <v/>
      </c>
      <c r="R270" s="95" t="str">
        <f>IF(S270=0,"",COUNTIFS('VÍNCULOS_CDF'!$O$6:$O$1005,A270,'VÍNCULOS_CDF'!$AB$6:$AB$1005,1))</f>
        <v/>
      </c>
      <c r="S270" s="96">
        <f>IF(COUNTA(B270:N270)&gt;0,1,0)</f>
        <v>0</v>
      </c>
      <c r="T270" s="96" t="str">
        <f>IF(AND(S270=1,B270&lt;&gt;""),C270&amp;"|"&amp;TRIM(B270),"")</f>
        <v/>
      </c>
      <c r="U270" s="96">
        <f>IF(T270="",0,IF(SUMPRODUCT(--($T$6:$T$505=T270))&gt;1,1,0))</f>
        <v>0</v>
      </c>
      <c r="V270" s="96">
        <f>IF(F270="",0,IF(ISNUMBER(MATCH(F270,cmp_dest,0)),1,0))</f>
        <v>0</v>
      </c>
      <c r="W270" s="96">
        <f>IF(AND(S270=1,B270&lt;&gt;"",F270&lt;&gt;"",J270="Sim",U270=0),1,0)</f>
        <v>0</v>
      </c>
      <c r="X270" s="96">
        <f>IF(S270=0,0,COUNTIFS('VÍNCULOS_CDF'!$O$6:$O$1005,A270,'VÍNCULOS_CDF'!$Y$6:$Y$1005,1))</f>
        <v>0</v>
      </c>
      <c r="Y270" s="96" t="str">
        <f>IF(S270=1,A270&amp;" | CDF "&amp;IF(B270="","(sem número)",B270)&amp;" | "&amp;IF(F270="","(sem destinador)",F270),"")</f>
        <v/>
      </c>
      <c r="Z270" s="96" t="str">
        <f>IF(S270=1,COUNTIF($S$6:S270,1),"")</f>
        <v/>
      </c>
      <c r="AA270" s="96">
        <f>IF(S270=0,0,IF(AND(OR(r_ini="",AND(ISNUMBER(D270),D270&gt;=r_ini)),OR(r_fim="",AND(ISNUMBER(D270),D270&lt;=r_fim)),OR(r_de="",r_de="(Todos)",F270=r_de)),1,0))</f>
        <v>0</v>
      </c>
      <c r="AB270" s="96" t="str">
        <f>IF(AA270=1,IF(F270="",0,COUNTIF($F$6:$F$505,"&lt;"&amp;F270))*1000+265,"")</f>
        <v/>
      </c>
    </row>
    <row r="271">
      <c r="A271" s="89" t="inlineStr">
        <is>
          <t>CDF-000266</t>
        </is>
      </c>
      <c r="B271" s="90" t="n"/>
      <c r="C271" s="91" t="n"/>
      <c r="D271" s="92" t="n"/>
      <c r="E271" s="91" t="n"/>
      <c r="F271" s="91" t="n"/>
      <c r="G271" s="91" t="n"/>
      <c r="H271" s="91" t="n"/>
      <c r="I271" s="91" t="n"/>
      <c r="J271" s="91" t="n"/>
      <c r="K271" s="92" t="n"/>
      <c r="L271" s="91" t="n"/>
      <c r="M271" s="91" t="n"/>
      <c r="N271" s="91" t="n"/>
      <c r="O271" s="93" t="str">
        <f>IF(S271=0,"",SUMIFS('VÍNCULOS_CDF'!$H$6:$H$1005,'VÍNCULOS_CDF'!$O$6:$O$1005,A271,'VÍNCULOS_CDF'!$V$6:$V$1005,1))</f>
        <v/>
      </c>
      <c r="P271" s="95" t="str">
        <f>IF(S271=0,"",COUNTIFS('VÍNCULOS_CDF'!$O$6:$O$1005,A271,'VÍNCULOS_CDF'!$N$6:$N$1005,1))</f>
        <v/>
      </c>
      <c r="Q271" s="94" t="str">
        <f>IF(S271=0,"",IF(OR(B271="",F271=""),"Informações incompletas",IF(U271=1,"Possível duplicidade",IF(V271=0,"Destinador fora do cadastro",IF(AND(J271="Sim",N(P271)=0),"Necessita revisão de vínculos",IF(X271&gt;0,"Necessita revisão de vínculos",IF(J271="Sim","Conferido",IF(I271="Sim","Localizado, aguardando conferência","Cadastrado"))))))))</f>
        <v/>
      </c>
      <c r="R271" s="95" t="str">
        <f>IF(S271=0,"",COUNTIFS('VÍNCULOS_CDF'!$O$6:$O$1005,A271,'VÍNCULOS_CDF'!$AB$6:$AB$1005,1))</f>
        <v/>
      </c>
      <c r="S271" s="96">
        <f>IF(COUNTA(B271:N271)&gt;0,1,0)</f>
        <v>0</v>
      </c>
      <c r="T271" s="96" t="str">
        <f>IF(AND(S271=1,B271&lt;&gt;""),C271&amp;"|"&amp;TRIM(B271),"")</f>
        <v/>
      </c>
      <c r="U271" s="96">
        <f>IF(T271="",0,IF(SUMPRODUCT(--($T$6:$T$505=T271))&gt;1,1,0))</f>
        <v>0</v>
      </c>
      <c r="V271" s="96">
        <f>IF(F271="",0,IF(ISNUMBER(MATCH(F271,cmp_dest,0)),1,0))</f>
        <v>0</v>
      </c>
      <c r="W271" s="96">
        <f>IF(AND(S271=1,B271&lt;&gt;"",F271&lt;&gt;"",J271="Sim",U271=0),1,0)</f>
        <v>0</v>
      </c>
      <c r="X271" s="96">
        <f>IF(S271=0,0,COUNTIFS('VÍNCULOS_CDF'!$O$6:$O$1005,A271,'VÍNCULOS_CDF'!$Y$6:$Y$1005,1))</f>
        <v>0</v>
      </c>
      <c r="Y271" s="96" t="str">
        <f>IF(S271=1,A271&amp;" | CDF "&amp;IF(B271="","(sem número)",B271)&amp;" | "&amp;IF(F271="","(sem destinador)",F271),"")</f>
        <v/>
      </c>
      <c r="Z271" s="96" t="str">
        <f>IF(S271=1,COUNTIF($S$6:S271,1),"")</f>
        <v/>
      </c>
      <c r="AA271" s="96">
        <f>IF(S271=0,0,IF(AND(OR(r_ini="",AND(ISNUMBER(D271),D271&gt;=r_ini)),OR(r_fim="",AND(ISNUMBER(D271),D271&lt;=r_fim)),OR(r_de="",r_de="(Todos)",F271=r_de)),1,0))</f>
        <v>0</v>
      </c>
      <c r="AB271" s="96" t="str">
        <f>IF(AA271=1,IF(F271="",0,COUNTIF($F$6:$F$505,"&lt;"&amp;F271))*1000+266,"")</f>
        <v/>
      </c>
    </row>
    <row r="272">
      <c r="A272" s="89" t="inlineStr">
        <is>
          <t>CDF-000267</t>
        </is>
      </c>
      <c r="B272" s="90" t="n"/>
      <c r="C272" s="91" t="n"/>
      <c r="D272" s="92" t="n"/>
      <c r="E272" s="91" t="n"/>
      <c r="F272" s="91" t="n"/>
      <c r="G272" s="91" t="n"/>
      <c r="H272" s="91" t="n"/>
      <c r="I272" s="91" t="n"/>
      <c r="J272" s="91" t="n"/>
      <c r="K272" s="92" t="n"/>
      <c r="L272" s="91" t="n"/>
      <c r="M272" s="91" t="n"/>
      <c r="N272" s="91" t="n"/>
      <c r="O272" s="93" t="str">
        <f>IF(S272=0,"",SUMIFS('VÍNCULOS_CDF'!$H$6:$H$1005,'VÍNCULOS_CDF'!$O$6:$O$1005,A272,'VÍNCULOS_CDF'!$V$6:$V$1005,1))</f>
        <v/>
      </c>
      <c r="P272" s="95" t="str">
        <f>IF(S272=0,"",COUNTIFS('VÍNCULOS_CDF'!$O$6:$O$1005,A272,'VÍNCULOS_CDF'!$N$6:$N$1005,1))</f>
        <v/>
      </c>
      <c r="Q272" s="94" t="str">
        <f>IF(S272=0,"",IF(OR(B272="",F272=""),"Informações incompletas",IF(U272=1,"Possível duplicidade",IF(V272=0,"Destinador fora do cadastro",IF(AND(J272="Sim",N(P272)=0),"Necessita revisão de vínculos",IF(X272&gt;0,"Necessita revisão de vínculos",IF(J272="Sim","Conferido",IF(I272="Sim","Localizado, aguardando conferência","Cadastrado"))))))))</f>
        <v/>
      </c>
      <c r="R272" s="95" t="str">
        <f>IF(S272=0,"",COUNTIFS('VÍNCULOS_CDF'!$O$6:$O$1005,A272,'VÍNCULOS_CDF'!$AB$6:$AB$1005,1))</f>
        <v/>
      </c>
      <c r="S272" s="96">
        <f>IF(COUNTA(B272:N272)&gt;0,1,0)</f>
        <v>0</v>
      </c>
      <c r="T272" s="96" t="str">
        <f>IF(AND(S272=1,B272&lt;&gt;""),C272&amp;"|"&amp;TRIM(B272),"")</f>
        <v/>
      </c>
      <c r="U272" s="96">
        <f>IF(T272="",0,IF(SUMPRODUCT(--($T$6:$T$505=T272))&gt;1,1,0))</f>
        <v>0</v>
      </c>
      <c r="V272" s="96">
        <f>IF(F272="",0,IF(ISNUMBER(MATCH(F272,cmp_dest,0)),1,0))</f>
        <v>0</v>
      </c>
      <c r="W272" s="96">
        <f>IF(AND(S272=1,B272&lt;&gt;"",F272&lt;&gt;"",J272="Sim",U272=0),1,0)</f>
        <v>0</v>
      </c>
      <c r="X272" s="96">
        <f>IF(S272=0,0,COUNTIFS('VÍNCULOS_CDF'!$O$6:$O$1005,A272,'VÍNCULOS_CDF'!$Y$6:$Y$1005,1))</f>
        <v>0</v>
      </c>
      <c r="Y272" s="96" t="str">
        <f>IF(S272=1,A272&amp;" | CDF "&amp;IF(B272="","(sem número)",B272)&amp;" | "&amp;IF(F272="","(sem destinador)",F272),"")</f>
        <v/>
      </c>
      <c r="Z272" s="96" t="str">
        <f>IF(S272=1,COUNTIF($S$6:S272,1),"")</f>
        <v/>
      </c>
      <c r="AA272" s="96">
        <f>IF(S272=0,0,IF(AND(OR(r_ini="",AND(ISNUMBER(D272),D272&gt;=r_ini)),OR(r_fim="",AND(ISNUMBER(D272),D272&lt;=r_fim)),OR(r_de="",r_de="(Todos)",F272=r_de)),1,0))</f>
        <v>0</v>
      </c>
      <c r="AB272" s="96" t="str">
        <f>IF(AA272=1,IF(F272="",0,COUNTIF($F$6:$F$505,"&lt;"&amp;F272))*1000+267,"")</f>
        <v/>
      </c>
    </row>
    <row r="273">
      <c r="A273" s="89" t="inlineStr">
        <is>
          <t>CDF-000268</t>
        </is>
      </c>
      <c r="B273" s="90" t="n"/>
      <c r="C273" s="91" t="n"/>
      <c r="D273" s="92" t="n"/>
      <c r="E273" s="91" t="n"/>
      <c r="F273" s="91" t="n"/>
      <c r="G273" s="91" t="n"/>
      <c r="H273" s="91" t="n"/>
      <c r="I273" s="91" t="n"/>
      <c r="J273" s="91" t="n"/>
      <c r="K273" s="92" t="n"/>
      <c r="L273" s="91" t="n"/>
      <c r="M273" s="91" t="n"/>
      <c r="N273" s="91" t="n"/>
      <c r="O273" s="93" t="str">
        <f>IF(S273=0,"",SUMIFS('VÍNCULOS_CDF'!$H$6:$H$1005,'VÍNCULOS_CDF'!$O$6:$O$1005,A273,'VÍNCULOS_CDF'!$V$6:$V$1005,1))</f>
        <v/>
      </c>
      <c r="P273" s="95" t="str">
        <f>IF(S273=0,"",COUNTIFS('VÍNCULOS_CDF'!$O$6:$O$1005,A273,'VÍNCULOS_CDF'!$N$6:$N$1005,1))</f>
        <v/>
      </c>
      <c r="Q273" s="94" t="str">
        <f>IF(S273=0,"",IF(OR(B273="",F273=""),"Informações incompletas",IF(U273=1,"Possível duplicidade",IF(V273=0,"Destinador fora do cadastro",IF(AND(J273="Sim",N(P273)=0),"Necessita revisão de vínculos",IF(X273&gt;0,"Necessita revisão de vínculos",IF(J273="Sim","Conferido",IF(I273="Sim","Localizado, aguardando conferência","Cadastrado"))))))))</f>
        <v/>
      </c>
      <c r="R273" s="95" t="str">
        <f>IF(S273=0,"",COUNTIFS('VÍNCULOS_CDF'!$O$6:$O$1005,A273,'VÍNCULOS_CDF'!$AB$6:$AB$1005,1))</f>
        <v/>
      </c>
      <c r="S273" s="96">
        <f>IF(COUNTA(B273:N273)&gt;0,1,0)</f>
        <v>0</v>
      </c>
      <c r="T273" s="96" t="str">
        <f>IF(AND(S273=1,B273&lt;&gt;""),C273&amp;"|"&amp;TRIM(B273),"")</f>
        <v/>
      </c>
      <c r="U273" s="96">
        <f>IF(T273="",0,IF(SUMPRODUCT(--($T$6:$T$505=T273))&gt;1,1,0))</f>
        <v>0</v>
      </c>
      <c r="V273" s="96">
        <f>IF(F273="",0,IF(ISNUMBER(MATCH(F273,cmp_dest,0)),1,0))</f>
        <v>0</v>
      </c>
      <c r="W273" s="96">
        <f>IF(AND(S273=1,B273&lt;&gt;"",F273&lt;&gt;"",J273="Sim",U273=0),1,0)</f>
        <v>0</v>
      </c>
      <c r="X273" s="96">
        <f>IF(S273=0,0,COUNTIFS('VÍNCULOS_CDF'!$O$6:$O$1005,A273,'VÍNCULOS_CDF'!$Y$6:$Y$1005,1))</f>
        <v>0</v>
      </c>
      <c r="Y273" s="96" t="str">
        <f>IF(S273=1,A273&amp;" | CDF "&amp;IF(B273="","(sem número)",B273)&amp;" | "&amp;IF(F273="","(sem destinador)",F273),"")</f>
        <v/>
      </c>
      <c r="Z273" s="96" t="str">
        <f>IF(S273=1,COUNTIF($S$6:S273,1),"")</f>
        <v/>
      </c>
      <c r="AA273" s="96">
        <f>IF(S273=0,0,IF(AND(OR(r_ini="",AND(ISNUMBER(D273),D273&gt;=r_ini)),OR(r_fim="",AND(ISNUMBER(D273),D273&lt;=r_fim)),OR(r_de="",r_de="(Todos)",F273=r_de)),1,0))</f>
        <v>0</v>
      </c>
      <c r="AB273" s="96" t="str">
        <f>IF(AA273=1,IF(F273="",0,COUNTIF($F$6:$F$505,"&lt;"&amp;F273))*1000+268,"")</f>
        <v/>
      </c>
    </row>
    <row r="274">
      <c r="A274" s="89" t="inlineStr">
        <is>
          <t>CDF-000269</t>
        </is>
      </c>
      <c r="B274" s="90" t="n"/>
      <c r="C274" s="91" t="n"/>
      <c r="D274" s="92" t="n"/>
      <c r="E274" s="91" t="n"/>
      <c r="F274" s="91" t="n"/>
      <c r="G274" s="91" t="n"/>
      <c r="H274" s="91" t="n"/>
      <c r="I274" s="91" t="n"/>
      <c r="J274" s="91" t="n"/>
      <c r="K274" s="92" t="n"/>
      <c r="L274" s="91" t="n"/>
      <c r="M274" s="91" t="n"/>
      <c r="N274" s="91" t="n"/>
      <c r="O274" s="93" t="str">
        <f>IF(S274=0,"",SUMIFS('VÍNCULOS_CDF'!$H$6:$H$1005,'VÍNCULOS_CDF'!$O$6:$O$1005,A274,'VÍNCULOS_CDF'!$V$6:$V$1005,1))</f>
        <v/>
      </c>
      <c r="P274" s="95" t="str">
        <f>IF(S274=0,"",COUNTIFS('VÍNCULOS_CDF'!$O$6:$O$1005,A274,'VÍNCULOS_CDF'!$N$6:$N$1005,1))</f>
        <v/>
      </c>
      <c r="Q274" s="94" t="str">
        <f>IF(S274=0,"",IF(OR(B274="",F274=""),"Informações incompletas",IF(U274=1,"Possível duplicidade",IF(V274=0,"Destinador fora do cadastro",IF(AND(J274="Sim",N(P274)=0),"Necessita revisão de vínculos",IF(X274&gt;0,"Necessita revisão de vínculos",IF(J274="Sim","Conferido",IF(I274="Sim","Localizado, aguardando conferência","Cadastrado"))))))))</f>
        <v/>
      </c>
      <c r="R274" s="95" t="str">
        <f>IF(S274=0,"",COUNTIFS('VÍNCULOS_CDF'!$O$6:$O$1005,A274,'VÍNCULOS_CDF'!$AB$6:$AB$1005,1))</f>
        <v/>
      </c>
      <c r="S274" s="96">
        <f>IF(COUNTA(B274:N274)&gt;0,1,0)</f>
        <v>0</v>
      </c>
      <c r="T274" s="96" t="str">
        <f>IF(AND(S274=1,B274&lt;&gt;""),C274&amp;"|"&amp;TRIM(B274),"")</f>
        <v/>
      </c>
      <c r="U274" s="96">
        <f>IF(T274="",0,IF(SUMPRODUCT(--($T$6:$T$505=T274))&gt;1,1,0))</f>
        <v>0</v>
      </c>
      <c r="V274" s="96">
        <f>IF(F274="",0,IF(ISNUMBER(MATCH(F274,cmp_dest,0)),1,0))</f>
        <v>0</v>
      </c>
      <c r="W274" s="96">
        <f>IF(AND(S274=1,B274&lt;&gt;"",F274&lt;&gt;"",J274="Sim",U274=0),1,0)</f>
        <v>0</v>
      </c>
      <c r="X274" s="96">
        <f>IF(S274=0,0,COUNTIFS('VÍNCULOS_CDF'!$O$6:$O$1005,A274,'VÍNCULOS_CDF'!$Y$6:$Y$1005,1))</f>
        <v>0</v>
      </c>
      <c r="Y274" s="96" t="str">
        <f>IF(S274=1,A274&amp;" | CDF "&amp;IF(B274="","(sem número)",B274)&amp;" | "&amp;IF(F274="","(sem destinador)",F274),"")</f>
        <v/>
      </c>
      <c r="Z274" s="96" t="str">
        <f>IF(S274=1,COUNTIF($S$6:S274,1),"")</f>
        <v/>
      </c>
      <c r="AA274" s="96">
        <f>IF(S274=0,0,IF(AND(OR(r_ini="",AND(ISNUMBER(D274),D274&gt;=r_ini)),OR(r_fim="",AND(ISNUMBER(D274),D274&lt;=r_fim)),OR(r_de="",r_de="(Todos)",F274=r_de)),1,0))</f>
        <v>0</v>
      </c>
      <c r="AB274" s="96" t="str">
        <f>IF(AA274=1,IF(F274="",0,COUNTIF($F$6:$F$505,"&lt;"&amp;F274))*1000+269,"")</f>
        <v/>
      </c>
    </row>
    <row r="275">
      <c r="A275" s="89" t="inlineStr">
        <is>
          <t>CDF-000270</t>
        </is>
      </c>
      <c r="B275" s="90" t="n"/>
      <c r="C275" s="91" t="n"/>
      <c r="D275" s="92" t="n"/>
      <c r="E275" s="91" t="n"/>
      <c r="F275" s="91" t="n"/>
      <c r="G275" s="91" t="n"/>
      <c r="H275" s="91" t="n"/>
      <c r="I275" s="91" t="n"/>
      <c r="J275" s="91" t="n"/>
      <c r="K275" s="92" t="n"/>
      <c r="L275" s="91" t="n"/>
      <c r="M275" s="91" t="n"/>
      <c r="N275" s="91" t="n"/>
      <c r="O275" s="93" t="str">
        <f>IF(S275=0,"",SUMIFS('VÍNCULOS_CDF'!$H$6:$H$1005,'VÍNCULOS_CDF'!$O$6:$O$1005,A275,'VÍNCULOS_CDF'!$V$6:$V$1005,1))</f>
        <v/>
      </c>
      <c r="P275" s="95" t="str">
        <f>IF(S275=0,"",COUNTIFS('VÍNCULOS_CDF'!$O$6:$O$1005,A275,'VÍNCULOS_CDF'!$N$6:$N$1005,1))</f>
        <v/>
      </c>
      <c r="Q275" s="94" t="str">
        <f>IF(S275=0,"",IF(OR(B275="",F275=""),"Informações incompletas",IF(U275=1,"Possível duplicidade",IF(V275=0,"Destinador fora do cadastro",IF(AND(J275="Sim",N(P275)=0),"Necessita revisão de vínculos",IF(X275&gt;0,"Necessita revisão de vínculos",IF(J275="Sim","Conferido",IF(I275="Sim","Localizado, aguardando conferência","Cadastrado"))))))))</f>
        <v/>
      </c>
      <c r="R275" s="95" t="str">
        <f>IF(S275=0,"",COUNTIFS('VÍNCULOS_CDF'!$O$6:$O$1005,A275,'VÍNCULOS_CDF'!$AB$6:$AB$1005,1))</f>
        <v/>
      </c>
      <c r="S275" s="96">
        <f>IF(COUNTA(B275:N275)&gt;0,1,0)</f>
        <v>0</v>
      </c>
      <c r="T275" s="96" t="str">
        <f>IF(AND(S275=1,B275&lt;&gt;""),C275&amp;"|"&amp;TRIM(B275),"")</f>
        <v/>
      </c>
      <c r="U275" s="96">
        <f>IF(T275="",0,IF(SUMPRODUCT(--($T$6:$T$505=T275))&gt;1,1,0))</f>
        <v>0</v>
      </c>
      <c r="V275" s="96">
        <f>IF(F275="",0,IF(ISNUMBER(MATCH(F275,cmp_dest,0)),1,0))</f>
        <v>0</v>
      </c>
      <c r="W275" s="96">
        <f>IF(AND(S275=1,B275&lt;&gt;"",F275&lt;&gt;"",J275="Sim",U275=0),1,0)</f>
        <v>0</v>
      </c>
      <c r="X275" s="96">
        <f>IF(S275=0,0,COUNTIFS('VÍNCULOS_CDF'!$O$6:$O$1005,A275,'VÍNCULOS_CDF'!$Y$6:$Y$1005,1))</f>
        <v>0</v>
      </c>
      <c r="Y275" s="96" t="str">
        <f>IF(S275=1,A275&amp;" | CDF "&amp;IF(B275="","(sem número)",B275)&amp;" | "&amp;IF(F275="","(sem destinador)",F275),"")</f>
        <v/>
      </c>
      <c r="Z275" s="96" t="str">
        <f>IF(S275=1,COUNTIF($S$6:S275,1),"")</f>
        <v/>
      </c>
      <c r="AA275" s="96">
        <f>IF(S275=0,0,IF(AND(OR(r_ini="",AND(ISNUMBER(D275),D275&gt;=r_ini)),OR(r_fim="",AND(ISNUMBER(D275),D275&lt;=r_fim)),OR(r_de="",r_de="(Todos)",F275=r_de)),1,0))</f>
        <v>0</v>
      </c>
      <c r="AB275" s="96" t="str">
        <f>IF(AA275=1,IF(F275="",0,COUNTIF($F$6:$F$505,"&lt;"&amp;F275))*1000+270,"")</f>
        <v/>
      </c>
    </row>
    <row r="276">
      <c r="A276" s="89" t="inlineStr">
        <is>
          <t>CDF-000271</t>
        </is>
      </c>
      <c r="B276" s="90" t="n"/>
      <c r="C276" s="91" t="n"/>
      <c r="D276" s="92" t="n"/>
      <c r="E276" s="91" t="n"/>
      <c r="F276" s="91" t="n"/>
      <c r="G276" s="91" t="n"/>
      <c r="H276" s="91" t="n"/>
      <c r="I276" s="91" t="n"/>
      <c r="J276" s="91" t="n"/>
      <c r="K276" s="92" t="n"/>
      <c r="L276" s="91" t="n"/>
      <c r="M276" s="91" t="n"/>
      <c r="N276" s="91" t="n"/>
      <c r="O276" s="93" t="str">
        <f>IF(S276=0,"",SUMIFS('VÍNCULOS_CDF'!$H$6:$H$1005,'VÍNCULOS_CDF'!$O$6:$O$1005,A276,'VÍNCULOS_CDF'!$V$6:$V$1005,1))</f>
        <v/>
      </c>
      <c r="P276" s="95" t="str">
        <f>IF(S276=0,"",COUNTIFS('VÍNCULOS_CDF'!$O$6:$O$1005,A276,'VÍNCULOS_CDF'!$N$6:$N$1005,1))</f>
        <v/>
      </c>
      <c r="Q276" s="94" t="str">
        <f>IF(S276=0,"",IF(OR(B276="",F276=""),"Informações incompletas",IF(U276=1,"Possível duplicidade",IF(V276=0,"Destinador fora do cadastro",IF(AND(J276="Sim",N(P276)=0),"Necessita revisão de vínculos",IF(X276&gt;0,"Necessita revisão de vínculos",IF(J276="Sim","Conferido",IF(I276="Sim","Localizado, aguardando conferência","Cadastrado"))))))))</f>
        <v/>
      </c>
      <c r="R276" s="95" t="str">
        <f>IF(S276=0,"",COUNTIFS('VÍNCULOS_CDF'!$O$6:$O$1005,A276,'VÍNCULOS_CDF'!$AB$6:$AB$1005,1))</f>
        <v/>
      </c>
      <c r="S276" s="96">
        <f>IF(COUNTA(B276:N276)&gt;0,1,0)</f>
        <v>0</v>
      </c>
      <c r="T276" s="96" t="str">
        <f>IF(AND(S276=1,B276&lt;&gt;""),C276&amp;"|"&amp;TRIM(B276),"")</f>
        <v/>
      </c>
      <c r="U276" s="96">
        <f>IF(T276="",0,IF(SUMPRODUCT(--($T$6:$T$505=T276))&gt;1,1,0))</f>
        <v>0</v>
      </c>
      <c r="V276" s="96">
        <f>IF(F276="",0,IF(ISNUMBER(MATCH(F276,cmp_dest,0)),1,0))</f>
        <v>0</v>
      </c>
      <c r="W276" s="96">
        <f>IF(AND(S276=1,B276&lt;&gt;"",F276&lt;&gt;"",J276="Sim",U276=0),1,0)</f>
        <v>0</v>
      </c>
      <c r="X276" s="96">
        <f>IF(S276=0,0,COUNTIFS('VÍNCULOS_CDF'!$O$6:$O$1005,A276,'VÍNCULOS_CDF'!$Y$6:$Y$1005,1))</f>
        <v>0</v>
      </c>
      <c r="Y276" s="96" t="str">
        <f>IF(S276=1,A276&amp;" | CDF "&amp;IF(B276="","(sem número)",B276)&amp;" | "&amp;IF(F276="","(sem destinador)",F276),"")</f>
        <v/>
      </c>
      <c r="Z276" s="96" t="str">
        <f>IF(S276=1,COUNTIF($S$6:S276,1),"")</f>
        <v/>
      </c>
      <c r="AA276" s="96">
        <f>IF(S276=0,0,IF(AND(OR(r_ini="",AND(ISNUMBER(D276),D276&gt;=r_ini)),OR(r_fim="",AND(ISNUMBER(D276),D276&lt;=r_fim)),OR(r_de="",r_de="(Todos)",F276=r_de)),1,0))</f>
        <v>0</v>
      </c>
      <c r="AB276" s="96" t="str">
        <f>IF(AA276=1,IF(F276="",0,COUNTIF($F$6:$F$505,"&lt;"&amp;F276))*1000+271,"")</f>
        <v/>
      </c>
    </row>
    <row r="277">
      <c r="A277" s="89" t="inlineStr">
        <is>
          <t>CDF-000272</t>
        </is>
      </c>
      <c r="B277" s="90" t="n"/>
      <c r="C277" s="91" t="n"/>
      <c r="D277" s="92" t="n"/>
      <c r="E277" s="91" t="n"/>
      <c r="F277" s="91" t="n"/>
      <c r="G277" s="91" t="n"/>
      <c r="H277" s="91" t="n"/>
      <c r="I277" s="91" t="n"/>
      <c r="J277" s="91" t="n"/>
      <c r="K277" s="92" t="n"/>
      <c r="L277" s="91" t="n"/>
      <c r="M277" s="91" t="n"/>
      <c r="N277" s="91" t="n"/>
      <c r="O277" s="93" t="str">
        <f>IF(S277=0,"",SUMIFS('VÍNCULOS_CDF'!$H$6:$H$1005,'VÍNCULOS_CDF'!$O$6:$O$1005,A277,'VÍNCULOS_CDF'!$V$6:$V$1005,1))</f>
        <v/>
      </c>
      <c r="P277" s="95" t="str">
        <f>IF(S277=0,"",COUNTIFS('VÍNCULOS_CDF'!$O$6:$O$1005,A277,'VÍNCULOS_CDF'!$N$6:$N$1005,1))</f>
        <v/>
      </c>
      <c r="Q277" s="94" t="str">
        <f>IF(S277=0,"",IF(OR(B277="",F277=""),"Informações incompletas",IF(U277=1,"Possível duplicidade",IF(V277=0,"Destinador fora do cadastro",IF(AND(J277="Sim",N(P277)=0),"Necessita revisão de vínculos",IF(X277&gt;0,"Necessita revisão de vínculos",IF(J277="Sim","Conferido",IF(I277="Sim","Localizado, aguardando conferência","Cadastrado"))))))))</f>
        <v/>
      </c>
      <c r="R277" s="95" t="str">
        <f>IF(S277=0,"",COUNTIFS('VÍNCULOS_CDF'!$O$6:$O$1005,A277,'VÍNCULOS_CDF'!$AB$6:$AB$1005,1))</f>
        <v/>
      </c>
      <c r="S277" s="96">
        <f>IF(COUNTA(B277:N277)&gt;0,1,0)</f>
        <v>0</v>
      </c>
      <c r="T277" s="96" t="str">
        <f>IF(AND(S277=1,B277&lt;&gt;""),C277&amp;"|"&amp;TRIM(B277),"")</f>
        <v/>
      </c>
      <c r="U277" s="96">
        <f>IF(T277="",0,IF(SUMPRODUCT(--($T$6:$T$505=T277))&gt;1,1,0))</f>
        <v>0</v>
      </c>
      <c r="V277" s="96">
        <f>IF(F277="",0,IF(ISNUMBER(MATCH(F277,cmp_dest,0)),1,0))</f>
        <v>0</v>
      </c>
      <c r="W277" s="96">
        <f>IF(AND(S277=1,B277&lt;&gt;"",F277&lt;&gt;"",J277="Sim",U277=0),1,0)</f>
        <v>0</v>
      </c>
      <c r="X277" s="96">
        <f>IF(S277=0,0,COUNTIFS('VÍNCULOS_CDF'!$O$6:$O$1005,A277,'VÍNCULOS_CDF'!$Y$6:$Y$1005,1))</f>
        <v>0</v>
      </c>
      <c r="Y277" s="96" t="str">
        <f>IF(S277=1,A277&amp;" | CDF "&amp;IF(B277="","(sem número)",B277)&amp;" | "&amp;IF(F277="","(sem destinador)",F277),"")</f>
        <v/>
      </c>
      <c r="Z277" s="96" t="str">
        <f>IF(S277=1,COUNTIF($S$6:S277,1),"")</f>
        <v/>
      </c>
      <c r="AA277" s="96">
        <f>IF(S277=0,0,IF(AND(OR(r_ini="",AND(ISNUMBER(D277),D277&gt;=r_ini)),OR(r_fim="",AND(ISNUMBER(D277),D277&lt;=r_fim)),OR(r_de="",r_de="(Todos)",F277=r_de)),1,0))</f>
        <v>0</v>
      </c>
      <c r="AB277" s="96" t="str">
        <f>IF(AA277=1,IF(F277="",0,COUNTIF($F$6:$F$505,"&lt;"&amp;F277))*1000+272,"")</f>
        <v/>
      </c>
    </row>
    <row r="278">
      <c r="A278" s="89" t="inlineStr">
        <is>
          <t>CDF-000273</t>
        </is>
      </c>
      <c r="B278" s="90" t="n"/>
      <c r="C278" s="91" t="n"/>
      <c r="D278" s="92" t="n"/>
      <c r="E278" s="91" t="n"/>
      <c r="F278" s="91" t="n"/>
      <c r="G278" s="91" t="n"/>
      <c r="H278" s="91" t="n"/>
      <c r="I278" s="91" t="n"/>
      <c r="J278" s="91" t="n"/>
      <c r="K278" s="92" t="n"/>
      <c r="L278" s="91" t="n"/>
      <c r="M278" s="91" t="n"/>
      <c r="N278" s="91" t="n"/>
      <c r="O278" s="93" t="str">
        <f>IF(S278=0,"",SUMIFS('VÍNCULOS_CDF'!$H$6:$H$1005,'VÍNCULOS_CDF'!$O$6:$O$1005,A278,'VÍNCULOS_CDF'!$V$6:$V$1005,1))</f>
        <v/>
      </c>
      <c r="P278" s="95" t="str">
        <f>IF(S278=0,"",COUNTIFS('VÍNCULOS_CDF'!$O$6:$O$1005,A278,'VÍNCULOS_CDF'!$N$6:$N$1005,1))</f>
        <v/>
      </c>
      <c r="Q278" s="94" t="str">
        <f>IF(S278=0,"",IF(OR(B278="",F278=""),"Informações incompletas",IF(U278=1,"Possível duplicidade",IF(V278=0,"Destinador fora do cadastro",IF(AND(J278="Sim",N(P278)=0),"Necessita revisão de vínculos",IF(X278&gt;0,"Necessita revisão de vínculos",IF(J278="Sim","Conferido",IF(I278="Sim","Localizado, aguardando conferência","Cadastrado"))))))))</f>
        <v/>
      </c>
      <c r="R278" s="95" t="str">
        <f>IF(S278=0,"",COUNTIFS('VÍNCULOS_CDF'!$O$6:$O$1005,A278,'VÍNCULOS_CDF'!$AB$6:$AB$1005,1))</f>
        <v/>
      </c>
      <c r="S278" s="96">
        <f>IF(COUNTA(B278:N278)&gt;0,1,0)</f>
        <v>0</v>
      </c>
      <c r="T278" s="96" t="str">
        <f>IF(AND(S278=1,B278&lt;&gt;""),C278&amp;"|"&amp;TRIM(B278),"")</f>
        <v/>
      </c>
      <c r="U278" s="96">
        <f>IF(T278="",0,IF(SUMPRODUCT(--($T$6:$T$505=T278))&gt;1,1,0))</f>
        <v>0</v>
      </c>
      <c r="V278" s="96">
        <f>IF(F278="",0,IF(ISNUMBER(MATCH(F278,cmp_dest,0)),1,0))</f>
        <v>0</v>
      </c>
      <c r="W278" s="96">
        <f>IF(AND(S278=1,B278&lt;&gt;"",F278&lt;&gt;"",J278="Sim",U278=0),1,0)</f>
        <v>0</v>
      </c>
      <c r="X278" s="96">
        <f>IF(S278=0,0,COUNTIFS('VÍNCULOS_CDF'!$O$6:$O$1005,A278,'VÍNCULOS_CDF'!$Y$6:$Y$1005,1))</f>
        <v>0</v>
      </c>
      <c r="Y278" s="96" t="str">
        <f>IF(S278=1,A278&amp;" | CDF "&amp;IF(B278="","(sem número)",B278)&amp;" | "&amp;IF(F278="","(sem destinador)",F278),"")</f>
        <v/>
      </c>
      <c r="Z278" s="96" t="str">
        <f>IF(S278=1,COUNTIF($S$6:S278,1),"")</f>
        <v/>
      </c>
      <c r="AA278" s="96">
        <f>IF(S278=0,0,IF(AND(OR(r_ini="",AND(ISNUMBER(D278),D278&gt;=r_ini)),OR(r_fim="",AND(ISNUMBER(D278),D278&lt;=r_fim)),OR(r_de="",r_de="(Todos)",F278=r_de)),1,0))</f>
        <v>0</v>
      </c>
      <c r="AB278" s="96" t="str">
        <f>IF(AA278=1,IF(F278="",0,COUNTIF($F$6:$F$505,"&lt;"&amp;F278))*1000+273,"")</f>
        <v/>
      </c>
    </row>
    <row r="279">
      <c r="A279" s="89" t="inlineStr">
        <is>
          <t>CDF-000274</t>
        </is>
      </c>
      <c r="B279" s="90" t="n"/>
      <c r="C279" s="91" t="n"/>
      <c r="D279" s="92" t="n"/>
      <c r="E279" s="91" t="n"/>
      <c r="F279" s="91" t="n"/>
      <c r="G279" s="91" t="n"/>
      <c r="H279" s="91" t="n"/>
      <c r="I279" s="91" t="n"/>
      <c r="J279" s="91" t="n"/>
      <c r="K279" s="92" t="n"/>
      <c r="L279" s="91" t="n"/>
      <c r="M279" s="91" t="n"/>
      <c r="N279" s="91" t="n"/>
      <c r="O279" s="93" t="str">
        <f>IF(S279=0,"",SUMIFS('VÍNCULOS_CDF'!$H$6:$H$1005,'VÍNCULOS_CDF'!$O$6:$O$1005,A279,'VÍNCULOS_CDF'!$V$6:$V$1005,1))</f>
        <v/>
      </c>
      <c r="P279" s="95" t="str">
        <f>IF(S279=0,"",COUNTIFS('VÍNCULOS_CDF'!$O$6:$O$1005,A279,'VÍNCULOS_CDF'!$N$6:$N$1005,1))</f>
        <v/>
      </c>
      <c r="Q279" s="94" t="str">
        <f>IF(S279=0,"",IF(OR(B279="",F279=""),"Informações incompletas",IF(U279=1,"Possível duplicidade",IF(V279=0,"Destinador fora do cadastro",IF(AND(J279="Sim",N(P279)=0),"Necessita revisão de vínculos",IF(X279&gt;0,"Necessita revisão de vínculos",IF(J279="Sim","Conferido",IF(I279="Sim","Localizado, aguardando conferência","Cadastrado"))))))))</f>
        <v/>
      </c>
      <c r="R279" s="95" t="str">
        <f>IF(S279=0,"",COUNTIFS('VÍNCULOS_CDF'!$O$6:$O$1005,A279,'VÍNCULOS_CDF'!$AB$6:$AB$1005,1))</f>
        <v/>
      </c>
      <c r="S279" s="96">
        <f>IF(COUNTA(B279:N279)&gt;0,1,0)</f>
        <v>0</v>
      </c>
      <c r="T279" s="96" t="str">
        <f>IF(AND(S279=1,B279&lt;&gt;""),C279&amp;"|"&amp;TRIM(B279),"")</f>
        <v/>
      </c>
      <c r="U279" s="96">
        <f>IF(T279="",0,IF(SUMPRODUCT(--($T$6:$T$505=T279))&gt;1,1,0))</f>
        <v>0</v>
      </c>
      <c r="V279" s="96">
        <f>IF(F279="",0,IF(ISNUMBER(MATCH(F279,cmp_dest,0)),1,0))</f>
        <v>0</v>
      </c>
      <c r="W279" s="96">
        <f>IF(AND(S279=1,B279&lt;&gt;"",F279&lt;&gt;"",J279="Sim",U279=0),1,0)</f>
        <v>0</v>
      </c>
      <c r="X279" s="96">
        <f>IF(S279=0,0,COUNTIFS('VÍNCULOS_CDF'!$O$6:$O$1005,A279,'VÍNCULOS_CDF'!$Y$6:$Y$1005,1))</f>
        <v>0</v>
      </c>
      <c r="Y279" s="96" t="str">
        <f>IF(S279=1,A279&amp;" | CDF "&amp;IF(B279="","(sem número)",B279)&amp;" | "&amp;IF(F279="","(sem destinador)",F279),"")</f>
        <v/>
      </c>
      <c r="Z279" s="96" t="str">
        <f>IF(S279=1,COUNTIF($S$6:S279,1),"")</f>
        <v/>
      </c>
      <c r="AA279" s="96">
        <f>IF(S279=0,0,IF(AND(OR(r_ini="",AND(ISNUMBER(D279),D279&gt;=r_ini)),OR(r_fim="",AND(ISNUMBER(D279),D279&lt;=r_fim)),OR(r_de="",r_de="(Todos)",F279=r_de)),1,0))</f>
        <v>0</v>
      </c>
      <c r="AB279" s="96" t="str">
        <f>IF(AA279=1,IF(F279="",0,COUNTIF($F$6:$F$505,"&lt;"&amp;F279))*1000+274,"")</f>
        <v/>
      </c>
    </row>
    <row r="280">
      <c r="A280" s="89" t="inlineStr">
        <is>
          <t>CDF-000275</t>
        </is>
      </c>
      <c r="B280" s="90" t="n"/>
      <c r="C280" s="91" t="n"/>
      <c r="D280" s="92" t="n"/>
      <c r="E280" s="91" t="n"/>
      <c r="F280" s="91" t="n"/>
      <c r="G280" s="91" t="n"/>
      <c r="H280" s="91" t="n"/>
      <c r="I280" s="91" t="n"/>
      <c r="J280" s="91" t="n"/>
      <c r="K280" s="92" t="n"/>
      <c r="L280" s="91" t="n"/>
      <c r="M280" s="91" t="n"/>
      <c r="N280" s="91" t="n"/>
      <c r="O280" s="93" t="str">
        <f>IF(S280=0,"",SUMIFS('VÍNCULOS_CDF'!$H$6:$H$1005,'VÍNCULOS_CDF'!$O$6:$O$1005,A280,'VÍNCULOS_CDF'!$V$6:$V$1005,1))</f>
        <v/>
      </c>
      <c r="P280" s="95" t="str">
        <f>IF(S280=0,"",COUNTIFS('VÍNCULOS_CDF'!$O$6:$O$1005,A280,'VÍNCULOS_CDF'!$N$6:$N$1005,1))</f>
        <v/>
      </c>
      <c r="Q280" s="94" t="str">
        <f>IF(S280=0,"",IF(OR(B280="",F280=""),"Informações incompletas",IF(U280=1,"Possível duplicidade",IF(V280=0,"Destinador fora do cadastro",IF(AND(J280="Sim",N(P280)=0),"Necessita revisão de vínculos",IF(X280&gt;0,"Necessita revisão de vínculos",IF(J280="Sim","Conferido",IF(I280="Sim","Localizado, aguardando conferência","Cadastrado"))))))))</f>
        <v/>
      </c>
      <c r="R280" s="95" t="str">
        <f>IF(S280=0,"",COUNTIFS('VÍNCULOS_CDF'!$O$6:$O$1005,A280,'VÍNCULOS_CDF'!$AB$6:$AB$1005,1))</f>
        <v/>
      </c>
      <c r="S280" s="96">
        <f>IF(COUNTA(B280:N280)&gt;0,1,0)</f>
        <v>0</v>
      </c>
      <c r="T280" s="96" t="str">
        <f>IF(AND(S280=1,B280&lt;&gt;""),C280&amp;"|"&amp;TRIM(B280),"")</f>
        <v/>
      </c>
      <c r="U280" s="96">
        <f>IF(T280="",0,IF(SUMPRODUCT(--($T$6:$T$505=T280))&gt;1,1,0))</f>
        <v>0</v>
      </c>
      <c r="V280" s="96">
        <f>IF(F280="",0,IF(ISNUMBER(MATCH(F280,cmp_dest,0)),1,0))</f>
        <v>0</v>
      </c>
      <c r="W280" s="96">
        <f>IF(AND(S280=1,B280&lt;&gt;"",F280&lt;&gt;"",J280="Sim",U280=0),1,0)</f>
        <v>0</v>
      </c>
      <c r="X280" s="96">
        <f>IF(S280=0,0,COUNTIFS('VÍNCULOS_CDF'!$O$6:$O$1005,A280,'VÍNCULOS_CDF'!$Y$6:$Y$1005,1))</f>
        <v>0</v>
      </c>
      <c r="Y280" s="96" t="str">
        <f>IF(S280=1,A280&amp;" | CDF "&amp;IF(B280="","(sem número)",B280)&amp;" | "&amp;IF(F280="","(sem destinador)",F280),"")</f>
        <v/>
      </c>
      <c r="Z280" s="96" t="str">
        <f>IF(S280=1,COUNTIF($S$6:S280,1),"")</f>
        <v/>
      </c>
      <c r="AA280" s="96">
        <f>IF(S280=0,0,IF(AND(OR(r_ini="",AND(ISNUMBER(D280),D280&gt;=r_ini)),OR(r_fim="",AND(ISNUMBER(D280),D280&lt;=r_fim)),OR(r_de="",r_de="(Todos)",F280=r_de)),1,0))</f>
        <v>0</v>
      </c>
      <c r="AB280" s="96" t="str">
        <f>IF(AA280=1,IF(F280="",0,COUNTIF($F$6:$F$505,"&lt;"&amp;F280))*1000+275,"")</f>
        <v/>
      </c>
    </row>
    <row r="281">
      <c r="A281" s="89" t="inlineStr">
        <is>
          <t>CDF-000276</t>
        </is>
      </c>
      <c r="B281" s="90" t="n"/>
      <c r="C281" s="91" t="n"/>
      <c r="D281" s="92" t="n"/>
      <c r="E281" s="91" t="n"/>
      <c r="F281" s="91" t="n"/>
      <c r="G281" s="91" t="n"/>
      <c r="H281" s="91" t="n"/>
      <c r="I281" s="91" t="n"/>
      <c r="J281" s="91" t="n"/>
      <c r="K281" s="92" t="n"/>
      <c r="L281" s="91" t="n"/>
      <c r="M281" s="91" t="n"/>
      <c r="N281" s="91" t="n"/>
      <c r="O281" s="93" t="str">
        <f>IF(S281=0,"",SUMIFS('VÍNCULOS_CDF'!$H$6:$H$1005,'VÍNCULOS_CDF'!$O$6:$O$1005,A281,'VÍNCULOS_CDF'!$V$6:$V$1005,1))</f>
        <v/>
      </c>
      <c r="P281" s="95" t="str">
        <f>IF(S281=0,"",COUNTIFS('VÍNCULOS_CDF'!$O$6:$O$1005,A281,'VÍNCULOS_CDF'!$N$6:$N$1005,1))</f>
        <v/>
      </c>
      <c r="Q281" s="94" t="str">
        <f>IF(S281=0,"",IF(OR(B281="",F281=""),"Informações incompletas",IF(U281=1,"Possível duplicidade",IF(V281=0,"Destinador fora do cadastro",IF(AND(J281="Sim",N(P281)=0),"Necessita revisão de vínculos",IF(X281&gt;0,"Necessita revisão de vínculos",IF(J281="Sim","Conferido",IF(I281="Sim","Localizado, aguardando conferência","Cadastrado"))))))))</f>
        <v/>
      </c>
      <c r="R281" s="95" t="str">
        <f>IF(S281=0,"",COUNTIFS('VÍNCULOS_CDF'!$O$6:$O$1005,A281,'VÍNCULOS_CDF'!$AB$6:$AB$1005,1))</f>
        <v/>
      </c>
      <c r="S281" s="96">
        <f>IF(COUNTA(B281:N281)&gt;0,1,0)</f>
        <v>0</v>
      </c>
      <c r="T281" s="96" t="str">
        <f>IF(AND(S281=1,B281&lt;&gt;""),C281&amp;"|"&amp;TRIM(B281),"")</f>
        <v/>
      </c>
      <c r="U281" s="96">
        <f>IF(T281="",0,IF(SUMPRODUCT(--($T$6:$T$505=T281))&gt;1,1,0))</f>
        <v>0</v>
      </c>
      <c r="V281" s="96">
        <f>IF(F281="",0,IF(ISNUMBER(MATCH(F281,cmp_dest,0)),1,0))</f>
        <v>0</v>
      </c>
      <c r="W281" s="96">
        <f>IF(AND(S281=1,B281&lt;&gt;"",F281&lt;&gt;"",J281="Sim",U281=0),1,0)</f>
        <v>0</v>
      </c>
      <c r="X281" s="96">
        <f>IF(S281=0,0,COUNTIFS('VÍNCULOS_CDF'!$O$6:$O$1005,A281,'VÍNCULOS_CDF'!$Y$6:$Y$1005,1))</f>
        <v>0</v>
      </c>
      <c r="Y281" s="96" t="str">
        <f>IF(S281=1,A281&amp;" | CDF "&amp;IF(B281="","(sem número)",B281)&amp;" | "&amp;IF(F281="","(sem destinador)",F281),"")</f>
        <v/>
      </c>
      <c r="Z281" s="96" t="str">
        <f>IF(S281=1,COUNTIF($S$6:S281,1),"")</f>
        <v/>
      </c>
      <c r="AA281" s="96">
        <f>IF(S281=0,0,IF(AND(OR(r_ini="",AND(ISNUMBER(D281),D281&gt;=r_ini)),OR(r_fim="",AND(ISNUMBER(D281),D281&lt;=r_fim)),OR(r_de="",r_de="(Todos)",F281=r_de)),1,0))</f>
        <v>0</v>
      </c>
      <c r="AB281" s="96" t="str">
        <f>IF(AA281=1,IF(F281="",0,COUNTIF($F$6:$F$505,"&lt;"&amp;F281))*1000+276,"")</f>
        <v/>
      </c>
    </row>
    <row r="282">
      <c r="A282" s="89" t="inlineStr">
        <is>
          <t>CDF-000277</t>
        </is>
      </c>
      <c r="B282" s="90" t="n"/>
      <c r="C282" s="91" t="n"/>
      <c r="D282" s="92" t="n"/>
      <c r="E282" s="91" t="n"/>
      <c r="F282" s="91" t="n"/>
      <c r="G282" s="91" t="n"/>
      <c r="H282" s="91" t="n"/>
      <c r="I282" s="91" t="n"/>
      <c r="J282" s="91" t="n"/>
      <c r="K282" s="92" t="n"/>
      <c r="L282" s="91" t="n"/>
      <c r="M282" s="91" t="n"/>
      <c r="N282" s="91" t="n"/>
      <c r="O282" s="93" t="str">
        <f>IF(S282=0,"",SUMIFS('VÍNCULOS_CDF'!$H$6:$H$1005,'VÍNCULOS_CDF'!$O$6:$O$1005,A282,'VÍNCULOS_CDF'!$V$6:$V$1005,1))</f>
        <v/>
      </c>
      <c r="P282" s="95" t="str">
        <f>IF(S282=0,"",COUNTIFS('VÍNCULOS_CDF'!$O$6:$O$1005,A282,'VÍNCULOS_CDF'!$N$6:$N$1005,1))</f>
        <v/>
      </c>
      <c r="Q282" s="94" t="str">
        <f>IF(S282=0,"",IF(OR(B282="",F282=""),"Informações incompletas",IF(U282=1,"Possível duplicidade",IF(V282=0,"Destinador fora do cadastro",IF(AND(J282="Sim",N(P282)=0),"Necessita revisão de vínculos",IF(X282&gt;0,"Necessita revisão de vínculos",IF(J282="Sim","Conferido",IF(I282="Sim","Localizado, aguardando conferência","Cadastrado"))))))))</f>
        <v/>
      </c>
      <c r="R282" s="95" t="str">
        <f>IF(S282=0,"",COUNTIFS('VÍNCULOS_CDF'!$O$6:$O$1005,A282,'VÍNCULOS_CDF'!$AB$6:$AB$1005,1))</f>
        <v/>
      </c>
      <c r="S282" s="96">
        <f>IF(COUNTA(B282:N282)&gt;0,1,0)</f>
        <v>0</v>
      </c>
      <c r="T282" s="96" t="str">
        <f>IF(AND(S282=1,B282&lt;&gt;""),C282&amp;"|"&amp;TRIM(B282),"")</f>
        <v/>
      </c>
      <c r="U282" s="96">
        <f>IF(T282="",0,IF(SUMPRODUCT(--($T$6:$T$505=T282))&gt;1,1,0))</f>
        <v>0</v>
      </c>
      <c r="V282" s="96">
        <f>IF(F282="",0,IF(ISNUMBER(MATCH(F282,cmp_dest,0)),1,0))</f>
        <v>0</v>
      </c>
      <c r="W282" s="96">
        <f>IF(AND(S282=1,B282&lt;&gt;"",F282&lt;&gt;"",J282="Sim",U282=0),1,0)</f>
        <v>0</v>
      </c>
      <c r="X282" s="96">
        <f>IF(S282=0,0,COUNTIFS('VÍNCULOS_CDF'!$O$6:$O$1005,A282,'VÍNCULOS_CDF'!$Y$6:$Y$1005,1))</f>
        <v>0</v>
      </c>
      <c r="Y282" s="96" t="str">
        <f>IF(S282=1,A282&amp;" | CDF "&amp;IF(B282="","(sem número)",B282)&amp;" | "&amp;IF(F282="","(sem destinador)",F282),"")</f>
        <v/>
      </c>
      <c r="Z282" s="96" t="str">
        <f>IF(S282=1,COUNTIF($S$6:S282,1),"")</f>
        <v/>
      </c>
      <c r="AA282" s="96">
        <f>IF(S282=0,0,IF(AND(OR(r_ini="",AND(ISNUMBER(D282),D282&gt;=r_ini)),OR(r_fim="",AND(ISNUMBER(D282),D282&lt;=r_fim)),OR(r_de="",r_de="(Todos)",F282=r_de)),1,0))</f>
        <v>0</v>
      </c>
      <c r="AB282" s="96" t="str">
        <f>IF(AA282=1,IF(F282="",0,COUNTIF($F$6:$F$505,"&lt;"&amp;F282))*1000+277,"")</f>
        <v/>
      </c>
    </row>
    <row r="283">
      <c r="A283" s="89" t="inlineStr">
        <is>
          <t>CDF-000278</t>
        </is>
      </c>
      <c r="B283" s="90" t="n"/>
      <c r="C283" s="91" t="n"/>
      <c r="D283" s="92" t="n"/>
      <c r="E283" s="91" t="n"/>
      <c r="F283" s="91" t="n"/>
      <c r="G283" s="91" t="n"/>
      <c r="H283" s="91" t="n"/>
      <c r="I283" s="91" t="n"/>
      <c r="J283" s="91" t="n"/>
      <c r="K283" s="92" t="n"/>
      <c r="L283" s="91" t="n"/>
      <c r="M283" s="91" t="n"/>
      <c r="N283" s="91" t="n"/>
      <c r="O283" s="93" t="str">
        <f>IF(S283=0,"",SUMIFS('VÍNCULOS_CDF'!$H$6:$H$1005,'VÍNCULOS_CDF'!$O$6:$O$1005,A283,'VÍNCULOS_CDF'!$V$6:$V$1005,1))</f>
        <v/>
      </c>
      <c r="P283" s="95" t="str">
        <f>IF(S283=0,"",COUNTIFS('VÍNCULOS_CDF'!$O$6:$O$1005,A283,'VÍNCULOS_CDF'!$N$6:$N$1005,1))</f>
        <v/>
      </c>
      <c r="Q283" s="94" t="str">
        <f>IF(S283=0,"",IF(OR(B283="",F283=""),"Informações incompletas",IF(U283=1,"Possível duplicidade",IF(V283=0,"Destinador fora do cadastro",IF(AND(J283="Sim",N(P283)=0),"Necessita revisão de vínculos",IF(X283&gt;0,"Necessita revisão de vínculos",IF(J283="Sim","Conferido",IF(I283="Sim","Localizado, aguardando conferência","Cadastrado"))))))))</f>
        <v/>
      </c>
      <c r="R283" s="95" t="str">
        <f>IF(S283=0,"",COUNTIFS('VÍNCULOS_CDF'!$O$6:$O$1005,A283,'VÍNCULOS_CDF'!$AB$6:$AB$1005,1))</f>
        <v/>
      </c>
      <c r="S283" s="96">
        <f>IF(COUNTA(B283:N283)&gt;0,1,0)</f>
        <v>0</v>
      </c>
      <c r="T283" s="96" t="str">
        <f>IF(AND(S283=1,B283&lt;&gt;""),C283&amp;"|"&amp;TRIM(B283),"")</f>
        <v/>
      </c>
      <c r="U283" s="96">
        <f>IF(T283="",0,IF(SUMPRODUCT(--($T$6:$T$505=T283))&gt;1,1,0))</f>
        <v>0</v>
      </c>
      <c r="V283" s="96">
        <f>IF(F283="",0,IF(ISNUMBER(MATCH(F283,cmp_dest,0)),1,0))</f>
        <v>0</v>
      </c>
      <c r="W283" s="96">
        <f>IF(AND(S283=1,B283&lt;&gt;"",F283&lt;&gt;"",J283="Sim",U283=0),1,0)</f>
        <v>0</v>
      </c>
      <c r="X283" s="96">
        <f>IF(S283=0,0,COUNTIFS('VÍNCULOS_CDF'!$O$6:$O$1005,A283,'VÍNCULOS_CDF'!$Y$6:$Y$1005,1))</f>
        <v>0</v>
      </c>
      <c r="Y283" s="96" t="str">
        <f>IF(S283=1,A283&amp;" | CDF "&amp;IF(B283="","(sem número)",B283)&amp;" | "&amp;IF(F283="","(sem destinador)",F283),"")</f>
        <v/>
      </c>
      <c r="Z283" s="96" t="str">
        <f>IF(S283=1,COUNTIF($S$6:S283,1),"")</f>
        <v/>
      </c>
      <c r="AA283" s="96">
        <f>IF(S283=0,0,IF(AND(OR(r_ini="",AND(ISNUMBER(D283),D283&gt;=r_ini)),OR(r_fim="",AND(ISNUMBER(D283),D283&lt;=r_fim)),OR(r_de="",r_de="(Todos)",F283=r_de)),1,0))</f>
        <v>0</v>
      </c>
      <c r="AB283" s="96" t="str">
        <f>IF(AA283=1,IF(F283="",0,COUNTIF($F$6:$F$505,"&lt;"&amp;F283))*1000+278,"")</f>
        <v/>
      </c>
    </row>
    <row r="284">
      <c r="A284" s="89" t="inlineStr">
        <is>
          <t>CDF-000279</t>
        </is>
      </c>
      <c r="B284" s="90" t="n"/>
      <c r="C284" s="91" t="n"/>
      <c r="D284" s="92" t="n"/>
      <c r="E284" s="91" t="n"/>
      <c r="F284" s="91" t="n"/>
      <c r="G284" s="91" t="n"/>
      <c r="H284" s="91" t="n"/>
      <c r="I284" s="91" t="n"/>
      <c r="J284" s="91" t="n"/>
      <c r="K284" s="92" t="n"/>
      <c r="L284" s="91" t="n"/>
      <c r="M284" s="91" t="n"/>
      <c r="N284" s="91" t="n"/>
      <c r="O284" s="93" t="str">
        <f>IF(S284=0,"",SUMIFS('VÍNCULOS_CDF'!$H$6:$H$1005,'VÍNCULOS_CDF'!$O$6:$O$1005,A284,'VÍNCULOS_CDF'!$V$6:$V$1005,1))</f>
        <v/>
      </c>
      <c r="P284" s="95" t="str">
        <f>IF(S284=0,"",COUNTIFS('VÍNCULOS_CDF'!$O$6:$O$1005,A284,'VÍNCULOS_CDF'!$N$6:$N$1005,1))</f>
        <v/>
      </c>
      <c r="Q284" s="94" t="str">
        <f>IF(S284=0,"",IF(OR(B284="",F284=""),"Informações incompletas",IF(U284=1,"Possível duplicidade",IF(V284=0,"Destinador fora do cadastro",IF(AND(J284="Sim",N(P284)=0),"Necessita revisão de vínculos",IF(X284&gt;0,"Necessita revisão de vínculos",IF(J284="Sim","Conferido",IF(I284="Sim","Localizado, aguardando conferência","Cadastrado"))))))))</f>
        <v/>
      </c>
      <c r="R284" s="95" t="str">
        <f>IF(S284=0,"",COUNTIFS('VÍNCULOS_CDF'!$O$6:$O$1005,A284,'VÍNCULOS_CDF'!$AB$6:$AB$1005,1))</f>
        <v/>
      </c>
      <c r="S284" s="96">
        <f>IF(COUNTA(B284:N284)&gt;0,1,0)</f>
        <v>0</v>
      </c>
      <c r="T284" s="96" t="str">
        <f>IF(AND(S284=1,B284&lt;&gt;""),C284&amp;"|"&amp;TRIM(B284),"")</f>
        <v/>
      </c>
      <c r="U284" s="96">
        <f>IF(T284="",0,IF(SUMPRODUCT(--($T$6:$T$505=T284))&gt;1,1,0))</f>
        <v>0</v>
      </c>
      <c r="V284" s="96">
        <f>IF(F284="",0,IF(ISNUMBER(MATCH(F284,cmp_dest,0)),1,0))</f>
        <v>0</v>
      </c>
      <c r="W284" s="96">
        <f>IF(AND(S284=1,B284&lt;&gt;"",F284&lt;&gt;"",J284="Sim",U284=0),1,0)</f>
        <v>0</v>
      </c>
      <c r="X284" s="96">
        <f>IF(S284=0,0,COUNTIFS('VÍNCULOS_CDF'!$O$6:$O$1005,A284,'VÍNCULOS_CDF'!$Y$6:$Y$1005,1))</f>
        <v>0</v>
      </c>
      <c r="Y284" s="96" t="str">
        <f>IF(S284=1,A284&amp;" | CDF "&amp;IF(B284="","(sem número)",B284)&amp;" | "&amp;IF(F284="","(sem destinador)",F284),"")</f>
        <v/>
      </c>
      <c r="Z284" s="96" t="str">
        <f>IF(S284=1,COUNTIF($S$6:S284,1),"")</f>
        <v/>
      </c>
      <c r="AA284" s="96">
        <f>IF(S284=0,0,IF(AND(OR(r_ini="",AND(ISNUMBER(D284),D284&gt;=r_ini)),OR(r_fim="",AND(ISNUMBER(D284),D284&lt;=r_fim)),OR(r_de="",r_de="(Todos)",F284=r_de)),1,0))</f>
        <v>0</v>
      </c>
      <c r="AB284" s="96" t="str">
        <f>IF(AA284=1,IF(F284="",0,COUNTIF($F$6:$F$505,"&lt;"&amp;F284))*1000+279,"")</f>
        <v/>
      </c>
    </row>
    <row r="285">
      <c r="A285" s="89" t="inlineStr">
        <is>
          <t>CDF-000280</t>
        </is>
      </c>
      <c r="B285" s="90" t="n"/>
      <c r="C285" s="91" t="n"/>
      <c r="D285" s="92" t="n"/>
      <c r="E285" s="91" t="n"/>
      <c r="F285" s="91" t="n"/>
      <c r="G285" s="91" t="n"/>
      <c r="H285" s="91" t="n"/>
      <c r="I285" s="91" t="n"/>
      <c r="J285" s="91" t="n"/>
      <c r="K285" s="92" t="n"/>
      <c r="L285" s="91" t="n"/>
      <c r="M285" s="91" t="n"/>
      <c r="N285" s="91" t="n"/>
      <c r="O285" s="93" t="str">
        <f>IF(S285=0,"",SUMIFS('VÍNCULOS_CDF'!$H$6:$H$1005,'VÍNCULOS_CDF'!$O$6:$O$1005,A285,'VÍNCULOS_CDF'!$V$6:$V$1005,1))</f>
        <v/>
      </c>
      <c r="P285" s="95" t="str">
        <f>IF(S285=0,"",COUNTIFS('VÍNCULOS_CDF'!$O$6:$O$1005,A285,'VÍNCULOS_CDF'!$N$6:$N$1005,1))</f>
        <v/>
      </c>
      <c r="Q285" s="94" t="str">
        <f>IF(S285=0,"",IF(OR(B285="",F285=""),"Informações incompletas",IF(U285=1,"Possível duplicidade",IF(V285=0,"Destinador fora do cadastro",IF(AND(J285="Sim",N(P285)=0),"Necessita revisão de vínculos",IF(X285&gt;0,"Necessita revisão de vínculos",IF(J285="Sim","Conferido",IF(I285="Sim","Localizado, aguardando conferência","Cadastrado"))))))))</f>
        <v/>
      </c>
      <c r="R285" s="95" t="str">
        <f>IF(S285=0,"",COUNTIFS('VÍNCULOS_CDF'!$O$6:$O$1005,A285,'VÍNCULOS_CDF'!$AB$6:$AB$1005,1))</f>
        <v/>
      </c>
      <c r="S285" s="96">
        <f>IF(COUNTA(B285:N285)&gt;0,1,0)</f>
        <v>0</v>
      </c>
      <c r="T285" s="96" t="str">
        <f>IF(AND(S285=1,B285&lt;&gt;""),C285&amp;"|"&amp;TRIM(B285),"")</f>
        <v/>
      </c>
      <c r="U285" s="96">
        <f>IF(T285="",0,IF(SUMPRODUCT(--($T$6:$T$505=T285))&gt;1,1,0))</f>
        <v>0</v>
      </c>
      <c r="V285" s="96">
        <f>IF(F285="",0,IF(ISNUMBER(MATCH(F285,cmp_dest,0)),1,0))</f>
        <v>0</v>
      </c>
      <c r="W285" s="96">
        <f>IF(AND(S285=1,B285&lt;&gt;"",F285&lt;&gt;"",J285="Sim",U285=0),1,0)</f>
        <v>0</v>
      </c>
      <c r="X285" s="96">
        <f>IF(S285=0,0,COUNTIFS('VÍNCULOS_CDF'!$O$6:$O$1005,A285,'VÍNCULOS_CDF'!$Y$6:$Y$1005,1))</f>
        <v>0</v>
      </c>
      <c r="Y285" s="96" t="str">
        <f>IF(S285=1,A285&amp;" | CDF "&amp;IF(B285="","(sem número)",B285)&amp;" | "&amp;IF(F285="","(sem destinador)",F285),"")</f>
        <v/>
      </c>
      <c r="Z285" s="96" t="str">
        <f>IF(S285=1,COUNTIF($S$6:S285,1),"")</f>
        <v/>
      </c>
      <c r="AA285" s="96">
        <f>IF(S285=0,0,IF(AND(OR(r_ini="",AND(ISNUMBER(D285),D285&gt;=r_ini)),OR(r_fim="",AND(ISNUMBER(D285),D285&lt;=r_fim)),OR(r_de="",r_de="(Todos)",F285=r_de)),1,0))</f>
        <v>0</v>
      </c>
      <c r="AB285" s="96" t="str">
        <f>IF(AA285=1,IF(F285="",0,COUNTIF($F$6:$F$505,"&lt;"&amp;F285))*1000+280,"")</f>
        <v/>
      </c>
    </row>
    <row r="286">
      <c r="A286" s="89" t="inlineStr">
        <is>
          <t>CDF-000281</t>
        </is>
      </c>
      <c r="B286" s="90" t="n"/>
      <c r="C286" s="91" t="n"/>
      <c r="D286" s="92" t="n"/>
      <c r="E286" s="91" t="n"/>
      <c r="F286" s="91" t="n"/>
      <c r="G286" s="91" t="n"/>
      <c r="H286" s="91" t="n"/>
      <c r="I286" s="91" t="n"/>
      <c r="J286" s="91" t="n"/>
      <c r="K286" s="92" t="n"/>
      <c r="L286" s="91" t="n"/>
      <c r="M286" s="91" t="n"/>
      <c r="N286" s="91" t="n"/>
      <c r="O286" s="93" t="str">
        <f>IF(S286=0,"",SUMIFS('VÍNCULOS_CDF'!$H$6:$H$1005,'VÍNCULOS_CDF'!$O$6:$O$1005,A286,'VÍNCULOS_CDF'!$V$6:$V$1005,1))</f>
        <v/>
      </c>
      <c r="P286" s="95" t="str">
        <f>IF(S286=0,"",COUNTIFS('VÍNCULOS_CDF'!$O$6:$O$1005,A286,'VÍNCULOS_CDF'!$N$6:$N$1005,1))</f>
        <v/>
      </c>
      <c r="Q286" s="94" t="str">
        <f>IF(S286=0,"",IF(OR(B286="",F286=""),"Informações incompletas",IF(U286=1,"Possível duplicidade",IF(V286=0,"Destinador fora do cadastro",IF(AND(J286="Sim",N(P286)=0),"Necessita revisão de vínculos",IF(X286&gt;0,"Necessita revisão de vínculos",IF(J286="Sim","Conferido",IF(I286="Sim","Localizado, aguardando conferência","Cadastrado"))))))))</f>
        <v/>
      </c>
      <c r="R286" s="95" t="str">
        <f>IF(S286=0,"",COUNTIFS('VÍNCULOS_CDF'!$O$6:$O$1005,A286,'VÍNCULOS_CDF'!$AB$6:$AB$1005,1))</f>
        <v/>
      </c>
      <c r="S286" s="96">
        <f>IF(COUNTA(B286:N286)&gt;0,1,0)</f>
        <v>0</v>
      </c>
      <c r="T286" s="96" t="str">
        <f>IF(AND(S286=1,B286&lt;&gt;""),C286&amp;"|"&amp;TRIM(B286),"")</f>
        <v/>
      </c>
      <c r="U286" s="96">
        <f>IF(T286="",0,IF(SUMPRODUCT(--($T$6:$T$505=T286))&gt;1,1,0))</f>
        <v>0</v>
      </c>
      <c r="V286" s="96">
        <f>IF(F286="",0,IF(ISNUMBER(MATCH(F286,cmp_dest,0)),1,0))</f>
        <v>0</v>
      </c>
      <c r="W286" s="96">
        <f>IF(AND(S286=1,B286&lt;&gt;"",F286&lt;&gt;"",J286="Sim",U286=0),1,0)</f>
        <v>0</v>
      </c>
      <c r="X286" s="96">
        <f>IF(S286=0,0,COUNTIFS('VÍNCULOS_CDF'!$O$6:$O$1005,A286,'VÍNCULOS_CDF'!$Y$6:$Y$1005,1))</f>
        <v>0</v>
      </c>
      <c r="Y286" s="96" t="str">
        <f>IF(S286=1,A286&amp;" | CDF "&amp;IF(B286="","(sem número)",B286)&amp;" | "&amp;IF(F286="","(sem destinador)",F286),"")</f>
        <v/>
      </c>
      <c r="Z286" s="96" t="str">
        <f>IF(S286=1,COUNTIF($S$6:S286,1),"")</f>
        <v/>
      </c>
      <c r="AA286" s="96">
        <f>IF(S286=0,0,IF(AND(OR(r_ini="",AND(ISNUMBER(D286),D286&gt;=r_ini)),OR(r_fim="",AND(ISNUMBER(D286),D286&lt;=r_fim)),OR(r_de="",r_de="(Todos)",F286=r_de)),1,0))</f>
        <v>0</v>
      </c>
      <c r="AB286" s="96" t="str">
        <f>IF(AA286=1,IF(F286="",0,COUNTIF($F$6:$F$505,"&lt;"&amp;F286))*1000+281,"")</f>
        <v/>
      </c>
    </row>
    <row r="287">
      <c r="A287" s="89" t="inlineStr">
        <is>
          <t>CDF-000282</t>
        </is>
      </c>
      <c r="B287" s="90" t="n"/>
      <c r="C287" s="91" t="n"/>
      <c r="D287" s="92" t="n"/>
      <c r="E287" s="91" t="n"/>
      <c r="F287" s="91" t="n"/>
      <c r="G287" s="91" t="n"/>
      <c r="H287" s="91" t="n"/>
      <c r="I287" s="91" t="n"/>
      <c r="J287" s="91" t="n"/>
      <c r="K287" s="92" t="n"/>
      <c r="L287" s="91" t="n"/>
      <c r="M287" s="91" t="n"/>
      <c r="N287" s="91" t="n"/>
      <c r="O287" s="93" t="str">
        <f>IF(S287=0,"",SUMIFS('VÍNCULOS_CDF'!$H$6:$H$1005,'VÍNCULOS_CDF'!$O$6:$O$1005,A287,'VÍNCULOS_CDF'!$V$6:$V$1005,1))</f>
        <v/>
      </c>
      <c r="P287" s="95" t="str">
        <f>IF(S287=0,"",COUNTIFS('VÍNCULOS_CDF'!$O$6:$O$1005,A287,'VÍNCULOS_CDF'!$N$6:$N$1005,1))</f>
        <v/>
      </c>
      <c r="Q287" s="94" t="str">
        <f>IF(S287=0,"",IF(OR(B287="",F287=""),"Informações incompletas",IF(U287=1,"Possível duplicidade",IF(V287=0,"Destinador fora do cadastro",IF(AND(J287="Sim",N(P287)=0),"Necessita revisão de vínculos",IF(X287&gt;0,"Necessita revisão de vínculos",IF(J287="Sim","Conferido",IF(I287="Sim","Localizado, aguardando conferência","Cadastrado"))))))))</f>
        <v/>
      </c>
      <c r="R287" s="95" t="str">
        <f>IF(S287=0,"",COUNTIFS('VÍNCULOS_CDF'!$O$6:$O$1005,A287,'VÍNCULOS_CDF'!$AB$6:$AB$1005,1))</f>
        <v/>
      </c>
      <c r="S287" s="96">
        <f>IF(COUNTA(B287:N287)&gt;0,1,0)</f>
        <v>0</v>
      </c>
      <c r="T287" s="96" t="str">
        <f>IF(AND(S287=1,B287&lt;&gt;""),C287&amp;"|"&amp;TRIM(B287),"")</f>
        <v/>
      </c>
      <c r="U287" s="96">
        <f>IF(T287="",0,IF(SUMPRODUCT(--($T$6:$T$505=T287))&gt;1,1,0))</f>
        <v>0</v>
      </c>
      <c r="V287" s="96">
        <f>IF(F287="",0,IF(ISNUMBER(MATCH(F287,cmp_dest,0)),1,0))</f>
        <v>0</v>
      </c>
      <c r="W287" s="96">
        <f>IF(AND(S287=1,B287&lt;&gt;"",F287&lt;&gt;"",J287="Sim",U287=0),1,0)</f>
        <v>0</v>
      </c>
      <c r="X287" s="96">
        <f>IF(S287=0,0,COUNTIFS('VÍNCULOS_CDF'!$O$6:$O$1005,A287,'VÍNCULOS_CDF'!$Y$6:$Y$1005,1))</f>
        <v>0</v>
      </c>
      <c r="Y287" s="96" t="str">
        <f>IF(S287=1,A287&amp;" | CDF "&amp;IF(B287="","(sem número)",B287)&amp;" | "&amp;IF(F287="","(sem destinador)",F287),"")</f>
        <v/>
      </c>
      <c r="Z287" s="96" t="str">
        <f>IF(S287=1,COUNTIF($S$6:S287,1),"")</f>
        <v/>
      </c>
      <c r="AA287" s="96">
        <f>IF(S287=0,0,IF(AND(OR(r_ini="",AND(ISNUMBER(D287),D287&gt;=r_ini)),OR(r_fim="",AND(ISNUMBER(D287),D287&lt;=r_fim)),OR(r_de="",r_de="(Todos)",F287=r_de)),1,0))</f>
        <v>0</v>
      </c>
      <c r="AB287" s="96" t="str">
        <f>IF(AA287=1,IF(F287="",0,COUNTIF($F$6:$F$505,"&lt;"&amp;F287))*1000+282,"")</f>
        <v/>
      </c>
    </row>
    <row r="288">
      <c r="A288" s="89" t="inlineStr">
        <is>
          <t>CDF-000283</t>
        </is>
      </c>
      <c r="B288" s="90" t="n"/>
      <c r="C288" s="91" t="n"/>
      <c r="D288" s="92" t="n"/>
      <c r="E288" s="91" t="n"/>
      <c r="F288" s="91" t="n"/>
      <c r="G288" s="91" t="n"/>
      <c r="H288" s="91" t="n"/>
      <c r="I288" s="91" t="n"/>
      <c r="J288" s="91" t="n"/>
      <c r="K288" s="92" t="n"/>
      <c r="L288" s="91" t="n"/>
      <c r="M288" s="91" t="n"/>
      <c r="N288" s="91" t="n"/>
      <c r="O288" s="93" t="str">
        <f>IF(S288=0,"",SUMIFS('VÍNCULOS_CDF'!$H$6:$H$1005,'VÍNCULOS_CDF'!$O$6:$O$1005,A288,'VÍNCULOS_CDF'!$V$6:$V$1005,1))</f>
        <v/>
      </c>
      <c r="P288" s="95" t="str">
        <f>IF(S288=0,"",COUNTIFS('VÍNCULOS_CDF'!$O$6:$O$1005,A288,'VÍNCULOS_CDF'!$N$6:$N$1005,1))</f>
        <v/>
      </c>
      <c r="Q288" s="94" t="str">
        <f>IF(S288=0,"",IF(OR(B288="",F288=""),"Informações incompletas",IF(U288=1,"Possível duplicidade",IF(V288=0,"Destinador fora do cadastro",IF(AND(J288="Sim",N(P288)=0),"Necessita revisão de vínculos",IF(X288&gt;0,"Necessita revisão de vínculos",IF(J288="Sim","Conferido",IF(I288="Sim","Localizado, aguardando conferência","Cadastrado"))))))))</f>
        <v/>
      </c>
      <c r="R288" s="95" t="str">
        <f>IF(S288=0,"",COUNTIFS('VÍNCULOS_CDF'!$O$6:$O$1005,A288,'VÍNCULOS_CDF'!$AB$6:$AB$1005,1))</f>
        <v/>
      </c>
      <c r="S288" s="96">
        <f>IF(COUNTA(B288:N288)&gt;0,1,0)</f>
        <v>0</v>
      </c>
      <c r="T288" s="96" t="str">
        <f>IF(AND(S288=1,B288&lt;&gt;""),C288&amp;"|"&amp;TRIM(B288),"")</f>
        <v/>
      </c>
      <c r="U288" s="96">
        <f>IF(T288="",0,IF(SUMPRODUCT(--($T$6:$T$505=T288))&gt;1,1,0))</f>
        <v>0</v>
      </c>
      <c r="V288" s="96">
        <f>IF(F288="",0,IF(ISNUMBER(MATCH(F288,cmp_dest,0)),1,0))</f>
        <v>0</v>
      </c>
      <c r="W288" s="96">
        <f>IF(AND(S288=1,B288&lt;&gt;"",F288&lt;&gt;"",J288="Sim",U288=0),1,0)</f>
        <v>0</v>
      </c>
      <c r="X288" s="96">
        <f>IF(S288=0,0,COUNTIFS('VÍNCULOS_CDF'!$O$6:$O$1005,A288,'VÍNCULOS_CDF'!$Y$6:$Y$1005,1))</f>
        <v>0</v>
      </c>
      <c r="Y288" s="96" t="str">
        <f>IF(S288=1,A288&amp;" | CDF "&amp;IF(B288="","(sem número)",B288)&amp;" | "&amp;IF(F288="","(sem destinador)",F288),"")</f>
        <v/>
      </c>
      <c r="Z288" s="96" t="str">
        <f>IF(S288=1,COUNTIF($S$6:S288,1),"")</f>
        <v/>
      </c>
      <c r="AA288" s="96">
        <f>IF(S288=0,0,IF(AND(OR(r_ini="",AND(ISNUMBER(D288),D288&gt;=r_ini)),OR(r_fim="",AND(ISNUMBER(D288),D288&lt;=r_fim)),OR(r_de="",r_de="(Todos)",F288=r_de)),1,0))</f>
        <v>0</v>
      </c>
      <c r="AB288" s="96" t="str">
        <f>IF(AA288=1,IF(F288="",0,COUNTIF($F$6:$F$505,"&lt;"&amp;F288))*1000+283,"")</f>
        <v/>
      </c>
    </row>
    <row r="289">
      <c r="A289" s="89" t="inlineStr">
        <is>
          <t>CDF-000284</t>
        </is>
      </c>
      <c r="B289" s="90" t="n"/>
      <c r="C289" s="91" t="n"/>
      <c r="D289" s="92" t="n"/>
      <c r="E289" s="91" t="n"/>
      <c r="F289" s="91" t="n"/>
      <c r="G289" s="91" t="n"/>
      <c r="H289" s="91" t="n"/>
      <c r="I289" s="91" t="n"/>
      <c r="J289" s="91" t="n"/>
      <c r="K289" s="92" t="n"/>
      <c r="L289" s="91" t="n"/>
      <c r="M289" s="91" t="n"/>
      <c r="N289" s="91" t="n"/>
      <c r="O289" s="93" t="str">
        <f>IF(S289=0,"",SUMIFS('VÍNCULOS_CDF'!$H$6:$H$1005,'VÍNCULOS_CDF'!$O$6:$O$1005,A289,'VÍNCULOS_CDF'!$V$6:$V$1005,1))</f>
        <v/>
      </c>
      <c r="P289" s="95" t="str">
        <f>IF(S289=0,"",COUNTIFS('VÍNCULOS_CDF'!$O$6:$O$1005,A289,'VÍNCULOS_CDF'!$N$6:$N$1005,1))</f>
        <v/>
      </c>
      <c r="Q289" s="94" t="str">
        <f>IF(S289=0,"",IF(OR(B289="",F289=""),"Informações incompletas",IF(U289=1,"Possível duplicidade",IF(V289=0,"Destinador fora do cadastro",IF(AND(J289="Sim",N(P289)=0),"Necessita revisão de vínculos",IF(X289&gt;0,"Necessita revisão de vínculos",IF(J289="Sim","Conferido",IF(I289="Sim","Localizado, aguardando conferência","Cadastrado"))))))))</f>
        <v/>
      </c>
      <c r="R289" s="95" t="str">
        <f>IF(S289=0,"",COUNTIFS('VÍNCULOS_CDF'!$O$6:$O$1005,A289,'VÍNCULOS_CDF'!$AB$6:$AB$1005,1))</f>
        <v/>
      </c>
      <c r="S289" s="96">
        <f>IF(COUNTA(B289:N289)&gt;0,1,0)</f>
        <v>0</v>
      </c>
      <c r="T289" s="96" t="str">
        <f>IF(AND(S289=1,B289&lt;&gt;""),C289&amp;"|"&amp;TRIM(B289),"")</f>
        <v/>
      </c>
      <c r="U289" s="96">
        <f>IF(T289="",0,IF(SUMPRODUCT(--($T$6:$T$505=T289))&gt;1,1,0))</f>
        <v>0</v>
      </c>
      <c r="V289" s="96">
        <f>IF(F289="",0,IF(ISNUMBER(MATCH(F289,cmp_dest,0)),1,0))</f>
        <v>0</v>
      </c>
      <c r="W289" s="96">
        <f>IF(AND(S289=1,B289&lt;&gt;"",F289&lt;&gt;"",J289="Sim",U289=0),1,0)</f>
        <v>0</v>
      </c>
      <c r="X289" s="96">
        <f>IF(S289=0,0,COUNTIFS('VÍNCULOS_CDF'!$O$6:$O$1005,A289,'VÍNCULOS_CDF'!$Y$6:$Y$1005,1))</f>
        <v>0</v>
      </c>
      <c r="Y289" s="96" t="str">
        <f>IF(S289=1,A289&amp;" | CDF "&amp;IF(B289="","(sem número)",B289)&amp;" | "&amp;IF(F289="","(sem destinador)",F289),"")</f>
        <v/>
      </c>
      <c r="Z289" s="96" t="str">
        <f>IF(S289=1,COUNTIF($S$6:S289,1),"")</f>
        <v/>
      </c>
      <c r="AA289" s="96">
        <f>IF(S289=0,0,IF(AND(OR(r_ini="",AND(ISNUMBER(D289),D289&gt;=r_ini)),OR(r_fim="",AND(ISNUMBER(D289),D289&lt;=r_fim)),OR(r_de="",r_de="(Todos)",F289=r_de)),1,0))</f>
        <v>0</v>
      </c>
      <c r="AB289" s="96" t="str">
        <f>IF(AA289=1,IF(F289="",0,COUNTIF($F$6:$F$505,"&lt;"&amp;F289))*1000+284,"")</f>
        <v/>
      </c>
    </row>
    <row r="290">
      <c r="A290" s="89" t="inlineStr">
        <is>
          <t>CDF-000285</t>
        </is>
      </c>
      <c r="B290" s="90" t="n"/>
      <c r="C290" s="91" t="n"/>
      <c r="D290" s="92" t="n"/>
      <c r="E290" s="91" t="n"/>
      <c r="F290" s="91" t="n"/>
      <c r="G290" s="91" t="n"/>
      <c r="H290" s="91" t="n"/>
      <c r="I290" s="91" t="n"/>
      <c r="J290" s="91" t="n"/>
      <c r="K290" s="92" t="n"/>
      <c r="L290" s="91" t="n"/>
      <c r="M290" s="91" t="n"/>
      <c r="N290" s="91" t="n"/>
      <c r="O290" s="93" t="str">
        <f>IF(S290=0,"",SUMIFS('VÍNCULOS_CDF'!$H$6:$H$1005,'VÍNCULOS_CDF'!$O$6:$O$1005,A290,'VÍNCULOS_CDF'!$V$6:$V$1005,1))</f>
        <v/>
      </c>
      <c r="P290" s="95" t="str">
        <f>IF(S290=0,"",COUNTIFS('VÍNCULOS_CDF'!$O$6:$O$1005,A290,'VÍNCULOS_CDF'!$N$6:$N$1005,1))</f>
        <v/>
      </c>
      <c r="Q290" s="94" t="str">
        <f>IF(S290=0,"",IF(OR(B290="",F290=""),"Informações incompletas",IF(U290=1,"Possível duplicidade",IF(V290=0,"Destinador fora do cadastro",IF(AND(J290="Sim",N(P290)=0),"Necessita revisão de vínculos",IF(X290&gt;0,"Necessita revisão de vínculos",IF(J290="Sim","Conferido",IF(I290="Sim","Localizado, aguardando conferência","Cadastrado"))))))))</f>
        <v/>
      </c>
      <c r="R290" s="95" t="str">
        <f>IF(S290=0,"",COUNTIFS('VÍNCULOS_CDF'!$O$6:$O$1005,A290,'VÍNCULOS_CDF'!$AB$6:$AB$1005,1))</f>
        <v/>
      </c>
      <c r="S290" s="96">
        <f>IF(COUNTA(B290:N290)&gt;0,1,0)</f>
        <v>0</v>
      </c>
      <c r="T290" s="96" t="str">
        <f>IF(AND(S290=1,B290&lt;&gt;""),C290&amp;"|"&amp;TRIM(B290),"")</f>
        <v/>
      </c>
      <c r="U290" s="96">
        <f>IF(T290="",0,IF(SUMPRODUCT(--($T$6:$T$505=T290))&gt;1,1,0))</f>
        <v>0</v>
      </c>
      <c r="V290" s="96">
        <f>IF(F290="",0,IF(ISNUMBER(MATCH(F290,cmp_dest,0)),1,0))</f>
        <v>0</v>
      </c>
      <c r="W290" s="96">
        <f>IF(AND(S290=1,B290&lt;&gt;"",F290&lt;&gt;"",J290="Sim",U290=0),1,0)</f>
        <v>0</v>
      </c>
      <c r="X290" s="96">
        <f>IF(S290=0,0,COUNTIFS('VÍNCULOS_CDF'!$O$6:$O$1005,A290,'VÍNCULOS_CDF'!$Y$6:$Y$1005,1))</f>
        <v>0</v>
      </c>
      <c r="Y290" s="96" t="str">
        <f>IF(S290=1,A290&amp;" | CDF "&amp;IF(B290="","(sem número)",B290)&amp;" | "&amp;IF(F290="","(sem destinador)",F290),"")</f>
        <v/>
      </c>
      <c r="Z290" s="96" t="str">
        <f>IF(S290=1,COUNTIF($S$6:S290,1),"")</f>
        <v/>
      </c>
      <c r="AA290" s="96">
        <f>IF(S290=0,0,IF(AND(OR(r_ini="",AND(ISNUMBER(D290),D290&gt;=r_ini)),OR(r_fim="",AND(ISNUMBER(D290),D290&lt;=r_fim)),OR(r_de="",r_de="(Todos)",F290=r_de)),1,0))</f>
        <v>0</v>
      </c>
      <c r="AB290" s="96" t="str">
        <f>IF(AA290=1,IF(F290="",0,COUNTIF($F$6:$F$505,"&lt;"&amp;F290))*1000+285,"")</f>
        <v/>
      </c>
    </row>
    <row r="291">
      <c r="A291" s="89" t="inlineStr">
        <is>
          <t>CDF-000286</t>
        </is>
      </c>
      <c r="B291" s="90" t="n"/>
      <c r="C291" s="91" t="n"/>
      <c r="D291" s="92" t="n"/>
      <c r="E291" s="91" t="n"/>
      <c r="F291" s="91" t="n"/>
      <c r="G291" s="91" t="n"/>
      <c r="H291" s="91" t="n"/>
      <c r="I291" s="91" t="n"/>
      <c r="J291" s="91" t="n"/>
      <c r="K291" s="92" t="n"/>
      <c r="L291" s="91" t="n"/>
      <c r="M291" s="91" t="n"/>
      <c r="N291" s="91" t="n"/>
      <c r="O291" s="93" t="str">
        <f>IF(S291=0,"",SUMIFS('VÍNCULOS_CDF'!$H$6:$H$1005,'VÍNCULOS_CDF'!$O$6:$O$1005,A291,'VÍNCULOS_CDF'!$V$6:$V$1005,1))</f>
        <v/>
      </c>
      <c r="P291" s="95" t="str">
        <f>IF(S291=0,"",COUNTIFS('VÍNCULOS_CDF'!$O$6:$O$1005,A291,'VÍNCULOS_CDF'!$N$6:$N$1005,1))</f>
        <v/>
      </c>
      <c r="Q291" s="94" t="str">
        <f>IF(S291=0,"",IF(OR(B291="",F291=""),"Informações incompletas",IF(U291=1,"Possível duplicidade",IF(V291=0,"Destinador fora do cadastro",IF(AND(J291="Sim",N(P291)=0),"Necessita revisão de vínculos",IF(X291&gt;0,"Necessita revisão de vínculos",IF(J291="Sim","Conferido",IF(I291="Sim","Localizado, aguardando conferência","Cadastrado"))))))))</f>
        <v/>
      </c>
      <c r="R291" s="95" t="str">
        <f>IF(S291=0,"",COUNTIFS('VÍNCULOS_CDF'!$O$6:$O$1005,A291,'VÍNCULOS_CDF'!$AB$6:$AB$1005,1))</f>
        <v/>
      </c>
      <c r="S291" s="96">
        <f>IF(COUNTA(B291:N291)&gt;0,1,0)</f>
        <v>0</v>
      </c>
      <c r="T291" s="96" t="str">
        <f>IF(AND(S291=1,B291&lt;&gt;""),C291&amp;"|"&amp;TRIM(B291),"")</f>
        <v/>
      </c>
      <c r="U291" s="96">
        <f>IF(T291="",0,IF(SUMPRODUCT(--($T$6:$T$505=T291))&gt;1,1,0))</f>
        <v>0</v>
      </c>
      <c r="V291" s="96">
        <f>IF(F291="",0,IF(ISNUMBER(MATCH(F291,cmp_dest,0)),1,0))</f>
        <v>0</v>
      </c>
      <c r="W291" s="96">
        <f>IF(AND(S291=1,B291&lt;&gt;"",F291&lt;&gt;"",J291="Sim",U291=0),1,0)</f>
        <v>0</v>
      </c>
      <c r="X291" s="96">
        <f>IF(S291=0,0,COUNTIFS('VÍNCULOS_CDF'!$O$6:$O$1005,A291,'VÍNCULOS_CDF'!$Y$6:$Y$1005,1))</f>
        <v>0</v>
      </c>
      <c r="Y291" s="96" t="str">
        <f>IF(S291=1,A291&amp;" | CDF "&amp;IF(B291="","(sem número)",B291)&amp;" | "&amp;IF(F291="","(sem destinador)",F291),"")</f>
        <v/>
      </c>
      <c r="Z291" s="96" t="str">
        <f>IF(S291=1,COUNTIF($S$6:S291,1),"")</f>
        <v/>
      </c>
      <c r="AA291" s="96">
        <f>IF(S291=0,0,IF(AND(OR(r_ini="",AND(ISNUMBER(D291),D291&gt;=r_ini)),OR(r_fim="",AND(ISNUMBER(D291),D291&lt;=r_fim)),OR(r_de="",r_de="(Todos)",F291=r_de)),1,0))</f>
        <v>0</v>
      </c>
      <c r="AB291" s="96" t="str">
        <f>IF(AA291=1,IF(F291="",0,COUNTIF($F$6:$F$505,"&lt;"&amp;F291))*1000+286,"")</f>
        <v/>
      </c>
    </row>
    <row r="292">
      <c r="A292" s="89" t="inlineStr">
        <is>
          <t>CDF-000287</t>
        </is>
      </c>
      <c r="B292" s="90" t="n"/>
      <c r="C292" s="91" t="n"/>
      <c r="D292" s="92" t="n"/>
      <c r="E292" s="91" t="n"/>
      <c r="F292" s="91" t="n"/>
      <c r="G292" s="91" t="n"/>
      <c r="H292" s="91" t="n"/>
      <c r="I292" s="91" t="n"/>
      <c r="J292" s="91" t="n"/>
      <c r="K292" s="92" t="n"/>
      <c r="L292" s="91" t="n"/>
      <c r="M292" s="91" t="n"/>
      <c r="N292" s="91" t="n"/>
      <c r="O292" s="93" t="str">
        <f>IF(S292=0,"",SUMIFS('VÍNCULOS_CDF'!$H$6:$H$1005,'VÍNCULOS_CDF'!$O$6:$O$1005,A292,'VÍNCULOS_CDF'!$V$6:$V$1005,1))</f>
        <v/>
      </c>
      <c r="P292" s="95" t="str">
        <f>IF(S292=0,"",COUNTIFS('VÍNCULOS_CDF'!$O$6:$O$1005,A292,'VÍNCULOS_CDF'!$N$6:$N$1005,1))</f>
        <v/>
      </c>
      <c r="Q292" s="94" t="str">
        <f>IF(S292=0,"",IF(OR(B292="",F292=""),"Informações incompletas",IF(U292=1,"Possível duplicidade",IF(V292=0,"Destinador fora do cadastro",IF(AND(J292="Sim",N(P292)=0),"Necessita revisão de vínculos",IF(X292&gt;0,"Necessita revisão de vínculos",IF(J292="Sim","Conferido",IF(I292="Sim","Localizado, aguardando conferência","Cadastrado"))))))))</f>
        <v/>
      </c>
      <c r="R292" s="95" t="str">
        <f>IF(S292=0,"",COUNTIFS('VÍNCULOS_CDF'!$O$6:$O$1005,A292,'VÍNCULOS_CDF'!$AB$6:$AB$1005,1))</f>
        <v/>
      </c>
      <c r="S292" s="96">
        <f>IF(COUNTA(B292:N292)&gt;0,1,0)</f>
        <v>0</v>
      </c>
      <c r="T292" s="96" t="str">
        <f>IF(AND(S292=1,B292&lt;&gt;""),C292&amp;"|"&amp;TRIM(B292),"")</f>
        <v/>
      </c>
      <c r="U292" s="96">
        <f>IF(T292="",0,IF(SUMPRODUCT(--($T$6:$T$505=T292))&gt;1,1,0))</f>
        <v>0</v>
      </c>
      <c r="V292" s="96">
        <f>IF(F292="",0,IF(ISNUMBER(MATCH(F292,cmp_dest,0)),1,0))</f>
        <v>0</v>
      </c>
      <c r="W292" s="96">
        <f>IF(AND(S292=1,B292&lt;&gt;"",F292&lt;&gt;"",J292="Sim",U292=0),1,0)</f>
        <v>0</v>
      </c>
      <c r="X292" s="96">
        <f>IF(S292=0,0,COUNTIFS('VÍNCULOS_CDF'!$O$6:$O$1005,A292,'VÍNCULOS_CDF'!$Y$6:$Y$1005,1))</f>
        <v>0</v>
      </c>
      <c r="Y292" s="96" t="str">
        <f>IF(S292=1,A292&amp;" | CDF "&amp;IF(B292="","(sem número)",B292)&amp;" | "&amp;IF(F292="","(sem destinador)",F292),"")</f>
        <v/>
      </c>
      <c r="Z292" s="96" t="str">
        <f>IF(S292=1,COUNTIF($S$6:S292,1),"")</f>
        <v/>
      </c>
      <c r="AA292" s="96">
        <f>IF(S292=0,0,IF(AND(OR(r_ini="",AND(ISNUMBER(D292),D292&gt;=r_ini)),OR(r_fim="",AND(ISNUMBER(D292),D292&lt;=r_fim)),OR(r_de="",r_de="(Todos)",F292=r_de)),1,0))</f>
        <v>0</v>
      </c>
      <c r="AB292" s="96" t="str">
        <f>IF(AA292=1,IF(F292="",0,COUNTIF($F$6:$F$505,"&lt;"&amp;F292))*1000+287,"")</f>
        <v/>
      </c>
    </row>
    <row r="293">
      <c r="A293" s="89" t="inlineStr">
        <is>
          <t>CDF-000288</t>
        </is>
      </c>
      <c r="B293" s="90" t="n"/>
      <c r="C293" s="91" t="n"/>
      <c r="D293" s="92" t="n"/>
      <c r="E293" s="91" t="n"/>
      <c r="F293" s="91" t="n"/>
      <c r="G293" s="91" t="n"/>
      <c r="H293" s="91" t="n"/>
      <c r="I293" s="91" t="n"/>
      <c r="J293" s="91" t="n"/>
      <c r="K293" s="92" t="n"/>
      <c r="L293" s="91" t="n"/>
      <c r="M293" s="91" t="n"/>
      <c r="N293" s="91" t="n"/>
      <c r="O293" s="93" t="str">
        <f>IF(S293=0,"",SUMIFS('VÍNCULOS_CDF'!$H$6:$H$1005,'VÍNCULOS_CDF'!$O$6:$O$1005,A293,'VÍNCULOS_CDF'!$V$6:$V$1005,1))</f>
        <v/>
      </c>
      <c r="P293" s="95" t="str">
        <f>IF(S293=0,"",COUNTIFS('VÍNCULOS_CDF'!$O$6:$O$1005,A293,'VÍNCULOS_CDF'!$N$6:$N$1005,1))</f>
        <v/>
      </c>
      <c r="Q293" s="94" t="str">
        <f>IF(S293=0,"",IF(OR(B293="",F293=""),"Informações incompletas",IF(U293=1,"Possível duplicidade",IF(V293=0,"Destinador fora do cadastro",IF(AND(J293="Sim",N(P293)=0),"Necessita revisão de vínculos",IF(X293&gt;0,"Necessita revisão de vínculos",IF(J293="Sim","Conferido",IF(I293="Sim","Localizado, aguardando conferência","Cadastrado"))))))))</f>
        <v/>
      </c>
      <c r="R293" s="95" t="str">
        <f>IF(S293=0,"",COUNTIFS('VÍNCULOS_CDF'!$O$6:$O$1005,A293,'VÍNCULOS_CDF'!$AB$6:$AB$1005,1))</f>
        <v/>
      </c>
      <c r="S293" s="96">
        <f>IF(COUNTA(B293:N293)&gt;0,1,0)</f>
        <v>0</v>
      </c>
      <c r="T293" s="96" t="str">
        <f>IF(AND(S293=1,B293&lt;&gt;""),C293&amp;"|"&amp;TRIM(B293),"")</f>
        <v/>
      </c>
      <c r="U293" s="96">
        <f>IF(T293="",0,IF(SUMPRODUCT(--($T$6:$T$505=T293))&gt;1,1,0))</f>
        <v>0</v>
      </c>
      <c r="V293" s="96">
        <f>IF(F293="",0,IF(ISNUMBER(MATCH(F293,cmp_dest,0)),1,0))</f>
        <v>0</v>
      </c>
      <c r="W293" s="96">
        <f>IF(AND(S293=1,B293&lt;&gt;"",F293&lt;&gt;"",J293="Sim",U293=0),1,0)</f>
        <v>0</v>
      </c>
      <c r="X293" s="96">
        <f>IF(S293=0,0,COUNTIFS('VÍNCULOS_CDF'!$O$6:$O$1005,A293,'VÍNCULOS_CDF'!$Y$6:$Y$1005,1))</f>
        <v>0</v>
      </c>
      <c r="Y293" s="96" t="str">
        <f>IF(S293=1,A293&amp;" | CDF "&amp;IF(B293="","(sem número)",B293)&amp;" | "&amp;IF(F293="","(sem destinador)",F293),"")</f>
        <v/>
      </c>
      <c r="Z293" s="96" t="str">
        <f>IF(S293=1,COUNTIF($S$6:S293,1),"")</f>
        <v/>
      </c>
      <c r="AA293" s="96">
        <f>IF(S293=0,0,IF(AND(OR(r_ini="",AND(ISNUMBER(D293),D293&gt;=r_ini)),OR(r_fim="",AND(ISNUMBER(D293),D293&lt;=r_fim)),OR(r_de="",r_de="(Todos)",F293=r_de)),1,0))</f>
        <v>0</v>
      </c>
      <c r="AB293" s="96" t="str">
        <f>IF(AA293=1,IF(F293="",0,COUNTIF($F$6:$F$505,"&lt;"&amp;F293))*1000+288,"")</f>
        <v/>
      </c>
    </row>
    <row r="294">
      <c r="A294" s="89" t="inlineStr">
        <is>
          <t>CDF-000289</t>
        </is>
      </c>
      <c r="B294" s="90" t="n"/>
      <c r="C294" s="91" t="n"/>
      <c r="D294" s="92" t="n"/>
      <c r="E294" s="91" t="n"/>
      <c r="F294" s="91" t="n"/>
      <c r="G294" s="91" t="n"/>
      <c r="H294" s="91" t="n"/>
      <c r="I294" s="91" t="n"/>
      <c r="J294" s="91" t="n"/>
      <c r="K294" s="92" t="n"/>
      <c r="L294" s="91" t="n"/>
      <c r="M294" s="91" t="n"/>
      <c r="N294" s="91" t="n"/>
      <c r="O294" s="93" t="str">
        <f>IF(S294=0,"",SUMIFS('VÍNCULOS_CDF'!$H$6:$H$1005,'VÍNCULOS_CDF'!$O$6:$O$1005,A294,'VÍNCULOS_CDF'!$V$6:$V$1005,1))</f>
        <v/>
      </c>
      <c r="P294" s="95" t="str">
        <f>IF(S294=0,"",COUNTIFS('VÍNCULOS_CDF'!$O$6:$O$1005,A294,'VÍNCULOS_CDF'!$N$6:$N$1005,1))</f>
        <v/>
      </c>
      <c r="Q294" s="94" t="str">
        <f>IF(S294=0,"",IF(OR(B294="",F294=""),"Informações incompletas",IF(U294=1,"Possível duplicidade",IF(V294=0,"Destinador fora do cadastro",IF(AND(J294="Sim",N(P294)=0),"Necessita revisão de vínculos",IF(X294&gt;0,"Necessita revisão de vínculos",IF(J294="Sim","Conferido",IF(I294="Sim","Localizado, aguardando conferência","Cadastrado"))))))))</f>
        <v/>
      </c>
      <c r="R294" s="95" t="str">
        <f>IF(S294=0,"",COUNTIFS('VÍNCULOS_CDF'!$O$6:$O$1005,A294,'VÍNCULOS_CDF'!$AB$6:$AB$1005,1))</f>
        <v/>
      </c>
      <c r="S294" s="96">
        <f>IF(COUNTA(B294:N294)&gt;0,1,0)</f>
        <v>0</v>
      </c>
      <c r="T294" s="96" t="str">
        <f>IF(AND(S294=1,B294&lt;&gt;""),C294&amp;"|"&amp;TRIM(B294),"")</f>
        <v/>
      </c>
      <c r="U294" s="96">
        <f>IF(T294="",0,IF(SUMPRODUCT(--($T$6:$T$505=T294))&gt;1,1,0))</f>
        <v>0</v>
      </c>
      <c r="V294" s="96">
        <f>IF(F294="",0,IF(ISNUMBER(MATCH(F294,cmp_dest,0)),1,0))</f>
        <v>0</v>
      </c>
      <c r="W294" s="96">
        <f>IF(AND(S294=1,B294&lt;&gt;"",F294&lt;&gt;"",J294="Sim",U294=0),1,0)</f>
        <v>0</v>
      </c>
      <c r="X294" s="96">
        <f>IF(S294=0,0,COUNTIFS('VÍNCULOS_CDF'!$O$6:$O$1005,A294,'VÍNCULOS_CDF'!$Y$6:$Y$1005,1))</f>
        <v>0</v>
      </c>
      <c r="Y294" s="96" t="str">
        <f>IF(S294=1,A294&amp;" | CDF "&amp;IF(B294="","(sem número)",B294)&amp;" | "&amp;IF(F294="","(sem destinador)",F294),"")</f>
        <v/>
      </c>
      <c r="Z294" s="96" t="str">
        <f>IF(S294=1,COUNTIF($S$6:S294,1),"")</f>
        <v/>
      </c>
      <c r="AA294" s="96">
        <f>IF(S294=0,0,IF(AND(OR(r_ini="",AND(ISNUMBER(D294),D294&gt;=r_ini)),OR(r_fim="",AND(ISNUMBER(D294),D294&lt;=r_fim)),OR(r_de="",r_de="(Todos)",F294=r_de)),1,0))</f>
        <v>0</v>
      </c>
      <c r="AB294" s="96" t="str">
        <f>IF(AA294=1,IF(F294="",0,COUNTIF($F$6:$F$505,"&lt;"&amp;F294))*1000+289,"")</f>
        <v/>
      </c>
    </row>
    <row r="295">
      <c r="A295" s="89" t="inlineStr">
        <is>
          <t>CDF-000290</t>
        </is>
      </c>
      <c r="B295" s="90" t="n"/>
      <c r="C295" s="91" t="n"/>
      <c r="D295" s="92" t="n"/>
      <c r="E295" s="91" t="n"/>
      <c r="F295" s="91" t="n"/>
      <c r="G295" s="91" t="n"/>
      <c r="H295" s="91" t="n"/>
      <c r="I295" s="91" t="n"/>
      <c r="J295" s="91" t="n"/>
      <c r="K295" s="92" t="n"/>
      <c r="L295" s="91" t="n"/>
      <c r="M295" s="91" t="n"/>
      <c r="N295" s="91" t="n"/>
      <c r="O295" s="93" t="str">
        <f>IF(S295=0,"",SUMIFS('VÍNCULOS_CDF'!$H$6:$H$1005,'VÍNCULOS_CDF'!$O$6:$O$1005,A295,'VÍNCULOS_CDF'!$V$6:$V$1005,1))</f>
        <v/>
      </c>
      <c r="P295" s="95" t="str">
        <f>IF(S295=0,"",COUNTIFS('VÍNCULOS_CDF'!$O$6:$O$1005,A295,'VÍNCULOS_CDF'!$N$6:$N$1005,1))</f>
        <v/>
      </c>
      <c r="Q295" s="94" t="str">
        <f>IF(S295=0,"",IF(OR(B295="",F295=""),"Informações incompletas",IF(U295=1,"Possível duplicidade",IF(V295=0,"Destinador fora do cadastro",IF(AND(J295="Sim",N(P295)=0),"Necessita revisão de vínculos",IF(X295&gt;0,"Necessita revisão de vínculos",IF(J295="Sim","Conferido",IF(I295="Sim","Localizado, aguardando conferência","Cadastrado"))))))))</f>
        <v/>
      </c>
      <c r="R295" s="95" t="str">
        <f>IF(S295=0,"",COUNTIFS('VÍNCULOS_CDF'!$O$6:$O$1005,A295,'VÍNCULOS_CDF'!$AB$6:$AB$1005,1))</f>
        <v/>
      </c>
      <c r="S295" s="96">
        <f>IF(COUNTA(B295:N295)&gt;0,1,0)</f>
        <v>0</v>
      </c>
      <c r="T295" s="96" t="str">
        <f>IF(AND(S295=1,B295&lt;&gt;""),C295&amp;"|"&amp;TRIM(B295),"")</f>
        <v/>
      </c>
      <c r="U295" s="96">
        <f>IF(T295="",0,IF(SUMPRODUCT(--($T$6:$T$505=T295))&gt;1,1,0))</f>
        <v>0</v>
      </c>
      <c r="V295" s="96">
        <f>IF(F295="",0,IF(ISNUMBER(MATCH(F295,cmp_dest,0)),1,0))</f>
        <v>0</v>
      </c>
      <c r="W295" s="96">
        <f>IF(AND(S295=1,B295&lt;&gt;"",F295&lt;&gt;"",J295="Sim",U295=0),1,0)</f>
        <v>0</v>
      </c>
      <c r="X295" s="96">
        <f>IF(S295=0,0,COUNTIFS('VÍNCULOS_CDF'!$O$6:$O$1005,A295,'VÍNCULOS_CDF'!$Y$6:$Y$1005,1))</f>
        <v>0</v>
      </c>
      <c r="Y295" s="96" t="str">
        <f>IF(S295=1,A295&amp;" | CDF "&amp;IF(B295="","(sem número)",B295)&amp;" | "&amp;IF(F295="","(sem destinador)",F295),"")</f>
        <v/>
      </c>
      <c r="Z295" s="96" t="str">
        <f>IF(S295=1,COUNTIF($S$6:S295,1),"")</f>
        <v/>
      </c>
      <c r="AA295" s="96">
        <f>IF(S295=0,0,IF(AND(OR(r_ini="",AND(ISNUMBER(D295),D295&gt;=r_ini)),OR(r_fim="",AND(ISNUMBER(D295),D295&lt;=r_fim)),OR(r_de="",r_de="(Todos)",F295=r_de)),1,0))</f>
        <v>0</v>
      </c>
      <c r="AB295" s="96" t="str">
        <f>IF(AA295=1,IF(F295="",0,COUNTIF($F$6:$F$505,"&lt;"&amp;F295))*1000+290,"")</f>
        <v/>
      </c>
    </row>
    <row r="296">
      <c r="A296" s="89" t="inlineStr">
        <is>
          <t>CDF-000291</t>
        </is>
      </c>
      <c r="B296" s="90" t="n"/>
      <c r="C296" s="91" t="n"/>
      <c r="D296" s="92" t="n"/>
      <c r="E296" s="91" t="n"/>
      <c r="F296" s="91" t="n"/>
      <c r="G296" s="91" t="n"/>
      <c r="H296" s="91" t="n"/>
      <c r="I296" s="91" t="n"/>
      <c r="J296" s="91" t="n"/>
      <c r="K296" s="92" t="n"/>
      <c r="L296" s="91" t="n"/>
      <c r="M296" s="91" t="n"/>
      <c r="N296" s="91" t="n"/>
      <c r="O296" s="93" t="str">
        <f>IF(S296=0,"",SUMIFS('VÍNCULOS_CDF'!$H$6:$H$1005,'VÍNCULOS_CDF'!$O$6:$O$1005,A296,'VÍNCULOS_CDF'!$V$6:$V$1005,1))</f>
        <v/>
      </c>
      <c r="P296" s="95" t="str">
        <f>IF(S296=0,"",COUNTIFS('VÍNCULOS_CDF'!$O$6:$O$1005,A296,'VÍNCULOS_CDF'!$N$6:$N$1005,1))</f>
        <v/>
      </c>
      <c r="Q296" s="94" t="str">
        <f>IF(S296=0,"",IF(OR(B296="",F296=""),"Informações incompletas",IF(U296=1,"Possível duplicidade",IF(V296=0,"Destinador fora do cadastro",IF(AND(J296="Sim",N(P296)=0),"Necessita revisão de vínculos",IF(X296&gt;0,"Necessita revisão de vínculos",IF(J296="Sim","Conferido",IF(I296="Sim","Localizado, aguardando conferência","Cadastrado"))))))))</f>
        <v/>
      </c>
      <c r="R296" s="95" t="str">
        <f>IF(S296=0,"",COUNTIFS('VÍNCULOS_CDF'!$O$6:$O$1005,A296,'VÍNCULOS_CDF'!$AB$6:$AB$1005,1))</f>
        <v/>
      </c>
      <c r="S296" s="96">
        <f>IF(COUNTA(B296:N296)&gt;0,1,0)</f>
        <v>0</v>
      </c>
      <c r="T296" s="96" t="str">
        <f>IF(AND(S296=1,B296&lt;&gt;""),C296&amp;"|"&amp;TRIM(B296),"")</f>
        <v/>
      </c>
      <c r="U296" s="96">
        <f>IF(T296="",0,IF(SUMPRODUCT(--($T$6:$T$505=T296))&gt;1,1,0))</f>
        <v>0</v>
      </c>
      <c r="V296" s="96">
        <f>IF(F296="",0,IF(ISNUMBER(MATCH(F296,cmp_dest,0)),1,0))</f>
        <v>0</v>
      </c>
      <c r="W296" s="96">
        <f>IF(AND(S296=1,B296&lt;&gt;"",F296&lt;&gt;"",J296="Sim",U296=0),1,0)</f>
        <v>0</v>
      </c>
      <c r="X296" s="96">
        <f>IF(S296=0,0,COUNTIFS('VÍNCULOS_CDF'!$O$6:$O$1005,A296,'VÍNCULOS_CDF'!$Y$6:$Y$1005,1))</f>
        <v>0</v>
      </c>
      <c r="Y296" s="96" t="str">
        <f>IF(S296=1,A296&amp;" | CDF "&amp;IF(B296="","(sem número)",B296)&amp;" | "&amp;IF(F296="","(sem destinador)",F296),"")</f>
        <v/>
      </c>
      <c r="Z296" s="96" t="str">
        <f>IF(S296=1,COUNTIF($S$6:S296,1),"")</f>
        <v/>
      </c>
      <c r="AA296" s="96">
        <f>IF(S296=0,0,IF(AND(OR(r_ini="",AND(ISNUMBER(D296),D296&gt;=r_ini)),OR(r_fim="",AND(ISNUMBER(D296),D296&lt;=r_fim)),OR(r_de="",r_de="(Todos)",F296=r_de)),1,0))</f>
        <v>0</v>
      </c>
      <c r="AB296" s="96" t="str">
        <f>IF(AA296=1,IF(F296="",0,COUNTIF($F$6:$F$505,"&lt;"&amp;F296))*1000+291,"")</f>
        <v/>
      </c>
    </row>
    <row r="297">
      <c r="A297" s="89" t="inlineStr">
        <is>
          <t>CDF-000292</t>
        </is>
      </c>
      <c r="B297" s="90" t="n"/>
      <c r="C297" s="91" t="n"/>
      <c r="D297" s="92" t="n"/>
      <c r="E297" s="91" t="n"/>
      <c r="F297" s="91" t="n"/>
      <c r="G297" s="91" t="n"/>
      <c r="H297" s="91" t="n"/>
      <c r="I297" s="91" t="n"/>
      <c r="J297" s="91" t="n"/>
      <c r="K297" s="92" t="n"/>
      <c r="L297" s="91" t="n"/>
      <c r="M297" s="91" t="n"/>
      <c r="N297" s="91" t="n"/>
      <c r="O297" s="93" t="str">
        <f>IF(S297=0,"",SUMIFS('VÍNCULOS_CDF'!$H$6:$H$1005,'VÍNCULOS_CDF'!$O$6:$O$1005,A297,'VÍNCULOS_CDF'!$V$6:$V$1005,1))</f>
        <v/>
      </c>
      <c r="P297" s="95" t="str">
        <f>IF(S297=0,"",COUNTIFS('VÍNCULOS_CDF'!$O$6:$O$1005,A297,'VÍNCULOS_CDF'!$N$6:$N$1005,1))</f>
        <v/>
      </c>
      <c r="Q297" s="94" t="str">
        <f>IF(S297=0,"",IF(OR(B297="",F297=""),"Informações incompletas",IF(U297=1,"Possível duplicidade",IF(V297=0,"Destinador fora do cadastro",IF(AND(J297="Sim",N(P297)=0),"Necessita revisão de vínculos",IF(X297&gt;0,"Necessita revisão de vínculos",IF(J297="Sim","Conferido",IF(I297="Sim","Localizado, aguardando conferência","Cadastrado"))))))))</f>
        <v/>
      </c>
      <c r="R297" s="95" t="str">
        <f>IF(S297=0,"",COUNTIFS('VÍNCULOS_CDF'!$O$6:$O$1005,A297,'VÍNCULOS_CDF'!$AB$6:$AB$1005,1))</f>
        <v/>
      </c>
      <c r="S297" s="96">
        <f>IF(COUNTA(B297:N297)&gt;0,1,0)</f>
        <v>0</v>
      </c>
      <c r="T297" s="96" t="str">
        <f>IF(AND(S297=1,B297&lt;&gt;""),C297&amp;"|"&amp;TRIM(B297),"")</f>
        <v/>
      </c>
      <c r="U297" s="96">
        <f>IF(T297="",0,IF(SUMPRODUCT(--($T$6:$T$505=T297))&gt;1,1,0))</f>
        <v>0</v>
      </c>
      <c r="V297" s="96">
        <f>IF(F297="",0,IF(ISNUMBER(MATCH(F297,cmp_dest,0)),1,0))</f>
        <v>0</v>
      </c>
      <c r="W297" s="96">
        <f>IF(AND(S297=1,B297&lt;&gt;"",F297&lt;&gt;"",J297="Sim",U297=0),1,0)</f>
        <v>0</v>
      </c>
      <c r="X297" s="96">
        <f>IF(S297=0,0,COUNTIFS('VÍNCULOS_CDF'!$O$6:$O$1005,A297,'VÍNCULOS_CDF'!$Y$6:$Y$1005,1))</f>
        <v>0</v>
      </c>
      <c r="Y297" s="96" t="str">
        <f>IF(S297=1,A297&amp;" | CDF "&amp;IF(B297="","(sem número)",B297)&amp;" | "&amp;IF(F297="","(sem destinador)",F297),"")</f>
        <v/>
      </c>
      <c r="Z297" s="96" t="str">
        <f>IF(S297=1,COUNTIF($S$6:S297,1),"")</f>
        <v/>
      </c>
      <c r="AA297" s="96">
        <f>IF(S297=0,0,IF(AND(OR(r_ini="",AND(ISNUMBER(D297),D297&gt;=r_ini)),OR(r_fim="",AND(ISNUMBER(D297),D297&lt;=r_fim)),OR(r_de="",r_de="(Todos)",F297=r_de)),1,0))</f>
        <v>0</v>
      </c>
      <c r="AB297" s="96" t="str">
        <f>IF(AA297=1,IF(F297="",0,COUNTIF($F$6:$F$505,"&lt;"&amp;F297))*1000+292,"")</f>
        <v/>
      </c>
    </row>
    <row r="298">
      <c r="A298" s="89" t="inlineStr">
        <is>
          <t>CDF-000293</t>
        </is>
      </c>
      <c r="B298" s="90" t="n"/>
      <c r="C298" s="91" t="n"/>
      <c r="D298" s="92" t="n"/>
      <c r="E298" s="91" t="n"/>
      <c r="F298" s="91" t="n"/>
      <c r="G298" s="91" t="n"/>
      <c r="H298" s="91" t="n"/>
      <c r="I298" s="91" t="n"/>
      <c r="J298" s="91" t="n"/>
      <c r="K298" s="92" t="n"/>
      <c r="L298" s="91" t="n"/>
      <c r="M298" s="91" t="n"/>
      <c r="N298" s="91" t="n"/>
      <c r="O298" s="93" t="str">
        <f>IF(S298=0,"",SUMIFS('VÍNCULOS_CDF'!$H$6:$H$1005,'VÍNCULOS_CDF'!$O$6:$O$1005,A298,'VÍNCULOS_CDF'!$V$6:$V$1005,1))</f>
        <v/>
      </c>
      <c r="P298" s="95" t="str">
        <f>IF(S298=0,"",COUNTIFS('VÍNCULOS_CDF'!$O$6:$O$1005,A298,'VÍNCULOS_CDF'!$N$6:$N$1005,1))</f>
        <v/>
      </c>
      <c r="Q298" s="94" t="str">
        <f>IF(S298=0,"",IF(OR(B298="",F298=""),"Informações incompletas",IF(U298=1,"Possível duplicidade",IF(V298=0,"Destinador fora do cadastro",IF(AND(J298="Sim",N(P298)=0),"Necessita revisão de vínculos",IF(X298&gt;0,"Necessita revisão de vínculos",IF(J298="Sim","Conferido",IF(I298="Sim","Localizado, aguardando conferência","Cadastrado"))))))))</f>
        <v/>
      </c>
      <c r="R298" s="95" t="str">
        <f>IF(S298=0,"",COUNTIFS('VÍNCULOS_CDF'!$O$6:$O$1005,A298,'VÍNCULOS_CDF'!$AB$6:$AB$1005,1))</f>
        <v/>
      </c>
      <c r="S298" s="96">
        <f>IF(COUNTA(B298:N298)&gt;0,1,0)</f>
        <v>0</v>
      </c>
      <c r="T298" s="96" t="str">
        <f>IF(AND(S298=1,B298&lt;&gt;""),C298&amp;"|"&amp;TRIM(B298),"")</f>
        <v/>
      </c>
      <c r="U298" s="96">
        <f>IF(T298="",0,IF(SUMPRODUCT(--($T$6:$T$505=T298))&gt;1,1,0))</f>
        <v>0</v>
      </c>
      <c r="V298" s="96">
        <f>IF(F298="",0,IF(ISNUMBER(MATCH(F298,cmp_dest,0)),1,0))</f>
        <v>0</v>
      </c>
      <c r="W298" s="96">
        <f>IF(AND(S298=1,B298&lt;&gt;"",F298&lt;&gt;"",J298="Sim",U298=0),1,0)</f>
        <v>0</v>
      </c>
      <c r="X298" s="96">
        <f>IF(S298=0,0,COUNTIFS('VÍNCULOS_CDF'!$O$6:$O$1005,A298,'VÍNCULOS_CDF'!$Y$6:$Y$1005,1))</f>
        <v>0</v>
      </c>
      <c r="Y298" s="96" t="str">
        <f>IF(S298=1,A298&amp;" | CDF "&amp;IF(B298="","(sem número)",B298)&amp;" | "&amp;IF(F298="","(sem destinador)",F298),"")</f>
        <v/>
      </c>
      <c r="Z298" s="96" t="str">
        <f>IF(S298=1,COUNTIF($S$6:S298,1),"")</f>
        <v/>
      </c>
      <c r="AA298" s="96">
        <f>IF(S298=0,0,IF(AND(OR(r_ini="",AND(ISNUMBER(D298),D298&gt;=r_ini)),OR(r_fim="",AND(ISNUMBER(D298),D298&lt;=r_fim)),OR(r_de="",r_de="(Todos)",F298=r_de)),1,0))</f>
        <v>0</v>
      </c>
      <c r="AB298" s="96" t="str">
        <f>IF(AA298=1,IF(F298="",0,COUNTIF($F$6:$F$505,"&lt;"&amp;F298))*1000+293,"")</f>
        <v/>
      </c>
    </row>
    <row r="299">
      <c r="A299" s="89" t="inlineStr">
        <is>
          <t>CDF-000294</t>
        </is>
      </c>
      <c r="B299" s="90" t="n"/>
      <c r="C299" s="91" t="n"/>
      <c r="D299" s="92" t="n"/>
      <c r="E299" s="91" t="n"/>
      <c r="F299" s="91" t="n"/>
      <c r="G299" s="91" t="n"/>
      <c r="H299" s="91" t="n"/>
      <c r="I299" s="91" t="n"/>
      <c r="J299" s="91" t="n"/>
      <c r="K299" s="92" t="n"/>
      <c r="L299" s="91" t="n"/>
      <c r="M299" s="91" t="n"/>
      <c r="N299" s="91" t="n"/>
      <c r="O299" s="93" t="str">
        <f>IF(S299=0,"",SUMIFS('VÍNCULOS_CDF'!$H$6:$H$1005,'VÍNCULOS_CDF'!$O$6:$O$1005,A299,'VÍNCULOS_CDF'!$V$6:$V$1005,1))</f>
        <v/>
      </c>
      <c r="P299" s="95" t="str">
        <f>IF(S299=0,"",COUNTIFS('VÍNCULOS_CDF'!$O$6:$O$1005,A299,'VÍNCULOS_CDF'!$N$6:$N$1005,1))</f>
        <v/>
      </c>
      <c r="Q299" s="94" t="str">
        <f>IF(S299=0,"",IF(OR(B299="",F299=""),"Informações incompletas",IF(U299=1,"Possível duplicidade",IF(V299=0,"Destinador fora do cadastro",IF(AND(J299="Sim",N(P299)=0),"Necessita revisão de vínculos",IF(X299&gt;0,"Necessita revisão de vínculos",IF(J299="Sim","Conferido",IF(I299="Sim","Localizado, aguardando conferência","Cadastrado"))))))))</f>
        <v/>
      </c>
      <c r="R299" s="95" t="str">
        <f>IF(S299=0,"",COUNTIFS('VÍNCULOS_CDF'!$O$6:$O$1005,A299,'VÍNCULOS_CDF'!$AB$6:$AB$1005,1))</f>
        <v/>
      </c>
      <c r="S299" s="96">
        <f>IF(COUNTA(B299:N299)&gt;0,1,0)</f>
        <v>0</v>
      </c>
      <c r="T299" s="96" t="str">
        <f>IF(AND(S299=1,B299&lt;&gt;""),C299&amp;"|"&amp;TRIM(B299),"")</f>
        <v/>
      </c>
      <c r="U299" s="96">
        <f>IF(T299="",0,IF(SUMPRODUCT(--($T$6:$T$505=T299))&gt;1,1,0))</f>
        <v>0</v>
      </c>
      <c r="V299" s="96">
        <f>IF(F299="",0,IF(ISNUMBER(MATCH(F299,cmp_dest,0)),1,0))</f>
        <v>0</v>
      </c>
      <c r="W299" s="96">
        <f>IF(AND(S299=1,B299&lt;&gt;"",F299&lt;&gt;"",J299="Sim",U299=0),1,0)</f>
        <v>0</v>
      </c>
      <c r="X299" s="96">
        <f>IF(S299=0,0,COUNTIFS('VÍNCULOS_CDF'!$O$6:$O$1005,A299,'VÍNCULOS_CDF'!$Y$6:$Y$1005,1))</f>
        <v>0</v>
      </c>
      <c r="Y299" s="96" t="str">
        <f>IF(S299=1,A299&amp;" | CDF "&amp;IF(B299="","(sem número)",B299)&amp;" | "&amp;IF(F299="","(sem destinador)",F299),"")</f>
        <v/>
      </c>
      <c r="Z299" s="96" t="str">
        <f>IF(S299=1,COUNTIF($S$6:S299,1),"")</f>
        <v/>
      </c>
      <c r="AA299" s="96">
        <f>IF(S299=0,0,IF(AND(OR(r_ini="",AND(ISNUMBER(D299),D299&gt;=r_ini)),OR(r_fim="",AND(ISNUMBER(D299),D299&lt;=r_fim)),OR(r_de="",r_de="(Todos)",F299=r_de)),1,0))</f>
        <v>0</v>
      </c>
      <c r="AB299" s="96" t="str">
        <f>IF(AA299=1,IF(F299="",0,COUNTIF($F$6:$F$505,"&lt;"&amp;F299))*1000+294,"")</f>
        <v/>
      </c>
    </row>
    <row r="300">
      <c r="A300" s="89" t="inlineStr">
        <is>
          <t>CDF-000295</t>
        </is>
      </c>
      <c r="B300" s="90" t="n"/>
      <c r="C300" s="91" t="n"/>
      <c r="D300" s="92" t="n"/>
      <c r="E300" s="91" t="n"/>
      <c r="F300" s="91" t="n"/>
      <c r="G300" s="91" t="n"/>
      <c r="H300" s="91" t="n"/>
      <c r="I300" s="91" t="n"/>
      <c r="J300" s="91" t="n"/>
      <c r="K300" s="92" t="n"/>
      <c r="L300" s="91" t="n"/>
      <c r="M300" s="91" t="n"/>
      <c r="N300" s="91" t="n"/>
      <c r="O300" s="93" t="str">
        <f>IF(S300=0,"",SUMIFS('VÍNCULOS_CDF'!$H$6:$H$1005,'VÍNCULOS_CDF'!$O$6:$O$1005,A300,'VÍNCULOS_CDF'!$V$6:$V$1005,1))</f>
        <v/>
      </c>
      <c r="P300" s="95" t="str">
        <f>IF(S300=0,"",COUNTIFS('VÍNCULOS_CDF'!$O$6:$O$1005,A300,'VÍNCULOS_CDF'!$N$6:$N$1005,1))</f>
        <v/>
      </c>
      <c r="Q300" s="94" t="str">
        <f>IF(S300=0,"",IF(OR(B300="",F300=""),"Informações incompletas",IF(U300=1,"Possível duplicidade",IF(V300=0,"Destinador fora do cadastro",IF(AND(J300="Sim",N(P300)=0),"Necessita revisão de vínculos",IF(X300&gt;0,"Necessita revisão de vínculos",IF(J300="Sim","Conferido",IF(I300="Sim","Localizado, aguardando conferência","Cadastrado"))))))))</f>
        <v/>
      </c>
      <c r="R300" s="95" t="str">
        <f>IF(S300=0,"",COUNTIFS('VÍNCULOS_CDF'!$O$6:$O$1005,A300,'VÍNCULOS_CDF'!$AB$6:$AB$1005,1))</f>
        <v/>
      </c>
      <c r="S300" s="96">
        <f>IF(COUNTA(B300:N300)&gt;0,1,0)</f>
        <v>0</v>
      </c>
      <c r="T300" s="96" t="str">
        <f>IF(AND(S300=1,B300&lt;&gt;""),C300&amp;"|"&amp;TRIM(B300),"")</f>
        <v/>
      </c>
      <c r="U300" s="96">
        <f>IF(T300="",0,IF(SUMPRODUCT(--($T$6:$T$505=T300))&gt;1,1,0))</f>
        <v>0</v>
      </c>
      <c r="V300" s="96">
        <f>IF(F300="",0,IF(ISNUMBER(MATCH(F300,cmp_dest,0)),1,0))</f>
        <v>0</v>
      </c>
      <c r="W300" s="96">
        <f>IF(AND(S300=1,B300&lt;&gt;"",F300&lt;&gt;"",J300="Sim",U300=0),1,0)</f>
        <v>0</v>
      </c>
      <c r="X300" s="96">
        <f>IF(S300=0,0,COUNTIFS('VÍNCULOS_CDF'!$O$6:$O$1005,A300,'VÍNCULOS_CDF'!$Y$6:$Y$1005,1))</f>
        <v>0</v>
      </c>
      <c r="Y300" s="96" t="str">
        <f>IF(S300=1,A300&amp;" | CDF "&amp;IF(B300="","(sem número)",B300)&amp;" | "&amp;IF(F300="","(sem destinador)",F300),"")</f>
        <v/>
      </c>
      <c r="Z300" s="96" t="str">
        <f>IF(S300=1,COUNTIF($S$6:S300,1),"")</f>
        <v/>
      </c>
      <c r="AA300" s="96">
        <f>IF(S300=0,0,IF(AND(OR(r_ini="",AND(ISNUMBER(D300),D300&gt;=r_ini)),OR(r_fim="",AND(ISNUMBER(D300),D300&lt;=r_fim)),OR(r_de="",r_de="(Todos)",F300=r_de)),1,0))</f>
        <v>0</v>
      </c>
      <c r="AB300" s="96" t="str">
        <f>IF(AA300=1,IF(F300="",0,COUNTIF($F$6:$F$505,"&lt;"&amp;F300))*1000+295,"")</f>
        <v/>
      </c>
    </row>
    <row r="301">
      <c r="A301" s="89" t="inlineStr">
        <is>
          <t>CDF-000296</t>
        </is>
      </c>
      <c r="B301" s="90" t="n"/>
      <c r="C301" s="91" t="n"/>
      <c r="D301" s="92" t="n"/>
      <c r="E301" s="91" t="n"/>
      <c r="F301" s="91" t="n"/>
      <c r="G301" s="91" t="n"/>
      <c r="H301" s="91" t="n"/>
      <c r="I301" s="91" t="n"/>
      <c r="J301" s="91" t="n"/>
      <c r="K301" s="92" t="n"/>
      <c r="L301" s="91" t="n"/>
      <c r="M301" s="91" t="n"/>
      <c r="N301" s="91" t="n"/>
      <c r="O301" s="93" t="str">
        <f>IF(S301=0,"",SUMIFS('VÍNCULOS_CDF'!$H$6:$H$1005,'VÍNCULOS_CDF'!$O$6:$O$1005,A301,'VÍNCULOS_CDF'!$V$6:$V$1005,1))</f>
        <v/>
      </c>
      <c r="P301" s="95" t="str">
        <f>IF(S301=0,"",COUNTIFS('VÍNCULOS_CDF'!$O$6:$O$1005,A301,'VÍNCULOS_CDF'!$N$6:$N$1005,1))</f>
        <v/>
      </c>
      <c r="Q301" s="94" t="str">
        <f>IF(S301=0,"",IF(OR(B301="",F301=""),"Informações incompletas",IF(U301=1,"Possível duplicidade",IF(V301=0,"Destinador fora do cadastro",IF(AND(J301="Sim",N(P301)=0),"Necessita revisão de vínculos",IF(X301&gt;0,"Necessita revisão de vínculos",IF(J301="Sim","Conferido",IF(I301="Sim","Localizado, aguardando conferência","Cadastrado"))))))))</f>
        <v/>
      </c>
      <c r="R301" s="95" t="str">
        <f>IF(S301=0,"",COUNTIFS('VÍNCULOS_CDF'!$O$6:$O$1005,A301,'VÍNCULOS_CDF'!$AB$6:$AB$1005,1))</f>
        <v/>
      </c>
      <c r="S301" s="96">
        <f>IF(COUNTA(B301:N301)&gt;0,1,0)</f>
        <v>0</v>
      </c>
      <c r="T301" s="96" t="str">
        <f>IF(AND(S301=1,B301&lt;&gt;""),C301&amp;"|"&amp;TRIM(B301),"")</f>
        <v/>
      </c>
      <c r="U301" s="96">
        <f>IF(T301="",0,IF(SUMPRODUCT(--($T$6:$T$505=T301))&gt;1,1,0))</f>
        <v>0</v>
      </c>
      <c r="V301" s="96">
        <f>IF(F301="",0,IF(ISNUMBER(MATCH(F301,cmp_dest,0)),1,0))</f>
        <v>0</v>
      </c>
      <c r="W301" s="96">
        <f>IF(AND(S301=1,B301&lt;&gt;"",F301&lt;&gt;"",J301="Sim",U301=0),1,0)</f>
        <v>0</v>
      </c>
      <c r="X301" s="96">
        <f>IF(S301=0,0,COUNTIFS('VÍNCULOS_CDF'!$O$6:$O$1005,A301,'VÍNCULOS_CDF'!$Y$6:$Y$1005,1))</f>
        <v>0</v>
      </c>
      <c r="Y301" s="96" t="str">
        <f>IF(S301=1,A301&amp;" | CDF "&amp;IF(B301="","(sem número)",B301)&amp;" | "&amp;IF(F301="","(sem destinador)",F301),"")</f>
        <v/>
      </c>
      <c r="Z301" s="96" t="str">
        <f>IF(S301=1,COUNTIF($S$6:S301,1),"")</f>
        <v/>
      </c>
      <c r="AA301" s="96">
        <f>IF(S301=0,0,IF(AND(OR(r_ini="",AND(ISNUMBER(D301),D301&gt;=r_ini)),OR(r_fim="",AND(ISNUMBER(D301),D301&lt;=r_fim)),OR(r_de="",r_de="(Todos)",F301=r_de)),1,0))</f>
        <v>0</v>
      </c>
      <c r="AB301" s="96" t="str">
        <f>IF(AA301=1,IF(F301="",0,COUNTIF($F$6:$F$505,"&lt;"&amp;F301))*1000+296,"")</f>
        <v/>
      </c>
    </row>
    <row r="302">
      <c r="A302" s="89" t="inlineStr">
        <is>
          <t>CDF-000297</t>
        </is>
      </c>
      <c r="B302" s="90" t="n"/>
      <c r="C302" s="91" t="n"/>
      <c r="D302" s="92" t="n"/>
      <c r="E302" s="91" t="n"/>
      <c r="F302" s="91" t="n"/>
      <c r="G302" s="91" t="n"/>
      <c r="H302" s="91" t="n"/>
      <c r="I302" s="91" t="n"/>
      <c r="J302" s="91" t="n"/>
      <c r="K302" s="92" t="n"/>
      <c r="L302" s="91" t="n"/>
      <c r="M302" s="91" t="n"/>
      <c r="N302" s="91" t="n"/>
      <c r="O302" s="93" t="str">
        <f>IF(S302=0,"",SUMIFS('VÍNCULOS_CDF'!$H$6:$H$1005,'VÍNCULOS_CDF'!$O$6:$O$1005,A302,'VÍNCULOS_CDF'!$V$6:$V$1005,1))</f>
        <v/>
      </c>
      <c r="P302" s="95" t="str">
        <f>IF(S302=0,"",COUNTIFS('VÍNCULOS_CDF'!$O$6:$O$1005,A302,'VÍNCULOS_CDF'!$N$6:$N$1005,1))</f>
        <v/>
      </c>
      <c r="Q302" s="94" t="str">
        <f>IF(S302=0,"",IF(OR(B302="",F302=""),"Informações incompletas",IF(U302=1,"Possível duplicidade",IF(V302=0,"Destinador fora do cadastro",IF(AND(J302="Sim",N(P302)=0),"Necessita revisão de vínculos",IF(X302&gt;0,"Necessita revisão de vínculos",IF(J302="Sim","Conferido",IF(I302="Sim","Localizado, aguardando conferência","Cadastrado"))))))))</f>
        <v/>
      </c>
      <c r="R302" s="95" t="str">
        <f>IF(S302=0,"",COUNTIFS('VÍNCULOS_CDF'!$O$6:$O$1005,A302,'VÍNCULOS_CDF'!$AB$6:$AB$1005,1))</f>
        <v/>
      </c>
      <c r="S302" s="96">
        <f>IF(COUNTA(B302:N302)&gt;0,1,0)</f>
        <v>0</v>
      </c>
      <c r="T302" s="96" t="str">
        <f>IF(AND(S302=1,B302&lt;&gt;""),C302&amp;"|"&amp;TRIM(B302),"")</f>
        <v/>
      </c>
      <c r="U302" s="96">
        <f>IF(T302="",0,IF(SUMPRODUCT(--($T$6:$T$505=T302))&gt;1,1,0))</f>
        <v>0</v>
      </c>
      <c r="V302" s="96">
        <f>IF(F302="",0,IF(ISNUMBER(MATCH(F302,cmp_dest,0)),1,0))</f>
        <v>0</v>
      </c>
      <c r="W302" s="96">
        <f>IF(AND(S302=1,B302&lt;&gt;"",F302&lt;&gt;"",J302="Sim",U302=0),1,0)</f>
        <v>0</v>
      </c>
      <c r="X302" s="96">
        <f>IF(S302=0,0,COUNTIFS('VÍNCULOS_CDF'!$O$6:$O$1005,A302,'VÍNCULOS_CDF'!$Y$6:$Y$1005,1))</f>
        <v>0</v>
      </c>
      <c r="Y302" s="96" t="str">
        <f>IF(S302=1,A302&amp;" | CDF "&amp;IF(B302="","(sem número)",B302)&amp;" | "&amp;IF(F302="","(sem destinador)",F302),"")</f>
        <v/>
      </c>
      <c r="Z302" s="96" t="str">
        <f>IF(S302=1,COUNTIF($S$6:S302,1),"")</f>
        <v/>
      </c>
      <c r="AA302" s="96">
        <f>IF(S302=0,0,IF(AND(OR(r_ini="",AND(ISNUMBER(D302),D302&gt;=r_ini)),OR(r_fim="",AND(ISNUMBER(D302),D302&lt;=r_fim)),OR(r_de="",r_de="(Todos)",F302=r_de)),1,0))</f>
        <v>0</v>
      </c>
      <c r="AB302" s="96" t="str">
        <f>IF(AA302=1,IF(F302="",0,COUNTIF($F$6:$F$505,"&lt;"&amp;F302))*1000+297,"")</f>
        <v/>
      </c>
    </row>
    <row r="303">
      <c r="A303" s="89" t="inlineStr">
        <is>
          <t>CDF-000298</t>
        </is>
      </c>
      <c r="B303" s="90" t="n"/>
      <c r="C303" s="91" t="n"/>
      <c r="D303" s="92" t="n"/>
      <c r="E303" s="91" t="n"/>
      <c r="F303" s="91" t="n"/>
      <c r="G303" s="91" t="n"/>
      <c r="H303" s="91" t="n"/>
      <c r="I303" s="91" t="n"/>
      <c r="J303" s="91" t="n"/>
      <c r="K303" s="92" t="n"/>
      <c r="L303" s="91" t="n"/>
      <c r="M303" s="91" t="n"/>
      <c r="N303" s="91" t="n"/>
      <c r="O303" s="93" t="str">
        <f>IF(S303=0,"",SUMIFS('VÍNCULOS_CDF'!$H$6:$H$1005,'VÍNCULOS_CDF'!$O$6:$O$1005,A303,'VÍNCULOS_CDF'!$V$6:$V$1005,1))</f>
        <v/>
      </c>
      <c r="P303" s="95" t="str">
        <f>IF(S303=0,"",COUNTIFS('VÍNCULOS_CDF'!$O$6:$O$1005,A303,'VÍNCULOS_CDF'!$N$6:$N$1005,1))</f>
        <v/>
      </c>
      <c r="Q303" s="94" t="str">
        <f>IF(S303=0,"",IF(OR(B303="",F303=""),"Informações incompletas",IF(U303=1,"Possível duplicidade",IF(V303=0,"Destinador fora do cadastro",IF(AND(J303="Sim",N(P303)=0),"Necessita revisão de vínculos",IF(X303&gt;0,"Necessita revisão de vínculos",IF(J303="Sim","Conferido",IF(I303="Sim","Localizado, aguardando conferência","Cadastrado"))))))))</f>
        <v/>
      </c>
      <c r="R303" s="95" t="str">
        <f>IF(S303=0,"",COUNTIFS('VÍNCULOS_CDF'!$O$6:$O$1005,A303,'VÍNCULOS_CDF'!$AB$6:$AB$1005,1))</f>
        <v/>
      </c>
      <c r="S303" s="96">
        <f>IF(COUNTA(B303:N303)&gt;0,1,0)</f>
        <v>0</v>
      </c>
      <c r="T303" s="96" t="str">
        <f>IF(AND(S303=1,B303&lt;&gt;""),C303&amp;"|"&amp;TRIM(B303),"")</f>
        <v/>
      </c>
      <c r="U303" s="96">
        <f>IF(T303="",0,IF(SUMPRODUCT(--($T$6:$T$505=T303))&gt;1,1,0))</f>
        <v>0</v>
      </c>
      <c r="V303" s="96">
        <f>IF(F303="",0,IF(ISNUMBER(MATCH(F303,cmp_dest,0)),1,0))</f>
        <v>0</v>
      </c>
      <c r="W303" s="96">
        <f>IF(AND(S303=1,B303&lt;&gt;"",F303&lt;&gt;"",J303="Sim",U303=0),1,0)</f>
        <v>0</v>
      </c>
      <c r="X303" s="96">
        <f>IF(S303=0,0,COUNTIFS('VÍNCULOS_CDF'!$O$6:$O$1005,A303,'VÍNCULOS_CDF'!$Y$6:$Y$1005,1))</f>
        <v>0</v>
      </c>
      <c r="Y303" s="96" t="str">
        <f>IF(S303=1,A303&amp;" | CDF "&amp;IF(B303="","(sem número)",B303)&amp;" | "&amp;IF(F303="","(sem destinador)",F303),"")</f>
        <v/>
      </c>
      <c r="Z303" s="96" t="str">
        <f>IF(S303=1,COUNTIF($S$6:S303,1),"")</f>
        <v/>
      </c>
      <c r="AA303" s="96">
        <f>IF(S303=0,0,IF(AND(OR(r_ini="",AND(ISNUMBER(D303),D303&gt;=r_ini)),OR(r_fim="",AND(ISNUMBER(D303),D303&lt;=r_fim)),OR(r_de="",r_de="(Todos)",F303=r_de)),1,0))</f>
        <v>0</v>
      </c>
      <c r="AB303" s="96" t="str">
        <f>IF(AA303=1,IF(F303="",0,COUNTIF($F$6:$F$505,"&lt;"&amp;F303))*1000+298,"")</f>
        <v/>
      </c>
    </row>
    <row r="304">
      <c r="A304" s="89" t="inlineStr">
        <is>
          <t>CDF-000299</t>
        </is>
      </c>
      <c r="B304" s="90" t="n"/>
      <c r="C304" s="91" t="n"/>
      <c r="D304" s="92" t="n"/>
      <c r="E304" s="91" t="n"/>
      <c r="F304" s="91" t="n"/>
      <c r="G304" s="91" t="n"/>
      <c r="H304" s="91" t="n"/>
      <c r="I304" s="91" t="n"/>
      <c r="J304" s="91" t="n"/>
      <c r="K304" s="92" t="n"/>
      <c r="L304" s="91" t="n"/>
      <c r="M304" s="91" t="n"/>
      <c r="N304" s="91" t="n"/>
      <c r="O304" s="93" t="str">
        <f>IF(S304=0,"",SUMIFS('VÍNCULOS_CDF'!$H$6:$H$1005,'VÍNCULOS_CDF'!$O$6:$O$1005,A304,'VÍNCULOS_CDF'!$V$6:$V$1005,1))</f>
        <v/>
      </c>
      <c r="P304" s="95" t="str">
        <f>IF(S304=0,"",COUNTIFS('VÍNCULOS_CDF'!$O$6:$O$1005,A304,'VÍNCULOS_CDF'!$N$6:$N$1005,1))</f>
        <v/>
      </c>
      <c r="Q304" s="94" t="str">
        <f>IF(S304=0,"",IF(OR(B304="",F304=""),"Informações incompletas",IF(U304=1,"Possível duplicidade",IF(V304=0,"Destinador fora do cadastro",IF(AND(J304="Sim",N(P304)=0),"Necessita revisão de vínculos",IF(X304&gt;0,"Necessita revisão de vínculos",IF(J304="Sim","Conferido",IF(I304="Sim","Localizado, aguardando conferência","Cadastrado"))))))))</f>
        <v/>
      </c>
      <c r="R304" s="95" t="str">
        <f>IF(S304=0,"",COUNTIFS('VÍNCULOS_CDF'!$O$6:$O$1005,A304,'VÍNCULOS_CDF'!$AB$6:$AB$1005,1))</f>
        <v/>
      </c>
      <c r="S304" s="96">
        <f>IF(COUNTA(B304:N304)&gt;0,1,0)</f>
        <v>0</v>
      </c>
      <c r="T304" s="96" t="str">
        <f>IF(AND(S304=1,B304&lt;&gt;""),C304&amp;"|"&amp;TRIM(B304),"")</f>
        <v/>
      </c>
      <c r="U304" s="96">
        <f>IF(T304="",0,IF(SUMPRODUCT(--($T$6:$T$505=T304))&gt;1,1,0))</f>
        <v>0</v>
      </c>
      <c r="V304" s="96">
        <f>IF(F304="",0,IF(ISNUMBER(MATCH(F304,cmp_dest,0)),1,0))</f>
        <v>0</v>
      </c>
      <c r="W304" s="96">
        <f>IF(AND(S304=1,B304&lt;&gt;"",F304&lt;&gt;"",J304="Sim",U304=0),1,0)</f>
        <v>0</v>
      </c>
      <c r="X304" s="96">
        <f>IF(S304=0,0,COUNTIFS('VÍNCULOS_CDF'!$O$6:$O$1005,A304,'VÍNCULOS_CDF'!$Y$6:$Y$1005,1))</f>
        <v>0</v>
      </c>
      <c r="Y304" s="96" t="str">
        <f>IF(S304=1,A304&amp;" | CDF "&amp;IF(B304="","(sem número)",B304)&amp;" | "&amp;IF(F304="","(sem destinador)",F304),"")</f>
        <v/>
      </c>
      <c r="Z304" s="96" t="str">
        <f>IF(S304=1,COUNTIF($S$6:S304,1),"")</f>
        <v/>
      </c>
      <c r="AA304" s="96">
        <f>IF(S304=0,0,IF(AND(OR(r_ini="",AND(ISNUMBER(D304),D304&gt;=r_ini)),OR(r_fim="",AND(ISNUMBER(D304),D304&lt;=r_fim)),OR(r_de="",r_de="(Todos)",F304=r_de)),1,0))</f>
        <v>0</v>
      </c>
      <c r="AB304" s="96" t="str">
        <f>IF(AA304=1,IF(F304="",0,COUNTIF($F$6:$F$505,"&lt;"&amp;F304))*1000+299,"")</f>
        <v/>
      </c>
    </row>
    <row r="305">
      <c r="A305" s="89" t="inlineStr">
        <is>
          <t>CDF-000300</t>
        </is>
      </c>
      <c r="B305" s="90" t="n"/>
      <c r="C305" s="91" t="n"/>
      <c r="D305" s="92" t="n"/>
      <c r="E305" s="91" t="n"/>
      <c r="F305" s="91" t="n"/>
      <c r="G305" s="91" t="n"/>
      <c r="H305" s="91" t="n"/>
      <c r="I305" s="91" t="n"/>
      <c r="J305" s="91" t="n"/>
      <c r="K305" s="92" t="n"/>
      <c r="L305" s="91" t="n"/>
      <c r="M305" s="91" t="n"/>
      <c r="N305" s="91" t="n"/>
      <c r="O305" s="93" t="str">
        <f>IF(S305=0,"",SUMIFS('VÍNCULOS_CDF'!$H$6:$H$1005,'VÍNCULOS_CDF'!$O$6:$O$1005,A305,'VÍNCULOS_CDF'!$V$6:$V$1005,1))</f>
        <v/>
      </c>
      <c r="P305" s="95" t="str">
        <f>IF(S305=0,"",COUNTIFS('VÍNCULOS_CDF'!$O$6:$O$1005,A305,'VÍNCULOS_CDF'!$N$6:$N$1005,1))</f>
        <v/>
      </c>
      <c r="Q305" s="94" t="str">
        <f>IF(S305=0,"",IF(OR(B305="",F305=""),"Informações incompletas",IF(U305=1,"Possível duplicidade",IF(V305=0,"Destinador fora do cadastro",IF(AND(J305="Sim",N(P305)=0),"Necessita revisão de vínculos",IF(X305&gt;0,"Necessita revisão de vínculos",IF(J305="Sim","Conferido",IF(I305="Sim","Localizado, aguardando conferência","Cadastrado"))))))))</f>
        <v/>
      </c>
      <c r="R305" s="95" t="str">
        <f>IF(S305=0,"",COUNTIFS('VÍNCULOS_CDF'!$O$6:$O$1005,A305,'VÍNCULOS_CDF'!$AB$6:$AB$1005,1))</f>
        <v/>
      </c>
      <c r="S305" s="96">
        <f>IF(COUNTA(B305:N305)&gt;0,1,0)</f>
        <v>0</v>
      </c>
      <c r="T305" s="96" t="str">
        <f>IF(AND(S305=1,B305&lt;&gt;""),C305&amp;"|"&amp;TRIM(B305),"")</f>
        <v/>
      </c>
      <c r="U305" s="96">
        <f>IF(T305="",0,IF(SUMPRODUCT(--($T$6:$T$505=T305))&gt;1,1,0))</f>
        <v>0</v>
      </c>
      <c r="V305" s="96">
        <f>IF(F305="",0,IF(ISNUMBER(MATCH(F305,cmp_dest,0)),1,0))</f>
        <v>0</v>
      </c>
      <c r="W305" s="96">
        <f>IF(AND(S305=1,B305&lt;&gt;"",F305&lt;&gt;"",J305="Sim",U305=0),1,0)</f>
        <v>0</v>
      </c>
      <c r="X305" s="96">
        <f>IF(S305=0,0,COUNTIFS('VÍNCULOS_CDF'!$O$6:$O$1005,A305,'VÍNCULOS_CDF'!$Y$6:$Y$1005,1))</f>
        <v>0</v>
      </c>
      <c r="Y305" s="96" t="str">
        <f>IF(S305=1,A305&amp;" | CDF "&amp;IF(B305="","(sem número)",B305)&amp;" | "&amp;IF(F305="","(sem destinador)",F305),"")</f>
        <v/>
      </c>
      <c r="Z305" s="96" t="str">
        <f>IF(S305=1,COUNTIF($S$6:S305,1),"")</f>
        <v/>
      </c>
      <c r="AA305" s="96">
        <f>IF(S305=0,0,IF(AND(OR(r_ini="",AND(ISNUMBER(D305),D305&gt;=r_ini)),OR(r_fim="",AND(ISNUMBER(D305),D305&lt;=r_fim)),OR(r_de="",r_de="(Todos)",F305=r_de)),1,0))</f>
        <v>0</v>
      </c>
      <c r="AB305" s="96" t="str">
        <f>IF(AA305=1,IF(F305="",0,COUNTIF($F$6:$F$505,"&lt;"&amp;F305))*1000+300,"")</f>
        <v/>
      </c>
    </row>
    <row r="306">
      <c r="A306" s="89" t="inlineStr">
        <is>
          <t>CDF-000301</t>
        </is>
      </c>
      <c r="B306" s="90" t="n"/>
      <c r="C306" s="91" t="n"/>
      <c r="D306" s="92" t="n"/>
      <c r="E306" s="91" t="n"/>
      <c r="F306" s="91" t="n"/>
      <c r="G306" s="91" t="n"/>
      <c r="H306" s="91" t="n"/>
      <c r="I306" s="91" t="n"/>
      <c r="J306" s="91" t="n"/>
      <c r="K306" s="92" t="n"/>
      <c r="L306" s="91" t="n"/>
      <c r="M306" s="91" t="n"/>
      <c r="N306" s="91" t="n"/>
      <c r="O306" s="93" t="str">
        <f>IF(S306=0,"",SUMIFS('VÍNCULOS_CDF'!$H$6:$H$1005,'VÍNCULOS_CDF'!$O$6:$O$1005,A306,'VÍNCULOS_CDF'!$V$6:$V$1005,1))</f>
        <v/>
      </c>
      <c r="P306" s="95" t="str">
        <f>IF(S306=0,"",COUNTIFS('VÍNCULOS_CDF'!$O$6:$O$1005,A306,'VÍNCULOS_CDF'!$N$6:$N$1005,1))</f>
        <v/>
      </c>
      <c r="Q306" s="94" t="str">
        <f>IF(S306=0,"",IF(OR(B306="",F306=""),"Informações incompletas",IF(U306=1,"Possível duplicidade",IF(V306=0,"Destinador fora do cadastro",IF(AND(J306="Sim",N(P306)=0),"Necessita revisão de vínculos",IF(X306&gt;0,"Necessita revisão de vínculos",IF(J306="Sim","Conferido",IF(I306="Sim","Localizado, aguardando conferência","Cadastrado"))))))))</f>
        <v/>
      </c>
      <c r="R306" s="95" t="str">
        <f>IF(S306=0,"",COUNTIFS('VÍNCULOS_CDF'!$O$6:$O$1005,A306,'VÍNCULOS_CDF'!$AB$6:$AB$1005,1))</f>
        <v/>
      </c>
      <c r="S306" s="96">
        <f>IF(COUNTA(B306:N306)&gt;0,1,0)</f>
        <v>0</v>
      </c>
      <c r="T306" s="96" t="str">
        <f>IF(AND(S306=1,B306&lt;&gt;""),C306&amp;"|"&amp;TRIM(B306),"")</f>
        <v/>
      </c>
      <c r="U306" s="96">
        <f>IF(T306="",0,IF(SUMPRODUCT(--($T$6:$T$505=T306))&gt;1,1,0))</f>
        <v>0</v>
      </c>
      <c r="V306" s="96">
        <f>IF(F306="",0,IF(ISNUMBER(MATCH(F306,cmp_dest,0)),1,0))</f>
        <v>0</v>
      </c>
      <c r="W306" s="96">
        <f>IF(AND(S306=1,B306&lt;&gt;"",F306&lt;&gt;"",J306="Sim",U306=0),1,0)</f>
        <v>0</v>
      </c>
      <c r="X306" s="96">
        <f>IF(S306=0,0,COUNTIFS('VÍNCULOS_CDF'!$O$6:$O$1005,A306,'VÍNCULOS_CDF'!$Y$6:$Y$1005,1))</f>
        <v>0</v>
      </c>
      <c r="Y306" s="96" t="str">
        <f>IF(S306=1,A306&amp;" | CDF "&amp;IF(B306="","(sem número)",B306)&amp;" | "&amp;IF(F306="","(sem destinador)",F306),"")</f>
        <v/>
      </c>
      <c r="Z306" s="96" t="str">
        <f>IF(S306=1,COUNTIF($S$6:S306,1),"")</f>
        <v/>
      </c>
      <c r="AA306" s="96">
        <f>IF(S306=0,0,IF(AND(OR(r_ini="",AND(ISNUMBER(D306),D306&gt;=r_ini)),OR(r_fim="",AND(ISNUMBER(D306),D306&lt;=r_fim)),OR(r_de="",r_de="(Todos)",F306=r_de)),1,0))</f>
        <v>0</v>
      </c>
      <c r="AB306" s="96" t="str">
        <f>IF(AA306=1,IF(F306="",0,COUNTIF($F$6:$F$505,"&lt;"&amp;F306))*1000+301,"")</f>
        <v/>
      </c>
    </row>
    <row r="307">
      <c r="A307" s="89" t="inlineStr">
        <is>
          <t>CDF-000302</t>
        </is>
      </c>
      <c r="B307" s="90" t="n"/>
      <c r="C307" s="91" t="n"/>
      <c r="D307" s="92" t="n"/>
      <c r="E307" s="91" t="n"/>
      <c r="F307" s="91" t="n"/>
      <c r="G307" s="91" t="n"/>
      <c r="H307" s="91" t="n"/>
      <c r="I307" s="91" t="n"/>
      <c r="J307" s="91" t="n"/>
      <c r="K307" s="92" t="n"/>
      <c r="L307" s="91" t="n"/>
      <c r="M307" s="91" t="n"/>
      <c r="N307" s="91" t="n"/>
      <c r="O307" s="93" t="str">
        <f>IF(S307=0,"",SUMIFS('VÍNCULOS_CDF'!$H$6:$H$1005,'VÍNCULOS_CDF'!$O$6:$O$1005,A307,'VÍNCULOS_CDF'!$V$6:$V$1005,1))</f>
        <v/>
      </c>
      <c r="P307" s="95" t="str">
        <f>IF(S307=0,"",COUNTIFS('VÍNCULOS_CDF'!$O$6:$O$1005,A307,'VÍNCULOS_CDF'!$N$6:$N$1005,1))</f>
        <v/>
      </c>
      <c r="Q307" s="94" t="str">
        <f>IF(S307=0,"",IF(OR(B307="",F307=""),"Informações incompletas",IF(U307=1,"Possível duplicidade",IF(V307=0,"Destinador fora do cadastro",IF(AND(J307="Sim",N(P307)=0),"Necessita revisão de vínculos",IF(X307&gt;0,"Necessita revisão de vínculos",IF(J307="Sim","Conferido",IF(I307="Sim","Localizado, aguardando conferência","Cadastrado"))))))))</f>
        <v/>
      </c>
      <c r="R307" s="95" t="str">
        <f>IF(S307=0,"",COUNTIFS('VÍNCULOS_CDF'!$O$6:$O$1005,A307,'VÍNCULOS_CDF'!$AB$6:$AB$1005,1))</f>
        <v/>
      </c>
      <c r="S307" s="96">
        <f>IF(COUNTA(B307:N307)&gt;0,1,0)</f>
        <v>0</v>
      </c>
      <c r="T307" s="96" t="str">
        <f>IF(AND(S307=1,B307&lt;&gt;""),C307&amp;"|"&amp;TRIM(B307),"")</f>
        <v/>
      </c>
      <c r="U307" s="96">
        <f>IF(T307="",0,IF(SUMPRODUCT(--($T$6:$T$505=T307))&gt;1,1,0))</f>
        <v>0</v>
      </c>
      <c r="V307" s="96">
        <f>IF(F307="",0,IF(ISNUMBER(MATCH(F307,cmp_dest,0)),1,0))</f>
        <v>0</v>
      </c>
      <c r="W307" s="96">
        <f>IF(AND(S307=1,B307&lt;&gt;"",F307&lt;&gt;"",J307="Sim",U307=0),1,0)</f>
        <v>0</v>
      </c>
      <c r="X307" s="96">
        <f>IF(S307=0,0,COUNTIFS('VÍNCULOS_CDF'!$O$6:$O$1005,A307,'VÍNCULOS_CDF'!$Y$6:$Y$1005,1))</f>
        <v>0</v>
      </c>
      <c r="Y307" s="96" t="str">
        <f>IF(S307=1,A307&amp;" | CDF "&amp;IF(B307="","(sem número)",B307)&amp;" | "&amp;IF(F307="","(sem destinador)",F307),"")</f>
        <v/>
      </c>
      <c r="Z307" s="96" t="str">
        <f>IF(S307=1,COUNTIF($S$6:S307,1),"")</f>
        <v/>
      </c>
      <c r="AA307" s="96">
        <f>IF(S307=0,0,IF(AND(OR(r_ini="",AND(ISNUMBER(D307),D307&gt;=r_ini)),OR(r_fim="",AND(ISNUMBER(D307),D307&lt;=r_fim)),OR(r_de="",r_de="(Todos)",F307=r_de)),1,0))</f>
        <v>0</v>
      </c>
      <c r="AB307" s="96" t="str">
        <f>IF(AA307=1,IF(F307="",0,COUNTIF($F$6:$F$505,"&lt;"&amp;F307))*1000+302,"")</f>
        <v/>
      </c>
    </row>
    <row r="308">
      <c r="A308" s="89" t="inlineStr">
        <is>
          <t>CDF-000303</t>
        </is>
      </c>
      <c r="B308" s="90" t="n"/>
      <c r="C308" s="91" t="n"/>
      <c r="D308" s="92" t="n"/>
      <c r="E308" s="91" t="n"/>
      <c r="F308" s="91" t="n"/>
      <c r="G308" s="91" t="n"/>
      <c r="H308" s="91" t="n"/>
      <c r="I308" s="91" t="n"/>
      <c r="J308" s="91" t="n"/>
      <c r="K308" s="92" t="n"/>
      <c r="L308" s="91" t="n"/>
      <c r="M308" s="91" t="n"/>
      <c r="N308" s="91" t="n"/>
      <c r="O308" s="93" t="str">
        <f>IF(S308=0,"",SUMIFS('VÍNCULOS_CDF'!$H$6:$H$1005,'VÍNCULOS_CDF'!$O$6:$O$1005,A308,'VÍNCULOS_CDF'!$V$6:$V$1005,1))</f>
        <v/>
      </c>
      <c r="P308" s="95" t="str">
        <f>IF(S308=0,"",COUNTIFS('VÍNCULOS_CDF'!$O$6:$O$1005,A308,'VÍNCULOS_CDF'!$N$6:$N$1005,1))</f>
        <v/>
      </c>
      <c r="Q308" s="94" t="str">
        <f>IF(S308=0,"",IF(OR(B308="",F308=""),"Informações incompletas",IF(U308=1,"Possível duplicidade",IF(V308=0,"Destinador fora do cadastro",IF(AND(J308="Sim",N(P308)=0),"Necessita revisão de vínculos",IF(X308&gt;0,"Necessita revisão de vínculos",IF(J308="Sim","Conferido",IF(I308="Sim","Localizado, aguardando conferência","Cadastrado"))))))))</f>
        <v/>
      </c>
      <c r="R308" s="95" t="str">
        <f>IF(S308=0,"",COUNTIFS('VÍNCULOS_CDF'!$O$6:$O$1005,A308,'VÍNCULOS_CDF'!$AB$6:$AB$1005,1))</f>
        <v/>
      </c>
      <c r="S308" s="96">
        <f>IF(COUNTA(B308:N308)&gt;0,1,0)</f>
        <v>0</v>
      </c>
      <c r="T308" s="96" t="str">
        <f>IF(AND(S308=1,B308&lt;&gt;""),C308&amp;"|"&amp;TRIM(B308),"")</f>
        <v/>
      </c>
      <c r="U308" s="96">
        <f>IF(T308="",0,IF(SUMPRODUCT(--($T$6:$T$505=T308))&gt;1,1,0))</f>
        <v>0</v>
      </c>
      <c r="V308" s="96">
        <f>IF(F308="",0,IF(ISNUMBER(MATCH(F308,cmp_dest,0)),1,0))</f>
        <v>0</v>
      </c>
      <c r="W308" s="96">
        <f>IF(AND(S308=1,B308&lt;&gt;"",F308&lt;&gt;"",J308="Sim",U308=0),1,0)</f>
        <v>0</v>
      </c>
      <c r="X308" s="96">
        <f>IF(S308=0,0,COUNTIFS('VÍNCULOS_CDF'!$O$6:$O$1005,A308,'VÍNCULOS_CDF'!$Y$6:$Y$1005,1))</f>
        <v>0</v>
      </c>
      <c r="Y308" s="96" t="str">
        <f>IF(S308=1,A308&amp;" | CDF "&amp;IF(B308="","(sem número)",B308)&amp;" | "&amp;IF(F308="","(sem destinador)",F308),"")</f>
        <v/>
      </c>
      <c r="Z308" s="96" t="str">
        <f>IF(S308=1,COUNTIF($S$6:S308,1),"")</f>
        <v/>
      </c>
      <c r="AA308" s="96">
        <f>IF(S308=0,0,IF(AND(OR(r_ini="",AND(ISNUMBER(D308),D308&gt;=r_ini)),OR(r_fim="",AND(ISNUMBER(D308),D308&lt;=r_fim)),OR(r_de="",r_de="(Todos)",F308=r_de)),1,0))</f>
        <v>0</v>
      </c>
      <c r="AB308" s="96" t="str">
        <f>IF(AA308=1,IF(F308="",0,COUNTIF($F$6:$F$505,"&lt;"&amp;F308))*1000+303,"")</f>
        <v/>
      </c>
    </row>
    <row r="309">
      <c r="A309" s="89" t="inlineStr">
        <is>
          <t>CDF-000304</t>
        </is>
      </c>
      <c r="B309" s="90" t="n"/>
      <c r="C309" s="91" t="n"/>
      <c r="D309" s="92" t="n"/>
      <c r="E309" s="91" t="n"/>
      <c r="F309" s="91" t="n"/>
      <c r="G309" s="91" t="n"/>
      <c r="H309" s="91" t="n"/>
      <c r="I309" s="91" t="n"/>
      <c r="J309" s="91" t="n"/>
      <c r="K309" s="92" t="n"/>
      <c r="L309" s="91" t="n"/>
      <c r="M309" s="91" t="n"/>
      <c r="N309" s="91" t="n"/>
      <c r="O309" s="93" t="str">
        <f>IF(S309=0,"",SUMIFS('VÍNCULOS_CDF'!$H$6:$H$1005,'VÍNCULOS_CDF'!$O$6:$O$1005,A309,'VÍNCULOS_CDF'!$V$6:$V$1005,1))</f>
        <v/>
      </c>
      <c r="P309" s="95" t="str">
        <f>IF(S309=0,"",COUNTIFS('VÍNCULOS_CDF'!$O$6:$O$1005,A309,'VÍNCULOS_CDF'!$N$6:$N$1005,1))</f>
        <v/>
      </c>
      <c r="Q309" s="94" t="str">
        <f>IF(S309=0,"",IF(OR(B309="",F309=""),"Informações incompletas",IF(U309=1,"Possível duplicidade",IF(V309=0,"Destinador fora do cadastro",IF(AND(J309="Sim",N(P309)=0),"Necessita revisão de vínculos",IF(X309&gt;0,"Necessita revisão de vínculos",IF(J309="Sim","Conferido",IF(I309="Sim","Localizado, aguardando conferência","Cadastrado"))))))))</f>
        <v/>
      </c>
      <c r="R309" s="95" t="str">
        <f>IF(S309=0,"",COUNTIFS('VÍNCULOS_CDF'!$O$6:$O$1005,A309,'VÍNCULOS_CDF'!$AB$6:$AB$1005,1))</f>
        <v/>
      </c>
      <c r="S309" s="96">
        <f>IF(COUNTA(B309:N309)&gt;0,1,0)</f>
        <v>0</v>
      </c>
      <c r="T309" s="96" t="str">
        <f>IF(AND(S309=1,B309&lt;&gt;""),C309&amp;"|"&amp;TRIM(B309),"")</f>
        <v/>
      </c>
      <c r="U309" s="96">
        <f>IF(T309="",0,IF(SUMPRODUCT(--($T$6:$T$505=T309))&gt;1,1,0))</f>
        <v>0</v>
      </c>
      <c r="V309" s="96">
        <f>IF(F309="",0,IF(ISNUMBER(MATCH(F309,cmp_dest,0)),1,0))</f>
        <v>0</v>
      </c>
      <c r="W309" s="96">
        <f>IF(AND(S309=1,B309&lt;&gt;"",F309&lt;&gt;"",J309="Sim",U309=0),1,0)</f>
        <v>0</v>
      </c>
      <c r="X309" s="96">
        <f>IF(S309=0,0,COUNTIFS('VÍNCULOS_CDF'!$O$6:$O$1005,A309,'VÍNCULOS_CDF'!$Y$6:$Y$1005,1))</f>
        <v>0</v>
      </c>
      <c r="Y309" s="96" t="str">
        <f>IF(S309=1,A309&amp;" | CDF "&amp;IF(B309="","(sem número)",B309)&amp;" | "&amp;IF(F309="","(sem destinador)",F309),"")</f>
        <v/>
      </c>
      <c r="Z309" s="96" t="str">
        <f>IF(S309=1,COUNTIF($S$6:S309,1),"")</f>
        <v/>
      </c>
      <c r="AA309" s="96">
        <f>IF(S309=0,0,IF(AND(OR(r_ini="",AND(ISNUMBER(D309),D309&gt;=r_ini)),OR(r_fim="",AND(ISNUMBER(D309),D309&lt;=r_fim)),OR(r_de="",r_de="(Todos)",F309=r_de)),1,0))</f>
        <v>0</v>
      </c>
      <c r="AB309" s="96" t="str">
        <f>IF(AA309=1,IF(F309="",0,COUNTIF($F$6:$F$505,"&lt;"&amp;F309))*1000+304,"")</f>
        <v/>
      </c>
    </row>
    <row r="310">
      <c r="A310" s="89" t="inlineStr">
        <is>
          <t>CDF-000305</t>
        </is>
      </c>
      <c r="B310" s="90" t="n"/>
      <c r="C310" s="91" t="n"/>
      <c r="D310" s="92" t="n"/>
      <c r="E310" s="91" t="n"/>
      <c r="F310" s="91" t="n"/>
      <c r="G310" s="91" t="n"/>
      <c r="H310" s="91" t="n"/>
      <c r="I310" s="91" t="n"/>
      <c r="J310" s="91" t="n"/>
      <c r="K310" s="92" t="n"/>
      <c r="L310" s="91" t="n"/>
      <c r="M310" s="91" t="n"/>
      <c r="N310" s="91" t="n"/>
      <c r="O310" s="93" t="str">
        <f>IF(S310=0,"",SUMIFS('VÍNCULOS_CDF'!$H$6:$H$1005,'VÍNCULOS_CDF'!$O$6:$O$1005,A310,'VÍNCULOS_CDF'!$V$6:$V$1005,1))</f>
        <v/>
      </c>
      <c r="P310" s="95" t="str">
        <f>IF(S310=0,"",COUNTIFS('VÍNCULOS_CDF'!$O$6:$O$1005,A310,'VÍNCULOS_CDF'!$N$6:$N$1005,1))</f>
        <v/>
      </c>
      <c r="Q310" s="94" t="str">
        <f>IF(S310=0,"",IF(OR(B310="",F310=""),"Informações incompletas",IF(U310=1,"Possível duplicidade",IF(V310=0,"Destinador fora do cadastro",IF(AND(J310="Sim",N(P310)=0),"Necessita revisão de vínculos",IF(X310&gt;0,"Necessita revisão de vínculos",IF(J310="Sim","Conferido",IF(I310="Sim","Localizado, aguardando conferência","Cadastrado"))))))))</f>
        <v/>
      </c>
      <c r="R310" s="95" t="str">
        <f>IF(S310=0,"",COUNTIFS('VÍNCULOS_CDF'!$O$6:$O$1005,A310,'VÍNCULOS_CDF'!$AB$6:$AB$1005,1))</f>
        <v/>
      </c>
      <c r="S310" s="96">
        <f>IF(COUNTA(B310:N310)&gt;0,1,0)</f>
        <v>0</v>
      </c>
      <c r="T310" s="96" t="str">
        <f>IF(AND(S310=1,B310&lt;&gt;""),C310&amp;"|"&amp;TRIM(B310),"")</f>
        <v/>
      </c>
      <c r="U310" s="96">
        <f>IF(T310="",0,IF(SUMPRODUCT(--($T$6:$T$505=T310))&gt;1,1,0))</f>
        <v>0</v>
      </c>
      <c r="V310" s="96">
        <f>IF(F310="",0,IF(ISNUMBER(MATCH(F310,cmp_dest,0)),1,0))</f>
        <v>0</v>
      </c>
      <c r="W310" s="96">
        <f>IF(AND(S310=1,B310&lt;&gt;"",F310&lt;&gt;"",J310="Sim",U310=0),1,0)</f>
        <v>0</v>
      </c>
      <c r="X310" s="96">
        <f>IF(S310=0,0,COUNTIFS('VÍNCULOS_CDF'!$O$6:$O$1005,A310,'VÍNCULOS_CDF'!$Y$6:$Y$1005,1))</f>
        <v>0</v>
      </c>
      <c r="Y310" s="96" t="str">
        <f>IF(S310=1,A310&amp;" | CDF "&amp;IF(B310="","(sem número)",B310)&amp;" | "&amp;IF(F310="","(sem destinador)",F310),"")</f>
        <v/>
      </c>
      <c r="Z310" s="96" t="str">
        <f>IF(S310=1,COUNTIF($S$6:S310,1),"")</f>
        <v/>
      </c>
      <c r="AA310" s="96">
        <f>IF(S310=0,0,IF(AND(OR(r_ini="",AND(ISNUMBER(D310),D310&gt;=r_ini)),OR(r_fim="",AND(ISNUMBER(D310),D310&lt;=r_fim)),OR(r_de="",r_de="(Todos)",F310=r_de)),1,0))</f>
        <v>0</v>
      </c>
      <c r="AB310" s="96" t="str">
        <f>IF(AA310=1,IF(F310="",0,COUNTIF($F$6:$F$505,"&lt;"&amp;F310))*1000+305,"")</f>
        <v/>
      </c>
    </row>
    <row r="311">
      <c r="A311" s="89" t="inlineStr">
        <is>
          <t>CDF-000306</t>
        </is>
      </c>
      <c r="B311" s="90" t="n"/>
      <c r="C311" s="91" t="n"/>
      <c r="D311" s="92" t="n"/>
      <c r="E311" s="91" t="n"/>
      <c r="F311" s="91" t="n"/>
      <c r="G311" s="91" t="n"/>
      <c r="H311" s="91" t="n"/>
      <c r="I311" s="91" t="n"/>
      <c r="J311" s="91" t="n"/>
      <c r="K311" s="92" t="n"/>
      <c r="L311" s="91" t="n"/>
      <c r="M311" s="91" t="n"/>
      <c r="N311" s="91" t="n"/>
      <c r="O311" s="93" t="str">
        <f>IF(S311=0,"",SUMIFS('VÍNCULOS_CDF'!$H$6:$H$1005,'VÍNCULOS_CDF'!$O$6:$O$1005,A311,'VÍNCULOS_CDF'!$V$6:$V$1005,1))</f>
        <v/>
      </c>
      <c r="P311" s="95" t="str">
        <f>IF(S311=0,"",COUNTIFS('VÍNCULOS_CDF'!$O$6:$O$1005,A311,'VÍNCULOS_CDF'!$N$6:$N$1005,1))</f>
        <v/>
      </c>
      <c r="Q311" s="94" t="str">
        <f>IF(S311=0,"",IF(OR(B311="",F311=""),"Informações incompletas",IF(U311=1,"Possível duplicidade",IF(V311=0,"Destinador fora do cadastro",IF(AND(J311="Sim",N(P311)=0),"Necessita revisão de vínculos",IF(X311&gt;0,"Necessita revisão de vínculos",IF(J311="Sim","Conferido",IF(I311="Sim","Localizado, aguardando conferência","Cadastrado"))))))))</f>
        <v/>
      </c>
      <c r="R311" s="95" t="str">
        <f>IF(S311=0,"",COUNTIFS('VÍNCULOS_CDF'!$O$6:$O$1005,A311,'VÍNCULOS_CDF'!$AB$6:$AB$1005,1))</f>
        <v/>
      </c>
      <c r="S311" s="96">
        <f>IF(COUNTA(B311:N311)&gt;0,1,0)</f>
        <v>0</v>
      </c>
      <c r="T311" s="96" t="str">
        <f>IF(AND(S311=1,B311&lt;&gt;""),C311&amp;"|"&amp;TRIM(B311),"")</f>
        <v/>
      </c>
      <c r="U311" s="96">
        <f>IF(T311="",0,IF(SUMPRODUCT(--($T$6:$T$505=T311))&gt;1,1,0))</f>
        <v>0</v>
      </c>
      <c r="V311" s="96">
        <f>IF(F311="",0,IF(ISNUMBER(MATCH(F311,cmp_dest,0)),1,0))</f>
        <v>0</v>
      </c>
      <c r="W311" s="96">
        <f>IF(AND(S311=1,B311&lt;&gt;"",F311&lt;&gt;"",J311="Sim",U311=0),1,0)</f>
        <v>0</v>
      </c>
      <c r="X311" s="96">
        <f>IF(S311=0,0,COUNTIFS('VÍNCULOS_CDF'!$O$6:$O$1005,A311,'VÍNCULOS_CDF'!$Y$6:$Y$1005,1))</f>
        <v>0</v>
      </c>
      <c r="Y311" s="96" t="str">
        <f>IF(S311=1,A311&amp;" | CDF "&amp;IF(B311="","(sem número)",B311)&amp;" | "&amp;IF(F311="","(sem destinador)",F311),"")</f>
        <v/>
      </c>
      <c r="Z311" s="96" t="str">
        <f>IF(S311=1,COUNTIF($S$6:S311,1),"")</f>
        <v/>
      </c>
      <c r="AA311" s="96">
        <f>IF(S311=0,0,IF(AND(OR(r_ini="",AND(ISNUMBER(D311),D311&gt;=r_ini)),OR(r_fim="",AND(ISNUMBER(D311),D311&lt;=r_fim)),OR(r_de="",r_de="(Todos)",F311=r_de)),1,0))</f>
        <v>0</v>
      </c>
      <c r="AB311" s="96" t="str">
        <f>IF(AA311=1,IF(F311="",0,COUNTIF($F$6:$F$505,"&lt;"&amp;F311))*1000+306,"")</f>
        <v/>
      </c>
    </row>
    <row r="312">
      <c r="A312" s="89" t="inlineStr">
        <is>
          <t>CDF-000307</t>
        </is>
      </c>
      <c r="B312" s="90" t="n"/>
      <c r="C312" s="91" t="n"/>
      <c r="D312" s="92" t="n"/>
      <c r="E312" s="91" t="n"/>
      <c r="F312" s="91" t="n"/>
      <c r="G312" s="91" t="n"/>
      <c r="H312" s="91" t="n"/>
      <c r="I312" s="91" t="n"/>
      <c r="J312" s="91" t="n"/>
      <c r="K312" s="92" t="n"/>
      <c r="L312" s="91" t="n"/>
      <c r="M312" s="91" t="n"/>
      <c r="N312" s="91" t="n"/>
      <c r="O312" s="93" t="str">
        <f>IF(S312=0,"",SUMIFS('VÍNCULOS_CDF'!$H$6:$H$1005,'VÍNCULOS_CDF'!$O$6:$O$1005,A312,'VÍNCULOS_CDF'!$V$6:$V$1005,1))</f>
        <v/>
      </c>
      <c r="P312" s="95" t="str">
        <f>IF(S312=0,"",COUNTIFS('VÍNCULOS_CDF'!$O$6:$O$1005,A312,'VÍNCULOS_CDF'!$N$6:$N$1005,1))</f>
        <v/>
      </c>
      <c r="Q312" s="94" t="str">
        <f>IF(S312=0,"",IF(OR(B312="",F312=""),"Informações incompletas",IF(U312=1,"Possível duplicidade",IF(V312=0,"Destinador fora do cadastro",IF(AND(J312="Sim",N(P312)=0),"Necessita revisão de vínculos",IF(X312&gt;0,"Necessita revisão de vínculos",IF(J312="Sim","Conferido",IF(I312="Sim","Localizado, aguardando conferência","Cadastrado"))))))))</f>
        <v/>
      </c>
      <c r="R312" s="95" t="str">
        <f>IF(S312=0,"",COUNTIFS('VÍNCULOS_CDF'!$O$6:$O$1005,A312,'VÍNCULOS_CDF'!$AB$6:$AB$1005,1))</f>
        <v/>
      </c>
      <c r="S312" s="96">
        <f>IF(COUNTA(B312:N312)&gt;0,1,0)</f>
        <v>0</v>
      </c>
      <c r="T312" s="96" t="str">
        <f>IF(AND(S312=1,B312&lt;&gt;""),C312&amp;"|"&amp;TRIM(B312),"")</f>
        <v/>
      </c>
      <c r="U312" s="96">
        <f>IF(T312="",0,IF(SUMPRODUCT(--($T$6:$T$505=T312))&gt;1,1,0))</f>
        <v>0</v>
      </c>
      <c r="V312" s="96">
        <f>IF(F312="",0,IF(ISNUMBER(MATCH(F312,cmp_dest,0)),1,0))</f>
        <v>0</v>
      </c>
      <c r="W312" s="96">
        <f>IF(AND(S312=1,B312&lt;&gt;"",F312&lt;&gt;"",J312="Sim",U312=0),1,0)</f>
        <v>0</v>
      </c>
      <c r="X312" s="96">
        <f>IF(S312=0,0,COUNTIFS('VÍNCULOS_CDF'!$O$6:$O$1005,A312,'VÍNCULOS_CDF'!$Y$6:$Y$1005,1))</f>
        <v>0</v>
      </c>
      <c r="Y312" s="96" t="str">
        <f>IF(S312=1,A312&amp;" | CDF "&amp;IF(B312="","(sem número)",B312)&amp;" | "&amp;IF(F312="","(sem destinador)",F312),"")</f>
        <v/>
      </c>
      <c r="Z312" s="96" t="str">
        <f>IF(S312=1,COUNTIF($S$6:S312,1),"")</f>
        <v/>
      </c>
      <c r="AA312" s="96">
        <f>IF(S312=0,0,IF(AND(OR(r_ini="",AND(ISNUMBER(D312),D312&gt;=r_ini)),OR(r_fim="",AND(ISNUMBER(D312),D312&lt;=r_fim)),OR(r_de="",r_de="(Todos)",F312=r_de)),1,0))</f>
        <v>0</v>
      </c>
      <c r="AB312" s="96" t="str">
        <f>IF(AA312=1,IF(F312="",0,COUNTIF($F$6:$F$505,"&lt;"&amp;F312))*1000+307,"")</f>
        <v/>
      </c>
    </row>
    <row r="313">
      <c r="A313" s="89" t="inlineStr">
        <is>
          <t>CDF-000308</t>
        </is>
      </c>
      <c r="B313" s="90" t="n"/>
      <c r="C313" s="91" t="n"/>
      <c r="D313" s="92" t="n"/>
      <c r="E313" s="91" t="n"/>
      <c r="F313" s="91" t="n"/>
      <c r="G313" s="91" t="n"/>
      <c r="H313" s="91" t="n"/>
      <c r="I313" s="91" t="n"/>
      <c r="J313" s="91" t="n"/>
      <c r="K313" s="92" t="n"/>
      <c r="L313" s="91" t="n"/>
      <c r="M313" s="91" t="n"/>
      <c r="N313" s="91" t="n"/>
      <c r="O313" s="93" t="str">
        <f>IF(S313=0,"",SUMIFS('VÍNCULOS_CDF'!$H$6:$H$1005,'VÍNCULOS_CDF'!$O$6:$O$1005,A313,'VÍNCULOS_CDF'!$V$6:$V$1005,1))</f>
        <v/>
      </c>
      <c r="P313" s="95" t="str">
        <f>IF(S313=0,"",COUNTIFS('VÍNCULOS_CDF'!$O$6:$O$1005,A313,'VÍNCULOS_CDF'!$N$6:$N$1005,1))</f>
        <v/>
      </c>
      <c r="Q313" s="94" t="str">
        <f>IF(S313=0,"",IF(OR(B313="",F313=""),"Informações incompletas",IF(U313=1,"Possível duplicidade",IF(V313=0,"Destinador fora do cadastro",IF(AND(J313="Sim",N(P313)=0),"Necessita revisão de vínculos",IF(X313&gt;0,"Necessita revisão de vínculos",IF(J313="Sim","Conferido",IF(I313="Sim","Localizado, aguardando conferência","Cadastrado"))))))))</f>
        <v/>
      </c>
      <c r="R313" s="95" t="str">
        <f>IF(S313=0,"",COUNTIFS('VÍNCULOS_CDF'!$O$6:$O$1005,A313,'VÍNCULOS_CDF'!$AB$6:$AB$1005,1))</f>
        <v/>
      </c>
      <c r="S313" s="96">
        <f>IF(COUNTA(B313:N313)&gt;0,1,0)</f>
        <v>0</v>
      </c>
      <c r="T313" s="96" t="str">
        <f>IF(AND(S313=1,B313&lt;&gt;""),C313&amp;"|"&amp;TRIM(B313),"")</f>
        <v/>
      </c>
      <c r="U313" s="96">
        <f>IF(T313="",0,IF(SUMPRODUCT(--($T$6:$T$505=T313))&gt;1,1,0))</f>
        <v>0</v>
      </c>
      <c r="V313" s="96">
        <f>IF(F313="",0,IF(ISNUMBER(MATCH(F313,cmp_dest,0)),1,0))</f>
        <v>0</v>
      </c>
      <c r="W313" s="96">
        <f>IF(AND(S313=1,B313&lt;&gt;"",F313&lt;&gt;"",J313="Sim",U313=0),1,0)</f>
        <v>0</v>
      </c>
      <c r="X313" s="96">
        <f>IF(S313=0,0,COUNTIFS('VÍNCULOS_CDF'!$O$6:$O$1005,A313,'VÍNCULOS_CDF'!$Y$6:$Y$1005,1))</f>
        <v>0</v>
      </c>
      <c r="Y313" s="96" t="str">
        <f>IF(S313=1,A313&amp;" | CDF "&amp;IF(B313="","(sem número)",B313)&amp;" | "&amp;IF(F313="","(sem destinador)",F313),"")</f>
        <v/>
      </c>
      <c r="Z313" s="96" t="str">
        <f>IF(S313=1,COUNTIF($S$6:S313,1),"")</f>
        <v/>
      </c>
      <c r="AA313" s="96">
        <f>IF(S313=0,0,IF(AND(OR(r_ini="",AND(ISNUMBER(D313),D313&gt;=r_ini)),OR(r_fim="",AND(ISNUMBER(D313),D313&lt;=r_fim)),OR(r_de="",r_de="(Todos)",F313=r_de)),1,0))</f>
        <v>0</v>
      </c>
      <c r="AB313" s="96" t="str">
        <f>IF(AA313=1,IF(F313="",0,COUNTIF($F$6:$F$505,"&lt;"&amp;F313))*1000+308,"")</f>
        <v/>
      </c>
    </row>
    <row r="314">
      <c r="A314" s="89" t="inlineStr">
        <is>
          <t>CDF-000309</t>
        </is>
      </c>
      <c r="B314" s="90" t="n"/>
      <c r="C314" s="91" t="n"/>
      <c r="D314" s="92" t="n"/>
      <c r="E314" s="91" t="n"/>
      <c r="F314" s="91" t="n"/>
      <c r="G314" s="91" t="n"/>
      <c r="H314" s="91" t="n"/>
      <c r="I314" s="91" t="n"/>
      <c r="J314" s="91" t="n"/>
      <c r="K314" s="92" t="n"/>
      <c r="L314" s="91" t="n"/>
      <c r="M314" s="91" t="n"/>
      <c r="N314" s="91" t="n"/>
      <c r="O314" s="93" t="str">
        <f>IF(S314=0,"",SUMIFS('VÍNCULOS_CDF'!$H$6:$H$1005,'VÍNCULOS_CDF'!$O$6:$O$1005,A314,'VÍNCULOS_CDF'!$V$6:$V$1005,1))</f>
        <v/>
      </c>
      <c r="P314" s="95" t="str">
        <f>IF(S314=0,"",COUNTIFS('VÍNCULOS_CDF'!$O$6:$O$1005,A314,'VÍNCULOS_CDF'!$N$6:$N$1005,1))</f>
        <v/>
      </c>
      <c r="Q314" s="94" t="str">
        <f>IF(S314=0,"",IF(OR(B314="",F314=""),"Informações incompletas",IF(U314=1,"Possível duplicidade",IF(V314=0,"Destinador fora do cadastro",IF(AND(J314="Sim",N(P314)=0),"Necessita revisão de vínculos",IF(X314&gt;0,"Necessita revisão de vínculos",IF(J314="Sim","Conferido",IF(I314="Sim","Localizado, aguardando conferência","Cadastrado"))))))))</f>
        <v/>
      </c>
      <c r="R314" s="95" t="str">
        <f>IF(S314=0,"",COUNTIFS('VÍNCULOS_CDF'!$O$6:$O$1005,A314,'VÍNCULOS_CDF'!$AB$6:$AB$1005,1))</f>
        <v/>
      </c>
      <c r="S314" s="96">
        <f>IF(COUNTA(B314:N314)&gt;0,1,0)</f>
        <v>0</v>
      </c>
      <c r="T314" s="96" t="str">
        <f>IF(AND(S314=1,B314&lt;&gt;""),C314&amp;"|"&amp;TRIM(B314),"")</f>
        <v/>
      </c>
      <c r="U314" s="96">
        <f>IF(T314="",0,IF(SUMPRODUCT(--($T$6:$T$505=T314))&gt;1,1,0))</f>
        <v>0</v>
      </c>
      <c r="V314" s="96">
        <f>IF(F314="",0,IF(ISNUMBER(MATCH(F314,cmp_dest,0)),1,0))</f>
        <v>0</v>
      </c>
      <c r="W314" s="96">
        <f>IF(AND(S314=1,B314&lt;&gt;"",F314&lt;&gt;"",J314="Sim",U314=0),1,0)</f>
        <v>0</v>
      </c>
      <c r="X314" s="96">
        <f>IF(S314=0,0,COUNTIFS('VÍNCULOS_CDF'!$O$6:$O$1005,A314,'VÍNCULOS_CDF'!$Y$6:$Y$1005,1))</f>
        <v>0</v>
      </c>
      <c r="Y314" s="96" t="str">
        <f>IF(S314=1,A314&amp;" | CDF "&amp;IF(B314="","(sem número)",B314)&amp;" | "&amp;IF(F314="","(sem destinador)",F314),"")</f>
        <v/>
      </c>
      <c r="Z314" s="96" t="str">
        <f>IF(S314=1,COUNTIF($S$6:S314,1),"")</f>
        <v/>
      </c>
      <c r="AA314" s="96">
        <f>IF(S314=0,0,IF(AND(OR(r_ini="",AND(ISNUMBER(D314),D314&gt;=r_ini)),OR(r_fim="",AND(ISNUMBER(D314),D314&lt;=r_fim)),OR(r_de="",r_de="(Todos)",F314=r_de)),1,0))</f>
        <v>0</v>
      </c>
      <c r="AB314" s="96" t="str">
        <f>IF(AA314=1,IF(F314="",0,COUNTIF($F$6:$F$505,"&lt;"&amp;F314))*1000+309,"")</f>
        <v/>
      </c>
    </row>
    <row r="315">
      <c r="A315" s="89" t="inlineStr">
        <is>
          <t>CDF-000310</t>
        </is>
      </c>
      <c r="B315" s="90" t="n"/>
      <c r="C315" s="91" t="n"/>
      <c r="D315" s="92" t="n"/>
      <c r="E315" s="91" t="n"/>
      <c r="F315" s="91" t="n"/>
      <c r="G315" s="91" t="n"/>
      <c r="H315" s="91" t="n"/>
      <c r="I315" s="91" t="n"/>
      <c r="J315" s="91" t="n"/>
      <c r="K315" s="92" t="n"/>
      <c r="L315" s="91" t="n"/>
      <c r="M315" s="91" t="n"/>
      <c r="N315" s="91" t="n"/>
      <c r="O315" s="93" t="str">
        <f>IF(S315=0,"",SUMIFS('VÍNCULOS_CDF'!$H$6:$H$1005,'VÍNCULOS_CDF'!$O$6:$O$1005,A315,'VÍNCULOS_CDF'!$V$6:$V$1005,1))</f>
        <v/>
      </c>
      <c r="P315" s="95" t="str">
        <f>IF(S315=0,"",COUNTIFS('VÍNCULOS_CDF'!$O$6:$O$1005,A315,'VÍNCULOS_CDF'!$N$6:$N$1005,1))</f>
        <v/>
      </c>
      <c r="Q315" s="94" t="str">
        <f>IF(S315=0,"",IF(OR(B315="",F315=""),"Informações incompletas",IF(U315=1,"Possível duplicidade",IF(V315=0,"Destinador fora do cadastro",IF(AND(J315="Sim",N(P315)=0),"Necessita revisão de vínculos",IF(X315&gt;0,"Necessita revisão de vínculos",IF(J315="Sim","Conferido",IF(I315="Sim","Localizado, aguardando conferência","Cadastrado"))))))))</f>
        <v/>
      </c>
      <c r="R315" s="95" t="str">
        <f>IF(S315=0,"",COUNTIFS('VÍNCULOS_CDF'!$O$6:$O$1005,A315,'VÍNCULOS_CDF'!$AB$6:$AB$1005,1))</f>
        <v/>
      </c>
      <c r="S315" s="96">
        <f>IF(COUNTA(B315:N315)&gt;0,1,0)</f>
        <v>0</v>
      </c>
      <c r="T315" s="96" t="str">
        <f>IF(AND(S315=1,B315&lt;&gt;""),C315&amp;"|"&amp;TRIM(B315),"")</f>
        <v/>
      </c>
      <c r="U315" s="96">
        <f>IF(T315="",0,IF(SUMPRODUCT(--($T$6:$T$505=T315))&gt;1,1,0))</f>
        <v>0</v>
      </c>
      <c r="V315" s="96">
        <f>IF(F315="",0,IF(ISNUMBER(MATCH(F315,cmp_dest,0)),1,0))</f>
        <v>0</v>
      </c>
      <c r="W315" s="96">
        <f>IF(AND(S315=1,B315&lt;&gt;"",F315&lt;&gt;"",J315="Sim",U315=0),1,0)</f>
        <v>0</v>
      </c>
      <c r="X315" s="96">
        <f>IF(S315=0,0,COUNTIFS('VÍNCULOS_CDF'!$O$6:$O$1005,A315,'VÍNCULOS_CDF'!$Y$6:$Y$1005,1))</f>
        <v>0</v>
      </c>
      <c r="Y315" s="96" t="str">
        <f>IF(S315=1,A315&amp;" | CDF "&amp;IF(B315="","(sem número)",B315)&amp;" | "&amp;IF(F315="","(sem destinador)",F315),"")</f>
        <v/>
      </c>
      <c r="Z315" s="96" t="str">
        <f>IF(S315=1,COUNTIF($S$6:S315,1),"")</f>
        <v/>
      </c>
      <c r="AA315" s="96">
        <f>IF(S315=0,0,IF(AND(OR(r_ini="",AND(ISNUMBER(D315),D315&gt;=r_ini)),OR(r_fim="",AND(ISNUMBER(D315),D315&lt;=r_fim)),OR(r_de="",r_de="(Todos)",F315=r_de)),1,0))</f>
        <v>0</v>
      </c>
      <c r="AB315" s="96" t="str">
        <f>IF(AA315=1,IF(F315="",0,COUNTIF($F$6:$F$505,"&lt;"&amp;F315))*1000+310,"")</f>
        <v/>
      </c>
    </row>
    <row r="316">
      <c r="A316" s="89" t="inlineStr">
        <is>
          <t>CDF-000311</t>
        </is>
      </c>
      <c r="B316" s="90" t="n"/>
      <c r="C316" s="91" t="n"/>
      <c r="D316" s="92" t="n"/>
      <c r="E316" s="91" t="n"/>
      <c r="F316" s="91" t="n"/>
      <c r="G316" s="91" t="n"/>
      <c r="H316" s="91" t="n"/>
      <c r="I316" s="91" t="n"/>
      <c r="J316" s="91" t="n"/>
      <c r="K316" s="92" t="n"/>
      <c r="L316" s="91" t="n"/>
      <c r="M316" s="91" t="n"/>
      <c r="N316" s="91" t="n"/>
      <c r="O316" s="93" t="str">
        <f>IF(S316=0,"",SUMIFS('VÍNCULOS_CDF'!$H$6:$H$1005,'VÍNCULOS_CDF'!$O$6:$O$1005,A316,'VÍNCULOS_CDF'!$V$6:$V$1005,1))</f>
        <v/>
      </c>
      <c r="P316" s="95" t="str">
        <f>IF(S316=0,"",COUNTIFS('VÍNCULOS_CDF'!$O$6:$O$1005,A316,'VÍNCULOS_CDF'!$N$6:$N$1005,1))</f>
        <v/>
      </c>
      <c r="Q316" s="94" t="str">
        <f>IF(S316=0,"",IF(OR(B316="",F316=""),"Informações incompletas",IF(U316=1,"Possível duplicidade",IF(V316=0,"Destinador fora do cadastro",IF(AND(J316="Sim",N(P316)=0),"Necessita revisão de vínculos",IF(X316&gt;0,"Necessita revisão de vínculos",IF(J316="Sim","Conferido",IF(I316="Sim","Localizado, aguardando conferência","Cadastrado"))))))))</f>
        <v/>
      </c>
      <c r="R316" s="95" t="str">
        <f>IF(S316=0,"",COUNTIFS('VÍNCULOS_CDF'!$O$6:$O$1005,A316,'VÍNCULOS_CDF'!$AB$6:$AB$1005,1))</f>
        <v/>
      </c>
      <c r="S316" s="96">
        <f>IF(COUNTA(B316:N316)&gt;0,1,0)</f>
        <v>0</v>
      </c>
      <c r="T316" s="96" t="str">
        <f>IF(AND(S316=1,B316&lt;&gt;""),C316&amp;"|"&amp;TRIM(B316),"")</f>
        <v/>
      </c>
      <c r="U316" s="96">
        <f>IF(T316="",0,IF(SUMPRODUCT(--($T$6:$T$505=T316))&gt;1,1,0))</f>
        <v>0</v>
      </c>
      <c r="V316" s="96">
        <f>IF(F316="",0,IF(ISNUMBER(MATCH(F316,cmp_dest,0)),1,0))</f>
        <v>0</v>
      </c>
      <c r="W316" s="96">
        <f>IF(AND(S316=1,B316&lt;&gt;"",F316&lt;&gt;"",J316="Sim",U316=0),1,0)</f>
        <v>0</v>
      </c>
      <c r="X316" s="96">
        <f>IF(S316=0,0,COUNTIFS('VÍNCULOS_CDF'!$O$6:$O$1005,A316,'VÍNCULOS_CDF'!$Y$6:$Y$1005,1))</f>
        <v>0</v>
      </c>
      <c r="Y316" s="96" t="str">
        <f>IF(S316=1,A316&amp;" | CDF "&amp;IF(B316="","(sem número)",B316)&amp;" | "&amp;IF(F316="","(sem destinador)",F316),"")</f>
        <v/>
      </c>
      <c r="Z316" s="96" t="str">
        <f>IF(S316=1,COUNTIF($S$6:S316,1),"")</f>
        <v/>
      </c>
      <c r="AA316" s="96">
        <f>IF(S316=0,0,IF(AND(OR(r_ini="",AND(ISNUMBER(D316),D316&gt;=r_ini)),OR(r_fim="",AND(ISNUMBER(D316),D316&lt;=r_fim)),OR(r_de="",r_de="(Todos)",F316=r_de)),1,0))</f>
        <v>0</v>
      </c>
      <c r="AB316" s="96" t="str">
        <f>IF(AA316=1,IF(F316="",0,COUNTIF($F$6:$F$505,"&lt;"&amp;F316))*1000+311,"")</f>
        <v/>
      </c>
    </row>
    <row r="317">
      <c r="A317" s="89" t="inlineStr">
        <is>
          <t>CDF-000312</t>
        </is>
      </c>
      <c r="B317" s="90" t="n"/>
      <c r="C317" s="91" t="n"/>
      <c r="D317" s="92" t="n"/>
      <c r="E317" s="91" t="n"/>
      <c r="F317" s="91" t="n"/>
      <c r="G317" s="91" t="n"/>
      <c r="H317" s="91" t="n"/>
      <c r="I317" s="91" t="n"/>
      <c r="J317" s="91" t="n"/>
      <c r="K317" s="92" t="n"/>
      <c r="L317" s="91" t="n"/>
      <c r="M317" s="91" t="n"/>
      <c r="N317" s="91" t="n"/>
      <c r="O317" s="93" t="str">
        <f>IF(S317=0,"",SUMIFS('VÍNCULOS_CDF'!$H$6:$H$1005,'VÍNCULOS_CDF'!$O$6:$O$1005,A317,'VÍNCULOS_CDF'!$V$6:$V$1005,1))</f>
        <v/>
      </c>
      <c r="P317" s="95" t="str">
        <f>IF(S317=0,"",COUNTIFS('VÍNCULOS_CDF'!$O$6:$O$1005,A317,'VÍNCULOS_CDF'!$N$6:$N$1005,1))</f>
        <v/>
      </c>
      <c r="Q317" s="94" t="str">
        <f>IF(S317=0,"",IF(OR(B317="",F317=""),"Informações incompletas",IF(U317=1,"Possível duplicidade",IF(V317=0,"Destinador fora do cadastro",IF(AND(J317="Sim",N(P317)=0),"Necessita revisão de vínculos",IF(X317&gt;0,"Necessita revisão de vínculos",IF(J317="Sim","Conferido",IF(I317="Sim","Localizado, aguardando conferência","Cadastrado"))))))))</f>
        <v/>
      </c>
      <c r="R317" s="95" t="str">
        <f>IF(S317=0,"",COUNTIFS('VÍNCULOS_CDF'!$O$6:$O$1005,A317,'VÍNCULOS_CDF'!$AB$6:$AB$1005,1))</f>
        <v/>
      </c>
      <c r="S317" s="96">
        <f>IF(COUNTA(B317:N317)&gt;0,1,0)</f>
        <v>0</v>
      </c>
      <c r="T317" s="96" t="str">
        <f>IF(AND(S317=1,B317&lt;&gt;""),C317&amp;"|"&amp;TRIM(B317),"")</f>
        <v/>
      </c>
      <c r="U317" s="96">
        <f>IF(T317="",0,IF(SUMPRODUCT(--($T$6:$T$505=T317))&gt;1,1,0))</f>
        <v>0</v>
      </c>
      <c r="V317" s="96">
        <f>IF(F317="",0,IF(ISNUMBER(MATCH(F317,cmp_dest,0)),1,0))</f>
        <v>0</v>
      </c>
      <c r="W317" s="96">
        <f>IF(AND(S317=1,B317&lt;&gt;"",F317&lt;&gt;"",J317="Sim",U317=0),1,0)</f>
        <v>0</v>
      </c>
      <c r="X317" s="96">
        <f>IF(S317=0,0,COUNTIFS('VÍNCULOS_CDF'!$O$6:$O$1005,A317,'VÍNCULOS_CDF'!$Y$6:$Y$1005,1))</f>
        <v>0</v>
      </c>
      <c r="Y317" s="96" t="str">
        <f>IF(S317=1,A317&amp;" | CDF "&amp;IF(B317="","(sem número)",B317)&amp;" | "&amp;IF(F317="","(sem destinador)",F317),"")</f>
        <v/>
      </c>
      <c r="Z317" s="96" t="str">
        <f>IF(S317=1,COUNTIF($S$6:S317,1),"")</f>
        <v/>
      </c>
      <c r="AA317" s="96">
        <f>IF(S317=0,0,IF(AND(OR(r_ini="",AND(ISNUMBER(D317),D317&gt;=r_ini)),OR(r_fim="",AND(ISNUMBER(D317),D317&lt;=r_fim)),OR(r_de="",r_de="(Todos)",F317=r_de)),1,0))</f>
        <v>0</v>
      </c>
      <c r="AB317" s="96" t="str">
        <f>IF(AA317=1,IF(F317="",0,COUNTIF($F$6:$F$505,"&lt;"&amp;F317))*1000+312,"")</f>
        <v/>
      </c>
    </row>
    <row r="318">
      <c r="A318" s="89" t="inlineStr">
        <is>
          <t>CDF-000313</t>
        </is>
      </c>
      <c r="B318" s="90" t="n"/>
      <c r="C318" s="91" t="n"/>
      <c r="D318" s="92" t="n"/>
      <c r="E318" s="91" t="n"/>
      <c r="F318" s="91" t="n"/>
      <c r="G318" s="91" t="n"/>
      <c r="H318" s="91" t="n"/>
      <c r="I318" s="91" t="n"/>
      <c r="J318" s="91" t="n"/>
      <c r="K318" s="92" t="n"/>
      <c r="L318" s="91" t="n"/>
      <c r="M318" s="91" t="n"/>
      <c r="N318" s="91" t="n"/>
      <c r="O318" s="93" t="str">
        <f>IF(S318=0,"",SUMIFS('VÍNCULOS_CDF'!$H$6:$H$1005,'VÍNCULOS_CDF'!$O$6:$O$1005,A318,'VÍNCULOS_CDF'!$V$6:$V$1005,1))</f>
        <v/>
      </c>
      <c r="P318" s="95" t="str">
        <f>IF(S318=0,"",COUNTIFS('VÍNCULOS_CDF'!$O$6:$O$1005,A318,'VÍNCULOS_CDF'!$N$6:$N$1005,1))</f>
        <v/>
      </c>
      <c r="Q318" s="94" t="str">
        <f>IF(S318=0,"",IF(OR(B318="",F318=""),"Informações incompletas",IF(U318=1,"Possível duplicidade",IF(V318=0,"Destinador fora do cadastro",IF(AND(J318="Sim",N(P318)=0),"Necessita revisão de vínculos",IF(X318&gt;0,"Necessita revisão de vínculos",IF(J318="Sim","Conferido",IF(I318="Sim","Localizado, aguardando conferência","Cadastrado"))))))))</f>
        <v/>
      </c>
      <c r="R318" s="95" t="str">
        <f>IF(S318=0,"",COUNTIFS('VÍNCULOS_CDF'!$O$6:$O$1005,A318,'VÍNCULOS_CDF'!$AB$6:$AB$1005,1))</f>
        <v/>
      </c>
      <c r="S318" s="96">
        <f>IF(COUNTA(B318:N318)&gt;0,1,0)</f>
        <v>0</v>
      </c>
      <c r="T318" s="96" t="str">
        <f>IF(AND(S318=1,B318&lt;&gt;""),C318&amp;"|"&amp;TRIM(B318),"")</f>
        <v/>
      </c>
      <c r="U318" s="96">
        <f>IF(T318="",0,IF(SUMPRODUCT(--($T$6:$T$505=T318))&gt;1,1,0))</f>
        <v>0</v>
      </c>
      <c r="V318" s="96">
        <f>IF(F318="",0,IF(ISNUMBER(MATCH(F318,cmp_dest,0)),1,0))</f>
        <v>0</v>
      </c>
      <c r="W318" s="96">
        <f>IF(AND(S318=1,B318&lt;&gt;"",F318&lt;&gt;"",J318="Sim",U318=0),1,0)</f>
        <v>0</v>
      </c>
      <c r="X318" s="96">
        <f>IF(S318=0,0,COUNTIFS('VÍNCULOS_CDF'!$O$6:$O$1005,A318,'VÍNCULOS_CDF'!$Y$6:$Y$1005,1))</f>
        <v>0</v>
      </c>
      <c r="Y318" s="96" t="str">
        <f>IF(S318=1,A318&amp;" | CDF "&amp;IF(B318="","(sem número)",B318)&amp;" | "&amp;IF(F318="","(sem destinador)",F318),"")</f>
        <v/>
      </c>
      <c r="Z318" s="96" t="str">
        <f>IF(S318=1,COUNTIF($S$6:S318,1),"")</f>
        <v/>
      </c>
      <c r="AA318" s="96">
        <f>IF(S318=0,0,IF(AND(OR(r_ini="",AND(ISNUMBER(D318),D318&gt;=r_ini)),OR(r_fim="",AND(ISNUMBER(D318),D318&lt;=r_fim)),OR(r_de="",r_de="(Todos)",F318=r_de)),1,0))</f>
        <v>0</v>
      </c>
      <c r="AB318" s="96" t="str">
        <f>IF(AA318=1,IF(F318="",0,COUNTIF($F$6:$F$505,"&lt;"&amp;F318))*1000+313,"")</f>
        <v/>
      </c>
    </row>
    <row r="319">
      <c r="A319" s="89" t="inlineStr">
        <is>
          <t>CDF-000314</t>
        </is>
      </c>
      <c r="B319" s="90" t="n"/>
      <c r="C319" s="91" t="n"/>
      <c r="D319" s="92" t="n"/>
      <c r="E319" s="91" t="n"/>
      <c r="F319" s="91" t="n"/>
      <c r="G319" s="91" t="n"/>
      <c r="H319" s="91" t="n"/>
      <c r="I319" s="91" t="n"/>
      <c r="J319" s="91" t="n"/>
      <c r="K319" s="92" t="n"/>
      <c r="L319" s="91" t="n"/>
      <c r="M319" s="91" t="n"/>
      <c r="N319" s="91" t="n"/>
      <c r="O319" s="93" t="str">
        <f>IF(S319=0,"",SUMIFS('VÍNCULOS_CDF'!$H$6:$H$1005,'VÍNCULOS_CDF'!$O$6:$O$1005,A319,'VÍNCULOS_CDF'!$V$6:$V$1005,1))</f>
        <v/>
      </c>
      <c r="P319" s="95" t="str">
        <f>IF(S319=0,"",COUNTIFS('VÍNCULOS_CDF'!$O$6:$O$1005,A319,'VÍNCULOS_CDF'!$N$6:$N$1005,1))</f>
        <v/>
      </c>
      <c r="Q319" s="94" t="str">
        <f>IF(S319=0,"",IF(OR(B319="",F319=""),"Informações incompletas",IF(U319=1,"Possível duplicidade",IF(V319=0,"Destinador fora do cadastro",IF(AND(J319="Sim",N(P319)=0),"Necessita revisão de vínculos",IF(X319&gt;0,"Necessita revisão de vínculos",IF(J319="Sim","Conferido",IF(I319="Sim","Localizado, aguardando conferência","Cadastrado"))))))))</f>
        <v/>
      </c>
      <c r="R319" s="95" t="str">
        <f>IF(S319=0,"",COUNTIFS('VÍNCULOS_CDF'!$O$6:$O$1005,A319,'VÍNCULOS_CDF'!$AB$6:$AB$1005,1))</f>
        <v/>
      </c>
      <c r="S319" s="96">
        <f>IF(COUNTA(B319:N319)&gt;0,1,0)</f>
        <v>0</v>
      </c>
      <c r="T319" s="96" t="str">
        <f>IF(AND(S319=1,B319&lt;&gt;""),C319&amp;"|"&amp;TRIM(B319),"")</f>
        <v/>
      </c>
      <c r="U319" s="96">
        <f>IF(T319="",0,IF(SUMPRODUCT(--($T$6:$T$505=T319))&gt;1,1,0))</f>
        <v>0</v>
      </c>
      <c r="V319" s="96">
        <f>IF(F319="",0,IF(ISNUMBER(MATCH(F319,cmp_dest,0)),1,0))</f>
        <v>0</v>
      </c>
      <c r="W319" s="96">
        <f>IF(AND(S319=1,B319&lt;&gt;"",F319&lt;&gt;"",J319="Sim",U319=0),1,0)</f>
        <v>0</v>
      </c>
      <c r="X319" s="96">
        <f>IF(S319=0,0,COUNTIFS('VÍNCULOS_CDF'!$O$6:$O$1005,A319,'VÍNCULOS_CDF'!$Y$6:$Y$1005,1))</f>
        <v>0</v>
      </c>
      <c r="Y319" s="96" t="str">
        <f>IF(S319=1,A319&amp;" | CDF "&amp;IF(B319="","(sem número)",B319)&amp;" | "&amp;IF(F319="","(sem destinador)",F319),"")</f>
        <v/>
      </c>
      <c r="Z319" s="96" t="str">
        <f>IF(S319=1,COUNTIF($S$6:S319,1),"")</f>
        <v/>
      </c>
      <c r="AA319" s="96">
        <f>IF(S319=0,0,IF(AND(OR(r_ini="",AND(ISNUMBER(D319),D319&gt;=r_ini)),OR(r_fim="",AND(ISNUMBER(D319),D319&lt;=r_fim)),OR(r_de="",r_de="(Todos)",F319=r_de)),1,0))</f>
        <v>0</v>
      </c>
      <c r="AB319" s="96" t="str">
        <f>IF(AA319=1,IF(F319="",0,COUNTIF($F$6:$F$505,"&lt;"&amp;F319))*1000+314,"")</f>
        <v/>
      </c>
    </row>
    <row r="320">
      <c r="A320" s="89" t="inlineStr">
        <is>
          <t>CDF-000315</t>
        </is>
      </c>
      <c r="B320" s="90" t="n"/>
      <c r="C320" s="91" t="n"/>
      <c r="D320" s="92" t="n"/>
      <c r="E320" s="91" t="n"/>
      <c r="F320" s="91" t="n"/>
      <c r="G320" s="91" t="n"/>
      <c r="H320" s="91" t="n"/>
      <c r="I320" s="91" t="n"/>
      <c r="J320" s="91" t="n"/>
      <c r="K320" s="92" t="n"/>
      <c r="L320" s="91" t="n"/>
      <c r="M320" s="91" t="n"/>
      <c r="N320" s="91" t="n"/>
      <c r="O320" s="93" t="str">
        <f>IF(S320=0,"",SUMIFS('VÍNCULOS_CDF'!$H$6:$H$1005,'VÍNCULOS_CDF'!$O$6:$O$1005,A320,'VÍNCULOS_CDF'!$V$6:$V$1005,1))</f>
        <v/>
      </c>
      <c r="P320" s="95" t="str">
        <f>IF(S320=0,"",COUNTIFS('VÍNCULOS_CDF'!$O$6:$O$1005,A320,'VÍNCULOS_CDF'!$N$6:$N$1005,1))</f>
        <v/>
      </c>
      <c r="Q320" s="94" t="str">
        <f>IF(S320=0,"",IF(OR(B320="",F320=""),"Informações incompletas",IF(U320=1,"Possível duplicidade",IF(V320=0,"Destinador fora do cadastro",IF(AND(J320="Sim",N(P320)=0),"Necessita revisão de vínculos",IF(X320&gt;0,"Necessita revisão de vínculos",IF(J320="Sim","Conferido",IF(I320="Sim","Localizado, aguardando conferência","Cadastrado"))))))))</f>
        <v/>
      </c>
      <c r="R320" s="95" t="str">
        <f>IF(S320=0,"",COUNTIFS('VÍNCULOS_CDF'!$O$6:$O$1005,A320,'VÍNCULOS_CDF'!$AB$6:$AB$1005,1))</f>
        <v/>
      </c>
      <c r="S320" s="96">
        <f>IF(COUNTA(B320:N320)&gt;0,1,0)</f>
        <v>0</v>
      </c>
      <c r="T320" s="96" t="str">
        <f>IF(AND(S320=1,B320&lt;&gt;""),C320&amp;"|"&amp;TRIM(B320),"")</f>
        <v/>
      </c>
      <c r="U320" s="96">
        <f>IF(T320="",0,IF(SUMPRODUCT(--($T$6:$T$505=T320))&gt;1,1,0))</f>
        <v>0</v>
      </c>
      <c r="V320" s="96">
        <f>IF(F320="",0,IF(ISNUMBER(MATCH(F320,cmp_dest,0)),1,0))</f>
        <v>0</v>
      </c>
      <c r="W320" s="96">
        <f>IF(AND(S320=1,B320&lt;&gt;"",F320&lt;&gt;"",J320="Sim",U320=0),1,0)</f>
        <v>0</v>
      </c>
      <c r="X320" s="96">
        <f>IF(S320=0,0,COUNTIFS('VÍNCULOS_CDF'!$O$6:$O$1005,A320,'VÍNCULOS_CDF'!$Y$6:$Y$1005,1))</f>
        <v>0</v>
      </c>
      <c r="Y320" s="96" t="str">
        <f>IF(S320=1,A320&amp;" | CDF "&amp;IF(B320="","(sem número)",B320)&amp;" | "&amp;IF(F320="","(sem destinador)",F320),"")</f>
        <v/>
      </c>
      <c r="Z320" s="96" t="str">
        <f>IF(S320=1,COUNTIF($S$6:S320,1),"")</f>
        <v/>
      </c>
      <c r="AA320" s="96">
        <f>IF(S320=0,0,IF(AND(OR(r_ini="",AND(ISNUMBER(D320),D320&gt;=r_ini)),OR(r_fim="",AND(ISNUMBER(D320),D320&lt;=r_fim)),OR(r_de="",r_de="(Todos)",F320=r_de)),1,0))</f>
        <v>0</v>
      </c>
      <c r="AB320" s="96" t="str">
        <f>IF(AA320=1,IF(F320="",0,COUNTIF($F$6:$F$505,"&lt;"&amp;F320))*1000+315,"")</f>
        <v/>
      </c>
    </row>
    <row r="321">
      <c r="A321" s="89" t="inlineStr">
        <is>
          <t>CDF-000316</t>
        </is>
      </c>
      <c r="B321" s="90" t="n"/>
      <c r="C321" s="91" t="n"/>
      <c r="D321" s="92" t="n"/>
      <c r="E321" s="91" t="n"/>
      <c r="F321" s="91" t="n"/>
      <c r="G321" s="91" t="n"/>
      <c r="H321" s="91" t="n"/>
      <c r="I321" s="91" t="n"/>
      <c r="J321" s="91" t="n"/>
      <c r="K321" s="92" t="n"/>
      <c r="L321" s="91" t="n"/>
      <c r="M321" s="91" t="n"/>
      <c r="N321" s="91" t="n"/>
      <c r="O321" s="93" t="str">
        <f>IF(S321=0,"",SUMIFS('VÍNCULOS_CDF'!$H$6:$H$1005,'VÍNCULOS_CDF'!$O$6:$O$1005,A321,'VÍNCULOS_CDF'!$V$6:$V$1005,1))</f>
        <v/>
      </c>
      <c r="P321" s="95" t="str">
        <f>IF(S321=0,"",COUNTIFS('VÍNCULOS_CDF'!$O$6:$O$1005,A321,'VÍNCULOS_CDF'!$N$6:$N$1005,1))</f>
        <v/>
      </c>
      <c r="Q321" s="94" t="str">
        <f>IF(S321=0,"",IF(OR(B321="",F321=""),"Informações incompletas",IF(U321=1,"Possível duplicidade",IF(V321=0,"Destinador fora do cadastro",IF(AND(J321="Sim",N(P321)=0),"Necessita revisão de vínculos",IF(X321&gt;0,"Necessita revisão de vínculos",IF(J321="Sim","Conferido",IF(I321="Sim","Localizado, aguardando conferência","Cadastrado"))))))))</f>
        <v/>
      </c>
      <c r="R321" s="95" t="str">
        <f>IF(S321=0,"",COUNTIFS('VÍNCULOS_CDF'!$O$6:$O$1005,A321,'VÍNCULOS_CDF'!$AB$6:$AB$1005,1))</f>
        <v/>
      </c>
      <c r="S321" s="96">
        <f>IF(COUNTA(B321:N321)&gt;0,1,0)</f>
        <v>0</v>
      </c>
      <c r="T321" s="96" t="str">
        <f>IF(AND(S321=1,B321&lt;&gt;""),C321&amp;"|"&amp;TRIM(B321),"")</f>
        <v/>
      </c>
      <c r="U321" s="96">
        <f>IF(T321="",0,IF(SUMPRODUCT(--($T$6:$T$505=T321))&gt;1,1,0))</f>
        <v>0</v>
      </c>
      <c r="V321" s="96">
        <f>IF(F321="",0,IF(ISNUMBER(MATCH(F321,cmp_dest,0)),1,0))</f>
        <v>0</v>
      </c>
      <c r="W321" s="96">
        <f>IF(AND(S321=1,B321&lt;&gt;"",F321&lt;&gt;"",J321="Sim",U321=0),1,0)</f>
        <v>0</v>
      </c>
      <c r="X321" s="96">
        <f>IF(S321=0,0,COUNTIFS('VÍNCULOS_CDF'!$O$6:$O$1005,A321,'VÍNCULOS_CDF'!$Y$6:$Y$1005,1))</f>
        <v>0</v>
      </c>
      <c r="Y321" s="96" t="str">
        <f>IF(S321=1,A321&amp;" | CDF "&amp;IF(B321="","(sem número)",B321)&amp;" | "&amp;IF(F321="","(sem destinador)",F321),"")</f>
        <v/>
      </c>
      <c r="Z321" s="96" t="str">
        <f>IF(S321=1,COUNTIF($S$6:S321,1),"")</f>
        <v/>
      </c>
      <c r="AA321" s="96">
        <f>IF(S321=0,0,IF(AND(OR(r_ini="",AND(ISNUMBER(D321),D321&gt;=r_ini)),OR(r_fim="",AND(ISNUMBER(D321),D321&lt;=r_fim)),OR(r_de="",r_de="(Todos)",F321=r_de)),1,0))</f>
        <v>0</v>
      </c>
      <c r="AB321" s="96" t="str">
        <f>IF(AA321=1,IF(F321="",0,COUNTIF($F$6:$F$505,"&lt;"&amp;F321))*1000+316,"")</f>
        <v/>
      </c>
    </row>
    <row r="322">
      <c r="A322" s="89" t="inlineStr">
        <is>
          <t>CDF-000317</t>
        </is>
      </c>
      <c r="B322" s="90" t="n"/>
      <c r="C322" s="91" t="n"/>
      <c r="D322" s="92" t="n"/>
      <c r="E322" s="91" t="n"/>
      <c r="F322" s="91" t="n"/>
      <c r="G322" s="91" t="n"/>
      <c r="H322" s="91" t="n"/>
      <c r="I322" s="91" t="n"/>
      <c r="J322" s="91" t="n"/>
      <c r="K322" s="92" t="n"/>
      <c r="L322" s="91" t="n"/>
      <c r="M322" s="91" t="n"/>
      <c r="N322" s="91" t="n"/>
      <c r="O322" s="93" t="str">
        <f>IF(S322=0,"",SUMIFS('VÍNCULOS_CDF'!$H$6:$H$1005,'VÍNCULOS_CDF'!$O$6:$O$1005,A322,'VÍNCULOS_CDF'!$V$6:$V$1005,1))</f>
        <v/>
      </c>
      <c r="P322" s="95" t="str">
        <f>IF(S322=0,"",COUNTIFS('VÍNCULOS_CDF'!$O$6:$O$1005,A322,'VÍNCULOS_CDF'!$N$6:$N$1005,1))</f>
        <v/>
      </c>
      <c r="Q322" s="94" t="str">
        <f>IF(S322=0,"",IF(OR(B322="",F322=""),"Informações incompletas",IF(U322=1,"Possível duplicidade",IF(V322=0,"Destinador fora do cadastro",IF(AND(J322="Sim",N(P322)=0),"Necessita revisão de vínculos",IF(X322&gt;0,"Necessita revisão de vínculos",IF(J322="Sim","Conferido",IF(I322="Sim","Localizado, aguardando conferência","Cadastrado"))))))))</f>
        <v/>
      </c>
      <c r="R322" s="95" t="str">
        <f>IF(S322=0,"",COUNTIFS('VÍNCULOS_CDF'!$O$6:$O$1005,A322,'VÍNCULOS_CDF'!$AB$6:$AB$1005,1))</f>
        <v/>
      </c>
      <c r="S322" s="96">
        <f>IF(COUNTA(B322:N322)&gt;0,1,0)</f>
        <v>0</v>
      </c>
      <c r="T322" s="96" t="str">
        <f>IF(AND(S322=1,B322&lt;&gt;""),C322&amp;"|"&amp;TRIM(B322),"")</f>
        <v/>
      </c>
      <c r="U322" s="96">
        <f>IF(T322="",0,IF(SUMPRODUCT(--($T$6:$T$505=T322))&gt;1,1,0))</f>
        <v>0</v>
      </c>
      <c r="V322" s="96">
        <f>IF(F322="",0,IF(ISNUMBER(MATCH(F322,cmp_dest,0)),1,0))</f>
        <v>0</v>
      </c>
      <c r="W322" s="96">
        <f>IF(AND(S322=1,B322&lt;&gt;"",F322&lt;&gt;"",J322="Sim",U322=0),1,0)</f>
        <v>0</v>
      </c>
      <c r="X322" s="96">
        <f>IF(S322=0,0,COUNTIFS('VÍNCULOS_CDF'!$O$6:$O$1005,A322,'VÍNCULOS_CDF'!$Y$6:$Y$1005,1))</f>
        <v>0</v>
      </c>
      <c r="Y322" s="96" t="str">
        <f>IF(S322=1,A322&amp;" | CDF "&amp;IF(B322="","(sem número)",B322)&amp;" | "&amp;IF(F322="","(sem destinador)",F322),"")</f>
        <v/>
      </c>
      <c r="Z322" s="96" t="str">
        <f>IF(S322=1,COUNTIF($S$6:S322,1),"")</f>
        <v/>
      </c>
      <c r="AA322" s="96">
        <f>IF(S322=0,0,IF(AND(OR(r_ini="",AND(ISNUMBER(D322),D322&gt;=r_ini)),OR(r_fim="",AND(ISNUMBER(D322),D322&lt;=r_fim)),OR(r_de="",r_de="(Todos)",F322=r_de)),1,0))</f>
        <v>0</v>
      </c>
      <c r="AB322" s="96" t="str">
        <f>IF(AA322=1,IF(F322="",0,COUNTIF($F$6:$F$505,"&lt;"&amp;F322))*1000+317,"")</f>
        <v/>
      </c>
    </row>
    <row r="323">
      <c r="A323" s="89" t="inlineStr">
        <is>
          <t>CDF-000318</t>
        </is>
      </c>
      <c r="B323" s="90" t="n"/>
      <c r="C323" s="91" t="n"/>
      <c r="D323" s="92" t="n"/>
      <c r="E323" s="91" t="n"/>
      <c r="F323" s="91" t="n"/>
      <c r="G323" s="91" t="n"/>
      <c r="H323" s="91" t="n"/>
      <c r="I323" s="91" t="n"/>
      <c r="J323" s="91" t="n"/>
      <c r="K323" s="92" t="n"/>
      <c r="L323" s="91" t="n"/>
      <c r="M323" s="91" t="n"/>
      <c r="N323" s="91" t="n"/>
      <c r="O323" s="93" t="str">
        <f>IF(S323=0,"",SUMIFS('VÍNCULOS_CDF'!$H$6:$H$1005,'VÍNCULOS_CDF'!$O$6:$O$1005,A323,'VÍNCULOS_CDF'!$V$6:$V$1005,1))</f>
        <v/>
      </c>
      <c r="P323" s="95" t="str">
        <f>IF(S323=0,"",COUNTIFS('VÍNCULOS_CDF'!$O$6:$O$1005,A323,'VÍNCULOS_CDF'!$N$6:$N$1005,1))</f>
        <v/>
      </c>
      <c r="Q323" s="94" t="str">
        <f>IF(S323=0,"",IF(OR(B323="",F323=""),"Informações incompletas",IF(U323=1,"Possível duplicidade",IF(V323=0,"Destinador fora do cadastro",IF(AND(J323="Sim",N(P323)=0),"Necessita revisão de vínculos",IF(X323&gt;0,"Necessita revisão de vínculos",IF(J323="Sim","Conferido",IF(I323="Sim","Localizado, aguardando conferência","Cadastrado"))))))))</f>
        <v/>
      </c>
      <c r="R323" s="95" t="str">
        <f>IF(S323=0,"",COUNTIFS('VÍNCULOS_CDF'!$O$6:$O$1005,A323,'VÍNCULOS_CDF'!$AB$6:$AB$1005,1))</f>
        <v/>
      </c>
      <c r="S323" s="96">
        <f>IF(COUNTA(B323:N323)&gt;0,1,0)</f>
        <v>0</v>
      </c>
      <c r="T323" s="96" t="str">
        <f>IF(AND(S323=1,B323&lt;&gt;""),C323&amp;"|"&amp;TRIM(B323),"")</f>
        <v/>
      </c>
      <c r="U323" s="96">
        <f>IF(T323="",0,IF(SUMPRODUCT(--($T$6:$T$505=T323))&gt;1,1,0))</f>
        <v>0</v>
      </c>
      <c r="V323" s="96">
        <f>IF(F323="",0,IF(ISNUMBER(MATCH(F323,cmp_dest,0)),1,0))</f>
        <v>0</v>
      </c>
      <c r="W323" s="96">
        <f>IF(AND(S323=1,B323&lt;&gt;"",F323&lt;&gt;"",J323="Sim",U323=0),1,0)</f>
        <v>0</v>
      </c>
      <c r="X323" s="96">
        <f>IF(S323=0,0,COUNTIFS('VÍNCULOS_CDF'!$O$6:$O$1005,A323,'VÍNCULOS_CDF'!$Y$6:$Y$1005,1))</f>
        <v>0</v>
      </c>
      <c r="Y323" s="96" t="str">
        <f>IF(S323=1,A323&amp;" | CDF "&amp;IF(B323="","(sem número)",B323)&amp;" | "&amp;IF(F323="","(sem destinador)",F323),"")</f>
        <v/>
      </c>
      <c r="Z323" s="96" t="str">
        <f>IF(S323=1,COUNTIF($S$6:S323,1),"")</f>
        <v/>
      </c>
      <c r="AA323" s="96">
        <f>IF(S323=0,0,IF(AND(OR(r_ini="",AND(ISNUMBER(D323),D323&gt;=r_ini)),OR(r_fim="",AND(ISNUMBER(D323),D323&lt;=r_fim)),OR(r_de="",r_de="(Todos)",F323=r_de)),1,0))</f>
        <v>0</v>
      </c>
      <c r="AB323" s="96" t="str">
        <f>IF(AA323=1,IF(F323="",0,COUNTIF($F$6:$F$505,"&lt;"&amp;F323))*1000+318,"")</f>
        <v/>
      </c>
    </row>
    <row r="324">
      <c r="A324" s="89" t="inlineStr">
        <is>
          <t>CDF-000319</t>
        </is>
      </c>
      <c r="B324" s="90" t="n"/>
      <c r="C324" s="91" t="n"/>
      <c r="D324" s="92" t="n"/>
      <c r="E324" s="91" t="n"/>
      <c r="F324" s="91" t="n"/>
      <c r="G324" s="91" t="n"/>
      <c r="H324" s="91" t="n"/>
      <c r="I324" s="91" t="n"/>
      <c r="J324" s="91" t="n"/>
      <c r="K324" s="92" t="n"/>
      <c r="L324" s="91" t="n"/>
      <c r="M324" s="91" t="n"/>
      <c r="N324" s="91" t="n"/>
      <c r="O324" s="93" t="str">
        <f>IF(S324=0,"",SUMIFS('VÍNCULOS_CDF'!$H$6:$H$1005,'VÍNCULOS_CDF'!$O$6:$O$1005,A324,'VÍNCULOS_CDF'!$V$6:$V$1005,1))</f>
        <v/>
      </c>
      <c r="P324" s="95" t="str">
        <f>IF(S324=0,"",COUNTIFS('VÍNCULOS_CDF'!$O$6:$O$1005,A324,'VÍNCULOS_CDF'!$N$6:$N$1005,1))</f>
        <v/>
      </c>
      <c r="Q324" s="94" t="str">
        <f>IF(S324=0,"",IF(OR(B324="",F324=""),"Informações incompletas",IF(U324=1,"Possível duplicidade",IF(V324=0,"Destinador fora do cadastro",IF(AND(J324="Sim",N(P324)=0),"Necessita revisão de vínculos",IF(X324&gt;0,"Necessita revisão de vínculos",IF(J324="Sim","Conferido",IF(I324="Sim","Localizado, aguardando conferência","Cadastrado"))))))))</f>
        <v/>
      </c>
      <c r="R324" s="95" t="str">
        <f>IF(S324=0,"",COUNTIFS('VÍNCULOS_CDF'!$O$6:$O$1005,A324,'VÍNCULOS_CDF'!$AB$6:$AB$1005,1))</f>
        <v/>
      </c>
      <c r="S324" s="96">
        <f>IF(COUNTA(B324:N324)&gt;0,1,0)</f>
        <v>0</v>
      </c>
      <c r="T324" s="96" t="str">
        <f>IF(AND(S324=1,B324&lt;&gt;""),C324&amp;"|"&amp;TRIM(B324),"")</f>
        <v/>
      </c>
      <c r="U324" s="96">
        <f>IF(T324="",0,IF(SUMPRODUCT(--($T$6:$T$505=T324))&gt;1,1,0))</f>
        <v>0</v>
      </c>
      <c r="V324" s="96">
        <f>IF(F324="",0,IF(ISNUMBER(MATCH(F324,cmp_dest,0)),1,0))</f>
        <v>0</v>
      </c>
      <c r="W324" s="96">
        <f>IF(AND(S324=1,B324&lt;&gt;"",F324&lt;&gt;"",J324="Sim",U324=0),1,0)</f>
        <v>0</v>
      </c>
      <c r="X324" s="96">
        <f>IF(S324=0,0,COUNTIFS('VÍNCULOS_CDF'!$O$6:$O$1005,A324,'VÍNCULOS_CDF'!$Y$6:$Y$1005,1))</f>
        <v>0</v>
      </c>
      <c r="Y324" s="96" t="str">
        <f>IF(S324=1,A324&amp;" | CDF "&amp;IF(B324="","(sem número)",B324)&amp;" | "&amp;IF(F324="","(sem destinador)",F324),"")</f>
        <v/>
      </c>
      <c r="Z324" s="96" t="str">
        <f>IF(S324=1,COUNTIF($S$6:S324,1),"")</f>
        <v/>
      </c>
      <c r="AA324" s="96">
        <f>IF(S324=0,0,IF(AND(OR(r_ini="",AND(ISNUMBER(D324),D324&gt;=r_ini)),OR(r_fim="",AND(ISNUMBER(D324),D324&lt;=r_fim)),OR(r_de="",r_de="(Todos)",F324=r_de)),1,0))</f>
        <v>0</v>
      </c>
      <c r="AB324" s="96" t="str">
        <f>IF(AA324=1,IF(F324="",0,COUNTIF($F$6:$F$505,"&lt;"&amp;F324))*1000+319,"")</f>
        <v/>
      </c>
    </row>
    <row r="325">
      <c r="A325" s="89" t="inlineStr">
        <is>
          <t>CDF-000320</t>
        </is>
      </c>
      <c r="B325" s="90" t="n"/>
      <c r="C325" s="91" t="n"/>
      <c r="D325" s="92" t="n"/>
      <c r="E325" s="91" t="n"/>
      <c r="F325" s="91" t="n"/>
      <c r="G325" s="91" t="n"/>
      <c r="H325" s="91" t="n"/>
      <c r="I325" s="91" t="n"/>
      <c r="J325" s="91" t="n"/>
      <c r="K325" s="92" t="n"/>
      <c r="L325" s="91" t="n"/>
      <c r="M325" s="91" t="n"/>
      <c r="N325" s="91" t="n"/>
      <c r="O325" s="93" t="str">
        <f>IF(S325=0,"",SUMIFS('VÍNCULOS_CDF'!$H$6:$H$1005,'VÍNCULOS_CDF'!$O$6:$O$1005,A325,'VÍNCULOS_CDF'!$V$6:$V$1005,1))</f>
        <v/>
      </c>
      <c r="P325" s="95" t="str">
        <f>IF(S325=0,"",COUNTIFS('VÍNCULOS_CDF'!$O$6:$O$1005,A325,'VÍNCULOS_CDF'!$N$6:$N$1005,1))</f>
        <v/>
      </c>
      <c r="Q325" s="94" t="str">
        <f>IF(S325=0,"",IF(OR(B325="",F325=""),"Informações incompletas",IF(U325=1,"Possível duplicidade",IF(V325=0,"Destinador fora do cadastro",IF(AND(J325="Sim",N(P325)=0),"Necessita revisão de vínculos",IF(X325&gt;0,"Necessita revisão de vínculos",IF(J325="Sim","Conferido",IF(I325="Sim","Localizado, aguardando conferência","Cadastrado"))))))))</f>
        <v/>
      </c>
      <c r="R325" s="95" t="str">
        <f>IF(S325=0,"",COUNTIFS('VÍNCULOS_CDF'!$O$6:$O$1005,A325,'VÍNCULOS_CDF'!$AB$6:$AB$1005,1))</f>
        <v/>
      </c>
      <c r="S325" s="96">
        <f>IF(COUNTA(B325:N325)&gt;0,1,0)</f>
        <v>0</v>
      </c>
      <c r="T325" s="96" t="str">
        <f>IF(AND(S325=1,B325&lt;&gt;""),C325&amp;"|"&amp;TRIM(B325),"")</f>
        <v/>
      </c>
      <c r="U325" s="96">
        <f>IF(T325="",0,IF(SUMPRODUCT(--($T$6:$T$505=T325))&gt;1,1,0))</f>
        <v>0</v>
      </c>
      <c r="V325" s="96">
        <f>IF(F325="",0,IF(ISNUMBER(MATCH(F325,cmp_dest,0)),1,0))</f>
        <v>0</v>
      </c>
      <c r="W325" s="96">
        <f>IF(AND(S325=1,B325&lt;&gt;"",F325&lt;&gt;"",J325="Sim",U325=0),1,0)</f>
        <v>0</v>
      </c>
      <c r="X325" s="96">
        <f>IF(S325=0,0,COUNTIFS('VÍNCULOS_CDF'!$O$6:$O$1005,A325,'VÍNCULOS_CDF'!$Y$6:$Y$1005,1))</f>
        <v>0</v>
      </c>
      <c r="Y325" s="96" t="str">
        <f>IF(S325=1,A325&amp;" | CDF "&amp;IF(B325="","(sem número)",B325)&amp;" | "&amp;IF(F325="","(sem destinador)",F325),"")</f>
        <v/>
      </c>
      <c r="Z325" s="96" t="str">
        <f>IF(S325=1,COUNTIF($S$6:S325,1),"")</f>
        <v/>
      </c>
      <c r="AA325" s="96">
        <f>IF(S325=0,0,IF(AND(OR(r_ini="",AND(ISNUMBER(D325),D325&gt;=r_ini)),OR(r_fim="",AND(ISNUMBER(D325),D325&lt;=r_fim)),OR(r_de="",r_de="(Todos)",F325=r_de)),1,0))</f>
        <v>0</v>
      </c>
      <c r="AB325" s="96" t="str">
        <f>IF(AA325=1,IF(F325="",0,COUNTIF($F$6:$F$505,"&lt;"&amp;F325))*1000+320,"")</f>
        <v/>
      </c>
    </row>
    <row r="326">
      <c r="A326" s="89" t="inlineStr">
        <is>
          <t>CDF-000321</t>
        </is>
      </c>
      <c r="B326" s="90" t="n"/>
      <c r="C326" s="91" t="n"/>
      <c r="D326" s="92" t="n"/>
      <c r="E326" s="91" t="n"/>
      <c r="F326" s="91" t="n"/>
      <c r="G326" s="91" t="n"/>
      <c r="H326" s="91" t="n"/>
      <c r="I326" s="91" t="n"/>
      <c r="J326" s="91" t="n"/>
      <c r="K326" s="92" t="n"/>
      <c r="L326" s="91" t="n"/>
      <c r="M326" s="91" t="n"/>
      <c r="N326" s="91" t="n"/>
      <c r="O326" s="93" t="str">
        <f>IF(S326=0,"",SUMIFS('VÍNCULOS_CDF'!$H$6:$H$1005,'VÍNCULOS_CDF'!$O$6:$O$1005,A326,'VÍNCULOS_CDF'!$V$6:$V$1005,1))</f>
        <v/>
      </c>
      <c r="P326" s="95" t="str">
        <f>IF(S326=0,"",COUNTIFS('VÍNCULOS_CDF'!$O$6:$O$1005,A326,'VÍNCULOS_CDF'!$N$6:$N$1005,1))</f>
        <v/>
      </c>
      <c r="Q326" s="94" t="str">
        <f>IF(S326=0,"",IF(OR(B326="",F326=""),"Informações incompletas",IF(U326=1,"Possível duplicidade",IF(V326=0,"Destinador fora do cadastro",IF(AND(J326="Sim",N(P326)=0),"Necessita revisão de vínculos",IF(X326&gt;0,"Necessita revisão de vínculos",IF(J326="Sim","Conferido",IF(I326="Sim","Localizado, aguardando conferência","Cadastrado"))))))))</f>
        <v/>
      </c>
      <c r="R326" s="95" t="str">
        <f>IF(S326=0,"",COUNTIFS('VÍNCULOS_CDF'!$O$6:$O$1005,A326,'VÍNCULOS_CDF'!$AB$6:$AB$1005,1))</f>
        <v/>
      </c>
      <c r="S326" s="96">
        <f>IF(COUNTA(B326:N326)&gt;0,1,0)</f>
        <v>0</v>
      </c>
      <c r="T326" s="96" t="str">
        <f>IF(AND(S326=1,B326&lt;&gt;""),C326&amp;"|"&amp;TRIM(B326),"")</f>
        <v/>
      </c>
      <c r="U326" s="96">
        <f>IF(T326="",0,IF(SUMPRODUCT(--($T$6:$T$505=T326))&gt;1,1,0))</f>
        <v>0</v>
      </c>
      <c r="V326" s="96">
        <f>IF(F326="",0,IF(ISNUMBER(MATCH(F326,cmp_dest,0)),1,0))</f>
        <v>0</v>
      </c>
      <c r="W326" s="96">
        <f>IF(AND(S326=1,B326&lt;&gt;"",F326&lt;&gt;"",J326="Sim",U326=0),1,0)</f>
        <v>0</v>
      </c>
      <c r="X326" s="96">
        <f>IF(S326=0,0,COUNTIFS('VÍNCULOS_CDF'!$O$6:$O$1005,A326,'VÍNCULOS_CDF'!$Y$6:$Y$1005,1))</f>
        <v>0</v>
      </c>
      <c r="Y326" s="96" t="str">
        <f>IF(S326=1,A326&amp;" | CDF "&amp;IF(B326="","(sem número)",B326)&amp;" | "&amp;IF(F326="","(sem destinador)",F326),"")</f>
        <v/>
      </c>
      <c r="Z326" s="96" t="str">
        <f>IF(S326=1,COUNTIF($S$6:S326,1),"")</f>
        <v/>
      </c>
      <c r="AA326" s="96">
        <f>IF(S326=0,0,IF(AND(OR(r_ini="",AND(ISNUMBER(D326),D326&gt;=r_ini)),OR(r_fim="",AND(ISNUMBER(D326),D326&lt;=r_fim)),OR(r_de="",r_de="(Todos)",F326=r_de)),1,0))</f>
        <v>0</v>
      </c>
      <c r="AB326" s="96" t="str">
        <f>IF(AA326=1,IF(F326="",0,COUNTIF($F$6:$F$505,"&lt;"&amp;F326))*1000+321,"")</f>
        <v/>
      </c>
    </row>
    <row r="327">
      <c r="A327" s="89" t="inlineStr">
        <is>
          <t>CDF-000322</t>
        </is>
      </c>
      <c r="B327" s="90" t="n"/>
      <c r="C327" s="91" t="n"/>
      <c r="D327" s="92" t="n"/>
      <c r="E327" s="91" t="n"/>
      <c r="F327" s="91" t="n"/>
      <c r="G327" s="91" t="n"/>
      <c r="H327" s="91" t="n"/>
      <c r="I327" s="91" t="n"/>
      <c r="J327" s="91" t="n"/>
      <c r="K327" s="92" t="n"/>
      <c r="L327" s="91" t="n"/>
      <c r="M327" s="91" t="n"/>
      <c r="N327" s="91" t="n"/>
      <c r="O327" s="93" t="str">
        <f>IF(S327=0,"",SUMIFS('VÍNCULOS_CDF'!$H$6:$H$1005,'VÍNCULOS_CDF'!$O$6:$O$1005,A327,'VÍNCULOS_CDF'!$V$6:$V$1005,1))</f>
        <v/>
      </c>
      <c r="P327" s="95" t="str">
        <f>IF(S327=0,"",COUNTIFS('VÍNCULOS_CDF'!$O$6:$O$1005,A327,'VÍNCULOS_CDF'!$N$6:$N$1005,1))</f>
        <v/>
      </c>
      <c r="Q327" s="94" t="str">
        <f>IF(S327=0,"",IF(OR(B327="",F327=""),"Informações incompletas",IF(U327=1,"Possível duplicidade",IF(V327=0,"Destinador fora do cadastro",IF(AND(J327="Sim",N(P327)=0),"Necessita revisão de vínculos",IF(X327&gt;0,"Necessita revisão de vínculos",IF(J327="Sim","Conferido",IF(I327="Sim","Localizado, aguardando conferência","Cadastrado"))))))))</f>
        <v/>
      </c>
      <c r="R327" s="95" t="str">
        <f>IF(S327=0,"",COUNTIFS('VÍNCULOS_CDF'!$O$6:$O$1005,A327,'VÍNCULOS_CDF'!$AB$6:$AB$1005,1))</f>
        <v/>
      </c>
      <c r="S327" s="96">
        <f>IF(COUNTA(B327:N327)&gt;0,1,0)</f>
        <v>0</v>
      </c>
      <c r="T327" s="96" t="str">
        <f>IF(AND(S327=1,B327&lt;&gt;""),C327&amp;"|"&amp;TRIM(B327),"")</f>
        <v/>
      </c>
      <c r="U327" s="96">
        <f>IF(T327="",0,IF(SUMPRODUCT(--($T$6:$T$505=T327))&gt;1,1,0))</f>
        <v>0</v>
      </c>
      <c r="V327" s="96">
        <f>IF(F327="",0,IF(ISNUMBER(MATCH(F327,cmp_dest,0)),1,0))</f>
        <v>0</v>
      </c>
      <c r="W327" s="96">
        <f>IF(AND(S327=1,B327&lt;&gt;"",F327&lt;&gt;"",J327="Sim",U327=0),1,0)</f>
        <v>0</v>
      </c>
      <c r="X327" s="96">
        <f>IF(S327=0,0,COUNTIFS('VÍNCULOS_CDF'!$O$6:$O$1005,A327,'VÍNCULOS_CDF'!$Y$6:$Y$1005,1))</f>
        <v>0</v>
      </c>
      <c r="Y327" s="96" t="str">
        <f>IF(S327=1,A327&amp;" | CDF "&amp;IF(B327="","(sem número)",B327)&amp;" | "&amp;IF(F327="","(sem destinador)",F327),"")</f>
        <v/>
      </c>
      <c r="Z327" s="96" t="str">
        <f>IF(S327=1,COUNTIF($S$6:S327,1),"")</f>
        <v/>
      </c>
      <c r="AA327" s="96">
        <f>IF(S327=0,0,IF(AND(OR(r_ini="",AND(ISNUMBER(D327),D327&gt;=r_ini)),OR(r_fim="",AND(ISNUMBER(D327),D327&lt;=r_fim)),OR(r_de="",r_de="(Todos)",F327=r_de)),1,0))</f>
        <v>0</v>
      </c>
      <c r="AB327" s="96" t="str">
        <f>IF(AA327=1,IF(F327="",0,COUNTIF($F$6:$F$505,"&lt;"&amp;F327))*1000+322,"")</f>
        <v/>
      </c>
    </row>
    <row r="328">
      <c r="A328" s="89" t="inlineStr">
        <is>
          <t>CDF-000323</t>
        </is>
      </c>
      <c r="B328" s="90" t="n"/>
      <c r="C328" s="91" t="n"/>
      <c r="D328" s="92" t="n"/>
      <c r="E328" s="91" t="n"/>
      <c r="F328" s="91" t="n"/>
      <c r="G328" s="91" t="n"/>
      <c r="H328" s="91" t="n"/>
      <c r="I328" s="91" t="n"/>
      <c r="J328" s="91" t="n"/>
      <c r="K328" s="92" t="n"/>
      <c r="L328" s="91" t="n"/>
      <c r="M328" s="91" t="n"/>
      <c r="N328" s="91" t="n"/>
      <c r="O328" s="93" t="str">
        <f>IF(S328=0,"",SUMIFS('VÍNCULOS_CDF'!$H$6:$H$1005,'VÍNCULOS_CDF'!$O$6:$O$1005,A328,'VÍNCULOS_CDF'!$V$6:$V$1005,1))</f>
        <v/>
      </c>
      <c r="P328" s="95" t="str">
        <f>IF(S328=0,"",COUNTIFS('VÍNCULOS_CDF'!$O$6:$O$1005,A328,'VÍNCULOS_CDF'!$N$6:$N$1005,1))</f>
        <v/>
      </c>
      <c r="Q328" s="94" t="str">
        <f>IF(S328=0,"",IF(OR(B328="",F328=""),"Informações incompletas",IF(U328=1,"Possível duplicidade",IF(V328=0,"Destinador fora do cadastro",IF(AND(J328="Sim",N(P328)=0),"Necessita revisão de vínculos",IF(X328&gt;0,"Necessita revisão de vínculos",IF(J328="Sim","Conferido",IF(I328="Sim","Localizado, aguardando conferência","Cadastrado"))))))))</f>
        <v/>
      </c>
      <c r="R328" s="95" t="str">
        <f>IF(S328=0,"",COUNTIFS('VÍNCULOS_CDF'!$O$6:$O$1005,A328,'VÍNCULOS_CDF'!$AB$6:$AB$1005,1))</f>
        <v/>
      </c>
      <c r="S328" s="96">
        <f>IF(COUNTA(B328:N328)&gt;0,1,0)</f>
        <v>0</v>
      </c>
      <c r="T328" s="96" t="str">
        <f>IF(AND(S328=1,B328&lt;&gt;""),C328&amp;"|"&amp;TRIM(B328),"")</f>
        <v/>
      </c>
      <c r="U328" s="96">
        <f>IF(T328="",0,IF(SUMPRODUCT(--($T$6:$T$505=T328))&gt;1,1,0))</f>
        <v>0</v>
      </c>
      <c r="V328" s="96">
        <f>IF(F328="",0,IF(ISNUMBER(MATCH(F328,cmp_dest,0)),1,0))</f>
        <v>0</v>
      </c>
      <c r="W328" s="96">
        <f>IF(AND(S328=1,B328&lt;&gt;"",F328&lt;&gt;"",J328="Sim",U328=0),1,0)</f>
        <v>0</v>
      </c>
      <c r="X328" s="96">
        <f>IF(S328=0,0,COUNTIFS('VÍNCULOS_CDF'!$O$6:$O$1005,A328,'VÍNCULOS_CDF'!$Y$6:$Y$1005,1))</f>
        <v>0</v>
      </c>
      <c r="Y328" s="96" t="str">
        <f>IF(S328=1,A328&amp;" | CDF "&amp;IF(B328="","(sem número)",B328)&amp;" | "&amp;IF(F328="","(sem destinador)",F328),"")</f>
        <v/>
      </c>
      <c r="Z328" s="96" t="str">
        <f>IF(S328=1,COUNTIF($S$6:S328,1),"")</f>
        <v/>
      </c>
      <c r="AA328" s="96">
        <f>IF(S328=0,0,IF(AND(OR(r_ini="",AND(ISNUMBER(D328),D328&gt;=r_ini)),OR(r_fim="",AND(ISNUMBER(D328),D328&lt;=r_fim)),OR(r_de="",r_de="(Todos)",F328=r_de)),1,0))</f>
        <v>0</v>
      </c>
      <c r="AB328" s="96" t="str">
        <f>IF(AA328=1,IF(F328="",0,COUNTIF($F$6:$F$505,"&lt;"&amp;F328))*1000+323,"")</f>
        <v/>
      </c>
    </row>
    <row r="329">
      <c r="A329" s="89" t="inlineStr">
        <is>
          <t>CDF-000324</t>
        </is>
      </c>
      <c r="B329" s="90" t="n"/>
      <c r="C329" s="91" t="n"/>
      <c r="D329" s="92" t="n"/>
      <c r="E329" s="91" t="n"/>
      <c r="F329" s="91" t="n"/>
      <c r="G329" s="91" t="n"/>
      <c r="H329" s="91" t="n"/>
      <c r="I329" s="91" t="n"/>
      <c r="J329" s="91" t="n"/>
      <c r="K329" s="92" t="n"/>
      <c r="L329" s="91" t="n"/>
      <c r="M329" s="91" t="n"/>
      <c r="N329" s="91" t="n"/>
      <c r="O329" s="93" t="str">
        <f>IF(S329=0,"",SUMIFS('VÍNCULOS_CDF'!$H$6:$H$1005,'VÍNCULOS_CDF'!$O$6:$O$1005,A329,'VÍNCULOS_CDF'!$V$6:$V$1005,1))</f>
        <v/>
      </c>
      <c r="P329" s="95" t="str">
        <f>IF(S329=0,"",COUNTIFS('VÍNCULOS_CDF'!$O$6:$O$1005,A329,'VÍNCULOS_CDF'!$N$6:$N$1005,1))</f>
        <v/>
      </c>
      <c r="Q329" s="94" t="str">
        <f>IF(S329=0,"",IF(OR(B329="",F329=""),"Informações incompletas",IF(U329=1,"Possível duplicidade",IF(V329=0,"Destinador fora do cadastro",IF(AND(J329="Sim",N(P329)=0),"Necessita revisão de vínculos",IF(X329&gt;0,"Necessita revisão de vínculos",IF(J329="Sim","Conferido",IF(I329="Sim","Localizado, aguardando conferência","Cadastrado"))))))))</f>
        <v/>
      </c>
      <c r="R329" s="95" t="str">
        <f>IF(S329=0,"",COUNTIFS('VÍNCULOS_CDF'!$O$6:$O$1005,A329,'VÍNCULOS_CDF'!$AB$6:$AB$1005,1))</f>
        <v/>
      </c>
      <c r="S329" s="96">
        <f>IF(COUNTA(B329:N329)&gt;0,1,0)</f>
        <v>0</v>
      </c>
      <c r="T329" s="96" t="str">
        <f>IF(AND(S329=1,B329&lt;&gt;""),C329&amp;"|"&amp;TRIM(B329),"")</f>
        <v/>
      </c>
      <c r="U329" s="96">
        <f>IF(T329="",0,IF(SUMPRODUCT(--($T$6:$T$505=T329))&gt;1,1,0))</f>
        <v>0</v>
      </c>
      <c r="V329" s="96">
        <f>IF(F329="",0,IF(ISNUMBER(MATCH(F329,cmp_dest,0)),1,0))</f>
        <v>0</v>
      </c>
      <c r="W329" s="96">
        <f>IF(AND(S329=1,B329&lt;&gt;"",F329&lt;&gt;"",J329="Sim",U329=0),1,0)</f>
        <v>0</v>
      </c>
      <c r="X329" s="96">
        <f>IF(S329=0,0,COUNTIFS('VÍNCULOS_CDF'!$O$6:$O$1005,A329,'VÍNCULOS_CDF'!$Y$6:$Y$1005,1))</f>
        <v>0</v>
      </c>
      <c r="Y329" s="96" t="str">
        <f>IF(S329=1,A329&amp;" | CDF "&amp;IF(B329="","(sem número)",B329)&amp;" | "&amp;IF(F329="","(sem destinador)",F329),"")</f>
        <v/>
      </c>
      <c r="Z329" s="96" t="str">
        <f>IF(S329=1,COUNTIF($S$6:S329,1),"")</f>
        <v/>
      </c>
      <c r="AA329" s="96">
        <f>IF(S329=0,0,IF(AND(OR(r_ini="",AND(ISNUMBER(D329),D329&gt;=r_ini)),OR(r_fim="",AND(ISNUMBER(D329),D329&lt;=r_fim)),OR(r_de="",r_de="(Todos)",F329=r_de)),1,0))</f>
        <v>0</v>
      </c>
      <c r="AB329" s="96" t="str">
        <f>IF(AA329=1,IF(F329="",0,COUNTIF($F$6:$F$505,"&lt;"&amp;F329))*1000+324,"")</f>
        <v/>
      </c>
    </row>
    <row r="330">
      <c r="A330" s="89" t="inlineStr">
        <is>
          <t>CDF-000325</t>
        </is>
      </c>
      <c r="B330" s="90" t="n"/>
      <c r="C330" s="91" t="n"/>
      <c r="D330" s="92" t="n"/>
      <c r="E330" s="91" t="n"/>
      <c r="F330" s="91" t="n"/>
      <c r="G330" s="91" t="n"/>
      <c r="H330" s="91" t="n"/>
      <c r="I330" s="91" t="n"/>
      <c r="J330" s="91" t="n"/>
      <c r="K330" s="92" t="n"/>
      <c r="L330" s="91" t="n"/>
      <c r="M330" s="91" t="n"/>
      <c r="N330" s="91" t="n"/>
      <c r="O330" s="93" t="str">
        <f>IF(S330=0,"",SUMIFS('VÍNCULOS_CDF'!$H$6:$H$1005,'VÍNCULOS_CDF'!$O$6:$O$1005,A330,'VÍNCULOS_CDF'!$V$6:$V$1005,1))</f>
        <v/>
      </c>
      <c r="P330" s="95" t="str">
        <f>IF(S330=0,"",COUNTIFS('VÍNCULOS_CDF'!$O$6:$O$1005,A330,'VÍNCULOS_CDF'!$N$6:$N$1005,1))</f>
        <v/>
      </c>
      <c r="Q330" s="94" t="str">
        <f>IF(S330=0,"",IF(OR(B330="",F330=""),"Informações incompletas",IF(U330=1,"Possível duplicidade",IF(V330=0,"Destinador fora do cadastro",IF(AND(J330="Sim",N(P330)=0),"Necessita revisão de vínculos",IF(X330&gt;0,"Necessita revisão de vínculos",IF(J330="Sim","Conferido",IF(I330="Sim","Localizado, aguardando conferência","Cadastrado"))))))))</f>
        <v/>
      </c>
      <c r="R330" s="95" t="str">
        <f>IF(S330=0,"",COUNTIFS('VÍNCULOS_CDF'!$O$6:$O$1005,A330,'VÍNCULOS_CDF'!$AB$6:$AB$1005,1))</f>
        <v/>
      </c>
      <c r="S330" s="96">
        <f>IF(COUNTA(B330:N330)&gt;0,1,0)</f>
        <v>0</v>
      </c>
      <c r="T330" s="96" t="str">
        <f>IF(AND(S330=1,B330&lt;&gt;""),C330&amp;"|"&amp;TRIM(B330),"")</f>
        <v/>
      </c>
      <c r="U330" s="96">
        <f>IF(T330="",0,IF(SUMPRODUCT(--($T$6:$T$505=T330))&gt;1,1,0))</f>
        <v>0</v>
      </c>
      <c r="V330" s="96">
        <f>IF(F330="",0,IF(ISNUMBER(MATCH(F330,cmp_dest,0)),1,0))</f>
        <v>0</v>
      </c>
      <c r="W330" s="96">
        <f>IF(AND(S330=1,B330&lt;&gt;"",F330&lt;&gt;"",J330="Sim",U330=0),1,0)</f>
        <v>0</v>
      </c>
      <c r="X330" s="96">
        <f>IF(S330=0,0,COUNTIFS('VÍNCULOS_CDF'!$O$6:$O$1005,A330,'VÍNCULOS_CDF'!$Y$6:$Y$1005,1))</f>
        <v>0</v>
      </c>
      <c r="Y330" s="96" t="str">
        <f>IF(S330=1,A330&amp;" | CDF "&amp;IF(B330="","(sem número)",B330)&amp;" | "&amp;IF(F330="","(sem destinador)",F330),"")</f>
        <v/>
      </c>
      <c r="Z330" s="96" t="str">
        <f>IF(S330=1,COUNTIF($S$6:S330,1),"")</f>
        <v/>
      </c>
      <c r="AA330" s="96">
        <f>IF(S330=0,0,IF(AND(OR(r_ini="",AND(ISNUMBER(D330),D330&gt;=r_ini)),OR(r_fim="",AND(ISNUMBER(D330),D330&lt;=r_fim)),OR(r_de="",r_de="(Todos)",F330=r_de)),1,0))</f>
        <v>0</v>
      </c>
      <c r="AB330" s="96" t="str">
        <f>IF(AA330=1,IF(F330="",0,COUNTIF($F$6:$F$505,"&lt;"&amp;F330))*1000+325,"")</f>
        <v/>
      </c>
    </row>
    <row r="331">
      <c r="A331" s="89" t="inlineStr">
        <is>
          <t>CDF-000326</t>
        </is>
      </c>
      <c r="B331" s="90" t="n"/>
      <c r="C331" s="91" t="n"/>
      <c r="D331" s="92" t="n"/>
      <c r="E331" s="91" t="n"/>
      <c r="F331" s="91" t="n"/>
      <c r="G331" s="91" t="n"/>
      <c r="H331" s="91" t="n"/>
      <c r="I331" s="91" t="n"/>
      <c r="J331" s="91" t="n"/>
      <c r="K331" s="92" t="n"/>
      <c r="L331" s="91" t="n"/>
      <c r="M331" s="91" t="n"/>
      <c r="N331" s="91" t="n"/>
      <c r="O331" s="93" t="str">
        <f>IF(S331=0,"",SUMIFS('VÍNCULOS_CDF'!$H$6:$H$1005,'VÍNCULOS_CDF'!$O$6:$O$1005,A331,'VÍNCULOS_CDF'!$V$6:$V$1005,1))</f>
        <v/>
      </c>
      <c r="P331" s="95" t="str">
        <f>IF(S331=0,"",COUNTIFS('VÍNCULOS_CDF'!$O$6:$O$1005,A331,'VÍNCULOS_CDF'!$N$6:$N$1005,1))</f>
        <v/>
      </c>
      <c r="Q331" s="94" t="str">
        <f>IF(S331=0,"",IF(OR(B331="",F331=""),"Informações incompletas",IF(U331=1,"Possível duplicidade",IF(V331=0,"Destinador fora do cadastro",IF(AND(J331="Sim",N(P331)=0),"Necessita revisão de vínculos",IF(X331&gt;0,"Necessita revisão de vínculos",IF(J331="Sim","Conferido",IF(I331="Sim","Localizado, aguardando conferência","Cadastrado"))))))))</f>
        <v/>
      </c>
      <c r="R331" s="95" t="str">
        <f>IF(S331=0,"",COUNTIFS('VÍNCULOS_CDF'!$O$6:$O$1005,A331,'VÍNCULOS_CDF'!$AB$6:$AB$1005,1))</f>
        <v/>
      </c>
      <c r="S331" s="96">
        <f>IF(COUNTA(B331:N331)&gt;0,1,0)</f>
        <v>0</v>
      </c>
      <c r="T331" s="96" t="str">
        <f>IF(AND(S331=1,B331&lt;&gt;""),C331&amp;"|"&amp;TRIM(B331),"")</f>
        <v/>
      </c>
      <c r="U331" s="96">
        <f>IF(T331="",0,IF(SUMPRODUCT(--($T$6:$T$505=T331))&gt;1,1,0))</f>
        <v>0</v>
      </c>
      <c r="V331" s="96">
        <f>IF(F331="",0,IF(ISNUMBER(MATCH(F331,cmp_dest,0)),1,0))</f>
        <v>0</v>
      </c>
      <c r="W331" s="96">
        <f>IF(AND(S331=1,B331&lt;&gt;"",F331&lt;&gt;"",J331="Sim",U331=0),1,0)</f>
        <v>0</v>
      </c>
      <c r="X331" s="96">
        <f>IF(S331=0,0,COUNTIFS('VÍNCULOS_CDF'!$O$6:$O$1005,A331,'VÍNCULOS_CDF'!$Y$6:$Y$1005,1))</f>
        <v>0</v>
      </c>
      <c r="Y331" s="96" t="str">
        <f>IF(S331=1,A331&amp;" | CDF "&amp;IF(B331="","(sem número)",B331)&amp;" | "&amp;IF(F331="","(sem destinador)",F331),"")</f>
        <v/>
      </c>
      <c r="Z331" s="96" t="str">
        <f>IF(S331=1,COUNTIF($S$6:S331,1),"")</f>
        <v/>
      </c>
      <c r="AA331" s="96">
        <f>IF(S331=0,0,IF(AND(OR(r_ini="",AND(ISNUMBER(D331),D331&gt;=r_ini)),OR(r_fim="",AND(ISNUMBER(D331),D331&lt;=r_fim)),OR(r_de="",r_de="(Todos)",F331=r_de)),1,0))</f>
        <v>0</v>
      </c>
      <c r="AB331" s="96" t="str">
        <f>IF(AA331=1,IF(F331="",0,COUNTIF($F$6:$F$505,"&lt;"&amp;F331))*1000+326,"")</f>
        <v/>
      </c>
    </row>
    <row r="332">
      <c r="A332" s="89" t="inlineStr">
        <is>
          <t>CDF-000327</t>
        </is>
      </c>
      <c r="B332" s="90" t="n"/>
      <c r="C332" s="91" t="n"/>
      <c r="D332" s="92" t="n"/>
      <c r="E332" s="91" t="n"/>
      <c r="F332" s="91" t="n"/>
      <c r="G332" s="91" t="n"/>
      <c r="H332" s="91" t="n"/>
      <c r="I332" s="91" t="n"/>
      <c r="J332" s="91" t="n"/>
      <c r="K332" s="92" t="n"/>
      <c r="L332" s="91" t="n"/>
      <c r="M332" s="91" t="n"/>
      <c r="N332" s="91" t="n"/>
      <c r="O332" s="93" t="str">
        <f>IF(S332=0,"",SUMIFS('VÍNCULOS_CDF'!$H$6:$H$1005,'VÍNCULOS_CDF'!$O$6:$O$1005,A332,'VÍNCULOS_CDF'!$V$6:$V$1005,1))</f>
        <v/>
      </c>
      <c r="P332" s="95" t="str">
        <f>IF(S332=0,"",COUNTIFS('VÍNCULOS_CDF'!$O$6:$O$1005,A332,'VÍNCULOS_CDF'!$N$6:$N$1005,1))</f>
        <v/>
      </c>
      <c r="Q332" s="94" t="str">
        <f>IF(S332=0,"",IF(OR(B332="",F332=""),"Informações incompletas",IF(U332=1,"Possível duplicidade",IF(V332=0,"Destinador fora do cadastro",IF(AND(J332="Sim",N(P332)=0),"Necessita revisão de vínculos",IF(X332&gt;0,"Necessita revisão de vínculos",IF(J332="Sim","Conferido",IF(I332="Sim","Localizado, aguardando conferência","Cadastrado"))))))))</f>
        <v/>
      </c>
      <c r="R332" s="95" t="str">
        <f>IF(S332=0,"",COUNTIFS('VÍNCULOS_CDF'!$O$6:$O$1005,A332,'VÍNCULOS_CDF'!$AB$6:$AB$1005,1))</f>
        <v/>
      </c>
      <c r="S332" s="96">
        <f>IF(COUNTA(B332:N332)&gt;0,1,0)</f>
        <v>0</v>
      </c>
      <c r="T332" s="96" t="str">
        <f>IF(AND(S332=1,B332&lt;&gt;""),C332&amp;"|"&amp;TRIM(B332),"")</f>
        <v/>
      </c>
      <c r="U332" s="96">
        <f>IF(T332="",0,IF(SUMPRODUCT(--($T$6:$T$505=T332))&gt;1,1,0))</f>
        <v>0</v>
      </c>
      <c r="V332" s="96">
        <f>IF(F332="",0,IF(ISNUMBER(MATCH(F332,cmp_dest,0)),1,0))</f>
        <v>0</v>
      </c>
      <c r="W332" s="96">
        <f>IF(AND(S332=1,B332&lt;&gt;"",F332&lt;&gt;"",J332="Sim",U332=0),1,0)</f>
        <v>0</v>
      </c>
      <c r="X332" s="96">
        <f>IF(S332=0,0,COUNTIFS('VÍNCULOS_CDF'!$O$6:$O$1005,A332,'VÍNCULOS_CDF'!$Y$6:$Y$1005,1))</f>
        <v>0</v>
      </c>
      <c r="Y332" s="96" t="str">
        <f>IF(S332=1,A332&amp;" | CDF "&amp;IF(B332="","(sem número)",B332)&amp;" | "&amp;IF(F332="","(sem destinador)",F332),"")</f>
        <v/>
      </c>
      <c r="Z332" s="96" t="str">
        <f>IF(S332=1,COUNTIF($S$6:S332,1),"")</f>
        <v/>
      </c>
      <c r="AA332" s="96">
        <f>IF(S332=0,0,IF(AND(OR(r_ini="",AND(ISNUMBER(D332),D332&gt;=r_ini)),OR(r_fim="",AND(ISNUMBER(D332),D332&lt;=r_fim)),OR(r_de="",r_de="(Todos)",F332=r_de)),1,0))</f>
        <v>0</v>
      </c>
      <c r="AB332" s="96" t="str">
        <f>IF(AA332=1,IF(F332="",0,COUNTIF($F$6:$F$505,"&lt;"&amp;F332))*1000+327,"")</f>
        <v/>
      </c>
    </row>
    <row r="333">
      <c r="A333" s="89" t="inlineStr">
        <is>
          <t>CDF-000328</t>
        </is>
      </c>
      <c r="B333" s="90" t="n"/>
      <c r="C333" s="91" t="n"/>
      <c r="D333" s="92" t="n"/>
      <c r="E333" s="91" t="n"/>
      <c r="F333" s="91" t="n"/>
      <c r="G333" s="91" t="n"/>
      <c r="H333" s="91" t="n"/>
      <c r="I333" s="91" t="n"/>
      <c r="J333" s="91" t="n"/>
      <c r="K333" s="92" t="n"/>
      <c r="L333" s="91" t="n"/>
      <c r="M333" s="91" t="n"/>
      <c r="N333" s="91" t="n"/>
      <c r="O333" s="93" t="str">
        <f>IF(S333=0,"",SUMIFS('VÍNCULOS_CDF'!$H$6:$H$1005,'VÍNCULOS_CDF'!$O$6:$O$1005,A333,'VÍNCULOS_CDF'!$V$6:$V$1005,1))</f>
        <v/>
      </c>
      <c r="P333" s="95" t="str">
        <f>IF(S333=0,"",COUNTIFS('VÍNCULOS_CDF'!$O$6:$O$1005,A333,'VÍNCULOS_CDF'!$N$6:$N$1005,1))</f>
        <v/>
      </c>
      <c r="Q333" s="94" t="str">
        <f>IF(S333=0,"",IF(OR(B333="",F333=""),"Informações incompletas",IF(U333=1,"Possível duplicidade",IF(V333=0,"Destinador fora do cadastro",IF(AND(J333="Sim",N(P333)=0),"Necessita revisão de vínculos",IF(X333&gt;0,"Necessita revisão de vínculos",IF(J333="Sim","Conferido",IF(I333="Sim","Localizado, aguardando conferência","Cadastrado"))))))))</f>
        <v/>
      </c>
      <c r="R333" s="95" t="str">
        <f>IF(S333=0,"",COUNTIFS('VÍNCULOS_CDF'!$O$6:$O$1005,A333,'VÍNCULOS_CDF'!$AB$6:$AB$1005,1))</f>
        <v/>
      </c>
      <c r="S333" s="96">
        <f>IF(COUNTA(B333:N333)&gt;0,1,0)</f>
        <v>0</v>
      </c>
      <c r="T333" s="96" t="str">
        <f>IF(AND(S333=1,B333&lt;&gt;""),C333&amp;"|"&amp;TRIM(B333),"")</f>
        <v/>
      </c>
      <c r="U333" s="96">
        <f>IF(T333="",0,IF(SUMPRODUCT(--($T$6:$T$505=T333))&gt;1,1,0))</f>
        <v>0</v>
      </c>
      <c r="V333" s="96">
        <f>IF(F333="",0,IF(ISNUMBER(MATCH(F333,cmp_dest,0)),1,0))</f>
        <v>0</v>
      </c>
      <c r="W333" s="96">
        <f>IF(AND(S333=1,B333&lt;&gt;"",F333&lt;&gt;"",J333="Sim",U333=0),1,0)</f>
        <v>0</v>
      </c>
      <c r="X333" s="96">
        <f>IF(S333=0,0,COUNTIFS('VÍNCULOS_CDF'!$O$6:$O$1005,A333,'VÍNCULOS_CDF'!$Y$6:$Y$1005,1))</f>
        <v>0</v>
      </c>
      <c r="Y333" s="96" t="str">
        <f>IF(S333=1,A333&amp;" | CDF "&amp;IF(B333="","(sem número)",B333)&amp;" | "&amp;IF(F333="","(sem destinador)",F333),"")</f>
        <v/>
      </c>
      <c r="Z333" s="96" t="str">
        <f>IF(S333=1,COUNTIF($S$6:S333,1),"")</f>
        <v/>
      </c>
      <c r="AA333" s="96">
        <f>IF(S333=0,0,IF(AND(OR(r_ini="",AND(ISNUMBER(D333),D333&gt;=r_ini)),OR(r_fim="",AND(ISNUMBER(D333),D333&lt;=r_fim)),OR(r_de="",r_de="(Todos)",F333=r_de)),1,0))</f>
        <v>0</v>
      </c>
      <c r="AB333" s="96" t="str">
        <f>IF(AA333=1,IF(F333="",0,COUNTIF($F$6:$F$505,"&lt;"&amp;F333))*1000+328,"")</f>
        <v/>
      </c>
    </row>
    <row r="334">
      <c r="A334" s="89" t="inlineStr">
        <is>
          <t>CDF-000329</t>
        </is>
      </c>
      <c r="B334" s="90" t="n"/>
      <c r="C334" s="91" t="n"/>
      <c r="D334" s="92" t="n"/>
      <c r="E334" s="91" t="n"/>
      <c r="F334" s="91" t="n"/>
      <c r="G334" s="91" t="n"/>
      <c r="H334" s="91" t="n"/>
      <c r="I334" s="91" t="n"/>
      <c r="J334" s="91" t="n"/>
      <c r="K334" s="92" t="n"/>
      <c r="L334" s="91" t="n"/>
      <c r="M334" s="91" t="n"/>
      <c r="N334" s="91" t="n"/>
      <c r="O334" s="93" t="str">
        <f>IF(S334=0,"",SUMIFS('VÍNCULOS_CDF'!$H$6:$H$1005,'VÍNCULOS_CDF'!$O$6:$O$1005,A334,'VÍNCULOS_CDF'!$V$6:$V$1005,1))</f>
        <v/>
      </c>
      <c r="P334" s="95" t="str">
        <f>IF(S334=0,"",COUNTIFS('VÍNCULOS_CDF'!$O$6:$O$1005,A334,'VÍNCULOS_CDF'!$N$6:$N$1005,1))</f>
        <v/>
      </c>
      <c r="Q334" s="94" t="str">
        <f>IF(S334=0,"",IF(OR(B334="",F334=""),"Informações incompletas",IF(U334=1,"Possível duplicidade",IF(V334=0,"Destinador fora do cadastro",IF(AND(J334="Sim",N(P334)=0),"Necessita revisão de vínculos",IF(X334&gt;0,"Necessita revisão de vínculos",IF(J334="Sim","Conferido",IF(I334="Sim","Localizado, aguardando conferência","Cadastrado"))))))))</f>
        <v/>
      </c>
      <c r="R334" s="95" t="str">
        <f>IF(S334=0,"",COUNTIFS('VÍNCULOS_CDF'!$O$6:$O$1005,A334,'VÍNCULOS_CDF'!$AB$6:$AB$1005,1))</f>
        <v/>
      </c>
      <c r="S334" s="96">
        <f>IF(COUNTA(B334:N334)&gt;0,1,0)</f>
        <v>0</v>
      </c>
      <c r="T334" s="96" t="str">
        <f>IF(AND(S334=1,B334&lt;&gt;""),C334&amp;"|"&amp;TRIM(B334),"")</f>
        <v/>
      </c>
      <c r="U334" s="96">
        <f>IF(T334="",0,IF(SUMPRODUCT(--($T$6:$T$505=T334))&gt;1,1,0))</f>
        <v>0</v>
      </c>
      <c r="V334" s="96">
        <f>IF(F334="",0,IF(ISNUMBER(MATCH(F334,cmp_dest,0)),1,0))</f>
        <v>0</v>
      </c>
      <c r="W334" s="96">
        <f>IF(AND(S334=1,B334&lt;&gt;"",F334&lt;&gt;"",J334="Sim",U334=0),1,0)</f>
        <v>0</v>
      </c>
      <c r="X334" s="96">
        <f>IF(S334=0,0,COUNTIFS('VÍNCULOS_CDF'!$O$6:$O$1005,A334,'VÍNCULOS_CDF'!$Y$6:$Y$1005,1))</f>
        <v>0</v>
      </c>
      <c r="Y334" s="96" t="str">
        <f>IF(S334=1,A334&amp;" | CDF "&amp;IF(B334="","(sem número)",B334)&amp;" | "&amp;IF(F334="","(sem destinador)",F334),"")</f>
        <v/>
      </c>
      <c r="Z334" s="96" t="str">
        <f>IF(S334=1,COUNTIF($S$6:S334,1),"")</f>
        <v/>
      </c>
      <c r="AA334" s="96">
        <f>IF(S334=0,0,IF(AND(OR(r_ini="",AND(ISNUMBER(D334),D334&gt;=r_ini)),OR(r_fim="",AND(ISNUMBER(D334),D334&lt;=r_fim)),OR(r_de="",r_de="(Todos)",F334=r_de)),1,0))</f>
        <v>0</v>
      </c>
      <c r="AB334" s="96" t="str">
        <f>IF(AA334=1,IF(F334="",0,COUNTIF($F$6:$F$505,"&lt;"&amp;F334))*1000+329,"")</f>
        <v/>
      </c>
    </row>
    <row r="335">
      <c r="A335" s="89" t="inlineStr">
        <is>
          <t>CDF-000330</t>
        </is>
      </c>
      <c r="B335" s="90" t="n"/>
      <c r="C335" s="91" t="n"/>
      <c r="D335" s="92" t="n"/>
      <c r="E335" s="91" t="n"/>
      <c r="F335" s="91" t="n"/>
      <c r="G335" s="91" t="n"/>
      <c r="H335" s="91" t="n"/>
      <c r="I335" s="91" t="n"/>
      <c r="J335" s="91" t="n"/>
      <c r="K335" s="92" t="n"/>
      <c r="L335" s="91" t="n"/>
      <c r="M335" s="91" t="n"/>
      <c r="N335" s="91" t="n"/>
      <c r="O335" s="93" t="str">
        <f>IF(S335=0,"",SUMIFS('VÍNCULOS_CDF'!$H$6:$H$1005,'VÍNCULOS_CDF'!$O$6:$O$1005,A335,'VÍNCULOS_CDF'!$V$6:$V$1005,1))</f>
        <v/>
      </c>
      <c r="P335" s="95" t="str">
        <f>IF(S335=0,"",COUNTIFS('VÍNCULOS_CDF'!$O$6:$O$1005,A335,'VÍNCULOS_CDF'!$N$6:$N$1005,1))</f>
        <v/>
      </c>
      <c r="Q335" s="94" t="str">
        <f>IF(S335=0,"",IF(OR(B335="",F335=""),"Informações incompletas",IF(U335=1,"Possível duplicidade",IF(V335=0,"Destinador fora do cadastro",IF(AND(J335="Sim",N(P335)=0),"Necessita revisão de vínculos",IF(X335&gt;0,"Necessita revisão de vínculos",IF(J335="Sim","Conferido",IF(I335="Sim","Localizado, aguardando conferência","Cadastrado"))))))))</f>
        <v/>
      </c>
      <c r="R335" s="95" t="str">
        <f>IF(S335=0,"",COUNTIFS('VÍNCULOS_CDF'!$O$6:$O$1005,A335,'VÍNCULOS_CDF'!$AB$6:$AB$1005,1))</f>
        <v/>
      </c>
      <c r="S335" s="96">
        <f>IF(COUNTA(B335:N335)&gt;0,1,0)</f>
        <v>0</v>
      </c>
      <c r="T335" s="96" t="str">
        <f>IF(AND(S335=1,B335&lt;&gt;""),C335&amp;"|"&amp;TRIM(B335),"")</f>
        <v/>
      </c>
      <c r="U335" s="96">
        <f>IF(T335="",0,IF(SUMPRODUCT(--($T$6:$T$505=T335))&gt;1,1,0))</f>
        <v>0</v>
      </c>
      <c r="V335" s="96">
        <f>IF(F335="",0,IF(ISNUMBER(MATCH(F335,cmp_dest,0)),1,0))</f>
        <v>0</v>
      </c>
      <c r="W335" s="96">
        <f>IF(AND(S335=1,B335&lt;&gt;"",F335&lt;&gt;"",J335="Sim",U335=0),1,0)</f>
        <v>0</v>
      </c>
      <c r="X335" s="96">
        <f>IF(S335=0,0,COUNTIFS('VÍNCULOS_CDF'!$O$6:$O$1005,A335,'VÍNCULOS_CDF'!$Y$6:$Y$1005,1))</f>
        <v>0</v>
      </c>
      <c r="Y335" s="96" t="str">
        <f>IF(S335=1,A335&amp;" | CDF "&amp;IF(B335="","(sem número)",B335)&amp;" | "&amp;IF(F335="","(sem destinador)",F335),"")</f>
        <v/>
      </c>
      <c r="Z335" s="96" t="str">
        <f>IF(S335=1,COUNTIF($S$6:S335,1),"")</f>
        <v/>
      </c>
      <c r="AA335" s="96">
        <f>IF(S335=0,0,IF(AND(OR(r_ini="",AND(ISNUMBER(D335),D335&gt;=r_ini)),OR(r_fim="",AND(ISNUMBER(D335),D335&lt;=r_fim)),OR(r_de="",r_de="(Todos)",F335=r_de)),1,0))</f>
        <v>0</v>
      </c>
      <c r="AB335" s="96" t="str">
        <f>IF(AA335=1,IF(F335="",0,COUNTIF($F$6:$F$505,"&lt;"&amp;F335))*1000+330,"")</f>
        <v/>
      </c>
    </row>
    <row r="336">
      <c r="A336" s="89" t="inlineStr">
        <is>
          <t>CDF-000331</t>
        </is>
      </c>
      <c r="B336" s="90" t="n"/>
      <c r="C336" s="91" t="n"/>
      <c r="D336" s="92" t="n"/>
      <c r="E336" s="91" t="n"/>
      <c r="F336" s="91" t="n"/>
      <c r="G336" s="91" t="n"/>
      <c r="H336" s="91" t="n"/>
      <c r="I336" s="91" t="n"/>
      <c r="J336" s="91" t="n"/>
      <c r="K336" s="92" t="n"/>
      <c r="L336" s="91" t="n"/>
      <c r="M336" s="91" t="n"/>
      <c r="N336" s="91" t="n"/>
      <c r="O336" s="93" t="str">
        <f>IF(S336=0,"",SUMIFS('VÍNCULOS_CDF'!$H$6:$H$1005,'VÍNCULOS_CDF'!$O$6:$O$1005,A336,'VÍNCULOS_CDF'!$V$6:$V$1005,1))</f>
        <v/>
      </c>
      <c r="P336" s="95" t="str">
        <f>IF(S336=0,"",COUNTIFS('VÍNCULOS_CDF'!$O$6:$O$1005,A336,'VÍNCULOS_CDF'!$N$6:$N$1005,1))</f>
        <v/>
      </c>
      <c r="Q336" s="94" t="str">
        <f>IF(S336=0,"",IF(OR(B336="",F336=""),"Informações incompletas",IF(U336=1,"Possível duplicidade",IF(V336=0,"Destinador fora do cadastro",IF(AND(J336="Sim",N(P336)=0),"Necessita revisão de vínculos",IF(X336&gt;0,"Necessita revisão de vínculos",IF(J336="Sim","Conferido",IF(I336="Sim","Localizado, aguardando conferência","Cadastrado"))))))))</f>
        <v/>
      </c>
      <c r="R336" s="95" t="str">
        <f>IF(S336=0,"",COUNTIFS('VÍNCULOS_CDF'!$O$6:$O$1005,A336,'VÍNCULOS_CDF'!$AB$6:$AB$1005,1))</f>
        <v/>
      </c>
      <c r="S336" s="96">
        <f>IF(COUNTA(B336:N336)&gt;0,1,0)</f>
        <v>0</v>
      </c>
      <c r="T336" s="96" t="str">
        <f>IF(AND(S336=1,B336&lt;&gt;""),C336&amp;"|"&amp;TRIM(B336),"")</f>
        <v/>
      </c>
      <c r="U336" s="96">
        <f>IF(T336="",0,IF(SUMPRODUCT(--($T$6:$T$505=T336))&gt;1,1,0))</f>
        <v>0</v>
      </c>
      <c r="V336" s="96">
        <f>IF(F336="",0,IF(ISNUMBER(MATCH(F336,cmp_dest,0)),1,0))</f>
        <v>0</v>
      </c>
      <c r="W336" s="96">
        <f>IF(AND(S336=1,B336&lt;&gt;"",F336&lt;&gt;"",J336="Sim",U336=0),1,0)</f>
        <v>0</v>
      </c>
      <c r="X336" s="96">
        <f>IF(S336=0,0,COUNTIFS('VÍNCULOS_CDF'!$O$6:$O$1005,A336,'VÍNCULOS_CDF'!$Y$6:$Y$1005,1))</f>
        <v>0</v>
      </c>
      <c r="Y336" s="96" t="str">
        <f>IF(S336=1,A336&amp;" | CDF "&amp;IF(B336="","(sem número)",B336)&amp;" | "&amp;IF(F336="","(sem destinador)",F336),"")</f>
        <v/>
      </c>
      <c r="Z336" s="96" t="str">
        <f>IF(S336=1,COUNTIF($S$6:S336,1),"")</f>
        <v/>
      </c>
      <c r="AA336" s="96">
        <f>IF(S336=0,0,IF(AND(OR(r_ini="",AND(ISNUMBER(D336),D336&gt;=r_ini)),OR(r_fim="",AND(ISNUMBER(D336),D336&lt;=r_fim)),OR(r_de="",r_de="(Todos)",F336=r_de)),1,0))</f>
        <v>0</v>
      </c>
      <c r="AB336" s="96" t="str">
        <f>IF(AA336=1,IF(F336="",0,COUNTIF($F$6:$F$505,"&lt;"&amp;F336))*1000+331,"")</f>
        <v/>
      </c>
    </row>
    <row r="337">
      <c r="A337" s="89" t="inlineStr">
        <is>
          <t>CDF-000332</t>
        </is>
      </c>
      <c r="B337" s="90" t="n"/>
      <c r="C337" s="91" t="n"/>
      <c r="D337" s="92" t="n"/>
      <c r="E337" s="91" t="n"/>
      <c r="F337" s="91" t="n"/>
      <c r="G337" s="91" t="n"/>
      <c r="H337" s="91" t="n"/>
      <c r="I337" s="91" t="n"/>
      <c r="J337" s="91" t="n"/>
      <c r="K337" s="92" t="n"/>
      <c r="L337" s="91" t="n"/>
      <c r="M337" s="91" t="n"/>
      <c r="N337" s="91" t="n"/>
      <c r="O337" s="93" t="str">
        <f>IF(S337=0,"",SUMIFS('VÍNCULOS_CDF'!$H$6:$H$1005,'VÍNCULOS_CDF'!$O$6:$O$1005,A337,'VÍNCULOS_CDF'!$V$6:$V$1005,1))</f>
        <v/>
      </c>
      <c r="P337" s="95" t="str">
        <f>IF(S337=0,"",COUNTIFS('VÍNCULOS_CDF'!$O$6:$O$1005,A337,'VÍNCULOS_CDF'!$N$6:$N$1005,1))</f>
        <v/>
      </c>
      <c r="Q337" s="94" t="str">
        <f>IF(S337=0,"",IF(OR(B337="",F337=""),"Informações incompletas",IF(U337=1,"Possível duplicidade",IF(V337=0,"Destinador fora do cadastro",IF(AND(J337="Sim",N(P337)=0),"Necessita revisão de vínculos",IF(X337&gt;0,"Necessita revisão de vínculos",IF(J337="Sim","Conferido",IF(I337="Sim","Localizado, aguardando conferência","Cadastrado"))))))))</f>
        <v/>
      </c>
      <c r="R337" s="95" t="str">
        <f>IF(S337=0,"",COUNTIFS('VÍNCULOS_CDF'!$O$6:$O$1005,A337,'VÍNCULOS_CDF'!$AB$6:$AB$1005,1))</f>
        <v/>
      </c>
      <c r="S337" s="96">
        <f>IF(COUNTA(B337:N337)&gt;0,1,0)</f>
        <v>0</v>
      </c>
      <c r="T337" s="96" t="str">
        <f>IF(AND(S337=1,B337&lt;&gt;""),C337&amp;"|"&amp;TRIM(B337),"")</f>
        <v/>
      </c>
      <c r="U337" s="96">
        <f>IF(T337="",0,IF(SUMPRODUCT(--($T$6:$T$505=T337))&gt;1,1,0))</f>
        <v>0</v>
      </c>
      <c r="V337" s="96">
        <f>IF(F337="",0,IF(ISNUMBER(MATCH(F337,cmp_dest,0)),1,0))</f>
        <v>0</v>
      </c>
      <c r="W337" s="96">
        <f>IF(AND(S337=1,B337&lt;&gt;"",F337&lt;&gt;"",J337="Sim",U337=0),1,0)</f>
        <v>0</v>
      </c>
      <c r="X337" s="96">
        <f>IF(S337=0,0,COUNTIFS('VÍNCULOS_CDF'!$O$6:$O$1005,A337,'VÍNCULOS_CDF'!$Y$6:$Y$1005,1))</f>
        <v>0</v>
      </c>
      <c r="Y337" s="96" t="str">
        <f>IF(S337=1,A337&amp;" | CDF "&amp;IF(B337="","(sem número)",B337)&amp;" | "&amp;IF(F337="","(sem destinador)",F337),"")</f>
        <v/>
      </c>
      <c r="Z337" s="96" t="str">
        <f>IF(S337=1,COUNTIF($S$6:S337,1),"")</f>
        <v/>
      </c>
      <c r="AA337" s="96">
        <f>IF(S337=0,0,IF(AND(OR(r_ini="",AND(ISNUMBER(D337),D337&gt;=r_ini)),OR(r_fim="",AND(ISNUMBER(D337),D337&lt;=r_fim)),OR(r_de="",r_de="(Todos)",F337=r_de)),1,0))</f>
        <v>0</v>
      </c>
      <c r="AB337" s="96" t="str">
        <f>IF(AA337=1,IF(F337="",0,COUNTIF($F$6:$F$505,"&lt;"&amp;F337))*1000+332,"")</f>
        <v/>
      </c>
    </row>
    <row r="338">
      <c r="A338" s="89" t="inlineStr">
        <is>
          <t>CDF-000333</t>
        </is>
      </c>
      <c r="B338" s="90" t="n"/>
      <c r="C338" s="91" t="n"/>
      <c r="D338" s="92" t="n"/>
      <c r="E338" s="91" t="n"/>
      <c r="F338" s="91" t="n"/>
      <c r="G338" s="91" t="n"/>
      <c r="H338" s="91" t="n"/>
      <c r="I338" s="91" t="n"/>
      <c r="J338" s="91" t="n"/>
      <c r="K338" s="92" t="n"/>
      <c r="L338" s="91" t="n"/>
      <c r="M338" s="91" t="n"/>
      <c r="N338" s="91" t="n"/>
      <c r="O338" s="93" t="str">
        <f>IF(S338=0,"",SUMIFS('VÍNCULOS_CDF'!$H$6:$H$1005,'VÍNCULOS_CDF'!$O$6:$O$1005,A338,'VÍNCULOS_CDF'!$V$6:$V$1005,1))</f>
        <v/>
      </c>
      <c r="P338" s="95" t="str">
        <f>IF(S338=0,"",COUNTIFS('VÍNCULOS_CDF'!$O$6:$O$1005,A338,'VÍNCULOS_CDF'!$N$6:$N$1005,1))</f>
        <v/>
      </c>
      <c r="Q338" s="94" t="str">
        <f>IF(S338=0,"",IF(OR(B338="",F338=""),"Informações incompletas",IF(U338=1,"Possível duplicidade",IF(V338=0,"Destinador fora do cadastro",IF(AND(J338="Sim",N(P338)=0),"Necessita revisão de vínculos",IF(X338&gt;0,"Necessita revisão de vínculos",IF(J338="Sim","Conferido",IF(I338="Sim","Localizado, aguardando conferência","Cadastrado"))))))))</f>
        <v/>
      </c>
      <c r="R338" s="95" t="str">
        <f>IF(S338=0,"",COUNTIFS('VÍNCULOS_CDF'!$O$6:$O$1005,A338,'VÍNCULOS_CDF'!$AB$6:$AB$1005,1))</f>
        <v/>
      </c>
      <c r="S338" s="96">
        <f>IF(COUNTA(B338:N338)&gt;0,1,0)</f>
        <v>0</v>
      </c>
      <c r="T338" s="96" t="str">
        <f>IF(AND(S338=1,B338&lt;&gt;""),C338&amp;"|"&amp;TRIM(B338),"")</f>
        <v/>
      </c>
      <c r="U338" s="96">
        <f>IF(T338="",0,IF(SUMPRODUCT(--($T$6:$T$505=T338))&gt;1,1,0))</f>
        <v>0</v>
      </c>
      <c r="V338" s="96">
        <f>IF(F338="",0,IF(ISNUMBER(MATCH(F338,cmp_dest,0)),1,0))</f>
        <v>0</v>
      </c>
      <c r="W338" s="96">
        <f>IF(AND(S338=1,B338&lt;&gt;"",F338&lt;&gt;"",J338="Sim",U338=0),1,0)</f>
        <v>0</v>
      </c>
      <c r="X338" s="96">
        <f>IF(S338=0,0,COUNTIFS('VÍNCULOS_CDF'!$O$6:$O$1005,A338,'VÍNCULOS_CDF'!$Y$6:$Y$1005,1))</f>
        <v>0</v>
      </c>
      <c r="Y338" s="96" t="str">
        <f>IF(S338=1,A338&amp;" | CDF "&amp;IF(B338="","(sem número)",B338)&amp;" | "&amp;IF(F338="","(sem destinador)",F338),"")</f>
        <v/>
      </c>
      <c r="Z338" s="96" t="str">
        <f>IF(S338=1,COUNTIF($S$6:S338,1),"")</f>
        <v/>
      </c>
      <c r="AA338" s="96">
        <f>IF(S338=0,0,IF(AND(OR(r_ini="",AND(ISNUMBER(D338),D338&gt;=r_ini)),OR(r_fim="",AND(ISNUMBER(D338),D338&lt;=r_fim)),OR(r_de="",r_de="(Todos)",F338=r_de)),1,0))</f>
        <v>0</v>
      </c>
      <c r="AB338" s="96" t="str">
        <f>IF(AA338=1,IF(F338="",0,COUNTIF($F$6:$F$505,"&lt;"&amp;F338))*1000+333,"")</f>
        <v/>
      </c>
    </row>
    <row r="339">
      <c r="A339" s="89" t="inlineStr">
        <is>
          <t>CDF-000334</t>
        </is>
      </c>
      <c r="B339" s="90" t="n"/>
      <c r="C339" s="91" t="n"/>
      <c r="D339" s="92" t="n"/>
      <c r="E339" s="91" t="n"/>
      <c r="F339" s="91" t="n"/>
      <c r="G339" s="91" t="n"/>
      <c r="H339" s="91" t="n"/>
      <c r="I339" s="91" t="n"/>
      <c r="J339" s="91" t="n"/>
      <c r="K339" s="92" t="n"/>
      <c r="L339" s="91" t="n"/>
      <c r="M339" s="91" t="n"/>
      <c r="N339" s="91" t="n"/>
      <c r="O339" s="93" t="str">
        <f>IF(S339=0,"",SUMIFS('VÍNCULOS_CDF'!$H$6:$H$1005,'VÍNCULOS_CDF'!$O$6:$O$1005,A339,'VÍNCULOS_CDF'!$V$6:$V$1005,1))</f>
        <v/>
      </c>
      <c r="P339" s="95" t="str">
        <f>IF(S339=0,"",COUNTIFS('VÍNCULOS_CDF'!$O$6:$O$1005,A339,'VÍNCULOS_CDF'!$N$6:$N$1005,1))</f>
        <v/>
      </c>
      <c r="Q339" s="94" t="str">
        <f>IF(S339=0,"",IF(OR(B339="",F339=""),"Informações incompletas",IF(U339=1,"Possível duplicidade",IF(V339=0,"Destinador fora do cadastro",IF(AND(J339="Sim",N(P339)=0),"Necessita revisão de vínculos",IF(X339&gt;0,"Necessita revisão de vínculos",IF(J339="Sim","Conferido",IF(I339="Sim","Localizado, aguardando conferência","Cadastrado"))))))))</f>
        <v/>
      </c>
      <c r="R339" s="95" t="str">
        <f>IF(S339=0,"",COUNTIFS('VÍNCULOS_CDF'!$O$6:$O$1005,A339,'VÍNCULOS_CDF'!$AB$6:$AB$1005,1))</f>
        <v/>
      </c>
      <c r="S339" s="96">
        <f>IF(COUNTA(B339:N339)&gt;0,1,0)</f>
        <v>0</v>
      </c>
      <c r="T339" s="96" t="str">
        <f>IF(AND(S339=1,B339&lt;&gt;""),C339&amp;"|"&amp;TRIM(B339),"")</f>
        <v/>
      </c>
      <c r="U339" s="96">
        <f>IF(T339="",0,IF(SUMPRODUCT(--($T$6:$T$505=T339))&gt;1,1,0))</f>
        <v>0</v>
      </c>
      <c r="V339" s="96">
        <f>IF(F339="",0,IF(ISNUMBER(MATCH(F339,cmp_dest,0)),1,0))</f>
        <v>0</v>
      </c>
      <c r="W339" s="96">
        <f>IF(AND(S339=1,B339&lt;&gt;"",F339&lt;&gt;"",J339="Sim",U339=0),1,0)</f>
        <v>0</v>
      </c>
      <c r="X339" s="96">
        <f>IF(S339=0,0,COUNTIFS('VÍNCULOS_CDF'!$O$6:$O$1005,A339,'VÍNCULOS_CDF'!$Y$6:$Y$1005,1))</f>
        <v>0</v>
      </c>
      <c r="Y339" s="96" t="str">
        <f>IF(S339=1,A339&amp;" | CDF "&amp;IF(B339="","(sem número)",B339)&amp;" | "&amp;IF(F339="","(sem destinador)",F339),"")</f>
        <v/>
      </c>
      <c r="Z339" s="96" t="str">
        <f>IF(S339=1,COUNTIF($S$6:S339,1),"")</f>
        <v/>
      </c>
      <c r="AA339" s="96">
        <f>IF(S339=0,0,IF(AND(OR(r_ini="",AND(ISNUMBER(D339),D339&gt;=r_ini)),OR(r_fim="",AND(ISNUMBER(D339),D339&lt;=r_fim)),OR(r_de="",r_de="(Todos)",F339=r_de)),1,0))</f>
        <v>0</v>
      </c>
      <c r="AB339" s="96" t="str">
        <f>IF(AA339=1,IF(F339="",0,COUNTIF($F$6:$F$505,"&lt;"&amp;F339))*1000+334,"")</f>
        <v/>
      </c>
    </row>
    <row r="340">
      <c r="A340" s="89" t="inlineStr">
        <is>
          <t>CDF-000335</t>
        </is>
      </c>
      <c r="B340" s="90" t="n"/>
      <c r="C340" s="91" t="n"/>
      <c r="D340" s="92" t="n"/>
      <c r="E340" s="91" t="n"/>
      <c r="F340" s="91" t="n"/>
      <c r="G340" s="91" t="n"/>
      <c r="H340" s="91" t="n"/>
      <c r="I340" s="91" t="n"/>
      <c r="J340" s="91" t="n"/>
      <c r="K340" s="92" t="n"/>
      <c r="L340" s="91" t="n"/>
      <c r="M340" s="91" t="n"/>
      <c r="N340" s="91" t="n"/>
      <c r="O340" s="93" t="str">
        <f>IF(S340=0,"",SUMIFS('VÍNCULOS_CDF'!$H$6:$H$1005,'VÍNCULOS_CDF'!$O$6:$O$1005,A340,'VÍNCULOS_CDF'!$V$6:$V$1005,1))</f>
        <v/>
      </c>
      <c r="P340" s="95" t="str">
        <f>IF(S340=0,"",COUNTIFS('VÍNCULOS_CDF'!$O$6:$O$1005,A340,'VÍNCULOS_CDF'!$N$6:$N$1005,1))</f>
        <v/>
      </c>
      <c r="Q340" s="94" t="str">
        <f>IF(S340=0,"",IF(OR(B340="",F340=""),"Informações incompletas",IF(U340=1,"Possível duplicidade",IF(V340=0,"Destinador fora do cadastro",IF(AND(J340="Sim",N(P340)=0),"Necessita revisão de vínculos",IF(X340&gt;0,"Necessita revisão de vínculos",IF(J340="Sim","Conferido",IF(I340="Sim","Localizado, aguardando conferência","Cadastrado"))))))))</f>
        <v/>
      </c>
      <c r="R340" s="95" t="str">
        <f>IF(S340=0,"",COUNTIFS('VÍNCULOS_CDF'!$O$6:$O$1005,A340,'VÍNCULOS_CDF'!$AB$6:$AB$1005,1))</f>
        <v/>
      </c>
      <c r="S340" s="96">
        <f>IF(COUNTA(B340:N340)&gt;0,1,0)</f>
        <v>0</v>
      </c>
      <c r="T340" s="96" t="str">
        <f>IF(AND(S340=1,B340&lt;&gt;""),C340&amp;"|"&amp;TRIM(B340),"")</f>
        <v/>
      </c>
      <c r="U340" s="96">
        <f>IF(T340="",0,IF(SUMPRODUCT(--($T$6:$T$505=T340))&gt;1,1,0))</f>
        <v>0</v>
      </c>
      <c r="V340" s="96">
        <f>IF(F340="",0,IF(ISNUMBER(MATCH(F340,cmp_dest,0)),1,0))</f>
        <v>0</v>
      </c>
      <c r="W340" s="96">
        <f>IF(AND(S340=1,B340&lt;&gt;"",F340&lt;&gt;"",J340="Sim",U340=0),1,0)</f>
        <v>0</v>
      </c>
      <c r="X340" s="96">
        <f>IF(S340=0,0,COUNTIFS('VÍNCULOS_CDF'!$O$6:$O$1005,A340,'VÍNCULOS_CDF'!$Y$6:$Y$1005,1))</f>
        <v>0</v>
      </c>
      <c r="Y340" s="96" t="str">
        <f>IF(S340=1,A340&amp;" | CDF "&amp;IF(B340="","(sem número)",B340)&amp;" | "&amp;IF(F340="","(sem destinador)",F340),"")</f>
        <v/>
      </c>
      <c r="Z340" s="96" t="str">
        <f>IF(S340=1,COUNTIF($S$6:S340,1),"")</f>
        <v/>
      </c>
      <c r="AA340" s="96">
        <f>IF(S340=0,0,IF(AND(OR(r_ini="",AND(ISNUMBER(D340),D340&gt;=r_ini)),OR(r_fim="",AND(ISNUMBER(D340),D340&lt;=r_fim)),OR(r_de="",r_de="(Todos)",F340=r_de)),1,0))</f>
        <v>0</v>
      </c>
      <c r="AB340" s="96" t="str">
        <f>IF(AA340=1,IF(F340="",0,COUNTIF($F$6:$F$505,"&lt;"&amp;F340))*1000+335,"")</f>
        <v/>
      </c>
    </row>
    <row r="341">
      <c r="A341" s="89" t="inlineStr">
        <is>
          <t>CDF-000336</t>
        </is>
      </c>
      <c r="B341" s="90" t="n"/>
      <c r="C341" s="91" t="n"/>
      <c r="D341" s="92" t="n"/>
      <c r="E341" s="91" t="n"/>
      <c r="F341" s="91" t="n"/>
      <c r="G341" s="91" t="n"/>
      <c r="H341" s="91" t="n"/>
      <c r="I341" s="91" t="n"/>
      <c r="J341" s="91" t="n"/>
      <c r="K341" s="92" t="n"/>
      <c r="L341" s="91" t="n"/>
      <c r="M341" s="91" t="n"/>
      <c r="N341" s="91" t="n"/>
      <c r="O341" s="93" t="str">
        <f>IF(S341=0,"",SUMIFS('VÍNCULOS_CDF'!$H$6:$H$1005,'VÍNCULOS_CDF'!$O$6:$O$1005,A341,'VÍNCULOS_CDF'!$V$6:$V$1005,1))</f>
        <v/>
      </c>
      <c r="P341" s="95" t="str">
        <f>IF(S341=0,"",COUNTIFS('VÍNCULOS_CDF'!$O$6:$O$1005,A341,'VÍNCULOS_CDF'!$N$6:$N$1005,1))</f>
        <v/>
      </c>
      <c r="Q341" s="94" t="str">
        <f>IF(S341=0,"",IF(OR(B341="",F341=""),"Informações incompletas",IF(U341=1,"Possível duplicidade",IF(V341=0,"Destinador fora do cadastro",IF(AND(J341="Sim",N(P341)=0),"Necessita revisão de vínculos",IF(X341&gt;0,"Necessita revisão de vínculos",IF(J341="Sim","Conferido",IF(I341="Sim","Localizado, aguardando conferência","Cadastrado"))))))))</f>
        <v/>
      </c>
      <c r="R341" s="95" t="str">
        <f>IF(S341=0,"",COUNTIFS('VÍNCULOS_CDF'!$O$6:$O$1005,A341,'VÍNCULOS_CDF'!$AB$6:$AB$1005,1))</f>
        <v/>
      </c>
      <c r="S341" s="96">
        <f>IF(COUNTA(B341:N341)&gt;0,1,0)</f>
        <v>0</v>
      </c>
      <c r="T341" s="96" t="str">
        <f>IF(AND(S341=1,B341&lt;&gt;""),C341&amp;"|"&amp;TRIM(B341),"")</f>
        <v/>
      </c>
      <c r="U341" s="96">
        <f>IF(T341="",0,IF(SUMPRODUCT(--($T$6:$T$505=T341))&gt;1,1,0))</f>
        <v>0</v>
      </c>
      <c r="V341" s="96">
        <f>IF(F341="",0,IF(ISNUMBER(MATCH(F341,cmp_dest,0)),1,0))</f>
        <v>0</v>
      </c>
      <c r="W341" s="96">
        <f>IF(AND(S341=1,B341&lt;&gt;"",F341&lt;&gt;"",J341="Sim",U341=0),1,0)</f>
        <v>0</v>
      </c>
      <c r="X341" s="96">
        <f>IF(S341=0,0,COUNTIFS('VÍNCULOS_CDF'!$O$6:$O$1005,A341,'VÍNCULOS_CDF'!$Y$6:$Y$1005,1))</f>
        <v>0</v>
      </c>
      <c r="Y341" s="96" t="str">
        <f>IF(S341=1,A341&amp;" | CDF "&amp;IF(B341="","(sem número)",B341)&amp;" | "&amp;IF(F341="","(sem destinador)",F341),"")</f>
        <v/>
      </c>
      <c r="Z341" s="96" t="str">
        <f>IF(S341=1,COUNTIF($S$6:S341,1),"")</f>
        <v/>
      </c>
      <c r="AA341" s="96">
        <f>IF(S341=0,0,IF(AND(OR(r_ini="",AND(ISNUMBER(D341),D341&gt;=r_ini)),OR(r_fim="",AND(ISNUMBER(D341),D341&lt;=r_fim)),OR(r_de="",r_de="(Todos)",F341=r_de)),1,0))</f>
        <v>0</v>
      </c>
      <c r="AB341" s="96" t="str">
        <f>IF(AA341=1,IF(F341="",0,COUNTIF($F$6:$F$505,"&lt;"&amp;F341))*1000+336,"")</f>
        <v/>
      </c>
    </row>
    <row r="342">
      <c r="A342" s="89" t="inlineStr">
        <is>
          <t>CDF-000337</t>
        </is>
      </c>
      <c r="B342" s="90" t="n"/>
      <c r="C342" s="91" t="n"/>
      <c r="D342" s="92" t="n"/>
      <c r="E342" s="91" t="n"/>
      <c r="F342" s="91" t="n"/>
      <c r="G342" s="91" t="n"/>
      <c r="H342" s="91" t="n"/>
      <c r="I342" s="91" t="n"/>
      <c r="J342" s="91" t="n"/>
      <c r="K342" s="92" t="n"/>
      <c r="L342" s="91" t="n"/>
      <c r="M342" s="91" t="n"/>
      <c r="N342" s="91" t="n"/>
      <c r="O342" s="93" t="str">
        <f>IF(S342=0,"",SUMIFS('VÍNCULOS_CDF'!$H$6:$H$1005,'VÍNCULOS_CDF'!$O$6:$O$1005,A342,'VÍNCULOS_CDF'!$V$6:$V$1005,1))</f>
        <v/>
      </c>
      <c r="P342" s="95" t="str">
        <f>IF(S342=0,"",COUNTIFS('VÍNCULOS_CDF'!$O$6:$O$1005,A342,'VÍNCULOS_CDF'!$N$6:$N$1005,1))</f>
        <v/>
      </c>
      <c r="Q342" s="94" t="str">
        <f>IF(S342=0,"",IF(OR(B342="",F342=""),"Informações incompletas",IF(U342=1,"Possível duplicidade",IF(V342=0,"Destinador fora do cadastro",IF(AND(J342="Sim",N(P342)=0),"Necessita revisão de vínculos",IF(X342&gt;0,"Necessita revisão de vínculos",IF(J342="Sim","Conferido",IF(I342="Sim","Localizado, aguardando conferência","Cadastrado"))))))))</f>
        <v/>
      </c>
      <c r="R342" s="95" t="str">
        <f>IF(S342=0,"",COUNTIFS('VÍNCULOS_CDF'!$O$6:$O$1005,A342,'VÍNCULOS_CDF'!$AB$6:$AB$1005,1))</f>
        <v/>
      </c>
      <c r="S342" s="96">
        <f>IF(COUNTA(B342:N342)&gt;0,1,0)</f>
        <v>0</v>
      </c>
      <c r="T342" s="96" t="str">
        <f>IF(AND(S342=1,B342&lt;&gt;""),C342&amp;"|"&amp;TRIM(B342),"")</f>
        <v/>
      </c>
      <c r="U342" s="96">
        <f>IF(T342="",0,IF(SUMPRODUCT(--($T$6:$T$505=T342))&gt;1,1,0))</f>
        <v>0</v>
      </c>
      <c r="V342" s="96">
        <f>IF(F342="",0,IF(ISNUMBER(MATCH(F342,cmp_dest,0)),1,0))</f>
        <v>0</v>
      </c>
      <c r="W342" s="96">
        <f>IF(AND(S342=1,B342&lt;&gt;"",F342&lt;&gt;"",J342="Sim",U342=0),1,0)</f>
        <v>0</v>
      </c>
      <c r="X342" s="96">
        <f>IF(S342=0,0,COUNTIFS('VÍNCULOS_CDF'!$O$6:$O$1005,A342,'VÍNCULOS_CDF'!$Y$6:$Y$1005,1))</f>
        <v>0</v>
      </c>
      <c r="Y342" s="96" t="str">
        <f>IF(S342=1,A342&amp;" | CDF "&amp;IF(B342="","(sem número)",B342)&amp;" | "&amp;IF(F342="","(sem destinador)",F342),"")</f>
        <v/>
      </c>
      <c r="Z342" s="96" t="str">
        <f>IF(S342=1,COUNTIF($S$6:S342,1),"")</f>
        <v/>
      </c>
      <c r="AA342" s="96">
        <f>IF(S342=0,0,IF(AND(OR(r_ini="",AND(ISNUMBER(D342),D342&gt;=r_ini)),OR(r_fim="",AND(ISNUMBER(D342),D342&lt;=r_fim)),OR(r_de="",r_de="(Todos)",F342=r_de)),1,0))</f>
        <v>0</v>
      </c>
      <c r="AB342" s="96" t="str">
        <f>IF(AA342=1,IF(F342="",0,COUNTIF($F$6:$F$505,"&lt;"&amp;F342))*1000+337,"")</f>
        <v/>
      </c>
    </row>
    <row r="343">
      <c r="A343" s="89" t="inlineStr">
        <is>
          <t>CDF-000338</t>
        </is>
      </c>
      <c r="B343" s="90" t="n"/>
      <c r="C343" s="91" t="n"/>
      <c r="D343" s="92" t="n"/>
      <c r="E343" s="91" t="n"/>
      <c r="F343" s="91" t="n"/>
      <c r="G343" s="91" t="n"/>
      <c r="H343" s="91" t="n"/>
      <c r="I343" s="91" t="n"/>
      <c r="J343" s="91" t="n"/>
      <c r="K343" s="92" t="n"/>
      <c r="L343" s="91" t="n"/>
      <c r="M343" s="91" t="n"/>
      <c r="N343" s="91" t="n"/>
      <c r="O343" s="93" t="str">
        <f>IF(S343=0,"",SUMIFS('VÍNCULOS_CDF'!$H$6:$H$1005,'VÍNCULOS_CDF'!$O$6:$O$1005,A343,'VÍNCULOS_CDF'!$V$6:$V$1005,1))</f>
        <v/>
      </c>
      <c r="P343" s="95" t="str">
        <f>IF(S343=0,"",COUNTIFS('VÍNCULOS_CDF'!$O$6:$O$1005,A343,'VÍNCULOS_CDF'!$N$6:$N$1005,1))</f>
        <v/>
      </c>
      <c r="Q343" s="94" t="str">
        <f>IF(S343=0,"",IF(OR(B343="",F343=""),"Informações incompletas",IF(U343=1,"Possível duplicidade",IF(V343=0,"Destinador fora do cadastro",IF(AND(J343="Sim",N(P343)=0),"Necessita revisão de vínculos",IF(X343&gt;0,"Necessita revisão de vínculos",IF(J343="Sim","Conferido",IF(I343="Sim","Localizado, aguardando conferência","Cadastrado"))))))))</f>
        <v/>
      </c>
      <c r="R343" s="95" t="str">
        <f>IF(S343=0,"",COUNTIFS('VÍNCULOS_CDF'!$O$6:$O$1005,A343,'VÍNCULOS_CDF'!$AB$6:$AB$1005,1))</f>
        <v/>
      </c>
      <c r="S343" s="96">
        <f>IF(COUNTA(B343:N343)&gt;0,1,0)</f>
        <v>0</v>
      </c>
      <c r="T343" s="96" t="str">
        <f>IF(AND(S343=1,B343&lt;&gt;""),C343&amp;"|"&amp;TRIM(B343),"")</f>
        <v/>
      </c>
      <c r="U343" s="96">
        <f>IF(T343="",0,IF(SUMPRODUCT(--($T$6:$T$505=T343))&gt;1,1,0))</f>
        <v>0</v>
      </c>
      <c r="V343" s="96">
        <f>IF(F343="",0,IF(ISNUMBER(MATCH(F343,cmp_dest,0)),1,0))</f>
        <v>0</v>
      </c>
      <c r="W343" s="96">
        <f>IF(AND(S343=1,B343&lt;&gt;"",F343&lt;&gt;"",J343="Sim",U343=0),1,0)</f>
        <v>0</v>
      </c>
      <c r="X343" s="96">
        <f>IF(S343=0,0,COUNTIFS('VÍNCULOS_CDF'!$O$6:$O$1005,A343,'VÍNCULOS_CDF'!$Y$6:$Y$1005,1))</f>
        <v>0</v>
      </c>
      <c r="Y343" s="96" t="str">
        <f>IF(S343=1,A343&amp;" | CDF "&amp;IF(B343="","(sem número)",B343)&amp;" | "&amp;IF(F343="","(sem destinador)",F343),"")</f>
        <v/>
      </c>
      <c r="Z343" s="96" t="str">
        <f>IF(S343=1,COUNTIF($S$6:S343,1),"")</f>
        <v/>
      </c>
      <c r="AA343" s="96">
        <f>IF(S343=0,0,IF(AND(OR(r_ini="",AND(ISNUMBER(D343),D343&gt;=r_ini)),OR(r_fim="",AND(ISNUMBER(D343),D343&lt;=r_fim)),OR(r_de="",r_de="(Todos)",F343=r_de)),1,0))</f>
        <v>0</v>
      </c>
      <c r="AB343" s="96" t="str">
        <f>IF(AA343=1,IF(F343="",0,COUNTIF($F$6:$F$505,"&lt;"&amp;F343))*1000+338,"")</f>
        <v/>
      </c>
    </row>
    <row r="344">
      <c r="A344" s="89" t="inlineStr">
        <is>
          <t>CDF-000339</t>
        </is>
      </c>
      <c r="B344" s="90" t="n"/>
      <c r="C344" s="91" t="n"/>
      <c r="D344" s="92" t="n"/>
      <c r="E344" s="91" t="n"/>
      <c r="F344" s="91" t="n"/>
      <c r="G344" s="91" t="n"/>
      <c r="H344" s="91" t="n"/>
      <c r="I344" s="91" t="n"/>
      <c r="J344" s="91" t="n"/>
      <c r="K344" s="92" t="n"/>
      <c r="L344" s="91" t="n"/>
      <c r="M344" s="91" t="n"/>
      <c r="N344" s="91" t="n"/>
      <c r="O344" s="93" t="str">
        <f>IF(S344=0,"",SUMIFS('VÍNCULOS_CDF'!$H$6:$H$1005,'VÍNCULOS_CDF'!$O$6:$O$1005,A344,'VÍNCULOS_CDF'!$V$6:$V$1005,1))</f>
        <v/>
      </c>
      <c r="P344" s="95" t="str">
        <f>IF(S344=0,"",COUNTIFS('VÍNCULOS_CDF'!$O$6:$O$1005,A344,'VÍNCULOS_CDF'!$N$6:$N$1005,1))</f>
        <v/>
      </c>
      <c r="Q344" s="94" t="str">
        <f>IF(S344=0,"",IF(OR(B344="",F344=""),"Informações incompletas",IF(U344=1,"Possível duplicidade",IF(V344=0,"Destinador fora do cadastro",IF(AND(J344="Sim",N(P344)=0),"Necessita revisão de vínculos",IF(X344&gt;0,"Necessita revisão de vínculos",IF(J344="Sim","Conferido",IF(I344="Sim","Localizado, aguardando conferência","Cadastrado"))))))))</f>
        <v/>
      </c>
      <c r="R344" s="95" t="str">
        <f>IF(S344=0,"",COUNTIFS('VÍNCULOS_CDF'!$O$6:$O$1005,A344,'VÍNCULOS_CDF'!$AB$6:$AB$1005,1))</f>
        <v/>
      </c>
      <c r="S344" s="96">
        <f>IF(COUNTA(B344:N344)&gt;0,1,0)</f>
        <v>0</v>
      </c>
      <c r="T344" s="96" t="str">
        <f>IF(AND(S344=1,B344&lt;&gt;""),C344&amp;"|"&amp;TRIM(B344),"")</f>
        <v/>
      </c>
      <c r="U344" s="96">
        <f>IF(T344="",0,IF(SUMPRODUCT(--($T$6:$T$505=T344))&gt;1,1,0))</f>
        <v>0</v>
      </c>
      <c r="V344" s="96">
        <f>IF(F344="",0,IF(ISNUMBER(MATCH(F344,cmp_dest,0)),1,0))</f>
        <v>0</v>
      </c>
      <c r="W344" s="96">
        <f>IF(AND(S344=1,B344&lt;&gt;"",F344&lt;&gt;"",J344="Sim",U344=0),1,0)</f>
        <v>0</v>
      </c>
      <c r="X344" s="96">
        <f>IF(S344=0,0,COUNTIFS('VÍNCULOS_CDF'!$O$6:$O$1005,A344,'VÍNCULOS_CDF'!$Y$6:$Y$1005,1))</f>
        <v>0</v>
      </c>
      <c r="Y344" s="96" t="str">
        <f>IF(S344=1,A344&amp;" | CDF "&amp;IF(B344="","(sem número)",B344)&amp;" | "&amp;IF(F344="","(sem destinador)",F344),"")</f>
        <v/>
      </c>
      <c r="Z344" s="96" t="str">
        <f>IF(S344=1,COUNTIF($S$6:S344,1),"")</f>
        <v/>
      </c>
      <c r="AA344" s="96">
        <f>IF(S344=0,0,IF(AND(OR(r_ini="",AND(ISNUMBER(D344),D344&gt;=r_ini)),OR(r_fim="",AND(ISNUMBER(D344),D344&lt;=r_fim)),OR(r_de="",r_de="(Todos)",F344=r_de)),1,0))</f>
        <v>0</v>
      </c>
      <c r="AB344" s="96" t="str">
        <f>IF(AA344=1,IF(F344="",0,COUNTIF($F$6:$F$505,"&lt;"&amp;F344))*1000+339,"")</f>
        <v/>
      </c>
    </row>
    <row r="345">
      <c r="A345" s="89" t="inlineStr">
        <is>
          <t>CDF-000340</t>
        </is>
      </c>
      <c r="B345" s="90" t="n"/>
      <c r="C345" s="91" t="n"/>
      <c r="D345" s="92" t="n"/>
      <c r="E345" s="91" t="n"/>
      <c r="F345" s="91" t="n"/>
      <c r="G345" s="91" t="n"/>
      <c r="H345" s="91" t="n"/>
      <c r="I345" s="91" t="n"/>
      <c r="J345" s="91" t="n"/>
      <c r="K345" s="92" t="n"/>
      <c r="L345" s="91" t="n"/>
      <c r="M345" s="91" t="n"/>
      <c r="N345" s="91" t="n"/>
      <c r="O345" s="93" t="str">
        <f>IF(S345=0,"",SUMIFS('VÍNCULOS_CDF'!$H$6:$H$1005,'VÍNCULOS_CDF'!$O$6:$O$1005,A345,'VÍNCULOS_CDF'!$V$6:$V$1005,1))</f>
        <v/>
      </c>
      <c r="P345" s="95" t="str">
        <f>IF(S345=0,"",COUNTIFS('VÍNCULOS_CDF'!$O$6:$O$1005,A345,'VÍNCULOS_CDF'!$N$6:$N$1005,1))</f>
        <v/>
      </c>
      <c r="Q345" s="94" t="str">
        <f>IF(S345=0,"",IF(OR(B345="",F345=""),"Informações incompletas",IF(U345=1,"Possível duplicidade",IF(V345=0,"Destinador fora do cadastro",IF(AND(J345="Sim",N(P345)=0),"Necessita revisão de vínculos",IF(X345&gt;0,"Necessita revisão de vínculos",IF(J345="Sim","Conferido",IF(I345="Sim","Localizado, aguardando conferência","Cadastrado"))))))))</f>
        <v/>
      </c>
      <c r="R345" s="95" t="str">
        <f>IF(S345=0,"",COUNTIFS('VÍNCULOS_CDF'!$O$6:$O$1005,A345,'VÍNCULOS_CDF'!$AB$6:$AB$1005,1))</f>
        <v/>
      </c>
      <c r="S345" s="96">
        <f>IF(COUNTA(B345:N345)&gt;0,1,0)</f>
        <v>0</v>
      </c>
      <c r="T345" s="96" t="str">
        <f>IF(AND(S345=1,B345&lt;&gt;""),C345&amp;"|"&amp;TRIM(B345),"")</f>
        <v/>
      </c>
      <c r="U345" s="96">
        <f>IF(T345="",0,IF(SUMPRODUCT(--($T$6:$T$505=T345))&gt;1,1,0))</f>
        <v>0</v>
      </c>
      <c r="V345" s="96">
        <f>IF(F345="",0,IF(ISNUMBER(MATCH(F345,cmp_dest,0)),1,0))</f>
        <v>0</v>
      </c>
      <c r="W345" s="96">
        <f>IF(AND(S345=1,B345&lt;&gt;"",F345&lt;&gt;"",J345="Sim",U345=0),1,0)</f>
        <v>0</v>
      </c>
      <c r="X345" s="96">
        <f>IF(S345=0,0,COUNTIFS('VÍNCULOS_CDF'!$O$6:$O$1005,A345,'VÍNCULOS_CDF'!$Y$6:$Y$1005,1))</f>
        <v>0</v>
      </c>
      <c r="Y345" s="96" t="str">
        <f>IF(S345=1,A345&amp;" | CDF "&amp;IF(B345="","(sem número)",B345)&amp;" | "&amp;IF(F345="","(sem destinador)",F345),"")</f>
        <v/>
      </c>
      <c r="Z345" s="96" t="str">
        <f>IF(S345=1,COUNTIF($S$6:S345,1),"")</f>
        <v/>
      </c>
      <c r="AA345" s="96">
        <f>IF(S345=0,0,IF(AND(OR(r_ini="",AND(ISNUMBER(D345),D345&gt;=r_ini)),OR(r_fim="",AND(ISNUMBER(D345),D345&lt;=r_fim)),OR(r_de="",r_de="(Todos)",F345=r_de)),1,0))</f>
        <v>0</v>
      </c>
      <c r="AB345" s="96" t="str">
        <f>IF(AA345=1,IF(F345="",0,COUNTIF($F$6:$F$505,"&lt;"&amp;F345))*1000+340,"")</f>
        <v/>
      </c>
    </row>
    <row r="346">
      <c r="A346" s="89" t="inlineStr">
        <is>
          <t>CDF-000341</t>
        </is>
      </c>
      <c r="B346" s="90" t="n"/>
      <c r="C346" s="91" t="n"/>
      <c r="D346" s="92" t="n"/>
      <c r="E346" s="91" t="n"/>
      <c r="F346" s="91" t="n"/>
      <c r="G346" s="91" t="n"/>
      <c r="H346" s="91" t="n"/>
      <c r="I346" s="91" t="n"/>
      <c r="J346" s="91" t="n"/>
      <c r="K346" s="92" t="n"/>
      <c r="L346" s="91" t="n"/>
      <c r="M346" s="91" t="n"/>
      <c r="N346" s="91" t="n"/>
      <c r="O346" s="93" t="str">
        <f>IF(S346=0,"",SUMIFS('VÍNCULOS_CDF'!$H$6:$H$1005,'VÍNCULOS_CDF'!$O$6:$O$1005,A346,'VÍNCULOS_CDF'!$V$6:$V$1005,1))</f>
        <v/>
      </c>
      <c r="P346" s="95" t="str">
        <f>IF(S346=0,"",COUNTIFS('VÍNCULOS_CDF'!$O$6:$O$1005,A346,'VÍNCULOS_CDF'!$N$6:$N$1005,1))</f>
        <v/>
      </c>
      <c r="Q346" s="94" t="str">
        <f>IF(S346=0,"",IF(OR(B346="",F346=""),"Informações incompletas",IF(U346=1,"Possível duplicidade",IF(V346=0,"Destinador fora do cadastro",IF(AND(J346="Sim",N(P346)=0),"Necessita revisão de vínculos",IF(X346&gt;0,"Necessita revisão de vínculos",IF(J346="Sim","Conferido",IF(I346="Sim","Localizado, aguardando conferência","Cadastrado"))))))))</f>
        <v/>
      </c>
      <c r="R346" s="95" t="str">
        <f>IF(S346=0,"",COUNTIFS('VÍNCULOS_CDF'!$O$6:$O$1005,A346,'VÍNCULOS_CDF'!$AB$6:$AB$1005,1))</f>
        <v/>
      </c>
      <c r="S346" s="96">
        <f>IF(COUNTA(B346:N346)&gt;0,1,0)</f>
        <v>0</v>
      </c>
      <c r="T346" s="96" t="str">
        <f>IF(AND(S346=1,B346&lt;&gt;""),C346&amp;"|"&amp;TRIM(B346),"")</f>
        <v/>
      </c>
      <c r="U346" s="96">
        <f>IF(T346="",0,IF(SUMPRODUCT(--($T$6:$T$505=T346))&gt;1,1,0))</f>
        <v>0</v>
      </c>
      <c r="V346" s="96">
        <f>IF(F346="",0,IF(ISNUMBER(MATCH(F346,cmp_dest,0)),1,0))</f>
        <v>0</v>
      </c>
      <c r="W346" s="96">
        <f>IF(AND(S346=1,B346&lt;&gt;"",F346&lt;&gt;"",J346="Sim",U346=0),1,0)</f>
        <v>0</v>
      </c>
      <c r="X346" s="96">
        <f>IF(S346=0,0,COUNTIFS('VÍNCULOS_CDF'!$O$6:$O$1005,A346,'VÍNCULOS_CDF'!$Y$6:$Y$1005,1))</f>
        <v>0</v>
      </c>
      <c r="Y346" s="96" t="str">
        <f>IF(S346=1,A346&amp;" | CDF "&amp;IF(B346="","(sem número)",B346)&amp;" | "&amp;IF(F346="","(sem destinador)",F346),"")</f>
        <v/>
      </c>
      <c r="Z346" s="96" t="str">
        <f>IF(S346=1,COUNTIF($S$6:S346,1),"")</f>
        <v/>
      </c>
      <c r="AA346" s="96">
        <f>IF(S346=0,0,IF(AND(OR(r_ini="",AND(ISNUMBER(D346),D346&gt;=r_ini)),OR(r_fim="",AND(ISNUMBER(D346),D346&lt;=r_fim)),OR(r_de="",r_de="(Todos)",F346=r_de)),1,0))</f>
        <v>0</v>
      </c>
      <c r="AB346" s="96" t="str">
        <f>IF(AA346=1,IF(F346="",0,COUNTIF($F$6:$F$505,"&lt;"&amp;F346))*1000+341,"")</f>
        <v/>
      </c>
    </row>
    <row r="347">
      <c r="A347" s="89" t="inlineStr">
        <is>
          <t>CDF-000342</t>
        </is>
      </c>
      <c r="B347" s="90" t="n"/>
      <c r="C347" s="91" t="n"/>
      <c r="D347" s="92" t="n"/>
      <c r="E347" s="91" t="n"/>
      <c r="F347" s="91" t="n"/>
      <c r="G347" s="91" t="n"/>
      <c r="H347" s="91" t="n"/>
      <c r="I347" s="91" t="n"/>
      <c r="J347" s="91" t="n"/>
      <c r="K347" s="92" t="n"/>
      <c r="L347" s="91" t="n"/>
      <c r="M347" s="91" t="n"/>
      <c r="N347" s="91" t="n"/>
      <c r="O347" s="93" t="str">
        <f>IF(S347=0,"",SUMIFS('VÍNCULOS_CDF'!$H$6:$H$1005,'VÍNCULOS_CDF'!$O$6:$O$1005,A347,'VÍNCULOS_CDF'!$V$6:$V$1005,1))</f>
        <v/>
      </c>
      <c r="P347" s="95" t="str">
        <f>IF(S347=0,"",COUNTIFS('VÍNCULOS_CDF'!$O$6:$O$1005,A347,'VÍNCULOS_CDF'!$N$6:$N$1005,1))</f>
        <v/>
      </c>
      <c r="Q347" s="94" t="str">
        <f>IF(S347=0,"",IF(OR(B347="",F347=""),"Informações incompletas",IF(U347=1,"Possível duplicidade",IF(V347=0,"Destinador fora do cadastro",IF(AND(J347="Sim",N(P347)=0),"Necessita revisão de vínculos",IF(X347&gt;0,"Necessita revisão de vínculos",IF(J347="Sim","Conferido",IF(I347="Sim","Localizado, aguardando conferência","Cadastrado"))))))))</f>
        <v/>
      </c>
      <c r="R347" s="95" t="str">
        <f>IF(S347=0,"",COUNTIFS('VÍNCULOS_CDF'!$O$6:$O$1005,A347,'VÍNCULOS_CDF'!$AB$6:$AB$1005,1))</f>
        <v/>
      </c>
      <c r="S347" s="96">
        <f>IF(COUNTA(B347:N347)&gt;0,1,0)</f>
        <v>0</v>
      </c>
      <c r="T347" s="96" t="str">
        <f>IF(AND(S347=1,B347&lt;&gt;""),C347&amp;"|"&amp;TRIM(B347),"")</f>
        <v/>
      </c>
      <c r="U347" s="96">
        <f>IF(T347="",0,IF(SUMPRODUCT(--($T$6:$T$505=T347))&gt;1,1,0))</f>
        <v>0</v>
      </c>
      <c r="V347" s="96">
        <f>IF(F347="",0,IF(ISNUMBER(MATCH(F347,cmp_dest,0)),1,0))</f>
        <v>0</v>
      </c>
      <c r="W347" s="96">
        <f>IF(AND(S347=1,B347&lt;&gt;"",F347&lt;&gt;"",J347="Sim",U347=0),1,0)</f>
        <v>0</v>
      </c>
      <c r="X347" s="96">
        <f>IF(S347=0,0,COUNTIFS('VÍNCULOS_CDF'!$O$6:$O$1005,A347,'VÍNCULOS_CDF'!$Y$6:$Y$1005,1))</f>
        <v>0</v>
      </c>
      <c r="Y347" s="96" t="str">
        <f>IF(S347=1,A347&amp;" | CDF "&amp;IF(B347="","(sem número)",B347)&amp;" | "&amp;IF(F347="","(sem destinador)",F347),"")</f>
        <v/>
      </c>
      <c r="Z347" s="96" t="str">
        <f>IF(S347=1,COUNTIF($S$6:S347,1),"")</f>
        <v/>
      </c>
      <c r="AA347" s="96">
        <f>IF(S347=0,0,IF(AND(OR(r_ini="",AND(ISNUMBER(D347),D347&gt;=r_ini)),OR(r_fim="",AND(ISNUMBER(D347),D347&lt;=r_fim)),OR(r_de="",r_de="(Todos)",F347=r_de)),1,0))</f>
        <v>0</v>
      </c>
      <c r="AB347" s="96" t="str">
        <f>IF(AA347=1,IF(F347="",0,COUNTIF($F$6:$F$505,"&lt;"&amp;F347))*1000+342,"")</f>
        <v/>
      </c>
    </row>
    <row r="348">
      <c r="A348" s="89" t="inlineStr">
        <is>
          <t>CDF-000343</t>
        </is>
      </c>
      <c r="B348" s="90" t="n"/>
      <c r="C348" s="91" t="n"/>
      <c r="D348" s="92" t="n"/>
      <c r="E348" s="91" t="n"/>
      <c r="F348" s="91" t="n"/>
      <c r="G348" s="91" t="n"/>
      <c r="H348" s="91" t="n"/>
      <c r="I348" s="91" t="n"/>
      <c r="J348" s="91" t="n"/>
      <c r="K348" s="92" t="n"/>
      <c r="L348" s="91" t="n"/>
      <c r="M348" s="91" t="n"/>
      <c r="N348" s="91" t="n"/>
      <c r="O348" s="93" t="str">
        <f>IF(S348=0,"",SUMIFS('VÍNCULOS_CDF'!$H$6:$H$1005,'VÍNCULOS_CDF'!$O$6:$O$1005,A348,'VÍNCULOS_CDF'!$V$6:$V$1005,1))</f>
        <v/>
      </c>
      <c r="P348" s="95" t="str">
        <f>IF(S348=0,"",COUNTIFS('VÍNCULOS_CDF'!$O$6:$O$1005,A348,'VÍNCULOS_CDF'!$N$6:$N$1005,1))</f>
        <v/>
      </c>
      <c r="Q348" s="94" t="str">
        <f>IF(S348=0,"",IF(OR(B348="",F348=""),"Informações incompletas",IF(U348=1,"Possível duplicidade",IF(V348=0,"Destinador fora do cadastro",IF(AND(J348="Sim",N(P348)=0),"Necessita revisão de vínculos",IF(X348&gt;0,"Necessita revisão de vínculos",IF(J348="Sim","Conferido",IF(I348="Sim","Localizado, aguardando conferência","Cadastrado"))))))))</f>
        <v/>
      </c>
      <c r="R348" s="95" t="str">
        <f>IF(S348=0,"",COUNTIFS('VÍNCULOS_CDF'!$O$6:$O$1005,A348,'VÍNCULOS_CDF'!$AB$6:$AB$1005,1))</f>
        <v/>
      </c>
      <c r="S348" s="96">
        <f>IF(COUNTA(B348:N348)&gt;0,1,0)</f>
        <v>0</v>
      </c>
      <c r="T348" s="96" t="str">
        <f>IF(AND(S348=1,B348&lt;&gt;""),C348&amp;"|"&amp;TRIM(B348),"")</f>
        <v/>
      </c>
      <c r="U348" s="96">
        <f>IF(T348="",0,IF(SUMPRODUCT(--($T$6:$T$505=T348))&gt;1,1,0))</f>
        <v>0</v>
      </c>
      <c r="V348" s="96">
        <f>IF(F348="",0,IF(ISNUMBER(MATCH(F348,cmp_dest,0)),1,0))</f>
        <v>0</v>
      </c>
      <c r="W348" s="96">
        <f>IF(AND(S348=1,B348&lt;&gt;"",F348&lt;&gt;"",J348="Sim",U348=0),1,0)</f>
        <v>0</v>
      </c>
      <c r="X348" s="96">
        <f>IF(S348=0,0,COUNTIFS('VÍNCULOS_CDF'!$O$6:$O$1005,A348,'VÍNCULOS_CDF'!$Y$6:$Y$1005,1))</f>
        <v>0</v>
      </c>
      <c r="Y348" s="96" t="str">
        <f>IF(S348=1,A348&amp;" | CDF "&amp;IF(B348="","(sem número)",B348)&amp;" | "&amp;IF(F348="","(sem destinador)",F348),"")</f>
        <v/>
      </c>
      <c r="Z348" s="96" t="str">
        <f>IF(S348=1,COUNTIF($S$6:S348,1),"")</f>
        <v/>
      </c>
      <c r="AA348" s="96">
        <f>IF(S348=0,0,IF(AND(OR(r_ini="",AND(ISNUMBER(D348),D348&gt;=r_ini)),OR(r_fim="",AND(ISNUMBER(D348),D348&lt;=r_fim)),OR(r_de="",r_de="(Todos)",F348=r_de)),1,0))</f>
        <v>0</v>
      </c>
      <c r="AB348" s="96" t="str">
        <f>IF(AA348=1,IF(F348="",0,COUNTIF($F$6:$F$505,"&lt;"&amp;F348))*1000+343,"")</f>
        <v/>
      </c>
    </row>
    <row r="349">
      <c r="A349" s="89" t="inlineStr">
        <is>
          <t>CDF-000344</t>
        </is>
      </c>
      <c r="B349" s="90" t="n"/>
      <c r="C349" s="91" t="n"/>
      <c r="D349" s="92" t="n"/>
      <c r="E349" s="91" t="n"/>
      <c r="F349" s="91" t="n"/>
      <c r="G349" s="91" t="n"/>
      <c r="H349" s="91" t="n"/>
      <c r="I349" s="91" t="n"/>
      <c r="J349" s="91" t="n"/>
      <c r="K349" s="92" t="n"/>
      <c r="L349" s="91" t="n"/>
      <c r="M349" s="91" t="n"/>
      <c r="N349" s="91" t="n"/>
      <c r="O349" s="93" t="str">
        <f>IF(S349=0,"",SUMIFS('VÍNCULOS_CDF'!$H$6:$H$1005,'VÍNCULOS_CDF'!$O$6:$O$1005,A349,'VÍNCULOS_CDF'!$V$6:$V$1005,1))</f>
        <v/>
      </c>
      <c r="P349" s="95" t="str">
        <f>IF(S349=0,"",COUNTIFS('VÍNCULOS_CDF'!$O$6:$O$1005,A349,'VÍNCULOS_CDF'!$N$6:$N$1005,1))</f>
        <v/>
      </c>
      <c r="Q349" s="94" t="str">
        <f>IF(S349=0,"",IF(OR(B349="",F349=""),"Informações incompletas",IF(U349=1,"Possível duplicidade",IF(V349=0,"Destinador fora do cadastro",IF(AND(J349="Sim",N(P349)=0),"Necessita revisão de vínculos",IF(X349&gt;0,"Necessita revisão de vínculos",IF(J349="Sim","Conferido",IF(I349="Sim","Localizado, aguardando conferência","Cadastrado"))))))))</f>
        <v/>
      </c>
      <c r="R349" s="95" t="str">
        <f>IF(S349=0,"",COUNTIFS('VÍNCULOS_CDF'!$O$6:$O$1005,A349,'VÍNCULOS_CDF'!$AB$6:$AB$1005,1))</f>
        <v/>
      </c>
      <c r="S349" s="96">
        <f>IF(COUNTA(B349:N349)&gt;0,1,0)</f>
        <v>0</v>
      </c>
      <c r="T349" s="96" t="str">
        <f>IF(AND(S349=1,B349&lt;&gt;""),C349&amp;"|"&amp;TRIM(B349),"")</f>
        <v/>
      </c>
      <c r="U349" s="96">
        <f>IF(T349="",0,IF(SUMPRODUCT(--($T$6:$T$505=T349))&gt;1,1,0))</f>
        <v>0</v>
      </c>
      <c r="V349" s="96">
        <f>IF(F349="",0,IF(ISNUMBER(MATCH(F349,cmp_dest,0)),1,0))</f>
        <v>0</v>
      </c>
      <c r="W349" s="96">
        <f>IF(AND(S349=1,B349&lt;&gt;"",F349&lt;&gt;"",J349="Sim",U349=0),1,0)</f>
        <v>0</v>
      </c>
      <c r="X349" s="96">
        <f>IF(S349=0,0,COUNTIFS('VÍNCULOS_CDF'!$O$6:$O$1005,A349,'VÍNCULOS_CDF'!$Y$6:$Y$1005,1))</f>
        <v>0</v>
      </c>
      <c r="Y349" s="96" t="str">
        <f>IF(S349=1,A349&amp;" | CDF "&amp;IF(B349="","(sem número)",B349)&amp;" | "&amp;IF(F349="","(sem destinador)",F349),"")</f>
        <v/>
      </c>
      <c r="Z349" s="96" t="str">
        <f>IF(S349=1,COUNTIF($S$6:S349,1),"")</f>
        <v/>
      </c>
      <c r="AA349" s="96">
        <f>IF(S349=0,0,IF(AND(OR(r_ini="",AND(ISNUMBER(D349),D349&gt;=r_ini)),OR(r_fim="",AND(ISNUMBER(D349),D349&lt;=r_fim)),OR(r_de="",r_de="(Todos)",F349=r_de)),1,0))</f>
        <v>0</v>
      </c>
      <c r="AB349" s="96" t="str">
        <f>IF(AA349=1,IF(F349="",0,COUNTIF($F$6:$F$505,"&lt;"&amp;F349))*1000+344,"")</f>
        <v/>
      </c>
    </row>
    <row r="350">
      <c r="A350" s="89" t="inlineStr">
        <is>
          <t>CDF-000345</t>
        </is>
      </c>
      <c r="B350" s="90" t="n"/>
      <c r="C350" s="91" t="n"/>
      <c r="D350" s="92" t="n"/>
      <c r="E350" s="91" t="n"/>
      <c r="F350" s="91" t="n"/>
      <c r="G350" s="91" t="n"/>
      <c r="H350" s="91" t="n"/>
      <c r="I350" s="91" t="n"/>
      <c r="J350" s="91" t="n"/>
      <c r="K350" s="92" t="n"/>
      <c r="L350" s="91" t="n"/>
      <c r="M350" s="91" t="n"/>
      <c r="N350" s="91" t="n"/>
      <c r="O350" s="93" t="str">
        <f>IF(S350=0,"",SUMIFS('VÍNCULOS_CDF'!$H$6:$H$1005,'VÍNCULOS_CDF'!$O$6:$O$1005,A350,'VÍNCULOS_CDF'!$V$6:$V$1005,1))</f>
        <v/>
      </c>
      <c r="P350" s="95" t="str">
        <f>IF(S350=0,"",COUNTIFS('VÍNCULOS_CDF'!$O$6:$O$1005,A350,'VÍNCULOS_CDF'!$N$6:$N$1005,1))</f>
        <v/>
      </c>
      <c r="Q350" s="94" t="str">
        <f>IF(S350=0,"",IF(OR(B350="",F350=""),"Informações incompletas",IF(U350=1,"Possível duplicidade",IF(V350=0,"Destinador fora do cadastro",IF(AND(J350="Sim",N(P350)=0),"Necessita revisão de vínculos",IF(X350&gt;0,"Necessita revisão de vínculos",IF(J350="Sim","Conferido",IF(I350="Sim","Localizado, aguardando conferência","Cadastrado"))))))))</f>
        <v/>
      </c>
      <c r="R350" s="95" t="str">
        <f>IF(S350=0,"",COUNTIFS('VÍNCULOS_CDF'!$O$6:$O$1005,A350,'VÍNCULOS_CDF'!$AB$6:$AB$1005,1))</f>
        <v/>
      </c>
      <c r="S350" s="96">
        <f>IF(COUNTA(B350:N350)&gt;0,1,0)</f>
        <v>0</v>
      </c>
      <c r="T350" s="96" t="str">
        <f>IF(AND(S350=1,B350&lt;&gt;""),C350&amp;"|"&amp;TRIM(B350),"")</f>
        <v/>
      </c>
      <c r="U350" s="96">
        <f>IF(T350="",0,IF(SUMPRODUCT(--($T$6:$T$505=T350))&gt;1,1,0))</f>
        <v>0</v>
      </c>
      <c r="V350" s="96">
        <f>IF(F350="",0,IF(ISNUMBER(MATCH(F350,cmp_dest,0)),1,0))</f>
        <v>0</v>
      </c>
      <c r="W350" s="96">
        <f>IF(AND(S350=1,B350&lt;&gt;"",F350&lt;&gt;"",J350="Sim",U350=0),1,0)</f>
        <v>0</v>
      </c>
      <c r="X350" s="96">
        <f>IF(S350=0,0,COUNTIFS('VÍNCULOS_CDF'!$O$6:$O$1005,A350,'VÍNCULOS_CDF'!$Y$6:$Y$1005,1))</f>
        <v>0</v>
      </c>
      <c r="Y350" s="96" t="str">
        <f>IF(S350=1,A350&amp;" | CDF "&amp;IF(B350="","(sem número)",B350)&amp;" | "&amp;IF(F350="","(sem destinador)",F350),"")</f>
        <v/>
      </c>
      <c r="Z350" s="96" t="str">
        <f>IF(S350=1,COUNTIF($S$6:S350,1),"")</f>
        <v/>
      </c>
      <c r="AA350" s="96">
        <f>IF(S350=0,0,IF(AND(OR(r_ini="",AND(ISNUMBER(D350),D350&gt;=r_ini)),OR(r_fim="",AND(ISNUMBER(D350),D350&lt;=r_fim)),OR(r_de="",r_de="(Todos)",F350=r_de)),1,0))</f>
        <v>0</v>
      </c>
      <c r="AB350" s="96" t="str">
        <f>IF(AA350=1,IF(F350="",0,COUNTIF($F$6:$F$505,"&lt;"&amp;F350))*1000+345,"")</f>
        <v/>
      </c>
    </row>
    <row r="351">
      <c r="A351" s="89" t="inlineStr">
        <is>
          <t>CDF-000346</t>
        </is>
      </c>
      <c r="B351" s="90" t="n"/>
      <c r="C351" s="91" t="n"/>
      <c r="D351" s="92" t="n"/>
      <c r="E351" s="91" t="n"/>
      <c r="F351" s="91" t="n"/>
      <c r="G351" s="91" t="n"/>
      <c r="H351" s="91" t="n"/>
      <c r="I351" s="91" t="n"/>
      <c r="J351" s="91" t="n"/>
      <c r="K351" s="92" t="n"/>
      <c r="L351" s="91" t="n"/>
      <c r="M351" s="91" t="n"/>
      <c r="N351" s="91" t="n"/>
      <c r="O351" s="93" t="str">
        <f>IF(S351=0,"",SUMIFS('VÍNCULOS_CDF'!$H$6:$H$1005,'VÍNCULOS_CDF'!$O$6:$O$1005,A351,'VÍNCULOS_CDF'!$V$6:$V$1005,1))</f>
        <v/>
      </c>
      <c r="P351" s="95" t="str">
        <f>IF(S351=0,"",COUNTIFS('VÍNCULOS_CDF'!$O$6:$O$1005,A351,'VÍNCULOS_CDF'!$N$6:$N$1005,1))</f>
        <v/>
      </c>
      <c r="Q351" s="94" t="str">
        <f>IF(S351=0,"",IF(OR(B351="",F351=""),"Informações incompletas",IF(U351=1,"Possível duplicidade",IF(V351=0,"Destinador fora do cadastro",IF(AND(J351="Sim",N(P351)=0),"Necessita revisão de vínculos",IF(X351&gt;0,"Necessita revisão de vínculos",IF(J351="Sim","Conferido",IF(I351="Sim","Localizado, aguardando conferência","Cadastrado"))))))))</f>
        <v/>
      </c>
      <c r="R351" s="95" t="str">
        <f>IF(S351=0,"",COUNTIFS('VÍNCULOS_CDF'!$O$6:$O$1005,A351,'VÍNCULOS_CDF'!$AB$6:$AB$1005,1))</f>
        <v/>
      </c>
      <c r="S351" s="96">
        <f>IF(COUNTA(B351:N351)&gt;0,1,0)</f>
        <v>0</v>
      </c>
      <c r="T351" s="96" t="str">
        <f>IF(AND(S351=1,B351&lt;&gt;""),C351&amp;"|"&amp;TRIM(B351),"")</f>
        <v/>
      </c>
      <c r="U351" s="96">
        <f>IF(T351="",0,IF(SUMPRODUCT(--($T$6:$T$505=T351))&gt;1,1,0))</f>
        <v>0</v>
      </c>
      <c r="V351" s="96">
        <f>IF(F351="",0,IF(ISNUMBER(MATCH(F351,cmp_dest,0)),1,0))</f>
        <v>0</v>
      </c>
      <c r="W351" s="96">
        <f>IF(AND(S351=1,B351&lt;&gt;"",F351&lt;&gt;"",J351="Sim",U351=0),1,0)</f>
        <v>0</v>
      </c>
      <c r="X351" s="96">
        <f>IF(S351=0,0,COUNTIFS('VÍNCULOS_CDF'!$O$6:$O$1005,A351,'VÍNCULOS_CDF'!$Y$6:$Y$1005,1))</f>
        <v>0</v>
      </c>
      <c r="Y351" s="96" t="str">
        <f>IF(S351=1,A351&amp;" | CDF "&amp;IF(B351="","(sem número)",B351)&amp;" | "&amp;IF(F351="","(sem destinador)",F351),"")</f>
        <v/>
      </c>
      <c r="Z351" s="96" t="str">
        <f>IF(S351=1,COUNTIF($S$6:S351,1),"")</f>
        <v/>
      </c>
      <c r="AA351" s="96">
        <f>IF(S351=0,0,IF(AND(OR(r_ini="",AND(ISNUMBER(D351),D351&gt;=r_ini)),OR(r_fim="",AND(ISNUMBER(D351),D351&lt;=r_fim)),OR(r_de="",r_de="(Todos)",F351=r_de)),1,0))</f>
        <v>0</v>
      </c>
      <c r="AB351" s="96" t="str">
        <f>IF(AA351=1,IF(F351="",0,COUNTIF($F$6:$F$505,"&lt;"&amp;F351))*1000+346,"")</f>
        <v/>
      </c>
    </row>
    <row r="352">
      <c r="A352" s="89" t="inlineStr">
        <is>
          <t>CDF-000347</t>
        </is>
      </c>
      <c r="B352" s="90" t="n"/>
      <c r="C352" s="91" t="n"/>
      <c r="D352" s="92" t="n"/>
      <c r="E352" s="91" t="n"/>
      <c r="F352" s="91" t="n"/>
      <c r="G352" s="91" t="n"/>
      <c r="H352" s="91" t="n"/>
      <c r="I352" s="91" t="n"/>
      <c r="J352" s="91" t="n"/>
      <c r="K352" s="92" t="n"/>
      <c r="L352" s="91" t="n"/>
      <c r="M352" s="91" t="n"/>
      <c r="N352" s="91" t="n"/>
      <c r="O352" s="93" t="str">
        <f>IF(S352=0,"",SUMIFS('VÍNCULOS_CDF'!$H$6:$H$1005,'VÍNCULOS_CDF'!$O$6:$O$1005,A352,'VÍNCULOS_CDF'!$V$6:$V$1005,1))</f>
        <v/>
      </c>
      <c r="P352" s="95" t="str">
        <f>IF(S352=0,"",COUNTIFS('VÍNCULOS_CDF'!$O$6:$O$1005,A352,'VÍNCULOS_CDF'!$N$6:$N$1005,1))</f>
        <v/>
      </c>
      <c r="Q352" s="94" t="str">
        <f>IF(S352=0,"",IF(OR(B352="",F352=""),"Informações incompletas",IF(U352=1,"Possível duplicidade",IF(V352=0,"Destinador fora do cadastro",IF(AND(J352="Sim",N(P352)=0),"Necessita revisão de vínculos",IF(X352&gt;0,"Necessita revisão de vínculos",IF(J352="Sim","Conferido",IF(I352="Sim","Localizado, aguardando conferência","Cadastrado"))))))))</f>
        <v/>
      </c>
      <c r="R352" s="95" t="str">
        <f>IF(S352=0,"",COUNTIFS('VÍNCULOS_CDF'!$O$6:$O$1005,A352,'VÍNCULOS_CDF'!$AB$6:$AB$1005,1))</f>
        <v/>
      </c>
      <c r="S352" s="96">
        <f>IF(COUNTA(B352:N352)&gt;0,1,0)</f>
        <v>0</v>
      </c>
      <c r="T352" s="96" t="str">
        <f>IF(AND(S352=1,B352&lt;&gt;""),C352&amp;"|"&amp;TRIM(B352),"")</f>
        <v/>
      </c>
      <c r="U352" s="96">
        <f>IF(T352="",0,IF(SUMPRODUCT(--($T$6:$T$505=T352))&gt;1,1,0))</f>
        <v>0</v>
      </c>
      <c r="V352" s="96">
        <f>IF(F352="",0,IF(ISNUMBER(MATCH(F352,cmp_dest,0)),1,0))</f>
        <v>0</v>
      </c>
      <c r="W352" s="96">
        <f>IF(AND(S352=1,B352&lt;&gt;"",F352&lt;&gt;"",J352="Sim",U352=0),1,0)</f>
        <v>0</v>
      </c>
      <c r="X352" s="96">
        <f>IF(S352=0,0,COUNTIFS('VÍNCULOS_CDF'!$O$6:$O$1005,A352,'VÍNCULOS_CDF'!$Y$6:$Y$1005,1))</f>
        <v>0</v>
      </c>
      <c r="Y352" s="96" t="str">
        <f>IF(S352=1,A352&amp;" | CDF "&amp;IF(B352="","(sem número)",B352)&amp;" | "&amp;IF(F352="","(sem destinador)",F352),"")</f>
        <v/>
      </c>
      <c r="Z352" s="96" t="str">
        <f>IF(S352=1,COUNTIF($S$6:S352,1),"")</f>
        <v/>
      </c>
      <c r="AA352" s="96">
        <f>IF(S352=0,0,IF(AND(OR(r_ini="",AND(ISNUMBER(D352),D352&gt;=r_ini)),OR(r_fim="",AND(ISNUMBER(D352),D352&lt;=r_fim)),OR(r_de="",r_de="(Todos)",F352=r_de)),1,0))</f>
        <v>0</v>
      </c>
      <c r="AB352" s="96" t="str">
        <f>IF(AA352=1,IF(F352="",0,COUNTIF($F$6:$F$505,"&lt;"&amp;F352))*1000+347,"")</f>
        <v/>
      </c>
    </row>
    <row r="353">
      <c r="A353" s="89" t="inlineStr">
        <is>
          <t>CDF-000348</t>
        </is>
      </c>
      <c r="B353" s="90" t="n"/>
      <c r="C353" s="91" t="n"/>
      <c r="D353" s="92" t="n"/>
      <c r="E353" s="91" t="n"/>
      <c r="F353" s="91" t="n"/>
      <c r="G353" s="91" t="n"/>
      <c r="H353" s="91" t="n"/>
      <c r="I353" s="91" t="n"/>
      <c r="J353" s="91" t="n"/>
      <c r="K353" s="92" t="n"/>
      <c r="L353" s="91" t="n"/>
      <c r="M353" s="91" t="n"/>
      <c r="N353" s="91" t="n"/>
      <c r="O353" s="93" t="str">
        <f>IF(S353=0,"",SUMIFS('VÍNCULOS_CDF'!$H$6:$H$1005,'VÍNCULOS_CDF'!$O$6:$O$1005,A353,'VÍNCULOS_CDF'!$V$6:$V$1005,1))</f>
        <v/>
      </c>
      <c r="P353" s="95" t="str">
        <f>IF(S353=0,"",COUNTIFS('VÍNCULOS_CDF'!$O$6:$O$1005,A353,'VÍNCULOS_CDF'!$N$6:$N$1005,1))</f>
        <v/>
      </c>
      <c r="Q353" s="94" t="str">
        <f>IF(S353=0,"",IF(OR(B353="",F353=""),"Informações incompletas",IF(U353=1,"Possível duplicidade",IF(V353=0,"Destinador fora do cadastro",IF(AND(J353="Sim",N(P353)=0),"Necessita revisão de vínculos",IF(X353&gt;0,"Necessita revisão de vínculos",IF(J353="Sim","Conferido",IF(I353="Sim","Localizado, aguardando conferência","Cadastrado"))))))))</f>
        <v/>
      </c>
      <c r="R353" s="95" t="str">
        <f>IF(S353=0,"",COUNTIFS('VÍNCULOS_CDF'!$O$6:$O$1005,A353,'VÍNCULOS_CDF'!$AB$6:$AB$1005,1))</f>
        <v/>
      </c>
      <c r="S353" s="96">
        <f>IF(COUNTA(B353:N353)&gt;0,1,0)</f>
        <v>0</v>
      </c>
      <c r="T353" s="96" t="str">
        <f>IF(AND(S353=1,B353&lt;&gt;""),C353&amp;"|"&amp;TRIM(B353),"")</f>
        <v/>
      </c>
      <c r="U353" s="96">
        <f>IF(T353="",0,IF(SUMPRODUCT(--($T$6:$T$505=T353))&gt;1,1,0))</f>
        <v>0</v>
      </c>
      <c r="V353" s="96">
        <f>IF(F353="",0,IF(ISNUMBER(MATCH(F353,cmp_dest,0)),1,0))</f>
        <v>0</v>
      </c>
      <c r="W353" s="96">
        <f>IF(AND(S353=1,B353&lt;&gt;"",F353&lt;&gt;"",J353="Sim",U353=0),1,0)</f>
        <v>0</v>
      </c>
      <c r="X353" s="96">
        <f>IF(S353=0,0,COUNTIFS('VÍNCULOS_CDF'!$O$6:$O$1005,A353,'VÍNCULOS_CDF'!$Y$6:$Y$1005,1))</f>
        <v>0</v>
      </c>
      <c r="Y353" s="96" t="str">
        <f>IF(S353=1,A353&amp;" | CDF "&amp;IF(B353="","(sem número)",B353)&amp;" | "&amp;IF(F353="","(sem destinador)",F353),"")</f>
        <v/>
      </c>
      <c r="Z353" s="96" t="str">
        <f>IF(S353=1,COUNTIF($S$6:S353,1),"")</f>
        <v/>
      </c>
      <c r="AA353" s="96">
        <f>IF(S353=0,0,IF(AND(OR(r_ini="",AND(ISNUMBER(D353),D353&gt;=r_ini)),OR(r_fim="",AND(ISNUMBER(D353),D353&lt;=r_fim)),OR(r_de="",r_de="(Todos)",F353=r_de)),1,0))</f>
        <v>0</v>
      </c>
      <c r="AB353" s="96" t="str">
        <f>IF(AA353=1,IF(F353="",0,COUNTIF($F$6:$F$505,"&lt;"&amp;F353))*1000+348,"")</f>
        <v/>
      </c>
    </row>
    <row r="354">
      <c r="A354" s="89" t="inlineStr">
        <is>
          <t>CDF-000349</t>
        </is>
      </c>
      <c r="B354" s="90" t="n"/>
      <c r="C354" s="91" t="n"/>
      <c r="D354" s="92" t="n"/>
      <c r="E354" s="91" t="n"/>
      <c r="F354" s="91" t="n"/>
      <c r="G354" s="91" t="n"/>
      <c r="H354" s="91" t="n"/>
      <c r="I354" s="91" t="n"/>
      <c r="J354" s="91" t="n"/>
      <c r="K354" s="92" t="n"/>
      <c r="L354" s="91" t="n"/>
      <c r="M354" s="91" t="n"/>
      <c r="N354" s="91" t="n"/>
      <c r="O354" s="93" t="str">
        <f>IF(S354=0,"",SUMIFS('VÍNCULOS_CDF'!$H$6:$H$1005,'VÍNCULOS_CDF'!$O$6:$O$1005,A354,'VÍNCULOS_CDF'!$V$6:$V$1005,1))</f>
        <v/>
      </c>
      <c r="P354" s="95" t="str">
        <f>IF(S354=0,"",COUNTIFS('VÍNCULOS_CDF'!$O$6:$O$1005,A354,'VÍNCULOS_CDF'!$N$6:$N$1005,1))</f>
        <v/>
      </c>
      <c r="Q354" s="94" t="str">
        <f>IF(S354=0,"",IF(OR(B354="",F354=""),"Informações incompletas",IF(U354=1,"Possível duplicidade",IF(V354=0,"Destinador fora do cadastro",IF(AND(J354="Sim",N(P354)=0),"Necessita revisão de vínculos",IF(X354&gt;0,"Necessita revisão de vínculos",IF(J354="Sim","Conferido",IF(I354="Sim","Localizado, aguardando conferência","Cadastrado"))))))))</f>
        <v/>
      </c>
      <c r="R354" s="95" t="str">
        <f>IF(S354=0,"",COUNTIFS('VÍNCULOS_CDF'!$O$6:$O$1005,A354,'VÍNCULOS_CDF'!$AB$6:$AB$1005,1))</f>
        <v/>
      </c>
      <c r="S354" s="96">
        <f>IF(COUNTA(B354:N354)&gt;0,1,0)</f>
        <v>0</v>
      </c>
      <c r="T354" s="96" t="str">
        <f>IF(AND(S354=1,B354&lt;&gt;""),C354&amp;"|"&amp;TRIM(B354),"")</f>
        <v/>
      </c>
      <c r="U354" s="96">
        <f>IF(T354="",0,IF(SUMPRODUCT(--($T$6:$T$505=T354))&gt;1,1,0))</f>
        <v>0</v>
      </c>
      <c r="V354" s="96">
        <f>IF(F354="",0,IF(ISNUMBER(MATCH(F354,cmp_dest,0)),1,0))</f>
        <v>0</v>
      </c>
      <c r="W354" s="96">
        <f>IF(AND(S354=1,B354&lt;&gt;"",F354&lt;&gt;"",J354="Sim",U354=0),1,0)</f>
        <v>0</v>
      </c>
      <c r="X354" s="96">
        <f>IF(S354=0,0,COUNTIFS('VÍNCULOS_CDF'!$O$6:$O$1005,A354,'VÍNCULOS_CDF'!$Y$6:$Y$1005,1))</f>
        <v>0</v>
      </c>
      <c r="Y354" s="96" t="str">
        <f>IF(S354=1,A354&amp;" | CDF "&amp;IF(B354="","(sem número)",B354)&amp;" | "&amp;IF(F354="","(sem destinador)",F354),"")</f>
        <v/>
      </c>
      <c r="Z354" s="96" t="str">
        <f>IF(S354=1,COUNTIF($S$6:S354,1),"")</f>
        <v/>
      </c>
      <c r="AA354" s="96">
        <f>IF(S354=0,0,IF(AND(OR(r_ini="",AND(ISNUMBER(D354),D354&gt;=r_ini)),OR(r_fim="",AND(ISNUMBER(D354),D354&lt;=r_fim)),OR(r_de="",r_de="(Todos)",F354=r_de)),1,0))</f>
        <v>0</v>
      </c>
      <c r="AB354" s="96" t="str">
        <f>IF(AA354=1,IF(F354="",0,COUNTIF($F$6:$F$505,"&lt;"&amp;F354))*1000+349,"")</f>
        <v/>
      </c>
    </row>
    <row r="355">
      <c r="A355" s="89" t="inlineStr">
        <is>
          <t>CDF-000350</t>
        </is>
      </c>
      <c r="B355" s="90" t="n"/>
      <c r="C355" s="91" t="n"/>
      <c r="D355" s="92" t="n"/>
      <c r="E355" s="91" t="n"/>
      <c r="F355" s="91" t="n"/>
      <c r="G355" s="91" t="n"/>
      <c r="H355" s="91" t="n"/>
      <c r="I355" s="91" t="n"/>
      <c r="J355" s="91" t="n"/>
      <c r="K355" s="92" t="n"/>
      <c r="L355" s="91" t="n"/>
      <c r="M355" s="91" t="n"/>
      <c r="N355" s="91" t="n"/>
      <c r="O355" s="93" t="str">
        <f>IF(S355=0,"",SUMIFS('VÍNCULOS_CDF'!$H$6:$H$1005,'VÍNCULOS_CDF'!$O$6:$O$1005,A355,'VÍNCULOS_CDF'!$V$6:$V$1005,1))</f>
        <v/>
      </c>
      <c r="P355" s="95" t="str">
        <f>IF(S355=0,"",COUNTIFS('VÍNCULOS_CDF'!$O$6:$O$1005,A355,'VÍNCULOS_CDF'!$N$6:$N$1005,1))</f>
        <v/>
      </c>
      <c r="Q355" s="94" t="str">
        <f>IF(S355=0,"",IF(OR(B355="",F355=""),"Informações incompletas",IF(U355=1,"Possível duplicidade",IF(V355=0,"Destinador fora do cadastro",IF(AND(J355="Sim",N(P355)=0),"Necessita revisão de vínculos",IF(X355&gt;0,"Necessita revisão de vínculos",IF(J355="Sim","Conferido",IF(I355="Sim","Localizado, aguardando conferência","Cadastrado"))))))))</f>
        <v/>
      </c>
      <c r="R355" s="95" t="str">
        <f>IF(S355=0,"",COUNTIFS('VÍNCULOS_CDF'!$O$6:$O$1005,A355,'VÍNCULOS_CDF'!$AB$6:$AB$1005,1))</f>
        <v/>
      </c>
      <c r="S355" s="96">
        <f>IF(COUNTA(B355:N355)&gt;0,1,0)</f>
        <v>0</v>
      </c>
      <c r="T355" s="96" t="str">
        <f>IF(AND(S355=1,B355&lt;&gt;""),C355&amp;"|"&amp;TRIM(B355),"")</f>
        <v/>
      </c>
      <c r="U355" s="96">
        <f>IF(T355="",0,IF(SUMPRODUCT(--($T$6:$T$505=T355))&gt;1,1,0))</f>
        <v>0</v>
      </c>
      <c r="V355" s="96">
        <f>IF(F355="",0,IF(ISNUMBER(MATCH(F355,cmp_dest,0)),1,0))</f>
        <v>0</v>
      </c>
      <c r="W355" s="96">
        <f>IF(AND(S355=1,B355&lt;&gt;"",F355&lt;&gt;"",J355="Sim",U355=0),1,0)</f>
        <v>0</v>
      </c>
      <c r="X355" s="96">
        <f>IF(S355=0,0,COUNTIFS('VÍNCULOS_CDF'!$O$6:$O$1005,A355,'VÍNCULOS_CDF'!$Y$6:$Y$1005,1))</f>
        <v>0</v>
      </c>
      <c r="Y355" s="96" t="str">
        <f>IF(S355=1,A355&amp;" | CDF "&amp;IF(B355="","(sem número)",B355)&amp;" | "&amp;IF(F355="","(sem destinador)",F355),"")</f>
        <v/>
      </c>
      <c r="Z355" s="96" t="str">
        <f>IF(S355=1,COUNTIF($S$6:S355,1),"")</f>
        <v/>
      </c>
      <c r="AA355" s="96">
        <f>IF(S355=0,0,IF(AND(OR(r_ini="",AND(ISNUMBER(D355),D355&gt;=r_ini)),OR(r_fim="",AND(ISNUMBER(D355),D355&lt;=r_fim)),OR(r_de="",r_de="(Todos)",F355=r_de)),1,0))</f>
        <v>0</v>
      </c>
      <c r="AB355" s="96" t="str">
        <f>IF(AA355=1,IF(F355="",0,COUNTIF($F$6:$F$505,"&lt;"&amp;F355))*1000+350,"")</f>
        <v/>
      </c>
    </row>
    <row r="356">
      <c r="A356" s="89" t="inlineStr">
        <is>
          <t>CDF-000351</t>
        </is>
      </c>
      <c r="B356" s="90" t="n"/>
      <c r="C356" s="91" t="n"/>
      <c r="D356" s="92" t="n"/>
      <c r="E356" s="91" t="n"/>
      <c r="F356" s="91" t="n"/>
      <c r="G356" s="91" t="n"/>
      <c r="H356" s="91" t="n"/>
      <c r="I356" s="91" t="n"/>
      <c r="J356" s="91" t="n"/>
      <c r="K356" s="92" t="n"/>
      <c r="L356" s="91" t="n"/>
      <c r="M356" s="91" t="n"/>
      <c r="N356" s="91" t="n"/>
      <c r="O356" s="93" t="str">
        <f>IF(S356=0,"",SUMIFS('VÍNCULOS_CDF'!$H$6:$H$1005,'VÍNCULOS_CDF'!$O$6:$O$1005,A356,'VÍNCULOS_CDF'!$V$6:$V$1005,1))</f>
        <v/>
      </c>
      <c r="P356" s="95" t="str">
        <f>IF(S356=0,"",COUNTIFS('VÍNCULOS_CDF'!$O$6:$O$1005,A356,'VÍNCULOS_CDF'!$N$6:$N$1005,1))</f>
        <v/>
      </c>
      <c r="Q356" s="94" t="str">
        <f>IF(S356=0,"",IF(OR(B356="",F356=""),"Informações incompletas",IF(U356=1,"Possível duplicidade",IF(V356=0,"Destinador fora do cadastro",IF(AND(J356="Sim",N(P356)=0),"Necessita revisão de vínculos",IF(X356&gt;0,"Necessita revisão de vínculos",IF(J356="Sim","Conferido",IF(I356="Sim","Localizado, aguardando conferência","Cadastrado"))))))))</f>
        <v/>
      </c>
      <c r="R356" s="95" t="str">
        <f>IF(S356=0,"",COUNTIFS('VÍNCULOS_CDF'!$O$6:$O$1005,A356,'VÍNCULOS_CDF'!$AB$6:$AB$1005,1))</f>
        <v/>
      </c>
      <c r="S356" s="96">
        <f>IF(COUNTA(B356:N356)&gt;0,1,0)</f>
        <v>0</v>
      </c>
      <c r="T356" s="96" t="str">
        <f>IF(AND(S356=1,B356&lt;&gt;""),C356&amp;"|"&amp;TRIM(B356),"")</f>
        <v/>
      </c>
      <c r="U356" s="96">
        <f>IF(T356="",0,IF(SUMPRODUCT(--($T$6:$T$505=T356))&gt;1,1,0))</f>
        <v>0</v>
      </c>
      <c r="V356" s="96">
        <f>IF(F356="",0,IF(ISNUMBER(MATCH(F356,cmp_dest,0)),1,0))</f>
        <v>0</v>
      </c>
      <c r="W356" s="96">
        <f>IF(AND(S356=1,B356&lt;&gt;"",F356&lt;&gt;"",J356="Sim",U356=0),1,0)</f>
        <v>0</v>
      </c>
      <c r="X356" s="96">
        <f>IF(S356=0,0,COUNTIFS('VÍNCULOS_CDF'!$O$6:$O$1005,A356,'VÍNCULOS_CDF'!$Y$6:$Y$1005,1))</f>
        <v>0</v>
      </c>
      <c r="Y356" s="96" t="str">
        <f>IF(S356=1,A356&amp;" | CDF "&amp;IF(B356="","(sem número)",B356)&amp;" | "&amp;IF(F356="","(sem destinador)",F356),"")</f>
        <v/>
      </c>
      <c r="Z356" s="96" t="str">
        <f>IF(S356=1,COUNTIF($S$6:S356,1),"")</f>
        <v/>
      </c>
      <c r="AA356" s="96">
        <f>IF(S356=0,0,IF(AND(OR(r_ini="",AND(ISNUMBER(D356),D356&gt;=r_ini)),OR(r_fim="",AND(ISNUMBER(D356),D356&lt;=r_fim)),OR(r_de="",r_de="(Todos)",F356=r_de)),1,0))</f>
        <v>0</v>
      </c>
      <c r="AB356" s="96" t="str">
        <f>IF(AA356=1,IF(F356="",0,COUNTIF($F$6:$F$505,"&lt;"&amp;F356))*1000+351,"")</f>
        <v/>
      </c>
    </row>
    <row r="357">
      <c r="A357" s="89" t="inlineStr">
        <is>
          <t>CDF-000352</t>
        </is>
      </c>
      <c r="B357" s="90" t="n"/>
      <c r="C357" s="91" t="n"/>
      <c r="D357" s="92" t="n"/>
      <c r="E357" s="91" t="n"/>
      <c r="F357" s="91" t="n"/>
      <c r="G357" s="91" t="n"/>
      <c r="H357" s="91" t="n"/>
      <c r="I357" s="91" t="n"/>
      <c r="J357" s="91" t="n"/>
      <c r="K357" s="92" t="n"/>
      <c r="L357" s="91" t="n"/>
      <c r="M357" s="91" t="n"/>
      <c r="N357" s="91" t="n"/>
      <c r="O357" s="93" t="str">
        <f>IF(S357=0,"",SUMIFS('VÍNCULOS_CDF'!$H$6:$H$1005,'VÍNCULOS_CDF'!$O$6:$O$1005,A357,'VÍNCULOS_CDF'!$V$6:$V$1005,1))</f>
        <v/>
      </c>
      <c r="P357" s="95" t="str">
        <f>IF(S357=0,"",COUNTIFS('VÍNCULOS_CDF'!$O$6:$O$1005,A357,'VÍNCULOS_CDF'!$N$6:$N$1005,1))</f>
        <v/>
      </c>
      <c r="Q357" s="94" t="str">
        <f>IF(S357=0,"",IF(OR(B357="",F357=""),"Informações incompletas",IF(U357=1,"Possível duplicidade",IF(V357=0,"Destinador fora do cadastro",IF(AND(J357="Sim",N(P357)=0),"Necessita revisão de vínculos",IF(X357&gt;0,"Necessita revisão de vínculos",IF(J357="Sim","Conferido",IF(I357="Sim","Localizado, aguardando conferência","Cadastrado"))))))))</f>
        <v/>
      </c>
      <c r="R357" s="95" t="str">
        <f>IF(S357=0,"",COUNTIFS('VÍNCULOS_CDF'!$O$6:$O$1005,A357,'VÍNCULOS_CDF'!$AB$6:$AB$1005,1))</f>
        <v/>
      </c>
      <c r="S357" s="96">
        <f>IF(COUNTA(B357:N357)&gt;0,1,0)</f>
        <v>0</v>
      </c>
      <c r="T357" s="96" t="str">
        <f>IF(AND(S357=1,B357&lt;&gt;""),C357&amp;"|"&amp;TRIM(B357),"")</f>
        <v/>
      </c>
      <c r="U357" s="96">
        <f>IF(T357="",0,IF(SUMPRODUCT(--($T$6:$T$505=T357))&gt;1,1,0))</f>
        <v>0</v>
      </c>
      <c r="V357" s="96">
        <f>IF(F357="",0,IF(ISNUMBER(MATCH(F357,cmp_dest,0)),1,0))</f>
        <v>0</v>
      </c>
      <c r="W357" s="96">
        <f>IF(AND(S357=1,B357&lt;&gt;"",F357&lt;&gt;"",J357="Sim",U357=0),1,0)</f>
        <v>0</v>
      </c>
      <c r="X357" s="96">
        <f>IF(S357=0,0,COUNTIFS('VÍNCULOS_CDF'!$O$6:$O$1005,A357,'VÍNCULOS_CDF'!$Y$6:$Y$1005,1))</f>
        <v>0</v>
      </c>
      <c r="Y357" s="96" t="str">
        <f>IF(S357=1,A357&amp;" | CDF "&amp;IF(B357="","(sem número)",B357)&amp;" | "&amp;IF(F357="","(sem destinador)",F357),"")</f>
        <v/>
      </c>
      <c r="Z357" s="96" t="str">
        <f>IF(S357=1,COUNTIF($S$6:S357,1),"")</f>
        <v/>
      </c>
      <c r="AA357" s="96">
        <f>IF(S357=0,0,IF(AND(OR(r_ini="",AND(ISNUMBER(D357),D357&gt;=r_ini)),OR(r_fim="",AND(ISNUMBER(D357),D357&lt;=r_fim)),OR(r_de="",r_de="(Todos)",F357=r_de)),1,0))</f>
        <v>0</v>
      </c>
      <c r="AB357" s="96" t="str">
        <f>IF(AA357=1,IF(F357="",0,COUNTIF($F$6:$F$505,"&lt;"&amp;F357))*1000+352,"")</f>
        <v/>
      </c>
    </row>
    <row r="358">
      <c r="A358" s="89" t="inlineStr">
        <is>
          <t>CDF-000353</t>
        </is>
      </c>
      <c r="B358" s="90" t="n"/>
      <c r="C358" s="91" t="n"/>
      <c r="D358" s="92" t="n"/>
      <c r="E358" s="91" t="n"/>
      <c r="F358" s="91" t="n"/>
      <c r="G358" s="91" t="n"/>
      <c r="H358" s="91" t="n"/>
      <c r="I358" s="91" t="n"/>
      <c r="J358" s="91" t="n"/>
      <c r="K358" s="92" t="n"/>
      <c r="L358" s="91" t="n"/>
      <c r="M358" s="91" t="n"/>
      <c r="N358" s="91" t="n"/>
      <c r="O358" s="93" t="str">
        <f>IF(S358=0,"",SUMIFS('VÍNCULOS_CDF'!$H$6:$H$1005,'VÍNCULOS_CDF'!$O$6:$O$1005,A358,'VÍNCULOS_CDF'!$V$6:$V$1005,1))</f>
        <v/>
      </c>
      <c r="P358" s="95" t="str">
        <f>IF(S358=0,"",COUNTIFS('VÍNCULOS_CDF'!$O$6:$O$1005,A358,'VÍNCULOS_CDF'!$N$6:$N$1005,1))</f>
        <v/>
      </c>
      <c r="Q358" s="94" t="str">
        <f>IF(S358=0,"",IF(OR(B358="",F358=""),"Informações incompletas",IF(U358=1,"Possível duplicidade",IF(V358=0,"Destinador fora do cadastro",IF(AND(J358="Sim",N(P358)=0),"Necessita revisão de vínculos",IF(X358&gt;0,"Necessita revisão de vínculos",IF(J358="Sim","Conferido",IF(I358="Sim","Localizado, aguardando conferência","Cadastrado"))))))))</f>
        <v/>
      </c>
      <c r="R358" s="95" t="str">
        <f>IF(S358=0,"",COUNTIFS('VÍNCULOS_CDF'!$O$6:$O$1005,A358,'VÍNCULOS_CDF'!$AB$6:$AB$1005,1))</f>
        <v/>
      </c>
      <c r="S358" s="96">
        <f>IF(COUNTA(B358:N358)&gt;0,1,0)</f>
        <v>0</v>
      </c>
      <c r="T358" s="96" t="str">
        <f>IF(AND(S358=1,B358&lt;&gt;""),C358&amp;"|"&amp;TRIM(B358),"")</f>
        <v/>
      </c>
      <c r="U358" s="96">
        <f>IF(T358="",0,IF(SUMPRODUCT(--($T$6:$T$505=T358))&gt;1,1,0))</f>
        <v>0</v>
      </c>
      <c r="V358" s="96">
        <f>IF(F358="",0,IF(ISNUMBER(MATCH(F358,cmp_dest,0)),1,0))</f>
        <v>0</v>
      </c>
      <c r="W358" s="96">
        <f>IF(AND(S358=1,B358&lt;&gt;"",F358&lt;&gt;"",J358="Sim",U358=0),1,0)</f>
        <v>0</v>
      </c>
      <c r="X358" s="96">
        <f>IF(S358=0,0,COUNTIFS('VÍNCULOS_CDF'!$O$6:$O$1005,A358,'VÍNCULOS_CDF'!$Y$6:$Y$1005,1))</f>
        <v>0</v>
      </c>
      <c r="Y358" s="96" t="str">
        <f>IF(S358=1,A358&amp;" | CDF "&amp;IF(B358="","(sem número)",B358)&amp;" | "&amp;IF(F358="","(sem destinador)",F358),"")</f>
        <v/>
      </c>
      <c r="Z358" s="96" t="str">
        <f>IF(S358=1,COUNTIF($S$6:S358,1),"")</f>
        <v/>
      </c>
      <c r="AA358" s="96">
        <f>IF(S358=0,0,IF(AND(OR(r_ini="",AND(ISNUMBER(D358),D358&gt;=r_ini)),OR(r_fim="",AND(ISNUMBER(D358),D358&lt;=r_fim)),OR(r_de="",r_de="(Todos)",F358=r_de)),1,0))</f>
        <v>0</v>
      </c>
      <c r="AB358" s="96" t="str">
        <f>IF(AA358=1,IF(F358="",0,COUNTIF($F$6:$F$505,"&lt;"&amp;F358))*1000+353,"")</f>
        <v/>
      </c>
    </row>
    <row r="359">
      <c r="A359" s="89" t="inlineStr">
        <is>
          <t>CDF-000354</t>
        </is>
      </c>
      <c r="B359" s="90" t="n"/>
      <c r="C359" s="91" t="n"/>
      <c r="D359" s="92" t="n"/>
      <c r="E359" s="91" t="n"/>
      <c r="F359" s="91" t="n"/>
      <c r="G359" s="91" t="n"/>
      <c r="H359" s="91" t="n"/>
      <c r="I359" s="91" t="n"/>
      <c r="J359" s="91" t="n"/>
      <c r="K359" s="92" t="n"/>
      <c r="L359" s="91" t="n"/>
      <c r="M359" s="91" t="n"/>
      <c r="N359" s="91" t="n"/>
      <c r="O359" s="93" t="str">
        <f>IF(S359=0,"",SUMIFS('VÍNCULOS_CDF'!$H$6:$H$1005,'VÍNCULOS_CDF'!$O$6:$O$1005,A359,'VÍNCULOS_CDF'!$V$6:$V$1005,1))</f>
        <v/>
      </c>
      <c r="P359" s="95" t="str">
        <f>IF(S359=0,"",COUNTIFS('VÍNCULOS_CDF'!$O$6:$O$1005,A359,'VÍNCULOS_CDF'!$N$6:$N$1005,1))</f>
        <v/>
      </c>
      <c r="Q359" s="94" t="str">
        <f>IF(S359=0,"",IF(OR(B359="",F359=""),"Informações incompletas",IF(U359=1,"Possível duplicidade",IF(V359=0,"Destinador fora do cadastro",IF(AND(J359="Sim",N(P359)=0),"Necessita revisão de vínculos",IF(X359&gt;0,"Necessita revisão de vínculos",IF(J359="Sim","Conferido",IF(I359="Sim","Localizado, aguardando conferência","Cadastrado"))))))))</f>
        <v/>
      </c>
      <c r="R359" s="95" t="str">
        <f>IF(S359=0,"",COUNTIFS('VÍNCULOS_CDF'!$O$6:$O$1005,A359,'VÍNCULOS_CDF'!$AB$6:$AB$1005,1))</f>
        <v/>
      </c>
      <c r="S359" s="96">
        <f>IF(COUNTA(B359:N359)&gt;0,1,0)</f>
        <v>0</v>
      </c>
      <c r="T359" s="96" t="str">
        <f>IF(AND(S359=1,B359&lt;&gt;""),C359&amp;"|"&amp;TRIM(B359),"")</f>
        <v/>
      </c>
      <c r="U359" s="96">
        <f>IF(T359="",0,IF(SUMPRODUCT(--($T$6:$T$505=T359))&gt;1,1,0))</f>
        <v>0</v>
      </c>
      <c r="V359" s="96">
        <f>IF(F359="",0,IF(ISNUMBER(MATCH(F359,cmp_dest,0)),1,0))</f>
        <v>0</v>
      </c>
      <c r="W359" s="96">
        <f>IF(AND(S359=1,B359&lt;&gt;"",F359&lt;&gt;"",J359="Sim",U359=0),1,0)</f>
        <v>0</v>
      </c>
      <c r="X359" s="96">
        <f>IF(S359=0,0,COUNTIFS('VÍNCULOS_CDF'!$O$6:$O$1005,A359,'VÍNCULOS_CDF'!$Y$6:$Y$1005,1))</f>
        <v>0</v>
      </c>
      <c r="Y359" s="96" t="str">
        <f>IF(S359=1,A359&amp;" | CDF "&amp;IF(B359="","(sem número)",B359)&amp;" | "&amp;IF(F359="","(sem destinador)",F359),"")</f>
        <v/>
      </c>
      <c r="Z359" s="96" t="str">
        <f>IF(S359=1,COUNTIF($S$6:S359,1),"")</f>
        <v/>
      </c>
      <c r="AA359" s="96">
        <f>IF(S359=0,0,IF(AND(OR(r_ini="",AND(ISNUMBER(D359),D359&gt;=r_ini)),OR(r_fim="",AND(ISNUMBER(D359),D359&lt;=r_fim)),OR(r_de="",r_de="(Todos)",F359=r_de)),1,0))</f>
        <v>0</v>
      </c>
      <c r="AB359" s="96" t="str">
        <f>IF(AA359=1,IF(F359="",0,COUNTIF($F$6:$F$505,"&lt;"&amp;F359))*1000+354,"")</f>
        <v/>
      </c>
    </row>
    <row r="360">
      <c r="A360" s="89" t="inlineStr">
        <is>
          <t>CDF-000355</t>
        </is>
      </c>
      <c r="B360" s="90" t="n"/>
      <c r="C360" s="91" t="n"/>
      <c r="D360" s="92" t="n"/>
      <c r="E360" s="91" t="n"/>
      <c r="F360" s="91" t="n"/>
      <c r="G360" s="91" t="n"/>
      <c r="H360" s="91" t="n"/>
      <c r="I360" s="91" t="n"/>
      <c r="J360" s="91" t="n"/>
      <c r="K360" s="92" t="n"/>
      <c r="L360" s="91" t="n"/>
      <c r="M360" s="91" t="n"/>
      <c r="N360" s="91" t="n"/>
      <c r="O360" s="93" t="str">
        <f>IF(S360=0,"",SUMIFS('VÍNCULOS_CDF'!$H$6:$H$1005,'VÍNCULOS_CDF'!$O$6:$O$1005,A360,'VÍNCULOS_CDF'!$V$6:$V$1005,1))</f>
        <v/>
      </c>
      <c r="P360" s="95" t="str">
        <f>IF(S360=0,"",COUNTIFS('VÍNCULOS_CDF'!$O$6:$O$1005,A360,'VÍNCULOS_CDF'!$N$6:$N$1005,1))</f>
        <v/>
      </c>
      <c r="Q360" s="94" t="str">
        <f>IF(S360=0,"",IF(OR(B360="",F360=""),"Informações incompletas",IF(U360=1,"Possível duplicidade",IF(V360=0,"Destinador fora do cadastro",IF(AND(J360="Sim",N(P360)=0),"Necessita revisão de vínculos",IF(X360&gt;0,"Necessita revisão de vínculos",IF(J360="Sim","Conferido",IF(I360="Sim","Localizado, aguardando conferência","Cadastrado"))))))))</f>
        <v/>
      </c>
      <c r="R360" s="95" t="str">
        <f>IF(S360=0,"",COUNTIFS('VÍNCULOS_CDF'!$O$6:$O$1005,A360,'VÍNCULOS_CDF'!$AB$6:$AB$1005,1))</f>
        <v/>
      </c>
      <c r="S360" s="96">
        <f>IF(COUNTA(B360:N360)&gt;0,1,0)</f>
        <v>0</v>
      </c>
      <c r="T360" s="96" t="str">
        <f>IF(AND(S360=1,B360&lt;&gt;""),C360&amp;"|"&amp;TRIM(B360),"")</f>
        <v/>
      </c>
      <c r="U360" s="96">
        <f>IF(T360="",0,IF(SUMPRODUCT(--($T$6:$T$505=T360))&gt;1,1,0))</f>
        <v>0</v>
      </c>
      <c r="V360" s="96">
        <f>IF(F360="",0,IF(ISNUMBER(MATCH(F360,cmp_dest,0)),1,0))</f>
        <v>0</v>
      </c>
      <c r="W360" s="96">
        <f>IF(AND(S360=1,B360&lt;&gt;"",F360&lt;&gt;"",J360="Sim",U360=0),1,0)</f>
        <v>0</v>
      </c>
      <c r="X360" s="96">
        <f>IF(S360=0,0,COUNTIFS('VÍNCULOS_CDF'!$O$6:$O$1005,A360,'VÍNCULOS_CDF'!$Y$6:$Y$1005,1))</f>
        <v>0</v>
      </c>
      <c r="Y360" s="96" t="str">
        <f>IF(S360=1,A360&amp;" | CDF "&amp;IF(B360="","(sem número)",B360)&amp;" | "&amp;IF(F360="","(sem destinador)",F360),"")</f>
        <v/>
      </c>
      <c r="Z360" s="96" t="str">
        <f>IF(S360=1,COUNTIF($S$6:S360,1),"")</f>
        <v/>
      </c>
      <c r="AA360" s="96">
        <f>IF(S360=0,0,IF(AND(OR(r_ini="",AND(ISNUMBER(D360),D360&gt;=r_ini)),OR(r_fim="",AND(ISNUMBER(D360),D360&lt;=r_fim)),OR(r_de="",r_de="(Todos)",F360=r_de)),1,0))</f>
        <v>0</v>
      </c>
      <c r="AB360" s="96" t="str">
        <f>IF(AA360=1,IF(F360="",0,COUNTIF($F$6:$F$505,"&lt;"&amp;F360))*1000+355,"")</f>
        <v/>
      </c>
    </row>
    <row r="361">
      <c r="A361" s="89" t="inlineStr">
        <is>
          <t>CDF-000356</t>
        </is>
      </c>
      <c r="B361" s="90" t="n"/>
      <c r="C361" s="91" t="n"/>
      <c r="D361" s="92" t="n"/>
      <c r="E361" s="91" t="n"/>
      <c r="F361" s="91" t="n"/>
      <c r="G361" s="91" t="n"/>
      <c r="H361" s="91" t="n"/>
      <c r="I361" s="91" t="n"/>
      <c r="J361" s="91" t="n"/>
      <c r="K361" s="92" t="n"/>
      <c r="L361" s="91" t="n"/>
      <c r="M361" s="91" t="n"/>
      <c r="N361" s="91" t="n"/>
      <c r="O361" s="93" t="str">
        <f>IF(S361=0,"",SUMIFS('VÍNCULOS_CDF'!$H$6:$H$1005,'VÍNCULOS_CDF'!$O$6:$O$1005,A361,'VÍNCULOS_CDF'!$V$6:$V$1005,1))</f>
        <v/>
      </c>
      <c r="P361" s="95" t="str">
        <f>IF(S361=0,"",COUNTIFS('VÍNCULOS_CDF'!$O$6:$O$1005,A361,'VÍNCULOS_CDF'!$N$6:$N$1005,1))</f>
        <v/>
      </c>
      <c r="Q361" s="94" t="str">
        <f>IF(S361=0,"",IF(OR(B361="",F361=""),"Informações incompletas",IF(U361=1,"Possível duplicidade",IF(V361=0,"Destinador fora do cadastro",IF(AND(J361="Sim",N(P361)=0),"Necessita revisão de vínculos",IF(X361&gt;0,"Necessita revisão de vínculos",IF(J361="Sim","Conferido",IF(I361="Sim","Localizado, aguardando conferência","Cadastrado"))))))))</f>
        <v/>
      </c>
      <c r="R361" s="95" t="str">
        <f>IF(S361=0,"",COUNTIFS('VÍNCULOS_CDF'!$O$6:$O$1005,A361,'VÍNCULOS_CDF'!$AB$6:$AB$1005,1))</f>
        <v/>
      </c>
      <c r="S361" s="96">
        <f>IF(COUNTA(B361:N361)&gt;0,1,0)</f>
        <v>0</v>
      </c>
      <c r="T361" s="96" t="str">
        <f>IF(AND(S361=1,B361&lt;&gt;""),C361&amp;"|"&amp;TRIM(B361),"")</f>
        <v/>
      </c>
      <c r="U361" s="96">
        <f>IF(T361="",0,IF(SUMPRODUCT(--($T$6:$T$505=T361))&gt;1,1,0))</f>
        <v>0</v>
      </c>
      <c r="V361" s="96">
        <f>IF(F361="",0,IF(ISNUMBER(MATCH(F361,cmp_dest,0)),1,0))</f>
        <v>0</v>
      </c>
      <c r="W361" s="96">
        <f>IF(AND(S361=1,B361&lt;&gt;"",F361&lt;&gt;"",J361="Sim",U361=0),1,0)</f>
        <v>0</v>
      </c>
      <c r="X361" s="96">
        <f>IF(S361=0,0,COUNTIFS('VÍNCULOS_CDF'!$O$6:$O$1005,A361,'VÍNCULOS_CDF'!$Y$6:$Y$1005,1))</f>
        <v>0</v>
      </c>
      <c r="Y361" s="96" t="str">
        <f>IF(S361=1,A361&amp;" | CDF "&amp;IF(B361="","(sem número)",B361)&amp;" | "&amp;IF(F361="","(sem destinador)",F361),"")</f>
        <v/>
      </c>
      <c r="Z361" s="96" t="str">
        <f>IF(S361=1,COUNTIF($S$6:S361,1),"")</f>
        <v/>
      </c>
      <c r="AA361" s="96">
        <f>IF(S361=0,0,IF(AND(OR(r_ini="",AND(ISNUMBER(D361),D361&gt;=r_ini)),OR(r_fim="",AND(ISNUMBER(D361),D361&lt;=r_fim)),OR(r_de="",r_de="(Todos)",F361=r_de)),1,0))</f>
        <v>0</v>
      </c>
      <c r="AB361" s="96" t="str">
        <f>IF(AA361=1,IF(F361="",0,COUNTIF($F$6:$F$505,"&lt;"&amp;F361))*1000+356,"")</f>
        <v/>
      </c>
    </row>
    <row r="362">
      <c r="A362" s="89" t="inlineStr">
        <is>
          <t>CDF-000357</t>
        </is>
      </c>
      <c r="B362" s="90" t="n"/>
      <c r="C362" s="91" t="n"/>
      <c r="D362" s="92" t="n"/>
      <c r="E362" s="91" t="n"/>
      <c r="F362" s="91" t="n"/>
      <c r="G362" s="91" t="n"/>
      <c r="H362" s="91" t="n"/>
      <c r="I362" s="91" t="n"/>
      <c r="J362" s="91" t="n"/>
      <c r="K362" s="92" t="n"/>
      <c r="L362" s="91" t="n"/>
      <c r="M362" s="91" t="n"/>
      <c r="N362" s="91" t="n"/>
      <c r="O362" s="93" t="str">
        <f>IF(S362=0,"",SUMIFS('VÍNCULOS_CDF'!$H$6:$H$1005,'VÍNCULOS_CDF'!$O$6:$O$1005,A362,'VÍNCULOS_CDF'!$V$6:$V$1005,1))</f>
        <v/>
      </c>
      <c r="P362" s="95" t="str">
        <f>IF(S362=0,"",COUNTIFS('VÍNCULOS_CDF'!$O$6:$O$1005,A362,'VÍNCULOS_CDF'!$N$6:$N$1005,1))</f>
        <v/>
      </c>
      <c r="Q362" s="94" t="str">
        <f>IF(S362=0,"",IF(OR(B362="",F362=""),"Informações incompletas",IF(U362=1,"Possível duplicidade",IF(V362=0,"Destinador fora do cadastro",IF(AND(J362="Sim",N(P362)=0),"Necessita revisão de vínculos",IF(X362&gt;0,"Necessita revisão de vínculos",IF(J362="Sim","Conferido",IF(I362="Sim","Localizado, aguardando conferência","Cadastrado"))))))))</f>
        <v/>
      </c>
      <c r="R362" s="95" t="str">
        <f>IF(S362=0,"",COUNTIFS('VÍNCULOS_CDF'!$O$6:$O$1005,A362,'VÍNCULOS_CDF'!$AB$6:$AB$1005,1))</f>
        <v/>
      </c>
      <c r="S362" s="96">
        <f>IF(COUNTA(B362:N362)&gt;0,1,0)</f>
        <v>0</v>
      </c>
      <c r="T362" s="96" t="str">
        <f>IF(AND(S362=1,B362&lt;&gt;""),C362&amp;"|"&amp;TRIM(B362),"")</f>
        <v/>
      </c>
      <c r="U362" s="96">
        <f>IF(T362="",0,IF(SUMPRODUCT(--($T$6:$T$505=T362))&gt;1,1,0))</f>
        <v>0</v>
      </c>
      <c r="V362" s="96">
        <f>IF(F362="",0,IF(ISNUMBER(MATCH(F362,cmp_dest,0)),1,0))</f>
        <v>0</v>
      </c>
      <c r="W362" s="96">
        <f>IF(AND(S362=1,B362&lt;&gt;"",F362&lt;&gt;"",J362="Sim",U362=0),1,0)</f>
        <v>0</v>
      </c>
      <c r="X362" s="96">
        <f>IF(S362=0,0,COUNTIFS('VÍNCULOS_CDF'!$O$6:$O$1005,A362,'VÍNCULOS_CDF'!$Y$6:$Y$1005,1))</f>
        <v>0</v>
      </c>
      <c r="Y362" s="96" t="str">
        <f>IF(S362=1,A362&amp;" | CDF "&amp;IF(B362="","(sem número)",B362)&amp;" | "&amp;IF(F362="","(sem destinador)",F362),"")</f>
        <v/>
      </c>
      <c r="Z362" s="96" t="str">
        <f>IF(S362=1,COUNTIF($S$6:S362,1),"")</f>
        <v/>
      </c>
      <c r="AA362" s="96">
        <f>IF(S362=0,0,IF(AND(OR(r_ini="",AND(ISNUMBER(D362),D362&gt;=r_ini)),OR(r_fim="",AND(ISNUMBER(D362),D362&lt;=r_fim)),OR(r_de="",r_de="(Todos)",F362=r_de)),1,0))</f>
        <v>0</v>
      </c>
      <c r="AB362" s="96" t="str">
        <f>IF(AA362=1,IF(F362="",0,COUNTIF($F$6:$F$505,"&lt;"&amp;F362))*1000+357,"")</f>
        <v/>
      </c>
    </row>
    <row r="363">
      <c r="A363" s="89" t="inlineStr">
        <is>
          <t>CDF-000358</t>
        </is>
      </c>
      <c r="B363" s="90" t="n"/>
      <c r="C363" s="91" t="n"/>
      <c r="D363" s="92" t="n"/>
      <c r="E363" s="91" t="n"/>
      <c r="F363" s="91" t="n"/>
      <c r="G363" s="91" t="n"/>
      <c r="H363" s="91" t="n"/>
      <c r="I363" s="91" t="n"/>
      <c r="J363" s="91" t="n"/>
      <c r="K363" s="92" t="n"/>
      <c r="L363" s="91" t="n"/>
      <c r="M363" s="91" t="n"/>
      <c r="N363" s="91" t="n"/>
      <c r="O363" s="93" t="str">
        <f>IF(S363=0,"",SUMIFS('VÍNCULOS_CDF'!$H$6:$H$1005,'VÍNCULOS_CDF'!$O$6:$O$1005,A363,'VÍNCULOS_CDF'!$V$6:$V$1005,1))</f>
        <v/>
      </c>
      <c r="P363" s="95" t="str">
        <f>IF(S363=0,"",COUNTIFS('VÍNCULOS_CDF'!$O$6:$O$1005,A363,'VÍNCULOS_CDF'!$N$6:$N$1005,1))</f>
        <v/>
      </c>
      <c r="Q363" s="94" t="str">
        <f>IF(S363=0,"",IF(OR(B363="",F363=""),"Informações incompletas",IF(U363=1,"Possível duplicidade",IF(V363=0,"Destinador fora do cadastro",IF(AND(J363="Sim",N(P363)=0),"Necessita revisão de vínculos",IF(X363&gt;0,"Necessita revisão de vínculos",IF(J363="Sim","Conferido",IF(I363="Sim","Localizado, aguardando conferência","Cadastrado"))))))))</f>
        <v/>
      </c>
      <c r="R363" s="95" t="str">
        <f>IF(S363=0,"",COUNTIFS('VÍNCULOS_CDF'!$O$6:$O$1005,A363,'VÍNCULOS_CDF'!$AB$6:$AB$1005,1))</f>
        <v/>
      </c>
      <c r="S363" s="96">
        <f>IF(COUNTA(B363:N363)&gt;0,1,0)</f>
        <v>0</v>
      </c>
      <c r="T363" s="96" t="str">
        <f>IF(AND(S363=1,B363&lt;&gt;""),C363&amp;"|"&amp;TRIM(B363),"")</f>
        <v/>
      </c>
      <c r="U363" s="96">
        <f>IF(T363="",0,IF(SUMPRODUCT(--($T$6:$T$505=T363))&gt;1,1,0))</f>
        <v>0</v>
      </c>
      <c r="V363" s="96">
        <f>IF(F363="",0,IF(ISNUMBER(MATCH(F363,cmp_dest,0)),1,0))</f>
        <v>0</v>
      </c>
      <c r="W363" s="96">
        <f>IF(AND(S363=1,B363&lt;&gt;"",F363&lt;&gt;"",J363="Sim",U363=0),1,0)</f>
        <v>0</v>
      </c>
      <c r="X363" s="96">
        <f>IF(S363=0,0,COUNTIFS('VÍNCULOS_CDF'!$O$6:$O$1005,A363,'VÍNCULOS_CDF'!$Y$6:$Y$1005,1))</f>
        <v>0</v>
      </c>
      <c r="Y363" s="96" t="str">
        <f>IF(S363=1,A363&amp;" | CDF "&amp;IF(B363="","(sem número)",B363)&amp;" | "&amp;IF(F363="","(sem destinador)",F363),"")</f>
        <v/>
      </c>
      <c r="Z363" s="96" t="str">
        <f>IF(S363=1,COUNTIF($S$6:S363,1),"")</f>
        <v/>
      </c>
      <c r="AA363" s="96">
        <f>IF(S363=0,0,IF(AND(OR(r_ini="",AND(ISNUMBER(D363),D363&gt;=r_ini)),OR(r_fim="",AND(ISNUMBER(D363),D363&lt;=r_fim)),OR(r_de="",r_de="(Todos)",F363=r_de)),1,0))</f>
        <v>0</v>
      </c>
      <c r="AB363" s="96" t="str">
        <f>IF(AA363=1,IF(F363="",0,COUNTIF($F$6:$F$505,"&lt;"&amp;F363))*1000+358,"")</f>
        <v/>
      </c>
    </row>
    <row r="364">
      <c r="A364" s="89" t="inlineStr">
        <is>
          <t>CDF-000359</t>
        </is>
      </c>
      <c r="B364" s="90" t="n"/>
      <c r="C364" s="91" t="n"/>
      <c r="D364" s="92" t="n"/>
      <c r="E364" s="91" t="n"/>
      <c r="F364" s="91" t="n"/>
      <c r="G364" s="91" t="n"/>
      <c r="H364" s="91" t="n"/>
      <c r="I364" s="91" t="n"/>
      <c r="J364" s="91" t="n"/>
      <c r="K364" s="92" t="n"/>
      <c r="L364" s="91" t="n"/>
      <c r="M364" s="91" t="n"/>
      <c r="N364" s="91" t="n"/>
      <c r="O364" s="93" t="str">
        <f>IF(S364=0,"",SUMIFS('VÍNCULOS_CDF'!$H$6:$H$1005,'VÍNCULOS_CDF'!$O$6:$O$1005,A364,'VÍNCULOS_CDF'!$V$6:$V$1005,1))</f>
        <v/>
      </c>
      <c r="P364" s="95" t="str">
        <f>IF(S364=0,"",COUNTIFS('VÍNCULOS_CDF'!$O$6:$O$1005,A364,'VÍNCULOS_CDF'!$N$6:$N$1005,1))</f>
        <v/>
      </c>
      <c r="Q364" s="94" t="str">
        <f>IF(S364=0,"",IF(OR(B364="",F364=""),"Informações incompletas",IF(U364=1,"Possível duplicidade",IF(V364=0,"Destinador fora do cadastro",IF(AND(J364="Sim",N(P364)=0),"Necessita revisão de vínculos",IF(X364&gt;0,"Necessita revisão de vínculos",IF(J364="Sim","Conferido",IF(I364="Sim","Localizado, aguardando conferência","Cadastrado"))))))))</f>
        <v/>
      </c>
      <c r="R364" s="95" t="str">
        <f>IF(S364=0,"",COUNTIFS('VÍNCULOS_CDF'!$O$6:$O$1005,A364,'VÍNCULOS_CDF'!$AB$6:$AB$1005,1))</f>
        <v/>
      </c>
      <c r="S364" s="96">
        <f>IF(COUNTA(B364:N364)&gt;0,1,0)</f>
        <v>0</v>
      </c>
      <c r="T364" s="96" t="str">
        <f>IF(AND(S364=1,B364&lt;&gt;""),C364&amp;"|"&amp;TRIM(B364),"")</f>
        <v/>
      </c>
      <c r="U364" s="96">
        <f>IF(T364="",0,IF(SUMPRODUCT(--($T$6:$T$505=T364))&gt;1,1,0))</f>
        <v>0</v>
      </c>
      <c r="V364" s="96">
        <f>IF(F364="",0,IF(ISNUMBER(MATCH(F364,cmp_dest,0)),1,0))</f>
        <v>0</v>
      </c>
      <c r="W364" s="96">
        <f>IF(AND(S364=1,B364&lt;&gt;"",F364&lt;&gt;"",J364="Sim",U364=0),1,0)</f>
        <v>0</v>
      </c>
      <c r="X364" s="96">
        <f>IF(S364=0,0,COUNTIFS('VÍNCULOS_CDF'!$O$6:$O$1005,A364,'VÍNCULOS_CDF'!$Y$6:$Y$1005,1))</f>
        <v>0</v>
      </c>
      <c r="Y364" s="96" t="str">
        <f>IF(S364=1,A364&amp;" | CDF "&amp;IF(B364="","(sem número)",B364)&amp;" | "&amp;IF(F364="","(sem destinador)",F364),"")</f>
        <v/>
      </c>
      <c r="Z364" s="96" t="str">
        <f>IF(S364=1,COUNTIF($S$6:S364,1),"")</f>
        <v/>
      </c>
      <c r="AA364" s="96">
        <f>IF(S364=0,0,IF(AND(OR(r_ini="",AND(ISNUMBER(D364),D364&gt;=r_ini)),OR(r_fim="",AND(ISNUMBER(D364),D364&lt;=r_fim)),OR(r_de="",r_de="(Todos)",F364=r_de)),1,0))</f>
        <v>0</v>
      </c>
      <c r="AB364" s="96" t="str">
        <f>IF(AA364=1,IF(F364="",0,COUNTIF($F$6:$F$505,"&lt;"&amp;F364))*1000+359,"")</f>
        <v/>
      </c>
    </row>
    <row r="365">
      <c r="A365" s="89" t="inlineStr">
        <is>
          <t>CDF-000360</t>
        </is>
      </c>
      <c r="B365" s="90" t="n"/>
      <c r="C365" s="91" t="n"/>
      <c r="D365" s="92" t="n"/>
      <c r="E365" s="91" t="n"/>
      <c r="F365" s="91" t="n"/>
      <c r="G365" s="91" t="n"/>
      <c r="H365" s="91" t="n"/>
      <c r="I365" s="91" t="n"/>
      <c r="J365" s="91" t="n"/>
      <c r="K365" s="92" t="n"/>
      <c r="L365" s="91" t="n"/>
      <c r="M365" s="91" t="n"/>
      <c r="N365" s="91" t="n"/>
      <c r="O365" s="93" t="str">
        <f>IF(S365=0,"",SUMIFS('VÍNCULOS_CDF'!$H$6:$H$1005,'VÍNCULOS_CDF'!$O$6:$O$1005,A365,'VÍNCULOS_CDF'!$V$6:$V$1005,1))</f>
        <v/>
      </c>
      <c r="P365" s="95" t="str">
        <f>IF(S365=0,"",COUNTIFS('VÍNCULOS_CDF'!$O$6:$O$1005,A365,'VÍNCULOS_CDF'!$N$6:$N$1005,1))</f>
        <v/>
      </c>
      <c r="Q365" s="94" t="str">
        <f>IF(S365=0,"",IF(OR(B365="",F365=""),"Informações incompletas",IF(U365=1,"Possível duplicidade",IF(V365=0,"Destinador fora do cadastro",IF(AND(J365="Sim",N(P365)=0),"Necessita revisão de vínculos",IF(X365&gt;0,"Necessita revisão de vínculos",IF(J365="Sim","Conferido",IF(I365="Sim","Localizado, aguardando conferência","Cadastrado"))))))))</f>
        <v/>
      </c>
      <c r="R365" s="95" t="str">
        <f>IF(S365=0,"",COUNTIFS('VÍNCULOS_CDF'!$O$6:$O$1005,A365,'VÍNCULOS_CDF'!$AB$6:$AB$1005,1))</f>
        <v/>
      </c>
      <c r="S365" s="96">
        <f>IF(COUNTA(B365:N365)&gt;0,1,0)</f>
        <v>0</v>
      </c>
      <c r="T365" s="96" t="str">
        <f>IF(AND(S365=1,B365&lt;&gt;""),C365&amp;"|"&amp;TRIM(B365),"")</f>
        <v/>
      </c>
      <c r="U365" s="96">
        <f>IF(T365="",0,IF(SUMPRODUCT(--($T$6:$T$505=T365))&gt;1,1,0))</f>
        <v>0</v>
      </c>
      <c r="V365" s="96">
        <f>IF(F365="",0,IF(ISNUMBER(MATCH(F365,cmp_dest,0)),1,0))</f>
        <v>0</v>
      </c>
      <c r="W365" s="96">
        <f>IF(AND(S365=1,B365&lt;&gt;"",F365&lt;&gt;"",J365="Sim",U365=0),1,0)</f>
        <v>0</v>
      </c>
      <c r="X365" s="96">
        <f>IF(S365=0,0,COUNTIFS('VÍNCULOS_CDF'!$O$6:$O$1005,A365,'VÍNCULOS_CDF'!$Y$6:$Y$1005,1))</f>
        <v>0</v>
      </c>
      <c r="Y365" s="96" t="str">
        <f>IF(S365=1,A365&amp;" | CDF "&amp;IF(B365="","(sem número)",B365)&amp;" | "&amp;IF(F365="","(sem destinador)",F365),"")</f>
        <v/>
      </c>
      <c r="Z365" s="96" t="str">
        <f>IF(S365=1,COUNTIF($S$6:S365,1),"")</f>
        <v/>
      </c>
      <c r="AA365" s="96">
        <f>IF(S365=0,0,IF(AND(OR(r_ini="",AND(ISNUMBER(D365),D365&gt;=r_ini)),OR(r_fim="",AND(ISNUMBER(D365),D365&lt;=r_fim)),OR(r_de="",r_de="(Todos)",F365=r_de)),1,0))</f>
        <v>0</v>
      </c>
      <c r="AB365" s="96" t="str">
        <f>IF(AA365=1,IF(F365="",0,COUNTIF($F$6:$F$505,"&lt;"&amp;F365))*1000+360,"")</f>
        <v/>
      </c>
    </row>
    <row r="366">
      <c r="A366" s="89" t="inlineStr">
        <is>
          <t>CDF-000361</t>
        </is>
      </c>
      <c r="B366" s="90" t="n"/>
      <c r="C366" s="91" t="n"/>
      <c r="D366" s="92" t="n"/>
      <c r="E366" s="91" t="n"/>
      <c r="F366" s="91" t="n"/>
      <c r="G366" s="91" t="n"/>
      <c r="H366" s="91" t="n"/>
      <c r="I366" s="91" t="n"/>
      <c r="J366" s="91" t="n"/>
      <c r="K366" s="92" t="n"/>
      <c r="L366" s="91" t="n"/>
      <c r="M366" s="91" t="n"/>
      <c r="N366" s="91" t="n"/>
      <c r="O366" s="93" t="str">
        <f>IF(S366=0,"",SUMIFS('VÍNCULOS_CDF'!$H$6:$H$1005,'VÍNCULOS_CDF'!$O$6:$O$1005,A366,'VÍNCULOS_CDF'!$V$6:$V$1005,1))</f>
        <v/>
      </c>
      <c r="P366" s="95" t="str">
        <f>IF(S366=0,"",COUNTIFS('VÍNCULOS_CDF'!$O$6:$O$1005,A366,'VÍNCULOS_CDF'!$N$6:$N$1005,1))</f>
        <v/>
      </c>
      <c r="Q366" s="94" t="str">
        <f>IF(S366=0,"",IF(OR(B366="",F366=""),"Informações incompletas",IF(U366=1,"Possível duplicidade",IF(V366=0,"Destinador fora do cadastro",IF(AND(J366="Sim",N(P366)=0),"Necessita revisão de vínculos",IF(X366&gt;0,"Necessita revisão de vínculos",IF(J366="Sim","Conferido",IF(I366="Sim","Localizado, aguardando conferência","Cadastrado"))))))))</f>
        <v/>
      </c>
      <c r="R366" s="95" t="str">
        <f>IF(S366=0,"",COUNTIFS('VÍNCULOS_CDF'!$O$6:$O$1005,A366,'VÍNCULOS_CDF'!$AB$6:$AB$1005,1))</f>
        <v/>
      </c>
      <c r="S366" s="96">
        <f>IF(COUNTA(B366:N366)&gt;0,1,0)</f>
        <v>0</v>
      </c>
      <c r="T366" s="96" t="str">
        <f>IF(AND(S366=1,B366&lt;&gt;""),C366&amp;"|"&amp;TRIM(B366),"")</f>
        <v/>
      </c>
      <c r="U366" s="96">
        <f>IF(T366="",0,IF(SUMPRODUCT(--($T$6:$T$505=T366))&gt;1,1,0))</f>
        <v>0</v>
      </c>
      <c r="V366" s="96">
        <f>IF(F366="",0,IF(ISNUMBER(MATCH(F366,cmp_dest,0)),1,0))</f>
        <v>0</v>
      </c>
      <c r="W366" s="96">
        <f>IF(AND(S366=1,B366&lt;&gt;"",F366&lt;&gt;"",J366="Sim",U366=0),1,0)</f>
        <v>0</v>
      </c>
      <c r="X366" s="96">
        <f>IF(S366=0,0,COUNTIFS('VÍNCULOS_CDF'!$O$6:$O$1005,A366,'VÍNCULOS_CDF'!$Y$6:$Y$1005,1))</f>
        <v>0</v>
      </c>
      <c r="Y366" s="96" t="str">
        <f>IF(S366=1,A366&amp;" | CDF "&amp;IF(B366="","(sem número)",B366)&amp;" | "&amp;IF(F366="","(sem destinador)",F366),"")</f>
        <v/>
      </c>
      <c r="Z366" s="96" t="str">
        <f>IF(S366=1,COUNTIF($S$6:S366,1),"")</f>
        <v/>
      </c>
      <c r="AA366" s="96">
        <f>IF(S366=0,0,IF(AND(OR(r_ini="",AND(ISNUMBER(D366),D366&gt;=r_ini)),OR(r_fim="",AND(ISNUMBER(D366),D366&lt;=r_fim)),OR(r_de="",r_de="(Todos)",F366=r_de)),1,0))</f>
        <v>0</v>
      </c>
      <c r="AB366" s="96" t="str">
        <f>IF(AA366=1,IF(F366="",0,COUNTIF($F$6:$F$505,"&lt;"&amp;F366))*1000+361,"")</f>
        <v/>
      </c>
    </row>
    <row r="367">
      <c r="A367" s="89" t="inlineStr">
        <is>
          <t>CDF-000362</t>
        </is>
      </c>
      <c r="B367" s="90" t="n"/>
      <c r="C367" s="91" t="n"/>
      <c r="D367" s="92" t="n"/>
      <c r="E367" s="91" t="n"/>
      <c r="F367" s="91" t="n"/>
      <c r="G367" s="91" t="n"/>
      <c r="H367" s="91" t="n"/>
      <c r="I367" s="91" t="n"/>
      <c r="J367" s="91" t="n"/>
      <c r="K367" s="92" t="n"/>
      <c r="L367" s="91" t="n"/>
      <c r="M367" s="91" t="n"/>
      <c r="N367" s="91" t="n"/>
      <c r="O367" s="93" t="str">
        <f>IF(S367=0,"",SUMIFS('VÍNCULOS_CDF'!$H$6:$H$1005,'VÍNCULOS_CDF'!$O$6:$O$1005,A367,'VÍNCULOS_CDF'!$V$6:$V$1005,1))</f>
        <v/>
      </c>
      <c r="P367" s="95" t="str">
        <f>IF(S367=0,"",COUNTIFS('VÍNCULOS_CDF'!$O$6:$O$1005,A367,'VÍNCULOS_CDF'!$N$6:$N$1005,1))</f>
        <v/>
      </c>
      <c r="Q367" s="94" t="str">
        <f>IF(S367=0,"",IF(OR(B367="",F367=""),"Informações incompletas",IF(U367=1,"Possível duplicidade",IF(V367=0,"Destinador fora do cadastro",IF(AND(J367="Sim",N(P367)=0),"Necessita revisão de vínculos",IF(X367&gt;0,"Necessita revisão de vínculos",IF(J367="Sim","Conferido",IF(I367="Sim","Localizado, aguardando conferência","Cadastrado"))))))))</f>
        <v/>
      </c>
      <c r="R367" s="95" t="str">
        <f>IF(S367=0,"",COUNTIFS('VÍNCULOS_CDF'!$O$6:$O$1005,A367,'VÍNCULOS_CDF'!$AB$6:$AB$1005,1))</f>
        <v/>
      </c>
      <c r="S367" s="96">
        <f>IF(COUNTA(B367:N367)&gt;0,1,0)</f>
        <v>0</v>
      </c>
      <c r="T367" s="96" t="str">
        <f>IF(AND(S367=1,B367&lt;&gt;""),C367&amp;"|"&amp;TRIM(B367),"")</f>
        <v/>
      </c>
      <c r="U367" s="96">
        <f>IF(T367="",0,IF(SUMPRODUCT(--($T$6:$T$505=T367))&gt;1,1,0))</f>
        <v>0</v>
      </c>
      <c r="V367" s="96">
        <f>IF(F367="",0,IF(ISNUMBER(MATCH(F367,cmp_dest,0)),1,0))</f>
        <v>0</v>
      </c>
      <c r="W367" s="96">
        <f>IF(AND(S367=1,B367&lt;&gt;"",F367&lt;&gt;"",J367="Sim",U367=0),1,0)</f>
        <v>0</v>
      </c>
      <c r="X367" s="96">
        <f>IF(S367=0,0,COUNTIFS('VÍNCULOS_CDF'!$O$6:$O$1005,A367,'VÍNCULOS_CDF'!$Y$6:$Y$1005,1))</f>
        <v>0</v>
      </c>
      <c r="Y367" s="96" t="str">
        <f>IF(S367=1,A367&amp;" | CDF "&amp;IF(B367="","(sem número)",B367)&amp;" | "&amp;IF(F367="","(sem destinador)",F367),"")</f>
        <v/>
      </c>
      <c r="Z367" s="96" t="str">
        <f>IF(S367=1,COUNTIF($S$6:S367,1),"")</f>
        <v/>
      </c>
      <c r="AA367" s="96">
        <f>IF(S367=0,0,IF(AND(OR(r_ini="",AND(ISNUMBER(D367),D367&gt;=r_ini)),OR(r_fim="",AND(ISNUMBER(D367),D367&lt;=r_fim)),OR(r_de="",r_de="(Todos)",F367=r_de)),1,0))</f>
        <v>0</v>
      </c>
      <c r="AB367" s="96" t="str">
        <f>IF(AA367=1,IF(F367="",0,COUNTIF($F$6:$F$505,"&lt;"&amp;F367))*1000+362,"")</f>
        <v/>
      </c>
    </row>
    <row r="368">
      <c r="A368" s="89" t="inlineStr">
        <is>
          <t>CDF-000363</t>
        </is>
      </c>
      <c r="B368" s="90" t="n"/>
      <c r="C368" s="91" t="n"/>
      <c r="D368" s="92" t="n"/>
      <c r="E368" s="91" t="n"/>
      <c r="F368" s="91" t="n"/>
      <c r="G368" s="91" t="n"/>
      <c r="H368" s="91" t="n"/>
      <c r="I368" s="91" t="n"/>
      <c r="J368" s="91" t="n"/>
      <c r="K368" s="92" t="n"/>
      <c r="L368" s="91" t="n"/>
      <c r="M368" s="91" t="n"/>
      <c r="N368" s="91" t="n"/>
      <c r="O368" s="93" t="str">
        <f>IF(S368=0,"",SUMIFS('VÍNCULOS_CDF'!$H$6:$H$1005,'VÍNCULOS_CDF'!$O$6:$O$1005,A368,'VÍNCULOS_CDF'!$V$6:$V$1005,1))</f>
        <v/>
      </c>
      <c r="P368" s="95" t="str">
        <f>IF(S368=0,"",COUNTIFS('VÍNCULOS_CDF'!$O$6:$O$1005,A368,'VÍNCULOS_CDF'!$N$6:$N$1005,1))</f>
        <v/>
      </c>
      <c r="Q368" s="94" t="str">
        <f>IF(S368=0,"",IF(OR(B368="",F368=""),"Informações incompletas",IF(U368=1,"Possível duplicidade",IF(V368=0,"Destinador fora do cadastro",IF(AND(J368="Sim",N(P368)=0),"Necessita revisão de vínculos",IF(X368&gt;0,"Necessita revisão de vínculos",IF(J368="Sim","Conferido",IF(I368="Sim","Localizado, aguardando conferência","Cadastrado"))))))))</f>
        <v/>
      </c>
      <c r="R368" s="95" t="str">
        <f>IF(S368=0,"",COUNTIFS('VÍNCULOS_CDF'!$O$6:$O$1005,A368,'VÍNCULOS_CDF'!$AB$6:$AB$1005,1))</f>
        <v/>
      </c>
      <c r="S368" s="96">
        <f>IF(COUNTA(B368:N368)&gt;0,1,0)</f>
        <v>0</v>
      </c>
      <c r="T368" s="96" t="str">
        <f>IF(AND(S368=1,B368&lt;&gt;""),C368&amp;"|"&amp;TRIM(B368),"")</f>
        <v/>
      </c>
      <c r="U368" s="96">
        <f>IF(T368="",0,IF(SUMPRODUCT(--($T$6:$T$505=T368))&gt;1,1,0))</f>
        <v>0</v>
      </c>
      <c r="V368" s="96">
        <f>IF(F368="",0,IF(ISNUMBER(MATCH(F368,cmp_dest,0)),1,0))</f>
        <v>0</v>
      </c>
      <c r="W368" s="96">
        <f>IF(AND(S368=1,B368&lt;&gt;"",F368&lt;&gt;"",J368="Sim",U368=0),1,0)</f>
        <v>0</v>
      </c>
      <c r="X368" s="96">
        <f>IF(S368=0,0,COUNTIFS('VÍNCULOS_CDF'!$O$6:$O$1005,A368,'VÍNCULOS_CDF'!$Y$6:$Y$1005,1))</f>
        <v>0</v>
      </c>
      <c r="Y368" s="96" t="str">
        <f>IF(S368=1,A368&amp;" | CDF "&amp;IF(B368="","(sem número)",B368)&amp;" | "&amp;IF(F368="","(sem destinador)",F368),"")</f>
        <v/>
      </c>
      <c r="Z368" s="96" t="str">
        <f>IF(S368=1,COUNTIF($S$6:S368,1),"")</f>
        <v/>
      </c>
      <c r="AA368" s="96">
        <f>IF(S368=0,0,IF(AND(OR(r_ini="",AND(ISNUMBER(D368),D368&gt;=r_ini)),OR(r_fim="",AND(ISNUMBER(D368),D368&lt;=r_fim)),OR(r_de="",r_de="(Todos)",F368=r_de)),1,0))</f>
        <v>0</v>
      </c>
      <c r="AB368" s="96" t="str">
        <f>IF(AA368=1,IF(F368="",0,COUNTIF($F$6:$F$505,"&lt;"&amp;F368))*1000+363,"")</f>
        <v/>
      </c>
    </row>
    <row r="369">
      <c r="A369" s="89" t="inlineStr">
        <is>
          <t>CDF-000364</t>
        </is>
      </c>
      <c r="B369" s="90" t="n"/>
      <c r="C369" s="91" t="n"/>
      <c r="D369" s="92" t="n"/>
      <c r="E369" s="91" t="n"/>
      <c r="F369" s="91" t="n"/>
      <c r="G369" s="91" t="n"/>
      <c r="H369" s="91" t="n"/>
      <c r="I369" s="91" t="n"/>
      <c r="J369" s="91" t="n"/>
      <c r="K369" s="92" t="n"/>
      <c r="L369" s="91" t="n"/>
      <c r="M369" s="91" t="n"/>
      <c r="N369" s="91" t="n"/>
      <c r="O369" s="93" t="str">
        <f>IF(S369=0,"",SUMIFS('VÍNCULOS_CDF'!$H$6:$H$1005,'VÍNCULOS_CDF'!$O$6:$O$1005,A369,'VÍNCULOS_CDF'!$V$6:$V$1005,1))</f>
        <v/>
      </c>
      <c r="P369" s="95" t="str">
        <f>IF(S369=0,"",COUNTIFS('VÍNCULOS_CDF'!$O$6:$O$1005,A369,'VÍNCULOS_CDF'!$N$6:$N$1005,1))</f>
        <v/>
      </c>
      <c r="Q369" s="94" t="str">
        <f>IF(S369=0,"",IF(OR(B369="",F369=""),"Informações incompletas",IF(U369=1,"Possível duplicidade",IF(V369=0,"Destinador fora do cadastro",IF(AND(J369="Sim",N(P369)=0),"Necessita revisão de vínculos",IF(X369&gt;0,"Necessita revisão de vínculos",IF(J369="Sim","Conferido",IF(I369="Sim","Localizado, aguardando conferência","Cadastrado"))))))))</f>
        <v/>
      </c>
      <c r="R369" s="95" t="str">
        <f>IF(S369=0,"",COUNTIFS('VÍNCULOS_CDF'!$O$6:$O$1005,A369,'VÍNCULOS_CDF'!$AB$6:$AB$1005,1))</f>
        <v/>
      </c>
      <c r="S369" s="96">
        <f>IF(COUNTA(B369:N369)&gt;0,1,0)</f>
        <v>0</v>
      </c>
      <c r="T369" s="96" t="str">
        <f>IF(AND(S369=1,B369&lt;&gt;""),C369&amp;"|"&amp;TRIM(B369),"")</f>
        <v/>
      </c>
      <c r="U369" s="96">
        <f>IF(T369="",0,IF(SUMPRODUCT(--($T$6:$T$505=T369))&gt;1,1,0))</f>
        <v>0</v>
      </c>
      <c r="V369" s="96">
        <f>IF(F369="",0,IF(ISNUMBER(MATCH(F369,cmp_dest,0)),1,0))</f>
        <v>0</v>
      </c>
      <c r="W369" s="96">
        <f>IF(AND(S369=1,B369&lt;&gt;"",F369&lt;&gt;"",J369="Sim",U369=0),1,0)</f>
        <v>0</v>
      </c>
      <c r="X369" s="96">
        <f>IF(S369=0,0,COUNTIFS('VÍNCULOS_CDF'!$O$6:$O$1005,A369,'VÍNCULOS_CDF'!$Y$6:$Y$1005,1))</f>
        <v>0</v>
      </c>
      <c r="Y369" s="96" t="str">
        <f>IF(S369=1,A369&amp;" | CDF "&amp;IF(B369="","(sem número)",B369)&amp;" | "&amp;IF(F369="","(sem destinador)",F369),"")</f>
        <v/>
      </c>
      <c r="Z369" s="96" t="str">
        <f>IF(S369=1,COUNTIF($S$6:S369,1),"")</f>
        <v/>
      </c>
      <c r="AA369" s="96">
        <f>IF(S369=0,0,IF(AND(OR(r_ini="",AND(ISNUMBER(D369),D369&gt;=r_ini)),OR(r_fim="",AND(ISNUMBER(D369),D369&lt;=r_fim)),OR(r_de="",r_de="(Todos)",F369=r_de)),1,0))</f>
        <v>0</v>
      </c>
      <c r="AB369" s="96" t="str">
        <f>IF(AA369=1,IF(F369="",0,COUNTIF($F$6:$F$505,"&lt;"&amp;F369))*1000+364,"")</f>
        <v/>
      </c>
    </row>
    <row r="370">
      <c r="A370" s="89" t="inlineStr">
        <is>
          <t>CDF-000365</t>
        </is>
      </c>
      <c r="B370" s="90" t="n"/>
      <c r="C370" s="91" t="n"/>
      <c r="D370" s="92" t="n"/>
      <c r="E370" s="91" t="n"/>
      <c r="F370" s="91" t="n"/>
      <c r="G370" s="91" t="n"/>
      <c r="H370" s="91" t="n"/>
      <c r="I370" s="91" t="n"/>
      <c r="J370" s="91" t="n"/>
      <c r="K370" s="92" t="n"/>
      <c r="L370" s="91" t="n"/>
      <c r="M370" s="91" t="n"/>
      <c r="N370" s="91" t="n"/>
      <c r="O370" s="93" t="str">
        <f>IF(S370=0,"",SUMIFS('VÍNCULOS_CDF'!$H$6:$H$1005,'VÍNCULOS_CDF'!$O$6:$O$1005,A370,'VÍNCULOS_CDF'!$V$6:$V$1005,1))</f>
        <v/>
      </c>
      <c r="P370" s="95" t="str">
        <f>IF(S370=0,"",COUNTIFS('VÍNCULOS_CDF'!$O$6:$O$1005,A370,'VÍNCULOS_CDF'!$N$6:$N$1005,1))</f>
        <v/>
      </c>
      <c r="Q370" s="94" t="str">
        <f>IF(S370=0,"",IF(OR(B370="",F370=""),"Informações incompletas",IF(U370=1,"Possível duplicidade",IF(V370=0,"Destinador fora do cadastro",IF(AND(J370="Sim",N(P370)=0),"Necessita revisão de vínculos",IF(X370&gt;0,"Necessita revisão de vínculos",IF(J370="Sim","Conferido",IF(I370="Sim","Localizado, aguardando conferência","Cadastrado"))))))))</f>
        <v/>
      </c>
      <c r="R370" s="95" t="str">
        <f>IF(S370=0,"",COUNTIFS('VÍNCULOS_CDF'!$O$6:$O$1005,A370,'VÍNCULOS_CDF'!$AB$6:$AB$1005,1))</f>
        <v/>
      </c>
      <c r="S370" s="96">
        <f>IF(COUNTA(B370:N370)&gt;0,1,0)</f>
        <v>0</v>
      </c>
      <c r="T370" s="96" t="str">
        <f>IF(AND(S370=1,B370&lt;&gt;""),C370&amp;"|"&amp;TRIM(B370),"")</f>
        <v/>
      </c>
      <c r="U370" s="96">
        <f>IF(T370="",0,IF(SUMPRODUCT(--($T$6:$T$505=T370))&gt;1,1,0))</f>
        <v>0</v>
      </c>
      <c r="V370" s="96">
        <f>IF(F370="",0,IF(ISNUMBER(MATCH(F370,cmp_dest,0)),1,0))</f>
        <v>0</v>
      </c>
      <c r="W370" s="96">
        <f>IF(AND(S370=1,B370&lt;&gt;"",F370&lt;&gt;"",J370="Sim",U370=0),1,0)</f>
        <v>0</v>
      </c>
      <c r="X370" s="96">
        <f>IF(S370=0,0,COUNTIFS('VÍNCULOS_CDF'!$O$6:$O$1005,A370,'VÍNCULOS_CDF'!$Y$6:$Y$1005,1))</f>
        <v>0</v>
      </c>
      <c r="Y370" s="96" t="str">
        <f>IF(S370=1,A370&amp;" | CDF "&amp;IF(B370="","(sem número)",B370)&amp;" | "&amp;IF(F370="","(sem destinador)",F370),"")</f>
        <v/>
      </c>
      <c r="Z370" s="96" t="str">
        <f>IF(S370=1,COUNTIF($S$6:S370,1),"")</f>
        <v/>
      </c>
      <c r="AA370" s="96">
        <f>IF(S370=0,0,IF(AND(OR(r_ini="",AND(ISNUMBER(D370),D370&gt;=r_ini)),OR(r_fim="",AND(ISNUMBER(D370),D370&lt;=r_fim)),OR(r_de="",r_de="(Todos)",F370=r_de)),1,0))</f>
        <v>0</v>
      </c>
      <c r="AB370" s="96" t="str">
        <f>IF(AA370=1,IF(F370="",0,COUNTIF($F$6:$F$505,"&lt;"&amp;F370))*1000+365,"")</f>
        <v/>
      </c>
    </row>
    <row r="371">
      <c r="A371" s="89" t="inlineStr">
        <is>
          <t>CDF-000366</t>
        </is>
      </c>
      <c r="B371" s="90" t="n"/>
      <c r="C371" s="91" t="n"/>
      <c r="D371" s="92" t="n"/>
      <c r="E371" s="91" t="n"/>
      <c r="F371" s="91" t="n"/>
      <c r="G371" s="91" t="n"/>
      <c r="H371" s="91" t="n"/>
      <c r="I371" s="91" t="n"/>
      <c r="J371" s="91" t="n"/>
      <c r="K371" s="92" t="n"/>
      <c r="L371" s="91" t="n"/>
      <c r="M371" s="91" t="n"/>
      <c r="N371" s="91" t="n"/>
      <c r="O371" s="93" t="str">
        <f>IF(S371=0,"",SUMIFS('VÍNCULOS_CDF'!$H$6:$H$1005,'VÍNCULOS_CDF'!$O$6:$O$1005,A371,'VÍNCULOS_CDF'!$V$6:$V$1005,1))</f>
        <v/>
      </c>
      <c r="P371" s="95" t="str">
        <f>IF(S371=0,"",COUNTIFS('VÍNCULOS_CDF'!$O$6:$O$1005,A371,'VÍNCULOS_CDF'!$N$6:$N$1005,1))</f>
        <v/>
      </c>
      <c r="Q371" s="94" t="str">
        <f>IF(S371=0,"",IF(OR(B371="",F371=""),"Informações incompletas",IF(U371=1,"Possível duplicidade",IF(V371=0,"Destinador fora do cadastro",IF(AND(J371="Sim",N(P371)=0),"Necessita revisão de vínculos",IF(X371&gt;0,"Necessita revisão de vínculos",IF(J371="Sim","Conferido",IF(I371="Sim","Localizado, aguardando conferência","Cadastrado"))))))))</f>
        <v/>
      </c>
      <c r="R371" s="95" t="str">
        <f>IF(S371=0,"",COUNTIFS('VÍNCULOS_CDF'!$O$6:$O$1005,A371,'VÍNCULOS_CDF'!$AB$6:$AB$1005,1))</f>
        <v/>
      </c>
      <c r="S371" s="96">
        <f>IF(COUNTA(B371:N371)&gt;0,1,0)</f>
        <v>0</v>
      </c>
      <c r="T371" s="96" t="str">
        <f>IF(AND(S371=1,B371&lt;&gt;""),C371&amp;"|"&amp;TRIM(B371),"")</f>
        <v/>
      </c>
      <c r="U371" s="96">
        <f>IF(T371="",0,IF(SUMPRODUCT(--($T$6:$T$505=T371))&gt;1,1,0))</f>
        <v>0</v>
      </c>
      <c r="V371" s="96">
        <f>IF(F371="",0,IF(ISNUMBER(MATCH(F371,cmp_dest,0)),1,0))</f>
        <v>0</v>
      </c>
      <c r="W371" s="96">
        <f>IF(AND(S371=1,B371&lt;&gt;"",F371&lt;&gt;"",J371="Sim",U371=0),1,0)</f>
        <v>0</v>
      </c>
      <c r="X371" s="96">
        <f>IF(S371=0,0,COUNTIFS('VÍNCULOS_CDF'!$O$6:$O$1005,A371,'VÍNCULOS_CDF'!$Y$6:$Y$1005,1))</f>
        <v>0</v>
      </c>
      <c r="Y371" s="96" t="str">
        <f>IF(S371=1,A371&amp;" | CDF "&amp;IF(B371="","(sem número)",B371)&amp;" | "&amp;IF(F371="","(sem destinador)",F371),"")</f>
        <v/>
      </c>
      <c r="Z371" s="96" t="str">
        <f>IF(S371=1,COUNTIF($S$6:S371,1),"")</f>
        <v/>
      </c>
      <c r="AA371" s="96">
        <f>IF(S371=0,0,IF(AND(OR(r_ini="",AND(ISNUMBER(D371),D371&gt;=r_ini)),OR(r_fim="",AND(ISNUMBER(D371),D371&lt;=r_fim)),OR(r_de="",r_de="(Todos)",F371=r_de)),1,0))</f>
        <v>0</v>
      </c>
      <c r="AB371" s="96" t="str">
        <f>IF(AA371=1,IF(F371="",0,COUNTIF($F$6:$F$505,"&lt;"&amp;F371))*1000+366,"")</f>
        <v/>
      </c>
    </row>
    <row r="372">
      <c r="A372" s="89" t="inlineStr">
        <is>
          <t>CDF-000367</t>
        </is>
      </c>
      <c r="B372" s="90" t="n"/>
      <c r="C372" s="91" t="n"/>
      <c r="D372" s="92" t="n"/>
      <c r="E372" s="91" t="n"/>
      <c r="F372" s="91" t="n"/>
      <c r="G372" s="91" t="n"/>
      <c r="H372" s="91" t="n"/>
      <c r="I372" s="91" t="n"/>
      <c r="J372" s="91" t="n"/>
      <c r="K372" s="92" t="n"/>
      <c r="L372" s="91" t="n"/>
      <c r="M372" s="91" t="n"/>
      <c r="N372" s="91" t="n"/>
      <c r="O372" s="93" t="str">
        <f>IF(S372=0,"",SUMIFS('VÍNCULOS_CDF'!$H$6:$H$1005,'VÍNCULOS_CDF'!$O$6:$O$1005,A372,'VÍNCULOS_CDF'!$V$6:$V$1005,1))</f>
        <v/>
      </c>
      <c r="P372" s="95" t="str">
        <f>IF(S372=0,"",COUNTIFS('VÍNCULOS_CDF'!$O$6:$O$1005,A372,'VÍNCULOS_CDF'!$N$6:$N$1005,1))</f>
        <v/>
      </c>
      <c r="Q372" s="94" t="str">
        <f>IF(S372=0,"",IF(OR(B372="",F372=""),"Informações incompletas",IF(U372=1,"Possível duplicidade",IF(V372=0,"Destinador fora do cadastro",IF(AND(J372="Sim",N(P372)=0),"Necessita revisão de vínculos",IF(X372&gt;0,"Necessita revisão de vínculos",IF(J372="Sim","Conferido",IF(I372="Sim","Localizado, aguardando conferência","Cadastrado"))))))))</f>
        <v/>
      </c>
      <c r="R372" s="95" t="str">
        <f>IF(S372=0,"",COUNTIFS('VÍNCULOS_CDF'!$O$6:$O$1005,A372,'VÍNCULOS_CDF'!$AB$6:$AB$1005,1))</f>
        <v/>
      </c>
      <c r="S372" s="96">
        <f>IF(COUNTA(B372:N372)&gt;0,1,0)</f>
        <v>0</v>
      </c>
      <c r="T372" s="96" t="str">
        <f>IF(AND(S372=1,B372&lt;&gt;""),C372&amp;"|"&amp;TRIM(B372),"")</f>
        <v/>
      </c>
      <c r="U372" s="96">
        <f>IF(T372="",0,IF(SUMPRODUCT(--($T$6:$T$505=T372))&gt;1,1,0))</f>
        <v>0</v>
      </c>
      <c r="V372" s="96">
        <f>IF(F372="",0,IF(ISNUMBER(MATCH(F372,cmp_dest,0)),1,0))</f>
        <v>0</v>
      </c>
      <c r="W372" s="96">
        <f>IF(AND(S372=1,B372&lt;&gt;"",F372&lt;&gt;"",J372="Sim",U372=0),1,0)</f>
        <v>0</v>
      </c>
      <c r="X372" s="96">
        <f>IF(S372=0,0,COUNTIFS('VÍNCULOS_CDF'!$O$6:$O$1005,A372,'VÍNCULOS_CDF'!$Y$6:$Y$1005,1))</f>
        <v>0</v>
      </c>
      <c r="Y372" s="96" t="str">
        <f>IF(S372=1,A372&amp;" | CDF "&amp;IF(B372="","(sem número)",B372)&amp;" | "&amp;IF(F372="","(sem destinador)",F372),"")</f>
        <v/>
      </c>
      <c r="Z372" s="96" t="str">
        <f>IF(S372=1,COUNTIF($S$6:S372,1),"")</f>
        <v/>
      </c>
      <c r="AA372" s="96">
        <f>IF(S372=0,0,IF(AND(OR(r_ini="",AND(ISNUMBER(D372),D372&gt;=r_ini)),OR(r_fim="",AND(ISNUMBER(D372),D372&lt;=r_fim)),OR(r_de="",r_de="(Todos)",F372=r_de)),1,0))</f>
        <v>0</v>
      </c>
      <c r="AB372" s="96" t="str">
        <f>IF(AA372=1,IF(F372="",0,COUNTIF($F$6:$F$505,"&lt;"&amp;F372))*1000+367,"")</f>
        <v/>
      </c>
    </row>
    <row r="373">
      <c r="A373" s="89" t="inlineStr">
        <is>
          <t>CDF-000368</t>
        </is>
      </c>
      <c r="B373" s="90" t="n"/>
      <c r="C373" s="91" t="n"/>
      <c r="D373" s="92" t="n"/>
      <c r="E373" s="91" t="n"/>
      <c r="F373" s="91" t="n"/>
      <c r="G373" s="91" t="n"/>
      <c r="H373" s="91" t="n"/>
      <c r="I373" s="91" t="n"/>
      <c r="J373" s="91" t="n"/>
      <c r="K373" s="92" t="n"/>
      <c r="L373" s="91" t="n"/>
      <c r="M373" s="91" t="n"/>
      <c r="N373" s="91" t="n"/>
      <c r="O373" s="93" t="str">
        <f>IF(S373=0,"",SUMIFS('VÍNCULOS_CDF'!$H$6:$H$1005,'VÍNCULOS_CDF'!$O$6:$O$1005,A373,'VÍNCULOS_CDF'!$V$6:$V$1005,1))</f>
        <v/>
      </c>
      <c r="P373" s="95" t="str">
        <f>IF(S373=0,"",COUNTIFS('VÍNCULOS_CDF'!$O$6:$O$1005,A373,'VÍNCULOS_CDF'!$N$6:$N$1005,1))</f>
        <v/>
      </c>
      <c r="Q373" s="94" t="str">
        <f>IF(S373=0,"",IF(OR(B373="",F373=""),"Informações incompletas",IF(U373=1,"Possível duplicidade",IF(V373=0,"Destinador fora do cadastro",IF(AND(J373="Sim",N(P373)=0),"Necessita revisão de vínculos",IF(X373&gt;0,"Necessita revisão de vínculos",IF(J373="Sim","Conferido",IF(I373="Sim","Localizado, aguardando conferência","Cadastrado"))))))))</f>
        <v/>
      </c>
      <c r="R373" s="95" t="str">
        <f>IF(S373=0,"",COUNTIFS('VÍNCULOS_CDF'!$O$6:$O$1005,A373,'VÍNCULOS_CDF'!$AB$6:$AB$1005,1))</f>
        <v/>
      </c>
      <c r="S373" s="96">
        <f>IF(COUNTA(B373:N373)&gt;0,1,0)</f>
        <v>0</v>
      </c>
      <c r="T373" s="96" t="str">
        <f>IF(AND(S373=1,B373&lt;&gt;""),C373&amp;"|"&amp;TRIM(B373),"")</f>
        <v/>
      </c>
      <c r="U373" s="96">
        <f>IF(T373="",0,IF(SUMPRODUCT(--($T$6:$T$505=T373))&gt;1,1,0))</f>
        <v>0</v>
      </c>
      <c r="V373" s="96">
        <f>IF(F373="",0,IF(ISNUMBER(MATCH(F373,cmp_dest,0)),1,0))</f>
        <v>0</v>
      </c>
      <c r="W373" s="96">
        <f>IF(AND(S373=1,B373&lt;&gt;"",F373&lt;&gt;"",J373="Sim",U373=0),1,0)</f>
        <v>0</v>
      </c>
      <c r="X373" s="96">
        <f>IF(S373=0,0,COUNTIFS('VÍNCULOS_CDF'!$O$6:$O$1005,A373,'VÍNCULOS_CDF'!$Y$6:$Y$1005,1))</f>
        <v>0</v>
      </c>
      <c r="Y373" s="96" t="str">
        <f>IF(S373=1,A373&amp;" | CDF "&amp;IF(B373="","(sem número)",B373)&amp;" | "&amp;IF(F373="","(sem destinador)",F373),"")</f>
        <v/>
      </c>
      <c r="Z373" s="96" t="str">
        <f>IF(S373=1,COUNTIF($S$6:S373,1),"")</f>
        <v/>
      </c>
      <c r="AA373" s="96">
        <f>IF(S373=0,0,IF(AND(OR(r_ini="",AND(ISNUMBER(D373),D373&gt;=r_ini)),OR(r_fim="",AND(ISNUMBER(D373),D373&lt;=r_fim)),OR(r_de="",r_de="(Todos)",F373=r_de)),1,0))</f>
        <v>0</v>
      </c>
      <c r="AB373" s="96" t="str">
        <f>IF(AA373=1,IF(F373="",0,COUNTIF($F$6:$F$505,"&lt;"&amp;F373))*1000+368,"")</f>
        <v/>
      </c>
    </row>
    <row r="374">
      <c r="A374" s="89" t="inlineStr">
        <is>
          <t>CDF-000369</t>
        </is>
      </c>
      <c r="B374" s="90" t="n"/>
      <c r="C374" s="91" t="n"/>
      <c r="D374" s="92" t="n"/>
      <c r="E374" s="91" t="n"/>
      <c r="F374" s="91" t="n"/>
      <c r="G374" s="91" t="n"/>
      <c r="H374" s="91" t="n"/>
      <c r="I374" s="91" t="n"/>
      <c r="J374" s="91" t="n"/>
      <c r="K374" s="92" t="n"/>
      <c r="L374" s="91" t="n"/>
      <c r="M374" s="91" t="n"/>
      <c r="N374" s="91" t="n"/>
      <c r="O374" s="93" t="str">
        <f>IF(S374=0,"",SUMIFS('VÍNCULOS_CDF'!$H$6:$H$1005,'VÍNCULOS_CDF'!$O$6:$O$1005,A374,'VÍNCULOS_CDF'!$V$6:$V$1005,1))</f>
        <v/>
      </c>
      <c r="P374" s="95" t="str">
        <f>IF(S374=0,"",COUNTIFS('VÍNCULOS_CDF'!$O$6:$O$1005,A374,'VÍNCULOS_CDF'!$N$6:$N$1005,1))</f>
        <v/>
      </c>
      <c r="Q374" s="94" t="str">
        <f>IF(S374=0,"",IF(OR(B374="",F374=""),"Informações incompletas",IF(U374=1,"Possível duplicidade",IF(V374=0,"Destinador fora do cadastro",IF(AND(J374="Sim",N(P374)=0),"Necessita revisão de vínculos",IF(X374&gt;0,"Necessita revisão de vínculos",IF(J374="Sim","Conferido",IF(I374="Sim","Localizado, aguardando conferência","Cadastrado"))))))))</f>
        <v/>
      </c>
      <c r="R374" s="95" t="str">
        <f>IF(S374=0,"",COUNTIFS('VÍNCULOS_CDF'!$O$6:$O$1005,A374,'VÍNCULOS_CDF'!$AB$6:$AB$1005,1))</f>
        <v/>
      </c>
      <c r="S374" s="96">
        <f>IF(COUNTA(B374:N374)&gt;0,1,0)</f>
        <v>0</v>
      </c>
      <c r="T374" s="96" t="str">
        <f>IF(AND(S374=1,B374&lt;&gt;""),C374&amp;"|"&amp;TRIM(B374),"")</f>
        <v/>
      </c>
      <c r="U374" s="96">
        <f>IF(T374="",0,IF(SUMPRODUCT(--($T$6:$T$505=T374))&gt;1,1,0))</f>
        <v>0</v>
      </c>
      <c r="V374" s="96">
        <f>IF(F374="",0,IF(ISNUMBER(MATCH(F374,cmp_dest,0)),1,0))</f>
        <v>0</v>
      </c>
      <c r="W374" s="96">
        <f>IF(AND(S374=1,B374&lt;&gt;"",F374&lt;&gt;"",J374="Sim",U374=0),1,0)</f>
        <v>0</v>
      </c>
      <c r="X374" s="96">
        <f>IF(S374=0,0,COUNTIFS('VÍNCULOS_CDF'!$O$6:$O$1005,A374,'VÍNCULOS_CDF'!$Y$6:$Y$1005,1))</f>
        <v>0</v>
      </c>
      <c r="Y374" s="96" t="str">
        <f>IF(S374=1,A374&amp;" | CDF "&amp;IF(B374="","(sem número)",B374)&amp;" | "&amp;IF(F374="","(sem destinador)",F374),"")</f>
        <v/>
      </c>
      <c r="Z374" s="96" t="str">
        <f>IF(S374=1,COUNTIF($S$6:S374,1),"")</f>
        <v/>
      </c>
      <c r="AA374" s="96">
        <f>IF(S374=0,0,IF(AND(OR(r_ini="",AND(ISNUMBER(D374),D374&gt;=r_ini)),OR(r_fim="",AND(ISNUMBER(D374),D374&lt;=r_fim)),OR(r_de="",r_de="(Todos)",F374=r_de)),1,0))</f>
        <v>0</v>
      </c>
      <c r="AB374" s="96" t="str">
        <f>IF(AA374=1,IF(F374="",0,COUNTIF($F$6:$F$505,"&lt;"&amp;F374))*1000+369,"")</f>
        <v/>
      </c>
    </row>
    <row r="375">
      <c r="A375" s="89" t="inlineStr">
        <is>
          <t>CDF-000370</t>
        </is>
      </c>
      <c r="B375" s="90" t="n"/>
      <c r="C375" s="91" t="n"/>
      <c r="D375" s="92" t="n"/>
      <c r="E375" s="91" t="n"/>
      <c r="F375" s="91" t="n"/>
      <c r="G375" s="91" t="n"/>
      <c r="H375" s="91" t="n"/>
      <c r="I375" s="91" t="n"/>
      <c r="J375" s="91" t="n"/>
      <c r="K375" s="92" t="n"/>
      <c r="L375" s="91" t="n"/>
      <c r="M375" s="91" t="n"/>
      <c r="N375" s="91" t="n"/>
      <c r="O375" s="93" t="str">
        <f>IF(S375=0,"",SUMIFS('VÍNCULOS_CDF'!$H$6:$H$1005,'VÍNCULOS_CDF'!$O$6:$O$1005,A375,'VÍNCULOS_CDF'!$V$6:$V$1005,1))</f>
        <v/>
      </c>
      <c r="P375" s="95" t="str">
        <f>IF(S375=0,"",COUNTIFS('VÍNCULOS_CDF'!$O$6:$O$1005,A375,'VÍNCULOS_CDF'!$N$6:$N$1005,1))</f>
        <v/>
      </c>
      <c r="Q375" s="94" t="str">
        <f>IF(S375=0,"",IF(OR(B375="",F375=""),"Informações incompletas",IF(U375=1,"Possível duplicidade",IF(V375=0,"Destinador fora do cadastro",IF(AND(J375="Sim",N(P375)=0),"Necessita revisão de vínculos",IF(X375&gt;0,"Necessita revisão de vínculos",IF(J375="Sim","Conferido",IF(I375="Sim","Localizado, aguardando conferência","Cadastrado"))))))))</f>
        <v/>
      </c>
      <c r="R375" s="95" t="str">
        <f>IF(S375=0,"",COUNTIFS('VÍNCULOS_CDF'!$O$6:$O$1005,A375,'VÍNCULOS_CDF'!$AB$6:$AB$1005,1))</f>
        <v/>
      </c>
      <c r="S375" s="96">
        <f>IF(COUNTA(B375:N375)&gt;0,1,0)</f>
        <v>0</v>
      </c>
      <c r="T375" s="96" t="str">
        <f>IF(AND(S375=1,B375&lt;&gt;""),C375&amp;"|"&amp;TRIM(B375),"")</f>
        <v/>
      </c>
      <c r="U375" s="96">
        <f>IF(T375="",0,IF(SUMPRODUCT(--($T$6:$T$505=T375))&gt;1,1,0))</f>
        <v>0</v>
      </c>
      <c r="V375" s="96">
        <f>IF(F375="",0,IF(ISNUMBER(MATCH(F375,cmp_dest,0)),1,0))</f>
        <v>0</v>
      </c>
      <c r="W375" s="96">
        <f>IF(AND(S375=1,B375&lt;&gt;"",F375&lt;&gt;"",J375="Sim",U375=0),1,0)</f>
        <v>0</v>
      </c>
      <c r="X375" s="96">
        <f>IF(S375=0,0,COUNTIFS('VÍNCULOS_CDF'!$O$6:$O$1005,A375,'VÍNCULOS_CDF'!$Y$6:$Y$1005,1))</f>
        <v>0</v>
      </c>
      <c r="Y375" s="96" t="str">
        <f>IF(S375=1,A375&amp;" | CDF "&amp;IF(B375="","(sem número)",B375)&amp;" | "&amp;IF(F375="","(sem destinador)",F375),"")</f>
        <v/>
      </c>
      <c r="Z375" s="96" t="str">
        <f>IF(S375=1,COUNTIF($S$6:S375,1),"")</f>
        <v/>
      </c>
      <c r="AA375" s="96">
        <f>IF(S375=0,0,IF(AND(OR(r_ini="",AND(ISNUMBER(D375),D375&gt;=r_ini)),OR(r_fim="",AND(ISNUMBER(D375),D375&lt;=r_fim)),OR(r_de="",r_de="(Todos)",F375=r_de)),1,0))</f>
        <v>0</v>
      </c>
      <c r="AB375" s="96" t="str">
        <f>IF(AA375=1,IF(F375="",0,COUNTIF($F$6:$F$505,"&lt;"&amp;F375))*1000+370,"")</f>
        <v/>
      </c>
    </row>
    <row r="376">
      <c r="A376" s="89" t="inlineStr">
        <is>
          <t>CDF-000371</t>
        </is>
      </c>
      <c r="B376" s="90" t="n"/>
      <c r="C376" s="91" t="n"/>
      <c r="D376" s="92" t="n"/>
      <c r="E376" s="91" t="n"/>
      <c r="F376" s="91" t="n"/>
      <c r="G376" s="91" t="n"/>
      <c r="H376" s="91" t="n"/>
      <c r="I376" s="91" t="n"/>
      <c r="J376" s="91" t="n"/>
      <c r="K376" s="92" t="n"/>
      <c r="L376" s="91" t="n"/>
      <c r="M376" s="91" t="n"/>
      <c r="N376" s="91" t="n"/>
      <c r="O376" s="93" t="str">
        <f>IF(S376=0,"",SUMIFS('VÍNCULOS_CDF'!$H$6:$H$1005,'VÍNCULOS_CDF'!$O$6:$O$1005,A376,'VÍNCULOS_CDF'!$V$6:$V$1005,1))</f>
        <v/>
      </c>
      <c r="P376" s="95" t="str">
        <f>IF(S376=0,"",COUNTIFS('VÍNCULOS_CDF'!$O$6:$O$1005,A376,'VÍNCULOS_CDF'!$N$6:$N$1005,1))</f>
        <v/>
      </c>
      <c r="Q376" s="94" t="str">
        <f>IF(S376=0,"",IF(OR(B376="",F376=""),"Informações incompletas",IF(U376=1,"Possível duplicidade",IF(V376=0,"Destinador fora do cadastro",IF(AND(J376="Sim",N(P376)=0),"Necessita revisão de vínculos",IF(X376&gt;0,"Necessita revisão de vínculos",IF(J376="Sim","Conferido",IF(I376="Sim","Localizado, aguardando conferência","Cadastrado"))))))))</f>
        <v/>
      </c>
      <c r="R376" s="95" t="str">
        <f>IF(S376=0,"",COUNTIFS('VÍNCULOS_CDF'!$O$6:$O$1005,A376,'VÍNCULOS_CDF'!$AB$6:$AB$1005,1))</f>
        <v/>
      </c>
      <c r="S376" s="96">
        <f>IF(COUNTA(B376:N376)&gt;0,1,0)</f>
        <v>0</v>
      </c>
      <c r="T376" s="96" t="str">
        <f>IF(AND(S376=1,B376&lt;&gt;""),C376&amp;"|"&amp;TRIM(B376),"")</f>
        <v/>
      </c>
      <c r="U376" s="96">
        <f>IF(T376="",0,IF(SUMPRODUCT(--($T$6:$T$505=T376))&gt;1,1,0))</f>
        <v>0</v>
      </c>
      <c r="V376" s="96">
        <f>IF(F376="",0,IF(ISNUMBER(MATCH(F376,cmp_dest,0)),1,0))</f>
        <v>0</v>
      </c>
      <c r="W376" s="96">
        <f>IF(AND(S376=1,B376&lt;&gt;"",F376&lt;&gt;"",J376="Sim",U376=0),1,0)</f>
        <v>0</v>
      </c>
      <c r="X376" s="96">
        <f>IF(S376=0,0,COUNTIFS('VÍNCULOS_CDF'!$O$6:$O$1005,A376,'VÍNCULOS_CDF'!$Y$6:$Y$1005,1))</f>
        <v>0</v>
      </c>
      <c r="Y376" s="96" t="str">
        <f>IF(S376=1,A376&amp;" | CDF "&amp;IF(B376="","(sem número)",B376)&amp;" | "&amp;IF(F376="","(sem destinador)",F376),"")</f>
        <v/>
      </c>
      <c r="Z376" s="96" t="str">
        <f>IF(S376=1,COUNTIF($S$6:S376,1),"")</f>
        <v/>
      </c>
      <c r="AA376" s="96">
        <f>IF(S376=0,0,IF(AND(OR(r_ini="",AND(ISNUMBER(D376),D376&gt;=r_ini)),OR(r_fim="",AND(ISNUMBER(D376),D376&lt;=r_fim)),OR(r_de="",r_de="(Todos)",F376=r_de)),1,0))</f>
        <v>0</v>
      </c>
      <c r="AB376" s="96" t="str">
        <f>IF(AA376=1,IF(F376="",0,COUNTIF($F$6:$F$505,"&lt;"&amp;F376))*1000+371,"")</f>
        <v/>
      </c>
    </row>
    <row r="377">
      <c r="A377" s="89" t="inlineStr">
        <is>
          <t>CDF-000372</t>
        </is>
      </c>
      <c r="B377" s="90" t="n"/>
      <c r="C377" s="91" t="n"/>
      <c r="D377" s="92" t="n"/>
      <c r="E377" s="91" t="n"/>
      <c r="F377" s="91" t="n"/>
      <c r="G377" s="91" t="n"/>
      <c r="H377" s="91" t="n"/>
      <c r="I377" s="91" t="n"/>
      <c r="J377" s="91" t="n"/>
      <c r="K377" s="92" t="n"/>
      <c r="L377" s="91" t="n"/>
      <c r="M377" s="91" t="n"/>
      <c r="N377" s="91" t="n"/>
      <c r="O377" s="93" t="str">
        <f>IF(S377=0,"",SUMIFS('VÍNCULOS_CDF'!$H$6:$H$1005,'VÍNCULOS_CDF'!$O$6:$O$1005,A377,'VÍNCULOS_CDF'!$V$6:$V$1005,1))</f>
        <v/>
      </c>
      <c r="P377" s="95" t="str">
        <f>IF(S377=0,"",COUNTIFS('VÍNCULOS_CDF'!$O$6:$O$1005,A377,'VÍNCULOS_CDF'!$N$6:$N$1005,1))</f>
        <v/>
      </c>
      <c r="Q377" s="94" t="str">
        <f>IF(S377=0,"",IF(OR(B377="",F377=""),"Informações incompletas",IF(U377=1,"Possível duplicidade",IF(V377=0,"Destinador fora do cadastro",IF(AND(J377="Sim",N(P377)=0),"Necessita revisão de vínculos",IF(X377&gt;0,"Necessita revisão de vínculos",IF(J377="Sim","Conferido",IF(I377="Sim","Localizado, aguardando conferência","Cadastrado"))))))))</f>
        <v/>
      </c>
      <c r="R377" s="95" t="str">
        <f>IF(S377=0,"",COUNTIFS('VÍNCULOS_CDF'!$O$6:$O$1005,A377,'VÍNCULOS_CDF'!$AB$6:$AB$1005,1))</f>
        <v/>
      </c>
      <c r="S377" s="96">
        <f>IF(COUNTA(B377:N377)&gt;0,1,0)</f>
        <v>0</v>
      </c>
      <c r="T377" s="96" t="str">
        <f>IF(AND(S377=1,B377&lt;&gt;""),C377&amp;"|"&amp;TRIM(B377),"")</f>
        <v/>
      </c>
      <c r="U377" s="96">
        <f>IF(T377="",0,IF(SUMPRODUCT(--($T$6:$T$505=T377))&gt;1,1,0))</f>
        <v>0</v>
      </c>
      <c r="V377" s="96">
        <f>IF(F377="",0,IF(ISNUMBER(MATCH(F377,cmp_dest,0)),1,0))</f>
        <v>0</v>
      </c>
      <c r="W377" s="96">
        <f>IF(AND(S377=1,B377&lt;&gt;"",F377&lt;&gt;"",J377="Sim",U377=0),1,0)</f>
        <v>0</v>
      </c>
      <c r="X377" s="96">
        <f>IF(S377=0,0,COUNTIFS('VÍNCULOS_CDF'!$O$6:$O$1005,A377,'VÍNCULOS_CDF'!$Y$6:$Y$1005,1))</f>
        <v>0</v>
      </c>
      <c r="Y377" s="96" t="str">
        <f>IF(S377=1,A377&amp;" | CDF "&amp;IF(B377="","(sem número)",B377)&amp;" | "&amp;IF(F377="","(sem destinador)",F377),"")</f>
        <v/>
      </c>
      <c r="Z377" s="96" t="str">
        <f>IF(S377=1,COUNTIF($S$6:S377,1),"")</f>
        <v/>
      </c>
      <c r="AA377" s="96">
        <f>IF(S377=0,0,IF(AND(OR(r_ini="",AND(ISNUMBER(D377),D377&gt;=r_ini)),OR(r_fim="",AND(ISNUMBER(D377),D377&lt;=r_fim)),OR(r_de="",r_de="(Todos)",F377=r_de)),1,0))</f>
        <v>0</v>
      </c>
      <c r="AB377" s="96" t="str">
        <f>IF(AA377=1,IF(F377="",0,COUNTIF($F$6:$F$505,"&lt;"&amp;F377))*1000+372,"")</f>
        <v/>
      </c>
    </row>
    <row r="378">
      <c r="A378" s="89" t="inlineStr">
        <is>
          <t>CDF-000373</t>
        </is>
      </c>
      <c r="B378" s="90" t="n"/>
      <c r="C378" s="91" t="n"/>
      <c r="D378" s="92" t="n"/>
      <c r="E378" s="91" t="n"/>
      <c r="F378" s="91" t="n"/>
      <c r="G378" s="91" t="n"/>
      <c r="H378" s="91" t="n"/>
      <c r="I378" s="91" t="n"/>
      <c r="J378" s="91" t="n"/>
      <c r="K378" s="92" t="n"/>
      <c r="L378" s="91" t="n"/>
      <c r="M378" s="91" t="n"/>
      <c r="N378" s="91" t="n"/>
      <c r="O378" s="93" t="str">
        <f>IF(S378=0,"",SUMIFS('VÍNCULOS_CDF'!$H$6:$H$1005,'VÍNCULOS_CDF'!$O$6:$O$1005,A378,'VÍNCULOS_CDF'!$V$6:$V$1005,1))</f>
        <v/>
      </c>
      <c r="P378" s="95" t="str">
        <f>IF(S378=0,"",COUNTIFS('VÍNCULOS_CDF'!$O$6:$O$1005,A378,'VÍNCULOS_CDF'!$N$6:$N$1005,1))</f>
        <v/>
      </c>
      <c r="Q378" s="94" t="str">
        <f>IF(S378=0,"",IF(OR(B378="",F378=""),"Informações incompletas",IF(U378=1,"Possível duplicidade",IF(V378=0,"Destinador fora do cadastro",IF(AND(J378="Sim",N(P378)=0),"Necessita revisão de vínculos",IF(X378&gt;0,"Necessita revisão de vínculos",IF(J378="Sim","Conferido",IF(I378="Sim","Localizado, aguardando conferência","Cadastrado"))))))))</f>
        <v/>
      </c>
      <c r="R378" s="95" t="str">
        <f>IF(S378=0,"",COUNTIFS('VÍNCULOS_CDF'!$O$6:$O$1005,A378,'VÍNCULOS_CDF'!$AB$6:$AB$1005,1))</f>
        <v/>
      </c>
      <c r="S378" s="96">
        <f>IF(COUNTA(B378:N378)&gt;0,1,0)</f>
        <v>0</v>
      </c>
      <c r="T378" s="96" t="str">
        <f>IF(AND(S378=1,B378&lt;&gt;""),C378&amp;"|"&amp;TRIM(B378),"")</f>
        <v/>
      </c>
      <c r="U378" s="96">
        <f>IF(T378="",0,IF(SUMPRODUCT(--($T$6:$T$505=T378))&gt;1,1,0))</f>
        <v>0</v>
      </c>
      <c r="V378" s="96">
        <f>IF(F378="",0,IF(ISNUMBER(MATCH(F378,cmp_dest,0)),1,0))</f>
        <v>0</v>
      </c>
      <c r="W378" s="96">
        <f>IF(AND(S378=1,B378&lt;&gt;"",F378&lt;&gt;"",J378="Sim",U378=0),1,0)</f>
        <v>0</v>
      </c>
      <c r="X378" s="96">
        <f>IF(S378=0,0,COUNTIFS('VÍNCULOS_CDF'!$O$6:$O$1005,A378,'VÍNCULOS_CDF'!$Y$6:$Y$1005,1))</f>
        <v>0</v>
      </c>
      <c r="Y378" s="96" t="str">
        <f>IF(S378=1,A378&amp;" | CDF "&amp;IF(B378="","(sem número)",B378)&amp;" | "&amp;IF(F378="","(sem destinador)",F378),"")</f>
        <v/>
      </c>
      <c r="Z378" s="96" t="str">
        <f>IF(S378=1,COUNTIF($S$6:S378,1),"")</f>
        <v/>
      </c>
      <c r="AA378" s="96">
        <f>IF(S378=0,0,IF(AND(OR(r_ini="",AND(ISNUMBER(D378),D378&gt;=r_ini)),OR(r_fim="",AND(ISNUMBER(D378),D378&lt;=r_fim)),OR(r_de="",r_de="(Todos)",F378=r_de)),1,0))</f>
        <v>0</v>
      </c>
      <c r="AB378" s="96" t="str">
        <f>IF(AA378=1,IF(F378="",0,COUNTIF($F$6:$F$505,"&lt;"&amp;F378))*1000+373,"")</f>
        <v/>
      </c>
    </row>
    <row r="379">
      <c r="A379" s="89" t="inlineStr">
        <is>
          <t>CDF-000374</t>
        </is>
      </c>
      <c r="B379" s="90" t="n"/>
      <c r="C379" s="91" t="n"/>
      <c r="D379" s="92" t="n"/>
      <c r="E379" s="91" t="n"/>
      <c r="F379" s="91" t="n"/>
      <c r="G379" s="91" t="n"/>
      <c r="H379" s="91" t="n"/>
      <c r="I379" s="91" t="n"/>
      <c r="J379" s="91" t="n"/>
      <c r="K379" s="92" t="n"/>
      <c r="L379" s="91" t="n"/>
      <c r="M379" s="91" t="n"/>
      <c r="N379" s="91" t="n"/>
      <c r="O379" s="93" t="str">
        <f>IF(S379=0,"",SUMIFS('VÍNCULOS_CDF'!$H$6:$H$1005,'VÍNCULOS_CDF'!$O$6:$O$1005,A379,'VÍNCULOS_CDF'!$V$6:$V$1005,1))</f>
        <v/>
      </c>
      <c r="P379" s="95" t="str">
        <f>IF(S379=0,"",COUNTIFS('VÍNCULOS_CDF'!$O$6:$O$1005,A379,'VÍNCULOS_CDF'!$N$6:$N$1005,1))</f>
        <v/>
      </c>
      <c r="Q379" s="94" t="str">
        <f>IF(S379=0,"",IF(OR(B379="",F379=""),"Informações incompletas",IF(U379=1,"Possível duplicidade",IF(V379=0,"Destinador fora do cadastro",IF(AND(J379="Sim",N(P379)=0),"Necessita revisão de vínculos",IF(X379&gt;0,"Necessita revisão de vínculos",IF(J379="Sim","Conferido",IF(I379="Sim","Localizado, aguardando conferência","Cadastrado"))))))))</f>
        <v/>
      </c>
      <c r="R379" s="95" t="str">
        <f>IF(S379=0,"",COUNTIFS('VÍNCULOS_CDF'!$O$6:$O$1005,A379,'VÍNCULOS_CDF'!$AB$6:$AB$1005,1))</f>
        <v/>
      </c>
      <c r="S379" s="96">
        <f>IF(COUNTA(B379:N379)&gt;0,1,0)</f>
        <v>0</v>
      </c>
      <c r="T379" s="96" t="str">
        <f>IF(AND(S379=1,B379&lt;&gt;""),C379&amp;"|"&amp;TRIM(B379),"")</f>
        <v/>
      </c>
      <c r="U379" s="96">
        <f>IF(T379="",0,IF(SUMPRODUCT(--($T$6:$T$505=T379))&gt;1,1,0))</f>
        <v>0</v>
      </c>
      <c r="V379" s="96">
        <f>IF(F379="",0,IF(ISNUMBER(MATCH(F379,cmp_dest,0)),1,0))</f>
        <v>0</v>
      </c>
      <c r="W379" s="96">
        <f>IF(AND(S379=1,B379&lt;&gt;"",F379&lt;&gt;"",J379="Sim",U379=0),1,0)</f>
        <v>0</v>
      </c>
      <c r="X379" s="96">
        <f>IF(S379=0,0,COUNTIFS('VÍNCULOS_CDF'!$O$6:$O$1005,A379,'VÍNCULOS_CDF'!$Y$6:$Y$1005,1))</f>
        <v>0</v>
      </c>
      <c r="Y379" s="96" t="str">
        <f>IF(S379=1,A379&amp;" | CDF "&amp;IF(B379="","(sem número)",B379)&amp;" | "&amp;IF(F379="","(sem destinador)",F379),"")</f>
        <v/>
      </c>
      <c r="Z379" s="96" t="str">
        <f>IF(S379=1,COUNTIF($S$6:S379,1),"")</f>
        <v/>
      </c>
      <c r="AA379" s="96">
        <f>IF(S379=0,0,IF(AND(OR(r_ini="",AND(ISNUMBER(D379),D379&gt;=r_ini)),OR(r_fim="",AND(ISNUMBER(D379),D379&lt;=r_fim)),OR(r_de="",r_de="(Todos)",F379=r_de)),1,0))</f>
        <v>0</v>
      </c>
      <c r="AB379" s="96" t="str">
        <f>IF(AA379=1,IF(F379="",0,COUNTIF($F$6:$F$505,"&lt;"&amp;F379))*1000+374,"")</f>
        <v/>
      </c>
    </row>
    <row r="380">
      <c r="A380" s="89" t="inlineStr">
        <is>
          <t>CDF-000375</t>
        </is>
      </c>
      <c r="B380" s="90" t="n"/>
      <c r="C380" s="91" t="n"/>
      <c r="D380" s="92" t="n"/>
      <c r="E380" s="91" t="n"/>
      <c r="F380" s="91" t="n"/>
      <c r="G380" s="91" t="n"/>
      <c r="H380" s="91" t="n"/>
      <c r="I380" s="91" t="n"/>
      <c r="J380" s="91" t="n"/>
      <c r="K380" s="92" t="n"/>
      <c r="L380" s="91" t="n"/>
      <c r="M380" s="91" t="n"/>
      <c r="N380" s="91" t="n"/>
      <c r="O380" s="93" t="str">
        <f>IF(S380=0,"",SUMIFS('VÍNCULOS_CDF'!$H$6:$H$1005,'VÍNCULOS_CDF'!$O$6:$O$1005,A380,'VÍNCULOS_CDF'!$V$6:$V$1005,1))</f>
        <v/>
      </c>
      <c r="P380" s="95" t="str">
        <f>IF(S380=0,"",COUNTIFS('VÍNCULOS_CDF'!$O$6:$O$1005,A380,'VÍNCULOS_CDF'!$N$6:$N$1005,1))</f>
        <v/>
      </c>
      <c r="Q380" s="94" t="str">
        <f>IF(S380=0,"",IF(OR(B380="",F380=""),"Informações incompletas",IF(U380=1,"Possível duplicidade",IF(V380=0,"Destinador fora do cadastro",IF(AND(J380="Sim",N(P380)=0),"Necessita revisão de vínculos",IF(X380&gt;0,"Necessita revisão de vínculos",IF(J380="Sim","Conferido",IF(I380="Sim","Localizado, aguardando conferência","Cadastrado"))))))))</f>
        <v/>
      </c>
      <c r="R380" s="95" t="str">
        <f>IF(S380=0,"",COUNTIFS('VÍNCULOS_CDF'!$O$6:$O$1005,A380,'VÍNCULOS_CDF'!$AB$6:$AB$1005,1))</f>
        <v/>
      </c>
      <c r="S380" s="96">
        <f>IF(COUNTA(B380:N380)&gt;0,1,0)</f>
        <v>0</v>
      </c>
      <c r="T380" s="96" t="str">
        <f>IF(AND(S380=1,B380&lt;&gt;""),C380&amp;"|"&amp;TRIM(B380),"")</f>
        <v/>
      </c>
      <c r="U380" s="96">
        <f>IF(T380="",0,IF(SUMPRODUCT(--($T$6:$T$505=T380))&gt;1,1,0))</f>
        <v>0</v>
      </c>
      <c r="V380" s="96">
        <f>IF(F380="",0,IF(ISNUMBER(MATCH(F380,cmp_dest,0)),1,0))</f>
        <v>0</v>
      </c>
      <c r="W380" s="96">
        <f>IF(AND(S380=1,B380&lt;&gt;"",F380&lt;&gt;"",J380="Sim",U380=0),1,0)</f>
        <v>0</v>
      </c>
      <c r="X380" s="96">
        <f>IF(S380=0,0,COUNTIFS('VÍNCULOS_CDF'!$O$6:$O$1005,A380,'VÍNCULOS_CDF'!$Y$6:$Y$1005,1))</f>
        <v>0</v>
      </c>
      <c r="Y380" s="96" t="str">
        <f>IF(S380=1,A380&amp;" | CDF "&amp;IF(B380="","(sem número)",B380)&amp;" | "&amp;IF(F380="","(sem destinador)",F380),"")</f>
        <v/>
      </c>
      <c r="Z380" s="96" t="str">
        <f>IF(S380=1,COUNTIF($S$6:S380,1),"")</f>
        <v/>
      </c>
      <c r="AA380" s="96">
        <f>IF(S380=0,0,IF(AND(OR(r_ini="",AND(ISNUMBER(D380),D380&gt;=r_ini)),OR(r_fim="",AND(ISNUMBER(D380),D380&lt;=r_fim)),OR(r_de="",r_de="(Todos)",F380=r_de)),1,0))</f>
        <v>0</v>
      </c>
      <c r="AB380" s="96" t="str">
        <f>IF(AA380=1,IF(F380="",0,COUNTIF($F$6:$F$505,"&lt;"&amp;F380))*1000+375,"")</f>
        <v/>
      </c>
    </row>
    <row r="381">
      <c r="A381" s="89" t="inlineStr">
        <is>
          <t>CDF-000376</t>
        </is>
      </c>
      <c r="B381" s="90" t="n"/>
      <c r="C381" s="91" t="n"/>
      <c r="D381" s="92" t="n"/>
      <c r="E381" s="91" t="n"/>
      <c r="F381" s="91" t="n"/>
      <c r="G381" s="91" t="n"/>
      <c r="H381" s="91" t="n"/>
      <c r="I381" s="91" t="n"/>
      <c r="J381" s="91" t="n"/>
      <c r="K381" s="92" t="n"/>
      <c r="L381" s="91" t="n"/>
      <c r="M381" s="91" t="n"/>
      <c r="N381" s="91" t="n"/>
      <c r="O381" s="93" t="str">
        <f>IF(S381=0,"",SUMIFS('VÍNCULOS_CDF'!$H$6:$H$1005,'VÍNCULOS_CDF'!$O$6:$O$1005,A381,'VÍNCULOS_CDF'!$V$6:$V$1005,1))</f>
        <v/>
      </c>
      <c r="P381" s="95" t="str">
        <f>IF(S381=0,"",COUNTIFS('VÍNCULOS_CDF'!$O$6:$O$1005,A381,'VÍNCULOS_CDF'!$N$6:$N$1005,1))</f>
        <v/>
      </c>
      <c r="Q381" s="94" t="str">
        <f>IF(S381=0,"",IF(OR(B381="",F381=""),"Informações incompletas",IF(U381=1,"Possível duplicidade",IF(V381=0,"Destinador fora do cadastro",IF(AND(J381="Sim",N(P381)=0),"Necessita revisão de vínculos",IF(X381&gt;0,"Necessita revisão de vínculos",IF(J381="Sim","Conferido",IF(I381="Sim","Localizado, aguardando conferência","Cadastrado"))))))))</f>
        <v/>
      </c>
      <c r="R381" s="95" t="str">
        <f>IF(S381=0,"",COUNTIFS('VÍNCULOS_CDF'!$O$6:$O$1005,A381,'VÍNCULOS_CDF'!$AB$6:$AB$1005,1))</f>
        <v/>
      </c>
      <c r="S381" s="96">
        <f>IF(COUNTA(B381:N381)&gt;0,1,0)</f>
        <v>0</v>
      </c>
      <c r="T381" s="96" t="str">
        <f>IF(AND(S381=1,B381&lt;&gt;""),C381&amp;"|"&amp;TRIM(B381),"")</f>
        <v/>
      </c>
      <c r="U381" s="96">
        <f>IF(T381="",0,IF(SUMPRODUCT(--($T$6:$T$505=T381))&gt;1,1,0))</f>
        <v>0</v>
      </c>
      <c r="V381" s="96">
        <f>IF(F381="",0,IF(ISNUMBER(MATCH(F381,cmp_dest,0)),1,0))</f>
        <v>0</v>
      </c>
      <c r="W381" s="96">
        <f>IF(AND(S381=1,B381&lt;&gt;"",F381&lt;&gt;"",J381="Sim",U381=0),1,0)</f>
        <v>0</v>
      </c>
      <c r="X381" s="96">
        <f>IF(S381=0,0,COUNTIFS('VÍNCULOS_CDF'!$O$6:$O$1005,A381,'VÍNCULOS_CDF'!$Y$6:$Y$1005,1))</f>
        <v>0</v>
      </c>
      <c r="Y381" s="96" t="str">
        <f>IF(S381=1,A381&amp;" | CDF "&amp;IF(B381="","(sem número)",B381)&amp;" | "&amp;IF(F381="","(sem destinador)",F381),"")</f>
        <v/>
      </c>
      <c r="Z381" s="96" t="str">
        <f>IF(S381=1,COUNTIF($S$6:S381,1),"")</f>
        <v/>
      </c>
      <c r="AA381" s="96">
        <f>IF(S381=0,0,IF(AND(OR(r_ini="",AND(ISNUMBER(D381),D381&gt;=r_ini)),OR(r_fim="",AND(ISNUMBER(D381),D381&lt;=r_fim)),OR(r_de="",r_de="(Todos)",F381=r_de)),1,0))</f>
        <v>0</v>
      </c>
      <c r="AB381" s="96" t="str">
        <f>IF(AA381=1,IF(F381="",0,COUNTIF($F$6:$F$505,"&lt;"&amp;F381))*1000+376,"")</f>
        <v/>
      </c>
    </row>
    <row r="382">
      <c r="A382" s="89" t="inlineStr">
        <is>
          <t>CDF-000377</t>
        </is>
      </c>
      <c r="B382" s="90" t="n"/>
      <c r="C382" s="91" t="n"/>
      <c r="D382" s="92" t="n"/>
      <c r="E382" s="91" t="n"/>
      <c r="F382" s="91" t="n"/>
      <c r="G382" s="91" t="n"/>
      <c r="H382" s="91" t="n"/>
      <c r="I382" s="91" t="n"/>
      <c r="J382" s="91" t="n"/>
      <c r="K382" s="92" t="n"/>
      <c r="L382" s="91" t="n"/>
      <c r="M382" s="91" t="n"/>
      <c r="N382" s="91" t="n"/>
      <c r="O382" s="93" t="str">
        <f>IF(S382=0,"",SUMIFS('VÍNCULOS_CDF'!$H$6:$H$1005,'VÍNCULOS_CDF'!$O$6:$O$1005,A382,'VÍNCULOS_CDF'!$V$6:$V$1005,1))</f>
        <v/>
      </c>
      <c r="P382" s="95" t="str">
        <f>IF(S382=0,"",COUNTIFS('VÍNCULOS_CDF'!$O$6:$O$1005,A382,'VÍNCULOS_CDF'!$N$6:$N$1005,1))</f>
        <v/>
      </c>
      <c r="Q382" s="94" t="str">
        <f>IF(S382=0,"",IF(OR(B382="",F382=""),"Informações incompletas",IF(U382=1,"Possível duplicidade",IF(V382=0,"Destinador fora do cadastro",IF(AND(J382="Sim",N(P382)=0),"Necessita revisão de vínculos",IF(X382&gt;0,"Necessita revisão de vínculos",IF(J382="Sim","Conferido",IF(I382="Sim","Localizado, aguardando conferência","Cadastrado"))))))))</f>
        <v/>
      </c>
      <c r="R382" s="95" t="str">
        <f>IF(S382=0,"",COUNTIFS('VÍNCULOS_CDF'!$O$6:$O$1005,A382,'VÍNCULOS_CDF'!$AB$6:$AB$1005,1))</f>
        <v/>
      </c>
      <c r="S382" s="96">
        <f>IF(COUNTA(B382:N382)&gt;0,1,0)</f>
        <v>0</v>
      </c>
      <c r="T382" s="96" t="str">
        <f>IF(AND(S382=1,B382&lt;&gt;""),C382&amp;"|"&amp;TRIM(B382),"")</f>
        <v/>
      </c>
      <c r="U382" s="96">
        <f>IF(T382="",0,IF(SUMPRODUCT(--($T$6:$T$505=T382))&gt;1,1,0))</f>
        <v>0</v>
      </c>
      <c r="V382" s="96">
        <f>IF(F382="",0,IF(ISNUMBER(MATCH(F382,cmp_dest,0)),1,0))</f>
        <v>0</v>
      </c>
      <c r="W382" s="96">
        <f>IF(AND(S382=1,B382&lt;&gt;"",F382&lt;&gt;"",J382="Sim",U382=0),1,0)</f>
        <v>0</v>
      </c>
      <c r="X382" s="96">
        <f>IF(S382=0,0,COUNTIFS('VÍNCULOS_CDF'!$O$6:$O$1005,A382,'VÍNCULOS_CDF'!$Y$6:$Y$1005,1))</f>
        <v>0</v>
      </c>
      <c r="Y382" s="96" t="str">
        <f>IF(S382=1,A382&amp;" | CDF "&amp;IF(B382="","(sem número)",B382)&amp;" | "&amp;IF(F382="","(sem destinador)",F382),"")</f>
        <v/>
      </c>
      <c r="Z382" s="96" t="str">
        <f>IF(S382=1,COUNTIF($S$6:S382,1),"")</f>
        <v/>
      </c>
      <c r="AA382" s="96">
        <f>IF(S382=0,0,IF(AND(OR(r_ini="",AND(ISNUMBER(D382),D382&gt;=r_ini)),OR(r_fim="",AND(ISNUMBER(D382),D382&lt;=r_fim)),OR(r_de="",r_de="(Todos)",F382=r_de)),1,0))</f>
        <v>0</v>
      </c>
      <c r="AB382" s="96" t="str">
        <f>IF(AA382=1,IF(F382="",0,COUNTIF($F$6:$F$505,"&lt;"&amp;F382))*1000+377,"")</f>
        <v/>
      </c>
    </row>
    <row r="383">
      <c r="A383" s="89" t="inlineStr">
        <is>
          <t>CDF-000378</t>
        </is>
      </c>
      <c r="B383" s="90" t="n"/>
      <c r="C383" s="91" t="n"/>
      <c r="D383" s="92" t="n"/>
      <c r="E383" s="91" t="n"/>
      <c r="F383" s="91" t="n"/>
      <c r="G383" s="91" t="n"/>
      <c r="H383" s="91" t="n"/>
      <c r="I383" s="91" t="n"/>
      <c r="J383" s="91" t="n"/>
      <c r="K383" s="92" t="n"/>
      <c r="L383" s="91" t="n"/>
      <c r="M383" s="91" t="n"/>
      <c r="N383" s="91" t="n"/>
      <c r="O383" s="93" t="str">
        <f>IF(S383=0,"",SUMIFS('VÍNCULOS_CDF'!$H$6:$H$1005,'VÍNCULOS_CDF'!$O$6:$O$1005,A383,'VÍNCULOS_CDF'!$V$6:$V$1005,1))</f>
        <v/>
      </c>
      <c r="P383" s="95" t="str">
        <f>IF(S383=0,"",COUNTIFS('VÍNCULOS_CDF'!$O$6:$O$1005,A383,'VÍNCULOS_CDF'!$N$6:$N$1005,1))</f>
        <v/>
      </c>
      <c r="Q383" s="94" t="str">
        <f>IF(S383=0,"",IF(OR(B383="",F383=""),"Informações incompletas",IF(U383=1,"Possível duplicidade",IF(V383=0,"Destinador fora do cadastro",IF(AND(J383="Sim",N(P383)=0),"Necessita revisão de vínculos",IF(X383&gt;0,"Necessita revisão de vínculos",IF(J383="Sim","Conferido",IF(I383="Sim","Localizado, aguardando conferência","Cadastrado"))))))))</f>
        <v/>
      </c>
      <c r="R383" s="95" t="str">
        <f>IF(S383=0,"",COUNTIFS('VÍNCULOS_CDF'!$O$6:$O$1005,A383,'VÍNCULOS_CDF'!$AB$6:$AB$1005,1))</f>
        <v/>
      </c>
      <c r="S383" s="96">
        <f>IF(COUNTA(B383:N383)&gt;0,1,0)</f>
        <v>0</v>
      </c>
      <c r="T383" s="96" t="str">
        <f>IF(AND(S383=1,B383&lt;&gt;""),C383&amp;"|"&amp;TRIM(B383),"")</f>
        <v/>
      </c>
      <c r="U383" s="96">
        <f>IF(T383="",0,IF(SUMPRODUCT(--($T$6:$T$505=T383))&gt;1,1,0))</f>
        <v>0</v>
      </c>
      <c r="V383" s="96">
        <f>IF(F383="",0,IF(ISNUMBER(MATCH(F383,cmp_dest,0)),1,0))</f>
        <v>0</v>
      </c>
      <c r="W383" s="96">
        <f>IF(AND(S383=1,B383&lt;&gt;"",F383&lt;&gt;"",J383="Sim",U383=0),1,0)</f>
        <v>0</v>
      </c>
      <c r="X383" s="96">
        <f>IF(S383=0,0,COUNTIFS('VÍNCULOS_CDF'!$O$6:$O$1005,A383,'VÍNCULOS_CDF'!$Y$6:$Y$1005,1))</f>
        <v>0</v>
      </c>
      <c r="Y383" s="96" t="str">
        <f>IF(S383=1,A383&amp;" | CDF "&amp;IF(B383="","(sem número)",B383)&amp;" | "&amp;IF(F383="","(sem destinador)",F383),"")</f>
        <v/>
      </c>
      <c r="Z383" s="96" t="str">
        <f>IF(S383=1,COUNTIF($S$6:S383,1),"")</f>
        <v/>
      </c>
      <c r="AA383" s="96">
        <f>IF(S383=0,0,IF(AND(OR(r_ini="",AND(ISNUMBER(D383),D383&gt;=r_ini)),OR(r_fim="",AND(ISNUMBER(D383),D383&lt;=r_fim)),OR(r_de="",r_de="(Todos)",F383=r_de)),1,0))</f>
        <v>0</v>
      </c>
      <c r="AB383" s="96" t="str">
        <f>IF(AA383=1,IF(F383="",0,COUNTIF($F$6:$F$505,"&lt;"&amp;F383))*1000+378,"")</f>
        <v/>
      </c>
    </row>
    <row r="384">
      <c r="A384" s="89" t="inlineStr">
        <is>
          <t>CDF-000379</t>
        </is>
      </c>
      <c r="B384" s="90" t="n"/>
      <c r="C384" s="91" t="n"/>
      <c r="D384" s="92" t="n"/>
      <c r="E384" s="91" t="n"/>
      <c r="F384" s="91" t="n"/>
      <c r="G384" s="91" t="n"/>
      <c r="H384" s="91" t="n"/>
      <c r="I384" s="91" t="n"/>
      <c r="J384" s="91" t="n"/>
      <c r="K384" s="92" t="n"/>
      <c r="L384" s="91" t="n"/>
      <c r="M384" s="91" t="n"/>
      <c r="N384" s="91" t="n"/>
      <c r="O384" s="93" t="str">
        <f>IF(S384=0,"",SUMIFS('VÍNCULOS_CDF'!$H$6:$H$1005,'VÍNCULOS_CDF'!$O$6:$O$1005,A384,'VÍNCULOS_CDF'!$V$6:$V$1005,1))</f>
        <v/>
      </c>
      <c r="P384" s="95" t="str">
        <f>IF(S384=0,"",COUNTIFS('VÍNCULOS_CDF'!$O$6:$O$1005,A384,'VÍNCULOS_CDF'!$N$6:$N$1005,1))</f>
        <v/>
      </c>
      <c r="Q384" s="94" t="str">
        <f>IF(S384=0,"",IF(OR(B384="",F384=""),"Informações incompletas",IF(U384=1,"Possível duplicidade",IF(V384=0,"Destinador fora do cadastro",IF(AND(J384="Sim",N(P384)=0),"Necessita revisão de vínculos",IF(X384&gt;0,"Necessita revisão de vínculos",IF(J384="Sim","Conferido",IF(I384="Sim","Localizado, aguardando conferência","Cadastrado"))))))))</f>
        <v/>
      </c>
      <c r="R384" s="95" t="str">
        <f>IF(S384=0,"",COUNTIFS('VÍNCULOS_CDF'!$O$6:$O$1005,A384,'VÍNCULOS_CDF'!$AB$6:$AB$1005,1))</f>
        <v/>
      </c>
      <c r="S384" s="96">
        <f>IF(COUNTA(B384:N384)&gt;0,1,0)</f>
        <v>0</v>
      </c>
      <c r="T384" s="96" t="str">
        <f>IF(AND(S384=1,B384&lt;&gt;""),C384&amp;"|"&amp;TRIM(B384),"")</f>
        <v/>
      </c>
      <c r="U384" s="96">
        <f>IF(T384="",0,IF(SUMPRODUCT(--($T$6:$T$505=T384))&gt;1,1,0))</f>
        <v>0</v>
      </c>
      <c r="V384" s="96">
        <f>IF(F384="",0,IF(ISNUMBER(MATCH(F384,cmp_dest,0)),1,0))</f>
        <v>0</v>
      </c>
      <c r="W384" s="96">
        <f>IF(AND(S384=1,B384&lt;&gt;"",F384&lt;&gt;"",J384="Sim",U384=0),1,0)</f>
        <v>0</v>
      </c>
      <c r="X384" s="96">
        <f>IF(S384=0,0,COUNTIFS('VÍNCULOS_CDF'!$O$6:$O$1005,A384,'VÍNCULOS_CDF'!$Y$6:$Y$1005,1))</f>
        <v>0</v>
      </c>
      <c r="Y384" s="96" t="str">
        <f>IF(S384=1,A384&amp;" | CDF "&amp;IF(B384="","(sem número)",B384)&amp;" | "&amp;IF(F384="","(sem destinador)",F384),"")</f>
        <v/>
      </c>
      <c r="Z384" s="96" t="str">
        <f>IF(S384=1,COUNTIF($S$6:S384,1),"")</f>
        <v/>
      </c>
      <c r="AA384" s="96">
        <f>IF(S384=0,0,IF(AND(OR(r_ini="",AND(ISNUMBER(D384),D384&gt;=r_ini)),OR(r_fim="",AND(ISNUMBER(D384),D384&lt;=r_fim)),OR(r_de="",r_de="(Todos)",F384=r_de)),1,0))</f>
        <v>0</v>
      </c>
      <c r="AB384" s="96" t="str">
        <f>IF(AA384=1,IF(F384="",0,COUNTIF($F$6:$F$505,"&lt;"&amp;F384))*1000+379,"")</f>
        <v/>
      </c>
    </row>
    <row r="385">
      <c r="A385" s="89" t="inlineStr">
        <is>
          <t>CDF-000380</t>
        </is>
      </c>
      <c r="B385" s="90" t="n"/>
      <c r="C385" s="91" t="n"/>
      <c r="D385" s="92" t="n"/>
      <c r="E385" s="91" t="n"/>
      <c r="F385" s="91" t="n"/>
      <c r="G385" s="91" t="n"/>
      <c r="H385" s="91" t="n"/>
      <c r="I385" s="91" t="n"/>
      <c r="J385" s="91" t="n"/>
      <c r="K385" s="92" t="n"/>
      <c r="L385" s="91" t="n"/>
      <c r="M385" s="91" t="n"/>
      <c r="N385" s="91" t="n"/>
      <c r="O385" s="93" t="str">
        <f>IF(S385=0,"",SUMIFS('VÍNCULOS_CDF'!$H$6:$H$1005,'VÍNCULOS_CDF'!$O$6:$O$1005,A385,'VÍNCULOS_CDF'!$V$6:$V$1005,1))</f>
        <v/>
      </c>
      <c r="P385" s="95" t="str">
        <f>IF(S385=0,"",COUNTIFS('VÍNCULOS_CDF'!$O$6:$O$1005,A385,'VÍNCULOS_CDF'!$N$6:$N$1005,1))</f>
        <v/>
      </c>
      <c r="Q385" s="94" t="str">
        <f>IF(S385=0,"",IF(OR(B385="",F385=""),"Informações incompletas",IF(U385=1,"Possível duplicidade",IF(V385=0,"Destinador fora do cadastro",IF(AND(J385="Sim",N(P385)=0),"Necessita revisão de vínculos",IF(X385&gt;0,"Necessita revisão de vínculos",IF(J385="Sim","Conferido",IF(I385="Sim","Localizado, aguardando conferência","Cadastrado"))))))))</f>
        <v/>
      </c>
      <c r="R385" s="95" t="str">
        <f>IF(S385=0,"",COUNTIFS('VÍNCULOS_CDF'!$O$6:$O$1005,A385,'VÍNCULOS_CDF'!$AB$6:$AB$1005,1))</f>
        <v/>
      </c>
      <c r="S385" s="96">
        <f>IF(COUNTA(B385:N385)&gt;0,1,0)</f>
        <v>0</v>
      </c>
      <c r="T385" s="96" t="str">
        <f>IF(AND(S385=1,B385&lt;&gt;""),C385&amp;"|"&amp;TRIM(B385),"")</f>
        <v/>
      </c>
      <c r="U385" s="96">
        <f>IF(T385="",0,IF(SUMPRODUCT(--($T$6:$T$505=T385))&gt;1,1,0))</f>
        <v>0</v>
      </c>
      <c r="V385" s="96">
        <f>IF(F385="",0,IF(ISNUMBER(MATCH(F385,cmp_dest,0)),1,0))</f>
        <v>0</v>
      </c>
      <c r="W385" s="96">
        <f>IF(AND(S385=1,B385&lt;&gt;"",F385&lt;&gt;"",J385="Sim",U385=0),1,0)</f>
        <v>0</v>
      </c>
      <c r="X385" s="96">
        <f>IF(S385=0,0,COUNTIFS('VÍNCULOS_CDF'!$O$6:$O$1005,A385,'VÍNCULOS_CDF'!$Y$6:$Y$1005,1))</f>
        <v>0</v>
      </c>
      <c r="Y385" s="96" t="str">
        <f>IF(S385=1,A385&amp;" | CDF "&amp;IF(B385="","(sem número)",B385)&amp;" | "&amp;IF(F385="","(sem destinador)",F385),"")</f>
        <v/>
      </c>
      <c r="Z385" s="96" t="str">
        <f>IF(S385=1,COUNTIF($S$6:S385,1),"")</f>
        <v/>
      </c>
      <c r="AA385" s="96">
        <f>IF(S385=0,0,IF(AND(OR(r_ini="",AND(ISNUMBER(D385),D385&gt;=r_ini)),OR(r_fim="",AND(ISNUMBER(D385),D385&lt;=r_fim)),OR(r_de="",r_de="(Todos)",F385=r_de)),1,0))</f>
        <v>0</v>
      </c>
      <c r="AB385" s="96" t="str">
        <f>IF(AA385=1,IF(F385="",0,COUNTIF($F$6:$F$505,"&lt;"&amp;F385))*1000+380,"")</f>
        <v/>
      </c>
    </row>
    <row r="386">
      <c r="A386" s="89" t="inlineStr">
        <is>
          <t>CDF-000381</t>
        </is>
      </c>
      <c r="B386" s="90" t="n"/>
      <c r="C386" s="91" t="n"/>
      <c r="D386" s="92" t="n"/>
      <c r="E386" s="91" t="n"/>
      <c r="F386" s="91" t="n"/>
      <c r="G386" s="91" t="n"/>
      <c r="H386" s="91" t="n"/>
      <c r="I386" s="91" t="n"/>
      <c r="J386" s="91" t="n"/>
      <c r="K386" s="92" t="n"/>
      <c r="L386" s="91" t="n"/>
      <c r="M386" s="91" t="n"/>
      <c r="N386" s="91" t="n"/>
      <c r="O386" s="93" t="str">
        <f>IF(S386=0,"",SUMIFS('VÍNCULOS_CDF'!$H$6:$H$1005,'VÍNCULOS_CDF'!$O$6:$O$1005,A386,'VÍNCULOS_CDF'!$V$6:$V$1005,1))</f>
        <v/>
      </c>
      <c r="P386" s="95" t="str">
        <f>IF(S386=0,"",COUNTIFS('VÍNCULOS_CDF'!$O$6:$O$1005,A386,'VÍNCULOS_CDF'!$N$6:$N$1005,1))</f>
        <v/>
      </c>
      <c r="Q386" s="94" t="str">
        <f>IF(S386=0,"",IF(OR(B386="",F386=""),"Informações incompletas",IF(U386=1,"Possível duplicidade",IF(V386=0,"Destinador fora do cadastro",IF(AND(J386="Sim",N(P386)=0),"Necessita revisão de vínculos",IF(X386&gt;0,"Necessita revisão de vínculos",IF(J386="Sim","Conferido",IF(I386="Sim","Localizado, aguardando conferência","Cadastrado"))))))))</f>
        <v/>
      </c>
      <c r="R386" s="95" t="str">
        <f>IF(S386=0,"",COUNTIFS('VÍNCULOS_CDF'!$O$6:$O$1005,A386,'VÍNCULOS_CDF'!$AB$6:$AB$1005,1))</f>
        <v/>
      </c>
      <c r="S386" s="96">
        <f>IF(COUNTA(B386:N386)&gt;0,1,0)</f>
        <v>0</v>
      </c>
      <c r="T386" s="96" t="str">
        <f>IF(AND(S386=1,B386&lt;&gt;""),C386&amp;"|"&amp;TRIM(B386),"")</f>
        <v/>
      </c>
      <c r="U386" s="96">
        <f>IF(T386="",0,IF(SUMPRODUCT(--($T$6:$T$505=T386))&gt;1,1,0))</f>
        <v>0</v>
      </c>
      <c r="V386" s="96">
        <f>IF(F386="",0,IF(ISNUMBER(MATCH(F386,cmp_dest,0)),1,0))</f>
        <v>0</v>
      </c>
      <c r="W386" s="96">
        <f>IF(AND(S386=1,B386&lt;&gt;"",F386&lt;&gt;"",J386="Sim",U386=0),1,0)</f>
        <v>0</v>
      </c>
      <c r="X386" s="96">
        <f>IF(S386=0,0,COUNTIFS('VÍNCULOS_CDF'!$O$6:$O$1005,A386,'VÍNCULOS_CDF'!$Y$6:$Y$1005,1))</f>
        <v>0</v>
      </c>
      <c r="Y386" s="96" t="str">
        <f>IF(S386=1,A386&amp;" | CDF "&amp;IF(B386="","(sem número)",B386)&amp;" | "&amp;IF(F386="","(sem destinador)",F386),"")</f>
        <v/>
      </c>
      <c r="Z386" s="96" t="str">
        <f>IF(S386=1,COUNTIF($S$6:S386,1),"")</f>
        <v/>
      </c>
      <c r="AA386" s="96">
        <f>IF(S386=0,0,IF(AND(OR(r_ini="",AND(ISNUMBER(D386),D386&gt;=r_ini)),OR(r_fim="",AND(ISNUMBER(D386),D386&lt;=r_fim)),OR(r_de="",r_de="(Todos)",F386=r_de)),1,0))</f>
        <v>0</v>
      </c>
      <c r="AB386" s="96" t="str">
        <f>IF(AA386=1,IF(F386="",0,COUNTIF($F$6:$F$505,"&lt;"&amp;F386))*1000+381,"")</f>
        <v/>
      </c>
    </row>
    <row r="387">
      <c r="A387" s="89" t="inlineStr">
        <is>
          <t>CDF-000382</t>
        </is>
      </c>
      <c r="B387" s="90" t="n"/>
      <c r="C387" s="91" t="n"/>
      <c r="D387" s="92" t="n"/>
      <c r="E387" s="91" t="n"/>
      <c r="F387" s="91" t="n"/>
      <c r="G387" s="91" t="n"/>
      <c r="H387" s="91" t="n"/>
      <c r="I387" s="91" t="n"/>
      <c r="J387" s="91" t="n"/>
      <c r="K387" s="92" t="n"/>
      <c r="L387" s="91" t="n"/>
      <c r="M387" s="91" t="n"/>
      <c r="N387" s="91" t="n"/>
      <c r="O387" s="93" t="str">
        <f>IF(S387=0,"",SUMIFS('VÍNCULOS_CDF'!$H$6:$H$1005,'VÍNCULOS_CDF'!$O$6:$O$1005,A387,'VÍNCULOS_CDF'!$V$6:$V$1005,1))</f>
        <v/>
      </c>
      <c r="P387" s="95" t="str">
        <f>IF(S387=0,"",COUNTIFS('VÍNCULOS_CDF'!$O$6:$O$1005,A387,'VÍNCULOS_CDF'!$N$6:$N$1005,1))</f>
        <v/>
      </c>
      <c r="Q387" s="94" t="str">
        <f>IF(S387=0,"",IF(OR(B387="",F387=""),"Informações incompletas",IF(U387=1,"Possível duplicidade",IF(V387=0,"Destinador fora do cadastro",IF(AND(J387="Sim",N(P387)=0),"Necessita revisão de vínculos",IF(X387&gt;0,"Necessita revisão de vínculos",IF(J387="Sim","Conferido",IF(I387="Sim","Localizado, aguardando conferência","Cadastrado"))))))))</f>
        <v/>
      </c>
      <c r="R387" s="95" t="str">
        <f>IF(S387=0,"",COUNTIFS('VÍNCULOS_CDF'!$O$6:$O$1005,A387,'VÍNCULOS_CDF'!$AB$6:$AB$1005,1))</f>
        <v/>
      </c>
      <c r="S387" s="96">
        <f>IF(COUNTA(B387:N387)&gt;0,1,0)</f>
        <v>0</v>
      </c>
      <c r="T387" s="96" t="str">
        <f>IF(AND(S387=1,B387&lt;&gt;""),C387&amp;"|"&amp;TRIM(B387),"")</f>
        <v/>
      </c>
      <c r="U387" s="96">
        <f>IF(T387="",0,IF(SUMPRODUCT(--($T$6:$T$505=T387))&gt;1,1,0))</f>
        <v>0</v>
      </c>
      <c r="V387" s="96">
        <f>IF(F387="",0,IF(ISNUMBER(MATCH(F387,cmp_dest,0)),1,0))</f>
        <v>0</v>
      </c>
      <c r="W387" s="96">
        <f>IF(AND(S387=1,B387&lt;&gt;"",F387&lt;&gt;"",J387="Sim",U387=0),1,0)</f>
        <v>0</v>
      </c>
      <c r="X387" s="96">
        <f>IF(S387=0,0,COUNTIFS('VÍNCULOS_CDF'!$O$6:$O$1005,A387,'VÍNCULOS_CDF'!$Y$6:$Y$1005,1))</f>
        <v>0</v>
      </c>
      <c r="Y387" s="96" t="str">
        <f>IF(S387=1,A387&amp;" | CDF "&amp;IF(B387="","(sem número)",B387)&amp;" | "&amp;IF(F387="","(sem destinador)",F387),"")</f>
        <v/>
      </c>
      <c r="Z387" s="96" t="str">
        <f>IF(S387=1,COUNTIF($S$6:S387,1),"")</f>
        <v/>
      </c>
      <c r="AA387" s="96">
        <f>IF(S387=0,0,IF(AND(OR(r_ini="",AND(ISNUMBER(D387),D387&gt;=r_ini)),OR(r_fim="",AND(ISNUMBER(D387),D387&lt;=r_fim)),OR(r_de="",r_de="(Todos)",F387=r_de)),1,0))</f>
        <v>0</v>
      </c>
      <c r="AB387" s="96" t="str">
        <f>IF(AA387=1,IF(F387="",0,COUNTIF($F$6:$F$505,"&lt;"&amp;F387))*1000+382,"")</f>
        <v/>
      </c>
    </row>
    <row r="388">
      <c r="A388" s="89" t="inlineStr">
        <is>
          <t>CDF-000383</t>
        </is>
      </c>
      <c r="B388" s="90" t="n"/>
      <c r="C388" s="91" t="n"/>
      <c r="D388" s="92" t="n"/>
      <c r="E388" s="91" t="n"/>
      <c r="F388" s="91" t="n"/>
      <c r="G388" s="91" t="n"/>
      <c r="H388" s="91" t="n"/>
      <c r="I388" s="91" t="n"/>
      <c r="J388" s="91" t="n"/>
      <c r="K388" s="92" t="n"/>
      <c r="L388" s="91" t="n"/>
      <c r="M388" s="91" t="n"/>
      <c r="N388" s="91" t="n"/>
      <c r="O388" s="93" t="str">
        <f>IF(S388=0,"",SUMIFS('VÍNCULOS_CDF'!$H$6:$H$1005,'VÍNCULOS_CDF'!$O$6:$O$1005,A388,'VÍNCULOS_CDF'!$V$6:$V$1005,1))</f>
        <v/>
      </c>
      <c r="P388" s="95" t="str">
        <f>IF(S388=0,"",COUNTIFS('VÍNCULOS_CDF'!$O$6:$O$1005,A388,'VÍNCULOS_CDF'!$N$6:$N$1005,1))</f>
        <v/>
      </c>
      <c r="Q388" s="94" t="str">
        <f>IF(S388=0,"",IF(OR(B388="",F388=""),"Informações incompletas",IF(U388=1,"Possível duplicidade",IF(V388=0,"Destinador fora do cadastro",IF(AND(J388="Sim",N(P388)=0),"Necessita revisão de vínculos",IF(X388&gt;0,"Necessita revisão de vínculos",IF(J388="Sim","Conferido",IF(I388="Sim","Localizado, aguardando conferência","Cadastrado"))))))))</f>
        <v/>
      </c>
      <c r="R388" s="95" t="str">
        <f>IF(S388=0,"",COUNTIFS('VÍNCULOS_CDF'!$O$6:$O$1005,A388,'VÍNCULOS_CDF'!$AB$6:$AB$1005,1))</f>
        <v/>
      </c>
      <c r="S388" s="96">
        <f>IF(COUNTA(B388:N388)&gt;0,1,0)</f>
        <v>0</v>
      </c>
      <c r="T388" s="96" t="str">
        <f>IF(AND(S388=1,B388&lt;&gt;""),C388&amp;"|"&amp;TRIM(B388),"")</f>
        <v/>
      </c>
      <c r="U388" s="96">
        <f>IF(T388="",0,IF(SUMPRODUCT(--($T$6:$T$505=T388))&gt;1,1,0))</f>
        <v>0</v>
      </c>
      <c r="V388" s="96">
        <f>IF(F388="",0,IF(ISNUMBER(MATCH(F388,cmp_dest,0)),1,0))</f>
        <v>0</v>
      </c>
      <c r="W388" s="96">
        <f>IF(AND(S388=1,B388&lt;&gt;"",F388&lt;&gt;"",J388="Sim",U388=0),1,0)</f>
        <v>0</v>
      </c>
      <c r="X388" s="96">
        <f>IF(S388=0,0,COUNTIFS('VÍNCULOS_CDF'!$O$6:$O$1005,A388,'VÍNCULOS_CDF'!$Y$6:$Y$1005,1))</f>
        <v>0</v>
      </c>
      <c r="Y388" s="96" t="str">
        <f>IF(S388=1,A388&amp;" | CDF "&amp;IF(B388="","(sem número)",B388)&amp;" | "&amp;IF(F388="","(sem destinador)",F388),"")</f>
        <v/>
      </c>
      <c r="Z388" s="96" t="str">
        <f>IF(S388=1,COUNTIF($S$6:S388,1),"")</f>
        <v/>
      </c>
      <c r="AA388" s="96">
        <f>IF(S388=0,0,IF(AND(OR(r_ini="",AND(ISNUMBER(D388),D388&gt;=r_ini)),OR(r_fim="",AND(ISNUMBER(D388),D388&lt;=r_fim)),OR(r_de="",r_de="(Todos)",F388=r_de)),1,0))</f>
        <v>0</v>
      </c>
      <c r="AB388" s="96" t="str">
        <f>IF(AA388=1,IF(F388="",0,COUNTIF($F$6:$F$505,"&lt;"&amp;F388))*1000+383,"")</f>
        <v/>
      </c>
    </row>
    <row r="389">
      <c r="A389" s="89" t="inlineStr">
        <is>
          <t>CDF-000384</t>
        </is>
      </c>
      <c r="B389" s="90" t="n"/>
      <c r="C389" s="91" t="n"/>
      <c r="D389" s="92" t="n"/>
      <c r="E389" s="91" t="n"/>
      <c r="F389" s="91" t="n"/>
      <c r="G389" s="91" t="n"/>
      <c r="H389" s="91" t="n"/>
      <c r="I389" s="91" t="n"/>
      <c r="J389" s="91" t="n"/>
      <c r="K389" s="92" t="n"/>
      <c r="L389" s="91" t="n"/>
      <c r="M389" s="91" t="n"/>
      <c r="N389" s="91" t="n"/>
      <c r="O389" s="93" t="str">
        <f>IF(S389=0,"",SUMIFS('VÍNCULOS_CDF'!$H$6:$H$1005,'VÍNCULOS_CDF'!$O$6:$O$1005,A389,'VÍNCULOS_CDF'!$V$6:$V$1005,1))</f>
        <v/>
      </c>
      <c r="P389" s="95" t="str">
        <f>IF(S389=0,"",COUNTIFS('VÍNCULOS_CDF'!$O$6:$O$1005,A389,'VÍNCULOS_CDF'!$N$6:$N$1005,1))</f>
        <v/>
      </c>
      <c r="Q389" s="94" t="str">
        <f>IF(S389=0,"",IF(OR(B389="",F389=""),"Informações incompletas",IF(U389=1,"Possível duplicidade",IF(V389=0,"Destinador fora do cadastro",IF(AND(J389="Sim",N(P389)=0),"Necessita revisão de vínculos",IF(X389&gt;0,"Necessita revisão de vínculos",IF(J389="Sim","Conferido",IF(I389="Sim","Localizado, aguardando conferência","Cadastrado"))))))))</f>
        <v/>
      </c>
      <c r="R389" s="95" t="str">
        <f>IF(S389=0,"",COUNTIFS('VÍNCULOS_CDF'!$O$6:$O$1005,A389,'VÍNCULOS_CDF'!$AB$6:$AB$1005,1))</f>
        <v/>
      </c>
      <c r="S389" s="96">
        <f>IF(COUNTA(B389:N389)&gt;0,1,0)</f>
        <v>0</v>
      </c>
      <c r="T389" s="96" t="str">
        <f>IF(AND(S389=1,B389&lt;&gt;""),C389&amp;"|"&amp;TRIM(B389),"")</f>
        <v/>
      </c>
      <c r="U389" s="96">
        <f>IF(T389="",0,IF(SUMPRODUCT(--($T$6:$T$505=T389))&gt;1,1,0))</f>
        <v>0</v>
      </c>
      <c r="V389" s="96">
        <f>IF(F389="",0,IF(ISNUMBER(MATCH(F389,cmp_dest,0)),1,0))</f>
        <v>0</v>
      </c>
      <c r="W389" s="96">
        <f>IF(AND(S389=1,B389&lt;&gt;"",F389&lt;&gt;"",J389="Sim",U389=0),1,0)</f>
        <v>0</v>
      </c>
      <c r="X389" s="96">
        <f>IF(S389=0,0,COUNTIFS('VÍNCULOS_CDF'!$O$6:$O$1005,A389,'VÍNCULOS_CDF'!$Y$6:$Y$1005,1))</f>
        <v>0</v>
      </c>
      <c r="Y389" s="96" t="str">
        <f>IF(S389=1,A389&amp;" | CDF "&amp;IF(B389="","(sem número)",B389)&amp;" | "&amp;IF(F389="","(sem destinador)",F389),"")</f>
        <v/>
      </c>
      <c r="Z389" s="96" t="str">
        <f>IF(S389=1,COUNTIF($S$6:S389,1),"")</f>
        <v/>
      </c>
      <c r="AA389" s="96">
        <f>IF(S389=0,0,IF(AND(OR(r_ini="",AND(ISNUMBER(D389),D389&gt;=r_ini)),OR(r_fim="",AND(ISNUMBER(D389),D389&lt;=r_fim)),OR(r_de="",r_de="(Todos)",F389=r_de)),1,0))</f>
        <v>0</v>
      </c>
      <c r="AB389" s="96" t="str">
        <f>IF(AA389=1,IF(F389="",0,COUNTIF($F$6:$F$505,"&lt;"&amp;F389))*1000+384,"")</f>
        <v/>
      </c>
    </row>
    <row r="390">
      <c r="A390" s="89" t="inlineStr">
        <is>
          <t>CDF-000385</t>
        </is>
      </c>
      <c r="B390" s="90" t="n"/>
      <c r="C390" s="91" t="n"/>
      <c r="D390" s="92" t="n"/>
      <c r="E390" s="91" t="n"/>
      <c r="F390" s="91" t="n"/>
      <c r="G390" s="91" t="n"/>
      <c r="H390" s="91" t="n"/>
      <c r="I390" s="91" t="n"/>
      <c r="J390" s="91" t="n"/>
      <c r="K390" s="92" t="n"/>
      <c r="L390" s="91" t="n"/>
      <c r="M390" s="91" t="n"/>
      <c r="N390" s="91" t="n"/>
      <c r="O390" s="93" t="str">
        <f>IF(S390=0,"",SUMIFS('VÍNCULOS_CDF'!$H$6:$H$1005,'VÍNCULOS_CDF'!$O$6:$O$1005,A390,'VÍNCULOS_CDF'!$V$6:$V$1005,1))</f>
        <v/>
      </c>
      <c r="P390" s="95" t="str">
        <f>IF(S390=0,"",COUNTIFS('VÍNCULOS_CDF'!$O$6:$O$1005,A390,'VÍNCULOS_CDF'!$N$6:$N$1005,1))</f>
        <v/>
      </c>
      <c r="Q390" s="94" t="str">
        <f>IF(S390=0,"",IF(OR(B390="",F390=""),"Informações incompletas",IF(U390=1,"Possível duplicidade",IF(V390=0,"Destinador fora do cadastro",IF(AND(J390="Sim",N(P390)=0),"Necessita revisão de vínculos",IF(X390&gt;0,"Necessita revisão de vínculos",IF(J390="Sim","Conferido",IF(I390="Sim","Localizado, aguardando conferência","Cadastrado"))))))))</f>
        <v/>
      </c>
      <c r="R390" s="95" t="str">
        <f>IF(S390=0,"",COUNTIFS('VÍNCULOS_CDF'!$O$6:$O$1005,A390,'VÍNCULOS_CDF'!$AB$6:$AB$1005,1))</f>
        <v/>
      </c>
      <c r="S390" s="96">
        <f>IF(COUNTA(B390:N390)&gt;0,1,0)</f>
        <v>0</v>
      </c>
      <c r="T390" s="96" t="str">
        <f>IF(AND(S390=1,B390&lt;&gt;""),C390&amp;"|"&amp;TRIM(B390),"")</f>
        <v/>
      </c>
      <c r="U390" s="96">
        <f>IF(T390="",0,IF(SUMPRODUCT(--($T$6:$T$505=T390))&gt;1,1,0))</f>
        <v>0</v>
      </c>
      <c r="V390" s="96">
        <f>IF(F390="",0,IF(ISNUMBER(MATCH(F390,cmp_dest,0)),1,0))</f>
        <v>0</v>
      </c>
      <c r="W390" s="96">
        <f>IF(AND(S390=1,B390&lt;&gt;"",F390&lt;&gt;"",J390="Sim",U390=0),1,0)</f>
        <v>0</v>
      </c>
      <c r="X390" s="96">
        <f>IF(S390=0,0,COUNTIFS('VÍNCULOS_CDF'!$O$6:$O$1005,A390,'VÍNCULOS_CDF'!$Y$6:$Y$1005,1))</f>
        <v>0</v>
      </c>
      <c r="Y390" s="96" t="str">
        <f>IF(S390=1,A390&amp;" | CDF "&amp;IF(B390="","(sem número)",B390)&amp;" | "&amp;IF(F390="","(sem destinador)",F390),"")</f>
        <v/>
      </c>
      <c r="Z390" s="96" t="str">
        <f>IF(S390=1,COUNTIF($S$6:S390,1),"")</f>
        <v/>
      </c>
      <c r="AA390" s="96">
        <f>IF(S390=0,0,IF(AND(OR(r_ini="",AND(ISNUMBER(D390),D390&gt;=r_ini)),OR(r_fim="",AND(ISNUMBER(D390),D390&lt;=r_fim)),OR(r_de="",r_de="(Todos)",F390=r_de)),1,0))</f>
        <v>0</v>
      </c>
      <c r="AB390" s="96" t="str">
        <f>IF(AA390=1,IF(F390="",0,COUNTIF($F$6:$F$505,"&lt;"&amp;F390))*1000+385,"")</f>
        <v/>
      </c>
    </row>
    <row r="391">
      <c r="A391" s="89" t="inlineStr">
        <is>
          <t>CDF-000386</t>
        </is>
      </c>
      <c r="B391" s="90" t="n"/>
      <c r="C391" s="91" t="n"/>
      <c r="D391" s="92" t="n"/>
      <c r="E391" s="91" t="n"/>
      <c r="F391" s="91" t="n"/>
      <c r="G391" s="91" t="n"/>
      <c r="H391" s="91" t="n"/>
      <c r="I391" s="91" t="n"/>
      <c r="J391" s="91" t="n"/>
      <c r="K391" s="92" t="n"/>
      <c r="L391" s="91" t="n"/>
      <c r="M391" s="91" t="n"/>
      <c r="N391" s="91" t="n"/>
      <c r="O391" s="93" t="str">
        <f>IF(S391=0,"",SUMIFS('VÍNCULOS_CDF'!$H$6:$H$1005,'VÍNCULOS_CDF'!$O$6:$O$1005,A391,'VÍNCULOS_CDF'!$V$6:$V$1005,1))</f>
        <v/>
      </c>
      <c r="P391" s="95" t="str">
        <f>IF(S391=0,"",COUNTIFS('VÍNCULOS_CDF'!$O$6:$O$1005,A391,'VÍNCULOS_CDF'!$N$6:$N$1005,1))</f>
        <v/>
      </c>
      <c r="Q391" s="94" t="str">
        <f>IF(S391=0,"",IF(OR(B391="",F391=""),"Informações incompletas",IF(U391=1,"Possível duplicidade",IF(V391=0,"Destinador fora do cadastro",IF(AND(J391="Sim",N(P391)=0),"Necessita revisão de vínculos",IF(X391&gt;0,"Necessita revisão de vínculos",IF(J391="Sim","Conferido",IF(I391="Sim","Localizado, aguardando conferência","Cadastrado"))))))))</f>
        <v/>
      </c>
      <c r="R391" s="95" t="str">
        <f>IF(S391=0,"",COUNTIFS('VÍNCULOS_CDF'!$O$6:$O$1005,A391,'VÍNCULOS_CDF'!$AB$6:$AB$1005,1))</f>
        <v/>
      </c>
      <c r="S391" s="96">
        <f>IF(COUNTA(B391:N391)&gt;0,1,0)</f>
        <v>0</v>
      </c>
      <c r="T391" s="96" t="str">
        <f>IF(AND(S391=1,B391&lt;&gt;""),C391&amp;"|"&amp;TRIM(B391),"")</f>
        <v/>
      </c>
      <c r="U391" s="96">
        <f>IF(T391="",0,IF(SUMPRODUCT(--($T$6:$T$505=T391))&gt;1,1,0))</f>
        <v>0</v>
      </c>
      <c r="V391" s="96">
        <f>IF(F391="",0,IF(ISNUMBER(MATCH(F391,cmp_dest,0)),1,0))</f>
        <v>0</v>
      </c>
      <c r="W391" s="96">
        <f>IF(AND(S391=1,B391&lt;&gt;"",F391&lt;&gt;"",J391="Sim",U391=0),1,0)</f>
        <v>0</v>
      </c>
      <c r="X391" s="96">
        <f>IF(S391=0,0,COUNTIFS('VÍNCULOS_CDF'!$O$6:$O$1005,A391,'VÍNCULOS_CDF'!$Y$6:$Y$1005,1))</f>
        <v>0</v>
      </c>
      <c r="Y391" s="96" t="str">
        <f>IF(S391=1,A391&amp;" | CDF "&amp;IF(B391="","(sem número)",B391)&amp;" | "&amp;IF(F391="","(sem destinador)",F391),"")</f>
        <v/>
      </c>
      <c r="Z391" s="96" t="str">
        <f>IF(S391=1,COUNTIF($S$6:S391,1),"")</f>
        <v/>
      </c>
      <c r="AA391" s="96">
        <f>IF(S391=0,0,IF(AND(OR(r_ini="",AND(ISNUMBER(D391),D391&gt;=r_ini)),OR(r_fim="",AND(ISNUMBER(D391),D391&lt;=r_fim)),OR(r_de="",r_de="(Todos)",F391=r_de)),1,0))</f>
        <v>0</v>
      </c>
      <c r="AB391" s="96" t="str">
        <f>IF(AA391=1,IF(F391="",0,COUNTIF($F$6:$F$505,"&lt;"&amp;F391))*1000+386,"")</f>
        <v/>
      </c>
    </row>
    <row r="392">
      <c r="A392" s="89" t="inlineStr">
        <is>
          <t>CDF-000387</t>
        </is>
      </c>
      <c r="B392" s="90" t="n"/>
      <c r="C392" s="91" t="n"/>
      <c r="D392" s="92" t="n"/>
      <c r="E392" s="91" t="n"/>
      <c r="F392" s="91" t="n"/>
      <c r="G392" s="91" t="n"/>
      <c r="H392" s="91" t="n"/>
      <c r="I392" s="91" t="n"/>
      <c r="J392" s="91" t="n"/>
      <c r="K392" s="92" t="n"/>
      <c r="L392" s="91" t="n"/>
      <c r="M392" s="91" t="n"/>
      <c r="N392" s="91" t="n"/>
      <c r="O392" s="93" t="str">
        <f>IF(S392=0,"",SUMIFS('VÍNCULOS_CDF'!$H$6:$H$1005,'VÍNCULOS_CDF'!$O$6:$O$1005,A392,'VÍNCULOS_CDF'!$V$6:$V$1005,1))</f>
        <v/>
      </c>
      <c r="P392" s="95" t="str">
        <f>IF(S392=0,"",COUNTIFS('VÍNCULOS_CDF'!$O$6:$O$1005,A392,'VÍNCULOS_CDF'!$N$6:$N$1005,1))</f>
        <v/>
      </c>
      <c r="Q392" s="94" t="str">
        <f>IF(S392=0,"",IF(OR(B392="",F392=""),"Informações incompletas",IF(U392=1,"Possível duplicidade",IF(V392=0,"Destinador fora do cadastro",IF(AND(J392="Sim",N(P392)=0),"Necessita revisão de vínculos",IF(X392&gt;0,"Necessita revisão de vínculos",IF(J392="Sim","Conferido",IF(I392="Sim","Localizado, aguardando conferência","Cadastrado"))))))))</f>
        <v/>
      </c>
      <c r="R392" s="95" t="str">
        <f>IF(S392=0,"",COUNTIFS('VÍNCULOS_CDF'!$O$6:$O$1005,A392,'VÍNCULOS_CDF'!$AB$6:$AB$1005,1))</f>
        <v/>
      </c>
      <c r="S392" s="96">
        <f>IF(COUNTA(B392:N392)&gt;0,1,0)</f>
        <v>0</v>
      </c>
      <c r="T392" s="96" t="str">
        <f>IF(AND(S392=1,B392&lt;&gt;""),C392&amp;"|"&amp;TRIM(B392),"")</f>
        <v/>
      </c>
      <c r="U392" s="96">
        <f>IF(T392="",0,IF(SUMPRODUCT(--($T$6:$T$505=T392))&gt;1,1,0))</f>
        <v>0</v>
      </c>
      <c r="V392" s="96">
        <f>IF(F392="",0,IF(ISNUMBER(MATCH(F392,cmp_dest,0)),1,0))</f>
        <v>0</v>
      </c>
      <c r="W392" s="96">
        <f>IF(AND(S392=1,B392&lt;&gt;"",F392&lt;&gt;"",J392="Sim",U392=0),1,0)</f>
        <v>0</v>
      </c>
      <c r="X392" s="96">
        <f>IF(S392=0,0,COUNTIFS('VÍNCULOS_CDF'!$O$6:$O$1005,A392,'VÍNCULOS_CDF'!$Y$6:$Y$1005,1))</f>
        <v>0</v>
      </c>
      <c r="Y392" s="96" t="str">
        <f>IF(S392=1,A392&amp;" | CDF "&amp;IF(B392="","(sem número)",B392)&amp;" | "&amp;IF(F392="","(sem destinador)",F392),"")</f>
        <v/>
      </c>
      <c r="Z392" s="96" t="str">
        <f>IF(S392=1,COUNTIF($S$6:S392,1),"")</f>
        <v/>
      </c>
      <c r="AA392" s="96">
        <f>IF(S392=0,0,IF(AND(OR(r_ini="",AND(ISNUMBER(D392),D392&gt;=r_ini)),OR(r_fim="",AND(ISNUMBER(D392),D392&lt;=r_fim)),OR(r_de="",r_de="(Todos)",F392=r_de)),1,0))</f>
        <v>0</v>
      </c>
      <c r="AB392" s="96" t="str">
        <f>IF(AA392=1,IF(F392="",0,COUNTIF($F$6:$F$505,"&lt;"&amp;F392))*1000+387,"")</f>
        <v/>
      </c>
    </row>
    <row r="393">
      <c r="A393" s="89" t="inlineStr">
        <is>
          <t>CDF-000388</t>
        </is>
      </c>
      <c r="B393" s="90" t="n"/>
      <c r="C393" s="91" t="n"/>
      <c r="D393" s="92" t="n"/>
      <c r="E393" s="91" t="n"/>
      <c r="F393" s="91" t="n"/>
      <c r="G393" s="91" t="n"/>
      <c r="H393" s="91" t="n"/>
      <c r="I393" s="91" t="n"/>
      <c r="J393" s="91" t="n"/>
      <c r="K393" s="92" t="n"/>
      <c r="L393" s="91" t="n"/>
      <c r="M393" s="91" t="n"/>
      <c r="N393" s="91" t="n"/>
      <c r="O393" s="93" t="str">
        <f>IF(S393=0,"",SUMIFS('VÍNCULOS_CDF'!$H$6:$H$1005,'VÍNCULOS_CDF'!$O$6:$O$1005,A393,'VÍNCULOS_CDF'!$V$6:$V$1005,1))</f>
        <v/>
      </c>
      <c r="P393" s="95" t="str">
        <f>IF(S393=0,"",COUNTIFS('VÍNCULOS_CDF'!$O$6:$O$1005,A393,'VÍNCULOS_CDF'!$N$6:$N$1005,1))</f>
        <v/>
      </c>
      <c r="Q393" s="94" t="str">
        <f>IF(S393=0,"",IF(OR(B393="",F393=""),"Informações incompletas",IF(U393=1,"Possível duplicidade",IF(V393=0,"Destinador fora do cadastro",IF(AND(J393="Sim",N(P393)=0),"Necessita revisão de vínculos",IF(X393&gt;0,"Necessita revisão de vínculos",IF(J393="Sim","Conferido",IF(I393="Sim","Localizado, aguardando conferência","Cadastrado"))))))))</f>
        <v/>
      </c>
      <c r="R393" s="95" t="str">
        <f>IF(S393=0,"",COUNTIFS('VÍNCULOS_CDF'!$O$6:$O$1005,A393,'VÍNCULOS_CDF'!$AB$6:$AB$1005,1))</f>
        <v/>
      </c>
      <c r="S393" s="96">
        <f>IF(COUNTA(B393:N393)&gt;0,1,0)</f>
        <v>0</v>
      </c>
      <c r="T393" s="96" t="str">
        <f>IF(AND(S393=1,B393&lt;&gt;""),C393&amp;"|"&amp;TRIM(B393),"")</f>
        <v/>
      </c>
      <c r="U393" s="96">
        <f>IF(T393="",0,IF(SUMPRODUCT(--($T$6:$T$505=T393))&gt;1,1,0))</f>
        <v>0</v>
      </c>
      <c r="V393" s="96">
        <f>IF(F393="",0,IF(ISNUMBER(MATCH(F393,cmp_dest,0)),1,0))</f>
        <v>0</v>
      </c>
      <c r="W393" s="96">
        <f>IF(AND(S393=1,B393&lt;&gt;"",F393&lt;&gt;"",J393="Sim",U393=0),1,0)</f>
        <v>0</v>
      </c>
      <c r="X393" s="96">
        <f>IF(S393=0,0,COUNTIFS('VÍNCULOS_CDF'!$O$6:$O$1005,A393,'VÍNCULOS_CDF'!$Y$6:$Y$1005,1))</f>
        <v>0</v>
      </c>
      <c r="Y393" s="96" t="str">
        <f>IF(S393=1,A393&amp;" | CDF "&amp;IF(B393="","(sem número)",B393)&amp;" | "&amp;IF(F393="","(sem destinador)",F393),"")</f>
        <v/>
      </c>
      <c r="Z393" s="96" t="str">
        <f>IF(S393=1,COUNTIF($S$6:S393,1),"")</f>
        <v/>
      </c>
      <c r="AA393" s="96">
        <f>IF(S393=0,0,IF(AND(OR(r_ini="",AND(ISNUMBER(D393),D393&gt;=r_ini)),OR(r_fim="",AND(ISNUMBER(D393),D393&lt;=r_fim)),OR(r_de="",r_de="(Todos)",F393=r_de)),1,0))</f>
        <v>0</v>
      </c>
      <c r="AB393" s="96" t="str">
        <f>IF(AA393=1,IF(F393="",0,COUNTIF($F$6:$F$505,"&lt;"&amp;F393))*1000+388,"")</f>
        <v/>
      </c>
    </row>
    <row r="394">
      <c r="A394" s="89" t="inlineStr">
        <is>
          <t>CDF-000389</t>
        </is>
      </c>
      <c r="B394" s="90" t="n"/>
      <c r="C394" s="91" t="n"/>
      <c r="D394" s="92" t="n"/>
      <c r="E394" s="91" t="n"/>
      <c r="F394" s="91" t="n"/>
      <c r="G394" s="91" t="n"/>
      <c r="H394" s="91" t="n"/>
      <c r="I394" s="91" t="n"/>
      <c r="J394" s="91" t="n"/>
      <c r="K394" s="92" t="n"/>
      <c r="L394" s="91" t="n"/>
      <c r="M394" s="91" t="n"/>
      <c r="N394" s="91" t="n"/>
      <c r="O394" s="93" t="str">
        <f>IF(S394=0,"",SUMIFS('VÍNCULOS_CDF'!$H$6:$H$1005,'VÍNCULOS_CDF'!$O$6:$O$1005,A394,'VÍNCULOS_CDF'!$V$6:$V$1005,1))</f>
        <v/>
      </c>
      <c r="P394" s="95" t="str">
        <f>IF(S394=0,"",COUNTIFS('VÍNCULOS_CDF'!$O$6:$O$1005,A394,'VÍNCULOS_CDF'!$N$6:$N$1005,1))</f>
        <v/>
      </c>
      <c r="Q394" s="94" t="str">
        <f>IF(S394=0,"",IF(OR(B394="",F394=""),"Informações incompletas",IF(U394=1,"Possível duplicidade",IF(V394=0,"Destinador fora do cadastro",IF(AND(J394="Sim",N(P394)=0),"Necessita revisão de vínculos",IF(X394&gt;0,"Necessita revisão de vínculos",IF(J394="Sim","Conferido",IF(I394="Sim","Localizado, aguardando conferência","Cadastrado"))))))))</f>
        <v/>
      </c>
      <c r="R394" s="95" t="str">
        <f>IF(S394=0,"",COUNTIFS('VÍNCULOS_CDF'!$O$6:$O$1005,A394,'VÍNCULOS_CDF'!$AB$6:$AB$1005,1))</f>
        <v/>
      </c>
      <c r="S394" s="96">
        <f>IF(COUNTA(B394:N394)&gt;0,1,0)</f>
        <v>0</v>
      </c>
      <c r="T394" s="96" t="str">
        <f>IF(AND(S394=1,B394&lt;&gt;""),C394&amp;"|"&amp;TRIM(B394),"")</f>
        <v/>
      </c>
      <c r="U394" s="96">
        <f>IF(T394="",0,IF(SUMPRODUCT(--($T$6:$T$505=T394))&gt;1,1,0))</f>
        <v>0</v>
      </c>
      <c r="V394" s="96">
        <f>IF(F394="",0,IF(ISNUMBER(MATCH(F394,cmp_dest,0)),1,0))</f>
        <v>0</v>
      </c>
      <c r="W394" s="96">
        <f>IF(AND(S394=1,B394&lt;&gt;"",F394&lt;&gt;"",J394="Sim",U394=0),1,0)</f>
        <v>0</v>
      </c>
      <c r="X394" s="96">
        <f>IF(S394=0,0,COUNTIFS('VÍNCULOS_CDF'!$O$6:$O$1005,A394,'VÍNCULOS_CDF'!$Y$6:$Y$1005,1))</f>
        <v>0</v>
      </c>
      <c r="Y394" s="96" t="str">
        <f>IF(S394=1,A394&amp;" | CDF "&amp;IF(B394="","(sem número)",B394)&amp;" | "&amp;IF(F394="","(sem destinador)",F394),"")</f>
        <v/>
      </c>
      <c r="Z394" s="96" t="str">
        <f>IF(S394=1,COUNTIF($S$6:S394,1),"")</f>
        <v/>
      </c>
      <c r="AA394" s="96">
        <f>IF(S394=0,0,IF(AND(OR(r_ini="",AND(ISNUMBER(D394),D394&gt;=r_ini)),OR(r_fim="",AND(ISNUMBER(D394),D394&lt;=r_fim)),OR(r_de="",r_de="(Todos)",F394=r_de)),1,0))</f>
        <v>0</v>
      </c>
      <c r="AB394" s="96" t="str">
        <f>IF(AA394=1,IF(F394="",0,COUNTIF($F$6:$F$505,"&lt;"&amp;F394))*1000+389,"")</f>
        <v/>
      </c>
    </row>
    <row r="395">
      <c r="A395" s="89" t="inlineStr">
        <is>
          <t>CDF-000390</t>
        </is>
      </c>
      <c r="B395" s="90" t="n"/>
      <c r="C395" s="91" t="n"/>
      <c r="D395" s="92" t="n"/>
      <c r="E395" s="91" t="n"/>
      <c r="F395" s="91" t="n"/>
      <c r="G395" s="91" t="n"/>
      <c r="H395" s="91" t="n"/>
      <c r="I395" s="91" t="n"/>
      <c r="J395" s="91" t="n"/>
      <c r="K395" s="92" t="n"/>
      <c r="L395" s="91" t="n"/>
      <c r="M395" s="91" t="n"/>
      <c r="N395" s="91" t="n"/>
      <c r="O395" s="93" t="str">
        <f>IF(S395=0,"",SUMIFS('VÍNCULOS_CDF'!$H$6:$H$1005,'VÍNCULOS_CDF'!$O$6:$O$1005,A395,'VÍNCULOS_CDF'!$V$6:$V$1005,1))</f>
        <v/>
      </c>
      <c r="P395" s="95" t="str">
        <f>IF(S395=0,"",COUNTIFS('VÍNCULOS_CDF'!$O$6:$O$1005,A395,'VÍNCULOS_CDF'!$N$6:$N$1005,1))</f>
        <v/>
      </c>
      <c r="Q395" s="94" t="str">
        <f>IF(S395=0,"",IF(OR(B395="",F395=""),"Informações incompletas",IF(U395=1,"Possível duplicidade",IF(V395=0,"Destinador fora do cadastro",IF(AND(J395="Sim",N(P395)=0),"Necessita revisão de vínculos",IF(X395&gt;0,"Necessita revisão de vínculos",IF(J395="Sim","Conferido",IF(I395="Sim","Localizado, aguardando conferência","Cadastrado"))))))))</f>
        <v/>
      </c>
      <c r="R395" s="95" t="str">
        <f>IF(S395=0,"",COUNTIFS('VÍNCULOS_CDF'!$O$6:$O$1005,A395,'VÍNCULOS_CDF'!$AB$6:$AB$1005,1))</f>
        <v/>
      </c>
      <c r="S395" s="96">
        <f>IF(COUNTA(B395:N395)&gt;0,1,0)</f>
        <v>0</v>
      </c>
      <c r="T395" s="96" t="str">
        <f>IF(AND(S395=1,B395&lt;&gt;""),C395&amp;"|"&amp;TRIM(B395),"")</f>
        <v/>
      </c>
      <c r="U395" s="96">
        <f>IF(T395="",0,IF(SUMPRODUCT(--($T$6:$T$505=T395))&gt;1,1,0))</f>
        <v>0</v>
      </c>
      <c r="V395" s="96">
        <f>IF(F395="",0,IF(ISNUMBER(MATCH(F395,cmp_dest,0)),1,0))</f>
        <v>0</v>
      </c>
      <c r="W395" s="96">
        <f>IF(AND(S395=1,B395&lt;&gt;"",F395&lt;&gt;"",J395="Sim",U395=0),1,0)</f>
        <v>0</v>
      </c>
      <c r="X395" s="96">
        <f>IF(S395=0,0,COUNTIFS('VÍNCULOS_CDF'!$O$6:$O$1005,A395,'VÍNCULOS_CDF'!$Y$6:$Y$1005,1))</f>
        <v>0</v>
      </c>
      <c r="Y395" s="96" t="str">
        <f>IF(S395=1,A395&amp;" | CDF "&amp;IF(B395="","(sem número)",B395)&amp;" | "&amp;IF(F395="","(sem destinador)",F395),"")</f>
        <v/>
      </c>
      <c r="Z395" s="96" t="str">
        <f>IF(S395=1,COUNTIF($S$6:S395,1),"")</f>
        <v/>
      </c>
      <c r="AA395" s="96">
        <f>IF(S395=0,0,IF(AND(OR(r_ini="",AND(ISNUMBER(D395),D395&gt;=r_ini)),OR(r_fim="",AND(ISNUMBER(D395),D395&lt;=r_fim)),OR(r_de="",r_de="(Todos)",F395=r_de)),1,0))</f>
        <v>0</v>
      </c>
      <c r="AB395" s="96" t="str">
        <f>IF(AA395=1,IF(F395="",0,COUNTIF($F$6:$F$505,"&lt;"&amp;F395))*1000+390,"")</f>
        <v/>
      </c>
    </row>
    <row r="396">
      <c r="A396" s="89" t="inlineStr">
        <is>
          <t>CDF-000391</t>
        </is>
      </c>
      <c r="B396" s="90" t="n"/>
      <c r="C396" s="91" t="n"/>
      <c r="D396" s="92" t="n"/>
      <c r="E396" s="91" t="n"/>
      <c r="F396" s="91" t="n"/>
      <c r="G396" s="91" t="n"/>
      <c r="H396" s="91" t="n"/>
      <c r="I396" s="91" t="n"/>
      <c r="J396" s="91" t="n"/>
      <c r="K396" s="92" t="n"/>
      <c r="L396" s="91" t="n"/>
      <c r="M396" s="91" t="n"/>
      <c r="N396" s="91" t="n"/>
      <c r="O396" s="93" t="str">
        <f>IF(S396=0,"",SUMIFS('VÍNCULOS_CDF'!$H$6:$H$1005,'VÍNCULOS_CDF'!$O$6:$O$1005,A396,'VÍNCULOS_CDF'!$V$6:$V$1005,1))</f>
        <v/>
      </c>
      <c r="P396" s="95" t="str">
        <f>IF(S396=0,"",COUNTIFS('VÍNCULOS_CDF'!$O$6:$O$1005,A396,'VÍNCULOS_CDF'!$N$6:$N$1005,1))</f>
        <v/>
      </c>
      <c r="Q396" s="94" t="str">
        <f>IF(S396=0,"",IF(OR(B396="",F396=""),"Informações incompletas",IF(U396=1,"Possível duplicidade",IF(V396=0,"Destinador fora do cadastro",IF(AND(J396="Sim",N(P396)=0),"Necessita revisão de vínculos",IF(X396&gt;0,"Necessita revisão de vínculos",IF(J396="Sim","Conferido",IF(I396="Sim","Localizado, aguardando conferência","Cadastrado"))))))))</f>
        <v/>
      </c>
      <c r="R396" s="95" t="str">
        <f>IF(S396=0,"",COUNTIFS('VÍNCULOS_CDF'!$O$6:$O$1005,A396,'VÍNCULOS_CDF'!$AB$6:$AB$1005,1))</f>
        <v/>
      </c>
      <c r="S396" s="96">
        <f>IF(COUNTA(B396:N396)&gt;0,1,0)</f>
        <v>0</v>
      </c>
      <c r="T396" s="96" t="str">
        <f>IF(AND(S396=1,B396&lt;&gt;""),C396&amp;"|"&amp;TRIM(B396),"")</f>
        <v/>
      </c>
      <c r="U396" s="96">
        <f>IF(T396="",0,IF(SUMPRODUCT(--($T$6:$T$505=T396))&gt;1,1,0))</f>
        <v>0</v>
      </c>
      <c r="V396" s="96">
        <f>IF(F396="",0,IF(ISNUMBER(MATCH(F396,cmp_dest,0)),1,0))</f>
        <v>0</v>
      </c>
      <c r="W396" s="96">
        <f>IF(AND(S396=1,B396&lt;&gt;"",F396&lt;&gt;"",J396="Sim",U396=0),1,0)</f>
        <v>0</v>
      </c>
      <c r="X396" s="96">
        <f>IF(S396=0,0,COUNTIFS('VÍNCULOS_CDF'!$O$6:$O$1005,A396,'VÍNCULOS_CDF'!$Y$6:$Y$1005,1))</f>
        <v>0</v>
      </c>
      <c r="Y396" s="96" t="str">
        <f>IF(S396=1,A396&amp;" | CDF "&amp;IF(B396="","(sem número)",B396)&amp;" | "&amp;IF(F396="","(sem destinador)",F396),"")</f>
        <v/>
      </c>
      <c r="Z396" s="96" t="str">
        <f>IF(S396=1,COUNTIF($S$6:S396,1),"")</f>
        <v/>
      </c>
      <c r="AA396" s="96">
        <f>IF(S396=0,0,IF(AND(OR(r_ini="",AND(ISNUMBER(D396),D396&gt;=r_ini)),OR(r_fim="",AND(ISNUMBER(D396),D396&lt;=r_fim)),OR(r_de="",r_de="(Todos)",F396=r_de)),1,0))</f>
        <v>0</v>
      </c>
      <c r="AB396" s="96" t="str">
        <f>IF(AA396=1,IF(F396="",0,COUNTIF($F$6:$F$505,"&lt;"&amp;F396))*1000+391,"")</f>
        <v/>
      </c>
    </row>
    <row r="397">
      <c r="A397" s="89" t="inlineStr">
        <is>
          <t>CDF-000392</t>
        </is>
      </c>
      <c r="B397" s="90" t="n"/>
      <c r="C397" s="91" t="n"/>
      <c r="D397" s="92" t="n"/>
      <c r="E397" s="91" t="n"/>
      <c r="F397" s="91" t="n"/>
      <c r="G397" s="91" t="n"/>
      <c r="H397" s="91" t="n"/>
      <c r="I397" s="91" t="n"/>
      <c r="J397" s="91" t="n"/>
      <c r="K397" s="92" t="n"/>
      <c r="L397" s="91" t="n"/>
      <c r="M397" s="91" t="n"/>
      <c r="N397" s="91" t="n"/>
      <c r="O397" s="93" t="str">
        <f>IF(S397=0,"",SUMIFS('VÍNCULOS_CDF'!$H$6:$H$1005,'VÍNCULOS_CDF'!$O$6:$O$1005,A397,'VÍNCULOS_CDF'!$V$6:$V$1005,1))</f>
        <v/>
      </c>
      <c r="P397" s="95" t="str">
        <f>IF(S397=0,"",COUNTIFS('VÍNCULOS_CDF'!$O$6:$O$1005,A397,'VÍNCULOS_CDF'!$N$6:$N$1005,1))</f>
        <v/>
      </c>
      <c r="Q397" s="94" t="str">
        <f>IF(S397=0,"",IF(OR(B397="",F397=""),"Informações incompletas",IF(U397=1,"Possível duplicidade",IF(V397=0,"Destinador fora do cadastro",IF(AND(J397="Sim",N(P397)=0),"Necessita revisão de vínculos",IF(X397&gt;0,"Necessita revisão de vínculos",IF(J397="Sim","Conferido",IF(I397="Sim","Localizado, aguardando conferência","Cadastrado"))))))))</f>
        <v/>
      </c>
      <c r="R397" s="95" t="str">
        <f>IF(S397=0,"",COUNTIFS('VÍNCULOS_CDF'!$O$6:$O$1005,A397,'VÍNCULOS_CDF'!$AB$6:$AB$1005,1))</f>
        <v/>
      </c>
      <c r="S397" s="96">
        <f>IF(COUNTA(B397:N397)&gt;0,1,0)</f>
        <v>0</v>
      </c>
      <c r="T397" s="96" t="str">
        <f>IF(AND(S397=1,B397&lt;&gt;""),C397&amp;"|"&amp;TRIM(B397),"")</f>
        <v/>
      </c>
      <c r="U397" s="96">
        <f>IF(T397="",0,IF(SUMPRODUCT(--($T$6:$T$505=T397))&gt;1,1,0))</f>
        <v>0</v>
      </c>
      <c r="V397" s="96">
        <f>IF(F397="",0,IF(ISNUMBER(MATCH(F397,cmp_dest,0)),1,0))</f>
        <v>0</v>
      </c>
      <c r="W397" s="96">
        <f>IF(AND(S397=1,B397&lt;&gt;"",F397&lt;&gt;"",J397="Sim",U397=0),1,0)</f>
        <v>0</v>
      </c>
      <c r="X397" s="96">
        <f>IF(S397=0,0,COUNTIFS('VÍNCULOS_CDF'!$O$6:$O$1005,A397,'VÍNCULOS_CDF'!$Y$6:$Y$1005,1))</f>
        <v>0</v>
      </c>
      <c r="Y397" s="96" t="str">
        <f>IF(S397=1,A397&amp;" | CDF "&amp;IF(B397="","(sem número)",B397)&amp;" | "&amp;IF(F397="","(sem destinador)",F397),"")</f>
        <v/>
      </c>
      <c r="Z397" s="96" t="str">
        <f>IF(S397=1,COUNTIF($S$6:S397,1),"")</f>
        <v/>
      </c>
      <c r="AA397" s="96">
        <f>IF(S397=0,0,IF(AND(OR(r_ini="",AND(ISNUMBER(D397),D397&gt;=r_ini)),OR(r_fim="",AND(ISNUMBER(D397),D397&lt;=r_fim)),OR(r_de="",r_de="(Todos)",F397=r_de)),1,0))</f>
        <v>0</v>
      </c>
      <c r="AB397" s="96" t="str">
        <f>IF(AA397=1,IF(F397="",0,COUNTIF($F$6:$F$505,"&lt;"&amp;F397))*1000+392,"")</f>
        <v/>
      </c>
    </row>
    <row r="398">
      <c r="A398" s="89" t="inlineStr">
        <is>
          <t>CDF-000393</t>
        </is>
      </c>
      <c r="B398" s="90" t="n"/>
      <c r="C398" s="91" t="n"/>
      <c r="D398" s="92" t="n"/>
      <c r="E398" s="91" t="n"/>
      <c r="F398" s="91" t="n"/>
      <c r="G398" s="91" t="n"/>
      <c r="H398" s="91" t="n"/>
      <c r="I398" s="91" t="n"/>
      <c r="J398" s="91" t="n"/>
      <c r="K398" s="92" t="n"/>
      <c r="L398" s="91" t="n"/>
      <c r="M398" s="91" t="n"/>
      <c r="N398" s="91" t="n"/>
      <c r="O398" s="93" t="str">
        <f>IF(S398=0,"",SUMIFS('VÍNCULOS_CDF'!$H$6:$H$1005,'VÍNCULOS_CDF'!$O$6:$O$1005,A398,'VÍNCULOS_CDF'!$V$6:$V$1005,1))</f>
        <v/>
      </c>
      <c r="P398" s="95" t="str">
        <f>IF(S398=0,"",COUNTIFS('VÍNCULOS_CDF'!$O$6:$O$1005,A398,'VÍNCULOS_CDF'!$N$6:$N$1005,1))</f>
        <v/>
      </c>
      <c r="Q398" s="94" t="str">
        <f>IF(S398=0,"",IF(OR(B398="",F398=""),"Informações incompletas",IF(U398=1,"Possível duplicidade",IF(V398=0,"Destinador fora do cadastro",IF(AND(J398="Sim",N(P398)=0),"Necessita revisão de vínculos",IF(X398&gt;0,"Necessita revisão de vínculos",IF(J398="Sim","Conferido",IF(I398="Sim","Localizado, aguardando conferência","Cadastrado"))))))))</f>
        <v/>
      </c>
      <c r="R398" s="95" t="str">
        <f>IF(S398=0,"",COUNTIFS('VÍNCULOS_CDF'!$O$6:$O$1005,A398,'VÍNCULOS_CDF'!$AB$6:$AB$1005,1))</f>
        <v/>
      </c>
      <c r="S398" s="96">
        <f>IF(COUNTA(B398:N398)&gt;0,1,0)</f>
        <v>0</v>
      </c>
      <c r="T398" s="96" t="str">
        <f>IF(AND(S398=1,B398&lt;&gt;""),C398&amp;"|"&amp;TRIM(B398),"")</f>
        <v/>
      </c>
      <c r="U398" s="96">
        <f>IF(T398="",0,IF(SUMPRODUCT(--($T$6:$T$505=T398))&gt;1,1,0))</f>
        <v>0</v>
      </c>
      <c r="V398" s="96">
        <f>IF(F398="",0,IF(ISNUMBER(MATCH(F398,cmp_dest,0)),1,0))</f>
        <v>0</v>
      </c>
      <c r="W398" s="96">
        <f>IF(AND(S398=1,B398&lt;&gt;"",F398&lt;&gt;"",J398="Sim",U398=0),1,0)</f>
        <v>0</v>
      </c>
      <c r="X398" s="96">
        <f>IF(S398=0,0,COUNTIFS('VÍNCULOS_CDF'!$O$6:$O$1005,A398,'VÍNCULOS_CDF'!$Y$6:$Y$1005,1))</f>
        <v>0</v>
      </c>
      <c r="Y398" s="96" t="str">
        <f>IF(S398=1,A398&amp;" | CDF "&amp;IF(B398="","(sem número)",B398)&amp;" | "&amp;IF(F398="","(sem destinador)",F398),"")</f>
        <v/>
      </c>
      <c r="Z398" s="96" t="str">
        <f>IF(S398=1,COUNTIF($S$6:S398,1),"")</f>
        <v/>
      </c>
      <c r="AA398" s="96">
        <f>IF(S398=0,0,IF(AND(OR(r_ini="",AND(ISNUMBER(D398),D398&gt;=r_ini)),OR(r_fim="",AND(ISNUMBER(D398),D398&lt;=r_fim)),OR(r_de="",r_de="(Todos)",F398=r_de)),1,0))</f>
        <v>0</v>
      </c>
      <c r="AB398" s="96" t="str">
        <f>IF(AA398=1,IF(F398="",0,COUNTIF($F$6:$F$505,"&lt;"&amp;F398))*1000+393,"")</f>
        <v/>
      </c>
    </row>
    <row r="399">
      <c r="A399" s="89" t="inlineStr">
        <is>
          <t>CDF-000394</t>
        </is>
      </c>
      <c r="B399" s="90" t="n"/>
      <c r="C399" s="91" t="n"/>
      <c r="D399" s="92" t="n"/>
      <c r="E399" s="91" t="n"/>
      <c r="F399" s="91" t="n"/>
      <c r="G399" s="91" t="n"/>
      <c r="H399" s="91" t="n"/>
      <c r="I399" s="91" t="n"/>
      <c r="J399" s="91" t="n"/>
      <c r="K399" s="92" t="n"/>
      <c r="L399" s="91" t="n"/>
      <c r="M399" s="91" t="n"/>
      <c r="N399" s="91" t="n"/>
      <c r="O399" s="93" t="str">
        <f>IF(S399=0,"",SUMIFS('VÍNCULOS_CDF'!$H$6:$H$1005,'VÍNCULOS_CDF'!$O$6:$O$1005,A399,'VÍNCULOS_CDF'!$V$6:$V$1005,1))</f>
        <v/>
      </c>
      <c r="P399" s="95" t="str">
        <f>IF(S399=0,"",COUNTIFS('VÍNCULOS_CDF'!$O$6:$O$1005,A399,'VÍNCULOS_CDF'!$N$6:$N$1005,1))</f>
        <v/>
      </c>
      <c r="Q399" s="94" t="str">
        <f>IF(S399=0,"",IF(OR(B399="",F399=""),"Informações incompletas",IF(U399=1,"Possível duplicidade",IF(V399=0,"Destinador fora do cadastro",IF(AND(J399="Sim",N(P399)=0),"Necessita revisão de vínculos",IF(X399&gt;0,"Necessita revisão de vínculos",IF(J399="Sim","Conferido",IF(I399="Sim","Localizado, aguardando conferência","Cadastrado"))))))))</f>
        <v/>
      </c>
      <c r="R399" s="95" t="str">
        <f>IF(S399=0,"",COUNTIFS('VÍNCULOS_CDF'!$O$6:$O$1005,A399,'VÍNCULOS_CDF'!$AB$6:$AB$1005,1))</f>
        <v/>
      </c>
      <c r="S399" s="96">
        <f>IF(COUNTA(B399:N399)&gt;0,1,0)</f>
        <v>0</v>
      </c>
      <c r="T399" s="96" t="str">
        <f>IF(AND(S399=1,B399&lt;&gt;""),C399&amp;"|"&amp;TRIM(B399),"")</f>
        <v/>
      </c>
      <c r="U399" s="96">
        <f>IF(T399="",0,IF(SUMPRODUCT(--($T$6:$T$505=T399))&gt;1,1,0))</f>
        <v>0</v>
      </c>
      <c r="V399" s="96">
        <f>IF(F399="",0,IF(ISNUMBER(MATCH(F399,cmp_dest,0)),1,0))</f>
        <v>0</v>
      </c>
      <c r="W399" s="96">
        <f>IF(AND(S399=1,B399&lt;&gt;"",F399&lt;&gt;"",J399="Sim",U399=0),1,0)</f>
        <v>0</v>
      </c>
      <c r="X399" s="96">
        <f>IF(S399=0,0,COUNTIFS('VÍNCULOS_CDF'!$O$6:$O$1005,A399,'VÍNCULOS_CDF'!$Y$6:$Y$1005,1))</f>
        <v>0</v>
      </c>
      <c r="Y399" s="96" t="str">
        <f>IF(S399=1,A399&amp;" | CDF "&amp;IF(B399="","(sem número)",B399)&amp;" | "&amp;IF(F399="","(sem destinador)",F399),"")</f>
        <v/>
      </c>
      <c r="Z399" s="96" t="str">
        <f>IF(S399=1,COUNTIF($S$6:S399,1),"")</f>
        <v/>
      </c>
      <c r="AA399" s="96">
        <f>IF(S399=0,0,IF(AND(OR(r_ini="",AND(ISNUMBER(D399),D399&gt;=r_ini)),OR(r_fim="",AND(ISNUMBER(D399),D399&lt;=r_fim)),OR(r_de="",r_de="(Todos)",F399=r_de)),1,0))</f>
        <v>0</v>
      </c>
      <c r="AB399" s="96" t="str">
        <f>IF(AA399=1,IF(F399="",0,COUNTIF($F$6:$F$505,"&lt;"&amp;F399))*1000+394,"")</f>
        <v/>
      </c>
    </row>
    <row r="400">
      <c r="A400" s="89" t="inlineStr">
        <is>
          <t>CDF-000395</t>
        </is>
      </c>
      <c r="B400" s="90" t="n"/>
      <c r="C400" s="91" t="n"/>
      <c r="D400" s="92" t="n"/>
      <c r="E400" s="91" t="n"/>
      <c r="F400" s="91" t="n"/>
      <c r="G400" s="91" t="n"/>
      <c r="H400" s="91" t="n"/>
      <c r="I400" s="91" t="n"/>
      <c r="J400" s="91" t="n"/>
      <c r="K400" s="92" t="n"/>
      <c r="L400" s="91" t="n"/>
      <c r="M400" s="91" t="n"/>
      <c r="N400" s="91" t="n"/>
      <c r="O400" s="93" t="str">
        <f>IF(S400=0,"",SUMIFS('VÍNCULOS_CDF'!$H$6:$H$1005,'VÍNCULOS_CDF'!$O$6:$O$1005,A400,'VÍNCULOS_CDF'!$V$6:$V$1005,1))</f>
        <v/>
      </c>
      <c r="P400" s="95" t="str">
        <f>IF(S400=0,"",COUNTIFS('VÍNCULOS_CDF'!$O$6:$O$1005,A400,'VÍNCULOS_CDF'!$N$6:$N$1005,1))</f>
        <v/>
      </c>
      <c r="Q400" s="94" t="str">
        <f>IF(S400=0,"",IF(OR(B400="",F400=""),"Informações incompletas",IF(U400=1,"Possível duplicidade",IF(V400=0,"Destinador fora do cadastro",IF(AND(J400="Sim",N(P400)=0),"Necessita revisão de vínculos",IF(X400&gt;0,"Necessita revisão de vínculos",IF(J400="Sim","Conferido",IF(I400="Sim","Localizado, aguardando conferência","Cadastrado"))))))))</f>
        <v/>
      </c>
      <c r="R400" s="95" t="str">
        <f>IF(S400=0,"",COUNTIFS('VÍNCULOS_CDF'!$O$6:$O$1005,A400,'VÍNCULOS_CDF'!$AB$6:$AB$1005,1))</f>
        <v/>
      </c>
      <c r="S400" s="96">
        <f>IF(COUNTA(B400:N400)&gt;0,1,0)</f>
        <v>0</v>
      </c>
      <c r="T400" s="96" t="str">
        <f>IF(AND(S400=1,B400&lt;&gt;""),C400&amp;"|"&amp;TRIM(B400),"")</f>
        <v/>
      </c>
      <c r="U400" s="96">
        <f>IF(T400="",0,IF(SUMPRODUCT(--($T$6:$T$505=T400))&gt;1,1,0))</f>
        <v>0</v>
      </c>
      <c r="V400" s="96">
        <f>IF(F400="",0,IF(ISNUMBER(MATCH(F400,cmp_dest,0)),1,0))</f>
        <v>0</v>
      </c>
      <c r="W400" s="96">
        <f>IF(AND(S400=1,B400&lt;&gt;"",F400&lt;&gt;"",J400="Sim",U400=0),1,0)</f>
        <v>0</v>
      </c>
      <c r="X400" s="96">
        <f>IF(S400=0,0,COUNTIFS('VÍNCULOS_CDF'!$O$6:$O$1005,A400,'VÍNCULOS_CDF'!$Y$6:$Y$1005,1))</f>
        <v>0</v>
      </c>
      <c r="Y400" s="96" t="str">
        <f>IF(S400=1,A400&amp;" | CDF "&amp;IF(B400="","(sem número)",B400)&amp;" | "&amp;IF(F400="","(sem destinador)",F400),"")</f>
        <v/>
      </c>
      <c r="Z400" s="96" t="str">
        <f>IF(S400=1,COUNTIF($S$6:S400,1),"")</f>
        <v/>
      </c>
      <c r="AA400" s="96">
        <f>IF(S400=0,0,IF(AND(OR(r_ini="",AND(ISNUMBER(D400),D400&gt;=r_ini)),OR(r_fim="",AND(ISNUMBER(D400),D400&lt;=r_fim)),OR(r_de="",r_de="(Todos)",F400=r_de)),1,0))</f>
        <v>0</v>
      </c>
      <c r="AB400" s="96" t="str">
        <f>IF(AA400=1,IF(F400="",0,COUNTIF($F$6:$F$505,"&lt;"&amp;F400))*1000+395,"")</f>
        <v/>
      </c>
    </row>
    <row r="401">
      <c r="A401" s="89" t="inlineStr">
        <is>
          <t>CDF-000396</t>
        </is>
      </c>
      <c r="B401" s="90" t="n"/>
      <c r="C401" s="91" t="n"/>
      <c r="D401" s="92" t="n"/>
      <c r="E401" s="91" t="n"/>
      <c r="F401" s="91" t="n"/>
      <c r="G401" s="91" t="n"/>
      <c r="H401" s="91" t="n"/>
      <c r="I401" s="91" t="n"/>
      <c r="J401" s="91" t="n"/>
      <c r="K401" s="92" t="n"/>
      <c r="L401" s="91" t="n"/>
      <c r="M401" s="91" t="n"/>
      <c r="N401" s="91" t="n"/>
      <c r="O401" s="93" t="str">
        <f>IF(S401=0,"",SUMIFS('VÍNCULOS_CDF'!$H$6:$H$1005,'VÍNCULOS_CDF'!$O$6:$O$1005,A401,'VÍNCULOS_CDF'!$V$6:$V$1005,1))</f>
        <v/>
      </c>
      <c r="P401" s="95" t="str">
        <f>IF(S401=0,"",COUNTIFS('VÍNCULOS_CDF'!$O$6:$O$1005,A401,'VÍNCULOS_CDF'!$N$6:$N$1005,1))</f>
        <v/>
      </c>
      <c r="Q401" s="94" t="str">
        <f>IF(S401=0,"",IF(OR(B401="",F401=""),"Informações incompletas",IF(U401=1,"Possível duplicidade",IF(V401=0,"Destinador fora do cadastro",IF(AND(J401="Sim",N(P401)=0),"Necessita revisão de vínculos",IF(X401&gt;0,"Necessita revisão de vínculos",IF(J401="Sim","Conferido",IF(I401="Sim","Localizado, aguardando conferência","Cadastrado"))))))))</f>
        <v/>
      </c>
      <c r="R401" s="95" t="str">
        <f>IF(S401=0,"",COUNTIFS('VÍNCULOS_CDF'!$O$6:$O$1005,A401,'VÍNCULOS_CDF'!$AB$6:$AB$1005,1))</f>
        <v/>
      </c>
      <c r="S401" s="96">
        <f>IF(COUNTA(B401:N401)&gt;0,1,0)</f>
        <v>0</v>
      </c>
      <c r="T401" s="96" t="str">
        <f>IF(AND(S401=1,B401&lt;&gt;""),C401&amp;"|"&amp;TRIM(B401),"")</f>
        <v/>
      </c>
      <c r="U401" s="96">
        <f>IF(T401="",0,IF(SUMPRODUCT(--($T$6:$T$505=T401))&gt;1,1,0))</f>
        <v>0</v>
      </c>
      <c r="V401" s="96">
        <f>IF(F401="",0,IF(ISNUMBER(MATCH(F401,cmp_dest,0)),1,0))</f>
        <v>0</v>
      </c>
      <c r="W401" s="96">
        <f>IF(AND(S401=1,B401&lt;&gt;"",F401&lt;&gt;"",J401="Sim",U401=0),1,0)</f>
        <v>0</v>
      </c>
      <c r="X401" s="96">
        <f>IF(S401=0,0,COUNTIFS('VÍNCULOS_CDF'!$O$6:$O$1005,A401,'VÍNCULOS_CDF'!$Y$6:$Y$1005,1))</f>
        <v>0</v>
      </c>
      <c r="Y401" s="96" t="str">
        <f>IF(S401=1,A401&amp;" | CDF "&amp;IF(B401="","(sem número)",B401)&amp;" | "&amp;IF(F401="","(sem destinador)",F401),"")</f>
        <v/>
      </c>
      <c r="Z401" s="96" t="str">
        <f>IF(S401=1,COUNTIF($S$6:S401,1),"")</f>
        <v/>
      </c>
      <c r="AA401" s="96">
        <f>IF(S401=0,0,IF(AND(OR(r_ini="",AND(ISNUMBER(D401),D401&gt;=r_ini)),OR(r_fim="",AND(ISNUMBER(D401),D401&lt;=r_fim)),OR(r_de="",r_de="(Todos)",F401=r_de)),1,0))</f>
        <v>0</v>
      </c>
      <c r="AB401" s="96" t="str">
        <f>IF(AA401=1,IF(F401="",0,COUNTIF($F$6:$F$505,"&lt;"&amp;F401))*1000+396,"")</f>
        <v/>
      </c>
    </row>
    <row r="402">
      <c r="A402" s="89" t="inlineStr">
        <is>
          <t>CDF-000397</t>
        </is>
      </c>
      <c r="B402" s="90" t="n"/>
      <c r="C402" s="91" t="n"/>
      <c r="D402" s="92" t="n"/>
      <c r="E402" s="91" t="n"/>
      <c r="F402" s="91" t="n"/>
      <c r="G402" s="91" t="n"/>
      <c r="H402" s="91" t="n"/>
      <c r="I402" s="91" t="n"/>
      <c r="J402" s="91" t="n"/>
      <c r="K402" s="92" t="n"/>
      <c r="L402" s="91" t="n"/>
      <c r="M402" s="91" t="n"/>
      <c r="N402" s="91" t="n"/>
      <c r="O402" s="93" t="str">
        <f>IF(S402=0,"",SUMIFS('VÍNCULOS_CDF'!$H$6:$H$1005,'VÍNCULOS_CDF'!$O$6:$O$1005,A402,'VÍNCULOS_CDF'!$V$6:$V$1005,1))</f>
        <v/>
      </c>
      <c r="P402" s="95" t="str">
        <f>IF(S402=0,"",COUNTIFS('VÍNCULOS_CDF'!$O$6:$O$1005,A402,'VÍNCULOS_CDF'!$N$6:$N$1005,1))</f>
        <v/>
      </c>
      <c r="Q402" s="94" t="str">
        <f>IF(S402=0,"",IF(OR(B402="",F402=""),"Informações incompletas",IF(U402=1,"Possível duplicidade",IF(V402=0,"Destinador fora do cadastro",IF(AND(J402="Sim",N(P402)=0),"Necessita revisão de vínculos",IF(X402&gt;0,"Necessita revisão de vínculos",IF(J402="Sim","Conferido",IF(I402="Sim","Localizado, aguardando conferência","Cadastrado"))))))))</f>
        <v/>
      </c>
      <c r="R402" s="95" t="str">
        <f>IF(S402=0,"",COUNTIFS('VÍNCULOS_CDF'!$O$6:$O$1005,A402,'VÍNCULOS_CDF'!$AB$6:$AB$1005,1))</f>
        <v/>
      </c>
      <c r="S402" s="96">
        <f>IF(COUNTA(B402:N402)&gt;0,1,0)</f>
        <v>0</v>
      </c>
      <c r="T402" s="96" t="str">
        <f>IF(AND(S402=1,B402&lt;&gt;""),C402&amp;"|"&amp;TRIM(B402),"")</f>
        <v/>
      </c>
      <c r="U402" s="96">
        <f>IF(T402="",0,IF(SUMPRODUCT(--($T$6:$T$505=T402))&gt;1,1,0))</f>
        <v>0</v>
      </c>
      <c r="V402" s="96">
        <f>IF(F402="",0,IF(ISNUMBER(MATCH(F402,cmp_dest,0)),1,0))</f>
        <v>0</v>
      </c>
      <c r="W402" s="96">
        <f>IF(AND(S402=1,B402&lt;&gt;"",F402&lt;&gt;"",J402="Sim",U402=0),1,0)</f>
        <v>0</v>
      </c>
      <c r="X402" s="96">
        <f>IF(S402=0,0,COUNTIFS('VÍNCULOS_CDF'!$O$6:$O$1005,A402,'VÍNCULOS_CDF'!$Y$6:$Y$1005,1))</f>
        <v>0</v>
      </c>
      <c r="Y402" s="96" t="str">
        <f>IF(S402=1,A402&amp;" | CDF "&amp;IF(B402="","(sem número)",B402)&amp;" | "&amp;IF(F402="","(sem destinador)",F402),"")</f>
        <v/>
      </c>
      <c r="Z402" s="96" t="str">
        <f>IF(S402=1,COUNTIF($S$6:S402,1),"")</f>
        <v/>
      </c>
      <c r="AA402" s="96">
        <f>IF(S402=0,0,IF(AND(OR(r_ini="",AND(ISNUMBER(D402),D402&gt;=r_ini)),OR(r_fim="",AND(ISNUMBER(D402),D402&lt;=r_fim)),OR(r_de="",r_de="(Todos)",F402=r_de)),1,0))</f>
        <v>0</v>
      </c>
      <c r="AB402" s="96" t="str">
        <f>IF(AA402=1,IF(F402="",0,COUNTIF($F$6:$F$505,"&lt;"&amp;F402))*1000+397,"")</f>
        <v/>
      </c>
    </row>
    <row r="403">
      <c r="A403" s="89" t="inlineStr">
        <is>
          <t>CDF-000398</t>
        </is>
      </c>
      <c r="B403" s="90" t="n"/>
      <c r="C403" s="91" t="n"/>
      <c r="D403" s="92" t="n"/>
      <c r="E403" s="91" t="n"/>
      <c r="F403" s="91" t="n"/>
      <c r="G403" s="91" t="n"/>
      <c r="H403" s="91" t="n"/>
      <c r="I403" s="91" t="n"/>
      <c r="J403" s="91" t="n"/>
      <c r="K403" s="92" t="n"/>
      <c r="L403" s="91" t="n"/>
      <c r="M403" s="91" t="n"/>
      <c r="N403" s="91" t="n"/>
      <c r="O403" s="93" t="str">
        <f>IF(S403=0,"",SUMIFS('VÍNCULOS_CDF'!$H$6:$H$1005,'VÍNCULOS_CDF'!$O$6:$O$1005,A403,'VÍNCULOS_CDF'!$V$6:$V$1005,1))</f>
        <v/>
      </c>
      <c r="P403" s="95" t="str">
        <f>IF(S403=0,"",COUNTIFS('VÍNCULOS_CDF'!$O$6:$O$1005,A403,'VÍNCULOS_CDF'!$N$6:$N$1005,1))</f>
        <v/>
      </c>
      <c r="Q403" s="94" t="str">
        <f>IF(S403=0,"",IF(OR(B403="",F403=""),"Informações incompletas",IF(U403=1,"Possível duplicidade",IF(V403=0,"Destinador fora do cadastro",IF(AND(J403="Sim",N(P403)=0),"Necessita revisão de vínculos",IF(X403&gt;0,"Necessita revisão de vínculos",IF(J403="Sim","Conferido",IF(I403="Sim","Localizado, aguardando conferência","Cadastrado"))))))))</f>
        <v/>
      </c>
      <c r="R403" s="95" t="str">
        <f>IF(S403=0,"",COUNTIFS('VÍNCULOS_CDF'!$O$6:$O$1005,A403,'VÍNCULOS_CDF'!$AB$6:$AB$1005,1))</f>
        <v/>
      </c>
      <c r="S403" s="96">
        <f>IF(COUNTA(B403:N403)&gt;0,1,0)</f>
        <v>0</v>
      </c>
      <c r="T403" s="96" t="str">
        <f>IF(AND(S403=1,B403&lt;&gt;""),C403&amp;"|"&amp;TRIM(B403),"")</f>
        <v/>
      </c>
      <c r="U403" s="96">
        <f>IF(T403="",0,IF(SUMPRODUCT(--($T$6:$T$505=T403))&gt;1,1,0))</f>
        <v>0</v>
      </c>
      <c r="V403" s="96">
        <f>IF(F403="",0,IF(ISNUMBER(MATCH(F403,cmp_dest,0)),1,0))</f>
        <v>0</v>
      </c>
      <c r="W403" s="96">
        <f>IF(AND(S403=1,B403&lt;&gt;"",F403&lt;&gt;"",J403="Sim",U403=0),1,0)</f>
        <v>0</v>
      </c>
      <c r="X403" s="96">
        <f>IF(S403=0,0,COUNTIFS('VÍNCULOS_CDF'!$O$6:$O$1005,A403,'VÍNCULOS_CDF'!$Y$6:$Y$1005,1))</f>
        <v>0</v>
      </c>
      <c r="Y403" s="96" t="str">
        <f>IF(S403=1,A403&amp;" | CDF "&amp;IF(B403="","(sem número)",B403)&amp;" | "&amp;IF(F403="","(sem destinador)",F403),"")</f>
        <v/>
      </c>
      <c r="Z403" s="96" t="str">
        <f>IF(S403=1,COUNTIF($S$6:S403,1),"")</f>
        <v/>
      </c>
      <c r="AA403" s="96">
        <f>IF(S403=0,0,IF(AND(OR(r_ini="",AND(ISNUMBER(D403),D403&gt;=r_ini)),OR(r_fim="",AND(ISNUMBER(D403),D403&lt;=r_fim)),OR(r_de="",r_de="(Todos)",F403=r_de)),1,0))</f>
        <v>0</v>
      </c>
      <c r="AB403" s="96" t="str">
        <f>IF(AA403=1,IF(F403="",0,COUNTIF($F$6:$F$505,"&lt;"&amp;F403))*1000+398,"")</f>
        <v/>
      </c>
    </row>
    <row r="404">
      <c r="A404" s="89" t="inlineStr">
        <is>
          <t>CDF-000399</t>
        </is>
      </c>
      <c r="B404" s="90" t="n"/>
      <c r="C404" s="91" t="n"/>
      <c r="D404" s="92" t="n"/>
      <c r="E404" s="91" t="n"/>
      <c r="F404" s="91" t="n"/>
      <c r="G404" s="91" t="n"/>
      <c r="H404" s="91" t="n"/>
      <c r="I404" s="91" t="n"/>
      <c r="J404" s="91" t="n"/>
      <c r="K404" s="92" t="n"/>
      <c r="L404" s="91" t="n"/>
      <c r="M404" s="91" t="n"/>
      <c r="N404" s="91" t="n"/>
      <c r="O404" s="93" t="str">
        <f>IF(S404=0,"",SUMIFS('VÍNCULOS_CDF'!$H$6:$H$1005,'VÍNCULOS_CDF'!$O$6:$O$1005,A404,'VÍNCULOS_CDF'!$V$6:$V$1005,1))</f>
        <v/>
      </c>
      <c r="P404" s="95" t="str">
        <f>IF(S404=0,"",COUNTIFS('VÍNCULOS_CDF'!$O$6:$O$1005,A404,'VÍNCULOS_CDF'!$N$6:$N$1005,1))</f>
        <v/>
      </c>
      <c r="Q404" s="94" t="str">
        <f>IF(S404=0,"",IF(OR(B404="",F404=""),"Informações incompletas",IF(U404=1,"Possível duplicidade",IF(V404=0,"Destinador fora do cadastro",IF(AND(J404="Sim",N(P404)=0),"Necessita revisão de vínculos",IF(X404&gt;0,"Necessita revisão de vínculos",IF(J404="Sim","Conferido",IF(I404="Sim","Localizado, aguardando conferência","Cadastrado"))))))))</f>
        <v/>
      </c>
      <c r="R404" s="95" t="str">
        <f>IF(S404=0,"",COUNTIFS('VÍNCULOS_CDF'!$O$6:$O$1005,A404,'VÍNCULOS_CDF'!$AB$6:$AB$1005,1))</f>
        <v/>
      </c>
      <c r="S404" s="96">
        <f>IF(COUNTA(B404:N404)&gt;0,1,0)</f>
        <v>0</v>
      </c>
      <c r="T404" s="96" t="str">
        <f>IF(AND(S404=1,B404&lt;&gt;""),C404&amp;"|"&amp;TRIM(B404),"")</f>
        <v/>
      </c>
      <c r="U404" s="96">
        <f>IF(T404="",0,IF(SUMPRODUCT(--($T$6:$T$505=T404))&gt;1,1,0))</f>
        <v>0</v>
      </c>
      <c r="V404" s="96">
        <f>IF(F404="",0,IF(ISNUMBER(MATCH(F404,cmp_dest,0)),1,0))</f>
        <v>0</v>
      </c>
      <c r="W404" s="96">
        <f>IF(AND(S404=1,B404&lt;&gt;"",F404&lt;&gt;"",J404="Sim",U404=0),1,0)</f>
        <v>0</v>
      </c>
      <c r="X404" s="96">
        <f>IF(S404=0,0,COUNTIFS('VÍNCULOS_CDF'!$O$6:$O$1005,A404,'VÍNCULOS_CDF'!$Y$6:$Y$1005,1))</f>
        <v>0</v>
      </c>
      <c r="Y404" s="96" t="str">
        <f>IF(S404=1,A404&amp;" | CDF "&amp;IF(B404="","(sem número)",B404)&amp;" | "&amp;IF(F404="","(sem destinador)",F404),"")</f>
        <v/>
      </c>
      <c r="Z404" s="96" t="str">
        <f>IF(S404=1,COUNTIF($S$6:S404,1),"")</f>
        <v/>
      </c>
      <c r="AA404" s="96">
        <f>IF(S404=0,0,IF(AND(OR(r_ini="",AND(ISNUMBER(D404),D404&gt;=r_ini)),OR(r_fim="",AND(ISNUMBER(D404),D404&lt;=r_fim)),OR(r_de="",r_de="(Todos)",F404=r_de)),1,0))</f>
        <v>0</v>
      </c>
      <c r="AB404" s="96" t="str">
        <f>IF(AA404=1,IF(F404="",0,COUNTIF($F$6:$F$505,"&lt;"&amp;F404))*1000+399,"")</f>
        <v/>
      </c>
    </row>
    <row r="405">
      <c r="A405" s="89" t="inlineStr">
        <is>
          <t>CDF-000400</t>
        </is>
      </c>
      <c r="B405" s="90" t="n"/>
      <c r="C405" s="91" t="n"/>
      <c r="D405" s="92" t="n"/>
      <c r="E405" s="91" t="n"/>
      <c r="F405" s="91" t="n"/>
      <c r="G405" s="91" t="n"/>
      <c r="H405" s="91" t="n"/>
      <c r="I405" s="91" t="n"/>
      <c r="J405" s="91" t="n"/>
      <c r="K405" s="92" t="n"/>
      <c r="L405" s="91" t="n"/>
      <c r="M405" s="91" t="n"/>
      <c r="N405" s="91" t="n"/>
      <c r="O405" s="93" t="str">
        <f>IF(S405=0,"",SUMIFS('VÍNCULOS_CDF'!$H$6:$H$1005,'VÍNCULOS_CDF'!$O$6:$O$1005,A405,'VÍNCULOS_CDF'!$V$6:$V$1005,1))</f>
        <v/>
      </c>
      <c r="P405" s="95" t="str">
        <f>IF(S405=0,"",COUNTIFS('VÍNCULOS_CDF'!$O$6:$O$1005,A405,'VÍNCULOS_CDF'!$N$6:$N$1005,1))</f>
        <v/>
      </c>
      <c r="Q405" s="94" t="str">
        <f>IF(S405=0,"",IF(OR(B405="",F405=""),"Informações incompletas",IF(U405=1,"Possível duplicidade",IF(V405=0,"Destinador fora do cadastro",IF(AND(J405="Sim",N(P405)=0),"Necessita revisão de vínculos",IF(X405&gt;0,"Necessita revisão de vínculos",IF(J405="Sim","Conferido",IF(I405="Sim","Localizado, aguardando conferência","Cadastrado"))))))))</f>
        <v/>
      </c>
      <c r="R405" s="95" t="str">
        <f>IF(S405=0,"",COUNTIFS('VÍNCULOS_CDF'!$O$6:$O$1005,A405,'VÍNCULOS_CDF'!$AB$6:$AB$1005,1))</f>
        <v/>
      </c>
      <c r="S405" s="96">
        <f>IF(COUNTA(B405:N405)&gt;0,1,0)</f>
        <v>0</v>
      </c>
      <c r="T405" s="96" t="str">
        <f>IF(AND(S405=1,B405&lt;&gt;""),C405&amp;"|"&amp;TRIM(B405),"")</f>
        <v/>
      </c>
      <c r="U405" s="96">
        <f>IF(T405="",0,IF(SUMPRODUCT(--($T$6:$T$505=T405))&gt;1,1,0))</f>
        <v>0</v>
      </c>
      <c r="V405" s="96">
        <f>IF(F405="",0,IF(ISNUMBER(MATCH(F405,cmp_dest,0)),1,0))</f>
        <v>0</v>
      </c>
      <c r="W405" s="96">
        <f>IF(AND(S405=1,B405&lt;&gt;"",F405&lt;&gt;"",J405="Sim",U405=0),1,0)</f>
        <v>0</v>
      </c>
      <c r="X405" s="96">
        <f>IF(S405=0,0,COUNTIFS('VÍNCULOS_CDF'!$O$6:$O$1005,A405,'VÍNCULOS_CDF'!$Y$6:$Y$1005,1))</f>
        <v>0</v>
      </c>
      <c r="Y405" s="96" t="str">
        <f>IF(S405=1,A405&amp;" | CDF "&amp;IF(B405="","(sem número)",B405)&amp;" | "&amp;IF(F405="","(sem destinador)",F405),"")</f>
        <v/>
      </c>
      <c r="Z405" s="96" t="str">
        <f>IF(S405=1,COUNTIF($S$6:S405,1),"")</f>
        <v/>
      </c>
      <c r="AA405" s="96">
        <f>IF(S405=0,0,IF(AND(OR(r_ini="",AND(ISNUMBER(D405),D405&gt;=r_ini)),OR(r_fim="",AND(ISNUMBER(D405),D405&lt;=r_fim)),OR(r_de="",r_de="(Todos)",F405=r_de)),1,0))</f>
        <v>0</v>
      </c>
      <c r="AB405" s="96" t="str">
        <f>IF(AA405=1,IF(F405="",0,COUNTIF($F$6:$F$505,"&lt;"&amp;F405))*1000+400,"")</f>
        <v/>
      </c>
    </row>
    <row r="406">
      <c r="A406" s="89" t="inlineStr">
        <is>
          <t>CDF-000401</t>
        </is>
      </c>
      <c r="B406" s="90" t="n"/>
      <c r="C406" s="91" t="n"/>
      <c r="D406" s="92" t="n"/>
      <c r="E406" s="91" t="n"/>
      <c r="F406" s="91" t="n"/>
      <c r="G406" s="91" t="n"/>
      <c r="H406" s="91" t="n"/>
      <c r="I406" s="91" t="n"/>
      <c r="J406" s="91" t="n"/>
      <c r="K406" s="92" t="n"/>
      <c r="L406" s="91" t="n"/>
      <c r="M406" s="91" t="n"/>
      <c r="N406" s="91" t="n"/>
      <c r="O406" s="93" t="str">
        <f>IF(S406=0,"",SUMIFS('VÍNCULOS_CDF'!$H$6:$H$1005,'VÍNCULOS_CDF'!$O$6:$O$1005,A406,'VÍNCULOS_CDF'!$V$6:$V$1005,1))</f>
        <v/>
      </c>
      <c r="P406" s="95" t="str">
        <f>IF(S406=0,"",COUNTIFS('VÍNCULOS_CDF'!$O$6:$O$1005,A406,'VÍNCULOS_CDF'!$N$6:$N$1005,1))</f>
        <v/>
      </c>
      <c r="Q406" s="94" t="str">
        <f>IF(S406=0,"",IF(OR(B406="",F406=""),"Informações incompletas",IF(U406=1,"Possível duplicidade",IF(V406=0,"Destinador fora do cadastro",IF(AND(J406="Sim",N(P406)=0),"Necessita revisão de vínculos",IF(X406&gt;0,"Necessita revisão de vínculos",IF(J406="Sim","Conferido",IF(I406="Sim","Localizado, aguardando conferência","Cadastrado"))))))))</f>
        <v/>
      </c>
      <c r="R406" s="95" t="str">
        <f>IF(S406=0,"",COUNTIFS('VÍNCULOS_CDF'!$O$6:$O$1005,A406,'VÍNCULOS_CDF'!$AB$6:$AB$1005,1))</f>
        <v/>
      </c>
      <c r="S406" s="96">
        <f>IF(COUNTA(B406:N406)&gt;0,1,0)</f>
        <v>0</v>
      </c>
      <c r="T406" s="96" t="str">
        <f>IF(AND(S406=1,B406&lt;&gt;""),C406&amp;"|"&amp;TRIM(B406),"")</f>
        <v/>
      </c>
      <c r="U406" s="96">
        <f>IF(T406="",0,IF(SUMPRODUCT(--($T$6:$T$505=T406))&gt;1,1,0))</f>
        <v>0</v>
      </c>
      <c r="V406" s="96">
        <f>IF(F406="",0,IF(ISNUMBER(MATCH(F406,cmp_dest,0)),1,0))</f>
        <v>0</v>
      </c>
      <c r="W406" s="96">
        <f>IF(AND(S406=1,B406&lt;&gt;"",F406&lt;&gt;"",J406="Sim",U406=0),1,0)</f>
        <v>0</v>
      </c>
      <c r="X406" s="96">
        <f>IF(S406=0,0,COUNTIFS('VÍNCULOS_CDF'!$O$6:$O$1005,A406,'VÍNCULOS_CDF'!$Y$6:$Y$1005,1))</f>
        <v>0</v>
      </c>
      <c r="Y406" s="96" t="str">
        <f>IF(S406=1,A406&amp;" | CDF "&amp;IF(B406="","(sem número)",B406)&amp;" | "&amp;IF(F406="","(sem destinador)",F406),"")</f>
        <v/>
      </c>
      <c r="Z406" s="96" t="str">
        <f>IF(S406=1,COUNTIF($S$6:S406,1),"")</f>
        <v/>
      </c>
      <c r="AA406" s="96">
        <f>IF(S406=0,0,IF(AND(OR(r_ini="",AND(ISNUMBER(D406),D406&gt;=r_ini)),OR(r_fim="",AND(ISNUMBER(D406),D406&lt;=r_fim)),OR(r_de="",r_de="(Todos)",F406=r_de)),1,0))</f>
        <v>0</v>
      </c>
      <c r="AB406" s="96" t="str">
        <f>IF(AA406=1,IF(F406="",0,COUNTIF($F$6:$F$505,"&lt;"&amp;F406))*1000+401,"")</f>
        <v/>
      </c>
    </row>
    <row r="407">
      <c r="A407" s="89" t="inlineStr">
        <is>
          <t>CDF-000402</t>
        </is>
      </c>
      <c r="B407" s="90" t="n"/>
      <c r="C407" s="91" t="n"/>
      <c r="D407" s="92" t="n"/>
      <c r="E407" s="91" t="n"/>
      <c r="F407" s="91" t="n"/>
      <c r="G407" s="91" t="n"/>
      <c r="H407" s="91" t="n"/>
      <c r="I407" s="91" t="n"/>
      <c r="J407" s="91" t="n"/>
      <c r="K407" s="92" t="n"/>
      <c r="L407" s="91" t="n"/>
      <c r="M407" s="91" t="n"/>
      <c r="N407" s="91" t="n"/>
      <c r="O407" s="93" t="str">
        <f>IF(S407=0,"",SUMIFS('VÍNCULOS_CDF'!$H$6:$H$1005,'VÍNCULOS_CDF'!$O$6:$O$1005,A407,'VÍNCULOS_CDF'!$V$6:$V$1005,1))</f>
        <v/>
      </c>
      <c r="P407" s="95" t="str">
        <f>IF(S407=0,"",COUNTIFS('VÍNCULOS_CDF'!$O$6:$O$1005,A407,'VÍNCULOS_CDF'!$N$6:$N$1005,1))</f>
        <v/>
      </c>
      <c r="Q407" s="94" t="str">
        <f>IF(S407=0,"",IF(OR(B407="",F407=""),"Informações incompletas",IF(U407=1,"Possível duplicidade",IF(V407=0,"Destinador fora do cadastro",IF(AND(J407="Sim",N(P407)=0),"Necessita revisão de vínculos",IF(X407&gt;0,"Necessita revisão de vínculos",IF(J407="Sim","Conferido",IF(I407="Sim","Localizado, aguardando conferência","Cadastrado"))))))))</f>
        <v/>
      </c>
      <c r="R407" s="95" t="str">
        <f>IF(S407=0,"",COUNTIFS('VÍNCULOS_CDF'!$O$6:$O$1005,A407,'VÍNCULOS_CDF'!$AB$6:$AB$1005,1))</f>
        <v/>
      </c>
      <c r="S407" s="96">
        <f>IF(COUNTA(B407:N407)&gt;0,1,0)</f>
        <v>0</v>
      </c>
      <c r="T407" s="96" t="str">
        <f>IF(AND(S407=1,B407&lt;&gt;""),C407&amp;"|"&amp;TRIM(B407),"")</f>
        <v/>
      </c>
      <c r="U407" s="96">
        <f>IF(T407="",0,IF(SUMPRODUCT(--($T$6:$T$505=T407))&gt;1,1,0))</f>
        <v>0</v>
      </c>
      <c r="V407" s="96">
        <f>IF(F407="",0,IF(ISNUMBER(MATCH(F407,cmp_dest,0)),1,0))</f>
        <v>0</v>
      </c>
      <c r="W407" s="96">
        <f>IF(AND(S407=1,B407&lt;&gt;"",F407&lt;&gt;"",J407="Sim",U407=0),1,0)</f>
        <v>0</v>
      </c>
      <c r="X407" s="96">
        <f>IF(S407=0,0,COUNTIFS('VÍNCULOS_CDF'!$O$6:$O$1005,A407,'VÍNCULOS_CDF'!$Y$6:$Y$1005,1))</f>
        <v>0</v>
      </c>
      <c r="Y407" s="96" t="str">
        <f>IF(S407=1,A407&amp;" | CDF "&amp;IF(B407="","(sem número)",B407)&amp;" | "&amp;IF(F407="","(sem destinador)",F407),"")</f>
        <v/>
      </c>
      <c r="Z407" s="96" t="str">
        <f>IF(S407=1,COUNTIF($S$6:S407,1),"")</f>
        <v/>
      </c>
      <c r="AA407" s="96">
        <f>IF(S407=0,0,IF(AND(OR(r_ini="",AND(ISNUMBER(D407),D407&gt;=r_ini)),OR(r_fim="",AND(ISNUMBER(D407),D407&lt;=r_fim)),OR(r_de="",r_de="(Todos)",F407=r_de)),1,0))</f>
        <v>0</v>
      </c>
      <c r="AB407" s="96" t="str">
        <f>IF(AA407=1,IF(F407="",0,COUNTIF($F$6:$F$505,"&lt;"&amp;F407))*1000+402,"")</f>
        <v/>
      </c>
    </row>
    <row r="408">
      <c r="A408" s="89" t="inlineStr">
        <is>
          <t>CDF-000403</t>
        </is>
      </c>
      <c r="B408" s="90" t="n"/>
      <c r="C408" s="91" t="n"/>
      <c r="D408" s="92" t="n"/>
      <c r="E408" s="91" t="n"/>
      <c r="F408" s="91" t="n"/>
      <c r="G408" s="91" t="n"/>
      <c r="H408" s="91" t="n"/>
      <c r="I408" s="91" t="n"/>
      <c r="J408" s="91" t="n"/>
      <c r="K408" s="92" t="n"/>
      <c r="L408" s="91" t="n"/>
      <c r="M408" s="91" t="n"/>
      <c r="N408" s="91" t="n"/>
      <c r="O408" s="93" t="str">
        <f>IF(S408=0,"",SUMIFS('VÍNCULOS_CDF'!$H$6:$H$1005,'VÍNCULOS_CDF'!$O$6:$O$1005,A408,'VÍNCULOS_CDF'!$V$6:$V$1005,1))</f>
        <v/>
      </c>
      <c r="P408" s="95" t="str">
        <f>IF(S408=0,"",COUNTIFS('VÍNCULOS_CDF'!$O$6:$O$1005,A408,'VÍNCULOS_CDF'!$N$6:$N$1005,1))</f>
        <v/>
      </c>
      <c r="Q408" s="94" t="str">
        <f>IF(S408=0,"",IF(OR(B408="",F408=""),"Informações incompletas",IF(U408=1,"Possível duplicidade",IF(V408=0,"Destinador fora do cadastro",IF(AND(J408="Sim",N(P408)=0),"Necessita revisão de vínculos",IF(X408&gt;0,"Necessita revisão de vínculos",IF(J408="Sim","Conferido",IF(I408="Sim","Localizado, aguardando conferência","Cadastrado"))))))))</f>
        <v/>
      </c>
      <c r="R408" s="95" t="str">
        <f>IF(S408=0,"",COUNTIFS('VÍNCULOS_CDF'!$O$6:$O$1005,A408,'VÍNCULOS_CDF'!$AB$6:$AB$1005,1))</f>
        <v/>
      </c>
      <c r="S408" s="96">
        <f>IF(COUNTA(B408:N408)&gt;0,1,0)</f>
        <v>0</v>
      </c>
      <c r="T408" s="96" t="str">
        <f>IF(AND(S408=1,B408&lt;&gt;""),C408&amp;"|"&amp;TRIM(B408),"")</f>
        <v/>
      </c>
      <c r="U408" s="96">
        <f>IF(T408="",0,IF(SUMPRODUCT(--($T$6:$T$505=T408))&gt;1,1,0))</f>
        <v>0</v>
      </c>
      <c r="V408" s="96">
        <f>IF(F408="",0,IF(ISNUMBER(MATCH(F408,cmp_dest,0)),1,0))</f>
        <v>0</v>
      </c>
      <c r="W408" s="96">
        <f>IF(AND(S408=1,B408&lt;&gt;"",F408&lt;&gt;"",J408="Sim",U408=0),1,0)</f>
        <v>0</v>
      </c>
      <c r="X408" s="96">
        <f>IF(S408=0,0,COUNTIFS('VÍNCULOS_CDF'!$O$6:$O$1005,A408,'VÍNCULOS_CDF'!$Y$6:$Y$1005,1))</f>
        <v>0</v>
      </c>
      <c r="Y408" s="96" t="str">
        <f>IF(S408=1,A408&amp;" | CDF "&amp;IF(B408="","(sem número)",B408)&amp;" | "&amp;IF(F408="","(sem destinador)",F408),"")</f>
        <v/>
      </c>
      <c r="Z408" s="96" t="str">
        <f>IF(S408=1,COUNTIF($S$6:S408,1),"")</f>
        <v/>
      </c>
      <c r="AA408" s="96">
        <f>IF(S408=0,0,IF(AND(OR(r_ini="",AND(ISNUMBER(D408),D408&gt;=r_ini)),OR(r_fim="",AND(ISNUMBER(D408),D408&lt;=r_fim)),OR(r_de="",r_de="(Todos)",F408=r_de)),1,0))</f>
        <v>0</v>
      </c>
      <c r="AB408" s="96" t="str">
        <f>IF(AA408=1,IF(F408="",0,COUNTIF($F$6:$F$505,"&lt;"&amp;F408))*1000+403,"")</f>
        <v/>
      </c>
    </row>
    <row r="409">
      <c r="A409" s="89" t="inlineStr">
        <is>
          <t>CDF-000404</t>
        </is>
      </c>
      <c r="B409" s="90" t="n"/>
      <c r="C409" s="91" t="n"/>
      <c r="D409" s="92" t="n"/>
      <c r="E409" s="91" t="n"/>
      <c r="F409" s="91" t="n"/>
      <c r="G409" s="91" t="n"/>
      <c r="H409" s="91" t="n"/>
      <c r="I409" s="91" t="n"/>
      <c r="J409" s="91" t="n"/>
      <c r="K409" s="92" t="n"/>
      <c r="L409" s="91" t="n"/>
      <c r="M409" s="91" t="n"/>
      <c r="N409" s="91" t="n"/>
      <c r="O409" s="93" t="str">
        <f>IF(S409=0,"",SUMIFS('VÍNCULOS_CDF'!$H$6:$H$1005,'VÍNCULOS_CDF'!$O$6:$O$1005,A409,'VÍNCULOS_CDF'!$V$6:$V$1005,1))</f>
        <v/>
      </c>
      <c r="P409" s="95" t="str">
        <f>IF(S409=0,"",COUNTIFS('VÍNCULOS_CDF'!$O$6:$O$1005,A409,'VÍNCULOS_CDF'!$N$6:$N$1005,1))</f>
        <v/>
      </c>
      <c r="Q409" s="94" t="str">
        <f>IF(S409=0,"",IF(OR(B409="",F409=""),"Informações incompletas",IF(U409=1,"Possível duplicidade",IF(V409=0,"Destinador fora do cadastro",IF(AND(J409="Sim",N(P409)=0),"Necessita revisão de vínculos",IF(X409&gt;0,"Necessita revisão de vínculos",IF(J409="Sim","Conferido",IF(I409="Sim","Localizado, aguardando conferência","Cadastrado"))))))))</f>
        <v/>
      </c>
      <c r="R409" s="95" t="str">
        <f>IF(S409=0,"",COUNTIFS('VÍNCULOS_CDF'!$O$6:$O$1005,A409,'VÍNCULOS_CDF'!$AB$6:$AB$1005,1))</f>
        <v/>
      </c>
      <c r="S409" s="96">
        <f>IF(COUNTA(B409:N409)&gt;0,1,0)</f>
        <v>0</v>
      </c>
      <c r="T409" s="96" t="str">
        <f>IF(AND(S409=1,B409&lt;&gt;""),C409&amp;"|"&amp;TRIM(B409),"")</f>
        <v/>
      </c>
      <c r="U409" s="96">
        <f>IF(T409="",0,IF(SUMPRODUCT(--($T$6:$T$505=T409))&gt;1,1,0))</f>
        <v>0</v>
      </c>
      <c r="V409" s="96">
        <f>IF(F409="",0,IF(ISNUMBER(MATCH(F409,cmp_dest,0)),1,0))</f>
        <v>0</v>
      </c>
      <c r="W409" s="96">
        <f>IF(AND(S409=1,B409&lt;&gt;"",F409&lt;&gt;"",J409="Sim",U409=0),1,0)</f>
        <v>0</v>
      </c>
      <c r="X409" s="96">
        <f>IF(S409=0,0,COUNTIFS('VÍNCULOS_CDF'!$O$6:$O$1005,A409,'VÍNCULOS_CDF'!$Y$6:$Y$1005,1))</f>
        <v>0</v>
      </c>
      <c r="Y409" s="96" t="str">
        <f>IF(S409=1,A409&amp;" | CDF "&amp;IF(B409="","(sem número)",B409)&amp;" | "&amp;IF(F409="","(sem destinador)",F409),"")</f>
        <v/>
      </c>
      <c r="Z409" s="96" t="str">
        <f>IF(S409=1,COUNTIF($S$6:S409,1),"")</f>
        <v/>
      </c>
      <c r="AA409" s="96">
        <f>IF(S409=0,0,IF(AND(OR(r_ini="",AND(ISNUMBER(D409),D409&gt;=r_ini)),OR(r_fim="",AND(ISNUMBER(D409),D409&lt;=r_fim)),OR(r_de="",r_de="(Todos)",F409=r_de)),1,0))</f>
        <v>0</v>
      </c>
      <c r="AB409" s="96" t="str">
        <f>IF(AA409=1,IF(F409="",0,COUNTIF($F$6:$F$505,"&lt;"&amp;F409))*1000+404,"")</f>
        <v/>
      </c>
    </row>
    <row r="410">
      <c r="A410" s="89" t="inlineStr">
        <is>
          <t>CDF-000405</t>
        </is>
      </c>
      <c r="B410" s="90" t="n"/>
      <c r="C410" s="91" t="n"/>
      <c r="D410" s="92" t="n"/>
      <c r="E410" s="91" t="n"/>
      <c r="F410" s="91" t="n"/>
      <c r="G410" s="91" t="n"/>
      <c r="H410" s="91" t="n"/>
      <c r="I410" s="91" t="n"/>
      <c r="J410" s="91" t="n"/>
      <c r="K410" s="92" t="n"/>
      <c r="L410" s="91" t="n"/>
      <c r="M410" s="91" t="n"/>
      <c r="N410" s="91" t="n"/>
      <c r="O410" s="93" t="str">
        <f>IF(S410=0,"",SUMIFS('VÍNCULOS_CDF'!$H$6:$H$1005,'VÍNCULOS_CDF'!$O$6:$O$1005,A410,'VÍNCULOS_CDF'!$V$6:$V$1005,1))</f>
        <v/>
      </c>
      <c r="P410" s="95" t="str">
        <f>IF(S410=0,"",COUNTIFS('VÍNCULOS_CDF'!$O$6:$O$1005,A410,'VÍNCULOS_CDF'!$N$6:$N$1005,1))</f>
        <v/>
      </c>
      <c r="Q410" s="94" t="str">
        <f>IF(S410=0,"",IF(OR(B410="",F410=""),"Informações incompletas",IF(U410=1,"Possível duplicidade",IF(V410=0,"Destinador fora do cadastro",IF(AND(J410="Sim",N(P410)=0),"Necessita revisão de vínculos",IF(X410&gt;0,"Necessita revisão de vínculos",IF(J410="Sim","Conferido",IF(I410="Sim","Localizado, aguardando conferência","Cadastrado"))))))))</f>
        <v/>
      </c>
      <c r="R410" s="95" t="str">
        <f>IF(S410=0,"",COUNTIFS('VÍNCULOS_CDF'!$O$6:$O$1005,A410,'VÍNCULOS_CDF'!$AB$6:$AB$1005,1))</f>
        <v/>
      </c>
      <c r="S410" s="96">
        <f>IF(COUNTA(B410:N410)&gt;0,1,0)</f>
        <v>0</v>
      </c>
      <c r="T410" s="96" t="str">
        <f>IF(AND(S410=1,B410&lt;&gt;""),C410&amp;"|"&amp;TRIM(B410),"")</f>
        <v/>
      </c>
      <c r="U410" s="96">
        <f>IF(T410="",0,IF(SUMPRODUCT(--($T$6:$T$505=T410))&gt;1,1,0))</f>
        <v>0</v>
      </c>
      <c r="V410" s="96">
        <f>IF(F410="",0,IF(ISNUMBER(MATCH(F410,cmp_dest,0)),1,0))</f>
        <v>0</v>
      </c>
      <c r="W410" s="96">
        <f>IF(AND(S410=1,B410&lt;&gt;"",F410&lt;&gt;"",J410="Sim",U410=0),1,0)</f>
        <v>0</v>
      </c>
      <c r="X410" s="96">
        <f>IF(S410=0,0,COUNTIFS('VÍNCULOS_CDF'!$O$6:$O$1005,A410,'VÍNCULOS_CDF'!$Y$6:$Y$1005,1))</f>
        <v>0</v>
      </c>
      <c r="Y410" s="96" t="str">
        <f>IF(S410=1,A410&amp;" | CDF "&amp;IF(B410="","(sem número)",B410)&amp;" | "&amp;IF(F410="","(sem destinador)",F410),"")</f>
        <v/>
      </c>
      <c r="Z410" s="96" t="str">
        <f>IF(S410=1,COUNTIF($S$6:S410,1),"")</f>
        <v/>
      </c>
      <c r="AA410" s="96">
        <f>IF(S410=0,0,IF(AND(OR(r_ini="",AND(ISNUMBER(D410),D410&gt;=r_ini)),OR(r_fim="",AND(ISNUMBER(D410),D410&lt;=r_fim)),OR(r_de="",r_de="(Todos)",F410=r_de)),1,0))</f>
        <v>0</v>
      </c>
      <c r="AB410" s="96" t="str">
        <f>IF(AA410=1,IF(F410="",0,COUNTIF($F$6:$F$505,"&lt;"&amp;F410))*1000+405,"")</f>
        <v/>
      </c>
    </row>
    <row r="411">
      <c r="A411" s="89" t="inlineStr">
        <is>
          <t>CDF-000406</t>
        </is>
      </c>
      <c r="B411" s="90" t="n"/>
      <c r="C411" s="91" t="n"/>
      <c r="D411" s="92" t="n"/>
      <c r="E411" s="91" t="n"/>
      <c r="F411" s="91" t="n"/>
      <c r="G411" s="91" t="n"/>
      <c r="H411" s="91" t="n"/>
      <c r="I411" s="91" t="n"/>
      <c r="J411" s="91" t="n"/>
      <c r="K411" s="92" t="n"/>
      <c r="L411" s="91" t="n"/>
      <c r="M411" s="91" t="n"/>
      <c r="N411" s="91" t="n"/>
      <c r="O411" s="93" t="str">
        <f>IF(S411=0,"",SUMIFS('VÍNCULOS_CDF'!$H$6:$H$1005,'VÍNCULOS_CDF'!$O$6:$O$1005,A411,'VÍNCULOS_CDF'!$V$6:$V$1005,1))</f>
        <v/>
      </c>
      <c r="P411" s="95" t="str">
        <f>IF(S411=0,"",COUNTIFS('VÍNCULOS_CDF'!$O$6:$O$1005,A411,'VÍNCULOS_CDF'!$N$6:$N$1005,1))</f>
        <v/>
      </c>
      <c r="Q411" s="94" t="str">
        <f>IF(S411=0,"",IF(OR(B411="",F411=""),"Informações incompletas",IF(U411=1,"Possível duplicidade",IF(V411=0,"Destinador fora do cadastro",IF(AND(J411="Sim",N(P411)=0),"Necessita revisão de vínculos",IF(X411&gt;0,"Necessita revisão de vínculos",IF(J411="Sim","Conferido",IF(I411="Sim","Localizado, aguardando conferência","Cadastrado"))))))))</f>
        <v/>
      </c>
      <c r="R411" s="95" t="str">
        <f>IF(S411=0,"",COUNTIFS('VÍNCULOS_CDF'!$O$6:$O$1005,A411,'VÍNCULOS_CDF'!$AB$6:$AB$1005,1))</f>
        <v/>
      </c>
      <c r="S411" s="96">
        <f>IF(COUNTA(B411:N411)&gt;0,1,0)</f>
        <v>0</v>
      </c>
      <c r="T411" s="96" t="str">
        <f>IF(AND(S411=1,B411&lt;&gt;""),C411&amp;"|"&amp;TRIM(B411),"")</f>
        <v/>
      </c>
      <c r="U411" s="96">
        <f>IF(T411="",0,IF(SUMPRODUCT(--($T$6:$T$505=T411))&gt;1,1,0))</f>
        <v>0</v>
      </c>
      <c r="V411" s="96">
        <f>IF(F411="",0,IF(ISNUMBER(MATCH(F411,cmp_dest,0)),1,0))</f>
        <v>0</v>
      </c>
      <c r="W411" s="96">
        <f>IF(AND(S411=1,B411&lt;&gt;"",F411&lt;&gt;"",J411="Sim",U411=0),1,0)</f>
        <v>0</v>
      </c>
      <c r="X411" s="96">
        <f>IF(S411=0,0,COUNTIFS('VÍNCULOS_CDF'!$O$6:$O$1005,A411,'VÍNCULOS_CDF'!$Y$6:$Y$1005,1))</f>
        <v>0</v>
      </c>
      <c r="Y411" s="96" t="str">
        <f>IF(S411=1,A411&amp;" | CDF "&amp;IF(B411="","(sem número)",B411)&amp;" | "&amp;IF(F411="","(sem destinador)",F411),"")</f>
        <v/>
      </c>
      <c r="Z411" s="96" t="str">
        <f>IF(S411=1,COUNTIF($S$6:S411,1),"")</f>
        <v/>
      </c>
      <c r="AA411" s="96">
        <f>IF(S411=0,0,IF(AND(OR(r_ini="",AND(ISNUMBER(D411),D411&gt;=r_ini)),OR(r_fim="",AND(ISNUMBER(D411),D411&lt;=r_fim)),OR(r_de="",r_de="(Todos)",F411=r_de)),1,0))</f>
        <v>0</v>
      </c>
      <c r="AB411" s="96" t="str">
        <f>IF(AA411=1,IF(F411="",0,COUNTIF($F$6:$F$505,"&lt;"&amp;F411))*1000+406,"")</f>
        <v/>
      </c>
    </row>
    <row r="412">
      <c r="A412" s="89" t="inlineStr">
        <is>
          <t>CDF-000407</t>
        </is>
      </c>
      <c r="B412" s="90" t="n"/>
      <c r="C412" s="91" t="n"/>
      <c r="D412" s="92" t="n"/>
      <c r="E412" s="91" t="n"/>
      <c r="F412" s="91" t="n"/>
      <c r="G412" s="91" t="n"/>
      <c r="H412" s="91" t="n"/>
      <c r="I412" s="91" t="n"/>
      <c r="J412" s="91" t="n"/>
      <c r="K412" s="92" t="n"/>
      <c r="L412" s="91" t="n"/>
      <c r="M412" s="91" t="n"/>
      <c r="N412" s="91" t="n"/>
      <c r="O412" s="93" t="str">
        <f>IF(S412=0,"",SUMIFS('VÍNCULOS_CDF'!$H$6:$H$1005,'VÍNCULOS_CDF'!$O$6:$O$1005,A412,'VÍNCULOS_CDF'!$V$6:$V$1005,1))</f>
        <v/>
      </c>
      <c r="P412" s="95" t="str">
        <f>IF(S412=0,"",COUNTIFS('VÍNCULOS_CDF'!$O$6:$O$1005,A412,'VÍNCULOS_CDF'!$N$6:$N$1005,1))</f>
        <v/>
      </c>
      <c r="Q412" s="94" t="str">
        <f>IF(S412=0,"",IF(OR(B412="",F412=""),"Informações incompletas",IF(U412=1,"Possível duplicidade",IF(V412=0,"Destinador fora do cadastro",IF(AND(J412="Sim",N(P412)=0),"Necessita revisão de vínculos",IF(X412&gt;0,"Necessita revisão de vínculos",IF(J412="Sim","Conferido",IF(I412="Sim","Localizado, aguardando conferência","Cadastrado"))))))))</f>
        <v/>
      </c>
      <c r="R412" s="95" t="str">
        <f>IF(S412=0,"",COUNTIFS('VÍNCULOS_CDF'!$O$6:$O$1005,A412,'VÍNCULOS_CDF'!$AB$6:$AB$1005,1))</f>
        <v/>
      </c>
      <c r="S412" s="96">
        <f>IF(COUNTA(B412:N412)&gt;0,1,0)</f>
        <v>0</v>
      </c>
      <c r="T412" s="96" t="str">
        <f>IF(AND(S412=1,B412&lt;&gt;""),C412&amp;"|"&amp;TRIM(B412),"")</f>
        <v/>
      </c>
      <c r="U412" s="96">
        <f>IF(T412="",0,IF(SUMPRODUCT(--($T$6:$T$505=T412))&gt;1,1,0))</f>
        <v>0</v>
      </c>
      <c r="V412" s="96">
        <f>IF(F412="",0,IF(ISNUMBER(MATCH(F412,cmp_dest,0)),1,0))</f>
        <v>0</v>
      </c>
      <c r="W412" s="96">
        <f>IF(AND(S412=1,B412&lt;&gt;"",F412&lt;&gt;"",J412="Sim",U412=0),1,0)</f>
        <v>0</v>
      </c>
      <c r="X412" s="96">
        <f>IF(S412=0,0,COUNTIFS('VÍNCULOS_CDF'!$O$6:$O$1005,A412,'VÍNCULOS_CDF'!$Y$6:$Y$1005,1))</f>
        <v>0</v>
      </c>
      <c r="Y412" s="96" t="str">
        <f>IF(S412=1,A412&amp;" | CDF "&amp;IF(B412="","(sem número)",B412)&amp;" | "&amp;IF(F412="","(sem destinador)",F412),"")</f>
        <v/>
      </c>
      <c r="Z412" s="96" t="str">
        <f>IF(S412=1,COUNTIF($S$6:S412,1),"")</f>
        <v/>
      </c>
      <c r="AA412" s="96">
        <f>IF(S412=0,0,IF(AND(OR(r_ini="",AND(ISNUMBER(D412),D412&gt;=r_ini)),OR(r_fim="",AND(ISNUMBER(D412),D412&lt;=r_fim)),OR(r_de="",r_de="(Todos)",F412=r_de)),1,0))</f>
        <v>0</v>
      </c>
      <c r="AB412" s="96" t="str">
        <f>IF(AA412=1,IF(F412="",0,COUNTIF($F$6:$F$505,"&lt;"&amp;F412))*1000+407,"")</f>
        <v/>
      </c>
    </row>
    <row r="413">
      <c r="A413" s="89" t="inlineStr">
        <is>
          <t>CDF-000408</t>
        </is>
      </c>
      <c r="B413" s="90" t="n"/>
      <c r="C413" s="91" t="n"/>
      <c r="D413" s="92" t="n"/>
      <c r="E413" s="91" t="n"/>
      <c r="F413" s="91" t="n"/>
      <c r="G413" s="91" t="n"/>
      <c r="H413" s="91" t="n"/>
      <c r="I413" s="91" t="n"/>
      <c r="J413" s="91" t="n"/>
      <c r="K413" s="92" t="n"/>
      <c r="L413" s="91" t="n"/>
      <c r="M413" s="91" t="n"/>
      <c r="N413" s="91" t="n"/>
      <c r="O413" s="93" t="str">
        <f>IF(S413=0,"",SUMIFS('VÍNCULOS_CDF'!$H$6:$H$1005,'VÍNCULOS_CDF'!$O$6:$O$1005,A413,'VÍNCULOS_CDF'!$V$6:$V$1005,1))</f>
        <v/>
      </c>
      <c r="P413" s="95" t="str">
        <f>IF(S413=0,"",COUNTIFS('VÍNCULOS_CDF'!$O$6:$O$1005,A413,'VÍNCULOS_CDF'!$N$6:$N$1005,1))</f>
        <v/>
      </c>
      <c r="Q413" s="94" t="str">
        <f>IF(S413=0,"",IF(OR(B413="",F413=""),"Informações incompletas",IF(U413=1,"Possível duplicidade",IF(V413=0,"Destinador fora do cadastro",IF(AND(J413="Sim",N(P413)=0),"Necessita revisão de vínculos",IF(X413&gt;0,"Necessita revisão de vínculos",IF(J413="Sim","Conferido",IF(I413="Sim","Localizado, aguardando conferência","Cadastrado"))))))))</f>
        <v/>
      </c>
      <c r="R413" s="95" t="str">
        <f>IF(S413=0,"",COUNTIFS('VÍNCULOS_CDF'!$O$6:$O$1005,A413,'VÍNCULOS_CDF'!$AB$6:$AB$1005,1))</f>
        <v/>
      </c>
      <c r="S413" s="96">
        <f>IF(COUNTA(B413:N413)&gt;0,1,0)</f>
        <v>0</v>
      </c>
      <c r="T413" s="96" t="str">
        <f>IF(AND(S413=1,B413&lt;&gt;""),C413&amp;"|"&amp;TRIM(B413),"")</f>
        <v/>
      </c>
      <c r="U413" s="96">
        <f>IF(T413="",0,IF(SUMPRODUCT(--($T$6:$T$505=T413))&gt;1,1,0))</f>
        <v>0</v>
      </c>
      <c r="V413" s="96">
        <f>IF(F413="",0,IF(ISNUMBER(MATCH(F413,cmp_dest,0)),1,0))</f>
        <v>0</v>
      </c>
      <c r="W413" s="96">
        <f>IF(AND(S413=1,B413&lt;&gt;"",F413&lt;&gt;"",J413="Sim",U413=0),1,0)</f>
        <v>0</v>
      </c>
      <c r="X413" s="96">
        <f>IF(S413=0,0,COUNTIFS('VÍNCULOS_CDF'!$O$6:$O$1005,A413,'VÍNCULOS_CDF'!$Y$6:$Y$1005,1))</f>
        <v>0</v>
      </c>
      <c r="Y413" s="96" t="str">
        <f>IF(S413=1,A413&amp;" | CDF "&amp;IF(B413="","(sem número)",B413)&amp;" | "&amp;IF(F413="","(sem destinador)",F413),"")</f>
        <v/>
      </c>
      <c r="Z413" s="96" t="str">
        <f>IF(S413=1,COUNTIF($S$6:S413,1),"")</f>
        <v/>
      </c>
      <c r="AA413" s="96">
        <f>IF(S413=0,0,IF(AND(OR(r_ini="",AND(ISNUMBER(D413),D413&gt;=r_ini)),OR(r_fim="",AND(ISNUMBER(D413),D413&lt;=r_fim)),OR(r_de="",r_de="(Todos)",F413=r_de)),1,0))</f>
        <v>0</v>
      </c>
      <c r="AB413" s="96" t="str">
        <f>IF(AA413=1,IF(F413="",0,COUNTIF($F$6:$F$505,"&lt;"&amp;F413))*1000+408,"")</f>
        <v/>
      </c>
    </row>
    <row r="414">
      <c r="A414" s="89" t="inlineStr">
        <is>
          <t>CDF-000409</t>
        </is>
      </c>
      <c r="B414" s="90" t="n"/>
      <c r="C414" s="91" t="n"/>
      <c r="D414" s="92" t="n"/>
      <c r="E414" s="91" t="n"/>
      <c r="F414" s="91" t="n"/>
      <c r="G414" s="91" t="n"/>
      <c r="H414" s="91" t="n"/>
      <c r="I414" s="91" t="n"/>
      <c r="J414" s="91" t="n"/>
      <c r="K414" s="92" t="n"/>
      <c r="L414" s="91" t="n"/>
      <c r="M414" s="91" t="n"/>
      <c r="N414" s="91" t="n"/>
      <c r="O414" s="93" t="str">
        <f>IF(S414=0,"",SUMIFS('VÍNCULOS_CDF'!$H$6:$H$1005,'VÍNCULOS_CDF'!$O$6:$O$1005,A414,'VÍNCULOS_CDF'!$V$6:$V$1005,1))</f>
        <v/>
      </c>
      <c r="P414" s="95" t="str">
        <f>IF(S414=0,"",COUNTIFS('VÍNCULOS_CDF'!$O$6:$O$1005,A414,'VÍNCULOS_CDF'!$N$6:$N$1005,1))</f>
        <v/>
      </c>
      <c r="Q414" s="94" t="str">
        <f>IF(S414=0,"",IF(OR(B414="",F414=""),"Informações incompletas",IF(U414=1,"Possível duplicidade",IF(V414=0,"Destinador fora do cadastro",IF(AND(J414="Sim",N(P414)=0),"Necessita revisão de vínculos",IF(X414&gt;0,"Necessita revisão de vínculos",IF(J414="Sim","Conferido",IF(I414="Sim","Localizado, aguardando conferência","Cadastrado"))))))))</f>
        <v/>
      </c>
      <c r="R414" s="95" t="str">
        <f>IF(S414=0,"",COUNTIFS('VÍNCULOS_CDF'!$O$6:$O$1005,A414,'VÍNCULOS_CDF'!$AB$6:$AB$1005,1))</f>
        <v/>
      </c>
      <c r="S414" s="96">
        <f>IF(COUNTA(B414:N414)&gt;0,1,0)</f>
        <v>0</v>
      </c>
      <c r="T414" s="96" t="str">
        <f>IF(AND(S414=1,B414&lt;&gt;""),C414&amp;"|"&amp;TRIM(B414),"")</f>
        <v/>
      </c>
      <c r="U414" s="96">
        <f>IF(T414="",0,IF(SUMPRODUCT(--($T$6:$T$505=T414))&gt;1,1,0))</f>
        <v>0</v>
      </c>
      <c r="V414" s="96">
        <f>IF(F414="",0,IF(ISNUMBER(MATCH(F414,cmp_dest,0)),1,0))</f>
        <v>0</v>
      </c>
      <c r="W414" s="96">
        <f>IF(AND(S414=1,B414&lt;&gt;"",F414&lt;&gt;"",J414="Sim",U414=0),1,0)</f>
        <v>0</v>
      </c>
      <c r="X414" s="96">
        <f>IF(S414=0,0,COUNTIFS('VÍNCULOS_CDF'!$O$6:$O$1005,A414,'VÍNCULOS_CDF'!$Y$6:$Y$1005,1))</f>
        <v>0</v>
      </c>
      <c r="Y414" s="96" t="str">
        <f>IF(S414=1,A414&amp;" | CDF "&amp;IF(B414="","(sem número)",B414)&amp;" | "&amp;IF(F414="","(sem destinador)",F414),"")</f>
        <v/>
      </c>
      <c r="Z414" s="96" t="str">
        <f>IF(S414=1,COUNTIF($S$6:S414,1),"")</f>
        <v/>
      </c>
      <c r="AA414" s="96">
        <f>IF(S414=0,0,IF(AND(OR(r_ini="",AND(ISNUMBER(D414),D414&gt;=r_ini)),OR(r_fim="",AND(ISNUMBER(D414),D414&lt;=r_fim)),OR(r_de="",r_de="(Todos)",F414=r_de)),1,0))</f>
        <v>0</v>
      </c>
      <c r="AB414" s="96" t="str">
        <f>IF(AA414=1,IF(F414="",0,COUNTIF($F$6:$F$505,"&lt;"&amp;F414))*1000+409,"")</f>
        <v/>
      </c>
    </row>
    <row r="415">
      <c r="A415" s="89" t="inlineStr">
        <is>
          <t>CDF-000410</t>
        </is>
      </c>
      <c r="B415" s="90" t="n"/>
      <c r="C415" s="91" t="n"/>
      <c r="D415" s="92" t="n"/>
      <c r="E415" s="91" t="n"/>
      <c r="F415" s="91" t="n"/>
      <c r="G415" s="91" t="n"/>
      <c r="H415" s="91" t="n"/>
      <c r="I415" s="91" t="n"/>
      <c r="J415" s="91" t="n"/>
      <c r="K415" s="92" t="n"/>
      <c r="L415" s="91" t="n"/>
      <c r="M415" s="91" t="n"/>
      <c r="N415" s="91" t="n"/>
      <c r="O415" s="93" t="str">
        <f>IF(S415=0,"",SUMIFS('VÍNCULOS_CDF'!$H$6:$H$1005,'VÍNCULOS_CDF'!$O$6:$O$1005,A415,'VÍNCULOS_CDF'!$V$6:$V$1005,1))</f>
        <v/>
      </c>
      <c r="P415" s="95" t="str">
        <f>IF(S415=0,"",COUNTIFS('VÍNCULOS_CDF'!$O$6:$O$1005,A415,'VÍNCULOS_CDF'!$N$6:$N$1005,1))</f>
        <v/>
      </c>
      <c r="Q415" s="94" t="str">
        <f>IF(S415=0,"",IF(OR(B415="",F415=""),"Informações incompletas",IF(U415=1,"Possível duplicidade",IF(V415=0,"Destinador fora do cadastro",IF(AND(J415="Sim",N(P415)=0),"Necessita revisão de vínculos",IF(X415&gt;0,"Necessita revisão de vínculos",IF(J415="Sim","Conferido",IF(I415="Sim","Localizado, aguardando conferência","Cadastrado"))))))))</f>
        <v/>
      </c>
      <c r="R415" s="95" t="str">
        <f>IF(S415=0,"",COUNTIFS('VÍNCULOS_CDF'!$O$6:$O$1005,A415,'VÍNCULOS_CDF'!$AB$6:$AB$1005,1))</f>
        <v/>
      </c>
      <c r="S415" s="96">
        <f>IF(COUNTA(B415:N415)&gt;0,1,0)</f>
        <v>0</v>
      </c>
      <c r="T415" s="96" t="str">
        <f>IF(AND(S415=1,B415&lt;&gt;""),C415&amp;"|"&amp;TRIM(B415),"")</f>
        <v/>
      </c>
      <c r="U415" s="96">
        <f>IF(T415="",0,IF(SUMPRODUCT(--($T$6:$T$505=T415))&gt;1,1,0))</f>
        <v>0</v>
      </c>
      <c r="V415" s="96">
        <f>IF(F415="",0,IF(ISNUMBER(MATCH(F415,cmp_dest,0)),1,0))</f>
        <v>0</v>
      </c>
      <c r="W415" s="96">
        <f>IF(AND(S415=1,B415&lt;&gt;"",F415&lt;&gt;"",J415="Sim",U415=0),1,0)</f>
        <v>0</v>
      </c>
      <c r="X415" s="96">
        <f>IF(S415=0,0,COUNTIFS('VÍNCULOS_CDF'!$O$6:$O$1005,A415,'VÍNCULOS_CDF'!$Y$6:$Y$1005,1))</f>
        <v>0</v>
      </c>
      <c r="Y415" s="96" t="str">
        <f>IF(S415=1,A415&amp;" | CDF "&amp;IF(B415="","(sem número)",B415)&amp;" | "&amp;IF(F415="","(sem destinador)",F415),"")</f>
        <v/>
      </c>
      <c r="Z415" s="96" t="str">
        <f>IF(S415=1,COUNTIF($S$6:S415,1),"")</f>
        <v/>
      </c>
      <c r="AA415" s="96">
        <f>IF(S415=0,0,IF(AND(OR(r_ini="",AND(ISNUMBER(D415),D415&gt;=r_ini)),OR(r_fim="",AND(ISNUMBER(D415),D415&lt;=r_fim)),OR(r_de="",r_de="(Todos)",F415=r_de)),1,0))</f>
        <v>0</v>
      </c>
      <c r="AB415" s="96" t="str">
        <f>IF(AA415=1,IF(F415="",0,COUNTIF($F$6:$F$505,"&lt;"&amp;F415))*1000+410,"")</f>
        <v/>
      </c>
    </row>
    <row r="416">
      <c r="A416" s="89" t="inlineStr">
        <is>
          <t>CDF-000411</t>
        </is>
      </c>
      <c r="B416" s="90" t="n"/>
      <c r="C416" s="91" t="n"/>
      <c r="D416" s="92" t="n"/>
      <c r="E416" s="91" t="n"/>
      <c r="F416" s="91" t="n"/>
      <c r="G416" s="91" t="n"/>
      <c r="H416" s="91" t="n"/>
      <c r="I416" s="91" t="n"/>
      <c r="J416" s="91" t="n"/>
      <c r="K416" s="92" t="n"/>
      <c r="L416" s="91" t="n"/>
      <c r="M416" s="91" t="n"/>
      <c r="N416" s="91" t="n"/>
      <c r="O416" s="93" t="str">
        <f>IF(S416=0,"",SUMIFS('VÍNCULOS_CDF'!$H$6:$H$1005,'VÍNCULOS_CDF'!$O$6:$O$1005,A416,'VÍNCULOS_CDF'!$V$6:$V$1005,1))</f>
        <v/>
      </c>
      <c r="P416" s="95" t="str">
        <f>IF(S416=0,"",COUNTIFS('VÍNCULOS_CDF'!$O$6:$O$1005,A416,'VÍNCULOS_CDF'!$N$6:$N$1005,1))</f>
        <v/>
      </c>
      <c r="Q416" s="94" t="str">
        <f>IF(S416=0,"",IF(OR(B416="",F416=""),"Informações incompletas",IF(U416=1,"Possível duplicidade",IF(V416=0,"Destinador fora do cadastro",IF(AND(J416="Sim",N(P416)=0),"Necessita revisão de vínculos",IF(X416&gt;0,"Necessita revisão de vínculos",IF(J416="Sim","Conferido",IF(I416="Sim","Localizado, aguardando conferência","Cadastrado"))))))))</f>
        <v/>
      </c>
      <c r="R416" s="95" t="str">
        <f>IF(S416=0,"",COUNTIFS('VÍNCULOS_CDF'!$O$6:$O$1005,A416,'VÍNCULOS_CDF'!$AB$6:$AB$1005,1))</f>
        <v/>
      </c>
      <c r="S416" s="96">
        <f>IF(COUNTA(B416:N416)&gt;0,1,0)</f>
        <v>0</v>
      </c>
      <c r="T416" s="96" t="str">
        <f>IF(AND(S416=1,B416&lt;&gt;""),C416&amp;"|"&amp;TRIM(B416),"")</f>
        <v/>
      </c>
      <c r="U416" s="96">
        <f>IF(T416="",0,IF(SUMPRODUCT(--($T$6:$T$505=T416))&gt;1,1,0))</f>
        <v>0</v>
      </c>
      <c r="V416" s="96">
        <f>IF(F416="",0,IF(ISNUMBER(MATCH(F416,cmp_dest,0)),1,0))</f>
        <v>0</v>
      </c>
      <c r="W416" s="96">
        <f>IF(AND(S416=1,B416&lt;&gt;"",F416&lt;&gt;"",J416="Sim",U416=0),1,0)</f>
        <v>0</v>
      </c>
      <c r="X416" s="96">
        <f>IF(S416=0,0,COUNTIFS('VÍNCULOS_CDF'!$O$6:$O$1005,A416,'VÍNCULOS_CDF'!$Y$6:$Y$1005,1))</f>
        <v>0</v>
      </c>
      <c r="Y416" s="96" t="str">
        <f>IF(S416=1,A416&amp;" | CDF "&amp;IF(B416="","(sem número)",B416)&amp;" | "&amp;IF(F416="","(sem destinador)",F416),"")</f>
        <v/>
      </c>
      <c r="Z416" s="96" t="str">
        <f>IF(S416=1,COUNTIF($S$6:S416,1),"")</f>
        <v/>
      </c>
      <c r="AA416" s="96">
        <f>IF(S416=0,0,IF(AND(OR(r_ini="",AND(ISNUMBER(D416),D416&gt;=r_ini)),OR(r_fim="",AND(ISNUMBER(D416),D416&lt;=r_fim)),OR(r_de="",r_de="(Todos)",F416=r_de)),1,0))</f>
        <v>0</v>
      </c>
      <c r="AB416" s="96" t="str">
        <f>IF(AA416=1,IF(F416="",0,COUNTIF($F$6:$F$505,"&lt;"&amp;F416))*1000+411,"")</f>
        <v/>
      </c>
    </row>
    <row r="417">
      <c r="A417" s="89" t="inlineStr">
        <is>
          <t>CDF-000412</t>
        </is>
      </c>
      <c r="B417" s="90" t="n"/>
      <c r="C417" s="91" t="n"/>
      <c r="D417" s="92" t="n"/>
      <c r="E417" s="91" t="n"/>
      <c r="F417" s="91" t="n"/>
      <c r="G417" s="91" t="n"/>
      <c r="H417" s="91" t="n"/>
      <c r="I417" s="91" t="n"/>
      <c r="J417" s="91" t="n"/>
      <c r="K417" s="92" t="n"/>
      <c r="L417" s="91" t="n"/>
      <c r="M417" s="91" t="n"/>
      <c r="N417" s="91" t="n"/>
      <c r="O417" s="93" t="str">
        <f>IF(S417=0,"",SUMIFS('VÍNCULOS_CDF'!$H$6:$H$1005,'VÍNCULOS_CDF'!$O$6:$O$1005,A417,'VÍNCULOS_CDF'!$V$6:$V$1005,1))</f>
        <v/>
      </c>
      <c r="P417" s="95" t="str">
        <f>IF(S417=0,"",COUNTIFS('VÍNCULOS_CDF'!$O$6:$O$1005,A417,'VÍNCULOS_CDF'!$N$6:$N$1005,1))</f>
        <v/>
      </c>
      <c r="Q417" s="94" t="str">
        <f>IF(S417=0,"",IF(OR(B417="",F417=""),"Informações incompletas",IF(U417=1,"Possível duplicidade",IF(V417=0,"Destinador fora do cadastro",IF(AND(J417="Sim",N(P417)=0),"Necessita revisão de vínculos",IF(X417&gt;0,"Necessita revisão de vínculos",IF(J417="Sim","Conferido",IF(I417="Sim","Localizado, aguardando conferência","Cadastrado"))))))))</f>
        <v/>
      </c>
      <c r="R417" s="95" t="str">
        <f>IF(S417=0,"",COUNTIFS('VÍNCULOS_CDF'!$O$6:$O$1005,A417,'VÍNCULOS_CDF'!$AB$6:$AB$1005,1))</f>
        <v/>
      </c>
      <c r="S417" s="96">
        <f>IF(COUNTA(B417:N417)&gt;0,1,0)</f>
        <v>0</v>
      </c>
      <c r="T417" s="96" t="str">
        <f>IF(AND(S417=1,B417&lt;&gt;""),C417&amp;"|"&amp;TRIM(B417),"")</f>
        <v/>
      </c>
      <c r="U417" s="96">
        <f>IF(T417="",0,IF(SUMPRODUCT(--($T$6:$T$505=T417))&gt;1,1,0))</f>
        <v>0</v>
      </c>
      <c r="V417" s="96">
        <f>IF(F417="",0,IF(ISNUMBER(MATCH(F417,cmp_dest,0)),1,0))</f>
        <v>0</v>
      </c>
      <c r="W417" s="96">
        <f>IF(AND(S417=1,B417&lt;&gt;"",F417&lt;&gt;"",J417="Sim",U417=0),1,0)</f>
        <v>0</v>
      </c>
      <c r="X417" s="96">
        <f>IF(S417=0,0,COUNTIFS('VÍNCULOS_CDF'!$O$6:$O$1005,A417,'VÍNCULOS_CDF'!$Y$6:$Y$1005,1))</f>
        <v>0</v>
      </c>
      <c r="Y417" s="96" t="str">
        <f>IF(S417=1,A417&amp;" | CDF "&amp;IF(B417="","(sem número)",B417)&amp;" | "&amp;IF(F417="","(sem destinador)",F417),"")</f>
        <v/>
      </c>
      <c r="Z417" s="96" t="str">
        <f>IF(S417=1,COUNTIF($S$6:S417,1),"")</f>
        <v/>
      </c>
      <c r="AA417" s="96">
        <f>IF(S417=0,0,IF(AND(OR(r_ini="",AND(ISNUMBER(D417),D417&gt;=r_ini)),OR(r_fim="",AND(ISNUMBER(D417),D417&lt;=r_fim)),OR(r_de="",r_de="(Todos)",F417=r_de)),1,0))</f>
        <v>0</v>
      </c>
      <c r="AB417" s="96" t="str">
        <f>IF(AA417=1,IF(F417="",0,COUNTIF($F$6:$F$505,"&lt;"&amp;F417))*1000+412,"")</f>
        <v/>
      </c>
    </row>
    <row r="418">
      <c r="A418" s="89" t="inlineStr">
        <is>
          <t>CDF-000413</t>
        </is>
      </c>
      <c r="B418" s="90" t="n"/>
      <c r="C418" s="91" t="n"/>
      <c r="D418" s="92" t="n"/>
      <c r="E418" s="91" t="n"/>
      <c r="F418" s="91" t="n"/>
      <c r="G418" s="91" t="n"/>
      <c r="H418" s="91" t="n"/>
      <c r="I418" s="91" t="n"/>
      <c r="J418" s="91" t="n"/>
      <c r="K418" s="92" t="n"/>
      <c r="L418" s="91" t="n"/>
      <c r="M418" s="91" t="n"/>
      <c r="N418" s="91" t="n"/>
      <c r="O418" s="93" t="str">
        <f>IF(S418=0,"",SUMIFS('VÍNCULOS_CDF'!$H$6:$H$1005,'VÍNCULOS_CDF'!$O$6:$O$1005,A418,'VÍNCULOS_CDF'!$V$6:$V$1005,1))</f>
        <v/>
      </c>
      <c r="P418" s="95" t="str">
        <f>IF(S418=0,"",COUNTIFS('VÍNCULOS_CDF'!$O$6:$O$1005,A418,'VÍNCULOS_CDF'!$N$6:$N$1005,1))</f>
        <v/>
      </c>
      <c r="Q418" s="94" t="str">
        <f>IF(S418=0,"",IF(OR(B418="",F418=""),"Informações incompletas",IF(U418=1,"Possível duplicidade",IF(V418=0,"Destinador fora do cadastro",IF(AND(J418="Sim",N(P418)=0),"Necessita revisão de vínculos",IF(X418&gt;0,"Necessita revisão de vínculos",IF(J418="Sim","Conferido",IF(I418="Sim","Localizado, aguardando conferência","Cadastrado"))))))))</f>
        <v/>
      </c>
      <c r="R418" s="95" t="str">
        <f>IF(S418=0,"",COUNTIFS('VÍNCULOS_CDF'!$O$6:$O$1005,A418,'VÍNCULOS_CDF'!$AB$6:$AB$1005,1))</f>
        <v/>
      </c>
      <c r="S418" s="96">
        <f>IF(COUNTA(B418:N418)&gt;0,1,0)</f>
        <v>0</v>
      </c>
      <c r="T418" s="96" t="str">
        <f>IF(AND(S418=1,B418&lt;&gt;""),C418&amp;"|"&amp;TRIM(B418),"")</f>
        <v/>
      </c>
      <c r="U418" s="96">
        <f>IF(T418="",0,IF(SUMPRODUCT(--($T$6:$T$505=T418))&gt;1,1,0))</f>
        <v>0</v>
      </c>
      <c r="V418" s="96">
        <f>IF(F418="",0,IF(ISNUMBER(MATCH(F418,cmp_dest,0)),1,0))</f>
        <v>0</v>
      </c>
      <c r="W418" s="96">
        <f>IF(AND(S418=1,B418&lt;&gt;"",F418&lt;&gt;"",J418="Sim",U418=0),1,0)</f>
        <v>0</v>
      </c>
      <c r="X418" s="96">
        <f>IF(S418=0,0,COUNTIFS('VÍNCULOS_CDF'!$O$6:$O$1005,A418,'VÍNCULOS_CDF'!$Y$6:$Y$1005,1))</f>
        <v>0</v>
      </c>
      <c r="Y418" s="96" t="str">
        <f>IF(S418=1,A418&amp;" | CDF "&amp;IF(B418="","(sem número)",B418)&amp;" | "&amp;IF(F418="","(sem destinador)",F418),"")</f>
        <v/>
      </c>
      <c r="Z418" s="96" t="str">
        <f>IF(S418=1,COUNTIF($S$6:S418,1),"")</f>
        <v/>
      </c>
      <c r="AA418" s="96">
        <f>IF(S418=0,0,IF(AND(OR(r_ini="",AND(ISNUMBER(D418),D418&gt;=r_ini)),OR(r_fim="",AND(ISNUMBER(D418),D418&lt;=r_fim)),OR(r_de="",r_de="(Todos)",F418=r_de)),1,0))</f>
        <v>0</v>
      </c>
      <c r="AB418" s="96" t="str">
        <f>IF(AA418=1,IF(F418="",0,COUNTIF($F$6:$F$505,"&lt;"&amp;F418))*1000+413,"")</f>
        <v/>
      </c>
    </row>
    <row r="419">
      <c r="A419" s="89" t="inlineStr">
        <is>
          <t>CDF-000414</t>
        </is>
      </c>
      <c r="B419" s="90" t="n"/>
      <c r="C419" s="91" t="n"/>
      <c r="D419" s="92" t="n"/>
      <c r="E419" s="91" t="n"/>
      <c r="F419" s="91" t="n"/>
      <c r="G419" s="91" t="n"/>
      <c r="H419" s="91" t="n"/>
      <c r="I419" s="91" t="n"/>
      <c r="J419" s="91" t="n"/>
      <c r="K419" s="92" t="n"/>
      <c r="L419" s="91" t="n"/>
      <c r="M419" s="91" t="n"/>
      <c r="N419" s="91" t="n"/>
      <c r="O419" s="93" t="str">
        <f>IF(S419=0,"",SUMIFS('VÍNCULOS_CDF'!$H$6:$H$1005,'VÍNCULOS_CDF'!$O$6:$O$1005,A419,'VÍNCULOS_CDF'!$V$6:$V$1005,1))</f>
        <v/>
      </c>
      <c r="P419" s="95" t="str">
        <f>IF(S419=0,"",COUNTIFS('VÍNCULOS_CDF'!$O$6:$O$1005,A419,'VÍNCULOS_CDF'!$N$6:$N$1005,1))</f>
        <v/>
      </c>
      <c r="Q419" s="94" t="str">
        <f>IF(S419=0,"",IF(OR(B419="",F419=""),"Informações incompletas",IF(U419=1,"Possível duplicidade",IF(V419=0,"Destinador fora do cadastro",IF(AND(J419="Sim",N(P419)=0),"Necessita revisão de vínculos",IF(X419&gt;0,"Necessita revisão de vínculos",IF(J419="Sim","Conferido",IF(I419="Sim","Localizado, aguardando conferência","Cadastrado"))))))))</f>
        <v/>
      </c>
      <c r="R419" s="95" t="str">
        <f>IF(S419=0,"",COUNTIFS('VÍNCULOS_CDF'!$O$6:$O$1005,A419,'VÍNCULOS_CDF'!$AB$6:$AB$1005,1))</f>
        <v/>
      </c>
      <c r="S419" s="96">
        <f>IF(COUNTA(B419:N419)&gt;0,1,0)</f>
        <v>0</v>
      </c>
      <c r="T419" s="96" t="str">
        <f>IF(AND(S419=1,B419&lt;&gt;""),C419&amp;"|"&amp;TRIM(B419),"")</f>
        <v/>
      </c>
      <c r="U419" s="96">
        <f>IF(T419="",0,IF(SUMPRODUCT(--($T$6:$T$505=T419))&gt;1,1,0))</f>
        <v>0</v>
      </c>
      <c r="V419" s="96">
        <f>IF(F419="",0,IF(ISNUMBER(MATCH(F419,cmp_dest,0)),1,0))</f>
        <v>0</v>
      </c>
      <c r="W419" s="96">
        <f>IF(AND(S419=1,B419&lt;&gt;"",F419&lt;&gt;"",J419="Sim",U419=0),1,0)</f>
        <v>0</v>
      </c>
      <c r="X419" s="96">
        <f>IF(S419=0,0,COUNTIFS('VÍNCULOS_CDF'!$O$6:$O$1005,A419,'VÍNCULOS_CDF'!$Y$6:$Y$1005,1))</f>
        <v>0</v>
      </c>
      <c r="Y419" s="96" t="str">
        <f>IF(S419=1,A419&amp;" | CDF "&amp;IF(B419="","(sem número)",B419)&amp;" | "&amp;IF(F419="","(sem destinador)",F419),"")</f>
        <v/>
      </c>
      <c r="Z419" s="96" t="str">
        <f>IF(S419=1,COUNTIF($S$6:S419,1),"")</f>
        <v/>
      </c>
      <c r="AA419" s="96">
        <f>IF(S419=0,0,IF(AND(OR(r_ini="",AND(ISNUMBER(D419),D419&gt;=r_ini)),OR(r_fim="",AND(ISNUMBER(D419),D419&lt;=r_fim)),OR(r_de="",r_de="(Todos)",F419=r_de)),1,0))</f>
        <v>0</v>
      </c>
      <c r="AB419" s="96" t="str">
        <f>IF(AA419=1,IF(F419="",0,COUNTIF($F$6:$F$505,"&lt;"&amp;F419))*1000+414,"")</f>
        <v/>
      </c>
    </row>
    <row r="420">
      <c r="A420" s="89" t="inlineStr">
        <is>
          <t>CDF-000415</t>
        </is>
      </c>
      <c r="B420" s="90" t="n"/>
      <c r="C420" s="91" t="n"/>
      <c r="D420" s="92" t="n"/>
      <c r="E420" s="91" t="n"/>
      <c r="F420" s="91" t="n"/>
      <c r="G420" s="91" t="n"/>
      <c r="H420" s="91" t="n"/>
      <c r="I420" s="91" t="n"/>
      <c r="J420" s="91" t="n"/>
      <c r="K420" s="92" t="n"/>
      <c r="L420" s="91" t="n"/>
      <c r="M420" s="91" t="n"/>
      <c r="N420" s="91" t="n"/>
      <c r="O420" s="93" t="str">
        <f>IF(S420=0,"",SUMIFS('VÍNCULOS_CDF'!$H$6:$H$1005,'VÍNCULOS_CDF'!$O$6:$O$1005,A420,'VÍNCULOS_CDF'!$V$6:$V$1005,1))</f>
        <v/>
      </c>
      <c r="P420" s="95" t="str">
        <f>IF(S420=0,"",COUNTIFS('VÍNCULOS_CDF'!$O$6:$O$1005,A420,'VÍNCULOS_CDF'!$N$6:$N$1005,1))</f>
        <v/>
      </c>
      <c r="Q420" s="94" t="str">
        <f>IF(S420=0,"",IF(OR(B420="",F420=""),"Informações incompletas",IF(U420=1,"Possível duplicidade",IF(V420=0,"Destinador fora do cadastro",IF(AND(J420="Sim",N(P420)=0),"Necessita revisão de vínculos",IF(X420&gt;0,"Necessita revisão de vínculos",IF(J420="Sim","Conferido",IF(I420="Sim","Localizado, aguardando conferência","Cadastrado"))))))))</f>
        <v/>
      </c>
      <c r="R420" s="95" t="str">
        <f>IF(S420=0,"",COUNTIFS('VÍNCULOS_CDF'!$O$6:$O$1005,A420,'VÍNCULOS_CDF'!$AB$6:$AB$1005,1))</f>
        <v/>
      </c>
      <c r="S420" s="96">
        <f>IF(COUNTA(B420:N420)&gt;0,1,0)</f>
        <v>0</v>
      </c>
      <c r="T420" s="96" t="str">
        <f>IF(AND(S420=1,B420&lt;&gt;""),C420&amp;"|"&amp;TRIM(B420),"")</f>
        <v/>
      </c>
      <c r="U420" s="96">
        <f>IF(T420="",0,IF(SUMPRODUCT(--($T$6:$T$505=T420))&gt;1,1,0))</f>
        <v>0</v>
      </c>
      <c r="V420" s="96">
        <f>IF(F420="",0,IF(ISNUMBER(MATCH(F420,cmp_dest,0)),1,0))</f>
        <v>0</v>
      </c>
      <c r="W420" s="96">
        <f>IF(AND(S420=1,B420&lt;&gt;"",F420&lt;&gt;"",J420="Sim",U420=0),1,0)</f>
        <v>0</v>
      </c>
      <c r="X420" s="96">
        <f>IF(S420=0,0,COUNTIFS('VÍNCULOS_CDF'!$O$6:$O$1005,A420,'VÍNCULOS_CDF'!$Y$6:$Y$1005,1))</f>
        <v>0</v>
      </c>
      <c r="Y420" s="96" t="str">
        <f>IF(S420=1,A420&amp;" | CDF "&amp;IF(B420="","(sem número)",B420)&amp;" | "&amp;IF(F420="","(sem destinador)",F420),"")</f>
        <v/>
      </c>
      <c r="Z420" s="96" t="str">
        <f>IF(S420=1,COUNTIF($S$6:S420,1),"")</f>
        <v/>
      </c>
      <c r="AA420" s="96">
        <f>IF(S420=0,0,IF(AND(OR(r_ini="",AND(ISNUMBER(D420),D420&gt;=r_ini)),OR(r_fim="",AND(ISNUMBER(D420),D420&lt;=r_fim)),OR(r_de="",r_de="(Todos)",F420=r_de)),1,0))</f>
        <v>0</v>
      </c>
      <c r="AB420" s="96" t="str">
        <f>IF(AA420=1,IF(F420="",0,COUNTIF($F$6:$F$505,"&lt;"&amp;F420))*1000+415,"")</f>
        <v/>
      </c>
    </row>
    <row r="421">
      <c r="A421" s="89" t="inlineStr">
        <is>
          <t>CDF-000416</t>
        </is>
      </c>
      <c r="B421" s="90" t="n"/>
      <c r="C421" s="91" t="n"/>
      <c r="D421" s="92" t="n"/>
      <c r="E421" s="91" t="n"/>
      <c r="F421" s="91" t="n"/>
      <c r="G421" s="91" t="n"/>
      <c r="H421" s="91" t="n"/>
      <c r="I421" s="91" t="n"/>
      <c r="J421" s="91" t="n"/>
      <c r="K421" s="92" t="n"/>
      <c r="L421" s="91" t="n"/>
      <c r="M421" s="91" t="n"/>
      <c r="N421" s="91" t="n"/>
      <c r="O421" s="93" t="str">
        <f>IF(S421=0,"",SUMIFS('VÍNCULOS_CDF'!$H$6:$H$1005,'VÍNCULOS_CDF'!$O$6:$O$1005,A421,'VÍNCULOS_CDF'!$V$6:$V$1005,1))</f>
        <v/>
      </c>
      <c r="P421" s="95" t="str">
        <f>IF(S421=0,"",COUNTIFS('VÍNCULOS_CDF'!$O$6:$O$1005,A421,'VÍNCULOS_CDF'!$N$6:$N$1005,1))</f>
        <v/>
      </c>
      <c r="Q421" s="94" t="str">
        <f>IF(S421=0,"",IF(OR(B421="",F421=""),"Informações incompletas",IF(U421=1,"Possível duplicidade",IF(V421=0,"Destinador fora do cadastro",IF(AND(J421="Sim",N(P421)=0),"Necessita revisão de vínculos",IF(X421&gt;0,"Necessita revisão de vínculos",IF(J421="Sim","Conferido",IF(I421="Sim","Localizado, aguardando conferência","Cadastrado"))))))))</f>
        <v/>
      </c>
      <c r="R421" s="95" t="str">
        <f>IF(S421=0,"",COUNTIFS('VÍNCULOS_CDF'!$O$6:$O$1005,A421,'VÍNCULOS_CDF'!$AB$6:$AB$1005,1))</f>
        <v/>
      </c>
      <c r="S421" s="96">
        <f>IF(COUNTA(B421:N421)&gt;0,1,0)</f>
        <v>0</v>
      </c>
      <c r="T421" s="96" t="str">
        <f>IF(AND(S421=1,B421&lt;&gt;""),C421&amp;"|"&amp;TRIM(B421),"")</f>
        <v/>
      </c>
      <c r="U421" s="96">
        <f>IF(T421="",0,IF(SUMPRODUCT(--($T$6:$T$505=T421))&gt;1,1,0))</f>
        <v>0</v>
      </c>
      <c r="V421" s="96">
        <f>IF(F421="",0,IF(ISNUMBER(MATCH(F421,cmp_dest,0)),1,0))</f>
        <v>0</v>
      </c>
      <c r="W421" s="96">
        <f>IF(AND(S421=1,B421&lt;&gt;"",F421&lt;&gt;"",J421="Sim",U421=0),1,0)</f>
        <v>0</v>
      </c>
      <c r="X421" s="96">
        <f>IF(S421=0,0,COUNTIFS('VÍNCULOS_CDF'!$O$6:$O$1005,A421,'VÍNCULOS_CDF'!$Y$6:$Y$1005,1))</f>
        <v>0</v>
      </c>
      <c r="Y421" s="96" t="str">
        <f>IF(S421=1,A421&amp;" | CDF "&amp;IF(B421="","(sem número)",B421)&amp;" | "&amp;IF(F421="","(sem destinador)",F421),"")</f>
        <v/>
      </c>
      <c r="Z421" s="96" t="str">
        <f>IF(S421=1,COUNTIF($S$6:S421,1),"")</f>
        <v/>
      </c>
      <c r="AA421" s="96">
        <f>IF(S421=0,0,IF(AND(OR(r_ini="",AND(ISNUMBER(D421),D421&gt;=r_ini)),OR(r_fim="",AND(ISNUMBER(D421),D421&lt;=r_fim)),OR(r_de="",r_de="(Todos)",F421=r_de)),1,0))</f>
        <v>0</v>
      </c>
      <c r="AB421" s="96" t="str">
        <f>IF(AA421=1,IF(F421="",0,COUNTIF($F$6:$F$505,"&lt;"&amp;F421))*1000+416,"")</f>
        <v/>
      </c>
    </row>
    <row r="422">
      <c r="A422" s="89" t="inlineStr">
        <is>
          <t>CDF-000417</t>
        </is>
      </c>
      <c r="B422" s="90" t="n"/>
      <c r="C422" s="91" t="n"/>
      <c r="D422" s="92" t="n"/>
      <c r="E422" s="91" t="n"/>
      <c r="F422" s="91" t="n"/>
      <c r="G422" s="91" t="n"/>
      <c r="H422" s="91" t="n"/>
      <c r="I422" s="91" t="n"/>
      <c r="J422" s="91" t="n"/>
      <c r="K422" s="92" t="n"/>
      <c r="L422" s="91" t="n"/>
      <c r="M422" s="91" t="n"/>
      <c r="N422" s="91" t="n"/>
      <c r="O422" s="93" t="str">
        <f>IF(S422=0,"",SUMIFS('VÍNCULOS_CDF'!$H$6:$H$1005,'VÍNCULOS_CDF'!$O$6:$O$1005,A422,'VÍNCULOS_CDF'!$V$6:$V$1005,1))</f>
        <v/>
      </c>
      <c r="P422" s="95" t="str">
        <f>IF(S422=0,"",COUNTIFS('VÍNCULOS_CDF'!$O$6:$O$1005,A422,'VÍNCULOS_CDF'!$N$6:$N$1005,1))</f>
        <v/>
      </c>
      <c r="Q422" s="94" t="str">
        <f>IF(S422=0,"",IF(OR(B422="",F422=""),"Informações incompletas",IF(U422=1,"Possível duplicidade",IF(V422=0,"Destinador fora do cadastro",IF(AND(J422="Sim",N(P422)=0),"Necessita revisão de vínculos",IF(X422&gt;0,"Necessita revisão de vínculos",IF(J422="Sim","Conferido",IF(I422="Sim","Localizado, aguardando conferência","Cadastrado"))))))))</f>
        <v/>
      </c>
      <c r="R422" s="95" t="str">
        <f>IF(S422=0,"",COUNTIFS('VÍNCULOS_CDF'!$O$6:$O$1005,A422,'VÍNCULOS_CDF'!$AB$6:$AB$1005,1))</f>
        <v/>
      </c>
      <c r="S422" s="96">
        <f>IF(COUNTA(B422:N422)&gt;0,1,0)</f>
        <v>0</v>
      </c>
      <c r="T422" s="96" t="str">
        <f>IF(AND(S422=1,B422&lt;&gt;""),C422&amp;"|"&amp;TRIM(B422),"")</f>
        <v/>
      </c>
      <c r="U422" s="96">
        <f>IF(T422="",0,IF(SUMPRODUCT(--($T$6:$T$505=T422))&gt;1,1,0))</f>
        <v>0</v>
      </c>
      <c r="V422" s="96">
        <f>IF(F422="",0,IF(ISNUMBER(MATCH(F422,cmp_dest,0)),1,0))</f>
        <v>0</v>
      </c>
      <c r="W422" s="96">
        <f>IF(AND(S422=1,B422&lt;&gt;"",F422&lt;&gt;"",J422="Sim",U422=0),1,0)</f>
        <v>0</v>
      </c>
      <c r="X422" s="96">
        <f>IF(S422=0,0,COUNTIFS('VÍNCULOS_CDF'!$O$6:$O$1005,A422,'VÍNCULOS_CDF'!$Y$6:$Y$1005,1))</f>
        <v>0</v>
      </c>
      <c r="Y422" s="96" t="str">
        <f>IF(S422=1,A422&amp;" | CDF "&amp;IF(B422="","(sem número)",B422)&amp;" | "&amp;IF(F422="","(sem destinador)",F422),"")</f>
        <v/>
      </c>
      <c r="Z422" s="96" t="str">
        <f>IF(S422=1,COUNTIF($S$6:S422,1),"")</f>
        <v/>
      </c>
      <c r="AA422" s="96">
        <f>IF(S422=0,0,IF(AND(OR(r_ini="",AND(ISNUMBER(D422),D422&gt;=r_ini)),OR(r_fim="",AND(ISNUMBER(D422),D422&lt;=r_fim)),OR(r_de="",r_de="(Todos)",F422=r_de)),1,0))</f>
        <v>0</v>
      </c>
      <c r="AB422" s="96" t="str">
        <f>IF(AA422=1,IF(F422="",0,COUNTIF($F$6:$F$505,"&lt;"&amp;F422))*1000+417,"")</f>
        <v/>
      </c>
    </row>
    <row r="423">
      <c r="A423" s="89" t="inlineStr">
        <is>
          <t>CDF-000418</t>
        </is>
      </c>
      <c r="B423" s="90" t="n"/>
      <c r="C423" s="91" t="n"/>
      <c r="D423" s="92" t="n"/>
      <c r="E423" s="91" t="n"/>
      <c r="F423" s="91" t="n"/>
      <c r="G423" s="91" t="n"/>
      <c r="H423" s="91" t="n"/>
      <c r="I423" s="91" t="n"/>
      <c r="J423" s="91" t="n"/>
      <c r="K423" s="92" t="n"/>
      <c r="L423" s="91" t="n"/>
      <c r="M423" s="91" t="n"/>
      <c r="N423" s="91" t="n"/>
      <c r="O423" s="93" t="str">
        <f>IF(S423=0,"",SUMIFS('VÍNCULOS_CDF'!$H$6:$H$1005,'VÍNCULOS_CDF'!$O$6:$O$1005,A423,'VÍNCULOS_CDF'!$V$6:$V$1005,1))</f>
        <v/>
      </c>
      <c r="P423" s="95" t="str">
        <f>IF(S423=0,"",COUNTIFS('VÍNCULOS_CDF'!$O$6:$O$1005,A423,'VÍNCULOS_CDF'!$N$6:$N$1005,1))</f>
        <v/>
      </c>
      <c r="Q423" s="94" t="str">
        <f>IF(S423=0,"",IF(OR(B423="",F423=""),"Informações incompletas",IF(U423=1,"Possível duplicidade",IF(V423=0,"Destinador fora do cadastro",IF(AND(J423="Sim",N(P423)=0),"Necessita revisão de vínculos",IF(X423&gt;0,"Necessita revisão de vínculos",IF(J423="Sim","Conferido",IF(I423="Sim","Localizado, aguardando conferência","Cadastrado"))))))))</f>
        <v/>
      </c>
      <c r="R423" s="95" t="str">
        <f>IF(S423=0,"",COUNTIFS('VÍNCULOS_CDF'!$O$6:$O$1005,A423,'VÍNCULOS_CDF'!$AB$6:$AB$1005,1))</f>
        <v/>
      </c>
      <c r="S423" s="96">
        <f>IF(COUNTA(B423:N423)&gt;0,1,0)</f>
        <v>0</v>
      </c>
      <c r="T423" s="96" t="str">
        <f>IF(AND(S423=1,B423&lt;&gt;""),C423&amp;"|"&amp;TRIM(B423),"")</f>
        <v/>
      </c>
      <c r="U423" s="96">
        <f>IF(T423="",0,IF(SUMPRODUCT(--($T$6:$T$505=T423))&gt;1,1,0))</f>
        <v>0</v>
      </c>
      <c r="V423" s="96">
        <f>IF(F423="",0,IF(ISNUMBER(MATCH(F423,cmp_dest,0)),1,0))</f>
        <v>0</v>
      </c>
      <c r="W423" s="96">
        <f>IF(AND(S423=1,B423&lt;&gt;"",F423&lt;&gt;"",J423="Sim",U423=0),1,0)</f>
        <v>0</v>
      </c>
      <c r="X423" s="96">
        <f>IF(S423=0,0,COUNTIFS('VÍNCULOS_CDF'!$O$6:$O$1005,A423,'VÍNCULOS_CDF'!$Y$6:$Y$1005,1))</f>
        <v>0</v>
      </c>
      <c r="Y423" s="96" t="str">
        <f>IF(S423=1,A423&amp;" | CDF "&amp;IF(B423="","(sem número)",B423)&amp;" | "&amp;IF(F423="","(sem destinador)",F423),"")</f>
        <v/>
      </c>
      <c r="Z423" s="96" t="str">
        <f>IF(S423=1,COUNTIF($S$6:S423,1),"")</f>
        <v/>
      </c>
      <c r="AA423" s="96">
        <f>IF(S423=0,0,IF(AND(OR(r_ini="",AND(ISNUMBER(D423),D423&gt;=r_ini)),OR(r_fim="",AND(ISNUMBER(D423),D423&lt;=r_fim)),OR(r_de="",r_de="(Todos)",F423=r_de)),1,0))</f>
        <v>0</v>
      </c>
      <c r="AB423" s="96" t="str">
        <f>IF(AA423=1,IF(F423="",0,COUNTIF($F$6:$F$505,"&lt;"&amp;F423))*1000+418,"")</f>
        <v/>
      </c>
    </row>
    <row r="424">
      <c r="A424" s="89" t="inlineStr">
        <is>
          <t>CDF-000419</t>
        </is>
      </c>
      <c r="B424" s="90" t="n"/>
      <c r="C424" s="91" t="n"/>
      <c r="D424" s="92" t="n"/>
      <c r="E424" s="91" t="n"/>
      <c r="F424" s="91" t="n"/>
      <c r="G424" s="91" t="n"/>
      <c r="H424" s="91" t="n"/>
      <c r="I424" s="91" t="n"/>
      <c r="J424" s="91" t="n"/>
      <c r="K424" s="92" t="n"/>
      <c r="L424" s="91" t="n"/>
      <c r="M424" s="91" t="n"/>
      <c r="N424" s="91" t="n"/>
      <c r="O424" s="93" t="str">
        <f>IF(S424=0,"",SUMIFS('VÍNCULOS_CDF'!$H$6:$H$1005,'VÍNCULOS_CDF'!$O$6:$O$1005,A424,'VÍNCULOS_CDF'!$V$6:$V$1005,1))</f>
        <v/>
      </c>
      <c r="P424" s="95" t="str">
        <f>IF(S424=0,"",COUNTIFS('VÍNCULOS_CDF'!$O$6:$O$1005,A424,'VÍNCULOS_CDF'!$N$6:$N$1005,1))</f>
        <v/>
      </c>
      <c r="Q424" s="94" t="str">
        <f>IF(S424=0,"",IF(OR(B424="",F424=""),"Informações incompletas",IF(U424=1,"Possível duplicidade",IF(V424=0,"Destinador fora do cadastro",IF(AND(J424="Sim",N(P424)=0),"Necessita revisão de vínculos",IF(X424&gt;0,"Necessita revisão de vínculos",IF(J424="Sim","Conferido",IF(I424="Sim","Localizado, aguardando conferência","Cadastrado"))))))))</f>
        <v/>
      </c>
      <c r="R424" s="95" t="str">
        <f>IF(S424=0,"",COUNTIFS('VÍNCULOS_CDF'!$O$6:$O$1005,A424,'VÍNCULOS_CDF'!$AB$6:$AB$1005,1))</f>
        <v/>
      </c>
      <c r="S424" s="96">
        <f>IF(COUNTA(B424:N424)&gt;0,1,0)</f>
        <v>0</v>
      </c>
      <c r="T424" s="96" t="str">
        <f>IF(AND(S424=1,B424&lt;&gt;""),C424&amp;"|"&amp;TRIM(B424),"")</f>
        <v/>
      </c>
      <c r="U424" s="96">
        <f>IF(T424="",0,IF(SUMPRODUCT(--($T$6:$T$505=T424))&gt;1,1,0))</f>
        <v>0</v>
      </c>
      <c r="V424" s="96">
        <f>IF(F424="",0,IF(ISNUMBER(MATCH(F424,cmp_dest,0)),1,0))</f>
        <v>0</v>
      </c>
      <c r="W424" s="96">
        <f>IF(AND(S424=1,B424&lt;&gt;"",F424&lt;&gt;"",J424="Sim",U424=0),1,0)</f>
        <v>0</v>
      </c>
      <c r="X424" s="96">
        <f>IF(S424=0,0,COUNTIFS('VÍNCULOS_CDF'!$O$6:$O$1005,A424,'VÍNCULOS_CDF'!$Y$6:$Y$1005,1))</f>
        <v>0</v>
      </c>
      <c r="Y424" s="96" t="str">
        <f>IF(S424=1,A424&amp;" | CDF "&amp;IF(B424="","(sem número)",B424)&amp;" | "&amp;IF(F424="","(sem destinador)",F424),"")</f>
        <v/>
      </c>
      <c r="Z424" s="96" t="str">
        <f>IF(S424=1,COUNTIF($S$6:S424,1),"")</f>
        <v/>
      </c>
      <c r="AA424" s="96">
        <f>IF(S424=0,0,IF(AND(OR(r_ini="",AND(ISNUMBER(D424),D424&gt;=r_ini)),OR(r_fim="",AND(ISNUMBER(D424),D424&lt;=r_fim)),OR(r_de="",r_de="(Todos)",F424=r_de)),1,0))</f>
        <v>0</v>
      </c>
      <c r="AB424" s="96" t="str">
        <f>IF(AA424=1,IF(F424="",0,COUNTIF($F$6:$F$505,"&lt;"&amp;F424))*1000+419,"")</f>
        <v/>
      </c>
    </row>
    <row r="425">
      <c r="A425" s="89" t="inlineStr">
        <is>
          <t>CDF-000420</t>
        </is>
      </c>
      <c r="B425" s="90" t="n"/>
      <c r="C425" s="91" t="n"/>
      <c r="D425" s="92" t="n"/>
      <c r="E425" s="91" t="n"/>
      <c r="F425" s="91" t="n"/>
      <c r="G425" s="91" t="n"/>
      <c r="H425" s="91" t="n"/>
      <c r="I425" s="91" t="n"/>
      <c r="J425" s="91" t="n"/>
      <c r="K425" s="92" t="n"/>
      <c r="L425" s="91" t="n"/>
      <c r="M425" s="91" t="n"/>
      <c r="N425" s="91" t="n"/>
      <c r="O425" s="93" t="str">
        <f>IF(S425=0,"",SUMIFS('VÍNCULOS_CDF'!$H$6:$H$1005,'VÍNCULOS_CDF'!$O$6:$O$1005,A425,'VÍNCULOS_CDF'!$V$6:$V$1005,1))</f>
        <v/>
      </c>
      <c r="P425" s="95" t="str">
        <f>IF(S425=0,"",COUNTIFS('VÍNCULOS_CDF'!$O$6:$O$1005,A425,'VÍNCULOS_CDF'!$N$6:$N$1005,1))</f>
        <v/>
      </c>
      <c r="Q425" s="94" t="str">
        <f>IF(S425=0,"",IF(OR(B425="",F425=""),"Informações incompletas",IF(U425=1,"Possível duplicidade",IF(V425=0,"Destinador fora do cadastro",IF(AND(J425="Sim",N(P425)=0),"Necessita revisão de vínculos",IF(X425&gt;0,"Necessita revisão de vínculos",IF(J425="Sim","Conferido",IF(I425="Sim","Localizado, aguardando conferência","Cadastrado"))))))))</f>
        <v/>
      </c>
      <c r="R425" s="95" t="str">
        <f>IF(S425=0,"",COUNTIFS('VÍNCULOS_CDF'!$O$6:$O$1005,A425,'VÍNCULOS_CDF'!$AB$6:$AB$1005,1))</f>
        <v/>
      </c>
      <c r="S425" s="96">
        <f>IF(COUNTA(B425:N425)&gt;0,1,0)</f>
        <v>0</v>
      </c>
      <c r="T425" s="96" t="str">
        <f>IF(AND(S425=1,B425&lt;&gt;""),C425&amp;"|"&amp;TRIM(B425),"")</f>
        <v/>
      </c>
      <c r="U425" s="96">
        <f>IF(T425="",0,IF(SUMPRODUCT(--($T$6:$T$505=T425))&gt;1,1,0))</f>
        <v>0</v>
      </c>
      <c r="V425" s="96">
        <f>IF(F425="",0,IF(ISNUMBER(MATCH(F425,cmp_dest,0)),1,0))</f>
        <v>0</v>
      </c>
      <c r="W425" s="96">
        <f>IF(AND(S425=1,B425&lt;&gt;"",F425&lt;&gt;"",J425="Sim",U425=0),1,0)</f>
        <v>0</v>
      </c>
      <c r="X425" s="96">
        <f>IF(S425=0,0,COUNTIFS('VÍNCULOS_CDF'!$O$6:$O$1005,A425,'VÍNCULOS_CDF'!$Y$6:$Y$1005,1))</f>
        <v>0</v>
      </c>
      <c r="Y425" s="96" t="str">
        <f>IF(S425=1,A425&amp;" | CDF "&amp;IF(B425="","(sem número)",B425)&amp;" | "&amp;IF(F425="","(sem destinador)",F425),"")</f>
        <v/>
      </c>
      <c r="Z425" s="96" t="str">
        <f>IF(S425=1,COUNTIF($S$6:S425,1),"")</f>
        <v/>
      </c>
      <c r="AA425" s="96">
        <f>IF(S425=0,0,IF(AND(OR(r_ini="",AND(ISNUMBER(D425),D425&gt;=r_ini)),OR(r_fim="",AND(ISNUMBER(D425),D425&lt;=r_fim)),OR(r_de="",r_de="(Todos)",F425=r_de)),1,0))</f>
        <v>0</v>
      </c>
      <c r="AB425" s="96" t="str">
        <f>IF(AA425=1,IF(F425="",0,COUNTIF($F$6:$F$505,"&lt;"&amp;F425))*1000+420,"")</f>
        <v/>
      </c>
    </row>
    <row r="426">
      <c r="A426" s="89" t="inlineStr">
        <is>
          <t>CDF-000421</t>
        </is>
      </c>
      <c r="B426" s="90" t="n"/>
      <c r="C426" s="91" t="n"/>
      <c r="D426" s="92" t="n"/>
      <c r="E426" s="91" t="n"/>
      <c r="F426" s="91" t="n"/>
      <c r="G426" s="91" t="n"/>
      <c r="H426" s="91" t="n"/>
      <c r="I426" s="91" t="n"/>
      <c r="J426" s="91" t="n"/>
      <c r="K426" s="92" t="n"/>
      <c r="L426" s="91" t="n"/>
      <c r="M426" s="91" t="n"/>
      <c r="N426" s="91" t="n"/>
      <c r="O426" s="93" t="str">
        <f>IF(S426=0,"",SUMIFS('VÍNCULOS_CDF'!$H$6:$H$1005,'VÍNCULOS_CDF'!$O$6:$O$1005,A426,'VÍNCULOS_CDF'!$V$6:$V$1005,1))</f>
        <v/>
      </c>
      <c r="P426" s="95" t="str">
        <f>IF(S426=0,"",COUNTIFS('VÍNCULOS_CDF'!$O$6:$O$1005,A426,'VÍNCULOS_CDF'!$N$6:$N$1005,1))</f>
        <v/>
      </c>
      <c r="Q426" s="94" t="str">
        <f>IF(S426=0,"",IF(OR(B426="",F426=""),"Informações incompletas",IF(U426=1,"Possível duplicidade",IF(V426=0,"Destinador fora do cadastro",IF(AND(J426="Sim",N(P426)=0),"Necessita revisão de vínculos",IF(X426&gt;0,"Necessita revisão de vínculos",IF(J426="Sim","Conferido",IF(I426="Sim","Localizado, aguardando conferência","Cadastrado"))))))))</f>
        <v/>
      </c>
      <c r="R426" s="95" t="str">
        <f>IF(S426=0,"",COUNTIFS('VÍNCULOS_CDF'!$O$6:$O$1005,A426,'VÍNCULOS_CDF'!$AB$6:$AB$1005,1))</f>
        <v/>
      </c>
      <c r="S426" s="96">
        <f>IF(COUNTA(B426:N426)&gt;0,1,0)</f>
        <v>0</v>
      </c>
      <c r="T426" s="96" t="str">
        <f>IF(AND(S426=1,B426&lt;&gt;""),C426&amp;"|"&amp;TRIM(B426),"")</f>
        <v/>
      </c>
      <c r="U426" s="96">
        <f>IF(T426="",0,IF(SUMPRODUCT(--($T$6:$T$505=T426))&gt;1,1,0))</f>
        <v>0</v>
      </c>
      <c r="V426" s="96">
        <f>IF(F426="",0,IF(ISNUMBER(MATCH(F426,cmp_dest,0)),1,0))</f>
        <v>0</v>
      </c>
      <c r="W426" s="96">
        <f>IF(AND(S426=1,B426&lt;&gt;"",F426&lt;&gt;"",J426="Sim",U426=0),1,0)</f>
        <v>0</v>
      </c>
      <c r="X426" s="96">
        <f>IF(S426=0,0,COUNTIFS('VÍNCULOS_CDF'!$O$6:$O$1005,A426,'VÍNCULOS_CDF'!$Y$6:$Y$1005,1))</f>
        <v>0</v>
      </c>
      <c r="Y426" s="96" t="str">
        <f>IF(S426=1,A426&amp;" | CDF "&amp;IF(B426="","(sem número)",B426)&amp;" | "&amp;IF(F426="","(sem destinador)",F426),"")</f>
        <v/>
      </c>
      <c r="Z426" s="96" t="str">
        <f>IF(S426=1,COUNTIF($S$6:S426,1),"")</f>
        <v/>
      </c>
      <c r="AA426" s="96">
        <f>IF(S426=0,0,IF(AND(OR(r_ini="",AND(ISNUMBER(D426),D426&gt;=r_ini)),OR(r_fim="",AND(ISNUMBER(D426),D426&lt;=r_fim)),OR(r_de="",r_de="(Todos)",F426=r_de)),1,0))</f>
        <v>0</v>
      </c>
      <c r="AB426" s="96" t="str">
        <f>IF(AA426=1,IF(F426="",0,COUNTIF($F$6:$F$505,"&lt;"&amp;F426))*1000+421,"")</f>
        <v/>
      </c>
    </row>
    <row r="427">
      <c r="A427" s="89" t="inlineStr">
        <is>
          <t>CDF-000422</t>
        </is>
      </c>
      <c r="B427" s="90" t="n"/>
      <c r="C427" s="91" t="n"/>
      <c r="D427" s="92" t="n"/>
      <c r="E427" s="91" t="n"/>
      <c r="F427" s="91" t="n"/>
      <c r="G427" s="91" t="n"/>
      <c r="H427" s="91" t="n"/>
      <c r="I427" s="91" t="n"/>
      <c r="J427" s="91" t="n"/>
      <c r="K427" s="92" t="n"/>
      <c r="L427" s="91" t="n"/>
      <c r="M427" s="91" t="n"/>
      <c r="N427" s="91" t="n"/>
      <c r="O427" s="93" t="str">
        <f>IF(S427=0,"",SUMIFS('VÍNCULOS_CDF'!$H$6:$H$1005,'VÍNCULOS_CDF'!$O$6:$O$1005,A427,'VÍNCULOS_CDF'!$V$6:$V$1005,1))</f>
        <v/>
      </c>
      <c r="P427" s="95" t="str">
        <f>IF(S427=0,"",COUNTIFS('VÍNCULOS_CDF'!$O$6:$O$1005,A427,'VÍNCULOS_CDF'!$N$6:$N$1005,1))</f>
        <v/>
      </c>
      <c r="Q427" s="94" t="str">
        <f>IF(S427=0,"",IF(OR(B427="",F427=""),"Informações incompletas",IF(U427=1,"Possível duplicidade",IF(V427=0,"Destinador fora do cadastro",IF(AND(J427="Sim",N(P427)=0),"Necessita revisão de vínculos",IF(X427&gt;0,"Necessita revisão de vínculos",IF(J427="Sim","Conferido",IF(I427="Sim","Localizado, aguardando conferência","Cadastrado"))))))))</f>
        <v/>
      </c>
      <c r="R427" s="95" t="str">
        <f>IF(S427=0,"",COUNTIFS('VÍNCULOS_CDF'!$O$6:$O$1005,A427,'VÍNCULOS_CDF'!$AB$6:$AB$1005,1))</f>
        <v/>
      </c>
      <c r="S427" s="96">
        <f>IF(COUNTA(B427:N427)&gt;0,1,0)</f>
        <v>0</v>
      </c>
      <c r="T427" s="96" t="str">
        <f>IF(AND(S427=1,B427&lt;&gt;""),C427&amp;"|"&amp;TRIM(B427),"")</f>
        <v/>
      </c>
      <c r="U427" s="96">
        <f>IF(T427="",0,IF(SUMPRODUCT(--($T$6:$T$505=T427))&gt;1,1,0))</f>
        <v>0</v>
      </c>
      <c r="V427" s="96">
        <f>IF(F427="",0,IF(ISNUMBER(MATCH(F427,cmp_dest,0)),1,0))</f>
        <v>0</v>
      </c>
      <c r="W427" s="96">
        <f>IF(AND(S427=1,B427&lt;&gt;"",F427&lt;&gt;"",J427="Sim",U427=0),1,0)</f>
        <v>0</v>
      </c>
      <c r="X427" s="96">
        <f>IF(S427=0,0,COUNTIFS('VÍNCULOS_CDF'!$O$6:$O$1005,A427,'VÍNCULOS_CDF'!$Y$6:$Y$1005,1))</f>
        <v>0</v>
      </c>
      <c r="Y427" s="96" t="str">
        <f>IF(S427=1,A427&amp;" | CDF "&amp;IF(B427="","(sem número)",B427)&amp;" | "&amp;IF(F427="","(sem destinador)",F427),"")</f>
        <v/>
      </c>
      <c r="Z427" s="96" t="str">
        <f>IF(S427=1,COUNTIF($S$6:S427,1),"")</f>
        <v/>
      </c>
      <c r="AA427" s="96">
        <f>IF(S427=0,0,IF(AND(OR(r_ini="",AND(ISNUMBER(D427),D427&gt;=r_ini)),OR(r_fim="",AND(ISNUMBER(D427),D427&lt;=r_fim)),OR(r_de="",r_de="(Todos)",F427=r_de)),1,0))</f>
        <v>0</v>
      </c>
      <c r="AB427" s="96" t="str">
        <f>IF(AA427=1,IF(F427="",0,COUNTIF($F$6:$F$505,"&lt;"&amp;F427))*1000+422,"")</f>
        <v/>
      </c>
    </row>
    <row r="428">
      <c r="A428" s="89" t="inlineStr">
        <is>
          <t>CDF-000423</t>
        </is>
      </c>
      <c r="B428" s="90" t="n"/>
      <c r="C428" s="91" t="n"/>
      <c r="D428" s="92" t="n"/>
      <c r="E428" s="91" t="n"/>
      <c r="F428" s="91" t="n"/>
      <c r="G428" s="91" t="n"/>
      <c r="H428" s="91" t="n"/>
      <c r="I428" s="91" t="n"/>
      <c r="J428" s="91" t="n"/>
      <c r="K428" s="92" t="n"/>
      <c r="L428" s="91" t="n"/>
      <c r="M428" s="91" t="n"/>
      <c r="N428" s="91" t="n"/>
      <c r="O428" s="93" t="str">
        <f>IF(S428=0,"",SUMIFS('VÍNCULOS_CDF'!$H$6:$H$1005,'VÍNCULOS_CDF'!$O$6:$O$1005,A428,'VÍNCULOS_CDF'!$V$6:$V$1005,1))</f>
        <v/>
      </c>
      <c r="P428" s="95" t="str">
        <f>IF(S428=0,"",COUNTIFS('VÍNCULOS_CDF'!$O$6:$O$1005,A428,'VÍNCULOS_CDF'!$N$6:$N$1005,1))</f>
        <v/>
      </c>
      <c r="Q428" s="94" t="str">
        <f>IF(S428=0,"",IF(OR(B428="",F428=""),"Informações incompletas",IF(U428=1,"Possível duplicidade",IF(V428=0,"Destinador fora do cadastro",IF(AND(J428="Sim",N(P428)=0),"Necessita revisão de vínculos",IF(X428&gt;0,"Necessita revisão de vínculos",IF(J428="Sim","Conferido",IF(I428="Sim","Localizado, aguardando conferência","Cadastrado"))))))))</f>
        <v/>
      </c>
      <c r="R428" s="95" t="str">
        <f>IF(S428=0,"",COUNTIFS('VÍNCULOS_CDF'!$O$6:$O$1005,A428,'VÍNCULOS_CDF'!$AB$6:$AB$1005,1))</f>
        <v/>
      </c>
      <c r="S428" s="96">
        <f>IF(COUNTA(B428:N428)&gt;0,1,0)</f>
        <v>0</v>
      </c>
      <c r="T428" s="96" t="str">
        <f>IF(AND(S428=1,B428&lt;&gt;""),C428&amp;"|"&amp;TRIM(B428),"")</f>
        <v/>
      </c>
      <c r="U428" s="96">
        <f>IF(T428="",0,IF(SUMPRODUCT(--($T$6:$T$505=T428))&gt;1,1,0))</f>
        <v>0</v>
      </c>
      <c r="V428" s="96">
        <f>IF(F428="",0,IF(ISNUMBER(MATCH(F428,cmp_dest,0)),1,0))</f>
        <v>0</v>
      </c>
      <c r="W428" s="96">
        <f>IF(AND(S428=1,B428&lt;&gt;"",F428&lt;&gt;"",J428="Sim",U428=0),1,0)</f>
        <v>0</v>
      </c>
      <c r="X428" s="96">
        <f>IF(S428=0,0,COUNTIFS('VÍNCULOS_CDF'!$O$6:$O$1005,A428,'VÍNCULOS_CDF'!$Y$6:$Y$1005,1))</f>
        <v>0</v>
      </c>
      <c r="Y428" s="96" t="str">
        <f>IF(S428=1,A428&amp;" | CDF "&amp;IF(B428="","(sem número)",B428)&amp;" | "&amp;IF(F428="","(sem destinador)",F428),"")</f>
        <v/>
      </c>
      <c r="Z428" s="96" t="str">
        <f>IF(S428=1,COUNTIF($S$6:S428,1),"")</f>
        <v/>
      </c>
      <c r="AA428" s="96">
        <f>IF(S428=0,0,IF(AND(OR(r_ini="",AND(ISNUMBER(D428),D428&gt;=r_ini)),OR(r_fim="",AND(ISNUMBER(D428),D428&lt;=r_fim)),OR(r_de="",r_de="(Todos)",F428=r_de)),1,0))</f>
        <v>0</v>
      </c>
      <c r="AB428" s="96" t="str">
        <f>IF(AA428=1,IF(F428="",0,COUNTIF($F$6:$F$505,"&lt;"&amp;F428))*1000+423,"")</f>
        <v/>
      </c>
    </row>
    <row r="429">
      <c r="A429" s="89" t="inlineStr">
        <is>
          <t>CDF-000424</t>
        </is>
      </c>
      <c r="B429" s="90" t="n"/>
      <c r="C429" s="91" t="n"/>
      <c r="D429" s="92" t="n"/>
      <c r="E429" s="91" t="n"/>
      <c r="F429" s="91" t="n"/>
      <c r="G429" s="91" t="n"/>
      <c r="H429" s="91" t="n"/>
      <c r="I429" s="91" t="n"/>
      <c r="J429" s="91" t="n"/>
      <c r="K429" s="92" t="n"/>
      <c r="L429" s="91" t="n"/>
      <c r="M429" s="91" t="n"/>
      <c r="N429" s="91" t="n"/>
      <c r="O429" s="93" t="str">
        <f>IF(S429=0,"",SUMIFS('VÍNCULOS_CDF'!$H$6:$H$1005,'VÍNCULOS_CDF'!$O$6:$O$1005,A429,'VÍNCULOS_CDF'!$V$6:$V$1005,1))</f>
        <v/>
      </c>
      <c r="P429" s="95" t="str">
        <f>IF(S429=0,"",COUNTIFS('VÍNCULOS_CDF'!$O$6:$O$1005,A429,'VÍNCULOS_CDF'!$N$6:$N$1005,1))</f>
        <v/>
      </c>
      <c r="Q429" s="94" t="str">
        <f>IF(S429=0,"",IF(OR(B429="",F429=""),"Informações incompletas",IF(U429=1,"Possível duplicidade",IF(V429=0,"Destinador fora do cadastro",IF(AND(J429="Sim",N(P429)=0),"Necessita revisão de vínculos",IF(X429&gt;0,"Necessita revisão de vínculos",IF(J429="Sim","Conferido",IF(I429="Sim","Localizado, aguardando conferência","Cadastrado"))))))))</f>
        <v/>
      </c>
      <c r="R429" s="95" t="str">
        <f>IF(S429=0,"",COUNTIFS('VÍNCULOS_CDF'!$O$6:$O$1005,A429,'VÍNCULOS_CDF'!$AB$6:$AB$1005,1))</f>
        <v/>
      </c>
      <c r="S429" s="96">
        <f>IF(COUNTA(B429:N429)&gt;0,1,0)</f>
        <v>0</v>
      </c>
      <c r="T429" s="96" t="str">
        <f>IF(AND(S429=1,B429&lt;&gt;""),C429&amp;"|"&amp;TRIM(B429),"")</f>
        <v/>
      </c>
      <c r="U429" s="96">
        <f>IF(T429="",0,IF(SUMPRODUCT(--($T$6:$T$505=T429))&gt;1,1,0))</f>
        <v>0</v>
      </c>
      <c r="V429" s="96">
        <f>IF(F429="",0,IF(ISNUMBER(MATCH(F429,cmp_dest,0)),1,0))</f>
        <v>0</v>
      </c>
      <c r="W429" s="96">
        <f>IF(AND(S429=1,B429&lt;&gt;"",F429&lt;&gt;"",J429="Sim",U429=0),1,0)</f>
        <v>0</v>
      </c>
      <c r="X429" s="96">
        <f>IF(S429=0,0,COUNTIFS('VÍNCULOS_CDF'!$O$6:$O$1005,A429,'VÍNCULOS_CDF'!$Y$6:$Y$1005,1))</f>
        <v>0</v>
      </c>
      <c r="Y429" s="96" t="str">
        <f>IF(S429=1,A429&amp;" | CDF "&amp;IF(B429="","(sem número)",B429)&amp;" | "&amp;IF(F429="","(sem destinador)",F429),"")</f>
        <v/>
      </c>
      <c r="Z429" s="96" t="str">
        <f>IF(S429=1,COUNTIF($S$6:S429,1),"")</f>
        <v/>
      </c>
      <c r="AA429" s="96">
        <f>IF(S429=0,0,IF(AND(OR(r_ini="",AND(ISNUMBER(D429),D429&gt;=r_ini)),OR(r_fim="",AND(ISNUMBER(D429),D429&lt;=r_fim)),OR(r_de="",r_de="(Todos)",F429=r_de)),1,0))</f>
        <v>0</v>
      </c>
      <c r="AB429" s="96" t="str">
        <f>IF(AA429=1,IF(F429="",0,COUNTIF($F$6:$F$505,"&lt;"&amp;F429))*1000+424,"")</f>
        <v/>
      </c>
    </row>
    <row r="430">
      <c r="A430" s="89" t="inlineStr">
        <is>
          <t>CDF-000425</t>
        </is>
      </c>
      <c r="B430" s="90" t="n"/>
      <c r="C430" s="91" t="n"/>
      <c r="D430" s="92" t="n"/>
      <c r="E430" s="91" t="n"/>
      <c r="F430" s="91" t="n"/>
      <c r="G430" s="91" t="n"/>
      <c r="H430" s="91" t="n"/>
      <c r="I430" s="91" t="n"/>
      <c r="J430" s="91" t="n"/>
      <c r="K430" s="92" t="n"/>
      <c r="L430" s="91" t="n"/>
      <c r="M430" s="91" t="n"/>
      <c r="N430" s="91" t="n"/>
      <c r="O430" s="93" t="str">
        <f>IF(S430=0,"",SUMIFS('VÍNCULOS_CDF'!$H$6:$H$1005,'VÍNCULOS_CDF'!$O$6:$O$1005,A430,'VÍNCULOS_CDF'!$V$6:$V$1005,1))</f>
        <v/>
      </c>
      <c r="P430" s="95" t="str">
        <f>IF(S430=0,"",COUNTIFS('VÍNCULOS_CDF'!$O$6:$O$1005,A430,'VÍNCULOS_CDF'!$N$6:$N$1005,1))</f>
        <v/>
      </c>
      <c r="Q430" s="94" t="str">
        <f>IF(S430=0,"",IF(OR(B430="",F430=""),"Informações incompletas",IF(U430=1,"Possível duplicidade",IF(V430=0,"Destinador fora do cadastro",IF(AND(J430="Sim",N(P430)=0),"Necessita revisão de vínculos",IF(X430&gt;0,"Necessita revisão de vínculos",IF(J430="Sim","Conferido",IF(I430="Sim","Localizado, aguardando conferência","Cadastrado"))))))))</f>
        <v/>
      </c>
      <c r="R430" s="95" t="str">
        <f>IF(S430=0,"",COUNTIFS('VÍNCULOS_CDF'!$O$6:$O$1005,A430,'VÍNCULOS_CDF'!$AB$6:$AB$1005,1))</f>
        <v/>
      </c>
      <c r="S430" s="96">
        <f>IF(COUNTA(B430:N430)&gt;0,1,0)</f>
        <v>0</v>
      </c>
      <c r="T430" s="96" t="str">
        <f>IF(AND(S430=1,B430&lt;&gt;""),C430&amp;"|"&amp;TRIM(B430),"")</f>
        <v/>
      </c>
      <c r="U430" s="96">
        <f>IF(T430="",0,IF(SUMPRODUCT(--($T$6:$T$505=T430))&gt;1,1,0))</f>
        <v>0</v>
      </c>
      <c r="V430" s="96">
        <f>IF(F430="",0,IF(ISNUMBER(MATCH(F430,cmp_dest,0)),1,0))</f>
        <v>0</v>
      </c>
      <c r="W430" s="96">
        <f>IF(AND(S430=1,B430&lt;&gt;"",F430&lt;&gt;"",J430="Sim",U430=0),1,0)</f>
        <v>0</v>
      </c>
      <c r="X430" s="96">
        <f>IF(S430=0,0,COUNTIFS('VÍNCULOS_CDF'!$O$6:$O$1005,A430,'VÍNCULOS_CDF'!$Y$6:$Y$1005,1))</f>
        <v>0</v>
      </c>
      <c r="Y430" s="96" t="str">
        <f>IF(S430=1,A430&amp;" | CDF "&amp;IF(B430="","(sem número)",B430)&amp;" | "&amp;IF(F430="","(sem destinador)",F430),"")</f>
        <v/>
      </c>
      <c r="Z430" s="96" t="str">
        <f>IF(S430=1,COUNTIF($S$6:S430,1),"")</f>
        <v/>
      </c>
      <c r="AA430" s="96">
        <f>IF(S430=0,0,IF(AND(OR(r_ini="",AND(ISNUMBER(D430),D430&gt;=r_ini)),OR(r_fim="",AND(ISNUMBER(D430),D430&lt;=r_fim)),OR(r_de="",r_de="(Todos)",F430=r_de)),1,0))</f>
        <v>0</v>
      </c>
      <c r="AB430" s="96" t="str">
        <f>IF(AA430=1,IF(F430="",0,COUNTIF($F$6:$F$505,"&lt;"&amp;F430))*1000+425,"")</f>
        <v/>
      </c>
    </row>
    <row r="431">
      <c r="A431" s="89" t="inlineStr">
        <is>
          <t>CDF-000426</t>
        </is>
      </c>
      <c r="B431" s="90" t="n"/>
      <c r="C431" s="91" t="n"/>
      <c r="D431" s="92" t="n"/>
      <c r="E431" s="91" t="n"/>
      <c r="F431" s="91" t="n"/>
      <c r="G431" s="91" t="n"/>
      <c r="H431" s="91" t="n"/>
      <c r="I431" s="91" t="n"/>
      <c r="J431" s="91" t="n"/>
      <c r="K431" s="92" t="n"/>
      <c r="L431" s="91" t="n"/>
      <c r="M431" s="91" t="n"/>
      <c r="N431" s="91" t="n"/>
      <c r="O431" s="93" t="str">
        <f>IF(S431=0,"",SUMIFS('VÍNCULOS_CDF'!$H$6:$H$1005,'VÍNCULOS_CDF'!$O$6:$O$1005,A431,'VÍNCULOS_CDF'!$V$6:$V$1005,1))</f>
        <v/>
      </c>
      <c r="P431" s="95" t="str">
        <f>IF(S431=0,"",COUNTIFS('VÍNCULOS_CDF'!$O$6:$O$1005,A431,'VÍNCULOS_CDF'!$N$6:$N$1005,1))</f>
        <v/>
      </c>
      <c r="Q431" s="94" t="str">
        <f>IF(S431=0,"",IF(OR(B431="",F431=""),"Informações incompletas",IF(U431=1,"Possível duplicidade",IF(V431=0,"Destinador fora do cadastro",IF(AND(J431="Sim",N(P431)=0),"Necessita revisão de vínculos",IF(X431&gt;0,"Necessita revisão de vínculos",IF(J431="Sim","Conferido",IF(I431="Sim","Localizado, aguardando conferência","Cadastrado"))))))))</f>
        <v/>
      </c>
      <c r="R431" s="95" t="str">
        <f>IF(S431=0,"",COUNTIFS('VÍNCULOS_CDF'!$O$6:$O$1005,A431,'VÍNCULOS_CDF'!$AB$6:$AB$1005,1))</f>
        <v/>
      </c>
      <c r="S431" s="96">
        <f>IF(COUNTA(B431:N431)&gt;0,1,0)</f>
        <v>0</v>
      </c>
      <c r="T431" s="96" t="str">
        <f>IF(AND(S431=1,B431&lt;&gt;""),C431&amp;"|"&amp;TRIM(B431),"")</f>
        <v/>
      </c>
      <c r="U431" s="96">
        <f>IF(T431="",0,IF(SUMPRODUCT(--($T$6:$T$505=T431))&gt;1,1,0))</f>
        <v>0</v>
      </c>
      <c r="V431" s="96">
        <f>IF(F431="",0,IF(ISNUMBER(MATCH(F431,cmp_dest,0)),1,0))</f>
        <v>0</v>
      </c>
      <c r="W431" s="96">
        <f>IF(AND(S431=1,B431&lt;&gt;"",F431&lt;&gt;"",J431="Sim",U431=0),1,0)</f>
        <v>0</v>
      </c>
      <c r="X431" s="96">
        <f>IF(S431=0,0,COUNTIFS('VÍNCULOS_CDF'!$O$6:$O$1005,A431,'VÍNCULOS_CDF'!$Y$6:$Y$1005,1))</f>
        <v>0</v>
      </c>
      <c r="Y431" s="96" t="str">
        <f>IF(S431=1,A431&amp;" | CDF "&amp;IF(B431="","(sem número)",B431)&amp;" | "&amp;IF(F431="","(sem destinador)",F431),"")</f>
        <v/>
      </c>
      <c r="Z431" s="96" t="str">
        <f>IF(S431=1,COUNTIF($S$6:S431,1),"")</f>
        <v/>
      </c>
      <c r="AA431" s="96">
        <f>IF(S431=0,0,IF(AND(OR(r_ini="",AND(ISNUMBER(D431),D431&gt;=r_ini)),OR(r_fim="",AND(ISNUMBER(D431),D431&lt;=r_fim)),OR(r_de="",r_de="(Todos)",F431=r_de)),1,0))</f>
        <v>0</v>
      </c>
      <c r="AB431" s="96" t="str">
        <f>IF(AA431=1,IF(F431="",0,COUNTIF($F$6:$F$505,"&lt;"&amp;F431))*1000+426,"")</f>
        <v/>
      </c>
    </row>
    <row r="432">
      <c r="A432" s="89" t="inlineStr">
        <is>
          <t>CDF-000427</t>
        </is>
      </c>
      <c r="B432" s="90" t="n"/>
      <c r="C432" s="91" t="n"/>
      <c r="D432" s="92" t="n"/>
      <c r="E432" s="91" t="n"/>
      <c r="F432" s="91" t="n"/>
      <c r="G432" s="91" t="n"/>
      <c r="H432" s="91" t="n"/>
      <c r="I432" s="91" t="n"/>
      <c r="J432" s="91" t="n"/>
      <c r="K432" s="92" t="n"/>
      <c r="L432" s="91" t="n"/>
      <c r="M432" s="91" t="n"/>
      <c r="N432" s="91" t="n"/>
      <c r="O432" s="93" t="str">
        <f>IF(S432=0,"",SUMIFS('VÍNCULOS_CDF'!$H$6:$H$1005,'VÍNCULOS_CDF'!$O$6:$O$1005,A432,'VÍNCULOS_CDF'!$V$6:$V$1005,1))</f>
        <v/>
      </c>
      <c r="P432" s="95" t="str">
        <f>IF(S432=0,"",COUNTIFS('VÍNCULOS_CDF'!$O$6:$O$1005,A432,'VÍNCULOS_CDF'!$N$6:$N$1005,1))</f>
        <v/>
      </c>
      <c r="Q432" s="94" t="str">
        <f>IF(S432=0,"",IF(OR(B432="",F432=""),"Informações incompletas",IF(U432=1,"Possível duplicidade",IF(V432=0,"Destinador fora do cadastro",IF(AND(J432="Sim",N(P432)=0),"Necessita revisão de vínculos",IF(X432&gt;0,"Necessita revisão de vínculos",IF(J432="Sim","Conferido",IF(I432="Sim","Localizado, aguardando conferência","Cadastrado"))))))))</f>
        <v/>
      </c>
      <c r="R432" s="95" t="str">
        <f>IF(S432=0,"",COUNTIFS('VÍNCULOS_CDF'!$O$6:$O$1005,A432,'VÍNCULOS_CDF'!$AB$6:$AB$1005,1))</f>
        <v/>
      </c>
      <c r="S432" s="96">
        <f>IF(COUNTA(B432:N432)&gt;0,1,0)</f>
        <v>0</v>
      </c>
      <c r="T432" s="96" t="str">
        <f>IF(AND(S432=1,B432&lt;&gt;""),C432&amp;"|"&amp;TRIM(B432),"")</f>
        <v/>
      </c>
      <c r="U432" s="96">
        <f>IF(T432="",0,IF(SUMPRODUCT(--($T$6:$T$505=T432))&gt;1,1,0))</f>
        <v>0</v>
      </c>
      <c r="V432" s="96">
        <f>IF(F432="",0,IF(ISNUMBER(MATCH(F432,cmp_dest,0)),1,0))</f>
        <v>0</v>
      </c>
      <c r="W432" s="96">
        <f>IF(AND(S432=1,B432&lt;&gt;"",F432&lt;&gt;"",J432="Sim",U432=0),1,0)</f>
        <v>0</v>
      </c>
      <c r="X432" s="96">
        <f>IF(S432=0,0,COUNTIFS('VÍNCULOS_CDF'!$O$6:$O$1005,A432,'VÍNCULOS_CDF'!$Y$6:$Y$1005,1))</f>
        <v>0</v>
      </c>
      <c r="Y432" s="96" t="str">
        <f>IF(S432=1,A432&amp;" | CDF "&amp;IF(B432="","(sem número)",B432)&amp;" | "&amp;IF(F432="","(sem destinador)",F432),"")</f>
        <v/>
      </c>
      <c r="Z432" s="96" t="str">
        <f>IF(S432=1,COUNTIF($S$6:S432,1),"")</f>
        <v/>
      </c>
      <c r="AA432" s="96">
        <f>IF(S432=0,0,IF(AND(OR(r_ini="",AND(ISNUMBER(D432),D432&gt;=r_ini)),OR(r_fim="",AND(ISNUMBER(D432),D432&lt;=r_fim)),OR(r_de="",r_de="(Todos)",F432=r_de)),1,0))</f>
        <v>0</v>
      </c>
      <c r="AB432" s="96" t="str">
        <f>IF(AA432=1,IF(F432="",0,COUNTIF($F$6:$F$505,"&lt;"&amp;F432))*1000+427,"")</f>
        <v/>
      </c>
    </row>
    <row r="433">
      <c r="A433" s="89" t="inlineStr">
        <is>
          <t>CDF-000428</t>
        </is>
      </c>
      <c r="B433" s="90" t="n"/>
      <c r="C433" s="91" t="n"/>
      <c r="D433" s="92" t="n"/>
      <c r="E433" s="91" t="n"/>
      <c r="F433" s="91" t="n"/>
      <c r="G433" s="91" t="n"/>
      <c r="H433" s="91" t="n"/>
      <c r="I433" s="91" t="n"/>
      <c r="J433" s="91" t="n"/>
      <c r="K433" s="92" t="n"/>
      <c r="L433" s="91" t="n"/>
      <c r="M433" s="91" t="n"/>
      <c r="N433" s="91" t="n"/>
      <c r="O433" s="93" t="str">
        <f>IF(S433=0,"",SUMIFS('VÍNCULOS_CDF'!$H$6:$H$1005,'VÍNCULOS_CDF'!$O$6:$O$1005,A433,'VÍNCULOS_CDF'!$V$6:$V$1005,1))</f>
        <v/>
      </c>
      <c r="P433" s="95" t="str">
        <f>IF(S433=0,"",COUNTIFS('VÍNCULOS_CDF'!$O$6:$O$1005,A433,'VÍNCULOS_CDF'!$N$6:$N$1005,1))</f>
        <v/>
      </c>
      <c r="Q433" s="94" t="str">
        <f>IF(S433=0,"",IF(OR(B433="",F433=""),"Informações incompletas",IF(U433=1,"Possível duplicidade",IF(V433=0,"Destinador fora do cadastro",IF(AND(J433="Sim",N(P433)=0),"Necessita revisão de vínculos",IF(X433&gt;0,"Necessita revisão de vínculos",IF(J433="Sim","Conferido",IF(I433="Sim","Localizado, aguardando conferência","Cadastrado"))))))))</f>
        <v/>
      </c>
      <c r="R433" s="95" t="str">
        <f>IF(S433=0,"",COUNTIFS('VÍNCULOS_CDF'!$O$6:$O$1005,A433,'VÍNCULOS_CDF'!$AB$6:$AB$1005,1))</f>
        <v/>
      </c>
      <c r="S433" s="96">
        <f>IF(COUNTA(B433:N433)&gt;0,1,0)</f>
        <v>0</v>
      </c>
      <c r="T433" s="96" t="str">
        <f>IF(AND(S433=1,B433&lt;&gt;""),C433&amp;"|"&amp;TRIM(B433),"")</f>
        <v/>
      </c>
      <c r="U433" s="96">
        <f>IF(T433="",0,IF(SUMPRODUCT(--($T$6:$T$505=T433))&gt;1,1,0))</f>
        <v>0</v>
      </c>
      <c r="V433" s="96">
        <f>IF(F433="",0,IF(ISNUMBER(MATCH(F433,cmp_dest,0)),1,0))</f>
        <v>0</v>
      </c>
      <c r="W433" s="96">
        <f>IF(AND(S433=1,B433&lt;&gt;"",F433&lt;&gt;"",J433="Sim",U433=0),1,0)</f>
        <v>0</v>
      </c>
      <c r="X433" s="96">
        <f>IF(S433=0,0,COUNTIFS('VÍNCULOS_CDF'!$O$6:$O$1005,A433,'VÍNCULOS_CDF'!$Y$6:$Y$1005,1))</f>
        <v>0</v>
      </c>
      <c r="Y433" s="96" t="str">
        <f>IF(S433=1,A433&amp;" | CDF "&amp;IF(B433="","(sem número)",B433)&amp;" | "&amp;IF(F433="","(sem destinador)",F433),"")</f>
        <v/>
      </c>
      <c r="Z433" s="96" t="str">
        <f>IF(S433=1,COUNTIF($S$6:S433,1),"")</f>
        <v/>
      </c>
      <c r="AA433" s="96">
        <f>IF(S433=0,0,IF(AND(OR(r_ini="",AND(ISNUMBER(D433),D433&gt;=r_ini)),OR(r_fim="",AND(ISNUMBER(D433),D433&lt;=r_fim)),OR(r_de="",r_de="(Todos)",F433=r_de)),1,0))</f>
        <v>0</v>
      </c>
      <c r="AB433" s="96" t="str">
        <f>IF(AA433=1,IF(F433="",0,COUNTIF($F$6:$F$505,"&lt;"&amp;F433))*1000+428,"")</f>
        <v/>
      </c>
    </row>
    <row r="434">
      <c r="A434" s="89" t="inlineStr">
        <is>
          <t>CDF-000429</t>
        </is>
      </c>
      <c r="B434" s="90" t="n"/>
      <c r="C434" s="91" t="n"/>
      <c r="D434" s="92" t="n"/>
      <c r="E434" s="91" t="n"/>
      <c r="F434" s="91" t="n"/>
      <c r="G434" s="91" t="n"/>
      <c r="H434" s="91" t="n"/>
      <c r="I434" s="91" t="n"/>
      <c r="J434" s="91" t="n"/>
      <c r="K434" s="92" t="n"/>
      <c r="L434" s="91" t="n"/>
      <c r="M434" s="91" t="n"/>
      <c r="N434" s="91" t="n"/>
      <c r="O434" s="93" t="str">
        <f>IF(S434=0,"",SUMIFS('VÍNCULOS_CDF'!$H$6:$H$1005,'VÍNCULOS_CDF'!$O$6:$O$1005,A434,'VÍNCULOS_CDF'!$V$6:$V$1005,1))</f>
        <v/>
      </c>
      <c r="P434" s="95" t="str">
        <f>IF(S434=0,"",COUNTIFS('VÍNCULOS_CDF'!$O$6:$O$1005,A434,'VÍNCULOS_CDF'!$N$6:$N$1005,1))</f>
        <v/>
      </c>
      <c r="Q434" s="94" t="str">
        <f>IF(S434=0,"",IF(OR(B434="",F434=""),"Informações incompletas",IF(U434=1,"Possível duplicidade",IF(V434=0,"Destinador fora do cadastro",IF(AND(J434="Sim",N(P434)=0),"Necessita revisão de vínculos",IF(X434&gt;0,"Necessita revisão de vínculos",IF(J434="Sim","Conferido",IF(I434="Sim","Localizado, aguardando conferência","Cadastrado"))))))))</f>
        <v/>
      </c>
      <c r="R434" s="95" t="str">
        <f>IF(S434=0,"",COUNTIFS('VÍNCULOS_CDF'!$O$6:$O$1005,A434,'VÍNCULOS_CDF'!$AB$6:$AB$1005,1))</f>
        <v/>
      </c>
      <c r="S434" s="96">
        <f>IF(COUNTA(B434:N434)&gt;0,1,0)</f>
        <v>0</v>
      </c>
      <c r="T434" s="96" t="str">
        <f>IF(AND(S434=1,B434&lt;&gt;""),C434&amp;"|"&amp;TRIM(B434),"")</f>
        <v/>
      </c>
      <c r="U434" s="96">
        <f>IF(T434="",0,IF(SUMPRODUCT(--($T$6:$T$505=T434))&gt;1,1,0))</f>
        <v>0</v>
      </c>
      <c r="V434" s="96">
        <f>IF(F434="",0,IF(ISNUMBER(MATCH(F434,cmp_dest,0)),1,0))</f>
        <v>0</v>
      </c>
      <c r="W434" s="96">
        <f>IF(AND(S434=1,B434&lt;&gt;"",F434&lt;&gt;"",J434="Sim",U434=0),1,0)</f>
        <v>0</v>
      </c>
      <c r="X434" s="96">
        <f>IF(S434=0,0,COUNTIFS('VÍNCULOS_CDF'!$O$6:$O$1005,A434,'VÍNCULOS_CDF'!$Y$6:$Y$1005,1))</f>
        <v>0</v>
      </c>
      <c r="Y434" s="96" t="str">
        <f>IF(S434=1,A434&amp;" | CDF "&amp;IF(B434="","(sem número)",B434)&amp;" | "&amp;IF(F434="","(sem destinador)",F434),"")</f>
        <v/>
      </c>
      <c r="Z434" s="96" t="str">
        <f>IF(S434=1,COUNTIF($S$6:S434,1),"")</f>
        <v/>
      </c>
      <c r="AA434" s="96">
        <f>IF(S434=0,0,IF(AND(OR(r_ini="",AND(ISNUMBER(D434),D434&gt;=r_ini)),OR(r_fim="",AND(ISNUMBER(D434),D434&lt;=r_fim)),OR(r_de="",r_de="(Todos)",F434=r_de)),1,0))</f>
        <v>0</v>
      </c>
      <c r="AB434" s="96" t="str">
        <f>IF(AA434=1,IF(F434="",0,COUNTIF($F$6:$F$505,"&lt;"&amp;F434))*1000+429,"")</f>
        <v/>
      </c>
    </row>
    <row r="435">
      <c r="A435" s="89" t="inlineStr">
        <is>
          <t>CDF-000430</t>
        </is>
      </c>
      <c r="B435" s="90" t="n"/>
      <c r="C435" s="91" t="n"/>
      <c r="D435" s="92" t="n"/>
      <c r="E435" s="91" t="n"/>
      <c r="F435" s="91" t="n"/>
      <c r="G435" s="91" t="n"/>
      <c r="H435" s="91" t="n"/>
      <c r="I435" s="91" t="n"/>
      <c r="J435" s="91" t="n"/>
      <c r="K435" s="92" t="n"/>
      <c r="L435" s="91" t="n"/>
      <c r="M435" s="91" t="n"/>
      <c r="N435" s="91" t="n"/>
      <c r="O435" s="93" t="str">
        <f>IF(S435=0,"",SUMIFS('VÍNCULOS_CDF'!$H$6:$H$1005,'VÍNCULOS_CDF'!$O$6:$O$1005,A435,'VÍNCULOS_CDF'!$V$6:$V$1005,1))</f>
        <v/>
      </c>
      <c r="P435" s="95" t="str">
        <f>IF(S435=0,"",COUNTIFS('VÍNCULOS_CDF'!$O$6:$O$1005,A435,'VÍNCULOS_CDF'!$N$6:$N$1005,1))</f>
        <v/>
      </c>
      <c r="Q435" s="94" t="str">
        <f>IF(S435=0,"",IF(OR(B435="",F435=""),"Informações incompletas",IF(U435=1,"Possível duplicidade",IF(V435=0,"Destinador fora do cadastro",IF(AND(J435="Sim",N(P435)=0),"Necessita revisão de vínculos",IF(X435&gt;0,"Necessita revisão de vínculos",IF(J435="Sim","Conferido",IF(I435="Sim","Localizado, aguardando conferência","Cadastrado"))))))))</f>
        <v/>
      </c>
      <c r="R435" s="95" t="str">
        <f>IF(S435=0,"",COUNTIFS('VÍNCULOS_CDF'!$O$6:$O$1005,A435,'VÍNCULOS_CDF'!$AB$6:$AB$1005,1))</f>
        <v/>
      </c>
      <c r="S435" s="96">
        <f>IF(COUNTA(B435:N435)&gt;0,1,0)</f>
        <v>0</v>
      </c>
      <c r="T435" s="96" t="str">
        <f>IF(AND(S435=1,B435&lt;&gt;""),C435&amp;"|"&amp;TRIM(B435),"")</f>
        <v/>
      </c>
      <c r="U435" s="96">
        <f>IF(T435="",0,IF(SUMPRODUCT(--($T$6:$T$505=T435))&gt;1,1,0))</f>
        <v>0</v>
      </c>
      <c r="V435" s="96">
        <f>IF(F435="",0,IF(ISNUMBER(MATCH(F435,cmp_dest,0)),1,0))</f>
        <v>0</v>
      </c>
      <c r="W435" s="96">
        <f>IF(AND(S435=1,B435&lt;&gt;"",F435&lt;&gt;"",J435="Sim",U435=0),1,0)</f>
        <v>0</v>
      </c>
      <c r="X435" s="96">
        <f>IF(S435=0,0,COUNTIFS('VÍNCULOS_CDF'!$O$6:$O$1005,A435,'VÍNCULOS_CDF'!$Y$6:$Y$1005,1))</f>
        <v>0</v>
      </c>
      <c r="Y435" s="96" t="str">
        <f>IF(S435=1,A435&amp;" | CDF "&amp;IF(B435="","(sem número)",B435)&amp;" | "&amp;IF(F435="","(sem destinador)",F435),"")</f>
        <v/>
      </c>
      <c r="Z435" s="96" t="str">
        <f>IF(S435=1,COUNTIF($S$6:S435,1),"")</f>
        <v/>
      </c>
      <c r="AA435" s="96">
        <f>IF(S435=0,0,IF(AND(OR(r_ini="",AND(ISNUMBER(D435),D435&gt;=r_ini)),OR(r_fim="",AND(ISNUMBER(D435),D435&lt;=r_fim)),OR(r_de="",r_de="(Todos)",F435=r_de)),1,0))</f>
        <v>0</v>
      </c>
      <c r="AB435" s="96" t="str">
        <f>IF(AA435=1,IF(F435="",0,COUNTIF($F$6:$F$505,"&lt;"&amp;F435))*1000+430,"")</f>
        <v/>
      </c>
    </row>
    <row r="436">
      <c r="A436" s="89" t="inlineStr">
        <is>
          <t>CDF-000431</t>
        </is>
      </c>
      <c r="B436" s="90" t="n"/>
      <c r="C436" s="91" t="n"/>
      <c r="D436" s="92" t="n"/>
      <c r="E436" s="91" t="n"/>
      <c r="F436" s="91" t="n"/>
      <c r="G436" s="91" t="n"/>
      <c r="H436" s="91" t="n"/>
      <c r="I436" s="91" t="n"/>
      <c r="J436" s="91" t="n"/>
      <c r="K436" s="92" t="n"/>
      <c r="L436" s="91" t="n"/>
      <c r="M436" s="91" t="n"/>
      <c r="N436" s="91" t="n"/>
      <c r="O436" s="93" t="str">
        <f>IF(S436=0,"",SUMIFS('VÍNCULOS_CDF'!$H$6:$H$1005,'VÍNCULOS_CDF'!$O$6:$O$1005,A436,'VÍNCULOS_CDF'!$V$6:$V$1005,1))</f>
        <v/>
      </c>
      <c r="P436" s="95" t="str">
        <f>IF(S436=0,"",COUNTIFS('VÍNCULOS_CDF'!$O$6:$O$1005,A436,'VÍNCULOS_CDF'!$N$6:$N$1005,1))</f>
        <v/>
      </c>
      <c r="Q436" s="94" t="str">
        <f>IF(S436=0,"",IF(OR(B436="",F436=""),"Informações incompletas",IF(U436=1,"Possível duplicidade",IF(V436=0,"Destinador fora do cadastro",IF(AND(J436="Sim",N(P436)=0),"Necessita revisão de vínculos",IF(X436&gt;0,"Necessita revisão de vínculos",IF(J436="Sim","Conferido",IF(I436="Sim","Localizado, aguardando conferência","Cadastrado"))))))))</f>
        <v/>
      </c>
      <c r="R436" s="95" t="str">
        <f>IF(S436=0,"",COUNTIFS('VÍNCULOS_CDF'!$O$6:$O$1005,A436,'VÍNCULOS_CDF'!$AB$6:$AB$1005,1))</f>
        <v/>
      </c>
      <c r="S436" s="96">
        <f>IF(COUNTA(B436:N436)&gt;0,1,0)</f>
        <v>0</v>
      </c>
      <c r="T436" s="96" t="str">
        <f>IF(AND(S436=1,B436&lt;&gt;""),C436&amp;"|"&amp;TRIM(B436),"")</f>
        <v/>
      </c>
      <c r="U436" s="96">
        <f>IF(T436="",0,IF(SUMPRODUCT(--($T$6:$T$505=T436))&gt;1,1,0))</f>
        <v>0</v>
      </c>
      <c r="V436" s="96">
        <f>IF(F436="",0,IF(ISNUMBER(MATCH(F436,cmp_dest,0)),1,0))</f>
        <v>0</v>
      </c>
      <c r="W436" s="96">
        <f>IF(AND(S436=1,B436&lt;&gt;"",F436&lt;&gt;"",J436="Sim",U436=0),1,0)</f>
        <v>0</v>
      </c>
      <c r="X436" s="96">
        <f>IF(S436=0,0,COUNTIFS('VÍNCULOS_CDF'!$O$6:$O$1005,A436,'VÍNCULOS_CDF'!$Y$6:$Y$1005,1))</f>
        <v>0</v>
      </c>
      <c r="Y436" s="96" t="str">
        <f>IF(S436=1,A436&amp;" | CDF "&amp;IF(B436="","(sem número)",B436)&amp;" | "&amp;IF(F436="","(sem destinador)",F436),"")</f>
        <v/>
      </c>
      <c r="Z436" s="96" t="str">
        <f>IF(S436=1,COUNTIF($S$6:S436,1),"")</f>
        <v/>
      </c>
      <c r="AA436" s="96">
        <f>IF(S436=0,0,IF(AND(OR(r_ini="",AND(ISNUMBER(D436),D436&gt;=r_ini)),OR(r_fim="",AND(ISNUMBER(D436),D436&lt;=r_fim)),OR(r_de="",r_de="(Todos)",F436=r_de)),1,0))</f>
        <v>0</v>
      </c>
      <c r="AB436" s="96" t="str">
        <f>IF(AA436=1,IF(F436="",0,COUNTIF($F$6:$F$505,"&lt;"&amp;F436))*1000+431,"")</f>
        <v/>
      </c>
    </row>
    <row r="437">
      <c r="A437" s="89" t="inlineStr">
        <is>
          <t>CDF-000432</t>
        </is>
      </c>
      <c r="B437" s="90" t="n"/>
      <c r="C437" s="91" t="n"/>
      <c r="D437" s="92" t="n"/>
      <c r="E437" s="91" t="n"/>
      <c r="F437" s="91" t="n"/>
      <c r="G437" s="91" t="n"/>
      <c r="H437" s="91" t="n"/>
      <c r="I437" s="91" t="n"/>
      <c r="J437" s="91" t="n"/>
      <c r="K437" s="92" t="n"/>
      <c r="L437" s="91" t="n"/>
      <c r="M437" s="91" t="n"/>
      <c r="N437" s="91" t="n"/>
      <c r="O437" s="93" t="str">
        <f>IF(S437=0,"",SUMIFS('VÍNCULOS_CDF'!$H$6:$H$1005,'VÍNCULOS_CDF'!$O$6:$O$1005,A437,'VÍNCULOS_CDF'!$V$6:$V$1005,1))</f>
        <v/>
      </c>
      <c r="P437" s="95" t="str">
        <f>IF(S437=0,"",COUNTIFS('VÍNCULOS_CDF'!$O$6:$O$1005,A437,'VÍNCULOS_CDF'!$N$6:$N$1005,1))</f>
        <v/>
      </c>
      <c r="Q437" s="94" t="str">
        <f>IF(S437=0,"",IF(OR(B437="",F437=""),"Informações incompletas",IF(U437=1,"Possível duplicidade",IF(V437=0,"Destinador fora do cadastro",IF(AND(J437="Sim",N(P437)=0),"Necessita revisão de vínculos",IF(X437&gt;0,"Necessita revisão de vínculos",IF(J437="Sim","Conferido",IF(I437="Sim","Localizado, aguardando conferência","Cadastrado"))))))))</f>
        <v/>
      </c>
      <c r="R437" s="95" t="str">
        <f>IF(S437=0,"",COUNTIFS('VÍNCULOS_CDF'!$O$6:$O$1005,A437,'VÍNCULOS_CDF'!$AB$6:$AB$1005,1))</f>
        <v/>
      </c>
      <c r="S437" s="96">
        <f>IF(COUNTA(B437:N437)&gt;0,1,0)</f>
        <v>0</v>
      </c>
      <c r="T437" s="96" t="str">
        <f>IF(AND(S437=1,B437&lt;&gt;""),C437&amp;"|"&amp;TRIM(B437),"")</f>
        <v/>
      </c>
      <c r="U437" s="96">
        <f>IF(T437="",0,IF(SUMPRODUCT(--($T$6:$T$505=T437))&gt;1,1,0))</f>
        <v>0</v>
      </c>
      <c r="V437" s="96">
        <f>IF(F437="",0,IF(ISNUMBER(MATCH(F437,cmp_dest,0)),1,0))</f>
        <v>0</v>
      </c>
      <c r="W437" s="96">
        <f>IF(AND(S437=1,B437&lt;&gt;"",F437&lt;&gt;"",J437="Sim",U437=0),1,0)</f>
        <v>0</v>
      </c>
      <c r="X437" s="96">
        <f>IF(S437=0,0,COUNTIFS('VÍNCULOS_CDF'!$O$6:$O$1005,A437,'VÍNCULOS_CDF'!$Y$6:$Y$1005,1))</f>
        <v>0</v>
      </c>
      <c r="Y437" s="96" t="str">
        <f>IF(S437=1,A437&amp;" | CDF "&amp;IF(B437="","(sem número)",B437)&amp;" | "&amp;IF(F437="","(sem destinador)",F437),"")</f>
        <v/>
      </c>
      <c r="Z437" s="96" t="str">
        <f>IF(S437=1,COUNTIF($S$6:S437,1),"")</f>
        <v/>
      </c>
      <c r="AA437" s="96">
        <f>IF(S437=0,0,IF(AND(OR(r_ini="",AND(ISNUMBER(D437),D437&gt;=r_ini)),OR(r_fim="",AND(ISNUMBER(D437),D437&lt;=r_fim)),OR(r_de="",r_de="(Todos)",F437=r_de)),1,0))</f>
        <v>0</v>
      </c>
      <c r="AB437" s="96" t="str">
        <f>IF(AA437=1,IF(F437="",0,COUNTIF($F$6:$F$505,"&lt;"&amp;F437))*1000+432,"")</f>
        <v/>
      </c>
    </row>
    <row r="438">
      <c r="A438" s="89" t="inlineStr">
        <is>
          <t>CDF-000433</t>
        </is>
      </c>
      <c r="B438" s="90" t="n"/>
      <c r="C438" s="91" t="n"/>
      <c r="D438" s="92" t="n"/>
      <c r="E438" s="91" t="n"/>
      <c r="F438" s="91" t="n"/>
      <c r="G438" s="91" t="n"/>
      <c r="H438" s="91" t="n"/>
      <c r="I438" s="91" t="n"/>
      <c r="J438" s="91" t="n"/>
      <c r="K438" s="92" t="n"/>
      <c r="L438" s="91" t="n"/>
      <c r="M438" s="91" t="n"/>
      <c r="N438" s="91" t="n"/>
      <c r="O438" s="93" t="str">
        <f>IF(S438=0,"",SUMIFS('VÍNCULOS_CDF'!$H$6:$H$1005,'VÍNCULOS_CDF'!$O$6:$O$1005,A438,'VÍNCULOS_CDF'!$V$6:$V$1005,1))</f>
        <v/>
      </c>
      <c r="P438" s="95" t="str">
        <f>IF(S438=0,"",COUNTIFS('VÍNCULOS_CDF'!$O$6:$O$1005,A438,'VÍNCULOS_CDF'!$N$6:$N$1005,1))</f>
        <v/>
      </c>
      <c r="Q438" s="94" t="str">
        <f>IF(S438=0,"",IF(OR(B438="",F438=""),"Informações incompletas",IF(U438=1,"Possível duplicidade",IF(V438=0,"Destinador fora do cadastro",IF(AND(J438="Sim",N(P438)=0),"Necessita revisão de vínculos",IF(X438&gt;0,"Necessita revisão de vínculos",IF(J438="Sim","Conferido",IF(I438="Sim","Localizado, aguardando conferência","Cadastrado"))))))))</f>
        <v/>
      </c>
      <c r="R438" s="95" t="str">
        <f>IF(S438=0,"",COUNTIFS('VÍNCULOS_CDF'!$O$6:$O$1005,A438,'VÍNCULOS_CDF'!$AB$6:$AB$1005,1))</f>
        <v/>
      </c>
      <c r="S438" s="96">
        <f>IF(COUNTA(B438:N438)&gt;0,1,0)</f>
        <v>0</v>
      </c>
      <c r="T438" s="96" t="str">
        <f>IF(AND(S438=1,B438&lt;&gt;""),C438&amp;"|"&amp;TRIM(B438),"")</f>
        <v/>
      </c>
      <c r="U438" s="96">
        <f>IF(T438="",0,IF(SUMPRODUCT(--($T$6:$T$505=T438))&gt;1,1,0))</f>
        <v>0</v>
      </c>
      <c r="V438" s="96">
        <f>IF(F438="",0,IF(ISNUMBER(MATCH(F438,cmp_dest,0)),1,0))</f>
        <v>0</v>
      </c>
      <c r="W438" s="96">
        <f>IF(AND(S438=1,B438&lt;&gt;"",F438&lt;&gt;"",J438="Sim",U438=0),1,0)</f>
        <v>0</v>
      </c>
      <c r="X438" s="96">
        <f>IF(S438=0,0,COUNTIFS('VÍNCULOS_CDF'!$O$6:$O$1005,A438,'VÍNCULOS_CDF'!$Y$6:$Y$1005,1))</f>
        <v>0</v>
      </c>
      <c r="Y438" s="96" t="str">
        <f>IF(S438=1,A438&amp;" | CDF "&amp;IF(B438="","(sem número)",B438)&amp;" | "&amp;IF(F438="","(sem destinador)",F438),"")</f>
        <v/>
      </c>
      <c r="Z438" s="96" t="str">
        <f>IF(S438=1,COUNTIF($S$6:S438,1),"")</f>
        <v/>
      </c>
      <c r="AA438" s="96">
        <f>IF(S438=0,0,IF(AND(OR(r_ini="",AND(ISNUMBER(D438),D438&gt;=r_ini)),OR(r_fim="",AND(ISNUMBER(D438),D438&lt;=r_fim)),OR(r_de="",r_de="(Todos)",F438=r_de)),1,0))</f>
        <v>0</v>
      </c>
      <c r="AB438" s="96" t="str">
        <f>IF(AA438=1,IF(F438="",0,COUNTIF($F$6:$F$505,"&lt;"&amp;F438))*1000+433,"")</f>
        <v/>
      </c>
    </row>
    <row r="439">
      <c r="A439" s="89" t="inlineStr">
        <is>
          <t>CDF-000434</t>
        </is>
      </c>
      <c r="B439" s="90" t="n"/>
      <c r="C439" s="91" t="n"/>
      <c r="D439" s="92" t="n"/>
      <c r="E439" s="91" t="n"/>
      <c r="F439" s="91" t="n"/>
      <c r="G439" s="91" t="n"/>
      <c r="H439" s="91" t="n"/>
      <c r="I439" s="91" t="n"/>
      <c r="J439" s="91" t="n"/>
      <c r="K439" s="92" t="n"/>
      <c r="L439" s="91" t="n"/>
      <c r="M439" s="91" t="n"/>
      <c r="N439" s="91" t="n"/>
      <c r="O439" s="93" t="str">
        <f>IF(S439=0,"",SUMIFS('VÍNCULOS_CDF'!$H$6:$H$1005,'VÍNCULOS_CDF'!$O$6:$O$1005,A439,'VÍNCULOS_CDF'!$V$6:$V$1005,1))</f>
        <v/>
      </c>
      <c r="P439" s="95" t="str">
        <f>IF(S439=0,"",COUNTIFS('VÍNCULOS_CDF'!$O$6:$O$1005,A439,'VÍNCULOS_CDF'!$N$6:$N$1005,1))</f>
        <v/>
      </c>
      <c r="Q439" s="94" t="str">
        <f>IF(S439=0,"",IF(OR(B439="",F439=""),"Informações incompletas",IF(U439=1,"Possível duplicidade",IF(V439=0,"Destinador fora do cadastro",IF(AND(J439="Sim",N(P439)=0),"Necessita revisão de vínculos",IF(X439&gt;0,"Necessita revisão de vínculos",IF(J439="Sim","Conferido",IF(I439="Sim","Localizado, aguardando conferência","Cadastrado"))))))))</f>
        <v/>
      </c>
      <c r="R439" s="95" t="str">
        <f>IF(S439=0,"",COUNTIFS('VÍNCULOS_CDF'!$O$6:$O$1005,A439,'VÍNCULOS_CDF'!$AB$6:$AB$1005,1))</f>
        <v/>
      </c>
      <c r="S439" s="96">
        <f>IF(COUNTA(B439:N439)&gt;0,1,0)</f>
        <v>0</v>
      </c>
      <c r="T439" s="96" t="str">
        <f>IF(AND(S439=1,B439&lt;&gt;""),C439&amp;"|"&amp;TRIM(B439),"")</f>
        <v/>
      </c>
      <c r="U439" s="96">
        <f>IF(T439="",0,IF(SUMPRODUCT(--($T$6:$T$505=T439))&gt;1,1,0))</f>
        <v>0</v>
      </c>
      <c r="V439" s="96">
        <f>IF(F439="",0,IF(ISNUMBER(MATCH(F439,cmp_dest,0)),1,0))</f>
        <v>0</v>
      </c>
      <c r="W439" s="96">
        <f>IF(AND(S439=1,B439&lt;&gt;"",F439&lt;&gt;"",J439="Sim",U439=0),1,0)</f>
        <v>0</v>
      </c>
      <c r="X439" s="96">
        <f>IF(S439=0,0,COUNTIFS('VÍNCULOS_CDF'!$O$6:$O$1005,A439,'VÍNCULOS_CDF'!$Y$6:$Y$1005,1))</f>
        <v>0</v>
      </c>
      <c r="Y439" s="96" t="str">
        <f>IF(S439=1,A439&amp;" | CDF "&amp;IF(B439="","(sem número)",B439)&amp;" | "&amp;IF(F439="","(sem destinador)",F439),"")</f>
        <v/>
      </c>
      <c r="Z439" s="96" t="str">
        <f>IF(S439=1,COUNTIF($S$6:S439,1),"")</f>
        <v/>
      </c>
      <c r="AA439" s="96">
        <f>IF(S439=0,0,IF(AND(OR(r_ini="",AND(ISNUMBER(D439),D439&gt;=r_ini)),OR(r_fim="",AND(ISNUMBER(D439),D439&lt;=r_fim)),OR(r_de="",r_de="(Todos)",F439=r_de)),1,0))</f>
        <v>0</v>
      </c>
      <c r="AB439" s="96" t="str">
        <f>IF(AA439=1,IF(F439="",0,COUNTIF($F$6:$F$505,"&lt;"&amp;F439))*1000+434,"")</f>
        <v/>
      </c>
    </row>
    <row r="440">
      <c r="A440" s="89" t="inlineStr">
        <is>
          <t>CDF-000435</t>
        </is>
      </c>
      <c r="B440" s="90" t="n"/>
      <c r="C440" s="91" t="n"/>
      <c r="D440" s="92" t="n"/>
      <c r="E440" s="91" t="n"/>
      <c r="F440" s="91" t="n"/>
      <c r="G440" s="91" t="n"/>
      <c r="H440" s="91" t="n"/>
      <c r="I440" s="91" t="n"/>
      <c r="J440" s="91" t="n"/>
      <c r="K440" s="92" t="n"/>
      <c r="L440" s="91" t="n"/>
      <c r="M440" s="91" t="n"/>
      <c r="N440" s="91" t="n"/>
      <c r="O440" s="93" t="str">
        <f>IF(S440=0,"",SUMIFS('VÍNCULOS_CDF'!$H$6:$H$1005,'VÍNCULOS_CDF'!$O$6:$O$1005,A440,'VÍNCULOS_CDF'!$V$6:$V$1005,1))</f>
        <v/>
      </c>
      <c r="P440" s="95" t="str">
        <f>IF(S440=0,"",COUNTIFS('VÍNCULOS_CDF'!$O$6:$O$1005,A440,'VÍNCULOS_CDF'!$N$6:$N$1005,1))</f>
        <v/>
      </c>
      <c r="Q440" s="94" t="str">
        <f>IF(S440=0,"",IF(OR(B440="",F440=""),"Informações incompletas",IF(U440=1,"Possível duplicidade",IF(V440=0,"Destinador fora do cadastro",IF(AND(J440="Sim",N(P440)=0),"Necessita revisão de vínculos",IF(X440&gt;0,"Necessita revisão de vínculos",IF(J440="Sim","Conferido",IF(I440="Sim","Localizado, aguardando conferência","Cadastrado"))))))))</f>
        <v/>
      </c>
      <c r="R440" s="95" t="str">
        <f>IF(S440=0,"",COUNTIFS('VÍNCULOS_CDF'!$O$6:$O$1005,A440,'VÍNCULOS_CDF'!$AB$6:$AB$1005,1))</f>
        <v/>
      </c>
      <c r="S440" s="96">
        <f>IF(COUNTA(B440:N440)&gt;0,1,0)</f>
        <v>0</v>
      </c>
      <c r="T440" s="96" t="str">
        <f>IF(AND(S440=1,B440&lt;&gt;""),C440&amp;"|"&amp;TRIM(B440),"")</f>
        <v/>
      </c>
      <c r="U440" s="96">
        <f>IF(T440="",0,IF(SUMPRODUCT(--($T$6:$T$505=T440))&gt;1,1,0))</f>
        <v>0</v>
      </c>
      <c r="V440" s="96">
        <f>IF(F440="",0,IF(ISNUMBER(MATCH(F440,cmp_dest,0)),1,0))</f>
        <v>0</v>
      </c>
      <c r="W440" s="96">
        <f>IF(AND(S440=1,B440&lt;&gt;"",F440&lt;&gt;"",J440="Sim",U440=0),1,0)</f>
        <v>0</v>
      </c>
      <c r="X440" s="96">
        <f>IF(S440=0,0,COUNTIFS('VÍNCULOS_CDF'!$O$6:$O$1005,A440,'VÍNCULOS_CDF'!$Y$6:$Y$1005,1))</f>
        <v>0</v>
      </c>
      <c r="Y440" s="96" t="str">
        <f>IF(S440=1,A440&amp;" | CDF "&amp;IF(B440="","(sem número)",B440)&amp;" | "&amp;IF(F440="","(sem destinador)",F440),"")</f>
        <v/>
      </c>
      <c r="Z440" s="96" t="str">
        <f>IF(S440=1,COUNTIF($S$6:S440,1),"")</f>
        <v/>
      </c>
      <c r="AA440" s="96">
        <f>IF(S440=0,0,IF(AND(OR(r_ini="",AND(ISNUMBER(D440),D440&gt;=r_ini)),OR(r_fim="",AND(ISNUMBER(D440),D440&lt;=r_fim)),OR(r_de="",r_de="(Todos)",F440=r_de)),1,0))</f>
        <v>0</v>
      </c>
      <c r="AB440" s="96" t="str">
        <f>IF(AA440=1,IF(F440="",0,COUNTIF($F$6:$F$505,"&lt;"&amp;F440))*1000+435,"")</f>
        <v/>
      </c>
    </row>
    <row r="441">
      <c r="A441" s="89" t="inlineStr">
        <is>
          <t>CDF-000436</t>
        </is>
      </c>
      <c r="B441" s="90" t="n"/>
      <c r="C441" s="91" t="n"/>
      <c r="D441" s="92" t="n"/>
      <c r="E441" s="91" t="n"/>
      <c r="F441" s="91" t="n"/>
      <c r="G441" s="91" t="n"/>
      <c r="H441" s="91" t="n"/>
      <c r="I441" s="91" t="n"/>
      <c r="J441" s="91" t="n"/>
      <c r="K441" s="92" t="n"/>
      <c r="L441" s="91" t="n"/>
      <c r="M441" s="91" t="n"/>
      <c r="N441" s="91" t="n"/>
      <c r="O441" s="93" t="str">
        <f>IF(S441=0,"",SUMIFS('VÍNCULOS_CDF'!$H$6:$H$1005,'VÍNCULOS_CDF'!$O$6:$O$1005,A441,'VÍNCULOS_CDF'!$V$6:$V$1005,1))</f>
        <v/>
      </c>
      <c r="P441" s="95" t="str">
        <f>IF(S441=0,"",COUNTIFS('VÍNCULOS_CDF'!$O$6:$O$1005,A441,'VÍNCULOS_CDF'!$N$6:$N$1005,1))</f>
        <v/>
      </c>
      <c r="Q441" s="94" t="str">
        <f>IF(S441=0,"",IF(OR(B441="",F441=""),"Informações incompletas",IF(U441=1,"Possível duplicidade",IF(V441=0,"Destinador fora do cadastro",IF(AND(J441="Sim",N(P441)=0),"Necessita revisão de vínculos",IF(X441&gt;0,"Necessita revisão de vínculos",IF(J441="Sim","Conferido",IF(I441="Sim","Localizado, aguardando conferência","Cadastrado"))))))))</f>
        <v/>
      </c>
      <c r="R441" s="95" t="str">
        <f>IF(S441=0,"",COUNTIFS('VÍNCULOS_CDF'!$O$6:$O$1005,A441,'VÍNCULOS_CDF'!$AB$6:$AB$1005,1))</f>
        <v/>
      </c>
      <c r="S441" s="96">
        <f>IF(COUNTA(B441:N441)&gt;0,1,0)</f>
        <v>0</v>
      </c>
      <c r="T441" s="96" t="str">
        <f>IF(AND(S441=1,B441&lt;&gt;""),C441&amp;"|"&amp;TRIM(B441),"")</f>
        <v/>
      </c>
      <c r="U441" s="96">
        <f>IF(T441="",0,IF(SUMPRODUCT(--($T$6:$T$505=T441))&gt;1,1,0))</f>
        <v>0</v>
      </c>
      <c r="V441" s="96">
        <f>IF(F441="",0,IF(ISNUMBER(MATCH(F441,cmp_dest,0)),1,0))</f>
        <v>0</v>
      </c>
      <c r="W441" s="96">
        <f>IF(AND(S441=1,B441&lt;&gt;"",F441&lt;&gt;"",J441="Sim",U441=0),1,0)</f>
        <v>0</v>
      </c>
      <c r="X441" s="96">
        <f>IF(S441=0,0,COUNTIFS('VÍNCULOS_CDF'!$O$6:$O$1005,A441,'VÍNCULOS_CDF'!$Y$6:$Y$1005,1))</f>
        <v>0</v>
      </c>
      <c r="Y441" s="96" t="str">
        <f>IF(S441=1,A441&amp;" | CDF "&amp;IF(B441="","(sem número)",B441)&amp;" | "&amp;IF(F441="","(sem destinador)",F441),"")</f>
        <v/>
      </c>
      <c r="Z441" s="96" t="str">
        <f>IF(S441=1,COUNTIF($S$6:S441,1),"")</f>
        <v/>
      </c>
      <c r="AA441" s="96">
        <f>IF(S441=0,0,IF(AND(OR(r_ini="",AND(ISNUMBER(D441),D441&gt;=r_ini)),OR(r_fim="",AND(ISNUMBER(D441),D441&lt;=r_fim)),OR(r_de="",r_de="(Todos)",F441=r_de)),1,0))</f>
        <v>0</v>
      </c>
      <c r="AB441" s="96" t="str">
        <f>IF(AA441=1,IF(F441="",0,COUNTIF($F$6:$F$505,"&lt;"&amp;F441))*1000+436,"")</f>
        <v/>
      </c>
    </row>
    <row r="442">
      <c r="A442" s="89" t="inlineStr">
        <is>
          <t>CDF-000437</t>
        </is>
      </c>
      <c r="B442" s="90" t="n"/>
      <c r="C442" s="91" t="n"/>
      <c r="D442" s="92" t="n"/>
      <c r="E442" s="91" t="n"/>
      <c r="F442" s="91" t="n"/>
      <c r="G442" s="91" t="n"/>
      <c r="H442" s="91" t="n"/>
      <c r="I442" s="91" t="n"/>
      <c r="J442" s="91" t="n"/>
      <c r="K442" s="92" t="n"/>
      <c r="L442" s="91" t="n"/>
      <c r="M442" s="91" t="n"/>
      <c r="N442" s="91" t="n"/>
      <c r="O442" s="93" t="str">
        <f>IF(S442=0,"",SUMIFS('VÍNCULOS_CDF'!$H$6:$H$1005,'VÍNCULOS_CDF'!$O$6:$O$1005,A442,'VÍNCULOS_CDF'!$V$6:$V$1005,1))</f>
        <v/>
      </c>
      <c r="P442" s="95" t="str">
        <f>IF(S442=0,"",COUNTIFS('VÍNCULOS_CDF'!$O$6:$O$1005,A442,'VÍNCULOS_CDF'!$N$6:$N$1005,1))</f>
        <v/>
      </c>
      <c r="Q442" s="94" t="str">
        <f>IF(S442=0,"",IF(OR(B442="",F442=""),"Informações incompletas",IF(U442=1,"Possível duplicidade",IF(V442=0,"Destinador fora do cadastro",IF(AND(J442="Sim",N(P442)=0),"Necessita revisão de vínculos",IF(X442&gt;0,"Necessita revisão de vínculos",IF(J442="Sim","Conferido",IF(I442="Sim","Localizado, aguardando conferência","Cadastrado"))))))))</f>
        <v/>
      </c>
      <c r="R442" s="95" t="str">
        <f>IF(S442=0,"",COUNTIFS('VÍNCULOS_CDF'!$O$6:$O$1005,A442,'VÍNCULOS_CDF'!$AB$6:$AB$1005,1))</f>
        <v/>
      </c>
      <c r="S442" s="96">
        <f>IF(COUNTA(B442:N442)&gt;0,1,0)</f>
        <v>0</v>
      </c>
      <c r="T442" s="96" t="str">
        <f>IF(AND(S442=1,B442&lt;&gt;""),C442&amp;"|"&amp;TRIM(B442),"")</f>
        <v/>
      </c>
      <c r="U442" s="96">
        <f>IF(T442="",0,IF(SUMPRODUCT(--($T$6:$T$505=T442))&gt;1,1,0))</f>
        <v>0</v>
      </c>
      <c r="V442" s="96">
        <f>IF(F442="",0,IF(ISNUMBER(MATCH(F442,cmp_dest,0)),1,0))</f>
        <v>0</v>
      </c>
      <c r="W442" s="96">
        <f>IF(AND(S442=1,B442&lt;&gt;"",F442&lt;&gt;"",J442="Sim",U442=0),1,0)</f>
        <v>0</v>
      </c>
      <c r="X442" s="96">
        <f>IF(S442=0,0,COUNTIFS('VÍNCULOS_CDF'!$O$6:$O$1005,A442,'VÍNCULOS_CDF'!$Y$6:$Y$1005,1))</f>
        <v>0</v>
      </c>
      <c r="Y442" s="96" t="str">
        <f>IF(S442=1,A442&amp;" | CDF "&amp;IF(B442="","(sem número)",B442)&amp;" | "&amp;IF(F442="","(sem destinador)",F442),"")</f>
        <v/>
      </c>
      <c r="Z442" s="96" t="str">
        <f>IF(S442=1,COUNTIF($S$6:S442,1),"")</f>
        <v/>
      </c>
      <c r="AA442" s="96">
        <f>IF(S442=0,0,IF(AND(OR(r_ini="",AND(ISNUMBER(D442),D442&gt;=r_ini)),OR(r_fim="",AND(ISNUMBER(D442),D442&lt;=r_fim)),OR(r_de="",r_de="(Todos)",F442=r_de)),1,0))</f>
        <v>0</v>
      </c>
      <c r="AB442" s="96" t="str">
        <f>IF(AA442=1,IF(F442="",0,COUNTIF($F$6:$F$505,"&lt;"&amp;F442))*1000+437,"")</f>
        <v/>
      </c>
    </row>
    <row r="443">
      <c r="A443" s="89" t="inlineStr">
        <is>
          <t>CDF-000438</t>
        </is>
      </c>
      <c r="B443" s="90" t="n"/>
      <c r="C443" s="91" t="n"/>
      <c r="D443" s="92" t="n"/>
      <c r="E443" s="91" t="n"/>
      <c r="F443" s="91" t="n"/>
      <c r="G443" s="91" t="n"/>
      <c r="H443" s="91" t="n"/>
      <c r="I443" s="91" t="n"/>
      <c r="J443" s="91" t="n"/>
      <c r="K443" s="92" t="n"/>
      <c r="L443" s="91" t="n"/>
      <c r="M443" s="91" t="n"/>
      <c r="N443" s="91" t="n"/>
      <c r="O443" s="93" t="str">
        <f>IF(S443=0,"",SUMIFS('VÍNCULOS_CDF'!$H$6:$H$1005,'VÍNCULOS_CDF'!$O$6:$O$1005,A443,'VÍNCULOS_CDF'!$V$6:$V$1005,1))</f>
        <v/>
      </c>
      <c r="P443" s="95" t="str">
        <f>IF(S443=0,"",COUNTIFS('VÍNCULOS_CDF'!$O$6:$O$1005,A443,'VÍNCULOS_CDF'!$N$6:$N$1005,1))</f>
        <v/>
      </c>
      <c r="Q443" s="94" t="str">
        <f>IF(S443=0,"",IF(OR(B443="",F443=""),"Informações incompletas",IF(U443=1,"Possível duplicidade",IF(V443=0,"Destinador fora do cadastro",IF(AND(J443="Sim",N(P443)=0),"Necessita revisão de vínculos",IF(X443&gt;0,"Necessita revisão de vínculos",IF(J443="Sim","Conferido",IF(I443="Sim","Localizado, aguardando conferência","Cadastrado"))))))))</f>
        <v/>
      </c>
      <c r="R443" s="95" t="str">
        <f>IF(S443=0,"",COUNTIFS('VÍNCULOS_CDF'!$O$6:$O$1005,A443,'VÍNCULOS_CDF'!$AB$6:$AB$1005,1))</f>
        <v/>
      </c>
      <c r="S443" s="96">
        <f>IF(COUNTA(B443:N443)&gt;0,1,0)</f>
        <v>0</v>
      </c>
      <c r="T443" s="96" t="str">
        <f>IF(AND(S443=1,B443&lt;&gt;""),C443&amp;"|"&amp;TRIM(B443),"")</f>
        <v/>
      </c>
      <c r="U443" s="96">
        <f>IF(T443="",0,IF(SUMPRODUCT(--($T$6:$T$505=T443))&gt;1,1,0))</f>
        <v>0</v>
      </c>
      <c r="V443" s="96">
        <f>IF(F443="",0,IF(ISNUMBER(MATCH(F443,cmp_dest,0)),1,0))</f>
        <v>0</v>
      </c>
      <c r="W443" s="96">
        <f>IF(AND(S443=1,B443&lt;&gt;"",F443&lt;&gt;"",J443="Sim",U443=0),1,0)</f>
        <v>0</v>
      </c>
      <c r="X443" s="96">
        <f>IF(S443=0,0,COUNTIFS('VÍNCULOS_CDF'!$O$6:$O$1005,A443,'VÍNCULOS_CDF'!$Y$6:$Y$1005,1))</f>
        <v>0</v>
      </c>
      <c r="Y443" s="96" t="str">
        <f>IF(S443=1,A443&amp;" | CDF "&amp;IF(B443="","(sem número)",B443)&amp;" | "&amp;IF(F443="","(sem destinador)",F443),"")</f>
        <v/>
      </c>
      <c r="Z443" s="96" t="str">
        <f>IF(S443=1,COUNTIF($S$6:S443,1),"")</f>
        <v/>
      </c>
      <c r="AA443" s="96">
        <f>IF(S443=0,0,IF(AND(OR(r_ini="",AND(ISNUMBER(D443),D443&gt;=r_ini)),OR(r_fim="",AND(ISNUMBER(D443),D443&lt;=r_fim)),OR(r_de="",r_de="(Todos)",F443=r_de)),1,0))</f>
        <v>0</v>
      </c>
      <c r="AB443" s="96" t="str">
        <f>IF(AA443=1,IF(F443="",0,COUNTIF($F$6:$F$505,"&lt;"&amp;F443))*1000+438,"")</f>
        <v/>
      </c>
    </row>
    <row r="444">
      <c r="A444" s="89" t="inlineStr">
        <is>
          <t>CDF-000439</t>
        </is>
      </c>
      <c r="B444" s="90" t="n"/>
      <c r="C444" s="91" t="n"/>
      <c r="D444" s="92" t="n"/>
      <c r="E444" s="91" t="n"/>
      <c r="F444" s="91" t="n"/>
      <c r="G444" s="91" t="n"/>
      <c r="H444" s="91" t="n"/>
      <c r="I444" s="91" t="n"/>
      <c r="J444" s="91" t="n"/>
      <c r="K444" s="92" t="n"/>
      <c r="L444" s="91" t="n"/>
      <c r="M444" s="91" t="n"/>
      <c r="N444" s="91" t="n"/>
      <c r="O444" s="93" t="str">
        <f>IF(S444=0,"",SUMIFS('VÍNCULOS_CDF'!$H$6:$H$1005,'VÍNCULOS_CDF'!$O$6:$O$1005,A444,'VÍNCULOS_CDF'!$V$6:$V$1005,1))</f>
        <v/>
      </c>
      <c r="P444" s="95" t="str">
        <f>IF(S444=0,"",COUNTIFS('VÍNCULOS_CDF'!$O$6:$O$1005,A444,'VÍNCULOS_CDF'!$N$6:$N$1005,1))</f>
        <v/>
      </c>
      <c r="Q444" s="94" t="str">
        <f>IF(S444=0,"",IF(OR(B444="",F444=""),"Informações incompletas",IF(U444=1,"Possível duplicidade",IF(V444=0,"Destinador fora do cadastro",IF(AND(J444="Sim",N(P444)=0),"Necessita revisão de vínculos",IF(X444&gt;0,"Necessita revisão de vínculos",IF(J444="Sim","Conferido",IF(I444="Sim","Localizado, aguardando conferência","Cadastrado"))))))))</f>
        <v/>
      </c>
      <c r="R444" s="95" t="str">
        <f>IF(S444=0,"",COUNTIFS('VÍNCULOS_CDF'!$O$6:$O$1005,A444,'VÍNCULOS_CDF'!$AB$6:$AB$1005,1))</f>
        <v/>
      </c>
      <c r="S444" s="96">
        <f>IF(COUNTA(B444:N444)&gt;0,1,0)</f>
        <v>0</v>
      </c>
      <c r="T444" s="96" t="str">
        <f>IF(AND(S444=1,B444&lt;&gt;""),C444&amp;"|"&amp;TRIM(B444),"")</f>
        <v/>
      </c>
      <c r="U444" s="96">
        <f>IF(T444="",0,IF(SUMPRODUCT(--($T$6:$T$505=T444))&gt;1,1,0))</f>
        <v>0</v>
      </c>
      <c r="V444" s="96">
        <f>IF(F444="",0,IF(ISNUMBER(MATCH(F444,cmp_dest,0)),1,0))</f>
        <v>0</v>
      </c>
      <c r="W444" s="96">
        <f>IF(AND(S444=1,B444&lt;&gt;"",F444&lt;&gt;"",J444="Sim",U444=0),1,0)</f>
        <v>0</v>
      </c>
      <c r="X444" s="96">
        <f>IF(S444=0,0,COUNTIFS('VÍNCULOS_CDF'!$O$6:$O$1005,A444,'VÍNCULOS_CDF'!$Y$6:$Y$1005,1))</f>
        <v>0</v>
      </c>
      <c r="Y444" s="96" t="str">
        <f>IF(S444=1,A444&amp;" | CDF "&amp;IF(B444="","(sem número)",B444)&amp;" | "&amp;IF(F444="","(sem destinador)",F444),"")</f>
        <v/>
      </c>
      <c r="Z444" s="96" t="str">
        <f>IF(S444=1,COUNTIF($S$6:S444,1),"")</f>
        <v/>
      </c>
      <c r="AA444" s="96">
        <f>IF(S444=0,0,IF(AND(OR(r_ini="",AND(ISNUMBER(D444),D444&gt;=r_ini)),OR(r_fim="",AND(ISNUMBER(D444),D444&lt;=r_fim)),OR(r_de="",r_de="(Todos)",F444=r_de)),1,0))</f>
        <v>0</v>
      </c>
      <c r="AB444" s="96" t="str">
        <f>IF(AA444=1,IF(F444="",0,COUNTIF($F$6:$F$505,"&lt;"&amp;F444))*1000+439,"")</f>
        <v/>
      </c>
    </row>
    <row r="445">
      <c r="A445" s="89" t="inlineStr">
        <is>
          <t>CDF-000440</t>
        </is>
      </c>
      <c r="B445" s="90" t="n"/>
      <c r="C445" s="91" t="n"/>
      <c r="D445" s="92" t="n"/>
      <c r="E445" s="91" t="n"/>
      <c r="F445" s="91" t="n"/>
      <c r="G445" s="91" t="n"/>
      <c r="H445" s="91" t="n"/>
      <c r="I445" s="91" t="n"/>
      <c r="J445" s="91" t="n"/>
      <c r="K445" s="92" t="n"/>
      <c r="L445" s="91" t="n"/>
      <c r="M445" s="91" t="n"/>
      <c r="N445" s="91" t="n"/>
      <c r="O445" s="93" t="str">
        <f>IF(S445=0,"",SUMIFS('VÍNCULOS_CDF'!$H$6:$H$1005,'VÍNCULOS_CDF'!$O$6:$O$1005,A445,'VÍNCULOS_CDF'!$V$6:$V$1005,1))</f>
        <v/>
      </c>
      <c r="P445" s="95" t="str">
        <f>IF(S445=0,"",COUNTIFS('VÍNCULOS_CDF'!$O$6:$O$1005,A445,'VÍNCULOS_CDF'!$N$6:$N$1005,1))</f>
        <v/>
      </c>
      <c r="Q445" s="94" t="str">
        <f>IF(S445=0,"",IF(OR(B445="",F445=""),"Informações incompletas",IF(U445=1,"Possível duplicidade",IF(V445=0,"Destinador fora do cadastro",IF(AND(J445="Sim",N(P445)=0),"Necessita revisão de vínculos",IF(X445&gt;0,"Necessita revisão de vínculos",IF(J445="Sim","Conferido",IF(I445="Sim","Localizado, aguardando conferência","Cadastrado"))))))))</f>
        <v/>
      </c>
      <c r="R445" s="95" t="str">
        <f>IF(S445=0,"",COUNTIFS('VÍNCULOS_CDF'!$O$6:$O$1005,A445,'VÍNCULOS_CDF'!$AB$6:$AB$1005,1))</f>
        <v/>
      </c>
      <c r="S445" s="96">
        <f>IF(COUNTA(B445:N445)&gt;0,1,0)</f>
        <v>0</v>
      </c>
      <c r="T445" s="96" t="str">
        <f>IF(AND(S445=1,B445&lt;&gt;""),C445&amp;"|"&amp;TRIM(B445),"")</f>
        <v/>
      </c>
      <c r="U445" s="96">
        <f>IF(T445="",0,IF(SUMPRODUCT(--($T$6:$T$505=T445))&gt;1,1,0))</f>
        <v>0</v>
      </c>
      <c r="V445" s="96">
        <f>IF(F445="",0,IF(ISNUMBER(MATCH(F445,cmp_dest,0)),1,0))</f>
        <v>0</v>
      </c>
      <c r="W445" s="96">
        <f>IF(AND(S445=1,B445&lt;&gt;"",F445&lt;&gt;"",J445="Sim",U445=0),1,0)</f>
        <v>0</v>
      </c>
      <c r="X445" s="96">
        <f>IF(S445=0,0,COUNTIFS('VÍNCULOS_CDF'!$O$6:$O$1005,A445,'VÍNCULOS_CDF'!$Y$6:$Y$1005,1))</f>
        <v>0</v>
      </c>
      <c r="Y445" s="96" t="str">
        <f>IF(S445=1,A445&amp;" | CDF "&amp;IF(B445="","(sem número)",B445)&amp;" | "&amp;IF(F445="","(sem destinador)",F445),"")</f>
        <v/>
      </c>
      <c r="Z445" s="96" t="str">
        <f>IF(S445=1,COUNTIF($S$6:S445,1),"")</f>
        <v/>
      </c>
      <c r="AA445" s="96">
        <f>IF(S445=0,0,IF(AND(OR(r_ini="",AND(ISNUMBER(D445),D445&gt;=r_ini)),OR(r_fim="",AND(ISNUMBER(D445),D445&lt;=r_fim)),OR(r_de="",r_de="(Todos)",F445=r_de)),1,0))</f>
        <v>0</v>
      </c>
      <c r="AB445" s="96" t="str">
        <f>IF(AA445=1,IF(F445="",0,COUNTIF($F$6:$F$505,"&lt;"&amp;F445))*1000+440,"")</f>
        <v/>
      </c>
    </row>
    <row r="446">
      <c r="A446" s="89" t="inlineStr">
        <is>
          <t>CDF-000441</t>
        </is>
      </c>
      <c r="B446" s="90" t="n"/>
      <c r="C446" s="91" t="n"/>
      <c r="D446" s="92" t="n"/>
      <c r="E446" s="91" t="n"/>
      <c r="F446" s="91" t="n"/>
      <c r="G446" s="91" t="n"/>
      <c r="H446" s="91" t="n"/>
      <c r="I446" s="91" t="n"/>
      <c r="J446" s="91" t="n"/>
      <c r="K446" s="92" t="n"/>
      <c r="L446" s="91" t="n"/>
      <c r="M446" s="91" t="n"/>
      <c r="N446" s="91" t="n"/>
      <c r="O446" s="93" t="str">
        <f>IF(S446=0,"",SUMIFS('VÍNCULOS_CDF'!$H$6:$H$1005,'VÍNCULOS_CDF'!$O$6:$O$1005,A446,'VÍNCULOS_CDF'!$V$6:$V$1005,1))</f>
        <v/>
      </c>
      <c r="P446" s="95" t="str">
        <f>IF(S446=0,"",COUNTIFS('VÍNCULOS_CDF'!$O$6:$O$1005,A446,'VÍNCULOS_CDF'!$N$6:$N$1005,1))</f>
        <v/>
      </c>
      <c r="Q446" s="94" t="str">
        <f>IF(S446=0,"",IF(OR(B446="",F446=""),"Informações incompletas",IF(U446=1,"Possível duplicidade",IF(V446=0,"Destinador fora do cadastro",IF(AND(J446="Sim",N(P446)=0),"Necessita revisão de vínculos",IF(X446&gt;0,"Necessita revisão de vínculos",IF(J446="Sim","Conferido",IF(I446="Sim","Localizado, aguardando conferência","Cadastrado"))))))))</f>
        <v/>
      </c>
      <c r="R446" s="95" t="str">
        <f>IF(S446=0,"",COUNTIFS('VÍNCULOS_CDF'!$O$6:$O$1005,A446,'VÍNCULOS_CDF'!$AB$6:$AB$1005,1))</f>
        <v/>
      </c>
      <c r="S446" s="96">
        <f>IF(COUNTA(B446:N446)&gt;0,1,0)</f>
        <v>0</v>
      </c>
      <c r="T446" s="96" t="str">
        <f>IF(AND(S446=1,B446&lt;&gt;""),C446&amp;"|"&amp;TRIM(B446),"")</f>
        <v/>
      </c>
      <c r="U446" s="96">
        <f>IF(T446="",0,IF(SUMPRODUCT(--($T$6:$T$505=T446))&gt;1,1,0))</f>
        <v>0</v>
      </c>
      <c r="V446" s="96">
        <f>IF(F446="",0,IF(ISNUMBER(MATCH(F446,cmp_dest,0)),1,0))</f>
        <v>0</v>
      </c>
      <c r="W446" s="96">
        <f>IF(AND(S446=1,B446&lt;&gt;"",F446&lt;&gt;"",J446="Sim",U446=0),1,0)</f>
        <v>0</v>
      </c>
      <c r="X446" s="96">
        <f>IF(S446=0,0,COUNTIFS('VÍNCULOS_CDF'!$O$6:$O$1005,A446,'VÍNCULOS_CDF'!$Y$6:$Y$1005,1))</f>
        <v>0</v>
      </c>
      <c r="Y446" s="96" t="str">
        <f>IF(S446=1,A446&amp;" | CDF "&amp;IF(B446="","(sem número)",B446)&amp;" | "&amp;IF(F446="","(sem destinador)",F446),"")</f>
        <v/>
      </c>
      <c r="Z446" s="96" t="str">
        <f>IF(S446=1,COUNTIF($S$6:S446,1),"")</f>
        <v/>
      </c>
      <c r="AA446" s="96">
        <f>IF(S446=0,0,IF(AND(OR(r_ini="",AND(ISNUMBER(D446),D446&gt;=r_ini)),OR(r_fim="",AND(ISNUMBER(D446),D446&lt;=r_fim)),OR(r_de="",r_de="(Todos)",F446=r_de)),1,0))</f>
        <v>0</v>
      </c>
      <c r="AB446" s="96" t="str">
        <f>IF(AA446=1,IF(F446="",0,COUNTIF($F$6:$F$505,"&lt;"&amp;F446))*1000+441,"")</f>
        <v/>
      </c>
    </row>
    <row r="447">
      <c r="A447" s="89" t="inlineStr">
        <is>
          <t>CDF-000442</t>
        </is>
      </c>
      <c r="B447" s="90" t="n"/>
      <c r="C447" s="91" t="n"/>
      <c r="D447" s="92" t="n"/>
      <c r="E447" s="91" t="n"/>
      <c r="F447" s="91" t="n"/>
      <c r="G447" s="91" t="n"/>
      <c r="H447" s="91" t="n"/>
      <c r="I447" s="91" t="n"/>
      <c r="J447" s="91" t="n"/>
      <c r="K447" s="92" t="n"/>
      <c r="L447" s="91" t="n"/>
      <c r="M447" s="91" t="n"/>
      <c r="N447" s="91" t="n"/>
      <c r="O447" s="93" t="str">
        <f>IF(S447=0,"",SUMIFS('VÍNCULOS_CDF'!$H$6:$H$1005,'VÍNCULOS_CDF'!$O$6:$O$1005,A447,'VÍNCULOS_CDF'!$V$6:$V$1005,1))</f>
        <v/>
      </c>
      <c r="P447" s="95" t="str">
        <f>IF(S447=0,"",COUNTIFS('VÍNCULOS_CDF'!$O$6:$O$1005,A447,'VÍNCULOS_CDF'!$N$6:$N$1005,1))</f>
        <v/>
      </c>
      <c r="Q447" s="94" t="str">
        <f>IF(S447=0,"",IF(OR(B447="",F447=""),"Informações incompletas",IF(U447=1,"Possível duplicidade",IF(V447=0,"Destinador fora do cadastro",IF(AND(J447="Sim",N(P447)=0),"Necessita revisão de vínculos",IF(X447&gt;0,"Necessita revisão de vínculos",IF(J447="Sim","Conferido",IF(I447="Sim","Localizado, aguardando conferência","Cadastrado"))))))))</f>
        <v/>
      </c>
      <c r="R447" s="95" t="str">
        <f>IF(S447=0,"",COUNTIFS('VÍNCULOS_CDF'!$O$6:$O$1005,A447,'VÍNCULOS_CDF'!$AB$6:$AB$1005,1))</f>
        <v/>
      </c>
      <c r="S447" s="96">
        <f>IF(COUNTA(B447:N447)&gt;0,1,0)</f>
        <v>0</v>
      </c>
      <c r="T447" s="96" t="str">
        <f>IF(AND(S447=1,B447&lt;&gt;""),C447&amp;"|"&amp;TRIM(B447),"")</f>
        <v/>
      </c>
      <c r="U447" s="96">
        <f>IF(T447="",0,IF(SUMPRODUCT(--($T$6:$T$505=T447))&gt;1,1,0))</f>
        <v>0</v>
      </c>
      <c r="V447" s="96">
        <f>IF(F447="",0,IF(ISNUMBER(MATCH(F447,cmp_dest,0)),1,0))</f>
        <v>0</v>
      </c>
      <c r="W447" s="96">
        <f>IF(AND(S447=1,B447&lt;&gt;"",F447&lt;&gt;"",J447="Sim",U447=0),1,0)</f>
        <v>0</v>
      </c>
      <c r="X447" s="96">
        <f>IF(S447=0,0,COUNTIFS('VÍNCULOS_CDF'!$O$6:$O$1005,A447,'VÍNCULOS_CDF'!$Y$6:$Y$1005,1))</f>
        <v>0</v>
      </c>
      <c r="Y447" s="96" t="str">
        <f>IF(S447=1,A447&amp;" | CDF "&amp;IF(B447="","(sem número)",B447)&amp;" | "&amp;IF(F447="","(sem destinador)",F447),"")</f>
        <v/>
      </c>
      <c r="Z447" s="96" t="str">
        <f>IF(S447=1,COUNTIF($S$6:S447,1),"")</f>
        <v/>
      </c>
      <c r="AA447" s="96">
        <f>IF(S447=0,0,IF(AND(OR(r_ini="",AND(ISNUMBER(D447),D447&gt;=r_ini)),OR(r_fim="",AND(ISNUMBER(D447),D447&lt;=r_fim)),OR(r_de="",r_de="(Todos)",F447=r_de)),1,0))</f>
        <v>0</v>
      </c>
      <c r="AB447" s="96" t="str">
        <f>IF(AA447=1,IF(F447="",0,COUNTIF($F$6:$F$505,"&lt;"&amp;F447))*1000+442,"")</f>
        <v/>
      </c>
    </row>
    <row r="448">
      <c r="A448" s="89" t="inlineStr">
        <is>
          <t>CDF-000443</t>
        </is>
      </c>
      <c r="B448" s="90" t="n"/>
      <c r="C448" s="91" t="n"/>
      <c r="D448" s="92" t="n"/>
      <c r="E448" s="91" t="n"/>
      <c r="F448" s="91" t="n"/>
      <c r="G448" s="91" t="n"/>
      <c r="H448" s="91" t="n"/>
      <c r="I448" s="91" t="n"/>
      <c r="J448" s="91" t="n"/>
      <c r="K448" s="92" t="n"/>
      <c r="L448" s="91" t="n"/>
      <c r="M448" s="91" t="n"/>
      <c r="N448" s="91" t="n"/>
      <c r="O448" s="93" t="str">
        <f>IF(S448=0,"",SUMIFS('VÍNCULOS_CDF'!$H$6:$H$1005,'VÍNCULOS_CDF'!$O$6:$O$1005,A448,'VÍNCULOS_CDF'!$V$6:$V$1005,1))</f>
        <v/>
      </c>
      <c r="P448" s="95" t="str">
        <f>IF(S448=0,"",COUNTIFS('VÍNCULOS_CDF'!$O$6:$O$1005,A448,'VÍNCULOS_CDF'!$N$6:$N$1005,1))</f>
        <v/>
      </c>
      <c r="Q448" s="94" t="str">
        <f>IF(S448=0,"",IF(OR(B448="",F448=""),"Informações incompletas",IF(U448=1,"Possível duplicidade",IF(V448=0,"Destinador fora do cadastro",IF(AND(J448="Sim",N(P448)=0),"Necessita revisão de vínculos",IF(X448&gt;0,"Necessita revisão de vínculos",IF(J448="Sim","Conferido",IF(I448="Sim","Localizado, aguardando conferência","Cadastrado"))))))))</f>
        <v/>
      </c>
      <c r="R448" s="95" t="str">
        <f>IF(S448=0,"",COUNTIFS('VÍNCULOS_CDF'!$O$6:$O$1005,A448,'VÍNCULOS_CDF'!$AB$6:$AB$1005,1))</f>
        <v/>
      </c>
      <c r="S448" s="96">
        <f>IF(COUNTA(B448:N448)&gt;0,1,0)</f>
        <v>0</v>
      </c>
      <c r="T448" s="96" t="str">
        <f>IF(AND(S448=1,B448&lt;&gt;""),C448&amp;"|"&amp;TRIM(B448),"")</f>
        <v/>
      </c>
      <c r="U448" s="96">
        <f>IF(T448="",0,IF(SUMPRODUCT(--($T$6:$T$505=T448))&gt;1,1,0))</f>
        <v>0</v>
      </c>
      <c r="V448" s="96">
        <f>IF(F448="",0,IF(ISNUMBER(MATCH(F448,cmp_dest,0)),1,0))</f>
        <v>0</v>
      </c>
      <c r="W448" s="96">
        <f>IF(AND(S448=1,B448&lt;&gt;"",F448&lt;&gt;"",J448="Sim",U448=0),1,0)</f>
        <v>0</v>
      </c>
      <c r="X448" s="96">
        <f>IF(S448=0,0,COUNTIFS('VÍNCULOS_CDF'!$O$6:$O$1005,A448,'VÍNCULOS_CDF'!$Y$6:$Y$1005,1))</f>
        <v>0</v>
      </c>
      <c r="Y448" s="96" t="str">
        <f>IF(S448=1,A448&amp;" | CDF "&amp;IF(B448="","(sem número)",B448)&amp;" | "&amp;IF(F448="","(sem destinador)",F448),"")</f>
        <v/>
      </c>
      <c r="Z448" s="96" t="str">
        <f>IF(S448=1,COUNTIF($S$6:S448,1),"")</f>
        <v/>
      </c>
      <c r="AA448" s="96">
        <f>IF(S448=0,0,IF(AND(OR(r_ini="",AND(ISNUMBER(D448),D448&gt;=r_ini)),OR(r_fim="",AND(ISNUMBER(D448),D448&lt;=r_fim)),OR(r_de="",r_de="(Todos)",F448=r_de)),1,0))</f>
        <v>0</v>
      </c>
      <c r="AB448" s="96" t="str">
        <f>IF(AA448=1,IF(F448="",0,COUNTIF($F$6:$F$505,"&lt;"&amp;F448))*1000+443,"")</f>
        <v/>
      </c>
    </row>
    <row r="449">
      <c r="A449" s="89" t="inlineStr">
        <is>
          <t>CDF-000444</t>
        </is>
      </c>
      <c r="B449" s="90" t="n"/>
      <c r="C449" s="91" t="n"/>
      <c r="D449" s="92" t="n"/>
      <c r="E449" s="91" t="n"/>
      <c r="F449" s="91" t="n"/>
      <c r="G449" s="91" t="n"/>
      <c r="H449" s="91" t="n"/>
      <c r="I449" s="91" t="n"/>
      <c r="J449" s="91" t="n"/>
      <c r="K449" s="92" t="n"/>
      <c r="L449" s="91" t="n"/>
      <c r="M449" s="91" t="n"/>
      <c r="N449" s="91" t="n"/>
      <c r="O449" s="93" t="str">
        <f>IF(S449=0,"",SUMIFS('VÍNCULOS_CDF'!$H$6:$H$1005,'VÍNCULOS_CDF'!$O$6:$O$1005,A449,'VÍNCULOS_CDF'!$V$6:$V$1005,1))</f>
        <v/>
      </c>
      <c r="P449" s="95" t="str">
        <f>IF(S449=0,"",COUNTIFS('VÍNCULOS_CDF'!$O$6:$O$1005,A449,'VÍNCULOS_CDF'!$N$6:$N$1005,1))</f>
        <v/>
      </c>
      <c r="Q449" s="94" t="str">
        <f>IF(S449=0,"",IF(OR(B449="",F449=""),"Informações incompletas",IF(U449=1,"Possível duplicidade",IF(V449=0,"Destinador fora do cadastro",IF(AND(J449="Sim",N(P449)=0),"Necessita revisão de vínculos",IF(X449&gt;0,"Necessita revisão de vínculos",IF(J449="Sim","Conferido",IF(I449="Sim","Localizado, aguardando conferência","Cadastrado"))))))))</f>
        <v/>
      </c>
      <c r="R449" s="95" t="str">
        <f>IF(S449=0,"",COUNTIFS('VÍNCULOS_CDF'!$O$6:$O$1005,A449,'VÍNCULOS_CDF'!$AB$6:$AB$1005,1))</f>
        <v/>
      </c>
      <c r="S449" s="96">
        <f>IF(COUNTA(B449:N449)&gt;0,1,0)</f>
        <v>0</v>
      </c>
      <c r="T449" s="96" t="str">
        <f>IF(AND(S449=1,B449&lt;&gt;""),C449&amp;"|"&amp;TRIM(B449),"")</f>
        <v/>
      </c>
      <c r="U449" s="96">
        <f>IF(T449="",0,IF(SUMPRODUCT(--($T$6:$T$505=T449))&gt;1,1,0))</f>
        <v>0</v>
      </c>
      <c r="V449" s="96">
        <f>IF(F449="",0,IF(ISNUMBER(MATCH(F449,cmp_dest,0)),1,0))</f>
        <v>0</v>
      </c>
      <c r="W449" s="96">
        <f>IF(AND(S449=1,B449&lt;&gt;"",F449&lt;&gt;"",J449="Sim",U449=0),1,0)</f>
        <v>0</v>
      </c>
      <c r="X449" s="96">
        <f>IF(S449=0,0,COUNTIFS('VÍNCULOS_CDF'!$O$6:$O$1005,A449,'VÍNCULOS_CDF'!$Y$6:$Y$1005,1))</f>
        <v>0</v>
      </c>
      <c r="Y449" s="96" t="str">
        <f>IF(S449=1,A449&amp;" | CDF "&amp;IF(B449="","(sem número)",B449)&amp;" | "&amp;IF(F449="","(sem destinador)",F449),"")</f>
        <v/>
      </c>
      <c r="Z449" s="96" t="str">
        <f>IF(S449=1,COUNTIF($S$6:S449,1),"")</f>
        <v/>
      </c>
      <c r="AA449" s="96">
        <f>IF(S449=0,0,IF(AND(OR(r_ini="",AND(ISNUMBER(D449),D449&gt;=r_ini)),OR(r_fim="",AND(ISNUMBER(D449),D449&lt;=r_fim)),OR(r_de="",r_de="(Todos)",F449=r_de)),1,0))</f>
        <v>0</v>
      </c>
      <c r="AB449" s="96" t="str">
        <f>IF(AA449=1,IF(F449="",0,COUNTIF($F$6:$F$505,"&lt;"&amp;F449))*1000+444,"")</f>
        <v/>
      </c>
    </row>
    <row r="450">
      <c r="A450" s="89" t="inlineStr">
        <is>
          <t>CDF-000445</t>
        </is>
      </c>
      <c r="B450" s="90" t="n"/>
      <c r="C450" s="91" t="n"/>
      <c r="D450" s="92" t="n"/>
      <c r="E450" s="91" t="n"/>
      <c r="F450" s="91" t="n"/>
      <c r="G450" s="91" t="n"/>
      <c r="H450" s="91" t="n"/>
      <c r="I450" s="91" t="n"/>
      <c r="J450" s="91" t="n"/>
      <c r="K450" s="92" t="n"/>
      <c r="L450" s="91" t="n"/>
      <c r="M450" s="91" t="n"/>
      <c r="N450" s="91" t="n"/>
      <c r="O450" s="93" t="str">
        <f>IF(S450=0,"",SUMIFS('VÍNCULOS_CDF'!$H$6:$H$1005,'VÍNCULOS_CDF'!$O$6:$O$1005,A450,'VÍNCULOS_CDF'!$V$6:$V$1005,1))</f>
        <v/>
      </c>
      <c r="P450" s="95" t="str">
        <f>IF(S450=0,"",COUNTIFS('VÍNCULOS_CDF'!$O$6:$O$1005,A450,'VÍNCULOS_CDF'!$N$6:$N$1005,1))</f>
        <v/>
      </c>
      <c r="Q450" s="94" t="str">
        <f>IF(S450=0,"",IF(OR(B450="",F450=""),"Informações incompletas",IF(U450=1,"Possível duplicidade",IF(V450=0,"Destinador fora do cadastro",IF(AND(J450="Sim",N(P450)=0),"Necessita revisão de vínculos",IF(X450&gt;0,"Necessita revisão de vínculos",IF(J450="Sim","Conferido",IF(I450="Sim","Localizado, aguardando conferência","Cadastrado"))))))))</f>
        <v/>
      </c>
      <c r="R450" s="95" t="str">
        <f>IF(S450=0,"",COUNTIFS('VÍNCULOS_CDF'!$O$6:$O$1005,A450,'VÍNCULOS_CDF'!$AB$6:$AB$1005,1))</f>
        <v/>
      </c>
      <c r="S450" s="96">
        <f>IF(COUNTA(B450:N450)&gt;0,1,0)</f>
        <v>0</v>
      </c>
      <c r="T450" s="96" t="str">
        <f>IF(AND(S450=1,B450&lt;&gt;""),C450&amp;"|"&amp;TRIM(B450),"")</f>
        <v/>
      </c>
      <c r="U450" s="96">
        <f>IF(T450="",0,IF(SUMPRODUCT(--($T$6:$T$505=T450))&gt;1,1,0))</f>
        <v>0</v>
      </c>
      <c r="V450" s="96">
        <f>IF(F450="",0,IF(ISNUMBER(MATCH(F450,cmp_dest,0)),1,0))</f>
        <v>0</v>
      </c>
      <c r="W450" s="96">
        <f>IF(AND(S450=1,B450&lt;&gt;"",F450&lt;&gt;"",J450="Sim",U450=0),1,0)</f>
        <v>0</v>
      </c>
      <c r="X450" s="96">
        <f>IF(S450=0,0,COUNTIFS('VÍNCULOS_CDF'!$O$6:$O$1005,A450,'VÍNCULOS_CDF'!$Y$6:$Y$1005,1))</f>
        <v>0</v>
      </c>
      <c r="Y450" s="96" t="str">
        <f>IF(S450=1,A450&amp;" | CDF "&amp;IF(B450="","(sem número)",B450)&amp;" | "&amp;IF(F450="","(sem destinador)",F450),"")</f>
        <v/>
      </c>
      <c r="Z450" s="96" t="str">
        <f>IF(S450=1,COUNTIF($S$6:S450,1),"")</f>
        <v/>
      </c>
      <c r="AA450" s="96">
        <f>IF(S450=0,0,IF(AND(OR(r_ini="",AND(ISNUMBER(D450),D450&gt;=r_ini)),OR(r_fim="",AND(ISNUMBER(D450),D450&lt;=r_fim)),OR(r_de="",r_de="(Todos)",F450=r_de)),1,0))</f>
        <v>0</v>
      </c>
      <c r="AB450" s="96" t="str">
        <f>IF(AA450=1,IF(F450="",0,COUNTIF($F$6:$F$505,"&lt;"&amp;F450))*1000+445,"")</f>
        <v/>
      </c>
    </row>
    <row r="451">
      <c r="A451" s="89" t="inlineStr">
        <is>
          <t>CDF-000446</t>
        </is>
      </c>
      <c r="B451" s="90" t="n"/>
      <c r="C451" s="91" t="n"/>
      <c r="D451" s="92" t="n"/>
      <c r="E451" s="91" t="n"/>
      <c r="F451" s="91" t="n"/>
      <c r="G451" s="91" t="n"/>
      <c r="H451" s="91" t="n"/>
      <c r="I451" s="91" t="n"/>
      <c r="J451" s="91" t="n"/>
      <c r="K451" s="92" t="n"/>
      <c r="L451" s="91" t="n"/>
      <c r="M451" s="91" t="n"/>
      <c r="N451" s="91" t="n"/>
      <c r="O451" s="93" t="str">
        <f>IF(S451=0,"",SUMIFS('VÍNCULOS_CDF'!$H$6:$H$1005,'VÍNCULOS_CDF'!$O$6:$O$1005,A451,'VÍNCULOS_CDF'!$V$6:$V$1005,1))</f>
        <v/>
      </c>
      <c r="P451" s="95" t="str">
        <f>IF(S451=0,"",COUNTIFS('VÍNCULOS_CDF'!$O$6:$O$1005,A451,'VÍNCULOS_CDF'!$N$6:$N$1005,1))</f>
        <v/>
      </c>
      <c r="Q451" s="94" t="str">
        <f>IF(S451=0,"",IF(OR(B451="",F451=""),"Informações incompletas",IF(U451=1,"Possível duplicidade",IF(V451=0,"Destinador fora do cadastro",IF(AND(J451="Sim",N(P451)=0),"Necessita revisão de vínculos",IF(X451&gt;0,"Necessita revisão de vínculos",IF(J451="Sim","Conferido",IF(I451="Sim","Localizado, aguardando conferência","Cadastrado"))))))))</f>
        <v/>
      </c>
      <c r="R451" s="95" t="str">
        <f>IF(S451=0,"",COUNTIFS('VÍNCULOS_CDF'!$O$6:$O$1005,A451,'VÍNCULOS_CDF'!$AB$6:$AB$1005,1))</f>
        <v/>
      </c>
      <c r="S451" s="96">
        <f>IF(COUNTA(B451:N451)&gt;0,1,0)</f>
        <v>0</v>
      </c>
      <c r="T451" s="96" t="str">
        <f>IF(AND(S451=1,B451&lt;&gt;""),C451&amp;"|"&amp;TRIM(B451),"")</f>
        <v/>
      </c>
      <c r="U451" s="96">
        <f>IF(T451="",0,IF(SUMPRODUCT(--($T$6:$T$505=T451))&gt;1,1,0))</f>
        <v>0</v>
      </c>
      <c r="V451" s="96">
        <f>IF(F451="",0,IF(ISNUMBER(MATCH(F451,cmp_dest,0)),1,0))</f>
        <v>0</v>
      </c>
      <c r="W451" s="96">
        <f>IF(AND(S451=1,B451&lt;&gt;"",F451&lt;&gt;"",J451="Sim",U451=0),1,0)</f>
        <v>0</v>
      </c>
      <c r="X451" s="96">
        <f>IF(S451=0,0,COUNTIFS('VÍNCULOS_CDF'!$O$6:$O$1005,A451,'VÍNCULOS_CDF'!$Y$6:$Y$1005,1))</f>
        <v>0</v>
      </c>
      <c r="Y451" s="96" t="str">
        <f>IF(S451=1,A451&amp;" | CDF "&amp;IF(B451="","(sem número)",B451)&amp;" | "&amp;IF(F451="","(sem destinador)",F451),"")</f>
        <v/>
      </c>
      <c r="Z451" s="96" t="str">
        <f>IF(S451=1,COUNTIF($S$6:S451,1),"")</f>
        <v/>
      </c>
      <c r="AA451" s="96">
        <f>IF(S451=0,0,IF(AND(OR(r_ini="",AND(ISNUMBER(D451),D451&gt;=r_ini)),OR(r_fim="",AND(ISNUMBER(D451),D451&lt;=r_fim)),OR(r_de="",r_de="(Todos)",F451=r_de)),1,0))</f>
        <v>0</v>
      </c>
      <c r="AB451" s="96" t="str">
        <f>IF(AA451=1,IF(F451="",0,COUNTIF($F$6:$F$505,"&lt;"&amp;F451))*1000+446,"")</f>
        <v/>
      </c>
    </row>
    <row r="452">
      <c r="A452" s="89" t="inlineStr">
        <is>
          <t>CDF-000447</t>
        </is>
      </c>
      <c r="B452" s="90" t="n"/>
      <c r="C452" s="91" t="n"/>
      <c r="D452" s="92" t="n"/>
      <c r="E452" s="91" t="n"/>
      <c r="F452" s="91" t="n"/>
      <c r="G452" s="91" t="n"/>
      <c r="H452" s="91" t="n"/>
      <c r="I452" s="91" t="n"/>
      <c r="J452" s="91" t="n"/>
      <c r="K452" s="92" t="n"/>
      <c r="L452" s="91" t="n"/>
      <c r="M452" s="91" t="n"/>
      <c r="N452" s="91" t="n"/>
      <c r="O452" s="93" t="str">
        <f>IF(S452=0,"",SUMIFS('VÍNCULOS_CDF'!$H$6:$H$1005,'VÍNCULOS_CDF'!$O$6:$O$1005,A452,'VÍNCULOS_CDF'!$V$6:$V$1005,1))</f>
        <v/>
      </c>
      <c r="P452" s="95" t="str">
        <f>IF(S452=0,"",COUNTIFS('VÍNCULOS_CDF'!$O$6:$O$1005,A452,'VÍNCULOS_CDF'!$N$6:$N$1005,1))</f>
        <v/>
      </c>
      <c r="Q452" s="94" t="str">
        <f>IF(S452=0,"",IF(OR(B452="",F452=""),"Informações incompletas",IF(U452=1,"Possível duplicidade",IF(V452=0,"Destinador fora do cadastro",IF(AND(J452="Sim",N(P452)=0),"Necessita revisão de vínculos",IF(X452&gt;0,"Necessita revisão de vínculos",IF(J452="Sim","Conferido",IF(I452="Sim","Localizado, aguardando conferência","Cadastrado"))))))))</f>
        <v/>
      </c>
      <c r="R452" s="95" t="str">
        <f>IF(S452=0,"",COUNTIFS('VÍNCULOS_CDF'!$O$6:$O$1005,A452,'VÍNCULOS_CDF'!$AB$6:$AB$1005,1))</f>
        <v/>
      </c>
      <c r="S452" s="96">
        <f>IF(COUNTA(B452:N452)&gt;0,1,0)</f>
        <v>0</v>
      </c>
      <c r="T452" s="96" t="str">
        <f>IF(AND(S452=1,B452&lt;&gt;""),C452&amp;"|"&amp;TRIM(B452),"")</f>
        <v/>
      </c>
      <c r="U452" s="96">
        <f>IF(T452="",0,IF(SUMPRODUCT(--($T$6:$T$505=T452))&gt;1,1,0))</f>
        <v>0</v>
      </c>
      <c r="V452" s="96">
        <f>IF(F452="",0,IF(ISNUMBER(MATCH(F452,cmp_dest,0)),1,0))</f>
        <v>0</v>
      </c>
      <c r="W452" s="96">
        <f>IF(AND(S452=1,B452&lt;&gt;"",F452&lt;&gt;"",J452="Sim",U452=0),1,0)</f>
        <v>0</v>
      </c>
      <c r="X452" s="96">
        <f>IF(S452=0,0,COUNTIFS('VÍNCULOS_CDF'!$O$6:$O$1005,A452,'VÍNCULOS_CDF'!$Y$6:$Y$1005,1))</f>
        <v>0</v>
      </c>
      <c r="Y452" s="96" t="str">
        <f>IF(S452=1,A452&amp;" | CDF "&amp;IF(B452="","(sem número)",B452)&amp;" | "&amp;IF(F452="","(sem destinador)",F452),"")</f>
        <v/>
      </c>
      <c r="Z452" s="96" t="str">
        <f>IF(S452=1,COUNTIF($S$6:S452,1),"")</f>
        <v/>
      </c>
      <c r="AA452" s="96">
        <f>IF(S452=0,0,IF(AND(OR(r_ini="",AND(ISNUMBER(D452),D452&gt;=r_ini)),OR(r_fim="",AND(ISNUMBER(D452),D452&lt;=r_fim)),OR(r_de="",r_de="(Todos)",F452=r_de)),1,0))</f>
        <v>0</v>
      </c>
      <c r="AB452" s="96" t="str">
        <f>IF(AA452=1,IF(F452="",0,COUNTIF($F$6:$F$505,"&lt;"&amp;F452))*1000+447,"")</f>
        <v/>
      </c>
    </row>
    <row r="453">
      <c r="A453" s="89" t="inlineStr">
        <is>
          <t>CDF-000448</t>
        </is>
      </c>
      <c r="B453" s="90" t="n"/>
      <c r="C453" s="91" t="n"/>
      <c r="D453" s="92" t="n"/>
      <c r="E453" s="91" t="n"/>
      <c r="F453" s="91" t="n"/>
      <c r="G453" s="91" t="n"/>
      <c r="H453" s="91" t="n"/>
      <c r="I453" s="91" t="n"/>
      <c r="J453" s="91" t="n"/>
      <c r="K453" s="92" t="n"/>
      <c r="L453" s="91" t="n"/>
      <c r="M453" s="91" t="n"/>
      <c r="N453" s="91" t="n"/>
      <c r="O453" s="93" t="str">
        <f>IF(S453=0,"",SUMIFS('VÍNCULOS_CDF'!$H$6:$H$1005,'VÍNCULOS_CDF'!$O$6:$O$1005,A453,'VÍNCULOS_CDF'!$V$6:$V$1005,1))</f>
        <v/>
      </c>
      <c r="P453" s="95" t="str">
        <f>IF(S453=0,"",COUNTIFS('VÍNCULOS_CDF'!$O$6:$O$1005,A453,'VÍNCULOS_CDF'!$N$6:$N$1005,1))</f>
        <v/>
      </c>
      <c r="Q453" s="94" t="str">
        <f>IF(S453=0,"",IF(OR(B453="",F453=""),"Informações incompletas",IF(U453=1,"Possível duplicidade",IF(V453=0,"Destinador fora do cadastro",IF(AND(J453="Sim",N(P453)=0),"Necessita revisão de vínculos",IF(X453&gt;0,"Necessita revisão de vínculos",IF(J453="Sim","Conferido",IF(I453="Sim","Localizado, aguardando conferência","Cadastrado"))))))))</f>
        <v/>
      </c>
      <c r="R453" s="95" t="str">
        <f>IF(S453=0,"",COUNTIFS('VÍNCULOS_CDF'!$O$6:$O$1005,A453,'VÍNCULOS_CDF'!$AB$6:$AB$1005,1))</f>
        <v/>
      </c>
      <c r="S453" s="96">
        <f>IF(COUNTA(B453:N453)&gt;0,1,0)</f>
        <v>0</v>
      </c>
      <c r="T453" s="96" t="str">
        <f>IF(AND(S453=1,B453&lt;&gt;""),C453&amp;"|"&amp;TRIM(B453),"")</f>
        <v/>
      </c>
      <c r="U453" s="96">
        <f>IF(T453="",0,IF(SUMPRODUCT(--($T$6:$T$505=T453))&gt;1,1,0))</f>
        <v>0</v>
      </c>
      <c r="V453" s="96">
        <f>IF(F453="",0,IF(ISNUMBER(MATCH(F453,cmp_dest,0)),1,0))</f>
        <v>0</v>
      </c>
      <c r="W453" s="96">
        <f>IF(AND(S453=1,B453&lt;&gt;"",F453&lt;&gt;"",J453="Sim",U453=0),1,0)</f>
        <v>0</v>
      </c>
      <c r="X453" s="96">
        <f>IF(S453=0,0,COUNTIFS('VÍNCULOS_CDF'!$O$6:$O$1005,A453,'VÍNCULOS_CDF'!$Y$6:$Y$1005,1))</f>
        <v>0</v>
      </c>
      <c r="Y453" s="96" t="str">
        <f>IF(S453=1,A453&amp;" | CDF "&amp;IF(B453="","(sem número)",B453)&amp;" | "&amp;IF(F453="","(sem destinador)",F453),"")</f>
        <v/>
      </c>
      <c r="Z453" s="96" t="str">
        <f>IF(S453=1,COUNTIF($S$6:S453,1),"")</f>
        <v/>
      </c>
      <c r="AA453" s="96">
        <f>IF(S453=0,0,IF(AND(OR(r_ini="",AND(ISNUMBER(D453),D453&gt;=r_ini)),OR(r_fim="",AND(ISNUMBER(D453),D453&lt;=r_fim)),OR(r_de="",r_de="(Todos)",F453=r_de)),1,0))</f>
        <v>0</v>
      </c>
      <c r="AB453" s="96" t="str">
        <f>IF(AA453=1,IF(F453="",0,COUNTIF($F$6:$F$505,"&lt;"&amp;F453))*1000+448,"")</f>
        <v/>
      </c>
    </row>
    <row r="454">
      <c r="A454" s="89" t="inlineStr">
        <is>
          <t>CDF-000449</t>
        </is>
      </c>
      <c r="B454" s="90" t="n"/>
      <c r="C454" s="91" t="n"/>
      <c r="D454" s="92" t="n"/>
      <c r="E454" s="91" t="n"/>
      <c r="F454" s="91" t="n"/>
      <c r="G454" s="91" t="n"/>
      <c r="H454" s="91" t="n"/>
      <c r="I454" s="91" t="n"/>
      <c r="J454" s="91" t="n"/>
      <c r="K454" s="92" t="n"/>
      <c r="L454" s="91" t="n"/>
      <c r="M454" s="91" t="n"/>
      <c r="N454" s="91" t="n"/>
      <c r="O454" s="93" t="str">
        <f>IF(S454=0,"",SUMIFS('VÍNCULOS_CDF'!$H$6:$H$1005,'VÍNCULOS_CDF'!$O$6:$O$1005,A454,'VÍNCULOS_CDF'!$V$6:$V$1005,1))</f>
        <v/>
      </c>
      <c r="P454" s="95" t="str">
        <f>IF(S454=0,"",COUNTIFS('VÍNCULOS_CDF'!$O$6:$O$1005,A454,'VÍNCULOS_CDF'!$N$6:$N$1005,1))</f>
        <v/>
      </c>
      <c r="Q454" s="94" t="str">
        <f>IF(S454=0,"",IF(OR(B454="",F454=""),"Informações incompletas",IF(U454=1,"Possível duplicidade",IF(V454=0,"Destinador fora do cadastro",IF(AND(J454="Sim",N(P454)=0),"Necessita revisão de vínculos",IF(X454&gt;0,"Necessita revisão de vínculos",IF(J454="Sim","Conferido",IF(I454="Sim","Localizado, aguardando conferência","Cadastrado"))))))))</f>
        <v/>
      </c>
      <c r="R454" s="95" t="str">
        <f>IF(S454=0,"",COUNTIFS('VÍNCULOS_CDF'!$O$6:$O$1005,A454,'VÍNCULOS_CDF'!$AB$6:$AB$1005,1))</f>
        <v/>
      </c>
      <c r="S454" s="96">
        <f>IF(COUNTA(B454:N454)&gt;0,1,0)</f>
        <v>0</v>
      </c>
      <c r="T454" s="96" t="str">
        <f>IF(AND(S454=1,B454&lt;&gt;""),C454&amp;"|"&amp;TRIM(B454),"")</f>
        <v/>
      </c>
      <c r="U454" s="96">
        <f>IF(T454="",0,IF(SUMPRODUCT(--($T$6:$T$505=T454))&gt;1,1,0))</f>
        <v>0</v>
      </c>
      <c r="V454" s="96">
        <f>IF(F454="",0,IF(ISNUMBER(MATCH(F454,cmp_dest,0)),1,0))</f>
        <v>0</v>
      </c>
      <c r="W454" s="96">
        <f>IF(AND(S454=1,B454&lt;&gt;"",F454&lt;&gt;"",J454="Sim",U454=0),1,0)</f>
        <v>0</v>
      </c>
      <c r="X454" s="96">
        <f>IF(S454=0,0,COUNTIFS('VÍNCULOS_CDF'!$O$6:$O$1005,A454,'VÍNCULOS_CDF'!$Y$6:$Y$1005,1))</f>
        <v>0</v>
      </c>
      <c r="Y454" s="96" t="str">
        <f>IF(S454=1,A454&amp;" | CDF "&amp;IF(B454="","(sem número)",B454)&amp;" | "&amp;IF(F454="","(sem destinador)",F454),"")</f>
        <v/>
      </c>
      <c r="Z454" s="96" t="str">
        <f>IF(S454=1,COUNTIF($S$6:S454,1),"")</f>
        <v/>
      </c>
      <c r="AA454" s="96">
        <f>IF(S454=0,0,IF(AND(OR(r_ini="",AND(ISNUMBER(D454),D454&gt;=r_ini)),OR(r_fim="",AND(ISNUMBER(D454),D454&lt;=r_fim)),OR(r_de="",r_de="(Todos)",F454=r_de)),1,0))</f>
        <v>0</v>
      </c>
      <c r="AB454" s="96" t="str">
        <f>IF(AA454=1,IF(F454="",0,COUNTIF($F$6:$F$505,"&lt;"&amp;F454))*1000+449,"")</f>
        <v/>
      </c>
    </row>
    <row r="455">
      <c r="A455" s="89" t="inlineStr">
        <is>
          <t>CDF-000450</t>
        </is>
      </c>
      <c r="B455" s="90" t="n"/>
      <c r="C455" s="91" t="n"/>
      <c r="D455" s="92" t="n"/>
      <c r="E455" s="91" t="n"/>
      <c r="F455" s="91" t="n"/>
      <c r="G455" s="91" t="n"/>
      <c r="H455" s="91" t="n"/>
      <c r="I455" s="91" t="n"/>
      <c r="J455" s="91" t="n"/>
      <c r="K455" s="92" t="n"/>
      <c r="L455" s="91" t="n"/>
      <c r="M455" s="91" t="n"/>
      <c r="N455" s="91" t="n"/>
      <c r="O455" s="93" t="str">
        <f>IF(S455=0,"",SUMIFS('VÍNCULOS_CDF'!$H$6:$H$1005,'VÍNCULOS_CDF'!$O$6:$O$1005,A455,'VÍNCULOS_CDF'!$V$6:$V$1005,1))</f>
        <v/>
      </c>
      <c r="P455" s="95" t="str">
        <f>IF(S455=0,"",COUNTIFS('VÍNCULOS_CDF'!$O$6:$O$1005,A455,'VÍNCULOS_CDF'!$N$6:$N$1005,1))</f>
        <v/>
      </c>
      <c r="Q455" s="94" t="str">
        <f>IF(S455=0,"",IF(OR(B455="",F455=""),"Informações incompletas",IF(U455=1,"Possível duplicidade",IF(V455=0,"Destinador fora do cadastro",IF(AND(J455="Sim",N(P455)=0),"Necessita revisão de vínculos",IF(X455&gt;0,"Necessita revisão de vínculos",IF(J455="Sim","Conferido",IF(I455="Sim","Localizado, aguardando conferência","Cadastrado"))))))))</f>
        <v/>
      </c>
      <c r="R455" s="95" t="str">
        <f>IF(S455=0,"",COUNTIFS('VÍNCULOS_CDF'!$O$6:$O$1005,A455,'VÍNCULOS_CDF'!$AB$6:$AB$1005,1))</f>
        <v/>
      </c>
      <c r="S455" s="96">
        <f>IF(COUNTA(B455:N455)&gt;0,1,0)</f>
        <v>0</v>
      </c>
      <c r="T455" s="96" t="str">
        <f>IF(AND(S455=1,B455&lt;&gt;""),C455&amp;"|"&amp;TRIM(B455),"")</f>
        <v/>
      </c>
      <c r="U455" s="96">
        <f>IF(T455="",0,IF(SUMPRODUCT(--($T$6:$T$505=T455))&gt;1,1,0))</f>
        <v>0</v>
      </c>
      <c r="V455" s="96">
        <f>IF(F455="",0,IF(ISNUMBER(MATCH(F455,cmp_dest,0)),1,0))</f>
        <v>0</v>
      </c>
      <c r="W455" s="96">
        <f>IF(AND(S455=1,B455&lt;&gt;"",F455&lt;&gt;"",J455="Sim",U455=0),1,0)</f>
        <v>0</v>
      </c>
      <c r="X455" s="96">
        <f>IF(S455=0,0,COUNTIFS('VÍNCULOS_CDF'!$O$6:$O$1005,A455,'VÍNCULOS_CDF'!$Y$6:$Y$1005,1))</f>
        <v>0</v>
      </c>
      <c r="Y455" s="96" t="str">
        <f>IF(S455=1,A455&amp;" | CDF "&amp;IF(B455="","(sem número)",B455)&amp;" | "&amp;IF(F455="","(sem destinador)",F455),"")</f>
        <v/>
      </c>
      <c r="Z455" s="96" t="str">
        <f>IF(S455=1,COUNTIF($S$6:S455,1),"")</f>
        <v/>
      </c>
      <c r="AA455" s="96">
        <f>IF(S455=0,0,IF(AND(OR(r_ini="",AND(ISNUMBER(D455),D455&gt;=r_ini)),OR(r_fim="",AND(ISNUMBER(D455),D455&lt;=r_fim)),OR(r_de="",r_de="(Todos)",F455=r_de)),1,0))</f>
        <v>0</v>
      </c>
      <c r="AB455" s="96" t="str">
        <f>IF(AA455=1,IF(F455="",0,COUNTIF($F$6:$F$505,"&lt;"&amp;F455))*1000+450,"")</f>
        <v/>
      </c>
    </row>
    <row r="456">
      <c r="A456" s="89" t="inlineStr">
        <is>
          <t>CDF-000451</t>
        </is>
      </c>
      <c r="B456" s="90" t="n"/>
      <c r="C456" s="91" t="n"/>
      <c r="D456" s="92" t="n"/>
      <c r="E456" s="91" t="n"/>
      <c r="F456" s="91" t="n"/>
      <c r="G456" s="91" t="n"/>
      <c r="H456" s="91" t="n"/>
      <c r="I456" s="91" t="n"/>
      <c r="J456" s="91" t="n"/>
      <c r="K456" s="92" t="n"/>
      <c r="L456" s="91" t="n"/>
      <c r="M456" s="91" t="n"/>
      <c r="N456" s="91" t="n"/>
      <c r="O456" s="93" t="str">
        <f>IF(S456=0,"",SUMIFS('VÍNCULOS_CDF'!$H$6:$H$1005,'VÍNCULOS_CDF'!$O$6:$O$1005,A456,'VÍNCULOS_CDF'!$V$6:$V$1005,1))</f>
        <v/>
      </c>
      <c r="P456" s="95" t="str">
        <f>IF(S456=0,"",COUNTIFS('VÍNCULOS_CDF'!$O$6:$O$1005,A456,'VÍNCULOS_CDF'!$N$6:$N$1005,1))</f>
        <v/>
      </c>
      <c r="Q456" s="94" t="str">
        <f>IF(S456=0,"",IF(OR(B456="",F456=""),"Informações incompletas",IF(U456=1,"Possível duplicidade",IF(V456=0,"Destinador fora do cadastro",IF(AND(J456="Sim",N(P456)=0),"Necessita revisão de vínculos",IF(X456&gt;0,"Necessita revisão de vínculos",IF(J456="Sim","Conferido",IF(I456="Sim","Localizado, aguardando conferência","Cadastrado"))))))))</f>
        <v/>
      </c>
      <c r="R456" s="95" t="str">
        <f>IF(S456=0,"",COUNTIFS('VÍNCULOS_CDF'!$O$6:$O$1005,A456,'VÍNCULOS_CDF'!$AB$6:$AB$1005,1))</f>
        <v/>
      </c>
      <c r="S456" s="96">
        <f>IF(COUNTA(B456:N456)&gt;0,1,0)</f>
        <v>0</v>
      </c>
      <c r="T456" s="96" t="str">
        <f>IF(AND(S456=1,B456&lt;&gt;""),C456&amp;"|"&amp;TRIM(B456),"")</f>
        <v/>
      </c>
      <c r="U456" s="96">
        <f>IF(T456="",0,IF(SUMPRODUCT(--($T$6:$T$505=T456))&gt;1,1,0))</f>
        <v>0</v>
      </c>
      <c r="V456" s="96">
        <f>IF(F456="",0,IF(ISNUMBER(MATCH(F456,cmp_dest,0)),1,0))</f>
        <v>0</v>
      </c>
      <c r="W456" s="96">
        <f>IF(AND(S456=1,B456&lt;&gt;"",F456&lt;&gt;"",J456="Sim",U456=0),1,0)</f>
        <v>0</v>
      </c>
      <c r="X456" s="96">
        <f>IF(S456=0,0,COUNTIFS('VÍNCULOS_CDF'!$O$6:$O$1005,A456,'VÍNCULOS_CDF'!$Y$6:$Y$1005,1))</f>
        <v>0</v>
      </c>
      <c r="Y456" s="96" t="str">
        <f>IF(S456=1,A456&amp;" | CDF "&amp;IF(B456="","(sem número)",B456)&amp;" | "&amp;IF(F456="","(sem destinador)",F456),"")</f>
        <v/>
      </c>
      <c r="Z456" s="96" t="str">
        <f>IF(S456=1,COUNTIF($S$6:S456,1),"")</f>
        <v/>
      </c>
      <c r="AA456" s="96">
        <f>IF(S456=0,0,IF(AND(OR(r_ini="",AND(ISNUMBER(D456),D456&gt;=r_ini)),OR(r_fim="",AND(ISNUMBER(D456),D456&lt;=r_fim)),OR(r_de="",r_de="(Todos)",F456=r_de)),1,0))</f>
        <v>0</v>
      </c>
      <c r="AB456" s="96" t="str">
        <f>IF(AA456=1,IF(F456="",0,COUNTIF($F$6:$F$505,"&lt;"&amp;F456))*1000+451,"")</f>
        <v/>
      </c>
    </row>
    <row r="457">
      <c r="A457" s="89" t="inlineStr">
        <is>
          <t>CDF-000452</t>
        </is>
      </c>
      <c r="B457" s="90" t="n"/>
      <c r="C457" s="91" t="n"/>
      <c r="D457" s="92" t="n"/>
      <c r="E457" s="91" t="n"/>
      <c r="F457" s="91" t="n"/>
      <c r="G457" s="91" t="n"/>
      <c r="H457" s="91" t="n"/>
      <c r="I457" s="91" t="n"/>
      <c r="J457" s="91" t="n"/>
      <c r="K457" s="92" t="n"/>
      <c r="L457" s="91" t="n"/>
      <c r="M457" s="91" t="n"/>
      <c r="N457" s="91" t="n"/>
      <c r="O457" s="93" t="str">
        <f>IF(S457=0,"",SUMIFS('VÍNCULOS_CDF'!$H$6:$H$1005,'VÍNCULOS_CDF'!$O$6:$O$1005,A457,'VÍNCULOS_CDF'!$V$6:$V$1005,1))</f>
        <v/>
      </c>
      <c r="P457" s="95" t="str">
        <f>IF(S457=0,"",COUNTIFS('VÍNCULOS_CDF'!$O$6:$O$1005,A457,'VÍNCULOS_CDF'!$N$6:$N$1005,1))</f>
        <v/>
      </c>
      <c r="Q457" s="94" t="str">
        <f>IF(S457=0,"",IF(OR(B457="",F457=""),"Informações incompletas",IF(U457=1,"Possível duplicidade",IF(V457=0,"Destinador fora do cadastro",IF(AND(J457="Sim",N(P457)=0),"Necessita revisão de vínculos",IF(X457&gt;0,"Necessita revisão de vínculos",IF(J457="Sim","Conferido",IF(I457="Sim","Localizado, aguardando conferência","Cadastrado"))))))))</f>
        <v/>
      </c>
      <c r="R457" s="95" t="str">
        <f>IF(S457=0,"",COUNTIFS('VÍNCULOS_CDF'!$O$6:$O$1005,A457,'VÍNCULOS_CDF'!$AB$6:$AB$1005,1))</f>
        <v/>
      </c>
      <c r="S457" s="96">
        <f>IF(COUNTA(B457:N457)&gt;0,1,0)</f>
        <v>0</v>
      </c>
      <c r="T457" s="96" t="str">
        <f>IF(AND(S457=1,B457&lt;&gt;""),C457&amp;"|"&amp;TRIM(B457),"")</f>
        <v/>
      </c>
      <c r="U457" s="96">
        <f>IF(T457="",0,IF(SUMPRODUCT(--($T$6:$T$505=T457))&gt;1,1,0))</f>
        <v>0</v>
      </c>
      <c r="V457" s="96">
        <f>IF(F457="",0,IF(ISNUMBER(MATCH(F457,cmp_dest,0)),1,0))</f>
        <v>0</v>
      </c>
      <c r="W457" s="96">
        <f>IF(AND(S457=1,B457&lt;&gt;"",F457&lt;&gt;"",J457="Sim",U457=0),1,0)</f>
        <v>0</v>
      </c>
      <c r="X457" s="96">
        <f>IF(S457=0,0,COUNTIFS('VÍNCULOS_CDF'!$O$6:$O$1005,A457,'VÍNCULOS_CDF'!$Y$6:$Y$1005,1))</f>
        <v>0</v>
      </c>
      <c r="Y457" s="96" t="str">
        <f>IF(S457=1,A457&amp;" | CDF "&amp;IF(B457="","(sem número)",B457)&amp;" | "&amp;IF(F457="","(sem destinador)",F457),"")</f>
        <v/>
      </c>
      <c r="Z457" s="96" t="str">
        <f>IF(S457=1,COUNTIF($S$6:S457,1),"")</f>
        <v/>
      </c>
      <c r="AA457" s="96">
        <f>IF(S457=0,0,IF(AND(OR(r_ini="",AND(ISNUMBER(D457),D457&gt;=r_ini)),OR(r_fim="",AND(ISNUMBER(D457),D457&lt;=r_fim)),OR(r_de="",r_de="(Todos)",F457=r_de)),1,0))</f>
        <v>0</v>
      </c>
      <c r="AB457" s="96" t="str">
        <f>IF(AA457=1,IF(F457="",0,COUNTIF($F$6:$F$505,"&lt;"&amp;F457))*1000+452,"")</f>
        <v/>
      </c>
    </row>
    <row r="458">
      <c r="A458" s="89" t="inlineStr">
        <is>
          <t>CDF-000453</t>
        </is>
      </c>
      <c r="B458" s="90" t="n"/>
      <c r="C458" s="91" t="n"/>
      <c r="D458" s="92" t="n"/>
      <c r="E458" s="91" t="n"/>
      <c r="F458" s="91" t="n"/>
      <c r="G458" s="91" t="n"/>
      <c r="H458" s="91" t="n"/>
      <c r="I458" s="91" t="n"/>
      <c r="J458" s="91" t="n"/>
      <c r="K458" s="92" t="n"/>
      <c r="L458" s="91" t="n"/>
      <c r="M458" s="91" t="n"/>
      <c r="N458" s="91" t="n"/>
      <c r="O458" s="93" t="str">
        <f>IF(S458=0,"",SUMIFS('VÍNCULOS_CDF'!$H$6:$H$1005,'VÍNCULOS_CDF'!$O$6:$O$1005,A458,'VÍNCULOS_CDF'!$V$6:$V$1005,1))</f>
        <v/>
      </c>
      <c r="P458" s="95" t="str">
        <f>IF(S458=0,"",COUNTIFS('VÍNCULOS_CDF'!$O$6:$O$1005,A458,'VÍNCULOS_CDF'!$N$6:$N$1005,1))</f>
        <v/>
      </c>
      <c r="Q458" s="94" t="str">
        <f>IF(S458=0,"",IF(OR(B458="",F458=""),"Informações incompletas",IF(U458=1,"Possível duplicidade",IF(V458=0,"Destinador fora do cadastro",IF(AND(J458="Sim",N(P458)=0),"Necessita revisão de vínculos",IF(X458&gt;0,"Necessita revisão de vínculos",IF(J458="Sim","Conferido",IF(I458="Sim","Localizado, aguardando conferência","Cadastrado"))))))))</f>
        <v/>
      </c>
      <c r="R458" s="95" t="str">
        <f>IF(S458=0,"",COUNTIFS('VÍNCULOS_CDF'!$O$6:$O$1005,A458,'VÍNCULOS_CDF'!$AB$6:$AB$1005,1))</f>
        <v/>
      </c>
      <c r="S458" s="96">
        <f>IF(COUNTA(B458:N458)&gt;0,1,0)</f>
        <v>0</v>
      </c>
      <c r="T458" s="96" t="str">
        <f>IF(AND(S458=1,B458&lt;&gt;""),C458&amp;"|"&amp;TRIM(B458),"")</f>
        <v/>
      </c>
      <c r="U458" s="96">
        <f>IF(T458="",0,IF(SUMPRODUCT(--($T$6:$T$505=T458))&gt;1,1,0))</f>
        <v>0</v>
      </c>
      <c r="V458" s="96">
        <f>IF(F458="",0,IF(ISNUMBER(MATCH(F458,cmp_dest,0)),1,0))</f>
        <v>0</v>
      </c>
      <c r="W458" s="96">
        <f>IF(AND(S458=1,B458&lt;&gt;"",F458&lt;&gt;"",J458="Sim",U458=0),1,0)</f>
        <v>0</v>
      </c>
      <c r="X458" s="96">
        <f>IF(S458=0,0,COUNTIFS('VÍNCULOS_CDF'!$O$6:$O$1005,A458,'VÍNCULOS_CDF'!$Y$6:$Y$1005,1))</f>
        <v>0</v>
      </c>
      <c r="Y458" s="96" t="str">
        <f>IF(S458=1,A458&amp;" | CDF "&amp;IF(B458="","(sem número)",B458)&amp;" | "&amp;IF(F458="","(sem destinador)",F458),"")</f>
        <v/>
      </c>
      <c r="Z458" s="96" t="str">
        <f>IF(S458=1,COUNTIF($S$6:S458,1),"")</f>
        <v/>
      </c>
      <c r="AA458" s="96">
        <f>IF(S458=0,0,IF(AND(OR(r_ini="",AND(ISNUMBER(D458),D458&gt;=r_ini)),OR(r_fim="",AND(ISNUMBER(D458),D458&lt;=r_fim)),OR(r_de="",r_de="(Todos)",F458=r_de)),1,0))</f>
        <v>0</v>
      </c>
      <c r="AB458" s="96" t="str">
        <f>IF(AA458=1,IF(F458="",0,COUNTIF($F$6:$F$505,"&lt;"&amp;F458))*1000+453,"")</f>
        <v/>
      </c>
    </row>
    <row r="459">
      <c r="A459" s="89" t="inlineStr">
        <is>
          <t>CDF-000454</t>
        </is>
      </c>
      <c r="B459" s="90" t="n"/>
      <c r="C459" s="91" t="n"/>
      <c r="D459" s="92" t="n"/>
      <c r="E459" s="91" t="n"/>
      <c r="F459" s="91" t="n"/>
      <c r="G459" s="91" t="n"/>
      <c r="H459" s="91" t="n"/>
      <c r="I459" s="91" t="n"/>
      <c r="J459" s="91" t="n"/>
      <c r="K459" s="92" t="n"/>
      <c r="L459" s="91" t="n"/>
      <c r="M459" s="91" t="n"/>
      <c r="N459" s="91" t="n"/>
      <c r="O459" s="93" t="str">
        <f>IF(S459=0,"",SUMIFS('VÍNCULOS_CDF'!$H$6:$H$1005,'VÍNCULOS_CDF'!$O$6:$O$1005,A459,'VÍNCULOS_CDF'!$V$6:$V$1005,1))</f>
        <v/>
      </c>
      <c r="P459" s="95" t="str">
        <f>IF(S459=0,"",COUNTIFS('VÍNCULOS_CDF'!$O$6:$O$1005,A459,'VÍNCULOS_CDF'!$N$6:$N$1005,1))</f>
        <v/>
      </c>
      <c r="Q459" s="94" t="str">
        <f>IF(S459=0,"",IF(OR(B459="",F459=""),"Informações incompletas",IF(U459=1,"Possível duplicidade",IF(V459=0,"Destinador fora do cadastro",IF(AND(J459="Sim",N(P459)=0),"Necessita revisão de vínculos",IF(X459&gt;0,"Necessita revisão de vínculos",IF(J459="Sim","Conferido",IF(I459="Sim","Localizado, aguardando conferência","Cadastrado"))))))))</f>
        <v/>
      </c>
      <c r="R459" s="95" t="str">
        <f>IF(S459=0,"",COUNTIFS('VÍNCULOS_CDF'!$O$6:$O$1005,A459,'VÍNCULOS_CDF'!$AB$6:$AB$1005,1))</f>
        <v/>
      </c>
      <c r="S459" s="96">
        <f>IF(COUNTA(B459:N459)&gt;0,1,0)</f>
        <v>0</v>
      </c>
      <c r="T459" s="96" t="str">
        <f>IF(AND(S459=1,B459&lt;&gt;""),C459&amp;"|"&amp;TRIM(B459),"")</f>
        <v/>
      </c>
      <c r="U459" s="96">
        <f>IF(T459="",0,IF(SUMPRODUCT(--($T$6:$T$505=T459))&gt;1,1,0))</f>
        <v>0</v>
      </c>
      <c r="V459" s="96">
        <f>IF(F459="",0,IF(ISNUMBER(MATCH(F459,cmp_dest,0)),1,0))</f>
        <v>0</v>
      </c>
      <c r="W459" s="96">
        <f>IF(AND(S459=1,B459&lt;&gt;"",F459&lt;&gt;"",J459="Sim",U459=0),1,0)</f>
        <v>0</v>
      </c>
      <c r="X459" s="96">
        <f>IF(S459=0,0,COUNTIFS('VÍNCULOS_CDF'!$O$6:$O$1005,A459,'VÍNCULOS_CDF'!$Y$6:$Y$1005,1))</f>
        <v>0</v>
      </c>
      <c r="Y459" s="96" t="str">
        <f>IF(S459=1,A459&amp;" | CDF "&amp;IF(B459="","(sem número)",B459)&amp;" | "&amp;IF(F459="","(sem destinador)",F459),"")</f>
        <v/>
      </c>
      <c r="Z459" s="96" t="str">
        <f>IF(S459=1,COUNTIF($S$6:S459,1),"")</f>
        <v/>
      </c>
      <c r="AA459" s="96">
        <f>IF(S459=0,0,IF(AND(OR(r_ini="",AND(ISNUMBER(D459),D459&gt;=r_ini)),OR(r_fim="",AND(ISNUMBER(D459),D459&lt;=r_fim)),OR(r_de="",r_de="(Todos)",F459=r_de)),1,0))</f>
        <v>0</v>
      </c>
      <c r="AB459" s="96" t="str">
        <f>IF(AA459=1,IF(F459="",0,COUNTIF($F$6:$F$505,"&lt;"&amp;F459))*1000+454,"")</f>
        <v/>
      </c>
    </row>
    <row r="460">
      <c r="A460" s="89" t="inlineStr">
        <is>
          <t>CDF-000455</t>
        </is>
      </c>
      <c r="B460" s="90" t="n"/>
      <c r="C460" s="91" t="n"/>
      <c r="D460" s="92" t="n"/>
      <c r="E460" s="91" t="n"/>
      <c r="F460" s="91" t="n"/>
      <c r="G460" s="91" t="n"/>
      <c r="H460" s="91" t="n"/>
      <c r="I460" s="91" t="n"/>
      <c r="J460" s="91" t="n"/>
      <c r="K460" s="92" t="n"/>
      <c r="L460" s="91" t="n"/>
      <c r="M460" s="91" t="n"/>
      <c r="N460" s="91" t="n"/>
      <c r="O460" s="93" t="str">
        <f>IF(S460=0,"",SUMIFS('VÍNCULOS_CDF'!$H$6:$H$1005,'VÍNCULOS_CDF'!$O$6:$O$1005,A460,'VÍNCULOS_CDF'!$V$6:$V$1005,1))</f>
        <v/>
      </c>
      <c r="P460" s="95" t="str">
        <f>IF(S460=0,"",COUNTIFS('VÍNCULOS_CDF'!$O$6:$O$1005,A460,'VÍNCULOS_CDF'!$N$6:$N$1005,1))</f>
        <v/>
      </c>
      <c r="Q460" s="94" t="str">
        <f>IF(S460=0,"",IF(OR(B460="",F460=""),"Informações incompletas",IF(U460=1,"Possível duplicidade",IF(V460=0,"Destinador fora do cadastro",IF(AND(J460="Sim",N(P460)=0),"Necessita revisão de vínculos",IF(X460&gt;0,"Necessita revisão de vínculos",IF(J460="Sim","Conferido",IF(I460="Sim","Localizado, aguardando conferência","Cadastrado"))))))))</f>
        <v/>
      </c>
      <c r="R460" s="95" t="str">
        <f>IF(S460=0,"",COUNTIFS('VÍNCULOS_CDF'!$O$6:$O$1005,A460,'VÍNCULOS_CDF'!$AB$6:$AB$1005,1))</f>
        <v/>
      </c>
      <c r="S460" s="96">
        <f>IF(COUNTA(B460:N460)&gt;0,1,0)</f>
        <v>0</v>
      </c>
      <c r="T460" s="96" t="str">
        <f>IF(AND(S460=1,B460&lt;&gt;""),C460&amp;"|"&amp;TRIM(B460),"")</f>
        <v/>
      </c>
      <c r="U460" s="96">
        <f>IF(T460="",0,IF(SUMPRODUCT(--($T$6:$T$505=T460))&gt;1,1,0))</f>
        <v>0</v>
      </c>
      <c r="V460" s="96">
        <f>IF(F460="",0,IF(ISNUMBER(MATCH(F460,cmp_dest,0)),1,0))</f>
        <v>0</v>
      </c>
      <c r="W460" s="96">
        <f>IF(AND(S460=1,B460&lt;&gt;"",F460&lt;&gt;"",J460="Sim",U460=0),1,0)</f>
        <v>0</v>
      </c>
      <c r="X460" s="96">
        <f>IF(S460=0,0,COUNTIFS('VÍNCULOS_CDF'!$O$6:$O$1005,A460,'VÍNCULOS_CDF'!$Y$6:$Y$1005,1))</f>
        <v>0</v>
      </c>
      <c r="Y460" s="96" t="str">
        <f>IF(S460=1,A460&amp;" | CDF "&amp;IF(B460="","(sem número)",B460)&amp;" | "&amp;IF(F460="","(sem destinador)",F460),"")</f>
        <v/>
      </c>
      <c r="Z460" s="96" t="str">
        <f>IF(S460=1,COUNTIF($S$6:S460,1),"")</f>
        <v/>
      </c>
      <c r="AA460" s="96">
        <f>IF(S460=0,0,IF(AND(OR(r_ini="",AND(ISNUMBER(D460),D460&gt;=r_ini)),OR(r_fim="",AND(ISNUMBER(D460),D460&lt;=r_fim)),OR(r_de="",r_de="(Todos)",F460=r_de)),1,0))</f>
        <v>0</v>
      </c>
      <c r="AB460" s="96" t="str">
        <f>IF(AA460=1,IF(F460="",0,COUNTIF($F$6:$F$505,"&lt;"&amp;F460))*1000+455,"")</f>
        <v/>
      </c>
    </row>
    <row r="461">
      <c r="A461" s="89" t="inlineStr">
        <is>
          <t>CDF-000456</t>
        </is>
      </c>
      <c r="B461" s="90" t="n"/>
      <c r="C461" s="91" t="n"/>
      <c r="D461" s="92" t="n"/>
      <c r="E461" s="91" t="n"/>
      <c r="F461" s="91" t="n"/>
      <c r="G461" s="91" t="n"/>
      <c r="H461" s="91" t="n"/>
      <c r="I461" s="91" t="n"/>
      <c r="J461" s="91" t="n"/>
      <c r="K461" s="92" t="n"/>
      <c r="L461" s="91" t="n"/>
      <c r="M461" s="91" t="n"/>
      <c r="N461" s="91" t="n"/>
      <c r="O461" s="93" t="str">
        <f>IF(S461=0,"",SUMIFS('VÍNCULOS_CDF'!$H$6:$H$1005,'VÍNCULOS_CDF'!$O$6:$O$1005,A461,'VÍNCULOS_CDF'!$V$6:$V$1005,1))</f>
        <v/>
      </c>
      <c r="P461" s="95" t="str">
        <f>IF(S461=0,"",COUNTIFS('VÍNCULOS_CDF'!$O$6:$O$1005,A461,'VÍNCULOS_CDF'!$N$6:$N$1005,1))</f>
        <v/>
      </c>
      <c r="Q461" s="94" t="str">
        <f>IF(S461=0,"",IF(OR(B461="",F461=""),"Informações incompletas",IF(U461=1,"Possível duplicidade",IF(V461=0,"Destinador fora do cadastro",IF(AND(J461="Sim",N(P461)=0),"Necessita revisão de vínculos",IF(X461&gt;0,"Necessita revisão de vínculos",IF(J461="Sim","Conferido",IF(I461="Sim","Localizado, aguardando conferência","Cadastrado"))))))))</f>
        <v/>
      </c>
      <c r="R461" s="95" t="str">
        <f>IF(S461=0,"",COUNTIFS('VÍNCULOS_CDF'!$O$6:$O$1005,A461,'VÍNCULOS_CDF'!$AB$6:$AB$1005,1))</f>
        <v/>
      </c>
      <c r="S461" s="96">
        <f>IF(COUNTA(B461:N461)&gt;0,1,0)</f>
        <v>0</v>
      </c>
      <c r="T461" s="96" t="str">
        <f>IF(AND(S461=1,B461&lt;&gt;""),C461&amp;"|"&amp;TRIM(B461),"")</f>
        <v/>
      </c>
      <c r="U461" s="96">
        <f>IF(T461="",0,IF(SUMPRODUCT(--($T$6:$T$505=T461))&gt;1,1,0))</f>
        <v>0</v>
      </c>
      <c r="V461" s="96">
        <f>IF(F461="",0,IF(ISNUMBER(MATCH(F461,cmp_dest,0)),1,0))</f>
        <v>0</v>
      </c>
      <c r="W461" s="96">
        <f>IF(AND(S461=1,B461&lt;&gt;"",F461&lt;&gt;"",J461="Sim",U461=0),1,0)</f>
        <v>0</v>
      </c>
      <c r="X461" s="96">
        <f>IF(S461=0,0,COUNTIFS('VÍNCULOS_CDF'!$O$6:$O$1005,A461,'VÍNCULOS_CDF'!$Y$6:$Y$1005,1))</f>
        <v>0</v>
      </c>
      <c r="Y461" s="96" t="str">
        <f>IF(S461=1,A461&amp;" | CDF "&amp;IF(B461="","(sem número)",B461)&amp;" | "&amp;IF(F461="","(sem destinador)",F461),"")</f>
        <v/>
      </c>
      <c r="Z461" s="96" t="str">
        <f>IF(S461=1,COUNTIF($S$6:S461,1),"")</f>
        <v/>
      </c>
      <c r="AA461" s="96">
        <f>IF(S461=0,0,IF(AND(OR(r_ini="",AND(ISNUMBER(D461),D461&gt;=r_ini)),OR(r_fim="",AND(ISNUMBER(D461),D461&lt;=r_fim)),OR(r_de="",r_de="(Todos)",F461=r_de)),1,0))</f>
        <v>0</v>
      </c>
      <c r="AB461" s="96" t="str">
        <f>IF(AA461=1,IF(F461="",0,COUNTIF($F$6:$F$505,"&lt;"&amp;F461))*1000+456,"")</f>
        <v/>
      </c>
    </row>
    <row r="462">
      <c r="A462" s="89" t="inlineStr">
        <is>
          <t>CDF-000457</t>
        </is>
      </c>
      <c r="B462" s="90" t="n"/>
      <c r="C462" s="91" t="n"/>
      <c r="D462" s="92" t="n"/>
      <c r="E462" s="91" t="n"/>
      <c r="F462" s="91" t="n"/>
      <c r="G462" s="91" t="n"/>
      <c r="H462" s="91" t="n"/>
      <c r="I462" s="91" t="n"/>
      <c r="J462" s="91" t="n"/>
      <c r="K462" s="92" t="n"/>
      <c r="L462" s="91" t="n"/>
      <c r="M462" s="91" t="n"/>
      <c r="N462" s="91" t="n"/>
      <c r="O462" s="93" t="str">
        <f>IF(S462=0,"",SUMIFS('VÍNCULOS_CDF'!$H$6:$H$1005,'VÍNCULOS_CDF'!$O$6:$O$1005,A462,'VÍNCULOS_CDF'!$V$6:$V$1005,1))</f>
        <v/>
      </c>
      <c r="P462" s="95" t="str">
        <f>IF(S462=0,"",COUNTIFS('VÍNCULOS_CDF'!$O$6:$O$1005,A462,'VÍNCULOS_CDF'!$N$6:$N$1005,1))</f>
        <v/>
      </c>
      <c r="Q462" s="94" t="str">
        <f>IF(S462=0,"",IF(OR(B462="",F462=""),"Informações incompletas",IF(U462=1,"Possível duplicidade",IF(V462=0,"Destinador fora do cadastro",IF(AND(J462="Sim",N(P462)=0),"Necessita revisão de vínculos",IF(X462&gt;0,"Necessita revisão de vínculos",IF(J462="Sim","Conferido",IF(I462="Sim","Localizado, aguardando conferência","Cadastrado"))))))))</f>
        <v/>
      </c>
      <c r="R462" s="95" t="str">
        <f>IF(S462=0,"",COUNTIFS('VÍNCULOS_CDF'!$O$6:$O$1005,A462,'VÍNCULOS_CDF'!$AB$6:$AB$1005,1))</f>
        <v/>
      </c>
      <c r="S462" s="96">
        <f>IF(COUNTA(B462:N462)&gt;0,1,0)</f>
        <v>0</v>
      </c>
      <c r="T462" s="96" t="str">
        <f>IF(AND(S462=1,B462&lt;&gt;""),C462&amp;"|"&amp;TRIM(B462),"")</f>
        <v/>
      </c>
      <c r="U462" s="96">
        <f>IF(T462="",0,IF(SUMPRODUCT(--($T$6:$T$505=T462))&gt;1,1,0))</f>
        <v>0</v>
      </c>
      <c r="V462" s="96">
        <f>IF(F462="",0,IF(ISNUMBER(MATCH(F462,cmp_dest,0)),1,0))</f>
        <v>0</v>
      </c>
      <c r="W462" s="96">
        <f>IF(AND(S462=1,B462&lt;&gt;"",F462&lt;&gt;"",J462="Sim",U462=0),1,0)</f>
        <v>0</v>
      </c>
      <c r="X462" s="96">
        <f>IF(S462=0,0,COUNTIFS('VÍNCULOS_CDF'!$O$6:$O$1005,A462,'VÍNCULOS_CDF'!$Y$6:$Y$1005,1))</f>
        <v>0</v>
      </c>
      <c r="Y462" s="96" t="str">
        <f>IF(S462=1,A462&amp;" | CDF "&amp;IF(B462="","(sem número)",B462)&amp;" | "&amp;IF(F462="","(sem destinador)",F462),"")</f>
        <v/>
      </c>
      <c r="Z462" s="96" t="str">
        <f>IF(S462=1,COUNTIF($S$6:S462,1),"")</f>
        <v/>
      </c>
      <c r="AA462" s="96">
        <f>IF(S462=0,0,IF(AND(OR(r_ini="",AND(ISNUMBER(D462),D462&gt;=r_ini)),OR(r_fim="",AND(ISNUMBER(D462),D462&lt;=r_fim)),OR(r_de="",r_de="(Todos)",F462=r_de)),1,0))</f>
        <v>0</v>
      </c>
      <c r="AB462" s="96" t="str">
        <f>IF(AA462=1,IF(F462="",0,COUNTIF($F$6:$F$505,"&lt;"&amp;F462))*1000+457,"")</f>
        <v/>
      </c>
    </row>
    <row r="463">
      <c r="A463" s="89" t="inlineStr">
        <is>
          <t>CDF-000458</t>
        </is>
      </c>
      <c r="B463" s="90" t="n"/>
      <c r="C463" s="91" t="n"/>
      <c r="D463" s="92" t="n"/>
      <c r="E463" s="91" t="n"/>
      <c r="F463" s="91" t="n"/>
      <c r="G463" s="91" t="n"/>
      <c r="H463" s="91" t="n"/>
      <c r="I463" s="91" t="n"/>
      <c r="J463" s="91" t="n"/>
      <c r="K463" s="92" t="n"/>
      <c r="L463" s="91" t="n"/>
      <c r="M463" s="91" t="n"/>
      <c r="N463" s="91" t="n"/>
      <c r="O463" s="93" t="str">
        <f>IF(S463=0,"",SUMIFS('VÍNCULOS_CDF'!$H$6:$H$1005,'VÍNCULOS_CDF'!$O$6:$O$1005,A463,'VÍNCULOS_CDF'!$V$6:$V$1005,1))</f>
        <v/>
      </c>
      <c r="P463" s="95" t="str">
        <f>IF(S463=0,"",COUNTIFS('VÍNCULOS_CDF'!$O$6:$O$1005,A463,'VÍNCULOS_CDF'!$N$6:$N$1005,1))</f>
        <v/>
      </c>
      <c r="Q463" s="94" t="str">
        <f>IF(S463=0,"",IF(OR(B463="",F463=""),"Informações incompletas",IF(U463=1,"Possível duplicidade",IF(V463=0,"Destinador fora do cadastro",IF(AND(J463="Sim",N(P463)=0),"Necessita revisão de vínculos",IF(X463&gt;0,"Necessita revisão de vínculos",IF(J463="Sim","Conferido",IF(I463="Sim","Localizado, aguardando conferência","Cadastrado"))))))))</f>
        <v/>
      </c>
      <c r="R463" s="95" t="str">
        <f>IF(S463=0,"",COUNTIFS('VÍNCULOS_CDF'!$O$6:$O$1005,A463,'VÍNCULOS_CDF'!$AB$6:$AB$1005,1))</f>
        <v/>
      </c>
      <c r="S463" s="96">
        <f>IF(COUNTA(B463:N463)&gt;0,1,0)</f>
        <v>0</v>
      </c>
      <c r="T463" s="96" t="str">
        <f>IF(AND(S463=1,B463&lt;&gt;""),C463&amp;"|"&amp;TRIM(B463),"")</f>
        <v/>
      </c>
      <c r="U463" s="96">
        <f>IF(T463="",0,IF(SUMPRODUCT(--($T$6:$T$505=T463))&gt;1,1,0))</f>
        <v>0</v>
      </c>
      <c r="V463" s="96">
        <f>IF(F463="",0,IF(ISNUMBER(MATCH(F463,cmp_dest,0)),1,0))</f>
        <v>0</v>
      </c>
      <c r="W463" s="96">
        <f>IF(AND(S463=1,B463&lt;&gt;"",F463&lt;&gt;"",J463="Sim",U463=0),1,0)</f>
        <v>0</v>
      </c>
      <c r="X463" s="96">
        <f>IF(S463=0,0,COUNTIFS('VÍNCULOS_CDF'!$O$6:$O$1005,A463,'VÍNCULOS_CDF'!$Y$6:$Y$1005,1))</f>
        <v>0</v>
      </c>
      <c r="Y463" s="96" t="str">
        <f>IF(S463=1,A463&amp;" | CDF "&amp;IF(B463="","(sem número)",B463)&amp;" | "&amp;IF(F463="","(sem destinador)",F463),"")</f>
        <v/>
      </c>
      <c r="Z463" s="96" t="str">
        <f>IF(S463=1,COUNTIF($S$6:S463,1),"")</f>
        <v/>
      </c>
      <c r="AA463" s="96">
        <f>IF(S463=0,0,IF(AND(OR(r_ini="",AND(ISNUMBER(D463),D463&gt;=r_ini)),OR(r_fim="",AND(ISNUMBER(D463),D463&lt;=r_fim)),OR(r_de="",r_de="(Todos)",F463=r_de)),1,0))</f>
        <v>0</v>
      </c>
      <c r="AB463" s="96" t="str">
        <f>IF(AA463=1,IF(F463="",0,COUNTIF($F$6:$F$505,"&lt;"&amp;F463))*1000+458,"")</f>
        <v/>
      </c>
    </row>
    <row r="464">
      <c r="A464" s="89" t="inlineStr">
        <is>
          <t>CDF-000459</t>
        </is>
      </c>
      <c r="B464" s="90" t="n"/>
      <c r="C464" s="91" t="n"/>
      <c r="D464" s="92" t="n"/>
      <c r="E464" s="91" t="n"/>
      <c r="F464" s="91" t="n"/>
      <c r="G464" s="91" t="n"/>
      <c r="H464" s="91" t="n"/>
      <c r="I464" s="91" t="n"/>
      <c r="J464" s="91" t="n"/>
      <c r="K464" s="92" t="n"/>
      <c r="L464" s="91" t="n"/>
      <c r="M464" s="91" t="n"/>
      <c r="N464" s="91" t="n"/>
      <c r="O464" s="93" t="str">
        <f>IF(S464=0,"",SUMIFS('VÍNCULOS_CDF'!$H$6:$H$1005,'VÍNCULOS_CDF'!$O$6:$O$1005,A464,'VÍNCULOS_CDF'!$V$6:$V$1005,1))</f>
        <v/>
      </c>
      <c r="P464" s="95" t="str">
        <f>IF(S464=0,"",COUNTIFS('VÍNCULOS_CDF'!$O$6:$O$1005,A464,'VÍNCULOS_CDF'!$N$6:$N$1005,1))</f>
        <v/>
      </c>
      <c r="Q464" s="94" t="str">
        <f>IF(S464=0,"",IF(OR(B464="",F464=""),"Informações incompletas",IF(U464=1,"Possível duplicidade",IF(V464=0,"Destinador fora do cadastro",IF(AND(J464="Sim",N(P464)=0),"Necessita revisão de vínculos",IF(X464&gt;0,"Necessita revisão de vínculos",IF(J464="Sim","Conferido",IF(I464="Sim","Localizado, aguardando conferência","Cadastrado"))))))))</f>
        <v/>
      </c>
      <c r="R464" s="95" t="str">
        <f>IF(S464=0,"",COUNTIFS('VÍNCULOS_CDF'!$O$6:$O$1005,A464,'VÍNCULOS_CDF'!$AB$6:$AB$1005,1))</f>
        <v/>
      </c>
      <c r="S464" s="96">
        <f>IF(COUNTA(B464:N464)&gt;0,1,0)</f>
        <v>0</v>
      </c>
      <c r="T464" s="96" t="str">
        <f>IF(AND(S464=1,B464&lt;&gt;""),C464&amp;"|"&amp;TRIM(B464),"")</f>
        <v/>
      </c>
      <c r="U464" s="96">
        <f>IF(T464="",0,IF(SUMPRODUCT(--($T$6:$T$505=T464))&gt;1,1,0))</f>
        <v>0</v>
      </c>
      <c r="V464" s="96">
        <f>IF(F464="",0,IF(ISNUMBER(MATCH(F464,cmp_dest,0)),1,0))</f>
        <v>0</v>
      </c>
      <c r="W464" s="96">
        <f>IF(AND(S464=1,B464&lt;&gt;"",F464&lt;&gt;"",J464="Sim",U464=0),1,0)</f>
        <v>0</v>
      </c>
      <c r="X464" s="96">
        <f>IF(S464=0,0,COUNTIFS('VÍNCULOS_CDF'!$O$6:$O$1005,A464,'VÍNCULOS_CDF'!$Y$6:$Y$1005,1))</f>
        <v>0</v>
      </c>
      <c r="Y464" s="96" t="str">
        <f>IF(S464=1,A464&amp;" | CDF "&amp;IF(B464="","(sem número)",B464)&amp;" | "&amp;IF(F464="","(sem destinador)",F464),"")</f>
        <v/>
      </c>
      <c r="Z464" s="96" t="str">
        <f>IF(S464=1,COUNTIF($S$6:S464,1),"")</f>
        <v/>
      </c>
      <c r="AA464" s="96">
        <f>IF(S464=0,0,IF(AND(OR(r_ini="",AND(ISNUMBER(D464),D464&gt;=r_ini)),OR(r_fim="",AND(ISNUMBER(D464),D464&lt;=r_fim)),OR(r_de="",r_de="(Todos)",F464=r_de)),1,0))</f>
        <v>0</v>
      </c>
      <c r="AB464" s="96" t="str">
        <f>IF(AA464=1,IF(F464="",0,COUNTIF($F$6:$F$505,"&lt;"&amp;F464))*1000+459,"")</f>
        <v/>
      </c>
    </row>
    <row r="465">
      <c r="A465" s="89" t="inlineStr">
        <is>
          <t>CDF-000460</t>
        </is>
      </c>
      <c r="B465" s="90" t="n"/>
      <c r="C465" s="91" t="n"/>
      <c r="D465" s="92" t="n"/>
      <c r="E465" s="91" t="n"/>
      <c r="F465" s="91" t="n"/>
      <c r="G465" s="91" t="n"/>
      <c r="H465" s="91" t="n"/>
      <c r="I465" s="91" t="n"/>
      <c r="J465" s="91" t="n"/>
      <c r="K465" s="92" t="n"/>
      <c r="L465" s="91" t="n"/>
      <c r="M465" s="91" t="n"/>
      <c r="N465" s="91" t="n"/>
      <c r="O465" s="93" t="str">
        <f>IF(S465=0,"",SUMIFS('VÍNCULOS_CDF'!$H$6:$H$1005,'VÍNCULOS_CDF'!$O$6:$O$1005,A465,'VÍNCULOS_CDF'!$V$6:$V$1005,1))</f>
        <v/>
      </c>
      <c r="P465" s="95" t="str">
        <f>IF(S465=0,"",COUNTIFS('VÍNCULOS_CDF'!$O$6:$O$1005,A465,'VÍNCULOS_CDF'!$N$6:$N$1005,1))</f>
        <v/>
      </c>
      <c r="Q465" s="94" t="str">
        <f>IF(S465=0,"",IF(OR(B465="",F465=""),"Informações incompletas",IF(U465=1,"Possível duplicidade",IF(V465=0,"Destinador fora do cadastro",IF(AND(J465="Sim",N(P465)=0),"Necessita revisão de vínculos",IF(X465&gt;0,"Necessita revisão de vínculos",IF(J465="Sim","Conferido",IF(I465="Sim","Localizado, aguardando conferência","Cadastrado"))))))))</f>
        <v/>
      </c>
      <c r="R465" s="95" t="str">
        <f>IF(S465=0,"",COUNTIFS('VÍNCULOS_CDF'!$O$6:$O$1005,A465,'VÍNCULOS_CDF'!$AB$6:$AB$1005,1))</f>
        <v/>
      </c>
      <c r="S465" s="96">
        <f>IF(COUNTA(B465:N465)&gt;0,1,0)</f>
        <v>0</v>
      </c>
      <c r="T465" s="96" t="str">
        <f>IF(AND(S465=1,B465&lt;&gt;""),C465&amp;"|"&amp;TRIM(B465),"")</f>
        <v/>
      </c>
      <c r="U465" s="96">
        <f>IF(T465="",0,IF(SUMPRODUCT(--($T$6:$T$505=T465))&gt;1,1,0))</f>
        <v>0</v>
      </c>
      <c r="V465" s="96">
        <f>IF(F465="",0,IF(ISNUMBER(MATCH(F465,cmp_dest,0)),1,0))</f>
        <v>0</v>
      </c>
      <c r="W465" s="96">
        <f>IF(AND(S465=1,B465&lt;&gt;"",F465&lt;&gt;"",J465="Sim",U465=0),1,0)</f>
        <v>0</v>
      </c>
      <c r="X465" s="96">
        <f>IF(S465=0,0,COUNTIFS('VÍNCULOS_CDF'!$O$6:$O$1005,A465,'VÍNCULOS_CDF'!$Y$6:$Y$1005,1))</f>
        <v>0</v>
      </c>
      <c r="Y465" s="96" t="str">
        <f>IF(S465=1,A465&amp;" | CDF "&amp;IF(B465="","(sem número)",B465)&amp;" | "&amp;IF(F465="","(sem destinador)",F465),"")</f>
        <v/>
      </c>
      <c r="Z465" s="96" t="str">
        <f>IF(S465=1,COUNTIF($S$6:S465,1),"")</f>
        <v/>
      </c>
      <c r="AA465" s="96">
        <f>IF(S465=0,0,IF(AND(OR(r_ini="",AND(ISNUMBER(D465),D465&gt;=r_ini)),OR(r_fim="",AND(ISNUMBER(D465),D465&lt;=r_fim)),OR(r_de="",r_de="(Todos)",F465=r_de)),1,0))</f>
        <v>0</v>
      </c>
      <c r="AB465" s="96" t="str">
        <f>IF(AA465=1,IF(F465="",0,COUNTIF($F$6:$F$505,"&lt;"&amp;F465))*1000+460,"")</f>
        <v/>
      </c>
    </row>
    <row r="466">
      <c r="A466" s="89" t="inlineStr">
        <is>
          <t>CDF-000461</t>
        </is>
      </c>
      <c r="B466" s="90" t="n"/>
      <c r="C466" s="91" t="n"/>
      <c r="D466" s="92" t="n"/>
      <c r="E466" s="91" t="n"/>
      <c r="F466" s="91" t="n"/>
      <c r="G466" s="91" t="n"/>
      <c r="H466" s="91" t="n"/>
      <c r="I466" s="91" t="n"/>
      <c r="J466" s="91" t="n"/>
      <c r="K466" s="92" t="n"/>
      <c r="L466" s="91" t="n"/>
      <c r="M466" s="91" t="n"/>
      <c r="N466" s="91" t="n"/>
      <c r="O466" s="93" t="str">
        <f>IF(S466=0,"",SUMIFS('VÍNCULOS_CDF'!$H$6:$H$1005,'VÍNCULOS_CDF'!$O$6:$O$1005,A466,'VÍNCULOS_CDF'!$V$6:$V$1005,1))</f>
        <v/>
      </c>
      <c r="P466" s="95" t="str">
        <f>IF(S466=0,"",COUNTIFS('VÍNCULOS_CDF'!$O$6:$O$1005,A466,'VÍNCULOS_CDF'!$N$6:$N$1005,1))</f>
        <v/>
      </c>
      <c r="Q466" s="94" t="str">
        <f>IF(S466=0,"",IF(OR(B466="",F466=""),"Informações incompletas",IF(U466=1,"Possível duplicidade",IF(V466=0,"Destinador fora do cadastro",IF(AND(J466="Sim",N(P466)=0),"Necessita revisão de vínculos",IF(X466&gt;0,"Necessita revisão de vínculos",IF(J466="Sim","Conferido",IF(I466="Sim","Localizado, aguardando conferência","Cadastrado"))))))))</f>
        <v/>
      </c>
      <c r="R466" s="95" t="str">
        <f>IF(S466=0,"",COUNTIFS('VÍNCULOS_CDF'!$O$6:$O$1005,A466,'VÍNCULOS_CDF'!$AB$6:$AB$1005,1))</f>
        <v/>
      </c>
      <c r="S466" s="96">
        <f>IF(COUNTA(B466:N466)&gt;0,1,0)</f>
        <v>0</v>
      </c>
      <c r="T466" s="96" t="str">
        <f>IF(AND(S466=1,B466&lt;&gt;""),C466&amp;"|"&amp;TRIM(B466),"")</f>
        <v/>
      </c>
      <c r="U466" s="96">
        <f>IF(T466="",0,IF(SUMPRODUCT(--($T$6:$T$505=T466))&gt;1,1,0))</f>
        <v>0</v>
      </c>
      <c r="V466" s="96">
        <f>IF(F466="",0,IF(ISNUMBER(MATCH(F466,cmp_dest,0)),1,0))</f>
        <v>0</v>
      </c>
      <c r="W466" s="96">
        <f>IF(AND(S466=1,B466&lt;&gt;"",F466&lt;&gt;"",J466="Sim",U466=0),1,0)</f>
        <v>0</v>
      </c>
      <c r="X466" s="96">
        <f>IF(S466=0,0,COUNTIFS('VÍNCULOS_CDF'!$O$6:$O$1005,A466,'VÍNCULOS_CDF'!$Y$6:$Y$1005,1))</f>
        <v>0</v>
      </c>
      <c r="Y466" s="96" t="str">
        <f>IF(S466=1,A466&amp;" | CDF "&amp;IF(B466="","(sem número)",B466)&amp;" | "&amp;IF(F466="","(sem destinador)",F466),"")</f>
        <v/>
      </c>
      <c r="Z466" s="96" t="str">
        <f>IF(S466=1,COUNTIF($S$6:S466,1),"")</f>
        <v/>
      </c>
      <c r="AA466" s="96">
        <f>IF(S466=0,0,IF(AND(OR(r_ini="",AND(ISNUMBER(D466),D466&gt;=r_ini)),OR(r_fim="",AND(ISNUMBER(D466),D466&lt;=r_fim)),OR(r_de="",r_de="(Todos)",F466=r_de)),1,0))</f>
        <v>0</v>
      </c>
      <c r="AB466" s="96" t="str">
        <f>IF(AA466=1,IF(F466="",0,COUNTIF($F$6:$F$505,"&lt;"&amp;F466))*1000+461,"")</f>
        <v/>
      </c>
    </row>
    <row r="467">
      <c r="A467" s="89" t="inlineStr">
        <is>
          <t>CDF-000462</t>
        </is>
      </c>
      <c r="B467" s="90" t="n"/>
      <c r="C467" s="91" t="n"/>
      <c r="D467" s="92" t="n"/>
      <c r="E467" s="91" t="n"/>
      <c r="F467" s="91" t="n"/>
      <c r="G467" s="91" t="n"/>
      <c r="H467" s="91" t="n"/>
      <c r="I467" s="91" t="n"/>
      <c r="J467" s="91" t="n"/>
      <c r="K467" s="92" t="n"/>
      <c r="L467" s="91" t="n"/>
      <c r="M467" s="91" t="n"/>
      <c r="N467" s="91" t="n"/>
      <c r="O467" s="93" t="str">
        <f>IF(S467=0,"",SUMIFS('VÍNCULOS_CDF'!$H$6:$H$1005,'VÍNCULOS_CDF'!$O$6:$O$1005,A467,'VÍNCULOS_CDF'!$V$6:$V$1005,1))</f>
        <v/>
      </c>
      <c r="P467" s="95" t="str">
        <f>IF(S467=0,"",COUNTIFS('VÍNCULOS_CDF'!$O$6:$O$1005,A467,'VÍNCULOS_CDF'!$N$6:$N$1005,1))</f>
        <v/>
      </c>
      <c r="Q467" s="94" t="str">
        <f>IF(S467=0,"",IF(OR(B467="",F467=""),"Informações incompletas",IF(U467=1,"Possível duplicidade",IF(V467=0,"Destinador fora do cadastro",IF(AND(J467="Sim",N(P467)=0),"Necessita revisão de vínculos",IF(X467&gt;0,"Necessita revisão de vínculos",IF(J467="Sim","Conferido",IF(I467="Sim","Localizado, aguardando conferência","Cadastrado"))))))))</f>
        <v/>
      </c>
      <c r="R467" s="95" t="str">
        <f>IF(S467=0,"",COUNTIFS('VÍNCULOS_CDF'!$O$6:$O$1005,A467,'VÍNCULOS_CDF'!$AB$6:$AB$1005,1))</f>
        <v/>
      </c>
      <c r="S467" s="96">
        <f>IF(COUNTA(B467:N467)&gt;0,1,0)</f>
        <v>0</v>
      </c>
      <c r="T467" s="96" t="str">
        <f>IF(AND(S467=1,B467&lt;&gt;""),C467&amp;"|"&amp;TRIM(B467),"")</f>
        <v/>
      </c>
      <c r="U467" s="96">
        <f>IF(T467="",0,IF(SUMPRODUCT(--($T$6:$T$505=T467))&gt;1,1,0))</f>
        <v>0</v>
      </c>
      <c r="V467" s="96">
        <f>IF(F467="",0,IF(ISNUMBER(MATCH(F467,cmp_dest,0)),1,0))</f>
        <v>0</v>
      </c>
      <c r="W467" s="96">
        <f>IF(AND(S467=1,B467&lt;&gt;"",F467&lt;&gt;"",J467="Sim",U467=0),1,0)</f>
        <v>0</v>
      </c>
      <c r="X467" s="96">
        <f>IF(S467=0,0,COUNTIFS('VÍNCULOS_CDF'!$O$6:$O$1005,A467,'VÍNCULOS_CDF'!$Y$6:$Y$1005,1))</f>
        <v>0</v>
      </c>
      <c r="Y467" s="96" t="str">
        <f>IF(S467=1,A467&amp;" | CDF "&amp;IF(B467="","(sem número)",B467)&amp;" | "&amp;IF(F467="","(sem destinador)",F467),"")</f>
        <v/>
      </c>
      <c r="Z467" s="96" t="str">
        <f>IF(S467=1,COUNTIF($S$6:S467,1),"")</f>
        <v/>
      </c>
      <c r="AA467" s="96">
        <f>IF(S467=0,0,IF(AND(OR(r_ini="",AND(ISNUMBER(D467),D467&gt;=r_ini)),OR(r_fim="",AND(ISNUMBER(D467),D467&lt;=r_fim)),OR(r_de="",r_de="(Todos)",F467=r_de)),1,0))</f>
        <v>0</v>
      </c>
      <c r="AB467" s="96" t="str">
        <f>IF(AA467=1,IF(F467="",0,COUNTIF($F$6:$F$505,"&lt;"&amp;F467))*1000+462,"")</f>
        <v/>
      </c>
    </row>
    <row r="468">
      <c r="A468" s="89" t="inlineStr">
        <is>
          <t>CDF-000463</t>
        </is>
      </c>
      <c r="B468" s="90" t="n"/>
      <c r="C468" s="91" t="n"/>
      <c r="D468" s="92" t="n"/>
      <c r="E468" s="91" t="n"/>
      <c r="F468" s="91" t="n"/>
      <c r="G468" s="91" t="n"/>
      <c r="H468" s="91" t="n"/>
      <c r="I468" s="91" t="n"/>
      <c r="J468" s="91" t="n"/>
      <c r="K468" s="92" t="n"/>
      <c r="L468" s="91" t="n"/>
      <c r="M468" s="91" t="n"/>
      <c r="N468" s="91" t="n"/>
      <c r="O468" s="93" t="str">
        <f>IF(S468=0,"",SUMIFS('VÍNCULOS_CDF'!$H$6:$H$1005,'VÍNCULOS_CDF'!$O$6:$O$1005,A468,'VÍNCULOS_CDF'!$V$6:$V$1005,1))</f>
        <v/>
      </c>
      <c r="P468" s="95" t="str">
        <f>IF(S468=0,"",COUNTIFS('VÍNCULOS_CDF'!$O$6:$O$1005,A468,'VÍNCULOS_CDF'!$N$6:$N$1005,1))</f>
        <v/>
      </c>
      <c r="Q468" s="94" t="str">
        <f>IF(S468=0,"",IF(OR(B468="",F468=""),"Informações incompletas",IF(U468=1,"Possível duplicidade",IF(V468=0,"Destinador fora do cadastro",IF(AND(J468="Sim",N(P468)=0),"Necessita revisão de vínculos",IF(X468&gt;0,"Necessita revisão de vínculos",IF(J468="Sim","Conferido",IF(I468="Sim","Localizado, aguardando conferência","Cadastrado"))))))))</f>
        <v/>
      </c>
      <c r="R468" s="95" t="str">
        <f>IF(S468=0,"",COUNTIFS('VÍNCULOS_CDF'!$O$6:$O$1005,A468,'VÍNCULOS_CDF'!$AB$6:$AB$1005,1))</f>
        <v/>
      </c>
      <c r="S468" s="96">
        <f>IF(COUNTA(B468:N468)&gt;0,1,0)</f>
        <v>0</v>
      </c>
      <c r="T468" s="96" t="str">
        <f>IF(AND(S468=1,B468&lt;&gt;""),C468&amp;"|"&amp;TRIM(B468),"")</f>
        <v/>
      </c>
      <c r="U468" s="96">
        <f>IF(T468="",0,IF(SUMPRODUCT(--($T$6:$T$505=T468))&gt;1,1,0))</f>
        <v>0</v>
      </c>
      <c r="V468" s="96">
        <f>IF(F468="",0,IF(ISNUMBER(MATCH(F468,cmp_dest,0)),1,0))</f>
        <v>0</v>
      </c>
      <c r="W468" s="96">
        <f>IF(AND(S468=1,B468&lt;&gt;"",F468&lt;&gt;"",J468="Sim",U468=0),1,0)</f>
        <v>0</v>
      </c>
      <c r="X468" s="96">
        <f>IF(S468=0,0,COUNTIFS('VÍNCULOS_CDF'!$O$6:$O$1005,A468,'VÍNCULOS_CDF'!$Y$6:$Y$1005,1))</f>
        <v>0</v>
      </c>
      <c r="Y468" s="96" t="str">
        <f>IF(S468=1,A468&amp;" | CDF "&amp;IF(B468="","(sem número)",B468)&amp;" | "&amp;IF(F468="","(sem destinador)",F468),"")</f>
        <v/>
      </c>
      <c r="Z468" s="96" t="str">
        <f>IF(S468=1,COUNTIF($S$6:S468,1),"")</f>
        <v/>
      </c>
      <c r="AA468" s="96">
        <f>IF(S468=0,0,IF(AND(OR(r_ini="",AND(ISNUMBER(D468),D468&gt;=r_ini)),OR(r_fim="",AND(ISNUMBER(D468),D468&lt;=r_fim)),OR(r_de="",r_de="(Todos)",F468=r_de)),1,0))</f>
        <v>0</v>
      </c>
      <c r="AB468" s="96" t="str">
        <f>IF(AA468=1,IF(F468="",0,COUNTIF($F$6:$F$505,"&lt;"&amp;F468))*1000+463,"")</f>
        <v/>
      </c>
    </row>
    <row r="469">
      <c r="A469" s="89" t="inlineStr">
        <is>
          <t>CDF-000464</t>
        </is>
      </c>
      <c r="B469" s="90" t="n"/>
      <c r="C469" s="91" t="n"/>
      <c r="D469" s="92" t="n"/>
      <c r="E469" s="91" t="n"/>
      <c r="F469" s="91" t="n"/>
      <c r="G469" s="91" t="n"/>
      <c r="H469" s="91" t="n"/>
      <c r="I469" s="91" t="n"/>
      <c r="J469" s="91" t="n"/>
      <c r="K469" s="92" t="n"/>
      <c r="L469" s="91" t="n"/>
      <c r="M469" s="91" t="n"/>
      <c r="N469" s="91" t="n"/>
      <c r="O469" s="93" t="str">
        <f>IF(S469=0,"",SUMIFS('VÍNCULOS_CDF'!$H$6:$H$1005,'VÍNCULOS_CDF'!$O$6:$O$1005,A469,'VÍNCULOS_CDF'!$V$6:$V$1005,1))</f>
        <v/>
      </c>
      <c r="P469" s="95" t="str">
        <f>IF(S469=0,"",COUNTIFS('VÍNCULOS_CDF'!$O$6:$O$1005,A469,'VÍNCULOS_CDF'!$N$6:$N$1005,1))</f>
        <v/>
      </c>
      <c r="Q469" s="94" t="str">
        <f>IF(S469=0,"",IF(OR(B469="",F469=""),"Informações incompletas",IF(U469=1,"Possível duplicidade",IF(V469=0,"Destinador fora do cadastro",IF(AND(J469="Sim",N(P469)=0),"Necessita revisão de vínculos",IF(X469&gt;0,"Necessita revisão de vínculos",IF(J469="Sim","Conferido",IF(I469="Sim","Localizado, aguardando conferência","Cadastrado"))))))))</f>
        <v/>
      </c>
      <c r="R469" s="95" t="str">
        <f>IF(S469=0,"",COUNTIFS('VÍNCULOS_CDF'!$O$6:$O$1005,A469,'VÍNCULOS_CDF'!$AB$6:$AB$1005,1))</f>
        <v/>
      </c>
      <c r="S469" s="96">
        <f>IF(COUNTA(B469:N469)&gt;0,1,0)</f>
        <v>0</v>
      </c>
      <c r="T469" s="96" t="str">
        <f>IF(AND(S469=1,B469&lt;&gt;""),C469&amp;"|"&amp;TRIM(B469),"")</f>
        <v/>
      </c>
      <c r="U469" s="96">
        <f>IF(T469="",0,IF(SUMPRODUCT(--($T$6:$T$505=T469))&gt;1,1,0))</f>
        <v>0</v>
      </c>
      <c r="V469" s="96">
        <f>IF(F469="",0,IF(ISNUMBER(MATCH(F469,cmp_dest,0)),1,0))</f>
        <v>0</v>
      </c>
      <c r="W469" s="96">
        <f>IF(AND(S469=1,B469&lt;&gt;"",F469&lt;&gt;"",J469="Sim",U469=0),1,0)</f>
        <v>0</v>
      </c>
      <c r="X469" s="96">
        <f>IF(S469=0,0,COUNTIFS('VÍNCULOS_CDF'!$O$6:$O$1005,A469,'VÍNCULOS_CDF'!$Y$6:$Y$1005,1))</f>
        <v>0</v>
      </c>
      <c r="Y469" s="96" t="str">
        <f>IF(S469=1,A469&amp;" | CDF "&amp;IF(B469="","(sem número)",B469)&amp;" | "&amp;IF(F469="","(sem destinador)",F469),"")</f>
        <v/>
      </c>
      <c r="Z469" s="96" t="str">
        <f>IF(S469=1,COUNTIF($S$6:S469,1),"")</f>
        <v/>
      </c>
      <c r="AA469" s="96">
        <f>IF(S469=0,0,IF(AND(OR(r_ini="",AND(ISNUMBER(D469),D469&gt;=r_ini)),OR(r_fim="",AND(ISNUMBER(D469),D469&lt;=r_fim)),OR(r_de="",r_de="(Todos)",F469=r_de)),1,0))</f>
        <v>0</v>
      </c>
      <c r="AB469" s="96" t="str">
        <f>IF(AA469=1,IF(F469="",0,COUNTIF($F$6:$F$505,"&lt;"&amp;F469))*1000+464,"")</f>
        <v/>
      </c>
    </row>
    <row r="470">
      <c r="A470" s="89" t="inlineStr">
        <is>
          <t>CDF-000465</t>
        </is>
      </c>
      <c r="B470" s="90" t="n"/>
      <c r="C470" s="91" t="n"/>
      <c r="D470" s="92" t="n"/>
      <c r="E470" s="91" t="n"/>
      <c r="F470" s="91" t="n"/>
      <c r="G470" s="91" t="n"/>
      <c r="H470" s="91" t="n"/>
      <c r="I470" s="91" t="n"/>
      <c r="J470" s="91" t="n"/>
      <c r="K470" s="92" t="n"/>
      <c r="L470" s="91" t="n"/>
      <c r="M470" s="91" t="n"/>
      <c r="N470" s="91" t="n"/>
      <c r="O470" s="93" t="str">
        <f>IF(S470=0,"",SUMIFS('VÍNCULOS_CDF'!$H$6:$H$1005,'VÍNCULOS_CDF'!$O$6:$O$1005,A470,'VÍNCULOS_CDF'!$V$6:$V$1005,1))</f>
        <v/>
      </c>
      <c r="P470" s="95" t="str">
        <f>IF(S470=0,"",COUNTIFS('VÍNCULOS_CDF'!$O$6:$O$1005,A470,'VÍNCULOS_CDF'!$N$6:$N$1005,1))</f>
        <v/>
      </c>
      <c r="Q470" s="94" t="str">
        <f>IF(S470=0,"",IF(OR(B470="",F470=""),"Informações incompletas",IF(U470=1,"Possível duplicidade",IF(V470=0,"Destinador fora do cadastro",IF(AND(J470="Sim",N(P470)=0),"Necessita revisão de vínculos",IF(X470&gt;0,"Necessita revisão de vínculos",IF(J470="Sim","Conferido",IF(I470="Sim","Localizado, aguardando conferência","Cadastrado"))))))))</f>
        <v/>
      </c>
      <c r="R470" s="95" t="str">
        <f>IF(S470=0,"",COUNTIFS('VÍNCULOS_CDF'!$O$6:$O$1005,A470,'VÍNCULOS_CDF'!$AB$6:$AB$1005,1))</f>
        <v/>
      </c>
      <c r="S470" s="96">
        <f>IF(COUNTA(B470:N470)&gt;0,1,0)</f>
        <v>0</v>
      </c>
      <c r="T470" s="96" t="str">
        <f>IF(AND(S470=1,B470&lt;&gt;""),C470&amp;"|"&amp;TRIM(B470),"")</f>
        <v/>
      </c>
      <c r="U470" s="96">
        <f>IF(T470="",0,IF(SUMPRODUCT(--($T$6:$T$505=T470))&gt;1,1,0))</f>
        <v>0</v>
      </c>
      <c r="V470" s="96">
        <f>IF(F470="",0,IF(ISNUMBER(MATCH(F470,cmp_dest,0)),1,0))</f>
        <v>0</v>
      </c>
      <c r="W470" s="96">
        <f>IF(AND(S470=1,B470&lt;&gt;"",F470&lt;&gt;"",J470="Sim",U470=0),1,0)</f>
        <v>0</v>
      </c>
      <c r="X470" s="96">
        <f>IF(S470=0,0,COUNTIFS('VÍNCULOS_CDF'!$O$6:$O$1005,A470,'VÍNCULOS_CDF'!$Y$6:$Y$1005,1))</f>
        <v>0</v>
      </c>
      <c r="Y470" s="96" t="str">
        <f>IF(S470=1,A470&amp;" | CDF "&amp;IF(B470="","(sem número)",B470)&amp;" | "&amp;IF(F470="","(sem destinador)",F470),"")</f>
        <v/>
      </c>
      <c r="Z470" s="96" t="str">
        <f>IF(S470=1,COUNTIF($S$6:S470,1),"")</f>
        <v/>
      </c>
      <c r="AA470" s="96">
        <f>IF(S470=0,0,IF(AND(OR(r_ini="",AND(ISNUMBER(D470),D470&gt;=r_ini)),OR(r_fim="",AND(ISNUMBER(D470),D470&lt;=r_fim)),OR(r_de="",r_de="(Todos)",F470=r_de)),1,0))</f>
        <v>0</v>
      </c>
      <c r="AB470" s="96" t="str">
        <f>IF(AA470=1,IF(F470="",0,COUNTIF($F$6:$F$505,"&lt;"&amp;F470))*1000+465,"")</f>
        <v/>
      </c>
    </row>
    <row r="471">
      <c r="A471" s="89" t="inlineStr">
        <is>
          <t>CDF-000466</t>
        </is>
      </c>
      <c r="B471" s="90" t="n"/>
      <c r="C471" s="91" t="n"/>
      <c r="D471" s="92" t="n"/>
      <c r="E471" s="91" t="n"/>
      <c r="F471" s="91" t="n"/>
      <c r="G471" s="91" t="n"/>
      <c r="H471" s="91" t="n"/>
      <c r="I471" s="91" t="n"/>
      <c r="J471" s="91" t="n"/>
      <c r="K471" s="92" t="n"/>
      <c r="L471" s="91" t="n"/>
      <c r="M471" s="91" t="n"/>
      <c r="N471" s="91" t="n"/>
      <c r="O471" s="93" t="str">
        <f>IF(S471=0,"",SUMIFS('VÍNCULOS_CDF'!$H$6:$H$1005,'VÍNCULOS_CDF'!$O$6:$O$1005,A471,'VÍNCULOS_CDF'!$V$6:$V$1005,1))</f>
        <v/>
      </c>
      <c r="P471" s="95" t="str">
        <f>IF(S471=0,"",COUNTIFS('VÍNCULOS_CDF'!$O$6:$O$1005,A471,'VÍNCULOS_CDF'!$N$6:$N$1005,1))</f>
        <v/>
      </c>
      <c r="Q471" s="94" t="str">
        <f>IF(S471=0,"",IF(OR(B471="",F471=""),"Informações incompletas",IF(U471=1,"Possível duplicidade",IF(V471=0,"Destinador fora do cadastro",IF(AND(J471="Sim",N(P471)=0),"Necessita revisão de vínculos",IF(X471&gt;0,"Necessita revisão de vínculos",IF(J471="Sim","Conferido",IF(I471="Sim","Localizado, aguardando conferência","Cadastrado"))))))))</f>
        <v/>
      </c>
      <c r="R471" s="95" t="str">
        <f>IF(S471=0,"",COUNTIFS('VÍNCULOS_CDF'!$O$6:$O$1005,A471,'VÍNCULOS_CDF'!$AB$6:$AB$1005,1))</f>
        <v/>
      </c>
      <c r="S471" s="96">
        <f>IF(COUNTA(B471:N471)&gt;0,1,0)</f>
        <v>0</v>
      </c>
      <c r="T471" s="96" t="str">
        <f>IF(AND(S471=1,B471&lt;&gt;""),C471&amp;"|"&amp;TRIM(B471),"")</f>
        <v/>
      </c>
      <c r="U471" s="96">
        <f>IF(T471="",0,IF(SUMPRODUCT(--($T$6:$T$505=T471))&gt;1,1,0))</f>
        <v>0</v>
      </c>
      <c r="V471" s="96">
        <f>IF(F471="",0,IF(ISNUMBER(MATCH(F471,cmp_dest,0)),1,0))</f>
        <v>0</v>
      </c>
      <c r="W471" s="96">
        <f>IF(AND(S471=1,B471&lt;&gt;"",F471&lt;&gt;"",J471="Sim",U471=0),1,0)</f>
        <v>0</v>
      </c>
      <c r="X471" s="96">
        <f>IF(S471=0,0,COUNTIFS('VÍNCULOS_CDF'!$O$6:$O$1005,A471,'VÍNCULOS_CDF'!$Y$6:$Y$1005,1))</f>
        <v>0</v>
      </c>
      <c r="Y471" s="96" t="str">
        <f>IF(S471=1,A471&amp;" | CDF "&amp;IF(B471="","(sem número)",B471)&amp;" | "&amp;IF(F471="","(sem destinador)",F471),"")</f>
        <v/>
      </c>
      <c r="Z471" s="96" t="str">
        <f>IF(S471=1,COUNTIF($S$6:S471,1),"")</f>
        <v/>
      </c>
      <c r="AA471" s="96">
        <f>IF(S471=0,0,IF(AND(OR(r_ini="",AND(ISNUMBER(D471),D471&gt;=r_ini)),OR(r_fim="",AND(ISNUMBER(D471),D471&lt;=r_fim)),OR(r_de="",r_de="(Todos)",F471=r_de)),1,0))</f>
        <v>0</v>
      </c>
      <c r="AB471" s="96" t="str">
        <f>IF(AA471=1,IF(F471="",0,COUNTIF($F$6:$F$505,"&lt;"&amp;F471))*1000+466,"")</f>
        <v/>
      </c>
    </row>
    <row r="472">
      <c r="A472" s="89" t="inlineStr">
        <is>
          <t>CDF-000467</t>
        </is>
      </c>
      <c r="B472" s="90" t="n"/>
      <c r="C472" s="91" t="n"/>
      <c r="D472" s="92" t="n"/>
      <c r="E472" s="91" t="n"/>
      <c r="F472" s="91" t="n"/>
      <c r="G472" s="91" t="n"/>
      <c r="H472" s="91" t="n"/>
      <c r="I472" s="91" t="n"/>
      <c r="J472" s="91" t="n"/>
      <c r="K472" s="92" t="n"/>
      <c r="L472" s="91" t="n"/>
      <c r="M472" s="91" t="n"/>
      <c r="N472" s="91" t="n"/>
      <c r="O472" s="93" t="str">
        <f>IF(S472=0,"",SUMIFS('VÍNCULOS_CDF'!$H$6:$H$1005,'VÍNCULOS_CDF'!$O$6:$O$1005,A472,'VÍNCULOS_CDF'!$V$6:$V$1005,1))</f>
        <v/>
      </c>
      <c r="P472" s="95" t="str">
        <f>IF(S472=0,"",COUNTIFS('VÍNCULOS_CDF'!$O$6:$O$1005,A472,'VÍNCULOS_CDF'!$N$6:$N$1005,1))</f>
        <v/>
      </c>
      <c r="Q472" s="94" t="str">
        <f>IF(S472=0,"",IF(OR(B472="",F472=""),"Informações incompletas",IF(U472=1,"Possível duplicidade",IF(V472=0,"Destinador fora do cadastro",IF(AND(J472="Sim",N(P472)=0),"Necessita revisão de vínculos",IF(X472&gt;0,"Necessita revisão de vínculos",IF(J472="Sim","Conferido",IF(I472="Sim","Localizado, aguardando conferência","Cadastrado"))))))))</f>
        <v/>
      </c>
      <c r="R472" s="95" t="str">
        <f>IF(S472=0,"",COUNTIFS('VÍNCULOS_CDF'!$O$6:$O$1005,A472,'VÍNCULOS_CDF'!$AB$6:$AB$1005,1))</f>
        <v/>
      </c>
      <c r="S472" s="96">
        <f>IF(COUNTA(B472:N472)&gt;0,1,0)</f>
        <v>0</v>
      </c>
      <c r="T472" s="96" t="str">
        <f>IF(AND(S472=1,B472&lt;&gt;""),C472&amp;"|"&amp;TRIM(B472),"")</f>
        <v/>
      </c>
      <c r="U472" s="96">
        <f>IF(T472="",0,IF(SUMPRODUCT(--($T$6:$T$505=T472))&gt;1,1,0))</f>
        <v>0</v>
      </c>
      <c r="V472" s="96">
        <f>IF(F472="",0,IF(ISNUMBER(MATCH(F472,cmp_dest,0)),1,0))</f>
        <v>0</v>
      </c>
      <c r="W472" s="96">
        <f>IF(AND(S472=1,B472&lt;&gt;"",F472&lt;&gt;"",J472="Sim",U472=0),1,0)</f>
        <v>0</v>
      </c>
      <c r="X472" s="96">
        <f>IF(S472=0,0,COUNTIFS('VÍNCULOS_CDF'!$O$6:$O$1005,A472,'VÍNCULOS_CDF'!$Y$6:$Y$1005,1))</f>
        <v>0</v>
      </c>
      <c r="Y472" s="96" t="str">
        <f>IF(S472=1,A472&amp;" | CDF "&amp;IF(B472="","(sem número)",B472)&amp;" | "&amp;IF(F472="","(sem destinador)",F472),"")</f>
        <v/>
      </c>
      <c r="Z472" s="96" t="str">
        <f>IF(S472=1,COUNTIF($S$6:S472,1),"")</f>
        <v/>
      </c>
      <c r="AA472" s="96">
        <f>IF(S472=0,0,IF(AND(OR(r_ini="",AND(ISNUMBER(D472),D472&gt;=r_ini)),OR(r_fim="",AND(ISNUMBER(D472),D472&lt;=r_fim)),OR(r_de="",r_de="(Todos)",F472=r_de)),1,0))</f>
        <v>0</v>
      </c>
      <c r="AB472" s="96" t="str">
        <f>IF(AA472=1,IF(F472="",0,COUNTIF($F$6:$F$505,"&lt;"&amp;F472))*1000+467,"")</f>
        <v/>
      </c>
    </row>
    <row r="473">
      <c r="A473" s="89" t="inlineStr">
        <is>
          <t>CDF-000468</t>
        </is>
      </c>
      <c r="B473" s="90" t="n"/>
      <c r="C473" s="91" t="n"/>
      <c r="D473" s="92" t="n"/>
      <c r="E473" s="91" t="n"/>
      <c r="F473" s="91" t="n"/>
      <c r="G473" s="91" t="n"/>
      <c r="H473" s="91" t="n"/>
      <c r="I473" s="91" t="n"/>
      <c r="J473" s="91" t="n"/>
      <c r="K473" s="92" t="n"/>
      <c r="L473" s="91" t="n"/>
      <c r="M473" s="91" t="n"/>
      <c r="N473" s="91" t="n"/>
      <c r="O473" s="93" t="str">
        <f>IF(S473=0,"",SUMIFS('VÍNCULOS_CDF'!$H$6:$H$1005,'VÍNCULOS_CDF'!$O$6:$O$1005,A473,'VÍNCULOS_CDF'!$V$6:$V$1005,1))</f>
        <v/>
      </c>
      <c r="P473" s="95" t="str">
        <f>IF(S473=0,"",COUNTIFS('VÍNCULOS_CDF'!$O$6:$O$1005,A473,'VÍNCULOS_CDF'!$N$6:$N$1005,1))</f>
        <v/>
      </c>
      <c r="Q473" s="94" t="str">
        <f>IF(S473=0,"",IF(OR(B473="",F473=""),"Informações incompletas",IF(U473=1,"Possível duplicidade",IF(V473=0,"Destinador fora do cadastro",IF(AND(J473="Sim",N(P473)=0),"Necessita revisão de vínculos",IF(X473&gt;0,"Necessita revisão de vínculos",IF(J473="Sim","Conferido",IF(I473="Sim","Localizado, aguardando conferência","Cadastrado"))))))))</f>
        <v/>
      </c>
      <c r="R473" s="95" t="str">
        <f>IF(S473=0,"",COUNTIFS('VÍNCULOS_CDF'!$O$6:$O$1005,A473,'VÍNCULOS_CDF'!$AB$6:$AB$1005,1))</f>
        <v/>
      </c>
      <c r="S473" s="96">
        <f>IF(COUNTA(B473:N473)&gt;0,1,0)</f>
        <v>0</v>
      </c>
      <c r="T473" s="96" t="str">
        <f>IF(AND(S473=1,B473&lt;&gt;""),C473&amp;"|"&amp;TRIM(B473),"")</f>
        <v/>
      </c>
      <c r="U473" s="96">
        <f>IF(T473="",0,IF(SUMPRODUCT(--($T$6:$T$505=T473))&gt;1,1,0))</f>
        <v>0</v>
      </c>
      <c r="V473" s="96">
        <f>IF(F473="",0,IF(ISNUMBER(MATCH(F473,cmp_dest,0)),1,0))</f>
        <v>0</v>
      </c>
      <c r="W473" s="96">
        <f>IF(AND(S473=1,B473&lt;&gt;"",F473&lt;&gt;"",J473="Sim",U473=0),1,0)</f>
        <v>0</v>
      </c>
      <c r="X473" s="96">
        <f>IF(S473=0,0,COUNTIFS('VÍNCULOS_CDF'!$O$6:$O$1005,A473,'VÍNCULOS_CDF'!$Y$6:$Y$1005,1))</f>
        <v>0</v>
      </c>
      <c r="Y473" s="96" t="str">
        <f>IF(S473=1,A473&amp;" | CDF "&amp;IF(B473="","(sem número)",B473)&amp;" | "&amp;IF(F473="","(sem destinador)",F473),"")</f>
        <v/>
      </c>
      <c r="Z473" s="96" t="str">
        <f>IF(S473=1,COUNTIF($S$6:S473,1),"")</f>
        <v/>
      </c>
      <c r="AA473" s="96">
        <f>IF(S473=0,0,IF(AND(OR(r_ini="",AND(ISNUMBER(D473),D473&gt;=r_ini)),OR(r_fim="",AND(ISNUMBER(D473),D473&lt;=r_fim)),OR(r_de="",r_de="(Todos)",F473=r_de)),1,0))</f>
        <v>0</v>
      </c>
      <c r="AB473" s="96" t="str">
        <f>IF(AA473=1,IF(F473="",0,COUNTIF($F$6:$F$505,"&lt;"&amp;F473))*1000+468,"")</f>
        <v/>
      </c>
    </row>
    <row r="474">
      <c r="A474" s="89" t="inlineStr">
        <is>
          <t>CDF-000469</t>
        </is>
      </c>
      <c r="B474" s="90" t="n"/>
      <c r="C474" s="91" t="n"/>
      <c r="D474" s="92" t="n"/>
      <c r="E474" s="91" t="n"/>
      <c r="F474" s="91" t="n"/>
      <c r="G474" s="91" t="n"/>
      <c r="H474" s="91" t="n"/>
      <c r="I474" s="91" t="n"/>
      <c r="J474" s="91" t="n"/>
      <c r="K474" s="92" t="n"/>
      <c r="L474" s="91" t="n"/>
      <c r="M474" s="91" t="n"/>
      <c r="N474" s="91" t="n"/>
      <c r="O474" s="93" t="str">
        <f>IF(S474=0,"",SUMIFS('VÍNCULOS_CDF'!$H$6:$H$1005,'VÍNCULOS_CDF'!$O$6:$O$1005,A474,'VÍNCULOS_CDF'!$V$6:$V$1005,1))</f>
        <v/>
      </c>
      <c r="P474" s="95" t="str">
        <f>IF(S474=0,"",COUNTIFS('VÍNCULOS_CDF'!$O$6:$O$1005,A474,'VÍNCULOS_CDF'!$N$6:$N$1005,1))</f>
        <v/>
      </c>
      <c r="Q474" s="94" t="str">
        <f>IF(S474=0,"",IF(OR(B474="",F474=""),"Informações incompletas",IF(U474=1,"Possível duplicidade",IF(V474=0,"Destinador fora do cadastro",IF(AND(J474="Sim",N(P474)=0),"Necessita revisão de vínculos",IF(X474&gt;0,"Necessita revisão de vínculos",IF(J474="Sim","Conferido",IF(I474="Sim","Localizado, aguardando conferência","Cadastrado"))))))))</f>
        <v/>
      </c>
      <c r="R474" s="95" t="str">
        <f>IF(S474=0,"",COUNTIFS('VÍNCULOS_CDF'!$O$6:$O$1005,A474,'VÍNCULOS_CDF'!$AB$6:$AB$1005,1))</f>
        <v/>
      </c>
      <c r="S474" s="96">
        <f>IF(COUNTA(B474:N474)&gt;0,1,0)</f>
        <v>0</v>
      </c>
      <c r="T474" s="96" t="str">
        <f>IF(AND(S474=1,B474&lt;&gt;""),C474&amp;"|"&amp;TRIM(B474),"")</f>
        <v/>
      </c>
      <c r="U474" s="96">
        <f>IF(T474="",0,IF(SUMPRODUCT(--($T$6:$T$505=T474))&gt;1,1,0))</f>
        <v>0</v>
      </c>
      <c r="V474" s="96">
        <f>IF(F474="",0,IF(ISNUMBER(MATCH(F474,cmp_dest,0)),1,0))</f>
        <v>0</v>
      </c>
      <c r="W474" s="96">
        <f>IF(AND(S474=1,B474&lt;&gt;"",F474&lt;&gt;"",J474="Sim",U474=0),1,0)</f>
        <v>0</v>
      </c>
      <c r="X474" s="96">
        <f>IF(S474=0,0,COUNTIFS('VÍNCULOS_CDF'!$O$6:$O$1005,A474,'VÍNCULOS_CDF'!$Y$6:$Y$1005,1))</f>
        <v>0</v>
      </c>
      <c r="Y474" s="96" t="str">
        <f>IF(S474=1,A474&amp;" | CDF "&amp;IF(B474="","(sem número)",B474)&amp;" | "&amp;IF(F474="","(sem destinador)",F474),"")</f>
        <v/>
      </c>
      <c r="Z474" s="96" t="str">
        <f>IF(S474=1,COUNTIF($S$6:S474,1),"")</f>
        <v/>
      </c>
      <c r="AA474" s="96">
        <f>IF(S474=0,0,IF(AND(OR(r_ini="",AND(ISNUMBER(D474),D474&gt;=r_ini)),OR(r_fim="",AND(ISNUMBER(D474),D474&lt;=r_fim)),OR(r_de="",r_de="(Todos)",F474=r_de)),1,0))</f>
        <v>0</v>
      </c>
      <c r="AB474" s="96" t="str">
        <f>IF(AA474=1,IF(F474="",0,COUNTIF($F$6:$F$505,"&lt;"&amp;F474))*1000+469,"")</f>
        <v/>
      </c>
    </row>
    <row r="475">
      <c r="A475" s="89" t="inlineStr">
        <is>
          <t>CDF-000470</t>
        </is>
      </c>
      <c r="B475" s="90" t="n"/>
      <c r="C475" s="91" t="n"/>
      <c r="D475" s="92" t="n"/>
      <c r="E475" s="91" t="n"/>
      <c r="F475" s="91" t="n"/>
      <c r="G475" s="91" t="n"/>
      <c r="H475" s="91" t="n"/>
      <c r="I475" s="91" t="n"/>
      <c r="J475" s="91" t="n"/>
      <c r="K475" s="92" t="n"/>
      <c r="L475" s="91" t="n"/>
      <c r="M475" s="91" t="n"/>
      <c r="N475" s="91" t="n"/>
      <c r="O475" s="93" t="str">
        <f>IF(S475=0,"",SUMIFS('VÍNCULOS_CDF'!$H$6:$H$1005,'VÍNCULOS_CDF'!$O$6:$O$1005,A475,'VÍNCULOS_CDF'!$V$6:$V$1005,1))</f>
        <v/>
      </c>
      <c r="P475" s="95" t="str">
        <f>IF(S475=0,"",COUNTIFS('VÍNCULOS_CDF'!$O$6:$O$1005,A475,'VÍNCULOS_CDF'!$N$6:$N$1005,1))</f>
        <v/>
      </c>
      <c r="Q475" s="94" t="str">
        <f>IF(S475=0,"",IF(OR(B475="",F475=""),"Informações incompletas",IF(U475=1,"Possível duplicidade",IF(V475=0,"Destinador fora do cadastro",IF(AND(J475="Sim",N(P475)=0),"Necessita revisão de vínculos",IF(X475&gt;0,"Necessita revisão de vínculos",IF(J475="Sim","Conferido",IF(I475="Sim","Localizado, aguardando conferência","Cadastrado"))))))))</f>
        <v/>
      </c>
      <c r="R475" s="95" t="str">
        <f>IF(S475=0,"",COUNTIFS('VÍNCULOS_CDF'!$O$6:$O$1005,A475,'VÍNCULOS_CDF'!$AB$6:$AB$1005,1))</f>
        <v/>
      </c>
      <c r="S475" s="96">
        <f>IF(COUNTA(B475:N475)&gt;0,1,0)</f>
        <v>0</v>
      </c>
      <c r="T475" s="96" t="str">
        <f>IF(AND(S475=1,B475&lt;&gt;""),C475&amp;"|"&amp;TRIM(B475),"")</f>
        <v/>
      </c>
      <c r="U475" s="96">
        <f>IF(T475="",0,IF(SUMPRODUCT(--($T$6:$T$505=T475))&gt;1,1,0))</f>
        <v>0</v>
      </c>
      <c r="V475" s="96">
        <f>IF(F475="",0,IF(ISNUMBER(MATCH(F475,cmp_dest,0)),1,0))</f>
        <v>0</v>
      </c>
      <c r="W475" s="96">
        <f>IF(AND(S475=1,B475&lt;&gt;"",F475&lt;&gt;"",J475="Sim",U475=0),1,0)</f>
        <v>0</v>
      </c>
      <c r="X475" s="96">
        <f>IF(S475=0,0,COUNTIFS('VÍNCULOS_CDF'!$O$6:$O$1005,A475,'VÍNCULOS_CDF'!$Y$6:$Y$1005,1))</f>
        <v>0</v>
      </c>
      <c r="Y475" s="96" t="str">
        <f>IF(S475=1,A475&amp;" | CDF "&amp;IF(B475="","(sem número)",B475)&amp;" | "&amp;IF(F475="","(sem destinador)",F475),"")</f>
        <v/>
      </c>
      <c r="Z475" s="96" t="str">
        <f>IF(S475=1,COUNTIF($S$6:S475,1),"")</f>
        <v/>
      </c>
      <c r="AA475" s="96">
        <f>IF(S475=0,0,IF(AND(OR(r_ini="",AND(ISNUMBER(D475),D475&gt;=r_ini)),OR(r_fim="",AND(ISNUMBER(D475),D475&lt;=r_fim)),OR(r_de="",r_de="(Todos)",F475=r_de)),1,0))</f>
        <v>0</v>
      </c>
      <c r="AB475" s="96" t="str">
        <f>IF(AA475=1,IF(F475="",0,COUNTIF($F$6:$F$505,"&lt;"&amp;F475))*1000+470,"")</f>
        <v/>
      </c>
    </row>
    <row r="476">
      <c r="A476" s="89" t="inlineStr">
        <is>
          <t>CDF-000471</t>
        </is>
      </c>
      <c r="B476" s="90" t="n"/>
      <c r="C476" s="91" t="n"/>
      <c r="D476" s="92" t="n"/>
      <c r="E476" s="91" t="n"/>
      <c r="F476" s="91" t="n"/>
      <c r="G476" s="91" t="n"/>
      <c r="H476" s="91" t="n"/>
      <c r="I476" s="91" t="n"/>
      <c r="J476" s="91" t="n"/>
      <c r="K476" s="92" t="n"/>
      <c r="L476" s="91" t="n"/>
      <c r="M476" s="91" t="n"/>
      <c r="N476" s="91" t="n"/>
      <c r="O476" s="93" t="str">
        <f>IF(S476=0,"",SUMIFS('VÍNCULOS_CDF'!$H$6:$H$1005,'VÍNCULOS_CDF'!$O$6:$O$1005,A476,'VÍNCULOS_CDF'!$V$6:$V$1005,1))</f>
        <v/>
      </c>
      <c r="P476" s="95" t="str">
        <f>IF(S476=0,"",COUNTIFS('VÍNCULOS_CDF'!$O$6:$O$1005,A476,'VÍNCULOS_CDF'!$N$6:$N$1005,1))</f>
        <v/>
      </c>
      <c r="Q476" s="94" t="str">
        <f>IF(S476=0,"",IF(OR(B476="",F476=""),"Informações incompletas",IF(U476=1,"Possível duplicidade",IF(V476=0,"Destinador fora do cadastro",IF(AND(J476="Sim",N(P476)=0),"Necessita revisão de vínculos",IF(X476&gt;0,"Necessita revisão de vínculos",IF(J476="Sim","Conferido",IF(I476="Sim","Localizado, aguardando conferência","Cadastrado"))))))))</f>
        <v/>
      </c>
      <c r="R476" s="95" t="str">
        <f>IF(S476=0,"",COUNTIFS('VÍNCULOS_CDF'!$O$6:$O$1005,A476,'VÍNCULOS_CDF'!$AB$6:$AB$1005,1))</f>
        <v/>
      </c>
      <c r="S476" s="96">
        <f>IF(COUNTA(B476:N476)&gt;0,1,0)</f>
        <v>0</v>
      </c>
      <c r="T476" s="96" t="str">
        <f>IF(AND(S476=1,B476&lt;&gt;""),C476&amp;"|"&amp;TRIM(B476),"")</f>
        <v/>
      </c>
      <c r="U476" s="96">
        <f>IF(T476="",0,IF(SUMPRODUCT(--($T$6:$T$505=T476))&gt;1,1,0))</f>
        <v>0</v>
      </c>
      <c r="V476" s="96">
        <f>IF(F476="",0,IF(ISNUMBER(MATCH(F476,cmp_dest,0)),1,0))</f>
        <v>0</v>
      </c>
      <c r="W476" s="96">
        <f>IF(AND(S476=1,B476&lt;&gt;"",F476&lt;&gt;"",J476="Sim",U476=0),1,0)</f>
        <v>0</v>
      </c>
      <c r="X476" s="96">
        <f>IF(S476=0,0,COUNTIFS('VÍNCULOS_CDF'!$O$6:$O$1005,A476,'VÍNCULOS_CDF'!$Y$6:$Y$1005,1))</f>
        <v>0</v>
      </c>
      <c r="Y476" s="96" t="str">
        <f>IF(S476=1,A476&amp;" | CDF "&amp;IF(B476="","(sem número)",B476)&amp;" | "&amp;IF(F476="","(sem destinador)",F476),"")</f>
        <v/>
      </c>
      <c r="Z476" s="96" t="str">
        <f>IF(S476=1,COUNTIF($S$6:S476,1),"")</f>
        <v/>
      </c>
      <c r="AA476" s="96">
        <f>IF(S476=0,0,IF(AND(OR(r_ini="",AND(ISNUMBER(D476),D476&gt;=r_ini)),OR(r_fim="",AND(ISNUMBER(D476),D476&lt;=r_fim)),OR(r_de="",r_de="(Todos)",F476=r_de)),1,0))</f>
        <v>0</v>
      </c>
      <c r="AB476" s="96" t="str">
        <f>IF(AA476=1,IF(F476="",0,COUNTIF($F$6:$F$505,"&lt;"&amp;F476))*1000+471,"")</f>
        <v/>
      </c>
    </row>
    <row r="477">
      <c r="A477" s="89" t="inlineStr">
        <is>
          <t>CDF-000472</t>
        </is>
      </c>
      <c r="B477" s="90" t="n"/>
      <c r="C477" s="91" t="n"/>
      <c r="D477" s="92" t="n"/>
      <c r="E477" s="91" t="n"/>
      <c r="F477" s="91" t="n"/>
      <c r="G477" s="91" t="n"/>
      <c r="H477" s="91" t="n"/>
      <c r="I477" s="91" t="n"/>
      <c r="J477" s="91" t="n"/>
      <c r="K477" s="92" t="n"/>
      <c r="L477" s="91" t="n"/>
      <c r="M477" s="91" t="n"/>
      <c r="N477" s="91" t="n"/>
      <c r="O477" s="93" t="str">
        <f>IF(S477=0,"",SUMIFS('VÍNCULOS_CDF'!$H$6:$H$1005,'VÍNCULOS_CDF'!$O$6:$O$1005,A477,'VÍNCULOS_CDF'!$V$6:$V$1005,1))</f>
        <v/>
      </c>
      <c r="P477" s="95" t="str">
        <f>IF(S477=0,"",COUNTIFS('VÍNCULOS_CDF'!$O$6:$O$1005,A477,'VÍNCULOS_CDF'!$N$6:$N$1005,1))</f>
        <v/>
      </c>
      <c r="Q477" s="94" t="str">
        <f>IF(S477=0,"",IF(OR(B477="",F477=""),"Informações incompletas",IF(U477=1,"Possível duplicidade",IF(V477=0,"Destinador fora do cadastro",IF(AND(J477="Sim",N(P477)=0),"Necessita revisão de vínculos",IF(X477&gt;0,"Necessita revisão de vínculos",IF(J477="Sim","Conferido",IF(I477="Sim","Localizado, aguardando conferência","Cadastrado"))))))))</f>
        <v/>
      </c>
      <c r="R477" s="95" t="str">
        <f>IF(S477=0,"",COUNTIFS('VÍNCULOS_CDF'!$O$6:$O$1005,A477,'VÍNCULOS_CDF'!$AB$6:$AB$1005,1))</f>
        <v/>
      </c>
      <c r="S477" s="96">
        <f>IF(COUNTA(B477:N477)&gt;0,1,0)</f>
        <v>0</v>
      </c>
      <c r="T477" s="96" t="str">
        <f>IF(AND(S477=1,B477&lt;&gt;""),C477&amp;"|"&amp;TRIM(B477),"")</f>
        <v/>
      </c>
      <c r="U477" s="96">
        <f>IF(T477="",0,IF(SUMPRODUCT(--($T$6:$T$505=T477))&gt;1,1,0))</f>
        <v>0</v>
      </c>
      <c r="V477" s="96">
        <f>IF(F477="",0,IF(ISNUMBER(MATCH(F477,cmp_dest,0)),1,0))</f>
        <v>0</v>
      </c>
      <c r="W477" s="96">
        <f>IF(AND(S477=1,B477&lt;&gt;"",F477&lt;&gt;"",J477="Sim",U477=0),1,0)</f>
        <v>0</v>
      </c>
      <c r="X477" s="96">
        <f>IF(S477=0,0,COUNTIFS('VÍNCULOS_CDF'!$O$6:$O$1005,A477,'VÍNCULOS_CDF'!$Y$6:$Y$1005,1))</f>
        <v>0</v>
      </c>
      <c r="Y477" s="96" t="str">
        <f>IF(S477=1,A477&amp;" | CDF "&amp;IF(B477="","(sem número)",B477)&amp;" | "&amp;IF(F477="","(sem destinador)",F477),"")</f>
        <v/>
      </c>
      <c r="Z477" s="96" t="str">
        <f>IF(S477=1,COUNTIF($S$6:S477,1),"")</f>
        <v/>
      </c>
      <c r="AA477" s="96">
        <f>IF(S477=0,0,IF(AND(OR(r_ini="",AND(ISNUMBER(D477),D477&gt;=r_ini)),OR(r_fim="",AND(ISNUMBER(D477),D477&lt;=r_fim)),OR(r_de="",r_de="(Todos)",F477=r_de)),1,0))</f>
        <v>0</v>
      </c>
      <c r="AB477" s="96" t="str">
        <f>IF(AA477=1,IF(F477="",0,COUNTIF($F$6:$F$505,"&lt;"&amp;F477))*1000+472,"")</f>
        <v/>
      </c>
    </row>
    <row r="478">
      <c r="A478" s="89" t="inlineStr">
        <is>
          <t>CDF-000473</t>
        </is>
      </c>
      <c r="B478" s="90" t="n"/>
      <c r="C478" s="91" t="n"/>
      <c r="D478" s="92" t="n"/>
      <c r="E478" s="91" t="n"/>
      <c r="F478" s="91" t="n"/>
      <c r="G478" s="91" t="n"/>
      <c r="H478" s="91" t="n"/>
      <c r="I478" s="91" t="n"/>
      <c r="J478" s="91" t="n"/>
      <c r="K478" s="92" t="n"/>
      <c r="L478" s="91" t="n"/>
      <c r="M478" s="91" t="n"/>
      <c r="N478" s="91" t="n"/>
      <c r="O478" s="93" t="str">
        <f>IF(S478=0,"",SUMIFS('VÍNCULOS_CDF'!$H$6:$H$1005,'VÍNCULOS_CDF'!$O$6:$O$1005,A478,'VÍNCULOS_CDF'!$V$6:$V$1005,1))</f>
        <v/>
      </c>
      <c r="P478" s="95" t="str">
        <f>IF(S478=0,"",COUNTIFS('VÍNCULOS_CDF'!$O$6:$O$1005,A478,'VÍNCULOS_CDF'!$N$6:$N$1005,1))</f>
        <v/>
      </c>
      <c r="Q478" s="94" t="str">
        <f>IF(S478=0,"",IF(OR(B478="",F478=""),"Informações incompletas",IF(U478=1,"Possível duplicidade",IF(V478=0,"Destinador fora do cadastro",IF(AND(J478="Sim",N(P478)=0),"Necessita revisão de vínculos",IF(X478&gt;0,"Necessita revisão de vínculos",IF(J478="Sim","Conferido",IF(I478="Sim","Localizado, aguardando conferência","Cadastrado"))))))))</f>
        <v/>
      </c>
      <c r="R478" s="95" t="str">
        <f>IF(S478=0,"",COUNTIFS('VÍNCULOS_CDF'!$O$6:$O$1005,A478,'VÍNCULOS_CDF'!$AB$6:$AB$1005,1))</f>
        <v/>
      </c>
      <c r="S478" s="96">
        <f>IF(COUNTA(B478:N478)&gt;0,1,0)</f>
        <v>0</v>
      </c>
      <c r="T478" s="96" t="str">
        <f>IF(AND(S478=1,B478&lt;&gt;""),C478&amp;"|"&amp;TRIM(B478),"")</f>
        <v/>
      </c>
      <c r="U478" s="96">
        <f>IF(T478="",0,IF(SUMPRODUCT(--($T$6:$T$505=T478))&gt;1,1,0))</f>
        <v>0</v>
      </c>
      <c r="V478" s="96">
        <f>IF(F478="",0,IF(ISNUMBER(MATCH(F478,cmp_dest,0)),1,0))</f>
        <v>0</v>
      </c>
      <c r="W478" s="96">
        <f>IF(AND(S478=1,B478&lt;&gt;"",F478&lt;&gt;"",J478="Sim",U478=0),1,0)</f>
        <v>0</v>
      </c>
      <c r="X478" s="96">
        <f>IF(S478=0,0,COUNTIFS('VÍNCULOS_CDF'!$O$6:$O$1005,A478,'VÍNCULOS_CDF'!$Y$6:$Y$1005,1))</f>
        <v>0</v>
      </c>
      <c r="Y478" s="96" t="str">
        <f>IF(S478=1,A478&amp;" | CDF "&amp;IF(B478="","(sem número)",B478)&amp;" | "&amp;IF(F478="","(sem destinador)",F478),"")</f>
        <v/>
      </c>
      <c r="Z478" s="96" t="str">
        <f>IF(S478=1,COUNTIF($S$6:S478,1),"")</f>
        <v/>
      </c>
      <c r="AA478" s="96">
        <f>IF(S478=0,0,IF(AND(OR(r_ini="",AND(ISNUMBER(D478),D478&gt;=r_ini)),OR(r_fim="",AND(ISNUMBER(D478),D478&lt;=r_fim)),OR(r_de="",r_de="(Todos)",F478=r_de)),1,0))</f>
        <v>0</v>
      </c>
      <c r="AB478" s="96" t="str">
        <f>IF(AA478=1,IF(F478="",0,COUNTIF($F$6:$F$505,"&lt;"&amp;F478))*1000+473,"")</f>
        <v/>
      </c>
    </row>
    <row r="479">
      <c r="A479" s="89" t="inlineStr">
        <is>
          <t>CDF-000474</t>
        </is>
      </c>
      <c r="B479" s="90" t="n"/>
      <c r="C479" s="91" t="n"/>
      <c r="D479" s="92" t="n"/>
      <c r="E479" s="91" t="n"/>
      <c r="F479" s="91" t="n"/>
      <c r="G479" s="91" t="n"/>
      <c r="H479" s="91" t="n"/>
      <c r="I479" s="91" t="n"/>
      <c r="J479" s="91" t="n"/>
      <c r="K479" s="92" t="n"/>
      <c r="L479" s="91" t="n"/>
      <c r="M479" s="91" t="n"/>
      <c r="N479" s="91" t="n"/>
      <c r="O479" s="93" t="str">
        <f>IF(S479=0,"",SUMIFS('VÍNCULOS_CDF'!$H$6:$H$1005,'VÍNCULOS_CDF'!$O$6:$O$1005,A479,'VÍNCULOS_CDF'!$V$6:$V$1005,1))</f>
        <v/>
      </c>
      <c r="P479" s="95" t="str">
        <f>IF(S479=0,"",COUNTIFS('VÍNCULOS_CDF'!$O$6:$O$1005,A479,'VÍNCULOS_CDF'!$N$6:$N$1005,1))</f>
        <v/>
      </c>
      <c r="Q479" s="94" t="str">
        <f>IF(S479=0,"",IF(OR(B479="",F479=""),"Informações incompletas",IF(U479=1,"Possível duplicidade",IF(V479=0,"Destinador fora do cadastro",IF(AND(J479="Sim",N(P479)=0),"Necessita revisão de vínculos",IF(X479&gt;0,"Necessita revisão de vínculos",IF(J479="Sim","Conferido",IF(I479="Sim","Localizado, aguardando conferência","Cadastrado"))))))))</f>
        <v/>
      </c>
      <c r="R479" s="95" t="str">
        <f>IF(S479=0,"",COUNTIFS('VÍNCULOS_CDF'!$O$6:$O$1005,A479,'VÍNCULOS_CDF'!$AB$6:$AB$1005,1))</f>
        <v/>
      </c>
      <c r="S479" s="96">
        <f>IF(COUNTA(B479:N479)&gt;0,1,0)</f>
        <v>0</v>
      </c>
      <c r="T479" s="96" t="str">
        <f>IF(AND(S479=1,B479&lt;&gt;""),C479&amp;"|"&amp;TRIM(B479),"")</f>
        <v/>
      </c>
      <c r="U479" s="96">
        <f>IF(T479="",0,IF(SUMPRODUCT(--($T$6:$T$505=T479))&gt;1,1,0))</f>
        <v>0</v>
      </c>
      <c r="V479" s="96">
        <f>IF(F479="",0,IF(ISNUMBER(MATCH(F479,cmp_dest,0)),1,0))</f>
        <v>0</v>
      </c>
      <c r="W479" s="96">
        <f>IF(AND(S479=1,B479&lt;&gt;"",F479&lt;&gt;"",J479="Sim",U479=0),1,0)</f>
        <v>0</v>
      </c>
      <c r="X479" s="96">
        <f>IF(S479=0,0,COUNTIFS('VÍNCULOS_CDF'!$O$6:$O$1005,A479,'VÍNCULOS_CDF'!$Y$6:$Y$1005,1))</f>
        <v>0</v>
      </c>
      <c r="Y479" s="96" t="str">
        <f>IF(S479=1,A479&amp;" | CDF "&amp;IF(B479="","(sem número)",B479)&amp;" | "&amp;IF(F479="","(sem destinador)",F479),"")</f>
        <v/>
      </c>
      <c r="Z479" s="96" t="str">
        <f>IF(S479=1,COUNTIF($S$6:S479,1),"")</f>
        <v/>
      </c>
      <c r="AA479" s="96">
        <f>IF(S479=0,0,IF(AND(OR(r_ini="",AND(ISNUMBER(D479),D479&gt;=r_ini)),OR(r_fim="",AND(ISNUMBER(D479),D479&lt;=r_fim)),OR(r_de="",r_de="(Todos)",F479=r_de)),1,0))</f>
        <v>0</v>
      </c>
      <c r="AB479" s="96" t="str">
        <f>IF(AA479=1,IF(F479="",0,COUNTIF($F$6:$F$505,"&lt;"&amp;F479))*1000+474,"")</f>
        <v/>
      </c>
    </row>
    <row r="480">
      <c r="A480" s="89" t="inlineStr">
        <is>
          <t>CDF-000475</t>
        </is>
      </c>
      <c r="B480" s="90" t="n"/>
      <c r="C480" s="91" t="n"/>
      <c r="D480" s="92" t="n"/>
      <c r="E480" s="91" t="n"/>
      <c r="F480" s="91" t="n"/>
      <c r="G480" s="91" t="n"/>
      <c r="H480" s="91" t="n"/>
      <c r="I480" s="91" t="n"/>
      <c r="J480" s="91" t="n"/>
      <c r="K480" s="92" t="n"/>
      <c r="L480" s="91" t="n"/>
      <c r="M480" s="91" t="n"/>
      <c r="N480" s="91" t="n"/>
      <c r="O480" s="93" t="str">
        <f>IF(S480=0,"",SUMIFS('VÍNCULOS_CDF'!$H$6:$H$1005,'VÍNCULOS_CDF'!$O$6:$O$1005,A480,'VÍNCULOS_CDF'!$V$6:$V$1005,1))</f>
        <v/>
      </c>
      <c r="P480" s="95" t="str">
        <f>IF(S480=0,"",COUNTIFS('VÍNCULOS_CDF'!$O$6:$O$1005,A480,'VÍNCULOS_CDF'!$N$6:$N$1005,1))</f>
        <v/>
      </c>
      <c r="Q480" s="94" t="str">
        <f>IF(S480=0,"",IF(OR(B480="",F480=""),"Informações incompletas",IF(U480=1,"Possível duplicidade",IF(V480=0,"Destinador fora do cadastro",IF(AND(J480="Sim",N(P480)=0),"Necessita revisão de vínculos",IF(X480&gt;0,"Necessita revisão de vínculos",IF(J480="Sim","Conferido",IF(I480="Sim","Localizado, aguardando conferência","Cadastrado"))))))))</f>
        <v/>
      </c>
      <c r="R480" s="95" t="str">
        <f>IF(S480=0,"",COUNTIFS('VÍNCULOS_CDF'!$O$6:$O$1005,A480,'VÍNCULOS_CDF'!$AB$6:$AB$1005,1))</f>
        <v/>
      </c>
      <c r="S480" s="96">
        <f>IF(COUNTA(B480:N480)&gt;0,1,0)</f>
        <v>0</v>
      </c>
      <c r="T480" s="96" t="str">
        <f>IF(AND(S480=1,B480&lt;&gt;""),C480&amp;"|"&amp;TRIM(B480),"")</f>
        <v/>
      </c>
      <c r="U480" s="96">
        <f>IF(T480="",0,IF(SUMPRODUCT(--($T$6:$T$505=T480))&gt;1,1,0))</f>
        <v>0</v>
      </c>
      <c r="V480" s="96">
        <f>IF(F480="",0,IF(ISNUMBER(MATCH(F480,cmp_dest,0)),1,0))</f>
        <v>0</v>
      </c>
      <c r="W480" s="96">
        <f>IF(AND(S480=1,B480&lt;&gt;"",F480&lt;&gt;"",J480="Sim",U480=0),1,0)</f>
        <v>0</v>
      </c>
      <c r="X480" s="96">
        <f>IF(S480=0,0,COUNTIFS('VÍNCULOS_CDF'!$O$6:$O$1005,A480,'VÍNCULOS_CDF'!$Y$6:$Y$1005,1))</f>
        <v>0</v>
      </c>
      <c r="Y480" s="96" t="str">
        <f>IF(S480=1,A480&amp;" | CDF "&amp;IF(B480="","(sem número)",B480)&amp;" | "&amp;IF(F480="","(sem destinador)",F480),"")</f>
        <v/>
      </c>
      <c r="Z480" s="96" t="str">
        <f>IF(S480=1,COUNTIF($S$6:S480,1),"")</f>
        <v/>
      </c>
      <c r="AA480" s="96">
        <f>IF(S480=0,0,IF(AND(OR(r_ini="",AND(ISNUMBER(D480),D480&gt;=r_ini)),OR(r_fim="",AND(ISNUMBER(D480),D480&lt;=r_fim)),OR(r_de="",r_de="(Todos)",F480=r_de)),1,0))</f>
        <v>0</v>
      </c>
      <c r="AB480" s="96" t="str">
        <f>IF(AA480=1,IF(F480="",0,COUNTIF($F$6:$F$505,"&lt;"&amp;F480))*1000+475,"")</f>
        <v/>
      </c>
    </row>
    <row r="481">
      <c r="A481" s="89" t="inlineStr">
        <is>
          <t>CDF-000476</t>
        </is>
      </c>
      <c r="B481" s="90" t="n"/>
      <c r="C481" s="91" t="n"/>
      <c r="D481" s="92" t="n"/>
      <c r="E481" s="91" t="n"/>
      <c r="F481" s="91" t="n"/>
      <c r="G481" s="91" t="n"/>
      <c r="H481" s="91" t="n"/>
      <c r="I481" s="91" t="n"/>
      <c r="J481" s="91" t="n"/>
      <c r="K481" s="92" t="n"/>
      <c r="L481" s="91" t="n"/>
      <c r="M481" s="91" t="n"/>
      <c r="N481" s="91" t="n"/>
      <c r="O481" s="93" t="str">
        <f>IF(S481=0,"",SUMIFS('VÍNCULOS_CDF'!$H$6:$H$1005,'VÍNCULOS_CDF'!$O$6:$O$1005,A481,'VÍNCULOS_CDF'!$V$6:$V$1005,1))</f>
        <v/>
      </c>
      <c r="P481" s="95" t="str">
        <f>IF(S481=0,"",COUNTIFS('VÍNCULOS_CDF'!$O$6:$O$1005,A481,'VÍNCULOS_CDF'!$N$6:$N$1005,1))</f>
        <v/>
      </c>
      <c r="Q481" s="94" t="str">
        <f>IF(S481=0,"",IF(OR(B481="",F481=""),"Informações incompletas",IF(U481=1,"Possível duplicidade",IF(V481=0,"Destinador fora do cadastro",IF(AND(J481="Sim",N(P481)=0),"Necessita revisão de vínculos",IF(X481&gt;0,"Necessita revisão de vínculos",IF(J481="Sim","Conferido",IF(I481="Sim","Localizado, aguardando conferência","Cadastrado"))))))))</f>
        <v/>
      </c>
      <c r="R481" s="95" t="str">
        <f>IF(S481=0,"",COUNTIFS('VÍNCULOS_CDF'!$O$6:$O$1005,A481,'VÍNCULOS_CDF'!$AB$6:$AB$1005,1))</f>
        <v/>
      </c>
      <c r="S481" s="96">
        <f>IF(COUNTA(B481:N481)&gt;0,1,0)</f>
        <v>0</v>
      </c>
      <c r="T481" s="96" t="str">
        <f>IF(AND(S481=1,B481&lt;&gt;""),C481&amp;"|"&amp;TRIM(B481),"")</f>
        <v/>
      </c>
      <c r="U481" s="96">
        <f>IF(T481="",0,IF(SUMPRODUCT(--($T$6:$T$505=T481))&gt;1,1,0))</f>
        <v>0</v>
      </c>
      <c r="V481" s="96">
        <f>IF(F481="",0,IF(ISNUMBER(MATCH(F481,cmp_dest,0)),1,0))</f>
        <v>0</v>
      </c>
      <c r="W481" s="96">
        <f>IF(AND(S481=1,B481&lt;&gt;"",F481&lt;&gt;"",J481="Sim",U481=0),1,0)</f>
        <v>0</v>
      </c>
      <c r="X481" s="96">
        <f>IF(S481=0,0,COUNTIFS('VÍNCULOS_CDF'!$O$6:$O$1005,A481,'VÍNCULOS_CDF'!$Y$6:$Y$1005,1))</f>
        <v>0</v>
      </c>
      <c r="Y481" s="96" t="str">
        <f>IF(S481=1,A481&amp;" | CDF "&amp;IF(B481="","(sem número)",B481)&amp;" | "&amp;IF(F481="","(sem destinador)",F481),"")</f>
        <v/>
      </c>
      <c r="Z481" s="96" t="str">
        <f>IF(S481=1,COUNTIF($S$6:S481,1),"")</f>
        <v/>
      </c>
      <c r="AA481" s="96">
        <f>IF(S481=0,0,IF(AND(OR(r_ini="",AND(ISNUMBER(D481),D481&gt;=r_ini)),OR(r_fim="",AND(ISNUMBER(D481),D481&lt;=r_fim)),OR(r_de="",r_de="(Todos)",F481=r_de)),1,0))</f>
        <v>0</v>
      </c>
      <c r="AB481" s="96" t="str">
        <f>IF(AA481=1,IF(F481="",0,COUNTIF($F$6:$F$505,"&lt;"&amp;F481))*1000+476,"")</f>
        <v/>
      </c>
    </row>
    <row r="482">
      <c r="A482" s="89" t="inlineStr">
        <is>
          <t>CDF-000477</t>
        </is>
      </c>
      <c r="B482" s="90" t="n"/>
      <c r="C482" s="91" t="n"/>
      <c r="D482" s="92" t="n"/>
      <c r="E482" s="91" t="n"/>
      <c r="F482" s="91" t="n"/>
      <c r="G482" s="91" t="n"/>
      <c r="H482" s="91" t="n"/>
      <c r="I482" s="91" t="n"/>
      <c r="J482" s="91" t="n"/>
      <c r="K482" s="92" t="n"/>
      <c r="L482" s="91" t="n"/>
      <c r="M482" s="91" t="n"/>
      <c r="N482" s="91" t="n"/>
      <c r="O482" s="93" t="str">
        <f>IF(S482=0,"",SUMIFS('VÍNCULOS_CDF'!$H$6:$H$1005,'VÍNCULOS_CDF'!$O$6:$O$1005,A482,'VÍNCULOS_CDF'!$V$6:$V$1005,1))</f>
        <v/>
      </c>
      <c r="P482" s="95" t="str">
        <f>IF(S482=0,"",COUNTIFS('VÍNCULOS_CDF'!$O$6:$O$1005,A482,'VÍNCULOS_CDF'!$N$6:$N$1005,1))</f>
        <v/>
      </c>
      <c r="Q482" s="94" t="str">
        <f>IF(S482=0,"",IF(OR(B482="",F482=""),"Informações incompletas",IF(U482=1,"Possível duplicidade",IF(V482=0,"Destinador fora do cadastro",IF(AND(J482="Sim",N(P482)=0),"Necessita revisão de vínculos",IF(X482&gt;0,"Necessita revisão de vínculos",IF(J482="Sim","Conferido",IF(I482="Sim","Localizado, aguardando conferência","Cadastrado"))))))))</f>
        <v/>
      </c>
      <c r="R482" s="95" t="str">
        <f>IF(S482=0,"",COUNTIFS('VÍNCULOS_CDF'!$O$6:$O$1005,A482,'VÍNCULOS_CDF'!$AB$6:$AB$1005,1))</f>
        <v/>
      </c>
      <c r="S482" s="96">
        <f>IF(COUNTA(B482:N482)&gt;0,1,0)</f>
        <v>0</v>
      </c>
      <c r="T482" s="96" t="str">
        <f>IF(AND(S482=1,B482&lt;&gt;""),C482&amp;"|"&amp;TRIM(B482),"")</f>
        <v/>
      </c>
      <c r="U482" s="96">
        <f>IF(T482="",0,IF(SUMPRODUCT(--($T$6:$T$505=T482))&gt;1,1,0))</f>
        <v>0</v>
      </c>
      <c r="V482" s="96">
        <f>IF(F482="",0,IF(ISNUMBER(MATCH(F482,cmp_dest,0)),1,0))</f>
        <v>0</v>
      </c>
      <c r="W482" s="96">
        <f>IF(AND(S482=1,B482&lt;&gt;"",F482&lt;&gt;"",J482="Sim",U482=0),1,0)</f>
        <v>0</v>
      </c>
      <c r="X482" s="96">
        <f>IF(S482=0,0,COUNTIFS('VÍNCULOS_CDF'!$O$6:$O$1005,A482,'VÍNCULOS_CDF'!$Y$6:$Y$1005,1))</f>
        <v>0</v>
      </c>
      <c r="Y482" s="96" t="str">
        <f>IF(S482=1,A482&amp;" | CDF "&amp;IF(B482="","(sem número)",B482)&amp;" | "&amp;IF(F482="","(sem destinador)",F482),"")</f>
        <v/>
      </c>
      <c r="Z482" s="96" t="str">
        <f>IF(S482=1,COUNTIF($S$6:S482,1),"")</f>
        <v/>
      </c>
      <c r="AA482" s="96">
        <f>IF(S482=0,0,IF(AND(OR(r_ini="",AND(ISNUMBER(D482),D482&gt;=r_ini)),OR(r_fim="",AND(ISNUMBER(D482),D482&lt;=r_fim)),OR(r_de="",r_de="(Todos)",F482=r_de)),1,0))</f>
        <v>0</v>
      </c>
      <c r="AB482" s="96" t="str">
        <f>IF(AA482=1,IF(F482="",0,COUNTIF($F$6:$F$505,"&lt;"&amp;F482))*1000+477,"")</f>
        <v/>
      </c>
    </row>
    <row r="483">
      <c r="A483" s="89" t="inlineStr">
        <is>
          <t>CDF-000478</t>
        </is>
      </c>
      <c r="B483" s="90" t="n"/>
      <c r="C483" s="91" t="n"/>
      <c r="D483" s="92" t="n"/>
      <c r="E483" s="91" t="n"/>
      <c r="F483" s="91" t="n"/>
      <c r="G483" s="91" t="n"/>
      <c r="H483" s="91" t="n"/>
      <c r="I483" s="91" t="n"/>
      <c r="J483" s="91" t="n"/>
      <c r="K483" s="92" t="n"/>
      <c r="L483" s="91" t="n"/>
      <c r="M483" s="91" t="n"/>
      <c r="N483" s="91" t="n"/>
      <c r="O483" s="93" t="str">
        <f>IF(S483=0,"",SUMIFS('VÍNCULOS_CDF'!$H$6:$H$1005,'VÍNCULOS_CDF'!$O$6:$O$1005,A483,'VÍNCULOS_CDF'!$V$6:$V$1005,1))</f>
        <v/>
      </c>
      <c r="P483" s="95" t="str">
        <f>IF(S483=0,"",COUNTIFS('VÍNCULOS_CDF'!$O$6:$O$1005,A483,'VÍNCULOS_CDF'!$N$6:$N$1005,1))</f>
        <v/>
      </c>
      <c r="Q483" s="94" t="str">
        <f>IF(S483=0,"",IF(OR(B483="",F483=""),"Informações incompletas",IF(U483=1,"Possível duplicidade",IF(V483=0,"Destinador fora do cadastro",IF(AND(J483="Sim",N(P483)=0),"Necessita revisão de vínculos",IF(X483&gt;0,"Necessita revisão de vínculos",IF(J483="Sim","Conferido",IF(I483="Sim","Localizado, aguardando conferência","Cadastrado"))))))))</f>
        <v/>
      </c>
      <c r="R483" s="95" t="str">
        <f>IF(S483=0,"",COUNTIFS('VÍNCULOS_CDF'!$O$6:$O$1005,A483,'VÍNCULOS_CDF'!$AB$6:$AB$1005,1))</f>
        <v/>
      </c>
      <c r="S483" s="96">
        <f>IF(COUNTA(B483:N483)&gt;0,1,0)</f>
        <v>0</v>
      </c>
      <c r="T483" s="96" t="str">
        <f>IF(AND(S483=1,B483&lt;&gt;""),C483&amp;"|"&amp;TRIM(B483),"")</f>
        <v/>
      </c>
      <c r="U483" s="96">
        <f>IF(T483="",0,IF(SUMPRODUCT(--($T$6:$T$505=T483))&gt;1,1,0))</f>
        <v>0</v>
      </c>
      <c r="V483" s="96">
        <f>IF(F483="",0,IF(ISNUMBER(MATCH(F483,cmp_dest,0)),1,0))</f>
        <v>0</v>
      </c>
      <c r="W483" s="96">
        <f>IF(AND(S483=1,B483&lt;&gt;"",F483&lt;&gt;"",J483="Sim",U483=0),1,0)</f>
        <v>0</v>
      </c>
      <c r="X483" s="96">
        <f>IF(S483=0,0,COUNTIFS('VÍNCULOS_CDF'!$O$6:$O$1005,A483,'VÍNCULOS_CDF'!$Y$6:$Y$1005,1))</f>
        <v>0</v>
      </c>
      <c r="Y483" s="96" t="str">
        <f>IF(S483=1,A483&amp;" | CDF "&amp;IF(B483="","(sem número)",B483)&amp;" | "&amp;IF(F483="","(sem destinador)",F483),"")</f>
        <v/>
      </c>
      <c r="Z483" s="96" t="str">
        <f>IF(S483=1,COUNTIF($S$6:S483,1),"")</f>
        <v/>
      </c>
      <c r="AA483" s="96">
        <f>IF(S483=0,0,IF(AND(OR(r_ini="",AND(ISNUMBER(D483),D483&gt;=r_ini)),OR(r_fim="",AND(ISNUMBER(D483),D483&lt;=r_fim)),OR(r_de="",r_de="(Todos)",F483=r_de)),1,0))</f>
        <v>0</v>
      </c>
      <c r="AB483" s="96" t="str">
        <f>IF(AA483=1,IF(F483="",0,COUNTIF($F$6:$F$505,"&lt;"&amp;F483))*1000+478,"")</f>
        <v/>
      </c>
    </row>
    <row r="484">
      <c r="A484" s="89" t="inlineStr">
        <is>
          <t>CDF-000479</t>
        </is>
      </c>
      <c r="B484" s="90" t="n"/>
      <c r="C484" s="91" t="n"/>
      <c r="D484" s="92" t="n"/>
      <c r="E484" s="91" t="n"/>
      <c r="F484" s="91" t="n"/>
      <c r="G484" s="91" t="n"/>
      <c r="H484" s="91" t="n"/>
      <c r="I484" s="91" t="n"/>
      <c r="J484" s="91" t="n"/>
      <c r="K484" s="92" t="n"/>
      <c r="L484" s="91" t="n"/>
      <c r="M484" s="91" t="n"/>
      <c r="N484" s="91" t="n"/>
      <c r="O484" s="93" t="str">
        <f>IF(S484=0,"",SUMIFS('VÍNCULOS_CDF'!$H$6:$H$1005,'VÍNCULOS_CDF'!$O$6:$O$1005,A484,'VÍNCULOS_CDF'!$V$6:$V$1005,1))</f>
        <v/>
      </c>
      <c r="P484" s="95" t="str">
        <f>IF(S484=0,"",COUNTIFS('VÍNCULOS_CDF'!$O$6:$O$1005,A484,'VÍNCULOS_CDF'!$N$6:$N$1005,1))</f>
        <v/>
      </c>
      <c r="Q484" s="94" t="str">
        <f>IF(S484=0,"",IF(OR(B484="",F484=""),"Informações incompletas",IF(U484=1,"Possível duplicidade",IF(V484=0,"Destinador fora do cadastro",IF(AND(J484="Sim",N(P484)=0),"Necessita revisão de vínculos",IF(X484&gt;0,"Necessita revisão de vínculos",IF(J484="Sim","Conferido",IF(I484="Sim","Localizado, aguardando conferência","Cadastrado"))))))))</f>
        <v/>
      </c>
      <c r="R484" s="95" t="str">
        <f>IF(S484=0,"",COUNTIFS('VÍNCULOS_CDF'!$O$6:$O$1005,A484,'VÍNCULOS_CDF'!$AB$6:$AB$1005,1))</f>
        <v/>
      </c>
      <c r="S484" s="96">
        <f>IF(COUNTA(B484:N484)&gt;0,1,0)</f>
        <v>0</v>
      </c>
      <c r="T484" s="96" t="str">
        <f>IF(AND(S484=1,B484&lt;&gt;""),C484&amp;"|"&amp;TRIM(B484),"")</f>
        <v/>
      </c>
      <c r="U484" s="96">
        <f>IF(T484="",0,IF(SUMPRODUCT(--($T$6:$T$505=T484))&gt;1,1,0))</f>
        <v>0</v>
      </c>
      <c r="V484" s="96">
        <f>IF(F484="",0,IF(ISNUMBER(MATCH(F484,cmp_dest,0)),1,0))</f>
        <v>0</v>
      </c>
      <c r="W484" s="96">
        <f>IF(AND(S484=1,B484&lt;&gt;"",F484&lt;&gt;"",J484="Sim",U484=0),1,0)</f>
        <v>0</v>
      </c>
      <c r="X484" s="96">
        <f>IF(S484=0,0,COUNTIFS('VÍNCULOS_CDF'!$O$6:$O$1005,A484,'VÍNCULOS_CDF'!$Y$6:$Y$1005,1))</f>
        <v>0</v>
      </c>
      <c r="Y484" s="96" t="str">
        <f>IF(S484=1,A484&amp;" | CDF "&amp;IF(B484="","(sem número)",B484)&amp;" | "&amp;IF(F484="","(sem destinador)",F484),"")</f>
        <v/>
      </c>
      <c r="Z484" s="96" t="str">
        <f>IF(S484=1,COUNTIF($S$6:S484,1),"")</f>
        <v/>
      </c>
      <c r="AA484" s="96">
        <f>IF(S484=0,0,IF(AND(OR(r_ini="",AND(ISNUMBER(D484),D484&gt;=r_ini)),OR(r_fim="",AND(ISNUMBER(D484),D484&lt;=r_fim)),OR(r_de="",r_de="(Todos)",F484=r_de)),1,0))</f>
        <v>0</v>
      </c>
      <c r="AB484" s="96" t="str">
        <f>IF(AA484=1,IF(F484="",0,COUNTIF($F$6:$F$505,"&lt;"&amp;F484))*1000+479,"")</f>
        <v/>
      </c>
    </row>
    <row r="485">
      <c r="A485" s="89" t="inlineStr">
        <is>
          <t>CDF-000480</t>
        </is>
      </c>
      <c r="B485" s="90" t="n"/>
      <c r="C485" s="91" t="n"/>
      <c r="D485" s="92" t="n"/>
      <c r="E485" s="91" t="n"/>
      <c r="F485" s="91" t="n"/>
      <c r="G485" s="91" t="n"/>
      <c r="H485" s="91" t="n"/>
      <c r="I485" s="91" t="n"/>
      <c r="J485" s="91" t="n"/>
      <c r="K485" s="92" t="n"/>
      <c r="L485" s="91" t="n"/>
      <c r="M485" s="91" t="n"/>
      <c r="N485" s="91" t="n"/>
      <c r="O485" s="93" t="str">
        <f>IF(S485=0,"",SUMIFS('VÍNCULOS_CDF'!$H$6:$H$1005,'VÍNCULOS_CDF'!$O$6:$O$1005,A485,'VÍNCULOS_CDF'!$V$6:$V$1005,1))</f>
        <v/>
      </c>
      <c r="P485" s="95" t="str">
        <f>IF(S485=0,"",COUNTIFS('VÍNCULOS_CDF'!$O$6:$O$1005,A485,'VÍNCULOS_CDF'!$N$6:$N$1005,1))</f>
        <v/>
      </c>
      <c r="Q485" s="94" t="str">
        <f>IF(S485=0,"",IF(OR(B485="",F485=""),"Informações incompletas",IF(U485=1,"Possível duplicidade",IF(V485=0,"Destinador fora do cadastro",IF(AND(J485="Sim",N(P485)=0),"Necessita revisão de vínculos",IF(X485&gt;0,"Necessita revisão de vínculos",IF(J485="Sim","Conferido",IF(I485="Sim","Localizado, aguardando conferência","Cadastrado"))))))))</f>
        <v/>
      </c>
      <c r="R485" s="95" t="str">
        <f>IF(S485=0,"",COUNTIFS('VÍNCULOS_CDF'!$O$6:$O$1005,A485,'VÍNCULOS_CDF'!$AB$6:$AB$1005,1))</f>
        <v/>
      </c>
      <c r="S485" s="96">
        <f>IF(COUNTA(B485:N485)&gt;0,1,0)</f>
        <v>0</v>
      </c>
      <c r="T485" s="96" t="str">
        <f>IF(AND(S485=1,B485&lt;&gt;""),C485&amp;"|"&amp;TRIM(B485),"")</f>
        <v/>
      </c>
      <c r="U485" s="96">
        <f>IF(T485="",0,IF(SUMPRODUCT(--($T$6:$T$505=T485))&gt;1,1,0))</f>
        <v>0</v>
      </c>
      <c r="V485" s="96">
        <f>IF(F485="",0,IF(ISNUMBER(MATCH(F485,cmp_dest,0)),1,0))</f>
        <v>0</v>
      </c>
      <c r="W485" s="96">
        <f>IF(AND(S485=1,B485&lt;&gt;"",F485&lt;&gt;"",J485="Sim",U485=0),1,0)</f>
        <v>0</v>
      </c>
      <c r="X485" s="96">
        <f>IF(S485=0,0,COUNTIFS('VÍNCULOS_CDF'!$O$6:$O$1005,A485,'VÍNCULOS_CDF'!$Y$6:$Y$1005,1))</f>
        <v>0</v>
      </c>
      <c r="Y485" s="96" t="str">
        <f>IF(S485=1,A485&amp;" | CDF "&amp;IF(B485="","(sem número)",B485)&amp;" | "&amp;IF(F485="","(sem destinador)",F485),"")</f>
        <v/>
      </c>
      <c r="Z485" s="96" t="str">
        <f>IF(S485=1,COUNTIF($S$6:S485,1),"")</f>
        <v/>
      </c>
      <c r="AA485" s="96">
        <f>IF(S485=0,0,IF(AND(OR(r_ini="",AND(ISNUMBER(D485),D485&gt;=r_ini)),OR(r_fim="",AND(ISNUMBER(D485),D485&lt;=r_fim)),OR(r_de="",r_de="(Todos)",F485=r_de)),1,0))</f>
        <v>0</v>
      </c>
      <c r="AB485" s="96" t="str">
        <f>IF(AA485=1,IF(F485="",0,COUNTIF($F$6:$F$505,"&lt;"&amp;F485))*1000+480,"")</f>
        <v/>
      </c>
    </row>
    <row r="486">
      <c r="A486" s="89" t="inlineStr">
        <is>
          <t>CDF-000481</t>
        </is>
      </c>
      <c r="B486" s="90" t="n"/>
      <c r="C486" s="91" t="n"/>
      <c r="D486" s="92" t="n"/>
      <c r="E486" s="91" t="n"/>
      <c r="F486" s="91" t="n"/>
      <c r="G486" s="91" t="n"/>
      <c r="H486" s="91" t="n"/>
      <c r="I486" s="91" t="n"/>
      <c r="J486" s="91" t="n"/>
      <c r="K486" s="92" t="n"/>
      <c r="L486" s="91" t="n"/>
      <c r="M486" s="91" t="n"/>
      <c r="N486" s="91" t="n"/>
      <c r="O486" s="93" t="str">
        <f>IF(S486=0,"",SUMIFS('VÍNCULOS_CDF'!$H$6:$H$1005,'VÍNCULOS_CDF'!$O$6:$O$1005,A486,'VÍNCULOS_CDF'!$V$6:$V$1005,1))</f>
        <v/>
      </c>
      <c r="P486" s="95" t="str">
        <f>IF(S486=0,"",COUNTIFS('VÍNCULOS_CDF'!$O$6:$O$1005,A486,'VÍNCULOS_CDF'!$N$6:$N$1005,1))</f>
        <v/>
      </c>
      <c r="Q486" s="94" t="str">
        <f>IF(S486=0,"",IF(OR(B486="",F486=""),"Informações incompletas",IF(U486=1,"Possível duplicidade",IF(V486=0,"Destinador fora do cadastro",IF(AND(J486="Sim",N(P486)=0),"Necessita revisão de vínculos",IF(X486&gt;0,"Necessita revisão de vínculos",IF(J486="Sim","Conferido",IF(I486="Sim","Localizado, aguardando conferência","Cadastrado"))))))))</f>
        <v/>
      </c>
      <c r="R486" s="95" t="str">
        <f>IF(S486=0,"",COUNTIFS('VÍNCULOS_CDF'!$O$6:$O$1005,A486,'VÍNCULOS_CDF'!$AB$6:$AB$1005,1))</f>
        <v/>
      </c>
      <c r="S486" s="96">
        <f>IF(COUNTA(B486:N486)&gt;0,1,0)</f>
        <v>0</v>
      </c>
      <c r="T486" s="96" t="str">
        <f>IF(AND(S486=1,B486&lt;&gt;""),C486&amp;"|"&amp;TRIM(B486),"")</f>
        <v/>
      </c>
      <c r="U486" s="96">
        <f>IF(T486="",0,IF(SUMPRODUCT(--($T$6:$T$505=T486))&gt;1,1,0))</f>
        <v>0</v>
      </c>
      <c r="V486" s="96">
        <f>IF(F486="",0,IF(ISNUMBER(MATCH(F486,cmp_dest,0)),1,0))</f>
        <v>0</v>
      </c>
      <c r="W486" s="96">
        <f>IF(AND(S486=1,B486&lt;&gt;"",F486&lt;&gt;"",J486="Sim",U486=0),1,0)</f>
        <v>0</v>
      </c>
      <c r="X486" s="96">
        <f>IF(S486=0,0,COUNTIFS('VÍNCULOS_CDF'!$O$6:$O$1005,A486,'VÍNCULOS_CDF'!$Y$6:$Y$1005,1))</f>
        <v>0</v>
      </c>
      <c r="Y486" s="96" t="str">
        <f>IF(S486=1,A486&amp;" | CDF "&amp;IF(B486="","(sem número)",B486)&amp;" | "&amp;IF(F486="","(sem destinador)",F486),"")</f>
        <v/>
      </c>
      <c r="Z486" s="96" t="str">
        <f>IF(S486=1,COUNTIF($S$6:S486,1),"")</f>
        <v/>
      </c>
      <c r="AA486" s="96">
        <f>IF(S486=0,0,IF(AND(OR(r_ini="",AND(ISNUMBER(D486),D486&gt;=r_ini)),OR(r_fim="",AND(ISNUMBER(D486),D486&lt;=r_fim)),OR(r_de="",r_de="(Todos)",F486=r_de)),1,0))</f>
        <v>0</v>
      </c>
      <c r="AB486" s="96" t="str">
        <f>IF(AA486=1,IF(F486="",0,COUNTIF($F$6:$F$505,"&lt;"&amp;F486))*1000+481,"")</f>
        <v/>
      </c>
    </row>
    <row r="487">
      <c r="A487" s="89" t="inlineStr">
        <is>
          <t>CDF-000482</t>
        </is>
      </c>
      <c r="B487" s="90" t="n"/>
      <c r="C487" s="91" t="n"/>
      <c r="D487" s="92" t="n"/>
      <c r="E487" s="91" t="n"/>
      <c r="F487" s="91" t="n"/>
      <c r="G487" s="91" t="n"/>
      <c r="H487" s="91" t="n"/>
      <c r="I487" s="91" t="n"/>
      <c r="J487" s="91" t="n"/>
      <c r="K487" s="92" t="n"/>
      <c r="L487" s="91" t="n"/>
      <c r="M487" s="91" t="n"/>
      <c r="N487" s="91" t="n"/>
      <c r="O487" s="93" t="str">
        <f>IF(S487=0,"",SUMIFS('VÍNCULOS_CDF'!$H$6:$H$1005,'VÍNCULOS_CDF'!$O$6:$O$1005,A487,'VÍNCULOS_CDF'!$V$6:$V$1005,1))</f>
        <v/>
      </c>
      <c r="P487" s="95" t="str">
        <f>IF(S487=0,"",COUNTIFS('VÍNCULOS_CDF'!$O$6:$O$1005,A487,'VÍNCULOS_CDF'!$N$6:$N$1005,1))</f>
        <v/>
      </c>
      <c r="Q487" s="94" t="str">
        <f>IF(S487=0,"",IF(OR(B487="",F487=""),"Informações incompletas",IF(U487=1,"Possível duplicidade",IF(V487=0,"Destinador fora do cadastro",IF(AND(J487="Sim",N(P487)=0),"Necessita revisão de vínculos",IF(X487&gt;0,"Necessita revisão de vínculos",IF(J487="Sim","Conferido",IF(I487="Sim","Localizado, aguardando conferência","Cadastrado"))))))))</f>
        <v/>
      </c>
      <c r="R487" s="95" t="str">
        <f>IF(S487=0,"",COUNTIFS('VÍNCULOS_CDF'!$O$6:$O$1005,A487,'VÍNCULOS_CDF'!$AB$6:$AB$1005,1))</f>
        <v/>
      </c>
      <c r="S487" s="96">
        <f>IF(COUNTA(B487:N487)&gt;0,1,0)</f>
        <v>0</v>
      </c>
      <c r="T487" s="96" t="str">
        <f>IF(AND(S487=1,B487&lt;&gt;""),C487&amp;"|"&amp;TRIM(B487),"")</f>
        <v/>
      </c>
      <c r="U487" s="96">
        <f>IF(T487="",0,IF(SUMPRODUCT(--($T$6:$T$505=T487))&gt;1,1,0))</f>
        <v>0</v>
      </c>
      <c r="V487" s="96">
        <f>IF(F487="",0,IF(ISNUMBER(MATCH(F487,cmp_dest,0)),1,0))</f>
        <v>0</v>
      </c>
      <c r="W487" s="96">
        <f>IF(AND(S487=1,B487&lt;&gt;"",F487&lt;&gt;"",J487="Sim",U487=0),1,0)</f>
        <v>0</v>
      </c>
      <c r="X487" s="96">
        <f>IF(S487=0,0,COUNTIFS('VÍNCULOS_CDF'!$O$6:$O$1005,A487,'VÍNCULOS_CDF'!$Y$6:$Y$1005,1))</f>
        <v>0</v>
      </c>
      <c r="Y487" s="96" t="str">
        <f>IF(S487=1,A487&amp;" | CDF "&amp;IF(B487="","(sem número)",B487)&amp;" | "&amp;IF(F487="","(sem destinador)",F487),"")</f>
        <v/>
      </c>
      <c r="Z487" s="96" t="str">
        <f>IF(S487=1,COUNTIF($S$6:S487,1),"")</f>
        <v/>
      </c>
      <c r="AA487" s="96">
        <f>IF(S487=0,0,IF(AND(OR(r_ini="",AND(ISNUMBER(D487),D487&gt;=r_ini)),OR(r_fim="",AND(ISNUMBER(D487),D487&lt;=r_fim)),OR(r_de="",r_de="(Todos)",F487=r_de)),1,0))</f>
        <v>0</v>
      </c>
      <c r="AB487" s="96" t="str">
        <f>IF(AA487=1,IF(F487="",0,COUNTIF($F$6:$F$505,"&lt;"&amp;F487))*1000+482,"")</f>
        <v/>
      </c>
    </row>
    <row r="488">
      <c r="A488" s="89" t="inlineStr">
        <is>
          <t>CDF-000483</t>
        </is>
      </c>
      <c r="B488" s="90" t="n"/>
      <c r="C488" s="91" t="n"/>
      <c r="D488" s="92" t="n"/>
      <c r="E488" s="91" t="n"/>
      <c r="F488" s="91" t="n"/>
      <c r="G488" s="91" t="n"/>
      <c r="H488" s="91" t="n"/>
      <c r="I488" s="91" t="n"/>
      <c r="J488" s="91" t="n"/>
      <c r="K488" s="92" t="n"/>
      <c r="L488" s="91" t="n"/>
      <c r="M488" s="91" t="n"/>
      <c r="N488" s="91" t="n"/>
      <c r="O488" s="93" t="str">
        <f>IF(S488=0,"",SUMIFS('VÍNCULOS_CDF'!$H$6:$H$1005,'VÍNCULOS_CDF'!$O$6:$O$1005,A488,'VÍNCULOS_CDF'!$V$6:$V$1005,1))</f>
        <v/>
      </c>
      <c r="P488" s="95" t="str">
        <f>IF(S488=0,"",COUNTIFS('VÍNCULOS_CDF'!$O$6:$O$1005,A488,'VÍNCULOS_CDF'!$N$6:$N$1005,1))</f>
        <v/>
      </c>
      <c r="Q488" s="94" t="str">
        <f>IF(S488=0,"",IF(OR(B488="",F488=""),"Informações incompletas",IF(U488=1,"Possível duplicidade",IF(V488=0,"Destinador fora do cadastro",IF(AND(J488="Sim",N(P488)=0),"Necessita revisão de vínculos",IF(X488&gt;0,"Necessita revisão de vínculos",IF(J488="Sim","Conferido",IF(I488="Sim","Localizado, aguardando conferência","Cadastrado"))))))))</f>
        <v/>
      </c>
      <c r="R488" s="95" t="str">
        <f>IF(S488=0,"",COUNTIFS('VÍNCULOS_CDF'!$O$6:$O$1005,A488,'VÍNCULOS_CDF'!$AB$6:$AB$1005,1))</f>
        <v/>
      </c>
      <c r="S488" s="96">
        <f>IF(COUNTA(B488:N488)&gt;0,1,0)</f>
        <v>0</v>
      </c>
      <c r="T488" s="96" t="str">
        <f>IF(AND(S488=1,B488&lt;&gt;""),C488&amp;"|"&amp;TRIM(B488),"")</f>
        <v/>
      </c>
      <c r="U488" s="96">
        <f>IF(T488="",0,IF(SUMPRODUCT(--($T$6:$T$505=T488))&gt;1,1,0))</f>
        <v>0</v>
      </c>
      <c r="V488" s="96">
        <f>IF(F488="",0,IF(ISNUMBER(MATCH(F488,cmp_dest,0)),1,0))</f>
        <v>0</v>
      </c>
      <c r="W488" s="96">
        <f>IF(AND(S488=1,B488&lt;&gt;"",F488&lt;&gt;"",J488="Sim",U488=0),1,0)</f>
        <v>0</v>
      </c>
      <c r="X488" s="96">
        <f>IF(S488=0,0,COUNTIFS('VÍNCULOS_CDF'!$O$6:$O$1005,A488,'VÍNCULOS_CDF'!$Y$6:$Y$1005,1))</f>
        <v>0</v>
      </c>
      <c r="Y488" s="96" t="str">
        <f>IF(S488=1,A488&amp;" | CDF "&amp;IF(B488="","(sem número)",B488)&amp;" | "&amp;IF(F488="","(sem destinador)",F488),"")</f>
        <v/>
      </c>
      <c r="Z488" s="96" t="str">
        <f>IF(S488=1,COUNTIF($S$6:S488,1),"")</f>
        <v/>
      </c>
      <c r="AA488" s="96">
        <f>IF(S488=0,0,IF(AND(OR(r_ini="",AND(ISNUMBER(D488),D488&gt;=r_ini)),OR(r_fim="",AND(ISNUMBER(D488),D488&lt;=r_fim)),OR(r_de="",r_de="(Todos)",F488=r_de)),1,0))</f>
        <v>0</v>
      </c>
      <c r="AB488" s="96" t="str">
        <f>IF(AA488=1,IF(F488="",0,COUNTIF($F$6:$F$505,"&lt;"&amp;F488))*1000+483,"")</f>
        <v/>
      </c>
    </row>
    <row r="489">
      <c r="A489" s="89" t="inlineStr">
        <is>
          <t>CDF-000484</t>
        </is>
      </c>
      <c r="B489" s="90" t="n"/>
      <c r="C489" s="91" t="n"/>
      <c r="D489" s="92" t="n"/>
      <c r="E489" s="91" t="n"/>
      <c r="F489" s="91" t="n"/>
      <c r="G489" s="91" t="n"/>
      <c r="H489" s="91" t="n"/>
      <c r="I489" s="91" t="n"/>
      <c r="J489" s="91" t="n"/>
      <c r="K489" s="92" t="n"/>
      <c r="L489" s="91" t="n"/>
      <c r="M489" s="91" t="n"/>
      <c r="N489" s="91" t="n"/>
      <c r="O489" s="93" t="str">
        <f>IF(S489=0,"",SUMIFS('VÍNCULOS_CDF'!$H$6:$H$1005,'VÍNCULOS_CDF'!$O$6:$O$1005,A489,'VÍNCULOS_CDF'!$V$6:$V$1005,1))</f>
        <v/>
      </c>
      <c r="P489" s="95" t="str">
        <f>IF(S489=0,"",COUNTIFS('VÍNCULOS_CDF'!$O$6:$O$1005,A489,'VÍNCULOS_CDF'!$N$6:$N$1005,1))</f>
        <v/>
      </c>
      <c r="Q489" s="94" t="str">
        <f>IF(S489=0,"",IF(OR(B489="",F489=""),"Informações incompletas",IF(U489=1,"Possível duplicidade",IF(V489=0,"Destinador fora do cadastro",IF(AND(J489="Sim",N(P489)=0),"Necessita revisão de vínculos",IF(X489&gt;0,"Necessita revisão de vínculos",IF(J489="Sim","Conferido",IF(I489="Sim","Localizado, aguardando conferência","Cadastrado"))))))))</f>
        <v/>
      </c>
      <c r="R489" s="95" t="str">
        <f>IF(S489=0,"",COUNTIFS('VÍNCULOS_CDF'!$O$6:$O$1005,A489,'VÍNCULOS_CDF'!$AB$6:$AB$1005,1))</f>
        <v/>
      </c>
      <c r="S489" s="96">
        <f>IF(COUNTA(B489:N489)&gt;0,1,0)</f>
        <v>0</v>
      </c>
      <c r="T489" s="96" t="str">
        <f>IF(AND(S489=1,B489&lt;&gt;""),C489&amp;"|"&amp;TRIM(B489),"")</f>
        <v/>
      </c>
      <c r="U489" s="96">
        <f>IF(T489="",0,IF(SUMPRODUCT(--($T$6:$T$505=T489))&gt;1,1,0))</f>
        <v>0</v>
      </c>
      <c r="V489" s="96">
        <f>IF(F489="",0,IF(ISNUMBER(MATCH(F489,cmp_dest,0)),1,0))</f>
        <v>0</v>
      </c>
      <c r="W489" s="96">
        <f>IF(AND(S489=1,B489&lt;&gt;"",F489&lt;&gt;"",J489="Sim",U489=0),1,0)</f>
        <v>0</v>
      </c>
      <c r="X489" s="96">
        <f>IF(S489=0,0,COUNTIFS('VÍNCULOS_CDF'!$O$6:$O$1005,A489,'VÍNCULOS_CDF'!$Y$6:$Y$1005,1))</f>
        <v>0</v>
      </c>
      <c r="Y489" s="96" t="str">
        <f>IF(S489=1,A489&amp;" | CDF "&amp;IF(B489="","(sem número)",B489)&amp;" | "&amp;IF(F489="","(sem destinador)",F489),"")</f>
        <v/>
      </c>
      <c r="Z489" s="96" t="str">
        <f>IF(S489=1,COUNTIF($S$6:S489,1),"")</f>
        <v/>
      </c>
      <c r="AA489" s="96">
        <f>IF(S489=0,0,IF(AND(OR(r_ini="",AND(ISNUMBER(D489),D489&gt;=r_ini)),OR(r_fim="",AND(ISNUMBER(D489),D489&lt;=r_fim)),OR(r_de="",r_de="(Todos)",F489=r_de)),1,0))</f>
        <v>0</v>
      </c>
      <c r="AB489" s="96" t="str">
        <f>IF(AA489=1,IF(F489="",0,COUNTIF($F$6:$F$505,"&lt;"&amp;F489))*1000+484,"")</f>
        <v/>
      </c>
    </row>
    <row r="490">
      <c r="A490" s="89" t="inlineStr">
        <is>
          <t>CDF-000485</t>
        </is>
      </c>
      <c r="B490" s="90" t="n"/>
      <c r="C490" s="91" t="n"/>
      <c r="D490" s="92" t="n"/>
      <c r="E490" s="91" t="n"/>
      <c r="F490" s="91" t="n"/>
      <c r="G490" s="91" t="n"/>
      <c r="H490" s="91" t="n"/>
      <c r="I490" s="91" t="n"/>
      <c r="J490" s="91" t="n"/>
      <c r="K490" s="92" t="n"/>
      <c r="L490" s="91" t="n"/>
      <c r="M490" s="91" t="n"/>
      <c r="N490" s="91" t="n"/>
      <c r="O490" s="93" t="str">
        <f>IF(S490=0,"",SUMIFS('VÍNCULOS_CDF'!$H$6:$H$1005,'VÍNCULOS_CDF'!$O$6:$O$1005,A490,'VÍNCULOS_CDF'!$V$6:$V$1005,1))</f>
        <v/>
      </c>
      <c r="P490" s="95" t="str">
        <f>IF(S490=0,"",COUNTIFS('VÍNCULOS_CDF'!$O$6:$O$1005,A490,'VÍNCULOS_CDF'!$N$6:$N$1005,1))</f>
        <v/>
      </c>
      <c r="Q490" s="94" t="str">
        <f>IF(S490=0,"",IF(OR(B490="",F490=""),"Informações incompletas",IF(U490=1,"Possível duplicidade",IF(V490=0,"Destinador fora do cadastro",IF(AND(J490="Sim",N(P490)=0),"Necessita revisão de vínculos",IF(X490&gt;0,"Necessita revisão de vínculos",IF(J490="Sim","Conferido",IF(I490="Sim","Localizado, aguardando conferência","Cadastrado"))))))))</f>
        <v/>
      </c>
      <c r="R490" s="95" t="str">
        <f>IF(S490=0,"",COUNTIFS('VÍNCULOS_CDF'!$O$6:$O$1005,A490,'VÍNCULOS_CDF'!$AB$6:$AB$1005,1))</f>
        <v/>
      </c>
      <c r="S490" s="96">
        <f>IF(COUNTA(B490:N490)&gt;0,1,0)</f>
        <v>0</v>
      </c>
      <c r="T490" s="96" t="str">
        <f>IF(AND(S490=1,B490&lt;&gt;""),C490&amp;"|"&amp;TRIM(B490),"")</f>
        <v/>
      </c>
      <c r="U490" s="96">
        <f>IF(T490="",0,IF(SUMPRODUCT(--($T$6:$T$505=T490))&gt;1,1,0))</f>
        <v>0</v>
      </c>
      <c r="V490" s="96">
        <f>IF(F490="",0,IF(ISNUMBER(MATCH(F490,cmp_dest,0)),1,0))</f>
        <v>0</v>
      </c>
      <c r="W490" s="96">
        <f>IF(AND(S490=1,B490&lt;&gt;"",F490&lt;&gt;"",J490="Sim",U490=0),1,0)</f>
        <v>0</v>
      </c>
      <c r="X490" s="96">
        <f>IF(S490=0,0,COUNTIFS('VÍNCULOS_CDF'!$O$6:$O$1005,A490,'VÍNCULOS_CDF'!$Y$6:$Y$1005,1))</f>
        <v>0</v>
      </c>
      <c r="Y490" s="96" t="str">
        <f>IF(S490=1,A490&amp;" | CDF "&amp;IF(B490="","(sem número)",B490)&amp;" | "&amp;IF(F490="","(sem destinador)",F490),"")</f>
        <v/>
      </c>
      <c r="Z490" s="96" t="str">
        <f>IF(S490=1,COUNTIF($S$6:S490,1),"")</f>
        <v/>
      </c>
      <c r="AA490" s="96">
        <f>IF(S490=0,0,IF(AND(OR(r_ini="",AND(ISNUMBER(D490),D490&gt;=r_ini)),OR(r_fim="",AND(ISNUMBER(D490),D490&lt;=r_fim)),OR(r_de="",r_de="(Todos)",F490=r_de)),1,0))</f>
        <v>0</v>
      </c>
      <c r="AB490" s="96" t="str">
        <f>IF(AA490=1,IF(F490="",0,COUNTIF($F$6:$F$505,"&lt;"&amp;F490))*1000+485,"")</f>
        <v/>
      </c>
    </row>
    <row r="491">
      <c r="A491" s="89" t="inlineStr">
        <is>
          <t>CDF-000486</t>
        </is>
      </c>
      <c r="B491" s="90" t="n"/>
      <c r="C491" s="91" t="n"/>
      <c r="D491" s="92" t="n"/>
      <c r="E491" s="91" t="n"/>
      <c r="F491" s="91" t="n"/>
      <c r="G491" s="91" t="n"/>
      <c r="H491" s="91" t="n"/>
      <c r="I491" s="91" t="n"/>
      <c r="J491" s="91" t="n"/>
      <c r="K491" s="92" t="n"/>
      <c r="L491" s="91" t="n"/>
      <c r="M491" s="91" t="n"/>
      <c r="N491" s="91" t="n"/>
      <c r="O491" s="93" t="str">
        <f>IF(S491=0,"",SUMIFS('VÍNCULOS_CDF'!$H$6:$H$1005,'VÍNCULOS_CDF'!$O$6:$O$1005,A491,'VÍNCULOS_CDF'!$V$6:$V$1005,1))</f>
        <v/>
      </c>
      <c r="P491" s="95" t="str">
        <f>IF(S491=0,"",COUNTIFS('VÍNCULOS_CDF'!$O$6:$O$1005,A491,'VÍNCULOS_CDF'!$N$6:$N$1005,1))</f>
        <v/>
      </c>
      <c r="Q491" s="94" t="str">
        <f>IF(S491=0,"",IF(OR(B491="",F491=""),"Informações incompletas",IF(U491=1,"Possível duplicidade",IF(V491=0,"Destinador fora do cadastro",IF(AND(J491="Sim",N(P491)=0),"Necessita revisão de vínculos",IF(X491&gt;0,"Necessita revisão de vínculos",IF(J491="Sim","Conferido",IF(I491="Sim","Localizado, aguardando conferência","Cadastrado"))))))))</f>
        <v/>
      </c>
      <c r="R491" s="95" t="str">
        <f>IF(S491=0,"",COUNTIFS('VÍNCULOS_CDF'!$O$6:$O$1005,A491,'VÍNCULOS_CDF'!$AB$6:$AB$1005,1))</f>
        <v/>
      </c>
      <c r="S491" s="96">
        <f>IF(COUNTA(B491:N491)&gt;0,1,0)</f>
        <v>0</v>
      </c>
      <c r="T491" s="96" t="str">
        <f>IF(AND(S491=1,B491&lt;&gt;""),C491&amp;"|"&amp;TRIM(B491),"")</f>
        <v/>
      </c>
      <c r="U491" s="96">
        <f>IF(T491="",0,IF(SUMPRODUCT(--($T$6:$T$505=T491))&gt;1,1,0))</f>
        <v>0</v>
      </c>
      <c r="V491" s="96">
        <f>IF(F491="",0,IF(ISNUMBER(MATCH(F491,cmp_dest,0)),1,0))</f>
        <v>0</v>
      </c>
      <c r="W491" s="96">
        <f>IF(AND(S491=1,B491&lt;&gt;"",F491&lt;&gt;"",J491="Sim",U491=0),1,0)</f>
        <v>0</v>
      </c>
      <c r="X491" s="96">
        <f>IF(S491=0,0,COUNTIFS('VÍNCULOS_CDF'!$O$6:$O$1005,A491,'VÍNCULOS_CDF'!$Y$6:$Y$1005,1))</f>
        <v>0</v>
      </c>
      <c r="Y491" s="96" t="str">
        <f>IF(S491=1,A491&amp;" | CDF "&amp;IF(B491="","(sem número)",B491)&amp;" | "&amp;IF(F491="","(sem destinador)",F491),"")</f>
        <v/>
      </c>
      <c r="Z491" s="96" t="str">
        <f>IF(S491=1,COUNTIF($S$6:S491,1),"")</f>
        <v/>
      </c>
      <c r="AA491" s="96">
        <f>IF(S491=0,0,IF(AND(OR(r_ini="",AND(ISNUMBER(D491),D491&gt;=r_ini)),OR(r_fim="",AND(ISNUMBER(D491),D491&lt;=r_fim)),OR(r_de="",r_de="(Todos)",F491=r_de)),1,0))</f>
        <v>0</v>
      </c>
      <c r="AB491" s="96" t="str">
        <f>IF(AA491=1,IF(F491="",0,COUNTIF($F$6:$F$505,"&lt;"&amp;F491))*1000+486,"")</f>
        <v/>
      </c>
    </row>
    <row r="492">
      <c r="A492" s="89" t="inlineStr">
        <is>
          <t>CDF-000487</t>
        </is>
      </c>
      <c r="B492" s="90" t="n"/>
      <c r="C492" s="91" t="n"/>
      <c r="D492" s="92" t="n"/>
      <c r="E492" s="91" t="n"/>
      <c r="F492" s="91" t="n"/>
      <c r="G492" s="91" t="n"/>
      <c r="H492" s="91" t="n"/>
      <c r="I492" s="91" t="n"/>
      <c r="J492" s="91" t="n"/>
      <c r="K492" s="92" t="n"/>
      <c r="L492" s="91" t="n"/>
      <c r="M492" s="91" t="n"/>
      <c r="N492" s="91" t="n"/>
      <c r="O492" s="93" t="str">
        <f>IF(S492=0,"",SUMIFS('VÍNCULOS_CDF'!$H$6:$H$1005,'VÍNCULOS_CDF'!$O$6:$O$1005,A492,'VÍNCULOS_CDF'!$V$6:$V$1005,1))</f>
        <v/>
      </c>
      <c r="P492" s="95" t="str">
        <f>IF(S492=0,"",COUNTIFS('VÍNCULOS_CDF'!$O$6:$O$1005,A492,'VÍNCULOS_CDF'!$N$6:$N$1005,1))</f>
        <v/>
      </c>
      <c r="Q492" s="94" t="str">
        <f>IF(S492=0,"",IF(OR(B492="",F492=""),"Informações incompletas",IF(U492=1,"Possível duplicidade",IF(V492=0,"Destinador fora do cadastro",IF(AND(J492="Sim",N(P492)=0),"Necessita revisão de vínculos",IF(X492&gt;0,"Necessita revisão de vínculos",IF(J492="Sim","Conferido",IF(I492="Sim","Localizado, aguardando conferência","Cadastrado"))))))))</f>
        <v/>
      </c>
      <c r="R492" s="95" t="str">
        <f>IF(S492=0,"",COUNTIFS('VÍNCULOS_CDF'!$O$6:$O$1005,A492,'VÍNCULOS_CDF'!$AB$6:$AB$1005,1))</f>
        <v/>
      </c>
      <c r="S492" s="96">
        <f>IF(COUNTA(B492:N492)&gt;0,1,0)</f>
        <v>0</v>
      </c>
      <c r="T492" s="96" t="str">
        <f>IF(AND(S492=1,B492&lt;&gt;""),C492&amp;"|"&amp;TRIM(B492),"")</f>
        <v/>
      </c>
      <c r="U492" s="96">
        <f>IF(T492="",0,IF(SUMPRODUCT(--($T$6:$T$505=T492))&gt;1,1,0))</f>
        <v>0</v>
      </c>
      <c r="V492" s="96">
        <f>IF(F492="",0,IF(ISNUMBER(MATCH(F492,cmp_dest,0)),1,0))</f>
        <v>0</v>
      </c>
      <c r="W492" s="96">
        <f>IF(AND(S492=1,B492&lt;&gt;"",F492&lt;&gt;"",J492="Sim",U492=0),1,0)</f>
        <v>0</v>
      </c>
      <c r="X492" s="96">
        <f>IF(S492=0,0,COUNTIFS('VÍNCULOS_CDF'!$O$6:$O$1005,A492,'VÍNCULOS_CDF'!$Y$6:$Y$1005,1))</f>
        <v>0</v>
      </c>
      <c r="Y492" s="96" t="str">
        <f>IF(S492=1,A492&amp;" | CDF "&amp;IF(B492="","(sem número)",B492)&amp;" | "&amp;IF(F492="","(sem destinador)",F492),"")</f>
        <v/>
      </c>
      <c r="Z492" s="96" t="str">
        <f>IF(S492=1,COUNTIF($S$6:S492,1),"")</f>
        <v/>
      </c>
      <c r="AA492" s="96">
        <f>IF(S492=0,0,IF(AND(OR(r_ini="",AND(ISNUMBER(D492),D492&gt;=r_ini)),OR(r_fim="",AND(ISNUMBER(D492),D492&lt;=r_fim)),OR(r_de="",r_de="(Todos)",F492=r_de)),1,0))</f>
        <v>0</v>
      </c>
      <c r="AB492" s="96" t="str">
        <f>IF(AA492=1,IF(F492="",0,COUNTIF($F$6:$F$505,"&lt;"&amp;F492))*1000+487,"")</f>
        <v/>
      </c>
    </row>
    <row r="493">
      <c r="A493" s="89" t="inlineStr">
        <is>
          <t>CDF-000488</t>
        </is>
      </c>
      <c r="B493" s="90" t="n"/>
      <c r="C493" s="91" t="n"/>
      <c r="D493" s="92" t="n"/>
      <c r="E493" s="91" t="n"/>
      <c r="F493" s="91" t="n"/>
      <c r="G493" s="91" t="n"/>
      <c r="H493" s="91" t="n"/>
      <c r="I493" s="91" t="n"/>
      <c r="J493" s="91" t="n"/>
      <c r="K493" s="92" t="n"/>
      <c r="L493" s="91" t="n"/>
      <c r="M493" s="91" t="n"/>
      <c r="N493" s="91" t="n"/>
      <c r="O493" s="93" t="str">
        <f>IF(S493=0,"",SUMIFS('VÍNCULOS_CDF'!$H$6:$H$1005,'VÍNCULOS_CDF'!$O$6:$O$1005,A493,'VÍNCULOS_CDF'!$V$6:$V$1005,1))</f>
        <v/>
      </c>
      <c r="P493" s="95" t="str">
        <f>IF(S493=0,"",COUNTIFS('VÍNCULOS_CDF'!$O$6:$O$1005,A493,'VÍNCULOS_CDF'!$N$6:$N$1005,1))</f>
        <v/>
      </c>
      <c r="Q493" s="94" t="str">
        <f>IF(S493=0,"",IF(OR(B493="",F493=""),"Informações incompletas",IF(U493=1,"Possível duplicidade",IF(V493=0,"Destinador fora do cadastro",IF(AND(J493="Sim",N(P493)=0),"Necessita revisão de vínculos",IF(X493&gt;0,"Necessita revisão de vínculos",IF(J493="Sim","Conferido",IF(I493="Sim","Localizado, aguardando conferência","Cadastrado"))))))))</f>
        <v/>
      </c>
      <c r="R493" s="95" t="str">
        <f>IF(S493=0,"",COUNTIFS('VÍNCULOS_CDF'!$O$6:$O$1005,A493,'VÍNCULOS_CDF'!$AB$6:$AB$1005,1))</f>
        <v/>
      </c>
      <c r="S493" s="96">
        <f>IF(COUNTA(B493:N493)&gt;0,1,0)</f>
        <v>0</v>
      </c>
      <c r="T493" s="96" t="str">
        <f>IF(AND(S493=1,B493&lt;&gt;""),C493&amp;"|"&amp;TRIM(B493),"")</f>
        <v/>
      </c>
      <c r="U493" s="96">
        <f>IF(T493="",0,IF(SUMPRODUCT(--($T$6:$T$505=T493))&gt;1,1,0))</f>
        <v>0</v>
      </c>
      <c r="V493" s="96">
        <f>IF(F493="",0,IF(ISNUMBER(MATCH(F493,cmp_dest,0)),1,0))</f>
        <v>0</v>
      </c>
      <c r="W493" s="96">
        <f>IF(AND(S493=1,B493&lt;&gt;"",F493&lt;&gt;"",J493="Sim",U493=0),1,0)</f>
        <v>0</v>
      </c>
      <c r="X493" s="96">
        <f>IF(S493=0,0,COUNTIFS('VÍNCULOS_CDF'!$O$6:$O$1005,A493,'VÍNCULOS_CDF'!$Y$6:$Y$1005,1))</f>
        <v>0</v>
      </c>
      <c r="Y493" s="96" t="str">
        <f>IF(S493=1,A493&amp;" | CDF "&amp;IF(B493="","(sem número)",B493)&amp;" | "&amp;IF(F493="","(sem destinador)",F493),"")</f>
        <v/>
      </c>
      <c r="Z493" s="96" t="str">
        <f>IF(S493=1,COUNTIF($S$6:S493,1),"")</f>
        <v/>
      </c>
      <c r="AA493" s="96">
        <f>IF(S493=0,0,IF(AND(OR(r_ini="",AND(ISNUMBER(D493),D493&gt;=r_ini)),OR(r_fim="",AND(ISNUMBER(D493),D493&lt;=r_fim)),OR(r_de="",r_de="(Todos)",F493=r_de)),1,0))</f>
        <v>0</v>
      </c>
      <c r="AB493" s="96" t="str">
        <f>IF(AA493=1,IF(F493="",0,COUNTIF($F$6:$F$505,"&lt;"&amp;F493))*1000+488,"")</f>
        <v/>
      </c>
    </row>
    <row r="494">
      <c r="A494" s="89" t="inlineStr">
        <is>
          <t>CDF-000489</t>
        </is>
      </c>
      <c r="B494" s="90" t="n"/>
      <c r="C494" s="91" t="n"/>
      <c r="D494" s="92" t="n"/>
      <c r="E494" s="91" t="n"/>
      <c r="F494" s="91" t="n"/>
      <c r="G494" s="91" t="n"/>
      <c r="H494" s="91" t="n"/>
      <c r="I494" s="91" t="n"/>
      <c r="J494" s="91" t="n"/>
      <c r="K494" s="92" t="n"/>
      <c r="L494" s="91" t="n"/>
      <c r="M494" s="91" t="n"/>
      <c r="N494" s="91" t="n"/>
      <c r="O494" s="93" t="str">
        <f>IF(S494=0,"",SUMIFS('VÍNCULOS_CDF'!$H$6:$H$1005,'VÍNCULOS_CDF'!$O$6:$O$1005,A494,'VÍNCULOS_CDF'!$V$6:$V$1005,1))</f>
        <v/>
      </c>
      <c r="P494" s="95" t="str">
        <f>IF(S494=0,"",COUNTIFS('VÍNCULOS_CDF'!$O$6:$O$1005,A494,'VÍNCULOS_CDF'!$N$6:$N$1005,1))</f>
        <v/>
      </c>
      <c r="Q494" s="94" t="str">
        <f>IF(S494=0,"",IF(OR(B494="",F494=""),"Informações incompletas",IF(U494=1,"Possível duplicidade",IF(V494=0,"Destinador fora do cadastro",IF(AND(J494="Sim",N(P494)=0),"Necessita revisão de vínculos",IF(X494&gt;0,"Necessita revisão de vínculos",IF(J494="Sim","Conferido",IF(I494="Sim","Localizado, aguardando conferência","Cadastrado"))))))))</f>
        <v/>
      </c>
      <c r="R494" s="95" t="str">
        <f>IF(S494=0,"",COUNTIFS('VÍNCULOS_CDF'!$O$6:$O$1005,A494,'VÍNCULOS_CDF'!$AB$6:$AB$1005,1))</f>
        <v/>
      </c>
      <c r="S494" s="96">
        <f>IF(COUNTA(B494:N494)&gt;0,1,0)</f>
        <v>0</v>
      </c>
      <c r="T494" s="96" t="str">
        <f>IF(AND(S494=1,B494&lt;&gt;""),C494&amp;"|"&amp;TRIM(B494),"")</f>
        <v/>
      </c>
      <c r="U494" s="96">
        <f>IF(T494="",0,IF(SUMPRODUCT(--($T$6:$T$505=T494))&gt;1,1,0))</f>
        <v>0</v>
      </c>
      <c r="V494" s="96">
        <f>IF(F494="",0,IF(ISNUMBER(MATCH(F494,cmp_dest,0)),1,0))</f>
        <v>0</v>
      </c>
      <c r="W494" s="96">
        <f>IF(AND(S494=1,B494&lt;&gt;"",F494&lt;&gt;"",J494="Sim",U494=0),1,0)</f>
        <v>0</v>
      </c>
      <c r="X494" s="96">
        <f>IF(S494=0,0,COUNTIFS('VÍNCULOS_CDF'!$O$6:$O$1005,A494,'VÍNCULOS_CDF'!$Y$6:$Y$1005,1))</f>
        <v>0</v>
      </c>
      <c r="Y494" s="96" t="str">
        <f>IF(S494=1,A494&amp;" | CDF "&amp;IF(B494="","(sem número)",B494)&amp;" | "&amp;IF(F494="","(sem destinador)",F494),"")</f>
        <v/>
      </c>
      <c r="Z494" s="96" t="str">
        <f>IF(S494=1,COUNTIF($S$6:S494,1),"")</f>
        <v/>
      </c>
      <c r="AA494" s="96">
        <f>IF(S494=0,0,IF(AND(OR(r_ini="",AND(ISNUMBER(D494),D494&gt;=r_ini)),OR(r_fim="",AND(ISNUMBER(D494),D494&lt;=r_fim)),OR(r_de="",r_de="(Todos)",F494=r_de)),1,0))</f>
        <v>0</v>
      </c>
      <c r="AB494" s="96" t="str">
        <f>IF(AA494=1,IF(F494="",0,COUNTIF($F$6:$F$505,"&lt;"&amp;F494))*1000+489,"")</f>
        <v/>
      </c>
    </row>
    <row r="495">
      <c r="A495" s="89" t="inlineStr">
        <is>
          <t>CDF-000490</t>
        </is>
      </c>
      <c r="B495" s="90" t="n"/>
      <c r="C495" s="91" t="n"/>
      <c r="D495" s="92" t="n"/>
      <c r="E495" s="91" t="n"/>
      <c r="F495" s="91" t="n"/>
      <c r="G495" s="91" t="n"/>
      <c r="H495" s="91" t="n"/>
      <c r="I495" s="91" t="n"/>
      <c r="J495" s="91" t="n"/>
      <c r="K495" s="92" t="n"/>
      <c r="L495" s="91" t="n"/>
      <c r="M495" s="91" t="n"/>
      <c r="N495" s="91" t="n"/>
      <c r="O495" s="93" t="str">
        <f>IF(S495=0,"",SUMIFS('VÍNCULOS_CDF'!$H$6:$H$1005,'VÍNCULOS_CDF'!$O$6:$O$1005,A495,'VÍNCULOS_CDF'!$V$6:$V$1005,1))</f>
        <v/>
      </c>
      <c r="P495" s="95" t="str">
        <f>IF(S495=0,"",COUNTIFS('VÍNCULOS_CDF'!$O$6:$O$1005,A495,'VÍNCULOS_CDF'!$N$6:$N$1005,1))</f>
        <v/>
      </c>
      <c r="Q495" s="94" t="str">
        <f>IF(S495=0,"",IF(OR(B495="",F495=""),"Informações incompletas",IF(U495=1,"Possível duplicidade",IF(V495=0,"Destinador fora do cadastro",IF(AND(J495="Sim",N(P495)=0),"Necessita revisão de vínculos",IF(X495&gt;0,"Necessita revisão de vínculos",IF(J495="Sim","Conferido",IF(I495="Sim","Localizado, aguardando conferência","Cadastrado"))))))))</f>
        <v/>
      </c>
      <c r="R495" s="95" t="str">
        <f>IF(S495=0,"",COUNTIFS('VÍNCULOS_CDF'!$O$6:$O$1005,A495,'VÍNCULOS_CDF'!$AB$6:$AB$1005,1))</f>
        <v/>
      </c>
      <c r="S495" s="96">
        <f>IF(COUNTA(B495:N495)&gt;0,1,0)</f>
        <v>0</v>
      </c>
      <c r="T495" s="96" t="str">
        <f>IF(AND(S495=1,B495&lt;&gt;""),C495&amp;"|"&amp;TRIM(B495),"")</f>
        <v/>
      </c>
      <c r="U495" s="96">
        <f>IF(T495="",0,IF(SUMPRODUCT(--($T$6:$T$505=T495))&gt;1,1,0))</f>
        <v>0</v>
      </c>
      <c r="V495" s="96">
        <f>IF(F495="",0,IF(ISNUMBER(MATCH(F495,cmp_dest,0)),1,0))</f>
        <v>0</v>
      </c>
      <c r="W495" s="96">
        <f>IF(AND(S495=1,B495&lt;&gt;"",F495&lt;&gt;"",J495="Sim",U495=0),1,0)</f>
        <v>0</v>
      </c>
      <c r="X495" s="96">
        <f>IF(S495=0,0,COUNTIFS('VÍNCULOS_CDF'!$O$6:$O$1005,A495,'VÍNCULOS_CDF'!$Y$6:$Y$1005,1))</f>
        <v>0</v>
      </c>
      <c r="Y495" s="96" t="str">
        <f>IF(S495=1,A495&amp;" | CDF "&amp;IF(B495="","(sem número)",B495)&amp;" | "&amp;IF(F495="","(sem destinador)",F495),"")</f>
        <v/>
      </c>
      <c r="Z495" s="96" t="str">
        <f>IF(S495=1,COUNTIF($S$6:S495,1),"")</f>
        <v/>
      </c>
      <c r="AA495" s="96">
        <f>IF(S495=0,0,IF(AND(OR(r_ini="",AND(ISNUMBER(D495),D495&gt;=r_ini)),OR(r_fim="",AND(ISNUMBER(D495),D495&lt;=r_fim)),OR(r_de="",r_de="(Todos)",F495=r_de)),1,0))</f>
        <v>0</v>
      </c>
      <c r="AB495" s="96" t="str">
        <f>IF(AA495=1,IF(F495="",0,COUNTIF($F$6:$F$505,"&lt;"&amp;F495))*1000+490,"")</f>
        <v/>
      </c>
    </row>
    <row r="496">
      <c r="A496" s="89" t="inlineStr">
        <is>
          <t>CDF-000491</t>
        </is>
      </c>
      <c r="B496" s="90" t="n"/>
      <c r="C496" s="91" t="n"/>
      <c r="D496" s="92" t="n"/>
      <c r="E496" s="91" t="n"/>
      <c r="F496" s="91" t="n"/>
      <c r="G496" s="91" t="n"/>
      <c r="H496" s="91" t="n"/>
      <c r="I496" s="91" t="n"/>
      <c r="J496" s="91" t="n"/>
      <c r="K496" s="92" t="n"/>
      <c r="L496" s="91" t="n"/>
      <c r="M496" s="91" t="n"/>
      <c r="N496" s="91" t="n"/>
      <c r="O496" s="93" t="str">
        <f>IF(S496=0,"",SUMIFS('VÍNCULOS_CDF'!$H$6:$H$1005,'VÍNCULOS_CDF'!$O$6:$O$1005,A496,'VÍNCULOS_CDF'!$V$6:$V$1005,1))</f>
        <v/>
      </c>
      <c r="P496" s="95" t="str">
        <f>IF(S496=0,"",COUNTIFS('VÍNCULOS_CDF'!$O$6:$O$1005,A496,'VÍNCULOS_CDF'!$N$6:$N$1005,1))</f>
        <v/>
      </c>
      <c r="Q496" s="94" t="str">
        <f>IF(S496=0,"",IF(OR(B496="",F496=""),"Informações incompletas",IF(U496=1,"Possível duplicidade",IF(V496=0,"Destinador fora do cadastro",IF(AND(J496="Sim",N(P496)=0),"Necessita revisão de vínculos",IF(X496&gt;0,"Necessita revisão de vínculos",IF(J496="Sim","Conferido",IF(I496="Sim","Localizado, aguardando conferência","Cadastrado"))))))))</f>
        <v/>
      </c>
      <c r="R496" s="95" t="str">
        <f>IF(S496=0,"",COUNTIFS('VÍNCULOS_CDF'!$O$6:$O$1005,A496,'VÍNCULOS_CDF'!$AB$6:$AB$1005,1))</f>
        <v/>
      </c>
      <c r="S496" s="96">
        <f>IF(COUNTA(B496:N496)&gt;0,1,0)</f>
        <v>0</v>
      </c>
      <c r="T496" s="96" t="str">
        <f>IF(AND(S496=1,B496&lt;&gt;""),C496&amp;"|"&amp;TRIM(B496),"")</f>
        <v/>
      </c>
      <c r="U496" s="96">
        <f>IF(T496="",0,IF(SUMPRODUCT(--($T$6:$T$505=T496))&gt;1,1,0))</f>
        <v>0</v>
      </c>
      <c r="V496" s="96">
        <f>IF(F496="",0,IF(ISNUMBER(MATCH(F496,cmp_dest,0)),1,0))</f>
        <v>0</v>
      </c>
      <c r="W496" s="96">
        <f>IF(AND(S496=1,B496&lt;&gt;"",F496&lt;&gt;"",J496="Sim",U496=0),1,0)</f>
        <v>0</v>
      </c>
      <c r="X496" s="96">
        <f>IF(S496=0,0,COUNTIFS('VÍNCULOS_CDF'!$O$6:$O$1005,A496,'VÍNCULOS_CDF'!$Y$6:$Y$1005,1))</f>
        <v>0</v>
      </c>
      <c r="Y496" s="96" t="str">
        <f>IF(S496=1,A496&amp;" | CDF "&amp;IF(B496="","(sem número)",B496)&amp;" | "&amp;IF(F496="","(sem destinador)",F496),"")</f>
        <v/>
      </c>
      <c r="Z496" s="96" t="str">
        <f>IF(S496=1,COUNTIF($S$6:S496,1),"")</f>
        <v/>
      </c>
      <c r="AA496" s="96">
        <f>IF(S496=0,0,IF(AND(OR(r_ini="",AND(ISNUMBER(D496),D496&gt;=r_ini)),OR(r_fim="",AND(ISNUMBER(D496),D496&lt;=r_fim)),OR(r_de="",r_de="(Todos)",F496=r_de)),1,0))</f>
        <v>0</v>
      </c>
      <c r="AB496" s="96" t="str">
        <f>IF(AA496=1,IF(F496="",0,COUNTIF($F$6:$F$505,"&lt;"&amp;F496))*1000+491,"")</f>
        <v/>
      </c>
    </row>
    <row r="497">
      <c r="A497" s="89" t="inlineStr">
        <is>
          <t>CDF-000492</t>
        </is>
      </c>
      <c r="B497" s="90" t="n"/>
      <c r="C497" s="91" t="n"/>
      <c r="D497" s="92" t="n"/>
      <c r="E497" s="91" t="n"/>
      <c r="F497" s="91" t="n"/>
      <c r="G497" s="91" t="n"/>
      <c r="H497" s="91" t="n"/>
      <c r="I497" s="91" t="n"/>
      <c r="J497" s="91" t="n"/>
      <c r="K497" s="92" t="n"/>
      <c r="L497" s="91" t="n"/>
      <c r="M497" s="91" t="n"/>
      <c r="N497" s="91" t="n"/>
      <c r="O497" s="93" t="str">
        <f>IF(S497=0,"",SUMIFS('VÍNCULOS_CDF'!$H$6:$H$1005,'VÍNCULOS_CDF'!$O$6:$O$1005,A497,'VÍNCULOS_CDF'!$V$6:$V$1005,1))</f>
        <v/>
      </c>
      <c r="P497" s="95" t="str">
        <f>IF(S497=0,"",COUNTIFS('VÍNCULOS_CDF'!$O$6:$O$1005,A497,'VÍNCULOS_CDF'!$N$6:$N$1005,1))</f>
        <v/>
      </c>
      <c r="Q497" s="94" t="str">
        <f>IF(S497=0,"",IF(OR(B497="",F497=""),"Informações incompletas",IF(U497=1,"Possível duplicidade",IF(V497=0,"Destinador fora do cadastro",IF(AND(J497="Sim",N(P497)=0),"Necessita revisão de vínculos",IF(X497&gt;0,"Necessita revisão de vínculos",IF(J497="Sim","Conferido",IF(I497="Sim","Localizado, aguardando conferência","Cadastrado"))))))))</f>
        <v/>
      </c>
      <c r="R497" s="95" t="str">
        <f>IF(S497=0,"",COUNTIFS('VÍNCULOS_CDF'!$O$6:$O$1005,A497,'VÍNCULOS_CDF'!$AB$6:$AB$1005,1))</f>
        <v/>
      </c>
      <c r="S497" s="96">
        <f>IF(COUNTA(B497:N497)&gt;0,1,0)</f>
        <v>0</v>
      </c>
      <c r="T497" s="96" t="str">
        <f>IF(AND(S497=1,B497&lt;&gt;""),C497&amp;"|"&amp;TRIM(B497),"")</f>
        <v/>
      </c>
      <c r="U497" s="96">
        <f>IF(T497="",0,IF(SUMPRODUCT(--($T$6:$T$505=T497))&gt;1,1,0))</f>
        <v>0</v>
      </c>
      <c r="V497" s="96">
        <f>IF(F497="",0,IF(ISNUMBER(MATCH(F497,cmp_dest,0)),1,0))</f>
        <v>0</v>
      </c>
      <c r="W497" s="96">
        <f>IF(AND(S497=1,B497&lt;&gt;"",F497&lt;&gt;"",J497="Sim",U497=0),1,0)</f>
        <v>0</v>
      </c>
      <c r="X497" s="96">
        <f>IF(S497=0,0,COUNTIFS('VÍNCULOS_CDF'!$O$6:$O$1005,A497,'VÍNCULOS_CDF'!$Y$6:$Y$1005,1))</f>
        <v>0</v>
      </c>
      <c r="Y497" s="96" t="str">
        <f>IF(S497=1,A497&amp;" | CDF "&amp;IF(B497="","(sem número)",B497)&amp;" | "&amp;IF(F497="","(sem destinador)",F497),"")</f>
        <v/>
      </c>
      <c r="Z497" s="96" t="str">
        <f>IF(S497=1,COUNTIF($S$6:S497,1),"")</f>
        <v/>
      </c>
      <c r="AA497" s="96">
        <f>IF(S497=0,0,IF(AND(OR(r_ini="",AND(ISNUMBER(D497),D497&gt;=r_ini)),OR(r_fim="",AND(ISNUMBER(D497),D497&lt;=r_fim)),OR(r_de="",r_de="(Todos)",F497=r_de)),1,0))</f>
        <v>0</v>
      </c>
      <c r="AB497" s="96" t="str">
        <f>IF(AA497=1,IF(F497="",0,COUNTIF($F$6:$F$505,"&lt;"&amp;F497))*1000+492,"")</f>
        <v/>
      </c>
    </row>
    <row r="498">
      <c r="A498" s="89" t="inlineStr">
        <is>
          <t>CDF-000493</t>
        </is>
      </c>
      <c r="B498" s="90" t="n"/>
      <c r="C498" s="91" t="n"/>
      <c r="D498" s="92" t="n"/>
      <c r="E498" s="91" t="n"/>
      <c r="F498" s="91" t="n"/>
      <c r="G498" s="91" t="n"/>
      <c r="H498" s="91" t="n"/>
      <c r="I498" s="91" t="n"/>
      <c r="J498" s="91" t="n"/>
      <c r="K498" s="92" t="n"/>
      <c r="L498" s="91" t="n"/>
      <c r="M498" s="91" t="n"/>
      <c r="N498" s="91" t="n"/>
      <c r="O498" s="93" t="str">
        <f>IF(S498=0,"",SUMIFS('VÍNCULOS_CDF'!$H$6:$H$1005,'VÍNCULOS_CDF'!$O$6:$O$1005,A498,'VÍNCULOS_CDF'!$V$6:$V$1005,1))</f>
        <v/>
      </c>
      <c r="P498" s="95" t="str">
        <f>IF(S498=0,"",COUNTIFS('VÍNCULOS_CDF'!$O$6:$O$1005,A498,'VÍNCULOS_CDF'!$N$6:$N$1005,1))</f>
        <v/>
      </c>
      <c r="Q498" s="94" t="str">
        <f>IF(S498=0,"",IF(OR(B498="",F498=""),"Informações incompletas",IF(U498=1,"Possível duplicidade",IF(V498=0,"Destinador fora do cadastro",IF(AND(J498="Sim",N(P498)=0),"Necessita revisão de vínculos",IF(X498&gt;0,"Necessita revisão de vínculos",IF(J498="Sim","Conferido",IF(I498="Sim","Localizado, aguardando conferência","Cadastrado"))))))))</f>
        <v/>
      </c>
      <c r="R498" s="95" t="str">
        <f>IF(S498=0,"",COUNTIFS('VÍNCULOS_CDF'!$O$6:$O$1005,A498,'VÍNCULOS_CDF'!$AB$6:$AB$1005,1))</f>
        <v/>
      </c>
      <c r="S498" s="96">
        <f>IF(COUNTA(B498:N498)&gt;0,1,0)</f>
        <v>0</v>
      </c>
      <c r="T498" s="96" t="str">
        <f>IF(AND(S498=1,B498&lt;&gt;""),C498&amp;"|"&amp;TRIM(B498),"")</f>
        <v/>
      </c>
      <c r="U498" s="96">
        <f>IF(T498="",0,IF(SUMPRODUCT(--($T$6:$T$505=T498))&gt;1,1,0))</f>
        <v>0</v>
      </c>
      <c r="V498" s="96">
        <f>IF(F498="",0,IF(ISNUMBER(MATCH(F498,cmp_dest,0)),1,0))</f>
        <v>0</v>
      </c>
      <c r="W498" s="96">
        <f>IF(AND(S498=1,B498&lt;&gt;"",F498&lt;&gt;"",J498="Sim",U498=0),1,0)</f>
        <v>0</v>
      </c>
      <c r="X498" s="96">
        <f>IF(S498=0,0,COUNTIFS('VÍNCULOS_CDF'!$O$6:$O$1005,A498,'VÍNCULOS_CDF'!$Y$6:$Y$1005,1))</f>
        <v>0</v>
      </c>
      <c r="Y498" s="96" t="str">
        <f>IF(S498=1,A498&amp;" | CDF "&amp;IF(B498="","(sem número)",B498)&amp;" | "&amp;IF(F498="","(sem destinador)",F498),"")</f>
        <v/>
      </c>
      <c r="Z498" s="96" t="str">
        <f>IF(S498=1,COUNTIF($S$6:S498,1),"")</f>
        <v/>
      </c>
      <c r="AA498" s="96">
        <f>IF(S498=0,0,IF(AND(OR(r_ini="",AND(ISNUMBER(D498),D498&gt;=r_ini)),OR(r_fim="",AND(ISNUMBER(D498),D498&lt;=r_fim)),OR(r_de="",r_de="(Todos)",F498=r_de)),1,0))</f>
        <v>0</v>
      </c>
      <c r="AB498" s="96" t="str">
        <f>IF(AA498=1,IF(F498="",0,COUNTIF($F$6:$F$505,"&lt;"&amp;F498))*1000+493,"")</f>
        <v/>
      </c>
    </row>
    <row r="499">
      <c r="A499" s="89" t="inlineStr">
        <is>
          <t>CDF-000494</t>
        </is>
      </c>
      <c r="B499" s="90" t="n"/>
      <c r="C499" s="91" t="n"/>
      <c r="D499" s="92" t="n"/>
      <c r="E499" s="91" t="n"/>
      <c r="F499" s="91" t="n"/>
      <c r="G499" s="91" t="n"/>
      <c r="H499" s="91" t="n"/>
      <c r="I499" s="91" t="n"/>
      <c r="J499" s="91" t="n"/>
      <c r="K499" s="92" t="n"/>
      <c r="L499" s="91" t="n"/>
      <c r="M499" s="91" t="n"/>
      <c r="N499" s="91" t="n"/>
      <c r="O499" s="93" t="str">
        <f>IF(S499=0,"",SUMIFS('VÍNCULOS_CDF'!$H$6:$H$1005,'VÍNCULOS_CDF'!$O$6:$O$1005,A499,'VÍNCULOS_CDF'!$V$6:$V$1005,1))</f>
        <v/>
      </c>
      <c r="P499" s="95" t="str">
        <f>IF(S499=0,"",COUNTIFS('VÍNCULOS_CDF'!$O$6:$O$1005,A499,'VÍNCULOS_CDF'!$N$6:$N$1005,1))</f>
        <v/>
      </c>
      <c r="Q499" s="94" t="str">
        <f>IF(S499=0,"",IF(OR(B499="",F499=""),"Informações incompletas",IF(U499=1,"Possível duplicidade",IF(V499=0,"Destinador fora do cadastro",IF(AND(J499="Sim",N(P499)=0),"Necessita revisão de vínculos",IF(X499&gt;0,"Necessita revisão de vínculos",IF(J499="Sim","Conferido",IF(I499="Sim","Localizado, aguardando conferência","Cadastrado"))))))))</f>
        <v/>
      </c>
      <c r="R499" s="95" t="str">
        <f>IF(S499=0,"",COUNTIFS('VÍNCULOS_CDF'!$O$6:$O$1005,A499,'VÍNCULOS_CDF'!$AB$6:$AB$1005,1))</f>
        <v/>
      </c>
      <c r="S499" s="96">
        <f>IF(COUNTA(B499:N499)&gt;0,1,0)</f>
        <v>0</v>
      </c>
      <c r="T499" s="96" t="str">
        <f>IF(AND(S499=1,B499&lt;&gt;""),C499&amp;"|"&amp;TRIM(B499),"")</f>
        <v/>
      </c>
      <c r="U499" s="96">
        <f>IF(T499="",0,IF(SUMPRODUCT(--($T$6:$T$505=T499))&gt;1,1,0))</f>
        <v>0</v>
      </c>
      <c r="V499" s="96">
        <f>IF(F499="",0,IF(ISNUMBER(MATCH(F499,cmp_dest,0)),1,0))</f>
        <v>0</v>
      </c>
      <c r="W499" s="96">
        <f>IF(AND(S499=1,B499&lt;&gt;"",F499&lt;&gt;"",J499="Sim",U499=0),1,0)</f>
        <v>0</v>
      </c>
      <c r="X499" s="96">
        <f>IF(S499=0,0,COUNTIFS('VÍNCULOS_CDF'!$O$6:$O$1005,A499,'VÍNCULOS_CDF'!$Y$6:$Y$1005,1))</f>
        <v>0</v>
      </c>
      <c r="Y499" s="96" t="str">
        <f>IF(S499=1,A499&amp;" | CDF "&amp;IF(B499="","(sem número)",B499)&amp;" | "&amp;IF(F499="","(sem destinador)",F499),"")</f>
        <v/>
      </c>
      <c r="Z499" s="96" t="str">
        <f>IF(S499=1,COUNTIF($S$6:S499,1),"")</f>
        <v/>
      </c>
      <c r="AA499" s="96">
        <f>IF(S499=0,0,IF(AND(OR(r_ini="",AND(ISNUMBER(D499),D499&gt;=r_ini)),OR(r_fim="",AND(ISNUMBER(D499),D499&lt;=r_fim)),OR(r_de="",r_de="(Todos)",F499=r_de)),1,0))</f>
        <v>0</v>
      </c>
      <c r="AB499" s="96" t="str">
        <f>IF(AA499=1,IF(F499="",0,COUNTIF($F$6:$F$505,"&lt;"&amp;F499))*1000+494,"")</f>
        <v/>
      </c>
    </row>
    <row r="500">
      <c r="A500" s="89" t="inlineStr">
        <is>
          <t>CDF-000495</t>
        </is>
      </c>
      <c r="B500" s="90" t="n"/>
      <c r="C500" s="91" t="n"/>
      <c r="D500" s="92" t="n"/>
      <c r="E500" s="91" t="n"/>
      <c r="F500" s="91" t="n"/>
      <c r="G500" s="91" t="n"/>
      <c r="H500" s="91" t="n"/>
      <c r="I500" s="91" t="n"/>
      <c r="J500" s="91" t="n"/>
      <c r="K500" s="92" t="n"/>
      <c r="L500" s="91" t="n"/>
      <c r="M500" s="91" t="n"/>
      <c r="N500" s="91" t="n"/>
      <c r="O500" s="93" t="str">
        <f>IF(S500=0,"",SUMIFS('VÍNCULOS_CDF'!$H$6:$H$1005,'VÍNCULOS_CDF'!$O$6:$O$1005,A500,'VÍNCULOS_CDF'!$V$6:$V$1005,1))</f>
        <v/>
      </c>
      <c r="P500" s="95" t="str">
        <f>IF(S500=0,"",COUNTIFS('VÍNCULOS_CDF'!$O$6:$O$1005,A500,'VÍNCULOS_CDF'!$N$6:$N$1005,1))</f>
        <v/>
      </c>
      <c r="Q500" s="94" t="str">
        <f>IF(S500=0,"",IF(OR(B500="",F500=""),"Informações incompletas",IF(U500=1,"Possível duplicidade",IF(V500=0,"Destinador fora do cadastro",IF(AND(J500="Sim",N(P500)=0),"Necessita revisão de vínculos",IF(X500&gt;0,"Necessita revisão de vínculos",IF(J500="Sim","Conferido",IF(I500="Sim","Localizado, aguardando conferência","Cadastrado"))))))))</f>
        <v/>
      </c>
      <c r="R500" s="95" t="str">
        <f>IF(S500=0,"",COUNTIFS('VÍNCULOS_CDF'!$O$6:$O$1005,A500,'VÍNCULOS_CDF'!$AB$6:$AB$1005,1))</f>
        <v/>
      </c>
      <c r="S500" s="96">
        <f>IF(COUNTA(B500:N500)&gt;0,1,0)</f>
        <v>0</v>
      </c>
      <c r="T500" s="96" t="str">
        <f>IF(AND(S500=1,B500&lt;&gt;""),C500&amp;"|"&amp;TRIM(B500),"")</f>
        <v/>
      </c>
      <c r="U500" s="96">
        <f>IF(T500="",0,IF(SUMPRODUCT(--($T$6:$T$505=T500))&gt;1,1,0))</f>
        <v>0</v>
      </c>
      <c r="V500" s="96">
        <f>IF(F500="",0,IF(ISNUMBER(MATCH(F500,cmp_dest,0)),1,0))</f>
        <v>0</v>
      </c>
      <c r="W500" s="96">
        <f>IF(AND(S500=1,B500&lt;&gt;"",F500&lt;&gt;"",J500="Sim",U500=0),1,0)</f>
        <v>0</v>
      </c>
      <c r="X500" s="96">
        <f>IF(S500=0,0,COUNTIFS('VÍNCULOS_CDF'!$O$6:$O$1005,A500,'VÍNCULOS_CDF'!$Y$6:$Y$1005,1))</f>
        <v>0</v>
      </c>
      <c r="Y500" s="96" t="str">
        <f>IF(S500=1,A500&amp;" | CDF "&amp;IF(B500="","(sem número)",B500)&amp;" | "&amp;IF(F500="","(sem destinador)",F500),"")</f>
        <v/>
      </c>
      <c r="Z500" s="96" t="str">
        <f>IF(S500=1,COUNTIF($S$6:S500,1),"")</f>
        <v/>
      </c>
      <c r="AA500" s="96">
        <f>IF(S500=0,0,IF(AND(OR(r_ini="",AND(ISNUMBER(D500),D500&gt;=r_ini)),OR(r_fim="",AND(ISNUMBER(D500),D500&lt;=r_fim)),OR(r_de="",r_de="(Todos)",F500=r_de)),1,0))</f>
        <v>0</v>
      </c>
      <c r="AB500" s="96" t="str">
        <f>IF(AA500=1,IF(F500="",0,COUNTIF($F$6:$F$505,"&lt;"&amp;F500))*1000+495,"")</f>
        <v/>
      </c>
    </row>
    <row r="501">
      <c r="A501" s="89" t="inlineStr">
        <is>
          <t>CDF-000496</t>
        </is>
      </c>
      <c r="B501" s="90" t="n"/>
      <c r="C501" s="91" t="n"/>
      <c r="D501" s="92" t="n"/>
      <c r="E501" s="91" t="n"/>
      <c r="F501" s="91" t="n"/>
      <c r="G501" s="91" t="n"/>
      <c r="H501" s="91" t="n"/>
      <c r="I501" s="91" t="n"/>
      <c r="J501" s="91" t="n"/>
      <c r="K501" s="92" t="n"/>
      <c r="L501" s="91" t="n"/>
      <c r="M501" s="91" t="n"/>
      <c r="N501" s="91" t="n"/>
      <c r="O501" s="93" t="str">
        <f>IF(S501=0,"",SUMIFS('VÍNCULOS_CDF'!$H$6:$H$1005,'VÍNCULOS_CDF'!$O$6:$O$1005,A501,'VÍNCULOS_CDF'!$V$6:$V$1005,1))</f>
        <v/>
      </c>
      <c r="P501" s="95" t="str">
        <f>IF(S501=0,"",COUNTIFS('VÍNCULOS_CDF'!$O$6:$O$1005,A501,'VÍNCULOS_CDF'!$N$6:$N$1005,1))</f>
        <v/>
      </c>
      <c r="Q501" s="94" t="str">
        <f>IF(S501=0,"",IF(OR(B501="",F501=""),"Informações incompletas",IF(U501=1,"Possível duplicidade",IF(V501=0,"Destinador fora do cadastro",IF(AND(J501="Sim",N(P501)=0),"Necessita revisão de vínculos",IF(X501&gt;0,"Necessita revisão de vínculos",IF(J501="Sim","Conferido",IF(I501="Sim","Localizado, aguardando conferência","Cadastrado"))))))))</f>
        <v/>
      </c>
      <c r="R501" s="95" t="str">
        <f>IF(S501=0,"",COUNTIFS('VÍNCULOS_CDF'!$O$6:$O$1005,A501,'VÍNCULOS_CDF'!$AB$6:$AB$1005,1))</f>
        <v/>
      </c>
      <c r="S501" s="96">
        <f>IF(COUNTA(B501:N501)&gt;0,1,0)</f>
        <v>0</v>
      </c>
      <c r="T501" s="96" t="str">
        <f>IF(AND(S501=1,B501&lt;&gt;""),C501&amp;"|"&amp;TRIM(B501),"")</f>
        <v/>
      </c>
      <c r="U501" s="96">
        <f>IF(T501="",0,IF(SUMPRODUCT(--($T$6:$T$505=T501))&gt;1,1,0))</f>
        <v>0</v>
      </c>
      <c r="V501" s="96">
        <f>IF(F501="",0,IF(ISNUMBER(MATCH(F501,cmp_dest,0)),1,0))</f>
        <v>0</v>
      </c>
      <c r="W501" s="96">
        <f>IF(AND(S501=1,B501&lt;&gt;"",F501&lt;&gt;"",J501="Sim",U501=0),1,0)</f>
        <v>0</v>
      </c>
      <c r="X501" s="96">
        <f>IF(S501=0,0,COUNTIFS('VÍNCULOS_CDF'!$O$6:$O$1005,A501,'VÍNCULOS_CDF'!$Y$6:$Y$1005,1))</f>
        <v>0</v>
      </c>
      <c r="Y501" s="96" t="str">
        <f>IF(S501=1,A501&amp;" | CDF "&amp;IF(B501="","(sem número)",B501)&amp;" | "&amp;IF(F501="","(sem destinador)",F501),"")</f>
        <v/>
      </c>
      <c r="Z501" s="96" t="str">
        <f>IF(S501=1,COUNTIF($S$6:S501,1),"")</f>
        <v/>
      </c>
      <c r="AA501" s="96">
        <f>IF(S501=0,0,IF(AND(OR(r_ini="",AND(ISNUMBER(D501),D501&gt;=r_ini)),OR(r_fim="",AND(ISNUMBER(D501),D501&lt;=r_fim)),OR(r_de="",r_de="(Todos)",F501=r_de)),1,0))</f>
        <v>0</v>
      </c>
      <c r="AB501" s="96" t="str">
        <f>IF(AA501=1,IF(F501="",0,COUNTIF($F$6:$F$505,"&lt;"&amp;F501))*1000+496,"")</f>
        <v/>
      </c>
    </row>
    <row r="502">
      <c r="A502" s="89" t="inlineStr">
        <is>
          <t>CDF-000497</t>
        </is>
      </c>
      <c r="B502" s="90" t="n"/>
      <c r="C502" s="91" t="n"/>
      <c r="D502" s="92" t="n"/>
      <c r="E502" s="91" t="n"/>
      <c r="F502" s="91" t="n"/>
      <c r="G502" s="91" t="n"/>
      <c r="H502" s="91" t="n"/>
      <c r="I502" s="91" t="n"/>
      <c r="J502" s="91" t="n"/>
      <c r="K502" s="92" t="n"/>
      <c r="L502" s="91" t="n"/>
      <c r="M502" s="91" t="n"/>
      <c r="N502" s="91" t="n"/>
      <c r="O502" s="93" t="str">
        <f>IF(S502=0,"",SUMIFS('VÍNCULOS_CDF'!$H$6:$H$1005,'VÍNCULOS_CDF'!$O$6:$O$1005,A502,'VÍNCULOS_CDF'!$V$6:$V$1005,1))</f>
        <v/>
      </c>
      <c r="P502" s="95" t="str">
        <f>IF(S502=0,"",COUNTIFS('VÍNCULOS_CDF'!$O$6:$O$1005,A502,'VÍNCULOS_CDF'!$N$6:$N$1005,1))</f>
        <v/>
      </c>
      <c r="Q502" s="94" t="str">
        <f>IF(S502=0,"",IF(OR(B502="",F502=""),"Informações incompletas",IF(U502=1,"Possível duplicidade",IF(V502=0,"Destinador fora do cadastro",IF(AND(J502="Sim",N(P502)=0),"Necessita revisão de vínculos",IF(X502&gt;0,"Necessita revisão de vínculos",IF(J502="Sim","Conferido",IF(I502="Sim","Localizado, aguardando conferência","Cadastrado"))))))))</f>
        <v/>
      </c>
      <c r="R502" s="95" t="str">
        <f>IF(S502=0,"",COUNTIFS('VÍNCULOS_CDF'!$O$6:$O$1005,A502,'VÍNCULOS_CDF'!$AB$6:$AB$1005,1))</f>
        <v/>
      </c>
      <c r="S502" s="96">
        <f>IF(COUNTA(B502:N502)&gt;0,1,0)</f>
        <v>0</v>
      </c>
      <c r="T502" s="96" t="str">
        <f>IF(AND(S502=1,B502&lt;&gt;""),C502&amp;"|"&amp;TRIM(B502),"")</f>
        <v/>
      </c>
      <c r="U502" s="96">
        <f>IF(T502="",0,IF(SUMPRODUCT(--($T$6:$T$505=T502))&gt;1,1,0))</f>
        <v>0</v>
      </c>
      <c r="V502" s="96">
        <f>IF(F502="",0,IF(ISNUMBER(MATCH(F502,cmp_dest,0)),1,0))</f>
        <v>0</v>
      </c>
      <c r="W502" s="96">
        <f>IF(AND(S502=1,B502&lt;&gt;"",F502&lt;&gt;"",J502="Sim",U502=0),1,0)</f>
        <v>0</v>
      </c>
      <c r="X502" s="96">
        <f>IF(S502=0,0,COUNTIFS('VÍNCULOS_CDF'!$O$6:$O$1005,A502,'VÍNCULOS_CDF'!$Y$6:$Y$1005,1))</f>
        <v>0</v>
      </c>
      <c r="Y502" s="96" t="str">
        <f>IF(S502=1,A502&amp;" | CDF "&amp;IF(B502="","(sem número)",B502)&amp;" | "&amp;IF(F502="","(sem destinador)",F502),"")</f>
        <v/>
      </c>
      <c r="Z502" s="96" t="str">
        <f>IF(S502=1,COUNTIF($S$6:S502,1),"")</f>
        <v/>
      </c>
      <c r="AA502" s="96">
        <f>IF(S502=0,0,IF(AND(OR(r_ini="",AND(ISNUMBER(D502),D502&gt;=r_ini)),OR(r_fim="",AND(ISNUMBER(D502),D502&lt;=r_fim)),OR(r_de="",r_de="(Todos)",F502=r_de)),1,0))</f>
        <v>0</v>
      </c>
      <c r="AB502" s="96" t="str">
        <f>IF(AA502=1,IF(F502="",0,COUNTIF($F$6:$F$505,"&lt;"&amp;F502))*1000+497,"")</f>
        <v/>
      </c>
    </row>
    <row r="503">
      <c r="A503" s="89" t="inlineStr">
        <is>
          <t>CDF-000498</t>
        </is>
      </c>
      <c r="B503" s="90" t="n"/>
      <c r="C503" s="91" t="n"/>
      <c r="D503" s="92" t="n"/>
      <c r="E503" s="91" t="n"/>
      <c r="F503" s="91" t="n"/>
      <c r="G503" s="91" t="n"/>
      <c r="H503" s="91" t="n"/>
      <c r="I503" s="91" t="n"/>
      <c r="J503" s="91" t="n"/>
      <c r="K503" s="92" t="n"/>
      <c r="L503" s="91" t="n"/>
      <c r="M503" s="91" t="n"/>
      <c r="N503" s="91" t="n"/>
      <c r="O503" s="93" t="str">
        <f>IF(S503=0,"",SUMIFS('VÍNCULOS_CDF'!$H$6:$H$1005,'VÍNCULOS_CDF'!$O$6:$O$1005,A503,'VÍNCULOS_CDF'!$V$6:$V$1005,1))</f>
        <v/>
      </c>
      <c r="P503" s="95" t="str">
        <f>IF(S503=0,"",COUNTIFS('VÍNCULOS_CDF'!$O$6:$O$1005,A503,'VÍNCULOS_CDF'!$N$6:$N$1005,1))</f>
        <v/>
      </c>
      <c r="Q503" s="94" t="str">
        <f>IF(S503=0,"",IF(OR(B503="",F503=""),"Informações incompletas",IF(U503=1,"Possível duplicidade",IF(V503=0,"Destinador fora do cadastro",IF(AND(J503="Sim",N(P503)=0),"Necessita revisão de vínculos",IF(X503&gt;0,"Necessita revisão de vínculos",IF(J503="Sim","Conferido",IF(I503="Sim","Localizado, aguardando conferência","Cadastrado"))))))))</f>
        <v/>
      </c>
      <c r="R503" s="95" t="str">
        <f>IF(S503=0,"",COUNTIFS('VÍNCULOS_CDF'!$O$6:$O$1005,A503,'VÍNCULOS_CDF'!$AB$6:$AB$1005,1))</f>
        <v/>
      </c>
      <c r="S503" s="96">
        <f>IF(COUNTA(B503:N503)&gt;0,1,0)</f>
        <v>0</v>
      </c>
      <c r="T503" s="96" t="str">
        <f>IF(AND(S503=1,B503&lt;&gt;""),C503&amp;"|"&amp;TRIM(B503),"")</f>
        <v/>
      </c>
      <c r="U503" s="96">
        <f>IF(T503="",0,IF(SUMPRODUCT(--($T$6:$T$505=T503))&gt;1,1,0))</f>
        <v>0</v>
      </c>
      <c r="V503" s="96">
        <f>IF(F503="",0,IF(ISNUMBER(MATCH(F503,cmp_dest,0)),1,0))</f>
        <v>0</v>
      </c>
      <c r="W503" s="96">
        <f>IF(AND(S503=1,B503&lt;&gt;"",F503&lt;&gt;"",J503="Sim",U503=0),1,0)</f>
        <v>0</v>
      </c>
      <c r="X503" s="96">
        <f>IF(S503=0,0,COUNTIFS('VÍNCULOS_CDF'!$O$6:$O$1005,A503,'VÍNCULOS_CDF'!$Y$6:$Y$1005,1))</f>
        <v>0</v>
      </c>
      <c r="Y503" s="96" t="str">
        <f>IF(S503=1,A503&amp;" | CDF "&amp;IF(B503="","(sem número)",B503)&amp;" | "&amp;IF(F503="","(sem destinador)",F503),"")</f>
        <v/>
      </c>
      <c r="Z503" s="96" t="str">
        <f>IF(S503=1,COUNTIF($S$6:S503,1),"")</f>
        <v/>
      </c>
      <c r="AA503" s="96">
        <f>IF(S503=0,0,IF(AND(OR(r_ini="",AND(ISNUMBER(D503),D503&gt;=r_ini)),OR(r_fim="",AND(ISNUMBER(D503),D503&lt;=r_fim)),OR(r_de="",r_de="(Todos)",F503=r_de)),1,0))</f>
        <v>0</v>
      </c>
      <c r="AB503" s="96" t="str">
        <f>IF(AA503=1,IF(F503="",0,COUNTIF($F$6:$F$505,"&lt;"&amp;F503))*1000+498,"")</f>
        <v/>
      </c>
    </row>
    <row r="504">
      <c r="A504" s="89" t="inlineStr">
        <is>
          <t>CDF-000499</t>
        </is>
      </c>
      <c r="B504" s="90" t="n"/>
      <c r="C504" s="91" t="n"/>
      <c r="D504" s="92" t="n"/>
      <c r="E504" s="91" t="n"/>
      <c r="F504" s="91" t="n"/>
      <c r="G504" s="91" t="n"/>
      <c r="H504" s="91" t="n"/>
      <c r="I504" s="91" t="n"/>
      <c r="J504" s="91" t="n"/>
      <c r="K504" s="92" t="n"/>
      <c r="L504" s="91" t="n"/>
      <c r="M504" s="91" t="n"/>
      <c r="N504" s="91" t="n"/>
      <c r="O504" s="93" t="str">
        <f>IF(S504=0,"",SUMIFS('VÍNCULOS_CDF'!$H$6:$H$1005,'VÍNCULOS_CDF'!$O$6:$O$1005,A504,'VÍNCULOS_CDF'!$V$6:$V$1005,1))</f>
        <v/>
      </c>
      <c r="P504" s="95" t="str">
        <f>IF(S504=0,"",COUNTIFS('VÍNCULOS_CDF'!$O$6:$O$1005,A504,'VÍNCULOS_CDF'!$N$6:$N$1005,1))</f>
        <v/>
      </c>
      <c r="Q504" s="94" t="str">
        <f>IF(S504=0,"",IF(OR(B504="",F504=""),"Informações incompletas",IF(U504=1,"Possível duplicidade",IF(V504=0,"Destinador fora do cadastro",IF(AND(J504="Sim",N(P504)=0),"Necessita revisão de vínculos",IF(X504&gt;0,"Necessita revisão de vínculos",IF(J504="Sim","Conferido",IF(I504="Sim","Localizado, aguardando conferência","Cadastrado"))))))))</f>
        <v/>
      </c>
      <c r="R504" s="95" t="str">
        <f>IF(S504=0,"",COUNTIFS('VÍNCULOS_CDF'!$O$6:$O$1005,A504,'VÍNCULOS_CDF'!$AB$6:$AB$1005,1))</f>
        <v/>
      </c>
      <c r="S504" s="96">
        <f>IF(COUNTA(B504:N504)&gt;0,1,0)</f>
        <v>0</v>
      </c>
      <c r="T504" s="96" t="str">
        <f>IF(AND(S504=1,B504&lt;&gt;""),C504&amp;"|"&amp;TRIM(B504),"")</f>
        <v/>
      </c>
      <c r="U504" s="96">
        <f>IF(T504="",0,IF(SUMPRODUCT(--($T$6:$T$505=T504))&gt;1,1,0))</f>
        <v>0</v>
      </c>
      <c r="V504" s="96">
        <f>IF(F504="",0,IF(ISNUMBER(MATCH(F504,cmp_dest,0)),1,0))</f>
        <v>0</v>
      </c>
      <c r="W504" s="96">
        <f>IF(AND(S504=1,B504&lt;&gt;"",F504&lt;&gt;"",J504="Sim",U504=0),1,0)</f>
        <v>0</v>
      </c>
      <c r="X504" s="96">
        <f>IF(S504=0,0,COUNTIFS('VÍNCULOS_CDF'!$O$6:$O$1005,A504,'VÍNCULOS_CDF'!$Y$6:$Y$1005,1))</f>
        <v>0</v>
      </c>
      <c r="Y504" s="96" t="str">
        <f>IF(S504=1,A504&amp;" | CDF "&amp;IF(B504="","(sem número)",B504)&amp;" | "&amp;IF(F504="","(sem destinador)",F504),"")</f>
        <v/>
      </c>
      <c r="Z504" s="96" t="str">
        <f>IF(S504=1,COUNTIF($S$6:S504,1),"")</f>
        <v/>
      </c>
      <c r="AA504" s="96">
        <f>IF(S504=0,0,IF(AND(OR(r_ini="",AND(ISNUMBER(D504),D504&gt;=r_ini)),OR(r_fim="",AND(ISNUMBER(D504),D504&lt;=r_fim)),OR(r_de="",r_de="(Todos)",F504=r_de)),1,0))</f>
        <v>0</v>
      </c>
      <c r="AB504" s="96" t="str">
        <f>IF(AA504=1,IF(F504="",0,COUNTIF($F$6:$F$505,"&lt;"&amp;F504))*1000+499,"")</f>
        <v/>
      </c>
    </row>
    <row r="505">
      <c r="A505" s="89" t="inlineStr">
        <is>
          <t>CDF-000500</t>
        </is>
      </c>
      <c r="B505" s="90" t="n"/>
      <c r="C505" s="91" t="n"/>
      <c r="D505" s="92" t="n"/>
      <c r="E505" s="91" t="n"/>
      <c r="F505" s="91" t="n"/>
      <c r="G505" s="91" t="n"/>
      <c r="H505" s="91" t="n"/>
      <c r="I505" s="91" t="n"/>
      <c r="J505" s="91" t="n"/>
      <c r="K505" s="92" t="n"/>
      <c r="L505" s="91" t="n"/>
      <c r="M505" s="91" t="n"/>
      <c r="N505" s="91" t="n"/>
      <c r="O505" s="93" t="str">
        <f>IF(S505=0,"",SUMIFS('VÍNCULOS_CDF'!$H$6:$H$1005,'VÍNCULOS_CDF'!$O$6:$O$1005,A505,'VÍNCULOS_CDF'!$V$6:$V$1005,1))</f>
        <v/>
      </c>
      <c r="P505" s="95" t="str">
        <f>IF(S505=0,"",COUNTIFS('VÍNCULOS_CDF'!$O$6:$O$1005,A505,'VÍNCULOS_CDF'!$N$6:$N$1005,1))</f>
        <v/>
      </c>
      <c r="Q505" s="94" t="str">
        <f>IF(S505=0,"",IF(OR(B505="",F505=""),"Informações incompletas",IF(U505=1,"Possível duplicidade",IF(V505=0,"Destinador fora do cadastro",IF(AND(J505="Sim",N(P505)=0),"Necessita revisão de vínculos",IF(X505&gt;0,"Necessita revisão de vínculos",IF(J505="Sim","Conferido",IF(I505="Sim","Localizado, aguardando conferência","Cadastrado"))))))))</f>
        <v/>
      </c>
      <c r="R505" s="95" t="str">
        <f>IF(S505=0,"",COUNTIFS('VÍNCULOS_CDF'!$O$6:$O$1005,A505,'VÍNCULOS_CDF'!$AB$6:$AB$1005,1))</f>
        <v/>
      </c>
      <c r="S505" s="96">
        <f>IF(COUNTA(B505:N505)&gt;0,1,0)</f>
        <v>0</v>
      </c>
      <c r="T505" s="96" t="str">
        <f>IF(AND(S505=1,B505&lt;&gt;""),C505&amp;"|"&amp;TRIM(B505),"")</f>
        <v/>
      </c>
      <c r="U505" s="96">
        <f>IF(T505="",0,IF(SUMPRODUCT(--($T$6:$T$505=T505))&gt;1,1,0))</f>
        <v>0</v>
      </c>
      <c r="V505" s="96">
        <f>IF(F505="",0,IF(ISNUMBER(MATCH(F505,cmp_dest,0)),1,0))</f>
        <v>0</v>
      </c>
      <c r="W505" s="96">
        <f>IF(AND(S505=1,B505&lt;&gt;"",F505&lt;&gt;"",J505="Sim",U505=0),1,0)</f>
        <v>0</v>
      </c>
      <c r="X505" s="96">
        <f>IF(S505=0,0,COUNTIFS('VÍNCULOS_CDF'!$O$6:$O$1005,A505,'VÍNCULOS_CDF'!$Y$6:$Y$1005,1))</f>
        <v>0</v>
      </c>
      <c r="Y505" s="96" t="str">
        <f>IF(S505=1,A505&amp;" | CDF "&amp;IF(B505="","(sem número)",B505)&amp;" | "&amp;IF(F505="","(sem destinador)",F505),"")</f>
        <v/>
      </c>
      <c r="Z505" s="96" t="str">
        <f>IF(S505=1,COUNTIF($S$6:S505,1),"")</f>
        <v/>
      </c>
      <c r="AA505" s="96">
        <f>IF(S505=0,0,IF(AND(OR(r_ini="",AND(ISNUMBER(D505),D505&gt;=r_ini)),OR(r_fim="",AND(ISNUMBER(D505),D505&lt;=r_fim)),OR(r_de="",r_de="(Todos)",F505=r_de)),1,0))</f>
        <v>0</v>
      </c>
      <c r="AB505" s="96" t="str">
        <f>IF(AA505=1,IF(F505="",0,COUNTIF($F$6:$F$505,"&lt;"&amp;F505))*1000+500,"")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R2"/>
    <mergeCell ref="A1:R1"/>
  </mergeCells>
  <conditionalFormatting sqref="Q6:Q505">
    <cfRule type="expression" priority="1" dxfId="0" stopIfTrue="1">
      <formula>OR(ISNUMBER(SEARCH("Cancelado",Q6)),ISNUMBER(SEARCH("cancelado",Q6)))</formula>
    </cfRule>
    <cfRule type="expression" priority="2" dxfId="1" stopIfTrue="1">
      <formula>OR(ISNUMBER(SEARCH("revisar",Q6)),ISNUMBER(SEARCH("REVISAR",Q6)),ISNUMBER(SEARCH("incompleto",Q6)),ISNUMBER(SEARCH("INCOMPLETO",Q6)),ISNUMBER(SEARCH("inexistente",Q6)),ISNUMBER(SEARCH("inválid",Q6)),ISNUMBER(SEARCH("não informad",Q6)),ISNUMBER(SEARCH("fora do cadastro",Q6)),ISNUMBER(SEARCH("duplicidade",Q6)),ISNUMBER(SEARCH("DUPLICIDADE",Q6)),ISNUMBER(SEARCH("UNIDADE A CONFERIR",Q6)),ISNUMBER(SEARCH("Unidade a conferir",Q6)),ISNUMBER(SEARCH("sem evidência",Q6)),ISNUMBER(SEARCH("anterior à emissão",Q6)),ISNUMBER(SEARCH("não positiva",Q6)),ISNUMBER(SEARCH("não identificado",Q6)),ISNUMBER(SEARCH("Sem MTR",Q6)),ISNUMBER(SEARCH("Necessita",Q6)),ISNUMBER(SEARCH("incompletas",Q6)),ISNUMBER(SEARCH("Nome repetido",Q6)),ISNUMBER(SEARCH("Informe",Q6)),ISNUMBER(SEARCH("vencida",Q6)))</formula>
    </cfRule>
    <cfRule type="expression" priority="3" dxfId="2" stopIfTrue="1">
      <formula>OR(ISNUMBER(SEARCH("a conferir",Q6)),ISNUMBER(SEARCH("A CONFERIR",Q6)),ISNUMBER(SEARCH("Aguardando conferência",Q6)),ISNUMBER(SEARCH("Localizado",Q6)),ISNUMBER(SEARCH("ver diferença",Q6)),ISNUMBER(SEARCH("analisado",Q6)),ISNUMBER(SEARCH("Data futura",Q6)),ISNUMBER(SEARCH("Não calculável",Q6)))</formula>
    </cfRule>
    <cfRule type="expression" priority="4" dxfId="3" stopIfTrue="1">
      <formula>OR(ISNUMBER(SEARCH("Aguardando",Q6)),ISNUMBER(SEARCH("parcial",Q6)),ISNUMBER(SEARCH("Cadastrado",Q6)),ISNUMBER(SEARCH("NÃO CONFIRMADO",Q6)),ISNUMBER(SEARCH("NÃO LOCALIZADO",Q6)),ISNUMBER(SEARCH("VÍNCULO INCOMPLETO",Q6)))</formula>
    </cfRule>
    <cfRule type="expression" priority="5" dxfId="4" stopIfTrue="1">
      <formula>OR(EXACT(Q6,"OK"),ISNUMBER(SEARCH("conferida",Q6)),ISNUMBER(SEARCH("Conferido",Q6)),ISNUMBER(SEARCH("Nenhuma",Q6)))</formula>
    </cfRule>
  </conditionalFormatting>
  <conditionalFormatting sqref="B6:B505 C6:C505 D6:D505 E6:E505 F6:F505 G6:G505 H6:H505 I6:I505 J6:J505 K6:K505 L6:L505 M6:M505 N6:N505">
    <cfRule type="expression" priority="6" dxfId="5">
      <formula>MOD(ROW(),2)=0</formula>
    </cfRule>
  </conditionalFormatting>
  <conditionalFormatting sqref="O6:O505 P6:P505 Q6:Q505 R6:R505">
    <cfRule type="expression" priority="7" dxfId="6">
      <formula>MOD(ROW(),2)=0</formula>
    </cfRule>
  </conditionalFormatting>
  <dataValidations count="8">
    <dataValidation sqref="C6:C505" showDropDown="0" showInputMessage="0" showErrorMessage="1" allowBlank="1" errorTitle="Valor fora da lista" error="Valor fora da lista. Confira o cadastro ou ajuste a lista em CONFIGURAÇÕES." type="list" errorStyle="warning">
      <formula1>=lst_sistemas</formula1>
    </dataValidation>
    <dataValidation sqref="D6:D505" showDropDown="0" showInputMessage="0" showErrorMessage="1" allowBlank="1" errorTitle="Data" error="Informe uma data válida (dd/mm/aaaa)." type="date" errorStyle="warning" operator="between">
      <formula1>36526</formula1>
      <formula2>73050</formula2>
    </dataValidation>
    <dataValidation sqref="F6:F505" showDropDown="0" showInputMessage="0" showErrorMessage="1" allowBlank="1" errorTitle="Valor fora da lista" error="Valor fora da lista. Confira o cadastro ou ajuste a lista em CONFIGURAÇÕES." type="list" errorStyle="warning">
      <formula1>=lst_dest</formula1>
    </dataValidation>
    <dataValidation sqref="G6:G505" showDropDown="0" showInputMessage="0" showErrorMessage="1" allowBlank="1" errorTitle="Valor fora da lista" error="Valor fora da lista. Confira o cadastro ou ajuste a lista em CONFIGURAÇÕES." type="list" errorStyle="warning">
      <formula1>=lst_modal</formula1>
    </dataValidation>
    <dataValidation sqref="H6:H505" showDropDown="0" showInputMessage="0" showErrorMessage="1" allowBlank="1" errorTitle="Valor fora da lista" error="Valor fora da lista. Confira o cadastro ou ajuste a lista em CONFIGURAÇÕES." type="list" errorStyle="warning">
      <formula1>=lst_sit_cdf</formula1>
    </dataValidation>
    <dataValidation sqref="I6:I505" showDropDown="0" showInputMessage="0" showErrorMessage="1" allowBlank="1" errorTitle="Valor fora da lista" error="Valor fora da lista. Confira o cadastro ou ajuste a lista em CONFIGURAÇÕES." type="list" errorStyle="warning">
      <formula1>=lst_simnao</formula1>
    </dataValidation>
    <dataValidation sqref="J6:J505" showDropDown="0" showInputMessage="0" showErrorMessage="1" allowBlank="1" errorTitle="Valor fora da lista" error="Valor fora da lista. Confira o cadastro ou ajuste a lista em CONFIGURAÇÕES." type="list" errorStyle="warning">
      <formula1>=lst_simnao</formula1>
    </dataValidation>
    <dataValidation sqref="K6:K505" showDropDown="0" showInputMessage="0" showErrorMessage="1" allowBlank="1" errorTitle="Data" error="Informe uma data válida (dd/mm/aaaa)." type="date" errorStyle="warning" operator="between">
      <formula1>36526</formula1>
      <formula2>73050</formula2>
    </dataValidation>
  </dataValidations>
  <hyperlinks>
    <hyperlink ref="A3" location="'INÍCIO'!A1"/>
    <hyperlink ref="B3" location="'PAINEL'!A1"/>
    <hyperlink ref="C3" location="'PENDÊNCIAS'!A1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766A9"/>
    <outlinePr summaryBelow="1" summaryRight="1"/>
    <pageSetUpPr fitToPage="1"/>
  </sheetPr>
  <dimension ref="A1:AC1005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36" customWidth="1" min="3" max="3"/>
    <col width="13" customWidth="1" min="4" max="4"/>
    <col width="24" customWidth="1" min="5" max="5"/>
    <col width="12" customWidth="1" min="6" max="6"/>
    <col width="9" customWidth="1" min="7" max="7"/>
    <col width="14" customWidth="1" min="8" max="8"/>
    <col width="26" customWidth="1" min="9" max="9"/>
    <col width="12" customWidth="1" min="10" max="10"/>
    <col width="26" customWidth="1" min="11" max="11"/>
    <col width="30" customWidth="1" min="12" max="12"/>
    <col width="30" customWidth="1" min="13" max="13"/>
    <col hidden="1" width="6" customWidth="1" min="14" max="14"/>
    <col hidden="1" width="6" customWidth="1" min="15" max="15"/>
    <col hidden="1" width="6" customWidth="1" min="16" max="16"/>
    <col hidden="1" width="6" customWidth="1" min="17" max="17"/>
    <col hidden="1" width="6" customWidth="1" min="18" max="18"/>
    <col hidden="1" width="6" customWidth="1" min="19" max="19"/>
    <col hidden="1" width="6" customWidth="1" min="20" max="20"/>
    <col hidden="1" width="6" customWidth="1" min="21" max="21"/>
    <col hidden="1" width="6" customWidth="1" min="22" max="22"/>
    <col hidden="1" width="6" customWidth="1" min="23" max="23"/>
    <col hidden="1" width="6" customWidth="1" min="24" max="24"/>
    <col hidden="1" width="6" customWidth="1" min="25" max="25"/>
    <col hidden="1" width="6" customWidth="1" min="26" max="26"/>
    <col hidden="1" width="6" customWidth="1" min="27" max="27"/>
    <col hidden="1" width="6" customWidth="1" min="28" max="28"/>
    <col hidden="1" width="6" customWidth="1" min="29" max="29"/>
  </cols>
  <sheetData>
    <row r="1" ht="34" customHeight="1">
      <c r="A1" s="79" t="inlineStr">
        <is>
          <t>VÍNCULOS ENTRE CDF E ITENS DE MTR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79" t="n"/>
      <c r="K1" s="79" t="n"/>
      <c r="L1" s="79" t="n"/>
      <c r="M1" s="79" t="n"/>
    </row>
    <row r="2" ht="30" customHeight="1">
      <c r="A2" s="80" t="inlineStr">
        <is>
          <t>Cada linha liga um CDF a um item de resíduo, com a quantidade que o certificado documenta para esse item.  Exemplo: CDF X com 500 kg do item do MTR A e 300 kg do item do MTR B = 2 linhas, 800 kg no CDF X.</t>
        </is>
      </c>
      <c r="B2" s="80" t="n"/>
      <c r="C2" s="80" t="n"/>
      <c r="D2" s="80" t="n"/>
      <c r="E2" s="80" t="n"/>
      <c r="F2" s="80" t="n"/>
      <c r="G2" s="80" t="n"/>
      <c r="H2" s="80" t="n"/>
      <c r="I2" s="80" t="n"/>
      <c r="J2" s="80" t="n"/>
      <c r="K2" s="80" t="n"/>
      <c r="L2" s="80" t="n"/>
      <c r="M2" s="80" t="n"/>
    </row>
    <row r="3" ht="20" customHeight="1">
      <c r="A3" s="81" t="inlineStr">
        <is>
          <t>◀ INÍCIO</t>
        </is>
      </c>
      <c r="B3" s="81" t="inlineStr">
        <is>
          <t>PAINEL</t>
        </is>
      </c>
      <c r="C3" s="81" t="inlineStr">
        <is>
          <t>PENDÊNCIAS</t>
        </is>
      </c>
      <c r="D3" s="82" t="inlineStr">
        <is>
          <t>Azul-claro = preencher   |   Cinza = automático   |   Linhas prontas: 1.000 registros</t>
        </is>
      </c>
    </row>
    <row r="4">
      <c r="A4" s="83" t="inlineStr">
        <is>
          <t>ID FIXO</t>
        </is>
      </c>
      <c r="B4" s="84" t="inlineStr">
        <is>
          <t>PREENCHER</t>
        </is>
      </c>
      <c r="C4" s="84" t="inlineStr">
        <is>
          <t>PREENCHER</t>
        </is>
      </c>
      <c r="D4" s="85" t="inlineStr">
        <is>
          <t>AUTOMÁTICO</t>
        </is>
      </c>
      <c r="E4" s="85" t="inlineStr">
        <is>
          <t>AUTOMÁTICO</t>
        </is>
      </c>
      <c r="F4" s="84" t="inlineStr">
        <is>
          <t>PREENCHER</t>
        </is>
      </c>
      <c r="G4" s="84" t="inlineStr">
        <is>
          <t>PREENCHER</t>
        </is>
      </c>
      <c r="H4" s="85" t="inlineStr">
        <is>
          <t>AUTOMÁTICO</t>
        </is>
      </c>
      <c r="I4" s="85" t="inlineStr">
        <is>
          <t>AUTOMÁTICO</t>
        </is>
      </c>
      <c r="J4" s="84" t="inlineStr">
        <is>
          <t>PREENCHER</t>
        </is>
      </c>
      <c r="K4" s="84" t="inlineStr">
        <is>
          <t>PREENCHER</t>
        </is>
      </c>
      <c r="L4" s="85" t="inlineStr">
        <is>
          <t>AUTOMÁTICO</t>
        </is>
      </c>
      <c r="M4" s="85" t="inlineStr">
        <is>
          <t>AUTOMÁTICO</t>
        </is>
      </c>
    </row>
    <row r="5" ht="46" customHeight="1">
      <c r="A5" s="86" t="inlineStr">
        <is>
          <t>ID interno do vínculo</t>
        </is>
      </c>
      <c r="B5" s="86" t="inlineStr">
        <is>
          <t>ID interno do CDF</t>
        </is>
      </c>
      <c r="C5" s="86" t="inlineStr">
        <is>
          <t>ID interno do item de resíduo</t>
        </is>
      </c>
      <c r="D5" s="87" t="inlineStr">
        <is>
          <t>ID do MTR correspondente</t>
        </is>
      </c>
      <c r="E5" s="87" t="inlineStr">
        <is>
          <t>Resíduo correspondente</t>
        </is>
      </c>
      <c r="F5" s="86" t="inlineStr">
        <is>
          <t>Quantidade vinculada ao CDF</t>
        </is>
      </c>
      <c r="G5" s="86" t="inlineStr">
        <is>
          <t>Unidade de medida</t>
        </is>
      </c>
      <c r="H5" s="87" t="inlineStr">
        <is>
          <t>Quantidade convertida (kg)</t>
        </is>
      </c>
      <c r="I5" s="87" t="inlineStr">
        <is>
          <t>Unidade destinadora vinculada</t>
        </is>
      </c>
      <c r="J5" s="86" t="inlineStr">
        <is>
          <t>Conferência do vínculo</t>
        </is>
      </c>
      <c r="K5" s="86" t="inlineStr">
        <is>
          <t>Observações</t>
        </is>
      </c>
      <c r="L5" s="87" t="inlineStr">
        <is>
          <t>Alerta de quantidade</t>
        </is>
      </c>
      <c r="M5" s="87" t="inlineStr">
        <is>
          <t>Alerta de identificação</t>
        </is>
      </c>
      <c r="N5" s="88" t="inlineStr">
        <is>
          <t>aux registro ativo</t>
        </is>
      </c>
      <c r="O5" s="88" t="inlineStr">
        <is>
          <t>aux id cdf</t>
        </is>
      </c>
      <c r="P5" s="88" t="inlineStr">
        <is>
          <t>aux linha cdf</t>
        </is>
      </c>
      <c r="Q5" s="88" t="inlineStr">
        <is>
          <t>aux cdf válido</t>
        </is>
      </c>
      <c r="R5" s="88" t="inlineStr">
        <is>
          <t>aux id item</t>
        </is>
      </c>
      <c r="S5" s="88" t="inlineStr">
        <is>
          <t>aux linha item</t>
        </is>
      </c>
      <c r="T5" s="88" t="inlineStr">
        <is>
          <t>aux item válido</t>
        </is>
      </c>
      <c r="U5" s="88" t="inlineStr">
        <is>
          <t>aux fator kg</t>
        </is>
      </c>
      <c r="V5" s="88" t="inlineStr">
        <is>
          <t>aux quantidade válida</t>
        </is>
      </c>
      <c r="W5" s="88" t="inlineStr">
        <is>
          <t>aux destinatário do MTR</t>
        </is>
      </c>
      <c r="X5" s="88" t="inlineStr">
        <is>
          <t>aux destinador diferente</t>
        </is>
      </c>
      <c r="Y5" s="88" t="inlineStr">
        <is>
          <t>aux alerta</t>
        </is>
      </c>
      <c r="Z5" s="88" t="inlineStr">
        <is>
          <t>aux cdf conferido</t>
        </is>
      </c>
      <c r="AA5" s="88" t="inlineStr">
        <is>
          <t>aux vínculo ok</t>
        </is>
      </c>
      <c r="AB5" s="88" t="inlineStr">
        <is>
          <t>aux primeiro par cdf mtr</t>
        </is>
      </c>
      <c r="AC5" s="88" t="inlineStr">
        <is>
          <t>aux item acima</t>
        </is>
      </c>
    </row>
    <row r="6">
      <c r="A6" s="89" t="inlineStr">
        <is>
          <t>VIN-000001</t>
        </is>
      </c>
      <c r="B6" s="91" t="n"/>
      <c r="C6" s="91" t="n"/>
      <c r="D6" s="94" t="str">
        <f>IF(T6=1,INDEX('ITENS_MTR'!$S$6:$S$1005,S6)&amp;"","")</f>
        <v/>
      </c>
      <c r="E6" s="94" t="str">
        <f>IF(T6=1,INDEX('ITENS_MTR'!$C$6:$C$1005,S6)&amp;"","")</f>
        <v/>
      </c>
      <c r="F6" s="98" t="n"/>
      <c r="G6" s="91" t="n"/>
      <c r="H6" s="93" t="str">
        <f>IF(N6=0,"",IF(NOT(ISNUMBER(F6)),"",IF(ISNUMBER(U6),F6*U6,"UNIDADE A CONFERIR")))</f>
        <v/>
      </c>
      <c r="I6" s="94" t="str">
        <f>IF(Q6=1,INDEX('CDFs'!$F$6:$F$505,P6)&amp;"","")</f>
        <v/>
      </c>
      <c r="J6" s="91" t="n"/>
      <c r="K6" s="91" t="n"/>
      <c r="L6" s="94" t="str">
        <f>IF(N6=0,"",IF(NOT(ISNUMBER(F6)),"Quantidade não informada",IF(F6&lt;=0,"Quantidade não positiva",IF(G6="","Unidade não informada",IF(NOT(ISNUMBER(H6)),"Unidade a conferir",IF(AC6=1,"REVISAR VÍNCULO: soma vinculada maior que a referência do item","OK"))))))</f>
        <v/>
      </c>
      <c r="M6" s="94" t="str">
        <f>IF(N6=0,"",IF(B6="","CDF não informado",IF(Q6=0,"REVISAR VÍNCULO: CDF inexistente",IF(C6="","Item não informado",IF(T6=0,"REVISAR VÍNCULO: item inexistente",IF(AND(X6=1,J6&lt;&gt;"Sim"),"REVISAR VÍNCULO: destinador diferente do MTR",IF(X6=1,"Destinador diferente do MTR (analisado)","OK")))))))</f>
        <v/>
      </c>
      <c r="N6" s="96">
        <f>IF(COUNTA(B6:C6,F6:G6,J6:K6)&gt;0,1,0)</f>
        <v>0</v>
      </c>
      <c r="O6" s="96" t="str">
        <f>IF(B6="","",TRIM(LEFT(B6,FIND(" |",B6&amp;" |")-1)))</f>
        <v/>
      </c>
      <c r="P6" s="96" t="str">
        <f>IF(O6="","",IFERROR(MATCH(O6,'CDFs'!$A$6:$A$505,0),""))</f>
        <v/>
      </c>
      <c r="Q6" s="96">
        <f>IF(P6="",0,IF(INDEX('CDFs'!$S$6:$S$505,P6)=1,1,0))</f>
        <v>0</v>
      </c>
      <c r="R6" s="96" t="str">
        <f>IF(C6="","",TRIM(LEFT(C6,FIND(" |",C6&amp;" |")-1)))</f>
        <v/>
      </c>
      <c r="S6" s="96" t="str">
        <f>IF(R6="","",IFERROR(MATCH(R6,'ITENS_MTR'!$A$6:$A$1005,0),""))</f>
        <v/>
      </c>
      <c r="T6" s="96">
        <f>IF(S6="",0,IF(INDEX('ITENS_MTR'!$R$6:$R$1005,S6)=1,1,0))</f>
        <v>0</v>
      </c>
      <c r="U6" s="96" t="str">
        <f>IF(G6="","",IFERROR(IF(ISNUMBER(INDEX(cfg_fac,MATCH(G6,cfg_units,0))),IF(INDEX(cfg_fac,MATCH(G6,cfg_units,0))&gt;0,INDEX(cfg_fac,MATCH(G6,cfg_units,0)),""),""),""))</f>
        <v/>
      </c>
      <c r="V6" s="96">
        <f>IF(AND(ISNUMBER(F6),ISNUMBER(H6)),IF(H6&gt;0,1,0),0)</f>
        <v>0</v>
      </c>
      <c r="W6" s="96" t="str">
        <f>IF(T6=1,INDEX('ITENS_MTR'!$AU$6:$AU$1005,S6)&amp;"","")</f>
        <v/>
      </c>
      <c r="X6" s="96">
        <f>IF(AND(Q6=1,T6=1,I6&lt;&gt;"",W6&lt;&gt;""),IF(I6&lt;&gt;W6,1,0),0)</f>
        <v>0</v>
      </c>
      <c r="Y6" s="96">
        <f>IF(N6=0,0,IF(OR(Q6=0,T6=0,V6=0,AND(X6=1,J6&lt;&gt;"Sim")),1,0))</f>
        <v>0</v>
      </c>
      <c r="Z6" s="96">
        <f>IF(Q6=1,INDEX('CDFs'!$W$6:$W$505,P6),0)</f>
        <v>0</v>
      </c>
      <c r="AA6" s="96">
        <f>IF(AND(N6=1,Y6=0,Z6=1,J6="Sim"),1,0)</f>
        <v>0</v>
      </c>
      <c r="AB6" s="96">
        <f>IF(AND(N6=1,O6&lt;&gt;"",D6&lt;&gt;""),IF(COUNTIFS($O$6:O6,O6,$D$6:D6,D6)=1,1,0),0)</f>
        <v>0</v>
      </c>
      <c r="AC6" s="96">
        <f>IF(T6=1,INDEX('ITENS_MTR'!$AL$6:$AL$1005,S6),0)</f>
        <v>0</v>
      </c>
    </row>
    <row r="7">
      <c r="A7" s="89" t="inlineStr">
        <is>
          <t>VIN-000002</t>
        </is>
      </c>
      <c r="B7" s="91" t="n"/>
      <c r="C7" s="91" t="n"/>
      <c r="D7" s="94" t="str">
        <f>IF(T7=1,INDEX('ITENS_MTR'!$S$6:$S$1005,S7)&amp;"","")</f>
        <v/>
      </c>
      <c r="E7" s="94" t="str">
        <f>IF(T7=1,INDEX('ITENS_MTR'!$C$6:$C$1005,S7)&amp;"","")</f>
        <v/>
      </c>
      <c r="F7" s="98" t="n"/>
      <c r="G7" s="91" t="n"/>
      <c r="H7" s="93" t="str">
        <f>IF(N7=0,"",IF(NOT(ISNUMBER(F7)),"",IF(ISNUMBER(U7),F7*U7,"UNIDADE A CONFERIR")))</f>
        <v/>
      </c>
      <c r="I7" s="94" t="str">
        <f>IF(Q7=1,INDEX('CDFs'!$F$6:$F$505,P7)&amp;"","")</f>
        <v/>
      </c>
      <c r="J7" s="91" t="n"/>
      <c r="K7" s="91" t="n"/>
      <c r="L7" s="94" t="str">
        <f>IF(N7=0,"",IF(NOT(ISNUMBER(F7)),"Quantidade não informada",IF(F7&lt;=0,"Quantidade não positiva",IF(G7="","Unidade não informada",IF(NOT(ISNUMBER(H7)),"Unidade a conferir",IF(AC7=1,"REVISAR VÍNCULO: soma vinculada maior que a referência do item","OK"))))))</f>
        <v/>
      </c>
      <c r="M7" s="94" t="str">
        <f>IF(N7=0,"",IF(B7="","CDF não informado",IF(Q7=0,"REVISAR VÍNCULO: CDF inexistente",IF(C7="","Item não informado",IF(T7=0,"REVISAR VÍNCULO: item inexistente",IF(AND(X7=1,J7&lt;&gt;"Sim"),"REVISAR VÍNCULO: destinador diferente do MTR",IF(X7=1,"Destinador diferente do MTR (analisado)","OK")))))))</f>
        <v/>
      </c>
      <c r="N7" s="96">
        <f>IF(COUNTA(B7:C7,F7:G7,J7:K7)&gt;0,1,0)</f>
        <v>0</v>
      </c>
      <c r="O7" s="96" t="str">
        <f>IF(B7="","",TRIM(LEFT(B7,FIND(" |",B7&amp;" |")-1)))</f>
        <v/>
      </c>
      <c r="P7" s="96" t="str">
        <f>IF(O7="","",IFERROR(MATCH(O7,'CDFs'!$A$6:$A$505,0),""))</f>
        <v/>
      </c>
      <c r="Q7" s="96">
        <f>IF(P7="",0,IF(INDEX('CDFs'!$S$6:$S$505,P7)=1,1,0))</f>
        <v>0</v>
      </c>
      <c r="R7" s="96" t="str">
        <f>IF(C7="","",TRIM(LEFT(C7,FIND(" |",C7&amp;" |")-1)))</f>
        <v/>
      </c>
      <c r="S7" s="96" t="str">
        <f>IF(R7="","",IFERROR(MATCH(R7,'ITENS_MTR'!$A$6:$A$1005,0),""))</f>
        <v/>
      </c>
      <c r="T7" s="96">
        <f>IF(S7="",0,IF(INDEX('ITENS_MTR'!$R$6:$R$1005,S7)=1,1,0))</f>
        <v>0</v>
      </c>
      <c r="U7" s="96" t="str">
        <f>IF(G7="","",IFERROR(IF(ISNUMBER(INDEX(cfg_fac,MATCH(G7,cfg_units,0))),IF(INDEX(cfg_fac,MATCH(G7,cfg_units,0))&gt;0,INDEX(cfg_fac,MATCH(G7,cfg_units,0)),""),""),""))</f>
        <v/>
      </c>
      <c r="V7" s="96">
        <f>IF(AND(ISNUMBER(F7),ISNUMBER(H7)),IF(H7&gt;0,1,0),0)</f>
        <v>0</v>
      </c>
      <c r="W7" s="96" t="str">
        <f>IF(T7=1,INDEX('ITENS_MTR'!$AU$6:$AU$1005,S7)&amp;"","")</f>
        <v/>
      </c>
      <c r="X7" s="96">
        <f>IF(AND(Q7=1,T7=1,I7&lt;&gt;"",W7&lt;&gt;""),IF(I7&lt;&gt;W7,1,0),0)</f>
        <v>0</v>
      </c>
      <c r="Y7" s="96">
        <f>IF(N7=0,0,IF(OR(Q7=0,T7=0,V7=0,AND(X7=1,J7&lt;&gt;"Sim")),1,0))</f>
        <v>0</v>
      </c>
      <c r="Z7" s="96">
        <f>IF(Q7=1,INDEX('CDFs'!$W$6:$W$505,P7),0)</f>
        <v>0</v>
      </c>
      <c r="AA7" s="96">
        <f>IF(AND(N7=1,Y7=0,Z7=1,J7="Sim"),1,0)</f>
        <v>0</v>
      </c>
      <c r="AB7" s="96">
        <f>IF(AND(N7=1,O7&lt;&gt;"",D7&lt;&gt;""),IF(COUNTIFS($O$6:O7,O7,$D$6:D7,D7)=1,1,0),0)</f>
        <v>0</v>
      </c>
      <c r="AC7" s="96">
        <f>IF(T7=1,INDEX('ITENS_MTR'!$AL$6:$AL$1005,S7),0)</f>
        <v>0</v>
      </c>
    </row>
    <row r="8">
      <c r="A8" s="89" t="inlineStr">
        <is>
          <t>VIN-000003</t>
        </is>
      </c>
      <c r="B8" s="91" t="n"/>
      <c r="C8" s="91" t="n"/>
      <c r="D8" s="94" t="str">
        <f>IF(T8=1,INDEX('ITENS_MTR'!$S$6:$S$1005,S8)&amp;"","")</f>
        <v/>
      </c>
      <c r="E8" s="94" t="str">
        <f>IF(T8=1,INDEX('ITENS_MTR'!$C$6:$C$1005,S8)&amp;"","")</f>
        <v/>
      </c>
      <c r="F8" s="98" t="n"/>
      <c r="G8" s="91" t="n"/>
      <c r="H8" s="93" t="str">
        <f>IF(N8=0,"",IF(NOT(ISNUMBER(F8)),"",IF(ISNUMBER(U8),F8*U8,"UNIDADE A CONFERIR")))</f>
        <v/>
      </c>
      <c r="I8" s="94" t="str">
        <f>IF(Q8=1,INDEX('CDFs'!$F$6:$F$505,P8)&amp;"","")</f>
        <v/>
      </c>
      <c r="J8" s="91" t="n"/>
      <c r="K8" s="91" t="n"/>
      <c r="L8" s="94" t="str">
        <f>IF(N8=0,"",IF(NOT(ISNUMBER(F8)),"Quantidade não informada",IF(F8&lt;=0,"Quantidade não positiva",IF(G8="","Unidade não informada",IF(NOT(ISNUMBER(H8)),"Unidade a conferir",IF(AC8=1,"REVISAR VÍNCULO: soma vinculada maior que a referência do item","OK"))))))</f>
        <v/>
      </c>
      <c r="M8" s="94" t="str">
        <f>IF(N8=0,"",IF(B8="","CDF não informado",IF(Q8=0,"REVISAR VÍNCULO: CDF inexistente",IF(C8="","Item não informado",IF(T8=0,"REVISAR VÍNCULO: item inexistente",IF(AND(X8=1,J8&lt;&gt;"Sim"),"REVISAR VÍNCULO: destinador diferente do MTR",IF(X8=1,"Destinador diferente do MTR (analisado)","OK")))))))</f>
        <v/>
      </c>
      <c r="N8" s="96">
        <f>IF(COUNTA(B8:C8,F8:G8,J8:K8)&gt;0,1,0)</f>
        <v>0</v>
      </c>
      <c r="O8" s="96" t="str">
        <f>IF(B8="","",TRIM(LEFT(B8,FIND(" |",B8&amp;" |")-1)))</f>
        <v/>
      </c>
      <c r="P8" s="96" t="str">
        <f>IF(O8="","",IFERROR(MATCH(O8,'CDFs'!$A$6:$A$505,0),""))</f>
        <v/>
      </c>
      <c r="Q8" s="96">
        <f>IF(P8="",0,IF(INDEX('CDFs'!$S$6:$S$505,P8)=1,1,0))</f>
        <v>0</v>
      </c>
      <c r="R8" s="96" t="str">
        <f>IF(C8="","",TRIM(LEFT(C8,FIND(" |",C8&amp;" |")-1)))</f>
        <v/>
      </c>
      <c r="S8" s="96" t="str">
        <f>IF(R8="","",IFERROR(MATCH(R8,'ITENS_MTR'!$A$6:$A$1005,0),""))</f>
        <v/>
      </c>
      <c r="T8" s="96">
        <f>IF(S8="",0,IF(INDEX('ITENS_MTR'!$R$6:$R$1005,S8)=1,1,0))</f>
        <v>0</v>
      </c>
      <c r="U8" s="96" t="str">
        <f>IF(G8="","",IFERROR(IF(ISNUMBER(INDEX(cfg_fac,MATCH(G8,cfg_units,0))),IF(INDEX(cfg_fac,MATCH(G8,cfg_units,0))&gt;0,INDEX(cfg_fac,MATCH(G8,cfg_units,0)),""),""),""))</f>
        <v/>
      </c>
      <c r="V8" s="96">
        <f>IF(AND(ISNUMBER(F8),ISNUMBER(H8)),IF(H8&gt;0,1,0),0)</f>
        <v>0</v>
      </c>
      <c r="W8" s="96" t="str">
        <f>IF(T8=1,INDEX('ITENS_MTR'!$AU$6:$AU$1005,S8)&amp;"","")</f>
        <v/>
      </c>
      <c r="X8" s="96">
        <f>IF(AND(Q8=1,T8=1,I8&lt;&gt;"",W8&lt;&gt;""),IF(I8&lt;&gt;W8,1,0),0)</f>
        <v>0</v>
      </c>
      <c r="Y8" s="96">
        <f>IF(N8=0,0,IF(OR(Q8=0,T8=0,V8=0,AND(X8=1,J8&lt;&gt;"Sim")),1,0))</f>
        <v>0</v>
      </c>
      <c r="Z8" s="96">
        <f>IF(Q8=1,INDEX('CDFs'!$W$6:$W$505,P8),0)</f>
        <v>0</v>
      </c>
      <c r="AA8" s="96">
        <f>IF(AND(N8=1,Y8=0,Z8=1,J8="Sim"),1,0)</f>
        <v>0</v>
      </c>
      <c r="AB8" s="96">
        <f>IF(AND(N8=1,O8&lt;&gt;"",D8&lt;&gt;""),IF(COUNTIFS($O$6:O8,O8,$D$6:D8,D8)=1,1,0),0)</f>
        <v>0</v>
      </c>
      <c r="AC8" s="96">
        <f>IF(T8=1,INDEX('ITENS_MTR'!$AL$6:$AL$1005,S8),0)</f>
        <v>0</v>
      </c>
    </row>
    <row r="9">
      <c r="A9" s="89" t="inlineStr">
        <is>
          <t>VIN-000004</t>
        </is>
      </c>
      <c r="B9" s="91" t="n"/>
      <c r="C9" s="91" t="n"/>
      <c r="D9" s="94" t="str">
        <f>IF(T9=1,INDEX('ITENS_MTR'!$S$6:$S$1005,S9)&amp;"","")</f>
        <v/>
      </c>
      <c r="E9" s="94" t="str">
        <f>IF(T9=1,INDEX('ITENS_MTR'!$C$6:$C$1005,S9)&amp;"","")</f>
        <v/>
      </c>
      <c r="F9" s="98" t="n"/>
      <c r="G9" s="91" t="n"/>
      <c r="H9" s="93" t="str">
        <f>IF(N9=0,"",IF(NOT(ISNUMBER(F9)),"",IF(ISNUMBER(U9),F9*U9,"UNIDADE A CONFERIR")))</f>
        <v/>
      </c>
      <c r="I9" s="94" t="str">
        <f>IF(Q9=1,INDEX('CDFs'!$F$6:$F$505,P9)&amp;"","")</f>
        <v/>
      </c>
      <c r="J9" s="91" t="n"/>
      <c r="K9" s="91" t="n"/>
      <c r="L9" s="94" t="str">
        <f>IF(N9=0,"",IF(NOT(ISNUMBER(F9)),"Quantidade não informada",IF(F9&lt;=0,"Quantidade não positiva",IF(G9="","Unidade não informada",IF(NOT(ISNUMBER(H9)),"Unidade a conferir",IF(AC9=1,"REVISAR VÍNCULO: soma vinculada maior que a referência do item","OK"))))))</f>
        <v/>
      </c>
      <c r="M9" s="94" t="str">
        <f>IF(N9=0,"",IF(B9="","CDF não informado",IF(Q9=0,"REVISAR VÍNCULO: CDF inexistente",IF(C9="","Item não informado",IF(T9=0,"REVISAR VÍNCULO: item inexistente",IF(AND(X9=1,J9&lt;&gt;"Sim"),"REVISAR VÍNCULO: destinador diferente do MTR",IF(X9=1,"Destinador diferente do MTR (analisado)","OK")))))))</f>
        <v/>
      </c>
      <c r="N9" s="96">
        <f>IF(COUNTA(B9:C9,F9:G9,J9:K9)&gt;0,1,0)</f>
        <v>0</v>
      </c>
      <c r="O9" s="96" t="str">
        <f>IF(B9="","",TRIM(LEFT(B9,FIND(" |",B9&amp;" |")-1)))</f>
        <v/>
      </c>
      <c r="P9" s="96" t="str">
        <f>IF(O9="","",IFERROR(MATCH(O9,'CDFs'!$A$6:$A$505,0),""))</f>
        <v/>
      </c>
      <c r="Q9" s="96">
        <f>IF(P9="",0,IF(INDEX('CDFs'!$S$6:$S$505,P9)=1,1,0))</f>
        <v>0</v>
      </c>
      <c r="R9" s="96" t="str">
        <f>IF(C9="","",TRIM(LEFT(C9,FIND(" |",C9&amp;" |")-1)))</f>
        <v/>
      </c>
      <c r="S9" s="96" t="str">
        <f>IF(R9="","",IFERROR(MATCH(R9,'ITENS_MTR'!$A$6:$A$1005,0),""))</f>
        <v/>
      </c>
      <c r="T9" s="96">
        <f>IF(S9="",0,IF(INDEX('ITENS_MTR'!$R$6:$R$1005,S9)=1,1,0))</f>
        <v>0</v>
      </c>
      <c r="U9" s="96" t="str">
        <f>IF(G9="","",IFERROR(IF(ISNUMBER(INDEX(cfg_fac,MATCH(G9,cfg_units,0))),IF(INDEX(cfg_fac,MATCH(G9,cfg_units,0))&gt;0,INDEX(cfg_fac,MATCH(G9,cfg_units,0)),""),""),""))</f>
        <v/>
      </c>
      <c r="V9" s="96">
        <f>IF(AND(ISNUMBER(F9),ISNUMBER(H9)),IF(H9&gt;0,1,0),0)</f>
        <v>0</v>
      </c>
      <c r="W9" s="96" t="str">
        <f>IF(T9=1,INDEX('ITENS_MTR'!$AU$6:$AU$1005,S9)&amp;"","")</f>
        <v/>
      </c>
      <c r="X9" s="96">
        <f>IF(AND(Q9=1,T9=1,I9&lt;&gt;"",W9&lt;&gt;""),IF(I9&lt;&gt;W9,1,0),0)</f>
        <v>0</v>
      </c>
      <c r="Y9" s="96">
        <f>IF(N9=0,0,IF(OR(Q9=0,T9=0,V9=0,AND(X9=1,J9&lt;&gt;"Sim")),1,0))</f>
        <v>0</v>
      </c>
      <c r="Z9" s="96">
        <f>IF(Q9=1,INDEX('CDFs'!$W$6:$W$505,P9),0)</f>
        <v>0</v>
      </c>
      <c r="AA9" s="96">
        <f>IF(AND(N9=1,Y9=0,Z9=1,J9="Sim"),1,0)</f>
        <v>0</v>
      </c>
      <c r="AB9" s="96">
        <f>IF(AND(N9=1,O9&lt;&gt;"",D9&lt;&gt;""),IF(COUNTIFS($O$6:O9,O9,$D$6:D9,D9)=1,1,0),0)</f>
        <v>0</v>
      </c>
      <c r="AC9" s="96">
        <f>IF(T9=1,INDEX('ITENS_MTR'!$AL$6:$AL$1005,S9),0)</f>
        <v>0</v>
      </c>
    </row>
    <row r="10">
      <c r="A10" s="89" t="inlineStr">
        <is>
          <t>VIN-000005</t>
        </is>
      </c>
      <c r="B10" s="91" t="n"/>
      <c r="C10" s="91" t="n"/>
      <c r="D10" s="94" t="str">
        <f>IF(T10=1,INDEX('ITENS_MTR'!$S$6:$S$1005,S10)&amp;"","")</f>
        <v/>
      </c>
      <c r="E10" s="94" t="str">
        <f>IF(T10=1,INDEX('ITENS_MTR'!$C$6:$C$1005,S10)&amp;"","")</f>
        <v/>
      </c>
      <c r="F10" s="98" t="n"/>
      <c r="G10" s="91" t="n"/>
      <c r="H10" s="93" t="str">
        <f>IF(N10=0,"",IF(NOT(ISNUMBER(F10)),"",IF(ISNUMBER(U10),F10*U10,"UNIDADE A CONFERIR")))</f>
        <v/>
      </c>
      <c r="I10" s="94" t="str">
        <f>IF(Q10=1,INDEX('CDFs'!$F$6:$F$505,P10)&amp;"","")</f>
        <v/>
      </c>
      <c r="J10" s="91" t="n"/>
      <c r="K10" s="91" t="n"/>
      <c r="L10" s="94" t="str">
        <f>IF(N10=0,"",IF(NOT(ISNUMBER(F10)),"Quantidade não informada",IF(F10&lt;=0,"Quantidade não positiva",IF(G10="","Unidade não informada",IF(NOT(ISNUMBER(H10)),"Unidade a conferir",IF(AC10=1,"REVISAR VÍNCULO: soma vinculada maior que a referência do item","OK"))))))</f>
        <v/>
      </c>
      <c r="M10" s="94" t="str">
        <f>IF(N10=0,"",IF(B10="","CDF não informado",IF(Q10=0,"REVISAR VÍNCULO: CDF inexistente",IF(C10="","Item não informado",IF(T10=0,"REVISAR VÍNCULO: item inexistente",IF(AND(X10=1,J10&lt;&gt;"Sim"),"REVISAR VÍNCULO: destinador diferente do MTR",IF(X10=1,"Destinador diferente do MTR (analisado)","OK")))))))</f>
        <v/>
      </c>
      <c r="N10" s="96">
        <f>IF(COUNTA(B10:C10,F10:G10,J10:K10)&gt;0,1,0)</f>
        <v>0</v>
      </c>
      <c r="O10" s="96" t="str">
        <f>IF(B10="","",TRIM(LEFT(B10,FIND(" |",B10&amp;" |")-1)))</f>
        <v/>
      </c>
      <c r="P10" s="96" t="str">
        <f>IF(O10="","",IFERROR(MATCH(O10,'CDFs'!$A$6:$A$505,0),""))</f>
        <v/>
      </c>
      <c r="Q10" s="96">
        <f>IF(P10="",0,IF(INDEX('CDFs'!$S$6:$S$505,P10)=1,1,0))</f>
        <v>0</v>
      </c>
      <c r="R10" s="96" t="str">
        <f>IF(C10="","",TRIM(LEFT(C10,FIND(" |",C10&amp;" |")-1)))</f>
        <v/>
      </c>
      <c r="S10" s="96" t="str">
        <f>IF(R10="","",IFERROR(MATCH(R10,'ITENS_MTR'!$A$6:$A$1005,0),""))</f>
        <v/>
      </c>
      <c r="T10" s="96">
        <f>IF(S10="",0,IF(INDEX('ITENS_MTR'!$R$6:$R$1005,S10)=1,1,0))</f>
        <v>0</v>
      </c>
      <c r="U10" s="96" t="str">
        <f>IF(G10="","",IFERROR(IF(ISNUMBER(INDEX(cfg_fac,MATCH(G10,cfg_units,0))),IF(INDEX(cfg_fac,MATCH(G10,cfg_units,0))&gt;0,INDEX(cfg_fac,MATCH(G10,cfg_units,0)),""),""),""))</f>
        <v/>
      </c>
      <c r="V10" s="96">
        <f>IF(AND(ISNUMBER(F10),ISNUMBER(H10)),IF(H10&gt;0,1,0),0)</f>
        <v>0</v>
      </c>
      <c r="W10" s="96" t="str">
        <f>IF(T10=1,INDEX('ITENS_MTR'!$AU$6:$AU$1005,S10)&amp;"","")</f>
        <v/>
      </c>
      <c r="X10" s="96">
        <f>IF(AND(Q10=1,T10=1,I10&lt;&gt;"",W10&lt;&gt;""),IF(I10&lt;&gt;W10,1,0),0)</f>
        <v>0</v>
      </c>
      <c r="Y10" s="96">
        <f>IF(N10=0,0,IF(OR(Q10=0,T10=0,V10=0,AND(X10=1,J10&lt;&gt;"Sim")),1,0))</f>
        <v>0</v>
      </c>
      <c r="Z10" s="96">
        <f>IF(Q10=1,INDEX('CDFs'!$W$6:$W$505,P10),0)</f>
        <v>0</v>
      </c>
      <c r="AA10" s="96">
        <f>IF(AND(N10=1,Y10=0,Z10=1,J10="Sim"),1,0)</f>
        <v>0</v>
      </c>
      <c r="AB10" s="96">
        <f>IF(AND(N10=1,O10&lt;&gt;"",D10&lt;&gt;""),IF(COUNTIFS($O$6:O10,O10,$D$6:D10,D10)=1,1,0),0)</f>
        <v>0</v>
      </c>
      <c r="AC10" s="96">
        <f>IF(T10=1,INDEX('ITENS_MTR'!$AL$6:$AL$1005,S10),0)</f>
        <v>0</v>
      </c>
    </row>
    <row r="11">
      <c r="A11" s="89" t="inlineStr">
        <is>
          <t>VIN-000006</t>
        </is>
      </c>
      <c r="B11" s="91" t="n"/>
      <c r="C11" s="91" t="n"/>
      <c r="D11" s="94" t="str">
        <f>IF(T11=1,INDEX('ITENS_MTR'!$S$6:$S$1005,S11)&amp;"","")</f>
        <v/>
      </c>
      <c r="E11" s="94" t="str">
        <f>IF(T11=1,INDEX('ITENS_MTR'!$C$6:$C$1005,S11)&amp;"","")</f>
        <v/>
      </c>
      <c r="F11" s="98" t="n"/>
      <c r="G11" s="91" t="n"/>
      <c r="H11" s="93" t="str">
        <f>IF(N11=0,"",IF(NOT(ISNUMBER(F11)),"",IF(ISNUMBER(U11),F11*U11,"UNIDADE A CONFERIR")))</f>
        <v/>
      </c>
      <c r="I11" s="94" t="str">
        <f>IF(Q11=1,INDEX('CDFs'!$F$6:$F$505,P11)&amp;"","")</f>
        <v/>
      </c>
      <c r="J11" s="91" t="n"/>
      <c r="K11" s="91" t="n"/>
      <c r="L11" s="94" t="str">
        <f>IF(N11=0,"",IF(NOT(ISNUMBER(F11)),"Quantidade não informada",IF(F11&lt;=0,"Quantidade não positiva",IF(G11="","Unidade não informada",IF(NOT(ISNUMBER(H11)),"Unidade a conferir",IF(AC11=1,"REVISAR VÍNCULO: soma vinculada maior que a referência do item","OK"))))))</f>
        <v/>
      </c>
      <c r="M11" s="94" t="str">
        <f>IF(N11=0,"",IF(B11="","CDF não informado",IF(Q11=0,"REVISAR VÍNCULO: CDF inexistente",IF(C11="","Item não informado",IF(T11=0,"REVISAR VÍNCULO: item inexistente",IF(AND(X11=1,J11&lt;&gt;"Sim"),"REVISAR VÍNCULO: destinador diferente do MTR",IF(X11=1,"Destinador diferente do MTR (analisado)","OK")))))))</f>
        <v/>
      </c>
      <c r="N11" s="96">
        <f>IF(COUNTA(B11:C11,F11:G11,J11:K11)&gt;0,1,0)</f>
        <v>0</v>
      </c>
      <c r="O11" s="96" t="str">
        <f>IF(B11="","",TRIM(LEFT(B11,FIND(" |",B11&amp;" |")-1)))</f>
        <v/>
      </c>
      <c r="P11" s="96" t="str">
        <f>IF(O11="","",IFERROR(MATCH(O11,'CDFs'!$A$6:$A$505,0),""))</f>
        <v/>
      </c>
      <c r="Q11" s="96">
        <f>IF(P11="",0,IF(INDEX('CDFs'!$S$6:$S$505,P11)=1,1,0))</f>
        <v>0</v>
      </c>
      <c r="R11" s="96" t="str">
        <f>IF(C11="","",TRIM(LEFT(C11,FIND(" |",C11&amp;" |")-1)))</f>
        <v/>
      </c>
      <c r="S11" s="96" t="str">
        <f>IF(R11="","",IFERROR(MATCH(R11,'ITENS_MTR'!$A$6:$A$1005,0),""))</f>
        <v/>
      </c>
      <c r="T11" s="96">
        <f>IF(S11="",0,IF(INDEX('ITENS_MTR'!$R$6:$R$1005,S11)=1,1,0))</f>
        <v>0</v>
      </c>
      <c r="U11" s="96" t="str">
        <f>IF(G11="","",IFERROR(IF(ISNUMBER(INDEX(cfg_fac,MATCH(G11,cfg_units,0))),IF(INDEX(cfg_fac,MATCH(G11,cfg_units,0))&gt;0,INDEX(cfg_fac,MATCH(G11,cfg_units,0)),""),""),""))</f>
        <v/>
      </c>
      <c r="V11" s="96">
        <f>IF(AND(ISNUMBER(F11),ISNUMBER(H11)),IF(H11&gt;0,1,0),0)</f>
        <v>0</v>
      </c>
      <c r="W11" s="96" t="str">
        <f>IF(T11=1,INDEX('ITENS_MTR'!$AU$6:$AU$1005,S11)&amp;"","")</f>
        <v/>
      </c>
      <c r="X11" s="96">
        <f>IF(AND(Q11=1,T11=1,I11&lt;&gt;"",W11&lt;&gt;""),IF(I11&lt;&gt;W11,1,0),0)</f>
        <v>0</v>
      </c>
      <c r="Y11" s="96">
        <f>IF(N11=0,0,IF(OR(Q11=0,T11=0,V11=0,AND(X11=1,J11&lt;&gt;"Sim")),1,0))</f>
        <v>0</v>
      </c>
      <c r="Z11" s="96">
        <f>IF(Q11=1,INDEX('CDFs'!$W$6:$W$505,P11),0)</f>
        <v>0</v>
      </c>
      <c r="AA11" s="96">
        <f>IF(AND(N11=1,Y11=0,Z11=1,J11="Sim"),1,0)</f>
        <v>0</v>
      </c>
      <c r="AB11" s="96">
        <f>IF(AND(N11=1,O11&lt;&gt;"",D11&lt;&gt;""),IF(COUNTIFS($O$6:O11,O11,$D$6:D11,D11)=1,1,0),0)</f>
        <v>0</v>
      </c>
      <c r="AC11" s="96">
        <f>IF(T11=1,INDEX('ITENS_MTR'!$AL$6:$AL$1005,S11),0)</f>
        <v>0</v>
      </c>
    </row>
    <row r="12">
      <c r="A12" s="89" t="inlineStr">
        <is>
          <t>VIN-000007</t>
        </is>
      </c>
      <c r="B12" s="91" t="n"/>
      <c r="C12" s="91" t="n"/>
      <c r="D12" s="94" t="str">
        <f>IF(T12=1,INDEX('ITENS_MTR'!$S$6:$S$1005,S12)&amp;"","")</f>
        <v/>
      </c>
      <c r="E12" s="94" t="str">
        <f>IF(T12=1,INDEX('ITENS_MTR'!$C$6:$C$1005,S12)&amp;"","")</f>
        <v/>
      </c>
      <c r="F12" s="98" t="n"/>
      <c r="G12" s="91" t="n"/>
      <c r="H12" s="93" t="str">
        <f>IF(N12=0,"",IF(NOT(ISNUMBER(F12)),"",IF(ISNUMBER(U12),F12*U12,"UNIDADE A CONFERIR")))</f>
        <v/>
      </c>
      <c r="I12" s="94" t="str">
        <f>IF(Q12=1,INDEX('CDFs'!$F$6:$F$505,P12)&amp;"","")</f>
        <v/>
      </c>
      <c r="J12" s="91" t="n"/>
      <c r="K12" s="91" t="n"/>
      <c r="L12" s="94" t="str">
        <f>IF(N12=0,"",IF(NOT(ISNUMBER(F12)),"Quantidade não informada",IF(F12&lt;=0,"Quantidade não positiva",IF(G12="","Unidade não informada",IF(NOT(ISNUMBER(H12)),"Unidade a conferir",IF(AC12=1,"REVISAR VÍNCULO: soma vinculada maior que a referência do item","OK"))))))</f>
        <v/>
      </c>
      <c r="M12" s="94" t="str">
        <f>IF(N12=0,"",IF(B12="","CDF não informado",IF(Q12=0,"REVISAR VÍNCULO: CDF inexistente",IF(C12="","Item não informado",IF(T12=0,"REVISAR VÍNCULO: item inexistente",IF(AND(X12=1,J12&lt;&gt;"Sim"),"REVISAR VÍNCULO: destinador diferente do MTR",IF(X12=1,"Destinador diferente do MTR (analisado)","OK")))))))</f>
        <v/>
      </c>
      <c r="N12" s="96">
        <f>IF(COUNTA(B12:C12,F12:G12,J12:K12)&gt;0,1,0)</f>
        <v>0</v>
      </c>
      <c r="O12" s="96" t="str">
        <f>IF(B12="","",TRIM(LEFT(B12,FIND(" |",B12&amp;" |")-1)))</f>
        <v/>
      </c>
      <c r="P12" s="96" t="str">
        <f>IF(O12="","",IFERROR(MATCH(O12,'CDFs'!$A$6:$A$505,0),""))</f>
        <v/>
      </c>
      <c r="Q12" s="96">
        <f>IF(P12="",0,IF(INDEX('CDFs'!$S$6:$S$505,P12)=1,1,0))</f>
        <v>0</v>
      </c>
      <c r="R12" s="96" t="str">
        <f>IF(C12="","",TRIM(LEFT(C12,FIND(" |",C12&amp;" |")-1)))</f>
        <v/>
      </c>
      <c r="S12" s="96" t="str">
        <f>IF(R12="","",IFERROR(MATCH(R12,'ITENS_MTR'!$A$6:$A$1005,0),""))</f>
        <v/>
      </c>
      <c r="T12" s="96">
        <f>IF(S12="",0,IF(INDEX('ITENS_MTR'!$R$6:$R$1005,S12)=1,1,0))</f>
        <v>0</v>
      </c>
      <c r="U12" s="96" t="str">
        <f>IF(G12="","",IFERROR(IF(ISNUMBER(INDEX(cfg_fac,MATCH(G12,cfg_units,0))),IF(INDEX(cfg_fac,MATCH(G12,cfg_units,0))&gt;0,INDEX(cfg_fac,MATCH(G12,cfg_units,0)),""),""),""))</f>
        <v/>
      </c>
      <c r="V12" s="96">
        <f>IF(AND(ISNUMBER(F12),ISNUMBER(H12)),IF(H12&gt;0,1,0),0)</f>
        <v>0</v>
      </c>
      <c r="W12" s="96" t="str">
        <f>IF(T12=1,INDEX('ITENS_MTR'!$AU$6:$AU$1005,S12)&amp;"","")</f>
        <v/>
      </c>
      <c r="X12" s="96">
        <f>IF(AND(Q12=1,T12=1,I12&lt;&gt;"",W12&lt;&gt;""),IF(I12&lt;&gt;W12,1,0),0)</f>
        <v>0</v>
      </c>
      <c r="Y12" s="96">
        <f>IF(N12=0,0,IF(OR(Q12=0,T12=0,V12=0,AND(X12=1,J12&lt;&gt;"Sim")),1,0))</f>
        <v>0</v>
      </c>
      <c r="Z12" s="96">
        <f>IF(Q12=1,INDEX('CDFs'!$W$6:$W$505,P12),0)</f>
        <v>0</v>
      </c>
      <c r="AA12" s="96">
        <f>IF(AND(N12=1,Y12=0,Z12=1,J12="Sim"),1,0)</f>
        <v>0</v>
      </c>
      <c r="AB12" s="96">
        <f>IF(AND(N12=1,O12&lt;&gt;"",D12&lt;&gt;""),IF(COUNTIFS($O$6:O12,O12,$D$6:D12,D12)=1,1,0),0)</f>
        <v>0</v>
      </c>
      <c r="AC12" s="96">
        <f>IF(T12=1,INDEX('ITENS_MTR'!$AL$6:$AL$1005,S12),0)</f>
        <v>0</v>
      </c>
    </row>
    <row r="13">
      <c r="A13" s="89" t="inlineStr">
        <is>
          <t>VIN-000008</t>
        </is>
      </c>
      <c r="B13" s="91" t="n"/>
      <c r="C13" s="91" t="n"/>
      <c r="D13" s="94" t="str">
        <f>IF(T13=1,INDEX('ITENS_MTR'!$S$6:$S$1005,S13)&amp;"","")</f>
        <v/>
      </c>
      <c r="E13" s="94" t="str">
        <f>IF(T13=1,INDEX('ITENS_MTR'!$C$6:$C$1005,S13)&amp;"","")</f>
        <v/>
      </c>
      <c r="F13" s="98" t="n"/>
      <c r="G13" s="91" t="n"/>
      <c r="H13" s="93" t="str">
        <f>IF(N13=0,"",IF(NOT(ISNUMBER(F13)),"",IF(ISNUMBER(U13),F13*U13,"UNIDADE A CONFERIR")))</f>
        <v/>
      </c>
      <c r="I13" s="94" t="str">
        <f>IF(Q13=1,INDEX('CDFs'!$F$6:$F$505,P13)&amp;"","")</f>
        <v/>
      </c>
      <c r="J13" s="91" t="n"/>
      <c r="K13" s="91" t="n"/>
      <c r="L13" s="94" t="str">
        <f>IF(N13=0,"",IF(NOT(ISNUMBER(F13)),"Quantidade não informada",IF(F13&lt;=0,"Quantidade não positiva",IF(G13="","Unidade não informada",IF(NOT(ISNUMBER(H13)),"Unidade a conferir",IF(AC13=1,"REVISAR VÍNCULO: soma vinculada maior que a referência do item","OK"))))))</f>
        <v/>
      </c>
      <c r="M13" s="94" t="str">
        <f>IF(N13=0,"",IF(B13="","CDF não informado",IF(Q13=0,"REVISAR VÍNCULO: CDF inexistente",IF(C13="","Item não informado",IF(T13=0,"REVISAR VÍNCULO: item inexistente",IF(AND(X13=1,J13&lt;&gt;"Sim"),"REVISAR VÍNCULO: destinador diferente do MTR",IF(X13=1,"Destinador diferente do MTR (analisado)","OK")))))))</f>
        <v/>
      </c>
      <c r="N13" s="96">
        <f>IF(COUNTA(B13:C13,F13:G13,J13:K13)&gt;0,1,0)</f>
        <v>0</v>
      </c>
      <c r="O13" s="96" t="str">
        <f>IF(B13="","",TRIM(LEFT(B13,FIND(" |",B13&amp;" |")-1)))</f>
        <v/>
      </c>
      <c r="P13" s="96" t="str">
        <f>IF(O13="","",IFERROR(MATCH(O13,'CDFs'!$A$6:$A$505,0),""))</f>
        <v/>
      </c>
      <c r="Q13" s="96">
        <f>IF(P13="",0,IF(INDEX('CDFs'!$S$6:$S$505,P13)=1,1,0))</f>
        <v>0</v>
      </c>
      <c r="R13" s="96" t="str">
        <f>IF(C13="","",TRIM(LEFT(C13,FIND(" |",C13&amp;" |")-1)))</f>
        <v/>
      </c>
      <c r="S13" s="96" t="str">
        <f>IF(R13="","",IFERROR(MATCH(R13,'ITENS_MTR'!$A$6:$A$1005,0),""))</f>
        <v/>
      </c>
      <c r="T13" s="96">
        <f>IF(S13="",0,IF(INDEX('ITENS_MTR'!$R$6:$R$1005,S13)=1,1,0))</f>
        <v>0</v>
      </c>
      <c r="U13" s="96" t="str">
        <f>IF(G13="","",IFERROR(IF(ISNUMBER(INDEX(cfg_fac,MATCH(G13,cfg_units,0))),IF(INDEX(cfg_fac,MATCH(G13,cfg_units,0))&gt;0,INDEX(cfg_fac,MATCH(G13,cfg_units,0)),""),""),""))</f>
        <v/>
      </c>
      <c r="V13" s="96">
        <f>IF(AND(ISNUMBER(F13),ISNUMBER(H13)),IF(H13&gt;0,1,0),0)</f>
        <v>0</v>
      </c>
      <c r="W13" s="96" t="str">
        <f>IF(T13=1,INDEX('ITENS_MTR'!$AU$6:$AU$1005,S13)&amp;"","")</f>
        <v/>
      </c>
      <c r="X13" s="96">
        <f>IF(AND(Q13=1,T13=1,I13&lt;&gt;"",W13&lt;&gt;""),IF(I13&lt;&gt;W13,1,0),0)</f>
        <v>0</v>
      </c>
      <c r="Y13" s="96">
        <f>IF(N13=0,0,IF(OR(Q13=0,T13=0,V13=0,AND(X13=1,J13&lt;&gt;"Sim")),1,0))</f>
        <v>0</v>
      </c>
      <c r="Z13" s="96">
        <f>IF(Q13=1,INDEX('CDFs'!$W$6:$W$505,P13),0)</f>
        <v>0</v>
      </c>
      <c r="AA13" s="96">
        <f>IF(AND(N13=1,Y13=0,Z13=1,J13="Sim"),1,0)</f>
        <v>0</v>
      </c>
      <c r="AB13" s="96">
        <f>IF(AND(N13=1,O13&lt;&gt;"",D13&lt;&gt;""),IF(COUNTIFS($O$6:O13,O13,$D$6:D13,D13)=1,1,0),0)</f>
        <v>0</v>
      </c>
      <c r="AC13" s="96">
        <f>IF(T13=1,INDEX('ITENS_MTR'!$AL$6:$AL$1005,S13),0)</f>
        <v>0</v>
      </c>
    </row>
    <row r="14">
      <c r="A14" s="89" t="inlineStr">
        <is>
          <t>VIN-000009</t>
        </is>
      </c>
      <c r="B14" s="91" t="n"/>
      <c r="C14" s="91" t="n"/>
      <c r="D14" s="94" t="str">
        <f>IF(T14=1,INDEX('ITENS_MTR'!$S$6:$S$1005,S14)&amp;"","")</f>
        <v/>
      </c>
      <c r="E14" s="94" t="str">
        <f>IF(T14=1,INDEX('ITENS_MTR'!$C$6:$C$1005,S14)&amp;"","")</f>
        <v/>
      </c>
      <c r="F14" s="98" t="n"/>
      <c r="G14" s="91" t="n"/>
      <c r="H14" s="93" t="str">
        <f>IF(N14=0,"",IF(NOT(ISNUMBER(F14)),"",IF(ISNUMBER(U14),F14*U14,"UNIDADE A CONFERIR")))</f>
        <v/>
      </c>
      <c r="I14" s="94" t="str">
        <f>IF(Q14=1,INDEX('CDFs'!$F$6:$F$505,P14)&amp;"","")</f>
        <v/>
      </c>
      <c r="J14" s="91" t="n"/>
      <c r="K14" s="91" t="n"/>
      <c r="L14" s="94" t="str">
        <f>IF(N14=0,"",IF(NOT(ISNUMBER(F14)),"Quantidade não informada",IF(F14&lt;=0,"Quantidade não positiva",IF(G14="","Unidade não informada",IF(NOT(ISNUMBER(H14)),"Unidade a conferir",IF(AC14=1,"REVISAR VÍNCULO: soma vinculada maior que a referência do item","OK"))))))</f>
        <v/>
      </c>
      <c r="M14" s="94" t="str">
        <f>IF(N14=0,"",IF(B14="","CDF não informado",IF(Q14=0,"REVISAR VÍNCULO: CDF inexistente",IF(C14="","Item não informado",IF(T14=0,"REVISAR VÍNCULO: item inexistente",IF(AND(X14=1,J14&lt;&gt;"Sim"),"REVISAR VÍNCULO: destinador diferente do MTR",IF(X14=1,"Destinador diferente do MTR (analisado)","OK")))))))</f>
        <v/>
      </c>
      <c r="N14" s="96">
        <f>IF(COUNTA(B14:C14,F14:G14,J14:K14)&gt;0,1,0)</f>
        <v>0</v>
      </c>
      <c r="O14" s="96" t="str">
        <f>IF(B14="","",TRIM(LEFT(B14,FIND(" |",B14&amp;" |")-1)))</f>
        <v/>
      </c>
      <c r="P14" s="96" t="str">
        <f>IF(O14="","",IFERROR(MATCH(O14,'CDFs'!$A$6:$A$505,0),""))</f>
        <v/>
      </c>
      <c r="Q14" s="96">
        <f>IF(P14="",0,IF(INDEX('CDFs'!$S$6:$S$505,P14)=1,1,0))</f>
        <v>0</v>
      </c>
      <c r="R14" s="96" t="str">
        <f>IF(C14="","",TRIM(LEFT(C14,FIND(" |",C14&amp;" |")-1)))</f>
        <v/>
      </c>
      <c r="S14" s="96" t="str">
        <f>IF(R14="","",IFERROR(MATCH(R14,'ITENS_MTR'!$A$6:$A$1005,0),""))</f>
        <v/>
      </c>
      <c r="T14" s="96">
        <f>IF(S14="",0,IF(INDEX('ITENS_MTR'!$R$6:$R$1005,S14)=1,1,0))</f>
        <v>0</v>
      </c>
      <c r="U14" s="96" t="str">
        <f>IF(G14="","",IFERROR(IF(ISNUMBER(INDEX(cfg_fac,MATCH(G14,cfg_units,0))),IF(INDEX(cfg_fac,MATCH(G14,cfg_units,0))&gt;0,INDEX(cfg_fac,MATCH(G14,cfg_units,0)),""),""),""))</f>
        <v/>
      </c>
      <c r="V14" s="96">
        <f>IF(AND(ISNUMBER(F14),ISNUMBER(H14)),IF(H14&gt;0,1,0),0)</f>
        <v>0</v>
      </c>
      <c r="W14" s="96" t="str">
        <f>IF(T14=1,INDEX('ITENS_MTR'!$AU$6:$AU$1005,S14)&amp;"","")</f>
        <v/>
      </c>
      <c r="X14" s="96">
        <f>IF(AND(Q14=1,T14=1,I14&lt;&gt;"",W14&lt;&gt;""),IF(I14&lt;&gt;W14,1,0),0)</f>
        <v>0</v>
      </c>
      <c r="Y14" s="96">
        <f>IF(N14=0,0,IF(OR(Q14=0,T14=0,V14=0,AND(X14=1,J14&lt;&gt;"Sim")),1,0))</f>
        <v>0</v>
      </c>
      <c r="Z14" s="96">
        <f>IF(Q14=1,INDEX('CDFs'!$W$6:$W$505,P14),0)</f>
        <v>0</v>
      </c>
      <c r="AA14" s="96">
        <f>IF(AND(N14=1,Y14=0,Z14=1,J14="Sim"),1,0)</f>
        <v>0</v>
      </c>
      <c r="AB14" s="96">
        <f>IF(AND(N14=1,O14&lt;&gt;"",D14&lt;&gt;""),IF(COUNTIFS($O$6:O14,O14,$D$6:D14,D14)=1,1,0),0)</f>
        <v>0</v>
      </c>
      <c r="AC14" s="96">
        <f>IF(T14=1,INDEX('ITENS_MTR'!$AL$6:$AL$1005,S14),0)</f>
        <v>0</v>
      </c>
    </row>
    <row r="15">
      <c r="A15" s="89" t="inlineStr">
        <is>
          <t>VIN-000010</t>
        </is>
      </c>
      <c r="B15" s="91" t="n"/>
      <c r="C15" s="91" t="n"/>
      <c r="D15" s="94" t="str">
        <f>IF(T15=1,INDEX('ITENS_MTR'!$S$6:$S$1005,S15)&amp;"","")</f>
        <v/>
      </c>
      <c r="E15" s="94" t="str">
        <f>IF(T15=1,INDEX('ITENS_MTR'!$C$6:$C$1005,S15)&amp;"","")</f>
        <v/>
      </c>
      <c r="F15" s="98" t="n"/>
      <c r="G15" s="91" t="n"/>
      <c r="H15" s="93" t="str">
        <f>IF(N15=0,"",IF(NOT(ISNUMBER(F15)),"",IF(ISNUMBER(U15),F15*U15,"UNIDADE A CONFERIR")))</f>
        <v/>
      </c>
      <c r="I15" s="94" t="str">
        <f>IF(Q15=1,INDEX('CDFs'!$F$6:$F$505,P15)&amp;"","")</f>
        <v/>
      </c>
      <c r="J15" s="91" t="n"/>
      <c r="K15" s="91" t="n"/>
      <c r="L15" s="94" t="str">
        <f>IF(N15=0,"",IF(NOT(ISNUMBER(F15)),"Quantidade não informada",IF(F15&lt;=0,"Quantidade não positiva",IF(G15="","Unidade não informada",IF(NOT(ISNUMBER(H15)),"Unidade a conferir",IF(AC15=1,"REVISAR VÍNCULO: soma vinculada maior que a referência do item","OK"))))))</f>
        <v/>
      </c>
      <c r="M15" s="94" t="str">
        <f>IF(N15=0,"",IF(B15="","CDF não informado",IF(Q15=0,"REVISAR VÍNCULO: CDF inexistente",IF(C15="","Item não informado",IF(T15=0,"REVISAR VÍNCULO: item inexistente",IF(AND(X15=1,J15&lt;&gt;"Sim"),"REVISAR VÍNCULO: destinador diferente do MTR",IF(X15=1,"Destinador diferente do MTR (analisado)","OK")))))))</f>
        <v/>
      </c>
      <c r="N15" s="96">
        <f>IF(COUNTA(B15:C15,F15:G15,J15:K15)&gt;0,1,0)</f>
        <v>0</v>
      </c>
      <c r="O15" s="96" t="str">
        <f>IF(B15="","",TRIM(LEFT(B15,FIND(" |",B15&amp;" |")-1)))</f>
        <v/>
      </c>
      <c r="P15" s="96" t="str">
        <f>IF(O15="","",IFERROR(MATCH(O15,'CDFs'!$A$6:$A$505,0),""))</f>
        <v/>
      </c>
      <c r="Q15" s="96">
        <f>IF(P15="",0,IF(INDEX('CDFs'!$S$6:$S$505,P15)=1,1,0))</f>
        <v>0</v>
      </c>
      <c r="R15" s="96" t="str">
        <f>IF(C15="","",TRIM(LEFT(C15,FIND(" |",C15&amp;" |")-1)))</f>
        <v/>
      </c>
      <c r="S15" s="96" t="str">
        <f>IF(R15="","",IFERROR(MATCH(R15,'ITENS_MTR'!$A$6:$A$1005,0),""))</f>
        <v/>
      </c>
      <c r="T15" s="96">
        <f>IF(S15="",0,IF(INDEX('ITENS_MTR'!$R$6:$R$1005,S15)=1,1,0))</f>
        <v>0</v>
      </c>
      <c r="U15" s="96" t="str">
        <f>IF(G15="","",IFERROR(IF(ISNUMBER(INDEX(cfg_fac,MATCH(G15,cfg_units,0))),IF(INDEX(cfg_fac,MATCH(G15,cfg_units,0))&gt;0,INDEX(cfg_fac,MATCH(G15,cfg_units,0)),""),""),""))</f>
        <v/>
      </c>
      <c r="V15" s="96">
        <f>IF(AND(ISNUMBER(F15),ISNUMBER(H15)),IF(H15&gt;0,1,0),0)</f>
        <v>0</v>
      </c>
      <c r="W15" s="96" t="str">
        <f>IF(T15=1,INDEX('ITENS_MTR'!$AU$6:$AU$1005,S15)&amp;"","")</f>
        <v/>
      </c>
      <c r="X15" s="96">
        <f>IF(AND(Q15=1,T15=1,I15&lt;&gt;"",W15&lt;&gt;""),IF(I15&lt;&gt;W15,1,0),0)</f>
        <v>0</v>
      </c>
      <c r="Y15" s="96">
        <f>IF(N15=0,0,IF(OR(Q15=0,T15=0,V15=0,AND(X15=1,J15&lt;&gt;"Sim")),1,0))</f>
        <v>0</v>
      </c>
      <c r="Z15" s="96">
        <f>IF(Q15=1,INDEX('CDFs'!$W$6:$W$505,P15),0)</f>
        <v>0</v>
      </c>
      <c r="AA15" s="96">
        <f>IF(AND(N15=1,Y15=0,Z15=1,J15="Sim"),1,0)</f>
        <v>0</v>
      </c>
      <c r="AB15" s="96">
        <f>IF(AND(N15=1,O15&lt;&gt;"",D15&lt;&gt;""),IF(COUNTIFS($O$6:O15,O15,$D$6:D15,D15)=1,1,0),0)</f>
        <v>0</v>
      </c>
      <c r="AC15" s="96">
        <f>IF(T15=1,INDEX('ITENS_MTR'!$AL$6:$AL$1005,S15),0)</f>
        <v>0</v>
      </c>
    </row>
    <row r="16">
      <c r="A16" s="89" t="inlineStr">
        <is>
          <t>VIN-000011</t>
        </is>
      </c>
      <c r="B16" s="91" t="n"/>
      <c r="C16" s="91" t="n"/>
      <c r="D16" s="94" t="str">
        <f>IF(T16=1,INDEX('ITENS_MTR'!$S$6:$S$1005,S16)&amp;"","")</f>
        <v/>
      </c>
      <c r="E16" s="94" t="str">
        <f>IF(T16=1,INDEX('ITENS_MTR'!$C$6:$C$1005,S16)&amp;"","")</f>
        <v/>
      </c>
      <c r="F16" s="98" t="n"/>
      <c r="G16" s="91" t="n"/>
      <c r="H16" s="93" t="str">
        <f>IF(N16=0,"",IF(NOT(ISNUMBER(F16)),"",IF(ISNUMBER(U16),F16*U16,"UNIDADE A CONFERIR")))</f>
        <v/>
      </c>
      <c r="I16" s="94" t="str">
        <f>IF(Q16=1,INDEX('CDFs'!$F$6:$F$505,P16)&amp;"","")</f>
        <v/>
      </c>
      <c r="J16" s="91" t="n"/>
      <c r="K16" s="91" t="n"/>
      <c r="L16" s="94" t="str">
        <f>IF(N16=0,"",IF(NOT(ISNUMBER(F16)),"Quantidade não informada",IF(F16&lt;=0,"Quantidade não positiva",IF(G16="","Unidade não informada",IF(NOT(ISNUMBER(H16)),"Unidade a conferir",IF(AC16=1,"REVISAR VÍNCULO: soma vinculada maior que a referência do item","OK"))))))</f>
        <v/>
      </c>
      <c r="M16" s="94" t="str">
        <f>IF(N16=0,"",IF(B16="","CDF não informado",IF(Q16=0,"REVISAR VÍNCULO: CDF inexistente",IF(C16="","Item não informado",IF(T16=0,"REVISAR VÍNCULO: item inexistente",IF(AND(X16=1,J16&lt;&gt;"Sim"),"REVISAR VÍNCULO: destinador diferente do MTR",IF(X16=1,"Destinador diferente do MTR (analisado)","OK")))))))</f>
        <v/>
      </c>
      <c r="N16" s="96">
        <f>IF(COUNTA(B16:C16,F16:G16,J16:K16)&gt;0,1,0)</f>
        <v>0</v>
      </c>
      <c r="O16" s="96" t="str">
        <f>IF(B16="","",TRIM(LEFT(B16,FIND(" |",B16&amp;" |")-1)))</f>
        <v/>
      </c>
      <c r="P16" s="96" t="str">
        <f>IF(O16="","",IFERROR(MATCH(O16,'CDFs'!$A$6:$A$505,0),""))</f>
        <v/>
      </c>
      <c r="Q16" s="96">
        <f>IF(P16="",0,IF(INDEX('CDFs'!$S$6:$S$505,P16)=1,1,0))</f>
        <v>0</v>
      </c>
      <c r="R16" s="96" t="str">
        <f>IF(C16="","",TRIM(LEFT(C16,FIND(" |",C16&amp;" |")-1)))</f>
        <v/>
      </c>
      <c r="S16" s="96" t="str">
        <f>IF(R16="","",IFERROR(MATCH(R16,'ITENS_MTR'!$A$6:$A$1005,0),""))</f>
        <v/>
      </c>
      <c r="T16" s="96">
        <f>IF(S16="",0,IF(INDEX('ITENS_MTR'!$R$6:$R$1005,S16)=1,1,0))</f>
        <v>0</v>
      </c>
      <c r="U16" s="96" t="str">
        <f>IF(G16="","",IFERROR(IF(ISNUMBER(INDEX(cfg_fac,MATCH(G16,cfg_units,0))),IF(INDEX(cfg_fac,MATCH(G16,cfg_units,0))&gt;0,INDEX(cfg_fac,MATCH(G16,cfg_units,0)),""),""),""))</f>
        <v/>
      </c>
      <c r="V16" s="96">
        <f>IF(AND(ISNUMBER(F16),ISNUMBER(H16)),IF(H16&gt;0,1,0),0)</f>
        <v>0</v>
      </c>
      <c r="W16" s="96" t="str">
        <f>IF(T16=1,INDEX('ITENS_MTR'!$AU$6:$AU$1005,S16)&amp;"","")</f>
        <v/>
      </c>
      <c r="X16" s="96">
        <f>IF(AND(Q16=1,T16=1,I16&lt;&gt;"",W16&lt;&gt;""),IF(I16&lt;&gt;W16,1,0),0)</f>
        <v>0</v>
      </c>
      <c r="Y16" s="96">
        <f>IF(N16=0,0,IF(OR(Q16=0,T16=0,V16=0,AND(X16=1,J16&lt;&gt;"Sim")),1,0))</f>
        <v>0</v>
      </c>
      <c r="Z16" s="96">
        <f>IF(Q16=1,INDEX('CDFs'!$W$6:$W$505,P16),0)</f>
        <v>0</v>
      </c>
      <c r="AA16" s="96">
        <f>IF(AND(N16=1,Y16=0,Z16=1,J16="Sim"),1,0)</f>
        <v>0</v>
      </c>
      <c r="AB16" s="96">
        <f>IF(AND(N16=1,O16&lt;&gt;"",D16&lt;&gt;""),IF(COUNTIFS($O$6:O16,O16,$D$6:D16,D16)=1,1,0),0)</f>
        <v>0</v>
      </c>
      <c r="AC16" s="96">
        <f>IF(T16=1,INDEX('ITENS_MTR'!$AL$6:$AL$1005,S16),0)</f>
        <v>0</v>
      </c>
    </row>
    <row r="17">
      <c r="A17" s="89" t="inlineStr">
        <is>
          <t>VIN-000012</t>
        </is>
      </c>
      <c r="B17" s="91" t="n"/>
      <c r="C17" s="91" t="n"/>
      <c r="D17" s="94" t="str">
        <f>IF(T17=1,INDEX('ITENS_MTR'!$S$6:$S$1005,S17)&amp;"","")</f>
        <v/>
      </c>
      <c r="E17" s="94" t="str">
        <f>IF(T17=1,INDEX('ITENS_MTR'!$C$6:$C$1005,S17)&amp;"","")</f>
        <v/>
      </c>
      <c r="F17" s="98" t="n"/>
      <c r="G17" s="91" t="n"/>
      <c r="H17" s="93" t="str">
        <f>IF(N17=0,"",IF(NOT(ISNUMBER(F17)),"",IF(ISNUMBER(U17),F17*U17,"UNIDADE A CONFERIR")))</f>
        <v/>
      </c>
      <c r="I17" s="94" t="str">
        <f>IF(Q17=1,INDEX('CDFs'!$F$6:$F$505,P17)&amp;"","")</f>
        <v/>
      </c>
      <c r="J17" s="91" t="n"/>
      <c r="K17" s="91" t="n"/>
      <c r="L17" s="94" t="str">
        <f>IF(N17=0,"",IF(NOT(ISNUMBER(F17)),"Quantidade não informada",IF(F17&lt;=0,"Quantidade não positiva",IF(G17="","Unidade não informada",IF(NOT(ISNUMBER(H17)),"Unidade a conferir",IF(AC17=1,"REVISAR VÍNCULO: soma vinculada maior que a referência do item","OK"))))))</f>
        <v/>
      </c>
      <c r="M17" s="94" t="str">
        <f>IF(N17=0,"",IF(B17="","CDF não informado",IF(Q17=0,"REVISAR VÍNCULO: CDF inexistente",IF(C17="","Item não informado",IF(T17=0,"REVISAR VÍNCULO: item inexistente",IF(AND(X17=1,J17&lt;&gt;"Sim"),"REVISAR VÍNCULO: destinador diferente do MTR",IF(X17=1,"Destinador diferente do MTR (analisado)","OK")))))))</f>
        <v/>
      </c>
      <c r="N17" s="96">
        <f>IF(COUNTA(B17:C17,F17:G17,J17:K17)&gt;0,1,0)</f>
        <v>0</v>
      </c>
      <c r="O17" s="96" t="str">
        <f>IF(B17="","",TRIM(LEFT(B17,FIND(" |",B17&amp;" |")-1)))</f>
        <v/>
      </c>
      <c r="P17" s="96" t="str">
        <f>IF(O17="","",IFERROR(MATCH(O17,'CDFs'!$A$6:$A$505,0),""))</f>
        <v/>
      </c>
      <c r="Q17" s="96">
        <f>IF(P17="",0,IF(INDEX('CDFs'!$S$6:$S$505,P17)=1,1,0))</f>
        <v>0</v>
      </c>
      <c r="R17" s="96" t="str">
        <f>IF(C17="","",TRIM(LEFT(C17,FIND(" |",C17&amp;" |")-1)))</f>
        <v/>
      </c>
      <c r="S17" s="96" t="str">
        <f>IF(R17="","",IFERROR(MATCH(R17,'ITENS_MTR'!$A$6:$A$1005,0),""))</f>
        <v/>
      </c>
      <c r="T17" s="96">
        <f>IF(S17="",0,IF(INDEX('ITENS_MTR'!$R$6:$R$1005,S17)=1,1,0))</f>
        <v>0</v>
      </c>
      <c r="U17" s="96" t="str">
        <f>IF(G17="","",IFERROR(IF(ISNUMBER(INDEX(cfg_fac,MATCH(G17,cfg_units,0))),IF(INDEX(cfg_fac,MATCH(G17,cfg_units,0))&gt;0,INDEX(cfg_fac,MATCH(G17,cfg_units,0)),""),""),""))</f>
        <v/>
      </c>
      <c r="V17" s="96">
        <f>IF(AND(ISNUMBER(F17),ISNUMBER(H17)),IF(H17&gt;0,1,0),0)</f>
        <v>0</v>
      </c>
      <c r="W17" s="96" t="str">
        <f>IF(T17=1,INDEX('ITENS_MTR'!$AU$6:$AU$1005,S17)&amp;"","")</f>
        <v/>
      </c>
      <c r="X17" s="96">
        <f>IF(AND(Q17=1,T17=1,I17&lt;&gt;"",W17&lt;&gt;""),IF(I17&lt;&gt;W17,1,0),0)</f>
        <v>0</v>
      </c>
      <c r="Y17" s="96">
        <f>IF(N17=0,0,IF(OR(Q17=0,T17=0,V17=0,AND(X17=1,J17&lt;&gt;"Sim")),1,0))</f>
        <v>0</v>
      </c>
      <c r="Z17" s="96">
        <f>IF(Q17=1,INDEX('CDFs'!$W$6:$W$505,P17),0)</f>
        <v>0</v>
      </c>
      <c r="AA17" s="96">
        <f>IF(AND(N17=1,Y17=0,Z17=1,J17="Sim"),1,0)</f>
        <v>0</v>
      </c>
      <c r="AB17" s="96">
        <f>IF(AND(N17=1,O17&lt;&gt;"",D17&lt;&gt;""),IF(COUNTIFS($O$6:O17,O17,$D$6:D17,D17)=1,1,0),0)</f>
        <v>0</v>
      </c>
      <c r="AC17" s="96">
        <f>IF(T17=1,INDEX('ITENS_MTR'!$AL$6:$AL$1005,S17),0)</f>
        <v>0</v>
      </c>
    </row>
    <row r="18">
      <c r="A18" s="89" t="inlineStr">
        <is>
          <t>VIN-000013</t>
        </is>
      </c>
      <c r="B18" s="91" t="n"/>
      <c r="C18" s="91" t="n"/>
      <c r="D18" s="94" t="str">
        <f>IF(T18=1,INDEX('ITENS_MTR'!$S$6:$S$1005,S18)&amp;"","")</f>
        <v/>
      </c>
      <c r="E18" s="94" t="str">
        <f>IF(T18=1,INDEX('ITENS_MTR'!$C$6:$C$1005,S18)&amp;"","")</f>
        <v/>
      </c>
      <c r="F18" s="98" t="n"/>
      <c r="G18" s="91" t="n"/>
      <c r="H18" s="93" t="str">
        <f>IF(N18=0,"",IF(NOT(ISNUMBER(F18)),"",IF(ISNUMBER(U18),F18*U18,"UNIDADE A CONFERIR")))</f>
        <v/>
      </c>
      <c r="I18" s="94" t="str">
        <f>IF(Q18=1,INDEX('CDFs'!$F$6:$F$505,P18)&amp;"","")</f>
        <v/>
      </c>
      <c r="J18" s="91" t="n"/>
      <c r="K18" s="91" t="n"/>
      <c r="L18" s="94" t="str">
        <f>IF(N18=0,"",IF(NOT(ISNUMBER(F18)),"Quantidade não informada",IF(F18&lt;=0,"Quantidade não positiva",IF(G18="","Unidade não informada",IF(NOT(ISNUMBER(H18)),"Unidade a conferir",IF(AC18=1,"REVISAR VÍNCULO: soma vinculada maior que a referência do item","OK"))))))</f>
        <v/>
      </c>
      <c r="M18" s="94" t="str">
        <f>IF(N18=0,"",IF(B18="","CDF não informado",IF(Q18=0,"REVISAR VÍNCULO: CDF inexistente",IF(C18="","Item não informado",IF(T18=0,"REVISAR VÍNCULO: item inexistente",IF(AND(X18=1,J18&lt;&gt;"Sim"),"REVISAR VÍNCULO: destinador diferente do MTR",IF(X18=1,"Destinador diferente do MTR (analisado)","OK")))))))</f>
        <v/>
      </c>
      <c r="N18" s="96">
        <f>IF(COUNTA(B18:C18,F18:G18,J18:K18)&gt;0,1,0)</f>
        <v>0</v>
      </c>
      <c r="O18" s="96" t="str">
        <f>IF(B18="","",TRIM(LEFT(B18,FIND(" |",B18&amp;" |")-1)))</f>
        <v/>
      </c>
      <c r="P18" s="96" t="str">
        <f>IF(O18="","",IFERROR(MATCH(O18,'CDFs'!$A$6:$A$505,0),""))</f>
        <v/>
      </c>
      <c r="Q18" s="96">
        <f>IF(P18="",0,IF(INDEX('CDFs'!$S$6:$S$505,P18)=1,1,0))</f>
        <v>0</v>
      </c>
      <c r="R18" s="96" t="str">
        <f>IF(C18="","",TRIM(LEFT(C18,FIND(" |",C18&amp;" |")-1)))</f>
        <v/>
      </c>
      <c r="S18" s="96" t="str">
        <f>IF(R18="","",IFERROR(MATCH(R18,'ITENS_MTR'!$A$6:$A$1005,0),""))</f>
        <v/>
      </c>
      <c r="T18" s="96">
        <f>IF(S18="",0,IF(INDEX('ITENS_MTR'!$R$6:$R$1005,S18)=1,1,0))</f>
        <v>0</v>
      </c>
      <c r="U18" s="96" t="str">
        <f>IF(G18="","",IFERROR(IF(ISNUMBER(INDEX(cfg_fac,MATCH(G18,cfg_units,0))),IF(INDEX(cfg_fac,MATCH(G18,cfg_units,0))&gt;0,INDEX(cfg_fac,MATCH(G18,cfg_units,0)),""),""),""))</f>
        <v/>
      </c>
      <c r="V18" s="96">
        <f>IF(AND(ISNUMBER(F18),ISNUMBER(H18)),IF(H18&gt;0,1,0),0)</f>
        <v>0</v>
      </c>
      <c r="W18" s="96" t="str">
        <f>IF(T18=1,INDEX('ITENS_MTR'!$AU$6:$AU$1005,S18)&amp;"","")</f>
        <v/>
      </c>
      <c r="X18" s="96">
        <f>IF(AND(Q18=1,T18=1,I18&lt;&gt;"",W18&lt;&gt;""),IF(I18&lt;&gt;W18,1,0),0)</f>
        <v>0</v>
      </c>
      <c r="Y18" s="96">
        <f>IF(N18=0,0,IF(OR(Q18=0,T18=0,V18=0,AND(X18=1,J18&lt;&gt;"Sim")),1,0))</f>
        <v>0</v>
      </c>
      <c r="Z18" s="96">
        <f>IF(Q18=1,INDEX('CDFs'!$W$6:$W$505,P18),0)</f>
        <v>0</v>
      </c>
      <c r="AA18" s="96">
        <f>IF(AND(N18=1,Y18=0,Z18=1,J18="Sim"),1,0)</f>
        <v>0</v>
      </c>
      <c r="AB18" s="96">
        <f>IF(AND(N18=1,O18&lt;&gt;"",D18&lt;&gt;""),IF(COUNTIFS($O$6:O18,O18,$D$6:D18,D18)=1,1,0),0)</f>
        <v>0</v>
      </c>
      <c r="AC18" s="96">
        <f>IF(T18=1,INDEX('ITENS_MTR'!$AL$6:$AL$1005,S18),0)</f>
        <v>0</v>
      </c>
    </row>
    <row r="19">
      <c r="A19" s="89" t="inlineStr">
        <is>
          <t>VIN-000014</t>
        </is>
      </c>
      <c r="B19" s="91" t="n"/>
      <c r="C19" s="91" t="n"/>
      <c r="D19" s="94" t="str">
        <f>IF(T19=1,INDEX('ITENS_MTR'!$S$6:$S$1005,S19)&amp;"","")</f>
        <v/>
      </c>
      <c r="E19" s="94" t="str">
        <f>IF(T19=1,INDEX('ITENS_MTR'!$C$6:$C$1005,S19)&amp;"","")</f>
        <v/>
      </c>
      <c r="F19" s="98" t="n"/>
      <c r="G19" s="91" t="n"/>
      <c r="H19" s="93" t="str">
        <f>IF(N19=0,"",IF(NOT(ISNUMBER(F19)),"",IF(ISNUMBER(U19),F19*U19,"UNIDADE A CONFERIR")))</f>
        <v/>
      </c>
      <c r="I19" s="94" t="str">
        <f>IF(Q19=1,INDEX('CDFs'!$F$6:$F$505,P19)&amp;"","")</f>
        <v/>
      </c>
      <c r="J19" s="91" t="n"/>
      <c r="K19" s="91" t="n"/>
      <c r="L19" s="94" t="str">
        <f>IF(N19=0,"",IF(NOT(ISNUMBER(F19)),"Quantidade não informada",IF(F19&lt;=0,"Quantidade não positiva",IF(G19="","Unidade não informada",IF(NOT(ISNUMBER(H19)),"Unidade a conferir",IF(AC19=1,"REVISAR VÍNCULO: soma vinculada maior que a referência do item","OK"))))))</f>
        <v/>
      </c>
      <c r="M19" s="94" t="str">
        <f>IF(N19=0,"",IF(B19="","CDF não informado",IF(Q19=0,"REVISAR VÍNCULO: CDF inexistente",IF(C19="","Item não informado",IF(T19=0,"REVISAR VÍNCULO: item inexistente",IF(AND(X19=1,J19&lt;&gt;"Sim"),"REVISAR VÍNCULO: destinador diferente do MTR",IF(X19=1,"Destinador diferente do MTR (analisado)","OK")))))))</f>
        <v/>
      </c>
      <c r="N19" s="96">
        <f>IF(COUNTA(B19:C19,F19:G19,J19:K19)&gt;0,1,0)</f>
        <v>0</v>
      </c>
      <c r="O19" s="96" t="str">
        <f>IF(B19="","",TRIM(LEFT(B19,FIND(" |",B19&amp;" |")-1)))</f>
        <v/>
      </c>
      <c r="P19" s="96" t="str">
        <f>IF(O19="","",IFERROR(MATCH(O19,'CDFs'!$A$6:$A$505,0),""))</f>
        <v/>
      </c>
      <c r="Q19" s="96">
        <f>IF(P19="",0,IF(INDEX('CDFs'!$S$6:$S$505,P19)=1,1,0))</f>
        <v>0</v>
      </c>
      <c r="R19" s="96" t="str">
        <f>IF(C19="","",TRIM(LEFT(C19,FIND(" |",C19&amp;" |")-1)))</f>
        <v/>
      </c>
      <c r="S19" s="96" t="str">
        <f>IF(R19="","",IFERROR(MATCH(R19,'ITENS_MTR'!$A$6:$A$1005,0),""))</f>
        <v/>
      </c>
      <c r="T19" s="96">
        <f>IF(S19="",0,IF(INDEX('ITENS_MTR'!$R$6:$R$1005,S19)=1,1,0))</f>
        <v>0</v>
      </c>
      <c r="U19" s="96" t="str">
        <f>IF(G19="","",IFERROR(IF(ISNUMBER(INDEX(cfg_fac,MATCH(G19,cfg_units,0))),IF(INDEX(cfg_fac,MATCH(G19,cfg_units,0))&gt;0,INDEX(cfg_fac,MATCH(G19,cfg_units,0)),""),""),""))</f>
        <v/>
      </c>
      <c r="V19" s="96">
        <f>IF(AND(ISNUMBER(F19),ISNUMBER(H19)),IF(H19&gt;0,1,0),0)</f>
        <v>0</v>
      </c>
      <c r="W19" s="96" t="str">
        <f>IF(T19=1,INDEX('ITENS_MTR'!$AU$6:$AU$1005,S19)&amp;"","")</f>
        <v/>
      </c>
      <c r="X19" s="96">
        <f>IF(AND(Q19=1,T19=1,I19&lt;&gt;"",W19&lt;&gt;""),IF(I19&lt;&gt;W19,1,0),0)</f>
        <v>0</v>
      </c>
      <c r="Y19" s="96">
        <f>IF(N19=0,0,IF(OR(Q19=0,T19=0,V19=0,AND(X19=1,J19&lt;&gt;"Sim")),1,0))</f>
        <v>0</v>
      </c>
      <c r="Z19" s="96">
        <f>IF(Q19=1,INDEX('CDFs'!$W$6:$W$505,P19),0)</f>
        <v>0</v>
      </c>
      <c r="AA19" s="96">
        <f>IF(AND(N19=1,Y19=0,Z19=1,J19="Sim"),1,0)</f>
        <v>0</v>
      </c>
      <c r="AB19" s="96">
        <f>IF(AND(N19=1,O19&lt;&gt;"",D19&lt;&gt;""),IF(COUNTIFS($O$6:O19,O19,$D$6:D19,D19)=1,1,0),0)</f>
        <v>0</v>
      </c>
      <c r="AC19" s="96">
        <f>IF(T19=1,INDEX('ITENS_MTR'!$AL$6:$AL$1005,S19),0)</f>
        <v>0</v>
      </c>
    </row>
    <row r="20">
      <c r="A20" s="89" t="inlineStr">
        <is>
          <t>VIN-000015</t>
        </is>
      </c>
      <c r="B20" s="91" t="n"/>
      <c r="C20" s="91" t="n"/>
      <c r="D20" s="94" t="str">
        <f>IF(T20=1,INDEX('ITENS_MTR'!$S$6:$S$1005,S20)&amp;"","")</f>
        <v/>
      </c>
      <c r="E20" s="94" t="str">
        <f>IF(T20=1,INDEX('ITENS_MTR'!$C$6:$C$1005,S20)&amp;"","")</f>
        <v/>
      </c>
      <c r="F20" s="98" t="n"/>
      <c r="G20" s="91" t="n"/>
      <c r="H20" s="93" t="str">
        <f>IF(N20=0,"",IF(NOT(ISNUMBER(F20)),"",IF(ISNUMBER(U20),F20*U20,"UNIDADE A CONFERIR")))</f>
        <v/>
      </c>
      <c r="I20" s="94" t="str">
        <f>IF(Q20=1,INDEX('CDFs'!$F$6:$F$505,P20)&amp;"","")</f>
        <v/>
      </c>
      <c r="J20" s="91" t="n"/>
      <c r="K20" s="91" t="n"/>
      <c r="L20" s="94" t="str">
        <f>IF(N20=0,"",IF(NOT(ISNUMBER(F20)),"Quantidade não informada",IF(F20&lt;=0,"Quantidade não positiva",IF(G20="","Unidade não informada",IF(NOT(ISNUMBER(H20)),"Unidade a conferir",IF(AC20=1,"REVISAR VÍNCULO: soma vinculada maior que a referência do item","OK"))))))</f>
        <v/>
      </c>
      <c r="M20" s="94" t="str">
        <f>IF(N20=0,"",IF(B20="","CDF não informado",IF(Q20=0,"REVISAR VÍNCULO: CDF inexistente",IF(C20="","Item não informado",IF(T20=0,"REVISAR VÍNCULO: item inexistente",IF(AND(X20=1,J20&lt;&gt;"Sim"),"REVISAR VÍNCULO: destinador diferente do MTR",IF(X20=1,"Destinador diferente do MTR (analisado)","OK")))))))</f>
        <v/>
      </c>
      <c r="N20" s="96">
        <f>IF(COUNTA(B20:C20,F20:G20,J20:K20)&gt;0,1,0)</f>
        <v>0</v>
      </c>
      <c r="O20" s="96" t="str">
        <f>IF(B20="","",TRIM(LEFT(B20,FIND(" |",B20&amp;" |")-1)))</f>
        <v/>
      </c>
      <c r="P20" s="96" t="str">
        <f>IF(O20="","",IFERROR(MATCH(O20,'CDFs'!$A$6:$A$505,0),""))</f>
        <v/>
      </c>
      <c r="Q20" s="96">
        <f>IF(P20="",0,IF(INDEX('CDFs'!$S$6:$S$505,P20)=1,1,0))</f>
        <v>0</v>
      </c>
      <c r="R20" s="96" t="str">
        <f>IF(C20="","",TRIM(LEFT(C20,FIND(" |",C20&amp;" |")-1)))</f>
        <v/>
      </c>
      <c r="S20" s="96" t="str">
        <f>IF(R20="","",IFERROR(MATCH(R20,'ITENS_MTR'!$A$6:$A$1005,0),""))</f>
        <v/>
      </c>
      <c r="T20" s="96">
        <f>IF(S20="",0,IF(INDEX('ITENS_MTR'!$R$6:$R$1005,S20)=1,1,0))</f>
        <v>0</v>
      </c>
      <c r="U20" s="96" t="str">
        <f>IF(G20="","",IFERROR(IF(ISNUMBER(INDEX(cfg_fac,MATCH(G20,cfg_units,0))),IF(INDEX(cfg_fac,MATCH(G20,cfg_units,0))&gt;0,INDEX(cfg_fac,MATCH(G20,cfg_units,0)),""),""),""))</f>
        <v/>
      </c>
      <c r="V20" s="96">
        <f>IF(AND(ISNUMBER(F20),ISNUMBER(H20)),IF(H20&gt;0,1,0),0)</f>
        <v>0</v>
      </c>
      <c r="W20" s="96" t="str">
        <f>IF(T20=1,INDEX('ITENS_MTR'!$AU$6:$AU$1005,S20)&amp;"","")</f>
        <v/>
      </c>
      <c r="X20" s="96">
        <f>IF(AND(Q20=1,T20=1,I20&lt;&gt;"",W20&lt;&gt;""),IF(I20&lt;&gt;W20,1,0),0)</f>
        <v>0</v>
      </c>
      <c r="Y20" s="96">
        <f>IF(N20=0,0,IF(OR(Q20=0,T20=0,V20=0,AND(X20=1,J20&lt;&gt;"Sim")),1,0))</f>
        <v>0</v>
      </c>
      <c r="Z20" s="96">
        <f>IF(Q20=1,INDEX('CDFs'!$W$6:$W$505,P20),0)</f>
        <v>0</v>
      </c>
      <c r="AA20" s="96">
        <f>IF(AND(N20=1,Y20=0,Z20=1,J20="Sim"),1,0)</f>
        <v>0</v>
      </c>
      <c r="AB20" s="96">
        <f>IF(AND(N20=1,O20&lt;&gt;"",D20&lt;&gt;""),IF(COUNTIFS($O$6:O20,O20,$D$6:D20,D20)=1,1,0),0)</f>
        <v>0</v>
      </c>
      <c r="AC20" s="96">
        <f>IF(T20=1,INDEX('ITENS_MTR'!$AL$6:$AL$1005,S20),0)</f>
        <v>0</v>
      </c>
    </row>
    <row r="21">
      <c r="A21" s="89" t="inlineStr">
        <is>
          <t>VIN-000016</t>
        </is>
      </c>
      <c r="B21" s="91" t="n"/>
      <c r="C21" s="91" t="n"/>
      <c r="D21" s="94" t="str">
        <f>IF(T21=1,INDEX('ITENS_MTR'!$S$6:$S$1005,S21)&amp;"","")</f>
        <v/>
      </c>
      <c r="E21" s="94" t="str">
        <f>IF(T21=1,INDEX('ITENS_MTR'!$C$6:$C$1005,S21)&amp;"","")</f>
        <v/>
      </c>
      <c r="F21" s="98" t="n"/>
      <c r="G21" s="91" t="n"/>
      <c r="H21" s="93" t="str">
        <f>IF(N21=0,"",IF(NOT(ISNUMBER(F21)),"",IF(ISNUMBER(U21),F21*U21,"UNIDADE A CONFERIR")))</f>
        <v/>
      </c>
      <c r="I21" s="94" t="str">
        <f>IF(Q21=1,INDEX('CDFs'!$F$6:$F$505,P21)&amp;"","")</f>
        <v/>
      </c>
      <c r="J21" s="91" t="n"/>
      <c r="K21" s="91" t="n"/>
      <c r="L21" s="94" t="str">
        <f>IF(N21=0,"",IF(NOT(ISNUMBER(F21)),"Quantidade não informada",IF(F21&lt;=0,"Quantidade não positiva",IF(G21="","Unidade não informada",IF(NOT(ISNUMBER(H21)),"Unidade a conferir",IF(AC21=1,"REVISAR VÍNCULO: soma vinculada maior que a referência do item","OK"))))))</f>
        <v/>
      </c>
      <c r="M21" s="94" t="str">
        <f>IF(N21=0,"",IF(B21="","CDF não informado",IF(Q21=0,"REVISAR VÍNCULO: CDF inexistente",IF(C21="","Item não informado",IF(T21=0,"REVISAR VÍNCULO: item inexistente",IF(AND(X21=1,J21&lt;&gt;"Sim"),"REVISAR VÍNCULO: destinador diferente do MTR",IF(X21=1,"Destinador diferente do MTR (analisado)","OK")))))))</f>
        <v/>
      </c>
      <c r="N21" s="96">
        <f>IF(COUNTA(B21:C21,F21:G21,J21:K21)&gt;0,1,0)</f>
        <v>0</v>
      </c>
      <c r="O21" s="96" t="str">
        <f>IF(B21="","",TRIM(LEFT(B21,FIND(" |",B21&amp;" |")-1)))</f>
        <v/>
      </c>
      <c r="P21" s="96" t="str">
        <f>IF(O21="","",IFERROR(MATCH(O21,'CDFs'!$A$6:$A$505,0),""))</f>
        <v/>
      </c>
      <c r="Q21" s="96">
        <f>IF(P21="",0,IF(INDEX('CDFs'!$S$6:$S$505,P21)=1,1,0))</f>
        <v>0</v>
      </c>
      <c r="R21" s="96" t="str">
        <f>IF(C21="","",TRIM(LEFT(C21,FIND(" |",C21&amp;" |")-1)))</f>
        <v/>
      </c>
      <c r="S21" s="96" t="str">
        <f>IF(R21="","",IFERROR(MATCH(R21,'ITENS_MTR'!$A$6:$A$1005,0),""))</f>
        <v/>
      </c>
      <c r="T21" s="96">
        <f>IF(S21="",0,IF(INDEX('ITENS_MTR'!$R$6:$R$1005,S21)=1,1,0))</f>
        <v>0</v>
      </c>
      <c r="U21" s="96" t="str">
        <f>IF(G21="","",IFERROR(IF(ISNUMBER(INDEX(cfg_fac,MATCH(G21,cfg_units,0))),IF(INDEX(cfg_fac,MATCH(G21,cfg_units,0))&gt;0,INDEX(cfg_fac,MATCH(G21,cfg_units,0)),""),""),""))</f>
        <v/>
      </c>
      <c r="V21" s="96">
        <f>IF(AND(ISNUMBER(F21),ISNUMBER(H21)),IF(H21&gt;0,1,0),0)</f>
        <v>0</v>
      </c>
      <c r="W21" s="96" t="str">
        <f>IF(T21=1,INDEX('ITENS_MTR'!$AU$6:$AU$1005,S21)&amp;"","")</f>
        <v/>
      </c>
      <c r="X21" s="96">
        <f>IF(AND(Q21=1,T21=1,I21&lt;&gt;"",W21&lt;&gt;""),IF(I21&lt;&gt;W21,1,0),0)</f>
        <v>0</v>
      </c>
      <c r="Y21" s="96">
        <f>IF(N21=0,0,IF(OR(Q21=0,T21=0,V21=0,AND(X21=1,J21&lt;&gt;"Sim")),1,0))</f>
        <v>0</v>
      </c>
      <c r="Z21" s="96">
        <f>IF(Q21=1,INDEX('CDFs'!$W$6:$W$505,P21),0)</f>
        <v>0</v>
      </c>
      <c r="AA21" s="96">
        <f>IF(AND(N21=1,Y21=0,Z21=1,J21="Sim"),1,0)</f>
        <v>0</v>
      </c>
      <c r="AB21" s="96">
        <f>IF(AND(N21=1,O21&lt;&gt;"",D21&lt;&gt;""),IF(COUNTIFS($O$6:O21,O21,$D$6:D21,D21)=1,1,0),0)</f>
        <v>0</v>
      </c>
      <c r="AC21" s="96">
        <f>IF(T21=1,INDEX('ITENS_MTR'!$AL$6:$AL$1005,S21),0)</f>
        <v>0</v>
      </c>
    </row>
    <row r="22">
      <c r="A22" s="89" t="inlineStr">
        <is>
          <t>VIN-000017</t>
        </is>
      </c>
      <c r="B22" s="91" t="n"/>
      <c r="C22" s="91" t="n"/>
      <c r="D22" s="94" t="str">
        <f>IF(T22=1,INDEX('ITENS_MTR'!$S$6:$S$1005,S22)&amp;"","")</f>
        <v/>
      </c>
      <c r="E22" s="94" t="str">
        <f>IF(T22=1,INDEX('ITENS_MTR'!$C$6:$C$1005,S22)&amp;"","")</f>
        <v/>
      </c>
      <c r="F22" s="98" t="n"/>
      <c r="G22" s="91" t="n"/>
      <c r="H22" s="93" t="str">
        <f>IF(N22=0,"",IF(NOT(ISNUMBER(F22)),"",IF(ISNUMBER(U22),F22*U22,"UNIDADE A CONFERIR")))</f>
        <v/>
      </c>
      <c r="I22" s="94" t="str">
        <f>IF(Q22=1,INDEX('CDFs'!$F$6:$F$505,P22)&amp;"","")</f>
        <v/>
      </c>
      <c r="J22" s="91" t="n"/>
      <c r="K22" s="91" t="n"/>
      <c r="L22" s="94" t="str">
        <f>IF(N22=0,"",IF(NOT(ISNUMBER(F22)),"Quantidade não informada",IF(F22&lt;=0,"Quantidade não positiva",IF(G22="","Unidade não informada",IF(NOT(ISNUMBER(H22)),"Unidade a conferir",IF(AC22=1,"REVISAR VÍNCULO: soma vinculada maior que a referência do item","OK"))))))</f>
        <v/>
      </c>
      <c r="M22" s="94" t="str">
        <f>IF(N22=0,"",IF(B22="","CDF não informado",IF(Q22=0,"REVISAR VÍNCULO: CDF inexistente",IF(C22="","Item não informado",IF(T22=0,"REVISAR VÍNCULO: item inexistente",IF(AND(X22=1,J22&lt;&gt;"Sim"),"REVISAR VÍNCULO: destinador diferente do MTR",IF(X22=1,"Destinador diferente do MTR (analisado)","OK")))))))</f>
        <v/>
      </c>
      <c r="N22" s="96">
        <f>IF(COUNTA(B22:C22,F22:G22,J22:K22)&gt;0,1,0)</f>
        <v>0</v>
      </c>
      <c r="O22" s="96" t="str">
        <f>IF(B22="","",TRIM(LEFT(B22,FIND(" |",B22&amp;" |")-1)))</f>
        <v/>
      </c>
      <c r="P22" s="96" t="str">
        <f>IF(O22="","",IFERROR(MATCH(O22,'CDFs'!$A$6:$A$505,0),""))</f>
        <v/>
      </c>
      <c r="Q22" s="96">
        <f>IF(P22="",0,IF(INDEX('CDFs'!$S$6:$S$505,P22)=1,1,0))</f>
        <v>0</v>
      </c>
      <c r="R22" s="96" t="str">
        <f>IF(C22="","",TRIM(LEFT(C22,FIND(" |",C22&amp;" |")-1)))</f>
        <v/>
      </c>
      <c r="S22" s="96" t="str">
        <f>IF(R22="","",IFERROR(MATCH(R22,'ITENS_MTR'!$A$6:$A$1005,0),""))</f>
        <v/>
      </c>
      <c r="T22" s="96">
        <f>IF(S22="",0,IF(INDEX('ITENS_MTR'!$R$6:$R$1005,S22)=1,1,0))</f>
        <v>0</v>
      </c>
      <c r="U22" s="96" t="str">
        <f>IF(G22="","",IFERROR(IF(ISNUMBER(INDEX(cfg_fac,MATCH(G22,cfg_units,0))),IF(INDEX(cfg_fac,MATCH(G22,cfg_units,0))&gt;0,INDEX(cfg_fac,MATCH(G22,cfg_units,0)),""),""),""))</f>
        <v/>
      </c>
      <c r="V22" s="96">
        <f>IF(AND(ISNUMBER(F22),ISNUMBER(H22)),IF(H22&gt;0,1,0),0)</f>
        <v>0</v>
      </c>
      <c r="W22" s="96" t="str">
        <f>IF(T22=1,INDEX('ITENS_MTR'!$AU$6:$AU$1005,S22)&amp;"","")</f>
        <v/>
      </c>
      <c r="X22" s="96">
        <f>IF(AND(Q22=1,T22=1,I22&lt;&gt;"",W22&lt;&gt;""),IF(I22&lt;&gt;W22,1,0),0)</f>
        <v>0</v>
      </c>
      <c r="Y22" s="96">
        <f>IF(N22=0,0,IF(OR(Q22=0,T22=0,V22=0,AND(X22=1,J22&lt;&gt;"Sim")),1,0))</f>
        <v>0</v>
      </c>
      <c r="Z22" s="96">
        <f>IF(Q22=1,INDEX('CDFs'!$W$6:$W$505,P22),0)</f>
        <v>0</v>
      </c>
      <c r="AA22" s="96">
        <f>IF(AND(N22=1,Y22=0,Z22=1,J22="Sim"),1,0)</f>
        <v>0</v>
      </c>
      <c r="AB22" s="96">
        <f>IF(AND(N22=1,O22&lt;&gt;"",D22&lt;&gt;""),IF(COUNTIFS($O$6:O22,O22,$D$6:D22,D22)=1,1,0),0)</f>
        <v>0</v>
      </c>
      <c r="AC22" s="96">
        <f>IF(T22=1,INDEX('ITENS_MTR'!$AL$6:$AL$1005,S22),0)</f>
        <v>0</v>
      </c>
    </row>
    <row r="23">
      <c r="A23" s="89" t="inlineStr">
        <is>
          <t>VIN-000018</t>
        </is>
      </c>
      <c r="B23" s="91" t="n"/>
      <c r="C23" s="91" t="n"/>
      <c r="D23" s="94" t="str">
        <f>IF(T23=1,INDEX('ITENS_MTR'!$S$6:$S$1005,S23)&amp;"","")</f>
        <v/>
      </c>
      <c r="E23" s="94" t="str">
        <f>IF(T23=1,INDEX('ITENS_MTR'!$C$6:$C$1005,S23)&amp;"","")</f>
        <v/>
      </c>
      <c r="F23" s="98" t="n"/>
      <c r="G23" s="91" t="n"/>
      <c r="H23" s="93" t="str">
        <f>IF(N23=0,"",IF(NOT(ISNUMBER(F23)),"",IF(ISNUMBER(U23),F23*U23,"UNIDADE A CONFERIR")))</f>
        <v/>
      </c>
      <c r="I23" s="94" t="str">
        <f>IF(Q23=1,INDEX('CDFs'!$F$6:$F$505,P23)&amp;"","")</f>
        <v/>
      </c>
      <c r="J23" s="91" t="n"/>
      <c r="K23" s="91" t="n"/>
      <c r="L23" s="94" t="str">
        <f>IF(N23=0,"",IF(NOT(ISNUMBER(F23)),"Quantidade não informada",IF(F23&lt;=0,"Quantidade não positiva",IF(G23="","Unidade não informada",IF(NOT(ISNUMBER(H23)),"Unidade a conferir",IF(AC23=1,"REVISAR VÍNCULO: soma vinculada maior que a referência do item","OK"))))))</f>
        <v/>
      </c>
      <c r="M23" s="94" t="str">
        <f>IF(N23=0,"",IF(B23="","CDF não informado",IF(Q23=0,"REVISAR VÍNCULO: CDF inexistente",IF(C23="","Item não informado",IF(T23=0,"REVISAR VÍNCULO: item inexistente",IF(AND(X23=1,J23&lt;&gt;"Sim"),"REVISAR VÍNCULO: destinador diferente do MTR",IF(X23=1,"Destinador diferente do MTR (analisado)","OK")))))))</f>
        <v/>
      </c>
      <c r="N23" s="96">
        <f>IF(COUNTA(B23:C23,F23:G23,J23:K23)&gt;0,1,0)</f>
        <v>0</v>
      </c>
      <c r="O23" s="96" t="str">
        <f>IF(B23="","",TRIM(LEFT(B23,FIND(" |",B23&amp;" |")-1)))</f>
        <v/>
      </c>
      <c r="P23" s="96" t="str">
        <f>IF(O23="","",IFERROR(MATCH(O23,'CDFs'!$A$6:$A$505,0),""))</f>
        <v/>
      </c>
      <c r="Q23" s="96">
        <f>IF(P23="",0,IF(INDEX('CDFs'!$S$6:$S$505,P23)=1,1,0))</f>
        <v>0</v>
      </c>
      <c r="R23" s="96" t="str">
        <f>IF(C23="","",TRIM(LEFT(C23,FIND(" |",C23&amp;" |")-1)))</f>
        <v/>
      </c>
      <c r="S23" s="96" t="str">
        <f>IF(R23="","",IFERROR(MATCH(R23,'ITENS_MTR'!$A$6:$A$1005,0),""))</f>
        <v/>
      </c>
      <c r="T23" s="96">
        <f>IF(S23="",0,IF(INDEX('ITENS_MTR'!$R$6:$R$1005,S23)=1,1,0))</f>
        <v>0</v>
      </c>
      <c r="U23" s="96" t="str">
        <f>IF(G23="","",IFERROR(IF(ISNUMBER(INDEX(cfg_fac,MATCH(G23,cfg_units,0))),IF(INDEX(cfg_fac,MATCH(G23,cfg_units,0))&gt;0,INDEX(cfg_fac,MATCH(G23,cfg_units,0)),""),""),""))</f>
        <v/>
      </c>
      <c r="V23" s="96">
        <f>IF(AND(ISNUMBER(F23),ISNUMBER(H23)),IF(H23&gt;0,1,0),0)</f>
        <v>0</v>
      </c>
      <c r="W23" s="96" t="str">
        <f>IF(T23=1,INDEX('ITENS_MTR'!$AU$6:$AU$1005,S23)&amp;"","")</f>
        <v/>
      </c>
      <c r="X23" s="96">
        <f>IF(AND(Q23=1,T23=1,I23&lt;&gt;"",W23&lt;&gt;""),IF(I23&lt;&gt;W23,1,0),0)</f>
        <v>0</v>
      </c>
      <c r="Y23" s="96">
        <f>IF(N23=0,0,IF(OR(Q23=0,T23=0,V23=0,AND(X23=1,J23&lt;&gt;"Sim")),1,0))</f>
        <v>0</v>
      </c>
      <c r="Z23" s="96">
        <f>IF(Q23=1,INDEX('CDFs'!$W$6:$W$505,P23),0)</f>
        <v>0</v>
      </c>
      <c r="AA23" s="96">
        <f>IF(AND(N23=1,Y23=0,Z23=1,J23="Sim"),1,0)</f>
        <v>0</v>
      </c>
      <c r="AB23" s="96">
        <f>IF(AND(N23=1,O23&lt;&gt;"",D23&lt;&gt;""),IF(COUNTIFS($O$6:O23,O23,$D$6:D23,D23)=1,1,0),0)</f>
        <v>0</v>
      </c>
      <c r="AC23" s="96">
        <f>IF(T23=1,INDEX('ITENS_MTR'!$AL$6:$AL$1005,S23),0)</f>
        <v>0</v>
      </c>
    </row>
    <row r="24">
      <c r="A24" s="89" t="inlineStr">
        <is>
          <t>VIN-000019</t>
        </is>
      </c>
      <c r="B24" s="91" t="n"/>
      <c r="C24" s="91" t="n"/>
      <c r="D24" s="94" t="str">
        <f>IF(T24=1,INDEX('ITENS_MTR'!$S$6:$S$1005,S24)&amp;"","")</f>
        <v/>
      </c>
      <c r="E24" s="94" t="str">
        <f>IF(T24=1,INDEX('ITENS_MTR'!$C$6:$C$1005,S24)&amp;"","")</f>
        <v/>
      </c>
      <c r="F24" s="98" t="n"/>
      <c r="G24" s="91" t="n"/>
      <c r="H24" s="93" t="str">
        <f>IF(N24=0,"",IF(NOT(ISNUMBER(F24)),"",IF(ISNUMBER(U24),F24*U24,"UNIDADE A CONFERIR")))</f>
        <v/>
      </c>
      <c r="I24" s="94" t="str">
        <f>IF(Q24=1,INDEX('CDFs'!$F$6:$F$505,P24)&amp;"","")</f>
        <v/>
      </c>
      <c r="J24" s="91" t="n"/>
      <c r="K24" s="91" t="n"/>
      <c r="L24" s="94" t="str">
        <f>IF(N24=0,"",IF(NOT(ISNUMBER(F24)),"Quantidade não informada",IF(F24&lt;=0,"Quantidade não positiva",IF(G24="","Unidade não informada",IF(NOT(ISNUMBER(H24)),"Unidade a conferir",IF(AC24=1,"REVISAR VÍNCULO: soma vinculada maior que a referência do item","OK"))))))</f>
        <v/>
      </c>
      <c r="M24" s="94" t="str">
        <f>IF(N24=0,"",IF(B24="","CDF não informado",IF(Q24=0,"REVISAR VÍNCULO: CDF inexistente",IF(C24="","Item não informado",IF(T24=0,"REVISAR VÍNCULO: item inexistente",IF(AND(X24=1,J24&lt;&gt;"Sim"),"REVISAR VÍNCULO: destinador diferente do MTR",IF(X24=1,"Destinador diferente do MTR (analisado)","OK")))))))</f>
        <v/>
      </c>
      <c r="N24" s="96">
        <f>IF(COUNTA(B24:C24,F24:G24,J24:K24)&gt;0,1,0)</f>
        <v>0</v>
      </c>
      <c r="O24" s="96" t="str">
        <f>IF(B24="","",TRIM(LEFT(B24,FIND(" |",B24&amp;" |")-1)))</f>
        <v/>
      </c>
      <c r="P24" s="96" t="str">
        <f>IF(O24="","",IFERROR(MATCH(O24,'CDFs'!$A$6:$A$505,0),""))</f>
        <v/>
      </c>
      <c r="Q24" s="96">
        <f>IF(P24="",0,IF(INDEX('CDFs'!$S$6:$S$505,P24)=1,1,0))</f>
        <v>0</v>
      </c>
      <c r="R24" s="96" t="str">
        <f>IF(C24="","",TRIM(LEFT(C24,FIND(" |",C24&amp;" |")-1)))</f>
        <v/>
      </c>
      <c r="S24" s="96" t="str">
        <f>IF(R24="","",IFERROR(MATCH(R24,'ITENS_MTR'!$A$6:$A$1005,0),""))</f>
        <v/>
      </c>
      <c r="T24" s="96">
        <f>IF(S24="",0,IF(INDEX('ITENS_MTR'!$R$6:$R$1005,S24)=1,1,0))</f>
        <v>0</v>
      </c>
      <c r="U24" s="96" t="str">
        <f>IF(G24="","",IFERROR(IF(ISNUMBER(INDEX(cfg_fac,MATCH(G24,cfg_units,0))),IF(INDEX(cfg_fac,MATCH(G24,cfg_units,0))&gt;0,INDEX(cfg_fac,MATCH(G24,cfg_units,0)),""),""),""))</f>
        <v/>
      </c>
      <c r="V24" s="96">
        <f>IF(AND(ISNUMBER(F24),ISNUMBER(H24)),IF(H24&gt;0,1,0),0)</f>
        <v>0</v>
      </c>
      <c r="W24" s="96" t="str">
        <f>IF(T24=1,INDEX('ITENS_MTR'!$AU$6:$AU$1005,S24)&amp;"","")</f>
        <v/>
      </c>
      <c r="X24" s="96">
        <f>IF(AND(Q24=1,T24=1,I24&lt;&gt;"",W24&lt;&gt;""),IF(I24&lt;&gt;W24,1,0),0)</f>
        <v>0</v>
      </c>
      <c r="Y24" s="96">
        <f>IF(N24=0,0,IF(OR(Q24=0,T24=0,V24=0,AND(X24=1,J24&lt;&gt;"Sim")),1,0))</f>
        <v>0</v>
      </c>
      <c r="Z24" s="96">
        <f>IF(Q24=1,INDEX('CDFs'!$W$6:$W$505,P24),0)</f>
        <v>0</v>
      </c>
      <c r="AA24" s="96">
        <f>IF(AND(N24=1,Y24=0,Z24=1,J24="Sim"),1,0)</f>
        <v>0</v>
      </c>
      <c r="AB24" s="96">
        <f>IF(AND(N24=1,O24&lt;&gt;"",D24&lt;&gt;""),IF(COUNTIFS($O$6:O24,O24,$D$6:D24,D24)=1,1,0),0)</f>
        <v>0</v>
      </c>
      <c r="AC24" s="96">
        <f>IF(T24=1,INDEX('ITENS_MTR'!$AL$6:$AL$1005,S24),0)</f>
        <v>0</v>
      </c>
    </row>
    <row r="25">
      <c r="A25" s="89" t="inlineStr">
        <is>
          <t>VIN-000020</t>
        </is>
      </c>
      <c r="B25" s="91" t="n"/>
      <c r="C25" s="91" t="n"/>
      <c r="D25" s="94" t="str">
        <f>IF(T25=1,INDEX('ITENS_MTR'!$S$6:$S$1005,S25)&amp;"","")</f>
        <v/>
      </c>
      <c r="E25" s="94" t="str">
        <f>IF(T25=1,INDEX('ITENS_MTR'!$C$6:$C$1005,S25)&amp;"","")</f>
        <v/>
      </c>
      <c r="F25" s="98" t="n"/>
      <c r="G25" s="91" t="n"/>
      <c r="H25" s="93" t="str">
        <f>IF(N25=0,"",IF(NOT(ISNUMBER(F25)),"",IF(ISNUMBER(U25),F25*U25,"UNIDADE A CONFERIR")))</f>
        <v/>
      </c>
      <c r="I25" s="94" t="str">
        <f>IF(Q25=1,INDEX('CDFs'!$F$6:$F$505,P25)&amp;"","")</f>
        <v/>
      </c>
      <c r="J25" s="91" t="n"/>
      <c r="K25" s="91" t="n"/>
      <c r="L25" s="94" t="str">
        <f>IF(N25=0,"",IF(NOT(ISNUMBER(F25)),"Quantidade não informada",IF(F25&lt;=0,"Quantidade não positiva",IF(G25="","Unidade não informada",IF(NOT(ISNUMBER(H25)),"Unidade a conferir",IF(AC25=1,"REVISAR VÍNCULO: soma vinculada maior que a referência do item","OK"))))))</f>
        <v/>
      </c>
      <c r="M25" s="94" t="str">
        <f>IF(N25=0,"",IF(B25="","CDF não informado",IF(Q25=0,"REVISAR VÍNCULO: CDF inexistente",IF(C25="","Item não informado",IF(T25=0,"REVISAR VÍNCULO: item inexistente",IF(AND(X25=1,J25&lt;&gt;"Sim"),"REVISAR VÍNCULO: destinador diferente do MTR",IF(X25=1,"Destinador diferente do MTR (analisado)","OK")))))))</f>
        <v/>
      </c>
      <c r="N25" s="96">
        <f>IF(COUNTA(B25:C25,F25:G25,J25:K25)&gt;0,1,0)</f>
        <v>0</v>
      </c>
      <c r="O25" s="96" t="str">
        <f>IF(B25="","",TRIM(LEFT(B25,FIND(" |",B25&amp;" |")-1)))</f>
        <v/>
      </c>
      <c r="P25" s="96" t="str">
        <f>IF(O25="","",IFERROR(MATCH(O25,'CDFs'!$A$6:$A$505,0),""))</f>
        <v/>
      </c>
      <c r="Q25" s="96">
        <f>IF(P25="",0,IF(INDEX('CDFs'!$S$6:$S$505,P25)=1,1,0))</f>
        <v>0</v>
      </c>
      <c r="R25" s="96" t="str">
        <f>IF(C25="","",TRIM(LEFT(C25,FIND(" |",C25&amp;" |")-1)))</f>
        <v/>
      </c>
      <c r="S25" s="96" t="str">
        <f>IF(R25="","",IFERROR(MATCH(R25,'ITENS_MTR'!$A$6:$A$1005,0),""))</f>
        <v/>
      </c>
      <c r="T25" s="96">
        <f>IF(S25="",0,IF(INDEX('ITENS_MTR'!$R$6:$R$1005,S25)=1,1,0))</f>
        <v>0</v>
      </c>
      <c r="U25" s="96" t="str">
        <f>IF(G25="","",IFERROR(IF(ISNUMBER(INDEX(cfg_fac,MATCH(G25,cfg_units,0))),IF(INDEX(cfg_fac,MATCH(G25,cfg_units,0))&gt;0,INDEX(cfg_fac,MATCH(G25,cfg_units,0)),""),""),""))</f>
        <v/>
      </c>
      <c r="V25" s="96">
        <f>IF(AND(ISNUMBER(F25),ISNUMBER(H25)),IF(H25&gt;0,1,0),0)</f>
        <v>0</v>
      </c>
      <c r="W25" s="96" t="str">
        <f>IF(T25=1,INDEX('ITENS_MTR'!$AU$6:$AU$1005,S25)&amp;"","")</f>
        <v/>
      </c>
      <c r="X25" s="96">
        <f>IF(AND(Q25=1,T25=1,I25&lt;&gt;"",W25&lt;&gt;""),IF(I25&lt;&gt;W25,1,0),0)</f>
        <v>0</v>
      </c>
      <c r="Y25" s="96">
        <f>IF(N25=0,0,IF(OR(Q25=0,T25=0,V25=0,AND(X25=1,J25&lt;&gt;"Sim")),1,0))</f>
        <v>0</v>
      </c>
      <c r="Z25" s="96">
        <f>IF(Q25=1,INDEX('CDFs'!$W$6:$W$505,P25),0)</f>
        <v>0</v>
      </c>
      <c r="AA25" s="96">
        <f>IF(AND(N25=1,Y25=0,Z25=1,J25="Sim"),1,0)</f>
        <v>0</v>
      </c>
      <c r="AB25" s="96">
        <f>IF(AND(N25=1,O25&lt;&gt;"",D25&lt;&gt;""),IF(COUNTIFS($O$6:O25,O25,$D$6:D25,D25)=1,1,0),0)</f>
        <v>0</v>
      </c>
      <c r="AC25" s="96">
        <f>IF(T25=1,INDEX('ITENS_MTR'!$AL$6:$AL$1005,S25),0)</f>
        <v>0</v>
      </c>
    </row>
    <row r="26">
      <c r="A26" s="89" t="inlineStr">
        <is>
          <t>VIN-000021</t>
        </is>
      </c>
      <c r="B26" s="91" t="n"/>
      <c r="C26" s="91" t="n"/>
      <c r="D26" s="94" t="str">
        <f>IF(T26=1,INDEX('ITENS_MTR'!$S$6:$S$1005,S26)&amp;"","")</f>
        <v/>
      </c>
      <c r="E26" s="94" t="str">
        <f>IF(T26=1,INDEX('ITENS_MTR'!$C$6:$C$1005,S26)&amp;"","")</f>
        <v/>
      </c>
      <c r="F26" s="98" t="n"/>
      <c r="G26" s="91" t="n"/>
      <c r="H26" s="93" t="str">
        <f>IF(N26=0,"",IF(NOT(ISNUMBER(F26)),"",IF(ISNUMBER(U26),F26*U26,"UNIDADE A CONFERIR")))</f>
        <v/>
      </c>
      <c r="I26" s="94" t="str">
        <f>IF(Q26=1,INDEX('CDFs'!$F$6:$F$505,P26)&amp;"","")</f>
        <v/>
      </c>
      <c r="J26" s="91" t="n"/>
      <c r="K26" s="91" t="n"/>
      <c r="L26" s="94" t="str">
        <f>IF(N26=0,"",IF(NOT(ISNUMBER(F26)),"Quantidade não informada",IF(F26&lt;=0,"Quantidade não positiva",IF(G26="","Unidade não informada",IF(NOT(ISNUMBER(H26)),"Unidade a conferir",IF(AC26=1,"REVISAR VÍNCULO: soma vinculada maior que a referência do item","OK"))))))</f>
        <v/>
      </c>
      <c r="M26" s="94" t="str">
        <f>IF(N26=0,"",IF(B26="","CDF não informado",IF(Q26=0,"REVISAR VÍNCULO: CDF inexistente",IF(C26="","Item não informado",IF(T26=0,"REVISAR VÍNCULO: item inexistente",IF(AND(X26=1,J26&lt;&gt;"Sim"),"REVISAR VÍNCULO: destinador diferente do MTR",IF(X26=1,"Destinador diferente do MTR (analisado)","OK")))))))</f>
        <v/>
      </c>
      <c r="N26" s="96">
        <f>IF(COUNTA(B26:C26,F26:G26,J26:K26)&gt;0,1,0)</f>
        <v>0</v>
      </c>
      <c r="O26" s="96" t="str">
        <f>IF(B26="","",TRIM(LEFT(B26,FIND(" |",B26&amp;" |")-1)))</f>
        <v/>
      </c>
      <c r="P26" s="96" t="str">
        <f>IF(O26="","",IFERROR(MATCH(O26,'CDFs'!$A$6:$A$505,0),""))</f>
        <v/>
      </c>
      <c r="Q26" s="96">
        <f>IF(P26="",0,IF(INDEX('CDFs'!$S$6:$S$505,P26)=1,1,0))</f>
        <v>0</v>
      </c>
      <c r="R26" s="96" t="str">
        <f>IF(C26="","",TRIM(LEFT(C26,FIND(" |",C26&amp;" |")-1)))</f>
        <v/>
      </c>
      <c r="S26" s="96" t="str">
        <f>IF(R26="","",IFERROR(MATCH(R26,'ITENS_MTR'!$A$6:$A$1005,0),""))</f>
        <v/>
      </c>
      <c r="T26" s="96">
        <f>IF(S26="",0,IF(INDEX('ITENS_MTR'!$R$6:$R$1005,S26)=1,1,0))</f>
        <v>0</v>
      </c>
      <c r="U26" s="96" t="str">
        <f>IF(G26="","",IFERROR(IF(ISNUMBER(INDEX(cfg_fac,MATCH(G26,cfg_units,0))),IF(INDEX(cfg_fac,MATCH(G26,cfg_units,0))&gt;0,INDEX(cfg_fac,MATCH(G26,cfg_units,0)),""),""),""))</f>
        <v/>
      </c>
      <c r="V26" s="96">
        <f>IF(AND(ISNUMBER(F26),ISNUMBER(H26)),IF(H26&gt;0,1,0),0)</f>
        <v>0</v>
      </c>
      <c r="W26" s="96" t="str">
        <f>IF(T26=1,INDEX('ITENS_MTR'!$AU$6:$AU$1005,S26)&amp;"","")</f>
        <v/>
      </c>
      <c r="X26" s="96">
        <f>IF(AND(Q26=1,T26=1,I26&lt;&gt;"",W26&lt;&gt;""),IF(I26&lt;&gt;W26,1,0),0)</f>
        <v>0</v>
      </c>
      <c r="Y26" s="96">
        <f>IF(N26=0,0,IF(OR(Q26=0,T26=0,V26=0,AND(X26=1,J26&lt;&gt;"Sim")),1,0))</f>
        <v>0</v>
      </c>
      <c r="Z26" s="96">
        <f>IF(Q26=1,INDEX('CDFs'!$W$6:$W$505,P26),0)</f>
        <v>0</v>
      </c>
      <c r="AA26" s="96">
        <f>IF(AND(N26=1,Y26=0,Z26=1,J26="Sim"),1,0)</f>
        <v>0</v>
      </c>
      <c r="AB26" s="96">
        <f>IF(AND(N26=1,O26&lt;&gt;"",D26&lt;&gt;""),IF(COUNTIFS($O$6:O26,O26,$D$6:D26,D26)=1,1,0),0)</f>
        <v>0</v>
      </c>
      <c r="AC26" s="96">
        <f>IF(T26=1,INDEX('ITENS_MTR'!$AL$6:$AL$1005,S26),0)</f>
        <v>0</v>
      </c>
    </row>
    <row r="27">
      <c r="A27" s="89" t="inlineStr">
        <is>
          <t>VIN-000022</t>
        </is>
      </c>
      <c r="B27" s="91" t="n"/>
      <c r="C27" s="91" t="n"/>
      <c r="D27" s="94" t="str">
        <f>IF(T27=1,INDEX('ITENS_MTR'!$S$6:$S$1005,S27)&amp;"","")</f>
        <v/>
      </c>
      <c r="E27" s="94" t="str">
        <f>IF(T27=1,INDEX('ITENS_MTR'!$C$6:$C$1005,S27)&amp;"","")</f>
        <v/>
      </c>
      <c r="F27" s="98" t="n"/>
      <c r="G27" s="91" t="n"/>
      <c r="H27" s="93" t="str">
        <f>IF(N27=0,"",IF(NOT(ISNUMBER(F27)),"",IF(ISNUMBER(U27),F27*U27,"UNIDADE A CONFERIR")))</f>
        <v/>
      </c>
      <c r="I27" s="94" t="str">
        <f>IF(Q27=1,INDEX('CDFs'!$F$6:$F$505,P27)&amp;"","")</f>
        <v/>
      </c>
      <c r="J27" s="91" t="n"/>
      <c r="K27" s="91" t="n"/>
      <c r="L27" s="94" t="str">
        <f>IF(N27=0,"",IF(NOT(ISNUMBER(F27)),"Quantidade não informada",IF(F27&lt;=0,"Quantidade não positiva",IF(G27="","Unidade não informada",IF(NOT(ISNUMBER(H27)),"Unidade a conferir",IF(AC27=1,"REVISAR VÍNCULO: soma vinculada maior que a referência do item","OK"))))))</f>
        <v/>
      </c>
      <c r="M27" s="94" t="str">
        <f>IF(N27=0,"",IF(B27="","CDF não informado",IF(Q27=0,"REVISAR VÍNCULO: CDF inexistente",IF(C27="","Item não informado",IF(T27=0,"REVISAR VÍNCULO: item inexistente",IF(AND(X27=1,J27&lt;&gt;"Sim"),"REVISAR VÍNCULO: destinador diferente do MTR",IF(X27=1,"Destinador diferente do MTR (analisado)","OK")))))))</f>
        <v/>
      </c>
      <c r="N27" s="96">
        <f>IF(COUNTA(B27:C27,F27:G27,J27:K27)&gt;0,1,0)</f>
        <v>0</v>
      </c>
      <c r="O27" s="96" t="str">
        <f>IF(B27="","",TRIM(LEFT(B27,FIND(" |",B27&amp;" |")-1)))</f>
        <v/>
      </c>
      <c r="P27" s="96" t="str">
        <f>IF(O27="","",IFERROR(MATCH(O27,'CDFs'!$A$6:$A$505,0),""))</f>
        <v/>
      </c>
      <c r="Q27" s="96">
        <f>IF(P27="",0,IF(INDEX('CDFs'!$S$6:$S$505,P27)=1,1,0))</f>
        <v>0</v>
      </c>
      <c r="R27" s="96" t="str">
        <f>IF(C27="","",TRIM(LEFT(C27,FIND(" |",C27&amp;" |")-1)))</f>
        <v/>
      </c>
      <c r="S27" s="96" t="str">
        <f>IF(R27="","",IFERROR(MATCH(R27,'ITENS_MTR'!$A$6:$A$1005,0),""))</f>
        <v/>
      </c>
      <c r="T27" s="96">
        <f>IF(S27="",0,IF(INDEX('ITENS_MTR'!$R$6:$R$1005,S27)=1,1,0))</f>
        <v>0</v>
      </c>
      <c r="U27" s="96" t="str">
        <f>IF(G27="","",IFERROR(IF(ISNUMBER(INDEX(cfg_fac,MATCH(G27,cfg_units,0))),IF(INDEX(cfg_fac,MATCH(G27,cfg_units,0))&gt;0,INDEX(cfg_fac,MATCH(G27,cfg_units,0)),""),""),""))</f>
        <v/>
      </c>
      <c r="V27" s="96">
        <f>IF(AND(ISNUMBER(F27),ISNUMBER(H27)),IF(H27&gt;0,1,0),0)</f>
        <v>0</v>
      </c>
      <c r="W27" s="96" t="str">
        <f>IF(T27=1,INDEX('ITENS_MTR'!$AU$6:$AU$1005,S27)&amp;"","")</f>
        <v/>
      </c>
      <c r="X27" s="96">
        <f>IF(AND(Q27=1,T27=1,I27&lt;&gt;"",W27&lt;&gt;""),IF(I27&lt;&gt;W27,1,0),0)</f>
        <v>0</v>
      </c>
      <c r="Y27" s="96">
        <f>IF(N27=0,0,IF(OR(Q27=0,T27=0,V27=0,AND(X27=1,J27&lt;&gt;"Sim")),1,0))</f>
        <v>0</v>
      </c>
      <c r="Z27" s="96">
        <f>IF(Q27=1,INDEX('CDFs'!$W$6:$W$505,P27),0)</f>
        <v>0</v>
      </c>
      <c r="AA27" s="96">
        <f>IF(AND(N27=1,Y27=0,Z27=1,J27="Sim"),1,0)</f>
        <v>0</v>
      </c>
      <c r="AB27" s="96">
        <f>IF(AND(N27=1,O27&lt;&gt;"",D27&lt;&gt;""),IF(COUNTIFS($O$6:O27,O27,$D$6:D27,D27)=1,1,0),0)</f>
        <v>0</v>
      </c>
      <c r="AC27" s="96">
        <f>IF(T27=1,INDEX('ITENS_MTR'!$AL$6:$AL$1005,S27),0)</f>
        <v>0</v>
      </c>
    </row>
    <row r="28">
      <c r="A28" s="89" t="inlineStr">
        <is>
          <t>VIN-000023</t>
        </is>
      </c>
      <c r="B28" s="91" t="n"/>
      <c r="C28" s="91" t="n"/>
      <c r="D28" s="94" t="str">
        <f>IF(T28=1,INDEX('ITENS_MTR'!$S$6:$S$1005,S28)&amp;"","")</f>
        <v/>
      </c>
      <c r="E28" s="94" t="str">
        <f>IF(T28=1,INDEX('ITENS_MTR'!$C$6:$C$1005,S28)&amp;"","")</f>
        <v/>
      </c>
      <c r="F28" s="98" t="n"/>
      <c r="G28" s="91" t="n"/>
      <c r="H28" s="93" t="str">
        <f>IF(N28=0,"",IF(NOT(ISNUMBER(F28)),"",IF(ISNUMBER(U28),F28*U28,"UNIDADE A CONFERIR")))</f>
        <v/>
      </c>
      <c r="I28" s="94" t="str">
        <f>IF(Q28=1,INDEX('CDFs'!$F$6:$F$505,P28)&amp;"","")</f>
        <v/>
      </c>
      <c r="J28" s="91" t="n"/>
      <c r="K28" s="91" t="n"/>
      <c r="L28" s="94" t="str">
        <f>IF(N28=0,"",IF(NOT(ISNUMBER(F28)),"Quantidade não informada",IF(F28&lt;=0,"Quantidade não positiva",IF(G28="","Unidade não informada",IF(NOT(ISNUMBER(H28)),"Unidade a conferir",IF(AC28=1,"REVISAR VÍNCULO: soma vinculada maior que a referência do item","OK"))))))</f>
        <v/>
      </c>
      <c r="M28" s="94" t="str">
        <f>IF(N28=0,"",IF(B28="","CDF não informado",IF(Q28=0,"REVISAR VÍNCULO: CDF inexistente",IF(C28="","Item não informado",IF(T28=0,"REVISAR VÍNCULO: item inexistente",IF(AND(X28=1,J28&lt;&gt;"Sim"),"REVISAR VÍNCULO: destinador diferente do MTR",IF(X28=1,"Destinador diferente do MTR (analisado)","OK")))))))</f>
        <v/>
      </c>
      <c r="N28" s="96">
        <f>IF(COUNTA(B28:C28,F28:G28,J28:K28)&gt;0,1,0)</f>
        <v>0</v>
      </c>
      <c r="O28" s="96" t="str">
        <f>IF(B28="","",TRIM(LEFT(B28,FIND(" |",B28&amp;" |")-1)))</f>
        <v/>
      </c>
      <c r="P28" s="96" t="str">
        <f>IF(O28="","",IFERROR(MATCH(O28,'CDFs'!$A$6:$A$505,0),""))</f>
        <v/>
      </c>
      <c r="Q28" s="96">
        <f>IF(P28="",0,IF(INDEX('CDFs'!$S$6:$S$505,P28)=1,1,0))</f>
        <v>0</v>
      </c>
      <c r="R28" s="96" t="str">
        <f>IF(C28="","",TRIM(LEFT(C28,FIND(" |",C28&amp;" |")-1)))</f>
        <v/>
      </c>
      <c r="S28" s="96" t="str">
        <f>IF(R28="","",IFERROR(MATCH(R28,'ITENS_MTR'!$A$6:$A$1005,0),""))</f>
        <v/>
      </c>
      <c r="T28" s="96">
        <f>IF(S28="",0,IF(INDEX('ITENS_MTR'!$R$6:$R$1005,S28)=1,1,0))</f>
        <v>0</v>
      </c>
      <c r="U28" s="96" t="str">
        <f>IF(G28="","",IFERROR(IF(ISNUMBER(INDEX(cfg_fac,MATCH(G28,cfg_units,0))),IF(INDEX(cfg_fac,MATCH(G28,cfg_units,0))&gt;0,INDEX(cfg_fac,MATCH(G28,cfg_units,0)),""),""),""))</f>
        <v/>
      </c>
      <c r="V28" s="96">
        <f>IF(AND(ISNUMBER(F28),ISNUMBER(H28)),IF(H28&gt;0,1,0),0)</f>
        <v>0</v>
      </c>
      <c r="W28" s="96" t="str">
        <f>IF(T28=1,INDEX('ITENS_MTR'!$AU$6:$AU$1005,S28)&amp;"","")</f>
        <v/>
      </c>
      <c r="X28" s="96">
        <f>IF(AND(Q28=1,T28=1,I28&lt;&gt;"",W28&lt;&gt;""),IF(I28&lt;&gt;W28,1,0),0)</f>
        <v>0</v>
      </c>
      <c r="Y28" s="96">
        <f>IF(N28=0,0,IF(OR(Q28=0,T28=0,V28=0,AND(X28=1,J28&lt;&gt;"Sim")),1,0))</f>
        <v>0</v>
      </c>
      <c r="Z28" s="96">
        <f>IF(Q28=1,INDEX('CDFs'!$W$6:$W$505,P28),0)</f>
        <v>0</v>
      </c>
      <c r="AA28" s="96">
        <f>IF(AND(N28=1,Y28=0,Z28=1,J28="Sim"),1,0)</f>
        <v>0</v>
      </c>
      <c r="AB28" s="96">
        <f>IF(AND(N28=1,O28&lt;&gt;"",D28&lt;&gt;""),IF(COUNTIFS($O$6:O28,O28,$D$6:D28,D28)=1,1,0),0)</f>
        <v>0</v>
      </c>
      <c r="AC28" s="96">
        <f>IF(T28=1,INDEX('ITENS_MTR'!$AL$6:$AL$1005,S28),0)</f>
        <v>0</v>
      </c>
    </row>
    <row r="29">
      <c r="A29" s="89" t="inlineStr">
        <is>
          <t>VIN-000024</t>
        </is>
      </c>
      <c r="B29" s="91" t="n"/>
      <c r="C29" s="91" t="n"/>
      <c r="D29" s="94" t="str">
        <f>IF(T29=1,INDEX('ITENS_MTR'!$S$6:$S$1005,S29)&amp;"","")</f>
        <v/>
      </c>
      <c r="E29" s="94" t="str">
        <f>IF(T29=1,INDEX('ITENS_MTR'!$C$6:$C$1005,S29)&amp;"","")</f>
        <v/>
      </c>
      <c r="F29" s="98" t="n"/>
      <c r="G29" s="91" t="n"/>
      <c r="H29" s="93" t="str">
        <f>IF(N29=0,"",IF(NOT(ISNUMBER(F29)),"",IF(ISNUMBER(U29),F29*U29,"UNIDADE A CONFERIR")))</f>
        <v/>
      </c>
      <c r="I29" s="94" t="str">
        <f>IF(Q29=1,INDEX('CDFs'!$F$6:$F$505,P29)&amp;"","")</f>
        <v/>
      </c>
      <c r="J29" s="91" t="n"/>
      <c r="K29" s="91" t="n"/>
      <c r="L29" s="94" t="str">
        <f>IF(N29=0,"",IF(NOT(ISNUMBER(F29)),"Quantidade não informada",IF(F29&lt;=0,"Quantidade não positiva",IF(G29="","Unidade não informada",IF(NOT(ISNUMBER(H29)),"Unidade a conferir",IF(AC29=1,"REVISAR VÍNCULO: soma vinculada maior que a referência do item","OK"))))))</f>
        <v/>
      </c>
      <c r="M29" s="94" t="str">
        <f>IF(N29=0,"",IF(B29="","CDF não informado",IF(Q29=0,"REVISAR VÍNCULO: CDF inexistente",IF(C29="","Item não informado",IF(T29=0,"REVISAR VÍNCULO: item inexistente",IF(AND(X29=1,J29&lt;&gt;"Sim"),"REVISAR VÍNCULO: destinador diferente do MTR",IF(X29=1,"Destinador diferente do MTR (analisado)","OK")))))))</f>
        <v/>
      </c>
      <c r="N29" s="96">
        <f>IF(COUNTA(B29:C29,F29:G29,J29:K29)&gt;0,1,0)</f>
        <v>0</v>
      </c>
      <c r="O29" s="96" t="str">
        <f>IF(B29="","",TRIM(LEFT(B29,FIND(" |",B29&amp;" |")-1)))</f>
        <v/>
      </c>
      <c r="P29" s="96" t="str">
        <f>IF(O29="","",IFERROR(MATCH(O29,'CDFs'!$A$6:$A$505,0),""))</f>
        <v/>
      </c>
      <c r="Q29" s="96">
        <f>IF(P29="",0,IF(INDEX('CDFs'!$S$6:$S$505,P29)=1,1,0))</f>
        <v>0</v>
      </c>
      <c r="R29" s="96" t="str">
        <f>IF(C29="","",TRIM(LEFT(C29,FIND(" |",C29&amp;" |")-1)))</f>
        <v/>
      </c>
      <c r="S29" s="96" t="str">
        <f>IF(R29="","",IFERROR(MATCH(R29,'ITENS_MTR'!$A$6:$A$1005,0),""))</f>
        <v/>
      </c>
      <c r="T29" s="96">
        <f>IF(S29="",0,IF(INDEX('ITENS_MTR'!$R$6:$R$1005,S29)=1,1,0))</f>
        <v>0</v>
      </c>
      <c r="U29" s="96" t="str">
        <f>IF(G29="","",IFERROR(IF(ISNUMBER(INDEX(cfg_fac,MATCH(G29,cfg_units,0))),IF(INDEX(cfg_fac,MATCH(G29,cfg_units,0))&gt;0,INDEX(cfg_fac,MATCH(G29,cfg_units,0)),""),""),""))</f>
        <v/>
      </c>
      <c r="V29" s="96">
        <f>IF(AND(ISNUMBER(F29),ISNUMBER(H29)),IF(H29&gt;0,1,0),0)</f>
        <v>0</v>
      </c>
      <c r="W29" s="96" t="str">
        <f>IF(T29=1,INDEX('ITENS_MTR'!$AU$6:$AU$1005,S29)&amp;"","")</f>
        <v/>
      </c>
      <c r="X29" s="96">
        <f>IF(AND(Q29=1,T29=1,I29&lt;&gt;"",W29&lt;&gt;""),IF(I29&lt;&gt;W29,1,0),0)</f>
        <v>0</v>
      </c>
      <c r="Y29" s="96">
        <f>IF(N29=0,0,IF(OR(Q29=0,T29=0,V29=0,AND(X29=1,J29&lt;&gt;"Sim")),1,0))</f>
        <v>0</v>
      </c>
      <c r="Z29" s="96">
        <f>IF(Q29=1,INDEX('CDFs'!$W$6:$W$505,P29),0)</f>
        <v>0</v>
      </c>
      <c r="AA29" s="96">
        <f>IF(AND(N29=1,Y29=0,Z29=1,J29="Sim"),1,0)</f>
        <v>0</v>
      </c>
      <c r="AB29" s="96">
        <f>IF(AND(N29=1,O29&lt;&gt;"",D29&lt;&gt;""),IF(COUNTIFS($O$6:O29,O29,$D$6:D29,D29)=1,1,0),0)</f>
        <v>0</v>
      </c>
      <c r="AC29" s="96">
        <f>IF(T29=1,INDEX('ITENS_MTR'!$AL$6:$AL$1005,S29),0)</f>
        <v>0</v>
      </c>
    </row>
    <row r="30">
      <c r="A30" s="89" t="inlineStr">
        <is>
          <t>VIN-000025</t>
        </is>
      </c>
      <c r="B30" s="91" t="n"/>
      <c r="C30" s="91" t="n"/>
      <c r="D30" s="94" t="str">
        <f>IF(T30=1,INDEX('ITENS_MTR'!$S$6:$S$1005,S30)&amp;"","")</f>
        <v/>
      </c>
      <c r="E30" s="94" t="str">
        <f>IF(T30=1,INDEX('ITENS_MTR'!$C$6:$C$1005,S30)&amp;"","")</f>
        <v/>
      </c>
      <c r="F30" s="98" t="n"/>
      <c r="G30" s="91" t="n"/>
      <c r="H30" s="93" t="str">
        <f>IF(N30=0,"",IF(NOT(ISNUMBER(F30)),"",IF(ISNUMBER(U30),F30*U30,"UNIDADE A CONFERIR")))</f>
        <v/>
      </c>
      <c r="I30" s="94" t="str">
        <f>IF(Q30=1,INDEX('CDFs'!$F$6:$F$505,P30)&amp;"","")</f>
        <v/>
      </c>
      <c r="J30" s="91" t="n"/>
      <c r="K30" s="91" t="n"/>
      <c r="L30" s="94" t="str">
        <f>IF(N30=0,"",IF(NOT(ISNUMBER(F30)),"Quantidade não informada",IF(F30&lt;=0,"Quantidade não positiva",IF(G30="","Unidade não informada",IF(NOT(ISNUMBER(H30)),"Unidade a conferir",IF(AC30=1,"REVISAR VÍNCULO: soma vinculada maior que a referência do item","OK"))))))</f>
        <v/>
      </c>
      <c r="M30" s="94" t="str">
        <f>IF(N30=0,"",IF(B30="","CDF não informado",IF(Q30=0,"REVISAR VÍNCULO: CDF inexistente",IF(C30="","Item não informado",IF(T30=0,"REVISAR VÍNCULO: item inexistente",IF(AND(X30=1,J30&lt;&gt;"Sim"),"REVISAR VÍNCULO: destinador diferente do MTR",IF(X30=1,"Destinador diferente do MTR (analisado)","OK")))))))</f>
        <v/>
      </c>
      <c r="N30" s="96">
        <f>IF(COUNTA(B30:C30,F30:G30,J30:K30)&gt;0,1,0)</f>
        <v>0</v>
      </c>
      <c r="O30" s="96" t="str">
        <f>IF(B30="","",TRIM(LEFT(B30,FIND(" |",B30&amp;" |")-1)))</f>
        <v/>
      </c>
      <c r="P30" s="96" t="str">
        <f>IF(O30="","",IFERROR(MATCH(O30,'CDFs'!$A$6:$A$505,0),""))</f>
        <v/>
      </c>
      <c r="Q30" s="96">
        <f>IF(P30="",0,IF(INDEX('CDFs'!$S$6:$S$505,P30)=1,1,0))</f>
        <v>0</v>
      </c>
      <c r="R30" s="96" t="str">
        <f>IF(C30="","",TRIM(LEFT(C30,FIND(" |",C30&amp;" |")-1)))</f>
        <v/>
      </c>
      <c r="S30" s="96" t="str">
        <f>IF(R30="","",IFERROR(MATCH(R30,'ITENS_MTR'!$A$6:$A$1005,0),""))</f>
        <v/>
      </c>
      <c r="T30" s="96">
        <f>IF(S30="",0,IF(INDEX('ITENS_MTR'!$R$6:$R$1005,S30)=1,1,0))</f>
        <v>0</v>
      </c>
      <c r="U30" s="96" t="str">
        <f>IF(G30="","",IFERROR(IF(ISNUMBER(INDEX(cfg_fac,MATCH(G30,cfg_units,0))),IF(INDEX(cfg_fac,MATCH(G30,cfg_units,0))&gt;0,INDEX(cfg_fac,MATCH(G30,cfg_units,0)),""),""),""))</f>
        <v/>
      </c>
      <c r="V30" s="96">
        <f>IF(AND(ISNUMBER(F30),ISNUMBER(H30)),IF(H30&gt;0,1,0),0)</f>
        <v>0</v>
      </c>
      <c r="W30" s="96" t="str">
        <f>IF(T30=1,INDEX('ITENS_MTR'!$AU$6:$AU$1005,S30)&amp;"","")</f>
        <v/>
      </c>
      <c r="X30" s="96">
        <f>IF(AND(Q30=1,T30=1,I30&lt;&gt;"",W30&lt;&gt;""),IF(I30&lt;&gt;W30,1,0),0)</f>
        <v>0</v>
      </c>
      <c r="Y30" s="96">
        <f>IF(N30=0,0,IF(OR(Q30=0,T30=0,V30=0,AND(X30=1,J30&lt;&gt;"Sim")),1,0))</f>
        <v>0</v>
      </c>
      <c r="Z30" s="96">
        <f>IF(Q30=1,INDEX('CDFs'!$W$6:$W$505,P30),0)</f>
        <v>0</v>
      </c>
      <c r="AA30" s="96">
        <f>IF(AND(N30=1,Y30=0,Z30=1,J30="Sim"),1,0)</f>
        <v>0</v>
      </c>
      <c r="AB30" s="96">
        <f>IF(AND(N30=1,O30&lt;&gt;"",D30&lt;&gt;""),IF(COUNTIFS($O$6:O30,O30,$D$6:D30,D30)=1,1,0),0)</f>
        <v>0</v>
      </c>
      <c r="AC30" s="96">
        <f>IF(T30=1,INDEX('ITENS_MTR'!$AL$6:$AL$1005,S30),0)</f>
        <v>0</v>
      </c>
    </row>
    <row r="31">
      <c r="A31" s="89" t="inlineStr">
        <is>
          <t>VIN-000026</t>
        </is>
      </c>
      <c r="B31" s="91" t="n"/>
      <c r="C31" s="91" t="n"/>
      <c r="D31" s="94" t="str">
        <f>IF(T31=1,INDEX('ITENS_MTR'!$S$6:$S$1005,S31)&amp;"","")</f>
        <v/>
      </c>
      <c r="E31" s="94" t="str">
        <f>IF(T31=1,INDEX('ITENS_MTR'!$C$6:$C$1005,S31)&amp;"","")</f>
        <v/>
      </c>
      <c r="F31" s="98" t="n"/>
      <c r="G31" s="91" t="n"/>
      <c r="H31" s="93" t="str">
        <f>IF(N31=0,"",IF(NOT(ISNUMBER(F31)),"",IF(ISNUMBER(U31),F31*U31,"UNIDADE A CONFERIR")))</f>
        <v/>
      </c>
      <c r="I31" s="94" t="str">
        <f>IF(Q31=1,INDEX('CDFs'!$F$6:$F$505,P31)&amp;"","")</f>
        <v/>
      </c>
      <c r="J31" s="91" t="n"/>
      <c r="K31" s="91" t="n"/>
      <c r="L31" s="94" t="str">
        <f>IF(N31=0,"",IF(NOT(ISNUMBER(F31)),"Quantidade não informada",IF(F31&lt;=0,"Quantidade não positiva",IF(G31="","Unidade não informada",IF(NOT(ISNUMBER(H31)),"Unidade a conferir",IF(AC31=1,"REVISAR VÍNCULO: soma vinculada maior que a referência do item","OK"))))))</f>
        <v/>
      </c>
      <c r="M31" s="94" t="str">
        <f>IF(N31=0,"",IF(B31="","CDF não informado",IF(Q31=0,"REVISAR VÍNCULO: CDF inexistente",IF(C31="","Item não informado",IF(T31=0,"REVISAR VÍNCULO: item inexistente",IF(AND(X31=1,J31&lt;&gt;"Sim"),"REVISAR VÍNCULO: destinador diferente do MTR",IF(X31=1,"Destinador diferente do MTR (analisado)","OK")))))))</f>
        <v/>
      </c>
      <c r="N31" s="96">
        <f>IF(COUNTA(B31:C31,F31:G31,J31:K31)&gt;0,1,0)</f>
        <v>0</v>
      </c>
      <c r="O31" s="96" t="str">
        <f>IF(B31="","",TRIM(LEFT(B31,FIND(" |",B31&amp;" |")-1)))</f>
        <v/>
      </c>
      <c r="P31" s="96" t="str">
        <f>IF(O31="","",IFERROR(MATCH(O31,'CDFs'!$A$6:$A$505,0),""))</f>
        <v/>
      </c>
      <c r="Q31" s="96">
        <f>IF(P31="",0,IF(INDEX('CDFs'!$S$6:$S$505,P31)=1,1,0))</f>
        <v>0</v>
      </c>
      <c r="R31" s="96" t="str">
        <f>IF(C31="","",TRIM(LEFT(C31,FIND(" |",C31&amp;" |")-1)))</f>
        <v/>
      </c>
      <c r="S31" s="96" t="str">
        <f>IF(R31="","",IFERROR(MATCH(R31,'ITENS_MTR'!$A$6:$A$1005,0),""))</f>
        <v/>
      </c>
      <c r="T31" s="96">
        <f>IF(S31="",0,IF(INDEX('ITENS_MTR'!$R$6:$R$1005,S31)=1,1,0))</f>
        <v>0</v>
      </c>
      <c r="U31" s="96" t="str">
        <f>IF(G31="","",IFERROR(IF(ISNUMBER(INDEX(cfg_fac,MATCH(G31,cfg_units,0))),IF(INDEX(cfg_fac,MATCH(G31,cfg_units,0))&gt;0,INDEX(cfg_fac,MATCH(G31,cfg_units,0)),""),""),""))</f>
        <v/>
      </c>
      <c r="V31" s="96">
        <f>IF(AND(ISNUMBER(F31),ISNUMBER(H31)),IF(H31&gt;0,1,0),0)</f>
        <v>0</v>
      </c>
      <c r="W31" s="96" t="str">
        <f>IF(T31=1,INDEX('ITENS_MTR'!$AU$6:$AU$1005,S31)&amp;"","")</f>
        <v/>
      </c>
      <c r="X31" s="96">
        <f>IF(AND(Q31=1,T31=1,I31&lt;&gt;"",W31&lt;&gt;""),IF(I31&lt;&gt;W31,1,0),0)</f>
        <v>0</v>
      </c>
      <c r="Y31" s="96">
        <f>IF(N31=0,0,IF(OR(Q31=0,T31=0,V31=0,AND(X31=1,J31&lt;&gt;"Sim")),1,0))</f>
        <v>0</v>
      </c>
      <c r="Z31" s="96">
        <f>IF(Q31=1,INDEX('CDFs'!$W$6:$W$505,P31),0)</f>
        <v>0</v>
      </c>
      <c r="AA31" s="96">
        <f>IF(AND(N31=1,Y31=0,Z31=1,J31="Sim"),1,0)</f>
        <v>0</v>
      </c>
      <c r="AB31" s="96">
        <f>IF(AND(N31=1,O31&lt;&gt;"",D31&lt;&gt;""),IF(COUNTIFS($O$6:O31,O31,$D$6:D31,D31)=1,1,0),0)</f>
        <v>0</v>
      </c>
      <c r="AC31" s="96">
        <f>IF(T31=1,INDEX('ITENS_MTR'!$AL$6:$AL$1005,S31),0)</f>
        <v>0</v>
      </c>
    </row>
    <row r="32">
      <c r="A32" s="89" t="inlineStr">
        <is>
          <t>VIN-000027</t>
        </is>
      </c>
      <c r="B32" s="91" t="n"/>
      <c r="C32" s="91" t="n"/>
      <c r="D32" s="94" t="str">
        <f>IF(T32=1,INDEX('ITENS_MTR'!$S$6:$S$1005,S32)&amp;"","")</f>
        <v/>
      </c>
      <c r="E32" s="94" t="str">
        <f>IF(T32=1,INDEX('ITENS_MTR'!$C$6:$C$1005,S32)&amp;"","")</f>
        <v/>
      </c>
      <c r="F32" s="98" t="n"/>
      <c r="G32" s="91" t="n"/>
      <c r="H32" s="93" t="str">
        <f>IF(N32=0,"",IF(NOT(ISNUMBER(F32)),"",IF(ISNUMBER(U32),F32*U32,"UNIDADE A CONFERIR")))</f>
        <v/>
      </c>
      <c r="I32" s="94" t="str">
        <f>IF(Q32=1,INDEX('CDFs'!$F$6:$F$505,P32)&amp;"","")</f>
        <v/>
      </c>
      <c r="J32" s="91" t="n"/>
      <c r="K32" s="91" t="n"/>
      <c r="L32" s="94" t="str">
        <f>IF(N32=0,"",IF(NOT(ISNUMBER(F32)),"Quantidade não informada",IF(F32&lt;=0,"Quantidade não positiva",IF(G32="","Unidade não informada",IF(NOT(ISNUMBER(H32)),"Unidade a conferir",IF(AC32=1,"REVISAR VÍNCULO: soma vinculada maior que a referência do item","OK"))))))</f>
        <v/>
      </c>
      <c r="M32" s="94" t="str">
        <f>IF(N32=0,"",IF(B32="","CDF não informado",IF(Q32=0,"REVISAR VÍNCULO: CDF inexistente",IF(C32="","Item não informado",IF(T32=0,"REVISAR VÍNCULO: item inexistente",IF(AND(X32=1,J32&lt;&gt;"Sim"),"REVISAR VÍNCULO: destinador diferente do MTR",IF(X32=1,"Destinador diferente do MTR (analisado)","OK")))))))</f>
        <v/>
      </c>
      <c r="N32" s="96">
        <f>IF(COUNTA(B32:C32,F32:G32,J32:K32)&gt;0,1,0)</f>
        <v>0</v>
      </c>
      <c r="O32" s="96" t="str">
        <f>IF(B32="","",TRIM(LEFT(B32,FIND(" |",B32&amp;" |")-1)))</f>
        <v/>
      </c>
      <c r="P32" s="96" t="str">
        <f>IF(O32="","",IFERROR(MATCH(O32,'CDFs'!$A$6:$A$505,0),""))</f>
        <v/>
      </c>
      <c r="Q32" s="96">
        <f>IF(P32="",0,IF(INDEX('CDFs'!$S$6:$S$505,P32)=1,1,0))</f>
        <v>0</v>
      </c>
      <c r="R32" s="96" t="str">
        <f>IF(C32="","",TRIM(LEFT(C32,FIND(" |",C32&amp;" |")-1)))</f>
        <v/>
      </c>
      <c r="S32" s="96" t="str">
        <f>IF(R32="","",IFERROR(MATCH(R32,'ITENS_MTR'!$A$6:$A$1005,0),""))</f>
        <v/>
      </c>
      <c r="T32" s="96">
        <f>IF(S32="",0,IF(INDEX('ITENS_MTR'!$R$6:$R$1005,S32)=1,1,0))</f>
        <v>0</v>
      </c>
      <c r="U32" s="96" t="str">
        <f>IF(G32="","",IFERROR(IF(ISNUMBER(INDEX(cfg_fac,MATCH(G32,cfg_units,0))),IF(INDEX(cfg_fac,MATCH(G32,cfg_units,0))&gt;0,INDEX(cfg_fac,MATCH(G32,cfg_units,0)),""),""),""))</f>
        <v/>
      </c>
      <c r="V32" s="96">
        <f>IF(AND(ISNUMBER(F32),ISNUMBER(H32)),IF(H32&gt;0,1,0),0)</f>
        <v>0</v>
      </c>
      <c r="W32" s="96" t="str">
        <f>IF(T32=1,INDEX('ITENS_MTR'!$AU$6:$AU$1005,S32)&amp;"","")</f>
        <v/>
      </c>
      <c r="X32" s="96">
        <f>IF(AND(Q32=1,T32=1,I32&lt;&gt;"",W32&lt;&gt;""),IF(I32&lt;&gt;W32,1,0),0)</f>
        <v>0</v>
      </c>
      <c r="Y32" s="96">
        <f>IF(N32=0,0,IF(OR(Q32=0,T32=0,V32=0,AND(X32=1,J32&lt;&gt;"Sim")),1,0))</f>
        <v>0</v>
      </c>
      <c r="Z32" s="96">
        <f>IF(Q32=1,INDEX('CDFs'!$W$6:$W$505,P32),0)</f>
        <v>0</v>
      </c>
      <c r="AA32" s="96">
        <f>IF(AND(N32=1,Y32=0,Z32=1,J32="Sim"),1,0)</f>
        <v>0</v>
      </c>
      <c r="AB32" s="96">
        <f>IF(AND(N32=1,O32&lt;&gt;"",D32&lt;&gt;""),IF(COUNTIFS($O$6:O32,O32,$D$6:D32,D32)=1,1,0),0)</f>
        <v>0</v>
      </c>
      <c r="AC32" s="96">
        <f>IF(T32=1,INDEX('ITENS_MTR'!$AL$6:$AL$1005,S32),0)</f>
        <v>0</v>
      </c>
    </row>
    <row r="33">
      <c r="A33" s="89" t="inlineStr">
        <is>
          <t>VIN-000028</t>
        </is>
      </c>
      <c r="B33" s="91" t="n"/>
      <c r="C33" s="91" t="n"/>
      <c r="D33" s="94" t="str">
        <f>IF(T33=1,INDEX('ITENS_MTR'!$S$6:$S$1005,S33)&amp;"","")</f>
        <v/>
      </c>
      <c r="E33" s="94" t="str">
        <f>IF(T33=1,INDEX('ITENS_MTR'!$C$6:$C$1005,S33)&amp;"","")</f>
        <v/>
      </c>
      <c r="F33" s="98" t="n"/>
      <c r="G33" s="91" t="n"/>
      <c r="H33" s="93" t="str">
        <f>IF(N33=0,"",IF(NOT(ISNUMBER(F33)),"",IF(ISNUMBER(U33),F33*U33,"UNIDADE A CONFERIR")))</f>
        <v/>
      </c>
      <c r="I33" s="94" t="str">
        <f>IF(Q33=1,INDEX('CDFs'!$F$6:$F$505,P33)&amp;"","")</f>
        <v/>
      </c>
      <c r="J33" s="91" t="n"/>
      <c r="K33" s="91" t="n"/>
      <c r="L33" s="94" t="str">
        <f>IF(N33=0,"",IF(NOT(ISNUMBER(F33)),"Quantidade não informada",IF(F33&lt;=0,"Quantidade não positiva",IF(G33="","Unidade não informada",IF(NOT(ISNUMBER(H33)),"Unidade a conferir",IF(AC33=1,"REVISAR VÍNCULO: soma vinculada maior que a referência do item","OK"))))))</f>
        <v/>
      </c>
      <c r="M33" s="94" t="str">
        <f>IF(N33=0,"",IF(B33="","CDF não informado",IF(Q33=0,"REVISAR VÍNCULO: CDF inexistente",IF(C33="","Item não informado",IF(T33=0,"REVISAR VÍNCULO: item inexistente",IF(AND(X33=1,J33&lt;&gt;"Sim"),"REVISAR VÍNCULO: destinador diferente do MTR",IF(X33=1,"Destinador diferente do MTR (analisado)","OK")))))))</f>
        <v/>
      </c>
      <c r="N33" s="96">
        <f>IF(COUNTA(B33:C33,F33:G33,J33:K33)&gt;0,1,0)</f>
        <v>0</v>
      </c>
      <c r="O33" s="96" t="str">
        <f>IF(B33="","",TRIM(LEFT(B33,FIND(" |",B33&amp;" |")-1)))</f>
        <v/>
      </c>
      <c r="P33" s="96" t="str">
        <f>IF(O33="","",IFERROR(MATCH(O33,'CDFs'!$A$6:$A$505,0),""))</f>
        <v/>
      </c>
      <c r="Q33" s="96">
        <f>IF(P33="",0,IF(INDEX('CDFs'!$S$6:$S$505,P33)=1,1,0))</f>
        <v>0</v>
      </c>
      <c r="R33" s="96" t="str">
        <f>IF(C33="","",TRIM(LEFT(C33,FIND(" |",C33&amp;" |")-1)))</f>
        <v/>
      </c>
      <c r="S33" s="96" t="str">
        <f>IF(R33="","",IFERROR(MATCH(R33,'ITENS_MTR'!$A$6:$A$1005,0),""))</f>
        <v/>
      </c>
      <c r="T33" s="96">
        <f>IF(S33="",0,IF(INDEX('ITENS_MTR'!$R$6:$R$1005,S33)=1,1,0))</f>
        <v>0</v>
      </c>
      <c r="U33" s="96" t="str">
        <f>IF(G33="","",IFERROR(IF(ISNUMBER(INDEX(cfg_fac,MATCH(G33,cfg_units,0))),IF(INDEX(cfg_fac,MATCH(G33,cfg_units,0))&gt;0,INDEX(cfg_fac,MATCH(G33,cfg_units,0)),""),""),""))</f>
        <v/>
      </c>
      <c r="V33" s="96">
        <f>IF(AND(ISNUMBER(F33),ISNUMBER(H33)),IF(H33&gt;0,1,0),0)</f>
        <v>0</v>
      </c>
      <c r="W33" s="96" t="str">
        <f>IF(T33=1,INDEX('ITENS_MTR'!$AU$6:$AU$1005,S33)&amp;"","")</f>
        <v/>
      </c>
      <c r="X33" s="96">
        <f>IF(AND(Q33=1,T33=1,I33&lt;&gt;"",W33&lt;&gt;""),IF(I33&lt;&gt;W33,1,0),0)</f>
        <v>0</v>
      </c>
      <c r="Y33" s="96">
        <f>IF(N33=0,0,IF(OR(Q33=0,T33=0,V33=0,AND(X33=1,J33&lt;&gt;"Sim")),1,0))</f>
        <v>0</v>
      </c>
      <c r="Z33" s="96">
        <f>IF(Q33=1,INDEX('CDFs'!$W$6:$W$505,P33),0)</f>
        <v>0</v>
      </c>
      <c r="AA33" s="96">
        <f>IF(AND(N33=1,Y33=0,Z33=1,J33="Sim"),1,0)</f>
        <v>0</v>
      </c>
      <c r="AB33" s="96">
        <f>IF(AND(N33=1,O33&lt;&gt;"",D33&lt;&gt;""),IF(COUNTIFS($O$6:O33,O33,$D$6:D33,D33)=1,1,0),0)</f>
        <v>0</v>
      </c>
      <c r="AC33" s="96">
        <f>IF(T33=1,INDEX('ITENS_MTR'!$AL$6:$AL$1005,S33),0)</f>
        <v>0</v>
      </c>
    </row>
    <row r="34">
      <c r="A34" s="89" t="inlineStr">
        <is>
          <t>VIN-000029</t>
        </is>
      </c>
      <c r="B34" s="91" t="n"/>
      <c r="C34" s="91" t="n"/>
      <c r="D34" s="94" t="str">
        <f>IF(T34=1,INDEX('ITENS_MTR'!$S$6:$S$1005,S34)&amp;"","")</f>
        <v/>
      </c>
      <c r="E34" s="94" t="str">
        <f>IF(T34=1,INDEX('ITENS_MTR'!$C$6:$C$1005,S34)&amp;"","")</f>
        <v/>
      </c>
      <c r="F34" s="98" t="n"/>
      <c r="G34" s="91" t="n"/>
      <c r="H34" s="93" t="str">
        <f>IF(N34=0,"",IF(NOT(ISNUMBER(F34)),"",IF(ISNUMBER(U34),F34*U34,"UNIDADE A CONFERIR")))</f>
        <v/>
      </c>
      <c r="I34" s="94" t="str">
        <f>IF(Q34=1,INDEX('CDFs'!$F$6:$F$505,P34)&amp;"","")</f>
        <v/>
      </c>
      <c r="J34" s="91" t="n"/>
      <c r="K34" s="91" t="n"/>
      <c r="L34" s="94" t="str">
        <f>IF(N34=0,"",IF(NOT(ISNUMBER(F34)),"Quantidade não informada",IF(F34&lt;=0,"Quantidade não positiva",IF(G34="","Unidade não informada",IF(NOT(ISNUMBER(H34)),"Unidade a conferir",IF(AC34=1,"REVISAR VÍNCULO: soma vinculada maior que a referência do item","OK"))))))</f>
        <v/>
      </c>
      <c r="M34" s="94" t="str">
        <f>IF(N34=0,"",IF(B34="","CDF não informado",IF(Q34=0,"REVISAR VÍNCULO: CDF inexistente",IF(C34="","Item não informado",IF(T34=0,"REVISAR VÍNCULO: item inexistente",IF(AND(X34=1,J34&lt;&gt;"Sim"),"REVISAR VÍNCULO: destinador diferente do MTR",IF(X34=1,"Destinador diferente do MTR (analisado)","OK")))))))</f>
        <v/>
      </c>
      <c r="N34" s="96">
        <f>IF(COUNTA(B34:C34,F34:G34,J34:K34)&gt;0,1,0)</f>
        <v>0</v>
      </c>
      <c r="O34" s="96" t="str">
        <f>IF(B34="","",TRIM(LEFT(B34,FIND(" |",B34&amp;" |")-1)))</f>
        <v/>
      </c>
      <c r="P34" s="96" t="str">
        <f>IF(O34="","",IFERROR(MATCH(O34,'CDFs'!$A$6:$A$505,0),""))</f>
        <v/>
      </c>
      <c r="Q34" s="96">
        <f>IF(P34="",0,IF(INDEX('CDFs'!$S$6:$S$505,P34)=1,1,0))</f>
        <v>0</v>
      </c>
      <c r="R34" s="96" t="str">
        <f>IF(C34="","",TRIM(LEFT(C34,FIND(" |",C34&amp;" |")-1)))</f>
        <v/>
      </c>
      <c r="S34" s="96" t="str">
        <f>IF(R34="","",IFERROR(MATCH(R34,'ITENS_MTR'!$A$6:$A$1005,0),""))</f>
        <v/>
      </c>
      <c r="T34" s="96">
        <f>IF(S34="",0,IF(INDEX('ITENS_MTR'!$R$6:$R$1005,S34)=1,1,0))</f>
        <v>0</v>
      </c>
      <c r="U34" s="96" t="str">
        <f>IF(G34="","",IFERROR(IF(ISNUMBER(INDEX(cfg_fac,MATCH(G34,cfg_units,0))),IF(INDEX(cfg_fac,MATCH(G34,cfg_units,0))&gt;0,INDEX(cfg_fac,MATCH(G34,cfg_units,0)),""),""),""))</f>
        <v/>
      </c>
      <c r="V34" s="96">
        <f>IF(AND(ISNUMBER(F34),ISNUMBER(H34)),IF(H34&gt;0,1,0),0)</f>
        <v>0</v>
      </c>
      <c r="W34" s="96" t="str">
        <f>IF(T34=1,INDEX('ITENS_MTR'!$AU$6:$AU$1005,S34)&amp;"","")</f>
        <v/>
      </c>
      <c r="X34" s="96">
        <f>IF(AND(Q34=1,T34=1,I34&lt;&gt;"",W34&lt;&gt;""),IF(I34&lt;&gt;W34,1,0),0)</f>
        <v>0</v>
      </c>
      <c r="Y34" s="96">
        <f>IF(N34=0,0,IF(OR(Q34=0,T34=0,V34=0,AND(X34=1,J34&lt;&gt;"Sim")),1,0))</f>
        <v>0</v>
      </c>
      <c r="Z34" s="96">
        <f>IF(Q34=1,INDEX('CDFs'!$W$6:$W$505,P34),0)</f>
        <v>0</v>
      </c>
      <c r="AA34" s="96">
        <f>IF(AND(N34=1,Y34=0,Z34=1,J34="Sim"),1,0)</f>
        <v>0</v>
      </c>
      <c r="AB34" s="96">
        <f>IF(AND(N34=1,O34&lt;&gt;"",D34&lt;&gt;""),IF(COUNTIFS($O$6:O34,O34,$D$6:D34,D34)=1,1,0),0)</f>
        <v>0</v>
      </c>
      <c r="AC34" s="96">
        <f>IF(T34=1,INDEX('ITENS_MTR'!$AL$6:$AL$1005,S34),0)</f>
        <v>0</v>
      </c>
    </row>
    <row r="35">
      <c r="A35" s="89" t="inlineStr">
        <is>
          <t>VIN-000030</t>
        </is>
      </c>
      <c r="B35" s="91" t="n"/>
      <c r="C35" s="91" t="n"/>
      <c r="D35" s="94" t="str">
        <f>IF(T35=1,INDEX('ITENS_MTR'!$S$6:$S$1005,S35)&amp;"","")</f>
        <v/>
      </c>
      <c r="E35" s="94" t="str">
        <f>IF(T35=1,INDEX('ITENS_MTR'!$C$6:$C$1005,S35)&amp;"","")</f>
        <v/>
      </c>
      <c r="F35" s="98" t="n"/>
      <c r="G35" s="91" t="n"/>
      <c r="H35" s="93" t="str">
        <f>IF(N35=0,"",IF(NOT(ISNUMBER(F35)),"",IF(ISNUMBER(U35),F35*U35,"UNIDADE A CONFERIR")))</f>
        <v/>
      </c>
      <c r="I35" s="94" t="str">
        <f>IF(Q35=1,INDEX('CDFs'!$F$6:$F$505,P35)&amp;"","")</f>
        <v/>
      </c>
      <c r="J35" s="91" t="n"/>
      <c r="K35" s="91" t="n"/>
      <c r="L35" s="94" t="str">
        <f>IF(N35=0,"",IF(NOT(ISNUMBER(F35)),"Quantidade não informada",IF(F35&lt;=0,"Quantidade não positiva",IF(G35="","Unidade não informada",IF(NOT(ISNUMBER(H35)),"Unidade a conferir",IF(AC35=1,"REVISAR VÍNCULO: soma vinculada maior que a referência do item","OK"))))))</f>
        <v/>
      </c>
      <c r="M35" s="94" t="str">
        <f>IF(N35=0,"",IF(B35="","CDF não informado",IF(Q35=0,"REVISAR VÍNCULO: CDF inexistente",IF(C35="","Item não informado",IF(T35=0,"REVISAR VÍNCULO: item inexistente",IF(AND(X35=1,J35&lt;&gt;"Sim"),"REVISAR VÍNCULO: destinador diferente do MTR",IF(X35=1,"Destinador diferente do MTR (analisado)","OK")))))))</f>
        <v/>
      </c>
      <c r="N35" s="96">
        <f>IF(COUNTA(B35:C35,F35:G35,J35:K35)&gt;0,1,0)</f>
        <v>0</v>
      </c>
      <c r="O35" s="96" t="str">
        <f>IF(B35="","",TRIM(LEFT(B35,FIND(" |",B35&amp;" |")-1)))</f>
        <v/>
      </c>
      <c r="P35" s="96" t="str">
        <f>IF(O35="","",IFERROR(MATCH(O35,'CDFs'!$A$6:$A$505,0),""))</f>
        <v/>
      </c>
      <c r="Q35" s="96">
        <f>IF(P35="",0,IF(INDEX('CDFs'!$S$6:$S$505,P35)=1,1,0))</f>
        <v>0</v>
      </c>
      <c r="R35" s="96" t="str">
        <f>IF(C35="","",TRIM(LEFT(C35,FIND(" |",C35&amp;" |")-1)))</f>
        <v/>
      </c>
      <c r="S35" s="96" t="str">
        <f>IF(R35="","",IFERROR(MATCH(R35,'ITENS_MTR'!$A$6:$A$1005,0),""))</f>
        <v/>
      </c>
      <c r="T35" s="96">
        <f>IF(S35="",0,IF(INDEX('ITENS_MTR'!$R$6:$R$1005,S35)=1,1,0))</f>
        <v>0</v>
      </c>
      <c r="U35" s="96" t="str">
        <f>IF(G35="","",IFERROR(IF(ISNUMBER(INDEX(cfg_fac,MATCH(G35,cfg_units,0))),IF(INDEX(cfg_fac,MATCH(G35,cfg_units,0))&gt;0,INDEX(cfg_fac,MATCH(G35,cfg_units,0)),""),""),""))</f>
        <v/>
      </c>
      <c r="V35" s="96">
        <f>IF(AND(ISNUMBER(F35),ISNUMBER(H35)),IF(H35&gt;0,1,0),0)</f>
        <v>0</v>
      </c>
      <c r="W35" s="96" t="str">
        <f>IF(T35=1,INDEX('ITENS_MTR'!$AU$6:$AU$1005,S35)&amp;"","")</f>
        <v/>
      </c>
      <c r="X35" s="96">
        <f>IF(AND(Q35=1,T35=1,I35&lt;&gt;"",W35&lt;&gt;""),IF(I35&lt;&gt;W35,1,0),0)</f>
        <v>0</v>
      </c>
      <c r="Y35" s="96">
        <f>IF(N35=0,0,IF(OR(Q35=0,T35=0,V35=0,AND(X35=1,J35&lt;&gt;"Sim")),1,0))</f>
        <v>0</v>
      </c>
      <c r="Z35" s="96">
        <f>IF(Q35=1,INDEX('CDFs'!$W$6:$W$505,P35),0)</f>
        <v>0</v>
      </c>
      <c r="AA35" s="96">
        <f>IF(AND(N35=1,Y35=0,Z35=1,J35="Sim"),1,0)</f>
        <v>0</v>
      </c>
      <c r="AB35" s="96">
        <f>IF(AND(N35=1,O35&lt;&gt;"",D35&lt;&gt;""),IF(COUNTIFS($O$6:O35,O35,$D$6:D35,D35)=1,1,0),0)</f>
        <v>0</v>
      </c>
      <c r="AC35" s="96">
        <f>IF(T35=1,INDEX('ITENS_MTR'!$AL$6:$AL$1005,S35),0)</f>
        <v>0</v>
      </c>
    </row>
    <row r="36">
      <c r="A36" s="89" t="inlineStr">
        <is>
          <t>VIN-000031</t>
        </is>
      </c>
      <c r="B36" s="91" t="n"/>
      <c r="C36" s="91" t="n"/>
      <c r="D36" s="94" t="str">
        <f>IF(T36=1,INDEX('ITENS_MTR'!$S$6:$S$1005,S36)&amp;"","")</f>
        <v/>
      </c>
      <c r="E36" s="94" t="str">
        <f>IF(T36=1,INDEX('ITENS_MTR'!$C$6:$C$1005,S36)&amp;"","")</f>
        <v/>
      </c>
      <c r="F36" s="98" t="n"/>
      <c r="G36" s="91" t="n"/>
      <c r="H36" s="93" t="str">
        <f>IF(N36=0,"",IF(NOT(ISNUMBER(F36)),"",IF(ISNUMBER(U36),F36*U36,"UNIDADE A CONFERIR")))</f>
        <v/>
      </c>
      <c r="I36" s="94" t="str">
        <f>IF(Q36=1,INDEX('CDFs'!$F$6:$F$505,P36)&amp;"","")</f>
        <v/>
      </c>
      <c r="J36" s="91" t="n"/>
      <c r="K36" s="91" t="n"/>
      <c r="L36" s="94" t="str">
        <f>IF(N36=0,"",IF(NOT(ISNUMBER(F36)),"Quantidade não informada",IF(F36&lt;=0,"Quantidade não positiva",IF(G36="","Unidade não informada",IF(NOT(ISNUMBER(H36)),"Unidade a conferir",IF(AC36=1,"REVISAR VÍNCULO: soma vinculada maior que a referência do item","OK"))))))</f>
        <v/>
      </c>
      <c r="M36" s="94" t="str">
        <f>IF(N36=0,"",IF(B36="","CDF não informado",IF(Q36=0,"REVISAR VÍNCULO: CDF inexistente",IF(C36="","Item não informado",IF(T36=0,"REVISAR VÍNCULO: item inexistente",IF(AND(X36=1,J36&lt;&gt;"Sim"),"REVISAR VÍNCULO: destinador diferente do MTR",IF(X36=1,"Destinador diferente do MTR (analisado)","OK")))))))</f>
        <v/>
      </c>
      <c r="N36" s="96">
        <f>IF(COUNTA(B36:C36,F36:G36,J36:K36)&gt;0,1,0)</f>
        <v>0</v>
      </c>
      <c r="O36" s="96" t="str">
        <f>IF(B36="","",TRIM(LEFT(B36,FIND(" |",B36&amp;" |")-1)))</f>
        <v/>
      </c>
      <c r="P36" s="96" t="str">
        <f>IF(O36="","",IFERROR(MATCH(O36,'CDFs'!$A$6:$A$505,0),""))</f>
        <v/>
      </c>
      <c r="Q36" s="96">
        <f>IF(P36="",0,IF(INDEX('CDFs'!$S$6:$S$505,P36)=1,1,0))</f>
        <v>0</v>
      </c>
      <c r="R36" s="96" t="str">
        <f>IF(C36="","",TRIM(LEFT(C36,FIND(" |",C36&amp;" |")-1)))</f>
        <v/>
      </c>
      <c r="S36" s="96" t="str">
        <f>IF(R36="","",IFERROR(MATCH(R36,'ITENS_MTR'!$A$6:$A$1005,0),""))</f>
        <v/>
      </c>
      <c r="T36" s="96">
        <f>IF(S36="",0,IF(INDEX('ITENS_MTR'!$R$6:$R$1005,S36)=1,1,0))</f>
        <v>0</v>
      </c>
      <c r="U36" s="96" t="str">
        <f>IF(G36="","",IFERROR(IF(ISNUMBER(INDEX(cfg_fac,MATCH(G36,cfg_units,0))),IF(INDEX(cfg_fac,MATCH(G36,cfg_units,0))&gt;0,INDEX(cfg_fac,MATCH(G36,cfg_units,0)),""),""),""))</f>
        <v/>
      </c>
      <c r="V36" s="96">
        <f>IF(AND(ISNUMBER(F36),ISNUMBER(H36)),IF(H36&gt;0,1,0),0)</f>
        <v>0</v>
      </c>
      <c r="W36" s="96" t="str">
        <f>IF(T36=1,INDEX('ITENS_MTR'!$AU$6:$AU$1005,S36)&amp;"","")</f>
        <v/>
      </c>
      <c r="X36" s="96">
        <f>IF(AND(Q36=1,T36=1,I36&lt;&gt;"",W36&lt;&gt;""),IF(I36&lt;&gt;W36,1,0),0)</f>
        <v>0</v>
      </c>
      <c r="Y36" s="96">
        <f>IF(N36=0,0,IF(OR(Q36=0,T36=0,V36=0,AND(X36=1,J36&lt;&gt;"Sim")),1,0))</f>
        <v>0</v>
      </c>
      <c r="Z36" s="96">
        <f>IF(Q36=1,INDEX('CDFs'!$W$6:$W$505,P36),0)</f>
        <v>0</v>
      </c>
      <c r="AA36" s="96">
        <f>IF(AND(N36=1,Y36=0,Z36=1,J36="Sim"),1,0)</f>
        <v>0</v>
      </c>
      <c r="AB36" s="96">
        <f>IF(AND(N36=1,O36&lt;&gt;"",D36&lt;&gt;""),IF(COUNTIFS($O$6:O36,O36,$D$6:D36,D36)=1,1,0),0)</f>
        <v>0</v>
      </c>
      <c r="AC36" s="96">
        <f>IF(T36=1,INDEX('ITENS_MTR'!$AL$6:$AL$1005,S36),0)</f>
        <v>0</v>
      </c>
    </row>
    <row r="37">
      <c r="A37" s="89" t="inlineStr">
        <is>
          <t>VIN-000032</t>
        </is>
      </c>
      <c r="B37" s="91" t="n"/>
      <c r="C37" s="91" t="n"/>
      <c r="D37" s="94" t="str">
        <f>IF(T37=1,INDEX('ITENS_MTR'!$S$6:$S$1005,S37)&amp;"","")</f>
        <v/>
      </c>
      <c r="E37" s="94" t="str">
        <f>IF(T37=1,INDEX('ITENS_MTR'!$C$6:$C$1005,S37)&amp;"","")</f>
        <v/>
      </c>
      <c r="F37" s="98" t="n"/>
      <c r="G37" s="91" t="n"/>
      <c r="H37" s="93" t="str">
        <f>IF(N37=0,"",IF(NOT(ISNUMBER(F37)),"",IF(ISNUMBER(U37),F37*U37,"UNIDADE A CONFERIR")))</f>
        <v/>
      </c>
      <c r="I37" s="94" t="str">
        <f>IF(Q37=1,INDEX('CDFs'!$F$6:$F$505,P37)&amp;"","")</f>
        <v/>
      </c>
      <c r="J37" s="91" t="n"/>
      <c r="K37" s="91" t="n"/>
      <c r="L37" s="94" t="str">
        <f>IF(N37=0,"",IF(NOT(ISNUMBER(F37)),"Quantidade não informada",IF(F37&lt;=0,"Quantidade não positiva",IF(G37="","Unidade não informada",IF(NOT(ISNUMBER(H37)),"Unidade a conferir",IF(AC37=1,"REVISAR VÍNCULO: soma vinculada maior que a referência do item","OK"))))))</f>
        <v/>
      </c>
      <c r="M37" s="94" t="str">
        <f>IF(N37=0,"",IF(B37="","CDF não informado",IF(Q37=0,"REVISAR VÍNCULO: CDF inexistente",IF(C37="","Item não informado",IF(T37=0,"REVISAR VÍNCULO: item inexistente",IF(AND(X37=1,J37&lt;&gt;"Sim"),"REVISAR VÍNCULO: destinador diferente do MTR",IF(X37=1,"Destinador diferente do MTR (analisado)","OK")))))))</f>
        <v/>
      </c>
      <c r="N37" s="96">
        <f>IF(COUNTA(B37:C37,F37:G37,J37:K37)&gt;0,1,0)</f>
        <v>0</v>
      </c>
      <c r="O37" s="96" t="str">
        <f>IF(B37="","",TRIM(LEFT(B37,FIND(" |",B37&amp;" |")-1)))</f>
        <v/>
      </c>
      <c r="P37" s="96" t="str">
        <f>IF(O37="","",IFERROR(MATCH(O37,'CDFs'!$A$6:$A$505,0),""))</f>
        <v/>
      </c>
      <c r="Q37" s="96">
        <f>IF(P37="",0,IF(INDEX('CDFs'!$S$6:$S$505,P37)=1,1,0))</f>
        <v>0</v>
      </c>
      <c r="R37" s="96" t="str">
        <f>IF(C37="","",TRIM(LEFT(C37,FIND(" |",C37&amp;" |")-1)))</f>
        <v/>
      </c>
      <c r="S37" s="96" t="str">
        <f>IF(R37="","",IFERROR(MATCH(R37,'ITENS_MTR'!$A$6:$A$1005,0),""))</f>
        <v/>
      </c>
      <c r="T37" s="96">
        <f>IF(S37="",0,IF(INDEX('ITENS_MTR'!$R$6:$R$1005,S37)=1,1,0))</f>
        <v>0</v>
      </c>
      <c r="U37" s="96" t="str">
        <f>IF(G37="","",IFERROR(IF(ISNUMBER(INDEX(cfg_fac,MATCH(G37,cfg_units,0))),IF(INDEX(cfg_fac,MATCH(G37,cfg_units,0))&gt;0,INDEX(cfg_fac,MATCH(G37,cfg_units,0)),""),""),""))</f>
        <v/>
      </c>
      <c r="V37" s="96">
        <f>IF(AND(ISNUMBER(F37),ISNUMBER(H37)),IF(H37&gt;0,1,0),0)</f>
        <v>0</v>
      </c>
      <c r="W37" s="96" t="str">
        <f>IF(T37=1,INDEX('ITENS_MTR'!$AU$6:$AU$1005,S37)&amp;"","")</f>
        <v/>
      </c>
      <c r="X37" s="96">
        <f>IF(AND(Q37=1,T37=1,I37&lt;&gt;"",W37&lt;&gt;""),IF(I37&lt;&gt;W37,1,0),0)</f>
        <v>0</v>
      </c>
      <c r="Y37" s="96">
        <f>IF(N37=0,0,IF(OR(Q37=0,T37=0,V37=0,AND(X37=1,J37&lt;&gt;"Sim")),1,0))</f>
        <v>0</v>
      </c>
      <c r="Z37" s="96">
        <f>IF(Q37=1,INDEX('CDFs'!$W$6:$W$505,P37),0)</f>
        <v>0</v>
      </c>
      <c r="AA37" s="96">
        <f>IF(AND(N37=1,Y37=0,Z37=1,J37="Sim"),1,0)</f>
        <v>0</v>
      </c>
      <c r="AB37" s="96">
        <f>IF(AND(N37=1,O37&lt;&gt;"",D37&lt;&gt;""),IF(COUNTIFS($O$6:O37,O37,$D$6:D37,D37)=1,1,0),0)</f>
        <v>0</v>
      </c>
      <c r="AC37" s="96">
        <f>IF(T37=1,INDEX('ITENS_MTR'!$AL$6:$AL$1005,S37),0)</f>
        <v>0</v>
      </c>
    </row>
    <row r="38">
      <c r="A38" s="89" t="inlineStr">
        <is>
          <t>VIN-000033</t>
        </is>
      </c>
      <c r="B38" s="91" t="n"/>
      <c r="C38" s="91" t="n"/>
      <c r="D38" s="94" t="str">
        <f>IF(T38=1,INDEX('ITENS_MTR'!$S$6:$S$1005,S38)&amp;"","")</f>
        <v/>
      </c>
      <c r="E38" s="94" t="str">
        <f>IF(T38=1,INDEX('ITENS_MTR'!$C$6:$C$1005,S38)&amp;"","")</f>
        <v/>
      </c>
      <c r="F38" s="98" t="n"/>
      <c r="G38" s="91" t="n"/>
      <c r="H38" s="93" t="str">
        <f>IF(N38=0,"",IF(NOT(ISNUMBER(F38)),"",IF(ISNUMBER(U38),F38*U38,"UNIDADE A CONFERIR")))</f>
        <v/>
      </c>
      <c r="I38" s="94" t="str">
        <f>IF(Q38=1,INDEX('CDFs'!$F$6:$F$505,P38)&amp;"","")</f>
        <v/>
      </c>
      <c r="J38" s="91" t="n"/>
      <c r="K38" s="91" t="n"/>
      <c r="L38" s="94" t="str">
        <f>IF(N38=0,"",IF(NOT(ISNUMBER(F38)),"Quantidade não informada",IF(F38&lt;=0,"Quantidade não positiva",IF(G38="","Unidade não informada",IF(NOT(ISNUMBER(H38)),"Unidade a conferir",IF(AC38=1,"REVISAR VÍNCULO: soma vinculada maior que a referência do item","OK"))))))</f>
        <v/>
      </c>
      <c r="M38" s="94" t="str">
        <f>IF(N38=0,"",IF(B38="","CDF não informado",IF(Q38=0,"REVISAR VÍNCULO: CDF inexistente",IF(C38="","Item não informado",IF(T38=0,"REVISAR VÍNCULO: item inexistente",IF(AND(X38=1,J38&lt;&gt;"Sim"),"REVISAR VÍNCULO: destinador diferente do MTR",IF(X38=1,"Destinador diferente do MTR (analisado)","OK")))))))</f>
        <v/>
      </c>
      <c r="N38" s="96">
        <f>IF(COUNTA(B38:C38,F38:G38,J38:K38)&gt;0,1,0)</f>
        <v>0</v>
      </c>
      <c r="O38" s="96" t="str">
        <f>IF(B38="","",TRIM(LEFT(B38,FIND(" |",B38&amp;" |")-1)))</f>
        <v/>
      </c>
      <c r="P38" s="96" t="str">
        <f>IF(O38="","",IFERROR(MATCH(O38,'CDFs'!$A$6:$A$505,0),""))</f>
        <v/>
      </c>
      <c r="Q38" s="96">
        <f>IF(P38="",0,IF(INDEX('CDFs'!$S$6:$S$505,P38)=1,1,0))</f>
        <v>0</v>
      </c>
      <c r="R38" s="96" t="str">
        <f>IF(C38="","",TRIM(LEFT(C38,FIND(" |",C38&amp;" |")-1)))</f>
        <v/>
      </c>
      <c r="S38" s="96" t="str">
        <f>IF(R38="","",IFERROR(MATCH(R38,'ITENS_MTR'!$A$6:$A$1005,0),""))</f>
        <v/>
      </c>
      <c r="T38" s="96">
        <f>IF(S38="",0,IF(INDEX('ITENS_MTR'!$R$6:$R$1005,S38)=1,1,0))</f>
        <v>0</v>
      </c>
      <c r="U38" s="96" t="str">
        <f>IF(G38="","",IFERROR(IF(ISNUMBER(INDEX(cfg_fac,MATCH(G38,cfg_units,0))),IF(INDEX(cfg_fac,MATCH(G38,cfg_units,0))&gt;0,INDEX(cfg_fac,MATCH(G38,cfg_units,0)),""),""),""))</f>
        <v/>
      </c>
      <c r="V38" s="96">
        <f>IF(AND(ISNUMBER(F38),ISNUMBER(H38)),IF(H38&gt;0,1,0),0)</f>
        <v>0</v>
      </c>
      <c r="W38" s="96" t="str">
        <f>IF(T38=1,INDEX('ITENS_MTR'!$AU$6:$AU$1005,S38)&amp;"","")</f>
        <v/>
      </c>
      <c r="X38" s="96">
        <f>IF(AND(Q38=1,T38=1,I38&lt;&gt;"",W38&lt;&gt;""),IF(I38&lt;&gt;W38,1,0),0)</f>
        <v>0</v>
      </c>
      <c r="Y38" s="96">
        <f>IF(N38=0,0,IF(OR(Q38=0,T38=0,V38=0,AND(X38=1,J38&lt;&gt;"Sim")),1,0))</f>
        <v>0</v>
      </c>
      <c r="Z38" s="96">
        <f>IF(Q38=1,INDEX('CDFs'!$W$6:$W$505,P38),0)</f>
        <v>0</v>
      </c>
      <c r="AA38" s="96">
        <f>IF(AND(N38=1,Y38=0,Z38=1,J38="Sim"),1,0)</f>
        <v>0</v>
      </c>
      <c r="AB38" s="96">
        <f>IF(AND(N38=1,O38&lt;&gt;"",D38&lt;&gt;""),IF(COUNTIFS($O$6:O38,O38,$D$6:D38,D38)=1,1,0),0)</f>
        <v>0</v>
      </c>
      <c r="AC38" s="96">
        <f>IF(T38=1,INDEX('ITENS_MTR'!$AL$6:$AL$1005,S38),0)</f>
        <v>0</v>
      </c>
    </row>
    <row r="39">
      <c r="A39" s="89" t="inlineStr">
        <is>
          <t>VIN-000034</t>
        </is>
      </c>
      <c r="B39" s="91" t="n"/>
      <c r="C39" s="91" t="n"/>
      <c r="D39" s="94" t="str">
        <f>IF(T39=1,INDEX('ITENS_MTR'!$S$6:$S$1005,S39)&amp;"","")</f>
        <v/>
      </c>
      <c r="E39" s="94" t="str">
        <f>IF(T39=1,INDEX('ITENS_MTR'!$C$6:$C$1005,S39)&amp;"","")</f>
        <v/>
      </c>
      <c r="F39" s="98" t="n"/>
      <c r="G39" s="91" t="n"/>
      <c r="H39" s="93" t="str">
        <f>IF(N39=0,"",IF(NOT(ISNUMBER(F39)),"",IF(ISNUMBER(U39),F39*U39,"UNIDADE A CONFERIR")))</f>
        <v/>
      </c>
      <c r="I39" s="94" t="str">
        <f>IF(Q39=1,INDEX('CDFs'!$F$6:$F$505,P39)&amp;"","")</f>
        <v/>
      </c>
      <c r="J39" s="91" t="n"/>
      <c r="K39" s="91" t="n"/>
      <c r="L39" s="94" t="str">
        <f>IF(N39=0,"",IF(NOT(ISNUMBER(F39)),"Quantidade não informada",IF(F39&lt;=0,"Quantidade não positiva",IF(G39="","Unidade não informada",IF(NOT(ISNUMBER(H39)),"Unidade a conferir",IF(AC39=1,"REVISAR VÍNCULO: soma vinculada maior que a referência do item","OK"))))))</f>
        <v/>
      </c>
      <c r="M39" s="94" t="str">
        <f>IF(N39=0,"",IF(B39="","CDF não informado",IF(Q39=0,"REVISAR VÍNCULO: CDF inexistente",IF(C39="","Item não informado",IF(T39=0,"REVISAR VÍNCULO: item inexistente",IF(AND(X39=1,J39&lt;&gt;"Sim"),"REVISAR VÍNCULO: destinador diferente do MTR",IF(X39=1,"Destinador diferente do MTR (analisado)","OK")))))))</f>
        <v/>
      </c>
      <c r="N39" s="96">
        <f>IF(COUNTA(B39:C39,F39:G39,J39:K39)&gt;0,1,0)</f>
        <v>0</v>
      </c>
      <c r="O39" s="96" t="str">
        <f>IF(B39="","",TRIM(LEFT(B39,FIND(" |",B39&amp;" |")-1)))</f>
        <v/>
      </c>
      <c r="P39" s="96" t="str">
        <f>IF(O39="","",IFERROR(MATCH(O39,'CDFs'!$A$6:$A$505,0),""))</f>
        <v/>
      </c>
      <c r="Q39" s="96">
        <f>IF(P39="",0,IF(INDEX('CDFs'!$S$6:$S$505,P39)=1,1,0))</f>
        <v>0</v>
      </c>
      <c r="R39" s="96" t="str">
        <f>IF(C39="","",TRIM(LEFT(C39,FIND(" |",C39&amp;" |")-1)))</f>
        <v/>
      </c>
      <c r="S39" s="96" t="str">
        <f>IF(R39="","",IFERROR(MATCH(R39,'ITENS_MTR'!$A$6:$A$1005,0),""))</f>
        <v/>
      </c>
      <c r="T39" s="96">
        <f>IF(S39="",0,IF(INDEX('ITENS_MTR'!$R$6:$R$1005,S39)=1,1,0))</f>
        <v>0</v>
      </c>
      <c r="U39" s="96" t="str">
        <f>IF(G39="","",IFERROR(IF(ISNUMBER(INDEX(cfg_fac,MATCH(G39,cfg_units,0))),IF(INDEX(cfg_fac,MATCH(G39,cfg_units,0))&gt;0,INDEX(cfg_fac,MATCH(G39,cfg_units,0)),""),""),""))</f>
        <v/>
      </c>
      <c r="V39" s="96">
        <f>IF(AND(ISNUMBER(F39),ISNUMBER(H39)),IF(H39&gt;0,1,0),0)</f>
        <v>0</v>
      </c>
      <c r="W39" s="96" t="str">
        <f>IF(T39=1,INDEX('ITENS_MTR'!$AU$6:$AU$1005,S39)&amp;"","")</f>
        <v/>
      </c>
      <c r="X39" s="96">
        <f>IF(AND(Q39=1,T39=1,I39&lt;&gt;"",W39&lt;&gt;""),IF(I39&lt;&gt;W39,1,0),0)</f>
        <v>0</v>
      </c>
      <c r="Y39" s="96">
        <f>IF(N39=0,0,IF(OR(Q39=0,T39=0,V39=0,AND(X39=1,J39&lt;&gt;"Sim")),1,0))</f>
        <v>0</v>
      </c>
      <c r="Z39" s="96">
        <f>IF(Q39=1,INDEX('CDFs'!$W$6:$W$505,P39),0)</f>
        <v>0</v>
      </c>
      <c r="AA39" s="96">
        <f>IF(AND(N39=1,Y39=0,Z39=1,J39="Sim"),1,0)</f>
        <v>0</v>
      </c>
      <c r="AB39" s="96">
        <f>IF(AND(N39=1,O39&lt;&gt;"",D39&lt;&gt;""),IF(COUNTIFS($O$6:O39,O39,$D$6:D39,D39)=1,1,0),0)</f>
        <v>0</v>
      </c>
      <c r="AC39" s="96">
        <f>IF(T39=1,INDEX('ITENS_MTR'!$AL$6:$AL$1005,S39),0)</f>
        <v>0</v>
      </c>
    </row>
    <row r="40">
      <c r="A40" s="89" t="inlineStr">
        <is>
          <t>VIN-000035</t>
        </is>
      </c>
      <c r="B40" s="91" t="n"/>
      <c r="C40" s="91" t="n"/>
      <c r="D40" s="94" t="str">
        <f>IF(T40=1,INDEX('ITENS_MTR'!$S$6:$S$1005,S40)&amp;"","")</f>
        <v/>
      </c>
      <c r="E40" s="94" t="str">
        <f>IF(T40=1,INDEX('ITENS_MTR'!$C$6:$C$1005,S40)&amp;"","")</f>
        <v/>
      </c>
      <c r="F40" s="98" t="n"/>
      <c r="G40" s="91" t="n"/>
      <c r="H40" s="93" t="str">
        <f>IF(N40=0,"",IF(NOT(ISNUMBER(F40)),"",IF(ISNUMBER(U40),F40*U40,"UNIDADE A CONFERIR")))</f>
        <v/>
      </c>
      <c r="I40" s="94" t="str">
        <f>IF(Q40=1,INDEX('CDFs'!$F$6:$F$505,P40)&amp;"","")</f>
        <v/>
      </c>
      <c r="J40" s="91" t="n"/>
      <c r="K40" s="91" t="n"/>
      <c r="L40" s="94" t="str">
        <f>IF(N40=0,"",IF(NOT(ISNUMBER(F40)),"Quantidade não informada",IF(F40&lt;=0,"Quantidade não positiva",IF(G40="","Unidade não informada",IF(NOT(ISNUMBER(H40)),"Unidade a conferir",IF(AC40=1,"REVISAR VÍNCULO: soma vinculada maior que a referência do item","OK"))))))</f>
        <v/>
      </c>
      <c r="M40" s="94" t="str">
        <f>IF(N40=0,"",IF(B40="","CDF não informado",IF(Q40=0,"REVISAR VÍNCULO: CDF inexistente",IF(C40="","Item não informado",IF(T40=0,"REVISAR VÍNCULO: item inexistente",IF(AND(X40=1,J40&lt;&gt;"Sim"),"REVISAR VÍNCULO: destinador diferente do MTR",IF(X40=1,"Destinador diferente do MTR (analisado)","OK")))))))</f>
        <v/>
      </c>
      <c r="N40" s="96">
        <f>IF(COUNTA(B40:C40,F40:G40,J40:K40)&gt;0,1,0)</f>
        <v>0</v>
      </c>
      <c r="O40" s="96" t="str">
        <f>IF(B40="","",TRIM(LEFT(B40,FIND(" |",B40&amp;" |")-1)))</f>
        <v/>
      </c>
      <c r="P40" s="96" t="str">
        <f>IF(O40="","",IFERROR(MATCH(O40,'CDFs'!$A$6:$A$505,0),""))</f>
        <v/>
      </c>
      <c r="Q40" s="96">
        <f>IF(P40="",0,IF(INDEX('CDFs'!$S$6:$S$505,P40)=1,1,0))</f>
        <v>0</v>
      </c>
      <c r="R40" s="96" t="str">
        <f>IF(C40="","",TRIM(LEFT(C40,FIND(" |",C40&amp;" |")-1)))</f>
        <v/>
      </c>
      <c r="S40" s="96" t="str">
        <f>IF(R40="","",IFERROR(MATCH(R40,'ITENS_MTR'!$A$6:$A$1005,0),""))</f>
        <v/>
      </c>
      <c r="T40" s="96">
        <f>IF(S40="",0,IF(INDEX('ITENS_MTR'!$R$6:$R$1005,S40)=1,1,0))</f>
        <v>0</v>
      </c>
      <c r="U40" s="96" t="str">
        <f>IF(G40="","",IFERROR(IF(ISNUMBER(INDEX(cfg_fac,MATCH(G40,cfg_units,0))),IF(INDEX(cfg_fac,MATCH(G40,cfg_units,0))&gt;0,INDEX(cfg_fac,MATCH(G40,cfg_units,0)),""),""),""))</f>
        <v/>
      </c>
      <c r="V40" s="96">
        <f>IF(AND(ISNUMBER(F40),ISNUMBER(H40)),IF(H40&gt;0,1,0),0)</f>
        <v>0</v>
      </c>
      <c r="W40" s="96" t="str">
        <f>IF(T40=1,INDEX('ITENS_MTR'!$AU$6:$AU$1005,S40)&amp;"","")</f>
        <v/>
      </c>
      <c r="X40" s="96">
        <f>IF(AND(Q40=1,T40=1,I40&lt;&gt;"",W40&lt;&gt;""),IF(I40&lt;&gt;W40,1,0),0)</f>
        <v>0</v>
      </c>
      <c r="Y40" s="96">
        <f>IF(N40=0,0,IF(OR(Q40=0,T40=0,V40=0,AND(X40=1,J40&lt;&gt;"Sim")),1,0))</f>
        <v>0</v>
      </c>
      <c r="Z40" s="96">
        <f>IF(Q40=1,INDEX('CDFs'!$W$6:$W$505,P40),0)</f>
        <v>0</v>
      </c>
      <c r="AA40" s="96">
        <f>IF(AND(N40=1,Y40=0,Z40=1,J40="Sim"),1,0)</f>
        <v>0</v>
      </c>
      <c r="AB40" s="96">
        <f>IF(AND(N40=1,O40&lt;&gt;"",D40&lt;&gt;""),IF(COUNTIFS($O$6:O40,O40,$D$6:D40,D40)=1,1,0),0)</f>
        <v>0</v>
      </c>
      <c r="AC40" s="96">
        <f>IF(T40=1,INDEX('ITENS_MTR'!$AL$6:$AL$1005,S40),0)</f>
        <v>0</v>
      </c>
    </row>
    <row r="41">
      <c r="A41" s="89" t="inlineStr">
        <is>
          <t>VIN-000036</t>
        </is>
      </c>
      <c r="B41" s="91" t="n"/>
      <c r="C41" s="91" t="n"/>
      <c r="D41" s="94" t="str">
        <f>IF(T41=1,INDEX('ITENS_MTR'!$S$6:$S$1005,S41)&amp;"","")</f>
        <v/>
      </c>
      <c r="E41" s="94" t="str">
        <f>IF(T41=1,INDEX('ITENS_MTR'!$C$6:$C$1005,S41)&amp;"","")</f>
        <v/>
      </c>
      <c r="F41" s="98" t="n"/>
      <c r="G41" s="91" t="n"/>
      <c r="H41" s="93" t="str">
        <f>IF(N41=0,"",IF(NOT(ISNUMBER(F41)),"",IF(ISNUMBER(U41),F41*U41,"UNIDADE A CONFERIR")))</f>
        <v/>
      </c>
      <c r="I41" s="94" t="str">
        <f>IF(Q41=1,INDEX('CDFs'!$F$6:$F$505,P41)&amp;"","")</f>
        <v/>
      </c>
      <c r="J41" s="91" t="n"/>
      <c r="K41" s="91" t="n"/>
      <c r="L41" s="94" t="str">
        <f>IF(N41=0,"",IF(NOT(ISNUMBER(F41)),"Quantidade não informada",IF(F41&lt;=0,"Quantidade não positiva",IF(G41="","Unidade não informada",IF(NOT(ISNUMBER(H41)),"Unidade a conferir",IF(AC41=1,"REVISAR VÍNCULO: soma vinculada maior que a referência do item","OK"))))))</f>
        <v/>
      </c>
      <c r="M41" s="94" t="str">
        <f>IF(N41=0,"",IF(B41="","CDF não informado",IF(Q41=0,"REVISAR VÍNCULO: CDF inexistente",IF(C41="","Item não informado",IF(T41=0,"REVISAR VÍNCULO: item inexistente",IF(AND(X41=1,J41&lt;&gt;"Sim"),"REVISAR VÍNCULO: destinador diferente do MTR",IF(X41=1,"Destinador diferente do MTR (analisado)","OK")))))))</f>
        <v/>
      </c>
      <c r="N41" s="96">
        <f>IF(COUNTA(B41:C41,F41:G41,J41:K41)&gt;0,1,0)</f>
        <v>0</v>
      </c>
      <c r="O41" s="96" t="str">
        <f>IF(B41="","",TRIM(LEFT(B41,FIND(" |",B41&amp;" |")-1)))</f>
        <v/>
      </c>
      <c r="P41" s="96" t="str">
        <f>IF(O41="","",IFERROR(MATCH(O41,'CDFs'!$A$6:$A$505,0),""))</f>
        <v/>
      </c>
      <c r="Q41" s="96">
        <f>IF(P41="",0,IF(INDEX('CDFs'!$S$6:$S$505,P41)=1,1,0))</f>
        <v>0</v>
      </c>
      <c r="R41" s="96" t="str">
        <f>IF(C41="","",TRIM(LEFT(C41,FIND(" |",C41&amp;" |")-1)))</f>
        <v/>
      </c>
      <c r="S41" s="96" t="str">
        <f>IF(R41="","",IFERROR(MATCH(R41,'ITENS_MTR'!$A$6:$A$1005,0),""))</f>
        <v/>
      </c>
      <c r="T41" s="96">
        <f>IF(S41="",0,IF(INDEX('ITENS_MTR'!$R$6:$R$1005,S41)=1,1,0))</f>
        <v>0</v>
      </c>
      <c r="U41" s="96" t="str">
        <f>IF(G41="","",IFERROR(IF(ISNUMBER(INDEX(cfg_fac,MATCH(G41,cfg_units,0))),IF(INDEX(cfg_fac,MATCH(G41,cfg_units,0))&gt;0,INDEX(cfg_fac,MATCH(G41,cfg_units,0)),""),""),""))</f>
        <v/>
      </c>
      <c r="V41" s="96">
        <f>IF(AND(ISNUMBER(F41),ISNUMBER(H41)),IF(H41&gt;0,1,0),0)</f>
        <v>0</v>
      </c>
      <c r="W41" s="96" t="str">
        <f>IF(T41=1,INDEX('ITENS_MTR'!$AU$6:$AU$1005,S41)&amp;"","")</f>
        <v/>
      </c>
      <c r="X41" s="96">
        <f>IF(AND(Q41=1,T41=1,I41&lt;&gt;"",W41&lt;&gt;""),IF(I41&lt;&gt;W41,1,0),0)</f>
        <v>0</v>
      </c>
      <c r="Y41" s="96">
        <f>IF(N41=0,0,IF(OR(Q41=0,T41=0,V41=0,AND(X41=1,J41&lt;&gt;"Sim")),1,0))</f>
        <v>0</v>
      </c>
      <c r="Z41" s="96">
        <f>IF(Q41=1,INDEX('CDFs'!$W$6:$W$505,P41),0)</f>
        <v>0</v>
      </c>
      <c r="AA41" s="96">
        <f>IF(AND(N41=1,Y41=0,Z41=1,J41="Sim"),1,0)</f>
        <v>0</v>
      </c>
      <c r="AB41" s="96">
        <f>IF(AND(N41=1,O41&lt;&gt;"",D41&lt;&gt;""),IF(COUNTIFS($O$6:O41,O41,$D$6:D41,D41)=1,1,0),0)</f>
        <v>0</v>
      </c>
      <c r="AC41" s="96">
        <f>IF(T41=1,INDEX('ITENS_MTR'!$AL$6:$AL$1005,S41),0)</f>
        <v>0</v>
      </c>
    </row>
    <row r="42">
      <c r="A42" s="89" t="inlineStr">
        <is>
          <t>VIN-000037</t>
        </is>
      </c>
      <c r="B42" s="91" t="n"/>
      <c r="C42" s="91" t="n"/>
      <c r="D42" s="94" t="str">
        <f>IF(T42=1,INDEX('ITENS_MTR'!$S$6:$S$1005,S42)&amp;"","")</f>
        <v/>
      </c>
      <c r="E42" s="94" t="str">
        <f>IF(T42=1,INDEX('ITENS_MTR'!$C$6:$C$1005,S42)&amp;"","")</f>
        <v/>
      </c>
      <c r="F42" s="98" t="n"/>
      <c r="G42" s="91" t="n"/>
      <c r="H42" s="93" t="str">
        <f>IF(N42=0,"",IF(NOT(ISNUMBER(F42)),"",IF(ISNUMBER(U42),F42*U42,"UNIDADE A CONFERIR")))</f>
        <v/>
      </c>
      <c r="I42" s="94" t="str">
        <f>IF(Q42=1,INDEX('CDFs'!$F$6:$F$505,P42)&amp;"","")</f>
        <v/>
      </c>
      <c r="J42" s="91" t="n"/>
      <c r="K42" s="91" t="n"/>
      <c r="L42" s="94" t="str">
        <f>IF(N42=0,"",IF(NOT(ISNUMBER(F42)),"Quantidade não informada",IF(F42&lt;=0,"Quantidade não positiva",IF(G42="","Unidade não informada",IF(NOT(ISNUMBER(H42)),"Unidade a conferir",IF(AC42=1,"REVISAR VÍNCULO: soma vinculada maior que a referência do item","OK"))))))</f>
        <v/>
      </c>
      <c r="M42" s="94" t="str">
        <f>IF(N42=0,"",IF(B42="","CDF não informado",IF(Q42=0,"REVISAR VÍNCULO: CDF inexistente",IF(C42="","Item não informado",IF(T42=0,"REVISAR VÍNCULO: item inexistente",IF(AND(X42=1,J42&lt;&gt;"Sim"),"REVISAR VÍNCULO: destinador diferente do MTR",IF(X42=1,"Destinador diferente do MTR (analisado)","OK")))))))</f>
        <v/>
      </c>
      <c r="N42" s="96">
        <f>IF(COUNTA(B42:C42,F42:G42,J42:K42)&gt;0,1,0)</f>
        <v>0</v>
      </c>
      <c r="O42" s="96" t="str">
        <f>IF(B42="","",TRIM(LEFT(B42,FIND(" |",B42&amp;" |")-1)))</f>
        <v/>
      </c>
      <c r="P42" s="96" t="str">
        <f>IF(O42="","",IFERROR(MATCH(O42,'CDFs'!$A$6:$A$505,0),""))</f>
        <v/>
      </c>
      <c r="Q42" s="96">
        <f>IF(P42="",0,IF(INDEX('CDFs'!$S$6:$S$505,P42)=1,1,0))</f>
        <v>0</v>
      </c>
      <c r="R42" s="96" t="str">
        <f>IF(C42="","",TRIM(LEFT(C42,FIND(" |",C42&amp;" |")-1)))</f>
        <v/>
      </c>
      <c r="S42" s="96" t="str">
        <f>IF(R42="","",IFERROR(MATCH(R42,'ITENS_MTR'!$A$6:$A$1005,0),""))</f>
        <v/>
      </c>
      <c r="T42" s="96">
        <f>IF(S42="",0,IF(INDEX('ITENS_MTR'!$R$6:$R$1005,S42)=1,1,0))</f>
        <v>0</v>
      </c>
      <c r="U42" s="96" t="str">
        <f>IF(G42="","",IFERROR(IF(ISNUMBER(INDEX(cfg_fac,MATCH(G42,cfg_units,0))),IF(INDEX(cfg_fac,MATCH(G42,cfg_units,0))&gt;0,INDEX(cfg_fac,MATCH(G42,cfg_units,0)),""),""),""))</f>
        <v/>
      </c>
      <c r="V42" s="96">
        <f>IF(AND(ISNUMBER(F42),ISNUMBER(H42)),IF(H42&gt;0,1,0),0)</f>
        <v>0</v>
      </c>
      <c r="W42" s="96" t="str">
        <f>IF(T42=1,INDEX('ITENS_MTR'!$AU$6:$AU$1005,S42)&amp;"","")</f>
        <v/>
      </c>
      <c r="X42" s="96">
        <f>IF(AND(Q42=1,T42=1,I42&lt;&gt;"",W42&lt;&gt;""),IF(I42&lt;&gt;W42,1,0),0)</f>
        <v>0</v>
      </c>
      <c r="Y42" s="96">
        <f>IF(N42=0,0,IF(OR(Q42=0,T42=0,V42=0,AND(X42=1,J42&lt;&gt;"Sim")),1,0))</f>
        <v>0</v>
      </c>
      <c r="Z42" s="96">
        <f>IF(Q42=1,INDEX('CDFs'!$W$6:$W$505,P42),0)</f>
        <v>0</v>
      </c>
      <c r="AA42" s="96">
        <f>IF(AND(N42=1,Y42=0,Z42=1,J42="Sim"),1,0)</f>
        <v>0</v>
      </c>
      <c r="AB42" s="96">
        <f>IF(AND(N42=1,O42&lt;&gt;"",D42&lt;&gt;""),IF(COUNTIFS($O$6:O42,O42,$D$6:D42,D42)=1,1,0),0)</f>
        <v>0</v>
      </c>
      <c r="AC42" s="96">
        <f>IF(T42=1,INDEX('ITENS_MTR'!$AL$6:$AL$1005,S42),0)</f>
        <v>0</v>
      </c>
    </row>
    <row r="43">
      <c r="A43" s="89" t="inlineStr">
        <is>
          <t>VIN-000038</t>
        </is>
      </c>
      <c r="B43" s="91" t="n"/>
      <c r="C43" s="91" t="n"/>
      <c r="D43" s="94" t="str">
        <f>IF(T43=1,INDEX('ITENS_MTR'!$S$6:$S$1005,S43)&amp;"","")</f>
        <v/>
      </c>
      <c r="E43" s="94" t="str">
        <f>IF(T43=1,INDEX('ITENS_MTR'!$C$6:$C$1005,S43)&amp;"","")</f>
        <v/>
      </c>
      <c r="F43" s="98" t="n"/>
      <c r="G43" s="91" t="n"/>
      <c r="H43" s="93" t="str">
        <f>IF(N43=0,"",IF(NOT(ISNUMBER(F43)),"",IF(ISNUMBER(U43),F43*U43,"UNIDADE A CONFERIR")))</f>
        <v/>
      </c>
      <c r="I43" s="94" t="str">
        <f>IF(Q43=1,INDEX('CDFs'!$F$6:$F$505,P43)&amp;"","")</f>
        <v/>
      </c>
      <c r="J43" s="91" t="n"/>
      <c r="K43" s="91" t="n"/>
      <c r="L43" s="94" t="str">
        <f>IF(N43=0,"",IF(NOT(ISNUMBER(F43)),"Quantidade não informada",IF(F43&lt;=0,"Quantidade não positiva",IF(G43="","Unidade não informada",IF(NOT(ISNUMBER(H43)),"Unidade a conferir",IF(AC43=1,"REVISAR VÍNCULO: soma vinculada maior que a referência do item","OK"))))))</f>
        <v/>
      </c>
      <c r="M43" s="94" t="str">
        <f>IF(N43=0,"",IF(B43="","CDF não informado",IF(Q43=0,"REVISAR VÍNCULO: CDF inexistente",IF(C43="","Item não informado",IF(T43=0,"REVISAR VÍNCULO: item inexistente",IF(AND(X43=1,J43&lt;&gt;"Sim"),"REVISAR VÍNCULO: destinador diferente do MTR",IF(X43=1,"Destinador diferente do MTR (analisado)","OK")))))))</f>
        <v/>
      </c>
      <c r="N43" s="96">
        <f>IF(COUNTA(B43:C43,F43:G43,J43:K43)&gt;0,1,0)</f>
        <v>0</v>
      </c>
      <c r="O43" s="96" t="str">
        <f>IF(B43="","",TRIM(LEFT(B43,FIND(" |",B43&amp;" |")-1)))</f>
        <v/>
      </c>
      <c r="P43" s="96" t="str">
        <f>IF(O43="","",IFERROR(MATCH(O43,'CDFs'!$A$6:$A$505,0),""))</f>
        <v/>
      </c>
      <c r="Q43" s="96">
        <f>IF(P43="",0,IF(INDEX('CDFs'!$S$6:$S$505,P43)=1,1,0))</f>
        <v>0</v>
      </c>
      <c r="R43" s="96" t="str">
        <f>IF(C43="","",TRIM(LEFT(C43,FIND(" |",C43&amp;" |")-1)))</f>
        <v/>
      </c>
      <c r="S43" s="96" t="str">
        <f>IF(R43="","",IFERROR(MATCH(R43,'ITENS_MTR'!$A$6:$A$1005,0),""))</f>
        <v/>
      </c>
      <c r="T43" s="96">
        <f>IF(S43="",0,IF(INDEX('ITENS_MTR'!$R$6:$R$1005,S43)=1,1,0))</f>
        <v>0</v>
      </c>
      <c r="U43" s="96" t="str">
        <f>IF(G43="","",IFERROR(IF(ISNUMBER(INDEX(cfg_fac,MATCH(G43,cfg_units,0))),IF(INDEX(cfg_fac,MATCH(G43,cfg_units,0))&gt;0,INDEX(cfg_fac,MATCH(G43,cfg_units,0)),""),""),""))</f>
        <v/>
      </c>
      <c r="V43" s="96">
        <f>IF(AND(ISNUMBER(F43),ISNUMBER(H43)),IF(H43&gt;0,1,0),0)</f>
        <v>0</v>
      </c>
      <c r="W43" s="96" t="str">
        <f>IF(T43=1,INDEX('ITENS_MTR'!$AU$6:$AU$1005,S43)&amp;"","")</f>
        <v/>
      </c>
      <c r="X43" s="96">
        <f>IF(AND(Q43=1,T43=1,I43&lt;&gt;"",W43&lt;&gt;""),IF(I43&lt;&gt;W43,1,0),0)</f>
        <v>0</v>
      </c>
      <c r="Y43" s="96">
        <f>IF(N43=0,0,IF(OR(Q43=0,T43=0,V43=0,AND(X43=1,J43&lt;&gt;"Sim")),1,0))</f>
        <v>0</v>
      </c>
      <c r="Z43" s="96">
        <f>IF(Q43=1,INDEX('CDFs'!$W$6:$W$505,P43),0)</f>
        <v>0</v>
      </c>
      <c r="AA43" s="96">
        <f>IF(AND(N43=1,Y43=0,Z43=1,J43="Sim"),1,0)</f>
        <v>0</v>
      </c>
      <c r="AB43" s="96">
        <f>IF(AND(N43=1,O43&lt;&gt;"",D43&lt;&gt;""),IF(COUNTIFS($O$6:O43,O43,$D$6:D43,D43)=1,1,0),0)</f>
        <v>0</v>
      </c>
      <c r="AC43" s="96">
        <f>IF(T43=1,INDEX('ITENS_MTR'!$AL$6:$AL$1005,S43),0)</f>
        <v>0</v>
      </c>
    </row>
    <row r="44">
      <c r="A44" s="89" t="inlineStr">
        <is>
          <t>VIN-000039</t>
        </is>
      </c>
      <c r="B44" s="91" t="n"/>
      <c r="C44" s="91" t="n"/>
      <c r="D44" s="94" t="str">
        <f>IF(T44=1,INDEX('ITENS_MTR'!$S$6:$S$1005,S44)&amp;"","")</f>
        <v/>
      </c>
      <c r="E44" s="94" t="str">
        <f>IF(T44=1,INDEX('ITENS_MTR'!$C$6:$C$1005,S44)&amp;"","")</f>
        <v/>
      </c>
      <c r="F44" s="98" t="n"/>
      <c r="G44" s="91" t="n"/>
      <c r="H44" s="93" t="str">
        <f>IF(N44=0,"",IF(NOT(ISNUMBER(F44)),"",IF(ISNUMBER(U44),F44*U44,"UNIDADE A CONFERIR")))</f>
        <v/>
      </c>
      <c r="I44" s="94" t="str">
        <f>IF(Q44=1,INDEX('CDFs'!$F$6:$F$505,P44)&amp;"","")</f>
        <v/>
      </c>
      <c r="J44" s="91" t="n"/>
      <c r="K44" s="91" t="n"/>
      <c r="L44" s="94" t="str">
        <f>IF(N44=0,"",IF(NOT(ISNUMBER(F44)),"Quantidade não informada",IF(F44&lt;=0,"Quantidade não positiva",IF(G44="","Unidade não informada",IF(NOT(ISNUMBER(H44)),"Unidade a conferir",IF(AC44=1,"REVISAR VÍNCULO: soma vinculada maior que a referência do item","OK"))))))</f>
        <v/>
      </c>
      <c r="M44" s="94" t="str">
        <f>IF(N44=0,"",IF(B44="","CDF não informado",IF(Q44=0,"REVISAR VÍNCULO: CDF inexistente",IF(C44="","Item não informado",IF(T44=0,"REVISAR VÍNCULO: item inexistente",IF(AND(X44=1,J44&lt;&gt;"Sim"),"REVISAR VÍNCULO: destinador diferente do MTR",IF(X44=1,"Destinador diferente do MTR (analisado)","OK")))))))</f>
        <v/>
      </c>
      <c r="N44" s="96">
        <f>IF(COUNTA(B44:C44,F44:G44,J44:K44)&gt;0,1,0)</f>
        <v>0</v>
      </c>
      <c r="O44" s="96" t="str">
        <f>IF(B44="","",TRIM(LEFT(B44,FIND(" |",B44&amp;" |")-1)))</f>
        <v/>
      </c>
      <c r="P44" s="96" t="str">
        <f>IF(O44="","",IFERROR(MATCH(O44,'CDFs'!$A$6:$A$505,0),""))</f>
        <v/>
      </c>
      <c r="Q44" s="96">
        <f>IF(P44="",0,IF(INDEX('CDFs'!$S$6:$S$505,P44)=1,1,0))</f>
        <v>0</v>
      </c>
      <c r="R44" s="96" t="str">
        <f>IF(C44="","",TRIM(LEFT(C44,FIND(" |",C44&amp;" |")-1)))</f>
        <v/>
      </c>
      <c r="S44" s="96" t="str">
        <f>IF(R44="","",IFERROR(MATCH(R44,'ITENS_MTR'!$A$6:$A$1005,0),""))</f>
        <v/>
      </c>
      <c r="T44" s="96">
        <f>IF(S44="",0,IF(INDEX('ITENS_MTR'!$R$6:$R$1005,S44)=1,1,0))</f>
        <v>0</v>
      </c>
      <c r="U44" s="96" t="str">
        <f>IF(G44="","",IFERROR(IF(ISNUMBER(INDEX(cfg_fac,MATCH(G44,cfg_units,0))),IF(INDEX(cfg_fac,MATCH(G44,cfg_units,0))&gt;0,INDEX(cfg_fac,MATCH(G44,cfg_units,0)),""),""),""))</f>
        <v/>
      </c>
      <c r="V44" s="96">
        <f>IF(AND(ISNUMBER(F44),ISNUMBER(H44)),IF(H44&gt;0,1,0),0)</f>
        <v>0</v>
      </c>
      <c r="W44" s="96" t="str">
        <f>IF(T44=1,INDEX('ITENS_MTR'!$AU$6:$AU$1005,S44)&amp;"","")</f>
        <v/>
      </c>
      <c r="X44" s="96">
        <f>IF(AND(Q44=1,T44=1,I44&lt;&gt;"",W44&lt;&gt;""),IF(I44&lt;&gt;W44,1,0),0)</f>
        <v>0</v>
      </c>
      <c r="Y44" s="96">
        <f>IF(N44=0,0,IF(OR(Q44=0,T44=0,V44=0,AND(X44=1,J44&lt;&gt;"Sim")),1,0))</f>
        <v>0</v>
      </c>
      <c r="Z44" s="96">
        <f>IF(Q44=1,INDEX('CDFs'!$W$6:$W$505,P44),0)</f>
        <v>0</v>
      </c>
      <c r="AA44" s="96">
        <f>IF(AND(N44=1,Y44=0,Z44=1,J44="Sim"),1,0)</f>
        <v>0</v>
      </c>
      <c r="AB44" s="96">
        <f>IF(AND(N44=1,O44&lt;&gt;"",D44&lt;&gt;""),IF(COUNTIFS($O$6:O44,O44,$D$6:D44,D44)=1,1,0),0)</f>
        <v>0</v>
      </c>
      <c r="AC44" s="96">
        <f>IF(T44=1,INDEX('ITENS_MTR'!$AL$6:$AL$1005,S44),0)</f>
        <v>0</v>
      </c>
    </row>
    <row r="45">
      <c r="A45" s="89" t="inlineStr">
        <is>
          <t>VIN-000040</t>
        </is>
      </c>
      <c r="B45" s="91" t="n"/>
      <c r="C45" s="91" t="n"/>
      <c r="D45" s="94" t="str">
        <f>IF(T45=1,INDEX('ITENS_MTR'!$S$6:$S$1005,S45)&amp;"","")</f>
        <v/>
      </c>
      <c r="E45" s="94" t="str">
        <f>IF(T45=1,INDEX('ITENS_MTR'!$C$6:$C$1005,S45)&amp;"","")</f>
        <v/>
      </c>
      <c r="F45" s="98" t="n"/>
      <c r="G45" s="91" t="n"/>
      <c r="H45" s="93" t="str">
        <f>IF(N45=0,"",IF(NOT(ISNUMBER(F45)),"",IF(ISNUMBER(U45),F45*U45,"UNIDADE A CONFERIR")))</f>
        <v/>
      </c>
      <c r="I45" s="94" t="str">
        <f>IF(Q45=1,INDEX('CDFs'!$F$6:$F$505,P45)&amp;"","")</f>
        <v/>
      </c>
      <c r="J45" s="91" t="n"/>
      <c r="K45" s="91" t="n"/>
      <c r="L45" s="94" t="str">
        <f>IF(N45=0,"",IF(NOT(ISNUMBER(F45)),"Quantidade não informada",IF(F45&lt;=0,"Quantidade não positiva",IF(G45="","Unidade não informada",IF(NOT(ISNUMBER(H45)),"Unidade a conferir",IF(AC45=1,"REVISAR VÍNCULO: soma vinculada maior que a referência do item","OK"))))))</f>
        <v/>
      </c>
      <c r="M45" s="94" t="str">
        <f>IF(N45=0,"",IF(B45="","CDF não informado",IF(Q45=0,"REVISAR VÍNCULO: CDF inexistente",IF(C45="","Item não informado",IF(T45=0,"REVISAR VÍNCULO: item inexistente",IF(AND(X45=1,J45&lt;&gt;"Sim"),"REVISAR VÍNCULO: destinador diferente do MTR",IF(X45=1,"Destinador diferente do MTR (analisado)","OK")))))))</f>
        <v/>
      </c>
      <c r="N45" s="96">
        <f>IF(COUNTA(B45:C45,F45:G45,J45:K45)&gt;0,1,0)</f>
        <v>0</v>
      </c>
      <c r="O45" s="96" t="str">
        <f>IF(B45="","",TRIM(LEFT(B45,FIND(" |",B45&amp;" |")-1)))</f>
        <v/>
      </c>
      <c r="P45" s="96" t="str">
        <f>IF(O45="","",IFERROR(MATCH(O45,'CDFs'!$A$6:$A$505,0),""))</f>
        <v/>
      </c>
      <c r="Q45" s="96">
        <f>IF(P45="",0,IF(INDEX('CDFs'!$S$6:$S$505,P45)=1,1,0))</f>
        <v>0</v>
      </c>
      <c r="R45" s="96" t="str">
        <f>IF(C45="","",TRIM(LEFT(C45,FIND(" |",C45&amp;" |")-1)))</f>
        <v/>
      </c>
      <c r="S45" s="96" t="str">
        <f>IF(R45="","",IFERROR(MATCH(R45,'ITENS_MTR'!$A$6:$A$1005,0),""))</f>
        <v/>
      </c>
      <c r="T45" s="96">
        <f>IF(S45="",0,IF(INDEX('ITENS_MTR'!$R$6:$R$1005,S45)=1,1,0))</f>
        <v>0</v>
      </c>
      <c r="U45" s="96" t="str">
        <f>IF(G45="","",IFERROR(IF(ISNUMBER(INDEX(cfg_fac,MATCH(G45,cfg_units,0))),IF(INDEX(cfg_fac,MATCH(G45,cfg_units,0))&gt;0,INDEX(cfg_fac,MATCH(G45,cfg_units,0)),""),""),""))</f>
        <v/>
      </c>
      <c r="V45" s="96">
        <f>IF(AND(ISNUMBER(F45),ISNUMBER(H45)),IF(H45&gt;0,1,0),0)</f>
        <v>0</v>
      </c>
      <c r="W45" s="96" t="str">
        <f>IF(T45=1,INDEX('ITENS_MTR'!$AU$6:$AU$1005,S45)&amp;"","")</f>
        <v/>
      </c>
      <c r="X45" s="96">
        <f>IF(AND(Q45=1,T45=1,I45&lt;&gt;"",W45&lt;&gt;""),IF(I45&lt;&gt;W45,1,0),0)</f>
        <v>0</v>
      </c>
      <c r="Y45" s="96">
        <f>IF(N45=0,0,IF(OR(Q45=0,T45=0,V45=0,AND(X45=1,J45&lt;&gt;"Sim")),1,0))</f>
        <v>0</v>
      </c>
      <c r="Z45" s="96">
        <f>IF(Q45=1,INDEX('CDFs'!$W$6:$W$505,P45),0)</f>
        <v>0</v>
      </c>
      <c r="AA45" s="96">
        <f>IF(AND(N45=1,Y45=0,Z45=1,J45="Sim"),1,0)</f>
        <v>0</v>
      </c>
      <c r="AB45" s="96">
        <f>IF(AND(N45=1,O45&lt;&gt;"",D45&lt;&gt;""),IF(COUNTIFS($O$6:O45,O45,$D$6:D45,D45)=1,1,0),0)</f>
        <v>0</v>
      </c>
      <c r="AC45" s="96">
        <f>IF(T45=1,INDEX('ITENS_MTR'!$AL$6:$AL$1005,S45),0)</f>
        <v>0</v>
      </c>
    </row>
    <row r="46">
      <c r="A46" s="89" t="inlineStr">
        <is>
          <t>VIN-000041</t>
        </is>
      </c>
      <c r="B46" s="91" t="n"/>
      <c r="C46" s="91" t="n"/>
      <c r="D46" s="94" t="str">
        <f>IF(T46=1,INDEX('ITENS_MTR'!$S$6:$S$1005,S46)&amp;"","")</f>
        <v/>
      </c>
      <c r="E46" s="94" t="str">
        <f>IF(T46=1,INDEX('ITENS_MTR'!$C$6:$C$1005,S46)&amp;"","")</f>
        <v/>
      </c>
      <c r="F46" s="98" t="n"/>
      <c r="G46" s="91" t="n"/>
      <c r="H46" s="93" t="str">
        <f>IF(N46=0,"",IF(NOT(ISNUMBER(F46)),"",IF(ISNUMBER(U46),F46*U46,"UNIDADE A CONFERIR")))</f>
        <v/>
      </c>
      <c r="I46" s="94" t="str">
        <f>IF(Q46=1,INDEX('CDFs'!$F$6:$F$505,P46)&amp;"","")</f>
        <v/>
      </c>
      <c r="J46" s="91" t="n"/>
      <c r="K46" s="91" t="n"/>
      <c r="L46" s="94" t="str">
        <f>IF(N46=0,"",IF(NOT(ISNUMBER(F46)),"Quantidade não informada",IF(F46&lt;=0,"Quantidade não positiva",IF(G46="","Unidade não informada",IF(NOT(ISNUMBER(H46)),"Unidade a conferir",IF(AC46=1,"REVISAR VÍNCULO: soma vinculada maior que a referência do item","OK"))))))</f>
        <v/>
      </c>
      <c r="M46" s="94" t="str">
        <f>IF(N46=0,"",IF(B46="","CDF não informado",IF(Q46=0,"REVISAR VÍNCULO: CDF inexistente",IF(C46="","Item não informado",IF(T46=0,"REVISAR VÍNCULO: item inexistente",IF(AND(X46=1,J46&lt;&gt;"Sim"),"REVISAR VÍNCULO: destinador diferente do MTR",IF(X46=1,"Destinador diferente do MTR (analisado)","OK")))))))</f>
        <v/>
      </c>
      <c r="N46" s="96">
        <f>IF(COUNTA(B46:C46,F46:G46,J46:K46)&gt;0,1,0)</f>
        <v>0</v>
      </c>
      <c r="O46" s="96" t="str">
        <f>IF(B46="","",TRIM(LEFT(B46,FIND(" |",B46&amp;" |")-1)))</f>
        <v/>
      </c>
      <c r="P46" s="96" t="str">
        <f>IF(O46="","",IFERROR(MATCH(O46,'CDFs'!$A$6:$A$505,0),""))</f>
        <v/>
      </c>
      <c r="Q46" s="96">
        <f>IF(P46="",0,IF(INDEX('CDFs'!$S$6:$S$505,P46)=1,1,0))</f>
        <v>0</v>
      </c>
      <c r="R46" s="96" t="str">
        <f>IF(C46="","",TRIM(LEFT(C46,FIND(" |",C46&amp;" |")-1)))</f>
        <v/>
      </c>
      <c r="S46" s="96" t="str">
        <f>IF(R46="","",IFERROR(MATCH(R46,'ITENS_MTR'!$A$6:$A$1005,0),""))</f>
        <v/>
      </c>
      <c r="T46" s="96">
        <f>IF(S46="",0,IF(INDEX('ITENS_MTR'!$R$6:$R$1005,S46)=1,1,0))</f>
        <v>0</v>
      </c>
      <c r="U46" s="96" t="str">
        <f>IF(G46="","",IFERROR(IF(ISNUMBER(INDEX(cfg_fac,MATCH(G46,cfg_units,0))),IF(INDEX(cfg_fac,MATCH(G46,cfg_units,0))&gt;0,INDEX(cfg_fac,MATCH(G46,cfg_units,0)),""),""),""))</f>
        <v/>
      </c>
      <c r="V46" s="96">
        <f>IF(AND(ISNUMBER(F46),ISNUMBER(H46)),IF(H46&gt;0,1,0),0)</f>
        <v>0</v>
      </c>
      <c r="W46" s="96" t="str">
        <f>IF(T46=1,INDEX('ITENS_MTR'!$AU$6:$AU$1005,S46)&amp;"","")</f>
        <v/>
      </c>
      <c r="X46" s="96">
        <f>IF(AND(Q46=1,T46=1,I46&lt;&gt;"",W46&lt;&gt;""),IF(I46&lt;&gt;W46,1,0),0)</f>
        <v>0</v>
      </c>
      <c r="Y46" s="96">
        <f>IF(N46=0,0,IF(OR(Q46=0,T46=0,V46=0,AND(X46=1,J46&lt;&gt;"Sim")),1,0))</f>
        <v>0</v>
      </c>
      <c r="Z46" s="96">
        <f>IF(Q46=1,INDEX('CDFs'!$W$6:$W$505,P46),0)</f>
        <v>0</v>
      </c>
      <c r="AA46" s="96">
        <f>IF(AND(N46=1,Y46=0,Z46=1,J46="Sim"),1,0)</f>
        <v>0</v>
      </c>
      <c r="AB46" s="96">
        <f>IF(AND(N46=1,O46&lt;&gt;"",D46&lt;&gt;""),IF(COUNTIFS($O$6:O46,O46,$D$6:D46,D46)=1,1,0),0)</f>
        <v>0</v>
      </c>
      <c r="AC46" s="96">
        <f>IF(T46=1,INDEX('ITENS_MTR'!$AL$6:$AL$1005,S46),0)</f>
        <v>0</v>
      </c>
    </row>
    <row r="47">
      <c r="A47" s="89" t="inlineStr">
        <is>
          <t>VIN-000042</t>
        </is>
      </c>
      <c r="B47" s="91" t="n"/>
      <c r="C47" s="91" t="n"/>
      <c r="D47" s="94" t="str">
        <f>IF(T47=1,INDEX('ITENS_MTR'!$S$6:$S$1005,S47)&amp;"","")</f>
        <v/>
      </c>
      <c r="E47" s="94" t="str">
        <f>IF(T47=1,INDEX('ITENS_MTR'!$C$6:$C$1005,S47)&amp;"","")</f>
        <v/>
      </c>
      <c r="F47" s="98" t="n"/>
      <c r="G47" s="91" t="n"/>
      <c r="H47" s="93" t="str">
        <f>IF(N47=0,"",IF(NOT(ISNUMBER(F47)),"",IF(ISNUMBER(U47),F47*U47,"UNIDADE A CONFERIR")))</f>
        <v/>
      </c>
      <c r="I47" s="94" t="str">
        <f>IF(Q47=1,INDEX('CDFs'!$F$6:$F$505,P47)&amp;"","")</f>
        <v/>
      </c>
      <c r="J47" s="91" t="n"/>
      <c r="K47" s="91" t="n"/>
      <c r="L47" s="94" t="str">
        <f>IF(N47=0,"",IF(NOT(ISNUMBER(F47)),"Quantidade não informada",IF(F47&lt;=0,"Quantidade não positiva",IF(G47="","Unidade não informada",IF(NOT(ISNUMBER(H47)),"Unidade a conferir",IF(AC47=1,"REVISAR VÍNCULO: soma vinculada maior que a referência do item","OK"))))))</f>
        <v/>
      </c>
      <c r="M47" s="94" t="str">
        <f>IF(N47=0,"",IF(B47="","CDF não informado",IF(Q47=0,"REVISAR VÍNCULO: CDF inexistente",IF(C47="","Item não informado",IF(T47=0,"REVISAR VÍNCULO: item inexistente",IF(AND(X47=1,J47&lt;&gt;"Sim"),"REVISAR VÍNCULO: destinador diferente do MTR",IF(X47=1,"Destinador diferente do MTR (analisado)","OK")))))))</f>
        <v/>
      </c>
      <c r="N47" s="96">
        <f>IF(COUNTA(B47:C47,F47:G47,J47:K47)&gt;0,1,0)</f>
        <v>0</v>
      </c>
      <c r="O47" s="96" t="str">
        <f>IF(B47="","",TRIM(LEFT(B47,FIND(" |",B47&amp;" |")-1)))</f>
        <v/>
      </c>
      <c r="P47" s="96" t="str">
        <f>IF(O47="","",IFERROR(MATCH(O47,'CDFs'!$A$6:$A$505,0),""))</f>
        <v/>
      </c>
      <c r="Q47" s="96">
        <f>IF(P47="",0,IF(INDEX('CDFs'!$S$6:$S$505,P47)=1,1,0))</f>
        <v>0</v>
      </c>
      <c r="R47" s="96" t="str">
        <f>IF(C47="","",TRIM(LEFT(C47,FIND(" |",C47&amp;" |")-1)))</f>
        <v/>
      </c>
      <c r="S47" s="96" t="str">
        <f>IF(R47="","",IFERROR(MATCH(R47,'ITENS_MTR'!$A$6:$A$1005,0),""))</f>
        <v/>
      </c>
      <c r="T47" s="96">
        <f>IF(S47="",0,IF(INDEX('ITENS_MTR'!$R$6:$R$1005,S47)=1,1,0))</f>
        <v>0</v>
      </c>
      <c r="U47" s="96" t="str">
        <f>IF(G47="","",IFERROR(IF(ISNUMBER(INDEX(cfg_fac,MATCH(G47,cfg_units,0))),IF(INDEX(cfg_fac,MATCH(G47,cfg_units,0))&gt;0,INDEX(cfg_fac,MATCH(G47,cfg_units,0)),""),""),""))</f>
        <v/>
      </c>
      <c r="V47" s="96">
        <f>IF(AND(ISNUMBER(F47),ISNUMBER(H47)),IF(H47&gt;0,1,0),0)</f>
        <v>0</v>
      </c>
      <c r="W47" s="96" t="str">
        <f>IF(T47=1,INDEX('ITENS_MTR'!$AU$6:$AU$1005,S47)&amp;"","")</f>
        <v/>
      </c>
      <c r="X47" s="96">
        <f>IF(AND(Q47=1,T47=1,I47&lt;&gt;"",W47&lt;&gt;""),IF(I47&lt;&gt;W47,1,0),0)</f>
        <v>0</v>
      </c>
      <c r="Y47" s="96">
        <f>IF(N47=0,0,IF(OR(Q47=0,T47=0,V47=0,AND(X47=1,J47&lt;&gt;"Sim")),1,0))</f>
        <v>0</v>
      </c>
      <c r="Z47" s="96">
        <f>IF(Q47=1,INDEX('CDFs'!$W$6:$W$505,P47),0)</f>
        <v>0</v>
      </c>
      <c r="AA47" s="96">
        <f>IF(AND(N47=1,Y47=0,Z47=1,J47="Sim"),1,0)</f>
        <v>0</v>
      </c>
      <c r="AB47" s="96">
        <f>IF(AND(N47=1,O47&lt;&gt;"",D47&lt;&gt;""),IF(COUNTIFS($O$6:O47,O47,$D$6:D47,D47)=1,1,0),0)</f>
        <v>0</v>
      </c>
      <c r="AC47" s="96">
        <f>IF(T47=1,INDEX('ITENS_MTR'!$AL$6:$AL$1005,S47),0)</f>
        <v>0</v>
      </c>
    </row>
    <row r="48">
      <c r="A48" s="89" t="inlineStr">
        <is>
          <t>VIN-000043</t>
        </is>
      </c>
      <c r="B48" s="91" t="n"/>
      <c r="C48" s="91" t="n"/>
      <c r="D48" s="94" t="str">
        <f>IF(T48=1,INDEX('ITENS_MTR'!$S$6:$S$1005,S48)&amp;"","")</f>
        <v/>
      </c>
      <c r="E48" s="94" t="str">
        <f>IF(T48=1,INDEX('ITENS_MTR'!$C$6:$C$1005,S48)&amp;"","")</f>
        <v/>
      </c>
      <c r="F48" s="98" t="n"/>
      <c r="G48" s="91" t="n"/>
      <c r="H48" s="93" t="str">
        <f>IF(N48=0,"",IF(NOT(ISNUMBER(F48)),"",IF(ISNUMBER(U48),F48*U48,"UNIDADE A CONFERIR")))</f>
        <v/>
      </c>
      <c r="I48" s="94" t="str">
        <f>IF(Q48=1,INDEX('CDFs'!$F$6:$F$505,P48)&amp;"","")</f>
        <v/>
      </c>
      <c r="J48" s="91" t="n"/>
      <c r="K48" s="91" t="n"/>
      <c r="L48" s="94" t="str">
        <f>IF(N48=0,"",IF(NOT(ISNUMBER(F48)),"Quantidade não informada",IF(F48&lt;=0,"Quantidade não positiva",IF(G48="","Unidade não informada",IF(NOT(ISNUMBER(H48)),"Unidade a conferir",IF(AC48=1,"REVISAR VÍNCULO: soma vinculada maior que a referência do item","OK"))))))</f>
        <v/>
      </c>
      <c r="M48" s="94" t="str">
        <f>IF(N48=0,"",IF(B48="","CDF não informado",IF(Q48=0,"REVISAR VÍNCULO: CDF inexistente",IF(C48="","Item não informado",IF(T48=0,"REVISAR VÍNCULO: item inexistente",IF(AND(X48=1,J48&lt;&gt;"Sim"),"REVISAR VÍNCULO: destinador diferente do MTR",IF(X48=1,"Destinador diferente do MTR (analisado)","OK")))))))</f>
        <v/>
      </c>
      <c r="N48" s="96">
        <f>IF(COUNTA(B48:C48,F48:G48,J48:K48)&gt;0,1,0)</f>
        <v>0</v>
      </c>
      <c r="O48" s="96" t="str">
        <f>IF(B48="","",TRIM(LEFT(B48,FIND(" |",B48&amp;" |")-1)))</f>
        <v/>
      </c>
      <c r="P48" s="96" t="str">
        <f>IF(O48="","",IFERROR(MATCH(O48,'CDFs'!$A$6:$A$505,0),""))</f>
        <v/>
      </c>
      <c r="Q48" s="96">
        <f>IF(P48="",0,IF(INDEX('CDFs'!$S$6:$S$505,P48)=1,1,0))</f>
        <v>0</v>
      </c>
      <c r="R48" s="96" t="str">
        <f>IF(C48="","",TRIM(LEFT(C48,FIND(" |",C48&amp;" |")-1)))</f>
        <v/>
      </c>
      <c r="S48" s="96" t="str">
        <f>IF(R48="","",IFERROR(MATCH(R48,'ITENS_MTR'!$A$6:$A$1005,0),""))</f>
        <v/>
      </c>
      <c r="T48" s="96">
        <f>IF(S48="",0,IF(INDEX('ITENS_MTR'!$R$6:$R$1005,S48)=1,1,0))</f>
        <v>0</v>
      </c>
      <c r="U48" s="96" t="str">
        <f>IF(G48="","",IFERROR(IF(ISNUMBER(INDEX(cfg_fac,MATCH(G48,cfg_units,0))),IF(INDEX(cfg_fac,MATCH(G48,cfg_units,0))&gt;0,INDEX(cfg_fac,MATCH(G48,cfg_units,0)),""),""),""))</f>
        <v/>
      </c>
      <c r="V48" s="96">
        <f>IF(AND(ISNUMBER(F48),ISNUMBER(H48)),IF(H48&gt;0,1,0),0)</f>
        <v>0</v>
      </c>
      <c r="W48" s="96" t="str">
        <f>IF(T48=1,INDEX('ITENS_MTR'!$AU$6:$AU$1005,S48)&amp;"","")</f>
        <v/>
      </c>
      <c r="X48" s="96">
        <f>IF(AND(Q48=1,T48=1,I48&lt;&gt;"",W48&lt;&gt;""),IF(I48&lt;&gt;W48,1,0),0)</f>
        <v>0</v>
      </c>
      <c r="Y48" s="96">
        <f>IF(N48=0,0,IF(OR(Q48=0,T48=0,V48=0,AND(X48=1,J48&lt;&gt;"Sim")),1,0))</f>
        <v>0</v>
      </c>
      <c r="Z48" s="96">
        <f>IF(Q48=1,INDEX('CDFs'!$W$6:$W$505,P48),0)</f>
        <v>0</v>
      </c>
      <c r="AA48" s="96">
        <f>IF(AND(N48=1,Y48=0,Z48=1,J48="Sim"),1,0)</f>
        <v>0</v>
      </c>
      <c r="AB48" s="96">
        <f>IF(AND(N48=1,O48&lt;&gt;"",D48&lt;&gt;""),IF(COUNTIFS($O$6:O48,O48,$D$6:D48,D48)=1,1,0),0)</f>
        <v>0</v>
      </c>
      <c r="AC48" s="96">
        <f>IF(T48=1,INDEX('ITENS_MTR'!$AL$6:$AL$1005,S48),0)</f>
        <v>0</v>
      </c>
    </row>
    <row r="49">
      <c r="A49" s="89" t="inlineStr">
        <is>
          <t>VIN-000044</t>
        </is>
      </c>
      <c r="B49" s="91" t="n"/>
      <c r="C49" s="91" t="n"/>
      <c r="D49" s="94" t="str">
        <f>IF(T49=1,INDEX('ITENS_MTR'!$S$6:$S$1005,S49)&amp;"","")</f>
        <v/>
      </c>
      <c r="E49" s="94" t="str">
        <f>IF(T49=1,INDEX('ITENS_MTR'!$C$6:$C$1005,S49)&amp;"","")</f>
        <v/>
      </c>
      <c r="F49" s="98" t="n"/>
      <c r="G49" s="91" t="n"/>
      <c r="H49" s="93" t="str">
        <f>IF(N49=0,"",IF(NOT(ISNUMBER(F49)),"",IF(ISNUMBER(U49),F49*U49,"UNIDADE A CONFERIR")))</f>
        <v/>
      </c>
      <c r="I49" s="94" t="str">
        <f>IF(Q49=1,INDEX('CDFs'!$F$6:$F$505,P49)&amp;"","")</f>
        <v/>
      </c>
      <c r="J49" s="91" t="n"/>
      <c r="K49" s="91" t="n"/>
      <c r="L49" s="94" t="str">
        <f>IF(N49=0,"",IF(NOT(ISNUMBER(F49)),"Quantidade não informada",IF(F49&lt;=0,"Quantidade não positiva",IF(G49="","Unidade não informada",IF(NOT(ISNUMBER(H49)),"Unidade a conferir",IF(AC49=1,"REVISAR VÍNCULO: soma vinculada maior que a referência do item","OK"))))))</f>
        <v/>
      </c>
      <c r="M49" s="94" t="str">
        <f>IF(N49=0,"",IF(B49="","CDF não informado",IF(Q49=0,"REVISAR VÍNCULO: CDF inexistente",IF(C49="","Item não informado",IF(T49=0,"REVISAR VÍNCULO: item inexistente",IF(AND(X49=1,J49&lt;&gt;"Sim"),"REVISAR VÍNCULO: destinador diferente do MTR",IF(X49=1,"Destinador diferente do MTR (analisado)","OK")))))))</f>
        <v/>
      </c>
      <c r="N49" s="96">
        <f>IF(COUNTA(B49:C49,F49:G49,J49:K49)&gt;0,1,0)</f>
        <v>0</v>
      </c>
      <c r="O49" s="96" t="str">
        <f>IF(B49="","",TRIM(LEFT(B49,FIND(" |",B49&amp;" |")-1)))</f>
        <v/>
      </c>
      <c r="P49" s="96" t="str">
        <f>IF(O49="","",IFERROR(MATCH(O49,'CDFs'!$A$6:$A$505,0),""))</f>
        <v/>
      </c>
      <c r="Q49" s="96">
        <f>IF(P49="",0,IF(INDEX('CDFs'!$S$6:$S$505,P49)=1,1,0))</f>
        <v>0</v>
      </c>
      <c r="R49" s="96" t="str">
        <f>IF(C49="","",TRIM(LEFT(C49,FIND(" |",C49&amp;" |")-1)))</f>
        <v/>
      </c>
      <c r="S49" s="96" t="str">
        <f>IF(R49="","",IFERROR(MATCH(R49,'ITENS_MTR'!$A$6:$A$1005,0),""))</f>
        <v/>
      </c>
      <c r="T49" s="96">
        <f>IF(S49="",0,IF(INDEX('ITENS_MTR'!$R$6:$R$1005,S49)=1,1,0))</f>
        <v>0</v>
      </c>
      <c r="U49" s="96" t="str">
        <f>IF(G49="","",IFERROR(IF(ISNUMBER(INDEX(cfg_fac,MATCH(G49,cfg_units,0))),IF(INDEX(cfg_fac,MATCH(G49,cfg_units,0))&gt;0,INDEX(cfg_fac,MATCH(G49,cfg_units,0)),""),""),""))</f>
        <v/>
      </c>
      <c r="V49" s="96">
        <f>IF(AND(ISNUMBER(F49),ISNUMBER(H49)),IF(H49&gt;0,1,0),0)</f>
        <v>0</v>
      </c>
      <c r="W49" s="96" t="str">
        <f>IF(T49=1,INDEX('ITENS_MTR'!$AU$6:$AU$1005,S49)&amp;"","")</f>
        <v/>
      </c>
      <c r="X49" s="96">
        <f>IF(AND(Q49=1,T49=1,I49&lt;&gt;"",W49&lt;&gt;""),IF(I49&lt;&gt;W49,1,0),0)</f>
        <v>0</v>
      </c>
      <c r="Y49" s="96">
        <f>IF(N49=0,0,IF(OR(Q49=0,T49=0,V49=0,AND(X49=1,J49&lt;&gt;"Sim")),1,0))</f>
        <v>0</v>
      </c>
      <c r="Z49" s="96">
        <f>IF(Q49=1,INDEX('CDFs'!$W$6:$W$505,P49),0)</f>
        <v>0</v>
      </c>
      <c r="AA49" s="96">
        <f>IF(AND(N49=1,Y49=0,Z49=1,J49="Sim"),1,0)</f>
        <v>0</v>
      </c>
      <c r="AB49" s="96">
        <f>IF(AND(N49=1,O49&lt;&gt;"",D49&lt;&gt;""),IF(COUNTIFS($O$6:O49,O49,$D$6:D49,D49)=1,1,0),0)</f>
        <v>0</v>
      </c>
      <c r="AC49" s="96">
        <f>IF(T49=1,INDEX('ITENS_MTR'!$AL$6:$AL$1005,S49),0)</f>
        <v>0</v>
      </c>
    </row>
    <row r="50">
      <c r="A50" s="89" t="inlineStr">
        <is>
          <t>VIN-000045</t>
        </is>
      </c>
      <c r="B50" s="91" t="n"/>
      <c r="C50" s="91" t="n"/>
      <c r="D50" s="94" t="str">
        <f>IF(T50=1,INDEX('ITENS_MTR'!$S$6:$S$1005,S50)&amp;"","")</f>
        <v/>
      </c>
      <c r="E50" s="94" t="str">
        <f>IF(T50=1,INDEX('ITENS_MTR'!$C$6:$C$1005,S50)&amp;"","")</f>
        <v/>
      </c>
      <c r="F50" s="98" t="n"/>
      <c r="G50" s="91" t="n"/>
      <c r="H50" s="93" t="str">
        <f>IF(N50=0,"",IF(NOT(ISNUMBER(F50)),"",IF(ISNUMBER(U50),F50*U50,"UNIDADE A CONFERIR")))</f>
        <v/>
      </c>
      <c r="I50" s="94" t="str">
        <f>IF(Q50=1,INDEX('CDFs'!$F$6:$F$505,P50)&amp;"","")</f>
        <v/>
      </c>
      <c r="J50" s="91" t="n"/>
      <c r="K50" s="91" t="n"/>
      <c r="L50" s="94" t="str">
        <f>IF(N50=0,"",IF(NOT(ISNUMBER(F50)),"Quantidade não informada",IF(F50&lt;=0,"Quantidade não positiva",IF(G50="","Unidade não informada",IF(NOT(ISNUMBER(H50)),"Unidade a conferir",IF(AC50=1,"REVISAR VÍNCULO: soma vinculada maior que a referência do item","OK"))))))</f>
        <v/>
      </c>
      <c r="M50" s="94" t="str">
        <f>IF(N50=0,"",IF(B50="","CDF não informado",IF(Q50=0,"REVISAR VÍNCULO: CDF inexistente",IF(C50="","Item não informado",IF(T50=0,"REVISAR VÍNCULO: item inexistente",IF(AND(X50=1,J50&lt;&gt;"Sim"),"REVISAR VÍNCULO: destinador diferente do MTR",IF(X50=1,"Destinador diferente do MTR (analisado)","OK")))))))</f>
        <v/>
      </c>
      <c r="N50" s="96">
        <f>IF(COUNTA(B50:C50,F50:G50,J50:K50)&gt;0,1,0)</f>
        <v>0</v>
      </c>
      <c r="O50" s="96" t="str">
        <f>IF(B50="","",TRIM(LEFT(B50,FIND(" |",B50&amp;" |")-1)))</f>
        <v/>
      </c>
      <c r="P50" s="96" t="str">
        <f>IF(O50="","",IFERROR(MATCH(O50,'CDFs'!$A$6:$A$505,0),""))</f>
        <v/>
      </c>
      <c r="Q50" s="96">
        <f>IF(P50="",0,IF(INDEX('CDFs'!$S$6:$S$505,P50)=1,1,0))</f>
        <v>0</v>
      </c>
      <c r="R50" s="96" t="str">
        <f>IF(C50="","",TRIM(LEFT(C50,FIND(" |",C50&amp;" |")-1)))</f>
        <v/>
      </c>
      <c r="S50" s="96" t="str">
        <f>IF(R50="","",IFERROR(MATCH(R50,'ITENS_MTR'!$A$6:$A$1005,0),""))</f>
        <v/>
      </c>
      <c r="T50" s="96">
        <f>IF(S50="",0,IF(INDEX('ITENS_MTR'!$R$6:$R$1005,S50)=1,1,0))</f>
        <v>0</v>
      </c>
      <c r="U50" s="96" t="str">
        <f>IF(G50="","",IFERROR(IF(ISNUMBER(INDEX(cfg_fac,MATCH(G50,cfg_units,0))),IF(INDEX(cfg_fac,MATCH(G50,cfg_units,0))&gt;0,INDEX(cfg_fac,MATCH(G50,cfg_units,0)),""),""),""))</f>
        <v/>
      </c>
      <c r="V50" s="96">
        <f>IF(AND(ISNUMBER(F50),ISNUMBER(H50)),IF(H50&gt;0,1,0),0)</f>
        <v>0</v>
      </c>
      <c r="W50" s="96" t="str">
        <f>IF(T50=1,INDEX('ITENS_MTR'!$AU$6:$AU$1005,S50)&amp;"","")</f>
        <v/>
      </c>
      <c r="X50" s="96">
        <f>IF(AND(Q50=1,T50=1,I50&lt;&gt;"",W50&lt;&gt;""),IF(I50&lt;&gt;W50,1,0),0)</f>
        <v>0</v>
      </c>
      <c r="Y50" s="96">
        <f>IF(N50=0,0,IF(OR(Q50=0,T50=0,V50=0,AND(X50=1,J50&lt;&gt;"Sim")),1,0))</f>
        <v>0</v>
      </c>
      <c r="Z50" s="96">
        <f>IF(Q50=1,INDEX('CDFs'!$W$6:$W$505,P50),0)</f>
        <v>0</v>
      </c>
      <c r="AA50" s="96">
        <f>IF(AND(N50=1,Y50=0,Z50=1,J50="Sim"),1,0)</f>
        <v>0</v>
      </c>
      <c r="AB50" s="96">
        <f>IF(AND(N50=1,O50&lt;&gt;"",D50&lt;&gt;""),IF(COUNTIFS($O$6:O50,O50,$D$6:D50,D50)=1,1,0),0)</f>
        <v>0</v>
      </c>
      <c r="AC50" s="96">
        <f>IF(T50=1,INDEX('ITENS_MTR'!$AL$6:$AL$1005,S50),0)</f>
        <v>0</v>
      </c>
    </row>
    <row r="51">
      <c r="A51" s="89" t="inlineStr">
        <is>
          <t>VIN-000046</t>
        </is>
      </c>
      <c r="B51" s="91" t="n"/>
      <c r="C51" s="91" t="n"/>
      <c r="D51" s="94" t="str">
        <f>IF(T51=1,INDEX('ITENS_MTR'!$S$6:$S$1005,S51)&amp;"","")</f>
        <v/>
      </c>
      <c r="E51" s="94" t="str">
        <f>IF(T51=1,INDEX('ITENS_MTR'!$C$6:$C$1005,S51)&amp;"","")</f>
        <v/>
      </c>
      <c r="F51" s="98" t="n"/>
      <c r="G51" s="91" t="n"/>
      <c r="H51" s="93" t="str">
        <f>IF(N51=0,"",IF(NOT(ISNUMBER(F51)),"",IF(ISNUMBER(U51),F51*U51,"UNIDADE A CONFERIR")))</f>
        <v/>
      </c>
      <c r="I51" s="94" t="str">
        <f>IF(Q51=1,INDEX('CDFs'!$F$6:$F$505,P51)&amp;"","")</f>
        <v/>
      </c>
      <c r="J51" s="91" t="n"/>
      <c r="K51" s="91" t="n"/>
      <c r="L51" s="94" t="str">
        <f>IF(N51=0,"",IF(NOT(ISNUMBER(F51)),"Quantidade não informada",IF(F51&lt;=0,"Quantidade não positiva",IF(G51="","Unidade não informada",IF(NOT(ISNUMBER(H51)),"Unidade a conferir",IF(AC51=1,"REVISAR VÍNCULO: soma vinculada maior que a referência do item","OK"))))))</f>
        <v/>
      </c>
      <c r="M51" s="94" t="str">
        <f>IF(N51=0,"",IF(B51="","CDF não informado",IF(Q51=0,"REVISAR VÍNCULO: CDF inexistente",IF(C51="","Item não informado",IF(T51=0,"REVISAR VÍNCULO: item inexistente",IF(AND(X51=1,J51&lt;&gt;"Sim"),"REVISAR VÍNCULO: destinador diferente do MTR",IF(X51=1,"Destinador diferente do MTR (analisado)","OK")))))))</f>
        <v/>
      </c>
      <c r="N51" s="96">
        <f>IF(COUNTA(B51:C51,F51:G51,J51:K51)&gt;0,1,0)</f>
        <v>0</v>
      </c>
      <c r="O51" s="96" t="str">
        <f>IF(B51="","",TRIM(LEFT(B51,FIND(" |",B51&amp;" |")-1)))</f>
        <v/>
      </c>
      <c r="P51" s="96" t="str">
        <f>IF(O51="","",IFERROR(MATCH(O51,'CDFs'!$A$6:$A$505,0),""))</f>
        <v/>
      </c>
      <c r="Q51" s="96">
        <f>IF(P51="",0,IF(INDEX('CDFs'!$S$6:$S$505,P51)=1,1,0))</f>
        <v>0</v>
      </c>
      <c r="R51" s="96" t="str">
        <f>IF(C51="","",TRIM(LEFT(C51,FIND(" |",C51&amp;" |")-1)))</f>
        <v/>
      </c>
      <c r="S51" s="96" t="str">
        <f>IF(R51="","",IFERROR(MATCH(R51,'ITENS_MTR'!$A$6:$A$1005,0),""))</f>
        <v/>
      </c>
      <c r="T51" s="96">
        <f>IF(S51="",0,IF(INDEX('ITENS_MTR'!$R$6:$R$1005,S51)=1,1,0))</f>
        <v>0</v>
      </c>
      <c r="U51" s="96" t="str">
        <f>IF(G51="","",IFERROR(IF(ISNUMBER(INDEX(cfg_fac,MATCH(G51,cfg_units,0))),IF(INDEX(cfg_fac,MATCH(G51,cfg_units,0))&gt;0,INDEX(cfg_fac,MATCH(G51,cfg_units,0)),""),""),""))</f>
        <v/>
      </c>
      <c r="V51" s="96">
        <f>IF(AND(ISNUMBER(F51),ISNUMBER(H51)),IF(H51&gt;0,1,0),0)</f>
        <v>0</v>
      </c>
      <c r="W51" s="96" t="str">
        <f>IF(T51=1,INDEX('ITENS_MTR'!$AU$6:$AU$1005,S51)&amp;"","")</f>
        <v/>
      </c>
      <c r="X51" s="96">
        <f>IF(AND(Q51=1,T51=1,I51&lt;&gt;"",W51&lt;&gt;""),IF(I51&lt;&gt;W51,1,0),0)</f>
        <v>0</v>
      </c>
      <c r="Y51" s="96">
        <f>IF(N51=0,0,IF(OR(Q51=0,T51=0,V51=0,AND(X51=1,J51&lt;&gt;"Sim")),1,0))</f>
        <v>0</v>
      </c>
      <c r="Z51" s="96">
        <f>IF(Q51=1,INDEX('CDFs'!$W$6:$W$505,P51),0)</f>
        <v>0</v>
      </c>
      <c r="AA51" s="96">
        <f>IF(AND(N51=1,Y51=0,Z51=1,J51="Sim"),1,0)</f>
        <v>0</v>
      </c>
      <c r="AB51" s="96">
        <f>IF(AND(N51=1,O51&lt;&gt;"",D51&lt;&gt;""),IF(COUNTIFS($O$6:O51,O51,$D$6:D51,D51)=1,1,0),0)</f>
        <v>0</v>
      </c>
      <c r="AC51" s="96">
        <f>IF(T51=1,INDEX('ITENS_MTR'!$AL$6:$AL$1005,S51),0)</f>
        <v>0</v>
      </c>
    </row>
    <row r="52">
      <c r="A52" s="89" t="inlineStr">
        <is>
          <t>VIN-000047</t>
        </is>
      </c>
      <c r="B52" s="91" t="n"/>
      <c r="C52" s="91" t="n"/>
      <c r="D52" s="94" t="str">
        <f>IF(T52=1,INDEX('ITENS_MTR'!$S$6:$S$1005,S52)&amp;"","")</f>
        <v/>
      </c>
      <c r="E52" s="94" t="str">
        <f>IF(T52=1,INDEX('ITENS_MTR'!$C$6:$C$1005,S52)&amp;"","")</f>
        <v/>
      </c>
      <c r="F52" s="98" t="n"/>
      <c r="G52" s="91" t="n"/>
      <c r="H52" s="93" t="str">
        <f>IF(N52=0,"",IF(NOT(ISNUMBER(F52)),"",IF(ISNUMBER(U52),F52*U52,"UNIDADE A CONFERIR")))</f>
        <v/>
      </c>
      <c r="I52" s="94" t="str">
        <f>IF(Q52=1,INDEX('CDFs'!$F$6:$F$505,P52)&amp;"","")</f>
        <v/>
      </c>
      <c r="J52" s="91" t="n"/>
      <c r="K52" s="91" t="n"/>
      <c r="L52" s="94" t="str">
        <f>IF(N52=0,"",IF(NOT(ISNUMBER(F52)),"Quantidade não informada",IF(F52&lt;=0,"Quantidade não positiva",IF(G52="","Unidade não informada",IF(NOT(ISNUMBER(H52)),"Unidade a conferir",IF(AC52=1,"REVISAR VÍNCULO: soma vinculada maior que a referência do item","OK"))))))</f>
        <v/>
      </c>
      <c r="M52" s="94" t="str">
        <f>IF(N52=0,"",IF(B52="","CDF não informado",IF(Q52=0,"REVISAR VÍNCULO: CDF inexistente",IF(C52="","Item não informado",IF(T52=0,"REVISAR VÍNCULO: item inexistente",IF(AND(X52=1,J52&lt;&gt;"Sim"),"REVISAR VÍNCULO: destinador diferente do MTR",IF(X52=1,"Destinador diferente do MTR (analisado)","OK")))))))</f>
        <v/>
      </c>
      <c r="N52" s="96">
        <f>IF(COUNTA(B52:C52,F52:G52,J52:K52)&gt;0,1,0)</f>
        <v>0</v>
      </c>
      <c r="O52" s="96" t="str">
        <f>IF(B52="","",TRIM(LEFT(B52,FIND(" |",B52&amp;" |")-1)))</f>
        <v/>
      </c>
      <c r="P52" s="96" t="str">
        <f>IF(O52="","",IFERROR(MATCH(O52,'CDFs'!$A$6:$A$505,0),""))</f>
        <v/>
      </c>
      <c r="Q52" s="96">
        <f>IF(P52="",0,IF(INDEX('CDFs'!$S$6:$S$505,P52)=1,1,0))</f>
        <v>0</v>
      </c>
      <c r="R52" s="96" t="str">
        <f>IF(C52="","",TRIM(LEFT(C52,FIND(" |",C52&amp;" |")-1)))</f>
        <v/>
      </c>
      <c r="S52" s="96" t="str">
        <f>IF(R52="","",IFERROR(MATCH(R52,'ITENS_MTR'!$A$6:$A$1005,0),""))</f>
        <v/>
      </c>
      <c r="T52" s="96">
        <f>IF(S52="",0,IF(INDEX('ITENS_MTR'!$R$6:$R$1005,S52)=1,1,0))</f>
        <v>0</v>
      </c>
      <c r="U52" s="96" t="str">
        <f>IF(G52="","",IFERROR(IF(ISNUMBER(INDEX(cfg_fac,MATCH(G52,cfg_units,0))),IF(INDEX(cfg_fac,MATCH(G52,cfg_units,0))&gt;0,INDEX(cfg_fac,MATCH(G52,cfg_units,0)),""),""),""))</f>
        <v/>
      </c>
      <c r="V52" s="96">
        <f>IF(AND(ISNUMBER(F52),ISNUMBER(H52)),IF(H52&gt;0,1,0),0)</f>
        <v>0</v>
      </c>
      <c r="W52" s="96" t="str">
        <f>IF(T52=1,INDEX('ITENS_MTR'!$AU$6:$AU$1005,S52)&amp;"","")</f>
        <v/>
      </c>
      <c r="X52" s="96">
        <f>IF(AND(Q52=1,T52=1,I52&lt;&gt;"",W52&lt;&gt;""),IF(I52&lt;&gt;W52,1,0),0)</f>
        <v>0</v>
      </c>
      <c r="Y52" s="96">
        <f>IF(N52=0,0,IF(OR(Q52=0,T52=0,V52=0,AND(X52=1,J52&lt;&gt;"Sim")),1,0))</f>
        <v>0</v>
      </c>
      <c r="Z52" s="96">
        <f>IF(Q52=1,INDEX('CDFs'!$W$6:$W$505,P52),0)</f>
        <v>0</v>
      </c>
      <c r="AA52" s="96">
        <f>IF(AND(N52=1,Y52=0,Z52=1,J52="Sim"),1,0)</f>
        <v>0</v>
      </c>
      <c r="AB52" s="96">
        <f>IF(AND(N52=1,O52&lt;&gt;"",D52&lt;&gt;""),IF(COUNTIFS($O$6:O52,O52,$D$6:D52,D52)=1,1,0),0)</f>
        <v>0</v>
      </c>
      <c r="AC52" s="96">
        <f>IF(T52=1,INDEX('ITENS_MTR'!$AL$6:$AL$1005,S52),0)</f>
        <v>0</v>
      </c>
    </row>
    <row r="53">
      <c r="A53" s="89" t="inlineStr">
        <is>
          <t>VIN-000048</t>
        </is>
      </c>
      <c r="B53" s="91" t="n"/>
      <c r="C53" s="91" t="n"/>
      <c r="D53" s="94" t="str">
        <f>IF(T53=1,INDEX('ITENS_MTR'!$S$6:$S$1005,S53)&amp;"","")</f>
        <v/>
      </c>
      <c r="E53" s="94" t="str">
        <f>IF(T53=1,INDEX('ITENS_MTR'!$C$6:$C$1005,S53)&amp;"","")</f>
        <v/>
      </c>
      <c r="F53" s="98" t="n"/>
      <c r="G53" s="91" t="n"/>
      <c r="H53" s="93" t="str">
        <f>IF(N53=0,"",IF(NOT(ISNUMBER(F53)),"",IF(ISNUMBER(U53),F53*U53,"UNIDADE A CONFERIR")))</f>
        <v/>
      </c>
      <c r="I53" s="94" t="str">
        <f>IF(Q53=1,INDEX('CDFs'!$F$6:$F$505,P53)&amp;"","")</f>
        <v/>
      </c>
      <c r="J53" s="91" t="n"/>
      <c r="K53" s="91" t="n"/>
      <c r="L53" s="94" t="str">
        <f>IF(N53=0,"",IF(NOT(ISNUMBER(F53)),"Quantidade não informada",IF(F53&lt;=0,"Quantidade não positiva",IF(G53="","Unidade não informada",IF(NOT(ISNUMBER(H53)),"Unidade a conferir",IF(AC53=1,"REVISAR VÍNCULO: soma vinculada maior que a referência do item","OK"))))))</f>
        <v/>
      </c>
      <c r="M53" s="94" t="str">
        <f>IF(N53=0,"",IF(B53="","CDF não informado",IF(Q53=0,"REVISAR VÍNCULO: CDF inexistente",IF(C53="","Item não informado",IF(T53=0,"REVISAR VÍNCULO: item inexistente",IF(AND(X53=1,J53&lt;&gt;"Sim"),"REVISAR VÍNCULO: destinador diferente do MTR",IF(X53=1,"Destinador diferente do MTR (analisado)","OK")))))))</f>
        <v/>
      </c>
      <c r="N53" s="96">
        <f>IF(COUNTA(B53:C53,F53:G53,J53:K53)&gt;0,1,0)</f>
        <v>0</v>
      </c>
      <c r="O53" s="96" t="str">
        <f>IF(B53="","",TRIM(LEFT(B53,FIND(" |",B53&amp;" |")-1)))</f>
        <v/>
      </c>
      <c r="P53" s="96" t="str">
        <f>IF(O53="","",IFERROR(MATCH(O53,'CDFs'!$A$6:$A$505,0),""))</f>
        <v/>
      </c>
      <c r="Q53" s="96">
        <f>IF(P53="",0,IF(INDEX('CDFs'!$S$6:$S$505,P53)=1,1,0))</f>
        <v>0</v>
      </c>
      <c r="R53" s="96" t="str">
        <f>IF(C53="","",TRIM(LEFT(C53,FIND(" |",C53&amp;" |")-1)))</f>
        <v/>
      </c>
      <c r="S53" s="96" t="str">
        <f>IF(R53="","",IFERROR(MATCH(R53,'ITENS_MTR'!$A$6:$A$1005,0),""))</f>
        <v/>
      </c>
      <c r="T53" s="96">
        <f>IF(S53="",0,IF(INDEX('ITENS_MTR'!$R$6:$R$1005,S53)=1,1,0))</f>
        <v>0</v>
      </c>
      <c r="U53" s="96" t="str">
        <f>IF(G53="","",IFERROR(IF(ISNUMBER(INDEX(cfg_fac,MATCH(G53,cfg_units,0))),IF(INDEX(cfg_fac,MATCH(G53,cfg_units,0))&gt;0,INDEX(cfg_fac,MATCH(G53,cfg_units,0)),""),""),""))</f>
        <v/>
      </c>
      <c r="V53" s="96">
        <f>IF(AND(ISNUMBER(F53),ISNUMBER(H53)),IF(H53&gt;0,1,0),0)</f>
        <v>0</v>
      </c>
      <c r="W53" s="96" t="str">
        <f>IF(T53=1,INDEX('ITENS_MTR'!$AU$6:$AU$1005,S53)&amp;"","")</f>
        <v/>
      </c>
      <c r="X53" s="96">
        <f>IF(AND(Q53=1,T53=1,I53&lt;&gt;"",W53&lt;&gt;""),IF(I53&lt;&gt;W53,1,0),0)</f>
        <v>0</v>
      </c>
      <c r="Y53" s="96">
        <f>IF(N53=0,0,IF(OR(Q53=0,T53=0,V53=0,AND(X53=1,J53&lt;&gt;"Sim")),1,0))</f>
        <v>0</v>
      </c>
      <c r="Z53" s="96">
        <f>IF(Q53=1,INDEX('CDFs'!$W$6:$W$505,P53),0)</f>
        <v>0</v>
      </c>
      <c r="AA53" s="96">
        <f>IF(AND(N53=1,Y53=0,Z53=1,J53="Sim"),1,0)</f>
        <v>0</v>
      </c>
      <c r="AB53" s="96">
        <f>IF(AND(N53=1,O53&lt;&gt;"",D53&lt;&gt;""),IF(COUNTIFS($O$6:O53,O53,$D$6:D53,D53)=1,1,0),0)</f>
        <v>0</v>
      </c>
      <c r="AC53" s="96">
        <f>IF(T53=1,INDEX('ITENS_MTR'!$AL$6:$AL$1005,S53),0)</f>
        <v>0</v>
      </c>
    </row>
    <row r="54">
      <c r="A54" s="89" t="inlineStr">
        <is>
          <t>VIN-000049</t>
        </is>
      </c>
      <c r="B54" s="91" t="n"/>
      <c r="C54" s="91" t="n"/>
      <c r="D54" s="94" t="str">
        <f>IF(T54=1,INDEX('ITENS_MTR'!$S$6:$S$1005,S54)&amp;"","")</f>
        <v/>
      </c>
      <c r="E54" s="94" t="str">
        <f>IF(T54=1,INDEX('ITENS_MTR'!$C$6:$C$1005,S54)&amp;"","")</f>
        <v/>
      </c>
      <c r="F54" s="98" t="n"/>
      <c r="G54" s="91" t="n"/>
      <c r="H54" s="93" t="str">
        <f>IF(N54=0,"",IF(NOT(ISNUMBER(F54)),"",IF(ISNUMBER(U54),F54*U54,"UNIDADE A CONFERIR")))</f>
        <v/>
      </c>
      <c r="I54" s="94" t="str">
        <f>IF(Q54=1,INDEX('CDFs'!$F$6:$F$505,P54)&amp;"","")</f>
        <v/>
      </c>
      <c r="J54" s="91" t="n"/>
      <c r="K54" s="91" t="n"/>
      <c r="L54" s="94" t="str">
        <f>IF(N54=0,"",IF(NOT(ISNUMBER(F54)),"Quantidade não informada",IF(F54&lt;=0,"Quantidade não positiva",IF(G54="","Unidade não informada",IF(NOT(ISNUMBER(H54)),"Unidade a conferir",IF(AC54=1,"REVISAR VÍNCULO: soma vinculada maior que a referência do item","OK"))))))</f>
        <v/>
      </c>
      <c r="M54" s="94" t="str">
        <f>IF(N54=0,"",IF(B54="","CDF não informado",IF(Q54=0,"REVISAR VÍNCULO: CDF inexistente",IF(C54="","Item não informado",IF(T54=0,"REVISAR VÍNCULO: item inexistente",IF(AND(X54=1,J54&lt;&gt;"Sim"),"REVISAR VÍNCULO: destinador diferente do MTR",IF(X54=1,"Destinador diferente do MTR (analisado)","OK")))))))</f>
        <v/>
      </c>
      <c r="N54" s="96">
        <f>IF(COUNTA(B54:C54,F54:G54,J54:K54)&gt;0,1,0)</f>
        <v>0</v>
      </c>
      <c r="O54" s="96" t="str">
        <f>IF(B54="","",TRIM(LEFT(B54,FIND(" |",B54&amp;" |")-1)))</f>
        <v/>
      </c>
      <c r="P54" s="96" t="str">
        <f>IF(O54="","",IFERROR(MATCH(O54,'CDFs'!$A$6:$A$505,0),""))</f>
        <v/>
      </c>
      <c r="Q54" s="96">
        <f>IF(P54="",0,IF(INDEX('CDFs'!$S$6:$S$505,P54)=1,1,0))</f>
        <v>0</v>
      </c>
      <c r="R54" s="96" t="str">
        <f>IF(C54="","",TRIM(LEFT(C54,FIND(" |",C54&amp;" |")-1)))</f>
        <v/>
      </c>
      <c r="S54" s="96" t="str">
        <f>IF(R54="","",IFERROR(MATCH(R54,'ITENS_MTR'!$A$6:$A$1005,0),""))</f>
        <v/>
      </c>
      <c r="T54" s="96">
        <f>IF(S54="",0,IF(INDEX('ITENS_MTR'!$R$6:$R$1005,S54)=1,1,0))</f>
        <v>0</v>
      </c>
      <c r="U54" s="96" t="str">
        <f>IF(G54="","",IFERROR(IF(ISNUMBER(INDEX(cfg_fac,MATCH(G54,cfg_units,0))),IF(INDEX(cfg_fac,MATCH(G54,cfg_units,0))&gt;0,INDEX(cfg_fac,MATCH(G54,cfg_units,0)),""),""),""))</f>
        <v/>
      </c>
      <c r="V54" s="96">
        <f>IF(AND(ISNUMBER(F54),ISNUMBER(H54)),IF(H54&gt;0,1,0),0)</f>
        <v>0</v>
      </c>
      <c r="W54" s="96" t="str">
        <f>IF(T54=1,INDEX('ITENS_MTR'!$AU$6:$AU$1005,S54)&amp;"","")</f>
        <v/>
      </c>
      <c r="X54" s="96">
        <f>IF(AND(Q54=1,T54=1,I54&lt;&gt;"",W54&lt;&gt;""),IF(I54&lt;&gt;W54,1,0),0)</f>
        <v>0</v>
      </c>
      <c r="Y54" s="96">
        <f>IF(N54=0,0,IF(OR(Q54=0,T54=0,V54=0,AND(X54=1,J54&lt;&gt;"Sim")),1,0))</f>
        <v>0</v>
      </c>
      <c r="Z54" s="96">
        <f>IF(Q54=1,INDEX('CDFs'!$W$6:$W$505,P54),0)</f>
        <v>0</v>
      </c>
      <c r="AA54" s="96">
        <f>IF(AND(N54=1,Y54=0,Z54=1,J54="Sim"),1,0)</f>
        <v>0</v>
      </c>
      <c r="AB54" s="96">
        <f>IF(AND(N54=1,O54&lt;&gt;"",D54&lt;&gt;""),IF(COUNTIFS($O$6:O54,O54,$D$6:D54,D54)=1,1,0),0)</f>
        <v>0</v>
      </c>
      <c r="AC54" s="96">
        <f>IF(T54=1,INDEX('ITENS_MTR'!$AL$6:$AL$1005,S54),0)</f>
        <v>0</v>
      </c>
    </row>
    <row r="55">
      <c r="A55" s="89" t="inlineStr">
        <is>
          <t>VIN-000050</t>
        </is>
      </c>
      <c r="B55" s="91" t="n"/>
      <c r="C55" s="91" t="n"/>
      <c r="D55" s="94" t="str">
        <f>IF(T55=1,INDEX('ITENS_MTR'!$S$6:$S$1005,S55)&amp;"","")</f>
        <v/>
      </c>
      <c r="E55" s="94" t="str">
        <f>IF(T55=1,INDEX('ITENS_MTR'!$C$6:$C$1005,S55)&amp;"","")</f>
        <v/>
      </c>
      <c r="F55" s="98" t="n"/>
      <c r="G55" s="91" t="n"/>
      <c r="H55" s="93" t="str">
        <f>IF(N55=0,"",IF(NOT(ISNUMBER(F55)),"",IF(ISNUMBER(U55),F55*U55,"UNIDADE A CONFERIR")))</f>
        <v/>
      </c>
      <c r="I55" s="94" t="str">
        <f>IF(Q55=1,INDEX('CDFs'!$F$6:$F$505,P55)&amp;"","")</f>
        <v/>
      </c>
      <c r="J55" s="91" t="n"/>
      <c r="K55" s="91" t="n"/>
      <c r="L55" s="94" t="str">
        <f>IF(N55=0,"",IF(NOT(ISNUMBER(F55)),"Quantidade não informada",IF(F55&lt;=0,"Quantidade não positiva",IF(G55="","Unidade não informada",IF(NOT(ISNUMBER(H55)),"Unidade a conferir",IF(AC55=1,"REVISAR VÍNCULO: soma vinculada maior que a referência do item","OK"))))))</f>
        <v/>
      </c>
      <c r="M55" s="94" t="str">
        <f>IF(N55=0,"",IF(B55="","CDF não informado",IF(Q55=0,"REVISAR VÍNCULO: CDF inexistente",IF(C55="","Item não informado",IF(T55=0,"REVISAR VÍNCULO: item inexistente",IF(AND(X55=1,J55&lt;&gt;"Sim"),"REVISAR VÍNCULO: destinador diferente do MTR",IF(X55=1,"Destinador diferente do MTR (analisado)","OK")))))))</f>
        <v/>
      </c>
      <c r="N55" s="96">
        <f>IF(COUNTA(B55:C55,F55:G55,J55:K55)&gt;0,1,0)</f>
        <v>0</v>
      </c>
      <c r="O55" s="96" t="str">
        <f>IF(B55="","",TRIM(LEFT(B55,FIND(" |",B55&amp;" |")-1)))</f>
        <v/>
      </c>
      <c r="P55" s="96" t="str">
        <f>IF(O55="","",IFERROR(MATCH(O55,'CDFs'!$A$6:$A$505,0),""))</f>
        <v/>
      </c>
      <c r="Q55" s="96">
        <f>IF(P55="",0,IF(INDEX('CDFs'!$S$6:$S$505,P55)=1,1,0))</f>
        <v>0</v>
      </c>
      <c r="R55" s="96" t="str">
        <f>IF(C55="","",TRIM(LEFT(C55,FIND(" |",C55&amp;" |")-1)))</f>
        <v/>
      </c>
      <c r="S55" s="96" t="str">
        <f>IF(R55="","",IFERROR(MATCH(R55,'ITENS_MTR'!$A$6:$A$1005,0),""))</f>
        <v/>
      </c>
      <c r="T55" s="96">
        <f>IF(S55="",0,IF(INDEX('ITENS_MTR'!$R$6:$R$1005,S55)=1,1,0))</f>
        <v>0</v>
      </c>
      <c r="U55" s="96" t="str">
        <f>IF(G55="","",IFERROR(IF(ISNUMBER(INDEX(cfg_fac,MATCH(G55,cfg_units,0))),IF(INDEX(cfg_fac,MATCH(G55,cfg_units,0))&gt;0,INDEX(cfg_fac,MATCH(G55,cfg_units,0)),""),""),""))</f>
        <v/>
      </c>
      <c r="V55" s="96">
        <f>IF(AND(ISNUMBER(F55),ISNUMBER(H55)),IF(H55&gt;0,1,0),0)</f>
        <v>0</v>
      </c>
      <c r="W55" s="96" t="str">
        <f>IF(T55=1,INDEX('ITENS_MTR'!$AU$6:$AU$1005,S55)&amp;"","")</f>
        <v/>
      </c>
      <c r="X55" s="96">
        <f>IF(AND(Q55=1,T55=1,I55&lt;&gt;"",W55&lt;&gt;""),IF(I55&lt;&gt;W55,1,0),0)</f>
        <v>0</v>
      </c>
      <c r="Y55" s="96">
        <f>IF(N55=0,0,IF(OR(Q55=0,T55=0,V55=0,AND(X55=1,J55&lt;&gt;"Sim")),1,0))</f>
        <v>0</v>
      </c>
      <c r="Z55" s="96">
        <f>IF(Q55=1,INDEX('CDFs'!$W$6:$W$505,P55),0)</f>
        <v>0</v>
      </c>
      <c r="AA55" s="96">
        <f>IF(AND(N55=1,Y55=0,Z55=1,J55="Sim"),1,0)</f>
        <v>0</v>
      </c>
      <c r="AB55" s="96">
        <f>IF(AND(N55=1,O55&lt;&gt;"",D55&lt;&gt;""),IF(COUNTIFS($O$6:O55,O55,$D$6:D55,D55)=1,1,0),0)</f>
        <v>0</v>
      </c>
      <c r="AC55" s="96">
        <f>IF(T55=1,INDEX('ITENS_MTR'!$AL$6:$AL$1005,S55),0)</f>
        <v>0</v>
      </c>
    </row>
    <row r="56">
      <c r="A56" s="89" t="inlineStr">
        <is>
          <t>VIN-000051</t>
        </is>
      </c>
      <c r="B56" s="91" t="n"/>
      <c r="C56" s="91" t="n"/>
      <c r="D56" s="94" t="str">
        <f>IF(T56=1,INDEX('ITENS_MTR'!$S$6:$S$1005,S56)&amp;"","")</f>
        <v/>
      </c>
      <c r="E56" s="94" t="str">
        <f>IF(T56=1,INDEX('ITENS_MTR'!$C$6:$C$1005,S56)&amp;"","")</f>
        <v/>
      </c>
      <c r="F56" s="98" t="n"/>
      <c r="G56" s="91" t="n"/>
      <c r="H56" s="93" t="str">
        <f>IF(N56=0,"",IF(NOT(ISNUMBER(F56)),"",IF(ISNUMBER(U56),F56*U56,"UNIDADE A CONFERIR")))</f>
        <v/>
      </c>
      <c r="I56" s="94" t="str">
        <f>IF(Q56=1,INDEX('CDFs'!$F$6:$F$505,P56)&amp;"","")</f>
        <v/>
      </c>
      <c r="J56" s="91" t="n"/>
      <c r="K56" s="91" t="n"/>
      <c r="L56" s="94" t="str">
        <f>IF(N56=0,"",IF(NOT(ISNUMBER(F56)),"Quantidade não informada",IF(F56&lt;=0,"Quantidade não positiva",IF(G56="","Unidade não informada",IF(NOT(ISNUMBER(H56)),"Unidade a conferir",IF(AC56=1,"REVISAR VÍNCULO: soma vinculada maior que a referência do item","OK"))))))</f>
        <v/>
      </c>
      <c r="M56" s="94" t="str">
        <f>IF(N56=0,"",IF(B56="","CDF não informado",IF(Q56=0,"REVISAR VÍNCULO: CDF inexistente",IF(C56="","Item não informado",IF(T56=0,"REVISAR VÍNCULO: item inexistente",IF(AND(X56=1,J56&lt;&gt;"Sim"),"REVISAR VÍNCULO: destinador diferente do MTR",IF(X56=1,"Destinador diferente do MTR (analisado)","OK")))))))</f>
        <v/>
      </c>
      <c r="N56" s="96">
        <f>IF(COUNTA(B56:C56,F56:G56,J56:K56)&gt;0,1,0)</f>
        <v>0</v>
      </c>
      <c r="O56" s="96" t="str">
        <f>IF(B56="","",TRIM(LEFT(B56,FIND(" |",B56&amp;" |")-1)))</f>
        <v/>
      </c>
      <c r="P56" s="96" t="str">
        <f>IF(O56="","",IFERROR(MATCH(O56,'CDFs'!$A$6:$A$505,0),""))</f>
        <v/>
      </c>
      <c r="Q56" s="96">
        <f>IF(P56="",0,IF(INDEX('CDFs'!$S$6:$S$505,P56)=1,1,0))</f>
        <v>0</v>
      </c>
      <c r="R56" s="96" t="str">
        <f>IF(C56="","",TRIM(LEFT(C56,FIND(" |",C56&amp;" |")-1)))</f>
        <v/>
      </c>
      <c r="S56" s="96" t="str">
        <f>IF(R56="","",IFERROR(MATCH(R56,'ITENS_MTR'!$A$6:$A$1005,0),""))</f>
        <v/>
      </c>
      <c r="T56" s="96">
        <f>IF(S56="",0,IF(INDEX('ITENS_MTR'!$R$6:$R$1005,S56)=1,1,0))</f>
        <v>0</v>
      </c>
      <c r="U56" s="96" t="str">
        <f>IF(G56="","",IFERROR(IF(ISNUMBER(INDEX(cfg_fac,MATCH(G56,cfg_units,0))),IF(INDEX(cfg_fac,MATCH(G56,cfg_units,0))&gt;0,INDEX(cfg_fac,MATCH(G56,cfg_units,0)),""),""),""))</f>
        <v/>
      </c>
      <c r="V56" s="96">
        <f>IF(AND(ISNUMBER(F56),ISNUMBER(H56)),IF(H56&gt;0,1,0),0)</f>
        <v>0</v>
      </c>
      <c r="W56" s="96" t="str">
        <f>IF(T56=1,INDEX('ITENS_MTR'!$AU$6:$AU$1005,S56)&amp;"","")</f>
        <v/>
      </c>
      <c r="X56" s="96">
        <f>IF(AND(Q56=1,T56=1,I56&lt;&gt;"",W56&lt;&gt;""),IF(I56&lt;&gt;W56,1,0),0)</f>
        <v>0</v>
      </c>
      <c r="Y56" s="96">
        <f>IF(N56=0,0,IF(OR(Q56=0,T56=0,V56=0,AND(X56=1,J56&lt;&gt;"Sim")),1,0))</f>
        <v>0</v>
      </c>
      <c r="Z56" s="96">
        <f>IF(Q56=1,INDEX('CDFs'!$W$6:$W$505,P56),0)</f>
        <v>0</v>
      </c>
      <c r="AA56" s="96">
        <f>IF(AND(N56=1,Y56=0,Z56=1,J56="Sim"),1,0)</f>
        <v>0</v>
      </c>
      <c r="AB56" s="96">
        <f>IF(AND(N56=1,O56&lt;&gt;"",D56&lt;&gt;""),IF(COUNTIFS($O$6:O56,O56,$D$6:D56,D56)=1,1,0),0)</f>
        <v>0</v>
      </c>
      <c r="AC56" s="96">
        <f>IF(T56=1,INDEX('ITENS_MTR'!$AL$6:$AL$1005,S56),0)</f>
        <v>0</v>
      </c>
    </row>
    <row r="57">
      <c r="A57" s="89" t="inlineStr">
        <is>
          <t>VIN-000052</t>
        </is>
      </c>
      <c r="B57" s="91" t="n"/>
      <c r="C57" s="91" t="n"/>
      <c r="D57" s="94" t="str">
        <f>IF(T57=1,INDEX('ITENS_MTR'!$S$6:$S$1005,S57)&amp;"","")</f>
        <v/>
      </c>
      <c r="E57" s="94" t="str">
        <f>IF(T57=1,INDEX('ITENS_MTR'!$C$6:$C$1005,S57)&amp;"","")</f>
        <v/>
      </c>
      <c r="F57" s="98" t="n"/>
      <c r="G57" s="91" t="n"/>
      <c r="H57" s="93" t="str">
        <f>IF(N57=0,"",IF(NOT(ISNUMBER(F57)),"",IF(ISNUMBER(U57),F57*U57,"UNIDADE A CONFERIR")))</f>
        <v/>
      </c>
      <c r="I57" s="94" t="str">
        <f>IF(Q57=1,INDEX('CDFs'!$F$6:$F$505,P57)&amp;"","")</f>
        <v/>
      </c>
      <c r="J57" s="91" t="n"/>
      <c r="K57" s="91" t="n"/>
      <c r="L57" s="94" t="str">
        <f>IF(N57=0,"",IF(NOT(ISNUMBER(F57)),"Quantidade não informada",IF(F57&lt;=0,"Quantidade não positiva",IF(G57="","Unidade não informada",IF(NOT(ISNUMBER(H57)),"Unidade a conferir",IF(AC57=1,"REVISAR VÍNCULO: soma vinculada maior que a referência do item","OK"))))))</f>
        <v/>
      </c>
      <c r="M57" s="94" t="str">
        <f>IF(N57=0,"",IF(B57="","CDF não informado",IF(Q57=0,"REVISAR VÍNCULO: CDF inexistente",IF(C57="","Item não informado",IF(T57=0,"REVISAR VÍNCULO: item inexistente",IF(AND(X57=1,J57&lt;&gt;"Sim"),"REVISAR VÍNCULO: destinador diferente do MTR",IF(X57=1,"Destinador diferente do MTR (analisado)","OK")))))))</f>
        <v/>
      </c>
      <c r="N57" s="96">
        <f>IF(COUNTA(B57:C57,F57:G57,J57:K57)&gt;0,1,0)</f>
        <v>0</v>
      </c>
      <c r="O57" s="96" t="str">
        <f>IF(B57="","",TRIM(LEFT(B57,FIND(" |",B57&amp;" |")-1)))</f>
        <v/>
      </c>
      <c r="P57" s="96" t="str">
        <f>IF(O57="","",IFERROR(MATCH(O57,'CDFs'!$A$6:$A$505,0),""))</f>
        <v/>
      </c>
      <c r="Q57" s="96">
        <f>IF(P57="",0,IF(INDEX('CDFs'!$S$6:$S$505,P57)=1,1,0))</f>
        <v>0</v>
      </c>
      <c r="R57" s="96" t="str">
        <f>IF(C57="","",TRIM(LEFT(C57,FIND(" |",C57&amp;" |")-1)))</f>
        <v/>
      </c>
      <c r="S57" s="96" t="str">
        <f>IF(R57="","",IFERROR(MATCH(R57,'ITENS_MTR'!$A$6:$A$1005,0),""))</f>
        <v/>
      </c>
      <c r="T57" s="96">
        <f>IF(S57="",0,IF(INDEX('ITENS_MTR'!$R$6:$R$1005,S57)=1,1,0))</f>
        <v>0</v>
      </c>
      <c r="U57" s="96" t="str">
        <f>IF(G57="","",IFERROR(IF(ISNUMBER(INDEX(cfg_fac,MATCH(G57,cfg_units,0))),IF(INDEX(cfg_fac,MATCH(G57,cfg_units,0))&gt;0,INDEX(cfg_fac,MATCH(G57,cfg_units,0)),""),""),""))</f>
        <v/>
      </c>
      <c r="V57" s="96">
        <f>IF(AND(ISNUMBER(F57),ISNUMBER(H57)),IF(H57&gt;0,1,0),0)</f>
        <v>0</v>
      </c>
      <c r="W57" s="96" t="str">
        <f>IF(T57=1,INDEX('ITENS_MTR'!$AU$6:$AU$1005,S57)&amp;"","")</f>
        <v/>
      </c>
      <c r="X57" s="96">
        <f>IF(AND(Q57=1,T57=1,I57&lt;&gt;"",W57&lt;&gt;""),IF(I57&lt;&gt;W57,1,0),0)</f>
        <v>0</v>
      </c>
      <c r="Y57" s="96">
        <f>IF(N57=0,0,IF(OR(Q57=0,T57=0,V57=0,AND(X57=1,J57&lt;&gt;"Sim")),1,0))</f>
        <v>0</v>
      </c>
      <c r="Z57" s="96">
        <f>IF(Q57=1,INDEX('CDFs'!$W$6:$W$505,P57),0)</f>
        <v>0</v>
      </c>
      <c r="AA57" s="96">
        <f>IF(AND(N57=1,Y57=0,Z57=1,J57="Sim"),1,0)</f>
        <v>0</v>
      </c>
      <c r="AB57" s="96">
        <f>IF(AND(N57=1,O57&lt;&gt;"",D57&lt;&gt;""),IF(COUNTIFS($O$6:O57,O57,$D$6:D57,D57)=1,1,0),0)</f>
        <v>0</v>
      </c>
      <c r="AC57" s="96">
        <f>IF(T57=1,INDEX('ITENS_MTR'!$AL$6:$AL$1005,S57),0)</f>
        <v>0</v>
      </c>
    </row>
    <row r="58">
      <c r="A58" s="89" t="inlineStr">
        <is>
          <t>VIN-000053</t>
        </is>
      </c>
      <c r="B58" s="91" t="n"/>
      <c r="C58" s="91" t="n"/>
      <c r="D58" s="94" t="str">
        <f>IF(T58=1,INDEX('ITENS_MTR'!$S$6:$S$1005,S58)&amp;"","")</f>
        <v/>
      </c>
      <c r="E58" s="94" t="str">
        <f>IF(T58=1,INDEX('ITENS_MTR'!$C$6:$C$1005,S58)&amp;"","")</f>
        <v/>
      </c>
      <c r="F58" s="98" t="n"/>
      <c r="G58" s="91" t="n"/>
      <c r="H58" s="93" t="str">
        <f>IF(N58=0,"",IF(NOT(ISNUMBER(F58)),"",IF(ISNUMBER(U58),F58*U58,"UNIDADE A CONFERIR")))</f>
        <v/>
      </c>
      <c r="I58" s="94" t="str">
        <f>IF(Q58=1,INDEX('CDFs'!$F$6:$F$505,P58)&amp;"","")</f>
        <v/>
      </c>
      <c r="J58" s="91" t="n"/>
      <c r="K58" s="91" t="n"/>
      <c r="L58" s="94" t="str">
        <f>IF(N58=0,"",IF(NOT(ISNUMBER(F58)),"Quantidade não informada",IF(F58&lt;=0,"Quantidade não positiva",IF(G58="","Unidade não informada",IF(NOT(ISNUMBER(H58)),"Unidade a conferir",IF(AC58=1,"REVISAR VÍNCULO: soma vinculada maior que a referência do item","OK"))))))</f>
        <v/>
      </c>
      <c r="M58" s="94" t="str">
        <f>IF(N58=0,"",IF(B58="","CDF não informado",IF(Q58=0,"REVISAR VÍNCULO: CDF inexistente",IF(C58="","Item não informado",IF(T58=0,"REVISAR VÍNCULO: item inexistente",IF(AND(X58=1,J58&lt;&gt;"Sim"),"REVISAR VÍNCULO: destinador diferente do MTR",IF(X58=1,"Destinador diferente do MTR (analisado)","OK")))))))</f>
        <v/>
      </c>
      <c r="N58" s="96">
        <f>IF(COUNTA(B58:C58,F58:G58,J58:K58)&gt;0,1,0)</f>
        <v>0</v>
      </c>
      <c r="O58" s="96" t="str">
        <f>IF(B58="","",TRIM(LEFT(B58,FIND(" |",B58&amp;" |")-1)))</f>
        <v/>
      </c>
      <c r="P58" s="96" t="str">
        <f>IF(O58="","",IFERROR(MATCH(O58,'CDFs'!$A$6:$A$505,0),""))</f>
        <v/>
      </c>
      <c r="Q58" s="96">
        <f>IF(P58="",0,IF(INDEX('CDFs'!$S$6:$S$505,P58)=1,1,0))</f>
        <v>0</v>
      </c>
      <c r="R58" s="96" t="str">
        <f>IF(C58="","",TRIM(LEFT(C58,FIND(" |",C58&amp;" |")-1)))</f>
        <v/>
      </c>
      <c r="S58" s="96" t="str">
        <f>IF(R58="","",IFERROR(MATCH(R58,'ITENS_MTR'!$A$6:$A$1005,0),""))</f>
        <v/>
      </c>
      <c r="T58" s="96">
        <f>IF(S58="",0,IF(INDEX('ITENS_MTR'!$R$6:$R$1005,S58)=1,1,0))</f>
        <v>0</v>
      </c>
      <c r="U58" s="96" t="str">
        <f>IF(G58="","",IFERROR(IF(ISNUMBER(INDEX(cfg_fac,MATCH(G58,cfg_units,0))),IF(INDEX(cfg_fac,MATCH(G58,cfg_units,0))&gt;0,INDEX(cfg_fac,MATCH(G58,cfg_units,0)),""),""),""))</f>
        <v/>
      </c>
      <c r="V58" s="96">
        <f>IF(AND(ISNUMBER(F58),ISNUMBER(H58)),IF(H58&gt;0,1,0),0)</f>
        <v>0</v>
      </c>
      <c r="W58" s="96" t="str">
        <f>IF(T58=1,INDEX('ITENS_MTR'!$AU$6:$AU$1005,S58)&amp;"","")</f>
        <v/>
      </c>
      <c r="X58" s="96">
        <f>IF(AND(Q58=1,T58=1,I58&lt;&gt;"",W58&lt;&gt;""),IF(I58&lt;&gt;W58,1,0),0)</f>
        <v>0</v>
      </c>
      <c r="Y58" s="96">
        <f>IF(N58=0,0,IF(OR(Q58=0,T58=0,V58=0,AND(X58=1,J58&lt;&gt;"Sim")),1,0))</f>
        <v>0</v>
      </c>
      <c r="Z58" s="96">
        <f>IF(Q58=1,INDEX('CDFs'!$W$6:$W$505,P58),0)</f>
        <v>0</v>
      </c>
      <c r="AA58" s="96">
        <f>IF(AND(N58=1,Y58=0,Z58=1,J58="Sim"),1,0)</f>
        <v>0</v>
      </c>
      <c r="AB58" s="96">
        <f>IF(AND(N58=1,O58&lt;&gt;"",D58&lt;&gt;""),IF(COUNTIFS($O$6:O58,O58,$D$6:D58,D58)=1,1,0),0)</f>
        <v>0</v>
      </c>
      <c r="AC58" s="96">
        <f>IF(T58=1,INDEX('ITENS_MTR'!$AL$6:$AL$1005,S58),0)</f>
        <v>0</v>
      </c>
    </row>
    <row r="59">
      <c r="A59" s="89" t="inlineStr">
        <is>
          <t>VIN-000054</t>
        </is>
      </c>
      <c r="B59" s="91" t="n"/>
      <c r="C59" s="91" t="n"/>
      <c r="D59" s="94" t="str">
        <f>IF(T59=1,INDEX('ITENS_MTR'!$S$6:$S$1005,S59)&amp;"","")</f>
        <v/>
      </c>
      <c r="E59" s="94" t="str">
        <f>IF(T59=1,INDEX('ITENS_MTR'!$C$6:$C$1005,S59)&amp;"","")</f>
        <v/>
      </c>
      <c r="F59" s="98" t="n"/>
      <c r="G59" s="91" t="n"/>
      <c r="H59" s="93" t="str">
        <f>IF(N59=0,"",IF(NOT(ISNUMBER(F59)),"",IF(ISNUMBER(U59),F59*U59,"UNIDADE A CONFERIR")))</f>
        <v/>
      </c>
      <c r="I59" s="94" t="str">
        <f>IF(Q59=1,INDEX('CDFs'!$F$6:$F$505,P59)&amp;"","")</f>
        <v/>
      </c>
      <c r="J59" s="91" t="n"/>
      <c r="K59" s="91" t="n"/>
      <c r="L59" s="94" t="str">
        <f>IF(N59=0,"",IF(NOT(ISNUMBER(F59)),"Quantidade não informada",IF(F59&lt;=0,"Quantidade não positiva",IF(G59="","Unidade não informada",IF(NOT(ISNUMBER(H59)),"Unidade a conferir",IF(AC59=1,"REVISAR VÍNCULO: soma vinculada maior que a referência do item","OK"))))))</f>
        <v/>
      </c>
      <c r="M59" s="94" t="str">
        <f>IF(N59=0,"",IF(B59="","CDF não informado",IF(Q59=0,"REVISAR VÍNCULO: CDF inexistente",IF(C59="","Item não informado",IF(T59=0,"REVISAR VÍNCULO: item inexistente",IF(AND(X59=1,J59&lt;&gt;"Sim"),"REVISAR VÍNCULO: destinador diferente do MTR",IF(X59=1,"Destinador diferente do MTR (analisado)","OK")))))))</f>
        <v/>
      </c>
      <c r="N59" s="96">
        <f>IF(COUNTA(B59:C59,F59:G59,J59:K59)&gt;0,1,0)</f>
        <v>0</v>
      </c>
      <c r="O59" s="96" t="str">
        <f>IF(B59="","",TRIM(LEFT(B59,FIND(" |",B59&amp;" |")-1)))</f>
        <v/>
      </c>
      <c r="P59" s="96" t="str">
        <f>IF(O59="","",IFERROR(MATCH(O59,'CDFs'!$A$6:$A$505,0),""))</f>
        <v/>
      </c>
      <c r="Q59" s="96">
        <f>IF(P59="",0,IF(INDEX('CDFs'!$S$6:$S$505,P59)=1,1,0))</f>
        <v>0</v>
      </c>
      <c r="R59" s="96" t="str">
        <f>IF(C59="","",TRIM(LEFT(C59,FIND(" |",C59&amp;" |")-1)))</f>
        <v/>
      </c>
      <c r="S59" s="96" t="str">
        <f>IF(R59="","",IFERROR(MATCH(R59,'ITENS_MTR'!$A$6:$A$1005,0),""))</f>
        <v/>
      </c>
      <c r="T59" s="96">
        <f>IF(S59="",0,IF(INDEX('ITENS_MTR'!$R$6:$R$1005,S59)=1,1,0))</f>
        <v>0</v>
      </c>
      <c r="U59" s="96" t="str">
        <f>IF(G59="","",IFERROR(IF(ISNUMBER(INDEX(cfg_fac,MATCH(G59,cfg_units,0))),IF(INDEX(cfg_fac,MATCH(G59,cfg_units,0))&gt;0,INDEX(cfg_fac,MATCH(G59,cfg_units,0)),""),""),""))</f>
        <v/>
      </c>
      <c r="V59" s="96">
        <f>IF(AND(ISNUMBER(F59),ISNUMBER(H59)),IF(H59&gt;0,1,0),0)</f>
        <v>0</v>
      </c>
      <c r="W59" s="96" t="str">
        <f>IF(T59=1,INDEX('ITENS_MTR'!$AU$6:$AU$1005,S59)&amp;"","")</f>
        <v/>
      </c>
      <c r="X59" s="96">
        <f>IF(AND(Q59=1,T59=1,I59&lt;&gt;"",W59&lt;&gt;""),IF(I59&lt;&gt;W59,1,0),0)</f>
        <v>0</v>
      </c>
      <c r="Y59" s="96">
        <f>IF(N59=0,0,IF(OR(Q59=0,T59=0,V59=0,AND(X59=1,J59&lt;&gt;"Sim")),1,0))</f>
        <v>0</v>
      </c>
      <c r="Z59" s="96">
        <f>IF(Q59=1,INDEX('CDFs'!$W$6:$W$505,P59),0)</f>
        <v>0</v>
      </c>
      <c r="AA59" s="96">
        <f>IF(AND(N59=1,Y59=0,Z59=1,J59="Sim"),1,0)</f>
        <v>0</v>
      </c>
      <c r="AB59" s="96">
        <f>IF(AND(N59=1,O59&lt;&gt;"",D59&lt;&gt;""),IF(COUNTIFS($O$6:O59,O59,$D$6:D59,D59)=1,1,0),0)</f>
        <v>0</v>
      </c>
      <c r="AC59" s="96">
        <f>IF(T59=1,INDEX('ITENS_MTR'!$AL$6:$AL$1005,S59),0)</f>
        <v>0</v>
      </c>
    </row>
    <row r="60">
      <c r="A60" s="89" t="inlineStr">
        <is>
          <t>VIN-000055</t>
        </is>
      </c>
      <c r="B60" s="91" t="n"/>
      <c r="C60" s="91" t="n"/>
      <c r="D60" s="94" t="str">
        <f>IF(T60=1,INDEX('ITENS_MTR'!$S$6:$S$1005,S60)&amp;"","")</f>
        <v/>
      </c>
      <c r="E60" s="94" t="str">
        <f>IF(T60=1,INDEX('ITENS_MTR'!$C$6:$C$1005,S60)&amp;"","")</f>
        <v/>
      </c>
      <c r="F60" s="98" t="n"/>
      <c r="G60" s="91" t="n"/>
      <c r="H60" s="93" t="str">
        <f>IF(N60=0,"",IF(NOT(ISNUMBER(F60)),"",IF(ISNUMBER(U60),F60*U60,"UNIDADE A CONFERIR")))</f>
        <v/>
      </c>
      <c r="I60" s="94" t="str">
        <f>IF(Q60=1,INDEX('CDFs'!$F$6:$F$505,P60)&amp;"","")</f>
        <v/>
      </c>
      <c r="J60" s="91" t="n"/>
      <c r="K60" s="91" t="n"/>
      <c r="L60" s="94" t="str">
        <f>IF(N60=0,"",IF(NOT(ISNUMBER(F60)),"Quantidade não informada",IF(F60&lt;=0,"Quantidade não positiva",IF(G60="","Unidade não informada",IF(NOT(ISNUMBER(H60)),"Unidade a conferir",IF(AC60=1,"REVISAR VÍNCULO: soma vinculada maior que a referência do item","OK"))))))</f>
        <v/>
      </c>
      <c r="M60" s="94" t="str">
        <f>IF(N60=0,"",IF(B60="","CDF não informado",IF(Q60=0,"REVISAR VÍNCULO: CDF inexistente",IF(C60="","Item não informado",IF(T60=0,"REVISAR VÍNCULO: item inexistente",IF(AND(X60=1,J60&lt;&gt;"Sim"),"REVISAR VÍNCULO: destinador diferente do MTR",IF(X60=1,"Destinador diferente do MTR (analisado)","OK")))))))</f>
        <v/>
      </c>
      <c r="N60" s="96">
        <f>IF(COUNTA(B60:C60,F60:G60,J60:K60)&gt;0,1,0)</f>
        <v>0</v>
      </c>
      <c r="O60" s="96" t="str">
        <f>IF(B60="","",TRIM(LEFT(B60,FIND(" |",B60&amp;" |")-1)))</f>
        <v/>
      </c>
      <c r="P60" s="96" t="str">
        <f>IF(O60="","",IFERROR(MATCH(O60,'CDFs'!$A$6:$A$505,0),""))</f>
        <v/>
      </c>
      <c r="Q60" s="96">
        <f>IF(P60="",0,IF(INDEX('CDFs'!$S$6:$S$505,P60)=1,1,0))</f>
        <v>0</v>
      </c>
      <c r="R60" s="96" t="str">
        <f>IF(C60="","",TRIM(LEFT(C60,FIND(" |",C60&amp;" |")-1)))</f>
        <v/>
      </c>
      <c r="S60" s="96" t="str">
        <f>IF(R60="","",IFERROR(MATCH(R60,'ITENS_MTR'!$A$6:$A$1005,0),""))</f>
        <v/>
      </c>
      <c r="T60" s="96">
        <f>IF(S60="",0,IF(INDEX('ITENS_MTR'!$R$6:$R$1005,S60)=1,1,0))</f>
        <v>0</v>
      </c>
      <c r="U60" s="96" t="str">
        <f>IF(G60="","",IFERROR(IF(ISNUMBER(INDEX(cfg_fac,MATCH(G60,cfg_units,0))),IF(INDEX(cfg_fac,MATCH(G60,cfg_units,0))&gt;0,INDEX(cfg_fac,MATCH(G60,cfg_units,0)),""),""),""))</f>
        <v/>
      </c>
      <c r="V60" s="96">
        <f>IF(AND(ISNUMBER(F60),ISNUMBER(H60)),IF(H60&gt;0,1,0),0)</f>
        <v>0</v>
      </c>
      <c r="W60" s="96" t="str">
        <f>IF(T60=1,INDEX('ITENS_MTR'!$AU$6:$AU$1005,S60)&amp;"","")</f>
        <v/>
      </c>
      <c r="X60" s="96">
        <f>IF(AND(Q60=1,T60=1,I60&lt;&gt;"",W60&lt;&gt;""),IF(I60&lt;&gt;W60,1,0),0)</f>
        <v>0</v>
      </c>
      <c r="Y60" s="96">
        <f>IF(N60=0,0,IF(OR(Q60=0,T60=0,V60=0,AND(X60=1,J60&lt;&gt;"Sim")),1,0))</f>
        <v>0</v>
      </c>
      <c r="Z60" s="96">
        <f>IF(Q60=1,INDEX('CDFs'!$W$6:$W$505,P60),0)</f>
        <v>0</v>
      </c>
      <c r="AA60" s="96">
        <f>IF(AND(N60=1,Y60=0,Z60=1,J60="Sim"),1,0)</f>
        <v>0</v>
      </c>
      <c r="AB60" s="96">
        <f>IF(AND(N60=1,O60&lt;&gt;"",D60&lt;&gt;""),IF(COUNTIFS($O$6:O60,O60,$D$6:D60,D60)=1,1,0),0)</f>
        <v>0</v>
      </c>
      <c r="AC60" s="96">
        <f>IF(T60=1,INDEX('ITENS_MTR'!$AL$6:$AL$1005,S60),0)</f>
        <v>0</v>
      </c>
    </row>
    <row r="61">
      <c r="A61" s="89" t="inlineStr">
        <is>
          <t>VIN-000056</t>
        </is>
      </c>
      <c r="B61" s="91" t="n"/>
      <c r="C61" s="91" t="n"/>
      <c r="D61" s="94" t="str">
        <f>IF(T61=1,INDEX('ITENS_MTR'!$S$6:$S$1005,S61)&amp;"","")</f>
        <v/>
      </c>
      <c r="E61" s="94" t="str">
        <f>IF(T61=1,INDEX('ITENS_MTR'!$C$6:$C$1005,S61)&amp;"","")</f>
        <v/>
      </c>
      <c r="F61" s="98" t="n"/>
      <c r="G61" s="91" t="n"/>
      <c r="H61" s="93" t="str">
        <f>IF(N61=0,"",IF(NOT(ISNUMBER(F61)),"",IF(ISNUMBER(U61),F61*U61,"UNIDADE A CONFERIR")))</f>
        <v/>
      </c>
      <c r="I61" s="94" t="str">
        <f>IF(Q61=1,INDEX('CDFs'!$F$6:$F$505,P61)&amp;"","")</f>
        <v/>
      </c>
      <c r="J61" s="91" t="n"/>
      <c r="K61" s="91" t="n"/>
      <c r="L61" s="94" t="str">
        <f>IF(N61=0,"",IF(NOT(ISNUMBER(F61)),"Quantidade não informada",IF(F61&lt;=0,"Quantidade não positiva",IF(G61="","Unidade não informada",IF(NOT(ISNUMBER(H61)),"Unidade a conferir",IF(AC61=1,"REVISAR VÍNCULO: soma vinculada maior que a referência do item","OK"))))))</f>
        <v/>
      </c>
      <c r="M61" s="94" t="str">
        <f>IF(N61=0,"",IF(B61="","CDF não informado",IF(Q61=0,"REVISAR VÍNCULO: CDF inexistente",IF(C61="","Item não informado",IF(T61=0,"REVISAR VÍNCULO: item inexistente",IF(AND(X61=1,J61&lt;&gt;"Sim"),"REVISAR VÍNCULO: destinador diferente do MTR",IF(X61=1,"Destinador diferente do MTR (analisado)","OK")))))))</f>
        <v/>
      </c>
      <c r="N61" s="96">
        <f>IF(COUNTA(B61:C61,F61:G61,J61:K61)&gt;0,1,0)</f>
        <v>0</v>
      </c>
      <c r="O61" s="96" t="str">
        <f>IF(B61="","",TRIM(LEFT(B61,FIND(" |",B61&amp;" |")-1)))</f>
        <v/>
      </c>
      <c r="P61" s="96" t="str">
        <f>IF(O61="","",IFERROR(MATCH(O61,'CDFs'!$A$6:$A$505,0),""))</f>
        <v/>
      </c>
      <c r="Q61" s="96">
        <f>IF(P61="",0,IF(INDEX('CDFs'!$S$6:$S$505,P61)=1,1,0))</f>
        <v>0</v>
      </c>
      <c r="R61" s="96" t="str">
        <f>IF(C61="","",TRIM(LEFT(C61,FIND(" |",C61&amp;" |")-1)))</f>
        <v/>
      </c>
      <c r="S61" s="96" t="str">
        <f>IF(R61="","",IFERROR(MATCH(R61,'ITENS_MTR'!$A$6:$A$1005,0),""))</f>
        <v/>
      </c>
      <c r="T61" s="96">
        <f>IF(S61="",0,IF(INDEX('ITENS_MTR'!$R$6:$R$1005,S61)=1,1,0))</f>
        <v>0</v>
      </c>
      <c r="U61" s="96" t="str">
        <f>IF(G61="","",IFERROR(IF(ISNUMBER(INDEX(cfg_fac,MATCH(G61,cfg_units,0))),IF(INDEX(cfg_fac,MATCH(G61,cfg_units,0))&gt;0,INDEX(cfg_fac,MATCH(G61,cfg_units,0)),""),""),""))</f>
        <v/>
      </c>
      <c r="V61" s="96">
        <f>IF(AND(ISNUMBER(F61),ISNUMBER(H61)),IF(H61&gt;0,1,0),0)</f>
        <v>0</v>
      </c>
      <c r="W61" s="96" t="str">
        <f>IF(T61=1,INDEX('ITENS_MTR'!$AU$6:$AU$1005,S61)&amp;"","")</f>
        <v/>
      </c>
      <c r="X61" s="96">
        <f>IF(AND(Q61=1,T61=1,I61&lt;&gt;"",W61&lt;&gt;""),IF(I61&lt;&gt;W61,1,0),0)</f>
        <v>0</v>
      </c>
      <c r="Y61" s="96">
        <f>IF(N61=0,0,IF(OR(Q61=0,T61=0,V61=0,AND(X61=1,J61&lt;&gt;"Sim")),1,0))</f>
        <v>0</v>
      </c>
      <c r="Z61" s="96">
        <f>IF(Q61=1,INDEX('CDFs'!$W$6:$W$505,P61),0)</f>
        <v>0</v>
      </c>
      <c r="AA61" s="96">
        <f>IF(AND(N61=1,Y61=0,Z61=1,J61="Sim"),1,0)</f>
        <v>0</v>
      </c>
      <c r="AB61" s="96">
        <f>IF(AND(N61=1,O61&lt;&gt;"",D61&lt;&gt;""),IF(COUNTIFS($O$6:O61,O61,$D$6:D61,D61)=1,1,0),0)</f>
        <v>0</v>
      </c>
      <c r="AC61" s="96">
        <f>IF(T61=1,INDEX('ITENS_MTR'!$AL$6:$AL$1005,S61),0)</f>
        <v>0</v>
      </c>
    </row>
    <row r="62">
      <c r="A62" s="89" t="inlineStr">
        <is>
          <t>VIN-000057</t>
        </is>
      </c>
      <c r="B62" s="91" t="n"/>
      <c r="C62" s="91" t="n"/>
      <c r="D62" s="94" t="str">
        <f>IF(T62=1,INDEX('ITENS_MTR'!$S$6:$S$1005,S62)&amp;"","")</f>
        <v/>
      </c>
      <c r="E62" s="94" t="str">
        <f>IF(T62=1,INDEX('ITENS_MTR'!$C$6:$C$1005,S62)&amp;"","")</f>
        <v/>
      </c>
      <c r="F62" s="98" t="n"/>
      <c r="G62" s="91" t="n"/>
      <c r="H62" s="93" t="str">
        <f>IF(N62=0,"",IF(NOT(ISNUMBER(F62)),"",IF(ISNUMBER(U62),F62*U62,"UNIDADE A CONFERIR")))</f>
        <v/>
      </c>
      <c r="I62" s="94" t="str">
        <f>IF(Q62=1,INDEX('CDFs'!$F$6:$F$505,P62)&amp;"","")</f>
        <v/>
      </c>
      <c r="J62" s="91" t="n"/>
      <c r="K62" s="91" t="n"/>
      <c r="L62" s="94" t="str">
        <f>IF(N62=0,"",IF(NOT(ISNUMBER(F62)),"Quantidade não informada",IF(F62&lt;=0,"Quantidade não positiva",IF(G62="","Unidade não informada",IF(NOT(ISNUMBER(H62)),"Unidade a conferir",IF(AC62=1,"REVISAR VÍNCULO: soma vinculada maior que a referência do item","OK"))))))</f>
        <v/>
      </c>
      <c r="M62" s="94" t="str">
        <f>IF(N62=0,"",IF(B62="","CDF não informado",IF(Q62=0,"REVISAR VÍNCULO: CDF inexistente",IF(C62="","Item não informado",IF(T62=0,"REVISAR VÍNCULO: item inexistente",IF(AND(X62=1,J62&lt;&gt;"Sim"),"REVISAR VÍNCULO: destinador diferente do MTR",IF(X62=1,"Destinador diferente do MTR (analisado)","OK")))))))</f>
        <v/>
      </c>
      <c r="N62" s="96">
        <f>IF(COUNTA(B62:C62,F62:G62,J62:K62)&gt;0,1,0)</f>
        <v>0</v>
      </c>
      <c r="O62" s="96" t="str">
        <f>IF(B62="","",TRIM(LEFT(B62,FIND(" |",B62&amp;" |")-1)))</f>
        <v/>
      </c>
      <c r="P62" s="96" t="str">
        <f>IF(O62="","",IFERROR(MATCH(O62,'CDFs'!$A$6:$A$505,0),""))</f>
        <v/>
      </c>
      <c r="Q62" s="96">
        <f>IF(P62="",0,IF(INDEX('CDFs'!$S$6:$S$505,P62)=1,1,0))</f>
        <v>0</v>
      </c>
      <c r="R62" s="96" t="str">
        <f>IF(C62="","",TRIM(LEFT(C62,FIND(" |",C62&amp;" |")-1)))</f>
        <v/>
      </c>
      <c r="S62" s="96" t="str">
        <f>IF(R62="","",IFERROR(MATCH(R62,'ITENS_MTR'!$A$6:$A$1005,0),""))</f>
        <v/>
      </c>
      <c r="T62" s="96">
        <f>IF(S62="",0,IF(INDEX('ITENS_MTR'!$R$6:$R$1005,S62)=1,1,0))</f>
        <v>0</v>
      </c>
      <c r="U62" s="96" t="str">
        <f>IF(G62="","",IFERROR(IF(ISNUMBER(INDEX(cfg_fac,MATCH(G62,cfg_units,0))),IF(INDEX(cfg_fac,MATCH(G62,cfg_units,0))&gt;0,INDEX(cfg_fac,MATCH(G62,cfg_units,0)),""),""),""))</f>
        <v/>
      </c>
      <c r="V62" s="96">
        <f>IF(AND(ISNUMBER(F62),ISNUMBER(H62)),IF(H62&gt;0,1,0),0)</f>
        <v>0</v>
      </c>
      <c r="W62" s="96" t="str">
        <f>IF(T62=1,INDEX('ITENS_MTR'!$AU$6:$AU$1005,S62)&amp;"","")</f>
        <v/>
      </c>
      <c r="X62" s="96">
        <f>IF(AND(Q62=1,T62=1,I62&lt;&gt;"",W62&lt;&gt;""),IF(I62&lt;&gt;W62,1,0),0)</f>
        <v>0</v>
      </c>
      <c r="Y62" s="96">
        <f>IF(N62=0,0,IF(OR(Q62=0,T62=0,V62=0,AND(X62=1,J62&lt;&gt;"Sim")),1,0))</f>
        <v>0</v>
      </c>
      <c r="Z62" s="96">
        <f>IF(Q62=1,INDEX('CDFs'!$W$6:$W$505,P62),0)</f>
        <v>0</v>
      </c>
      <c r="AA62" s="96">
        <f>IF(AND(N62=1,Y62=0,Z62=1,J62="Sim"),1,0)</f>
        <v>0</v>
      </c>
      <c r="AB62" s="96">
        <f>IF(AND(N62=1,O62&lt;&gt;"",D62&lt;&gt;""),IF(COUNTIFS($O$6:O62,O62,$D$6:D62,D62)=1,1,0),0)</f>
        <v>0</v>
      </c>
      <c r="AC62" s="96">
        <f>IF(T62=1,INDEX('ITENS_MTR'!$AL$6:$AL$1005,S62),0)</f>
        <v>0</v>
      </c>
    </row>
    <row r="63">
      <c r="A63" s="89" t="inlineStr">
        <is>
          <t>VIN-000058</t>
        </is>
      </c>
      <c r="B63" s="91" t="n"/>
      <c r="C63" s="91" t="n"/>
      <c r="D63" s="94" t="str">
        <f>IF(T63=1,INDEX('ITENS_MTR'!$S$6:$S$1005,S63)&amp;"","")</f>
        <v/>
      </c>
      <c r="E63" s="94" t="str">
        <f>IF(T63=1,INDEX('ITENS_MTR'!$C$6:$C$1005,S63)&amp;"","")</f>
        <v/>
      </c>
      <c r="F63" s="98" t="n"/>
      <c r="G63" s="91" t="n"/>
      <c r="H63" s="93" t="str">
        <f>IF(N63=0,"",IF(NOT(ISNUMBER(F63)),"",IF(ISNUMBER(U63),F63*U63,"UNIDADE A CONFERIR")))</f>
        <v/>
      </c>
      <c r="I63" s="94" t="str">
        <f>IF(Q63=1,INDEX('CDFs'!$F$6:$F$505,P63)&amp;"","")</f>
        <v/>
      </c>
      <c r="J63" s="91" t="n"/>
      <c r="K63" s="91" t="n"/>
      <c r="L63" s="94" t="str">
        <f>IF(N63=0,"",IF(NOT(ISNUMBER(F63)),"Quantidade não informada",IF(F63&lt;=0,"Quantidade não positiva",IF(G63="","Unidade não informada",IF(NOT(ISNUMBER(H63)),"Unidade a conferir",IF(AC63=1,"REVISAR VÍNCULO: soma vinculada maior que a referência do item","OK"))))))</f>
        <v/>
      </c>
      <c r="M63" s="94" t="str">
        <f>IF(N63=0,"",IF(B63="","CDF não informado",IF(Q63=0,"REVISAR VÍNCULO: CDF inexistente",IF(C63="","Item não informado",IF(T63=0,"REVISAR VÍNCULO: item inexistente",IF(AND(X63=1,J63&lt;&gt;"Sim"),"REVISAR VÍNCULO: destinador diferente do MTR",IF(X63=1,"Destinador diferente do MTR (analisado)","OK")))))))</f>
        <v/>
      </c>
      <c r="N63" s="96">
        <f>IF(COUNTA(B63:C63,F63:G63,J63:K63)&gt;0,1,0)</f>
        <v>0</v>
      </c>
      <c r="O63" s="96" t="str">
        <f>IF(B63="","",TRIM(LEFT(B63,FIND(" |",B63&amp;" |")-1)))</f>
        <v/>
      </c>
      <c r="P63" s="96" t="str">
        <f>IF(O63="","",IFERROR(MATCH(O63,'CDFs'!$A$6:$A$505,0),""))</f>
        <v/>
      </c>
      <c r="Q63" s="96">
        <f>IF(P63="",0,IF(INDEX('CDFs'!$S$6:$S$505,P63)=1,1,0))</f>
        <v>0</v>
      </c>
      <c r="R63" s="96" t="str">
        <f>IF(C63="","",TRIM(LEFT(C63,FIND(" |",C63&amp;" |")-1)))</f>
        <v/>
      </c>
      <c r="S63" s="96" t="str">
        <f>IF(R63="","",IFERROR(MATCH(R63,'ITENS_MTR'!$A$6:$A$1005,0),""))</f>
        <v/>
      </c>
      <c r="T63" s="96">
        <f>IF(S63="",0,IF(INDEX('ITENS_MTR'!$R$6:$R$1005,S63)=1,1,0))</f>
        <v>0</v>
      </c>
      <c r="U63" s="96" t="str">
        <f>IF(G63="","",IFERROR(IF(ISNUMBER(INDEX(cfg_fac,MATCH(G63,cfg_units,0))),IF(INDEX(cfg_fac,MATCH(G63,cfg_units,0))&gt;0,INDEX(cfg_fac,MATCH(G63,cfg_units,0)),""),""),""))</f>
        <v/>
      </c>
      <c r="V63" s="96">
        <f>IF(AND(ISNUMBER(F63),ISNUMBER(H63)),IF(H63&gt;0,1,0),0)</f>
        <v>0</v>
      </c>
      <c r="W63" s="96" t="str">
        <f>IF(T63=1,INDEX('ITENS_MTR'!$AU$6:$AU$1005,S63)&amp;"","")</f>
        <v/>
      </c>
      <c r="X63" s="96">
        <f>IF(AND(Q63=1,T63=1,I63&lt;&gt;"",W63&lt;&gt;""),IF(I63&lt;&gt;W63,1,0),0)</f>
        <v>0</v>
      </c>
      <c r="Y63" s="96">
        <f>IF(N63=0,0,IF(OR(Q63=0,T63=0,V63=0,AND(X63=1,J63&lt;&gt;"Sim")),1,0))</f>
        <v>0</v>
      </c>
      <c r="Z63" s="96">
        <f>IF(Q63=1,INDEX('CDFs'!$W$6:$W$505,P63),0)</f>
        <v>0</v>
      </c>
      <c r="AA63" s="96">
        <f>IF(AND(N63=1,Y63=0,Z63=1,J63="Sim"),1,0)</f>
        <v>0</v>
      </c>
      <c r="AB63" s="96">
        <f>IF(AND(N63=1,O63&lt;&gt;"",D63&lt;&gt;""),IF(COUNTIFS($O$6:O63,O63,$D$6:D63,D63)=1,1,0),0)</f>
        <v>0</v>
      </c>
      <c r="AC63" s="96">
        <f>IF(T63=1,INDEX('ITENS_MTR'!$AL$6:$AL$1005,S63),0)</f>
        <v>0</v>
      </c>
    </row>
    <row r="64">
      <c r="A64" s="89" t="inlineStr">
        <is>
          <t>VIN-000059</t>
        </is>
      </c>
      <c r="B64" s="91" t="n"/>
      <c r="C64" s="91" t="n"/>
      <c r="D64" s="94" t="str">
        <f>IF(T64=1,INDEX('ITENS_MTR'!$S$6:$S$1005,S64)&amp;"","")</f>
        <v/>
      </c>
      <c r="E64" s="94" t="str">
        <f>IF(T64=1,INDEX('ITENS_MTR'!$C$6:$C$1005,S64)&amp;"","")</f>
        <v/>
      </c>
      <c r="F64" s="98" t="n"/>
      <c r="G64" s="91" t="n"/>
      <c r="H64" s="93" t="str">
        <f>IF(N64=0,"",IF(NOT(ISNUMBER(F64)),"",IF(ISNUMBER(U64),F64*U64,"UNIDADE A CONFERIR")))</f>
        <v/>
      </c>
      <c r="I64" s="94" t="str">
        <f>IF(Q64=1,INDEX('CDFs'!$F$6:$F$505,P64)&amp;"","")</f>
        <v/>
      </c>
      <c r="J64" s="91" t="n"/>
      <c r="K64" s="91" t="n"/>
      <c r="L64" s="94" t="str">
        <f>IF(N64=0,"",IF(NOT(ISNUMBER(F64)),"Quantidade não informada",IF(F64&lt;=0,"Quantidade não positiva",IF(G64="","Unidade não informada",IF(NOT(ISNUMBER(H64)),"Unidade a conferir",IF(AC64=1,"REVISAR VÍNCULO: soma vinculada maior que a referência do item","OK"))))))</f>
        <v/>
      </c>
      <c r="M64" s="94" t="str">
        <f>IF(N64=0,"",IF(B64="","CDF não informado",IF(Q64=0,"REVISAR VÍNCULO: CDF inexistente",IF(C64="","Item não informado",IF(T64=0,"REVISAR VÍNCULO: item inexistente",IF(AND(X64=1,J64&lt;&gt;"Sim"),"REVISAR VÍNCULO: destinador diferente do MTR",IF(X64=1,"Destinador diferente do MTR (analisado)","OK")))))))</f>
        <v/>
      </c>
      <c r="N64" s="96">
        <f>IF(COUNTA(B64:C64,F64:G64,J64:K64)&gt;0,1,0)</f>
        <v>0</v>
      </c>
      <c r="O64" s="96" t="str">
        <f>IF(B64="","",TRIM(LEFT(B64,FIND(" |",B64&amp;" |")-1)))</f>
        <v/>
      </c>
      <c r="P64" s="96" t="str">
        <f>IF(O64="","",IFERROR(MATCH(O64,'CDFs'!$A$6:$A$505,0),""))</f>
        <v/>
      </c>
      <c r="Q64" s="96">
        <f>IF(P64="",0,IF(INDEX('CDFs'!$S$6:$S$505,P64)=1,1,0))</f>
        <v>0</v>
      </c>
      <c r="R64" s="96" t="str">
        <f>IF(C64="","",TRIM(LEFT(C64,FIND(" |",C64&amp;" |")-1)))</f>
        <v/>
      </c>
      <c r="S64" s="96" t="str">
        <f>IF(R64="","",IFERROR(MATCH(R64,'ITENS_MTR'!$A$6:$A$1005,0),""))</f>
        <v/>
      </c>
      <c r="T64" s="96">
        <f>IF(S64="",0,IF(INDEX('ITENS_MTR'!$R$6:$R$1005,S64)=1,1,0))</f>
        <v>0</v>
      </c>
      <c r="U64" s="96" t="str">
        <f>IF(G64="","",IFERROR(IF(ISNUMBER(INDEX(cfg_fac,MATCH(G64,cfg_units,0))),IF(INDEX(cfg_fac,MATCH(G64,cfg_units,0))&gt;0,INDEX(cfg_fac,MATCH(G64,cfg_units,0)),""),""),""))</f>
        <v/>
      </c>
      <c r="V64" s="96">
        <f>IF(AND(ISNUMBER(F64),ISNUMBER(H64)),IF(H64&gt;0,1,0),0)</f>
        <v>0</v>
      </c>
      <c r="W64" s="96" t="str">
        <f>IF(T64=1,INDEX('ITENS_MTR'!$AU$6:$AU$1005,S64)&amp;"","")</f>
        <v/>
      </c>
      <c r="X64" s="96">
        <f>IF(AND(Q64=1,T64=1,I64&lt;&gt;"",W64&lt;&gt;""),IF(I64&lt;&gt;W64,1,0),0)</f>
        <v>0</v>
      </c>
      <c r="Y64" s="96">
        <f>IF(N64=0,0,IF(OR(Q64=0,T64=0,V64=0,AND(X64=1,J64&lt;&gt;"Sim")),1,0))</f>
        <v>0</v>
      </c>
      <c r="Z64" s="96">
        <f>IF(Q64=1,INDEX('CDFs'!$W$6:$W$505,P64),0)</f>
        <v>0</v>
      </c>
      <c r="AA64" s="96">
        <f>IF(AND(N64=1,Y64=0,Z64=1,J64="Sim"),1,0)</f>
        <v>0</v>
      </c>
      <c r="AB64" s="96">
        <f>IF(AND(N64=1,O64&lt;&gt;"",D64&lt;&gt;""),IF(COUNTIFS($O$6:O64,O64,$D$6:D64,D64)=1,1,0),0)</f>
        <v>0</v>
      </c>
      <c r="AC64" s="96">
        <f>IF(T64=1,INDEX('ITENS_MTR'!$AL$6:$AL$1005,S64),0)</f>
        <v>0</v>
      </c>
    </row>
    <row r="65">
      <c r="A65" s="89" t="inlineStr">
        <is>
          <t>VIN-000060</t>
        </is>
      </c>
      <c r="B65" s="91" t="n"/>
      <c r="C65" s="91" t="n"/>
      <c r="D65" s="94" t="str">
        <f>IF(T65=1,INDEX('ITENS_MTR'!$S$6:$S$1005,S65)&amp;"","")</f>
        <v/>
      </c>
      <c r="E65" s="94" t="str">
        <f>IF(T65=1,INDEX('ITENS_MTR'!$C$6:$C$1005,S65)&amp;"","")</f>
        <v/>
      </c>
      <c r="F65" s="98" t="n"/>
      <c r="G65" s="91" t="n"/>
      <c r="H65" s="93" t="str">
        <f>IF(N65=0,"",IF(NOT(ISNUMBER(F65)),"",IF(ISNUMBER(U65),F65*U65,"UNIDADE A CONFERIR")))</f>
        <v/>
      </c>
      <c r="I65" s="94" t="str">
        <f>IF(Q65=1,INDEX('CDFs'!$F$6:$F$505,P65)&amp;"","")</f>
        <v/>
      </c>
      <c r="J65" s="91" t="n"/>
      <c r="K65" s="91" t="n"/>
      <c r="L65" s="94" t="str">
        <f>IF(N65=0,"",IF(NOT(ISNUMBER(F65)),"Quantidade não informada",IF(F65&lt;=0,"Quantidade não positiva",IF(G65="","Unidade não informada",IF(NOT(ISNUMBER(H65)),"Unidade a conferir",IF(AC65=1,"REVISAR VÍNCULO: soma vinculada maior que a referência do item","OK"))))))</f>
        <v/>
      </c>
      <c r="M65" s="94" t="str">
        <f>IF(N65=0,"",IF(B65="","CDF não informado",IF(Q65=0,"REVISAR VÍNCULO: CDF inexistente",IF(C65="","Item não informado",IF(T65=0,"REVISAR VÍNCULO: item inexistente",IF(AND(X65=1,J65&lt;&gt;"Sim"),"REVISAR VÍNCULO: destinador diferente do MTR",IF(X65=1,"Destinador diferente do MTR (analisado)","OK")))))))</f>
        <v/>
      </c>
      <c r="N65" s="96">
        <f>IF(COUNTA(B65:C65,F65:G65,J65:K65)&gt;0,1,0)</f>
        <v>0</v>
      </c>
      <c r="O65" s="96" t="str">
        <f>IF(B65="","",TRIM(LEFT(B65,FIND(" |",B65&amp;" |")-1)))</f>
        <v/>
      </c>
      <c r="P65" s="96" t="str">
        <f>IF(O65="","",IFERROR(MATCH(O65,'CDFs'!$A$6:$A$505,0),""))</f>
        <v/>
      </c>
      <c r="Q65" s="96">
        <f>IF(P65="",0,IF(INDEX('CDFs'!$S$6:$S$505,P65)=1,1,0))</f>
        <v>0</v>
      </c>
      <c r="R65" s="96" t="str">
        <f>IF(C65="","",TRIM(LEFT(C65,FIND(" |",C65&amp;" |")-1)))</f>
        <v/>
      </c>
      <c r="S65" s="96" t="str">
        <f>IF(R65="","",IFERROR(MATCH(R65,'ITENS_MTR'!$A$6:$A$1005,0),""))</f>
        <v/>
      </c>
      <c r="T65" s="96">
        <f>IF(S65="",0,IF(INDEX('ITENS_MTR'!$R$6:$R$1005,S65)=1,1,0))</f>
        <v>0</v>
      </c>
      <c r="U65" s="96" t="str">
        <f>IF(G65="","",IFERROR(IF(ISNUMBER(INDEX(cfg_fac,MATCH(G65,cfg_units,0))),IF(INDEX(cfg_fac,MATCH(G65,cfg_units,0))&gt;0,INDEX(cfg_fac,MATCH(G65,cfg_units,0)),""),""),""))</f>
        <v/>
      </c>
      <c r="V65" s="96">
        <f>IF(AND(ISNUMBER(F65),ISNUMBER(H65)),IF(H65&gt;0,1,0),0)</f>
        <v>0</v>
      </c>
      <c r="W65" s="96" t="str">
        <f>IF(T65=1,INDEX('ITENS_MTR'!$AU$6:$AU$1005,S65)&amp;"","")</f>
        <v/>
      </c>
      <c r="X65" s="96">
        <f>IF(AND(Q65=1,T65=1,I65&lt;&gt;"",W65&lt;&gt;""),IF(I65&lt;&gt;W65,1,0),0)</f>
        <v>0</v>
      </c>
      <c r="Y65" s="96">
        <f>IF(N65=0,0,IF(OR(Q65=0,T65=0,V65=0,AND(X65=1,J65&lt;&gt;"Sim")),1,0))</f>
        <v>0</v>
      </c>
      <c r="Z65" s="96">
        <f>IF(Q65=1,INDEX('CDFs'!$W$6:$W$505,P65),0)</f>
        <v>0</v>
      </c>
      <c r="AA65" s="96">
        <f>IF(AND(N65=1,Y65=0,Z65=1,J65="Sim"),1,0)</f>
        <v>0</v>
      </c>
      <c r="AB65" s="96">
        <f>IF(AND(N65=1,O65&lt;&gt;"",D65&lt;&gt;""),IF(COUNTIFS($O$6:O65,O65,$D$6:D65,D65)=1,1,0),0)</f>
        <v>0</v>
      </c>
      <c r="AC65" s="96">
        <f>IF(T65=1,INDEX('ITENS_MTR'!$AL$6:$AL$1005,S65),0)</f>
        <v>0</v>
      </c>
    </row>
    <row r="66">
      <c r="A66" s="89" t="inlineStr">
        <is>
          <t>VIN-000061</t>
        </is>
      </c>
      <c r="B66" s="91" t="n"/>
      <c r="C66" s="91" t="n"/>
      <c r="D66" s="94" t="str">
        <f>IF(T66=1,INDEX('ITENS_MTR'!$S$6:$S$1005,S66)&amp;"","")</f>
        <v/>
      </c>
      <c r="E66" s="94" t="str">
        <f>IF(T66=1,INDEX('ITENS_MTR'!$C$6:$C$1005,S66)&amp;"","")</f>
        <v/>
      </c>
      <c r="F66" s="98" t="n"/>
      <c r="G66" s="91" t="n"/>
      <c r="H66" s="93" t="str">
        <f>IF(N66=0,"",IF(NOT(ISNUMBER(F66)),"",IF(ISNUMBER(U66),F66*U66,"UNIDADE A CONFERIR")))</f>
        <v/>
      </c>
      <c r="I66" s="94" t="str">
        <f>IF(Q66=1,INDEX('CDFs'!$F$6:$F$505,P66)&amp;"","")</f>
        <v/>
      </c>
      <c r="J66" s="91" t="n"/>
      <c r="K66" s="91" t="n"/>
      <c r="L66" s="94" t="str">
        <f>IF(N66=0,"",IF(NOT(ISNUMBER(F66)),"Quantidade não informada",IF(F66&lt;=0,"Quantidade não positiva",IF(G66="","Unidade não informada",IF(NOT(ISNUMBER(H66)),"Unidade a conferir",IF(AC66=1,"REVISAR VÍNCULO: soma vinculada maior que a referência do item","OK"))))))</f>
        <v/>
      </c>
      <c r="M66" s="94" t="str">
        <f>IF(N66=0,"",IF(B66="","CDF não informado",IF(Q66=0,"REVISAR VÍNCULO: CDF inexistente",IF(C66="","Item não informado",IF(T66=0,"REVISAR VÍNCULO: item inexistente",IF(AND(X66=1,J66&lt;&gt;"Sim"),"REVISAR VÍNCULO: destinador diferente do MTR",IF(X66=1,"Destinador diferente do MTR (analisado)","OK")))))))</f>
        <v/>
      </c>
      <c r="N66" s="96">
        <f>IF(COUNTA(B66:C66,F66:G66,J66:K66)&gt;0,1,0)</f>
        <v>0</v>
      </c>
      <c r="O66" s="96" t="str">
        <f>IF(B66="","",TRIM(LEFT(B66,FIND(" |",B66&amp;" |")-1)))</f>
        <v/>
      </c>
      <c r="P66" s="96" t="str">
        <f>IF(O66="","",IFERROR(MATCH(O66,'CDFs'!$A$6:$A$505,0),""))</f>
        <v/>
      </c>
      <c r="Q66" s="96">
        <f>IF(P66="",0,IF(INDEX('CDFs'!$S$6:$S$505,P66)=1,1,0))</f>
        <v>0</v>
      </c>
      <c r="R66" s="96" t="str">
        <f>IF(C66="","",TRIM(LEFT(C66,FIND(" |",C66&amp;" |")-1)))</f>
        <v/>
      </c>
      <c r="S66" s="96" t="str">
        <f>IF(R66="","",IFERROR(MATCH(R66,'ITENS_MTR'!$A$6:$A$1005,0),""))</f>
        <v/>
      </c>
      <c r="T66" s="96">
        <f>IF(S66="",0,IF(INDEX('ITENS_MTR'!$R$6:$R$1005,S66)=1,1,0))</f>
        <v>0</v>
      </c>
      <c r="U66" s="96" t="str">
        <f>IF(G66="","",IFERROR(IF(ISNUMBER(INDEX(cfg_fac,MATCH(G66,cfg_units,0))),IF(INDEX(cfg_fac,MATCH(G66,cfg_units,0))&gt;0,INDEX(cfg_fac,MATCH(G66,cfg_units,0)),""),""),""))</f>
        <v/>
      </c>
      <c r="V66" s="96">
        <f>IF(AND(ISNUMBER(F66),ISNUMBER(H66)),IF(H66&gt;0,1,0),0)</f>
        <v>0</v>
      </c>
      <c r="W66" s="96" t="str">
        <f>IF(T66=1,INDEX('ITENS_MTR'!$AU$6:$AU$1005,S66)&amp;"","")</f>
        <v/>
      </c>
      <c r="X66" s="96">
        <f>IF(AND(Q66=1,T66=1,I66&lt;&gt;"",W66&lt;&gt;""),IF(I66&lt;&gt;W66,1,0),0)</f>
        <v>0</v>
      </c>
      <c r="Y66" s="96">
        <f>IF(N66=0,0,IF(OR(Q66=0,T66=0,V66=0,AND(X66=1,J66&lt;&gt;"Sim")),1,0))</f>
        <v>0</v>
      </c>
      <c r="Z66" s="96">
        <f>IF(Q66=1,INDEX('CDFs'!$W$6:$W$505,P66),0)</f>
        <v>0</v>
      </c>
      <c r="AA66" s="96">
        <f>IF(AND(N66=1,Y66=0,Z66=1,J66="Sim"),1,0)</f>
        <v>0</v>
      </c>
      <c r="AB66" s="96">
        <f>IF(AND(N66=1,O66&lt;&gt;"",D66&lt;&gt;""),IF(COUNTIFS($O$6:O66,O66,$D$6:D66,D66)=1,1,0),0)</f>
        <v>0</v>
      </c>
      <c r="AC66" s="96">
        <f>IF(T66=1,INDEX('ITENS_MTR'!$AL$6:$AL$1005,S66),0)</f>
        <v>0</v>
      </c>
    </row>
    <row r="67">
      <c r="A67" s="89" t="inlineStr">
        <is>
          <t>VIN-000062</t>
        </is>
      </c>
      <c r="B67" s="91" t="n"/>
      <c r="C67" s="91" t="n"/>
      <c r="D67" s="94" t="str">
        <f>IF(T67=1,INDEX('ITENS_MTR'!$S$6:$S$1005,S67)&amp;"","")</f>
        <v/>
      </c>
      <c r="E67" s="94" t="str">
        <f>IF(T67=1,INDEX('ITENS_MTR'!$C$6:$C$1005,S67)&amp;"","")</f>
        <v/>
      </c>
      <c r="F67" s="98" t="n"/>
      <c r="G67" s="91" t="n"/>
      <c r="H67" s="93" t="str">
        <f>IF(N67=0,"",IF(NOT(ISNUMBER(F67)),"",IF(ISNUMBER(U67),F67*U67,"UNIDADE A CONFERIR")))</f>
        <v/>
      </c>
      <c r="I67" s="94" t="str">
        <f>IF(Q67=1,INDEX('CDFs'!$F$6:$F$505,P67)&amp;"","")</f>
        <v/>
      </c>
      <c r="J67" s="91" t="n"/>
      <c r="K67" s="91" t="n"/>
      <c r="L67" s="94" t="str">
        <f>IF(N67=0,"",IF(NOT(ISNUMBER(F67)),"Quantidade não informada",IF(F67&lt;=0,"Quantidade não positiva",IF(G67="","Unidade não informada",IF(NOT(ISNUMBER(H67)),"Unidade a conferir",IF(AC67=1,"REVISAR VÍNCULO: soma vinculada maior que a referência do item","OK"))))))</f>
        <v/>
      </c>
      <c r="M67" s="94" t="str">
        <f>IF(N67=0,"",IF(B67="","CDF não informado",IF(Q67=0,"REVISAR VÍNCULO: CDF inexistente",IF(C67="","Item não informado",IF(T67=0,"REVISAR VÍNCULO: item inexistente",IF(AND(X67=1,J67&lt;&gt;"Sim"),"REVISAR VÍNCULO: destinador diferente do MTR",IF(X67=1,"Destinador diferente do MTR (analisado)","OK")))))))</f>
        <v/>
      </c>
      <c r="N67" s="96">
        <f>IF(COUNTA(B67:C67,F67:G67,J67:K67)&gt;0,1,0)</f>
        <v>0</v>
      </c>
      <c r="O67" s="96" t="str">
        <f>IF(B67="","",TRIM(LEFT(B67,FIND(" |",B67&amp;" |")-1)))</f>
        <v/>
      </c>
      <c r="P67" s="96" t="str">
        <f>IF(O67="","",IFERROR(MATCH(O67,'CDFs'!$A$6:$A$505,0),""))</f>
        <v/>
      </c>
      <c r="Q67" s="96">
        <f>IF(P67="",0,IF(INDEX('CDFs'!$S$6:$S$505,P67)=1,1,0))</f>
        <v>0</v>
      </c>
      <c r="R67" s="96" t="str">
        <f>IF(C67="","",TRIM(LEFT(C67,FIND(" |",C67&amp;" |")-1)))</f>
        <v/>
      </c>
      <c r="S67" s="96" t="str">
        <f>IF(R67="","",IFERROR(MATCH(R67,'ITENS_MTR'!$A$6:$A$1005,0),""))</f>
        <v/>
      </c>
      <c r="T67" s="96">
        <f>IF(S67="",0,IF(INDEX('ITENS_MTR'!$R$6:$R$1005,S67)=1,1,0))</f>
        <v>0</v>
      </c>
      <c r="U67" s="96" t="str">
        <f>IF(G67="","",IFERROR(IF(ISNUMBER(INDEX(cfg_fac,MATCH(G67,cfg_units,0))),IF(INDEX(cfg_fac,MATCH(G67,cfg_units,0))&gt;0,INDEX(cfg_fac,MATCH(G67,cfg_units,0)),""),""),""))</f>
        <v/>
      </c>
      <c r="V67" s="96">
        <f>IF(AND(ISNUMBER(F67),ISNUMBER(H67)),IF(H67&gt;0,1,0),0)</f>
        <v>0</v>
      </c>
      <c r="W67" s="96" t="str">
        <f>IF(T67=1,INDEX('ITENS_MTR'!$AU$6:$AU$1005,S67)&amp;"","")</f>
        <v/>
      </c>
      <c r="X67" s="96">
        <f>IF(AND(Q67=1,T67=1,I67&lt;&gt;"",W67&lt;&gt;""),IF(I67&lt;&gt;W67,1,0),0)</f>
        <v>0</v>
      </c>
      <c r="Y67" s="96">
        <f>IF(N67=0,0,IF(OR(Q67=0,T67=0,V67=0,AND(X67=1,J67&lt;&gt;"Sim")),1,0))</f>
        <v>0</v>
      </c>
      <c r="Z67" s="96">
        <f>IF(Q67=1,INDEX('CDFs'!$W$6:$W$505,P67),0)</f>
        <v>0</v>
      </c>
      <c r="AA67" s="96">
        <f>IF(AND(N67=1,Y67=0,Z67=1,J67="Sim"),1,0)</f>
        <v>0</v>
      </c>
      <c r="AB67" s="96">
        <f>IF(AND(N67=1,O67&lt;&gt;"",D67&lt;&gt;""),IF(COUNTIFS($O$6:O67,O67,$D$6:D67,D67)=1,1,0),0)</f>
        <v>0</v>
      </c>
      <c r="AC67" s="96">
        <f>IF(T67=1,INDEX('ITENS_MTR'!$AL$6:$AL$1005,S67),0)</f>
        <v>0</v>
      </c>
    </row>
    <row r="68">
      <c r="A68" s="89" t="inlineStr">
        <is>
          <t>VIN-000063</t>
        </is>
      </c>
      <c r="B68" s="91" t="n"/>
      <c r="C68" s="91" t="n"/>
      <c r="D68" s="94" t="str">
        <f>IF(T68=1,INDEX('ITENS_MTR'!$S$6:$S$1005,S68)&amp;"","")</f>
        <v/>
      </c>
      <c r="E68" s="94" t="str">
        <f>IF(T68=1,INDEX('ITENS_MTR'!$C$6:$C$1005,S68)&amp;"","")</f>
        <v/>
      </c>
      <c r="F68" s="98" t="n"/>
      <c r="G68" s="91" t="n"/>
      <c r="H68" s="93" t="str">
        <f>IF(N68=0,"",IF(NOT(ISNUMBER(F68)),"",IF(ISNUMBER(U68),F68*U68,"UNIDADE A CONFERIR")))</f>
        <v/>
      </c>
      <c r="I68" s="94" t="str">
        <f>IF(Q68=1,INDEX('CDFs'!$F$6:$F$505,P68)&amp;"","")</f>
        <v/>
      </c>
      <c r="J68" s="91" t="n"/>
      <c r="K68" s="91" t="n"/>
      <c r="L68" s="94" t="str">
        <f>IF(N68=0,"",IF(NOT(ISNUMBER(F68)),"Quantidade não informada",IF(F68&lt;=0,"Quantidade não positiva",IF(G68="","Unidade não informada",IF(NOT(ISNUMBER(H68)),"Unidade a conferir",IF(AC68=1,"REVISAR VÍNCULO: soma vinculada maior que a referência do item","OK"))))))</f>
        <v/>
      </c>
      <c r="M68" s="94" t="str">
        <f>IF(N68=0,"",IF(B68="","CDF não informado",IF(Q68=0,"REVISAR VÍNCULO: CDF inexistente",IF(C68="","Item não informado",IF(T68=0,"REVISAR VÍNCULO: item inexistente",IF(AND(X68=1,J68&lt;&gt;"Sim"),"REVISAR VÍNCULO: destinador diferente do MTR",IF(X68=1,"Destinador diferente do MTR (analisado)","OK")))))))</f>
        <v/>
      </c>
      <c r="N68" s="96">
        <f>IF(COUNTA(B68:C68,F68:G68,J68:K68)&gt;0,1,0)</f>
        <v>0</v>
      </c>
      <c r="O68" s="96" t="str">
        <f>IF(B68="","",TRIM(LEFT(B68,FIND(" |",B68&amp;" |")-1)))</f>
        <v/>
      </c>
      <c r="P68" s="96" t="str">
        <f>IF(O68="","",IFERROR(MATCH(O68,'CDFs'!$A$6:$A$505,0),""))</f>
        <v/>
      </c>
      <c r="Q68" s="96">
        <f>IF(P68="",0,IF(INDEX('CDFs'!$S$6:$S$505,P68)=1,1,0))</f>
        <v>0</v>
      </c>
      <c r="R68" s="96" t="str">
        <f>IF(C68="","",TRIM(LEFT(C68,FIND(" |",C68&amp;" |")-1)))</f>
        <v/>
      </c>
      <c r="S68" s="96" t="str">
        <f>IF(R68="","",IFERROR(MATCH(R68,'ITENS_MTR'!$A$6:$A$1005,0),""))</f>
        <v/>
      </c>
      <c r="T68" s="96">
        <f>IF(S68="",0,IF(INDEX('ITENS_MTR'!$R$6:$R$1005,S68)=1,1,0))</f>
        <v>0</v>
      </c>
      <c r="U68" s="96" t="str">
        <f>IF(G68="","",IFERROR(IF(ISNUMBER(INDEX(cfg_fac,MATCH(G68,cfg_units,0))),IF(INDEX(cfg_fac,MATCH(G68,cfg_units,0))&gt;0,INDEX(cfg_fac,MATCH(G68,cfg_units,0)),""),""),""))</f>
        <v/>
      </c>
      <c r="V68" s="96">
        <f>IF(AND(ISNUMBER(F68),ISNUMBER(H68)),IF(H68&gt;0,1,0),0)</f>
        <v>0</v>
      </c>
      <c r="W68" s="96" t="str">
        <f>IF(T68=1,INDEX('ITENS_MTR'!$AU$6:$AU$1005,S68)&amp;"","")</f>
        <v/>
      </c>
      <c r="X68" s="96">
        <f>IF(AND(Q68=1,T68=1,I68&lt;&gt;"",W68&lt;&gt;""),IF(I68&lt;&gt;W68,1,0),0)</f>
        <v>0</v>
      </c>
      <c r="Y68" s="96">
        <f>IF(N68=0,0,IF(OR(Q68=0,T68=0,V68=0,AND(X68=1,J68&lt;&gt;"Sim")),1,0))</f>
        <v>0</v>
      </c>
      <c r="Z68" s="96">
        <f>IF(Q68=1,INDEX('CDFs'!$W$6:$W$505,P68),0)</f>
        <v>0</v>
      </c>
      <c r="AA68" s="96">
        <f>IF(AND(N68=1,Y68=0,Z68=1,J68="Sim"),1,0)</f>
        <v>0</v>
      </c>
      <c r="AB68" s="96">
        <f>IF(AND(N68=1,O68&lt;&gt;"",D68&lt;&gt;""),IF(COUNTIFS($O$6:O68,O68,$D$6:D68,D68)=1,1,0),0)</f>
        <v>0</v>
      </c>
      <c r="AC68" s="96">
        <f>IF(T68=1,INDEX('ITENS_MTR'!$AL$6:$AL$1005,S68),0)</f>
        <v>0</v>
      </c>
    </row>
    <row r="69">
      <c r="A69" s="89" t="inlineStr">
        <is>
          <t>VIN-000064</t>
        </is>
      </c>
      <c r="B69" s="91" t="n"/>
      <c r="C69" s="91" t="n"/>
      <c r="D69" s="94" t="str">
        <f>IF(T69=1,INDEX('ITENS_MTR'!$S$6:$S$1005,S69)&amp;"","")</f>
        <v/>
      </c>
      <c r="E69" s="94" t="str">
        <f>IF(T69=1,INDEX('ITENS_MTR'!$C$6:$C$1005,S69)&amp;"","")</f>
        <v/>
      </c>
      <c r="F69" s="98" t="n"/>
      <c r="G69" s="91" t="n"/>
      <c r="H69" s="93" t="str">
        <f>IF(N69=0,"",IF(NOT(ISNUMBER(F69)),"",IF(ISNUMBER(U69),F69*U69,"UNIDADE A CONFERIR")))</f>
        <v/>
      </c>
      <c r="I69" s="94" t="str">
        <f>IF(Q69=1,INDEX('CDFs'!$F$6:$F$505,P69)&amp;"","")</f>
        <v/>
      </c>
      <c r="J69" s="91" t="n"/>
      <c r="K69" s="91" t="n"/>
      <c r="L69" s="94" t="str">
        <f>IF(N69=0,"",IF(NOT(ISNUMBER(F69)),"Quantidade não informada",IF(F69&lt;=0,"Quantidade não positiva",IF(G69="","Unidade não informada",IF(NOT(ISNUMBER(H69)),"Unidade a conferir",IF(AC69=1,"REVISAR VÍNCULO: soma vinculada maior que a referência do item","OK"))))))</f>
        <v/>
      </c>
      <c r="M69" s="94" t="str">
        <f>IF(N69=0,"",IF(B69="","CDF não informado",IF(Q69=0,"REVISAR VÍNCULO: CDF inexistente",IF(C69="","Item não informado",IF(T69=0,"REVISAR VÍNCULO: item inexistente",IF(AND(X69=1,J69&lt;&gt;"Sim"),"REVISAR VÍNCULO: destinador diferente do MTR",IF(X69=1,"Destinador diferente do MTR (analisado)","OK")))))))</f>
        <v/>
      </c>
      <c r="N69" s="96">
        <f>IF(COUNTA(B69:C69,F69:G69,J69:K69)&gt;0,1,0)</f>
        <v>0</v>
      </c>
      <c r="O69" s="96" t="str">
        <f>IF(B69="","",TRIM(LEFT(B69,FIND(" |",B69&amp;" |")-1)))</f>
        <v/>
      </c>
      <c r="P69" s="96" t="str">
        <f>IF(O69="","",IFERROR(MATCH(O69,'CDFs'!$A$6:$A$505,0),""))</f>
        <v/>
      </c>
      <c r="Q69" s="96">
        <f>IF(P69="",0,IF(INDEX('CDFs'!$S$6:$S$505,P69)=1,1,0))</f>
        <v>0</v>
      </c>
      <c r="R69" s="96" t="str">
        <f>IF(C69="","",TRIM(LEFT(C69,FIND(" |",C69&amp;" |")-1)))</f>
        <v/>
      </c>
      <c r="S69" s="96" t="str">
        <f>IF(R69="","",IFERROR(MATCH(R69,'ITENS_MTR'!$A$6:$A$1005,0),""))</f>
        <v/>
      </c>
      <c r="T69" s="96">
        <f>IF(S69="",0,IF(INDEX('ITENS_MTR'!$R$6:$R$1005,S69)=1,1,0))</f>
        <v>0</v>
      </c>
      <c r="U69" s="96" t="str">
        <f>IF(G69="","",IFERROR(IF(ISNUMBER(INDEX(cfg_fac,MATCH(G69,cfg_units,0))),IF(INDEX(cfg_fac,MATCH(G69,cfg_units,0))&gt;0,INDEX(cfg_fac,MATCH(G69,cfg_units,0)),""),""),""))</f>
        <v/>
      </c>
      <c r="V69" s="96">
        <f>IF(AND(ISNUMBER(F69),ISNUMBER(H69)),IF(H69&gt;0,1,0),0)</f>
        <v>0</v>
      </c>
      <c r="W69" s="96" t="str">
        <f>IF(T69=1,INDEX('ITENS_MTR'!$AU$6:$AU$1005,S69)&amp;"","")</f>
        <v/>
      </c>
      <c r="X69" s="96">
        <f>IF(AND(Q69=1,T69=1,I69&lt;&gt;"",W69&lt;&gt;""),IF(I69&lt;&gt;W69,1,0),0)</f>
        <v>0</v>
      </c>
      <c r="Y69" s="96">
        <f>IF(N69=0,0,IF(OR(Q69=0,T69=0,V69=0,AND(X69=1,J69&lt;&gt;"Sim")),1,0))</f>
        <v>0</v>
      </c>
      <c r="Z69" s="96">
        <f>IF(Q69=1,INDEX('CDFs'!$W$6:$W$505,P69),0)</f>
        <v>0</v>
      </c>
      <c r="AA69" s="96">
        <f>IF(AND(N69=1,Y69=0,Z69=1,J69="Sim"),1,0)</f>
        <v>0</v>
      </c>
      <c r="AB69" s="96">
        <f>IF(AND(N69=1,O69&lt;&gt;"",D69&lt;&gt;""),IF(COUNTIFS($O$6:O69,O69,$D$6:D69,D69)=1,1,0),0)</f>
        <v>0</v>
      </c>
      <c r="AC69" s="96">
        <f>IF(T69=1,INDEX('ITENS_MTR'!$AL$6:$AL$1005,S69),0)</f>
        <v>0</v>
      </c>
    </row>
    <row r="70">
      <c r="A70" s="89" t="inlineStr">
        <is>
          <t>VIN-000065</t>
        </is>
      </c>
      <c r="B70" s="91" t="n"/>
      <c r="C70" s="91" t="n"/>
      <c r="D70" s="94" t="str">
        <f>IF(T70=1,INDEX('ITENS_MTR'!$S$6:$S$1005,S70)&amp;"","")</f>
        <v/>
      </c>
      <c r="E70" s="94" t="str">
        <f>IF(T70=1,INDEX('ITENS_MTR'!$C$6:$C$1005,S70)&amp;"","")</f>
        <v/>
      </c>
      <c r="F70" s="98" t="n"/>
      <c r="G70" s="91" t="n"/>
      <c r="H70" s="93" t="str">
        <f>IF(N70=0,"",IF(NOT(ISNUMBER(F70)),"",IF(ISNUMBER(U70),F70*U70,"UNIDADE A CONFERIR")))</f>
        <v/>
      </c>
      <c r="I70" s="94" t="str">
        <f>IF(Q70=1,INDEX('CDFs'!$F$6:$F$505,P70)&amp;"","")</f>
        <v/>
      </c>
      <c r="J70" s="91" t="n"/>
      <c r="K70" s="91" t="n"/>
      <c r="L70" s="94" t="str">
        <f>IF(N70=0,"",IF(NOT(ISNUMBER(F70)),"Quantidade não informada",IF(F70&lt;=0,"Quantidade não positiva",IF(G70="","Unidade não informada",IF(NOT(ISNUMBER(H70)),"Unidade a conferir",IF(AC70=1,"REVISAR VÍNCULO: soma vinculada maior que a referência do item","OK"))))))</f>
        <v/>
      </c>
      <c r="M70" s="94" t="str">
        <f>IF(N70=0,"",IF(B70="","CDF não informado",IF(Q70=0,"REVISAR VÍNCULO: CDF inexistente",IF(C70="","Item não informado",IF(T70=0,"REVISAR VÍNCULO: item inexistente",IF(AND(X70=1,J70&lt;&gt;"Sim"),"REVISAR VÍNCULO: destinador diferente do MTR",IF(X70=1,"Destinador diferente do MTR (analisado)","OK")))))))</f>
        <v/>
      </c>
      <c r="N70" s="96">
        <f>IF(COUNTA(B70:C70,F70:G70,J70:K70)&gt;0,1,0)</f>
        <v>0</v>
      </c>
      <c r="O70" s="96" t="str">
        <f>IF(B70="","",TRIM(LEFT(B70,FIND(" |",B70&amp;" |")-1)))</f>
        <v/>
      </c>
      <c r="P70" s="96" t="str">
        <f>IF(O70="","",IFERROR(MATCH(O70,'CDFs'!$A$6:$A$505,0),""))</f>
        <v/>
      </c>
      <c r="Q70" s="96">
        <f>IF(P70="",0,IF(INDEX('CDFs'!$S$6:$S$505,P70)=1,1,0))</f>
        <v>0</v>
      </c>
      <c r="R70" s="96" t="str">
        <f>IF(C70="","",TRIM(LEFT(C70,FIND(" |",C70&amp;" |")-1)))</f>
        <v/>
      </c>
      <c r="S70" s="96" t="str">
        <f>IF(R70="","",IFERROR(MATCH(R70,'ITENS_MTR'!$A$6:$A$1005,0),""))</f>
        <v/>
      </c>
      <c r="T70" s="96">
        <f>IF(S70="",0,IF(INDEX('ITENS_MTR'!$R$6:$R$1005,S70)=1,1,0))</f>
        <v>0</v>
      </c>
      <c r="U70" s="96" t="str">
        <f>IF(G70="","",IFERROR(IF(ISNUMBER(INDEX(cfg_fac,MATCH(G70,cfg_units,0))),IF(INDEX(cfg_fac,MATCH(G70,cfg_units,0))&gt;0,INDEX(cfg_fac,MATCH(G70,cfg_units,0)),""),""),""))</f>
        <v/>
      </c>
      <c r="V70" s="96">
        <f>IF(AND(ISNUMBER(F70),ISNUMBER(H70)),IF(H70&gt;0,1,0),0)</f>
        <v>0</v>
      </c>
      <c r="W70" s="96" t="str">
        <f>IF(T70=1,INDEX('ITENS_MTR'!$AU$6:$AU$1005,S70)&amp;"","")</f>
        <v/>
      </c>
      <c r="X70" s="96">
        <f>IF(AND(Q70=1,T70=1,I70&lt;&gt;"",W70&lt;&gt;""),IF(I70&lt;&gt;W70,1,0),0)</f>
        <v>0</v>
      </c>
      <c r="Y70" s="96">
        <f>IF(N70=0,0,IF(OR(Q70=0,T70=0,V70=0,AND(X70=1,J70&lt;&gt;"Sim")),1,0))</f>
        <v>0</v>
      </c>
      <c r="Z70" s="96">
        <f>IF(Q70=1,INDEX('CDFs'!$W$6:$W$505,P70),0)</f>
        <v>0</v>
      </c>
      <c r="AA70" s="96">
        <f>IF(AND(N70=1,Y70=0,Z70=1,J70="Sim"),1,0)</f>
        <v>0</v>
      </c>
      <c r="AB70" s="96">
        <f>IF(AND(N70=1,O70&lt;&gt;"",D70&lt;&gt;""),IF(COUNTIFS($O$6:O70,O70,$D$6:D70,D70)=1,1,0),0)</f>
        <v>0</v>
      </c>
      <c r="AC70" s="96">
        <f>IF(T70=1,INDEX('ITENS_MTR'!$AL$6:$AL$1005,S70),0)</f>
        <v>0</v>
      </c>
    </row>
    <row r="71">
      <c r="A71" s="89" t="inlineStr">
        <is>
          <t>VIN-000066</t>
        </is>
      </c>
      <c r="B71" s="91" t="n"/>
      <c r="C71" s="91" t="n"/>
      <c r="D71" s="94" t="str">
        <f>IF(T71=1,INDEX('ITENS_MTR'!$S$6:$S$1005,S71)&amp;"","")</f>
        <v/>
      </c>
      <c r="E71" s="94" t="str">
        <f>IF(T71=1,INDEX('ITENS_MTR'!$C$6:$C$1005,S71)&amp;"","")</f>
        <v/>
      </c>
      <c r="F71" s="98" t="n"/>
      <c r="G71" s="91" t="n"/>
      <c r="H71" s="93" t="str">
        <f>IF(N71=0,"",IF(NOT(ISNUMBER(F71)),"",IF(ISNUMBER(U71),F71*U71,"UNIDADE A CONFERIR")))</f>
        <v/>
      </c>
      <c r="I71" s="94" t="str">
        <f>IF(Q71=1,INDEX('CDFs'!$F$6:$F$505,P71)&amp;"","")</f>
        <v/>
      </c>
      <c r="J71" s="91" t="n"/>
      <c r="K71" s="91" t="n"/>
      <c r="L71" s="94" t="str">
        <f>IF(N71=0,"",IF(NOT(ISNUMBER(F71)),"Quantidade não informada",IF(F71&lt;=0,"Quantidade não positiva",IF(G71="","Unidade não informada",IF(NOT(ISNUMBER(H71)),"Unidade a conferir",IF(AC71=1,"REVISAR VÍNCULO: soma vinculada maior que a referência do item","OK"))))))</f>
        <v/>
      </c>
      <c r="M71" s="94" t="str">
        <f>IF(N71=0,"",IF(B71="","CDF não informado",IF(Q71=0,"REVISAR VÍNCULO: CDF inexistente",IF(C71="","Item não informado",IF(T71=0,"REVISAR VÍNCULO: item inexistente",IF(AND(X71=1,J71&lt;&gt;"Sim"),"REVISAR VÍNCULO: destinador diferente do MTR",IF(X71=1,"Destinador diferente do MTR (analisado)","OK")))))))</f>
        <v/>
      </c>
      <c r="N71" s="96">
        <f>IF(COUNTA(B71:C71,F71:G71,J71:K71)&gt;0,1,0)</f>
        <v>0</v>
      </c>
      <c r="O71" s="96" t="str">
        <f>IF(B71="","",TRIM(LEFT(B71,FIND(" |",B71&amp;" |")-1)))</f>
        <v/>
      </c>
      <c r="P71" s="96" t="str">
        <f>IF(O71="","",IFERROR(MATCH(O71,'CDFs'!$A$6:$A$505,0),""))</f>
        <v/>
      </c>
      <c r="Q71" s="96">
        <f>IF(P71="",0,IF(INDEX('CDFs'!$S$6:$S$505,P71)=1,1,0))</f>
        <v>0</v>
      </c>
      <c r="R71" s="96" t="str">
        <f>IF(C71="","",TRIM(LEFT(C71,FIND(" |",C71&amp;" |")-1)))</f>
        <v/>
      </c>
      <c r="S71" s="96" t="str">
        <f>IF(R71="","",IFERROR(MATCH(R71,'ITENS_MTR'!$A$6:$A$1005,0),""))</f>
        <v/>
      </c>
      <c r="T71" s="96">
        <f>IF(S71="",0,IF(INDEX('ITENS_MTR'!$R$6:$R$1005,S71)=1,1,0))</f>
        <v>0</v>
      </c>
      <c r="U71" s="96" t="str">
        <f>IF(G71="","",IFERROR(IF(ISNUMBER(INDEX(cfg_fac,MATCH(G71,cfg_units,0))),IF(INDEX(cfg_fac,MATCH(G71,cfg_units,0))&gt;0,INDEX(cfg_fac,MATCH(G71,cfg_units,0)),""),""),""))</f>
        <v/>
      </c>
      <c r="V71" s="96">
        <f>IF(AND(ISNUMBER(F71),ISNUMBER(H71)),IF(H71&gt;0,1,0),0)</f>
        <v>0</v>
      </c>
      <c r="W71" s="96" t="str">
        <f>IF(T71=1,INDEX('ITENS_MTR'!$AU$6:$AU$1005,S71)&amp;"","")</f>
        <v/>
      </c>
      <c r="X71" s="96">
        <f>IF(AND(Q71=1,T71=1,I71&lt;&gt;"",W71&lt;&gt;""),IF(I71&lt;&gt;W71,1,0),0)</f>
        <v>0</v>
      </c>
      <c r="Y71" s="96">
        <f>IF(N71=0,0,IF(OR(Q71=0,T71=0,V71=0,AND(X71=1,J71&lt;&gt;"Sim")),1,0))</f>
        <v>0</v>
      </c>
      <c r="Z71" s="96">
        <f>IF(Q71=1,INDEX('CDFs'!$W$6:$W$505,P71),0)</f>
        <v>0</v>
      </c>
      <c r="AA71" s="96">
        <f>IF(AND(N71=1,Y71=0,Z71=1,J71="Sim"),1,0)</f>
        <v>0</v>
      </c>
      <c r="AB71" s="96">
        <f>IF(AND(N71=1,O71&lt;&gt;"",D71&lt;&gt;""),IF(COUNTIFS($O$6:O71,O71,$D$6:D71,D71)=1,1,0),0)</f>
        <v>0</v>
      </c>
      <c r="AC71" s="96">
        <f>IF(T71=1,INDEX('ITENS_MTR'!$AL$6:$AL$1005,S71),0)</f>
        <v>0</v>
      </c>
    </row>
    <row r="72">
      <c r="A72" s="89" t="inlineStr">
        <is>
          <t>VIN-000067</t>
        </is>
      </c>
      <c r="B72" s="91" t="n"/>
      <c r="C72" s="91" t="n"/>
      <c r="D72" s="94" t="str">
        <f>IF(T72=1,INDEX('ITENS_MTR'!$S$6:$S$1005,S72)&amp;"","")</f>
        <v/>
      </c>
      <c r="E72" s="94" t="str">
        <f>IF(T72=1,INDEX('ITENS_MTR'!$C$6:$C$1005,S72)&amp;"","")</f>
        <v/>
      </c>
      <c r="F72" s="98" t="n"/>
      <c r="G72" s="91" t="n"/>
      <c r="H72" s="93" t="str">
        <f>IF(N72=0,"",IF(NOT(ISNUMBER(F72)),"",IF(ISNUMBER(U72),F72*U72,"UNIDADE A CONFERIR")))</f>
        <v/>
      </c>
      <c r="I72" s="94" t="str">
        <f>IF(Q72=1,INDEX('CDFs'!$F$6:$F$505,P72)&amp;"","")</f>
        <v/>
      </c>
      <c r="J72" s="91" t="n"/>
      <c r="K72" s="91" t="n"/>
      <c r="L72" s="94" t="str">
        <f>IF(N72=0,"",IF(NOT(ISNUMBER(F72)),"Quantidade não informada",IF(F72&lt;=0,"Quantidade não positiva",IF(G72="","Unidade não informada",IF(NOT(ISNUMBER(H72)),"Unidade a conferir",IF(AC72=1,"REVISAR VÍNCULO: soma vinculada maior que a referência do item","OK"))))))</f>
        <v/>
      </c>
      <c r="M72" s="94" t="str">
        <f>IF(N72=0,"",IF(B72="","CDF não informado",IF(Q72=0,"REVISAR VÍNCULO: CDF inexistente",IF(C72="","Item não informado",IF(T72=0,"REVISAR VÍNCULO: item inexistente",IF(AND(X72=1,J72&lt;&gt;"Sim"),"REVISAR VÍNCULO: destinador diferente do MTR",IF(X72=1,"Destinador diferente do MTR (analisado)","OK")))))))</f>
        <v/>
      </c>
      <c r="N72" s="96">
        <f>IF(COUNTA(B72:C72,F72:G72,J72:K72)&gt;0,1,0)</f>
        <v>0</v>
      </c>
      <c r="O72" s="96" t="str">
        <f>IF(B72="","",TRIM(LEFT(B72,FIND(" |",B72&amp;" |")-1)))</f>
        <v/>
      </c>
      <c r="P72" s="96" t="str">
        <f>IF(O72="","",IFERROR(MATCH(O72,'CDFs'!$A$6:$A$505,0),""))</f>
        <v/>
      </c>
      <c r="Q72" s="96">
        <f>IF(P72="",0,IF(INDEX('CDFs'!$S$6:$S$505,P72)=1,1,0))</f>
        <v>0</v>
      </c>
      <c r="R72" s="96" t="str">
        <f>IF(C72="","",TRIM(LEFT(C72,FIND(" |",C72&amp;" |")-1)))</f>
        <v/>
      </c>
      <c r="S72" s="96" t="str">
        <f>IF(R72="","",IFERROR(MATCH(R72,'ITENS_MTR'!$A$6:$A$1005,0),""))</f>
        <v/>
      </c>
      <c r="T72" s="96">
        <f>IF(S72="",0,IF(INDEX('ITENS_MTR'!$R$6:$R$1005,S72)=1,1,0))</f>
        <v>0</v>
      </c>
      <c r="U72" s="96" t="str">
        <f>IF(G72="","",IFERROR(IF(ISNUMBER(INDEX(cfg_fac,MATCH(G72,cfg_units,0))),IF(INDEX(cfg_fac,MATCH(G72,cfg_units,0))&gt;0,INDEX(cfg_fac,MATCH(G72,cfg_units,0)),""),""),""))</f>
        <v/>
      </c>
      <c r="V72" s="96">
        <f>IF(AND(ISNUMBER(F72),ISNUMBER(H72)),IF(H72&gt;0,1,0),0)</f>
        <v>0</v>
      </c>
      <c r="W72" s="96" t="str">
        <f>IF(T72=1,INDEX('ITENS_MTR'!$AU$6:$AU$1005,S72)&amp;"","")</f>
        <v/>
      </c>
      <c r="X72" s="96">
        <f>IF(AND(Q72=1,T72=1,I72&lt;&gt;"",W72&lt;&gt;""),IF(I72&lt;&gt;W72,1,0),0)</f>
        <v>0</v>
      </c>
      <c r="Y72" s="96">
        <f>IF(N72=0,0,IF(OR(Q72=0,T72=0,V72=0,AND(X72=1,J72&lt;&gt;"Sim")),1,0))</f>
        <v>0</v>
      </c>
      <c r="Z72" s="96">
        <f>IF(Q72=1,INDEX('CDFs'!$W$6:$W$505,P72),0)</f>
        <v>0</v>
      </c>
      <c r="AA72" s="96">
        <f>IF(AND(N72=1,Y72=0,Z72=1,J72="Sim"),1,0)</f>
        <v>0</v>
      </c>
      <c r="AB72" s="96">
        <f>IF(AND(N72=1,O72&lt;&gt;"",D72&lt;&gt;""),IF(COUNTIFS($O$6:O72,O72,$D$6:D72,D72)=1,1,0),0)</f>
        <v>0</v>
      </c>
      <c r="AC72" s="96">
        <f>IF(T72=1,INDEX('ITENS_MTR'!$AL$6:$AL$1005,S72),0)</f>
        <v>0</v>
      </c>
    </row>
    <row r="73">
      <c r="A73" s="89" t="inlineStr">
        <is>
          <t>VIN-000068</t>
        </is>
      </c>
      <c r="B73" s="91" t="n"/>
      <c r="C73" s="91" t="n"/>
      <c r="D73" s="94" t="str">
        <f>IF(T73=1,INDEX('ITENS_MTR'!$S$6:$S$1005,S73)&amp;"","")</f>
        <v/>
      </c>
      <c r="E73" s="94" t="str">
        <f>IF(T73=1,INDEX('ITENS_MTR'!$C$6:$C$1005,S73)&amp;"","")</f>
        <v/>
      </c>
      <c r="F73" s="98" t="n"/>
      <c r="G73" s="91" t="n"/>
      <c r="H73" s="93" t="str">
        <f>IF(N73=0,"",IF(NOT(ISNUMBER(F73)),"",IF(ISNUMBER(U73),F73*U73,"UNIDADE A CONFERIR")))</f>
        <v/>
      </c>
      <c r="I73" s="94" t="str">
        <f>IF(Q73=1,INDEX('CDFs'!$F$6:$F$505,P73)&amp;"","")</f>
        <v/>
      </c>
      <c r="J73" s="91" t="n"/>
      <c r="K73" s="91" t="n"/>
      <c r="L73" s="94" t="str">
        <f>IF(N73=0,"",IF(NOT(ISNUMBER(F73)),"Quantidade não informada",IF(F73&lt;=0,"Quantidade não positiva",IF(G73="","Unidade não informada",IF(NOT(ISNUMBER(H73)),"Unidade a conferir",IF(AC73=1,"REVISAR VÍNCULO: soma vinculada maior que a referência do item","OK"))))))</f>
        <v/>
      </c>
      <c r="M73" s="94" t="str">
        <f>IF(N73=0,"",IF(B73="","CDF não informado",IF(Q73=0,"REVISAR VÍNCULO: CDF inexistente",IF(C73="","Item não informado",IF(T73=0,"REVISAR VÍNCULO: item inexistente",IF(AND(X73=1,J73&lt;&gt;"Sim"),"REVISAR VÍNCULO: destinador diferente do MTR",IF(X73=1,"Destinador diferente do MTR (analisado)","OK")))))))</f>
        <v/>
      </c>
      <c r="N73" s="96">
        <f>IF(COUNTA(B73:C73,F73:G73,J73:K73)&gt;0,1,0)</f>
        <v>0</v>
      </c>
      <c r="O73" s="96" t="str">
        <f>IF(B73="","",TRIM(LEFT(B73,FIND(" |",B73&amp;" |")-1)))</f>
        <v/>
      </c>
      <c r="P73" s="96" t="str">
        <f>IF(O73="","",IFERROR(MATCH(O73,'CDFs'!$A$6:$A$505,0),""))</f>
        <v/>
      </c>
      <c r="Q73" s="96">
        <f>IF(P73="",0,IF(INDEX('CDFs'!$S$6:$S$505,P73)=1,1,0))</f>
        <v>0</v>
      </c>
      <c r="R73" s="96" t="str">
        <f>IF(C73="","",TRIM(LEFT(C73,FIND(" |",C73&amp;" |")-1)))</f>
        <v/>
      </c>
      <c r="S73" s="96" t="str">
        <f>IF(R73="","",IFERROR(MATCH(R73,'ITENS_MTR'!$A$6:$A$1005,0),""))</f>
        <v/>
      </c>
      <c r="T73" s="96">
        <f>IF(S73="",0,IF(INDEX('ITENS_MTR'!$R$6:$R$1005,S73)=1,1,0))</f>
        <v>0</v>
      </c>
      <c r="U73" s="96" t="str">
        <f>IF(G73="","",IFERROR(IF(ISNUMBER(INDEX(cfg_fac,MATCH(G73,cfg_units,0))),IF(INDEX(cfg_fac,MATCH(G73,cfg_units,0))&gt;0,INDEX(cfg_fac,MATCH(G73,cfg_units,0)),""),""),""))</f>
        <v/>
      </c>
      <c r="V73" s="96">
        <f>IF(AND(ISNUMBER(F73),ISNUMBER(H73)),IF(H73&gt;0,1,0),0)</f>
        <v>0</v>
      </c>
      <c r="W73" s="96" t="str">
        <f>IF(T73=1,INDEX('ITENS_MTR'!$AU$6:$AU$1005,S73)&amp;"","")</f>
        <v/>
      </c>
      <c r="X73" s="96">
        <f>IF(AND(Q73=1,T73=1,I73&lt;&gt;"",W73&lt;&gt;""),IF(I73&lt;&gt;W73,1,0),0)</f>
        <v>0</v>
      </c>
      <c r="Y73" s="96">
        <f>IF(N73=0,0,IF(OR(Q73=0,T73=0,V73=0,AND(X73=1,J73&lt;&gt;"Sim")),1,0))</f>
        <v>0</v>
      </c>
      <c r="Z73" s="96">
        <f>IF(Q73=1,INDEX('CDFs'!$W$6:$W$505,P73),0)</f>
        <v>0</v>
      </c>
      <c r="AA73" s="96">
        <f>IF(AND(N73=1,Y73=0,Z73=1,J73="Sim"),1,0)</f>
        <v>0</v>
      </c>
      <c r="AB73" s="96">
        <f>IF(AND(N73=1,O73&lt;&gt;"",D73&lt;&gt;""),IF(COUNTIFS($O$6:O73,O73,$D$6:D73,D73)=1,1,0),0)</f>
        <v>0</v>
      </c>
      <c r="AC73" s="96">
        <f>IF(T73=1,INDEX('ITENS_MTR'!$AL$6:$AL$1005,S73),0)</f>
        <v>0</v>
      </c>
    </row>
    <row r="74">
      <c r="A74" s="89" t="inlineStr">
        <is>
          <t>VIN-000069</t>
        </is>
      </c>
      <c r="B74" s="91" t="n"/>
      <c r="C74" s="91" t="n"/>
      <c r="D74" s="94" t="str">
        <f>IF(T74=1,INDEX('ITENS_MTR'!$S$6:$S$1005,S74)&amp;"","")</f>
        <v/>
      </c>
      <c r="E74" s="94" t="str">
        <f>IF(T74=1,INDEX('ITENS_MTR'!$C$6:$C$1005,S74)&amp;"","")</f>
        <v/>
      </c>
      <c r="F74" s="98" t="n"/>
      <c r="G74" s="91" t="n"/>
      <c r="H74" s="93" t="str">
        <f>IF(N74=0,"",IF(NOT(ISNUMBER(F74)),"",IF(ISNUMBER(U74),F74*U74,"UNIDADE A CONFERIR")))</f>
        <v/>
      </c>
      <c r="I74" s="94" t="str">
        <f>IF(Q74=1,INDEX('CDFs'!$F$6:$F$505,P74)&amp;"","")</f>
        <v/>
      </c>
      <c r="J74" s="91" t="n"/>
      <c r="K74" s="91" t="n"/>
      <c r="L74" s="94" t="str">
        <f>IF(N74=0,"",IF(NOT(ISNUMBER(F74)),"Quantidade não informada",IF(F74&lt;=0,"Quantidade não positiva",IF(G74="","Unidade não informada",IF(NOT(ISNUMBER(H74)),"Unidade a conferir",IF(AC74=1,"REVISAR VÍNCULO: soma vinculada maior que a referência do item","OK"))))))</f>
        <v/>
      </c>
      <c r="M74" s="94" t="str">
        <f>IF(N74=0,"",IF(B74="","CDF não informado",IF(Q74=0,"REVISAR VÍNCULO: CDF inexistente",IF(C74="","Item não informado",IF(T74=0,"REVISAR VÍNCULO: item inexistente",IF(AND(X74=1,J74&lt;&gt;"Sim"),"REVISAR VÍNCULO: destinador diferente do MTR",IF(X74=1,"Destinador diferente do MTR (analisado)","OK")))))))</f>
        <v/>
      </c>
      <c r="N74" s="96">
        <f>IF(COUNTA(B74:C74,F74:G74,J74:K74)&gt;0,1,0)</f>
        <v>0</v>
      </c>
      <c r="O74" s="96" t="str">
        <f>IF(B74="","",TRIM(LEFT(B74,FIND(" |",B74&amp;" |")-1)))</f>
        <v/>
      </c>
      <c r="P74" s="96" t="str">
        <f>IF(O74="","",IFERROR(MATCH(O74,'CDFs'!$A$6:$A$505,0),""))</f>
        <v/>
      </c>
      <c r="Q74" s="96">
        <f>IF(P74="",0,IF(INDEX('CDFs'!$S$6:$S$505,P74)=1,1,0))</f>
        <v>0</v>
      </c>
      <c r="R74" s="96" t="str">
        <f>IF(C74="","",TRIM(LEFT(C74,FIND(" |",C74&amp;" |")-1)))</f>
        <v/>
      </c>
      <c r="S74" s="96" t="str">
        <f>IF(R74="","",IFERROR(MATCH(R74,'ITENS_MTR'!$A$6:$A$1005,0),""))</f>
        <v/>
      </c>
      <c r="T74" s="96">
        <f>IF(S74="",0,IF(INDEX('ITENS_MTR'!$R$6:$R$1005,S74)=1,1,0))</f>
        <v>0</v>
      </c>
      <c r="U74" s="96" t="str">
        <f>IF(G74="","",IFERROR(IF(ISNUMBER(INDEX(cfg_fac,MATCH(G74,cfg_units,0))),IF(INDEX(cfg_fac,MATCH(G74,cfg_units,0))&gt;0,INDEX(cfg_fac,MATCH(G74,cfg_units,0)),""),""),""))</f>
        <v/>
      </c>
      <c r="V74" s="96">
        <f>IF(AND(ISNUMBER(F74),ISNUMBER(H74)),IF(H74&gt;0,1,0),0)</f>
        <v>0</v>
      </c>
      <c r="W74" s="96" t="str">
        <f>IF(T74=1,INDEX('ITENS_MTR'!$AU$6:$AU$1005,S74)&amp;"","")</f>
        <v/>
      </c>
      <c r="X74" s="96">
        <f>IF(AND(Q74=1,T74=1,I74&lt;&gt;"",W74&lt;&gt;""),IF(I74&lt;&gt;W74,1,0),0)</f>
        <v>0</v>
      </c>
      <c r="Y74" s="96">
        <f>IF(N74=0,0,IF(OR(Q74=0,T74=0,V74=0,AND(X74=1,J74&lt;&gt;"Sim")),1,0))</f>
        <v>0</v>
      </c>
      <c r="Z74" s="96">
        <f>IF(Q74=1,INDEX('CDFs'!$W$6:$W$505,P74),0)</f>
        <v>0</v>
      </c>
      <c r="AA74" s="96">
        <f>IF(AND(N74=1,Y74=0,Z74=1,J74="Sim"),1,0)</f>
        <v>0</v>
      </c>
      <c r="AB74" s="96">
        <f>IF(AND(N74=1,O74&lt;&gt;"",D74&lt;&gt;""),IF(COUNTIFS($O$6:O74,O74,$D$6:D74,D74)=1,1,0),0)</f>
        <v>0</v>
      </c>
      <c r="AC74" s="96">
        <f>IF(T74=1,INDEX('ITENS_MTR'!$AL$6:$AL$1005,S74),0)</f>
        <v>0</v>
      </c>
    </row>
    <row r="75">
      <c r="A75" s="89" t="inlineStr">
        <is>
          <t>VIN-000070</t>
        </is>
      </c>
      <c r="B75" s="91" t="n"/>
      <c r="C75" s="91" t="n"/>
      <c r="D75" s="94" t="str">
        <f>IF(T75=1,INDEX('ITENS_MTR'!$S$6:$S$1005,S75)&amp;"","")</f>
        <v/>
      </c>
      <c r="E75" s="94" t="str">
        <f>IF(T75=1,INDEX('ITENS_MTR'!$C$6:$C$1005,S75)&amp;"","")</f>
        <v/>
      </c>
      <c r="F75" s="98" t="n"/>
      <c r="G75" s="91" t="n"/>
      <c r="H75" s="93" t="str">
        <f>IF(N75=0,"",IF(NOT(ISNUMBER(F75)),"",IF(ISNUMBER(U75),F75*U75,"UNIDADE A CONFERIR")))</f>
        <v/>
      </c>
      <c r="I75" s="94" t="str">
        <f>IF(Q75=1,INDEX('CDFs'!$F$6:$F$505,P75)&amp;"","")</f>
        <v/>
      </c>
      <c r="J75" s="91" t="n"/>
      <c r="K75" s="91" t="n"/>
      <c r="L75" s="94" t="str">
        <f>IF(N75=0,"",IF(NOT(ISNUMBER(F75)),"Quantidade não informada",IF(F75&lt;=0,"Quantidade não positiva",IF(G75="","Unidade não informada",IF(NOT(ISNUMBER(H75)),"Unidade a conferir",IF(AC75=1,"REVISAR VÍNCULO: soma vinculada maior que a referência do item","OK"))))))</f>
        <v/>
      </c>
      <c r="M75" s="94" t="str">
        <f>IF(N75=0,"",IF(B75="","CDF não informado",IF(Q75=0,"REVISAR VÍNCULO: CDF inexistente",IF(C75="","Item não informado",IF(T75=0,"REVISAR VÍNCULO: item inexistente",IF(AND(X75=1,J75&lt;&gt;"Sim"),"REVISAR VÍNCULO: destinador diferente do MTR",IF(X75=1,"Destinador diferente do MTR (analisado)","OK")))))))</f>
        <v/>
      </c>
      <c r="N75" s="96">
        <f>IF(COUNTA(B75:C75,F75:G75,J75:K75)&gt;0,1,0)</f>
        <v>0</v>
      </c>
      <c r="O75" s="96" t="str">
        <f>IF(B75="","",TRIM(LEFT(B75,FIND(" |",B75&amp;" |")-1)))</f>
        <v/>
      </c>
      <c r="P75" s="96" t="str">
        <f>IF(O75="","",IFERROR(MATCH(O75,'CDFs'!$A$6:$A$505,0),""))</f>
        <v/>
      </c>
      <c r="Q75" s="96">
        <f>IF(P75="",0,IF(INDEX('CDFs'!$S$6:$S$505,P75)=1,1,0))</f>
        <v>0</v>
      </c>
      <c r="R75" s="96" t="str">
        <f>IF(C75="","",TRIM(LEFT(C75,FIND(" |",C75&amp;" |")-1)))</f>
        <v/>
      </c>
      <c r="S75" s="96" t="str">
        <f>IF(R75="","",IFERROR(MATCH(R75,'ITENS_MTR'!$A$6:$A$1005,0),""))</f>
        <v/>
      </c>
      <c r="T75" s="96">
        <f>IF(S75="",0,IF(INDEX('ITENS_MTR'!$R$6:$R$1005,S75)=1,1,0))</f>
        <v>0</v>
      </c>
      <c r="U75" s="96" t="str">
        <f>IF(G75="","",IFERROR(IF(ISNUMBER(INDEX(cfg_fac,MATCH(G75,cfg_units,0))),IF(INDEX(cfg_fac,MATCH(G75,cfg_units,0))&gt;0,INDEX(cfg_fac,MATCH(G75,cfg_units,0)),""),""),""))</f>
        <v/>
      </c>
      <c r="V75" s="96">
        <f>IF(AND(ISNUMBER(F75),ISNUMBER(H75)),IF(H75&gt;0,1,0),0)</f>
        <v>0</v>
      </c>
      <c r="W75" s="96" t="str">
        <f>IF(T75=1,INDEX('ITENS_MTR'!$AU$6:$AU$1005,S75)&amp;"","")</f>
        <v/>
      </c>
      <c r="X75" s="96">
        <f>IF(AND(Q75=1,T75=1,I75&lt;&gt;"",W75&lt;&gt;""),IF(I75&lt;&gt;W75,1,0),0)</f>
        <v>0</v>
      </c>
      <c r="Y75" s="96">
        <f>IF(N75=0,0,IF(OR(Q75=0,T75=0,V75=0,AND(X75=1,J75&lt;&gt;"Sim")),1,0))</f>
        <v>0</v>
      </c>
      <c r="Z75" s="96">
        <f>IF(Q75=1,INDEX('CDFs'!$W$6:$W$505,P75),0)</f>
        <v>0</v>
      </c>
      <c r="AA75" s="96">
        <f>IF(AND(N75=1,Y75=0,Z75=1,J75="Sim"),1,0)</f>
        <v>0</v>
      </c>
      <c r="AB75" s="96">
        <f>IF(AND(N75=1,O75&lt;&gt;"",D75&lt;&gt;""),IF(COUNTIFS($O$6:O75,O75,$D$6:D75,D75)=1,1,0),0)</f>
        <v>0</v>
      </c>
      <c r="AC75" s="96">
        <f>IF(T75=1,INDEX('ITENS_MTR'!$AL$6:$AL$1005,S75),0)</f>
        <v>0</v>
      </c>
    </row>
    <row r="76">
      <c r="A76" s="89" t="inlineStr">
        <is>
          <t>VIN-000071</t>
        </is>
      </c>
      <c r="B76" s="91" t="n"/>
      <c r="C76" s="91" t="n"/>
      <c r="D76" s="94" t="str">
        <f>IF(T76=1,INDEX('ITENS_MTR'!$S$6:$S$1005,S76)&amp;"","")</f>
        <v/>
      </c>
      <c r="E76" s="94" t="str">
        <f>IF(T76=1,INDEX('ITENS_MTR'!$C$6:$C$1005,S76)&amp;"","")</f>
        <v/>
      </c>
      <c r="F76" s="98" t="n"/>
      <c r="G76" s="91" t="n"/>
      <c r="H76" s="93" t="str">
        <f>IF(N76=0,"",IF(NOT(ISNUMBER(F76)),"",IF(ISNUMBER(U76),F76*U76,"UNIDADE A CONFERIR")))</f>
        <v/>
      </c>
      <c r="I76" s="94" t="str">
        <f>IF(Q76=1,INDEX('CDFs'!$F$6:$F$505,P76)&amp;"","")</f>
        <v/>
      </c>
      <c r="J76" s="91" t="n"/>
      <c r="K76" s="91" t="n"/>
      <c r="L76" s="94" t="str">
        <f>IF(N76=0,"",IF(NOT(ISNUMBER(F76)),"Quantidade não informada",IF(F76&lt;=0,"Quantidade não positiva",IF(G76="","Unidade não informada",IF(NOT(ISNUMBER(H76)),"Unidade a conferir",IF(AC76=1,"REVISAR VÍNCULO: soma vinculada maior que a referência do item","OK"))))))</f>
        <v/>
      </c>
      <c r="M76" s="94" t="str">
        <f>IF(N76=0,"",IF(B76="","CDF não informado",IF(Q76=0,"REVISAR VÍNCULO: CDF inexistente",IF(C76="","Item não informado",IF(T76=0,"REVISAR VÍNCULO: item inexistente",IF(AND(X76=1,J76&lt;&gt;"Sim"),"REVISAR VÍNCULO: destinador diferente do MTR",IF(X76=1,"Destinador diferente do MTR (analisado)","OK")))))))</f>
        <v/>
      </c>
      <c r="N76" s="96">
        <f>IF(COUNTA(B76:C76,F76:G76,J76:K76)&gt;0,1,0)</f>
        <v>0</v>
      </c>
      <c r="O76" s="96" t="str">
        <f>IF(B76="","",TRIM(LEFT(B76,FIND(" |",B76&amp;" |")-1)))</f>
        <v/>
      </c>
      <c r="P76" s="96" t="str">
        <f>IF(O76="","",IFERROR(MATCH(O76,'CDFs'!$A$6:$A$505,0),""))</f>
        <v/>
      </c>
      <c r="Q76" s="96">
        <f>IF(P76="",0,IF(INDEX('CDFs'!$S$6:$S$505,P76)=1,1,0))</f>
        <v>0</v>
      </c>
      <c r="R76" s="96" t="str">
        <f>IF(C76="","",TRIM(LEFT(C76,FIND(" |",C76&amp;" |")-1)))</f>
        <v/>
      </c>
      <c r="S76" s="96" t="str">
        <f>IF(R76="","",IFERROR(MATCH(R76,'ITENS_MTR'!$A$6:$A$1005,0),""))</f>
        <v/>
      </c>
      <c r="T76" s="96">
        <f>IF(S76="",0,IF(INDEX('ITENS_MTR'!$R$6:$R$1005,S76)=1,1,0))</f>
        <v>0</v>
      </c>
      <c r="U76" s="96" t="str">
        <f>IF(G76="","",IFERROR(IF(ISNUMBER(INDEX(cfg_fac,MATCH(G76,cfg_units,0))),IF(INDEX(cfg_fac,MATCH(G76,cfg_units,0))&gt;0,INDEX(cfg_fac,MATCH(G76,cfg_units,0)),""),""),""))</f>
        <v/>
      </c>
      <c r="V76" s="96">
        <f>IF(AND(ISNUMBER(F76),ISNUMBER(H76)),IF(H76&gt;0,1,0),0)</f>
        <v>0</v>
      </c>
      <c r="W76" s="96" t="str">
        <f>IF(T76=1,INDEX('ITENS_MTR'!$AU$6:$AU$1005,S76)&amp;"","")</f>
        <v/>
      </c>
      <c r="X76" s="96">
        <f>IF(AND(Q76=1,T76=1,I76&lt;&gt;"",W76&lt;&gt;""),IF(I76&lt;&gt;W76,1,0),0)</f>
        <v>0</v>
      </c>
      <c r="Y76" s="96">
        <f>IF(N76=0,0,IF(OR(Q76=0,T76=0,V76=0,AND(X76=1,J76&lt;&gt;"Sim")),1,0))</f>
        <v>0</v>
      </c>
      <c r="Z76" s="96">
        <f>IF(Q76=1,INDEX('CDFs'!$W$6:$W$505,P76),0)</f>
        <v>0</v>
      </c>
      <c r="AA76" s="96">
        <f>IF(AND(N76=1,Y76=0,Z76=1,J76="Sim"),1,0)</f>
        <v>0</v>
      </c>
      <c r="AB76" s="96">
        <f>IF(AND(N76=1,O76&lt;&gt;"",D76&lt;&gt;""),IF(COUNTIFS($O$6:O76,O76,$D$6:D76,D76)=1,1,0),0)</f>
        <v>0</v>
      </c>
      <c r="AC76" s="96">
        <f>IF(T76=1,INDEX('ITENS_MTR'!$AL$6:$AL$1005,S76),0)</f>
        <v>0</v>
      </c>
    </row>
    <row r="77">
      <c r="A77" s="89" t="inlineStr">
        <is>
          <t>VIN-000072</t>
        </is>
      </c>
      <c r="B77" s="91" t="n"/>
      <c r="C77" s="91" t="n"/>
      <c r="D77" s="94" t="str">
        <f>IF(T77=1,INDEX('ITENS_MTR'!$S$6:$S$1005,S77)&amp;"","")</f>
        <v/>
      </c>
      <c r="E77" s="94" t="str">
        <f>IF(T77=1,INDEX('ITENS_MTR'!$C$6:$C$1005,S77)&amp;"","")</f>
        <v/>
      </c>
      <c r="F77" s="98" t="n"/>
      <c r="G77" s="91" t="n"/>
      <c r="H77" s="93" t="str">
        <f>IF(N77=0,"",IF(NOT(ISNUMBER(F77)),"",IF(ISNUMBER(U77),F77*U77,"UNIDADE A CONFERIR")))</f>
        <v/>
      </c>
      <c r="I77" s="94" t="str">
        <f>IF(Q77=1,INDEX('CDFs'!$F$6:$F$505,P77)&amp;"","")</f>
        <v/>
      </c>
      <c r="J77" s="91" t="n"/>
      <c r="K77" s="91" t="n"/>
      <c r="L77" s="94" t="str">
        <f>IF(N77=0,"",IF(NOT(ISNUMBER(F77)),"Quantidade não informada",IF(F77&lt;=0,"Quantidade não positiva",IF(G77="","Unidade não informada",IF(NOT(ISNUMBER(H77)),"Unidade a conferir",IF(AC77=1,"REVISAR VÍNCULO: soma vinculada maior que a referência do item","OK"))))))</f>
        <v/>
      </c>
      <c r="M77" s="94" t="str">
        <f>IF(N77=0,"",IF(B77="","CDF não informado",IF(Q77=0,"REVISAR VÍNCULO: CDF inexistente",IF(C77="","Item não informado",IF(T77=0,"REVISAR VÍNCULO: item inexistente",IF(AND(X77=1,J77&lt;&gt;"Sim"),"REVISAR VÍNCULO: destinador diferente do MTR",IF(X77=1,"Destinador diferente do MTR (analisado)","OK")))))))</f>
        <v/>
      </c>
      <c r="N77" s="96">
        <f>IF(COUNTA(B77:C77,F77:G77,J77:K77)&gt;0,1,0)</f>
        <v>0</v>
      </c>
      <c r="O77" s="96" t="str">
        <f>IF(B77="","",TRIM(LEFT(B77,FIND(" |",B77&amp;" |")-1)))</f>
        <v/>
      </c>
      <c r="P77" s="96" t="str">
        <f>IF(O77="","",IFERROR(MATCH(O77,'CDFs'!$A$6:$A$505,0),""))</f>
        <v/>
      </c>
      <c r="Q77" s="96">
        <f>IF(P77="",0,IF(INDEX('CDFs'!$S$6:$S$505,P77)=1,1,0))</f>
        <v>0</v>
      </c>
      <c r="R77" s="96" t="str">
        <f>IF(C77="","",TRIM(LEFT(C77,FIND(" |",C77&amp;" |")-1)))</f>
        <v/>
      </c>
      <c r="S77" s="96" t="str">
        <f>IF(R77="","",IFERROR(MATCH(R77,'ITENS_MTR'!$A$6:$A$1005,0),""))</f>
        <v/>
      </c>
      <c r="T77" s="96">
        <f>IF(S77="",0,IF(INDEX('ITENS_MTR'!$R$6:$R$1005,S77)=1,1,0))</f>
        <v>0</v>
      </c>
      <c r="U77" s="96" t="str">
        <f>IF(G77="","",IFERROR(IF(ISNUMBER(INDEX(cfg_fac,MATCH(G77,cfg_units,0))),IF(INDEX(cfg_fac,MATCH(G77,cfg_units,0))&gt;0,INDEX(cfg_fac,MATCH(G77,cfg_units,0)),""),""),""))</f>
        <v/>
      </c>
      <c r="V77" s="96">
        <f>IF(AND(ISNUMBER(F77),ISNUMBER(H77)),IF(H77&gt;0,1,0),0)</f>
        <v>0</v>
      </c>
      <c r="W77" s="96" t="str">
        <f>IF(T77=1,INDEX('ITENS_MTR'!$AU$6:$AU$1005,S77)&amp;"","")</f>
        <v/>
      </c>
      <c r="X77" s="96">
        <f>IF(AND(Q77=1,T77=1,I77&lt;&gt;"",W77&lt;&gt;""),IF(I77&lt;&gt;W77,1,0),0)</f>
        <v>0</v>
      </c>
      <c r="Y77" s="96">
        <f>IF(N77=0,0,IF(OR(Q77=0,T77=0,V77=0,AND(X77=1,J77&lt;&gt;"Sim")),1,0))</f>
        <v>0</v>
      </c>
      <c r="Z77" s="96">
        <f>IF(Q77=1,INDEX('CDFs'!$W$6:$W$505,P77),0)</f>
        <v>0</v>
      </c>
      <c r="AA77" s="96">
        <f>IF(AND(N77=1,Y77=0,Z77=1,J77="Sim"),1,0)</f>
        <v>0</v>
      </c>
      <c r="AB77" s="96">
        <f>IF(AND(N77=1,O77&lt;&gt;"",D77&lt;&gt;""),IF(COUNTIFS($O$6:O77,O77,$D$6:D77,D77)=1,1,0),0)</f>
        <v>0</v>
      </c>
      <c r="AC77" s="96">
        <f>IF(T77=1,INDEX('ITENS_MTR'!$AL$6:$AL$1005,S77),0)</f>
        <v>0</v>
      </c>
    </row>
    <row r="78">
      <c r="A78" s="89" t="inlineStr">
        <is>
          <t>VIN-000073</t>
        </is>
      </c>
      <c r="B78" s="91" t="n"/>
      <c r="C78" s="91" t="n"/>
      <c r="D78" s="94" t="str">
        <f>IF(T78=1,INDEX('ITENS_MTR'!$S$6:$S$1005,S78)&amp;"","")</f>
        <v/>
      </c>
      <c r="E78" s="94" t="str">
        <f>IF(T78=1,INDEX('ITENS_MTR'!$C$6:$C$1005,S78)&amp;"","")</f>
        <v/>
      </c>
      <c r="F78" s="98" t="n"/>
      <c r="G78" s="91" t="n"/>
      <c r="H78" s="93" t="str">
        <f>IF(N78=0,"",IF(NOT(ISNUMBER(F78)),"",IF(ISNUMBER(U78),F78*U78,"UNIDADE A CONFERIR")))</f>
        <v/>
      </c>
      <c r="I78" s="94" t="str">
        <f>IF(Q78=1,INDEX('CDFs'!$F$6:$F$505,P78)&amp;"","")</f>
        <v/>
      </c>
      <c r="J78" s="91" t="n"/>
      <c r="K78" s="91" t="n"/>
      <c r="L78" s="94" t="str">
        <f>IF(N78=0,"",IF(NOT(ISNUMBER(F78)),"Quantidade não informada",IF(F78&lt;=0,"Quantidade não positiva",IF(G78="","Unidade não informada",IF(NOT(ISNUMBER(H78)),"Unidade a conferir",IF(AC78=1,"REVISAR VÍNCULO: soma vinculada maior que a referência do item","OK"))))))</f>
        <v/>
      </c>
      <c r="M78" s="94" t="str">
        <f>IF(N78=0,"",IF(B78="","CDF não informado",IF(Q78=0,"REVISAR VÍNCULO: CDF inexistente",IF(C78="","Item não informado",IF(T78=0,"REVISAR VÍNCULO: item inexistente",IF(AND(X78=1,J78&lt;&gt;"Sim"),"REVISAR VÍNCULO: destinador diferente do MTR",IF(X78=1,"Destinador diferente do MTR (analisado)","OK")))))))</f>
        <v/>
      </c>
      <c r="N78" s="96">
        <f>IF(COUNTA(B78:C78,F78:G78,J78:K78)&gt;0,1,0)</f>
        <v>0</v>
      </c>
      <c r="O78" s="96" t="str">
        <f>IF(B78="","",TRIM(LEFT(B78,FIND(" |",B78&amp;" |")-1)))</f>
        <v/>
      </c>
      <c r="P78" s="96" t="str">
        <f>IF(O78="","",IFERROR(MATCH(O78,'CDFs'!$A$6:$A$505,0),""))</f>
        <v/>
      </c>
      <c r="Q78" s="96">
        <f>IF(P78="",0,IF(INDEX('CDFs'!$S$6:$S$505,P78)=1,1,0))</f>
        <v>0</v>
      </c>
      <c r="R78" s="96" t="str">
        <f>IF(C78="","",TRIM(LEFT(C78,FIND(" |",C78&amp;" |")-1)))</f>
        <v/>
      </c>
      <c r="S78" s="96" t="str">
        <f>IF(R78="","",IFERROR(MATCH(R78,'ITENS_MTR'!$A$6:$A$1005,0),""))</f>
        <v/>
      </c>
      <c r="T78" s="96">
        <f>IF(S78="",0,IF(INDEX('ITENS_MTR'!$R$6:$R$1005,S78)=1,1,0))</f>
        <v>0</v>
      </c>
      <c r="U78" s="96" t="str">
        <f>IF(G78="","",IFERROR(IF(ISNUMBER(INDEX(cfg_fac,MATCH(G78,cfg_units,0))),IF(INDEX(cfg_fac,MATCH(G78,cfg_units,0))&gt;0,INDEX(cfg_fac,MATCH(G78,cfg_units,0)),""),""),""))</f>
        <v/>
      </c>
      <c r="V78" s="96">
        <f>IF(AND(ISNUMBER(F78),ISNUMBER(H78)),IF(H78&gt;0,1,0),0)</f>
        <v>0</v>
      </c>
      <c r="W78" s="96" t="str">
        <f>IF(T78=1,INDEX('ITENS_MTR'!$AU$6:$AU$1005,S78)&amp;"","")</f>
        <v/>
      </c>
      <c r="X78" s="96">
        <f>IF(AND(Q78=1,T78=1,I78&lt;&gt;"",W78&lt;&gt;""),IF(I78&lt;&gt;W78,1,0),0)</f>
        <v>0</v>
      </c>
      <c r="Y78" s="96">
        <f>IF(N78=0,0,IF(OR(Q78=0,T78=0,V78=0,AND(X78=1,J78&lt;&gt;"Sim")),1,0))</f>
        <v>0</v>
      </c>
      <c r="Z78" s="96">
        <f>IF(Q78=1,INDEX('CDFs'!$W$6:$W$505,P78),0)</f>
        <v>0</v>
      </c>
      <c r="AA78" s="96">
        <f>IF(AND(N78=1,Y78=0,Z78=1,J78="Sim"),1,0)</f>
        <v>0</v>
      </c>
      <c r="AB78" s="96">
        <f>IF(AND(N78=1,O78&lt;&gt;"",D78&lt;&gt;""),IF(COUNTIFS($O$6:O78,O78,$D$6:D78,D78)=1,1,0),0)</f>
        <v>0</v>
      </c>
      <c r="AC78" s="96">
        <f>IF(T78=1,INDEX('ITENS_MTR'!$AL$6:$AL$1005,S78),0)</f>
        <v>0</v>
      </c>
    </row>
    <row r="79">
      <c r="A79" s="89" t="inlineStr">
        <is>
          <t>VIN-000074</t>
        </is>
      </c>
      <c r="B79" s="91" t="n"/>
      <c r="C79" s="91" t="n"/>
      <c r="D79" s="94" t="str">
        <f>IF(T79=1,INDEX('ITENS_MTR'!$S$6:$S$1005,S79)&amp;"","")</f>
        <v/>
      </c>
      <c r="E79" s="94" t="str">
        <f>IF(T79=1,INDEX('ITENS_MTR'!$C$6:$C$1005,S79)&amp;"","")</f>
        <v/>
      </c>
      <c r="F79" s="98" t="n"/>
      <c r="G79" s="91" t="n"/>
      <c r="H79" s="93" t="str">
        <f>IF(N79=0,"",IF(NOT(ISNUMBER(F79)),"",IF(ISNUMBER(U79),F79*U79,"UNIDADE A CONFERIR")))</f>
        <v/>
      </c>
      <c r="I79" s="94" t="str">
        <f>IF(Q79=1,INDEX('CDFs'!$F$6:$F$505,P79)&amp;"","")</f>
        <v/>
      </c>
      <c r="J79" s="91" t="n"/>
      <c r="K79" s="91" t="n"/>
      <c r="L79" s="94" t="str">
        <f>IF(N79=0,"",IF(NOT(ISNUMBER(F79)),"Quantidade não informada",IF(F79&lt;=0,"Quantidade não positiva",IF(G79="","Unidade não informada",IF(NOT(ISNUMBER(H79)),"Unidade a conferir",IF(AC79=1,"REVISAR VÍNCULO: soma vinculada maior que a referência do item","OK"))))))</f>
        <v/>
      </c>
      <c r="M79" s="94" t="str">
        <f>IF(N79=0,"",IF(B79="","CDF não informado",IF(Q79=0,"REVISAR VÍNCULO: CDF inexistente",IF(C79="","Item não informado",IF(T79=0,"REVISAR VÍNCULO: item inexistente",IF(AND(X79=1,J79&lt;&gt;"Sim"),"REVISAR VÍNCULO: destinador diferente do MTR",IF(X79=1,"Destinador diferente do MTR (analisado)","OK")))))))</f>
        <v/>
      </c>
      <c r="N79" s="96">
        <f>IF(COUNTA(B79:C79,F79:G79,J79:K79)&gt;0,1,0)</f>
        <v>0</v>
      </c>
      <c r="O79" s="96" t="str">
        <f>IF(B79="","",TRIM(LEFT(B79,FIND(" |",B79&amp;" |")-1)))</f>
        <v/>
      </c>
      <c r="P79" s="96" t="str">
        <f>IF(O79="","",IFERROR(MATCH(O79,'CDFs'!$A$6:$A$505,0),""))</f>
        <v/>
      </c>
      <c r="Q79" s="96">
        <f>IF(P79="",0,IF(INDEX('CDFs'!$S$6:$S$505,P79)=1,1,0))</f>
        <v>0</v>
      </c>
      <c r="R79" s="96" t="str">
        <f>IF(C79="","",TRIM(LEFT(C79,FIND(" |",C79&amp;" |")-1)))</f>
        <v/>
      </c>
      <c r="S79" s="96" t="str">
        <f>IF(R79="","",IFERROR(MATCH(R79,'ITENS_MTR'!$A$6:$A$1005,0),""))</f>
        <v/>
      </c>
      <c r="T79" s="96">
        <f>IF(S79="",0,IF(INDEX('ITENS_MTR'!$R$6:$R$1005,S79)=1,1,0))</f>
        <v>0</v>
      </c>
      <c r="U79" s="96" t="str">
        <f>IF(G79="","",IFERROR(IF(ISNUMBER(INDEX(cfg_fac,MATCH(G79,cfg_units,0))),IF(INDEX(cfg_fac,MATCH(G79,cfg_units,0))&gt;0,INDEX(cfg_fac,MATCH(G79,cfg_units,0)),""),""),""))</f>
        <v/>
      </c>
      <c r="V79" s="96">
        <f>IF(AND(ISNUMBER(F79),ISNUMBER(H79)),IF(H79&gt;0,1,0),0)</f>
        <v>0</v>
      </c>
      <c r="W79" s="96" t="str">
        <f>IF(T79=1,INDEX('ITENS_MTR'!$AU$6:$AU$1005,S79)&amp;"","")</f>
        <v/>
      </c>
      <c r="X79" s="96">
        <f>IF(AND(Q79=1,T79=1,I79&lt;&gt;"",W79&lt;&gt;""),IF(I79&lt;&gt;W79,1,0),0)</f>
        <v>0</v>
      </c>
      <c r="Y79" s="96">
        <f>IF(N79=0,0,IF(OR(Q79=0,T79=0,V79=0,AND(X79=1,J79&lt;&gt;"Sim")),1,0))</f>
        <v>0</v>
      </c>
      <c r="Z79" s="96">
        <f>IF(Q79=1,INDEX('CDFs'!$W$6:$W$505,P79),0)</f>
        <v>0</v>
      </c>
      <c r="AA79" s="96">
        <f>IF(AND(N79=1,Y79=0,Z79=1,J79="Sim"),1,0)</f>
        <v>0</v>
      </c>
      <c r="AB79" s="96">
        <f>IF(AND(N79=1,O79&lt;&gt;"",D79&lt;&gt;""),IF(COUNTIFS($O$6:O79,O79,$D$6:D79,D79)=1,1,0),0)</f>
        <v>0</v>
      </c>
      <c r="AC79" s="96">
        <f>IF(T79=1,INDEX('ITENS_MTR'!$AL$6:$AL$1005,S79),0)</f>
        <v>0</v>
      </c>
    </row>
    <row r="80">
      <c r="A80" s="89" t="inlineStr">
        <is>
          <t>VIN-000075</t>
        </is>
      </c>
      <c r="B80" s="91" t="n"/>
      <c r="C80" s="91" t="n"/>
      <c r="D80" s="94" t="str">
        <f>IF(T80=1,INDEX('ITENS_MTR'!$S$6:$S$1005,S80)&amp;"","")</f>
        <v/>
      </c>
      <c r="E80" s="94" t="str">
        <f>IF(T80=1,INDEX('ITENS_MTR'!$C$6:$C$1005,S80)&amp;"","")</f>
        <v/>
      </c>
      <c r="F80" s="98" t="n"/>
      <c r="G80" s="91" t="n"/>
      <c r="H80" s="93" t="str">
        <f>IF(N80=0,"",IF(NOT(ISNUMBER(F80)),"",IF(ISNUMBER(U80),F80*U80,"UNIDADE A CONFERIR")))</f>
        <v/>
      </c>
      <c r="I80" s="94" t="str">
        <f>IF(Q80=1,INDEX('CDFs'!$F$6:$F$505,P80)&amp;"","")</f>
        <v/>
      </c>
      <c r="J80" s="91" t="n"/>
      <c r="K80" s="91" t="n"/>
      <c r="L80" s="94" t="str">
        <f>IF(N80=0,"",IF(NOT(ISNUMBER(F80)),"Quantidade não informada",IF(F80&lt;=0,"Quantidade não positiva",IF(G80="","Unidade não informada",IF(NOT(ISNUMBER(H80)),"Unidade a conferir",IF(AC80=1,"REVISAR VÍNCULO: soma vinculada maior que a referência do item","OK"))))))</f>
        <v/>
      </c>
      <c r="M80" s="94" t="str">
        <f>IF(N80=0,"",IF(B80="","CDF não informado",IF(Q80=0,"REVISAR VÍNCULO: CDF inexistente",IF(C80="","Item não informado",IF(T80=0,"REVISAR VÍNCULO: item inexistente",IF(AND(X80=1,J80&lt;&gt;"Sim"),"REVISAR VÍNCULO: destinador diferente do MTR",IF(X80=1,"Destinador diferente do MTR (analisado)","OK")))))))</f>
        <v/>
      </c>
      <c r="N80" s="96">
        <f>IF(COUNTA(B80:C80,F80:G80,J80:K80)&gt;0,1,0)</f>
        <v>0</v>
      </c>
      <c r="O80" s="96" t="str">
        <f>IF(B80="","",TRIM(LEFT(B80,FIND(" |",B80&amp;" |")-1)))</f>
        <v/>
      </c>
      <c r="P80" s="96" t="str">
        <f>IF(O80="","",IFERROR(MATCH(O80,'CDFs'!$A$6:$A$505,0),""))</f>
        <v/>
      </c>
      <c r="Q80" s="96">
        <f>IF(P80="",0,IF(INDEX('CDFs'!$S$6:$S$505,P80)=1,1,0))</f>
        <v>0</v>
      </c>
      <c r="R80" s="96" t="str">
        <f>IF(C80="","",TRIM(LEFT(C80,FIND(" |",C80&amp;" |")-1)))</f>
        <v/>
      </c>
      <c r="S80" s="96" t="str">
        <f>IF(R80="","",IFERROR(MATCH(R80,'ITENS_MTR'!$A$6:$A$1005,0),""))</f>
        <v/>
      </c>
      <c r="T80" s="96">
        <f>IF(S80="",0,IF(INDEX('ITENS_MTR'!$R$6:$R$1005,S80)=1,1,0))</f>
        <v>0</v>
      </c>
      <c r="U80" s="96" t="str">
        <f>IF(G80="","",IFERROR(IF(ISNUMBER(INDEX(cfg_fac,MATCH(G80,cfg_units,0))),IF(INDEX(cfg_fac,MATCH(G80,cfg_units,0))&gt;0,INDEX(cfg_fac,MATCH(G80,cfg_units,0)),""),""),""))</f>
        <v/>
      </c>
      <c r="V80" s="96">
        <f>IF(AND(ISNUMBER(F80),ISNUMBER(H80)),IF(H80&gt;0,1,0),0)</f>
        <v>0</v>
      </c>
      <c r="W80" s="96" t="str">
        <f>IF(T80=1,INDEX('ITENS_MTR'!$AU$6:$AU$1005,S80)&amp;"","")</f>
        <v/>
      </c>
      <c r="X80" s="96">
        <f>IF(AND(Q80=1,T80=1,I80&lt;&gt;"",W80&lt;&gt;""),IF(I80&lt;&gt;W80,1,0),0)</f>
        <v>0</v>
      </c>
      <c r="Y80" s="96">
        <f>IF(N80=0,0,IF(OR(Q80=0,T80=0,V80=0,AND(X80=1,J80&lt;&gt;"Sim")),1,0))</f>
        <v>0</v>
      </c>
      <c r="Z80" s="96">
        <f>IF(Q80=1,INDEX('CDFs'!$W$6:$W$505,P80),0)</f>
        <v>0</v>
      </c>
      <c r="AA80" s="96">
        <f>IF(AND(N80=1,Y80=0,Z80=1,J80="Sim"),1,0)</f>
        <v>0</v>
      </c>
      <c r="AB80" s="96">
        <f>IF(AND(N80=1,O80&lt;&gt;"",D80&lt;&gt;""),IF(COUNTIFS($O$6:O80,O80,$D$6:D80,D80)=1,1,0),0)</f>
        <v>0</v>
      </c>
      <c r="AC80" s="96">
        <f>IF(T80=1,INDEX('ITENS_MTR'!$AL$6:$AL$1005,S80),0)</f>
        <v>0</v>
      </c>
    </row>
    <row r="81">
      <c r="A81" s="89" t="inlineStr">
        <is>
          <t>VIN-000076</t>
        </is>
      </c>
      <c r="B81" s="91" t="n"/>
      <c r="C81" s="91" t="n"/>
      <c r="D81" s="94" t="str">
        <f>IF(T81=1,INDEX('ITENS_MTR'!$S$6:$S$1005,S81)&amp;"","")</f>
        <v/>
      </c>
      <c r="E81" s="94" t="str">
        <f>IF(T81=1,INDEX('ITENS_MTR'!$C$6:$C$1005,S81)&amp;"","")</f>
        <v/>
      </c>
      <c r="F81" s="98" t="n"/>
      <c r="G81" s="91" t="n"/>
      <c r="H81" s="93" t="str">
        <f>IF(N81=0,"",IF(NOT(ISNUMBER(F81)),"",IF(ISNUMBER(U81),F81*U81,"UNIDADE A CONFERIR")))</f>
        <v/>
      </c>
      <c r="I81" s="94" t="str">
        <f>IF(Q81=1,INDEX('CDFs'!$F$6:$F$505,P81)&amp;"","")</f>
        <v/>
      </c>
      <c r="J81" s="91" t="n"/>
      <c r="K81" s="91" t="n"/>
      <c r="L81" s="94" t="str">
        <f>IF(N81=0,"",IF(NOT(ISNUMBER(F81)),"Quantidade não informada",IF(F81&lt;=0,"Quantidade não positiva",IF(G81="","Unidade não informada",IF(NOT(ISNUMBER(H81)),"Unidade a conferir",IF(AC81=1,"REVISAR VÍNCULO: soma vinculada maior que a referência do item","OK"))))))</f>
        <v/>
      </c>
      <c r="M81" s="94" t="str">
        <f>IF(N81=0,"",IF(B81="","CDF não informado",IF(Q81=0,"REVISAR VÍNCULO: CDF inexistente",IF(C81="","Item não informado",IF(T81=0,"REVISAR VÍNCULO: item inexistente",IF(AND(X81=1,J81&lt;&gt;"Sim"),"REVISAR VÍNCULO: destinador diferente do MTR",IF(X81=1,"Destinador diferente do MTR (analisado)","OK")))))))</f>
        <v/>
      </c>
      <c r="N81" s="96">
        <f>IF(COUNTA(B81:C81,F81:G81,J81:K81)&gt;0,1,0)</f>
        <v>0</v>
      </c>
      <c r="O81" s="96" t="str">
        <f>IF(B81="","",TRIM(LEFT(B81,FIND(" |",B81&amp;" |")-1)))</f>
        <v/>
      </c>
      <c r="P81" s="96" t="str">
        <f>IF(O81="","",IFERROR(MATCH(O81,'CDFs'!$A$6:$A$505,0),""))</f>
        <v/>
      </c>
      <c r="Q81" s="96">
        <f>IF(P81="",0,IF(INDEX('CDFs'!$S$6:$S$505,P81)=1,1,0))</f>
        <v>0</v>
      </c>
      <c r="R81" s="96" t="str">
        <f>IF(C81="","",TRIM(LEFT(C81,FIND(" |",C81&amp;" |")-1)))</f>
        <v/>
      </c>
      <c r="S81" s="96" t="str">
        <f>IF(R81="","",IFERROR(MATCH(R81,'ITENS_MTR'!$A$6:$A$1005,0),""))</f>
        <v/>
      </c>
      <c r="T81" s="96">
        <f>IF(S81="",0,IF(INDEX('ITENS_MTR'!$R$6:$R$1005,S81)=1,1,0))</f>
        <v>0</v>
      </c>
      <c r="U81" s="96" t="str">
        <f>IF(G81="","",IFERROR(IF(ISNUMBER(INDEX(cfg_fac,MATCH(G81,cfg_units,0))),IF(INDEX(cfg_fac,MATCH(G81,cfg_units,0))&gt;0,INDEX(cfg_fac,MATCH(G81,cfg_units,0)),""),""),""))</f>
        <v/>
      </c>
      <c r="V81" s="96">
        <f>IF(AND(ISNUMBER(F81),ISNUMBER(H81)),IF(H81&gt;0,1,0),0)</f>
        <v>0</v>
      </c>
      <c r="W81" s="96" t="str">
        <f>IF(T81=1,INDEX('ITENS_MTR'!$AU$6:$AU$1005,S81)&amp;"","")</f>
        <v/>
      </c>
      <c r="X81" s="96">
        <f>IF(AND(Q81=1,T81=1,I81&lt;&gt;"",W81&lt;&gt;""),IF(I81&lt;&gt;W81,1,0),0)</f>
        <v>0</v>
      </c>
      <c r="Y81" s="96">
        <f>IF(N81=0,0,IF(OR(Q81=0,T81=0,V81=0,AND(X81=1,J81&lt;&gt;"Sim")),1,0))</f>
        <v>0</v>
      </c>
      <c r="Z81" s="96">
        <f>IF(Q81=1,INDEX('CDFs'!$W$6:$W$505,P81),0)</f>
        <v>0</v>
      </c>
      <c r="AA81" s="96">
        <f>IF(AND(N81=1,Y81=0,Z81=1,J81="Sim"),1,0)</f>
        <v>0</v>
      </c>
      <c r="AB81" s="96">
        <f>IF(AND(N81=1,O81&lt;&gt;"",D81&lt;&gt;""),IF(COUNTIFS($O$6:O81,O81,$D$6:D81,D81)=1,1,0),0)</f>
        <v>0</v>
      </c>
      <c r="AC81" s="96">
        <f>IF(T81=1,INDEX('ITENS_MTR'!$AL$6:$AL$1005,S81),0)</f>
        <v>0</v>
      </c>
    </row>
    <row r="82">
      <c r="A82" s="89" t="inlineStr">
        <is>
          <t>VIN-000077</t>
        </is>
      </c>
      <c r="B82" s="91" t="n"/>
      <c r="C82" s="91" t="n"/>
      <c r="D82" s="94" t="str">
        <f>IF(T82=1,INDEX('ITENS_MTR'!$S$6:$S$1005,S82)&amp;"","")</f>
        <v/>
      </c>
      <c r="E82" s="94" t="str">
        <f>IF(T82=1,INDEX('ITENS_MTR'!$C$6:$C$1005,S82)&amp;"","")</f>
        <v/>
      </c>
      <c r="F82" s="98" t="n"/>
      <c r="G82" s="91" t="n"/>
      <c r="H82" s="93" t="str">
        <f>IF(N82=0,"",IF(NOT(ISNUMBER(F82)),"",IF(ISNUMBER(U82),F82*U82,"UNIDADE A CONFERIR")))</f>
        <v/>
      </c>
      <c r="I82" s="94" t="str">
        <f>IF(Q82=1,INDEX('CDFs'!$F$6:$F$505,P82)&amp;"","")</f>
        <v/>
      </c>
      <c r="J82" s="91" t="n"/>
      <c r="K82" s="91" t="n"/>
      <c r="L82" s="94" t="str">
        <f>IF(N82=0,"",IF(NOT(ISNUMBER(F82)),"Quantidade não informada",IF(F82&lt;=0,"Quantidade não positiva",IF(G82="","Unidade não informada",IF(NOT(ISNUMBER(H82)),"Unidade a conferir",IF(AC82=1,"REVISAR VÍNCULO: soma vinculada maior que a referência do item","OK"))))))</f>
        <v/>
      </c>
      <c r="M82" s="94" t="str">
        <f>IF(N82=0,"",IF(B82="","CDF não informado",IF(Q82=0,"REVISAR VÍNCULO: CDF inexistente",IF(C82="","Item não informado",IF(T82=0,"REVISAR VÍNCULO: item inexistente",IF(AND(X82=1,J82&lt;&gt;"Sim"),"REVISAR VÍNCULO: destinador diferente do MTR",IF(X82=1,"Destinador diferente do MTR (analisado)","OK")))))))</f>
        <v/>
      </c>
      <c r="N82" s="96">
        <f>IF(COUNTA(B82:C82,F82:G82,J82:K82)&gt;0,1,0)</f>
        <v>0</v>
      </c>
      <c r="O82" s="96" t="str">
        <f>IF(B82="","",TRIM(LEFT(B82,FIND(" |",B82&amp;" |")-1)))</f>
        <v/>
      </c>
      <c r="P82" s="96" t="str">
        <f>IF(O82="","",IFERROR(MATCH(O82,'CDFs'!$A$6:$A$505,0),""))</f>
        <v/>
      </c>
      <c r="Q82" s="96">
        <f>IF(P82="",0,IF(INDEX('CDFs'!$S$6:$S$505,P82)=1,1,0))</f>
        <v>0</v>
      </c>
      <c r="R82" s="96" t="str">
        <f>IF(C82="","",TRIM(LEFT(C82,FIND(" |",C82&amp;" |")-1)))</f>
        <v/>
      </c>
      <c r="S82" s="96" t="str">
        <f>IF(R82="","",IFERROR(MATCH(R82,'ITENS_MTR'!$A$6:$A$1005,0),""))</f>
        <v/>
      </c>
      <c r="T82" s="96">
        <f>IF(S82="",0,IF(INDEX('ITENS_MTR'!$R$6:$R$1005,S82)=1,1,0))</f>
        <v>0</v>
      </c>
      <c r="U82" s="96" t="str">
        <f>IF(G82="","",IFERROR(IF(ISNUMBER(INDEX(cfg_fac,MATCH(G82,cfg_units,0))),IF(INDEX(cfg_fac,MATCH(G82,cfg_units,0))&gt;0,INDEX(cfg_fac,MATCH(G82,cfg_units,0)),""),""),""))</f>
        <v/>
      </c>
      <c r="V82" s="96">
        <f>IF(AND(ISNUMBER(F82),ISNUMBER(H82)),IF(H82&gt;0,1,0),0)</f>
        <v>0</v>
      </c>
      <c r="W82" s="96" t="str">
        <f>IF(T82=1,INDEX('ITENS_MTR'!$AU$6:$AU$1005,S82)&amp;"","")</f>
        <v/>
      </c>
      <c r="X82" s="96">
        <f>IF(AND(Q82=1,T82=1,I82&lt;&gt;"",W82&lt;&gt;""),IF(I82&lt;&gt;W82,1,0),0)</f>
        <v>0</v>
      </c>
      <c r="Y82" s="96">
        <f>IF(N82=0,0,IF(OR(Q82=0,T82=0,V82=0,AND(X82=1,J82&lt;&gt;"Sim")),1,0))</f>
        <v>0</v>
      </c>
      <c r="Z82" s="96">
        <f>IF(Q82=1,INDEX('CDFs'!$W$6:$W$505,P82),0)</f>
        <v>0</v>
      </c>
      <c r="AA82" s="96">
        <f>IF(AND(N82=1,Y82=0,Z82=1,J82="Sim"),1,0)</f>
        <v>0</v>
      </c>
      <c r="AB82" s="96">
        <f>IF(AND(N82=1,O82&lt;&gt;"",D82&lt;&gt;""),IF(COUNTIFS($O$6:O82,O82,$D$6:D82,D82)=1,1,0),0)</f>
        <v>0</v>
      </c>
      <c r="AC82" s="96">
        <f>IF(T82=1,INDEX('ITENS_MTR'!$AL$6:$AL$1005,S82),0)</f>
        <v>0</v>
      </c>
    </row>
    <row r="83">
      <c r="A83" s="89" t="inlineStr">
        <is>
          <t>VIN-000078</t>
        </is>
      </c>
      <c r="B83" s="91" t="n"/>
      <c r="C83" s="91" t="n"/>
      <c r="D83" s="94" t="str">
        <f>IF(T83=1,INDEX('ITENS_MTR'!$S$6:$S$1005,S83)&amp;"","")</f>
        <v/>
      </c>
      <c r="E83" s="94" t="str">
        <f>IF(T83=1,INDEX('ITENS_MTR'!$C$6:$C$1005,S83)&amp;"","")</f>
        <v/>
      </c>
      <c r="F83" s="98" t="n"/>
      <c r="G83" s="91" t="n"/>
      <c r="H83" s="93" t="str">
        <f>IF(N83=0,"",IF(NOT(ISNUMBER(F83)),"",IF(ISNUMBER(U83),F83*U83,"UNIDADE A CONFERIR")))</f>
        <v/>
      </c>
      <c r="I83" s="94" t="str">
        <f>IF(Q83=1,INDEX('CDFs'!$F$6:$F$505,P83)&amp;"","")</f>
        <v/>
      </c>
      <c r="J83" s="91" t="n"/>
      <c r="K83" s="91" t="n"/>
      <c r="L83" s="94" t="str">
        <f>IF(N83=0,"",IF(NOT(ISNUMBER(F83)),"Quantidade não informada",IF(F83&lt;=0,"Quantidade não positiva",IF(G83="","Unidade não informada",IF(NOT(ISNUMBER(H83)),"Unidade a conferir",IF(AC83=1,"REVISAR VÍNCULO: soma vinculada maior que a referência do item","OK"))))))</f>
        <v/>
      </c>
      <c r="M83" s="94" t="str">
        <f>IF(N83=0,"",IF(B83="","CDF não informado",IF(Q83=0,"REVISAR VÍNCULO: CDF inexistente",IF(C83="","Item não informado",IF(T83=0,"REVISAR VÍNCULO: item inexistente",IF(AND(X83=1,J83&lt;&gt;"Sim"),"REVISAR VÍNCULO: destinador diferente do MTR",IF(X83=1,"Destinador diferente do MTR (analisado)","OK")))))))</f>
        <v/>
      </c>
      <c r="N83" s="96">
        <f>IF(COUNTA(B83:C83,F83:G83,J83:K83)&gt;0,1,0)</f>
        <v>0</v>
      </c>
      <c r="O83" s="96" t="str">
        <f>IF(B83="","",TRIM(LEFT(B83,FIND(" |",B83&amp;" |")-1)))</f>
        <v/>
      </c>
      <c r="P83" s="96" t="str">
        <f>IF(O83="","",IFERROR(MATCH(O83,'CDFs'!$A$6:$A$505,0),""))</f>
        <v/>
      </c>
      <c r="Q83" s="96">
        <f>IF(P83="",0,IF(INDEX('CDFs'!$S$6:$S$505,P83)=1,1,0))</f>
        <v>0</v>
      </c>
      <c r="R83" s="96" t="str">
        <f>IF(C83="","",TRIM(LEFT(C83,FIND(" |",C83&amp;" |")-1)))</f>
        <v/>
      </c>
      <c r="S83" s="96" t="str">
        <f>IF(R83="","",IFERROR(MATCH(R83,'ITENS_MTR'!$A$6:$A$1005,0),""))</f>
        <v/>
      </c>
      <c r="T83" s="96">
        <f>IF(S83="",0,IF(INDEX('ITENS_MTR'!$R$6:$R$1005,S83)=1,1,0))</f>
        <v>0</v>
      </c>
      <c r="U83" s="96" t="str">
        <f>IF(G83="","",IFERROR(IF(ISNUMBER(INDEX(cfg_fac,MATCH(G83,cfg_units,0))),IF(INDEX(cfg_fac,MATCH(G83,cfg_units,0))&gt;0,INDEX(cfg_fac,MATCH(G83,cfg_units,0)),""),""),""))</f>
        <v/>
      </c>
      <c r="V83" s="96">
        <f>IF(AND(ISNUMBER(F83),ISNUMBER(H83)),IF(H83&gt;0,1,0),0)</f>
        <v>0</v>
      </c>
      <c r="W83" s="96" t="str">
        <f>IF(T83=1,INDEX('ITENS_MTR'!$AU$6:$AU$1005,S83)&amp;"","")</f>
        <v/>
      </c>
      <c r="X83" s="96">
        <f>IF(AND(Q83=1,T83=1,I83&lt;&gt;"",W83&lt;&gt;""),IF(I83&lt;&gt;W83,1,0),0)</f>
        <v>0</v>
      </c>
      <c r="Y83" s="96">
        <f>IF(N83=0,0,IF(OR(Q83=0,T83=0,V83=0,AND(X83=1,J83&lt;&gt;"Sim")),1,0))</f>
        <v>0</v>
      </c>
      <c r="Z83" s="96">
        <f>IF(Q83=1,INDEX('CDFs'!$W$6:$W$505,P83),0)</f>
        <v>0</v>
      </c>
      <c r="AA83" s="96">
        <f>IF(AND(N83=1,Y83=0,Z83=1,J83="Sim"),1,0)</f>
        <v>0</v>
      </c>
      <c r="AB83" s="96">
        <f>IF(AND(N83=1,O83&lt;&gt;"",D83&lt;&gt;""),IF(COUNTIFS($O$6:O83,O83,$D$6:D83,D83)=1,1,0),0)</f>
        <v>0</v>
      </c>
      <c r="AC83" s="96">
        <f>IF(T83=1,INDEX('ITENS_MTR'!$AL$6:$AL$1005,S83),0)</f>
        <v>0</v>
      </c>
    </row>
    <row r="84">
      <c r="A84" s="89" t="inlineStr">
        <is>
          <t>VIN-000079</t>
        </is>
      </c>
      <c r="B84" s="91" t="n"/>
      <c r="C84" s="91" t="n"/>
      <c r="D84" s="94" t="str">
        <f>IF(T84=1,INDEX('ITENS_MTR'!$S$6:$S$1005,S84)&amp;"","")</f>
        <v/>
      </c>
      <c r="E84" s="94" t="str">
        <f>IF(T84=1,INDEX('ITENS_MTR'!$C$6:$C$1005,S84)&amp;"","")</f>
        <v/>
      </c>
      <c r="F84" s="98" t="n"/>
      <c r="G84" s="91" t="n"/>
      <c r="H84" s="93" t="str">
        <f>IF(N84=0,"",IF(NOT(ISNUMBER(F84)),"",IF(ISNUMBER(U84),F84*U84,"UNIDADE A CONFERIR")))</f>
        <v/>
      </c>
      <c r="I84" s="94" t="str">
        <f>IF(Q84=1,INDEX('CDFs'!$F$6:$F$505,P84)&amp;"","")</f>
        <v/>
      </c>
      <c r="J84" s="91" t="n"/>
      <c r="K84" s="91" t="n"/>
      <c r="L84" s="94" t="str">
        <f>IF(N84=0,"",IF(NOT(ISNUMBER(F84)),"Quantidade não informada",IF(F84&lt;=0,"Quantidade não positiva",IF(G84="","Unidade não informada",IF(NOT(ISNUMBER(H84)),"Unidade a conferir",IF(AC84=1,"REVISAR VÍNCULO: soma vinculada maior que a referência do item","OK"))))))</f>
        <v/>
      </c>
      <c r="M84" s="94" t="str">
        <f>IF(N84=0,"",IF(B84="","CDF não informado",IF(Q84=0,"REVISAR VÍNCULO: CDF inexistente",IF(C84="","Item não informado",IF(T84=0,"REVISAR VÍNCULO: item inexistente",IF(AND(X84=1,J84&lt;&gt;"Sim"),"REVISAR VÍNCULO: destinador diferente do MTR",IF(X84=1,"Destinador diferente do MTR (analisado)","OK")))))))</f>
        <v/>
      </c>
      <c r="N84" s="96">
        <f>IF(COUNTA(B84:C84,F84:G84,J84:K84)&gt;0,1,0)</f>
        <v>0</v>
      </c>
      <c r="O84" s="96" t="str">
        <f>IF(B84="","",TRIM(LEFT(B84,FIND(" |",B84&amp;" |")-1)))</f>
        <v/>
      </c>
      <c r="P84" s="96" t="str">
        <f>IF(O84="","",IFERROR(MATCH(O84,'CDFs'!$A$6:$A$505,0),""))</f>
        <v/>
      </c>
      <c r="Q84" s="96">
        <f>IF(P84="",0,IF(INDEX('CDFs'!$S$6:$S$505,P84)=1,1,0))</f>
        <v>0</v>
      </c>
      <c r="R84" s="96" t="str">
        <f>IF(C84="","",TRIM(LEFT(C84,FIND(" |",C84&amp;" |")-1)))</f>
        <v/>
      </c>
      <c r="S84" s="96" t="str">
        <f>IF(R84="","",IFERROR(MATCH(R84,'ITENS_MTR'!$A$6:$A$1005,0),""))</f>
        <v/>
      </c>
      <c r="T84" s="96">
        <f>IF(S84="",0,IF(INDEX('ITENS_MTR'!$R$6:$R$1005,S84)=1,1,0))</f>
        <v>0</v>
      </c>
      <c r="U84" s="96" t="str">
        <f>IF(G84="","",IFERROR(IF(ISNUMBER(INDEX(cfg_fac,MATCH(G84,cfg_units,0))),IF(INDEX(cfg_fac,MATCH(G84,cfg_units,0))&gt;0,INDEX(cfg_fac,MATCH(G84,cfg_units,0)),""),""),""))</f>
        <v/>
      </c>
      <c r="V84" s="96">
        <f>IF(AND(ISNUMBER(F84),ISNUMBER(H84)),IF(H84&gt;0,1,0),0)</f>
        <v>0</v>
      </c>
      <c r="W84" s="96" t="str">
        <f>IF(T84=1,INDEX('ITENS_MTR'!$AU$6:$AU$1005,S84)&amp;"","")</f>
        <v/>
      </c>
      <c r="X84" s="96">
        <f>IF(AND(Q84=1,T84=1,I84&lt;&gt;"",W84&lt;&gt;""),IF(I84&lt;&gt;W84,1,0),0)</f>
        <v>0</v>
      </c>
      <c r="Y84" s="96">
        <f>IF(N84=0,0,IF(OR(Q84=0,T84=0,V84=0,AND(X84=1,J84&lt;&gt;"Sim")),1,0))</f>
        <v>0</v>
      </c>
      <c r="Z84" s="96">
        <f>IF(Q84=1,INDEX('CDFs'!$W$6:$W$505,P84),0)</f>
        <v>0</v>
      </c>
      <c r="AA84" s="96">
        <f>IF(AND(N84=1,Y84=0,Z84=1,J84="Sim"),1,0)</f>
        <v>0</v>
      </c>
      <c r="AB84" s="96">
        <f>IF(AND(N84=1,O84&lt;&gt;"",D84&lt;&gt;""),IF(COUNTIFS($O$6:O84,O84,$D$6:D84,D84)=1,1,0),0)</f>
        <v>0</v>
      </c>
      <c r="AC84" s="96">
        <f>IF(T84=1,INDEX('ITENS_MTR'!$AL$6:$AL$1005,S84),0)</f>
        <v>0</v>
      </c>
    </row>
    <row r="85">
      <c r="A85" s="89" t="inlineStr">
        <is>
          <t>VIN-000080</t>
        </is>
      </c>
      <c r="B85" s="91" t="n"/>
      <c r="C85" s="91" t="n"/>
      <c r="D85" s="94" t="str">
        <f>IF(T85=1,INDEX('ITENS_MTR'!$S$6:$S$1005,S85)&amp;"","")</f>
        <v/>
      </c>
      <c r="E85" s="94" t="str">
        <f>IF(T85=1,INDEX('ITENS_MTR'!$C$6:$C$1005,S85)&amp;"","")</f>
        <v/>
      </c>
      <c r="F85" s="98" t="n"/>
      <c r="G85" s="91" t="n"/>
      <c r="H85" s="93" t="str">
        <f>IF(N85=0,"",IF(NOT(ISNUMBER(F85)),"",IF(ISNUMBER(U85),F85*U85,"UNIDADE A CONFERIR")))</f>
        <v/>
      </c>
      <c r="I85" s="94" t="str">
        <f>IF(Q85=1,INDEX('CDFs'!$F$6:$F$505,P85)&amp;"","")</f>
        <v/>
      </c>
      <c r="J85" s="91" t="n"/>
      <c r="K85" s="91" t="n"/>
      <c r="L85" s="94" t="str">
        <f>IF(N85=0,"",IF(NOT(ISNUMBER(F85)),"Quantidade não informada",IF(F85&lt;=0,"Quantidade não positiva",IF(G85="","Unidade não informada",IF(NOT(ISNUMBER(H85)),"Unidade a conferir",IF(AC85=1,"REVISAR VÍNCULO: soma vinculada maior que a referência do item","OK"))))))</f>
        <v/>
      </c>
      <c r="M85" s="94" t="str">
        <f>IF(N85=0,"",IF(B85="","CDF não informado",IF(Q85=0,"REVISAR VÍNCULO: CDF inexistente",IF(C85="","Item não informado",IF(T85=0,"REVISAR VÍNCULO: item inexistente",IF(AND(X85=1,J85&lt;&gt;"Sim"),"REVISAR VÍNCULO: destinador diferente do MTR",IF(X85=1,"Destinador diferente do MTR (analisado)","OK")))))))</f>
        <v/>
      </c>
      <c r="N85" s="96">
        <f>IF(COUNTA(B85:C85,F85:G85,J85:K85)&gt;0,1,0)</f>
        <v>0</v>
      </c>
      <c r="O85" s="96" t="str">
        <f>IF(B85="","",TRIM(LEFT(B85,FIND(" |",B85&amp;" |")-1)))</f>
        <v/>
      </c>
      <c r="P85" s="96" t="str">
        <f>IF(O85="","",IFERROR(MATCH(O85,'CDFs'!$A$6:$A$505,0),""))</f>
        <v/>
      </c>
      <c r="Q85" s="96">
        <f>IF(P85="",0,IF(INDEX('CDFs'!$S$6:$S$505,P85)=1,1,0))</f>
        <v>0</v>
      </c>
      <c r="R85" s="96" t="str">
        <f>IF(C85="","",TRIM(LEFT(C85,FIND(" |",C85&amp;" |")-1)))</f>
        <v/>
      </c>
      <c r="S85" s="96" t="str">
        <f>IF(R85="","",IFERROR(MATCH(R85,'ITENS_MTR'!$A$6:$A$1005,0),""))</f>
        <v/>
      </c>
      <c r="T85" s="96">
        <f>IF(S85="",0,IF(INDEX('ITENS_MTR'!$R$6:$R$1005,S85)=1,1,0))</f>
        <v>0</v>
      </c>
      <c r="U85" s="96" t="str">
        <f>IF(G85="","",IFERROR(IF(ISNUMBER(INDEX(cfg_fac,MATCH(G85,cfg_units,0))),IF(INDEX(cfg_fac,MATCH(G85,cfg_units,0))&gt;0,INDEX(cfg_fac,MATCH(G85,cfg_units,0)),""),""),""))</f>
        <v/>
      </c>
      <c r="V85" s="96">
        <f>IF(AND(ISNUMBER(F85),ISNUMBER(H85)),IF(H85&gt;0,1,0),0)</f>
        <v>0</v>
      </c>
      <c r="W85" s="96" t="str">
        <f>IF(T85=1,INDEX('ITENS_MTR'!$AU$6:$AU$1005,S85)&amp;"","")</f>
        <v/>
      </c>
      <c r="X85" s="96">
        <f>IF(AND(Q85=1,T85=1,I85&lt;&gt;"",W85&lt;&gt;""),IF(I85&lt;&gt;W85,1,0),0)</f>
        <v>0</v>
      </c>
      <c r="Y85" s="96">
        <f>IF(N85=0,0,IF(OR(Q85=0,T85=0,V85=0,AND(X85=1,J85&lt;&gt;"Sim")),1,0))</f>
        <v>0</v>
      </c>
      <c r="Z85" s="96">
        <f>IF(Q85=1,INDEX('CDFs'!$W$6:$W$505,P85),0)</f>
        <v>0</v>
      </c>
      <c r="AA85" s="96">
        <f>IF(AND(N85=1,Y85=0,Z85=1,J85="Sim"),1,0)</f>
        <v>0</v>
      </c>
      <c r="AB85" s="96">
        <f>IF(AND(N85=1,O85&lt;&gt;"",D85&lt;&gt;""),IF(COUNTIFS($O$6:O85,O85,$D$6:D85,D85)=1,1,0),0)</f>
        <v>0</v>
      </c>
      <c r="AC85" s="96">
        <f>IF(T85=1,INDEX('ITENS_MTR'!$AL$6:$AL$1005,S85),0)</f>
        <v>0</v>
      </c>
    </row>
    <row r="86">
      <c r="A86" s="89" t="inlineStr">
        <is>
          <t>VIN-000081</t>
        </is>
      </c>
      <c r="B86" s="91" t="n"/>
      <c r="C86" s="91" t="n"/>
      <c r="D86" s="94" t="str">
        <f>IF(T86=1,INDEX('ITENS_MTR'!$S$6:$S$1005,S86)&amp;"","")</f>
        <v/>
      </c>
      <c r="E86" s="94" t="str">
        <f>IF(T86=1,INDEX('ITENS_MTR'!$C$6:$C$1005,S86)&amp;"","")</f>
        <v/>
      </c>
      <c r="F86" s="98" t="n"/>
      <c r="G86" s="91" t="n"/>
      <c r="H86" s="93" t="str">
        <f>IF(N86=0,"",IF(NOT(ISNUMBER(F86)),"",IF(ISNUMBER(U86),F86*U86,"UNIDADE A CONFERIR")))</f>
        <v/>
      </c>
      <c r="I86" s="94" t="str">
        <f>IF(Q86=1,INDEX('CDFs'!$F$6:$F$505,P86)&amp;"","")</f>
        <v/>
      </c>
      <c r="J86" s="91" t="n"/>
      <c r="K86" s="91" t="n"/>
      <c r="L86" s="94" t="str">
        <f>IF(N86=0,"",IF(NOT(ISNUMBER(F86)),"Quantidade não informada",IF(F86&lt;=0,"Quantidade não positiva",IF(G86="","Unidade não informada",IF(NOT(ISNUMBER(H86)),"Unidade a conferir",IF(AC86=1,"REVISAR VÍNCULO: soma vinculada maior que a referência do item","OK"))))))</f>
        <v/>
      </c>
      <c r="M86" s="94" t="str">
        <f>IF(N86=0,"",IF(B86="","CDF não informado",IF(Q86=0,"REVISAR VÍNCULO: CDF inexistente",IF(C86="","Item não informado",IF(T86=0,"REVISAR VÍNCULO: item inexistente",IF(AND(X86=1,J86&lt;&gt;"Sim"),"REVISAR VÍNCULO: destinador diferente do MTR",IF(X86=1,"Destinador diferente do MTR (analisado)","OK")))))))</f>
        <v/>
      </c>
      <c r="N86" s="96">
        <f>IF(COUNTA(B86:C86,F86:G86,J86:K86)&gt;0,1,0)</f>
        <v>0</v>
      </c>
      <c r="O86" s="96" t="str">
        <f>IF(B86="","",TRIM(LEFT(B86,FIND(" |",B86&amp;" |")-1)))</f>
        <v/>
      </c>
      <c r="P86" s="96" t="str">
        <f>IF(O86="","",IFERROR(MATCH(O86,'CDFs'!$A$6:$A$505,0),""))</f>
        <v/>
      </c>
      <c r="Q86" s="96">
        <f>IF(P86="",0,IF(INDEX('CDFs'!$S$6:$S$505,P86)=1,1,0))</f>
        <v>0</v>
      </c>
      <c r="R86" s="96" t="str">
        <f>IF(C86="","",TRIM(LEFT(C86,FIND(" |",C86&amp;" |")-1)))</f>
        <v/>
      </c>
      <c r="S86" s="96" t="str">
        <f>IF(R86="","",IFERROR(MATCH(R86,'ITENS_MTR'!$A$6:$A$1005,0),""))</f>
        <v/>
      </c>
      <c r="T86" s="96">
        <f>IF(S86="",0,IF(INDEX('ITENS_MTR'!$R$6:$R$1005,S86)=1,1,0))</f>
        <v>0</v>
      </c>
      <c r="U86" s="96" t="str">
        <f>IF(G86="","",IFERROR(IF(ISNUMBER(INDEX(cfg_fac,MATCH(G86,cfg_units,0))),IF(INDEX(cfg_fac,MATCH(G86,cfg_units,0))&gt;0,INDEX(cfg_fac,MATCH(G86,cfg_units,0)),""),""),""))</f>
        <v/>
      </c>
      <c r="V86" s="96">
        <f>IF(AND(ISNUMBER(F86),ISNUMBER(H86)),IF(H86&gt;0,1,0),0)</f>
        <v>0</v>
      </c>
      <c r="W86" s="96" t="str">
        <f>IF(T86=1,INDEX('ITENS_MTR'!$AU$6:$AU$1005,S86)&amp;"","")</f>
        <v/>
      </c>
      <c r="X86" s="96">
        <f>IF(AND(Q86=1,T86=1,I86&lt;&gt;"",W86&lt;&gt;""),IF(I86&lt;&gt;W86,1,0),0)</f>
        <v>0</v>
      </c>
      <c r="Y86" s="96">
        <f>IF(N86=0,0,IF(OR(Q86=0,T86=0,V86=0,AND(X86=1,J86&lt;&gt;"Sim")),1,0))</f>
        <v>0</v>
      </c>
      <c r="Z86" s="96">
        <f>IF(Q86=1,INDEX('CDFs'!$W$6:$W$505,P86),0)</f>
        <v>0</v>
      </c>
      <c r="AA86" s="96">
        <f>IF(AND(N86=1,Y86=0,Z86=1,J86="Sim"),1,0)</f>
        <v>0</v>
      </c>
      <c r="AB86" s="96">
        <f>IF(AND(N86=1,O86&lt;&gt;"",D86&lt;&gt;""),IF(COUNTIFS($O$6:O86,O86,$D$6:D86,D86)=1,1,0),0)</f>
        <v>0</v>
      </c>
      <c r="AC86" s="96">
        <f>IF(T86=1,INDEX('ITENS_MTR'!$AL$6:$AL$1005,S86),0)</f>
        <v>0</v>
      </c>
    </row>
    <row r="87">
      <c r="A87" s="89" t="inlineStr">
        <is>
          <t>VIN-000082</t>
        </is>
      </c>
      <c r="B87" s="91" t="n"/>
      <c r="C87" s="91" t="n"/>
      <c r="D87" s="94" t="str">
        <f>IF(T87=1,INDEX('ITENS_MTR'!$S$6:$S$1005,S87)&amp;"","")</f>
        <v/>
      </c>
      <c r="E87" s="94" t="str">
        <f>IF(T87=1,INDEX('ITENS_MTR'!$C$6:$C$1005,S87)&amp;"","")</f>
        <v/>
      </c>
      <c r="F87" s="98" t="n"/>
      <c r="G87" s="91" t="n"/>
      <c r="H87" s="93" t="str">
        <f>IF(N87=0,"",IF(NOT(ISNUMBER(F87)),"",IF(ISNUMBER(U87),F87*U87,"UNIDADE A CONFERIR")))</f>
        <v/>
      </c>
      <c r="I87" s="94" t="str">
        <f>IF(Q87=1,INDEX('CDFs'!$F$6:$F$505,P87)&amp;"","")</f>
        <v/>
      </c>
      <c r="J87" s="91" t="n"/>
      <c r="K87" s="91" t="n"/>
      <c r="L87" s="94" t="str">
        <f>IF(N87=0,"",IF(NOT(ISNUMBER(F87)),"Quantidade não informada",IF(F87&lt;=0,"Quantidade não positiva",IF(G87="","Unidade não informada",IF(NOT(ISNUMBER(H87)),"Unidade a conferir",IF(AC87=1,"REVISAR VÍNCULO: soma vinculada maior que a referência do item","OK"))))))</f>
        <v/>
      </c>
      <c r="M87" s="94" t="str">
        <f>IF(N87=0,"",IF(B87="","CDF não informado",IF(Q87=0,"REVISAR VÍNCULO: CDF inexistente",IF(C87="","Item não informado",IF(T87=0,"REVISAR VÍNCULO: item inexistente",IF(AND(X87=1,J87&lt;&gt;"Sim"),"REVISAR VÍNCULO: destinador diferente do MTR",IF(X87=1,"Destinador diferente do MTR (analisado)","OK")))))))</f>
        <v/>
      </c>
      <c r="N87" s="96">
        <f>IF(COUNTA(B87:C87,F87:G87,J87:K87)&gt;0,1,0)</f>
        <v>0</v>
      </c>
      <c r="O87" s="96" t="str">
        <f>IF(B87="","",TRIM(LEFT(B87,FIND(" |",B87&amp;" |")-1)))</f>
        <v/>
      </c>
      <c r="P87" s="96" t="str">
        <f>IF(O87="","",IFERROR(MATCH(O87,'CDFs'!$A$6:$A$505,0),""))</f>
        <v/>
      </c>
      <c r="Q87" s="96">
        <f>IF(P87="",0,IF(INDEX('CDFs'!$S$6:$S$505,P87)=1,1,0))</f>
        <v>0</v>
      </c>
      <c r="R87" s="96" t="str">
        <f>IF(C87="","",TRIM(LEFT(C87,FIND(" |",C87&amp;" |")-1)))</f>
        <v/>
      </c>
      <c r="S87" s="96" t="str">
        <f>IF(R87="","",IFERROR(MATCH(R87,'ITENS_MTR'!$A$6:$A$1005,0),""))</f>
        <v/>
      </c>
      <c r="T87" s="96">
        <f>IF(S87="",0,IF(INDEX('ITENS_MTR'!$R$6:$R$1005,S87)=1,1,0))</f>
        <v>0</v>
      </c>
      <c r="U87" s="96" t="str">
        <f>IF(G87="","",IFERROR(IF(ISNUMBER(INDEX(cfg_fac,MATCH(G87,cfg_units,0))),IF(INDEX(cfg_fac,MATCH(G87,cfg_units,0))&gt;0,INDEX(cfg_fac,MATCH(G87,cfg_units,0)),""),""),""))</f>
        <v/>
      </c>
      <c r="V87" s="96">
        <f>IF(AND(ISNUMBER(F87),ISNUMBER(H87)),IF(H87&gt;0,1,0),0)</f>
        <v>0</v>
      </c>
      <c r="W87" s="96" t="str">
        <f>IF(T87=1,INDEX('ITENS_MTR'!$AU$6:$AU$1005,S87)&amp;"","")</f>
        <v/>
      </c>
      <c r="X87" s="96">
        <f>IF(AND(Q87=1,T87=1,I87&lt;&gt;"",W87&lt;&gt;""),IF(I87&lt;&gt;W87,1,0),0)</f>
        <v>0</v>
      </c>
      <c r="Y87" s="96">
        <f>IF(N87=0,0,IF(OR(Q87=0,T87=0,V87=0,AND(X87=1,J87&lt;&gt;"Sim")),1,0))</f>
        <v>0</v>
      </c>
      <c r="Z87" s="96">
        <f>IF(Q87=1,INDEX('CDFs'!$W$6:$W$505,P87),0)</f>
        <v>0</v>
      </c>
      <c r="AA87" s="96">
        <f>IF(AND(N87=1,Y87=0,Z87=1,J87="Sim"),1,0)</f>
        <v>0</v>
      </c>
      <c r="AB87" s="96">
        <f>IF(AND(N87=1,O87&lt;&gt;"",D87&lt;&gt;""),IF(COUNTIFS($O$6:O87,O87,$D$6:D87,D87)=1,1,0),0)</f>
        <v>0</v>
      </c>
      <c r="AC87" s="96">
        <f>IF(T87=1,INDEX('ITENS_MTR'!$AL$6:$AL$1005,S87),0)</f>
        <v>0</v>
      </c>
    </row>
    <row r="88">
      <c r="A88" s="89" t="inlineStr">
        <is>
          <t>VIN-000083</t>
        </is>
      </c>
      <c r="B88" s="91" t="n"/>
      <c r="C88" s="91" t="n"/>
      <c r="D88" s="94" t="str">
        <f>IF(T88=1,INDEX('ITENS_MTR'!$S$6:$S$1005,S88)&amp;"","")</f>
        <v/>
      </c>
      <c r="E88" s="94" t="str">
        <f>IF(T88=1,INDEX('ITENS_MTR'!$C$6:$C$1005,S88)&amp;"","")</f>
        <v/>
      </c>
      <c r="F88" s="98" t="n"/>
      <c r="G88" s="91" t="n"/>
      <c r="H88" s="93" t="str">
        <f>IF(N88=0,"",IF(NOT(ISNUMBER(F88)),"",IF(ISNUMBER(U88),F88*U88,"UNIDADE A CONFERIR")))</f>
        <v/>
      </c>
      <c r="I88" s="94" t="str">
        <f>IF(Q88=1,INDEX('CDFs'!$F$6:$F$505,P88)&amp;"","")</f>
        <v/>
      </c>
      <c r="J88" s="91" t="n"/>
      <c r="K88" s="91" t="n"/>
      <c r="L88" s="94" t="str">
        <f>IF(N88=0,"",IF(NOT(ISNUMBER(F88)),"Quantidade não informada",IF(F88&lt;=0,"Quantidade não positiva",IF(G88="","Unidade não informada",IF(NOT(ISNUMBER(H88)),"Unidade a conferir",IF(AC88=1,"REVISAR VÍNCULO: soma vinculada maior que a referência do item","OK"))))))</f>
        <v/>
      </c>
      <c r="M88" s="94" t="str">
        <f>IF(N88=0,"",IF(B88="","CDF não informado",IF(Q88=0,"REVISAR VÍNCULO: CDF inexistente",IF(C88="","Item não informado",IF(T88=0,"REVISAR VÍNCULO: item inexistente",IF(AND(X88=1,J88&lt;&gt;"Sim"),"REVISAR VÍNCULO: destinador diferente do MTR",IF(X88=1,"Destinador diferente do MTR (analisado)","OK")))))))</f>
        <v/>
      </c>
      <c r="N88" s="96">
        <f>IF(COUNTA(B88:C88,F88:G88,J88:K88)&gt;0,1,0)</f>
        <v>0</v>
      </c>
      <c r="O88" s="96" t="str">
        <f>IF(B88="","",TRIM(LEFT(B88,FIND(" |",B88&amp;" |")-1)))</f>
        <v/>
      </c>
      <c r="P88" s="96" t="str">
        <f>IF(O88="","",IFERROR(MATCH(O88,'CDFs'!$A$6:$A$505,0),""))</f>
        <v/>
      </c>
      <c r="Q88" s="96">
        <f>IF(P88="",0,IF(INDEX('CDFs'!$S$6:$S$505,P88)=1,1,0))</f>
        <v>0</v>
      </c>
      <c r="R88" s="96" t="str">
        <f>IF(C88="","",TRIM(LEFT(C88,FIND(" |",C88&amp;" |")-1)))</f>
        <v/>
      </c>
      <c r="S88" s="96" t="str">
        <f>IF(R88="","",IFERROR(MATCH(R88,'ITENS_MTR'!$A$6:$A$1005,0),""))</f>
        <v/>
      </c>
      <c r="T88" s="96">
        <f>IF(S88="",0,IF(INDEX('ITENS_MTR'!$R$6:$R$1005,S88)=1,1,0))</f>
        <v>0</v>
      </c>
      <c r="U88" s="96" t="str">
        <f>IF(G88="","",IFERROR(IF(ISNUMBER(INDEX(cfg_fac,MATCH(G88,cfg_units,0))),IF(INDEX(cfg_fac,MATCH(G88,cfg_units,0))&gt;0,INDEX(cfg_fac,MATCH(G88,cfg_units,0)),""),""),""))</f>
        <v/>
      </c>
      <c r="V88" s="96">
        <f>IF(AND(ISNUMBER(F88),ISNUMBER(H88)),IF(H88&gt;0,1,0),0)</f>
        <v>0</v>
      </c>
      <c r="W88" s="96" t="str">
        <f>IF(T88=1,INDEX('ITENS_MTR'!$AU$6:$AU$1005,S88)&amp;"","")</f>
        <v/>
      </c>
      <c r="X88" s="96">
        <f>IF(AND(Q88=1,T88=1,I88&lt;&gt;"",W88&lt;&gt;""),IF(I88&lt;&gt;W88,1,0),0)</f>
        <v>0</v>
      </c>
      <c r="Y88" s="96">
        <f>IF(N88=0,0,IF(OR(Q88=0,T88=0,V88=0,AND(X88=1,J88&lt;&gt;"Sim")),1,0))</f>
        <v>0</v>
      </c>
      <c r="Z88" s="96">
        <f>IF(Q88=1,INDEX('CDFs'!$W$6:$W$505,P88),0)</f>
        <v>0</v>
      </c>
      <c r="AA88" s="96">
        <f>IF(AND(N88=1,Y88=0,Z88=1,J88="Sim"),1,0)</f>
        <v>0</v>
      </c>
      <c r="AB88" s="96">
        <f>IF(AND(N88=1,O88&lt;&gt;"",D88&lt;&gt;""),IF(COUNTIFS($O$6:O88,O88,$D$6:D88,D88)=1,1,0),0)</f>
        <v>0</v>
      </c>
      <c r="AC88" s="96">
        <f>IF(T88=1,INDEX('ITENS_MTR'!$AL$6:$AL$1005,S88),0)</f>
        <v>0</v>
      </c>
    </row>
    <row r="89">
      <c r="A89" s="89" t="inlineStr">
        <is>
          <t>VIN-000084</t>
        </is>
      </c>
      <c r="B89" s="91" t="n"/>
      <c r="C89" s="91" t="n"/>
      <c r="D89" s="94" t="str">
        <f>IF(T89=1,INDEX('ITENS_MTR'!$S$6:$S$1005,S89)&amp;"","")</f>
        <v/>
      </c>
      <c r="E89" s="94" t="str">
        <f>IF(T89=1,INDEX('ITENS_MTR'!$C$6:$C$1005,S89)&amp;"","")</f>
        <v/>
      </c>
      <c r="F89" s="98" t="n"/>
      <c r="G89" s="91" t="n"/>
      <c r="H89" s="93" t="str">
        <f>IF(N89=0,"",IF(NOT(ISNUMBER(F89)),"",IF(ISNUMBER(U89),F89*U89,"UNIDADE A CONFERIR")))</f>
        <v/>
      </c>
      <c r="I89" s="94" t="str">
        <f>IF(Q89=1,INDEX('CDFs'!$F$6:$F$505,P89)&amp;"","")</f>
        <v/>
      </c>
      <c r="J89" s="91" t="n"/>
      <c r="K89" s="91" t="n"/>
      <c r="L89" s="94" t="str">
        <f>IF(N89=0,"",IF(NOT(ISNUMBER(F89)),"Quantidade não informada",IF(F89&lt;=0,"Quantidade não positiva",IF(G89="","Unidade não informada",IF(NOT(ISNUMBER(H89)),"Unidade a conferir",IF(AC89=1,"REVISAR VÍNCULO: soma vinculada maior que a referência do item","OK"))))))</f>
        <v/>
      </c>
      <c r="M89" s="94" t="str">
        <f>IF(N89=0,"",IF(B89="","CDF não informado",IF(Q89=0,"REVISAR VÍNCULO: CDF inexistente",IF(C89="","Item não informado",IF(T89=0,"REVISAR VÍNCULO: item inexistente",IF(AND(X89=1,J89&lt;&gt;"Sim"),"REVISAR VÍNCULO: destinador diferente do MTR",IF(X89=1,"Destinador diferente do MTR (analisado)","OK")))))))</f>
        <v/>
      </c>
      <c r="N89" s="96">
        <f>IF(COUNTA(B89:C89,F89:G89,J89:K89)&gt;0,1,0)</f>
        <v>0</v>
      </c>
      <c r="O89" s="96" t="str">
        <f>IF(B89="","",TRIM(LEFT(B89,FIND(" |",B89&amp;" |")-1)))</f>
        <v/>
      </c>
      <c r="P89" s="96" t="str">
        <f>IF(O89="","",IFERROR(MATCH(O89,'CDFs'!$A$6:$A$505,0),""))</f>
        <v/>
      </c>
      <c r="Q89" s="96">
        <f>IF(P89="",0,IF(INDEX('CDFs'!$S$6:$S$505,P89)=1,1,0))</f>
        <v>0</v>
      </c>
      <c r="R89" s="96" t="str">
        <f>IF(C89="","",TRIM(LEFT(C89,FIND(" |",C89&amp;" |")-1)))</f>
        <v/>
      </c>
      <c r="S89" s="96" t="str">
        <f>IF(R89="","",IFERROR(MATCH(R89,'ITENS_MTR'!$A$6:$A$1005,0),""))</f>
        <v/>
      </c>
      <c r="T89" s="96">
        <f>IF(S89="",0,IF(INDEX('ITENS_MTR'!$R$6:$R$1005,S89)=1,1,0))</f>
        <v>0</v>
      </c>
      <c r="U89" s="96" t="str">
        <f>IF(G89="","",IFERROR(IF(ISNUMBER(INDEX(cfg_fac,MATCH(G89,cfg_units,0))),IF(INDEX(cfg_fac,MATCH(G89,cfg_units,0))&gt;0,INDEX(cfg_fac,MATCH(G89,cfg_units,0)),""),""),""))</f>
        <v/>
      </c>
      <c r="V89" s="96">
        <f>IF(AND(ISNUMBER(F89),ISNUMBER(H89)),IF(H89&gt;0,1,0),0)</f>
        <v>0</v>
      </c>
      <c r="W89" s="96" t="str">
        <f>IF(T89=1,INDEX('ITENS_MTR'!$AU$6:$AU$1005,S89)&amp;"","")</f>
        <v/>
      </c>
      <c r="X89" s="96">
        <f>IF(AND(Q89=1,T89=1,I89&lt;&gt;"",W89&lt;&gt;""),IF(I89&lt;&gt;W89,1,0),0)</f>
        <v>0</v>
      </c>
      <c r="Y89" s="96">
        <f>IF(N89=0,0,IF(OR(Q89=0,T89=0,V89=0,AND(X89=1,J89&lt;&gt;"Sim")),1,0))</f>
        <v>0</v>
      </c>
      <c r="Z89" s="96">
        <f>IF(Q89=1,INDEX('CDFs'!$W$6:$W$505,P89),0)</f>
        <v>0</v>
      </c>
      <c r="AA89" s="96">
        <f>IF(AND(N89=1,Y89=0,Z89=1,J89="Sim"),1,0)</f>
        <v>0</v>
      </c>
      <c r="AB89" s="96">
        <f>IF(AND(N89=1,O89&lt;&gt;"",D89&lt;&gt;""),IF(COUNTIFS($O$6:O89,O89,$D$6:D89,D89)=1,1,0),0)</f>
        <v>0</v>
      </c>
      <c r="AC89" s="96">
        <f>IF(T89=1,INDEX('ITENS_MTR'!$AL$6:$AL$1005,S89),0)</f>
        <v>0</v>
      </c>
    </row>
    <row r="90">
      <c r="A90" s="89" t="inlineStr">
        <is>
          <t>VIN-000085</t>
        </is>
      </c>
      <c r="B90" s="91" t="n"/>
      <c r="C90" s="91" t="n"/>
      <c r="D90" s="94" t="str">
        <f>IF(T90=1,INDEX('ITENS_MTR'!$S$6:$S$1005,S90)&amp;"","")</f>
        <v/>
      </c>
      <c r="E90" s="94" t="str">
        <f>IF(T90=1,INDEX('ITENS_MTR'!$C$6:$C$1005,S90)&amp;"","")</f>
        <v/>
      </c>
      <c r="F90" s="98" t="n"/>
      <c r="G90" s="91" t="n"/>
      <c r="H90" s="93" t="str">
        <f>IF(N90=0,"",IF(NOT(ISNUMBER(F90)),"",IF(ISNUMBER(U90),F90*U90,"UNIDADE A CONFERIR")))</f>
        <v/>
      </c>
      <c r="I90" s="94" t="str">
        <f>IF(Q90=1,INDEX('CDFs'!$F$6:$F$505,P90)&amp;"","")</f>
        <v/>
      </c>
      <c r="J90" s="91" t="n"/>
      <c r="K90" s="91" t="n"/>
      <c r="L90" s="94" t="str">
        <f>IF(N90=0,"",IF(NOT(ISNUMBER(F90)),"Quantidade não informada",IF(F90&lt;=0,"Quantidade não positiva",IF(G90="","Unidade não informada",IF(NOT(ISNUMBER(H90)),"Unidade a conferir",IF(AC90=1,"REVISAR VÍNCULO: soma vinculada maior que a referência do item","OK"))))))</f>
        <v/>
      </c>
      <c r="M90" s="94" t="str">
        <f>IF(N90=0,"",IF(B90="","CDF não informado",IF(Q90=0,"REVISAR VÍNCULO: CDF inexistente",IF(C90="","Item não informado",IF(T90=0,"REVISAR VÍNCULO: item inexistente",IF(AND(X90=1,J90&lt;&gt;"Sim"),"REVISAR VÍNCULO: destinador diferente do MTR",IF(X90=1,"Destinador diferente do MTR (analisado)","OK")))))))</f>
        <v/>
      </c>
      <c r="N90" s="96">
        <f>IF(COUNTA(B90:C90,F90:G90,J90:K90)&gt;0,1,0)</f>
        <v>0</v>
      </c>
      <c r="O90" s="96" t="str">
        <f>IF(B90="","",TRIM(LEFT(B90,FIND(" |",B90&amp;" |")-1)))</f>
        <v/>
      </c>
      <c r="P90" s="96" t="str">
        <f>IF(O90="","",IFERROR(MATCH(O90,'CDFs'!$A$6:$A$505,0),""))</f>
        <v/>
      </c>
      <c r="Q90" s="96">
        <f>IF(P90="",0,IF(INDEX('CDFs'!$S$6:$S$505,P90)=1,1,0))</f>
        <v>0</v>
      </c>
      <c r="R90" s="96" t="str">
        <f>IF(C90="","",TRIM(LEFT(C90,FIND(" |",C90&amp;" |")-1)))</f>
        <v/>
      </c>
      <c r="S90" s="96" t="str">
        <f>IF(R90="","",IFERROR(MATCH(R90,'ITENS_MTR'!$A$6:$A$1005,0),""))</f>
        <v/>
      </c>
      <c r="T90" s="96">
        <f>IF(S90="",0,IF(INDEX('ITENS_MTR'!$R$6:$R$1005,S90)=1,1,0))</f>
        <v>0</v>
      </c>
      <c r="U90" s="96" t="str">
        <f>IF(G90="","",IFERROR(IF(ISNUMBER(INDEX(cfg_fac,MATCH(G90,cfg_units,0))),IF(INDEX(cfg_fac,MATCH(G90,cfg_units,0))&gt;0,INDEX(cfg_fac,MATCH(G90,cfg_units,0)),""),""),""))</f>
        <v/>
      </c>
      <c r="V90" s="96">
        <f>IF(AND(ISNUMBER(F90),ISNUMBER(H90)),IF(H90&gt;0,1,0),0)</f>
        <v>0</v>
      </c>
      <c r="W90" s="96" t="str">
        <f>IF(T90=1,INDEX('ITENS_MTR'!$AU$6:$AU$1005,S90)&amp;"","")</f>
        <v/>
      </c>
      <c r="X90" s="96">
        <f>IF(AND(Q90=1,T90=1,I90&lt;&gt;"",W90&lt;&gt;""),IF(I90&lt;&gt;W90,1,0),0)</f>
        <v>0</v>
      </c>
      <c r="Y90" s="96">
        <f>IF(N90=0,0,IF(OR(Q90=0,T90=0,V90=0,AND(X90=1,J90&lt;&gt;"Sim")),1,0))</f>
        <v>0</v>
      </c>
      <c r="Z90" s="96">
        <f>IF(Q90=1,INDEX('CDFs'!$W$6:$W$505,P90),0)</f>
        <v>0</v>
      </c>
      <c r="AA90" s="96">
        <f>IF(AND(N90=1,Y90=0,Z90=1,J90="Sim"),1,0)</f>
        <v>0</v>
      </c>
      <c r="AB90" s="96">
        <f>IF(AND(N90=1,O90&lt;&gt;"",D90&lt;&gt;""),IF(COUNTIFS($O$6:O90,O90,$D$6:D90,D90)=1,1,0),0)</f>
        <v>0</v>
      </c>
      <c r="AC90" s="96">
        <f>IF(T90=1,INDEX('ITENS_MTR'!$AL$6:$AL$1005,S90),0)</f>
        <v>0</v>
      </c>
    </row>
    <row r="91">
      <c r="A91" s="89" t="inlineStr">
        <is>
          <t>VIN-000086</t>
        </is>
      </c>
      <c r="B91" s="91" t="n"/>
      <c r="C91" s="91" t="n"/>
      <c r="D91" s="94" t="str">
        <f>IF(T91=1,INDEX('ITENS_MTR'!$S$6:$S$1005,S91)&amp;"","")</f>
        <v/>
      </c>
      <c r="E91" s="94" t="str">
        <f>IF(T91=1,INDEX('ITENS_MTR'!$C$6:$C$1005,S91)&amp;"","")</f>
        <v/>
      </c>
      <c r="F91" s="98" t="n"/>
      <c r="G91" s="91" t="n"/>
      <c r="H91" s="93" t="str">
        <f>IF(N91=0,"",IF(NOT(ISNUMBER(F91)),"",IF(ISNUMBER(U91),F91*U91,"UNIDADE A CONFERIR")))</f>
        <v/>
      </c>
      <c r="I91" s="94" t="str">
        <f>IF(Q91=1,INDEX('CDFs'!$F$6:$F$505,P91)&amp;"","")</f>
        <v/>
      </c>
      <c r="J91" s="91" t="n"/>
      <c r="K91" s="91" t="n"/>
      <c r="L91" s="94" t="str">
        <f>IF(N91=0,"",IF(NOT(ISNUMBER(F91)),"Quantidade não informada",IF(F91&lt;=0,"Quantidade não positiva",IF(G91="","Unidade não informada",IF(NOT(ISNUMBER(H91)),"Unidade a conferir",IF(AC91=1,"REVISAR VÍNCULO: soma vinculada maior que a referência do item","OK"))))))</f>
        <v/>
      </c>
      <c r="M91" s="94" t="str">
        <f>IF(N91=0,"",IF(B91="","CDF não informado",IF(Q91=0,"REVISAR VÍNCULO: CDF inexistente",IF(C91="","Item não informado",IF(T91=0,"REVISAR VÍNCULO: item inexistente",IF(AND(X91=1,J91&lt;&gt;"Sim"),"REVISAR VÍNCULO: destinador diferente do MTR",IF(X91=1,"Destinador diferente do MTR (analisado)","OK")))))))</f>
        <v/>
      </c>
      <c r="N91" s="96">
        <f>IF(COUNTA(B91:C91,F91:G91,J91:K91)&gt;0,1,0)</f>
        <v>0</v>
      </c>
      <c r="O91" s="96" t="str">
        <f>IF(B91="","",TRIM(LEFT(B91,FIND(" |",B91&amp;" |")-1)))</f>
        <v/>
      </c>
      <c r="P91" s="96" t="str">
        <f>IF(O91="","",IFERROR(MATCH(O91,'CDFs'!$A$6:$A$505,0),""))</f>
        <v/>
      </c>
      <c r="Q91" s="96">
        <f>IF(P91="",0,IF(INDEX('CDFs'!$S$6:$S$505,P91)=1,1,0))</f>
        <v>0</v>
      </c>
      <c r="R91" s="96" t="str">
        <f>IF(C91="","",TRIM(LEFT(C91,FIND(" |",C91&amp;" |")-1)))</f>
        <v/>
      </c>
      <c r="S91" s="96" t="str">
        <f>IF(R91="","",IFERROR(MATCH(R91,'ITENS_MTR'!$A$6:$A$1005,0),""))</f>
        <v/>
      </c>
      <c r="T91" s="96">
        <f>IF(S91="",0,IF(INDEX('ITENS_MTR'!$R$6:$R$1005,S91)=1,1,0))</f>
        <v>0</v>
      </c>
      <c r="U91" s="96" t="str">
        <f>IF(G91="","",IFERROR(IF(ISNUMBER(INDEX(cfg_fac,MATCH(G91,cfg_units,0))),IF(INDEX(cfg_fac,MATCH(G91,cfg_units,0))&gt;0,INDEX(cfg_fac,MATCH(G91,cfg_units,0)),""),""),""))</f>
        <v/>
      </c>
      <c r="V91" s="96">
        <f>IF(AND(ISNUMBER(F91),ISNUMBER(H91)),IF(H91&gt;0,1,0),0)</f>
        <v>0</v>
      </c>
      <c r="W91" s="96" t="str">
        <f>IF(T91=1,INDEX('ITENS_MTR'!$AU$6:$AU$1005,S91)&amp;"","")</f>
        <v/>
      </c>
      <c r="X91" s="96">
        <f>IF(AND(Q91=1,T91=1,I91&lt;&gt;"",W91&lt;&gt;""),IF(I91&lt;&gt;W91,1,0),0)</f>
        <v>0</v>
      </c>
      <c r="Y91" s="96">
        <f>IF(N91=0,0,IF(OR(Q91=0,T91=0,V91=0,AND(X91=1,J91&lt;&gt;"Sim")),1,0))</f>
        <v>0</v>
      </c>
      <c r="Z91" s="96">
        <f>IF(Q91=1,INDEX('CDFs'!$W$6:$W$505,P91),0)</f>
        <v>0</v>
      </c>
      <c r="AA91" s="96">
        <f>IF(AND(N91=1,Y91=0,Z91=1,J91="Sim"),1,0)</f>
        <v>0</v>
      </c>
      <c r="AB91" s="96">
        <f>IF(AND(N91=1,O91&lt;&gt;"",D91&lt;&gt;""),IF(COUNTIFS($O$6:O91,O91,$D$6:D91,D91)=1,1,0),0)</f>
        <v>0</v>
      </c>
      <c r="AC91" s="96">
        <f>IF(T91=1,INDEX('ITENS_MTR'!$AL$6:$AL$1005,S91),0)</f>
        <v>0</v>
      </c>
    </row>
    <row r="92">
      <c r="A92" s="89" t="inlineStr">
        <is>
          <t>VIN-000087</t>
        </is>
      </c>
      <c r="B92" s="91" t="n"/>
      <c r="C92" s="91" t="n"/>
      <c r="D92" s="94" t="str">
        <f>IF(T92=1,INDEX('ITENS_MTR'!$S$6:$S$1005,S92)&amp;"","")</f>
        <v/>
      </c>
      <c r="E92" s="94" t="str">
        <f>IF(T92=1,INDEX('ITENS_MTR'!$C$6:$C$1005,S92)&amp;"","")</f>
        <v/>
      </c>
      <c r="F92" s="98" t="n"/>
      <c r="G92" s="91" t="n"/>
      <c r="H92" s="93" t="str">
        <f>IF(N92=0,"",IF(NOT(ISNUMBER(F92)),"",IF(ISNUMBER(U92),F92*U92,"UNIDADE A CONFERIR")))</f>
        <v/>
      </c>
      <c r="I92" s="94" t="str">
        <f>IF(Q92=1,INDEX('CDFs'!$F$6:$F$505,P92)&amp;"","")</f>
        <v/>
      </c>
      <c r="J92" s="91" t="n"/>
      <c r="K92" s="91" t="n"/>
      <c r="L92" s="94" t="str">
        <f>IF(N92=0,"",IF(NOT(ISNUMBER(F92)),"Quantidade não informada",IF(F92&lt;=0,"Quantidade não positiva",IF(G92="","Unidade não informada",IF(NOT(ISNUMBER(H92)),"Unidade a conferir",IF(AC92=1,"REVISAR VÍNCULO: soma vinculada maior que a referência do item","OK"))))))</f>
        <v/>
      </c>
      <c r="M92" s="94" t="str">
        <f>IF(N92=0,"",IF(B92="","CDF não informado",IF(Q92=0,"REVISAR VÍNCULO: CDF inexistente",IF(C92="","Item não informado",IF(T92=0,"REVISAR VÍNCULO: item inexistente",IF(AND(X92=1,J92&lt;&gt;"Sim"),"REVISAR VÍNCULO: destinador diferente do MTR",IF(X92=1,"Destinador diferente do MTR (analisado)","OK")))))))</f>
        <v/>
      </c>
      <c r="N92" s="96">
        <f>IF(COUNTA(B92:C92,F92:G92,J92:K92)&gt;0,1,0)</f>
        <v>0</v>
      </c>
      <c r="O92" s="96" t="str">
        <f>IF(B92="","",TRIM(LEFT(B92,FIND(" |",B92&amp;" |")-1)))</f>
        <v/>
      </c>
      <c r="P92" s="96" t="str">
        <f>IF(O92="","",IFERROR(MATCH(O92,'CDFs'!$A$6:$A$505,0),""))</f>
        <v/>
      </c>
      <c r="Q92" s="96">
        <f>IF(P92="",0,IF(INDEX('CDFs'!$S$6:$S$505,P92)=1,1,0))</f>
        <v>0</v>
      </c>
      <c r="R92" s="96" t="str">
        <f>IF(C92="","",TRIM(LEFT(C92,FIND(" |",C92&amp;" |")-1)))</f>
        <v/>
      </c>
      <c r="S92" s="96" t="str">
        <f>IF(R92="","",IFERROR(MATCH(R92,'ITENS_MTR'!$A$6:$A$1005,0),""))</f>
        <v/>
      </c>
      <c r="T92" s="96">
        <f>IF(S92="",0,IF(INDEX('ITENS_MTR'!$R$6:$R$1005,S92)=1,1,0))</f>
        <v>0</v>
      </c>
      <c r="U92" s="96" t="str">
        <f>IF(G92="","",IFERROR(IF(ISNUMBER(INDEX(cfg_fac,MATCH(G92,cfg_units,0))),IF(INDEX(cfg_fac,MATCH(G92,cfg_units,0))&gt;0,INDEX(cfg_fac,MATCH(G92,cfg_units,0)),""),""),""))</f>
        <v/>
      </c>
      <c r="V92" s="96">
        <f>IF(AND(ISNUMBER(F92),ISNUMBER(H92)),IF(H92&gt;0,1,0),0)</f>
        <v>0</v>
      </c>
      <c r="W92" s="96" t="str">
        <f>IF(T92=1,INDEX('ITENS_MTR'!$AU$6:$AU$1005,S92)&amp;"","")</f>
        <v/>
      </c>
      <c r="X92" s="96">
        <f>IF(AND(Q92=1,T92=1,I92&lt;&gt;"",W92&lt;&gt;""),IF(I92&lt;&gt;W92,1,0),0)</f>
        <v>0</v>
      </c>
      <c r="Y92" s="96">
        <f>IF(N92=0,0,IF(OR(Q92=0,T92=0,V92=0,AND(X92=1,J92&lt;&gt;"Sim")),1,0))</f>
        <v>0</v>
      </c>
      <c r="Z92" s="96">
        <f>IF(Q92=1,INDEX('CDFs'!$W$6:$W$505,P92),0)</f>
        <v>0</v>
      </c>
      <c r="AA92" s="96">
        <f>IF(AND(N92=1,Y92=0,Z92=1,J92="Sim"),1,0)</f>
        <v>0</v>
      </c>
      <c r="AB92" s="96">
        <f>IF(AND(N92=1,O92&lt;&gt;"",D92&lt;&gt;""),IF(COUNTIFS($O$6:O92,O92,$D$6:D92,D92)=1,1,0),0)</f>
        <v>0</v>
      </c>
      <c r="AC92" s="96">
        <f>IF(T92=1,INDEX('ITENS_MTR'!$AL$6:$AL$1005,S92),0)</f>
        <v>0</v>
      </c>
    </row>
    <row r="93">
      <c r="A93" s="89" t="inlineStr">
        <is>
          <t>VIN-000088</t>
        </is>
      </c>
      <c r="B93" s="91" t="n"/>
      <c r="C93" s="91" t="n"/>
      <c r="D93" s="94" t="str">
        <f>IF(T93=1,INDEX('ITENS_MTR'!$S$6:$S$1005,S93)&amp;"","")</f>
        <v/>
      </c>
      <c r="E93" s="94" t="str">
        <f>IF(T93=1,INDEX('ITENS_MTR'!$C$6:$C$1005,S93)&amp;"","")</f>
        <v/>
      </c>
      <c r="F93" s="98" t="n"/>
      <c r="G93" s="91" t="n"/>
      <c r="H93" s="93" t="str">
        <f>IF(N93=0,"",IF(NOT(ISNUMBER(F93)),"",IF(ISNUMBER(U93),F93*U93,"UNIDADE A CONFERIR")))</f>
        <v/>
      </c>
      <c r="I93" s="94" t="str">
        <f>IF(Q93=1,INDEX('CDFs'!$F$6:$F$505,P93)&amp;"","")</f>
        <v/>
      </c>
      <c r="J93" s="91" t="n"/>
      <c r="K93" s="91" t="n"/>
      <c r="L93" s="94" t="str">
        <f>IF(N93=0,"",IF(NOT(ISNUMBER(F93)),"Quantidade não informada",IF(F93&lt;=0,"Quantidade não positiva",IF(G93="","Unidade não informada",IF(NOT(ISNUMBER(H93)),"Unidade a conferir",IF(AC93=1,"REVISAR VÍNCULO: soma vinculada maior que a referência do item","OK"))))))</f>
        <v/>
      </c>
      <c r="M93" s="94" t="str">
        <f>IF(N93=0,"",IF(B93="","CDF não informado",IF(Q93=0,"REVISAR VÍNCULO: CDF inexistente",IF(C93="","Item não informado",IF(T93=0,"REVISAR VÍNCULO: item inexistente",IF(AND(X93=1,J93&lt;&gt;"Sim"),"REVISAR VÍNCULO: destinador diferente do MTR",IF(X93=1,"Destinador diferente do MTR (analisado)","OK")))))))</f>
        <v/>
      </c>
      <c r="N93" s="96">
        <f>IF(COUNTA(B93:C93,F93:G93,J93:K93)&gt;0,1,0)</f>
        <v>0</v>
      </c>
      <c r="O93" s="96" t="str">
        <f>IF(B93="","",TRIM(LEFT(B93,FIND(" |",B93&amp;" |")-1)))</f>
        <v/>
      </c>
      <c r="P93" s="96" t="str">
        <f>IF(O93="","",IFERROR(MATCH(O93,'CDFs'!$A$6:$A$505,0),""))</f>
        <v/>
      </c>
      <c r="Q93" s="96">
        <f>IF(P93="",0,IF(INDEX('CDFs'!$S$6:$S$505,P93)=1,1,0))</f>
        <v>0</v>
      </c>
      <c r="R93" s="96" t="str">
        <f>IF(C93="","",TRIM(LEFT(C93,FIND(" |",C93&amp;" |")-1)))</f>
        <v/>
      </c>
      <c r="S93" s="96" t="str">
        <f>IF(R93="","",IFERROR(MATCH(R93,'ITENS_MTR'!$A$6:$A$1005,0),""))</f>
        <v/>
      </c>
      <c r="T93" s="96">
        <f>IF(S93="",0,IF(INDEX('ITENS_MTR'!$R$6:$R$1005,S93)=1,1,0))</f>
        <v>0</v>
      </c>
      <c r="U93" s="96" t="str">
        <f>IF(G93="","",IFERROR(IF(ISNUMBER(INDEX(cfg_fac,MATCH(G93,cfg_units,0))),IF(INDEX(cfg_fac,MATCH(G93,cfg_units,0))&gt;0,INDEX(cfg_fac,MATCH(G93,cfg_units,0)),""),""),""))</f>
        <v/>
      </c>
      <c r="V93" s="96">
        <f>IF(AND(ISNUMBER(F93),ISNUMBER(H93)),IF(H93&gt;0,1,0),0)</f>
        <v>0</v>
      </c>
      <c r="W93" s="96" t="str">
        <f>IF(T93=1,INDEX('ITENS_MTR'!$AU$6:$AU$1005,S93)&amp;"","")</f>
        <v/>
      </c>
      <c r="X93" s="96">
        <f>IF(AND(Q93=1,T93=1,I93&lt;&gt;"",W93&lt;&gt;""),IF(I93&lt;&gt;W93,1,0),0)</f>
        <v>0</v>
      </c>
      <c r="Y93" s="96">
        <f>IF(N93=0,0,IF(OR(Q93=0,T93=0,V93=0,AND(X93=1,J93&lt;&gt;"Sim")),1,0))</f>
        <v>0</v>
      </c>
      <c r="Z93" s="96">
        <f>IF(Q93=1,INDEX('CDFs'!$W$6:$W$505,P93),0)</f>
        <v>0</v>
      </c>
      <c r="AA93" s="96">
        <f>IF(AND(N93=1,Y93=0,Z93=1,J93="Sim"),1,0)</f>
        <v>0</v>
      </c>
      <c r="AB93" s="96">
        <f>IF(AND(N93=1,O93&lt;&gt;"",D93&lt;&gt;""),IF(COUNTIFS($O$6:O93,O93,$D$6:D93,D93)=1,1,0),0)</f>
        <v>0</v>
      </c>
      <c r="AC93" s="96">
        <f>IF(T93=1,INDEX('ITENS_MTR'!$AL$6:$AL$1005,S93),0)</f>
        <v>0</v>
      </c>
    </row>
    <row r="94">
      <c r="A94" s="89" t="inlineStr">
        <is>
          <t>VIN-000089</t>
        </is>
      </c>
      <c r="B94" s="91" t="n"/>
      <c r="C94" s="91" t="n"/>
      <c r="D94" s="94" t="str">
        <f>IF(T94=1,INDEX('ITENS_MTR'!$S$6:$S$1005,S94)&amp;"","")</f>
        <v/>
      </c>
      <c r="E94" s="94" t="str">
        <f>IF(T94=1,INDEX('ITENS_MTR'!$C$6:$C$1005,S94)&amp;"","")</f>
        <v/>
      </c>
      <c r="F94" s="98" t="n"/>
      <c r="G94" s="91" t="n"/>
      <c r="H94" s="93" t="str">
        <f>IF(N94=0,"",IF(NOT(ISNUMBER(F94)),"",IF(ISNUMBER(U94),F94*U94,"UNIDADE A CONFERIR")))</f>
        <v/>
      </c>
      <c r="I94" s="94" t="str">
        <f>IF(Q94=1,INDEX('CDFs'!$F$6:$F$505,P94)&amp;"","")</f>
        <v/>
      </c>
      <c r="J94" s="91" t="n"/>
      <c r="K94" s="91" t="n"/>
      <c r="L94" s="94" t="str">
        <f>IF(N94=0,"",IF(NOT(ISNUMBER(F94)),"Quantidade não informada",IF(F94&lt;=0,"Quantidade não positiva",IF(G94="","Unidade não informada",IF(NOT(ISNUMBER(H94)),"Unidade a conferir",IF(AC94=1,"REVISAR VÍNCULO: soma vinculada maior que a referência do item","OK"))))))</f>
        <v/>
      </c>
      <c r="M94" s="94" t="str">
        <f>IF(N94=0,"",IF(B94="","CDF não informado",IF(Q94=0,"REVISAR VÍNCULO: CDF inexistente",IF(C94="","Item não informado",IF(T94=0,"REVISAR VÍNCULO: item inexistente",IF(AND(X94=1,J94&lt;&gt;"Sim"),"REVISAR VÍNCULO: destinador diferente do MTR",IF(X94=1,"Destinador diferente do MTR (analisado)","OK")))))))</f>
        <v/>
      </c>
      <c r="N94" s="96">
        <f>IF(COUNTA(B94:C94,F94:G94,J94:K94)&gt;0,1,0)</f>
        <v>0</v>
      </c>
      <c r="O94" s="96" t="str">
        <f>IF(B94="","",TRIM(LEFT(B94,FIND(" |",B94&amp;" |")-1)))</f>
        <v/>
      </c>
      <c r="P94" s="96" t="str">
        <f>IF(O94="","",IFERROR(MATCH(O94,'CDFs'!$A$6:$A$505,0),""))</f>
        <v/>
      </c>
      <c r="Q94" s="96">
        <f>IF(P94="",0,IF(INDEX('CDFs'!$S$6:$S$505,P94)=1,1,0))</f>
        <v>0</v>
      </c>
      <c r="R94" s="96" t="str">
        <f>IF(C94="","",TRIM(LEFT(C94,FIND(" |",C94&amp;" |")-1)))</f>
        <v/>
      </c>
      <c r="S94" s="96" t="str">
        <f>IF(R94="","",IFERROR(MATCH(R94,'ITENS_MTR'!$A$6:$A$1005,0),""))</f>
        <v/>
      </c>
      <c r="T94" s="96">
        <f>IF(S94="",0,IF(INDEX('ITENS_MTR'!$R$6:$R$1005,S94)=1,1,0))</f>
        <v>0</v>
      </c>
      <c r="U94" s="96" t="str">
        <f>IF(G94="","",IFERROR(IF(ISNUMBER(INDEX(cfg_fac,MATCH(G94,cfg_units,0))),IF(INDEX(cfg_fac,MATCH(G94,cfg_units,0))&gt;0,INDEX(cfg_fac,MATCH(G94,cfg_units,0)),""),""),""))</f>
        <v/>
      </c>
      <c r="V94" s="96">
        <f>IF(AND(ISNUMBER(F94),ISNUMBER(H94)),IF(H94&gt;0,1,0),0)</f>
        <v>0</v>
      </c>
      <c r="W94" s="96" t="str">
        <f>IF(T94=1,INDEX('ITENS_MTR'!$AU$6:$AU$1005,S94)&amp;"","")</f>
        <v/>
      </c>
      <c r="X94" s="96">
        <f>IF(AND(Q94=1,T94=1,I94&lt;&gt;"",W94&lt;&gt;""),IF(I94&lt;&gt;W94,1,0),0)</f>
        <v>0</v>
      </c>
      <c r="Y94" s="96">
        <f>IF(N94=0,0,IF(OR(Q94=0,T94=0,V94=0,AND(X94=1,J94&lt;&gt;"Sim")),1,0))</f>
        <v>0</v>
      </c>
      <c r="Z94" s="96">
        <f>IF(Q94=1,INDEX('CDFs'!$W$6:$W$505,P94),0)</f>
        <v>0</v>
      </c>
      <c r="AA94" s="96">
        <f>IF(AND(N94=1,Y94=0,Z94=1,J94="Sim"),1,0)</f>
        <v>0</v>
      </c>
      <c r="AB94" s="96">
        <f>IF(AND(N94=1,O94&lt;&gt;"",D94&lt;&gt;""),IF(COUNTIFS($O$6:O94,O94,$D$6:D94,D94)=1,1,0),0)</f>
        <v>0</v>
      </c>
      <c r="AC94" s="96">
        <f>IF(T94=1,INDEX('ITENS_MTR'!$AL$6:$AL$1005,S94),0)</f>
        <v>0</v>
      </c>
    </row>
    <row r="95">
      <c r="A95" s="89" t="inlineStr">
        <is>
          <t>VIN-000090</t>
        </is>
      </c>
      <c r="B95" s="91" t="n"/>
      <c r="C95" s="91" t="n"/>
      <c r="D95" s="94" t="str">
        <f>IF(T95=1,INDEX('ITENS_MTR'!$S$6:$S$1005,S95)&amp;"","")</f>
        <v/>
      </c>
      <c r="E95" s="94" t="str">
        <f>IF(T95=1,INDEX('ITENS_MTR'!$C$6:$C$1005,S95)&amp;"","")</f>
        <v/>
      </c>
      <c r="F95" s="98" t="n"/>
      <c r="G95" s="91" t="n"/>
      <c r="H95" s="93" t="str">
        <f>IF(N95=0,"",IF(NOT(ISNUMBER(F95)),"",IF(ISNUMBER(U95),F95*U95,"UNIDADE A CONFERIR")))</f>
        <v/>
      </c>
      <c r="I95" s="94" t="str">
        <f>IF(Q95=1,INDEX('CDFs'!$F$6:$F$505,P95)&amp;"","")</f>
        <v/>
      </c>
      <c r="J95" s="91" t="n"/>
      <c r="K95" s="91" t="n"/>
      <c r="L95" s="94" t="str">
        <f>IF(N95=0,"",IF(NOT(ISNUMBER(F95)),"Quantidade não informada",IF(F95&lt;=0,"Quantidade não positiva",IF(G95="","Unidade não informada",IF(NOT(ISNUMBER(H95)),"Unidade a conferir",IF(AC95=1,"REVISAR VÍNCULO: soma vinculada maior que a referência do item","OK"))))))</f>
        <v/>
      </c>
      <c r="M95" s="94" t="str">
        <f>IF(N95=0,"",IF(B95="","CDF não informado",IF(Q95=0,"REVISAR VÍNCULO: CDF inexistente",IF(C95="","Item não informado",IF(T95=0,"REVISAR VÍNCULO: item inexistente",IF(AND(X95=1,J95&lt;&gt;"Sim"),"REVISAR VÍNCULO: destinador diferente do MTR",IF(X95=1,"Destinador diferente do MTR (analisado)","OK")))))))</f>
        <v/>
      </c>
      <c r="N95" s="96">
        <f>IF(COUNTA(B95:C95,F95:G95,J95:K95)&gt;0,1,0)</f>
        <v>0</v>
      </c>
      <c r="O95" s="96" t="str">
        <f>IF(B95="","",TRIM(LEFT(B95,FIND(" |",B95&amp;" |")-1)))</f>
        <v/>
      </c>
      <c r="P95" s="96" t="str">
        <f>IF(O95="","",IFERROR(MATCH(O95,'CDFs'!$A$6:$A$505,0),""))</f>
        <v/>
      </c>
      <c r="Q95" s="96">
        <f>IF(P95="",0,IF(INDEX('CDFs'!$S$6:$S$505,P95)=1,1,0))</f>
        <v>0</v>
      </c>
      <c r="R95" s="96" t="str">
        <f>IF(C95="","",TRIM(LEFT(C95,FIND(" |",C95&amp;" |")-1)))</f>
        <v/>
      </c>
      <c r="S95" s="96" t="str">
        <f>IF(R95="","",IFERROR(MATCH(R95,'ITENS_MTR'!$A$6:$A$1005,0),""))</f>
        <v/>
      </c>
      <c r="T95" s="96">
        <f>IF(S95="",0,IF(INDEX('ITENS_MTR'!$R$6:$R$1005,S95)=1,1,0))</f>
        <v>0</v>
      </c>
      <c r="U95" s="96" t="str">
        <f>IF(G95="","",IFERROR(IF(ISNUMBER(INDEX(cfg_fac,MATCH(G95,cfg_units,0))),IF(INDEX(cfg_fac,MATCH(G95,cfg_units,0))&gt;0,INDEX(cfg_fac,MATCH(G95,cfg_units,0)),""),""),""))</f>
        <v/>
      </c>
      <c r="V95" s="96">
        <f>IF(AND(ISNUMBER(F95),ISNUMBER(H95)),IF(H95&gt;0,1,0),0)</f>
        <v>0</v>
      </c>
      <c r="W95" s="96" t="str">
        <f>IF(T95=1,INDEX('ITENS_MTR'!$AU$6:$AU$1005,S95)&amp;"","")</f>
        <v/>
      </c>
      <c r="X95" s="96">
        <f>IF(AND(Q95=1,T95=1,I95&lt;&gt;"",W95&lt;&gt;""),IF(I95&lt;&gt;W95,1,0),0)</f>
        <v>0</v>
      </c>
      <c r="Y95" s="96">
        <f>IF(N95=0,0,IF(OR(Q95=0,T95=0,V95=0,AND(X95=1,J95&lt;&gt;"Sim")),1,0))</f>
        <v>0</v>
      </c>
      <c r="Z95" s="96">
        <f>IF(Q95=1,INDEX('CDFs'!$W$6:$W$505,P95),0)</f>
        <v>0</v>
      </c>
      <c r="AA95" s="96">
        <f>IF(AND(N95=1,Y95=0,Z95=1,J95="Sim"),1,0)</f>
        <v>0</v>
      </c>
      <c r="AB95" s="96">
        <f>IF(AND(N95=1,O95&lt;&gt;"",D95&lt;&gt;""),IF(COUNTIFS($O$6:O95,O95,$D$6:D95,D95)=1,1,0),0)</f>
        <v>0</v>
      </c>
      <c r="AC95" s="96">
        <f>IF(T95=1,INDEX('ITENS_MTR'!$AL$6:$AL$1005,S95),0)</f>
        <v>0</v>
      </c>
    </row>
    <row r="96">
      <c r="A96" s="89" t="inlineStr">
        <is>
          <t>VIN-000091</t>
        </is>
      </c>
      <c r="B96" s="91" t="n"/>
      <c r="C96" s="91" t="n"/>
      <c r="D96" s="94" t="str">
        <f>IF(T96=1,INDEX('ITENS_MTR'!$S$6:$S$1005,S96)&amp;"","")</f>
        <v/>
      </c>
      <c r="E96" s="94" t="str">
        <f>IF(T96=1,INDEX('ITENS_MTR'!$C$6:$C$1005,S96)&amp;"","")</f>
        <v/>
      </c>
      <c r="F96" s="98" t="n"/>
      <c r="G96" s="91" t="n"/>
      <c r="H96" s="93" t="str">
        <f>IF(N96=0,"",IF(NOT(ISNUMBER(F96)),"",IF(ISNUMBER(U96),F96*U96,"UNIDADE A CONFERIR")))</f>
        <v/>
      </c>
      <c r="I96" s="94" t="str">
        <f>IF(Q96=1,INDEX('CDFs'!$F$6:$F$505,P96)&amp;"","")</f>
        <v/>
      </c>
      <c r="J96" s="91" t="n"/>
      <c r="K96" s="91" t="n"/>
      <c r="L96" s="94" t="str">
        <f>IF(N96=0,"",IF(NOT(ISNUMBER(F96)),"Quantidade não informada",IF(F96&lt;=0,"Quantidade não positiva",IF(G96="","Unidade não informada",IF(NOT(ISNUMBER(H96)),"Unidade a conferir",IF(AC96=1,"REVISAR VÍNCULO: soma vinculada maior que a referência do item","OK"))))))</f>
        <v/>
      </c>
      <c r="M96" s="94" t="str">
        <f>IF(N96=0,"",IF(B96="","CDF não informado",IF(Q96=0,"REVISAR VÍNCULO: CDF inexistente",IF(C96="","Item não informado",IF(T96=0,"REVISAR VÍNCULO: item inexistente",IF(AND(X96=1,J96&lt;&gt;"Sim"),"REVISAR VÍNCULO: destinador diferente do MTR",IF(X96=1,"Destinador diferente do MTR (analisado)","OK")))))))</f>
        <v/>
      </c>
      <c r="N96" s="96">
        <f>IF(COUNTA(B96:C96,F96:G96,J96:K96)&gt;0,1,0)</f>
        <v>0</v>
      </c>
      <c r="O96" s="96" t="str">
        <f>IF(B96="","",TRIM(LEFT(B96,FIND(" |",B96&amp;" |")-1)))</f>
        <v/>
      </c>
      <c r="P96" s="96" t="str">
        <f>IF(O96="","",IFERROR(MATCH(O96,'CDFs'!$A$6:$A$505,0),""))</f>
        <v/>
      </c>
      <c r="Q96" s="96">
        <f>IF(P96="",0,IF(INDEX('CDFs'!$S$6:$S$505,P96)=1,1,0))</f>
        <v>0</v>
      </c>
      <c r="R96" s="96" t="str">
        <f>IF(C96="","",TRIM(LEFT(C96,FIND(" |",C96&amp;" |")-1)))</f>
        <v/>
      </c>
      <c r="S96" s="96" t="str">
        <f>IF(R96="","",IFERROR(MATCH(R96,'ITENS_MTR'!$A$6:$A$1005,0),""))</f>
        <v/>
      </c>
      <c r="T96" s="96">
        <f>IF(S96="",0,IF(INDEX('ITENS_MTR'!$R$6:$R$1005,S96)=1,1,0))</f>
        <v>0</v>
      </c>
      <c r="U96" s="96" t="str">
        <f>IF(G96="","",IFERROR(IF(ISNUMBER(INDEX(cfg_fac,MATCH(G96,cfg_units,0))),IF(INDEX(cfg_fac,MATCH(G96,cfg_units,0))&gt;0,INDEX(cfg_fac,MATCH(G96,cfg_units,0)),""),""),""))</f>
        <v/>
      </c>
      <c r="V96" s="96">
        <f>IF(AND(ISNUMBER(F96),ISNUMBER(H96)),IF(H96&gt;0,1,0),0)</f>
        <v>0</v>
      </c>
      <c r="W96" s="96" t="str">
        <f>IF(T96=1,INDEX('ITENS_MTR'!$AU$6:$AU$1005,S96)&amp;"","")</f>
        <v/>
      </c>
      <c r="X96" s="96">
        <f>IF(AND(Q96=1,T96=1,I96&lt;&gt;"",W96&lt;&gt;""),IF(I96&lt;&gt;W96,1,0),0)</f>
        <v>0</v>
      </c>
      <c r="Y96" s="96">
        <f>IF(N96=0,0,IF(OR(Q96=0,T96=0,V96=0,AND(X96=1,J96&lt;&gt;"Sim")),1,0))</f>
        <v>0</v>
      </c>
      <c r="Z96" s="96">
        <f>IF(Q96=1,INDEX('CDFs'!$W$6:$W$505,P96),0)</f>
        <v>0</v>
      </c>
      <c r="AA96" s="96">
        <f>IF(AND(N96=1,Y96=0,Z96=1,J96="Sim"),1,0)</f>
        <v>0</v>
      </c>
      <c r="AB96" s="96">
        <f>IF(AND(N96=1,O96&lt;&gt;"",D96&lt;&gt;""),IF(COUNTIFS($O$6:O96,O96,$D$6:D96,D96)=1,1,0),0)</f>
        <v>0</v>
      </c>
      <c r="AC96" s="96">
        <f>IF(T96=1,INDEX('ITENS_MTR'!$AL$6:$AL$1005,S96),0)</f>
        <v>0</v>
      </c>
    </row>
    <row r="97">
      <c r="A97" s="89" t="inlineStr">
        <is>
          <t>VIN-000092</t>
        </is>
      </c>
      <c r="B97" s="91" t="n"/>
      <c r="C97" s="91" t="n"/>
      <c r="D97" s="94" t="str">
        <f>IF(T97=1,INDEX('ITENS_MTR'!$S$6:$S$1005,S97)&amp;"","")</f>
        <v/>
      </c>
      <c r="E97" s="94" t="str">
        <f>IF(T97=1,INDEX('ITENS_MTR'!$C$6:$C$1005,S97)&amp;"","")</f>
        <v/>
      </c>
      <c r="F97" s="98" t="n"/>
      <c r="G97" s="91" t="n"/>
      <c r="H97" s="93" t="str">
        <f>IF(N97=0,"",IF(NOT(ISNUMBER(F97)),"",IF(ISNUMBER(U97),F97*U97,"UNIDADE A CONFERIR")))</f>
        <v/>
      </c>
      <c r="I97" s="94" t="str">
        <f>IF(Q97=1,INDEX('CDFs'!$F$6:$F$505,P97)&amp;"","")</f>
        <v/>
      </c>
      <c r="J97" s="91" t="n"/>
      <c r="K97" s="91" t="n"/>
      <c r="L97" s="94" t="str">
        <f>IF(N97=0,"",IF(NOT(ISNUMBER(F97)),"Quantidade não informada",IF(F97&lt;=0,"Quantidade não positiva",IF(G97="","Unidade não informada",IF(NOT(ISNUMBER(H97)),"Unidade a conferir",IF(AC97=1,"REVISAR VÍNCULO: soma vinculada maior que a referência do item","OK"))))))</f>
        <v/>
      </c>
      <c r="M97" s="94" t="str">
        <f>IF(N97=0,"",IF(B97="","CDF não informado",IF(Q97=0,"REVISAR VÍNCULO: CDF inexistente",IF(C97="","Item não informado",IF(T97=0,"REVISAR VÍNCULO: item inexistente",IF(AND(X97=1,J97&lt;&gt;"Sim"),"REVISAR VÍNCULO: destinador diferente do MTR",IF(X97=1,"Destinador diferente do MTR (analisado)","OK")))))))</f>
        <v/>
      </c>
      <c r="N97" s="96">
        <f>IF(COUNTA(B97:C97,F97:G97,J97:K97)&gt;0,1,0)</f>
        <v>0</v>
      </c>
      <c r="O97" s="96" t="str">
        <f>IF(B97="","",TRIM(LEFT(B97,FIND(" |",B97&amp;" |")-1)))</f>
        <v/>
      </c>
      <c r="P97" s="96" t="str">
        <f>IF(O97="","",IFERROR(MATCH(O97,'CDFs'!$A$6:$A$505,0),""))</f>
        <v/>
      </c>
      <c r="Q97" s="96">
        <f>IF(P97="",0,IF(INDEX('CDFs'!$S$6:$S$505,P97)=1,1,0))</f>
        <v>0</v>
      </c>
      <c r="R97" s="96" t="str">
        <f>IF(C97="","",TRIM(LEFT(C97,FIND(" |",C97&amp;" |")-1)))</f>
        <v/>
      </c>
      <c r="S97" s="96" t="str">
        <f>IF(R97="","",IFERROR(MATCH(R97,'ITENS_MTR'!$A$6:$A$1005,0),""))</f>
        <v/>
      </c>
      <c r="T97" s="96">
        <f>IF(S97="",0,IF(INDEX('ITENS_MTR'!$R$6:$R$1005,S97)=1,1,0))</f>
        <v>0</v>
      </c>
      <c r="U97" s="96" t="str">
        <f>IF(G97="","",IFERROR(IF(ISNUMBER(INDEX(cfg_fac,MATCH(G97,cfg_units,0))),IF(INDEX(cfg_fac,MATCH(G97,cfg_units,0))&gt;0,INDEX(cfg_fac,MATCH(G97,cfg_units,0)),""),""),""))</f>
        <v/>
      </c>
      <c r="V97" s="96">
        <f>IF(AND(ISNUMBER(F97),ISNUMBER(H97)),IF(H97&gt;0,1,0),0)</f>
        <v>0</v>
      </c>
      <c r="W97" s="96" t="str">
        <f>IF(T97=1,INDEX('ITENS_MTR'!$AU$6:$AU$1005,S97)&amp;"","")</f>
        <v/>
      </c>
      <c r="X97" s="96">
        <f>IF(AND(Q97=1,T97=1,I97&lt;&gt;"",W97&lt;&gt;""),IF(I97&lt;&gt;W97,1,0),0)</f>
        <v>0</v>
      </c>
      <c r="Y97" s="96">
        <f>IF(N97=0,0,IF(OR(Q97=0,T97=0,V97=0,AND(X97=1,J97&lt;&gt;"Sim")),1,0))</f>
        <v>0</v>
      </c>
      <c r="Z97" s="96">
        <f>IF(Q97=1,INDEX('CDFs'!$W$6:$W$505,P97),0)</f>
        <v>0</v>
      </c>
      <c r="AA97" s="96">
        <f>IF(AND(N97=1,Y97=0,Z97=1,J97="Sim"),1,0)</f>
        <v>0</v>
      </c>
      <c r="AB97" s="96">
        <f>IF(AND(N97=1,O97&lt;&gt;"",D97&lt;&gt;""),IF(COUNTIFS($O$6:O97,O97,$D$6:D97,D97)=1,1,0),0)</f>
        <v>0</v>
      </c>
      <c r="AC97" s="96">
        <f>IF(T97=1,INDEX('ITENS_MTR'!$AL$6:$AL$1005,S97),0)</f>
        <v>0</v>
      </c>
    </row>
    <row r="98">
      <c r="A98" s="89" t="inlineStr">
        <is>
          <t>VIN-000093</t>
        </is>
      </c>
      <c r="B98" s="91" t="n"/>
      <c r="C98" s="91" t="n"/>
      <c r="D98" s="94" t="str">
        <f>IF(T98=1,INDEX('ITENS_MTR'!$S$6:$S$1005,S98)&amp;"","")</f>
        <v/>
      </c>
      <c r="E98" s="94" t="str">
        <f>IF(T98=1,INDEX('ITENS_MTR'!$C$6:$C$1005,S98)&amp;"","")</f>
        <v/>
      </c>
      <c r="F98" s="98" t="n"/>
      <c r="G98" s="91" t="n"/>
      <c r="H98" s="93" t="str">
        <f>IF(N98=0,"",IF(NOT(ISNUMBER(F98)),"",IF(ISNUMBER(U98),F98*U98,"UNIDADE A CONFERIR")))</f>
        <v/>
      </c>
      <c r="I98" s="94" t="str">
        <f>IF(Q98=1,INDEX('CDFs'!$F$6:$F$505,P98)&amp;"","")</f>
        <v/>
      </c>
      <c r="J98" s="91" t="n"/>
      <c r="K98" s="91" t="n"/>
      <c r="L98" s="94" t="str">
        <f>IF(N98=0,"",IF(NOT(ISNUMBER(F98)),"Quantidade não informada",IF(F98&lt;=0,"Quantidade não positiva",IF(G98="","Unidade não informada",IF(NOT(ISNUMBER(H98)),"Unidade a conferir",IF(AC98=1,"REVISAR VÍNCULO: soma vinculada maior que a referência do item","OK"))))))</f>
        <v/>
      </c>
      <c r="M98" s="94" t="str">
        <f>IF(N98=0,"",IF(B98="","CDF não informado",IF(Q98=0,"REVISAR VÍNCULO: CDF inexistente",IF(C98="","Item não informado",IF(T98=0,"REVISAR VÍNCULO: item inexistente",IF(AND(X98=1,J98&lt;&gt;"Sim"),"REVISAR VÍNCULO: destinador diferente do MTR",IF(X98=1,"Destinador diferente do MTR (analisado)","OK")))))))</f>
        <v/>
      </c>
      <c r="N98" s="96">
        <f>IF(COUNTA(B98:C98,F98:G98,J98:K98)&gt;0,1,0)</f>
        <v>0</v>
      </c>
      <c r="O98" s="96" t="str">
        <f>IF(B98="","",TRIM(LEFT(B98,FIND(" |",B98&amp;" |")-1)))</f>
        <v/>
      </c>
      <c r="P98" s="96" t="str">
        <f>IF(O98="","",IFERROR(MATCH(O98,'CDFs'!$A$6:$A$505,0),""))</f>
        <v/>
      </c>
      <c r="Q98" s="96">
        <f>IF(P98="",0,IF(INDEX('CDFs'!$S$6:$S$505,P98)=1,1,0))</f>
        <v>0</v>
      </c>
      <c r="R98" s="96" t="str">
        <f>IF(C98="","",TRIM(LEFT(C98,FIND(" |",C98&amp;" |")-1)))</f>
        <v/>
      </c>
      <c r="S98" s="96" t="str">
        <f>IF(R98="","",IFERROR(MATCH(R98,'ITENS_MTR'!$A$6:$A$1005,0),""))</f>
        <v/>
      </c>
      <c r="T98" s="96">
        <f>IF(S98="",0,IF(INDEX('ITENS_MTR'!$R$6:$R$1005,S98)=1,1,0))</f>
        <v>0</v>
      </c>
      <c r="U98" s="96" t="str">
        <f>IF(G98="","",IFERROR(IF(ISNUMBER(INDEX(cfg_fac,MATCH(G98,cfg_units,0))),IF(INDEX(cfg_fac,MATCH(G98,cfg_units,0))&gt;0,INDEX(cfg_fac,MATCH(G98,cfg_units,0)),""),""),""))</f>
        <v/>
      </c>
      <c r="V98" s="96">
        <f>IF(AND(ISNUMBER(F98),ISNUMBER(H98)),IF(H98&gt;0,1,0),0)</f>
        <v>0</v>
      </c>
      <c r="W98" s="96" t="str">
        <f>IF(T98=1,INDEX('ITENS_MTR'!$AU$6:$AU$1005,S98)&amp;"","")</f>
        <v/>
      </c>
      <c r="X98" s="96">
        <f>IF(AND(Q98=1,T98=1,I98&lt;&gt;"",W98&lt;&gt;""),IF(I98&lt;&gt;W98,1,0),0)</f>
        <v>0</v>
      </c>
      <c r="Y98" s="96">
        <f>IF(N98=0,0,IF(OR(Q98=0,T98=0,V98=0,AND(X98=1,J98&lt;&gt;"Sim")),1,0))</f>
        <v>0</v>
      </c>
      <c r="Z98" s="96">
        <f>IF(Q98=1,INDEX('CDFs'!$W$6:$W$505,P98),0)</f>
        <v>0</v>
      </c>
      <c r="AA98" s="96">
        <f>IF(AND(N98=1,Y98=0,Z98=1,J98="Sim"),1,0)</f>
        <v>0</v>
      </c>
      <c r="AB98" s="96">
        <f>IF(AND(N98=1,O98&lt;&gt;"",D98&lt;&gt;""),IF(COUNTIFS($O$6:O98,O98,$D$6:D98,D98)=1,1,0),0)</f>
        <v>0</v>
      </c>
      <c r="AC98" s="96">
        <f>IF(T98=1,INDEX('ITENS_MTR'!$AL$6:$AL$1005,S98),0)</f>
        <v>0</v>
      </c>
    </row>
    <row r="99">
      <c r="A99" s="89" t="inlineStr">
        <is>
          <t>VIN-000094</t>
        </is>
      </c>
      <c r="B99" s="91" t="n"/>
      <c r="C99" s="91" t="n"/>
      <c r="D99" s="94" t="str">
        <f>IF(T99=1,INDEX('ITENS_MTR'!$S$6:$S$1005,S99)&amp;"","")</f>
        <v/>
      </c>
      <c r="E99" s="94" t="str">
        <f>IF(T99=1,INDEX('ITENS_MTR'!$C$6:$C$1005,S99)&amp;"","")</f>
        <v/>
      </c>
      <c r="F99" s="98" t="n"/>
      <c r="G99" s="91" t="n"/>
      <c r="H99" s="93" t="str">
        <f>IF(N99=0,"",IF(NOT(ISNUMBER(F99)),"",IF(ISNUMBER(U99),F99*U99,"UNIDADE A CONFERIR")))</f>
        <v/>
      </c>
      <c r="I99" s="94" t="str">
        <f>IF(Q99=1,INDEX('CDFs'!$F$6:$F$505,P99)&amp;"","")</f>
        <v/>
      </c>
      <c r="J99" s="91" t="n"/>
      <c r="K99" s="91" t="n"/>
      <c r="L99" s="94" t="str">
        <f>IF(N99=0,"",IF(NOT(ISNUMBER(F99)),"Quantidade não informada",IF(F99&lt;=0,"Quantidade não positiva",IF(G99="","Unidade não informada",IF(NOT(ISNUMBER(H99)),"Unidade a conferir",IF(AC99=1,"REVISAR VÍNCULO: soma vinculada maior que a referência do item","OK"))))))</f>
        <v/>
      </c>
      <c r="M99" s="94" t="str">
        <f>IF(N99=0,"",IF(B99="","CDF não informado",IF(Q99=0,"REVISAR VÍNCULO: CDF inexistente",IF(C99="","Item não informado",IF(T99=0,"REVISAR VÍNCULO: item inexistente",IF(AND(X99=1,J99&lt;&gt;"Sim"),"REVISAR VÍNCULO: destinador diferente do MTR",IF(X99=1,"Destinador diferente do MTR (analisado)","OK")))))))</f>
        <v/>
      </c>
      <c r="N99" s="96">
        <f>IF(COUNTA(B99:C99,F99:G99,J99:K99)&gt;0,1,0)</f>
        <v>0</v>
      </c>
      <c r="O99" s="96" t="str">
        <f>IF(B99="","",TRIM(LEFT(B99,FIND(" |",B99&amp;" |")-1)))</f>
        <v/>
      </c>
      <c r="P99" s="96" t="str">
        <f>IF(O99="","",IFERROR(MATCH(O99,'CDFs'!$A$6:$A$505,0),""))</f>
        <v/>
      </c>
      <c r="Q99" s="96">
        <f>IF(P99="",0,IF(INDEX('CDFs'!$S$6:$S$505,P99)=1,1,0))</f>
        <v>0</v>
      </c>
      <c r="R99" s="96" t="str">
        <f>IF(C99="","",TRIM(LEFT(C99,FIND(" |",C99&amp;" |")-1)))</f>
        <v/>
      </c>
      <c r="S99" s="96" t="str">
        <f>IF(R99="","",IFERROR(MATCH(R99,'ITENS_MTR'!$A$6:$A$1005,0),""))</f>
        <v/>
      </c>
      <c r="T99" s="96">
        <f>IF(S99="",0,IF(INDEX('ITENS_MTR'!$R$6:$R$1005,S99)=1,1,0))</f>
        <v>0</v>
      </c>
      <c r="U99" s="96" t="str">
        <f>IF(G99="","",IFERROR(IF(ISNUMBER(INDEX(cfg_fac,MATCH(G99,cfg_units,0))),IF(INDEX(cfg_fac,MATCH(G99,cfg_units,0))&gt;0,INDEX(cfg_fac,MATCH(G99,cfg_units,0)),""),""),""))</f>
        <v/>
      </c>
      <c r="V99" s="96">
        <f>IF(AND(ISNUMBER(F99),ISNUMBER(H99)),IF(H99&gt;0,1,0),0)</f>
        <v>0</v>
      </c>
      <c r="W99" s="96" t="str">
        <f>IF(T99=1,INDEX('ITENS_MTR'!$AU$6:$AU$1005,S99)&amp;"","")</f>
        <v/>
      </c>
      <c r="X99" s="96">
        <f>IF(AND(Q99=1,T99=1,I99&lt;&gt;"",W99&lt;&gt;""),IF(I99&lt;&gt;W99,1,0),0)</f>
        <v>0</v>
      </c>
      <c r="Y99" s="96">
        <f>IF(N99=0,0,IF(OR(Q99=0,T99=0,V99=0,AND(X99=1,J99&lt;&gt;"Sim")),1,0))</f>
        <v>0</v>
      </c>
      <c r="Z99" s="96">
        <f>IF(Q99=1,INDEX('CDFs'!$W$6:$W$505,P99),0)</f>
        <v>0</v>
      </c>
      <c r="AA99" s="96">
        <f>IF(AND(N99=1,Y99=0,Z99=1,J99="Sim"),1,0)</f>
        <v>0</v>
      </c>
      <c r="AB99" s="96">
        <f>IF(AND(N99=1,O99&lt;&gt;"",D99&lt;&gt;""),IF(COUNTIFS($O$6:O99,O99,$D$6:D99,D99)=1,1,0),0)</f>
        <v>0</v>
      </c>
      <c r="AC99" s="96">
        <f>IF(T99=1,INDEX('ITENS_MTR'!$AL$6:$AL$1005,S99),0)</f>
        <v>0</v>
      </c>
    </row>
    <row r="100">
      <c r="A100" s="89" t="inlineStr">
        <is>
          <t>VIN-000095</t>
        </is>
      </c>
      <c r="B100" s="91" t="n"/>
      <c r="C100" s="91" t="n"/>
      <c r="D100" s="94" t="str">
        <f>IF(T100=1,INDEX('ITENS_MTR'!$S$6:$S$1005,S100)&amp;"","")</f>
        <v/>
      </c>
      <c r="E100" s="94" t="str">
        <f>IF(T100=1,INDEX('ITENS_MTR'!$C$6:$C$1005,S100)&amp;"","")</f>
        <v/>
      </c>
      <c r="F100" s="98" t="n"/>
      <c r="G100" s="91" t="n"/>
      <c r="H100" s="93" t="str">
        <f>IF(N100=0,"",IF(NOT(ISNUMBER(F100)),"",IF(ISNUMBER(U100),F100*U100,"UNIDADE A CONFERIR")))</f>
        <v/>
      </c>
      <c r="I100" s="94" t="str">
        <f>IF(Q100=1,INDEX('CDFs'!$F$6:$F$505,P100)&amp;"","")</f>
        <v/>
      </c>
      <c r="J100" s="91" t="n"/>
      <c r="K100" s="91" t="n"/>
      <c r="L100" s="94" t="str">
        <f>IF(N100=0,"",IF(NOT(ISNUMBER(F100)),"Quantidade não informada",IF(F100&lt;=0,"Quantidade não positiva",IF(G100="","Unidade não informada",IF(NOT(ISNUMBER(H100)),"Unidade a conferir",IF(AC100=1,"REVISAR VÍNCULO: soma vinculada maior que a referência do item","OK"))))))</f>
        <v/>
      </c>
      <c r="M100" s="94" t="str">
        <f>IF(N100=0,"",IF(B100="","CDF não informado",IF(Q100=0,"REVISAR VÍNCULO: CDF inexistente",IF(C100="","Item não informado",IF(T100=0,"REVISAR VÍNCULO: item inexistente",IF(AND(X100=1,J100&lt;&gt;"Sim"),"REVISAR VÍNCULO: destinador diferente do MTR",IF(X100=1,"Destinador diferente do MTR (analisado)","OK")))))))</f>
        <v/>
      </c>
      <c r="N100" s="96">
        <f>IF(COUNTA(B100:C100,F100:G100,J100:K100)&gt;0,1,0)</f>
        <v>0</v>
      </c>
      <c r="O100" s="96" t="str">
        <f>IF(B100="","",TRIM(LEFT(B100,FIND(" |",B100&amp;" |")-1)))</f>
        <v/>
      </c>
      <c r="P100" s="96" t="str">
        <f>IF(O100="","",IFERROR(MATCH(O100,'CDFs'!$A$6:$A$505,0),""))</f>
        <v/>
      </c>
      <c r="Q100" s="96">
        <f>IF(P100="",0,IF(INDEX('CDFs'!$S$6:$S$505,P100)=1,1,0))</f>
        <v>0</v>
      </c>
      <c r="R100" s="96" t="str">
        <f>IF(C100="","",TRIM(LEFT(C100,FIND(" |",C100&amp;" |")-1)))</f>
        <v/>
      </c>
      <c r="S100" s="96" t="str">
        <f>IF(R100="","",IFERROR(MATCH(R100,'ITENS_MTR'!$A$6:$A$1005,0),""))</f>
        <v/>
      </c>
      <c r="T100" s="96">
        <f>IF(S100="",0,IF(INDEX('ITENS_MTR'!$R$6:$R$1005,S100)=1,1,0))</f>
        <v>0</v>
      </c>
      <c r="U100" s="96" t="str">
        <f>IF(G100="","",IFERROR(IF(ISNUMBER(INDEX(cfg_fac,MATCH(G100,cfg_units,0))),IF(INDEX(cfg_fac,MATCH(G100,cfg_units,0))&gt;0,INDEX(cfg_fac,MATCH(G100,cfg_units,0)),""),""),""))</f>
        <v/>
      </c>
      <c r="V100" s="96">
        <f>IF(AND(ISNUMBER(F100),ISNUMBER(H100)),IF(H100&gt;0,1,0),0)</f>
        <v>0</v>
      </c>
      <c r="W100" s="96" t="str">
        <f>IF(T100=1,INDEX('ITENS_MTR'!$AU$6:$AU$1005,S100)&amp;"","")</f>
        <v/>
      </c>
      <c r="X100" s="96">
        <f>IF(AND(Q100=1,T100=1,I100&lt;&gt;"",W100&lt;&gt;""),IF(I100&lt;&gt;W100,1,0),0)</f>
        <v>0</v>
      </c>
      <c r="Y100" s="96">
        <f>IF(N100=0,0,IF(OR(Q100=0,T100=0,V100=0,AND(X100=1,J100&lt;&gt;"Sim")),1,0))</f>
        <v>0</v>
      </c>
      <c r="Z100" s="96">
        <f>IF(Q100=1,INDEX('CDFs'!$W$6:$W$505,P100),0)</f>
        <v>0</v>
      </c>
      <c r="AA100" s="96">
        <f>IF(AND(N100=1,Y100=0,Z100=1,J100="Sim"),1,0)</f>
        <v>0</v>
      </c>
      <c r="AB100" s="96">
        <f>IF(AND(N100=1,O100&lt;&gt;"",D100&lt;&gt;""),IF(COUNTIFS($O$6:O100,O100,$D$6:D100,D100)=1,1,0),0)</f>
        <v>0</v>
      </c>
      <c r="AC100" s="96">
        <f>IF(T100=1,INDEX('ITENS_MTR'!$AL$6:$AL$1005,S100),0)</f>
        <v>0</v>
      </c>
    </row>
    <row r="101">
      <c r="A101" s="89" t="inlineStr">
        <is>
          <t>VIN-000096</t>
        </is>
      </c>
      <c r="B101" s="91" t="n"/>
      <c r="C101" s="91" t="n"/>
      <c r="D101" s="94" t="str">
        <f>IF(T101=1,INDEX('ITENS_MTR'!$S$6:$S$1005,S101)&amp;"","")</f>
        <v/>
      </c>
      <c r="E101" s="94" t="str">
        <f>IF(T101=1,INDEX('ITENS_MTR'!$C$6:$C$1005,S101)&amp;"","")</f>
        <v/>
      </c>
      <c r="F101" s="98" t="n"/>
      <c r="G101" s="91" t="n"/>
      <c r="H101" s="93" t="str">
        <f>IF(N101=0,"",IF(NOT(ISNUMBER(F101)),"",IF(ISNUMBER(U101),F101*U101,"UNIDADE A CONFERIR")))</f>
        <v/>
      </c>
      <c r="I101" s="94" t="str">
        <f>IF(Q101=1,INDEX('CDFs'!$F$6:$F$505,P101)&amp;"","")</f>
        <v/>
      </c>
      <c r="J101" s="91" t="n"/>
      <c r="K101" s="91" t="n"/>
      <c r="L101" s="94" t="str">
        <f>IF(N101=0,"",IF(NOT(ISNUMBER(F101)),"Quantidade não informada",IF(F101&lt;=0,"Quantidade não positiva",IF(G101="","Unidade não informada",IF(NOT(ISNUMBER(H101)),"Unidade a conferir",IF(AC101=1,"REVISAR VÍNCULO: soma vinculada maior que a referência do item","OK"))))))</f>
        <v/>
      </c>
      <c r="M101" s="94" t="str">
        <f>IF(N101=0,"",IF(B101="","CDF não informado",IF(Q101=0,"REVISAR VÍNCULO: CDF inexistente",IF(C101="","Item não informado",IF(T101=0,"REVISAR VÍNCULO: item inexistente",IF(AND(X101=1,J101&lt;&gt;"Sim"),"REVISAR VÍNCULO: destinador diferente do MTR",IF(X101=1,"Destinador diferente do MTR (analisado)","OK")))))))</f>
        <v/>
      </c>
      <c r="N101" s="96">
        <f>IF(COUNTA(B101:C101,F101:G101,J101:K101)&gt;0,1,0)</f>
        <v>0</v>
      </c>
      <c r="O101" s="96" t="str">
        <f>IF(B101="","",TRIM(LEFT(B101,FIND(" |",B101&amp;" |")-1)))</f>
        <v/>
      </c>
      <c r="P101" s="96" t="str">
        <f>IF(O101="","",IFERROR(MATCH(O101,'CDFs'!$A$6:$A$505,0),""))</f>
        <v/>
      </c>
      <c r="Q101" s="96">
        <f>IF(P101="",0,IF(INDEX('CDFs'!$S$6:$S$505,P101)=1,1,0))</f>
        <v>0</v>
      </c>
      <c r="R101" s="96" t="str">
        <f>IF(C101="","",TRIM(LEFT(C101,FIND(" |",C101&amp;" |")-1)))</f>
        <v/>
      </c>
      <c r="S101" s="96" t="str">
        <f>IF(R101="","",IFERROR(MATCH(R101,'ITENS_MTR'!$A$6:$A$1005,0),""))</f>
        <v/>
      </c>
      <c r="T101" s="96">
        <f>IF(S101="",0,IF(INDEX('ITENS_MTR'!$R$6:$R$1005,S101)=1,1,0))</f>
        <v>0</v>
      </c>
      <c r="U101" s="96" t="str">
        <f>IF(G101="","",IFERROR(IF(ISNUMBER(INDEX(cfg_fac,MATCH(G101,cfg_units,0))),IF(INDEX(cfg_fac,MATCH(G101,cfg_units,0))&gt;0,INDEX(cfg_fac,MATCH(G101,cfg_units,0)),""),""),""))</f>
        <v/>
      </c>
      <c r="V101" s="96">
        <f>IF(AND(ISNUMBER(F101),ISNUMBER(H101)),IF(H101&gt;0,1,0),0)</f>
        <v>0</v>
      </c>
      <c r="W101" s="96" t="str">
        <f>IF(T101=1,INDEX('ITENS_MTR'!$AU$6:$AU$1005,S101)&amp;"","")</f>
        <v/>
      </c>
      <c r="X101" s="96">
        <f>IF(AND(Q101=1,T101=1,I101&lt;&gt;"",W101&lt;&gt;""),IF(I101&lt;&gt;W101,1,0),0)</f>
        <v>0</v>
      </c>
      <c r="Y101" s="96">
        <f>IF(N101=0,0,IF(OR(Q101=0,T101=0,V101=0,AND(X101=1,J101&lt;&gt;"Sim")),1,0))</f>
        <v>0</v>
      </c>
      <c r="Z101" s="96">
        <f>IF(Q101=1,INDEX('CDFs'!$W$6:$W$505,P101),0)</f>
        <v>0</v>
      </c>
      <c r="AA101" s="96">
        <f>IF(AND(N101=1,Y101=0,Z101=1,J101="Sim"),1,0)</f>
        <v>0</v>
      </c>
      <c r="AB101" s="96">
        <f>IF(AND(N101=1,O101&lt;&gt;"",D101&lt;&gt;""),IF(COUNTIFS($O$6:O101,O101,$D$6:D101,D101)=1,1,0),0)</f>
        <v>0</v>
      </c>
      <c r="AC101" s="96">
        <f>IF(T101=1,INDEX('ITENS_MTR'!$AL$6:$AL$1005,S101),0)</f>
        <v>0</v>
      </c>
    </row>
    <row r="102">
      <c r="A102" s="89" t="inlineStr">
        <is>
          <t>VIN-000097</t>
        </is>
      </c>
      <c r="B102" s="91" t="n"/>
      <c r="C102" s="91" t="n"/>
      <c r="D102" s="94" t="str">
        <f>IF(T102=1,INDEX('ITENS_MTR'!$S$6:$S$1005,S102)&amp;"","")</f>
        <v/>
      </c>
      <c r="E102" s="94" t="str">
        <f>IF(T102=1,INDEX('ITENS_MTR'!$C$6:$C$1005,S102)&amp;"","")</f>
        <v/>
      </c>
      <c r="F102" s="98" t="n"/>
      <c r="G102" s="91" t="n"/>
      <c r="H102" s="93" t="str">
        <f>IF(N102=0,"",IF(NOT(ISNUMBER(F102)),"",IF(ISNUMBER(U102),F102*U102,"UNIDADE A CONFERIR")))</f>
        <v/>
      </c>
      <c r="I102" s="94" t="str">
        <f>IF(Q102=1,INDEX('CDFs'!$F$6:$F$505,P102)&amp;"","")</f>
        <v/>
      </c>
      <c r="J102" s="91" t="n"/>
      <c r="K102" s="91" t="n"/>
      <c r="L102" s="94" t="str">
        <f>IF(N102=0,"",IF(NOT(ISNUMBER(F102)),"Quantidade não informada",IF(F102&lt;=0,"Quantidade não positiva",IF(G102="","Unidade não informada",IF(NOT(ISNUMBER(H102)),"Unidade a conferir",IF(AC102=1,"REVISAR VÍNCULO: soma vinculada maior que a referência do item","OK"))))))</f>
        <v/>
      </c>
      <c r="M102" s="94" t="str">
        <f>IF(N102=0,"",IF(B102="","CDF não informado",IF(Q102=0,"REVISAR VÍNCULO: CDF inexistente",IF(C102="","Item não informado",IF(T102=0,"REVISAR VÍNCULO: item inexistente",IF(AND(X102=1,J102&lt;&gt;"Sim"),"REVISAR VÍNCULO: destinador diferente do MTR",IF(X102=1,"Destinador diferente do MTR (analisado)","OK")))))))</f>
        <v/>
      </c>
      <c r="N102" s="96">
        <f>IF(COUNTA(B102:C102,F102:G102,J102:K102)&gt;0,1,0)</f>
        <v>0</v>
      </c>
      <c r="O102" s="96" t="str">
        <f>IF(B102="","",TRIM(LEFT(B102,FIND(" |",B102&amp;" |")-1)))</f>
        <v/>
      </c>
      <c r="P102" s="96" t="str">
        <f>IF(O102="","",IFERROR(MATCH(O102,'CDFs'!$A$6:$A$505,0),""))</f>
        <v/>
      </c>
      <c r="Q102" s="96">
        <f>IF(P102="",0,IF(INDEX('CDFs'!$S$6:$S$505,P102)=1,1,0))</f>
        <v>0</v>
      </c>
      <c r="R102" s="96" t="str">
        <f>IF(C102="","",TRIM(LEFT(C102,FIND(" |",C102&amp;" |")-1)))</f>
        <v/>
      </c>
      <c r="S102" s="96" t="str">
        <f>IF(R102="","",IFERROR(MATCH(R102,'ITENS_MTR'!$A$6:$A$1005,0),""))</f>
        <v/>
      </c>
      <c r="T102" s="96">
        <f>IF(S102="",0,IF(INDEX('ITENS_MTR'!$R$6:$R$1005,S102)=1,1,0))</f>
        <v>0</v>
      </c>
      <c r="U102" s="96" t="str">
        <f>IF(G102="","",IFERROR(IF(ISNUMBER(INDEX(cfg_fac,MATCH(G102,cfg_units,0))),IF(INDEX(cfg_fac,MATCH(G102,cfg_units,0))&gt;0,INDEX(cfg_fac,MATCH(G102,cfg_units,0)),""),""),""))</f>
        <v/>
      </c>
      <c r="V102" s="96">
        <f>IF(AND(ISNUMBER(F102),ISNUMBER(H102)),IF(H102&gt;0,1,0),0)</f>
        <v>0</v>
      </c>
      <c r="W102" s="96" t="str">
        <f>IF(T102=1,INDEX('ITENS_MTR'!$AU$6:$AU$1005,S102)&amp;"","")</f>
        <v/>
      </c>
      <c r="X102" s="96">
        <f>IF(AND(Q102=1,T102=1,I102&lt;&gt;"",W102&lt;&gt;""),IF(I102&lt;&gt;W102,1,0),0)</f>
        <v>0</v>
      </c>
      <c r="Y102" s="96">
        <f>IF(N102=0,0,IF(OR(Q102=0,T102=0,V102=0,AND(X102=1,J102&lt;&gt;"Sim")),1,0))</f>
        <v>0</v>
      </c>
      <c r="Z102" s="96">
        <f>IF(Q102=1,INDEX('CDFs'!$W$6:$W$505,P102),0)</f>
        <v>0</v>
      </c>
      <c r="AA102" s="96">
        <f>IF(AND(N102=1,Y102=0,Z102=1,J102="Sim"),1,0)</f>
        <v>0</v>
      </c>
      <c r="AB102" s="96">
        <f>IF(AND(N102=1,O102&lt;&gt;"",D102&lt;&gt;""),IF(COUNTIFS($O$6:O102,O102,$D$6:D102,D102)=1,1,0),0)</f>
        <v>0</v>
      </c>
      <c r="AC102" s="96">
        <f>IF(T102=1,INDEX('ITENS_MTR'!$AL$6:$AL$1005,S102),0)</f>
        <v>0</v>
      </c>
    </row>
    <row r="103">
      <c r="A103" s="89" t="inlineStr">
        <is>
          <t>VIN-000098</t>
        </is>
      </c>
      <c r="B103" s="91" t="n"/>
      <c r="C103" s="91" t="n"/>
      <c r="D103" s="94" t="str">
        <f>IF(T103=1,INDEX('ITENS_MTR'!$S$6:$S$1005,S103)&amp;"","")</f>
        <v/>
      </c>
      <c r="E103" s="94" t="str">
        <f>IF(T103=1,INDEX('ITENS_MTR'!$C$6:$C$1005,S103)&amp;"","")</f>
        <v/>
      </c>
      <c r="F103" s="98" t="n"/>
      <c r="G103" s="91" t="n"/>
      <c r="H103" s="93" t="str">
        <f>IF(N103=0,"",IF(NOT(ISNUMBER(F103)),"",IF(ISNUMBER(U103),F103*U103,"UNIDADE A CONFERIR")))</f>
        <v/>
      </c>
      <c r="I103" s="94" t="str">
        <f>IF(Q103=1,INDEX('CDFs'!$F$6:$F$505,P103)&amp;"","")</f>
        <v/>
      </c>
      <c r="J103" s="91" t="n"/>
      <c r="K103" s="91" t="n"/>
      <c r="L103" s="94" t="str">
        <f>IF(N103=0,"",IF(NOT(ISNUMBER(F103)),"Quantidade não informada",IF(F103&lt;=0,"Quantidade não positiva",IF(G103="","Unidade não informada",IF(NOT(ISNUMBER(H103)),"Unidade a conferir",IF(AC103=1,"REVISAR VÍNCULO: soma vinculada maior que a referência do item","OK"))))))</f>
        <v/>
      </c>
      <c r="M103" s="94" t="str">
        <f>IF(N103=0,"",IF(B103="","CDF não informado",IF(Q103=0,"REVISAR VÍNCULO: CDF inexistente",IF(C103="","Item não informado",IF(T103=0,"REVISAR VÍNCULO: item inexistente",IF(AND(X103=1,J103&lt;&gt;"Sim"),"REVISAR VÍNCULO: destinador diferente do MTR",IF(X103=1,"Destinador diferente do MTR (analisado)","OK")))))))</f>
        <v/>
      </c>
      <c r="N103" s="96">
        <f>IF(COUNTA(B103:C103,F103:G103,J103:K103)&gt;0,1,0)</f>
        <v>0</v>
      </c>
      <c r="O103" s="96" t="str">
        <f>IF(B103="","",TRIM(LEFT(B103,FIND(" |",B103&amp;" |")-1)))</f>
        <v/>
      </c>
      <c r="P103" s="96" t="str">
        <f>IF(O103="","",IFERROR(MATCH(O103,'CDFs'!$A$6:$A$505,0),""))</f>
        <v/>
      </c>
      <c r="Q103" s="96">
        <f>IF(P103="",0,IF(INDEX('CDFs'!$S$6:$S$505,P103)=1,1,0))</f>
        <v>0</v>
      </c>
      <c r="R103" s="96" t="str">
        <f>IF(C103="","",TRIM(LEFT(C103,FIND(" |",C103&amp;" |")-1)))</f>
        <v/>
      </c>
      <c r="S103" s="96" t="str">
        <f>IF(R103="","",IFERROR(MATCH(R103,'ITENS_MTR'!$A$6:$A$1005,0),""))</f>
        <v/>
      </c>
      <c r="T103" s="96">
        <f>IF(S103="",0,IF(INDEX('ITENS_MTR'!$R$6:$R$1005,S103)=1,1,0))</f>
        <v>0</v>
      </c>
      <c r="U103" s="96" t="str">
        <f>IF(G103="","",IFERROR(IF(ISNUMBER(INDEX(cfg_fac,MATCH(G103,cfg_units,0))),IF(INDEX(cfg_fac,MATCH(G103,cfg_units,0))&gt;0,INDEX(cfg_fac,MATCH(G103,cfg_units,0)),""),""),""))</f>
        <v/>
      </c>
      <c r="V103" s="96">
        <f>IF(AND(ISNUMBER(F103),ISNUMBER(H103)),IF(H103&gt;0,1,0),0)</f>
        <v>0</v>
      </c>
      <c r="W103" s="96" t="str">
        <f>IF(T103=1,INDEX('ITENS_MTR'!$AU$6:$AU$1005,S103)&amp;"","")</f>
        <v/>
      </c>
      <c r="X103" s="96">
        <f>IF(AND(Q103=1,T103=1,I103&lt;&gt;"",W103&lt;&gt;""),IF(I103&lt;&gt;W103,1,0),0)</f>
        <v>0</v>
      </c>
      <c r="Y103" s="96">
        <f>IF(N103=0,0,IF(OR(Q103=0,T103=0,V103=0,AND(X103=1,J103&lt;&gt;"Sim")),1,0))</f>
        <v>0</v>
      </c>
      <c r="Z103" s="96">
        <f>IF(Q103=1,INDEX('CDFs'!$W$6:$W$505,P103),0)</f>
        <v>0</v>
      </c>
      <c r="AA103" s="96">
        <f>IF(AND(N103=1,Y103=0,Z103=1,J103="Sim"),1,0)</f>
        <v>0</v>
      </c>
      <c r="AB103" s="96">
        <f>IF(AND(N103=1,O103&lt;&gt;"",D103&lt;&gt;""),IF(COUNTIFS($O$6:O103,O103,$D$6:D103,D103)=1,1,0),0)</f>
        <v>0</v>
      </c>
      <c r="AC103" s="96">
        <f>IF(T103=1,INDEX('ITENS_MTR'!$AL$6:$AL$1005,S103),0)</f>
        <v>0</v>
      </c>
    </row>
    <row r="104">
      <c r="A104" s="89" t="inlineStr">
        <is>
          <t>VIN-000099</t>
        </is>
      </c>
      <c r="B104" s="91" t="n"/>
      <c r="C104" s="91" t="n"/>
      <c r="D104" s="94" t="str">
        <f>IF(T104=1,INDEX('ITENS_MTR'!$S$6:$S$1005,S104)&amp;"","")</f>
        <v/>
      </c>
      <c r="E104" s="94" t="str">
        <f>IF(T104=1,INDEX('ITENS_MTR'!$C$6:$C$1005,S104)&amp;"","")</f>
        <v/>
      </c>
      <c r="F104" s="98" t="n"/>
      <c r="G104" s="91" t="n"/>
      <c r="H104" s="93" t="str">
        <f>IF(N104=0,"",IF(NOT(ISNUMBER(F104)),"",IF(ISNUMBER(U104),F104*U104,"UNIDADE A CONFERIR")))</f>
        <v/>
      </c>
      <c r="I104" s="94" t="str">
        <f>IF(Q104=1,INDEX('CDFs'!$F$6:$F$505,P104)&amp;"","")</f>
        <v/>
      </c>
      <c r="J104" s="91" t="n"/>
      <c r="K104" s="91" t="n"/>
      <c r="L104" s="94" t="str">
        <f>IF(N104=0,"",IF(NOT(ISNUMBER(F104)),"Quantidade não informada",IF(F104&lt;=0,"Quantidade não positiva",IF(G104="","Unidade não informada",IF(NOT(ISNUMBER(H104)),"Unidade a conferir",IF(AC104=1,"REVISAR VÍNCULO: soma vinculada maior que a referência do item","OK"))))))</f>
        <v/>
      </c>
      <c r="M104" s="94" t="str">
        <f>IF(N104=0,"",IF(B104="","CDF não informado",IF(Q104=0,"REVISAR VÍNCULO: CDF inexistente",IF(C104="","Item não informado",IF(T104=0,"REVISAR VÍNCULO: item inexistente",IF(AND(X104=1,J104&lt;&gt;"Sim"),"REVISAR VÍNCULO: destinador diferente do MTR",IF(X104=1,"Destinador diferente do MTR (analisado)","OK")))))))</f>
        <v/>
      </c>
      <c r="N104" s="96">
        <f>IF(COUNTA(B104:C104,F104:G104,J104:K104)&gt;0,1,0)</f>
        <v>0</v>
      </c>
      <c r="O104" s="96" t="str">
        <f>IF(B104="","",TRIM(LEFT(B104,FIND(" |",B104&amp;" |")-1)))</f>
        <v/>
      </c>
      <c r="P104" s="96" t="str">
        <f>IF(O104="","",IFERROR(MATCH(O104,'CDFs'!$A$6:$A$505,0),""))</f>
        <v/>
      </c>
      <c r="Q104" s="96">
        <f>IF(P104="",0,IF(INDEX('CDFs'!$S$6:$S$505,P104)=1,1,0))</f>
        <v>0</v>
      </c>
      <c r="R104" s="96" t="str">
        <f>IF(C104="","",TRIM(LEFT(C104,FIND(" |",C104&amp;" |")-1)))</f>
        <v/>
      </c>
      <c r="S104" s="96" t="str">
        <f>IF(R104="","",IFERROR(MATCH(R104,'ITENS_MTR'!$A$6:$A$1005,0),""))</f>
        <v/>
      </c>
      <c r="T104" s="96">
        <f>IF(S104="",0,IF(INDEX('ITENS_MTR'!$R$6:$R$1005,S104)=1,1,0))</f>
        <v>0</v>
      </c>
      <c r="U104" s="96" t="str">
        <f>IF(G104="","",IFERROR(IF(ISNUMBER(INDEX(cfg_fac,MATCH(G104,cfg_units,0))),IF(INDEX(cfg_fac,MATCH(G104,cfg_units,0))&gt;0,INDEX(cfg_fac,MATCH(G104,cfg_units,0)),""),""),""))</f>
        <v/>
      </c>
      <c r="V104" s="96">
        <f>IF(AND(ISNUMBER(F104),ISNUMBER(H104)),IF(H104&gt;0,1,0),0)</f>
        <v>0</v>
      </c>
      <c r="W104" s="96" t="str">
        <f>IF(T104=1,INDEX('ITENS_MTR'!$AU$6:$AU$1005,S104)&amp;"","")</f>
        <v/>
      </c>
      <c r="X104" s="96">
        <f>IF(AND(Q104=1,T104=1,I104&lt;&gt;"",W104&lt;&gt;""),IF(I104&lt;&gt;W104,1,0),0)</f>
        <v>0</v>
      </c>
      <c r="Y104" s="96">
        <f>IF(N104=0,0,IF(OR(Q104=0,T104=0,V104=0,AND(X104=1,J104&lt;&gt;"Sim")),1,0))</f>
        <v>0</v>
      </c>
      <c r="Z104" s="96">
        <f>IF(Q104=1,INDEX('CDFs'!$W$6:$W$505,P104),0)</f>
        <v>0</v>
      </c>
      <c r="AA104" s="96">
        <f>IF(AND(N104=1,Y104=0,Z104=1,J104="Sim"),1,0)</f>
        <v>0</v>
      </c>
      <c r="AB104" s="96">
        <f>IF(AND(N104=1,O104&lt;&gt;"",D104&lt;&gt;""),IF(COUNTIFS($O$6:O104,O104,$D$6:D104,D104)=1,1,0),0)</f>
        <v>0</v>
      </c>
      <c r="AC104" s="96">
        <f>IF(T104=1,INDEX('ITENS_MTR'!$AL$6:$AL$1005,S104),0)</f>
        <v>0</v>
      </c>
    </row>
    <row r="105">
      <c r="A105" s="89" t="inlineStr">
        <is>
          <t>VIN-000100</t>
        </is>
      </c>
      <c r="B105" s="91" t="n"/>
      <c r="C105" s="91" t="n"/>
      <c r="D105" s="94" t="str">
        <f>IF(T105=1,INDEX('ITENS_MTR'!$S$6:$S$1005,S105)&amp;"","")</f>
        <v/>
      </c>
      <c r="E105" s="94" t="str">
        <f>IF(T105=1,INDEX('ITENS_MTR'!$C$6:$C$1005,S105)&amp;"","")</f>
        <v/>
      </c>
      <c r="F105" s="98" t="n"/>
      <c r="G105" s="91" t="n"/>
      <c r="H105" s="93" t="str">
        <f>IF(N105=0,"",IF(NOT(ISNUMBER(F105)),"",IF(ISNUMBER(U105),F105*U105,"UNIDADE A CONFERIR")))</f>
        <v/>
      </c>
      <c r="I105" s="94" t="str">
        <f>IF(Q105=1,INDEX('CDFs'!$F$6:$F$505,P105)&amp;"","")</f>
        <v/>
      </c>
      <c r="J105" s="91" t="n"/>
      <c r="K105" s="91" t="n"/>
      <c r="L105" s="94" t="str">
        <f>IF(N105=0,"",IF(NOT(ISNUMBER(F105)),"Quantidade não informada",IF(F105&lt;=0,"Quantidade não positiva",IF(G105="","Unidade não informada",IF(NOT(ISNUMBER(H105)),"Unidade a conferir",IF(AC105=1,"REVISAR VÍNCULO: soma vinculada maior que a referência do item","OK"))))))</f>
        <v/>
      </c>
      <c r="M105" s="94" t="str">
        <f>IF(N105=0,"",IF(B105="","CDF não informado",IF(Q105=0,"REVISAR VÍNCULO: CDF inexistente",IF(C105="","Item não informado",IF(T105=0,"REVISAR VÍNCULO: item inexistente",IF(AND(X105=1,J105&lt;&gt;"Sim"),"REVISAR VÍNCULO: destinador diferente do MTR",IF(X105=1,"Destinador diferente do MTR (analisado)","OK")))))))</f>
        <v/>
      </c>
      <c r="N105" s="96">
        <f>IF(COUNTA(B105:C105,F105:G105,J105:K105)&gt;0,1,0)</f>
        <v>0</v>
      </c>
      <c r="O105" s="96" t="str">
        <f>IF(B105="","",TRIM(LEFT(B105,FIND(" |",B105&amp;" |")-1)))</f>
        <v/>
      </c>
      <c r="P105" s="96" t="str">
        <f>IF(O105="","",IFERROR(MATCH(O105,'CDFs'!$A$6:$A$505,0),""))</f>
        <v/>
      </c>
      <c r="Q105" s="96">
        <f>IF(P105="",0,IF(INDEX('CDFs'!$S$6:$S$505,P105)=1,1,0))</f>
        <v>0</v>
      </c>
      <c r="R105" s="96" t="str">
        <f>IF(C105="","",TRIM(LEFT(C105,FIND(" |",C105&amp;" |")-1)))</f>
        <v/>
      </c>
      <c r="S105" s="96" t="str">
        <f>IF(R105="","",IFERROR(MATCH(R105,'ITENS_MTR'!$A$6:$A$1005,0),""))</f>
        <v/>
      </c>
      <c r="T105" s="96">
        <f>IF(S105="",0,IF(INDEX('ITENS_MTR'!$R$6:$R$1005,S105)=1,1,0))</f>
        <v>0</v>
      </c>
      <c r="U105" s="96" t="str">
        <f>IF(G105="","",IFERROR(IF(ISNUMBER(INDEX(cfg_fac,MATCH(G105,cfg_units,0))),IF(INDEX(cfg_fac,MATCH(G105,cfg_units,0))&gt;0,INDEX(cfg_fac,MATCH(G105,cfg_units,0)),""),""),""))</f>
        <v/>
      </c>
      <c r="V105" s="96">
        <f>IF(AND(ISNUMBER(F105),ISNUMBER(H105)),IF(H105&gt;0,1,0),0)</f>
        <v>0</v>
      </c>
      <c r="W105" s="96" t="str">
        <f>IF(T105=1,INDEX('ITENS_MTR'!$AU$6:$AU$1005,S105)&amp;"","")</f>
        <v/>
      </c>
      <c r="X105" s="96">
        <f>IF(AND(Q105=1,T105=1,I105&lt;&gt;"",W105&lt;&gt;""),IF(I105&lt;&gt;W105,1,0),0)</f>
        <v>0</v>
      </c>
      <c r="Y105" s="96">
        <f>IF(N105=0,0,IF(OR(Q105=0,T105=0,V105=0,AND(X105=1,J105&lt;&gt;"Sim")),1,0))</f>
        <v>0</v>
      </c>
      <c r="Z105" s="96">
        <f>IF(Q105=1,INDEX('CDFs'!$W$6:$W$505,P105),0)</f>
        <v>0</v>
      </c>
      <c r="AA105" s="96">
        <f>IF(AND(N105=1,Y105=0,Z105=1,J105="Sim"),1,0)</f>
        <v>0</v>
      </c>
      <c r="AB105" s="96">
        <f>IF(AND(N105=1,O105&lt;&gt;"",D105&lt;&gt;""),IF(COUNTIFS($O$6:O105,O105,$D$6:D105,D105)=1,1,0),0)</f>
        <v>0</v>
      </c>
      <c r="AC105" s="96">
        <f>IF(T105=1,INDEX('ITENS_MTR'!$AL$6:$AL$1005,S105),0)</f>
        <v>0</v>
      </c>
    </row>
    <row r="106">
      <c r="A106" s="89" t="inlineStr">
        <is>
          <t>VIN-000101</t>
        </is>
      </c>
      <c r="B106" s="91" t="n"/>
      <c r="C106" s="91" t="n"/>
      <c r="D106" s="94" t="str">
        <f>IF(T106=1,INDEX('ITENS_MTR'!$S$6:$S$1005,S106)&amp;"","")</f>
        <v/>
      </c>
      <c r="E106" s="94" t="str">
        <f>IF(T106=1,INDEX('ITENS_MTR'!$C$6:$C$1005,S106)&amp;"","")</f>
        <v/>
      </c>
      <c r="F106" s="98" t="n"/>
      <c r="G106" s="91" t="n"/>
      <c r="H106" s="93" t="str">
        <f>IF(N106=0,"",IF(NOT(ISNUMBER(F106)),"",IF(ISNUMBER(U106),F106*U106,"UNIDADE A CONFERIR")))</f>
        <v/>
      </c>
      <c r="I106" s="94" t="str">
        <f>IF(Q106=1,INDEX('CDFs'!$F$6:$F$505,P106)&amp;"","")</f>
        <v/>
      </c>
      <c r="J106" s="91" t="n"/>
      <c r="K106" s="91" t="n"/>
      <c r="L106" s="94" t="str">
        <f>IF(N106=0,"",IF(NOT(ISNUMBER(F106)),"Quantidade não informada",IF(F106&lt;=0,"Quantidade não positiva",IF(G106="","Unidade não informada",IF(NOT(ISNUMBER(H106)),"Unidade a conferir",IF(AC106=1,"REVISAR VÍNCULO: soma vinculada maior que a referência do item","OK"))))))</f>
        <v/>
      </c>
      <c r="M106" s="94" t="str">
        <f>IF(N106=0,"",IF(B106="","CDF não informado",IF(Q106=0,"REVISAR VÍNCULO: CDF inexistente",IF(C106="","Item não informado",IF(T106=0,"REVISAR VÍNCULO: item inexistente",IF(AND(X106=1,J106&lt;&gt;"Sim"),"REVISAR VÍNCULO: destinador diferente do MTR",IF(X106=1,"Destinador diferente do MTR (analisado)","OK")))))))</f>
        <v/>
      </c>
      <c r="N106" s="96">
        <f>IF(COUNTA(B106:C106,F106:G106,J106:K106)&gt;0,1,0)</f>
        <v>0</v>
      </c>
      <c r="O106" s="96" t="str">
        <f>IF(B106="","",TRIM(LEFT(B106,FIND(" |",B106&amp;" |")-1)))</f>
        <v/>
      </c>
      <c r="P106" s="96" t="str">
        <f>IF(O106="","",IFERROR(MATCH(O106,'CDFs'!$A$6:$A$505,0),""))</f>
        <v/>
      </c>
      <c r="Q106" s="96">
        <f>IF(P106="",0,IF(INDEX('CDFs'!$S$6:$S$505,P106)=1,1,0))</f>
        <v>0</v>
      </c>
      <c r="R106" s="96" t="str">
        <f>IF(C106="","",TRIM(LEFT(C106,FIND(" |",C106&amp;" |")-1)))</f>
        <v/>
      </c>
      <c r="S106" s="96" t="str">
        <f>IF(R106="","",IFERROR(MATCH(R106,'ITENS_MTR'!$A$6:$A$1005,0),""))</f>
        <v/>
      </c>
      <c r="T106" s="96">
        <f>IF(S106="",0,IF(INDEX('ITENS_MTR'!$R$6:$R$1005,S106)=1,1,0))</f>
        <v>0</v>
      </c>
      <c r="U106" s="96" t="str">
        <f>IF(G106="","",IFERROR(IF(ISNUMBER(INDEX(cfg_fac,MATCH(G106,cfg_units,0))),IF(INDEX(cfg_fac,MATCH(G106,cfg_units,0))&gt;0,INDEX(cfg_fac,MATCH(G106,cfg_units,0)),""),""),""))</f>
        <v/>
      </c>
      <c r="V106" s="96">
        <f>IF(AND(ISNUMBER(F106),ISNUMBER(H106)),IF(H106&gt;0,1,0),0)</f>
        <v>0</v>
      </c>
      <c r="W106" s="96" t="str">
        <f>IF(T106=1,INDEX('ITENS_MTR'!$AU$6:$AU$1005,S106)&amp;"","")</f>
        <v/>
      </c>
      <c r="X106" s="96">
        <f>IF(AND(Q106=1,T106=1,I106&lt;&gt;"",W106&lt;&gt;""),IF(I106&lt;&gt;W106,1,0),0)</f>
        <v>0</v>
      </c>
      <c r="Y106" s="96">
        <f>IF(N106=0,0,IF(OR(Q106=0,T106=0,V106=0,AND(X106=1,J106&lt;&gt;"Sim")),1,0))</f>
        <v>0</v>
      </c>
      <c r="Z106" s="96">
        <f>IF(Q106=1,INDEX('CDFs'!$W$6:$W$505,P106),0)</f>
        <v>0</v>
      </c>
      <c r="AA106" s="96">
        <f>IF(AND(N106=1,Y106=0,Z106=1,J106="Sim"),1,0)</f>
        <v>0</v>
      </c>
      <c r="AB106" s="96">
        <f>IF(AND(N106=1,O106&lt;&gt;"",D106&lt;&gt;""),IF(COUNTIFS($O$6:O106,O106,$D$6:D106,D106)=1,1,0),0)</f>
        <v>0</v>
      </c>
      <c r="AC106" s="96">
        <f>IF(T106=1,INDEX('ITENS_MTR'!$AL$6:$AL$1005,S106),0)</f>
        <v>0</v>
      </c>
    </row>
    <row r="107">
      <c r="A107" s="89" t="inlineStr">
        <is>
          <t>VIN-000102</t>
        </is>
      </c>
      <c r="B107" s="91" t="n"/>
      <c r="C107" s="91" t="n"/>
      <c r="D107" s="94" t="str">
        <f>IF(T107=1,INDEX('ITENS_MTR'!$S$6:$S$1005,S107)&amp;"","")</f>
        <v/>
      </c>
      <c r="E107" s="94" t="str">
        <f>IF(T107=1,INDEX('ITENS_MTR'!$C$6:$C$1005,S107)&amp;"","")</f>
        <v/>
      </c>
      <c r="F107" s="98" t="n"/>
      <c r="G107" s="91" t="n"/>
      <c r="H107" s="93" t="str">
        <f>IF(N107=0,"",IF(NOT(ISNUMBER(F107)),"",IF(ISNUMBER(U107),F107*U107,"UNIDADE A CONFERIR")))</f>
        <v/>
      </c>
      <c r="I107" s="94" t="str">
        <f>IF(Q107=1,INDEX('CDFs'!$F$6:$F$505,P107)&amp;"","")</f>
        <v/>
      </c>
      <c r="J107" s="91" t="n"/>
      <c r="K107" s="91" t="n"/>
      <c r="L107" s="94" t="str">
        <f>IF(N107=0,"",IF(NOT(ISNUMBER(F107)),"Quantidade não informada",IF(F107&lt;=0,"Quantidade não positiva",IF(G107="","Unidade não informada",IF(NOT(ISNUMBER(H107)),"Unidade a conferir",IF(AC107=1,"REVISAR VÍNCULO: soma vinculada maior que a referência do item","OK"))))))</f>
        <v/>
      </c>
      <c r="M107" s="94" t="str">
        <f>IF(N107=0,"",IF(B107="","CDF não informado",IF(Q107=0,"REVISAR VÍNCULO: CDF inexistente",IF(C107="","Item não informado",IF(T107=0,"REVISAR VÍNCULO: item inexistente",IF(AND(X107=1,J107&lt;&gt;"Sim"),"REVISAR VÍNCULO: destinador diferente do MTR",IF(X107=1,"Destinador diferente do MTR (analisado)","OK")))))))</f>
        <v/>
      </c>
      <c r="N107" s="96">
        <f>IF(COUNTA(B107:C107,F107:G107,J107:K107)&gt;0,1,0)</f>
        <v>0</v>
      </c>
      <c r="O107" s="96" t="str">
        <f>IF(B107="","",TRIM(LEFT(B107,FIND(" |",B107&amp;" |")-1)))</f>
        <v/>
      </c>
      <c r="P107" s="96" t="str">
        <f>IF(O107="","",IFERROR(MATCH(O107,'CDFs'!$A$6:$A$505,0),""))</f>
        <v/>
      </c>
      <c r="Q107" s="96">
        <f>IF(P107="",0,IF(INDEX('CDFs'!$S$6:$S$505,P107)=1,1,0))</f>
        <v>0</v>
      </c>
      <c r="R107" s="96" t="str">
        <f>IF(C107="","",TRIM(LEFT(C107,FIND(" |",C107&amp;" |")-1)))</f>
        <v/>
      </c>
      <c r="S107" s="96" t="str">
        <f>IF(R107="","",IFERROR(MATCH(R107,'ITENS_MTR'!$A$6:$A$1005,0),""))</f>
        <v/>
      </c>
      <c r="T107" s="96">
        <f>IF(S107="",0,IF(INDEX('ITENS_MTR'!$R$6:$R$1005,S107)=1,1,0))</f>
        <v>0</v>
      </c>
      <c r="U107" s="96" t="str">
        <f>IF(G107="","",IFERROR(IF(ISNUMBER(INDEX(cfg_fac,MATCH(G107,cfg_units,0))),IF(INDEX(cfg_fac,MATCH(G107,cfg_units,0))&gt;0,INDEX(cfg_fac,MATCH(G107,cfg_units,0)),""),""),""))</f>
        <v/>
      </c>
      <c r="V107" s="96">
        <f>IF(AND(ISNUMBER(F107),ISNUMBER(H107)),IF(H107&gt;0,1,0),0)</f>
        <v>0</v>
      </c>
      <c r="W107" s="96" t="str">
        <f>IF(T107=1,INDEX('ITENS_MTR'!$AU$6:$AU$1005,S107)&amp;"","")</f>
        <v/>
      </c>
      <c r="X107" s="96">
        <f>IF(AND(Q107=1,T107=1,I107&lt;&gt;"",W107&lt;&gt;""),IF(I107&lt;&gt;W107,1,0),0)</f>
        <v>0</v>
      </c>
      <c r="Y107" s="96">
        <f>IF(N107=0,0,IF(OR(Q107=0,T107=0,V107=0,AND(X107=1,J107&lt;&gt;"Sim")),1,0))</f>
        <v>0</v>
      </c>
      <c r="Z107" s="96">
        <f>IF(Q107=1,INDEX('CDFs'!$W$6:$W$505,P107),0)</f>
        <v>0</v>
      </c>
      <c r="AA107" s="96">
        <f>IF(AND(N107=1,Y107=0,Z107=1,J107="Sim"),1,0)</f>
        <v>0</v>
      </c>
      <c r="AB107" s="96">
        <f>IF(AND(N107=1,O107&lt;&gt;"",D107&lt;&gt;""),IF(COUNTIFS($O$6:O107,O107,$D$6:D107,D107)=1,1,0),0)</f>
        <v>0</v>
      </c>
      <c r="AC107" s="96">
        <f>IF(T107=1,INDEX('ITENS_MTR'!$AL$6:$AL$1005,S107),0)</f>
        <v>0</v>
      </c>
    </row>
    <row r="108">
      <c r="A108" s="89" t="inlineStr">
        <is>
          <t>VIN-000103</t>
        </is>
      </c>
      <c r="B108" s="91" t="n"/>
      <c r="C108" s="91" t="n"/>
      <c r="D108" s="94" t="str">
        <f>IF(T108=1,INDEX('ITENS_MTR'!$S$6:$S$1005,S108)&amp;"","")</f>
        <v/>
      </c>
      <c r="E108" s="94" t="str">
        <f>IF(T108=1,INDEX('ITENS_MTR'!$C$6:$C$1005,S108)&amp;"","")</f>
        <v/>
      </c>
      <c r="F108" s="98" t="n"/>
      <c r="G108" s="91" t="n"/>
      <c r="H108" s="93" t="str">
        <f>IF(N108=0,"",IF(NOT(ISNUMBER(F108)),"",IF(ISNUMBER(U108),F108*U108,"UNIDADE A CONFERIR")))</f>
        <v/>
      </c>
      <c r="I108" s="94" t="str">
        <f>IF(Q108=1,INDEX('CDFs'!$F$6:$F$505,P108)&amp;"","")</f>
        <v/>
      </c>
      <c r="J108" s="91" t="n"/>
      <c r="K108" s="91" t="n"/>
      <c r="L108" s="94" t="str">
        <f>IF(N108=0,"",IF(NOT(ISNUMBER(F108)),"Quantidade não informada",IF(F108&lt;=0,"Quantidade não positiva",IF(G108="","Unidade não informada",IF(NOT(ISNUMBER(H108)),"Unidade a conferir",IF(AC108=1,"REVISAR VÍNCULO: soma vinculada maior que a referência do item","OK"))))))</f>
        <v/>
      </c>
      <c r="M108" s="94" t="str">
        <f>IF(N108=0,"",IF(B108="","CDF não informado",IF(Q108=0,"REVISAR VÍNCULO: CDF inexistente",IF(C108="","Item não informado",IF(T108=0,"REVISAR VÍNCULO: item inexistente",IF(AND(X108=1,J108&lt;&gt;"Sim"),"REVISAR VÍNCULO: destinador diferente do MTR",IF(X108=1,"Destinador diferente do MTR (analisado)","OK")))))))</f>
        <v/>
      </c>
      <c r="N108" s="96">
        <f>IF(COUNTA(B108:C108,F108:G108,J108:K108)&gt;0,1,0)</f>
        <v>0</v>
      </c>
      <c r="O108" s="96" t="str">
        <f>IF(B108="","",TRIM(LEFT(B108,FIND(" |",B108&amp;" |")-1)))</f>
        <v/>
      </c>
      <c r="P108" s="96" t="str">
        <f>IF(O108="","",IFERROR(MATCH(O108,'CDFs'!$A$6:$A$505,0),""))</f>
        <v/>
      </c>
      <c r="Q108" s="96">
        <f>IF(P108="",0,IF(INDEX('CDFs'!$S$6:$S$505,P108)=1,1,0))</f>
        <v>0</v>
      </c>
      <c r="R108" s="96" t="str">
        <f>IF(C108="","",TRIM(LEFT(C108,FIND(" |",C108&amp;" |")-1)))</f>
        <v/>
      </c>
      <c r="S108" s="96" t="str">
        <f>IF(R108="","",IFERROR(MATCH(R108,'ITENS_MTR'!$A$6:$A$1005,0),""))</f>
        <v/>
      </c>
      <c r="T108" s="96">
        <f>IF(S108="",0,IF(INDEX('ITENS_MTR'!$R$6:$R$1005,S108)=1,1,0))</f>
        <v>0</v>
      </c>
      <c r="U108" s="96" t="str">
        <f>IF(G108="","",IFERROR(IF(ISNUMBER(INDEX(cfg_fac,MATCH(G108,cfg_units,0))),IF(INDEX(cfg_fac,MATCH(G108,cfg_units,0))&gt;0,INDEX(cfg_fac,MATCH(G108,cfg_units,0)),""),""),""))</f>
        <v/>
      </c>
      <c r="V108" s="96">
        <f>IF(AND(ISNUMBER(F108),ISNUMBER(H108)),IF(H108&gt;0,1,0),0)</f>
        <v>0</v>
      </c>
      <c r="W108" s="96" t="str">
        <f>IF(T108=1,INDEX('ITENS_MTR'!$AU$6:$AU$1005,S108)&amp;"","")</f>
        <v/>
      </c>
      <c r="X108" s="96">
        <f>IF(AND(Q108=1,T108=1,I108&lt;&gt;"",W108&lt;&gt;""),IF(I108&lt;&gt;W108,1,0),0)</f>
        <v>0</v>
      </c>
      <c r="Y108" s="96">
        <f>IF(N108=0,0,IF(OR(Q108=0,T108=0,V108=0,AND(X108=1,J108&lt;&gt;"Sim")),1,0))</f>
        <v>0</v>
      </c>
      <c r="Z108" s="96">
        <f>IF(Q108=1,INDEX('CDFs'!$W$6:$W$505,P108),0)</f>
        <v>0</v>
      </c>
      <c r="AA108" s="96">
        <f>IF(AND(N108=1,Y108=0,Z108=1,J108="Sim"),1,0)</f>
        <v>0</v>
      </c>
      <c r="AB108" s="96">
        <f>IF(AND(N108=1,O108&lt;&gt;"",D108&lt;&gt;""),IF(COUNTIFS($O$6:O108,O108,$D$6:D108,D108)=1,1,0),0)</f>
        <v>0</v>
      </c>
      <c r="AC108" s="96">
        <f>IF(T108=1,INDEX('ITENS_MTR'!$AL$6:$AL$1005,S108),0)</f>
        <v>0</v>
      </c>
    </row>
    <row r="109">
      <c r="A109" s="89" t="inlineStr">
        <is>
          <t>VIN-000104</t>
        </is>
      </c>
      <c r="B109" s="91" t="n"/>
      <c r="C109" s="91" t="n"/>
      <c r="D109" s="94" t="str">
        <f>IF(T109=1,INDEX('ITENS_MTR'!$S$6:$S$1005,S109)&amp;"","")</f>
        <v/>
      </c>
      <c r="E109" s="94" t="str">
        <f>IF(T109=1,INDEX('ITENS_MTR'!$C$6:$C$1005,S109)&amp;"","")</f>
        <v/>
      </c>
      <c r="F109" s="98" t="n"/>
      <c r="G109" s="91" t="n"/>
      <c r="H109" s="93" t="str">
        <f>IF(N109=0,"",IF(NOT(ISNUMBER(F109)),"",IF(ISNUMBER(U109),F109*U109,"UNIDADE A CONFERIR")))</f>
        <v/>
      </c>
      <c r="I109" s="94" t="str">
        <f>IF(Q109=1,INDEX('CDFs'!$F$6:$F$505,P109)&amp;"","")</f>
        <v/>
      </c>
      <c r="J109" s="91" t="n"/>
      <c r="K109" s="91" t="n"/>
      <c r="L109" s="94" t="str">
        <f>IF(N109=0,"",IF(NOT(ISNUMBER(F109)),"Quantidade não informada",IF(F109&lt;=0,"Quantidade não positiva",IF(G109="","Unidade não informada",IF(NOT(ISNUMBER(H109)),"Unidade a conferir",IF(AC109=1,"REVISAR VÍNCULO: soma vinculada maior que a referência do item","OK"))))))</f>
        <v/>
      </c>
      <c r="M109" s="94" t="str">
        <f>IF(N109=0,"",IF(B109="","CDF não informado",IF(Q109=0,"REVISAR VÍNCULO: CDF inexistente",IF(C109="","Item não informado",IF(T109=0,"REVISAR VÍNCULO: item inexistente",IF(AND(X109=1,J109&lt;&gt;"Sim"),"REVISAR VÍNCULO: destinador diferente do MTR",IF(X109=1,"Destinador diferente do MTR (analisado)","OK")))))))</f>
        <v/>
      </c>
      <c r="N109" s="96">
        <f>IF(COUNTA(B109:C109,F109:G109,J109:K109)&gt;0,1,0)</f>
        <v>0</v>
      </c>
      <c r="O109" s="96" t="str">
        <f>IF(B109="","",TRIM(LEFT(B109,FIND(" |",B109&amp;" |")-1)))</f>
        <v/>
      </c>
      <c r="P109" s="96" t="str">
        <f>IF(O109="","",IFERROR(MATCH(O109,'CDFs'!$A$6:$A$505,0),""))</f>
        <v/>
      </c>
      <c r="Q109" s="96">
        <f>IF(P109="",0,IF(INDEX('CDFs'!$S$6:$S$505,P109)=1,1,0))</f>
        <v>0</v>
      </c>
      <c r="R109" s="96" t="str">
        <f>IF(C109="","",TRIM(LEFT(C109,FIND(" |",C109&amp;" |")-1)))</f>
        <v/>
      </c>
      <c r="S109" s="96" t="str">
        <f>IF(R109="","",IFERROR(MATCH(R109,'ITENS_MTR'!$A$6:$A$1005,0),""))</f>
        <v/>
      </c>
      <c r="T109" s="96">
        <f>IF(S109="",0,IF(INDEX('ITENS_MTR'!$R$6:$R$1005,S109)=1,1,0))</f>
        <v>0</v>
      </c>
      <c r="U109" s="96" t="str">
        <f>IF(G109="","",IFERROR(IF(ISNUMBER(INDEX(cfg_fac,MATCH(G109,cfg_units,0))),IF(INDEX(cfg_fac,MATCH(G109,cfg_units,0))&gt;0,INDEX(cfg_fac,MATCH(G109,cfg_units,0)),""),""),""))</f>
        <v/>
      </c>
      <c r="V109" s="96">
        <f>IF(AND(ISNUMBER(F109),ISNUMBER(H109)),IF(H109&gt;0,1,0),0)</f>
        <v>0</v>
      </c>
      <c r="W109" s="96" t="str">
        <f>IF(T109=1,INDEX('ITENS_MTR'!$AU$6:$AU$1005,S109)&amp;"","")</f>
        <v/>
      </c>
      <c r="X109" s="96">
        <f>IF(AND(Q109=1,T109=1,I109&lt;&gt;"",W109&lt;&gt;""),IF(I109&lt;&gt;W109,1,0),0)</f>
        <v>0</v>
      </c>
      <c r="Y109" s="96">
        <f>IF(N109=0,0,IF(OR(Q109=0,T109=0,V109=0,AND(X109=1,J109&lt;&gt;"Sim")),1,0))</f>
        <v>0</v>
      </c>
      <c r="Z109" s="96">
        <f>IF(Q109=1,INDEX('CDFs'!$W$6:$W$505,P109),0)</f>
        <v>0</v>
      </c>
      <c r="AA109" s="96">
        <f>IF(AND(N109=1,Y109=0,Z109=1,J109="Sim"),1,0)</f>
        <v>0</v>
      </c>
      <c r="AB109" s="96">
        <f>IF(AND(N109=1,O109&lt;&gt;"",D109&lt;&gt;""),IF(COUNTIFS($O$6:O109,O109,$D$6:D109,D109)=1,1,0),0)</f>
        <v>0</v>
      </c>
      <c r="AC109" s="96">
        <f>IF(T109=1,INDEX('ITENS_MTR'!$AL$6:$AL$1005,S109),0)</f>
        <v>0</v>
      </c>
    </row>
    <row r="110">
      <c r="A110" s="89" t="inlineStr">
        <is>
          <t>VIN-000105</t>
        </is>
      </c>
      <c r="B110" s="91" t="n"/>
      <c r="C110" s="91" t="n"/>
      <c r="D110" s="94" t="str">
        <f>IF(T110=1,INDEX('ITENS_MTR'!$S$6:$S$1005,S110)&amp;"","")</f>
        <v/>
      </c>
      <c r="E110" s="94" t="str">
        <f>IF(T110=1,INDEX('ITENS_MTR'!$C$6:$C$1005,S110)&amp;"","")</f>
        <v/>
      </c>
      <c r="F110" s="98" t="n"/>
      <c r="G110" s="91" t="n"/>
      <c r="H110" s="93" t="str">
        <f>IF(N110=0,"",IF(NOT(ISNUMBER(F110)),"",IF(ISNUMBER(U110),F110*U110,"UNIDADE A CONFERIR")))</f>
        <v/>
      </c>
      <c r="I110" s="94" t="str">
        <f>IF(Q110=1,INDEX('CDFs'!$F$6:$F$505,P110)&amp;"","")</f>
        <v/>
      </c>
      <c r="J110" s="91" t="n"/>
      <c r="K110" s="91" t="n"/>
      <c r="L110" s="94" t="str">
        <f>IF(N110=0,"",IF(NOT(ISNUMBER(F110)),"Quantidade não informada",IF(F110&lt;=0,"Quantidade não positiva",IF(G110="","Unidade não informada",IF(NOT(ISNUMBER(H110)),"Unidade a conferir",IF(AC110=1,"REVISAR VÍNCULO: soma vinculada maior que a referência do item","OK"))))))</f>
        <v/>
      </c>
      <c r="M110" s="94" t="str">
        <f>IF(N110=0,"",IF(B110="","CDF não informado",IF(Q110=0,"REVISAR VÍNCULO: CDF inexistente",IF(C110="","Item não informado",IF(T110=0,"REVISAR VÍNCULO: item inexistente",IF(AND(X110=1,J110&lt;&gt;"Sim"),"REVISAR VÍNCULO: destinador diferente do MTR",IF(X110=1,"Destinador diferente do MTR (analisado)","OK")))))))</f>
        <v/>
      </c>
      <c r="N110" s="96">
        <f>IF(COUNTA(B110:C110,F110:G110,J110:K110)&gt;0,1,0)</f>
        <v>0</v>
      </c>
      <c r="O110" s="96" t="str">
        <f>IF(B110="","",TRIM(LEFT(B110,FIND(" |",B110&amp;" |")-1)))</f>
        <v/>
      </c>
      <c r="P110" s="96" t="str">
        <f>IF(O110="","",IFERROR(MATCH(O110,'CDFs'!$A$6:$A$505,0),""))</f>
        <v/>
      </c>
      <c r="Q110" s="96">
        <f>IF(P110="",0,IF(INDEX('CDFs'!$S$6:$S$505,P110)=1,1,0))</f>
        <v>0</v>
      </c>
      <c r="R110" s="96" t="str">
        <f>IF(C110="","",TRIM(LEFT(C110,FIND(" |",C110&amp;" |")-1)))</f>
        <v/>
      </c>
      <c r="S110" s="96" t="str">
        <f>IF(R110="","",IFERROR(MATCH(R110,'ITENS_MTR'!$A$6:$A$1005,0),""))</f>
        <v/>
      </c>
      <c r="T110" s="96">
        <f>IF(S110="",0,IF(INDEX('ITENS_MTR'!$R$6:$R$1005,S110)=1,1,0))</f>
        <v>0</v>
      </c>
      <c r="U110" s="96" t="str">
        <f>IF(G110="","",IFERROR(IF(ISNUMBER(INDEX(cfg_fac,MATCH(G110,cfg_units,0))),IF(INDEX(cfg_fac,MATCH(G110,cfg_units,0))&gt;0,INDEX(cfg_fac,MATCH(G110,cfg_units,0)),""),""),""))</f>
        <v/>
      </c>
      <c r="V110" s="96">
        <f>IF(AND(ISNUMBER(F110),ISNUMBER(H110)),IF(H110&gt;0,1,0),0)</f>
        <v>0</v>
      </c>
      <c r="W110" s="96" t="str">
        <f>IF(T110=1,INDEX('ITENS_MTR'!$AU$6:$AU$1005,S110)&amp;"","")</f>
        <v/>
      </c>
      <c r="X110" s="96">
        <f>IF(AND(Q110=1,T110=1,I110&lt;&gt;"",W110&lt;&gt;""),IF(I110&lt;&gt;W110,1,0),0)</f>
        <v>0</v>
      </c>
      <c r="Y110" s="96">
        <f>IF(N110=0,0,IF(OR(Q110=0,T110=0,V110=0,AND(X110=1,J110&lt;&gt;"Sim")),1,0))</f>
        <v>0</v>
      </c>
      <c r="Z110" s="96">
        <f>IF(Q110=1,INDEX('CDFs'!$W$6:$W$505,P110),0)</f>
        <v>0</v>
      </c>
      <c r="AA110" s="96">
        <f>IF(AND(N110=1,Y110=0,Z110=1,J110="Sim"),1,0)</f>
        <v>0</v>
      </c>
      <c r="AB110" s="96">
        <f>IF(AND(N110=1,O110&lt;&gt;"",D110&lt;&gt;""),IF(COUNTIFS($O$6:O110,O110,$D$6:D110,D110)=1,1,0),0)</f>
        <v>0</v>
      </c>
      <c r="AC110" s="96">
        <f>IF(T110=1,INDEX('ITENS_MTR'!$AL$6:$AL$1005,S110),0)</f>
        <v>0</v>
      </c>
    </row>
    <row r="111">
      <c r="A111" s="89" t="inlineStr">
        <is>
          <t>VIN-000106</t>
        </is>
      </c>
      <c r="B111" s="91" t="n"/>
      <c r="C111" s="91" t="n"/>
      <c r="D111" s="94" t="str">
        <f>IF(T111=1,INDEX('ITENS_MTR'!$S$6:$S$1005,S111)&amp;"","")</f>
        <v/>
      </c>
      <c r="E111" s="94" t="str">
        <f>IF(T111=1,INDEX('ITENS_MTR'!$C$6:$C$1005,S111)&amp;"","")</f>
        <v/>
      </c>
      <c r="F111" s="98" t="n"/>
      <c r="G111" s="91" t="n"/>
      <c r="H111" s="93" t="str">
        <f>IF(N111=0,"",IF(NOT(ISNUMBER(F111)),"",IF(ISNUMBER(U111),F111*U111,"UNIDADE A CONFERIR")))</f>
        <v/>
      </c>
      <c r="I111" s="94" t="str">
        <f>IF(Q111=1,INDEX('CDFs'!$F$6:$F$505,P111)&amp;"","")</f>
        <v/>
      </c>
      <c r="J111" s="91" t="n"/>
      <c r="K111" s="91" t="n"/>
      <c r="L111" s="94" t="str">
        <f>IF(N111=0,"",IF(NOT(ISNUMBER(F111)),"Quantidade não informada",IF(F111&lt;=0,"Quantidade não positiva",IF(G111="","Unidade não informada",IF(NOT(ISNUMBER(H111)),"Unidade a conferir",IF(AC111=1,"REVISAR VÍNCULO: soma vinculada maior que a referência do item","OK"))))))</f>
        <v/>
      </c>
      <c r="M111" s="94" t="str">
        <f>IF(N111=0,"",IF(B111="","CDF não informado",IF(Q111=0,"REVISAR VÍNCULO: CDF inexistente",IF(C111="","Item não informado",IF(T111=0,"REVISAR VÍNCULO: item inexistente",IF(AND(X111=1,J111&lt;&gt;"Sim"),"REVISAR VÍNCULO: destinador diferente do MTR",IF(X111=1,"Destinador diferente do MTR (analisado)","OK")))))))</f>
        <v/>
      </c>
      <c r="N111" s="96">
        <f>IF(COUNTA(B111:C111,F111:G111,J111:K111)&gt;0,1,0)</f>
        <v>0</v>
      </c>
      <c r="O111" s="96" t="str">
        <f>IF(B111="","",TRIM(LEFT(B111,FIND(" |",B111&amp;" |")-1)))</f>
        <v/>
      </c>
      <c r="P111" s="96" t="str">
        <f>IF(O111="","",IFERROR(MATCH(O111,'CDFs'!$A$6:$A$505,0),""))</f>
        <v/>
      </c>
      <c r="Q111" s="96">
        <f>IF(P111="",0,IF(INDEX('CDFs'!$S$6:$S$505,P111)=1,1,0))</f>
        <v>0</v>
      </c>
      <c r="R111" s="96" t="str">
        <f>IF(C111="","",TRIM(LEFT(C111,FIND(" |",C111&amp;" |")-1)))</f>
        <v/>
      </c>
      <c r="S111" s="96" t="str">
        <f>IF(R111="","",IFERROR(MATCH(R111,'ITENS_MTR'!$A$6:$A$1005,0),""))</f>
        <v/>
      </c>
      <c r="T111" s="96">
        <f>IF(S111="",0,IF(INDEX('ITENS_MTR'!$R$6:$R$1005,S111)=1,1,0))</f>
        <v>0</v>
      </c>
      <c r="U111" s="96" t="str">
        <f>IF(G111="","",IFERROR(IF(ISNUMBER(INDEX(cfg_fac,MATCH(G111,cfg_units,0))),IF(INDEX(cfg_fac,MATCH(G111,cfg_units,0))&gt;0,INDEX(cfg_fac,MATCH(G111,cfg_units,0)),""),""),""))</f>
        <v/>
      </c>
      <c r="V111" s="96">
        <f>IF(AND(ISNUMBER(F111),ISNUMBER(H111)),IF(H111&gt;0,1,0),0)</f>
        <v>0</v>
      </c>
      <c r="W111" s="96" t="str">
        <f>IF(T111=1,INDEX('ITENS_MTR'!$AU$6:$AU$1005,S111)&amp;"","")</f>
        <v/>
      </c>
      <c r="X111" s="96">
        <f>IF(AND(Q111=1,T111=1,I111&lt;&gt;"",W111&lt;&gt;""),IF(I111&lt;&gt;W111,1,0),0)</f>
        <v>0</v>
      </c>
      <c r="Y111" s="96">
        <f>IF(N111=0,0,IF(OR(Q111=0,T111=0,V111=0,AND(X111=1,J111&lt;&gt;"Sim")),1,0))</f>
        <v>0</v>
      </c>
      <c r="Z111" s="96">
        <f>IF(Q111=1,INDEX('CDFs'!$W$6:$W$505,P111),0)</f>
        <v>0</v>
      </c>
      <c r="AA111" s="96">
        <f>IF(AND(N111=1,Y111=0,Z111=1,J111="Sim"),1,0)</f>
        <v>0</v>
      </c>
      <c r="AB111" s="96">
        <f>IF(AND(N111=1,O111&lt;&gt;"",D111&lt;&gt;""),IF(COUNTIFS($O$6:O111,O111,$D$6:D111,D111)=1,1,0),0)</f>
        <v>0</v>
      </c>
      <c r="AC111" s="96">
        <f>IF(T111=1,INDEX('ITENS_MTR'!$AL$6:$AL$1005,S111),0)</f>
        <v>0</v>
      </c>
    </row>
    <row r="112">
      <c r="A112" s="89" t="inlineStr">
        <is>
          <t>VIN-000107</t>
        </is>
      </c>
      <c r="B112" s="91" t="n"/>
      <c r="C112" s="91" t="n"/>
      <c r="D112" s="94" t="str">
        <f>IF(T112=1,INDEX('ITENS_MTR'!$S$6:$S$1005,S112)&amp;"","")</f>
        <v/>
      </c>
      <c r="E112" s="94" t="str">
        <f>IF(T112=1,INDEX('ITENS_MTR'!$C$6:$C$1005,S112)&amp;"","")</f>
        <v/>
      </c>
      <c r="F112" s="98" t="n"/>
      <c r="G112" s="91" t="n"/>
      <c r="H112" s="93" t="str">
        <f>IF(N112=0,"",IF(NOT(ISNUMBER(F112)),"",IF(ISNUMBER(U112),F112*U112,"UNIDADE A CONFERIR")))</f>
        <v/>
      </c>
      <c r="I112" s="94" t="str">
        <f>IF(Q112=1,INDEX('CDFs'!$F$6:$F$505,P112)&amp;"","")</f>
        <v/>
      </c>
      <c r="J112" s="91" t="n"/>
      <c r="K112" s="91" t="n"/>
      <c r="L112" s="94" t="str">
        <f>IF(N112=0,"",IF(NOT(ISNUMBER(F112)),"Quantidade não informada",IF(F112&lt;=0,"Quantidade não positiva",IF(G112="","Unidade não informada",IF(NOT(ISNUMBER(H112)),"Unidade a conferir",IF(AC112=1,"REVISAR VÍNCULO: soma vinculada maior que a referência do item","OK"))))))</f>
        <v/>
      </c>
      <c r="M112" s="94" t="str">
        <f>IF(N112=0,"",IF(B112="","CDF não informado",IF(Q112=0,"REVISAR VÍNCULO: CDF inexistente",IF(C112="","Item não informado",IF(T112=0,"REVISAR VÍNCULO: item inexistente",IF(AND(X112=1,J112&lt;&gt;"Sim"),"REVISAR VÍNCULO: destinador diferente do MTR",IF(X112=1,"Destinador diferente do MTR (analisado)","OK")))))))</f>
        <v/>
      </c>
      <c r="N112" s="96">
        <f>IF(COUNTA(B112:C112,F112:G112,J112:K112)&gt;0,1,0)</f>
        <v>0</v>
      </c>
      <c r="O112" s="96" t="str">
        <f>IF(B112="","",TRIM(LEFT(B112,FIND(" |",B112&amp;" |")-1)))</f>
        <v/>
      </c>
      <c r="P112" s="96" t="str">
        <f>IF(O112="","",IFERROR(MATCH(O112,'CDFs'!$A$6:$A$505,0),""))</f>
        <v/>
      </c>
      <c r="Q112" s="96">
        <f>IF(P112="",0,IF(INDEX('CDFs'!$S$6:$S$505,P112)=1,1,0))</f>
        <v>0</v>
      </c>
      <c r="R112" s="96" t="str">
        <f>IF(C112="","",TRIM(LEFT(C112,FIND(" |",C112&amp;" |")-1)))</f>
        <v/>
      </c>
      <c r="S112" s="96" t="str">
        <f>IF(R112="","",IFERROR(MATCH(R112,'ITENS_MTR'!$A$6:$A$1005,0),""))</f>
        <v/>
      </c>
      <c r="T112" s="96">
        <f>IF(S112="",0,IF(INDEX('ITENS_MTR'!$R$6:$R$1005,S112)=1,1,0))</f>
        <v>0</v>
      </c>
      <c r="U112" s="96" t="str">
        <f>IF(G112="","",IFERROR(IF(ISNUMBER(INDEX(cfg_fac,MATCH(G112,cfg_units,0))),IF(INDEX(cfg_fac,MATCH(G112,cfg_units,0))&gt;0,INDEX(cfg_fac,MATCH(G112,cfg_units,0)),""),""),""))</f>
        <v/>
      </c>
      <c r="V112" s="96">
        <f>IF(AND(ISNUMBER(F112),ISNUMBER(H112)),IF(H112&gt;0,1,0),0)</f>
        <v>0</v>
      </c>
      <c r="W112" s="96" t="str">
        <f>IF(T112=1,INDEX('ITENS_MTR'!$AU$6:$AU$1005,S112)&amp;"","")</f>
        <v/>
      </c>
      <c r="X112" s="96">
        <f>IF(AND(Q112=1,T112=1,I112&lt;&gt;"",W112&lt;&gt;""),IF(I112&lt;&gt;W112,1,0),0)</f>
        <v>0</v>
      </c>
      <c r="Y112" s="96">
        <f>IF(N112=0,0,IF(OR(Q112=0,T112=0,V112=0,AND(X112=1,J112&lt;&gt;"Sim")),1,0))</f>
        <v>0</v>
      </c>
      <c r="Z112" s="96">
        <f>IF(Q112=1,INDEX('CDFs'!$W$6:$W$505,P112),0)</f>
        <v>0</v>
      </c>
      <c r="AA112" s="96">
        <f>IF(AND(N112=1,Y112=0,Z112=1,J112="Sim"),1,0)</f>
        <v>0</v>
      </c>
      <c r="AB112" s="96">
        <f>IF(AND(N112=1,O112&lt;&gt;"",D112&lt;&gt;""),IF(COUNTIFS($O$6:O112,O112,$D$6:D112,D112)=1,1,0),0)</f>
        <v>0</v>
      </c>
      <c r="AC112" s="96">
        <f>IF(T112=1,INDEX('ITENS_MTR'!$AL$6:$AL$1005,S112),0)</f>
        <v>0</v>
      </c>
    </row>
    <row r="113">
      <c r="A113" s="89" t="inlineStr">
        <is>
          <t>VIN-000108</t>
        </is>
      </c>
      <c r="B113" s="91" t="n"/>
      <c r="C113" s="91" t="n"/>
      <c r="D113" s="94" t="str">
        <f>IF(T113=1,INDEX('ITENS_MTR'!$S$6:$S$1005,S113)&amp;"","")</f>
        <v/>
      </c>
      <c r="E113" s="94" t="str">
        <f>IF(T113=1,INDEX('ITENS_MTR'!$C$6:$C$1005,S113)&amp;"","")</f>
        <v/>
      </c>
      <c r="F113" s="98" t="n"/>
      <c r="G113" s="91" t="n"/>
      <c r="H113" s="93" t="str">
        <f>IF(N113=0,"",IF(NOT(ISNUMBER(F113)),"",IF(ISNUMBER(U113),F113*U113,"UNIDADE A CONFERIR")))</f>
        <v/>
      </c>
      <c r="I113" s="94" t="str">
        <f>IF(Q113=1,INDEX('CDFs'!$F$6:$F$505,P113)&amp;"","")</f>
        <v/>
      </c>
      <c r="J113" s="91" t="n"/>
      <c r="K113" s="91" t="n"/>
      <c r="L113" s="94" t="str">
        <f>IF(N113=0,"",IF(NOT(ISNUMBER(F113)),"Quantidade não informada",IF(F113&lt;=0,"Quantidade não positiva",IF(G113="","Unidade não informada",IF(NOT(ISNUMBER(H113)),"Unidade a conferir",IF(AC113=1,"REVISAR VÍNCULO: soma vinculada maior que a referência do item","OK"))))))</f>
        <v/>
      </c>
      <c r="M113" s="94" t="str">
        <f>IF(N113=0,"",IF(B113="","CDF não informado",IF(Q113=0,"REVISAR VÍNCULO: CDF inexistente",IF(C113="","Item não informado",IF(T113=0,"REVISAR VÍNCULO: item inexistente",IF(AND(X113=1,J113&lt;&gt;"Sim"),"REVISAR VÍNCULO: destinador diferente do MTR",IF(X113=1,"Destinador diferente do MTR (analisado)","OK")))))))</f>
        <v/>
      </c>
      <c r="N113" s="96">
        <f>IF(COUNTA(B113:C113,F113:G113,J113:K113)&gt;0,1,0)</f>
        <v>0</v>
      </c>
      <c r="O113" s="96" t="str">
        <f>IF(B113="","",TRIM(LEFT(B113,FIND(" |",B113&amp;" |")-1)))</f>
        <v/>
      </c>
      <c r="P113" s="96" t="str">
        <f>IF(O113="","",IFERROR(MATCH(O113,'CDFs'!$A$6:$A$505,0),""))</f>
        <v/>
      </c>
      <c r="Q113" s="96">
        <f>IF(P113="",0,IF(INDEX('CDFs'!$S$6:$S$505,P113)=1,1,0))</f>
        <v>0</v>
      </c>
      <c r="R113" s="96" t="str">
        <f>IF(C113="","",TRIM(LEFT(C113,FIND(" |",C113&amp;" |")-1)))</f>
        <v/>
      </c>
      <c r="S113" s="96" t="str">
        <f>IF(R113="","",IFERROR(MATCH(R113,'ITENS_MTR'!$A$6:$A$1005,0),""))</f>
        <v/>
      </c>
      <c r="T113" s="96">
        <f>IF(S113="",0,IF(INDEX('ITENS_MTR'!$R$6:$R$1005,S113)=1,1,0))</f>
        <v>0</v>
      </c>
      <c r="U113" s="96" t="str">
        <f>IF(G113="","",IFERROR(IF(ISNUMBER(INDEX(cfg_fac,MATCH(G113,cfg_units,0))),IF(INDEX(cfg_fac,MATCH(G113,cfg_units,0))&gt;0,INDEX(cfg_fac,MATCH(G113,cfg_units,0)),""),""),""))</f>
        <v/>
      </c>
      <c r="V113" s="96">
        <f>IF(AND(ISNUMBER(F113),ISNUMBER(H113)),IF(H113&gt;0,1,0),0)</f>
        <v>0</v>
      </c>
      <c r="W113" s="96" t="str">
        <f>IF(T113=1,INDEX('ITENS_MTR'!$AU$6:$AU$1005,S113)&amp;"","")</f>
        <v/>
      </c>
      <c r="X113" s="96">
        <f>IF(AND(Q113=1,T113=1,I113&lt;&gt;"",W113&lt;&gt;""),IF(I113&lt;&gt;W113,1,0),0)</f>
        <v>0</v>
      </c>
      <c r="Y113" s="96">
        <f>IF(N113=0,0,IF(OR(Q113=0,T113=0,V113=0,AND(X113=1,J113&lt;&gt;"Sim")),1,0))</f>
        <v>0</v>
      </c>
      <c r="Z113" s="96">
        <f>IF(Q113=1,INDEX('CDFs'!$W$6:$W$505,P113),0)</f>
        <v>0</v>
      </c>
      <c r="AA113" s="96">
        <f>IF(AND(N113=1,Y113=0,Z113=1,J113="Sim"),1,0)</f>
        <v>0</v>
      </c>
      <c r="AB113" s="96">
        <f>IF(AND(N113=1,O113&lt;&gt;"",D113&lt;&gt;""),IF(COUNTIFS($O$6:O113,O113,$D$6:D113,D113)=1,1,0),0)</f>
        <v>0</v>
      </c>
      <c r="AC113" s="96">
        <f>IF(T113=1,INDEX('ITENS_MTR'!$AL$6:$AL$1005,S113),0)</f>
        <v>0</v>
      </c>
    </row>
    <row r="114">
      <c r="A114" s="89" t="inlineStr">
        <is>
          <t>VIN-000109</t>
        </is>
      </c>
      <c r="B114" s="91" t="n"/>
      <c r="C114" s="91" t="n"/>
      <c r="D114" s="94" t="str">
        <f>IF(T114=1,INDEX('ITENS_MTR'!$S$6:$S$1005,S114)&amp;"","")</f>
        <v/>
      </c>
      <c r="E114" s="94" t="str">
        <f>IF(T114=1,INDEX('ITENS_MTR'!$C$6:$C$1005,S114)&amp;"","")</f>
        <v/>
      </c>
      <c r="F114" s="98" t="n"/>
      <c r="G114" s="91" t="n"/>
      <c r="H114" s="93" t="str">
        <f>IF(N114=0,"",IF(NOT(ISNUMBER(F114)),"",IF(ISNUMBER(U114),F114*U114,"UNIDADE A CONFERIR")))</f>
        <v/>
      </c>
      <c r="I114" s="94" t="str">
        <f>IF(Q114=1,INDEX('CDFs'!$F$6:$F$505,P114)&amp;"","")</f>
        <v/>
      </c>
      <c r="J114" s="91" t="n"/>
      <c r="K114" s="91" t="n"/>
      <c r="L114" s="94" t="str">
        <f>IF(N114=0,"",IF(NOT(ISNUMBER(F114)),"Quantidade não informada",IF(F114&lt;=0,"Quantidade não positiva",IF(G114="","Unidade não informada",IF(NOT(ISNUMBER(H114)),"Unidade a conferir",IF(AC114=1,"REVISAR VÍNCULO: soma vinculada maior que a referência do item","OK"))))))</f>
        <v/>
      </c>
      <c r="M114" s="94" t="str">
        <f>IF(N114=0,"",IF(B114="","CDF não informado",IF(Q114=0,"REVISAR VÍNCULO: CDF inexistente",IF(C114="","Item não informado",IF(T114=0,"REVISAR VÍNCULO: item inexistente",IF(AND(X114=1,J114&lt;&gt;"Sim"),"REVISAR VÍNCULO: destinador diferente do MTR",IF(X114=1,"Destinador diferente do MTR (analisado)","OK")))))))</f>
        <v/>
      </c>
      <c r="N114" s="96">
        <f>IF(COUNTA(B114:C114,F114:G114,J114:K114)&gt;0,1,0)</f>
        <v>0</v>
      </c>
      <c r="O114" s="96" t="str">
        <f>IF(B114="","",TRIM(LEFT(B114,FIND(" |",B114&amp;" |")-1)))</f>
        <v/>
      </c>
      <c r="P114" s="96" t="str">
        <f>IF(O114="","",IFERROR(MATCH(O114,'CDFs'!$A$6:$A$505,0),""))</f>
        <v/>
      </c>
      <c r="Q114" s="96">
        <f>IF(P114="",0,IF(INDEX('CDFs'!$S$6:$S$505,P114)=1,1,0))</f>
        <v>0</v>
      </c>
      <c r="R114" s="96" t="str">
        <f>IF(C114="","",TRIM(LEFT(C114,FIND(" |",C114&amp;" |")-1)))</f>
        <v/>
      </c>
      <c r="S114" s="96" t="str">
        <f>IF(R114="","",IFERROR(MATCH(R114,'ITENS_MTR'!$A$6:$A$1005,0),""))</f>
        <v/>
      </c>
      <c r="T114" s="96">
        <f>IF(S114="",0,IF(INDEX('ITENS_MTR'!$R$6:$R$1005,S114)=1,1,0))</f>
        <v>0</v>
      </c>
      <c r="U114" s="96" t="str">
        <f>IF(G114="","",IFERROR(IF(ISNUMBER(INDEX(cfg_fac,MATCH(G114,cfg_units,0))),IF(INDEX(cfg_fac,MATCH(G114,cfg_units,0))&gt;0,INDEX(cfg_fac,MATCH(G114,cfg_units,0)),""),""),""))</f>
        <v/>
      </c>
      <c r="V114" s="96">
        <f>IF(AND(ISNUMBER(F114),ISNUMBER(H114)),IF(H114&gt;0,1,0),0)</f>
        <v>0</v>
      </c>
      <c r="W114" s="96" t="str">
        <f>IF(T114=1,INDEX('ITENS_MTR'!$AU$6:$AU$1005,S114)&amp;"","")</f>
        <v/>
      </c>
      <c r="X114" s="96">
        <f>IF(AND(Q114=1,T114=1,I114&lt;&gt;"",W114&lt;&gt;""),IF(I114&lt;&gt;W114,1,0),0)</f>
        <v>0</v>
      </c>
      <c r="Y114" s="96">
        <f>IF(N114=0,0,IF(OR(Q114=0,T114=0,V114=0,AND(X114=1,J114&lt;&gt;"Sim")),1,0))</f>
        <v>0</v>
      </c>
      <c r="Z114" s="96">
        <f>IF(Q114=1,INDEX('CDFs'!$W$6:$W$505,P114),0)</f>
        <v>0</v>
      </c>
      <c r="AA114" s="96">
        <f>IF(AND(N114=1,Y114=0,Z114=1,J114="Sim"),1,0)</f>
        <v>0</v>
      </c>
      <c r="AB114" s="96">
        <f>IF(AND(N114=1,O114&lt;&gt;"",D114&lt;&gt;""),IF(COUNTIFS($O$6:O114,O114,$D$6:D114,D114)=1,1,0),0)</f>
        <v>0</v>
      </c>
      <c r="AC114" s="96">
        <f>IF(T114=1,INDEX('ITENS_MTR'!$AL$6:$AL$1005,S114),0)</f>
        <v>0</v>
      </c>
    </row>
    <row r="115">
      <c r="A115" s="89" t="inlineStr">
        <is>
          <t>VIN-000110</t>
        </is>
      </c>
      <c r="B115" s="91" t="n"/>
      <c r="C115" s="91" t="n"/>
      <c r="D115" s="94" t="str">
        <f>IF(T115=1,INDEX('ITENS_MTR'!$S$6:$S$1005,S115)&amp;"","")</f>
        <v/>
      </c>
      <c r="E115" s="94" t="str">
        <f>IF(T115=1,INDEX('ITENS_MTR'!$C$6:$C$1005,S115)&amp;"","")</f>
        <v/>
      </c>
      <c r="F115" s="98" t="n"/>
      <c r="G115" s="91" t="n"/>
      <c r="H115" s="93" t="str">
        <f>IF(N115=0,"",IF(NOT(ISNUMBER(F115)),"",IF(ISNUMBER(U115),F115*U115,"UNIDADE A CONFERIR")))</f>
        <v/>
      </c>
      <c r="I115" s="94" t="str">
        <f>IF(Q115=1,INDEX('CDFs'!$F$6:$F$505,P115)&amp;"","")</f>
        <v/>
      </c>
      <c r="J115" s="91" t="n"/>
      <c r="K115" s="91" t="n"/>
      <c r="L115" s="94" t="str">
        <f>IF(N115=0,"",IF(NOT(ISNUMBER(F115)),"Quantidade não informada",IF(F115&lt;=0,"Quantidade não positiva",IF(G115="","Unidade não informada",IF(NOT(ISNUMBER(H115)),"Unidade a conferir",IF(AC115=1,"REVISAR VÍNCULO: soma vinculada maior que a referência do item","OK"))))))</f>
        <v/>
      </c>
      <c r="M115" s="94" t="str">
        <f>IF(N115=0,"",IF(B115="","CDF não informado",IF(Q115=0,"REVISAR VÍNCULO: CDF inexistente",IF(C115="","Item não informado",IF(T115=0,"REVISAR VÍNCULO: item inexistente",IF(AND(X115=1,J115&lt;&gt;"Sim"),"REVISAR VÍNCULO: destinador diferente do MTR",IF(X115=1,"Destinador diferente do MTR (analisado)","OK")))))))</f>
        <v/>
      </c>
      <c r="N115" s="96">
        <f>IF(COUNTA(B115:C115,F115:G115,J115:K115)&gt;0,1,0)</f>
        <v>0</v>
      </c>
      <c r="O115" s="96" t="str">
        <f>IF(B115="","",TRIM(LEFT(B115,FIND(" |",B115&amp;" |")-1)))</f>
        <v/>
      </c>
      <c r="P115" s="96" t="str">
        <f>IF(O115="","",IFERROR(MATCH(O115,'CDFs'!$A$6:$A$505,0),""))</f>
        <v/>
      </c>
      <c r="Q115" s="96">
        <f>IF(P115="",0,IF(INDEX('CDFs'!$S$6:$S$505,P115)=1,1,0))</f>
        <v>0</v>
      </c>
      <c r="R115" s="96" t="str">
        <f>IF(C115="","",TRIM(LEFT(C115,FIND(" |",C115&amp;" |")-1)))</f>
        <v/>
      </c>
      <c r="S115" s="96" t="str">
        <f>IF(R115="","",IFERROR(MATCH(R115,'ITENS_MTR'!$A$6:$A$1005,0),""))</f>
        <v/>
      </c>
      <c r="T115" s="96">
        <f>IF(S115="",0,IF(INDEX('ITENS_MTR'!$R$6:$R$1005,S115)=1,1,0))</f>
        <v>0</v>
      </c>
      <c r="U115" s="96" t="str">
        <f>IF(G115="","",IFERROR(IF(ISNUMBER(INDEX(cfg_fac,MATCH(G115,cfg_units,0))),IF(INDEX(cfg_fac,MATCH(G115,cfg_units,0))&gt;0,INDEX(cfg_fac,MATCH(G115,cfg_units,0)),""),""),""))</f>
        <v/>
      </c>
      <c r="V115" s="96">
        <f>IF(AND(ISNUMBER(F115),ISNUMBER(H115)),IF(H115&gt;0,1,0),0)</f>
        <v>0</v>
      </c>
      <c r="W115" s="96" t="str">
        <f>IF(T115=1,INDEX('ITENS_MTR'!$AU$6:$AU$1005,S115)&amp;"","")</f>
        <v/>
      </c>
      <c r="X115" s="96">
        <f>IF(AND(Q115=1,T115=1,I115&lt;&gt;"",W115&lt;&gt;""),IF(I115&lt;&gt;W115,1,0),0)</f>
        <v>0</v>
      </c>
      <c r="Y115" s="96">
        <f>IF(N115=0,0,IF(OR(Q115=0,T115=0,V115=0,AND(X115=1,J115&lt;&gt;"Sim")),1,0))</f>
        <v>0</v>
      </c>
      <c r="Z115" s="96">
        <f>IF(Q115=1,INDEX('CDFs'!$W$6:$W$505,P115),0)</f>
        <v>0</v>
      </c>
      <c r="AA115" s="96">
        <f>IF(AND(N115=1,Y115=0,Z115=1,J115="Sim"),1,0)</f>
        <v>0</v>
      </c>
      <c r="AB115" s="96">
        <f>IF(AND(N115=1,O115&lt;&gt;"",D115&lt;&gt;""),IF(COUNTIFS($O$6:O115,O115,$D$6:D115,D115)=1,1,0),0)</f>
        <v>0</v>
      </c>
      <c r="AC115" s="96">
        <f>IF(T115=1,INDEX('ITENS_MTR'!$AL$6:$AL$1005,S115),0)</f>
        <v>0</v>
      </c>
    </row>
    <row r="116">
      <c r="A116" s="89" t="inlineStr">
        <is>
          <t>VIN-000111</t>
        </is>
      </c>
      <c r="B116" s="91" t="n"/>
      <c r="C116" s="91" t="n"/>
      <c r="D116" s="94" t="str">
        <f>IF(T116=1,INDEX('ITENS_MTR'!$S$6:$S$1005,S116)&amp;"","")</f>
        <v/>
      </c>
      <c r="E116" s="94" t="str">
        <f>IF(T116=1,INDEX('ITENS_MTR'!$C$6:$C$1005,S116)&amp;"","")</f>
        <v/>
      </c>
      <c r="F116" s="98" t="n"/>
      <c r="G116" s="91" t="n"/>
      <c r="H116" s="93" t="str">
        <f>IF(N116=0,"",IF(NOT(ISNUMBER(F116)),"",IF(ISNUMBER(U116),F116*U116,"UNIDADE A CONFERIR")))</f>
        <v/>
      </c>
      <c r="I116" s="94" t="str">
        <f>IF(Q116=1,INDEX('CDFs'!$F$6:$F$505,P116)&amp;"","")</f>
        <v/>
      </c>
      <c r="J116" s="91" t="n"/>
      <c r="K116" s="91" t="n"/>
      <c r="L116" s="94" t="str">
        <f>IF(N116=0,"",IF(NOT(ISNUMBER(F116)),"Quantidade não informada",IF(F116&lt;=0,"Quantidade não positiva",IF(G116="","Unidade não informada",IF(NOT(ISNUMBER(H116)),"Unidade a conferir",IF(AC116=1,"REVISAR VÍNCULO: soma vinculada maior que a referência do item","OK"))))))</f>
        <v/>
      </c>
      <c r="M116" s="94" t="str">
        <f>IF(N116=0,"",IF(B116="","CDF não informado",IF(Q116=0,"REVISAR VÍNCULO: CDF inexistente",IF(C116="","Item não informado",IF(T116=0,"REVISAR VÍNCULO: item inexistente",IF(AND(X116=1,J116&lt;&gt;"Sim"),"REVISAR VÍNCULO: destinador diferente do MTR",IF(X116=1,"Destinador diferente do MTR (analisado)","OK")))))))</f>
        <v/>
      </c>
      <c r="N116" s="96">
        <f>IF(COUNTA(B116:C116,F116:G116,J116:K116)&gt;0,1,0)</f>
        <v>0</v>
      </c>
      <c r="O116" s="96" t="str">
        <f>IF(B116="","",TRIM(LEFT(B116,FIND(" |",B116&amp;" |")-1)))</f>
        <v/>
      </c>
      <c r="P116" s="96" t="str">
        <f>IF(O116="","",IFERROR(MATCH(O116,'CDFs'!$A$6:$A$505,0),""))</f>
        <v/>
      </c>
      <c r="Q116" s="96">
        <f>IF(P116="",0,IF(INDEX('CDFs'!$S$6:$S$505,P116)=1,1,0))</f>
        <v>0</v>
      </c>
      <c r="R116" s="96" t="str">
        <f>IF(C116="","",TRIM(LEFT(C116,FIND(" |",C116&amp;" |")-1)))</f>
        <v/>
      </c>
      <c r="S116" s="96" t="str">
        <f>IF(R116="","",IFERROR(MATCH(R116,'ITENS_MTR'!$A$6:$A$1005,0),""))</f>
        <v/>
      </c>
      <c r="T116" s="96">
        <f>IF(S116="",0,IF(INDEX('ITENS_MTR'!$R$6:$R$1005,S116)=1,1,0))</f>
        <v>0</v>
      </c>
      <c r="U116" s="96" t="str">
        <f>IF(G116="","",IFERROR(IF(ISNUMBER(INDEX(cfg_fac,MATCH(G116,cfg_units,0))),IF(INDEX(cfg_fac,MATCH(G116,cfg_units,0))&gt;0,INDEX(cfg_fac,MATCH(G116,cfg_units,0)),""),""),""))</f>
        <v/>
      </c>
      <c r="V116" s="96">
        <f>IF(AND(ISNUMBER(F116),ISNUMBER(H116)),IF(H116&gt;0,1,0),0)</f>
        <v>0</v>
      </c>
      <c r="W116" s="96" t="str">
        <f>IF(T116=1,INDEX('ITENS_MTR'!$AU$6:$AU$1005,S116)&amp;"","")</f>
        <v/>
      </c>
      <c r="X116" s="96">
        <f>IF(AND(Q116=1,T116=1,I116&lt;&gt;"",W116&lt;&gt;""),IF(I116&lt;&gt;W116,1,0),0)</f>
        <v>0</v>
      </c>
      <c r="Y116" s="96">
        <f>IF(N116=0,0,IF(OR(Q116=0,T116=0,V116=0,AND(X116=1,J116&lt;&gt;"Sim")),1,0))</f>
        <v>0</v>
      </c>
      <c r="Z116" s="96">
        <f>IF(Q116=1,INDEX('CDFs'!$W$6:$W$505,P116),0)</f>
        <v>0</v>
      </c>
      <c r="AA116" s="96">
        <f>IF(AND(N116=1,Y116=0,Z116=1,J116="Sim"),1,0)</f>
        <v>0</v>
      </c>
      <c r="AB116" s="96">
        <f>IF(AND(N116=1,O116&lt;&gt;"",D116&lt;&gt;""),IF(COUNTIFS($O$6:O116,O116,$D$6:D116,D116)=1,1,0),0)</f>
        <v>0</v>
      </c>
      <c r="AC116" s="96">
        <f>IF(T116=1,INDEX('ITENS_MTR'!$AL$6:$AL$1005,S116),0)</f>
        <v>0</v>
      </c>
    </row>
    <row r="117">
      <c r="A117" s="89" t="inlineStr">
        <is>
          <t>VIN-000112</t>
        </is>
      </c>
      <c r="B117" s="91" t="n"/>
      <c r="C117" s="91" t="n"/>
      <c r="D117" s="94" t="str">
        <f>IF(T117=1,INDEX('ITENS_MTR'!$S$6:$S$1005,S117)&amp;"","")</f>
        <v/>
      </c>
      <c r="E117" s="94" t="str">
        <f>IF(T117=1,INDEX('ITENS_MTR'!$C$6:$C$1005,S117)&amp;"","")</f>
        <v/>
      </c>
      <c r="F117" s="98" t="n"/>
      <c r="G117" s="91" t="n"/>
      <c r="H117" s="93" t="str">
        <f>IF(N117=0,"",IF(NOT(ISNUMBER(F117)),"",IF(ISNUMBER(U117),F117*U117,"UNIDADE A CONFERIR")))</f>
        <v/>
      </c>
      <c r="I117" s="94" t="str">
        <f>IF(Q117=1,INDEX('CDFs'!$F$6:$F$505,P117)&amp;"","")</f>
        <v/>
      </c>
      <c r="J117" s="91" t="n"/>
      <c r="K117" s="91" t="n"/>
      <c r="L117" s="94" t="str">
        <f>IF(N117=0,"",IF(NOT(ISNUMBER(F117)),"Quantidade não informada",IF(F117&lt;=0,"Quantidade não positiva",IF(G117="","Unidade não informada",IF(NOT(ISNUMBER(H117)),"Unidade a conferir",IF(AC117=1,"REVISAR VÍNCULO: soma vinculada maior que a referência do item","OK"))))))</f>
        <v/>
      </c>
      <c r="M117" s="94" t="str">
        <f>IF(N117=0,"",IF(B117="","CDF não informado",IF(Q117=0,"REVISAR VÍNCULO: CDF inexistente",IF(C117="","Item não informado",IF(T117=0,"REVISAR VÍNCULO: item inexistente",IF(AND(X117=1,J117&lt;&gt;"Sim"),"REVISAR VÍNCULO: destinador diferente do MTR",IF(X117=1,"Destinador diferente do MTR (analisado)","OK")))))))</f>
        <v/>
      </c>
      <c r="N117" s="96">
        <f>IF(COUNTA(B117:C117,F117:G117,J117:K117)&gt;0,1,0)</f>
        <v>0</v>
      </c>
      <c r="O117" s="96" t="str">
        <f>IF(B117="","",TRIM(LEFT(B117,FIND(" |",B117&amp;" |")-1)))</f>
        <v/>
      </c>
      <c r="P117" s="96" t="str">
        <f>IF(O117="","",IFERROR(MATCH(O117,'CDFs'!$A$6:$A$505,0),""))</f>
        <v/>
      </c>
      <c r="Q117" s="96">
        <f>IF(P117="",0,IF(INDEX('CDFs'!$S$6:$S$505,P117)=1,1,0))</f>
        <v>0</v>
      </c>
      <c r="R117" s="96" t="str">
        <f>IF(C117="","",TRIM(LEFT(C117,FIND(" |",C117&amp;" |")-1)))</f>
        <v/>
      </c>
      <c r="S117" s="96" t="str">
        <f>IF(R117="","",IFERROR(MATCH(R117,'ITENS_MTR'!$A$6:$A$1005,0),""))</f>
        <v/>
      </c>
      <c r="T117" s="96">
        <f>IF(S117="",0,IF(INDEX('ITENS_MTR'!$R$6:$R$1005,S117)=1,1,0))</f>
        <v>0</v>
      </c>
      <c r="U117" s="96" t="str">
        <f>IF(G117="","",IFERROR(IF(ISNUMBER(INDEX(cfg_fac,MATCH(G117,cfg_units,0))),IF(INDEX(cfg_fac,MATCH(G117,cfg_units,0))&gt;0,INDEX(cfg_fac,MATCH(G117,cfg_units,0)),""),""),""))</f>
        <v/>
      </c>
      <c r="V117" s="96">
        <f>IF(AND(ISNUMBER(F117),ISNUMBER(H117)),IF(H117&gt;0,1,0),0)</f>
        <v>0</v>
      </c>
      <c r="W117" s="96" t="str">
        <f>IF(T117=1,INDEX('ITENS_MTR'!$AU$6:$AU$1005,S117)&amp;"","")</f>
        <v/>
      </c>
      <c r="X117" s="96">
        <f>IF(AND(Q117=1,T117=1,I117&lt;&gt;"",W117&lt;&gt;""),IF(I117&lt;&gt;W117,1,0),0)</f>
        <v>0</v>
      </c>
      <c r="Y117" s="96">
        <f>IF(N117=0,0,IF(OR(Q117=0,T117=0,V117=0,AND(X117=1,J117&lt;&gt;"Sim")),1,0))</f>
        <v>0</v>
      </c>
      <c r="Z117" s="96">
        <f>IF(Q117=1,INDEX('CDFs'!$W$6:$W$505,P117),0)</f>
        <v>0</v>
      </c>
      <c r="AA117" s="96">
        <f>IF(AND(N117=1,Y117=0,Z117=1,J117="Sim"),1,0)</f>
        <v>0</v>
      </c>
      <c r="AB117" s="96">
        <f>IF(AND(N117=1,O117&lt;&gt;"",D117&lt;&gt;""),IF(COUNTIFS($O$6:O117,O117,$D$6:D117,D117)=1,1,0),0)</f>
        <v>0</v>
      </c>
      <c r="AC117" s="96">
        <f>IF(T117=1,INDEX('ITENS_MTR'!$AL$6:$AL$1005,S117),0)</f>
        <v>0</v>
      </c>
    </row>
    <row r="118">
      <c r="A118" s="89" t="inlineStr">
        <is>
          <t>VIN-000113</t>
        </is>
      </c>
      <c r="B118" s="91" t="n"/>
      <c r="C118" s="91" t="n"/>
      <c r="D118" s="94" t="str">
        <f>IF(T118=1,INDEX('ITENS_MTR'!$S$6:$S$1005,S118)&amp;"","")</f>
        <v/>
      </c>
      <c r="E118" s="94" t="str">
        <f>IF(T118=1,INDEX('ITENS_MTR'!$C$6:$C$1005,S118)&amp;"","")</f>
        <v/>
      </c>
      <c r="F118" s="98" t="n"/>
      <c r="G118" s="91" t="n"/>
      <c r="H118" s="93" t="str">
        <f>IF(N118=0,"",IF(NOT(ISNUMBER(F118)),"",IF(ISNUMBER(U118),F118*U118,"UNIDADE A CONFERIR")))</f>
        <v/>
      </c>
      <c r="I118" s="94" t="str">
        <f>IF(Q118=1,INDEX('CDFs'!$F$6:$F$505,P118)&amp;"","")</f>
        <v/>
      </c>
      <c r="J118" s="91" t="n"/>
      <c r="K118" s="91" t="n"/>
      <c r="L118" s="94" t="str">
        <f>IF(N118=0,"",IF(NOT(ISNUMBER(F118)),"Quantidade não informada",IF(F118&lt;=0,"Quantidade não positiva",IF(G118="","Unidade não informada",IF(NOT(ISNUMBER(H118)),"Unidade a conferir",IF(AC118=1,"REVISAR VÍNCULO: soma vinculada maior que a referência do item","OK"))))))</f>
        <v/>
      </c>
      <c r="M118" s="94" t="str">
        <f>IF(N118=0,"",IF(B118="","CDF não informado",IF(Q118=0,"REVISAR VÍNCULO: CDF inexistente",IF(C118="","Item não informado",IF(T118=0,"REVISAR VÍNCULO: item inexistente",IF(AND(X118=1,J118&lt;&gt;"Sim"),"REVISAR VÍNCULO: destinador diferente do MTR",IF(X118=1,"Destinador diferente do MTR (analisado)","OK")))))))</f>
        <v/>
      </c>
      <c r="N118" s="96">
        <f>IF(COUNTA(B118:C118,F118:G118,J118:K118)&gt;0,1,0)</f>
        <v>0</v>
      </c>
      <c r="O118" s="96" t="str">
        <f>IF(B118="","",TRIM(LEFT(B118,FIND(" |",B118&amp;" |")-1)))</f>
        <v/>
      </c>
      <c r="P118" s="96" t="str">
        <f>IF(O118="","",IFERROR(MATCH(O118,'CDFs'!$A$6:$A$505,0),""))</f>
        <v/>
      </c>
      <c r="Q118" s="96">
        <f>IF(P118="",0,IF(INDEX('CDFs'!$S$6:$S$505,P118)=1,1,0))</f>
        <v>0</v>
      </c>
      <c r="R118" s="96" t="str">
        <f>IF(C118="","",TRIM(LEFT(C118,FIND(" |",C118&amp;" |")-1)))</f>
        <v/>
      </c>
      <c r="S118" s="96" t="str">
        <f>IF(R118="","",IFERROR(MATCH(R118,'ITENS_MTR'!$A$6:$A$1005,0),""))</f>
        <v/>
      </c>
      <c r="T118" s="96">
        <f>IF(S118="",0,IF(INDEX('ITENS_MTR'!$R$6:$R$1005,S118)=1,1,0))</f>
        <v>0</v>
      </c>
      <c r="U118" s="96" t="str">
        <f>IF(G118="","",IFERROR(IF(ISNUMBER(INDEX(cfg_fac,MATCH(G118,cfg_units,0))),IF(INDEX(cfg_fac,MATCH(G118,cfg_units,0))&gt;0,INDEX(cfg_fac,MATCH(G118,cfg_units,0)),""),""),""))</f>
        <v/>
      </c>
      <c r="V118" s="96">
        <f>IF(AND(ISNUMBER(F118),ISNUMBER(H118)),IF(H118&gt;0,1,0),0)</f>
        <v>0</v>
      </c>
      <c r="W118" s="96" t="str">
        <f>IF(T118=1,INDEX('ITENS_MTR'!$AU$6:$AU$1005,S118)&amp;"","")</f>
        <v/>
      </c>
      <c r="X118" s="96">
        <f>IF(AND(Q118=1,T118=1,I118&lt;&gt;"",W118&lt;&gt;""),IF(I118&lt;&gt;W118,1,0),0)</f>
        <v>0</v>
      </c>
      <c r="Y118" s="96">
        <f>IF(N118=0,0,IF(OR(Q118=0,T118=0,V118=0,AND(X118=1,J118&lt;&gt;"Sim")),1,0))</f>
        <v>0</v>
      </c>
      <c r="Z118" s="96">
        <f>IF(Q118=1,INDEX('CDFs'!$W$6:$W$505,P118),0)</f>
        <v>0</v>
      </c>
      <c r="AA118" s="96">
        <f>IF(AND(N118=1,Y118=0,Z118=1,J118="Sim"),1,0)</f>
        <v>0</v>
      </c>
      <c r="AB118" s="96">
        <f>IF(AND(N118=1,O118&lt;&gt;"",D118&lt;&gt;""),IF(COUNTIFS($O$6:O118,O118,$D$6:D118,D118)=1,1,0),0)</f>
        <v>0</v>
      </c>
      <c r="AC118" s="96">
        <f>IF(T118=1,INDEX('ITENS_MTR'!$AL$6:$AL$1005,S118),0)</f>
        <v>0</v>
      </c>
    </row>
    <row r="119">
      <c r="A119" s="89" t="inlineStr">
        <is>
          <t>VIN-000114</t>
        </is>
      </c>
      <c r="B119" s="91" t="n"/>
      <c r="C119" s="91" t="n"/>
      <c r="D119" s="94" t="str">
        <f>IF(T119=1,INDEX('ITENS_MTR'!$S$6:$S$1005,S119)&amp;"","")</f>
        <v/>
      </c>
      <c r="E119" s="94" t="str">
        <f>IF(T119=1,INDEX('ITENS_MTR'!$C$6:$C$1005,S119)&amp;"","")</f>
        <v/>
      </c>
      <c r="F119" s="98" t="n"/>
      <c r="G119" s="91" t="n"/>
      <c r="H119" s="93" t="str">
        <f>IF(N119=0,"",IF(NOT(ISNUMBER(F119)),"",IF(ISNUMBER(U119),F119*U119,"UNIDADE A CONFERIR")))</f>
        <v/>
      </c>
      <c r="I119" s="94" t="str">
        <f>IF(Q119=1,INDEX('CDFs'!$F$6:$F$505,P119)&amp;"","")</f>
        <v/>
      </c>
      <c r="J119" s="91" t="n"/>
      <c r="K119" s="91" t="n"/>
      <c r="L119" s="94" t="str">
        <f>IF(N119=0,"",IF(NOT(ISNUMBER(F119)),"Quantidade não informada",IF(F119&lt;=0,"Quantidade não positiva",IF(G119="","Unidade não informada",IF(NOT(ISNUMBER(H119)),"Unidade a conferir",IF(AC119=1,"REVISAR VÍNCULO: soma vinculada maior que a referência do item","OK"))))))</f>
        <v/>
      </c>
      <c r="M119" s="94" t="str">
        <f>IF(N119=0,"",IF(B119="","CDF não informado",IF(Q119=0,"REVISAR VÍNCULO: CDF inexistente",IF(C119="","Item não informado",IF(T119=0,"REVISAR VÍNCULO: item inexistente",IF(AND(X119=1,J119&lt;&gt;"Sim"),"REVISAR VÍNCULO: destinador diferente do MTR",IF(X119=1,"Destinador diferente do MTR (analisado)","OK")))))))</f>
        <v/>
      </c>
      <c r="N119" s="96">
        <f>IF(COUNTA(B119:C119,F119:G119,J119:K119)&gt;0,1,0)</f>
        <v>0</v>
      </c>
      <c r="O119" s="96" t="str">
        <f>IF(B119="","",TRIM(LEFT(B119,FIND(" |",B119&amp;" |")-1)))</f>
        <v/>
      </c>
      <c r="P119" s="96" t="str">
        <f>IF(O119="","",IFERROR(MATCH(O119,'CDFs'!$A$6:$A$505,0),""))</f>
        <v/>
      </c>
      <c r="Q119" s="96">
        <f>IF(P119="",0,IF(INDEX('CDFs'!$S$6:$S$505,P119)=1,1,0))</f>
        <v>0</v>
      </c>
      <c r="R119" s="96" t="str">
        <f>IF(C119="","",TRIM(LEFT(C119,FIND(" |",C119&amp;" |")-1)))</f>
        <v/>
      </c>
      <c r="S119" s="96" t="str">
        <f>IF(R119="","",IFERROR(MATCH(R119,'ITENS_MTR'!$A$6:$A$1005,0),""))</f>
        <v/>
      </c>
      <c r="T119" s="96">
        <f>IF(S119="",0,IF(INDEX('ITENS_MTR'!$R$6:$R$1005,S119)=1,1,0))</f>
        <v>0</v>
      </c>
      <c r="U119" s="96" t="str">
        <f>IF(G119="","",IFERROR(IF(ISNUMBER(INDEX(cfg_fac,MATCH(G119,cfg_units,0))),IF(INDEX(cfg_fac,MATCH(G119,cfg_units,0))&gt;0,INDEX(cfg_fac,MATCH(G119,cfg_units,0)),""),""),""))</f>
        <v/>
      </c>
      <c r="V119" s="96">
        <f>IF(AND(ISNUMBER(F119),ISNUMBER(H119)),IF(H119&gt;0,1,0),0)</f>
        <v>0</v>
      </c>
      <c r="W119" s="96" t="str">
        <f>IF(T119=1,INDEX('ITENS_MTR'!$AU$6:$AU$1005,S119)&amp;"","")</f>
        <v/>
      </c>
      <c r="X119" s="96">
        <f>IF(AND(Q119=1,T119=1,I119&lt;&gt;"",W119&lt;&gt;""),IF(I119&lt;&gt;W119,1,0),0)</f>
        <v>0</v>
      </c>
      <c r="Y119" s="96">
        <f>IF(N119=0,0,IF(OR(Q119=0,T119=0,V119=0,AND(X119=1,J119&lt;&gt;"Sim")),1,0))</f>
        <v>0</v>
      </c>
      <c r="Z119" s="96">
        <f>IF(Q119=1,INDEX('CDFs'!$W$6:$W$505,P119),0)</f>
        <v>0</v>
      </c>
      <c r="AA119" s="96">
        <f>IF(AND(N119=1,Y119=0,Z119=1,J119="Sim"),1,0)</f>
        <v>0</v>
      </c>
      <c r="AB119" s="96">
        <f>IF(AND(N119=1,O119&lt;&gt;"",D119&lt;&gt;""),IF(COUNTIFS($O$6:O119,O119,$D$6:D119,D119)=1,1,0),0)</f>
        <v>0</v>
      </c>
      <c r="AC119" s="96">
        <f>IF(T119=1,INDEX('ITENS_MTR'!$AL$6:$AL$1005,S119),0)</f>
        <v>0</v>
      </c>
    </row>
    <row r="120">
      <c r="A120" s="89" t="inlineStr">
        <is>
          <t>VIN-000115</t>
        </is>
      </c>
      <c r="B120" s="91" t="n"/>
      <c r="C120" s="91" t="n"/>
      <c r="D120" s="94" t="str">
        <f>IF(T120=1,INDEX('ITENS_MTR'!$S$6:$S$1005,S120)&amp;"","")</f>
        <v/>
      </c>
      <c r="E120" s="94" t="str">
        <f>IF(T120=1,INDEX('ITENS_MTR'!$C$6:$C$1005,S120)&amp;"","")</f>
        <v/>
      </c>
      <c r="F120" s="98" t="n"/>
      <c r="G120" s="91" t="n"/>
      <c r="H120" s="93" t="str">
        <f>IF(N120=0,"",IF(NOT(ISNUMBER(F120)),"",IF(ISNUMBER(U120),F120*U120,"UNIDADE A CONFERIR")))</f>
        <v/>
      </c>
      <c r="I120" s="94" t="str">
        <f>IF(Q120=1,INDEX('CDFs'!$F$6:$F$505,P120)&amp;"","")</f>
        <v/>
      </c>
      <c r="J120" s="91" t="n"/>
      <c r="K120" s="91" t="n"/>
      <c r="L120" s="94" t="str">
        <f>IF(N120=0,"",IF(NOT(ISNUMBER(F120)),"Quantidade não informada",IF(F120&lt;=0,"Quantidade não positiva",IF(G120="","Unidade não informada",IF(NOT(ISNUMBER(H120)),"Unidade a conferir",IF(AC120=1,"REVISAR VÍNCULO: soma vinculada maior que a referência do item","OK"))))))</f>
        <v/>
      </c>
      <c r="M120" s="94" t="str">
        <f>IF(N120=0,"",IF(B120="","CDF não informado",IF(Q120=0,"REVISAR VÍNCULO: CDF inexistente",IF(C120="","Item não informado",IF(T120=0,"REVISAR VÍNCULO: item inexistente",IF(AND(X120=1,J120&lt;&gt;"Sim"),"REVISAR VÍNCULO: destinador diferente do MTR",IF(X120=1,"Destinador diferente do MTR (analisado)","OK")))))))</f>
        <v/>
      </c>
      <c r="N120" s="96">
        <f>IF(COUNTA(B120:C120,F120:G120,J120:K120)&gt;0,1,0)</f>
        <v>0</v>
      </c>
      <c r="O120" s="96" t="str">
        <f>IF(B120="","",TRIM(LEFT(B120,FIND(" |",B120&amp;" |")-1)))</f>
        <v/>
      </c>
      <c r="P120" s="96" t="str">
        <f>IF(O120="","",IFERROR(MATCH(O120,'CDFs'!$A$6:$A$505,0),""))</f>
        <v/>
      </c>
      <c r="Q120" s="96">
        <f>IF(P120="",0,IF(INDEX('CDFs'!$S$6:$S$505,P120)=1,1,0))</f>
        <v>0</v>
      </c>
      <c r="R120" s="96" t="str">
        <f>IF(C120="","",TRIM(LEFT(C120,FIND(" |",C120&amp;" |")-1)))</f>
        <v/>
      </c>
      <c r="S120" s="96" t="str">
        <f>IF(R120="","",IFERROR(MATCH(R120,'ITENS_MTR'!$A$6:$A$1005,0),""))</f>
        <v/>
      </c>
      <c r="T120" s="96">
        <f>IF(S120="",0,IF(INDEX('ITENS_MTR'!$R$6:$R$1005,S120)=1,1,0))</f>
        <v>0</v>
      </c>
      <c r="U120" s="96" t="str">
        <f>IF(G120="","",IFERROR(IF(ISNUMBER(INDEX(cfg_fac,MATCH(G120,cfg_units,0))),IF(INDEX(cfg_fac,MATCH(G120,cfg_units,0))&gt;0,INDEX(cfg_fac,MATCH(G120,cfg_units,0)),""),""),""))</f>
        <v/>
      </c>
      <c r="V120" s="96">
        <f>IF(AND(ISNUMBER(F120),ISNUMBER(H120)),IF(H120&gt;0,1,0),0)</f>
        <v>0</v>
      </c>
      <c r="W120" s="96" t="str">
        <f>IF(T120=1,INDEX('ITENS_MTR'!$AU$6:$AU$1005,S120)&amp;"","")</f>
        <v/>
      </c>
      <c r="X120" s="96">
        <f>IF(AND(Q120=1,T120=1,I120&lt;&gt;"",W120&lt;&gt;""),IF(I120&lt;&gt;W120,1,0),0)</f>
        <v>0</v>
      </c>
      <c r="Y120" s="96">
        <f>IF(N120=0,0,IF(OR(Q120=0,T120=0,V120=0,AND(X120=1,J120&lt;&gt;"Sim")),1,0))</f>
        <v>0</v>
      </c>
      <c r="Z120" s="96">
        <f>IF(Q120=1,INDEX('CDFs'!$W$6:$W$505,P120),0)</f>
        <v>0</v>
      </c>
      <c r="AA120" s="96">
        <f>IF(AND(N120=1,Y120=0,Z120=1,J120="Sim"),1,0)</f>
        <v>0</v>
      </c>
      <c r="AB120" s="96">
        <f>IF(AND(N120=1,O120&lt;&gt;"",D120&lt;&gt;""),IF(COUNTIFS($O$6:O120,O120,$D$6:D120,D120)=1,1,0),0)</f>
        <v>0</v>
      </c>
      <c r="AC120" s="96">
        <f>IF(T120=1,INDEX('ITENS_MTR'!$AL$6:$AL$1005,S120),0)</f>
        <v>0</v>
      </c>
    </row>
    <row r="121">
      <c r="A121" s="89" t="inlineStr">
        <is>
          <t>VIN-000116</t>
        </is>
      </c>
      <c r="B121" s="91" t="n"/>
      <c r="C121" s="91" t="n"/>
      <c r="D121" s="94" t="str">
        <f>IF(T121=1,INDEX('ITENS_MTR'!$S$6:$S$1005,S121)&amp;"","")</f>
        <v/>
      </c>
      <c r="E121" s="94" t="str">
        <f>IF(T121=1,INDEX('ITENS_MTR'!$C$6:$C$1005,S121)&amp;"","")</f>
        <v/>
      </c>
      <c r="F121" s="98" t="n"/>
      <c r="G121" s="91" t="n"/>
      <c r="H121" s="93" t="str">
        <f>IF(N121=0,"",IF(NOT(ISNUMBER(F121)),"",IF(ISNUMBER(U121),F121*U121,"UNIDADE A CONFERIR")))</f>
        <v/>
      </c>
      <c r="I121" s="94" t="str">
        <f>IF(Q121=1,INDEX('CDFs'!$F$6:$F$505,P121)&amp;"","")</f>
        <v/>
      </c>
      <c r="J121" s="91" t="n"/>
      <c r="K121" s="91" t="n"/>
      <c r="L121" s="94" t="str">
        <f>IF(N121=0,"",IF(NOT(ISNUMBER(F121)),"Quantidade não informada",IF(F121&lt;=0,"Quantidade não positiva",IF(G121="","Unidade não informada",IF(NOT(ISNUMBER(H121)),"Unidade a conferir",IF(AC121=1,"REVISAR VÍNCULO: soma vinculada maior que a referência do item","OK"))))))</f>
        <v/>
      </c>
      <c r="M121" s="94" t="str">
        <f>IF(N121=0,"",IF(B121="","CDF não informado",IF(Q121=0,"REVISAR VÍNCULO: CDF inexistente",IF(C121="","Item não informado",IF(T121=0,"REVISAR VÍNCULO: item inexistente",IF(AND(X121=1,J121&lt;&gt;"Sim"),"REVISAR VÍNCULO: destinador diferente do MTR",IF(X121=1,"Destinador diferente do MTR (analisado)","OK")))))))</f>
        <v/>
      </c>
      <c r="N121" s="96">
        <f>IF(COUNTA(B121:C121,F121:G121,J121:K121)&gt;0,1,0)</f>
        <v>0</v>
      </c>
      <c r="O121" s="96" t="str">
        <f>IF(B121="","",TRIM(LEFT(B121,FIND(" |",B121&amp;" |")-1)))</f>
        <v/>
      </c>
      <c r="P121" s="96" t="str">
        <f>IF(O121="","",IFERROR(MATCH(O121,'CDFs'!$A$6:$A$505,0),""))</f>
        <v/>
      </c>
      <c r="Q121" s="96">
        <f>IF(P121="",0,IF(INDEX('CDFs'!$S$6:$S$505,P121)=1,1,0))</f>
        <v>0</v>
      </c>
      <c r="R121" s="96" t="str">
        <f>IF(C121="","",TRIM(LEFT(C121,FIND(" |",C121&amp;" |")-1)))</f>
        <v/>
      </c>
      <c r="S121" s="96" t="str">
        <f>IF(R121="","",IFERROR(MATCH(R121,'ITENS_MTR'!$A$6:$A$1005,0),""))</f>
        <v/>
      </c>
      <c r="T121" s="96">
        <f>IF(S121="",0,IF(INDEX('ITENS_MTR'!$R$6:$R$1005,S121)=1,1,0))</f>
        <v>0</v>
      </c>
      <c r="U121" s="96" t="str">
        <f>IF(G121="","",IFERROR(IF(ISNUMBER(INDEX(cfg_fac,MATCH(G121,cfg_units,0))),IF(INDEX(cfg_fac,MATCH(G121,cfg_units,0))&gt;0,INDEX(cfg_fac,MATCH(G121,cfg_units,0)),""),""),""))</f>
        <v/>
      </c>
      <c r="V121" s="96">
        <f>IF(AND(ISNUMBER(F121),ISNUMBER(H121)),IF(H121&gt;0,1,0),0)</f>
        <v>0</v>
      </c>
      <c r="W121" s="96" t="str">
        <f>IF(T121=1,INDEX('ITENS_MTR'!$AU$6:$AU$1005,S121)&amp;"","")</f>
        <v/>
      </c>
      <c r="X121" s="96">
        <f>IF(AND(Q121=1,T121=1,I121&lt;&gt;"",W121&lt;&gt;""),IF(I121&lt;&gt;W121,1,0),0)</f>
        <v>0</v>
      </c>
      <c r="Y121" s="96">
        <f>IF(N121=0,0,IF(OR(Q121=0,T121=0,V121=0,AND(X121=1,J121&lt;&gt;"Sim")),1,0))</f>
        <v>0</v>
      </c>
      <c r="Z121" s="96">
        <f>IF(Q121=1,INDEX('CDFs'!$W$6:$W$505,P121),0)</f>
        <v>0</v>
      </c>
      <c r="AA121" s="96">
        <f>IF(AND(N121=1,Y121=0,Z121=1,J121="Sim"),1,0)</f>
        <v>0</v>
      </c>
      <c r="AB121" s="96">
        <f>IF(AND(N121=1,O121&lt;&gt;"",D121&lt;&gt;""),IF(COUNTIFS($O$6:O121,O121,$D$6:D121,D121)=1,1,0),0)</f>
        <v>0</v>
      </c>
      <c r="AC121" s="96">
        <f>IF(T121=1,INDEX('ITENS_MTR'!$AL$6:$AL$1005,S121),0)</f>
        <v>0</v>
      </c>
    </row>
    <row r="122">
      <c r="A122" s="89" t="inlineStr">
        <is>
          <t>VIN-000117</t>
        </is>
      </c>
      <c r="B122" s="91" t="n"/>
      <c r="C122" s="91" t="n"/>
      <c r="D122" s="94" t="str">
        <f>IF(T122=1,INDEX('ITENS_MTR'!$S$6:$S$1005,S122)&amp;"","")</f>
        <v/>
      </c>
      <c r="E122" s="94" t="str">
        <f>IF(T122=1,INDEX('ITENS_MTR'!$C$6:$C$1005,S122)&amp;"","")</f>
        <v/>
      </c>
      <c r="F122" s="98" t="n"/>
      <c r="G122" s="91" t="n"/>
      <c r="H122" s="93" t="str">
        <f>IF(N122=0,"",IF(NOT(ISNUMBER(F122)),"",IF(ISNUMBER(U122),F122*U122,"UNIDADE A CONFERIR")))</f>
        <v/>
      </c>
      <c r="I122" s="94" t="str">
        <f>IF(Q122=1,INDEX('CDFs'!$F$6:$F$505,P122)&amp;"","")</f>
        <v/>
      </c>
      <c r="J122" s="91" t="n"/>
      <c r="K122" s="91" t="n"/>
      <c r="L122" s="94" t="str">
        <f>IF(N122=0,"",IF(NOT(ISNUMBER(F122)),"Quantidade não informada",IF(F122&lt;=0,"Quantidade não positiva",IF(G122="","Unidade não informada",IF(NOT(ISNUMBER(H122)),"Unidade a conferir",IF(AC122=1,"REVISAR VÍNCULO: soma vinculada maior que a referência do item","OK"))))))</f>
        <v/>
      </c>
      <c r="M122" s="94" t="str">
        <f>IF(N122=0,"",IF(B122="","CDF não informado",IF(Q122=0,"REVISAR VÍNCULO: CDF inexistente",IF(C122="","Item não informado",IF(T122=0,"REVISAR VÍNCULO: item inexistente",IF(AND(X122=1,J122&lt;&gt;"Sim"),"REVISAR VÍNCULO: destinador diferente do MTR",IF(X122=1,"Destinador diferente do MTR (analisado)","OK")))))))</f>
        <v/>
      </c>
      <c r="N122" s="96">
        <f>IF(COUNTA(B122:C122,F122:G122,J122:K122)&gt;0,1,0)</f>
        <v>0</v>
      </c>
      <c r="O122" s="96" t="str">
        <f>IF(B122="","",TRIM(LEFT(B122,FIND(" |",B122&amp;" |")-1)))</f>
        <v/>
      </c>
      <c r="P122" s="96" t="str">
        <f>IF(O122="","",IFERROR(MATCH(O122,'CDFs'!$A$6:$A$505,0),""))</f>
        <v/>
      </c>
      <c r="Q122" s="96">
        <f>IF(P122="",0,IF(INDEX('CDFs'!$S$6:$S$505,P122)=1,1,0))</f>
        <v>0</v>
      </c>
      <c r="R122" s="96" t="str">
        <f>IF(C122="","",TRIM(LEFT(C122,FIND(" |",C122&amp;" |")-1)))</f>
        <v/>
      </c>
      <c r="S122" s="96" t="str">
        <f>IF(R122="","",IFERROR(MATCH(R122,'ITENS_MTR'!$A$6:$A$1005,0),""))</f>
        <v/>
      </c>
      <c r="T122" s="96">
        <f>IF(S122="",0,IF(INDEX('ITENS_MTR'!$R$6:$R$1005,S122)=1,1,0))</f>
        <v>0</v>
      </c>
      <c r="U122" s="96" t="str">
        <f>IF(G122="","",IFERROR(IF(ISNUMBER(INDEX(cfg_fac,MATCH(G122,cfg_units,0))),IF(INDEX(cfg_fac,MATCH(G122,cfg_units,0))&gt;0,INDEX(cfg_fac,MATCH(G122,cfg_units,0)),""),""),""))</f>
        <v/>
      </c>
      <c r="V122" s="96">
        <f>IF(AND(ISNUMBER(F122),ISNUMBER(H122)),IF(H122&gt;0,1,0),0)</f>
        <v>0</v>
      </c>
      <c r="W122" s="96" t="str">
        <f>IF(T122=1,INDEX('ITENS_MTR'!$AU$6:$AU$1005,S122)&amp;"","")</f>
        <v/>
      </c>
      <c r="X122" s="96">
        <f>IF(AND(Q122=1,T122=1,I122&lt;&gt;"",W122&lt;&gt;""),IF(I122&lt;&gt;W122,1,0),0)</f>
        <v>0</v>
      </c>
      <c r="Y122" s="96">
        <f>IF(N122=0,0,IF(OR(Q122=0,T122=0,V122=0,AND(X122=1,J122&lt;&gt;"Sim")),1,0))</f>
        <v>0</v>
      </c>
      <c r="Z122" s="96">
        <f>IF(Q122=1,INDEX('CDFs'!$W$6:$W$505,P122),0)</f>
        <v>0</v>
      </c>
      <c r="AA122" s="96">
        <f>IF(AND(N122=1,Y122=0,Z122=1,J122="Sim"),1,0)</f>
        <v>0</v>
      </c>
      <c r="AB122" s="96">
        <f>IF(AND(N122=1,O122&lt;&gt;"",D122&lt;&gt;""),IF(COUNTIFS($O$6:O122,O122,$D$6:D122,D122)=1,1,0),0)</f>
        <v>0</v>
      </c>
      <c r="AC122" s="96">
        <f>IF(T122=1,INDEX('ITENS_MTR'!$AL$6:$AL$1005,S122),0)</f>
        <v>0</v>
      </c>
    </row>
    <row r="123">
      <c r="A123" s="89" t="inlineStr">
        <is>
          <t>VIN-000118</t>
        </is>
      </c>
      <c r="B123" s="91" t="n"/>
      <c r="C123" s="91" t="n"/>
      <c r="D123" s="94" t="str">
        <f>IF(T123=1,INDEX('ITENS_MTR'!$S$6:$S$1005,S123)&amp;"","")</f>
        <v/>
      </c>
      <c r="E123" s="94" t="str">
        <f>IF(T123=1,INDEX('ITENS_MTR'!$C$6:$C$1005,S123)&amp;"","")</f>
        <v/>
      </c>
      <c r="F123" s="98" t="n"/>
      <c r="G123" s="91" t="n"/>
      <c r="H123" s="93" t="str">
        <f>IF(N123=0,"",IF(NOT(ISNUMBER(F123)),"",IF(ISNUMBER(U123),F123*U123,"UNIDADE A CONFERIR")))</f>
        <v/>
      </c>
      <c r="I123" s="94" t="str">
        <f>IF(Q123=1,INDEX('CDFs'!$F$6:$F$505,P123)&amp;"","")</f>
        <v/>
      </c>
      <c r="J123" s="91" t="n"/>
      <c r="K123" s="91" t="n"/>
      <c r="L123" s="94" t="str">
        <f>IF(N123=0,"",IF(NOT(ISNUMBER(F123)),"Quantidade não informada",IF(F123&lt;=0,"Quantidade não positiva",IF(G123="","Unidade não informada",IF(NOT(ISNUMBER(H123)),"Unidade a conferir",IF(AC123=1,"REVISAR VÍNCULO: soma vinculada maior que a referência do item","OK"))))))</f>
        <v/>
      </c>
      <c r="M123" s="94" t="str">
        <f>IF(N123=0,"",IF(B123="","CDF não informado",IF(Q123=0,"REVISAR VÍNCULO: CDF inexistente",IF(C123="","Item não informado",IF(T123=0,"REVISAR VÍNCULO: item inexistente",IF(AND(X123=1,J123&lt;&gt;"Sim"),"REVISAR VÍNCULO: destinador diferente do MTR",IF(X123=1,"Destinador diferente do MTR (analisado)","OK")))))))</f>
        <v/>
      </c>
      <c r="N123" s="96">
        <f>IF(COUNTA(B123:C123,F123:G123,J123:K123)&gt;0,1,0)</f>
        <v>0</v>
      </c>
      <c r="O123" s="96" t="str">
        <f>IF(B123="","",TRIM(LEFT(B123,FIND(" |",B123&amp;" |")-1)))</f>
        <v/>
      </c>
      <c r="P123" s="96" t="str">
        <f>IF(O123="","",IFERROR(MATCH(O123,'CDFs'!$A$6:$A$505,0),""))</f>
        <v/>
      </c>
      <c r="Q123" s="96">
        <f>IF(P123="",0,IF(INDEX('CDFs'!$S$6:$S$505,P123)=1,1,0))</f>
        <v>0</v>
      </c>
      <c r="R123" s="96" t="str">
        <f>IF(C123="","",TRIM(LEFT(C123,FIND(" |",C123&amp;" |")-1)))</f>
        <v/>
      </c>
      <c r="S123" s="96" t="str">
        <f>IF(R123="","",IFERROR(MATCH(R123,'ITENS_MTR'!$A$6:$A$1005,0),""))</f>
        <v/>
      </c>
      <c r="T123" s="96">
        <f>IF(S123="",0,IF(INDEX('ITENS_MTR'!$R$6:$R$1005,S123)=1,1,0))</f>
        <v>0</v>
      </c>
      <c r="U123" s="96" t="str">
        <f>IF(G123="","",IFERROR(IF(ISNUMBER(INDEX(cfg_fac,MATCH(G123,cfg_units,0))),IF(INDEX(cfg_fac,MATCH(G123,cfg_units,0))&gt;0,INDEX(cfg_fac,MATCH(G123,cfg_units,0)),""),""),""))</f>
        <v/>
      </c>
      <c r="V123" s="96">
        <f>IF(AND(ISNUMBER(F123),ISNUMBER(H123)),IF(H123&gt;0,1,0),0)</f>
        <v>0</v>
      </c>
      <c r="W123" s="96" t="str">
        <f>IF(T123=1,INDEX('ITENS_MTR'!$AU$6:$AU$1005,S123)&amp;"","")</f>
        <v/>
      </c>
      <c r="X123" s="96">
        <f>IF(AND(Q123=1,T123=1,I123&lt;&gt;"",W123&lt;&gt;""),IF(I123&lt;&gt;W123,1,0),0)</f>
        <v>0</v>
      </c>
      <c r="Y123" s="96">
        <f>IF(N123=0,0,IF(OR(Q123=0,T123=0,V123=0,AND(X123=1,J123&lt;&gt;"Sim")),1,0))</f>
        <v>0</v>
      </c>
      <c r="Z123" s="96">
        <f>IF(Q123=1,INDEX('CDFs'!$W$6:$W$505,P123),0)</f>
        <v>0</v>
      </c>
      <c r="AA123" s="96">
        <f>IF(AND(N123=1,Y123=0,Z123=1,J123="Sim"),1,0)</f>
        <v>0</v>
      </c>
      <c r="AB123" s="96">
        <f>IF(AND(N123=1,O123&lt;&gt;"",D123&lt;&gt;""),IF(COUNTIFS($O$6:O123,O123,$D$6:D123,D123)=1,1,0),0)</f>
        <v>0</v>
      </c>
      <c r="AC123" s="96">
        <f>IF(T123=1,INDEX('ITENS_MTR'!$AL$6:$AL$1005,S123),0)</f>
        <v>0</v>
      </c>
    </row>
    <row r="124">
      <c r="A124" s="89" t="inlineStr">
        <is>
          <t>VIN-000119</t>
        </is>
      </c>
      <c r="B124" s="91" t="n"/>
      <c r="C124" s="91" t="n"/>
      <c r="D124" s="94" t="str">
        <f>IF(T124=1,INDEX('ITENS_MTR'!$S$6:$S$1005,S124)&amp;"","")</f>
        <v/>
      </c>
      <c r="E124" s="94" t="str">
        <f>IF(T124=1,INDEX('ITENS_MTR'!$C$6:$C$1005,S124)&amp;"","")</f>
        <v/>
      </c>
      <c r="F124" s="98" t="n"/>
      <c r="G124" s="91" t="n"/>
      <c r="H124" s="93" t="str">
        <f>IF(N124=0,"",IF(NOT(ISNUMBER(F124)),"",IF(ISNUMBER(U124),F124*U124,"UNIDADE A CONFERIR")))</f>
        <v/>
      </c>
      <c r="I124" s="94" t="str">
        <f>IF(Q124=1,INDEX('CDFs'!$F$6:$F$505,P124)&amp;"","")</f>
        <v/>
      </c>
      <c r="J124" s="91" t="n"/>
      <c r="K124" s="91" t="n"/>
      <c r="L124" s="94" t="str">
        <f>IF(N124=0,"",IF(NOT(ISNUMBER(F124)),"Quantidade não informada",IF(F124&lt;=0,"Quantidade não positiva",IF(G124="","Unidade não informada",IF(NOT(ISNUMBER(H124)),"Unidade a conferir",IF(AC124=1,"REVISAR VÍNCULO: soma vinculada maior que a referência do item","OK"))))))</f>
        <v/>
      </c>
      <c r="M124" s="94" t="str">
        <f>IF(N124=0,"",IF(B124="","CDF não informado",IF(Q124=0,"REVISAR VÍNCULO: CDF inexistente",IF(C124="","Item não informado",IF(T124=0,"REVISAR VÍNCULO: item inexistente",IF(AND(X124=1,J124&lt;&gt;"Sim"),"REVISAR VÍNCULO: destinador diferente do MTR",IF(X124=1,"Destinador diferente do MTR (analisado)","OK")))))))</f>
        <v/>
      </c>
      <c r="N124" s="96">
        <f>IF(COUNTA(B124:C124,F124:G124,J124:K124)&gt;0,1,0)</f>
        <v>0</v>
      </c>
      <c r="O124" s="96" t="str">
        <f>IF(B124="","",TRIM(LEFT(B124,FIND(" |",B124&amp;" |")-1)))</f>
        <v/>
      </c>
      <c r="P124" s="96" t="str">
        <f>IF(O124="","",IFERROR(MATCH(O124,'CDFs'!$A$6:$A$505,0),""))</f>
        <v/>
      </c>
      <c r="Q124" s="96">
        <f>IF(P124="",0,IF(INDEX('CDFs'!$S$6:$S$505,P124)=1,1,0))</f>
        <v>0</v>
      </c>
      <c r="R124" s="96" t="str">
        <f>IF(C124="","",TRIM(LEFT(C124,FIND(" |",C124&amp;" |")-1)))</f>
        <v/>
      </c>
      <c r="S124" s="96" t="str">
        <f>IF(R124="","",IFERROR(MATCH(R124,'ITENS_MTR'!$A$6:$A$1005,0),""))</f>
        <v/>
      </c>
      <c r="T124" s="96">
        <f>IF(S124="",0,IF(INDEX('ITENS_MTR'!$R$6:$R$1005,S124)=1,1,0))</f>
        <v>0</v>
      </c>
      <c r="U124" s="96" t="str">
        <f>IF(G124="","",IFERROR(IF(ISNUMBER(INDEX(cfg_fac,MATCH(G124,cfg_units,0))),IF(INDEX(cfg_fac,MATCH(G124,cfg_units,0))&gt;0,INDEX(cfg_fac,MATCH(G124,cfg_units,0)),""),""),""))</f>
        <v/>
      </c>
      <c r="V124" s="96">
        <f>IF(AND(ISNUMBER(F124),ISNUMBER(H124)),IF(H124&gt;0,1,0),0)</f>
        <v>0</v>
      </c>
      <c r="W124" s="96" t="str">
        <f>IF(T124=1,INDEX('ITENS_MTR'!$AU$6:$AU$1005,S124)&amp;"","")</f>
        <v/>
      </c>
      <c r="X124" s="96">
        <f>IF(AND(Q124=1,T124=1,I124&lt;&gt;"",W124&lt;&gt;""),IF(I124&lt;&gt;W124,1,0),0)</f>
        <v>0</v>
      </c>
      <c r="Y124" s="96">
        <f>IF(N124=0,0,IF(OR(Q124=0,T124=0,V124=0,AND(X124=1,J124&lt;&gt;"Sim")),1,0))</f>
        <v>0</v>
      </c>
      <c r="Z124" s="96">
        <f>IF(Q124=1,INDEX('CDFs'!$W$6:$W$505,P124),0)</f>
        <v>0</v>
      </c>
      <c r="AA124" s="96">
        <f>IF(AND(N124=1,Y124=0,Z124=1,J124="Sim"),1,0)</f>
        <v>0</v>
      </c>
      <c r="AB124" s="96">
        <f>IF(AND(N124=1,O124&lt;&gt;"",D124&lt;&gt;""),IF(COUNTIFS($O$6:O124,O124,$D$6:D124,D124)=1,1,0),0)</f>
        <v>0</v>
      </c>
      <c r="AC124" s="96">
        <f>IF(T124=1,INDEX('ITENS_MTR'!$AL$6:$AL$1005,S124),0)</f>
        <v>0</v>
      </c>
    </row>
    <row r="125">
      <c r="A125" s="89" t="inlineStr">
        <is>
          <t>VIN-000120</t>
        </is>
      </c>
      <c r="B125" s="91" t="n"/>
      <c r="C125" s="91" t="n"/>
      <c r="D125" s="94" t="str">
        <f>IF(T125=1,INDEX('ITENS_MTR'!$S$6:$S$1005,S125)&amp;"","")</f>
        <v/>
      </c>
      <c r="E125" s="94" t="str">
        <f>IF(T125=1,INDEX('ITENS_MTR'!$C$6:$C$1005,S125)&amp;"","")</f>
        <v/>
      </c>
      <c r="F125" s="98" t="n"/>
      <c r="G125" s="91" t="n"/>
      <c r="H125" s="93" t="str">
        <f>IF(N125=0,"",IF(NOT(ISNUMBER(F125)),"",IF(ISNUMBER(U125),F125*U125,"UNIDADE A CONFERIR")))</f>
        <v/>
      </c>
      <c r="I125" s="94" t="str">
        <f>IF(Q125=1,INDEX('CDFs'!$F$6:$F$505,P125)&amp;"","")</f>
        <v/>
      </c>
      <c r="J125" s="91" t="n"/>
      <c r="K125" s="91" t="n"/>
      <c r="L125" s="94" t="str">
        <f>IF(N125=0,"",IF(NOT(ISNUMBER(F125)),"Quantidade não informada",IF(F125&lt;=0,"Quantidade não positiva",IF(G125="","Unidade não informada",IF(NOT(ISNUMBER(H125)),"Unidade a conferir",IF(AC125=1,"REVISAR VÍNCULO: soma vinculada maior que a referência do item","OK"))))))</f>
        <v/>
      </c>
      <c r="M125" s="94" t="str">
        <f>IF(N125=0,"",IF(B125="","CDF não informado",IF(Q125=0,"REVISAR VÍNCULO: CDF inexistente",IF(C125="","Item não informado",IF(T125=0,"REVISAR VÍNCULO: item inexistente",IF(AND(X125=1,J125&lt;&gt;"Sim"),"REVISAR VÍNCULO: destinador diferente do MTR",IF(X125=1,"Destinador diferente do MTR (analisado)","OK")))))))</f>
        <v/>
      </c>
      <c r="N125" s="96">
        <f>IF(COUNTA(B125:C125,F125:G125,J125:K125)&gt;0,1,0)</f>
        <v>0</v>
      </c>
      <c r="O125" s="96" t="str">
        <f>IF(B125="","",TRIM(LEFT(B125,FIND(" |",B125&amp;" |")-1)))</f>
        <v/>
      </c>
      <c r="P125" s="96" t="str">
        <f>IF(O125="","",IFERROR(MATCH(O125,'CDFs'!$A$6:$A$505,0),""))</f>
        <v/>
      </c>
      <c r="Q125" s="96">
        <f>IF(P125="",0,IF(INDEX('CDFs'!$S$6:$S$505,P125)=1,1,0))</f>
        <v>0</v>
      </c>
      <c r="R125" s="96" t="str">
        <f>IF(C125="","",TRIM(LEFT(C125,FIND(" |",C125&amp;" |")-1)))</f>
        <v/>
      </c>
      <c r="S125" s="96" t="str">
        <f>IF(R125="","",IFERROR(MATCH(R125,'ITENS_MTR'!$A$6:$A$1005,0),""))</f>
        <v/>
      </c>
      <c r="T125" s="96">
        <f>IF(S125="",0,IF(INDEX('ITENS_MTR'!$R$6:$R$1005,S125)=1,1,0))</f>
        <v>0</v>
      </c>
      <c r="U125" s="96" t="str">
        <f>IF(G125="","",IFERROR(IF(ISNUMBER(INDEX(cfg_fac,MATCH(G125,cfg_units,0))),IF(INDEX(cfg_fac,MATCH(G125,cfg_units,0))&gt;0,INDEX(cfg_fac,MATCH(G125,cfg_units,0)),""),""),""))</f>
        <v/>
      </c>
      <c r="V125" s="96">
        <f>IF(AND(ISNUMBER(F125),ISNUMBER(H125)),IF(H125&gt;0,1,0),0)</f>
        <v>0</v>
      </c>
      <c r="W125" s="96" t="str">
        <f>IF(T125=1,INDEX('ITENS_MTR'!$AU$6:$AU$1005,S125)&amp;"","")</f>
        <v/>
      </c>
      <c r="X125" s="96">
        <f>IF(AND(Q125=1,T125=1,I125&lt;&gt;"",W125&lt;&gt;""),IF(I125&lt;&gt;W125,1,0),0)</f>
        <v>0</v>
      </c>
      <c r="Y125" s="96">
        <f>IF(N125=0,0,IF(OR(Q125=0,T125=0,V125=0,AND(X125=1,J125&lt;&gt;"Sim")),1,0))</f>
        <v>0</v>
      </c>
      <c r="Z125" s="96">
        <f>IF(Q125=1,INDEX('CDFs'!$W$6:$W$505,P125),0)</f>
        <v>0</v>
      </c>
      <c r="AA125" s="96">
        <f>IF(AND(N125=1,Y125=0,Z125=1,J125="Sim"),1,0)</f>
        <v>0</v>
      </c>
      <c r="AB125" s="96">
        <f>IF(AND(N125=1,O125&lt;&gt;"",D125&lt;&gt;""),IF(COUNTIFS($O$6:O125,O125,$D$6:D125,D125)=1,1,0),0)</f>
        <v>0</v>
      </c>
      <c r="AC125" s="96">
        <f>IF(T125=1,INDEX('ITENS_MTR'!$AL$6:$AL$1005,S125),0)</f>
        <v>0</v>
      </c>
    </row>
    <row r="126">
      <c r="A126" s="89" t="inlineStr">
        <is>
          <t>VIN-000121</t>
        </is>
      </c>
      <c r="B126" s="91" t="n"/>
      <c r="C126" s="91" t="n"/>
      <c r="D126" s="94" t="str">
        <f>IF(T126=1,INDEX('ITENS_MTR'!$S$6:$S$1005,S126)&amp;"","")</f>
        <v/>
      </c>
      <c r="E126" s="94" t="str">
        <f>IF(T126=1,INDEX('ITENS_MTR'!$C$6:$C$1005,S126)&amp;"","")</f>
        <v/>
      </c>
      <c r="F126" s="98" t="n"/>
      <c r="G126" s="91" t="n"/>
      <c r="H126" s="93" t="str">
        <f>IF(N126=0,"",IF(NOT(ISNUMBER(F126)),"",IF(ISNUMBER(U126),F126*U126,"UNIDADE A CONFERIR")))</f>
        <v/>
      </c>
      <c r="I126" s="94" t="str">
        <f>IF(Q126=1,INDEX('CDFs'!$F$6:$F$505,P126)&amp;"","")</f>
        <v/>
      </c>
      <c r="J126" s="91" t="n"/>
      <c r="K126" s="91" t="n"/>
      <c r="L126" s="94" t="str">
        <f>IF(N126=0,"",IF(NOT(ISNUMBER(F126)),"Quantidade não informada",IF(F126&lt;=0,"Quantidade não positiva",IF(G126="","Unidade não informada",IF(NOT(ISNUMBER(H126)),"Unidade a conferir",IF(AC126=1,"REVISAR VÍNCULO: soma vinculada maior que a referência do item","OK"))))))</f>
        <v/>
      </c>
      <c r="M126" s="94" t="str">
        <f>IF(N126=0,"",IF(B126="","CDF não informado",IF(Q126=0,"REVISAR VÍNCULO: CDF inexistente",IF(C126="","Item não informado",IF(T126=0,"REVISAR VÍNCULO: item inexistente",IF(AND(X126=1,J126&lt;&gt;"Sim"),"REVISAR VÍNCULO: destinador diferente do MTR",IF(X126=1,"Destinador diferente do MTR (analisado)","OK")))))))</f>
        <v/>
      </c>
      <c r="N126" s="96">
        <f>IF(COUNTA(B126:C126,F126:G126,J126:K126)&gt;0,1,0)</f>
        <v>0</v>
      </c>
      <c r="O126" s="96" t="str">
        <f>IF(B126="","",TRIM(LEFT(B126,FIND(" |",B126&amp;" |")-1)))</f>
        <v/>
      </c>
      <c r="P126" s="96" t="str">
        <f>IF(O126="","",IFERROR(MATCH(O126,'CDFs'!$A$6:$A$505,0),""))</f>
        <v/>
      </c>
      <c r="Q126" s="96">
        <f>IF(P126="",0,IF(INDEX('CDFs'!$S$6:$S$505,P126)=1,1,0))</f>
        <v>0</v>
      </c>
      <c r="R126" s="96" t="str">
        <f>IF(C126="","",TRIM(LEFT(C126,FIND(" |",C126&amp;" |")-1)))</f>
        <v/>
      </c>
      <c r="S126" s="96" t="str">
        <f>IF(R126="","",IFERROR(MATCH(R126,'ITENS_MTR'!$A$6:$A$1005,0),""))</f>
        <v/>
      </c>
      <c r="T126" s="96">
        <f>IF(S126="",0,IF(INDEX('ITENS_MTR'!$R$6:$R$1005,S126)=1,1,0))</f>
        <v>0</v>
      </c>
      <c r="U126" s="96" t="str">
        <f>IF(G126="","",IFERROR(IF(ISNUMBER(INDEX(cfg_fac,MATCH(G126,cfg_units,0))),IF(INDEX(cfg_fac,MATCH(G126,cfg_units,0))&gt;0,INDEX(cfg_fac,MATCH(G126,cfg_units,0)),""),""),""))</f>
        <v/>
      </c>
      <c r="V126" s="96">
        <f>IF(AND(ISNUMBER(F126),ISNUMBER(H126)),IF(H126&gt;0,1,0),0)</f>
        <v>0</v>
      </c>
      <c r="W126" s="96" t="str">
        <f>IF(T126=1,INDEX('ITENS_MTR'!$AU$6:$AU$1005,S126)&amp;"","")</f>
        <v/>
      </c>
      <c r="X126" s="96">
        <f>IF(AND(Q126=1,T126=1,I126&lt;&gt;"",W126&lt;&gt;""),IF(I126&lt;&gt;W126,1,0),0)</f>
        <v>0</v>
      </c>
      <c r="Y126" s="96">
        <f>IF(N126=0,0,IF(OR(Q126=0,T126=0,V126=0,AND(X126=1,J126&lt;&gt;"Sim")),1,0))</f>
        <v>0</v>
      </c>
      <c r="Z126" s="96">
        <f>IF(Q126=1,INDEX('CDFs'!$W$6:$W$505,P126),0)</f>
        <v>0</v>
      </c>
      <c r="AA126" s="96">
        <f>IF(AND(N126=1,Y126=0,Z126=1,J126="Sim"),1,0)</f>
        <v>0</v>
      </c>
      <c r="AB126" s="96">
        <f>IF(AND(N126=1,O126&lt;&gt;"",D126&lt;&gt;""),IF(COUNTIFS($O$6:O126,O126,$D$6:D126,D126)=1,1,0),0)</f>
        <v>0</v>
      </c>
      <c r="AC126" s="96">
        <f>IF(T126=1,INDEX('ITENS_MTR'!$AL$6:$AL$1005,S126),0)</f>
        <v>0</v>
      </c>
    </row>
    <row r="127">
      <c r="A127" s="89" t="inlineStr">
        <is>
          <t>VIN-000122</t>
        </is>
      </c>
      <c r="B127" s="91" t="n"/>
      <c r="C127" s="91" t="n"/>
      <c r="D127" s="94" t="str">
        <f>IF(T127=1,INDEX('ITENS_MTR'!$S$6:$S$1005,S127)&amp;"","")</f>
        <v/>
      </c>
      <c r="E127" s="94" t="str">
        <f>IF(T127=1,INDEX('ITENS_MTR'!$C$6:$C$1005,S127)&amp;"","")</f>
        <v/>
      </c>
      <c r="F127" s="98" t="n"/>
      <c r="G127" s="91" t="n"/>
      <c r="H127" s="93" t="str">
        <f>IF(N127=0,"",IF(NOT(ISNUMBER(F127)),"",IF(ISNUMBER(U127),F127*U127,"UNIDADE A CONFERIR")))</f>
        <v/>
      </c>
      <c r="I127" s="94" t="str">
        <f>IF(Q127=1,INDEX('CDFs'!$F$6:$F$505,P127)&amp;"","")</f>
        <v/>
      </c>
      <c r="J127" s="91" t="n"/>
      <c r="K127" s="91" t="n"/>
      <c r="L127" s="94" t="str">
        <f>IF(N127=0,"",IF(NOT(ISNUMBER(F127)),"Quantidade não informada",IF(F127&lt;=0,"Quantidade não positiva",IF(G127="","Unidade não informada",IF(NOT(ISNUMBER(H127)),"Unidade a conferir",IF(AC127=1,"REVISAR VÍNCULO: soma vinculada maior que a referência do item","OK"))))))</f>
        <v/>
      </c>
      <c r="M127" s="94" t="str">
        <f>IF(N127=0,"",IF(B127="","CDF não informado",IF(Q127=0,"REVISAR VÍNCULO: CDF inexistente",IF(C127="","Item não informado",IF(T127=0,"REVISAR VÍNCULO: item inexistente",IF(AND(X127=1,J127&lt;&gt;"Sim"),"REVISAR VÍNCULO: destinador diferente do MTR",IF(X127=1,"Destinador diferente do MTR (analisado)","OK")))))))</f>
        <v/>
      </c>
      <c r="N127" s="96">
        <f>IF(COUNTA(B127:C127,F127:G127,J127:K127)&gt;0,1,0)</f>
        <v>0</v>
      </c>
      <c r="O127" s="96" t="str">
        <f>IF(B127="","",TRIM(LEFT(B127,FIND(" |",B127&amp;" |")-1)))</f>
        <v/>
      </c>
      <c r="P127" s="96" t="str">
        <f>IF(O127="","",IFERROR(MATCH(O127,'CDFs'!$A$6:$A$505,0),""))</f>
        <v/>
      </c>
      <c r="Q127" s="96">
        <f>IF(P127="",0,IF(INDEX('CDFs'!$S$6:$S$505,P127)=1,1,0))</f>
        <v>0</v>
      </c>
      <c r="R127" s="96" t="str">
        <f>IF(C127="","",TRIM(LEFT(C127,FIND(" |",C127&amp;" |")-1)))</f>
        <v/>
      </c>
      <c r="S127" s="96" t="str">
        <f>IF(R127="","",IFERROR(MATCH(R127,'ITENS_MTR'!$A$6:$A$1005,0),""))</f>
        <v/>
      </c>
      <c r="T127" s="96">
        <f>IF(S127="",0,IF(INDEX('ITENS_MTR'!$R$6:$R$1005,S127)=1,1,0))</f>
        <v>0</v>
      </c>
      <c r="U127" s="96" t="str">
        <f>IF(G127="","",IFERROR(IF(ISNUMBER(INDEX(cfg_fac,MATCH(G127,cfg_units,0))),IF(INDEX(cfg_fac,MATCH(G127,cfg_units,0))&gt;0,INDEX(cfg_fac,MATCH(G127,cfg_units,0)),""),""),""))</f>
        <v/>
      </c>
      <c r="V127" s="96">
        <f>IF(AND(ISNUMBER(F127),ISNUMBER(H127)),IF(H127&gt;0,1,0),0)</f>
        <v>0</v>
      </c>
      <c r="W127" s="96" t="str">
        <f>IF(T127=1,INDEX('ITENS_MTR'!$AU$6:$AU$1005,S127)&amp;"","")</f>
        <v/>
      </c>
      <c r="X127" s="96">
        <f>IF(AND(Q127=1,T127=1,I127&lt;&gt;"",W127&lt;&gt;""),IF(I127&lt;&gt;W127,1,0),0)</f>
        <v>0</v>
      </c>
      <c r="Y127" s="96">
        <f>IF(N127=0,0,IF(OR(Q127=0,T127=0,V127=0,AND(X127=1,J127&lt;&gt;"Sim")),1,0))</f>
        <v>0</v>
      </c>
      <c r="Z127" s="96">
        <f>IF(Q127=1,INDEX('CDFs'!$W$6:$W$505,P127),0)</f>
        <v>0</v>
      </c>
      <c r="AA127" s="96">
        <f>IF(AND(N127=1,Y127=0,Z127=1,J127="Sim"),1,0)</f>
        <v>0</v>
      </c>
      <c r="AB127" s="96">
        <f>IF(AND(N127=1,O127&lt;&gt;"",D127&lt;&gt;""),IF(COUNTIFS($O$6:O127,O127,$D$6:D127,D127)=1,1,0),0)</f>
        <v>0</v>
      </c>
      <c r="AC127" s="96">
        <f>IF(T127=1,INDEX('ITENS_MTR'!$AL$6:$AL$1005,S127),0)</f>
        <v>0</v>
      </c>
    </row>
    <row r="128">
      <c r="A128" s="89" t="inlineStr">
        <is>
          <t>VIN-000123</t>
        </is>
      </c>
      <c r="B128" s="91" t="n"/>
      <c r="C128" s="91" t="n"/>
      <c r="D128" s="94" t="str">
        <f>IF(T128=1,INDEX('ITENS_MTR'!$S$6:$S$1005,S128)&amp;"","")</f>
        <v/>
      </c>
      <c r="E128" s="94" t="str">
        <f>IF(T128=1,INDEX('ITENS_MTR'!$C$6:$C$1005,S128)&amp;"","")</f>
        <v/>
      </c>
      <c r="F128" s="98" t="n"/>
      <c r="G128" s="91" t="n"/>
      <c r="H128" s="93" t="str">
        <f>IF(N128=0,"",IF(NOT(ISNUMBER(F128)),"",IF(ISNUMBER(U128),F128*U128,"UNIDADE A CONFERIR")))</f>
        <v/>
      </c>
      <c r="I128" s="94" t="str">
        <f>IF(Q128=1,INDEX('CDFs'!$F$6:$F$505,P128)&amp;"","")</f>
        <v/>
      </c>
      <c r="J128" s="91" t="n"/>
      <c r="K128" s="91" t="n"/>
      <c r="L128" s="94" t="str">
        <f>IF(N128=0,"",IF(NOT(ISNUMBER(F128)),"Quantidade não informada",IF(F128&lt;=0,"Quantidade não positiva",IF(G128="","Unidade não informada",IF(NOT(ISNUMBER(H128)),"Unidade a conferir",IF(AC128=1,"REVISAR VÍNCULO: soma vinculada maior que a referência do item","OK"))))))</f>
        <v/>
      </c>
      <c r="M128" s="94" t="str">
        <f>IF(N128=0,"",IF(B128="","CDF não informado",IF(Q128=0,"REVISAR VÍNCULO: CDF inexistente",IF(C128="","Item não informado",IF(T128=0,"REVISAR VÍNCULO: item inexistente",IF(AND(X128=1,J128&lt;&gt;"Sim"),"REVISAR VÍNCULO: destinador diferente do MTR",IF(X128=1,"Destinador diferente do MTR (analisado)","OK")))))))</f>
        <v/>
      </c>
      <c r="N128" s="96">
        <f>IF(COUNTA(B128:C128,F128:G128,J128:K128)&gt;0,1,0)</f>
        <v>0</v>
      </c>
      <c r="O128" s="96" t="str">
        <f>IF(B128="","",TRIM(LEFT(B128,FIND(" |",B128&amp;" |")-1)))</f>
        <v/>
      </c>
      <c r="P128" s="96" t="str">
        <f>IF(O128="","",IFERROR(MATCH(O128,'CDFs'!$A$6:$A$505,0),""))</f>
        <v/>
      </c>
      <c r="Q128" s="96">
        <f>IF(P128="",0,IF(INDEX('CDFs'!$S$6:$S$505,P128)=1,1,0))</f>
        <v>0</v>
      </c>
      <c r="R128" s="96" t="str">
        <f>IF(C128="","",TRIM(LEFT(C128,FIND(" |",C128&amp;" |")-1)))</f>
        <v/>
      </c>
      <c r="S128" s="96" t="str">
        <f>IF(R128="","",IFERROR(MATCH(R128,'ITENS_MTR'!$A$6:$A$1005,0),""))</f>
        <v/>
      </c>
      <c r="T128" s="96">
        <f>IF(S128="",0,IF(INDEX('ITENS_MTR'!$R$6:$R$1005,S128)=1,1,0))</f>
        <v>0</v>
      </c>
      <c r="U128" s="96" t="str">
        <f>IF(G128="","",IFERROR(IF(ISNUMBER(INDEX(cfg_fac,MATCH(G128,cfg_units,0))),IF(INDEX(cfg_fac,MATCH(G128,cfg_units,0))&gt;0,INDEX(cfg_fac,MATCH(G128,cfg_units,0)),""),""),""))</f>
        <v/>
      </c>
      <c r="V128" s="96">
        <f>IF(AND(ISNUMBER(F128),ISNUMBER(H128)),IF(H128&gt;0,1,0),0)</f>
        <v>0</v>
      </c>
      <c r="W128" s="96" t="str">
        <f>IF(T128=1,INDEX('ITENS_MTR'!$AU$6:$AU$1005,S128)&amp;"","")</f>
        <v/>
      </c>
      <c r="X128" s="96">
        <f>IF(AND(Q128=1,T128=1,I128&lt;&gt;"",W128&lt;&gt;""),IF(I128&lt;&gt;W128,1,0),0)</f>
        <v>0</v>
      </c>
      <c r="Y128" s="96">
        <f>IF(N128=0,0,IF(OR(Q128=0,T128=0,V128=0,AND(X128=1,J128&lt;&gt;"Sim")),1,0))</f>
        <v>0</v>
      </c>
      <c r="Z128" s="96">
        <f>IF(Q128=1,INDEX('CDFs'!$W$6:$W$505,P128),0)</f>
        <v>0</v>
      </c>
      <c r="AA128" s="96">
        <f>IF(AND(N128=1,Y128=0,Z128=1,J128="Sim"),1,0)</f>
        <v>0</v>
      </c>
      <c r="AB128" s="96">
        <f>IF(AND(N128=1,O128&lt;&gt;"",D128&lt;&gt;""),IF(COUNTIFS($O$6:O128,O128,$D$6:D128,D128)=1,1,0),0)</f>
        <v>0</v>
      </c>
      <c r="AC128" s="96">
        <f>IF(T128=1,INDEX('ITENS_MTR'!$AL$6:$AL$1005,S128),0)</f>
        <v>0</v>
      </c>
    </row>
    <row r="129">
      <c r="A129" s="89" t="inlineStr">
        <is>
          <t>VIN-000124</t>
        </is>
      </c>
      <c r="B129" s="91" t="n"/>
      <c r="C129" s="91" t="n"/>
      <c r="D129" s="94" t="str">
        <f>IF(T129=1,INDEX('ITENS_MTR'!$S$6:$S$1005,S129)&amp;"","")</f>
        <v/>
      </c>
      <c r="E129" s="94" t="str">
        <f>IF(T129=1,INDEX('ITENS_MTR'!$C$6:$C$1005,S129)&amp;"","")</f>
        <v/>
      </c>
      <c r="F129" s="98" t="n"/>
      <c r="G129" s="91" t="n"/>
      <c r="H129" s="93" t="str">
        <f>IF(N129=0,"",IF(NOT(ISNUMBER(F129)),"",IF(ISNUMBER(U129),F129*U129,"UNIDADE A CONFERIR")))</f>
        <v/>
      </c>
      <c r="I129" s="94" t="str">
        <f>IF(Q129=1,INDEX('CDFs'!$F$6:$F$505,P129)&amp;"","")</f>
        <v/>
      </c>
      <c r="J129" s="91" t="n"/>
      <c r="K129" s="91" t="n"/>
      <c r="L129" s="94" t="str">
        <f>IF(N129=0,"",IF(NOT(ISNUMBER(F129)),"Quantidade não informada",IF(F129&lt;=0,"Quantidade não positiva",IF(G129="","Unidade não informada",IF(NOT(ISNUMBER(H129)),"Unidade a conferir",IF(AC129=1,"REVISAR VÍNCULO: soma vinculada maior que a referência do item","OK"))))))</f>
        <v/>
      </c>
      <c r="M129" s="94" t="str">
        <f>IF(N129=0,"",IF(B129="","CDF não informado",IF(Q129=0,"REVISAR VÍNCULO: CDF inexistente",IF(C129="","Item não informado",IF(T129=0,"REVISAR VÍNCULO: item inexistente",IF(AND(X129=1,J129&lt;&gt;"Sim"),"REVISAR VÍNCULO: destinador diferente do MTR",IF(X129=1,"Destinador diferente do MTR (analisado)","OK")))))))</f>
        <v/>
      </c>
      <c r="N129" s="96">
        <f>IF(COUNTA(B129:C129,F129:G129,J129:K129)&gt;0,1,0)</f>
        <v>0</v>
      </c>
      <c r="O129" s="96" t="str">
        <f>IF(B129="","",TRIM(LEFT(B129,FIND(" |",B129&amp;" |")-1)))</f>
        <v/>
      </c>
      <c r="P129" s="96" t="str">
        <f>IF(O129="","",IFERROR(MATCH(O129,'CDFs'!$A$6:$A$505,0),""))</f>
        <v/>
      </c>
      <c r="Q129" s="96">
        <f>IF(P129="",0,IF(INDEX('CDFs'!$S$6:$S$505,P129)=1,1,0))</f>
        <v>0</v>
      </c>
      <c r="R129" s="96" t="str">
        <f>IF(C129="","",TRIM(LEFT(C129,FIND(" |",C129&amp;" |")-1)))</f>
        <v/>
      </c>
      <c r="S129" s="96" t="str">
        <f>IF(R129="","",IFERROR(MATCH(R129,'ITENS_MTR'!$A$6:$A$1005,0),""))</f>
        <v/>
      </c>
      <c r="T129" s="96">
        <f>IF(S129="",0,IF(INDEX('ITENS_MTR'!$R$6:$R$1005,S129)=1,1,0))</f>
        <v>0</v>
      </c>
      <c r="U129" s="96" t="str">
        <f>IF(G129="","",IFERROR(IF(ISNUMBER(INDEX(cfg_fac,MATCH(G129,cfg_units,0))),IF(INDEX(cfg_fac,MATCH(G129,cfg_units,0))&gt;0,INDEX(cfg_fac,MATCH(G129,cfg_units,0)),""),""),""))</f>
        <v/>
      </c>
      <c r="V129" s="96">
        <f>IF(AND(ISNUMBER(F129),ISNUMBER(H129)),IF(H129&gt;0,1,0),0)</f>
        <v>0</v>
      </c>
      <c r="W129" s="96" t="str">
        <f>IF(T129=1,INDEX('ITENS_MTR'!$AU$6:$AU$1005,S129)&amp;"","")</f>
        <v/>
      </c>
      <c r="X129" s="96">
        <f>IF(AND(Q129=1,T129=1,I129&lt;&gt;"",W129&lt;&gt;""),IF(I129&lt;&gt;W129,1,0),0)</f>
        <v>0</v>
      </c>
      <c r="Y129" s="96">
        <f>IF(N129=0,0,IF(OR(Q129=0,T129=0,V129=0,AND(X129=1,J129&lt;&gt;"Sim")),1,0))</f>
        <v>0</v>
      </c>
      <c r="Z129" s="96">
        <f>IF(Q129=1,INDEX('CDFs'!$W$6:$W$505,P129),0)</f>
        <v>0</v>
      </c>
      <c r="AA129" s="96">
        <f>IF(AND(N129=1,Y129=0,Z129=1,J129="Sim"),1,0)</f>
        <v>0</v>
      </c>
      <c r="AB129" s="96">
        <f>IF(AND(N129=1,O129&lt;&gt;"",D129&lt;&gt;""),IF(COUNTIFS($O$6:O129,O129,$D$6:D129,D129)=1,1,0),0)</f>
        <v>0</v>
      </c>
      <c r="AC129" s="96">
        <f>IF(T129=1,INDEX('ITENS_MTR'!$AL$6:$AL$1005,S129),0)</f>
        <v>0</v>
      </c>
    </row>
    <row r="130">
      <c r="A130" s="89" t="inlineStr">
        <is>
          <t>VIN-000125</t>
        </is>
      </c>
      <c r="B130" s="91" t="n"/>
      <c r="C130" s="91" t="n"/>
      <c r="D130" s="94" t="str">
        <f>IF(T130=1,INDEX('ITENS_MTR'!$S$6:$S$1005,S130)&amp;"","")</f>
        <v/>
      </c>
      <c r="E130" s="94" t="str">
        <f>IF(T130=1,INDEX('ITENS_MTR'!$C$6:$C$1005,S130)&amp;"","")</f>
        <v/>
      </c>
      <c r="F130" s="98" t="n"/>
      <c r="G130" s="91" t="n"/>
      <c r="H130" s="93" t="str">
        <f>IF(N130=0,"",IF(NOT(ISNUMBER(F130)),"",IF(ISNUMBER(U130),F130*U130,"UNIDADE A CONFERIR")))</f>
        <v/>
      </c>
      <c r="I130" s="94" t="str">
        <f>IF(Q130=1,INDEX('CDFs'!$F$6:$F$505,P130)&amp;"","")</f>
        <v/>
      </c>
      <c r="J130" s="91" t="n"/>
      <c r="K130" s="91" t="n"/>
      <c r="L130" s="94" t="str">
        <f>IF(N130=0,"",IF(NOT(ISNUMBER(F130)),"Quantidade não informada",IF(F130&lt;=0,"Quantidade não positiva",IF(G130="","Unidade não informada",IF(NOT(ISNUMBER(H130)),"Unidade a conferir",IF(AC130=1,"REVISAR VÍNCULO: soma vinculada maior que a referência do item","OK"))))))</f>
        <v/>
      </c>
      <c r="M130" s="94" t="str">
        <f>IF(N130=0,"",IF(B130="","CDF não informado",IF(Q130=0,"REVISAR VÍNCULO: CDF inexistente",IF(C130="","Item não informado",IF(T130=0,"REVISAR VÍNCULO: item inexistente",IF(AND(X130=1,J130&lt;&gt;"Sim"),"REVISAR VÍNCULO: destinador diferente do MTR",IF(X130=1,"Destinador diferente do MTR (analisado)","OK")))))))</f>
        <v/>
      </c>
      <c r="N130" s="96">
        <f>IF(COUNTA(B130:C130,F130:G130,J130:K130)&gt;0,1,0)</f>
        <v>0</v>
      </c>
      <c r="O130" s="96" t="str">
        <f>IF(B130="","",TRIM(LEFT(B130,FIND(" |",B130&amp;" |")-1)))</f>
        <v/>
      </c>
      <c r="P130" s="96" t="str">
        <f>IF(O130="","",IFERROR(MATCH(O130,'CDFs'!$A$6:$A$505,0),""))</f>
        <v/>
      </c>
      <c r="Q130" s="96">
        <f>IF(P130="",0,IF(INDEX('CDFs'!$S$6:$S$505,P130)=1,1,0))</f>
        <v>0</v>
      </c>
      <c r="R130" s="96" t="str">
        <f>IF(C130="","",TRIM(LEFT(C130,FIND(" |",C130&amp;" |")-1)))</f>
        <v/>
      </c>
      <c r="S130" s="96" t="str">
        <f>IF(R130="","",IFERROR(MATCH(R130,'ITENS_MTR'!$A$6:$A$1005,0),""))</f>
        <v/>
      </c>
      <c r="T130" s="96">
        <f>IF(S130="",0,IF(INDEX('ITENS_MTR'!$R$6:$R$1005,S130)=1,1,0))</f>
        <v>0</v>
      </c>
      <c r="U130" s="96" t="str">
        <f>IF(G130="","",IFERROR(IF(ISNUMBER(INDEX(cfg_fac,MATCH(G130,cfg_units,0))),IF(INDEX(cfg_fac,MATCH(G130,cfg_units,0))&gt;0,INDEX(cfg_fac,MATCH(G130,cfg_units,0)),""),""),""))</f>
        <v/>
      </c>
      <c r="V130" s="96">
        <f>IF(AND(ISNUMBER(F130),ISNUMBER(H130)),IF(H130&gt;0,1,0),0)</f>
        <v>0</v>
      </c>
      <c r="W130" s="96" t="str">
        <f>IF(T130=1,INDEX('ITENS_MTR'!$AU$6:$AU$1005,S130)&amp;"","")</f>
        <v/>
      </c>
      <c r="X130" s="96">
        <f>IF(AND(Q130=1,T130=1,I130&lt;&gt;"",W130&lt;&gt;""),IF(I130&lt;&gt;W130,1,0),0)</f>
        <v>0</v>
      </c>
      <c r="Y130" s="96">
        <f>IF(N130=0,0,IF(OR(Q130=0,T130=0,V130=0,AND(X130=1,J130&lt;&gt;"Sim")),1,0))</f>
        <v>0</v>
      </c>
      <c r="Z130" s="96">
        <f>IF(Q130=1,INDEX('CDFs'!$W$6:$W$505,P130),0)</f>
        <v>0</v>
      </c>
      <c r="AA130" s="96">
        <f>IF(AND(N130=1,Y130=0,Z130=1,J130="Sim"),1,0)</f>
        <v>0</v>
      </c>
      <c r="AB130" s="96">
        <f>IF(AND(N130=1,O130&lt;&gt;"",D130&lt;&gt;""),IF(COUNTIFS($O$6:O130,O130,$D$6:D130,D130)=1,1,0),0)</f>
        <v>0</v>
      </c>
      <c r="AC130" s="96">
        <f>IF(T130=1,INDEX('ITENS_MTR'!$AL$6:$AL$1005,S130),0)</f>
        <v>0</v>
      </c>
    </row>
    <row r="131">
      <c r="A131" s="89" t="inlineStr">
        <is>
          <t>VIN-000126</t>
        </is>
      </c>
      <c r="B131" s="91" t="n"/>
      <c r="C131" s="91" t="n"/>
      <c r="D131" s="94" t="str">
        <f>IF(T131=1,INDEX('ITENS_MTR'!$S$6:$S$1005,S131)&amp;"","")</f>
        <v/>
      </c>
      <c r="E131" s="94" t="str">
        <f>IF(T131=1,INDEX('ITENS_MTR'!$C$6:$C$1005,S131)&amp;"","")</f>
        <v/>
      </c>
      <c r="F131" s="98" t="n"/>
      <c r="G131" s="91" t="n"/>
      <c r="H131" s="93" t="str">
        <f>IF(N131=0,"",IF(NOT(ISNUMBER(F131)),"",IF(ISNUMBER(U131),F131*U131,"UNIDADE A CONFERIR")))</f>
        <v/>
      </c>
      <c r="I131" s="94" t="str">
        <f>IF(Q131=1,INDEX('CDFs'!$F$6:$F$505,P131)&amp;"","")</f>
        <v/>
      </c>
      <c r="J131" s="91" t="n"/>
      <c r="K131" s="91" t="n"/>
      <c r="L131" s="94" t="str">
        <f>IF(N131=0,"",IF(NOT(ISNUMBER(F131)),"Quantidade não informada",IF(F131&lt;=0,"Quantidade não positiva",IF(G131="","Unidade não informada",IF(NOT(ISNUMBER(H131)),"Unidade a conferir",IF(AC131=1,"REVISAR VÍNCULO: soma vinculada maior que a referência do item","OK"))))))</f>
        <v/>
      </c>
      <c r="M131" s="94" t="str">
        <f>IF(N131=0,"",IF(B131="","CDF não informado",IF(Q131=0,"REVISAR VÍNCULO: CDF inexistente",IF(C131="","Item não informado",IF(T131=0,"REVISAR VÍNCULO: item inexistente",IF(AND(X131=1,J131&lt;&gt;"Sim"),"REVISAR VÍNCULO: destinador diferente do MTR",IF(X131=1,"Destinador diferente do MTR (analisado)","OK")))))))</f>
        <v/>
      </c>
      <c r="N131" s="96">
        <f>IF(COUNTA(B131:C131,F131:G131,J131:K131)&gt;0,1,0)</f>
        <v>0</v>
      </c>
      <c r="O131" s="96" t="str">
        <f>IF(B131="","",TRIM(LEFT(B131,FIND(" |",B131&amp;" |")-1)))</f>
        <v/>
      </c>
      <c r="P131" s="96" t="str">
        <f>IF(O131="","",IFERROR(MATCH(O131,'CDFs'!$A$6:$A$505,0),""))</f>
        <v/>
      </c>
      <c r="Q131" s="96">
        <f>IF(P131="",0,IF(INDEX('CDFs'!$S$6:$S$505,P131)=1,1,0))</f>
        <v>0</v>
      </c>
      <c r="R131" s="96" t="str">
        <f>IF(C131="","",TRIM(LEFT(C131,FIND(" |",C131&amp;" |")-1)))</f>
        <v/>
      </c>
      <c r="S131" s="96" t="str">
        <f>IF(R131="","",IFERROR(MATCH(R131,'ITENS_MTR'!$A$6:$A$1005,0),""))</f>
        <v/>
      </c>
      <c r="T131" s="96">
        <f>IF(S131="",0,IF(INDEX('ITENS_MTR'!$R$6:$R$1005,S131)=1,1,0))</f>
        <v>0</v>
      </c>
      <c r="U131" s="96" t="str">
        <f>IF(G131="","",IFERROR(IF(ISNUMBER(INDEX(cfg_fac,MATCH(G131,cfg_units,0))),IF(INDEX(cfg_fac,MATCH(G131,cfg_units,0))&gt;0,INDEX(cfg_fac,MATCH(G131,cfg_units,0)),""),""),""))</f>
        <v/>
      </c>
      <c r="V131" s="96">
        <f>IF(AND(ISNUMBER(F131),ISNUMBER(H131)),IF(H131&gt;0,1,0),0)</f>
        <v>0</v>
      </c>
      <c r="W131" s="96" t="str">
        <f>IF(T131=1,INDEX('ITENS_MTR'!$AU$6:$AU$1005,S131)&amp;"","")</f>
        <v/>
      </c>
      <c r="X131" s="96">
        <f>IF(AND(Q131=1,T131=1,I131&lt;&gt;"",W131&lt;&gt;""),IF(I131&lt;&gt;W131,1,0),0)</f>
        <v>0</v>
      </c>
      <c r="Y131" s="96">
        <f>IF(N131=0,0,IF(OR(Q131=0,T131=0,V131=0,AND(X131=1,J131&lt;&gt;"Sim")),1,0))</f>
        <v>0</v>
      </c>
      <c r="Z131" s="96">
        <f>IF(Q131=1,INDEX('CDFs'!$W$6:$W$505,P131),0)</f>
        <v>0</v>
      </c>
      <c r="AA131" s="96">
        <f>IF(AND(N131=1,Y131=0,Z131=1,J131="Sim"),1,0)</f>
        <v>0</v>
      </c>
      <c r="AB131" s="96">
        <f>IF(AND(N131=1,O131&lt;&gt;"",D131&lt;&gt;""),IF(COUNTIFS($O$6:O131,O131,$D$6:D131,D131)=1,1,0),0)</f>
        <v>0</v>
      </c>
      <c r="AC131" s="96">
        <f>IF(T131=1,INDEX('ITENS_MTR'!$AL$6:$AL$1005,S131),0)</f>
        <v>0</v>
      </c>
    </row>
    <row r="132">
      <c r="A132" s="89" t="inlineStr">
        <is>
          <t>VIN-000127</t>
        </is>
      </c>
      <c r="B132" s="91" t="n"/>
      <c r="C132" s="91" t="n"/>
      <c r="D132" s="94" t="str">
        <f>IF(T132=1,INDEX('ITENS_MTR'!$S$6:$S$1005,S132)&amp;"","")</f>
        <v/>
      </c>
      <c r="E132" s="94" t="str">
        <f>IF(T132=1,INDEX('ITENS_MTR'!$C$6:$C$1005,S132)&amp;"","")</f>
        <v/>
      </c>
      <c r="F132" s="98" t="n"/>
      <c r="G132" s="91" t="n"/>
      <c r="H132" s="93" t="str">
        <f>IF(N132=0,"",IF(NOT(ISNUMBER(F132)),"",IF(ISNUMBER(U132),F132*U132,"UNIDADE A CONFERIR")))</f>
        <v/>
      </c>
      <c r="I132" s="94" t="str">
        <f>IF(Q132=1,INDEX('CDFs'!$F$6:$F$505,P132)&amp;"","")</f>
        <v/>
      </c>
      <c r="J132" s="91" t="n"/>
      <c r="K132" s="91" t="n"/>
      <c r="L132" s="94" t="str">
        <f>IF(N132=0,"",IF(NOT(ISNUMBER(F132)),"Quantidade não informada",IF(F132&lt;=0,"Quantidade não positiva",IF(G132="","Unidade não informada",IF(NOT(ISNUMBER(H132)),"Unidade a conferir",IF(AC132=1,"REVISAR VÍNCULO: soma vinculada maior que a referência do item","OK"))))))</f>
        <v/>
      </c>
      <c r="M132" s="94" t="str">
        <f>IF(N132=0,"",IF(B132="","CDF não informado",IF(Q132=0,"REVISAR VÍNCULO: CDF inexistente",IF(C132="","Item não informado",IF(T132=0,"REVISAR VÍNCULO: item inexistente",IF(AND(X132=1,J132&lt;&gt;"Sim"),"REVISAR VÍNCULO: destinador diferente do MTR",IF(X132=1,"Destinador diferente do MTR (analisado)","OK")))))))</f>
        <v/>
      </c>
      <c r="N132" s="96">
        <f>IF(COUNTA(B132:C132,F132:G132,J132:K132)&gt;0,1,0)</f>
        <v>0</v>
      </c>
      <c r="O132" s="96" t="str">
        <f>IF(B132="","",TRIM(LEFT(B132,FIND(" |",B132&amp;" |")-1)))</f>
        <v/>
      </c>
      <c r="P132" s="96" t="str">
        <f>IF(O132="","",IFERROR(MATCH(O132,'CDFs'!$A$6:$A$505,0),""))</f>
        <v/>
      </c>
      <c r="Q132" s="96">
        <f>IF(P132="",0,IF(INDEX('CDFs'!$S$6:$S$505,P132)=1,1,0))</f>
        <v>0</v>
      </c>
      <c r="R132" s="96" t="str">
        <f>IF(C132="","",TRIM(LEFT(C132,FIND(" |",C132&amp;" |")-1)))</f>
        <v/>
      </c>
      <c r="S132" s="96" t="str">
        <f>IF(R132="","",IFERROR(MATCH(R132,'ITENS_MTR'!$A$6:$A$1005,0),""))</f>
        <v/>
      </c>
      <c r="T132" s="96">
        <f>IF(S132="",0,IF(INDEX('ITENS_MTR'!$R$6:$R$1005,S132)=1,1,0))</f>
        <v>0</v>
      </c>
      <c r="U132" s="96" t="str">
        <f>IF(G132="","",IFERROR(IF(ISNUMBER(INDEX(cfg_fac,MATCH(G132,cfg_units,0))),IF(INDEX(cfg_fac,MATCH(G132,cfg_units,0))&gt;0,INDEX(cfg_fac,MATCH(G132,cfg_units,0)),""),""),""))</f>
        <v/>
      </c>
      <c r="V132" s="96">
        <f>IF(AND(ISNUMBER(F132),ISNUMBER(H132)),IF(H132&gt;0,1,0),0)</f>
        <v>0</v>
      </c>
      <c r="W132" s="96" t="str">
        <f>IF(T132=1,INDEX('ITENS_MTR'!$AU$6:$AU$1005,S132)&amp;"","")</f>
        <v/>
      </c>
      <c r="X132" s="96">
        <f>IF(AND(Q132=1,T132=1,I132&lt;&gt;"",W132&lt;&gt;""),IF(I132&lt;&gt;W132,1,0),0)</f>
        <v>0</v>
      </c>
      <c r="Y132" s="96">
        <f>IF(N132=0,0,IF(OR(Q132=0,T132=0,V132=0,AND(X132=1,J132&lt;&gt;"Sim")),1,0))</f>
        <v>0</v>
      </c>
      <c r="Z132" s="96">
        <f>IF(Q132=1,INDEX('CDFs'!$W$6:$W$505,P132),0)</f>
        <v>0</v>
      </c>
      <c r="AA132" s="96">
        <f>IF(AND(N132=1,Y132=0,Z132=1,J132="Sim"),1,0)</f>
        <v>0</v>
      </c>
      <c r="AB132" s="96">
        <f>IF(AND(N132=1,O132&lt;&gt;"",D132&lt;&gt;""),IF(COUNTIFS($O$6:O132,O132,$D$6:D132,D132)=1,1,0),0)</f>
        <v>0</v>
      </c>
      <c r="AC132" s="96">
        <f>IF(T132=1,INDEX('ITENS_MTR'!$AL$6:$AL$1005,S132),0)</f>
        <v>0</v>
      </c>
    </row>
    <row r="133">
      <c r="A133" s="89" t="inlineStr">
        <is>
          <t>VIN-000128</t>
        </is>
      </c>
      <c r="B133" s="91" t="n"/>
      <c r="C133" s="91" t="n"/>
      <c r="D133" s="94" t="str">
        <f>IF(T133=1,INDEX('ITENS_MTR'!$S$6:$S$1005,S133)&amp;"","")</f>
        <v/>
      </c>
      <c r="E133" s="94" t="str">
        <f>IF(T133=1,INDEX('ITENS_MTR'!$C$6:$C$1005,S133)&amp;"","")</f>
        <v/>
      </c>
      <c r="F133" s="98" t="n"/>
      <c r="G133" s="91" t="n"/>
      <c r="H133" s="93" t="str">
        <f>IF(N133=0,"",IF(NOT(ISNUMBER(F133)),"",IF(ISNUMBER(U133),F133*U133,"UNIDADE A CONFERIR")))</f>
        <v/>
      </c>
      <c r="I133" s="94" t="str">
        <f>IF(Q133=1,INDEX('CDFs'!$F$6:$F$505,P133)&amp;"","")</f>
        <v/>
      </c>
      <c r="J133" s="91" t="n"/>
      <c r="K133" s="91" t="n"/>
      <c r="L133" s="94" t="str">
        <f>IF(N133=0,"",IF(NOT(ISNUMBER(F133)),"Quantidade não informada",IF(F133&lt;=0,"Quantidade não positiva",IF(G133="","Unidade não informada",IF(NOT(ISNUMBER(H133)),"Unidade a conferir",IF(AC133=1,"REVISAR VÍNCULO: soma vinculada maior que a referência do item","OK"))))))</f>
        <v/>
      </c>
      <c r="M133" s="94" t="str">
        <f>IF(N133=0,"",IF(B133="","CDF não informado",IF(Q133=0,"REVISAR VÍNCULO: CDF inexistente",IF(C133="","Item não informado",IF(T133=0,"REVISAR VÍNCULO: item inexistente",IF(AND(X133=1,J133&lt;&gt;"Sim"),"REVISAR VÍNCULO: destinador diferente do MTR",IF(X133=1,"Destinador diferente do MTR (analisado)","OK")))))))</f>
        <v/>
      </c>
      <c r="N133" s="96">
        <f>IF(COUNTA(B133:C133,F133:G133,J133:K133)&gt;0,1,0)</f>
        <v>0</v>
      </c>
      <c r="O133" s="96" t="str">
        <f>IF(B133="","",TRIM(LEFT(B133,FIND(" |",B133&amp;" |")-1)))</f>
        <v/>
      </c>
      <c r="P133" s="96" t="str">
        <f>IF(O133="","",IFERROR(MATCH(O133,'CDFs'!$A$6:$A$505,0),""))</f>
        <v/>
      </c>
      <c r="Q133" s="96">
        <f>IF(P133="",0,IF(INDEX('CDFs'!$S$6:$S$505,P133)=1,1,0))</f>
        <v>0</v>
      </c>
      <c r="R133" s="96" t="str">
        <f>IF(C133="","",TRIM(LEFT(C133,FIND(" |",C133&amp;" |")-1)))</f>
        <v/>
      </c>
      <c r="S133" s="96" t="str">
        <f>IF(R133="","",IFERROR(MATCH(R133,'ITENS_MTR'!$A$6:$A$1005,0),""))</f>
        <v/>
      </c>
      <c r="T133" s="96">
        <f>IF(S133="",0,IF(INDEX('ITENS_MTR'!$R$6:$R$1005,S133)=1,1,0))</f>
        <v>0</v>
      </c>
      <c r="U133" s="96" t="str">
        <f>IF(G133="","",IFERROR(IF(ISNUMBER(INDEX(cfg_fac,MATCH(G133,cfg_units,0))),IF(INDEX(cfg_fac,MATCH(G133,cfg_units,0))&gt;0,INDEX(cfg_fac,MATCH(G133,cfg_units,0)),""),""),""))</f>
        <v/>
      </c>
      <c r="V133" s="96">
        <f>IF(AND(ISNUMBER(F133),ISNUMBER(H133)),IF(H133&gt;0,1,0),0)</f>
        <v>0</v>
      </c>
      <c r="W133" s="96" t="str">
        <f>IF(T133=1,INDEX('ITENS_MTR'!$AU$6:$AU$1005,S133)&amp;"","")</f>
        <v/>
      </c>
      <c r="X133" s="96">
        <f>IF(AND(Q133=1,T133=1,I133&lt;&gt;"",W133&lt;&gt;""),IF(I133&lt;&gt;W133,1,0),0)</f>
        <v>0</v>
      </c>
      <c r="Y133" s="96">
        <f>IF(N133=0,0,IF(OR(Q133=0,T133=0,V133=0,AND(X133=1,J133&lt;&gt;"Sim")),1,0))</f>
        <v>0</v>
      </c>
      <c r="Z133" s="96">
        <f>IF(Q133=1,INDEX('CDFs'!$W$6:$W$505,P133),0)</f>
        <v>0</v>
      </c>
      <c r="AA133" s="96">
        <f>IF(AND(N133=1,Y133=0,Z133=1,J133="Sim"),1,0)</f>
        <v>0</v>
      </c>
      <c r="AB133" s="96">
        <f>IF(AND(N133=1,O133&lt;&gt;"",D133&lt;&gt;""),IF(COUNTIFS($O$6:O133,O133,$D$6:D133,D133)=1,1,0),0)</f>
        <v>0</v>
      </c>
      <c r="AC133" s="96">
        <f>IF(T133=1,INDEX('ITENS_MTR'!$AL$6:$AL$1005,S133),0)</f>
        <v>0</v>
      </c>
    </row>
    <row r="134">
      <c r="A134" s="89" t="inlineStr">
        <is>
          <t>VIN-000129</t>
        </is>
      </c>
      <c r="B134" s="91" t="n"/>
      <c r="C134" s="91" t="n"/>
      <c r="D134" s="94" t="str">
        <f>IF(T134=1,INDEX('ITENS_MTR'!$S$6:$S$1005,S134)&amp;"","")</f>
        <v/>
      </c>
      <c r="E134" s="94" t="str">
        <f>IF(T134=1,INDEX('ITENS_MTR'!$C$6:$C$1005,S134)&amp;"","")</f>
        <v/>
      </c>
      <c r="F134" s="98" t="n"/>
      <c r="G134" s="91" t="n"/>
      <c r="H134" s="93" t="str">
        <f>IF(N134=0,"",IF(NOT(ISNUMBER(F134)),"",IF(ISNUMBER(U134),F134*U134,"UNIDADE A CONFERIR")))</f>
        <v/>
      </c>
      <c r="I134" s="94" t="str">
        <f>IF(Q134=1,INDEX('CDFs'!$F$6:$F$505,P134)&amp;"","")</f>
        <v/>
      </c>
      <c r="J134" s="91" t="n"/>
      <c r="K134" s="91" t="n"/>
      <c r="L134" s="94" t="str">
        <f>IF(N134=0,"",IF(NOT(ISNUMBER(F134)),"Quantidade não informada",IF(F134&lt;=0,"Quantidade não positiva",IF(G134="","Unidade não informada",IF(NOT(ISNUMBER(H134)),"Unidade a conferir",IF(AC134=1,"REVISAR VÍNCULO: soma vinculada maior que a referência do item","OK"))))))</f>
        <v/>
      </c>
      <c r="M134" s="94" t="str">
        <f>IF(N134=0,"",IF(B134="","CDF não informado",IF(Q134=0,"REVISAR VÍNCULO: CDF inexistente",IF(C134="","Item não informado",IF(T134=0,"REVISAR VÍNCULO: item inexistente",IF(AND(X134=1,J134&lt;&gt;"Sim"),"REVISAR VÍNCULO: destinador diferente do MTR",IF(X134=1,"Destinador diferente do MTR (analisado)","OK")))))))</f>
        <v/>
      </c>
      <c r="N134" s="96">
        <f>IF(COUNTA(B134:C134,F134:G134,J134:K134)&gt;0,1,0)</f>
        <v>0</v>
      </c>
      <c r="O134" s="96" t="str">
        <f>IF(B134="","",TRIM(LEFT(B134,FIND(" |",B134&amp;" |")-1)))</f>
        <v/>
      </c>
      <c r="P134" s="96" t="str">
        <f>IF(O134="","",IFERROR(MATCH(O134,'CDFs'!$A$6:$A$505,0),""))</f>
        <v/>
      </c>
      <c r="Q134" s="96">
        <f>IF(P134="",0,IF(INDEX('CDFs'!$S$6:$S$505,P134)=1,1,0))</f>
        <v>0</v>
      </c>
      <c r="R134" s="96" t="str">
        <f>IF(C134="","",TRIM(LEFT(C134,FIND(" |",C134&amp;" |")-1)))</f>
        <v/>
      </c>
      <c r="S134" s="96" t="str">
        <f>IF(R134="","",IFERROR(MATCH(R134,'ITENS_MTR'!$A$6:$A$1005,0),""))</f>
        <v/>
      </c>
      <c r="T134" s="96">
        <f>IF(S134="",0,IF(INDEX('ITENS_MTR'!$R$6:$R$1005,S134)=1,1,0))</f>
        <v>0</v>
      </c>
      <c r="U134" s="96" t="str">
        <f>IF(G134="","",IFERROR(IF(ISNUMBER(INDEX(cfg_fac,MATCH(G134,cfg_units,0))),IF(INDEX(cfg_fac,MATCH(G134,cfg_units,0))&gt;0,INDEX(cfg_fac,MATCH(G134,cfg_units,0)),""),""),""))</f>
        <v/>
      </c>
      <c r="V134" s="96">
        <f>IF(AND(ISNUMBER(F134),ISNUMBER(H134)),IF(H134&gt;0,1,0),0)</f>
        <v>0</v>
      </c>
      <c r="W134" s="96" t="str">
        <f>IF(T134=1,INDEX('ITENS_MTR'!$AU$6:$AU$1005,S134)&amp;"","")</f>
        <v/>
      </c>
      <c r="X134" s="96">
        <f>IF(AND(Q134=1,T134=1,I134&lt;&gt;"",W134&lt;&gt;""),IF(I134&lt;&gt;W134,1,0),0)</f>
        <v>0</v>
      </c>
      <c r="Y134" s="96">
        <f>IF(N134=0,0,IF(OR(Q134=0,T134=0,V134=0,AND(X134=1,J134&lt;&gt;"Sim")),1,0))</f>
        <v>0</v>
      </c>
      <c r="Z134" s="96">
        <f>IF(Q134=1,INDEX('CDFs'!$W$6:$W$505,P134),0)</f>
        <v>0</v>
      </c>
      <c r="AA134" s="96">
        <f>IF(AND(N134=1,Y134=0,Z134=1,J134="Sim"),1,0)</f>
        <v>0</v>
      </c>
      <c r="AB134" s="96">
        <f>IF(AND(N134=1,O134&lt;&gt;"",D134&lt;&gt;""),IF(COUNTIFS($O$6:O134,O134,$D$6:D134,D134)=1,1,0),0)</f>
        <v>0</v>
      </c>
      <c r="AC134" s="96">
        <f>IF(T134=1,INDEX('ITENS_MTR'!$AL$6:$AL$1005,S134),0)</f>
        <v>0</v>
      </c>
    </row>
    <row r="135">
      <c r="A135" s="89" t="inlineStr">
        <is>
          <t>VIN-000130</t>
        </is>
      </c>
      <c r="B135" s="91" t="n"/>
      <c r="C135" s="91" t="n"/>
      <c r="D135" s="94" t="str">
        <f>IF(T135=1,INDEX('ITENS_MTR'!$S$6:$S$1005,S135)&amp;"","")</f>
        <v/>
      </c>
      <c r="E135" s="94" t="str">
        <f>IF(T135=1,INDEX('ITENS_MTR'!$C$6:$C$1005,S135)&amp;"","")</f>
        <v/>
      </c>
      <c r="F135" s="98" t="n"/>
      <c r="G135" s="91" t="n"/>
      <c r="H135" s="93" t="str">
        <f>IF(N135=0,"",IF(NOT(ISNUMBER(F135)),"",IF(ISNUMBER(U135),F135*U135,"UNIDADE A CONFERIR")))</f>
        <v/>
      </c>
      <c r="I135" s="94" t="str">
        <f>IF(Q135=1,INDEX('CDFs'!$F$6:$F$505,P135)&amp;"","")</f>
        <v/>
      </c>
      <c r="J135" s="91" t="n"/>
      <c r="K135" s="91" t="n"/>
      <c r="L135" s="94" t="str">
        <f>IF(N135=0,"",IF(NOT(ISNUMBER(F135)),"Quantidade não informada",IF(F135&lt;=0,"Quantidade não positiva",IF(G135="","Unidade não informada",IF(NOT(ISNUMBER(H135)),"Unidade a conferir",IF(AC135=1,"REVISAR VÍNCULO: soma vinculada maior que a referência do item","OK"))))))</f>
        <v/>
      </c>
      <c r="M135" s="94" t="str">
        <f>IF(N135=0,"",IF(B135="","CDF não informado",IF(Q135=0,"REVISAR VÍNCULO: CDF inexistente",IF(C135="","Item não informado",IF(T135=0,"REVISAR VÍNCULO: item inexistente",IF(AND(X135=1,J135&lt;&gt;"Sim"),"REVISAR VÍNCULO: destinador diferente do MTR",IF(X135=1,"Destinador diferente do MTR (analisado)","OK")))))))</f>
        <v/>
      </c>
      <c r="N135" s="96">
        <f>IF(COUNTA(B135:C135,F135:G135,J135:K135)&gt;0,1,0)</f>
        <v>0</v>
      </c>
      <c r="O135" s="96" t="str">
        <f>IF(B135="","",TRIM(LEFT(B135,FIND(" |",B135&amp;" |")-1)))</f>
        <v/>
      </c>
      <c r="P135" s="96" t="str">
        <f>IF(O135="","",IFERROR(MATCH(O135,'CDFs'!$A$6:$A$505,0),""))</f>
        <v/>
      </c>
      <c r="Q135" s="96">
        <f>IF(P135="",0,IF(INDEX('CDFs'!$S$6:$S$505,P135)=1,1,0))</f>
        <v>0</v>
      </c>
      <c r="R135" s="96" t="str">
        <f>IF(C135="","",TRIM(LEFT(C135,FIND(" |",C135&amp;" |")-1)))</f>
        <v/>
      </c>
      <c r="S135" s="96" t="str">
        <f>IF(R135="","",IFERROR(MATCH(R135,'ITENS_MTR'!$A$6:$A$1005,0),""))</f>
        <v/>
      </c>
      <c r="T135" s="96">
        <f>IF(S135="",0,IF(INDEX('ITENS_MTR'!$R$6:$R$1005,S135)=1,1,0))</f>
        <v>0</v>
      </c>
      <c r="U135" s="96" t="str">
        <f>IF(G135="","",IFERROR(IF(ISNUMBER(INDEX(cfg_fac,MATCH(G135,cfg_units,0))),IF(INDEX(cfg_fac,MATCH(G135,cfg_units,0))&gt;0,INDEX(cfg_fac,MATCH(G135,cfg_units,0)),""),""),""))</f>
        <v/>
      </c>
      <c r="V135" s="96">
        <f>IF(AND(ISNUMBER(F135),ISNUMBER(H135)),IF(H135&gt;0,1,0),0)</f>
        <v>0</v>
      </c>
      <c r="W135" s="96" t="str">
        <f>IF(T135=1,INDEX('ITENS_MTR'!$AU$6:$AU$1005,S135)&amp;"","")</f>
        <v/>
      </c>
      <c r="X135" s="96">
        <f>IF(AND(Q135=1,T135=1,I135&lt;&gt;"",W135&lt;&gt;""),IF(I135&lt;&gt;W135,1,0),0)</f>
        <v>0</v>
      </c>
      <c r="Y135" s="96">
        <f>IF(N135=0,0,IF(OR(Q135=0,T135=0,V135=0,AND(X135=1,J135&lt;&gt;"Sim")),1,0))</f>
        <v>0</v>
      </c>
      <c r="Z135" s="96">
        <f>IF(Q135=1,INDEX('CDFs'!$W$6:$W$505,P135),0)</f>
        <v>0</v>
      </c>
      <c r="AA135" s="96">
        <f>IF(AND(N135=1,Y135=0,Z135=1,J135="Sim"),1,0)</f>
        <v>0</v>
      </c>
      <c r="AB135" s="96">
        <f>IF(AND(N135=1,O135&lt;&gt;"",D135&lt;&gt;""),IF(COUNTIFS($O$6:O135,O135,$D$6:D135,D135)=1,1,0),0)</f>
        <v>0</v>
      </c>
      <c r="AC135" s="96">
        <f>IF(T135=1,INDEX('ITENS_MTR'!$AL$6:$AL$1005,S135),0)</f>
        <v>0</v>
      </c>
    </row>
    <row r="136">
      <c r="A136" s="89" t="inlineStr">
        <is>
          <t>VIN-000131</t>
        </is>
      </c>
      <c r="B136" s="91" t="n"/>
      <c r="C136" s="91" t="n"/>
      <c r="D136" s="94" t="str">
        <f>IF(T136=1,INDEX('ITENS_MTR'!$S$6:$S$1005,S136)&amp;"","")</f>
        <v/>
      </c>
      <c r="E136" s="94" t="str">
        <f>IF(T136=1,INDEX('ITENS_MTR'!$C$6:$C$1005,S136)&amp;"","")</f>
        <v/>
      </c>
      <c r="F136" s="98" t="n"/>
      <c r="G136" s="91" t="n"/>
      <c r="H136" s="93" t="str">
        <f>IF(N136=0,"",IF(NOT(ISNUMBER(F136)),"",IF(ISNUMBER(U136),F136*U136,"UNIDADE A CONFERIR")))</f>
        <v/>
      </c>
      <c r="I136" s="94" t="str">
        <f>IF(Q136=1,INDEX('CDFs'!$F$6:$F$505,P136)&amp;"","")</f>
        <v/>
      </c>
      <c r="J136" s="91" t="n"/>
      <c r="K136" s="91" t="n"/>
      <c r="L136" s="94" t="str">
        <f>IF(N136=0,"",IF(NOT(ISNUMBER(F136)),"Quantidade não informada",IF(F136&lt;=0,"Quantidade não positiva",IF(G136="","Unidade não informada",IF(NOT(ISNUMBER(H136)),"Unidade a conferir",IF(AC136=1,"REVISAR VÍNCULO: soma vinculada maior que a referência do item","OK"))))))</f>
        <v/>
      </c>
      <c r="M136" s="94" t="str">
        <f>IF(N136=0,"",IF(B136="","CDF não informado",IF(Q136=0,"REVISAR VÍNCULO: CDF inexistente",IF(C136="","Item não informado",IF(T136=0,"REVISAR VÍNCULO: item inexistente",IF(AND(X136=1,J136&lt;&gt;"Sim"),"REVISAR VÍNCULO: destinador diferente do MTR",IF(X136=1,"Destinador diferente do MTR (analisado)","OK")))))))</f>
        <v/>
      </c>
      <c r="N136" s="96">
        <f>IF(COUNTA(B136:C136,F136:G136,J136:K136)&gt;0,1,0)</f>
        <v>0</v>
      </c>
      <c r="O136" s="96" t="str">
        <f>IF(B136="","",TRIM(LEFT(B136,FIND(" |",B136&amp;" |")-1)))</f>
        <v/>
      </c>
      <c r="P136" s="96" t="str">
        <f>IF(O136="","",IFERROR(MATCH(O136,'CDFs'!$A$6:$A$505,0),""))</f>
        <v/>
      </c>
      <c r="Q136" s="96">
        <f>IF(P136="",0,IF(INDEX('CDFs'!$S$6:$S$505,P136)=1,1,0))</f>
        <v>0</v>
      </c>
      <c r="R136" s="96" t="str">
        <f>IF(C136="","",TRIM(LEFT(C136,FIND(" |",C136&amp;" |")-1)))</f>
        <v/>
      </c>
      <c r="S136" s="96" t="str">
        <f>IF(R136="","",IFERROR(MATCH(R136,'ITENS_MTR'!$A$6:$A$1005,0),""))</f>
        <v/>
      </c>
      <c r="T136" s="96">
        <f>IF(S136="",0,IF(INDEX('ITENS_MTR'!$R$6:$R$1005,S136)=1,1,0))</f>
        <v>0</v>
      </c>
      <c r="U136" s="96" t="str">
        <f>IF(G136="","",IFERROR(IF(ISNUMBER(INDEX(cfg_fac,MATCH(G136,cfg_units,0))),IF(INDEX(cfg_fac,MATCH(G136,cfg_units,0))&gt;0,INDEX(cfg_fac,MATCH(G136,cfg_units,0)),""),""),""))</f>
        <v/>
      </c>
      <c r="V136" s="96">
        <f>IF(AND(ISNUMBER(F136),ISNUMBER(H136)),IF(H136&gt;0,1,0),0)</f>
        <v>0</v>
      </c>
      <c r="W136" s="96" t="str">
        <f>IF(T136=1,INDEX('ITENS_MTR'!$AU$6:$AU$1005,S136)&amp;"","")</f>
        <v/>
      </c>
      <c r="X136" s="96">
        <f>IF(AND(Q136=1,T136=1,I136&lt;&gt;"",W136&lt;&gt;""),IF(I136&lt;&gt;W136,1,0),0)</f>
        <v>0</v>
      </c>
      <c r="Y136" s="96">
        <f>IF(N136=0,0,IF(OR(Q136=0,T136=0,V136=0,AND(X136=1,J136&lt;&gt;"Sim")),1,0))</f>
        <v>0</v>
      </c>
      <c r="Z136" s="96">
        <f>IF(Q136=1,INDEX('CDFs'!$W$6:$W$505,P136),0)</f>
        <v>0</v>
      </c>
      <c r="AA136" s="96">
        <f>IF(AND(N136=1,Y136=0,Z136=1,J136="Sim"),1,0)</f>
        <v>0</v>
      </c>
      <c r="AB136" s="96">
        <f>IF(AND(N136=1,O136&lt;&gt;"",D136&lt;&gt;""),IF(COUNTIFS($O$6:O136,O136,$D$6:D136,D136)=1,1,0),0)</f>
        <v>0</v>
      </c>
      <c r="AC136" s="96">
        <f>IF(T136=1,INDEX('ITENS_MTR'!$AL$6:$AL$1005,S136),0)</f>
        <v>0</v>
      </c>
    </row>
    <row r="137">
      <c r="A137" s="89" t="inlineStr">
        <is>
          <t>VIN-000132</t>
        </is>
      </c>
      <c r="B137" s="91" t="n"/>
      <c r="C137" s="91" t="n"/>
      <c r="D137" s="94" t="str">
        <f>IF(T137=1,INDEX('ITENS_MTR'!$S$6:$S$1005,S137)&amp;"","")</f>
        <v/>
      </c>
      <c r="E137" s="94" t="str">
        <f>IF(T137=1,INDEX('ITENS_MTR'!$C$6:$C$1005,S137)&amp;"","")</f>
        <v/>
      </c>
      <c r="F137" s="98" t="n"/>
      <c r="G137" s="91" t="n"/>
      <c r="H137" s="93" t="str">
        <f>IF(N137=0,"",IF(NOT(ISNUMBER(F137)),"",IF(ISNUMBER(U137),F137*U137,"UNIDADE A CONFERIR")))</f>
        <v/>
      </c>
      <c r="I137" s="94" t="str">
        <f>IF(Q137=1,INDEX('CDFs'!$F$6:$F$505,P137)&amp;"","")</f>
        <v/>
      </c>
      <c r="J137" s="91" t="n"/>
      <c r="K137" s="91" t="n"/>
      <c r="L137" s="94" t="str">
        <f>IF(N137=0,"",IF(NOT(ISNUMBER(F137)),"Quantidade não informada",IF(F137&lt;=0,"Quantidade não positiva",IF(G137="","Unidade não informada",IF(NOT(ISNUMBER(H137)),"Unidade a conferir",IF(AC137=1,"REVISAR VÍNCULO: soma vinculada maior que a referência do item","OK"))))))</f>
        <v/>
      </c>
      <c r="M137" s="94" t="str">
        <f>IF(N137=0,"",IF(B137="","CDF não informado",IF(Q137=0,"REVISAR VÍNCULO: CDF inexistente",IF(C137="","Item não informado",IF(T137=0,"REVISAR VÍNCULO: item inexistente",IF(AND(X137=1,J137&lt;&gt;"Sim"),"REVISAR VÍNCULO: destinador diferente do MTR",IF(X137=1,"Destinador diferente do MTR (analisado)","OK")))))))</f>
        <v/>
      </c>
      <c r="N137" s="96">
        <f>IF(COUNTA(B137:C137,F137:G137,J137:K137)&gt;0,1,0)</f>
        <v>0</v>
      </c>
      <c r="O137" s="96" t="str">
        <f>IF(B137="","",TRIM(LEFT(B137,FIND(" |",B137&amp;" |")-1)))</f>
        <v/>
      </c>
      <c r="P137" s="96" t="str">
        <f>IF(O137="","",IFERROR(MATCH(O137,'CDFs'!$A$6:$A$505,0),""))</f>
        <v/>
      </c>
      <c r="Q137" s="96">
        <f>IF(P137="",0,IF(INDEX('CDFs'!$S$6:$S$505,P137)=1,1,0))</f>
        <v>0</v>
      </c>
      <c r="R137" s="96" t="str">
        <f>IF(C137="","",TRIM(LEFT(C137,FIND(" |",C137&amp;" |")-1)))</f>
        <v/>
      </c>
      <c r="S137" s="96" t="str">
        <f>IF(R137="","",IFERROR(MATCH(R137,'ITENS_MTR'!$A$6:$A$1005,0),""))</f>
        <v/>
      </c>
      <c r="T137" s="96">
        <f>IF(S137="",0,IF(INDEX('ITENS_MTR'!$R$6:$R$1005,S137)=1,1,0))</f>
        <v>0</v>
      </c>
      <c r="U137" s="96" t="str">
        <f>IF(G137="","",IFERROR(IF(ISNUMBER(INDEX(cfg_fac,MATCH(G137,cfg_units,0))),IF(INDEX(cfg_fac,MATCH(G137,cfg_units,0))&gt;0,INDEX(cfg_fac,MATCH(G137,cfg_units,0)),""),""),""))</f>
        <v/>
      </c>
      <c r="V137" s="96">
        <f>IF(AND(ISNUMBER(F137),ISNUMBER(H137)),IF(H137&gt;0,1,0),0)</f>
        <v>0</v>
      </c>
      <c r="W137" s="96" t="str">
        <f>IF(T137=1,INDEX('ITENS_MTR'!$AU$6:$AU$1005,S137)&amp;"","")</f>
        <v/>
      </c>
      <c r="X137" s="96">
        <f>IF(AND(Q137=1,T137=1,I137&lt;&gt;"",W137&lt;&gt;""),IF(I137&lt;&gt;W137,1,0),0)</f>
        <v>0</v>
      </c>
      <c r="Y137" s="96">
        <f>IF(N137=0,0,IF(OR(Q137=0,T137=0,V137=0,AND(X137=1,J137&lt;&gt;"Sim")),1,0))</f>
        <v>0</v>
      </c>
      <c r="Z137" s="96">
        <f>IF(Q137=1,INDEX('CDFs'!$W$6:$W$505,P137),0)</f>
        <v>0</v>
      </c>
      <c r="AA137" s="96">
        <f>IF(AND(N137=1,Y137=0,Z137=1,J137="Sim"),1,0)</f>
        <v>0</v>
      </c>
      <c r="AB137" s="96">
        <f>IF(AND(N137=1,O137&lt;&gt;"",D137&lt;&gt;""),IF(COUNTIFS($O$6:O137,O137,$D$6:D137,D137)=1,1,0),0)</f>
        <v>0</v>
      </c>
      <c r="AC137" s="96">
        <f>IF(T137=1,INDEX('ITENS_MTR'!$AL$6:$AL$1005,S137),0)</f>
        <v>0</v>
      </c>
    </row>
    <row r="138">
      <c r="A138" s="89" t="inlineStr">
        <is>
          <t>VIN-000133</t>
        </is>
      </c>
      <c r="B138" s="91" t="n"/>
      <c r="C138" s="91" t="n"/>
      <c r="D138" s="94" t="str">
        <f>IF(T138=1,INDEX('ITENS_MTR'!$S$6:$S$1005,S138)&amp;"","")</f>
        <v/>
      </c>
      <c r="E138" s="94" t="str">
        <f>IF(T138=1,INDEX('ITENS_MTR'!$C$6:$C$1005,S138)&amp;"","")</f>
        <v/>
      </c>
      <c r="F138" s="98" t="n"/>
      <c r="G138" s="91" t="n"/>
      <c r="H138" s="93" t="str">
        <f>IF(N138=0,"",IF(NOT(ISNUMBER(F138)),"",IF(ISNUMBER(U138),F138*U138,"UNIDADE A CONFERIR")))</f>
        <v/>
      </c>
      <c r="I138" s="94" t="str">
        <f>IF(Q138=1,INDEX('CDFs'!$F$6:$F$505,P138)&amp;"","")</f>
        <v/>
      </c>
      <c r="J138" s="91" t="n"/>
      <c r="K138" s="91" t="n"/>
      <c r="L138" s="94" t="str">
        <f>IF(N138=0,"",IF(NOT(ISNUMBER(F138)),"Quantidade não informada",IF(F138&lt;=0,"Quantidade não positiva",IF(G138="","Unidade não informada",IF(NOT(ISNUMBER(H138)),"Unidade a conferir",IF(AC138=1,"REVISAR VÍNCULO: soma vinculada maior que a referência do item","OK"))))))</f>
        <v/>
      </c>
      <c r="M138" s="94" t="str">
        <f>IF(N138=0,"",IF(B138="","CDF não informado",IF(Q138=0,"REVISAR VÍNCULO: CDF inexistente",IF(C138="","Item não informado",IF(T138=0,"REVISAR VÍNCULO: item inexistente",IF(AND(X138=1,J138&lt;&gt;"Sim"),"REVISAR VÍNCULO: destinador diferente do MTR",IF(X138=1,"Destinador diferente do MTR (analisado)","OK")))))))</f>
        <v/>
      </c>
      <c r="N138" s="96">
        <f>IF(COUNTA(B138:C138,F138:G138,J138:K138)&gt;0,1,0)</f>
        <v>0</v>
      </c>
      <c r="O138" s="96" t="str">
        <f>IF(B138="","",TRIM(LEFT(B138,FIND(" |",B138&amp;" |")-1)))</f>
        <v/>
      </c>
      <c r="P138" s="96" t="str">
        <f>IF(O138="","",IFERROR(MATCH(O138,'CDFs'!$A$6:$A$505,0),""))</f>
        <v/>
      </c>
      <c r="Q138" s="96">
        <f>IF(P138="",0,IF(INDEX('CDFs'!$S$6:$S$505,P138)=1,1,0))</f>
        <v>0</v>
      </c>
      <c r="R138" s="96" t="str">
        <f>IF(C138="","",TRIM(LEFT(C138,FIND(" |",C138&amp;" |")-1)))</f>
        <v/>
      </c>
      <c r="S138" s="96" t="str">
        <f>IF(R138="","",IFERROR(MATCH(R138,'ITENS_MTR'!$A$6:$A$1005,0),""))</f>
        <v/>
      </c>
      <c r="T138" s="96">
        <f>IF(S138="",0,IF(INDEX('ITENS_MTR'!$R$6:$R$1005,S138)=1,1,0))</f>
        <v>0</v>
      </c>
      <c r="U138" s="96" t="str">
        <f>IF(G138="","",IFERROR(IF(ISNUMBER(INDEX(cfg_fac,MATCH(G138,cfg_units,0))),IF(INDEX(cfg_fac,MATCH(G138,cfg_units,0))&gt;0,INDEX(cfg_fac,MATCH(G138,cfg_units,0)),""),""),""))</f>
        <v/>
      </c>
      <c r="V138" s="96">
        <f>IF(AND(ISNUMBER(F138),ISNUMBER(H138)),IF(H138&gt;0,1,0),0)</f>
        <v>0</v>
      </c>
      <c r="W138" s="96" t="str">
        <f>IF(T138=1,INDEX('ITENS_MTR'!$AU$6:$AU$1005,S138)&amp;"","")</f>
        <v/>
      </c>
      <c r="X138" s="96">
        <f>IF(AND(Q138=1,T138=1,I138&lt;&gt;"",W138&lt;&gt;""),IF(I138&lt;&gt;W138,1,0),0)</f>
        <v>0</v>
      </c>
      <c r="Y138" s="96">
        <f>IF(N138=0,0,IF(OR(Q138=0,T138=0,V138=0,AND(X138=1,J138&lt;&gt;"Sim")),1,0))</f>
        <v>0</v>
      </c>
      <c r="Z138" s="96">
        <f>IF(Q138=1,INDEX('CDFs'!$W$6:$W$505,P138),0)</f>
        <v>0</v>
      </c>
      <c r="AA138" s="96">
        <f>IF(AND(N138=1,Y138=0,Z138=1,J138="Sim"),1,0)</f>
        <v>0</v>
      </c>
      <c r="AB138" s="96">
        <f>IF(AND(N138=1,O138&lt;&gt;"",D138&lt;&gt;""),IF(COUNTIFS($O$6:O138,O138,$D$6:D138,D138)=1,1,0),0)</f>
        <v>0</v>
      </c>
      <c r="AC138" s="96">
        <f>IF(T138=1,INDEX('ITENS_MTR'!$AL$6:$AL$1005,S138),0)</f>
        <v>0</v>
      </c>
    </row>
    <row r="139">
      <c r="A139" s="89" t="inlineStr">
        <is>
          <t>VIN-000134</t>
        </is>
      </c>
      <c r="B139" s="91" t="n"/>
      <c r="C139" s="91" t="n"/>
      <c r="D139" s="94" t="str">
        <f>IF(T139=1,INDEX('ITENS_MTR'!$S$6:$S$1005,S139)&amp;"","")</f>
        <v/>
      </c>
      <c r="E139" s="94" t="str">
        <f>IF(T139=1,INDEX('ITENS_MTR'!$C$6:$C$1005,S139)&amp;"","")</f>
        <v/>
      </c>
      <c r="F139" s="98" t="n"/>
      <c r="G139" s="91" t="n"/>
      <c r="H139" s="93" t="str">
        <f>IF(N139=0,"",IF(NOT(ISNUMBER(F139)),"",IF(ISNUMBER(U139),F139*U139,"UNIDADE A CONFERIR")))</f>
        <v/>
      </c>
      <c r="I139" s="94" t="str">
        <f>IF(Q139=1,INDEX('CDFs'!$F$6:$F$505,P139)&amp;"","")</f>
        <v/>
      </c>
      <c r="J139" s="91" t="n"/>
      <c r="K139" s="91" t="n"/>
      <c r="L139" s="94" t="str">
        <f>IF(N139=0,"",IF(NOT(ISNUMBER(F139)),"Quantidade não informada",IF(F139&lt;=0,"Quantidade não positiva",IF(G139="","Unidade não informada",IF(NOT(ISNUMBER(H139)),"Unidade a conferir",IF(AC139=1,"REVISAR VÍNCULO: soma vinculada maior que a referência do item","OK"))))))</f>
        <v/>
      </c>
      <c r="M139" s="94" t="str">
        <f>IF(N139=0,"",IF(B139="","CDF não informado",IF(Q139=0,"REVISAR VÍNCULO: CDF inexistente",IF(C139="","Item não informado",IF(T139=0,"REVISAR VÍNCULO: item inexistente",IF(AND(X139=1,J139&lt;&gt;"Sim"),"REVISAR VÍNCULO: destinador diferente do MTR",IF(X139=1,"Destinador diferente do MTR (analisado)","OK")))))))</f>
        <v/>
      </c>
      <c r="N139" s="96">
        <f>IF(COUNTA(B139:C139,F139:G139,J139:K139)&gt;0,1,0)</f>
        <v>0</v>
      </c>
      <c r="O139" s="96" t="str">
        <f>IF(B139="","",TRIM(LEFT(B139,FIND(" |",B139&amp;" |")-1)))</f>
        <v/>
      </c>
      <c r="P139" s="96" t="str">
        <f>IF(O139="","",IFERROR(MATCH(O139,'CDFs'!$A$6:$A$505,0),""))</f>
        <v/>
      </c>
      <c r="Q139" s="96">
        <f>IF(P139="",0,IF(INDEX('CDFs'!$S$6:$S$505,P139)=1,1,0))</f>
        <v>0</v>
      </c>
      <c r="R139" s="96" t="str">
        <f>IF(C139="","",TRIM(LEFT(C139,FIND(" |",C139&amp;" |")-1)))</f>
        <v/>
      </c>
      <c r="S139" s="96" t="str">
        <f>IF(R139="","",IFERROR(MATCH(R139,'ITENS_MTR'!$A$6:$A$1005,0),""))</f>
        <v/>
      </c>
      <c r="T139" s="96">
        <f>IF(S139="",0,IF(INDEX('ITENS_MTR'!$R$6:$R$1005,S139)=1,1,0))</f>
        <v>0</v>
      </c>
      <c r="U139" s="96" t="str">
        <f>IF(G139="","",IFERROR(IF(ISNUMBER(INDEX(cfg_fac,MATCH(G139,cfg_units,0))),IF(INDEX(cfg_fac,MATCH(G139,cfg_units,0))&gt;0,INDEX(cfg_fac,MATCH(G139,cfg_units,0)),""),""),""))</f>
        <v/>
      </c>
      <c r="V139" s="96">
        <f>IF(AND(ISNUMBER(F139),ISNUMBER(H139)),IF(H139&gt;0,1,0),0)</f>
        <v>0</v>
      </c>
      <c r="W139" s="96" t="str">
        <f>IF(T139=1,INDEX('ITENS_MTR'!$AU$6:$AU$1005,S139)&amp;"","")</f>
        <v/>
      </c>
      <c r="X139" s="96">
        <f>IF(AND(Q139=1,T139=1,I139&lt;&gt;"",W139&lt;&gt;""),IF(I139&lt;&gt;W139,1,0),0)</f>
        <v>0</v>
      </c>
      <c r="Y139" s="96">
        <f>IF(N139=0,0,IF(OR(Q139=0,T139=0,V139=0,AND(X139=1,J139&lt;&gt;"Sim")),1,0))</f>
        <v>0</v>
      </c>
      <c r="Z139" s="96">
        <f>IF(Q139=1,INDEX('CDFs'!$W$6:$W$505,P139),0)</f>
        <v>0</v>
      </c>
      <c r="AA139" s="96">
        <f>IF(AND(N139=1,Y139=0,Z139=1,J139="Sim"),1,0)</f>
        <v>0</v>
      </c>
      <c r="AB139" s="96">
        <f>IF(AND(N139=1,O139&lt;&gt;"",D139&lt;&gt;""),IF(COUNTIFS($O$6:O139,O139,$D$6:D139,D139)=1,1,0),0)</f>
        <v>0</v>
      </c>
      <c r="AC139" s="96">
        <f>IF(T139=1,INDEX('ITENS_MTR'!$AL$6:$AL$1005,S139),0)</f>
        <v>0</v>
      </c>
    </row>
    <row r="140">
      <c r="A140" s="89" t="inlineStr">
        <is>
          <t>VIN-000135</t>
        </is>
      </c>
      <c r="B140" s="91" t="n"/>
      <c r="C140" s="91" t="n"/>
      <c r="D140" s="94" t="str">
        <f>IF(T140=1,INDEX('ITENS_MTR'!$S$6:$S$1005,S140)&amp;"","")</f>
        <v/>
      </c>
      <c r="E140" s="94" t="str">
        <f>IF(T140=1,INDEX('ITENS_MTR'!$C$6:$C$1005,S140)&amp;"","")</f>
        <v/>
      </c>
      <c r="F140" s="98" t="n"/>
      <c r="G140" s="91" t="n"/>
      <c r="H140" s="93" t="str">
        <f>IF(N140=0,"",IF(NOT(ISNUMBER(F140)),"",IF(ISNUMBER(U140),F140*U140,"UNIDADE A CONFERIR")))</f>
        <v/>
      </c>
      <c r="I140" s="94" t="str">
        <f>IF(Q140=1,INDEX('CDFs'!$F$6:$F$505,P140)&amp;"","")</f>
        <v/>
      </c>
      <c r="J140" s="91" t="n"/>
      <c r="K140" s="91" t="n"/>
      <c r="L140" s="94" t="str">
        <f>IF(N140=0,"",IF(NOT(ISNUMBER(F140)),"Quantidade não informada",IF(F140&lt;=0,"Quantidade não positiva",IF(G140="","Unidade não informada",IF(NOT(ISNUMBER(H140)),"Unidade a conferir",IF(AC140=1,"REVISAR VÍNCULO: soma vinculada maior que a referência do item","OK"))))))</f>
        <v/>
      </c>
      <c r="M140" s="94" t="str">
        <f>IF(N140=0,"",IF(B140="","CDF não informado",IF(Q140=0,"REVISAR VÍNCULO: CDF inexistente",IF(C140="","Item não informado",IF(T140=0,"REVISAR VÍNCULO: item inexistente",IF(AND(X140=1,J140&lt;&gt;"Sim"),"REVISAR VÍNCULO: destinador diferente do MTR",IF(X140=1,"Destinador diferente do MTR (analisado)","OK")))))))</f>
        <v/>
      </c>
      <c r="N140" s="96">
        <f>IF(COUNTA(B140:C140,F140:G140,J140:K140)&gt;0,1,0)</f>
        <v>0</v>
      </c>
      <c r="O140" s="96" t="str">
        <f>IF(B140="","",TRIM(LEFT(B140,FIND(" |",B140&amp;" |")-1)))</f>
        <v/>
      </c>
      <c r="P140" s="96" t="str">
        <f>IF(O140="","",IFERROR(MATCH(O140,'CDFs'!$A$6:$A$505,0),""))</f>
        <v/>
      </c>
      <c r="Q140" s="96">
        <f>IF(P140="",0,IF(INDEX('CDFs'!$S$6:$S$505,P140)=1,1,0))</f>
        <v>0</v>
      </c>
      <c r="R140" s="96" t="str">
        <f>IF(C140="","",TRIM(LEFT(C140,FIND(" |",C140&amp;" |")-1)))</f>
        <v/>
      </c>
      <c r="S140" s="96" t="str">
        <f>IF(R140="","",IFERROR(MATCH(R140,'ITENS_MTR'!$A$6:$A$1005,0),""))</f>
        <v/>
      </c>
      <c r="T140" s="96">
        <f>IF(S140="",0,IF(INDEX('ITENS_MTR'!$R$6:$R$1005,S140)=1,1,0))</f>
        <v>0</v>
      </c>
      <c r="U140" s="96" t="str">
        <f>IF(G140="","",IFERROR(IF(ISNUMBER(INDEX(cfg_fac,MATCH(G140,cfg_units,0))),IF(INDEX(cfg_fac,MATCH(G140,cfg_units,0))&gt;0,INDEX(cfg_fac,MATCH(G140,cfg_units,0)),""),""),""))</f>
        <v/>
      </c>
      <c r="V140" s="96">
        <f>IF(AND(ISNUMBER(F140),ISNUMBER(H140)),IF(H140&gt;0,1,0),0)</f>
        <v>0</v>
      </c>
      <c r="W140" s="96" t="str">
        <f>IF(T140=1,INDEX('ITENS_MTR'!$AU$6:$AU$1005,S140)&amp;"","")</f>
        <v/>
      </c>
      <c r="X140" s="96">
        <f>IF(AND(Q140=1,T140=1,I140&lt;&gt;"",W140&lt;&gt;""),IF(I140&lt;&gt;W140,1,0),0)</f>
        <v>0</v>
      </c>
      <c r="Y140" s="96">
        <f>IF(N140=0,0,IF(OR(Q140=0,T140=0,V140=0,AND(X140=1,J140&lt;&gt;"Sim")),1,0))</f>
        <v>0</v>
      </c>
      <c r="Z140" s="96">
        <f>IF(Q140=1,INDEX('CDFs'!$W$6:$W$505,P140),0)</f>
        <v>0</v>
      </c>
      <c r="AA140" s="96">
        <f>IF(AND(N140=1,Y140=0,Z140=1,J140="Sim"),1,0)</f>
        <v>0</v>
      </c>
      <c r="AB140" s="96">
        <f>IF(AND(N140=1,O140&lt;&gt;"",D140&lt;&gt;""),IF(COUNTIFS($O$6:O140,O140,$D$6:D140,D140)=1,1,0),0)</f>
        <v>0</v>
      </c>
      <c r="AC140" s="96">
        <f>IF(T140=1,INDEX('ITENS_MTR'!$AL$6:$AL$1005,S140),0)</f>
        <v>0</v>
      </c>
    </row>
    <row r="141">
      <c r="A141" s="89" t="inlineStr">
        <is>
          <t>VIN-000136</t>
        </is>
      </c>
      <c r="B141" s="91" t="n"/>
      <c r="C141" s="91" t="n"/>
      <c r="D141" s="94" t="str">
        <f>IF(T141=1,INDEX('ITENS_MTR'!$S$6:$S$1005,S141)&amp;"","")</f>
        <v/>
      </c>
      <c r="E141" s="94" t="str">
        <f>IF(T141=1,INDEX('ITENS_MTR'!$C$6:$C$1005,S141)&amp;"","")</f>
        <v/>
      </c>
      <c r="F141" s="98" t="n"/>
      <c r="G141" s="91" t="n"/>
      <c r="H141" s="93" t="str">
        <f>IF(N141=0,"",IF(NOT(ISNUMBER(F141)),"",IF(ISNUMBER(U141),F141*U141,"UNIDADE A CONFERIR")))</f>
        <v/>
      </c>
      <c r="I141" s="94" t="str">
        <f>IF(Q141=1,INDEX('CDFs'!$F$6:$F$505,P141)&amp;"","")</f>
        <v/>
      </c>
      <c r="J141" s="91" t="n"/>
      <c r="K141" s="91" t="n"/>
      <c r="L141" s="94" t="str">
        <f>IF(N141=0,"",IF(NOT(ISNUMBER(F141)),"Quantidade não informada",IF(F141&lt;=0,"Quantidade não positiva",IF(G141="","Unidade não informada",IF(NOT(ISNUMBER(H141)),"Unidade a conferir",IF(AC141=1,"REVISAR VÍNCULO: soma vinculada maior que a referência do item","OK"))))))</f>
        <v/>
      </c>
      <c r="M141" s="94" t="str">
        <f>IF(N141=0,"",IF(B141="","CDF não informado",IF(Q141=0,"REVISAR VÍNCULO: CDF inexistente",IF(C141="","Item não informado",IF(T141=0,"REVISAR VÍNCULO: item inexistente",IF(AND(X141=1,J141&lt;&gt;"Sim"),"REVISAR VÍNCULO: destinador diferente do MTR",IF(X141=1,"Destinador diferente do MTR (analisado)","OK")))))))</f>
        <v/>
      </c>
      <c r="N141" s="96">
        <f>IF(COUNTA(B141:C141,F141:G141,J141:K141)&gt;0,1,0)</f>
        <v>0</v>
      </c>
      <c r="O141" s="96" t="str">
        <f>IF(B141="","",TRIM(LEFT(B141,FIND(" |",B141&amp;" |")-1)))</f>
        <v/>
      </c>
      <c r="P141" s="96" t="str">
        <f>IF(O141="","",IFERROR(MATCH(O141,'CDFs'!$A$6:$A$505,0),""))</f>
        <v/>
      </c>
      <c r="Q141" s="96">
        <f>IF(P141="",0,IF(INDEX('CDFs'!$S$6:$S$505,P141)=1,1,0))</f>
        <v>0</v>
      </c>
      <c r="R141" s="96" t="str">
        <f>IF(C141="","",TRIM(LEFT(C141,FIND(" |",C141&amp;" |")-1)))</f>
        <v/>
      </c>
      <c r="S141" s="96" t="str">
        <f>IF(R141="","",IFERROR(MATCH(R141,'ITENS_MTR'!$A$6:$A$1005,0),""))</f>
        <v/>
      </c>
      <c r="T141" s="96">
        <f>IF(S141="",0,IF(INDEX('ITENS_MTR'!$R$6:$R$1005,S141)=1,1,0))</f>
        <v>0</v>
      </c>
      <c r="U141" s="96" t="str">
        <f>IF(G141="","",IFERROR(IF(ISNUMBER(INDEX(cfg_fac,MATCH(G141,cfg_units,0))),IF(INDEX(cfg_fac,MATCH(G141,cfg_units,0))&gt;0,INDEX(cfg_fac,MATCH(G141,cfg_units,0)),""),""),""))</f>
        <v/>
      </c>
      <c r="V141" s="96">
        <f>IF(AND(ISNUMBER(F141),ISNUMBER(H141)),IF(H141&gt;0,1,0),0)</f>
        <v>0</v>
      </c>
      <c r="W141" s="96" t="str">
        <f>IF(T141=1,INDEX('ITENS_MTR'!$AU$6:$AU$1005,S141)&amp;"","")</f>
        <v/>
      </c>
      <c r="X141" s="96">
        <f>IF(AND(Q141=1,T141=1,I141&lt;&gt;"",W141&lt;&gt;""),IF(I141&lt;&gt;W141,1,0),0)</f>
        <v>0</v>
      </c>
      <c r="Y141" s="96">
        <f>IF(N141=0,0,IF(OR(Q141=0,T141=0,V141=0,AND(X141=1,J141&lt;&gt;"Sim")),1,0))</f>
        <v>0</v>
      </c>
      <c r="Z141" s="96">
        <f>IF(Q141=1,INDEX('CDFs'!$W$6:$W$505,P141),0)</f>
        <v>0</v>
      </c>
      <c r="AA141" s="96">
        <f>IF(AND(N141=1,Y141=0,Z141=1,J141="Sim"),1,0)</f>
        <v>0</v>
      </c>
      <c r="AB141" s="96">
        <f>IF(AND(N141=1,O141&lt;&gt;"",D141&lt;&gt;""),IF(COUNTIFS($O$6:O141,O141,$D$6:D141,D141)=1,1,0),0)</f>
        <v>0</v>
      </c>
      <c r="AC141" s="96">
        <f>IF(T141=1,INDEX('ITENS_MTR'!$AL$6:$AL$1005,S141),0)</f>
        <v>0</v>
      </c>
    </row>
    <row r="142">
      <c r="A142" s="89" t="inlineStr">
        <is>
          <t>VIN-000137</t>
        </is>
      </c>
      <c r="B142" s="91" t="n"/>
      <c r="C142" s="91" t="n"/>
      <c r="D142" s="94" t="str">
        <f>IF(T142=1,INDEX('ITENS_MTR'!$S$6:$S$1005,S142)&amp;"","")</f>
        <v/>
      </c>
      <c r="E142" s="94" t="str">
        <f>IF(T142=1,INDEX('ITENS_MTR'!$C$6:$C$1005,S142)&amp;"","")</f>
        <v/>
      </c>
      <c r="F142" s="98" t="n"/>
      <c r="G142" s="91" t="n"/>
      <c r="H142" s="93" t="str">
        <f>IF(N142=0,"",IF(NOT(ISNUMBER(F142)),"",IF(ISNUMBER(U142),F142*U142,"UNIDADE A CONFERIR")))</f>
        <v/>
      </c>
      <c r="I142" s="94" t="str">
        <f>IF(Q142=1,INDEX('CDFs'!$F$6:$F$505,P142)&amp;"","")</f>
        <v/>
      </c>
      <c r="J142" s="91" t="n"/>
      <c r="K142" s="91" t="n"/>
      <c r="L142" s="94" t="str">
        <f>IF(N142=0,"",IF(NOT(ISNUMBER(F142)),"Quantidade não informada",IF(F142&lt;=0,"Quantidade não positiva",IF(G142="","Unidade não informada",IF(NOT(ISNUMBER(H142)),"Unidade a conferir",IF(AC142=1,"REVISAR VÍNCULO: soma vinculada maior que a referência do item","OK"))))))</f>
        <v/>
      </c>
      <c r="M142" s="94" t="str">
        <f>IF(N142=0,"",IF(B142="","CDF não informado",IF(Q142=0,"REVISAR VÍNCULO: CDF inexistente",IF(C142="","Item não informado",IF(T142=0,"REVISAR VÍNCULO: item inexistente",IF(AND(X142=1,J142&lt;&gt;"Sim"),"REVISAR VÍNCULO: destinador diferente do MTR",IF(X142=1,"Destinador diferente do MTR (analisado)","OK")))))))</f>
        <v/>
      </c>
      <c r="N142" s="96">
        <f>IF(COUNTA(B142:C142,F142:G142,J142:K142)&gt;0,1,0)</f>
        <v>0</v>
      </c>
      <c r="O142" s="96" t="str">
        <f>IF(B142="","",TRIM(LEFT(B142,FIND(" |",B142&amp;" |")-1)))</f>
        <v/>
      </c>
      <c r="P142" s="96" t="str">
        <f>IF(O142="","",IFERROR(MATCH(O142,'CDFs'!$A$6:$A$505,0),""))</f>
        <v/>
      </c>
      <c r="Q142" s="96">
        <f>IF(P142="",0,IF(INDEX('CDFs'!$S$6:$S$505,P142)=1,1,0))</f>
        <v>0</v>
      </c>
      <c r="R142" s="96" t="str">
        <f>IF(C142="","",TRIM(LEFT(C142,FIND(" |",C142&amp;" |")-1)))</f>
        <v/>
      </c>
      <c r="S142" s="96" t="str">
        <f>IF(R142="","",IFERROR(MATCH(R142,'ITENS_MTR'!$A$6:$A$1005,0),""))</f>
        <v/>
      </c>
      <c r="T142" s="96">
        <f>IF(S142="",0,IF(INDEX('ITENS_MTR'!$R$6:$R$1005,S142)=1,1,0))</f>
        <v>0</v>
      </c>
      <c r="U142" s="96" t="str">
        <f>IF(G142="","",IFERROR(IF(ISNUMBER(INDEX(cfg_fac,MATCH(G142,cfg_units,0))),IF(INDEX(cfg_fac,MATCH(G142,cfg_units,0))&gt;0,INDEX(cfg_fac,MATCH(G142,cfg_units,0)),""),""),""))</f>
        <v/>
      </c>
      <c r="V142" s="96">
        <f>IF(AND(ISNUMBER(F142),ISNUMBER(H142)),IF(H142&gt;0,1,0),0)</f>
        <v>0</v>
      </c>
      <c r="W142" s="96" t="str">
        <f>IF(T142=1,INDEX('ITENS_MTR'!$AU$6:$AU$1005,S142)&amp;"","")</f>
        <v/>
      </c>
      <c r="X142" s="96">
        <f>IF(AND(Q142=1,T142=1,I142&lt;&gt;"",W142&lt;&gt;""),IF(I142&lt;&gt;W142,1,0),0)</f>
        <v>0</v>
      </c>
      <c r="Y142" s="96">
        <f>IF(N142=0,0,IF(OR(Q142=0,T142=0,V142=0,AND(X142=1,J142&lt;&gt;"Sim")),1,0))</f>
        <v>0</v>
      </c>
      <c r="Z142" s="96">
        <f>IF(Q142=1,INDEX('CDFs'!$W$6:$W$505,P142),0)</f>
        <v>0</v>
      </c>
      <c r="AA142" s="96">
        <f>IF(AND(N142=1,Y142=0,Z142=1,J142="Sim"),1,0)</f>
        <v>0</v>
      </c>
      <c r="AB142" s="96">
        <f>IF(AND(N142=1,O142&lt;&gt;"",D142&lt;&gt;""),IF(COUNTIFS($O$6:O142,O142,$D$6:D142,D142)=1,1,0),0)</f>
        <v>0</v>
      </c>
      <c r="AC142" s="96">
        <f>IF(T142=1,INDEX('ITENS_MTR'!$AL$6:$AL$1005,S142),0)</f>
        <v>0</v>
      </c>
    </row>
    <row r="143">
      <c r="A143" s="89" t="inlineStr">
        <is>
          <t>VIN-000138</t>
        </is>
      </c>
      <c r="B143" s="91" t="n"/>
      <c r="C143" s="91" t="n"/>
      <c r="D143" s="94" t="str">
        <f>IF(T143=1,INDEX('ITENS_MTR'!$S$6:$S$1005,S143)&amp;"","")</f>
        <v/>
      </c>
      <c r="E143" s="94" t="str">
        <f>IF(T143=1,INDEX('ITENS_MTR'!$C$6:$C$1005,S143)&amp;"","")</f>
        <v/>
      </c>
      <c r="F143" s="98" t="n"/>
      <c r="G143" s="91" t="n"/>
      <c r="H143" s="93" t="str">
        <f>IF(N143=0,"",IF(NOT(ISNUMBER(F143)),"",IF(ISNUMBER(U143),F143*U143,"UNIDADE A CONFERIR")))</f>
        <v/>
      </c>
      <c r="I143" s="94" t="str">
        <f>IF(Q143=1,INDEX('CDFs'!$F$6:$F$505,P143)&amp;"","")</f>
        <v/>
      </c>
      <c r="J143" s="91" t="n"/>
      <c r="K143" s="91" t="n"/>
      <c r="L143" s="94" t="str">
        <f>IF(N143=0,"",IF(NOT(ISNUMBER(F143)),"Quantidade não informada",IF(F143&lt;=0,"Quantidade não positiva",IF(G143="","Unidade não informada",IF(NOT(ISNUMBER(H143)),"Unidade a conferir",IF(AC143=1,"REVISAR VÍNCULO: soma vinculada maior que a referência do item","OK"))))))</f>
        <v/>
      </c>
      <c r="M143" s="94" t="str">
        <f>IF(N143=0,"",IF(B143="","CDF não informado",IF(Q143=0,"REVISAR VÍNCULO: CDF inexistente",IF(C143="","Item não informado",IF(T143=0,"REVISAR VÍNCULO: item inexistente",IF(AND(X143=1,J143&lt;&gt;"Sim"),"REVISAR VÍNCULO: destinador diferente do MTR",IF(X143=1,"Destinador diferente do MTR (analisado)","OK")))))))</f>
        <v/>
      </c>
      <c r="N143" s="96">
        <f>IF(COUNTA(B143:C143,F143:G143,J143:K143)&gt;0,1,0)</f>
        <v>0</v>
      </c>
      <c r="O143" s="96" t="str">
        <f>IF(B143="","",TRIM(LEFT(B143,FIND(" |",B143&amp;" |")-1)))</f>
        <v/>
      </c>
      <c r="P143" s="96" t="str">
        <f>IF(O143="","",IFERROR(MATCH(O143,'CDFs'!$A$6:$A$505,0),""))</f>
        <v/>
      </c>
      <c r="Q143" s="96">
        <f>IF(P143="",0,IF(INDEX('CDFs'!$S$6:$S$505,P143)=1,1,0))</f>
        <v>0</v>
      </c>
      <c r="R143" s="96" t="str">
        <f>IF(C143="","",TRIM(LEFT(C143,FIND(" |",C143&amp;" |")-1)))</f>
        <v/>
      </c>
      <c r="S143" s="96" t="str">
        <f>IF(R143="","",IFERROR(MATCH(R143,'ITENS_MTR'!$A$6:$A$1005,0),""))</f>
        <v/>
      </c>
      <c r="T143" s="96">
        <f>IF(S143="",0,IF(INDEX('ITENS_MTR'!$R$6:$R$1005,S143)=1,1,0))</f>
        <v>0</v>
      </c>
      <c r="U143" s="96" t="str">
        <f>IF(G143="","",IFERROR(IF(ISNUMBER(INDEX(cfg_fac,MATCH(G143,cfg_units,0))),IF(INDEX(cfg_fac,MATCH(G143,cfg_units,0))&gt;0,INDEX(cfg_fac,MATCH(G143,cfg_units,0)),""),""),""))</f>
        <v/>
      </c>
      <c r="V143" s="96">
        <f>IF(AND(ISNUMBER(F143),ISNUMBER(H143)),IF(H143&gt;0,1,0),0)</f>
        <v>0</v>
      </c>
      <c r="W143" s="96" t="str">
        <f>IF(T143=1,INDEX('ITENS_MTR'!$AU$6:$AU$1005,S143)&amp;"","")</f>
        <v/>
      </c>
      <c r="X143" s="96">
        <f>IF(AND(Q143=1,T143=1,I143&lt;&gt;"",W143&lt;&gt;""),IF(I143&lt;&gt;W143,1,0),0)</f>
        <v>0</v>
      </c>
      <c r="Y143" s="96">
        <f>IF(N143=0,0,IF(OR(Q143=0,T143=0,V143=0,AND(X143=1,J143&lt;&gt;"Sim")),1,0))</f>
        <v>0</v>
      </c>
      <c r="Z143" s="96">
        <f>IF(Q143=1,INDEX('CDFs'!$W$6:$W$505,P143),0)</f>
        <v>0</v>
      </c>
      <c r="AA143" s="96">
        <f>IF(AND(N143=1,Y143=0,Z143=1,J143="Sim"),1,0)</f>
        <v>0</v>
      </c>
      <c r="AB143" s="96">
        <f>IF(AND(N143=1,O143&lt;&gt;"",D143&lt;&gt;""),IF(COUNTIFS($O$6:O143,O143,$D$6:D143,D143)=1,1,0),0)</f>
        <v>0</v>
      </c>
      <c r="AC143" s="96">
        <f>IF(T143=1,INDEX('ITENS_MTR'!$AL$6:$AL$1005,S143),0)</f>
        <v>0</v>
      </c>
    </row>
    <row r="144">
      <c r="A144" s="89" t="inlineStr">
        <is>
          <t>VIN-000139</t>
        </is>
      </c>
      <c r="B144" s="91" t="n"/>
      <c r="C144" s="91" t="n"/>
      <c r="D144" s="94" t="str">
        <f>IF(T144=1,INDEX('ITENS_MTR'!$S$6:$S$1005,S144)&amp;"","")</f>
        <v/>
      </c>
      <c r="E144" s="94" t="str">
        <f>IF(T144=1,INDEX('ITENS_MTR'!$C$6:$C$1005,S144)&amp;"","")</f>
        <v/>
      </c>
      <c r="F144" s="98" t="n"/>
      <c r="G144" s="91" t="n"/>
      <c r="H144" s="93" t="str">
        <f>IF(N144=0,"",IF(NOT(ISNUMBER(F144)),"",IF(ISNUMBER(U144),F144*U144,"UNIDADE A CONFERIR")))</f>
        <v/>
      </c>
      <c r="I144" s="94" t="str">
        <f>IF(Q144=1,INDEX('CDFs'!$F$6:$F$505,P144)&amp;"","")</f>
        <v/>
      </c>
      <c r="J144" s="91" t="n"/>
      <c r="K144" s="91" t="n"/>
      <c r="L144" s="94" t="str">
        <f>IF(N144=0,"",IF(NOT(ISNUMBER(F144)),"Quantidade não informada",IF(F144&lt;=0,"Quantidade não positiva",IF(G144="","Unidade não informada",IF(NOT(ISNUMBER(H144)),"Unidade a conferir",IF(AC144=1,"REVISAR VÍNCULO: soma vinculada maior que a referência do item","OK"))))))</f>
        <v/>
      </c>
      <c r="M144" s="94" t="str">
        <f>IF(N144=0,"",IF(B144="","CDF não informado",IF(Q144=0,"REVISAR VÍNCULO: CDF inexistente",IF(C144="","Item não informado",IF(T144=0,"REVISAR VÍNCULO: item inexistente",IF(AND(X144=1,J144&lt;&gt;"Sim"),"REVISAR VÍNCULO: destinador diferente do MTR",IF(X144=1,"Destinador diferente do MTR (analisado)","OK")))))))</f>
        <v/>
      </c>
      <c r="N144" s="96">
        <f>IF(COUNTA(B144:C144,F144:G144,J144:K144)&gt;0,1,0)</f>
        <v>0</v>
      </c>
      <c r="O144" s="96" t="str">
        <f>IF(B144="","",TRIM(LEFT(B144,FIND(" |",B144&amp;" |")-1)))</f>
        <v/>
      </c>
      <c r="P144" s="96" t="str">
        <f>IF(O144="","",IFERROR(MATCH(O144,'CDFs'!$A$6:$A$505,0),""))</f>
        <v/>
      </c>
      <c r="Q144" s="96">
        <f>IF(P144="",0,IF(INDEX('CDFs'!$S$6:$S$505,P144)=1,1,0))</f>
        <v>0</v>
      </c>
      <c r="R144" s="96" t="str">
        <f>IF(C144="","",TRIM(LEFT(C144,FIND(" |",C144&amp;" |")-1)))</f>
        <v/>
      </c>
      <c r="S144" s="96" t="str">
        <f>IF(R144="","",IFERROR(MATCH(R144,'ITENS_MTR'!$A$6:$A$1005,0),""))</f>
        <v/>
      </c>
      <c r="T144" s="96">
        <f>IF(S144="",0,IF(INDEX('ITENS_MTR'!$R$6:$R$1005,S144)=1,1,0))</f>
        <v>0</v>
      </c>
      <c r="U144" s="96" t="str">
        <f>IF(G144="","",IFERROR(IF(ISNUMBER(INDEX(cfg_fac,MATCH(G144,cfg_units,0))),IF(INDEX(cfg_fac,MATCH(G144,cfg_units,0))&gt;0,INDEX(cfg_fac,MATCH(G144,cfg_units,0)),""),""),""))</f>
        <v/>
      </c>
      <c r="V144" s="96">
        <f>IF(AND(ISNUMBER(F144),ISNUMBER(H144)),IF(H144&gt;0,1,0),0)</f>
        <v>0</v>
      </c>
      <c r="W144" s="96" t="str">
        <f>IF(T144=1,INDEX('ITENS_MTR'!$AU$6:$AU$1005,S144)&amp;"","")</f>
        <v/>
      </c>
      <c r="X144" s="96">
        <f>IF(AND(Q144=1,T144=1,I144&lt;&gt;"",W144&lt;&gt;""),IF(I144&lt;&gt;W144,1,0),0)</f>
        <v>0</v>
      </c>
      <c r="Y144" s="96">
        <f>IF(N144=0,0,IF(OR(Q144=0,T144=0,V144=0,AND(X144=1,J144&lt;&gt;"Sim")),1,0))</f>
        <v>0</v>
      </c>
      <c r="Z144" s="96">
        <f>IF(Q144=1,INDEX('CDFs'!$W$6:$W$505,P144),0)</f>
        <v>0</v>
      </c>
      <c r="AA144" s="96">
        <f>IF(AND(N144=1,Y144=0,Z144=1,J144="Sim"),1,0)</f>
        <v>0</v>
      </c>
      <c r="AB144" s="96">
        <f>IF(AND(N144=1,O144&lt;&gt;"",D144&lt;&gt;""),IF(COUNTIFS($O$6:O144,O144,$D$6:D144,D144)=1,1,0),0)</f>
        <v>0</v>
      </c>
      <c r="AC144" s="96">
        <f>IF(T144=1,INDEX('ITENS_MTR'!$AL$6:$AL$1005,S144),0)</f>
        <v>0</v>
      </c>
    </row>
    <row r="145">
      <c r="A145" s="89" t="inlineStr">
        <is>
          <t>VIN-000140</t>
        </is>
      </c>
      <c r="B145" s="91" t="n"/>
      <c r="C145" s="91" t="n"/>
      <c r="D145" s="94" t="str">
        <f>IF(T145=1,INDEX('ITENS_MTR'!$S$6:$S$1005,S145)&amp;"","")</f>
        <v/>
      </c>
      <c r="E145" s="94" t="str">
        <f>IF(T145=1,INDEX('ITENS_MTR'!$C$6:$C$1005,S145)&amp;"","")</f>
        <v/>
      </c>
      <c r="F145" s="98" t="n"/>
      <c r="G145" s="91" t="n"/>
      <c r="H145" s="93" t="str">
        <f>IF(N145=0,"",IF(NOT(ISNUMBER(F145)),"",IF(ISNUMBER(U145),F145*U145,"UNIDADE A CONFERIR")))</f>
        <v/>
      </c>
      <c r="I145" s="94" t="str">
        <f>IF(Q145=1,INDEX('CDFs'!$F$6:$F$505,P145)&amp;"","")</f>
        <v/>
      </c>
      <c r="J145" s="91" t="n"/>
      <c r="K145" s="91" t="n"/>
      <c r="L145" s="94" t="str">
        <f>IF(N145=0,"",IF(NOT(ISNUMBER(F145)),"Quantidade não informada",IF(F145&lt;=0,"Quantidade não positiva",IF(G145="","Unidade não informada",IF(NOT(ISNUMBER(H145)),"Unidade a conferir",IF(AC145=1,"REVISAR VÍNCULO: soma vinculada maior que a referência do item","OK"))))))</f>
        <v/>
      </c>
      <c r="M145" s="94" t="str">
        <f>IF(N145=0,"",IF(B145="","CDF não informado",IF(Q145=0,"REVISAR VÍNCULO: CDF inexistente",IF(C145="","Item não informado",IF(T145=0,"REVISAR VÍNCULO: item inexistente",IF(AND(X145=1,J145&lt;&gt;"Sim"),"REVISAR VÍNCULO: destinador diferente do MTR",IF(X145=1,"Destinador diferente do MTR (analisado)","OK")))))))</f>
        <v/>
      </c>
      <c r="N145" s="96">
        <f>IF(COUNTA(B145:C145,F145:G145,J145:K145)&gt;0,1,0)</f>
        <v>0</v>
      </c>
      <c r="O145" s="96" t="str">
        <f>IF(B145="","",TRIM(LEFT(B145,FIND(" |",B145&amp;" |")-1)))</f>
        <v/>
      </c>
      <c r="P145" s="96" t="str">
        <f>IF(O145="","",IFERROR(MATCH(O145,'CDFs'!$A$6:$A$505,0),""))</f>
        <v/>
      </c>
      <c r="Q145" s="96">
        <f>IF(P145="",0,IF(INDEX('CDFs'!$S$6:$S$505,P145)=1,1,0))</f>
        <v>0</v>
      </c>
      <c r="R145" s="96" t="str">
        <f>IF(C145="","",TRIM(LEFT(C145,FIND(" |",C145&amp;" |")-1)))</f>
        <v/>
      </c>
      <c r="S145" s="96" t="str">
        <f>IF(R145="","",IFERROR(MATCH(R145,'ITENS_MTR'!$A$6:$A$1005,0),""))</f>
        <v/>
      </c>
      <c r="T145" s="96">
        <f>IF(S145="",0,IF(INDEX('ITENS_MTR'!$R$6:$R$1005,S145)=1,1,0))</f>
        <v>0</v>
      </c>
      <c r="U145" s="96" t="str">
        <f>IF(G145="","",IFERROR(IF(ISNUMBER(INDEX(cfg_fac,MATCH(G145,cfg_units,0))),IF(INDEX(cfg_fac,MATCH(G145,cfg_units,0))&gt;0,INDEX(cfg_fac,MATCH(G145,cfg_units,0)),""),""),""))</f>
        <v/>
      </c>
      <c r="V145" s="96">
        <f>IF(AND(ISNUMBER(F145),ISNUMBER(H145)),IF(H145&gt;0,1,0),0)</f>
        <v>0</v>
      </c>
      <c r="W145" s="96" t="str">
        <f>IF(T145=1,INDEX('ITENS_MTR'!$AU$6:$AU$1005,S145)&amp;"","")</f>
        <v/>
      </c>
      <c r="X145" s="96">
        <f>IF(AND(Q145=1,T145=1,I145&lt;&gt;"",W145&lt;&gt;""),IF(I145&lt;&gt;W145,1,0),0)</f>
        <v>0</v>
      </c>
      <c r="Y145" s="96">
        <f>IF(N145=0,0,IF(OR(Q145=0,T145=0,V145=0,AND(X145=1,J145&lt;&gt;"Sim")),1,0))</f>
        <v>0</v>
      </c>
      <c r="Z145" s="96">
        <f>IF(Q145=1,INDEX('CDFs'!$W$6:$W$505,P145),0)</f>
        <v>0</v>
      </c>
      <c r="AA145" s="96">
        <f>IF(AND(N145=1,Y145=0,Z145=1,J145="Sim"),1,0)</f>
        <v>0</v>
      </c>
      <c r="AB145" s="96">
        <f>IF(AND(N145=1,O145&lt;&gt;"",D145&lt;&gt;""),IF(COUNTIFS($O$6:O145,O145,$D$6:D145,D145)=1,1,0),0)</f>
        <v>0</v>
      </c>
      <c r="AC145" s="96">
        <f>IF(T145=1,INDEX('ITENS_MTR'!$AL$6:$AL$1005,S145),0)</f>
        <v>0</v>
      </c>
    </row>
    <row r="146">
      <c r="A146" s="89" t="inlineStr">
        <is>
          <t>VIN-000141</t>
        </is>
      </c>
      <c r="B146" s="91" t="n"/>
      <c r="C146" s="91" t="n"/>
      <c r="D146" s="94" t="str">
        <f>IF(T146=1,INDEX('ITENS_MTR'!$S$6:$S$1005,S146)&amp;"","")</f>
        <v/>
      </c>
      <c r="E146" s="94" t="str">
        <f>IF(T146=1,INDEX('ITENS_MTR'!$C$6:$C$1005,S146)&amp;"","")</f>
        <v/>
      </c>
      <c r="F146" s="98" t="n"/>
      <c r="G146" s="91" t="n"/>
      <c r="H146" s="93" t="str">
        <f>IF(N146=0,"",IF(NOT(ISNUMBER(F146)),"",IF(ISNUMBER(U146),F146*U146,"UNIDADE A CONFERIR")))</f>
        <v/>
      </c>
      <c r="I146" s="94" t="str">
        <f>IF(Q146=1,INDEX('CDFs'!$F$6:$F$505,P146)&amp;"","")</f>
        <v/>
      </c>
      <c r="J146" s="91" t="n"/>
      <c r="K146" s="91" t="n"/>
      <c r="L146" s="94" t="str">
        <f>IF(N146=0,"",IF(NOT(ISNUMBER(F146)),"Quantidade não informada",IF(F146&lt;=0,"Quantidade não positiva",IF(G146="","Unidade não informada",IF(NOT(ISNUMBER(H146)),"Unidade a conferir",IF(AC146=1,"REVISAR VÍNCULO: soma vinculada maior que a referência do item","OK"))))))</f>
        <v/>
      </c>
      <c r="M146" s="94" t="str">
        <f>IF(N146=0,"",IF(B146="","CDF não informado",IF(Q146=0,"REVISAR VÍNCULO: CDF inexistente",IF(C146="","Item não informado",IF(T146=0,"REVISAR VÍNCULO: item inexistente",IF(AND(X146=1,J146&lt;&gt;"Sim"),"REVISAR VÍNCULO: destinador diferente do MTR",IF(X146=1,"Destinador diferente do MTR (analisado)","OK")))))))</f>
        <v/>
      </c>
      <c r="N146" s="96">
        <f>IF(COUNTA(B146:C146,F146:G146,J146:K146)&gt;0,1,0)</f>
        <v>0</v>
      </c>
      <c r="O146" s="96" t="str">
        <f>IF(B146="","",TRIM(LEFT(B146,FIND(" |",B146&amp;" |")-1)))</f>
        <v/>
      </c>
      <c r="P146" s="96" t="str">
        <f>IF(O146="","",IFERROR(MATCH(O146,'CDFs'!$A$6:$A$505,0),""))</f>
        <v/>
      </c>
      <c r="Q146" s="96">
        <f>IF(P146="",0,IF(INDEX('CDFs'!$S$6:$S$505,P146)=1,1,0))</f>
        <v>0</v>
      </c>
      <c r="R146" s="96" t="str">
        <f>IF(C146="","",TRIM(LEFT(C146,FIND(" |",C146&amp;" |")-1)))</f>
        <v/>
      </c>
      <c r="S146" s="96" t="str">
        <f>IF(R146="","",IFERROR(MATCH(R146,'ITENS_MTR'!$A$6:$A$1005,0),""))</f>
        <v/>
      </c>
      <c r="T146" s="96">
        <f>IF(S146="",0,IF(INDEX('ITENS_MTR'!$R$6:$R$1005,S146)=1,1,0))</f>
        <v>0</v>
      </c>
      <c r="U146" s="96" t="str">
        <f>IF(G146="","",IFERROR(IF(ISNUMBER(INDEX(cfg_fac,MATCH(G146,cfg_units,0))),IF(INDEX(cfg_fac,MATCH(G146,cfg_units,0))&gt;0,INDEX(cfg_fac,MATCH(G146,cfg_units,0)),""),""),""))</f>
        <v/>
      </c>
      <c r="V146" s="96">
        <f>IF(AND(ISNUMBER(F146),ISNUMBER(H146)),IF(H146&gt;0,1,0),0)</f>
        <v>0</v>
      </c>
      <c r="W146" s="96" t="str">
        <f>IF(T146=1,INDEX('ITENS_MTR'!$AU$6:$AU$1005,S146)&amp;"","")</f>
        <v/>
      </c>
      <c r="X146" s="96">
        <f>IF(AND(Q146=1,T146=1,I146&lt;&gt;"",W146&lt;&gt;""),IF(I146&lt;&gt;W146,1,0),0)</f>
        <v>0</v>
      </c>
      <c r="Y146" s="96">
        <f>IF(N146=0,0,IF(OR(Q146=0,T146=0,V146=0,AND(X146=1,J146&lt;&gt;"Sim")),1,0))</f>
        <v>0</v>
      </c>
      <c r="Z146" s="96">
        <f>IF(Q146=1,INDEX('CDFs'!$W$6:$W$505,P146),0)</f>
        <v>0</v>
      </c>
      <c r="AA146" s="96">
        <f>IF(AND(N146=1,Y146=0,Z146=1,J146="Sim"),1,0)</f>
        <v>0</v>
      </c>
      <c r="AB146" s="96">
        <f>IF(AND(N146=1,O146&lt;&gt;"",D146&lt;&gt;""),IF(COUNTIFS($O$6:O146,O146,$D$6:D146,D146)=1,1,0),0)</f>
        <v>0</v>
      </c>
      <c r="AC146" s="96">
        <f>IF(T146=1,INDEX('ITENS_MTR'!$AL$6:$AL$1005,S146),0)</f>
        <v>0</v>
      </c>
    </row>
    <row r="147">
      <c r="A147" s="89" t="inlineStr">
        <is>
          <t>VIN-000142</t>
        </is>
      </c>
      <c r="B147" s="91" t="n"/>
      <c r="C147" s="91" t="n"/>
      <c r="D147" s="94" t="str">
        <f>IF(T147=1,INDEX('ITENS_MTR'!$S$6:$S$1005,S147)&amp;"","")</f>
        <v/>
      </c>
      <c r="E147" s="94" t="str">
        <f>IF(T147=1,INDEX('ITENS_MTR'!$C$6:$C$1005,S147)&amp;"","")</f>
        <v/>
      </c>
      <c r="F147" s="98" t="n"/>
      <c r="G147" s="91" t="n"/>
      <c r="H147" s="93" t="str">
        <f>IF(N147=0,"",IF(NOT(ISNUMBER(F147)),"",IF(ISNUMBER(U147),F147*U147,"UNIDADE A CONFERIR")))</f>
        <v/>
      </c>
      <c r="I147" s="94" t="str">
        <f>IF(Q147=1,INDEX('CDFs'!$F$6:$F$505,P147)&amp;"","")</f>
        <v/>
      </c>
      <c r="J147" s="91" t="n"/>
      <c r="K147" s="91" t="n"/>
      <c r="L147" s="94" t="str">
        <f>IF(N147=0,"",IF(NOT(ISNUMBER(F147)),"Quantidade não informada",IF(F147&lt;=0,"Quantidade não positiva",IF(G147="","Unidade não informada",IF(NOT(ISNUMBER(H147)),"Unidade a conferir",IF(AC147=1,"REVISAR VÍNCULO: soma vinculada maior que a referência do item","OK"))))))</f>
        <v/>
      </c>
      <c r="M147" s="94" t="str">
        <f>IF(N147=0,"",IF(B147="","CDF não informado",IF(Q147=0,"REVISAR VÍNCULO: CDF inexistente",IF(C147="","Item não informado",IF(T147=0,"REVISAR VÍNCULO: item inexistente",IF(AND(X147=1,J147&lt;&gt;"Sim"),"REVISAR VÍNCULO: destinador diferente do MTR",IF(X147=1,"Destinador diferente do MTR (analisado)","OK")))))))</f>
        <v/>
      </c>
      <c r="N147" s="96">
        <f>IF(COUNTA(B147:C147,F147:G147,J147:K147)&gt;0,1,0)</f>
        <v>0</v>
      </c>
      <c r="O147" s="96" t="str">
        <f>IF(B147="","",TRIM(LEFT(B147,FIND(" |",B147&amp;" |")-1)))</f>
        <v/>
      </c>
      <c r="P147" s="96" t="str">
        <f>IF(O147="","",IFERROR(MATCH(O147,'CDFs'!$A$6:$A$505,0),""))</f>
        <v/>
      </c>
      <c r="Q147" s="96">
        <f>IF(P147="",0,IF(INDEX('CDFs'!$S$6:$S$505,P147)=1,1,0))</f>
        <v>0</v>
      </c>
      <c r="R147" s="96" t="str">
        <f>IF(C147="","",TRIM(LEFT(C147,FIND(" |",C147&amp;" |")-1)))</f>
        <v/>
      </c>
      <c r="S147" s="96" t="str">
        <f>IF(R147="","",IFERROR(MATCH(R147,'ITENS_MTR'!$A$6:$A$1005,0),""))</f>
        <v/>
      </c>
      <c r="T147" s="96">
        <f>IF(S147="",0,IF(INDEX('ITENS_MTR'!$R$6:$R$1005,S147)=1,1,0))</f>
        <v>0</v>
      </c>
      <c r="U147" s="96" t="str">
        <f>IF(G147="","",IFERROR(IF(ISNUMBER(INDEX(cfg_fac,MATCH(G147,cfg_units,0))),IF(INDEX(cfg_fac,MATCH(G147,cfg_units,0))&gt;0,INDEX(cfg_fac,MATCH(G147,cfg_units,0)),""),""),""))</f>
        <v/>
      </c>
      <c r="V147" s="96">
        <f>IF(AND(ISNUMBER(F147),ISNUMBER(H147)),IF(H147&gt;0,1,0),0)</f>
        <v>0</v>
      </c>
      <c r="W147" s="96" t="str">
        <f>IF(T147=1,INDEX('ITENS_MTR'!$AU$6:$AU$1005,S147)&amp;"","")</f>
        <v/>
      </c>
      <c r="X147" s="96">
        <f>IF(AND(Q147=1,T147=1,I147&lt;&gt;"",W147&lt;&gt;""),IF(I147&lt;&gt;W147,1,0),0)</f>
        <v>0</v>
      </c>
      <c r="Y147" s="96">
        <f>IF(N147=0,0,IF(OR(Q147=0,T147=0,V147=0,AND(X147=1,J147&lt;&gt;"Sim")),1,0))</f>
        <v>0</v>
      </c>
      <c r="Z147" s="96">
        <f>IF(Q147=1,INDEX('CDFs'!$W$6:$W$505,P147),0)</f>
        <v>0</v>
      </c>
      <c r="AA147" s="96">
        <f>IF(AND(N147=1,Y147=0,Z147=1,J147="Sim"),1,0)</f>
        <v>0</v>
      </c>
      <c r="AB147" s="96">
        <f>IF(AND(N147=1,O147&lt;&gt;"",D147&lt;&gt;""),IF(COUNTIFS($O$6:O147,O147,$D$6:D147,D147)=1,1,0),0)</f>
        <v>0</v>
      </c>
      <c r="AC147" s="96">
        <f>IF(T147=1,INDEX('ITENS_MTR'!$AL$6:$AL$1005,S147),0)</f>
        <v>0</v>
      </c>
    </row>
    <row r="148">
      <c r="A148" s="89" t="inlineStr">
        <is>
          <t>VIN-000143</t>
        </is>
      </c>
      <c r="B148" s="91" t="n"/>
      <c r="C148" s="91" t="n"/>
      <c r="D148" s="94" t="str">
        <f>IF(T148=1,INDEX('ITENS_MTR'!$S$6:$S$1005,S148)&amp;"","")</f>
        <v/>
      </c>
      <c r="E148" s="94" t="str">
        <f>IF(T148=1,INDEX('ITENS_MTR'!$C$6:$C$1005,S148)&amp;"","")</f>
        <v/>
      </c>
      <c r="F148" s="98" t="n"/>
      <c r="G148" s="91" t="n"/>
      <c r="H148" s="93" t="str">
        <f>IF(N148=0,"",IF(NOT(ISNUMBER(F148)),"",IF(ISNUMBER(U148),F148*U148,"UNIDADE A CONFERIR")))</f>
        <v/>
      </c>
      <c r="I148" s="94" t="str">
        <f>IF(Q148=1,INDEX('CDFs'!$F$6:$F$505,P148)&amp;"","")</f>
        <v/>
      </c>
      <c r="J148" s="91" t="n"/>
      <c r="K148" s="91" t="n"/>
      <c r="L148" s="94" t="str">
        <f>IF(N148=0,"",IF(NOT(ISNUMBER(F148)),"Quantidade não informada",IF(F148&lt;=0,"Quantidade não positiva",IF(G148="","Unidade não informada",IF(NOT(ISNUMBER(H148)),"Unidade a conferir",IF(AC148=1,"REVISAR VÍNCULO: soma vinculada maior que a referência do item","OK"))))))</f>
        <v/>
      </c>
      <c r="M148" s="94" t="str">
        <f>IF(N148=0,"",IF(B148="","CDF não informado",IF(Q148=0,"REVISAR VÍNCULO: CDF inexistente",IF(C148="","Item não informado",IF(T148=0,"REVISAR VÍNCULO: item inexistente",IF(AND(X148=1,J148&lt;&gt;"Sim"),"REVISAR VÍNCULO: destinador diferente do MTR",IF(X148=1,"Destinador diferente do MTR (analisado)","OK")))))))</f>
        <v/>
      </c>
      <c r="N148" s="96">
        <f>IF(COUNTA(B148:C148,F148:G148,J148:K148)&gt;0,1,0)</f>
        <v>0</v>
      </c>
      <c r="O148" s="96" t="str">
        <f>IF(B148="","",TRIM(LEFT(B148,FIND(" |",B148&amp;" |")-1)))</f>
        <v/>
      </c>
      <c r="P148" s="96" t="str">
        <f>IF(O148="","",IFERROR(MATCH(O148,'CDFs'!$A$6:$A$505,0),""))</f>
        <v/>
      </c>
      <c r="Q148" s="96">
        <f>IF(P148="",0,IF(INDEX('CDFs'!$S$6:$S$505,P148)=1,1,0))</f>
        <v>0</v>
      </c>
      <c r="R148" s="96" t="str">
        <f>IF(C148="","",TRIM(LEFT(C148,FIND(" |",C148&amp;" |")-1)))</f>
        <v/>
      </c>
      <c r="S148" s="96" t="str">
        <f>IF(R148="","",IFERROR(MATCH(R148,'ITENS_MTR'!$A$6:$A$1005,0),""))</f>
        <v/>
      </c>
      <c r="T148" s="96">
        <f>IF(S148="",0,IF(INDEX('ITENS_MTR'!$R$6:$R$1005,S148)=1,1,0))</f>
        <v>0</v>
      </c>
      <c r="U148" s="96" t="str">
        <f>IF(G148="","",IFERROR(IF(ISNUMBER(INDEX(cfg_fac,MATCH(G148,cfg_units,0))),IF(INDEX(cfg_fac,MATCH(G148,cfg_units,0))&gt;0,INDEX(cfg_fac,MATCH(G148,cfg_units,0)),""),""),""))</f>
        <v/>
      </c>
      <c r="V148" s="96">
        <f>IF(AND(ISNUMBER(F148),ISNUMBER(H148)),IF(H148&gt;0,1,0),0)</f>
        <v>0</v>
      </c>
      <c r="W148" s="96" t="str">
        <f>IF(T148=1,INDEX('ITENS_MTR'!$AU$6:$AU$1005,S148)&amp;"","")</f>
        <v/>
      </c>
      <c r="X148" s="96">
        <f>IF(AND(Q148=1,T148=1,I148&lt;&gt;"",W148&lt;&gt;""),IF(I148&lt;&gt;W148,1,0),0)</f>
        <v>0</v>
      </c>
      <c r="Y148" s="96">
        <f>IF(N148=0,0,IF(OR(Q148=0,T148=0,V148=0,AND(X148=1,J148&lt;&gt;"Sim")),1,0))</f>
        <v>0</v>
      </c>
      <c r="Z148" s="96">
        <f>IF(Q148=1,INDEX('CDFs'!$W$6:$W$505,P148),0)</f>
        <v>0</v>
      </c>
      <c r="AA148" s="96">
        <f>IF(AND(N148=1,Y148=0,Z148=1,J148="Sim"),1,0)</f>
        <v>0</v>
      </c>
      <c r="AB148" s="96">
        <f>IF(AND(N148=1,O148&lt;&gt;"",D148&lt;&gt;""),IF(COUNTIFS($O$6:O148,O148,$D$6:D148,D148)=1,1,0),0)</f>
        <v>0</v>
      </c>
      <c r="AC148" s="96">
        <f>IF(T148=1,INDEX('ITENS_MTR'!$AL$6:$AL$1005,S148),0)</f>
        <v>0</v>
      </c>
    </row>
    <row r="149">
      <c r="A149" s="89" t="inlineStr">
        <is>
          <t>VIN-000144</t>
        </is>
      </c>
      <c r="B149" s="91" t="n"/>
      <c r="C149" s="91" t="n"/>
      <c r="D149" s="94" t="str">
        <f>IF(T149=1,INDEX('ITENS_MTR'!$S$6:$S$1005,S149)&amp;"","")</f>
        <v/>
      </c>
      <c r="E149" s="94" t="str">
        <f>IF(T149=1,INDEX('ITENS_MTR'!$C$6:$C$1005,S149)&amp;"","")</f>
        <v/>
      </c>
      <c r="F149" s="98" t="n"/>
      <c r="G149" s="91" t="n"/>
      <c r="H149" s="93" t="str">
        <f>IF(N149=0,"",IF(NOT(ISNUMBER(F149)),"",IF(ISNUMBER(U149),F149*U149,"UNIDADE A CONFERIR")))</f>
        <v/>
      </c>
      <c r="I149" s="94" t="str">
        <f>IF(Q149=1,INDEX('CDFs'!$F$6:$F$505,P149)&amp;"","")</f>
        <v/>
      </c>
      <c r="J149" s="91" t="n"/>
      <c r="K149" s="91" t="n"/>
      <c r="L149" s="94" t="str">
        <f>IF(N149=0,"",IF(NOT(ISNUMBER(F149)),"Quantidade não informada",IF(F149&lt;=0,"Quantidade não positiva",IF(G149="","Unidade não informada",IF(NOT(ISNUMBER(H149)),"Unidade a conferir",IF(AC149=1,"REVISAR VÍNCULO: soma vinculada maior que a referência do item","OK"))))))</f>
        <v/>
      </c>
      <c r="M149" s="94" t="str">
        <f>IF(N149=0,"",IF(B149="","CDF não informado",IF(Q149=0,"REVISAR VÍNCULO: CDF inexistente",IF(C149="","Item não informado",IF(T149=0,"REVISAR VÍNCULO: item inexistente",IF(AND(X149=1,J149&lt;&gt;"Sim"),"REVISAR VÍNCULO: destinador diferente do MTR",IF(X149=1,"Destinador diferente do MTR (analisado)","OK")))))))</f>
        <v/>
      </c>
      <c r="N149" s="96">
        <f>IF(COUNTA(B149:C149,F149:G149,J149:K149)&gt;0,1,0)</f>
        <v>0</v>
      </c>
      <c r="O149" s="96" t="str">
        <f>IF(B149="","",TRIM(LEFT(B149,FIND(" |",B149&amp;" |")-1)))</f>
        <v/>
      </c>
      <c r="P149" s="96" t="str">
        <f>IF(O149="","",IFERROR(MATCH(O149,'CDFs'!$A$6:$A$505,0),""))</f>
        <v/>
      </c>
      <c r="Q149" s="96">
        <f>IF(P149="",0,IF(INDEX('CDFs'!$S$6:$S$505,P149)=1,1,0))</f>
        <v>0</v>
      </c>
      <c r="R149" s="96" t="str">
        <f>IF(C149="","",TRIM(LEFT(C149,FIND(" |",C149&amp;" |")-1)))</f>
        <v/>
      </c>
      <c r="S149" s="96" t="str">
        <f>IF(R149="","",IFERROR(MATCH(R149,'ITENS_MTR'!$A$6:$A$1005,0),""))</f>
        <v/>
      </c>
      <c r="T149" s="96">
        <f>IF(S149="",0,IF(INDEX('ITENS_MTR'!$R$6:$R$1005,S149)=1,1,0))</f>
        <v>0</v>
      </c>
      <c r="U149" s="96" t="str">
        <f>IF(G149="","",IFERROR(IF(ISNUMBER(INDEX(cfg_fac,MATCH(G149,cfg_units,0))),IF(INDEX(cfg_fac,MATCH(G149,cfg_units,0))&gt;0,INDEX(cfg_fac,MATCH(G149,cfg_units,0)),""),""),""))</f>
        <v/>
      </c>
      <c r="V149" s="96">
        <f>IF(AND(ISNUMBER(F149),ISNUMBER(H149)),IF(H149&gt;0,1,0),0)</f>
        <v>0</v>
      </c>
      <c r="W149" s="96" t="str">
        <f>IF(T149=1,INDEX('ITENS_MTR'!$AU$6:$AU$1005,S149)&amp;"","")</f>
        <v/>
      </c>
      <c r="X149" s="96">
        <f>IF(AND(Q149=1,T149=1,I149&lt;&gt;"",W149&lt;&gt;""),IF(I149&lt;&gt;W149,1,0),0)</f>
        <v>0</v>
      </c>
      <c r="Y149" s="96">
        <f>IF(N149=0,0,IF(OR(Q149=0,T149=0,V149=0,AND(X149=1,J149&lt;&gt;"Sim")),1,0))</f>
        <v>0</v>
      </c>
      <c r="Z149" s="96">
        <f>IF(Q149=1,INDEX('CDFs'!$W$6:$W$505,P149),0)</f>
        <v>0</v>
      </c>
      <c r="AA149" s="96">
        <f>IF(AND(N149=1,Y149=0,Z149=1,J149="Sim"),1,0)</f>
        <v>0</v>
      </c>
      <c r="AB149" s="96">
        <f>IF(AND(N149=1,O149&lt;&gt;"",D149&lt;&gt;""),IF(COUNTIFS($O$6:O149,O149,$D$6:D149,D149)=1,1,0),0)</f>
        <v>0</v>
      </c>
      <c r="AC149" s="96">
        <f>IF(T149=1,INDEX('ITENS_MTR'!$AL$6:$AL$1005,S149),0)</f>
        <v>0</v>
      </c>
    </row>
    <row r="150">
      <c r="A150" s="89" t="inlineStr">
        <is>
          <t>VIN-000145</t>
        </is>
      </c>
      <c r="B150" s="91" t="n"/>
      <c r="C150" s="91" t="n"/>
      <c r="D150" s="94" t="str">
        <f>IF(T150=1,INDEX('ITENS_MTR'!$S$6:$S$1005,S150)&amp;"","")</f>
        <v/>
      </c>
      <c r="E150" s="94" t="str">
        <f>IF(T150=1,INDEX('ITENS_MTR'!$C$6:$C$1005,S150)&amp;"","")</f>
        <v/>
      </c>
      <c r="F150" s="98" t="n"/>
      <c r="G150" s="91" t="n"/>
      <c r="H150" s="93" t="str">
        <f>IF(N150=0,"",IF(NOT(ISNUMBER(F150)),"",IF(ISNUMBER(U150),F150*U150,"UNIDADE A CONFERIR")))</f>
        <v/>
      </c>
      <c r="I150" s="94" t="str">
        <f>IF(Q150=1,INDEX('CDFs'!$F$6:$F$505,P150)&amp;"","")</f>
        <v/>
      </c>
      <c r="J150" s="91" t="n"/>
      <c r="K150" s="91" t="n"/>
      <c r="L150" s="94" t="str">
        <f>IF(N150=0,"",IF(NOT(ISNUMBER(F150)),"Quantidade não informada",IF(F150&lt;=0,"Quantidade não positiva",IF(G150="","Unidade não informada",IF(NOT(ISNUMBER(H150)),"Unidade a conferir",IF(AC150=1,"REVISAR VÍNCULO: soma vinculada maior que a referência do item","OK"))))))</f>
        <v/>
      </c>
      <c r="M150" s="94" t="str">
        <f>IF(N150=0,"",IF(B150="","CDF não informado",IF(Q150=0,"REVISAR VÍNCULO: CDF inexistente",IF(C150="","Item não informado",IF(T150=0,"REVISAR VÍNCULO: item inexistente",IF(AND(X150=1,J150&lt;&gt;"Sim"),"REVISAR VÍNCULO: destinador diferente do MTR",IF(X150=1,"Destinador diferente do MTR (analisado)","OK")))))))</f>
        <v/>
      </c>
      <c r="N150" s="96">
        <f>IF(COUNTA(B150:C150,F150:G150,J150:K150)&gt;0,1,0)</f>
        <v>0</v>
      </c>
      <c r="O150" s="96" t="str">
        <f>IF(B150="","",TRIM(LEFT(B150,FIND(" |",B150&amp;" |")-1)))</f>
        <v/>
      </c>
      <c r="P150" s="96" t="str">
        <f>IF(O150="","",IFERROR(MATCH(O150,'CDFs'!$A$6:$A$505,0),""))</f>
        <v/>
      </c>
      <c r="Q150" s="96">
        <f>IF(P150="",0,IF(INDEX('CDFs'!$S$6:$S$505,P150)=1,1,0))</f>
        <v>0</v>
      </c>
      <c r="R150" s="96" t="str">
        <f>IF(C150="","",TRIM(LEFT(C150,FIND(" |",C150&amp;" |")-1)))</f>
        <v/>
      </c>
      <c r="S150" s="96" t="str">
        <f>IF(R150="","",IFERROR(MATCH(R150,'ITENS_MTR'!$A$6:$A$1005,0),""))</f>
        <v/>
      </c>
      <c r="T150" s="96">
        <f>IF(S150="",0,IF(INDEX('ITENS_MTR'!$R$6:$R$1005,S150)=1,1,0))</f>
        <v>0</v>
      </c>
      <c r="U150" s="96" t="str">
        <f>IF(G150="","",IFERROR(IF(ISNUMBER(INDEX(cfg_fac,MATCH(G150,cfg_units,0))),IF(INDEX(cfg_fac,MATCH(G150,cfg_units,0))&gt;0,INDEX(cfg_fac,MATCH(G150,cfg_units,0)),""),""),""))</f>
        <v/>
      </c>
      <c r="V150" s="96">
        <f>IF(AND(ISNUMBER(F150),ISNUMBER(H150)),IF(H150&gt;0,1,0),0)</f>
        <v>0</v>
      </c>
      <c r="W150" s="96" t="str">
        <f>IF(T150=1,INDEX('ITENS_MTR'!$AU$6:$AU$1005,S150)&amp;"","")</f>
        <v/>
      </c>
      <c r="X150" s="96">
        <f>IF(AND(Q150=1,T150=1,I150&lt;&gt;"",W150&lt;&gt;""),IF(I150&lt;&gt;W150,1,0),0)</f>
        <v>0</v>
      </c>
      <c r="Y150" s="96">
        <f>IF(N150=0,0,IF(OR(Q150=0,T150=0,V150=0,AND(X150=1,J150&lt;&gt;"Sim")),1,0))</f>
        <v>0</v>
      </c>
      <c r="Z150" s="96">
        <f>IF(Q150=1,INDEX('CDFs'!$W$6:$W$505,P150),0)</f>
        <v>0</v>
      </c>
      <c r="AA150" s="96">
        <f>IF(AND(N150=1,Y150=0,Z150=1,J150="Sim"),1,0)</f>
        <v>0</v>
      </c>
      <c r="AB150" s="96">
        <f>IF(AND(N150=1,O150&lt;&gt;"",D150&lt;&gt;""),IF(COUNTIFS($O$6:O150,O150,$D$6:D150,D150)=1,1,0),0)</f>
        <v>0</v>
      </c>
      <c r="AC150" s="96">
        <f>IF(T150=1,INDEX('ITENS_MTR'!$AL$6:$AL$1005,S150),0)</f>
        <v>0</v>
      </c>
    </row>
    <row r="151">
      <c r="A151" s="89" t="inlineStr">
        <is>
          <t>VIN-000146</t>
        </is>
      </c>
      <c r="B151" s="91" t="n"/>
      <c r="C151" s="91" t="n"/>
      <c r="D151" s="94" t="str">
        <f>IF(T151=1,INDEX('ITENS_MTR'!$S$6:$S$1005,S151)&amp;"","")</f>
        <v/>
      </c>
      <c r="E151" s="94" t="str">
        <f>IF(T151=1,INDEX('ITENS_MTR'!$C$6:$C$1005,S151)&amp;"","")</f>
        <v/>
      </c>
      <c r="F151" s="98" t="n"/>
      <c r="G151" s="91" t="n"/>
      <c r="H151" s="93" t="str">
        <f>IF(N151=0,"",IF(NOT(ISNUMBER(F151)),"",IF(ISNUMBER(U151),F151*U151,"UNIDADE A CONFERIR")))</f>
        <v/>
      </c>
      <c r="I151" s="94" t="str">
        <f>IF(Q151=1,INDEX('CDFs'!$F$6:$F$505,P151)&amp;"","")</f>
        <v/>
      </c>
      <c r="J151" s="91" t="n"/>
      <c r="K151" s="91" t="n"/>
      <c r="L151" s="94" t="str">
        <f>IF(N151=0,"",IF(NOT(ISNUMBER(F151)),"Quantidade não informada",IF(F151&lt;=0,"Quantidade não positiva",IF(G151="","Unidade não informada",IF(NOT(ISNUMBER(H151)),"Unidade a conferir",IF(AC151=1,"REVISAR VÍNCULO: soma vinculada maior que a referência do item","OK"))))))</f>
        <v/>
      </c>
      <c r="M151" s="94" t="str">
        <f>IF(N151=0,"",IF(B151="","CDF não informado",IF(Q151=0,"REVISAR VÍNCULO: CDF inexistente",IF(C151="","Item não informado",IF(T151=0,"REVISAR VÍNCULO: item inexistente",IF(AND(X151=1,J151&lt;&gt;"Sim"),"REVISAR VÍNCULO: destinador diferente do MTR",IF(X151=1,"Destinador diferente do MTR (analisado)","OK")))))))</f>
        <v/>
      </c>
      <c r="N151" s="96">
        <f>IF(COUNTA(B151:C151,F151:G151,J151:K151)&gt;0,1,0)</f>
        <v>0</v>
      </c>
      <c r="O151" s="96" t="str">
        <f>IF(B151="","",TRIM(LEFT(B151,FIND(" |",B151&amp;" |")-1)))</f>
        <v/>
      </c>
      <c r="P151" s="96" t="str">
        <f>IF(O151="","",IFERROR(MATCH(O151,'CDFs'!$A$6:$A$505,0),""))</f>
        <v/>
      </c>
      <c r="Q151" s="96">
        <f>IF(P151="",0,IF(INDEX('CDFs'!$S$6:$S$505,P151)=1,1,0))</f>
        <v>0</v>
      </c>
      <c r="R151" s="96" t="str">
        <f>IF(C151="","",TRIM(LEFT(C151,FIND(" |",C151&amp;" |")-1)))</f>
        <v/>
      </c>
      <c r="S151" s="96" t="str">
        <f>IF(R151="","",IFERROR(MATCH(R151,'ITENS_MTR'!$A$6:$A$1005,0),""))</f>
        <v/>
      </c>
      <c r="T151" s="96">
        <f>IF(S151="",0,IF(INDEX('ITENS_MTR'!$R$6:$R$1005,S151)=1,1,0))</f>
        <v>0</v>
      </c>
      <c r="U151" s="96" t="str">
        <f>IF(G151="","",IFERROR(IF(ISNUMBER(INDEX(cfg_fac,MATCH(G151,cfg_units,0))),IF(INDEX(cfg_fac,MATCH(G151,cfg_units,0))&gt;0,INDEX(cfg_fac,MATCH(G151,cfg_units,0)),""),""),""))</f>
        <v/>
      </c>
      <c r="V151" s="96">
        <f>IF(AND(ISNUMBER(F151),ISNUMBER(H151)),IF(H151&gt;0,1,0),0)</f>
        <v>0</v>
      </c>
      <c r="W151" s="96" t="str">
        <f>IF(T151=1,INDEX('ITENS_MTR'!$AU$6:$AU$1005,S151)&amp;"","")</f>
        <v/>
      </c>
      <c r="X151" s="96">
        <f>IF(AND(Q151=1,T151=1,I151&lt;&gt;"",W151&lt;&gt;""),IF(I151&lt;&gt;W151,1,0),0)</f>
        <v>0</v>
      </c>
      <c r="Y151" s="96">
        <f>IF(N151=0,0,IF(OR(Q151=0,T151=0,V151=0,AND(X151=1,J151&lt;&gt;"Sim")),1,0))</f>
        <v>0</v>
      </c>
      <c r="Z151" s="96">
        <f>IF(Q151=1,INDEX('CDFs'!$W$6:$W$505,P151),0)</f>
        <v>0</v>
      </c>
      <c r="AA151" s="96">
        <f>IF(AND(N151=1,Y151=0,Z151=1,J151="Sim"),1,0)</f>
        <v>0</v>
      </c>
      <c r="AB151" s="96">
        <f>IF(AND(N151=1,O151&lt;&gt;"",D151&lt;&gt;""),IF(COUNTIFS($O$6:O151,O151,$D$6:D151,D151)=1,1,0),0)</f>
        <v>0</v>
      </c>
      <c r="AC151" s="96">
        <f>IF(T151=1,INDEX('ITENS_MTR'!$AL$6:$AL$1005,S151),0)</f>
        <v>0</v>
      </c>
    </row>
    <row r="152">
      <c r="A152" s="89" t="inlineStr">
        <is>
          <t>VIN-000147</t>
        </is>
      </c>
      <c r="B152" s="91" t="n"/>
      <c r="C152" s="91" t="n"/>
      <c r="D152" s="94" t="str">
        <f>IF(T152=1,INDEX('ITENS_MTR'!$S$6:$S$1005,S152)&amp;"","")</f>
        <v/>
      </c>
      <c r="E152" s="94" t="str">
        <f>IF(T152=1,INDEX('ITENS_MTR'!$C$6:$C$1005,S152)&amp;"","")</f>
        <v/>
      </c>
      <c r="F152" s="98" t="n"/>
      <c r="G152" s="91" t="n"/>
      <c r="H152" s="93" t="str">
        <f>IF(N152=0,"",IF(NOT(ISNUMBER(F152)),"",IF(ISNUMBER(U152),F152*U152,"UNIDADE A CONFERIR")))</f>
        <v/>
      </c>
      <c r="I152" s="94" t="str">
        <f>IF(Q152=1,INDEX('CDFs'!$F$6:$F$505,P152)&amp;"","")</f>
        <v/>
      </c>
      <c r="J152" s="91" t="n"/>
      <c r="K152" s="91" t="n"/>
      <c r="L152" s="94" t="str">
        <f>IF(N152=0,"",IF(NOT(ISNUMBER(F152)),"Quantidade não informada",IF(F152&lt;=0,"Quantidade não positiva",IF(G152="","Unidade não informada",IF(NOT(ISNUMBER(H152)),"Unidade a conferir",IF(AC152=1,"REVISAR VÍNCULO: soma vinculada maior que a referência do item","OK"))))))</f>
        <v/>
      </c>
      <c r="M152" s="94" t="str">
        <f>IF(N152=0,"",IF(B152="","CDF não informado",IF(Q152=0,"REVISAR VÍNCULO: CDF inexistente",IF(C152="","Item não informado",IF(T152=0,"REVISAR VÍNCULO: item inexistente",IF(AND(X152=1,J152&lt;&gt;"Sim"),"REVISAR VÍNCULO: destinador diferente do MTR",IF(X152=1,"Destinador diferente do MTR (analisado)","OK")))))))</f>
        <v/>
      </c>
      <c r="N152" s="96">
        <f>IF(COUNTA(B152:C152,F152:G152,J152:K152)&gt;0,1,0)</f>
        <v>0</v>
      </c>
      <c r="O152" s="96" t="str">
        <f>IF(B152="","",TRIM(LEFT(B152,FIND(" |",B152&amp;" |")-1)))</f>
        <v/>
      </c>
      <c r="P152" s="96" t="str">
        <f>IF(O152="","",IFERROR(MATCH(O152,'CDFs'!$A$6:$A$505,0),""))</f>
        <v/>
      </c>
      <c r="Q152" s="96">
        <f>IF(P152="",0,IF(INDEX('CDFs'!$S$6:$S$505,P152)=1,1,0))</f>
        <v>0</v>
      </c>
      <c r="R152" s="96" t="str">
        <f>IF(C152="","",TRIM(LEFT(C152,FIND(" |",C152&amp;" |")-1)))</f>
        <v/>
      </c>
      <c r="S152" s="96" t="str">
        <f>IF(R152="","",IFERROR(MATCH(R152,'ITENS_MTR'!$A$6:$A$1005,0),""))</f>
        <v/>
      </c>
      <c r="T152" s="96">
        <f>IF(S152="",0,IF(INDEX('ITENS_MTR'!$R$6:$R$1005,S152)=1,1,0))</f>
        <v>0</v>
      </c>
      <c r="U152" s="96" t="str">
        <f>IF(G152="","",IFERROR(IF(ISNUMBER(INDEX(cfg_fac,MATCH(G152,cfg_units,0))),IF(INDEX(cfg_fac,MATCH(G152,cfg_units,0))&gt;0,INDEX(cfg_fac,MATCH(G152,cfg_units,0)),""),""),""))</f>
        <v/>
      </c>
      <c r="V152" s="96">
        <f>IF(AND(ISNUMBER(F152),ISNUMBER(H152)),IF(H152&gt;0,1,0),0)</f>
        <v>0</v>
      </c>
      <c r="W152" s="96" t="str">
        <f>IF(T152=1,INDEX('ITENS_MTR'!$AU$6:$AU$1005,S152)&amp;"","")</f>
        <v/>
      </c>
      <c r="X152" s="96">
        <f>IF(AND(Q152=1,T152=1,I152&lt;&gt;"",W152&lt;&gt;""),IF(I152&lt;&gt;W152,1,0),0)</f>
        <v>0</v>
      </c>
      <c r="Y152" s="96">
        <f>IF(N152=0,0,IF(OR(Q152=0,T152=0,V152=0,AND(X152=1,J152&lt;&gt;"Sim")),1,0))</f>
        <v>0</v>
      </c>
      <c r="Z152" s="96">
        <f>IF(Q152=1,INDEX('CDFs'!$W$6:$W$505,P152),0)</f>
        <v>0</v>
      </c>
      <c r="AA152" s="96">
        <f>IF(AND(N152=1,Y152=0,Z152=1,J152="Sim"),1,0)</f>
        <v>0</v>
      </c>
      <c r="AB152" s="96">
        <f>IF(AND(N152=1,O152&lt;&gt;"",D152&lt;&gt;""),IF(COUNTIFS($O$6:O152,O152,$D$6:D152,D152)=1,1,0),0)</f>
        <v>0</v>
      </c>
      <c r="AC152" s="96">
        <f>IF(T152=1,INDEX('ITENS_MTR'!$AL$6:$AL$1005,S152),0)</f>
        <v>0</v>
      </c>
    </row>
    <row r="153">
      <c r="A153" s="89" t="inlineStr">
        <is>
          <t>VIN-000148</t>
        </is>
      </c>
      <c r="B153" s="91" t="n"/>
      <c r="C153" s="91" t="n"/>
      <c r="D153" s="94" t="str">
        <f>IF(T153=1,INDEX('ITENS_MTR'!$S$6:$S$1005,S153)&amp;"","")</f>
        <v/>
      </c>
      <c r="E153" s="94" t="str">
        <f>IF(T153=1,INDEX('ITENS_MTR'!$C$6:$C$1005,S153)&amp;"","")</f>
        <v/>
      </c>
      <c r="F153" s="98" t="n"/>
      <c r="G153" s="91" t="n"/>
      <c r="H153" s="93" t="str">
        <f>IF(N153=0,"",IF(NOT(ISNUMBER(F153)),"",IF(ISNUMBER(U153),F153*U153,"UNIDADE A CONFERIR")))</f>
        <v/>
      </c>
      <c r="I153" s="94" t="str">
        <f>IF(Q153=1,INDEX('CDFs'!$F$6:$F$505,P153)&amp;"","")</f>
        <v/>
      </c>
      <c r="J153" s="91" t="n"/>
      <c r="K153" s="91" t="n"/>
      <c r="L153" s="94" t="str">
        <f>IF(N153=0,"",IF(NOT(ISNUMBER(F153)),"Quantidade não informada",IF(F153&lt;=0,"Quantidade não positiva",IF(G153="","Unidade não informada",IF(NOT(ISNUMBER(H153)),"Unidade a conferir",IF(AC153=1,"REVISAR VÍNCULO: soma vinculada maior que a referência do item","OK"))))))</f>
        <v/>
      </c>
      <c r="M153" s="94" t="str">
        <f>IF(N153=0,"",IF(B153="","CDF não informado",IF(Q153=0,"REVISAR VÍNCULO: CDF inexistente",IF(C153="","Item não informado",IF(T153=0,"REVISAR VÍNCULO: item inexistente",IF(AND(X153=1,J153&lt;&gt;"Sim"),"REVISAR VÍNCULO: destinador diferente do MTR",IF(X153=1,"Destinador diferente do MTR (analisado)","OK")))))))</f>
        <v/>
      </c>
      <c r="N153" s="96">
        <f>IF(COUNTA(B153:C153,F153:G153,J153:K153)&gt;0,1,0)</f>
        <v>0</v>
      </c>
      <c r="O153" s="96" t="str">
        <f>IF(B153="","",TRIM(LEFT(B153,FIND(" |",B153&amp;" |")-1)))</f>
        <v/>
      </c>
      <c r="P153" s="96" t="str">
        <f>IF(O153="","",IFERROR(MATCH(O153,'CDFs'!$A$6:$A$505,0),""))</f>
        <v/>
      </c>
      <c r="Q153" s="96">
        <f>IF(P153="",0,IF(INDEX('CDFs'!$S$6:$S$505,P153)=1,1,0))</f>
        <v>0</v>
      </c>
      <c r="R153" s="96" t="str">
        <f>IF(C153="","",TRIM(LEFT(C153,FIND(" |",C153&amp;" |")-1)))</f>
        <v/>
      </c>
      <c r="S153" s="96" t="str">
        <f>IF(R153="","",IFERROR(MATCH(R153,'ITENS_MTR'!$A$6:$A$1005,0),""))</f>
        <v/>
      </c>
      <c r="T153" s="96">
        <f>IF(S153="",0,IF(INDEX('ITENS_MTR'!$R$6:$R$1005,S153)=1,1,0))</f>
        <v>0</v>
      </c>
      <c r="U153" s="96" t="str">
        <f>IF(G153="","",IFERROR(IF(ISNUMBER(INDEX(cfg_fac,MATCH(G153,cfg_units,0))),IF(INDEX(cfg_fac,MATCH(G153,cfg_units,0))&gt;0,INDEX(cfg_fac,MATCH(G153,cfg_units,0)),""),""),""))</f>
        <v/>
      </c>
      <c r="V153" s="96">
        <f>IF(AND(ISNUMBER(F153),ISNUMBER(H153)),IF(H153&gt;0,1,0),0)</f>
        <v>0</v>
      </c>
      <c r="W153" s="96" t="str">
        <f>IF(T153=1,INDEX('ITENS_MTR'!$AU$6:$AU$1005,S153)&amp;"","")</f>
        <v/>
      </c>
      <c r="X153" s="96">
        <f>IF(AND(Q153=1,T153=1,I153&lt;&gt;"",W153&lt;&gt;""),IF(I153&lt;&gt;W153,1,0),0)</f>
        <v>0</v>
      </c>
      <c r="Y153" s="96">
        <f>IF(N153=0,0,IF(OR(Q153=0,T153=0,V153=0,AND(X153=1,J153&lt;&gt;"Sim")),1,0))</f>
        <v>0</v>
      </c>
      <c r="Z153" s="96">
        <f>IF(Q153=1,INDEX('CDFs'!$W$6:$W$505,P153),0)</f>
        <v>0</v>
      </c>
      <c r="AA153" s="96">
        <f>IF(AND(N153=1,Y153=0,Z153=1,J153="Sim"),1,0)</f>
        <v>0</v>
      </c>
      <c r="AB153" s="96">
        <f>IF(AND(N153=1,O153&lt;&gt;"",D153&lt;&gt;""),IF(COUNTIFS($O$6:O153,O153,$D$6:D153,D153)=1,1,0),0)</f>
        <v>0</v>
      </c>
      <c r="AC153" s="96">
        <f>IF(T153=1,INDEX('ITENS_MTR'!$AL$6:$AL$1005,S153),0)</f>
        <v>0</v>
      </c>
    </row>
    <row r="154">
      <c r="A154" s="89" t="inlineStr">
        <is>
          <t>VIN-000149</t>
        </is>
      </c>
      <c r="B154" s="91" t="n"/>
      <c r="C154" s="91" t="n"/>
      <c r="D154" s="94" t="str">
        <f>IF(T154=1,INDEX('ITENS_MTR'!$S$6:$S$1005,S154)&amp;"","")</f>
        <v/>
      </c>
      <c r="E154" s="94" t="str">
        <f>IF(T154=1,INDEX('ITENS_MTR'!$C$6:$C$1005,S154)&amp;"","")</f>
        <v/>
      </c>
      <c r="F154" s="98" t="n"/>
      <c r="G154" s="91" t="n"/>
      <c r="H154" s="93" t="str">
        <f>IF(N154=0,"",IF(NOT(ISNUMBER(F154)),"",IF(ISNUMBER(U154),F154*U154,"UNIDADE A CONFERIR")))</f>
        <v/>
      </c>
      <c r="I154" s="94" t="str">
        <f>IF(Q154=1,INDEX('CDFs'!$F$6:$F$505,P154)&amp;"","")</f>
        <v/>
      </c>
      <c r="J154" s="91" t="n"/>
      <c r="K154" s="91" t="n"/>
      <c r="L154" s="94" t="str">
        <f>IF(N154=0,"",IF(NOT(ISNUMBER(F154)),"Quantidade não informada",IF(F154&lt;=0,"Quantidade não positiva",IF(G154="","Unidade não informada",IF(NOT(ISNUMBER(H154)),"Unidade a conferir",IF(AC154=1,"REVISAR VÍNCULO: soma vinculada maior que a referência do item","OK"))))))</f>
        <v/>
      </c>
      <c r="M154" s="94" t="str">
        <f>IF(N154=0,"",IF(B154="","CDF não informado",IF(Q154=0,"REVISAR VÍNCULO: CDF inexistente",IF(C154="","Item não informado",IF(T154=0,"REVISAR VÍNCULO: item inexistente",IF(AND(X154=1,J154&lt;&gt;"Sim"),"REVISAR VÍNCULO: destinador diferente do MTR",IF(X154=1,"Destinador diferente do MTR (analisado)","OK")))))))</f>
        <v/>
      </c>
      <c r="N154" s="96">
        <f>IF(COUNTA(B154:C154,F154:G154,J154:K154)&gt;0,1,0)</f>
        <v>0</v>
      </c>
      <c r="O154" s="96" t="str">
        <f>IF(B154="","",TRIM(LEFT(B154,FIND(" |",B154&amp;" |")-1)))</f>
        <v/>
      </c>
      <c r="P154" s="96" t="str">
        <f>IF(O154="","",IFERROR(MATCH(O154,'CDFs'!$A$6:$A$505,0),""))</f>
        <v/>
      </c>
      <c r="Q154" s="96">
        <f>IF(P154="",0,IF(INDEX('CDFs'!$S$6:$S$505,P154)=1,1,0))</f>
        <v>0</v>
      </c>
      <c r="R154" s="96" t="str">
        <f>IF(C154="","",TRIM(LEFT(C154,FIND(" |",C154&amp;" |")-1)))</f>
        <v/>
      </c>
      <c r="S154" s="96" t="str">
        <f>IF(R154="","",IFERROR(MATCH(R154,'ITENS_MTR'!$A$6:$A$1005,0),""))</f>
        <v/>
      </c>
      <c r="T154" s="96">
        <f>IF(S154="",0,IF(INDEX('ITENS_MTR'!$R$6:$R$1005,S154)=1,1,0))</f>
        <v>0</v>
      </c>
      <c r="U154" s="96" t="str">
        <f>IF(G154="","",IFERROR(IF(ISNUMBER(INDEX(cfg_fac,MATCH(G154,cfg_units,0))),IF(INDEX(cfg_fac,MATCH(G154,cfg_units,0))&gt;0,INDEX(cfg_fac,MATCH(G154,cfg_units,0)),""),""),""))</f>
        <v/>
      </c>
      <c r="V154" s="96">
        <f>IF(AND(ISNUMBER(F154),ISNUMBER(H154)),IF(H154&gt;0,1,0),0)</f>
        <v>0</v>
      </c>
      <c r="W154" s="96" t="str">
        <f>IF(T154=1,INDEX('ITENS_MTR'!$AU$6:$AU$1005,S154)&amp;"","")</f>
        <v/>
      </c>
      <c r="X154" s="96">
        <f>IF(AND(Q154=1,T154=1,I154&lt;&gt;"",W154&lt;&gt;""),IF(I154&lt;&gt;W154,1,0),0)</f>
        <v>0</v>
      </c>
      <c r="Y154" s="96">
        <f>IF(N154=0,0,IF(OR(Q154=0,T154=0,V154=0,AND(X154=1,J154&lt;&gt;"Sim")),1,0))</f>
        <v>0</v>
      </c>
      <c r="Z154" s="96">
        <f>IF(Q154=1,INDEX('CDFs'!$W$6:$W$505,P154),0)</f>
        <v>0</v>
      </c>
      <c r="AA154" s="96">
        <f>IF(AND(N154=1,Y154=0,Z154=1,J154="Sim"),1,0)</f>
        <v>0</v>
      </c>
      <c r="AB154" s="96">
        <f>IF(AND(N154=1,O154&lt;&gt;"",D154&lt;&gt;""),IF(COUNTIFS($O$6:O154,O154,$D$6:D154,D154)=1,1,0),0)</f>
        <v>0</v>
      </c>
      <c r="AC154" s="96">
        <f>IF(T154=1,INDEX('ITENS_MTR'!$AL$6:$AL$1005,S154),0)</f>
        <v>0</v>
      </c>
    </row>
    <row r="155">
      <c r="A155" s="89" t="inlineStr">
        <is>
          <t>VIN-000150</t>
        </is>
      </c>
      <c r="B155" s="91" t="n"/>
      <c r="C155" s="91" t="n"/>
      <c r="D155" s="94" t="str">
        <f>IF(T155=1,INDEX('ITENS_MTR'!$S$6:$S$1005,S155)&amp;"","")</f>
        <v/>
      </c>
      <c r="E155" s="94" t="str">
        <f>IF(T155=1,INDEX('ITENS_MTR'!$C$6:$C$1005,S155)&amp;"","")</f>
        <v/>
      </c>
      <c r="F155" s="98" t="n"/>
      <c r="G155" s="91" t="n"/>
      <c r="H155" s="93" t="str">
        <f>IF(N155=0,"",IF(NOT(ISNUMBER(F155)),"",IF(ISNUMBER(U155),F155*U155,"UNIDADE A CONFERIR")))</f>
        <v/>
      </c>
      <c r="I155" s="94" t="str">
        <f>IF(Q155=1,INDEX('CDFs'!$F$6:$F$505,P155)&amp;"","")</f>
        <v/>
      </c>
      <c r="J155" s="91" t="n"/>
      <c r="K155" s="91" t="n"/>
      <c r="L155" s="94" t="str">
        <f>IF(N155=0,"",IF(NOT(ISNUMBER(F155)),"Quantidade não informada",IF(F155&lt;=0,"Quantidade não positiva",IF(G155="","Unidade não informada",IF(NOT(ISNUMBER(H155)),"Unidade a conferir",IF(AC155=1,"REVISAR VÍNCULO: soma vinculada maior que a referência do item","OK"))))))</f>
        <v/>
      </c>
      <c r="M155" s="94" t="str">
        <f>IF(N155=0,"",IF(B155="","CDF não informado",IF(Q155=0,"REVISAR VÍNCULO: CDF inexistente",IF(C155="","Item não informado",IF(T155=0,"REVISAR VÍNCULO: item inexistente",IF(AND(X155=1,J155&lt;&gt;"Sim"),"REVISAR VÍNCULO: destinador diferente do MTR",IF(X155=1,"Destinador diferente do MTR (analisado)","OK")))))))</f>
        <v/>
      </c>
      <c r="N155" s="96">
        <f>IF(COUNTA(B155:C155,F155:G155,J155:K155)&gt;0,1,0)</f>
        <v>0</v>
      </c>
      <c r="O155" s="96" t="str">
        <f>IF(B155="","",TRIM(LEFT(B155,FIND(" |",B155&amp;" |")-1)))</f>
        <v/>
      </c>
      <c r="P155" s="96" t="str">
        <f>IF(O155="","",IFERROR(MATCH(O155,'CDFs'!$A$6:$A$505,0),""))</f>
        <v/>
      </c>
      <c r="Q155" s="96">
        <f>IF(P155="",0,IF(INDEX('CDFs'!$S$6:$S$505,P155)=1,1,0))</f>
        <v>0</v>
      </c>
      <c r="R155" s="96" t="str">
        <f>IF(C155="","",TRIM(LEFT(C155,FIND(" |",C155&amp;" |")-1)))</f>
        <v/>
      </c>
      <c r="S155" s="96" t="str">
        <f>IF(R155="","",IFERROR(MATCH(R155,'ITENS_MTR'!$A$6:$A$1005,0),""))</f>
        <v/>
      </c>
      <c r="T155" s="96">
        <f>IF(S155="",0,IF(INDEX('ITENS_MTR'!$R$6:$R$1005,S155)=1,1,0))</f>
        <v>0</v>
      </c>
      <c r="U155" s="96" t="str">
        <f>IF(G155="","",IFERROR(IF(ISNUMBER(INDEX(cfg_fac,MATCH(G155,cfg_units,0))),IF(INDEX(cfg_fac,MATCH(G155,cfg_units,0))&gt;0,INDEX(cfg_fac,MATCH(G155,cfg_units,0)),""),""),""))</f>
        <v/>
      </c>
      <c r="V155" s="96">
        <f>IF(AND(ISNUMBER(F155),ISNUMBER(H155)),IF(H155&gt;0,1,0),0)</f>
        <v>0</v>
      </c>
      <c r="W155" s="96" t="str">
        <f>IF(T155=1,INDEX('ITENS_MTR'!$AU$6:$AU$1005,S155)&amp;"","")</f>
        <v/>
      </c>
      <c r="X155" s="96">
        <f>IF(AND(Q155=1,T155=1,I155&lt;&gt;"",W155&lt;&gt;""),IF(I155&lt;&gt;W155,1,0),0)</f>
        <v>0</v>
      </c>
      <c r="Y155" s="96">
        <f>IF(N155=0,0,IF(OR(Q155=0,T155=0,V155=0,AND(X155=1,J155&lt;&gt;"Sim")),1,0))</f>
        <v>0</v>
      </c>
      <c r="Z155" s="96">
        <f>IF(Q155=1,INDEX('CDFs'!$W$6:$W$505,P155),0)</f>
        <v>0</v>
      </c>
      <c r="AA155" s="96">
        <f>IF(AND(N155=1,Y155=0,Z155=1,J155="Sim"),1,0)</f>
        <v>0</v>
      </c>
      <c r="AB155" s="96">
        <f>IF(AND(N155=1,O155&lt;&gt;"",D155&lt;&gt;""),IF(COUNTIFS($O$6:O155,O155,$D$6:D155,D155)=1,1,0),0)</f>
        <v>0</v>
      </c>
      <c r="AC155" s="96">
        <f>IF(T155=1,INDEX('ITENS_MTR'!$AL$6:$AL$1005,S155),0)</f>
        <v>0</v>
      </c>
    </row>
    <row r="156">
      <c r="A156" s="89" t="inlineStr">
        <is>
          <t>VIN-000151</t>
        </is>
      </c>
      <c r="B156" s="91" t="n"/>
      <c r="C156" s="91" t="n"/>
      <c r="D156" s="94" t="str">
        <f>IF(T156=1,INDEX('ITENS_MTR'!$S$6:$S$1005,S156)&amp;"","")</f>
        <v/>
      </c>
      <c r="E156" s="94" t="str">
        <f>IF(T156=1,INDEX('ITENS_MTR'!$C$6:$C$1005,S156)&amp;"","")</f>
        <v/>
      </c>
      <c r="F156" s="98" t="n"/>
      <c r="G156" s="91" t="n"/>
      <c r="H156" s="93" t="str">
        <f>IF(N156=0,"",IF(NOT(ISNUMBER(F156)),"",IF(ISNUMBER(U156),F156*U156,"UNIDADE A CONFERIR")))</f>
        <v/>
      </c>
      <c r="I156" s="94" t="str">
        <f>IF(Q156=1,INDEX('CDFs'!$F$6:$F$505,P156)&amp;"","")</f>
        <v/>
      </c>
      <c r="J156" s="91" t="n"/>
      <c r="K156" s="91" t="n"/>
      <c r="L156" s="94" t="str">
        <f>IF(N156=0,"",IF(NOT(ISNUMBER(F156)),"Quantidade não informada",IF(F156&lt;=0,"Quantidade não positiva",IF(G156="","Unidade não informada",IF(NOT(ISNUMBER(H156)),"Unidade a conferir",IF(AC156=1,"REVISAR VÍNCULO: soma vinculada maior que a referência do item","OK"))))))</f>
        <v/>
      </c>
      <c r="M156" s="94" t="str">
        <f>IF(N156=0,"",IF(B156="","CDF não informado",IF(Q156=0,"REVISAR VÍNCULO: CDF inexistente",IF(C156="","Item não informado",IF(T156=0,"REVISAR VÍNCULO: item inexistente",IF(AND(X156=1,J156&lt;&gt;"Sim"),"REVISAR VÍNCULO: destinador diferente do MTR",IF(X156=1,"Destinador diferente do MTR (analisado)","OK")))))))</f>
        <v/>
      </c>
      <c r="N156" s="96">
        <f>IF(COUNTA(B156:C156,F156:G156,J156:K156)&gt;0,1,0)</f>
        <v>0</v>
      </c>
      <c r="O156" s="96" t="str">
        <f>IF(B156="","",TRIM(LEFT(B156,FIND(" |",B156&amp;" |")-1)))</f>
        <v/>
      </c>
      <c r="P156" s="96" t="str">
        <f>IF(O156="","",IFERROR(MATCH(O156,'CDFs'!$A$6:$A$505,0),""))</f>
        <v/>
      </c>
      <c r="Q156" s="96">
        <f>IF(P156="",0,IF(INDEX('CDFs'!$S$6:$S$505,P156)=1,1,0))</f>
        <v>0</v>
      </c>
      <c r="R156" s="96" t="str">
        <f>IF(C156="","",TRIM(LEFT(C156,FIND(" |",C156&amp;" |")-1)))</f>
        <v/>
      </c>
      <c r="S156" s="96" t="str">
        <f>IF(R156="","",IFERROR(MATCH(R156,'ITENS_MTR'!$A$6:$A$1005,0),""))</f>
        <v/>
      </c>
      <c r="T156" s="96">
        <f>IF(S156="",0,IF(INDEX('ITENS_MTR'!$R$6:$R$1005,S156)=1,1,0))</f>
        <v>0</v>
      </c>
      <c r="U156" s="96" t="str">
        <f>IF(G156="","",IFERROR(IF(ISNUMBER(INDEX(cfg_fac,MATCH(G156,cfg_units,0))),IF(INDEX(cfg_fac,MATCH(G156,cfg_units,0))&gt;0,INDEX(cfg_fac,MATCH(G156,cfg_units,0)),""),""),""))</f>
        <v/>
      </c>
      <c r="V156" s="96">
        <f>IF(AND(ISNUMBER(F156),ISNUMBER(H156)),IF(H156&gt;0,1,0),0)</f>
        <v>0</v>
      </c>
      <c r="W156" s="96" t="str">
        <f>IF(T156=1,INDEX('ITENS_MTR'!$AU$6:$AU$1005,S156)&amp;"","")</f>
        <v/>
      </c>
      <c r="X156" s="96">
        <f>IF(AND(Q156=1,T156=1,I156&lt;&gt;"",W156&lt;&gt;""),IF(I156&lt;&gt;W156,1,0),0)</f>
        <v>0</v>
      </c>
      <c r="Y156" s="96">
        <f>IF(N156=0,0,IF(OR(Q156=0,T156=0,V156=0,AND(X156=1,J156&lt;&gt;"Sim")),1,0))</f>
        <v>0</v>
      </c>
      <c r="Z156" s="96">
        <f>IF(Q156=1,INDEX('CDFs'!$W$6:$W$505,P156),0)</f>
        <v>0</v>
      </c>
      <c r="AA156" s="96">
        <f>IF(AND(N156=1,Y156=0,Z156=1,J156="Sim"),1,0)</f>
        <v>0</v>
      </c>
      <c r="AB156" s="96">
        <f>IF(AND(N156=1,O156&lt;&gt;"",D156&lt;&gt;""),IF(COUNTIFS($O$6:O156,O156,$D$6:D156,D156)=1,1,0),0)</f>
        <v>0</v>
      </c>
      <c r="AC156" s="96">
        <f>IF(T156=1,INDEX('ITENS_MTR'!$AL$6:$AL$1005,S156),0)</f>
        <v>0</v>
      </c>
    </row>
    <row r="157">
      <c r="A157" s="89" t="inlineStr">
        <is>
          <t>VIN-000152</t>
        </is>
      </c>
      <c r="B157" s="91" t="n"/>
      <c r="C157" s="91" t="n"/>
      <c r="D157" s="94" t="str">
        <f>IF(T157=1,INDEX('ITENS_MTR'!$S$6:$S$1005,S157)&amp;"","")</f>
        <v/>
      </c>
      <c r="E157" s="94" t="str">
        <f>IF(T157=1,INDEX('ITENS_MTR'!$C$6:$C$1005,S157)&amp;"","")</f>
        <v/>
      </c>
      <c r="F157" s="98" t="n"/>
      <c r="G157" s="91" t="n"/>
      <c r="H157" s="93" t="str">
        <f>IF(N157=0,"",IF(NOT(ISNUMBER(F157)),"",IF(ISNUMBER(U157),F157*U157,"UNIDADE A CONFERIR")))</f>
        <v/>
      </c>
      <c r="I157" s="94" t="str">
        <f>IF(Q157=1,INDEX('CDFs'!$F$6:$F$505,P157)&amp;"","")</f>
        <v/>
      </c>
      <c r="J157" s="91" t="n"/>
      <c r="K157" s="91" t="n"/>
      <c r="L157" s="94" t="str">
        <f>IF(N157=0,"",IF(NOT(ISNUMBER(F157)),"Quantidade não informada",IF(F157&lt;=0,"Quantidade não positiva",IF(G157="","Unidade não informada",IF(NOT(ISNUMBER(H157)),"Unidade a conferir",IF(AC157=1,"REVISAR VÍNCULO: soma vinculada maior que a referência do item","OK"))))))</f>
        <v/>
      </c>
      <c r="M157" s="94" t="str">
        <f>IF(N157=0,"",IF(B157="","CDF não informado",IF(Q157=0,"REVISAR VÍNCULO: CDF inexistente",IF(C157="","Item não informado",IF(T157=0,"REVISAR VÍNCULO: item inexistente",IF(AND(X157=1,J157&lt;&gt;"Sim"),"REVISAR VÍNCULO: destinador diferente do MTR",IF(X157=1,"Destinador diferente do MTR (analisado)","OK")))))))</f>
        <v/>
      </c>
      <c r="N157" s="96">
        <f>IF(COUNTA(B157:C157,F157:G157,J157:K157)&gt;0,1,0)</f>
        <v>0</v>
      </c>
      <c r="O157" s="96" t="str">
        <f>IF(B157="","",TRIM(LEFT(B157,FIND(" |",B157&amp;" |")-1)))</f>
        <v/>
      </c>
      <c r="P157" s="96" t="str">
        <f>IF(O157="","",IFERROR(MATCH(O157,'CDFs'!$A$6:$A$505,0),""))</f>
        <v/>
      </c>
      <c r="Q157" s="96">
        <f>IF(P157="",0,IF(INDEX('CDFs'!$S$6:$S$505,P157)=1,1,0))</f>
        <v>0</v>
      </c>
      <c r="R157" s="96" t="str">
        <f>IF(C157="","",TRIM(LEFT(C157,FIND(" |",C157&amp;" |")-1)))</f>
        <v/>
      </c>
      <c r="S157" s="96" t="str">
        <f>IF(R157="","",IFERROR(MATCH(R157,'ITENS_MTR'!$A$6:$A$1005,0),""))</f>
        <v/>
      </c>
      <c r="T157" s="96">
        <f>IF(S157="",0,IF(INDEX('ITENS_MTR'!$R$6:$R$1005,S157)=1,1,0))</f>
        <v>0</v>
      </c>
      <c r="U157" s="96" t="str">
        <f>IF(G157="","",IFERROR(IF(ISNUMBER(INDEX(cfg_fac,MATCH(G157,cfg_units,0))),IF(INDEX(cfg_fac,MATCH(G157,cfg_units,0))&gt;0,INDEX(cfg_fac,MATCH(G157,cfg_units,0)),""),""),""))</f>
        <v/>
      </c>
      <c r="V157" s="96">
        <f>IF(AND(ISNUMBER(F157),ISNUMBER(H157)),IF(H157&gt;0,1,0),0)</f>
        <v>0</v>
      </c>
      <c r="W157" s="96" t="str">
        <f>IF(T157=1,INDEX('ITENS_MTR'!$AU$6:$AU$1005,S157)&amp;"","")</f>
        <v/>
      </c>
      <c r="X157" s="96">
        <f>IF(AND(Q157=1,T157=1,I157&lt;&gt;"",W157&lt;&gt;""),IF(I157&lt;&gt;W157,1,0),0)</f>
        <v>0</v>
      </c>
      <c r="Y157" s="96">
        <f>IF(N157=0,0,IF(OR(Q157=0,T157=0,V157=0,AND(X157=1,J157&lt;&gt;"Sim")),1,0))</f>
        <v>0</v>
      </c>
      <c r="Z157" s="96">
        <f>IF(Q157=1,INDEX('CDFs'!$W$6:$W$505,P157),0)</f>
        <v>0</v>
      </c>
      <c r="AA157" s="96">
        <f>IF(AND(N157=1,Y157=0,Z157=1,J157="Sim"),1,0)</f>
        <v>0</v>
      </c>
      <c r="AB157" s="96">
        <f>IF(AND(N157=1,O157&lt;&gt;"",D157&lt;&gt;""),IF(COUNTIFS($O$6:O157,O157,$D$6:D157,D157)=1,1,0),0)</f>
        <v>0</v>
      </c>
      <c r="AC157" s="96">
        <f>IF(T157=1,INDEX('ITENS_MTR'!$AL$6:$AL$1005,S157),0)</f>
        <v>0</v>
      </c>
    </row>
    <row r="158">
      <c r="A158" s="89" t="inlineStr">
        <is>
          <t>VIN-000153</t>
        </is>
      </c>
      <c r="B158" s="91" t="n"/>
      <c r="C158" s="91" t="n"/>
      <c r="D158" s="94" t="str">
        <f>IF(T158=1,INDEX('ITENS_MTR'!$S$6:$S$1005,S158)&amp;"","")</f>
        <v/>
      </c>
      <c r="E158" s="94" t="str">
        <f>IF(T158=1,INDEX('ITENS_MTR'!$C$6:$C$1005,S158)&amp;"","")</f>
        <v/>
      </c>
      <c r="F158" s="98" t="n"/>
      <c r="G158" s="91" t="n"/>
      <c r="H158" s="93" t="str">
        <f>IF(N158=0,"",IF(NOT(ISNUMBER(F158)),"",IF(ISNUMBER(U158),F158*U158,"UNIDADE A CONFERIR")))</f>
        <v/>
      </c>
      <c r="I158" s="94" t="str">
        <f>IF(Q158=1,INDEX('CDFs'!$F$6:$F$505,P158)&amp;"","")</f>
        <v/>
      </c>
      <c r="J158" s="91" t="n"/>
      <c r="K158" s="91" t="n"/>
      <c r="L158" s="94" t="str">
        <f>IF(N158=0,"",IF(NOT(ISNUMBER(F158)),"Quantidade não informada",IF(F158&lt;=0,"Quantidade não positiva",IF(G158="","Unidade não informada",IF(NOT(ISNUMBER(H158)),"Unidade a conferir",IF(AC158=1,"REVISAR VÍNCULO: soma vinculada maior que a referência do item","OK"))))))</f>
        <v/>
      </c>
      <c r="M158" s="94" t="str">
        <f>IF(N158=0,"",IF(B158="","CDF não informado",IF(Q158=0,"REVISAR VÍNCULO: CDF inexistente",IF(C158="","Item não informado",IF(T158=0,"REVISAR VÍNCULO: item inexistente",IF(AND(X158=1,J158&lt;&gt;"Sim"),"REVISAR VÍNCULO: destinador diferente do MTR",IF(X158=1,"Destinador diferente do MTR (analisado)","OK")))))))</f>
        <v/>
      </c>
      <c r="N158" s="96">
        <f>IF(COUNTA(B158:C158,F158:G158,J158:K158)&gt;0,1,0)</f>
        <v>0</v>
      </c>
      <c r="O158" s="96" t="str">
        <f>IF(B158="","",TRIM(LEFT(B158,FIND(" |",B158&amp;" |")-1)))</f>
        <v/>
      </c>
      <c r="P158" s="96" t="str">
        <f>IF(O158="","",IFERROR(MATCH(O158,'CDFs'!$A$6:$A$505,0),""))</f>
        <v/>
      </c>
      <c r="Q158" s="96">
        <f>IF(P158="",0,IF(INDEX('CDFs'!$S$6:$S$505,P158)=1,1,0))</f>
        <v>0</v>
      </c>
      <c r="R158" s="96" t="str">
        <f>IF(C158="","",TRIM(LEFT(C158,FIND(" |",C158&amp;" |")-1)))</f>
        <v/>
      </c>
      <c r="S158" s="96" t="str">
        <f>IF(R158="","",IFERROR(MATCH(R158,'ITENS_MTR'!$A$6:$A$1005,0),""))</f>
        <v/>
      </c>
      <c r="T158" s="96">
        <f>IF(S158="",0,IF(INDEX('ITENS_MTR'!$R$6:$R$1005,S158)=1,1,0))</f>
        <v>0</v>
      </c>
      <c r="U158" s="96" t="str">
        <f>IF(G158="","",IFERROR(IF(ISNUMBER(INDEX(cfg_fac,MATCH(G158,cfg_units,0))),IF(INDEX(cfg_fac,MATCH(G158,cfg_units,0))&gt;0,INDEX(cfg_fac,MATCH(G158,cfg_units,0)),""),""),""))</f>
        <v/>
      </c>
      <c r="V158" s="96">
        <f>IF(AND(ISNUMBER(F158),ISNUMBER(H158)),IF(H158&gt;0,1,0),0)</f>
        <v>0</v>
      </c>
      <c r="W158" s="96" t="str">
        <f>IF(T158=1,INDEX('ITENS_MTR'!$AU$6:$AU$1005,S158)&amp;"","")</f>
        <v/>
      </c>
      <c r="X158" s="96">
        <f>IF(AND(Q158=1,T158=1,I158&lt;&gt;"",W158&lt;&gt;""),IF(I158&lt;&gt;W158,1,0),0)</f>
        <v>0</v>
      </c>
      <c r="Y158" s="96">
        <f>IF(N158=0,0,IF(OR(Q158=0,T158=0,V158=0,AND(X158=1,J158&lt;&gt;"Sim")),1,0))</f>
        <v>0</v>
      </c>
      <c r="Z158" s="96">
        <f>IF(Q158=1,INDEX('CDFs'!$W$6:$W$505,P158),0)</f>
        <v>0</v>
      </c>
      <c r="AA158" s="96">
        <f>IF(AND(N158=1,Y158=0,Z158=1,J158="Sim"),1,0)</f>
        <v>0</v>
      </c>
      <c r="AB158" s="96">
        <f>IF(AND(N158=1,O158&lt;&gt;"",D158&lt;&gt;""),IF(COUNTIFS($O$6:O158,O158,$D$6:D158,D158)=1,1,0),0)</f>
        <v>0</v>
      </c>
      <c r="AC158" s="96">
        <f>IF(T158=1,INDEX('ITENS_MTR'!$AL$6:$AL$1005,S158),0)</f>
        <v>0</v>
      </c>
    </row>
    <row r="159">
      <c r="A159" s="89" t="inlineStr">
        <is>
          <t>VIN-000154</t>
        </is>
      </c>
      <c r="B159" s="91" t="n"/>
      <c r="C159" s="91" t="n"/>
      <c r="D159" s="94" t="str">
        <f>IF(T159=1,INDEX('ITENS_MTR'!$S$6:$S$1005,S159)&amp;"","")</f>
        <v/>
      </c>
      <c r="E159" s="94" t="str">
        <f>IF(T159=1,INDEX('ITENS_MTR'!$C$6:$C$1005,S159)&amp;"","")</f>
        <v/>
      </c>
      <c r="F159" s="98" t="n"/>
      <c r="G159" s="91" t="n"/>
      <c r="H159" s="93" t="str">
        <f>IF(N159=0,"",IF(NOT(ISNUMBER(F159)),"",IF(ISNUMBER(U159),F159*U159,"UNIDADE A CONFERIR")))</f>
        <v/>
      </c>
      <c r="I159" s="94" t="str">
        <f>IF(Q159=1,INDEX('CDFs'!$F$6:$F$505,P159)&amp;"","")</f>
        <v/>
      </c>
      <c r="J159" s="91" t="n"/>
      <c r="K159" s="91" t="n"/>
      <c r="L159" s="94" t="str">
        <f>IF(N159=0,"",IF(NOT(ISNUMBER(F159)),"Quantidade não informada",IF(F159&lt;=0,"Quantidade não positiva",IF(G159="","Unidade não informada",IF(NOT(ISNUMBER(H159)),"Unidade a conferir",IF(AC159=1,"REVISAR VÍNCULO: soma vinculada maior que a referência do item","OK"))))))</f>
        <v/>
      </c>
      <c r="M159" s="94" t="str">
        <f>IF(N159=0,"",IF(B159="","CDF não informado",IF(Q159=0,"REVISAR VÍNCULO: CDF inexistente",IF(C159="","Item não informado",IF(T159=0,"REVISAR VÍNCULO: item inexistente",IF(AND(X159=1,J159&lt;&gt;"Sim"),"REVISAR VÍNCULO: destinador diferente do MTR",IF(X159=1,"Destinador diferente do MTR (analisado)","OK")))))))</f>
        <v/>
      </c>
      <c r="N159" s="96">
        <f>IF(COUNTA(B159:C159,F159:G159,J159:K159)&gt;0,1,0)</f>
        <v>0</v>
      </c>
      <c r="O159" s="96" t="str">
        <f>IF(B159="","",TRIM(LEFT(B159,FIND(" |",B159&amp;" |")-1)))</f>
        <v/>
      </c>
      <c r="P159" s="96" t="str">
        <f>IF(O159="","",IFERROR(MATCH(O159,'CDFs'!$A$6:$A$505,0),""))</f>
        <v/>
      </c>
      <c r="Q159" s="96">
        <f>IF(P159="",0,IF(INDEX('CDFs'!$S$6:$S$505,P159)=1,1,0))</f>
        <v>0</v>
      </c>
      <c r="R159" s="96" t="str">
        <f>IF(C159="","",TRIM(LEFT(C159,FIND(" |",C159&amp;" |")-1)))</f>
        <v/>
      </c>
      <c r="S159" s="96" t="str">
        <f>IF(R159="","",IFERROR(MATCH(R159,'ITENS_MTR'!$A$6:$A$1005,0),""))</f>
        <v/>
      </c>
      <c r="T159" s="96">
        <f>IF(S159="",0,IF(INDEX('ITENS_MTR'!$R$6:$R$1005,S159)=1,1,0))</f>
        <v>0</v>
      </c>
      <c r="U159" s="96" t="str">
        <f>IF(G159="","",IFERROR(IF(ISNUMBER(INDEX(cfg_fac,MATCH(G159,cfg_units,0))),IF(INDEX(cfg_fac,MATCH(G159,cfg_units,0))&gt;0,INDEX(cfg_fac,MATCH(G159,cfg_units,0)),""),""),""))</f>
        <v/>
      </c>
      <c r="V159" s="96">
        <f>IF(AND(ISNUMBER(F159),ISNUMBER(H159)),IF(H159&gt;0,1,0),0)</f>
        <v>0</v>
      </c>
      <c r="W159" s="96" t="str">
        <f>IF(T159=1,INDEX('ITENS_MTR'!$AU$6:$AU$1005,S159)&amp;"","")</f>
        <v/>
      </c>
      <c r="X159" s="96">
        <f>IF(AND(Q159=1,T159=1,I159&lt;&gt;"",W159&lt;&gt;""),IF(I159&lt;&gt;W159,1,0),0)</f>
        <v>0</v>
      </c>
      <c r="Y159" s="96">
        <f>IF(N159=0,0,IF(OR(Q159=0,T159=0,V159=0,AND(X159=1,J159&lt;&gt;"Sim")),1,0))</f>
        <v>0</v>
      </c>
      <c r="Z159" s="96">
        <f>IF(Q159=1,INDEX('CDFs'!$W$6:$W$505,P159),0)</f>
        <v>0</v>
      </c>
      <c r="AA159" s="96">
        <f>IF(AND(N159=1,Y159=0,Z159=1,J159="Sim"),1,0)</f>
        <v>0</v>
      </c>
      <c r="AB159" s="96">
        <f>IF(AND(N159=1,O159&lt;&gt;"",D159&lt;&gt;""),IF(COUNTIFS($O$6:O159,O159,$D$6:D159,D159)=1,1,0),0)</f>
        <v>0</v>
      </c>
      <c r="AC159" s="96">
        <f>IF(T159=1,INDEX('ITENS_MTR'!$AL$6:$AL$1005,S159),0)</f>
        <v>0</v>
      </c>
    </row>
    <row r="160">
      <c r="A160" s="89" t="inlineStr">
        <is>
          <t>VIN-000155</t>
        </is>
      </c>
      <c r="B160" s="91" t="n"/>
      <c r="C160" s="91" t="n"/>
      <c r="D160" s="94" t="str">
        <f>IF(T160=1,INDEX('ITENS_MTR'!$S$6:$S$1005,S160)&amp;"","")</f>
        <v/>
      </c>
      <c r="E160" s="94" t="str">
        <f>IF(T160=1,INDEX('ITENS_MTR'!$C$6:$C$1005,S160)&amp;"","")</f>
        <v/>
      </c>
      <c r="F160" s="98" t="n"/>
      <c r="G160" s="91" t="n"/>
      <c r="H160" s="93" t="str">
        <f>IF(N160=0,"",IF(NOT(ISNUMBER(F160)),"",IF(ISNUMBER(U160),F160*U160,"UNIDADE A CONFERIR")))</f>
        <v/>
      </c>
      <c r="I160" s="94" t="str">
        <f>IF(Q160=1,INDEX('CDFs'!$F$6:$F$505,P160)&amp;"","")</f>
        <v/>
      </c>
      <c r="J160" s="91" t="n"/>
      <c r="K160" s="91" t="n"/>
      <c r="L160" s="94" t="str">
        <f>IF(N160=0,"",IF(NOT(ISNUMBER(F160)),"Quantidade não informada",IF(F160&lt;=0,"Quantidade não positiva",IF(G160="","Unidade não informada",IF(NOT(ISNUMBER(H160)),"Unidade a conferir",IF(AC160=1,"REVISAR VÍNCULO: soma vinculada maior que a referência do item","OK"))))))</f>
        <v/>
      </c>
      <c r="M160" s="94" t="str">
        <f>IF(N160=0,"",IF(B160="","CDF não informado",IF(Q160=0,"REVISAR VÍNCULO: CDF inexistente",IF(C160="","Item não informado",IF(T160=0,"REVISAR VÍNCULO: item inexistente",IF(AND(X160=1,J160&lt;&gt;"Sim"),"REVISAR VÍNCULO: destinador diferente do MTR",IF(X160=1,"Destinador diferente do MTR (analisado)","OK")))))))</f>
        <v/>
      </c>
      <c r="N160" s="96">
        <f>IF(COUNTA(B160:C160,F160:G160,J160:K160)&gt;0,1,0)</f>
        <v>0</v>
      </c>
      <c r="O160" s="96" t="str">
        <f>IF(B160="","",TRIM(LEFT(B160,FIND(" |",B160&amp;" |")-1)))</f>
        <v/>
      </c>
      <c r="P160" s="96" t="str">
        <f>IF(O160="","",IFERROR(MATCH(O160,'CDFs'!$A$6:$A$505,0),""))</f>
        <v/>
      </c>
      <c r="Q160" s="96">
        <f>IF(P160="",0,IF(INDEX('CDFs'!$S$6:$S$505,P160)=1,1,0))</f>
        <v>0</v>
      </c>
      <c r="R160" s="96" t="str">
        <f>IF(C160="","",TRIM(LEFT(C160,FIND(" |",C160&amp;" |")-1)))</f>
        <v/>
      </c>
      <c r="S160" s="96" t="str">
        <f>IF(R160="","",IFERROR(MATCH(R160,'ITENS_MTR'!$A$6:$A$1005,0),""))</f>
        <v/>
      </c>
      <c r="T160" s="96">
        <f>IF(S160="",0,IF(INDEX('ITENS_MTR'!$R$6:$R$1005,S160)=1,1,0))</f>
        <v>0</v>
      </c>
      <c r="U160" s="96" t="str">
        <f>IF(G160="","",IFERROR(IF(ISNUMBER(INDEX(cfg_fac,MATCH(G160,cfg_units,0))),IF(INDEX(cfg_fac,MATCH(G160,cfg_units,0))&gt;0,INDEX(cfg_fac,MATCH(G160,cfg_units,0)),""),""),""))</f>
        <v/>
      </c>
      <c r="V160" s="96">
        <f>IF(AND(ISNUMBER(F160),ISNUMBER(H160)),IF(H160&gt;0,1,0),0)</f>
        <v>0</v>
      </c>
      <c r="W160" s="96" t="str">
        <f>IF(T160=1,INDEX('ITENS_MTR'!$AU$6:$AU$1005,S160)&amp;"","")</f>
        <v/>
      </c>
      <c r="X160" s="96">
        <f>IF(AND(Q160=1,T160=1,I160&lt;&gt;"",W160&lt;&gt;""),IF(I160&lt;&gt;W160,1,0),0)</f>
        <v>0</v>
      </c>
      <c r="Y160" s="96">
        <f>IF(N160=0,0,IF(OR(Q160=0,T160=0,V160=0,AND(X160=1,J160&lt;&gt;"Sim")),1,0))</f>
        <v>0</v>
      </c>
      <c r="Z160" s="96">
        <f>IF(Q160=1,INDEX('CDFs'!$W$6:$W$505,P160),0)</f>
        <v>0</v>
      </c>
      <c r="AA160" s="96">
        <f>IF(AND(N160=1,Y160=0,Z160=1,J160="Sim"),1,0)</f>
        <v>0</v>
      </c>
      <c r="AB160" s="96">
        <f>IF(AND(N160=1,O160&lt;&gt;"",D160&lt;&gt;""),IF(COUNTIFS($O$6:O160,O160,$D$6:D160,D160)=1,1,0),0)</f>
        <v>0</v>
      </c>
      <c r="AC160" s="96">
        <f>IF(T160=1,INDEX('ITENS_MTR'!$AL$6:$AL$1005,S160),0)</f>
        <v>0</v>
      </c>
    </row>
    <row r="161">
      <c r="A161" s="89" t="inlineStr">
        <is>
          <t>VIN-000156</t>
        </is>
      </c>
      <c r="B161" s="91" t="n"/>
      <c r="C161" s="91" t="n"/>
      <c r="D161" s="94" t="str">
        <f>IF(T161=1,INDEX('ITENS_MTR'!$S$6:$S$1005,S161)&amp;"","")</f>
        <v/>
      </c>
      <c r="E161" s="94" t="str">
        <f>IF(T161=1,INDEX('ITENS_MTR'!$C$6:$C$1005,S161)&amp;"","")</f>
        <v/>
      </c>
      <c r="F161" s="98" t="n"/>
      <c r="G161" s="91" t="n"/>
      <c r="H161" s="93" t="str">
        <f>IF(N161=0,"",IF(NOT(ISNUMBER(F161)),"",IF(ISNUMBER(U161),F161*U161,"UNIDADE A CONFERIR")))</f>
        <v/>
      </c>
      <c r="I161" s="94" t="str">
        <f>IF(Q161=1,INDEX('CDFs'!$F$6:$F$505,P161)&amp;"","")</f>
        <v/>
      </c>
      <c r="J161" s="91" t="n"/>
      <c r="K161" s="91" t="n"/>
      <c r="L161" s="94" t="str">
        <f>IF(N161=0,"",IF(NOT(ISNUMBER(F161)),"Quantidade não informada",IF(F161&lt;=0,"Quantidade não positiva",IF(G161="","Unidade não informada",IF(NOT(ISNUMBER(H161)),"Unidade a conferir",IF(AC161=1,"REVISAR VÍNCULO: soma vinculada maior que a referência do item","OK"))))))</f>
        <v/>
      </c>
      <c r="M161" s="94" t="str">
        <f>IF(N161=0,"",IF(B161="","CDF não informado",IF(Q161=0,"REVISAR VÍNCULO: CDF inexistente",IF(C161="","Item não informado",IF(T161=0,"REVISAR VÍNCULO: item inexistente",IF(AND(X161=1,J161&lt;&gt;"Sim"),"REVISAR VÍNCULO: destinador diferente do MTR",IF(X161=1,"Destinador diferente do MTR (analisado)","OK")))))))</f>
        <v/>
      </c>
      <c r="N161" s="96">
        <f>IF(COUNTA(B161:C161,F161:G161,J161:K161)&gt;0,1,0)</f>
        <v>0</v>
      </c>
      <c r="O161" s="96" t="str">
        <f>IF(B161="","",TRIM(LEFT(B161,FIND(" |",B161&amp;" |")-1)))</f>
        <v/>
      </c>
      <c r="P161" s="96" t="str">
        <f>IF(O161="","",IFERROR(MATCH(O161,'CDFs'!$A$6:$A$505,0),""))</f>
        <v/>
      </c>
      <c r="Q161" s="96">
        <f>IF(P161="",0,IF(INDEX('CDFs'!$S$6:$S$505,P161)=1,1,0))</f>
        <v>0</v>
      </c>
      <c r="R161" s="96" t="str">
        <f>IF(C161="","",TRIM(LEFT(C161,FIND(" |",C161&amp;" |")-1)))</f>
        <v/>
      </c>
      <c r="S161" s="96" t="str">
        <f>IF(R161="","",IFERROR(MATCH(R161,'ITENS_MTR'!$A$6:$A$1005,0),""))</f>
        <v/>
      </c>
      <c r="T161" s="96">
        <f>IF(S161="",0,IF(INDEX('ITENS_MTR'!$R$6:$R$1005,S161)=1,1,0))</f>
        <v>0</v>
      </c>
      <c r="U161" s="96" t="str">
        <f>IF(G161="","",IFERROR(IF(ISNUMBER(INDEX(cfg_fac,MATCH(G161,cfg_units,0))),IF(INDEX(cfg_fac,MATCH(G161,cfg_units,0))&gt;0,INDEX(cfg_fac,MATCH(G161,cfg_units,0)),""),""),""))</f>
        <v/>
      </c>
      <c r="V161" s="96">
        <f>IF(AND(ISNUMBER(F161),ISNUMBER(H161)),IF(H161&gt;0,1,0),0)</f>
        <v>0</v>
      </c>
      <c r="W161" s="96" t="str">
        <f>IF(T161=1,INDEX('ITENS_MTR'!$AU$6:$AU$1005,S161)&amp;"","")</f>
        <v/>
      </c>
      <c r="X161" s="96">
        <f>IF(AND(Q161=1,T161=1,I161&lt;&gt;"",W161&lt;&gt;""),IF(I161&lt;&gt;W161,1,0),0)</f>
        <v>0</v>
      </c>
      <c r="Y161" s="96">
        <f>IF(N161=0,0,IF(OR(Q161=0,T161=0,V161=0,AND(X161=1,J161&lt;&gt;"Sim")),1,0))</f>
        <v>0</v>
      </c>
      <c r="Z161" s="96">
        <f>IF(Q161=1,INDEX('CDFs'!$W$6:$W$505,P161),0)</f>
        <v>0</v>
      </c>
      <c r="AA161" s="96">
        <f>IF(AND(N161=1,Y161=0,Z161=1,J161="Sim"),1,0)</f>
        <v>0</v>
      </c>
      <c r="AB161" s="96">
        <f>IF(AND(N161=1,O161&lt;&gt;"",D161&lt;&gt;""),IF(COUNTIFS($O$6:O161,O161,$D$6:D161,D161)=1,1,0),0)</f>
        <v>0</v>
      </c>
      <c r="AC161" s="96">
        <f>IF(T161=1,INDEX('ITENS_MTR'!$AL$6:$AL$1005,S161),0)</f>
        <v>0</v>
      </c>
    </row>
    <row r="162">
      <c r="A162" s="89" t="inlineStr">
        <is>
          <t>VIN-000157</t>
        </is>
      </c>
      <c r="B162" s="91" t="n"/>
      <c r="C162" s="91" t="n"/>
      <c r="D162" s="94" t="str">
        <f>IF(T162=1,INDEX('ITENS_MTR'!$S$6:$S$1005,S162)&amp;"","")</f>
        <v/>
      </c>
      <c r="E162" s="94" t="str">
        <f>IF(T162=1,INDEX('ITENS_MTR'!$C$6:$C$1005,S162)&amp;"","")</f>
        <v/>
      </c>
      <c r="F162" s="98" t="n"/>
      <c r="G162" s="91" t="n"/>
      <c r="H162" s="93" t="str">
        <f>IF(N162=0,"",IF(NOT(ISNUMBER(F162)),"",IF(ISNUMBER(U162),F162*U162,"UNIDADE A CONFERIR")))</f>
        <v/>
      </c>
      <c r="I162" s="94" t="str">
        <f>IF(Q162=1,INDEX('CDFs'!$F$6:$F$505,P162)&amp;"","")</f>
        <v/>
      </c>
      <c r="J162" s="91" t="n"/>
      <c r="K162" s="91" t="n"/>
      <c r="L162" s="94" t="str">
        <f>IF(N162=0,"",IF(NOT(ISNUMBER(F162)),"Quantidade não informada",IF(F162&lt;=0,"Quantidade não positiva",IF(G162="","Unidade não informada",IF(NOT(ISNUMBER(H162)),"Unidade a conferir",IF(AC162=1,"REVISAR VÍNCULO: soma vinculada maior que a referência do item","OK"))))))</f>
        <v/>
      </c>
      <c r="M162" s="94" t="str">
        <f>IF(N162=0,"",IF(B162="","CDF não informado",IF(Q162=0,"REVISAR VÍNCULO: CDF inexistente",IF(C162="","Item não informado",IF(T162=0,"REVISAR VÍNCULO: item inexistente",IF(AND(X162=1,J162&lt;&gt;"Sim"),"REVISAR VÍNCULO: destinador diferente do MTR",IF(X162=1,"Destinador diferente do MTR (analisado)","OK")))))))</f>
        <v/>
      </c>
      <c r="N162" s="96">
        <f>IF(COUNTA(B162:C162,F162:G162,J162:K162)&gt;0,1,0)</f>
        <v>0</v>
      </c>
      <c r="O162" s="96" t="str">
        <f>IF(B162="","",TRIM(LEFT(B162,FIND(" |",B162&amp;" |")-1)))</f>
        <v/>
      </c>
      <c r="P162" s="96" t="str">
        <f>IF(O162="","",IFERROR(MATCH(O162,'CDFs'!$A$6:$A$505,0),""))</f>
        <v/>
      </c>
      <c r="Q162" s="96">
        <f>IF(P162="",0,IF(INDEX('CDFs'!$S$6:$S$505,P162)=1,1,0))</f>
        <v>0</v>
      </c>
      <c r="R162" s="96" t="str">
        <f>IF(C162="","",TRIM(LEFT(C162,FIND(" |",C162&amp;" |")-1)))</f>
        <v/>
      </c>
      <c r="S162" s="96" t="str">
        <f>IF(R162="","",IFERROR(MATCH(R162,'ITENS_MTR'!$A$6:$A$1005,0),""))</f>
        <v/>
      </c>
      <c r="T162" s="96">
        <f>IF(S162="",0,IF(INDEX('ITENS_MTR'!$R$6:$R$1005,S162)=1,1,0))</f>
        <v>0</v>
      </c>
      <c r="U162" s="96" t="str">
        <f>IF(G162="","",IFERROR(IF(ISNUMBER(INDEX(cfg_fac,MATCH(G162,cfg_units,0))),IF(INDEX(cfg_fac,MATCH(G162,cfg_units,0))&gt;0,INDEX(cfg_fac,MATCH(G162,cfg_units,0)),""),""),""))</f>
        <v/>
      </c>
      <c r="V162" s="96">
        <f>IF(AND(ISNUMBER(F162),ISNUMBER(H162)),IF(H162&gt;0,1,0),0)</f>
        <v>0</v>
      </c>
      <c r="W162" s="96" t="str">
        <f>IF(T162=1,INDEX('ITENS_MTR'!$AU$6:$AU$1005,S162)&amp;"","")</f>
        <v/>
      </c>
      <c r="X162" s="96">
        <f>IF(AND(Q162=1,T162=1,I162&lt;&gt;"",W162&lt;&gt;""),IF(I162&lt;&gt;W162,1,0),0)</f>
        <v>0</v>
      </c>
      <c r="Y162" s="96">
        <f>IF(N162=0,0,IF(OR(Q162=0,T162=0,V162=0,AND(X162=1,J162&lt;&gt;"Sim")),1,0))</f>
        <v>0</v>
      </c>
      <c r="Z162" s="96">
        <f>IF(Q162=1,INDEX('CDFs'!$W$6:$W$505,P162),0)</f>
        <v>0</v>
      </c>
      <c r="AA162" s="96">
        <f>IF(AND(N162=1,Y162=0,Z162=1,J162="Sim"),1,0)</f>
        <v>0</v>
      </c>
      <c r="AB162" s="96">
        <f>IF(AND(N162=1,O162&lt;&gt;"",D162&lt;&gt;""),IF(COUNTIFS($O$6:O162,O162,$D$6:D162,D162)=1,1,0),0)</f>
        <v>0</v>
      </c>
      <c r="AC162" s="96">
        <f>IF(T162=1,INDEX('ITENS_MTR'!$AL$6:$AL$1005,S162),0)</f>
        <v>0</v>
      </c>
    </row>
    <row r="163">
      <c r="A163" s="89" t="inlineStr">
        <is>
          <t>VIN-000158</t>
        </is>
      </c>
      <c r="B163" s="91" t="n"/>
      <c r="C163" s="91" t="n"/>
      <c r="D163" s="94" t="str">
        <f>IF(T163=1,INDEX('ITENS_MTR'!$S$6:$S$1005,S163)&amp;"","")</f>
        <v/>
      </c>
      <c r="E163" s="94" t="str">
        <f>IF(T163=1,INDEX('ITENS_MTR'!$C$6:$C$1005,S163)&amp;"","")</f>
        <v/>
      </c>
      <c r="F163" s="98" t="n"/>
      <c r="G163" s="91" t="n"/>
      <c r="H163" s="93" t="str">
        <f>IF(N163=0,"",IF(NOT(ISNUMBER(F163)),"",IF(ISNUMBER(U163),F163*U163,"UNIDADE A CONFERIR")))</f>
        <v/>
      </c>
      <c r="I163" s="94" t="str">
        <f>IF(Q163=1,INDEX('CDFs'!$F$6:$F$505,P163)&amp;"","")</f>
        <v/>
      </c>
      <c r="J163" s="91" t="n"/>
      <c r="K163" s="91" t="n"/>
      <c r="L163" s="94" t="str">
        <f>IF(N163=0,"",IF(NOT(ISNUMBER(F163)),"Quantidade não informada",IF(F163&lt;=0,"Quantidade não positiva",IF(G163="","Unidade não informada",IF(NOT(ISNUMBER(H163)),"Unidade a conferir",IF(AC163=1,"REVISAR VÍNCULO: soma vinculada maior que a referência do item","OK"))))))</f>
        <v/>
      </c>
      <c r="M163" s="94" t="str">
        <f>IF(N163=0,"",IF(B163="","CDF não informado",IF(Q163=0,"REVISAR VÍNCULO: CDF inexistente",IF(C163="","Item não informado",IF(T163=0,"REVISAR VÍNCULO: item inexistente",IF(AND(X163=1,J163&lt;&gt;"Sim"),"REVISAR VÍNCULO: destinador diferente do MTR",IF(X163=1,"Destinador diferente do MTR (analisado)","OK")))))))</f>
        <v/>
      </c>
      <c r="N163" s="96">
        <f>IF(COUNTA(B163:C163,F163:G163,J163:K163)&gt;0,1,0)</f>
        <v>0</v>
      </c>
      <c r="O163" s="96" t="str">
        <f>IF(B163="","",TRIM(LEFT(B163,FIND(" |",B163&amp;" |")-1)))</f>
        <v/>
      </c>
      <c r="P163" s="96" t="str">
        <f>IF(O163="","",IFERROR(MATCH(O163,'CDFs'!$A$6:$A$505,0),""))</f>
        <v/>
      </c>
      <c r="Q163" s="96">
        <f>IF(P163="",0,IF(INDEX('CDFs'!$S$6:$S$505,P163)=1,1,0))</f>
        <v>0</v>
      </c>
      <c r="R163" s="96" t="str">
        <f>IF(C163="","",TRIM(LEFT(C163,FIND(" |",C163&amp;" |")-1)))</f>
        <v/>
      </c>
      <c r="S163" s="96" t="str">
        <f>IF(R163="","",IFERROR(MATCH(R163,'ITENS_MTR'!$A$6:$A$1005,0),""))</f>
        <v/>
      </c>
      <c r="T163" s="96">
        <f>IF(S163="",0,IF(INDEX('ITENS_MTR'!$R$6:$R$1005,S163)=1,1,0))</f>
        <v>0</v>
      </c>
      <c r="U163" s="96" t="str">
        <f>IF(G163="","",IFERROR(IF(ISNUMBER(INDEX(cfg_fac,MATCH(G163,cfg_units,0))),IF(INDEX(cfg_fac,MATCH(G163,cfg_units,0))&gt;0,INDEX(cfg_fac,MATCH(G163,cfg_units,0)),""),""),""))</f>
        <v/>
      </c>
      <c r="V163" s="96">
        <f>IF(AND(ISNUMBER(F163),ISNUMBER(H163)),IF(H163&gt;0,1,0),0)</f>
        <v>0</v>
      </c>
      <c r="W163" s="96" t="str">
        <f>IF(T163=1,INDEX('ITENS_MTR'!$AU$6:$AU$1005,S163)&amp;"","")</f>
        <v/>
      </c>
      <c r="X163" s="96">
        <f>IF(AND(Q163=1,T163=1,I163&lt;&gt;"",W163&lt;&gt;""),IF(I163&lt;&gt;W163,1,0),0)</f>
        <v>0</v>
      </c>
      <c r="Y163" s="96">
        <f>IF(N163=0,0,IF(OR(Q163=0,T163=0,V163=0,AND(X163=1,J163&lt;&gt;"Sim")),1,0))</f>
        <v>0</v>
      </c>
      <c r="Z163" s="96">
        <f>IF(Q163=1,INDEX('CDFs'!$W$6:$W$505,P163),0)</f>
        <v>0</v>
      </c>
      <c r="AA163" s="96">
        <f>IF(AND(N163=1,Y163=0,Z163=1,J163="Sim"),1,0)</f>
        <v>0</v>
      </c>
      <c r="AB163" s="96">
        <f>IF(AND(N163=1,O163&lt;&gt;"",D163&lt;&gt;""),IF(COUNTIFS($O$6:O163,O163,$D$6:D163,D163)=1,1,0),0)</f>
        <v>0</v>
      </c>
      <c r="AC163" s="96">
        <f>IF(T163=1,INDEX('ITENS_MTR'!$AL$6:$AL$1005,S163),0)</f>
        <v>0</v>
      </c>
    </row>
    <row r="164">
      <c r="A164" s="89" t="inlineStr">
        <is>
          <t>VIN-000159</t>
        </is>
      </c>
      <c r="B164" s="91" t="n"/>
      <c r="C164" s="91" t="n"/>
      <c r="D164" s="94" t="str">
        <f>IF(T164=1,INDEX('ITENS_MTR'!$S$6:$S$1005,S164)&amp;"","")</f>
        <v/>
      </c>
      <c r="E164" s="94" t="str">
        <f>IF(T164=1,INDEX('ITENS_MTR'!$C$6:$C$1005,S164)&amp;"","")</f>
        <v/>
      </c>
      <c r="F164" s="98" t="n"/>
      <c r="G164" s="91" t="n"/>
      <c r="H164" s="93" t="str">
        <f>IF(N164=0,"",IF(NOT(ISNUMBER(F164)),"",IF(ISNUMBER(U164),F164*U164,"UNIDADE A CONFERIR")))</f>
        <v/>
      </c>
      <c r="I164" s="94" t="str">
        <f>IF(Q164=1,INDEX('CDFs'!$F$6:$F$505,P164)&amp;"","")</f>
        <v/>
      </c>
      <c r="J164" s="91" t="n"/>
      <c r="K164" s="91" t="n"/>
      <c r="L164" s="94" t="str">
        <f>IF(N164=0,"",IF(NOT(ISNUMBER(F164)),"Quantidade não informada",IF(F164&lt;=0,"Quantidade não positiva",IF(G164="","Unidade não informada",IF(NOT(ISNUMBER(H164)),"Unidade a conferir",IF(AC164=1,"REVISAR VÍNCULO: soma vinculada maior que a referência do item","OK"))))))</f>
        <v/>
      </c>
      <c r="M164" s="94" t="str">
        <f>IF(N164=0,"",IF(B164="","CDF não informado",IF(Q164=0,"REVISAR VÍNCULO: CDF inexistente",IF(C164="","Item não informado",IF(T164=0,"REVISAR VÍNCULO: item inexistente",IF(AND(X164=1,J164&lt;&gt;"Sim"),"REVISAR VÍNCULO: destinador diferente do MTR",IF(X164=1,"Destinador diferente do MTR (analisado)","OK")))))))</f>
        <v/>
      </c>
      <c r="N164" s="96">
        <f>IF(COUNTA(B164:C164,F164:G164,J164:K164)&gt;0,1,0)</f>
        <v>0</v>
      </c>
      <c r="O164" s="96" t="str">
        <f>IF(B164="","",TRIM(LEFT(B164,FIND(" |",B164&amp;" |")-1)))</f>
        <v/>
      </c>
      <c r="P164" s="96" t="str">
        <f>IF(O164="","",IFERROR(MATCH(O164,'CDFs'!$A$6:$A$505,0),""))</f>
        <v/>
      </c>
      <c r="Q164" s="96">
        <f>IF(P164="",0,IF(INDEX('CDFs'!$S$6:$S$505,P164)=1,1,0))</f>
        <v>0</v>
      </c>
      <c r="R164" s="96" t="str">
        <f>IF(C164="","",TRIM(LEFT(C164,FIND(" |",C164&amp;" |")-1)))</f>
        <v/>
      </c>
      <c r="S164" s="96" t="str">
        <f>IF(R164="","",IFERROR(MATCH(R164,'ITENS_MTR'!$A$6:$A$1005,0),""))</f>
        <v/>
      </c>
      <c r="T164" s="96">
        <f>IF(S164="",0,IF(INDEX('ITENS_MTR'!$R$6:$R$1005,S164)=1,1,0))</f>
        <v>0</v>
      </c>
      <c r="U164" s="96" t="str">
        <f>IF(G164="","",IFERROR(IF(ISNUMBER(INDEX(cfg_fac,MATCH(G164,cfg_units,0))),IF(INDEX(cfg_fac,MATCH(G164,cfg_units,0))&gt;0,INDEX(cfg_fac,MATCH(G164,cfg_units,0)),""),""),""))</f>
        <v/>
      </c>
      <c r="V164" s="96">
        <f>IF(AND(ISNUMBER(F164),ISNUMBER(H164)),IF(H164&gt;0,1,0),0)</f>
        <v>0</v>
      </c>
      <c r="W164" s="96" t="str">
        <f>IF(T164=1,INDEX('ITENS_MTR'!$AU$6:$AU$1005,S164)&amp;"","")</f>
        <v/>
      </c>
      <c r="X164" s="96">
        <f>IF(AND(Q164=1,T164=1,I164&lt;&gt;"",W164&lt;&gt;""),IF(I164&lt;&gt;W164,1,0),0)</f>
        <v>0</v>
      </c>
      <c r="Y164" s="96">
        <f>IF(N164=0,0,IF(OR(Q164=0,T164=0,V164=0,AND(X164=1,J164&lt;&gt;"Sim")),1,0))</f>
        <v>0</v>
      </c>
      <c r="Z164" s="96">
        <f>IF(Q164=1,INDEX('CDFs'!$W$6:$W$505,P164),0)</f>
        <v>0</v>
      </c>
      <c r="AA164" s="96">
        <f>IF(AND(N164=1,Y164=0,Z164=1,J164="Sim"),1,0)</f>
        <v>0</v>
      </c>
      <c r="AB164" s="96">
        <f>IF(AND(N164=1,O164&lt;&gt;"",D164&lt;&gt;""),IF(COUNTIFS($O$6:O164,O164,$D$6:D164,D164)=1,1,0),0)</f>
        <v>0</v>
      </c>
      <c r="AC164" s="96">
        <f>IF(T164=1,INDEX('ITENS_MTR'!$AL$6:$AL$1005,S164),0)</f>
        <v>0</v>
      </c>
    </row>
    <row r="165">
      <c r="A165" s="89" t="inlineStr">
        <is>
          <t>VIN-000160</t>
        </is>
      </c>
      <c r="B165" s="91" t="n"/>
      <c r="C165" s="91" t="n"/>
      <c r="D165" s="94" t="str">
        <f>IF(T165=1,INDEX('ITENS_MTR'!$S$6:$S$1005,S165)&amp;"","")</f>
        <v/>
      </c>
      <c r="E165" s="94" t="str">
        <f>IF(T165=1,INDEX('ITENS_MTR'!$C$6:$C$1005,S165)&amp;"","")</f>
        <v/>
      </c>
      <c r="F165" s="98" t="n"/>
      <c r="G165" s="91" t="n"/>
      <c r="H165" s="93" t="str">
        <f>IF(N165=0,"",IF(NOT(ISNUMBER(F165)),"",IF(ISNUMBER(U165),F165*U165,"UNIDADE A CONFERIR")))</f>
        <v/>
      </c>
      <c r="I165" s="94" t="str">
        <f>IF(Q165=1,INDEX('CDFs'!$F$6:$F$505,P165)&amp;"","")</f>
        <v/>
      </c>
      <c r="J165" s="91" t="n"/>
      <c r="K165" s="91" t="n"/>
      <c r="L165" s="94" t="str">
        <f>IF(N165=0,"",IF(NOT(ISNUMBER(F165)),"Quantidade não informada",IF(F165&lt;=0,"Quantidade não positiva",IF(G165="","Unidade não informada",IF(NOT(ISNUMBER(H165)),"Unidade a conferir",IF(AC165=1,"REVISAR VÍNCULO: soma vinculada maior que a referência do item","OK"))))))</f>
        <v/>
      </c>
      <c r="M165" s="94" t="str">
        <f>IF(N165=0,"",IF(B165="","CDF não informado",IF(Q165=0,"REVISAR VÍNCULO: CDF inexistente",IF(C165="","Item não informado",IF(T165=0,"REVISAR VÍNCULO: item inexistente",IF(AND(X165=1,J165&lt;&gt;"Sim"),"REVISAR VÍNCULO: destinador diferente do MTR",IF(X165=1,"Destinador diferente do MTR (analisado)","OK")))))))</f>
        <v/>
      </c>
      <c r="N165" s="96">
        <f>IF(COUNTA(B165:C165,F165:G165,J165:K165)&gt;0,1,0)</f>
        <v>0</v>
      </c>
      <c r="O165" s="96" t="str">
        <f>IF(B165="","",TRIM(LEFT(B165,FIND(" |",B165&amp;" |")-1)))</f>
        <v/>
      </c>
      <c r="P165" s="96" t="str">
        <f>IF(O165="","",IFERROR(MATCH(O165,'CDFs'!$A$6:$A$505,0),""))</f>
        <v/>
      </c>
      <c r="Q165" s="96">
        <f>IF(P165="",0,IF(INDEX('CDFs'!$S$6:$S$505,P165)=1,1,0))</f>
        <v>0</v>
      </c>
      <c r="R165" s="96" t="str">
        <f>IF(C165="","",TRIM(LEFT(C165,FIND(" |",C165&amp;" |")-1)))</f>
        <v/>
      </c>
      <c r="S165" s="96" t="str">
        <f>IF(R165="","",IFERROR(MATCH(R165,'ITENS_MTR'!$A$6:$A$1005,0),""))</f>
        <v/>
      </c>
      <c r="T165" s="96">
        <f>IF(S165="",0,IF(INDEX('ITENS_MTR'!$R$6:$R$1005,S165)=1,1,0))</f>
        <v>0</v>
      </c>
      <c r="U165" s="96" t="str">
        <f>IF(G165="","",IFERROR(IF(ISNUMBER(INDEX(cfg_fac,MATCH(G165,cfg_units,0))),IF(INDEX(cfg_fac,MATCH(G165,cfg_units,0))&gt;0,INDEX(cfg_fac,MATCH(G165,cfg_units,0)),""),""),""))</f>
        <v/>
      </c>
      <c r="V165" s="96">
        <f>IF(AND(ISNUMBER(F165),ISNUMBER(H165)),IF(H165&gt;0,1,0),0)</f>
        <v>0</v>
      </c>
      <c r="W165" s="96" t="str">
        <f>IF(T165=1,INDEX('ITENS_MTR'!$AU$6:$AU$1005,S165)&amp;"","")</f>
        <v/>
      </c>
      <c r="X165" s="96">
        <f>IF(AND(Q165=1,T165=1,I165&lt;&gt;"",W165&lt;&gt;""),IF(I165&lt;&gt;W165,1,0),0)</f>
        <v>0</v>
      </c>
      <c r="Y165" s="96">
        <f>IF(N165=0,0,IF(OR(Q165=0,T165=0,V165=0,AND(X165=1,J165&lt;&gt;"Sim")),1,0))</f>
        <v>0</v>
      </c>
      <c r="Z165" s="96">
        <f>IF(Q165=1,INDEX('CDFs'!$W$6:$W$505,P165),0)</f>
        <v>0</v>
      </c>
      <c r="AA165" s="96">
        <f>IF(AND(N165=1,Y165=0,Z165=1,J165="Sim"),1,0)</f>
        <v>0</v>
      </c>
      <c r="AB165" s="96">
        <f>IF(AND(N165=1,O165&lt;&gt;"",D165&lt;&gt;""),IF(COUNTIFS($O$6:O165,O165,$D$6:D165,D165)=1,1,0),0)</f>
        <v>0</v>
      </c>
      <c r="AC165" s="96">
        <f>IF(T165=1,INDEX('ITENS_MTR'!$AL$6:$AL$1005,S165),0)</f>
        <v>0</v>
      </c>
    </row>
    <row r="166">
      <c r="A166" s="89" t="inlineStr">
        <is>
          <t>VIN-000161</t>
        </is>
      </c>
      <c r="B166" s="91" t="n"/>
      <c r="C166" s="91" t="n"/>
      <c r="D166" s="94" t="str">
        <f>IF(T166=1,INDEX('ITENS_MTR'!$S$6:$S$1005,S166)&amp;"","")</f>
        <v/>
      </c>
      <c r="E166" s="94" t="str">
        <f>IF(T166=1,INDEX('ITENS_MTR'!$C$6:$C$1005,S166)&amp;"","")</f>
        <v/>
      </c>
      <c r="F166" s="98" t="n"/>
      <c r="G166" s="91" t="n"/>
      <c r="H166" s="93" t="str">
        <f>IF(N166=0,"",IF(NOT(ISNUMBER(F166)),"",IF(ISNUMBER(U166),F166*U166,"UNIDADE A CONFERIR")))</f>
        <v/>
      </c>
      <c r="I166" s="94" t="str">
        <f>IF(Q166=1,INDEX('CDFs'!$F$6:$F$505,P166)&amp;"","")</f>
        <v/>
      </c>
      <c r="J166" s="91" t="n"/>
      <c r="K166" s="91" t="n"/>
      <c r="L166" s="94" t="str">
        <f>IF(N166=0,"",IF(NOT(ISNUMBER(F166)),"Quantidade não informada",IF(F166&lt;=0,"Quantidade não positiva",IF(G166="","Unidade não informada",IF(NOT(ISNUMBER(H166)),"Unidade a conferir",IF(AC166=1,"REVISAR VÍNCULO: soma vinculada maior que a referência do item","OK"))))))</f>
        <v/>
      </c>
      <c r="M166" s="94" t="str">
        <f>IF(N166=0,"",IF(B166="","CDF não informado",IF(Q166=0,"REVISAR VÍNCULO: CDF inexistente",IF(C166="","Item não informado",IF(T166=0,"REVISAR VÍNCULO: item inexistente",IF(AND(X166=1,J166&lt;&gt;"Sim"),"REVISAR VÍNCULO: destinador diferente do MTR",IF(X166=1,"Destinador diferente do MTR (analisado)","OK")))))))</f>
        <v/>
      </c>
      <c r="N166" s="96">
        <f>IF(COUNTA(B166:C166,F166:G166,J166:K166)&gt;0,1,0)</f>
        <v>0</v>
      </c>
      <c r="O166" s="96" t="str">
        <f>IF(B166="","",TRIM(LEFT(B166,FIND(" |",B166&amp;" |")-1)))</f>
        <v/>
      </c>
      <c r="P166" s="96" t="str">
        <f>IF(O166="","",IFERROR(MATCH(O166,'CDFs'!$A$6:$A$505,0),""))</f>
        <v/>
      </c>
      <c r="Q166" s="96">
        <f>IF(P166="",0,IF(INDEX('CDFs'!$S$6:$S$505,P166)=1,1,0))</f>
        <v>0</v>
      </c>
      <c r="R166" s="96" t="str">
        <f>IF(C166="","",TRIM(LEFT(C166,FIND(" |",C166&amp;" |")-1)))</f>
        <v/>
      </c>
      <c r="S166" s="96" t="str">
        <f>IF(R166="","",IFERROR(MATCH(R166,'ITENS_MTR'!$A$6:$A$1005,0),""))</f>
        <v/>
      </c>
      <c r="T166" s="96">
        <f>IF(S166="",0,IF(INDEX('ITENS_MTR'!$R$6:$R$1005,S166)=1,1,0))</f>
        <v>0</v>
      </c>
      <c r="U166" s="96" t="str">
        <f>IF(G166="","",IFERROR(IF(ISNUMBER(INDEX(cfg_fac,MATCH(G166,cfg_units,0))),IF(INDEX(cfg_fac,MATCH(G166,cfg_units,0))&gt;0,INDEX(cfg_fac,MATCH(G166,cfg_units,0)),""),""),""))</f>
        <v/>
      </c>
      <c r="V166" s="96">
        <f>IF(AND(ISNUMBER(F166),ISNUMBER(H166)),IF(H166&gt;0,1,0),0)</f>
        <v>0</v>
      </c>
      <c r="W166" s="96" t="str">
        <f>IF(T166=1,INDEX('ITENS_MTR'!$AU$6:$AU$1005,S166)&amp;"","")</f>
        <v/>
      </c>
      <c r="X166" s="96">
        <f>IF(AND(Q166=1,T166=1,I166&lt;&gt;"",W166&lt;&gt;""),IF(I166&lt;&gt;W166,1,0),0)</f>
        <v>0</v>
      </c>
      <c r="Y166" s="96">
        <f>IF(N166=0,0,IF(OR(Q166=0,T166=0,V166=0,AND(X166=1,J166&lt;&gt;"Sim")),1,0))</f>
        <v>0</v>
      </c>
      <c r="Z166" s="96">
        <f>IF(Q166=1,INDEX('CDFs'!$W$6:$W$505,P166),0)</f>
        <v>0</v>
      </c>
      <c r="AA166" s="96">
        <f>IF(AND(N166=1,Y166=0,Z166=1,J166="Sim"),1,0)</f>
        <v>0</v>
      </c>
      <c r="AB166" s="96">
        <f>IF(AND(N166=1,O166&lt;&gt;"",D166&lt;&gt;""),IF(COUNTIFS($O$6:O166,O166,$D$6:D166,D166)=1,1,0),0)</f>
        <v>0</v>
      </c>
      <c r="AC166" s="96">
        <f>IF(T166=1,INDEX('ITENS_MTR'!$AL$6:$AL$1005,S166),0)</f>
        <v>0</v>
      </c>
    </row>
    <row r="167">
      <c r="A167" s="89" t="inlineStr">
        <is>
          <t>VIN-000162</t>
        </is>
      </c>
      <c r="B167" s="91" t="n"/>
      <c r="C167" s="91" t="n"/>
      <c r="D167" s="94" t="str">
        <f>IF(T167=1,INDEX('ITENS_MTR'!$S$6:$S$1005,S167)&amp;"","")</f>
        <v/>
      </c>
      <c r="E167" s="94" t="str">
        <f>IF(T167=1,INDEX('ITENS_MTR'!$C$6:$C$1005,S167)&amp;"","")</f>
        <v/>
      </c>
      <c r="F167" s="98" t="n"/>
      <c r="G167" s="91" t="n"/>
      <c r="H167" s="93" t="str">
        <f>IF(N167=0,"",IF(NOT(ISNUMBER(F167)),"",IF(ISNUMBER(U167),F167*U167,"UNIDADE A CONFERIR")))</f>
        <v/>
      </c>
      <c r="I167" s="94" t="str">
        <f>IF(Q167=1,INDEX('CDFs'!$F$6:$F$505,P167)&amp;"","")</f>
        <v/>
      </c>
      <c r="J167" s="91" t="n"/>
      <c r="K167" s="91" t="n"/>
      <c r="L167" s="94" t="str">
        <f>IF(N167=0,"",IF(NOT(ISNUMBER(F167)),"Quantidade não informada",IF(F167&lt;=0,"Quantidade não positiva",IF(G167="","Unidade não informada",IF(NOT(ISNUMBER(H167)),"Unidade a conferir",IF(AC167=1,"REVISAR VÍNCULO: soma vinculada maior que a referência do item","OK"))))))</f>
        <v/>
      </c>
      <c r="M167" s="94" t="str">
        <f>IF(N167=0,"",IF(B167="","CDF não informado",IF(Q167=0,"REVISAR VÍNCULO: CDF inexistente",IF(C167="","Item não informado",IF(T167=0,"REVISAR VÍNCULO: item inexistente",IF(AND(X167=1,J167&lt;&gt;"Sim"),"REVISAR VÍNCULO: destinador diferente do MTR",IF(X167=1,"Destinador diferente do MTR (analisado)","OK")))))))</f>
        <v/>
      </c>
      <c r="N167" s="96">
        <f>IF(COUNTA(B167:C167,F167:G167,J167:K167)&gt;0,1,0)</f>
        <v>0</v>
      </c>
      <c r="O167" s="96" t="str">
        <f>IF(B167="","",TRIM(LEFT(B167,FIND(" |",B167&amp;" |")-1)))</f>
        <v/>
      </c>
      <c r="P167" s="96" t="str">
        <f>IF(O167="","",IFERROR(MATCH(O167,'CDFs'!$A$6:$A$505,0),""))</f>
        <v/>
      </c>
      <c r="Q167" s="96">
        <f>IF(P167="",0,IF(INDEX('CDFs'!$S$6:$S$505,P167)=1,1,0))</f>
        <v>0</v>
      </c>
      <c r="R167" s="96" t="str">
        <f>IF(C167="","",TRIM(LEFT(C167,FIND(" |",C167&amp;" |")-1)))</f>
        <v/>
      </c>
      <c r="S167" s="96" t="str">
        <f>IF(R167="","",IFERROR(MATCH(R167,'ITENS_MTR'!$A$6:$A$1005,0),""))</f>
        <v/>
      </c>
      <c r="T167" s="96">
        <f>IF(S167="",0,IF(INDEX('ITENS_MTR'!$R$6:$R$1005,S167)=1,1,0))</f>
        <v>0</v>
      </c>
      <c r="U167" s="96" t="str">
        <f>IF(G167="","",IFERROR(IF(ISNUMBER(INDEX(cfg_fac,MATCH(G167,cfg_units,0))),IF(INDEX(cfg_fac,MATCH(G167,cfg_units,0))&gt;0,INDEX(cfg_fac,MATCH(G167,cfg_units,0)),""),""),""))</f>
        <v/>
      </c>
      <c r="V167" s="96">
        <f>IF(AND(ISNUMBER(F167),ISNUMBER(H167)),IF(H167&gt;0,1,0),0)</f>
        <v>0</v>
      </c>
      <c r="W167" s="96" t="str">
        <f>IF(T167=1,INDEX('ITENS_MTR'!$AU$6:$AU$1005,S167)&amp;"","")</f>
        <v/>
      </c>
      <c r="X167" s="96">
        <f>IF(AND(Q167=1,T167=1,I167&lt;&gt;"",W167&lt;&gt;""),IF(I167&lt;&gt;W167,1,0),0)</f>
        <v>0</v>
      </c>
      <c r="Y167" s="96">
        <f>IF(N167=0,0,IF(OR(Q167=0,T167=0,V167=0,AND(X167=1,J167&lt;&gt;"Sim")),1,0))</f>
        <v>0</v>
      </c>
      <c r="Z167" s="96">
        <f>IF(Q167=1,INDEX('CDFs'!$W$6:$W$505,P167),0)</f>
        <v>0</v>
      </c>
      <c r="AA167" s="96">
        <f>IF(AND(N167=1,Y167=0,Z167=1,J167="Sim"),1,0)</f>
        <v>0</v>
      </c>
      <c r="AB167" s="96">
        <f>IF(AND(N167=1,O167&lt;&gt;"",D167&lt;&gt;""),IF(COUNTIFS($O$6:O167,O167,$D$6:D167,D167)=1,1,0),0)</f>
        <v>0</v>
      </c>
      <c r="AC167" s="96">
        <f>IF(T167=1,INDEX('ITENS_MTR'!$AL$6:$AL$1005,S167),0)</f>
        <v>0</v>
      </c>
    </row>
    <row r="168">
      <c r="A168" s="89" t="inlineStr">
        <is>
          <t>VIN-000163</t>
        </is>
      </c>
      <c r="B168" s="91" t="n"/>
      <c r="C168" s="91" t="n"/>
      <c r="D168" s="94" t="str">
        <f>IF(T168=1,INDEX('ITENS_MTR'!$S$6:$S$1005,S168)&amp;"","")</f>
        <v/>
      </c>
      <c r="E168" s="94" t="str">
        <f>IF(T168=1,INDEX('ITENS_MTR'!$C$6:$C$1005,S168)&amp;"","")</f>
        <v/>
      </c>
      <c r="F168" s="98" t="n"/>
      <c r="G168" s="91" t="n"/>
      <c r="H168" s="93" t="str">
        <f>IF(N168=0,"",IF(NOT(ISNUMBER(F168)),"",IF(ISNUMBER(U168),F168*U168,"UNIDADE A CONFERIR")))</f>
        <v/>
      </c>
      <c r="I168" s="94" t="str">
        <f>IF(Q168=1,INDEX('CDFs'!$F$6:$F$505,P168)&amp;"","")</f>
        <v/>
      </c>
      <c r="J168" s="91" t="n"/>
      <c r="K168" s="91" t="n"/>
      <c r="L168" s="94" t="str">
        <f>IF(N168=0,"",IF(NOT(ISNUMBER(F168)),"Quantidade não informada",IF(F168&lt;=0,"Quantidade não positiva",IF(G168="","Unidade não informada",IF(NOT(ISNUMBER(H168)),"Unidade a conferir",IF(AC168=1,"REVISAR VÍNCULO: soma vinculada maior que a referência do item","OK"))))))</f>
        <v/>
      </c>
      <c r="M168" s="94" t="str">
        <f>IF(N168=0,"",IF(B168="","CDF não informado",IF(Q168=0,"REVISAR VÍNCULO: CDF inexistente",IF(C168="","Item não informado",IF(T168=0,"REVISAR VÍNCULO: item inexistente",IF(AND(X168=1,J168&lt;&gt;"Sim"),"REVISAR VÍNCULO: destinador diferente do MTR",IF(X168=1,"Destinador diferente do MTR (analisado)","OK")))))))</f>
        <v/>
      </c>
      <c r="N168" s="96">
        <f>IF(COUNTA(B168:C168,F168:G168,J168:K168)&gt;0,1,0)</f>
        <v>0</v>
      </c>
      <c r="O168" s="96" t="str">
        <f>IF(B168="","",TRIM(LEFT(B168,FIND(" |",B168&amp;" |")-1)))</f>
        <v/>
      </c>
      <c r="P168" s="96" t="str">
        <f>IF(O168="","",IFERROR(MATCH(O168,'CDFs'!$A$6:$A$505,0),""))</f>
        <v/>
      </c>
      <c r="Q168" s="96">
        <f>IF(P168="",0,IF(INDEX('CDFs'!$S$6:$S$505,P168)=1,1,0))</f>
        <v>0</v>
      </c>
      <c r="R168" s="96" t="str">
        <f>IF(C168="","",TRIM(LEFT(C168,FIND(" |",C168&amp;" |")-1)))</f>
        <v/>
      </c>
      <c r="S168" s="96" t="str">
        <f>IF(R168="","",IFERROR(MATCH(R168,'ITENS_MTR'!$A$6:$A$1005,0),""))</f>
        <v/>
      </c>
      <c r="T168" s="96">
        <f>IF(S168="",0,IF(INDEX('ITENS_MTR'!$R$6:$R$1005,S168)=1,1,0))</f>
        <v>0</v>
      </c>
      <c r="U168" s="96" t="str">
        <f>IF(G168="","",IFERROR(IF(ISNUMBER(INDEX(cfg_fac,MATCH(G168,cfg_units,0))),IF(INDEX(cfg_fac,MATCH(G168,cfg_units,0))&gt;0,INDEX(cfg_fac,MATCH(G168,cfg_units,0)),""),""),""))</f>
        <v/>
      </c>
      <c r="V168" s="96">
        <f>IF(AND(ISNUMBER(F168),ISNUMBER(H168)),IF(H168&gt;0,1,0),0)</f>
        <v>0</v>
      </c>
      <c r="W168" s="96" t="str">
        <f>IF(T168=1,INDEX('ITENS_MTR'!$AU$6:$AU$1005,S168)&amp;"","")</f>
        <v/>
      </c>
      <c r="X168" s="96">
        <f>IF(AND(Q168=1,T168=1,I168&lt;&gt;"",W168&lt;&gt;""),IF(I168&lt;&gt;W168,1,0),0)</f>
        <v>0</v>
      </c>
      <c r="Y168" s="96">
        <f>IF(N168=0,0,IF(OR(Q168=0,T168=0,V168=0,AND(X168=1,J168&lt;&gt;"Sim")),1,0))</f>
        <v>0</v>
      </c>
      <c r="Z168" s="96">
        <f>IF(Q168=1,INDEX('CDFs'!$W$6:$W$505,P168),0)</f>
        <v>0</v>
      </c>
      <c r="AA168" s="96">
        <f>IF(AND(N168=1,Y168=0,Z168=1,J168="Sim"),1,0)</f>
        <v>0</v>
      </c>
      <c r="AB168" s="96">
        <f>IF(AND(N168=1,O168&lt;&gt;"",D168&lt;&gt;""),IF(COUNTIFS($O$6:O168,O168,$D$6:D168,D168)=1,1,0),0)</f>
        <v>0</v>
      </c>
      <c r="AC168" s="96">
        <f>IF(T168=1,INDEX('ITENS_MTR'!$AL$6:$AL$1005,S168),0)</f>
        <v>0</v>
      </c>
    </row>
    <row r="169">
      <c r="A169" s="89" t="inlineStr">
        <is>
          <t>VIN-000164</t>
        </is>
      </c>
      <c r="B169" s="91" t="n"/>
      <c r="C169" s="91" t="n"/>
      <c r="D169" s="94" t="str">
        <f>IF(T169=1,INDEX('ITENS_MTR'!$S$6:$S$1005,S169)&amp;"","")</f>
        <v/>
      </c>
      <c r="E169" s="94" t="str">
        <f>IF(T169=1,INDEX('ITENS_MTR'!$C$6:$C$1005,S169)&amp;"","")</f>
        <v/>
      </c>
      <c r="F169" s="98" t="n"/>
      <c r="G169" s="91" t="n"/>
      <c r="H169" s="93" t="str">
        <f>IF(N169=0,"",IF(NOT(ISNUMBER(F169)),"",IF(ISNUMBER(U169),F169*U169,"UNIDADE A CONFERIR")))</f>
        <v/>
      </c>
      <c r="I169" s="94" t="str">
        <f>IF(Q169=1,INDEX('CDFs'!$F$6:$F$505,P169)&amp;"","")</f>
        <v/>
      </c>
      <c r="J169" s="91" t="n"/>
      <c r="K169" s="91" t="n"/>
      <c r="L169" s="94" t="str">
        <f>IF(N169=0,"",IF(NOT(ISNUMBER(F169)),"Quantidade não informada",IF(F169&lt;=0,"Quantidade não positiva",IF(G169="","Unidade não informada",IF(NOT(ISNUMBER(H169)),"Unidade a conferir",IF(AC169=1,"REVISAR VÍNCULO: soma vinculada maior que a referência do item","OK"))))))</f>
        <v/>
      </c>
      <c r="M169" s="94" t="str">
        <f>IF(N169=0,"",IF(B169="","CDF não informado",IF(Q169=0,"REVISAR VÍNCULO: CDF inexistente",IF(C169="","Item não informado",IF(T169=0,"REVISAR VÍNCULO: item inexistente",IF(AND(X169=1,J169&lt;&gt;"Sim"),"REVISAR VÍNCULO: destinador diferente do MTR",IF(X169=1,"Destinador diferente do MTR (analisado)","OK")))))))</f>
        <v/>
      </c>
      <c r="N169" s="96">
        <f>IF(COUNTA(B169:C169,F169:G169,J169:K169)&gt;0,1,0)</f>
        <v>0</v>
      </c>
      <c r="O169" s="96" t="str">
        <f>IF(B169="","",TRIM(LEFT(B169,FIND(" |",B169&amp;" |")-1)))</f>
        <v/>
      </c>
      <c r="P169" s="96" t="str">
        <f>IF(O169="","",IFERROR(MATCH(O169,'CDFs'!$A$6:$A$505,0),""))</f>
        <v/>
      </c>
      <c r="Q169" s="96">
        <f>IF(P169="",0,IF(INDEX('CDFs'!$S$6:$S$505,P169)=1,1,0))</f>
        <v>0</v>
      </c>
      <c r="R169" s="96" t="str">
        <f>IF(C169="","",TRIM(LEFT(C169,FIND(" |",C169&amp;" |")-1)))</f>
        <v/>
      </c>
      <c r="S169" s="96" t="str">
        <f>IF(R169="","",IFERROR(MATCH(R169,'ITENS_MTR'!$A$6:$A$1005,0),""))</f>
        <v/>
      </c>
      <c r="T169" s="96">
        <f>IF(S169="",0,IF(INDEX('ITENS_MTR'!$R$6:$R$1005,S169)=1,1,0))</f>
        <v>0</v>
      </c>
      <c r="U169" s="96" t="str">
        <f>IF(G169="","",IFERROR(IF(ISNUMBER(INDEX(cfg_fac,MATCH(G169,cfg_units,0))),IF(INDEX(cfg_fac,MATCH(G169,cfg_units,0))&gt;0,INDEX(cfg_fac,MATCH(G169,cfg_units,0)),""),""),""))</f>
        <v/>
      </c>
      <c r="V169" s="96">
        <f>IF(AND(ISNUMBER(F169),ISNUMBER(H169)),IF(H169&gt;0,1,0),0)</f>
        <v>0</v>
      </c>
      <c r="W169" s="96" t="str">
        <f>IF(T169=1,INDEX('ITENS_MTR'!$AU$6:$AU$1005,S169)&amp;"","")</f>
        <v/>
      </c>
      <c r="X169" s="96">
        <f>IF(AND(Q169=1,T169=1,I169&lt;&gt;"",W169&lt;&gt;""),IF(I169&lt;&gt;W169,1,0),0)</f>
        <v>0</v>
      </c>
      <c r="Y169" s="96">
        <f>IF(N169=0,0,IF(OR(Q169=0,T169=0,V169=0,AND(X169=1,J169&lt;&gt;"Sim")),1,0))</f>
        <v>0</v>
      </c>
      <c r="Z169" s="96">
        <f>IF(Q169=1,INDEX('CDFs'!$W$6:$W$505,P169),0)</f>
        <v>0</v>
      </c>
      <c r="AA169" s="96">
        <f>IF(AND(N169=1,Y169=0,Z169=1,J169="Sim"),1,0)</f>
        <v>0</v>
      </c>
      <c r="AB169" s="96">
        <f>IF(AND(N169=1,O169&lt;&gt;"",D169&lt;&gt;""),IF(COUNTIFS($O$6:O169,O169,$D$6:D169,D169)=1,1,0),0)</f>
        <v>0</v>
      </c>
      <c r="AC169" s="96">
        <f>IF(T169=1,INDEX('ITENS_MTR'!$AL$6:$AL$1005,S169),0)</f>
        <v>0</v>
      </c>
    </row>
    <row r="170">
      <c r="A170" s="89" t="inlineStr">
        <is>
          <t>VIN-000165</t>
        </is>
      </c>
      <c r="B170" s="91" t="n"/>
      <c r="C170" s="91" t="n"/>
      <c r="D170" s="94" t="str">
        <f>IF(T170=1,INDEX('ITENS_MTR'!$S$6:$S$1005,S170)&amp;"","")</f>
        <v/>
      </c>
      <c r="E170" s="94" t="str">
        <f>IF(T170=1,INDEX('ITENS_MTR'!$C$6:$C$1005,S170)&amp;"","")</f>
        <v/>
      </c>
      <c r="F170" s="98" t="n"/>
      <c r="G170" s="91" t="n"/>
      <c r="H170" s="93" t="str">
        <f>IF(N170=0,"",IF(NOT(ISNUMBER(F170)),"",IF(ISNUMBER(U170),F170*U170,"UNIDADE A CONFERIR")))</f>
        <v/>
      </c>
      <c r="I170" s="94" t="str">
        <f>IF(Q170=1,INDEX('CDFs'!$F$6:$F$505,P170)&amp;"","")</f>
        <v/>
      </c>
      <c r="J170" s="91" t="n"/>
      <c r="K170" s="91" t="n"/>
      <c r="L170" s="94" t="str">
        <f>IF(N170=0,"",IF(NOT(ISNUMBER(F170)),"Quantidade não informada",IF(F170&lt;=0,"Quantidade não positiva",IF(G170="","Unidade não informada",IF(NOT(ISNUMBER(H170)),"Unidade a conferir",IF(AC170=1,"REVISAR VÍNCULO: soma vinculada maior que a referência do item","OK"))))))</f>
        <v/>
      </c>
      <c r="M170" s="94" t="str">
        <f>IF(N170=0,"",IF(B170="","CDF não informado",IF(Q170=0,"REVISAR VÍNCULO: CDF inexistente",IF(C170="","Item não informado",IF(T170=0,"REVISAR VÍNCULO: item inexistente",IF(AND(X170=1,J170&lt;&gt;"Sim"),"REVISAR VÍNCULO: destinador diferente do MTR",IF(X170=1,"Destinador diferente do MTR (analisado)","OK")))))))</f>
        <v/>
      </c>
      <c r="N170" s="96">
        <f>IF(COUNTA(B170:C170,F170:G170,J170:K170)&gt;0,1,0)</f>
        <v>0</v>
      </c>
      <c r="O170" s="96" t="str">
        <f>IF(B170="","",TRIM(LEFT(B170,FIND(" |",B170&amp;" |")-1)))</f>
        <v/>
      </c>
      <c r="P170" s="96" t="str">
        <f>IF(O170="","",IFERROR(MATCH(O170,'CDFs'!$A$6:$A$505,0),""))</f>
        <v/>
      </c>
      <c r="Q170" s="96">
        <f>IF(P170="",0,IF(INDEX('CDFs'!$S$6:$S$505,P170)=1,1,0))</f>
        <v>0</v>
      </c>
      <c r="R170" s="96" t="str">
        <f>IF(C170="","",TRIM(LEFT(C170,FIND(" |",C170&amp;" |")-1)))</f>
        <v/>
      </c>
      <c r="S170" s="96" t="str">
        <f>IF(R170="","",IFERROR(MATCH(R170,'ITENS_MTR'!$A$6:$A$1005,0),""))</f>
        <v/>
      </c>
      <c r="T170" s="96">
        <f>IF(S170="",0,IF(INDEX('ITENS_MTR'!$R$6:$R$1005,S170)=1,1,0))</f>
        <v>0</v>
      </c>
      <c r="U170" s="96" t="str">
        <f>IF(G170="","",IFERROR(IF(ISNUMBER(INDEX(cfg_fac,MATCH(G170,cfg_units,0))),IF(INDEX(cfg_fac,MATCH(G170,cfg_units,0))&gt;0,INDEX(cfg_fac,MATCH(G170,cfg_units,0)),""),""),""))</f>
        <v/>
      </c>
      <c r="V170" s="96">
        <f>IF(AND(ISNUMBER(F170),ISNUMBER(H170)),IF(H170&gt;0,1,0),0)</f>
        <v>0</v>
      </c>
      <c r="W170" s="96" t="str">
        <f>IF(T170=1,INDEX('ITENS_MTR'!$AU$6:$AU$1005,S170)&amp;"","")</f>
        <v/>
      </c>
      <c r="X170" s="96">
        <f>IF(AND(Q170=1,T170=1,I170&lt;&gt;"",W170&lt;&gt;""),IF(I170&lt;&gt;W170,1,0),0)</f>
        <v>0</v>
      </c>
      <c r="Y170" s="96">
        <f>IF(N170=0,0,IF(OR(Q170=0,T170=0,V170=0,AND(X170=1,J170&lt;&gt;"Sim")),1,0))</f>
        <v>0</v>
      </c>
      <c r="Z170" s="96">
        <f>IF(Q170=1,INDEX('CDFs'!$W$6:$W$505,P170),0)</f>
        <v>0</v>
      </c>
      <c r="AA170" s="96">
        <f>IF(AND(N170=1,Y170=0,Z170=1,J170="Sim"),1,0)</f>
        <v>0</v>
      </c>
      <c r="AB170" s="96">
        <f>IF(AND(N170=1,O170&lt;&gt;"",D170&lt;&gt;""),IF(COUNTIFS($O$6:O170,O170,$D$6:D170,D170)=1,1,0),0)</f>
        <v>0</v>
      </c>
      <c r="AC170" s="96">
        <f>IF(T170=1,INDEX('ITENS_MTR'!$AL$6:$AL$1005,S170),0)</f>
        <v>0</v>
      </c>
    </row>
    <row r="171">
      <c r="A171" s="89" t="inlineStr">
        <is>
          <t>VIN-000166</t>
        </is>
      </c>
      <c r="B171" s="91" t="n"/>
      <c r="C171" s="91" t="n"/>
      <c r="D171" s="94" t="str">
        <f>IF(T171=1,INDEX('ITENS_MTR'!$S$6:$S$1005,S171)&amp;"","")</f>
        <v/>
      </c>
      <c r="E171" s="94" t="str">
        <f>IF(T171=1,INDEX('ITENS_MTR'!$C$6:$C$1005,S171)&amp;"","")</f>
        <v/>
      </c>
      <c r="F171" s="98" t="n"/>
      <c r="G171" s="91" t="n"/>
      <c r="H171" s="93" t="str">
        <f>IF(N171=0,"",IF(NOT(ISNUMBER(F171)),"",IF(ISNUMBER(U171),F171*U171,"UNIDADE A CONFERIR")))</f>
        <v/>
      </c>
      <c r="I171" s="94" t="str">
        <f>IF(Q171=1,INDEX('CDFs'!$F$6:$F$505,P171)&amp;"","")</f>
        <v/>
      </c>
      <c r="J171" s="91" t="n"/>
      <c r="K171" s="91" t="n"/>
      <c r="L171" s="94" t="str">
        <f>IF(N171=0,"",IF(NOT(ISNUMBER(F171)),"Quantidade não informada",IF(F171&lt;=0,"Quantidade não positiva",IF(G171="","Unidade não informada",IF(NOT(ISNUMBER(H171)),"Unidade a conferir",IF(AC171=1,"REVISAR VÍNCULO: soma vinculada maior que a referência do item","OK"))))))</f>
        <v/>
      </c>
      <c r="M171" s="94" t="str">
        <f>IF(N171=0,"",IF(B171="","CDF não informado",IF(Q171=0,"REVISAR VÍNCULO: CDF inexistente",IF(C171="","Item não informado",IF(T171=0,"REVISAR VÍNCULO: item inexistente",IF(AND(X171=1,J171&lt;&gt;"Sim"),"REVISAR VÍNCULO: destinador diferente do MTR",IF(X171=1,"Destinador diferente do MTR (analisado)","OK")))))))</f>
        <v/>
      </c>
      <c r="N171" s="96">
        <f>IF(COUNTA(B171:C171,F171:G171,J171:K171)&gt;0,1,0)</f>
        <v>0</v>
      </c>
      <c r="O171" s="96" t="str">
        <f>IF(B171="","",TRIM(LEFT(B171,FIND(" |",B171&amp;" |")-1)))</f>
        <v/>
      </c>
      <c r="P171" s="96" t="str">
        <f>IF(O171="","",IFERROR(MATCH(O171,'CDFs'!$A$6:$A$505,0),""))</f>
        <v/>
      </c>
      <c r="Q171" s="96">
        <f>IF(P171="",0,IF(INDEX('CDFs'!$S$6:$S$505,P171)=1,1,0))</f>
        <v>0</v>
      </c>
      <c r="R171" s="96" t="str">
        <f>IF(C171="","",TRIM(LEFT(C171,FIND(" |",C171&amp;" |")-1)))</f>
        <v/>
      </c>
      <c r="S171" s="96" t="str">
        <f>IF(R171="","",IFERROR(MATCH(R171,'ITENS_MTR'!$A$6:$A$1005,0),""))</f>
        <v/>
      </c>
      <c r="T171" s="96">
        <f>IF(S171="",0,IF(INDEX('ITENS_MTR'!$R$6:$R$1005,S171)=1,1,0))</f>
        <v>0</v>
      </c>
      <c r="U171" s="96" t="str">
        <f>IF(G171="","",IFERROR(IF(ISNUMBER(INDEX(cfg_fac,MATCH(G171,cfg_units,0))),IF(INDEX(cfg_fac,MATCH(G171,cfg_units,0))&gt;0,INDEX(cfg_fac,MATCH(G171,cfg_units,0)),""),""),""))</f>
        <v/>
      </c>
      <c r="V171" s="96">
        <f>IF(AND(ISNUMBER(F171),ISNUMBER(H171)),IF(H171&gt;0,1,0),0)</f>
        <v>0</v>
      </c>
      <c r="W171" s="96" t="str">
        <f>IF(T171=1,INDEX('ITENS_MTR'!$AU$6:$AU$1005,S171)&amp;"","")</f>
        <v/>
      </c>
      <c r="X171" s="96">
        <f>IF(AND(Q171=1,T171=1,I171&lt;&gt;"",W171&lt;&gt;""),IF(I171&lt;&gt;W171,1,0),0)</f>
        <v>0</v>
      </c>
      <c r="Y171" s="96">
        <f>IF(N171=0,0,IF(OR(Q171=0,T171=0,V171=0,AND(X171=1,J171&lt;&gt;"Sim")),1,0))</f>
        <v>0</v>
      </c>
      <c r="Z171" s="96">
        <f>IF(Q171=1,INDEX('CDFs'!$W$6:$W$505,P171),0)</f>
        <v>0</v>
      </c>
      <c r="AA171" s="96">
        <f>IF(AND(N171=1,Y171=0,Z171=1,J171="Sim"),1,0)</f>
        <v>0</v>
      </c>
      <c r="AB171" s="96">
        <f>IF(AND(N171=1,O171&lt;&gt;"",D171&lt;&gt;""),IF(COUNTIFS($O$6:O171,O171,$D$6:D171,D171)=1,1,0),0)</f>
        <v>0</v>
      </c>
      <c r="AC171" s="96">
        <f>IF(T171=1,INDEX('ITENS_MTR'!$AL$6:$AL$1005,S171),0)</f>
        <v>0</v>
      </c>
    </row>
    <row r="172">
      <c r="A172" s="89" t="inlineStr">
        <is>
          <t>VIN-000167</t>
        </is>
      </c>
      <c r="B172" s="91" t="n"/>
      <c r="C172" s="91" t="n"/>
      <c r="D172" s="94" t="str">
        <f>IF(T172=1,INDEX('ITENS_MTR'!$S$6:$S$1005,S172)&amp;"","")</f>
        <v/>
      </c>
      <c r="E172" s="94" t="str">
        <f>IF(T172=1,INDEX('ITENS_MTR'!$C$6:$C$1005,S172)&amp;"","")</f>
        <v/>
      </c>
      <c r="F172" s="98" t="n"/>
      <c r="G172" s="91" t="n"/>
      <c r="H172" s="93" t="str">
        <f>IF(N172=0,"",IF(NOT(ISNUMBER(F172)),"",IF(ISNUMBER(U172),F172*U172,"UNIDADE A CONFERIR")))</f>
        <v/>
      </c>
      <c r="I172" s="94" t="str">
        <f>IF(Q172=1,INDEX('CDFs'!$F$6:$F$505,P172)&amp;"","")</f>
        <v/>
      </c>
      <c r="J172" s="91" t="n"/>
      <c r="K172" s="91" t="n"/>
      <c r="L172" s="94" t="str">
        <f>IF(N172=0,"",IF(NOT(ISNUMBER(F172)),"Quantidade não informada",IF(F172&lt;=0,"Quantidade não positiva",IF(G172="","Unidade não informada",IF(NOT(ISNUMBER(H172)),"Unidade a conferir",IF(AC172=1,"REVISAR VÍNCULO: soma vinculada maior que a referência do item","OK"))))))</f>
        <v/>
      </c>
      <c r="M172" s="94" t="str">
        <f>IF(N172=0,"",IF(B172="","CDF não informado",IF(Q172=0,"REVISAR VÍNCULO: CDF inexistente",IF(C172="","Item não informado",IF(T172=0,"REVISAR VÍNCULO: item inexistente",IF(AND(X172=1,J172&lt;&gt;"Sim"),"REVISAR VÍNCULO: destinador diferente do MTR",IF(X172=1,"Destinador diferente do MTR (analisado)","OK")))))))</f>
        <v/>
      </c>
      <c r="N172" s="96">
        <f>IF(COUNTA(B172:C172,F172:G172,J172:K172)&gt;0,1,0)</f>
        <v>0</v>
      </c>
      <c r="O172" s="96" t="str">
        <f>IF(B172="","",TRIM(LEFT(B172,FIND(" |",B172&amp;" |")-1)))</f>
        <v/>
      </c>
      <c r="P172" s="96" t="str">
        <f>IF(O172="","",IFERROR(MATCH(O172,'CDFs'!$A$6:$A$505,0),""))</f>
        <v/>
      </c>
      <c r="Q172" s="96">
        <f>IF(P172="",0,IF(INDEX('CDFs'!$S$6:$S$505,P172)=1,1,0))</f>
        <v>0</v>
      </c>
      <c r="R172" s="96" t="str">
        <f>IF(C172="","",TRIM(LEFT(C172,FIND(" |",C172&amp;" |")-1)))</f>
        <v/>
      </c>
      <c r="S172" s="96" t="str">
        <f>IF(R172="","",IFERROR(MATCH(R172,'ITENS_MTR'!$A$6:$A$1005,0),""))</f>
        <v/>
      </c>
      <c r="T172" s="96">
        <f>IF(S172="",0,IF(INDEX('ITENS_MTR'!$R$6:$R$1005,S172)=1,1,0))</f>
        <v>0</v>
      </c>
      <c r="U172" s="96" t="str">
        <f>IF(G172="","",IFERROR(IF(ISNUMBER(INDEX(cfg_fac,MATCH(G172,cfg_units,0))),IF(INDEX(cfg_fac,MATCH(G172,cfg_units,0))&gt;0,INDEX(cfg_fac,MATCH(G172,cfg_units,0)),""),""),""))</f>
        <v/>
      </c>
      <c r="V172" s="96">
        <f>IF(AND(ISNUMBER(F172),ISNUMBER(H172)),IF(H172&gt;0,1,0),0)</f>
        <v>0</v>
      </c>
      <c r="W172" s="96" t="str">
        <f>IF(T172=1,INDEX('ITENS_MTR'!$AU$6:$AU$1005,S172)&amp;"","")</f>
        <v/>
      </c>
      <c r="X172" s="96">
        <f>IF(AND(Q172=1,T172=1,I172&lt;&gt;"",W172&lt;&gt;""),IF(I172&lt;&gt;W172,1,0),0)</f>
        <v>0</v>
      </c>
      <c r="Y172" s="96">
        <f>IF(N172=0,0,IF(OR(Q172=0,T172=0,V172=0,AND(X172=1,J172&lt;&gt;"Sim")),1,0))</f>
        <v>0</v>
      </c>
      <c r="Z172" s="96">
        <f>IF(Q172=1,INDEX('CDFs'!$W$6:$W$505,P172),0)</f>
        <v>0</v>
      </c>
      <c r="AA172" s="96">
        <f>IF(AND(N172=1,Y172=0,Z172=1,J172="Sim"),1,0)</f>
        <v>0</v>
      </c>
      <c r="AB172" s="96">
        <f>IF(AND(N172=1,O172&lt;&gt;"",D172&lt;&gt;""),IF(COUNTIFS($O$6:O172,O172,$D$6:D172,D172)=1,1,0),0)</f>
        <v>0</v>
      </c>
      <c r="AC172" s="96">
        <f>IF(T172=1,INDEX('ITENS_MTR'!$AL$6:$AL$1005,S172),0)</f>
        <v>0</v>
      </c>
    </row>
    <row r="173">
      <c r="A173" s="89" t="inlineStr">
        <is>
          <t>VIN-000168</t>
        </is>
      </c>
      <c r="B173" s="91" t="n"/>
      <c r="C173" s="91" t="n"/>
      <c r="D173" s="94" t="str">
        <f>IF(T173=1,INDEX('ITENS_MTR'!$S$6:$S$1005,S173)&amp;"","")</f>
        <v/>
      </c>
      <c r="E173" s="94" t="str">
        <f>IF(T173=1,INDEX('ITENS_MTR'!$C$6:$C$1005,S173)&amp;"","")</f>
        <v/>
      </c>
      <c r="F173" s="98" t="n"/>
      <c r="G173" s="91" t="n"/>
      <c r="H173" s="93" t="str">
        <f>IF(N173=0,"",IF(NOT(ISNUMBER(F173)),"",IF(ISNUMBER(U173),F173*U173,"UNIDADE A CONFERIR")))</f>
        <v/>
      </c>
      <c r="I173" s="94" t="str">
        <f>IF(Q173=1,INDEX('CDFs'!$F$6:$F$505,P173)&amp;"","")</f>
        <v/>
      </c>
      <c r="J173" s="91" t="n"/>
      <c r="K173" s="91" t="n"/>
      <c r="L173" s="94" t="str">
        <f>IF(N173=0,"",IF(NOT(ISNUMBER(F173)),"Quantidade não informada",IF(F173&lt;=0,"Quantidade não positiva",IF(G173="","Unidade não informada",IF(NOT(ISNUMBER(H173)),"Unidade a conferir",IF(AC173=1,"REVISAR VÍNCULO: soma vinculada maior que a referência do item","OK"))))))</f>
        <v/>
      </c>
      <c r="M173" s="94" t="str">
        <f>IF(N173=0,"",IF(B173="","CDF não informado",IF(Q173=0,"REVISAR VÍNCULO: CDF inexistente",IF(C173="","Item não informado",IF(T173=0,"REVISAR VÍNCULO: item inexistente",IF(AND(X173=1,J173&lt;&gt;"Sim"),"REVISAR VÍNCULO: destinador diferente do MTR",IF(X173=1,"Destinador diferente do MTR (analisado)","OK")))))))</f>
        <v/>
      </c>
      <c r="N173" s="96">
        <f>IF(COUNTA(B173:C173,F173:G173,J173:K173)&gt;0,1,0)</f>
        <v>0</v>
      </c>
      <c r="O173" s="96" t="str">
        <f>IF(B173="","",TRIM(LEFT(B173,FIND(" |",B173&amp;" |")-1)))</f>
        <v/>
      </c>
      <c r="P173" s="96" t="str">
        <f>IF(O173="","",IFERROR(MATCH(O173,'CDFs'!$A$6:$A$505,0),""))</f>
        <v/>
      </c>
      <c r="Q173" s="96">
        <f>IF(P173="",0,IF(INDEX('CDFs'!$S$6:$S$505,P173)=1,1,0))</f>
        <v>0</v>
      </c>
      <c r="R173" s="96" t="str">
        <f>IF(C173="","",TRIM(LEFT(C173,FIND(" |",C173&amp;" |")-1)))</f>
        <v/>
      </c>
      <c r="S173" s="96" t="str">
        <f>IF(R173="","",IFERROR(MATCH(R173,'ITENS_MTR'!$A$6:$A$1005,0),""))</f>
        <v/>
      </c>
      <c r="T173" s="96">
        <f>IF(S173="",0,IF(INDEX('ITENS_MTR'!$R$6:$R$1005,S173)=1,1,0))</f>
        <v>0</v>
      </c>
      <c r="U173" s="96" t="str">
        <f>IF(G173="","",IFERROR(IF(ISNUMBER(INDEX(cfg_fac,MATCH(G173,cfg_units,0))),IF(INDEX(cfg_fac,MATCH(G173,cfg_units,0))&gt;0,INDEX(cfg_fac,MATCH(G173,cfg_units,0)),""),""),""))</f>
        <v/>
      </c>
      <c r="V173" s="96">
        <f>IF(AND(ISNUMBER(F173),ISNUMBER(H173)),IF(H173&gt;0,1,0),0)</f>
        <v>0</v>
      </c>
      <c r="W173" s="96" t="str">
        <f>IF(T173=1,INDEX('ITENS_MTR'!$AU$6:$AU$1005,S173)&amp;"","")</f>
        <v/>
      </c>
      <c r="X173" s="96">
        <f>IF(AND(Q173=1,T173=1,I173&lt;&gt;"",W173&lt;&gt;""),IF(I173&lt;&gt;W173,1,0),0)</f>
        <v>0</v>
      </c>
      <c r="Y173" s="96">
        <f>IF(N173=0,0,IF(OR(Q173=0,T173=0,V173=0,AND(X173=1,J173&lt;&gt;"Sim")),1,0))</f>
        <v>0</v>
      </c>
      <c r="Z173" s="96">
        <f>IF(Q173=1,INDEX('CDFs'!$W$6:$W$505,P173),0)</f>
        <v>0</v>
      </c>
      <c r="AA173" s="96">
        <f>IF(AND(N173=1,Y173=0,Z173=1,J173="Sim"),1,0)</f>
        <v>0</v>
      </c>
      <c r="AB173" s="96">
        <f>IF(AND(N173=1,O173&lt;&gt;"",D173&lt;&gt;""),IF(COUNTIFS($O$6:O173,O173,$D$6:D173,D173)=1,1,0),0)</f>
        <v>0</v>
      </c>
      <c r="AC173" s="96">
        <f>IF(T173=1,INDEX('ITENS_MTR'!$AL$6:$AL$1005,S173),0)</f>
        <v>0</v>
      </c>
    </row>
    <row r="174">
      <c r="A174" s="89" t="inlineStr">
        <is>
          <t>VIN-000169</t>
        </is>
      </c>
      <c r="B174" s="91" t="n"/>
      <c r="C174" s="91" t="n"/>
      <c r="D174" s="94" t="str">
        <f>IF(T174=1,INDEX('ITENS_MTR'!$S$6:$S$1005,S174)&amp;"","")</f>
        <v/>
      </c>
      <c r="E174" s="94" t="str">
        <f>IF(T174=1,INDEX('ITENS_MTR'!$C$6:$C$1005,S174)&amp;"","")</f>
        <v/>
      </c>
      <c r="F174" s="98" t="n"/>
      <c r="G174" s="91" t="n"/>
      <c r="H174" s="93" t="str">
        <f>IF(N174=0,"",IF(NOT(ISNUMBER(F174)),"",IF(ISNUMBER(U174),F174*U174,"UNIDADE A CONFERIR")))</f>
        <v/>
      </c>
      <c r="I174" s="94" t="str">
        <f>IF(Q174=1,INDEX('CDFs'!$F$6:$F$505,P174)&amp;"","")</f>
        <v/>
      </c>
      <c r="J174" s="91" t="n"/>
      <c r="K174" s="91" t="n"/>
      <c r="L174" s="94" t="str">
        <f>IF(N174=0,"",IF(NOT(ISNUMBER(F174)),"Quantidade não informada",IF(F174&lt;=0,"Quantidade não positiva",IF(G174="","Unidade não informada",IF(NOT(ISNUMBER(H174)),"Unidade a conferir",IF(AC174=1,"REVISAR VÍNCULO: soma vinculada maior que a referência do item","OK"))))))</f>
        <v/>
      </c>
      <c r="M174" s="94" t="str">
        <f>IF(N174=0,"",IF(B174="","CDF não informado",IF(Q174=0,"REVISAR VÍNCULO: CDF inexistente",IF(C174="","Item não informado",IF(T174=0,"REVISAR VÍNCULO: item inexistente",IF(AND(X174=1,J174&lt;&gt;"Sim"),"REVISAR VÍNCULO: destinador diferente do MTR",IF(X174=1,"Destinador diferente do MTR (analisado)","OK")))))))</f>
        <v/>
      </c>
      <c r="N174" s="96">
        <f>IF(COUNTA(B174:C174,F174:G174,J174:K174)&gt;0,1,0)</f>
        <v>0</v>
      </c>
      <c r="O174" s="96" t="str">
        <f>IF(B174="","",TRIM(LEFT(B174,FIND(" |",B174&amp;" |")-1)))</f>
        <v/>
      </c>
      <c r="P174" s="96" t="str">
        <f>IF(O174="","",IFERROR(MATCH(O174,'CDFs'!$A$6:$A$505,0),""))</f>
        <v/>
      </c>
      <c r="Q174" s="96">
        <f>IF(P174="",0,IF(INDEX('CDFs'!$S$6:$S$505,P174)=1,1,0))</f>
        <v>0</v>
      </c>
      <c r="R174" s="96" t="str">
        <f>IF(C174="","",TRIM(LEFT(C174,FIND(" |",C174&amp;" |")-1)))</f>
        <v/>
      </c>
      <c r="S174" s="96" t="str">
        <f>IF(R174="","",IFERROR(MATCH(R174,'ITENS_MTR'!$A$6:$A$1005,0),""))</f>
        <v/>
      </c>
      <c r="T174" s="96">
        <f>IF(S174="",0,IF(INDEX('ITENS_MTR'!$R$6:$R$1005,S174)=1,1,0))</f>
        <v>0</v>
      </c>
      <c r="U174" s="96" t="str">
        <f>IF(G174="","",IFERROR(IF(ISNUMBER(INDEX(cfg_fac,MATCH(G174,cfg_units,0))),IF(INDEX(cfg_fac,MATCH(G174,cfg_units,0))&gt;0,INDEX(cfg_fac,MATCH(G174,cfg_units,0)),""),""),""))</f>
        <v/>
      </c>
      <c r="V174" s="96">
        <f>IF(AND(ISNUMBER(F174),ISNUMBER(H174)),IF(H174&gt;0,1,0),0)</f>
        <v>0</v>
      </c>
      <c r="W174" s="96" t="str">
        <f>IF(T174=1,INDEX('ITENS_MTR'!$AU$6:$AU$1005,S174)&amp;"","")</f>
        <v/>
      </c>
      <c r="X174" s="96">
        <f>IF(AND(Q174=1,T174=1,I174&lt;&gt;"",W174&lt;&gt;""),IF(I174&lt;&gt;W174,1,0),0)</f>
        <v>0</v>
      </c>
      <c r="Y174" s="96">
        <f>IF(N174=0,0,IF(OR(Q174=0,T174=0,V174=0,AND(X174=1,J174&lt;&gt;"Sim")),1,0))</f>
        <v>0</v>
      </c>
      <c r="Z174" s="96">
        <f>IF(Q174=1,INDEX('CDFs'!$W$6:$W$505,P174),0)</f>
        <v>0</v>
      </c>
      <c r="AA174" s="96">
        <f>IF(AND(N174=1,Y174=0,Z174=1,J174="Sim"),1,0)</f>
        <v>0</v>
      </c>
      <c r="AB174" s="96">
        <f>IF(AND(N174=1,O174&lt;&gt;"",D174&lt;&gt;""),IF(COUNTIFS($O$6:O174,O174,$D$6:D174,D174)=1,1,0),0)</f>
        <v>0</v>
      </c>
      <c r="AC174" s="96">
        <f>IF(T174=1,INDEX('ITENS_MTR'!$AL$6:$AL$1005,S174),0)</f>
        <v>0</v>
      </c>
    </row>
    <row r="175">
      <c r="A175" s="89" t="inlineStr">
        <is>
          <t>VIN-000170</t>
        </is>
      </c>
      <c r="B175" s="91" t="n"/>
      <c r="C175" s="91" t="n"/>
      <c r="D175" s="94" t="str">
        <f>IF(T175=1,INDEX('ITENS_MTR'!$S$6:$S$1005,S175)&amp;"","")</f>
        <v/>
      </c>
      <c r="E175" s="94" t="str">
        <f>IF(T175=1,INDEX('ITENS_MTR'!$C$6:$C$1005,S175)&amp;"","")</f>
        <v/>
      </c>
      <c r="F175" s="98" t="n"/>
      <c r="G175" s="91" t="n"/>
      <c r="H175" s="93" t="str">
        <f>IF(N175=0,"",IF(NOT(ISNUMBER(F175)),"",IF(ISNUMBER(U175),F175*U175,"UNIDADE A CONFERIR")))</f>
        <v/>
      </c>
      <c r="I175" s="94" t="str">
        <f>IF(Q175=1,INDEX('CDFs'!$F$6:$F$505,P175)&amp;"","")</f>
        <v/>
      </c>
      <c r="J175" s="91" t="n"/>
      <c r="K175" s="91" t="n"/>
      <c r="L175" s="94" t="str">
        <f>IF(N175=0,"",IF(NOT(ISNUMBER(F175)),"Quantidade não informada",IF(F175&lt;=0,"Quantidade não positiva",IF(G175="","Unidade não informada",IF(NOT(ISNUMBER(H175)),"Unidade a conferir",IF(AC175=1,"REVISAR VÍNCULO: soma vinculada maior que a referência do item","OK"))))))</f>
        <v/>
      </c>
      <c r="M175" s="94" t="str">
        <f>IF(N175=0,"",IF(B175="","CDF não informado",IF(Q175=0,"REVISAR VÍNCULO: CDF inexistente",IF(C175="","Item não informado",IF(T175=0,"REVISAR VÍNCULO: item inexistente",IF(AND(X175=1,J175&lt;&gt;"Sim"),"REVISAR VÍNCULO: destinador diferente do MTR",IF(X175=1,"Destinador diferente do MTR (analisado)","OK")))))))</f>
        <v/>
      </c>
      <c r="N175" s="96">
        <f>IF(COUNTA(B175:C175,F175:G175,J175:K175)&gt;0,1,0)</f>
        <v>0</v>
      </c>
      <c r="O175" s="96" t="str">
        <f>IF(B175="","",TRIM(LEFT(B175,FIND(" |",B175&amp;" |")-1)))</f>
        <v/>
      </c>
      <c r="P175" s="96" t="str">
        <f>IF(O175="","",IFERROR(MATCH(O175,'CDFs'!$A$6:$A$505,0),""))</f>
        <v/>
      </c>
      <c r="Q175" s="96">
        <f>IF(P175="",0,IF(INDEX('CDFs'!$S$6:$S$505,P175)=1,1,0))</f>
        <v>0</v>
      </c>
      <c r="R175" s="96" t="str">
        <f>IF(C175="","",TRIM(LEFT(C175,FIND(" |",C175&amp;" |")-1)))</f>
        <v/>
      </c>
      <c r="S175" s="96" t="str">
        <f>IF(R175="","",IFERROR(MATCH(R175,'ITENS_MTR'!$A$6:$A$1005,0),""))</f>
        <v/>
      </c>
      <c r="T175" s="96">
        <f>IF(S175="",0,IF(INDEX('ITENS_MTR'!$R$6:$R$1005,S175)=1,1,0))</f>
        <v>0</v>
      </c>
      <c r="U175" s="96" t="str">
        <f>IF(G175="","",IFERROR(IF(ISNUMBER(INDEX(cfg_fac,MATCH(G175,cfg_units,0))),IF(INDEX(cfg_fac,MATCH(G175,cfg_units,0))&gt;0,INDEX(cfg_fac,MATCH(G175,cfg_units,0)),""),""),""))</f>
        <v/>
      </c>
      <c r="V175" s="96">
        <f>IF(AND(ISNUMBER(F175),ISNUMBER(H175)),IF(H175&gt;0,1,0),0)</f>
        <v>0</v>
      </c>
      <c r="W175" s="96" t="str">
        <f>IF(T175=1,INDEX('ITENS_MTR'!$AU$6:$AU$1005,S175)&amp;"","")</f>
        <v/>
      </c>
      <c r="X175" s="96">
        <f>IF(AND(Q175=1,T175=1,I175&lt;&gt;"",W175&lt;&gt;""),IF(I175&lt;&gt;W175,1,0),0)</f>
        <v>0</v>
      </c>
      <c r="Y175" s="96">
        <f>IF(N175=0,0,IF(OR(Q175=0,T175=0,V175=0,AND(X175=1,J175&lt;&gt;"Sim")),1,0))</f>
        <v>0</v>
      </c>
      <c r="Z175" s="96">
        <f>IF(Q175=1,INDEX('CDFs'!$W$6:$W$505,P175),0)</f>
        <v>0</v>
      </c>
      <c r="AA175" s="96">
        <f>IF(AND(N175=1,Y175=0,Z175=1,J175="Sim"),1,0)</f>
        <v>0</v>
      </c>
      <c r="AB175" s="96">
        <f>IF(AND(N175=1,O175&lt;&gt;"",D175&lt;&gt;""),IF(COUNTIFS($O$6:O175,O175,$D$6:D175,D175)=1,1,0),0)</f>
        <v>0</v>
      </c>
      <c r="AC175" s="96">
        <f>IF(T175=1,INDEX('ITENS_MTR'!$AL$6:$AL$1005,S175),0)</f>
        <v>0</v>
      </c>
    </row>
    <row r="176">
      <c r="A176" s="89" t="inlineStr">
        <is>
          <t>VIN-000171</t>
        </is>
      </c>
      <c r="B176" s="91" t="n"/>
      <c r="C176" s="91" t="n"/>
      <c r="D176" s="94" t="str">
        <f>IF(T176=1,INDEX('ITENS_MTR'!$S$6:$S$1005,S176)&amp;"","")</f>
        <v/>
      </c>
      <c r="E176" s="94" t="str">
        <f>IF(T176=1,INDEX('ITENS_MTR'!$C$6:$C$1005,S176)&amp;"","")</f>
        <v/>
      </c>
      <c r="F176" s="98" t="n"/>
      <c r="G176" s="91" t="n"/>
      <c r="H176" s="93" t="str">
        <f>IF(N176=0,"",IF(NOT(ISNUMBER(F176)),"",IF(ISNUMBER(U176),F176*U176,"UNIDADE A CONFERIR")))</f>
        <v/>
      </c>
      <c r="I176" s="94" t="str">
        <f>IF(Q176=1,INDEX('CDFs'!$F$6:$F$505,P176)&amp;"","")</f>
        <v/>
      </c>
      <c r="J176" s="91" t="n"/>
      <c r="K176" s="91" t="n"/>
      <c r="L176" s="94" t="str">
        <f>IF(N176=0,"",IF(NOT(ISNUMBER(F176)),"Quantidade não informada",IF(F176&lt;=0,"Quantidade não positiva",IF(G176="","Unidade não informada",IF(NOT(ISNUMBER(H176)),"Unidade a conferir",IF(AC176=1,"REVISAR VÍNCULO: soma vinculada maior que a referência do item","OK"))))))</f>
        <v/>
      </c>
      <c r="M176" s="94" t="str">
        <f>IF(N176=0,"",IF(B176="","CDF não informado",IF(Q176=0,"REVISAR VÍNCULO: CDF inexistente",IF(C176="","Item não informado",IF(T176=0,"REVISAR VÍNCULO: item inexistente",IF(AND(X176=1,J176&lt;&gt;"Sim"),"REVISAR VÍNCULO: destinador diferente do MTR",IF(X176=1,"Destinador diferente do MTR (analisado)","OK")))))))</f>
        <v/>
      </c>
      <c r="N176" s="96">
        <f>IF(COUNTA(B176:C176,F176:G176,J176:K176)&gt;0,1,0)</f>
        <v>0</v>
      </c>
      <c r="O176" s="96" t="str">
        <f>IF(B176="","",TRIM(LEFT(B176,FIND(" |",B176&amp;" |")-1)))</f>
        <v/>
      </c>
      <c r="P176" s="96" t="str">
        <f>IF(O176="","",IFERROR(MATCH(O176,'CDFs'!$A$6:$A$505,0),""))</f>
        <v/>
      </c>
      <c r="Q176" s="96">
        <f>IF(P176="",0,IF(INDEX('CDFs'!$S$6:$S$505,P176)=1,1,0))</f>
        <v>0</v>
      </c>
      <c r="R176" s="96" t="str">
        <f>IF(C176="","",TRIM(LEFT(C176,FIND(" |",C176&amp;" |")-1)))</f>
        <v/>
      </c>
      <c r="S176" s="96" t="str">
        <f>IF(R176="","",IFERROR(MATCH(R176,'ITENS_MTR'!$A$6:$A$1005,0),""))</f>
        <v/>
      </c>
      <c r="T176" s="96">
        <f>IF(S176="",0,IF(INDEX('ITENS_MTR'!$R$6:$R$1005,S176)=1,1,0))</f>
        <v>0</v>
      </c>
      <c r="U176" s="96" t="str">
        <f>IF(G176="","",IFERROR(IF(ISNUMBER(INDEX(cfg_fac,MATCH(G176,cfg_units,0))),IF(INDEX(cfg_fac,MATCH(G176,cfg_units,0))&gt;0,INDEX(cfg_fac,MATCH(G176,cfg_units,0)),""),""),""))</f>
        <v/>
      </c>
      <c r="V176" s="96">
        <f>IF(AND(ISNUMBER(F176),ISNUMBER(H176)),IF(H176&gt;0,1,0),0)</f>
        <v>0</v>
      </c>
      <c r="W176" s="96" t="str">
        <f>IF(T176=1,INDEX('ITENS_MTR'!$AU$6:$AU$1005,S176)&amp;"","")</f>
        <v/>
      </c>
      <c r="X176" s="96">
        <f>IF(AND(Q176=1,T176=1,I176&lt;&gt;"",W176&lt;&gt;""),IF(I176&lt;&gt;W176,1,0),0)</f>
        <v>0</v>
      </c>
      <c r="Y176" s="96">
        <f>IF(N176=0,0,IF(OR(Q176=0,T176=0,V176=0,AND(X176=1,J176&lt;&gt;"Sim")),1,0))</f>
        <v>0</v>
      </c>
      <c r="Z176" s="96">
        <f>IF(Q176=1,INDEX('CDFs'!$W$6:$W$505,P176),0)</f>
        <v>0</v>
      </c>
      <c r="AA176" s="96">
        <f>IF(AND(N176=1,Y176=0,Z176=1,J176="Sim"),1,0)</f>
        <v>0</v>
      </c>
      <c r="AB176" s="96">
        <f>IF(AND(N176=1,O176&lt;&gt;"",D176&lt;&gt;""),IF(COUNTIFS($O$6:O176,O176,$D$6:D176,D176)=1,1,0),0)</f>
        <v>0</v>
      </c>
      <c r="AC176" s="96">
        <f>IF(T176=1,INDEX('ITENS_MTR'!$AL$6:$AL$1005,S176),0)</f>
        <v>0</v>
      </c>
    </row>
    <row r="177">
      <c r="A177" s="89" t="inlineStr">
        <is>
          <t>VIN-000172</t>
        </is>
      </c>
      <c r="B177" s="91" t="n"/>
      <c r="C177" s="91" t="n"/>
      <c r="D177" s="94" t="str">
        <f>IF(T177=1,INDEX('ITENS_MTR'!$S$6:$S$1005,S177)&amp;"","")</f>
        <v/>
      </c>
      <c r="E177" s="94" t="str">
        <f>IF(T177=1,INDEX('ITENS_MTR'!$C$6:$C$1005,S177)&amp;"","")</f>
        <v/>
      </c>
      <c r="F177" s="98" t="n"/>
      <c r="G177" s="91" t="n"/>
      <c r="H177" s="93" t="str">
        <f>IF(N177=0,"",IF(NOT(ISNUMBER(F177)),"",IF(ISNUMBER(U177),F177*U177,"UNIDADE A CONFERIR")))</f>
        <v/>
      </c>
      <c r="I177" s="94" t="str">
        <f>IF(Q177=1,INDEX('CDFs'!$F$6:$F$505,P177)&amp;"","")</f>
        <v/>
      </c>
      <c r="J177" s="91" t="n"/>
      <c r="K177" s="91" t="n"/>
      <c r="L177" s="94" t="str">
        <f>IF(N177=0,"",IF(NOT(ISNUMBER(F177)),"Quantidade não informada",IF(F177&lt;=0,"Quantidade não positiva",IF(G177="","Unidade não informada",IF(NOT(ISNUMBER(H177)),"Unidade a conferir",IF(AC177=1,"REVISAR VÍNCULO: soma vinculada maior que a referência do item","OK"))))))</f>
        <v/>
      </c>
      <c r="M177" s="94" t="str">
        <f>IF(N177=0,"",IF(B177="","CDF não informado",IF(Q177=0,"REVISAR VÍNCULO: CDF inexistente",IF(C177="","Item não informado",IF(T177=0,"REVISAR VÍNCULO: item inexistente",IF(AND(X177=1,J177&lt;&gt;"Sim"),"REVISAR VÍNCULO: destinador diferente do MTR",IF(X177=1,"Destinador diferente do MTR (analisado)","OK")))))))</f>
        <v/>
      </c>
      <c r="N177" s="96">
        <f>IF(COUNTA(B177:C177,F177:G177,J177:K177)&gt;0,1,0)</f>
        <v>0</v>
      </c>
      <c r="O177" s="96" t="str">
        <f>IF(B177="","",TRIM(LEFT(B177,FIND(" |",B177&amp;" |")-1)))</f>
        <v/>
      </c>
      <c r="P177" s="96" t="str">
        <f>IF(O177="","",IFERROR(MATCH(O177,'CDFs'!$A$6:$A$505,0),""))</f>
        <v/>
      </c>
      <c r="Q177" s="96">
        <f>IF(P177="",0,IF(INDEX('CDFs'!$S$6:$S$505,P177)=1,1,0))</f>
        <v>0</v>
      </c>
      <c r="R177" s="96" t="str">
        <f>IF(C177="","",TRIM(LEFT(C177,FIND(" |",C177&amp;" |")-1)))</f>
        <v/>
      </c>
      <c r="S177" s="96" t="str">
        <f>IF(R177="","",IFERROR(MATCH(R177,'ITENS_MTR'!$A$6:$A$1005,0),""))</f>
        <v/>
      </c>
      <c r="T177" s="96">
        <f>IF(S177="",0,IF(INDEX('ITENS_MTR'!$R$6:$R$1005,S177)=1,1,0))</f>
        <v>0</v>
      </c>
      <c r="U177" s="96" t="str">
        <f>IF(G177="","",IFERROR(IF(ISNUMBER(INDEX(cfg_fac,MATCH(G177,cfg_units,0))),IF(INDEX(cfg_fac,MATCH(G177,cfg_units,0))&gt;0,INDEX(cfg_fac,MATCH(G177,cfg_units,0)),""),""),""))</f>
        <v/>
      </c>
      <c r="V177" s="96">
        <f>IF(AND(ISNUMBER(F177),ISNUMBER(H177)),IF(H177&gt;0,1,0),0)</f>
        <v>0</v>
      </c>
      <c r="W177" s="96" t="str">
        <f>IF(T177=1,INDEX('ITENS_MTR'!$AU$6:$AU$1005,S177)&amp;"","")</f>
        <v/>
      </c>
      <c r="X177" s="96">
        <f>IF(AND(Q177=1,T177=1,I177&lt;&gt;"",W177&lt;&gt;""),IF(I177&lt;&gt;W177,1,0),0)</f>
        <v>0</v>
      </c>
      <c r="Y177" s="96">
        <f>IF(N177=0,0,IF(OR(Q177=0,T177=0,V177=0,AND(X177=1,J177&lt;&gt;"Sim")),1,0))</f>
        <v>0</v>
      </c>
      <c r="Z177" s="96">
        <f>IF(Q177=1,INDEX('CDFs'!$W$6:$W$505,P177),0)</f>
        <v>0</v>
      </c>
      <c r="AA177" s="96">
        <f>IF(AND(N177=1,Y177=0,Z177=1,J177="Sim"),1,0)</f>
        <v>0</v>
      </c>
      <c r="AB177" s="96">
        <f>IF(AND(N177=1,O177&lt;&gt;"",D177&lt;&gt;""),IF(COUNTIFS($O$6:O177,O177,$D$6:D177,D177)=1,1,0),0)</f>
        <v>0</v>
      </c>
      <c r="AC177" s="96">
        <f>IF(T177=1,INDEX('ITENS_MTR'!$AL$6:$AL$1005,S177),0)</f>
        <v>0</v>
      </c>
    </row>
    <row r="178">
      <c r="A178" s="89" t="inlineStr">
        <is>
          <t>VIN-000173</t>
        </is>
      </c>
      <c r="B178" s="91" t="n"/>
      <c r="C178" s="91" t="n"/>
      <c r="D178" s="94" t="str">
        <f>IF(T178=1,INDEX('ITENS_MTR'!$S$6:$S$1005,S178)&amp;"","")</f>
        <v/>
      </c>
      <c r="E178" s="94" t="str">
        <f>IF(T178=1,INDEX('ITENS_MTR'!$C$6:$C$1005,S178)&amp;"","")</f>
        <v/>
      </c>
      <c r="F178" s="98" t="n"/>
      <c r="G178" s="91" t="n"/>
      <c r="H178" s="93" t="str">
        <f>IF(N178=0,"",IF(NOT(ISNUMBER(F178)),"",IF(ISNUMBER(U178),F178*U178,"UNIDADE A CONFERIR")))</f>
        <v/>
      </c>
      <c r="I178" s="94" t="str">
        <f>IF(Q178=1,INDEX('CDFs'!$F$6:$F$505,P178)&amp;"","")</f>
        <v/>
      </c>
      <c r="J178" s="91" t="n"/>
      <c r="K178" s="91" t="n"/>
      <c r="L178" s="94" t="str">
        <f>IF(N178=0,"",IF(NOT(ISNUMBER(F178)),"Quantidade não informada",IF(F178&lt;=0,"Quantidade não positiva",IF(G178="","Unidade não informada",IF(NOT(ISNUMBER(H178)),"Unidade a conferir",IF(AC178=1,"REVISAR VÍNCULO: soma vinculada maior que a referência do item","OK"))))))</f>
        <v/>
      </c>
      <c r="M178" s="94" t="str">
        <f>IF(N178=0,"",IF(B178="","CDF não informado",IF(Q178=0,"REVISAR VÍNCULO: CDF inexistente",IF(C178="","Item não informado",IF(T178=0,"REVISAR VÍNCULO: item inexistente",IF(AND(X178=1,J178&lt;&gt;"Sim"),"REVISAR VÍNCULO: destinador diferente do MTR",IF(X178=1,"Destinador diferente do MTR (analisado)","OK")))))))</f>
        <v/>
      </c>
      <c r="N178" s="96">
        <f>IF(COUNTA(B178:C178,F178:G178,J178:K178)&gt;0,1,0)</f>
        <v>0</v>
      </c>
      <c r="O178" s="96" t="str">
        <f>IF(B178="","",TRIM(LEFT(B178,FIND(" |",B178&amp;" |")-1)))</f>
        <v/>
      </c>
      <c r="P178" s="96" t="str">
        <f>IF(O178="","",IFERROR(MATCH(O178,'CDFs'!$A$6:$A$505,0),""))</f>
        <v/>
      </c>
      <c r="Q178" s="96">
        <f>IF(P178="",0,IF(INDEX('CDFs'!$S$6:$S$505,P178)=1,1,0))</f>
        <v>0</v>
      </c>
      <c r="R178" s="96" t="str">
        <f>IF(C178="","",TRIM(LEFT(C178,FIND(" |",C178&amp;" |")-1)))</f>
        <v/>
      </c>
      <c r="S178" s="96" t="str">
        <f>IF(R178="","",IFERROR(MATCH(R178,'ITENS_MTR'!$A$6:$A$1005,0),""))</f>
        <v/>
      </c>
      <c r="T178" s="96">
        <f>IF(S178="",0,IF(INDEX('ITENS_MTR'!$R$6:$R$1005,S178)=1,1,0))</f>
        <v>0</v>
      </c>
      <c r="U178" s="96" t="str">
        <f>IF(G178="","",IFERROR(IF(ISNUMBER(INDEX(cfg_fac,MATCH(G178,cfg_units,0))),IF(INDEX(cfg_fac,MATCH(G178,cfg_units,0))&gt;0,INDEX(cfg_fac,MATCH(G178,cfg_units,0)),""),""),""))</f>
        <v/>
      </c>
      <c r="V178" s="96">
        <f>IF(AND(ISNUMBER(F178),ISNUMBER(H178)),IF(H178&gt;0,1,0),0)</f>
        <v>0</v>
      </c>
      <c r="W178" s="96" t="str">
        <f>IF(T178=1,INDEX('ITENS_MTR'!$AU$6:$AU$1005,S178)&amp;"","")</f>
        <v/>
      </c>
      <c r="X178" s="96">
        <f>IF(AND(Q178=1,T178=1,I178&lt;&gt;"",W178&lt;&gt;""),IF(I178&lt;&gt;W178,1,0),0)</f>
        <v>0</v>
      </c>
      <c r="Y178" s="96">
        <f>IF(N178=0,0,IF(OR(Q178=0,T178=0,V178=0,AND(X178=1,J178&lt;&gt;"Sim")),1,0))</f>
        <v>0</v>
      </c>
      <c r="Z178" s="96">
        <f>IF(Q178=1,INDEX('CDFs'!$W$6:$W$505,P178),0)</f>
        <v>0</v>
      </c>
      <c r="AA178" s="96">
        <f>IF(AND(N178=1,Y178=0,Z178=1,J178="Sim"),1,0)</f>
        <v>0</v>
      </c>
      <c r="AB178" s="96">
        <f>IF(AND(N178=1,O178&lt;&gt;"",D178&lt;&gt;""),IF(COUNTIFS($O$6:O178,O178,$D$6:D178,D178)=1,1,0),0)</f>
        <v>0</v>
      </c>
      <c r="AC178" s="96">
        <f>IF(T178=1,INDEX('ITENS_MTR'!$AL$6:$AL$1005,S178),0)</f>
        <v>0</v>
      </c>
    </row>
    <row r="179">
      <c r="A179" s="89" t="inlineStr">
        <is>
          <t>VIN-000174</t>
        </is>
      </c>
      <c r="B179" s="91" t="n"/>
      <c r="C179" s="91" t="n"/>
      <c r="D179" s="94" t="str">
        <f>IF(T179=1,INDEX('ITENS_MTR'!$S$6:$S$1005,S179)&amp;"","")</f>
        <v/>
      </c>
      <c r="E179" s="94" t="str">
        <f>IF(T179=1,INDEX('ITENS_MTR'!$C$6:$C$1005,S179)&amp;"","")</f>
        <v/>
      </c>
      <c r="F179" s="98" t="n"/>
      <c r="G179" s="91" t="n"/>
      <c r="H179" s="93" t="str">
        <f>IF(N179=0,"",IF(NOT(ISNUMBER(F179)),"",IF(ISNUMBER(U179),F179*U179,"UNIDADE A CONFERIR")))</f>
        <v/>
      </c>
      <c r="I179" s="94" t="str">
        <f>IF(Q179=1,INDEX('CDFs'!$F$6:$F$505,P179)&amp;"","")</f>
        <v/>
      </c>
      <c r="J179" s="91" t="n"/>
      <c r="K179" s="91" t="n"/>
      <c r="L179" s="94" t="str">
        <f>IF(N179=0,"",IF(NOT(ISNUMBER(F179)),"Quantidade não informada",IF(F179&lt;=0,"Quantidade não positiva",IF(G179="","Unidade não informada",IF(NOT(ISNUMBER(H179)),"Unidade a conferir",IF(AC179=1,"REVISAR VÍNCULO: soma vinculada maior que a referência do item","OK"))))))</f>
        <v/>
      </c>
      <c r="M179" s="94" t="str">
        <f>IF(N179=0,"",IF(B179="","CDF não informado",IF(Q179=0,"REVISAR VÍNCULO: CDF inexistente",IF(C179="","Item não informado",IF(T179=0,"REVISAR VÍNCULO: item inexistente",IF(AND(X179=1,J179&lt;&gt;"Sim"),"REVISAR VÍNCULO: destinador diferente do MTR",IF(X179=1,"Destinador diferente do MTR (analisado)","OK")))))))</f>
        <v/>
      </c>
      <c r="N179" s="96">
        <f>IF(COUNTA(B179:C179,F179:G179,J179:K179)&gt;0,1,0)</f>
        <v>0</v>
      </c>
      <c r="O179" s="96" t="str">
        <f>IF(B179="","",TRIM(LEFT(B179,FIND(" |",B179&amp;" |")-1)))</f>
        <v/>
      </c>
      <c r="P179" s="96" t="str">
        <f>IF(O179="","",IFERROR(MATCH(O179,'CDFs'!$A$6:$A$505,0),""))</f>
        <v/>
      </c>
      <c r="Q179" s="96">
        <f>IF(P179="",0,IF(INDEX('CDFs'!$S$6:$S$505,P179)=1,1,0))</f>
        <v>0</v>
      </c>
      <c r="R179" s="96" t="str">
        <f>IF(C179="","",TRIM(LEFT(C179,FIND(" |",C179&amp;" |")-1)))</f>
        <v/>
      </c>
      <c r="S179" s="96" t="str">
        <f>IF(R179="","",IFERROR(MATCH(R179,'ITENS_MTR'!$A$6:$A$1005,0),""))</f>
        <v/>
      </c>
      <c r="T179" s="96">
        <f>IF(S179="",0,IF(INDEX('ITENS_MTR'!$R$6:$R$1005,S179)=1,1,0))</f>
        <v>0</v>
      </c>
      <c r="U179" s="96" t="str">
        <f>IF(G179="","",IFERROR(IF(ISNUMBER(INDEX(cfg_fac,MATCH(G179,cfg_units,0))),IF(INDEX(cfg_fac,MATCH(G179,cfg_units,0))&gt;0,INDEX(cfg_fac,MATCH(G179,cfg_units,0)),""),""),""))</f>
        <v/>
      </c>
      <c r="V179" s="96">
        <f>IF(AND(ISNUMBER(F179),ISNUMBER(H179)),IF(H179&gt;0,1,0),0)</f>
        <v>0</v>
      </c>
      <c r="W179" s="96" t="str">
        <f>IF(T179=1,INDEX('ITENS_MTR'!$AU$6:$AU$1005,S179)&amp;"","")</f>
        <v/>
      </c>
      <c r="X179" s="96">
        <f>IF(AND(Q179=1,T179=1,I179&lt;&gt;"",W179&lt;&gt;""),IF(I179&lt;&gt;W179,1,0),0)</f>
        <v>0</v>
      </c>
      <c r="Y179" s="96">
        <f>IF(N179=0,0,IF(OR(Q179=0,T179=0,V179=0,AND(X179=1,J179&lt;&gt;"Sim")),1,0))</f>
        <v>0</v>
      </c>
      <c r="Z179" s="96">
        <f>IF(Q179=1,INDEX('CDFs'!$W$6:$W$505,P179),0)</f>
        <v>0</v>
      </c>
      <c r="AA179" s="96">
        <f>IF(AND(N179=1,Y179=0,Z179=1,J179="Sim"),1,0)</f>
        <v>0</v>
      </c>
      <c r="AB179" s="96">
        <f>IF(AND(N179=1,O179&lt;&gt;"",D179&lt;&gt;""),IF(COUNTIFS($O$6:O179,O179,$D$6:D179,D179)=1,1,0),0)</f>
        <v>0</v>
      </c>
      <c r="AC179" s="96">
        <f>IF(T179=1,INDEX('ITENS_MTR'!$AL$6:$AL$1005,S179),0)</f>
        <v>0</v>
      </c>
    </row>
    <row r="180">
      <c r="A180" s="89" t="inlineStr">
        <is>
          <t>VIN-000175</t>
        </is>
      </c>
      <c r="B180" s="91" t="n"/>
      <c r="C180" s="91" t="n"/>
      <c r="D180" s="94" t="str">
        <f>IF(T180=1,INDEX('ITENS_MTR'!$S$6:$S$1005,S180)&amp;"","")</f>
        <v/>
      </c>
      <c r="E180" s="94" t="str">
        <f>IF(T180=1,INDEX('ITENS_MTR'!$C$6:$C$1005,S180)&amp;"","")</f>
        <v/>
      </c>
      <c r="F180" s="98" t="n"/>
      <c r="G180" s="91" t="n"/>
      <c r="H180" s="93" t="str">
        <f>IF(N180=0,"",IF(NOT(ISNUMBER(F180)),"",IF(ISNUMBER(U180),F180*U180,"UNIDADE A CONFERIR")))</f>
        <v/>
      </c>
      <c r="I180" s="94" t="str">
        <f>IF(Q180=1,INDEX('CDFs'!$F$6:$F$505,P180)&amp;"","")</f>
        <v/>
      </c>
      <c r="J180" s="91" t="n"/>
      <c r="K180" s="91" t="n"/>
      <c r="L180" s="94" t="str">
        <f>IF(N180=0,"",IF(NOT(ISNUMBER(F180)),"Quantidade não informada",IF(F180&lt;=0,"Quantidade não positiva",IF(G180="","Unidade não informada",IF(NOT(ISNUMBER(H180)),"Unidade a conferir",IF(AC180=1,"REVISAR VÍNCULO: soma vinculada maior que a referência do item","OK"))))))</f>
        <v/>
      </c>
      <c r="M180" s="94" t="str">
        <f>IF(N180=0,"",IF(B180="","CDF não informado",IF(Q180=0,"REVISAR VÍNCULO: CDF inexistente",IF(C180="","Item não informado",IF(T180=0,"REVISAR VÍNCULO: item inexistente",IF(AND(X180=1,J180&lt;&gt;"Sim"),"REVISAR VÍNCULO: destinador diferente do MTR",IF(X180=1,"Destinador diferente do MTR (analisado)","OK")))))))</f>
        <v/>
      </c>
      <c r="N180" s="96">
        <f>IF(COUNTA(B180:C180,F180:G180,J180:K180)&gt;0,1,0)</f>
        <v>0</v>
      </c>
      <c r="O180" s="96" t="str">
        <f>IF(B180="","",TRIM(LEFT(B180,FIND(" |",B180&amp;" |")-1)))</f>
        <v/>
      </c>
      <c r="P180" s="96" t="str">
        <f>IF(O180="","",IFERROR(MATCH(O180,'CDFs'!$A$6:$A$505,0),""))</f>
        <v/>
      </c>
      <c r="Q180" s="96">
        <f>IF(P180="",0,IF(INDEX('CDFs'!$S$6:$S$505,P180)=1,1,0))</f>
        <v>0</v>
      </c>
      <c r="R180" s="96" t="str">
        <f>IF(C180="","",TRIM(LEFT(C180,FIND(" |",C180&amp;" |")-1)))</f>
        <v/>
      </c>
      <c r="S180" s="96" t="str">
        <f>IF(R180="","",IFERROR(MATCH(R180,'ITENS_MTR'!$A$6:$A$1005,0),""))</f>
        <v/>
      </c>
      <c r="T180" s="96">
        <f>IF(S180="",0,IF(INDEX('ITENS_MTR'!$R$6:$R$1005,S180)=1,1,0))</f>
        <v>0</v>
      </c>
      <c r="U180" s="96" t="str">
        <f>IF(G180="","",IFERROR(IF(ISNUMBER(INDEX(cfg_fac,MATCH(G180,cfg_units,0))),IF(INDEX(cfg_fac,MATCH(G180,cfg_units,0))&gt;0,INDEX(cfg_fac,MATCH(G180,cfg_units,0)),""),""),""))</f>
        <v/>
      </c>
      <c r="V180" s="96">
        <f>IF(AND(ISNUMBER(F180),ISNUMBER(H180)),IF(H180&gt;0,1,0),0)</f>
        <v>0</v>
      </c>
      <c r="W180" s="96" t="str">
        <f>IF(T180=1,INDEX('ITENS_MTR'!$AU$6:$AU$1005,S180)&amp;"","")</f>
        <v/>
      </c>
      <c r="X180" s="96">
        <f>IF(AND(Q180=1,T180=1,I180&lt;&gt;"",W180&lt;&gt;""),IF(I180&lt;&gt;W180,1,0),0)</f>
        <v>0</v>
      </c>
      <c r="Y180" s="96">
        <f>IF(N180=0,0,IF(OR(Q180=0,T180=0,V180=0,AND(X180=1,J180&lt;&gt;"Sim")),1,0))</f>
        <v>0</v>
      </c>
      <c r="Z180" s="96">
        <f>IF(Q180=1,INDEX('CDFs'!$W$6:$W$505,P180),0)</f>
        <v>0</v>
      </c>
      <c r="AA180" s="96">
        <f>IF(AND(N180=1,Y180=0,Z180=1,J180="Sim"),1,0)</f>
        <v>0</v>
      </c>
      <c r="AB180" s="96">
        <f>IF(AND(N180=1,O180&lt;&gt;"",D180&lt;&gt;""),IF(COUNTIFS($O$6:O180,O180,$D$6:D180,D180)=1,1,0),0)</f>
        <v>0</v>
      </c>
      <c r="AC180" s="96">
        <f>IF(T180=1,INDEX('ITENS_MTR'!$AL$6:$AL$1005,S180),0)</f>
        <v>0</v>
      </c>
    </row>
    <row r="181">
      <c r="A181" s="89" t="inlineStr">
        <is>
          <t>VIN-000176</t>
        </is>
      </c>
      <c r="B181" s="91" t="n"/>
      <c r="C181" s="91" t="n"/>
      <c r="D181" s="94" t="str">
        <f>IF(T181=1,INDEX('ITENS_MTR'!$S$6:$S$1005,S181)&amp;"","")</f>
        <v/>
      </c>
      <c r="E181" s="94" t="str">
        <f>IF(T181=1,INDEX('ITENS_MTR'!$C$6:$C$1005,S181)&amp;"","")</f>
        <v/>
      </c>
      <c r="F181" s="98" t="n"/>
      <c r="G181" s="91" t="n"/>
      <c r="H181" s="93" t="str">
        <f>IF(N181=0,"",IF(NOT(ISNUMBER(F181)),"",IF(ISNUMBER(U181),F181*U181,"UNIDADE A CONFERIR")))</f>
        <v/>
      </c>
      <c r="I181" s="94" t="str">
        <f>IF(Q181=1,INDEX('CDFs'!$F$6:$F$505,P181)&amp;"","")</f>
        <v/>
      </c>
      <c r="J181" s="91" t="n"/>
      <c r="K181" s="91" t="n"/>
      <c r="L181" s="94" t="str">
        <f>IF(N181=0,"",IF(NOT(ISNUMBER(F181)),"Quantidade não informada",IF(F181&lt;=0,"Quantidade não positiva",IF(G181="","Unidade não informada",IF(NOT(ISNUMBER(H181)),"Unidade a conferir",IF(AC181=1,"REVISAR VÍNCULO: soma vinculada maior que a referência do item","OK"))))))</f>
        <v/>
      </c>
      <c r="M181" s="94" t="str">
        <f>IF(N181=0,"",IF(B181="","CDF não informado",IF(Q181=0,"REVISAR VÍNCULO: CDF inexistente",IF(C181="","Item não informado",IF(T181=0,"REVISAR VÍNCULO: item inexistente",IF(AND(X181=1,J181&lt;&gt;"Sim"),"REVISAR VÍNCULO: destinador diferente do MTR",IF(X181=1,"Destinador diferente do MTR (analisado)","OK")))))))</f>
        <v/>
      </c>
      <c r="N181" s="96">
        <f>IF(COUNTA(B181:C181,F181:G181,J181:K181)&gt;0,1,0)</f>
        <v>0</v>
      </c>
      <c r="O181" s="96" t="str">
        <f>IF(B181="","",TRIM(LEFT(B181,FIND(" |",B181&amp;" |")-1)))</f>
        <v/>
      </c>
      <c r="P181" s="96" t="str">
        <f>IF(O181="","",IFERROR(MATCH(O181,'CDFs'!$A$6:$A$505,0),""))</f>
        <v/>
      </c>
      <c r="Q181" s="96">
        <f>IF(P181="",0,IF(INDEX('CDFs'!$S$6:$S$505,P181)=1,1,0))</f>
        <v>0</v>
      </c>
      <c r="R181" s="96" t="str">
        <f>IF(C181="","",TRIM(LEFT(C181,FIND(" |",C181&amp;" |")-1)))</f>
        <v/>
      </c>
      <c r="S181" s="96" t="str">
        <f>IF(R181="","",IFERROR(MATCH(R181,'ITENS_MTR'!$A$6:$A$1005,0),""))</f>
        <v/>
      </c>
      <c r="T181" s="96">
        <f>IF(S181="",0,IF(INDEX('ITENS_MTR'!$R$6:$R$1005,S181)=1,1,0))</f>
        <v>0</v>
      </c>
      <c r="U181" s="96" t="str">
        <f>IF(G181="","",IFERROR(IF(ISNUMBER(INDEX(cfg_fac,MATCH(G181,cfg_units,0))),IF(INDEX(cfg_fac,MATCH(G181,cfg_units,0))&gt;0,INDEX(cfg_fac,MATCH(G181,cfg_units,0)),""),""),""))</f>
        <v/>
      </c>
      <c r="V181" s="96">
        <f>IF(AND(ISNUMBER(F181),ISNUMBER(H181)),IF(H181&gt;0,1,0),0)</f>
        <v>0</v>
      </c>
      <c r="W181" s="96" t="str">
        <f>IF(T181=1,INDEX('ITENS_MTR'!$AU$6:$AU$1005,S181)&amp;"","")</f>
        <v/>
      </c>
      <c r="X181" s="96">
        <f>IF(AND(Q181=1,T181=1,I181&lt;&gt;"",W181&lt;&gt;""),IF(I181&lt;&gt;W181,1,0),0)</f>
        <v>0</v>
      </c>
      <c r="Y181" s="96">
        <f>IF(N181=0,0,IF(OR(Q181=0,T181=0,V181=0,AND(X181=1,J181&lt;&gt;"Sim")),1,0))</f>
        <v>0</v>
      </c>
      <c r="Z181" s="96">
        <f>IF(Q181=1,INDEX('CDFs'!$W$6:$W$505,P181),0)</f>
        <v>0</v>
      </c>
      <c r="AA181" s="96">
        <f>IF(AND(N181=1,Y181=0,Z181=1,J181="Sim"),1,0)</f>
        <v>0</v>
      </c>
      <c r="AB181" s="96">
        <f>IF(AND(N181=1,O181&lt;&gt;"",D181&lt;&gt;""),IF(COUNTIFS($O$6:O181,O181,$D$6:D181,D181)=1,1,0),0)</f>
        <v>0</v>
      </c>
      <c r="AC181" s="96">
        <f>IF(T181=1,INDEX('ITENS_MTR'!$AL$6:$AL$1005,S181),0)</f>
        <v>0</v>
      </c>
    </row>
    <row r="182">
      <c r="A182" s="89" t="inlineStr">
        <is>
          <t>VIN-000177</t>
        </is>
      </c>
      <c r="B182" s="91" t="n"/>
      <c r="C182" s="91" t="n"/>
      <c r="D182" s="94" t="str">
        <f>IF(T182=1,INDEX('ITENS_MTR'!$S$6:$S$1005,S182)&amp;"","")</f>
        <v/>
      </c>
      <c r="E182" s="94" t="str">
        <f>IF(T182=1,INDEX('ITENS_MTR'!$C$6:$C$1005,S182)&amp;"","")</f>
        <v/>
      </c>
      <c r="F182" s="98" t="n"/>
      <c r="G182" s="91" t="n"/>
      <c r="H182" s="93" t="str">
        <f>IF(N182=0,"",IF(NOT(ISNUMBER(F182)),"",IF(ISNUMBER(U182),F182*U182,"UNIDADE A CONFERIR")))</f>
        <v/>
      </c>
      <c r="I182" s="94" t="str">
        <f>IF(Q182=1,INDEX('CDFs'!$F$6:$F$505,P182)&amp;"","")</f>
        <v/>
      </c>
      <c r="J182" s="91" t="n"/>
      <c r="K182" s="91" t="n"/>
      <c r="L182" s="94" t="str">
        <f>IF(N182=0,"",IF(NOT(ISNUMBER(F182)),"Quantidade não informada",IF(F182&lt;=0,"Quantidade não positiva",IF(G182="","Unidade não informada",IF(NOT(ISNUMBER(H182)),"Unidade a conferir",IF(AC182=1,"REVISAR VÍNCULO: soma vinculada maior que a referência do item","OK"))))))</f>
        <v/>
      </c>
      <c r="M182" s="94" t="str">
        <f>IF(N182=0,"",IF(B182="","CDF não informado",IF(Q182=0,"REVISAR VÍNCULO: CDF inexistente",IF(C182="","Item não informado",IF(T182=0,"REVISAR VÍNCULO: item inexistente",IF(AND(X182=1,J182&lt;&gt;"Sim"),"REVISAR VÍNCULO: destinador diferente do MTR",IF(X182=1,"Destinador diferente do MTR (analisado)","OK")))))))</f>
        <v/>
      </c>
      <c r="N182" s="96">
        <f>IF(COUNTA(B182:C182,F182:G182,J182:K182)&gt;0,1,0)</f>
        <v>0</v>
      </c>
      <c r="O182" s="96" t="str">
        <f>IF(B182="","",TRIM(LEFT(B182,FIND(" |",B182&amp;" |")-1)))</f>
        <v/>
      </c>
      <c r="P182" s="96" t="str">
        <f>IF(O182="","",IFERROR(MATCH(O182,'CDFs'!$A$6:$A$505,0),""))</f>
        <v/>
      </c>
      <c r="Q182" s="96">
        <f>IF(P182="",0,IF(INDEX('CDFs'!$S$6:$S$505,P182)=1,1,0))</f>
        <v>0</v>
      </c>
      <c r="R182" s="96" t="str">
        <f>IF(C182="","",TRIM(LEFT(C182,FIND(" |",C182&amp;" |")-1)))</f>
        <v/>
      </c>
      <c r="S182" s="96" t="str">
        <f>IF(R182="","",IFERROR(MATCH(R182,'ITENS_MTR'!$A$6:$A$1005,0),""))</f>
        <v/>
      </c>
      <c r="T182" s="96">
        <f>IF(S182="",0,IF(INDEX('ITENS_MTR'!$R$6:$R$1005,S182)=1,1,0))</f>
        <v>0</v>
      </c>
      <c r="U182" s="96" t="str">
        <f>IF(G182="","",IFERROR(IF(ISNUMBER(INDEX(cfg_fac,MATCH(G182,cfg_units,0))),IF(INDEX(cfg_fac,MATCH(G182,cfg_units,0))&gt;0,INDEX(cfg_fac,MATCH(G182,cfg_units,0)),""),""),""))</f>
        <v/>
      </c>
      <c r="V182" s="96">
        <f>IF(AND(ISNUMBER(F182),ISNUMBER(H182)),IF(H182&gt;0,1,0),0)</f>
        <v>0</v>
      </c>
      <c r="W182" s="96" t="str">
        <f>IF(T182=1,INDEX('ITENS_MTR'!$AU$6:$AU$1005,S182)&amp;"","")</f>
        <v/>
      </c>
      <c r="X182" s="96">
        <f>IF(AND(Q182=1,T182=1,I182&lt;&gt;"",W182&lt;&gt;""),IF(I182&lt;&gt;W182,1,0),0)</f>
        <v>0</v>
      </c>
      <c r="Y182" s="96">
        <f>IF(N182=0,0,IF(OR(Q182=0,T182=0,V182=0,AND(X182=1,J182&lt;&gt;"Sim")),1,0))</f>
        <v>0</v>
      </c>
      <c r="Z182" s="96">
        <f>IF(Q182=1,INDEX('CDFs'!$W$6:$W$505,P182),0)</f>
        <v>0</v>
      </c>
      <c r="AA182" s="96">
        <f>IF(AND(N182=1,Y182=0,Z182=1,J182="Sim"),1,0)</f>
        <v>0</v>
      </c>
      <c r="AB182" s="96">
        <f>IF(AND(N182=1,O182&lt;&gt;"",D182&lt;&gt;""),IF(COUNTIFS($O$6:O182,O182,$D$6:D182,D182)=1,1,0),0)</f>
        <v>0</v>
      </c>
      <c r="AC182" s="96">
        <f>IF(T182=1,INDEX('ITENS_MTR'!$AL$6:$AL$1005,S182),0)</f>
        <v>0</v>
      </c>
    </row>
    <row r="183">
      <c r="A183" s="89" t="inlineStr">
        <is>
          <t>VIN-000178</t>
        </is>
      </c>
      <c r="B183" s="91" t="n"/>
      <c r="C183" s="91" t="n"/>
      <c r="D183" s="94" t="str">
        <f>IF(T183=1,INDEX('ITENS_MTR'!$S$6:$S$1005,S183)&amp;"","")</f>
        <v/>
      </c>
      <c r="E183" s="94" t="str">
        <f>IF(T183=1,INDEX('ITENS_MTR'!$C$6:$C$1005,S183)&amp;"","")</f>
        <v/>
      </c>
      <c r="F183" s="98" t="n"/>
      <c r="G183" s="91" t="n"/>
      <c r="H183" s="93" t="str">
        <f>IF(N183=0,"",IF(NOT(ISNUMBER(F183)),"",IF(ISNUMBER(U183),F183*U183,"UNIDADE A CONFERIR")))</f>
        <v/>
      </c>
      <c r="I183" s="94" t="str">
        <f>IF(Q183=1,INDEX('CDFs'!$F$6:$F$505,P183)&amp;"","")</f>
        <v/>
      </c>
      <c r="J183" s="91" t="n"/>
      <c r="K183" s="91" t="n"/>
      <c r="L183" s="94" t="str">
        <f>IF(N183=0,"",IF(NOT(ISNUMBER(F183)),"Quantidade não informada",IF(F183&lt;=0,"Quantidade não positiva",IF(G183="","Unidade não informada",IF(NOT(ISNUMBER(H183)),"Unidade a conferir",IF(AC183=1,"REVISAR VÍNCULO: soma vinculada maior que a referência do item","OK"))))))</f>
        <v/>
      </c>
      <c r="M183" s="94" t="str">
        <f>IF(N183=0,"",IF(B183="","CDF não informado",IF(Q183=0,"REVISAR VÍNCULO: CDF inexistente",IF(C183="","Item não informado",IF(T183=0,"REVISAR VÍNCULO: item inexistente",IF(AND(X183=1,J183&lt;&gt;"Sim"),"REVISAR VÍNCULO: destinador diferente do MTR",IF(X183=1,"Destinador diferente do MTR (analisado)","OK")))))))</f>
        <v/>
      </c>
      <c r="N183" s="96">
        <f>IF(COUNTA(B183:C183,F183:G183,J183:K183)&gt;0,1,0)</f>
        <v>0</v>
      </c>
      <c r="O183" s="96" t="str">
        <f>IF(B183="","",TRIM(LEFT(B183,FIND(" |",B183&amp;" |")-1)))</f>
        <v/>
      </c>
      <c r="P183" s="96" t="str">
        <f>IF(O183="","",IFERROR(MATCH(O183,'CDFs'!$A$6:$A$505,0),""))</f>
        <v/>
      </c>
      <c r="Q183" s="96">
        <f>IF(P183="",0,IF(INDEX('CDFs'!$S$6:$S$505,P183)=1,1,0))</f>
        <v>0</v>
      </c>
      <c r="R183" s="96" t="str">
        <f>IF(C183="","",TRIM(LEFT(C183,FIND(" |",C183&amp;" |")-1)))</f>
        <v/>
      </c>
      <c r="S183" s="96" t="str">
        <f>IF(R183="","",IFERROR(MATCH(R183,'ITENS_MTR'!$A$6:$A$1005,0),""))</f>
        <v/>
      </c>
      <c r="T183" s="96">
        <f>IF(S183="",0,IF(INDEX('ITENS_MTR'!$R$6:$R$1005,S183)=1,1,0))</f>
        <v>0</v>
      </c>
      <c r="U183" s="96" t="str">
        <f>IF(G183="","",IFERROR(IF(ISNUMBER(INDEX(cfg_fac,MATCH(G183,cfg_units,0))),IF(INDEX(cfg_fac,MATCH(G183,cfg_units,0))&gt;0,INDEX(cfg_fac,MATCH(G183,cfg_units,0)),""),""),""))</f>
        <v/>
      </c>
      <c r="V183" s="96">
        <f>IF(AND(ISNUMBER(F183),ISNUMBER(H183)),IF(H183&gt;0,1,0),0)</f>
        <v>0</v>
      </c>
      <c r="W183" s="96" t="str">
        <f>IF(T183=1,INDEX('ITENS_MTR'!$AU$6:$AU$1005,S183)&amp;"","")</f>
        <v/>
      </c>
      <c r="X183" s="96">
        <f>IF(AND(Q183=1,T183=1,I183&lt;&gt;"",W183&lt;&gt;""),IF(I183&lt;&gt;W183,1,0),0)</f>
        <v>0</v>
      </c>
      <c r="Y183" s="96">
        <f>IF(N183=0,0,IF(OR(Q183=0,T183=0,V183=0,AND(X183=1,J183&lt;&gt;"Sim")),1,0))</f>
        <v>0</v>
      </c>
      <c r="Z183" s="96">
        <f>IF(Q183=1,INDEX('CDFs'!$W$6:$W$505,P183),0)</f>
        <v>0</v>
      </c>
      <c r="AA183" s="96">
        <f>IF(AND(N183=1,Y183=0,Z183=1,J183="Sim"),1,0)</f>
        <v>0</v>
      </c>
      <c r="AB183" s="96">
        <f>IF(AND(N183=1,O183&lt;&gt;"",D183&lt;&gt;""),IF(COUNTIFS($O$6:O183,O183,$D$6:D183,D183)=1,1,0),0)</f>
        <v>0</v>
      </c>
      <c r="AC183" s="96">
        <f>IF(T183=1,INDEX('ITENS_MTR'!$AL$6:$AL$1005,S183),0)</f>
        <v>0</v>
      </c>
    </row>
    <row r="184">
      <c r="A184" s="89" t="inlineStr">
        <is>
          <t>VIN-000179</t>
        </is>
      </c>
      <c r="B184" s="91" t="n"/>
      <c r="C184" s="91" t="n"/>
      <c r="D184" s="94" t="str">
        <f>IF(T184=1,INDEX('ITENS_MTR'!$S$6:$S$1005,S184)&amp;"","")</f>
        <v/>
      </c>
      <c r="E184" s="94" t="str">
        <f>IF(T184=1,INDEX('ITENS_MTR'!$C$6:$C$1005,S184)&amp;"","")</f>
        <v/>
      </c>
      <c r="F184" s="98" t="n"/>
      <c r="G184" s="91" t="n"/>
      <c r="H184" s="93" t="str">
        <f>IF(N184=0,"",IF(NOT(ISNUMBER(F184)),"",IF(ISNUMBER(U184),F184*U184,"UNIDADE A CONFERIR")))</f>
        <v/>
      </c>
      <c r="I184" s="94" t="str">
        <f>IF(Q184=1,INDEX('CDFs'!$F$6:$F$505,P184)&amp;"","")</f>
        <v/>
      </c>
      <c r="J184" s="91" t="n"/>
      <c r="K184" s="91" t="n"/>
      <c r="L184" s="94" t="str">
        <f>IF(N184=0,"",IF(NOT(ISNUMBER(F184)),"Quantidade não informada",IF(F184&lt;=0,"Quantidade não positiva",IF(G184="","Unidade não informada",IF(NOT(ISNUMBER(H184)),"Unidade a conferir",IF(AC184=1,"REVISAR VÍNCULO: soma vinculada maior que a referência do item","OK"))))))</f>
        <v/>
      </c>
      <c r="M184" s="94" t="str">
        <f>IF(N184=0,"",IF(B184="","CDF não informado",IF(Q184=0,"REVISAR VÍNCULO: CDF inexistente",IF(C184="","Item não informado",IF(T184=0,"REVISAR VÍNCULO: item inexistente",IF(AND(X184=1,J184&lt;&gt;"Sim"),"REVISAR VÍNCULO: destinador diferente do MTR",IF(X184=1,"Destinador diferente do MTR (analisado)","OK")))))))</f>
        <v/>
      </c>
      <c r="N184" s="96">
        <f>IF(COUNTA(B184:C184,F184:G184,J184:K184)&gt;0,1,0)</f>
        <v>0</v>
      </c>
      <c r="O184" s="96" t="str">
        <f>IF(B184="","",TRIM(LEFT(B184,FIND(" |",B184&amp;" |")-1)))</f>
        <v/>
      </c>
      <c r="P184" s="96" t="str">
        <f>IF(O184="","",IFERROR(MATCH(O184,'CDFs'!$A$6:$A$505,0),""))</f>
        <v/>
      </c>
      <c r="Q184" s="96">
        <f>IF(P184="",0,IF(INDEX('CDFs'!$S$6:$S$505,P184)=1,1,0))</f>
        <v>0</v>
      </c>
      <c r="R184" s="96" t="str">
        <f>IF(C184="","",TRIM(LEFT(C184,FIND(" |",C184&amp;" |")-1)))</f>
        <v/>
      </c>
      <c r="S184" s="96" t="str">
        <f>IF(R184="","",IFERROR(MATCH(R184,'ITENS_MTR'!$A$6:$A$1005,0),""))</f>
        <v/>
      </c>
      <c r="T184" s="96">
        <f>IF(S184="",0,IF(INDEX('ITENS_MTR'!$R$6:$R$1005,S184)=1,1,0))</f>
        <v>0</v>
      </c>
      <c r="U184" s="96" t="str">
        <f>IF(G184="","",IFERROR(IF(ISNUMBER(INDEX(cfg_fac,MATCH(G184,cfg_units,0))),IF(INDEX(cfg_fac,MATCH(G184,cfg_units,0))&gt;0,INDEX(cfg_fac,MATCH(G184,cfg_units,0)),""),""),""))</f>
        <v/>
      </c>
      <c r="V184" s="96">
        <f>IF(AND(ISNUMBER(F184),ISNUMBER(H184)),IF(H184&gt;0,1,0),0)</f>
        <v>0</v>
      </c>
      <c r="W184" s="96" t="str">
        <f>IF(T184=1,INDEX('ITENS_MTR'!$AU$6:$AU$1005,S184)&amp;"","")</f>
        <v/>
      </c>
      <c r="X184" s="96">
        <f>IF(AND(Q184=1,T184=1,I184&lt;&gt;"",W184&lt;&gt;""),IF(I184&lt;&gt;W184,1,0),0)</f>
        <v>0</v>
      </c>
      <c r="Y184" s="96">
        <f>IF(N184=0,0,IF(OR(Q184=0,T184=0,V184=0,AND(X184=1,J184&lt;&gt;"Sim")),1,0))</f>
        <v>0</v>
      </c>
      <c r="Z184" s="96">
        <f>IF(Q184=1,INDEX('CDFs'!$W$6:$W$505,P184),0)</f>
        <v>0</v>
      </c>
      <c r="AA184" s="96">
        <f>IF(AND(N184=1,Y184=0,Z184=1,J184="Sim"),1,0)</f>
        <v>0</v>
      </c>
      <c r="AB184" s="96">
        <f>IF(AND(N184=1,O184&lt;&gt;"",D184&lt;&gt;""),IF(COUNTIFS($O$6:O184,O184,$D$6:D184,D184)=1,1,0),0)</f>
        <v>0</v>
      </c>
      <c r="AC184" s="96">
        <f>IF(T184=1,INDEX('ITENS_MTR'!$AL$6:$AL$1005,S184),0)</f>
        <v>0</v>
      </c>
    </row>
    <row r="185">
      <c r="A185" s="89" t="inlineStr">
        <is>
          <t>VIN-000180</t>
        </is>
      </c>
      <c r="B185" s="91" t="n"/>
      <c r="C185" s="91" t="n"/>
      <c r="D185" s="94" t="str">
        <f>IF(T185=1,INDEX('ITENS_MTR'!$S$6:$S$1005,S185)&amp;"","")</f>
        <v/>
      </c>
      <c r="E185" s="94" t="str">
        <f>IF(T185=1,INDEX('ITENS_MTR'!$C$6:$C$1005,S185)&amp;"","")</f>
        <v/>
      </c>
      <c r="F185" s="98" t="n"/>
      <c r="G185" s="91" t="n"/>
      <c r="H185" s="93" t="str">
        <f>IF(N185=0,"",IF(NOT(ISNUMBER(F185)),"",IF(ISNUMBER(U185),F185*U185,"UNIDADE A CONFERIR")))</f>
        <v/>
      </c>
      <c r="I185" s="94" t="str">
        <f>IF(Q185=1,INDEX('CDFs'!$F$6:$F$505,P185)&amp;"","")</f>
        <v/>
      </c>
      <c r="J185" s="91" t="n"/>
      <c r="K185" s="91" t="n"/>
      <c r="L185" s="94" t="str">
        <f>IF(N185=0,"",IF(NOT(ISNUMBER(F185)),"Quantidade não informada",IF(F185&lt;=0,"Quantidade não positiva",IF(G185="","Unidade não informada",IF(NOT(ISNUMBER(H185)),"Unidade a conferir",IF(AC185=1,"REVISAR VÍNCULO: soma vinculada maior que a referência do item","OK"))))))</f>
        <v/>
      </c>
      <c r="M185" s="94" t="str">
        <f>IF(N185=0,"",IF(B185="","CDF não informado",IF(Q185=0,"REVISAR VÍNCULO: CDF inexistente",IF(C185="","Item não informado",IF(T185=0,"REVISAR VÍNCULO: item inexistente",IF(AND(X185=1,J185&lt;&gt;"Sim"),"REVISAR VÍNCULO: destinador diferente do MTR",IF(X185=1,"Destinador diferente do MTR (analisado)","OK")))))))</f>
        <v/>
      </c>
      <c r="N185" s="96">
        <f>IF(COUNTA(B185:C185,F185:G185,J185:K185)&gt;0,1,0)</f>
        <v>0</v>
      </c>
      <c r="O185" s="96" t="str">
        <f>IF(B185="","",TRIM(LEFT(B185,FIND(" |",B185&amp;" |")-1)))</f>
        <v/>
      </c>
      <c r="P185" s="96" t="str">
        <f>IF(O185="","",IFERROR(MATCH(O185,'CDFs'!$A$6:$A$505,0),""))</f>
        <v/>
      </c>
      <c r="Q185" s="96">
        <f>IF(P185="",0,IF(INDEX('CDFs'!$S$6:$S$505,P185)=1,1,0))</f>
        <v>0</v>
      </c>
      <c r="R185" s="96" t="str">
        <f>IF(C185="","",TRIM(LEFT(C185,FIND(" |",C185&amp;" |")-1)))</f>
        <v/>
      </c>
      <c r="S185" s="96" t="str">
        <f>IF(R185="","",IFERROR(MATCH(R185,'ITENS_MTR'!$A$6:$A$1005,0),""))</f>
        <v/>
      </c>
      <c r="T185" s="96">
        <f>IF(S185="",0,IF(INDEX('ITENS_MTR'!$R$6:$R$1005,S185)=1,1,0))</f>
        <v>0</v>
      </c>
      <c r="U185" s="96" t="str">
        <f>IF(G185="","",IFERROR(IF(ISNUMBER(INDEX(cfg_fac,MATCH(G185,cfg_units,0))),IF(INDEX(cfg_fac,MATCH(G185,cfg_units,0))&gt;0,INDEX(cfg_fac,MATCH(G185,cfg_units,0)),""),""),""))</f>
        <v/>
      </c>
      <c r="V185" s="96">
        <f>IF(AND(ISNUMBER(F185),ISNUMBER(H185)),IF(H185&gt;0,1,0),0)</f>
        <v>0</v>
      </c>
      <c r="W185" s="96" t="str">
        <f>IF(T185=1,INDEX('ITENS_MTR'!$AU$6:$AU$1005,S185)&amp;"","")</f>
        <v/>
      </c>
      <c r="X185" s="96">
        <f>IF(AND(Q185=1,T185=1,I185&lt;&gt;"",W185&lt;&gt;""),IF(I185&lt;&gt;W185,1,0),0)</f>
        <v>0</v>
      </c>
      <c r="Y185" s="96">
        <f>IF(N185=0,0,IF(OR(Q185=0,T185=0,V185=0,AND(X185=1,J185&lt;&gt;"Sim")),1,0))</f>
        <v>0</v>
      </c>
      <c r="Z185" s="96">
        <f>IF(Q185=1,INDEX('CDFs'!$W$6:$W$505,P185),0)</f>
        <v>0</v>
      </c>
      <c r="AA185" s="96">
        <f>IF(AND(N185=1,Y185=0,Z185=1,J185="Sim"),1,0)</f>
        <v>0</v>
      </c>
      <c r="AB185" s="96">
        <f>IF(AND(N185=1,O185&lt;&gt;"",D185&lt;&gt;""),IF(COUNTIFS($O$6:O185,O185,$D$6:D185,D185)=1,1,0),0)</f>
        <v>0</v>
      </c>
      <c r="AC185" s="96">
        <f>IF(T185=1,INDEX('ITENS_MTR'!$AL$6:$AL$1005,S185),0)</f>
        <v>0</v>
      </c>
    </row>
    <row r="186">
      <c r="A186" s="89" t="inlineStr">
        <is>
          <t>VIN-000181</t>
        </is>
      </c>
      <c r="B186" s="91" t="n"/>
      <c r="C186" s="91" t="n"/>
      <c r="D186" s="94" t="str">
        <f>IF(T186=1,INDEX('ITENS_MTR'!$S$6:$S$1005,S186)&amp;"","")</f>
        <v/>
      </c>
      <c r="E186" s="94" t="str">
        <f>IF(T186=1,INDEX('ITENS_MTR'!$C$6:$C$1005,S186)&amp;"","")</f>
        <v/>
      </c>
      <c r="F186" s="98" t="n"/>
      <c r="G186" s="91" t="n"/>
      <c r="H186" s="93" t="str">
        <f>IF(N186=0,"",IF(NOT(ISNUMBER(F186)),"",IF(ISNUMBER(U186),F186*U186,"UNIDADE A CONFERIR")))</f>
        <v/>
      </c>
      <c r="I186" s="94" t="str">
        <f>IF(Q186=1,INDEX('CDFs'!$F$6:$F$505,P186)&amp;"","")</f>
        <v/>
      </c>
      <c r="J186" s="91" t="n"/>
      <c r="K186" s="91" t="n"/>
      <c r="L186" s="94" t="str">
        <f>IF(N186=0,"",IF(NOT(ISNUMBER(F186)),"Quantidade não informada",IF(F186&lt;=0,"Quantidade não positiva",IF(G186="","Unidade não informada",IF(NOT(ISNUMBER(H186)),"Unidade a conferir",IF(AC186=1,"REVISAR VÍNCULO: soma vinculada maior que a referência do item","OK"))))))</f>
        <v/>
      </c>
      <c r="M186" s="94" t="str">
        <f>IF(N186=0,"",IF(B186="","CDF não informado",IF(Q186=0,"REVISAR VÍNCULO: CDF inexistente",IF(C186="","Item não informado",IF(T186=0,"REVISAR VÍNCULO: item inexistente",IF(AND(X186=1,J186&lt;&gt;"Sim"),"REVISAR VÍNCULO: destinador diferente do MTR",IF(X186=1,"Destinador diferente do MTR (analisado)","OK")))))))</f>
        <v/>
      </c>
      <c r="N186" s="96">
        <f>IF(COUNTA(B186:C186,F186:G186,J186:K186)&gt;0,1,0)</f>
        <v>0</v>
      </c>
      <c r="O186" s="96" t="str">
        <f>IF(B186="","",TRIM(LEFT(B186,FIND(" |",B186&amp;" |")-1)))</f>
        <v/>
      </c>
      <c r="P186" s="96" t="str">
        <f>IF(O186="","",IFERROR(MATCH(O186,'CDFs'!$A$6:$A$505,0),""))</f>
        <v/>
      </c>
      <c r="Q186" s="96">
        <f>IF(P186="",0,IF(INDEX('CDFs'!$S$6:$S$505,P186)=1,1,0))</f>
        <v>0</v>
      </c>
      <c r="R186" s="96" t="str">
        <f>IF(C186="","",TRIM(LEFT(C186,FIND(" |",C186&amp;" |")-1)))</f>
        <v/>
      </c>
      <c r="S186" s="96" t="str">
        <f>IF(R186="","",IFERROR(MATCH(R186,'ITENS_MTR'!$A$6:$A$1005,0),""))</f>
        <v/>
      </c>
      <c r="T186" s="96">
        <f>IF(S186="",0,IF(INDEX('ITENS_MTR'!$R$6:$R$1005,S186)=1,1,0))</f>
        <v>0</v>
      </c>
      <c r="U186" s="96" t="str">
        <f>IF(G186="","",IFERROR(IF(ISNUMBER(INDEX(cfg_fac,MATCH(G186,cfg_units,0))),IF(INDEX(cfg_fac,MATCH(G186,cfg_units,0))&gt;0,INDEX(cfg_fac,MATCH(G186,cfg_units,0)),""),""),""))</f>
        <v/>
      </c>
      <c r="V186" s="96">
        <f>IF(AND(ISNUMBER(F186),ISNUMBER(H186)),IF(H186&gt;0,1,0),0)</f>
        <v>0</v>
      </c>
      <c r="W186" s="96" t="str">
        <f>IF(T186=1,INDEX('ITENS_MTR'!$AU$6:$AU$1005,S186)&amp;"","")</f>
        <v/>
      </c>
      <c r="X186" s="96">
        <f>IF(AND(Q186=1,T186=1,I186&lt;&gt;"",W186&lt;&gt;""),IF(I186&lt;&gt;W186,1,0),0)</f>
        <v>0</v>
      </c>
      <c r="Y186" s="96">
        <f>IF(N186=0,0,IF(OR(Q186=0,T186=0,V186=0,AND(X186=1,J186&lt;&gt;"Sim")),1,0))</f>
        <v>0</v>
      </c>
      <c r="Z186" s="96">
        <f>IF(Q186=1,INDEX('CDFs'!$W$6:$W$505,P186),0)</f>
        <v>0</v>
      </c>
      <c r="AA186" s="96">
        <f>IF(AND(N186=1,Y186=0,Z186=1,J186="Sim"),1,0)</f>
        <v>0</v>
      </c>
      <c r="AB186" s="96">
        <f>IF(AND(N186=1,O186&lt;&gt;"",D186&lt;&gt;""),IF(COUNTIFS($O$6:O186,O186,$D$6:D186,D186)=1,1,0),0)</f>
        <v>0</v>
      </c>
      <c r="AC186" s="96">
        <f>IF(T186=1,INDEX('ITENS_MTR'!$AL$6:$AL$1005,S186),0)</f>
        <v>0</v>
      </c>
    </row>
    <row r="187">
      <c r="A187" s="89" t="inlineStr">
        <is>
          <t>VIN-000182</t>
        </is>
      </c>
      <c r="B187" s="91" t="n"/>
      <c r="C187" s="91" t="n"/>
      <c r="D187" s="94" t="str">
        <f>IF(T187=1,INDEX('ITENS_MTR'!$S$6:$S$1005,S187)&amp;"","")</f>
        <v/>
      </c>
      <c r="E187" s="94" t="str">
        <f>IF(T187=1,INDEX('ITENS_MTR'!$C$6:$C$1005,S187)&amp;"","")</f>
        <v/>
      </c>
      <c r="F187" s="98" t="n"/>
      <c r="G187" s="91" t="n"/>
      <c r="H187" s="93" t="str">
        <f>IF(N187=0,"",IF(NOT(ISNUMBER(F187)),"",IF(ISNUMBER(U187),F187*U187,"UNIDADE A CONFERIR")))</f>
        <v/>
      </c>
      <c r="I187" s="94" t="str">
        <f>IF(Q187=1,INDEX('CDFs'!$F$6:$F$505,P187)&amp;"","")</f>
        <v/>
      </c>
      <c r="J187" s="91" t="n"/>
      <c r="K187" s="91" t="n"/>
      <c r="L187" s="94" t="str">
        <f>IF(N187=0,"",IF(NOT(ISNUMBER(F187)),"Quantidade não informada",IF(F187&lt;=0,"Quantidade não positiva",IF(G187="","Unidade não informada",IF(NOT(ISNUMBER(H187)),"Unidade a conferir",IF(AC187=1,"REVISAR VÍNCULO: soma vinculada maior que a referência do item","OK"))))))</f>
        <v/>
      </c>
      <c r="M187" s="94" t="str">
        <f>IF(N187=0,"",IF(B187="","CDF não informado",IF(Q187=0,"REVISAR VÍNCULO: CDF inexistente",IF(C187="","Item não informado",IF(T187=0,"REVISAR VÍNCULO: item inexistente",IF(AND(X187=1,J187&lt;&gt;"Sim"),"REVISAR VÍNCULO: destinador diferente do MTR",IF(X187=1,"Destinador diferente do MTR (analisado)","OK")))))))</f>
        <v/>
      </c>
      <c r="N187" s="96">
        <f>IF(COUNTA(B187:C187,F187:G187,J187:K187)&gt;0,1,0)</f>
        <v>0</v>
      </c>
      <c r="O187" s="96" t="str">
        <f>IF(B187="","",TRIM(LEFT(B187,FIND(" |",B187&amp;" |")-1)))</f>
        <v/>
      </c>
      <c r="P187" s="96" t="str">
        <f>IF(O187="","",IFERROR(MATCH(O187,'CDFs'!$A$6:$A$505,0),""))</f>
        <v/>
      </c>
      <c r="Q187" s="96">
        <f>IF(P187="",0,IF(INDEX('CDFs'!$S$6:$S$505,P187)=1,1,0))</f>
        <v>0</v>
      </c>
      <c r="R187" s="96" t="str">
        <f>IF(C187="","",TRIM(LEFT(C187,FIND(" |",C187&amp;" |")-1)))</f>
        <v/>
      </c>
      <c r="S187" s="96" t="str">
        <f>IF(R187="","",IFERROR(MATCH(R187,'ITENS_MTR'!$A$6:$A$1005,0),""))</f>
        <v/>
      </c>
      <c r="T187" s="96">
        <f>IF(S187="",0,IF(INDEX('ITENS_MTR'!$R$6:$R$1005,S187)=1,1,0))</f>
        <v>0</v>
      </c>
      <c r="U187" s="96" t="str">
        <f>IF(G187="","",IFERROR(IF(ISNUMBER(INDEX(cfg_fac,MATCH(G187,cfg_units,0))),IF(INDEX(cfg_fac,MATCH(G187,cfg_units,0))&gt;0,INDEX(cfg_fac,MATCH(G187,cfg_units,0)),""),""),""))</f>
        <v/>
      </c>
      <c r="V187" s="96">
        <f>IF(AND(ISNUMBER(F187),ISNUMBER(H187)),IF(H187&gt;0,1,0),0)</f>
        <v>0</v>
      </c>
      <c r="W187" s="96" t="str">
        <f>IF(T187=1,INDEX('ITENS_MTR'!$AU$6:$AU$1005,S187)&amp;"","")</f>
        <v/>
      </c>
      <c r="X187" s="96">
        <f>IF(AND(Q187=1,T187=1,I187&lt;&gt;"",W187&lt;&gt;""),IF(I187&lt;&gt;W187,1,0),0)</f>
        <v>0</v>
      </c>
      <c r="Y187" s="96">
        <f>IF(N187=0,0,IF(OR(Q187=0,T187=0,V187=0,AND(X187=1,J187&lt;&gt;"Sim")),1,0))</f>
        <v>0</v>
      </c>
      <c r="Z187" s="96">
        <f>IF(Q187=1,INDEX('CDFs'!$W$6:$W$505,P187),0)</f>
        <v>0</v>
      </c>
      <c r="AA187" s="96">
        <f>IF(AND(N187=1,Y187=0,Z187=1,J187="Sim"),1,0)</f>
        <v>0</v>
      </c>
      <c r="AB187" s="96">
        <f>IF(AND(N187=1,O187&lt;&gt;"",D187&lt;&gt;""),IF(COUNTIFS($O$6:O187,O187,$D$6:D187,D187)=1,1,0),0)</f>
        <v>0</v>
      </c>
      <c r="AC187" s="96">
        <f>IF(T187=1,INDEX('ITENS_MTR'!$AL$6:$AL$1005,S187),0)</f>
        <v>0</v>
      </c>
    </row>
    <row r="188">
      <c r="A188" s="89" t="inlineStr">
        <is>
          <t>VIN-000183</t>
        </is>
      </c>
      <c r="B188" s="91" t="n"/>
      <c r="C188" s="91" t="n"/>
      <c r="D188" s="94" t="str">
        <f>IF(T188=1,INDEX('ITENS_MTR'!$S$6:$S$1005,S188)&amp;"","")</f>
        <v/>
      </c>
      <c r="E188" s="94" t="str">
        <f>IF(T188=1,INDEX('ITENS_MTR'!$C$6:$C$1005,S188)&amp;"","")</f>
        <v/>
      </c>
      <c r="F188" s="98" t="n"/>
      <c r="G188" s="91" t="n"/>
      <c r="H188" s="93" t="str">
        <f>IF(N188=0,"",IF(NOT(ISNUMBER(F188)),"",IF(ISNUMBER(U188),F188*U188,"UNIDADE A CONFERIR")))</f>
        <v/>
      </c>
      <c r="I188" s="94" t="str">
        <f>IF(Q188=1,INDEX('CDFs'!$F$6:$F$505,P188)&amp;"","")</f>
        <v/>
      </c>
      <c r="J188" s="91" t="n"/>
      <c r="K188" s="91" t="n"/>
      <c r="L188" s="94" t="str">
        <f>IF(N188=0,"",IF(NOT(ISNUMBER(F188)),"Quantidade não informada",IF(F188&lt;=0,"Quantidade não positiva",IF(G188="","Unidade não informada",IF(NOT(ISNUMBER(H188)),"Unidade a conferir",IF(AC188=1,"REVISAR VÍNCULO: soma vinculada maior que a referência do item","OK"))))))</f>
        <v/>
      </c>
      <c r="M188" s="94" t="str">
        <f>IF(N188=0,"",IF(B188="","CDF não informado",IF(Q188=0,"REVISAR VÍNCULO: CDF inexistente",IF(C188="","Item não informado",IF(T188=0,"REVISAR VÍNCULO: item inexistente",IF(AND(X188=1,J188&lt;&gt;"Sim"),"REVISAR VÍNCULO: destinador diferente do MTR",IF(X188=1,"Destinador diferente do MTR (analisado)","OK")))))))</f>
        <v/>
      </c>
      <c r="N188" s="96">
        <f>IF(COUNTA(B188:C188,F188:G188,J188:K188)&gt;0,1,0)</f>
        <v>0</v>
      </c>
      <c r="O188" s="96" t="str">
        <f>IF(B188="","",TRIM(LEFT(B188,FIND(" |",B188&amp;" |")-1)))</f>
        <v/>
      </c>
      <c r="P188" s="96" t="str">
        <f>IF(O188="","",IFERROR(MATCH(O188,'CDFs'!$A$6:$A$505,0),""))</f>
        <v/>
      </c>
      <c r="Q188" s="96">
        <f>IF(P188="",0,IF(INDEX('CDFs'!$S$6:$S$505,P188)=1,1,0))</f>
        <v>0</v>
      </c>
      <c r="R188" s="96" t="str">
        <f>IF(C188="","",TRIM(LEFT(C188,FIND(" |",C188&amp;" |")-1)))</f>
        <v/>
      </c>
      <c r="S188" s="96" t="str">
        <f>IF(R188="","",IFERROR(MATCH(R188,'ITENS_MTR'!$A$6:$A$1005,0),""))</f>
        <v/>
      </c>
      <c r="T188" s="96">
        <f>IF(S188="",0,IF(INDEX('ITENS_MTR'!$R$6:$R$1005,S188)=1,1,0))</f>
        <v>0</v>
      </c>
      <c r="U188" s="96" t="str">
        <f>IF(G188="","",IFERROR(IF(ISNUMBER(INDEX(cfg_fac,MATCH(G188,cfg_units,0))),IF(INDEX(cfg_fac,MATCH(G188,cfg_units,0))&gt;0,INDEX(cfg_fac,MATCH(G188,cfg_units,0)),""),""),""))</f>
        <v/>
      </c>
      <c r="V188" s="96">
        <f>IF(AND(ISNUMBER(F188),ISNUMBER(H188)),IF(H188&gt;0,1,0),0)</f>
        <v>0</v>
      </c>
      <c r="W188" s="96" t="str">
        <f>IF(T188=1,INDEX('ITENS_MTR'!$AU$6:$AU$1005,S188)&amp;"","")</f>
        <v/>
      </c>
      <c r="X188" s="96">
        <f>IF(AND(Q188=1,T188=1,I188&lt;&gt;"",W188&lt;&gt;""),IF(I188&lt;&gt;W188,1,0),0)</f>
        <v>0</v>
      </c>
      <c r="Y188" s="96">
        <f>IF(N188=0,0,IF(OR(Q188=0,T188=0,V188=0,AND(X188=1,J188&lt;&gt;"Sim")),1,0))</f>
        <v>0</v>
      </c>
      <c r="Z188" s="96">
        <f>IF(Q188=1,INDEX('CDFs'!$W$6:$W$505,P188),0)</f>
        <v>0</v>
      </c>
      <c r="AA188" s="96">
        <f>IF(AND(N188=1,Y188=0,Z188=1,J188="Sim"),1,0)</f>
        <v>0</v>
      </c>
      <c r="AB188" s="96">
        <f>IF(AND(N188=1,O188&lt;&gt;"",D188&lt;&gt;""),IF(COUNTIFS($O$6:O188,O188,$D$6:D188,D188)=1,1,0),0)</f>
        <v>0</v>
      </c>
      <c r="AC188" s="96">
        <f>IF(T188=1,INDEX('ITENS_MTR'!$AL$6:$AL$1005,S188),0)</f>
        <v>0</v>
      </c>
    </row>
    <row r="189">
      <c r="A189" s="89" t="inlineStr">
        <is>
          <t>VIN-000184</t>
        </is>
      </c>
      <c r="B189" s="91" t="n"/>
      <c r="C189" s="91" t="n"/>
      <c r="D189" s="94" t="str">
        <f>IF(T189=1,INDEX('ITENS_MTR'!$S$6:$S$1005,S189)&amp;"","")</f>
        <v/>
      </c>
      <c r="E189" s="94" t="str">
        <f>IF(T189=1,INDEX('ITENS_MTR'!$C$6:$C$1005,S189)&amp;"","")</f>
        <v/>
      </c>
      <c r="F189" s="98" t="n"/>
      <c r="G189" s="91" t="n"/>
      <c r="H189" s="93" t="str">
        <f>IF(N189=0,"",IF(NOT(ISNUMBER(F189)),"",IF(ISNUMBER(U189),F189*U189,"UNIDADE A CONFERIR")))</f>
        <v/>
      </c>
      <c r="I189" s="94" t="str">
        <f>IF(Q189=1,INDEX('CDFs'!$F$6:$F$505,P189)&amp;"","")</f>
        <v/>
      </c>
      <c r="J189" s="91" t="n"/>
      <c r="K189" s="91" t="n"/>
      <c r="L189" s="94" t="str">
        <f>IF(N189=0,"",IF(NOT(ISNUMBER(F189)),"Quantidade não informada",IF(F189&lt;=0,"Quantidade não positiva",IF(G189="","Unidade não informada",IF(NOT(ISNUMBER(H189)),"Unidade a conferir",IF(AC189=1,"REVISAR VÍNCULO: soma vinculada maior que a referência do item","OK"))))))</f>
        <v/>
      </c>
      <c r="M189" s="94" t="str">
        <f>IF(N189=0,"",IF(B189="","CDF não informado",IF(Q189=0,"REVISAR VÍNCULO: CDF inexistente",IF(C189="","Item não informado",IF(T189=0,"REVISAR VÍNCULO: item inexistente",IF(AND(X189=1,J189&lt;&gt;"Sim"),"REVISAR VÍNCULO: destinador diferente do MTR",IF(X189=1,"Destinador diferente do MTR (analisado)","OK")))))))</f>
        <v/>
      </c>
      <c r="N189" s="96">
        <f>IF(COUNTA(B189:C189,F189:G189,J189:K189)&gt;0,1,0)</f>
        <v>0</v>
      </c>
      <c r="O189" s="96" t="str">
        <f>IF(B189="","",TRIM(LEFT(B189,FIND(" |",B189&amp;" |")-1)))</f>
        <v/>
      </c>
      <c r="P189" s="96" t="str">
        <f>IF(O189="","",IFERROR(MATCH(O189,'CDFs'!$A$6:$A$505,0),""))</f>
        <v/>
      </c>
      <c r="Q189" s="96">
        <f>IF(P189="",0,IF(INDEX('CDFs'!$S$6:$S$505,P189)=1,1,0))</f>
        <v>0</v>
      </c>
      <c r="R189" s="96" t="str">
        <f>IF(C189="","",TRIM(LEFT(C189,FIND(" |",C189&amp;" |")-1)))</f>
        <v/>
      </c>
      <c r="S189" s="96" t="str">
        <f>IF(R189="","",IFERROR(MATCH(R189,'ITENS_MTR'!$A$6:$A$1005,0),""))</f>
        <v/>
      </c>
      <c r="T189" s="96">
        <f>IF(S189="",0,IF(INDEX('ITENS_MTR'!$R$6:$R$1005,S189)=1,1,0))</f>
        <v>0</v>
      </c>
      <c r="U189" s="96" t="str">
        <f>IF(G189="","",IFERROR(IF(ISNUMBER(INDEX(cfg_fac,MATCH(G189,cfg_units,0))),IF(INDEX(cfg_fac,MATCH(G189,cfg_units,0))&gt;0,INDEX(cfg_fac,MATCH(G189,cfg_units,0)),""),""),""))</f>
        <v/>
      </c>
      <c r="V189" s="96">
        <f>IF(AND(ISNUMBER(F189),ISNUMBER(H189)),IF(H189&gt;0,1,0),0)</f>
        <v>0</v>
      </c>
      <c r="W189" s="96" t="str">
        <f>IF(T189=1,INDEX('ITENS_MTR'!$AU$6:$AU$1005,S189)&amp;"","")</f>
        <v/>
      </c>
      <c r="X189" s="96">
        <f>IF(AND(Q189=1,T189=1,I189&lt;&gt;"",W189&lt;&gt;""),IF(I189&lt;&gt;W189,1,0),0)</f>
        <v>0</v>
      </c>
      <c r="Y189" s="96">
        <f>IF(N189=0,0,IF(OR(Q189=0,T189=0,V189=0,AND(X189=1,J189&lt;&gt;"Sim")),1,0))</f>
        <v>0</v>
      </c>
      <c r="Z189" s="96">
        <f>IF(Q189=1,INDEX('CDFs'!$W$6:$W$505,P189),0)</f>
        <v>0</v>
      </c>
      <c r="AA189" s="96">
        <f>IF(AND(N189=1,Y189=0,Z189=1,J189="Sim"),1,0)</f>
        <v>0</v>
      </c>
      <c r="AB189" s="96">
        <f>IF(AND(N189=1,O189&lt;&gt;"",D189&lt;&gt;""),IF(COUNTIFS($O$6:O189,O189,$D$6:D189,D189)=1,1,0),0)</f>
        <v>0</v>
      </c>
      <c r="AC189" s="96">
        <f>IF(T189=1,INDEX('ITENS_MTR'!$AL$6:$AL$1005,S189),0)</f>
        <v>0</v>
      </c>
    </row>
    <row r="190">
      <c r="A190" s="89" t="inlineStr">
        <is>
          <t>VIN-000185</t>
        </is>
      </c>
      <c r="B190" s="91" t="n"/>
      <c r="C190" s="91" t="n"/>
      <c r="D190" s="94" t="str">
        <f>IF(T190=1,INDEX('ITENS_MTR'!$S$6:$S$1005,S190)&amp;"","")</f>
        <v/>
      </c>
      <c r="E190" s="94" t="str">
        <f>IF(T190=1,INDEX('ITENS_MTR'!$C$6:$C$1005,S190)&amp;"","")</f>
        <v/>
      </c>
      <c r="F190" s="98" t="n"/>
      <c r="G190" s="91" t="n"/>
      <c r="H190" s="93" t="str">
        <f>IF(N190=0,"",IF(NOT(ISNUMBER(F190)),"",IF(ISNUMBER(U190),F190*U190,"UNIDADE A CONFERIR")))</f>
        <v/>
      </c>
      <c r="I190" s="94" t="str">
        <f>IF(Q190=1,INDEX('CDFs'!$F$6:$F$505,P190)&amp;"","")</f>
        <v/>
      </c>
      <c r="J190" s="91" t="n"/>
      <c r="K190" s="91" t="n"/>
      <c r="L190" s="94" t="str">
        <f>IF(N190=0,"",IF(NOT(ISNUMBER(F190)),"Quantidade não informada",IF(F190&lt;=0,"Quantidade não positiva",IF(G190="","Unidade não informada",IF(NOT(ISNUMBER(H190)),"Unidade a conferir",IF(AC190=1,"REVISAR VÍNCULO: soma vinculada maior que a referência do item","OK"))))))</f>
        <v/>
      </c>
      <c r="M190" s="94" t="str">
        <f>IF(N190=0,"",IF(B190="","CDF não informado",IF(Q190=0,"REVISAR VÍNCULO: CDF inexistente",IF(C190="","Item não informado",IF(T190=0,"REVISAR VÍNCULO: item inexistente",IF(AND(X190=1,J190&lt;&gt;"Sim"),"REVISAR VÍNCULO: destinador diferente do MTR",IF(X190=1,"Destinador diferente do MTR (analisado)","OK")))))))</f>
        <v/>
      </c>
      <c r="N190" s="96">
        <f>IF(COUNTA(B190:C190,F190:G190,J190:K190)&gt;0,1,0)</f>
        <v>0</v>
      </c>
      <c r="O190" s="96" t="str">
        <f>IF(B190="","",TRIM(LEFT(B190,FIND(" |",B190&amp;" |")-1)))</f>
        <v/>
      </c>
      <c r="P190" s="96" t="str">
        <f>IF(O190="","",IFERROR(MATCH(O190,'CDFs'!$A$6:$A$505,0),""))</f>
        <v/>
      </c>
      <c r="Q190" s="96">
        <f>IF(P190="",0,IF(INDEX('CDFs'!$S$6:$S$505,P190)=1,1,0))</f>
        <v>0</v>
      </c>
      <c r="R190" s="96" t="str">
        <f>IF(C190="","",TRIM(LEFT(C190,FIND(" |",C190&amp;" |")-1)))</f>
        <v/>
      </c>
      <c r="S190" s="96" t="str">
        <f>IF(R190="","",IFERROR(MATCH(R190,'ITENS_MTR'!$A$6:$A$1005,0),""))</f>
        <v/>
      </c>
      <c r="T190" s="96">
        <f>IF(S190="",0,IF(INDEX('ITENS_MTR'!$R$6:$R$1005,S190)=1,1,0))</f>
        <v>0</v>
      </c>
      <c r="U190" s="96" t="str">
        <f>IF(G190="","",IFERROR(IF(ISNUMBER(INDEX(cfg_fac,MATCH(G190,cfg_units,0))),IF(INDEX(cfg_fac,MATCH(G190,cfg_units,0))&gt;0,INDEX(cfg_fac,MATCH(G190,cfg_units,0)),""),""),""))</f>
        <v/>
      </c>
      <c r="V190" s="96">
        <f>IF(AND(ISNUMBER(F190),ISNUMBER(H190)),IF(H190&gt;0,1,0),0)</f>
        <v>0</v>
      </c>
      <c r="W190" s="96" t="str">
        <f>IF(T190=1,INDEX('ITENS_MTR'!$AU$6:$AU$1005,S190)&amp;"","")</f>
        <v/>
      </c>
      <c r="X190" s="96">
        <f>IF(AND(Q190=1,T190=1,I190&lt;&gt;"",W190&lt;&gt;""),IF(I190&lt;&gt;W190,1,0),0)</f>
        <v>0</v>
      </c>
      <c r="Y190" s="96">
        <f>IF(N190=0,0,IF(OR(Q190=0,T190=0,V190=0,AND(X190=1,J190&lt;&gt;"Sim")),1,0))</f>
        <v>0</v>
      </c>
      <c r="Z190" s="96">
        <f>IF(Q190=1,INDEX('CDFs'!$W$6:$W$505,P190),0)</f>
        <v>0</v>
      </c>
      <c r="AA190" s="96">
        <f>IF(AND(N190=1,Y190=0,Z190=1,J190="Sim"),1,0)</f>
        <v>0</v>
      </c>
      <c r="AB190" s="96">
        <f>IF(AND(N190=1,O190&lt;&gt;"",D190&lt;&gt;""),IF(COUNTIFS($O$6:O190,O190,$D$6:D190,D190)=1,1,0),0)</f>
        <v>0</v>
      </c>
      <c r="AC190" s="96">
        <f>IF(T190=1,INDEX('ITENS_MTR'!$AL$6:$AL$1005,S190),0)</f>
        <v>0</v>
      </c>
    </row>
    <row r="191">
      <c r="A191" s="89" t="inlineStr">
        <is>
          <t>VIN-000186</t>
        </is>
      </c>
      <c r="B191" s="91" t="n"/>
      <c r="C191" s="91" t="n"/>
      <c r="D191" s="94" t="str">
        <f>IF(T191=1,INDEX('ITENS_MTR'!$S$6:$S$1005,S191)&amp;"","")</f>
        <v/>
      </c>
      <c r="E191" s="94" t="str">
        <f>IF(T191=1,INDEX('ITENS_MTR'!$C$6:$C$1005,S191)&amp;"","")</f>
        <v/>
      </c>
      <c r="F191" s="98" t="n"/>
      <c r="G191" s="91" t="n"/>
      <c r="H191" s="93" t="str">
        <f>IF(N191=0,"",IF(NOT(ISNUMBER(F191)),"",IF(ISNUMBER(U191),F191*U191,"UNIDADE A CONFERIR")))</f>
        <v/>
      </c>
      <c r="I191" s="94" t="str">
        <f>IF(Q191=1,INDEX('CDFs'!$F$6:$F$505,P191)&amp;"","")</f>
        <v/>
      </c>
      <c r="J191" s="91" t="n"/>
      <c r="K191" s="91" t="n"/>
      <c r="L191" s="94" t="str">
        <f>IF(N191=0,"",IF(NOT(ISNUMBER(F191)),"Quantidade não informada",IF(F191&lt;=0,"Quantidade não positiva",IF(G191="","Unidade não informada",IF(NOT(ISNUMBER(H191)),"Unidade a conferir",IF(AC191=1,"REVISAR VÍNCULO: soma vinculada maior que a referência do item","OK"))))))</f>
        <v/>
      </c>
      <c r="M191" s="94" t="str">
        <f>IF(N191=0,"",IF(B191="","CDF não informado",IF(Q191=0,"REVISAR VÍNCULO: CDF inexistente",IF(C191="","Item não informado",IF(T191=0,"REVISAR VÍNCULO: item inexistente",IF(AND(X191=1,J191&lt;&gt;"Sim"),"REVISAR VÍNCULO: destinador diferente do MTR",IF(X191=1,"Destinador diferente do MTR (analisado)","OK")))))))</f>
        <v/>
      </c>
      <c r="N191" s="96">
        <f>IF(COUNTA(B191:C191,F191:G191,J191:K191)&gt;0,1,0)</f>
        <v>0</v>
      </c>
      <c r="O191" s="96" t="str">
        <f>IF(B191="","",TRIM(LEFT(B191,FIND(" |",B191&amp;" |")-1)))</f>
        <v/>
      </c>
      <c r="P191" s="96" t="str">
        <f>IF(O191="","",IFERROR(MATCH(O191,'CDFs'!$A$6:$A$505,0),""))</f>
        <v/>
      </c>
      <c r="Q191" s="96">
        <f>IF(P191="",0,IF(INDEX('CDFs'!$S$6:$S$505,P191)=1,1,0))</f>
        <v>0</v>
      </c>
      <c r="R191" s="96" t="str">
        <f>IF(C191="","",TRIM(LEFT(C191,FIND(" |",C191&amp;" |")-1)))</f>
        <v/>
      </c>
      <c r="S191" s="96" t="str">
        <f>IF(R191="","",IFERROR(MATCH(R191,'ITENS_MTR'!$A$6:$A$1005,0),""))</f>
        <v/>
      </c>
      <c r="T191" s="96">
        <f>IF(S191="",0,IF(INDEX('ITENS_MTR'!$R$6:$R$1005,S191)=1,1,0))</f>
        <v>0</v>
      </c>
      <c r="U191" s="96" t="str">
        <f>IF(G191="","",IFERROR(IF(ISNUMBER(INDEX(cfg_fac,MATCH(G191,cfg_units,0))),IF(INDEX(cfg_fac,MATCH(G191,cfg_units,0))&gt;0,INDEX(cfg_fac,MATCH(G191,cfg_units,0)),""),""),""))</f>
        <v/>
      </c>
      <c r="V191" s="96">
        <f>IF(AND(ISNUMBER(F191),ISNUMBER(H191)),IF(H191&gt;0,1,0),0)</f>
        <v>0</v>
      </c>
      <c r="W191" s="96" t="str">
        <f>IF(T191=1,INDEX('ITENS_MTR'!$AU$6:$AU$1005,S191)&amp;"","")</f>
        <v/>
      </c>
      <c r="X191" s="96">
        <f>IF(AND(Q191=1,T191=1,I191&lt;&gt;"",W191&lt;&gt;""),IF(I191&lt;&gt;W191,1,0),0)</f>
        <v>0</v>
      </c>
      <c r="Y191" s="96">
        <f>IF(N191=0,0,IF(OR(Q191=0,T191=0,V191=0,AND(X191=1,J191&lt;&gt;"Sim")),1,0))</f>
        <v>0</v>
      </c>
      <c r="Z191" s="96">
        <f>IF(Q191=1,INDEX('CDFs'!$W$6:$W$505,P191),0)</f>
        <v>0</v>
      </c>
      <c r="AA191" s="96">
        <f>IF(AND(N191=1,Y191=0,Z191=1,J191="Sim"),1,0)</f>
        <v>0</v>
      </c>
      <c r="AB191" s="96">
        <f>IF(AND(N191=1,O191&lt;&gt;"",D191&lt;&gt;""),IF(COUNTIFS($O$6:O191,O191,$D$6:D191,D191)=1,1,0),0)</f>
        <v>0</v>
      </c>
      <c r="AC191" s="96">
        <f>IF(T191=1,INDEX('ITENS_MTR'!$AL$6:$AL$1005,S191),0)</f>
        <v>0</v>
      </c>
    </row>
    <row r="192">
      <c r="A192" s="89" t="inlineStr">
        <is>
          <t>VIN-000187</t>
        </is>
      </c>
      <c r="B192" s="91" t="n"/>
      <c r="C192" s="91" t="n"/>
      <c r="D192" s="94" t="str">
        <f>IF(T192=1,INDEX('ITENS_MTR'!$S$6:$S$1005,S192)&amp;"","")</f>
        <v/>
      </c>
      <c r="E192" s="94" t="str">
        <f>IF(T192=1,INDEX('ITENS_MTR'!$C$6:$C$1005,S192)&amp;"","")</f>
        <v/>
      </c>
      <c r="F192" s="98" t="n"/>
      <c r="G192" s="91" t="n"/>
      <c r="H192" s="93" t="str">
        <f>IF(N192=0,"",IF(NOT(ISNUMBER(F192)),"",IF(ISNUMBER(U192),F192*U192,"UNIDADE A CONFERIR")))</f>
        <v/>
      </c>
      <c r="I192" s="94" t="str">
        <f>IF(Q192=1,INDEX('CDFs'!$F$6:$F$505,P192)&amp;"","")</f>
        <v/>
      </c>
      <c r="J192" s="91" t="n"/>
      <c r="K192" s="91" t="n"/>
      <c r="L192" s="94" t="str">
        <f>IF(N192=0,"",IF(NOT(ISNUMBER(F192)),"Quantidade não informada",IF(F192&lt;=0,"Quantidade não positiva",IF(G192="","Unidade não informada",IF(NOT(ISNUMBER(H192)),"Unidade a conferir",IF(AC192=1,"REVISAR VÍNCULO: soma vinculada maior que a referência do item","OK"))))))</f>
        <v/>
      </c>
      <c r="M192" s="94" t="str">
        <f>IF(N192=0,"",IF(B192="","CDF não informado",IF(Q192=0,"REVISAR VÍNCULO: CDF inexistente",IF(C192="","Item não informado",IF(T192=0,"REVISAR VÍNCULO: item inexistente",IF(AND(X192=1,J192&lt;&gt;"Sim"),"REVISAR VÍNCULO: destinador diferente do MTR",IF(X192=1,"Destinador diferente do MTR (analisado)","OK")))))))</f>
        <v/>
      </c>
      <c r="N192" s="96">
        <f>IF(COUNTA(B192:C192,F192:G192,J192:K192)&gt;0,1,0)</f>
        <v>0</v>
      </c>
      <c r="O192" s="96" t="str">
        <f>IF(B192="","",TRIM(LEFT(B192,FIND(" |",B192&amp;" |")-1)))</f>
        <v/>
      </c>
      <c r="P192" s="96" t="str">
        <f>IF(O192="","",IFERROR(MATCH(O192,'CDFs'!$A$6:$A$505,0),""))</f>
        <v/>
      </c>
      <c r="Q192" s="96">
        <f>IF(P192="",0,IF(INDEX('CDFs'!$S$6:$S$505,P192)=1,1,0))</f>
        <v>0</v>
      </c>
      <c r="R192" s="96" t="str">
        <f>IF(C192="","",TRIM(LEFT(C192,FIND(" |",C192&amp;" |")-1)))</f>
        <v/>
      </c>
      <c r="S192" s="96" t="str">
        <f>IF(R192="","",IFERROR(MATCH(R192,'ITENS_MTR'!$A$6:$A$1005,0),""))</f>
        <v/>
      </c>
      <c r="T192" s="96">
        <f>IF(S192="",0,IF(INDEX('ITENS_MTR'!$R$6:$R$1005,S192)=1,1,0))</f>
        <v>0</v>
      </c>
      <c r="U192" s="96" t="str">
        <f>IF(G192="","",IFERROR(IF(ISNUMBER(INDEX(cfg_fac,MATCH(G192,cfg_units,0))),IF(INDEX(cfg_fac,MATCH(G192,cfg_units,0))&gt;0,INDEX(cfg_fac,MATCH(G192,cfg_units,0)),""),""),""))</f>
        <v/>
      </c>
      <c r="V192" s="96">
        <f>IF(AND(ISNUMBER(F192),ISNUMBER(H192)),IF(H192&gt;0,1,0),0)</f>
        <v>0</v>
      </c>
      <c r="W192" s="96" t="str">
        <f>IF(T192=1,INDEX('ITENS_MTR'!$AU$6:$AU$1005,S192)&amp;"","")</f>
        <v/>
      </c>
      <c r="X192" s="96">
        <f>IF(AND(Q192=1,T192=1,I192&lt;&gt;"",W192&lt;&gt;""),IF(I192&lt;&gt;W192,1,0),0)</f>
        <v>0</v>
      </c>
      <c r="Y192" s="96">
        <f>IF(N192=0,0,IF(OR(Q192=0,T192=0,V192=0,AND(X192=1,J192&lt;&gt;"Sim")),1,0))</f>
        <v>0</v>
      </c>
      <c r="Z192" s="96">
        <f>IF(Q192=1,INDEX('CDFs'!$W$6:$W$505,P192),0)</f>
        <v>0</v>
      </c>
      <c r="AA192" s="96">
        <f>IF(AND(N192=1,Y192=0,Z192=1,J192="Sim"),1,0)</f>
        <v>0</v>
      </c>
      <c r="AB192" s="96">
        <f>IF(AND(N192=1,O192&lt;&gt;"",D192&lt;&gt;""),IF(COUNTIFS($O$6:O192,O192,$D$6:D192,D192)=1,1,0),0)</f>
        <v>0</v>
      </c>
      <c r="AC192" s="96">
        <f>IF(T192=1,INDEX('ITENS_MTR'!$AL$6:$AL$1005,S192),0)</f>
        <v>0</v>
      </c>
    </row>
    <row r="193">
      <c r="A193" s="89" t="inlineStr">
        <is>
          <t>VIN-000188</t>
        </is>
      </c>
      <c r="B193" s="91" t="n"/>
      <c r="C193" s="91" t="n"/>
      <c r="D193" s="94" t="str">
        <f>IF(T193=1,INDEX('ITENS_MTR'!$S$6:$S$1005,S193)&amp;"","")</f>
        <v/>
      </c>
      <c r="E193" s="94" t="str">
        <f>IF(T193=1,INDEX('ITENS_MTR'!$C$6:$C$1005,S193)&amp;"","")</f>
        <v/>
      </c>
      <c r="F193" s="98" t="n"/>
      <c r="G193" s="91" t="n"/>
      <c r="H193" s="93" t="str">
        <f>IF(N193=0,"",IF(NOT(ISNUMBER(F193)),"",IF(ISNUMBER(U193),F193*U193,"UNIDADE A CONFERIR")))</f>
        <v/>
      </c>
      <c r="I193" s="94" t="str">
        <f>IF(Q193=1,INDEX('CDFs'!$F$6:$F$505,P193)&amp;"","")</f>
        <v/>
      </c>
      <c r="J193" s="91" t="n"/>
      <c r="K193" s="91" t="n"/>
      <c r="L193" s="94" t="str">
        <f>IF(N193=0,"",IF(NOT(ISNUMBER(F193)),"Quantidade não informada",IF(F193&lt;=0,"Quantidade não positiva",IF(G193="","Unidade não informada",IF(NOT(ISNUMBER(H193)),"Unidade a conferir",IF(AC193=1,"REVISAR VÍNCULO: soma vinculada maior que a referência do item","OK"))))))</f>
        <v/>
      </c>
      <c r="M193" s="94" t="str">
        <f>IF(N193=0,"",IF(B193="","CDF não informado",IF(Q193=0,"REVISAR VÍNCULO: CDF inexistente",IF(C193="","Item não informado",IF(T193=0,"REVISAR VÍNCULO: item inexistente",IF(AND(X193=1,J193&lt;&gt;"Sim"),"REVISAR VÍNCULO: destinador diferente do MTR",IF(X193=1,"Destinador diferente do MTR (analisado)","OK")))))))</f>
        <v/>
      </c>
      <c r="N193" s="96">
        <f>IF(COUNTA(B193:C193,F193:G193,J193:K193)&gt;0,1,0)</f>
        <v>0</v>
      </c>
      <c r="O193" s="96" t="str">
        <f>IF(B193="","",TRIM(LEFT(B193,FIND(" |",B193&amp;" |")-1)))</f>
        <v/>
      </c>
      <c r="P193" s="96" t="str">
        <f>IF(O193="","",IFERROR(MATCH(O193,'CDFs'!$A$6:$A$505,0),""))</f>
        <v/>
      </c>
      <c r="Q193" s="96">
        <f>IF(P193="",0,IF(INDEX('CDFs'!$S$6:$S$505,P193)=1,1,0))</f>
        <v>0</v>
      </c>
      <c r="R193" s="96" t="str">
        <f>IF(C193="","",TRIM(LEFT(C193,FIND(" |",C193&amp;" |")-1)))</f>
        <v/>
      </c>
      <c r="S193" s="96" t="str">
        <f>IF(R193="","",IFERROR(MATCH(R193,'ITENS_MTR'!$A$6:$A$1005,0),""))</f>
        <v/>
      </c>
      <c r="T193" s="96">
        <f>IF(S193="",0,IF(INDEX('ITENS_MTR'!$R$6:$R$1005,S193)=1,1,0))</f>
        <v>0</v>
      </c>
      <c r="U193" s="96" t="str">
        <f>IF(G193="","",IFERROR(IF(ISNUMBER(INDEX(cfg_fac,MATCH(G193,cfg_units,0))),IF(INDEX(cfg_fac,MATCH(G193,cfg_units,0))&gt;0,INDEX(cfg_fac,MATCH(G193,cfg_units,0)),""),""),""))</f>
        <v/>
      </c>
      <c r="V193" s="96">
        <f>IF(AND(ISNUMBER(F193),ISNUMBER(H193)),IF(H193&gt;0,1,0),0)</f>
        <v>0</v>
      </c>
      <c r="W193" s="96" t="str">
        <f>IF(T193=1,INDEX('ITENS_MTR'!$AU$6:$AU$1005,S193)&amp;"","")</f>
        <v/>
      </c>
      <c r="X193" s="96">
        <f>IF(AND(Q193=1,T193=1,I193&lt;&gt;"",W193&lt;&gt;""),IF(I193&lt;&gt;W193,1,0),0)</f>
        <v>0</v>
      </c>
      <c r="Y193" s="96">
        <f>IF(N193=0,0,IF(OR(Q193=0,T193=0,V193=0,AND(X193=1,J193&lt;&gt;"Sim")),1,0))</f>
        <v>0</v>
      </c>
      <c r="Z193" s="96">
        <f>IF(Q193=1,INDEX('CDFs'!$W$6:$W$505,P193),0)</f>
        <v>0</v>
      </c>
      <c r="AA193" s="96">
        <f>IF(AND(N193=1,Y193=0,Z193=1,J193="Sim"),1,0)</f>
        <v>0</v>
      </c>
      <c r="AB193" s="96">
        <f>IF(AND(N193=1,O193&lt;&gt;"",D193&lt;&gt;""),IF(COUNTIFS($O$6:O193,O193,$D$6:D193,D193)=1,1,0),0)</f>
        <v>0</v>
      </c>
      <c r="AC193" s="96">
        <f>IF(T193=1,INDEX('ITENS_MTR'!$AL$6:$AL$1005,S193),0)</f>
        <v>0</v>
      </c>
    </row>
    <row r="194">
      <c r="A194" s="89" t="inlineStr">
        <is>
          <t>VIN-000189</t>
        </is>
      </c>
      <c r="B194" s="91" t="n"/>
      <c r="C194" s="91" t="n"/>
      <c r="D194" s="94" t="str">
        <f>IF(T194=1,INDEX('ITENS_MTR'!$S$6:$S$1005,S194)&amp;"","")</f>
        <v/>
      </c>
      <c r="E194" s="94" t="str">
        <f>IF(T194=1,INDEX('ITENS_MTR'!$C$6:$C$1005,S194)&amp;"","")</f>
        <v/>
      </c>
      <c r="F194" s="98" t="n"/>
      <c r="G194" s="91" t="n"/>
      <c r="H194" s="93" t="str">
        <f>IF(N194=0,"",IF(NOT(ISNUMBER(F194)),"",IF(ISNUMBER(U194),F194*U194,"UNIDADE A CONFERIR")))</f>
        <v/>
      </c>
      <c r="I194" s="94" t="str">
        <f>IF(Q194=1,INDEX('CDFs'!$F$6:$F$505,P194)&amp;"","")</f>
        <v/>
      </c>
      <c r="J194" s="91" t="n"/>
      <c r="K194" s="91" t="n"/>
      <c r="L194" s="94" t="str">
        <f>IF(N194=0,"",IF(NOT(ISNUMBER(F194)),"Quantidade não informada",IF(F194&lt;=0,"Quantidade não positiva",IF(G194="","Unidade não informada",IF(NOT(ISNUMBER(H194)),"Unidade a conferir",IF(AC194=1,"REVISAR VÍNCULO: soma vinculada maior que a referência do item","OK"))))))</f>
        <v/>
      </c>
      <c r="M194" s="94" t="str">
        <f>IF(N194=0,"",IF(B194="","CDF não informado",IF(Q194=0,"REVISAR VÍNCULO: CDF inexistente",IF(C194="","Item não informado",IF(T194=0,"REVISAR VÍNCULO: item inexistente",IF(AND(X194=1,J194&lt;&gt;"Sim"),"REVISAR VÍNCULO: destinador diferente do MTR",IF(X194=1,"Destinador diferente do MTR (analisado)","OK")))))))</f>
        <v/>
      </c>
      <c r="N194" s="96">
        <f>IF(COUNTA(B194:C194,F194:G194,J194:K194)&gt;0,1,0)</f>
        <v>0</v>
      </c>
      <c r="O194" s="96" t="str">
        <f>IF(B194="","",TRIM(LEFT(B194,FIND(" |",B194&amp;" |")-1)))</f>
        <v/>
      </c>
      <c r="P194" s="96" t="str">
        <f>IF(O194="","",IFERROR(MATCH(O194,'CDFs'!$A$6:$A$505,0),""))</f>
        <v/>
      </c>
      <c r="Q194" s="96">
        <f>IF(P194="",0,IF(INDEX('CDFs'!$S$6:$S$505,P194)=1,1,0))</f>
        <v>0</v>
      </c>
      <c r="R194" s="96" t="str">
        <f>IF(C194="","",TRIM(LEFT(C194,FIND(" |",C194&amp;" |")-1)))</f>
        <v/>
      </c>
      <c r="S194" s="96" t="str">
        <f>IF(R194="","",IFERROR(MATCH(R194,'ITENS_MTR'!$A$6:$A$1005,0),""))</f>
        <v/>
      </c>
      <c r="T194" s="96">
        <f>IF(S194="",0,IF(INDEX('ITENS_MTR'!$R$6:$R$1005,S194)=1,1,0))</f>
        <v>0</v>
      </c>
      <c r="U194" s="96" t="str">
        <f>IF(G194="","",IFERROR(IF(ISNUMBER(INDEX(cfg_fac,MATCH(G194,cfg_units,0))),IF(INDEX(cfg_fac,MATCH(G194,cfg_units,0))&gt;0,INDEX(cfg_fac,MATCH(G194,cfg_units,0)),""),""),""))</f>
        <v/>
      </c>
      <c r="V194" s="96">
        <f>IF(AND(ISNUMBER(F194),ISNUMBER(H194)),IF(H194&gt;0,1,0),0)</f>
        <v>0</v>
      </c>
      <c r="W194" s="96" t="str">
        <f>IF(T194=1,INDEX('ITENS_MTR'!$AU$6:$AU$1005,S194)&amp;"","")</f>
        <v/>
      </c>
      <c r="X194" s="96">
        <f>IF(AND(Q194=1,T194=1,I194&lt;&gt;"",W194&lt;&gt;""),IF(I194&lt;&gt;W194,1,0),0)</f>
        <v>0</v>
      </c>
      <c r="Y194" s="96">
        <f>IF(N194=0,0,IF(OR(Q194=0,T194=0,V194=0,AND(X194=1,J194&lt;&gt;"Sim")),1,0))</f>
        <v>0</v>
      </c>
      <c r="Z194" s="96">
        <f>IF(Q194=1,INDEX('CDFs'!$W$6:$W$505,P194),0)</f>
        <v>0</v>
      </c>
      <c r="AA194" s="96">
        <f>IF(AND(N194=1,Y194=0,Z194=1,J194="Sim"),1,0)</f>
        <v>0</v>
      </c>
      <c r="AB194" s="96">
        <f>IF(AND(N194=1,O194&lt;&gt;"",D194&lt;&gt;""),IF(COUNTIFS($O$6:O194,O194,$D$6:D194,D194)=1,1,0),0)</f>
        <v>0</v>
      </c>
      <c r="AC194" s="96">
        <f>IF(T194=1,INDEX('ITENS_MTR'!$AL$6:$AL$1005,S194),0)</f>
        <v>0</v>
      </c>
    </row>
    <row r="195">
      <c r="A195" s="89" t="inlineStr">
        <is>
          <t>VIN-000190</t>
        </is>
      </c>
      <c r="B195" s="91" t="n"/>
      <c r="C195" s="91" t="n"/>
      <c r="D195" s="94" t="str">
        <f>IF(T195=1,INDEX('ITENS_MTR'!$S$6:$S$1005,S195)&amp;"","")</f>
        <v/>
      </c>
      <c r="E195" s="94" t="str">
        <f>IF(T195=1,INDEX('ITENS_MTR'!$C$6:$C$1005,S195)&amp;"","")</f>
        <v/>
      </c>
      <c r="F195" s="98" t="n"/>
      <c r="G195" s="91" t="n"/>
      <c r="H195" s="93" t="str">
        <f>IF(N195=0,"",IF(NOT(ISNUMBER(F195)),"",IF(ISNUMBER(U195),F195*U195,"UNIDADE A CONFERIR")))</f>
        <v/>
      </c>
      <c r="I195" s="94" t="str">
        <f>IF(Q195=1,INDEX('CDFs'!$F$6:$F$505,P195)&amp;"","")</f>
        <v/>
      </c>
      <c r="J195" s="91" t="n"/>
      <c r="K195" s="91" t="n"/>
      <c r="L195" s="94" t="str">
        <f>IF(N195=0,"",IF(NOT(ISNUMBER(F195)),"Quantidade não informada",IF(F195&lt;=0,"Quantidade não positiva",IF(G195="","Unidade não informada",IF(NOT(ISNUMBER(H195)),"Unidade a conferir",IF(AC195=1,"REVISAR VÍNCULO: soma vinculada maior que a referência do item","OK"))))))</f>
        <v/>
      </c>
      <c r="M195" s="94" t="str">
        <f>IF(N195=0,"",IF(B195="","CDF não informado",IF(Q195=0,"REVISAR VÍNCULO: CDF inexistente",IF(C195="","Item não informado",IF(T195=0,"REVISAR VÍNCULO: item inexistente",IF(AND(X195=1,J195&lt;&gt;"Sim"),"REVISAR VÍNCULO: destinador diferente do MTR",IF(X195=1,"Destinador diferente do MTR (analisado)","OK")))))))</f>
        <v/>
      </c>
      <c r="N195" s="96">
        <f>IF(COUNTA(B195:C195,F195:G195,J195:K195)&gt;0,1,0)</f>
        <v>0</v>
      </c>
      <c r="O195" s="96" t="str">
        <f>IF(B195="","",TRIM(LEFT(B195,FIND(" |",B195&amp;" |")-1)))</f>
        <v/>
      </c>
      <c r="P195" s="96" t="str">
        <f>IF(O195="","",IFERROR(MATCH(O195,'CDFs'!$A$6:$A$505,0),""))</f>
        <v/>
      </c>
      <c r="Q195" s="96">
        <f>IF(P195="",0,IF(INDEX('CDFs'!$S$6:$S$505,P195)=1,1,0))</f>
        <v>0</v>
      </c>
      <c r="R195" s="96" t="str">
        <f>IF(C195="","",TRIM(LEFT(C195,FIND(" |",C195&amp;" |")-1)))</f>
        <v/>
      </c>
      <c r="S195" s="96" t="str">
        <f>IF(R195="","",IFERROR(MATCH(R195,'ITENS_MTR'!$A$6:$A$1005,0),""))</f>
        <v/>
      </c>
      <c r="T195" s="96">
        <f>IF(S195="",0,IF(INDEX('ITENS_MTR'!$R$6:$R$1005,S195)=1,1,0))</f>
        <v>0</v>
      </c>
      <c r="U195" s="96" t="str">
        <f>IF(G195="","",IFERROR(IF(ISNUMBER(INDEX(cfg_fac,MATCH(G195,cfg_units,0))),IF(INDEX(cfg_fac,MATCH(G195,cfg_units,0))&gt;0,INDEX(cfg_fac,MATCH(G195,cfg_units,0)),""),""),""))</f>
        <v/>
      </c>
      <c r="V195" s="96">
        <f>IF(AND(ISNUMBER(F195),ISNUMBER(H195)),IF(H195&gt;0,1,0),0)</f>
        <v>0</v>
      </c>
      <c r="W195" s="96" t="str">
        <f>IF(T195=1,INDEX('ITENS_MTR'!$AU$6:$AU$1005,S195)&amp;"","")</f>
        <v/>
      </c>
      <c r="X195" s="96">
        <f>IF(AND(Q195=1,T195=1,I195&lt;&gt;"",W195&lt;&gt;""),IF(I195&lt;&gt;W195,1,0),0)</f>
        <v>0</v>
      </c>
      <c r="Y195" s="96">
        <f>IF(N195=0,0,IF(OR(Q195=0,T195=0,V195=0,AND(X195=1,J195&lt;&gt;"Sim")),1,0))</f>
        <v>0</v>
      </c>
      <c r="Z195" s="96">
        <f>IF(Q195=1,INDEX('CDFs'!$W$6:$W$505,P195),0)</f>
        <v>0</v>
      </c>
      <c r="AA195" s="96">
        <f>IF(AND(N195=1,Y195=0,Z195=1,J195="Sim"),1,0)</f>
        <v>0</v>
      </c>
      <c r="AB195" s="96">
        <f>IF(AND(N195=1,O195&lt;&gt;"",D195&lt;&gt;""),IF(COUNTIFS($O$6:O195,O195,$D$6:D195,D195)=1,1,0),0)</f>
        <v>0</v>
      </c>
      <c r="AC195" s="96">
        <f>IF(T195=1,INDEX('ITENS_MTR'!$AL$6:$AL$1005,S195),0)</f>
        <v>0</v>
      </c>
    </row>
    <row r="196">
      <c r="A196" s="89" t="inlineStr">
        <is>
          <t>VIN-000191</t>
        </is>
      </c>
      <c r="B196" s="91" t="n"/>
      <c r="C196" s="91" t="n"/>
      <c r="D196" s="94" t="str">
        <f>IF(T196=1,INDEX('ITENS_MTR'!$S$6:$S$1005,S196)&amp;"","")</f>
        <v/>
      </c>
      <c r="E196" s="94" t="str">
        <f>IF(T196=1,INDEX('ITENS_MTR'!$C$6:$C$1005,S196)&amp;"","")</f>
        <v/>
      </c>
      <c r="F196" s="98" t="n"/>
      <c r="G196" s="91" t="n"/>
      <c r="H196" s="93" t="str">
        <f>IF(N196=0,"",IF(NOT(ISNUMBER(F196)),"",IF(ISNUMBER(U196),F196*U196,"UNIDADE A CONFERIR")))</f>
        <v/>
      </c>
      <c r="I196" s="94" t="str">
        <f>IF(Q196=1,INDEX('CDFs'!$F$6:$F$505,P196)&amp;"","")</f>
        <v/>
      </c>
      <c r="J196" s="91" t="n"/>
      <c r="K196" s="91" t="n"/>
      <c r="L196" s="94" t="str">
        <f>IF(N196=0,"",IF(NOT(ISNUMBER(F196)),"Quantidade não informada",IF(F196&lt;=0,"Quantidade não positiva",IF(G196="","Unidade não informada",IF(NOT(ISNUMBER(H196)),"Unidade a conferir",IF(AC196=1,"REVISAR VÍNCULO: soma vinculada maior que a referência do item","OK"))))))</f>
        <v/>
      </c>
      <c r="M196" s="94" t="str">
        <f>IF(N196=0,"",IF(B196="","CDF não informado",IF(Q196=0,"REVISAR VÍNCULO: CDF inexistente",IF(C196="","Item não informado",IF(T196=0,"REVISAR VÍNCULO: item inexistente",IF(AND(X196=1,J196&lt;&gt;"Sim"),"REVISAR VÍNCULO: destinador diferente do MTR",IF(X196=1,"Destinador diferente do MTR (analisado)","OK")))))))</f>
        <v/>
      </c>
      <c r="N196" s="96">
        <f>IF(COUNTA(B196:C196,F196:G196,J196:K196)&gt;0,1,0)</f>
        <v>0</v>
      </c>
      <c r="O196" s="96" t="str">
        <f>IF(B196="","",TRIM(LEFT(B196,FIND(" |",B196&amp;" |")-1)))</f>
        <v/>
      </c>
      <c r="P196" s="96" t="str">
        <f>IF(O196="","",IFERROR(MATCH(O196,'CDFs'!$A$6:$A$505,0),""))</f>
        <v/>
      </c>
      <c r="Q196" s="96">
        <f>IF(P196="",0,IF(INDEX('CDFs'!$S$6:$S$505,P196)=1,1,0))</f>
        <v>0</v>
      </c>
      <c r="R196" s="96" t="str">
        <f>IF(C196="","",TRIM(LEFT(C196,FIND(" |",C196&amp;" |")-1)))</f>
        <v/>
      </c>
      <c r="S196" s="96" t="str">
        <f>IF(R196="","",IFERROR(MATCH(R196,'ITENS_MTR'!$A$6:$A$1005,0),""))</f>
        <v/>
      </c>
      <c r="T196" s="96">
        <f>IF(S196="",0,IF(INDEX('ITENS_MTR'!$R$6:$R$1005,S196)=1,1,0))</f>
        <v>0</v>
      </c>
      <c r="U196" s="96" t="str">
        <f>IF(G196="","",IFERROR(IF(ISNUMBER(INDEX(cfg_fac,MATCH(G196,cfg_units,0))),IF(INDEX(cfg_fac,MATCH(G196,cfg_units,0))&gt;0,INDEX(cfg_fac,MATCH(G196,cfg_units,0)),""),""),""))</f>
        <v/>
      </c>
      <c r="V196" s="96">
        <f>IF(AND(ISNUMBER(F196),ISNUMBER(H196)),IF(H196&gt;0,1,0),0)</f>
        <v>0</v>
      </c>
      <c r="W196" s="96" t="str">
        <f>IF(T196=1,INDEX('ITENS_MTR'!$AU$6:$AU$1005,S196)&amp;"","")</f>
        <v/>
      </c>
      <c r="X196" s="96">
        <f>IF(AND(Q196=1,T196=1,I196&lt;&gt;"",W196&lt;&gt;""),IF(I196&lt;&gt;W196,1,0),0)</f>
        <v>0</v>
      </c>
      <c r="Y196" s="96">
        <f>IF(N196=0,0,IF(OR(Q196=0,T196=0,V196=0,AND(X196=1,J196&lt;&gt;"Sim")),1,0))</f>
        <v>0</v>
      </c>
      <c r="Z196" s="96">
        <f>IF(Q196=1,INDEX('CDFs'!$W$6:$W$505,P196),0)</f>
        <v>0</v>
      </c>
      <c r="AA196" s="96">
        <f>IF(AND(N196=1,Y196=0,Z196=1,J196="Sim"),1,0)</f>
        <v>0</v>
      </c>
      <c r="AB196" s="96">
        <f>IF(AND(N196=1,O196&lt;&gt;"",D196&lt;&gt;""),IF(COUNTIFS($O$6:O196,O196,$D$6:D196,D196)=1,1,0),0)</f>
        <v>0</v>
      </c>
      <c r="AC196" s="96">
        <f>IF(T196=1,INDEX('ITENS_MTR'!$AL$6:$AL$1005,S196),0)</f>
        <v>0</v>
      </c>
    </row>
    <row r="197">
      <c r="A197" s="89" t="inlineStr">
        <is>
          <t>VIN-000192</t>
        </is>
      </c>
      <c r="B197" s="91" t="n"/>
      <c r="C197" s="91" t="n"/>
      <c r="D197" s="94" t="str">
        <f>IF(T197=1,INDEX('ITENS_MTR'!$S$6:$S$1005,S197)&amp;"","")</f>
        <v/>
      </c>
      <c r="E197" s="94" t="str">
        <f>IF(T197=1,INDEX('ITENS_MTR'!$C$6:$C$1005,S197)&amp;"","")</f>
        <v/>
      </c>
      <c r="F197" s="98" t="n"/>
      <c r="G197" s="91" t="n"/>
      <c r="H197" s="93" t="str">
        <f>IF(N197=0,"",IF(NOT(ISNUMBER(F197)),"",IF(ISNUMBER(U197),F197*U197,"UNIDADE A CONFERIR")))</f>
        <v/>
      </c>
      <c r="I197" s="94" t="str">
        <f>IF(Q197=1,INDEX('CDFs'!$F$6:$F$505,P197)&amp;"","")</f>
        <v/>
      </c>
      <c r="J197" s="91" t="n"/>
      <c r="K197" s="91" t="n"/>
      <c r="L197" s="94" t="str">
        <f>IF(N197=0,"",IF(NOT(ISNUMBER(F197)),"Quantidade não informada",IF(F197&lt;=0,"Quantidade não positiva",IF(G197="","Unidade não informada",IF(NOT(ISNUMBER(H197)),"Unidade a conferir",IF(AC197=1,"REVISAR VÍNCULO: soma vinculada maior que a referência do item","OK"))))))</f>
        <v/>
      </c>
      <c r="M197" s="94" t="str">
        <f>IF(N197=0,"",IF(B197="","CDF não informado",IF(Q197=0,"REVISAR VÍNCULO: CDF inexistente",IF(C197="","Item não informado",IF(T197=0,"REVISAR VÍNCULO: item inexistente",IF(AND(X197=1,J197&lt;&gt;"Sim"),"REVISAR VÍNCULO: destinador diferente do MTR",IF(X197=1,"Destinador diferente do MTR (analisado)","OK")))))))</f>
        <v/>
      </c>
      <c r="N197" s="96">
        <f>IF(COUNTA(B197:C197,F197:G197,J197:K197)&gt;0,1,0)</f>
        <v>0</v>
      </c>
      <c r="O197" s="96" t="str">
        <f>IF(B197="","",TRIM(LEFT(B197,FIND(" |",B197&amp;" |")-1)))</f>
        <v/>
      </c>
      <c r="P197" s="96" t="str">
        <f>IF(O197="","",IFERROR(MATCH(O197,'CDFs'!$A$6:$A$505,0),""))</f>
        <v/>
      </c>
      <c r="Q197" s="96">
        <f>IF(P197="",0,IF(INDEX('CDFs'!$S$6:$S$505,P197)=1,1,0))</f>
        <v>0</v>
      </c>
      <c r="R197" s="96" t="str">
        <f>IF(C197="","",TRIM(LEFT(C197,FIND(" |",C197&amp;" |")-1)))</f>
        <v/>
      </c>
      <c r="S197" s="96" t="str">
        <f>IF(R197="","",IFERROR(MATCH(R197,'ITENS_MTR'!$A$6:$A$1005,0),""))</f>
        <v/>
      </c>
      <c r="T197" s="96">
        <f>IF(S197="",0,IF(INDEX('ITENS_MTR'!$R$6:$R$1005,S197)=1,1,0))</f>
        <v>0</v>
      </c>
      <c r="U197" s="96" t="str">
        <f>IF(G197="","",IFERROR(IF(ISNUMBER(INDEX(cfg_fac,MATCH(G197,cfg_units,0))),IF(INDEX(cfg_fac,MATCH(G197,cfg_units,0))&gt;0,INDEX(cfg_fac,MATCH(G197,cfg_units,0)),""),""),""))</f>
        <v/>
      </c>
      <c r="V197" s="96">
        <f>IF(AND(ISNUMBER(F197),ISNUMBER(H197)),IF(H197&gt;0,1,0),0)</f>
        <v>0</v>
      </c>
      <c r="W197" s="96" t="str">
        <f>IF(T197=1,INDEX('ITENS_MTR'!$AU$6:$AU$1005,S197)&amp;"","")</f>
        <v/>
      </c>
      <c r="X197" s="96">
        <f>IF(AND(Q197=1,T197=1,I197&lt;&gt;"",W197&lt;&gt;""),IF(I197&lt;&gt;W197,1,0),0)</f>
        <v>0</v>
      </c>
      <c r="Y197" s="96">
        <f>IF(N197=0,0,IF(OR(Q197=0,T197=0,V197=0,AND(X197=1,J197&lt;&gt;"Sim")),1,0))</f>
        <v>0</v>
      </c>
      <c r="Z197" s="96">
        <f>IF(Q197=1,INDEX('CDFs'!$W$6:$W$505,P197),0)</f>
        <v>0</v>
      </c>
      <c r="AA197" s="96">
        <f>IF(AND(N197=1,Y197=0,Z197=1,J197="Sim"),1,0)</f>
        <v>0</v>
      </c>
      <c r="AB197" s="96">
        <f>IF(AND(N197=1,O197&lt;&gt;"",D197&lt;&gt;""),IF(COUNTIFS($O$6:O197,O197,$D$6:D197,D197)=1,1,0),0)</f>
        <v>0</v>
      </c>
      <c r="AC197" s="96">
        <f>IF(T197=1,INDEX('ITENS_MTR'!$AL$6:$AL$1005,S197),0)</f>
        <v>0</v>
      </c>
    </row>
    <row r="198">
      <c r="A198" s="89" t="inlineStr">
        <is>
          <t>VIN-000193</t>
        </is>
      </c>
      <c r="B198" s="91" t="n"/>
      <c r="C198" s="91" t="n"/>
      <c r="D198" s="94" t="str">
        <f>IF(T198=1,INDEX('ITENS_MTR'!$S$6:$S$1005,S198)&amp;"","")</f>
        <v/>
      </c>
      <c r="E198" s="94" t="str">
        <f>IF(T198=1,INDEX('ITENS_MTR'!$C$6:$C$1005,S198)&amp;"","")</f>
        <v/>
      </c>
      <c r="F198" s="98" t="n"/>
      <c r="G198" s="91" t="n"/>
      <c r="H198" s="93" t="str">
        <f>IF(N198=0,"",IF(NOT(ISNUMBER(F198)),"",IF(ISNUMBER(U198),F198*U198,"UNIDADE A CONFERIR")))</f>
        <v/>
      </c>
      <c r="I198" s="94" t="str">
        <f>IF(Q198=1,INDEX('CDFs'!$F$6:$F$505,P198)&amp;"","")</f>
        <v/>
      </c>
      <c r="J198" s="91" t="n"/>
      <c r="K198" s="91" t="n"/>
      <c r="L198" s="94" t="str">
        <f>IF(N198=0,"",IF(NOT(ISNUMBER(F198)),"Quantidade não informada",IF(F198&lt;=0,"Quantidade não positiva",IF(G198="","Unidade não informada",IF(NOT(ISNUMBER(H198)),"Unidade a conferir",IF(AC198=1,"REVISAR VÍNCULO: soma vinculada maior que a referência do item","OK"))))))</f>
        <v/>
      </c>
      <c r="M198" s="94" t="str">
        <f>IF(N198=0,"",IF(B198="","CDF não informado",IF(Q198=0,"REVISAR VÍNCULO: CDF inexistente",IF(C198="","Item não informado",IF(T198=0,"REVISAR VÍNCULO: item inexistente",IF(AND(X198=1,J198&lt;&gt;"Sim"),"REVISAR VÍNCULO: destinador diferente do MTR",IF(X198=1,"Destinador diferente do MTR (analisado)","OK")))))))</f>
        <v/>
      </c>
      <c r="N198" s="96">
        <f>IF(COUNTA(B198:C198,F198:G198,J198:K198)&gt;0,1,0)</f>
        <v>0</v>
      </c>
      <c r="O198" s="96" t="str">
        <f>IF(B198="","",TRIM(LEFT(B198,FIND(" |",B198&amp;" |")-1)))</f>
        <v/>
      </c>
      <c r="P198" s="96" t="str">
        <f>IF(O198="","",IFERROR(MATCH(O198,'CDFs'!$A$6:$A$505,0),""))</f>
        <v/>
      </c>
      <c r="Q198" s="96">
        <f>IF(P198="",0,IF(INDEX('CDFs'!$S$6:$S$505,P198)=1,1,0))</f>
        <v>0</v>
      </c>
      <c r="R198" s="96" t="str">
        <f>IF(C198="","",TRIM(LEFT(C198,FIND(" |",C198&amp;" |")-1)))</f>
        <v/>
      </c>
      <c r="S198" s="96" t="str">
        <f>IF(R198="","",IFERROR(MATCH(R198,'ITENS_MTR'!$A$6:$A$1005,0),""))</f>
        <v/>
      </c>
      <c r="T198" s="96">
        <f>IF(S198="",0,IF(INDEX('ITENS_MTR'!$R$6:$R$1005,S198)=1,1,0))</f>
        <v>0</v>
      </c>
      <c r="U198" s="96" t="str">
        <f>IF(G198="","",IFERROR(IF(ISNUMBER(INDEX(cfg_fac,MATCH(G198,cfg_units,0))),IF(INDEX(cfg_fac,MATCH(G198,cfg_units,0))&gt;0,INDEX(cfg_fac,MATCH(G198,cfg_units,0)),""),""),""))</f>
        <v/>
      </c>
      <c r="V198" s="96">
        <f>IF(AND(ISNUMBER(F198),ISNUMBER(H198)),IF(H198&gt;0,1,0),0)</f>
        <v>0</v>
      </c>
      <c r="W198" s="96" t="str">
        <f>IF(T198=1,INDEX('ITENS_MTR'!$AU$6:$AU$1005,S198)&amp;"","")</f>
        <v/>
      </c>
      <c r="X198" s="96">
        <f>IF(AND(Q198=1,T198=1,I198&lt;&gt;"",W198&lt;&gt;""),IF(I198&lt;&gt;W198,1,0),0)</f>
        <v>0</v>
      </c>
      <c r="Y198" s="96">
        <f>IF(N198=0,0,IF(OR(Q198=0,T198=0,V198=0,AND(X198=1,J198&lt;&gt;"Sim")),1,0))</f>
        <v>0</v>
      </c>
      <c r="Z198" s="96">
        <f>IF(Q198=1,INDEX('CDFs'!$W$6:$W$505,P198),0)</f>
        <v>0</v>
      </c>
      <c r="AA198" s="96">
        <f>IF(AND(N198=1,Y198=0,Z198=1,J198="Sim"),1,0)</f>
        <v>0</v>
      </c>
      <c r="AB198" s="96">
        <f>IF(AND(N198=1,O198&lt;&gt;"",D198&lt;&gt;""),IF(COUNTIFS($O$6:O198,O198,$D$6:D198,D198)=1,1,0),0)</f>
        <v>0</v>
      </c>
      <c r="AC198" s="96">
        <f>IF(T198=1,INDEX('ITENS_MTR'!$AL$6:$AL$1005,S198),0)</f>
        <v>0</v>
      </c>
    </row>
    <row r="199">
      <c r="A199" s="89" t="inlineStr">
        <is>
          <t>VIN-000194</t>
        </is>
      </c>
      <c r="B199" s="91" t="n"/>
      <c r="C199" s="91" t="n"/>
      <c r="D199" s="94" t="str">
        <f>IF(T199=1,INDEX('ITENS_MTR'!$S$6:$S$1005,S199)&amp;"","")</f>
        <v/>
      </c>
      <c r="E199" s="94" t="str">
        <f>IF(T199=1,INDEX('ITENS_MTR'!$C$6:$C$1005,S199)&amp;"","")</f>
        <v/>
      </c>
      <c r="F199" s="98" t="n"/>
      <c r="G199" s="91" t="n"/>
      <c r="H199" s="93" t="str">
        <f>IF(N199=0,"",IF(NOT(ISNUMBER(F199)),"",IF(ISNUMBER(U199),F199*U199,"UNIDADE A CONFERIR")))</f>
        <v/>
      </c>
      <c r="I199" s="94" t="str">
        <f>IF(Q199=1,INDEX('CDFs'!$F$6:$F$505,P199)&amp;"","")</f>
        <v/>
      </c>
      <c r="J199" s="91" t="n"/>
      <c r="K199" s="91" t="n"/>
      <c r="L199" s="94" t="str">
        <f>IF(N199=0,"",IF(NOT(ISNUMBER(F199)),"Quantidade não informada",IF(F199&lt;=0,"Quantidade não positiva",IF(G199="","Unidade não informada",IF(NOT(ISNUMBER(H199)),"Unidade a conferir",IF(AC199=1,"REVISAR VÍNCULO: soma vinculada maior que a referência do item","OK"))))))</f>
        <v/>
      </c>
      <c r="M199" s="94" t="str">
        <f>IF(N199=0,"",IF(B199="","CDF não informado",IF(Q199=0,"REVISAR VÍNCULO: CDF inexistente",IF(C199="","Item não informado",IF(T199=0,"REVISAR VÍNCULO: item inexistente",IF(AND(X199=1,J199&lt;&gt;"Sim"),"REVISAR VÍNCULO: destinador diferente do MTR",IF(X199=1,"Destinador diferente do MTR (analisado)","OK")))))))</f>
        <v/>
      </c>
      <c r="N199" s="96">
        <f>IF(COUNTA(B199:C199,F199:G199,J199:K199)&gt;0,1,0)</f>
        <v>0</v>
      </c>
      <c r="O199" s="96" t="str">
        <f>IF(B199="","",TRIM(LEFT(B199,FIND(" |",B199&amp;" |")-1)))</f>
        <v/>
      </c>
      <c r="P199" s="96" t="str">
        <f>IF(O199="","",IFERROR(MATCH(O199,'CDFs'!$A$6:$A$505,0),""))</f>
        <v/>
      </c>
      <c r="Q199" s="96">
        <f>IF(P199="",0,IF(INDEX('CDFs'!$S$6:$S$505,P199)=1,1,0))</f>
        <v>0</v>
      </c>
      <c r="R199" s="96" t="str">
        <f>IF(C199="","",TRIM(LEFT(C199,FIND(" |",C199&amp;" |")-1)))</f>
        <v/>
      </c>
      <c r="S199" s="96" t="str">
        <f>IF(R199="","",IFERROR(MATCH(R199,'ITENS_MTR'!$A$6:$A$1005,0),""))</f>
        <v/>
      </c>
      <c r="T199" s="96">
        <f>IF(S199="",0,IF(INDEX('ITENS_MTR'!$R$6:$R$1005,S199)=1,1,0))</f>
        <v>0</v>
      </c>
      <c r="U199" s="96" t="str">
        <f>IF(G199="","",IFERROR(IF(ISNUMBER(INDEX(cfg_fac,MATCH(G199,cfg_units,0))),IF(INDEX(cfg_fac,MATCH(G199,cfg_units,0))&gt;0,INDEX(cfg_fac,MATCH(G199,cfg_units,0)),""),""),""))</f>
        <v/>
      </c>
      <c r="V199" s="96">
        <f>IF(AND(ISNUMBER(F199),ISNUMBER(H199)),IF(H199&gt;0,1,0),0)</f>
        <v>0</v>
      </c>
      <c r="W199" s="96" t="str">
        <f>IF(T199=1,INDEX('ITENS_MTR'!$AU$6:$AU$1005,S199)&amp;"","")</f>
        <v/>
      </c>
      <c r="X199" s="96">
        <f>IF(AND(Q199=1,T199=1,I199&lt;&gt;"",W199&lt;&gt;""),IF(I199&lt;&gt;W199,1,0),0)</f>
        <v>0</v>
      </c>
      <c r="Y199" s="96">
        <f>IF(N199=0,0,IF(OR(Q199=0,T199=0,V199=0,AND(X199=1,J199&lt;&gt;"Sim")),1,0))</f>
        <v>0</v>
      </c>
      <c r="Z199" s="96">
        <f>IF(Q199=1,INDEX('CDFs'!$W$6:$W$505,P199),0)</f>
        <v>0</v>
      </c>
      <c r="AA199" s="96">
        <f>IF(AND(N199=1,Y199=0,Z199=1,J199="Sim"),1,0)</f>
        <v>0</v>
      </c>
      <c r="AB199" s="96">
        <f>IF(AND(N199=1,O199&lt;&gt;"",D199&lt;&gt;""),IF(COUNTIFS($O$6:O199,O199,$D$6:D199,D199)=1,1,0),0)</f>
        <v>0</v>
      </c>
      <c r="AC199" s="96">
        <f>IF(T199=1,INDEX('ITENS_MTR'!$AL$6:$AL$1005,S199),0)</f>
        <v>0</v>
      </c>
    </row>
    <row r="200">
      <c r="A200" s="89" t="inlineStr">
        <is>
          <t>VIN-000195</t>
        </is>
      </c>
      <c r="B200" s="91" t="n"/>
      <c r="C200" s="91" t="n"/>
      <c r="D200" s="94" t="str">
        <f>IF(T200=1,INDEX('ITENS_MTR'!$S$6:$S$1005,S200)&amp;"","")</f>
        <v/>
      </c>
      <c r="E200" s="94" t="str">
        <f>IF(T200=1,INDEX('ITENS_MTR'!$C$6:$C$1005,S200)&amp;"","")</f>
        <v/>
      </c>
      <c r="F200" s="98" t="n"/>
      <c r="G200" s="91" t="n"/>
      <c r="H200" s="93" t="str">
        <f>IF(N200=0,"",IF(NOT(ISNUMBER(F200)),"",IF(ISNUMBER(U200),F200*U200,"UNIDADE A CONFERIR")))</f>
        <v/>
      </c>
      <c r="I200" s="94" t="str">
        <f>IF(Q200=1,INDEX('CDFs'!$F$6:$F$505,P200)&amp;"","")</f>
        <v/>
      </c>
      <c r="J200" s="91" t="n"/>
      <c r="K200" s="91" t="n"/>
      <c r="L200" s="94" t="str">
        <f>IF(N200=0,"",IF(NOT(ISNUMBER(F200)),"Quantidade não informada",IF(F200&lt;=0,"Quantidade não positiva",IF(G200="","Unidade não informada",IF(NOT(ISNUMBER(H200)),"Unidade a conferir",IF(AC200=1,"REVISAR VÍNCULO: soma vinculada maior que a referência do item","OK"))))))</f>
        <v/>
      </c>
      <c r="M200" s="94" t="str">
        <f>IF(N200=0,"",IF(B200="","CDF não informado",IF(Q200=0,"REVISAR VÍNCULO: CDF inexistente",IF(C200="","Item não informado",IF(T200=0,"REVISAR VÍNCULO: item inexistente",IF(AND(X200=1,J200&lt;&gt;"Sim"),"REVISAR VÍNCULO: destinador diferente do MTR",IF(X200=1,"Destinador diferente do MTR (analisado)","OK")))))))</f>
        <v/>
      </c>
      <c r="N200" s="96">
        <f>IF(COUNTA(B200:C200,F200:G200,J200:K200)&gt;0,1,0)</f>
        <v>0</v>
      </c>
      <c r="O200" s="96" t="str">
        <f>IF(B200="","",TRIM(LEFT(B200,FIND(" |",B200&amp;" |")-1)))</f>
        <v/>
      </c>
      <c r="P200" s="96" t="str">
        <f>IF(O200="","",IFERROR(MATCH(O200,'CDFs'!$A$6:$A$505,0),""))</f>
        <v/>
      </c>
      <c r="Q200" s="96">
        <f>IF(P200="",0,IF(INDEX('CDFs'!$S$6:$S$505,P200)=1,1,0))</f>
        <v>0</v>
      </c>
      <c r="R200" s="96" t="str">
        <f>IF(C200="","",TRIM(LEFT(C200,FIND(" |",C200&amp;" |")-1)))</f>
        <v/>
      </c>
      <c r="S200" s="96" t="str">
        <f>IF(R200="","",IFERROR(MATCH(R200,'ITENS_MTR'!$A$6:$A$1005,0),""))</f>
        <v/>
      </c>
      <c r="T200" s="96">
        <f>IF(S200="",0,IF(INDEX('ITENS_MTR'!$R$6:$R$1005,S200)=1,1,0))</f>
        <v>0</v>
      </c>
      <c r="U200" s="96" t="str">
        <f>IF(G200="","",IFERROR(IF(ISNUMBER(INDEX(cfg_fac,MATCH(G200,cfg_units,0))),IF(INDEX(cfg_fac,MATCH(G200,cfg_units,0))&gt;0,INDEX(cfg_fac,MATCH(G200,cfg_units,0)),""),""),""))</f>
        <v/>
      </c>
      <c r="V200" s="96">
        <f>IF(AND(ISNUMBER(F200),ISNUMBER(H200)),IF(H200&gt;0,1,0),0)</f>
        <v>0</v>
      </c>
      <c r="W200" s="96" t="str">
        <f>IF(T200=1,INDEX('ITENS_MTR'!$AU$6:$AU$1005,S200)&amp;"","")</f>
        <v/>
      </c>
      <c r="X200" s="96">
        <f>IF(AND(Q200=1,T200=1,I200&lt;&gt;"",W200&lt;&gt;""),IF(I200&lt;&gt;W200,1,0),0)</f>
        <v>0</v>
      </c>
      <c r="Y200" s="96">
        <f>IF(N200=0,0,IF(OR(Q200=0,T200=0,V200=0,AND(X200=1,J200&lt;&gt;"Sim")),1,0))</f>
        <v>0</v>
      </c>
      <c r="Z200" s="96">
        <f>IF(Q200=1,INDEX('CDFs'!$W$6:$W$505,P200),0)</f>
        <v>0</v>
      </c>
      <c r="AA200" s="96">
        <f>IF(AND(N200=1,Y200=0,Z200=1,J200="Sim"),1,0)</f>
        <v>0</v>
      </c>
      <c r="AB200" s="96">
        <f>IF(AND(N200=1,O200&lt;&gt;"",D200&lt;&gt;""),IF(COUNTIFS($O$6:O200,O200,$D$6:D200,D200)=1,1,0),0)</f>
        <v>0</v>
      </c>
      <c r="AC200" s="96">
        <f>IF(T200=1,INDEX('ITENS_MTR'!$AL$6:$AL$1005,S200),0)</f>
        <v>0</v>
      </c>
    </row>
    <row r="201">
      <c r="A201" s="89" t="inlineStr">
        <is>
          <t>VIN-000196</t>
        </is>
      </c>
      <c r="B201" s="91" t="n"/>
      <c r="C201" s="91" t="n"/>
      <c r="D201" s="94" t="str">
        <f>IF(T201=1,INDEX('ITENS_MTR'!$S$6:$S$1005,S201)&amp;"","")</f>
        <v/>
      </c>
      <c r="E201" s="94" t="str">
        <f>IF(T201=1,INDEX('ITENS_MTR'!$C$6:$C$1005,S201)&amp;"","")</f>
        <v/>
      </c>
      <c r="F201" s="98" t="n"/>
      <c r="G201" s="91" t="n"/>
      <c r="H201" s="93" t="str">
        <f>IF(N201=0,"",IF(NOT(ISNUMBER(F201)),"",IF(ISNUMBER(U201),F201*U201,"UNIDADE A CONFERIR")))</f>
        <v/>
      </c>
      <c r="I201" s="94" t="str">
        <f>IF(Q201=1,INDEX('CDFs'!$F$6:$F$505,P201)&amp;"","")</f>
        <v/>
      </c>
      <c r="J201" s="91" t="n"/>
      <c r="K201" s="91" t="n"/>
      <c r="L201" s="94" t="str">
        <f>IF(N201=0,"",IF(NOT(ISNUMBER(F201)),"Quantidade não informada",IF(F201&lt;=0,"Quantidade não positiva",IF(G201="","Unidade não informada",IF(NOT(ISNUMBER(H201)),"Unidade a conferir",IF(AC201=1,"REVISAR VÍNCULO: soma vinculada maior que a referência do item","OK"))))))</f>
        <v/>
      </c>
      <c r="M201" s="94" t="str">
        <f>IF(N201=0,"",IF(B201="","CDF não informado",IF(Q201=0,"REVISAR VÍNCULO: CDF inexistente",IF(C201="","Item não informado",IF(T201=0,"REVISAR VÍNCULO: item inexistente",IF(AND(X201=1,J201&lt;&gt;"Sim"),"REVISAR VÍNCULO: destinador diferente do MTR",IF(X201=1,"Destinador diferente do MTR (analisado)","OK")))))))</f>
        <v/>
      </c>
      <c r="N201" s="96">
        <f>IF(COUNTA(B201:C201,F201:G201,J201:K201)&gt;0,1,0)</f>
        <v>0</v>
      </c>
      <c r="O201" s="96" t="str">
        <f>IF(B201="","",TRIM(LEFT(B201,FIND(" |",B201&amp;" |")-1)))</f>
        <v/>
      </c>
      <c r="P201" s="96" t="str">
        <f>IF(O201="","",IFERROR(MATCH(O201,'CDFs'!$A$6:$A$505,0),""))</f>
        <v/>
      </c>
      <c r="Q201" s="96">
        <f>IF(P201="",0,IF(INDEX('CDFs'!$S$6:$S$505,P201)=1,1,0))</f>
        <v>0</v>
      </c>
      <c r="R201" s="96" t="str">
        <f>IF(C201="","",TRIM(LEFT(C201,FIND(" |",C201&amp;" |")-1)))</f>
        <v/>
      </c>
      <c r="S201" s="96" t="str">
        <f>IF(R201="","",IFERROR(MATCH(R201,'ITENS_MTR'!$A$6:$A$1005,0),""))</f>
        <v/>
      </c>
      <c r="T201" s="96">
        <f>IF(S201="",0,IF(INDEX('ITENS_MTR'!$R$6:$R$1005,S201)=1,1,0))</f>
        <v>0</v>
      </c>
      <c r="U201" s="96" t="str">
        <f>IF(G201="","",IFERROR(IF(ISNUMBER(INDEX(cfg_fac,MATCH(G201,cfg_units,0))),IF(INDEX(cfg_fac,MATCH(G201,cfg_units,0))&gt;0,INDEX(cfg_fac,MATCH(G201,cfg_units,0)),""),""),""))</f>
        <v/>
      </c>
      <c r="V201" s="96">
        <f>IF(AND(ISNUMBER(F201),ISNUMBER(H201)),IF(H201&gt;0,1,0),0)</f>
        <v>0</v>
      </c>
      <c r="W201" s="96" t="str">
        <f>IF(T201=1,INDEX('ITENS_MTR'!$AU$6:$AU$1005,S201)&amp;"","")</f>
        <v/>
      </c>
      <c r="X201" s="96">
        <f>IF(AND(Q201=1,T201=1,I201&lt;&gt;"",W201&lt;&gt;""),IF(I201&lt;&gt;W201,1,0),0)</f>
        <v>0</v>
      </c>
      <c r="Y201" s="96">
        <f>IF(N201=0,0,IF(OR(Q201=0,T201=0,V201=0,AND(X201=1,J201&lt;&gt;"Sim")),1,0))</f>
        <v>0</v>
      </c>
      <c r="Z201" s="96">
        <f>IF(Q201=1,INDEX('CDFs'!$W$6:$W$505,P201),0)</f>
        <v>0</v>
      </c>
      <c r="AA201" s="96">
        <f>IF(AND(N201=1,Y201=0,Z201=1,J201="Sim"),1,0)</f>
        <v>0</v>
      </c>
      <c r="AB201" s="96">
        <f>IF(AND(N201=1,O201&lt;&gt;"",D201&lt;&gt;""),IF(COUNTIFS($O$6:O201,O201,$D$6:D201,D201)=1,1,0),0)</f>
        <v>0</v>
      </c>
      <c r="AC201" s="96">
        <f>IF(T201=1,INDEX('ITENS_MTR'!$AL$6:$AL$1005,S201),0)</f>
        <v>0</v>
      </c>
    </row>
    <row r="202">
      <c r="A202" s="89" t="inlineStr">
        <is>
          <t>VIN-000197</t>
        </is>
      </c>
      <c r="B202" s="91" t="n"/>
      <c r="C202" s="91" t="n"/>
      <c r="D202" s="94" t="str">
        <f>IF(T202=1,INDEX('ITENS_MTR'!$S$6:$S$1005,S202)&amp;"","")</f>
        <v/>
      </c>
      <c r="E202" s="94" t="str">
        <f>IF(T202=1,INDEX('ITENS_MTR'!$C$6:$C$1005,S202)&amp;"","")</f>
        <v/>
      </c>
      <c r="F202" s="98" t="n"/>
      <c r="G202" s="91" t="n"/>
      <c r="H202" s="93" t="str">
        <f>IF(N202=0,"",IF(NOT(ISNUMBER(F202)),"",IF(ISNUMBER(U202),F202*U202,"UNIDADE A CONFERIR")))</f>
        <v/>
      </c>
      <c r="I202" s="94" t="str">
        <f>IF(Q202=1,INDEX('CDFs'!$F$6:$F$505,P202)&amp;"","")</f>
        <v/>
      </c>
      <c r="J202" s="91" t="n"/>
      <c r="K202" s="91" t="n"/>
      <c r="L202" s="94" t="str">
        <f>IF(N202=0,"",IF(NOT(ISNUMBER(F202)),"Quantidade não informada",IF(F202&lt;=0,"Quantidade não positiva",IF(G202="","Unidade não informada",IF(NOT(ISNUMBER(H202)),"Unidade a conferir",IF(AC202=1,"REVISAR VÍNCULO: soma vinculada maior que a referência do item","OK"))))))</f>
        <v/>
      </c>
      <c r="M202" s="94" t="str">
        <f>IF(N202=0,"",IF(B202="","CDF não informado",IF(Q202=0,"REVISAR VÍNCULO: CDF inexistente",IF(C202="","Item não informado",IF(T202=0,"REVISAR VÍNCULO: item inexistente",IF(AND(X202=1,J202&lt;&gt;"Sim"),"REVISAR VÍNCULO: destinador diferente do MTR",IF(X202=1,"Destinador diferente do MTR (analisado)","OK")))))))</f>
        <v/>
      </c>
      <c r="N202" s="96">
        <f>IF(COUNTA(B202:C202,F202:G202,J202:K202)&gt;0,1,0)</f>
        <v>0</v>
      </c>
      <c r="O202" s="96" t="str">
        <f>IF(B202="","",TRIM(LEFT(B202,FIND(" |",B202&amp;" |")-1)))</f>
        <v/>
      </c>
      <c r="P202" s="96" t="str">
        <f>IF(O202="","",IFERROR(MATCH(O202,'CDFs'!$A$6:$A$505,0),""))</f>
        <v/>
      </c>
      <c r="Q202" s="96">
        <f>IF(P202="",0,IF(INDEX('CDFs'!$S$6:$S$505,P202)=1,1,0))</f>
        <v>0</v>
      </c>
      <c r="R202" s="96" t="str">
        <f>IF(C202="","",TRIM(LEFT(C202,FIND(" |",C202&amp;" |")-1)))</f>
        <v/>
      </c>
      <c r="S202" s="96" t="str">
        <f>IF(R202="","",IFERROR(MATCH(R202,'ITENS_MTR'!$A$6:$A$1005,0),""))</f>
        <v/>
      </c>
      <c r="T202" s="96">
        <f>IF(S202="",0,IF(INDEX('ITENS_MTR'!$R$6:$R$1005,S202)=1,1,0))</f>
        <v>0</v>
      </c>
      <c r="U202" s="96" t="str">
        <f>IF(G202="","",IFERROR(IF(ISNUMBER(INDEX(cfg_fac,MATCH(G202,cfg_units,0))),IF(INDEX(cfg_fac,MATCH(G202,cfg_units,0))&gt;0,INDEX(cfg_fac,MATCH(G202,cfg_units,0)),""),""),""))</f>
        <v/>
      </c>
      <c r="V202" s="96">
        <f>IF(AND(ISNUMBER(F202),ISNUMBER(H202)),IF(H202&gt;0,1,0),0)</f>
        <v>0</v>
      </c>
      <c r="W202" s="96" t="str">
        <f>IF(T202=1,INDEX('ITENS_MTR'!$AU$6:$AU$1005,S202)&amp;"","")</f>
        <v/>
      </c>
      <c r="X202" s="96">
        <f>IF(AND(Q202=1,T202=1,I202&lt;&gt;"",W202&lt;&gt;""),IF(I202&lt;&gt;W202,1,0),0)</f>
        <v>0</v>
      </c>
      <c r="Y202" s="96">
        <f>IF(N202=0,0,IF(OR(Q202=0,T202=0,V202=0,AND(X202=1,J202&lt;&gt;"Sim")),1,0))</f>
        <v>0</v>
      </c>
      <c r="Z202" s="96">
        <f>IF(Q202=1,INDEX('CDFs'!$W$6:$W$505,P202),0)</f>
        <v>0</v>
      </c>
      <c r="AA202" s="96">
        <f>IF(AND(N202=1,Y202=0,Z202=1,J202="Sim"),1,0)</f>
        <v>0</v>
      </c>
      <c r="AB202" s="96">
        <f>IF(AND(N202=1,O202&lt;&gt;"",D202&lt;&gt;""),IF(COUNTIFS($O$6:O202,O202,$D$6:D202,D202)=1,1,0),0)</f>
        <v>0</v>
      </c>
      <c r="AC202" s="96">
        <f>IF(T202=1,INDEX('ITENS_MTR'!$AL$6:$AL$1005,S202),0)</f>
        <v>0</v>
      </c>
    </row>
    <row r="203">
      <c r="A203" s="89" t="inlineStr">
        <is>
          <t>VIN-000198</t>
        </is>
      </c>
      <c r="B203" s="91" t="n"/>
      <c r="C203" s="91" t="n"/>
      <c r="D203" s="94" t="str">
        <f>IF(T203=1,INDEX('ITENS_MTR'!$S$6:$S$1005,S203)&amp;"","")</f>
        <v/>
      </c>
      <c r="E203" s="94" t="str">
        <f>IF(T203=1,INDEX('ITENS_MTR'!$C$6:$C$1005,S203)&amp;"","")</f>
        <v/>
      </c>
      <c r="F203" s="98" t="n"/>
      <c r="G203" s="91" t="n"/>
      <c r="H203" s="93" t="str">
        <f>IF(N203=0,"",IF(NOT(ISNUMBER(F203)),"",IF(ISNUMBER(U203),F203*U203,"UNIDADE A CONFERIR")))</f>
        <v/>
      </c>
      <c r="I203" s="94" t="str">
        <f>IF(Q203=1,INDEX('CDFs'!$F$6:$F$505,P203)&amp;"","")</f>
        <v/>
      </c>
      <c r="J203" s="91" t="n"/>
      <c r="K203" s="91" t="n"/>
      <c r="L203" s="94" t="str">
        <f>IF(N203=0,"",IF(NOT(ISNUMBER(F203)),"Quantidade não informada",IF(F203&lt;=0,"Quantidade não positiva",IF(G203="","Unidade não informada",IF(NOT(ISNUMBER(H203)),"Unidade a conferir",IF(AC203=1,"REVISAR VÍNCULO: soma vinculada maior que a referência do item","OK"))))))</f>
        <v/>
      </c>
      <c r="M203" s="94" t="str">
        <f>IF(N203=0,"",IF(B203="","CDF não informado",IF(Q203=0,"REVISAR VÍNCULO: CDF inexistente",IF(C203="","Item não informado",IF(T203=0,"REVISAR VÍNCULO: item inexistente",IF(AND(X203=1,J203&lt;&gt;"Sim"),"REVISAR VÍNCULO: destinador diferente do MTR",IF(X203=1,"Destinador diferente do MTR (analisado)","OK")))))))</f>
        <v/>
      </c>
      <c r="N203" s="96">
        <f>IF(COUNTA(B203:C203,F203:G203,J203:K203)&gt;0,1,0)</f>
        <v>0</v>
      </c>
      <c r="O203" s="96" t="str">
        <f>IF(B203="","",TRIM(LEFT(B203,FIND(" |",B203&amp;" |")-1)))</f>
        <v/>
      </c>
      <c r="P203" s="96" t="str">
        <f>IF(O203="","",IFERROR(MATCH(O203,'CDFs'!$A$6:$A$505,0),""))</f>
        <v/>
      </c>
      <c r="Q203" s="96">
        <f>IF(P203="",0,IF(INDEX('CDFs'!$S$6:$S$505,P203)=1,1,0))</f>
        <v>0</v>
      </c>
      <c r="R203" s="96" t="str">
        <f>IF(C203="","",TRIM(LEFT(C203,FIND(" |",C203&amp;" |")-1)))</f>
        <v/>
      </c>
      <c r="S203" s="96" t="str">
        <f>IF(R203="","",IFERROR(MATCH(R203,'ITENS_MTR'!$A$6:$A$1005,0),""))</f>
        <v/>
      </c>
      <c r="T203" s="96">
        <f>IF(S203="",0,IF(INDEX('ITENS_MTR'!$R$6:$R$1005,S203)=1,1,0))</f>
        <v>0</v>
      </c>
      <c r="U203" s="96" t="str">
        <f>IF(G203="","",IFERROR(IF(ISNUMBER(INDEX(cfg_fac,MATCH(G203,cfg_units,0))),IF(INDEX(cfg_fac,MATCH(G203,cfg_units,0))&gt;0,INDEX(cfg_fac,MATCH(G203,cfg_units,0)),""),""),""))</f>
        <v/>
      </c>
      <c r="V203" s="96">
        <f>IF(AND(ISNUMBER(F203),ISNUMBER(H203)),IF(H203&gt;0,1,0),0)</f>
        <v>0</v>
      </c>
      <c r="W203" s="96" t="str">
        <f>IF(T203=1,INDEX('ITENS_MTR'!$AU$6:$AU$1005,S203)&amp;"","")</f>
        <v/>
      </c>
      <c r="X203" s="96">
        <f>IF(AND(Q203=1,T203=1,I203&lt;&gt;"",W203&lt;&gt;""),IF(I203&lt;&gt;W203,1,0),0)</f>
        <v>0</v>
      </c>
      <c r="Y203" s="96">
        <f>IF(N203=0,0,IF(OR(Q203=0,T203=0,V203=0,AND(X203=1,J203&lt;&gt;"Sim")),1,0))</f>
        <v>0</v>
      </c>
      <c r="Z203" s="96">
        <f>IF(Q203=1,INDEX('CDFs'!$W$6:$W$505,P203),0)</f>
        <v>0</v>
      </c>
      <c r="AA203" s="96">
        <f>IF(AND(N203=1,Y203=0,Z203=1,J203="Sim"),1,0)</f>
        <v>0</v>
      </c>
      <c r="AB203" s="96">
        <f>IF(AND(N203=1,O203&lt;&gt;"",D203&lt;&gt;""),IF(COUNTIFS($O$6:O203,O203,$D$6:D203,D203)=1,1,0),0)</f>
        <v>0</v>
      </c>
      <c r="AC203" s="96">
        <f>IF(T203=1,INDEX('ITENS_MTR'!$AL$6:$AL$1005,S203),0)</f>
        <v>0</v>
      </c>
    </row>
    <row r="204">
      <c r="A204" s="89" t="inlineStr">
        <is>
          <t>VIN-000199</t>
        </is>
      </c>
      <c r="B204" s="91" t="n"/>
      <c r="C204" s="91" t="n"/>
      <c r="D204" s="94" t="str">
        <f>IF(T204=1,INDEX('ITENS_MTR'!$S$6:$S$1005,S204)&amp;"","")</f>
        <v/>
      </c>
      <c r="E204" s="94" t="str">
        <f>IF(T204=1,INDEX('ITENS_MTR'!$C$6:$C$1005,S204)&amp;"","")</f>
        <v/>
      </c>
      <c r="F204" s="98" t="n"/>
      <c r="G204" s="91" t="n"/>
      <c r="H204" s="93" t="str">
        <f>IF(N204=0,"",IF(NOT(ISNUMBER(F204)),"",IF(ISNUMBER(U204),F204*U204,"UNIDADE A CONFERIR")))</f>
        <v/>
      </c>
      <c r="I204" s="94" t="str">
        <f>IF(Q204=1,INDEX('CDFs'!$F$6:$F$505,P204)&amp;"","")</f>
        <v/>
      </c>
      <c r="J204" s="91" t="n"/>
      <c r="K204" s="91" t="n"/>
      <c r="L204" s="94" t="str">
        <f>IF(N204=0,"",IF(NOT(ISNUMBER(F204)),"Quantidade não informada",IF(F204&lt;=0,"Quantidade não positiva",IF(G204="","Unidade não informada",IF(NOT(ISNUMBER(H204)),"Unidade a conferir",IF(AC204=1,"REVISAR VÍNCULO: soma vinculada maior que a referência do item","OK"))))))</f>
        <v/>
      </c>
      <c r="M204" s="94" t="str">
        <f>IF(N204=0,"",IF(B204="","CDF não informado",IF(Q204=0,"REVISAR VÍNCULO: CDF inexistente",IF(C204="","Item não informado",IF(T204=0,"REVISAR VÍNCULO: item inexistente",IF(AND(X204=1,J204&lt;&gt;"Sim"),"REVISAR VÍNCULO: destinador diferente do MTR",IF(X204=1,"Destinador diferente do MTR (analisado)","OK")))))))</f>
        <v/>
      </c>
      <c r="N204" s="96">
        <f>IF(COUNTA(B204:C204,F204:G204,J204:K204)&gt;0,1,0)</f>
        <v>0</v>
      </c>
      <c r="O204" s="96" t="str">
        <f>IF(B204="","",TRIM(LEFT(B204,FIND(" |",B204&amp;" |")-1)))</f>
        <v/>
      </c>
      <c r="P204" s="96" t="str">
        <f>IF(O204="","",IFERROR(MATCH(O204,'CDFs'!$A$6:$A$505,0),""))</f>
        <v/>
      </c>
      <c r="Q204" s="96">
        <f>IF(P204="",0,IF(INDEX('CDFs'!$S$6:$S$505,P204)=1,1,0))</f>
        <v>0</v>
      </c>
      <c r="R204" s="96" t="str">
        <f>IF(C204="","",TRIM(LEFT(C204,FIND(" |",C204&amp;" |")-1)))</f>
        <v/>
      </c>
      <c r="S204" s="96" t="str">
        <f>IF(R204="","",IFERROR(MATCH(R204,'ITENS_MTR'!$A$6:$A$1005,0),""))</f>
        <v/>
      </c>
      <c r="T204" s="96">
        <f>IF(S204="",0,IF(INDEX('ITENS_MTR'!$R$6:$R$1005,S204)=1,1,0))</f>
        <v>0</v>
      </c>
      <c r="U204" s="96" t="str">
        <f>IF(G204="","",IFERROR(IF(ISNUMBER(INDEX(cfg_fac,MATCH(G204,cfg_units,0))),IF(INDEX(cfg_fac,MATCH(G204,cfg_units,0))&gt;0,INDEX(cfg_fac,MATCH(G204,cfg_units,0)),""),""),""))</f>
        <v/>
      </c>
      <c r="V204" s="96">
        <f>IF(AND(ISNUMBER(F204),ISNUMBER(H204)),IF(H204&gt;0,1,0),0)</f>
        <v>0</v>
      </c>
      <c r="W204" s="96" t="str">
        <f>IF(T204=1,INDEX('ITENS_MTR'!$AU$6:$AU$1005,S204)&amp;"","")</f>
        <v/>
      </c>
      <c r="X204" s="96">
        <f>IF(AND(Q204=1,T204=1,I204&lt;&gt;"",W204&lt;&gt;""),IF(I204&lt;&gt;W204,1,0),0)</f>
        <v>0</v>
      </c>
      <c r="Y204" s="96">
        <f>IF(N204=0,0,IF(OR(Q204=0,T204=0,V204=0,AND(X204=1,J204&lt;&gt;"Sim")),1,0))</f>
        <v>0</v>
      </c>
      <c r="Z204" s="96">
        <f>IF(Q204=1,INDEX('CDFs'!$W$6:$W$505,P204),0)</f>
        <v>0</v>
      </c>
      <c r="AA204" s="96">
        <f>IF(AND(N204=1,Y204=0,Z204=1,J204="Sim"),1,0)</f>
        <v>0</v>
      </c>
      <c r="AB204" s="96">
        <f>IF(AND(N204=1,O204&lt;&gt;"",D204&lt;&gt;""),IF(COUNTIFS($O$6:O204,O204,$D$6:D204,D204)=1,1,0),0)</f>
        <v>0</v>
      </c>
      <c r="AC204" s="96">
        <f>IF(T204=1,INDEX('ITENS_MTR'!$AL$6:$AL$1005,S204),0)</f>
        <v>0</v>
      </c>
    </row>
    <row r="205">
      <c r="A205" s="89" t="inlineStr">
        <is>
          <t>VIN-000200</t>
        </is>
      </c>
      <c r="B205" s="91" t="n"/>
      <c r="C205" s="91" t="n"/>
      <c r="D205" s="94" t="str">
        <f>IF(T205=1,INDEX('ITENS_MTR'!$S$6:$S$1005,S205)&amp;"","")</f>
        <v/>
      </c>
      <c r="E205" s="94" t="str">
        <f>IF(T205=1,INDEX('ITENS_MTR'!$C$6:$C$1005,S205)&amp;"","")</f>
        <v/>
      </c>
      <c r="F205" s="98" t="n"/>
      <c r="G205" s="91" t="n"/>
      <c r="H205" s="93" t="str">
        <f>IF(N205=0,"",IF(NOT(ISNUMBER(F205)),"",IF(ISNUMBER(U205),F205*U205,"UNIDADE A CONFERIR")))</f>
        <v/>
      </c>
      <c r="I205" s="94" t="str">
        <f>IF(Q205=1,INDEX('CDFs'!$F$6:$F$505,P205)&amp;"","")</f>
        <v/>
      </c>
      <c r="J205" s="91" t="n"/>
      <c r="K205" s="91" t="n"/>
      <c r="L205" s="94" t="str">
        <f>IF(N205=0,"",IF(NOT(ISNUMBER(F205)),"Quantidade não informada",IF(F205&lt;=0,"Quantidade não positiva",IF(G205="","Unidade não informada",IF(NOT(ISNUMBER(H205)),"Unidade a conferir",IF(AC205=1,"REVISAR VÍNCULO: soma vinculada maior que a referência do item","OK"))))))</f>
        <v/>
      </c>
      <c r="M205" s="94" t="str">
        <f>IF(N205=0,"",IF(B205="","CDF não informado",IF(Q205=0,"REVISAR VÍNCULO: CDF inexistente",IF(C205="","Item não informado",IF(T205=0,"REVISAR VÍNCULO: item inexistente",IF(AND(X205=1,J205&lt;&gt;"Sim"),"REVISAR VÍNCULO: destinador diferente do MTR",IF(X205=1,"Destinador diferente do MTR (analisado)","OK")))))))</f>
        <v/>
      </c>
      <c r="N205" s="96">
        <f>IF(COUNTA(B205:C205,F205:G205,J205:K205)&gt;0,1,0)</f>
        <v>0</v>
      </c>
      <c r="O205" s="96" t="str">
        <f>IF(B205="","",TRIM(LEFT(B205,FIND(" |",B205&amp;" |")-1)))</f>
        <v/>
      </c>
      <c r="P205" s="96" t="str">
        <f>IF(O205="","",IFERROR(MATCH(O205,'CDFs'!$A$6:$A$505,0),""))</f>
        <v/>
      </c>
      <c r="Q205" s="96">
        <f>IF(P205="",0,IF(INDEX('CDFs'!$S$6:$S$505,P205)=1,1,0))</f>
        <v>0</v>
      </c>
      <c r="R205" s="96" t="str">
        <f>IF(C205="","",TRIM(LEFT(C205,FIND(" |",C205&amp;" |")-1)))</f>
        <v/>
      </c>
      <c r="S205" s="96" t="str">
        <f>IF(R205="","",IFERROR(MATCH(R205,'ITENS_MTR'!$A$6:$A$1005,0),""))</f>
        <v/>
      </c>
      <c r="T205" s="96">
        <f>IF(S205="",0,IF(INDEX('ITENS_MTR'!$R$6:$R$1005,S205)=1,1,0))</f>
        <v>0</v>
      </c>
      <c r="U205" s="96" t="str">
        <f>IF(G205="","",IFERROR(IF(ISNUMBER(INDEX(cfg_fac,MATCH(G205,cfg_units,0))),IF(INDEX(cfg_fac,MATCH(G205,cfg_units,0))&gt;0,INDEX(cfg_fac,MATCH(G205,cfg_units,0)),""),""),""))</f>
        <v/>
      </c>
      <c r="V205" s="96">
        <f>IF(AND(ISNUMBER(F205),ISNUMBER(H205)),IF(H205&gt;0,1,0),0)</f>
        <v>0</v>
      </c>
      <c r="W205" s="96" t="str">
        <f>IF(T205=1,INDEX('ITENS_MTR'!$AU$6:$AU$1005,S205)&amp;"","")</f>
        <v/>
      </c>
      <c r="X205" s="96">
        <f>IF(AND(Q205=1,T205=1,I205&lt;&gt;"",W205&lt;&gt;""),IF(I205&lt;&gt;W205,1,0),0)</f>
        <v>0</v>
      </c>
      <c r="Y205" s="96">
        <f>IF(N205=0,0,IF(OR(Q205=0,T205=0,V205=0,AND(X205=1,J205&lt;&gt;"Sim")),1,0))</f>
        <v>0</v>
      </c>
      <c r="Z205" s="96">
        <f>IF(Q205=1,INDEX('CDFs'!$W$6:$W$505,P205),0)</f>
        <v>0</v>
      </c>
      <c r="AA205" s="96">
        <f>IF(AND(N205=1,Y205=0,Z205=1,J205="Sim"),1,0)</f>
        <v>0</v>
      </c>
      <c r="AB205" s="96">
        <f>IF(AND(N205=1,O205&lt;&gt;"",D205&lt;&gt;""),IF(COUNTIFS($O$6:O205,O205,$D$6:D205,D205)=1,1,0),0)</f>
        <v>0</v>
      </c>
      <c r="AC205" s="96">
        <f>IF(T205=1,INDEX('ITENS_MTR'!$AL$6:$AL$1005,S205),0)</f>
        <v>0</v>
      </c>
    </row>
    <row r="206">
      <c r="A206" s="89" t="inlineStr">
        <is>
          <t>VIN-000201</t>
        </is>
      </c>
      <c r="B206" s="91" t="n"/>
      <c r="C206" s="91" t="n"/>
      <c r="D206" s="94" t="str">
        <f>IF(T206=1,INDEX('ITENS_MTR'!$S$6:$S$1005,S206)&amp;"","")</f>
        <v/>
      </c>
      <c r="E206" s="94" t="str">
        <f>IF(T206=1,INDEX('ITENS_MTR'!$C$6:$C$1005,S206)&amp;"","")</f>
        <v/>
      </c>
      <c r="F206" s="98" t="n"/>
      <c r="G206" s="91" t="n"/>
      <c r="H206" s="93" t="str">
        <f>IF(N206=0,"",IF(NOT(ISNUMBER(F206)),"",IF(ISNUMBER(U206),F206*U206,"UNIDADE A CONFERIR")))</f>
        <v/>
      </c>
      <c r="I206" s="94" t="str">
        <f>IF(Q206=1,INDEX('CDFs'!$F$6:$F$505,P206)&amp;"","")</f>
        <v/>
      </c>
      <c r="J206" s="91" t="n"/>
      <c r="K206" s="91" t="n"/>
      <c r="L206" s="94" t="str">
        <f>IF(N206=0,"",IF(NOT(ISNUMBER(F206)),"Quantidade não informada",IF(F206&lt;=0,"Quantidade não positiva",IF(G206="","Unidade não informada",IF(NOT(ISNUMBER(H206)),"Unidade a conferir",IF(AC206=1,"REVISAR VÍNCULO: soma vinculada maior que a referência do item","OK"))))))</f>
        <v/>
      </c>
      <c r="M206" s="94" t="str">
        <f>IF(N206=0,"",IF(B206="","CDF não informado",IF(Q206=0,"REVISAR VÍNCULO: CDF inexistente",IF(C206="","Item não informado",IF(T206=0,"REVISAR VÍNCULO: item inexistente",IF(AND(X206=1,J206&lt;&gt;"Sim"),"REVISAR VÍNCULO: destinador diferente do MTR",IF(X206=1,"Destinador diferente do MTR (analisado)","OK")))))))</f>
        <v/>
      </c>
      <c r="N206" s="96">
        <f>IF(COUNTA(B206:C206,F206:G206,J206:K206)&gt;0,1,0)</f>
        <v>0</v>
      </c>
      <c r="O206" s="96" t="str">
        <f>IF(B206="","",TRIM(LEFT(B206,FIND(" |",B206&amp;" |")-1)))</f>
        <v/>
      </c>
      <c r="P206" s="96" t="str">
        <f>IF(O206="","",IFERROR(MATCH(O206,'CDFs'!$A$6:$A$505,0),""))</f>
        <v/>
      </c>
      <c r="Q206" s="96">
        <f>IF(P206="",0,IF(INDEX('CDFs'!$S$6:$S$505,P206)=1,1,0))</f>
        <v>0</v>
      </c>
      <c r="R206" s="96" t="str">
        <f>IF(C206="","",TRIM(LEFT(C206,FIND(" |",C206&amp;" |")-1)))</f>
        <v/>
      </c>
      <c r="S206" s="96" t="str">
        <f>IF(R206="","",IFERROR(MATCH(R206,'ITENS_MTR'!$A$6:$A$1005,0),""))</f>
        <v/>
      </c>
      <c r="T206" s="96">
        <f>IF(S206="",0,IF(INDEX('ITENS_MTR'!$R$6:$R$1005,S206)=1,1,0))</f>
        <v>0</v>
      </c>
      <c r="U206" s="96" t="str">
        <f>IF(G206="","",IFERROR(IF(ISNUMBER(INDEX(cfg_fac,MATCH(G206,cfg_units,0))),IF(INDEX(cfg_fac,MATCH(G206,cfg_units,0))&gt;0,INDEX(cfg_fac,MATCH(G206,cfg_units,0)),""),""),""))</f>
        <v/>
      </c>
      <c r="V206" s="96">
        <f>IF(AND(ISNUMBER(F206),ISNUMBER(H206)),IF(H206&gt;0,1,0),0)</f>
        <v>0</v>
      </c>
      <c r="W206" s="96" t="str">
        <f>IF(T206=1,INDEX('ITENS_MTR'!$AU$6:$AU$1005,S206)&amp;"","")</f>
        <v/>
      </c>
      <c r="X206" s="96">
        <f>IF(AND(Q206=1,T206=1,I206&lt;&gt;"",W206&lt;&gt;""),IF(I206&lt;&gt;W206,1,0),0)</f>
        <v>0</v>
      </c>
      <c r="Y206" s="96">
        <f>IF(N206=0,0,IF(OR(Q206=0,T206=0,V206=0,AND(X206=1,J206&lt;&gt;"Sim")),1,0))</f>
        <v>0</v>
      </c>
      <c r="Z206" s="96">
        <f>IF(Q206=1,INDEX('CDFs'!$W$6:$W$505,P206),0)</f>
        <v>0</v>
      </c>
      <c r="AA206" s="96">
        <f>IF(AND(N206=1,Y206=0,Z206=1,J206="Sim"),1,0)</f>
        <v>0</v>
      </c>
      <c r="AB206" s="96">
        <f>IF(AND(N206=1,O206&lt;&gt;"",D206&lt;&gt;""),IF(COUNTIFS($O$6:O206,O206,$D$6:D206,D206)=1,1,0),0)</f>
        <v>0</v>
      </c>
      <c r="AC206" s="96">
        <f>IF(T206=1,INDEX('ITENS_MTR'!$AL$6:$AL$1005,S206),0)</f>
        <v>0</v>
      </c>
    </row>
    <row r="207">
      <c r="A207" s="89" t="inlineStr">
        <is>
          <t>VIN-000202</t>
        </is>
      </c>
      <c r="B207" s="91" t="n"/>
      <c r="C207" s="91" t="n"/>
      <c r="D207" s="94" t="str">
        <f>IF(T207=1,INDEX('ITENS_MTR'!$S$6:$S$1005,S207)&amp;"","")</f>
        <v/>
      </c>
      <c r="E207" s="94" t="str">
        <f>IF(T207=1,INDEX('ITENS_MTR'!$C$6:$C$1005,S207)&amp;"","")</f>
        <v/>
      </c>
      <c r="F207" s="98" t="n"/>
      <c r="G207" s="91" t="n"/>
      <c r="H207" s="93" t="str">
        <f>IF(N207=0,"",IF(NOT(ISNUMBER(F207)),"",IF(ISNUMBER(U207),F207*U207,"UNIDADE A CONFERIR")))</f>
        <v/>
      </c>
      <c r="I207" s="94" t="str">
        <f>IF(Q207=1,INDEX('CDFs'!$F$6:$F$505,P207)&amp;"","")</f>
        <v/>
      </c>
      <c r="J207" s="91" t="n"/>
      <c r="K207" s="91" t="n"/>
      <c r="L207" s="94" t="str">
        <f>IF(N207=0,"",IF(NOT(ISNUMBER(F207)),"Quantidade não informada",IF(F207&lt;=0,"Quantidade não positiva",IF(G207="","Unidade não informada",IF(NOT(ISNUMBER(H207)),"Unidade a conferir",IF(AC207=1,"REVISAR VÍNCULO: soma vinculada maior que a referência do item","OK"))))))</f>
        <v/>
      </c>
      <c r="M207" s="94" t="str">
        <f>IF(N207=0,"",IF(B207="","CDF não informado",IF(Q207=0,"REVISAR VÍNCULO: CDF inexistente",IF(C207="","Item não informado",IF(T207=0,"REVISAR VÍNCULO: item inexistente",IF(AND(X207=1,J207&lt;&gt;"Sim"),"REVISAR VÍNCULO: destinador diferente do MTR",IF(X207=1,"Destinador diferente do MTR (analisado)","OK")))))))</f>
        <v/>
      </c>
      <c r="N207" s="96">
        <f>IF(COUNTA(B207:C207,F207:G207,J207:K207)&gt;0,1,0)</f>
        <v>0</v>
      </c>
      <c r="O207" s="96" t="str">
        <f>IF(B207="","",TRIM(LEFT(B207,FIND(" |",B207&amp;" |")-1)))</f>
        <v/>
      </c>
      <c r="P207" s="96" t="str">
        <f>IF(O207="","",IFERROR(MATCH(O207,'CDFs'!$A$6:$A$505,0),""))</f>
        <v/>
      </c>
      <c r="Q207" s="96">
        <f>IF(P207="",0,IF(INDEX('CDFs'!$S$6:$S$505,P207)=1,1,0))</f>
        <v>0</v>
      </c>
      <c r="R207" s="96" t="str">
        <f>IF(C207="","",TRIM(LEFT(C207,FIND(" |",C207&amp;" |")-1)))</f>
        <v/>
      </c>
      <c r="S207" s="96" t="str">
        <f>IF(R207="","",IFERROR(MATCH(R207,'ITENS_MTR'!$A$6:$A$1005,0),""))</f>
        <v/>
      </c>
      <c r="T207" s="96">
        <f>IF(S207="",0,IF(INDEX('ITENS_MTR'!$R$6:$R$1005,S207)=1,1,0))</f>
        <v>0</v>
      </c>
      <c r="U207" s="96" t="str">
        <f>IF(G207="","",IFERROR(IF(ISNUMBER(INDEX(cfg_fac,MATCH(G207,cfg_units,0))),IF(INDEX(cfg_fac,MATCH(G207,cfg_units,0))&gt;0,INDEX(cfg_fac,MATCH(G207,cfg_units,0)),""),""),""))</f>
        <v/>
      </c>
      <c r="V207" s="96">
        <f>IF(AND(ISNUMBER(F207),ISNUMBER(H207)),IF(H207&gt;0,1,0),0)</f>
        <v>0</v>
      </c>
      <c r="W207" s="96" t="str">
        <f>IF(T207=1,INDEX('ITENS_MTR'!$AU$6:$AU$1005,S207)&amp;"","")</f>
        <v/>
      </c>
      <c r="X207" s="96">
        <f>IF(AND(Q207=1,T207=1,I207&lt;&gt;"",W207&lt;&gt;""),IF(I207&lt;&gt;W207,1,0),0)</f>
        <v>0</v>
      </c>
      <c r="Y207" s="96">
        <f>IF(N207=0,0,IF(OR(Q207=0,T207=0,V207=0,AND(X207=1,J207&lt;&gt;"Sim")),1,0))</f>
        <v>0</v>
      </c>
      <c r="Z207" s="96">
        <f>IF(Q207=1,INDEX('CDFs'!$W$6:$W$505,P207),0)</f>
        <v>0</v>
      </c>
      <c r="AA207" s="96">
        <f>IF(AND(N207=1,Y207=0,Z207=1,J207="Sim"),1,0)</f>
        <v>0</v>
      </c>
      <c r="AB207" s="96">
        <f>IF(AND(N207=1,O207&lt;&gt;"",D207&lt;&gt;""),IF(COUNTIFS($O$6:O207,O207,$D$6:D207,D207)=1,1,0),0)</f>
        <v>0</v>
      </c>
      <c r="AC207" s="96">
        <f>IF(T207=1,INDEX('ITENS_MTR'!$AL$6:$AL$1005,S207),0)</f>
        <v>0</v>
      </c>
    </row>
    <row r="208">
      <c r="A208" s="89" t="inlineStr">
        <is>
          <t>VIN-000203</t>
        </is>
      </c>
      <c r="B208" s="91" t="n"/>
      <c r="C208" s="91" t="n"/>
      <c r="D208" s="94" t="str">
        <f>IF(T208=1,INDEX('ITENS_MTR'!$S$6:$S$1005,S208)&amp;"","")</f>
        <v/>
      </c>
      <c r="E208" s="94" t="str">
        <f>IF(T208=1,INDEX('ITENS_MTR'!$C$6:$C$1005,S208)&amp;"","")</f>
        <v/>
      </c>
      <c r="F208" s="98" t="n"/>
      <c r="G208" s="91" t="n"/>
      <c r="H208" s="93" t="str">
        <f>IF(N208=0,"",IF(NOT(ISNUMBER(F208)),"",IF(ISNUMBER(U208),F208*U208,"UNIDADE A CONFERIR")))</f>
        <v/>
      </c>
      <c r="I208" s="94" t="str">
        <f>IF(Q208=1,INDEX('CDFs'!$F$6:$F$505,P208)&amp;"","")</f>
        <v/>
      </c>
      <c r="J208" s="91" t="n"/>
      <c r="K208" s="91" t="n"/>
      <c r="L208" s="94" t="str">
        <f>IF(N208=0,"",IF(NOT(ISNUMBER(F208)),"Quantidade não informada",IF(F208&lt;=0,"Quantidade não positiva",IF(G208="","Unidade não informada",IF(NOT(ISNUMBER(H208)),"Unidade a conferir",IF(AC208=1,"REVISAR VÍNCULO: soma vinculada maior que a referência do item","OK"))))))</f>
        <v/>
      </c>
      <c r="M208" s="94" t="str">
        <f>IF(N208=0,"",IF(B208="","CDF não informado",IF(Q208=0,"REVISAR VÍNCULO: CDF inexistente",IF(C208="","Item não informado",IF(T208=0,"REVISAR VÍNCULO: item inexistente",IF(AND(X208=1,J208&lt;&gt;"Sim"),"REVISAR VÍNCULO: destinador diferente do MTR",IF(X208=1,"Destinador diferente do MTR (analisado)","OK")))))))</f>
        <v/>
      </c>
      <c r="N208" s="96">
        <f>IF(COUNTA(B208:C208,F208:G208,J208:K208)&gt;0,1,0)</f>
        <v>0</v>
      </c>
      <c r="O208" s="96" t="str">
        <f>IF(B208="","",TRIM(LEFT(B208,FIND(" |",B208&amp;" |")-1)))</f>
        <v/>
      </c>
      <c r="P208" s="96" t="str">
        <f>IF(O208="","",IFERROR(MATCH(O208,'CDFs'!$A$6:$A$505,0),""))</f>
        <v/>
      </c>
      <c r="Q208" s="96">
        <f>IF(P208="",0,IF(INDEX('CDFs'!$S$6:$S$505,P208)=1,1,0))</f>
        <v>0</v>
      </c>
      <c r="R208" s="96" t="str">
        <f>IF(C208="","",TRIM(LEFT(C208,FIND(" |",C208&amp;" |")-1)))</f>
        <v/>
      </c>
      <c r="S208" s="96" t="str">
        <f>IF(R208="","",IFERROR(MATCH(R208,'ITENS_MTR'!$A$6:$A$1005,0),""))</f>
        <v/>
      </c>
      <c r="T208" s="96">
        <f>IF(S208="",0,IF(INDEX('ITENS_MTR'!$R$6:$R$1005,S208)=1,1,0))</f>
        <v>0</v>
      </c>
      <c r="U208" s="96" t="str">
        <f>IF(G208="","",IFERROR(IF(ISNUMBER(INDEX(cfg_fac,MATCH(G208,cfg_units,0))),IF(INDEX(cfg_fac,MATCH(G208,cfg_units,0))&gt;0,INDEX(cfg_fac,MATCH(G208,cfg_units,0)),""),""),""))</f>
        <v/>
      </c>
      <c r="V208" s="96">
        <f>IF(AND(ISNUMBER(F208),ISNUMBER(H208)),IF(H208&gt;0,1,0),0)</f>
        <v>0</v>
      </c>
      <c r="W208" s="96" t="str">
        <f>IF(T208=1,INDEX('ITENS_MTR'!$AU$6:$AU$1005,S208)&amp;"","")</f>
        <v/>
      </c>
      <c r="X208" s="96">
        <f>IF(AND(Q208=1,T208=1,I208&lt;&gt;"",W208&lt;&gt;""),IF(I208&lt;&gt;W208,1,0),0)</f>
        <v>0</v>
      </c>
      <c r="Y208" s="96">
        <f>IF(N208=0,0,IF(OR(Q208=0,T208=0,V208=0,AND(X208=1,J208&lt;&gt;"Sim")),1,0))</f>
        <v>0</v>
      </c>
      <c r="Z208" s="96">
        <f>IF(Q208=1,INDEX('CDFs'!$W$6:$W$505,P208),0)</f>
        <v>0</v>
      </c>
      <c r="AA208" s="96">
        <f>IF(AND(N208=1,Y208=0,Z208=1,J208="Sim"),1,0)</f>
        <v>0</v>
      </c>
      <c r="AB208" s="96">
        <f>IF(AND(N208=1,O208&lt;&gt;"",D208&lt;&gt;""),IF(COUNTIFS($O$6:O208,O208,$D$6:D208,D208)=1,1,0),0)</f>
        <v>0</v>
      </c>
      <c r="AC208" s="96">
        <f>IF(T208=1,INDEX('ITENS_MTR'!$AL$6:$AL$1005,S208),0)</f>
        <v>0</v>
      </c>
    </row>
    <row r="209">
      <c r="A209" s="89" t="inlineStr">
        <is>
          <t>VIN-000204</t>
        </is>
      </c>
      <c r="B209" s="91" t="n"/>
      <c r="C209" s="91" t="n"/>
      <c r="D209" s="94" t="str">
        <f>IF(T209=1,INDEX('ITENS_MTR'!$S$6:$S$1005,S209)&amp;"","")</f>
        <v/>
      </c>
      <c r="E209" s="94" t="str">
        <f>IF(T209=1,INDEX('ITENS_MTR'!$C$6:$C$1005,S209)&amp;"","")</f>
        <v/>
      </c>
      <c r="F209" s="98" t="n"/>
      <c r="G209" s="91" t="n"/>
      <c r="H209" s="93" t="str">
        <f>IF(N209=0,"",IF(NOT(ISNUMBER(F209)),"",IF(ISNUMBER(U209),F209*U209,"UNIDADE A CONFERIR")))</f>
        <v/>
      </c>
      <c r="I209" s="94" t="str">
        <f>IF(Q209=1,INDEX('CDFs'!$F$6:$F$505,P209)&amp;"","")</f>
        <v/>
      </c>
      <c r="J209" s="91" t="n"/>
      <c r="K209" s="91" t="n"/>
      <c r="L209" s="94" t="str">
        <f>IF(N209=0,"",IF(NOT(ISNUMBER(F209)),"Quantidade não informada",IF(F209&lt;=0,"Quantidade não positiva",IF(G209="","Unidade não informada",IF(NOT(ISNUMBER(H209)),"Unidade a conferir",IF(AC209=1,"REVISAR VÍNCULO: soma vinculada maior que a referência do item","OK"))))))</f>
        <v/>
      </c>
      <c r="M209" s="94" t="str">
        <f>IF(N209=0,"",IF(B209="","CDF não informado",IF(Q209=0,"REVISAR VÍNCULO: CDF inexistente",IF(C209="","Item não informado",IF(T209=0,"REVISAR VÍNCULO: item inexistente",IF(AND(X209=1,J209&lt;&gt;"Sim"),"REVISAR VÍNCULO: destinador diferente do MTR",IF(X209=1,"Destinador diferente do MTR (analisado)","OK")))))))</f>
        <v/>
      </c>
      <c r="N209" s="96">
        <f>IF(COUNTA(B209:C209,F209:G209,J209:K209)&gt;0,1,0)</f>
        <v>0</v>
      </c>
      <c r="O209" s="96" t="str">
        <f>IF(B209="","",TRIM(LEFT(B209,FIND(" |",B209&amp;" |")-1)))</f>
        <v/>
      </c>
      <c r="P209" s="96" t="str">
        <f>IF(O209="","",IFERROR(MATCH(O209,'CDFs'!$A$6:$A$505,0),""))</f>
        <v/>
      </c>
      <c r="Q209" s="96">
        <f>IF(P209="",0,IF(INDEX('CDFs'!$S$6:$S$505,P209)=1,1,0))</f>
        <v>0</v>
      </c>
      <c r="R209" s="96" t="str">
        <f>IF(C209="","",TRIM(LEFT(C209,FIND(" |",C209&amp;" |")-1)))</f>
        <v/>
      </c>
      <c r="S209" s="96" t="str">
        <f>IF(R209="","",IFERROR(MATCH(R209,'ITENS_MTR'!$A$6:$A$1005,0),""))</f>
        <v/>
      </c>
      <c r="T209" s="96">
        <f>IF(S209="",0,IF(INDEX('ITENS_MTR'!$R$6:$R$1005,S209)=1,1,0))</f>
        <v>0</v>
      </c>
      <c r="U209" s="96" t="str">
        <f>IF(G209="","",IFERROR(IF(ISNUMBER(INDEX(cfg_fac,MATCH(G209,cfg_units,0))),IF(INDEX(cfg_fac,MATCH(G209,cfg_units,0))&gt;0,INDEX(cfg_fac,MATCH(G209,cfg_units,0)),""),""),""))</f>
        <v/>
      </c>
      <c r="V209" s="96">
        <f>IF(AND(ISNUMBER(F209),ISNUMBER(H209)),IF(H209&gt;0,1,0),0)</f>
        <v>0</v>
      </c>
      <c r="W209" s="96" t="str">
        <f>IF(T209=1,INDEX('ITENS_MTR'!$AU$6:$AU$1005,S209)&amp;"","")</f>
        <v/>
      </c>
      <c r="X209" s="96">
        <f>IF(AND(Q209=1,T209=1,I209&lt;&gt;"",W209&lt;&gt;""),IF(I209&lt;&gt;W209,1,0),0)</f>
        <v>0</v>
      </c>
      <c r="Y209" s="96">
        <f>IF(N209=0,0,IF(OR(Q209=0,T209=0,V209=0,AND(X209=1,J209&lt;&gt;"Sim")),1,0))</f>
        <v>0</v>
      </c>
      <c r="Z209" s="96">
        <f>IF(Q209=1,INDEX('CDFs'!$W$6:$W$505,P209),0)</f>
        <v>0</v>
      </c>
      <c r="AA209" s="96">
        <f>IF(AND(N209=1,Y209=0,Z209=1,J209="Sim"),1,0)</f>
        <v>0</v>
      </c>
      <c r="AB209" s="96">
        <f>IF(AND(N209=1,O209&lt;&gt;"",D209&lt;&gt;""),IF(COUNTIFS($O$6:O209,O209,$D$6:D209,D209)=1,1,0),0)</f>
        <v>0</v>
      </c>
      <c r="AC209" s="96">
        <f>IF(T209=1,INDEX('ITENS_MTR'!$AL$6:$AL$1005,S209),0)</f>
        <v>0</v>
      </c>
    </row>
    <row r="210">
      <c r="A210" s="89" t="inlineStr">
        <is>
          <t>VIN-000205</t>
        </is>
      </c>
      <c r="B210" s="91" t="n"/>
      <c r="C210" s="91" t="n"/>
      <c r="D210" s="94" t="str">
        <f>IF(T210=1,INDEX('ITENS_MTR'!$S$6:$S$1005,S210)&amp;"","")</f>
        <v/>
      </c>
      <c r="E210" s="94" t="str">
        <f>IF(T210=1,INDEX('ITENS_MTR'!$C$6:$C$1005,S210)&amp;"","")</f>
        <v/>
      </c>
      <c r="F210" s="98" t="n"/>
      <c r="G210" s="91" t="n"/>
      <c r="H210" s="93" t="str">
        <f>IF(N210=0,"",IF(NOT(ISNUMBER(F210)),"",IF(ISNUMBER(U210),F210*U210,"UNIDADE A CONFERIR")))</f>
        <v/>
      </c>
      <c r="I210" s="94" t="str">
        <f>IF(Q210=1,INDEX('CDFs'!$F$6:$F$505,P210)&amp;"","")</f>
        <v/>
      </c>
      <c r="J210" s="91" t="n"/>
      <c r="K210" s="91" t="n"/>
      <c r="L210" s="94" t="str">
        <f>IF(N210=0,"",IF(NOT(ISNUMBER(F210)),"Quantidade não informada",IF(F210&lt;=0,"Quantidade não positiva",IF(G210="","Unidade não informada",IF(NOT(ISNUMBER(H210)),"Unidade a conferir",IF(AC210=1,"REVISAR VÍNCULO: soma vinculada maior que a referência do item","OK"))))))</f>
        <v/>
      </c>
      <c r="M210" s="94" t="str">
        <f>IF(N210=0,"",IF(B210="","CDF não informado",IF(Q210=0,"REVISAR VÍNCULO: CDF inexistente",IF(C210="","Item não informado",IF(T210=0,"REVISAR VÍNCULO: item inexistente",IF(AND(X210=1,J210&lt;&gt;"Sim"),"REVISAR VÍNCULO: destinador diferente do MTR",IF(X210=1,"Destinador diferente do MTR (analisado)","OK")))))))</f>
        <v/>
      </c>
      <c r="N210" s="96">
        <f>IF(COUNTA(B210:C210,F210:G210,J210:K210)&gt;0,1,0)</f>
        <v>0</v>
      </c>
      <c r="O210" s="96" t="str">
        <f>IF(B210="","",TRIM(LEFT(B210,FIND(" |",B210&amp;" |")-1)))</f>
        <v/>
      </c>
      <c r="P210" s="96" t="str">
        <f>IF(O210="","",IFERROR(MATCH(O210,'CDFs'!$A$6:$A$505,0),""))</f>
        <v/>
      </c>
      <c r="Q210" s="96">
        <f>IF(P210="",0,IF(INDEX('CDFs'!$S$6:$S$505,P210)=1,1,0))</f>
        <v>0</v>
      </c>
      <c r="R210" s="96" t="str">
        <f>IF(C210="","",TRIM(LEFT(C210,FIND(" |",C210&amp;" |")-1)))</f>
        <v/>
      </c>
      <c r="S210" s="96" t="str">
        <f>IF(R210="","",IFERROR(MATCH(R210,'ITENS_MTR'!$A$6:$A$1005,0),""))</f>
        <v/>
      </c>
      <c r="T210" s="96">
        <f>IF(S210="",0,IF(INDEX('ITENS_MTR'!$R$6:$R$1005,S210)=1,1,0))</f>
        <v>0</v>
      </c>
      <c r="U210" s="96" t="str">
        <f>IF(G210="","",IFERROR(IF(ISNUMBER(INDEX(cfg_fac,MATCH(G210,cfg_units,0))),IF(INDEX(cfg_fac,MATCH(G210,cfg_units,0))&gt;0,INDEX(cfg_fac,MATCH(G210,cfg_units,0)),""),""),""))</f>
        <v/>
      </c>
      <c r="V210" s="96">
        <f>IF(AND(ISNUMBER(F210),ISNUMBER(H210)),IF(H210&gt;0,1,0),0)</f>
        <v>0</v>
      </c>
      <c r="W210" s="96" t="str">
        <f>IF(T210=1,INDEX('ITENS_MTR'!$AU$6:$AU$1005,S210)&amp;"","")</f>
        <v/>
      </c>
      <c r="X210" s="96">
        <f>IF(AND(Q210=1,T210=1,I210&lt;&gt;"",W210&lt;&gt;""),IF(I210&lt;&gt;W210,1,0),0)</f>
        <v>0</v>
      </c>
      <c r="Y210" s="96">
        <f>IF(N210=0,0,IF(OR(Q210=0,T210=0,V210=0,AND(X210=1,J210&lt;&gt;"Sim")),1,0))</f>
        <v>0</v>
      </c>
      <c r="Z210" s="96">
        <f>IF(Q210=1,INDEX('CDFs'!$W$6:$W$505,P210),0)</f>
        <v>0</v>
      </c>
      <c r="AA210" s="96">
        <f>IF(AND(N210=1,Y210=0,Z210=1,J210="Sim"),1,0)</f>
        <v>0</v>
      </c>
      <c r="AB210" s="96">
        <f>IF(AND(N210=1,O210&lt;&gt;"",D210&lt;&gt;""),IF(COUNTIFS($O$6:O210,O210,$D$6:D210,D210)=1,1,0),0)</f>
        <v>0</v>
      </c>
      <c r="AC210" s="96">
        <f>IF(T210=1,INDEX('ITENS_MTR'!$AL$6:$AL$1005,S210),0)</f>
        <v>0</v>
      </c>
    </row>
    <row r="211">
      <c r="A211" s="89" t="inlineStr">
        <is>
          <t>VIN-000206</t>
        </is>
      </c>
      <c r="B211" s="91" t="n"/>
      <c r="C211" s="91" t="n"/>
      <c r="D211" s="94" t="str">
        <f>IF(T211=1,INDEX('ITENS_MTR'!$S$6:$S$1005,S211)&amp;"","")</f>
        <v/>
      </c>
      <c r="E211" s="94" t="str">
        <f>IF(T211=1,INDEX('ITENS_MTR'!$C$6:$C$1005,S211)&amp;"","")</f>
        <v/>
      </c>
      <c r="F211" s="98" t="n"/>
      <c r="G211" s="91" t="n"/>
      <c r="H211" s="93" t="str">
        <f>IF(N211=0,"",IF(NOT(ISNUMBER(F211)),"",IF(ISNUMBER(U211),F211*U211,"UNIDADE A CONFERIR")))</f>
        <v/>
      </c>
      <c r="I211" s="94" t="str">
        <f>IF(Q211=1,INDEX('CDFs'!$F$6:$F$505,P211)&amp;"","")</f>
        <v/>
      </c>
      <c r="J211" s="91" t="n"/>
      <c r="K211" s="91" t="n"/>
      <c r="L211" s="94" t="str">
        <f>IF(N211=0,"",IF(NOT(ISNUMBER(F211)),"Quantidade não informada",IF(F211&lt;=0,"Quantidade não positiva",IF(G211="","Unidade não informada",IF(NOT(ISNUMBER(H211)),"Unidade a conferir",IF(AC211=1,"REVISAR VÍNCULO: soma vinculada maior que a referência do item","OK"))))))</f>
        <v/>
      </c>
      <c r="M211" s="94" t="str">
        <f>IF(N211=0,"",IF(B211="","CDF não informado",IF(Q211=0,"REVISAR VÍNCULO: CDF inexistente",IF(C211="","Item não informado",IF(T211=0,"REVISAR VÍNCULO: item inexistente",IF(AND(X211=1,J211&lt;&gt;"Sim"),"REVISAR VÍNCULO: destinador diferente do MTR",IF(X211=1,"Destinador diferente do MTR (analisado)","OK")))))))</f>
        <v/>
      </c>
      <c r="N211" s="96">
        <f>IF(COUNTA(B211:C211,F211:G211,J211:K211)&gt;0,1,0)</f>
        <v>0</v>
      </c>
      <c r="O211" s="96" t="str">
        <f>IF(B211="","",TRIM(LEFT(B211,FIND(" |",B211&amp;" |")-1)))</f>
        <v/>
      </c>
      <c r="P211" s="96" t="str">
        <f>IF(O211="","",IFERROR(MATCH(O211,'CDFs'!$A$6:$A$505,0),""))</f>
        <v/>
      </c>
      <c r="Q211" s="96">
        <f>IF(P211="",0,IF(INDEX('CDFs'!$S$6:$S$505,P211)=1,1,0))</f>
        <v>0</v>
      </c>
      <c r="R211" s="96" t="str">
        <f>IF(C211="","",TRIM(LEFT(C211,FIND(" |",C211&amp;" |")-1)))</f>
        <v/>
      </c>
      <c r="S211" s="96" t="str">
        <f>IF(R211="","",IFERROR(MATCH(R211,'ITENS_MTR'!$A$6:$A$1005,0),""))</f>
        <v/>
      </c>
      <c r="T211" s="96">
        <f>IF(S211="",0,IF(INDEX('ITENS_MTR'!$R$6:$R$1005,S211)=1,1,0))</f>
        <v>0</v>
      </c>
      <c r="U211" s="96" t="str">
        <f>IF(G211="","",IFERROR(IF(ISNUMBER(INDEX(cfg_fac,MATCH(G211,cfg_units,0))),IF(INDEX(cfg_fac,MATCH(G211,cfg_units,0))&gt;0,INDEX(cfg_fac,MATCH(G211,cfg_units,0)),""),""),""))</f>
        <v/>
      </c>
      <c r="V211" s="96">
        <f>IF(AND(ISNUMBER(F211),ISNUMBER(H211)),IF(H211&gt;0,1,0),0)</f>
        <v>0</v>
      </c>
      <c r="W211" s="96" t="str">
        <f>IF(T211=1,INDEX('ITENS_MTR'!$AU$6:$AU$1005,S211)&amp;"","")</f>
        <v/>
      </c>
      <c r="X211" s="96">
        <f>IF(AND(Q211=1,T211=1,I211&lt;&gt;"",W211&lt;&gt;""),IF(I211&lt;&gt;W211,1,0),0)</f>
        <v>0</v>
      </c>
      <c r="Y211" s="96">
        <f>IF(N211=0,0,IF(OR(Q211=0,T211=0,V211=0,AND(X211=1,J211&lt;&gt;"Sim")),1,0))</f>
        <v>0</v>
      </c>
      <c r="Z211" s="96">
        <f>IF(Q211=1,INDEX('CDFs'!$W$6:$W$505,P211),0)</f>
        <v>0</v>
      </c>
      <c r="AA211" s="96">
        <f>IF(AND(N211=1,Y211=0,Z211=1,J211="Sim"),1,0)</f>
        <v>0</v>
      </c>
      <c r="AB211" s="96">
        <f>IF(AND(N211=1,O211&lt;&gt;"",D211&lt;&gt;""),IF(COUNTIFS($O$6:O211,O211,$D$6:D211,D211)=1,1,0),0)</f>
        <v>0</v>
      </c>
      <c r="AC211" s="96">
        <f>IF(T211=1,INDEX('ITENS_MTR'!$AL$6:$AL$1005,S211),0)</f>
        <v>0</v>
      </c>
    </row>
    <row r="212">
      <c r="A212" s="89" t="inlineStr">
        <is>
          <t>VIN-000207</t>
        </is>
      </c>
      <c r="B212" s="91" t="n"/>
      <c r="C212" s="91" t="n"/>
      <c r="D212" s="94" t="str">
        <f>IF(T212=1,INDEX('ITENS_MTR'!$S$6:$S$1005,S212)&amp;"","")</f>
        <v/>
      </c>
      <c r="E212" s="94" t="str">
        <f>IF(T212=1,INDEX('ITENS_MTR'!$C$6:$C$1005,S212)&amp;"","")</f>
        <v/>
      </c>
      <c r="F212" s="98" t="n"/>
      <c r="G212" s="91" t="n"/>
      <c r="H212" s="93" t="str">
        <f>IF(N212=0,"",IF(NOT(ISNUMBER(F212)),"",IF(ISNUMBER(U212),F212*U212,"UNIDADE A CONFERIR")))</f>
        <v/>
      </c>
      <c r="I212" s="94" t="str">
        <f>IF(Q212=1,INDEX('CDFs'!$F$6:$F$505,P212)&amp;"","")</f>
        <v/>
      </c>
      <c r="J212" s="91" t="n"/>
      <c r="K212" s="91" t="n"/>
      <c r="L212" s="94" t="str">
        <f>IF(N212=0,"",IF(NOT(ISNUMBER(F212)),"Quantidade não informada",IF(F212&lt;=0,"Quantidade não positiva",IF(G212="","Unidade não informada",IF(NOT(ISNUMBER(H212)),"Unidade a conferir",IF(AC212=1,"REVISAR VÍNCULO: soma vinculada maior que a referência do item","OK"))))))</f>
        <v/>
      </c>
      <c r="M212" s="94" t="str">
        <f>IF(N212=0,"",IF(B212="","CDF não informado",IF(Q212=0,"REVISAR VÍNCULO: CDF inexistente",IF(C212="","Item não informado",IF(T212=0,"REVISAR VÍNCULO: item inexistente",IF(AND(X212=1,J212&lt;&gt;"Sim"),"REVISAR VÍNCULO: destinador diferente do MTR",IF(X212=1,"Destinador diferente do MTR (analisado)","OK")))))))</f>
        <v/>
      </c>
      <c r="N212" s="96">
        <f>IF(COUNTA(B212:C212,F212:G212,J212:K212)&gt;0,1,0)</f>
        <v>0</v>
      </c>
      <c r="O212" s="96" t="str">
        <f>IF(B212="","",TRIM(LEFT(B212,FIND(" |",B212&amp;" |")-1)))</f>
        <v/>
      </c>
      <c r="P212" s="96" t="str">
        <f>IF(O212="","",IFERROR(MATCH(O212,'CDFs'!$A$6:$A$505,0),""))</f>
        <v/>
      </c>
      <c r="Q212" s="96">
        <f>IF(P212="",0,IF(INDEX('CDFs'!$S$6:$S$505,P212)=1,1,0))</f>
        <v>0</v>
      </c>
      <c r="R212" s="96" t="str">
        <f>IF(C212="","",TRIM(LEFT(C212,FIND(" |",C212&amp;" |")-1)))</f>
        <v/>
      </c>
      <c r="S212" s="96" t="str">
        <f>IF(R212="","",IFERROR(MATCH(R212,'ITENS_MTR'!$A$6:$A$1005,0),""))</f>
        <v/>
      </c>
      <c r="T212" s="96">
        <f>IF(S212="",0,IF(INDEX('ITENS_MTR'!$R$6:$R$1005,S212)=1,1,0))</f>
        <v>0</v>
      </c>
      <c r="U212" s="96" t="str">
        <f>IF(G212="","",IFERROR(IF(ISNUMBER(INDEX(cfg_fac,MATCH(G212,cfg_units,0))),IF(INDEX(cfg_fac,MATCH(G212,cfg_units,0))&gt;0,INDEX(cfg_fac,MATCH(G212,cfg_units,0)),""),""),""))</f>
        <v/>
      </c>
      <c r="V212" s="96">
        <f>IF(AND(ISNUMBER(F212),ISNUMBER(H212)),IF(H212&gt;0,1,0),0)</f>
        <v>0</v>
      </c>
      <c r="W212" s="96" t="str">
        <f>IF(T212=1,INDEX('ITENS_MTR'!$AU$6:$AU$1005,S212)&amp;"","")</f>
        <v/>
      </c>
      <c r="X212" s="96">
        <f>IF(AND(Q212=1,T212=1,I212&lt;&gt;"",W212&lt;&gt;""),IF(I212&lt;&gt;W212,1,0),0)</f>
        <v>0</v>
      </c>
      <c r="Y212" s="96">
        <f>IF(N212=0,0,IF(OR(Q212=0,T212=0,V212=0,AND(X212=1,J212&lt;&gt;"Sim")),1,0))</f>
        <v>0</v>
      </c>
      <c r="Z212" s="96">
        <f>IF(Q212=1,INDEX('CDFs'!$W$6:$W$505,P212),0)</f>
        <v>0</v>
      </c>
      <c r="AA212" s="96">
        <f>IF(AND(N212=1,Y212=0,Z212=1,J212="Sim"),1,0)</f>
        <v>0</v>
      </c>
      <c r="AB212" s="96">
        <f>IF(AND(N212=1,O212&lt;&gt;"",D212&lt;&gt;""),IF(COUNTIFS($O$6:O212,O212,$D$6:D212,D212)=1,1,0),0)</f>
        <v>0</v>
      </c>
      <c r="AC212" s="96">
        <f>IF(T212=1,INDEX('ITENS_MTR'!$AL$6:$AL$1005,S212),0)</f>
        <v>0</v>
      </c>
    </row>
    <row r="213">
      <c r="A213" s="89" t="inlineStr">
        <is>
          <t>VIN-000208</t>
        </is>
      </c>
      <c r="B213" s="91" t="n"/>
      <c r="C213" s="91" t="n"/>
      <c r="D213" s="94" t="str">
        <f>IF(T213=1,INDEX('ITENS_MTR'!$S$6:$S$1005,S213)&amp;"","")</f>
        <v/>
      </c>
      <c r="E213" s="94" t="str">
        <f>IF(T213=1,INDEX('ITENS_MTR'!$C$6:$C$1005,S213)&amp;"","")</f>
        <v/>
      </c>
      <c r="F213" s="98" t="n"/>
      <c r="G213" s="91" t="n"/>
      <c r="H213" s="93" t="str">
        <f>IF(N213=0,"",IF(NOT(ISNUMBER(F213)),"",IF(ISNUMBER(U213),F213*U213,"UNIDADE A CONFERIR")))</f>
        <v/>
      </c>
      <c r="I213" s="94" t="str">
        <f>IF(Q213=1,INDEX('CDFs'!$F$6:$F$505,P213)&amp;"","")</f>
        <v/>
      </c>
      <c r="J213" s="91" t="n"/>
      <c r="K213" s="91" t="n"/>
      <c r="L213" s="94" t="str">
        <f>IF(N213=0,"",IF(NOT(ISNUMBER(F213)),"Quantidade não informada",IF(F213&lt;=0,"Quantidade não positiva",IF(G213="","Unidade não informada",IF(NOT(ISNUMBER(H213)),"Unidade a conferir",IF(AC213=1,"REVISAR VÍNCULO: soma vinculada maior que a referência do item","OK"))))))</f>
        <v/>
      </c>
      <c r="M213" s="94" t="str">
        <f>IF(N213=0,"",IF(B213="","CDF não informado",IF(Q213=0,"REVISAR VÍNCULO: CDF inexistente",IF(C213="","Item não informado",IF(T213=0,"REVISAR VÍNCULO: item inexistente",IF(AND(X213=1,J213&lt;&gt;"Sim"),"REVISAR VÍNCULO: destinador diferente do MTR",IF(X213=1,"Destinador diferente do MTR (analisado)","OK")))))))</f>
        <v/>
      </c>
      <c r="N213" s="96">
        <f>IF(COUNTA(B213:C213,F213:G213,J213:K213)&gt;0,1,0)</f>
        <v>0</v>
      </c>
      <c r="O213" s="96" t="str">
        <f>IF(B213="","",TRIM(LEFT(B213,FIND(" |",B213&amp;" |")-1)))</f>
        <v/>
      </c>
      <c r="P213" s="96" t="str">
        <f>IF(O213="","",IFERROR(MATCH(O213,'CDFs'!$A$6:$A$505,0),""))</f>
        <v/>
      </c>
      <c r="Q213" s="96">
        <f>IF(P213="",0,IF(INDEX('CDFs'!$S$6:$S$505,P213)=1,1,0))</f>
        <v>0</v>
      </c>
      <c r="R213" s="96" t="str">
        <f>IF(C213="","",TRIM(LEFT(C213,FIND(" |",C213&amp;" |")-1)))</f>
        <v/>
      </c>
      <c r="S213" s="96" t="str">
        <f>IF(R213="","",IFERROR(MATCH(R213,'ITENS_MTR'!$A$6:$A$1005,0),""))</f>
        <v/>
      </c>
      <c r="T213" s="96">
        <f>IF(S213="",0,IF(INDEX('ITENS_MTR'!$R$6:$R$1005,S213)=1,1,0))</f>
        <v>0</v>
      </c>
      <c r="U213" s="96" t="str">
        <f>IF(G213="","",IFERROR(IF(ISNUMBER(INDEX(cfg_fac,MATCH(G213,cfg_units,0))),IF(INDEX(cfg_fac,MATCH(G213,cfg_units,0))&gt;0,INDEX(cfg_fac,MATCH(G213,cfg_units,0)),""),""),""))</f>
        <v/>
      </c>
      <c r="V213" s="96">
        <f>IF(AND(ISNUMBER(F213),ISNUMBER(H213)),IF(H213&gt;0,1,0),0)</f>
        <v>0</v>
      </c>
      <c r="W213" s="96" t="str">
        <f>IF(T213=1,INDEX('ITENS_MTR'!$AU$6:$AU$1005,S213)&amp;"","")</f>
        <v/>
      </c>
      <c r="X213" s="96">
        <f>IF(AND(Q213=1,T213=1,I213&lt;&gt;"",W213&lt;&gt;""),IF(I213&lt;&gt;W213,1,0),0)</f>
        <v>0</v>
      </c>
      <c r="Y213" s="96">
        <f>IF(N213=0,0,IF(OR(Q213=0,T213=0,V213=0,AND(X213=1,J213&lt;&gt;"Sim")),1,0))</f>
        <v>0</v>
      </c>
      <c r="Z213" s="96">
        <f>IF(Q213=1,INDEX('CDFs'!$W$6:$W$505,P213),0)</f>
        <v>0</v>
      </c>
      <c r="AA213" s="96">
        <f>IF(AND(N213=1,Y213=0,Z213=1,J213="Sim"),1,0)</f>
        <v>0</v>
      </c>
      <c r="AB213" s="96">
        <f>IF(AND(N213=1,O213&lt;&gt;"",D213&lt;&gt;""),IF(COUNTIFS($O$6:O213,O213,$D$6:D213,D213)=1,1,0),0)</f>
        <v>0</v>
      </c>
      <c r="AC213" s="96">
        <f>IF(T213=1,INDEX('ITENS_MTR'!$AL$6:$AL$1005,S213),0)</f>
        <v>0</v>
      </c>
    </row>
    <row r="214">
      <c r="A214" s="89" t="inlineStr">
        <is>
          <t>VIN-000209</t>
        </is>
      </c>
      <c r="B214" s="91" t="n"/>
      <c r="C214" s="91" t="n"/>
      <c r="D214" s="94" t="str">
        <f>IF(T214=1,INDEX('ITENS_MTR'!$S$6:$S$1005,S214)&amp;"","")</f>
        <v/>
      </c>
      <c r="E214" s="94" t="str">
        <f>IF(T214=1,INDEX('ITENS_MTR'!$C$6:$C$1005,S214)&amp;"","")</f>
        <v/>
      </c>
      <c r="F214" s="98" t="n"/>
      <c r="G214" s="91" t="n"/>
      <c r="H214" s="93" t="str">
        <f>IF(N214=0,"",IF(NOT(ISNUMBER(F214)),"",IF(ISNUMBER(U214),F214*U214,"UNIDADE A CONFERIR")))</f>
        <v/>
      </c>
      <c r="I214" s="94" t="str">
        <f>IF(Q214=1,INDEX('CDFs'!$F$6:$F$505,P214)&amp;"","")</f>
        <v/>
      </c>
      <c r="J214" s="91" t="n"/>
      <c r="K214" s="91" t="n"/>
      <c r="L214" s="94" t="str">
        <f>IF(N214=0,"",IF(NOT(ISNUMBER(F214)),"Quantidade não informada",IF(F214&lt;=0,"Quantidade não positiva",IF(G214="","Unidade não informada",IF(NOT(ISNUMBER(H214)),"Unidade a conferir",IF(AC214=1,"REVISAR VÍNCULO: soma vinculada maior que a referência do item","OK"))))))</f>
        <v/>
      </c>
      <c r="M214" s="94" t="str">
        <f>IF(N214=0,"",IF(B214="","CDF não informado",IF(Q214=0,"REVISAR VÍNCULO: CDF inexistente",IF(C214="","Item não informado",IF(T214=0,"REVISAR VÍNCULO: item inexistente",IF(AND(X214=1,J214&lt;&gt;"Sim"),"REVISAR VÍNCULO: destinador diferente do MTR",IF(X214=1,"Destinador diferente do MTR (analisado)","OK")))))))</f>
        <v/>
      </c>
      <c r="N214" s="96">
        <f>IF(COUNTA(B214:C214,F214:G214,J214:K214)&gt;0,1,0)</f>
        <v>0</v>
      </c>
      <c r="O214" s="96" t="str">
        <f>IF(B214="","",TRIM(LEFT(B214,FIND(" |",B214&amp;" |")-1)))</f>
        <v/>
      </c>
      <c r="P214" s="96" t="str">
        <f>IF(O214="","",IFERROR(MATCH(O214,'CDFs'!$A$6:$A$505,0),""))</f>
        <v/>
      </c>
      <c r="Q214" s="96">
        <f>IF(P214="",0,IF(INDEX('CDFs'!$S$6:$S$505,P214)=1,1,0))</f>
        <v>0</v>
      </c>
      <c r="R214" s="96" t="str">
        <f>IF(C214="","",TRIM(LEFT(C214,FIND(" |",C214&amp;" |")-1)))</f>
        <v/>
      </c>
      <c r="S214" s="96" t="str">
        <f>IF(R214="","",IFERROR(MATCH(R214,'ITENS_MTR'!$A$6:$A$1005,0),""))</f>
        <v/>
      </c>
      <c r="T214" s="96">
        <f>IF(S214="",0,IF(INDEX('ITENS_MTR'!$R$6:$R$1005,S214)=1,1,0))</f>
        <v>0</v>
      </c>
      <c r="U214" s="96" t="str">
        <f>IF(G214="","",IFERROR(IF(ISNUMBER(INDEX(cfg_fac,MATCH(G214,cfg_units,0))),IF(INDEX(cfg_fac,MATCH(G214,cfg_units,0))&gt;0,INDEX(cfg_fac,MATCH(G214,cfg_units,0)),""),""),""))</f>
        <v/>
      </c>
      <c r="V214" s="96">
        <f>IF(AND(ISNUMBER(F214),ISNUMBER(H214)),IF(H214&gt;0,1,0),0)</f>
        <v>0</v>
      </c>
      <c r="W214" s="96" t="str">
        <f>IF(T214=1,INDEX('ITENS_MTR'!$AU$6:$AU$1005,S214)&amp;"","")</f>
        <v/>
      </c>
      <c r="X214" s="96">
        <f>IF(AND(Q214=1,T214=1,I214&lt;&gt;"",W214&lt;&gt;""),IF(I214&lt;&gt;W214,1,0),0)</f>
        <v>0</v>
      </c>
      <c r="Y214" s="96">
        <f>IF(N214=0,0,IF(OR(Q214=0,T214=0,V214=0,AND(X214=1,J214&lt;&gt;"Sim")),1,0))</f>
        <v>0</v>
      </c>
      <c r="Z214" s="96">
        <f>IF(Q214=1,INDEX('CDFs'!$W$6:$W$505,P214),0)</f>
        <v>0</v>
      </c>
      <c r="AA214" s="96">
        <f>IF(AND(N214=1,Y214=0,Z214=1,J214="Sim"),1,0)</f>
        <v>0</v>
      </c>
      <c r="AB214" s="96">
        <f>IF(AND(N214=1,O214&lt;&gt;"",D214&lt;&gt;""),IF(COUNTIFS($O$6:O214,O214,$D$6:D214,D214)=1,1,0),0)</f>
        <v>0</v>
      </c>
      <c r="AC214" s="96">
        <f>IF(T214=1,INDEX('ITENS_MTR'!$AL$6:$AL$1005,S214),0)</f>
        <v>0</v>
      </c>
    </row>
    <row r="215">
      <c r="A215" s="89" t="inlineStr">
        <is>
          <t>VIN-000210</t>
        </is>
      </c>
      <c r="B215" s="91" t="n"/>
      <c r="C215" s="91" t="n"/>
      <c r="D215" s="94" t="str">
        <f>IF(T215=1,INDEX('ITENS_MTR'!$S$6:$S$1005,S215)&amp;"","")</f>
        <v/>
      </c>
      <c r="E215" s="94" t="str">
        <f>IF(T215=1,INDEX('ITENS_MTR'!$C$6:$C$1005,S215)&amp;"","")</f>
        <v/>
      </c>
      <c r="F215" s="98" t="n"/>
      <c r="G215" s="91" t="n"/>
      <c r="H215" s="93" t="str">
        <f>IF(N215=0,"",IF(NOT(ISNUMBER(F215)),"",IF(ISNUMBER(U215),F215*U215,"UNIDADE A CONFERIR")))</f>
        <v/>
      </c>
      <c r="I215" s="94" t="str">
        <f>IF(Q215=1,INDEX('CDFs'!$F$6:$F$505,P215)&amp;"","")</f>
        <v/>
      </c>
      <c r="J215" s="91" t="n"/>
      <c r="K215" s="91" t="n"/>
      <c r="L215" s="94" t="str">
        <f>IF(N215=0,"",IF(NOT(ISNUMBER(F215)),"Quantidade não informada",IF(F215&lt;=0,"Quantidade não positiva",IF(G215="","Unidade não informada",IF(NOT(ISNUMBER(H215)),"Unidade a conferir",IF(AC215=1,"REVISAR VÍNCULO: soma vinculada maior que a referência do item","OK"))))))</f>
        <v/>
      </c>
      <c r="M215" s="94" t="str">
        <f>IF(N215=0,"",IF(B215="","CDF não informado",IF(Q215=0,"REVISAR VÍNCULO: CDF inexistente",IF(C215="","Item não informado",IF(T215=0,"REVISAR VÍNCULO: item inexistente",IF(AND(X215=1,J215&lt;&gt;"Sim"),"REVISAR VÍNCULO: destinador diferente do MTR",IF(X215=1,"Destinador diferente do MTR (analisado)","OK")))))))</f>
        <v/>
      </c>
      <c r="N215" s="96">
        <f>IF(COUNTA(B215:C215,F215:G215,J215:K215)&gt;0,1,0)</f>
        <v>0</v>
      </c>
      <c r="O215" s="96" t="str">
        <f>IF(B215="","",TRIM(LEFT(B215,FIND(" |",B215&amp;" |")-1)))</f>
        <v/>
      </c>
      <c r="P215" s="96" t="str">
        <f>IF(O215="","",IFERROR(MATCH(O215,'CDFs'!$A$6:$A$505,0),""))</f>
        <v/>
      </c>
      <c r="Q215" s="96">
        <f>IF(P215="",0,IF(INDEX('CDFs'!$S$6:$S$505,P215)=1,1,0))</f>
        <v>0</v>
      </c>
      <c r="R215" s="96" t="str">
        <f>IF(C215="","",TRIM(LEFT(C215,FIND(" |",C215&amp;" |")-1)))</f>
        <v/>
      </c>
      <c r="S215" s="96" t="str">
        <f>IF(R215="","",IFERROR(MATCH(R215,'ITENS_MTR'!$A$6:$A$1005,0),""))</f>
        <v/>
      </c>
      <c r="T215" s="96">
        <f>IF(S215="",0,IF(INDEX('ITENS_MTR'!$R$6:$R$1005,S215)=1,1,0))</f>
        <v>0</v>
      </c>
      <c r="U215" s="96" t="str">
        <f>IF(G215="","",IFERROR(IF(ISNUMBER(INDEX(cfg_fac,MATCH(G215,cfg_units,0))),IF(INDEX(cfg_fac,MATCH(G215,cfg_units,0))&gt;0,INDEX(cfg_fac,MATCH(G215,cfg_units,0)),""),""),""))</f>
        <v/>
      </c>
      <c r="V215" s="96">
        <f>IF(AND(ISNUMBER(F215),ISNUMBER(H215)),IF(H215&gt;0,1,0),0)</f>
        <v>0</v>
      </c>
      <c r="W215" s="96" t="str">
        <f>IF(T215=1,INDEX('ITENS_MTR'!$AU$6:$AU$1005,S215)&amp;"","")</f>
        <v/>
      </c>
      <c r="X215" s="96">
        <f>IF(AND(Q215=1,T215=1,I215&lt;&gt;"",W215&lt;&gt;""),IF(I215&lt;&gt;W215,1,0),0)</f>
        <v>0</v>
      </c>
      <c r="Y215" s="96">
        <f>IF(N215=0,0,IF(OR(Q215=0,T215=0,V215=0,AND(X215=1,J215&lt;&gt;"Sim")),1,0))</f>
        <v>0</v>
      </c>
      <c r="Z215" s="96">
        <f>IF(Q215=1,INDEX('CDFs'!$W$6:$W$505,P215),0)</f>
        <v>0</v>
      </c>
      <c r="AA215" s="96">
        <f>IF(AND(N215=1,Y215=0,Z215=1,J215="Sim"),1,0)</f>
        <v>0</v>
      </c>
      <c r="AB215" s="96">
        <f>IF(AND(N215=1,O215&lt;&gt;"",D215&lt;&gt;""),IF(COUNTIFS($O$6:O215,O215,$D$6:D215,D215)=1,1,0),0)</f>
        <v>0</v>
      </c>
      <c r="AC215" s="96">
        <f>IF(T215=1,INDEX('ITENS_MTR'!$AL$6:$AL$1005,S215),0)</f>
        <v>0</v>
      </c>
    </row>
    <row r="216">
      <c r="A216" s="89" t="inlineStr">
        <is>
          <t>VIN-000211</t>
        </is>
      </c>
      <c r="B216" s="91" t="n"/>
      <c r="C216" s="91" t="n"/>
      <c r="D216" s="94" t="str">
        <f>IF(T216=1,INDEX('ITENS_MTR'!$S$6:$S$1005,S216)&amp;"","")</f>
        <v/>
      </c>
      <c r="E216" s="94" t="str">
        <f>IF(T216=1,INDEX('ITENS_MTR'!$C$6:$C$1005,S216)&amp;"","")</f>
        <v/>
      </c>
      <c r="F216" s="98" t="n"/>
      <c r="G216" s="91" t="n"/>
      <c r="H216" s="93" t="str">
        <f>IF(N216=0,"",IF(NOT(ISNUMBER(F216)),"",IF(ISNUMBER(U216),F216*U216,"UNIDADE A CONFERIR")))</f>
        <v/>
      </c>
      <c r="I216" s="94" t="str">
        <f>IF(Q216=1,INDEX('CDFs'!$F$6:$F$505,P216)&amp;"","")</f>
        <v/>
      </c>
      <c r="J216" s="91" t="n"/>
      <c r="K216" s="91" t="n"/>
      <c r="L216" s="94" t="str">
        <f>IF(N216=0,"",IF(NOT(ISNUMBER(F216)),"Quantidade não informada",IF(F216&lt;=0,"Quantidade não positiva",IF(G216="","Unidade não informada",IF(NOT(ISNUMBER(H216)),"Unidade a conferir",IF(AC216=1,"REVISAR VÍNCULO: soma vinculada maior que a referência do item","OK"))))))</f>
        <v/>
      </c>
      <c r="M216" s="94" t="str">
        <f>IF(N216=0,"",IF(B216="","CDF não informado",IF(Q216=0,"REVISAR VÍNCULO: CDF inexistente",IF(C216="","Item não informado",IF(T216=0,"REVISAR VÍNCULO: item inexistente",IF(AND(X216=1,J216&lt;&gt;"Sim"),"REVISAR VÍNCULO: destinador diferente do MTR",IF(X216=1,"Destinador diferente do MTR (analisado)","OK")))))))</f>
        <v/>
      </c>
      <c r="N216" s="96">
        <f>IF(COUNTA(B216:C216,F216:G216,J216:K216)&gt;0,1,0)</f>
        <v>0</v>
      </c>
      <c r="O216" s="96" t="str">
        <f>IF(B216="","",TRIM(LEFT(B216,FIND(" |",B216&amp;" |")-1)))</f>
        <v/>
      </c>
      <c r="P216" s="96" t="str">
        <f>IF(O216="","",IFERROR(MATCH(O216,'CDFs'!$A$6:$A$505,0),""))</f>
        <v/>
      </c>
      <c r="Q216" s="96">
        <f>IF(P216="",0,IF(INDEX('CDFs'!$S$6:$S$505,P216)=1,1,0))</f>
        <v>0</v>
      </c>
      <c r="R216" s="96" t="str">
        <f>IF(C216="","",TRIM(LEFT(C216,FIND(" |",C216&amp;" |")-1)))</f>
        <v/>
      </c>
      <c r="S216" s="96" t="str">
        <f>IF(R216="","",IFERROR(MATCH(R216,'ITENS_MTR'!$A$6:$A$1005,0),""))</f>
        <v/>
      </c>
      <c r="T216" s="96">
        <f>IF(S216="",0,IF(INDEX('ITENS_MTR'!$R$6:$R$1005,S216)=1,1,0))</f>
        <v>0</v>
      </c>
      <c r="U216" s="96" t="str">
        <f>IF(G216="","",IFERROR(IF(ISNUMBER(INDEX(cfg_fac,MATCH(G216,cfg_units,0))),IF(INDEX(cfg_fac,MATCH(G216,cfg_units,0))&gt;0,INDEX(cfg_fac,MATCH(G216,cfg_units,0)),""),""),""))</f>
        <v/>
      </c>
      <c r="V216" s="96">
        <f>IF(AND(ISNUMBER(F216),ISNUMBER(H216)),IF(H216&gt;0,1,0),0)</f>
        <v>0</v>
      </c>
      <c r="W216" s="96" t="str">
        <f>IF(T216=1,INDEX('ITENS_MTR'!$AU$6:$AU$1005,S216)&amp;"","")</f>
        <v/>
      </c>
      <c r="X216" s="96">
        <f>IF(AND(Q216=1,T216=1,I216&lt;&gt;"",W216&lt;&gt;""),IF(I216&lt;&gt;W216,1,0),0)</f>
        <v>0</v>
      </c>
      <c r="Y216" s="96">
        <f>IF(N216=0,0,IF(OR(Q216=0,T216=0,V216=0,AND(X216=1,J216&lt;&gt;"Sim")),1,0))</f>
        <v>0</v>
      </c>
      <c r="Z216" s="96">
        <f>IF(Q216=1,INDEX('CDFs'!$W$6:$W$505,P216),0)</f>
        <v>0</v>
      </c>
      <c r="AA216" s="96">
        <f>IF(AND(N216=1,Y216=0,Z216=1,J216="Sim"),1,0)</f>
        <v>0</v>
      </c>
      <c r="AB216" s="96">
        <f>IF(AND(N216=1,O216&lt;&gt;"",D216&lt;&gt;""),IF(COUNTIFS($O$6:O216,O216,$D$6:D216,D216)=1,1,0),0)</f>
        <v>0</v>
      </c>
      <c r="AC216" s="96">
        <f>IF(T216=1,INDEX('ITENS_MTR'!$AL$6:$AL$1005,S216),0)</f>
        <v>0</v>
      </c>
    </row>
    <row r="217">
      <c r="A217" s="89" t="inlineStr">
        <is>
          <t>VIN-000212</t>
        </is>
      </c>
      <c r="B217" s="91" t="n"/>
      <c r="C217" s="91" t="n"/>
      <c r="D217" s="94" t="str">
        <f>IF(T217=1,INDEX('ITENS_MTR'!$S$6:$S$1005,S217)&amp;"","")</f>
        <v/>
      </c>
      <c r="E217" s="94" t="str">
        <f>IF(T217=1,INDEX('ITENS_MTR'!$C$6:$C$1005,S217)&amp;"","")</f>
        <v/>
      </c>
      <c r="F217" s="98" t="n"/>
      <c r="G217" s="91" t="n"/>
      <c r="H217" s="93" t="str">
        <f>IF(N217=0,"",IF(NOT(ISNUMBER(F217)),"",IF(ISNUMBER(U217),F217*U217,"UNIDADE A CONFERIR")))</f>
        <v/>
      </c>
      <c r="I217" s="94" t="str">
        <f>IF(Q217=1,INDEX('CDFs'!$F$6:$F$505,P217)&amp;"","")</f>
        <v/>
      </c>
      <c r="J217" s="91" t="n"/>
      <c r="K217" s="91" t="n"/>
      <c r="L217" s="94" t="str">
        <f>IF(N217=0,"",IF(NOT(ISNUMBER(F217)),"Quantidade não informada",IF(F217&lt;=0,"Quantidade não positiva",IF(G217="","Unidade não informada",IF(NOT(ISNUMBER(H217)),"Unidade a conferir",IF(AC217=1,"REVISAR VÍNCULO: soma vinculada maior que a referência do item","OK"))))))</f>
        <v/>
      </c>
      <c r="M217" s="94" t="str">
        <f>IF(N217=0,"",IF(B217="","CDF não informado",IF(Q217=0,"REVISAR VÍNCULO: CDF inexistente",IF(C217="","Item não informado",IF(T217=0,"REVISAR VÍNCULO: item inexistente",IF(AND(X217=1,J217&lt;&gt;"Sim"),"REVISAR VÍNCULO: destinador diferente do MTR",IF(X217=1,"Destinador diferente do MTR (analisado)","OK")))))))</f>
        <v/>
      </c>
      <c r="N217" s="96">
        <f>IF(COUNTA(B217:C217,F217:G217,J217:K217)&gt;0,1,0)</f>
        <v>0</v>
      </c>
      <c r="O217" s="96" t="str">
        <f>IF(B217="","",TRIM(LEFT(B217,FIND(" |",B217&amp;" |")-1)))</f>
        <v/>
      </c>
      <c r="P217" s="96" t="str">
        <f>IF(O217="","",IFERROR(MATCH(O217,'CDFs'!$A$6:$A$505,0),""))</f>
        <v/>
      </c>
      <c r="Q217" s="96">
        <f>IF(P217="",0,IF(INDEX('CDFs'!$S$6:$S$505,P217)=1,1,0))</f>
        <v>0</v>
      </c>
      <c r="R217" s="96" t="str">
        <f>IF(C217="","",TRIM(LEFT(C217,FIND(" |",C217&amp;" |")-1)))</f>
        <v/>
      </c>
      <c r="S217" s="96" t="str">
        <f>IF(R217="","",IFERROR(MATCH(R217,'ITENS_MTR'!$A$6:$A$1005,0),""))</f>
        <v/>
      </c>
      <c r="T217" s="96">
        <f>IF(S217="",0,IF(INDEX('ITENS_MTR'!$R$6:$R$1005,S217)=1,1,0))</f>
        <v>0</v>
      </c>
      <c r="U217" s="96" t="str">
        <f>IF(G217="","",IFERROR(IF(ISNUMBER(INDEX(cfg_fac,MATCH(G217,cfg_units,0))),IF(INDEX(cfg_fac,MATCH(G217,cfg_units,0))&gt;0,INDEX(cfg_fac,MATCH(G217,cfg_units,0)),""),""),""))</f>
        <v/>
      </c>
      <c r="V217" s="96">
        <f>IF(AND(ISNUMBER(F217),ISNUMBER(H217)),IF(H217&gt;0,1,0),0)</f>
        <v>0</v>
      </c>
      <c r="W217" s="96" t="str">
        <f>IF(T217=1,INDEX('ITENS_MTR'!$AU$6:$AU$1005,S217)&amp;"","")</f>
        <v/>
      </c>
      <c r="X217" s="96">
        <f>IF(AND(Q217=1,T217=1,I217&lt;&gt;"",W217&lt;&gt;""),IF(I217&lt;&gt;W217,1,0),0)</f>
        <v>0</v>
      </c>
      <c r="Y217" s="96">
        <f>IF(N217=0,0,IF(OR(Q217=0,T217=0,V217=0,AND(X217=1,J217&lt;&gt;"Sim")),1,0))</f>
        <v>0</v>
      </c>
      <c r="Z217" s="96">
        <f>IF(Q217=1,INDEX('CDFs'!$W$6:$W$505,P217),0)</f>
        <v>0</v>
      </c>
      <c r="AA217" s="96">
        <f>IF(AND(N217=1,Y217=0,Z217=1,J217="Sim"),1,0)</f>
        <v>0</v>
      </c>
      <c r="AB217" s="96">
        <f>IF(AND(N217=1,O217&lt;&gt;"",D217&lt;&gt;""),IF(COUNTIFS($O$6:O217,O217,$D$6:D217,D217)=1,1,0),0)</f>
        <v>0</v>
      </c>
      <c r="AC217" s="96">
        <f>IF(T217=1,INDEX('ITENS_MTR'!$AL$6:$AL$1005,S217),0)</f>
        <v>0</v>
      </c>
    </row>
    <row r="218">
      <c r="A218" s="89" t="inlineStr">
        <is>
          <t>VIN-000213</t>
        </is>
      </c>
      <c r="B218" s="91" t="n"/>
      <c r="C218" s="91" t="n"/>
      <c r="D218" s="94" t="str">
        <f>IF(T218=1,INDEX('ITENS_MTR'!$S$6:$S$1005,S218)&amp;"","")</f>
        <v/>
      </c>
      <c r="E218" s="94" t="str">
        <f>IF(T218=1,INDEX('ITENS_MTR'!$C$6:$C$1005,S218)&amp;"","")</f>
        <v/>
      </c>
      <c r="F218" s="98" t="n"/>
      <c r="G218" s="91" t="n"/>
      <c r="H218" s="93" t="str">
        <f>IF(N218=0,"",IF(NOT(ISNUMBER(F218)),"",IF(ISNUMBER(U218),F218*U218,"UNIDADE A CONFERIR")))</f>
        <v/>
      </c>
      <c r="I218" s="94" t="str">
        <f>IF(Q218=1,INDEX('CDFs'!$F$6:$F$505,P218)&amp;"","")</f>
        <v/>
      </c>
      <c r="J218" s="91" t="n"/>
      <c r="K218" s="91" t="n"/>
      <c r="L218" s="94" t="str">
        <f>IF(N218=0,"",IF(NOT(ISNUMBER(F218)),"Quantidade não informada",IF(F218&lt;=0,"Quantidade não positiva",IF(G218="","Unidade não informada",IF(NOT(ISNUMBER(H218)),"Unidade a conferir",IF(AC218=1,"REVISAR VÍNCULO: soma vinculada maior que a referência do item","OK"))))))</f>
        <v/>
      </c>
      <c r="M218" s="94" t="str">
        <f>IF(N218=0,"",IF(B218="","CDF não informado",IF(Q218=0,"REVISAR VÍNCULO: CDF inexistente",IF(C218="","Item não informado",IF(T218=0,"REVISAR VÍNCULO: item inexistente",IF(AND(X218=1,J218&lt;&gt;"Sim"),"REVISAR VÍNCULO: destinador diferente do MTR",IF(X218=1,"Destinador diferente do MTR (analisado)","OK")))))))</f>
        <v/>
      </c>
      <c r="N218" s="96">
        <f>IF(COUNTA(B218:C218,F218:G218,J218:K218)&gt;0,1,0)</f>
        <v>0</v>
      </c>
      <c r="O218" s="96" t="str">
        <f>IF(B218="","",TRIM(LEFT(B218,FIND(" |",B218&amp;" |")-1)))</f>
        <v/>
      </c>
      <c r="P218" s="96" t="str">
        <f>IF(O218="","",IFERROR(MATCH(O218,'CDFs'!$A$6:$A$505,0),""))</f>
        <v/>
      </c>
      <c r="Q218" s="96">
        <f>IF(P218="",0,IF(INDEX('CDFs'!$S$6:$S$505,P218)=1,1,0))</f>
        <v>0</v>
      </c>
      <c r="R218" s="96" t="str">
        <f>IF(C218="","",TRIM(LEFT(C218,FIND(" |",C218&amp;" |")-1)))</f>
        <v/>
      </c>
      <c r="S218" s="96" t="str">
        <f>IF(R218="","",IFERROR(MATCH(R218,'ITENS_MTR'!$A$6:$A$1005,0),""))</f>
        <v/>
      </c>
      <c r="T218" s="96">
        <f>IF(S218="",0,IF(INDEX('ITENS_MTR'!$R$6:$R$1005,S218)=1,1,0))</f>
        <v>0</v>
      </c>
      <c r="U218" s="96" t="str">
        <f>IF(G218="","",IFERROR(IF(ISNUMBER(INDEX(cfg_fac,MATCH(G218,cfg_units,0))),IF(INDEX(cfg_fac,MATCH(G218,cfg_units,0))&gt;0,INDEX(cfg_fac,MATCH(G218,cfg_units,0)),""),""),""))</f>
        <v/>
      </c>
      <c r="V218" s="96">
        <f>IF(AND(ISNUMBER(F218),ISNUMBER(H218)),IF(H218&gt;0,1,0),0)</f>
        <v>0</v>
      </c>
      <c r="W218" s="96" t="str">
        <f>IF(T218=1,INDEX('ITENS_MTR'!$AU$6:$AU$1005,S218)&amp;"","")</f>
        <v/>
      </c>
      <c r="X218" s="96">
        <f>IF(AND(Q218=1,T218=1,I218&lt;&gt;"",W218&lt;&gt;""),IF(I218&lt;&gt;W218,1,0),0)</f>
        <v>0</v>
      </c>
      <c r="Y218" s="96">
        <f>IF(N218=0,0,IF(OR(Q218=0,T218=0,V218=0,AND(X218=1,J218&lt;&gt;"Sim")),1,0))</f>
        <v>0</v>
      </c>
      <c r="Z218" s="96">
        <f>IF(Q218=1,INDEX('CDFs'!$W$6:$W$505,P218),0)</f>
        <v>0</v>
      </c>
      <c r="AA218" s="96">
        <f>IF(AND(N218=1,Y218=0,Z218=1,J218="Sim"),1,0)</f>
        <v>0</v>
      </c>
      <c r="AB218" s="96">
        <f>IF(AND(N218=1,O218&lt;&gt;"",D218&lt;&gt;""),IF(COUNTIFS($O$6:O218,O218,$D$6:D218,D218)=1,1,0),0)</f>
        <v>0</v>
      </c>
      <c r="AC218" s="96">
        <f>IF(T218=1,INDEX('ITENS_MTR'!$AL$6:$AL$1005,S218),0)</f>
        <v>0</v>
      </c>
    </row>
    <row r="219">
      <c r="A219" s="89" t="inlineStr">
        <is>
          <t>VIN-000214</t>
        </is>
      </c>
      <c r="B219" s="91" t="n"/>
      <c r="C219" s="91" t="n"/>
      <c r="D219" s="94" t="str">
        <f>IF(T219=1,INDEX('ITENS_MTR'!$S$6:$S$1005,S219)&amp;"","")</f>
        <v/>
      </c>
      <c r="E219" s="94" t="str">
        <f>IF(T219=1,INDEX('ITENS_MTR'!$C$6:$C$1005,S219)&amp;"","")</f>
        <v/>
      </c>
      <c r="F219" s="98" t="n"/>
      <c r="G219" s="91" t="n"/>
      <c r="H219" s="93" t="str">
        <f>IF(N219=0,"",IF(NOT(ISNUMBER(F219)),"",IF(ISNUMBER(U219),F219*U219,"UNIDADE A CONFERIR")))</f>
        <v/>
      </c>
      <c r="I219" s="94" t="str">
        <f>IF(Q219=1,INDEX('CDFs'!$F$6:$F$505,P219)&amp;"","")</f>
        <v/>
      </c>
      <c r="J219" s="91" t="n"/>
      <c r="K219" s="91" t="n"/>
      <c r="L219" s="94" t="str">
        <f>IF(N219=0,"",IF(NOT(ISNUMBER(F219)),"Quantidade não informada",IF(F219&lt;=0,"Quantidade não positiva",IF(G219="","Unidade não informada",IF(NOT(ISNUMBER(H219)),"Unidade a conferir",IF(AC219=1,"REVISAR VÍNCULO: soma vinculada maior que a referência do item","OK"))))))</f>
        <v/>
      </c>
      <c r="M219" s="94" t="str">
        <f>IF(N219=0,"",IF(B219="","CDF não informado",IF(Q219=0,"REVISAR VÍNCULO: CDF inexistente",IF(C219="","Item não informado",IF(T219=0,"REVISAR VÍNCULO: item inexistente",IF(AND(X219=1,J219&lt;&gt;"Sim"),"REVISAR VÍNCULO: destinador diferente do MTR",IF(X219=1,"Destinador diferente do MTR (analisado)","OK")))))))</f>
        <v/>
      </c>
      <c r="N219" s="96">
        <f>IF(COUNTA(B219:C219,F219:G219,J219:K219)&gt;0,1,0)</f>
        <v>0</v>
      </c>
      <c r="O219" s="96" t="str">
        <f>IF(B219="","",TRIM(LEFT(B219,FIND(" |",B219&amp;" |")-1)))</f>
        <v/>
      </c>
      <c r="P219" s="96" t="str">
        <f>IF(O219="","",IFERROR(MATCH(O219,'CDFs'!$A$6:$A$505,0),""))</f>
        <v/>
      </c>
      <c r="Q219" s="96">
        <f>IF(P219="",0,IF(INDEX('CDFs'!$S$6:$S$505,P219)=1,1,0))</f>
        <v>0</v>
      </c>
      <c r="R219" s="96" t="str">
        <f>IF(C219="","",TRIM(LEFT(C219,FIND(" |",C219&amp;" |")-1)))</f>
        <v/>
      </c>
      <c r="S219" s="96" t="str">
        <f>IF(R219="","",IFERROR(MATCH(R219,'ITENS_MTR'!$A$6:$A$1005,0),""))</f>
        <v/>
      </c>
      <c r="T219" s="96">
        <f>IF(S219="",0,IF(INDEX('ITENS_MTR'!$R$6:$R$1005,S219)=1,1,0))</f>
        <v>0</v>
      </c>
      <c r="U219" s="96" t="str">
        <f>IF(G219="","",IFERROR(IF(ISNUMBER(INDEX(cfg_fac,MATCH(G219,cfg_units,0))),IF(INDEX(cfg_fac,MATCH(G219,cfg_units,0))&gt;0,INDEX(cfg_fac,MATCH(G219,cfg_units,0)),""),""),""))</f>
        <v/>
      </c>
      <c r="V219" s="96">
        <f>IF(AND(ISNUMBER(F219),ISNUMBER(H219)),IF(H219&gt;0,1,0),0)</f>
        <v>0</v>
      </c>
      <c r="W219" s="96" t="str">
        <f>IF(T219=1,INDEX('ITENS_MTR'!$AU$6:$AU$1005,S219)&amp;"","")</f>
        <v/>
      </c>
      <c r="X219" s="96">
        <f>IF(AND(Q219=1,T219=1,I219&lt;&gt;"",W219&lt;&gt;""),IF(I219&lt;&gt;W219,1,0),0)</f>
        <v>0</v>
      </c>
      <c r="Y219" s="96">
        <f>IF(N219=0,0,IF(OR(Q219=0,T219=0,V219=0,AND(X219=1,J219&lt;&gt;"Sim")),1,0))</f>
        <v>0</v>
      </c>
      <c r="Z219" s="96">
        <f>IF(Q219=1,INDEX('CDFs'!$W$6:$W$505,P219),0)</f>
        <v>0</v>
      </c>
      <c r="AA219" s="96">
        <f>IF(AND(N219=1,Y219=0,Z219=1,J219="Sim"),1,0)</f>
        <v>0</v>
      </c>
      <c r="AB219" s="96">
        <f>IF(AND(N219=1,O219&lt;&gt;"",D219&lt;&gt;""),IF(COUNTIFS($O$6:O219,O219,$D$6:D219,D219)=1,1,0),0)</f>
        <v>0</v>
      </c>
      <c r="AC219" s="96">
        <f>IF(T219=1,INDEX('ITENS_MTR'!$AL$6:$AL$1005,S219),0)</f>
        <v>0</v>
      </c>
    </row>
    <row r="220">
      <c r="A220" s="89" t="inlineStr">
        <is>
          <t>VIN-000215</t>
        </is>
      </c>
      <c r="B220" s="91" t="n"/>
      <c r="C220" s="91" t="n"/>
      <c r="D220" s="94" t="str">
        <f>IF(T220=1,INDEX('ITENS_MTR'!$S$6:$S$1005,S220)&amp;"","")</f>
        <v/>
      </c>
      <c r="E220" s="94" t="str">
        <f>IF(T220=1,INDEX('ITENS_MTR'!$C$6:$C$1005,S220)&amp;"","")</f>
        <v/>
      </c>
      <c r="F220" s="98" t="n"/>
      <c r="G220" s="91" t="n"/>
      <c r="H220" s="93" t="str">
        <f>IF(N220=0,"",IF(NOT(ISNUMBER(F220)),"",IF(ISNUMBER(U220),F220*U220,"UNIDADE A CONFERIR")))</f>
        <v/>
      </c>
      <c r="I220" s="94" t="str">
        <f>IF(Q220=1,INDEX('CDFs'!$F$6:$F$505,P220)&amp;"","")</f>
        <v/>
      </c>
      <c r="J220" s="91" t="n"/>
      <c r="K220" s="91" t="n"/>
      <c r="L220" s="94" t="str">
        <f>IF(N220=0,"",IF(NOT(ISNUMBER(F220)),"Quantidade não informada",IF(F220&lt;=0,"Quantidade não positiva",IF(G220="","Unidade não informada",IF(NOT(ISNUMBER(H220)),"Unidade a conferir",IF(AC220=1,"REVISAR VÍNCULO: soma vinculada maior que a referência do item","OK"))))))</f>
        <v/>
      </c>
      <c r="M220" s="94" t="str">
        <f>IF(N220=0,"",IF(B220="","CDF não informado",IF(Q220=0,"REVISAR VÍNCULO: CDF inexistente",IF(C220="","Item não informado",IF(T220=0,"REVISAR VÍNCULO: item inexistente",IF(AND(X220=1,J220&lt;&gt;"Sim"),"REVISAR VÍNCULO: destinador diferente do MTR",IF(X220=1,"Destinador diferente do MTR (analisado)","OK")))))))</f>
        <v/>
      </c>
      <c r="N220" s="96">
        <f>IF(COUNTA(B220:C220,F220:G220,J220:K220)&gt;0,1,0)</f>
        <v>0</v>
      </c>
      <c r="O220" s="96" t="str">
        <f>IF(B220="","",TRIM(LEFT(B220,FIND(" |",B220&amp;" |")-1)))</f>
        <v/>
      </c>
      <c r="P220" s="96" t="str">
        <f>IF(O220="","",IFERROR(MATCH(O220,'CDFs'!$A$6:$A$505,0),""))</f>
        <v/>
      </c>
      <c r="Q220" s="96">
        <f>IF(P220="",0,IF(INDEX('CDFs'!$S$6:$S$505,P220)=1,1,0))</f>
        <v>0</v>
      </c>
      <c r="R220" s="96" t="str">
        <f>IF(C220="","",TRIM(LEFT(C220,FIND(" |",C220&amp;" |")-1)))</f>
        <v/>
      </c>
      <c r="S220" s="96" t="str">
        <f>IF(R220="","",IFERROR(MATCH(R220,'ITENS_MTR'!$A$6:$A$1005,0),""))</f>
        <v/>
      </c>
      <c r="T220" s="96">
        <f>IF(S220="",0,IF(INDEX('ITENS_MTR'!$R$6:$R$1005,S220)=1,1,0))</f>
        <v>0</v>
      </c>
      <c r="U220" s="96" t="str">
        <f>IF(G220="","",IFERROR(IF(ISNUMBER(INDEX(cfg_fac,MATCH(G220,cfg_units,0))),IF(INDEX(cfg_fac,MATCH(G220,cfg_units,0))&gt;0,INDEX(cfg_fac,MATCH(G220,cfg_units,0)),""),""),""))</f>
        <v/>
      </c>
      <c r="V220" s="96">
        <f>IF(AND(ISNUMBER(F220),ISNUMBER(H220)),IF(H220&gt;0,1,0),0)</f>
        <v>0</v>
      </c>
      <c r="W220" s="96" t="str">
        <f>IF(T220=1,INDEX('ITENS_MTR'!$AU$6:$AU$1005,S220)&amp;"","")</f>
        <v/>
      </c>
      <c r="X220" s="96">
        <f>IF(AND(Q220=1,T220=1,I220&lt;&gt;"",W220&lt;&gt;""),IF(I220&lt;&gt;W220,1,0),0)</f>
        <v>0</v>
      </c>
      <c r="Y220" s="96">
        <f>IF(N220=0,0,IF(OR(Q220=0,T220=0,V220=0,AND(X220=1,J220&lt;&gt;"Sim")),1,0))</f>
        <v>0</v>
      </c>
      <c r="Z220" s="96">
        <f>IF(Q220=1,INDEX('CDFs'!$W$6:$W$505,P220),0)</f>
        <v>0</v>
      </c>
      <c r="AA220" s="96">
        <f>IF(AND(N220=1,Y220=0,Z220=1,J220="Sim"),1,0)</f>
        <v>0</v>
      </c>
      <c r="AB220" s="96">
        <f>IF(AND(N220=1,O220&lt;&gt;"",D220&lt;&gt;""),IF(COUNTIFS($O$6:O220,O220,$D$6:D220,D220)=1,1,0),0)</f>
        <v>0</v>
      </c>
      <c r="AC220" s="96">
        <f>IF(T220=1,INDEX('ITENS_MTR'!$AL$6:$AL$1005,S220),0)</f>
        <v>0</v>
      </c>
    </row>
    <row r="221">
      <c r="A221" s="89" t="inlineStr">
        <is>
          <t>VIN-000216</t>
        </is>
      </c>
      <c r="B221" s="91" t="n"/>
      <c r="C221" s="91" t="n"/>
      <c r="D221" s="94" t="str">
        <f>IF(T221=1,INDEX('ITENS_MTR'!$S$6:$S$1005,S221)&amp;"","")</f>
        <v/>
      </c>
      <c r="E221" s="94" t="str">
        <f>IF(T221=1,INDEX('ITENS_MTR'!$C$6:$C$1005,S221)&amp;"","")</f>
        <v/>
      </c>
      <c r="F221" s="98" t="n"/>
      <c r="G221" s="91" t="n"/>
      <c r="H221" s="93" t="str">
        <f>IF(N221=0,"",IF(NOT(ISNUMBER(F221)),"",IF(ISNUMBER(U221),F221*U221,"UNIDADE A CONFERIR")))</f>
        <v/>
      </c>
      <c r="I221" s="94" t="str">
        <f>IF(Q221=1,INDEX('CDFs'!$F$6:$F$505,P221)&amp;"","")</f>
        <v/>
      </c>
      <c r="J221" s="91" t="n"/>
      <c r="K221" s="91" t="n"/>
      <c r="L221" s="94" t="str">
        <f>IF(N221=0,"",IF(NOT(ISNUMBER(F221)),"Quantidade não informada",IF(F221&lt;=0,"Quantidade não positiva",IF(G221="","Unidade não informada",IF(NOT(ISNUMBER(H221)),"Unidade a conferir",IF(AC221=1,"REVISAR VÍNCULO: soma vinculada maior que a referência do item","OK"))))))</f>
        <v/>
      </c>
      <c r="M221" s="94" t="str">
        <f>IF(N221=0,"",IF(B221="","CDF não informado",IF(Q221=0,"REVISAR VÍNCULO: CDF inexistente",IF(C221="","Item não informado",IF(T221=0,"REVISAR VÍNCULO: item inexistente",IF(AND(X221=1,J221&lt;&gt;"Sim"),"REVISAR VÍNCULO: destinador diferente do MTR",IF(X221=1,"Destinador diferente do MTR (analisado)","OK")))))))</f>
        <v/>
      </c>
      <c r="N221" s="96">
        <f>IF(COUNTA(B221:C221,F221:G221,J221:K221)&gt;0,1,0)</f>
        <v>0</v>
      </c>
      <c r="O221" s="96" t="str">
        <f>IF(B221="","",TRIM(LEFT(B221,FIND(" |",B221&amp;" |")-1)))</f>
        <v/>
      </c>
      <c r="P221" s="96" t="str">
        <f>IF(O221="","",IFERROR(MATCH(O221,'CDFs'!$A$6:$A$505,0),""))</f>
        <v/>
      </c>
      <c r="Q221" s="96">
        <f>IF(P221="",0,IF(INDEX('CDFs'!$S$6:$S$505,P221)=1,1,0))</f>
        <v>0</v>
      </c>
      <c r="R221" s="96" t="str">
        <f>IF(C221="","",TRIM(LEFT(C221,FIND(" |",C221&amp;" |")-1)))</f>
        <v/>
      </c>
      <c r="S221" s="96" t="str">
        <f>IF(R221="","",IFERROR(MATCH(R221,'ITENS_MTR'!$A$6:$A$1005,0),""))</f>
        <v/>
      </c>
      <c r="T221" s="96">
        <f>IF(S221="",0,IF(INDEX('ITENS_MTR'!$R$6:$R$1005,S221)=1,1,0))</f>
        <v>0</v>
      </c>
      <c r="U221" s="96" t="str">
        <f>IF(G221="","",IFERROR(IF(ISNUMBER(INDEX(cfg_fac,MATCH(G221,cfg_units,0))),IF(INDEX(cfg_fac,MATCH(G221,cfg_units,0))&gt;0,INDEX(cfg_fac,MATCH(G221,cfg_units,0)),""),""),""))</f>
        <v/>
      </c>
      <c r="V221" s="96">
        <f>IF(AND(ISNUMBER(F221),ISNUMBER(H221)),IF(H221&gt;0,1,0),0)</f>
        <v>0</v>
      </c>
      <c r="W221" s="96" t="str">
        <f>IF(T221=1,INDEX('ITENS_MTR'!$AU$6:$AU$1005,S221)&amp;"","")</f>
        <v/>
      </c>
      <c r="X221" s="96">
        <f>IF(AND(Q221=1,T221=1,I221&lt;&gt;"",W221&lt;&gt;""),IF(I221&lt;&gt;W221,1,0),0)</f>
        <v>0</v>
      </c>
      <c r="Y221" s="96">
        <f>IF(N221=0,0,IF(OR(Q221=0,T221=0,V221=0,AND(X221=1,J221&lt;&gt;"Sim")),1,0))</f>
        <v>0</v>
      </c>
      <c r="Z221" s="96">
        <f>IF(Q221=1,INDEX('CDFs'!$W$6:$W$505,P221),0)</f>
        <v>0</v>
      </c>
      <c r="AA221" s="96">
        <f>IF(AND(N221=1,Y221=0,Z221=1,J221="Sim"),1,0)</f>
        <v>0</v>
      </c>
      <c r="AB221" s="96">
        <f>IF(AND(N221=1,O221&lt;&gt;"",D221&lt;&gt;""),IF(COUNTIFS($O$6:O221,O221,$D$6:D221,D221)=1,1,0),0)</f>
        <v>0</v>
      </c>
      <c r="AC221" s="96">
        <f>IF(T221=1,INDEX('ITENS_MTR'!$AL$6:$AL$1005,S221),0)</f>
        <v>0</v>
      </c>
    </row>
    <row r="222">
      <c r="A222" s="89" t="inlineStr">
        <is>
          <t>VIN-000217</t>
        </is>
      </c>
      <c r="B222" s="91" t="n"/>
      <c r="C222" s="91" t="n"/>
      <c r="D222" s="94" t="str">
        <f>IF(T222=1,INDEX('ITENS_MTR'!$S$6:$S$1005,S222)&amp;"","")</f>
        <v/>
      </c>
      <c r="E222" s="94" t="str">
        <f>IF(T222=1,INDEX('ITENS_MTR'!$C$6:$C$1005,S222)&amp;"","")</f>
        <v/>
      </c>
      <c r="F222" s="98" t="n"/>
      <c r="G222" s="91" t="n"/>
      <c r="H222" s="93" t="str">
        <f>IF(N222=0,"",IF(NOT(ISNUMBER(F222)),"",IF(ISNUMBER(U222),F222*U222,"UNIDADE A CONFERIR")))</f>
        <v/>
      </c>
      <c r="I222" s="94" t="str">
        <f>IF(Q222=1,INDEX('CDFs'!$F$6:$F$505,P222)&amp;"","")</f>
        <v/>
      </c>
      <c r="J222" s="91" t="n"/>
      <c r="K222" s="91" t="n"/>
      <c r="L222" s="94" t="str">
        <f>IF(N222=0,"",IF(NOT(ISNUMBER(F222)),"Quantidade não informada",IF(F222&lt;=0,"Quantidade não positiva",IF(G222="","Unidade não informada",IF(NOT(ISNUMBER(H222)),"Unidade a conferir",IF(AC222=1,"REVISAR VÍNCULO: soma vinculada maior que a referência do item","OK"))))))</f>
        <v/>
      </c>
      <c r="M222" s="94" t="str">
        <f>IF(N222=0,"",IF(B222="","CDF não informado",IF(Q222=0,"REVISAR VÍNCULO: CDF inexistente",IF(C222="","Item não informado",IF(T222=0,"REVISAR VÍNCULO: item inexistente",IF(AND(X222=1,J222&lt;&gt;"Sim"),"REVISAR VÍNCULO: destinador diferente do MTR",IF(X222=1,"Destinador diferente do MTR (analisado)","OK")))))))</f>
        <v/>
      </c>
      <c r="N222" s="96">
        <f>IF(COUNTA(B222:C222,F222:G222,J222:K222)&gt;0,1,0)</f>
        <v>0</v>
      </c>
      <c r="O222" s="96" t="str">
        <f>IF(B222="","",TRIM(LEFT(B222,FIND(" |",B222&amp;" |")-1)))</f>
        <v/>
      </c>
      <c r="P222" s="96" t="str">
        <f>IF(O222="","",IFERROR(MATCH(O222,'CDFs'!$A$6:$A$505,0),""))</f>
        <v/>
      </c>
      <c r="Q222" s="96">
        <f>IF(P222="",0,IF(INDEX('CDFs'!$S$6:$S$505,P222)=1,1,0))</f>
        <v>0</v>
      </c>
      <c r="R222" s="96" t="str">
        <f>IF(C222="","",TRIM(LEFT(C222,FIND(" |",C222&amp;" |")-1)))</f>
        <v/>
      </c>
      <c r="S222" s="96" t="str">
        <f>IF(R222="","",IFERROR(MATCH(R222,'ITENS_MTR'!$A$6:$A$1005,0),""))</f>
        <v/>
      </c>
      <c r="T222" s="96">
        <f>IF(S222="",0,IF(INDEX('ITENS_MTR'!$R$6:$R$1005,S222)=1,1,0))</f>
        <v>0</v>
      </c>
      <c r="U222" s="96" t="str">
        <f>IF(G222="","",IFERROR(IF(ISNUMBER(INDEX(cfg_fac,MATCH(G222,cfg_units,0))),IF(INDEX(cfg_fac,MATCH(G222,cfg_units,0))&gt;0,INDEX(cfg_fac,MATCH(G222,cfg_units,0)),""),""),""))</f>
        <v/>
      </c>
      <c r="V222" s="96">
        <f>IF(AND(ISNUMBER(F222),ISNUMBER(H222)),IF(H222&gt;0,1,0),0)</f>
        <v>0</v>
      </c>
      <c r="W222" s="96" t="str">
        <f>IF(T222=1,INDEX('ITENS_MTR'!$AU$6:$AU$1005,S222)&amp;"","")</f>
        <v/>
      </c>
      <c r="X222" s="96">
        <f>IF(AND(Q222=1,T222=1,I222&lt;&gt;"",W222&lt;&gt;""),IF(I222&lt;&gt;W222,1,0),0)</f>
        <v>0</v>
      </c>
      <c r="Y222" s="96">
        <f>IF(N222=0,0,IF(OR(Q222=0,T222=0,V222=0,AND(X222=1,J222&lt;&gt;"Sim")),1,0))</f>
        <v>0</v>
      </c>
      <c r="Z222" s="96">
        <f>IF(Q222=1,INDEX('CDFs'!$W$6:$W$505,P222),0)</f>
        <v>0</v>
      </c>
      <c r="AA222" s="96">
        <f>IF(AND(N222=1,Y222=0,Z222=1,J222="Sim"),1,0)</f>
        <v>0</v>
      </c>
      <c r="AB222" s="96">
        <f>IF(AND(N222=1,O222&lt;&gt;"",D222&lt;&gt;""),IF(COUNTIFS($O$6:O222,O222,$D$6:D222,D222)=1,1,0),0)</f>
        <v>0</v>
      </c>
      <c r="AC222" s="96">
        <f>IF(T222=1,INDEX('ITENS_MTR'!$AL$6:$AL$1005,S222),0)</f>
        <v>0</v>
      </c>
    </row>
    <row r="223">
      <c r="A223" s="89" t="inlineStr">
        <is>
          <t>VIN-000218</t>
        </is>
      </c>
      <c r="B223" s="91" t="n"/>
      <c r="C223" s="91" t="n"/>
      <c r="D223" s="94" t="str">
        <f>IF(T223=1,INDEX('ITENS_MTR'!$S$6:$S$1005,S223)&amp;"","")</f>
        <v/>
      </c>
      <c r="E223" s="94" t="str">
        <f>IF(T223=1,INDEX('ITENS_MTR'!$C$6:$C$1005,S223)&amp;"","")</f>
        <v/>
      </c>
      <c r="F223" s="98" t="n"/>
      <c r="G223" s="91" t="n"/>
      <c r="H223" s="93" t="str">
        <f>IF(N223=0,"",IF(NOT(ISNUMBER(F223)),"",IF(ISNUMBER(U223),F223*U223,"UNIDADE A CONFERIR")))</f>
        <v/>
      </c>
      <c r="I223" s="94" t="str">
        <f>IF(Q223=1,INDEX('CDFs'!$F$6:$F$505,P223)&amp;"","")</f>
        <v/>
      </c>
      <c r="J223" s="91" t="n"/>
      <c r="K223" s="91" t="n"/>
      <c r="L223" s="94" t="str">
        <f>IF(N223=0,"",IF(NOT(ISNUMBER(F223)),"Quantidade não informada",IF(F223&lt;=0,"Quantidade não positiva",IF(G223="","Unidade não informada",IF(NOT(ISNUMBER(H223)),"Unidade a conferir",IF(AC223=1,"REVISAR VÍNCULO: soma vinculada maior que a referência do item","OK"))))))</f>
        <v/>
      </c>
      <c r="M223" s="94" t="str">
        <f>IF(N223=0,"",IF(B223="","CDF não informado",IF(Q223=0,"REVISAR VÍNCULO: CDF inexistente",IF(C223="","Item não informado",IF(T223=0,"REVISAR VÍNCULO: item inexistente",IF(AND(X223=1,J223&lt;&gt;"Sim"),"REVISAR VÍNCULO: destinador diferente do MTR",IF(X223=1,"Destinador diferente do MTR (analisado)","OK")))))))</f>
        <v/>
      </c>
      <c r="N223" s="96">
        <f>IF(COUNTA(B223:C223,F223:G223,J223:K223)&gt;0,1,0)</f>
        <v>0</v>
      </c>
      <c r="O223" s="96" t="str">
        <f>IF(B223="","",TRIM(LEFT(B223,FIND(" |",B223&amp;" |")-1)))</f>
        <v/>
      </c>
      <c r="P223" s="96" t="str">
        <f>IF(O223="","",IFERROR(MATCH(O223,'CDFs'!$A$6:$A$505,0),""))</f>
        <v/>
      </c>
      <c r="Q223" s="96">
        <f>IF(P223="",0,IF(INDEX('CDFs'!$S$6:$S$505,P223)=1,1,0))</f>
        <v>0</v>
      </c>
      <c r="R223" s="96" t="str">
        <f>IF(C223="","",TRIM(LEFT(C223,FIND(" |",C223&amp;" |")-1)))</f>
        <v/>
      </c>
      <c r="S223" s="96" t="str">
        <f>IF(R223="","",IFERROR(MATCH(R223,'ITENS_MTR'!$A$6:$A$1005,0),""))</f>
        <v/>
      </c>
      <c r="T223" s="96">
        <f>IF(S223="",0,IF(INDEX('ITENS_MTR'!$R$6:$R$1005,S223)=1,1,0))</f>
        <v>0</v>
      </c>
      <c r="U223" s="96" t="str">
        <f>IF(G223="","",IFERROR(IF(ISNUMBER(INDEX(cfg_fac,MATCH(G223,cfg_units,0))),IF(INDEX(cfg_fac,MATCH(G223,cfg_units,0))&gt;0,INDEX(cfg_fac,MATCH(G223,cfg_units,0)),""),""),""))</f>
        <v/>
      </c>
      <c r="V223" s="96">
        <f>IF(AND(ISNUMBER(F223),ISNUMBER(H223)),IF(H223&gt;0,1,0),0)</f>
        <v>0</v>
      </c>
      <c r="W223" s="96" t="str">
        <f>IF(T223=1,INDEX('ITENS_MTR'!$AU$6:$AU$1005,S223)&amp;"","")</f>
        <v/>
      </c>
      <c r="X223" s="96">
        <f>IF(AND(Q223=1,T223=1,I223&lt;&gt;"",W223&lt;&gt;""),IF(I223&lt;&gt;W223,1,0),0)</f>
        <v>0</v>
      </c>
      <c r="Y223" s="96">
        <f>IF(N223=0,0,IF(OR(Q223=0,T223=0,V223=0,AND(X223=1,J223&lt;&gt;"Sim")),1,0))</f>
        <v>0</v>
      </c>
      <c r="Z223" s="96">
        <f>IF(Q223=1,INDEX('CDFs'!$W$6:$W$505,P223),0)</f>
        <v>0</v>
      </c>
      <c r="AA223" s="96">
        <f>IF(AND(N223=1,Y223=0,Z223=1,J223="Sim"),1,0)</f>
        <v>0</v>
      </c>
      <c r="AB223" s="96">
        <f>IF(AND(N223=1,O223&lt;&gt;"",D223&lt;&gt;""),IF(COUNTIFS($O$6:O223,O223,$D$6:D223,D223)=1,1,0),0)</f>
        <v>0</v>
      </c>
      <c r="AC223" s="96">
        <f>IF(T223=1,INDEX('ITENS_MTR'!$AL$6:$AL$1005,S223),0)</f>
        <v>0</v>
      </c>
    </row>
    <row r="224">
      <c r="A224" s="89" t="inlineStr">
        <is>
          <t>VIN-000219</t>
        </is>
      </c>
      <c r="B224" s="91" t="n"/>
      <c r="C224" s="91" t="n"/>
      <c r="D224" s="94" t="str">
        <f>IF(T224=1,INDEX('ITENS_MTR'!$S$6:$S$1005,S224)&amp;"","")</f>
        <v/>
      </c>
      <c r="E224" s="94" t="str">
        <f>IF(T224=1,INDEX('ITENS_MTR'!$C$6:$C$1005,S224)&amp;"","")</f>
        <v/>
      </c>
      <c r="F224" s="98" t="n"/>
      <c r="G224" s="91" t="n"/>
      <c r="H224" s="93" t="str">
        <f>IF(N224=0,"",IF(NOT(ISNUMBER(F224)),"",IF(ISNUMBER(U224),F224*U224,"UNIDADE A CONFERIR")))</f>
        <v/>
      </c>
      <c r="I224" s="94" t="str">
        <f>IF(Q224=1,INDEX('CDFs'!$F$6:$F$505,P224)&amp;"","")</f>
        <v/>
      </c>
      <c r="J224" s="91" t="n"/>
      <c r="K224" s="91" t="n"/>
      <c r="L224" s="94" t="str">
        <f>IF(N224=0,"",IF(NOT(ISNUMBER(F224)),"Quantidade não informada",IF(F224&lt;=0,"Quantidade não positiva",IF(G224="","Unidade não informada",IF(NOT(ISNUMBER(H224)),"Unidade a conferir",IF(AC224=1,"REVISAR VÍNCULO: soma vinculada maior que a referência do item","OK"))))))</f>
        <v/>
      </c>
      <c r="M224" s="94" t="str">
        <f>IF(N224=0,"",IF(B224="","CDF não informado",IF(Q224=0,"REVISAR VÍNCULO: CDF inexistente",IF(C224="","Item não informado",IF(T224=0,"REVISAR VÍNCULO: item inexistente",IF(AND(X224=1,J224&lt;&gt;"Sim"),"REVISAR VÍNCULO: destinador diferente do MTR",IF(X224=1,"Destinador diferente do MTR (analisado)","OK")))))))</f>
        <v/>
      </c>
      <c r="N224" s="96">
        <f>IF(COUNTA(B224:C224,F224:G224,J224:K224)&gt;0,1,0)</f>
        <v>0</v>
      </c>
      <c r="O224" s="96" t="str">
        <f>IF(B224="","",TRIM(LEFT(B224,FIND(" |",B224&amp;" |")-1)))</f>
        <v/>
      </c>
      <c r="P224" s="96" t="str">
        <f>IF(O224="","",IFERROR(MATCH(O224,'CDFs'!$A$6:$A$505,0),""))</f>
        <v/>
      </c>
      <c r="Q224" s="96">
        <f>IF(P224="",0,IF(INDEX('CDFs'!$S$6:$S$505,P224)=1,1,0))</f>
        <v>0</v>
      </c>
      <c r="R224" s="96" t="str">
        <f>IF(C224="","",TRIM(LEFT(C224,FIND(" |",C224&amp;" |")-1)))</f>
        <v/>
      </c>
      <c r="S224" s="96" t="str">
        <f>IF(R224="","",IFERROR(MATCH(R224,'ITENS_MTR'!$A$6:$A$1005,0),""))</f>
        <v/>
      </c>
      <c r="T224" s="96">
        <f>IF(S224="",0,IF(INDEX('ITENS_MTR'!$R$6:$R$1005,S224)=1,1,0))</f>
        <v>0</v>
      </c>
      <c r="U224" s="96" t="str">
        <f>IF(G224="","",IFERROR(IF(ISNUMBER(INDEX(cfg_fac,MATCH(G224,cfg_units,0))),IF(INDEX(cfg_fac,MATCH(G224,cfg_units,0))&gt;0,INDEX(cfg_fac,MATCH(G224,cfg_units,0)),""),""),""))</f>
        <v/>
      </c>
      <c r="V224" s="96">
        <f>IF(AND(ISNUMBER(F224),ISNUMBER(H224)),IF(H224&gt;0,1,0),0)</f>
        <v>0</v>
      </c>
      <c r="W224" s="96" t="str">
        <f>IF(T224=1,INDEX('ITENS_MTR'!$AU$6:$AU$1005,S224)&amp;"","")</f>
        <v/>
      </c>
      <c r="X224" s="96">
        <f>IF(AND(Q224=1,T224=1,I224&lt;&gt;"",W224&lt;&gt;""),IF(I224&lt;&gt;W224,1,0),0)</f>
        <v>0</v>
      </c>
      <c r="Y224" s="96">
        <f>IF(N224=0,0,IF(OR(Q224=0,T224=0,V224=0,AND(X224=1,J224&lt;&gt;"Sim")),1,0))</f>
        <v>0</v>
      </c>
      <c r="Z224" s="96">
        <f>IF(Q224=1,INDEX('CDFs'!$W$6:$W$505,P224),0)</f>
        <v>0</v>
      </c>
      <c r="AA224" s="96">
        <f>IF(AND(N224=1,Y224=0,Z224=1,J224="Sim"),1,0)</f>
        <v>0</v>
      </c>
      <c r="AB224" s="96">
        <f>IF(AND(N224=1,O224&lt;&gt;"",D224&lt;&gt;""),IF(COUNTIFS($O$6:O224,O224,$D$6:D224,D224)=1,1,0),0)</f>
        <v>0</v>
      </c>
      <c r="AC224" s="96">
        <f>IF(T224=1,INDEX('ITENS_MTR'!$AL$6:$AL$1005,S224),0)</f>
        <v>0</v>
      </c>
    </row>
    <row r="225">
      <c r="A225" s="89" t="inlineStr">
        <is>
          <t>VIN-000220</t>
        </is>
      </c>
      <c r="B225" s="91" t="n"/>
      <c r="C225" s="91" t="n"/>
      <c r="D225" s="94" t="str">
        <f>IF(T225=1,INDEX('ITENS_MTR'!$S$6:$S$1005,S225)&amp;"","")</f>
        <v/>
      </c>
      <c r="E225" s="94" t="str">
        <f>IF(T225=1,INDEX('ITENS_MTR'!$C$6:$C$1005,S225)&amp;"","")</f>
        <v/>
      </c>
      <c r="F225" s="98" t="n"/>
      <c r="G225" s="91" t="n"/>
      <c r="H225" s="93" t="str">
        <f>IF(N225=0,"",IF(NOT(ISNUMBER(F225)),"",IF(ISNUMBER(U225),F225*U225,"UNIDADE A CONFERIR")))</f>
        <v/>
      </c>
      <c r="I225" s="94" t="str">
        <f>IF(Q225=1,INDEX('CDFs'!$F$6:$F$505,P225)&amp;"","")</f>
        <v/>
      </c>
      <c r="J225" s="91" t="n"/>
      <c r="K225" s="91" t="n"/>
      <c r="L225" s="94" t="str">
        <f>IF(N225=0,"",IF(NOT(ISNUMBER(F225)),"Quantidade não informada",IF(F225&lt;=0,"Quantidade não positiva",IF(G225="","Unidade não informada",IF(NOT(ISNUMBER(H225)),"Unidade a conferir",IF(AC225=1,"REVISAR VÍNCULO: soma vinculada maior que a referência do item","OK"))))))</f>
        <v/>
      </c>
      <c r="M225" s="94" t="str">
        <f>IF(N225=0,"",IF(B225="","CDF não informado",IF(Q225=0,"REVISAR VÍNCULO: CDF inexistente",IF(C225="","Item não informado",IF(T225=0,"REVISAR VÍNCULO: item inexistente",IF(AND(X225=1,J225&lt;&gt;"Sim"),"REVISAR VÍNCULO: destinador diferente do MTR",IF(X225=1,"Destinador diferente do MTR (analisado)","OK")))))))</f>
        <v/>
      </c>
      <c r="N225" s="96">
        <f>IF(COUNTA(B225:C225,F225:G225,J225:K225)&gt;0,1,0)</f>
        <v>0</v>
      </c>
      <c r="O225" s="96" t="str">
        <f>IF(B225="","",TRIM(LEFT(B225,FIND(" |",B225&amp;" |")-1)))</f>
        <v/>
      </c>
      <c r="P225" s="96" t="str">
        <f>IF(O225="","",IFERROR(MATCH(O225,'CDFs'!$A$6:$A$505,0),""))</f>
        <v/>
      </c>
      <c r="Q225" s="96">
        <f>IF(P225="",0,IF(INDEX('CDFs'!$S$6:$S$505,P225)=1,1,0))</f>
        <v>0</v>
      </c>
      <c r="R225" s="96" t="str">
        <f>IF(C225="","",TRIM(LEFT(C225,FIND(" |",C225&amp;" |")-1)))</f>
        <v/>
      </c>
      <c r="S225" s="96" t="str">
        <f>IF(R225="","",IFERROR(MATCH(R225,'ITENS_MTR'!$A$6:$A$1005,0),""))</f>
        <v/>
      </c>
      <c r="T225" s="96">
        <f>IF(S225="",0,IF(INDEX('ITENS_MTR'!$R$6:$R$1005,S225)=1,1,0))</f>
        <v>0</v>
      </c>
      <c r="U225" s="96" t="str">
        <f>IF(G225="","",IFERROR(IF(ISNUMBER(INDEX(cfg_fac,MATCH(G225,cfg_units,0))),IF(INDEX(cfg_fac,MATCH(G225,cfg_units,0))&gt;0,INDEX(cfg_fac,MATCH(G225,cfg_units,0)),""),""),""))</f>
        <v/>
      </c>
      <c r="V225" s="96">
        <f>IF(AND(ISNUMBER(F225),ISNUMBER(H225)),IF(H225&gt;0,1,0),0)</f>
        <v>0</v>
      </c>
      <c r="W225" s="96" t="str">
        <f>IF(T225=1,INDEX('ITENS_MTR'!$AU$6:$AU$1005,S225)&amp;"","")</f>
        <v/>
      </c>
      <c r="X225" s="96">
        <f>IF(AND(Q225=1,T225=1,I225&lt;&gt;"",W225&lt;&gt;""),IF(I225&lt;&gt;W225,1,0),0)</f>
        <v>0</v>
      </c>
      <c r="Y225" s="96">
        <f>IF(N225=0,0,IF(OR(Q225=0,T225=0,V225=0,AND(X225=1,J225&lt;&gt;"Sim")),1,0))</f>
        <v>0</v>
      </c>
      <c r="Z225" s="96">
        <f>IF(Q225=1,INDEX('CDFs'!$W$6:$W$505,P225),0)</f>
        <v>0</v>
      </c>
      <c r="AA225" s="96">
        <f>IF(AND(N225=1,Y225=0,Z225=1,J225="Sim"),1,0)</f>
        <v>0</v>
      </c>
      <c r="AB225" s="96">
        <f>IF(AND(N225=1,O225&lt;&gt;"",D225&lt;&gt;""),IF(COUNTIFS($O$6:O225,O225,$D$6:D225,D225)=1,1,0),0)</f>
        <v>0</v>
      </c>
      <c r="AC225" s="96">
        <f>IF(T225=1,INDEX('ITENS_MTR'!$AL$6:$AL$1005,S225),0)</f>
        <v>0</v>
      </c>
    </row>
    <row r="226">
      <c r="A226" s="89" t="inlineStr">
        <is>
          <t>VIN-000221</t>
        </is>
      </c>
      <c r="B226" s="91" t="n"/>
      <c r="C226" s="91" t="n"/>
      <c r="D226" s="94" t="str">
        <f>IF(T226=1,INDEX('ITENS_MTR'!$S$6:$S$1005,S226)&amp;"","")</f>
        <v/>
      </c>
      <c r="E226" s="94" t="str">
        <f>IF(T226=1,INDEX('ITENS_MTR'!$C$6:$C$1005,S226)&amp;"","")</f>
        <v/>
      </c>
      <c r="F226" s="98" t="n"/>
      <c r="G226" s="91" t="n"/>
      <c r="H226" s="93" t="str">
        <f>IF(N226=0,"",IF(NOT(ISNUMBER(F226)),"",IF(ISNUMBER(U226),F226*U226,"UNIDADE A CONFERIR")))</f>
        <v/>
      </c>
      <c r="I226" s="94" t="str">
        <f>IF(Q226=1,INDEX('CDFs'!$F$6:$F$505,P226)&amp;"","")</f>
        <v/>
      </c>
      <c r="J226" s="91" t="n"/>
      <c r="K226" s="91" t="n"/>
      <c r="L226" s="94" t="str">
        <f>IF(N226=0,"",IF(NOT(ISNUMBER(F226)),"Quantidade não informada",IF(F226&lt;=0,"Quantidade não positiva",IF(G226="","Unidade não informada",IF(NOT(ISNUMBER(H226)),"Unidade a conferir",IF(AC226=1,"REVISAR VÍNCULO: soma vinculada maior que a referência do item","OK"))))))</f>
        <v/>
      </c>
      <c r="M226" s="94" t="str">
        <f>IF(N226=0,"",IF(B226="","CDF não informado",IF(Q226=0,"REVISAR VÍNCULO: CDF inexistente",IF(C226="","Item não informado",IF(T226=0,"REVISAR VÍNCULO: item inexistente",IF(AND(X226=1,J226&lt;&gt;"Sim"),"REVISAR VÍNCULO: destinador diferente do MTR",IF(X226=1,"Destinador diferente do MTR (analisado)","OK")))))))</f>
        <v/>
      </c>
      <c r="N226" s="96">
        <f>IF(COUNTA(B226:C226,F226:G226,J226:K226)&gt;0,1,0)</f>
        <v>0</v>
      </c>
      <c r="O226" s="96" t="str">
        <f>IF(B226="","",TRIM(LEFT(B226,FIND(" |",B226&amp;" |")-1)))</f>
        <v/>
      </c>
      <c r="P226" s="96" t="str">
        <f>IF(O226="","",IFERROR(MATCH(O226,'CDFs'!$A$6:$A$505,0),""))</f>
        <v/>
      </c>
      <c r="Q226" s="96">
        <f>IF(P226="",0,IF(INDEX('CDFs'!$S$6:$S$505,P226)=1,1,0))</f>
        <v>0</v>
      </c>
      <c r="R226" s="96" t="str">
        <f>IF(C226="","",TRIM(LEFT(C226,FIND(" |",C226&amp;" |")-1)))</f>
        <v/>
      </c>
      <c r="S226" s="96" t="str">
        <f>IF(R226="","",IFERROR(MATCH(R226,'ITENS_MTR'!$A$6:$A$1005,0),""))</f>
        <v/>
      </c>
      <c r="T226" s="96">
        <f>IF(S226="",0,IF(INDEX('ITENS_MTR'!$R$6:$R$1005,S226)=1,1,0))</f>
        <v>0</v>
      </c>
      <c r="U226" s="96" t="str">
        <f>IF(G226="","",IFERROR(IF(ISNUMBER(INDEX(cfg_fac,MATCH(G226,cfg_units,0))),IF(INDEX(cfg_fac,MATCH(G226,cfg_units,0))&gt;0,INDEX(cfg_fac,MATCH(G226,cfg_units,0)),""),""),""))</f>
        <v/>
      </c>
      <c r="V226" s="96">
        <f>IF(AND(ISNUMBER(F226),ISNUMBER(H226)),IF(H226&gt;0,1,0),0)</f>
        <v>0</v>
      </c>
      <c r="W226" s="96" t="str">
        <f>IF(T226=1,INDEX('ITENS_MTR'!$AU$6:$AU$1005,S226)&amp;"","")</f>
        <v/>
      </c>
      <c r="X226" s="96">
        <f>IF(AND(Q226=1,T226=1,I226&lt;&gt;"",W226&lt;&gt;""),IF(I226&lt;&gt;W226,1,0),0)</f>
        <v>0</v>
      </c>
      <c r="Y226" s="96">
        <f>IF(N226=0,0,IF(OR(Q226=0,T226=0,V226=0,AND(X226=1,J226&lt;&gt;"Sim")),1,0))</f>
        <v>0</v>
      </c>
      <c r="Z226" s="96">
        <f>IF(Q226=1,INDEX('CDFs'!$W$6:$W$505,P226),0)</f>
        <v>0</v>
      </c>
      <c r="AA226" s="96">
        <f>IF(AND(N226=1,Y226=0,Z226=1,J226="Sim"),1,0)</f>
        <v>0</v>
      </c>
      <c r="AB226" s="96">
        <f>IF(AND(N226=1,O226&lt;&gt;"",D226&lt;&gt;""),IF(COUNTIFS($O$6:O226,O226,$D$6:D226,D226)=1,1,0),0)</f>
        <v>0</v>
      </c>
      <c r="AC226" s="96">
        <f>IF(T226=1,INDEX('ITENS_MTR'!$AL$6:$AL$1005,S226),0)</f>
        <v>0</v>
      </c>
    </row>
    <row r="227">
      <c r="A227" s="89" t="inlineStr">
        <is>
          <t>VIN-000222</t>
        </is>
      </c>
      <c r="B227" s="91" t="n"/>
      <c r="C227" s="91" t="n"/>
      <c r="D227" s="94" t="str">
        <f>IF(T227=1,INDEX('ITENS_MTR'!$S$6:$S$1005,S227)&amp;"","")</f>
        <v/>
      </c>
      <c r="E227" s="94" t="str">
        <f>IF(T227=1,INDEX('ITENS_MTR'!$C$6:$C$1005,S227)&amp;"","")</f>
        <v/>
      </c>
      <c r="F227" s="98" t="n"/>
      <c r="G227" s="91" t="n"/>
      <c r="H227" s="93" t="str">
        <f>IF(N227=0,"",IF(NOT(ISNUMBER(F227)),"",IF(ISNUMBER(U227),F227*U227,"UNIDADE A CONFERIR")))</f>
        <v/>
      </c>
      <c r="I227" s="94" t="str">
        <f>IF(Q227=1,INDEX('CDFs'!$F$6:$F$505,P227)&amp;"","")</f>
        <v/>
      </c>
      <c r="J227" s="91" t="n"/>
      <c r="K227" s="91" t="n"/>
      <c r="L227" s="94" t="str">
        <f>IF(N227=0,"",IF(NOT(ISNUMBER(F227)),"Quantidade não informada",IF(F227&lt;=0,"Quantidade não positiva",IF(G227="","Unidade não informada",IF(NOT(ISNUMBER(H227)),"Unidade a conferir",IF(AC227=1,"REVISAR VÍNCULO: soma vinculada maior que a referência do item","OK"))))))</f>
        <v/>
      </c>
      <c r="M227" s="94" t="str">
        <f>IF(N227=0,"",IF(B227="","CDF não informado",IF(Q227=0,"REVISAR VÍNCULO: CDF inexistente",IF(C227="","Item não informado",IF(T227=0,"REVISAR VÍNCULO: item inexistente",IF(AND(X227=1,J227&lt;&gt;"Sim"),"REVISAR VÍNCULO: destinador diferente do MTR",IF(X227=1,"Destinador diferente do MTR (analisado)","OK")))))))</f>
        <v/>
      </c>
      <c r="N227" s="96">
        <f>IF(COUNTA(B227:C227,F227:G227,J227:K227)&gt;0,1,0)</f>
        <v>0</v>
      </c>
      <c r="O227" s="96" t="str">
        <f>IF(B227="","",TRIM(LEFT(B227,FIND(" |",B227&amp;" |")-1)))</f>
        <v/>
      </c>
      <c r="P227" s="96" t="str">
        <f>IF(O227="","",IFERROR(MATCH(O227,'CDFs'!$A$6:$A$505,0),""))</f>
        <v/>
      </c>
      <c r="Q227" s="96">
        <f>IF(P227="",0,IF(INDEX('CDFs'!$S$6:$S$505,P227)=1,1,0))</f>
        <v>0</v>
      </c>
      <c r="R227" s="96" t="str">
        <f>IF(C227="","",TRIM(LEFT(C227,FIND(" |",C227&amp;" |")-1)))</f>
        <v/>
      </c>
      <c r="S227" s="96" t="str">
        <f>IF(R227="","",IFERROR(MATCH(R227,'ITENS_MTR'!$A$6:$A$1005,0),""))</f>
        <v/>
      </c>
      <c r="T227" s="96">
        <f>IF(S227="",0,IF(INDEX('ITENS_MTR'!$R$6:$R$1005,S227)=1,1,0))</f>
        <v>0</v>
      </c>
      <c r="U227" s="96" t="str">
        <f>IF(G227="","",IFERROR(IF(ISNUMBER(INDEX(cfg_fac,MATCH(G227,cfg_units,0))),IF(INDEX(cfg_fac,MATCH(G227,cfg_units,0))&gt;0,INDEX(cfg_fac,MATCH(G227,cfg_units,0)),""),""),""))</f>
        <v/>
      </c>
      <c r="V227" s="96">
        <f>IF(AND(ISNUMBER(F227),ISNUMBER(H227)),IF(H227&gt;0,1,0),0)</f>
        <v>0</v>
      </c>
      <c r="W227" s="96" t="str">
        <f>IF(T227=1,INDEX('ITENS_MTR'!$AU$6:$AU$1005,S227)&amp;"","")</f>
        <v/>
      </c>
      <c r="X227" s="96">
        <f>IF(AND(Q227=1,T227=1,I227&lt;&gt;"",W227&lt;&gt;""),IF(I227&lt;&gt;W227,1,0),0)</f>
        <v>0</v>
      </c>
      <c r="Y227" s="96">
        <f>IF(N227=0,0,IF(OR(Q227=0,T227=0,V227=0,AND(X227=1,J227&lt;&gt;"Sim")),1,0))</f>
        <v>0</v>
      </c>
      <c r="Z227" s="96">
        <f>IF(Q227=1,INDEX('CDFs'!$W$6:$W$505,P227),0)</f>
        <v>0</v>
      </c>
      <c r="AA227" s="96">
        <f>IF(AND(N227=1,Y227=0,Z227=1,J227="Sim"),1,0)</f>
        <v>0</v>
      </c>
      <c r="AB227" s="96">
        <f>IF(AND(N227=1,O227&lt;&gt;"",D227&lt;&gt;""),IF(COUNTIFS($O$6:O227,O227,$D$6:D227,D227)=1,1,0),0)</f>
        <v>0</v>
      </c>
      <c r="AC227" s="96">
        <f>IF(T227=1,INDEX('ITENS_MTR'!$AL$6:$AL$1005,S227),0)</f>
        <v>0</v>
      </c>
    </row>
    <row r="228">
      <c r="A228" s="89" t="inlineStr">
        <is>
          <t>VIN-000223</t>
        </is>
      </c>
      <c r="B228" s="91" t="n"/>
      <c r="C228" s="91" t="n"/>
      <c r="D228" s="94" t="str">
        <f>IF(T228=1,INDEX('ITENS_MTR'!$S$6:$S$1005,S228)&amp;"","")</f>
        <v/>
      </c>
      <c r="E228" s="94" t="str">
        <f>IF(T228=1,INDEX('ITENS_MTR'!$C$6:$C$1005,S228)&amp;"","")</f>
        <v/>
      </c>
      <c r="F228" s="98" t="n"/>
      <c r="G228" s="91" t="n"/>
      <c r="H228" s="93" t="str">
        <f>IF(N228=0,"",IF(NOT(ISNUMBER(F228)),"",IF(ISNUMBER(U228),F228*U228,"UNIDADE A CONFERIR")))</f>
        <v/>
      </c>
      <c r="I228" s="94" t="str">
        <f>IF(Q228=1,INDEX('CDFs'!$F$6:$F$505,P228)&amp;"","")</f>
        <v/>
      </c>
      <c r="J228" s="91" t="n"/>
      <c r="K228" s="91" t="n"/>
      <c r="L228" s="94" t="str">
        <f>IF(N228=0,"",IF(NOT(ISNUMBER(F228)),"Quantidade não informada",IF(F228&lt;=0,"Quantidade não positiva",IF(G228="","Unidade não informada",IF(NOT(ISNUMBER(H228)),"Unidade a conferir",IF(AC228=1,"REVISAR VÍNCULO: soma vinculada maior que a referência do item","OK"))))))</f>
        <v/>
      </c>
      <c r="M228" s="94" t="str">
        <f>IF(N228=0,"",IF(B228="","CDF não informado",IF(Q228=0,"REVISAR VÍNCULO: CDF inexistente",IF(C228="","Item não informado",IF(T228=0,"REVISAR VÍNCULO: item inexistente",IF(AND(X228=1,J228&lt;&gt;"Sim"),"REVISAR VÍNCULO: destinador diferente do MTR",IF(X228=1,"Destinador diferente do MTR (analisado)","OK")))))))</f>
        <v/>
      </c>
      <c r="N228" s="96">
        <f>IF(COUNTA(B228:C228,F228:G228,J228:K228)&gt;0,1,0)</f>
        <v>0</v>
      </c>
      <c r="O228" s="96" t="str">
        <f>IF(B228="","",TRIM(LEFT(B228,FIND(" |",B228&amp;" |")-1)))</f>
        <v/>
      </c>
      <c r="P228" s="96" t="str">
        <f>IF(O228="","",IFERROR(MATCH(O228,'CDFs'!$A$6:$A$505,0),""))</f>
        <v/>
      </c>
      <c r="Q228" s="96">
        <f>IF(P228="",0,IF(INDEX('CDFs'!$S$6:$S$505,P228)=1,1,0))</f>
        <v>0</v>
      </c>
      <c r="R228" s="96" t="str">
        <f>IF(C228="","",TRIM(LEFT(C228,FIND(" |",C228&amp;" |")-1)))</f>
        <v/>
      </c>
      <c r="S228" s="96" t="str">
        <f>IF(R228="","",IFERROR(MATCH(R228,'ITENS_MTR'!$A$6:$A$1005,0),""))</f>
        <v/>
      </c>
      <c r="T228" s="96">
        <f>IF(S228="",0,IF(INDEX('ITENS_MTR'!$R$6:$R$1005,S228)=1,1,0))</f>
        <v>0</v>
      </c>
      <c r="U228" s="96" t="str">
        <f>IF(G228="","",IFERROR(IF(ISNUMBER(INDEX(cfg_fac,MATCH(G228,cfg_units,0))),IF(INDEX(cfg_fac,MATCH(G228,cfg_units,0))&gt;0,INDEX(cfg_fac,MATCH(G228,cfg_units,0)),""),""),""))</f>
        <v/>
      </c>
      <c r="V228" s="96">
        <f>IF(AND(ISNUMBER(F228),ISNUMBER(H228)),IF(H228&gt;0,1,0),0)</f>
        <v>0</v>
      </c>
      <c r="W228" s="96" t="str">
        <f>IF(T228=1,INDEX('ITENS_MTR'!$AU$6:$AU$1005,S228)&amp;"","")</f>
        <v/>
      </c>
      <c r="X228" s="96">
        <f>IF(AND(Q228=1,T228=1,I228&lt;&gt;"",W228&lt;&gt;""),IF(I228&lt;&gt;W228,1,0),0)</f>
        <v>0</v>
      </c>
      <c r="Y228" s="96">
        <f>IF(N228=0,0,IF(OR(Q228=0,T228=0,V228=0,AND(X228=1,J228&lt;&gt;"Sim")),1,0))</f>
        <v>0</v>
      </c>
      <c r="Z228" s="96">
        <f>IF(Q228=1,INDEX('CDFs'!$W$6:$W$505,P228),0)</f>
        <v>0</v>
      </c>
      <c r="AA228" s="96">
        <f>IF(AND(N228=1,Y228=0,Z228=1,J228="Sim"),1,0)</f>
        <v>0</v>
      </c>
      <c r="AB228" s="96">
        <f>IF(AND(N228=1,O228&lt;&gt;"",D228&lt;&gt;""),IF(COUNTIFS($O$6:O228,O228,$D$6:D228,D228)=1,1,0),0)</f>
        <v>0</v>
      </c>
      <c r="AC228" s="96">
        <f>IF(T228=1,INDEX('ITENS_MTR'!$AL$6:$AL$1005,S228),0)</f>
        <v>0</v>
      </c>
    </row>
    <row r="229">
      <c r="A229" s="89" t="inlineStr">
        <is>
          <t>VIN-000224</t>
        </is>
      </c>
      <c r="B229" s="91" t="n"/>
      <c r="C229" s="91" t="n"/>
      <c r="D229" s="94" t="str">
        <f>IF(T229=1,INDEX('ITENS_MTR'!$S$6:$S$1005,S229)&amp;"","")</f>
        <v/>
      </c>
      <c r="E229" s="94" t="str">
        <f>IF(T229=1,INDEX('ITENS_MTR'!$C$6:$C$1005,S229)&amp;"","")</f>
        <v/>
      </c>
      <c r="F229" s="98" t="n"/>
      <c r="G229" s="91" t="n"/>
      <c r="H229" s="93" t="str">
        <f>IF(N229=0,"",IF(NOT(ISNUMBER(F229)),"",IF(ISNUMBER(U229),F229*U229,"UNIDADE A CONFERIR")))</f>
        <v/>
      </c>
      <c r="I229" s="94" t="str">
        <f>IF(Q229=1,INDEX('CDFs'!$F$6:$F$505,P229)&amp;"","")</f>
        <v/>
      </c>
      <c r="J229" s="91" t="n"/>
      <c r="K229" s="91" t="n"/>
      <c r="L229" s="94" t="str">
        <f>IF(N229=0,"",IF(NOT(ISNUMBER(F229)),"Quantidade não informada",IF(F229&lt;=0,"Quantidade não positiva",IF(G229="","Unidade não informada",IF(NOT(ISNUMBER(H229)),"Unidade a conferir",IF(AC229=1,"REVISAR VÍNCULO: soma vinculada maior que a referência do item","OK"))))))</f>
        <v/>
      </c>
      <c r="M229" s="94" t="str">
        <f>IF(N229=0,"",IF(B229="","CDF não informado",IF(Q229=0,"REVISAR VÍNCULO: CDF inexistente",IF(C229="","Item não informado",IF(T229=0,"REVISAR VÍNCULO: item inexistente",IF(AND(X229=1,J229&lt;&gt;"Sim"),"REVISAR VÍNCULO: destinador diferente do MTR",IF(X229=1,"Destinador diferente do MTR (analisado)","OK")))))))</f>
        <v/>
      </c>
      <c r="N229" s="96">
        <f>IF(COUNTA(B229:C229,F229:G229,J229:K229)&gt;0,1,0)</f>
        <v>0</v>
      </c>
      <c r="O229" s="96" t="str">
        <f>IF(B229="","",TRIM(LEFT(B229,FIND(" |",B229&amp;" |")-1)))</f>
        <v/>
      </c>
      <c r="P229" s="96" t="str">
        <f>IF(O229="","",IFERROR(MATCH(O229,'CDFs'!$A$6:$A$505,0),""))</f>
        <v/>
      </c>
      <c r="Q229" s="96">
        <f>IF(P229="",0,IF(INDEX('CDFs'!$S$6:$S$505,P229)=1,1,0))</f>
        <v>0</v>
      </c>
      <c r="R229" s="96" t="str">
        <f>IF(C229="","",TRIM(LEFT(C229,FIND(" |",C229&amp;" |")-1)))</f>
        <v/>
      </c>
      <c r="S229" s="96" t="str">
        <f>IF(R229="","",IFERROR(MATCH(R229,'ITENS_MTR'!$A$6:$A$1005,0),""))</f>
        <v/>
      </c>
      <c r="T229" s="96">
        <f>IF(S229="",0,IF(INDEX('ITENS_MTR'!$R$6:$R$1005,S229)=1,1,0))</f>
        <v>0</v>
      </c>
      <c r="U229" s="96" t="str">
        <f>IF(G229="","",IFERROR(IF(ISNUMBER(INDEX(cfg_fac,MATCH(G229,cfg_units,0))),IF(INDEX(cfg_fac,MATCH(G229,cfg_units,0))&gt;0,INDEX(cfg_fac,MATCH(G229,cfg_units,0)),""),""),""))</f>
        <v/>
      </c>
      <c r="V229" s="96">
        <f>IF(AND(ISNUMBER(F229),ISNUMBER(H229)),IF(H229&gt;0,1,0),0)</f>
        <v>0</v>
      </c>
      <c r="W229" s="96" t="str">
        <f>IF(T229=1,INDEX('ITENS_MTR'!$AU$6:$AU$1005,S229)&amp;"","")</f>
        <v/>
      </c>
      <c r="X229" s="96">
        <f>IF(AND(Q229=1,T229=1,I229&lt;&gt;"",W229&lt;&gt;""),IF(I229&lt;&gt;W229,1,0),0)</f>
        <v>0</v>
      </c>
      <c r="Y229" s="96">
        <f>IF(N229=0,0,IF(OR(Q229=0,T229=0,V229=0,AND(X229=1,J229&lt;&gt;"Sim")),1,0))</f>
        <v>0</v>
      </c>
      <c r="Z229" s="96">
        <f>IF(Q229=1,INDEX('CDFs'!$W$6:$W$505,P229),0)</f>
        <v>0</v>
      </c>
      <c r="AA229" s="96">
        <f>IF(AND(N229=1,Y229=0,Z229=1,J229="Sim"),1,0)</f>
        <v>0</v>
      </c>
      <c r="AB229" s="96">
        <f>IF(AND(N229=1,O229&lt;&gt;"",D229&lt;&gt;""),IF(COUNTIFS($O$6:O229,O229,$D$6:D229,D229)=1,1,0),0)</f>
        <v>0</v>
      </c>
      <c r="AC229" s="96">
        <f>IF(T229=1,INDEX('ITENS_MTR'!$AL$6:$AL$1005,S229),0)</f>
        <v>0</v>
      </c>
    </row>
    <row r="230">
      <c r="A230" s="89" t="inlineStr">
        <is>
          <t>VIN-000225</t>
        </is>
      </c>
      <c r="B230" s="91" t="n"/>
      <c r="C230" s="91" t="n"/>
      <c r="D230" s="94" t="str">
        <f>IF(T230=1,INDEX('ITENS_MTR'!$S$6:$S$1005,S230)&amp;"","")</f>
        <v/>
      </c>
      <c r="E230" s="94" t="str">
        <f>IF(T230=1,INDEX('ITENS_MTR'!$C$6:$C$1005,S230)&amp;"","")</f>
        <v/>
      </c>
      <c r="F230" s="98" t="n"/>
      <c r="G230" s="91" t="n"/>
      <c r="H230" s="93" t="str">
        <f>IF(N230=0,"",IF(NOT(ISNUMBER(F230)),"",IF(ISNUMBER(U230),F230*U230,"UNIDADE A CONFERIR")))</f>
        <v/>
      </c>
      <c r="I230" s="94" t="str">
        <f>IF(Q230=1,INDEX('CDFs'!$F$6:$F$505,P230)&amp;"","")</f>
        <v/>
      </c>
      <c r="J230" s="91" t="n"/>
      <c r="K230" s="91" t="n"/>
      <c r="L230" s="94" t="str">
        <f>IF(N230=0,"",IF(NOT(ISNUMBER(F230)),"Quantidade não informada",IF(F230&lt;=0,"Quantidade não positiva",IF(G230="","Unidade não informada",IF(NOT(ISNUMBER(H230)),"Unidade a conferir",IF(AC230=1,"REVISAR VÍNCULO: soma vinculada maior que a referência do item","OK"))))))</f>
        <v/>
      </c>
      <c r="M230" s="94" t="str">
        <f>IF(N230=0,"",IF(B230="","CDF não informado",IF(Q230=0,"REVISAR VÍNCULO: CDF inexistente",IF(C230="","Item não informado",IF(T230=0,"REVISAR VÍNCULO: item inexistente",IF(AND(X230=1,J230&lt;&gt;"Sim"),"REVISAR VÍNCULO: destinador diferente do MTR",IF(X230=1,"Destinador diferente do MTR (analisado)","OK")))))))</f>
        <v/>
      </c>
      <c r="N230" s="96">
        <f>IF(COUNTA(B230:C230,F230:G230,J230:K230)&gt;0,1,0)</f>
        <v>0</v>
      </c>
      <c r="O230" s="96" t="str">
        <f>IF(B230="","",TRIM(LEFT(B230,FIND(" |",B230&amp;" |")-1)))</f>
        <v/>
      </c>
      <c r="P230" s="96" t="str">
        <f>IF(O230="","",IFERROR(MATCH(O230,'CDFs'!$A$6:$A$505,0),""))</f>
        <v/>
      </c>
      <c r="Q230" s="96">
        <f>IF(P230="",0,IF(INDEX('CDFs'!$S$6:$S$505,P230)=1,1,0))</f>
        <v>0</v>
      </c>
      <c r="R230" s="96" t="str">
        <f>IF(C230="","",TRIM(LEFT(C230,FIND(" |",C230&amp;" |")-1)))</f>
        <v/>
      </c>
      <c r="S230" s="96" t="str">
        <f>IF(R230="","",IFERROR(MATCH(R230,'ITENS_MTR'!$A$6:$A$1005,0),""))</f>
        <v/>
      </c>
      <c r="T230" s="96">
        <f>IF(S230="",0,IF(INDEX('ITENS_MTR'!$R$6:$R$1005,S230)=1,1,0))</f>
        <v>0</v>
      </c>
      <c r="U230" s="96" t="str">
        <f>IF(G230="","",IFERROR(IF(ISNUMBER(INDEX(cfg_fac,MATCH(G230,cfg_units,0))),IF(INDEX(cfg_fac,MATCH(G230,cfg_units,0))&gt;0,INDEX(cfg_fac,MATCH(G230,cfg_units,0)),""),""),""))</f>
        <v/>
      </c>
      <c r="V230" s="96">
        <f>IF(AND(ISNUMBER(F230),ISNUMBER(H230)),IF(H230&gt;0,1,0),0)</f>
        <v>0</v>
      </c>
      <c r="W230" s="96" t="str">
        <f>IF(T230=1,INDEX('ITENS_MTR'!$AU$6:$AU$1005,S230)&amp;"","")</f>
        <v/>
      </c>
      <c r="X230" s="96">
        <f>IF(AND(Q230=1,T230=1,I230&lt;&gt;"",W230&lt;&gt;""),IF(I230&lt;&gt;W230,1,0),0)</f>
        <v>0</v>
      </c>
      <c r="Y230" s="96">
        <f>IF(N230=0,0,IF(OR(Q230=0,T230=0,V230=0,AND(X230=1,J230&lt;&gt;"Sim")),1,0))</f>
        <v>0</v>
      </c>
      <c r="Z230" s="96">
        <f>IF(Q230=1,INDEX('CDFs'!$W$6:$W$505,P230),0)</f>
        <v>0</v>
      </c>
      <c r="AA230" s="96">
        <f>IF(AND(N230=1,Y230=0,Z230=1,J230="Sim"),1,0)</f>
        <v>0</v>
      </c>
      <c r="AB230" s="96">
        <f>IF(AND(N230=1,O230&lt;&gt;"",D230&lt;&gt;""),IF(COUNTIFS($O$6:O230,O230,$D$6:D230,D230)=1,1,0),0)</f>
        <v>0</v>
      </c>
      <c r="AC230" s="96">
        <f>IF(T230=1,INDEX('ITENS_MTR'!$AL$6:$AL$1005,S230),0)</f>
        <v>0</v>
      </c>
    </row>
    <row r="231">
      <c r="A231" s="89" t="inlineStr">
        <is>
          <t>VIN-000226</t>
        </is>
      </c>
      <c r="B231" s="91" t="n"/>
      <c r="C231" s="91" t="n"/>
      <c r="D231" s="94" t="str">
        <f>IF(T231=1,INDEX('ITENS_MTR'!$S$6:$S$1005,S231)&amp;"","")</f>
        <v/>
      </c>
      <c r="E231" s="94" t="str">
        <f>IF(T231=1,INDEX('ITENS_MTR'!$C$6:$C$1005,S231)&amp;"","")</f>
        <v/>
      </c>
      <c r="F231" s="98" t="n"/>
      <c r="G231" s="91" t="n"/>
      <c r="H231" s="93" t="str">
        <f>IF(N231=0,"",IF(NOT(ISNUMBER(F231)),"",IF(ISNUMBER(U231),F231*U231,"UNIDADE A CONFERIR")))</f>
        <v/>
      </c>
      <c r="I231" s="94" t="str">
        <f>IF(Q231=1,INDEX('CDFs'!$F$6:$F$505,P231)&amp;"","")</f>
        <v/>
      </c>
      <c r="J231" s="91" t="n"/>
      <c r="K231" s="91" t="n"/>
      <c r="L231" s="94" t="str">
        <f>IF(N231=0,"",IF(NOT(ISNUMBER(F231)),"Quantidade não informada",IF(F231&lt;=0,"Quantidade não positiva",IF(G231="","Unidade não informada",IF(NOT(ISNUMBER(H231)),"Unidade a conferir",IF(AC231=1,"REVISAR VÍNCULO: soma vinculada maior que a referência do item","OK"))))))</f>
        <v/>
      </c>
      <c r="M231" s="94" t="str">
        <f>IF(N231=0,"",IF(B231="","CDF não informado",IF(Q231=0,"REVISAR VÍNCULO: CDF inexistente",IF(C231="","Item não informado",IF(T231=0,"REVISAR VÍNCULO: item inexistente",IF(AND(X231=1,J231&lt;&gt;"Sim"),"REVISAR VÍNCULO: destinador diferente do MTR",IF(X231=1,"Destinador diferente do MTR (analisado)","OK")))))))</f>
        <v/>
      </c>
      <c r="N231" s="96">
        <f>IF(COUNTA(B231:C231,F231:G231,J231:K231)&gt;0,1,0)</f>
        <v>0</v>
      </c>
      <c r="O231" s="96" t="str">
        <f>IF(B231="","",TRIM(LEFT(B231,FIND(" |",B231&amp;" |")-1)))</f>
        <v/>
      </c>
      <c r="P231" s="96" t="str">
        <f>IF(O231="","",IFERROR(MATCH(O231,'CDFs'!$A$6:$A$505,0),""))</f>
        <v/>
      </c>
      <c r="Q231" s="96">
        <f>IF(P231="",0,IF(INDEX('CDFs'!$S$6:$S$505,P231)=1,1,0))</f>
        <v>0</v>
      </c>
      <c r="R231" s="96" t="str">
        <f>IF(C231="","",TRIM(LEFT(C231,FIND(" |",C231&amp;" |")-1)))</f>
        <v/>
      </c>
      <c r="S231" s="96" t="str">
        <f>IF(R231="","",IFERROR(MATCH(R231,'ITENS_MTR'!$A$6:$A$1005,0),""))</f>
        <v/>
      </c>
      <c r="T231" s="96">
        <f>IF(S231="",0,IF(INDEX('ITENS_MTR'!$R$6:$R$1005,S231)=1,1,0))</f>
        <v>0</v>
      </c>
      <c r="U231" s="96" t="str">
        <f>IF(G231="","",IFERROR(IF(ISNUMBER(INDEX(cfg_fac,MATCH(G231,cfg_units,0))),IF(INDEX(cfg_fac,MATCH(G231,cfg_units,0))&gt;0,INDEX(cfg_fac,MATCH(G231,cfg_units,0)),""),""),""))</f>
        <v/>
      </c>
      <c r="V231" s="96">
        <f>IF(AND(ISNUMBER(F231),ISNUMBER(H231)),IF(H231&gt;0,1,0),0)</f>
        <v>0</v>
      </c>
      <c r="W231" s="96" t="str">
        <f>IF(T231=1,INDEX('ITENS_MTR'!$AU$6:$AU$1005,S231)&amp;"","")</f>
        <v/>
      </c>
      <c r="X231" s="96">
        <f>IF(AND(Q231=1,T231=1,I231&lt;&gt;"",W231&lt;&gt;""),IF(I231&lt;&gt;W231,1,0),0)</f>
        <v>0</v>
      </c>
      <c r="Y231" s="96">
        <f>IF(N231=0,0,IF(OR(Q231=0,T231=0,V231=0,AND(X231=1,J231&lt;&gt;"Sim")),1,0))</f>
        <v>0</v>
      </c>
      <c r="Z231" s="96">
        <f>IF(Q231=1,INDEX('CDFs'!$W$6:$W$505,P231),0)</f>
        <v>0</v>
      </c>
      <c r="AA231" s="96">
        <f>IF(AND(N231=1,Y231=0,Z231=1,J231="Sim"),1,0)</f>
        <v>0</v>
      </c>
      <c r="AB231" s="96">
        <f>IF(AND(N231=1,O231&lt;&gt;"",D231&lt;&gt;""),IF(COUNTIFS($O$6:O231,O231,$D$6:D231,D231)=1,1,0),0)</f>
        <v>0</v>
      </c>
      <c r="AC231" s="96">
        <f>IF(T231=1,INDEX('ITENS_MTR'!$AL$6:$AL$1005,S231),0)</f>
        <v>0</v>
      </c>
    </row>
    <row r="232">
      <c r="A232" s="89" t="inlineStr">
        <is>
          <t>VIN-000227</t>
        </is>
      </c>
      <c r="B232" s="91" t="n"/>
      <c r="C232" s="91" t="n"/>
      <c r="D232" s="94" t="str">
        <f>IF(T232=1,INDEX('ITENS_MTR'!$S$6:$S$1005,S232)&amp;"","")</f>
        <v/>
      </c>
      <c r="E232" s="94" t="str">
        <f>IF(T232=1,INDEX('ITENS_MTR'!$C$6:$C$1005,S232)&amp;"","")</f>
        <v/>
      </c>
      <c r="F232" s="98" t="n"/>
      <c r="G232" s="91" t="n"/>
      <c r="H232" s="93" t="str">
        <f>IF(N232=0,"",IF(NOT(ISNUMBER(F232)),"",IF(ISNUMBER(U232),F232*U232,"UNIDADE A CONFERIR")))</f>
        <v/>
      </c>
      <c r="I232" s="94" t="str">
        <f>IF(Q232=1,INDEX('CDFs'!$F$6:$F$505,P232)&amp;"","")</f>
        <v/>
      </c>
      <c r="J232" s="91" t="n"/>
      <c r="K232" s="91" t="n"/>
      <c r="L232" s="94" t="str">
        <f>IF(N232=0,"",IF(NOT(ISNUMBER(F232)),"Quantidade não informada",IF(F232&lt;=0,"Quantidade não positiva",IF(G232="","Unidade não informada",IF(NOT(ISNUMBER(H232)),"Unidade a conferir",IF(AC232=1,"REVISAR VÍNCULO: soma vinculada maior que a referência do item","OK"))))))</f>
        <v/>
      </c>
      <c r="M232" s="94" t="str">
        <f>IF(N232=0,"",IF(B232="","CDF não informado",IF(Q232=0,"REVISAR VÍNCULO: CDF inexistente",IF(C232="","Item não informado",IF(T232=0,"REVISAR VÍNCULO: item inexistente",IF(AND(X232=1,J232&lt;&gt;"Sim"),"REVISAR VÍNCULO: destinador diferente do MTR",IF(X232=1,"Destinador diferente do MTR (analisado)","OK")))))))</f>
        <v/>
      </c>
      <c r="N232" s="96">
        <f>IF(COUNTA(B232:C232,F232:G232,J232:K232)&gt;0,1,0)</f>
        <v>0</v>
      </c>
      <c r="O232" s="96" t="str">
        <f>IF(B232="","",TRIM(LEFT(B232,FIND(" |",B232&amp;" |")-1)))</f>
        <v/>
      </c>
      <c r="P232" s="96" t="str">
        <f>IF(O232="","",IFERROR(MATCH(O232,'CDFs'!$A$6:$A$505,0),""))</f>
        <v/>
      </c>
      <c r="Q232" s="96">
        <f>IF(P232="",0,IF(INDEX('CDFs'!$S$6:$S$505,P232)=1,1,0))</f>
        <v>0</v>
      </c>
      <c r="R232" s="96" t="str">
        <f>IF(C232="","",TRIM(LEFT(C232,FIND(" |",C232&amp;" |")-1)))</f>
        <v/>
      </c>
      <c r="S232" s="96" t="str">
        <f>IF(R232="","",IFERROR(MATCH(R232,'ITENS_MTR'!$A$6:$A$1005,0),""))</f>
        <v/>
      </c>
      <c r="T232" s="96">
        <f>IF(S232="",0,IF(INDEX('ITENS_MTR'!$R$6:$R$1005,S232)=1,1,0))</f>
        <v>0</v>
      </c>
      <c r="U232" s="96" t="str">
        <f>IF(G232="","",IFERROR(IF(ISNUMBER(INDEX(cfg_fac,MATCH(G232,cfg_units,0))),IF(INDEX(cfg_fac,MATCH(G232,cfg_units,0))&gt;0,INDEX(cfg_fac,MATCH(G232,cfg_units,0)),""),""),""))</f>
        <v/>
      </c>
      <c r="V232" s="96">
        <f>IF(AND(ISNUMBER(F232),ISNUMBER(H232)),IF(H232&gt;0,1,0),0)</f>
        <v>0</v>
      </c>
      <c r="W232" s="96" t="str">
        <f>IF(T232=1,INDEX('ITENS_MTR'!$AU$6:$AU$1005,S232)&amp;"","")</f>
        <v/>
      </c>
      <c r="X232" s="96">
        <f>IF(AND(Q232=1,T232=1,I232&lt;&gt;"",W232&lt;&gt;""),IF(I232&lt;&gt;W232,1,0),0)</f>
        <v>0</v>
      </c>
      <c r="Y232" s="96">
        <f>IF(N232=0,0,IF(OR(Q232=0,T232=0,V232=0,AND(X232=1,J232&lt;&gt;"Sim")),1,0))</f>
        <v>0</v>
      </c>
      <c r="Z232" s="96">
        <f>IF(Q232=1,INDEX('CDFs'!$W$6:$W$505,P232),0)</f>
        <v>0</v>
      </c>
      <c r="AA232" s="96">
        <f>IF(AND(N232=1,Y232=0,Z232=1,J232="Sim"),1,0)</f>
        <v>0</v>
      </c>
      <c r="AB232" s="96">
        <f>IF(AND(N232=1,O232&lt;&gt;"",D232&lt;&gt;""),IF(COUNTIFS($O$6:O232,O232,$D$6:D232,D232)=1,1,0),0)</f>
        <v>0</v>
      </c>
      <c r="AC232" s="96">
        <f>IF(T232=1,INDEX('ITENS_MTR'!$AL$6:$AL$1005,S232),0)</f>
        <v>0</v>
      </c>
    </row>
    <row r="233">
      <c r="A233" s="89" t="inlineStr">
        <is>
          <t>VIN-000228</t>
        </is>
      </c>
      <c r="B233" s="91" t="n"/>
      <c r="C233" s="91" t="n"/>
      <c r="D233" s="94" t="str">
        <f>IF(T233=1,INDEX('ITENS_MTR'!$S$6:$S$1005,S233)&amp;"","")</f>
        <v/>
      </c>
      <c r="E233" s="94" t="str">
        <f>IF(T233=1,INDEX('ITENS_MTR'!$C$6:$C$1005,S233)&amp;"","")</f>
        <v/>
      </c>
      <c r="F233" s="98" t="n"/>
      <c r="G233" s="91" t="n"/>
      <c r="H233" s="93" t="str">
        <f>IF(N233=0,"",IF(NOT(ISNUMBER(F233)),"",IF(ISNUMBER(U233),F233*U233,"UNIDADE A CONFERIR")))</f>
        <v/>
      </c>
      <c r="I233" s="94" t="str">
        <f>IF(Q233=1,INDEX('CDFs'!$F$6:$F$505,P233)&amp;"","")</f>
        <v/>
      </c>
      <c r="J233" s="91" t="n"/>
      <c r="K233" s="91" t="n"/>
      <c r="L233" s="94" t="str">
        <f>IF(N233=0,"",IF(NOT(ISNUMBER(F233)),"Quantidade não informada",IF(F233&lt;=0,"Quantidade não positiva",IF(G233="","Unidade não informada",IF(NOT(ISNUMBER(H233)),"Unidade a conferir",IF(AC233=1,"REVISAR VÍNCULO: soma vinculada maior que a referência do item","OK"))))))</f>
        <v/>
      </c>
      <c r="M233" s="94" t="str">
        <f>IF(N233=0,"",IF(B233="","CDF não informado",IF(Q233=0,"REVISAR VÍNCULO: CDF inexistente",IF(C233="","Item não informado",IF(T233=0,"REVISAR VÍNCULO: item inexistente",IF(AND(X233=1,J233&lt;&gt;"Sim"),"REVISAR VÍNCULO: destinador diferente do MTR",IF(X233=1,"Destinador diferente do MTR (analisado)","OK")))))))</f>
        <v/>
      </c>
      <c r="N233" s="96">
        <f>IF(COUNTA(B233:C233,F233:G233,J233:K233)&gt;0,1,0)</f>
        <v>0</v>
      </c>
      <c r="O233" s="96" t="str">
        <f>IF(B233="","",TRIM(LEFT(B233,FIND(" |",B233&amp;" |")-1)))</f>
        <v/>
      </c>
      <c r="P233" s="96" t="str">
        <f>IF(O233="","",IFERROR(MATCH(O233,'CDFs'!$A$6:$A$505,0),""))</f>
        <v/>
      </c>
      <c r="Q233" s="96">
        <f>IF(P233="",0,IF(INDEX('CDFs'!$S$6:$S$505,P233)=1,1,0))</f>
        <v>0</v>
      </c>
      <c r="R233" s="96" t="str">
        <f>IF(C233="","",TRIM(LEFT(C233,FIND(" |",C233&amp;" |")-1)))</f>
        <v/>
      </c>
      <c r="S233" s="96" t="str">
        <f>IF(R233="","",IFERROR(MATCH(R233,'ITENS_MTR'!$A$6:$A$1005,0),""))</f>
        <v/>
      </c>
      <c r="T233" s="96">
        <f>IF(S233="",0,IF(INDEX('ITENS_MTR'!$R$6:$R$1005,S233)=1,1,0))</f>
        <v>0</v>
      </c>
      <c r="U233" s="96" t="str">
        <f>IF(G233="","",IFERROR(IF(ISNUMBER(INDEX(cfg_fac,MATCH(G233,cfg_units,0))),IF(INDEX(cfg_fac,MATCH(G233,cfg_units,0))&gt;0,INDEX(cfg_fac,MATCH(G233,cfg_units,0)),""),""),""))</f>
        <v/>
      </c>
      <c r="V233" s="96">
        <f>IF(AND(ISNUMBER(F233),ISNUMBER(H233)),IF(H233&gt;0,1,0),0)</f>
        <v>0</v>
      </c>
      <c r="W233" s="96" t="str">
        <f>IF(T233=1,INDEX('ITENS_MTR'!$AU$6:$AU$1005,S233)&amp;"","")</f>
        <v/>
      </c>
      <c r="X233" s="96">
        <f>IF(AND(Q233=1,T233=1,I233&lt;&gt;"",W233&lt;&gt;""),IF(I233&lt;&gt;W233,1,0),0)</f>
        <v>0</v>
      </c>
      <c r="Y233" s="96">
        <f>IF(N233=0,0,IF(OR(Q233=0,T233=0,V233=0,AND(X233=1,J233&lt;&gt;"Sim")),1,0))</f>
        <v>0</v>
      </c>
      <c r="Z233" s="96">
        <f>IF(Q233=1,INDEX('CDFs'!$W$6:$W$505,P233),0)</f>
        <v>0</v>
      </c>
      <c r="AA233" s="96">
        <f>IF(AND(N233=1,Y233=0,Z233=1,J233="Sim"),1,0)</f>
        <v>0</v>
      </c>
      <c r="AB233" s="96">
        <f>IF(AND(N233=1,O233&lt;&gt;"",D233&lt;&gt;""),IF(COUNTIFS($O$6:O233,O233,$D$6:D233,D233)=1,1,0),0)</f>
        <v>0</v>
      </c>
      <c r="AC233" s="96">
        <f>IF(T233=1,INDEX('ITENS_MTR'!$AL$6:$AL$1005,S233),0)</f>
        <v>0</v>
      </c>
    </row>
    <row r="234">
      <c r="A234" s="89" t="inlineStr">
        <is>
          <t>VIN-000229</t>
        </is>
      </c>
      <c r="B234" s="91" t="n"/>
      <c r="C234" s="91" t="n"/>
      <c r="D234" s="94" t="str">
        <f>IF(T234=1,INDEX('ITENS_MTR'!$S$6:$S$1005,S234)&amp;"","")</f>
        <v/>
      </c>
      <c r="E234" s="94" t="str">
        <f>IF(T234=1,INDEX('ITENS_MTR'!$C$6:$C$1005,S234)&amp;"","")</f>
        <v/>
      </c>
      <c r="F234" s="98" t="n"/>
      <c r="G234" s="91" t="n"/>
      <c r="H234" s="93" t="str">
        <f>IF(N234=0,"",IF(NOT(ISNUMBER(F234)),"",IF(ISNUMBER(U234),F234*U234,"UNIDADE A CONFERIR")))</f>
        <v/>
      </c>
      <c r="I234" s="94" t="str">
        <f>IF(Q234=1,INDEX('CDFs'!$F$6:$F$505,P234)&amp;"","")</f>
        <v/>
      </c>
      <c r="J234" s="91" t="n"/>
      <c r="K234" s="91" t="n"/>
      <c r="L234" s="94" t="str">
        <f>IF(N234=0,"",IF(NOT(ISNUMBER(F234)),"Quantidade não informada",IF(F234&lt;=0,"Quantidade não positiva",IF(G234="","Unidade não informada",IF(NOT(ISNUMBER(H234)),"Unidade a conferir",IF(AC234=1,"REVISAR VÍNCULO: soma vinculada maior que a referência do item","OK"))))))</f>
        <v/>
      </c>
      <c r="M234" s="94" t="str">
        <f>IF(N234=0,"",IF(B234="","CDF não informado",IF(Q234=0,"REVISAR VÍNCULO: CDF inexistente",IF(C234="","Item não informado",IF(T234=0,"REVISAR VÍNCULO: item inexistente",IF(AND(X234=1,J234&lt;&gt;"Sim"),"REVISAR VÍNCULO: destinador diferente do MTR",IF(X234=1,"Destinador diferente do MTR (analisado)","OK")))))))</f>
        <v/>
      </c>
      <c r="N234" s="96">
        <f>IF(COUNTA(B234:C234,F234:G234,J234:K234)&gt;0,1,0)</f>
        <v>0</v>
      </c>
      <c r="O234" s="96" t="str">
        <f>IF(B234="","",TRIM(LEFT(B234,FIND(" |",B234&amp;" |")-1)))</f>
        <v/>
      </c>
      <c r="P234" s="96" t="str">
        <f>IF(O234="","",IFERROR(MATCH(O234,'CDFs'!$A$6:$A$505,0),""))</f>
        <v/>
      </c>
      <c r="Q234" s="96">
        <f>IF(P234="",0,IF(INDEX('CDFs'!$S$6:$S$505,P234)=1,1,0))</f>
        <v>0</v>
      </c>
      <c r="R234" s="96" t="str">
        <f>IF(C234="","",TRIM(LEFT(C234,FIND(" |",C234&amp;" |")-1)))</f>
        <v/>
      </c>
      <c r="S234" s="96" t="str">
        <f>IF(R234="","",IFERROR(MATCH(R234,'ITENS_MTR'!$A$6:$A$1005,0),""))</f>
        <v/>
      </c>
      <c r="T234" s="96">
        <f>IF(S234="",0,IF(INDEX('ITENS_MTR'!$R$6:$R$1005,S234)=1,1,0))</f>
        <v>0</v>
      </c>
      <c r="U234" s="96" t="str">
        <f>IF(G234="","",IFERROR(IF(ISNUMBER(INDEX(cfg_fac,MATCH(G234,cfg_units,0))),IF(INDEX(cfg_fac,MATCH(G234,cfg_units,0))&gt;0,INDEX(cfg_fac,MATCH(G234,cfg_units,0)),""),""),""))</f>
        <v/>
      </c>
      <c r="V234" s="96">
        <f>IF(AND(ISNUMBER(F234),ISNUMBER(H234)),IF(H234&gt;0,1,0),0)</f>
        <v>0</v>
      </c>
      <c r="W234" s="96" t="str">
        <f>IF(T234=1,INDEX('ITENS_MTR'!$AU$6:$AU$1005,S234)&amp;"","")</f>
        <v/>
      </c>
      <c r="X234" s="96">
        <f>IF(AND(Q234=1,T234=1,I234&lt;&gt;"",W234&lt;&gt;""),IF(I234&lt;&gt;W234,1,0),0)</f>
        <v>0</v>
      </c>
      <c r="Y234" s="96">
        <f>IF(N234=0,0,IF(OR(Q234=0,T234=0,V234=0,AND(X234=1,J234&lt;&gt;"Sim")),1,0))</f>
        <v>0</v>
      </c>
      <c r="Z234" s="96">
        <f>IF(Q234=1,INDEX('CDFs'!$W$6:$W$505,P234),0)</f>
        <v>0</v>
      </c>
      <c r="AA234" s="96">
        <f>IF(AND(N234=1,Y234=0,Z234=1,J234="Sim"),1,0)</f>
        <v>0</v>
      </c>
      <c r="AB234" s="96">
        <f>IF(AND(N234=1,O234&lt;&gt;"",D234&lt;&gt;""),IF(COUNTIFS($O$6:O234,O234,$D$6:D234,D234)=1,1,0),0)</f>
        <v>0</v>
      </c>
      <c r="AC234" s="96">
        <f>IF(T234=1,INDEX('ITENS_MTR'!$AL$6:$AL$1005,S234),0)</f>
        <v>0</v>
      </c>
    </row>
    <row r="235">
      <c r="A235" s="89" t="inlineStr">
        <is>
          <t>VIN-000230</t>
        </is>
      </c>
      <c r="B235" s="91" t="n"/>
      <c r="C235" s="91" t="n"/>
      <c r="D235" s="94" t="str">
        <f>IF(T235=1,INDEX('ITENS_MTR'!$S$6:$S$1005,S235)&amp;"","")</f>
        <v/>
      </c>
      <c r="E235" s="94" t="str">
        <f>IF(T235=1,INDEX('ITENS_MTR'!$C$6:$C$1005,S235)&amp;"","")</f>
        <v/>
      </c>
      <c r="F235" s="98" t="n"/>
      <c r="G235" s="91" t="n"/>
      <c r="H235" s="93" t="str">
        <f>IF(N235=0,"",IF(NOT(ISNUMBER(F235)),"",IF(ISNUMBER(U235),F235*U235,"UNIDADE A CONFERIR")))</f>
        <v/>
      </c>
      <c r="I235" s="94" t="str">
        <f>IF(Q235=1,INDEX('CDFs'!$F$6:$F$505,P235)&amp;"","")</f>
        <v/>
      </c>
      <c r="J235" s="91" t="n"/>
      <c r="K235" s="91" t="n"/>
      <c r="L235" s="94" t="str">
        <f>IF(N235=0,"",IF(NOT(ISNUMBER(F235)),"Quantidade não informada",IF(F235&lt;=0,"Quantidade não positiva",IF(G235="","Unidade não informada",IF(NOT(ISNUMBER(H235)),"Unidade a conferir",IF(AC235=1,"REVISAR VÍNCULO: soma vinculada maior que a referência do item","OK"))))))</f>
        <v/>
      </c>
      <c r="M235" s="94" t="str">
        <f>IF(N235=0,"",IF(B235="","CDF não informado",IF(Q235=0,"REVISAR VÍNCULO: CDF inexistente",IF(C235="","Item não informado",IF(T235=0,"REVISAR VÍNCULO: item inexistente",IF(AND(X235=1,J235&lt;&gt;"Sim"),"REVISAR VÍNCULO: destinador diferente do MTR",IF(X235=1,"Destinador diferente do MTR (analisado)","OK")))))))</f>
        <v/>
      </c>
      <c r="N235" s="96">
        <f>IF(COUNTA(B235:C235,F235:G235,J235:K235)&gt;0,1,0)</f>
        <v>0</v>
      </c>
      <c r="O235" s="96" t="str">
        <f>IF(B235="","",TRIM(LEFT(B235,FIND(" |",B235&amp;" |")-1)))</f>
        <v/>
      </c>
      <c r="P235" s="96" t="str">
        <f>IF(O235="","",IFERROR(MATCH(O235,'CDFs'!$A$6:$A$505,0),""))</f>
        <v/>
      </c>
      <c r="Q235" s="96">
        <f>IF(P235="",0,IF(INDEX('CDFs'!$S$6:$S$505,P235)=1,1,0))</f>
        <v>0</v>
      </c>
      <c r="R235" s="96" t="str">
        <f>IF(C235="","",TRIM(LEFT(C235,FIND(" |",C235&amp;" |")-1)))</f>
        <v/>
      </c>
      <c r="S235" s="96" t="str">
        <f>IF(R235="","",IFERROR(MATCH(R235,'ITENS_MTR'!$A$6:$A$1005,0),""))</f>
        <v/>
      </c>
      <c r="T235" s="96">
        <f>IF(S235="",0,IF(INDEX('ITENS_MTR'!$R$6:$R$1005,S235)=1,1,0))</f>
        <v>0</v>
      </c>
      <c r="U235" s="96" t="str">
        <f>IF(G235="","",IFERROR(IF(ISNUMBER(INDEX(cfg_fac,MATCH(G235,cfg_units,0))),IF(INDEX(cfg_fac,MATCH(G235,cfg_units,0))&gt;0,INDEX(cfg_fac,MATCH(G235,cfg_units,0)),""),""),""))</f>
        <v/>
      </c>
      <c r="V235" s="96">
        <f>IF(AND(ISNUMBER(F235),ISNUMBER(H235)),IF(H235&gt;0,1,0),0)</f>
        <v>0</v>
      </c>
      <c r="W235" s="96" t="str">
        <f>IF(T235=1,INDEX('ITENS_MTR'!$AU$6:$AU$1005,S235)&amp;"","")</f>
        <v/>
      </c>
      <c r="X235" s="96">
        <f>IF(AND(Q235=1,T235=1,I235&lt;&gt;"",W235&lt;&gt;""),IF(I235&lt;&gt;W235,1,0),0)</f>
        <v>0</v>
      </c>
      <c r="Y235" s="96">
        <f>IF(N235=0,0,IF(OR(Q235=0,T235=0,V235=0,AND(X235=1,J235&lt;&gt;"Sim")),1,0))</f>
        <v>0</v>
      </c>
      <c r="Z235" s="96">
        <f>IF(Q235=1,INDEX('CDFs'!$W$6:$W$505,P235),0)</f>
        <v>0</v>
      </c>
      <c r="AA235" s="96">
        <f>IF(AND(N235=1,Y235=0,Z235=1,J235="Sim"),1,0)</f>
        <v>0</v>
      </c>
      <c r="AB235" s="96">
        <f>IF(AND(N235=1,O235&lt;&gt;"",D235&lt;&gt;""),IF(COUNTIFS($O$6:O235,O235,$D$6:D235,D235)=1,1,0),0)</f>
        <v>0</v>
      </c>
      <c r="AC235" s="96">
        <f>IF(T235=1,INDEX('ITENS_MTR'!$AL$6:$AL$1005,S235),0)</f>
        <v>0</v>
      </c>
    </row>
    <row r="236">
      <c r="A236" s="89" t="inlineStr">
        <is>
          <t>VIN-000231</t>
        </is>
      </c>
      <c r="B236" s="91" t="n"/>
      <c r="C236" s="91" t="n"/>
      <c r="D236" s="94" t="str">
        <f>IF(T236=1,INDEX('ITENS_MTR'!$S$6:$S$1005,S236)&amp;"","")</f>
        <v/>
      </c>
      <c r="E236" s="94" t="str">
        <f>IF(T236=1,INDEX('ITENS_MTR'!$C$6:$C$1005,S236)&amp;"","")</f>
        <v/>
      </c>
      <c r="F236" s="98" t="n"/>
      <c r="G236" s="91" t="n"/>
      <c r="H236" s="93" t="str">
        <f>IF(N236=0,"",IF(NOT(ISNUMBER(F236)),"",IF(ISNUMBER(U236),F236*U236,"UNIDADE A CONFERIR")))</f>
        <v/>
      </c>
      <c r="I236" s="94" t="str">
        <f>IF(Q236=1,INDEX('CDFs'!$F$6:$F$505,P236)&amp;"","")</f>
        <v/>
      </c>
      <c r="J236" s="91" t="n"/>
      <c r="K236" s="91" t="n"/>
      <c r="L236" s="94" t="str">
        <f>IF(N236=0,"",IF(NOT(ISNUMBER(F236)),"Quantidade não informada",IF(F236&lt;=0,"Quantidade não positiva",IF(G236="","Unidade não informada",IF(NOT(ISNUMBER(H236)),"Unidade a conferir",IF(AC236=1,"REVISAR VÍNCULO: soma vinculada maior que a referência do item","OK"))))))</f>
        <v/>
      </c>
      <c r="M236" s="94" t="str">
        <f>IF(N236=0,"",IF(B236="","CDF não informado",IF(Q236=0,"REVISAR VÍNCULO: CDF inexistente",IF(C236="","Item não informado",IF(T236=0,"REVISAR VÍNCULO: item inexistente",IF(AND(X236=1,J236&lt;&gt;"Sim"),"REVISAR VÍNCULO: destinador diferente do MTR",IF(X236=1,"Destinador diferente do MTR (analisado)","OK")))))))</f>
        <v/>
      </c>
      <c r="N236" s="96">
        <f>IF(COUNTA(B236:C236,F236:G236,J236:K236)&gt;0,1,0)</f>
        <v>0</v>
      </c>
      <c r="O236" s="96" t="str">
        <f>IF(B236="","",TRIM(LEFT(B236,FIND(" |",B236&amp;" |")-1)))</f>
        <v/>
      </c>
      <c r="P236" s="96" t="str">
        <f>IF(O236="","",IFERROR(MATCH(O236,'CDFs'!$A$6:$A$505,0),""))</f>
        <v/>
      </c>
      <c r="Q236" s="96">
        <f>IF(P236="",0,IF(INDEX('CDFs'!$S$6:$S$505,P236)=1,1,0))</f>
        <v>0</v>
      </c>
      <c r="R236" s="96" t="str">
        <f>IF(C236="","",TRIM(LEFT(C236,FIND(" |",C236&amp;" |")-1)))</f>
        <v/>
      </c>
      <c r="S236" s="96" t="str">
        <f>IF(R236="","",IFERROR(MATCH(R236,'ITENS_MTR'!$A$6:$A$1005,0),""))</f>
        <v/>
      </c>
      <c r="T236" s="96">
        <f>IF(S236="",0,IF(INDEX('ITENS_MTR'!$R$6:$R$1005,S236)=1,1,0))</f>
        <v>0</v>
      </c>
      <c r="U236" s="96" t="str">
        <f>IF(G236="","",IFERROR(IF(ISNUMBER(INDEX(cfg_fac,MATCH(G236,cfg_units,0))),IF(INDEX(cfg_fac,MATCH(G236,cfg_units,0))&gt;0,INDEX(cfg_fac,MATCH(G236,cfg_units,0)),""),""),""))</f>
        <v/>
      </c>
      <c r="V236" s="96">
        <f>IF(AND(ISNUMBER(F236),ISNUMBER(H236)),IF(H236&gt;0,1,0),0)</f>
        <v>0</v>
      </c>
      <c r="W236" s="96" t="str">
        <f>IF(T236=1,INDEX('ITENS_MTR'!$AU$6:$AU$1005,S236)&amp;"","")</f>
        <v/>
      </c>
      <c r="X236" s="96">
        <f>IF(AND(Q236=1,T236=1,I236&lt;&gt;"",W236&lt;&gt;""),IF(I236&lt;&gt;W236,1,0),0)</f>
        <v>0</v>
      </c>
      <c r="Y236" s="96">
        <f>IF(N236=0,0,IF(OR(Q236=0,T236=0,V236=0,AND(X236=1,J236&lt;&gt;"Sim")),1,0))</f>
        <v>0</v>
      </c>
      <c r="Z236" s="96">
        <f>IF(Q236=1,INDEX('CDFs'!$W$6:$W$505,P236),0)</f>
        <v>0</v>
      </c>
      <c r="AA236" s="96">
        <f>IF(AND(N236=1,Y236=0,Z236=1,J236="Sim"),1,0)</f>
        <v>0</v>
      </c>
      <c r="AB236" s="96">
        <f>IF(AND(N236=1,O236&lt;&gt;"",D236&lt;&gt;""),IF(COUNTIFS($O$6:O236,O236,$D$6:D236,D236)=1,1,0),0)</f>
        <v>0</v>
      </c>
      <c r="AC236" s="96">
        <f>IF(T236=1,INDEX('ITENS_MTR'!$AL$6:$AL$1005,S236),0)</f>
        <v>0</v>
      </c>
    </row>
    <row r="237">
      <c r="A237" s="89" t="inlineStr">
        <is>
          <t>VIN-000232</t>
        </is>
      </c>
      <c r="B237" s="91" t="n"/>
      <c r="C237" s="91" t="n"/>
      <c r="D237" s="94" t="str">
        <f>IF(T237=1,INDEX('ITENS_MTR'!$S$6:$S$1005,S237)&amp;"","")</f>
        <v/>
      </c>
      <c r="E237" s="94" t="str">
        <f>IF(T237=1,INDEX('ITENS_MTR'!$C$6:$C$1005,S237)&amp;"","")</f>
        <v/>
      </c>
      <c r="F237" s="98" t="n"/>
      <c r="G237" s="91" t="n"/>
      <c r="H237" s="93" t="str">
        <f>IF(N237=0,"",IF(NOT(ISNUMBER(F237)),"",IF(ISNUMBER(U237),F237*U237,"UNIDADE A CONFERIR")))</f>
        <v/>
      </c>
      <c r="I237" s="94" t="str">
        <f>IF(Q237=1,INDEX('CDFs'!$F$6:$F$505,P237)&amp;"","")</f>
        <v/>
      </c>
      <c r="J237" s="91" t="n"/>
      <c r="K237" s="91" t="n"/>
      <c r="L237" s="94" t="str">
        <f>IF(N237=0,"",IF(NOT(ISNUMBER(F237)),"Quantidade não informada",IF(F237&lt;=0,"Quantidade não positiva",IF(G237="","Unidade não informada",IF(NOT(ISNUMBER(H237)),"Unidade a conferir",IF(AC237=1,"REVISAR VÍNCULO: soma vinculada maior que a referência do item","OK"))))))</f>
        <v/>
      </c>
      <c r="M237" s="94" t="str">
        <f>IF(N237=0,"",IF(B237="","CDF não informado",IF(Q237=0,"REVISAR VÍNCULO: CDF inexistente",IF(C237="","Item não informado",IF(T237=0,"REVISAR VÍNCULO: item inexistente",IF(AND(X237=1,J237&lt;&gt;"Sim"),"REVISAR VÍNCULO: destinador diferente do MTR",IF(X237=1,"Destinador diferente do MTR (analisado)","OK")))))))</f>
        <v/>
      </c>
      <c r="N237" s="96">
        <f>IF(COUNTA(B237:C237,F237:G237,J237:K237)&gt;0,1,0)</f>
        <v>0</v>
      </c>
      <c r="O237" s="96" t="str">
        <f>IF(B237="","",TRIM(LEFT(B237,FIND(" |",B237&amp;" |")-1)))</f>
        <v/>
      </c>
      <c r="P237" s="96" t="str">
        <f>IF(O237="","",IFERROR(MATCH(O237,'CDFs'!$A$6:$A$505,0),""))</f>
        <v/>
      </c>
      <c r="Q237" s="96">
        <f>IF(P237="",0,IF(INDEX('CDFs'!$S$6:$S$505,P237)=1,1,0))</f>
        <v>0</v>
      </c>
      <c r="R237" s="96" t="str">
        <f>IF(C237="","",TRIM(LEFT(C237,FIND(" |",C237&amp;" |")-1)))</f>
        <v/>
      </c>
      <c r="S237" s="96" t="str">
        <f>IF(R237="","",IFERROR(MATCH(R237,'ITENS_MTR'!$A$6:$A$1005,0),""))</f>
        <v/>
      </c>
      <c r="T237" s="96">
        <f>IF(S237="",0,IF(INDEX('ITENS_MTR'!$R$6:$R$1005,S237)=1,1,0))</f>
        <v>0</v>
      </c>
      <c r="U237" s="96" t="str">
        <f>IF(G237="","",IFERROR(IF(ISNUMBER(INDEX(cfg_fac,MATCH(G237,cfg_units,0))),IF(INDEX(cfg_fac,MATCH(G237,cfg_units,0))&gt;0,INDEX(cfg_fac,MATCH(G237,cfg_units,0)),""),""),""))</f>
        <v/>
      </c>
      <c r="V237" s="96">
        <f>IF(AND(ISNUMBER(F237),ISNUMBER(H237)),IF(H237&gt;0,1,0),0)</f>
        <v>0</v>
      </c>
      <c r="W237" s="96" t="str">
        <f>IF(T237=1,INDEX('ITENS_MTR'!$AU$6:$AU$1005,S237)&amp;"","")</f>
        <v/>
      </c>
      <c r="X237" s="96">
        <f>IF(AND(Q237=1,T237=1,I237&lt;&gt;"",W237&lt;&gt;""),IF(I237&lt;&gt;W237,1,0),0)</f>
        <v>0</v>
      </c>
      <c r="Y237" s="96">
        <f>IF(N237=0,0,IF(OR(Q237=0,T237=0,V237=0,AND(X237=1,J237&lt;&gt;"Sim")),1,0))</f>
        <v>0</v>
      </c>
      <c r="Z237" s="96">
        <f>IF(Q237=1,INDEX('CDFs'!$W$6:$W$505,P237),0)</f>
        <v>0</v>
      </c>
      <c r="AA237" s="96">
        <f>IF(AND(N237=1,Y237=0,Z237=1,J237="Sim"),1,0)</f>
        <v>0</v>
      </c>
      <c r="AB237" s="96">
        <f>IF(AND(N237=1,O237&lt;&gt;"",D237&lt;&gt;""),IF(COUNTIFS($O$6:O237,O237,$D$6:D237,D237)=1,1,0),0)</f>
        <v>0</v>
      </c>
      <c r="AC237" s="96">
        <f>IF(T237=1,INDEX('ITENS_MTR'!$AL$6:$AL$1005,S237),0)</f>
        <v>0</v>
      </c>
    </row>
    <row r="238">
      <c r="A238" s="89" t="inlineStr">
        <is>
          <t>VIN-000233</t>
        </is>
      </c>
      <c r="B238" s="91" t="n"/>
      <c r="C238" s="91" t="n"/>
      <c r="D238" s="94" t="str">
        <f>IF(T238=1,INDEX('ITENS_MTR'!$S$6:$S$1005,S238)&amp;"","")</f>
        <v/>
      </c>
      <c r="E238" s="94" t="str">
        <f>IF(T238=1,INDEX('ITENS_MTR'!$C$6:$C$1005,S238)&amp;"","")</f>
        <v/>
      </c>
      <c r="F238" s="98" t="n"/>
      <c r="G238" s="91" t="n"/>
      <c r="H238" s="93" t="str">
        <f>IF(N238=0,"",IF(NOT(ISNUMBER(F238)),"",IF(ISNUMBER(U238),F238*U238,"UNIDADE A CONFERIR")))</f>
        <v/>
      </c>
      <c r="I238" s="94" t="str">
        <f>IF(Q238=1,INDEX('CDFs'!$F$6:$F$505,P238)&amp;"","")</f>
        <v/>
      </c>
      <c r="J238" s="91" t="n"/>
      <c r="K238" s="91" t="n"/>
      <c r="L238" s="94" t="str">
        <f>IF(N238=0,"",IF(NOT(ISNUMBER(F238)),"Quantidade não informada",IF(F238&lt;=0,"Quantidade não positiva",IF(G238="","Unidade não informada",IF(NOT(ISNUMBER(H238)),"Unidade a conferir",IF(AC238=1,"REVISAR VÍNCULO: soma vinculada maior que a referência do item","OK"))))))</f>
        <v/>
      </c>
      <c r="M238" s="94" t="str">
        <f>IF(N238=0,"",IF(B238="","CDF não informado",IF(Q238=0,"REVISAR VÍNCULO: CDF inexistente",IF(C238="","Item não informado",IF(T238=0,"REVISAR VÍNCULO: item inexistente",IF(AND(X238=1,J238&lt;&gt;"Sim"),"REVISAR VÍNCULO: destinador diferente do MTR",IF(X238=1,"Destinador diferente do MTR (analisado)","OK")))))))</f>
        <v/>
      </c>
      <c r="N238" s="96">
        <f>IF(COUNTA(B238:C238,F238:G238,J238:K238)&gt;0,1,0)</f>
        <v>0</v>
      </c>
      <c r="O238" s="96" t="str">
        <f>IF(B238="","",TRIM(LEFT(B238,FIND(" |",B238&amp;" |")-1)))</f>
        <v/>
      </c>
      <c r="P238" s="96" t="str">
        <f>IF(O238="","",IFERROR(MATCH(O238,'CDFs'!$A$6:$A$505,0),""))</f>
        <v/>
      </c>
      <c r="Q238" s="96">
        <f>IF(P238="",0,IF(INDEX('CDFs'!$S$6:$S$505,P238)=1,1,0))</f>
        <v>0</v>
      </c>
      <c r="R238" s="96" t="str">
        <f>IF(C238="","",TRIM(LEFT(C238,FIND(" |",C238&amp;" |")-1)))</f>
        <v/>
      </c>
      <c r="S238" s="96" t="str">
        <f>IF(R238="","",IFERROR(MATCH(R238,'ITENS_MTR'!$A$6:$A$1005,0),""))</f>
        <v/>
      </c>
      <c r="T238" s="96">
        <f>IF(S238="",0,IF(INDEX('ITENS_MTR'!$R$6:$R$1005,S238)=1,1,0))</f>
        <v>0</v>
      </c>
      <c r="U238" s="96" t="str">
        <f>IF(G238="","",IFERROR(IF(ISNUMBER(INDEX(cfg_fac,MATCH(G238,cfg_units,0))),IF(INDEX(cfg_fac,MATCH(G238,cfg_units,0))&gt;0,INDEX(cfg_fac,MATCH(G238,cfg_units,0)),""),""),""))</f>
        <v/>
      </c>
      <c r="V238" s="96">
        <f>IF(AND(ISNUMBER(F238),ISNUMBER(H238)),IF(H238&gt;0,1,0),0)</f>
        <v>0</v>
      </c>
      <c r="W238" s="96" t="str">
        <f>IF(T238=1,INDEX('ITENS_MTR'!$AU$6:$AU$1005,S238)&amp;"","")</f>
        <v/>
      </c>
      <c r="X238" s="96">
        <f>IF(AND(Q238=1,T238=1,I238&lt;&gt;"",W238&lt;&gt;""),IF(I238&lt;&gt;W238,1,0),0)</f>
        <v>0</v>
      </c>
      <c r="Y238" s="96">
        <f>IF(N238=0,0,IF(OR(Q238=0,T238=0,V238=0,AND(X238=1,J238&lt;&gt;"Sim")),1,0))</f>
        <v>0</v>
      </c>
      <c r="Z238" s="96">
        <f>IF(Q238=1,INDEX('CDFs'!$W$6:$W$505,P238),0)</f>
        <v>0</v>
      </c>
      <c r="AA238" s="96">
        <f>IF(AND(N238=1,Y238=0,Z238=1,J238="Sim"),1,0)</f>
        <v>0</v>
      </c>
      <c r="AB238" s="96">
        <f>IF(AND(N238=1,O238&lt;&gt;"",D238&lt;&gt;""),IF(COUNTIFS($O$6:O238,O238,$D$6:D238,D238)=1,1,0),0)</f>
        <v>0</v>
      </c>
      <c r="AC238" s="96">
        <f>IF(T238=1,INDEX('ITENS_MTR'!$AL$6:$AL$1005,S238),0)</f>
        <v>0</v>
      </c>
    </row>
    <row r="239">
      <c r="A239" s="89" t="inlineStr">
        <is>
          <t>VIN-000234</t>
        </is>
      </c>
      <c r="B239" s="91" t="n"/>
      <c r="C239" s="91" t="n"/>
      <c r="D239" s="94" t="str">
        <f>IF(T239=1,INDEX('ITENS_MTR'!$S$6:$S$1005,S239)&amp;"","")</f>
        <v/>
      </c>
      <c r="E239" s="94" t="str">
        <f>IF(T239=1,INDEX('ITENS_MTR'!$C$6:$C$1005,S239)&amp;"","")</f>
        <v/>
      </c>
      <c r="F239" s="98" t="n"/>
      <c r="G239" s="91" t="n"/>
      <c r="H239" s="93" t="str">
        <f>IF(N239=0,"",IF(NOT(ISNUMBER(F239)),"",IF(ISNUMBER(U239),F239*U239,"UNIDADE A CONFERIR")))</f>
        <v/>
      </c>
      <c r="I239" s="94" t="str">
        <f>IF(Q239=1,INDEX('CDFs'!$F$6:$F$505,P239)&amp;"","")</f>
        <v/>
      </c>
      <c r="J239" s="91" t="n"/>
      <c r="K239" s="91" t="n"/>
      <c r="L239" s="94" t="str">
        <f>IF(N239=0,"",IF(NOT(ISNUMBER(F239)),"Quantidade não informada",IF(F239&lt;=0,"Quantidade não positiva",IF(G239="","Unidade não informada",IF(NOT(ISNUMBER(H239)),"Unidade a conferir",IF(AC239=1,"REVISAR VÍNCULO: soma vinculada maior que a referência do item","OK"))))))</f>
        <v/>
      </c>
      <c r="M239" s="94" t="str">
        <f>IF(N239=0,"",IF(B239="","CDF não informado",IF(Q239=0,"REVISAR VÍNCULO: CDF inexistente",IF(C239="","Item não informado",IF(T239=0,"REVISAR VÍNCULO: item inexistente",IF(AND(X239=1,J239&lt;&gt;"Sim"),"REVISAR VÍNCULO: destinador diferente do MTR",IF(X239=1,"Destinador diferente do MTR (analisado)","OK")))))))</f>
        <v/>
      </c>
      <c r="N239" s="96">
        <f>IF(COUNTA(B239:C239,F239:G239,J239:K239)&gt;0,1,0)</f>
        <v>0</v>
      </c>
      <c r="O239" s="96" t="str">
        <f>IF(B239="","",TRIM(LEFT(B239,FIND(" |",B239&amp;" |")-1)))</f>
        <v/>
      </c>
      <c r="P239" s="96" t="str">
        <f>IF(O239="","",IFERROR(MATCH(O239,'CDFs'!$A$6:$A$505,0),""))</f>
        <v/>
      </c>
      <c r="Q239" s="96">
        <f>IF(P239="",0,IF(INDEX('CDFs'!$S$6:$S$505,P239)=1,1,0))</f>
        <v>0</v>
      </c>
      <c r="R239" s="96" t="str">
        <f>IF(C239="","",TRIM(LEFT(C239,FIND(" |",C239&amp;" |")-1)))</f>
        <v/>
      </c>
      <c r="S239" s="96" t="str">
        <f>IF(R239="","",IFERROR(MATCH(R239,'ITENS_MTR'!$A$6:$A$1005,0),""))</f>
        <v/>
      </c>
      <c r="T239" s="96">
        <f>IF(S239="",0,IF(INDEX('ITENS_MTR'!$R$6:$R$1005,S239)=1,1,0))</f>
        <v>0</v>
      </c>
      <c r="U239" s="96" t="str">
        <f>IF(G239="","",IFERROR(IF(ISNUMBER(INDEX(cfg_fac,MATCH(G239,cfg_units,0))),IF(INDEX(cfg_fac,MATCH(G239,cfg_units,0))&gt;0,INDEX(cfg_fac,MATCH(G239,cfg_units,0)),""),""),""))</f>
        <v/>
      </c>
      <c r="V239" s="96">
        <f>IF(AND(ISNUMBER(F239),ISNUMBER(H239)),IF(H239&gt;0,1,0),0)</f>
        <v>0</v>
      </c>
      <c r="W239" s="96" t="str">
        <f>IF(T239=1,INDEX('ITENS_MTR'!$AU$6:$AU$1005,S239)&amp;"","")</f>
        <v/>
      </c>
      <c r="X239" s="96">
        <f>IF(AND(Q239=1,T239=1,I239&lt;&gt;"",W239&lt;&gt;""),IF(I239&lt;&gt;W239,1,0),0)</f>
        <v>0</v>
      </c>
      <c r="Y239" s="96">
        <f>IF(N239=0,0,IF(OR(Q239=0,T239=0,V239=0,AND(X239=1,J239&lt;&gt;"Sim")),1,0))</f>
        <v>0</v>
      </c>
      <c r="Z239" s="96">
        <f>IF(Q239=1,INDEX('CDFs'!$W$6:$W$505,P239),0)</f>
        <v>0</v>
      </c>
      <c r="AA239" s="96">
        <f>IF(AND(N239=1,Y239=0,Z239=1,J239="Sim"),1,0)</f>
        <v>0</v>
      </c>
      <c r="AB239" s="96">
        <f>IF(AND(N239=1,O239&lt;&gt;"",D239&lt;&gt;""),IF(COUNTIFS($O$6:O239,O239,$D$6:D239,D239)=1,1,0),0)</f>
        <v>0</v>
      </c>
      <c r="AC239" s="96">
        <f>IF(T239=1,INDEX('ITENS_MTR'!$AL$6:$AL$1005,S239),0)</f>
        <v>0</v>
      </c>
    </row>
    <row r="240">
      <c r="A240" s="89" t="inlineStr">
        <is>
          <t>VIN-000235</t>
        </is>
      </c>
      <c r="B240" s="91" t="n"/>
      <c r="C240" s="91" t="n"/>
      <c r="D240" s="94" t="str">
        <f>IF(T240=1,INDEX('ITENS_MTR'!$S$6:$S$1005,S240)&amp;"","")</f>
        <v/>
      </c>
      <c r="E240" s="94" t="str">
        <f>IF(T240=1,INDEX('ITENS_MTR'!$C$6:$C$1005,S240)&amp;"","")</f>
        <v/>
      </c>
      <c r="F240" s="98" t="n"/>
      <c r="G240" s="91" t="n"/>
      <c r="H240" s="93" t="str">
        <f>IF(N240=0,"",IF(NOT(ISNUMBER(F240)),"",IF(ISNUMBER(U240),F240*U240,"UNIDADE A CONFERIR")))</f>
        <v/>
      </c>
      <c r="I240" s="94" t="str">
        <f>IF(Q240=1,INDEX('CDFs'!$F$6:$F$505,P240)&amp;"","")</f>
        <v/>
      </c>
      <c r="J240" s="91" t="n"/>
      <c r="K240" s="91" t="n"/>
      <c r="L240" s="94" t="str">
        <f>IF(N240=0,"",IF(NOT(ISNUMBER(F240)),"Quantidade não informada",IF(F240&lt;=0,"Quantidade não positiva",IF(G240="","Unidade não informada",IF(NOT(ISNUMBER(H240)),"Unidade a conferir",IF(AC240=1,"REVISAR VÍNCULO: soma vinculada maior que a referência do item","OK"))))))</f>
        <v/>
      </c>
      <c r="M240" s="94" t="str">
        <f>IF(N240=0,"",IF(B240="","CDF não informado",IF(Q240=0,"REVISAR VÍNCULO: CDF inexistente",IF(C240="","Item não informado",IF(T240=0,"REVISAR VÍNCULO: item inexistente",IF(AND(X240=1,J240&lt;&gt;"Sim"),"REVISAR VÍNCULO: destinador diferente do MTR",IF(X240=1,"Destinador diferente do MTR (analisado)","OK")))))))</f>
        <v/>
      </c>
      <c r="N240" s="96">
        <f>IF(COUNTA(B240:C240,F240:G240,J240:K240)&gt;0,1,0)</f>
        <v>0</v>
      </c>
      <c r="O240" s="96" t="str">
        <f>IF(B240="","",TRIM(LEFT(B240,FIND(" |",B240&amp;" |")-1)))</f>
        <v/>
      </c>
      <c r="P240" s="96" t="str">
        <f>IF(O240="","",IFERROR(MATCH(O240,'CDFs'!$A$6:$A$505,0),""))</f>
        <v/>
      </c>
      <c r="Q240" s="96">
        <f>IF(P240="",0,IF(INDEX('CDFs'!$S$6:$S$505,P240)=1,1,0))</f>
        <v>0</v>
      </c>
      <c r="R240" s="96" t="str">
        <f>IF(C240="","",TRIM(LEFT(C240,FIND(" |",C240&amp;" |")-1)))</f>
        <v/>
      </c>
      <c r="S240" s="96" t="str">
        <f>IF(R240="","",IFERROR(MATCH(R240,'ITENS_MTR'!$A$6:$A$1005,0),""))</f>
        <v/>
      </c>
      <c r="T240" s="96">
        <f>IF(S240="",0,IF(INDEX('ITENS_MTR'!$R$6:$R$1005,S240)=1,1,0))</f>
        <v>0</v>
      </c>
      <c r="U240" s="96" t="str">
        <f>IF(G240="","",IFERROR(IF(ISNUMBER(INDEX(cfg_fac,MATCH(G240,cfg_units,0))),IF(INDEX(cfg_fac,MATCH(G240,cfg_units,0))&gt;0,INDEX(cfg_fac,MATCH(G240,cfg_units,0)),""),""),""))</f>
        <v/>
      </c>
      <c r="V240" s="96">
        <f>IF(AND(ISNUMBER(F240),ISNUMBER(H240)),IF(H240&gt;0,1,0),0)</f>
        <v>0</v>
      </c>
      <c r="W240" s="96" t="str">
        <f>IF(T240=1,INDEX('ITENS_MTR'!$AU$6:$AU$1005,S240)&amp;"","")</f>
        <v/>
      </c>
      <c r="X240" s="96">
        <f>IF(AND(Q240=1,T240=1,I240&lt;&gt;"",W240&lt;&gt;""),IF(I240&lt;&gt;W240,1,0),0)</f>
        <v>0</v>
      </c>
      <c r="Y240" s="96">
        <f>IF(N240=0,0,IF(OR(Q240=0,T240=0,V240=0,AND(X240=1,J240&lt;&gt;"Sim")),1,0))</f>
        <v>0</v>
      </c>
      <c r="Z240" s="96">
        <f>IF(Q240=1,INDEX('CDFs'!$W$6:$W$505,P240),0)</f>
        <v>0</v>
      </c>
      <c r="AA240" s="96">
        <f>IF(AND(N240=1,Y240=0,Z240=1,J240="Sim"),1,0)</f>
        <v>0</v>
      </c>
      <c r="AB240" s="96">
        <f>IF(AND(N240=1,O240&lt;&gt;"",D240&lt;&gt;""),IF(COUNTIFS($O$6:O240,O240,$D$6:D240,D240)=1,1,0),0)</f>
        <v>0</v>
      </c>
      <c r="AC240" s="96">
        <f>IF(T240=1,INDEX('ITENS_MTR'!$AL$6:$AL$1005,S240),0)</f>
        <v>0</v>
      </c>
    </row>
    <row r="241">
      <c r="A241" s="89" t="inlineStr">
        <is>
          <t>VIN-000236</t>
        </is>
      </c>
      <c r="B241" s="91" t="n"/>
      <c r="C241" s="91" t="n"/>
      <c r="D241" s="94" t="str">
        <f>IF(T241=1,INDEX('ITENS_MTR'!$S$6:$S$1005,S241)&amp;"","")</f>
        <v/>
      </c>
      <c r="E241" s="94" t="str">
        <f>IF(T241=1,INDEX('ITENS_MTR'!$C$6:$C$1005,S241)&amp;"","")</f>
        <v/>
      </c>
      <c r="F241" s="98" t="n"/>
      <c r="G241" s="91" t="n"/>
      <c r="H241" s="93" t="str">
        <f>IF(N241=0,"",IF(NOT(ISNUMBER(F241)),"",IF(ISNUMBER(U241),F241*U241,"UNIDADE A CONFERIR")))</f>
        <v/>
      </c>
      <c r="I241" s="94" t="str">
        <f>IF(Q241=1,INDEX('CDFs'!$F$6:$F$505,P241)&amp;"","")</f>
        <v/>
      </c>
      <c r="J241" s="91" t="n"/>
      <c r="K241" s="91" t="n"/>
      <c r="L241" s="94" t="str">
        <f>IF(N241=0,"",IF(NOT(ISNUMBER(F241)),"Quantidade não informada",IF(F241&lt;=0,"Quantidade não positiva",IF(G241="","Unidade não informada",IF(NOT(ISNUMBER(H241)),"Unidade a conferir",IF(AC241=1,"REVISAR VÍNCULO: soma vinculada maior que a referência do item","OK"))))))</f>
        <v/>
      </c>
      <c r="M241" s="94" t="str">
        <f>IF(N241=0,"",IF(B241="","CDF não informado",IF(Q241=0,"REVISAR VÍNCULO: CDF inexistente",IF(C241="","Item não informado",IF(T241=0,"REVISAR VÍNCULO: item inexistente",IF(AND(X241=1,J241&lt;&gt;"Sim"),"REVISAR VÍNCULO: destinador diferente do MTR",IF(X241=1,"Destinador diferente do MTR (analisado)","OK")))))))</f>
        <v/>
      </c>
      <c r="N241" s="96">
        <f>IF(COUNTA(B241:C241,F241:G241,J241:K241)&gt;0,1,0)</f>
        <v>0</v>
      </c>
      <c r="O241" s="96" t="str">
        <f>IF(B241="","",TRIM(LEFT(B241,FIND(" |",B241&amp;" |")-1)))</f>
        <v/>
      </c>
      <c r="P241" s="96" t="str">
        <f>IF(O241="","",IFERROR(MATCH(O241,'CDFs'!$A$6:$A$505,0),""))</f>
        <v/>
      </c>
      <c r="Q241" s="96">
        <f>IF(P241="",0,IF(INDEX('CDFs'!$S$6:$S$505,P241)=1,1,0))</f>
        <v>0</v>
      </c>
      <c r="R241" s="96" t="str">
        <f>IF(C241="","",TRIM(LEFT(C241,FIND(" |",C241&amp;" |")-1)))</f>
        <v/>
      </c>
      <c r="S241" s="96" t="str">
        <f>IF(R241="","",IFERROR(MATCH(R241,'ITENS_MTR'!$A$6:$A$1005,0),""))</f>
        <v/>
      </c>
      <c r="T241" s="96">
        <f>IF(S241="",0,IF(INDEX('ITENS_MTR'!$R$6:$R$1005,S241)=1,1,0))</f>
        <v>0</v>
      </c>
      <c r="U241" s="96" t="str">
        <f>IF(G241="","",IFERROR(IF(ISNUMBER(INDEX(cfg_fac,MATCH(G241,cfg_units,0))),IF(INDEX(cfg_fac,MATCH(G241,cfg_units,0))&gt;0,INDEX(cfg_fac,MATCH(G241,cfg_units,0)),""),""),""))</f>
        <v/>
      </c>
      <c r="V241" s="96">
        <f>IF(AND(ISNUMBER(F241),ISNUMBER(H241)),IF(H241&gt;0,1,0),0)</f>
        <v>0</v>
      </c>
      <c r="W241" s="96" t="str">
        <f>IF(T241=1,INDEX('ITENS_MTR'!$AU$6:$AU$1005,S241)&amp;"","")</f>
        <v/>
      </c>
      <c r="X241" s="96">
        <f>IF(AND(Q241=1,T241=1,I241&lt;&gt;"",W241&lt;&gt;""),IF(I241&lt;&gt;W241,1,0),0)</f>
        <v>0</v>
      </c>
      <c r="Y241" s="96">
        <f>IF(N241=0,0,IF(OR(Q241=0,T241=0,V241=0,AND(X241=1,J241&lt;&gt;"Sim")),1,0))</f>
        <v>0</v>
      </c>
      <c r="Z241" s="96">
        <f>IF(Q241=1,INDEX('CDFs'!$W$6:$W$505,P241),0)</f>
        <v>0</v>
      </c>
      <c r="AA241" s="96">
        <f>IF(AND(N241=1,Y241=0,Z241=1,J241="Sim"),1,0)</f>
        <v>0</v>
      </c>
      <c r="AB241" s="96">
        <f>IF(AND(N241=1,O241&lt;&gt;"",D241&lt;&gt;""),IF(COUNTIFS($O$6:O241,O241,$D$6:D241,D241)=1,1,0),0)</f>
        <v>0</v>
      </c>
      <c r="AC241" s="96">
        <f>IF(T241=1,INDEX('ITENS_MTR'!$AL$6:$AL$1005,S241),0)</f>
        <v>0</v>
      </c>
    </row>
    <row r="242">
      <c r="A242" s="89" t="inlineStr">
        <is>
          <t>VIN-000237</t>
        </is>
      </c>
      <c r="B242" s="91" t="n"/>
      <c r="C242" s="91" t="n"/>
      <c r="D242" s="94" t="str">
        <f>IF(T242=1,INDEX('ITENS_MTR'!$S$6:$S$1005,S242)&amp;"","")</f>
        <v/>
      </c>
      <c r="E242" s="94" t="str">
        <f>IF(T242=1,INDEX('ITENS_MTR'!$C$6:$C$1005,S242)&amp;"","")</f>
        <v/>
      </c>
      <c r="F242" s="98" t="n"/>
      <c r="G242" s="91" t="n"/>
      <c r="H242" s="93" t="str">
        <f>IF(N242=0,"",IF(NOT(ISNUMBER(F242)),"",IF(ISNUMBER(U242),F242*U242,"UNIDADE A CONFERIR")))</f>
        <v/>
      </c>
      <c r="I242" s="94" t="str">
        <f>IF(Q242=1,INDEX('CDFs'!$F$6:$F$505,P242)&amp;"","")</f>
        <v/>
      </c>
      <c r="J242" s="91" t="n"/>
      <c r="K242" s="91" t="n"/>
      <c r="L242" s="94" t="str">
        <f>IF(N242=0,"",IF(NOT(ISNUMBER(F242)),"Quantidade não informada",IF(F242&lt;=0,"Quantidade não positiva",IF(G242="","Unidade não informada",IF(NOT(ISNUMBER(H242)),"Unidade a conferir",IF(AC242=1,"REVISAR VÍNCULO: soma vinculada maior que a referência do item","OK"))))))</f>
        <v/>
      </c>
      <c r="M242" s="94" t="str">
        <f>IF(N242=0,"",IF(B242="","CDF não informado",IF(Q242=0,"REVISAR VÍNCULO: CDF inexistente",IF(C242="","Item não informado",IF(T242=0,"REVISAR VÍNCULO: item inexistente",IF(AND(X242=1,J242&lt;&gt;"Sim"),"REVISAR VÍNCULO: destinador diferente do MTR",IF(X242=1,"Destinador diferente do MTR (analisado)","OK")))))))</f>
        <v/>
      </c>
      <c r="N242" s="96">
        <f>IF(COUNTA(B242:C242,F242:G242,J242:K242)&gt;0,1,0)</f>
        <v>0</v>
      </c>
      <c r="O242" s="96" t="str">
        <f>IF(B242="","",TRIM(LEFT(B242,FIND(" |",B242&amp;" |")-1)))</f>
        <v/>
      </c>
      <c r="P242" s="96" t="str">
        <f>IF(O242="","",IFERROR(MATCH(O242,'CDFs'!$A$6:$A$505,0),""))</f>
        <v/>
      </c>
      <c r="Q242" s="96">
        <f>IF(P242="",0,IF(INDEX('CDFs'!$S$6:$S$505,P242)=1,1,0))</f>
        <v>0</v>
      </c>
      <c r="R242" s="96" t="str">
        <f>IF(C242="","",TRIM(LEFT(C242,FIND(" |",C242&amp;" |")-1)))</f>
        <v/>
      </c>
      <c r="S242" s="96" t="str">
        <f>IF(R242="","",IFERROR(MATCH(R242,'ITENS_MTR'!$A$6:$A$1005,0),""))</f>
        <v/>
      </c>
      <c r="T242" s="96">
        <f>IF(S242="",0,IF(INDEX('ITENS_MTR'!$R$6:$R$1005,S242)=1,1,0))</f>
        <v>0</v>
      </c>
      <c r="U242" s="96" t="str">
        <f>IF(G242="","",IFERROR(IF(ISNUMBER(INDEX(cfg_fac,MATCH(G242,cfg_units,0))),IF(INDEX(cfg_fac,MATCH(G242,cfg_units,0))&gt;0,INDEX(cfg_fac,MATCH(G242,cfg_units,0)),""),""),""))</f>
        <v/>
      </c>
      <c r="V242" s="96">
        <f>IF(AND(ISNUMBER(F242),ISNUMBER(H242)),IF(H242&gt;0,1,0),0)</f>
        <v>0</v>
      </c>
      <c r="W242" s="96" t="str">
        <f>IF(T242=1,INDEX('ITENS_MTR'!$AU$6:$AU$1005,S242)&amp;"","")</f>
        <v/>
      </c>
      <c r="X242" s="96">
        <f>IF(AND(Q242=1,T242=1,I242&lt;&gt;"",W242&lt;&gt;""),IF(I242&lt;&gt;W242,1,0),0)</f>
        <v>0</v>
      </c>
      <c r="Y242" s="96">
        <f>IF(N242=0,0,IF(OR(Q242=0,T242=0,V242=0,AND(X242=1,J242&lt;&gt;"Sim")),1,0))</f>
        <v>0</v>
      </c>
      <c r="Z242" s="96">
        <f>IF(Q242=1,INDEX('CDFs'!$W$6:$W$505,P242),0)</f>
        <v>0</v>
      </c>
      <c r="AA242" s="96">
        <f>IF(AND(N242=1,Y242=0,Z242=1,J242="Sim"),1,0)</f>
        <v>0</v>
      </c>
      <c r="AB242" s="96">
        <f>IF(AND(N242=1,O242&lt;&gt;"",D242&lt;&gt;""),IF(COUNTIFS($O$6:O242,O242,$D$6:D242,D242)=1,1,0),0)</f>
        <v>0</v>
      </c>
      <c r="AC242" s="96">
        <f>IF(T242=1,INDEX('ITENS_MTR'!$AL$6:$AL$1005,S242),0)</f>
        <v>0</v>
      </c>
    </row>
    <row r="243">
      <c r="A243" s="89" t="inlineStr">
        <is>
          <t>VIN-000238</t>
        </is>
      </c>
      <c r="B243" s="91" t="n"/>
      <c r="C243" s="91" t="n"/>
      <c r="D243" s="94" t="str">
        <f>IF(T243=1,INDEX('ITENS_MTR'!$S$6:$S$1005,S243)&amp;"","")</f>
        <v/>
      </c>
      <c r="E243" s="94" t="str">
        <f>IF(T243=1,INDEX('ITENS_MTR'!$C$6:$C$1005,S243)&amp;"","")</f>
        <v/>
      </c>
      <c r="F243" s="98" t="n"/>
      <c r="G243" s="91" t="n"/>
      <c r="H243" s="93" t="str">
        <f>IF(N243=0,"",IF(NOT(ISNUMBER(F243)),"",IF(ISNUMBER(U243),F243*U243,"UNIDADE A CONFERIR")))</f>
        <v/>
      </c>
      <c r="I243" s="94" t="str">
        <f>IF(Q243=1,INDEX('CDFs'!$F$6:$F$505,P243)&amp;"","")</f>
        <v/>
      </c>
      <c r="J243" s="91" t="n"/>
      <c r="K243" s="91" t="n"/>
      <c r="L243" s="94" t="str">
        <f>IF(N243=0,"",IF(NOT(ISNUMBER(F243)),"Quantidade não informada",IF(F243&lt;=0,"Quantidade não positiva",IF(G243="","Unidade não informada",IF(NOT(ISNUMBER(H243)),"Unidade a conferir",IF(AC243=1,"REVISAR VÍNCULO: soma vinculada maior que a referência do item","OK"))))))</f>
        <v/>
      </c>
      <c r="M243" s="94" t="str">
        <f>IF(N243=0,"",IF(B243="","CDF não informado",IF(Q243=0,"REVISAR VÍNCULO: CDF inexistente",IF(C243="","Item não informado",IF(T243=0,"REVISAR VÍNCULO: item inexistente",IF(AND(X243=1,J243&lt;&gt;"Sim"),"REVISAR VÍNCULO: destinador diferente do MTR",IF(X243=1,"Destinador diferente do MTR (analisado)","OK")))))))</f>
        <v/>
      </c>
      <c r="N243" s="96">
        <f>IF(COUNTA(B243:C243,F243:G243,J243:K243)&gt;0,1,0)</f>
        <v>0</v>
      </c>
      <c r="O243" s="96" t="str">
        <f>IF(B243="","",TRIM(LEFT(B243,FIND(" |",B243&amp;" |")-1)))</f>
        <v/>
      </c>
      <c r="P243" s="96" t="str">
        <f>IF(O243="","",IFERROR(MATCH(O243,'CDFs'!$A$6:$A$505,0),""))</f>
        <v/>
      </c>
      <c r="Q243" s="96">
        <f>IF(P243="",0,IF(INDEX('CDFs'!$S$6:$S$505,P243)=1,1,0))</f>
        <v>0</v>
      </c>
      <c r="R243" s="96" t="str">
        <f>IF(C243="","",TRIM(LEFT(C243,FIND(" |",C243&amp;" |")-1)))</f>
        <v/>
      </c>
      <c r="S243" s="96" t="str">
        <f>IF(R243="","",IFERROR(MATCH(R243,'ITENS_MTR'!$A$6:$A$1005,0),""))</f>
        <v/>
      </c>
      <c r="T243" s="96">
        <f>IF(S243="",0,IF(INDEX('ITENS_MTR'!$R$6:$R$1005,S243)=1,1,0))</f>
        <v>0</v>
      </c>
      <c r="U243" s="96" t="str">
        <f>IF(G243="","",IFERROR(IF(ISNUMBER(INDEX(cfg_fac,MATCH(G243,cfg_units,0))),IF(INDEX(cfg_fac,MATCH(G243,cfg_units,0))&gt;0,INDEX(cfg_fac,MATCH(G243,cfg_units,0)),""),""),""))</f>
        <v/>
      </c>
      <c r="V243" s="96">
        <f>IF(AND(ISNUMBER(F243),ISNUMBER(H243)),IF(H243&gt;0,1,0),0)</f>
        <v>0</v>
      </c>
      <c r="W243" s="96" t="str">
        <f>IF(T243=1,INDEX('ITENS_MTR'!$AU$6:$AU$1005,S243)&amp;"","")</f>
        <v/>
      </c>
      <c r="X243" s="96">
        <f>IF(AND(Q243=1,T243=1,I243&lt;&gt;"",W243&lt;&gt;""),IF(I243&lt;&gt;W243,1,0),0)</f>
        <v>0</v>
      </c>
      <c r="Y243" s="96">
        <f>IF(N243=0,0,IF(OR(Q243=0,T243=0,V243=0,AND(X243=1,J243&lt;&gt;"Sim")),1,0))</f>
        <v>0</v>
      </c>
      <c r="Z243" s="96">
        <f>IF(Q243=1,INDEX('CDFs'!$W$6:$W$505,P243),0)</f>
        <v>0</v>
      </c>
      <c r="AA243" s="96">
        <f>IF(AND(N243=1,Y243=0,Z243=1,J243="Sim"),1,0)</f>
        <v>0</v>
      </c>
      <c r="AB243" s="96">
        <f>IF(AND(N243=1,O243&lt;&gt;"",D243&lt;&gt;""),IF(COUNTIFS($O$6:O243,O243,$D$6:D243,D243)=1,1,0),0)</f>
        <v>0</v>
      </c>
      <c r="AC243" s="96">
        <f>IF(T243=1,INDEX('ITENS_MTR'!$AL$6:$AL$1005,S243),0)</f>
        <v>0</v>
      </c>
    </row>
    <row r="244">
      <c r="A244" s="89" t="inlineStr">
        <is>
          <t>VIN-000239</t>
        </is>
      </c>
      <c r="B244" s="91" t="n"/>
      <c r="C244" s="91" t="n"/>
      <c r="D244" s="94" t="str">
        <f>IF(T244=1,INDEX('ITENS_MTR'!$S$6:$S$1005,S244)&amp;"","")</f>
        <v/>
      </c>
      <c r="E244" s="94" t="str">
        <f>IF(T244=1,INDEX('ITENS_MTR'!$C$6:$C$1005,S244)&amp;"","")</f>
        <v/>
      </c>
      <c r="F244" s="98" t="n"/>
      <c r="G244" s="91" t="n"/>
      <c r="H244" s="93" t="str">
        <f>IF(N244=0,"",IF(NOT(ISNUMBER(F244)),"",IF(ISNUMBER(U244),F244*U244,"UNIDADE A CONFERIR")))</f>
        <v/>
      </c>
      <c r="I244" s="94" t="str">
        <f>IF(Q244=1,INDEX('CDFs'!$F$6:$F$505,P244)&amp;"","")</f>
        <v/>
      </c>
      <c r="J244" s="91" t="n"/>
      <c r="K244" s="91" t="n"/>
      <c r="L244" s="94" t="str">
        <f>IF(N244=0,"",IF(NOT(ISNUMBER(F244)),"Quantidade não informada",IF(F244&lt;=0,"Quantidade não positiva",IF(G244="","Unidade não informada",IF(NOT(ISNUMBER(H244)),"Unidade a conferir",IF(AC244=1,"REVISAR VÍNCULO: soma vinculada maior que a referência do item","OK"))))))</f>
        <v/>
      </c>
      <c r="M244" s="94" t="str">
        <f>IF(N244=0,"",IF(B244="","CDF não informado",IF(Q244=0,"REVISAR VÍNCULO: CDF inexistente",IF(C244="","Item não informado",IF(T244=0,"REVISAR VÍNCULO: item inexistente",IF(AND(X244=1,J244&lt;&gt;"Sim"),"REVISAR VÍNCULO: destinador diferente do MTR",IF(X244=1,"Destinador diferente do MTR (analisado)","OK")))))))</f>
        <v/>
      </c>
      <c r="N244" s="96">
        <f>IF(COUNTA(B244:C244,F244:G244,J244:K244)&gt;0,1,0)</f>
        <v>0</v>
      </c>
      <c r="O244" s="96" t="str">
        <f>IF(B244="","",TRIM(LEFT(B244,FIND(" |",B244&amp;" |")-1)))</f>
        <v/>
      </c>
      <c r="P244" s="96" t="str">
        <f>IF(O244="","",IFERROR(MATCH(O244,'CDFs'!$A$6:$A$505,0),""))</f>
        <v/>
      </c>
      <c r="Q244" s="96">
        <f>IF(P244="",0,IF(INDEX('CDFs'!$S$6:$S$505,P244)=1,1,0))</f>
        <v>0</v>
      </c>
      <c r="R244" s="96" t="str">
        <f>IF(C244="","",TRIM(LEFT(C244,FIND(" |",C244&amp;" |")-1)))</f>
        <v/>
      </c>
      <c r="S244" s="96" t="str">
        <f>IF(R244="","",IFERROR(MATCH(R244,'ITENS_MTR'!$A$6:$A$1005,0),""))</f>
        <v/>
      </c>
      <c r="T244" s="96">
        <f>IF(S244="",0,IF(INDEX('ITENS_MTR'!$R$6:$R$1005,S244)=1,1,0))</f>
        <v>0</v>
      </c>
      <c r="U244" s="96" t="str">
        <f>IF(G244="","",IFERROR(IF(ISNUMBER(INDEX(cfg_fac,MATCH(G244,cfg_units,0))),IF(INDEX(cfg_fac,MATCH(G244,cfg_units,0))&gt;0,INDEX(cfg_fac,MATCH(G244,cfg_units,0)),""),""),""))</f>
        <v/>
      </c>
      <c r="V244" s="96">
        <f>IF(AND(ISNUMBER(F244),ISNUMBER(H244)),IF(H244&gt;0,1,0),0)</f>
        <v>0</v>
      </c>
      <c r="W244" s="96" t="str">
        <f>IF(T244=1,INDEX('ITENS_MTR'!$AU$6:$AU$1005,S244)&amp;"","")</f>
        <v/>
      </c>
      <c r="X244" s="96">
        <f>IF(AND(Q244=1,T244=1,I244&lt;&gt;"",W244&lt;&gt;""),IF(I244&lt;&gt;W244,1,0),0)</f>
        <v>0</v>
      </c>
      <c r="Y244" s="96">
        <f>IF(N244=0,0,IF(OR(Q244=0,T244=0,V244=0,AND(X244=1,J244&lt;&gt;"Sim")),1,0))</f>
        <v>0</v>
      </c>
      <c r="Z244" s="96">
        <f>IF(Q244=1,INDEX('CDFs'!$W$6:$W$505,P244),0)</f>
        <v>0</v>
      </c>
      <c r="AA244" s="96">
        <f>IF(AND(N244=1,Y244=0,Z244=1,J244="Sim"),1,0)</f>
        <v>0</v>
      </c>
      <c r="AB244" s="96">
        <f>IF(AND(N244=1,O244&lt;&gt;"",D244&lt;&gt;""),IF(COUNTIFS($O$6:O244,O244,$D$6:D244,D244)=1,1,0),0)</f>
        <v>0</v>
      </c>
      <c r="AC244" s="96">
        <f>IF(T244=1,INDEX('ITENS_MTR'!$AL$6:$AL$1005,S244),0)</f>
        <v>0</v>
      </c>
    </row>
    <row r="245">
      <c r="A245" s="89" t="inlineStr">
        <is>
          <t>VIN-000240</t>
        </is>
      </c>
      <c r="B245" s="91" t="n"/>
      <c r="C245" s="91" t="n"/>
      <c r="D245" s="94" t="str">
        <f>IF(T245=1,INDEX('ITENS_MTR'!$S$6:$S$1005,S245)&amp;"","")</f>
        <v/>
      </c>
      <c r="E245" s="94" t="str">
        <f>IF(T245=1,INDEX('ITENS_MTR'!$C$6:$C$1005,S245)&amp;"","")</f>
        <v/>
      </c>
      <c r="F245" s="98" t="n"/>
      <c r="G245" s="91" t="n"/>
      <c r="H245" s="93" t="str">
        <f>IF(N245=0,"",IF(NOT(ISNUMBER(F245)),"",IF(ISNUMBER(U245),F245*U245,"UNIDADE A CONFERIR")))</f>
        <v/>
      </c>
      <c r="I245" s="94" t="str">
        <f>IF(Q245=1,INDEX('CDFs'!$F$6:$F$505,P245)&amp;"","")</f>
        <v/>
      </c>
      <c r="J245" s="91" t="n"/>
      <c r="K245" s="91" t="n"/>
      <c r="L245" s="94" t="str">
        <f>IF(N245=0,"",IF(NOT(ISNUMBER(F245)),"Quantidade não informada",IF(F245&lt;=0,"Quantidade não positiva",IF(G245="","Unidade não informada",IF(NOT(ISNUMBER(H245)),"Unidade a conferir",IF(AC245=1,"REVISAR VÍNCULO: soma vinculada maior que a referência do item","OK"))))))</f>
        <v/>
      </c>
      <c r="M245" s="94" t="str">
        <f>IF(N245=0,"",IF(B245="","CDF não informado",IF(Q245=0,"REVISAR VÍNCULO: CDF inexistente",IF(C245="","Item não informado",IF(T245=0,"REVISAR VÍNCULO: item inexistente",IF(AND(X245=1,J245&lt;&gt;"Sim"),"REVISAR VÍNCULO: destinador diferente do MTR",IF(X245=1,"Destinador diferente do MTR (analisado)","OK")))))))</f>
        <v/>
      </c>
      <c r="N245" s="96">
        <f>IF(COUNTA(B245:C245,F245:G245,J245:K245)&gt;0,1,0)</f>
        <v>0</v>
      </c>
      <c r="O245" s="96" t="str">
        <f>IF(B245="","",TRIM(LEFT(B245,FIND(" |",B245&amp;" |")-1)))</f>
        <v/>
      </c>
      <c r="P245" s="96" t="str">
        <f>IF(O245="","",IFERROR(MATCH(O245,'CDFs'!$A$6:$A$505,0),""))</f>
        <v/>
      </c>
      <c r="Q245" s="96">
        <f>IF(P245="",0,IF(INDEX('CDFs'!$S$6:$S$505,P245)=1,1,0))</f>
        <v>0</v>
      </c>
      <c r="R245" s="96" t="str">
        <f>IF(C245="","",TRIM(LEFT(C245,FIND(" |",C245&amp;" |")-1)))</f>
        <v/>
      </c>
      <c r="S245" s="96" t="str">
        <f>IF(R245="","",IFERROR(MATCH(R245,'ITENS_MTR'!$A$6:$A$1005,0),""))</f>
        <v/>
      </c>
      <c r="T245" s="96">
        <f>IF(S245="",0,IF(INDEX('ITENS_MTR'!$R$6:$R$1005,S245)=1,1,0))</f>
        <v>0</v>
      </c>
      <c r="U245" s="96" t="str">
        <f>IF(G245="","",IFERROR(IF(ISNUMBER(INDEX(cfg_fac,MATCH(G245,cfg_units,0))),IF(INDEX(cfg_fac,MATCH(G245,cfg_units,0))&gt;0,INDEX(cfg_fac,MATCH(G245,cfg_units,0)),""),""),""))</f>
        <v/>
      </c>
      <c r="V245" s="96">
        <f>IF(AND(ISNUMBER(F245),ISNUMBER(H245)),IF(H245&gt;0,1,0),0)</f>
        <v>0</v>
      </c>
      <c r="W245" s="96" t="str">
        <f>IF(T245=1,INDEX('ITENS_MTR'!$AU$6:$AU$1005,S245)&amp;"","")</f>
        <v/>
      </c>
      <c r="X245" s="96">
        <f>IF(AND(Q245=1,T245=1,I245&lt;&gt;"",W245&lt;&gt;""),IF(I245&lt;&gt;W245,1,0),0)</f>
        <v>0</v>
      </c>
      <c r="Y245" s="96">
        <f>IF(N245=0,0,IF(OR(Q245=0,T245=0,V245=0,AND(X245=1,J245&lt;&gt;"Sim")),1,0))</f>
        <v>0</v>
      </c>
      <c r="Z245" s="96">
        <f>IF(Q245=1,INDEX('CDFs'!$W$6:$W$505,P245),0)</f>
        <v>0</v>
      </c>
      <c r="AA245" s="96">
        <f>IF(AND(N245=1,Y245=0,Z245=1,J245="Sim"),1,0)</f>
        <v>0</v>
      </c>
      <c r="AB245" s="96">
        <f>IF(AND(N245=1,O245&lt;&gt;"",D245&lt;&gt;""),IF(COUNTIFS($O$6:O245,O245,$D$6:D245,D245)=1,1,0),0)</f>
        <v>0</v>
      </c>
      <c r="AC245" s="96">
        <f>IF(T245=1,INDEX('ITENS_MTR'!$AL$6:$AL$1005,S245),0)</f>
        <v>0</v>
      </c>
    </row>
    <row r="246">
      <c r="A246" s="89" t="inlineStr">
        <is>
          <t>VIN-000241</t>
        </is>
      </c>
      <c r="B246" s="91" t="n"/>
      <c r="C246" s="91" t="n"/>
      <c r="D246" s="94" t="str">
        <f>IF(T246=1,INDEX('ITENS_MTR'!$S$6:$S$1005,S246)&amp;"","")</f>
        <v/>
      </c>
      <c r="E246" s="94" t="str">
        <f>IF(T246=1,INDEX('ITENS_MTR'!$C$6:$C$1005,S246)&amp;"","")</f>
        <v/>
      </c>
      <c r="F246" s="98" t="n"/>
      <c r="G246" s="91" t="n"/>
      <c r="H246" s="93" t="str">
        <f>IF(N246=0,"",IF(NOT(ISNUMBER(F246)),"",IF(ISNUMBER(U246),F246*U246,"UNIDADE A CONFERIR")))</f>
        <v/>
      </c>
      <c r="I246" s="94" t="str">
        <f>IF(Q246=1,INDEX('CDFs'!$F$6:$F$505,P246)&amp;"","")</f>
        <v/>
      </c>
      <c r="J246" s="91" t="n"/>
      <c r="K246" s="91" t="n"/>
      <c r="L246" s="94" t="str">
        <f>IF(N246=0,"",IF(NOT(ISNUMBER(F246)),"Quantidade não informada",IF(F246&lt;=0,"Quantidade não positiva",IF(G246="","Unidade não informada",IF(NOT(ISNUMBER(H246)),"Unidade a conferir",IF(AC246=1,"REVISAR VÍNCULO: soma vinculada maior que a referência do item","OK"))))))</f>
        <v/>
      </c>
      <c r="M246" s="94" t="str">
        <f>IF(N246=0,"",IF(B246="","CDF não informado",IF(Q246=0,"REVISAR VÍNCULO: CDF inexistente",IF(C246="","Item não informado",IF(T246=0,"REVISAR VÍNCULO: item inexistente",IF(AND(X246=1,J246&lt;&gt;"Sim"),"REVISAR VÍNCULO: destinador diferente do MTR",IF(X246=1,"Destinador diferente do MTR (analisado)","OK")))))))</f>
        <v/>
      </c>
      <c r="N246" s="96">
        <f>IF(COUNTA(B246:C246,F246:G246,J246:K246)&gt;0,1,0)</f>
        <v>0</v>
      </c>
      <c r="O246" s="96" t="str">
        <f>IF(B246="","",TRIM(LEFT(B246,FIND(" |",B246&amp;" |")-1)))</f>
        <v/>
      </c>
      <c r="P246" s="96" t="str">
        <f>IF(O246="","",IFERROR(MATCH(O246,'CDFs'!$A$6:$A$505,0),""))</f>
        <v/>
      </c>
      <c r="Q246" s="96">
        <f>IF(P246="",0,IF(INDEX('CDFs'!$S$6:$S$505,P246)=1,1,0))</f>
        <v>0</v>
      </c>
      <c r="R246" s="96" t="str">
        <f>IF(C246="","",TRIM(LEFT(C246,FIND(" |",C246&amp;" |")-1)))</f>
        <v/>
      </c>
      <c r="S246" s="96" t="str">
        <f>IF(R246="","",IFERROR(MATCH(R246,'ITENS_MTR'!$A$6:$A$1005,0),""))</f>
        <v/>
      </c>
      <c r="T246" s="96">
        <f>IF(S246="",0,IF(INDEX('ITENS_MTR'!$R$6:$R$1005,S246)=1,1,0))</f>
        <v>0</v>
      </c>
      <c r="U246" s="96" t="str">
        <f>IF(G246="","",IFERROR(IF(ISNUMBER(INDEX(cfg_fac,MATCH(G246,cfg_units,0))),IF(INDEX(cfg_fac,MATCH(G246,cfg_units,0))&gt;0,INDEX(cfg_fac,MATCH(G246,cfg_units,0)),""),""),""))</f>
        <v/>
      </c>
      <c r="V246" s="96">
        <f>IF(AND(ISNUMBER(F246),ISNUMBER(H246)),IF(H246&gt;0,1,0),0)</f>
        <v>0</v>
      </c>
      <c r="W246" s="96" t="str">
        <f>IF(T246=1,INDEX('ITENS_MTR'!$AU$6:$AU$1005,S246)&amp;"","")</f>
        <v/>
      </c>
      <c r="X246" s="96">
        <f>IF(AND(Q246=1,T246=1,I246&lt;&gt;"",W246&lt;&gt;""),IF(I246&lt;&gt;W246,1,0),0)</f>
        <v>0</v>
      </c>
      <c r="Y246" s="96">
        <f>IF(N246=0,0,IF(OR(Q246=0,T246=0,V246=0,AND(X246=1,J246&lt;&gt;"Sim")),1,0))</f>
        <v>0</v>
      </c>
      <c r="Z246" s="96">
        <f>IF(Q246=1,INDEX('CDFs'!$W$6:$W$505,P246),0)</f>
        <v>0</v>
      </c>
      <c r="AA246" s="96">
        <f>IF(AND(N246=1,Y246=0,Z246=1,J246="Sim"),1,0)</f>
        <v>0</v>
      </c>
      <c r="AB246" s="96">
        <f>IF(AND(N246=1,O246&lt;&gt;"",D246&lt;&gt;""),IF(COUNTIFS($O$6:O246,O246,$D$6:D246,D246)=1,1,0),0)</f>
        <v>0</v>
      </c>
      <c r="AC246" s="96">
        <f>IF(T246=1,INDEX('ITENS_MTR'!$AL$6:$AL$1005,S246),0)</f>
        <v>0</v>
      </c>
    </row>
    <row r="247">
      <c r="A247" s="89" t="inlineStr">
        <is>
          <t>VIN-000242</t>
        </is>
      </c>
      <c r="B247" s="91" t="n"/>
      <c r="C247" s="91" t="n"/>
      <c r="D247" s="94" t="str">
        <f>IF(T247=1,INDEX('ITENS_MTR'!$S$6:$S$1005,S247)&amp;"","")</f>
        <v/>
      </c>
      <c r="E247" s="94" t="str">
        <f>IF(T247=1,INDEX('ITENS_MTR'!$C$6:$C$1005,S247)&amp;"","")</f>
        <v/>
      </c>
      <c r="F247" s="98" t="n"/>
      <c r="G247" s="91" t="n"/>
      <c r="H247" s="93" t="str">
        <f>IF(N247=0,"",IF(NOT(ISNUMBER(F247)),"",IF(ISNUMBER(U247),F247*U247,"UNIDADE A CONFERIR")))</f>
        <v/>
      </c>
      <c r="I247" s="94" t="str">
        <f>IF(Q247=1,INDEX('CDFs'!$F$6:$F$505,P247)&amp;"","")</f>
        <v/>
      </c>
      <c r="J247" s="91" t="n"/>
      <c r="K247" s="91" t="n"/>
      <c r="L247" s="94" t="str">
        <f>IF(N247=0,"",IF(NOT(ISNUMBER(F247)),"Quantidade não informada",IF(F247&lt;=0,"Quantidade não positiva",IF(G247="","Unidade não informada",IF(NOT(ISNUMBER(H247)),"Unidade a conferir",IF(AC247=1,"REVISAR VÍNCULO: soma vinculada maior que a referência do item","OK"))))))</f>
        <v/>
      </c>
      <c r="M247" s="94" t="str">
        <f>IF(N247=0,"",IF(B247="","CDF não informado",IF(Q247=0,"REVISAR VÍNCULO: CDF inexistente",IF(C247="","Item não informado",IF(T247=0,"REVISAR VÍNCULO: item inexistente",IF(AND(X247=1,J247&lt;&gt;"Sim"),"REVISAR VÍNCULO: destinador diferente do MTR",IF(X247=1,"Destinador diferente do MTR (analisado)","OK")))))))</f>
        <v/>
      </c>
      <c r="N247" s="96">
        <f>IF(COUNTA(B247:C247,F247:G247,J247:K247)&gt;0,1,0)</f>
        <v>0</v>
      </c>
      <c r="O247" s="96" t="str">
        <f>IF(B247="","",TRIM(LEFT(B247,FIND(" |",B247&amp;" |")-1)))</f>
        <v/>
      </c>
      <c r="P247" s="96" t="str">
        <f>IF(O247="","",IFERROR(MATCH(O247,'CDFs'!$A$6:$A$505,0),""))</f>
        <v/>
      </c>
      <c r="Q247" s="96">
        <f>IF(P247="",0,IF(INDEX('CDFs'!$S$6:$S$505,P247)=1,1,0))</f>
        <v>0</v>
      </c>
      <c r="R247" s="96" t="str">
        <f>IF(C247="","",TRIM(LEFT(C247,FIND(" |",C247&amp;" |")-1)))</f>
        <v/>
      </c>
      <c r="S247" s="96" t="str">
        <f>IF(R247="","",IFERROR(MATCH(R247,'ITENS_MTR'!$A$6:$A$1005,0),""))</f>
        <v/>
      </c>
      <c r="T247" s="96">
        <f>IF(S247="",0,IF(INDEX('ITENS_MTR'!$R$6:$R$1005,S247)=1,1,0))</f>
        <v>0</v>
      </c>
      <c r="U247" s="96" t="str">
        <f>IF(G247="","",IFERROR(IF(ISNUMBER(INDEX(cfg_fac,MATCH(G247,cfg_units,0))),IF(INDEX(cfg_fac,MATCH(G247,cfg_units,0))&gt;0,INDEX(cfg_fac,MATCH(G247,cfg_units,0)),""),""),""))</f>
        <v/>
      </c>
      <c r="V247" s="96">
        <f>IF(AND(ISNUMBER(F247),ISNUMBER(H247)),IF(H247&gt;0,1,0),0)</f>
        <v>0</v>
      </c>
      <c r="W247" s="96" t="str">
        <f>IF(T247=1,INDEX('ITENS_MTR'!$AU$6:$AU$1005,S247)&amp;"","")</f>
        <v/>
      </c>
      <c r="X247" s="96">
        <f>IF(AND(Q247=1,T247=1,I247&lt;&gt;"",W247&lt;&gt;""),IF(I247&lt;&gt;W247,1,0),0)</f>
        <v>0</v>
      </c>
      <c r="Y247" s="96">
        <f>IF(N247=0,0,IF(OR(Q247=0,T247=0,V247=0,AND(X247=1,J247&lt;&gt;"Sim")),1,0))</f>
        <v>0</v>
      </c>
      <c r="Z247" s="96">
        <f>IF(Q247=1,INDEX('CDFs'!$W$6:$W$505,P247),0)</f>
        <v>0</v>
      </c>
      <c r="AA247" s="96">
        <f>IF(AND(N247=1,Y247=0,Z247=1,J247="Sim"),1,0)</f>
        <v>0</v>
      </c>
      <c r="AB247" s="96">
        <f>IF(AND(N247=1,O247&lt;&gt;"",D247&lt;&gt;""),IF(COUNTIFS($O$6:O247,O247,$D$6:D247,D247)=1,1,0),0)</f>
        <v>0</v>
      </c>
      <c r="AC247" s="96">
        <f>IF(T247=1,INDEX('ITENS_MTR'!$AL$6:$AL$1005,S247),0)</f>
        <v>0</v>
      </c>
    </row>
    <row r="248">
      <c r="A248" s="89" t="inlineStr">
        <is>
          <t>VIN-000243</t>
        </is>
      </c>
      <c r="B248" s="91" t="n"/>
      <c r="C248" s="91" t="n"/>
      <c r="D248" s="94" t="str">
        <f>IF(T248=1,INDEX('ITENS_MTR'!$S$6:$S$1005,S248)&amp;"","")</f>
        <v/>
      </c>
      <c r="E248" s="94" t="str">
        <f>IF(T248=1,INDEX('ITENS_MTR'!$C$6:$C$1005,S248)&amp;"","")</f>
        <v/>
      </c>
      <c r="F248" s="98" t="n"/>
      <c r="G248" s="91" t="n"/>
      <c r="H248" s="93" t="str">
        <f>IF(N248=0,"",IF(NOT(ISNUMBER(F248)),"",IF(ISNUMBER(U248),F248*U248,"UNIDADE A CONFERIR")))</f>
        <v/>
      </c>
      <c r="I248" s="94" t="str">
        <f>IF(Q248=1,INDEX('CDFs'!$F$6:$F$505,P248)&amp;"","")</f>
        <v/>
      </c>
      <c r="J248" s="91" t="n"/>
      <c r="K248" s="91" t="n"/>
      <c r="L248" s="94" t="str">
        <f>IF(N248=0,"",IF(NOT(ISNUMBER(F248)),"Quantidade não informada",IF(F248&lt;=0,"Quantidade não positiva",IF(G248="","Unidade não informada",IF(NOT(ISNUMBER(H248)),"Unidade a conferir",IF(AC248=1,"REVISAR VÍNCULO: soma vinculada maior que a referência do item","OK"))))))</f>
        <v/>
      </c>
      <c r="M248" s="94" t="str">
        <f>IF(N248=0,"",IF(B248="","CDF não informado",IF(Q248=0,"REVISAR VÍNCULO: CDF inexistente",IF(C248="","Item não informado",IF(T248=0,"REVISAR VÍNCULO: item inexistente",IF(AND(X248=1,J248&lt;&gt;"Sim"),"REVISAR VÍNCULO: destinador diferente do MTR",IF(X248=1,"Destinador diferente do MTR (analisado)","OK")))))))</f>
        <v/>
      </c>
      <c r="N248" s="96">
        <f>IF(COUNTA(B248:C248,F248:G248,J248:K248)&gt;0,1,0)</f>
        <v>0</v>
      </c>
      <c r="O248" s="96" t="str">
        <f>IF(B248="","",TRIM(LEFT(B248,FIND(" |",B248&amp;" |")-1)))</f>
        <v/>
      </c>
      <c r="P248" s="96" t="str">
        <f>IF(O248="","",IFERROR(MATCH(O248,'CDFs'!$A$6:$A$505,0),""))</f>
        <v/>
      </c>
      <c r="Q248" s="96">
        <f>IF(P248="",0,IF(INDEX('CDFs'!$S$6:$S$505,P248)=1,1,0))</f>
        <v>0</v>
      </c>
      <c r="R248" s="96" t="str">
        <f>IF(C248="","",TRIM(LEFT(C248,FIND(" |",C248&amp;" |")-1)))</f>
        <v/>
      </c>
      <c r="S248" s="96" t="str">
        <f>IF(R248="","",IFERROR(MATCH(R248,'ITENS_MTR'!$A$6:$A$1005,0),""))</f>
        <v/>
      </c>
      <c r="T248" s="96">
        <f>IF(S248="",0,IF(INDEX('ITENS_MTR'!$R$6:$R$1005,S248)=1,1,0))</f>
        <v>0</v>
      </c>
      <c r="U248" s="96" t="str">
        <f>IF(G248="","",IFERROR(IF(ISNUMBER(INDEX(cfg_fac,MATCH(G248,cfg_units,0))),IF(INDEX(cfg_fac,MATCH(G248,cfg_units,0))&gt;0,INDEX(cfg_fac,MATCH(G248,cfg_units,0)),""),""),""))</f>
        <v/>
      </c>
      <c r="V248" s="96">
        <f>IF(AND(ISNUMBER(F248),ISNUMBER(H248)),IF(H248&gt;0,1,0),0)</f>
        <v>0</v>
      </c>
      <c r="W248" s="96" t="str">
        <f>IF(T248=1,INDEX('ITENS_MTR'!$AU$6:$AU$1005,S248)&amp;"","")</f>
        <v/>
      </c>
      <c r="X248" s="96">
        <f>IF(AND(Q248=1,T248=1,I248&lt;&gt;"",W248&lt;&gt;""),IF(I248&lt;&gt;W248,1,0),0)</f>
        <v>0</v>
      </c>
      <c r="Y248" s="96">
        <f>IF(N248=0,0,IF(OR(Q248=0,T248=0,V248=0,AND(X248=1,J248&lt;&gt;"Sim")),1,0))</f>
        <v>0</v>
      </c>
      <c r="Z248" s="96">
        <f>IF(Q248=1,INDEX('CDFs'!$W$6:$W$505,P248),0)</f>
        <v>0</v>
      </c>
      <c r="AA248" s="96">
        <f>IF(AND(N248=1,Y248=0,Z248=1,J248="Sim"),1,0)</f>
        <v>0</v>
      </c>
      <c r="AB248" s="96">
        <f>IF(AND(N248=1,O248&lt;&gt;"",D248&lt;&gt;""),IF(COUNTIFS($O$6:O248,O248,$D$6:D248,D248)=1,1,0),0)</f>
        <v>0</v>
      </c>
      <c r="AC248" s="96">
        <f>IF(T248=1,INDEX('ITENS_MTR'!$AL$6:$AL$1005,S248),0)</f>
        <v>0</v>
      </c>
    </row>
    <row r="249">
      <c r="A249" s="89" t="inlineStr">
        <is>
          <t>VIN-000244</t>
        </is>
      </c>
      <c r="B249" s="91" t="n"/>
      <c r="C249" s="91" t="n"/>
      <c r="D249" s="94" t="str">
        <f>IF(T249=1,INDEX('ITENS_MTR'!$S$6:$S$1005,S249)&amp;"","")</f>
        <v/>
      </c>
      <c r="E249" s="94" t="str">
        <f>IF(T249=1,INDEX('ITENS_MTR'!$C$6:$C$1005,S249)&amp;"","")</f>
        <v/>
      </c>
      <c r="F249" s="98" t="n"/>
      <c r="G249" s="91" t="n"/>
      <c r="H249" s="93" t="str">
        <f>IF(N249=0,"",IF(NOT(ISNUMBER(F249)),"",IF(ISNUMBER(U249),F249*U249,"UNIDADE A CONFERIR")))</f>
        <v/>
      </c>
      <c r="I249" s="94" t="str">
        <f>IF(Q249=1,INDEX('CDFs'!$F$6:$F$505,P249)&amp;"","")</f>
        <v/>
      </c>
      <c r="J249" s="91" t="n"/>
      <c r="K249" s="91" t="n"/>
      <c r="L249" s="94" t="str">
        <f>IF(N249=0,"",IF(NOT(ISNUMBER(F249)),"Quantidade não informada",IF(F249&lt;=0,"Quantidade não positiva",IF(G249="","Unidade não informada",IF(NOT(ISNUMBER(H249)),"Unidade a conferir",IF(AC249=1,"REVISAR VÍNCULO: soma vinculada maior que a referência do item","OK"))))))</f>
        <v/>
      </c>
      <c r="M249" s="94" t="str">
        <f>IF(N249=0,"",IF(B249="","CDF não informado",IF(Q249=0,"REVISAR VÍNCULO: CDF inexistente",IF(C249="","Item não informado",IF(T249=0,"REVISAR VÍNCULO: item inexistente",IF(AND(X249=1,J249&lt;&gt;"Sim"),"REVISAR VÍNCULO: destinador diferente do MTR",IF(X249=1,"Destinador diferente do MTR (analisado)","OK")))))))</f>
        <v/>
      </c>
      <c r="N249" s="96">
        <f>IF(COUNTA(B249:C249,F249:G249,J249:K249)&gt;0,1,0)</f>
        <v>0</v>
      </c>
      <c r="O249" s="96" t="str">
        <f>IF(B249="","",TRIM(LEFT(B249,FIND(" |",B249&amp;" |")-1)))</f>
        <v/>
      </c>
      <c r="P249" s="96" t="str">
        <f>IF(O249="","",IFERROR(MATCH(O249,'CDFs'!$A$6:$A$505,0),""))</f>
        <v/>
      </c>
      <c r="Q249" s="96">
        <f>IF(P249="",0,IF(INDEX('CDFs'!$S$6:$S$505,P249)=1,1,0))</f>
        <v>0</v>
      </c>
      <c r="R249" s="96" t="str">
        <f>IF(C249="","",TRIM(LEFT(C249,FIND(" |",C249&amp;" |")-1)))</f>
        <v/>
      </c>
      <c r="S249" s="96" t="str">
        <f>IF(R249="","",IFERROR(MATCH(R249,'ITENS_MTR'!$A$6:$A$1005,0),""))</f>
        <v/>
      </c>
      <c r="T249" s="96">
        <f>IF(S249="",0,IF(INDEX('ITENS_MTR'!$R$6:$R$1005,S249)=1,1,0))</f>
        <v>0</v>
      </c>
      <c r="U249" s="96" t="str">
        <f>IF(G249="","",IFERROR(IF(ISNUMBER(INDEX(cfg_fac,MATCH(G249,cfg_units,0))),IF(INDEX(cfg_fac,MATCH(G249,cfg_units,0))&gt;0,INDEX(cfg_fac,MATCH(G249,cfg_units,0)),""),""),""))</f>
        <v/>
      </c>
      <c r="V249" s="96">
        <f>IF(AND(ISNUMBER(F249),ISNUMBER(H249)),IF(H249&gt;0,1,0),0)</f>
        <v>0</v>
      </c>
      <c r="W249" s="96" t="str">
        <f>IF(T249=1,INDEX('ITENS_MTR'!$AU$6:$AU$1005,S249)&amp;"","")</f>
        <v/>
      </c>
      <c r="X249" s="96">
        <f>IF(AND(Q249=1,T249=1,I249&lt;&gt;"",W249&lt;&gt;""),IF(I249&lt;&gt;W249,1,0),0)</f>
        <v>0</v>
      </c>
      <c r="Y249" s="96">
        <f>IF(N249=0,0,IF(OR(Q249=0,T249=0,V249=0,AND(X249=1,J249&lt;&gt;"Sim")),1,0))</f>
        <v>0</v>
      </c>
      <c r="Z249" s="96">
        <f>IF(Q249=1,INDEX('CDFs'!$W$6:$W$505,P249),0)</f>
        <v>0</v>
      </c>
      <c r="AA249" s="96">
        <f>IF(AND(N249=1,Y249=0,Z249=1,J249="Sim"),1,0)</f>
        <v>0</v>
      </c>
      <c r="AB249" s="96">
        <f>IF(AND(N249=1,O249&lt;&gt;"",D249&lt;&gt;""),IF(COUNTIFS($O$6:O249,O249,$D$6:D249,D249)=1,1,0),0)</f>
        <v>0</v>
      </c>
      <c r="AC249" s="96">
        <f>IF(T249=1,INDEX('ITENS_MTR'!$AL$6:$AL$1005,S249),0)</f>
        <v>0</v>
      </c>
    </row>
    <row r="250">
      <c r="A250" s="89" t="inlineStr">
        <is>
          <t>VIN-000245</t>
        </is>
      </c>
      <c r="B250" s="91" t="n"/>
      <c r="C250" s="91" t="n"/>
      <c r="D250" s="94" t="str">
        <f>IF(T250=1,INDEX('ITENS_MTR'!$S$6:$S$1005,S250)&amp;"","")</f>
        <v/>
      </c>
      <c r="E250" s="94" t="str">
        <f>IF(T250=1,INDEX('ITENS_MTR'!$C$6:$C$1005,S250)&amp;"","")</f>
        <v/>
      </c>
      <c r="F250" s="98" t="n"/>
      <c r="G250" s="91" t="n"/>
      <c r="H250" s="93" t="str">
        <f>IF(N250=0,"",IF(NOT(ISNUMBER(F250)),"",IF(ISNUMBER(U250),F250*U250,"UNIDADE A CONFERIR")))</f>
        <v/>
      </c>
      <c r="I250" s="94" t="str">
        <f>IF(Q250=1,INDEX('CDFs'!$F$6:$F$505,P250)&amp;"","")</f>
        <v/>
      </c>
      <c r="J250" s="91" t="n"/>
      <c r="K250" s="91" t="n"/>
      <c r="L250" s="94" t="str">
        <f>IF(N250=0,"",IF(NOT(ISNUMBER(F250)),"Quantidade não informada",IF(F250&lt;=0,"Quantidade não positiva",IF(G250="","Unidade não informada",IF(NOT(ISNUMBER(H250)),"Unidade a conferir",IF(AC250=1,"REVISAR VÍNCULO: soma vinculada maior que a referência do item","OK"))))))</f>
        <v/>
      </c>
      <c r="M250" s="94" t="str">
        <f>IF(N250=0,"",IF(B250="","CDF não informado",IF(Q250=0,"REVISAR VÍNCULO: CDF inexistente",IF(C250="","Item não informado",IF(T250=0,"REVISAR VÍNCULO: item inexistente",IF(AND(X250=1,J250&lt;&gt;"Sim"),"REVISAR VÍNCULO: destinador diferente do MTR",IF(X250=1,"Destinador diferente do MTR (analisado)","OK")))))))</f>
        <v/>
      </c>
      <c r="N250" s="96">
        <f>IF(COUNTA(B250:C250,F250:G250,J250:K250)&gt;0,1,0)</f>
        <v>0</v>
      </c>
      <c r="O250" s="96" t="str">
        <f>IF(B250="","",TRIM(LEFT(B250,FIND(" |",B250&amp;" |")-1)))</f>
        <v/>
      </c>
      <c r="P250" s="96" t="str">
        <f>IF(O250="","",IFERROR(MATCH(O250,'CDFs'!$A$6:$A$505,0),""))</f>
        <v/>
      </c>
      <c r="Q250" s="96">
        <f>IF(P250="",0,IF(INDEX('CDFs'!$S$6:$S$505,P250)=1,1,0))</f>
        <v>0</v>
      </c>
      <c r="R250" s="96" t="str">
        <f>IF(C250="","",TRIM(LEFT(C250,FIND(" |",C250&amp;" |")-1)))</f>
        <v/>
      </c>
      <c r="S250" s="96" t="str">
        <f>IF(R250="","",IFERROR(MATCH(R250,'ITENS_MTR'!$A$6:$A$1005,0),""))</f>
        <v/>
      </c>
      <c r="T250" s="96">
        <f>IF(S250="",0,IF(INDEX('ITENS_MTR'!$R$6:$R$1005,S250)=1,1,0))</f>
        <v>0</v>
      </c>
      <c r="U250" s="96" t="str">
        <f>IF(G250="","",IFERROR(IF(ISNUMBER(INDEX(cfg_fac,MATCH(G250,cfg_units,0))),IF(INDEX(cfg_fac,MATCH(G250,cfg_units,0))&gt;0,INDEX(cfg_fac,MATCH(G250,cfg_units,0)),""),""),""))</f>
        <v/>
      </c>
      <c r="V250" s="96">
        <f>IF(AND(ISNUMBER(F250),ISNUMBER(H250)),IF(H250&gt;0,1,0),0)</f>
        <v>0</v>
      </c>
      <c r="W250" s="96" t="str">
        <f>IF(T250=1,INDEX('ITENS_MTR'!$AU$6:$AU$1005,S250)&amp;"","")</f>
        <v/>
      </c>
      <c r="X250" s="96">
        <f>IF(AND(Q250=1,T250=1,I250&lt;&gt;"",W250&lt;&gt;""),IF(I250&lt;&gt;W250,1,0),0)</f>
        <v>0</v>
      </c>
      <c r="Y250" s="96">
        <f>IF(N250=0,0,IF(OR(Q250=0,T250=0,V250=0,AND(X250=1,J250&lt;&gt;"Sim")),1,0))</f>
        <v>0</v>
      </c>
      <c r="Z250" s="96">
        <f>IF(Q250=1,INDEX('CDFs'!$W$6:$W$505,P250),0)</f>
        <v>0</v>
      </c>
      <c r="AA250" s="96">
        <f>IF(AND(N250=1,Y250=0,Z250=1,J250="Sim"),1,0)</f>
        <v>0</v>
      </c>
      <c r="AB250" s="96">
        <f>IF(AND(N250=1,O250&lt;&gt;"",D250&lt;&gt;""),IF(COUNTIFS($O$6:O250,O250,$D$6:D250,D250)=1,1,0),0)</f>
        <v>0</v>
      </c>
      <c r="AC250" s="96">
        <f>IF(T250=1,INDEX('ITENS_MTR'!$AL$6:$AL$1005,S250),0)</f>
        <v>0</v>
      </c>
    </row>
    <row r="251">
      <c r="A251" s="89" t="inlineStr">
        <is>
          <t>VIN-000246</t>
        </is>
      </c>
      <c r="B251" s="91" t="n"/>
      <c r="C251" s="91" t="n"/>
      <c r="D251" s="94" t="str">
        <f>IF(T251=1,INDEX('ITENS_MTR'!$S$6:$S$1005,S251)&amp;"","")</f>
        <v/>
      </c>
      <c r="E251" s="94" t="str">
        <f>IF(T251=1,INDEX('ITENS_MTR'!$C$6:$C$1005,S251)&amp;"","")</f>
        <v/>
      </c>
      <c r="F251" s="98" t="n"/>
      <c r="G251" s="91" t="n"/>
      <c r="H251" s="93" t="str">
        <f>IF(N251=0,"",IF(NOT(ISNUMBER(F251)),"",IF(ISNUMBER(U251),F251*U251,"UNIDADE A CONFERIR")))</f>
        <v/>
      </c>
      <c r="I251" s="94" t="str">
        <f>IF(Q251=1,INDEX('CDFs'!$F$6:$F$505,P251)&amp;"","")</f>
        <v/>
      </c>
      <c r="J251" s="91" t="n"/>
      <c r="K251" s="91" t="n"/>
      <c r="L251" s="94" t="str">
        <f>IF(N251=0,"",IF(NOT(ISNUMBER(F251)),"Quantidade não informada",IF(F251&lt;=0,"Quantidade não positiva",IF(G251="","Unidade não informada",IF(NOT(ISNUMBER(H251)),"Unidade a conferir",IF(AC251=1,"REVISAR VÍNCULO: soma vinculada maior que a referência do item","OK"))))))</f>
        <v/>
      </c>
      <c r="M251" s="94" t="str">
        <f>IF(N251=0,"",IF(B251="","CDF não informado",IF(Q251=0,"REVISAR VÍNCULO: CDF inexistente",IF(C251="","Item não informado",IF(T251=0,"REVISAR VÍNCULO: item inexistente",IF(AND(X251=1,J251&lt;&gt;"Sim"),"REVISAR VÍNCULO: destinador diferente do MTR",IF(X251=1,"Destinador diferente do MTR (analisado)","OK")))))))</f>
        <v/>
      </c>
      <c r="N251" s="96">
        <f>IF(COUNTA(B251:C251,F251:G251,J251:K251)&gt;0,1,0)</f>
        <v>0</v>
      </c>
      <c r="O251" s="96" t="str">
        <f>IF(B251="","",TRIM(LEFT(B251,FIND(" |",B251&amp;" |")-1)))</f>
        <v/>
      </c>
      <c r="P251" s="96" t="str">
        <f>IF(O251="","",IFERROR(MATCH(O251,'CDFs'!$A$6:$A$505,0),""))</f>
        <v/>
      </c>
      <c r="Q251" s="96">
        <f>IF(P251="",0,IF(INDEX('CDFs'!$S$6:$S$505,P251)=1,1,0))</f>
        <v>0</v>
      </c>
      <c r="R251" s="96" t="str">
        <f>IF(C251="","",TRIM(LEFT(C251,FIND(" |",C251&amp;" |")-1)))</f>
        <v/>
      </c>
      <c r="S251" s="96" t="str">
        <f>IF(R251="","",IFERROR(MATCH(R251,'ITENS_MTR'!$A$6:$A$1005,0),""))</f>
        <v/>
      </c>
      <c r="T251" s="96">
        <f>IF(S251="",0,IF(INDEX('ITENS_MTR'!$R$6:$R$1005,S251)=1,1,0))</f>
        <v>0</v>
      </c>
      <c r="U251" s="96" t="str">
        <f>IF(G251="","",IFERROR(IF(ISNUMBER(INDEX(cfg_fac,MATCH(G251,cfg_units,0))),IF(INDEX(cfg_fac,MATCH(G251,cfg_units,0))&gt;0,INDEX(cfg_fac,MATCH(G251,cfg_units,0)),""),""),""))</f>
        <v/>
      </c>
      <c r="V251" s="96">
        <f>IF(AND(ISNUMBER(F251),ISNUMBER(H251)),IF(H251&gt;0,1,0),0)</f>
        <v>0</v>
      </c>
      <c r="W251" s="96" t="str">
        <f>IF(T251=1,INDEX('ITENS_MTR'!$AU$6:$AU$1005,S251)&amp;"","")</f>
        <v/>
      </c>
      <c r="X251" s="96">
        <f>IF(AND(Q251=1,T251=1,I251&lt;&gt;"",W251&lt;&gt;""),IF(I251&lt;&gt;W251,1,0),0)</f>
        <v>0</v>
      </c>
      <c r="Y251" s="96">
        <f>IF(N251=0,0,IF(OR(Q251=0,T251=0,V251=0,AND(X251=1,J251&lt;&gt;"Sim")),1,0))</f>
        <v>0</v>
      </c>
      <c r="Z251" s="96">
        <f>IF(Q251=1,INDEX('CDFs'!$W$6:$W$505,P251),0)</f>
        <v>0</v>
      </c>
      <c r="AA251" s="96">
        <f>IF(AND(N251=1,Y251=0,Z251=1,J251="Sim"),1,0)</f>
        <v>0</v>
      </c>
      <c r="AB251" s="96">
        <f>IF(AND(N251=1,O251&lt;&gt;"",D251&lt;&gt;""),IF(COUNTIFS($O$6:O251,O251,$D$6:D251,D251)=1,1,0),0)</f>
        <v>0</v>
      </c>
      <c r="AC251" s="96">
        <f>IF(T251=1,INDEX('ITENS_MTR'!$AL$6:$AL$1005,S251),0)</f>
        <v>0</v>
      </c>
    </row>
    <row r="252">
      <c r="A252" s="89" t="inlineStr">
        <is>
          <t>VIN-000247</t>
        </is>
      </c>
      <c r="B252" s="91" t="n"/>
      <c r="C252" s="91" t="n"/>
      <c r="D252" s="94" t="str">
        <f>IF(T252=1,INDEX('ITENS_MTR'!$S$6:$S$1005,S252)&amp;"","")</f>
        <v/>
      </c>
      <c r="E252" s="94" t="str">
        <f>IF(T252=1,INDEX('ITENS_MTR'!$C$6:$C$1005,S252)&amp;"","")</f>
        <v/>
      </c>
      <c r="F252" s="98" t="n"/>
      <c r="G252" s="91" t="n"/>
      <c r="H252" s="93" t="str">
        <f>IF(N252=0,"",IF(NOT(ISNUMBER(F252)),"",IF(ISNUMBER(U252),F252*U252,"UNIDADE A CONFERIR")))</f>
        <v/>
      </c>
      <c r="I252" s="94" t="str">
        <f>IF(Q252=1,INDEX('CDFs'!$F$6:$F$505,P252)&amp;"","")</f>
        <v/>
      </c>
      <c r="J252" s="91" t="n"/>
      <c r="K252" s="91" t="n"/>
      <c r="L252" s="94" t="str">
        <f>IF(N252=0,"",IF(NOT(ISNUMBER(F252)),"Quantidade não informada",IF(F252&lt;=0,"Quantidade não positiva",IF(G252="","Unidade não informada",IF(NOT(ISNUMBER(H252)),"Unidade a conferir",IF(AC252=1,"REVISAR VÍNCULO: soma vinculada maior que a referência do item","OK"))))))</f>
        <v/>
      </c>
      <c r="M252" s="94" t="str">
        <f>IF(N252=0,"",IF(B252="","CDF não informado",IF(Q252=0,"REVISAR VÍNCULO: CDF inexistente",IF(C252="","Item não informado",IF(T252=0,"REVISAR VÍNCULO: item inexistente",IF(AND(X252=1,J252&lt;&gt;"Sim"),"REVISAR VÍNCULO: destinador diferente do MTR",IF(X252=1,"Destinador diferente do MTR (analisado)","OK")))))))</f>
        <v/>
      </c>
      <c r="N252" s="96">
        <f>IF(COUNTA(B252:C252,F252:G252,J252:K252)&gt;0,1,0)</f>
        <v>0</v>
      </c>
      <c r="O252" s="96" t="str">
        <f>IF(B252="","",TRIM(LEFT(B252,FIND(" |",B252&amp;" |")-1)))</f>
        <v/>
      </c>
      <c r="P252" s="96" t="str">
        <f>IF(O252="","",IFERROR(MATCH(O252,'CDFs'!$A$6:$A$505,0),""))</f>
        <v/>
      </c>
      <c r="Q252" s="96">
        <f>IF(P252="",0,IF(INDEX('CDFs'!$S$6:$S$505,P252)=1,1,0))</f>
        <v>0</v>
      </c>
      <c r="R252" s="96" t="str">
        <f>IF(C252="","",TRIM(LEFT(C252,FIND(" |",C252&amp;" |")-1)))</f>
        <v/>
      </c>
      <c r="S252" s="96" t="str">
        <f>IF(R252="","",IFERROR(MATCH(R252,'ITENS_MTR'!$A$6:$A$1005,0),""))</f>
        <v/>
      </c>
      <c r="T252" s="96">
        <f>IF(S252="",0,IF(INDEX('ITENS_MTR'!$R$6:$R$1005,S252)=1,1,0))</f>
        <v>0</v>
      </c>
      <c r="U252" s="96" t="str">
        <f>IF(G252="","",IFERROR(IF(ISNUMBER(INDEX(cfg_fac,MATCH(G252,cfg_units,0))),IF(INDEX(cfg_fac,MATCH(G252,cfg_units,0))&gt;0,INDEX(cfg_fac,MATCH(G252,cfg_units,0)),""),""),""))</f>
        <v/>
      </c>
      <c r="V252" s="96">
        <f>IF(AND(ISNUMBER(F252),ISNUMBER(H252)),IF(H252&gt;0,1,0),0)</f>
        <v>0</v>
      </c>
      <c r="W252" s="96" t="str">
        <f>IF(T252=1,INDEX('ITENS_MTR'!$AU$6:$AU$1005,S252)&amp;"","")</f>
        <v/>
      </c>
      <c r="X252" s="96">
        <f>IF(AND(Q252=1,T252=1,I252&lt;&gt;"",W252&lt;&gt;""),IF(I252&lt;&gt;W252,1,0),0)</f>
        <v>0</v>
      </c>
      <c r="Y252" s="96">
        <f>IF(N252=0,0,IF(OR(Q252=0,T252=0,V252=0,AND(X252=1,J252&lt;&gt;"Sim")),1,0))</f>
        <v>0</v>
      </c>
      <c r="Z252" s="96">
        <f>IF(Q252=1,INDEX('CDFs'!$W$6:$W$505,P252),0)</f>
        <v>0</v>
      </c>
      <c r="AA252" s="96">
        <f>IF(AND(N252=1,Y252=0,Z252=1,J252="Sim"),1,0)</f>
        <v>0</v>
      </c>
      <c r="AB252" s="96">
        <f>IF(AND(N252=1,O252&lt;&gt;"",D252&lt;&gt;""),IF(COUNTIFS($O$6:O252,O252,$D$6:D252,D252)=1,1,0),0)</f>
        <v>0</v>
      </c>
      <c r="AC252" s="96">
        <f>IF(T252=1,INDEX('ITENS_MTR'!$AL$6:$AL$1005,S252),0)</f>
        <v>0</v>
      </c>
    </row>
    <row r="253">
      <c r="A253" s="89" t="inlineStr">
        <is>
          <t>VIN-000248</t>
        </is>
      </c>
      <c r="B253" s="91" t="n"/>
      <c r="C253" s="91" t="n"/>
      <c r="D253" s="94" t="str">
        <f>IF(T253=1,INDEX('ITENS_MTR'!$S$6:$S$1005,S253)&amp;"","")</f>
        <v/>
      </c>
      <c r="E253" s="94" t="str">
        <f>IF(T253=1,INDEX('ITENS_MTR'!$C$6:$C$1005,S253)&amp;"","")</f>
        <v/>
      </c>
      <c r="F253" s="98" t="n"/>
      <c r="G253" s="91" t="n"/>
      <c r="H253" s="93" t="str">
        <f>IF(N253=0,"",IF(NOT(ISNUMBER(F253)),"",IF(ISNUMBER(U253),F253*U253,"UNIDADE A CONFERIR")))</f>
        <v/>
      </c>
      <c r="I253" s="94" t="str">
        <f>IF(Q253=1,INDEX('CDFs'!$F$6:$F$505,P253)&amp;"","")</f>
        <v/>
      </c>
      <c r="J253" s="91" t="n"/>
      <c r="K253" s="91" t="n"/>
      <c r="L253" s="94" t="str">
        <f>IF(N253=0,"",IF(NOT(ISNUMBER(F253)),"Quantidade não informada",IF(F253&lt;=0,"Quantidade não positiva",IF(G253="","Unidade não informada",IF(NOT(ISNUMBER(H253)),"Unidade a conferir",IF(AC253=1,"REVISAR VÍNCULO: soma vinculada maior que a referência do item","OK"))))))</f>
        <v/>
      </c>
      <c r="M253" s="94" t="str">
        <f>IF(N253=0,"",IF(B253="","CDF não informado",IF(Q253=0,"REVISAR VÍNCULO: CDF inexistente",IF(C253="","Item não informado",IF(T253=0,"REVISAR VÍNCULO: item inexistente",IF(AND(X253=1,J253&lt;&gt;"Sim"),"REVISAR VÍNCULO: destinador diferente do MTR",IF(X253=1,"Destinador diferente do MTR (analisado)","OK")))))))</f>
        <v/>
      </c>
      <c r="N253" s="96">
        <f>IF(COUNTA(B253:C253,F253:G253,J253:K253)&gt;0,1,0)</f>
        <v>0</v>
      </c>
      <c r="O253" s="96" t="str">
        <f>IF(B253="","",TRIM(LEFT(B253,FIND(" |",B253&amp;" |")-1)))</f>
        <v/>
      </c>
      <c r="P253" s="96" t="str">
        <f>IF(O253="","",IFERROR(MATCH(O253,'CDFs'!$A$6:$A$505,0),""))</f>
        <v/>
      </c>
      <c r="Q253" s="96">
        <f>IF(P253="",0,IF(INDEX('CDFs'!$S$6:$S$505,P253)=1,1,0))</f>
        <v>0</v>
      </c>
      <c r="R253" s="96" t="str">
        <f>IF(C253="","",TRIM(LEFT(C253,FIND(" |",C253&amp;" |")-1)))</f>
        <v/>
      </c>
      <c r="S253" s="96" t="str">
        <f>IF(R253="","",IFERROR(MATCH(R253,'ITENS_MTR'!$A$6:$A$1005,0),""))</f>
        <v/>
      </c>
      <c r="T253" s="96">
        <f>IF(S253="",0,IF(INDEX('ITENS_MTR'!$R$6:$R$1005,S253)=1,1,0))</f>
        <v>0</v>
      </c>
      <c r="U253" s="96" t="str">
        <f>IF(G253="","",IFERROR(IF(ISNUMBER(INDEX(cfg_fac,MATCH(G253,cfg_units,0))),IF(INDEX(cfg_fac,MATCH(G253,cfg_units,0))&gt;0,INDEX(cfg_fac,MATCH(G253,cfg_units,0)),""),""),""))</f>
        <v/>
      </c>
      <c r="V253" s="96">
        <f>IF(AND(ISNUMBER(F253),ISNUMBER(H253)),IF(H253&gt;0,1,0),0)</f>
        <v>0</v>
      </c>
      <c r="W253" s="96" t="str">
        <f>IF(T253=1,INDEX('ITENS_MTR'!$AU$6:$AU$1005,S253)&amp;"","")</f>
        <v/>
      </c>
      <c r="X253" s="96">
        <f>IF(AND(Q253=1,T253=1,I253&lt;&gt;"",W253&lt;&gt;""),IF(I253&lt;&gt;W253,1,0),0)</f>
        <v>0</v>
      </c>
      <c r="Y253" s="96">
        <f>IF(N253=0,0,IF(OR(Q253=0,T253=0,V253=0,AND(X253=1,J253&lt;&gt;"Sim")),1,0))</f>
        <v>0</v>
      </c>
      <c r="Z253" s="96">
        <f>IF(Q253=1,INDEX('CDFs'!$W$6:$W$505,P253),0)</f>
        <v>0</v>
      </c>
      <c r="AA253" s="96">
        <f>IF(AND(N253=1,Y253=0,Z253=1,J253="Sim"),1,0)</f>
        <v>0</v>
      </c>
      <c r="AB253" s="96">
        <f>IF(AND(N253=1,O253&lt;&gt;"",D253&lt;&gt;""),IF(COUNTIFS($O$6:O253,O253,$D$6:D253,D253)=1,1,0),0)</f>
        <v>0</v>
      </c>
      <c r="AC253" s="96">
        <f>IF(T253=1,INDEX('ITENS_MTR'!$AL$6:$AL$1005,S253),0)</f>
        <v>0</v>
      </c>
    </row>
    <row r="254">
      <c r="A254" s="89" t="inlineStr">
        <is>
          <t>VIN-000249</t>
        </is>
      </c>
      <c r="B254" s="91" t="n"/>
      <c r="C254" s="91" t="n"/>
      <c r="D254" s="94" t="str">
        <f>IF(T254=1,INDEX('ITENS_MTR'!$S$6:$S$1005,S254)&amp;"","")</f>
        <v/>
      </c>
      <c r="E254" s="94" t="str">
        <f>IF(T254=1,INDEX('ITENS_MTR'!$C$6:$C$1005,S254)&amp;"","")</f>
        <v/>
      </c>
      <c r="F254" s="98" t="n"/>
      <c r="G254" s="91" t="n"/>
      <c r="H254" s="93" t="str">
        <f>IF(N254=0,"",IF(NOT(ISNUMBER(F254)),"",IF(ISNUMBER(U254),F254*U254,"UNIDADE A CONFERIR")))</f>
        <v/>
      </c>
      <c r="I254" s="94" t="str">
        <f>IF(Q254=1,INDEX('CDFs'!$F$6:$F$505,P254)&amp;"","")</f>
        <v/>
      </c>
      <c r="J254" s="91" t="n"/>
      <c r="K254" s="91" t="n"/>
      <c r="L254" s="94" t="str">
        <f>IF(N254=0,"",IF(NOT(ISNUMBER(F254)),"Quantidade não informada",IF(F254&lt;=0,"Quantidade não positiva",IF(G254="","Unidade não informada",IF(NOT(ISNUMBER(H254)),"Unidade a conferir",IF(AC254=1,"REVISAR VÍNCULO: soma vinculada maior que a referência do item","OK"))))))</f>
        <v/>
      </c>
      <c r="M254" s="94" t="str">
        <f>IF(N254=0,"",IF(B254="","CDF não informado",IF(Q254=0,"REVISAR VÍNCULO: CDF inexistente",IF(C254="","Item não informado",IF(T254=0,"REVISAR VÍNCULO: item inexistente",IF(AND(X254=1,J254&lt;&gt;"Sim"),"REVISAR VÍNCULO: destinador diferente do MTR",IF(X254=1,"Destinador diferente do MTR (analisado)","OK")))))))</f>
        <v/>
      </c>
      <c r="N254" s="96">
        <f>IF(COUNTA(B254:C254,F254:G254,J254:K254)&gt;0,1,0)</f>
        <v>0</v>
      </c>
      <c r="O254" s="96" t="str">
        <f>IF(B254="","",TRIM(LEFT(B254,FIND(" |",B254&amp;" |")-1)))</f>
        <v/>
      </c>
      <c r="P254" s="96" t="str">
        <f>IF(O254="","",IFERROR(MATCH(O254,'CDFs'!$A$6:$A$505,0),""))</f>
        <v/>
      </c>
      <c r="Q254" s="96">
        <f>IF(P254="",0,IF(INDEX('CDFs'!$S$6:$S$505,P254)=1,1,0))</f>
        <v>0</v>
      </c>
      <c r="R254" s="96" t="str">
        <f>IF(C254="","",TRIM(LEFT(C254,FIND(" |",C254&amp;" |")-1)))</f>
        <v/>
      </c>
      <c r="S254" s="96" t="str">
        <f>IF(R254="","",IFERROR(MATCH(R254,'ITENS_MTR'!$A$6:$A$1005,0),""))</f>
        <v/>
      </c>
      <c r="T254" s="96">
        <f>IF(S254="",0,IF(INDEX('ITENS_MTR'!$R$6:$R$1005,S254)=1,1,0))</f>
        <v>0</v>
      </c>
      <c r="U254" s="96" t="str">
        <f>IF(G254="","",IFERROR(IF(ISNUMBER(INDEX(cfg_fac,MATCH(G254,cfg_units,0))),IF(INDEX(cfg_fac,MATCH(G254,cfg_units,0))&gt;0,INDEX(cfg_fac,MATCH(G254,cfg_units,0)),""),""),""))</f>
        <v/>
      </c>
      <c r="V254" s="96">
        <f>IF(AND(ISNUMBER(F254),ISNUMBER(H254)),IF(H254&gt;0,1,0),0)</f>
        <v>0</v>
      </c>
      <c r="W254" s="96" t="str">
        <f>IF(T254=1,INDEX('ITENS_MTR'!$AU$6:$AU$1005,S254)&amp;"","")</f>
        <v/>
      </c>
      <c r="X254" s="96">
        <f>IF(AND(Q254=1,T254=1,I254&lt;&gt;"",W254&lt;&gt;""),IF(I254&lt;&gt;W254,1,0),0)</f>
        <v>0</v>
      </c>
      <c r="Y254" s="96">
        <f>IF(N254=0,0,IF(OR(Q254=0,T254=0,V254=0,AND(X254=1,J254&lt;&gt;"Sim")),1,0))</f>
        <v>0</v>
      </c>
      <c r="Z254" s="96">
        <f>IF(Q254=1,INDEX('CDFs'!$W$6:$W$505,P254),0)</f>
        <v>0</v>
      </c>
      <c r="AA254" s="96">
        <f>IF(AND(N254=1,Y254=0,Z254=1,J254="Sim"),1,0)</f>
        <v>0</v>
      </c>
      <c r="AB254" s="96">
        <f>IF(AND(N254=1,O254&lt;&gt;"",D254&lt;&gt;""),IF(COUNTIFS($O$6:O254,O254,$D$6:D254,D254)=1,1,0),0)</f>
        <v>0</v>
      </c>
      <c r="AC254" s="96">
        <f>IF(T254=1,INDEX('ITENS_MTR'!$AL$6:$AL$1005,S254),0)</f>
        <v>0</v>
      </c>
    </row>
    <row r="255">
      <c r="A255" s="89" t="inlineStr">
        <is>
          <t>VIN-000250</t>
        </is>
      </c>
      <c r="B255" s="91" t="n"/>
      <c r="C255" s="91" t="n"/>
      <c r="D255" s="94" t="str">
        <f>IF(T255=1,INDEX('ITENS_MTR'!$S$6:$S$1005,S255)&amp;"","")</f>
        <v/>
      </c>
      <c r="E255" s="94" t="str">
        <f>IF(T255=1,INDEX('ITENS_MTR'!$C$6:$C$1005,S255)&amp;"","")</f>
        <v/>
      </c>
      <c r="F255" s="98" t="n"/>
      <c r="G255" s="91" t="n"/>
      <c r="H255" s="93" t="str">
        <f>IF(N255=0,"",IF(NOT(ISNUMBER(F255)),"",IF(ISNUMBER(U255),F255*U255,"UNIDADE A CONFERIR")))</f>
        <v/>
      </c>
      <c r="I255" s="94" t="str">
        <f>IF(Q255=1,INDEX('CDFs'!$F$6:$F$505,P255)&amp;"","")</f>
        <v/>
      </c>
      <c r="J255" s="91" t="n"/>
      <c r="K255" s="91" t="n"/>
      <c r="L255" s="94" t="str">
        <f>IF(N255=0,"",IF(NOT(ISNUMBER(F255)),"Quantidade não informada",IF(F255&lt;=0,"Quantidade não positiva",IF(G255="","Unidade não informada",IF(NOT(ISNUMBER(H255)),"Unidade a conferir",IF(AC255=1,"REVISAR VÍNCULO: soma vinculada maior que a referência do item","OK"))))))</f>
        <v/>
      </c>
      <c r="M255" s="94" t="str">
        <f>IF(N255=0,"",IF(B255="","CDF não informado",IF(Q255=0,"REVISAR VÍNCULO: CDF inexistente",IF(C255="","Item não informado",IF(T255=0,"REVISAR VÍNCULO: item inexistente",IF(AND(X255=1,J255&lt;&gt;"Sim"),"REVISAR VÍNCULO: destinador diferente do MTR",IF(X255=1,"Destinador diferente do MTR (analisado)","OK")))))))</f>
        <v/>
      </c>
      <c r="N255" s="96">
        <f>IF(COUNTA(B255:C255,F255:G255,J255:K255)&gt;0,1,0)</f>
        <v>0</v>
      </c>
      <c r="O255" s="96" t="str">
        <f>IF(B255="","",TRIM(LEFT(B255,FIND(" |",B255&amp;" |")-1)))</f>
        <v/>
      </c>
      <c r="P255" s="96" t="str">
        <f>IF(O255="","",IFERROR(MATCH(O255,'CDFs'!$A$6:$A$505,0),""))</f>
        <v/>
      </c>
      <c r="Q255" s="96">
        <f>IF(P255="",0,IF(INDEX('CDFs'!$S$6:$S$505,P255)=1,1,0))</f>
        <v>0</v>
      </c>
      <c r="R255" s="96" t="str">
        <f>IF(C255="","",TRIM(LEFT(C255,FIND(" |",C255&amp;" |")-1)))</f>
        <v/>
      </c>
      <c r="S255" s="96" t="str">
        <f>IF(R255="","",IFERROR(MATCH(R255,'ITENS_MTR'!$A$6:$A$1005,0),""))</f>
        <v/>
      </c>
      <c r="T255" s="96">
        <f>IF(S255="",0,IF(INDEX('ITENS_MTR'!$R$6:$R$1005,S255)=1,1,0))</f>
        <v>0</v>
      </c>
      <c r="U255" s="96" t="str">
        <f>IF(G255="","",IFERROR(IF(ISNUMBER(INDEX(cfg_fac,MATCH(G255,cfg_units,0))),IF(INDEX(cfg_fac,MATCH(G255,cfg_units,0))&gt;0,INDEX(cfg_fac,MATCH(G255,cfg_units,0)),""),""),""))</f>
        <v/>
      </c>
      <c r="V255" s="96">
        <f>IF(AND(ISNUMBER(F255),ISNUMBER(H255)),IF(H255&gt;0,1,0),0)</f>
        <v>0</v>
      </c>
      <c r="W255" s="96" t="str">
        <f>IF(T255=1,INDEX('ITENS_MTR'!$AU$6:$AU$1005,S255)&amp;"","")</f>
        <v/>
      </c>
      <c r="X255" s="96">
        <f>IF(AND(Q255=1,T255=1,I255&lt;&gt;"",W255&lt;&gt;""),IF(I255&lt;&gt;W255,1,0),0)</f>
        <v>0</v>
      </c>
      <c r="Y255" s="96">
        <f>IF(N255=0,0,IF(OR(Q255=0,T255=0,V255=0,AND(X255=1,J255&lt;&gt;"Sim")),1,0))</f>
        <v>0</v>
      </c>
      <c r="Z255" s="96">
        <f>IF(Q255=1,INDEX('CDFs'!$W$6:$W$505,P255),0)</f>
        <v>0</v>
      </c>
      <c r="AA255" s="96">
        <f>IF(AND(N255=1,Y255=0,Z255=1,J255="Sim"),1,0)</f>
        <v>0</v>
      </c>
      <c r="AB255" s="96">
        <f>IF(AND(N255=1,O255&lt;&gt;"",D255&lt;&gt;""),IF(COUNTIFS($O$6:O255,O255,$D$6:D255,D255)=1,1,0),0)</f>
        <v>0</v>
      </c>
      <c r="AC255" s="96">
        <f>IF(T255=1,INDEX('ITENS_MTR'!$AL$6:$AL$1005,S255),0)</f>
        <v>0</v>
      </c>
    </row>
    <row r="256">
      <c r="A256" s="89" t="inlineStr">
        <is>
          <t>VIN-000251</t>
        </is>
      </c>
      <c r="B256" s="91" t="n"/>
      <c r="C256" s="91" t="n"/>
      <c r="D256" s="94" t="str">
        <f>IF(T256=1,INDEX('ITENS_MTR'!$S$6:$S$1005,S256)&amp;"","")</f>
        <v/>
      </c>
      <c r="E256" s="94" t="str">
        <f>IF(T256=1,INDEX('ITENS_MTR'!$C$6:$C$1005,S256)&amp;"","")</f>
        <v/>
      </c>
      <c r="F256" s="98" t="n"/>
      <c r="G256" s="91" t="n"/>
      <c r="H256" s="93" t="str">
        <f>IF(N256=0,"",IF(NOT(ISNUMBER(F256)),"",IF(ISNUMBER(U256),F256*U256,"UNIDADE A CONFERIR")))</f>
        <v/>
      </c>
      <c r="I256" s="94" t="str">
        <f>IF(Q256=1,INDEX('CDFs'!$F$6:$F$505,P256)&amp;"","")</f>
        <v/>
      </c>
      <c r="J256" s="91" t="n"/>
      <c r="K256" s="91" t="n"/>
      <c r="L256" s="94" t="str">
        <f>IF(N256=0,"",IF(NOT(ISNUMBER(F256)),"Quantidade não informada",IF(F256&lt;=0,"Quantidade não positiva",IF(G256="","Unidade não informada",IF(NOT(ISNUMBER(H256)),"Unidade a conferir",IF(AC256=1,"REVISAR VÍNCULO: soma vinculada maior que a referência do item","OK"))))))</f>
        <v/>
      </c>
      <c r="M256" s="94" t="str">
        <f>IF(N256=0,"",IF(B256="","CDF não informado",IF(Q256=0,"REVISAR VÍNCULO: CDF inexistente",IF(C256="","Item não informado",IF(T256=0,"REVISAR VÍNCULO: item inexistente",IF(AND(X256=1,J256&lt;&gt;"Sim"),"REVISAR VÍNCULO: destinador diferente do MTR",IF(X256=1,"Destinador diferente do MTR (analisado)","OK")))))))</f>
        <v/>
      </c>
      <c r="N256" s="96">
        <f>IF(COUNTA(B256:C256,F256:G256,J256:K256)&gt;0,1,0)</f>
        <v>0</v>
      </c>
      <c r="O256" s="96" t="str">
        <f>IF(B256="","",TRIM(LEFT(B256,FIND(" |",B256&amp;" |")-1)))</f>
        <v/>
      </c>
      <c r="P256" s="96" t="str">
        <f>IF(O256="","",IFERROR(MATCH(O256,'CDFs'!$A$6:$A$505,0),""))</f>
        <v/>
      </c>
      <c r="Q256" s="96">
        <f>IF(P256="",0,IF(INDEX('CDFs'!$S$6:$S$505,P256)=1,1,0))</f>
        <v>0</v>
      </c>
      <c r="R256" s="96" t="str">
        <f>IF(C256="","",TRIM(LEFT(C256,FIND(" |",C256&amp;" |")-1)))</f>
        <v/>
      </c>
      <c r="S256" s="96" t="str">
        <f>IF(R256="","",IFERROR(MATCH(R256,'ITENS_MTR'!$A$6:$A$1005,0),""))</f>
        <v/>
      </c>
      <c r="T256" s="96">
        <f>IF(S256="",0,IF(INDEX('ITENS_MTR'!$R$6:$R$1005,S256)=1,1,0))</f>
        <v>0</v>
      </c>
      <c r="U256" s="96" t="str">
        <f>IF(G256="","",IFERROR(IF(ISNUMBER(INDEX(cfg_fac,MATCH(G256,cfg_units,0))),IF(INDEX(cfg_fac,MATCH(G256,cfg_units,0))&gt;0,INDEX(cfg_fac,MATCH(G256,cfg_units,0)),""),""),""))</f>
        <v/>
      </c>
      <c r="V256" s="96">
        <f>IF(AND(ISNUMBER(F256),ISNUMBER(H256)),IF(H256&gt;0,1,0),0)</f>
        <v>0</v>
      </c>
      <c r="W256" s="96" t="str">
        <f>IF(T256=1,INDEX('ITENS_MTR'!$AU$6:$AU$1005,S256)&amp;"","")</f>
        <v/>
      </c>
      <c r="X256" s="96">
        <f>IF(AND(Q256=1,T256=1,I256&lt;&gt;"",W256&lt;&gt;""),IF(I256&lt;&gt;W256,1,0),0)</f>
        <v>0</v>
      </c>
      <c r="Y256" s="96">
        <f>IF(N256=0,0,IF(OR(Q256=0,T256=0,V256=0,AND(X256=1,J256&lt;&gt;"Sim")),1,0))</f>
        <v>0</v>
      </c>
      <c r="Z256" s="96">
        <f>IF(Q256=1,INDEX('CDFs'!$W$6:$W$505,P256),0)</f>
        <v>0</v>
      </c>
      <c r="AA256" s="96">
        <f>IF(AND(N256=1,Y256=0,Z256=1,J256="Sim"),1,0)</f>
        <v>0</v>
      </c>
      <c r="AB256" s="96">
        <f>IF(AND(N256=1,O256&lt;&gt;"",D256&lt;&gt;""),IF(COUNTIFS($O$6:O256,O256,$D$6:D256,D256)=1,1,0),0)</f>
        <v>0</v>
      </c>
      <c r="AC256" s="96">
        <f>IF(T256=1,INDEX('ITENS_MTR'!$AL$6:$AL$1005,S256),0)</f>
        <v>0</v>
      </c>
    </row>
    <row r="257">
      <c r="A257" s="89" t="inlineStr">
        <is>
          <t>VIN-000252</t>
        </is>
      </c>
      <c r="B257" s="91" t="n"/>
      <c r="C257" s="91" t="n"/>
      <c r="D257" s="94" t="str">
        <f>IF(T257=1,INDEX('ITENS_MTR'!$S$6:$S$1005,S257)&amp;"","")</f>
        <v/>
      </c>
      <c r="E257" s="94" t="str">
        <f>IF(T257=1,INDEX('ITENS_MTR'!$C$6:$C$1005,S257)&amp;"","")</f>
        <v/>
      </c>
      <c r="F257" s="98" t="n"/>
      <c r="G257" s="91" t="n"/>
      <c r="H257" s="93" t="str">
        <f>IF(N257=0,"",IF(NOT(ISNUMBER(F257)),"",IF(ISNUMBER(U257),F257*U257,"UNIDADE A CONFERIR")))</f>
        <v/>
      </c>
      <c r="I257" s="94" t="str">
        <f>IF(Q257=1,INDEX('CDFs'!$F$6:$F$505,P257)&amp;"","")</f>
        <v/>
      </c>
      <c r="J257" s="91" t="n"/>
      <c r="K257" s="91" t="n"/>
      <c r="L257" s="94" t="str">
        <f>IF(N257=0,"",IF(NOT(ISNUMBER(F257)),"Quantidade não informada",IF(F257&lt;=0,"Quantidade não positiva",IF(G257="","Unidade não informada",IF(NOT(ISNUMBER(H257)),"Unidade a conferir",IF(AC257=1,"REVISAR VÍNCULO: soma vinculada maior que a referência do item","OK"))))))</f>
        <v/>
      </c>
      <c r="M257" s="94" t="str">
        <f>IF(N257=0,"",IF(B257="","CDF não informado",IF(Q257=0,"REVISAR VÍNCULO: CDF inexistente",IF(C257="","Item não informado",IF(T257=0,"REVISAR VÍNCULO: item inexistente",IF(AND(X257=1,J257&lt;&gt;"Sim"),"REVISAR VÍNCULO: destinador diferente do MTR",IF(X257=1,"Destinador diferente do MTR (analisado)","OK")))))))</f>
        <v/>
      </c>
      <c r="N257" s="96">
        <f>IF(COUNTA(B257:C257,F257:G257,J257:K257)&gt;0,1,0)</f>
        <v>0</v>
      </c>
      <c r="O257" s="96" t="str">
        <f>IF(B257="","",TRIM(LEFT(B257,FIND(" |",B257&amp;" |")-1)))</f>
        <v/>
      </c>
      <c r="P257" s="96" t="str">
        <f>IF(O257="","",IFERROR(MATCH(O257,'CDFs'!$A$6:$A$505,0),""))</f>
        <v/>
      </c>
      <c r="Q257" s="96">
        <f>IF(P257="",0,IF(INDEX('CDFs'!$S$6:$S$505,P257)=1,1,0))</f>
        <v>0</v>
      </c>
      <c r="R257" s="96" t="str">
        <f>IF(C257="","",TRIM(LEFT(C257,FIND(" |",C257&amp;" |")-1)))</f>
        <v/>
      </c>
      <c r="S257" s="96" t="str">
        <f>IF(R257="","",IFERROR(MATCH(R257,'ITENS_MTR'!$A$6:$A$1005,0),""))</f>
        <v/>
      </c>
      <c r="T257" s="96">
        <f>IF(S257="",0,IF(INDEX('ITENS_MTR'!$R$6:$R$1005,S257)=1,1,0))</f>
        <v>0</v>
      </c>
      <c r="U257" s="96" t="str">
        <f>IF(G257="","",IFERROR(IF(ISNUMBER(INDEX(cfg_fac,MATCH(G257,cfg_units,0))),IF(INDEX(cfg_fac,MATCH(G257,cfg_units,0))&gt;0,INDEX(cfg_fac,MATCH(G257,cfg_units,0)),""),""),""))</f>
        <v/>
      </c>
      <c r="V257" s="96">
        <f>IF(AND(ISNUMBER(F257),ISNUMBER(H257)),IF(H257&gt;0,1,0),0)</f>
        <v>0</v>
      </c>
      <c r="W257" s="96" t="str">
        <f>IF(T257=1,INDEX('ITENS_MTR'!$AU$6:$AU$1005,S257)&amp;"","")</f>
        <v/>
      </c>
      <c r="X257" s="96">
        <f>IF(AND(Q257=1,T257=1,I257&lt;&gt;"",W257&lt;&gt;""),IF(I257&lt;&gt;W257,1,0),0)</f>
        <v>0</v>
      </c>
      <c r="Y257" s="96">
        <f>IF(N257=0,0,IF(OR(Q257=0,T257=0,V257=0,AND(X257=1,J257&lt;&gt;"Sim")),1,0))</f>
        <v>0</v>
      </c>
      <c r="Z257" s="96">
        <f>IF(Q257=1,INDEX('CDFs'!$W$6:$W$505,P257),0)</f>
        <v>0</v>
      </c>
      <c r="AA257" s="96">
        <f>IF(AND(N257=1,Y257=0,Z257=1,J257="Sim"),1,0)</f>
        <v>0</v>
      </c>
      <c r="AB257" s="96">
        <f>IF(AND(N257=1,O257&lt;&gt;"",D257&lt;&gt;""),IF(COUNTIFS($O$6:O257,O257,$D$6:D257,D257)=1,1,0),0)</f>
        <v>0</v>
      </c>
      <c r="AC257" s="96">
        <f>IF(T257=1,INDEX('ITENS_MTR'!$AL$6:$AL$1005,S257),0)</f>
        <v>0</v>
      </c>
    </row>
    <row r="258">
      <c r="A258" s="89" t="inlineStr">
        <is>
          <t>VIN-000253</t>
        </is>
      </c>
      <c r="B258" s="91" t="n"/>
      <c r="C258" s="91" t="n"/>
      <c r="D258" s="94" t="str">
        <f>IF(T258=1,INDEX('ITENS_MTR'!$S$6:$S$1005,S258)&amp;"","")</f>
        <v/>
      </c>
      <c r="E258" s="94" t="str">
        <f>IF(T258=1,INDEX('ITENS_MTR'!$C$6:$C$1005,S258)&amp;"","")</f>
        <v/>
      </c>
      <c r="F258" s="98" t="n"/>
      <c r="G258" s="91" t="n"/>
      <c r="H258" s="93" t="str">
        <f>IF(N258=0,"",IF(NOT(ISNUMBER(F258)),"",IF(ISNUMBER(U258),F258*U258,"UNIDADE A CONFERIR")))</f>
        <v/>
      </c>
      <c r="I258" s="94" t="str">
        <f>IF(Q258=1,INDEX('CDFs'!$F$6:$F$505,P258)&amp;"","")</f>
        <v/>
      </c>
      <c r="J258" s="91" t="n"/>
      <c r="K258" s="91" t="n"/>
      <c r="L258" s="94" t="str">
        <f>IF(N258=0,"",IF(NOT(ISNUMBER(F258)),"Quantidade não informada",IF(F258&lt;=0,"Quantidade não positiva",IF(G258="","Unidade não informada",IF(NOT(ISNUMBER(H258)),"Unidade a conferir",IF(AC258=1,"REVISAR VÍNCULO: soma vinculada maior que a referência do item","OK"))))))</f>
        <v/>
      </c>
      <c r="M258" s="94" t="str">
        <f>IF(N258=0,"",IF(B258="","CDF não informado",IF(Q258=0,"REVISAR VÍNCULO: CDF inexistente",IF(C258="","Item não informado",IF(T258=0,"REVISAR VÍNCULO: item inexistente",IF(AND(X258=1,J258&lt;&gt;"Sim"),"REVISAR VÍNCULO: destinador diferente do MTR",IF(X258=1,"Destinador diferente do MTR (analisado)","OK")))))))</f>
        <v/>
      </c>
      <c r="N258" s="96">
        <f>IF(COUNTA(B258:C258,F258:G258,J258:K258)&gt;0,1,0)</f>
        <v>0</v>
      </c>
      <c r="O258" s="96" t="str">
        <f>IF(B258="","",TRIM(LEFT(B258,FIND(" |",B258&amp;" |")-1)))</f>
        <v/>
      </c>
      <c r="P258" s="96" t="str">
        <f>IF(O258="","",IFERROR(MATCH(O258,'CDFs'!$A$6:$A$505,0),""))</f>
        <v/>
      </c>
      <c r="Q258" s="96">
        <f>IF(P258="",0,IF(INDEX('CDFs'!$S$6:$S$505,P258)=1,1,0))</f>
        <v>0</v>
      </c>
      <c r="R258" s="96" t="str">
        <f>IF(C258="","",TRIM(LEFT(C258,FIND(" |",C258&amp;" |")-1)))</f>
        <v/>
      </c>
      <c r="S258" s="96" t="str">
        <f>IF(R258="","",IFERROR(MATCH(R258,'ITENS_MTR'!$A$6:$A$1005,0),""))</f>
        <v/>
      </c>
      <c r="T258" s="96">
        <f>IF(S258="",0,IF(INDEX('ITENS_MTR'!$R$6:$R$1005,S258)=1,1,0))</f>
        <v>0</v>
      </c>
      <c r="U258" s="96" t="str">
        <f>IF(G258="","",IFERROR(IF(ISNUMBER(INDEX(cfg_fac,MATCH(G258,cfg_units,0))),IF(INDEX(cfg_fac,MATCH(G258,cfg_units,0))&gt;0,INDEX(cfg_fac,MATCH(G258,cfg_units,0)),""),""),""))</f>
        <v/>
      </c>
      <c r="V258" s="96">
        <f>IF(AND(ISNUMBER(F258),ISNUMBER(H258)),IF(H258&gt;0,1,0),0)</f>
        <v>0</v>
      </c>
      <c r="W258" s="96" t="str">
        <f>IF(T258=1,INDEX('ITENS_MTR'!$AU$6:$AU$1005,S258)&amp;"","")</f>
        <v/>
      </c>
      <c r="X258" s="96">
        <f>IF(AND(Q258=1,T258=1,I258&lt;&gt;"",W258&lt;&gt;""),IF(I258&lt;&gt;W258,1,0),0)</f>
        <v>0</v>
      </c>
      <c r="Y258" s="96">
        <f>IF(N258=0,0,IF(OR(Q258=0,T258=0,V258=0,AND(X258=1,J258&lt;&gt;"Sim")),1,0))</f>
        <v>0</v>
      </c>
      <c r="Z258" s="96">
        <f>IF(Q258=1,INDEX('CDFs'!$W$6:$W$505,P258),0)</f>
        <v>0</v>
      </c>
      <c r="AA258" s="96">
        <f>IF(AND(N258=1,Y258=0,Z258=1,J258="Sim"),1,0)</f>
        <v>0</v>
      </c>
      <c r="AB258" s="96">
        <f>IF(AND(N258=1,O258&lt;&gt;"",D258&lt;&gt;""),IF(COUNTIFS($O$6:O258,O258,$D$6:D258,D258)=1,1,0),0)</f>
        <v>0</v>
      </c>
      <c r="AC258" s="96">
        <f>IF(T258=1,INDEX('ITENS_MTR'!$AL$6:$AL$1005,S258),0)</f>
        <v>0</v>
      </c>
    </row>
    <row r="259">
      <c r="A259" s="89" t="inlineStr">
        <is>
          <t>VIN-000254</t>
        </is>
      </c>
      <c r="B259" s="91" t="n"/>
      <c r="C259" s="91" t="n"/>
      <c r="D259" s="94" t="str">
        <f>IF(T259=1,INDEX('ITENS_MTR'!$S$6:$S$1005,S259)&amp;"","")</f>
        <v/>
      </c>
      <c r="E259" s="94" t="str">
        <f>IF(T259=1,INDEX('ITENS_MTR'!$C$6:$C$1005,S259)&amp;"","")</f>
        <v/>
      </c>
      <c r="F259" s="98" t="n"/>
      <c r="G259" s="91" t="n"/>
      <c r="H259" s="93" t="str">
        <f>IF(N259=0,"",IF(NOT(ISNUMBER(F259)),"",IF(ISNUMBER(U259),F259*U259,"UNIDADE A CONFERIR")))</f>
        <v/>
      </c>
      <c r="I259" s="94" t="str">
        <f>IF(Q259=1,INDEX('CDFs'!$F$6:$F$505,P259)&amp;"","")</f>
        <v/>
      </c>
      <c r="J259" s="91" t="n"/>
      <c r="K259" s="91" t="n"/>
      <c r="L259" s="94" t="str">
        <f>IF(N259=0,"",IF(NOT(ISNUMBER(F259)),"Quantidade não informada",IF(F259&lt;=0,"Quantidade não positiva",IF(G259="","Unidade não informada",IF(NOT(ISNUMBER(H259)),"Unidade a conferir",IF(AC259=1,"REVISAR VÍNCULO: soma vinculada maior que a referência do item","OK"))))))</f>
        <v/>
      </c>
      <c r="M259" s="94" t="str">
        <f>IF(N259=0,"",IF(B259="","CDF não informado",IF(Q259=0,"REVISAR VÍNCULO: CDF inexistente",IF(C259="","Item não informado",IF(T259=0,"REVISAR VÍNCULO: item inexistente",IF(AND(X259=1,J259&lt;&gt;"Sim"),"REVISAR VÍNCULO: destinador diferente do MTR",IF(X259=1,"Destinador diferente do MTR (analisado)","OK")))))))</f>
        <v/>
      </c>
      <c r="N259" s="96">
        <f>IF(COUNTA(B259:C259,F259:G259,J259:K259)&gt;0,1,0)</f>
        <v>0</v>
      </c>
      <c r="O259" s="96" t="str">
        <f>IF(B259="","",TRIM(LEFT(B259,FIND(" |",B259&amp;" |")-1)))</f>
        <v/>
      </c>
      <c r="P259" s="96" t="str">
        <f>IF(O259="","",IFERROR(MATCH(O259,'CDFs'!$A$6:$A$505,0),""))</f>
        <v/>
      </c>
      <c r="Q259" s="96">
        <f>IF(P259="",0,IF(INDEX('CDFs'!$S$6:$S$505,P259)=1,1,0))</f>
        <v>0</v>
      </c>
      <c r="R259" s="96" t="str">
        <f>IF(C259="","",TRIM(LEFT(C259,FIND(" |",C259&amp;" |")-1)))</f>
        <v/>
      </c>
      <c r="S259" s="96" t="str">
        <f>IF(R259="","",IFERROR(MATCH(R259,'ITENS_MTR'!$A$6:$A$1005,0),""))</f>
        <v/>
      </c>
      <c r="T259" s="96">
        <f>IF(S259="",0,IF(INDEX('ITENS_MTR'!$R$6:$R$1005,S259)=1,1,0))</f>
        <v>0</v>
      </c>
      <c r="U259" s="96" t="str">
        <f>IF(G259="","",IFERROR(IF(ISNUMBER(INDEX(cfg_fac,MATCH(G259,cfg_units,0))),IF(INDEX(cfg_fac,MATCH(G259,cfg_units,0))&gt;0,INDEX(cfg_fac,MATCH(G259,cfg_units,0)),""),""),""))</f>
        <v/>
      </c>
      <c r="V259" s="96">
        <f>IF(AND(ISNUMBER(F259),ISNUMBER(H259)),IF(H259&gt;0,1,0),0)</f>
        <v>0</v>
      </c>
      <c r="W259" s="96" t="str">
        <f>IF(T259=1,INDEX('ITENS_MTR'!$AU$6:$AU$1005,S259)&amp;"","")</f>
        <v/>
      </c>
      <c r="X259" s="96">
        <f>IF(AND(Q259=1,T259=1,I259&lt;&gt;"",W259&lt;&gt;""),IF(I259&lt;&gt;W259,1,0),0)</f>
        <v>0</v>
      </c>
      <c r="Y259" s="96">
        <f>IF(N259=0,0,IF(OR(Q259=0,T259=0,V259=0,AND(X259=1,J259&lt;&gt;"Sim")),1,0))</f>
        <v>0</v>
      </c>
      <c r="Z259" s="96">
        <f>IF(Q259=1,INDEX('CDFs'!$W$6:$W$505,P259),0)</f>
        <v>0</v>
      </c>
      <c r="AA259" s="96">
        <f>IF(AND(N259=1,Y259=0,Z259=1,J259="Sim"),1,0)</f>
        <v>0</v>
      </c>
      <c r="AB259" s="96">
        <f>IF(AND(N259=1,O259&lt;&gt;"",D259&lt;&gt;""),IF(COUNTIFS($O$6:O259,O259,$D$6:D259,D259)=1,1,0),0)</f>
        <v>0</v>
      </c>
      <c r="AC259" s="96">
        <f>IF(T259=1,INDEX('ITENS_MTR'!$AL$6:$AL$1005,S259),0)</f>
        <v>0</v>
      </c>
    </row>
    <row r="260">
      <c r="A260" s="89" t="inlineStr">
        <is>
          <t>VIN-000255</t>
        </is>
      </c>
      <c r="B260" s="91" t="n"/>
      <c r="C260" s="91" t="n"/>
      <c r="D260" s="94" t="str">
        <f>IF(T260=1,INDEX('ITENS_MTR'!$S$6:$S$1005,S260)&amp;"","")</f>
        <v/>
      </c>
      <c r="E260" s="94" t="str">
        <f>IF(T260=1,INDEX('ITENS_MTR'!$C$6:$C$1005,S260)&amp;"","")</f>
        <v/>
      </c>
      <c r="F260" s="98" t="n"/>
      <c r="G260" s="91" t="n"/>
      <c r="H260" s="93" t="str">
        <f>IF(N260=0,"",IF(NOT(ISNUMBER(F260)),"",IF(ISNUMBER(U260),F260*U260,"UNIDADE A CONFERIR")))</f>
        <v/>
      </c>
      <c r="I260" s="94" t="str">
        <f>IF(Q260=1,INDEX('CDFs'!$F$6:$F$505,P260)&amp;"","")</f>
        <v/>
      </c>
      <c r="J260" s="91" t="n"/>
      <c r="K260" s="91" t="n"/>
      <c r="L260" s="94" t="str">
        <f>IF(N260=0,"",IF(NOT(ISNUMBER(F260)),"Quantidade não informada",IF(F260&lt;=0,"Quantidade não positiva",IF(G260="","Unidade não informada",IF(NOT(ISNUMBER(H260)),"Unidade a conferir",IF(AC260=1,"REVISAR VÍNCULO: soma vinculada maior que a referência do item","OK"))))))</f>
        <v/>
      </c>
      <c r="M260" s="94" t="str">
        <f>IF(N260=0,"",IF(B260="","CDF não informado",IF(Q260=0,"REVISAR VÍNCULO: CDF inexistente",IF(C260="","Item não informado",IF(T260=0,"REVISAR VÍNCULO: item inexistente",IF(AND(X260=1,J260&lt;&gt;"Sim"),"REVISAR VÍNCULO: destinador diferente do MTR",IF(X260=1,"Destinador diferente do MTR (analisado)","OK")))))))</f>
        <v/>
      </c>
      <c r="N260" s="96">
        <f>IF(COUNTA(B260:C260,F260:G260,J260:K260)&gt;0,1,0)</f>
        <v>0</v>
      </c>
      <c r="O260" s="96" t="str">
        <f>IF(B260="","",TRIM(LEFT(B260,FIND(" |",B260&amp;" |")-1)))</f>
        <v/>
      </c>
      <c r="P260" s="96" t="str">
        <f>IF(O260="","",IFERROR(MATCH(O260,'CDFs'!$A$6:$A$505,0),""))</f>
        <v/>
      </c>
      <c r="Q260" s="96">
        <f>IF(P260="",0,IF(INDEX('CDFs'!$S$6:$S$505,P260)=1,1,0))</f>
        <v>0</v>
      </c>
      <c r="R260" s="96" t="str">
        <f>IF(C260="","",TRIM(LEFT(C260,FIND(" |",C260&amp;" |")-1)))</f>
        <v/>
      </c>
      <c r="S260" s="96" t="str">
        <f>IF(R260="","",IFERROR(MATCH(R260,'ITENS_MTR'!$A$6:$A$1005,0),""))</f>
        <v/>
      </c>
      <c r="T260" s="96">
        <f>IF(S260="",0,IF(INDEX('ITENS_MTR'!$R$6:$R$1005,S260)=1,1,0))</f>
        <v>0</v>
      </c>
      <c r="U260" s="96" t="str">
        <f>IF(G260="","",IFERROR(IF(ISNUMBER(INDEX(cfg_fac,MATCH(G260,cfg_units,0))),IF(INDEX(cfg_fac,MATCH(G260,cfg_units,0))&gt;0,INDEX(cfg_fac,MATCH(G260,cfg_units,0)),""),""),""))</f>
        <v/>
      </c>
      <c r="V260" s="96">
        <f>IF(AND(ISNUMBER(F260),ISNUMBER(H260)),IF(H260&gt;0,1,0),0)</f>
        <v>0</v>
      </c>
      <c r="W260" s="96" t="str">
        <f>IF(T260=1,INDEX('ITENS_MTR'!$AU$6:$AU$1005,S260)&amp;"","")</f>
        <v/>
      </c>
      <c r="X260" s="96">
        <f>IF(AND(Q260=1,T260=1,I260&lt;&gt;"",W260&lt;&gt;""),IF(I260&lt;&gt;W260,1,0),0)</f>
        <v>0</v>
      </c>
      <c r="Y260" s="96">
        <f>IF(N260=0,0,IF(OR(Q260=0,T260=0,V260=0,AND(X260=1,J260&lt;&gt;"Sim")),1,0))</f>
        <v>0</v>
      </c>
      <c r="Z260" s="96">
        <f>IF(Q260=1,INDEX('CDFs'!$W$6:$W$505,P260),0)</f>
        <v>0</v>
      </c>
      <c r="AA260" s="96">
        <f>IF(AND(N260=1,Y260=0,Z260=1,J260="Sim"),1,0)</f>
        <v>0</v>
      </c>
      <c r="AB260" s="96">
        <f>IF(AND(N260=1,O260&lt;&gt;"",D260&lt;&gt;""),IF(COUNTIFS($O$6:O260,O260,$D$6:D260,D260)=1,1,0),0)</f>
        <v>0</v>
      </c>
      <c r="AC260" s="96">
        <f>IF(T260=1,INDEX('ITENS_MTR'!$AL$6:$AL$1005,S260),0)</f>
        <v>0</v>
      </c>
    </row>
    <row r="261">
      <c r="A261" s="89" t="inlineStr">
        <is>
          <t>VIN-000256</t>
        </is>
      </c>
      <c r="B261" s="91" t="n"/>
      <c r="C261" s="91" t="n"/>
      <c r="D261" s="94" t="str">
        <f>IF(T261=1,INDEX('ITENS_MTR'!$S$6:$S$1005,S261)&amp;"","")</f>
        <v/>
      </c>
      <c r="E261" s="94" t="str">
        <f>IF(T261=1,INDEX('ITENS_MTR'!$C$6:$C$1005,S261)&amp;"","")</f>
        <v/>
      </c>
      <c r="F261" s="98" t="n"/>
      <c r="G261" s="91" t="n"/>
      <c r="H261" s="93" t="str">
        <f>IF(N261=0,"",IF(NOT(ISNUMBER(F261)),"",IF(ISNUMBER(U261),F261*U261,"UNIDADE A CONFERIR")))</f>
        <v/>
      </c>
      <c r="I261" s="94" t="str">
        <f>IF(Q261=1,INDEX('CDFs'!$F$6:$F$505,P261)&amp;"","")</f>
        <v/>
      </c>
      <c r="J261" s="91" t="n"/>
      <c r="K261" s="91" t="n"/>
      <c r="L261" s="94" t="str">
        <f>IF(N261=0,"",IF(NOT(ISNUMBER(F261)),"Quantidade não informada",IF(F261&lt;=0,"Quantidade não positiva",IF(G261="","Unidade não informada",IF(NOT(ISNUMBER(H261)),"Unidade a conferir",IF(AC261=1,"REVISAR VÍNCULO: soma vinculada maior que a referência do item","OK"))))))</f>
        <v/>
      </c>
      <c r="M261" s="94" t="str">
        <f>IF(N261=0,"",IF(B261="","CDF não informado",IF(Q261=0,"REVISAR VÍNCULO: CDF inexistente",IF(C261="","Item não informado",IF(T261=0,"REVISAR VÍNCULO: item inexistente",IF(AND(X261=1,J261&lt;&gt;"Sim"),"REVISAR VÍNCULO: destinador diferente do MTR",IF(X261=1,"Destinador diferente do MTR (analisado)","OK")))))))</f>
        <v/>
      </c>
      <c r="N261" s="96">
        <f>IF(COUNTA(B261:C261,F261:G261,J261:K261)&gt;0,1,0)</f>
        <v>0</v>
      </c>
      <c r="O261" s="96" t="str">
        <f>IF(B261="","",TRIM(LEFT(B261,FIND(" |",B261&amp;" |")-1)))</f>
        <v/>
      </c>
      <c r="P261" s="96" t="str">
        <f>IF(O261="","",IFERROR(MATCH(O261,'CDFs'!$A$6:$A$505,0),""))</f>
        <v/>
      </c>
      <c r="Q261" s="96">
        <f>IF(P261="",0,IF(INDEX('CDFs'!$S$6:$S$505,P261)=1,1,0))</f>
        <v>0</v>
      </c>
      <c r="R261" s="96" t="str">
        <f>IF(C261="","",TRIM(LEFT(C261,FIND(" |",C261&amp;" |")-1)))</f>
        <v/>
      </c>
      <c r="S261" s="96" t="str">
        <f>IF(R261="","",IFERROR(MATCH(R261,'ITENS_MTR'!$A$6:$A$1005,0),""))</f>
        <v/>
      </c>
      <c r="T261" s="96">
        <f>IF(S261="",0,IF(INDEX('ITENS_MTR'!$R$6:$R$1005,S261)=1,1,0))</f>
        <v>0</v>
      </c>
      <c r="U261" s="96" t="str">
        <f>IF(G261="","",IFERROR(IF(ISNUMBER(INDEX(cfg_fac,MATCH(G261,cfg_units,0))),IF(INDEX(cfg_fac,MATCH(G261,cfg_units,0))&gt;0,INDEX(cfg_fac,MATCH(G261,cfg_units,0)),""),""),""))</f>
        <v/>
      </c>
      <c r="V261" s="96">
        <f>IF(AND(ISNUMBER(F261),ISNUMBER(H261)),IF(H261&gt;0,1,0),0)</f>
        <v>0</v>
      </c>
      <c r="W261" s="96" t="str">
        <f>IF(T261=1,INDEX('ITENS_MTR'!$AU$6:$AU$1005,S261)&amp;"","")</f>
        <v/>
      </c>
      <c r="X261" s="96">
        <f>IF(AND(Q261=1,T261=1,I261&lt;&gt;"",W261&lt;&gt;""),IF(I261&lt;&gt;W261,1,0),0)</f>
        <v>0</v>
      </c>
      <c r="Y261" s="96">
        <f>IF(N261=0,0,IF(OR(Q261=0,T261=0,V261=0,AND(X261=1,J261&lt;&gt;"Sim")),1,0))</f>
        <v>0</v>
      </c>
      <c r="Z261" s="96">
        <f>IF(Q261=1,INDEX('CDFs'!$W$6:$W$505,P261),0)</f>
        <v>0</v>
      </c>
      <c r="AA261" s="96">
        <f>IF(AND(N261=1,Y261=0,Z261=1,J261="Sim"),1,0)</f>
        <v>0</v>
      </c>
      <c r="AB261" s="96">
        <f>IF(AND(N261=1,O261&lt;&gt;"",D261&lt;&gt;""),IF(COUNTIFS($O$6:O261,O261,$D$6:D261,D261)=1,1,0),0)</f>
        <v>0</v>
      </c>
      <c r="AC261" s="96">
        <f>IF(T261=1,INDEX('ITENS_MTR'!$AL$6:$AL$1005,S261),0)</f>
        <v>0</v>
      </c>
    </row>
    <row r="262">
      <c r="A262" s="89" t="inlineStr">
        <is>
          <t>VIN-000257</t>
        </is>
      </c>
      <c r="B262" s="91" t="n"/>
      <c r="C262" s="91" t="n"/>
      <c r="D262" s="94" t="str">
        <f>IF(T262=1,INDEX('ITENS_MTR'!$S$6:$S$1005,S262)&amp;"","")</f>
        <v/>
      </c>
      <c r="E262" s="94" t="str">
        <f>IF(T262=1,INDEX('ITENS_MTR'!$C$6:$C$1005,S262)&amp;"","")</f>
        <v/>
      </c>
      <c r="F262" s="98" t="n"/>
      <c r="G262" s="91" t="n"/>
      <c r="H262" s="93" t="str">
        <f>IF(N262=0,"",IF(NOT(ISNUMBER(F262)),"",IF(ISNUMBER(U262),F262*U262,"UNIDADE A CONFERIR")))</f>
        <v/>
      </c>
      <c r="I262" s="94" t="str">
        <f>IF(Q262=1,INDEX('CDFs'!$F$6:$F$505,P262)&amp;"","")</f>
        <v/>
      </c>
      <c r="J262" s="91" t="n"/>
      <c r="K262" s="91" t="n"/>
      <c r="L262" s="94" t="str">
        <f>IF(N262=0,"",IF(NOT(ISNUMBER(F262)),"Quantidade não informada",IF(F262&lt;=0,"Quantidade não positiva",IF(G262="","Unidade não informada",IF(NOT(ISNUMBER(H262)),"Unidade a conferir",IF(AC262=1,"REVISAR VÍNCULO: soma vinculada maior que a referência do item","OK"))))))</f>
        <v/>
      </c>
      <c r="M262" s="94" t="str">
        <f>IF(N262=0,"",IF(B262="","CDF não informado",IF(Q262=0,"REVISAR VÍNCULO: CDF inexistente",IF(C262="","Item não informado",IF(T262=0,"REVISAR VÍNCULO: item inexistente",IF(AND(X262=1,J262&lt;&gt;"Sim"),"REVISAR VÍNCULO: destinador diferente do MTR",IF(X262=1,"Destinador diferente do MTR (analisado)","OK")))))))</f>
        <v/>
      </c>
      <c r="N262" s="96">
        <f>IF(COUNTA(B262:C262,F262:G262,J262:K262)&gt;0,1,0)</f>
        <v>0</v>
      </c>
      <c r="O262" s="96" t="str">
        <f>IF(B262="","",TRIM(LEFT(B262,FIND(" |",B262&amp;" |")-1)))</f>
        <v/>
      </c>
      <c r="P262" s="96" t="str">
        <f>IF(O262="","",IFERROR(MATCH(O262,'CDFs'!$A$6:$A$505,0),""))</f>
        <v/>
      </c>
      <c r="Q262" s="96">
        <f>IF(P262="",0,IF(INDEX('CDFs'!$S$6:$S$505,P262)=1,1,0))</f>
        <v>0</v>
      </c>
      <c r="R262" s="96" t="str">
        <f>IF(C262="","",TRIM(LEFT(C262,FIND(" |",C262&amp;" |")-1)))</f>
        <v/>
      </c>
      <c r="S262" s="96" t="str">
        <f>IF(R262="","",IFERROR(MATCH(R262,'ITENS_MTR'!$A$6:$A$1005,0),""))</f>
        <v/>
      </c>
      <c r="T262" s="96">
        <f>IF(S262="",0,IF(INDEX('ITENS_MTR'!$R$6:$R$1005,S262)=1,1,0))</f>
        <v>0</v>
      </c>
      <c r="U262" s="96" t="str">
        <f>IF(G262="","",IFERROR(IF(ISNUMBER(INDEX(cfg_fac,MATCH(G262,cfg_units,0))),IF(INDEX(cfg_fac,MATCH(G262,cfg_units,0))&gt;0,INDEX(cfg_fac,MATCH(G262,cfg_units,0)),""),""),""))</f>
        <v/>
      </c>
      <c r="V262" s="96">
        <f>IF(AND(ISNUMBER(F262),ISNUMBER(H262)),IF(H262&gt;0,1,0),0)</f>
        <v>0</v>
      </c>
      <c r="W262" s="96" t="str">
        <f>IF(T262=1,INDEX('ITENS_MTR'!$AU$6:$AU$1005,S262)&amp;"","")</f>
        <v/>
      </c>
      <c r="X262" s="96">
        <f>IF(AND(Q262=1,T262=1,I262&lt;&gt;"",W262&lt;&gt;""),IF(I262&lt;&gt;W262,1,0),0)</f>
        <v>0</v>
      </c>
      <c r="Y262" s="96">
        <f>IF(N262=0,0,IF(OR(Q262=0,T262=0,V262=0,AND(X262=1,J262&lt;&gt;"Sim")),1,0))</f>
        <v>0</v>
      </c>
      <c r="Z262" s="96">
        <f>IF(Q262=1,INDEX('CDFs'!$W$6:$W$505,P262),0)</f>
        <v>0</v>
      </c>
      <c r="AA262" s="96">
        <f>IF(AND(N262=1,Y262=0,Z262=1,J262="Sim"),1,0)</f>
        <v>0</v>
      </c>
      <c r="AB262" s="96">
        <f>IF(AND(N262=1,O262&lt;&gt;"",D262&lt;&gt;""),IF(COUNTIFS($O$6:O262,O262,$D$6:D262,D262)=1,1,0),0)</f>
        <v>0</v>
      </c>
      <c r="AC262" s="96">
        <f>IF(T262=1,INDEX('ITENS_MTR'!$AL$6:$AL$1005,S262),0)</f>
        <v>0</v>
      </c>
    </row>
    <row r="263">
      <c r="A263" s="89" t="inlineStr">
        <is>
          <t>VIN-000258</t>
        </is>
      </c>
      <c r="B263" s="91" t="n"/>
      <c r="C263" s="91" t="n"/>
      <c r="D263" s="94" t="str">
        <f>IF(T263=1,INDEX('ITENS_MTR'!$S$6:$S$1005,S263)&amp;"","")</f>
        <v/>
      </c>
      <c r="E263" s="94" t="str">
        <f>IF(T263=1,INDEX('ITENS_MTR'!$C$6:$C$1005,S263)&amp;"","")</f>
        <v/>
      </c>
      <c r="F263" s="98" t="n"/>
      <c r="G263" s="91" t="n"/>
      <c r="H263" s="93" t="str">
        <f>IF(N263=0,"",IF(NOT(ISNUMBER(F263)),"",IF(ISNUMBER(U263),F263*U263,"UNIDADE A CONFERIR")))</f>
        <v/>
      </c>
      <c r="I263" s="94" t="str">
        <f>IF(Q263=1,INDEX('CDFs'!$F$6:$F$505,P263)&amp;"","")</f>
        <v/>
      </c>
      <c r="J263" s="91" t="n"/>
      <c r="K263" s="91" t="n"/>
      <c r="L263" s="94" t="str">
        <f>IF(N263=0,"",IF(NOT(ISNUMBER(F263)),"Quantidade não informada",IF(F263&lt;=0,"Quantidade não positiva",IF(G263="","Unidade não informada",IF(NOT(ISNUMBER(H263)),"Unidade a conferir",IF(AC263=1,"REVISAR VÍNCULO: soma vinculada maior que a referência do item","OK"))))))</f>
        <v/>
      </c>
      <c r="M263" s="94" t="str">
        <f>IF(N263=0,"",IF(B263="","CDF não informado",IF(Q263=0,"REVISAR VÍNCULO: CDF inexistente",IF(C263="","Item não informado",IF(T263=0,"REVISAR VÍNCULO: item inexistente",IF(AND(X263=1,J263&lt;&gt;"Sim"),"REVISAR VÍNCULO: destinador diferente do MTR",IF(X263=1,"Destinador diferente do MTR (analisado)","OK")))))))</f>
        <v/>
      </c>
      <c r="N263" s="96">
        <f>IF(COUNTA(B263:C263,F263:G263,J263:K263)&gt;0,1,0)</f>
        <v>0</v>
      </c>
      <c r="O263" s="96" t="str">
        <f>IF(B263="","",TRIM(LEFT(B263,FIND(" |",B263&amp;" |")-1)))</f>
        <v/>
      </c>
      <c r="P263" s="96" t="str">
        <f>IF(O263="","",IFERROR(MATCH(O263,'CDFs'!$A$6:$A$505,0),""))</f>
        <v/>
      </c>
      <c r="Q263" s="96">
        <f>IF(P263="",0,IF(INDEX('CDFs'!$S$6:$S$505,P263)=1,1,0))</f>
        <v>0</v>
      </c>
      <c r="R263" s="96" t="str">
        <f>IF(C263="","",TRIM(LEFT(C263,FIND(" |",C263&amp;" |")-1)))</f>
        <v/>
      </c>
      <c r="S263" s="96" t="str">
        <f>IF(R263="","",IFERROR(MATCH(R263,'ITENS_MTR'!$A$6:$A$1005,0),""))</f>
        <v/>
      </c>
      <c r="T263" s="96">
        <f>IF(S263="",0,IF(INDEX('ITENS_MTR'!$R$6:$R$1005,S263)=1,1,0))</f>
        <v>0</v>
      </c>
      <c r="U263" s="96" t="str">
        <f>IF(G263="","",IFERROR(IF(ISNUMBER(INDEX(cfg_fac,MATCH(G263,cfg_units,0))),IF(INDEX(cfg_fac,MATCH(G263,cfg_units,0))&gt;0,INDEX(cfg_fac,MATCH(G263,cfg_units,0)),""),""),""))</f>
        <v/>
      </c>
      <c r="V263" s="96">
        <f>IF(AND(ISNUMBER(F263),ISNUMBER(H263)),IF(H263&gt;0,1,0),0)</f>
        <v>0</v>
      </c>
      <c r="W263" s="96" t="str">
        <f>IF(T263=1,INDEX('ITENS_MTR'!$AU$6:$AU$1005,S263)&amp;"","")</f>
        <v/>
      </c>
      <c r="X263" s="96">
        <f>IF(AND(Q263=1,T263=1,I263&lt;&gt;"",W263&lt;&gt;""),IF(I263&lt;&gt;W263,1,0),0)</f>
        <v>0</v>
      </c>
      <c r="Y263" s="96">
        <f>IF(N263=0,0,IF(OR(Q263=0,T263=0,V263=0,AND(X263=1,J263&lt;&gt;"Sim")),1,0))</f>
        <v>0</v>
      </c>
      <c r="Z263" s="96">
        <f>IF(Q263=1,INDEX('CDFs'!$W$6:$W$505,P263),0)</f>
        <v>0</v>
      </c>
      <c r="AA263" s="96">
        <f>IF(AND(N263=1,Y263=0,Z263=1,J263="Sim"),1,0)</f>
        <v>0</v>
      </c>
      <c r="AB263" s="96">
        <f>IF(AND(N263=1,O263&lt;&gt;"",D263&lt;&gt;""),IF(COUNTIFS($O$6:O263,O263,$D$6:D263,D263)=1,1,0),0)</f>
        <v>0</v>
      </c>
      <c r="AC263" s="96">
        <f>IF(T263=1,INDEX('ITENS_MTR'!$AL$6:$AL$1005,S263),0)</f>
        <v>0</v>
      </c>
    </row>
    <row r="264">
      <c r="A264" s="89" t="inlineStr">
        <is>
          <t>VIN-000259</t>
        </is>
      </c>
      <c r="B264" s="91" t="n"/>
      <c r="C264" s="91" t="n"/>
      <c r="D264" s="94" t="str">
        <f>IF(T264=1,INDEX('ITENS_MTR'!$S$6:$S$1005,S264)&amp;"","")</f>
        <v/>
      </c>
      <c r="E264" s="94" t="str">
        <f>IF(T264=1,INDEX('ITENS_MTR'!$C$6:$C$1005,S264)&amp;"","")</f>
        <v/>
      </c>
      <c r="F264" s="98" t="n"/>
      <c r="G264" s="91" t="n"/>
      <c r="H264" s="93" t="str">
        <f>IF(N264=0,"",IF(NOT(ISNUMBER(F264)),"",IF(ISNUMBER(U264),F264*U264,"UNIDADE A CONFERIR")))</f>
        <v/>
      </c>
      <c r="I264" s="94" t="str">
        <f>IF(Q264=1,INDEX('CDFs'!$F$6:$F$505,P264)&amp;"","")</f>
        <v/>
      </c>
      <c r="J264" s="91" t="n"/>
      <c r="K264" s="91" t="n"/>
      <c r="L264" s="94" t="str">
        <f>IF(N264=0,"",IF(NOT(ISNUMBER(F264)),"Quantidade não informada",IF(F264&lt;=0,"Quantidade não positiva",IF(G264="","Unidade não informada",IF(NOT(ISNUMBER(H264)),"Unidade a conferir",IF(AC264=1,"REVISAR VÍNCULO: soma vinculada maior que a referência do item","OK"))))))</f>
        <v/>
      </c>
      <c r="M264" s="94" t="str">
        <f>IF(N264=0,"",IF(B264="","CDF não informado",IF(Q264=0,"REVISAR VÍNCULO: CDF inexistente",IF(C264="","Item não informado",IF(T264=0,"REVISAR VÍNCULO: item inexistente",IF(AND(X264=1,J264&lt;&gt;"Sim"),"REVISAR VÍNCULO: destinador diferente do MTR",IF(X264=1,"Destinador diferente do MTR (analisado)","OK")))))))</f>
        <v/>
      </c>
      <c r="N264" s="96">
        <f>IF(COUNTA(B264:C264,F264:G264,J264:K264)&gt;0,1,0)</f>
        <v>0</v>
      </c>
      <c r="O264" s="96" t="str">
        <f>IF(B264="","",TRIM(LEFT(B264,FIND(" |",B264&amp;" |")-1)))</f>
        <v/>
      </c>
      <c r="P264" s="96" t="str">
        <f>IF(O264="","",IFERROR(MATCH(O264,'CDFs'!$A$6:$A$505,0),""))</f>
        <v/>
      </c>
      <c r="Q264" s="96">
        <f>IF(P264="",0,IF(INDEX('CDFs'!$S$6:$S$505,P264)=1,1,0))</f>
        <v>0</v>
      </c>
      <c r="R264" s="96" t="str">
        <f>IF(C264="","",TRIM(LEFT(C264,FIND(" |",C264&amp;" |")-1)))</f>
        <v/>
      </c>
      <c r="S264" s="96" t="str">
        <f>IF(R264="","",IFERROR(MATCH(R264,'ITENS_MTR'!$A$6:$A$1005,0),""))</f>
        <v/>
      </c>
      <c r="T264" s="96">
        <f>IF(S264="",0,IF(INDEX('ITENS_MTR'!$R$6:$R$1005,S264)=1,1,0))</f>
        <v>0</v>
      </c>
      <c r="U264" s="96" t="str">
        <f>IF(G264="","",IFERROR(IF(ISNUMBER(INDEX(cfg_fac,MATCH(G264,cfg_units,0))),IF(INDEX(cfg_fac,MATCH(G264,cfg_units,0))&gt;0,INDEX(cfg_fac,MATCH(G264,cfg_units,0)),""),""),""))</f>
        <v/>
      </c>
      <c r="V264" s="96">
        <f>IF(AND(ISNUMBER(F264),ISNUMBER(H264)),IF(H264&gt;0,1,0),0)</f>
        <v>0</v>
      </c>
      <c r="W264" s="96" t="str">
        <f>IF(T264=1,INDEX('ITENS_MTR'!$AU$6:$AU$1005,S264)&amp;"","")</f>
        <v/>
      </c>
      <c r="X264" s="96">
        <f>IF(AND(Q264=1,T264=1,I264&lt;&gt;"",W264&lt;&gt;""),IF(I264&lt;&gt;W264,1,0),0)</f>
        <v>0</v>
      </c>
      <c r="Y264" s="96">
        <f>IF(N264=0,0,IF(OR(Q264=0,T264=0,V264=0,AND(X264=1,J264&lt;&gt;"Sim")),1,0))</f>
        <v>0</v>
      </c>
      <c r="Z264" s="96">
        <f>IF(Q264=1,INDEX('CDFs'!$W$6:$W$505,P264),0)</f>
        <v>0</v>
      </c>
      <c r="AA264" s="96">
        <f>IF(AND(N264=1,Y264=0,Z264=1,J264="Sim"),1,0)</f>
        <v>0</v>
      </c>
      <c r="AB264" s="96">
        <f>IF(AND(N264=1,O264&lt;&gt;"",D264&lt;&gt;""),IF(COUNTIFS($O$6:O264,O264,$D$6:D264,D264)=1,1,0),0)</f>
        <v>0</v>
      </c>
      <c r="AC264" s="96">
        <f>IF(T264=1,INDEX('ITENS_MTR'!$AL$6:$AL$1005,S264),0)</f>
        <v>0</v>
      </c>
    </row>
    <row r="265">
      <c r="A265" s="89" t="inlineStr">
        <is>
          <t>VIN-000260</t>
        </is>
      </c>
      <c r="B265" s="91" t="n"/>
      <c r="C265" s="91" t="n"/>
      <c r="D265" s="94" t="str">
        <f>IF(T265=1,INDEX('ITENS_MTR'!$S$6:$S$1005,S265)&amp;"","")</f>
        <v/>
      </c>
      <c r="E265" s="94" t="str">
        <f>IF(T265=1,INDEX('ITENS_MTR'!$C$6:$C$1005,S265)&amp;"","")</f>
        <v/>
      </c>
      <c r="F265" s="98" t="n"/>
      <c r="G265" s="91" t="n"/>
      <c r="H265" s="93" t="str">
        <f>IF(N265=0,"",IF(NOT(ISNUMBER(F265)),"",IF(ISNUMBER(U265),F265*U265,"UNIDADE A CONFERIR")))</f>
        <v/>
      </c>
      <c r="I265" s="94" t="str">
        <f>IF(Q265=1,INDEX('CDFs'!$F$6:$F$505,P265)&amp;"","")</f>
        <v/>
      </c>
      <c r="J265" s="91" t="n"/>
      <c r="K265" s="91" t="n"/>
      <c r="L265" s="94" t="str">
        <f>IF(N265=0,"",IF(NOT(ISNUMBER(F265)),"Quantidade não informada",IF(F265&lt;=0,"Quantidade não positiva",IF(G265="","Unidade não informada",IF(NOT(ISNUMBER(H265)),"Unidade a conferir",IF(AC265=1,"REVISAR VÍNCULO: soma vinculada maior que a referência do item","OK"))))))</f>
        <v/>
      </c>
      <c r="M265" s="94" t="str">
        <f>IF(N265=0,"",IF(B265="","CDF não informado",IF(Q265=0,"REVISAR VÍNCULO: CDF inexistente",IF(C265="","Item não informado",IF(T265=0,"REVISAR VÍNCULO: item inexistente",IF(AND(X265=1,J265&lt;&gt;"Sim"),"REVISAR VÍNCULO: destinador diferente do MTR",IF(X265=1,"Destinador diferente do MTR (analisado)","OK")))))))</f>
        <v/>
      </c>
      <c r="N265" s="96">
        <f>IF(COUNTA(B265:C265,F265:G265,J265:K265)&gt;0,1,0)</f>
        <v>0</v>
      </c>
      <c r="O265" s="96" t="str">
        <f>IF(B265="","",TRIM(LEFT(B265,FIND(" |",B265&amp;" |")-1)))</f>
        <v/>
      </c>
      <c r="P265" s="96" t="str">
        <f>IF(O265="","",IFERROR(MATCH(O265,'CDFs'!$A$6:$A$505,0),""))</f>
        <v/>
      </c>
      <c r="Q265" s="96">
        <f>IF(P265="",0,IF(INDEX('CDFs'!$S$6:$S$505,P265)=1,1,0))</f>
        <v>0</v>
      </c>
      <c r="R265" s="96" t="str">
        <f>IF(C265="","",TRIM(LEFT(C265,FIND(" |",C265&amp;" |")-1)))</f>
        <v/>
      </c>
      <c r="S265" s="96" t="str">
        <f>IF(R265="","",IFERROR(MATCH(R265,'ITENS_MTR'!$A$6:$A$1005,0),""))</f>
        <v/>
      </c>
      <c r="T265" s="96">
        <f>IF(S265="",0,IF(INDEX('ITENS_MTR'!$R$6:$R$1005,S265)=1,1,0))</f>
        <v>0</v>
      </c>
      <c r="U265" s="96" t="str">
        <f>IF(G265="","",IFERROR(IF(ISNUMBER(INDEX(cfg_fac,MATCH(G265,cfg_units,0))),IF(INDEX(cfg_fac,MATCH(G265,cfg_units,0))&gt;0,INDEX(cfg_fac,MATCH(G265,cfg_units,0)),""),""),""))</f>
        <v/>
      </c>
      <c r="V265" s="96">
        <f>IF(AND(ISNUMBER(F265),ISNUMBER(H265)),IF(H265&gt;0,1,0),0)</f>
        <v>0</v>
      </c>
      <c r="W265" s="96" t="str">
        <f>IF(T265=1,INDEX('ITENS_MTR'!$AU$6:$AU$1005,S265)&amp;"","")</f>
        <v/>
      </c>
      <c r="X265" s="96">
        <f>IF(AND(Q265=1,T265=1,I265&lt;&gt;"",W265&lt;&gt;""),IF(I265&lt;&gt;W265,1,0),0)</f>
        <v>0</v>
      </c>
      <c r="Y265" s="96">
        <f>IF(N265=0,0,IF(OR(Q265=0,T265=0,V265=0,AND(X265=1,J265&lt;&gt;"Sim")),1,0))</f>
        <v>0</v>
      </c>
      <c r="Z265" s="96">
        <f>IF(Q265=1,INDEX('CDFs'!$W$6:$W$505,P265),0)</f>
        <v>0</v>
      </c>
      <c r="AA265" s="96">
        <f>IF(AND(N265=1,Y265=0,Z265=1,J265="Sim"),1,0)</f>
        <v>0</v>
      </c>
      <c r="AB265" s="96">
        <f>IF(AND(N265=1,O265&lt;&gt;"",D265&lt;&gt;""),IF(COUNTIFS($O$6:O265,O265,$D$6:D265,D265)=1,1,0),0)</f>
        <v>0</v>
      </c>
      <c r="AC265" s="96">
        <f>IF(T265=1,INDEX('ITENS_MTR'!$AL$6:$AL$1005,S265),0)</f>
        <v>0</v>
      </c>
    </row>
    <row r="266">
      <c r="A266" s="89" t="inlineStr">
        <is>
          <t>VIN-000261</t>
        </is>
      </c>
      <c r="B266" s="91" t="n"/>
      <c r="C266" s="91" t="n"/>
      <c r="D266" s="94" t="str">
        <f>IF(T266=1,INDEX('ITENS_MTR'!$S$6:$S$1005,S266)&amp;"","")</f>
        <v/>
      </c>
      <c r="E266" s="94" t="str">
        <f>IF(T266=1,INDEX('ITENS_MTR'!$C$6:$C$1005,S266)&amp;"","")</f>
        <v/>
      </c>
      <c r="F266" s="98" t="n"/>
      <c r="G266" s="91" t="n"/>
      <c r="H266" s="93" t="str">
        <f>IF(N266=0,"",IF(NOT(ISNUMBER(F266)),"",IF(ISNUMBER(U266),F266*U266,"UNIDADE A CONFERIR")))</f>
        <v/>
      </c>
      <c r="I266" s="94" t="str">
        <f>IF(Q266=1,INDEX('CDFs'!$F$6:$F$505,P266)&amp;"","")</f>
        <v/>
      </c>
      <c r="J266" s="91" t="n"/>
      <c r="K266" s="91" t="n"/>
      <c r="L266" s="94" t="str">
        <f>IF(N266=0,"",IF(NOT(ISNUMBER(F266)),"Quantidade não informada",IF(F266&lt;=0,"Quantidade não positiva",IF(G266="","Unidade não informada",IF(NOT(ISNUMBER(H266)),"Unidade a conferir",IF(AC266=1,"REVISAR VÍNCULO: soma vinculada maior que a referência do item","OK"))))))</f>
        <v/>
      </c>
      <c r="M266" s="94" t="str">
        <f>IF(N266=0,"",IF(B266="","CDF não informado",IF(Q266=0,"REVISAR VÍNCULO: CDF inexistente",IF(C266="","Item não informado",IF(T266=0,"REVISAR VÍNCULO: item inexistente",IF(AND(X266=1,J266&lt;&gt;"Sim"),"REVISAR VÍNCULO: destinador diferente do MTR",IF(X266=1,"Destinador diferente do MTR (analisado)","OK")))))))</f>
        <v/>
      </c>
      <c r="N266" s="96">
        <f>IF(COUNTA(B266:C266,F266:G266,J266:K266)&gt;0,1,0)</f>
        <v>0</v>
      </c>
      <c r="O266" s="96" t="str">
        <f>IF(B266="","",TRIM(LEFT(B266,FIND(" |",B266&amp;" |")-1)))</f>
        <v/>
      </c>
      <c r="P266" s="96" t="str">
        <f>IF(O266="","",IFERROR(MATCH(O266,'CDFs'!$A$6:$A$505,0),""))</f>
        <v/>
      </c>
      <c r="Q266" s="96">
        <f>IF(P266="",0,IF(INDEX('CDFs'!$S$6:$S$505,P266)=1,1,0))</f>
        <v>0</v>
      </c>
      <c r="R266" s="96" t="str">
        <f>IF(C266="","",TRIM(LEFT(C266,FIND(" |",C266&amp;" |")-1)))</f>
        <v/>
      </c>
      <c r="S266" s="96" t="str">
        <f>IF(R266="","",IFERROR(MATCH(R266,'ITENS_MTR'!$A$6:$A$1005,0),""))</f>
        <v/>
      </c>
      <c r="T266" s="96">
        <f>IF(S266="",0,IF(INDEX('ITENS_MTR'!$R$6:$R$1005,S266)=1,1,0))</f>
        <v>0</v>
      </c>
      <c r="U266" s="96" t="str">
        <f>IF(G266="","",IFERROR(IF(ISNUMBER(INDEX(cfg_fac,MATCH(G266,cfg_units,0))),IF(INDEX(cfg_fac,MATCH(G266,cfg_units,0))&gt;0,INDEX(cfg_fac,MATCH(G266,cfg_units,0)),""),""),""))</f>
        <v/>
      </c>
      <c r="V266" s="96">
        <f>IF(AND(ISNUMBER(F266),ISNUMBER(H266)),IF(H266&gt;0,1,0),0)</f>
        <v>0</v>
      </c>
      <c r="W266" s="96" t="str">
        <f>IF(T266=1,INDEX('ITENS_MTR'!$AU$6:$AU$1005,S266)&amp;"","")</f>
        <v/>
      </c>
      <c r="X266" s="96">
        <f>IF(AND(Q266=1,T266=1,I266&lt;&gt;"",W266&lt;&gt;""),IF(I266&lt;&gt;W266,1,0),0)</f>
        <v>0</v>
      </c>
      <c r="Y266" s="96">
        <f>IF(N266=0,0,IF(OR(Q266=0,T266=0,V266=0,AND(X266=1,J266&lt;&gt;"Sim")),1,0))</f>
        <v>0</v>
      </c>
      <c r="Z266" s="96">
        <f>IF(Q266=1,INDEX('CDFs'!$W$6:$W$505,P266),0)</f>
        <v>0</v>
      </c>
      <c r="AA266" s="96">
        <f>IF(AND(N266=1,Y266=0,Z266=1,J266="Sim"),1,0)</f>
        <v>0</v>
      </c>
      <c r="AB266" s="96">
        <f>IF(AND(N266=1,O266&lt;&gt;"",D266&lt;&gt;""),IF(COUNTIFS($O$6:O266,O266,$D$6:D266,D266)=1,1,0),0)</f>
        <v>0</v>
      </c>
      <c r="AC266" s="96">
        <f>IF(T266=1,INDEX('ITENS_MTR'!$AL$6:$AL$1005,S266),0)</f>
        <v>0</v>
      </c>
    </row>
    <row r="267">
      <c r="A267" s="89" t="inlineStr">
        <is>
          <t>VIN-000262</t>
        </is>
      </c>
      <c r="B267" s="91" t="n"/>
      <c r="C267" s="91" t="n"/>
      <c r="D267" s="94" t="str">
        <f>IF(T267=1,INDEX('ITENS_MTR'!$S$6:$S$1005,S267)&amp;"","")</f>
        <v/>
      </c>
      <c r="E267" s="94" t="str">
        <f>IF(T267=1,INDEX('ITENS_MTR'!$C$6:$C$1005,S267)&amp;"","")</f>
        <v/>
      </c>
      <c r="F267" s="98" t="n"/>
      <c r="G267" s="91" t="n"/>
      <c r="H267" s="93" t="str">
        <f>IF(N267=0,"",IF(NOT(ISNUMBER(F267)),"",IF(ISNUMBER(U267),F267*U267,"UNIDADE A CONFERIR")))</f>
        <v/>
      </c>
      <c r="I267" s="94" t="str">
        <f>IF(Q267=1,INDEX('CDFs'!$F$6:$F$505,P267)&amp;"","")</f>
        <v/>
      </c>
      <c r="J267" s="91" t="n"/>
      <c r="K267" s="91" t="n"/>
      <c r="L267" s="94" t="str">
        <f>IF(N267=0,"",IF(NOT(ISNUMBER(F267)),"Quantidade não informada",IF(F267&lt;=0,"Quantidade não positiva",IF(G267="","Unidade não informada",IF(NOT(ISNUMBER(H267)),"Unidade a conferir",IF(AC267=1,"REVISAR VÍNCULO: soma vinculada maior que a referência do item","OK"))))))</f>
        <v/>
      </c>
      <c r="M267" s="94" t="str">
        <f>IF(N267=0,"",IF(B267="","CDF não informado",IF(Q267=0,"REVISAR VÍNCULO: CDF inexistente",IF(C267="","Item não informado",IF(T267=0,"REVISAR VÍNCULO: item inexistente",IF(AND(X267=1,J267&lt;&gt;"Sim"),"REVISAR VÍNCULO: destinador diferente do MTR",IF(X267=1,"Destinador diferente do MTR (analisado)","OK")))))))</f>
        <v/>
      </c>
      <c r="N267" s="96">
        <f>IF(COUNTA(B267:C267,F267:G267,J267:K267)&gt;0,1,0)</f>
        <v>0</v>
      </c>
      <c r="O267" s="96" t="str">
        <f>IF(B267="","",TRIM(LEFT(B267,FIND(" |",B267&amp;" |")-1)))</f>
        <v/>
      </c>
      <c r="P267" s="96" t="str">
        <f>IF(O267="","",IFERROR(MATCH(O267,'CDFs'!$A$6:$A$505,0),""))</f>
        <v/>
      </c>
      <c r="Q267" s="96">
        <f>IF(P267="",0,IF(INDEX('CDFs'!$S$6:$S$505,P267)=1,1,0))</f>
        <v>0</v>
      </c>
      <c r="R267" s="96" t="str">
        <f>IF(C267="","",TRIM(LEFT(C267,FIND(" |",C267&amp;" |")-1)))</f>
        <v/>
      </c>
      <c r="S267" s="96" t="str">
        <f>IF(R267="","",IFERROR(MATCH(R267,'ITENS_MTR'!$A$6:$A$1005,0),""))</f>
        <v/>
      </c>
      <c r="T267" s="96">
        <f>IF(S267="",0,IF(INDEX('ITENS_MTR'!$R$6:$R$1005,S267)=1,1,0))</f>
        <v>0</v>
      </c>
      <c r="U267" s="96" t="str">
        <f>IF(G267="","",IFERROR(IF(ISNUMBER(INDEX(cfg_fac,MATCH(G267,cfg_units,0))),IF(INDEX(cfg_fac,MATCH(G267,cfg_units,0))&gt;0,INDEX(cfg_fac,MATCH(G267,cfg_units,0)),""),""),""))</f>
        <v/>
      </c>
      <c r="V267" s="96">
        <f>IF(AND(ISNUMBER(F267),ISNUMBER(H267)),IF(H267&gt;0,1,0),0)</f>
        <v>0</v>
      </c>
      <c r="W267" s="96" t="str">
        <f>IF(T267=1,INDEX('ITENS_MTR'!$AU$6:$AU$1005,S267)&amp;"","")</f>
        <v/>
      </c>
      <c r="X267" s="96">
        <f>IF(AND(Q267=1,T267=1,I267&lt;&gt;"",W267&lt;&gt;""),IF(I267&lt;&gt;W267,1,0),0)</f>
        <v>0</v>
      </c>
      <c r="Y267" s="96">
        <f>IF(N267=0,0,IF(OR(Q267=0,T267=0,V267=0,AND(X267=1,J267&lt;&gt;"Sim")),1,0))</f>
        <v>0</v>
      </c>
      <c r="Z267" s="96">
        <f>IF(Q267=1,INDEX('CDFs'!$W$6:$W$505,P267),0)</f>
        <v>0</v>
      </c>
      <c r="AA267" s="96">
        <f>IF(AND(N267=1,Y267=0,Z267=1,J267="Sim"),1,0)</f>
        <v>0</v>
      </c>
      <c r="AB267" s="96">
        <f>IF(AND(N267=1,O267&lt;&gt;"",D267&lt;&gt;""),IF(COUNTIFS($O$6:O267,O267,$D$6:D267,D267)=1,1,0),0)</f>
        <v>0</v>
      </c>
      <c r="AC267" s="96">
        <f>IF(T267=1,INDEX('ITENS_MTR'!$AL$6:$AL$1005,S267),0)</f>
        <v>0</v>
      </c>
    </row>
    <row r="268">
      <c r="A268" s="89" t="inlineStr">
        <is>
          <t>VIN-000263</t>
        </is>
      </c>
      <c r="B268" s="91" t="n"/>
      <c r="C268" s="91" t="n"/>
      <c r="D268" s="94" t="str">
        <f>IF(T268=1,INDEX('ITENS_MTR'!$S$6:$S$1005,S268)&amp;"","")</f>
        <v/>
      </c>
      <c r="E268" s="94" t="str">
        <f>IF(T268=1,INDEX('ITENS_MTR'!$C$6:$C$1005,S268)&amp;"","")</f>
        <v/>
      </c>
      <c r="F268" s="98" t="n"/>
      <c r="G268" s="91" t="n"/>
      <c r="H268" s="93" t="str">
        <f>IF(N268=0,"",IF(NOT(ISNUMBER(F268)),"",IF(ISNUMBER(U268),F268*U268,"UNIDADE A CONFERIR")))</f>
        <v/>
      </c>
      <c r="I268" s="94" t="str">
        <f>IF(Q268=1,INDEX('CDFs'!$F$6:$F$505,P268)&amp;"","")</f>
        <v/>
      </c>
      <c r="J268" s="91" t="n"/>
      <c r="K268" s="91" t="n"/>
      <c r="L268" s="94" t="str">
        <f>IF(N268=0,"",IF(NOT(ISNUMBER(F268)),"Quantidade não informada",IF(F268&lt;=0,"Quantidade não positiva",IF(G268="","Unidade não informada",IF(NOT(ISNUMBER(H268)),"Unidade a conferir",IF(AC268=1,"REVISAR VÍNCULO: soma vinculada maior que a referência do item","OK"))))))</f>
        <v/>
      </c>
      <c r="M268" s="94" t="str">
        <f>IF(N268=0,"",IF(B268="","CDF não informado",IF(Q268=0,"REVISAR VÍNCULO: CDF inexistente",IF(C268="","Item não informado",IF(T268=0,"REVISAR VÍNCULO: item inexistente",IF(AND(X268=1,J268&lt;&gt;"Sim"),"REVISAR VÍNCULO: destinador diferente do MTR",IF(X268=1,"Destinador diferente do MTR (analisado)","OK")))))))</f>
        <v/>
      </c>
      <c r="N268" s="96">
        <f>IF(COUNTA(B268:C268,F268:G268,J268:K268)&gt;0,1,0)</f>
        <v>0</v>
      </c>
      <c r="O268" s="96" t="str">
        <f>IF(B268="","",TRIM(LEFT(B268,FIND(" |",B268&amp;" |")-1)))</f>
        <v/>
      </c>
      <c r="P268" s="96" t="str">
        <f>IF(O268="","",IFERROR(MATCH(O268,'CDFs'!$A$6:$A$505,0),""))</f>
        <v/>
      </c>
      <c r="Q268" s="96">
        <f>IF(P268="",0,IF(INDEX('CDFs'!$S$6:$S$505,P268)=1,1,0))</f>
        <v>0</v>
      </c>
      <c r="R268" s="96" t="str">
        <f>IF(C268="","",TRIM(LEFT(C268,FIND(" |",C268&amp;" |")-1)))</f>
        <v/>
      </c>
      <c r="S268" s="96" t="str">
        <f>IF(R268="","",IFERROR(MATCH(R268,'ITENS_MTR'!$A$6:$A$1005,0),""))</f>
        <v/>
      </c>
      <c r="T268" s="96">
        <f>IF(S268="",0,IF(INDEX('ITENS_MTR'!$R$6:$R$1005,S268)=1,1,0))</f>
        <v>0</v>
      </c>
      <c r="U268" s="96" t="str">
        <f>IF(G268="","",IFERROR(IF(ISNUMBER(INDEX(cfg_fac,MATCH(G268,cfg_units,0))),IF(INDEX(cfg_fac,MATCH(G268,cfg_units,0))&gt;0,INDEX(cfg_fac,MATCH(G268,cfg_units,0)),""),""),""))</f>
        <v/>
      </c>
      <c r="V268" s="96">
        <f>IF(AND(ISNUMBER(F268),ISNUMBER(H268)),IF(H268&gt;0,1,0),0)</f>
        <v>0</v>
      </c>
      <c r="W268" s="96" t="str">
        <f>IF(T268=1,INDEX('ITENS_MTR'!$AU$6:$AU$1005,S268)&amp;"","")</f>
        <v/>
      </c>
      <c r="X268" s="96">
        <f>IF(AND(Q268=1,T268=1,I268&lt;&gt;"",W268&lt;&gt;""),IF(I268&lt;&gt;W268,1,0),0)</f>
        <v>0</v>
      </c>
      <c r="Y268" s="96">
        <f>IF(N268=0,0,IF(OR(Q268=0,T268=0,V268=0,AND(X268=1,J268&lt;&gt;"Sim")),1,0))</f>
        <v>0</v>
      </c>
      <c r="Z268" s="96">
        <f>IF(Q268=1,INDEX('CDFs'!$W$6:$W$505,P268),0)</f>
        <v>0</v>
      </c>
      <c r="AA268" s="96">
        <f>IF(AND(N268=1,Y268=0,Z268=1,J268="Sim"),1,0)</f>
        <v>0</v>
      </c>
      <c r="AB268" s="96">
        <f>IF(AND(N268=1,O268&lt;&gt;"",D268&lt;&gt;""),IF(COUNTIFS($O$6:O268,O268,$D$6:D268,D268)=1,1,0),0)</f>
        <v>0</v>
      </c>
      <c r="AC268" s="96">
        <f>IF(T268=1,INDEX('ITENS_MTR'!$AL$6:$AL$1005,S268),0)</f>
        <v>0</v>
      </c>
    </row>
    <row r="269">
      <c r="A269" s="89" t="inlineStr">
        <is>
          <t>VIN-000264</t>
        </is>
      </c>
      <c r="B269" s="91" t="n"/>
      <c r="C269" s="91" t="n"/>
      <c r="D269" s="94" t="str">
        <f>IF(T269=1,INDEX('ITENS_MTR'!$S$6:$S$1005,S269)&amp;"","")</f>
        <v/>
      </c>
      <c r="E269" s="94" t="str">
        <f>IF(T269=1,INDEX('ITENS_MTR'!$C$6:$C$1005,S269)&amp;"","")</f>
        <v/>
      </c>
      <c r="F269" s="98" t="n"/>
      <c r="G269" s="91" t="n"/>
      <c r="H269" s="93" t="str">
        <f>IF(N269=0,"",IF(NOT(ISNUMBER(F269)),"",IF(ISNUMBER(U269),F269*U269,"UNIDADE A CONFERIR")))</f>
        <v/>
      </c>
      <c r="I269" s="94" t="str">
        <f>IF(Q269=1,INDEX('CDFs'!$F$6:$F$505,P269)&amp;"","")</f>
        <v/>
      </c>
      <c r="J269" s="91" t="n"/>
      <c r="K269" s="91" t="n"/>
      <c r="L269" s="94" t="str">
        <f>IF(N269=0,"",IF(NOT(ISNUMBER(F269)),"Quantidade não informada",IF(F269&lt;=0,"Quantidade não positiva",IF(G269="","Unidade não informada",IF(NOT(ISNUMBER(H269)),"Unidade a conferir",IF(AC269=1,"REVISAR VÍNCULO: soma vinculada maior que a referência do item","OK"))))))</f>
        <v/>
      </c>
      <c r="M269" s="94" t="str">
        <f>IF(N269=0,"",IF(B269="","CDF não informado",IF(Q269=0,"REVISAR VÍNCULO: CDF inexistente",IF(C269="","Item não informado",IF(T269=0,"REVISAR VÍNCULO: item inexistente",IF(AND(X269=1,J269&lt;&gt;"Sim"),"REVISAR VÍNCULO: destinador diferente do MTR",IF(X269=1,"Destinador diferente do MTR (analisado)","OK")))))))</f>
        <v/>
      </c>
      <c r="N269" s="96">
        <f>IF(COUNTA(B269:C269,F269:G269,J269:K269)&gt;0,1,0)</f>
        <v>0</v>
      </c>
      <c r="O269" s="96" t="str">
        <f>IF(B269="","",TRIM(LEFT(B269,FIND(" |",B269&amp;" |")-1)))</f>
        <v/>
      </c>
      <c r="P269" s="96" t="str">
        <f>IF(O269="","",IFERROR(MATCH(O269,'CDFs'!$A$6:$A$505,0),""))</f>
        <v/>
      </c>
      <c r="Q269" s="96">
        <f>IF(P269="",0,IF(INDEX('CDFs'!$S$6:$S$505,P269)=1,1,0))</f>
        <v>0</v>
      </c>
      <c r="R269" s="96" t="str">
        <f>IF(C269="","",TRIM(LEFT(C269,FIND(" |",C269&amp;" |")-1)))</f>
        <v/>
      </c>
      <c r="S269" s="96" t="str">
        <f>IF(R269="","",IFERROR(MATCH(R269,'ITENS_MTR'!$A$6:$A$1005,0),""))</f>
        <v/>
      </c>
      <c r="T269" s="96">
        <f>IF(S269="",0,IF(INDEX('ITENS_MTR'!$R$6:$R$1005,S269)=1,1,0))</f>
        <v>0</v>
      </c>
      <c r="U269" s="96" t="str">
        <f>IF(G269="","",IFERROR(IF(ISNUMBER(INDEX(cfg_fac,MATCH(G269,cfg_units,0))),IF(INDEX(cfg_fac,MATCH(G269,cfg_units,0))&gt;0,INDEX(cfg_fac,MATCH(G269,cfg_units,0)),""),""),""))</f>
        <v/>
      </c>
      <c r="V269" s="96">
        <f>IF(AND(ISNUMBER(F269),ISNUMBER(H269)),IF(H269&gt;0,1,0),0)</f>
        <v>0</v>
      </c>
      <c r="W269" s="96" t="str">
        <f>IF(T269=1,INDEX('ITENS_MTR'!$AU$6:$AU$1005,S269)&amp;"","")</f>
        <v/>
      </c>
      <c r="X269" s="96">
        <f>IF(AND(Q269=1,T269=1,I269&lt;&gt;"",W269&lt;&gt;""),IF(I269&lt;&gt;W269,1,0),0)</f>
        <v>0</v>
      </c>
      <c r="Y269" s="96">
        <f>IF(N269=0,0,IF(OR(Q269=0,T269=0,V269=0,AND(X269=1,J269&lt;&gt;"Sim")),1,0))</f>
        <v>0</v>
      </c>
      <c r="Z269" s="96">
        <f>IF(Q269=1,INDEX('CDFs'!$W$6:$W$505,P269),0)</f>
        <v>0</v>
      </c>
      <c r="AA269" s="96">
        <f>IF(AND(N269=1,Y269=0,Z269=1,J269="Sim"),1,0)</f>
        <v>0</v>
      </c>
      <c r="AB269" s="96">
        <f>IF(AND(N269=1,O269&lt;&gt;"",D269&lt;&gt;""),IF(COUNTIFS($O$6:O269,O269,$D$6:D269,D269)=1,1,0),0)</f>
        <v>0</v>
      </c>
      <c r="AC269" s="96">
        <f>IF(T269=1,INDEX('ITENS_MTR'!$AL$6:$AL$1005,S269),0)</f>
        <v>0</v>
      </c>
    </row>
    <row r="270">
      <c r="A270" s="89" t="inlineStr">
        <is>
          <t>VIN-000265</t>
        </is>
      </c>
      <c r="B270" s="91" t="n"/>
      <c r="C270" s="91" t="n"/>
      <c r="D270" s="94" t="str">
        <f>IF(T270=1,INDEX('ITENS_MTR'!$S$6:$S$1005,S270)&amp;"","")</f>
        <v/>
      </c>
      <c r="E270" s="94" t="str">
        <f>IF(T270=1,INDEX('ITENS_MTR'!$C$6:$C$1005,S270)&amp;"","")</f>
        <v/>
      </c>
      <c r="F270" s="98" t="n"/>
      <c r="G270" s="91" t="n"/>
      <c r="H270" s="93" t="str">
        <f>IF(N270=0,"",IF(NOT(ISNUMBER(F270)),"",IF(ISNUMBER(U270),F270*U270,"UNIDADE A CONFERIR")))</f>
        <v/>
      </c>
      <c r="I270" s="94" t="str">
        <f>IF(Q270=1,INDEX('CDFs'!$F$6:$F$505,P270)&amp;"","")</f>
        <v/>
      </c>
      <c r="J270" s="91" t="n"/>
      <c r="K270" s="91" t="n"/>
      <c r="L270" s="94" t="str">
        <f>IF(N270=0,"",IF(NOT(ISNUMBER(F270)),"Quantidade não informada",IF(F270&lt;=0,"Quantidade não positiva",IF(G270="","Unidade não informada",IF(NOT(ISNUMBER(H270)),"Unidade a conferir",IF(AC270=1,"REVISAR VÍNCULO: soma vinculada maior que a referência do item","OK"))))))</f>
        <v/>
      </c>
      <c r="M270" s="94" t="str">
        <f>IF(N270=0,"",IF(B270="","CDF não informado",IF(Q270=0,"REVISAR VÍNCULO: CDF inexistente",IF(C270="","Item não informado",IF(T270=0,"REVISAR VÍNCULO: item inexistente",IF(AND(X270=1,J270&lt;&gt;"Sim"),"REVISAR VÍNCULO: destinador diferente do MTR",IF(X270=1,"Destinador diferente do MTR (analisado)","OK")))))))</f>
        <v/>
      </c>
      <c r="N270" s="96">
        <f>IF(COUNTA(B270:C270,F270:G270,J270:K270)&gt;0,1,0)</f>
        <v>0</v>
      </c>
      <c r="O270" s="96" t="str">
        <f>IF(B270="","",TRIM(LEFT(B270,FIND(" |",B270&amp;" |")-1)))</f>
        <v/>
      </c>
      <c r="P270" s="96" t="str">
        <f>IF(O270="","",IFERROR(MATCH(O270,'CDFs'!$A$6:$A$505,0),""))</f>
        <v/>
      </c>
      <c r="Q270" s="96">
        <f>IF(P270="",0,IF(INDEX('CDFs'!$S$6:$S$505,P270)=1,1,0))</f>
        <v>0</v>
      </c>
      <c r="R270" s="96" t="str">
        <f>IF(C270="","",TRIM(LEFT(C270,FIND(" |",C270&amp;" |")-1)))</f>
        <v/>
      </c>
      <c r="S270" s="96" t="str">
        <f>IF(R270="","",IFERROR(MATCH(R270,'ITENS_MTR'!$A$6:$A$1005,0),""))</f>
        <v/>
      </c>
      <c r="T270" s="96">
        <f>IF(S270="",0,IF(INDEX('ITENS_MTR'!$R$6:$R$1005,S270)=1,1,0))</f>
        <v>0</v>
      </c>
      <c r="U270" s="96" t="str">
        <f>IF(G270="","",IFERROR(IF(ISNUMBER(INDEX(cfg_fac,MATCH(G270,cfg_units,0))),IF(INDEX(cfg_fac,MATCH(G270,cfg_units,0))&gt;0,INDEX(cfg_fac,MATCH(G270,cfg_units,0)),""),""),""))</f>
        <v/>
      </c>
      <c r="V270" s="96">
        <f>IF(AND(ISNUMBER(F270),ISNUMBER(H270)),IF(H270&gt;0,1,0),0)</f>
        <v>0</v>
      </c>
      <c r="W270" s="96" t="str">
        <f>IF(T270=1,INDEX('ITENS_MTR'!$AU$6:$AU$1005,S270)&amp;"","")</f>
        <v/>
      </c>
      <c r="X270" s="96">
        <f>IF(AND(Q270=1,T270=1,I270&lt;&gt;"",W270&lt;&gt;""),IF(I270&lt;&gt;W270,1,0),0)</f>
        <v>0</v>
      </c>
      <c r="Y270" s="96">
        <f>IF(N270=0,0,IF(OR(Q270=0,T270=0,V270=0,AND(X270=1,J270&lt;&gt;"Sim")),1,0))</f>
        <v>0</v>
      </c>
      <c r="Z270" s="96">
        <f>IF(Q270=1,INDEX('CDFs'!$W$6:$W$505,P270),0)</f>
        <v>0</v>
      </c>
      <c r="AA270" s="96">
        <f>IF(AND(N270=1,Y270=0,Z270=1,J270="Sim"),1,0)</f>
        <v>0</v>
      </c>
      <c r="AB270" s="96">
        <f>IF(AND(N270=1,O270&lt;&gt;"",D270&lt;&gt;""),IF(COUNTIFS($O$6:O270,O270,$D$6:D270,D270)=1,1,0),0)</f>
        <v>0</v>
      </c>
      <c r="AC270" s="96">
        <f>IF(T270=1,INDEX('ITENS_MTR'!$AL$6:$AL$1005,S270),0)</f>
        <v>0</v>
      </c>
    </row>
    <row r="271">
      <c r="A271" s="89" t="inlineStr">
        <is>
          <t>VIN-000266</t>
        </is>
      </c>
      <c r="B271" s="91" t="n"/>
      <c r="C271" s="91" t="n"/>
      <c r="D271" s="94" t="str">
        <f>IF(T271=1,INDEX('ITENS_MTR'!$S$6:$S$1005,S271)&amp;"","")</f>
        <v/>
      </c>
      <c r="E271" s="94" t="str">
        <f>IF(T271=1,INDEX('ITENS_MTR'!$C$6:$C$1005,S271)&amp;"","")</f>
        <v/>
      </c>
      <c r="F271" s="98" t="n"/>
      <c r="G271" s="91" t="n"/>
      <c r="H271" s="93" t="str">
        <f>IF(N271=0,"",IF(NOT(ISNUMBER(F271)),"",IF(ISNUMBER(U271),F271*U271,"UNIDADE A CONFERIR")))</f>
        <v/>
      </c>
      <c r="I271" s="94" t="str">
        <f>IF(Q271=1,INDEX('CDFs'!$F$6:$F$505,P271)&amp;"","")</f>
        <v/>
      </c>
      <c r="J271" s="91" t="n"/>
      <c r="K271" s="91" t="n"/>
      <c r="L271" s="94" t="str">
        <f>IF(N271=0,"",IF(NOT(ISNUMBER(F271)),"Quantidade não informada",IF(F271&lt;=0,"Quantidade não positiva",IF(G271="","Unidade não informada",IF(NOT(ISNUMBER(H271)),"Unidade a conferir",IF(AC271=1,"REVISAR VÍNCULO: soma vinculada maior que a referência do item","OK"))))))</f>
        <v/>
      </c>
      <c r="M271" s="94" t="str">
        <f>IF(N271=0,"",IF(B271="","CDF não informado",IF(Q271=0,"REVISAR VÍNCULO: CDF inexistente",IF(C271="","Item não informado",IF(T271=0,"REVISAR VÍNCULO: item inexistente",IF(AND(X271=1,J271&lt;&gt;"Sim"),"REVISAR VÍNCULO: destinador diferente do MTR",IF(X271=1,"Destinador diferente do MTR (analisado)","OK")))))))</f>
        <v/>
      </c>
      <c r="N271" s="96">
        <f>IF(COUNTA(B271:C271,F271:G271,J271:K271)&gt;0,1,0)</f>
        <v>0</v>
      </c>
      <c r="O271" s="96" t="str">
        <f>IF(B271="","",TRIM(LEFT(B271,FIND(" |",B271&amp;" |")-1)))</f>
        <v/>
      </c>
      <c r="P271" s="96" t="str">
        <f>IF(O271="","",IFERROR(MATCH(O271,'CDFs'!$A$6:$A$505,0),""))</f>
        <v/>
      </c>
      <c r="Q271" s="96">
        <f>IF(P271="",0,IF(INDEX('CDFs'!$S$6:$S$505,P271)=1,1,0))</f>
        <v>0</v>
      </c>
      <c r="R271" s="96" t="str">
        <f>IF(C271="","",TRIM(LEFT(C271,FIND(" |",C271&amp;" |")-1)))</f>
        <v/>
      </c>
      <c r="S271" s="96" t="str">
        <f>IF(R271="","",IFERROR(MATCH(R271,'ITENS_MTR'!$A$6:$A$1005,0),""))</f>
        <v/>
      </c>
      <c r="T271" s="96">
        <f>IF(S271="",0,IF(INDEX('ITENS_MTR'!$R$6:$R$1005,S271)=1,1,0))</f>
        <v>0</v>
      </c>
      <c r="U271" s="96" t="str">
        <f>IF(G271="","",IFERROR(IF(ISNUMBER(INDEX(cfg_fac,MATCH(G271,cfg_units,0))),IF(INDEX(cfg_fac,MATCH(G271,cfg_units,0))&gt;0,INDEX(cfg_fac,MATCH(G271,cfg_units,0)),""),""),""))</f>
        <v/>
      </c>
      <c r="V271" s="96">
        <f>IF(AND(ISNUMBER(F271),ISNUMBER(H271)),IF(H271&gt;0,1,0),0)</f>
        <v>0</v>
      </c>
      <c r="W271" s="96" t="str">
        <f>IF(T271=1,INDEX('ITENS_MTR'!$AU$6:$AU$1005,S271)&amp;"","")</f>
        <v/>
      </c>
      <c r="X271" s="96">
        <f>IF(AND(Q271=1,T271=1,I271&lt;&gt;"",W271&lt;&gt;""),IF(I271&lt;&gt;W271,1,0),0)</f>
        <v>0</v>
      </c>
      <c r="Y271" s="96">
        <f>IF(N271=0,0,IF(OR(Q271=0,T271=0,V271=0,AND(X271=1,J271&lt;&gt;"Sim")),1,0))</f>
        <v>0</v>
      </c>
      <c r="Z271" s="96">
        <f>IF(Q271=1,INDEX('CDFs'!$W$6:$W$505,P271),0)</f>
        <v>0</v>
      </c>
      <c r="AA271" s="96">
        <f>IF(AND(N271=1,Y271=0,Z271=1,J271="Sim"),1,0)</f>
        <v>0</v>
      </c>
      <c r="AB271" s="96">
        <f>IF(AND(N271=1,O271&lt;&gt;"",D271&lt;&gt;""),IF(COUNTIFS($O$6:O271,O271,$D$6:D271,D271)=1,1,0),0)</f>
        <v>0</v>
      </c>
      <c r="AC271" s="96">
        <f>IF(T271=1,INDEX('ITENS_MTR'!$AL$6:$AL$1005,S271),0)</f>
        <v>0</v>
      </c>
    </row>
    <row r="272">
      <c r="A272" s="89" t="inlineStr">
        <is>
          <t>VIN-000267</t>
        </is>
      </c>
      <c r="B272" s="91" t="n"/>
      <c r="C272" s="91" t="n"/>
      <c r="D272" s="94" t="str">
        <f>IF(T272=1,INDEX('ITENS_MTR'!$S$6:$S$1005,S272)&amp;"","")</f>
        <v/>
      </c>
      <c r="E272" s="94" t="str">
        <f>IF(T272=1,INDEX('ITENS_MTR'!$C$6:$C$1005,S272)&amp;"","")</f>
        <v/>
      </c>
      <c r="F272" s="98" t="n"/>
      <c r="G272" s="91" t="n"/>
      <c r="H272" s="93" t="str">
        <f>IF(N272=0,"",IF(NOT(ISNUMBER(F272)),"",IF(ISNUMBER(U272),F272*U272,"UNIDADE A CONFERIR")))</f>
        <v/>
      </c>
      <c r="I272" s="94" t="str">
        <f>IF(Q272=1,INDEX('CDFs'!$F$6:$F$505,P272)&amp;"","")</f>
        <v/>
      </c>
      <c r="J272" s="91" t="n"/>
      <c r="K272" s="91" t="n"/>
      <c r="L272" s="94" t="str">
        <f>IF(N272=0,"",IF(NOT(ISNUMBER(F272)),"Quantidade não informada",IF(F272&lt;=0,"Quantidade não positiva",IF(G272="","Unidade não informada",IF(NOT(ISNUMBER(H272)),"Unidade a conferir",IF(AC272=1,"REVISAR VÍNCULO: soma vinculada maior que a referência do item","OK"))))))</f>
        <v/>
      </c>
      <c r="M272" s="94" t="str">
        <f>IF(N272=0,"",IF(B272="","CDF não informado",IF(Q272=0,"REVISAR VÍNCULO: CDF inexistente",IF(C272="","Item não informado",IF(T272=0,"REVISAR VÍNCULO: item inexistente",IF(AND(X272=1,J272&lt;&gt;"Sim"),"REVISAR VÍNCULO: destinador diferente do MTR",IF(X272=1,"Destinador diferente do MTR (analisado)","OK")))))))</f>
        <v/>
      </c>
      <c r="N272" s="96">
        <f>IF(COUNTA(B272:C272,F272:G272,J272:K272)&gt;0,1,0)</f>
        <v>0</v>
      </c>
      <c r="O272" s="96" t="str">
        <f>IF(B272="","",TRIM(LEFT(B272,FIND(" |",B272&amp;" |")-1)))</f>
        <v/>
      </c>
      <c r="P272" s="96" t="str">
        <f>IF(O272="","",IFERROR(MATCH(O272,'CDFs'!$A$6:$A$505,0),""))</f>
        <v/>
      </c>
      <c r="Q272" s="96">
        <f>IF(P272="",0,IF(INDEX('CDFs'!$S$6:$S$505,P272)=1,1,0))</f>
        <v>0</v>
      </c>
      <c r="R272" s="96" t="str">
        <f>IF(C272="","",TRIM(LEFT(C272,FIND(" |",C272&amp;" |")-1)))</f>
        <v/>
      </c>
      <c r="S272" s="96" t="str">
        <f>IF(R272="","",IFERROR(MATCH(R272,'ITENS_MTR'!$A$6:$A$1005,0),""))</f>
        <v/>
      </c>
      <c r="T272" s="96">
        <f>IF(S272="",0,IF(INDEX('ITENS_MTR'!$R$6:$R$1005,S272)=1,1,0))</f>
        <v>0</v>
      </c>
      <c r="U272" s="96" t="str">
        <f>IF(G272="","",IFERROR(IF(ISNUMBER(INDEX(cfg_fac,MATCH(G272,cfg_units,0))),IF(INDEX(cfg_fac,MATCH(G272,cfg_units,0))&gt;0,INDEX(cfg_fac,MATCH(G272,cfg_units,0)),""),""),""))</f>
        <v/>
      </c>
      <c r="V272" s="96">
        <f>IF(AND(ISNUMBER(F272),ISNUMBER(H272)),IF(H272&gt;0,1,0),0)</f>
        <v>0</v>
      </c>
      <c r="W272" s="96" t="str">
        <f>IF(T272=1,INDEX('ITENS_MTR'!$AU$6:$AU$1005,S272)&amp;"","")</f>
        <v/>
      </c>
      <c r="X272" s="96">
        <f>IF(AND(Q272=1,T272=1,I272&lt;&gt;"",W272&lt;&gt;""),IF(I272&lt;&gt;W272,1,0),0)</f>
        <v>0</v>
      </c>
      <c r="Y272" s="96">
        <f>IF(N272=0,0,IF(OR(Q272=0,T272=0,V272=0,AND(X272=1,J272&lt;&gt;"Sim")),1,0))</f>
        <v>0</v>
      </c>
      <c r="Z272" s="96">
        <f>IF(Q272=1,INDEX('CDFs'!$W$6:$W$505,P272),0)</f>
        <v>0</v>
      </c>
      <c r="AA272" s="96">
        <f>IF(AND(N272=1,Y272=0,Z272=1,J272="Sim"),1,0)</f>
        <v>0</v>
      </c>
      <c r="AB272" s="96">
        <f>IF(AND(N272=1,O272&lt;&gt;"",D272&lt;&gt;""),IF(COUNTIFS($O$6:O272,O272,$D$6:D272,D272)=1,1,0),0)</f>
        <v>0</v>
      </c>
      <c r="AC272" s="96">
        <f>IF(T272=1,INDEX('ITENS_MTR'!$AL$6:$AL$1005,S272),0)</f>
        <v>0</v>
      </c>
    </row>
    <row r="273">
      <c r="A273" s="89" t="inlineStr">
        <is>
          <t>VIN-000268</t>
        </is>
      </c>
      <c r="B273" s="91" t="n"/>
      <c r="C273" s="91" t="n"/>
      <c r="D273" s="94" t="str">
        <f>IF(T273=1,INDEX('ITENS_MTR'!$S$6:$S$1005,S273)&amp;"","")</f>
        <v/>
      </c>
      <c r="E273" s="94" t="str">
        <f>IF(T273=1,INDEX('ITENS_MTR'!$C$6:$C$1005,S273)&amp;"","")</f>
        <v/>
      </c>
      <c r="F273" s="98" t="n"/>
      <c r="G273" s="91" t="n"/>
      <c r="H273" s="93" t="str">
        <f>IF(N273=0,"",IF(NOT(ISNUMBER(F273)),"",IF(ISNUMBER(U273),F273*U273,"UNIDADE A CONFERIR")))</f>
        <v/>
      </c>
      <c r="I273" s="94" t="str">
        <f>IF(Q273=1,INDEX('CDFs'!$F$6:$F$505,P273)&amp;"","")</f>
        <v/>
      </c>
      <c r="J273" s="91" t="n"/>
      <c r="K273" s="91" t="n"/>
      <c r="L273" s="94" t="str">
        <f>IF(N273=0,"",IF(NOT(ISNUMBER(F273)),"Quantidade não informada",IF(F273&lt;=0,"Quantidade não positiva",IF(G273="","Unidade não informada",IF(NOT(ISNUMBER(H273)),"Unidade a conferir",IF(AC273=1,"REVISAR VÍNCULO: soma vinculada maior que a referência do item","OK"))))))</f>
        <v/>
      </c>
      <c r="M273" s="94" t="str">
        <f>IF(N273=0,"",IF(B273="","CDF não informado",IF(Q273=0,"REVISAR VÍNCULO: CDF inexistente",IF(C273="","Item não informado",IF(T273=0,"REVISAR VÍNCULO: item inexistente",IF(AND(X273=1,J273&lt;&gt;"Sim"),"REVISAR VÍNCULO: destinador diferente do MTR",IF(X273=1,"Destinador diferente do MTR (analisado)","OK")))))))</f>
        <v/>
      </c>
      <c r="N273" s="96">
        <f>IF(COUNTA(B273:C273,F273:G273,J273:K273)&gt;0,1,0)</f>
        <v>0</v>
      </c>
      <c r="O273" s="96" t="str">
        <f>IF(B273="","",TRIM(LEFT(B273,FIND(" |",B273&amp;" |")-1)))</f>
        <v/>
      </c>
      <c r="P273" s="96" t="str">
        <f>IF(O273="","",IFERROR(MATCH(O273,'CDFs'!$A$6:$A$505,0),""))</f>
        <v/>
      </c>
      <c r="Q273" s="96">
        <f>IF(P273="",0,IF(INDEX('CDFs'!$S$6:$S$505,P273)=1,1,0))</f>
        <v>0</v>
      </c>
      <c r="R273" s="96" t="str">
        <f>IF(C273="","",TRIM(LEFT(C273,FIND(" |",C273&amp;" |")-1)))</f>
        <v/>
      </c>
      <c r="S273" s="96" t="str">
        <f>IF(R273="","",IFERROR(MATCH(R273,'ITENS_MTR'!$A$6:$A$1005,0),""))</f>
        <v/>
      </c>
      <c r="T273" s="96">
        <f>IF(S273="",0,IF(INDEX('ITENS_MTR'!$R$6:$R$1005,S273)=1,1,0))</f>
        <v>0</v>
      </c>
      <c r="U273" s="96" t="str">
        <f>IF(G273="","",IFERROR(IF(ISNUMBER(INDEX(cfg_fac,MATCH(G273,cfg_units,0))),IF(INDEX(cfg_fac,MATCH(G273,cfg_units,0))&gt;0,INDEX(cfg_fac,MATCH(G273,cfg_units,0)),""),""),""))</f>
        <v/>
      </c>
      <c r="V273" s="96">
        <f>IF(AND(ISNUMBER(F273),ISNUMBER(H273)),IF(H273&gt;0,1,0),0)</f>
        <v>0</v>
      </c>
      <c r="W273" s="96" t="str">
        <f>IF(T273=1,INDEX('ITENS_MTR'!$AU$6:$AU$1005,S273)&amp;"","")</f>
        <v/>
      </c>
      <c r="X273" s="96">
        <f>IF(AND(Q273=1,T273=1,I273&lt;&gt;"",W273&lt;&gt;""),IF(I273&lt;&gt;W273,1,0),0)</f>
        <v>0</v>
      </c>
      <c r="Y273" s="96">
        <f>IF(N273=0,0,IF(OR(Q273=0,T273=0,V273=0,AND(X273=1,J273&lt;&gt;"Sim")),1,0))</f>
        <v>0</v>
      </c>
      <c r="Z273" s="96">
        <f>IF(Q273=1,INDEX('CDFs'!$W$6:$W$505,P273),0)</f>
        <v>0</v>
      </c>
      <c r="AA273" s="96">
        <f>IF(AND(N273=1,Y273=0,Z273=1,J273="Sim"),1,0)</f>
        <v>0</v>
      </c>
      <c r="AB273" s="96">
        <f>IF(AND(N273=1,O273&lt;&gt;"",D273&lt;&gt;""),IF(COUNTIFS($O$6:O273,O273,$D$6:D273,D273)=1,1,0),0)</f>
        <v>0</v>
      </c>
      <c r="AC273" s="96">
        <f>IF(T273=1,INDEX('ITENS_MTR'!$AL$6:$AL$1005,S273),0)</f>
        <v>0</v>
      </c>
    </row>
    <row r="274">
      <c r="A274" s="89" t="inlineStr">
        <is>
          <t>VIN-000269</t>
        </is>
      </c>
      <c r="B274" s="91" t="n"/>
      <c r="C274" s="91" t="n"/>
      <c r="D274" s="94" t="str">
        <f>IF(T274=1,INDEX('ITENS_MTR'!$S$6:$S$1005,S274)&amp;"","")</f>
        <v/>
      </c>
      <c r="E274" s="94" t="str">
        <f>IF(T274=1,INDEX('ITENS_MTR'!$C$6:$C$1005,S274)&amp;"","")</f>
        <v/>
      </c>
      <c r="F274" s="98" t="n"/>
      <c r="G274" s="91" t="n"/>
      <c r="H274" s="93" t="str">
        <f>IF(N274=0,"",IF(NOT(ISNUMBER(F274)),"",IF(ISNUMBER(U274),F274*U274,"UNIDADE A CONFERIR")))</f>
        <v/>
      </c>
      <c r="I274" s="94" t="str">
        <f>IF(Q274=1,INDEX('CDFs'!$F$6:$F$505,P274)&amp;"","")</f>
        <v/>
      </c>
      <c r="J274" s="91" t="n"/>
      <c r="K274" s="91" t="n"/>
      <c r="L274" s="94" t="str">
        <f>IF(N274=0,"",IF(NOT(ISNUMBER(F274)),"Quantidade não informada",IF(F274&lt;=0,"Quantidade não positiva",IF(G274="","Unidade não informada",IF(NOT(ISNUMBER(H274)),"Unidade a conferir",IF(AC274=1,"REVISAR VÍNCULO: soma vinculada maior que a referência do item","OK"))))))</f>
        <v/>
      </c>
      <c r="M274" s="94" t="str">
        <f>IF(N274=0,"",IF(B274="","CDF não informado",IF(Q274=0,"REVISAR VÍNCULO: CDF inexistente",IF(C274="","Item não informado",IF(T274=0,"REVISAR VÍNCULO: item inexistente",IF(AND(X274=1,J274&lt;&gt;"Sim"),"REVISAR VÍNCULO: destinador diferente do MTR",IF(X274=1,"Destinador diferente do MTR (analisado)","OK")))))))</f>
        <v/>
      </c>
      <c r="N274" s="96">
        <f>IF(COUNTA(B274:C274,F274:G274,J274:K274)&gt;0,1,0)</f>
        <v>0</v>
      </c>
      <c r="O274" s="96" t="str">
        <f>IF(B274="","",TRIM(LEFT(B274,FIND(" |",B274&amp;" |")-1)))</f>
        <v/>
      </c>
      <c r="P274" s="96" t="str">
        <f>IF(O274="","",IFERROR(MATCH(O274,'CDFs'!$A$6:$A$505,0),""))</f>
        <v/>
      </c>
      <c r="Q274" s="96">
        <f>IF(P274="",0,IF(INDEX('CDFs'!$S$6:$S$505,P274)=1,1,0))</f>
        <v>0</v>
      </c>
      <c r="R274" s="96" t="str">
        <f>IF(C274="","",TRIM(LEFT(C274,FIND(" |",C274&amp;" |")-1)))</f>
        <v/>
      </c>
      <c r="S274" s="96" t="str">
        <f>IF(R274="","",IFERROR(MATCH(R274,'ITENS_MTR'!$A$6:$A$1005,0),""))</f>
        <v/>
      </c>
      <c r="T274" s="96">
        <f>IF(S274="",0,IF(INDEX('ITENS_MTR'!$R$6:$R$1005,S274)=1,1,0))</f>
        <v>0</v>
      </c>
      <c r="U274" s="96" t="str">
        <f>IF(G274="","",IFERROR(IF(ISNUMBER(INDEX(cfg_fac,MATCH(G274,cfg_units,0))),IF(INDEX(cfg_fac,MATCH(G274,cfg_units,0))&gt;0,INDEX(cfg_fac,MATCH(G274,cfg_units,0)),""),""),""))</f>
        <v/>
      </c>
      <c r="V274" s="96">
        <f>IF(AND(ISNUMBER(F274),ISNUMBER(H274)),IF(H274&gt;0,1,0),0)</f>
        <v>0</v>
      </c>
      <c r="W274" s="96" t="str">
        <f>IF(T274=1,INDEX('ITENS_MTR'!$AU$6:$AU$1005,S274)&amp;"","")</f>
        <v/>
      </c>
      <c r="X274" s="96">
        <f>IF(AND(Q274=1,T274=1,I274&lt;&gt;"",W274&lt;&gt;""),IF(I274&lt;&gt;W274,1,0),0)</f>
        <v>0</v>
      </c>
      <c r="Y274" s="96">
        <f>IF(N274=0,0,IF(OR(Q274=0,T274=0,V274=0,AND(X274=1,J274&lt;&gt;"Sim")),1,0))</f>
        <v>0</v>
      </c>
      <c r="Z274" s="96">
        <f>IF(Q274=1,INDEX('CDFs'!$W$6:$W$505,P274),0)</f>
        <v>0</v>
      </c>
      <c r="AA274" s="96">
        <f>IF(AND(N274=1,Y274=0,Z274=1,J274="Sim"),1,0)</f>
        <v>0</v>
      </c>
      <c r="AB274" s="96">
        <f>IF(AND(N274=1,O274&lt;&gt;"",D274&lt;&gt;""),IF(COUNTIFS($O$6:O274,O274,$D$6:D274,D274)=1,1,0),0)</f>
        <v>0</v>
      </c>
      <c r="AC274" s="96">
        <f>IF(T274=1,INDEX('ITENS_MTR'!$AL$6:$AL$1005,S274),0)</f>
        <v>0</v>
      </c>
    </row>
    <row r="275">
      <c r="A275" s="89" t="inlineStr">
        <is>
          <t>VIN-000270</t>
        </is>
      </c>
      <c r="B275" s="91" t="n"/>
      <c r="C275" s="91" t="n"/>
      <c r="D275" s="94" t="str">
        <f>IF(T275=1,INDEX('ITENS_MTR'!$S$6:$S$1005,S275)&amp;"","")</f>
        <v/>
      </c>
      <c r="E275" s="94" t="str">
        <f>IF(T275=1,INDEX('ITENS_MTR'!$C$6:$C$1005,S275)&amp;"","")</f>
        <v/>
      </c>
      <c r="F275" s="98" t="n"/>
      <c r="G275" s="91" t="n"/>
      <c r="H275" s="93" t="str">
        <f>IF(N275=0,"",IF(NOT(ISNUMBER(F275)),"",IF(ISNUMBER(U275),F275*U275,"UNIDADE A CONFERIR")))</f>
        <v/>
      </c>
      <c r="I275" s="94" t="str">
        <f>IF(Q275=1,INDEX('CDFs'!$F$6:$F$505,P275)&amp;"","")</f>
        <v/>
      </c>
      <c r="J275" s="91" t="n"/>
      <c r="K275" s="91" t="n"/>
      <c r="L275" s="94" t="str">
        <f>IF(N275=0,"",IF(NOT(ISNUMBER(F275)),"Quantidade não informada",IF(F275&lt;=0,"Quantidade não positiva",IF(G275="","Unidade não informada",IF(NOT(ISNUMBER(H275)),"Unidade a conferir",IF(AC275=1,"REVISAR VÍNCULO: soma vinculada maior que a referência do item","OK"))))))</f>
        <v/>
      </c>
      <c r="M275" s="94" t="str">
        <f>IF(N275=0,"",IF(B275="","CDF não informado",IF(Q275=0,"REVISAR VÍNCULO: CDF inexistente",IF(C275="","Item não informado",IF(T275=0,"REVISAR VÍNCULO: item inexistente",IF(AND(X275=1,J275&lt;&gt;"Sim"),"REVISAR VÍNCULO: destinador diferente do MTR",IF(X275=1,"Destinador diferente do MTR (analisado)","OK")))))))</f>
        <v/>
      </c>
      <c r="N275" s="96">
        <f>IF(COUNTA(B275:C275,F275:G275,J275:K275)&gt;0,1,0)</f>
        <v>0</v>
      </c>
      <c r="O275" s="96" t="str">
        <f>IF(B275="","",TRIM(LEFT(B275,FIND(" |",B275&amp;" |")-1)))</f>
        <v/>
      </c>
      <c r="P275" s="96" t="str">
        <f>IF(O275="","",IFERROR(MATCH(O275,'CDFs'!$A$6:$A$505,0),""))</f>
        <v/>
      </c>
      <c r="Q275" s="96">
        <f>IF(P275="",0,IF(INDEX('CDFs'!$S$6:$S$505,P275)=1,1,0))</f>
        <v>0</v>
      </c>
      <c r="R275" s="96" t="str">
        <f>IF(C275="","",TRIM(LEFT(C275,FIND(" |",C275&amp;" |")-1)))</f>
        <v/>
      </c>
      <c r="S275" s="96" t="str">
        <f>IF(R275="","",IFERROR(MATCH(R275,'ITENS_MTR'!$A$6:$A$1005,0),""))</f>
        <v/>
      </c>
      <c r="T275" s="96">
        <f>IF(S275="",0,IF(INDEX('ITENS_MTR'!$R$6:$R$1005,S275)=1,1,0))</f>
        <v>0</v>
      </c>
      <c r="U275" s="96" t="str">
        <f>IF(G275="","",IFERROR(IF(ISNUMBER(INDEX(cfg_fac,MATCH(G275,cfg_units,0))),IF(INDEX(cfg_fac,MATCH(G275,cfg_units,0))&gt;0,INDEX(cfg_fac,MATCH(G275,cfg_units,0)),""),""),""))</f>
        <v/>
      </c>
      <c r="V275" s="96">
        <f>IF(AND(ISNUMBER(F275),ISNUMBER(H275)),IF(H275&gt;0,1,0),0)</f>
        <v>0</v>
      </c>
      <c r="W275" s="96" t="str">
        <f>IF(T275=1,INDEX('ITENS_MTR'!$AU$6:$AU$1005,S275)&amp;"","")</f>
        <v/>
      </c>
      <c r="X275" s="96">
        <f>IF(AND(Q275=1,T275=1,I275&lt;&gt;"",W275&lt;&gt;""),IF(I275&lt;&gt;W275,1,0),0)</f>
        <v>0</v>
      </c>
      <c r="Y275" s="96">
        <f>IF(N275=0,0,IF(OR(Q275=0,T275=0,V275=0,AND(X275=1,J275&lt;&gt;"Sim")),1,0))</f>
        <v>0</v>
      </c>
      <c r="Z275" s="96">
        <f>IF(Q275=1,INDEX('CDFs'!$W$6:$W$505,P275),0)</f>
        <v>0</v>
      </c>
      <c r="AA275" s="96">
        <f>IF(AND(N275=1,Y275=0,Z275=1,J275="Sim"),1,0)</f>
        <v>0</v>
      </c>
      <c r="AB275" s="96">
        <f>IF(AND(N275=1,O275&lt;&gt;"",D275&lt;&gt;""),IF(COUNTIFS($O$6:O275,O275,$D$6:D275,D275)=1,1,0),0)</f>
        <v>0</v>
      </c>
      <c r="AC275" s="96">
        <f>IF(T275=1,INDEX('ITENS_MTR'!$AL$6:$AL$1005,S275),0)</f>
        <v>0</v>
      </c>
    </row>
    <row r="276">
      <c r="A276" s="89" t="inlineStr">
        <is>
          <t>VIN-000271</t>
        </is>
      </c>
      <c r="B276" s="91" t="n"/>
      <c r="C276" s="91" t="n"/>
      <c r="D276" s="94" t="str">
        <f>IF(T276=1,INDEX('ITENS_MTR'!$S$6:$S$1005,S276)&amp;"","")</f>
        <v/>
      </c>
      <c r="E276" s="94" t="str">
        <f>IF(T276=1,INDEX('ITENS_MTR'!$C$6:$C$1005,S276)&amp;"","")</f>
        <v/>
      </c>
      <c r="F276" s="98" t="n"/>
      <c r="G276" s="91" t="n"/>
      <c r="H276" s="93" t="str">
        <f>IF(N276=0,"",IF(NOT(ISNUMBER(F276)),"",IF(ISNUMBER(U276),F276*U276,"UNIDADE A CONFERIR")))</f>
        <v/>
      </c>
      <c r="I276" s="94" t="str">
        <f>IF(Q276=1,INDEX('CDFs'!$F$6:$F$505,P276)&amp;"","")</f>
        <v/>
      </c>
      <c r="J276" s="91" t="n"/>
      <c r="K276" s="91" t="n"/>
      <c r="L276" s="94" t="str">
        <f>IF(N276=0,"",IF(NOT(ISNUMBER(F276)),"Quantidade não informada",IF(F276&lt;=0,"Quantidade não positiva",IF(G276="","Unidade não informada",IF(NOT(ISNUMBER(H276)),"Unidade a conferir",IF(AC276=1,"REVISAR VÍNCULO: soma vinculada maior que a referência do item","OK"))))))</f>
        <v/>
      </c>
      <c r="M276" s="94" t="str">
        <f>IF(N276=0,"",IF(B276="","CDF não informado",IF(Q276=0,"REVISAR VÍNCULO: CDF inexistente",IF(C276="","Item não informado",IF(T276=0,"REVISAR VÍNCULO: item inexistente",IF(AND(X276=1,J276&lt;&gt;"Sim"),"REVISAR VÍNCULO: destinador diferente do MTR",IF(X276=1,"Destinador diferente do MTR (analisado)","OK")))))))</f>
        <v/>
      </c>
      <c r="N276" s="96">
        <f>IF(COUNTA(B276:C276,F276:G276,J276:K276)&gt;0,1,0)</f>
        <v>0</v>
      </c>
      <c r="O276" s="96" t="str">
        <f>IF(B276="","",TRIM(LEFT(B276,FIND(" |",B276&amp;" |")-1)))</f>
        <v/>
      </c>
      <c r="P276" s="96" t="str">
        <f>IF(O276="","",IFERROR(MATCH(O276,'CDFs'!$A$6:$A$505,0),""))</f>
        <v/>
      </c>
      <c r="Q276" s="96">
        <f>IF(P276="",0,IF(INDEX('CDFs'!$S$6:$S$505,P276)=1,1,0))</f>
        <v>0</v>
      </c>
      <c r="R276" s="96" t="str">
        <f>IF(C276="","",TRIM(LEFT(C276,FIND(" |",C276&amp;" |")-1)))</f>
        <v/>
      </c>
      <c r="S276" s="96" t="str">
        <f>IF(R276="","",IFERROR(MATCH(R276,'ITENS_MTR'!$A$6:$A$1005,0),""))</f>
        <v/>
      </c>
      <c r="T276" s="96">
        <f>IF(S276="",0,IF(INDEX('ITENS_MTR'!$R$6:$R$1005,S276)=1,1,0))</f>
        <v>0</v>
      </c>
      <c r="U276" s="96" t="str">
        <f>IF(G276="","",IFERROR(IF(ISNUMBER(INDEX(cfg_fac,MATCH(G276,cfg_units,0))),IF(INDEX(cfg_fac,MATCH(G276,cfg_units,0))&gt;0,INDEX(cfg_fac,MATCH(G276,cfg_units,0)),""),""),""))</f>
        <v/>
      </c>
      <c r="V276" s="96">
        <f>IF(AND(ISNUMBER(F276),ISNUMBER(H276)),IF(H276&gt;0,1,0),0)</f>
        <v>0</v>
      </c>
      <c r="W276" s="96" t="str">
        <f>IF(T276=1,INDEX('ITENS_MTR'!$AU$6:$AU$1005,S276)&amp;"","")</f>
        <v/>
      </c>
      <c r="X276" s="96">
        <f>IF(AND(Q276=1,T276=1,I276&lt;&gt;"",W276&lt;&gt;""),IF(I276&lt;&gt;W276,1,0),0)</f>
        <v>0</v>
      </c>
      <c r="Y276" s="96">
        <f>IF(N276=0,0,IF(OR(Q276=0,T276=0,V276=0,AND(X276=1,J276&lt;&gt;"Sim")),1,0))</f>
        <v>0</v>
      </c>
      <c r="Z276" s="96">
        <f>IF(Q276=1,INDEX('CDFs'!$W$6:$W$505,P276),0)</f>
        <v>0</v>
      </c>
      <c r="AA276" s="96">
        <f>IF(AND(N276=1,Y276=0,Z276=1,J276="Sim"),1,0)</f>
        <v>0</v>
      </c>
      <c r="AB276" s="96">
        <f>IF(AND(N276=1,O276&lt;&gt;"",D276&lt;&gt;""),IF(COUNTIFS($O$6:O276,O276,$D$6:D276,D276)=1,1,0),0)</f>
        <v>0</v>
      </c>
      <c r="AC276" s="96">
        <f>IF(T276=1,INDEX('ITENS_MTR'!$AL$6:$AL$1005,S276),0)</f>
        <v>0</v>
      </c>
    </row>
    <row r="277">
      <c r="A277" s="89" t="inlineStr">
        <is>
          <t>VIN-000272</t>
        </is>
      </c>
      <c r="B277" s="91" t="n"/>
      <c r="C277" s="91" t="n"/>
      <c r="D277" s="94" t="str">
        <f>IF(T277=1,INDEX('ITENS_MTR'!$S$6:$S$1005,S277)&amp;"","")</f>
        <v/>
      </c>
      <c r="E277" s="94" t="str">
        <f>IF(T277=1,INDEX('ITENS_MTR'!$C$6:$C$1005,S277)&amp;"","")</f>
        <v/>
      </c>
      <c r="F277" s="98" t="n"/>
      <c r="G277" s="91" t="n"/>
      <c r="H277" s="93" t="str">
        <f>IF(N277=0,"",IF(NOT(ISNUMBER(F277)),"",IF(ISNUMBER(U277),F277*U277,"UNIDADE A CONFERIR")))</f>
        <v/>
      </c>
      <c r="I277" s="94" t="str">
        <f>IF(Q277=1,INDEX('CDFs'!$F$6:$F$505,P277)&amp;"","")</f>
        <v/>
      </c>
      <c r="J277" s="91" t="n"/>
      <c r="K277" s="91" t="n"/>
      <c r="L277" s="94" t="str">
        <f>IF(N277=0,"",IF(NOT(ISNUMBER(F277)),"Quantidade não informada",IF(F277&lt;=0,"Quantidade não positiva",IF(G277="","Unidade não informada",IF(NOT(ISNUMBER(H277)),"Unidade a conferir",IF(AC277=1,"REVISAR VÍNCULO: soma vinculada maior que a referência do item","OK"))))))</f>
        <v/>
      </c>
      <c r="M277" s="94" t="str">
        <f>IF(N277=0,"",IF(B277="","CDF não informado",IF(Q277=0,"REVISAR VÍNCULO: CDF inexistente",IF(C277="","Item não informado",IF(T277=0,"REVISAR VÍNCULO: item inexistente",IF(AND(X277=1,J277&lt;&gt;"Sim"),"REVISAR VÍNCULO: destinador diferente do MTR",IF(X277=1,"Destinador diferente do MTR (analisado)","OK")))))))</f>
        <v/>
      </c>
      <c r="N277" s="96">
        <f>IF(COUNTA(B277:C277,F277:G277,J277:K277)&gt;0,1,0)</f>
        <v>0</v>
      </c>
      <c r="O277" s="96" t="str">
        <f>IF(B277="","",TRIM(LEFT(B277,FIND(" |",B277&amp;" |")-1)))</f>
        <v/>
      </c>
      <c r="P277" s="96" t="str">
        <f>IF(O277="","",IFERROR(MATCH(O277,'CDFs'!$A$6:$A$505,0),""))</f>
        <v/>
      </c>
      <c r="Q277" s="96">
        <f>IF(P277="",0,IF(INDEX('CDFs'!$S$6:$S$505,P277)=1,1,0))</f>
        <v>0</v>
      </c>
      <c r="R277" s="96" t="str">
        <f>IF(C277="","",TRIM(LEFT(C277,FIND(" |",C277&amp;" |")-1)))</f>
        <v/>
      </c>
      <c r="S277" s="96" t="str">
        <f>IF(R277="","",IFERROR(MATCH(R277,'ITENS_MTR'!$A$6:$A$1005,0),""))</f>
        <v/>
      </c>
      <c r="T277" s="96">
        <f>IF(S277="",0,IF(INDEX('ITENS_MTR'!$R$6:$R$1005,S277)=1,1,0))</f>
        <v>0</v>
      </c>
      <c r="U277" s="96" t="str">
        <f>IF(G277="","",IFERROR(IF(ISNUMBER(INDEX(cfg_fac,MATCH(G277,cfg_units,0))),IF(INDEX(cfg_fac,MATCH(G277,cfg_units,0))&gt;0,INDEX(cfg_fac,MATCH(G277,cfg_units,0)),""),""),""))</f>
        <v/>
      </c>
      <c r="V277" s="96">
        <f>IF(AND(ISNUMBER(F277),ISNUMBER(H277)),IF(H277&gt;0,1,0),0)</f>
        <v>0</v>
      </c>
      <c r="W277" s="96" t="str">
        <f>IF(T277=1,INDEX('ITENS_MTR'!$AU$6:$AU$1005,S277)&amp;"","")</f>
        <v/>
      </c>
      <c r="X277" s="96">
        <f>IF(AND(Q277=1,T277=1,I277&lt;&gt;"",W277&lt;&gt;""),IF(I277&lt;&gt;W277,1,0),0)</f>
        <v>0</v>
      </c>
      <c r="Y277" s="96">
        <f>IF(N277=0,0,IF(OR(Q277=0,T277=0,V277=0,AND(X277=1,J277&lt;&gt;"Sim")),1,0))</f>
        <v>0</v>
      </c>
      <c r="Z277" s="96">
        <f>IF(Q277=1,INDEX('CDFs'!$W$6:$W$505,P277),0)</f>
        <v>0</v>
      </c>
      <c r="AA277" s="96">
        <f>IF(AND(N277=1,Y277=0,Z277=1,J277="Sim"),1,0)</f>
        <v>0</v>
      </c>
      <c r="AB277" s="96">
        <f>IF(AND(N277=1,O277&lt;&gt;"",D277&lt;&gt;""),IF(COUNTIFS($O$6:O277,O277,$D$6:D277,D277)=1,1,0),0)</f>
        <v>0</v>
      </c>
      <c r="AC277" s="96">
        <f>IF(T277=1,INDEX('ITENS_MTR'!$AL$6:$AL$1005,S277),0)</f>
        <v>0</v>
      </c>
    </row>
    <row r="278">
      <c r="A278" s="89" t="inlineStr">
        <is>
          <t>VIN-000273</t>
        </is>
      </c>
      <c r="B278" s="91" t="n"/>
      <c r="C278" s="91" t="n"/>
      <c r="D278" s="94" t="str">
        <f>IF(T278=1,INDEX('ITENS_MTR'!$S$6:$S$1005,S278)&amp;"","")</f>
        <v/>
      </c>
      <c r="E278" s="94" t="str">
        <f>IF(T278=1,INDEX('ITENS_MTR'!$C$6:$C$1005,S278)&amp;"","")</f>
        <v/>
      </c>
      <c r="F278" s="98" t="n"/>
      <c r="G278" s="91" t="n"/>
      <c r="H278" s="93" t="str">
        <f>IF(N278=0,"",IF(NOT(ISNUMBER(F278)),"",IF(ISNUMBER(U278),F278*U278,"UNIDADE A CONFERIR")))</f>
        <v/>
      </c>
      <c r="I278" s="94" t="str">
        <f>IF(Q278=1,INDEX('CDFs'!$F$6:$F$505,P278)&amp;"","")</f>
        <v/>
      </c>
      <c r="J278" s="91" t="n"/>
      <c r="K278" s="91" t="n"/>
      <c r="L278" s="94" t="str">
        <f>IF(N278=0,"",IF(NOT(ISNUMBER(F278)),"Quantidade não informada",IF(F278&lt;=0,"Quantidade não positiva",IF(G278="","Unidade não informada",IF(NOT(ISNUMBER(H278)),"Unidade a conferir",IF(AC278=1,"REVISAR VÍNCULO: soma vinculada maior que a referência do item","OK"))))))</f>
        <v/>
      </c>
      <c r="M278" s="94" t="str">
        <f>IF(N278=0,"",IF(B278="","CDF não informado",IF(Q278=0,"REVISAR VÍNCULO: CDF inexistente",IF(C278="","Item não informado",IF(T278=0,"REVISAR VÍNCULO: item inexistente",IF(AND(X278=1,J278&lt;&gt;"Sim"),"REVISAR VÍNCULO: destinador diferente do MTR",IF(X278=1,"Destinador diferente do MTR (analisado)","OK")))))))</f>
        <v/>
      </c>
      <c r="N278" s="96">
        <f>IF(COUNTA(B278:C278,F278:G278,J278:K278)&gt;0,1,0)</f>
        <v>0</v>
      </c>
      <c r="O278" s="96" t="str">
        <f>IF(B278="","",TRIM(LEFT(B278,FIND(" |",B278&amp;" |")-1)))</f>
        <v/>
      </c>
      <c r="P278" s="96" t="str">
        <f>IF(O278="","",IFERROR(MATCH(O278,'CDFs'!$A$6:$A$505,0),""))</f>
        <v/>
      </c>
      <c r="Q278" s="96">
        <f>IF(P278="",0,IF(INDEX('CDFs'!$S$6:$S$505,P278)=1,1,0))</f>
        <v>0</v>
      </c>
      <c r="R278" s="96" t="str">
        <f>IF(C278="","",TRIM(LEFT(C278,FIND(" |",C278&amp;" |")-1)))</f>
        <v/>
      </c>
      <c r="S278" s="96" t="str">
        <f>IF(R278="","",IFERROR(MATCH(R278,'ITENS_MTR'!$A$6:$A$1005,0),""))</f>
        <v/>
      </c>
      <c r="T278" s="96">
        <f>IF(S278="",0,IF(INDEX('ITENS_MTR'!$R$6:$R$1005,S278)=1,1,0))</f>
        <v>0</v>
      </c>
      <c r="U278" s="96" t="str">
        <f>IF(G278="","",IFERROR(IF(ISNUMBER(INDEX(cfg_fac,MATCH(G278,cfg_units,0))),IF(INDEX(cfg_fac,MATCH(G278,cfg_units,0))&gt;0,INDEX(cfg_fac,MATCH(G278,cfg_units,0)),""),""),""))</f>
        <v/>
      </c>
      <c r="V278" s="96">
        <f>IF(AND(ISNUMBER(F278),ISNUMBER(H278)),IF(H278&gt;0,1,0),0)</f>
        <v>0</v>
      </c>
      <c r="W278" s="96" t="str">
        <f>IF(T278=1,INDEX('ITENS_MTR'!$AU$6:$AU$1005,S278)&amp;"","")</f>
        <v/>
      </c>
      <c r="X278" s="96">
        <f>IF(AND(Q278=1,T278=1,I278&lt;&gt;"",W278&lt;&gt;""),IF(I278&lt;&gt;W278,1,0),0)</f>
        <v>0</v>
      </c>
      <c r="Y278" s="96">
        <f>IF(N278=0,0,IF(OR(Q278=0,T278=0,V278=0,AND(X278=1,J278&lt;&gt;"Sim")),1,0))</f>
        <v>0</v>
      </c>
      <c r="Z278" s="96">
        <f>IF(Q278=1,INDEX('CDFs'!$W$6:$W$505,P278),0)</f>
        <v>0</v>
      </c>
      <c r="AA278" s="96">
        <f>IF(AND(N278=1,Y278=0,Z278=1,J278="Sim"),1,0)</f>
        <v>0</v>
      </c>
      <c r="AB278" s="96">
        <f>IF(AND(N278=1,O278&lt;&gt;"",D278&lt;&gt;""),IF(COUNTIFS($O$6:O278,O278,$D$6:D278,D278)=1,1,0),0)</f>
        <v>0</v>
      </c>
      <c r="AC278" s="96">
        <f>IF(T278=1,INDEX('ITENS_MTR'!$AL$6:$AL$1005,S278),0)</f>
        <v>0</v>
      </c>
    </row>
    <row r="279">
      <c r="A279" s="89" t="inlineStr">
        <is>
          <t>VIN-000274</t>
        </is>
      </c>
      <c r="B279" s="91" t="n"/>
      <c r="C279" s="91" t="n"/>
      <c r="D279" s="94" t="str">
        <f>IF(T279=1,INDEX('ITENS_MTR'!$S$6:$S$1005,S279)&amp;"","")</f>
        <v/>
      </c>
      <c r="E279" s="94" t="str">
        <f>IF(T279=1,INDEX('ITENS_MTR'!$C$6:$C$1005,S279)&amp;"","")</f>
        <v/>
      </c>
      <c r="F279" s="98" t="n"/>
      <c r="G279" s="91" t="n"/>
      <c r="H279" s="93" t="str">
        <f>IF(N279=0,"",IF(NOT(ISNUMBER(F279)),"",IF(ISNUMBER(U279),F279*U279,"UNIDADE A CONFERIR")))</f>
        <v/>
      </c>
      <c r="I279" s="94" t="str">
        <f>IF(Q279=1,INDEX('CDFs'!$F$6:$F$505,P279)&amp;"","")</f>
        <v/>
      </c>
      <c r="J279" s="91" t="n"/>
      <c r="K279" s="91" t="n"/>
      <c r="L279" s="94" t="str">
        <f>IF(N279=0,"",IF(NOT(ISNUMBER(F279)),"Quantidade não informada",IF(F279&lt;=0,"Quantidade não positiva",IF(G279="","Unidade não informada",IF(NOT(ISNUMBER(H279)),"Unidade a conferir",IF(AC279=1,"REVISAR VÍNCULO: soma vinculada maior que a referência do item","OK"))))))</f>
        <v/>
      </c>
      <c r="M279" s="94" t="str">
        <f>IF(N279=0,"",IF(B279="","CDF não informado",IF(Q279=0,"REVISAR VÍNCULO: CDF inexistente",IF(C279="","Item não informado",IF(T279=0,"REVISAR VÍNCULO: item inexistente",IF(AND(X279=1,J279&lt;&gt;"Sim"),"REVISAR VÍNCULO: destinador diferente do MTR",IF(X279=1,"Destinador diferente do MTR (analisado)","OK")))))))</f>
        <v/>
      </c>
      <c r="N279" s="96">
        <f>IF(COUNTA(B279:C279,F279:G279,J279:K279)&gt;0,1,0)</f>
        <v>0</v>
      </c>
      <c r="O279" s="96" t="str">
        <f>IF(B279="","",TRIM(LEFT(B279,FIND(" |",B279&amp;" |")-1)))</f>
        <v/>
      </c>
      <c r="P279" s="96" t="str">
        <f>IF(O279="","",IFERROR(MATCH(O279,'CDFs'!$A$6:$A$505,0),""))</f>
        <v/>
      </c>
      <c r="Q279" s="96">
        <f>IF(P279="",0,IF(INDEX('CDFs'!$S$6:$S$505,P279)=1,1,0))</f>
        <v>0</v>
      </c>
      <c r="R279" s="96" t="str">
        <f>IF(C279="","",TRIM(LEFT(C279,FIND(" |",C279&amp;" |")-1)))</f>
        <v/>
      </c>
      <c r="S279" s="96" t="str">
        <f>IF(R279="","",IFERROR(MATCH(R279,'ITENS_MTR'!$A$6:$A$1005,0),""))</f>
        <v/>
      </c>
      <c r="T279" s="96">
        <f>IF(S279="",0,IF(INDEX('ITENS_MTR'!$R$6:$R$1005,S279)=1,1,0))</f>
        <v>0</v>
      </c>
      <c r="U279" s="96" t="str">
        <f>IF(G279="","",IFERROR(IF(ISNUMBER(INDEX(cfg_fac,MATCH(G279,cfg_units,0))),IF(INDEX(cfg_fac,MATCH(G279,cfg_units,0))&gt;0,INDEX(cfg_fac,MATCH(G279,cfg_units,0)),""),""),""))</f>
        <v/>
      </c>
      <c r="V279" s="96">
        <f>IF(AND(ISNUMBER(F279),ISNUMBER(H279)),IF(H279&gt;0,1,0),0)</f>
        <v>0</v>
      </c>
      <c r="W279" s="96" t="str">
        <f>IF(T279=1,INDEX('ITENS_MTR'!$AU$6:$AU$1005,S279)&amp;"","")</f>
        <v/>
      </c>
      <c r="X279" s="96">
        <f>IF(AND(Q279=1,T279=1,I279&lt;&gt;"",W279&lt;&gt;""),IF(I279&lt;&gt;W279,1,0),0)</f>
        <v>0</v>
      </c>
      <c r="Y279" s="96">
        <f>IF(N279=0,0,IF(OR(Q279=0,T279=0,V279=0,AND(X279=1,J279&lt;&gt;"Sim")),1,0))</f>
        <v>0</v>
      </c>
      <c r="Z279" s="96">
        <f>IF(Q279=1,INDEX('CDFs'!$W$6:$W$505,P279),0)</f>
        <v>0</v>
      </c>
      <c r="AA279" s="96">
        <f>IF(AND(N279=1,Y279=0,Z279=1,J279="Sim"),1,0)</f>
        <v>0</v>
      </c>
      <c r="AB279" s="96">
        <f>IF(AND(N279=1,O279&lt;&gt;"",D279&lt;&gt;""),IF(COUNTIFS($O$6:O279,O279,$D$6:D279,D279)=1,1,0),0)</f>
        <v>0</v>
      </c>
      <c r="AC279" s="96">
        <f>IF(T279=1,INDEX('ITENS_MTR'!$AL$6:$AL$1005,S279),0)</f>
        <v>0</v>
      </c>
    </row>
    <row r="280">
      <c r="A280" s="89" t="inlineStr">
        <is>
          <t>VIN-000275</t>
        </is>
      </c>
      <c r="B280" s="91" t="n"/>
      <c r="C280" s="91" t="n"/>
      <c r="D280" s="94" t="str">
        <f>IF(T280=1,INDEX('ITENS_MTR'!$S$6:$S$1005,S280)&amp;"","")</f>
        <v/>
      </c>
      <c r="E280" s="94" t="str">
        <f>IF(T280=1,INDEX('ITENS_MTR'!$C$6:$C$1005,S280)&amp;"","")</f>
        <v/>
      </c>
      <c r="F280" s="98" t="n"/>
      <c r="G280" s="91" t="n"/>
      <c r="H280" s="93" t="str">
        <f>IF(N280=0,"",IF(NOT(ISNUMBER(F280)),"",IF(ISNUMBER(U280),F280*U280,"UNIDADE A CONFERIR")))</f>
        <v/>
      </c>
      <c r="I280" s="94" t="str">
        <f>IF(Q280=1,INDEX('CDFs'!$F$6:$F$505,P280)&amp;"","")</f>
        <v/>
      </c>
      <c r="J280" s="91" t="n"/>
      <c r="K280" s="91" t="n"/>
      <c r="L280" s="94" t="str">
        <f>IF(N280=0,"",IF(NOT(ISNUMBER(F280)),"Quantidade não informada",IF(F280&lt;=0,"Quantidade não positiva",IF(G280="","Unidade não informada",IF(NOT(ISNUMBER(H280)),"Unidade a conferir",IF(AC280=1,"REVISAR VÍNCULO: soma vinculada maior que a referência do item","OK"))))))</f>
        <v/>
      </c>
      <c r="M280" s="94" t="str">
        <f>IF(N280=0,"",IF(B280="","CDF não informado",IF(Q280=0,"REVISAR VÍNCULO: CDF inexistente",IF(C280="","Item não informado",IF(T280=0,"REVISAR VÍNCULO: item inexistente",IF(AND(X280=1,J280&lt;&gt;"Sim"),"REVISAR VÍNCULO: destinador diferente do MTR",IF(X280=1,"Destinador diferente do MTR (analisado)","OK")))))))</f>
        <v/>
      </c>
      <c r="N280" s="96">
        <f>IF(COUNTA(B280:C280,F280:G280,J280:K280)&gt;0,1,0)</f>
        <v>0</v>
      </c>
      <c r="O280" s="96" t="str">
        <f>IF(B280="","",TRIM(LEFT(B280,FIND(" |",B280&amp;" |")-1)))</f>
        <v/>
      </c>
      <c r="P280" s="96" t="str">
        <f>IF(O280="","",IFERROR(MATCH(O280,'CDFs'!$A$6:$A$505,0),""))</f>
        <v/>
      </c>
      <c r="Q280" s="96">
        <f>IF(P280="",0,IF(INDEX('CDFs'!$S$6:$S$505,P280)=1,1,0))</f>
        <v>0</v>
      </c>
      <c r="R280" s="96" t="str">
        <f>IF(C280="","",TRIM(LEFT(C280,FIND(" |",C280&amp;" |")-1)))</f>
        <v/>
      </c>
      <c r="S280" s="96" t="str">
        <f>IF(R280="","",IFERROR(MATCH(R280,'ITENS_MTR'!$A$6:$A$1005,0),""))</f>
        <v/>
      </c>
      <c r="T280" s="96">
        <f>IF(S280="",0,IF(INDEX('ITENS_MTR'!$R$6:$R$1005,S280)=1,1,0))</f>
        <v>0</v>
      </c>
      <c r="U280" s="96" t="str">
        <f>IF(G280="","",IFERROR(IF(ISNUMBER(INDEX(cfg_fac,MATCH(G280,cfg_units,0))),IF(INDEX(cfg_fac,MATCH(G280,cfg_units,0))&gt;0,INDEX(cfg_fac,MATCH(G280,cfg_units,0)),""),""),""))</f>
        <v/>
      </c>
      <c r="V280" s="96">
        <f>IF(AND(ISNUMBER(F280),ISNUMBER(H280)),IF(H280&gt;0,1,0),0)</f>
        <v>0</v>
      </c>
      <c r="W280" s="96" t="str">
        <f>IF(T280=1,INDEX('ITENS_MTR'!$AU$6:$AU$1005,S280)&amp;"","")</f>
        <v/>
      </c>
      <c r="X280" s="96">
        <f>IF(AND(Q280=1,T280=1,I280&lt;&gt;"",W280&lt;&gt;""),IF(I280&lt;&gt;W280,1,0),0)</f>
        <v>0</v>
      </c>
      <c r="Y280" s="96">
        <f>IF(N280=0,0,IF(OR(Q280=0,T280=0,V280=0,AND(X280=1,J280&lt;&gt;"Sim")),1,0))</f>
        <v>0</v>
      </c>
      <c r="Z280" s="96">
        <f>IF(Q280=1,INDEX('CDFs'!$W$6:$W$505,P280),0)</f>
        <v>0</v>
      </c>
      <c r="AA280" s="96">
        <f>IF(AND(N280=1,Y280=0,Z280=1,J280="Sim"),1,0)</f>
        <v>0</v>
      </c>
      <c r="AB280" s="96">
        <f>IF(AND(N280=1,O280&lt;&gt;"",D280&lt;&gt;""),IF(COUNTIFS($O$6:O280,O280,$D$6:D280,D280)=1,1,0),0)</f>
        <v>0</v>
      </c>
      <c r="AC280" s="96">
        <f>IF(T280=1,INDEX('ITENS_MTR'!$AL$6:$AL$1005,S280),0)</f>
        <v>0</v>
      </c>
    </row>
    <row r="281">
      <c r="A281" s="89" t="inlineStr">
        <is>
          <t>VIN-000276</t>
        </is>
      </c>
      <c r="B281" s="91" t="n"/>
      <c r="C281" s="91" t="n"/>
      <c r="D281" s="94" t="str">
        <f>IF(T281=1,INDEX('ITENS_MTR'!$S$6:$S$1005,S281)&amp;"","")</f>
        <v/>
      </c>
      <c r="E281" s="94" t="str">
        <f>IF(T281=1,INDEX('ITENS_MTR'!$C$6:$C$1005,S281)&amp;"","")</f>
        <v/>
      </c>
      <c r="F281" s="98" t="n"/>
      <c r="G281" s="91" t="n"/>
      <c r="H281" s="93" t="str">
        <f>IF(N281=0,"",IF(NOT(ISNUMBER(F281)),"",IF(ISNUMBER(U281),F281*U281,"UNIDADE A CONFERIR")))</f>
        <v/>
      </c>
      <c r="I281" s="94" t="str">
        <f>IF(Q281=1,INDEX('CDFs'!$F$6:$F$505,P281)&amp;"","")</f>
        <v/>
      </c>
      <c r="J281" s="91" t="n"/>
      <c r="K281" s="91" t="n"/>
      <c r="L281" s="94" t="str">
        <f>IF(N281=0,"",IF(NOT(ISNUMBER(F281)),"Quantidade não informada",IF(F281&lt;=0,"Quantidade não positiva",IF(G281="","Unidade não informada",IF(NOT(ISNUMBER(H281)),"Unidade a conferir",IF(AC281=1,"REVISAR VÍNCULO: soma vinculada maior que a referência do item","OK"))))))</f>
        <v/>
      </c>
      <c r="M281" s="94" t="str">
        <f>IF(N281=0,"",IF(B281="","CDF não informado",IF(Q281=0,"REVISAR VÍNCULO: CDF inexistente",IF(C281="","Item não informado",IF(T281=0,"REVISAR VÍNCULO: item inexistente",IF(AND(X281=1,J281&lt;&gt;"Sim"),"REVISAR VÍNCULO: destinador diferente do MTR",IF(X281=1,"Destinador diferente do MTR (analisado)","OK")))))))</f>
        <v/>
      </c>
      <c r="N281" s="96">
        <f>IF(COUNTA(B281:C281,F281:G281,J281:K281)&gt;0,1,0)</f>
        <v>0</v>
      </c>
      <c r="O281" s="96" t="str">
        <f>IF(B281="","",TRIM(LEFT(B281,FIND(" |",B281&amp;" |")-1)))</f>
        <v/>
      </c>
      <c r="P281" s="96" t="str">
        <f>IF(O281="","",IFERROR(MATCH(O281,'CDFs'!$A$6:$A$505,0),""))</f>
        <v/>
      </c>
      <c r="Q281" s="96">
        <f>IF(P281="",0,IF(INDEX('CDFs'!$S$6:$S$505,P281)=1,1,0))</f>
        <v>0</v>
      </c>
      <c r="R281" s="96" t="str">
        <f>IF(C281="","",TRIM(LEFT(C281,FIND(" |",C281&amp;" |")-1)))</f>
        <v/>
      </c>
      <c r="S281" s="96" t="str">
        <f>IF(R281="","",IFERROR(MATCH(R281,'ITENS_MTR'!$A$6:$A$1005,0),""))</f>
        <v/>
      </c>
      <c r="T281" s="96">
        <f>IF(S281="",0,IF(INDEX('ITENS_MTR'!$R$6:$R$1005,S281)=1,1,0))</f>
        <v>0</v>
      </c>
      <c r="U281" s="96" t="str">
        <f>IF(G281="","",IFERROR(IF(ISNUMBER(INDEX(cfg_fac,MATCH(G281,cfg_units,0))),IF(INDEX(cfg_fac,MATCH(G281,cfg_units,0))&gt;0,INDEX(cfg_fac,MATCH(G281,cfg_units,0)),""),""),""))</f>
        <v/>
      </c>
      <c r="V281" s="96">
        <f>IF(AND(ISNUMBER(F281),ISNUMBER(H281)),IF(H281&gt;0,1,0),0)</f>
        <v>0</v>
      </c>
      <c r="W281" s="96" t="str">
        <f>IF(T281=1,INDEX('ITENS_MTR'!$AU$6:$AU$1005,S281)&amp;"","")</f>
        <v/>
      </c>
      <c r="X281" s="96">
        <f>IF(AND(Q281=1,T281=1,I281&lt;&gt;"",W281&lt;&gt;""),IF(I281&lt;&gt;W281,1,0),0)</f>
        <v>0</v>
      </c>
      <c r="Y281" s="96">
        <f>IF(N281=0,0,IF(OR(Q281=0,T281=0,V281=0,AND(X281=1,J281&lt;&gt;"Sim")),1,0))</f>
        <v>0</v>
      </c>
      <c r="Z281" s="96">
        <f>IF(Q281=1,INDEX('CDFs'!$W$6:$W$505,P281),0)</f>
        <v>0</v>
      </c>
      <c r="AA281" s="96">
        <f>IF(AND(N281=1,Y281=0,Z281=1,J281="Sim"),1,0)</f>
        <v>0</v>
      </c>
      <c r="AB281" s="96">
        <f>IF(AND(N281=1,O281&lt;&gt;"",D281&lt;&gt;""),IF(COUNTIFS($O$6:O281,O281,$D$6:D281,D281)=1,1,0),0)</f>
        <v>0</v>
      </c>
      <c r="AC281" s="96">
        <f>IF(T281=1,INDEX('ITENS_MTR'!$AL$6:$AL$1005,S281),0)</f>
        <v>0</v>
      </c>
    </row>
    <row r="282">
      <c r="A282" s="89" t="inlineStr">
        <is>
          <t>VIN-000277</t>
        </is>
      </c>
      <c r="B282" s="91" t="n"/>
      <c r="C282" s="91" t="n"/>
      <c r="D282" s="94" t="str">
        <f>IF(T282=1,INDEX('ITENS_MTR'!$S$6:$S$1005,S282)&amp;"","")</f>
        <v/>
      </c>
      <c r="E282" s="94" t="str">
        <f>IF(T282=1,INDEX('ITENS_MTR'!$C$6:$C$1005,S282)&amp;"","")</f>
        <v/>
      </c>
      <c r="F282" s="98" t="n"/>
      <c r="G282" s="91" t="n"/>
      <c r="H282" s="93" t="str">
        <f>IF(N282=0,"",IF(NOT(ISNUMBER(F282)),"",IF(ISNUMBER(U282),F282*U282,"UNIDADE A CONFERIR")))</f>
        <v/>
      </c>
      <c r="I282" s="94" t="str">
        <f>IF(Q282=1,INDEX('CDFs'!$F$6:$F$505,P282)&amp;"","")</f>
        <v/>
      </c>
      <c r="J282" s="91" t="n"/>
      <c r="K282" s="91" t="n"/>
      <c r="L282" s="94" t="str">
        <f>IF(N282=0,"",IF(NOT(ISNUMBER(F282)),"Quantidade não informada",IF(F282&lt;=0,"Quantidade não positiva",IF(G282="","Unidade não informada",IF(NOT(ISNUMBER(H282)),"Unidade a conferir",IF(AC282=1,"REVISAR VÍNCULO: soma vinculada maior que a referência do item","OK"))))))</f>
        <v/>
      </c>
      <c r="M282" s="94" t="str">
        <f>IF(N282=0,"",IF(B282="","CDF não informado",IF(Q282=0,"REVISAR VÍNCULO: CDF inexistente",IF(C282="","Item não informado",IF(T282=0,"REVISAR VÍNCULO: item inexistente",IF(AND(X282=1,J282&lt;&gt;"Sim"),"REVISAR VÍNCULO: destinador diferente do MTR",IF(X282=1,"Destinador diferente do MTR (analisado)","OK")))))))</f>
        <v/>
      </c>
      <c r="N282" s="96">
        <f>IF(COUNTA(B282:C282,F282:G282,J282:K282)&gt;0,1,0)</f>
        <v>0</v>
      </c>
      <c r="O282" s="96" t="str">
        <f>IF(B282="","",TRIM(LEFT(B282,FIND(" |",B282&amp;" |")-1)))</f>
        <v/>
      </c>
      <c r="P282" s="96" t="str">
        <f>IF(O282="","",IFERROR(MATCH(O282,'CDFs'!$A$6:$A$505,0),""))</f>
        <v/>
      </c>
      <c r="Q282" s="96">
        <f>IF(P282="",0,IF(INDEX('CDFs'!$S$6:$S$505,P282)=1,1,0))</f>
        <v>0</v>
      </c>
      <c r="R282" s="96" t="str">
        <f>IF(C282="","",TRIM(LEFT(C282,FIND(" |",C282&amp;" |")-1)))</f>
        <v/>
      </c>
      <c r="S282" s="96" t="str">
        <f>IF(R282="","",IFERROR(MATCH(R282,'ITENS_MTR'!$A$6:$A$1005,0),""))</f>
        <v/>
      </c>
      <c r="T282" s="96">
        <f>IF(S282="",0,IF(INDEX('ITENS_MTR'!$R$6:$R$1005,S282)=1,1,0))</f>
        <v>0</v>
      </c>
      <c r="U282" s="96" t="str">
        <f>IF(G282="","",IFERROR(IF(ISNUMBER(INDEX(cfg_fac,MATCH(G282,cfg_units,0))),IF(INDEX(cfg_fac,MATCH(G282,cfg_units,0))&gt;0,INDEX(cfg_fac,MATCH(G282,cfg_units,0)),""),""),""))</f>
        <v/>
      </c>
      <c r="V282" s="96">
        <f>IF(AND(ISNUMBER(F282),ISNUMBER(H282)),IF(H282&gt;0,1,0),0)</f>
        <v>0</v>
      </c>
      <c r="W282" s="96" t="str">
        <f>IF(T282=1,INDEX('ITENS_MTR'!$AU$6:$AU$1005,S282)&amp;"","")</f>
        <v/>
      </c>
      <c r="X282" s="96">
        <f>IF(AND(Q282=1,T282=1,I282&lt;&gt;"",W282&lt;&gt;""),IF(I282&lt;&gt;W282,1,0),0)</f>
        <v>0</v>
      </c>
      <c r="Y282" s="96">
        <f>IF(N282=0,0,IF(OR(Q282=0,T282=0,V282=0,AND(X282=1,J282&lt;&gt;"Sim")),1,0))</f>
        <v>0</v>
      </c>
      <c r="Z282" s="96">
        <f>IF(Q282=1,INDEX('CDFs'!$W$6:$W$505,P282),0)</f>
        <v>0</v>
      </c>
      <c r="AA282" s="96">
        <f>IF(AND(N282=1,Y282=0,Z282=1,J282="Sim"),1,0)</f>
        <v>0</v>
      </c>
      <c r="AB282" s="96">
        <f>IF(AND(N282=1,O282&lt;&gt;"",D282&lt;&gt;""),IF(COUNTIFS($O$6:O282,O282,$D$6:D282,D282)=1,1,0),0)</f>
        <v>0</v>
      </c>
      <c r="AC282" s="96">
        <f>IF(T282=1,INDEX('ITENS_MTR'!$AL$6:$AL$1005,S282),0)</f>
        <v>0</v>
      </c>
    </row>
    <row r="283">
      <c r="A283" s="89" t="inlineStr">
        <is>
          <t>VIN-000278</t>
        </is>
      </c>
      <c r="B283" s="91" t="n"/>
      <c r="C283" s="91" t="n"/>
      <c r="D283" s="94" t="str">
        <f>IF(T283=1,INDEX('ITENS_MTR'!$S$6:$S$1005,S283)&amp;"","")</f>
        <v/>
      </c>
      <c r="E283" s="94" t="str">
        <f>IF(T283=1,INDEX('ITENS_MTR'!$C$6:$C$1005,S283)&amp;"","")</f>
        <v/>
      </c>
      <c r="F283" s="98" t="n"/>
      <c r="G283" s="91" t="n"/>
      <c r="H283" s="93" t="str">
        <f>IF(N283=0,"",IF(NOT(ISNUMBER(F283)),"",IF(ISNUMBER(U283),F283*U283,"UNIDADE A CONFERIR")))</f>
        <v/>
      </c>
      <c r="I283" s="94" t="str">
        <f>IF(Q283=1,INDEX('CDFs'!$F$6:$F$505,P283)&amp;"","")</f>
        <v/>
      </c>
      <c r="J283" s="91" t="n"/>
      <c r="K283" s="91" t="n"/>
      <c r="L283" s="94" t="str">
        <f>IF(N283=0,"",IF(NOT(ISNUMBER(F283)),"Quantidade não informada",IF(F283&lt;=0,"Quantidade não positiva",IF(G283="","Unidade não informada",IF(NOT(ISNUMBER(H283)),"Unidade a conferir",IF(AC283=1,"REVISAR VÍNCULO: soma vinculada maior que a referência do item","OK"))))))</f>
        <v/>
      </c>
      <c r="M283" s="94" t="str">
        <f>IF(N283=0,"",IF(B283="","CDF não informado",IF(Q283=0,"REVISAR VÍNCULO: CDF inexistente",IF(C283="","Item não informado",IF(T283=0,"REVISAR VÍNCULO: item inexistente",IF(AND(X283=1,J283&lt;&gt;"Sim"),"REVISAR VÍNCULO: destinador diferente do MTR",IF(X283=1,"Destinador diferente do MTR (analisado)","OK")))))))</f>
        <v/>
      </c>
      <c r="N283" s="96">
        <f>IF(COUNTA(B283:C283,F283:G283,J283:K283)&gt;0,1,0)</f>
        <v>0</v>
      </c>
      <c r="O283" s="96" t="str">
        <f>IF(B283="","",TRIM(LEFT(B283,FIND(" |",B283&amp;" |")-1)))</f>
        <v/>
      </c>
      <c r="P283" s="96" t="str">
        <f>IF(O283="","",IFERROR(MATCH(O283,'CDFs'!$A$6:$A$505,0),""))</f>
        <v/>
      </c>
      <c r="Q283" s="96">
        <f>IF(P283="",0,IF(INDEX('CDFs'!$S$6:$S$505,P283)=1,1,0))</f>
        <v>0</v>
      </c>
      <c r="R283" s="96" t="str">
        <f>IF(C283="","",TRIM(LEFT(C283,FIND(" |",C283&amp;" |")-1)))</f>
        <v/>
      </c>
      <c r="S283" s="96" t="str">
        <f>IF(R283="","",IFERROR(MATCH(R283,'ITENS_MTR'!$A$6:$A$1005,0),""))</f>
        <v/>
      </c>
      <c r="T283" s="96">
        <f>IF(S283="",0,IF(INDEX('ITENS_MTR'!$R$6:$R$1005,S283)=1,1,0))</f>
        <v>0</v>
      </c>
      <c r="U283" s="96" t="str">
        <f>IF(G283="","",IFERROR(IF(ISNUMBER(INDEX(cfg_fac,MATCH(G283,cfg_units,0))),IF(INDEX(cfg_fac,MATCH(G283,cfg_units,0))&gt;0,INDEX(cfg_fac,MATCH(G283,cfg_units,0)),""),""),""))</f>
        <v/>
      </c>
      <c r="V283" s="96">
        <f>IF(AND(ISNUMBER(F283),ISNUMBER(H283)),IF(H283&gt;0,1,0),0)</f>
        <v>0</v>
      </c>
      <c r="W283" s="96" t="str">
        <f>IF(T283=1,INDEX('ITENS_MTR'!$AU$6:$AU$1005,S283)&amp;"","")</f>
        <v/>
      </c>
      <c r="X283" s="96">
        <f>IF(AND(Q283=1,T283=1,I283&lt;&gt;"",W283&lt;&gt;""),IF(I283&lt;&gt;W283,1,0),0)</f>
        <v>0</v>
      </c>
      <c r="Y283" s="96">
        <f>IF(N283=0,0,IF(OR(Q283=0,T283=0,V283=0,AND(X283=1,J283&lt;&gt;"Sim")),1,0))</f>
        <v>0</v>
      </c>
      <c r="Z283" s="96">
        <f>IF(Q283=1,INDEX('CDFs'!$W$6:$W$505,P283),0)</f>
        <v>0</v>
      </c>
      <c r="AA283" s="96">
        <f>IF(AND(N283=1,Y283=0,Z283=1,J283="Sim"),1,0)</f>
        <v>0</v>
      </c>
      <c r="AB283" s="96">
        <f>IF(AND(N283=1,O283&lt;&gt;"",D283&lt;&gt;""),IF(COUNTIFS($O$6:O283,O283,$D$6:D283,D283)=1,1,0),0)</f>
        <v>0</v>
      </c>
      <c r="AC283" s="96">
        <f>IF(T283=1,INDEX('ITENS_MTR'!$AL$6:$AL$1005,S283),0)</f>
        <v>0</v>
      </c>
    </row>
    <row r="284">
      <c r="A284" s="89" t="inlineStr">
        <is>
          <t>VIN-000279</t>
        </is>
      </c>
      <c r="B284" s="91" t="n"/>
      <c r="C284" s="91" t="n"/>
      <c r="D284" s="94" t="str">
        <f>IF(T284=1,INDEX('ITENS_MTR'!$S$6:$S$1005,S284)&amp;"","")</f>
        <v/>
      </c>
      <c r="E284" s="94" t="str">
        <f>IF(T284=1,INDEX('ITENS_MTR'!$C$6:$C$1005,S284)&amp;"","")</f>
        <v/>
      </c>
      <c r="F284" s="98" t="n"/>
      <c r="G284" s="91" t="n"/>
      <c r="H284" s="93" t="str">
        <f>IF(N284=0,"",IF(NOT(ISNUMBER(F284)),"",IF(ISNUMBER(U284),F284*U284,"UNIDADE A CONFERIR")))</f>
        <v/>
      </c>
      <c r="I284" s="94" t="str">
        <f>IF(Q284=1,INDEX('CDFs'!$F$6:$F$505,P284)&amp;"","")</f>
        <v/>
      </c>
      <c r="J284" s="91" t="n"/>
      <c r="K284" s="91" t="n"/>
      <c r="L284" s="94" t="str">
        <f>IF(N284=0,"",IF(NOT(ISNUMBER(F284)),"Quantidade não informada",IF(F284&lt;=0,"Quantidade não positiva",IF(G284="","Unidade não informada",IF(NOT(ISNUMBER(H284)),"Unidade a conferir",IF(AC284=1,"REVISAR VÍNCULO: soma vinculada maior que a referência do item","OK"))))))</f>
        <v/>
      </c>
      <c r="M284" s="94" t="str">
        <f>IF(N284=0,"",IF(B284="","CDF não informado",IF(Q284=0,"REVISAR VÍNCULO: CDF inexistente",IF(C284="","Item não informado",IF(T284=0,"REVISAR VÍNCULO: item inexistente",IF(AND(X284=1,J284&lt;&gt;"Sim"),"REVISAR VÍNCULO: destinador diferente do MTR",IF(X284=1,"Destinador diferente do MTR (analisado)","OK")))))))</f>
        <v/>
      </c>
      <c r="N284" s="96">
        <f>IF(COUNTA(B284:C284,F284:G284,J284:K284)&gt;0,1,0)</f>
        <v>0</v>
      </c>
      <c r="O284" s="96" t="str">
        <f>IF(B284="","",TRIM(LEFT(B284,FIND(" |",B284&amp;" |")-1)))</f>
        <v/>
      </c>
      <c r="P284" s="96" t="str">
        <f>IF(O284="","",IFERROR(MATCH(O284,'CDFs'!$A$6:$A$505,0),""))</f>
        <v/>
      </c>
      <c r="Q284" s="96">
        <f>IF(P284="",0,IF(INDEX('CDFs'!$S$6:$S$505,P284)=1,1,0))</f>
        <v>0</v>
      </c>
      <c r="R284" s="96" t="str">
        <f>IF(C284="","",TRIM(LEFT(C284,FIND(" |",C284&amp;" |")-1)))</f>
        <v/>
      </c>
      <c r="S284" s="96" t="str">
        <f>IF(R284="","",IFERROR(MATCH(R284,'ITENS_MTR'!$A$6:$A$1005,0),""))</f>
        <v/>
      </c>
      <c r="T284" s="96">
        <f>IF(S284="",0,IF(INDEX('ITENS_MTR'!$R$6:$R$1005,S284)=1,1,0))</f>
        <v>0</v>
      </c>
      <c r="U284" s="96" t="str">
        <f>IF(G284="","",IFERROR(IF(ISNUMBER(INDEX(cfg_fac,MATCH(G284,cfg_units,0))),IF(INDEX(cfg_fac,MATCH(G284,cfg_units,0))&gt;0,INDEX(cfg_fac,MATCH(G284,cfg_units,0)),""),""),""))</f>
        <v/>
      </c>
      <c r="V284" s="96">
        <f>IF(AND(ISNUMBER(F284),ISNUMBER(H284)),IF(H284&gt;0,1,0),0)</f>
        <v>0</v>
      </c>
      <c r="W284" s="96" t="str">
        <f>IF(T284=1,INDEX('ITENS_MTR'!$AU$6:$AU$1005,S284)&amp;"","")</f>
        <v/>
      </c>
      <c r="X284" s="96">
        <f>IF(AND(Q284=1,T284=1,I284&lt;&gt;"",W284&lt;&gt;""),IF(I284&lt;&gt;W284,1,0),0)</f>
        <v>0</v>
      </c>
      <c r="Y284" s="96">
        <f>IF(N284=0,0,IF(OR(Q284=0,T284=0,V284=0,AND(X284=1,J284&lt;&gt;"Sim")),1,0))</f>
        <v>0</v>
      </c>
      <c r="Z284" s="96">
        <f>IF(Q284=1,INDEX('CDFs'!$W$6:$W$505,P284),0)</f>
        <v>0</v>
      </c>
      <c r="AA284" s="96">
        <f>IF(AND(N284=1,Y284=0,Z284=1,J284="Sim"),1,0)</f>
        <v>0</v>
      </c>
      <c r="AB284" s="96">
        <f>IF(AND(N284=1,O284&lt;&gt;"",D284&lt;&gt;""),IF(COUNTIFS($O$6:O284,O284,$D$6:D284,D284)=1,1,0),0)</f>
        <v>0</v>
      </c>
      <c r="AC284" s="96">
        <f>IF(T284=1,INDEX('ITENS_MTR'!$AL$6:$AL$1005,S284),0)</f>
        <v>0</v>
      </c>
    </row>
    <row r="285">
      <c r="A285" s="89" t="inlineStr">
        <is>
          <t>VIN-000280</t>
        </is>
      </c>
      <c r="B285" s="91" t="n"/>
      <c r="C285" s="91" t="n"/>
      <c r="D285" s="94" t="str">
        <f>IF(T285=1,INDEX('ITENS_MTR'!$S$6:$S$1005,S285)&amp;"","")</f>
        <v/>
      </c>
      <c r="E285" s="94" t="str">
        <f>IF(T285=1,INDEX('ITENS_MTR'!$C$6:$C$1005,S285)&amp;"","")</f>
        <v/>
      </c>
      <c r="F285" s="98" t="n"/>
      <c r="G285" s="91" t="n"/>
      <c r="H285" s="93" t="str">
        <f>IF(N285=0,"",IF(NOT(ISNUMBER(F285)),"",IF(ISNUMBER(U285),F285*U285,"UNIDADE A CONFERIR")))</f>
        <v/>
      </c>
      <c r="I285" s="94" t="str">
        <f>IF(Q285=1,INDEX('CDFs'!$F$6:$F$505,P285)&amp;"","")</f>
        <v/>
      </c>
      <c r="J285" s="91" t="n"/>
      <c r="K285" s="91" t="n"/>
      <c r="L285" s="94" t="str">
        <f>IF(N285=0,"",IF(NOT(ISNUMBER(F285)),"Quantidade não informada",IF(F285&lt;=0,"Quantidade não positiva",IF(G285="","Unidade não informada",IF(NOT(ISNUMBER(H285)),"Unidade a conferir",IF(AC285=1,"REVISAR VÍNCULO: soma vinculada maior que a referência do item","OK"))))))</f>
        <v/>
      </c>
      <c r="M285" s="94" t="str">
        <f>IF(N285=0,"",IF(B285="","CDF não informado",IF(Q285=0,"REVISAR VÍNCULO: CDF inexistente",IF(C285="","Item não informado",IF(T285=0,"REVISAR VÍNCULO: item inexistente",IF(AND(X285=1,J285&lt;&gt;"Sim"),"REVISAR VÍNCULO: destinador diferente do MTR",IF(X285=1,"Destinador diferente do MTR (analisado)","OK")))))))</f>
        <v/>
      </c>
      <c r="N285" s="96">
        <f>IF(COUNTA(B285:C285,F285:G285,J285:K285)&gt;0,1,0)</f>
        <v>0</v>
      </c>
      <c r="O285" s="96" t="str">
        <f>IF(B285="","",TRIM(LEFT(B285,FIND(" |",B285&amp;" |")-1)))</f>
        <v/>
      </c>
      <c r="P285" s="96" t="str">
        <f>IF(O285="","",IFERROR(MATCH(O285,'CDFs'!$A$6:$A$505,0),""))</f>
        <v/>
      </c>
      <c r="Q285" s="96">
        <f>IF(P285="",0,IF(INDEX('CDFs'!$S$6:$S$505,P285)=1,1,0))</f>
        <v>0</v>
      </c>
      <c r="R285" s="96" t="str">
        <f>IF(C285="","",TRIM(LEFT(C285,FIND(" |",C285&amp;" |")-1)))</f>
        <v/>
      </c>
      <c r="S285" s="96" t="str">
        <f>IF(R285="","",IFERROR(MATCH(R285,'ITENS_MTR'!$A$6:$A$1005,0),""))</f>
        <v/>
      </c>
      <c r="T285" s="96">
        <f>IF(S285="",0,IF(INDEX('ITENS_MTR'!$R$6:$R$1005,S285)=1,1,0))</f>
        <v>0</v>
      </c>
      <c r="U285" s="96" t="str">
        <f>IF(G285="","",IFERROR(IF(ISNUMBER(INDEX(cfg_fac,MATCH(G285,cfg_units,0))),IF(INDEX(cfg_fac,MATCH(G285,cfg_units,0))&gt;0,INDEX(cfg_fac,MATCH(G285,cfg_units,0)),""),""),""))</f>
        <v/>
      </c>
      <c r="V285" s="96">
        <f>IF(AND(ISNUMBER(F285),ISNUMBER(H285)),IF(H285&gt;0,1,0),0)</f>
        <v>0</v>
      </c>
      <c r="W285" s="96" t="str">
        <f>IF(T285=1,INDEX('ITENS_MTR'!$AU$6:$AU$1005,S285)&amp;"","")</f>
        <v/>
      </c>
      <c r="X285" s="96">
        <f>IF(AND(Q285=1,T285=1,I285&lt;&gt;"",W285&lt;&gt;""),IF(I285&lt;&gt;W285,1,0),0)</f>
        <v>0</v>
      </c>
      <c r="Y285" s="96">
        <f>IF(N285=0,0,IF(OR(Q285=0,T285=0,V285=0,AND(X285=1,J285&lt;&gt;"Sim")),1,0))</f>
        <v>0</v>
      </c>
      <c r="Z285" s="96">
        <f>IF(Q285=1,INDEX('CDFs'!$W$6:$W$505,P285),0)</f>
        <v>0</v>
      </c>
      <c r="AA285" s="96">
        <f>IF(AND(N285=1,Y285=0,Z285=1,J285="Sim"),1,0)</f>
        <v>0</v>
      </c>
      <c r="AB285" s="96">
        <f>IF(AND(N285=1,O285&lt;&gt;"",D285&lt;&gt;""),IF(COUNTIFS($O$6:O285,O285,$D$6:D285,D285)=1,1,0),0)</f>
        <v>0</v>
      </c>
      <c r="AC285" s="96">
        <f>IF(T285=1,INDEX('ITENS_MTR'!$AL$6:$AL$1005,S285),0)</f>
        <v>0</v>
      </c>
    </row>
    <row r="286">
      <c r="A286" s="89" t="inlineStr">
        <is>
          <t>VIN-000281</t>
        </is>
      </c>
      <c r="B286" s="91" t="n"/>
      <c r="C286" s="91" t="n"/>
      <c r="D286" s="94" t="str">
        <f>IF(T286=1,INDEX('ITENS_MTR'!$S$6:$S$1005,S286)&amp;"","")</f>
        <v/>
      </c>
      <c r="E286" s="94" t="str">
        <f>IF(T286=1,INDEX('ITENS_MTR'!$C$6:$C$1005,S286)&amp;"","")</f>
        <v/>
      </c>
      <c r="F286" s="98" t="n"/>
      <c r="G286" s="91" t="n"/>
      <c r="H286" s="93" t="str">
        <f>IF(N286=0,"",IF(NOT(ISNUMBER(F286)),"",IF(ISNUMBER(U286),F286*U286,"UNIDADE A CONFERIR")))</f>
        <v/>
      </c>
      <c r="I286" s="94" t="str">
        <f>IF(Q286=1,INDEX('CDFs'!$F$6:$F$505,P286)&amp;"","")</f>
        <v/>
      </c>
      <c r="J286" s="91" t="n"/>
      <c r="K286" s="91" t="n"/>
      <c r="L286" s="94" t="str">
        <f>IF(N286=0,"",IF(NOT(ISNUMBER(F286)),"Quantidade não informada",IF(F286&lt;=0,"Quantidade não positiva",IF(G286="","Unidade não informada",IF(NOT(ISNUMBER(H286)),"Unidade a conferir",IF(AC286=1,"REVISAR VÍNCULO: soma vinculada maior que a referência do item","OK"))))))</f>
        <v/>
      </c>
      <c r="M286" s="94" t="str">
        <f>IF(N286=0,"",IF(B286="","CDF não informado",IF(Q286=0,"REVISAR VÍNCULO: CDF inexistente",IF(C286="","Item não informado",IF(T286=0,"REVISAR VÍNCULO: item inexistente",IF(AND(X286=1,J286&lt;&gt;"Sim"),"REVISAR VÍNCULO: destinador diferente do MTR",IF(X286=1,"Destinador diferente do MTR (analisado)","OK")))))))</f>
        <v/>
      </c>
      <c r="N286" s="96">
        <f>IF(COUNTA(B286:C286,F286:G286,J286:K286)&gt;0,1,0)</f>
        <v>0</v>
      </c>
      <c r="O286" s="96" t="str">
        <f>IF(B286="","",TRIM(LEFT(B286,FIND(" |",B286&amp;" |")-1)))</f>
        <v/>
      </c>
      <c r="P286" s="96" t="str">
        <f>IF(O286="","",IFERROR(MATCH(O286,'CDFs'!$A$6:$A$505,0),""))</f>
        <v/>
      </c>
      <c r="Q286" s="96">
        <f>IF(P286="",0,IF(INDEX('CDFs'!$S$6:$S$505,P286)=1,1,0))</f>
        <v>0</v>
      </c>
      <c r="R286" s="96" t="str">
        <f>IF(C286="","",TRIM(LEFT(C286,FIND(" |",C286&amp;" |")-1)))</f>
        <v/>
      </c>
      <c r="S286" s="96" t="str">
        <f>IF(R286="","",IFERROR(MATCH(R286,'ITENS_MTR'!$A$6:$A$1005,0),""))</f>
        <v/>
      </c>
      <c r="T286" s="96">
        <f>IF(S286="",0,IF(INDEX('ITENS_MTR'!$R$6:$R$1005,S286)=1,1,0))</f>
        <v>0</v>
      </c>
      <c r="U286" s="96" t="str">
        <f>IF(G286="","",IFERROR(IF(ISNUMBER(INDEX(cfg_fac,MATCH(G286,cfg_units,0))),IF(INDEX(cfg_fac,MATCH(G286,cfg_units,0))&gt;0,INDEX(cfg_fac,MATCH(G286,cfg_units,0)),""),""),""))</f>
        <v/>
      </c>
      <c r="V286" s="96">
        <f>IF(AND(ISNUMBER(F286),ISNUMBER(H286)),IF(H286&gt;0,1,0),0)</f>
        <v>0</v>
      </c>
      <c r="W286" s="96" t="str">
        <f>IF(T286=1,INDEX('ITENS_MTR'!$AU$6:$AU$1005,S286)&amp;"","")</f>
        <v/>
      </c>
      <c r="X286" s="96">
        <f>IF(AND(Q286=1,T286=1,I286&lt;&gt;"",W286&lt;&gt;""),IF(I286&lt;&gt;W286,1,0),0)</f>
        <v>0</v>
      </c>
      <c r="Y286" s="96">
        <f>IF(N286=0,0,IF(OR(Q286=0,T286=0,V286=0,AND(X286=1,J286&lt;&gt;"Sim")),1,0))</f>
        <v>0</v>
      </c>
      <c r="Z286" s="96">
        <f>IF(Q286=1,INDEX('CDFs'!$W$6:$W$505,P286),0)</f>
        <v>0</v>
      </c>
      <c r="AA286" s="96">
        <f>IF(AND(N286=1,Y286=0,Z286=1,J286="Sim"),1,0)</f>
        <v>0</v>
      </c>
      <c r="AB286" s="96">
        <f>IF(AND(N286=1,O286&lt;&gt;"",D286&lt;&gt;""),IF(COUNTIFS($O$6:O286,O286,$D$6:D286,D286)=1,1,0),0)</f>
        <v>0</v>
      </c>
      <c r="AC286" s="96">
        <f>IF(T286=1,INDEX('ITENS_MTR'!$AL$6:$AL$1005,S286),0)</f>
        <v>0</v>
      </c>
    </row>
    <row r="287">
      <c r="A287" s="89" t="inlineStr">
        <is>
          <t>VIN-000282</t>
        </is>
      </c>
      <c r="B287" s="91" t="n"/>
      <c r="C287" s="91" t="n"/>
      <c r="D287" s="94" t="str">
        <f>IF(T287=1,INDEX('ITENS_MTR'!$S$6:$S$1005,S287)&amp;"","")</f>
        <v/>
      </c>
      <c r="E287" s="94" t="str">
        <f>IF(T287=1,INDEX('ITENS_MTR'!$C$6:$C$1005,S287)&amp;"","")</f>
        <v/>
      </c>
      <c r="F287" s="98" t="n"/>
      <c r="G287" s="91" t="n"/>
      <c r="H287" s="93" t="str">
        <f>IF(N287=0,"",IF(NOT(ISNUMBER(F287)),"",IF(ISNUMBER(U287),F287*U287,"UNIDADE A CONFERIR")))</f>
        <v/>
      </c>
      <c r="I287" s="94" t="str">
        <f>IF(Q287=1,INDEX('CDFs'!$F$6:$F$505,P287)&amp;"","")</f>
        <v/>
      </c>
      <c r="J287" s="91" t="n"/>
      <c r="K287" s="91" t="n"/>
      <c r="L287" s="94" t="str">
        <f>IF(N287=0,"",IF(NOT(ISNUMBER(F287)),"Quantidade não informada",IF(F287&lt;=0,"Quantidade não positiva",IF(G287="","Unidade não informada",IF(NOT(ISNUMBER(H287)),"Unidade a conferir",IF(AC287=1,"REVISAR VÍNCULO: soma vinculada maior que a referência do item","OK"))))))</f>
        <v/>
      </c>
      <c r="M287" s="94" t="str">
        <f>IF(N287=0,"",IF(B287="","CDF não informado",IF(Q287=0,"REVISAR VÍNCULO: CDF inexistente",IF(C287="","Item não informado",IF(T287=0,"REVISAR VÍNCULO: item inexistente",IF(AND(X287=1,J287&lt;&gt;"Sim"),"REVISAR VÍNCULO: destinador diferente do MTR",IF(X287=1,"Destinador diferente do MTR (analisado)","OK")))))))</f>
        <v/>
      </c>
      <c r="N287" s="96">
        <f>IF(COUNTA(B287:C287,F287:G287,J287:K287)&gt;0,1,0)</f>
        <v>0</v>
      </c>
      <c r="O287" s="96" t="str">
        <f>IF(B287="","",TRIM(LEFT(B287,FIND(" |",B287&amp;" |")-1)))</f>
        <v/>
      </c>
      <c r="P287" s="96" t="str">
        <f>IF(O287="","",IFERROR(MATCH(O287,'CDFs'!$A$6:$A$505,0),""))</f>
        <v/>
      </c>
      <c r="Q287" s="96">
        <f>IF(P287="",0,IF(INDEX('CDFs'!$S$6:$S$505,P287)=1,1,0))</f>
        <v>0</v>
      </c>
      <c r="R287" s="96" t="str">
        <f>IF(C287="","",TRIM(LEFT(C287,FIND(" |",C287&amp;" |")-1)))</f>
        <v/>
      </c>
      <c r="S287" s="96" t="str">
        <f>IF(R287="","",IFERROR(MATCH(R287,'ITENS_MTR'!$A$6:$A$1005,0),""))</f>
        <v/>
      </c>
      <c r="T287" s="96">
        <f>IF(S287="",0,IF(INDEX('ITENS_MTR'!$R$6:$R$1005,S287)=1,1,0))</f>
        <v>0</v>
      </c>
      <c r="U287" s="96" t="str">
        <f>IF(G287="","",IFERROR(IF(ISNUMBER(INDEX(cfg_fac,MATCH(G287,cfg_units,0))),IF(INDEX(cfg_fac,MATCH(G287,cfg_units,0))&gt;0,INDEX(cfg_fac,MATCH(G287,cfg_units,0)),""),""),""))</f>
        <v/>
      </c>
      <c r="V287" s="96">
        <f>IF(AND(ISNUMBER(F287),ISNUMBER(H287)),IF(H287&gt;0,1,0),0)</f>
        <v>0</v>
      </c>
      <c r="W287" s="96" t="str">
        <f>IF(T287=1,INDEX('ITENS_MTR'!$AU$6:$AU$1005,S287)&amp;"","")</f>
        <v/>
      </c>
      <c r="X287" s="96">
        <f>IF(AND(Q287=1,T287=1,I287&lt;&gt;"",W287&lt;&gt;""),IF(I287&lt;&gt;W287,1,0),0)</f>
        <v>0</v>
      </c>
      <c r="Y287" s="96">
        <f>IF(N287=0,0,IF(OR(Q287=0,T287=0,V287=0,AND(X287=1,J287&lt;&gt;"Sim")),1,0))</f>
        <v>0</v>
      </c>
      <c r="Z287" s="96">
        <f>IF(Q287=1,INDEX('CDFs'!$W$6:$W$505,P287),0)</f>
        <v>0</v>
      </c>
      <c r="AA287" s="96">
        <f>IF(AND(N287=1,Y287=0,Z287=1,J287="Sim"),1,0)</f>
        <v>0</v>
      </c>
      <c r="AB287" s="96">
        <f>IF(AND(N287=1,O287&lt;&gt;"",D287&lt;&gt;""),IF(COUNTIFS($O$6:O287,O287,$D$6:D287,D287)=1,1,0),0)</f>
        <v>0</v>
      </c>
      <c r="AC287" s="96">
        <f>IF(T287=1,INDEX('ITENS_MTR'!$AL$6:$AL$1005,S287),0)</f>
        <v>0</v>
      </c>
    </row>
    <row r="288">
      <c r="A288" s="89" t="inlineStr">
        <is>
          <t>VIN-000283</t>
        </is>
      </c>
      <c r="B288" s="91" t="n"/>
      <c r="C288" s="91" t="n"/>
      <c r="D288" s="94" t="str">
        <f>IF(T288=1,INDEX('ITENS_MTR'!$S$6:$S$1005,S288)&amp;"","")</f>
        <v/>
      </c>
      <c r="E288" s="94" t="str">
        <f>IF(T288=1,INDEX('ITENS_MTR'!$C$6:$C$1005,S288)&amp;"","")</f>
        <v/>
      </c>
      <c r="F288" s="98" t="n"/>
      <c r="G288" s="91" t="n"/>
      <c r="H288" s="93" t="str">
        <f>IF(N288=0,"",IF(NOT(ISNUMBER(F288)),"",IF(ISNUMBER(U288),F288*U288,"UNIDADE A CONFERIR")))</f>
        <v/>
      </c>
      <c r="I288" s="94" t="str">
        <f>IF(Q288=1,INDEX('CDFs'!$F$6:$F$505,P288)&amp;"","")</f>
        <v/>
      </c>
      <c r="J288" s="91" t="n"/>
      <c r="K288" s="91" t="n"/>
      <c r="L288" s="94" t="str">
        <f>IF(N288=0,"",IF(NOT(ISNUMBER(F288)),"Quantidade não informada",IF(F288&lt;=0,"Quantidade não positiva",IF(G288="","Unidade não informada",IF(NOT(ISNUMBER(H288)),"Unidade a conferir",IF(AC288=1,"REVISAR VÍNCULO: soma vinculada maior que a referência do item","OK"))))))</f>
        <v/>
      </c>
      <c r="M288" s="94" t="str">
        <f>IF(N288=0,"",IF(B288="","CDF não informado",IF(Q288=0,"REVISAR VÍNCULO: CDF inexistente",IF(C288="","Item não informado",IF(T288=0,"REVISAR VÍNCULO: item inexistente",IF(AND(X288=1,J288&lt;&gt;"Sim"),"REVISAR VÍNCULO: destinador diferente do MTR",IF(X288=1,"Destinador diferente do MTR (analisado)","OK")))))))</f>
        <v/>
      </c>
      <c r="N288" s="96">
        <f>IF(COUNTA(B288:C288,F288:G288,J288:K288)&gt;0,1,0)</f>
        <v>0</v>
      </c>
      <c r="O288" s="96" t="str">
        <f>IF(B288="","",TRIM(LEFT(B288,FIND(" |",B288&amp;" |")-1)))</f>
        <v/>
      </c>
      <c r="P288" s="96" t="str">
        <f>IF(O288="","",IFERROR(MATCH(O288,'CDFs'!$A$6:$A$505,0),""))</f>
        <v/>
      </c>
      <c r="Q288" s="96">
        <f>IF(P288="",0,IF(INDEX('CDFs'!$S$6:$S$505,P288)=1,1,0))</f>
        <v>0</v>
      </c>
      <c r="R288" s="96" t="str">
        <f>IF(C288="","",TRIM(LEFT(C288,FIND(" |",C288&amp;" |")-1)))</f>
        <v/>
      </c>
      <c r="S288" s="96" t="str">
        <f>IF(R288="","",IFERROR(MATCH(R288,'ITENS_MTR'!$A$6:$A$1005,0),""))</f>
        <v/>
      </c>
      <c r="T288" s="96">
        <f>IF(S288="",0,IF(INDEX('ITENS_MTR'!$R$6:$R$1005,S288)=1,1,0))</f>
        <v>0</v>
      </c>
      <c r="U288" s="96" t="str">
        <f>IF(G288="","",IFERROR(IF(ISNUMBER(INDEX(cfg_fac,MATCH(G288,cfg_units,0))),IF(INDEX(cfg_fac,MATCH(G288,cfg_units,0))&gt;0,INDEX(cfg_fac,MATCH(G288,cfg_units,0)),""),""),""))</f>
        <v/>
      </c>
      <c r="V288" s="96">
        <f>IF(AND(ISNUMBER(F288),ISNUMBER(H288)),IF(H288&gt;0,1,0),0)</f>
        <v>0</v>
      </c>
      <c r="W288" s="96" t="str">
        <f>IF(T288=1,INDEX('ITENS_MTR'!$AU$6:$AU$1005,S288)&amp;"","")</f>
        <v/>
      </c>
      <c r="X288" s="96">
        <f>IF(AND(Q288=1,T288=1,I288&lt;&gt;"",W288&lt;&gt;""),IF(I288&lt;&gt;W288,1,0),0)</f>
        <v>0</v>
      </c>
      <c r="Y288" s="96">
        <f>IF(N288=0,0,IF(OR(Q288=0,T288=0,V288=0,AND(X288=1,J288&lt;&gt;"Sim")),1,0))</f>
        <v>0</v>
      </c>
      <c r="Z288" s="96">
        <f>IF(Q288=1,INDEX('CDFs'!$W$6:$W$505,P288),0)</f>
        <v>0</v>
      </c>
      <c r="AA288" s="96">
        <f>IF(AND(N288=1,Y288=0,Z288=1,J288="Sim"),1,0)</f>
        <v>0</v>
      </c>
      <c r="AB288" s="96">
        <f>IF(AND(N288=1,O288&lt;&gt;"",D288&lt;&gt;""),IF(COUNTIFS($O$6:O288,O288,$D$6:D288,D288)=1,1,0),0)</f>
        <v>0</v>
      </c>
      <c r="AC288" s="96">
        <f>IF(T288=1,INDEX('ITENS_MTR'!$AL$6:$AL$1005,S288),0)</f>
        <v>0</v>
      </c>
    </row>
    <row r="289">
      <c r="A289" s="89" t="inlineStr">
        <is>
          <t>VIN-000284</t>
        </is>
      </c>
      <c r="B289" s="91" t="n"/>
      <c r="C289" s="91" t="n"/>
      <c r="D289" s="94" t="str">
        <f>IF(T289=1,INDEX('ITENS_MTR'!$S$6:$S$1005,S289)&amp;"","")</f>
        <v/>
      </c>
      <c r="E289" s="94" t="str">
        <f>IF(T289=1,INDEX('ITENS_MTR'!$C$6:$C$1005,S289)&amp;"","")</f>
        <v/>
      </c>
      <c r="F289" s="98" t="n"/>
      <c r="G289" s="91" t="n"/>
      <c r="H289" s="93" t="str">
        <f>IF(N289=0,"",IF(NOT(ISNUMBER(F289)),"",IF(ISNUMBER(U289),F289*U289,"UNIDADE A CONFERIR")))</f>
        <v/>
      </c>
      <c r="I289" s="94" t="str">
        <f>IF(Q289=1,INDEX('CDFs'!$F$6:$F$505,P289)&amp;"","")</f>
        <v/>
      </c>
      <c r="J289" s="91" t="n"/>
      <c r="K289" s="91" t="n"/>
      <c r="L289" s="94" t="str">
        <f>IF(N289=0,"",IF(NOT(ISNUMBER(F289)),"Quantidade não informada",IF(F289&lt;=0,"Quantidade não positiva",IF(G289="","Unidade não informada",IF(NOT(ISNUMBER(H289)),"Unidade a conferir",IF(AC289=1,"REVISAR VÍNCULO: soma vinculada maior que a referência do item","OK"))))))</f>
        <v/>
      </c>
      <c r="M289" s="94" t="str">
        <f>IF(N289=0,"",IF(B289="","CDF não informado",IF(Q289=0,"REVISAR VÍNCULO: CDF inexistente",IF(C289="","Item não informado",IF(T289=0,"REVISAR VÍNCULO: item inexistente",IF(AND(X289=1,J289&lt;&gt;"Sim"),"REVISAR VÍNCULO: destinador diferente do MTR",IF(X289=1,"Destinador diferente do MTR (analisado)","OK")))))))</f>
        <v/>
      </c>
      <c r="N289" s="96">
        <f>IF(COUNTA(B289:C289,F289:G289,J289:K289)&gt;0,1,0)</f>
        <v>0</v>
      </c>
      <c r="O289" s="96" t="str">
        <f>IF(B289="","",TRIM(LEFT(B289,FIND(" |",B289&amp;" |")-1)))</f>
        <v/>
      </c>
      <c r="P289" s="96" t="str">
        <f>IF(O289="","",IFERROR(MATCH(O289,'CDFs'!$A$6:$A$505,0),""))</f>
        <v/>
      </c>
      <c r="Q289" s="96">
        <f>IF(P289="",0,IF(INDEX('CDFs'!$S$6:$S$505,P289)=1,1,0))</f>
        <v>0</v>
      </c>
      <c r="R289" s="96" t="str">
        <f>IF(C289="","",TRIM(LEFT(C289,FIND(" |",C289&amp;" |")-1)))</f>
        <v/>
      </c>
      <c r="S289" s="96" t="str">
        <f>IF(R289="","",IFERROR(MATCH(R289,'ITENS_MTR'!$A$6:$A$1005,0),""))</f>
        <v/>
      </c>
      <c r="T289" s="96">
        <f>IF(S289="",0,IF(INDEX('ITENS_MTR'!$R$6:$R$1005,S289)=1,1,0))</f>
        <v>0</v>
      </c>
      <c r="U289" s="96" t="str">
        <f>IF(G289="","",IFERROR(IF(ISNUMBER(INDEX(cfg_fac,MATCH(G289,cfg_units,0))),IF(INDEX(cfg_fac,MATCH(G289,cfg_units,0))&gt;0,INDEX(cfg_fac,MATCH(G289,cfg_units,0)),""),""),""))</f>
        <v/>
      </c>
      <c r="V289" s="96">
        <f>IF(AND(ISNUMBER(F289),ISNUMBER(H289)),IF(H289&gt;0,1,0),0)</f>
        <v>0</v>
      </c>
      <c r="W289" s="96" t="str">
        <f>IF(T289=1,INDEX('ITENS_MTR'!$AU$6:$AU$1005,S289)&amp;"","")</f>
        <v/>
      </c>
      <c r="X289" s="96">
        <f>IF(AND(Q289=1,T289=1,I289&lt;&gt;"",W289&lt;&gt;""),IF(I289&lt;&gt;W289,1,0),0)</f>
        <v>0</v>
      </c>
      <c r="Y289" s="96">
        <f>IF(N289=0,0,IF(OR(Q289=0,T289=0,V289=0,AND(X289=1,J289&lt;&gt;"Sim")),1,0))</f>
        <v>0</v>
      </c>
      <c r="Z289" s="96">
        <f>IF(Q289=1,INDEX('CDFs'!$W$6:$W$505,P289),0)</f>
        <v>0</v>
      </c>
      <c r="AA289" s="96">
        <f>IF(AND(N289=1,Y289=0,Z289=1,J289="Sim"),1,0)</f>
        <v>0</v>
      </c>
      <c r="AB289" s="96">
        <f>IF(AND(N289=1,O289&lt;&gt;"",D289&lt;&gt;""),IF(COUNTIFS($O$6:O289,O289,$D$6:D289,D289)=1,1,0),0)</f>
        <v>0</v>
      </c>
      <c r="AC289" s="96">
        <f>IF(T289=1,INDEX('ITENS_MTR'!$AL$6:$AL$1005,S289),0)</f>
        <v>0</v>
      </c>
    </row>
    <row r="290">
      <c r="A290" s="89" t="inlineStr">
        <is>
          <t>VIN-000285</t>
        </is>
      </c>
      <c r="B290" s="91" t="n"/>
      <c r="C290" s="91" t="n"/>
      <c r="D290" s="94" t="str">
        <f>IF(T290=1,INDEX('ITENS_MTR'!$S$6:$S$1005,S290)&amp;"","")</f>
        <v/>
      </c>
      <c r="E290" s="94" t="str">
        <f>IF(T290=1,INDEX('ITENS_MTR'!$C$6:$C$1005,S290)&amp;"","")</f>
        <v/>
      </c>
      <c r="F290" s="98" t="n"/>
      <c r="G290" s="91" t="n"/>
      <c r="H290" s="93" t="str">
        <f>IF(N290=0,"",IF(NOT(ISNUMBER(F290)),"",IF(ISNUMBER(U290),F290*U290,"UNIDADE A CONFERIR")))</f>
        <v/>
      </c>
      <c r="I290" s="94" t="str">
        <f>IF(Q290=1,INDEX('CDFs'!$F$6:$F$505,P290)&amp;"","")</f>
        <v/>
      </c>
      <c r="J290" s="91" t="n"/>
      <c r="K290" s="91" t="n"/>
      <c r="L290" s="94" t="str">
        <f>IF(N290=0,"",IF(NOT(ISNUMBER(F290)),"Quantidade não informada",IF(F290&lt;=0,"Quantidade não positiva",IF(G290="","Unidade não informada",IF(NOT(ISNUMBER(H290)),"Unidade a conferir",IF(AC290=1,"REVISAR VÍNCULO: soma vinculada maior que a referência do item","OK"))))))</f>
        <v/>
      </c>
      <c r="M290" s="94" t="str">
        <f>IF(N290=0,"",IF(B290="","CDF não informado",IF(Q290=0,"REVISAR VÍNCULO: CDF inexistente",IF(C290="","Item não informado",IF(T290=0,"REVISAR VÍNCULO: item inexistente",IF(AND(X290=1,J290&lt;&gt;"Sim"),"REVISAR VÍNCULO: destinador diferente do MTR",IF(X290=1,"Destinador diferente do MTR (analisado)","OK")))))))</f>
        <v/>
      </c>
      <c r="N290" s="96">
        <f>IF(COUNTA(B290:C290,F290:G290,J290:K290)&gt;0,1,0)</f>
        <v>0</v>
      </c>
      <c r="O290" s="96" t="str">
        <f>IF(B290="","",TRIM(LEFT(B290,FIND(" |",B290&amp;" |")-1)))</f>
        <v/>
      </c>
      <c r="P290" s="96" t="str">
        <f>IF(O290="","",IFERROR(MATCH(O290,'CDFs'!$A$6:$A$505,0),""))</f>
        <v/>
      </c>
      <c r="Q290" s="96">
        <f>IF(P290="",0,IF(INDEX('CDFs'!$S$6:$S$505,P290)=1,1,0))</f>
        <v>0</v>
      </c>
      <c r="R290" s="96" t="str">
        <f>IF(C290="","",TRIM(LEFT(C290,FIND(" |",C290&amp;" |")-1)))</f>
        <v/>
      </c>
      <c r="S290" s="96" t="str">
        <f>IF(R290="","",IFERROR(MATCH(R290,'ITENS_MTR'!$A$6:$A$1005,0),""))</f>
        <v/>
      </c>
      <c r="T290" s="96">
        <f>IF(S290="",0,IF(INDEX('ITENS_MTR'!$R$6:$R$1005,S290)=1,1,0))</f>
        <v>0</v>
      </c>
      <c r="U290" s="96" t="str">
        <f>IF(G290="","",IFERROR(IF(ISNUMBER(INDEX(cfg_fac,MATCH(G290,cfg_units,0))),IF(INDEX(cfg_fac,MATCH(G290,cfg_units,0))&gt;0,INDEX(cfg_fac,MATCH(G290,cfg_units,0)),""),""),""))</f>
        <v/>
      </c>
      <c r="V290" s="96">
        <f>IF(AND(ISNUMBER(F290),ISNUMBER(H290)),IF(H290&gt;0,1,0),0)</f>
        <v>0</v>
      </c>
      <c r="W290" s="96" t="str">
        <f>IF(T290=1,INDEX('ITENS_MTR'!$AU$6:$AU$1005,S290)&amp;"","")</f>
        <v/>
      </c>
      <c r="X290" s="96">
        <f>IF(AND(Q290=1,T290=1,I290&lt;&gt;"",W290&lt;&gt;""),IF(I290&lt;&gt;W290,1,0),0)</f>
        <v>0</v>
      </c>
      <c r="Y290" s="96">
        <f>IF(N290=0,0,IF(OR(Q290=0,T290=0,V290=0,AND(X290=1,J290&lt;&gt;"Sim")),1,0))</f>
        <v>0</v>
      </c>
      <c r="Z290" s="96">
        <f>IF(Q290=1,INDEX('CDFs'!$W$6:$W$505,P290),0)</f>
        <v>0</v>
      </c>
      <c r="AA290" s="96">
        <f>IF(AND(N290=1,Y290=0,Z290=1,J290="Sim"),1,0)</f>
        <v>0</v>
      </c>
      <c r="AB290" s="96">
        <f>IF(AND(N290=1,O290&lt;&gt;"",D290&lt;&gt;""),IF(COUNTIFS($O$6:O290,O290,$D$6:D290,D290)=1,1,0),0)</f>
        <v>0</v>
      </c>
      <c r="AC290" s="96">
        <f>IF(T290=1,INDEX('ITENS_MTR'!$AL$6:$AL$1005,S290),0)</f>
        <v>0</v>
      </c>
    </row>
    <row r="291">
      <c r="A291" s="89" t="inlineStr">
        <is>
          <t>VIN-000286</t>
        </is>
      </c>
      <c r="B291" s="91" t="n"/>
      <c r="C291" s="91" t="n"/>
      <c r="D291" s="94" t="str">
        <f>IF(T291=1,INDEX('ITENS_MTR'!$S$6:$S$1005,S291)&amp;"","")</f>
        <v/>
      </c>
      <c r="E291" s="94" t="str">
        <f>IF(T291=1,INDEX('ITENS_MTR'!$C$6:$C$1005,S291)&amp;"","")</f>
        <v/>
      </c>
      <c r="F291" s="98" t="n"/>
      <c r="G291" s="91" t="n"/>
      <c r="H291" s="93" t="str">
        <f>IF(N291=0,"",IF(NOT(ISNUMBER(F291)),"",IF(ISNUMBER(U291),F291*U291,"UNIDADE A CONFERIR")))</f>
        <v/>
      </c>
      <c r="I291" s="94" t="str">
        <f>IF(Q291=1,INDEX('CDFs'!$F$6:$F$505,P291)&amp;"","")</f>
        <v/>
      </c>
      <c r="J291" s="91" t="n"/>
      <c r="K291" s="91" t="n"/>
      <c r="L291" s="94" t="str">
        <f>IF(N291=0,"",IF(NOT(ISNUMBER(F291)),"Quantidade não informada",IF(F291&lt;=0,"Quantidade não positiva",IF(G291="","Unidade não informada",IF(NOT(ISNUMBER(H291)),"Unidade a conferir",IF(AC291=1,"REVISAR VÍNCULO: soma vinculada maior que a referência do item","OK"))))))</f>
        <v/>
      </c>
      <c r="M291" s="94" t="str">
        <f>IF(N291=0,"",IF(B291="","CDF não informado",IF(Q291=0,"REVISAR VÍNCULO: CDF inexistente",IF(C291="","Item não informado",IF(T291=0,"REVISAR VÍNCULO: item inexistente",IF(AND(X291=1,J291&lt;&gt;"Sim"),"REVISAR VÍNCULO: destinador diferente do MTR",IF(X291=1,"Destinador diferente do MTR (analisado)","OK")))))))</f>
        <v/>
      </c>
      <c r="N291" s="96">
        <f>IF(COUNTA(B291:C291,F291:G291,J291:K291)&gt;0,1,0)</f>
        <v>0</v>
      </c>
      <c r="O291" s="96" t="str">
        <f>IF(B291="","",TRIM(LEFT(B291,FIND(" |",B291&amp;" |")-1)))</f>
        <v/>
      </c>
      <c r="P291" s="96" t="str">
        <f>IF(O291="","",IFERROR(MATCH(O291,'CDFs'!$A$6:$A$505,0),""))</f>
        <v/>
      </c>
      <c r="Q291" s="96">
        <f>IF(P291="",0,IF(INDEX('CDFs'!$S$6:$S$505,P291)=1,1,0))</f>
        <v>0</v>
      </c>
      <c r="R291" s="96" t="str">
        <f>IF(C291="","",TRIM(LEFT(C291,FIND(" |",C291&amp;" |")-1)))</f>
        <v/>
      </c>
      <c r="S291" s="96" t="str">
        <f>IF(R291="","",IFERROR(MATCH(R291,'ITENS_MTR'!$A$6:$A$1005,0),""))</f>
        <v/>
      </c>
      <c r="T291" s="96">
        <f>IF(S291="",0,IF(INDEX('ITENS_MTR'!$R$6:$R$1005,S291)=1,1,0))</f>
        <v>0</v>
      </c>
      <c r="U291" s="96" t="str">
        <f>IF(G291="","",IFERROR(IF(ISNUMBER(INDEX(cfg_fac,MATCH(G291,cfg_units,0))),IF(INDEX(cfg_fac,MATCH(G291,cfg_units,0))&gt;0,INDEX(cfg_fac,MATCH(G291,cfg_units,0)),""),""),""))</f>
        <v/>
      </c>
      <c r="V291" s="96">
        <f>IF(AND(ISNUMBER(F291),ISNUMBER(H291)),IF(H291&gt;0,1,0),0)</f>
        <v>0</v>
      </c>
      <c r="W291" s="96" t="str">
        <f>IF(T291=1,INDEX('ITENS_MTR'!$AU$6:$AU$1005,S291)&amp;"","")</f>
        <v/>
      </c>
      <c r="X291" s="96">
        <f>IF(AND(Q291=1,T291=1,I291&lt;&gt;"",W291&lt;&gt;""),IF(I291&lt;&gt;W291,1,0),0)</f>
        <v>0</v>
      </c>
      <c r="Y291" s="96">
        <f>IF(N291=0,0,IF(OR(Q291=0,T291=0,V291=0,AND(X291=1,J291&lt;&gt;"Sim")),1,0))</f>
        <v>0</v>
      </c>
      <c r="Z291" s="96">
        <f>IF(Q291=1,INDEX('CDFs'!$W$6:$W$505,P291),0)</f>
        <v>0</v>
      </c>
      <c r="AA291" s="96">
        <f>IF(AND(N291=1,Y291=0,Z291=1,J291="Sim"),1,0)</f>
        <v>0</v>
      </c>
      <c r="AB291" s="96">
        <f>IF(AND(N291=1,O291&lt;&gt;"",D291&lt;&gt;""),IF(COUNTIFS($O$6:O291,O291,$D$6:D291,D291)=1,1,0),0)</f>
        <v>0</v>
      </c>
      <c r="AC291" s="96">
        <f>IF(T291=1,INDEX('ITENS_MTR'!$AL$6:$AL$1005,S291),0)</f>
        <v>0</v>
      </c>
    </row>
    <row r="292">
      <c r="A292" s="89" t="inlineStr">
        <is>
          <t>VIN-000287</t>
        </is>
      </c>
      <c r="B292" s="91" t="n"/>
      <c r="C292" s="91" t="n"/>
      <c r="D292" s="94" t="str">
        <f>IF(T292=1,INDEX('ITENS_MTR'!$S$6:$S$1005,S292)&amp;"","")</f>
        <v/>
      </c>
      <c r="E292" s="94" t="str">
        <f>IF(T292=1,INDEX('ITENS_MTR'!$C$6:$C$1005,S292)&amp;"","")</f>
        <v/>
      </c>
      <c r="F292" s="98" t="n"/>
      <c r="G292" s="91" t="n"/>
      <c r="H292" s="93" t="str">
        <f>IF(N292=0,"",IF(NOT(ISNUMBER(F292)),"",IF(ISNUMBER(U292),F292*U292,"UNIDADE A CONFERIR")))</f>
        <v/>
      </c>
      <c r="I292" s="94" t="str">
        <f>IF(Q292=1,INDEX('CDFs'!$F$6:$F$505,P292)&amp;"","")</f>
        <v/>
      </c>
      <c r="J292" s="91" t="n"/>
      <c r="K292" s="91" t="n"/>
      <c r="L292" s="94" t="str">
        <f>IF(N292=0,"",IF(NOT(ISNUMBER(F292)),"Quantidade não informada",IF(F292&lt;=0,"Quantidade não positiva",IF(G292="","Unidade não informada",IF(NOT(ISNUMBER(H292)),"Unidade a conferir",IF(AC292=1,"REVISAR VÍNCULO: soma vinculada maior que a referência do item","OK"))))))</f>
        <v/>
      </c>
      <c r="M292" s="94" t="str">
        <f>IF(N292=0,"",IF(B292="","CDF não informado",IF(Q292=0,"REVISAR VÍNCULO: CDF inexistente",IF(C292="","Item não informado",IF(T292=0,"REVISAR VÍNCULO: item inexistente",IF(AND(X292=1,J292&lt;&gt;"Sim"),"REVISAR VÍNCULO: destinador diferente do MTR",IF(X292=1,"Destinador diferente do MTR (analisado)","OK")))))))</f>
        <v/>
      </c>
      <c r="N292" s="96">
        <f>IF(COUNTA(B292:C292,F292:G292,J292:K292)&gt;0,1,0)</f>
        <v>0</v>
      </c>
      <c r="O292" s="96" t="str">
        <f>IF(B292="","",TRIM(LEFT(B292,FIND(" |",B292&amp;" |")-1)))</f>
        <v/>
      </c>
      <c r="P292" s="96" t="str">
        <f>IF(O292="","",IFERROR(MATCH(O292,'CDFs'!$A$6:$A$505,0),""))</f>
        <v/>
      </c>
      <c r="Q292" s="96">
        <f>IF(P292="",0,IF(INDEX('CDFs'!$S$6:$S$505,P292)=1,1,0))</f>
        <v>0</v>
      </c>
      <c r="R292" s="96" t="str">
        <f>IF(C292="","",TRIM(LEFT(C292,FIND(" |",C292&amp;" |")-1)))</f>
        <v/>
      </c>
      <c r="S292" s="96" t="str">
        <f>IF(R292="","",IFERROR(MATCH(R292,'ITENS_MTR'!$A$6:$A$1005,0),""))</f>
        <v/>
      </c>
      <c r="T292" s="96">
        <f>IF(S292="",0,IF(INDEX('ITENS_MTR'!$R$6:$R$1005,S292)=1,1,0))</f>
        <v>0</v>
      </c>
      <c r="U292" s="96" t="str">
        <f>IF(G292="","",IFERROR(IF(ISNUMBER(INDEX(cfg_fac,MATCH(G292,cfg_units,0))),IF(INDEX(cfg_fac,MATCH(G292,cfg_units,0))&gt;0,INDEX(cfg_fac,MATCH(G292,cfg_units,0)),""),""),""))</f>
        <v/>
      </c>
      <c r="V292" s="96">
        <f>IF(AND(ISNUMBER(F292),ISNUMBER(H292)),IF(H292&gt;0,1,0),0)</f>
        <v>0</v>
      </c>
      <c r="W292" s="96" t="str">
        <f>IF(T292=1,INDEX('ITENS_MTR'!$AU$6:$AU$1005,S292)&amp;"","")</f>
        <v/>
      </c>
      <c r="X292" s="96">
        <f>IF(AND(Q292=1,T292=1,I292&lt;&gt;"",W292&lt;&gt;""),IF(I292&lt;&gt;W292,1,0),0)</f>
        <v>0</v>
      </c>
      <c r="Y292" s="96">
        <f>IF(N292=0,0,IF(OR(Q292=0,T292=0,V292=0,AND(X292=1,J292&lt;&gt;"Sim")),1,0))</f>
        <v>0</v>
      </c>
      <c r="Z292" s="96">
        <f>IF(Q292=1,INDEX('CDFs'!$W$6:$W$505,P292),0)</f>
        <v>0</v>
      </c>
      <c r="AA292" s="96">
        <f>IF(AND(N292=1,Y292=0,Z292=1,J292="Sim"),1,0)</f>
        <v>0</v>
      </c>
      <c r="AB292" s="96">
        <f>IF(AND(N292=1,O292&lt;&gt;"",D292&lt;&gt;""),IF(COUNTIFS($O$6:O292,O292,$D$6:D292,D292)=1,1,0),0)</f>
        <v>0</v>
      </c>
      <c r="AC292" s="96">
        <f>IF(T292=1,INDEX('ITENS_MTR'!$AL$6:$AL$1005,S292),0)</f>
        <v>0</v>
      </c>
    </row>
    <row r="293">
      <c r="A293" s="89" t="inlineStr">
        <is>
          <t>VIN-000288</t>
        </is>
      </c>
      <c r="B293" s="91" t="n"/>
      <c r="C293" s="91" t="n"/>
      <c r="D293" s="94" t="str">
        <f>IF(T293=1,INDEX('ITENS_MTR'!$S$6:$S$1005,S293)&amp;"","")</f>
        <v/>
      </c>
      <c r="E293" s="94" t="str">
        <f>IF(T293=1,INDEX('ITENS_MTR'!$C$6:$C$1005,S293)&amp;"","")</f>
        <v/>
      </c>
      <c r="F293" s="98" t="n"/>
      <c r="G293" s="91" t="n"/>
      <c r="H293" s="93" t="str">
        <f>IF(N293=0,"",IF(NOT(ISNUMBER(F293)),"",IF(ISNUMBER(U293),F293*U293,"UNIDADE A CONFERIR")))</f>
        <v/>
      </c>
      <c r="I293" s="94" t="str">
        <f>IF(Q293=1,INDEX('CDFs'!$F$6:$F$505,P293)&amp;"","")</f>
        <v/>
      </c>
      <c r="J293" s="91" t="n"/>
      <c r="K293" s="91" t="n"/>
      <c r="L293" s="94" t="str">
        <f>IF(N293=0,"",IF(NOT(ISNUMBER(F293)),"Quantidade não informada",IF(F293&lt;=0,"Quantidade não positiva",IF(G293="","Unidade não informada",IF(NOT(ISNUMBER(H293)),"Unidade a conferir",IF(AC293=1,"REVISAR VÍNCULO: soma vinculada maior que a referência do item","OK"))))))</f>
        <v/>
      </c>
      <c r="M293" s="94" t="str">
        <f>IF(N293=0,"",IF(B293="","CDF não informado",IF(Q293=0,"REVISAR VÍNCULO: CDF inexistente",IF(C293="","Item não informado",IF(T293=0,"REVISAR VÍNCULO: item inexistente",IF(AND(X293=1,J293&lt;&gt;"Sim"),"REVISAR VÍNCULO: destinador diferente do MTR",IF(X293=1,"Destinador diferente do MTR (analisado)","OK")))))))</f>
        <v/>
      </c>
      <c r="N293" s="96">
        <f>IF(COUNTA(B293:C293,F293:G293,J293:K293)&gt;0,1,0)</f>
        <v>0</v>
      </c>
      <c r="O293" s="96" t="str">
        <f>IF(B293="","",TRIM(LEFT(B293,FIND(" |",B293&amp;" |")-1)))</f>
        <v/>
      </c>
      <c r="P293" s="96" t="str">
        <f>IF(O293="","",IFERROR(MATCH(O293,'CDFs'!$A$6:$A$505,0),""))</f>
        <v/>
      </c>
      <c r="Q293" s="96">
        <f>IF(P293="",0,IF(INDEX('CDFs'!$S$6:$S$505,P293)=1,1,0))</f>
        <v>0</v>
      </c>
      <c r="R293" s="96" t="str">
        <f>IF(C293="","",TRIM(LEFT(C293,FIND(" |",C293&amp;" |")-1)))</f>
        <v/>
      </c>
      <c r="S293" s="96" t="str">
        <f>IF(R293="","",IFERROR(MATCH(R293,'ITENS_MTR'!$A$6:$A$1005,0),""))</f>
        <v/>
      </c>
      <c r="T293" s="96">
        <f>IF(S293="",0,IF(INDEX('ITENS_MTR'!$R$6:$R$1005,S293)=1,1,0))</f>
        <v>0</v>
      </c>
      <c r="U293" s="96" t="str">
        <f>IF(G293="","",IFERROR(IF(ISNUMBER(INDEX(cfg_fac,MATCH(G293,cfg_units,0))),IF(INDEX(cfg_fac,MATCH(G293,cfg_units,0))&gt;0,INDEX(cfg_fac,MATCH(G293,cfg_units,0)),""),""),""))</f>
        <v/>
      </c>
      <c r="V293" s="96">
        <f>IF(AND(ISNUMBER(F293),ISNUMBER(H293)),IF(H293&gt;0,1,0),0)</f>
        <v>0</v>
      </c>
      <c r="W293" s="96" t="str">
        <f>IF(T293=1,INDEX('ITENS_MTR'!$AU$6:$AU$1005,S293)&amp;"","")</f>
        <v/>
      </c>
      <c r="X293" s="96">
        <f>IF(AND(Q293=1,T293=1,I293&lt;&gt;"",W293&lt;&gt;""),IF(I293&lt;&gt;W293,1,0),0)</f>
        <v>0</v>
      </c>
      <c r="Y293" s="96">
        <f>IF(N293=0,0,IF(OR(Q293=0,T293=0,V293=0,AND(X293=1,J293&lt;&gt;"Sim")),1,0))</f>
        <v>0</v>
      </c>
      <c r="Z293" s="96">
        <f>IF(Q293=1,INDEX('CDFs'!$W$6:$W$505,P293),0)</f>
        <v>0</v>
      </c>
      <c r="AA293" s="96">
        <f>IF(AND(N293=1,Y293=0,Z293=1,J293="Sim"),1,0)</f>
        <v>0</v>
      </c>
      <c r="AB293" s="96">
        <f>IF(AND(N293=1,O293&lt;&gt;"",D293&lt;&gt;""),IF(COUNTIFS($O$6:O293,O293,$D$6:D293,D293)=1,1,0),0)</f>
        <v>0</v>
      </c>
      <c r="AC293" s="96">
        <f>IF(T293=1,INDEX('ITENS_MTR'!$AL$6:$AL$1005,S293),0)</f>
        <v>0</v>
      </c>
    </row>
    <row r="294">
      <c r="A294" s="89" t="inlineStr">
        <is>
          <t>VIN-000289</t>
        </is>
      </c>
      <c r="B294" s="91" t="n"/>
      <c r="C294" s="91" t="n"/>
      <c r="D294" s="94" t="str">
        <f>IF(T294=1,INDEX('ITENS_MTR'!$S$6:$S$1005,S294)&amp;"","")</f>
        <v/>
      </c>
      <c r="E294" s="94" t="str">
        <f>IF(T294=1,INDEX('ITENS_MTR'!$C$6:$C$1005,S294)&amp;"","")</f>
        <v/>
      </c>
      <c r="F294" s="98" t="n"/>
      <c r="G294" s="91" t="n"/>
      <c r="H294" s="93" t="str">
        <f>IF(N294=0,"",IF(NOT(ISNUMBER(F294)),"",IF(ISNUMBER(U294),F294*U294,"UNIDADE A CONFERIR")))</f>
        <v/>
      </c>
      <c r="I294" s="94" t="str">
        <f>IF(Q294=1,INDEX('CDFs'!$F$6:$F$505,P294)&amp;"","")</f>
        <v/>
      </c>
      <c r="J294" s="91" t="n"/>
      <c r="K294" s="91" t="n"/>
      <c r="L294" s="94" t="str">
        <f>IF(N294=0,"",IF(NOT(ISNUMBER(F294)),"Quantidade não informada",IF(F294&lt;=0,"Quantidade não positiva",IF(G294="","Unidade não informada",IF(NOT(ISNUMBER(H294)),"Unidade a conferir",IF(AC294=1,"REVISAR VÍNCULO: soma vinculada maior que a referência do item","OK"))))))</f>
        <v/>
      </c>
      <c r="M294" s="94" t="str">
        <f>IF(N294=0,"",IF(B294="","CDF não informado",IF(Q294=0,"REVISAR VÍNCULO: CDF inexistente",IF(C294="","Item não informado",IF(T294=0,"REVISAR VÍNCULO: item inexistente",IF(AND(X294=1,J294&lt;&gt;"Sim"),"REVISAR VÍNCULO: destinador diferente do MTR",IF(X294=1,"Destinador diferente do MTR (analisado)","OK")))))))</f>
        <v/>
      </c>
      <c r="N294" s="96">
        <f>IF(COUNTA(B294:C294,F294:G294,J294:K294)&gt;0,1,0)</f>
        <v>0</v>
      </c>
      <c r="O294" s="96" t="str">
        <f>IF(B294="","",TRIM(LEFT(B294,FIND(" |",B294&amp;" |")-1)))</f>
        <v/>
      </c>
      <c r="P294" s="96" t="str">
        <f>IF(O294="","",IFERROR(MATCH(O294,'CDFs'!$A$6:$A$505,0),""))</f>
        <v/>
      </c>
      <c r="Q294" s="96">
        <f>IF(P294="",0,IF(INDEX('CDFs'!$S$6:$S$505,P294)=1,1,0))</f>
        <v>0</v>
      </c>
      <c r="R294" s="96" t="str">
        <f>IF(C294="","",TRIM(LEFT(C294,FIND(" |",C294&amp;" |")-1)))</f>
        <v/>
      </c>
      <c r="S294" s="96" t="str">
        <f>IF(R294="","",IFERROR(MATCH(R294,'ITENS_MTR'!$A$6:$A$1005,0),""))</f>
        <v/>
      </c>
      <c r="T294" s="96">
        <f>IF(S294="",0,IF(INDEX('ITENS_MTR'!$R$6:$R$1005,S294)=1,1,0))</f>
        <v>0</v>
      </c>
      <c r="U294" s="96" t="str">
        <f>IF(G294="","",IFERROR(IF(ISNUMBER(INDEX(cfg_fac,MATCH(G294,cfg_units,0))),IF(INDEX(cfg_fac,MATCH(G294,cfg_units,0))&gt;0,INDEX(cfg_fac,MATCH(G294,cfg_units,0)),""),""),""))</f>
        <v/>
      </c>
      <c r="V294" s="96">
        <f>IF(AND(ISNUMBER(F294),ISNUMBER(H294)),IF(H294&gt;0,1,0),0)</f>
        <v>0</v>
      </c>
      <c r="W294" s="96" t="str">
        <f>IF(T294=1,INDEX('ITENS_MTR'!$AU$6:$AU$1005,S294)&amp;"","")</f>
        <v/>
      </c>
      <c r="X294" s="96">
        <f>IF(AND(Q294=1,T294=1,I294&lt;&gt;"",W294&lt;&gt;""),IF(I294&lt;&gt;W294,1,0),0)</f>
        <v>0</v>
      </c>
      <c r="Y294" s="96">
        <f>IF(N294=0,0,IF(OR(Q294=0,T294=0,V294=0,AND(X294=1,J294&lt;&gt;"Sim")),1,0))</f>
        <v>0</v>
      </c>
      <c r="Z294" s="96">
        <f>IF(Q294=1,INDEX('CDFs'!$W$6:$W$505,P294),0)</f>
        <v>0</v>
      </c>
      <c r="AA294" s="96">
        <f>IF(AND(N294=1,Y294=0,Z294=1,J294="Sim"),1,0)</f>
        <v>0</v>
      </c>
      <c r="AB294" s="96">
        <f>IF(AND(N294=1,O294&lt;&gt;"",D294&lt;&gt;""),IF(COUNTIFS($O$6:O294,O294,$D$6:D294,D294)=1,1,0),0)</f>
        <v>0</v>
      </c>
      <c r="AC294" s="96">
        <f>IF(T294=1,INDEX('ITENS_MTR'!$AL$6:$AL$1005,S294),0)</f>
        <v>0</v>
      </c>
    </row>
    <row r="295">
      <c r="A295" s="89" t="inlineStr">
        <is>
          <t>VIN-000290</t>
        </is>
      </c>
      <c r="B295" s="91" t="n"/>
      <c r="C295" s="91" t="n"/>
      <c r="D295" s="94" t="str">
        <f>IF(T295=1,INDEX('ITENS_MTR'!$S$6:$S$1005,S295)&amp;"","")</f>
        <v/>
      </c>
      <c r="E295" s="94" t="str">
        <f>IF(T295=1,INDEX('ITENS_MTR'!$C$6:$C$1005,S295)&amp;"","")</f>
        <v/>
      </c>
      <c r="F295" s="98" t="n"/>
      <c r="G295" s="91" t="n"/>
      <c r="H295" s="93" t="str">
        <f>IF(N295=0,"",IF(NOT(ISNUMBER(F295)),"",IF(ISNUMBER(U295),F295*U295,"UNIDADE A CONFERIR")))</f>
        <v/>
      </c>
      <c r="I295" s="94" t="str">
        <f>IF(Q295=1,INDEX('CDFs'!$F$6:$F$505,P295)&amp;"","")</f>
        <v/>
      </c>
      <c r="J295" s="91" t="n"/>
      <c r="K295" s="91" t="n"/>
      <c r="L295" s="94" t="str">
        <f>IF(N295=0,"",IF(NOT(ISNUMBER(F295)),"Quantidade não informada",IF(F295&lt;=0,"Quantidade não positiva",IF(G295="","Unidade não informada",IF(NOT(ISNUMBER(H295)),"Unidade a conferir",IF(AC295=1,"REVISAR VÍNCULO: soma vinculada maior que a referência do item","OK"))))))</f>
        <v/>
      </c>
      <c r="M295" s="94" t="str">
        <f>IF(N295=0,"",IF(B295="","CDF não informado",IF(Q295=0,"REVISAR VÍNCULO: CDF inexistente",IF(C295="","Item não informado",IF(T295=0,"REVISAR VÍNCULO: item inexistente",IF(AND(X295=1,J295&lt;&gt;"Sim"),"REVISAR VÍNCULO: destinador diferente do MTR",IF(X295=1,"Destinador diferente do MTR (analisado)","OK")))))))</f>
        <v/>
      </c>
      <c r="N295" s="96">
        <f>IF(COUNTA(B295:C295,F295:G295,J295:K295)&gt;0,1,0)</f>
        <v>0</v>
      </c>
      <c r="O295" s="96" t="str">
        <f>IF(B295="","",TRIM(LEFT(B295,FIND(" |",B295&amp;" |")-1)))</f>
        <v/>
      </c>
      <c r="P295" s="96" t="str">
        <f>IF(O295="","",IFERROR(MATCH(O295,'CDFs'!$A$6:$A$505,0),""))</f>
        <v/>
      </c>
      <c r="Q295" s="96">
        <f>IF(P295="",0,IF(INDEX('CDFs'!$S$6:$S$505,P295)=1,1,0))</f>
        <v>0</v>
      </c>
      <c r="R295" s="96" t="str">
        <f>IF(C295="","",TRIM(LEFT(C295,FIND(" |",C295&amp;" |")-1)))</f>
        <v/>
      </c>
      <c r="S295" s="96" t="str">
        <f>IF(R295="","",IFERROR(MATCH(R295,'ITENS_MTR'!$A$6:$A$1005,0),""))</f>
        <v/>
      </c>
      <c r="T295" s="96">
        <f>IF(S295="",0,IF(INDEX('ITENS_MTR'!$R$6:$R$1005,S295)=1,1,0))</f>
        <v>0</v>
      </c>
      <c r="U295" s="96" t="str">
        <f>IF(G295="","",IFERROR(IF(ISNUMBER(INDEX(cfg_fac,MATCH(G295,cfg_units,0))),IF(INDEX(cfg_fac,MATCH(G295,cfg_units,0))&gt;0,INDEX(cfg_fac,MATCH(G295,cfg_units,0)),""),""),""))</f>
        <v/>
      </c>
      <c r="V295" s="96">
        <f>IF(AND(ISNUMBER(F295),ISNUMBER(H295)),IF(H295&gt;0,1,0),0)</f>
        <v>0</v>
      </c>
      <c r="W295" s="96" t="str">
        <f>IF(T295=1,INDEX('ITENS_MTR'!$AU$6:$AU$1005,S295)&amp;"","")</f>
        <v/>
      </c>
      <c r="X295" s="96">
        <f>IF(AND(Q295=1,T295=1,I295&lt;&gt;"",W295&lt;&gt;""),IF(I295&lt;&gt;W295,1,0),0)</f>
        <v>0</v>
      </c>
      <c r="Y295" s="96">
        <f>IF(N295=0,0,IF(OR(Q295=0,T295=0,V295=0,AND(X295=1,J295&lt;&gt;"Sim")),1,0))</f>
        <v>0</v>
      </c>
      <c r="Z295" s="96">
        <f>IF(Q295=1,INDEX('CDFs'!$W$6:$W$505,P295),0)</f>
        <v>0</v>
      </c>
      <c r="AA295" s="96">
        <f>IF(AND(N295=1,Y295=0,Z295=1,J295="Sim"),1,0)</f>
        <v>0</v>
      </c>
      <c r="AB295" s="96">
        <f>IF(AND(N295=1,O295&lt;&gt;"",D295&lt;&gt;""),IF(COUNTIFS($O$6:O295,O295,$D$6:D295,D295)=1,1,0),0)</f>
        <v>0</v>
      </c>
      <c r="AC295" s="96">
        <f>IF(T295=1,INDEX('ITENS_MTR'!$AL$6:$AL$1005,S295),0)</f>
        <v>0</v>
      </c>
    </row>
    <row r="296">
      <c r="A296" s="89" t="inlineStr">
        <is>
          <t>VIN-000291</t>
        </is>
      </c>
      <c r="B296" s="91" t="n"/>
      <c r="C296" s="91" t="n"/>
      <c r="D296" s="94" t="str">
        <f>IF(T296=1,INDEX('ITENS_MTR'!$S$6:$S$1005,S296)&amp;"","")</f>
        <v/>
      </c>
      <c r="E296" s="94" t="str">
        <f>IF(T296=1,INDEX('ITENS_MTR'!$C$6:$C$1005,S296)&amp;"","")</f>
        <v/>
      </c>
      <c r="F296" s="98" t="n"/>
      <c r="G296" s="91" t="n"/>
      <c r="H296" s="93" t="str">
        <f>IF(N296=0,"",IF(NOT(ISNUMBER(F296)),"",IF(ISNUMBER(U296),F296*U296,"UNIDADE A CONFERIR")))</f>
        <v/>
      </c>
      <c r="I296" s="94" t="str">
        <f>IF(Q296=1,INDEX('CDFs'!$F$6:$F$505,P296)&amp;"","")</f>
        <v/>
      </c>
      <c r="J296" s="91" t="n"/>
      <c r="K296" s="91" t="n"/>
      <c r="L296" s="94" t="str">
        <f>IF(N296=0,"",IF(NOT(ISNUMBER(F296)),"Quantidade não informada",IF(F296&lt;=0,"Quantidade não positiva",IF(G296="","Unidade não informada",IF(NOT(ISNUMBER(H296)),"Unidade a conferir",IF(AC296=1,"REVISAR VÍNCULO: soma vinculada maior que a referência do item","OK"))))))</f>
        <v/>
      </c>
      <c r="M296" s="94" t="str">
        <f>IF(N296=0,"",IF(B296="","CDF não informado",IF(Q296=0,"REVISAR VÍNCULO: CDF inexistente",IF(C296="","Item não informado",IF(T296=0,"REVISAR VÍNCULO: item inexistente",IF(AND(X296=1,J296&lt;&gt;"Sim"),"REVISAR VÍNCULO: destinador diferente do MTR",IF(X296=1,"Destinador diferente do MTR (analisado)","OK")))))))</f>
        <v/>
      </c>
      <c r="N296" s="96">
        <f>IF(COUNTA(B296:C296,F296:G296,J296:K296)&gt;0,1,0)</f>
        <v>0</v>
      </c>
      <c r="O296" s="96" t="str">
        <f>IF(B296="","",TRIM(LEFT(B296,FIND(" |",B296&amp;" |")-1)))</f>
        <v/>
      </c>
      <c r="P296" s="96" t="str">
        <f>IF(O296="","",IFERROR(MATCH(O296,'CDFs'!$A$6:$A$505,0),""))</f>
        <v/>
      </c>
      <c r="Q296" s="96">
        <f>IF(P296="",0,IF(INDEX('CDFs'!$S$6:$S$505,P296)=1,1,0))</f>
        <v>0</v>
      </c>
      <c r="R296" s="96" t="str">
        <f>IF(C296="","",TRIM(LEFT(C296,FIND(" |",C296&amp;" |")-1)))</f>
        <v/>
      </c>
      <c r="S296" s="96" t="str">
        <f>IF(R296="","",IFERROR(MATCH(R296,'ITENS_MTR'!$A$6:$A$1005,0),""))</f>
        <v/>
      </c>
      <c r="T296" s="96">
        <f>IF(S296="",0,IF(INDEX('ITENS_MTR'!$R$6:$R$1005,S296)=1,1,0))</f>
        <v>0</v>
      </c>
      <c r="U296" s="96" t="str">
        <f>IF(G296="","",IFERROR(IF(ISNUMBER(INDEX(cfg_fac,MATCH(G296,cfg_units,0))),IF(INDEX(cfg_fac,MATCH(G296,cfg_units,0))&gt;0,INDEX(cfg_fac,MATCH(G296,cfg_units,0)),""),""),""))</f>
        <v/>
      </c>
      <c r="V296" s="96">
        <f>IF(AND(ISNUMBER(F296),ISNUMBER(H296)),IF(H296&gt;0,1,0),0)</f>
        <v>0</v>
      </c>
      <c r="W296" s="96" t="str">
        <f>IF(T296=1,INDEX('ITENS_MTR'!$AU$6:$AU$1005,S296)&amp;"","")</f>
        <v/>
      </c>
      <c r="X296" s="96">
        <f>IF(AND(Q296=1,T296=1,I296&lt;&gt;"",W296&lt;&gt;""),IF(I296&lt;&gt;W296,1,0),0)</f>
        <v>0</v>
      </c>
      <c r="Y296" s="96">
        <f>IF(N296=0,0,IF(OR(Q296=0,T296=0,V296=0,AND(X296=1,J296&lt;&gt;"Sim")),1,0))</f>
        <v>0</v>
      </c>
      <c r="Z296" s="96">
        <f>IF(Q296=1,INDEX('CDFs'!$W$6:$W$505,P296),0)</f>
        <v>0</v>
      </c>
      <c r="AA296" s="96">
        <f>IF(AND(N296=1,Y296=0,Z296=1,J296="Sim"),1,0)</f>
        <v>0</v>
      </c>
      <c r="AB296" s="96">
        <f>IF(AND(N296=1,O296&lt;&gt;"",D296&lt;&gt;""),IF(COUNTIFS($O$6:O296,O296,$D$6:D296,D296)=1,1,0),0)</f>
        <v>0</v>
      </c>
      <c r="AC296" s="96">
        <f>IF(T296=1,INDEX('ITENS_MTR'!$AL$6:$AL$1005,S296),0)</f>
        <v>0</v>
      </c>
    </row>
    <row r="297">
      <c r="A297" s="89" t="inlineStr">
        <is>
          <t>VIN-000292</t>
        </is>
      </c>
      <c r="B297" s="91" t="n"/>
      <c r="C297" s="91" t="n"/>
      <c r="D297" s="94" t="str">
        <f>IF(T297=1,INDEX('ITENS_MTR'!$S$6:$S$1005,S297)&amp;"","")</f>
        <v/>
      </c>
      <c r="E297" s="94" t="str">
        <f>IF(T297=1,INDEX('ITENS_MTR'!$C$6:$C$1005,S297)&amp;"","")</f>
        <v/>
      </c>
      <c r="F297" s="98" t="n"/>
      <c r="G297" s="91" t="n"/>
      <c r="H297" s="93" t="str">
        <f>IF(N297=0,"",IF(NOT(ISNUMBER(F297)),"",IF(ISNUMBER(U297),F297*U297,"UNIDADE A CONFERIR")))</f>
        <v/>
      </c>
      <c r="I297" s="94" t="str">
        <f>IF(Q297=1,INDEX('CDFs'!$F$6:$F$505,P297)&amp;"","")</f>
        <v/>
      </c>
      <c r="J297" s="91" t="n"/>
      <c r="K297" s="91" t="n"/>
      <c r="L297" s="94" t="str">
        <f>IF(N297=0,"",IF(NOT(ISNUMBER(F297)),"Quantidade não informada",IF(F297&lt;=0,"Quantidade não positiva",IF(G297="","Unidade não informada",IF(NOT(ISNUMBER(H297)),"Unidade a conferir",IF(AC297=1,"REVISAR VÍNCULO: soma vinculada maior que a referência do item","OK"))))))</f>
        <v/>
      </c>
      <c r="M297" s="94" t="str">
        <f>IF(N297=0,"",IF(B297="","CDF não informado",IF(Q297=0,"REVISAR VÍNCULO: CDF inexistente",IF(C297="","Item não informado",IF(T297=0,"REVISAR VÍNCULO: item inexistente",IF(AND(X297=1,J297&lt;&gt;"Sim"),"REVISAR VÍNCULO: destinador diferente do MTR",IF(X297=1,"Destinador diferente do MTR (analisado)","OK")))))))</f>
        <v/>
      </c>
      <c r="N297" s="96">
        <f>IF(COUNTA(B297:C297,F297:G297,J297:K297)&gt;0,1,0)</f>
        <v>0</v>
      </c>
      <c r="O297" s="96" t="str">
        <f>IF(B297="","",TRIM(LEFT(B297,FIND(" |",B297&amp;" |")-1)))</f>
        <v/>
      </c>
      <c r="P297" s="96" t="str">
        <f>IF(O297="","",IFERROR(MATCH(O297,'CDFs'!$A$6:$A$505,0),""))</f>
        <v/>
      </c>
      <c r="Q297" s="96">
        <f>IF(P297="",0,IF(INDEX('CDFs'!$S$6:$S$505,P297)=1,1,0))</f>
        <v>0</v>
      </c>
      <c r="R297" s="96" t="str">
        <f>IF(C297="","",TRIM(LEFT(C297,FIND(" |",C297&amp;" |")-1)))</f>
        <v/>
      </c>
      <c r="S297" s="96" t="str">
        <f>IF(R297="","",IFERROR(MATCH(R297,'ITENS_MTR'!$A$6:$A$1005,0),""))</f>
        <v/>
      </c>
      <c r="T297" s="96">
        <f>IF(S297="",0,IF(INDEX('ITENS_MTR'!$R$6:$R$1005,S297)=1,1,0))</f>
        <v>0</v>
      </c>
      <c r="U297" s="96" t="str">
        <f>IF(G297="","",IFERROR(IF(ISNUMBER(INDEX(cfg_fac,MATCH(G297,cfg_units,0))),IF(INDEX(cfg_fac,MATCH(G297,cfg_units,0))&gt;0,INDEX(cfg_fac,MATCH(G297,cfg_units,0)),""),""),""))</f>
        <v/>
      </c>
      <c r="V297" s="96">
        <f>IF(AND(ISNUMBER(F297),ISNUMBER(H297)),IF(H297&gt;0,1,0),0)</f>
        <v>0</v>
      </c>
      <c r="W297" s="96" t="str">
        <f>IF(T297=1,INDEX('ITENS_MTR'!$AU$6:$AU$1005,S297)&amp;"","")</f>
        <v/>
      </c>
      <c r="X297" s="96">
        <f>IF(AND(Q297=1,T297=1,I297&lt;&gt;"",W297&lt;&gt;""),IF(I297&lt;&gt;W297,1,0),0)</f>
        <v>0</v>
      </c>
      <c r="Y297" s="96">
        <f>IF(N297=0,0,IF(OR(Q297=0,T297=0,V297=0,AND(X297=1,J297&lt;&gt;"Sim")),1,0))</f>
        <v>0</v>
      </c>
      <c r="Z297" s="96">
        <f>IF(Q297=1,INDEX('CDFs'!$W$6:$W$505,P297),0)</f>
        <v>0</v>
      </c>
      <c r="AA297" s="96">
        <f>IF(AND(N297=1,Y297=0,Z297=1,J297="Sim"),1,0)</f>
        <v>0</v>
      </c>
      <c r="AB297" s="96">
        <f>IF(AND(N297=1,O297&lt;&gt;"",D297&lt;&gt;""),IF(COUNTIFS($O$6:O297,O297,$D$6:D297,D297)=1,1,0),0)</f>
        <v>0</v>
      </c>
      <c r="AC297" s="96">
        <f>IF(T297=1,INDEX('ITENS_MTR'!$AL$6:$AL$1005,S297),0)</f>
        <v>0</v>
      </c>
    </row>
    <row r="298">
      <c r="A298" s="89" t="inlineStr">
        <is>
          <t>VIN-000293</t>
        </is>
      </c>
      <c r="B298" s="91" t="n"/>
      <c r="C298" s="91" t="n"/>
      <c r="D298" s="94" t="str">
        <f>IF(T298=1,INDEX('ITENS_MTR'!$S$6:$S$1005,S298)&amp;"","")</f>
        <v/>
      </c>
      <c r="E298" s="94" t="str">
        <f>IF(T298=1,INDEX('ITENS_MTR'!$C$6:$C$1005,S298)&amp;"","")</f>
        <v/>
      </c>
      <c r="F298" s="98" t="n"/>
      <c r="G298" s="91" t="n"/>
      <c r="H298" s="93" t="str">
        <f>IF(N298=0,"",IF(NOT(ISNUMBER(F298)),"",IF(ISNUMBER(U298),F298*U298,"UNIDADE A CONFERIR")))</f>
        <v/>
      </c>
      <c r="I298" s="94" t="str">
        <f>IF(Q298=1,INDEX('CDFs'!$F$6:$F$505,P298)&amp;"","")</f>
        <v/>
      </c>
      <c r="J298" s="91" t="n"/>
      <c r="K298" s="91" t="n"/>
      <c r="L298" s="94" t="str">
        <f>IF(N298=0,"",IF(NOT(ISNUMBER(F298)),"Quantidade não informada",IF(F298&lt;=0,"Quantidade não positiva",IF(G298="","Unidade não informada",IF(NOT(ISNUMBER(H298)),"Unidade a conferir",IF(AC298=1,"REVISAR VÍNCULO: soma vinculada maior que a referência do item","OK"))))))</f>
        <v/>
      </c>
      <c r="M298" s="94" t="str">
        <f>IF(N298=0,"",IF(B298="","CDF não informado",IF(Q298=0,"REVISAR VÍNCULO: CDF inexistente",IF(C298="","Item não informado",IF(T298=0,"REVISAR VÍNCULO: item inexistente",IF(AND(X298=1,J298&lt;&gt;"Sim"),"REVISAR VÍNCULO: destinador diferente do MTR",IF(X298=1,"Destinador diferente do MTR (analisado)","OK")))))))</f>
        <v/>
      </c>
      <c r="N298" s="96">
        <f>IF(COUNTA(B298:C298,F298:G298,J298:K298)&gt;0,1,0)</f>
        <v>0</v>
      </c>
      <c r="O298" s="96" t="str">
        <f>IF(B298="","",TRIM(LEFT(B298,FIND(" |",B298&amp;" |")-1)))</f>
        <v/>
      </c>
      <c r="P298" s="96" t="str">
        <f>IF(O298="","",IFERROR(MATCH(O298,'CDFs'!$A$6:$A$505,0),""))</f>
        <v/>
      </c>
      <c r="Q298" s="96">
        <f>IF(P298="",0,IF(INDEX('CDFs'!$S$6:$S$505,P298)=1,1,0))</f>
        <v>0</v>
      </c>
      <c r="R298" s="96" t="str">
        <f>IF(C298="","",TRIM(LEFT(C298,FIND(" |",C298&amp;" |")-1)))</f>
        <v/>
      </c>
      <c r="S298" s="96" t="str">
        <f>IF(R298="","",IFERROR(MATCH(R298,'ITENS_MTR'!$A$6:$A$1005,0),""))</f>
        <v/>
      </c>
      <c r="T298" s="96">
        <f>IF(S298="",0,IF(INDEX('ITENS_MTR'!$R$6:$R$1005,S298)=1,1,0))</f>
        <v>0</v>
      </c>
      <c r="U298" s="96" t="str">
        <f>IF(G298="","",IFERROR(IF(ISNUMBER(INDEX(cfg_fac,MATCH(G298,cfg_units,0))),IF(INDEX(cfg_fac,MATCH(G298,cfg_units,0))&gt;0,INDEX(cfg_fac,MATCH(G298,cfg_units,0)),""),""),""))</f>
        <v/>
      </c>
      <c r="V298" s="96">
        <f>IF(AND(ISNUMBER(F298),ISNUMBER(H298)),IF(H298&gt;0,1,0),0)</f>
        <v>0</v>
      </c>
      <c r="W298" s="96" t="str">
        <f>IF(T298=1,INDEX('ITENS_MTR'!$AU$6:$AU$1005,S298)&amp;"","")</f>
        <v/>
      </c>
      <c r="X298" s="96">
        <f>IF(AND(Q298=1,T298=1,I298&lt;&gt;"",W298&lt;&gt;""),IF(I298&lt;&gt;W298,1,0),0)</f>
        <v>0</v>
      </c>
      <c r="Y298" s="96">
        <f>IF(N298=0,0,IF(OR(Q298=0,T298=0,V298=0,AND(X298=1,J298&lt;&gt;"Sim")),1,0))</f>
        <v>0</v>
      </c>
      <c r="Z298" s="96">
        <f>IF(Q298=1,INDEX('CDFs'!$W$6:$W$505,P298),0)</f>
        <v>0</v>
      </c>
      <c r="AA298" s="96">
        <f>IF(AND(N298=1,Y298=0,Z298=1,J298="Sim"),1,0)</f>
        <v>0</v>
      </c>
      <c r="AB298" s="96">
        <f>IF(AND(N298=1,O298&lt;&gt;"",D298&lt;&gt;""),IF(COUNTIFS($O$6:O298,O298,$D$6:D298,D298)=1,1,0),0)</f>
        <v>0</v>
      </c>
      <c r="AC298" s="96">
        <f>IF(T298=1,INDEX('ITENS_MTR'!$AL$6:$AL$1005,S298),0)</f>
        <v>0</v>
      </c>
    </row>
    <row r="299">
      <c r="A299" s="89" t="inlineStr">
        <is>
          <t>VIN-000294</t>
        </is>
      </c>
      <c r="B299" s="91" t="n"/>
      <c r="C299" s="91" t="n"/>
      <c r="D299" s="94" t="str">
        <f>IF(T299=1,INDEX('ITENS_MTR'!$S$6:$S$1005,S299)&amp;"","")</f>
        <v/>
      </c>
      <c r="E299" s="94" t="str">
        <f>IF(T299=1,INDEX('ITENS_MTR'!$C$6:$C$1005,S299)&amp;"","")</f>
        <v/>
      </c>
      <c r="F299" s="98" t="n"/>
      <c r="G299" s="91" t="n"/>
      <c r="H299" s="93" t="str">
        <f>IF(N299=0,"",IF(NOT(ISNUMBER(F299)),"",IF(ISNUMBER(U299),F299*U299,"UNIDADE A CONFERIR")))</f>
        <v/>
      </c>
      <c r="I299" s="94" t="str">
        <f>IF(Q299=1,INDEX('CDFs'!$F$6:$F$505,P299)&amp;"","")</f>
        <v/>
      </c>
      <c r="J299" s="91" t="n"/>
      <c r="K299" s="91" t="n"/>
      <c r="L299" s="94" t="str">
        <f>IF(N299=0,"",IF(NOT(ISNUMBER(F299)),"Quantidade não informada",IF(F299&lt;=0,"Quantidade não positiva",IF(G299="","Unidade não informada",IF(NOT(ISNUMBER(H299)),"Unidade a conferir",IF(AC299=1,"REVISAR VÍNCULO: soma vinculada maior que a referência do item","OK"))))))</f>
        <v/>
      </c>
      <c r="M299" s="94" t="str">
        <f>IF(N299=0,"",IF(B299="","CDF não informado",IF(Q299=0,"REVISAR VÍNCULO: CDF inexistente",IF(C299="","Item não informado",IF(T299=0,"REVISAR VÍNCULO: item inexistente",IF(AND(X299=1,J299&lt;&gt;"Sim"),"REVISAR VÍNCULO: destinador diferente do MTR",IF(X299=1,"Destinador diferente do MTR (analisado)","OK")))))))</f>
        <v/>
      </c>
      <c r="N299" s="96">
        <f>IF(COUNTA(B299:C299,F299:G299,J299:K299)&gt;0,1,0)</f>
        <v>0</v>
      </c>
      <c r="O299" s="96" t="str">
        <f>IF(B299="","",TRIM(LEFT(B299,FIND(" |",B299&amp;" |")-1)))</f>
        <v/>
      </c>
      <c r="P299" s="96" t="str">
        <f>IF(O299="","",IFERROR(MATCH(O299,'CDFs'!$A$6:$A$505,0),""))</f>
        <v/>
      </c>
      <c r="Q299" s="96">
        <f>IF(P299="",0,IF(INDEX('CDFs'!$S$6:$S$505,P299)=1,1,0))</f>
        <v>0</v>
      </c>
      <c r="R299" s="96" t="str">
        <f>IF(C299="","",TRIM(LEFT(C299,FIND(" |",C299&amp;" |")-1)))</f>
        <v/>
      </c>
      <c r="S299" s="96" t="str">
        <f>IF(R299="","",IFERROR(MATCH(R299,'ITENS_MTR'!$A$6:$A$1005,0),""))</f>
        <v/>
      </c>
      <c r="T299" s="96">
        <f>IF(S299="",0,IF(INDEX('ITENS_MTR'!$R$6:$R$1005,S299)=1,1,0))</f>
        <v>0</v>
      </c>
      <c r="U299" s="96" t="str">
        <f>IF(G299="","",IFERROR(IF(ISNUMBER(INDEX(cfg_fac,MATCH(G299,cfg_units,0))),IF(INDEX(cfg_fac,MATCH(G299,cfg_units,0))&gt;0,INDEX(cfg_fac,MATCH(G299,cfg_units,0)),""),""),""))</f>
        <v/>
      </c>
      <c r="V299" s="96">
        <f>IF(AND(ISNUMBER(F299),ISNUMBER(H299)),IF(H299&gt;0,1,0),0)</f>
        <v>0</v>
      </c>
      <c r="W299" s="96" t="str">
        <f>IF(T299=1,INDEX('ITENS_MTR'!$AU$6:$AU$1005,S299)&amp;"","")</f>
        <v/>
      </c>
      <c r="X299" s="96">
        <f>IF(AND(Q299=1,T299=1,I299&lt;&gt;"",W299&lt;&gt;""),IF(I299&lt;&gt;W299,1,0),0)</f>
        <v>0</v>
      </c>
      <c r="Y299" s="96">
        <f>IF(N299=0,0,IF(OR(Q299=0,T299=0,V299=0,AND(X299=1,J299&lt;&gt;"Sim")),1,0))</f>
        <v>0</v>
      </c>
      <c r="Z299" s="96">
        <f>IF(Q299=1,INDEX('CDFs'!$W$6:$W$505,P299),0)</f>
        <v>0</v>
      </c>
      <c r="AA299" s="96">
        <f>IF(AND(N299=1,Y299=0,Z299=1,J299="Sim"),1,0)</f>
        <v>0</v>
      </c>
      <c r="AB299" s="96">
        <f>IF(AND(N299=1,O299&lt;&gt;"",D299&lt;&gt;""),IF(COUNTIFS($O$6:O299,O299,$D$6:D299,D299)=1,1,0),0)</f>
        <v>0</v>
      </c>
      <c r="AC299" s="96">
        <f>IF(T299=1,INDEX('ITENS_MTR'!$AL$6:$AL$1005,S299),0)</f>
        <v>0</v>
      </c>
    </row>
    <row r="300">
      <c r="A300" s="89" t="inlineStr">
        <is>
          <t>VIN-000295</t>
        </is>
      </c>
      <c r="B300" s="91" t="n"/>
      <c r="C300" s="91" t="n"/>
      <c r="D300" s="94" t="str">
        <f>IF(T300=1,INDEX('ITENS_MTR'!$S$6:$S$1005,S300)&amp;"","")</f>
        <v/>
      </c>
      <c r="E300" s="94" t="str">
        <f>IF(T300=1,INDEX('ITENS_MTR'!$C$6:$C$1005,S300)&amp;"","")</f>
        <v/>
      </c>
      <c r="F300" s="98" t="n"/>
      <c r="G300" s="91" t="n"/>
      <c r="H300" s="93" t="str">
        <f>IF(N300=0,"",IF(NOT(ISNUMBER(F300)),"",IF(ISNUMBER(U300),F300*U300,"UNIDADE A CONFERIR")))</f>
        <v/>
      </c>
      <c r="I300" s="94" t="str">
        <f>IF(Q300=1,INDEX('CDFs'!$F$6:$F$505,P300)&amp;"","")</f>
        <v/>
      </c>
      <c r="J300" s="91" t="n"/>
      <c r="K300" s="91" t="n"/>
      <c r="L300" s="94" t="str">
        <f>IF(N300=0,"",IF(NOT(ISNUMBER(F300)),"Quantidade não informada",IF(F300&lt;=0,"Quantidade não positiva",IF(G300="","Unidade não informada",IF(NOT(ISNUMBER(H300)),"Unidade a conferir",IF(AC300=1,"REVISAR VÍNCULO: soma vinculada maior que a referência do item","OK"))))))</f>
        <v/>
      </c>
      <c r="M300" s="94" t="str">
        <f>IF(N300=0,"",IF(B300="","CDF não informado",IF(Q300=0,"REVISAR VÍNCULO: CDF inexistente",IF(C300="","Item não informado",IF(T300=0,"REVISAR VÍNCULO: item inexistente",IF(AND(X300=1,J300&lt;&gt;"Sim"),"REVISAR VÍNCULO: destinador diferente do MTR",IF(X300=1,"Destinador diferente do MTR (analisado)","OK")))))))</f>
        <v/>
      </c>
      <c r="N300" s="96">
        <f>IF(COUNTA(B300:C300,F300:G300,J300:K300)&gt;0,1,0)</f>
        <v>0</v>
      </c>
      <c r="O300" s="96" t="str">
        <f>IF(B300="","",TRIM(LEFT(B300,FIND(" |",B300&amp;" |")-1)))</f>
        <v/>
      </c>
      <c r="P300" s="96" t="str">
        <f>IF(O300="","",IFERROR(MATCH(O300,'CDFs'!$A$6:$A$505,0),""))</f>
        <v/>
      </c>
      <c r="Q300" s="96">
        <f>IF(P300="",0,IF(INDEX('CDFs'!$S$6:$S$505,P300)=1,1,0))</f>
        <v>0</v>
      </c>
      <c r="R300" s="96" t="str">
        <f>IF(C300="","",TRIM(LEFT(C300,FIND(" |",C300&amp;" |")-1)))</f>
        <v/>
      </c>
      <c r="S300" s="96" t="str">
        <f>IF(R300="","",IFERROR(MATCH(R300,'ITENS_MTR'!$A$6:$A$1005,0),""))</f>
        <v/>
      </c>
      <c r="T300" s="96">
        <f>IF(S300="",0,IF(INDEX('ITENS_MTR'!$R$6:$R$1005,S300)=1,1,0))</f>
        <v>0</v>
      </c>
      <c r="U300" s="96" t="str">
        <f>IF(G300="","",IFERROR(IF(ISNUMBER(INDEX(cfg_fac,MATCH(G300,cfg_units,0))),IF(INDEX(cfg_fac,MATCH(G300,cfg_units,0))&gt;0,INDEX(cfg_fac,MATCH(G300,cfg_units,0)),""),""),""))</f>
        <v/>
      </c>
      <c r="V300" s="96">
        <f>IF(AND(ISNUMBER(F300),ISNUMBER(H300)),IF(H300&gt;0,1,0),0)</f>
        <v>0</v>
      </c>
      <c r="W300" s="96" t="str">
        <f>IF(T300=1,INDEX('ITENS_MTR'!$AU$6:$AU$1005,S300)&amp;"","")</f>
        <v/>
      </c>
      <c r="X300" s="96">
        <f>IF(AND(Q300=1,T300=1,I300&lt;&gt;"",W300&lt;&gt;""),IF(I300&lt;&gt;W300,1,0),0)</f>
        <v>0</v>
      </c>
      <c r="Y300" s="96">
        <f>IF(N300=0,0,IF(OR(Q300=0,T300=0,V300=0,AND(X300=1,J300&lt;&gt;"Sim")),1,0))</f>
        <v>0</v>
      </c>
      <c r="Z300" s="96">
        <f>IF(Q300=1,INDEX('CDFs'!$W$6:$W$505,P300),0)</f>
        <v>0</v>
      </c>
      <c r="AA300" s="96">
        <f>IF(AND(N300=1,Y300=0,Z300=1,J300="Sim"),1,0)</f>
        <v>0</v>
      </c>
      <c r="AB300" s="96">
        <f>IF(AND(N300=1,O300&lt;&gt;"",D300&lt;&gt;""),IF(COUNTIFS($O$6:O300,O300,$D$6:D300,D300)=1,1,0),0)</f>
        <v>0</v>
      </c>
      <c r="AC300" s="96">
        <f>IF(T300=1,INDEX('ITENS_MTR'!$AL$6:$AL$1005,S300),0)</f>
        <v>0</v>
      </c>
    </row>
    <row r="301">
      <c r="A301" s="89" t="inlineStr">
        <is>
          <t>VIN-000296</t>
        </is>
      </c>
      <c r="B301" s="91" t="n"/>
      <c r="C301" s="91" t="n"/>
      <c r="D301" s="94" t="str">
        <f>IF(T301=1,INDEX('ITENS_MTR'!$S$6:$S$1005,S301)&amp;"","")</f>
        <v/>
      </c>
      <c r="E301" s="94" t="str">
        <f>IF(T301=1,INDEX('ITENS_MTR'!$C$6:$C$1005,S301)&amp;"","")</f>
        <v/>
      </c>
      <c r="F301" s="98" t="n"/>
      <c r="G301" s="91" t="n"/>
      <c r="H301" s="93" t="str">
        <f>IF(N301=0,"",IF(NOT(ISNUMBER(F301)),"",IF(ISNUMBER(U301),F301*U301,"UNIDADE A CONFERIR")))</f>
        <v/>
      </c>
      <c r="I301" s="94" t="str">
        <f>IF(Q301=1,INDEX('CDFs'!$F$6:$F$505,P301)&amp;"","")</f>
        <v/>
      </c>
      <c r="J301" s="91" t="n"/>
      <c r="K301" s="91" t="n"/>
      <c r="L301" s="94" t="str">
        <f>IF(N301=0,"",IF(NOT(ISNUMBER(F301)),"Quantidade não informada",IF(F301&lt;=0,"Quantidade não positiva",IF(G301="","Unidade não informada",IF(NOT(ISNUMBER(H301)),"Unidade a conferir",IF(AC301=1,"REVISAR VÍNCULO: soma vinculada maior que a referência do item","OK"))))))</f>
        <v/>
      </c>
      <c r="M301" s="94" t="str">
        <f>IF(N301=0,"",IF(B301="","CDF não informado",IF(Q301=0,"REVISAR VÍNCULO: CDF inexistente",IF(C301="","Item não informado",IF(T301=0,"REVISAR VÍNCULO: item inexistente",IF(AND(X301=1,J301&lt;&gt;"Sim"),"REVISAR VÍNCULO: destinador diferente do MTR",IF(X301=1,"Destinador diferente do MTR (analisado)","OK")))))))</f>
        <v/>
      </c>
      <c r="N301" s="96">
        <f>IF(COUNTA(B301:C301,F301:G301,J301:K301)&gt;0,1,0)</f>
        <v>0</v>
      </c>
      <c r="O301" s="96" t="str">
        <f>IF(B301="","",TRIM(LEFT(B301,FIND(" |",B301&amp;" |")-1)))</f>
        <v/>
      </c>
      <c r="P301" s="96" t="str">
        <f>IF(O301="","",IFERROR(MATCH(O301,'CDFs'!$A$6:$A$505,0),""))</f>
        <v/>
      </c>
      <c r="Q301" s="96">
        <f>IF(P301="",0,IF(INDEX('CDFs'!$S$6:$S$505,P301)=1,1,0))</f>
        <v>0</v>
      </c>
      <c r="R301" s="96" t="str">
        <f>IF(C301="","",TRIM(LEFT(C301,FIND(" |",C301&amp;" |")-1)))</f>
        <v/>
      </c>
      <c r="S301" s="96" t="str">
        <f>IF(R301="","",IFERROR(MATCH(R301,'ITENS_MTR'!$A$6:$A$1005,0),""))</f>
        <v/>
      </c>
      <c r="T301" s="96">
        <f>IF(S301="",0,IF(INDEX('ITENS_MTR'!$R$6:$R$1005,S301)=1,1,0))</f>
        <v>0</v>
      </c>
      <c r="U301" s="96" t="str">
        <f>IF(G301="","",IFERROR(IF(ISNUMBER(INDEX(cfg_fac,MATCH(G301,cfg_units,0))),IF(INDEX(cfg_fac,MATCH(G301,cfg_units,0))&gt;0,INDEX(cfg_fac,MATCH(G301,cfg_units,0)),""),""),""))</f>
        <v/>
      </c>
      <c r="V301" s="96">
        <f>IF(AND(ISNUMBER(F301),ISNUMBER(H301)),IF(H301&gt;0,1,0),0)</f>
        <v>0</v>
      </c>
      <c r="W301" s="96" t="str">
        <f>IF(T301=1,INDEX('ITENS_MTR'!$AU$6:$AU$1005,S301)&amp;"","")</f>
        <v/>
      </c>
      <c r="X301" s="96">
        <f>IF(AND(Q301=1,T301=1,I301&lt;&gt;"",W301&lt;&gt;""),IF(I301&lt;&gt;W301,1,0),0)</f>
        <v>0</v>
      </c>
      <c r="Y301" s="96">
        <f>IF(N301=0,0,IF(OR(Q301=0,T301=0,V301=0,AND(X301=1,J301&lt;&gt;"Sim")),1,0))</f>
        <v>0</v>
      </c>
      <c r="Z301" s="96">
        <f>IF(Q301=1,INDEX('CDFs'!$W$6:$W$505,P301),0)</f>
        <v>0</v>
      </c>
      <c r="AA301" s="96">
        <f>IF(AND(N301=1,Y301=0,Z301=1,J301="Sim"),1,0)</f>
        <v>0</v>
      </c>
      <c r="AB301" s="96">
        <f>IF(AND(N301=1,O301&lt;&gt;"",D301&lt;&gt;""),IF(COUNTIFS($O$6:O301,O301,$D$6:D301,D301)=1,1,0),0)</f>
        <v>0</v>
      </c>
      <c r="AC301" s="96">
        <f>IF(T301=1,INDEX('ITENS_MTR'!$AL$6:$AL$1005,S301),0)</f>
        <v>0</v>
      </c>
    </row>
    <row r="302">
      <c r="A302" s="89" t="inlineStr">
        <is>
          <t>VIN-000297</t>
        </is>
      </c>
      <c r="B302" s="91" t="n"/>
      <c r="C302" s="91" t="n"/>
      <c r="D302" s="94" t="str">
        <f>IF(T302=1,INDEX('ITENS_MTR'!$S$6:$S$1005,S302)&amp;"","")</f>
        <v/>
      </c>
      <c r="E302" s="94" t="str">
        <f>IF(T302=1,INDEX('ITENS_MTR'!$C$6:$C$1005,S302)&amp;"","")</f>
        <v/>
      </c>
      <c r="F302" s="98" t="n"/>
      <c r="G302" s="91" t="n"/>
      <c r="H302" s="93" t="str">
        <f>IF(N302=0,"",IF(NOT(ISNUMBER(F302)),"",IF(ISNUMBER(U302),F302*U302,"UNIDADE A CONFERIR")))</f>
        <v/>
      </c>
      <c r="I302" s="94" t="str">
        <f>IF(Q302=1,INDEX('CDFs'!$F$6:$F$505,P302)&amp;"","")</f>
        <v/>
      </c>
      <c r="J302" s="91" t="n"/>
      <c r="K302" s="91" t="n"/>
      <c r="L302" s="94" t="str">
        <f>IF(N302=0,"",IF(NOT(ISNUMBER(F302)),"Quantidade não informada",IF(F302&lt;=0,"Quantidade não positiva",IF(G302="","Unidade não informada",IF(NOT(ISNUMBER(H302)),"Unidade a conferir",IF(AC302=1,"REVISAR VÍNCULO: soma vinculada maior que a referência do item","OK"))))))</f>
        <v/>
      </c>
      <c r="M302" s="94" t="str">
        <f>IF(N302=0,"",IF(B302="","CDF não informado",IF(Q302=0,"REVISAR VÍNCULO: CDF inexistente",IF(C302="","Item não informado",IF(T302=0,"REVISAR VÍNCULO: item inexistente",IF(AND(X302=1,J302&lt;&gt;"Sim"),"REVISAR VÍNCULO: destinador diferente do MTR",IF(X302=1,"Destinador diferente do MTR (analisado)","OK")))))))</f>
        <v/>
      </c>
      <c r="N302" s="96">
        <f>IF(COUNTA(B302:C302,F302:G302,J302:K302)&gt;0,1,0)</f>
        <v>0</v>
      </c>
      <c r="O302" s="96" t="str">
        <f>IF(B302="","",TRIM(LEFT(B302,FIND(" |",B302&amp;" |")-1)))</f>
        <v/>
      </c>
      <c r="P302" s="96" t="str">
        <f>IF(O302="","",IFERROR(MATCH(O302,'CDFs'!$A$6:$A$505,0),""))</f>
        <v/>
      </c>
      <c r="Q302" s="96">
        <f>IF(P302="",0,IF(INDEX('CDFs'!$S$6:$S$505,P302)=1,1,0))</f>
        <v>0</v>
      </c>
      <c r="R302" s="96" t="str">
        <f>IF(C302="","",TRIM(LEFT(C302,FIND(" |",C302&amp;" |")-1)))</f>
        <v/>
      </c>
      <c r="S302" s="96" t="str">
        <f>IF(R302="","",IFERROR(MATCH(R302,'ITENS_MTR'!$A$6:$A$1005,0),""))</f>
        <v/>
      </c>
      <c r="T302" s="96">
        <f>IF(S302="",0,IF(INDEX('ITENS_MTR'!$R$6:$R$1005,S302)=1,1,0))</f>
        <v>0</v>
      </c>
      <c r="U302" s="96" t="str">
        <f>IF(G302="","",IFERROR(IF(ISNUMBER(INDEX(cfg_fac,MATCH(G302,cfg_units,0))),IF(INDEX(cfg_fac,MATCH(G302,cfg_units,0))&gt;0,INDEX(cfg_fac,MATCH(G302,cfg_units,0)),""),""),""))</f>
        <v/>
      </c>
      <c r="V302" s="96">
        <f>IF(AND(ISNUMBER(F302),ISNUMBER(H302)),IF(H302&gt;0,1,0),0)</f>
        <v>0</v>
      </c>
      <c r="W302" s="96" t="str">
        <f>IF(T302=1,INDEX('ITENS_MTR'!$AU$6:$AU$1005,S302)&amp;"","")</f>
        <v/>
      </c>
      <c r="X302" s="96">
        <f>IF(AND(Q302=1,T302=1,I302&lt;&gt;"",W302&lt;&gt;""),IF(I302&lt;&gt;W302,1,0),0)</f>
        <v>0</v>
      </c>
      <c r="Y302" s="96">
        <f>IF(N302=0,0,IF(OR(Q302=0,T302=0,V302=0,AND(X302=1,J302&lt;&gt;"Sim")),1,0))</f>
        <v>0</v>
      </c>
      <c r="Z302" s="96">
        <f>IF(Q302=1,INDEX('CDFs'!$W$6:$W$505,P302),0)</f>
        <v>0</v>
      </c>
      <c r="AA302" s="96">
        <f>IF(AND(N302=1,Y302=0,Z302=1,J302="Sim"),1,0)</f>
        <v>0</v>
      </c>
      <c r="AB302" s="96">
        <f>IF(AND(N302=1,O302&lt;&gt;"",D302&lt;&gt;""),IF(COUNTIFS($O$6:O302,O302,$D$6:D302,D302)=1,1,0),0)</f>
        <v>0</v>
      </c>
      <c r="AC302" s="96">
        <f>IF(T302=1,INDEX('ITENS_MTR'!$AL$6:$AL$1005,S302),0)</f>
        <v>0</v>
      </c>
    </row>
    <row r="303">
      <c r="A303" s="89" t="inlineStr">
        <is>
          <t>VIN-000298</t>
        </is>
      </c>
      <c r="B303" s="91" t="n"/>
      <c r="C303" s="91" t="n"/>
      <c r="D303" s="94" t="str">
        <f>IF(T303=1,INDEX('ITENS_MTR'!$S$6:$S$1005,S303)&amp;"","")</f>
        <v/>
      </c>
      <c r="E303" s="94" t="str">
        <f>IF(T303=1,INDEX('ITENS_MTR'!$C$6:$C$1005,S303)&amp;"","")</f>
        <v/>
      </c>
      <c r="F303" s="98" t="n"/>
      <c r="G303" s="91" t="n"/>
      <c r="H303" s="93" t="str">
        <f>IF(N303=0,"",IF(NOT(ISNUMBER(F303)),"",IF(ISNUMBER(U303),F303*U303,"UNIDADE A CONFERIR")))</f>
        <v/>
      </c>
      <c r="I303" s="94" t="str">
        <f>IF(Q303=1,INDEX('CDFs'!$F$6:$F$505,P303)&amp;"","")</f>
        <v/>
      </c>
      <c r="J303" s="91" t="n"/>
      <c r="K303" s="91" t="n"/>
      <c r="L303" s="94" t="str">
        <f>IF(N303=0,"",IF(NOT(ISNUMBER(F303)),"Quantidade não informada",IF(F303&lt;=0,"Quantidade não positiva",IF(G303="","Unidade não informada",IF(NOT(ISNUMBER(H303)),"Unidade a conferir",IF(AC303=1,"REVISAR VÍNCULO: soma vinculada maior que a referência do item","OK"))))))</f>
        <v/>
      </c>
      <c r="M303" s="94" t="str">
        <f>IF(N303=0,"",IF(B303="","CDF não informado",IF(Q303=0,"REVISAR VÍNCULO: CDF inexistente",IF(C303="","Item não informado",IF(T303=0,"REVISAR VÍNCULO: item inexistente",IF(AND(X303=1,J303&lt;&gt;"Sim"),"REVISAR VÍNCULO: destinador diferente do MTR",IF(X303=1,"Destinador diferente do MTR (analisado)","OK")))))))</f>
        <v/>
      </c>
      <c r="N303" s="96">
        <f>IF(COUNTA(B303:C303,F303:G303,J303:K303)&gt;0,1,0)</f>
        <v>0</v>
      </c>
      <c r="O303" s="96" t="str">
        <f>IF(B303="","",TRIM(LEFT(B303,FIND(" |",B303&amp;" |")-1)))</f>
        <v/>
      </c>
      <c r="P303" s="96" t="str">
        <f>IF(O303="","",IFERROR(MATCH(O303,'CDFs'!$A$6:$A$505,0),""))</f>
        <v/>
      </c>
      <c r="Q303" s="96">
        <f>IF(P303="",0,IF(INDEX('CDFs'!$S$6:$S$505,P303)=1,1,0))</f>
        <v>0</v>
      </c>
      <c r="R303" s="96" t="str">
        <f>IF(C303="","",TRIM(LEFT(C303,FIND(" |",C303&amp;" |")-1)))</f>
        <v/>
      </c>
      <c r="S303" s="96" t="str">
        <f>IF(R303="","",IFERROR(MATCH(R303,'ITENS_MTR'!$A$6:$A$1005,0),""))</f>
        <v/>
      </c>
      <c r="T303" s="96">
        <f>IF(S303="",0,IF(INDEX('ITENS_MTR'!$R$6:$R$1005,S303)=1,1,0))</f>
        <v>0</v>
      </c>
      <c r="U303" s="96" t="str">
        <f>IF(G303="","",IFERROR(IF(ISNUMBER(INDEX(cfg_fac,MATCH(G303,cfg_units,0))),IF(INDEX(cfg_fac,MATCH(G303,cfg_units,0))&gt;0,INDEX(cfg_fac,MATCH(G303,cfg_units,0)),""),""),""))</f>
        <v/>
      </c>
      <c r="V303" s="96">
        <f>IF(AND(ISNUMBER(F303),ISNUMBER(H303)),IF(H303&gt;0,1,0),0)</f>
        <v>0</v>
      </c>
      <c r="W303" s="96" t="str">
        <f>IF(T303=1,INDEX('ITENS_MTR'!$AU$6:$AU$1005,S303)&amp;"","")</f>
        <v/>
      </c>
      <c r="X303" s="96">
        <f>IF(AND(Q303=1,T303=1,I303&lt;&gt;"",W303&lt;&gt;""),IF(I303&lt;&gt;W303,1,0),0)</f>
        <v>0</v>
      </c>
      <c r="Y303" s="96">
        <f>IF(N303=0,0,IF(OR(Q303=0,T303=0,V303=0,AND(X303=1,J303&lt;&gt;"Sim")),1,0))</f>
        <v>0</v>
      </c>
      <c r="Z303" s="96">
        <f>IF(Q303=1,INDEX('CDFs'!$W$6:$W$505,P303),0)</f>
        <v>0</v>
      </c>
      <c r="AA303" s="96">
        <f>IF(AND(N303=1,Y303=0,Z303=1,J303="Sim"),1,0)</f>
        <v>0</v>
      </c>
      <c r="AB303" s="96">
        <f>IF(AND(N303=1,O303&lt;&gt;"",D303&lt;&gt;""),IF(COUNTIFS($O$6:O303,O303,$D$6:D303,D303)=1,1,0),0)</f>
        <v>0</v>
      </c>
      <c r="AC303" s="96">
        <f>IF(T303=1,INDEX('ITENS_MTR'!$AL$6:$AL$1005,S303),0)</f>
        <v>0</v>
      </c>
    </row>
    <row r="304">
      <c r="A304" s="89" t="inlineStr">
        <is>
          <t>VIN-000299</t>
        </is>
      </c>
      <c r="B304" s="91" t="n"/>
      <c r="C304" s="91" t="n"/>
      <c r="D304" s="94" t="str">
        <f>IF(T304=1,INDEX('ITENS_MTR'!$S$6:$S$1005,S304)&amp;"","")</f>
        <v/>
      </c>
      <c r="E304" s="94" t="str">
        <f>IF(T304=1,INDEX('ITENS_MTR'!$C$6:$C$1005,S304)&amp;"","")</f>
        <v/>
      </c>
      <c r="F304" s="98" t="n"/>
      <c r="G304" s="91" t="n"/>
      <c r="H304" s="93" t="str">
        <f>IF(N304=0,"",IF(NOT(ISNUMBER(F304)),"",IF(ISNUMBER(U304),F304*U304,"UNIDADE A CONFERIR")))</f>
        <v/>
      </c>
      <c r="I304" s="94" t="str">
        <f>IF(Q304=1,INDEX('CDFs'!$F$6:$F$505,P304)&amp;"","")</f>
        <v/>
      </c>
      <c r="J304" s="91" t="n"/>
      <c r="K304" s="91" t="n"/>
      <c r="L304" s="94" t="str">
        <f>IF(N304=0,"",IF(NOT(ISNUMBER(F304)),"Quantidade não informada",IF(F304&lt;=0,"Quantidade não positiva",IF(G304="","Unidade não informada",IF(NOT(ISNUMBER(H304)),"Unidade a conferir",IF(AC304=1,"REVISAR VÍNCULO: soma vinculada maior que a referência do item","OK"))))))</f>
        <v/>
      </c>
      <c r="M304" s="94" t="str">
        <f>IF(N304=0,"",IF(B304="","CDF não informado",IF(Q304=0,"REVISAR VÍNCULO: CDF inexistente",IF(C304="","Item não informado",IF(T304=0,"REVISAR VÍNCULO: item inexistente",IF(AND(X304=1,J304&lt;&gt;"Sim"),"REVISAR VÍNCULO: destinador diferente do MTR",IF(X304=1,"Destinador diferente do MTR (analisado)","OK")))))))</f>
        <v/>
      </c>
      <c r="N304" s="96">
        <f>IF(COUNTA(B304:C304,F304:G304,J304:K304)&gt;0,1,0)</f>
        <v>0</v>
      </c>
      <c r="O304" s="96" t="str">
        <f>IF(B304="","",TRIM(LEFT(B304,FIND(" |",B304&amp;" |")-1)))</f>
        <v/>
      </c>
      <c r="P304" s="96" t="str">
        <f>IF(O304="","",IFERROR(MATCH(O304,'CDFs'!$A$6:$A$505,0),""))</f>
        <v/>
      </c>
      <c r="Q304" s="96">
        <f>IF(P304="",0,IF(INDEX('CDFs'!$S$6:$S$505,P304)=1,1,0))</f>
        <v>0</v>
      </c>
      <c r="R304" s="96" t="str">
        <f>IF(C304="","",TRIM(LEFT(C304,FIND(" |",C304&amp;" |")-1)))</f>
        <v/>
      </c>
      <c r="S304" s="96" t="str">
        <f>IF(R304="","",IFERROR(MATCH(R304,'ITENS_MTR'!$A$6:$A$1005,0),""))</f>
        <v/>
      </c>
      <c r="T304" s="96">
        <f>IF(S304="",0,IF(INDEX('ITENS_MTR'!$R$6:$R$1005,S304)=1,1,0))</f>
        <v>0</v>
      </c>
      <c r="U304" s="96" t="str">
        <f>IF(G304="","",IFERROR(IF(ISNUMBER(INDEX(cfg_fac,MATCH(G304,cfg_units,0))),IF(INDEX(cfg_fac,MATCH(G304,cfg_units,0))&gt;0,INDEX(cfg_fac,MATCH(G304,cfg_units,0)),""),""),""))</f>
        <v/>
      </c>
      <c r="V304" s="96">
        <f>IF(AND(ISNUMBER(F304),ISNUMBER(H304)),IF(H304&gt;0,1,0),0)</f>
        <v>0</v>
      </c>
      <c r="W304" s="96" t="str">
        <f>IF(T304=1,INDEX('ITENS_MTR'!$AU$6:$AU$1005,S304)&amp;"","")</f>
        <v/>
      </c>
      <c r="X304" s="96">
        <f>IF(AND(Q304=1,T304=1,I304&lt;&gt;"",W304&lt;&gt;""),IF(I304&lt;&gt;W304,1,0),0)</f>
        <v>0</v>
      </c>
      <c r="Y304" s="96">
        <f>IF(N304=0,0,IF(OR(Q304=0,T304=0,V304=0,AND(X304=1,J304&lt;&gt;"Sim")),1,0))</f>
        <v>0</v>
      </c>
      <c r="Z304" s="96">
        <f>IF(Q304=1,INDEX('CDFs'!$W$6:$W$505,P304),0)</f>
        <v>0</v>
      </c>
      <c r="AA304" s="96">
        <f>IF(AND(N304=1,Y304=0,Z304=1,J304="Sim"),1,0)</f>
        <v>0</v>
      </c>
      <c r="AB304" s="96">
        <f>IF(AND(N304=1,O304&lt;&gt;"",D304&lt;&gt;""),IF(COUNTIFS($O$6:O304,O304,$D$6:D304,D304)=1,1,0),0)</f>
        <v>0</v>
      </c>
      <c r="AC304" s="96">
        <f>IF(T304=1,INDEX('ITENS_MTR'!$AL$6:$AL$1005,S304),0)</f>
        <v>0</v>
      </c>
    </row>
    <row r="305">
      <c r="A305" s="89" t="inlineStr">
        <is>
          <t>VIN-000300</t>
        </is>
      </c>
      <c r="B305" s="91" t="n"/>
      <c r="C305" s="91" t="n"/>
      <c r="D305" s="94" t="str">
        <f>IF(T305=1,INDEX('ITENS_MTR'!$S$6:$S$1005,S305)&amp;"","")</f>
        <v/>
      </c>
      <c r="E305" s="94" t="str">
        <f>IF(T305=1,INDEX('ITENS_MTR'!$C$6:$C$1005,S305)&amp;"","")</f>
        <v/>
      </c>
      <c r="F305" s="98" t="n"/>
      <c r="G305" s="91" t="n"/>
      <c r="H305" s="93" t="str">
        <f>IF(N305=0,"",IF(NOT(ISNUMBER(F305)),"",IF(ISNUMBER(U305),F305*U305,"UNIDADE A CONFERIR")))</f>
        <v/>
      </c>
      <c r="I305" s="94" t="str">
        <f>IF(Q305=1,INDEX('CDFs'!$F$6:$F$505,P305)&amp;"","")</f>
        <v/>
      </c>
      <c r="J305" s="91" t="n"/>
      <c r="K305" s="91" t="n"/>
      <c r="L305" s="94" t="str">
        <f>IF(N305=0,"",IF(NOT(ISNUMBER(F305)),"Quantidade não informada",IF(F305&lt;=0,"Quantidade não positiva",IF(G305="","Unidade não informada",IF(NOT(ISNUMBER(H305)),"Unidade a conferir",IF(AC305=1,"REVISAR VÍNCULO: soma vinculada maior que a referência do item","OK"))))))</f>
        <v/>
      </c>
      <c r="M305" s="94" t="str">
        <f>IF(N305=0,"",IF(B305="","CDF não informado",IF(Q305=0,"REVISAR VÍNCULO: CDF inexistente",IF(C305="","Item não informado",IF(T305=0,"REVISAR VÍNCULO: item inexistente",IF(AND(X305=1,J305&lt;&gt;"Sim"),"REVISAR VÍNCULO: destinador diferente do MTR",IF(X305=1,"Destinador diferente do MTR (analisado)","OK")))))))</f>
        <v/>
      </c>
      <c r="N305" s="96">
        <f>IF(COUNTA(B305:C305,F305:G305,J305:K305)&gt;0,1,0)</f>
        <v>0</v>
      </c>
      <c r="O305" s="96" t="str">
        <f>IF(B305="","",TRIM(LEFT(B305,FIND(" |",B305&amp;" |")-1)))</f>
        <v/>
      </c>
      <c r="P305" s="96" t="str">
        <f>IF(O305="","",IFERROR(MATCH(O305,'CDFs'!$A$6:$A$505,0),""))</f>
        <v/>
      </c>
      <c r="Q305" s="96">
        <f>IF(P305="",0,IF(INDEX('CDFs'!$S$6:$S$505,P305)=1,1,0))</f>
        <v>0</v>
      </c>
      <c r="R305" s="96" t="str">
        <f>IF(C305="","",TRIM(LEFT(C305,FIND(" |",C305&amp;" |")-1)))</f>
        <v/>
      </c>
      <c r="S305" s="96" t="str">
        <f>IF(R305="","",IFERROR(MATCH(R305,'ITENS_MTR'!$A$6:$A$1005,0),""))</f>
        <v/>
      </c>
      <c r="T305" s="96">
        <f>IF(S305="",0,IF(INDEX('ITENS_MTR'!$R$6:$R$1005,S305)=1,1,0))</f>
        <v>0</v>
      </c>
      <c r="U305" s="96" t="str">
        <f>IF(G305="","",IFERROR(IF(ISNUMBER(INDEX(cfg_fac,MATCH(G305,cfg_units,0))),IF(INDEX(cfg_fac,MATCH(G305,cfg_units,0))&gt;0,INDEX(cfg_fac,MATCH(G305,cfg_units,0)),""),""),""))</f>
        <v/>
      </c>
      <c r="V305" s="96">
        <f>IF(AND(ISNUMBER(F305),ISNUMBER(H305)),IF(H305&gt;0,1,0),0)</f>
        <v>0</v>
      </c>
      <c r="W305" s="96" t="str">
        <f>IF(T305=1,INDEX('ITENS_MTR'!$AU$6:$AU$1005,S305)&amp;"","")</f>
        <v/>
      </c>
      <c r="X305" s="96">
        <f>IF(AND(Q305=1,T305=1,I305&lt;&gt;"",W305&lt;&gt;""),IF(I305&lt;&gt;W305,1,0),0)</f>
        <v>0</v>
      </c>
      <c r="Y305" s="96">
        <f>IF(N305=0,0,IF(OR(Q305=0,T305=0,V305=0,AND(X305=1,J305&lt;&gt;"Sim")),1,0))</f>
        <v>0</v>
      </c>
      <c r="Z305" s="96">
        <f>IF(Q305=1,INDEX('CDFs'!$W$6:$W$505,P305),0)</f>
        <v>0</v>
      </c>
      <c r="AA305" s="96">
        <f>IF(AND(N305=1,Y305=0,Z305=1,J305="Sim"),1,0)</f>
        <v>0</v>
      </c>
      <c r="AB305" s="96">
        <f>IF(AND(N305=1,O305&lt;&gt;"",D305&lt;&gt;""),IF(COUNTIFS($O$6:O305,O305,$D$6:D305,D305)=1,1,0),0)</f>
        <v>0</v>
      </c>
      <c r="AC305" s="96">
        <f>IF(T305=1,INDEX('ITENS_MTR'!$AL$6:$AL$1005,S305),0)</f>
        <v>0</v>
      </c>
    </row>
    <row r="306">
      <c r="A306" s="89" t="inlineStr">
        <is>
          <t>VIN-000301</t>
        </is>
      </c>
      <c r="B306" s="91" t="n"/>
      <c r="C306" s="91" t="n"/>
      <c r="D306" s="94" t="str">
        <f>IF(T306=1,INDEX('ITENS_MTR'!$S$6:$S$1005,S306)&amp;"","")</f>
        <v/>
      </c>
      <c r="E306" s="94" t="str">
        <f>IF(T306=1,INDEX('ITENS_MTR'!$C$6:$C$1005,S306)&amp;"","")</f>
        <v/>
      </c>
      <c r="F306" s="98" t="n"/>
      <c r="G306" s="91" t="n"/>
      <c r="H306" s="93" t="str">
        <f>IF(N306=0,"",IF(NOT(ISNUMBER(F306)),"",IF(ISNUMBER(U306),F306*U306,"UNIDADE A CONFERIR")))</f>
        <v/>
      </c>
      <c r="I306" s="94" t="str">
        <f>IF(Q306=1,INDEX('CDFs'!$F$6:$F$505,P306)&amp;"","")</f>
        <v/>
      </c>
      <c r="J306" s="91" t="n"/>
      <c r="K306" s="91" t="n"/>
      <c r="L306" s="94" t="str">
        <f>IF(N306=0,"",IF(NOT(ISNUMBER(F306)),"Quantidade não informada",IF(F306&lt;=0,"Quantidade não positiva",IF(G306="","Unidade não informada",IF(NOT(ISNUMBER(H306)),"Unidade a conferir",IF(AC306=1,"REVISAR VÍNCULO: soma vinculada maior que a referência do item","OK"))))))</f>
        <v/>
      </c>
      <c r="M306" s="94" t="str">
        <f>IF(N306=0,"",IF(B306="","CDF não informado",IF(Q306=0,"REVISAR VÍNCULO: CDF inexistente",IF(C306="","Item não informado",IF(T306=0,"REVISAR VÍNCULO: item inexistente",IF(AND(X306=1,J306&lt;&gt;"Sim"),"REVISAR VÍNCULO: destinador diferente do MTR",IF(X306=1,"Destinador diferente do MTR (analisado)","OK")))))))</f>
        <v/>
      </c>
      <c r="N306" s="96">
        <f>IF(COUNTA(B306:C306,F306:G306,J306:K306)&gt;0,1,0)</f>
        <v>0</v>
      </c>
      <c r="O306" s="96" t="str">
        <f>IF(B306="","",TRIM(LEFT(B306,FIND(" |",B306&amp;" |")-1)))</f>
        <v/>
      </c>
      <c r="P306" s="96" t="str">
        <f>IF(O306="","",IFERROR(MATCH(O306,'CDFs'!$A$6:$A$505,0),""))</f>
        <v/>
      </c>
      <c r="Q306" s="96">
        <f>IF(P306="",0,IF(INDEX('CDFs'!$S$6:$S$505,P306)=1,1,0))</f>
        <v>0</v>
      </c>
      <c r="R306" s="96" t="str">
        <f>IF(C306="","",TRIM(LEFT(C306,FIND(" |",C306&amp;" |")-1)))</f>
        <v/>
      </c>
      <c r="S306" s="96" t="str">
        <f>IF(R306="","",IFERROR(MATCH(R306,'ITENS_MTR'!$A$6:$A$1005,0),""))</f>
        <v/>
      </c>
      <c r="T306" s="96">
        <f>IF(S306="",0,IF(INDEX('ITENS_MTR'!$R$6:$R$1005,S306)=1,1,0))</f>
        <v>0</v>
      </c>
      <c r="U306" s="96" t="str">
        <f>IF(G306="","",IFERROR(IF(ISNUMBER(INDEX(cfg_fac,MATCH(G306,cfg_units,0))),IF(INDEX(cfg_fac,MATCH(G306,cfg_units,0))&gt;0,INDEX(cfg_fac,MATCH(G306,cfg_units,0)),""),""),""))</f>
        <v/>
      </c>
      <c r="V306" s="96">
        <f>IF(AND(ISNUMBER(F306),ISNUMBER(H306)),IF(H306&gt;0,1,0),0)</f>
        <v>0</v>
      </c>
      <c r="W306" s="96" t="str">
        <f>IF(T306=1,INDEX('ITENS_MTR'!$AU$6:$AU$1005,S306)&amp;"","")</f>
        <v/>
      </c>
      <c r="X306" s="96">
        <f>IF(AND(Q306=1,T306=1,I306&lt;&gt;"",W306&lt;&gt;""),IF(I306&lt;&gt;W306,1,0),0)</f>
        <v>0</v>
      </c>
      <c r="Y306" s="96">
        <f>IF(N306=0,0,IF(OR(Q306=0,T306=0,V306=0,AND(X306=1,J306&lt;&gt;"Sim")),1,0))</f>
        <v>0</v>
      </c>
      <c r="Z306" s="96">
        <f>IF(Q306=1,INDEX('CDFs'!$W$6:$W$505,P306),0)</f>
        <v>0</v>
      </c>
      <c r="AA306" s="96">
        <f>IF(AND(N306=1,Y306=0,Z306=1,J306="Sim"),1,0)</f>
        <v>0</v>
      </c>
      <c r="AB306" s="96">
        <f>IF(AND(N306=1,O306&lt;&gt;"",D306&lt;&gt;""),IF(COUNTIFS($O$6:O306,O306,$D$6:D306,D306)=1,1,0),0)</f>
        <v>0</v>
      </c>
      <c r="AC306" s="96">
        <f>IF(T306=1,INDEX('ITENS_MTR'!$AL$6:$AL$1005,S306),0)</f>
        <v>0</v>
      </c>
    </row>
    <row r="307">
      <c r="A307" s="89" t="inlineStr">
        <is>
          <t>VIN-000302</t>
        </is>
      </c>
      <c r="B307" s="91" t="n"/>
      <c r="C307" s="91" t="n"/>
      <c r="D307" s="94" t="str">
        <f>IF(T307=1,INDEX('ITENS_MTR'!$S$6:$S$1005,S307)&amp;"","")</f>
        <v/>
      </c>
      <c r="E307" s="94" t="str">
        <f>IF(T307=1,INDEX('ITENS_MTR'!$C$6:$C$1005,S307)&amp;"","")</f>
        <v/>
      </c>
      <c r="F307" s="98" t="n"/>
      <c r="G307" s="91" t="n"/>
      <c r="H307" s="93" t="str">
        <f>IF(N307=0,"",IF(NOT(ISNUMBER(F307)),"",IF(ISNUMBER(U307),F307*U307,"UNIDADE A CONFERIR")))</f>
        <v/>
      </c>
      <c r="I307" s="94" t="str">
        <f>IF(Q307=1,INDEX('CDFs'!$F$6:$F$505,P307)&amp;"","")</f>
        <v/>
      </c>
      <c r="J307" s="91" t="n"/>
      <c r="K307" s="91" t="n"/>
      <c r="L307" s="94" t="str">
        <f>IF(N307=0,"",IF(NOT(ISNUMBER(F307)),"Quantidade não informada",IF(F307&lt;=0,"Quantidade não positiva",IF(G307="","Unidade não informada",IF(NOT(ISNUMBER(H307)),"Unidade a conferir",IF(AC307=1,"REVISAR VÍNCULO: soma vinculada maior que a referência do item","OK"))))))</f>
        <v/>
      </c>
      <c r="M307" s="94" t="str">
        <f>IF(N307=0,"",IF(B307="","CDF não informado",IF(Q307=0,"REVISAR VÍNCULO: CDF inexistente",IF(C307="","Item não informado",IF(T307=0,"REVISAR VÍNCULO: item inexistente",IF(AND(X307=1,J307&lt;&gt;"Sim"),"REVISAR VÍNCULO: destinador diferente do MTR",IF(X307=1,"Destinador diferente do MTR (analisado)","OK")))))))</f>
        <v/>
      </c>
      <c r="N307" s="96">
        <f>IF(COUNTA(B307:C307,F307:G307,J307:K307)&gt;0,1,0)</f>
        <v>0</v>
      </c>
      <c r="O307" s="96" t="str">
        <f>IF(B307="","",TRIM(LEFT(B307,FIND(" |",B307&amp;" |")-1)))</f>
        <v/>
      </c>
      <c r="P307" s="96" t="str">
        <f>IF(O307="","",IFERROR(MATCH(O307,'CDFs'!$A$6:$A$505,0),""))</f>
        <v/>
      </c>
      <c r="Q307" s="96">
        <f>IF(P307="",0,IF(INDEX('CDFs'!$S$6:$S$505,P307)=1,1,0))</f>
        <v>0</v>
      </c>
      <c r="R307" s="96" t="str">
        <f>IF(C307="","",TRIM(LEFT(C307,FIND(" |",C307&amp;" |")-1)))</f>
        <v/>
      </c>
      <c r="S307" s="96" t="str">
        <f>IF(R307="","",IFERROR(MATCH(R307,'ITENS_MTR'!$A$6:$A$1005,0),""))</f>
        <v/>
      </c>
      <c r="T307" s="96">
        <f>IF(S307="",0,IF(INDEX('ITENS_MTR'!$R$6:$R$1005,S307)=1,1,0))</f>
        <v>0</v>
      </c>
      <c r="U307" s="96" t="str">
        <f>IF(G307="","",IFERROR(IF(ISNUMBER(INDEX(cfg_fac,MATCH(G307,cfg_units,0))),IF(INDEX(cfg_fac,MATCH(G307,cfg_units,0))&gt;0,INDEX(cfg_fac,MATCH(G307,cfg_units,0)),""),""),""))</f>
        <v/>
      </c>
      <c r="V307" s="96">
        <f>IF(AND(ISNUMBER(F307),ISNUMBER(H307)),IF(H307&gt;0,1,0),0)</f>
        <v>0</v>
      </c>
      <c r="W307" s="96" t="str">
        <f>IF(T307=1,INDEX('ITENS_MTR'!$AU$6:$AU$1005,S307)&amp;"","")</f>
        <v/>
      </c>
      <c r="X307" s="96">
        <f>IF(AND(Q307=1,T307=1,I307&lt;&gt;"",W307&lt;&gt;""),IF(I307&lt;&gt;W307,1,0),0)</f>
        <v>0</v>
      </c>
      <c r="Y307" s="96">
        <f>IF(N307=0,0,IF(OR(Q307=0,T307=0,V307=0,AND(X307=1,J307&lt;&gt;"Sim")),1,0))</f>
        <v>0</v>
      </c>
      <c r="Z307" s="96">
        <f>IF(Q307=1,INDEX('CDFs'!$W$6:$W$505,P307),0)</f>
        <v>0</v>
      </c>
      <c r="AA307" s="96">
        <f>IF(AND(N307=1,Y307=0,Z307=1,J307="Sim"),1,0)</f>
        <v>0</v>
      </c>
      <c r="AB307" s="96">
        <f>IF(AND(N307=1,O307&lt;&gt;"",D307&lt;&gt;""),IF(COUNTIFS($O$6:O307,O307,$D$6:D307,D307)=1,1,0),0)</f>
        <v>0</v>
      </c>
      <c r="AC307" s="96">
        <f>IF(T307=1,INDEX('ITENS_MTR'!$AL$6:$AL$1005,S307),0)</f>
        <v>0</v>
      </c>
    </row>
    <row r="308">
      <c r="A308" s="89" t="inlineStr">
        <is>
          <t>VIN-000303</t>
        </is>
      </c>
      <c r="B308" s="91" t="n"/>
      <c r="C308" s="91" t="n"/>
      <c r="D308" s="94" t="str">
        <f>IF(T308=1,INDEX('ITENS_MTR'!$S$6:$S$1005,S308)&amp;"","")</f>
        <v/>
      </c>
      <c r="E308" s="94" t="str">
        <f>IF(T308=1,INDEX('ITENS_MTR'!$C$6:$C$1005,S308)&amp;"","")</f>
        <v/>
      </c>
      <c r="F308" s="98" t="n"/>
      <c r="G308" s="91" t="n"/>
      <c r="H308" s="93" t="str">
        <f>IF(N308=0,"",IF(NOT(ISNUMBER(F308)),"",IF(ISNUMBER(U308),F308*U308,"UNIDADE A CONFERIR")))</f>
        <v/>
      </c>
      <c r="I308" s="94" t="str">
        <f>IF(Q308=1,INDEX('CDFs'!$F$6:$F$505,P308)&amp;"","")</f>
        <v/>
      </c>
      <c r="J308" s="91" t="n"/>
      <c r="K308" s="91" t="n"/>
      <c r="L308" s="94" t="str">
        <f>IF(N308=0,"",IF(NOT(ISNUMBER(F308)),"Quantidade não informada",IF(F308&lt;=0,"Quantidade não positiva",IF(G308="","Unidade não informada",IF(NOT(ISNUMBER(H308)),"Unidade a conferir",IF(AC308=1,"REVISAR VÍNCULO: soma vinculada maior que a referência do item","OK"))))))</f>
        <v/>
      </c>
      <c r="M308" s="94" t="str">
        <f>IF(N308=0,"",IF(B308="","CDF não informado",IF(Q308=0,"REVISAR VÍNCULO: CDF inexistente",IF(C308="","Item não informado",IF(T308=0,"REVISAR VÍNCULO: item inexistente",IF(AND(X308=1,J308&lt;&gt;"Sim"),"REVISAR VÍNCULO: destinador diferente do MTR",IF(X308=1,"Destinador diferente do MTR (analisado)","OK")))))))</f>
        <v/>
      </c>
      <c r="N308" s="96">
        <f>IF(COUNTA(B308:C308,F308:G308,J308:K308)&gt;0,1,0)</f>
        <v>0</v>
      </c>
      <c r="O308" s="96" t="str">
        <f>IF(B308="","",TRIM(LEFT(B308,FIND(" |",B308&amp;" |")-1)))</f>
        <v/>
      </c>
      <c r="P308" s="96" t="str">
        <f>IF(O308="","",IFERROR(MATCH(O308,'CDFs'!$A$6:$A$505,0),""))</f>
        <v/>
      </c>
      <c r="Q308" s="96">
        <f>IF(P308="",0,IF(INDEX('CDFs'!$S$6:$S$505,P308)=1,1,0))</f>
        <v>0</v>
      </c>
      <c r="R308" s="96" t="str">
        <f>IF(C308="","",TRIM(LEFT(C308,FIND(" |",C308&amp;" |")-1)))</f>
        <v/>
      </c>
      <c r="S308" s="96" t="str">
        <f>IF(R308="","",IFERROR(MATCH(R308,'ITENS_MTR'!$A$6:$A$1005,0),""))</f>
        <v/>
      </c>
      <c r="T308" s="96">
        <f>IF(S308="",0,IF(INDEX('ITENS_MTR'!$R$6:$R$1005,S308)=1,1,0))</f>
        <v>0</v>
      </c>
      <c r="U308" s="96" t="str">
        <f>IF(G308="","",IFERROR(IF(ISNUMBER(INDEX(cfg_fac,MATCH(G308,cfg_units,0))),IF(INDEX(cfg_fac,MATCH(G308,cfg_units,0))&gt;0,INDEX(cfg_fac,MATCH(G308,cfg_units,0)),""),""),""))</f>
        <v/>
      </c>
      <c r="V308" s="96">
        <f>IF(AND(ISNUMBER(F308),ISNUMBER(H308)),IF(H308&gt;0,1,0),0)</f>
        <v>0</v>
      </c>
      <c r="W308" s="96" t="str">
        <f>IF(T308=1,INDEX('ITENS_MTR'!$AU$6:$AU$1005,S308)&amp;"","")</f>
        <v/>
      </c>
      <c r="X308" s="96">
        <f>IF(AND(Q308=1,T308=1,I308&lt;&gt;"",W308&lt;&gt;""),IF(I308&lt;&gt;W308,1,0),0)</f>
        <v>0</v>
      </c>
      <c r="Y308" s="96">
        <f>IF(N308=0,0,IF(OR(Q308=0,T308=0,V308=0,AND(X308=1,J308&lt;&gt;"Sim")),1,0))</f>
        <v>0</v>
      </c>
      <c r="Z308" s="96">
        <f>IF(Q308=1,INDEX('CDFs'!$W$6:$W$505,P308),0)</f>
        <v>0</v>
      </c>
      <c r="AA308" s="96">
        <f>IF(AND(N308=1,Y308=0,Z308=1,J308="Sim"),1,0)</f>
        <v>0</v>
      </c>
      <c r="AB308" s="96">
        <f>IF(AND(N308=1,O308&lt;&gt;"",D308&lt;&gt;""),IF(COUNTIFS($O$6:O308,O308,$D$6:D308,D308)=1,1,0),0)</f>
        <v>0</v>
      </c>
      <c r="AC308" s="96">
        <f>IF(T308=1,INDEX('ITENS_MTR'!$AL$6:$AL$1005,S308),0)</f>
        <v>0</v>
      </c>
    </row>
    <row r="309">
      <c r="A309" s="89" t="inlineStr">
        <is>
          <t>VIN-000304</t>
        </is>
      </c>
      <c r="B309" s="91" t="n"/>
      <c r="C309" s="91" t="n"/>
      <c r="D309" s="94" t="str">
        <f>IF(T309=1,INDEX('ITENS_MTR'!$S$6:$S$1005,S309)&amp;"","")</f>
        <v/>
      </c>
      <c r="E309" s="94" t="str">
        <f>IF(T309=1,INDEX('ITENS_MTR'!$C$6:$C$1005,S309)&amp;"","")</f>
        <v/>
      </c>
      <c r="F309" s="98" t="n"/>
      <c r="G309" s="91" t="n"/>
      <c r="H309" s="93" t="str">
        <f>IF(N309=0,"",IF(NOT(ISNUMBER(F309)),"",IF(ISNUMBER(U309),F309*U309,"UNIDADE A CONFERIR")))</f>
        <v/>
      </c>
      <c r="I309" s="94" t="str">
        <f>IF(Q309=1,INDEX('CDFs'!$F$6:$F$505,P309)&amp;"","")</f>
        <v/>
      </c>
      <c r="J309" s="91" t="n"/>
      <c r="K309" s="91" t="n"/>
      <c r="L309" s="94" t="str">
        <f>IF(N309=0,"",IF(NOT(ISNUMBER(F309)),"Quantidade não informada",IF(F309&lt;=0,"Quantidade não positiva",IF(G309="","Unidade não informada",IF(NOT(ISNUMBER(H309)),"Unidade a conferir",IF(AC309=1,"REVISAR VÍNCULO: soma vinculada maior que a referência do item","OK"))))))</f>
        <v/>
      </c>
      <c r="M309" s="94" t="str">
        <f>IF(N309=0,"",IF(B309="","CDF não informado",IF(Q309=0,"REVISAR VÍNCULO: CDF inexistente",IF(C309="","Item não informado",IF(T309=0,"REVISAR VÍNCULO: item inexistente",IF(AND(X309=1,J309&lt;&gt;"Sim"),"REVISAR VÍNCULO: destinador diferente do MTR",IF(X309=1,"Destinador diferente do MTR (analisado)","OK")))))))</f>
        <v/>
      </c>
      <c r="N309" s="96">
        <f>IF(COUNTA(B309:C309,F309:G309,J309:K309)&gt;0,1,0)</f>
        <v>0</v>
      </c>
      <c r="O309" s="96" t="str">
        <f>IF(B309="","",TRIM(LEFT(B309,FIND(" |",B309&amp;" |")-1)))</f>
        <v/>
      </c>
      <c r="P309" s="96" t="str">
        <f>IF(O309="","",IFERROR(MATCH(O309,'CDFs'!$A$6:$A$505,0),""))</f>
        <v/>
      </c>
      <c r="Q309" s="96">
        <f>IF(P309="",0,IF(INDEX('CDFs'!$S$6:$S$505,P309)=1,1,0))</f>
        <v>0</v>
      </c>
      <c r="R309" s="96" t="str">
        <f>IF(C309="","",TRIM(LEFT(C309,FIND(" |",C309&amp;" |")-1)))</f>
        <v/>
      </c>
      <c r="S309" s="96" t="str">
        <f>IF(R309="","",IFERROR(MATCH(R309,'ITENS_MTR'!$A$6:$A$1005,0),""))</f>
        <v/>
      </c>
      <c r="T309" s="96">
        <f>IF(S309="",0,IF(INDEX('ITENS_MTR'!$R$6:$R$1005,S309)=1,1,0))</f>
        <v>0</v>
      </c>
      <c r="U309" s="96" t="str">
        <f>IF(G309="","",IFERROR(IF(ISNUMBER(INDEX(cfg_fac,MATCH(G309,cfg_units,0))),IF(INDEX(cfg_fac,MATCH(G309,cfg_units,0))&gt;0,INDEX(cfg_fac,MATCH(G309,cfg_units,0)),""),""),""))</f>
        <v/>
      </c>
      <c r="V309" s="96">
        <f>IF(AND(ISNUMBER(F309),ISNUMBER(H309)),IF(H309&gt;0,1,0),0)</f>
        <v>0</v>
      </c>
      <c r="W309" s="96" t="str">
        <f>IF(T309=1,INDEX('ITENS_MTR'!$AU$6:$AU$1005,S309)&amp;"","")</f>
        <v/>
      </c>
      <c r="X309" s="96">
        <f>IF(AND(Q309=1,T309=1,I309&lt;&gt;"",W309&lt;&gt;""),IF(I309&lt;&gt;W309,1,0),0)</f>
        <v>0</v>
      </c>
      <c r="Y309" s="96">
        <f>IF(N309=0,0,IF(OR(Q309=0,T309=0,V309=0,AND(X309=1,J309&lt;&gt;"Sim")),1,0))</f>
        <v>0</v>
      </c>
      <c r="Z309" s="96">
        <f>IF(Q309=1,INDEX('CDFs'!$W$6:$W$505,P309),0)</f>
        <v>0</v>
      </c>
      <c r="AA309" s="96">
        <f>IF(AND(N309=1,Y309=0,Z309=1,J309="Sim"),1,0)</f>
        <v>0</v>
      </c>
      <c r="AB309" s="96">
        <f>IF(AND(N309=1,O309&lt;&gt;"",D309&lt;&gt;""),IF(COUNTIFS($O$6:O309,O309,$D$6:D309,D309)=1,1,0),0)</f>
        <v>0</v>
      </c>
      <c r="AC309" s="96">
        <f>IF(T309=1,INDEX('ITENS_MTR'!$AL$6:$AL$1005,S309),0)</f>
        <v>0</v>
      </c>
    </row>
    <row r="310">
      <c r="A310" s="89" t="inlineStr">
        <is>
          <t>VIN-000305</t>
        </is>
      </c>
      <c r="B310" s="91" t="n"/>
      <c r="C310" s="91" t="n"/>
      <c r="D310" s="94" t="str">
        <f>IF(T310=1,INDEX('ITENS_MTR'!$S$6:$S$1005,S310)&amp;"","")</f>
        <v/>
      </c>
      <c r="E310" s="94" t="str">
        <f>IF(T310=1,INDEX('ITENS_MTR'!$C$6:$C$1005,S310)&amp;"","")</f>
        <v/>
      </c>
      <c r="F310" s="98" t="n"/>
      <c r="G310" s="91" t="n"/>
      <c r="H310" s="93" t="str">
        <f>IF(N310=0,"",IF(NOT(ISNUMBER(F310)),"",IF(ISNUMBER(U310),F310*U310,"UNIDADE A CONFERIR")))</f>
        <v/>
      </c>
      <c r="I310" s="94" t="str">
        <f>IF(Q310=1,INDEX('CDFs'!$F$6:$F$505,P310)&amp;"","")</f>
        <v/>
      </c>
      <c r="J310" s="91" t="n"/>
      <c r="K310" s="91" t="n"/>
      <c r="L310" s="94" t="str">
        <f>IF(N310=0,"",IF(NOT(ISNUMBER(F310)),"Quantidade não informada",IF(F310&lt;=0,"Quantidade não positiva",IF(G310="","Unidade não informada",IF(NOT(ISNUMBER(H310)),"Unidade a conferir",IF(AC310=1,"REVISAR VÍNCULO: soma vinculada maior que a referência do item","OK"))))))</f>
        <v/>
      </c>
      <c r="M310" s="94" t="str">
        <f>IF(N310=0,"",IF(B310="","CDF não informado",IF(Q310=0,"REVISAR VÍNCULO: CDF inexistente",IF(C310="","Item não informado",IF(T310=0,"REVISAR VÍNCULO: item inexistente",IF(AND(X310=1,J310&lt;&gt;"Sim"),"REVISAR VÍNCULO: destinador diferente do MTR",IF(X310=1,"Destinador diferente do MTR (analisado)","OK")))))))</f>
        <v/>
      </c>
      <c r="N310" s="96">
        <f>IF(COUNTA(B310:C310,F310:G310,J310:K310)&gt;0,1,0)</f>
        <v>0</v>
      </c>
      <c r="O310" s="96" t="str">
        <f>IF(B310="","",TRIM(LEFT(B310,FIND(" |",B310&amp;" |")-1)))</f>
        <v/>
      </c>
      <c r="P310" s="96" t="str">
        <f>IF(O310="","",IFERROR(MATCH(O310,'CDFs'!$A$6:$A$505,0),""))</f>
        <v/>
      </c>
      <c r="Q310" s="96">
        <f>IF(P310="",0,IF(INDEX('CDFs'!$S$6:$S$505,P310)=1,1,0))</f>
        <v>0</v>
      </c>
      <c r="R310" s="96" t="str">
        <f>IF(C310="","",TRIM(LEFT(C310,FIND(" |",C310&amp;" |")-1)))</f>
        <v/>
      </c>
      <c r="S310" s="96" t="str">
        <f>IF(R310="","",IFERROR(MATCH(R310,'ITENS_MTR'!$A$6:$A$1005,0),""))</f>
        <v/>
      </c>
      <c r="T310" s="96">
        <f>IF(S310="",0,IF(INDEX('ITENS_MTR'!$R$6:$R$1005,S310)=1,1,0))</f>
        <v>0</v>
      </c>
      <c r="U310" s="96" t="str">
        <f>IF(G310="","",IFERROR(IF(ISNUMBER(INDEX(cfg_fac,MATCH(G310,cfg_units,0))),IF(INDEX(cfg_fac,MATCH(G310,cfg_units,0))&gt;0,INDEX(cfg_fac,MATCH(G310,cfg_units,0)),""),""),""))</f>
        <v/>
      </c>
      <c r="V310" s="96">
        <f>IF(AND(ISNUMBER(F310),ISNUMBER(H310)),IF(H310&gt;0,1,0),0)</f>
        <v>0</v>
      </c>
      <c r="W310" s="96" t="str">
        <f>IF(T310=1,INDEX('ITENS_MTR'!$AU$6:$AU$1005,S310)&amp;"","")</f>
        <v/>
      </c>
      <c r="X310" s="96">
        <f>IF(AND(Q310=1,T310=1,I310&lt;&gt;"",W310&lt;&gt;""),IF(I310&lt;&gt;W310,1,0),0)</f>
        <v>0</v>
      </c>
      <c r="Y310" s="96">
        <f>IF(N310=0,0,IF(OR(Q310=0,T310=0,V310=0,AND(X310=1,J310&lt;&gt;"Sim")),1,0))</f>
        <v>0</v>
      </c>
      <c r="Z310" s="96">
        <f>IF(Q310=1,INDEX('CDFs'!$W$6:$W$505,P310),0)</f>
        <v>0</v>
      </c>
      <c r="AA310" s="96">
        <f>IF(AND(N310=1,Y310=0,Z310=1,J310="Sim"),1,0)</f>
        <v>0</v>
      </c>
      <c r="AB310" s="96">
        <f>IF(AND(N310=1,O310&lt;&gt;"",D310&lt;&gt;""),IF(COUNTIFS($O$6:O310,O310,$D$6:D310,D310)=1,1,0),0)</f>
        <v>0</v>
      </c>
      <c r="AC310" s="96">
        <f>IF(T310=1,INDEX('ITENS_MTR'!$AL$6:$AL$1005,S310),0)</f>
        <v>0</v>
      </c>
    </row>
    <row r="311">
      <c r="A311" s="89" t="inlineStr">
        <is>
          <t>VIN-000306</t>
        </is>
      </c>
      <c r="B311" s="91" t="n"/>
      <c r="C311" s="91" t="n"/>
      <c r="D311" s="94" t="str">
        <f>IF(T311=1,INDEX('ITENS_MTR'!$S$6:$S$1005,S311)&amp;"","")</f>
        <v/>
      </c>
      <c r="E311" s="94" t="str">
        <f>IF(T311=1,INDEX('ITENS_MTR'!$C$6:$C$1005,S311)&amp;"","")</f>
        <v/>
      </c>
      <c r="F311" s="98" t="n"/>
      <c r="G311" s="91" t="n"/>
      <c r="H311" s="93" t="str">
        <f>IF(N311=0,"",IF(NOT(ISNUMBER(F311)),"",IF(ISNUMBER(U311),F311*U311,"UNIDADE A CONFERIR")))</f>
        <v/>
      </c>
      <c r="I311" s="94" t="str">
        <f>IF(Q311=1,INDEX('CDFs'!$F$6:$F$505,P311)&amp;"","")</f>
        <v/>
      </c>
      <c r="J311" s="91" t="n"/>
      <c r="K311" s="91" t="n"/>
      <c r="L311" s="94" t="str">
        <f>IF(N311=0,"",IF(NOT(ISNUMBER(F311)),"Quantidade não informada",IF(F311&lt;=0,"Quantidade não positiva",IF(G311="","Unidade não informada",IF(NOT(ISNUMBER(H311)),"Unidade a conferir",IF(AC311=1,"REVISAR VÍNCULO: soma vinculada maior que a referência do item","OK"))))))</f>
        <v/>
      </c>
      <c r="M311" s="94" t="str">
        <f>IF(N311=0,"",IF(B311="","CDF não informado",IF(Q311=0,"REVISAR VÍNCULO: CDF inexistente",IF(C311="","Item não informado",IF(T311=0,"REVISAR VÍNCULO: item inexistente",IF(AND(X311=1,J311&lt;&gt;"Sim"),"REVISAR VÍNCULO: destinador diferente do MTR",IF(X311=1,"Destinador diferente do MTR (analisado)","OK")))))))</f>
        <v/>
      </c>
      <c r="N311" s="96">
        <f>IF(COUNTA(B311:C311,F311:G311,J311:K311)&gt;0,1,0)</f>
        <v>0</v>
      </c>
      <c r="O311" s="96" t="str">
        <f>IF(B311="","",TRIM(LEFT(B311,FIND(" |",B311&amp;" |")-1)))</f>
        <v/>
      </c>
      <c r="P311" s="96" t="str">
        <f>IF(O311="","",IFERROR(MATCH(O311,'CDFs'!$A$6:$A$505,0),""))</f>
        <v/>
      </c>
      <c r="Q311" s="96">
        <f>IF(P311="",0,IF(INDEX('CDFs'!$S$6:$S$505,P311)=1,1,0))</f>
        <v>0</v>
      </c>
      <c r="R311" s="96" t="str">
        <f>IF(C311="","",TRIM(LEFT(C311,FIND(" |",C311&amp;" |")-1)))</f>
        <v/>
      </c>
      <c r="S311" s="96" t="str">
        <f>IF(R311="","",IFERROR(MATCH(R311,'ITENS_MTR'!$A$6:$A$1005,0),""))</f>
        <v/>
      </c>
      <c r="T311" s="96">
        <f>IF(S311="",0,IF(INDEX('ITENS_MTR'!$R$6:$R$1005,S311)=1,1,0))</f>
        <v>0</v>
      </c>
      <c r="U311" s="96" t="str">
        <f>IF(G311="","",IFERROR(IF(ISNUMBER(INDEX(cfg_fac,MATCH(G311,cfg_units,0))),IF(INDEX(cfg_fac,MATCH(G311,cfg_units,0))&gt;0,INDEX(cfg_fac,MATCH(G311,cfg_units,0)),""),""),""))</f>
        <v/>
      </c>
      <c r="V311" s="96">
        <f>IF(AND(ISNUMBER(F311),ISNUMBER(H311)),IF(H311&gt;0,1,0),0)</f>
        <v>0</v>
      </c>
      <c r="W311" s="96" t="str">
        <f>IF(T311=1,INDEX('ITENS_MTR'!$AU$6:$AU$1005,S311)&amp;"","")</f>
        <v/>
      </c>
      <c r="X311" s="96">
        <f>IF(AND(Q311=1,T311=1,I311&lt;&gt;"",W311&lt;&gt;""),IF(I311&lt;&gt;W311,1,0),0)</f>
        <v>0</v>
      </c>
      <c r="Y311" s="96">
        <f>IF(N311=0,0,IF(OR(Q311=0,T311=0,V311=0,AND(X311=1,J311&lt;&gt;"Sim")),1,0))</f>
        <v>0</v>
      </c>
      <c r="Z311" s="96">
        <f>IF(Q311=1,INDEX('CDFs'!$W$6:$W$505,P311),0)</f>
        <v>0</v>
      </c>
      <c r="AA311" s="96">
        <f>IF(AND(N311=1,Y311=0,Z311=1,J311="Sim"),1,0)</f>
        <v>0</v>
      </c>
      <c r="AB311" s="96">
        <f>IF(AND(N311=1,O311&lt;&gt;"",D311&lt;&gt;""),IF(COUNTIFS($O$6:O311,O311,$D$6:D311,D311)=1,1,0),0)</f>
        <v>0</v>
      </c>
      <c r="AC311" s="96">
        <f>IF(T311=1,INDEX('ITENS_MTR'!$AL$6:$AL$1005,S311),0)</f>
        <v>0</v>
      </c>
    </row>
    <row r="312">
      <c r="A312" s="89" t="inlineStr">
        <is>
          <t>VIN-000307</t>
        </is>
      </c>
      <c r="B312" s="91" t="n"/>
      <c r="C312" s="91" t="n"/>
      <c r="D312" s="94" t="str">
        <f>IF(T312=1,INDEX('ITENS_MTR'!$S$6:$S$1005,S312)&amp;"","")</f>
        <v/>
      </c>
      <c r="E312" s="94" t="str">
        <f>IF(T312=1,INDEX('ITENS_MTR'!$C$6:$C$1005,S312)&amp;"","")</f>
        <v/>
      </c>
      <c r="F312" s="98" t="n"/>
      <c r="G312" s="91" t="n"/>
      <c r="H312" s="93" t="str">
        <f>IF(N312=0,"",IF(NOT(ISNUMBER(F312)),"",IF(ISNUMBER(U312),F312*U312,"UNIDADE A CONFERIR")))</f>
        <v/>
      </c>
      <c r="I312" s="94" t="str">
        <f>IF(Q312=1,INDEX('CDFs'!$F$6:$F$505,P312)&amp;"","")</f>
        <v/>
      </c>
      <c r="J312" s="91" t="n"/>
      <c r="K312" s="91" t="n"/>
      <c r="L312" s="94" t="str">
        <f>IF(N312=0,"",IF(NOT(ISNUMBER(F312)),"Quantidade não informada",IF(F312&lt;=0,"Quantidade não positiva",IF(G312="","Unidade não informada",IF(NOT(ISNUMBER(H312)),"Unidade a conferir",IF(AC312=1,"REVISAR VÍNCULO: soma vinculada maior que a referência do item","OK"))))))</f>
        <v/>
      </c>
      <c r="M312" s="94" t="str">
        <f>IF(N312=0,"",IF(B312="","CDF não informado",IF(Q312=0,"REVISAR VÍNCULO: CDF inexistente",IF(C312="","Item não informado",IF(T312=0,"REVISAR VÍNCULO: item inexistente",IF(AND(X312=1,J312&lt;&gt;"Sim"),"REVISAR VÍNCULO: destinador diferente do MTR",IF(X312=1,"Destinador diferente do MTR (analisado)","OK")))))))</f>
        <v/>
      </c>
      <c r="N312" s="96">
        <f>IF(COUNTA(B312:C312,F312:G312,J312:K312)&gt;0,1,0)</f>
        <v>0</v>
      </c>
      <c r="O312" s="96" t="str">
        <f>IF(B312="","",TRIM(LEFT(B312,FIND(" |",B312&amp;" |")-1)))</f>
        <v/>
      </c>
      <c r="P312" s="96" t="str">
        <f>IF(O312="","",IFERROR(MATCH(O312,'CDFs'!$A$6:$A$505,0),""))</f>
        <v/>
      </c>
      <c r="Q312" s="96">
        <f>IF(P312="",0,IF(INDEX('CDFs'!$S$6:$S$505,P312)=1,1,0))</f>
        <v>0</v>
      </c>
      <c r="R312" s="96" t="str">
        <f>IF(C312="","",TRIM(LEFT(C312,FIND(" |",C312&amp;" |")-1)))</f>
        <v/>
      </c>
      <c r="S312" s="96" t="str">
        <f>IF(R312="","",IFERROR(MATCH(R312,'ITENS_MTR'!$A$6:$A$1005,0),""))</f>
        <v/>
      </c>
      <c r="T312" s="96">
        <f>IF(S312="",0,IF(INDEX('ITENS_MTR'!$R$6:$R$1005,S312)=1,1,0))</f>
        <v>0</v>
      </c>
      <c r="U312" s="96" t="str">
        <f>IF(G312="","",IFERROR(IF(ISNUMBER(INDEX(cfg_fac,MATCH(G312,cfg_units,0))),IF(INDEX(cfg_fac,MATCH(G312,cfg_units,0))&gt;0,INDEX(cfg_fac,MATCH(G312,cfg_units,0)),""),""),""))</f>
        <v/>
      </c>
      <c r="V312" s="96">
        <f>IF(AND(ISNUMBER(F312),ISNUMBER(H312)),IF(H312&gt;0,1,0),0)</f>
        <v>0</v>
      </c>
      <c r="W312" s="96" t="str">
        <f>IF(T312=1,INDEX('ITENS_MTR'!$AU$6:$AU$1005,S312)&amp;"","")</f>
        <v/>
      </c>
      <c r="X312" s="96">
        <f>IF(AND(Q312=1,T312=1,I312&lt;&gt;"",W312&lt;&gt;""),IF(I312&lt;&gt;W312,1,0),0)</f>
        <v>0</v>
      </c>
      <c r="Y312" s="96">
        <f>IF(N312=0,0,IF(OR(Q312=0,T312=0,V312=0,AND(X312=1,J312&lt;&gt;"Sim")),1,0))</f>
        <v>0</v>
      </c>
      <c r="Z312" s="96">
        <f>IF(Q312=1,INDEX('CDFs'!$W$6:$W$505,P312),0)</f>
        <v>0</v>
      </c>
      <c r="AA312" s="96">
        <f>IF(AND(N312=1,Y312=0,Z312=1,J312="Sim"),1,0)</f>
        <v>0</v>
      </c>
      <c r="AB312" s="96">
        <f>IF(AND(N312=1,O312&lt;&gt;"",D312&lt;&gt;""),IF(COUNTIFS($O$6:O312,O312,$D$6:D312,D312)=1,1,0),0)</f>
        <v>0</v>
      </c>
      <c r="AC312" s="96">
        <f>IF(T312=1,INDEX('ITENS_MTR'!$AL$6:$AL$1005,S312),0)</f>
        <v>0</v>
      </c>
    </row>
    <row r="313">
      <c r="A313" s="89" t="inlineStr">
        <is>
          <t>VIN-000308</t>
        </is>
      </c>
      <c r="B313" s="91" t="n"/>
      <c r="C313" s="91" t="n"/>
      <c r="D313" s="94" t="str">
        <f>IF(T313=1,INDEX('ITENS_MTR'!$S$6:$S$1005,S313)&amp;"","")</f>
        <v/>
      </c>
      <c r="E313" s="94" t="str">
        <f>IF(T313=1,INDEX('ITENS_MTR'!$C$6:$C$1005,S313)&amp;"","")</f>
        <v/>
      </c>
      <c r="F313" s="98" t="n"/>
      <c r="G313" s="91" t="n"/>
      <c r="H313" s="93" t="str">
        <f>IF(N313=0,"",IF(NOT(ISNUMBER(F313)),"",IF(ISNUMBER(U313),F313*U313,"UNIDADE A CONFERIR")))</f>
        <v/>
      </c>
      <c r="I313" s="94" t="str">
        <f>IF(Q313=1,INDEX('CDFs'!$F$6:$F$505,P313)&amp;"","")</f>
        <v/>
      </c>
      <c r="J313" s="91" t="n"/>
      <c r="K313" s="91" t="n"/>
      <c r="L313" s="94" t="str">
        <f>IF(N313=0,"",IF(NOT(ISNUMBER(F313)),"Quantidade não informada",IF(F313&lt;=0,"Quantidade não positiva",IF(G313="","Unidade não informada",IF(NOT(ISNUMBER(H313)),"Unidade a conferir",IF(AC313=1,"REVISAR VÍNCULO: soma vinculada maior que a referência do item","OK"))))))</f>
        <v/>
      </c>
      <c r="M313" s="94" t="str">
        <f>IF(N313=0,"",IF(B313="","CDF não informado",IF(Q313=0,"REVISAR VÍNCULO: CDF inexistente",IF(C313="","Item não informado",IF(T313=0,"REVISAR VÍNCULO: item inexistente",IF(AND(X313=1,J313&lt;&gt;"Sim"),"REVISAR VÍNCULO: destinador diferente do MTR",IF(X313=1,"Destinador diferente do MTR (analisado)","OK")))))))</f>
        <v/>
      </c>
      <c r="N313" s="96">
        <f>IF(COUNTA(B313:C313,F313:G313,J313:K313)&gt;0,1,0)</f>
        <v>0</v>
      </c>
      <c r="O313" s="96" t="str">
        <f>IF(B313="","",TRIM(LEFT(B313,FIND(" |",B313&amp;" |")-1)))</f>
        <v/>
      </c>
      <c r="P313" s="96" t="str">
        <f>IF(O313="","",IFERROR(MATCH(O313,'CDFs'!$A$6:$A$505,0),""))</f>
        <v/>
      </c>
      <c r="Q313" s="96">
        <f>IF(P313="",0,IF(INDEX('CDFs'!$S$6:$S$505,P313)=1,1,0))</f>
        <v>0</v>
      </c>
      <c r="R313" s="96" t="str">
        <f>IF(C313="","",TRIM(LEFT(C313,FIND(" |",C313&amp;" |")-1)))</f>
        <v/>
      </c>
      <c r="S313" s="96" t="str">
        <f>IF(R313="","",IFERROR(MATCH(R313,'ITENS_MTR'!$A$6:$A$1005,0),""))</f>
        <v/>
      </c>
      <c r="T313" s="96">
        <f>IF(S313="",0,IF(INDEX('ITENS_MTR'!$R$6:$R$1005,S313)=1,1,0))</f>
        <v>0</v>
      </c>
      <c r="U313" s="96" t="str">
        <f>IF(G313="","",IFERROR(IF(ISNUMBER(INDEX(cfg_fac,MATCH(G313,cfg_units,0))),IF(INDEX(cfg_fac,MATCH(G313,cfg_units,0))&gt;0,INDEX(cfg_fac,MATCH(G313,cfg_units,0)),""),""),""))</f>
        <v/>
      </c>
      <c r="V313" s="96">
        <f>IF(AND(ISNUMBER(F313),ISNUMBER(H313)),IF(H313&gt;0,1,0),0)</f>
        <v>0</v>
      </c>
      <c r="W313" s="96" t="str">
        <f>IF(T313=1,INDEX('ITENS_MTR'!$AU$6:$AU$1005,S313)&amp;"","")</f>
        <v/>
      </c>
      <c r="X313" s="96">
        <f>IF(AND(Q313=1,T313=1,I313&lt;&gt;"",W313&lt;&gt;""),IF(I313&lt;&gt;W313,1,0),0)</f>
        <v>0</v>
      </c>
      <c r="Y313" s="96">
        <f>IF(N313=0,0,IF(OR(Q313=0,T313=0,V313=0,AND(X313=1,J313&lt;&gt;"Sim")),1,0))</f>
        <v>0</v>
      </c>
      <c r="Z313" s="96">
        <f>IF(Q313=1,INDEX('CDFs'!$W$6:$W$505,P313),0)</f>
        <v>0</v>
      </c>
      <c r="AA313" s="96">
        <f>IF(AND(N313=1,Y313=0,Z313=1,J313="Sim"),1,0)</f>
        <v>0</v>
      </c>
      <c r="AB313" s="96">
        <f>IF(AND(N313=1,O313&lt;&gt;"",D313&lt;&gt;""),IF(COUNTIFS($O$6:O313,O313,$D$6:D313,D313)=1,1,0),0)</f>
        <v>0</v>
      </c>
      <c r="AC313" s="96">
        <f>IF(T313=1,INDEX('ITENS_MTR'!$AL$6:$AL$1005,S313),0)</f>
        <v>0</v>
      </c>
    </row>
    <row r="314">
      <c r="A314" s="89" t="inlineStr">
        <is>
          <t>VIN-000309</t>
        </is>
      </c>
      <c r="B314" s="91" t="n"/>
      <c r="C314" s="91" t="n"/>
      <c r="D314" s="94" t="str">
        <f>IF(T314=1,INDEX('ITENS_MTR'!$S$6:$S$1005,S314)&amp;"","")</f>
        <v/>
      </c>
      <c r="E314" s="94" t="str">
        <f>IF(T314=1,INDEX('ITENS_MTR'!$C$6:$C$1005,S314)&amp;"","")</f>
        <v/>
      </c>
      <c r="F314" s="98" t="n"/>
      <c r="G314" s="91" t="n"/>
      <c r="H314" s="93" t="str">
        <f>IF(N314=0,"",IF(NOT(ISNUMBER(F314)),"",IF(ISNUMBER(U314),F314*U314,"UNIDADE A CONFERIR")))</f>
        <v/>
      </c>
      <c r="I314" s="94" t="str">
        <f>IF(Q314=1,INDEX('CDFs'!$F$6:$F$505,P314)&amp;"","")</f>
        <v/>
      </c>
      <c r="J314" s="91" t="n"/>
      <c r="K314" s="91" t="n"/>
      <c r="L314" s="94" t="str">
        <f>IF(N314=0,"",IF(NOT(ISNUMBER(F314)),"Quantidade não informada",IF(F314&lt;=0,"Quantidade não positiva",IF(G314="","Unidade não informada",IF(NOT(ISNUMBER(H314)),"Unidade a conferir",IF(AC314=1,"REVISAR VÍNCULO: soma vinculada maior que a referência do item","OK"))))))</f>
        <v/>
      </c>
      <c r="M314" s="94" t="str">
        <f>IF(N314=0,"",IF(B314="","CDF não informado",IF(Q314=0,"REVISAR VÍNCULO: CDF inexistente",IF(C314="","Item não informado",IF(T314=0,"REVISAR VÍNCULO: item inexistente",IF(AND(X314=1,J314&lt;&gt;"Sim"),"REVISAR VÍNCULO: destinador diferente do MTR",IF(X314=1,"Destinador diferente do MTR (analisado)","OK")))))))</f>
        <v/>
      </c>
      <c r="N314" s="96">
        <f>IF(COUNTA(B314:C314,F314:G314,J314:K314)&gt;0,1,0)</f>
        <v>0</v>
      </c>
      <c r="O314" s="96" t="str">
        <f>IF(B314="","",TRIM(LEFT(B314,FIND(" |",B314&amp;" |")-1)))</f>
        <v/>
      </c>
      <c r="P314" s="96" t="str">
        <f>IF(O314="","",IFERROR(MATCH(O314,'CDFs'!$A$6:$A$505,0),""))</f>
        <v/>
      </c>
      <c r="Q314" s="96">
        <f>IF(P314="",0,IF(INDEX('CDFs'!$S$6:$S$505,P314)=1,1,0))</f>
        <v>0</v>
      </c>
      <c r="R314" s="96" t="str">
        <f>IF(C314="","",TRIM(LEFT(C314,FIND(" |",C314&amp;" |")-1)))</f>
        <v/>
      </c>
      <c r="S314" s="96" t="str">
        <f>IF(R314="","",IFERROR(MATCH(R314,'ITENS_MTR'!$A$6:$A$1005,0),""))</f>
        <v/>
      </c>
      <c r="T314" s="96">
        <f>IF(S314="",0,IF(INDEX('ITENS_MTR'!$R$6:$R$1005,S314)=1,1,0))</f>
        <v>0</v>
      </c>
      <c r="U314" s="96" t="str">
        <f>IF(G314="","",IFERROR(IF(ISNUMBER(INDEX(cfg_fac,MATCH(G314,cfg_units,0))),IF(INDEX(cfg_fac,MATCH(G314,cfg_units,0))&gt;0,INDEX(cfg_fac,MATCH(G314,cfg_units,0)),""),""),""))</f>
        <v/>
      </c>
      <c r="V314" s="96">
        <f>IF(AND(ISNUMBER(F314),ISNUMBER(H314)),IF(H314&gt;0,1,0),0)</f>
        <v>0</v>
      </c>
      <c r="W314" s="96" t="str">
        <f>IF(T314=1,INDEX('ITENS_MTR'!$AU$6:$AU$1005,S314)&amp;"","")</f>
        <v/>
      </c>
      <c r="X314" s="96">
        <f>IF(AND(Q314=1,T314=1,I314&lt;&gt;"",W314&lt;&gt;""),IF(I314&lt;&gt;W314,1,0),0)</f>
        <v>0</v>
      </c>
      <c r="Y314" s="96">
        <f>IF(N314=0,0,IF(OR(Q314=0,T314=0,V314=0,AND(X314=1,J314&lt;&gt;"Sim")),1,0))</f>
        <v>0</v>
      </c>
      <c r="Z314" s="96">
        <f>IF(Q314=1,INDEX('CDFs'!$W$6:$W$505,P314),0)</f>
        <v>0</v>
      </c>
      <c r="AA314" s="96">
        <f>IF(AND(N314=1,Y314=0,Z314=1,J314="Sim"),1,0)</f>
        <v>0</v>
      </c>
      <c r="AB314" s="96">
        <f>IF(AND(N314=1,O314&lt;&gt;"",D314&lt;&gt;""),IF(COUNTIFS($O$6:O314,O314,$D$6:D314,D314)=1,1,0),0)</f>
        <v>0</v>
      </c>
      <c r="AC314" s="96">
        <f>IF(T314=1,INDEX('ITENS_MTR'!$AL$6:$AL$1005,S314),0)</f>
        <v>0</v>
      </c>
    </row>
    <row r="315">
      <c r="A315" s="89" t="inlineStr">
        <is>
          <t>VIN-000310</t>
        </is>
      </c>
      <c r="B315" s="91" t="n"/>
      <c r="C315" s="91" t="n"/>
      <c r="D315" s="94" t="str">
        <f>IF(T315=1,INDEX('ITENS_MTR'!$S$6:$S$1005,S315)&amp;"","")</f>
        <v/>
      </c>
      <c r="E315" s="94" t="str">
        <f>IF(T315=1,INDEX('ITENS_MTR'!$C$6:$C$1005,S315)&amp;"","")</f>
        <v/>
      </c>
      <c r="F315" s="98" t="n"/>
      <c r="G315" s="91" t="n"/>
      <c r="H315" s="93" t="str">
        <f>IF(N315=0,"",IF(NOT(ISNUMBER(F315)),"",IF(ISNUMBER(U315),F315*U315,"UNIDADE A CONFERIR")))</f>
        <v/>
      </c>
      <c r="I315" s="94" t="str">
        <f>IF(Q315=1,INDEX('CDFs'!$F$6:$F$505,P315)&amp;"","")</f>
        <v/>
      </c>
      <c r="J315" s="91" t="n"/>
      <c r="K315" s="91" t="n"/>
      <c r="L315" s="94" t="str">
        <f>IF(N315=0,"",IF(NOT(ISNUMBER(F315)),"Quantidade não informada",IF(F315&lt;=0,"Quantidade não positiva",IF(G315="","Unidade não informada",IF(NOT(ISNUMBER(H315)),"Unidade a conferir",IF(AC315=1,"REVISAR VÍNCULO: soma vinculada maior que a referência do item","OK"))))))</f>
        <v/>
      </c>
      <c r="M315" s="94" t="str">
        <f>IF(N315=0,"",IF(B315="","CDF não informado",IF(Q315=0,"REVISAR VÍNCULO: CDF inexistente",IF(C315="","Item não informado",IF(T315=0,"REVISAR VÍNCULO: item inexistente",IF(AND(X315=1,J315&lt;&gt;"Sim"),"REVISAR VÍNCULO: destinador diferente do MTR",IF(X315=1,"Destinador diferente do MTR (analisado)","OK")))))))</f>
        <v/>
      </c>
      <c r="N315" s="96">
        <f>IF(COUNTA(B315:C315,F315:G315,J315:K315)&gt;0,1,0)</f>
        <v>0</v>
      </c>
      <c r="O315" s="96" t="str">
        <f>IF(B315="","",TRIM(LEFT(B315,FIND(" |",B315&amp;" |")-1)))</f>
        <v/>
      </c>
      <c r="P315" s="96" t="str">
        <f>IF(O315="","",IFERROR(MATCH(O315,'CDFs'!$A$6:$A$505,0),""))</f>
        <v/>
      </c>
      <c r="Q315" s="96">
        <f>IF(P315="",0,IF(INDEX('CDFs'!$S$6:$S$505,P315)=1,1,0))</f>
        <v>0</v>
      </c>
      <c r="R315" s="96" t="str">
        <f>IF(C315="","",TRIM(LEFT(C315,FIND(" |",C315&amp;" |")-1)))</f>
        <v/>
      </c>
      <c r="S315" s="96" t="str">
        <f>IF(R315="","",IFERROR(MATCH(R315,'ITENS_MTR'!$A$6:$A$1005,0),""))</f>
        <v/>
      </c>
      <c r="T315" s="96">
        <f>IF(S315="",0,IF(INDEX('ITENS_MTR'!$R$6:$R$1005,S315)=1,1,0))</f>
        <v>0</v>
      </c>
      <c r="U315" s="96" t="str">
        <f>IF(G315="","",IFERROR(IF(ISNUMBER(INDEX(cfg_fac,MATCH(G315,cfg_units,0))),IF(INDEX(cfg_fac,MATCH(G315,cfg_units,0))&gt;0,INDEX(cfg_fac,MATCH(G315,cfg_units,0)),""),""),""))</f>
        <v/>
      </c>
      <c r="V315" s="96">
        <f>IF(AND(ISNUMBER(F315),ISNUMBER(H315)),IF(H315&gt;0,1,0),0)</f>
        <v>0</v>
      </c>
      <c r="W315" s="96" t="str">
        <f>IF(T315=1,INDEX('ITENS_MTR'!$AU$6:$AU$1005,S315)&amp;"","")</f>
        <v/>
      </c>
      <c r="X315" s="96">
        <f>IF(AND(Q315=1,T315=1,I315&lt;&gt;"",W315&lt;&gt;""),IF(I315&lt;&gt;W315,1,0),0)</f>
        <v>0</v>
      </c>
      <c r="Y315" s="96">
        <f>IF(N315=0,0,IF(OR(Q315=0,T315=0,V315=0,AND(X315=1,J315&lt;&gt;"Sim")),1,0))</f>
        <v>0</v>
      </c>
      <c r="Z315" s="96">
        <f>IF(Q315=1,INDEX('CDFs'!$W$6:$W$505,P315),0)</f>
        <v>0</v>
      </c>
      <c r="AA315" s="96">
        <f>IF(AND(N315=1,Y315=0,Z315=1,J315="Sim"),1,0)</f>
        <v>0</v>
      </c>
      <c r="AB315" s="96">
        <f>IF(AND(N315=1,O315&lt;&gt;"",D315&lt;&gt;""),IF(COUNTIFS($O$6:O315,O315,$D$6:D315,D315)=1,1,0),0)</f>
        <v>0</v>
      </c>
      <c r="AC315" s="96">
        <f>IF(T315=1,INDEX('ITENS_MTR'!$AL$6:$AL$1005,S315),0)</f>
        <v>0</v>
      </c>
    </row>
    <row r="316">
      <c r="A316" s="89" t="inlineStr">
        <is>
          <t>VIN-000311</t>
        </is>
      </c>
      <c r="B316" s="91" t="n"/>
      <c r="C316" s="91" t="n"/>
      <c r="D316" s="94" t="str">
        <f>IF(T316=1,INDEX('ITENS_MTR'!$S$6:$S$1005,S316)&amp;"","")</f>
        <v/>
      </c>
      <c r="E316" s="94" t="str">
        <f>IF(T316=1,INDEX('ITENS_MTR'!$C$6:$C$1005,S316)&amp;"","")</f>
        <v/>
      </c>
      <c r="F316" s="98" t="n"/>
      <c r="G316" s="91" t="n"/>
      <c r="H316" s="93" t="str">
        <f>IF(N316=0,"",IF(NOT(ISNUMBER(F316)),"",IF(ISNUMBER(U316),F316*U316,"UNIDADE A CONFERIR")))</f>
        <v/>
      </c>
      <c r="I316" s="94" t="str">
        <f>IF(Q316=1,INDEX('CDFs'!$F$6:$F$505,P316)&amp;"","")</f>
        <v/>
      </c>
      <c r="J316" s="91" t="n"/>
      <c r="K316" s="91" t="n"/>
      <c r="L316" s="94" t="str">
        <f>IF(N316=0,"",IF(NOT(ISNUMBER(F316)),"Quantidade não informada",IF(F316&lt;=0,"Quantidade não positiva",IF(G316="","Unidade não informada",IF(NOT(ISNUMBER(H316)),"Unidade a conferir",IF(AC316=1,"REVISAR VÍNCULO: soma vinculada maior que a referência do item","OK"))))))</f>
        <v/>
      </c>
      <c r="M316" s="94" t="str">
        <f>IF(N316=0,"",IF(B316="","CDF não informado",IF(Q316=0,"REVISAR VÍNCULO: CDF inexistente",IF(C316="","Item não informado",IF(T316=0,"REVISAR VÍNCULO: item inexistente",IF(AND(X316=1,J316&lt;&gt;"Sim"),"REVISAR VÍNCULO: destinador diferente do MTR",IF(X316=1,"Destinador diferente do MTR (analisado)","OK")))))))</f>
        <v/>
      </c>
      <c r="N316" s="96">
        <f>IF(COUNTA(B316:C316,F316:G316,J316:K316)&gt;0,1,0)</f>
        <v>0</v>
      </c>
      <c r="O316" s="96" t="str">
        <f>IF(B316="","",TRIM(LEFT(B316,FIND(" |",B316&amp;" |")-1)))</f>
        <v/>
      </c>
      <c r="P316" s="96" t="str">
        <f>IF(O316="","",IFERROR(MATCH(O316,'CDFs'!$A$6:$A$505,0),""))</f>
        <v/>
      </c>
      <c r="Q316" s="96">
        <f>IF(P316="",0,IF(INDEX('CDFs'!$S$6:$S$505,P316)=1,1,0))</f>
        <v>0</v>
      </c>
      <c r="R316" s="96" t="str">
        <f>IF(C316="","",TRIM(LEFT(C316,FIND(" |",C316&amp;" |")-1)))</f>
        <v/>
      </c>
      <c r="S316" s="96" t="str">
        <f>IF(R316="","",IFERROR(MATCH(R316,'ITENS_MTR'!$A$6:$A$1005,0),""))</f>
        <v/>
      </c>
      <c r="T316" s="96">
        <f>IF(S316="",0,IF(INDEX('ITENS_MTR'!$R$6:$R$1005,S316)=1,1,0))</f>
        <v>0</v>
      </c>
      <c r="U316" s="96" t="str">
        <f>IF(G316="","",IFERROR(IF(ISNUMBER(INDEX(cfg_fac,MATCH(G316,cfg_units,0))),IF(INDEX(cfg_fac,MATCH(G316,cfg_units,0))&gt;0,INDEX(cfg_fac,MATCH(G316,cfg_units,0)),""),""),""))</f>
        <v/>
      </c>
      <c r="V316" s="96">
        <f>IF(AND(ISNUMBER(F316),ISNUMBER(H316)),IF(H316&gt;0,1,0),0)</f>
        <v>0</v>
      </c>
      <c r="W316" s="96" t="str">
        <f>IF(T316=1,INDEX('ITENS_MTR'!$AU$6:$AU$1005,S316)&amp;"","")</f>
        <v/>
      </c>
      <c r="X316" s="96">
        <f>IF(AND(Q316=1,T316=1,I316&lt;&gt;"",W316&lt;&gt;""),IF(I316&lt;&gt;W316,1,0),0)</f>
        <v>0</v>
      </c>
      <c r="Y316" s="96">
        <f>IF(N316=0,0,IF(OR(Q316=0,T316=0,V316=0,AND(X316=1,J316&lt;&gt;"Sim")),1,0))</f>
        <v>0</v>
      </c>
      <c r="Z316" s="96">
        <f>IF(Q316=1,INDEX('CDFs'!$W$6:$W$505,P316),0)</f>
        <v>0</v>
      </c>
      <c r="AA316" s="96">
        <f>IF(AND(N316=1,Y316=0,Z316=1,J316="Sim"),1,0)</f>
        <v>0</v>
      </c>
      <c r="AB316" s="96">
        <f>IF(AND(N316=1,O316&lt;&gt;"",D316&lt;&gt;""),IF(COUNTIFS($O$6:O316,O316,$D$6:D316,D316)=1,1,0),0)</f>
        <v>0</v>
      </c>
      <c r="AC316" s="96">
        <f>IF(T316=1,INDEX('ITENS_MTR'!$AL$6:$AL$1005,S316),0)</f>
        <v>0</v>
      </c>
    </row>
    <row r="317">
      <c r="A317" s="89" t="inlineStr">
        <is>
          <t>VIN-000312</t>
        </is>
      </c>
      <c r="B317" s="91" t="n"/>
      <c r="C317" s="91" t="n"/>
      <c r="D317" s="94" t="str">
        <f>IF(T317=1,INDEX('ITENS_MTR'!$S$6:$S$1005,S317)&amp;"","")</f>
        <v/>
      </c>
      <c r="E317" s="94" t="str">
        <f>IF(T317=1,INDEX('ITENS_MTR'!$C$6:$C$1005,S317)&amp;"","")</f>
        <v/>
      </c>
      <c r="F317" s="98" t="n"/>
      <c r="G317" s="91" t="n"/>
      <c r="H317" s="93" t="str">
        <f>IF(N317=0,"",IF(NOT(ISNUMBER(F317)),"",IF(ISNUMBER(U317),F317*U317,"UNIDADE A CONFERIR")))</f>
        <v/>
      </c>
      <c r="I317" s="94" t="str">
        <f>IF(Q317=1,INDEX('CDFs'!$F$6:$F$505,P317)&amp;"","")</f>
        <v/>
      </c>
      <c r="J317" s="91" t="n"/>
      <c r="K317" s="91" t="n"/>
      <c r="L317" s="94" t="str">
        <f>IF(N317=0,"",IF(NOT(ISNUMBER(F317)),"Quantidade não informada",IF(F317&lt;=0,"Quantidade não positiva",IF(G317="","Unidade não informada",IF(NOT(ISNUMBER(H317)),"Unidade a conferir",IF(AC317=1,"REVISAR VÍNCULO: soma vinculada maior que a referência do item","OK"))))))</f>
        <v/>
      </c>
      <c r="M317" s="94" t="str">
        <f>IF(N317=0,"",IF(B317="","CDF não informado",IF(Q317=0,"REVISAR VÍNCULO: CDF inexistente",IF(C317="","Item não informado",IF(T317=0,"REVISAR VÍNCULO: item inexistente",IF(AND(X317=1,J317&lt;&gt;"Sim"),"REVISAR VÍNCULO: destinador diferente do MTR",IF(X317=1,"Destinador diferente do MTR (analisado)","OK")))))))</f>
        <v/>
      </c>
      <c r="N317" s="96">
        <f>IF(COUNTA(B317:C317,F317:G317,J317:K317)&gt;0,1,0)</f>
        <v>0</v>
      </c>
      <c r="O317" s="96" t="str">
        <f>IF(B317="","",TRIM(LEFT(B317,FIND(" |",B317&amp;" |")-1)))</f>
        <v/>
      </c>
      <c r="P317" s="96" t="str">
        <f>IF(O317="","",IFERROR(MATCH(O317,'CDFs'!$A$6:$A$505,0),""))</f>
        <v/>
      </c>
      <c r="Q317" s="96">
        <f>IF(P317="",0,IF(INDEX('CDFs'!$S$6:$S$505,P317)=1,1,0))</f>
        <v>0</v>
      </c>
      <c r="R317" s="96" t="str">
        <f>IF(C317="","",TRIM(LEFT(C317,FIND(" |",C317&amp;" |")-1)))</f>
        <v/>
      </c>
      <c r="S317" s="96" t="str">
        <f>IF(R317="","",IFERROR(MATCH(R317,'ITENS_MTR'!$A$6:$A$1005,0),""))</f>
        <v/>
      </c>
      <c r="T317" s="96">
        <f>IF(S317="",0,IF(INDEX('ITENS_MTR'!$R$6:$R$1005,S317)=1,1,0))</f>
        <v>0</v>
      </c>
      <c r="U317" s="96" t="str">
        <f>IF(G317="","",IFERROR(IF(ISNUMBER(INDEX(cfg_fac,MATCH(G317,cfg_units,0))),IF(INDEX(cfg_fac,MATCH(G317,cfg_units,0))&gt;0,INDEX(cfg_fac,MATCH(G317,cfg_units,0)),""),""),""))</f>
        <v/>
      </c>
      <c r="V317" s="96">
        <f>IF(AND(ISNUMBER(F317),ISNUMBER(H317)),IF(H317&gt;0,1,0),0)</f>
        <v>0</v>
      </c>
      <c r="W317" s="96" t="str">
        <f>IF(T317=1,INDEX('ITENS_MTR'!$AU$6:$AU$1005,S317)&amp;"","")</f>
        <v/>
      </c>
      <c r="X317" s="96">
        <f>IF(AND(Q317=1,T317=1,I317&lt;&gt;"",W317&lt;&gt;""),IF(I317&lt;&gt;W317,1,0),0)</f>
        <v>0</v>
      </c>
      <c r="Y317" s="96">
        <f>IF(N317=0,0,IF(OR(Q317=0,T317=0,V317=0,AND(X317=1,J317&lt;&gt;"Sim")),1,0))</f>
        <v>0</v>
      </c>
      <c r="Z317" s="96">
        <f>IF(Q317=1,INDEX('CDFs'!$W$6:$W$505,P317),0)</f>
        <v>0</v>
      </c>
      <c r="AA317" s="96">
        <f>IF(AND(N317=1,Y317=0,Z317=1,J317="Sim"),1,0)</f>
        <v>0</v>
      </c>
      <c r="AB317" s="96">
        <f>IF(AND(N317=1,O317&lt;&gt;"",D317&lt;&gt;""),IF(COUNTIFS($O$6:O317,O317,$D$6:D317,D317)=1,1,0),0)</f>
        <v>0</v>
      </c>
      <c r="AC317" s="96">
        <f>IF(T317=1,INDEX('ITENS_MTR'!$AL$6:$AL$1005,S317),0)</f>
        <v>0</v>
      </c>
    </row>
    <row r="318">
      <c r="A318" s="89" t="inlineStr">
        <is>
          <t>VIN-000313</t>
        </is>
      </c>
      <c r="B318" s="91" t="n"/>
      <c r="C318" s="91" t="n"/>
      <c r="D318" s="94" t="str">
        <f>IF(T318=1,INDEX('ITENS_MTR'!$S$6:$S$1005,S318)&amp;"","")</f>
        <v/>
      </c>
      <c r="E318" s="94" t="str">
        <f>IF(T318=1,INDEX('ITENS_MTR'!$C$6:$C$1005,S318)&amp;"","")</f>
        <v/>
      </c>
      <c r="F318" s="98" t="n"/>
      <c r="G318" s="91" t="n"/>
      <c r="H318" s="93" t="str">
        <f>IF(N318=0,"",IF(NOT(ISNUMBER(F318)),"",IF(ISNUMBER(U318),F318*U318,"UNIDADE A CONFERIR")))</f>
        <v/>
      </c>
      <c r="I318" s="94" t="str">
        <f>IF(Q318=1,INDEX('CDFs'!$F$6:$F$505,P318)&amp;"","")</f>
        <v/>
      </c>
      <c r="J318" s="91" t="n"/>
      <c r="K318" s="91" t="n"/>
      <c r="L318" s="94" t="str">
        <f>IF(N318=0,"",IF(NOT(ISNUMBER(F318)),"Quantidade não informada",IF(F318&lt;=0,"Quantidade não positiva",IF(G318="","Unidade não informada",IF(NOT(ISNUMBER(H318)),"Unidade a conferir",IF(AC318=1,"REVISAR VÍNCULO: soma vinculada maior que a referência do item","OK"))))))</f>
        <v/>
      </c>
      <c r="M318" s="94" t="str">
        <f>IF(N318=0,"",IF(B318="","CDF não informado",IF(Q318=0,"REVISAR VÍNCULO: CDF inexistente",IF(C318="","Item não informado",IF(T318=0,"REVISAR VÍNCULO: item inexistente",IF(AND(X318=1,J318&lt;&gt;"Sim"),"REVISAR VÍNCULO: destinador diferente do MTR",IF(X318=1,"Destinador diferente do MTR (analisado)","OK")))))))</f>
        <v/>
      </c>
      <c r="N318" s="96">
        <f>IF(COUNTA(B318:C318,F318:G318,J318:K318)&gt;0,1,0)</f>
        <v>0</v>
      </c>
      <c r="O318" s="96" t="str">
        <f>IF(B318="","",TRIM(LEFT(B318,FIND(" |",B318&amp;" |")-1)))</f>
        <v/>
      </c>
      <c r="P318" s="96" t="str">
        <f>IF(O318="","",IFERROR(MATCH(O318,'CDFs'!$A$6:$A$505,0),""))</f>
        <v/>
      </c>
      <c r="Q318" s="96">
        <f>IF(P318="",0,IF(INDEX('CDFs'!$S$6:$S$505,P318)=1,1,0))</f>
        <v>0</v>
      </c>
      <c r="R318" s="96" t="str">
        <f>IF(C318="","",TRIM(LEFT(C318,FIND(" |",C318&amp;" |")-1)))</f>
        <v/>
      </c>
      <c r="S318" s="96" t="str">
        <f>IF(R318="","",IFERROR(MATCH(R318,'ITENS_MTR'!$A$6:$A$1005,0),""))</f>
        <v/>
      </c>
      <c r="T318" s="96">
        <f>IF(S318="",0,IF(INDEX('ITENS_MTR'!$R$6:$R$1005,S318)=1,1,0))</f>
        <v>0</v>
      </c>
      <c r="U318" s="96" t="str">
        <f>IF(G318="","",IFERROR(IF(ISNUMBER(INDEX(cfg_fac,MATCH(G318,cfg_units,0))),IF(INDEX(cfg_fac,MATCH(G318,cfg_units,0))&gt;0,INDEX(cfg_fac,MATCH(G318,cfg_units,0)),""),""),""))</f>
        <v/>
      </c>
      <c r="V318" s="96">
        <f>IF(AND(ISNUMBER(F318),ISNUMBER(H318)),IF(H318&gt;0,1,0),0)</f>
        <v>0</v>
      </c>
      <c r="W318" s="96" t="str">
        <f>IF(T318=1,INDEX('ITENS_MTR'!$AU$6:$AU$1005,S318)&amp;"","")</f>
        <v/>
      </c>
      <c r="X318" s="96">
        <f>IF(AND(Q318=1,T318=1,I318&lt;&gt;"",W318&lt;&gt;""),IF(I318&lt;&gt;W318,1,0),0)</f>
        <v>0</v>
      </c>
      <c r="Y318" s="96">
        <f>IF(N318=0,0,IF(OR(Q318=0,T318=0,V318=0,AND(X318=1,J318&lt;&gt;"Sim")),1,0))</f>
        <v>0</v>
      </c>
      <c r="Z318" s="96">
        <f>IF(Q318=1,INDEX('CDFs'!$W$6:$W$505,P318),0)</f>
        <v>0</v>
      </c>
      <c r="AA318" s="96">
        <f>IF(AND(N318=1,Y318=0,Z318=1,J318="Sim"),1,0)</f>
        <v>0</v>
      </c>
      <c r="AB318" s="96">
        <f>IF(AND(N318=1,O318&lt;&gt;"",D318&lt;&gt;""),IF(COUNTIFS($O$6:O318,O318,$D$6:D318,D318)=1,1,0),0)</f>
        <v>0</v>
      </c>
      <c r="AC318" s="96">
        <f>IF(T318=1,INDEX('ITENS_MTR'!$AL$6:$AL$1005,S318),0)</f>
        <v>0</v>
      </c>
    </row>
    <row r="319">
      <c r="A319" s="89" t="inlineStr">
        <is>
          <t>VIN-000314</t>
        </is>
      </c>
      <c r="B319" s="91" t="n"/>
      <c r="C319" s="91" t="n"/>
      <c r="D319" s="94" t="str">
        <f>IF(T319=1,INDEX('ITENS_MTR'!$S$6:$S$1005,S319)&amp;"","")</f>
        <v/>
      </c>
      <c r="E319" s="94" t="str">
        <f>IF(T319=1,INDEX('ITENS_MTR'!$C$6:$C$1005,S319)&amp;"","")</f>
        <v/>
      </c>
      <c r="F319" s="98" t="n"/>
      <c r="G319" s="91" t="n"/>
      <c r="H319" s="93" t="str">
        <f>IF(N319=0,"",IF(NOT(ISNUMBER(F319)),"",IF(ISNUMBER(U319),F319*U319,"UNIDADE A CONFERIR")))</f>
        <v/>
      </c>
      <c r="I319" s="94" t="str">
        <f>IF(Q319=1,INDEX('CDFs'!$F$6:$F$505,P319)&amp;"","")</f>
        <v/>
      </c>
      <c r="J319" s="91" t="n"/>
      <c r="K319" s="91" t="n"/>
      <c r="L319" s="94" t="str">
        <f>IF(N319=0,"",IF(NOT(ISNUMBER(F319)),"Quantidade não informada",IF(F319&lt;=0,"Quantidade não positiva",IF(G319="","Unidade não informada",IF(NOT(ISNUMBER(H319)),"Unidade a conferir",IF(AC319=1,"REVISAR VÍNCULO: soma vinculada maior que a referência do item","OK"))))))</f>
        <v/>
      </c>
      <c r="M319" s="94" t="str">
        <f>IF(N319=0,"",IF(B319="","CDF não informado",IF(Q319=0,"REVISAR VÍNCULO: CDF inexistente",IF(C319="","Item não informado",IF(T319=0,"REVISAR VÍNCULO: item inexistente",IF(AND(X319=1,J319&lt;&gt;"Sim"),"REVISAR VÍNCULO: destinador diferente do MTR",IF(X319=1,"Destinador diferente do MTR (analisado)","OK")))))))</f>
        <v/>
      </c>
      <c r="N319" s="96">
        <f>IF(COUNTA(B319:C319,F319:G319,J319:K319)&gt;0,1,0)</f>
        <v>0</v>
      </c>
      <c r="O319" s="96" t="str">
        <f>IF(B319="","",TRIM(LEFT(B319,FIND(" |",B319&amp;" |")-1)))</f>
        <v/>
      </c>
      <c r="P319" s="96" t="str">
        <f>IF(O319="","",IFERROR(MATCH(O319,'CDFs'!$A$6:$A$505,0),""))</f>
        <v/>
      </c>
      <c r="Q319" s="96">
        <f>IF(P319="",0,IF(INDEX('CDFs'!$S$6:$S$505,P319)=1,1,0))</f>
        <v>0</v>
      </c>
      <c r="R319" s="96" t="str">
        <f>IF(C319="","",TRIM(LEFT(C319,FIND(" |",C319&amp;" |")-1)))</f>
        <v/>
      </c>
      <c r="S319" s="96" t="str">
        <f>IF(R319="","",IFERROR(MATCH(R319,'ITENS_MTR'!$A$6:$A$1005,0),""))</f>
        <v/>
      </c>
      <c r="T319" s="96">
        <f>IF(S319="",0,IF(INDEX('ITENS_MTR'!$R$6:$R$1005,S319)=1,1,0))</f>
        <v>0</v>
      </c>
      <c r="U319" s="96" t="str">
        <f>IF(G319="","",IFERROR(IF(ISNUMBER(INDEX(cfg_fac,MATCH(G319,cfg_units,0))),IF(INDEX(cfg_fac,MATCH(G319,cfg_units,0))&gt;0,INDEX(cfg_fac,MATCH(G319,cfg_units,0)),""),""),""))</f>
        <v/>
      </c>
      <c r="V319" s="96">
        <f>IF(AND(ISNUMBER(F319),ISNUMBER(H319)),IF(H319&gt;0,1,0),0)</f>
        <v>0</v>
      </c>
      <c r="W319" s="96" t="str">
        <f>IF(T319=1,INDEX('ITENS_MTR'!$AU$6:$AU$1005,S319)&amp;"","")</f>
        <v/>
      </c>
      <c r="X319" s="96">
        <f>IF(AND(Q319=1,T319=1,I319&lt;&gt;"",W319&lt;&gt;""),IF(I319&lt;&gt;W319,1,0),0)</f>
        <v>0</v>
      </c>
      <c r="Y319" s="96">
        <f>IF(N319=0,0,IF(OR(Q319=0,T319=0,V319=0,AND(X319=1,J319&lt;&gt;"Sim")),1,0))</f>
        <v>0</v>
      </c>
      <c r="Z319" s="96">
        <f>IF(Q319=1,INDEX('CDFs'!$W$6:$W$505,P319),0)</f>
        <v>0</v>
      </c>
      <c r="AA319" s="96">
        <f>IF(AND(N319=1,Y319=0,Z319=1,J319="Sim"),1,0)</f>
        <v>0</v>
      </c>
      <c r="AB319" s="96">
        <f>IF(AND(N319=1,O319&lt;&gt;"",D319&lt;&gt;""),IF(COUNTIFS($O$6:O319,O319,$D$6:D319,D319)=1,1,0),0)</f>
        <v>0</v>
      </c>
      <c r="AC319" s="96">
        <f>IF(T319=1,INDEX('ITENS_MTR'!$AL$6:$AL$1005,S319),0)</f>
        <v>0</v>
      </c>
    </row>
    <row r="320">
      <c r="A320" s="89" t="inlineStr">
        <is>
          <t>VIN-000315</t>
        </is>
      </c>
      <c r="B320" s="91" t="n"/>
      <c r="C320" s="91" t="n"/>
      <c r="D320" s="94" t="str">
        <f>IF(T320=1,INDEX('ITENS_MTR'!$S$6:$S$1005,S320)&amp;"","")</f>
        <v/>
      </c>
      <c r="E320" s="94" t="str">
        <f>IF(T320=1,INDEX('ITENS_MTR'!$C$6:$C$1005,S320)&amp;"","")</f>
        <v/>
      </c>
      <c r="F320" s="98" t="n"/>
      <c r="G320" s="91" t="n"/>
      <c r="H320" s="93" t="str">
        <f>IF(N320=0,"",IF(NOT(ISNUMBER(F320)),"",IF(ISNUMBER(U320),F320*U320,"UNIDADE A CONFERIR")))</f>
        <v/>
      </c>
      <c r="I320" s="94" t="str">
        <f>IF(Q320=1,INDEX('CDFs'!$F$6:$F$505,P320)&amp;"","")</f>
        <v/>
      </c>
      <c r="J320" s="91" t="n"/>
      <c r="K320" s="91" t="n"/>
      <c r="L320" s="94" t="str">
        <f>IF(N320=0,"",IF(NOT(ISNUMBER(F320)),"Quantidade não informada",IF(F320&lt;=0,"Quantidade não positiva",IF(G320="","Unidade não informada",IF(NOT(ISNUMBER(H320)),"Unidade a conferir",IF(AC320=1,"REVISAR VÍNCULO: soma vinculada maior que a referência do item","OK"))))))</f>
        <v/>
      </c>
      <c r="M320" s="94" t="str">
        <f>IF(N320=0,"",IF(B320="","CDF não informado",IF(Q320=0,"REVISAR VÍNCULO: CDF inexistente",IF(C320="","Item não informado",IF(T320=0,"REVISAR VÍNCULO: item inexistente",IF(AND(X320=1,J320&lt;&gt;"Sim"),"REVISAR VÍNCULO: destinador diferente do MTR",IF(X320=1,"Destinador diferente do MTR (analisado)","OK")))))))</f>
        <v/>
      </c>
      <c r="N320" s="96">
        <f>IF(COUNTA(B320:C320,F320:G320,J320:K320)&gt;0,1,0)</f>
        <v>0</v>
      </c>
      <c r="O320" s="96" t="str">
        <f>IF(B320="","",TRIM(LEFT(B320,FIND(" |",B320&amp;" |")-1)))</f>
        <v/>
      </c>
      <c r="P320" s="96" t="str">
        <f>IF(O320="","",IFERROR(MATCH(O320,'CDFs'!$A$6:$A$505,0),""))</f>
        <v/>
      </c>
      <c r="Q320" s="96">
        <f>IF(P320="",0,IF(INDEX('CDFs'!$S$6:$S$505,P320)=1,1,0))</f>
        <v>0</v>
      </c>
      <c r="R320" s="96" t="str">
        <f>IF(C320="","",TRIM(LEFT(C320,FIND(" |",C320&amp;" |")-1)))</f>
        <v/>
      </c>
      <c r="S320" s="96" t="str">
        <f>IF(R320="","",IFERROR(MATCH(R320,'ITENS_MTR'!$A$6:$A$1005,0),""))</f>
        <v/>
      </c>
      <c r="T320" s="96">
        <f>IF(S320="",0,IF(INDEX('ITENS_MTR'!$R$6:$R$1005,S320)=1,1,0))</f>
        <v>0</v>
      </c>
      <c r="U320" s="96" t="str">
        <f>IF(G320="","",IFERROR(IF(ISNUMBER(INDEX(cfg_fac,MATCH(G320,cfg_units,0))),IF(INDEX(cfg_fac,MATCH(G320,cfg_units,0))&gt;0,INDEX(cfg_fac,MATCH(G320,cfg_units,0)),""),""),""))</f>
        <v/>
      </c>
      <c r="V320" s="96">
        <f>IF(AND(ISNUMBER(F320),ISNUMBER(H320)),IF(H320&gt;0,1,0),0)</f>
        <v>0</v>
      </c>
      <c r="W320" s="96" t="str">
        <f>IF(T320=1,INDEX('ITENS_MTR'!$AU$6:$AU$1005,S320)&amp;"","")</f>
        <v/>
      </c>
      <c r="X320" s="96">
        <f>IF(AND(Q320=1,T320=1,I320&lt;&gt;"",W320&lt;&gt;""),IF(I320&lt;&gt;W320,1,0),0)</f>
        <v>0</v>
      </c>
      <c r="Y320" s="96">
        <f>IF(N320=0,0,IF(OR(Q320=0,T320=0,V320=0,AND(X320=1,J320&lt;&gt;"Sim")),1,0))</f>
        <v>0</v>
      </c>
      <c r="Z320" s="96">
        <f>IF(Q320=1,INDEX('CDFs'!$W$6:$W$505,P320),0)</f>
        <v>0</v>
      </c>
      <c r="AA320" s="96">
        <f>IF(AND(N320=1,Y320=0,Z320=1,J320="Sim"),1,0)</f>
        <v>0</v>
      </c>
      <c r="AB320" s="96">
        <f>IF(AND(N320=1,O320&lt;&gt;"",D320&lt;&gt;""),IF(COUNTIFS($O$6:O320,O320,$D$6:D320,D320)=1,1,0),0)</f>
        <v>0</v>
      </c>
      <c r="AC320" s="96">
        <f>IF(T320=1,INDEX('ITENS_MTR'!$AL$6:$AL$1005,S320),0)</f>
        <v>0</v>
      </c>
    </row>
    <row r="321">
      <c r="A321" s="89" t="inlineStr">
        <is>
          <t>VIN-000316</t>
        </is>
      </c>
      <c r="B321" s="91" t="n"/>
      <c r="C321" s="91" t="n"/>
      <c r="D321" s="94" t="str">
        <f>IF(T321=1,INDEX('ITENS_MTR'!$S$6:$S$1005,S321)&amp;"","")</f>
        <v/>
      </c>
      <c r="E321" s="94" t="str">
        <f>IF(T321=1,INDEX('ITENS_MTR'!$C$6:$C$1005,S321)&amp;"","")</f>
        <v/>
      </c>
      <c r="F321" s="98" t="n"/>
      <c r="G321" s="91" t="n"/>
      <c r="H321" s="93" t="str">
        <f>IF(N321=0,"",IF(NOT(ISNUMBER(F321)),"",IF(ISNUMBER(U321),F321*U321,"UNIDADE A CONFERIR")))</f>
        <v/>
      </c>
      <c r="I321" s="94" t="str">
        <f>IF(Q321=1,INDEX('CDFs'!$F$6:$F$505,P321)&amp;"","")</f>
        <v/>
      </c>
      <c r="J321" s="91" t="n"/>
      <c r="K321" s="91" t="n"/>
      <c r="L321" s="94" t="str">
        <f>IF(N321=0,"",IF(NOT(ISNUMBER(F321)),"Quantidade não informada",IF(F321&lt;=0,"Quantidade não positiva",IF(G321="","Unidade não informada",IF(NOT(ISNUMBER(H321)),"Unidade a conferir",IF(AC321=1,"REVISAR VÍNCULO: soma vinculada maior que a referência do item","OK"))))))</f>
        <v/>
      </c>
      <c r="M321" s="94" t="str">
        <f>IF(N321=0,"",IF(B321="","CDF não informado",IF(Q321=0,"REVISAR VÍNCULO: CDF inexistente",IF(C321="","Item não informado",IF(T321=0,"REVISAR VÍNCULO: item inexistente",IF(AND(X321=1,J321&lt;&gt;"Sim"),"REVISAR VÍNCULO: destinador diferente do MTR",IF(X321=1,"Destinador diferente do MTR (analisado)","OK")))))))</f>
        <v/>
      </c>
      <c r="N321" s="96">
        <f>IF(COUNTA(B321:C321,F321:G321,J321:K321)&gt;0,1,0)</f>
        <v>0</v>
      </c>
      <c r="O321" s="96" t="str">
        <f>IF(B321="","",TRIM(LEFT(B321,FIND(" |",B321&amp;" |")-1)))</f>
        <v/>
      </c>
      <c r="P321" s="96" t="str">
        <f>IF(O321="","",IFERROR(MATCH(O321,'CDFs'!$A$6:$A$505,0),""))</f>
        <v/>
      </c>
      <c r="Q321" s="96">
        <f>IF(P321="",0,IF(INDEX('CDFs'!$S$6:$S$505,P321)=1,1,0))</f>
        <v>0</v>
      </c>
      <c r="R321" s="96" t="str">
        <f>IF(C321="","",TRIM(LEFT(C321,FIND(" |",C321&amp;" |")-1)))</f>
        <v/>
      </c>
      <c r="S321" s="96" t="str">
        <f>IF(R321="","",IFERROR(MATCH(R321,'ITENS_MTR'!$A$6:$A$1005,0),""))</f>
        <v/>
      </c>
      <c r="T321" s="96">
        <f>IF(S321="",0,IF(INDEX('ITENS_MTR'!$R$6:$R$1005,S321)=1,1,0))</f>
        <v>0</v>
      </c>
      <c r="U321" s="96" t="str">
        <f>IF(G321="","",IFERROR(IF(ISNUMBER(INDEX(cfg_fac,MATCH(G321,cfg_units,0))),IF(INDEX(cfg_fac,MATCH(G321,cfg_units,0))&gt;0,INDEX(cfg_fac,MATCH(G321,cfg_units,0)),""),""),""))</f>
        <v/>
      </c>
      <c r="V321" s="96">
        <f>IF(AND(ISNUMBER(F321),ISNUMBER(H321)),IF(H321&gt;0,1,0),0)</f>
        <v>0</v>
      </c>
      <c r="W321" s="96" t="str">
        <f>IF(T321=1,INDEX('ITENS_MTR'!$AU$6:$AU$1005,S321)&amp;"","")</f>
        <v/>
      </c>
      <c r="X321" s="96">
        <f>IF(AND(Q321=1,T321=1,I321&lt;&gt;"",W321&lt;&gt;""),IF(I321&lt;&gt;W321,1,0),0)</f>
        <v>0</v>
      </c>
      <c r="Y321" s="96">
        <f>IF(N321=0,0,IF(OR(Q321=0,T321=0,V321=0,AND(X321=1,J321&lt;&gt;"Sim")),1,0))</f>
        <v>0</v>
      </c>
      <c r="Z321" s="96">
        <f>IF(Q321=1,INDEX('CDFs'!$W$6:$W$505,P321),0)</f>
        <v>0</v>
      </c>
      <c r="AA321" s="96">
        <f>IF(AND(N321=1,Y321=0,Z321=1,J321="Sim"),1,0)</f>
        <v>0</v>
      </c>
      <c r="AB321" s="96">
        <f>IF(AND(N321=1,O321&lt;&gt;"",D321&lt;&gt;""),IF(COUNTIFS($O$6:O321,O321,$D$6:D321,D321)=1,1,0),0)</f>
        <v>0</v>
      </c>
      <c r="AC321" s="96">
        <f>IF(T321=1,INDEX('ITENS_MTR'!$AL$6:$AL$1005,S321),0)</f>
        <v>0</v>
      </c>
    </row>
    <row r="322">
      <c r="A322" s="89" t="inlineStr">
        <is>
          <t>VIN-000317</t>
        </is>
      </c>
      <c r="B322" s="91" t="n"/>
      <c r="C322" s="91" t="n"/>
      <c r="D322" s="94" t="str">
        <f>IF(T322=1,INDEX('ITENS_MTR'!$S$6:$S$1005,S322)&amp;"","")</f>
        <v/>
      </c>
      <c r="E322" s="94" t="str">
        <f>IF(T322=1,INDEX('ITENS_MTR'!$C$6:$C$1005,S322)&amp;"","")</f>
        <v/>
      </c>
      <c r="F322" s="98" t="n"/>
      <c r="G322" s="91" t="n"/>
      <c r="H322" s="93" t="str">
        <f>IF(N322=0,"",IF(NOT(ISNUMBER(F322)),"",IF(ISNUMBER(U322),F322*U322,"UNIDADE A CONFERIR")))</f>
        <v/>
      </c>
      <c r="I322" s="94" t="str">
        <f>IF(Q322=1,INDEX('CDFs'!$F$6:$F$505,P322)&amp;"","")</f>
        <v/>
      </c>
      <c r="J322" s="91" t="n"/>
      <c r="K322" s="91" t="n"/>
      <c r="L322" s="94" t="str">
        <f>IF(N322=0,"",IF(NOT(ISNUMBER(F322)),"Quantidade não informada",IF(F322&lt;=0,"Quantidade não positiva",IF(G322="","Unidade não informada",IF(NOT(ISNUMBER(H322)),"Unidade a conferir",IF(AC322=1,"REVISAR VÍNCULO: soma vinculada maior que a referência do item","OK"))))))</f>
        <v/>
      </c>
      <c r="M322" s="94" t="str">
        <f>IF(N322=0,"",IF(B322="","CDF não informado",IF(Q322=0,"REVISAR VÍNCULO: CDF inexistente",IF(C322="","Item não informado",IF(T322=0,"REVISAR VÍNCULO: item inexistente",IF(AND(X322=1,J322&lt;&gt;"Sim"),"REVISAR VÍNCULO: destinador diferente do MTR",IF(X322=1,"Destinador diferente do MTR (analisado)","OK")))))))</f>
        <v/>
      </c>
      <c r="N322" s="96">
        <f>IF(COUNTA(B322:C322,F322:G322,J322:K322)&gt;0,1,0)</f>
        <v>0</v>
      </c>
      <c r="O322" s="96" t="str">
        <f>IF(B322="","",TRIM(LEFT(B322,FIND(" |",B322&amp;" |")-1)))</f>
        <v/>
      </c>
      <c r="P322" s="96" t="str">
        <f>IF(O322="","",IFERROR(MATCH(O322,'CDFs'!$A$6:$A$505,0),""))</f>
        <v/>
      </c>
      <c r="Q322" s="96">
        <f>IF(P322="",0,IF(INDEX('CDFs'!$S$6:$S$505,P322)=1,1,0))</f>
        <v>0</v>
      </c>
      <c r="R322" s="96" t="str">
        <f>IF(C322="","",TRIM(LEFT(C322,FIND(" |",C322&amp;" |")-1)))</f>
        <v/>
      </c>
      <c r="S322" s="96" t="str">
        <f>IF(R322="","",IFERROR(MATCH(R322,'ITENS_MTR'!$A$6:$A$1005,0),""))</f>
        <v/>
      </c>
      <c r="T322" s="96">
        <f>IF(S322="",0,IF(INDEX('ITENS_MTR'!$R$6:$R$1005,S322)=1,1,0))</f>
        <v>0</v>
      </c>
      <c r="U322" s="96" t="str">
        <f>IF(G322="","",IFERROR(IF(ISNUMBER(INDEX(cfg_fac,MATCH(G322,cfg_units,0))),IF(INDEX(cfg_fac,MATCH(G322,cfg_units,0))&gt;0,INDEX(cfg_fac,MATCH(G322,cfg_units,0)),""),""),""))</f>
        <v/>
      </c>
      <c r="V322" s="96">
        <f>IF(AND(ISNUMBER(F322),ISNUMBER(H322)),IF(H322&gt;0,1,0),0)</f>
        <v>0</v>
      </c>
      <c r="W322" s="96" t="str">
        <f>IF(T322=1,INDEX('ITENS_MTR'!$AU$6:$AU$1005,S322)&amp;"","")</f>
        <v/>
      </c>
      <c r="X322" s="96">
        <f>IF(AND(Q322=1,T322=1,I322&lt;&gt;"",W322&lt;&gt;""),IF(I322&lt;&gt;W322,1,0),0)</f>
        <v>0</v>
      </c>
      <c r="Y322" s="96">
        <f>IF(N322=0,0,IF(OR(Q322=0,T322=0,V322=0,AND(X322=1,J322&lt;&gt;"Sim")),1,0))</f>
        <v>0</v>
      </c>
      <c r="Z322" s="96">
        <f>IF(Q322=1,INDEX('CDFs'!$W$6:$W$505,P322),0)</f>
        <v>0</v>
      </c>
      <c r="AA322" s="96">
        <f>IF(AND(N322=1,Y322=0,Z322=1,J322="Sim"),1,0)</f>
        <v>0</v>
      </c>
      <c r="AB322" s="96">
        <f>IF(AND(N322=1,O322&lt;&gt;"",D322&lt;&gt;""),IF(COUNTIFS($O$6:O322,O322,$D$6:D322,D322)=1,1,0),0)</f>
        <v>0</v>
      </c>
      <c r="AC322" s="96">
        <f>IF(T322=1,INDEX('ITENS_MTR'!$AL$6:$AL$1005,S322),0)</f>
        <v>0</v>
      </c>
    </row>
    <row r="323">
      <c r="A323" s="89" t="inlineStr">
        <is>
          <t>VIN-000318</t>
        </is>
      </c>
      <c r="B323" s="91" t="n"/>
      <c r="C323" s="91" t="n"/>
      <c r="D323" s="94" t="str">
        <f>IF(T323=1,INDEX('ITENS_MTR'!$S$6:$S$1005,S323)&amp;"","")</f>
        <v/>
      </c>
      <c r="E323" s="94" t="str">
        <f>IF(T323=1,INDEX('ITENS_MTR'!$C$6:$C$1005,S323)&amp;"","")</f>
        <v/>
      </c>
      <c r="F323" s="98" t="n"/>
      <c r="G323" s="91" t="n"/>
      <c r="H323" s="93" t="str">
        <f>IF(N323=0,"",IF(NOT(ISNUMBER(F323)),"",IF(ISNUMBER(U323),F323*U323,"UNIDADE A CONFERIR")))</f>
        <v/>
      </c>
      <c r="I323" s="94" t="str">
        <f>IF(Q323=1,INDEX('CDFs'!$F$6:$F$505,P323)&amp;"","")</f>
        <v/>
      </c>
      <c r="J323" s="91" t="n"/>
      <c r="K323" s="91" t="n"/>
      <c r="L323" s="94" t="str">
        <f>IF(N323=0,"",IF(NOT(ISNUMBER(F323)),"Quantidade não informada",IF(F323&lt;=0,"Quantidade não positiva",IF(G323="","Unidade não informada",IF(NOT(ISNUMBER(H323)),"Unidade a conferir",IF(AC323=1,"REVISAR VÍNCULO: soma vinculada maior que a referência do item","OK"))))))</f>
        <v/>
      </c>
      <c r="M323" s="94" t="str">
        <f>IF(N323=0,"",IF(B323="","CDF não informado",IF(Q323=0,"REVISAR VÍNCULO: CDF inexistente",IF(C323="","Item não informado",IF(T323=0,"REVISAR VÍNCULO: item inexistente",IF(AND(X323=1,J323&lt;&gt;"Sim"),"REVISAR VÍNCULO: destinador diferente do MTR",IF(X323=1,"Destinador diferente do MTR (analisado)","OK")))))))</f>
        <v/>
      </c>
      <c r="N323" s="96">
        <f>IF(COUNTA(B323:C323,F323:G323,J323:K323)&gt;0,1,0)</f>
        <v>0</v>
      </c>
      <c r="O323" s="96" t="str">
        <f>IF(B323="","",TRIM(LEFT(B323,FIND(" |",B323&amp;" |")-1)))</f>
        <v/>
      </c>
      <c r="P323" s="96" t="str">
        <f>IF(O323="","",IFERROR(MATCH(O323,'CDFs'!$A$6:$A$505,0),""))</f>
        <v/>
      </c>
      <c r="Q323" s="96">
        <f>IF(P323="",0,IF(INDEX('CDFs'!$S$6:$S$505,P323)=1,1,0))</f>
        <v>0</v>
      </c>
      <c r="R323" s="96" t="str">
        <f>IF(C323="","",TRIM(LEFT(C323,FIND(" |",C323&amp;" |")-1)))</f>
        <v/>
      </c>
      <c r="S323" s="96" t="str">
        <f>IF(R323="","",IFERROR(MATCH(R323,'ITENS_MTR'!$A$6:$A$1005,0),""))</f>
        <v/>
      </c>
      <c r="T323" s="96">
        <f>IF(S323="",0,IF(INDEX('ITENS_MTR'!$R$6:$R$1005,S323)=1,1,0))</f>
        <v>0</v>
      </c>
      <c r="U323" s="96" t="str">
        <f>IF(G323="","",IFERROR(IF(ISNUMBER(INDEX(cfg_fac,MATCH(G323,cfg_units,0))),IF(INDEX(cfg_fac,MATCH(G323,cfg_units,0))&gt;0,INDEX(cfg_fac,MATCH(G323,cfg_units,0)),""),""),""))</f>
        <v/>
      </c>
      <c r="V323" s="96">
        <f>IF(AND(ISNUMBER(F323),ISNUMBER(H323)),IF(H323&gt;0,1,0),0)</f>
        <v>0</v>
      </c>
      <c r="W323" s="96" t="str">
        <f>IF(T323=1,INDEX('ITENS_MTR'!$AU$6:$AU$1005,S323)&amp;"","")</f>
        <v/>
      </c>
      <c r="X323" s="96">
        <f>IF(AND(Q323=1,T323=1,I323&lt;&gt;"",W323&lt;&gt;""),IF(I323&lt;&gt;W323,1,0),0)</f>
        <v>0</v>
      </c>
      <c r="Y323" s="96">
        <f>IF(N323=0,0,IF(OR(Q323=0,T323=0,V323=0,AND(X323=1,J323&lt;&gt;"Sim")),1,0))</f>
        <v>0</v>
      </c>
      <c r="Z323" s="96">
        <f>IF(Q323=1,INDEX('CDFs'!$W$6:$W$505,P323),0)</f>
        <v>0</v>
      </c>
      <c r="AA323" s="96">
        <f>IF(AND(N323=1,Y323=0,Z323=1,J323="Sim"),1,0)</f>
        <v>0</v>
      </c>
      <c r="AB323" s="96">
        <f>IF(AND(N323=1,O323&lt;&gt;"",D323&lt;&gt;""),IF(COUNTIFS($O$6:O323,O323,$D$6:D323,D323)=1,1,0),0)</f>
        <v>0</v>
      </c>
      <c r="AC323" s="96">
        <f>IF(T323=1,INDEX('ITENS_MTR'!$AL$6:$AL$1005,S323),0)</f>
        <v>0</v>
      </c>
    </row>
    <row r="324">
      <c r="A324" s="89" t="inlineStr">
        <is>
          <t>VIN-000319</t>
        </is>
      </c>
      <c r="B324" s="91" t="n"/>
      <c r="C324" s="91" t="n"/>
      <c r="D324" s="94" t="str">
        <f>IF(T324=1,INDEX('ITENS_MTR'!$S$6:$S$1005,S324)&amp;"","")</f>
        <v/>
      </c>
      <c r="E324" s="94" t="str">
        <f>IF(T324=1,INDEX('ITENS_MTR'!$C$6:$C$1005,S324)&amp;"","")</f>
        <v/>
      </c>
      <c r="F324" s="98" t="n"/>
      <c r="G324" s="91" t="n"/>
      <c r="H324" s="93" t="str">
        <f>IF(N324=0,"",IF(NOT(ISNUMBER(F324)),"",IF(ISNUMBER(U324),F324*U324,"UNIDADE A CONFERIR")))</f>
        <v/>
      </c>
      <c r="I324" s="94" t="str">
        <f>IF(Q324=1,INDEX('CDFs'!$F$6:$F$505,P324)&amp;"","")</f>
        <v/>
      </c>
      <c r="J324" s="91" t="n"/>
      <c r="K324" s="91" t="n"/>
      <c r="L324" s="94" t="str">
        <f>IF(N324=0,"",IF(NOT(ISNUMBER(F324)),"Quantidade não informada",IF(F324&lt;=0,"Quantidade não positiva",IF(G324="","Unidade não informada",IF(NOT(ISNUMBER(H324)),"Unidade a conferir",IF(AC324=1,"REVISAR VÍNCULO: soma vinculada maior que a referência do item","OK"))))))</f>
        <v/>
      </c>
      <c r="M324" s="94" t="str">
        <f>IF(N324=0,"",IF(B324="","CDF não informado",IF(Q324=0,"REVISAR VÍNCULO: CDF inexistente",IF(C324="","Item não informado",IF(T324=0,"REVISAR VÍNCULO: item inexistente",IF(AND(X324=1,J324&lt;&gt;"Sim"),"REVISAR VÍNCULO: destinador diferente do MTR",IF(X324=1,"Destinador diferente do MTR (analisado)","OK")))))))</f>
        <v/>
      </c>
      <c r="N324" s="96">
        <f>IF(COUNTA(B324:C324,F324:G324,J324:K324)&gt;0,1,0)</f>
        <v>0</v>
      </c>
      <c r="O324" s="96" t="str">
        <f>IF(B324="","",TRIM(LEFT(B324,FIND(" |",B324&amp;" |")-1)))</f>
        <v/>
      </c>
      <c r="P324" s="96" t="str">
        <f>IF(O324="","",IFERROR(MATCH(O324,'CDFs'!$A$6:$A$505,0),""))</f>
        <v/>
      </c>
      <c r="Q324" s="96">
        <f>IF(P324="",0,IF(INDEX('CDFs'!$S$6:$S$505,P324)=1,1,0))</f>
        <v>0</v>
      </c>
      <c r="R324" s="96" t="str">
        <f>IF(C324="","",TRIM(LEFT(C324,FIND(" |",C324&amp;" |")-1)))</f>
        <v/>
      </c>
      <c r="S324" s="96" t="str">
        <f>IF(R324="","",IFERROR(MATCH(R324,'ITENS_MTR'!$A$6:$A$1005,0),""))</f>
        <v/>
      </c>
      <c r="T324" s="96">
        <f>IF(S324="",0,IF(INDEX('ITENS_MTR'!$R$6:$R$1005,S324)=1,1,0))</f>
        <v>0</v>
      </c>
      <c r="U324" s="96" t="str">
        <f>IF(G324="","",IFERROR(IF(ISNUMBER(INDEX(cfg_fac,MATCH(G324,cfg_units,0))),IF(INDEX(cfg_fac,MATCH(G324,cfg_units,0))&gt;0,INDEX(cfg_fac,MATCH(G324,cfg_units,0)),""),""),""))</f>
        <v/>
      </c>
      <c r="V324" s="96">
        <f>IF(AND(ISNUMBER(F324),ISNUMBER(H324)),IF(H324&gt;0,1,0),0)</f>
        <v>0</v>
      </c>
      <c r="W324" s="96" t="str">
        <f>IF(T324=1,INDEX('ITENS_MTR'!$AU$6:$AU$1005,S324)&amp;"","")</f>
        <v/>
      </c>
      <c r="X324" s="96">
        <f>IF(AND(Q324=1,T324=1,I324&lt;&gt;"",W324&lt;&gt;""),IF(I324&lt;&gt;W324,1,0),0)</f>
        <v>0</v>
      </c>
      <c r="Y324" s="96">
        <f>IF(N324=0,0,IF(OR(Q324=0,T324=0,V324=0,AND(X324=1,J324&lt;&gt;"Sim")),1,0))</f>
        <v>0</v>
      </c>
      <c r="Z324" s="96">
        <f>IF(Q324=1,INDEX('CDFs'!$W$6:$W$505,P324),0)</f>
        <v>0</v>
      </c>
      <c r="AA324" s="96">
        <f>IF(AND(N324=1,Y324=0,Z324=1,J324="Sim"),1,0)</f>
        <v>0</v>
      </c>
      <c r="AB324" s="96">
        <f>IF(AND(N324=1,O324&lt;&gt;"",D324&lt;&gt;""),IF(COUNTIFS($O$6:O324,O324,$D$6:D324,D324)=1,1,0),0)</f>
        <v>0</v>
      </c>
      <c r="AC324" s="96">
        <f>IF(T324=1,INDEX('ITENS_MTR'!$AL$6:$AL$1005,S324),0)</f>
        <v>0</v>
      </c>
    </row>
    <row r="325">
      <c r="A325" s="89" t="inlineStr">
        <is>
          <t>VIN-000320</t>
        </is>
      </c>
      <c r="B325" s="91" t="n"/>
      <c r="C325" s="91" t="n"/>
      <c r="D325" s="94" t="str">
        <f>IF(T325=1,INDEX('ITENS_MTR'!$S$6:$S$1005,S325)&amp;"","")</f>
        <v/>
      </c>
      <c r="E325" s="94" t="str">
        <f>IF(T325=1,INDEX('ITENS_MTR'!$C$6:$C$1005,S325)&amp;"","")</f>
        <v/>
      </c>
      <c r="F325" s="98" t="n"/>
      <c r="G325" s="91" t="n"/>
      <c r="H325" s="93" t="str">
        <f>IF(N325=0,"",IF(NOT(ISNUMBER(F325)),"",IF(ISNUMBER(U325),F325*U325,"UNIDADE A CONFERIR")))</f>
        <v/>
      </c>
      <c r="I325" s="94" t="str">
        <f>IF(Q325=1,INDEX('CDFs'!$F$6:$F$505,P325)&amp;"","")</f>
        <v/>
      </c>
      <c r="J325" s="91" t="n"/>
      <c r="K325" s="91" t="n"/>
      <c r="L325" s="94" t="str">
        <f>IF(N325=0,"",IF(NOT(ISNUMBER(F325)),"Quantidade não informada",IF(F325&lt;=0,"Quantidade não positiva",IF(G325="","Unidade não informada",IF(NOT(ISNUMBER(H325)),"Unidade a conferir",IF(AC325=1,"REVISAR VÍNCULO: soma vinculada maior que a referência do item","OK"))))))</f>
        <v/>
      </c>
      <c r="M325" s="94" t="str">
        <f>IF(N325=0,"",IF(B325="","CDF não informado",IF(Q325=0,"REVISAR VÍNCULO: CDF inexistente",IF(C325="","Item não informado",IF(T325=0,"REVISAR VÍNCULO: item inexistente",IF(AND(X325=1,J325&lt;&gt;"Sim"),"REVISAR VÍNCULO: destinador diferente do MTR",IF(X325=1,"Destinador diferente do MTR (analisado)","OK")))))))</f>
        <v/>
      </c>
      <c r="N325" s="96">
        <f>IF(COUNTA(B325:C325,F325:G325,J325:K325)&gt;0,1,0)</f>
        <v>0</v>
      </c>
      <c r="O325" s="96" t="str">
        <f>IF(B325="","",TRIM(LEFT(B325,FIND(" |",B325&amp;" |")-1)))</f>
        <v/>
      </c>
      <c r="P325" s="96" t="str">
        <f>IF(O325="","",IFERROR(MATCH(O325,'CDFs'!$A$6:$A$505,0),""))</f>
        <v/>
      </c>
      <c r="Q325" s="96">
        <f>IF(P325="",0,IF(INDEX('CDFs'!$S$6:$S$505,P325)=1,1,0))</f>
        <v>0</v>
      </c>
      <c r="R325" s="96" t="str">
        <f>IF(C325="","",TRIM(LEFT(C325,FIND(" |",C325&amp;" |")-1)))</f>
        <v/>
      </c>
      <c r="S325" s="96" t="str">
        <f>IF(R325="","",IFERROR(MATCH(R325,'ITENS_MTR'!$A$6:$A$1005,0),""))</f>
        <v/>
      </c>
      <c r="T325" s="96">
        <f>IF(S325="",0,IF(INDEX('ITENS_MTR'!$R$6:$R$1005,S325)=1,1,0))</f>
        <v>0</v>
      </c>
      <c r="U325" s="96" t="str">
        <f>IF(G325="","",IFERROR(IF(ISNUMBER(INDEX(cfg_fac,MATCH(G325,cfg_units,0))),IF(INDEX(cfg_fac,MATCH(G325,cfg_units,0))&gt;0,INDEX(cfg_fac,MATCH(G325,cfg_units,0)),""),""),""))</f>
        <v/>
      </c>
      <c r="V325" s="96">
        <f>IF(AND(ISNUMBER(F325),ISNUMBER(H325)),IF(H325&gt;0,1,0),0)</f>
        <v>0</v>
      </c>
      <c r="W325" s="96" t="str">
        <f>IF(T325=1,INDEX('ITENS_MTR'!$AU$6:$AU$1005,S325)&amp;"","")</f>
        <v/>
      </c>
      <c r="X325" s="96">
        <f>IF(AND(Q325=1,T325=1,I325&lt;&gt;"",W325&lt;&gt;""),IF(I325&lt;&gt;W325,1,0),0)</f>
        <v>0</v>
      </c>
      <c r="Y325" s="96">
        <f>IF(N325=0,0,IF(OR(Q325=0,T325=0,V325=0,AND(X325=1,J325&lt;&gt;"Sim")),1,0))</f>
        <v>0</v>
      </c>
      <c r="Z325" s="96">
        <f>IF(Q325=1,INDEX('CDFs'!$W$6:$W$505,P325),0)</f>
        <v>0</v>
      </c>
      <c r="AA325" s="96">
        <f>IF(AND(N325=1,Y325=0,Z325=1,J325="Sim"),1,0)</f>
        <v>0</v>
      </c>
      <c r="AB325" s="96">
        <f>IF(AND(N325=1,O325&lt;&gt;"",D325&lt;&gt;""),IF(COUNTIFS($O$6:O325,O325,$D$6:D325,D325)=1,1,0),0)</f>
        <v>0</v>
      </c>
      <c r="AC325" s="96">
        <f>IF(T325=1,INDEX('ITENS_MTR'!$AL$6:$AL$1005,S325),0)</f>
        <v>0</v>
      </c>
    </row>
    <row r="326">
      <c r="A326" s="89" t="inlineStr">
        <is>
          <t>VIN-000321</t>
        </is>
      </c>
      <c r="B326" s="91" t="n"/>
      <c r="C326" s="91" t="n"/>
      <c r="D326" s="94" t="str">
        <f>IF(T326=1,INDEX('ITENS_MTR'!$S$6:$S$1005,S326)&amp;"","")</f>
        <v/>
      </c>
      <c r="E326" s="94" t="str">
        <f>IF(T326=1,INDEX('ITENS_MTR'!$C$6:$C$1005,S326)&amp;"","")</f>
        <v/>
      </c>
      <c r="F326" s="98" t="n"/>
      <c r="G326" s="91" t="n"/>
      <c r="H326" s="93" t="str">
        <f>IF(N326=0,"",IF(NOT(ISNUMBER(F326)),"",IF(ISNUMBER(U326),F326*U326,"UNIDADE A CONFERIR")))</f>
        <v/>
      </c>
      <c r="I326" s="94" t="str">
        <f>IF(Q326=1,INDEX('CDFs'!$F$6:$F$505,P326)&amp;"","")</f>
        <v/>
      </c>
      <c r="J326" s="91" t="n"/>
      <c r="K326" s="91" t="n"/>
      <c r="L326" s="94" t="str">
        <f>IF(N326=0,"",IF(NOT(ISNUMBER(F326)),"Quantidade não informada",IF(F326&lt;=0,"Quantidade não positiva",IF(G326="","Unidade não informada",IF(NOT(ISNUMBER(H326)),"Unidade a conferir",IF(AC326=1,"REVISAR VÍNCULO: soma vinculada maior que a referência do item","OK"))))))</f>
        <v/>
      </c>
      <c r="M326" s="94" t="str">
        <f>IF(N326=0,"",IF(B326="","CDF não informado",IF(Q326=0,"REVISAR VÍNCULO: CDF inexistente",IF(C326="","Item não informado",IF(T326=0,"REVISAR VÍNCULO: item inexistente",IF(AND(X326=1,J326&lt;&gt;"Sim"),"REVISAR VÍNCULO: destinador diferente do MTR",IF(X326=1,"Destinador diferente do MTR (analisado)","OK")))))))</f>
        <v/>
      </c>
      <c r="N326" s="96">
        <f>IF(COUNTA(B326:C326,F326:G326,J326:K326)&gt;0,1,0)</f>
        <v>0</v>
      </c>
      <c r="O326" s="96" t="str">
        <f>IF(B326="","",TRIM(LEFT(B326,FIND(" |",B326&amp;" |")-1)))</f>
        <v/>
      </c>
      <c r="P326" s="96" t="str">
        <f>IF(O326="","",IFERROR(MATCH(O326,'CDFs'!$A$6:$A$505,0),""))</f>
        <v/>
      </c>
      <c r="Q326" s="96">
        <f>IF(P326="",0,IF(INDEX('CDFs'!$S$6:$S$505,P326)=1,1,0))</f>
        <v>0</v>
      </c>
      <c r="R326" s="96" t="str">
        <f>IF(C326="","",TRIM(LEFT(C326,FIND(" |",C326&amp;" |")-1)))</f>
        <v/>
      </c>
      <c r="S326" s="96" t="str">
        <f>IF(R326="","",IFERROR(MATCH(R326,'ITENS_MTR'!$A$6:$A$1005,0),""))</f>
        <v/>
      </c>
      <c r="T326" s="96">
        <f>IF(S326="",0,IF(INDEX('ITENS_MTR'!$R$6:$R$1005,S326)=1,1,0))</f>
        <v>0</v>
      </c>
      <c r="U326" s="96" t="str">
        <f>IF(G326="","",IFERROR(IF(ISNUMBER(INDEX(cfg_fac,MATCH(G326,cfg_units,0))),IF(INDEX(cfg_fac,MATCH(G326,cfg_units,0))&gt;0,INDEX(cfg_fac,MATCH(G326,cfg_units,0)),""),""),""))</f>
        <v/>
      </c>
      <c r="V326" s="96">
        <f>IF(AND(ISNUMBER(F326),ISNUMBER(H326)),IF(H326&gt;0,1,0),0)</f>
        <v>0</v>
      </c>
      <c r="W326" s="96" t="str">
        <f>IF(T326=1,INDEX('ITENS_MTR'!$AU$6:$AU$1005,S326)&amp;"","")</f>
        <v/>
      </c>
      <c r="X326" s="96">
        <f>IF(AND(Q326=1,T326=1,I326&lt;&gt;"",W326&lt;&gt;""),IF(I326&lt;&gt;W326,1,0),0)</f>
        <v>0</v>
      </c>
      <c r="Y326" s="96">
        <f>IF(N326=0,0,IF(OR(Q326=0,T326=0,V326=0,AND(X326=1,J326&lt;&gt;"Sim")),1,0))</f>
        <v>0</v>
      </c>
      <c r="Z326" s="96">
        <f>IF(Q326=1,INDEX('CDFs'!$W$6:$W$505,P326),0)</f>
        <v>0</v>
      </c>
      <c r="AA326" s="96">
        <f>IF(AND(N326=1,Y326=0,Z326=1,J326="Sim"),1,0)</f>
        <v>0</v>
      </c>
      <c r="AB326" s="96">
        <f>IF(AND(N326=1,O326&lt;&gt;"",D326&lt;&gt;""),IF(COUNTIFS($O$6:O326,O326,$D$6:D326,D326)=1,1,0),0)</f>
        <v>0</v>
      </c>
      <c r="AC326" s="96">
        <f>IF(T326=1,INDEX('ITENS_MTR'!$AL$6:$AL$1005,S326),0)</f>
        <v>0</v>
      </c>
    </row>
    <row r="327">
      <c r="A327" s="89" t="inlineStr">
        <is>
          <t>VIN-000322</t>
        </is>
      </c>
      <c r="B327" s="91" t="n"/>
      <c r="C327" s="91" t="n"/>
      <c r="D327" s="94" t="str">
        <f>IF(T327=1,INDEX('ITENS_MTR'!$S$6:$S$1005,S327)&amp;"","")</f>
        <v/>
      </c>
      <c r="E327" s="94" t="str">
        <f>IF(T327=1,INDEX('ITENS_MTR'!$C$6:$C$1005,S327)&amp;"","")</f>
        <v/>
      </c>
      <c r="F327" s="98" t="n"/>
      <c r="G327" s="91" t="n"/>
      <c r="H327" s="93" t="str">
        <f>IF(N327=0,"",IF(NOT(ISNUMBER(F327)),"",IF(ISNUMBER(U327),F327*U327,"UNIDADE A CONFERIR")))</f>
        <v/>
      </c>
      <c r="I327" s="94" t="str">
        <f>IF(Q327=1,INDEX('CDFs'!$F$6:$F$505,P327)&amp;"","")</f>
        <v/>
      </c>
      <c r="J327" s="91" t="n"/>
      <c r="K327" s="91" t="n"/>
      <c r="L327" s="94" t="str">
        <f>IF(N327=0,"",IF(NOT(ISNUMBER(F327)),"Quantidade não informada",IF(F327&lt;=0,"Quantidade não positiva",IF(G327="","Unidade não informada",IF(NOT(ISNUMBER(H327)),"Unidade a conferir",IF(AC327=1,"REVISAR VÍNCULO: soma vinculada maior que a referência do item","OK"))))))</f>
        <v/>
      </c>
      <c r="M327" s="94" t="str">
        <f>IF(N327=0,"",IF(B327="","CDF não informado",IF(Q327=0,"REVISAR VÍNCULO: CDF inexistente",IF(C327="","Item não informado",IF(T327=0,"REVISAR VÍNCULO: item inexistente",IF(AND(X327=1,J327&lt;&gt;"Sim"),"REVISAR VÍNCULO: destinador diferente do MTR",IF(X327=1,"Destinador diferente do MTR (analisado)","OK")))))))</f>
        <v/>
      </c>
      <c r="N327" s="96">
        <f>IF(COUNTA(B327:C327,F327:G327,J327:K327)&gt;0,1,0)</f>
        <v>0</v>
      </c>
      <c r="O327" s="96" t="str">
        <f>IF(B327="","",TRIM(LEFT(B327,FIND(" |",B327&amp;" |")-1)))</f>
        <v/>
      </c>
      <c r="P327" s="96" t="str">
        <f>IF(O327="","",IFERROR(MATCH(O327,'CDFs'!$A$6:$A$505,0),""))</f>
        <v/>
      </c>
      <c r="Q327" s="96">
        <f>IF(P327="",0,IF(INDEX('CDFs'!$S$6:$S$505,P327)=1,1,0))</f>
        <v>0</v>
      </c>
      <c r="R327" s="96" t="str">
        <f>IF(C327="","",TRIM(LEFT(C327,FIND(" |",C327&amp;" |")-1)))</f>
        <v/>
      </c>
      <c r="S327" s="96" t="str">
        <f>IF(R327="","",IFERROR(MATCH(R327,'ITENS_MTR'!$A$6:$A$1005,0),""))</f>
        <v/>
      </c>
      <c r="T327" s="96">
        <f>IF(S327="",0,IF(INDEX('ITENS_MTR'!$R$6:$R$1005,S327)=1,1,0))</f>
        <v>0</v>
      </c>
      <c r="U327" s="96" t="str">
        <f>IF(G327="","",IFERROR(IF(ISNUMBER(INDEX(cfg_fac,MATCH(G327,cfg_units,0))),IF(INDEX(cfg_fac,MATCH(G327,cfg_units,0))&gt;0,INDEX(cfg_fac,MATCH(G327,cfg_units,0)),""),""),""))</f>
        <v/>
      </c>
      <c r="V327" s="96">
        <f>IF(AND(ISNUMBER(F327),ISNUMBER(H327)),IF(H327&gt;0,1,0),0)</f>
        <v>0</v>
      </c>
      <c r="W327" s="96" t="str">
        <f>IF(T327=1,INDEX('ITENS_MTR'!$AU$6:$AU$1005,S327)&amp;"","")</f>
        <v/>
      </c>
      <c r="X327" s="96">
        <f>IF(AND(Q327=1,T327=1,I327&lt;&gt;"",W327&lt;&gt;""),IF(I327&lt;&gt;W327,1,0),0)</f>
        <v>0</v>
      </c>
      <c r="Y327" s="96">
        <f>IF(N327=0,0,IF(OR(Q327=0,T327=0,V327=0,AND(X327=1,J327&lt;&gt;"Sim")),1,0))</f>
        <v>0</v>
      </c>
      <c r="Z327" s="96">
        <f>IF(Q327=1,INDEX('CDFs'!$W$6:$W$505,P327),0)</f>
        <v>0</v>
      </c>
      <c r="AA327" s="96">
        <f>IF(AND(N327=1,Y327=0,Z327=1,J327="Sim"),1,0)</f>
        <v>0</v>
      </c>
      <c r="AB327" s="96">
        <f>IF(AND(N327=1,O327&lt;&gt;"",D327&lt;&gt;""),IF(COUNTIFS($O$6:O327,O327,$D$6:D327,D327)=1,1,0),0)</f>
        <v>0</v>
      </c>
      <c r="AC327" s="96">
        <f>IF(T327=1,INDEX('ITENS_MTR'!$AL$6:$AL$1005,S327),0)</f>
        <v>0</v>
      </c>
    </row>
    <row r="328">
      <c r="A328" s="89" t="inlineStr">
        <is>
          <t>VIN-000323</t>
        </is>
      </c>
      <c r="B328" s="91" t="n"/>
      <c r="C328" s="91" t="n"/>
      <c r="D328" s="94" t="str">
        <f>IF(T328=1,INDEX('ITENS_MTR'!$S$6:$S$1005,S328)&amp;"","")</f>
        <v/>
      </c>
      <c r="E328" s="94" t="str">
        <f>IF(T328=1,INDEX('ITENS_MTR'!$C$6:$C$1005,S328)&amp;"","")</f>
        <v/>
      </c>
      <c r="F328" s="98" t="n"/>
      <c r="G328" s="91" t="n"/>
      <c r="H328" s="93" t="str">
        <f>IF(N328=0,"",IF(NOT(ISNUMBER(F328)),"",IF(ISNUMBER(U328),F328*U328,"UNIDADE A CONFERIR")))</f>
        <v/>
      </c>
      <c r="I328" s="94" t="str">
        <f>IF(Q328=1,INDEX('CDFs'!$F$6:$F$505,P328)&amp;"","")</f>
        <v/>
      </c>
      <c r="J328" s="91" t="n"/>
      <c r="K328" s="91" t="n"/>
      <c r="L328" s="94" t="str">
        <f>IF(N328=0,"",IF(NOT(ISNUMBER(F328)),"Quantidade não informada",IF(F328&lt;=0,"Quantidade não positiva",IF(G328="","Unidade não informada",IF(NOT(ISNUMBER(H328)),"Unidade a conferir",IF(AC328=1,"REVISAR VÍNCULO: soma vinculada maior que a referência do item","OK"))))))</f>
        <v/>
      </c>
      <c r="M328" s="94" t="str">
        <f>IF(N328=0,"",IF(B328="","CDF não informado",IF(Q328=0,"REVISAR VÍNCULO: CDF inexistente",IF(C328="","Item não informado",IF(T328=0,"REVISAR VÍNCULO: item inexistente",IF(AND(X328=1,J328&lt;&gt;"Sim"),"REVISAR VÍNCULO: destinador diferente do MTR",IF(X328=1,"Destinador diferente do MTR (analisado)","OK")))))))</f>
        <v/>
      </c>
      <c r="N328" s="96">
        <f>IF(COUNTA(B328:C328,F328:G328,J328:K328)&gt;0,1,0)</f>
        <v>0</v>
      </c>
      <c r="O328" s="96" t="str">
        <f>IF(B328="","",TRIM(LEFT(B328,FIND(" |",B328&amp;" |")-1)))</f>
        <v/>
      </c>
      <c r="P328" s="96" t="str">
        <f>IF(O328="","",IFERROR(MATCH(O328,'CDFs'!$A$6:$A$505,0),""))</f>
        <v/>
      </c>
      <c r="Q328" s="96">
        <f>IF(P328="",0,IF(INDEX('CDFs'!$S$6:$S$505,P328)=1,1,0))</f>
        <v>0</v>
      </c>
      <c r="R328" s="96" t="str">
        <f>IF(C328="","",TRIM(LEFT(C328,FIND(" |",C328&amp;" |")-1)))</f>
        <v/>
      </c>
      <c r="S328" s="96" t="str">
        <f>IF(R328="","",IFERROR(MATCH(R328,'ITENS_MTR'!$A$6:$A$1005,0),""))</f>
        <v/>
      </c>
      <c r="T328" s="96">
        <f>IF(S328="",0,IF(INDEX('ITENS_MTR'!$R$6:$R$1005,S328)=1,1,0))</f>
        <v>0</v>
      </c>
      <c r="U328" s="96" t="str">
        <f>IF(G328="","",IFERROR(IF(ISNUMBER(INDEX(cfg_fac,MATCH(G328,cfg_units,0))),IF(INDEX(cfg_fac,MATCH(G328,cfg_units,0))&gt;0,INDEX(cfg_fac,MATCH(G328,cfg_units,0)),""),""),""))</f>
        <v/>
      </c>
      <c r="V328" s="96">
        <f>IF(AND(ISNUMBER(F328),ISNUMBER(H328)),IF(H328&gt;0,1,0),0)</f>
        <v>0</v>
      </c>
      <c r="W328" s="96" t="str">
        <f>IF(T328=1,INDEX('ITENS_MTR'!$AU$6:$AU$1005,S328)&amp;"","")</f>
        <v/>
      </c>
      <c r="X328" s="96">
        <f>IF(AND(Q328=1,T328=1,I328&lt;&gt;"",W328&lt;&gt;""),IF(I328&lt;&gt;W328,1,0),0)</f>
        <v>0</v>
      </c>
      <c r="Y328" s="96">
        <f>IF(N328=0,0,IF(OR(Q328=0,T328=0,V328=0,AND(X328=1,J328&lt;&gt;"Sim")),1,0))</f>
        <v>0</v>
      </c>
      <c r="Z328" s="96">
        <f>IF(Q328=1,INDEX('CDFs'!$W$6:$W$505,P328),0)</f>
        <v>0</v>
      </c>
      <c r="AA328" s="96">
        <f>IF(AND(N328=1,Y328=0,Z328=1,J328="Sim"),1,0)</f>
        <v>0</v>
      </c>
      <c r="AB328" s="96">
        <f>IF(AND(N328=1,O328&lt;&gt;"",D328&lt;&gt;""),IF(COUNTIFS($O$6:O328,O328,$D$6:D328,D328)=1,1,0),0)</f>
        <v>0</v>
      </c>
      <c r="AC328" s="96">
        <f>IF(T328=1,INDEX('ITENS_MTR'!$AL$6:$AL$1005,S328),0)</f>
        <v>0</v>
      </c>
    </row>
    <row r="329">
      <c r="A329" s="89" t="inlineStr">
        <is>
          <t>VIN-000324</t>
        </is>
      </c>
      <c r="B329" s="91" t="n"/>
      <c r="C329" s="91" t="n"/>
      <c r="D329" s="94" t="str">
        <f>IF(T329=1,INDEX('ITENS_MTR'!$S$6:$S$1005,S329)&amp;"","")</f>
        <v/>
      </c>
      <c r="E329" s="94" t="str">
        <f>IF(T329=1,INDEX('ITENS_MTR'!$C$6:$C$1005,S329)&amp;"","")</f>
        <v/>
      </c>
      <c r="F329" s="98" t="n"/>
      <c r="G329" s="91" t="n"/>
      <c r="H329" s="93" t="str">
        <f>IF(N329=0,"",IF(NOT(ISNUMBER(F329)),"",IF(ISNUMBER(U329),F329*U329,"UNIDADE A CONFERIR")))</f>
        <v/>
      </c>
      <c r="I329" s="94" t="str">
        <f>IF(Q329=1,INDEX('CDFs'!$F$6:$F$505,P329)&amp;"","")</f>
        <v/>
      </c>
      <c r="J329" s="91" t="n"/>
      <c r="K329" s="91" t="n"/>
      <c r="L329" s="94" t="str">
        <f>IF(N329=0,"",IF(NOT(ISNUMBER(F329)),"Quantidade não informada",IF(F329&lt;=0,"Quantidade não positiva",IF(G329="","Unidade não informada",IF(NOT(ISNUMBER(H329)),"Unidade a conferir",IF(AC329=1,"REVISAR VÍNCULO: soma vinculada maior que a referência do item","OK"))))))</f>
        <v/>
      </c>
      <c r="M329" s="94" t="str">
        <f>IF(N329=0,"",IF(B329="","CDF não informado",IF(Q329=0,"REVISAR VÍNCULO: CDF inexistente",IF(C329="","Item não informado",IF(T329=0,"REVISAR VÍNCULO: item inexistente",IF(AND(X329=1,J329&lt;&gt;"Sim"),"REVISAR VÍNCULO: destinador diferente do MTR",IF(X329=1,"Destinador diferente do MTR (analisado)","OK")))))))</f>
        <v/>
      </c>
      <c r="N329" s="96">
        <f>IF(COUNTA(B329:C329,F329:G329,J329:K329)&gt;0,1,0)</f>
        <v>0</v>
      </c>
      <c r="O329" s="96" t="str">
        <f>IF(B329="","",TRIM(LEFT(B329,FIND(" |",B329&amp;" |")-1)))</f>
        <v/>
      </c>
      <c r="P329" s="96" t="str">
        <f>IF(O329="","",IFERROR(MATCH(O329,'CDFs'!$A$6:$A$505,0),""))</f>
        <v/>
      </c>
      <c r="Q329" s="96">
        <f>IF(P329="",0,IF(INDEX('CDFs'!$S$6:$S$505,P329)=1,1,0))</f>
        <v>0</v>
      </c>
      <c r="R329" s="96" t="str">
        <f>IF(C329="","",TRIM(LEFT(C329,FIND(" |",C329&amp;" |")-1)))</f>
        <v/>
      </c>
      <c r="S329" s="96" t="str">
        <f>IF(R329="","",IFERROR(MATCH(R329,'ITENS_MTR'!$A$6:$A$1005,0),""))</f>
        <v/>
      </c>
      <c r="T329" s="96">
        <f>IF(S329="",0,IF(INDEX('ITENS_MTR'!$R$6:$R$1005,S329)=1,1,0))</f>
        <v>0</v>
      </c>
      <c r="U329" s="96" t="str">
        <f>IF(G329="","",IFERROR(IF(ISNUMBER(INDEX(cfg_fac,MATCH(G329,cfg_units,0))),IF(INDEX(cfg_fac,MATCH(G329,cfg_units,0))&gt;0,INDEX(cfg_fac,MATCH(G329,cfg_units,0)),""),""),""))</f>
        <v/>
      </c>
      <c r="V329" s="96">
        <f>IF(AND(ISNUMBER(F329),ISNUMBER(H329)),IF(H329&gt;0,1,0),0)</f>
        <v>0</v>
      </c>
      <c r="W329" s="96" t="str">
        <f>IF(T329=1,INDEX('ITENS_MTR'!$AU$6:$AU$1005,S329)&amp;"","")</f>
        <v/>
      </c>
      <c r="X329" s="96">
        <f>IF(AND(Q329=1,T329=1,I329&lt;&gt;"",W329&lt;&gt;""),IF(I329&lt;&gt;W329,1,0),0)</f>
        <v>0</v>
      </c>
      <c r="Y329" s="96">
        <f>IF(N329=0,0,IF(OR(Q329=0,T329=0,V329=0,AND(X329=1,J329&lt;&gt;"Sim")),1,0))</f>
        <v>0</v>
      </c>
      <c r="Z329" s="96">
        <f>IF(Q329=1,INDEX('CDFs'!$W$6:$W$505,P329),0)</f>
        <v>0</v>
      </c>
      <c r="AA329" s="96">
        <f>IF(AND(N329=1,Y329=0,Z329=1,J329="Sim"),1,0)</f>
        <v>0</v>
      </c>
      <c r="AB329" s="96">
        <f>IF(AND(N329=1,O329&lt;&gt;"",D329&lt;&gt;""),IF(COUNTIFS($O$6:O329,O329,$D$6:D329,D329)=1,1,0),0)</f>
        <v>0</v>
      </c>
      <c r="AC329" s="96">
        <f>IF(T329=1,INDEX('ITENS_MTR'!$AL$6:$AL$1005,S329),0)</f>
        <v>0</v>
      </c>
    </row>
    <row r="330">
      <c r="A330" s="89" t="inlineStr">
        <is>
          <t>VIN-000325</t>
        </is>
      </c>
      <c r="B330" s="91" t="n"/>
      <c r="C330" s="91" t="n"/>
      <c r="D330" s="94" t="str">
        <f>IF(T330=1,INDEX('ITENS_MTR'!$S$6:$S$1005,S330)&amp;"","")</f>
        <v/>
      </c>
      <c r="E330" s="94" t="str">
        <f>IF(T330=1,INDEX('ITENS_MTR'!$C$6:$C$1005,S330)&amp;"","")</f>
        <v/>
      </c>
      <c r="F330" s="98" t="n"/>
      <c r="G330" s="91" t="n"/>
      <c r="H330" s="93" t="str">
        <f>IF(N330=0,"",IF(NOT(ISNUMBER(F330)),"",IF(ISNUMBER(U330),F330*U330,"UNIDADE A CONFERIR")))</f>
        <v/>
      </c>
      <c r="I330" s="94" t="str">
        <f>IF(Q330=1,INDEX('CDFs'!$F$6:$F$505,P330)&amp;"","")</f>
        <v/>
      </c>
      <c r="J330" s="91" t="n"/>
      <c r="K330" s="91" t="n"/>
      <c r="L330" s="94" t="str">
        <f>IF(N330=0,"",IF(NOT(ISNUMBER(F330)),"Quantidade não informada",IF(F330&lt;=0,"Quantidade não positiva",IF(G330="","Unidade não informada",IF(NOT(ISNUMBER(H330)),"Unidade a conferir",IF(AC330=1,"REVISAR VÍNCULO: soma vinculada maior que a referência do item","OK"))))))</f>
        <v/>
      </c>
      <c r="M330" s="94" t="str">
        <f>IF(N330=0,"",IF(B330="","CDF não informado",IF(Q330=0,"REVISAR VÍNCULO: CDF inexistente",IF(C330="","Item não informado",IF(T330=0,"REVISAR VÍNCULO: item inexistente",IF(AND(X330=1,J330&lt;&gt;"Sim"),"REVISAR VÍNCULO: destinador diferente do MTR",IF(X330=1,"Destinador diferente do MTR (analisado)","OK")))))))</f>
        <v/>
      </c>
      <c r="N330" s="96">
        <f>IF(COUNTA(B330:C330,F330:G330,J330:K330)&gt;0,1,0)</f>
        <v>0</v>
      </c>
      <c r="O330" s="96" t="str">
        <f>IF(B330="","",TRIM(LEFT(B330,FIND(" |",B330&amp;" |")-1)))</f>
        <v/>
      </c>
      <c r="P330" s="96" t="str">
        <f>IF(O330="","",IFERROR(MATCH(O330,'CDFs'!$A$6:$A$505,0),""))</f>
        <v/>
      </c>
      <c r="Q330" s="96">
        <f>IF(P330="",0,IF(INDEX('CDFs'!$S$6:$S$505,P330)=1,1,0))</f>
        <v>0</v>
      </c>
      <c r="R330" s="96" t="str">
        <f>IF(C330="","",TRIM(LEFT(C330,FIND(" |",C330&amp;" |")-1)))</f>
        <v/>
      </c>
      <c r="S330" s="96" t="str">
        <f>IF(R330="","",IFERROR(MATCH(R330,'ITENS_MTR'!$A$6:$A$1005,0),""))</f>
        <v/>
      </c>
      <c r="T330" s="96">
        <f>IF(S330="",0,IF(INDEX('ITENS_MTR'!$R$6:$R$1005,S330)=1,1,0))</f>
        <v>0</v>
      </c>
      <c r="U330" s="96" t="str">
        <f>IF(G330="","",IFERROR(IF(ISNUMBER(INDEX(cfg_fac,MATCH(G330,cfg_units,0))),IF(INDEX(cfg_fac,MATCH(G330,cfg_units,0))&gt;0,INDEX(cfg_fac,MATCH(G330,cfg_units,0)),""),""),""))</f>
        <v/>
      </c>
      <c r="V330" s="96">
        <f>IF(AND(ISNUMBER(F330),ISNUMBER(H330)),IF(H330&gt;0,1,0),0)</f>
        <v>0</v>
      </c>
      <c r="W330" s="96" t="str">
        <f>IF(T330=1,INDEX('ITENS_MTR'!$AU$6:$AU$1005,S330)&amp;"","")</f>
        <v/>
      </c>
      <c r="X330" s="96">
        <f>IF(AND(Q330=1,T330=1,I330&lt;&gt;"",W330&lt;&gt;""),IF(I330&lt;&gt;W330,1,0),0)</f>
        <v>0</v>
      </c>
      <c r="Y330" s="96">
        <f>IF(N330=0,0,IF(OR(Q330=0,T330=0,V330=0,AND(X330=1,J330&lt;&gt;"Sim")),1,0))</f>
        <v>0</v>
      </c>
      <c r="Z330" s="96">
        <f>IF(Q330=1,INDEX('CDFs'!$W$6:$W$505,P330),0)</f>
        <v>0</v>
      </c>
      <c r="AA330" s="96">
        <f>IF(AND(N330=1,Y330=0,Z330=1,J330="Sim"),1,0)</f>
        <v>0</v>
      </c>
      <c r="AB330" s="96">
        <f>IF(AND(N330=1,O330&lt;&gt;"",D330&lt;&gt;""),IF(COUNTIFS($O$6:O330,O330,$D$6:D330,D330)=1,1,0),0)</f>
        <v>0</v>
      </c>
      <c r="AC330" s="96">
        <f>IF(T330=1,INDEX('ITENS_MTR'!$AL$6:$AL$1005,S330),0)</f>
        <v>0</v>
      </c>
    </row>
    <row r="331">
      <c r="A331" s="89" t="inlineStr">
        <is>
          <t>VIN-000326</t>
        </is>
      </c>
      <c r="B331" s="91" t="n"/>
      <c r="C331" s="91" t="n"/>
      <c r="D331" s="94" t="str">
        <f>IF(T331=1,INDEX('ITENS_MTR'!$S$6:$S$1005,S331)&amp;"","")</f>
        <v/>
      </c>
      <c r="E331" s="94" t="str">
        <f>IF(T331=1,INDEX('ITENS_MTR'!$C$6:$C$1005,S331)&amp;"","")</f>
        <v/>
      </c>
      <c r="F331" s="98" t="n"/>
      <c r="G331" s="91" t="n"/>
      <c r="H331" s="93" t="str">
        <f>IF(N331=0,"",IF(NOT(ISNUMBER(F331)),"",IF(ISNUMBER(U331),F331*U331,"UNIDADE A CONFERIR")))</f>
        <v/>
      </c>
      <c r="I331" s="94" t="str">
        <f>IF(Q331=1,INDEX('CDFs'!$F$6:$F$505,P331)&amp;"","")</f>
        <v/>
      </c>
      <c r="J331" s="91" t="n"/>
      <c r="K331" s="91" t="n"/>
      <c r="L331" s="94" t="str">
        <f>IF(N331=0,"",IF(NOT(ISNUMBER(F331)),"Quantidade não informada",IF(F331&lt;=0,"Quantidade não positiva",IF(G331="","Unidade não informada",IF(NOT(ISNUMBER(H331)),"Unidade a conferir",IF(AC331=1,"REVISAR VÍNCULO: soma vinculada maior que a referência do item","OK"))))))</f>
        <v/>
      </c>
      <c r="M331" s="94" t="str">
        <f>IF(N331=0,"",IF(B331="","CDF não informado",IF(Q331=0,"REVISAR VÍNCULO: CDF inexistente",IF(C331="","Item não informado",IF(T331=0,"REVISAR VÍNCULO: item inexistente",IF(AND(X331=1,J331&lt;&gt;"Sim"),"REVISAR VÍNCULO: destinador diferente do MTR",IF(X331=1,"Destinador diferente do MTR (analisado)","OK")))))))</f>
        <v/>
      </c>
      <c r="N331" s="96">
        <f>IF(COUNTA(B331:C331,F331:G331,J331:K331)&gt;0,1,0)</f>
        <v>0</v>
      </c>
      <c r="O331" s="96" t="str">
        <f>IF(B331="","",TRIM(LEFT(B331,FIND(" |",B331&amp;" |")-1)))</f>
        <v/>
      </c>
      <c r="P331" s="96" t="str">
        <f>IF(O331="","",IFERROR(MATCH(O331,'CDFs'!$A$6:$A$505,0),""))</f>
        <v/>
      </c>
      <c r="Q331" s="96">
        <f>IF(P331="",0,IF(INDEX('CDFs'!$S$6:$S$505,P331)=1,1,0))</f>
        <v>0</v>
      </c>
      <c r="R331" s="96" t="str">
        <f>IF(C331="","",TRIM(LEFT(C331,FIND(" |",C331&amp;" |")-1)))</f>
        <v/>
      </c>
      <c r="S331" s="96" t="str">
        <f>IF(R331="","",IFERROR(MATCH(R331,'ITENS_MTR'!$A$6:$A$1005,0),""))</f>
        <v/>
      </c>
      <c r="T331" s="96">
        <f>IF(S331="",0,IF(INDEX('ITENS_MTR'!$R$6:$R$1005,S331)=1,1,0))</f>
        <v>0</v>
      </c>
      <c r="U331" s="96" t="str">
        <f>IF(G331="","",IFERROR(IF(ISNUMBER(INDEX(cfg_fac,MATCH(G331,cfg_units,0))),IF(INDEX(cfg_fac,MATCH(G331,cfg_units,0))&gt;0,INDEX(cfg_fac,MATCH(G331,cfg_units,0)),""),""),""))</f>
        <v/>
      </c>
      <c r="V331" s="96">
        <f>IF(AND(ISNUMBER(F331),ISNUMBER(H331)),IF(H331&gt;0,1,0),0)</f>
        <v>0</v>
      </c>
      <c r="W331" s="96" t="str">
        <f>IF(T331=1,INDEX('ITENS_MTR'!$AU$6:$AU$1005,S331)&amp;"","")</f>
        <v/>
      </c>
      <c r="X331" s="96">
        <f>IF(AND(Q331=1,T331=1,I331&lt;&gt;"",W331&lt;&gt;""),IF(I331&lt;&gt;W331,1,0),0)</f>
        <v>0</v>
      </c>
      <c r="Y331" s="96">
        <f>IF(N331=0,0,IF(OR(Q331=0,T331=0,V331=0,AND(X331=1,J331&lt;&gt;"Sim")),1,0))</f>
        <v>0</v>
      </c>
      <c r="Z331" s="96">
        <f>IF(Q331=1,INDEX('CDFs'!$W$6:$W$505,P331),0)</f>
        <v>0</v>
      </c>
      <c r="AA331" s="96">
        <f>IF(AND(N331=1,Y331=0,Z331=1,J331="Sim"),1,0)</f>
        <v>0</v>
      </c>
      <c r="AB331" s="96">
        <f>IF(AND(N331=1,O331&lt;&gt;"",D331&lt;&gt;""),IF(COUNTIFS($O$6:O331,O331,$D$6:D331,D331)=1,1,0),0)</f>
        <v>0</v>
      </c>
      <c r="AC331" s="96">
        <f>IF(T331=1,INDEX('ITENS_MTR'!$AL$6:$AL$1005,S331),0)</f>
        <v>0</v>
      </c>
    </row>
    <row r="332">
      <c r="A332" s="89" t="inlineStr">
        <is>
          <t>VIN-000327</t>
        </is>
      </c>
      <c r="B332" s="91" t="n"/>
      <c r="C332" s="91" t="n"/>
      <c r="D332" s="94" t="str">
        <f>IF(T332=1,INDEX('ITENS_MTR'!$S$6:$S$1005,S332)&amp;"","")</f>
        <v/>
      </c>
      <c r="E332" s="94" t="str">
        <f>IF(T332=1,INDEX('ITENS_MTR'!$C$6:$C$1005,S332)&amp;"","")</f>
        <v/>
      </c>
      <c r="F332" s="98" t="n"/>
      <c r="G332" s="91" t="n"/>
      <c r="H332" s="93" t="str">
        <f>IF(N332=0,"",IF(NOT(ISNUMBER(F332)),"",IF(ISNUMBER(U332),F332*U332,"UNIDADE A CONFERIR")))</f>
        <v/>
      </c>
      <c r="I332" s="94" t="str">
        <f>IF(Q332=1,INDEX('CDFs'!$F$6:$F$505,P332)&amp;"","")</f>
        <v/>
      </c>
      <c r="J332" s="91" t="n"/>
      <c r="K332" s="91" t="n"/>
      <c r="L332" s="94" t="str">
        <f>IF(N332=0,"",IF(NOT(ISNUMBER(F332)),"Quantidade não informada",IF(F332&lt;=0,"Quantidade não positiva",IF(G332="","Unidade não informada",IF(NOT(ISNUMBER(H332)),"Unidade a conferir",IF(AC332=1,"REVISAR VÍNCULO: soma vinculada maior que a referência do item","OK"))))))</f>
        <v/>
      </c>
      <c r="M332" s="94" t="str">
        <f>IF(N332=0,"",IF(B332="","CDF não informado",IF(Q332=0,"REVISAR VÍNCULO: CDF inexistente",IF(C332="","Item não informado",IF(T332=0,"REVISAR VÍNCULO: item inexistente",IF(AND(X332=1,J332&lt;&gt;"Sim"),"REVISAR VÍNCULO: destinador diferente do MTR",IF(X332=1,"Destinador diferente do MTR (analisado)","OK")))))))</f>
        <v/>
      </c>
      <c r="N332" s="96">
        <f>IF(COUNTA(B332:C332,F332:G332,J332:K332)&gt;0,1,0)</f>
        <v>0</v>
      </c>
      <c r="O332" s="96" t="str">
        <f>IF(B332="","",TRIM(LEFT(B332,FIND(" |",B332&amp;" |")-1)))</f>
        <v/>
      </c>
      <c r="P332" s="96" t="str">
        <f>IF(O332="","",IFERROR(MATCH(O332,'CDFs'!$A$6:$A$505,0),""))</f>
        <v/>
      </c>
      <c r="Q332" s="96">
        <f>IF(P332="",0,IF(INDEX('CDFs'!$S$6:$S$505,P332)=1,1,0))</f>
        <v>0</v>
      </c>
      <c r="R332" s="96" t="str">
        <f>IF(C332="","",TRIM(LEFT(C332,FIND(" |",C332&amp;" |")-1)))</f>
        <v/>
      </c>
      <c r="S332" s="96" t="str">
        <f>IF(R332="","",IFERROR(MATCH(R332,'ITENS_MTR'!$A$6:$A$1005,0),""))</f>
        <v/>
      </c>
      <c r="T332" s="96">
        <f>IF(S332="",0,IF(INDEX('ITENS_MTR'!$R$6:$R$1005,S332)=1,1,0))</f>
        <v>0</v>
      </c>
      <c r="U332" s="96" t="str">
        <f>IF(G332="","",IFERROR(IF(ISNUMBER(INDEX(cfg_fac,MATCH(G332,cfg_units,0))),IF(INDEX(cfg_fac,MATCH(G332,cfg_units,0))&gt;0,INDEX(cfg_fac,MATCH(G332,cfg_units,0)),""),""),""))</f>
        <v/>
      </c>
      <c r="V332" s="96">
        <f>IF(AND(ISNUMBER(F332),ISNUMBER(H332)),IF(H332&gt;0,1,0),0)</f>
        <v>0</v>
      </c>
      <c r="W332" s="96" t="str">
        <f>IF(T332=1,INDEX('ITENS_MTR'!$AU$6:$AU$1005,S332)&amp;"","")</f>
        <v/>
      </c>
      <c r="X332" s="96">
        <f>IF(AND(Q332=1,T332=1,I332&lt;&gt;"",W332&lt;&gt;""),IF(I332&lt;&gt;W332,1,0),0)</f>
        <v>0</v>
      </c>
      <c r="Y332" s="96">
        <f>IF(N332=0,0,IF(OR(Q332=0,T332=0,V332=0,AND(X332=1,J332&lt;&gt;"Sim")),1,0))</f>
        <v>0</v>
      </c>
      <c r="Z332" s="96">
        <f>IF(Q332=1,INDEX('CDFs'!$W$6:$W$505,P332),0)</f>
        <v>0</v>
      </c>
      <c r="AA332" s="96">
        <f>IF(AND(N332=1,Y332=0,Z332=1,J332="Sim"),1,0)</f>
        <v>0</v>
      </c>
      <c r="AB332" s="96">
        <f>IF(AND(N332=1,O332&lt;&gt;"",D332&lt;&gt;""),IF(COUNTIFS($O$6:O332,O332,$D$6:D332,D332)=1,1,0),0)</f>
        <v>0</v>
      </c>
      <c r="AC332" s="96">
        <f>IF(T332=1,INDEX('ITENS_MTR'!$AL$6:$AL$1005,S332),0)</f>
        <v>0</v>
      </c>
    </row>
    <row r="333">
      <c r="A333" s="89" t="inlineStr">
        <is>
          <t>VIN-000328</t>
        </is>
      </c>
      <c r="B333" s="91" t="n"/>
      <c r="C333" s="91" t="n"/>
      <c r="D333" s="94" t="str">
        <f>IF(T333=1,INDEX('ITENS_MTR'!$S$6:$S$1005,S333)&amp;"","")</f>
        <v/>
      </c>
      <c r="E333" s="94" t="str">
        <f>IF(T333=1,INDEX('ITENS_MTR'!$C$6:$C$1005,S333)&amp;"","")</f>
        <v/>
      </c>
      <c r="F333" s="98" t="n"/>
      <c r="G333" s="91" t="n"/>
      <c r="H333" s="93" t="str">
        <f>IF(N333=0,"",IF(NOT(ISNUMBER(F333)),"",IF(ISNUMBER(U333),F333*U333,"UNIDADE A CONFERIR")))</f>
        <v/>
      </c>
      <c r="I333" s="94" t="str">
        <f>IF(Q333=1,INDEX('CDFs'!$F$6:$F$505,P333)&amp;"","")</f>
        <v/>
      </c>
      <c r="J333" s="91" t="n"/>
      <c r="K333" s="91" t="n"/>
      <c r="L333" s="94" t="str">
        <f>IF(N333=0,"",IF(NOT(ISNUMBER(F333)),"Quantidade não informada",IF(F333&lt;=0,"Quantidade não positiva",IF(G333="","Unidade não informada",IF(NOT(ISNUMBER(H333)),"Unidade a conferir",IF(AC333=1,"REVISAR VÍNCULO: soma vinculada maior que a referência do item","OK"))))))</f>
        <v/>
      </c>
      <c r="M333" s="94" t="str">
        <f>IF(N333=0,"",IF(B333="","CDF não informado",IF(Q333=0,"REVISAR VÍNCULO: CDF inexistente",IF(C333="","Item não informado",IF(T333=0,"REVISAR VÍNCULO: item inexistente",IF(AND(X333=1,J333&lt;&gt;"Sim"),"REVISAR VÍNCULO: destinador diferente do MTR",IF(X333=1,"Destinador diferente do MTR (analisado)","OK")))))))</f>
        <v/>
      </c>
      <c r="N333" s="96">
        <f>IF(COUNTA(B333:C333,F333:G333,J333:K333)&gt;0,1,0)</f>
        <v>0</v>
      </c>
      <c r="O333" s="96" t="str">
        <f>IF(B333="","",TRIM(LEFT(B333,FIND(" |",B333&amp;" |")-1)))</f>
        <v/>
      </c>
      <c r="P333" s="96" t="str">
        <f>IF(O333="","",IFERROR(MATCH(O333,'CDFs'!$A$6:$A$505,0),""))</f>
        <v/>
      </c>
      <c r="Q333" s="96">
        <f>IF(P333="",0,IF(INDEX('CDFs'!$S$6:$S$505,P333)=1,1,0))</f>
        <v>0</v>
      </c>
      <c r="R333" s="96" t="str">
        <f>IF(C333="","",TRIM(LEFT(C333,FIND(" |",C333&amp;" |")-1)))</f>
        <v/>
      </c>
      <c r="S333" s="96" t="str">
        <f>IF(R333="","",IFERROR(MATCH(R333,'ITENS_MTR'!$A$6:$A$1005,0),""))</f>
        <v/>
      </c>
      <c r="T333" s="96">
        <f>IF(S333="",0,IF(INDEX('ITENS_MTR'!$R$6:$R$1005,S333)=1,1,0))</f>
        <v>0</v>
      </c>
      <c r="U333" s="96" t="str">
        <f>IF(G333="","",IFERROR(IF(ISNUMBER(INDEX(cfg_fac,MATCH(G333,cfg_units,0))),IF(INDEX(cfg_fac,MATCH(G333,cfg_units,0))&gt;0,INDEX(cfg_fac,MATCH(G333,cfg_units,0)),""),""),""))</f>
        <v/>
      </c>
      <c r="V333" s="96">
        <f>IF(AND(ISNUMBER(F333),ISNUMBER(H333)),IF(H333&gt;0,1,0),0)</f>
        <v>0</v>
      </c>
      <c r="W333" s="96" t="str">
        <f>IF(T333=1,INDEX('ITENS_MTR'!$AU$6:$AU$1005,S333)&amp;"","")</f>
        <v/>
      </c>
      <c r="X333" s="96">
        <f>IF(AND(Q333=1,T333=1,I333&lt;&gt;"",W333&lt;&gt;""),IF(I333&lt;&gt;W333,1,0),0)</f>
        <v>0</v>
      </c>
      <c r="Y333" s="96">
        <f>IF(N333=0,0,IF(OR(Q333=0,T333=0,V333=0,AND(X333=1,J333&lt;&gt;"Sim")),1,0))</f>
        <v>0</v>
      </c>
      <c r="Z333" s="96">
        <f>IF(Q333=1,INDEX('CDFs'!$W$6:$W$505,P333),0)</f>
        <v>0</v>
      </c>
      <c r="AA333" s="96">
        <f>IF(AND(N333=1,Y333=0,Z333=1,J333="Sim"),1,0)</f>
        <v>0</v>
      </c>
      <c r="AB333" s="96">
        <f>IF(AND(N333=1,O333&lt;&gt;"",D333&lt;&gt;""),IF(COUNTIFS($O$6:O333,O333,$D$6:D333,D333)=1,1,0),0)</f>
        <v>0</v>
      </c>
      <c r="AC333" s="96">
        <f>IF(T333=1,INDEX('ITENS_MTR'!$AL$6:$AL$1005,S333),0)</f>
        <v>0</v>
      </c>
    </row>
    <row r="334">
      <c r="A334" s="89" t="inlineStr">
        <is>
          <t>VIN-000329</t>
        </is>
      </c>
      <c r="B334" s="91" t="n"/>
      <c r="C334" s="91" t="n"/>
      <c r="D334" s="94" t="str">
        <f>IF(T334=1,INDEX('ITENS_MTR'!$S$6:$S$1005,S334)&amp;"","")</f>
        <v/>
      </c>
      <c r="E334" s="94" t="str">
        <f>IF(T334=1,INDEX('ITENS_MTR'!$C$6:$C$1005,S334)&amp;"","")</f>
        <v/>
      </c>
      <c r="F334" s="98" t="n"/>
      <c r="G334" s="91" t="n"/>
      <c r="H334" s="93" t="str">
        <f>IF(N334=0,"",IF(NOT(ISNUMBER(F334)),"",IF(ISNUMBER(U334),F334*U334,"UNIDADE A CONFERIR")))</f>
        <v/>
      </c>
      <c r="I334" s="94" t="str">
        <f>IF(Q334=1,INDEX('CDFs'!$F$6:$F$505,P334)&amp;"","")</f>
        <v/>
      </c>
      <c r="J334" s="91" t="n"/>
      <c r="K334" s="91" t="n"/>
      <c r="L334" s="94" t="str">
        <f>IF(N334=0,"",IF(NOT(ISNUMBER(F334)),"Quantidade não informada",IF(F334&lt;=0,"Quantidade não positiva",IF(G334="","Unidade não informada",IF(NOT(ISNUMBER(H334)),"Unidade a conferir",IF(AC334=1,"REVISAR VÍNCULO: soma vinculada maior que a referência do item","OK"))))))</f>
        <v/>
      </c>
      <c r="M334" s="94" t="str">
        <f>IF(N334=0,"",IF(B334="","CDF não informado",IF(Q334=0,"REVISAR VÍNCULO: CDF inexistente",IF(C334="","Item não informado",IF(T334=0,"REVISAR VÍNCULO: item inexistente",IF(AND(X334=1,J334&lt;&gt;"Sim"),"REVISAR VÍNCULO: destinador diferente do MTR",IF(X334=1,"Destinador diferente do MTR (analisado)","OK")))))))</f>
        <v/>
      </c>
      <c r="N334" s="96">
        <f>IF(COUNTA(B334:C334,F334:G334,J334:K334)&gt;0,1,0)</f>
        <v>0</v>
      </c>
      <c r="O334" s="96" t="str">
        <f>IF(B334="","",TRIM(LEFT(B334,FIND(" |",B334&amp;" |")-1)))</f>
        <v/>
      </c>
      <c r="P334" s="96" t="str">
        <f>IF(O334="","",IFERROR(MATCH(O334,'CDFs'!$A$6:$A$505,0),""))</f>
        <v/>
      </c>
      <c r="Q334" s="96">
        <f>IF(P334="",0,IF(INDEX('CDFs'!$S$6:$S$505,P334)=1,1,0))</f>
        <v>0</v>
      </c>
      <c r="R334" s="96" t="str">
        <f>IF(C334="","",TRIM(LEFT(C334,FIND(" |",C334&amp;" |")-1)))</f>
        <v/>
      </c>
      <c r="S334" s="96" t="str">
        <f>IF(R334="","",IFERROR(MATCH(R334,'ITENS_MTR'!$A$6:$A$1005,0),""))</f>
        <v/>
      </c>
      <c r="T334" s="96">
        <f>IF(S334="",0,IF(INDEX('ITENS_MTR'!$R$6:$R$1005,S334)=1,1,0))</f>
        <v>0</v>
      </c>
      <c r="U334" s="96" t="str">
        <f>IF(G334="","",IFERROR(IF(ISNUMBER(INDEX(cfg_fac,MATCH(G334,cfg_units,0))),IF(INDEX(cfg_fac,MATCH(G334,cfg_units,0))&gt;0,INDEX(cfg_fac,MATCH(G334,cfg_units,0)),""),""),""))</f>
        <v/>
      </c>
      <c r="V334" s="96">
        <f>IF(AND(ISNUMBER(F334),ISNUMBER(H334)),IF(H334&gt;0,1,0),0)</f>
        <v>0</v>
      </c>
      <c r="W334" s="96" t="str">
        <f>IF(T334=1,INDEX('ITENS_MTR'!$AU$6:$AU$1005,S334)&amp;"","")</f>
        <v/>
      </c>
      <c r="X334" s="96">
        <f>IF(AND(Q334=1,T334=1,I334&lt;&gt;"",W334&lt;&gt;""),IF(I334&lt;&gt;W334,1,0),0)</f>
        <v>0</v>
      </c>
      <c r="Y334" s="96">
        <f>IF(N334=0,0,IF(OR(Q334=0,T334=0,V334=0,AND(X334=1,J334&lt;&gt;"Sim")),1,0))</f>
        <v>0</v>
      </c>
      <c r="Z334" s="96">
        <f>IF(Q334=1,INDEX('CDFs'!$W$6:$W$505,P334),0)</f>
        <v>0</v>
      </c>
      <c r="AA334" s="96">
        <f>IF(AND(N334=1,Y334=0,Z334=1,J334="Sim"),1,0)</f>
        <v>0</v>
      </c>
      <c r="AB334" s="96">
        <f>IF(AND(N334=1,O334&lt;&gt;"",D334&lt;&gt;""),IF(COUNTIFS($O$6:O334,O334,$D$6:D334,D334)=1,1,0),0)</f>
        <v>0</v>
      </c>
      <c r="AC334" s="96">
        <f>IF(T334=1,INDEX('ITENS_MTR'!$AL$6:$AL$1005,S334),0)</f>
        <v>0</v>
      </c>
    </row>
    <row r="335">
      <c r="A335" s="89" t="inlineStr">
        <is>
          <t>VIN-000330</t>
        </is>
      </c>
      <c r="B335" s="91" t="n"/>
      <c r="C335" s="91" t="n"/>
      <c r="D335" s="94" t="str">
        <f>IF(T335=1,INDEX('ITENS_MTR'!$S$6:$S$1005,S335)&amp;"","")</f>
        <v/>
      </c>
      <c r="E335" s="94" t="str">
        <f>IF(T335=1,INDEX('ITENS_MTR'!$C$6:$C$1005,S335)&amp;"","")</f>
        <v/>
      </c>
      <c r="F335" s="98" t="n"/>
      <c r="G335" s="91" t="n"/>
      <c r="H335" s="93" t="str">
        <f>IF(N335=0,"",IF(NOT(ISNUMBER(F335)),"",IF(ISNUMBER(U335),F335*U335,"UNIDADE A CONFERIR")))</f>
        <v/>
      </c>
      <c r="I335" s="94" t="str">
        <f>IF(Q335=1,INDEX('CDFs'!$F$6:$F$505,P335)&amp;"","")</f>
        <v/>
      </c>
      <c r="J335" s="91" t="n"/>
      <c r="K335" s="91" t="n"/>
      <c r="L335" s="94" t="str">
        <f>IF(N335=0,"",IF(NOT(ISNUMBER(F335)),"Quantidade não informada",IF(F335&lt;=0,"Quantidade não positiva",IF(G335="","Unidade não informada",IF(NOT(ISNUMBER(H335)),"Unidade a conferir",IF(AC335=1,"REVISAR VÍNCULO: soma vinculada maior que a referência do item","OK"))))))</f>
        <v/>
      </c>
      <c r="M335" s="94" t="str">
        <f>IF(N335=0,"",IF(B335="","CDF não informado",IF(Q335=0,"REVISAR VÍNCULO: CDF inexistente",IF(C335="","Item não informado",IF(T335=0,"REVISAR VÍNCULO: item inexistente",IF(AND(X335=1,J335&lt;&gt;"Sim"),"REVISAR VÍNCULO: destinador diferente do MTR",IF(X335=1,"Destinador diferente do MTR (analisado)","OK")))))))</f>
        <v/>
      </c>
      <c r="N335" s="96">
        <f>IF(COUNTA(B335:C335,F335:G335,J335:K335)&gt;0,1,0)</f>
        <v>0</v>
      </c>
      <c r="O335" s="96" t="str">
        <f>IF(B335="","",TRIM(LEFT(B335,FIND(" |",B335&amp;" |")-1)))</f>
        <v/>
      </c>
      <c r="P335" s="96" t="str">
        <f>IF(O335="","",IFERROR(MATCH(O335,'CDFs'!$A$6:$A$505,0),""))</f>
        <v/>
      </c>
      <c r="Q335" s="96">
        <f>IF(P335="",0,IF(INDEX('CDFs'!$S$6:$S$505,P335)=1,1,0))</f>
        <v>0</v>
      </c>
      <c r="R335" s="96" t="str">
        <f>IF(C335="","",TRIM(LEFT(C335,FIND(" |",C335&amp;" |")-1)))</f>
        <v/>
      </c>
      <c r="S335" s="96" t="str">
        <f>IF(R335="","",IFERROR(MATCH(R335,'ITENS_MTR'!$A$6:$A$1005,0),""))</f>
        <v/>
      </c>
      <c r="T335" s="96">
        <f>IF(S335="",0,IF(INDEX('ITENS_MTR'!$R$6:$R$1005,S335)=1,1,0))</f>
        <v>0</v>
      </c>
      <c r="U335" s="96" t="str">
        <f>IF(G335="","",IFERROR(IF(ISNUMBER(INDEX(cfg_fac,MATCH(G335,cfg_units,0))),IF(INDEX(cfg_fac,MATCH(G335,cfg_units,0))&gt;0,INDEX(cfg_fac,MATCH(G335,cfg_units,0)),""),""),""))</f>
        <v/>
      </c>
      <c r="V335" s="96">
        <f>IF(AND(ISNUMBER(F335),ISNUMBER(H335)),IF(H335&gt;0,1,0),0)</f>
        <v>0</v>
      </c>
      <c r="W335" s="96" t="str">
        <f>IF(T335=1,INDEX('ITENS_MTR'!$AU$6:$AU$1005,S335)&amp;"","")</f>
        <v/>
      </c>
      <c r="X335" s="96">
        <f>IF(AND(Q335=1,T335=1,I335&lt;&gt;"",W335&lt;&gt;""),IF(I335&lt;&gt;W335,1,0),0)</f>
        <v>0</v>
      </c>
      <c r="Y335" s="96">
        <f>IF(N335=0,0,IF(OR(Q335=0,T335=0,V335=0,AND(X335=1,J335&lt;&gt;"Sim")),1,0))</f>
        <v>0</v>
      </c>
      <c r="Z335" s="96">
        <f>IF(Q335=1,INDEX('CDFs'!$W$6:$W$505,P335),0)</f>
        <v>0</v>
      </c>
      <c r="AA335" s="96">
        <f>IF(AND(N335=1,Y335=0,Z335=1,J335="Sim"),1,0)</f>
        <v>0</v>
      </c>
      <c r="AB335" s="96">
        <f>IF(AND(N335=1,O335&lt;&gt;"",D335&lt;&gt;""),IF(COUNTIFS($O$6:O335,O335,$D$6:D335,D335)=1,1,0),0)</f>
        <v>0</v>
      </c>
      <c r="AC335" s="96">
        <f>IF(T335=1,INDEX('ITENS_MTR'!$AL$6:$AL$1005,S335),0)</f>
        <v>0</v>
      </c>
    </row>
    <row r="336">
      <c r="A336" s="89" t="inlineStr">
        <is>
          <t>VIN-000331</t>
        </is>
      </c>
      <c r="B336" s="91" t="n"/>
      <c r="C336" s="91" t="n"/>
      <c r="D336" s="94" t="str">
        <f>IF(T336=1,INDEX('ITENS_MTR'!$S$6:$S$1005,S336)&amp;"","")</f>
        <v/>
      </c>
      <c r="E336" s="94" t="str">
        <f>IF(T336=1,INDEX('ITENS_MTR'!$C$6:$C$1005,S336)&amp;"","")</f>
        <v/>
      </c>
      <c r="F336" s="98" t="n"/>
      <c r="G336" s="91" t="n"/>
      <c r="H336" s="93" t="str">
        <f>IF(N336=0,"",IF(NOT(ISNUMBER(F336)),"",IF(ISNUMBER(U336),F336*U336,"UNIDADE A CONFERIR")))</f>
        <v/>
      </c>
      <c r="I336" s="94" t="str">
        <f>IF(Q336=1,INDEX('CDFs'!$F$6:$F$505,P336)&amp;"","")</f>
        <v/>
      </c>
      <c r="J336" s="91" t="n"/>
      <c r="K336" s="91" t="n"/>
      <c r="L336" s="94" t="str">
        <f>IF(N336=0,"",IF(NOT(ISNUMBER(F336)),"Quantidade não informada",IF(F336&lt;=0,"Quantidade não positiva",IF(G336="","Unidade não informada",IF(NOT(ISNUMBER(H336)),"Unidade a conferir",IF(AC336=1,"REVISAR VÍNCULO: soma vinculada maior que a referência do item","OK"))))))</f>
        <v/>
      </c>
      <c r="M336" s="94" t="str">
        <f>IF(N336=0,"",IF(B336="","CDF não informado",IF(Q336=0,"REVISAR VÍNCULO: CDF inexistente",IF(C336="","Item não informado",IF(T336=0,"REVISAR VÍNCULO: item inexistente",IF(AND(X336=1,J336&lt;&gt;"Sim"),"REVISAR VÍNCULO: destinador diferente do MTR",IF(X336=1,"Destinador diferente do MTR (analisado)","OK")))))))</f>
        <v/>
      </c>
      <c r="N336" s="96">
        <f>IF(COUNTA(B336:C336,F336:G336,J336:K336)&gt;0,1,0)</f>
        <v>0</v>
      </c>
      <c r="O336" s="96" t="str">
        <f>IF(B336="","",TRIM(LEFT(B336,FIND(" |",B336&amp;" |")-1)))</f>
        <v/>
      </c>
      <c r="P336" s="96" t="str">
        <f>IF(O336="","",IFERROR(MATCH(O336,'CDFs'!$A$6:$A$505,0),""))</f>
        <v/>
      </c>
      <c r="Q336" s="96">
        <f>IF(P336="",0,IF(INDEX('CDFs'!$S$6:$S$505,P336)=1,1,0))</f>
        <v>0</v>
      </c>
      <c r="R336" s="96" t="str">
        <f>IF(C336="","",TRIM(LEFT(C336,FIND(" |",C336&amp;" |")-1)))</f>
        <v/>
      </c>
      <c r="S336" s="96" t="str">
        <f>IF(R336="","",IFERROR(MATCH(R336,'ITENS_MTR'!$A$6:$A$1005,0),""))</f>
        <v/>
      </c>
      <c r="T336" s="96">
        <f>IF(S336="",0,IF(INDEX('ITENS_MTR'!$R$6:$R$1005,S336)=1,1,0))</f>
        <v>0</v>
      </c>
      <c r="U336" s="96" t="str">
        <f>IF(G336="","",IFERROR(IF(ISNUMBER(INDEX(cfg_fac,MATCH(G336,cfg_units,0))),IF(INDEX(cfg_fac,MATCH(G336,cfg_units,0))&gt;0,INDEX(cfg_fac,MATCH(G336,cfg_units,0)),""),""),""))</f>
        <v/>
      </c>
      <c r="V336" s="96">
        <f>IF(AND(ISNUMBER(F336),ISNUMBER(H336)),IF(H336&gt;0,1,0),0)</f>
        <v>0</v>
      </c>
      <c r="W336" s="96" t="str">
        <f>IF(T336=1,INDEX('ITENS_MTR'!$AU$6:$AU$1005,S336)&amp;"","")</f>
        <v/>
      </c>
      <c r="X336" s="96">
        <f>IF(AND(Q336=1,T336=1,I336&lt;&gt;"",W336&lt;&gt;""),IF(I336&lt;&gt;W336,1,0),0)</f>
        <v>0</v>
      </c>
      <c r="Y336" s="96">
        <f>IF(N336=0,0,IF(OR(Q336=0,T336=0,V336=0,AND(X336=1,J336&lt;&gt;"Sim")),1,0))</f>
        <v>0</v>
      </c>
      <c r="Z336" s="96">
        <f>IF(Q336=1,INDEX('CDFs'!$W$6:$W$505,P336),0)</f>
        <v>0</v>
      </c>
      <c r="AA336" s="96">
        <f>IF(AND(N336=1,Y336=0,Z336=1,J336="Sim"),1,0)</f>
        <v>0</v>
      </c>
      <c r="AB336" s="96">
        <f>IF(AND(N336=1,O336&lt;&gt;"",D336&lt;&gt;""),IF(COUNTIFS($O$6:O336,O336,$D$6:D336,D336)=1,1,0),0)</f>
        <v>0</v>
      </c>
      <c r="AC336" s="96">
        <f>IF(T336=1,INDEX('ITENS_MTR'!$AL$6:$AL$1005,S336),0)</f>
        <v>0</v>
      </c>
    </row>
    <row r="337">
      <c r="A337" s="89" t="inlineStr">
        <is>
          <t>VIN-000332</t>
        </is>
      </c>
      <c r="B337" s="91" t="n"/>
      <c r="C337" s="91" t="n"/>
      <c r="D337" s="94" t="str">
        <f>IF(T337=1,INDEX('ITENS_MTR'!$S$6:$S$1005,S337)&amp;"","")</f>
        <v/>
      </c>
      <c r="E337" s="94" t="str">
        <f>IF(T337=1,INDEX('ITENS_MTR'!$C$6:$C$1005,S337)&amp;"","")</f>
        <v/>
      </c>
      <c r="F337" s="98" t="n"/>
      <c r="G337" s="91" t="n"/>
      <c r="H337" s="93" t="str">
        <f>IF(N337=0,"",IF(NOT(ISNUMBER(F337)),"",IF(ISNUMBER(U337),F337*U337,"UNIDADE A CONFERIR")))</f>
        <v/>
      </c>
      <c r="I337" s="94" t="str">
        <f>IF(Q337=1,INDEX('CDFs'!$F$6:$F$505,P337)&amp;"","")</f>
        <v/>
      </c>
      <c r="J337" s="91" t="n"/>
      <c r="K337" s="91" t="n"/>
      <c r="L337" s="94" t="str">
        <f>IF(N337=0,"",IF(NOT(ISNUMBER(F337)),"Quantidade não informada",IF(F337&lt;=0,"Quantidade não positiva",IF(G337="","Unidade não informada",IF(NOT(ISNUMBER(H337)),"Unidade a conferir",IF(AC337=1,"REVISAR VÍNCULO: soma vinculada maior que a referência do item","OK"))))))</f>
        <v/>
      </c>
      <c r="M337" s="94" t="str">
        <f>IF(N337=0,"",IF(B337="","CDF não informado",IF(Q337=0,"REVISAR VÍNCULO: CDF inexistente",IF(C337="","Item não informado",IF(T337=0,"REVISAR VÍNCULO: item inexistente",IF(AND(X337=1,J337&lt;&gt;"Sim"),"REVISAR VÍNCULO: destinador diferente do MTR",IF(X337=1,"Destinador diferente do MTR (analisado)","OK")))))))</f>
        <v/>
      </c>
      <c r="N337" s="96">
        <f>IF(COUNTA(B337:C337,F337:G337,J337:K337)&gt;0,1,0)</f>
        <v>0</v>
      </c>
      <c r="O337" s="96" t="str">
        <f>IF(B337="","",TRIM(LEFT(B337,FIND(" |",B337&amp;" |")-1)))</f>
        <v/>
      </c>
      <c r="P337" s="96" t="str">
        <f>IF(O337="","",IFERROR(MATCH(O337,'CDFs'!$A$6:$A$505,0),""))</f>
        <v/>
      </c>
      <c r="Q337" s="96">
        <f>IF(P337="",0,IF(INDEX('CDFs'!$S$6:$S$505,P337)=1,1,0))</f>
        <v>0</v>
      </c>
      <c r="R337" s="96" t="str">
        <f>IF(C337="","",TRIM(LEFT(C337,FIND(" |",C337&amp;" |")-1)))</f>
        <v/>
      </c>
      <c r="S337" s="96" t="str">
        <f>IF(R337="","",IFERROR(MATCH(R337,'ITENS_MTR'!$A$6:$A$1005,0),""))</f>
        <v/>
      </c>
      <c r="T337" s="96">
        <f>IF(S337="",0,IF(INDEX('ITENS_MTR'!$R$6:$R$1005,S337)=1,1,0))</f>
        <v>0</v>
      </c>
      <c r="U337" s="96" t="str">
        <f>IF(G337="","",IFERROR(IF(ISNUMBER(INDEX(cfg_fac,MATCH(G337,cfg_units,0))),IF(INDEX(cfg_fac,MATCH(G337,cfg_units,0))&gt;0,INDEX(cfg_fac,MATCH(G337,cfg_units,0)),""),""),""))</f>
        <v/>
      </c>
      <c r="V337" s="96">
        <f>IF(AND(ISNUMBER(F337),ISNUMBER(H337)),IF(H337&gt;0,1,0),0)</f>
        <v>0</v>
      </c>
      <c r="W337" s="96" t="str">
        <f>IF(T337=1,INDEX('ITENS_MTR'!$AU$6:$AU$1005,S337)&amp;"","")</f>
        <v/>
      </c>
      <c r="X337" s="96">
        <f>IF(AND(Q337=1,T337=1,I337&lt;&gt;"",W337&lt;&gt;""),IF(I337&lt;&gt;W337,1,0),0)</f>
        <v>0</v>
      </c>
      <c r="Y337" s="96">
        <f>IF(N337=0,0,IF(OR(Q337=0,T337=0,V337=0,AND(X337=1,J337&lt;&gt;"Sim")),1,0))</f>
        <v>0</v>
      </c>
      <c r="Z337" s="96">
        <f>IF(Q337=1,INDEX('CDFs'!$W$6:$W$505,P337),0)</f>
        <v>0</v>
      </c>
      <c r="AA337" s="96">
        <f>IF(AND(N337=1,Y337=0,Z337=1,J337="Sim"),1,0)</f>
        <v>0</v>
      </c>
      <c r="AB337" s="96">
        <f>IF(AND(N337=1,O337&lt;&gt;"",D337&lt;&gt;""),IF(COUNTIFS($O$6:O337,O337,$D$6:D337,D337)=1,1,0),0)</f>
        <v>0</v>
      </c>
      <c r="AC337" s="96">
        <f>IF(T337=1,INDEX('ITENS_MTR'!$AL$6:$AL$1005,S337),0)</f>
        <v>0</v>
      </c>
    </row>
    <row r="338">
      <c r="A338" s="89" t="inlineStr">
        <is>
          <t>VIN-000333</t>
        </is>
      </c>
      <c r="B338" s="91" t="n"/>
      <c r="C338" s="91" t="n"/>
      <c r="D338" s="94" t="str">
        <f>IF(T338=1,INDEX('ITENS_MTR'!$S$6:$S$1005,S338)&amp;"","")</f>
        <v/>
      </c>
      <c r="E338" s="94" t="str">
        <f>IF(T338=1,INDEX('ITENS_MTR'!$C$6:$C$1005,S338)&amp;"","")</f>
        <v/>
      </c>
      <c r="F338" s="98" t="n"/>
      <c r="G338" s="91" t="n"/>
      <c r="H338" s="93" t="str">
        <f>IF(N338=0,"",IF(NOT(ISNUMBER(F338)),"",IF(ISNUMBER(U338),F338*U338,"UNIDADE A CONFERIR")))</f>
        <v/>
      </c>
      <c r="I338" s="94" t="str">
        <f>IF(Q338=1,INDEX('CDFs'!$F$6:$F$505,P338)&amp;"","")</f>
        <v/>
      </c>
      <c r="J338" s="91" t="n"/>
      <c r="K338" s="91" t="n"/>
      <c r="L338" s="94" t="str">
        <f>IF(N338=0,"",IF(NOT(ISNUMBER(F338)),"Quantidade não informada",IF(F338&lt;=0,"Quantidade não positiva",IF(G338="","Unidade não informada",IF(NOT(ISNUMBER(H338)),"Unidade a conferir",IF(AC338=1,"REVISAR VÍNCULO: soma vinculada maior que a referência do item","OK"))))))</f>
        <v/>
      </c>
      <c r="M338" s="94" t="str">
        <f>IF(N338=0,"",IF(B338="","CDF não informado",IF(Q338=0,"REVISAR VÍNCULO: CDF inexistente",IF(C338="","Item não informado",IF(T338=0,"REVISAR VÍNCULO: item inexistente",IF(AND(X338=1,J338&lt;&gt;"Sim"),"REVISAR VÍNCULO: destinador diferente do MTR",IF(X338=1,"Destinador diferente do MTR (analisado)","OK")))))))</f>
        <v/>
      </c>
      <c r="N338" s="96">
        <f>IF(COUNTA(B338:C338,F338:G338,J338:K338)&gt;0,1,0)</f>
        <v>0</v>
      </c>
      <c r="O338" s="96" t="str">
        <f>IF(B338="","",TRIM(LEFT(B338,FIND(" |",B338&amp;" |")-1)))</f>
        <v/>
      </c>
      <c r="P338" s="96" t="str">
        <f>IF(O338="","",IFERROR(MATCH(O338,'CDFs'!$A$6:$A$505,0),""))</f>
        <v/>
      </c>
      <c r="Q338" s="96">
        <f>IF(P338="",0,IF(INDEX('CDFs'!$S$6:$S$505,P338)=1,1,0))</f>
        <v>0</v>
      </c>
      <c r="R338" s="96" t="str">
        <f>IF(C338="","",TRIM(LEFT(C338,FIND(" |",C338&amp;" |")-1)))</f>
        <v/>
      </c>
      <c r="S338" s="96" t="str">
        <f>IF(R338="","",IFERROR(MATCH(R338,'ITENS_MTR'!$A$6:$A$1005,0),""))</f>
        <v/>
      </c>
      <c r="T338" s="96">
        <f>IF(S338="",0,IF(INDEX('ITENS_MTR'!$R$6:$R$1005,S338)=1,1,0))</f>
        <v>0</v>
      </c>
      <c r="U338" s="96" t="str">
        <f>IF(G338="","",IFERROR(IF(ISNUMBER(INDEX(cfg_fac,MATCH(G338,cfg_units,0))),IF(INDEX(cfg_fac,MATCH(G338,cfg_units,0))&gt;0,INDEX(cfg_fac,MATCH(G338,cfg_units,0)),""),""),""))</f>
        <v/>
      </c>
      <c r="V338" s="96">
        <f>IF(AND(ISNUMBER(F338),ISNUMBER(H338)),IF(H338&gt;0,1,0),0)</f>
        <v>0</v>
      </c>
      <c r="W338" s="96" t="str">
        <f>IF(T338=1,INDEX('ITENS_MTR'!$AU$6:$AU$1005,S338)&amp;"","")</f>
        <v/>
      </c>
      <c r="X338" s="96">
        <f>IF(AND(Q338=1,T338=1,I338&lt;&gt;"",W338&lt;&gt;""),IF(I338&lt;&gt;W338,1,0),0)</f>
        <v>0</v>
      </c>
      <c r="Y338" s="96">
        <f>IF(N338=0,0,IF(OR(Q338=0,T338=0,V338=0,AND(X338=1,J338&lt;&gt;"Sim")),1,0))</f>
        <v>0</v>
      </c>
      <c r="Z338" s="96">
        <f>IF(Q338=1,INDEX('CDFs'!$W$6:$W$505,P338),0)</f>
        <v>0</v>
      </c>
      <c r="AA338" s="96">
        <f>IF(AND(N338=1,Y338=0,Z338=1,J338="Sim"),1,0)</f>
        <v>0</v>
      </c>
      <c r="AB338" s="96">
        <f>IF(AND(N338=1,O338&lt;&gt;"",D338&lt;&gt;""),IF(COUNTIFS($O$6:O338,O338,$D$6:D338,D338)=1,1,0),0)</f>
        <v>0</v>
      </c>
      <c r="AC338" s="96">
        <f>IF(T338=1,INDEX('ITENS_MTR'!$AL$6:$AL$1005,S338),0)</f>
        <v>0</v>
      </c>
    </row>
    <row r="339">
      <c r="A339" s="89" t="inlineStr">
        <is>
          <t>VIN-000334</t>
        </is>
      </c>
      <c r="B339" s="91" t="n"/>
      <c r="C339" s="91" t="n"/>
      <c r="D339" s="94" t="str">
        <f>IF(T339=1,INDEX('ITENS_MTR'!$S$6:$S$1005,S339)&amp;"","")</f>
        <v/>
      </c>
      <c r="E339" s="94" t="str">
        <f>IF(T339=1,INDEX('ITENS_MTR'!$C$6:$C$1005,S339)&amp;"","")</f>
        <v/>
      </c>
      <c r="F339" s="98" t="n"/>
      <c r="G339" s="91" t="n"/>
      <c r="H339" s="93" t="str">
        <f>IF(N339=0,"",IF(NOT(ISNUMBER(F339)),"",IF(ISNUMBER(U339),F339*U339,"UNIDADE A CONFERIR")))</f>
        <v/>
      </c>
      <c r="I339" s="94" t="str">
        <f>IF(Q339=1,INDEX('CDFs'!$F$6:$F$505,P339)&amp;"","")</f>
        <v/>
      </c>
      <c r="J339" s="91" t="n"/>
      <c r="K339" s="91" t="n"/>
      <c r="L339" s="94" t="str">
        <f>IF(N339=0,"",IF(NOT(ISNUMBER(F339)),"Quantidade não informada",IF(F339&lt;=0,"Quantidade não positiva",IF(G339="","Unidade não informada",IF(NOT(ISNUMBER(H339)),"Unidade a conferir",IF(AC339=1,"REVISAR VÍNCULO: soma vinculada maior que a referência do item","OK"))))))</f>
        <v/>
      </c>
      <c r="M339" s="94" t="str">
        <f>IF(N339=0,"",IF(B339="","CDF não informado",IF(Q339=0,"REVISAR VÍNCULO: CDF inexistente",IF(C339="","Item não informado",IF(T339=0,"REVISAR VÍNCULO: item inexistente",IF(AND(X339=1,J339&lt;&gt;"Sim"),"REVISAR VÍNCULO: destinador diferente do MTR",IF(X339=1,"Destinador diferente do MTR (analisado)","OK")))))))</f>
        <v/>
      </c>
      <c r="N339" s="96">
        <f>IF(COUNTA(B339:C339,F339:G339,J339:K339)&gt;0,1,0)</f>
        <v>0</v>
      </c>
      <c r="O339" s="96" t="str">
        <f>IF(B339="","",TRIM(LEFT(B339,FIND(" |",B339&amp;" |")-1)))</f>
        <v/>
      </c>
      <c r="P339" s="96" t="str">
        <f>IF(O339="","",IFERROR(MATCH(O339,'CDFs'!$A$6:$A$505,0),""))</f>
        <v/>
      </c>
      <c r="Q339" s="96">
        <f>IF(P339="",0,IF(INDEX('CDFs'!$S$6:$S$505,P339)=1,1,0))</f>
        <v>0</v>
      </c>
      <c r="R339" s="96" t="str">
        <f>IF(C339="","",TRIM(LEFT(C339,FIND(" |",C339&amp;" |")-1)))</f>
        <v/>
      </c>
      <c r="S339" s="96" t="str">
        <f>IF(R339="","",IFERROR(MATCH(R339,'ITENS_MTR'!$A$6:$A$1005,0),""))</f>
        <v/>
      </c>
      <c r="T339" s="96">
        <f>IF(S339="",0,IF(INDEX('ITENS_MTR'!$R$6:$R$1005,S339)=1,1,0))</f>
        <v>0</v>
      </c>
      <c r="U339" s="96" t="str">
        <f>IF(G339="","",IFERROR(IF(ISNUMBER(INDEX(cfg_fac,MATCH(G339,cfg_units,0))),IF(INDEX(cfg_fac,MATCH(G339,cfg_units,0))&gt;0,INDEX(cfg_fac,MATCH(G339,cfg_units,0)),""),""),""))</f>
        <v/>
      </c>
      <c r="V339" s="96">
        <f>IF(AND(ISNUMBER(F339),ISNUMBER(H339)),IF(H339&gt;0,1,0),0)</f>
        <v>0</v>
      </c>
      <c r="W339" s="96" t="str">
        <f>IF(T339=1,INDEX('ITENS_MTR'!$AU$6:$AU$1005,S339)&amp;"","")</f>
        <v/>
      </c>
      <c r="X339" s="96">
        <f>IF(AND(Q339=1,T339=1,I339&lt;&gt;"",W339&lt;&gt;""),IF(I339&lt;&gt;W339,1,0),0)</f>
        <v>0</v>
      </c>
      <c r="Y339" s="96">
        <f>IF(N339=0,0,IF(OR(Q339=0,T339=0,V339=0,AND(X339=1,J339&lt;&gt;"Sim")),1,0))</f>
        <v>0</v>
      </c>
      <c r="Z339" s="96">
        <f>IF(Q339=1,INDEX('CDFs'!$W$6:$W$505,P339),0)</f>
        <v>0</v>
      </c>
      <c r="AA339" s="96">
        <f>IF(AND(N339=1,Y339=0,Z339=1,J339="Sim"),1,0)</f>
        <v>0</v>
      </c>
      <c r="AB339" s="96">
        <f>IF(AND(N339=1,O339&lt;&gt;"",D339&lt;&gt;""),IF(COUNTIFS($O$6:O339,O339,$D$6:D339,D339)=1,1,0),0)</f>
        <v>0</v>
      </c>
      <c r="AC339" s="96">
        <f>IF(T339=1,INDEX('ITENS_MTR'!$AL$6:$AL$1005,S339),0)</f>
        <v>0</v>
      </c>
    </row>
    <row r="340">
      <c r="A340" s="89" t="inlineStr">
        <is>
          <t>VIN-000335</t>
        </is>
      </c>
      <c r="B340" s="91" t="n"/>
      <c r="C340" s="91" t="n"/>
      <c r="D340" s="94" t="str">
        <f>IF(T340=1,INDEX('ITENS_MTR'!$S$6:$S$1005,S340)&amp;"","")</f>
        <v/>
      </c>
      <c r="E340" s="94" t="str">
        <f>IF(T340=1,INDEX('ITENS_MTR'!$C$6:$C$1005,S340)&amp;"","")</f>
        <v/>
      </c>
      <c r="F340" s="98" t="n"/>
      <c r="G340" s="91" t="n"/>
      <c r="H340" s="93" t="str">
        <f>IF(N340=0,"",IF(NOT(ISNUMBER(F340)),"",IF(ISNUMBER(U340),F340*U340,"UNIDADE A CONFERIR")))</f>
        <v/>
      </c>
      <c r="I340" s="94" t="str">
        <f>IF(Q340=1,INDEX('CDFs'!$F$6:$F$505,P340)&amp;"","")</f>
        <v/>
      </c>
      <c r="J340" s="91" t="n"/>
      <c r="K340" s="91" t="n"/>
      <c r="L340" s="94" t="str">
        <f>IF(N340=0,"",IF(NOT(ISNUMBER(F340)),"Quantidade não informada",IF(F340&lt;=0,"Quantidade não positiva",IF(G340="","Unidade não informada",IF(NOT(ISNUMBER(H340)),"Unidade a conferir",IF(AC340=1,"REVISAR VÍNCULO: soma vinculada maior que a referência do item","OK"))))))</f>
        <v/>
      </c>
      <c r="M340" s="94" t="str">
        <f>IF(N340=0,"",IF(B340="","CDF não informado",IF(Q340=0,"REVISAR VÍNCULO: CDF inexistente",IF(C340="","Item não informado",IF(T340=0,"REVISAR VÍNCULO: item inexistente",IF(AND(X340=1,J340&lt;&gt;"Sim"),"REVISAR VÍNCULO: destinador diferente do MTR",IF(X340=1,"Destinador diferente do MTR (analisado)","OK")))))))</f>
        <v/>
      </c>
      <c r="N340" s="96">
        <f>IF(COUNTA(B340:C340,F340:G340,J340:K340)&gt;0,1,0)</f>
        <v>0</v>
      </c>
      <c r="O340" s="96" t="str">
        <f>IF(B340="","",TRIM(LEFT(B340,FIND(" |",B340&amp;" |")-1)))</f>
        <v/>
      </c>
      <c r="P340" s="96" t="str">
        <f>IF(O340="","",IFERROR(MATCH(O340,'CDFs'!$A$6:$A$505,0),""))</f>
        <v/>
      </c>
      <c r="Q340" s="96">
        <f>IF(P340="",0,IF(INDEX('CDFs'!$S$6:$S$505,P340)=1,1,0))</f>
        <v>0</v>
      </c>
      <c r="R340" s="96" t="str">
        <f>IF(C340="","",TRIM(LEFT(C340,FIND(" |",C340&amp;" |")-1)))</f>
        <v/>
      </c>
      <c r="S340" s="96" t="str">
        <f>IF(R340="","",IFERROR(MATCH(R340,'ITENS_MTR'!$A$6:$A$1005,0),""))</f>
        <v/>
      </c>
      <c r="T340" s="96">
        <f>IF(S340="",0,IF(INDEX('ITENS_MTR'!$R$6:$R$1005,S340)=1,1,0))</f>
        <v>0</v>
      </c>
      <c r="U340" s="96" t="str">
        <f>IF(G340="","",IFERROR(IF(ISNUMBER(INDEX(cfg_fac,MATCH(G340,cfg_units,0))),IF(INDEX(cfg_fac,MATCH(G340,cfg_units,0))&gt;0,INDEX(cfg_fac,MATCH(G340,cfg_units,0)),""),""),""))</f>
        <v/>
      </c>
      <c r="V340" s="96">
        <f>IF(AND(ISNUMBER(F340),ISNUMBER(H340)),IF(H340&gt;0,1,0),0)</f>
        <v>0</v>
      </c>
      <c r="W340" s="96" t="str">
        <f>IF(T340=1,INDEX('ITENS_MTR'!$AU$6:$AU$1005,S340)&amp;"","")</f>
        <v/>
      </c>
      <c r="X340" s="96">
        <f>IF(AND(Q340=1,T340=1,I340&lt;&gt;"",W340&lt;&gt;""),IF(I340&lt;&gt;W340,1,0),0)</f>
        <v>0</v>
      </c>
      <c r="Y340" s="96">
        <f>IF(N340=0,0,IF(OR(Q340=0,T340=0,V340=0,AND(X340=1,J340&lt;&gt;"Sim")),1,0))</f>
        <v>0</v>
      </c>
      <c r="Z340" s="96">
        <f>IF(Q340=1,INDEX('CDFs'!$W$6:$W$505,P340),0)</f>
        <v>0</v>
      </c>
      <c r="AA340" s="96">
        <f>IF(AND(N340=1,Y340=0,Z340=1,J340="Sim"),1,0)</f>
        <v>0</v>
      </c>
      <c r="AB340" s="96">
        <f>IF(AND(N340=1,O340&lt;&gt;"",D340&lt;&gt;""),IF(COUNTIFS($O$6:O340,O340,$D$6:D340,D340)=1,1,0),0)</f>
        <v>0</v>
      </c>
      <c r="AC340" s="96">
        <f>IF(T340=1,INDEX('ITENS_MTR'!$AL$6:$AL$1005,S340),0)</f>
        <v>0</v>
      </c>
    </row>
    <row r="341">
      <c r="A341" s="89" t="inlineStr">
        <is>
          <t>VIN-000336</t>
        </is>
      </c>
      <c r="B341" s="91" t="n"/>
      <c r="C341" s="91" t="n"/>
      <c r="D341" s="94" t="str">
        <f>IF(T341=1,INDEX('ITENS_MTR'!$S$6:$S$1005,S341)&amp;"","")</f>
        <v/>
      </c>
      <c r="E341" s="94" t="str">
        <f>IF(T341=1,INDEX('ITENS_MTR'!$C$6:$C$1005,S341)&amp;"","")</f>
        <v/>
      </c>
      <c r="F341" s="98" t="n"/>
      <c r="G341" s="91" t="n"/>
      <c r="H341" s="93" t="str">
        <f>IF(N341=0,"",IF(NOT(ISNUMBER(F341)),"",IF(ISNUMBER(U341),F341*U341,"UNIDADE A CONFERIR")))</f>
        <v/>
      </c>
      <c r="I341" s="94" t="str">
        <f>IF(Q341=1,INDEX('CDFs'!$F$6:$F$505,P341)&amp;"","")</f>
        <v/>
      </c>
      <c r="J341" s="91" t="n"/>
      <c r="K341" s="91" t="n"/>
      <c r="L341" s="94" t="str">
        <f>IF(N341=0,"",IF(NOT(ISNUMBER(F341)),"Quantidade não informada",IF(F341&lt;=0,"Quantidade não positiva",IF(G341="","Unidade não informada",IF(NOT(ISNUMBER(H341)),"Unidade a conferir",IF(AC341=1,"REVISAR VÍNCULO: soma vinculada maior que a referência do item","OK"))))))</f>
        <v/>
      </c>
      <c r="M341" s="94" t="str">
        <f>IF(N341=0,"",IF(B341="","CDF não informado",IF(Q341=0,"REVISAR VÍNCULO: CDF inexistente",IF(C341="","Item não informado",IF(T341=0,"REVISAR VÍNCULO: item inexistente",IF(AND(X341=1,J341&lt;&gt;"Sim"),"REVISAR VÍNCULO: destinador diferente do MTR",IF(X341=1,"Destinador diferente do MTR (analisado)","OK")))))))</f>
        <v/>
      </c>
      <c r="N341" s="96">
        <f>IF(COUNTA(B341:C341,F341:G341,J341:K341)&gt;0,1,0)</f>
        <v>0</v>
      </c>
      <c r="O341" s="96" t="str">
        <f>IF(B341="","",TRIM(LEFT(B341,FIND(" |",B341&amp;" |")-1)))</f>
        <v/>
      </c>
      <c r="P341" s="96" t="str">
        <f>IF(O341="","",IFERROR(MATCH(O341,'CDFs'!$A$6:$A$505,0),""))</f>
        <v/>
      </c>
      <c r="Q341" s="96">
        <f>IF(P341="",0,IF(INDEX('CDFs'!$S$6:$S$505,P341)=1,1,0))</f>
        <v>0</v>
      </c>
      <c r="R341" s="96" t="str">
        <f>IF(C341="","",TRIM(LEFT(C341,FIND(" |",C341&amp;" |")-1)))</f>
        <v/>
      </c>
      <c r="S341" s="96" t="str">
        <f>IF(R341="","",IFERROR(MATCH(R341,'ITENS_MTR'!$A$6:$A$1005,0),""))</f>
        <v/>
      </c>
      <c r="T341" s="96">
        <f>IF(S341="",0,IF(INDEX('ITENS_MTR'!$R$6:$R$1005,S341)=1,1,0))</f>
        <v>0</v>
      </c>
      <c r="U341" s="96" t="str">
        <f>IF(G341="","",IFERROR(IF(ISNUMBER(INDEX(cfg_fac,MATCH(G341,cfg_units,0))),IF(INDEX(cfg_fac,MATCH(G341,cfg_units,0))&gt;0,INDEX(cfg_fac,MATCH(G341,cfg_units,0)),""),""),""))</f>
        <v/>
      </c>
      <c r="V341" s="96">
        <f>IF(AND(ISNUMBER(F341),ISNUMBER(H341)),IF(H341&gt;0,1,0),0)</f>
        <v>0</v>
      </c>
      <c r="W341" s="96" t="str">
        <f>IF(T341=1,INDEX('ITENS_MTR'!$AU$6:$AU$1005,S341)&amp;"","")</f>
        <v/>
      </c>
      <c r="X341" s="96">
        <f>IF(AND(Q341=1,T341=1,I341&lt;&gt;"",W341&lt;&gt;""),IF(I341&lt;&gt;W341,1,0),0)</f>
        <v>0</v>
      </c>
      <c r="Y341" s="96">
        <f>IF(N341=0,0,IF(OR(Q341=0,T341=0,V341=0,AND(X341=1,J341&lt;&gt;"Sim")),1,0))</f>
        <v>0</v>
      </c>
      <c r="Z341" s="96">
        <f>IF(Q341=1,INDEX('CDFs'!$W$6:$W$505,P341),0)</f>
        <v>0</v>
      </c>
      <c r="AA341" s="96">
        <f>IF(AND(N341=1,Y341=0,Z341=1,J341="Sim"),1,0)</f>
        <v>0</v>
      </c>
      <c r="AB341" s="96">
        <f>IF(AND(N341=1,O341&lt;&gt;"",D341&lt;&gt;""),IF(COUNTIFS($O$6:O341,O341,$D$6:D341,D341)=1,1,0),0)</f>
        <v>0</v>
      </c>
      <c r="AC341" s="96">
        <f>IF(T341=1,INDEX('ITENS_MTR'!$AL$6:$AL$1005,S341),0)</f>
        <v>0</v>
      </c>
    </row>
    <row r="342">
      <c r="A342" s="89" t="inlineStr">
        <is>
          <t>VIN-000337</t>
        </is>
      </c>
      <c r="B342" s="91" t="n"/>
      <c r="C342" s="91" t="n"/>
      <c r="D342" s="94" t="str">
        <f>IF(T342=1,INDEX('ITENS_MTR'!$S$6:$S$1005,S342)&amp;"","")</f>
        <v/>
      </c>
      <c r="E342" s="94" t="str">
        <f>IF(T342=1,INDEX('ITENS_MTR'!$C$6:$C$1005,S342)&amp;"","")</f>
        <v/>
      </c>
      <c r="F342" s="98" t="n"/>
      <c r="G342" s="91" t="n"/>
      <c r="H342" s="93" t="str">
        <f>IF(N342=0,"",IF(NOT(ISNUMBER(F342)),"",IF(ISNUMBER(U342),F342*U342,"UNIDADE A CONFERIR")))</f>
        <v/>
      </c>
      <c r="I342" s="94" t="str">
        <f>IF(Q342=1,INDEX('CDFs'!$F$6:$F$505,P342)&amp;"","")</f>
        <v/>
      </c>
      <c r="J342" s="91" t="n"/>
      <c r="K342" s="91" t="n"/>
      <c r="L342" s="94" t="str">
        <f>IF(N342=0,"",IF(NOT(ISNUMBER(F342)),"Quantidade não informada",IF(F342&lt;=0,"Quantidade não positiva",IF(G342="","Unidade não informada",IF(NOT(ISNUMBER(H342)),"Unidade a conferir",IF(AC342=1,"REVISAR VÍNCULO: soma vinculada maior que a referência do item","OK"))))))</f>
        <v/>
      </c>
      <c r="M342" s="94" t="str">
        <f>IF(N342=0,"",IF(B342="","CDF não informado",IF(Q342=0,"REVISAR VÍNCULO: CDF inexistente",IF(C342="","Item não informado",IF(T342=0,"REVISAR VÍNCULO: item inexistente",IF(AND(X342=1,J342&lt;&gt;"Sim"),"REVISAR VÍNCULO: destinador diferente do MTR",IF(X342=1,"Destinador diferente do MTR (analisado)","OK")))))))</f>
        <v/>
      </c>
      <c r="N342" s="96">
        <f>IF(COUNTA(B342:C342,F342:G342,J342:K342)&gt;0,1,0)</f>
        <v>0</v>
      </c>
      <c r="O342" s="96" t="str">
        <f>IF(B342="","",TRIM(LEFT(B342,FIND(" |",B342&amp;" |")-1)))</f>
        <v/>
      </c>
      <c r="P342" s="96" t="str">
        <f>IF(O342="","",IFERROR(MATCH(O342,'CDFs'!$A$6:$A$505,0),""))</f>
        <v/>
      </c>
      <c r="Q342" s="96">
        <f>IF(P342="",0,IF(INDEX('CDFs'!$S$6:$S$505,P342)=1,1,0))</f>
        <v>0</v>
      </c>
      <c r="R342" s="96" t="str">
        <f>IF(C342="","",TRIM(LEFT(C342,FIND(" |",C342&amp;" |")-1)))</f>
        <v/>
      </c>
      <c r="S342" s="96" t="str">
        <f>IF(R342="","",IFERROR(MATCH(R342,'ITENS_MTR'!$A$6:$A$1005,0),""))</f>
        <v/>
      </c>
      <c r="T342" s="96">
        <f>IF(S342="",0,IF(INDEX('ITENS_MTR'!$R$6:$R$1005,S342)=1,1,0))</f>
        <v>0</v>
      </c>
      <c r="U342" s="96" t="str">
        <f>IF(G342="","",IFERROR(IF(ISNUMBER(INDEX(cfg_fac,MATCH(G342,cfg_units,0))),IF(INDEX(cfg_fac,MATCH(G342,cfg_units,0))&gt;0,INDEX(cfg_fac,MATCH(G342,cfg_units,0)),""),""),""))</f>
        <v/>
      </c>
      <c r="V342" s="96">
        <f>IF(AND(ISNUMBER(F342),ISNUMBER(H342)),IF(H342&gt;0,1,0),0)</f>
        <v>0</v>
      </c>
      <c r="W342" s="96" t="str">
        <f>IF(T342=1,INDEX('ITENS_MTR'!$AU$6:$AU$1005,S342)&amp;"","")</f>
        <v/>
      </c>
      <c r="X342" s="96">
        <f>IF(AND(Q342=1,T342=1,I342&lt;&gt;"",W342&lt;&gt;""),IF(I342&lt;&gt;W342,1,0),0)</f>
        <v>0</v>
      </c>
      <c r="Y342" s="96">
        <f>IF(N342=0,0,IF(OR(Q342=0,T342=0,V342=0,AND(X342=1,J342&lt;&gt;"Sim")),1,0))</f>
        <v>0</v>
      </c>
      <c r="Z342" s="96">
        <f>IF(Q342=1,INDEX('CDFs'!$W$6:$W$505,P342),0)</f>
        <v>0</v>
      </c>
      <c r="AA342" s="96">
        <f>IF(AND(N342=1,Y342=0,Z342=1,J342="Sim"),1,0)</f>
        <v>0</v>
      </c>
      <c r="AB342" s="96">
        <f>IF(AND(N342=1,O342&lt;&gt;"",D342&lt;&gt;""),IF(COUNTIFS($O$6:O342,O342,$D$6:D342,D342)=1,1,0),0)</f>
        <v>0</v>
      </c>
      <c r="AC342" s="96">
        <f>IF(T342=1,INDEX('ITENS_MTR'!$AL$6:$AL$1005,S342),0)</f>
        <v>0</v>
      </c>
    </row>
    <row r="343">
      <c r="A343" s="89" t="inlineStr">
        <is>
          <t>VIN-000338</t>
        </is>
      </c>
      <c r="B343" s="91" t="n"/>
      <c r="C343" s="91" t="n"/>
      <c r="D343" s="94" t="str">
        <f>IF(T343=1,INDEX('ITENS_MTR'!$S$6:$S$1005,S343)&amp;"","")</f>
        <v/>
      </c>
      <c r="E343" s="94" t="str">
        <f>IF(T343=1,INDEX('ITENS_MTR'!$C$6:$C$1005,S343)&amp;"","")</f>
        <v/>
      </c>
      <c r="F343" s="98" t="n"/>
      <c r="G343" s="91" t="n"/>
      <c r="H343" s="93" t="str">
        <f>IF(N343=0,"",IF(NOT(ISNUMBER(F343)),"",IF(ISNUMBER(U343),F343*U343,"UNIDADE A CONFERIR")))</f>
        <v/>
      </c>
      <c r="I343" s="94" t="str">
        <f>IF(Q343=1,INDEX('CDFs'!$F$6:$F$505,P343)&amp;"","")</f>
        <v/>
      </c>
      <c r="J343" s="91" t="n"/>
      <c r="K343" s="91" t="n"/>
      <c r="L343" s="94" t="str">
        <f>IF(N343=0,"",IF(NOT(ISNUMBER(F343)),"Quantidade não informada",IF(F343&lt;=0,"Quantidade não positiva",IF(G343="","Unidade não informada",IF(NOT(ISNUMBER(H343)),"Unidade a conferir",IF(AC343=1,"REVISAR VÍNCULO: soma vinculada maior que a referência do item","OK"))))))</f>
        <v/>
      </c>
      <c r="M343" s="94" t="str">
        <f>IF(N343=0,"",IF(B343="","CDF não informado",IF(Q343=0,"REVISAR VÍNCULO: CDF inexistente",IF(C343="","Item não informado",IF(T343=0,"REVISAR VÍNCULO: item inexistente",IF(AND(X343=1,J343&lt;&gt;"Sim"),"REVISAR VÍNCULO: destinador diferente do MTR",IF(X343=1,"Destinador diferente do MTR (analisado)","OK")))))))</f>
        <v/>
      </c>
      <c r="N343" s="96">
        <f>IF(COUNTA(B343:C343,F343:G343,J343:K343)&gt;0,1,0)</f>
        <v>0</v>
      </c>
      <c r="O343" s="96" t="str">
        <f>IF(B343="","",TRIM(LEFT(B343,FIND(" |",B343&amp;" |")-1)))</f>
        <v/>
      </c>
      <c r="P343" s="96" t="str">
        <f>IF(O343="","",IFERROR(MATCH(O343,'CDFs'!$A$6:$A$505,0),""))</f>
        <v/>
      </c>
      <c r="Q343" s="96">
        <f>IF(P343="",0,IF(INDEX('CDFs'!$S$6:$S$505,P343)=1,1,0))</f>
        <v>0</v>
      </c>
      <c r="R343" s="96" t="str">
        <f>IF(C343="","",TRIM(LEFT(C343,FIND(" |",C343&amp;" |")-1)))</f>
        <v/>
      </c>
      <c r="S343" s="96" t="str">
        <f>IF(R343="","",IFERROR(MATCH(R343,'ITENS_MTR'!$A$6:$A$1005,0),""))</f>
        <v/>
      </c>
      <c r="T343" s="96">
        <f>IF(S343="",0,IF(INDEX('ITENS_MTR'!$R$6:$R$1005,S343)=1,1,0))</f>
        <v>0</v>
      </c>
      <c r="U343" s="96" t="str">
        <f>IF(G343="","",IFERROR(IF(ISNUMBER(INDEX(cfg_fac,MATCH(G343,cfg_units,0))),IF(INDEX(cfg_fac,MATCH(G343,cfg_units,0))&gt;0,INDEX(cfg_fac,MATCH(G343,cfg_units,0)),""),""),""))</f>
        <v/>
      </c>
      <c r="V343" s="96">
        <f>IF(AND(ISNUMBER(F343),ISNUMBER(H343)),IF(H343&gt;0,1,0),0)</f>
        <v>0</v>
      </c>
      <c r="W343" s="96" t="str">
        <f>IF(T343=1,INDEX('ITENS_MTR'!$AU$6:$AU$1005,S343)&amp;"","")</f>
        <v/>
      </c>
      <c r="X343" s="96">
        <f>IF(AND(Q343=1,T343=1,I343&lt;&gt;"",W343&lt;&gt;""),IF(I343&lt;&gt;W343,1,0),0)</f>
        <v>0</v>
      </c>
      <c r="Y343" s="96">
        <f>IF(N343=0,0,IF(OR(Q343=0,T343=0,V343=0,AND(X343=1,J343&lt;&gt;"Sim")),1,0))</f>
        <v>0</v>
      </c>
      <c r="Z343" s="96">
        <f>IF(Q343=1,INDEX('CDFs'!$W$6:$W$505,P343),0)</f>
        <v>0</v>
      </c>
      <c r="AA343" s="96">
        <f>IF(AND(N343=1,Y343=0,Z343=1,J343="Sim"),1,0)</f>
        <v>0</v>
      </c>
      <c r="AB343" s="96">
        <f>IF(AND(N343=1,O343&lt;&gt;"",D343&lt;&gt;""),IF(COUNTIFS($O$6:O343,O343,$D$6:D343,D343)=1,1,0),0)</f>
        <v>0</v>
      </c>
      <c r="AC343" s="96">
        <f>IF(T343=1,INDEX('ITENS_MTR'!$AL$6:$AL$1005,S343),0)</f>
        <v>0</v>
      </c>
    </row>
    <row r="344">
      <c r="A344" s="89" t="inlineStr">
        <is>
          <t>VIN-000339</t>
        </is>
      </c>
      <c r="B344" s="91" t="n"/>
      <c r="C344" s="91" t="n"/>
      <c r="D344" s="94" t="str">
        <f>IF(T344=1,INDEX('ITENS_MTR'!$S$6:$S$1005,S344)&amp;"","")</f>
        <v/>
      </c>
      <c r="E344" s="94" t="str">
        <f>IF(T344=1,INDEX('ITENS_MTR'!$C$6:$C$1005,S344)&amp;"","")</f>
        <v/>
      </c>
      <c r="F344" s="98" t="n"/>
      <c r="G344" s="91" t="n"/>
      <c r="H344" s="93" t="str">
        <f>IF(N344=0,"",IF(NOT(ISNUMBER(F344)),"",IF(ISNUMBER(U344),F344*U344,"UNIDADE A CONFERIR")))</f>
        <v/>
      </c>
      <c r="I344" s="94" t="str">
        <f>IF(Q344=1,INDEX('CDFs'!$F$6:$F$505,P344)&amp;"","")</f>
        <v/>
      </c>
      <c r="J344" s="91" t="n"/>
      <c r="K344" s="91" t="n"/>
      <c r="L344" s="94" t="str">
        <f>IF(N344=0,"",IF(NOT(ISNUMBER(F344)),"Quantidade não informada",IF(F344&lt;=0,"Quantidade não positiva",IF(G344="","Unidade não informada",IF(NOT(ISNUMBER(H344)),"Unidade a conferir",IF(AC344=1,"REVISAR VÍNCULO: soma vinculada maior que a referência do item","OK"))))))</f>
        <v/>
      </c>
      <c r="M344" s="94" t="str">
        <f>IF(N344=0,"",IF(B344="","CDF não informado",IF(Q344=0,"REVISAR VÍNCULO: CDF inexistente",IF(C344="","Item não informado",IF(T344=0,"REVISAR VÍNCULO: item inexistente",IF(AND(X344=1,J344&lt;&gt;"Sim"),"REVISAR VÍNCULO: destinador diferente do MTR",IF(X344=1,"Destinador diferente do MTR (analisado)","OK")))))))</f>
        <v/>
      </c>
      <c r="N344" s="96">
        <f>IF(COUNTA(B344:C344,F344:G344,J344:K344)&gt;0,1,0)</f>
        <v>0</v>
      </c>
      <c r="O344" s="96" t="str">
        <f>IF(B344="","",TRIM(LEFT(B344,FIND(" |",B344&amp;" |")-1)))</f>
        <v/>
      </c>
      <c r="P344" s="96" t="str">
        <f>IF(O344="","",IFERROR(MATCH(O344,'CDFs'!$A$6:$A$505,0),""))</f>
        <v/>
      </c>
      <c r="Q344" s="96">
        <f>IF(P344="",0,IF(INDEX('CDFs'!$S$6:$S$505,P344)=1,1,0))</f>
        <v>0</v>
      </c>
      <c r="R344" s="96" t="str">
        <f>IF(C344="","",TRIM(LEFT(C344,FIND(" |",C344&amp;" |")-1)))</f>
        <v/>
      </c>
      <c r="S344" s="96" t="str">
        <f>IF(R344="","",IFERROR(MATCH(R344,'ITENS_MTR'!$A$6:$A$1005,0),""))</f>
        <v/>
      </c>
      <c r="T344" s="96">
        <f>IF(S344="",0,IF(INDEX('ITENS_MTR'!$R$6:$R$1005,S344)=1,1,0))</f>
        <v>0</v>
      </c>
      <c r="U344" s="96" t="str">
        <f>IF(G344="","",IFERROR(IF(ISNUMBER(INDEX(cfg_fac,MATCH(G344,cfg_units,0))),IF(INDEX(cfg_fac,MATCH(G344,cfg_units,0))&gt;0,INDEX(cfg_fac,MATCH(G344,cfg_units,0)),""),""),""))</f>
        <v/>
      </c>
      <c r="V344" s="96">
        <f>IF(AND(ISNUMBER(F344),ISNUMBER(H344)),IF(H344&gt;0,1,0),0)</f>
        <v>0</v>
      </c>
      <c r="W344" s="96" t="str">
        <f>IF(T344=1,INDEX('ITENS_MTR'!$AU$6:$AU$1005,S344)&amp;"","")</f>
        <v/>
      </c>
      <c r="X344" s="96">
        <f>IF(AND(Q344=1,T344=1,I344&lt;&gt;"",W344&lt;&gt;""),IF(I344&lt;&gt;W344,1,0),0)</f>
        <v>0</v>
      </c>
      <c r="Y344" s="96">
        <f>IF(N344=0,0,IF(OR(Q344=0,T344=0,V344=0,AND(X344=1,J344&lt;&gt;"Sim")),1,0))</f>
        <v>0</v>
      </c>
      <c r="Z344" s="96">
        <f>IF(Q344=1,INDEX('CDFs'!$W$6:$W$505,P344),0)</f>
        <v>0</v>
      </c>
      <c r="AA344" s="96">
        <f>IF(AND(N344=1,Y344=0,Z344=1,J344="Sim"),1,0)</f>
        <v>0</v>
      </c>
      <c r="AB344" s="96">
        <f>IF(AND(N344=1,O344&lt;&gt;"",D344&lt;&gt;""),IF(COUNTIFS($O$6:O344,O344,$D$6:D344,D344)=1,1,0),0)</f>
        <v>0</v>
      </c>
      <c r="AC344" s="96">
        <f>IF(T344=1,INDEX('ITENS_MTR'!$AL$6:$AL$1005,S344),0)</f>
        <v>0</v>
      </c>
    </row>
    <row r="345">
      <c r="A345" s="89" t="inlineStr">
        <is>
          <t>VIN-000340</t>
        </is>
      </c>
      <c r="B345" s="91" t="n"/>
      <c r="C345" s="91" t="n"/>
      <c r="D345" s="94" t="str">
        <f>IF(T345=1,INDEX('ITENS_MTR'!$S$6:$S$1005,S345)&amp;"","")</f>
        <v/>
      </c>
      <c r="E345" s="94" t="str">
        <f>IF(T345=1,INDEX('ITENS_MTR'!$C$6:$C$1005,S345)&amp;"","")</f>
        <v/>
      </c>
      <c r="F345" s="98" t="n"/>
      <c r="G345" s="91" t="n"/>
      <c r="H345" s="93" t="str">
        <f>IF(N345=0,"",IF(NOT(ISNUMBER(F345)),"",IF(ISNUMBER(U345),F345*U345,"UNIDADE A CONFERIR")))</f>
        <v/>
      </c>
      <c r="I345" s="94" t="str">
        <f>IF(Q345=1,INDEX('CDFs'!$F$6:$F$505,P345)&amp;"","")</f>
        <v/>
      </c>
      <c r="J345" s="91" t="n"/>
      <c r="K345" s="91" t="n"/>
      <c r="L345" s="94" t="str">
        <f>IF(N345=0,"",IF(NOT(ISNUMBER(F345)),"Quantidade não informada",IF(F345&lt;=0,"Quantidade não positiva",IF(G345="","Unidade não informada",IF(NOT(ISNUMBER(H345)),"Unidade a conferir",IF(AC345=1,"REVISAR VÍNCULO: soma vinculada maior que a referência do item","OK"))))))</f>
        <v/>
      </c>
      <c r="M345" s="94" t="str">
        <f>IF(N345=0,"",IF(B345="","CDF não informado",IF(Q345=0,"REVISAR VÍNCULO: CDF inexistente",IF(C345="","Item não informado",IF(T345=0,"REVISAR VÍNCULO: item inexistente",IF(AND(X345=1,J345&lt;&gt;"Sim"),"REVISAR VÍNCULO: destinador diferente do MTR",IF(X345=1,"Destinador diferente do MTR (analisado)","OK")))))))</f>
        <v/>
      </c>
      <c r="N345" s="96">
        <f>IF(COUNTA(B345:C345,F345:G345,J345:K345)&gt;0,1,0)</f>
        <v>0</v>
      </c>
      <c r="O345" s="96" t="str">
        <f>IF(B345="","",TRIM(LEFT(B345,FIND(" |",B345&amp;" |")-1)))</f>
        <v/>
      </c>
      <c r="P345" s="96" t="str">
        <f>IF(O345="","",IFERROR(MATCH(O345,'CDFs'!$A$6:$A$505,0),""))</f>
        <v/>
      </c>
      <c r="Q345" s="96">
        <f>IF(P345="",0,IF(INDEX('CDFs'!$S$6:$S$505,P345)=1,1,0))</f>
        <v>0</v>
      </c>
      <c r="R345" s="96" t="str">
        <f>IF(C345="","",TRIM(LEFT(C345,FIND(" |",C345&amp;" |")-1)))</f>
        <v/>
      </c>
      <c r="S345" s="96" t="str">
        <f>IF(R345="","",IFERROR(MATCH(R345,'ITENS_MTR'!$A$6:$A$1005,0),""))</f>
        <v/>
      </c>
      <c r="T345" s="96">
        <f>IF(S345="",0,IF(INDEX('ITENS_MTR'!$R$6:$R$1005,S345)=1,1,0))</f>
        <v>0</v>
      </c>
      <c r="U345" s="96" t="str">
        <f>IF(G345="","",IFERROR(IF(ISNUMBER(INDEX(cfg_fac,MATCH(G345,cfg_units,0))),IF(INDEX(cfg_fac,MATCH(G345,cfg_units,0))&gt;0,INDEX(cfg_fac,MATCH(G345,cfg_units,0)),""),""),""))</f>
        <v/>
      </c>
      <c r="V345" s="96">
        <f>IF(AND(ISNUMBER(F345),ISNUMBER(H345)),IF(H345&gt;0,1,0),0)</f>
        <v>0</v>
      </c>
      <c r="W345" s="96" t="str">
        <f>IF(T345=1,INDEX('ITENS_MTR'!$AU$6:$AU$1005,S345)&amp;"","")</f>
        <v/>
      </c>
      <c r="X345" s="96">
        <f>IF(AND(Q345=1,T345=1,I345&lt;&gt;"",W345&lt;&gt;""),IF(I345&lt;&gt;W345,1,0),0)</f>
        <v>0</v>
      </c>
      <c r="Y345" s="96">
        <f>IF(N345=0,0,IF(OR(Q345=0,T345=0,V345=0,AND(X345=1,J345&lt;&gt;"Sim")),1,0))</f>
        <v>0</v>
      </c>
      <c r="Z345" s="96">
        <f>IF(Q345=1,INDEX('CDFs'!$W$6:$W$505,P345),0)</f>
        <v>0</v>
      </c>
      <c r="AA345" s="96">
        <f>IF(AND(N345=1,Y345=0,Z345=1,J345="Sim"),1,0)</f>
        <v>0</v>
      </c>
      <c r="AB345" s="96">
        <f>IF(AND(N345=1,O345&lt;&gt;"",D345&lt;&gt;""),IF(COUNTIFS($O$6:O345,O345,$D$6:D345,D345)=1,1,0),0)</f>
        <v>0</v>
      </c>
      <c r="AC345" s="96">
        <f>IF(T345=1,INDEX('ITENS_MTR'!$AL$6:$AL$1005,S345),0)</f>
        <v>0</v>
      </c>
    </row>
    <row r="346">
      <c r="A346" s="89" t="inlineStr">
        <is>
          <t>VIN-000341</t>
        </is>
      </c>
      <c r="B346" s="91" t="n"/>
      <c r="C346" s="91" t="n"/>
      <c r="D346" s="94" t="str">
        <f>IF(T346=1,INDEX('ITENS_MTR'!$S$6:$S$1005,S346)&amp;"","")</f>
        <v/>
      </c>
      <c r="E346" s="94" t="str">
        <f>IF(T346=1,INDEX('ITENS_MTR'!$C$6:$C$1005,S346)&amp;"","")</f>
        <v/>
      </c>
      <c r="F346" s="98" t="n"/>
      <c r="G346" s="91" t="n"/>
      <c r="H346" s="93" t="str">
        <f>IF(N346=0,"",IF(NOT(ISNUMBER(F346)),"",IF(ISNUMBER(U346),F346*U346,"UNIDADE A CONFERIR")))</f>
        <v/>
      </c>
      <c r="I346" s="94" t="str">
        <f>IF(Q346=1,INDEX('CDFs'!$F$6:$F$505,P346)&amp;"","")</f>
        <v/>
      </c>
      <c r="J346" s="91" t="n"/>
      <c r="K346" s="91" t="n"/>
      <c r="L346" s="94" t="str">
        <f>IF(N346=0,"",IF(NOT(ISNUMBER(F346)),"Quantidade não informada",IF(F346&lt;=0,"Quantidade não positiva",IF(G346="","Unidade não informada",IF(NOT(ISNUMBER(H346)),"Unidade a conferir",IF(AC346=1,"REVISAR VÍNCULO: soma vinculada maior que a referência do item","OK"))))))</f>
        <v/>
      </c>
      <c r="M346" s="94" t="str">
        <f>IF(N346=0,"",IF(B346="","CDF não informado",IF(Q346=0,"REVISAR VÍNCULO: CDF inexistente",IF(C346="","Item não informado",IF(T346=0,"REVISAR VÍNCULO: item inexistente",IF(AND(X346=1,J346&lt;&gt;"Sim"),"REVISAR VÍNCULO: destinador diferente do MTR",IF(X346=1,"Destinador diferente do MTR (analisado)","OK")))))))</f>
        <v/>
      </c>
      <c r="N346" s="96">
        <f>IF(COUNTA(B346:C346,F346:G346,J346:K346)&gt;0,1,0)</f>
        <v>0</v>
      </c>
      <c r="O346" s="96" t="str">
        <f>IF(B346="","",TRIM(LEFT(B346,FIND(" |",B346&amp;" |")-1)))</f>
        <v/>
      </c>
      <c r="P346" s="96" t="str">
        <f>IF(O346="","",IFERROR(MATCH(O346,'CDFs'!$A$6:$A$505,0),""))</f>
        <v/>
      </c>
      <c r="Q346" s="96">
        <f>IF(P346="",0,IF(INDEX('CDFs'!$S$6:$S$505,P346)=1,1,0))</f>
        <v>0</v>
      </c>
      <c r="R346" s="96" t="str">
        <f>IF(C346="","",TRIM(LEFT(C346,FIND(" |",C346&amp;" |")-1)))</f>
        <v/>
      </c>
      <c r="S346" s="96" t="str">
        <f>IF(R346="","",IFERROR(MATCH(R346,'ITENS_MTR'!$A$6:$A$1005,0),""))</f>
        <v/>
      </c>
      <c r="T346" s="96">
        <f>IF(S346="",0,IF(INDEX('ITENS_MTR'!$R$6:$R$1005,S346)=1,1,0))</f>
        <v>0</v>
      </c>
      <c r="U346" s="96" t="str">
        <f>IF(G346="","",IFERROR(IF(ISNUMBER(INDEX(cfg_fac,MATCH(G346,cfg_units,0))),IF(INDEX(cfg_fac,MATCH(G346,cfg_units,0))&gt;0,INDEX(cfg_fac,MATCH(G346,cfg_units,0)),""),""),""))</f>
        <v/>
      </c>
      <c r="V346" s="96">
        <f>IF(AND(ISNUMBER(F346),ISNUMBER(H346)),IF(H346&gt;0,1,0),0)</f>
        <v>0</v>
      </c>
      <c r="W346" s="96" t="str">
        <f>IF(T346=1,INDEX('ITENS_MTR'!$AU$6:$AU$1005,S346)&amp;"","")</f>
        <v/>
      </c>
      <c r="X346" s="96">
        <f>IF(AND(Q346=1,T346=1,I346&lt;&gt;"",W346&lt;&gt;""),IF(I346&lt;&gt;W346,1,0),0)</f>
        <v>0</v>
      </c>
      <c r="Y346" s="96">
        <f>IF(N346=0,0,IF(OR(Q346=0,T346=0,V346=0,AND(X346=1,J346&lt;&gt;"Sim")),1,0))</f>
        <v>0</v>
      </c>
      <c r="Z346" s="96">
        <f>IF(Q346=1,INDEX('CDFs'!$W$6:$W$505,P346),0)</f>
        <v>0</v>
      </c>
      <c r="AA346" s="96">
        <f>IF(AND(N346=1,Y346=0,Z346=1,J346="Sim"),1,0)</f>
        <v>0</v>
      </c>
      <c r="AB346" s="96">
        <f>IF(AND(N346=1,O346&lt;&gt;"",D346&lt;&gt;""),IF(COUNTIFS($O$6:O346,O346,$D$6:D346,D346)=1,1,0),0)</f>
        <v>0</v>
      </c>
      <c r="AC346" s="96">
        <f>IF(T346=1,INDEX('ITENS_MTR'!$AL$6:$AL$1005,S346),0)</f>
        <v>0</v>
      </c>
    </row>
    <row r="347">
      <c r="A347" s="89" t="inlineStr">
        <is>
          <t>VIN-000342</t>
        </is>
      </c>
      <c r="B347" s="91" t="n"/>
      <c r="C347" s="91" t="n"/>
      <c r="D347" s="94" t="str">
        <f>IF(T347=1,INDEX('ITENS_MTR'!$S$6:$S$1005,S347)&amp;"","")</f>
        <v/>
      </c>
      <c r="E347" s="94" t="str">
        <f>IF(T347=1,INDEX('ITENS_MTR'!$C$6:$C$1005,S347)&amp;"","")</f>
        <v/>
      </c>
      <c r="F347" s="98" t="n"/>
      <c r="G347" s="91" t="n"/>
      <c r="H347" s="93" t="str">
        <f>IF(N347=0,"",IF(NOT(ISNUMBER(F347)),"",IF(ISNUMBER(U347),F347*U347,"UNIDADE A CONFERIR")))</f>
        <v/>
      </c>
      <c r="I347" s="94" t="str">
        <f>IF(Q347=1,INDEX('CDFs'!$F$6:$F$505,P347)&amp;"","")</f>
        <v/>
      </c>
      <c r="J347" s="91" t="n"/>
      <c r="K347" s="91" t="n"/>
      <c r="L347" s="94" t="str">
        <f>IF(N347=0,"",IF(NOT(ISNUMBER(F347)),"Quantidade não informada",IF(F347&lt;=0,"Quantidade não positiva",IF(G347="","Unidade não informada",IF(NOT(ISNUMBER(H347)),"Unidade a conferir",IF(AC347=1,"REVISAR VÍNCULO: soma vinculada maior que a referência do item","OK"))))))</f>
        <v/>
      </c>
      <c r="M347" s="94" t="str">
        <f>IF(N347=0,"",IF(B347="","CDF não informado",IF(Q347=0,"REVISAR VÍNCULO: CDF inexistente",IF(C347="","Item não informado",IF(T347=0,"REVISAR VÍNCULO: item inexistente",IF(AND(X347=1,J347&lt;&gt;"Sim"),"REVISAR VÍNCULO: destinador diferente do MTR",IF(X347=1,"Destinador diferente do MTR (analisado)","OK")))))))</f>
        <v/>
      </c>
      <c r="N347" s="96">
        <f>IF(COUNTA(B347:C347,F347:G347,J347:K347)&gt;0,1,0)</f>
        <v>0</v>
      </c>
      <c r="O347" s="96" t="str">
        <f>IF(B347="","",TRIM(LEFT(B347,FIND(" |",B347&amp;" |")-1)))</f>
        <v/>
      </c>
      <c r="P347" s="96" t="str">
        <f>IF(O347="","",IFERROR(MATCH(O347,'CDFs'!$A$6:$A$505,0),""))</f>
        <v/>
      </c>
      <c r="Q347" s="96">
        <f>IF(P347="",0,IF(INDEX('CDFs'!$S$6:$S$505,P347)=1,1,0))</f>
        <v>0</v>
      </c>
      <c r="R347" s="96" t="str">
        <f>IF(C347="","",TRIM(LEFT(C347,FIND(" |",C347&amp;" |")-1)))</f>
        <v/>
      </c>
      <c r="S347" s="96" t="str">
        <f>IF(R347="","",IFERROR(MATCH(R347,'ITENS_MTR'!$A$6:$A$1005,0),""))</f>
        <v/>
      </c>
      <c r="T347" s="96">
        <f>IF(S347="",0,IF(INDEX('ITENS_MTR'!$R$6:$R$1005,S347)=1,1,0))</f>
        <v>0</v>
      </c>
      <c r="U347" s="96" t="str">
        <f>IF(G347="","",IFERROR(IF(ISNUMBER(INDEX(cfg_fac,MATCH(G347,cfg_units,0))),IF(INDEX(cfg_fac,MATCH(G347,cfg_units,0))&gt;0,INDEX(cfg_fac,MATCH(G347,cfg_units,0)),""),""),""))</f>
        <v/>
      </c>
      <c r="V347" s="96">
        <f>IF(AND(ISNUMBER(F347),ISNUMBER(H347)),IF(H347&gt;0,1,0),0)</f>
        <v>0</v>
      </c>
      <c r="W347" s="96" t="str">
        <f>IF(T347=1,INDEX('ITENS_MTR'!$AU$6:$AU$1005,S347)&amp;"","")</f>
        <v/>
      </c>
      <c r="X347" s="96">
        <f>IF(AND(Q347=1,T347=1,I347&lt;&gt;"",W347&lt;&gt;""),IF(I347&lt;&gt;W347,1,0),0)</f>
        <v>0</v>
      </c>
      <c r="Y347" s="96">
        <f>IF(N347=0,0,IF(OR(Q347=0,T347=0,V347=0,AND(X347=1,J347&lt;&gt;"Sim")),1,0))</f>
        <v>0</v>
      </c>
      <c r="Z347" s="96">
        <f>IF(Q347=1,INDEX('CDFs'!$W$6:$W$505,P347),0)</f>
        <v>0</v>
      </c>
      <c r="AA347" s="96">
        <f>IF(AND(N347=1,Y347=0,Z347=1,J347="Sim"),1,0)</f>
        <v>0</v>
      </c>
      <c r="AB347" s="96">
        <f>IF(AND(N347=1,O347&lt;&gt;"",D347&lt;&gt;""),IF(COUNTIFS($O$6:O347,O347,$D$6:D347,D347)=1,1,0),0)</f>
        <v>0</v>
      </c>
      <c r="AC347" s="96">
        <f>IF(T347=1,INDEX('ITENS_MTR'!$AL$6:$AL$1005,S347),0)</f>
        <v>0</v>
      </c>
    </row>
    <row r="348">
      <c r="A348" s="89" t="inlineStr">
        <is>
          <t>VIN-000343</t>
        </is>
      </c>
      <c r="B348" s="91" t="n"/>
      <c r="C348" s="91" t="n"/>
      <c r="D348" s="94" t="str">
        <f>IF(T348=1,INDEX('ITENS_MTR'!$S$6:$S$1005,S348)&amp;"","")</f>
        <v/>
      </c>
      <c r="E348" s="94" t="str">
        <f>IF(T348=1,INDEX('ITENS_MTR'!$C$6:$C$1005,S348)&amp;"","")</f>
        <v/>
      </c>
      <c r="F348" s="98" t="n"/>
      <c r="G348" s="91" t="n"/>
      <c r="H348" s="93" t="str">
        <f>IF(N348=0,"",IF(NOT(ISNUMBER(F348)),"",IF(ISNUMBER(U348),F348*U348,"UNIDADE A CONFERIR")))</f>
        <v/>
      </c>
      <c r="I348" s="94" t="str">
        <f>IF(Q348=1,INDEX('CDFs'!$F$6:$F$505,P348)&amp;"","")</f>
        <v/>
      </c>
      <c r="J348" s="91" t="n"/>
      <c r="K348" s="91" t="n"/>
      <c r="L348" s="94" t="str">
        <f>IF(N348=0,"",IF(NOT(ISNUMBER(F348)),"Quantidade não informada",IF(F348&lt;=0,"Quantidade não positiva",IF(G348="","Unidade não informada",IF(NOT(ISNUMBER(H348)),"Unidade a conferir",IF(AC348=1,"REVISAR VÍNCULO: soma vinculada maior que a referência do item","OK"))))))</f>
        <v/>
      </c>
      <c r="M348" s="94" t="str">
        <f>IF(N348=0,"",IF(B348="","CDF não informado",IF(Q348=0,"REVISAR VÍNCULO: CDF inexistente",IF(C348="","Item não informado",IF(T348=0,"REVISAR VÍNCULO: item inexistente",IF(AND(X348=1,J348&lt;&gt;"Sim"),"REVISAR VÍNCULO: destinador diferente do MTR",IF(X348=1,"Destinador diferente do MTR (analisado)","OK")))))))</f>
        <v/>
      </c>
      <c r="N348" s="96">
        <f>IF(COUNTA(B348:C348,F348:G348,J348:K348)&gt;0,1,0)</f>
        <v>0</v>
      </c>
      <c r="O348" s="96" t="str">
        <f>IF(B348="","",TRIM(LEFT(B348,FIND(" |",B348&amp;" |")-1)))</f>
        <v/>
      </c>
      <c r="P348" s="96" t="str">
        <f>IF(O348="","",IFERROR(MATCH(O348,'CDFs'!$A$6:$A$505,0),""))</f>
        <v/>
      </c>
      <c r="Q348" s="96">
        <f>IF(P348="",0,IF(INDEX('CDFs'!$S$6:$S$505,P348)=1,1,0))</f>
        <v>0</v>
      </c>
      <c r="R348" s="96" t="str">
        <f>IF(C348="","",TRIM(LEFT(C348,FIND(" |",C348&amp;" |")-1)))</f>
        <v/>
      </c>
      <c r="S348" s="96" t="str">
        <f>IF(R348="","",IFERROR(MATCH(R348,'ITENS_MTR'!$A$6:$A$1005,0),""))</f>
        <v/>
      </c>
      <c r="T348" s="96">
        <f>IF(S348="",0,IF(INDEX('ITENS_MTR'!$R$6:$R$1005,S348)=1,1,0))</f>
        <v>0</v>
      </c>
      <c r="U348" s="96" t="str">
        <f>IF(G348="","",IFERROR(IF(ISNUMBER(INDEX(cfg_fac,MATCH(G348,cfg_units,0))),IF(INDEX(cfg_fac,MATCH(G348,cfg_units,0))&gt;0,INDEX(cfg_fac,MATCH(G348,cfg_units,0)),""),""),""))</f>
        <v/>
      </c>
      <c r="V348" s="96">
        <f>IF(AND(ISNUMBER(F348),ISNUMBER(H348)),IF(H348&gt;0,1,0),0)</f>
        <v>0</v>
      </c>
      <c r="W348" s="96" t="str">
        <f>IF(T348=1,INDEX('ITENS_MTR'!$AU$6:$AU$1005,S348)&amp;"","")</f>
        <v/>
      </c>
      <c r="X348" s="96">
        <f>IF(AND(Q348=1,T348=1,I348&lt;&gt;"",W348&lt;&gt;""),IF(I348&lt;&gt;W348,1,0),0)</f>
        <v>0</v>
      </c>
      <c r="Y348" s="96">
        <f>IF(N348=0,0,IF(OR(Q348=0,T348=0,V348=0,AND(X348=1,J348&lt;&gt;"Sim")),1,0))</f>
        <v>0</v>
      </c>
      <c r="Z348" s="96">
        <f>IF(Q348=1,INDEX('CDFs'!$W$6:$W$505,P348),0)</f>
        <v>0</v>
      </c>
      <c r="AA348" s="96">
        <f>IF(AND(N348=1,Y348=0,Z348=1,J348="Sim"),1,0)</f>
        <v>0</v>
      </c>
      <c r="AB348" s="96">
        <f>IF(AND(N348=1,O348&lt;&gt;"",D348&lt;&gt;""),IF(COUNTIFS($O$6:O348,O348,$D$6:D348,D348)=1,1,0),0)</f>
        <v>0</v>
      </c>
      <c r="AC348" s="96">
        <f>IF(T348=1,INDEX('ITENS_MTR'!$AL$6:$AL$1005,S348),0)</f>
        <v>0</v>
      </c>
    </row>
    <row r="349">
      <c r="A349" s="89" t="inlineStr">
        <is>
          <t>VIN-000344</t>
        </is>
      </c>
      <c r="B349" s="91" t="n"/>
      <c r="C349" s="91" t="n"/>
      <c r="D349" s="94" t="str">
        <f>IF(T349=1,INDEX('ITENS_MTR'!$S$6:$S$1005,S349)&amp;"","")</f>
        <v/>
      </c>
      <c r="E349" s="94" t="str">
        <f>IF(T349=1,INDEX('ITENS_MTR'!$C$6:$C$1005,S349)&amp;"","")</f>
        <v/>
      </c>
      <c r="F349" s="98" t="n"/>
      <c r="G349" s="91" t="n"/>
      <c r="H349" s="93" t="str">
        <f>IF(N349=0,"",IF(NOT(ISNUMBER(F349)),"",IF(ISNUMBER(U349),F349*U349,"UNIDADE A CONFERIR")))</f>
        <v/>
      </c>
      <c r="I349" s="94" t="str">
        <f>IF(Q349=1,INDEX('CDFs'!$F$6:$F$505,P349)&amp;"","")</f>
        <v/>
      </c>
      <c r="J349" s="91" t="n"/>
      <c r="K349" s="91" t="n"/>
      <c r="L349" s="94" t="str">
        <f>IF(N349=0,"",IF(NOT(ISNUMBER(F349)),"Quantidade não informada",IF(F349&lt;=0,"Quantidade não positiva",IF(G349="","Unidade não informada",IF(NOT(ISNUMBER(H349)),"Unidade a conferir",IF(AC349=1,"REVISAR VÍNCULO: soma vinculada maior que a referência do item","OK"))))))</f>
        <v/>
      </c>
      <c r="M349" s="94" t="str">
        <f>IF(N349=0,"",IF(B349="","CDF não informado",IF(Q349=0,"REVISAR VÍNCULO: CDF inexistente",IF(C349="","Item não informado",IF(T349=0,"REVISAR VÍNCULO: item inexistente",IF(AND(X349=1,J349&lt;&gt;"Sim"),"REVISAR VÍNCULO: destinador diferente do MTR",IF(X349=1,"Destinador diferente do MTR (analisado)","OK")))))))</f>
        <v/>
      </c>
      <c r="N349" s="96">
        <f>IF(COUNTA(B349:C349,F349:G349,J349:K349)&gt;0,1,0)</f>
        <v>0</v>
      </c>
      <c r="O349" s="96" t="str">
        <f>IF(B349="","",TRIM(LEFT(B349,FIND(" |",B349&amp;" |")-1)))</f>
        <v/>
      </c>
      <c r="P349" s="96" t="str">
        <f>IF(O349="","",IFERROR(MATCH(O349,'CDFs'!$A$6:$A$505,0),""))</f>
        <v/>
      </c>
      <c r="Q349" s="96">
        <f>IF(P349="",0,IF(INDEX('CDFs'!$S$6:$S$505,P349)=1,1,0))</f>
        <v>0</v>
      </c>
      <c r="R349" s="96" t="str">
        <f>IF(C349="","",TRIM(LEFT(C349,FIND(" |",C349&amp;" |")-1)))</f>
        <v/>
      </c>
      <c r="S349" s="96" t="str">
        <f>IF(R349="","",IFERROR(MATCH(R349,'ITENS_MTR'!$A$6:$A$1005,0),""))</f>
        <v/>
      </c>
      <c r="T349" s="96">
        <f>IF(S349="",0,IF(INDEX('ITENS_MTR'!$R$6:$R$1005,S349)=1,1,0))</f>
        <v>0</v>
      </c>
      <c r="U349" s="96" t="str">
        <f>IF(G349="","",IFERROR(IF(ISNUMBER(INDEX(cfg_fac,MATCH(G349,cfg_units,0))),IF(INDEX(cfg_fac,MATCH(G349,cfg_units,0))&gt;0,INDEX(cfg_fac,MATCH(G349,cfg_units,0)),""),""),""))</f>
        <v/>
      </c>
      <c r="V349" s="96">
        <f>IF(AND(ISNUMBER(F349),ISNUMBER(H349)),IF(H349&gt;0,1,0),0)</f>
        <v>0</v>
      </c>
      <c r="W349" s="96" t="str">
        <f>IF(T349=1,INDEX('ITENS_MTR'!$AU$6:$AU$1005,S349)&amp;"","")</f>
        <v/>
      </c>
      <c r="X349" s="96">
        <f>IF(AND(Q349=1,T349=1,I349&lt;&gt;"",W349&lt;&gt;""),IF(I349&lt;&gt;W349,1,0),0)</f>
        <v>0</v>
      </c>
      <c r="Y349" s="96">
        <f>IF(N349=0,0,IF(OR(Q349=0,T349=0,V349=0,AND(X349=1,J349&lt;&gt;"Sim")),1,0))</f>
        <v>0</v>
      </c>
      <c r="Z349" s="96">
        <f>IF(Q349=1,INDEX('CDFs'!$W$6:$W$505,P349),0)</f>
        <v>0</v>
      </c>
      <c r="AA349" s="96">
        <f>IF(AND(N349=1,Y349=0,Z349=1,J349="Sim"),1,0)</f>
        <v>0</v>
      </c>
      <c r="AB349" s="96">
        <f>IF(AND(N349=1,O349&lt;&gt;"",D349&lt;&gt;""),IF(COUNTIFS($O$6:O349,O349,$D$6:D349,D349)=1,1,0),0)</f>
        <v>0</v>
      </c>
      <c r="AC349" s="96">
        <f>IF(T349=1,INDEX('ITENS_MTR'!$AL$6:$AL$1005,S349),0)</f>
        <v>0</v>
      </c>
    </row>
    <row r="350">
      <c r="A350" s="89" t="inlineStr">
        <is>
          <t>VIN-000345</t>
        </is>
      </c>
      <c r="B350" s="91" t="n"/>
      <c r="C350" s="91" t="n"/>
      <c r="D350" s="94" t="str">
        <f>IF(T350=1,INDEX('ITENS_MTR'!$S$6:$S$1005,S350)&amp;"","")</f>
        <v/>
      </c>
      <c r="E350" s="94" t="str">
        <f>IF(T350=1,INDEX('ITENS_MTR'!$C$6:$C$1005,S350)&amp;"","")</f>
        <v/>
      </c>
      <c r="F350" s="98" t="n"/>
      <c r="G350" s="91" t="n"/>
      <c r="H350" s="93" t="str">
        <f>IF(N350=0,"",IF(NOT(ISNUMBER(F350)),"",IF(ISNUMBER(U350),F350*U350,"UNIDADE A CONFERIR")))</f>
        <v/>
      </c>
      <c r="I350" s="94" t="str">
        <f>IF(Q350=1,INDEX('CDFs'!$F$6:$F$505,P350)&amp;"","")</f>
        <v/>
      </c>
      <c r="J350" s="91" t="n"/>
      <c r="K350" s="91" t="n"/>
      <c r="L350" s="94" t="str">
        <f>IF(N350=0,"",IF(NOT(ISNUMBER(F350)),"Quantidade não informada",IF(F350&lt;=0,"Quantidade não positiva",IF(G350="","Unidade não informada",IF(NOT(ISNUMBER(H350)),"Unidade a conferir",IF(AC350=1,"REVISAR VÍNCULO: soma vinculada maior que a referência do item","OK"))))))</f>
        <v/>
      </c>
      <c r="M350" s="94" t="str">
        <f>IF(N350=0,"",IF(B350="","CDF não informado",IF(Q350=0,"REVISAR VÍNCULO: CDF inexistente",IF(C350="","Item não informado",IF(T350=0,"REVISAR VÍNCULO: item inexistente",IF(AND(X350=1,J350&lt;&gt;"Sim"),"REVISAR VÍNCULO: destinador diferente do MTR",IF(X350=1,"Destinador diferente do MTR (analisado)","OK")))))))</f>
        <v/>
      </c>
      <c r="N350" s="96">
        <f>IF(COUNTA(B350:C350,F350:G350,J350:K350)&gt;0,1,0)</f>
        <v>0</v>
      </c>
      <c r="O350" s="96" t="str">
        <f>IF(B350="","",TRIM(LEFT(B350,FIND(" |",B350&amp;" |")-1)))</f>
        <v/>
      </c>
      <c r="P350" s="96" t="str">
        <f>IF(O350="","",IFERROR(MATCH(O350,'CDFs'!$A$6:$A$505,0),""))</f>
        <v/>
      </c>
      <c r="Q350" s="96">
        <f>IF(P350="",0,IF(INDEX('CDFs'!$S$6:$S$505,P350)=1,1,0))</f>
        <v>0</v>
      </c>
      <c r="R350" s="96" t="str">
        <f>IF(C350="","",TRIM(LEFT(C350,FIND(" |",C350&amp;" |")-1)))</f>
        <v/>
      </c>
      <c r="S350" s="96" t="str">
        <f>IF(R350="","",IFERROR(MATCH(R350,'ITENS_MTR'!$A$6:$A$1005,0),""))</f>
        <v/>
      </c>
      <c r="T350" s="96">
        <f>IF(S350="",0,IF(INDEX('ITENS_MTR'!$R$6:$R$1005,S350)=1,1,0))</f>
        <v>0</v>
      </c>
      <c r="U350" s="96" t="str">
        <f>IF(G350="","",IFERROR(IF(ISNUMBER(INDEX(cfg_fac,MATCH(G350,cfg_units,0))),IF(INDEX(cfg_fac,MATCH(G350,cfg_units,0))&gt;0,INDEX(cfg_fac,MATCH(G350,cfg_units,0)),""),""),""))</f>
        <v/>
      </c>
      <c r="V350" s="96">
        <f>IF(AND(ISNUMBER(F350),ISNUMBER(H350)),IF(H350&gt;0,1,0),0)</f>
        <v>0</v>
      </c>
      <c r="W350" s="96" t="str">
        <f>IF(T350=1,INDEX('ITENS_MTR'!$AU$6:$AU$1005,S350)&amp;"","")</f>
        <v/>
      </c>
      <c r="X350" s="96">
        <f>IF(AND(Q350=1,T350=1,I350&lt;&gt;"",W350&lt;&gt;""),IF(I350&lt;&gt;W350,1,0),0)</f>
        <v>0</v>
      </c>
      <c r="Y350" s="96">
        <f>IF(N350=0,0,IF(OR(Q350=0,T350=0,V350=0,AND(X350=1,J350&lt;&gt;"Sim")),1,0))</f>
        <v>0</v>
      </c>
      <c r="Z350" s="96">
        <f>IF(Q350=1,INDEX('CDFs'!$W$6:$W$505,P350),0)</f>
        <v>0</v>
      </c>
      <c r="AA350" s="96">
        <f>IF(AND(N350=1,Y350=0,Z350=1,J350="Sim"),1,0)</f>
        <v>0</v>
      </c>
      <c r="AB350" s="96">
        <f>IF(AND(N350=1,O350&lt;&gt;"",D350&lt;&gt;""),IF(COUNTIFS($O$6:O350,O350,$D$6:D350,D350)=1,1,0),0)</f>
        <v>0</v>
      </c>
      <c r="AC350" s="96">
        <f>IF(T350=1,INDEX('ITENS_MTR'!$AL$6:$AL$1005,S350),0)</f>
        <v>0</v>
      </c>
    </row>
    <row r="351">
      <c r="A351" s="89" t="inlineStr">
        <is>
          <t>VIN-000346</t>
        </is>
      </c>
      <c r="B351" s="91" t="n"/>
      <c r="C351" s="91" t="n"/>
      <c r="D351" s="94" t="str">
        <f>IF(T351=1,INDEX('ITENS_MTR'!$S$6:$S$1005,S351)&amp;"","")</f>
        <v/>
      </c>
      <c r="E351" s="94" t="str">
        <f>IF(T351=1,INDEX('ITENS_MTR'!$C$6:$C$1005,S351)&amp;"","")</f>
        <v/>
      </c>
      <c r="F351" s="98" t="n"/>
      <c r="G351" s="91" t="n"/>
      <c r="H351" s="93" t="str">
        <f>IF(N351=0,"",IF(NOT(ISNUMBER(F351)),"",IF(ISNUMBER(U351),F351*U351,"UNIDADE A CONFERIR")))</f>
        <v/>
      </c>
      <c r="I351" s="94" t="str">
        <f>IF(Q351=1,INDEX('CDFs'!$F$6:$F$505,P351)&amp;"","")</f>
        <v/>
      </c>
      <c r="J351" s="91" t="n"/>
      <c r="K351" s="91" t="n"/>
      <c r="L351" s="94" t="str">
        <f>IF(N351=0,"",IF(NOT(ISNUMBER(F351)),"Quantidade não informada",IF(F351&lt;=0,"Quantidade não positiva",IF(G351="","Unidade não informada",IF(NOT(ISNUMBER(H351)),"Unidade a conferir",IF(AC351=1,"REVISAR VÍNCULO: soma vinculada maior que a referência do item","OK"))))))</f>
        <v/>
      </c>
      <c r="M351" s="94" t="str">
        <f>IF(N351=0,"",IF(B351="","CDF não informado",IF(Q351=0,"REVISAR VÍNCULO: CDF inexistente",IF(C351="","Item não informado",IF(T351=0,"REVISAR VÍNCULO: item inexistente",IF(AND(X351=1,J351&lt;&gt;"Sim"),"REVISAR VÍNCULO: destinador diferente do MTR",IF(X351=1,"Destinador diferente do MTR (analisado)","OK")))))))</f>
        <v/>
      </c>
      <c r="N351" s="96">
        <f>IF(COUNTA(B351:C351,F351:G351,J351:K351)&gt;0,1,0)</f>
        <v>0</v>
      </c>
      <c r="O351" s="96" t="str">
        <f>IF(B351="","",TRIM(LEFT(B351,FIND(" |",B351&amp;" |")-1)))</f>
        <v/>
      </c>
      <c r="P351" s="96" t="str">
        <f>IF(O351="","",IFERROR(MATCH(O351,'CDFs'!$A$6:$A$505,0),""))</f>
        <v/>
      </c>
      <c r="Q351" s="96">
        <f>IF(P351="",0,IF(INDEX('CDFs'!$S$6:$S$505,P351)=1,1,0))</f>
        <v>0</v>
      </c>
      <c r="R351" s="96" t="str">
        <f>IF(C351="","",TRIM(LEFT(C351,FIND(" |",C351&amp;" |")-1)))</f>
        <v/>
      </c>
      <c r="S351" s="96" t="str">
        <f>IF(R351="","",IFERROR(MATCH(R351,'ITENS_MTR'!$A$6:$A$1005,0),""))</f>
        <v/>
      </c>
      <c r="T351" s="96">
        <f>IF(S351="",0,IF(INDEX('ITENS_MTR'!$R$6:$R$1005,S351)=1,1,0))</f>
        <v>0</v>
      </c>
      <c r="U351" s="96" t="str">
        <f>IF(G351="","",IFERROR(IF(ISNUMBER(INDEX(cfg_fac,MATCH(G351,cfg_units,0))),IF(INDEX(cfg_fac,MATCH(G351,cfg_units,0))&gt;0,INDEX(cfg_fac,MATCH(G351,cfg_units,0)),""),""),""))</f>
        <v/>
      </c>
      <c r="V351" s="96">
        <f>IF(AND(ISNUMBER(F351),ISNUMBER(H351)),IF(H351&gt;0,1,0),0)</f>
        <v>0</v>
      </c>
      <c r="W351" s="96" t="str">
        <f>IF(T351=1,INDEX('ITENS_MTR'!$AU$6:$AU$1005,S351)&amp;"","")</f>
        <v/>
      </c>
      <c r="X351" s="96">
        <f>IF(AND(Q351=1,T351=1,I351&lt;&gt;"",W351&lt;&gt;""),IF(I351&lt;&gt;W351,1,0),0)</f>
        <v>0</v>
      </c>
      <c r="Y351" s="96">
        <f>IF(N351=0,0,IF(OR(Q351=0,T351=0,V351=0,AND(X351=1,J351&lt;&gt;"Sim")),1,0))</f>
        <v>0</v>
      </c>
      <c r="Z351" s="96">
        <f>IF(Q351=1,INDEX('CDFs'!$W$6:$W$505,P351),0)</f>
        <v>0</v>
      </c>
      <c r="AA351" s="96">
        <f>IF(AND(N351=1,Y351=0,Z351=1,J351="Sim"),1,0)</f>
        <v>0</v>
      </c>
      <c r="AB351" s="96">
        <f>IF(AND(N351=1,O351&lt;&gt;"",D351&lt;&gt;""),IF(COUNTIFS($O$6:O351,O351,$D$6:D351,D351)=1,1,0),0)</f>
        <v>0</v>
      </c>
      <c r="AC351" s="96">
        <f>IF(T351=1,INDEX('ITENS_MTR'!$AL$6:$AL$1005,S351),0)</f>
        <v>0</v>
      </c>
    </row>
    <row r="352">
      <c r="A352" s="89" t="inlineStr">
        <is>
          <t>VIN-000347</t>
        </is>
      </c>
      <c r="B352" s="91" t="n"/>
      <c r="C352" s="91" t="n"/>
      <c r="D352" s="94" t="str">
        <f>IF(T352=1,INDEX('ITENS_MTR'!$S$6:$S$1005,S352)&amp;"","")</f>
        <v/>
      </c>
      <c r="E352" s="94" t="str">
        <f>IF(T352=1,INDEX('ITENS_MTR'!$C$6:$C$1005,S352)&amp;"","")</f>
        <v/>
      </c>
      <c r="F352" s="98" t="n"/>
      <c r="G352" s="91" t="n"/>
      <c r="H352" s="93" t="str">
        <f>IF(N352=0,"",IF(NOT(ISNUMBER(F352)),"",IF(ISNUMBER(U352),F352*U352,"UNIDADE A CONFERIR")))</f>
        <v/>
      </c>
      <c r="I352" s="94" t="str">
        <f>IF(Q352=1,INDEX('CDFs'!$F$6:$F$505,P352)&amp;"","")</f>
        <v/>
      </c>
      <c r="J352" s="91" t="n"/>
      <c r="K352" s="91" t="n"/>
      <c r="L352" s="94" t="str">
        <f>IF(N352=0,"",IF(NOT(ISNUMBER(F352)),"Quantidade não informada",IF(F352&lt;=0,"Quantidade não positiva",IF(G352="","Unidade não informada",IF(NOT(ISNUMBER(H352)),"Unidade a conferir",IF(AC352=1,"REVISAR VÍNCULO: soma vinculada maior que a referência do item","OK"))))))</f>
        <v/>
      </c>
      <c r="M352" s="94" t="str">
        <f>IF(N352=0,"",IF(B352="","CDF não informado",IF(Q352=0,"REVISAR VÍNCULO: CDF inexistente",IF(C352="","Item não informado",IF(T352=0,"REVISAR VÍNCULO: item inexistente",IF(AND(X352=1,J352&lt;&gt;"Sim"),"REVISAR VÍNCULO: destinador diferente do MTR",IF(X352=1,"Destinador diferente do MTR (analisado)","OK")))))))</f>
        <v/>
      </c>
      <c r="N352" s="96">
        <f>IF(COUNTA(B352:C352,F352:G352,J352:K352)&gt;0,1,0)</f>
        <v>0</v>
      </c>
      <c r="O352" s="96" t="str">
        <f>IF(B352="","",TRIM(LEFT(B352,FIND(" |",B352&amp;" |")-1)))</f>
        <v/>
      </c>
      <c r="P352" s="96" t="str">
        <f>IF(O352="","",IFERROR(MATCH(O352,'CDFs'!$A$6:$A$505,0),""))</f>
        <v/>
      </c>
      <c r="Q352" s="96">
        <f>IF(P352="",0,IF(INDEX('CDFs'!$S$6:$S$505,P352)=1,1,0))</f>
        <v>0</v>
      </c>
      <c r="R352" s="96" t="str">
        <f>IF(C352="","",TRIM(LEFT(C352,FIND(" |",C352&amp;" |")-1)))</f>
        <v/>
      </c>
      <c r="S352" s="96" t="str">
        <f>IF(R352="","",IFERROR(MATCH(R352,'ITENS_MTR'!$A$6:$A$1005,0),""))</f>
        <v/>
      </c>
      <c r="T352" s="96">
        <f>IF(S352="",0,IF(INDEX('ITENS_MTR'!$R$6:$R$1005,S352)=1,1,0))</f>
        <v>0</v>
      </c>
      <c r="U352" s="96" t="str">
        <f>IF(G352="","",IFERROR(IF(ISNUMBER(INDEX(cfg_fac,MATCH(G352,cfg_units,0))),IF(INDEX(cfg_fac,MATCH(G352,cfg_units,0))&gt;0,INDEX(cfg_fac,MATCH(G352,cfg_units,0)),""),""),""))</f>
        <v/>
      </c>
      <c r="V352" s="96">
        <f>IF(AND(ISNUMBER(F352),ISNUMBER(H352)),IF(H352&gt;0,1,0),0)</f>
        <v>0</v>
      </c>
      <c r="W352" s="96" t="str">
        <f>IF(T352=1,INDEX('ITENS_MTR'!$AU$6:$AU$1005,S352)&amp;"","")</f>
        <v/>
      </c>
      <c r="X352" s="96">
        <f>IF(AND(Q352=1,T352=1,I352&lt;&gt;"",W352&lt;&gt;""),IF(I352&lt;&gt;W352,1,0),0)</f>
        <v>0</v>
      </c>
      <c r="Y352" s="96">
        <f>IF(N352=0,0,IF(OR(Q352=0,T352=0,V352=0,AND(X352=1,J352&lt;&gt;"Sim")),1,0))</f>
        <v>0</v>
      </c>
      <c r="Z352" s="96">
        <f>IF(Q352=1,INDEX('CDFs'!$W$6:$W$505,P352),0)</f>
        <v>0</v>
      </c>
      <c r="AA352" s="96">
        <f>IF(AND(N352=1,Y352=0,Z352=1,J352="Sim"),1,0)</f>
        <v>0</v>
      </c>
      <c r="AB352" s="96">
        <f>IF(AND(N352=1,O352&lt;&gt;"",D352&lt;&gt;""),IF(COUNTIFS($O$6:O352,O352,$D$6:D352,D352)=1,1,0),0)</f>
        <v>0</v>
      </c>
      <c r="AC352" s="96">
        <f>IF(T352=1,INDEX('ITENS_MTR'!$AL$6:$AL$1005,S352),0)</f>
        <v>0</v>
      </c>
    </row>
    <row r="353">
      <c r="A353" s="89" t="inlineStr">
        <is>
          <t>VIN-000348</t>
        </is>
      </c>
      <c r="B353" s="91" t="n"/>
      <c r="C353" s="91" t="n"/>
      <c r="D353" s="94" t="str">
        <f>IF(T353=1,INDEX('ITENS_MTR'!$S$6:$S$1005,S353)&amp;"","")</f>
        <v/>
      </c>
      <c r="E353" s="94" t="str">
        <f>IF(T353=1,INDEX('ITENS_MTR'!$C$6:$C$1005,S353)&amp;"","")</f>
        <v/>
      </c>
      <c r="F353" s="98" t="n"/>
      <c r="G353" s="91" t="n"/>
      <c r="H353" s="93" t="str">
        <f>IF(N353=0,"",IF(NOT(ISNUMBER(F353)),"",IF(ISNUMBER(U353),F353*U353,"UNIDADE A CONFERIR")))</f>
        <v/>
      </c>
      <c r="I353" s="94" t="str">
        <f>IF(Q353=1,INDEX('CDFs'!$F$6:$F$505,P353)&amp;"","")</f>
        <v/>
      </c>
      <c r="J353" s="91" t="n"/>
      <c r="K353" s="91" t="n"/>
      <c r="L353" s="94" t="str">
        <f>IF(N353=0,"",IF(NOT(ISNUMBER(F353)),"Quantidade não informada",IF(F353&lt;=0,"Quantidade não positiva",IF(G353="","Unidade não informada",IF(NOT(ISNUMBER(H353)),"Unidade a conferir",IF(AC353=1,"REVISAR VÍNCULO: soma vinculada maior que a referência do item","OK"))))))</f>
        <v/>
      </c>
      <c r="M353" s="94" t="str">
        <f>IF(N353=0,"",IF(B353="","CDF não informado",IF(Q353=0,"REVISAR VÍNCULO: CDF inexistente",IF(C353="","Item não informado",IF(T353=0,"REVISAR VÍNCULO: item inexistente",IF(AND(X353=1,J353&lt;&gt;"Sim"),"REVISAR VÍNCULO: destinador diferente do MTR",IF(X353=1,"Destinador diferente do MTR (analisado)","OK")))))))</f>
        <v/>
      </c>
      <c r="N353" s="96">
        <f>IF(COUNTA(B353:C353,F353:G353,J353:K353)&gt;0,1,0)</f>
        <v>0</v>
      </c>
      <c r="O353" s="96" t="str">
        <f>IF(B353="","",TRIM(LEFT(B353,FIND(" |",B353&amp;" |")-1)))</f>
        <v/>
      </c>
      <c r="P353" s="96" t="str">
        <f>IF(O353="","",IFERROR(MATCH(O353,'CDFs'!$A$6:$A$505,0),""))</f>
        <v/>
      </c>
      <c r="Q353" s="96">
        <f>IF(P353="",0,IF(INDEX('CDFs'!$S$6:$S$505,P353)=1,1,0))</f>
        <v>0</v>
      </c>
      <c r="R353" s="96" t="str">
        <f>IF(C353="","",TRIM(LEFT(C353,FIND(" |",C353&amp;" |")-1)))</f>
        <v/>
      </c>
      <c r="S353" s="96" t="str">
        <f>IF(R353="","",IFERROR(MATCH(R353,'ITENS_MTR'!$A$6:$A$1005,0),""))</f>
        <v/>
      </c>
      <c r="T353" s="96">
        <f>IF(S353="",0,IF(INDEX('ITENS_MTR'!$R$6:$R$1005,S353)=1,1,0))</f>
        <v>0</v>
      </c>
      <c r="U353" s="96" t="str">
        <f>IF(G353="","",IFERROR(IF(ISNUMBER(INDEX(cfg_fac,MATCH(G353,cfg_units,0))),IF(INDEX(cfg_fac,MATCH(G353,cfg_units,0))&gt;0,INDEX(cfg_fac,MATCH(G353,cfg_units,0)),""),""),""))</f>
        <v/>
      </c>
      <c r="V353" s="96">
        <f>IF(AND(ISNUMBER(F353),ISNUMBER(H353)),IF(H353&gt;0,1,0),0)</f>
        <v>0</v>
      </c>
      <c r="W353" s="96" t="str">
        <f>IF(T353=1,INDEX('ITENS_MTR'!$AU$6:$AU$1005,S353)&amp;"","")</f>
        <v/>
      </c>
      <c r="X353" s="96">
        <f>IF(AND(Q353=1,T353=1,I353&lt;&gt;"",W353&lt;&gt;""),IF(I353&lt;&gt;W353,1,0),0)</f>
        <v>0</v>
      </c>
      <c r="Y353" s="96">
        <f>IF(N353=0,0,IF(OR(Q353=0,T353=0,V353=0,AND(X353=1,J353&lt;&gt;"Sim")),1,0))</f>
        <v>0</v>
      </c>
      <c r="Z353" s="96">
        <f>IF(Q353=1,INDEX('CDFs'!$W$6:$W$505,P353),0)</f>
        <v>0</v>
      </c>
      <c r="AA353" s="96">
        <f>IF(AND(N353=1,Y353=0,Z353=1,J353="Sim"),1,0)</f>
        <v>0</v>
      </c>
      <c r="AB353" s="96">
        <f>IF(AND(N353=1,O353&lt;&gt;"",D353&lt;&gt;""),IF(COUNTIFS($O$6:O353,O353,$D$6:D353,D353)=1,1,0),0)</f>
        <v>0</v>
      </c>
      <c r="AC353" s="96">
        <f>IF(T353=1,INDEX('ITENS_MTR'!$AL$6:$AL$1005,S353),0)</f>
        <v>0</v>
      </c>
    </row>
    <row r="354">
      <c r="A354" s="89" t="inlineStr">
        <is>
          <t>VIN-000349</t>
        </is>
      </c>
      <c r="B354" s="91" t="n"/>
      <c r="C354" s="91" t="n"/>
      <c r="D354" s="94" t="str">
        <f>IF(T354=1,INDEX('ITENS_MTR'!$S$6:$S$1005,S354)&amp;"","")</f>
        <v/>
      </c>
      <c r="E354" s="94" t="str">
        <f>IF(T354=1,INDEX('ITENS_MTR'!$C$6:$C$1005,S354)&amp;"","")</f>
        <v/>
      </c>
      <c r="F354" s="98" t="n"/>
      <c r="G354" s="91" t="n"/>
      <c r="H354" s="93" t="str">
        <f>IF(N354=0,"",IF(NOT(ISNUMBER(F354)),"",IF(ISNUMBER(U354),F354*U354,"UNIDADE A CONFERIR")))</f>
        <v/>
      </c>
      <c r="I354" s="94" t="str">
        <f>IF(Q354=1,INDEX('CDFs'!$F$6:$F$505,P354)&amp;"","")</f>
        <v/>
      </c>
      <c r="J354" s="91" t="n"/>
      <c r="K354" s="91" t="n"/>
      <c r="L354" s="94" t="str">
        <f>IF(N354=0,"",IF(NOT(ISNUMBER(F354)),"Quantidade não informada",IF(F354&lt;=0,"Quantidade não positiva",IF(G354="","Unidade não informada",IF(NOT(ISNUMBER(H354)),"Unidade a conferir",IF(AC354=1,"REVISAR VÍNCULO: soma vinculada maior que a referência do item","OK"))))))</f>
        <v/>
      </c>
      <c r="M354" s="94" t="str">
        <f>IF(N354=0,"",IF(B354="","CDF não informado",IF(Q354=0,"REVISAR VÍNCULO: CDF inexistente",IF(C354="","Item não informado",IF(T354=0,"REVISAR VÍNCULO: item inexistente",IF(AND(X354=1,J354&lt;&gt;"Sim"),"REVISAR VÍNCULO: destinador diferente do MTR",IF(X354=1,"Destinador diferente do MTR (analisado)","OK")))))))</f>
        <v/>
      </c>
      <c r="N354" s="96">
        <f>IF(COUNTA(B354:C354,F354:G354,J354:K354)&gt;0,1,0)</f>
        <v>0</v>
      </c>
      <c r="O354" s="96" t="str">
        <f>IF(B354="","",TRIM(LEFT(B354,FIND(" |",B354&amp;" |")-1)))</f>
        <v/>
      </c>
      <c r="P354" s="96" t="str">
        <f>IF(O354="","",IFERROR(MATCH(O354,'CDFs'!$A$6:$A$505,0),""))</f>
        <v/>
      </c>
      <c r="Q354" s="96">
        <f>IF(P354="",0,IF(INDEX('CDFs'!$S$6:$S$505,P354)=1,1,0))</f>
        <v>0</v>
      </c>
      <c r="R354" s="96" t="str">
        <f>IF(C354="","",TRIM(LEFT(C354,FIND(" |",C354&amp;" |")-1)))</f>
        <v/>
      </c>
      <c r="S354" s="96" t="str">
        <f>IF(R354="","",IFERROR(MATCH(R354,'ITENS_MTR'!$A$6:$A$1005,0),""))</f>
        <v/>
      </c>
      <c r="T354" s="96">
        <f>IF(S354="",0,IF(INDEX('ITENS_MTR'!$R$6:$R$1005,S354)=1,1,0))</f>
        <v>0</v>
      </c>
      <c r="U354" s="96" t="str">
        <f>IF(G354="","",IFERROR(IF(ISNUMBER(INDEX(cfg_fac,MATCH(G354,cfg_units,0))),IF(INDEX(cfg_fac,MATCH(G354,cfg_units,0))&gt;0,INDEX(cfg_fac,MATCH(G354,cfg_units,0)),""),""),""))</f>
        <v/>
      </c>
      <c r="V354" s="96">
        <f>IF(AND(ISNUMBER(F354),ISNUMBER(H354)),IF(H354&gt;0,1,0),0)</f>
        <v>0</v>
      </c>
      <c r="W354" s="96" t="str">
        <f>IF(T354=1,INDEX('ITENS_MTR'!$AU$6:$AU$1005,S354)&amp;"","")</f>
        <v/>
      </c>
      <c r="X354" s="96">
        <f>IF(AND(Q354=1,T354=1,I354&lt;&gt;"",W354&lt;&gt;""),IF(I354&lt;&gt;W354,1,0),0)</f>
        <v>0</v>
      </c>
      <c r="Y354" s="96">
        <f>IF(N354=0,0,IF(OR(Q354=0,T354=0,V354=0,AND(X354=1,J354&lt;&gt;"Sim")),1,0))</f>
        <v>0</v>
      </c>
      <c r="Z354" s="96">
        <f>IF(Q354=1,INDEX('CDFs'!$W$6:$W$505,P354),0)</f>
        <v>0</v>
      </c>
      <c r="AA354" s="96">
        <f>IF(AND(N354=1,Y354=0,Z354=1,J354="Sim"),1,0)</f>
        <v>0</v>
      </c>
      <c r="AB354" s="96">
        <f>IF(AND(N354=1,O354&lt;&gt;"",D354&lt;&gt;""),IF(COUNTIFS($O$6:O354,O354,$D$6:D354,D354)=1,1,0),0)</f>
        <v>0</v>
      </c>
      <c r="AC354" s="96">
        <f>IF(T354=1,INDEX('ITENS_MTR'!$AL$6:$AL$1005,S354),0)</f>
        <v>0</v>
      </c>
    </row>
    <row r="355">
      <c r="A355" s="89" t="inlineStr">
        <is>
          <t>VIN-000350</t>
        </is>
      </c>
      <c r="B355" s="91" t="n"/>
      <c r="C355" s="91" t="n"/>
      <c r="D355" s="94" t="str">
        <f>IF(T355=1,INDEX('ITENS_MTR'!$S$6:$S$1005,S355)&amp;"","")</f>
        <v/>
      </c>
      <c r="E355" s="94" t="str">
        <f>IF(T355=1,INDEX('ITENS_MTR'!$C$6:$C$1005,S355)&amp;"","")</f>
        <v/>
      </c>
      <c r="F355" s="98" t="n"/>
      <c r="G355" s="91" t="n"/>
      <c r="H355" s="93" t="str">
        <f>IF(N355=0,"",IF(NOT(ISNUMBER(F355)),"",IF(ISNUMBER(U355),F355*U355,"UNIDADE A CONFERIR")))</f>
        <v/>
      </c>
      <c r="I355" s="94" t="str">
        <f>IF(Q355=1,INDEX('CDFs'!$F$6:$F$505,P355)&amp;"","")</f>
        <v/>
      </c>
      <c r="J355" s="91" t="n"/>
      <c r="K355" s="91" t="n"/>
      <c r="L355" s="94" t="str">
        <f>IF(N355=0,"",IF(NOT(ISNUMBER(F355)),"Quantidade não informada",IF(F355&lt;=0,"Quantidade não positiva",IF(G355="","Unidade não informada",IF(NOT(ISNUMBER(H355)),"Unidade a conferir",IF(AC355=1,"REVISAR VÍNCULO: soma vinculada maior que a referência do item","OK"))))))</f>
        <v/>
      </c>
      <c r="M355" s="94" t="str">
        <f>IF(N355=0,"",IF(B355="","CDF não informado",IF(Q355=0,"REVISAR VÍNCULO: CDF inexistente",IF(C355="","Item não informado",IF(T355=0,"REVISAR VÍNCULO: item inexistente",IF(AND(X355=1,J355&lt;&gt;"Sim"),"REVISAR VÍNCULO: destinador diferente do MTR",IF(X355=1,"Destinador diferente do MTR (analisado)","OK")))))))</f>
        <v/>
      </c>
      <c r="N355" s="96">
        <f>IF(COUNTA(B355:C355,F355:G355,J355:K355)&gt;0,1,0)</f>
        <v>0</v>
      </c>
      <c r="O355" s="96" t="str">
        <f>IF(B355="","",TRIM(LEFT(B355,FIND(" |",B355&amp;" |")-1)))</f>
        <v/>
      </c>
      <c r="P355" s="96" t="str">
        <f>IF(O355="","",IFERROR(MATCH(O355,'CDFs'!$A$6:$A$505,0),""))</f>
        <v/>
      </c>
      <c r="Q355" s="96">
        <f>IF(P355="",0,IF(INDEX('CDFs'!$S$6:$S$505,P355)=1,1,0))</f>
        <v>0</v>
      </c>
      <c r="R355" s="96" t="str">
        <f>IF(C355="","",TRIM(LEFT(C355,FIND(" |",C355&amp;" |")-1)))</f>
        <v/>
      </c>
      <c r="S355" s="96" t="str">
        <f>IF(R355="","",IFERROR(MATCH(R355,'ITENS_MTR'!$A$6:$A$1005,0),""))</f>
        <v/>
      </c>
      <c r="T355" s="96">
        <f>IF(S355="",0,IF(INDEX('ITENS_MTR'!$R$6:$R$1005,S355)=1,1,0))</f>
        <v>0</v>
      </c>
      <c r="U355" s="96" t="str">
        <f>IF(G355="","",IFERROR(IF(ISNUMBER(INDEX(cfg_fac,MATCH(G355,cfg_units,0))),IF(INDEX(cfg_fac,MATCH(G355,cfg_units,0))&gt;0,INDEX(cfg_fac,MATCH(G355,cfg_units,0)),""),""),""))</f>
        <v/>
      </c>
      <c r="V355" s="96">
        <f>IF(AND(ISNUMBER(F355),ISNUMBER(H355)),IF(H355&gt;0,1,0),0)</f>
        <v>0</v>
      </c>
      <c r="W355" s="96" t="str">
        <f>IF(T355=1,INDEX('ITENS_MTR'!$AU$6:$AU$1005,S355)&amp;"","")</f>
        <v/>
      </c>
      <c r="X355" s="96">
        <f>IF(AND(Q355=1,T355=1,I355&lt;&gt;"",W355&lt;&gt;""),IF(I355&lt;&gt;W355,1,0),0)</f>
        <v>0</v>
      </c>
      <c r="Y355" s="96">
        <f>IF(N355=0,0,IF(OR(Q355=0,T355=0,V355=0,AND(X355=1,J355&lt;&gt;"Sim")),1,0))</f>
        <v>0</v>
      </c>
      <c r="Z355" s="96">
        <f>IF(Q355=1,INDEX('CDFs'!$W$6:$W$505,P355),0)</f>
        <v>0</v>
      </c>
      <c r="AA355" s="96">
        <f>IF(AND(N355=1,Y355=0,Z355=1,J355="Sim"),1,0)</f>
        <v>0</v>
      </c>
      <c r="AB355" s="96">
        <f>IF(AND(N355=1,O355&lt;&gt;"",D355&lt;&gt;""),IF(COUNTIFS($O$6:O355,O355,$D$6:D355,D355)=1,1,0),0)</f>
        <v>0</v>
      </c>
      <c r="AC355" s="96">
        <f>IF(T355=1,INDEX('ITENS_MTR'!$AL$6:$AL$1005,S355),0)</f>
        <v>0</v>
      </c>
    </row>
    <row r="356">
      <c r="A356" s="89" t="inlineStr">
        <is>
          <t>VIN-000351</t>
        </is>
      </c>
      <c r="B356" s="91" t="n"/>
      <c r="C356" s="91" t="n"/>
      <c r="D356" s="94" t="str">
        <f>IF(T356=1,INDEX('ITENS_MTR'!$S$6:$S$1005,S356)&amp;"","")</f>
        <v/>
      </c>
      <c r="E356" s="94" t="str">
        <f>IF(T356=1,INDEX('ITENS_MTR'!$C$6:$C$1005,S356)&amp;"","")</f>
        <v/>
      </c>
      <c r="F356" s="98" t="n"/>
      <c r="G356" s="91" t="n"/>
      <c r="H356" s="93" t="str">
        <f>IF(N356=0,"",IF(NOT(ISNUMBER(F356)),"",IF(ISNUMBER(U356),F356*U356,"UNIDADE A CONFERIR")))</f>
        <v/>
      </c>
      <c r="I356" s="94" t="str">
        <f>IF(Q356=1,INDEX('CDFs'!$F$6:$F$505,P356)&amp;"","")</f>
        <v/>
      </c>
      <c r="J356" s="91" t="n"/>
      <c r="K356" s="91" t="n"/>
      <c r="L356" s="94" t="str">
        <f>IF(N356=0,"",IF(NOT(ISNUMBER(F356)),"Quantidade não informada",IF(F356&lt;=0,"Quantidade não positiva",IF(G356="","Unidade não informada",IF(NOT(ISNUMBER(H356)),"Unidade a conferir",IF(AC356=1,"REVISAR VÍNCULO: soma vinculada maior que a referência do item","OK"))))))</f>
        <v/>
      </c>
      <c r="M356" s="94" t="str">
        <f>IF(N356=0,"",IF(B356="","CDF não informado",IF(Q356=0,"REVISAR VÍNCULO: CDF inexistente",IF(C356="","Item não informado",IF(T356=0,"REVISAR VÍNCULO: item inexistente",IF(AND(X356=1,J356&lt;&gt;"Sim"),"REVISAR VÍNCULO: destinador diferente do MTR",IF(X356=1,"Destinador diferente do MTR (analisado)","OK")))))))</f>
        <v/>
      </c>
      <c r="N356" s="96">
        <f>IF(COUNTA(B356:C356,F356:G356,J356:K356)&gt;0,1,0)</f>
        <v>0</v>
      </c>
      <c r="O356" s="96" t="str">
        <f>IF(B356="","",TRIM(LEFT(B356,FIND(" |",B356&amp;" |")-1)))</f>
        <v/>
      </c>
      <c r="P356" s="96" t="str">
        <f>IF(O356="","",IFERROR(MATCH(O356,'CDFs'!$A$6:$A$505,0),""))</f>
        <v/>
      </c>
      <c r="Q356" s="96">
        <f>IF(P356="",0,IF(INDEX('CDFs'!$S$6:$S$505,P356)=1,1,0))</f>
        <v>0</v>
      </c>
      <c r="R356" s="96" t="str">
        <f>IF(C356="","",TRIM(LEFT(C356,FIND(" |",C356&amp;" |")-1)))</f>
        <v/>
      </c>
      <c r="S356" s="96" t="str">
        <f>IF(R356="","",IFERROR(MATCH(R356,'ITENS_MTR'!$A$6:$A$1005,0),""))</f>
        <v/>
      </c>
      <c r="T356" s="96">
        <f>IF(S356="",0,IF(INDEX('ITENS_MTR'!$R$6:$R$1005,S356)=1,1,0))</f>
        <v>0</v>
      </c>
      <c r="U356" s="96" t="str">
        <f>IF(G356="","",IFERROR(IF(ISNUMBER(INDEX(cfg_fac,MATCH(G356,cfg_units,0))),IF(INDEX(cfg_fac,MATCH(G356,cfg_units,0))&gt;0,INDEX(cfg_fac,MATCH(G356,cfg_units,0)),""),""),""))</f>
        <v/>
      </c>
      <c r="V356" s="96">
        <f>IF(AND(ISNUMBER(F356),ISNUMBER(H356)),IF(H356&gt;0,1,0),0)</f>
        <v>0</v>
      </c>
      <c r="W356" s="96" t="str">
        <f>IF(T356=1,INDEX('ITENS_MTR'!$AU$6:$AU$1005,S356)&amp;"","")</f>
        <v/>
      </c>
      <c r="X356" s="96">
        <f>IF(AND(Q356=1,T356=1,I356&lt;&gt;"",W356&lt;&gt;""),IF(I356&lt;&gt;W356,1,0),0)</f>
        <v>0</v>
      </c>
      <c r="Y356" s="96">
        <f>IF(N356=0,0,IF(OR(Q356=0,T356=0,V356=0,AND(X356=1,J356&lt;&gt;"Sim")),1,0))</f>
        <v>0</v>
      </c>
      <c r="Z356" s="96">
        <f>IF(Q356=1,INDEX('CDFs'!$W$6:$W$505,P356),0)</f>
        <v>0</v>
      </c>
      <c r="AA356" s="96">
        <f>IF(AND(N356=1,Y356=0,Z356=1,J356="Sim"),1,0)</f>
        <v>0</v>
      </c>
      <c r="AB356" s="96">
        <f>IF(AND(N356=1,O356&lt;&gt;"",D356&lt;&gt;""),IF(COUNTIFS($O$6:O356,O356,$D$6:D356,D356)=1,1,0),0)</f>
        <v>0</v>
      </c>
      <c r="AC356" s="96">
        <f>IF(T356=1,INDEX('ITENS_MTR'!$AL$6:$AL$1005,S356),0)</f>
        <v>0</v>
      </c>
    </row>
    <row r="357">
      <c r="A357" s="89" t="inlineStr">
        <is>
          <t>VIN-000352</t>
        </is>
      </c>
      <c r="B357" s="91" t="n"/>
      <c r="C357" s="91" t="n"/>
      <c r="D357" s="94" t="str">
        <f>IF(T357=1,INDEX('ITENS_MTR'!$S$6:$S$1005,S357)&amp;"","")</f>
        <v/>
      </c>
      <c r="E357" s="94" t="str">
        <f>IF(T357=1,INDEX('ITENS_MTR'!$C$6:$C$1005,S357)&amp;"","")</f>
        <v/>
      </c>
      <c r="F357" s="98" t="n"/>
      <c r="G357" s="91" t="n"/>
      <c r="H357" s="93" t="str">
        <f>IF(N357=0,"",IF(NOT(ISNUMBER(F357)),"",IF(ISNUMBER(U357),F357*U357,"UNIDADE A CONFERIR")))</f>
        <v/>
      </c>
      <c r="I357" s="94" t="str">
        <f>IF(Q357=1,INDEX('CDFs'!$F$6:$F$505,P357)&amp;"","")</f>
        <v/>
      </c>
      <c r="J357" s="91" t="n"/>
      <c r="K357" s="91" t="n"/>
      <c r="L357" s="94" t="str">
        <f>IF(N357=0,"",IF(NOT(ISNUMBER(F357)),"Quantidade não informada",IF(F357&lt;=0,"Quantidade não positiva",IF(G357="","Unidade não informada",IF(NOT(ISNUMBER(H357)),"Unidade a conferir",IF(AC357=1,"REVISAR VÍNCULO: soma vinculada maior que a referência do item","OK"))))))</f>
        <v/>
      </c>
      <c r="M357" s="94" t="str">
        <f>IF(N357=0,"",IF(B357="","CDF não informado",IF(Q357=0,"REVISAR VÍNCULO: CDF inexistente",IF(C357="","Item não informado",IF(T357=0,"REVISAR VÍNCULO: item inexistente",IF(AND(X357=1,J357&lt;&gt;"Sim"),"REVISAR VÍNCULO: destinador diferente do MTR",IF(X357=1,"Destinador diferente do MTR (analisado)","OK")))))))</f>
        <v/>
      </c>
      <c r="N357" s="96">
        <f>IF(COUNTA(B357:C357,F357:G357,J357:K357)&gt;0,1,0)</f>
        <v>0</v>
      </c>
      <c r="O357" s="96" t="str">
        <f>IF(B357="","",TRIM(LEFT(B357,FIND(" |",B357&amp;" |")-1)))</f>
        <v/>
      </c>
      <c r="P357" s="96" t="str">
        <f>IF(O357="","",IFERROR(MATCH(O357,'CDFs'!$A$6:$A$505,0),""))</f>
        <v/>
      </c>
      <c r="Q357" s="96">
        <f>IF(P357="",0,IF(INDEX('CDFs'!$S$6:$S$505,P357)=1,1,0))</f>
        <v>0</v>
      </c>
      <c r="R357" s="96" t="str">
        <f>IF(C357="","",TRIM(LEFT(C357,FIND(" |",C357&amp;" |")-1)))</f>
        <v/>
      </c>
      <c r="S357" s="96" t="str">
        <f>IF(R357="","",IFERROR(MATCH(R357,'ITENS_MTR'!$A$6:$A$1005,0),""))</f>
        <v/>
      </c>
      <c r="T357" s="96">
        <f>IF(S357="",0,IF(INDEX('ITENS_MTR'!$R$6:$R$1005,S357)=1,1,0))</f>
        <v>0</v>
      </c>
      <c r="U357" s="96" t="str">
        <f>IF(G357="","",IFERROR(IF(ISNUMBER(INDEX(cfg_fac,MATCH(G357,cfg_units,0))),IF(INDEX(cfg_fac,MATCH(G357,cfg_units,0))&gt;0,INDEX(cfg_fac,MATCH(G357,cfg_units,0)),""),""),""))</f>
        <v/>
      </c>
      <c r="V357" s="96">
        <f>IF(AND(ISNUMBER(F357),ISNUMBER(H357)),IF(H357&gt;0,1,0),0)</f>
        <v>0</v>
      </c>
      <c r="W357" s="96" t="str">
        <f>IF(T357=1,INDEX('ITENS_MTR'!$AU$6:$AU$1005,S357)&amp;"","")</f>
        <v/>
      </c>
      <c r="X357" s="96">
        <f>IF(AND(Q357=1,T357=1,I357&lt;&gt;"",W357&lt;&gt;""),IF(I357&lt;&gt;W357,1,0),0)</f>
        <v>0</v>
      </c>
      <c r="Y357" s="96">
        <f>IF(N357=0,0,IF(OR(Q357=0,T357=0,V357=0,AND(X357=1,J357&lt;&gt;"Sim")),1,0))</f>
        <v>0</v>
      </c>
      <c r="Z357" s="96">
        <f>IF(Q357=1,INDEX('CDFs'!$W$6:$W$505,P357),0)</f>
        <v>0</v>
      </c>
      <c r="AA357" s="96">
        <f>IF(AND(N357=1,Y357=0,Z357=1,J357="Sim"),1,0)</f>
        <v>0</v>
      </c>
      <c r="AB357" s="96">
        <f>IF(AND(N357=1,O357&lt;&gt;"",D357&lt;&gt;""),IF(COUNTIFS($O$6:O357,O357,$D$6:D357,D357)=1,1,0),0)</f>
        <v>0</v>
      </c>
      <c r="AC357" s="96">
        <f>IF(T357=1,INDEX('ITENS_MTR'!$AL$6:$AL$1005,S357),0)</f>
        <v>0</v>
      </c>
    </row>
    <row r="358">
      <c r="A358" s="89" t="inlineStr">
        <is>
          <t>VIN-000353</t>
        </is>
      </c>
      <c r="B358" s="91" t="n"/>
      <c r="C358" s="91" t="n"/>
      <c r="D358" s="94" t="str">
        <f>IF(T358=1,INDEX('ITENS_MTR'!$S$6:$S$1005,S358)&amp;"","")</f>
        <v/>
      </c>
      <c r="E358" s="94" t="str">
        <f>IF(T358=1,INDEX('ITENS_MTR'!$C$6:$C$1005,S358)&amp;"","")</f>
        <v/>
      </c>
      <c r="F358" s="98" t="n"/>
      <c r="G358" s="91" t="n"/>
      <c r="H358" s="93" t="str">
        <f>IF(N358=0,"",IF(NOT(ISNUMBER(F358)),"",IF(ISNUMBER(U358),F358*U358,"UNIDADE A CONFERIR")))</f>
        <v/>
      </c>
      <c r="I358" s="94" t="str">
        <f>IF(Q358=1,INDEX('CDFs'!$F$6:$F$505,P358)&amp;"","")</f>
        <v/>
      </c>
      <c r="J358" s="91" t="n"/>
      <c r="K358" s="91" t="n"/>
      <c r="L358" s="94" t="str">
        <f>IF(N358=0,"",IF(NOT(ISNUMBER(F358)),"Quantidade não informada",IF(F358&lt;=0,"Quantidade não positiva",IF(G358="","Unidade não informada",IF(NOT(ISNUMBER(H358)),"Unidade a conferir",IF(AC358=1,"REVISAR VÍNCULO: soma vinculada maior que a referência do item","OK"))))))</f>
        <v/>
      </c>
      <c r="M358" s="94" t="str">
        <f>IF(N358=0,"",IF(B358="","CDF não informado",IF(Q358=0,"REVISAR VÍNCULO: CDF inexistente",IF(C358="","Item não informado",IF(T358=0,"REVISAR VÍNCULO: item inexistente",IF(AND(X358=1,J358&lt;&gt;"Sim"),"REVISAR VÍNCULO: destinador diferente do MTR",IF(X358=1,"Destinador diferente do MTR (analisado)","OK")))))))</f>
        <v/>
      </c>
      <c r="N358" s="96">
        <f>IF(COUNTA(B358:C358,F358:G358,J358:K358)&gt;0,1,0)</f>
        <v>0</v>
      </c>
      <c r="O358" s="96" t="str">
        <f>IF(B358="","",TRIM(LEFT(B358,FIND(" |",B358&amp;" |")-1)))</f>
        <v/>
      </c>
      <c r="P358" s="96" t="str">
        <f>IF(O358="","",IFERROR(MATCH(O358,'CDFs'!$A$6:$A$505,0),""))</f>
        <v/>
      </c>
      <c r="Q358" s="96">
        <f>IF(P358="",0,IF(INDEX('CDFs'!$S$6:$S$505,P358)=1,1,0))</f>
        <v>0</v>
      </c>
      <c r="R358" s="96" t="str">
        <f>IF(C358="","",TRIM(LEFT(C358,FIND(" |",C358&amp;" |")-1)))</f>
        <v/>
      </c>
      <c r="S358" s="96" t="str">
        <f>IF(R358="","",IFERROR(MATCH(R358,'ITENS_MTR'!$A$6:$A$1005,0),""))</f>
        <v/>
      </c>
      <c r="T358" s="96">
        <f>IF(S358="",0,IF(INDEX('ITENS_MTR'!$R$6:$R$1005,S358)=1,1,0))</f>
        <v>0</v>
      </c>
      <c r="U358" s="96" t="str">
        <f>IF(G358="","",IFERROR(IF(ISNUMBER(INDEX(cfg_fac,MATCH(G358,cfg_units,0))),IF(INDEX(cfg_fac,MATCH(G358,cfg_units,0))&gt;0,INDEX(cfg_fac,MATCH(G358,cfg_units,0)),""),""),""))</f>
        <v/>
      </c>
      <c r="V358" s="96">
        <f>IF(AND(ISNUMBER(F358),ISNUMBER(H358)),IF(H358&gt;0,1,0),0)</f>
        <v>0</v>
      </c>
      <c r="W358" s="96" t="str">
        <f>IF(T358=1,INDEX('ITENS_MTR'!$AU$6:$AU$1005,S358)&amp;"","")</f>
        <v/>
      </c>
      <c r="X358" s="96">
        <f>IF(AND(Q358=1,T358=1,I358&lt;&gt;"",W358&lt;&gt;""),IF(I358&lt;&gt;W358,1,0),0)</f>
        <v>0</v>
      </c>
      <c r="Y358" s="96">
        <f>IF(N358=0,0,IF(OR(Q358=0,T358=0,V358=0,AND(X358=1,J358&lt;&gt;"Sim")),1,0))</f>
        <v>0</v>
      </c>
      <c r="Z358" s="96">
        <f>IF(Q358=1,INDEX('CDFs'!$W$6:$W$505,P358),0)</f>
        <v>0</v>
      </c>
      <c r="AA358" s="96">
        <f>IF(AND(N358=1,Y358=0,Z358=1,J358="Sim"),1,0)</f>
        <v>0</v>
      </c>
      <c r="AB358" s="96">
        <f>IF(AND(N358=1,O358&lt;&gt;"",D358&lt;&gt;""),IF(COUNTIFS($O$6:O358,O358,$D$6:D358,D358)=1,1,0),0)</f>
        <v>0</v>
      </c>
      <c r="AC358" s="96">
        <f>IF(T358=1,INDEX('ITENS_MTR'!$AL$6:$AL$1005,S358),0)</f>
        <v>0</v>
      </c>
    </row>
    <row r="359">
      <c r="A359" s="89" t="inlineStr">
        <is>
          <t>VIN-000354</t>
        </is>
      </c>
      <c r="B359" s="91" t="n"/>
      <c r="C359" s="91" t="n"/>
      <c r="D359" s="94" t="str">
        <f>IF(T359=1,INDEX('ITENS_MTR'!$S$6:$S$1005,S359)&amp;"","")</f>
        <v/>
      </c>
      <c r="E359" s="94" t="str">
        <f>IF(T359=1,INDEX('ITENS_MTR'!$C$6:$C$1005,S359)&amp;"","")</f>
        <v/>
      </c>
      <c r="F359" s="98" t="n"/>
      <c r="G359" s="91" t="n"/>
      <c r="H359" s="93" t="str">
        <f>IF(N359=0,"",IF(NOT(ISNUMBER(F359)),"",IF(ISNUMBER(U359),F359*U359,"UNIDADE A CONFERIR")))</f>
        <v/>
      </c>
      <c r="I359" s="94" t="str">
        <f>IF(Q359=1,INDEX('CDFs'!$F$6:$F$505,P359)&amp;"","")</f>
        <v/>
      </c>
      <c r="J359" s="91" t="n"/>
      <c r="K359" s="91" t="n"/>
      <c r="L359" s="94" t="str">
        <f>IF(N359=0,"",IF(NOT(ISNUMBER(F359)),"Quantidade não informada",IF(F359&lt;=0,"Quantidade não positiva",IF(G359="","Unidade não informada",IF(NOT(ISNUMBER(H359)),"Unidade a conferir",IF(AC359=1,"REVISAR VÍNCULO: soma vinculada maior que a referência do item","OK"))))))</f>
        <v/>
      </c>
      <c r="M359" s="94" t="str">
        <f>IF(N359=0,"",IF(B359="","CDF não informado",IF(Q359=0,"REVISAR VÍNCULO: CDF inexistente",IF(C359="","Item não informado",IF(T359=0,"REVISAR VÍNCULO: item inexistente",IF(AND(X359=1,J359&lt;&gt;"Sim"),"REVISAR VÍNCULO: destinador diferente do MTR",IF(X359=1,"Destinador diferente do MTR (analisado)","OK")))))))</f>
        <v/>
      </c>
      <c r="N359" s="96">
        <f>IF(COUNTA(B359:C359,F359:G359,J359:K359)&gt;0,1,0)</f>
        <v>0</v>
      </c>
      <c r="O359" s="96" t="str">
        <f>IF(B359="","",TRIM(LEFT(B359,FIND(" |",B359&amp;" |")-1)))</f>
        <v/>
      </c>
      <c r="P359" s="96" t="str">
        <f>IF(O359="","",IFERROR(MATCH(O359,'CDFs'!$A$6:$A$505,0),""))</f>
        <v/>
      </c>
      <c r="Q359" s="96">
        <f>IF(P359="",0,IF(INDEX('CDFs'!$S$6:$S$505,P359)=1,1,0))</f>
        <v>0</v>
      </c>
      <c r="R359" s="96" t="str">
        <f>IF(C359="","",TRIM(LEFT(C359,FIND(" |",C359&amp;" |")-1)))</f>
        <v/>
      </c>
      <c r="S359" s="96" t="str">
        <f>IF(R359="","",IFERROR(MATCH(R359,'ITENS_MTR'!$A$6:$A$1005,0),""))</f>
        <v/>
      </c>
      <c r="T359" s="96">
        <f>IF(S359="",0,IF(INDEX('ITENS_MTR'!$R$6:$R$1005,S359)=1,1,0))</f>
        <v>0</v>
      </c>
      <c r="U359" s="96" t="str">
        <f>IF(G359="","",IFERROR(IF(ISNUMBER(INDEX(cfg_fac,MATCH(G359,cfg_units,0))),IF(INDEX(cfg_fac,MATCH(G359,cfg_units,0))&gt;0,INDEX(cfg_fac,MATCH(G359,cfg_units,0)),""),""),""))</f>
        <v/>
      </c>
      <c r="V359" s="96">
        <f>IF(AND(ISNUMBER(F359),ISNUMBER(H359)),IF(H359&gt;0,1,0),0)</f>
        <v>0</v>
      </c>
      <c r="W359" s="96" t="str">
        <f>IF(T359=1,INDEX('ITENS_MTR'!$AU$6:$AU$1005,S359)&amp;"","")</f>
        <v/>
      </c>
      <c r="X359" s="96">
        <f>IF(AND(Q359=1,T359=1,I359&lt;&gt;"",W359&lt;&gt;""),IF(I359&lt;&gt;W359,1,0),0)</f>
        <v>0</v>
      </c>
      <c r="Y359" s="96">
        <f>IF(N359=0,0,IF(OR(Q359=0,T359=0,V359=0,AND(X359=1,J359&lt;&gt;"Sim")),1,0))</f>
        <v>0</v>
      </c>
      <c r="Z359" s="96">
        <f>IF(Q359=1,INDEX('CDFs'!$W$6:$W$505,P359),0)</f>
        <v>0</v>
      </c>
      <c r="AA359" s="96">
        <f>IF(AND(N359=1,Y359=0,Z359=1,J359="Sim"),1,0)</f>
        <v>0</v>
      </c>
      <c r="AB359" s="96">
        <f>IF(AND(N359=1,O359&lt;&gt;"",D359&lt;&gt;""),IF(COUNTIFS($O$6:O359,O359,$D$6:D359,D359)=1,1,0),0)</f>
        <v>0</v>
      </c>
      <c r="AC359" s="96">
        <f>IF(T359=1,INDEX('ITENS_MTR'!$AL$6:$AL$1005,S359),0)</f>
        <v>0</v>
      </c>
    </row>
    <row r="360">
      <c r="A360" s="89" t="inlineStr">
        <is>
          <t>VIN-000355</t>
        </is>
      </c>
      <c r="B360" s="91" t="n"/>
      <c r="C360" s="91" t="n"/>
      <c r="D360" s="94" t="str">
        <f>IF(T360=1,INDEX('ITENS_MTR'!$S$6:$S$1005,S360)&amp;"","")</f>
        <v/>
      </c>
      <c r="E360" s="94" t="str">
        <f>IF(T360=1,INDEX('ITENS_MTR'!$C$6:$C$1005,S360)&amp;"","")</f>
        <v/>
      </c>
      <c r="F360" s="98" t="n"/>
      <c r="G360" s="91" t="n"/>
      <c r="H360" s="93" t="str">
        <f>IF(N360=0,"",IF(NOT(ISNUMBER(F360)),"",IF(ISNUMBER(U360),F360*U360,"UNIDADE A CONFERIR")))</f>
        <v/>
      </c>
      <c r="I360" s="94" t="str">
        <f>IF(Q360=1,INDEX('CDFs'!$F$6:$F$505,P360)&amp;"","")</f>
        <v/>
      </c>
      <c r="J360" s="91" t="n"/>
      <c r="K360" s="91" t="n"/>
      <c r="L360" s="94" t="str">
        <f>IF(N360=0,"",IF(NOT(ISNUMBER(F360)),"Quantidade não informada",IF(F360&lt;=0,"Quantidade não positiva",IF(G360="","Unidade não informada",IF(NOT(ISNUMBER(H360)),"Unidade a conferir",IF(AC360=1,"REVISAR VÍNCULO: soma vinculada maior que a referência do item","OK"))))))</f>
        <v/>
      </c>
      <c r="M360" s="94" t="str">
        <f>IF(N360=0,"",IF(B360="","CDF não informado",IF(Q360=0,"REVISAR VÍNCULO: CDF inexistente",IF(C360="","Item não informado",IF(T360=0,"REVISAR VÍNCULO: item inexistente",IF(AND(X360=1,J360&lt;&gt;"Sim"),"REVISAR VÍNCULO: destinador diferente do MTR",IF(X360=1,"Destinador diferente do MTR (analisado)","OK")))))))</f>
        <v/>
      </c>
      <c r="N360" s="96">
        <f>IF(COUNTA(B360:C360,F360:G360,J360:K360)&gt;0,1,0)</f>
        <v>0</v>
      </c>
      <c r="O360" s="96" t="str">
        <f>IF(B360="","",TRIM(LEFT(B360,FIND(" |",B360&amp;" |")-1)))</f>
        <v/>
      </c>
      <c r="P360" s="96" t="str">
        <f>IF(O360="","",IFERROR(MATCH(O360,'CDFs'!$A$6:$A$505,0),""))</f>
        <v/>
      </c>
      <c r="Q360" s="96">
        <f>IF(P360="",0,IF(INDEX('CDFs'!$S$6:$S$505,P360)=1,1,0))</f>
        <v>0</v>
      </c>
      <c r="R360" s="96" t="str">
        <f>IF(C360="","",TRIM(LEFT(C360,FIND(" |",C360&amp;" |")-1)))</f>
        <v/>
      </c>
      <c r="S360" s="96" t="str">
        <f>IF(R360="","",IFERROR(MATCH(R360,'ITENS_MTR'!$A$6:$A$1005,0),""))</f>
        <v/>
      </c>
      <c r="T360" s="96">
        <f>IF(S360="",0,IF(INDEX('ITENS_MTR'!$R$6:$R$1005,S360)=1,1,0))</f>
        <v>0</v>
      </c>
      <c r="U360" s="96" t="str">
        <f>IF(G360="","",IFERROR(IF(ISNUMBER(INDEX(cfg_fac,MATCH(G360,cfg_units,0))),IF(INDEX(cfg_fac,MATCH(G360,cfg_units,0))&gt;0,INDEX(cfg_fac,MATCH(G360,cfg_units,0)),""),""),""))</f>
        <v/>
      </c>
      <c r="V360" s="96">
        <f>IF(AND(ISNUMBER(F360),ISNUMBER(H360)),IF(H360&gt;0,1,0),0)</f>
        <v>0</v>
      </c>
      <c r="W360" s="96" t="str">
        <f>IF(T360=1,INDEX('ITENS_MTR'!$AU$6:$AU$1005,S360)&amp;"","")</f>
        <v/>
      </c>
      <c r="X360" s="96">
        <f>IF(AND(Q360=1,T360=1,I360&lt;&gt;"",W360&lt;&gt;""),IF(I360&lt;&gt;W360,1,0),0)</f>
        <v>0</v>
      </c>
      <c r="Y360" s="96">
        <f>IF(N360=0,0,IF(OR(Q360=0,T360=0,V360=0,AND(X360=1,J360&lt;&gt;"Sim")),1,0))</f>
        <v>0</v>
      </c>
      <c r="Z360" s="96">
        <f>IF(Q360=1,INDEX('CDFs'!$W$6:$W$505,P360),0)</f>
        <v>0</v>
      </c>
      <c r="AA360" s="96">
        <f>IF(AND(N360=1,Y360=0,Z360=1,J360="Sim"),1,0)</f>
        <v>0</v>
      </c>
      <c r="AB360" s="96">
        <f>IF(AND(N360=1,O360&lt;&gt;"",D360&lt;&gt;""),IF(COUNTIFS($O$6:O360,O360,$D$6:D360,D360)=1,1,0),0)</f>
        <v>0</v>
      </c>
      <c r="AC360" s="96">
        <f>IF(T360=1,INDEX('ITENS_MTR'!$AL$6:$AL$1005,S360),0)</f>
        <v>0</v>
      </c>
    </row>
    <row r="361">
      <c r="A361" s="89" t="inlineStr">
        <is>
          <t>VIN-000356</t>
        </is>
      </c>
      <c r="B361" s="91" t="n"/>
      <c r="C361" s="91" t="n"/>
      <c r="D361" s="94" t="str">
        <f>IF(T361=1,INDEX('ITENS_MTR'!$S$6:$S$1005,S361)&amp;"","")</f>
        <v/>
      </c>
      <c r="E361" s="94" t="str">
        <f>IF(T361=1,INDEX('ITENS_MTR'!$C$6:$C$1005,S361)&amp;"","")</f>
        <v/>
      </c>
      <c r="F361" s="98" t="n"/>
      <c r="G361" s="91" t="n"/>
      <c r="H361" s="93" t="str">
        <f>IF(N361=0,"",IF(NOT(ISNUMBER(F361)),"",IF(ISNUMBER(U361),F361*U361,"UNIDADE A CONFERIR")))</f>
        <v/>
      </c>
      <c r="I361" s="94" t="str">
        <f>IF(Q361=1,INDEX('CDFs'!$F$6:$F$505,P361)&amp;"","")</f>
        <v/>
      </c>
      <c r="J361" s="91" t="n"/>
      <c r="K361" s="91" t="n"/>
      <c r="L361" s="94" t="str">
        <f>IF(N361=0,"",IF(NOT(ISNUMBER(F361)),"Quantidade não informada",IF(F361&lt;=0,"Quantidade não positiva",IF(G361="","Unidade não informada",IF(NOT(ISNUMBER(H361)),"Unidade a conferir",IF(AC361=1,"REVISAR VÍNCULO: soma vinculada maior que a referência do item","OK"))))))</f>
        <v/>
      </c>
      <c r="M361" s="94" t="str">
        <f>IF(N361=0,"",IF(B361="","CDF não informado",IF(Q361=0,"REVISAR VÍNCULO: CDF inexistente",IF(C361="","Item não informado",IF(T361=0,"REVISAR VÍNCULO: item inexistente",IF(AND(X361=1,J361&lt;&gt;"Sim"),"REVISAR VÍNCULO: destinador diferente do MTR",IF(X361=1,"Destinador diferente do MTR (analisado)","OK")))))))</f>
        <v/>
      </c>
      <c r="N361" s="96">
        <f>IF(COUNTA(B361:C361,F361:G361,J361:K361)&gt;0,1,0)</f>
        <v>0</v>
      </c>
      <c r="O361" s="96" t="str">
        <f>IF(B361="","",TRIM(LEFT(B361,FIND(" |",B361&amp;" |")-1)))</f>
        <v/>
      </c>
      <c r="P361" s="96" t="str">
        <f>IF(O361="","",IFERROR(MATCH(O361,'CDFs'!$A$6:$A$505,0),""))</f>
        <v/>
      </c>
      <c r="Q361" s="96">
        <f>IF(P361="",0,IF(INDEX('CDFs'!$S$6:$S$505,P361)=1,1,0))</f>
        <v>0</v>
      </c>
      <c r="R361" s="96" t="str">
        <f>IF(C361="","",TRIM(LEFT(C361,FIND(" |",C361&amp;" |")-1)))</f>
        <v/>
      </c>
      <c r="S361" s="96" t="str">
        <f>IF(R361="","",IFERROR(MATCH(R361,'ITENS_MTR'!$A$6:$A$1005,0),""))</f>
        <v/>
      </c>
      <c r="T361" s="96">
        <f>IF(S361="",0,IF(INDEX('ITENS_MTR'!$R$6:$R$1005,S361)=1,1,0))</f>
        <v>0</v>
      </c>
      <c r="U361" s="96" t="str">
        <f>IF(G361="","",IFERROR(IF(ISNUMBER(INDEX(cfg_fac,MATCH(G361,cfg_units,0))),IF(INDEX(cfg_fac,MATCH(G361,cfg_units,0))&gt;0,INDEX(cfg_fac,MATCH(G361,cfg_units,0)),""),""),""))</f>
        <v/>
      </c>
      <c r="V361" s="96">
        <f>IF(AND(ISNUMBER(F361),ISNUMBER(H361)),IF(H361&gt;0,1,0),0)</f>
        <v>0</v>
      </c>
      <c r="W361" s="96" t="str">
        <f>IF(T361=1,INDEX('ITENS_MTR'!$AU$6:$AU$1005,S361)&amp;"","")</f>
        <v/>
      </c>
      <c r="X361" s="96">
        <f>IF(AND(Q361=1,T361=1,I361&lt;&gt;"",W361&lt;&gt;""),IF(I361&lt;&gt;W361,1,0),0)</f>
        <v>0</v>
      </c>
      <c r="Y361" s="96">
        <f>IF(N361=0,0,IF(OR(Q361=0,T361=0,V361=0,AND(X361=1,J361&lt;&gt;"Sim")),1,0))</f>
        <v>0</v>
      </c>
      <c r="Z361" s="96">
        <f>IF(Q361=1,INDEX('CDFs'!$W$6:$W$505,P361),0)</f>
        <v>0</v>
      </c>
      <c r="AA361" s="96">
        <f>IF(AND(N361=1,Y361=0,Z361=1,J361="Sim"),1,0)</f>
        <v>0</v>
      </c>
      <c r="AB361" s="96">
        <f>IF(AND(N361=1,O361&lt;&gt;"",D361&lt;&gt;""),IF(COUNTIFS($O$6:O361,O361,$D$6:D361,D361)=1,1,0),0)</f>
        <v>0</v>
      </c>
      <c r="AC361" s="96">
        <f>IF(T361=1,INDEX('ITENS_MTR'!$AL$6:$AL$1005,S361),0)</f>
        <v>0</v>
      </c>
    </row>
    <row r="362">
      <c r="A362" s="89" t="inlineStr">
        <is>
          <t>VIN-000357</t>
        </is>
      </c>
      <c r="B362" s="91" t="n"/>
      <c r="C362" s="91" t="n"/>
      <c r="D362" s="94" t="str">
        <f>IF(T362=1,INDEX('ITENS_MTR'!$S$6:$S$1005,S362)&amp;"","")</f>
        <v/>
      </c>
      <c r="E362" s="94" t="str">
        <f>IF(T362=1,INDEX('ITENS_MTR'!$C$6:$C$1005,S362)&amp;"","")</f>
        <v/>
      </c>
      <c r="F362" s="98" t="n"/>
      <c r="G362" s="91" t="n"/>
      <c r="H362" s="93" t="str">
        <f>IF(N362=0,"",IF(NOT(ISNUMBER(F362)),"",IF(ISNUMBER(U362),F362*U362,"UNIDADE A CONFERIR")))</f>
        <v/>
      </c>
      <c r="I362" s="94" t="str">
        <f>IF(Q362=1,INDEX('CDFs'!$F$6:$F$505,P362)&amp;"","")</f>
        <v/>
      </c>
      <c r="J362" s="91" t="n"/>
      <c r="K362" s="91" t="n"/>
      <c r="L362" s="94" t="str">
        <f>IF(N362=0,"",IF(NOT(ISNUMBER(F362)),"Quantidade não informada",IF(F362&lt;=0,"Quantidade não positiva",IF(G362="","Unidade não informada",IF(NOT(ISNUMBER(H362)),"Unidade a conferir",IF(AC362=1,"REVISAR VÍNCULO: soma vinculada maior que a referência do item","OK"))))))</f>
        <v/>
      </c>
      <c r="M362" s="94" t="str">
        <f>IF(N362=0,"",IF(B362="","CDF não informado",IF(Q362=0,"REVISAR VÍNCULO: CDF inexistente",IF(C362="","Item não informado",IF(T362=0,"REVISAR VÍNCULO: item inexistente",IF(AND(X362=1,J362&lt;&gt;"Sim"),"REVISAR VÍNCULO: destinador diferente do MTR",IF(X362=1,"Destinador diferente do MTR (analisado)","OK")))))))</f>
        <v/>
      </c>
      <c r="N362" s="96">
        <f>IF(COUNTA(B362:C362,F362:G362,J362:K362)&gt;0,1,0)</f>
        <v>0</v>
      </c>
      <c r="O362" s="96" t="str">
        <f>IF(B362="","",TRIM(LEFT(B362,FIND(" |",B362&amp;" |")-1)))</f>
        <v/>
      </c>
      <c r="P362" s="96" t="str">
        <f>IF(O362="","",IFERROR(MATCH(O362,'CDFs'!$A$6:$A$505,0),""))</f>
        <v/>
      </c>
      <c r="Q362" s="96">
        <f>IF(P362="",0,IF(INDEX('CDFs'!$S$6:$S$505,P362)=1,1,0))</f>
        <v>0</v>
      </c>
      <c r="R362" s="96" t="str">
        <f>IF(C362="","",TRIM(LEFT(C362,FIND(" |",C362&amp;" |")-1)))</f>
        <v/>
      </c>
      <c r="S362" s="96" t="str">
        <f>IF(R362="","",IFERROR(MATCH(R362,'ITENS_MTR'!$A$6:$A$1005,0),""))</f>
        <v/>
      </c>
      <c r="T362" s="96">
        <f>IF(S362="",0,IF(INDEX('ITENS_MTR'!$R$6:$R$1005,S362)=1,1,0))</f>
        <v>0</v>
      </c>
      <c r="U362" s="96" t="str">
        <f>IF(G362="","",IFERROR(IF(ISNUMBER(INDEX(cfg_fac,MATCH(G362,cfg_units,0))),IF(INDEX(cfg_fac,MATCH(G362,cfg_units,0))&gt;0,INDEX(cfg_fac,MATCH(G362,cfg_units,0)),""),""),""))</f>
        <v/>
      </c>
      <c r="V362" s="96">
        <f>IF(AND(ISNUMBER(F362),ISNUMBER(H362)),IF(H362&gt;0,1,0),0)</f>
        <v>0</v>
      </c>
      <c r="W362" s="96" t="str">
        <f>IF(T362=1,INDEX('ITENS_MTR'!$AU$6:$AU$1005,S362)&amp;"","")</f>
        <v/>
      </c>
      <c r="X362" s="96">
        <f>IF(AND(Q362=1,T362=1,I362&lt;&gt;"",W362&lt;&gt;""),IF(I362&lt;&gt;W362,1,0),0)</f>
        <v>0</v>
      </c>
      <c r="Y362" s="96">
        <f>IF(N362=0,0,IF(OR(Q362=0,T362=0,V362=0,AND(X362=1,J362&lt;&gt;"Sim")),1,0))</f>
        <v>0</v>
      </c>
      <c r="Z362" s="96">
        <f>IF(Q362=1,INDEX('CDFs'!$W$6:$W$505,P362),0)</f>
        <v>0</v>
      </c>
      <c r="AA362" s="96">
        <f>IF(AND(N362=1,Y362=0,Z362=1,J362="Sim"),1,0)</f>
        <v>0</v>
      </c>
      <c r="AB362" s="96">
        <f>IF(AND(N362=1,O362&lt;&gt;"",D362&lt;&gt;""),IF(COUNTIFS($O$6:O362,O362,$D$6:D362,D362)=1,1,0),0)</f>
        <v>0</v>
      </c>
      <c r="AC362" s="96">
        <f>IF(T362=1,INDEX('ITENS_MTR'!$AL$6:$AL$1005,S362),0)</f>
        <v>0</v>
      </c>
    </row>
    <row r="363">
      <c r="A363" s="89" t="inlineStr">
        <is>
          <t>VIN-000358</t>
        </is>
      </c>
      <c r="B363" s="91" t="n"/>
      <c r="C363" s="91" t="n"/>
      <c r="D363" s="94" t="str">
        <f>IF(T363=1,INDEX('ITENS_MTR'!$S$6:$S$1005,S363)&amp;"","")</f>
        <v/>
      </c>
      <c r="E363" s="94" t="str">
        <f>IF(T363=1,INDEX('ITENS_MTR'!$C$6:$C$1005,S363)&amp;"","")</f>
        <v/>
      </c>
      <c r="F363" s="98" t="n"/>
      <c r="G363" s="91" t="n"/>
      <c r="H363" s="93" t="str">
        <f>IF(N363=0,"",IF(NOT(ISNUMBER(F363)),"",IF(ISNUMBER(U363),F363*U363,"UNIDADE A CONFERIR")))</f>
        <v/>
      </c>
      <c r="I363" s="94" t="str">
        <f>IF(Q363=1,INDEX('CDFs'!$F$6:$F$505,P363)&amp;"","")</f>
        <v/>
      </c>
      <c r="J363" s="91" t="n"/>
      <c r="K363" s="91" t="n"/>
      <c r="L363" s="94" t="str">
        <f>IF(N363=0,"",IF(NOT(ISNUMBER(F363)),"Quantidade não informada",IF(F363&lt;=0,"Quantidade não positiva",IF(G363="","Unidade não informada",IF(NOT(ISNUMBER(H363)),"Unidade a conferir",IF(AC363=1,"REVISAR VÍNCULO: soma vinculada maior que a referência do item","OK"))))))</f>
        <v/>
      </c>
      <c r="M363" s="94" t="str">
        <f>IF(N363=0,"",IF(B363="","CDF não informado",IF(Q363=0,"REVISAR VÍNCULO: CDF inexistente",IF(C363="","Item não informado",IF(T363=0,"REVISAR VÍNCULO: item inexistente",IF(AND(X363=1,J363&lt;&gt;"Sim"),"REVISAR VÍNCULO: destinador diferente do MTR",IF(X363=1,"Destinador diferente do MTR (analisado)","OK")))))))</f>
        <v/>
      </c>
      <c r="N363" s="96">
        <f>IF(COUNTA(B363:C363,F363:G363,J363:K363)&gt;0,1,0)</f>
        <v>0</v>
      </c>
      <c r="O363" s="96" t="str">
        <f>IF(B363="","",TRIM(LEFT(B363,FIND(" |",B363&amp;" |")-1)))</f>
        <v/>
      </c>
      <c r="P363" s="96" t="str">
        <f>IF(O363="","",IFERROR(MATCH(O363,'CDFs'!$A$6:$A$505,0),""))</f>
        <v/>
      </c>
      <c r="Q363" s="96">
        <f>IF(P363="",0,IF(INDEX('CDFs'!$S$6:$S$505,P363)=1,1,0))</f>
        <v>0</v>
      </c>
      <c r="R363" s="96" t="str">
        <f>IF(C363="","",TRIM(LEFT(C363,FIND(" |",C363&amp;" |")-1)))</f>
        <v/>
      </c>
      <c r="S363" s="96" t="str">
        <f>IF(R363="","",IFERROR(MATCH(R363,'ITENS_MTR'!$A$6:$A$1005,0),""))</f>
        <v/>
      </c>
      <c r="T363" s="96">
        <f>IF(S363="",0,IF(INDEX('ITENS_MTR'!$R$6:$R$1005,S363)=1,1,0))</f>
        <v>0</v>
      </c>
      <c r="U363" s="96" t="str">
        <f>IF(G363="","",IFERROR(IF(ISNUMBER(INDEX(cfg_fac,MATCH(G363,cfg_units,0))),IF(INDEX(cfg_fac,MATCH(G363,cfg_units,0))&gt;0,INDEX(cfg_fac,MATCH(G363,cfg_units,0)),""),""),""))</f>
        <v/>
      </c>
      <c r="V363" s="96">
        <f>IF(AND(ISNUMBER(F363),ISNUMBER(H363)),IF(H363&gt;0,1,0),0)</f>
        <v>0</v>
      </c>
      <c r="W363" s="96" t="str">
        <f>IF(T363=1,INDEX('ITENS_MTR'!$AU$6:$AU$1005,S363)&amp;"","")</f>
        <v/>
      </c>
      <c r="X363" s="96">
        <f>IF(AND(Q363=1,T363=1,I363&lt;&gt;"",W363&lt;&gt;""),IF(I363&lt;&gt;W363,1,0),0)</f>
        <v>0</v>
      </c>
      <c r="Y363" s="96">
        <f>IF(N363=0,0,IF(OR(Q363=0,T363=0,V363=0,AND(X363=1,J363&lt;&gt;"Sim")),1,0))</f>
        <v>0</v>
      </c>
      <c r="Z363" s="96">
        <f>IF(Q363=1,INDEX('CDFs'!$W$6:$W$505,P363),0)</f>
        <v>0</v>
      </c>
      <c r="AA363" s="96">
        <f>IF(AND(N363=1,Y363=0,Z363=1,J363="Sim"),1,0)</f>
        <v>0</v>
      </c>
      <c r="AB363" s="96">
        <f>IF(AND(N363=1,O363&lt;&gt;"",D363&lt;&gt;""),IF(COUNTIFS($O$6:O363,O363,$D$6:D363,D363)=1,1,0),0)</f>
        <v>0</v>
      </c>
      <c r="AC363" s="96">
        <f>IF(T363=1,INDEX('ITENS_MTR'!$AL$6:$AL$1005,S363),0)</f>
        <v>0</v>
      </c>
    </row>
    <row r="364">
      <c r="A364" s="89" t="inlineStr">
        <is>
          <t>VIN-000359</t>
        </is>
      </c>
      <c r="B364" s="91" t="n"/>
      <c r="C364" s="91" t="n"/>
      <c r="D364" s="94" t="str">
        <f>IF(T364=1,INDEX('ITENS_MTR'!$S$6:$S$1005,S364)&amp;"","")</f>
        <v/>
      </c>
      <c r="E364" s="94" t="str">
        <f>IF(T364=1,INDEX('ITENS_MTR'!$C$6:$C$1005,S364)&amp;"","")</f>
        <v/>
      </c>
      <c r="F364" s="98" t="n"/>
      <c r="G364" s="91" t="n"/>
      <c r="H364" s="93" t="str">
        <f>IF(N364=0,"",IF(NOT(ISNUMBER(F364)),"",IF(ISNUMBER(U364),F364*U364,"UNIDADE A CONFERIR")))</f>
        <v/>
      </c>
      <c r="I364" s="94" t="str">
        <f>IF(Q364=1,INDEX('CDFs'!$F$6:$F$505,P364)&amp;"","")</f>
        <v/>
      </c>
      <c r="J364" s="91" t="n"/>
      <c r="K364" s="91" t="n"/>
      <c r="L364" s="94" t="str">
        <f>IF(N364=0,"",IF(NOT(ISNUMBER(F364)),"Quantidade não informada",IF(F364&lt;=0,"Quantidade não positiva",IF(G364="","Unidade não informada",IF(NOT(ISNUMBER(H364)),"Unidade a conferir",IF(AC364=1,"REVISAR VÍNCULO: soma vinculada maior que a referência do item","OK"))))))</f>
        <v/>
      </c>
      <c r="M364" s="94" t="str">
        <f>IF(N364=0,"",IF(B364="","CDF não informado",IF(Q364=0,"REVISAR VÍNCULO: CDF inexistente",IF(C364="","Item não informado",IF(T364=0,"REVISAR VÍNCULO: item inexistente",IF(AND(X364=1,J364&lt;&gt;"Sim"),"REVISAR VÍNCULO: destinador diferente do MTR",IF(X364=1,"Destinador diferente do MTR (analisado)","OK")))))))</f>
        <v/>
      </c>
      <c r="N364" s="96">
        <f>IF(COUNTA(B364:C364,F364:G364,J364:K364)&gt;0,1,0)</f>
        <v>0</v>
      </c>
      <c r="O364" s="96" t="str">
        <f>IF(B364="","",TRIM(LEFT(B364,FIND(" |",B364&amp;" |")-1)))</f>
        <v/>
      </c>
      <c r="P364" s="96" t="str">
        <f>IF(O364="","",IFERROR(MATCH(O364,'CDFs'!$A$6:$A$505,0),""))</f>
        <v/>
      </c>
      <c r="Q364" s="96">
        <f>IF(P364="",0,IF(INDEX('CDFs'!$S$6:$S$505,P364)=1,1,0))</f>
        <v>0</v>
      </c>
      <c r="R364" s="96" t="str">
        <f>IF(C364="","",TRIM(LEFT(C364,FIND(" |",C364&amp;" |")-1)))</f>
        <v/>
      </c>
      <c r="S364" s="96" t="str">
        <f>IF(R364="","",IFERROR(MATCH(R364,'ITENS_MTR'!$A$6:$A$1005,0),""))</f>
        <v/>
      </c>
      <c r="T364" s="96">
        <f>IF(S364="",0,IF(INDEX('ITENS_MTR'!$R$6:$R$1005,S364)=1,1,0))</f>
        <v>0</v>
      </c>
      <c r="U364" s="96" t="str">
        <f>IF(G364="","",IFERROR(IF(ISNUMBER(INDEX(cfg_fac,MATCH(G364,cfg_units,0))),IF(INDEX(cfg_fac,MATCH(G364,cfg_units,0))&gt;0,INDEX(cfg_fac,MATCH(G364,cfg_units,0)),""),""),""))</f>
        <v/>
      </c>
      <c r="V364" s="96">
        <f>IF(AND(ISNUMBER(F364),ISNUMBER(H364)),IF(H364&gt;0,1,0),0)</f>
        <v>0</v>
      </c>
      <c r="W364" s="96" t="str">
        <f>IF(T364=1,INDEX('ITENS_MTR'!$AU$6:$AU$1005,S364)&amp;"","")</f>
        <v/>
      </c>
      <c r="X364" s="96">
        <f>IF(AND(Q364=1,T364=1,I364&lt;&gt;"",W364&lt;&gt;""),IF(I364&lt;&gt;W364,1,0),0)</f>
        <v>0</v>
      </c>
      <c r="Y364" s="96">
        <f>IF(N364=0,0,IF(OR(Q364=0,T364=0,V364=0,AND(X364=1,J364&lt;&gt;"Sim")),1,0))</f>
        <v>0</v>
      </c>
      <c r="Z364" s="96">
        <f>IF(Q364=1,INDEX('CDFs'!$W$6:$W$505,P364),0)</f>
        <v>0</v>
      </c>
      <c r="AA364" s="96">
        <f>IF(AND(N364=1,Y364=0,Z364=1,J364="Sim"),1,0)</f>
        <v>0</v>
      </c>
      <c r="AB364" s="96">
        <f>IF(AND(N364=1,O364&lt;&gt;"",D364&lt;&gt;""),IF(COUNTIFS($O$6:O364,O364,$D$6:D364,D364)=1,1,0),0)</f>
        <v>0</v>
      </c>
      <c r="AC364" s="96">
        <f>IF(T364=1,INDEX('ITENS_MTR'!$AL$6:$AL$1005,S364),0)</f>
        <v>0</v>
      </c>
    </row>
    <row r="365">
      <c r="A365" s="89" t="inlineStr">
        <is>
          <t>VIN-000360</t>
        </is>
      </c>
      <c r="B365" s="91" t="n"/>
      <c r="C365" s="91" t="n"/>
      <c r="D365" s="94" t="str">
        <f>IF(T365=1,INDEX('ITENS_MTR'!$S$6:$S$1005,S365)&amp;"","")</f>
        <v/>
      </c>
      <c r="E365" s="94" t="str">
        <f>IF(T365=1,INDEX('ITENS_MTR'!$C$6:$C$1005,S365)&amp;"","")</f>
        <v/>
      </c>
      <c r="F365" s="98" t="n"/>
      <c r="G365" s="91" t="n"/>
      <c r="H365" s="93" t="str">
        <f>IF(N365=0,"",IF(NOT(ISNUMBER(F365)),"",IF(ISNUMBER(U365),F365*U365,"UNIDADE A CONFERIR")))</f>
        <v/>
      </c>
      <c r="I365" s="94" t="str">
        <f>IF(Q365=1,INDEX('CDFs'!$F$6:$F$505,P365)&amp;"","")</f>
        <v/>
      </c>
      <c r="J365" s="91" t="n"/>
      <c r="K365" s="91" t="n"/>
      <c r="L365" s="94" t="str">
        <f>IF(N365=0,"",IF(NOT(ISNUMBER(F365)),"Quantidade não informada",IF(F365&lt;=0,"Quantidade não positiva",IF(G365="","Unidade não informada",IF(NOT(ISNUMBER(H365)),"Unidade a conferir",IF(AC365=1,"REVISAR VÍNCULO: soma vinculada maior que a referência do item","OK"))))))</f>
        <v/>
      </c>
      <c r="M365" s="94" t="str">
        <f>IF(N365=0,"",IF(B365="","CDF não informado",IF(Q365=0,"REVISAR VÍNCULO: CDF inexistente",IF(C365="","Item não informado",IF(T365=0,"REVISAR VÍNCULO: item inexistente",IF(AND(X365=1,J365&lt;&gt;"Sim"),"REVISAR VÍNCULO: destinador diferente do MTR",IF(X365=1,"Destinador diferente do MTR (analisado)","OK")))))))</f>
        <v/>
      </c>
      <c r="N365" s="96">
        <f>IF(COUNTA(B365:C365,F365:G365,J365:K365)&gt;0,1,0)</f>
        <v>0</v>
      </c>
      <c r="O365" s="96" t="str">
        <f>IF(B365="","",TRIM(LEFT(B365,FIND(" |",B365&amp;" |")-1)))</f>
        <v/>
      </c>
      <c r="P365" s="96" t="str">
        <f>IF(O365="","",IFERROR(MATCH(O365,'CDFs'!$A$6:$A$505,0),""))</f>
        <v/>
      </c>
      <c r="Q365" s="96">
        <f>IF(P365="",0,IF(INDEX('CDFs'!$S$6:$S$505,P365)=1,1,0))</f>
        <v>0</v>
      </c>
      <c r="R365" s="96" t="str">
        <f>IF(C365="","",TRIM(LEFT(C365,FIND(" |",C365&amp;" |")-1)))</f>
        <v/>
      </c>
      <c r="S365" s="96" t="str">
        <f>IF(R365="","",IFERROR(MATCH(R365,'ITENS_MTR'!$A$6:$A$1005,0),""))</f>
        <v/>
      </c>
      <c r="T365" s="96">
        <f>IF(S365="",0,IF(INDEX('ITENS_MTR'!$R$6:$R$1005,S365)=1,1,0))</f>
        <v>0</v>
      </c>
      <c r="U365" s="96" t="str">
        <f>IF(G365="","",IFERROR(IF(ISNUMBER(INDEX(cfg_fac,MATCH(G365,cfg_units,0))),IF(INDEX(cfg_fac,MATCH(G365,cfg_units,0))&gt;0,INDEX(cfg_fac,MATCH(G365,cfg_units,0)),""),""),""))</f>
        <v/>
      </c>
      <c r="V365" s="96">
        <f>IF(AND(ISNUMBER(F365),ISNUMBER(H365)),IF(H365&gt;0,1,0),0)</f>
        <v>0</v>
      </c>
      <c r="W365" s="96" t="str">
        <f>IF(T365=1,INDEX('ITENS_MTR'!$AU$6:$AU$1005,S365)&amp;"","")</f>
        <v/>
      </c>
      <c r="X365" s="96">
        <f>IF(AND(Q365=1,T365=1,I365&lt;&gt;"",W365&lt;&gt;""),IF(I365&lt;&gt;W365,1,0),0)</f>
        <v>0</v>
      </c>
      <c r="Y365" s="96">
        <f>IF(N365=0,0,IF(OR(Q365=0,T365=0,V365=0,AND(X365=1,J365&lt;&gt;"Sim")),1,0))</f>
        <v>0</v>
      </c>
      <c r="Z365" s="96">
        <f>IF(Q365=1,INDEX('CDFs'!$W$6:$W$505,P365),0)</f>
        <v>0</v>
      </c>
      <c r="AA365" s="96">
        <f>IF(AND(N365=1,Y365=0,Z365=1,J365="Sim"),1,0)</f>
        <v>0</v>
      </c>
      <c r="AB365" s="96">
        <f>IF(AND(N365=1,O365&lt;&gt;"",D365&lt;&gt;""),IF(COUNTIFS($O$6:O365,O365,$D$6:D365,D365)=1,1,0),0)</f>
        <v>0</v>
      </c>
      <c r="AC365" s="96">
        <f>IF(T365=1,INDEX('ITENS_MTR'!$AL$6:$AL$1005,S365),0)</f>
        <v>0</v>
      </c>
    </row>
    <row r="366">
      <c r="A366" s="89" t="inlineStr">
        <is>
          <t>VIN-000361</t>
        </is>
      </c>
      <c r="B366" s="91" t="n"/>
      <c r="C366" s="91" t="n"/>
      <c r="D366" s="94" t="str">
        <f>IF(T366=1,INDEX('ITENS_MTR'!$S$6:$S$1005,S366)&amp;"","")</f>
        <v/>
      </c>
      <c r="E366" s="94" t="str">
        <f>IF(T366=1,INDEX('ITENS_MTR'!$C$6:$C$1005,S366)&amp;"","")</f>
        <v/>
      </c>
      <c r="F366" s="98" t="n"/>
      <c r="G366" s="91" t="n"/>
      <c r="H366" s="93" t="str">
        <f>IF(N366=0,"",IF(NOT(ISNUMBER(F366)),"",IF(ISNUMBER(U366),F366*U366,"UNIDADE A CONFERIR")))</f>
        <v/>
      </c>
      <c r="I366" s="94" t="str">
        <f>IF(Q366=1,INDEX('CDFs'!$F$6:$F$505,P366)&amp;"","")</f>
        <v/>
      </c>
      <c r="J366" s="91" t="n"/>
      <c r="K366" s="91" t="n"/>
      <c r="L366" s="94" t="str">
        <f>IF(N366=0,"",IF(NOT(ISNUMBER(F366)),"Quantidade não informada",IF(F366&lt;=0,"Quantidade não positiva",IF(G366="","Unidade não informada",IF(NOT(ISNUMBER(H366)),"Unidade a conferir",IF(AC366=1,"REVISAR VÍNCULO: soma vinculada maior que a referência do item","OK"))))))</f>
        <v/>
      </c>
      <c r="M366" s="94" t="str">
        <f>IF(N366=0,"",IF(B366="","CDF não informado",IF(Q366=0,"REVISAR VÍNCULO: CDF inexistente",IF(C366="","Item não informado",IF(T366=0,"REVISAR VÍNCULO: item inexistente",IF(AND(X366=1,J366&lt;&gt;"Sim"),"REVISAR VÍNCULO: destinador diferente do MTR",IF(X366=1,"Destinador diferente do MTR (analisado)","OK")))))))</f>
        <v/>
      </c>
      <c r="N366" s="96">
        <f>IF(COUNTA(B366:C366,F366:G366,J366:K366)&gt;0,1,0)</f>
        <v>0</v>
      </c>
      <c r="O366" s="96" t="str">
        <f>IF(B366="","",TRIM(LEFT(B366,FIND(" |",B366&amp;" |")-1)))</f>
        <v/>
      </c>
      <c r="P366" s="96" t="str">
        <f>IF(O366="","",IFERROR(MATCH(O366,'CDFs'!$A$6:$A$505,0),""))</f>
        <v/>
      </c>
      <c r="Q366" s="96">
        <f>IF(P366="",0,IF(INDEX('CDFs'!$S$6:$S$505,P366)=1,1,0))</f>
        <v>0</v>
      </c>
      <c r="R366" s="96" t="str">
        <f>IF(C366="","",TRIM(LEFT(C366,FIND(" |",C366&amp;" |")-1)))</f>
        <v/>
      </c>
      <c r="S366" s="96" t="str">
        <f>IF(R366="","",IFERROR(MATCH(R366,'ITENS_MTR'!$A$6:$A$1005,0),""))</f>
        <v/>
      </c>
      <c r="T366" s="96">
        <f>IF(S366="",0,IF(INDEX('ITENS_MTR'!$R$6:$R$1005,S366)=1,1,0))</f>
        <v>0</v>
      </c>
      <c r="U366" s="96" t="str">
        <f>IF(G366="","",IFERROR(IF(ISNUMBER(INDEX(cfg_fac,MATCH(G366,cfg_units,0))),IF(INDEX(cfg_fac,MATCH(G366,cfg_units,0))&gt;0,INDEX(cfg_fac,MATCH(G366,cfg_units,0)),""),""),""))</f>
        <v/>
      </c>
      <c r="V366" s="96">
        <f>IF(AND(ISNUMBER(F366),ISNUMBER(H366)),IF(H366&gt;0,1,0),0)</f>
        <v>0</v>
      </c>
      <c r="W366" s="96" t="str">
        <f>IF(T366=1,INDEX('ITENS_MTR'!$AU$6:$AU$1005,S366)&amp;"","")</f>
        <v/>
      </c>
      <c r="X366" s="96">
        <f>IF(AND(Q366=1,T366=1,I366&lt;&gt;"",W366&lt;&gt;""),IF(I366&lt;&gt;W366,1,0),0)</f>
        <v>0</v>
      </c>
      <c r="Y366" s="96">
        <f>IF(N366=0,0,IF(OR(Q366=0,T366=0,V366=0,AND(X366=1,J366&lt;&gt;"Sim")),1,0))</f>
        <v>0</v>
      </c>
      <c r="Z366" s="96">
        <f>IF(Q366=1,INDEX('CDFs'!$W$6:$W$505,P366),0)</f>
        <v>0</v>
      </c>
      <c r="AA366" s="96">
        <f>IF(AND(N366=1,Y366=0,Z366=1,J366="Sim"),1,0)</f>
        <v>0</v>
      </c>
      <c r="AB366" s="96">
        <f>IF(AND(N366=1,O366&lt;&gt;"",D366&lt;&gt;""),IF(COUNTIFS($O$6:O366,O366,$D$6:D366,D366)=1,1,0),0)</f>
        <v>0</v>
      </c>
      <c r="AC366" s="96">
        <f>IF(T366=1,INDEX('ITENS_MTR'!$AL$6:$AL$1005,S366),0)</f>
        <v>0</v>
      </c>
    </row>
    <row r="367">
      <c r="A367" s="89" t="inlineStr">
        <is>
          <t>VIN-000362</t>
        </is>
      </c>
      <c r="B367" s="91" t="n"/>
      <c r="C367" s="91" t="n"/>
      <c r="D367" s="94" t="str">
        <f>IF(T367=1,INDEX('ITENS_MTR'!$S$6:$S$1005,S367)&amp;"","")</f>
        <v/>
      </c>
      <c r="E367" s="94" t="str">
        <f>IF(T367=1,INDEX('ITENS_MTR'!$C$6:$C$1005,S367)&amp;"","")</f>
        <v/>
      </c>
      <c r="F367" s="98" t="n"/>
      <c r="G367" s="91" t="n"/>
      <c r="H367" s="93" t="str">
        <f>IF(N367=0,"",IF(NOT(ISNUMBER(F367)),"",IF(ISNUMBER(U367),F367*U367,"UNIDADE A CONFERIR")))</f>
        <v/>
      </c>
      <c r="I367" s="94" t="str">
        <f>IF(Q367=1,INDEX('CDFs'!$F$6:$F$505,P367)&amp;"","")</f>
        <v/>
      </c>
      <c r="J367" s="91" t="n"/>
      <c r="K367" s="91" t="n"/>
      <c r="L367" s="94" t="str">
        <f>IF(N367=0,"",IF(NOT(ISNUMBER(F367)),"Quantidade não informada",IF(F367&lt;=0,"Quantidade não positiva",IF(G367="","Unidade não informada",IF(NOT(ISNUMBER(H367)),"Unidade a conferir",IF(AC367=1,"REVISAR VÍNCULO: soma vinculada maior que a referência do item","OK"))))))</f>
        <v/>
      </c>
      <c r="M367" s="94" t="str">
        <f>IF(N367=0,"",IF(B367="","CDF não informado",IF(Q367=0,"REVISAR VÍNCULO: CDF inexistente",IF(C367="","Item não informado",IF(T367=0,"REVISAR VÍNCULO: item inexistente",IF(AND(X367=1,J367&lt;&gt;"Sim"),"REVISAR VÍNCULO: destinador diferente do MTR",IF(X367=1,"Destinador diferente do MTR (analisado)","OK")))))))</f>
        <v/>
      </c>
      <c r="N367" s="96">
        <f>IF(COUNTA(B367:C367,F367:G367,J367:K367)&gt;0,1,0)</f>
        <v>0</v>
      </c>
      <c r="O367" s="96" t="str">
        <f>IF(B367="","",TRIM(LEFT(B367,FIND(" |",B367&amp;" |")-1)))</f>
        <v/>
      </c>
      <c r="P367" s="96" t="str">
        <f>IF(O367="","",IFERROR(MATCH(O367,'CDFs'!$A$6:$A$505,0),""))</f>
        <v/>
      </c>
      <c r="Q367" s="96">
        <f>IF(P367="",0,IF(INDEX('CDFs'!$S$6:$S$505,P367)=1,1,0))</f>
        <v>0</v>
      </c>
      <c r="R367" s="96" t="str">
        <f>IF(C367="","",TRIM(LEFT(C367,FIND(" |",C367&amp;" |")-1)))</f>
        <v/>
      </c>
      <c r="S367" s="96" t="str">
        <f>IF(R367="","",IFERROR(MATCH(R367,'ITENS_MTR'!$A$6:$A$1005,0),""))</f>
        <v/>
      </c>
      <c r="T367" s="96">
        <f>IF(S367="",0,IF(INDEX('ITENS_MTR'!$R$6:$R$1005,S367)=1,1,0))</f>
        <v>0</v>
      </c>
      <c r="U367" s="96" t="str">
        <f>IF(G367="","",IFERROR(IF(ISNUMBER(INDEX(cfg_fac,MATCH(G367,cfg_units,0))),IF(INDEX(cfg_fac,MATCH(G367,cfg_units,0))&gt;0,INDEX(cfg_fac,MATCH(G367,cfg_units,0)),""),""),""))</f>
        <v/>
      </c>
      <c r="V367" s="96">
        <f>IF(AND(ISNUMBER(F367),ISNUMBER(H367)),IF(H367&gt;0,1,0),0)</f>
        <v>0</v>
      </c>
      <c r="W367" s="96" t="str">
        <f>IF(T367=1,INDEX('ITENS_MTR'!$AU$6:$AU$1005,S367)&amp;"","")</f>
        <v/>
      </c>
      <c r="X367" s="96">
        <f>IF(AND(Q367=1,T367=1,I367&lt;&gt;"",W367&lt;&gt;""),IF(I367&lt;&gt;W367,1,0),0)</f>
        <v>0</v>
      </c>
      <c r="Y367" s="96">
        <f>IF(N367=0,0,IF(OR(Q367=0,T367=0,V367=0,AND(X367=1,J367&lt;&gt;"Sim")),1,0))</f>
        <v>0</v>
      </c>
      <c r="Z367" s="96">
        <f>IF(Q367=1,INDEX('CDFs'!$W$6:$W$505,P367),0)</f>
        <v>0</v>
      </c>
      <c r="AA367" s="96">
        <f>IF(AND(N367=1,Y367=0,Z367=1,J367="Sim"),1,0)</f>
        <v>0</v>
      </c>
      <c r="AB367" s="96">
        <f>IF(AND(N367=1,O367&lt;&gt;"",D367&lt;&gt;""),IF(COUNTIFS($O$6:O367,O367,$D$6:D367,D367)=1,1,0),0)</f>
        <v>0</v>
      </c>
      <c r="AC367" s="96">
        <f>IF(T367=1,INDEX('ITENS_MTR'!$AL$6:$AL$1005,S367),0)</f>
        <v>0</v>
      </c>
    </row>
    <row r="368">
      <c r="A368" s="89" t="inlineStr">
        <is>
          <t>VIN-000363</t>
        </is>
      </c>
      <c r="B368" s="91" t="n"/>
      <c r="C368" s="91" t="n"/>
      <c r="D368" s="94" t="str">
        <f>IF(T368=1,INDEX('ITENS_MTR'!$S$6:$S$1005,S368)&amp;"","")</f>
        <v/>
      </c>
      <c r="E368" s="94" t="str">
        <f>IF(T368=1,INDEX('ITENS_MTR'!$C$6:$C$1005,S368)&amp;"","")</f>
        <v/>
      </c>
      <c r="F368" s="98" t="n"/>
      <c r="G368" s="91" t="n"/>
      <c r="H368" s="93" t="str">
        <f>IF(N368=0,"",IF(NOT(ISNUMBER(F368)),"",IF(ISNUMBER(U368),F368*U368,"UNIDADE A CONFERIR")))</f>
        <v/>
      </c>
      <c r="I368" s="94" t="str">
        <f>IF(Q368=1,INDEX('CDFs'!$F$6:$F$505,P368)&amp;"","")</f>
        <v/>
      </c>
      <c r="J368" s="91" t="n"/>
      <c r="K368" s="91" t="n"/>
      <c r="L368" s="94" t="str">
        <f>IF(N368=0,"",IF(NOT(ISNUMBER(F368)),"Quantidade não informada",IF(F368&lt;=0,"Quantidade não positiva",IF(G368="","Unidade não informada",IF(NOT(ISNUMBER(H368)),"Unidade a conferir",IF(AC368=1,"REVISAR VÍNCULO: soma vinculada maior que a referência do item","OK"))))))</f>
        <v/>
      </c>
      <c r="M368" s="94" t="str">
        <f>IF(N368=0,"",IF(B368="","CDF não informado",IF(Q368=0,"REVISAR VÍNCULO: CDF inexistente",IF(C368="","Item não informado",IF(T368=0,"REVISAR VÍNCULO: item inexistente",IF(AND(X368=1,J368&lt;&gt;"Sim"),"REVISAR VÍNCULO: destinador diferente do MTR",IF(X368=1,"Destinador diferente do MTR (analisado)","OK")))))))</f>
        <v/>
      </c>
      <c r="N368" s="96">
        <f>IF(COUNTA(B368:C368,F368:G368,J368:K368)&gt;0,1,0)</f>
        <v>0</v>
      </c>
      <c r="O368" s="96" t="str">
        <f>IF(B368="","",TRIM(LEFT(B368,FIND(" |",B368&amp;" |")-1)))</f>
        <v/>
      </c>
      <c r="P368" s="96" t="str">
        <f>IF(O368="","",IFERROR(MATCH(O368,'CDFs'!$A$6:$A$505,0),""))</f>
        <v/>
      </c>
      <c r="Q368" s="96">
        <f>IF(P368="",0,IF(INDEX('CDFs'!$S$6:$S$505,P368)=1,1,0))</f>
        <v>0</v>
      </c>
      <c r="R368" s="96" t="str">
        <f>IF(C368="","",TRIM(LEFT(C368,FIND(" |",C368&amp;" |")-1)))</f>
        <v/>
      </c>
      <c r="S368" s="96" t="str">
        <f>IF(R368="","",IFERROR(MATCH(R368,'ITENS_MTR'!$A$6:$A$1005,0),""))</f>
        <v/>
      </c>
      <c r="T368" s="96">
        <f>IF(S368="",0,IF(INDEX('ITENS_MTR'!$R$6:$R$1005,S368)=1,1,0))</f>
        <v>0</v>
      </c>
      <c r="U368" s="96" t="str">
        <f>IF(G368="","",IFERROR(IF(ISNUMBER(INDEX(cfg_fac,MATCH(G368,cfg_units,0))),IF(INDEX(cfg_fac,MATCH(G368,cfg_units,0))&gt;0,INDEX(cfg_fac,MATCH(G368,cfg_units,0)),""),""),""))</f>
        <v/>
      </c>
      <c r="V368" s="96">
        <f>IF(AND(ISNUMBER(F368),ISNUMBER(H368)),IF(H368&gt;0,1,0),0)</f>
        <v>0</v>
      </c>
      <c r="W368" s="96" t="str">
        <f>IF(T368=1,INDEX('ITENS_MTR'!$AU$6:$AU$1005,S368)&amp;"","")</f>
        <v/>
      </c>
      <c r="X368" s="96">
        <f>IF(AND(Q368=1,T368=1,I368&lt;&gt;"",W368&lt;&gt;""),IF(I368&lt;&gt;W368,1,0),0)</f>
        <v>0</v>
      </c>
      <c r="Y368" s="96">
        <f>IF(N368=0,0,IF(OR(Q368=0,T368=0,V368=0,AND(X368=1,J368&lt;&gt;"Sim")),1,0))</f>
        <v>0</v>
      </c>
      <c r="Z368" s="96">
        <f>IF(Q368=1,INDEX('CDFs'!$W$6:$W$505,P368),0)</f>
        <v>0</v>
      </c>
      <c r="AA368" s="96">
        <f>IF(AND(N368=1,Y368=0,Z368=1,J368="Sim"),1,0)</f>
        <v>0</v>
      </c>
      <c r="AB368" s="96">
        <f>IF(AND(N368=1,O368&lt;&gt;"",D368&lt;&gt;""),IF(COUNTIFS($O$6:O368,O368,$D$6:D368,D368)=1,1,0),0)</f>
        <v>0</v>
      </c>
      <c r="AC368" s="96">
        <f>IF(T368=1,INDEX('ITENS_MTR'!$AL$6:$AL$1005,S368),0)</f>
        <v>0</v>
      </c>
    </row>
    <row r="369">
      <c r="A369" s="89" t="inlineStr">
        <is>
          <t>VIN-000364</t>
        </is>
      </c>
      <c r="B369" s="91" t="n"/>
      <c r="C369" s="91" t="n"/>
      <c r="D369" s="94" t="str">
        <f>IF(T369=1,INDEX('ITENS_MTR'!$S$6:$S$1005,S369)&amp;"","")</f>
        <v/>
      </c>
      <c r="E369" s="94" t="str">
        <f>IF(T369=1,INDEX('ITENS_MTR'!$C$6:$C$1005,S369)&amp;"","")</f>
        <v/>
      </c>
      <c r="F369" s="98" t="n"/>
      <c r="G369" s="91" t="n"/>
      <c r="H369" s="93" t="str">
        <f>IF(N369=0,"",IF(NOT(ISNUMBER(F369)),"",IF(ISNUMBER(U369),F369*U369,"UNIDADE A CONFERIR")))</f>
        <v/>
      </c>
      <c r="I369" s="94" t="str">
        <f>IF(Q369=1,INDEX('CDFs'!$F$6:$F$505,P369)&amp;"","")</f>
        <v/>
      </c>
      <c r="J369" s="91" t="n"/>
      <c r="K369" s="91" t="n"/>
      <c r="L369" s="94" t="str">
        <f>IF(N369=0,"",IF(NOT(ISNUMBER(F369)),"Quantidade não informada",IF(F369&lt;=0,"Quantidade não positiva",IF(G369="","Unidade não informada",IF(NOT(ISNUMBER(H369)),"Unidade a conferir",IF(AC369=1,"REVISAR VÍNCULO: soma vinculada maior que a referência do item","OK"))))))</f>
        <v/>
      </c>
      <c r="M369" s="94" t="str">
        <f>IF(N369=0,"",IF(B369="","CDF não informado",IF(Q369=0,"REVISAR VÍNCULO: CDF inexistente",IF(C369="","Item não informado",IF(T369=0,"REVISAR VÍNCULO: item inexistente",IF(AND(X369=1,J369&lt;&gt;"Sim"),"REVISAR VÍNCULO: destinador diferente do MTR",IF(X369=1,"Destinador diferente do MTR (analisado)","OK")))))))</f>
        <v/>
      </c>
      <c r="N369" s="96">
        <f>IF(COUNTA(B369:C369,F369:G369,J369:K369)&gt;0,1,0)</f>
        <v>0</v>
      </c>
      <c r="O369" s="96" t="str">
        <f>IF(B369="","",TRIM(LEFT(B369,FIND(" |",B369&amp;" |")-1)))</f>
        <v/>
      </c>
      <c r="P369" s="96" t="str">
        <f>IF(O369="","",IFERROR(MATCH(O369,'CDFs'!$A$6:$A$505,0),""))</f>
        <v/>
      </c>
      <c r="Q369" s="96">
        <f>IF(P369="",0,IF(INDEX('CDFs'!$S$6:$S$505,P369)=1,1,0))</f>
        <v>0</v>
      </c>
      <c r="R369" s="96" t="str">
        <f>IF(C369="","",TRIM(LEFT(C369,FIND(" |",C369&amp;" |")-1)))</f>
        <v/>
      </c>
      <c r="S369" s="96" t="str">
        <f>IF(R369="","",IFERROR(MATCH(R369,'ITENS_MTR'!$A$6:$A$1005,0),""))</f>
        <v/>
      </c>
      <c r="T369" s="96">
        <f>IF(S369="",0,IF(INDEX('ITENS_MTR'!$R$6:$R$1005,S369)=1,1,0))</f>
        <v>0</v>
      </c>
      <c r="U369" s="96" t="str">
        <f>IF(G369="","",IFERROR(IF(ISNUMBER(INDEX(cfg_fac,MATCH(G369,cfg_units,0))),IF(INDEX(cfg_fac,MATCH(G369,cfg_units,0))&gt;0,INDEX(cfg_fac,MATCH(G369,cfg_units,0)),""),""),""))</f>
        <v/>
      </c>
      <c r="V369" s="96">
        <f>IF(AND(ISNUMBER(F369),ISNUMBER(H369)),IF(H369&gt;0,1,0),0)</f>
        <v>0</v>
      </c>
      <c r="W369" s="96" t="str">
        <f>IF(T369=1,INDEX('ITENS_MTR'!$AU$6:$AU$1005,S369)&amp;"","")</f>
        <v/>
      </c>
      <c r="X369" s="96">
        <f>IF(AND(Q369=1,T369=1,I369&lt;&gt;"",W369&lt;&gt;""),IF(I369&lt;&gt;W369,1,0),0)</f>
        <v>0</v>
      </c>
      <c r="Y369" s="96">
        <f>IF(N369=0,0,IF(OR(Q369=0,T369=0,V369=0,AND(X369=1,J369&lt;&gt;"Sim")),1,0))</f>
        <v>0</v>
      </c>
      <c r="Z369" s="96">
        <f>IF(Q369=1,INDEX('CDFs'!$W$6:$W$505,P369),0)</f>
        <v>0</v>
      </c>
      <c r="AA369" s="96">
        <f>IF(AND(N369=1,Y369=0,Z369=1,J369="Sim"),1,0)</f>
        <v>0</v>
      </c>
      <c r="AB369" s="96">
        <f>IF(AND(N369=1,O369&lt;&gt;"",D369&lt;&gt;""),IF(COUNTIFS($O$6:O369,O369,$D$6:D369,D369)=1,1,0),0)</f>
        <v>0</v>
      </c>
      <c r="AC369" s="96">
        <f>IF(T369=1,INDEX('ITENS_MTR'!$AL$6:$AL$1005,S369),0)</f>
        <v>0</v>
      </c>
    </row>
    <row r="370">
      <c r="A370" s="89" t="inlineStr">
        <is>
          <t>VIN-000365</t>
        </is>
      </c>
      <c r="B370" s="91" t="n"/>
      <c r="C370" s="91" t="n"/>
      <c r="D370" s="94" t="str">
        <f>IF(T370=1,INDEX('ITENS_MTR'!$S$6:$S$1005,S370)&amp;"","")</f>
        <v/>
      </c>
      <c r="E370" s="94" t="str">
        <f>IF(T370=1,INDEX('ITENS_MTR'!$C$6:$C$1005,S370)&amp;"","")</f>
        <v/>
      </c>
      <c r="F370" s="98" t="n"/>
      <c r="G370" s="91" t="n"/>
      <c r="H370" s="93" t="str">
        <f>IF(N370=0,"",IF(NOT(ISNUMBER(F370)),"",IF(ISNUMBER(U370),F370*U370,"UNIDADE A CONFERIR")))</f>
        <v/>
      </c>
      <c r="I370" s="94" t="str">
        <f>IF(Q370=1,INDEX('CDFs'!$F$6:$F$505,P370)&amp;"","")</f>
        <v/>
      </c>
      <c r="J370" s="91" t="n"/>
      <c r="K370" s="91" t="n"/>
      <c r="L370" s="94" t="str">
        <f>IF(N370=0,"",IF(NOT(ISNUMBER(F370)),"Quantidade não informada",IF(F370&lt;=0,"Quantidade não positiva",IF(G370="","Unidade não informada",IF(NOT(ISNUMBER(H370)),"Unidade a conferir",IF(AC370=1,"REVISAR VÍNCULO: soma vinculada maior que a referência do item","OK"))))))</f>
        <v/>
      </c>
      <c r="M370" s="94" t="str">
        <f>IF(N370=0,"",IF(B370="","CDF não informado",IF(Q370=0,"REVISAR VÍNCULO: CDF inexistente",IF(C370="","Item não informado",IF(T370=0,"REVISAR VÍNCULO: item inexistente",IF(AND(X370=1,J370&lt;&gt;"Sim"),"REVISAR VÍNCULO: destinador diferente do MTR",IF(X370=1,"Destinador diferente do MTR (analisado)","OK")))))))</f>
        <v/>
      </c>
      <c r="N370" s="96">
        <f>IF(COUNTA(B370:C370,F370:G370,J370:K370)&gt;0,1,0)</f>
        <v>0</v>
      </c>
      <c r="O370" s="96" t="str">
        <f>IF(B370="","",TRIM(LEFT(B370,FIND(" |",B370&amp;" |")-1)))</f>
        <v/>
      </c>
      <c r="P370" s="96" t="str">
        <f>IF(O370="","",IFERROR(MATCH(O370,'CDFs'!$A$6:$A$505,0),""))</f>
        <v/>
      </c>
      <c r="Q370" s="96">
        <f>IF(P370="",0,IF(INDEX('CDFs'!$S$6:$S$505,P370)=1,1,0))</f>
        <v>0</v>
      </c>
      <c r="R370" s="96" t="str">
        <f>IF(C370="","",TRIM(LEFT(C370,FIND(" |",C370&amp;" |")-1)))</f>
        <v/>
      </c>
      <c r="S370" s="96" t="str">
        <f>IF(R370="","",IFERROR(MATCH(R370,'ITENS_MTR'!$A$6:$A$1005,0),""))</f>
        <v/>
      </c>
      <c r="T370" s="96">
        <f>IF(S370="",0,IF(INDEX('ITENS_MTR'!$R$6:$R$1005,S370)=1,1,0))</f>
        <v>0</v>
      </c>
      <c r="U370" s="96" t="str">
        <f>IF(G370="","",IFERROR(IF(ISNUMBER(INDEX(cfg_fac,MATCH(G370,cfg_units,0))),IF(INDEX(cfg_fac,MATCH(G370,cfg_units,0))&gt;0,INDEX(cfg_fac,MATCH(G370,cfg_units,0)),""),""),""))</f>
        <v/>
      </c>
      <c r="V370" s="96">
        <f>IF(AND(ISNUMBER(F370),ISNUMBER(H370)),IF(H370&gt;0,1,0),0)</f>
        <v>0</v>
      </c>
      <c r="W370" s="96" t="str">
        <f>IF(T370=1,INDEX('ITENS_MTR'!$AU$6:$AU$1005,S370)&amp;"","")</f>
        <v/>
      </c>
      <c r="X370" s="96">
        <f>IF(AND(Q370=1,T370=1,I370&lt;&gt;"",W370&lt;&gt;""),IF(I370&lt;&gt;W370,1,0),0)</f>
        <v>0</v>
      </c>
      <c r="Y370" s="96">
        <f>IF(N370=0,0,IF(OR(Q370=0,T370=0,V370=0,AND(X370=1,J370&lt;&gt;"Sim")),1,0))</f>
        <v>0</v>
      </c>
      <c r="Z370" s="96">
        <f>IF(Q370=1,INDEX('CDFs'!$W$6:$W$505,P370),0)</f>
        <v>0</v>
      </c>
      <c r="AA370" s="96">
        <f>IF(AND(N370=1,Y370=0,Z370=1,J370="Sim"),1,0)</f>
        <v>0</v>
      </c>
      <c r="AB370" s="96">
        <f>IF(AND(N370=1,O370&lt;&gt;"",D370&lt;&gt;""),IF(COUNTIFS($O$6:O370,O370,$D$6:D370,D370)=1,1,0),0)</f>
        <v>0</v>
      </c>
      <c r="AC370" s="96">
        <f>IF(T370=1,INDEX('ITENS_MTR'!$AL$6:$AL$1005,S370),0)</f>
        <v>0</v>
      </c>
    </row>
    <row r="371">
      <c r="A371" s="89" t="inlineStr">
        <is>
          <t>VIN-000366</t>
        </is>
      </c>
      <c r="B371" s="91" t="n"/>
      <c r="C371" s="91" t="n"/>
      <c r="D371" s="94" t="str">
        <f>IF(T371=1,INDEX('ITENS_MTR'!$S$6:$S$1005,S371)&amp;"","")</f>
        <v/>
      </c>
      <c r="E371" s="94" t="str">
        <f>IF(T371=1,INDEX('ITENS_MTR'!$C$6:$C$1005,S371)&amp;"","")</f>
        <v/>
      </c>
      <c r="F371" s="98" t="n"/>
      <c r="G371" s="91" t="n"/>
      <c r="H371" s="93" t="str">
        <f>IF(N371=0,"",IF(NOT(ISNUMBER(F371)),"",IF(ISNUMBER(U371),F371*U371,"UNIDADE A CONFERIR")))</f>
        <v/>
      </c>
      <c r="I371" s="94" t="str">
        <f>IF(Q371=1,INDEX('CDFs'!$F$6:$F$505,P371)&amp;"","")</f>
        <v/>
      </c>
      <c r="J371" s="91" t="n"/>
      <c r="K371" s="91" t="n"/>
      <c r="L371" s="94" t="str">
        <f>IF(N371=0,"",IF(NOT(ISNUMBER(F371)),"Quantidade não informada",IF(F371&lt;=0,"Quantidade não positiva",IF(G371="","Unidade não informada",IF(NOT(ISNUMBER(H371)),"Unidade a conferir",IF(AC371=1,"REVISAR VÍNCULO: soma vinculada maior que a referência do item","OK"))))))</f>
        <v/>
      </c>
      <c r="M371" s="94" t="str">
        <f>IF(N371=0,"",IF(B371="","CDF não informado",IF(Q371=0,"REVISAR VÍNCULO: CDF inexistente",IF(C371="","Item não informado",IF(T371=0,"REVISAR VÍNCULO: item inexistente",IF(AND(X371=1,J371&lt;&gt;"Sim"),"REVISAR VÍNCULO: destinador diferente do MTR",IF(X371=1,"Destinador diferente do MTR (analisado)","OK")))))))</f>
        <v/>
      </c>
      <c r="N371" s="96">
        <f>IF(COUNTA(B371:C371,F371:G371,J371:K371)&gt;0,1,0)</f>
        <v>0</v>
      </c>
      <c r="O371" s="96" t="str">
        <f>IF(B371="","",TRIM(LEFT(B371,FIND(" |",B371&amp;" |")-1)))</f>
        <v/>
      </c>
      <c r="P371" s="96" t="str">
        <f>IF(O371="","",IFERROR(MATCH(O371,'CDFs'!$A$6:$A$505,0),""))</f>
        <v/>
      </c>
      <c r="Q371" s="96">
        <f>IF(P371="",0,IF(INDEX('CDFs'!$S$6:$S$505,P371)=1,1,0))</f>
        <v>0</v>
      </c>
      <c r="R371" s="96" t="str">
        <f>IF(C371="","",TRIM(LEFT(C371,FIND(" |",C371&amp;" |")-1)))</f>
        <v/>
      </c>
      <c r="S371" s="96" t="str">
        <f>IF(R371="","",IFERROR(MATCH(R371,'ITENS_MTR'!$A$6:$A$1005,0),""))</f>
        <v/>
      </c>
      <c r="T371" s="96">
        <f>IF(S371="",0,IF(INDEX('ITENS_MTR'!$R$6:$R$1005,S371)=1,1,0))</f>
        <v>0</v>
      </c>
      <c r="U371" s="96" t="str">
        <f>IF(G371="","",IFERROR(IF(ISNUMBER(INDEX(cfg_fac,MATCH(G371,cfg_units,0))),IF(INDEX(cfg_fac,MATCH(G371,cfg_units,0))&gt;0,INDEX(cfg_fac,MATCH(G371,cfg_units,0)),""),""),""))</f>
        <v/>
      </c>
      <c r="V371" s="96">
        <f>IF(AND(ISNUMBER(F371),ISNUMBER(H371)),IF(H371&gt;0,1,0),0)</f>
        <v>0</v>
      </c>
      <c r="W371" s="96" t="str">
        <f>IF(T371=1,INDEX('ITENS_MTR'!$AU$6:$AU$1005,S371)&amp;"","")</f>
        <v/>
      </c>
      <c r="X371" s="96">
        <f>IF(AND(Q371=1,T371=1,I371&lt;&gt;"",W371&lt;&gt;""),IF(I371&lt;&gt;W371,1,0),0)</f>
        <v>0</v>
      </c>
      <c r="Y371" s="96">
        <f>IF(N371=0,0,IF(OR(Q371=0,T371=0,V371=0,AND(X371=1,J371&lt;&gt;"Sim")),1,0))</f>
        <v>0</v>
      </c>
      <c r="Z371" s="96">
        <f>IF(Q371=1,INDEX('CDFs'!$W$6:$W$505,P371),0)</f>
        <v>0</v>
      </c>
      <c r="AA371" s="96">
        <f>IF(AND(N371=1,Y371=0,Z371=1,J371="Sim"),1,0)</f>
        <v>0</v>
      </c>
      <c r="AB371" s="96">
        <f>IF(AND(N371=1,O371&lt;&gt;"",D371&lt;&gt;""),IF(COUNTIFS($O$6:O371,O371,$D$6:D371,D371)=1,1,0),0)</f>
        <v>0</v>
      </c>
      <c r="AC371" s="96">
        <f>IF(T371=1,INDEX('ITENS_MTR'!$AL$6:$AL$1005,S371),0)</f>
        <v>0</v>
      </c>
    </row>
    <row r="372">
      <c r="A372" s="89" t="inlineStr">
        <is>
          <t>VIN-000367</t>
        </is>
      </c>
      <c r="B372" s="91" t="n"/>
      <c r="C372" s="91" t="n"/>
      <c r="D372" s="94" t="str">
        <f>IF(T372=1,INDEX('ITENS_MTR'!$S$6:$S$1005,S372)&amp;"","")</f>
        <v/>
      </c>
      <c r="E372" s="94" t="str">
        <f>IF(T372=1,INDEX('ITENS_MTR'!$C$6:$C$1005,S372)&amp;"","")</f>
        <v/>
      </c>
      <c r="F372" s="98" t="n"/>
      <c r="G372" s="91" t="n"/>
      <c r="H372" s="93" t="str">
        <f>IF(N372=0,"",IF(NOT(ISNUMBER(F372)),"",IF(ISNUMBER(U372),F372*U372,"UNIDADE A CONFERIR")))</f>
        <v/>
      </c>
      <c r="I372" s="94" t="str">
        <f>IF(Q372=1,INDEX('CDFs'!$F$6:$F$505,P372)&amp;"","")</f>
        <v/>
      </c>
      <c r="J372" s="91" t="n"/>
      <c r="K372" s="91" t="n"/>
      <c r="L372" s="94" t="str">
        <f>IF(N372=0,"",IF(NOT(ISNUMBER(F372)),"Quantidade não informada",IF(F372&lt;=0,"Quantidade não positiva",IF(G372="","Unidade não informada",IF(NOT(ISNUMBER(H372)),"Unidade a conferir",IF(AC372=1,"REVISAR VÍNCULO: soma vinculada maior que a referência do item","OK"))))))</f>
        <v/>
      </c>
      <c r="M372" s="94" t="str">
        <f>IF(N372=0,"",IF(B372="","CDF não informado",IF(Q372=0,"REVISAR VÍNCULO: CDF inexistente",IF(C372="","Item não informado",IF(T372=0,"REVISAR VÍNCULO: item inexistente",IF(AND(X372=1,J372&lt;&gt;"Sim"),"REVISAR VÍNCULO: destinador diferente do MTR",IF(X372=1,"Destinador diferente do MTR (analisado)","OK")))))))</f>
        <v/>
      </c>
      <c r="N372" s="96">
        <f>IF(COUNTA(B372:C372,F372:G372,J372:K372)&gt;0,1,0)</f>
        <v>0</v>
      </c>
      <c r="O372" s="96" t="str">
        <f>IF(B372="","",TRIM(LEFT(B372,FIND(" |",B372&amp;" |")-1)))</f>
        <v/>
      </c>
      <c r="P372" s="96" t="str">
        <f>IF(O372="","",IFERROR(MATCH(O372,'CDFs'!$A$6:$A$505,0),""))</f>
        <v/>
      </c>
      <c r="Q372" s="96">
        <f>IF(P372="",0,IF(INDEX('CDFs'!$S$6:$S$505,P372)=1,1,0))</f>
        <v>0</v>
      </c>
      <c r="R372" s="96" t="str">
        <f>IF(C372="","",TRIM(LEFT(C372,FIND(" |",C372&amp;" |")-1)))</f>
        <v/>
      </c>
      <c r="S372" s="96" t="str">
        <f>IF(R372="","",IFERROR(MATCH(R372,'ITENS_MTR'!$A$6:$A$1005,0),""))</f>
        <v/>
      </c>
      <c r="T372" s="96">
        <f>IF(S372="",0,IF(INDEX('ITENS_MTR'!$R$6:$R$1005,S372)=1,1,0))</f>
        <v>0</v>
      </c>
      <c r="U372" s="96" t="str">
        <f>IF(G372="","",IFERROR(IF(ISNUMBER(INDEX(cfg_fac,MATCH(G372,cfg_units,0))),IF(INDEX(cfg_fac,MATCH(G372,cfg_units,0))&gt;0,INDEX(cfg_fac,MATCH(G372,cfg_units,0)),""),""),""))</f>
        <v/>
      </c>
      <c r="V372" s="96">
        <f>IF(AND(ISNUMBER(F372),ISNUMBER(H372)),IF(H372&gt;0,1,0),0)</f>
        <v>0</v>
      </c>
      <c r="W372" s="96" t="str">
        <f>IF(T372=1,INDEX('ITENS_MTR'!$AU$6:$AU$1005,S372)&amp;"","")</f>
        <v/>
      </c>
      <c r="X372" s="96">
        <f>IF(AND(Q372=1,T372=1,I372&lt;&gt;"",W372&lt;&gt;""),IF(I372&lt;&gt;W372,1,0),0)</f>
        <v>0</v>
      </c>
      <c r="Y372" s="96">
        <f>IF(N372=0,0,IF(OR(Q372=0,T372=0,V372=0,AND(X372=1,J372&lt;&gt;"Sim")),1,0))</f>
        <v>0</v>
      </c>
      <c r="Z372" s="96">
        <f>IF(Q372=1,INDEX('CDFs'!$W$6:$W$505,P372),0)</f>
        <v>0</v>
      </c>
      <c r="AA372" s="96">
        <f>IF(AND(N372=1,Y372=0,Z372=1,J372="Sim"),1,0)</f>
        <v>0</v>
      </c>
      <c r="AB372" s="96">
        <f>IF(AND(N372=1,O372&lt;&gt;"",D372&lt;&gt;""),IF(COUNTIFS($O$6:O372,O372,$D$6:D372,D372)=1,1,0),0)</f>
        <v>0</v>
      </c>
      <c r="AC372" s="96">
        <f>IF(T372=1,INDEX('ITENS_MTR'!$AL$6:$AL$1005,S372),0)</f>
        <v>0</v>
      </c>
    </row>
    <row r="373">
      <c r="A373" s="89" t="inlineStr">
        <is>
          <t>VIN-000368</t>
        </is>
      </c>
      <c r="B373" s="91" t="n"/>
      <c r="C373" s="91" t="n"/>
      <c r="D373" s="94" t="str">
        <f>IF(T373=1,INDEX('ITENS_MTR'!$S$6:$S$1005,S373)&amp;"","")</f>
        <v/>
      </c>
      <c r="E373" s="94" t="str">
        <f>IF(T373=1,INDEX('ITENS_MTR'!$C$6:$C$1005,S373)&amp;"","")</f>
        <v/>
      </c>
      <c r="F373" s="98" t="n"/>
      <c r="G373" s="91" t="n"/>
      <c r="H373" s="93" t="str">
        <f>IF(N373=0,"",IF(NOT(ISNUMBER(F373)),"",IF(ISNUMBER(U373),F373*U373,"UNIDADE A CONFERIR")))</f>
        <v/>
      </c>
      <c r="I373" s="94" t="str">
        <f>IF(Q373=1,INDEX('CDFs'!$F$6:$F$505,P373)&amp;"","")</f>
        <v/>
      </c>
      <c r="J373" s="91" t="n"/>
      <c r="K373" s="91" t="n"/>
      <c r="L373" s="94" t="str">
        <f>IF(N373=0,"",IF(NOT(ISNUMBER(F373)),"Quantidade não informada",IF(F373&lt;=0,"Quantidade não positiva",IF(G373="","Unidade não informada",IF(NOT(ISNUMBER(H373)),"Unidade a conferir",IF(AC373=1,"REVISAR VÍNCULO: soma vinculada maior que a referência do item","OK"))))))</f>
        <v/>
      </c>
      <c r="M373" s="94" t="str">
        <f>IF(N373=0,"",IF(B373="","CDF não informado",IF(Q373=0,"REVISAR VÍNCULO: CDF inexistente",IF(C373="","Item não informado",IF(T373=0,"REVISAR VÍNCULO: item inexistente",IF(AND(X373=1,J373&lt;&gt;"Sim"),"REVISAR VÍNCULO: destinador diferente do MTR",IF(X373=1,"Destinador diferente do MTR (analisado)","OK")))))))</f>
        <v/>
      </c>
      <c r="N373" s="96">
        <f>IF(COUNTA(B373:C373,F373:G373,J373:K373)&gt;0,1,0)</f>
        <v>0</v>
      </c>
      <c r="O373" s="96" t="str">
        <f>IF(B373="","",TRIM(LEFT(B373,FIND(" |",B373&amp;" |")-1)))</f>
        <v/>
      </c>
      <c r="P373" s="96" t="str">
        <f>IF(O373="","",IFERROR(MATCH(O373,'CDFs'!$A$6:$A$505,0),""))</f>
        <v/>
      </c>
      <c r="Q373" s="96">
        <f>IF(P373="",0,IF(INDEX('CDFs'!$S$6:$S$505,P373)=1,1,0))</f>
        <v>0</v>
      </c>
      <c r="R373" s="96" t="str">
        <f>IF(C373="","",TRIM(LEFT(C373,FIND(" |",C373&amp;" |")-1)))</f>
        <v/>
      </c>
      <c r="S373" s="96" t="str">
        <f>IF(R373="","",IFERROR(MATCH(R373,'ITENS_MTR'!$A$6:$A$1005,0),""))</f>
        <v/>
      </c>
      <c r="T373" s="96">
        <f>IF(S373="",0,IF(INDEX('ITENS_MTR'!$R$6:$R$1005,S373)=1,1,0))</f>
        <v>0</v>
      </c>
      <c r="U373" s="96" t="str">
        <f>IF(G373="","",IFERROR(IF(ISNUMBER(INDEX(cfg_fac,MATCH(G373,cfg_units,0))),IF(INDEX(cfg_fac,MATCH(G373,cfg_units,0))&gt;0,INDEX(cfg_fac,MATCH(G373,cfg_units,0)),""),""),""))</f>
        <v/>
      </c>
      <c r="V373" s="96">
        <f>IF(AND(ISNUMBER(F373),ISNUMBER(H373)),IF(H373&gt;0,1,0),0)</f>
        <v>0</v>
      </c>
      <c r="W373" s="96" t="str">
        <f>IF(T373=1,INDEX('ITENS_MTR'!$AU$6:$AU$1005,S373)&amp;"","")</f>
        <v/>
      </c>
      <c r="X373" s="96">
        <f>IF(AND(Q373=1,T373=1,I373&lt;&gt;"",W373&lt;&gt;""),IF(I373&lt;&gt;W373,1,0),0)</f>
        <v>0</v>
      </c>
      <c r="Y373" s="96">
        <f>IF(N373=0,0,IF(OR(Q373=0,T373=0,V373=0,AND(X373=1,J373&lt;&gt;"Sim")),1,0))</f>
        <v>0</v>
      </c>
      <c r="Z373" s="96">
        <f>IF(Q373=1,INDEX('CDFs'!$W$6:$W$505,P373),0)</f>
        <v>0</v>
      </c>
      <c r="AA373" s="96">
        <f>IF(AND(N373=1,Y373=0,Z373=1,J373="Sim"),1,0)</f>
        <v>0</v>
      </c>
      <c r="AB373" s="96">
        <f>IF(AND(N373=1,O373&lt;&gt;"",D373&lt;&gt;""),IF(COUNTIFS($O$6:O373,O373,$D$6:D373,D373)=1,1,0),0)</f>
        <v>0</v>
      </c>
      <c r="AC373" s="96">
        <f>IF(T373=1,INDEX('ITENS_MTR'!$AL$6:$AL$1005,S373),0)</f>
        <v>0</v>
      </c>
    </row>
    <row r="374">
      <c r="A374" s="89" t="inlineStr">
        <is>
          <t>VIN-000369</t>
        </is>
      </c>
      <c r="B374" s="91" t="n"/>
      <c r="C374" s="91" t="n"/>
      <c r="D374" s="94" t="str">
        <f>IF(T374=1,INDEX('ITENS_MTR'!$S$6:$S$1005,S374)&amp;"","")</f>
        <v/>
      </c>
      <c r="E374" s="94" t="str">
        <f>IF(T374=1,INDEX('ITENS_MTR'!$C$6:$C$1005,S374)&amp;"","")</f>
        <v/>
      </c>
      <c r="F374" s="98" t="n"/>
      <c r="G374" s="91" t="n"/>
      <c r="H374" s="93" t="str">
        <f>IF(N374=0,"",IF(NOT(ISNUMBER(F374)),"",IF(ISNUMBER(U374),F374*U374,"UNIDADE A CONFERIR")))</f>
        <v/>
      </c>
      <c r="I374" s="94" t="str">
        <f>IF(Q374=1,INDEX('CDFs'!$F$6:$F$505,P374)&amp;"","")</f>
        <v/>
      </c>
      <c r="J374" s="91" t="n"/>
      <c r="K374" s="91" t="n"/>
      <c r="L374" s="94" t="str">
        <f>IF(N374=0,"",IF(NOT(ISNUMBER(F374)),"Quantidade não informada",IF(F374&lt;=0,"Quantidade não positiva",IF(G374="","Unidade não informada",IF(NOT(ISNUMBER(H374)),"Unidade a conferir",IF(AC374=1,"REVISAR VÍNCULO: soma vinculada maior que a referência do item","OK"))))))</f>
        <v/>
      </c>
      <c r="M374" s="94" t="str">
        <f>IF(N374=0,"",IF(B374="","CDF não informado",IF(Q374=0,"REVISAR VÍNCULO: CDF inexistente",IF(C374="","Item não informado",IF(T374=0,"REVISAR VÍNCULO: item inexistente",IF(AND(X374=1,J374&lt;&gt;"Sim"),"REVISAR VÍNCULO: destinador diferente do MTR",IF(X374=1,"Destinador diferente do MTR (analisado)","OK")))))))</f>
        <v/>
      </c>
      <c r="N374" s="96">
        <f>IF(COUNTA(B374:C374,F374:G374,J374:K374)&gt;0,1,0)</f>
        <v>0</v>
      </c>
      <c r="O374" s="96" t="str">
        <f>IF(B374="","",TRIM(LEFT(B374,FIND(" |",B374&amp;" |")-1)))</f>
        <v/>
      </c>
      <c r="P374" s="96" t="str">
        <f>IF(O374="","",IFERROR(MATCH(O374,'CDFs'!$A$6:$A$505,0),""))</f>
        <v/>
      </c>
      <c r="Q374" s="96">
        <f>IF(P374="",0,IF(INDEX('CDFs'!$S$6:$S$505,P374)=1,1,0))</f>
        <v>0</v>
      </c>
      <c r="R374" s="96" t="str">
        <f>IF(C374="","",TRIM(LEFT(C374,FIND(" |",C374&amp;" |")-1)))</f>
        <v/>
      </c>
      <c r="S374" s="96" t="str">
        <f>IF(R374="","",IFERROR(MATCH(R374,'ITENS_MTR'!$A$6:$A$1005,0),""))</f>
        <v/>
      </c>
      <c r="T374" s="96">
        <f>IF(S374="",0,IF(INDEX('ITENS_MTR'!$R$6:$R$1005,S374)=1,1,0))</f>
        <v>0</v>
      </c>
      <c r="U374" s="96" t="str">
        <f>IF(G374="","",IFERROR(IF(ISNUMBER(INDEX(cfg_fac,MATCH(G374,cfg_units,0))),IF(INDEX(cfg_fac,MATCH(G374,cfg_units,0))&gt;0,INDEX(cfg_fac,MATCH(G374,cfg_units,0)),""),""),""))</f>
        <v/>
      </c>
      <c r="V374" s="96">
        <f>IF(AND(ISNUMBER(F374),ISNUMBER(H374)),IF(H374&gt;0,1,0),0)</f>
        <v>0</v>
      </c>
      <c r="W374" s="96" t="str">
        <f>IF(T374=1,INDEX('ITENS_MTR'!$AU$6:$AU$1005,S374)&amp;"","")</f>
        <v/>
      </c>
      <c r="X374" s="96">
        <f>IF(AND(Q374=1,T374=1,I374&lt;&gt;"",W374&lt;&gt;""),IF(I374&lt;&gt;W374,1,0),0)</f>
        <v>0</v>
      </c>
      <c r="Y374" s="96">
        <f>IF(N374=0,0,IF(OR(Q374=0,T374=0,V374=0,AND(X374=1,J374&lt;&gt;"Sim")),1,0))</f>
        <v>0</v>
      </c>
      <c r="Z374" s="96">
        <f>IF(Q374=1,INDEX('CDFs'!$W$6:$W$505,P374),0)</f>
        <v>0</v>
      </c>
      <c r="AA374" s="96">
        <f>IF(AND(N374=1,Y374=0,Z374=1,J374="Sim"),1,0)</f>
        <v>0</v>
      </c>
      <c r="AB374" s="96">
        <f>IF(AND(N374=1,O374&lt;&gt;"",D374&lt;&gt;""),IF(COUNTIFS($O$6:O374,O374,$D$6:D374,D374)=1,1,0),0)</f>
        <v>0</v>
      </c>
      <c r="AC374" s="96">
        <f>IF(T374=1,INDEX('ITENS_MTR'!$AL$6:$AL$1005,S374),0)</f>
        <v>0</v>
      </c>
    </row>
    <row r="375">
      <c r="A375" s="89" t="inlineStr">
        <is>
          <t>VIN-000370</t>
        </is>
      </c>
      <c r="B375" s="91" t="n"/>
      <c r="C375" s="91" t="n"/>
      <c r="D375" s="94" t="str">
        <f>IF(T375=1,INDEX('ITENS_MTR'!$S$6:$S$1005,S375)&amp;"","")</f>
        <v/>
      </c>
      <c r="E375" s="94" t="str">
        <f>IF(T375=1,INDEX('ITENS_MTR'!$C$6:$C$1005,S375)&amp;"","")</f>
        <v/>
      </c>
      <c r="F375" s="98" t="n"/>
      <c r="G375" s="91" t="n"/>
      <c r="H375" s="93" t="str">
        <f>IF(N375=0,"",IF(NOT(ISNUMBER(F375)),"",IF(ISNUMBER(U375),F375*U375,"UNIDADE A CONFERIR")))</f>
        <v/>
      </c>
      <c r="I375" s="94" t="str">
        <f>IF(Q375=1,INDEX('CDFs'!$F$6:$F$505,P375)&amp;"","")</f>
        <v/>
      </c>
      <c r="J375" s="91" t="n"/>
      <c r="K375" s="91" t="n"/>
      <c r="L375" s="94" t="str">
        <f>IF(N375=0,"",IF(NOT(ISNUMBER(F375)),"Quantidade não informada",IF(F375&lt;=0,"Quantidade não positiva",IF(G375="","Unidade não informada",IF(NOT(ISNUMBER(H375)),"Unidade a conferir",IF(AC375=1,"REVISAR VÍNCULO: soma vinculada maior que a referência do item","OK"))))))</f>
        <v/>
      </c>
      <c r="M375" s="94" t="str">
        <f>IF(N375=0,"",IF(B375="","CDF não informado",IF(Q375=0,"REVISAR VÍNCULO: CDF inexistente",IF(C375="","Item não informado",IF(T375=0,"REVISAR VÍNCULO: item inexistente",IF(AND(X375=1,J375&lt;&gt;"Sim"),"REVISAR VÍNCULO: destinador diferente do MTR",IF(X375=1,"Destinador diferente do MTR (analisado)","OK")))))))</f>
        <v/>
      </c>
      <c r="N375" s="96">
        <f>IF(COUNTA(B375:C375,F375:G375,J375:K375)&gt;0,1,0)</f>
        <v>0</v>
      </c>
      <c r="O375" s="96" t="str">
        <f>IF(B375="","",TRIM(LEFT(B375,FIND(" |",B375&amp;" |")-1)))</f>
        <v/>
      </c>
      <c r="P375" s="96" t="str">
        <f>IF(O375="","",IFERROR(MATCH(O375,'CDFs'!$A$6:$A$505,0),""))</f>
        <v/>
      </c>
      <c r="Q375" s="96">
        <f>IF(P375="",0,IF(INDEX('CDFs'!$S$6:$S$505,P375)=1,1,0))</f>
        <v>0</v>
      </c>
      <c r="R375" s="96" t="str">
        <f>IF(C375="","",TRIM(LEFT(C375,FIND(" |",C375&amp;" |")-1)))</f>
        <v/>
      </c>
      <c r="S375" s="96" t="str">
        <f>IF(R375="","",IFERROR(MATCH(R375,'ITENS_MTR'!$A$6:$A$1005,0),""))</f>
        <v/>
      </c>
      <c r="T375" s="96">
        <f>IF(S375="",0,IF(INDEX('ITENS_MTR'!$R$6:$R$1005,S375)=1,1,0))</f>
        <v>0</v>
      </c>
      <c r="U375" s="96" t="str">
        <f>IF(G375="","",IFERROR(IF(ISNUMBER(INDEX(cfg_fac,MATCH(G375,cfg_units,0))),IF(INDEX(cfg_fac,MATCH(G375,cfg_units,0))&gt;0,INDEX(cfg_fac,MATCH(G375,cfg_units,0)),""),""),""))</f>
        <v/>
      </c>
      <c r="V375" s="96">
        <f>IF(AND(ISNUMBER(F375),ISNUMBER(H375)),IF(H375&gt;0,1,0),0)</f>
        <v>0</v>
      </c>
      <c r="W375" s="96" t="str">
        <f>IF(T375=1,INDEX('ITENS_MTR'!$AU$6:$AU$1005,S375)&amp;"","")</f>
        <v/>
      </c>
      <c r="X375" s="96">
        <f>IF(AND(Q375=1,T375=1,I375&lt;&gt;"",W375&lt;&gt;""),IF(I375&lt;&gt;W375,1,0),0)</f>
        <v>0</v>
      </c>
      <c r="Y375" s="96">
        <f>IF(N375=0,0,IF(OR(Q375=0,T375=0,V375=0,AND(X375=1,J375&lt;&gt;"Sim")),1,0))</f>
        <v>0</v>
      </c>
      <c r="Z375" s="96">
        <f>IF(Q375=1,INDEX('CDFs'!$W$6:$W$505,P375),0)</f>
        <v>0</v>
      </c>
      <c r="AA375" s="96">
        <f>IF(AND(N375=1,Y375=0,Z375=1,J375="Sim"),1,0)</f>
        <v>0</v>
      </c>
      <c r="AB375" s="96">
        <f>IF(AND(N375=1,O375&lt;&gt;"",D375&lt;&gt;""),IF(COUNTIFS($O$6:O375,O375,$D$6:D375,D375)=1,1,0),0)</f>
        <v>0</v>
      </c>
      <c r="AC375" s="96">
        <f>IF(T375=1,INDEX('ITENS_MTR'!$AL$6:$AL$1005,S375),0)</f>
        <v>0</v>
      </c>
    </row>
    <row r="376">
      <c r="A376" s="89" t="inlineStr">
        <is>
          <t>VIN-000371</t>
        </is>
      </c>
      <c r="B376" s="91" t="n"/>
      <c r="C376" s="91" t="n"/>
      <c r="D376" s="94" t="str">
        <f>IF(T376=1,INDEX('ITENS_MTR'!$S$6:$S$1005,S376)&amp;"","")</f>
        <v/>
      </c>
      <c r="E376" s="94" t="str">
        <f>IF(T376=1,INDEX('ITENS_MTR'!$C$6:$C$1005,S376)&amp;"","")</f>
        <v/>
      </c>
      <c r="F376" s="98" t="n"/>
      <c r="G376" s="91" t="n"/>
      <c r="H376" s="93" t="str">
        <f>IF(N376=0,"",IF(NOT(ISNUMBER(F376)),"",IF(ISNUMBER(U376),F376*U376,"UNIDADE A CONFERIR")))</f>
        <v/>
      </c>
      <c r="I376" s="94" t="str">
        <f>IF(Q376=1,INDEX('CDFs'!$F$6:$F$505,P376)&amp;"","")</f>
        <v/>
      </c>
      <c r="J376" s="91" t="n"/>
      <c r="K376" s="91" t="n"/>
      <c r="L376" s="94" t="str">
        <f>IF(N376=0,"",IF(NOT(ISNUMBER(F376)),"Quantidade não informada",IF(F376&lt;=0,"Quantidade não positiva",IF(G376="","Unidade não informada",IF(NOT(ISNUMBER(H376)),"Unidade a conferir",IF(AC376=1,"REVISAR VÍNCULO: soma vinculada maior que a referência do item","OK"))))))</f>
        <v/>
      </c>
      <c r="M376" s="94" t="str">
        <f>IF(N376=0,"",IF(B376="","CDF não informado",IF(Q376=0,"REVISAR VÍNCULO: CDF inexistente",IF(C376="","Item não informado",IF(T376=0,"REVISAR VÍNCULO: item inexistente",IF(AND(X376=1,J376&lt;&gt;"Sim"),"REVISAR VÍNCULO: destinador diferente do MTR",IF(X376=1,"Destinador diferente do MTR (analisado)","OK")))))))</f>
        <v/>
      </c>
      <c r="N376" s="96">
        <f>IF(COUNTA(B376:C376,F376:G376,J376:K376)&gt;0,1,0)</f>
        <v>0</v>
      </c>
      <c r="O376" s="96" t="str">
        <f>IF(B376="","",TRIM(LEFT(B376,FIND(" |",B376&amp;" |")-1)))</f>
        <v/>
      </c>
      <c r="P376" s="96" t="str">
        <f>IF(O376="","",IFERROR(MATCH(O376,'CDFs'!$A$6:$A$505,0),""))</f>
        <v/>
      </c>
      <c r="Q376" s="96">
        <f>IF(P376="",0,IF(INDEX('CDFs'!$S$6:$S$505,P376)=1,1,0))</f>
        <v>0</v>
      </c>
      <c r="R376" s="96" t="str">
        <f>IF(C376="","",TRIM(LEFT(C376,FIND(" |",C376&amp;" |")-1)))</f>
        <v/>
      </c>
      <c r="S376" s="96" t="str">
        <f>IF(R376="","",IFERROR(MATCH(R376,'ITENS_MTR'!$A$6:$A$1005,0),""))</f>
        <v/>
      </c>
      <c r="T376" s="96">
        <f>IF(S376="",0,IF(INDEX('ITENS_MTR'!$R$6:$R$1005,S376)=1,1,0))</f>
        <v>0</v>
      </c>
      <c r="U376" s="96" t="str">
        <f>IF(G376="","",IFERROR(IF(ISNUMBER(INDEX(cfg_fac,MATCH(G376,cfg_units,0))),IF(INDEX(cfg_fac,MATCH(G376,cfg_units,0))&gt;0,INDEX(cfg_fac,MATCH(G376,cfg_units,0)),""),""),""))</f>
        <v/>
      </c>
      <c r="V376" s="96">
        <f>IF(AND(ISNUMBER(F376),ISNUMBER(H376)),IF(H376&gt;0,1,0),0)</f>
        <v>0</v>
      </c>
      <c r="W376" s="96" t="str">
        <f>IF(T376=1,INDEX('ITENS_MTR'!$AU$6:$AU$1005,S376)&amp;"","")</f>
        <v/>
      </c>
      <c r="X376" s="96">
        <f>IF(AND(Q376=1,T376=1,I376&lt;&gt;"",W376&lt;&gt;""),IF(I376&lt;&gt;W376,1,0),0)</f>
        <v>0</v>
      </c>
      <c r="Y376" s="96">
        <f>IF(N376=0,0,IF(OR(Q376=0,T376=0,V376=0,AND(X376=1,J376&lt;&gt;"Sim")),1,0))</f>
        <v>0</v>
      </c>
      <c r="Z376" s="96">
        <f>IF(Q376=1,INDEX('CDFs'!$W$6:$W$505,P376),0)</f>
        <v>0</v>
      </c>
      <c r="AA376" s="96">
        <f>IF(AND(N376=1,Y376=0,Z376=1,J376="Sim"),1,0)</f>
        <v>0</v>
      </c>
      <c r="AB376" s="96">
        <f>IF(AND(N376=1,O376&lt;&gt;"",D376&lt;&gt;""),IF(COUNTIFS($O$6:O376,O376,$D$6:D376,D376)=1,1,0),0)</f>
        <v>0</v>
      </c>
      <c r="AC376" s="96">
        <f>IF(T376=1,INDEX('ITENS_MTR'!$AL$6:$AL$1005,S376),0)</f>
        <v>0</v>
      </c>
    </row>
    <row r="377">
      <c r="A377" s="89" t="inlineStr">
        <is>
          <t>VIN-000372</t>
        </is>
      </c>
      <c r="B377" s="91" t="n"/>
      <c r="C377" s="91" t="n"/>
      <c r="D377" s="94" t="str">
        <f>IF(T377=1,INDEX('ITENS_MTR'!$S$6:$S$1005,S377)&amp;"","")</f>
        <v/>
      </c>
      <c r="E377" s="94" t="str">
        <f>IF(T377=1,INDEX('ITENS_MTR'!$C$6:$C$1005,S377)&amp;"","")</f>
        <v/>
      </c>
      <c r="F377" s="98" t="n"/>
      <c r="G377" s="91" t="n"/>
      <c r="H377" s="93" t="str">
        <f>IF(N377=0,"",IF(NOT(ISNUMBER(F377)),"",IF(ISNUMBER(U377),F377*U377,"UNIDADE A CONFERIR")))</f>
        <v/>
      </c>
      <c r="I377" s="94" t="str">
        <f>IF(Q377=1,INDEX('CDFs'!$F$6:$F$505,P377)&amp;"","")</f>
        <v/>
      </c>
      <c r="J377" s="91" t="n"/>
      <c r="K377" s="91" t="n"/>
      <c r="L377" s="94" t="str">
        <f>IF(N377=0,"",IF(NOT(ISNUMBER(F377)),"Quantidade não informada",IF(F377&lt;=0,"Quantidade não positiva",IF(G377="","Unidade não informada",IF(NOT(ISNUMBER(H377)),"Unidade a conferir",IF(AC377=1,"REVISAR VÍNCULO: soma vinculada maior que a referência do item","OK"))))))</f>
        <v/>
      </c>
      <c r="M377" s="94" t="str">
        <f>IF(N377=0,"",IF(B377="","CDF não informado",IF(Q377=0,"REVISAR VÍNCULO: CDF inexistente",IF(C377="","Item não informado",IF(T377=0,"REVISAR VÍNCULO: item inexistente",IF(AND(X377=1,J377&lt;&gt;"Sim"),"REVISAR VÍNCULO: destinador diferente do MTR",IF(X377=1,"Destinador diferente do MTR (analisado)","OK")))))))</f>
        <v/>
      </c>
      <c r="N377" s="96">
        <f>IF(COUNTA(B377:C377,F377:G377,J377:K377)&gt;0,1,0)</f>
        <v>0</v>
      </c>
      <c r="O377" s="96" t="str">
        <f>IF(B377="","",TRIM(LEFT(B377,FIND(" |",B377&amp;" |")-1)))</f>
        <v/>
      </c>
      <c r="P377" s="96" t="str">
        <f>IF(O377="","",IFERROR(MATCH(O377,'CDFs'!$A$6:$A$505,0),""))</f>
        <v/>
      </c>
      <c r="Q377" s="96">
        <f>IF(P377="",0,IF(INDEX('CDFs'!$S$6:$S$505,P377)=1,1,0))</f>
        <v>0</v>
      </c>
      <c r="R377" s="96" t="str">
        <f>IF(C377="","",TRIM(LEFT(C377,FIND(" |",C377&amp;" |")-1)))</f>
        <v/>
      </c>
      <c r="S377" s="96" t="str">
        <f>IF(R377="","",IFERROR(MATCH(R377,'ITENS_MTR'!$A$6:$A$1005,0),""))</f>
        <v/>
      </c>
      <c r="T377" s="96">
        <f>IF(S377="",0,IF(INDEX('ITENS_MTR'!$R$6:$R$1005,S377)=1,1,0))</f>
        <v>0</v>
      </c>
      <c r="U377" s="96" t="str">
        <f>IF(G377="","",IFERROR(IF(ISNUMBER(INDEX(cfg_fac,MATCH(G377,cfg_units,0))),IF(INDEX(cfg_fac,MATCH(G377,cfg_units,0))&gt;0,INDEX(cfg_fac,MATCH(G377,cfg_units,0)),""),""),""))</f>
        <v/>
      </c>
      <c r="V377" s="96">
        <f>IF(AND(ISNUMBER(F377),ISNUMBER(H377)),IF(H377&gt;0,1,0),0)</f>
        <v>0</v>
      </c>
      <c r="W377" s="96" t="str">
        <f>IF(T377=1,INDEX('ITENS_MTR'!$AU$6:$AU$1005,S377)&amp;"","")</f>
        <v/>
      </c>
      <c r="X377" s="96">
        <f>IF(AND(Q377=1,T377=1,I377&lt;&gt;"",W377&lt;&gt;""),IF(I377&lt;&gt;W377,1,0),0)</f>
        <v>0</v>
      </c>
      <c r="Y377" s="96">
        <f>IF(N377=0,0,IF(OR(Q377=0,T377=0,V377=0,AND(X377=1,J377&lt;&gt;"Sim")),1,0))</f>
        <v>0</v>
      </c>
      <c r="Z377" s="96">
        <f>IF(Q377=1,INDEX('CDFs'!$W$6:$W$505,P377),0)</f>
        <v>0</v>
      </c>
      <c r="AA377" s="96">
        <f>IF(AND(N377=1,Y377=0,Z377=1,J377="Sim"),1,0)</f>
        <v>0</v>
      </c>
      <c r="AB377" s="96">
        <f>IF(AND(N377=1,O377&lt;&gt;"",D377&lt;&gt;""),IF(COUNTIFS($O$6:O377,O377,$D$6:D377,D377)=1,1,0),0)</f>
        <v>0</v>
      </c>
      <c r="AC377" s="96">
        <f>IF(T377=1,INDEX('ITENS_MTR'!$AL$6:$AL$1005,S377),0)</f>
        <v>0</v>
      </c>
    </row>
    <row r="378">
      <c r="A378" s="89" t="inlineStr">
        <is>
          <t>VIN-000373</t>
        </is>
      </c>
      <c r="B378" s="91" t="n"/>
      <c r="C378" s="91" t="n"/>
      <c r="D378" s="94" t="str">
        <f>IF(T378=1,INDEX('ITENS_MTR'!$S$6:$S$1005,S378)&amp;"","")</f>
        <v/>
      </c>
      <c r="E378" s="94" t="str">
        <f>IF(T378=1,INDEX('ITENS_MTR'!$C$6:$C$1005,S378)&amp;"","")</f>
        <v/>
      </c>
      <c r="F378" s="98" t="n"/>
      <c r="G378" s="91" t="n"/>
      <c r="H378" s="93" t="str">
        <f>IF(N378=0,"",IF(NOT(ISNUMBER(F378)),"",IF(ISNUMBER(U378),F378*U378,"UNIDADE A CONFERIR")))</f>
        <v/>
      </c>
      <c r="I378" s="94" t="str">
        <f>IF(Q378=1,INDEX('CDFs'!$F$6:$F$505,P378)&amp;"","")</f>
        <v/>
      </c>
      <c r="J378" s="91" t="n"/>
      <c r="K378" s="91" t="n"/>
      <c r="L378" s="94" t="str">
        <f>IF(N378=0,"",IF(NOT(ISNUMBER(F378)),"Quantidade não informada",IF(F378&lt;=0,"Quantidade não positiva",IF(G378="","Unidade não informada",IF(NOT(ISNUMBER(H378)),"Unidade a conferir",IF(AC378=1,"REVISAR VÍNCULO: soma vinculada maior que a referência do item","OK"))))))</f>
        <v/>
      </c>
      <c r="M378" s="94" t="str">
        <f>IF(N378=0,"",IF(B378="","CDF não informado",IF(Q378=0,"REVISAR VÍNCULO: CDF inexistente",IF(C378="","Item não informado",IF(T378=0,"REVISAR VÍNCULO: item inexistente",IF(AND(X378=1,J378&lt;&gt;"Sim"),"REVISAR VÍNCULO: destinador diferente do MTR",IF(X378=1,"Destinador diferente do MTR (analisado)","OK")))))))</f>
        <v/>
      </c>
      <c r="N378" s="96">
        <f>IF(COUNTA(B378:C378,F378:G378,J378:K378)&gt;0,1,0)</f>
        <v>0</v>
      </c>
      <c r="O378" s="96" t="str">
        <f>IF(B378="","",TRIM(LEFT(B378,FIND(" |",B378&amp;" |")-1)))</f>
        <v/>
      </c>
      <c r="P378" s="96" t="str">
        <f>IF(O378="","",IFERROR(MATCH(O378,'CDFs'!$A$6:$A$505,0),""))</f>
        <v/>
      </c>
      <c r="Q378" s="96">
        <f>IF(P378="",0,IF(INDEX('CDFs'!$S$6:$S$505,P378)=1,1,0))</f>
        <v>0</v>
      </c>
      <c r="R378" s="96" t="str">
        <f>IF(C378="","",TRIM(LEFT(C378,FIND(" |",C378&amp;" |")-1)))</f>
        <v/>
      </c>
      <c r="S378" s="96" t="str">
        <f>IF(R378="","",IFERROR(MATCH(R378,'ITENS_MTR'!$A$6:$A$1005,0),""))</f>
        <v/>
      </c>
      <c r="T378" s="96">
        <f>IF(S378="",0,IF(INDEX('ITENS_MTR'!$R$6:$R$1005,S378)=1,1,0))</f>
        <v>0</v>
      </c>
      <c r="U378" s="96" t="str">
        <f>IF(G378="","",IFERROR(IF(ISNUMBER(INDEX(cfg_fac,MATCH(G378,cfg_units,0))),IF(INDEX(cfg_fac,MATCH(G378,cfg_units,0))&gt;0,INDEX(cfg_fac,MATCH(G378,cfg_units,0)),""),""),""))</f>
        <v/>
      </c>
      <c r="V378" s="96">
        <f>IF(AND(ISNUMBER(F378),ISNUMBER(H378)),IF(H378&gt;0,1,0),0)</f>
        <v>0</v>
      </c>
      <c r="W378" s="96" t="str">
        <f>IF(T378=1,INDEX('ITENS_MTR'!$AU$6:$AU$1005,S378)&amp;"","")</f>
        <v/>
      </c>
      <c r="X378" s="96">
        <f>IF(AND(Q378=1,T378=1,I378&lt;&gt;"",W378&lt;&gt;""),IF(I378&lt;&gt;W378,1,0),0)</f>
        <v>0</v>
      </c>
      <c r="Y378" s="96">
        <f>IF(N378=0,0,IF(OR(Q378=0,T378=0,V378=0,AND(X378=1,J378&lt;&gt;"Sim")),1,0))</f>
        <v>0</v>
      </c>
      <c r="Z378" s="96">
        <f>IF(Q378=1,INDEX('CDFs'!$W$6:$W$505,P378),0)</f>
        <v>0</v>
      </c>
      <c r="AA378" s="96">
        <f>IF(AND(N378=1,Y378=0,Z378=1,J378="Sim"),1,0)</f>
        <v>0</v>
      </c>
      <c r="AB378" s="96">
        <f>IF(AND(N378=1,O378&lt;&gt;"",D378&lt;&gt;""),IF(COUNTIFS($O$6:O378,O378,$D$6:D378,D378)=1,1,0),0)</f>
        <v>0</v>
      </c>
      <c r="AC378" s="96">
        <f>IF(T378=1,INDEX('ITENS_MTR'!$AL$6:$AL$1005,S378),0)</f>
        <v>0</v>
      </c>
    </row>
    <row r="379">
      <c r="A379" s="89" t="inlineStr">
        <is>
          <t>VIN-000374</t>
        </is>
      </c>
      <c r="B379" s="91" t="n"/>
      <c r="C379" s="91" t="n"/>
      <c r="D379" s="94" t="str">
        <f>IF(T379=1,INDEX('ITENS_MTR'!$S$6:$S$1005,S379)&amp;"","")</f>
        <v/>
      </c>
      <c r="E379" s="94" t="str">
        <f>IF(T379=1,INDEX('ITENS_MTR'!$C$6:$C$1005,S379)&amp;"","")</f>
        <v/>
      </c>
      <c r="F379" s="98" t="n"/>
      <c r="G379" s="91" t="n"/>
      <c r="H379" s="93" t="str">
        <f>IF(N379=0,"",IF(NOT(ISNUMBER(F379)),"",IF(ISNUMBER(U379),F379*U379,"UNIDADE A CONFERIR")))</f>
        <v/>
      </c>
      <c r="I379" s="94" t="str">
        <f>IF(Q379=1,INDEX('CDFs'!$F$6:$F$505,P379)&amp;"","")</f>
        <v/>
      </c>
      <c r="J379" s="91" t="n"/>
      <c r="K379" s="91" t="n"/>
      <c r="L379" s="94" t="str">
        <f>IF(N379=0,"",IF(NOT(ISNUMBER(F379)),"Quantidade não informada",IF(F379&lt;=0,"Quantidade não positiva",IF(G379="","Unidade não informada",IF(NOT(ISNUMBER(H379)),"Unidade a conferir",IF(AC379=1,"REVISAR VÍNCULO: soma vinculada maior que a referência do item","OK"))))))</f>
        <v/>
      </c>
      <c r="M379" s="94" t="str">
        <f>IF(N379=0,"",IF(B379="","CDF não informado",IF(Q379=0,"REVISAR VÍNCULO: CDF inexistente",IF(C379="","Item não informado",IF(T379=0,"REVISAR VÍNCULO: item inexistente",IF(AND(X379=1,J379&lt;&gt;"Sim"),"REVISAR VÍNCULO: destinador diferente do MTR",IF(X379=1,"Destinador diferente do MTR (analisado)","OK")))))))</f>
        <v/>
      </c>
      <c r="N379" s="96">
        <f>IF(COUNTA(B379:C379,F379:G379,J379:K379)&gt;0,1,0)</f>
        <v>0</v>
      </c>
      <c r="O379" s="96" t="str">
        <f>IF(B379="","",TRIM(LEFT(B379,FIND(" |",B379&amp;" |")-1)))</f>
        <v/>
      </c>
      <c r="P379" s="96" t="str">
        <f>IF(O379="","",IFERROR(MATCH(O379,'CDFs'!$A$6:$A$505,0),""))</f>
        <v/>
      </c>
      <c r="Q379" s="96">
        <f>IF(P379="",0,IF(INDEX('CDFs'!$S$6:$S$505,P379)=1,1,0))</f>
        <v>0</v>
      </c>
      <c r="R379" s="96" t="str">
        <f>IF(C379="","",TRIM(LEFT(C379,FIND(" |",C379&amp;" |")-1)))</f>
        <v/>
      </c>
      <c r="S379" s="96" t="str">
        <f>IF(R379="","",IFERROR(MATCH(R379,'ITENS_MTR'!$A$6:$A$1005,0),""))</f>
        <v/>
      </c>
      <c r="T379" s="96">
        <f>IF(S379="",0,IF(INDEX('ITENS_MTR'!$R$6:$R$1005,S379)=1,1,0))</f>
        <v>0</v>
      </c>
      <c r="U379" s="96" t="str">
        <f>IF(G379="","",IFERROR(IF(ISNUMBER(INDEX(cfg_fac,MATCH(G379,cfg_units,0))),IF(INDEX(cfg_fac,MATCH(G379,cfg_units,0))&gt;0,INDEX(cfg_fac,MATCH(G379,cfg_units,0)),""),""),""))</f>
        <v/>
      </c>
      <c r="V379" s="96">
        <f>IF(AND(ISNUMBER(F379),ISNUMBER(H379)),IF(H379&gt;0,1,0),0)</f>
        <v>0</v>
      </c>
      <c r="W379" s="96" t="str">
        <f>IF(T379=1,INDEX('ITENS_MTR'!$AU$6:$AU$1005,S379)&amp;"","")</f>
        <v/>
      </c>
      <c r="X379" s="96">
        <f>IF(AND(Q379=1,T379=1,I379&lt;&gt;"",W379&lt;&gt;""),IF(I379&lt;&gt;W379,1,0),0)</f>
        <v>0</v>
      </c>
      <c r="Y379" s="96">
        <f>IF(N379=0,0,IF(OR(Q379=0,T379=0,V379=0,AND(X379=1,J379&lt;&gt;"Sim")),1,0))</f>
        <v>0</v>
      </c>
      <c r="Z379" s="96">
        <f>IF(Q379=1,INDEX('CDFs'!$W$6:$W$505,P379),0)</f>
        <v>0</v>
      </c>
      <c r="AA379" s="96">
        <f>IF(AND(N379=1,Y379=0,Z379=1,J379="Sim"),1,0)</f>
        <v>0</v>
      </c>
      <c r="AB379" s="96">
        <f>IF(AND(N379=1,O379&lt;&gt;"",D379&lt;&gt;""),IF(COUNTIFS($O$6:O379,O379,$D$6:D379,D379)=1,1,0),0)</f>
        <v>0</v>
      </c>
      <c r="AC379" s="96">
        <f>IF(T379=1,INDEX('ITENS_MTR'!$AL$6:$AL$1005,S379),0)</f>
        <v>0</v>
      </c>
    </row>
    <row r="380">
      <c r="A380" s="89" t="inlineStr">
        <is>
          <t>VIN-000375</t>
        </is>
      </c>
      <c r="B380" s="91" t="n"/>
      <c r="C380" s="91" t="n"/>
      <c r="D380" s="94" t="str">
        <f>IF(T380=1,INDEX('ITENS_MTR'!$S$6:$S$1005,S380)&amp;"","")</f>
        <v/>
      </c>
      <c r="E380" s="94" t="str">
        <f>IF(T380=1,INDEX('ITENS_MTR'!$C$6:$C$1005,S380)&amp;"","")</f>
        <v/>
      </c>
      <c r="F380" s="98" t="n"/>
      <c r="G380" s="91" t="n"/>
      <c r="H380" s="93" t="str">
        <f>IF(N380=0,"",IF(NOT(ISNUMBER(F380)),"",IF(ISNUMBER(U380),F380*U380,"UNIDADE A CONFERIR")))</f>
        <v/>
      </c>
      <c r="I380" s="94" t="str">
        <f>IF(Q380=1,INDEX('CDFs'!$F$6:$F$505,P380)&amp;"","")</f>
        <v/>
      </c>
      <c r="J380" s="91" t="n"/>
      <c r="K380" s="91" t="n"/>
      <c r="L380" s="94" t="str">
        <f>IF(N380=0,"",IF(NOT(ISNUMBER(F380)),"Quantidade não informada",IF(F380&lt;=0,"Quantidade não positiva",IF(G380="","Unidade não informada",IF(NOT(ISNUMBER(H380)),"Unidade a conferir",IF(AC380=1,"REVISAR VÍNCULO: soma vinculada maior que a referência do item","OK"))))))</f>
        <v/>
      </c>
      <c r="M380" s="94" t="str">
        <f>IF(N380=0,"",IF(B380="","CDF não informado",IF(Q380=0,"REVISAR VÍNCULO: CDF inexistente",IF(C380="","Item não informado",IF(T380=0,"REVISAR VÍNCULO: item inexistente",IF(AND(X380=1,J380&lt;&gt;"Sim"),"REVISAR VÍNCULO: destinador diferente do MTR",IF(X380=1,"Destinador diferente do MTR (analisado)","OK")))))))</f>
        <v/>
      </c>
      <c r="N380" s="96">
        <f>IF(COUNTA(B380:C380,F380:G380,J380:K380)&gt;0,1,0)</f>
        <v>0</v>
      </c>
      <c r="O380" s="96" t="str">
        <f>IF(B380="","",TRIM(LEFT(B380,FIND(" |",B380&amp;" |")-1)))</f>
        <v/>
      </c>
      <c r="P380" s="96" t="str">
        <f>IF(O380="","",IFERROR(MATCH(O380,'CDFs'!$A$6:$A$505,0),""))</f>
        <v/>
      </c>
      <c r="Q380" s="96">
        <f>IF(P380="",0,IF(INDEX('CDFs'!$S$6:$S$505,P380)=1,1,0))</f>
        <v>0</v>
      </c>
      <c r="R380" s="96" t="str">
        <f>IF(C380="","",TRIM(LEFT(C380,FIND(" |",C380&amp;" |")-1)))</f>
        <v/>
      </c>
      <c r="S380" s="96" t="str">
        <f>IF(R380="","",IFERROR(MATCH(R380,'ITENS_MTR'!$A$6:$A$1005,0),""))</f>
        <v/>
      </c>
      <c r="T380" s="96">
        <f>IF(S380="",0,IF(INDEX('ITENS_MTR'!$R$6:$R$1005,S380)=1,1,0))</f>
        <v>0</v>
      </c>
      <c r="U380" s="96" t="str">
        <f>IF(G380="","",IFERROR(IF(ISNUMBER(INDEX(cfg_fac,MATCH(G380,cfg_units,0))),IF(INDEX(cfg_fac,MATCH(G380,cfg_units,0))&gt;0,INDEX(cfg_fac,MATCH(G380,cfg_units,0)),""),""),""))</f>
        <v/>
      </c>
      <c r="V380" s="96">
        <f>IF(AND(ISNUMBER(F380),ISNUMBER(H380)),IF(H380&gt;0,1,0),0)</f>
        <v>0</v>
      </c>
      <c r="W380" s="96" t="str">
        <f>IF(T380=1,INDEX('ITENS_MTR'!$AU$6:$AU$1005,S380)&amp;"","")</f>
        <v/>
      </c>
      <c r="X380" s="96">
        <f>IF(AND(Q380=1,T380=1,I380&lt;&gt;"",W380&lt;&gt;""),IF(I380&lt;&gt;W380,1,0),0)</f>
        <v>0</v>
      </c>
      <c r="Y380" s="96">
        <f>IF(N380=0,0,IF(OR(Q380=0,T380=0,V380=0,AND(X380=1,J380&lt;&gt;"Sim")),1,0))</f>
        <v>0</v>
      </c>
      <c r="Z380" s="96">
        <f>IF(Q380=1,INDEX('CDFs'!$W$6:$W$505,P380),0)</f>
        <v>0</v>
      </c>
      <c r="AA380" s="96">
        <f>IF(AND(N380=1,Y380=0,Z380=1,J380="Sim"),1,0)</f>
        <v>0</v>
      </c>
      <c r="AB380" s="96">
        <f>IF(AND(N380=1,O380&lt;&gt;"",D380&lt;&gt;""),IF(COUNTIFS($O$6:O380,O380,$D$6:D380,D380)=1,1,0),0)</f>
        <v>0</v>
      </c>
      <c r="AC380" s="96">
        <f>IF(T380=1,INDEX('ITENS_MTR'!$AL$6:$AL$1005,S380),0)</f>
        <v>0</v>
      </c>
    </row>
    <row r="381">
      <c r="A381" s="89" t="inlineStr">
        <is>
          <t>VIN-000376</t>
        </is>
      </c>
      <c r="B381" s="91" t="n"/>
      <c r="C381" s="91" t="n"/>
      <c r="D381" s="94" t="str">
        <f>IF(T381=1,INDEX('ITENS_MTR'!$S$6:$S$1005,S381)&amp;"","")</f>
        <v/>
      </c>
      <c r="E381" s="94" t="str">
        <f>IF(T381=1,INDEX('ITENS_MTR'!$C$6:$C$1005,S381)&amp;"","")</f>
        <v/>
      </c>
      <c r="F381" s="98" t="n"/>
      <c r="G381" s="91" t="n"/>
      <c r="H381" s="93" t="str">
        <f>IF(N381=0,"",IF(NOT(ISNUMBER(F381)),"",IF(ISNUMBER(U381),F381*U381,"UNIDADE A CONFERIR")))</f>
        <v/>
      </c>
      <c r="I381" s="94" t="str">
        <f>IF(Q381=1,INDEX('CDFs'!$F$6:$F$505,P381)&amp;"","")</f>
        <v/>
      </c>
      <c r="J381" s="91" t="n"/>
      <c r="K381" s="91" t="n"/>
      <c r="L381" s="94" t="str">
        <f>IF(N381=0,"",IF(NOT(ISNUMBER(F381)),"Quantidade não informada",IF(F381&lt;=0,"Quantidade não positiva",IF(G381="","Unidade não informada",IF(NOT(ISNUMBER(H381)),"Unidade a conferir",IF(AC381=1,"REVISAR VÍNCULO: soma vinculada maior que a referência do item","OK"))))))</f>
        <v/>
      </c>
      <c r="M381" s="94" t="str">
        <f>IF(N381=0,"",IF(B381="","CDF não informado",IF(Q381=0,"REVISAR VÍNCULO: CDF inexistente",IF(C381="","Item não informado",IF(T381=0,"REVISAR VÍNCULO: item inexistente",IF(AND(X381=1,J381&lt;&gt;"Sim"),"REVISAR VÍNCULO: destinador diferente do MTR",IF(X381=1,"Destinador diferente do MTR (analisado)","OK")))))))</f>
        <v/>
      </c>
      <c r="N381" s="96">
        <f>IF(COUNTA(B381:C381,F381:G381,J381:K381)&gt;0,1,0)</f>
        <v>0</v>
      </c>
      <c r="O381" s="96" t="str">
        <f>IF(B381="","",TRIM(LEFT(B381,FIND(" |",B381&amp;" |")-1)))</f>
        <v/>
      </c>
      <c r="P381" s="96" t="str">
        <f>IF(O381="","",IFERROR(MATCH(O381,'CDFs'!$A$6:$A$505,0),""))</f>
        <v/>
      </c>
      <c r="Q381" s="96">
        <f>IF(P381="",0,IF(INDEX('CDFs'!$S$6:$S$505,P381)=1,1,0))</f>
        <v>0</v>
      </c>
      <c r="R381" s="96" t="str">
        <f>IF(C381="","",TRIM(LEFT(C381,FIND(" |",C381&amp;" |")-1)))</f>
        <v/>
      </c>
      <c r="S381" s="96" t="str">
        <f>IF(R381="","",IFERROR(MATCH(R381,'ITENS_MTR'!$A$6:$A$1005,0),""))</f>
        <v/>
      </c>
      <c r="T381" s="96">
        <f>IF(S381="",0,IF(INDEX('ITENS_MTR'!$R$6:$R$1005,S381)=1,1,0))</f>
        <v>0</v>
      </c>
      <c r="U381" s="96" t="str">
        <f>IF(G381="","",IFERROR(IF(ISNUMBER(INDEX(cfg_fac,MATCH(G381,cfg_units,0))),IF(INDEX(cfg_fac,MATCH(G381,cfg_units,0))&gt;0,INDEX(cfg_fac,MATCH(G381,cfg_units,0)),""),""),""))</f>
        <v/>
      </c>
      <c r="V381" s="96">
        <f>IF(AND(ISNUMBER(F381),ISNUMBER(H381)),IF(H381&gt;0,1,0),0)</f>
        <v>0</v>
      </c>
      <c r="W381" s="96" t="str">
        <f>IF(T381=1,INDEX('ITENS_MTR'!$AU$6:$AU$1005,S381)&amp;"","")</f>
        <v/>
      </c>
      <c r="X381" s="96">
        <f>IF(AND(Q381=1,T381=1,I381&lt;&gt;"",W381&lt;&gt;""),IF(I381&lt;&gt;W381,1,0),0)</f>
        <v>0</v>
      </c>
      <c r="Y381" s="96">
        <f>IF(N381=0,0,IF(OR(Q381=0,T381=0,V381=0,AND(X381=1,J381&lt;&gt;"Sim")),1,0))</f>
        <v>0</v>
      </c>
      <c r="Z381" s="96">
        <f>IF(Q381=1,INDEX('CDFs'!$W$6:$W$505,P381),0)</f>
        <v>0</v>
      </c>
      <c r="AA381" s="96">
        <f>IF(AND(N381=1,Y381=0,Z381=1,J381="Sim"),1,0)</f>
        <v>0</v>
      </c>
      <c r="AB381" s="96">
        <f>IF(AND(N381=1,O381&lt;&gt;"",D381&lt;&gt;""),IF(COUNTIFS($O$6:O381,O381,$D$6:D381,D381)=1,1,0),0)</f>
        <v>0</v>
      </c>
      <c r="AC381" s="96">
        <f>IF(T381=1,INDEX('ITENS_MTR'!$AL$6:$AL$1005,S381),0)</f>
        <v>0</v>
      </c>
    </row>
    <row r="382">
      <c r="A382" s="89" t="inlineStr">
        <is>
          <t>VIN-000377</t>
        </is>
      </c>
      <c r="B382" s="91" t="n"/>
      <c r="C382" s="91" t="n"/>
      <c r="D382" s="94" t="str">
        <f>IF(T382=1,INDEX('ITENS_MTR'!$S$6:$S$1005,S382)&amp;"","")</f>
        <v/>
      </c>
      <c r="E382" s="94" t="str">
        <f>IF(T382=1,INDEX('ITENS_MTR'!$C$6:$C$1005,S382)&amp;"","")</f>
        <v/>
      </c>
      <c r="F382" s="98" t="n"/>
      <c r="G382" s="91" t="n"/>
      <c r="H382" s="93" t="str">
        <f>IF(N382=0,"",IF(NOT(ISNUMBER(F382)),"",IF(ISNUMBER(U382),F382*U382,"UNIDADE A CONFERIR")))</f>
        <v/>
      </c>
      <c r="I382" s="94" t="str">
        <f>IF(Q382=1,INDEX('CDFs'!$F$6:$F$505,P382)&amp;"","")</f>
        <v/>
      </c>
      <c r="J382" s="91" t="n"/>
      <c r="K382" s="91" t="n"/>
      <c r="L382" s="94" t="str">
        <f>IF(N382=0,"",IF(NOT(ISNUMBER(F382)),"Quantidade não informada",IF(F382&lt;=0,"Quantidade não positiva",IF(G382="","Unidade não informada",IF(NOT(ISNUMBER(H382)),"Unidade a conferir",IF(AC382=1,"REVISAR VÍNCULO: soma vinculada maior que a referência do item","OK"))))))</f>
        <v/>
      </c>
      <c r="M382" s="94" t="str">
        <f>IF(N382=0,"",IF(B382="","CDF não informado",IF(Q382=0,"REVISAR VÍNCULO: CDF inexistente",IF(C382="","Item não informado",IF(T382=0,"REVISAR VÍNCULO: item inexistente",IF(AND(X382=1,J382&lt;&gt;"Sim"),"REVISAR VÍNCULO: destinador diferente do MTR",IF(X382=1,"Destinador diferente do MTR (analisado)","OK")))))))</f>
        <v/>
      </c>
      <c r="N382" s="96">
        <f>IF(COUNTA(B382:C382,F382:G382,J382:K382)&gt;0,1,0)</f>
        <v>0</v>
      </c>
      <c r="O382" s="96" t="str">
        <f>IF(B382="","",TRIM(LEFT(B382,FIND(" |",B382&amp;" |")-1)))</f>
        <v/>
      </c>
      <c r="P382" s="96" t="str">
        <f>IF(O382="","",IFERROR(MATCH(O382,'CDFs'!$A$6:$A$505,0),""))</f>
        <v/>
      </c>
      <c r="Q382" s="96">
        <f>IF(P382="",0,IF(INDEX('CDFs'!$S$6:$S$505,P382)=1,1,0))</f>
        <v>0</v>
      </c>
      <c r="R382" s="96" t="str">
        <f>IF(C382="","",TRIM(LEFT(C382,FIND(" |",C382&amp;" |")-1)))</f>
        <v/>
      </c>
      <c r="S382" s="96" t="str">
        <f>IF(R382="","",IFERROR(MATCH(R382,'ITENS_MTR'!$A$6:$A$1005,0),""))</f>
        <v/>
      </c>
      <c r="T382" s="96">
        <f>IF(S382="",0,IF(INDEX('ITENS_MTR'!$R$6:$R$1005,S382)=1,1,0))</f>
        <v>0</v>
      </c>
      <c r="U382" s="96" t="str">
        <f>IF(G382="","",IFERROR(IF(ISNUMBER(INDEX(cfg_fac,MATCH(G382,cfg_units,0))),IF(INDEX(cfg_fac,MATCH(G382,cfg_units,0))&gt;0,INDEX(cfg_fac,MATCH(G382,cfg_units,0)),""),""),""))</f>
        <v/>
      </c>
      <c r="V382" s="96">
        <f>IF(AND(ISNUMBER(F382),ISNUMBER(H382)),IF(H382&gt;0,1,0),0)</f>
        <v>0</v>
      </c>
      <c r="W382" s="96" t="str">
        <f>IF(T382=1,INDEX('ITENS_MTR'!$AU$6:$AU$1005,S382)&amp;"","")</f>
        <v/>
      </c>
      <c r="X382" s="96">
        <f>IF(AND(Q382=1,T382=1,I382&lt;&gt;"",W382&lt;&gt;""),IF(I382&lt;&gt;W382,1,0),0)</f>
        <v>0</v>
      </c>
      <c r="Y382" s="96">
        <f>IF(N382=0,0,IF(OR(Q382=0,T382=0,V382=0,AND(X382=1,J382&lt;&gt;"Sim")),1,0))</f>
        <v>0</v>
      </c>
      <c r="Z382" s="96">
        <f>IF(Q382=1,INDEX('CDFs'!$W$6:$W$505,P382),0)</f>
        <v>0</v>
      </c>
      <c r="AA382" s="96">
        <f>IF(AND(N382=1,Y382=0,Z382=1,J382="Sim"),1,0)</f>
        <v>0</v>
      </c>
      <c r="AB382" s="96">
        <f>IF(AND(N382=1,O382&lt;&gt;"",D382&lt;&gt;""),IF(COUNTIFS($O$6:O382,O382,$D$6:D382,D382)=1,1,0),0)</f>
        <v>0</v>
      </c>
      <c r="AC382" s="96">
        <f>IF(T382=1,INDEX('ITENS_MTR'!$AL$6:$AL$1005,S382),0)</f>
        <v>0</v>
      </c>
    </row>
    <row r="383">
      <c r="A383" s="89" t="inlineStr">
        <is>
          <t>VIN-000378</t>
        </is>
      </c>
      <c r="B383" s="91" t="n"/>
      <c r="C383" s="91" t="n"/>
      <c r="D383" s="94" t="str">
        <f>IF(T383=1,INDEX('ITENS_MTR'!$S$6:$S$1005,S383)&amp;"","")</f>
        <v/>
      </c>
      <c r="E383" s="94" t="str">
        <f>IF(T383=1,INDEX('ITENS_MTR'!$C$6:$C$1005,S383)&amp;"","")</f>
        <v/>
      </c>
      <c r="F383" s="98" t="n"/>
      <c r="G383" s="91" t="n"/>
      <c r="H383" s="93" t="str">
        <f>IF(N383=0,"",IF(NOT(ISNUMBER(F383)),"",IF(ISNUMBER(U383),F383*U383,"UNIDADE A CONFERIR")))</f>
        <v/>
      </c>
      <c r="I383" s="94" t="str">
        <f>IF(Q383=1,INDEX('CDFs'!$F$6:$F$505,P383)&amp;"","")</f>
        <v/>
      </c>
      <c r="J383" s="91" t="n"/>
      <c r="K383" s="91" t="n"/>
      <c r="L383" s="94" t="str">
        <f>IF(N383=0,"",IF(NOT(ISNUMBER(F383)),"Quantidade não informada",IF(F383&lt;=0,"Quantidade não positiva",IF(G383="","Unidade não informada",IF(NOT(ISNUMBER(H383)),"Unidade a conferir",IF(AC383=1,"REVISAR VÍNCULO: soma vinculada maior que a referência do item","OK"))))))</f>
        <v/>
      </c>
      <c r="M383" s="94" t="str">
        <f>IF(N383=0,"",IF(B383="","CDF não informado",IF(Q383=0,"REVISAR VÍNCULO: CDF inexistente",IF(C383="","Item não informado",IF(T383=0,"REVISAR VÍNCULO: item inexistente",IF(AND(X383=1,J383&lt;&gt;"Sim"),"REVISAR VÍNCULO: destinador diferente do MTR",IF(X383=1,"Destinador diferente do MTR (analisado)","OK")))))))</f>
        <v/>
      </c>
      <c r="N383" s="96">
        <f>IF(COUNTA(B383:C383,F383:G383,J383:K383)&gt;0,1,0)</f>
        <v>0</v>
      </c>
      <c r="O383" s="96" t="str">
        <f>IF(B383="","",TRIM(LEFT(B383,FIND(" |",B383&amp;" |")-1)))</f>
        <v/>
      </c>
      <c r="P383" s="96" t="str">
        <f>IF(O383="","",IFERROR(MATCH(O383,'CDFs'!$A$6:$A$505,0),""))</f>
        <v/>
      </c>
      <c r="Q383" s="96">
        <f>IF(P383="",0,IF(INDEX('CDFs'!$S$6:$S$505,P383)=1,1,0))</f>
        <v>0</v>
      </c>
      <c r="R383" s="96" t="str">
        <f>IF(C383="","",TRIM(LEFT(C383,FIND(" |",C383&amp;" |")-1)))</f>
        <v/>
      </c>
      <c r="S383" s="96" t="str">
        <f>IF(R383="","",IFERROR(MATCH(R383,'ITENS_MTR'!$A$6:$A$1005,0),""))</f>
        <v/>
      </c>
      <c r="T383" s="96">
        <f>IF(S383="",0,IF(INDEX('ITENS_MTR'!$R$6:$R$1005,S383)=1,1,0))</f>
        <v>0</v>
      </c>
      <c r="U383" s="96" t="str">
        <f>IF(G383="","",IFERROR(IF(ISNUMBER(INDEX(cfg_fac,MATCH(G383,cfg_units,0))),IF(INDEX(cfg_fac,MATCH(G383,cfg_units,0))&gt;0,INDEX(cfg_fac,MATCH(G383,cfg_units,0)),""),""),""))</f>
        <v/>
      </c>
      <c r="V383" s="96">
        <f>IF(AND(ISNUMBER(F383),ISNUMBER(H383)),IF(H383&gt;0,1,0),0)</f>
        <v>0</v>
      </c>
      <c r="W383" s="96" t="str">
        <f>IF(T383=1,INDEX('ITENS_MTR'!$AU$6:$AU$1005,S383)&amp;"","")</f>
        <v/>
      </c>
      <c r="X383" s="96">
        <f>IF(AND(Q383=1,T383=1,I383&lt;&gt;"",W383&lt;&gt;""),IF(I383&lt;&gt;W383,1,0),0)</f>
        <v>0</v>
      </c>
      <c r="Y383" s="96">
        <f>IF(N383=0,0,IF(OR(Q383=0,T383=0,V383=0,AND(X383=1,J383&lt;&gt;"Sim")),1,0))</f>
        <v>0</v>
      </c>
      <c r="Z383" s="96">
        <f>IF(Q383=1,INDEX('CDFs'!$W$6:$W$505,P383),0)</f>
        <v>0</v>
      </c>
      <c r="AA383" s="96">
        <f>IF(AND(N383=1,Y383=0,Z383=1,J383="Sim"),1,0)</f>
        <v>0</v>
      </c>
      <c r="AB383" s="96">
        <f>IF(AND(N383=1,O383&lt;&gt;"",D383&lt;&gt;""),IF(COUNTIFS($O$6:O383,O383,$D$6:D383,D383)=1,1,0),0)</f>
        <v>0</v>
      </c>
      <c r="AC383" s="96">
        <f>IF(T383=1,INDEX('ITENS_MTR'!$AL$6:$AL$1005,S383),0)</f>
        <v>0</v>
      </c>
    </row>
    <row r="384">
      <c r="A384" s="89" t="inlineStr">
        <is>
          <t>VIN-000379</t>
        </is>
      </c>
      <c r="B384" s="91" t="n"/>
      <c r="C384" s="91" t="n"/>
      <c r="D384" s="94" t="str">
        <f>IF(T384=1,INDEX('ITENS_MTR'!$S$6:$S$1005,S384)&amp;"","")</f>
        <v/>
      </c>
      <c r="E384" s="94" t="str">
        <f>IF(T384=1,INDEX('ITENS_MTR'!$C$6:$C$1005,S384)&amp;"","")</f>
        <v/>
      </c>
      <c r="F384" s="98" t="n"/>
      <c r="G384" s="91" t="n"/>
      <c r="H384" s="93" t="str">
        <f>IF(N384=0,"",IF(NOT(ISNUMBER(F384)),"",IF(ISNUMBER(U384),F384*U384,"UNIDADE A CONFERIR")))</f>
        <v/>
      </c>
      <c r="I384" s="94" t="str">
        <f>IF(Q384=1,INDEX('CDFs'!$F$6:$F$505,P384)&amp;"","")</f>
        <v/>
      </c>
      <c r="J384" s="91" t="n"/>
      <c r="K384" s="91" t="n"/>
      <c r="L384" s="94" t="str">
        <f>IF(N384=0,"",IF(NOT(ISNUMBER(F384)),"Quantidade não informada",IF(F384&lt;=0,"Quantidade não positiva",IF(G384="","Unidade não informada",IF(NOT(ISNUMBER(H384)),"Unidade a conferir",IF(AC384=1,"REVISAR VÍNCULO: soma vinculada maior que a referência do item","OK"))))))</f>
        <v/>
      </c>
      <c r="M384" s="94" t="str">
        <f>IF(N384=0,"",IF(B384="","CDF não informado",IF(Q384=0,"REVISAR VÍNCULO: CDF inexistente",IF(C384="","Item não informado",IF(T384=0,"REVISAR VÍNCULO: item inexistente",IF(AND(X384=1,J384&lt;&gt;"Sim"),"REVISAR VÍNCULO: destinador diferente do MTR",IF(X384=1,"Destinador diferente do MTR (analisado)","OK")))))))</f>
        <v/>
      </c>
      <c r="N384" s="96">
        <f>IF(COUNTA(B384:C384,F384:G384,J384:K384)&gt;0,1,0)</f>
        <v>0</v>
      </c>
      <c r="O384" s="96" t="str">
        <f>IF(B384="","",TRIM(LEFT(B384,FIND(" |",B384&amp;" |")-1)))</f>
        <v/>
      </c>
      <c r="P384" s="96" t="str">
        <f>IF(O384="","",IFERROR(MATCH(O384,'CDFs'!$A$6:$A$505,0),""))</f>
        <v/>
      </c>
      <c r="Q384" s="96">
        <f>IF(P384="",0,IF(INDEX('CDFs'!$S$6:$S$505,P384)=1,1,0))</f>
        <v>0</v>
      </c>
      <c r="R384" s="96" t="str">
        <f>IF(C384="","",TRIM(LEFT(C384,FIND(" |",C384&amp;" |")-1)))</f>
        <v/>
      </c>
      <c r="S384" s="96" t="str">
        <f>IF(R384="","",IFERROR(MATCH(R384,'ITENS_MTR'!$A$6:$A$1005,0),""))</f>
        <v/>
      </c>
      <c r="T384" s="96">
        <f>IF(S384="",0,IF(INDEX('ITENS_MTR'!$R$6:$R$1005,S384)=1,1,0))</f>
        <v>0</v>
      </c>
      <c r="U384" s="96" t="str">
        <f>IF(G384="","",IFERROR(IF(ISNUMBER(INDEX(cfg_fac,MATCH(G384,cfg_units,0))),IF(INDEX(cfg_fac,MATCH(G384,cfg_units,0))&gt;0,INDEX(cfg_fac,MATCH(G384,cfg_units,0)),""),""),""))</f>
        <v/>
      </c>
      <c r="V384" s="96">
        <f>IF(AND(ISNUMBER(F384),ISNUMBER(H384)),IF(H384&gt;0,1,0),0)</f>
        <v>0</v>
      </c>
      <c r="W384" s="96" t="str">
        <f>IF(T384=1,INDEX('ITENS_MTR'!$AU$6:$AU$1005,S384)&amp;"","")</f>
        <v/>
      </c>
      <c r="X384" s="96">
        <f>IF(AND(Q384=1,T384=1,I384&lt;&gt;"",W384&lt;&gt;""),IF(I384&lt;&gt;W384,1,0),0)</f>
        <v>0</v>
      </c>
      <c r="Y384" s="96">
        <f>IF(N384=0,0,IF(OR(Q384=0,T384=0,V384=0,AND(X384=1,J384&lt;&gt;"Sim")),1,0))</f>
        <v>0</v>
      </c>
      <c r="Z384" s="96">
        <f>IF(Q384=1,INDEX('CDFs'!$W$6:$W$505,P384),0)</f>
        <v>0</v>
      </c>
      <c r="AA384" s="96">
        <f>IF(AND(N384=1,Y384=0,Z384=1,J384="Sim"),1,0)</f>
        <v>0</v>
      </c>
      <c r="AB384" s="96">
        <f>IF(AND(N384=1,O384&lt;&gt;"",D384&lt;&gt;""),IF(COUNTIFS($O$6:O384,O384,$D$6:D384,D384)=1,1,0),0)</f>
        <v>0</v>
      </c>
      <c r="AC384" s="96">
        <f>IF(T384=1,INDEX('ITENS_MTR'!$AL$6:$AL$1005,S384),0)</f>
        <v>0</v>
      </c>
    </row>
    <row r="385">
      <c r="A385" s="89" t="inlineStr">
        <is>
          <t>VIN-000380</t>
        </is>
      </c>
      <c r="B385" s="91" t="n"/>
      <c r="C385" s="91" t="n"/>
      <c r="D385" s="94" t="str">
        <f>IF(T385=1,INDEX('ITENS_MTR'!$S$6:$S$1005,S385)&amp;"","")</f>
        <v/>
      </c>
      <c r="E385" s="94" t="str">
        <f>IF(T385=1,INDEX('ITENS_MTR'!$C$6:$C$1005,S385)&amp;"","")</f>
        <v/>
      </c>
      <c r="F385" s="98" t="n"/>
      <c r="G385" s="91" t="n"/>
      <c r="H385" s="93" t="str">
        <f>IF(N385=0,"",IF(NOT(ISNUMBER(F385)),"",IF(ISNUMBER(U385),F385*U385,"UNIDADE A CONFERIR")))</f>
        <v/>
      </c>
      <c r="I385" s="94" t="str">
        <f>IF(Q385=1,INDEX('CDFs'!$F$6:$F$505,P385)&amp;"","")</f>
        <v/>
      </c>
      <c r="J385" s="91" t="n"/>
      <c r="K385" s="91" t="n"/>
      <c r="L385" s="94" t="str">
        <f>IF(N385=0,"",IF(NOT(ISNUMBER(F385)),"Quantidade não informada",IF(F385&lt;=0,"Quantidade não positiva",IF(G385="","Unidade não informada",IF(NOT(ISNUMBER(H385)),"Unidade a conferir",IF(AC385=1,"REVISAR VÍNCULO: soma vinculada maior que a referência do item","OK"))))))</f>
        <v/>
      </c>
      <c r="M385" s="94" t="str">
        <f>IF(N385=0,"",IF(B385="","CDF não informado",IF(Q385=0,"REVISAR VÍNCULO: CDF inexistente",IF(C385="","Item não informado",IF(T385=0,"REVISAR VÍNCULO: item inexistente",IF(AND(X385=1,J385&lt;&gt;"Sim"),"REVISAR VÍNCULO: destinador diferente do MTR",IF(X385=1,"Destinador diferente do MTR (analisado)","OK")))))))</f>
        <v/>
      </c>
      <c r="N385" s="96">
        <f>IF(COUNTA(B385:C385,F385:G385,J385:K385)&gt;0,1,0)</f>
        <v>0</v>
      </c>
      <c r="O385" s="96" t="str">
        <f>IF(B385="","",TRIM(LEFT(B385,FIND(" |",B385&amp;" |")-1)))</f>
        <v/>
      </c>
      <c r="P385" s="96" t="str">
        <f>IF(O385="","",IFERROR(MATCH(O385,'CDFs'!$A$6:$A$505,0),""))</f>
        <v/>
      </c>
      <c r="Q385" s="96">
        <f>IF(P385="",0,IF(INDEX('CDFs'!$S$6:$S$505,P385)=1,1,0))</f>
        <v>0</v>
      </c>
      <c r="R385" s="96" t="str">
        <f>IF(C385="","",TRIM(LEFT(C385,FIND(" |",C385&amp;" |")-1)))</f>
        <v/>
      </c>
      <c r="S385" s="96" t="str">
        <f>IF(R385="","",IFERROR(MATCH(R385,'ITENS_MTR'!$A$6:$A$1005,0),""))</f>
        <v/>
      </c>
      <c r="T385" s="96">
        <f>IF(S385="",0,IF(INDEX('ITENS_MTR'!$R$6:$R$1005,S385)=1,1,0))</f>
        <v>0</v>
      </c>
      <c r="U385" s="96" t="str">
        <f>IF(G385="","",IFERROR(IF(ISNUMBER(INDEX(cfg_fac,MATCH(G385,cfg_units,0))),IF(INDEX(cfg_fac,MATCH(G385,cfg_units,0))&gt;0,INDEX(cfg_fac,MATCH(G385,cfg_units,0)),""),""),""))</f>
        <v/>
      </c>
      <c r="V385" s="96">
        <f>IF(AND(ISNUMBER(F385),ISNUMBER(H385)),IF(H385&gt;0,1,0),0)</f>
        <v>0</v>
      </c>
      <c r="W385" s="96" t="str">
        <f>IF(T385=1,INDEX('ITENS_MTR'!$AU$6:$AU$1005,S385)&amp;"","")</f>
        <v/>
      </c>
      <c r="X385" s="96">
        <f>IF(AND(Q385=1,T385=1,I385&lt;&gt;"",W385&lt;&gt;""),IF(I385&lt;&gt;W385,1,0),0)</f>
        <v>0</v>
      </c>
      <c r="Y385" s="96">
        <f>IF(N385=0,0,IF(OR(Q385=0,T385=0,V385=0,AND(X385=1,J385&lt;&gt;"Sim")),1,0))</f>
        <v>0</v>
      </c>
      <c r="Z385" s="96">
        <f>IF(Q385=1,INDEX('CDFs'!$W$6:$W$505,P385),0)</f>
        <v>0</v>
      </c>
      <c r="AA385" s="96">
        <f>IF(AND(N385=1,Y385=0,Z385=1,J385="Sim"),1,0)</f>
        <v>0</v>
      </c>
      <c r="AB385" s="96">
        <f>IF(AND(N385=1,O385&lt;&gt;"",D385&lt;&gt;""),IF(COUNTIFS($O$6:O385,O385,$D$6:D385,D385)=1,1,0),0)</f>
        <v>0</v>
      </c>
      <c r="AC385" s="96">
        <f>IF(T385=1,INDEX('ITENS_MTR'!$AL$6:$AL$1005,S385),0)</f>
        <v>0</v>
      </c>
    </row>
    <row r="386">
      <c r="A386" s="89" t="inlineStr">
        <is>
          <t>VIN-000381</t>
        </is>
      </c>
      <c r="B386" s="91" t="n"/>
      <c r="C386" s="91" t="n"/>
      <c r="D386" s="94" t="str">
        <f>IF(T386=1,INDEX('ITENS_MTR'!$S$6:$S$1005,S386)&amp;"","")</f>
        <v/>
      </c>
      <c r="E386" s="94" t="str">
        <f>IF(T386=1,INDEX('ITENS_MTR'!$C$6:$C$1005,S386)&amp;"","")</f>
        <v/>
      </c>
      <c r="F386" s="98" t="n"/>
      <c r="G386" s="91" t="n"/>
      <c r="H386" s="93" t="str">
        <f>IF(N386=0,"",IF(NOT(ISNUMBER(F386)),"",IF(ISNUMBER(U386),F386*U386,"UNIDADE A CONFERIR")))</f>
        <v/>
      </c>
      <c r="I386" s="94" t="str">
        <f>IF(Q386=1,INDEX('CDFs'!$F$6:$F$505,P386)&amp;"","")</f>
        <v/>
      </c>
      <c r="J386" s="91" t="n"/>
      <c r="K386" s="91" t="n"/>
      <c r="L386" s="94" t="str">
        <f>IF(N386=0,"",IF(NOT(ISNUMBER(F386)),"Quantidade não informada",IF(F386&lt;=0,"Quantidade não positiva",IF(G386="","Unidade não informada",IF(NOT(ISNUMBER(H386)),"Unidade a conferir",IF(AC386=1,"REVISAR VÍNCULO: soma vinculada maior que a referência do item","OK"))))))</f>
        <v/>
      </c>
      <c r="M386" s="94" t="str">
        <f>IF(N386=0,"",IF(B386="","CDF não informado",IF(Q386=0,"REVISAR VÍNCULO: CDF inexistente",IF(C386="","Item não informado",IF(T386=0,"REVISAR VÍNCULO: item inexistente",IF(AND(X386=1,J386&lt;&gt;"Sim"),"REVISAR VÍNCULO: destinador diferente do MTR",IF(X386=1,"Destinador diferente do MTR (analisado)","OK")))))))</f>
        <v/>
      </c>
      <c r="N386" s="96">
        <f>IF(COUNTA(B386:C386,F386:G386,J386:K386)&gt;0,1,0)</f>
        <v>0</v>
      </c>
      <c r="O386" s="96" t="str">
        <f>IF(B386="","",TRIM(LEFT(B386,FIND(" |",B386&amp;" |")-1)))</f>
        <v/>
      </c>
      <c r="P386" s="96" t="str">
        <f>IF(O386="","",IFERROR(MATCH(O386,'CDFs'!$A$6:$A$505,0),""))</f>
        <v/>
      </c>
      <c r="Q386" s="96">
        <f>IF(P386="",0,IF(INDEX('CDFs'!$S$6:$S$505,P386)=1,1,0))</f>
        <v>0</v>
      </c>
      <c r="R386" s="96" t="str">
        <f>IF(C386="","",TRIM(LEFT(C386,FIND(" |",C386&amp;" |")-1)))</f>
        <v/>
      </c>
      <c r="S386" s="96" t="str">
        <f>IF(R386="","",IFERROR(MATCH(R386,'ITENS_MTR'!$A$6:$A$1005,0),""))</f>
        <v/>
      </c>
      <c r="T386" s="96">
        <f>IF(S386="",0,IF(INDEX('ITENS_MTR'!$R$6:$R$1005,S386)=1,1,0))</f>
        <v>0</v>
      </c>
      <c r="U386" s="96" t="str">
        <f>IF(G386="","",IFERROR(IF(ISNUMBER(INDEX(cfg_fac,MATCH(G386,cfg_units,0))),IF(INDEX(cfg_fac,MATCH(G386,cfg_units,0))&gt;0,INDEX(cfg_fac,MATCH(G386,cfg_units,0)),""),""),""))</f>
        <v/>
      </c>
      <c r="V386" s="96">
        <f>IF(AND(ISNUMBER(F386),ISNUMBER(H386)),IF(H386&gt;0,1,0),0)</f>
        <v>0</v>
      </c>
      <c r="W386" s="96" t="str">
        <f>IF(T386=1,INDEX('ITENS_MTR'!$AU$6:$AU$1005,S386)&amp;"","")</f>
        <v/>
      </c>
      <c r="X386" s="96">
        <f>IF(AND(Q386=1,T386=1,I386&lt;&gt;"",W386&lt;&gt;""),IF(I386&lt;&gt;W386,1,0),0)</f>
        <v>0</v>
      </c>
      <c r="Y386" s="96">
        <f>IF(N386=0,0,IF(OR(Q386=0,T386=0,V386=0,AND(X386=1,J386&lt;&gt;"Sim")),1,0))</f>
        <v>0</v>
      </c>
      <c r="Z386" s="96">
        <f>IF(Q386=1,INDEX('CDFs'!$W$6:$W$505,P386),0)</f>
        <v>0</v>
      </c>
      <c r="AA386" s="96">
        <f>IF(AND(N386=1,Y386=0,Z386=1,J386="Sim"),1,0)</f>
        <v>0</v>
      </c>
      <c r="AB386" s="96">
        <f>IF(AND(N386=1,O386&lt;&gt;"",D386&lt;&gt;""),IF(COUNTIFS($O$6:O386,O386,$D$6:D386,D386)=1,1,0),0)</f>
        <v>0</v>
      </c>
      <c r="AC386" s="96">
        <f>IF(T386=1,INDEX('ITENS_MTR'!$AL$6:$AL$1005,S386),0)</f>
        <v>0</v>
      </c>
    </row>
    <row r="387">
      <c r="A387" s="89" t="inlineStr">
        <is>
          <t>VIN-000382</t>
        </is>
      </c>
      <c r="B387" s="91" t="n"/>
      <c r="C387" s="91" t="n"/>
      <c r="D387" s="94" t="str">
        <f>IF(T387=1,INDEX('ITENS_MTR'!$S$6:$S$1005,S387)&amp;"","")</f>
        <v/>
      </c>
      <c r="E387" s="94" t="str">
        <f>IF(T387=1,INDEX('ITENS_MTR'!$C$6:$C$1005,S387)&amp;"","")</f>
        <v/>
      </c>
      <c r="F387" s="98" t="n"/>
      <c r="G387" s="91" t="n"/>
      <c r="H387" s="93" t="str">
        <f>IF(N387=0,"",IF(NOT(ISNUMBER(F387)),"",IF(ISNUMBER(U387),F387*U387,"UNIDADE A CONFERIR")))</f>
        <v/>
      </c>
      <c r="I387" s="94" t="str">
        <f>IF(Q387=1,INDEX('CDFs'!$F$6:$F$505,P387)&amp;"","")</f>
        <v/>
      </c>
      <c r="J387" s="91" t="n"/>
      <c r="K387" s="91" t="n"/>
      <c r="L387" s="94" t="str">
        <f>IF(N387=0,"",IF(NOT(ISNUMBER(F387)),"Quantidade não informada",IF(F387&lt;=0,"Quantidade não positiva",IF(G387="","Unidade não informada",IF(NOT(ISNUMBER(H387)),"Unidade a conferir",IF(AC387=1,"REVISAR VÍNCULO: soma vinculada maior que a referência do item","OK"))))))</f>
        <v/>
      </c>
      <c r="M387" s="94" t="str">
        <f>IF(N387=0,"",IF(B387="","CDF não informado",IF(Q387=0,"REVISAR VÍNCULO: CDF inexistente",IF(C387="","Item não informado",IF(T387=0,"REVISAR VÍNCULO: item inexistente",IF(AND(X387=1,J387&lt;&gt;"Sim"),"REVISAR VÍNCULO: destinador diferente do MTR",IF(X387=1,"Destinador diferente do MTR (analisado)","OK")))))))</f>
        <v/>
      </c>
      <c r="N387" s="96">
        <f>IF(COUNTA(B387:C387,F387:G387,J387:K387)&gt;0,1,0)</f>
        <v>0</v>
      </c>
      <c r="O387" s="96" t="str">
        <f>IF(B387="","",TRIM(LEFT(B387,FIND(" |",B387&amp;" |")-1)))</f>
        <v/>
      </c>
      <c r="P387" s="96" t="str">
        <f>IF(O387="","",IFERROR(MATCH(O387,'CDFs'!$A$6:$A$505,0),""))</f>
        <v/>
      </c>
      <c r="Q387" s="96">
        <f>IF(P387="",0,IF(INDEX('CDFs'!$S$6:$S$505,P387)=1,1,0))</f>
        <v>0</v>
      </c>
      <c r="R387" s="96" t="str">
        <f>IF(C387="","",TRIM(LEFT(C387,FIND(" |",C387&amp;" |")-1)))</f>
        <v/>
      </c>
      <c r="S387" s="96" t="str">
        <f>IF(R387="","",IFERROR(MATCH(R387,'ITENS_MTR'!$A$6:$A$1005,0),""))</f>
        <v/>
      </c>
      <c r="T387" s="96">
        <f>IF(S387="",0,IF(INDEX('ITENS_MTR'!$R$6:$R$1005,S387)=1,1,0))</f>
        <v>0</v>
      </c>
      <c r="U387" s="96" t="str">
        <f>IF(G387="","",IFERROR(IF(ISNUMBER(INDEX(cfg_fac,MATCH(G387,cfg_units,0))),IF(INDEX(cfg_fac,MATCH(G387,cfg_units,0))&gt;0,INDEX(cfg_fac,MATCH(G387,cfg_units,0)),""),""),""))</f>
        <v/>
      </c>
      <c r="V387" s="96">
        <f>IF(AND(ISNUMBER(F387),ISNUMBER(H387)),IF(H387&gt;0,1,0),0)</f>
        <v>0</v>
      </c>
      <c r="W387" s="96" t="str">
        <f>IF(T387=1,INDEX('ITENS_MTR'!$AU$6:$AU$1005,S387)&amp;"","")</f>
        <v/>
      </c>
      <c r="X387" s="96">
        <f>IF(AND(Q387=1,T387=1,I387&lt;&gt;"",W387&lt;&gt;""),IF(I387&lt;&gt;W387,1,0),0)</f>
        <v>0</v>
      </c>
      <c r="Y387" s="96">
        <f>IF(N387=0,0,IF(OR(Q387=0,T387=0,V387=0,AND(X387=1,J387&lt;&gt;"Sim")),1,0))</f>
        <v>0</v>
      </c>
      <c r="Z387" s="96">
        <f>IF(Q387=1,INDEX('CDFs'!$W$6:$W$505,P387),0)</f>
        <v>0</v>
      </c>
      <c r="AA387" s="96">
        <f>IF(AND(N387=1,Y387=0,Z387=1,J387="Sim"),1,0)</f>
        <v>0</v>
      </c>
      <c r="AB387" s="96">
        <f>IF(AND(N387=1,O387&lt;&gt;"",D387&lt;&gt;""),IF(COUNTIFS($O$6:O387,O387,$D$6:D387,D387)=1,1,0),0)</f>
        <v>0</v>
      </c>
      <c r="AC387" s="96">
        <f>IF(T387=1,INDEX('ITENS_MTR'!$AL$6:$AL$1005,S387),0)</f>
        <v>0</v>
      </c>
    </row>
    <row r="388">
      <c r="A388" s="89" t="inlineStr">
        <is>
          <t>VIN-000383</t>
        </is>
      </c>
      <c r="B388" s="91" t="n"/>
      <c r="C388" s="91" t="n"/>
      <c r="D388" s="94" t="str">
        <f>IF(T388=1,INDEX('ITENS_MTR'!$S$6:$S$1005,S388)&amp;"","")</f>
        <v/>
      </c>
      <c r="E388" s="94" t="str">
        <f>IF(T388=1,INDEX('ITENS_MTR'!$C$6:$C$1005,S388)&amp;"","")</f>
        <v/>
      </c>
      <c r="F388" s="98" t="n"/>
      <c r="G388" s="91" t="n"/>
      <c r="H388" s="93" t="str">
        <f>IF(N388=0,"",IF(NOT(ISNUMBER(F388)),"",IF(ISNUMBER(U388),F388*U388,"UNIDADE A CONFERIR")))</f>
        <v/>
      </c>
      <c r="I388" s="94" t="str">
        <f>IF(Q388=1,INDEX('CDFs'!$F$6:$F$505,P388)&amp;"","")</f>
        <v/>
      </c>
      <c r="J388" s="91" t="n"/>
      <c r="K388" s="91" t="n"/>
      <c r="L388" s="94" t="str">
        <f>IF(N388=0,"",IF(NOT(ISNUMBER(F388)),"Quantidade não informada",IF(F388&lt;=0,"Quantidade não positiva",IF(G388="","Unidade não informada",IF(NOT(ISNUMBER(H388)),"Unidade a conferir",IF(AC388=1,"REVISAR VÍNCULO: soma vinculada maior que a referência do item","OK"))))))</f>
        <v/>
      </c>
      <c r="M388" s="94" t="str">
        <f>IF(N388=0,"",IF(B388="","CDF não informado",IF(Q388=0,"REVISAR VÍNCULO: CDF inexistente",IF(C388="","Item não informado",IF(T388=0,"REVISAR VÍNCULO: item inexistente",IF(AND(X388=1,J388&lt;&gt;"Sim"),"REVISAR VÍNCULO: destinador diferente do MTR",IF(X388=1,"Destinador diferente do MTR (analisado)","OK")))))))</f>
        <v/>
      </c>
      <c r="N388" s="96">
        <f>IF(COUNTA(B388:C388,F388:G388,J388:K388)&gt;0,1,0)</f>
        <v>0</v>
      </c>
      <c r="O388" s="96" t="str">
        <f>IF(B388="","",TRIM(LEFT(B388,FIND(" |",B388&amp;" |")-1)))</f>
        <v/>
      </c>
      <c r="P388" s="96" t="str">
        <f>IF(O388="","",IFERROR(MATCH(O388,'CDFs'!$A$6:$A$505,0),""))</f>
        <v/>
      </c>
      <c r="Q388" s="96">
        <f>IF(P388="",0,IF(INDEX('CDFs'!$S$6:$S$505,P388)=1,1,0))</f>
        <v>0</v>
      </c>
      <c r="R388" s="96" t="str">
        <f>IF(C388="","",TRIM(LEFT(C388,FIND(" |",C388&amp;" |")-1)))</f>
        <v/>
      </c>
      <c r="S388" s="96" t="str">
        <f>IF(R388="","",IFERROR(MATCH(R388,'ITENS_MTR'!$A$6:$A$1005,0),""))</f>
        <v/>
      </c>
      <c r="T388" s="96">
        <f>IF(S388="",0,IF(INDEX('ITENS_MTR'!$R$6:$R$1005,S388)=1,1,0))</f>
        <v>0</v>
      </c>
      <c r="U388" s="96" t="str">
        <f>IF(G388="","",IFERROR(IF(ISNUMBER(INDEX(cfg_fac,MATCH(G388,cfg_units,0))),IF(INDEX(cfg_fac,MATCH(G388,cfg_units,0))&gt;0,INDEX(cfg_fac,MATCH(G388,cfg_units,0)),""),""),""))</f>
        <v/>
      </c>
      <c r="V388" s="96">
        <f>IF(AND(ISNUMBER(F388),ISNUMBER(H388)),IF(H388&gt;0,1,0),0)</f>
        <v>0</v>
      </c>
      <c r="W388" s="96" t="str">
        <f>IF(T388=1,INDEX('ITENS_MTR'!$AU$6:$AU$1005,S388)&amp;"","")</f>
        <v/>
      </c>
      <c r="X388" s="96">
        <f>IF(AND(Q388=1,T388=1,I388&lt;&gt;"",W388&lt;&gt;""),IF(I388&lt;&gt;W388,1,0),0)</f>
        <v>0</v>
      </c>
      <c r="Y388" s="96">
        <f>IF(N388=0,0,IF(OR(Q388=0,T388=0,V388=0,AND(X388=1,J388&lt;&gt;"Sim")),1,0))</f>
        <v>0</v>
      </c>
      <c r="Z388" s="96">
        <f>IF(Q388=1,INDEX('CDFs'!$W$6:$W$505,P388),0)</f>
        <v>0</v>
      </c>
      <c r="AA388" s="96">
        <f>IF(AND(N388=1,Y388=0,Z388=1,J388="Sim"),1,0)</f>
        <v>0</v>
      </c>
      <c r="AB388" s="96">
        <f>IF(AND(N388=1,O388&lt;&gt;"",D388&lt;&gt;""),IF(COUNTIFS($O$6:O388,O388,$D$6:D388,D388)=1,1,0),0)</f>
        <v>0</v>
      </c>
      <c r="AC388" s="96">
        <f>IF(T388=1,INDEX('ITENS_MTR'!$AL$6:$AL$1005,S388),0)</f>
        <v>0</v>
      </c>
    </row>
    <row r="389">
      <c r="A389" s="89" t="inlineStr">
        <is>
          <t>VIN-000384</t>
        </is>
      </c>
      <c r="B389" s="91" t="n"/>
      <c r="C389" s="91" t="n"/>
      <c r="D389" s="94" t="str">
        <f>IF(T389=1,INDEX('ITENS_MTR'!$S$6:$S$1005,S389)&amp;"","")</f>
        <v/>
      </c>
      <c r="E389" s="94" t="str">
        <f>IF(T389=1,INDEX('ITENS_MTR'!$C$6:$C$1005,S389)&amp;"","")</f>
        <v/>
      </c>
      <c r="F389" s="98" t="n"/>
      <c r="G389" s="91" t="n"/>
      <c r="H389" s="93" t="str">
        <f>IF(N389=0,"",IF(NOT(ISNUMBER(F389)),"",IF(ISNUMBER(U389),F389*U389,"UNIDADE A CONFERIR")))</f>
        <v/>
      </c>
      <c r="I389" s="94" t="str">
        <f>IF(Q389=1,INDEX('CDFs'!$F$6:$F$505,P389)&amp;"","")</f>
        <v/>
      </c>
      <c r="J389" s="91" t="n"/>
      <c r="K389" s="91" t="n"/>
      <c r="L389" s="94" t="str">
        <f>IF(N389=0,"",IF(NOT(ISNUMBER(F389)),"Quantidade não informada",IF(F389&lt;=0,"Quantidade não positiva",IF(G389="","Unidade não informada",IF(NOT(ISNUMBER(H389)),"Unidade a conferir",IF(AC389=1,"REVISAR VÍNCULO: soma vinculada maior que a referência do item","OK"))))))</f>
        <v/>
      </c>
      <c r="M389" s="94" t="str">
        <f>IF(N389=0,"",IF(B389="","CDF não informado",IF(Q389=0,"REVISAR VÍNCULO: CDF inexistente",IF(C389="","Item não informado",IF(T389=0,"REVISAR VÍNCULO: item inexistente",IF(AND(X389=1,J389&lt;&gt;"Sim"),"REVISAR VÍNCULO: destinador diferente do MTR",IF(X389=1,"Destinador diferente do MTR (analisado)","OK")))))))</f>
        <v/>
      </c>
      <c r="N389" s="96">
        <f>IF(COUNTA(B389:C389,F389:G389,J389:K389)&gt;0,1,0)</f>
        <v>0</v>
      </c>
      <c r="O389" s="96" t="str">
        <f>IF(B389="","",TRIM(LEFT(B389,FIND(" |",B389&amp;" |")-1)))</f>
        <v/>
      </c>
      <c r="P389" s="96" t="str">
        <f>IF(O389="","",IFERROR(MATCH(O389,'CDFs'!$A$6:$A$505,0),""))</f>
        <v/>
      </c>
      <c r="Q389" s="96">
        <f>IF(P389="",0,IF(INDEX('CDFs'!$S$6:$S$505,P389)=1,1,0))</f>
        <v>0</v>
      </c>
      <c r="R389" s="96" t="str">
        <f>IF(C389="","",TRIM(LEFT(C389,FIND(" |",C389&amp;" |")-1)))</f>
        <v/>
      </c>
      <c r="S389" s="96" t="str">
        <f>IF(R389="","",IFERROR(MATCH(R389,'ITENS_MTR'!$A$6:$A$1005,0),""))</f>
        <v/>
      </c>
      <c r="T389" s="96">
        <f>IF(S389="",0,IF(INDEX('ITENS_MTR'!$R$6:$R$1005,S389)=1,1,0))</f>
        <v>0</v>
      </c>
      <c r="U389" s="96" t="str">
        <f>IF(G389="","",IFERROR(IF(ISNUMBER(INDEX(cfg_fac,MATCH(G389,cfg_units,0))),IF(INDEX(cfg_fac,MATCH(G389,cfg_units,0))&gt;0,INDEX(cfg_fac,MATCH(G389,cfg_units,0)),""),""),""))</f>
        <v/>
      </c>
      <c r="V389" s="96">
        <f>IF(AND(ISNUMBER(F389),ISNUMBER(H389)),IF(H389&gt;0,1,0),0)</f>
        <v>0</v>
      </c>
      <c r="W389" s="96" t="str">
        <f>IF(T389=1,INDEX('ITENS_MTR'!$AU$6:$AU$1005,S389)&amp;"","")</f>
        <v/>
      </c>
      <c r="X389" s="96">
        <f>IF(AND(Q389=1,T389=1,I389&lt;&gt;"",W389&lt;&gt;""),IF(I389&lt;&gt;W389,1,0),0)</f>
        <v>0</v>
      </c>
      <c r="Y389" s="96">
        <f>IF(N389=0,0,IF(OR(Q389=0,T389=0,V389=0,AND(X389=1,J389&lt;&gt;"Sim")),1,0))</f>
        <v>0</v>
      </c>
      <c r="Z389" s="96">
        <f>IF(Q389=1,INDEX('CDFs'!$W$6:$W$505,P389),0)</f>
        <v>0</v>
      </c>
      <c r="AA389" s="96">
        <f>IF(AND(N389=1,Y389=0,Z389=1,J389="Sim"),1,0)</f>
        <v>0</v>
      </c>
      <c r="AB389" s="96">
        <f>IF(AND(N389=1,O389&lt;&gt;"",D389&lt;&gt;""),IF(COUNTIFS($O$6:O389,O389,$D$6:D389,D389)=1,1,0),0)</f>
        <v>0</v>
      </c>
      <c r="AC389" s="96">
        <f>IF(T389=1,INDEX('ITENS_MTR'!$AL$6:$AL$1005,S389),0)</f>
        <v>0</v>
      </c>
    </row>
    <row r="390">
      <c r="A390" s="89" t="inlineStr">
        <is>
          <t>VIN-000385</t>
        </is>
      </c>
      <c r="B390" s="91" t="n"/>
      <c r="C390" s="91" t="n"/>
      <c r="D390" s="94" t="str">
        <f>IF(T390=1,INDEX('ITENS_MTR'!$S$6:$S$1005,S390)&amp;"","")</f>
        <v/>
      </c>
      <c r="E390" s="94" t="str">
        <f>IF(T390=1,INDEX('ITENS_MTR'!$C$6:$C$1005,S390)&amp;"","")</f>
        <v/>
      </c>
      <c r="F390" s="98" t="n"/>
      <c r="G390" s="91" t="n"/>
      <c r="H390" s="93" t="str">
        <f>IF(N390=0,"",IF(NOT(ISNUMBER(F390)),"",IF(ISNUMBER(U390),F390*U390,"UNIDADE A CONFERIR")))</f>
        <v/>
      </c>
      <c r="I390" s="94" t="str">
        <f>IF(Q390=1,INDEX('CDFs'!$F$6:$F$505,P390)&amp;"","")</f>
        <v/>
      </c>
      <c r="J390" s="91" t="n"/>
      <c r="K390" s="91" t="n"/>
      <c r="L390" s="94" t="str">
        <f>IF(N390=0,"",IF(NOT(ISNUMBER(F390)),"Quantidade não informada",IF(F390&lt;=0,"Quantidade não positiva",IF(G390="","Unidade não informada",IF(NOT(ISNUMBER(H390)),"Unidade a conferir",IF(AC390=1,"REVISAR VÍNCULO: soma vinculada maior que a referência do item","OK"))))))</f>
        <v/>
      </c>
      <c r="M390" s="94" t="str">
        <f>IF(N390=0,"",IF(B390="","CDF não informado",IF(Q390=0,"REVISAR VÍNCULO: CDF inexistente",IF(C390="","Item não informado",IF(T390=0,"REVISAR VÍNCULO: item inexistente",IF(AND(X390=1,J390&lt;&gt;"Sim"),"REVISAR VÍNCULO: destinador diferente do MTR",IF(X390=1,"Destinador diferente do MTR (analisado)","OK")))))))</f>
        <v/>
      </c>
      <c r="N390" s="96">
        <f>IF(COUNTA(B390:C390,F390:G390,J390:K390)&gt;0,1,0)</f>
        <v>0</v>
      </c>
      <c r="O390" s="96" t="str">
        <f>IF(B390="","",TRIM(LEFT(B390,FIND(" |",B390&amp;" |")-1)))</f>
        <v/>
      </c>
      <c r="P390" s="96" t="str">
        <f>IF(O390="","",IFERROR(MATCH(O390,'CDFs'!$A$6:$A$505,0),""))</f>
        <v/>
      </c>
      <c r="Q390" s="96">
        <f>IF(P390="",0,IF(INDEX('CDFs'!$S$6:$S$505,P390)=1,1,0))</f>
        <v>0</v>
      </c>
      <c r="R390" s="96" t="str">
        <f>IF(C390="","",TRIM(LEFT(C390,FIND(" |",C390&amp;" |")-1)))</f>
        <v/>
      </c>
      <c r="S390" s="96" t="str">
        <f>IF(R390="","",IFERROR(MATCH(R390,'ITENS_MTR'!$A$6:$A$1005,0),""))</f>
        <v/>
      </c>
      <c r="T390" s="96">
        <f>IF(S390="",0,IF(INDEX('ITENS_MTR'!$R$6:$R$1005,S390)=1,1,0))</f>
        <v>0</v>
      </c>
      <c r="U390" s="96" t="str">
        <f>IF(G390="","",IFERROR(IF(ISNUMBER(INDEX(cfg_fac,MATCH(G390,cfg_units,0))),IF(INDEX(cfg_fac,MATCH(G390,cfg_units,0))&gt;0,INDEX(cfg_fac,MATCH(G390,cfg_units,0)),""),""),""))</f>
        <v/>
      </c>
      <c r="V390" s="96">
        <f>IF(AND(ISNUMBER(F390),ISNUMBER(H390)),IF(H390&gt;0,1,0),0)</f>
        <v>0</v>
      </c>
      <c r="W390" s="96" t="str">
        <f>IF(T390=1,INDEX('ITENS_MTR'!$AU$6:$AU$1005,S390)&amp;"","")</f>
        <v/>
      </c>
      <c r="X390" s="96">
        <f>IF(AND(Q390=1,T390=1,I390&lt;&gt;"",W390&lt;&gt;""),IF(I390&lt;&gt;W390,1,0),0)</f>
        <v>0</v>
      </c>
      <c r="Y390" s="96">
        <f>IF(N390=0,0,IF(OR(Q390=0,T390=0,V390=0,AND(X390=1,J390&lt;&gt;"Sim")),1,0))</f>
        <v>0</v>
      </c>
      <c r="Z390" s="96">
        <f>IF(Q390=1,INDEX('CDFs'!$W$6:$W$505,P390),0)</f>
        <v>0</v>
      </c>
      <c r="AA390" s="96">
        <f>IF(AND(N390=1,Y390=0,Z390=1,J390="Sim"),1,0)</f>
        <v>0</v>
      </c>
      <c r="AB390" s="96">
        <f>IF(AND(N390=1,O390&lt;&gt;"",D390&lt;&gt;""),IF(COUNTIFS($O$6:O390,O390,$D$6:D390,D390)=1,1,0),0)</f>
        <v>0</v>
      </c>
      <c r="AC390" s="96">
        <f>IF(T390=1,INDEX('ITENS_MTR'!$AL$6:$AL$1005,S390),0)</f>
        <v>0</v>
      </c>
    </row>
    <row r="391">
      <c r="A391" s="89" t="inlineStr">
        <is>
          <t>VIN-000386</t>
        </is>
      </c>
      <c r="B391" s="91" t="n"/>
      <c r="C391" s="91" t="n"/>
      <c r="D391" s="94" t="str">
        <f>IF(T391=1,INDEX('ITENS_MTR'!$S$6:$S$1005,S391)&amp;"","")</f>
        <v/>
      </c>
      <c r="E391" s="94" t="str">
        <f>IF(T391=1,INDEX('ITENS_MTR'!$C$6:$C$1005,S391)&amp;"","")</f>
        <v/>
      </c>
      <c r="F391" s="98" t="n"/>
      <c r="G391" s="91" t="n"/>
      <c r="H391" s="93" t="str">
        <f>IF(N391=0,"",IF(NOT(ISNUMBER(F391)),"",IF(ISNUMBER(U391),F391*U391,"UNIDADE A CONFERIR")))</f>
        <v/>
      </c>
      <c r="I391" s="94" t="str">
        <f>IF(Q391=1,INDEX('CDFs'!$F$6:$F$505,P391)&amp;"","")</f>
        <v/>
      </c>
      <c r="J391" s="91" t="n"/>
      <c r="K391" s="91" t="n"/>
      <c r="L391" s="94" t="str">
        <f>IF(N391=0,"",IF(NOT(ISNUMBER(F391)),"Quantidade não informada",IF(F391&lt;=0,"Quantidade não positiva",IF(G391="","Unidade não informada",IF(NOT(ISNUMBER(H391)),"Unidade a conferir",IF(AC391=1,"REVISAR VÍNCULO: soma vinculada maior que a referência do item","OK"))))))</f>
        <v/>
      </c>
      <c r="M391" s="94" t="str">
        <f>IF(N391=0,"",IF(B391="","CDF não informado",IF(Q391=0,"REVISAR VÍNCULO: CDF inexistente",IF(C391="","Item não informado",IF(T391=0,"REVISAR VÍNCULO: item inexistente",IF(AND(X391=1,J391&lt;&gt;"Sim"),"REVISAR VÍNCULO: destinador diferente do MTR",IF(X391=1,"Destinador diferente do MTR (analisado)","OK")))))))</f>
        <v/>
      </c>
      <c r="N391" s="96">
        <f>IF(COUNTA(B391:C391,F391:G391,J391:K391)&gt;0,1,0)</f>
        <v>0</v>
      </c>
      <c r="O391" s="96" t="str">
        <f>IF(B391="","",TRIM(LEFT(B391,FIND(" |",B391&amp;" |")-1)))</f>
        <v/>
      </c>
      <c r="P391" s="96" t="str">
        <f>IF(O391="","",IFERROR(MATCH(O391,'CDFs'!$A$6:$A$505,0),""))</f>
        <v/>
      </c>
      <c r="Q391" s="96">
        <f>IF(P391="",0,IF(INDEX('CDFs'!$S$6:$S$505,P391)=1,1,0))</f>
        <v>0</v>
      </c>
      <c r="R391" s="96" t="str">
        <f>IF(C391="","",TRIM(LEFT(C391,FIND(" |",C391&amp;" |")-1)))</f>
        <v/>
      </c>
      <c r="S391" s="96" t="str">
        <f>IF(R391="","",IFERROR(MATCH(R391,'ITENS_MTR'!$A$6:$A$1005,0),""))</f>
        <v/>
      </c>
      <c r="T391" s="96">
        <f>IF(S391="",0,IF(INDEX('ITENS_MTR'!$R$6:$R$1005,S391)=1,1,0))</f>
        <v>0</v>
      </c>
      <c r="U391" s="96" t="str">
        <f>IF(G391="","",IFERROR(IF(ISNUMBER(INDEX(cfg_fac,MATCH(G391,cfg_units,0))),IF(INDEX(cfg_fac,MATCH(G391,cfg_units,0))&gt;0,INDEX(cfg_fac,MATCH(G391,cfg_units,0)),""),""),""))</f>
        <v/>
      </c>
      <c r="V391" s="96">
        <f>IF(AND(ISNUMBER(F391),ISNUMBER(H391)),IF(H391&gt;0,1,0),0)</f>
        <v>0</v>
      </c>
      <c r="W391" s="96" t="str">
        <f>IF(T391=1,INDEX('ITENS_MTR'!$AU$6:$AU$1005,S391)&amp;"","")</f>
        <v/>
      </c>
      <c r="X391" s="96">
        <f>IF(AND(Q391=1,T391=1,I391&lt;&gt;"",W391&lt;&gt;""),IF(I391&lt;&gt;W391,1,0),0)</f>
        <v>0</v>
      </c>
      <c r="Y391" s="96">
        <f>IF(N391=0,0,IF(OR(Q391=0,T391=0,V391=0,AND(X391=1,J391&lt;&gt;"Sim")),1,0))</f>
        <v>0</v>
      </c>
      <c r="Z391" s="96">
        <f>IF(Q391=1,INDEX('CDFs'!$W$6:$W$505,P391),0)</f>
        <v>0</v>
      </c>
      <c r="AA391" s="96">
        <f>IF(AND(N391=1,Y391=0,Z391=1,J391="Sim"),1,0)</f>
        <v>0</v>
      </c>
      <c r="AB391" s="96">
        <f>IF(AND(N391=1,O391&lt;&gt;"",D391&lt;&gt;""),IF(COUNTIFS($O$6:O391,O391,$D$6:D391,D391)=1,1,0),0)</f>
        <v>0</v>
      </c>
      <c r="AC391" s="96">
        <f>IF(T391=1,INDEX('ITENS_MTR'!$AL$6:$AL$1005,S391),0)</f>
        <v>0</v>
      </c>
    </row>
    <row r="392">
      <c r="A392" s="89" t="inlineStr">
        <is>
          <t>VIN-000387</t>
        </is>
      </c>
      <c r="B392" s="91" t="n"/>
      <c r="C392" s="91" t="n"/>
      <c r="D392" s="94" t="str">
        <f>IF(T392=1,INDEX('ITENS_MTR'!$S$6:$S$1005,S392)&amp;"","")</f>
        <v/>
      </c>
      <c r="E392" s="94" t="str">
        <f>IF(T392=1,INDEX('ITENS_MTR'!$C$6:$C$1005,S392)&amp;"","")</f>
        <v/>
      </c>
      <c r="F392" s="98" t="n"/>
      <c r="G392" s="91" t="n"/>
      <c r="H392" s="93" t="str">
        <f>IF(N392=0,"",IF(NOT(ISNUMBER(F392)),"",IF(ISNUMBER(U392),F392*U392,"UNIDADE A CONFERIR")))</f>
        <v/>
      </c>
      <c r="I392" s="94" t="str">
        <f>IF(Q392=1,INDEX('CDFs'!$F$6:$F$505,P392)&amp;"","")</f>
        <v/>
      </c>
      <c r="J392" s="91" t="n"/>
      <c r="K392" s="91" t="n"/>
      <c r="L392" s="94" t="str">
        <f>IF(N392=0,"",IF(NOT(ISNUMBER(F392)),"Quantidade não informada",IF(F392&lt;=0,"Quantidade não positiva",IF(G392="","Unidade não informada",IF(NOT(ISNUMBER(H392)),"Unidade a conferir",IF(AC392=1,"REVISAR VÍNCULO: soma vinculada maior que a referência do item","OK"))))))</f>
        <v/>
      </c>
      <c r="M392" s="94" t="str">
        <f>IF(N392=0,"",IF(B392="","CDF não informado",IF(Q392=0,"REVISAR VÍNCULO: CDF inexistente",IF(C392="","Item não informado",IF(T392=0,"REVISAR VÍNCULO: item inexistente",IF(AND(X392=1,J392&lt;&gt;"Sim"),"REVISAR VÍNCULO: destinador diferente do MTR",IF(X392=1,"Destinador diferente do MTR (analisado)","OK")))))))</f>
        <v/>
      </c>
      <c r="N392" s="96">
        <f>IF(COUNTA(B392:C392,F392:G392,J392:K392)&gt;0,1,0)</f>
        <v>0</v>
      </c>
      <c r="O392" s="96" t="str">
        <f>IF(B392="","",TRIM(LEFT(B392,FIND(" |",B392&amp;" |")-1)))</f>
        <v/>
      </c>
      <c r="P392" s="96" t="str">
        <f>IF(O392="","",IFERROR(MATCH(O392,'CDFs'!$A$6:$A$505,0),""))</f>
        <v/>
      </c>
      <c r="Q392" s="96">
        <f>IF(P392="",0,IF(INDEX('CDFs'!$S$6:$S$505,P392)=1,1,0))</f>
        <v>0</v>
      </c>
      <c r="R392" s="96" t="str">
        <f>IF(C392="","",TRIM(LEFT(C392,FIND(" |",C392&amp;" |")-1)))</f>
        <v/>
      </c>
      <c r="S392" s="96" t="str">
        <f>IF(R392="","",IFERROR(MATCH(R392,'ITENS_MTR'!$A$6:$A$1005,0),""))</f>
        <v/>
      </c>
      <c r="T392" s="96">
        <f>IF(S392="",0,IF(INDEX('ITENS_MTR'!$R$6:$R$1005,S392)=1,1,0))</f>
        <v>0</v>
      </c>
      <c r="U392" s="96" t="str">
        <f>IF(G392="","",IFERROR(IF(ISNUMBER(INDEX(cfg_fac,MATCH(G392,cfg_units,0))),IF(INDEX(cfg_fac,MATCH(G392,cfg_units,0))&gt;0,INDEX(cfg_fac,MATCH(G392,cfg_units,0)),""),""),""))</f>
        <v/>
      </c>
      <c r="V392" s="96">
        <f>IF(AND(ISNUMBER(F392),ISNUMBER(H392)),IF(H392&gt;0,1,0),0)</f>
        <v>0</v>
      </c>
      <c r="W392" s="96" t="str">
        <f>IF(T392=1,INDEX('ITENS_MTR'!$AU$6:$AU$1005,S392)&amp;"","")</f>
        <v/>
      </c>
      <c r="X392" s="96">
        <f>IF(AND(Q392=1,T392=1,I392&lt;&gt;"",W392&lt;&gt;""),IF(I392&lt;&gt;W392,1,0),0)</f>
        <v>0</v>
      </c>
      <c r="Y392" s="96">
        <f>IF(N392=0,0,IF(OR(Q392=0,T392=0,V392=0,AND(X392=1,J392&lt;&gt;"Sim")),1,0))</f>
        <v>0</v>
      </c>
      <c r="Z392" s="96">
        <f>IF(Q392=1,INDEX('CDFs'!$W$6:$W$505,P392),0)</f>
        <v>0</v>
      </c>
      <c r="AA392" s="96">
        <f>IF(AND(N392=1,Y392=0,Z392=1,J392="Sim"),1,0)</f>
        <v>0</v>
      </c>
      <c r="AB392" s="96">
        <f>IF(AND(N392=1,O392&lt;&gt;"",D392&lt;&gt;""),IF(COUNTIFS($O$6:O392,O392,$D$6:D392,D392)=1,1,0),0)</f>
        <v>0</v>
      </c>
      <c r="AC392" s="96">
        <f>IF(T392=1,INDEX('ITENS_MTR'!$AL$6:$AL$1005,S392),0)</f>
        <v>0</v>
      </c>
    </row>
    <row r="393">
      <c r="A393" s="89" t="inlineStr">
        <is>
          <t>VIN-000388</t>
        </is>
      </c>
      <c r="B393" s="91" t="n"/>
      <c r="C393" s="91" t="n"/>
      <c r="D393" s="94" t="str">
        <f>IF(T393=1,INDEX('ITENS_MTR'!$S$6:$S$1005,S393)&amp;"","")</f>
        <v/>
      </c>
      <c r="E393" s="94" t="str">
        <f>IF(T393=1,INDEX('ITENS_MTR'!$C$6:$C$1005,S393)&amp;"","")</f>
        <v/>
      </c>
      <c r="F393" s="98" t="n"/>
      <c r="G393" s="91" t="n"/>
      <c r="H393" s="93" t="str">
        <f>IF(N393=0,"",IF(NOT(ISNUMBER(F393)),"",IF(ISNUMBER(U393),F393*U393,"UNIDADE A CONFERIR")))</f>
        <v/>
      </c>
      <c r="I393" s="94" t="str">
        <f>IF(Q393=1,INDEX('CDFs'!$F$6:$F$505,P393)&amp;"","")</f>
        <v/>
      </c>
      <c r="J393" s="91" t="n"/>
      <c r="K393" s="91" t="n"/>
      <c r="L393" s="94" t="str">
        <f>IF(N393=0,"",IF(NOT(ISNUMBER(F393)),"Quantidade não informada",IF(F393&lt;=0,"Quantidade não positiva",IF(G393="","Unidade não informada",IF(NOT(ISNUMBER(H393)),"Unidade a conferir",IF(AC393=1,"REVISAR VÍNCULO: soma vinculada maior que a referência do item","OK"))))))</f>
        <v/>
      </c>
      <c r="M393" s="94" t="str">
        <f>IF(N393=0,"",IF(B393="","CDF não informado",IF(Q393=0,"REVISAR VÍNCULO: CDF inexistente",IF(C393="","Item não informado",IF(T393=0,"REVISAR VÍNCULO: item inexistente",IF(AND(X393=1,J393&lt;&gt;"Sim"),"REVISAR VÍNCULO: destinador diferente do MTR",IF(X393=1,"Destinador diferente do MTR (analisado)","OK")))))))</f>
        <v/>
      </c>
      <c r="N393" s="96">
        <f>IF(COUNTA(B393:C393,F393:G393,J393:K393)&gt;0,1,0)</f>
        <v>0</v>
      </c>
      <c r="O393" s="96" t="str">
        <f>IF(B393="","",TRIM(LEFT(B393,FIND(" |",B393&amp;" |")-1)))</f>
        <v/>
      </c>
      <c r="P393" s="96" t="str">
        <f>IF(O393="","",IFERROR(MATCH(O393,'CDFs'!$A$6:$A$505,0),""))</f>
        <v/>
      </c>
      <c r="Q393" s="96">
        <f>IF(P393="",0,IF(INDEX('CDFs'!$S$6:$S$505,P393)=1,1,0))</f>
        <v>0</v>
      </c>
      <c r="R393" s="96" t="str">
        <f>IF(C393="","",TRIM(LEFT(C393,FIND(" |",C393&amp;" |")-1)))</f>
        <v/>
      </c>
      <c r="S393" s="96" t="str">
        <f>IF(R393="","",IFERROR(MATCH(R393,'ITENS_MTR'!$A$6:$A$1005,0),""))</f>
        <v/>
      </c>
      <c r="T393" s="96">
        <f>IF(S393="",0,IF(INDEX('ITENS_MTR'!$R$6:$R$1005,S393)=1,1,0))</f>
        <v>0</v>
      </c>
      <c r="U393" s="96" t="str">
        <f>IF(G393="","",IFERROR(IF(ISNUMBER(INDEX(cfg_fac,MATCH(G393,cfg_units,0))),IF(INDEX(cfg_fac,MATCH(G393,cfg_units,0))&gt;0,INDEX(cfg_fac,MATCH(G393,cfg_units,0)),""),""),""))</f>
        <v/>
      </c>
      <c r="V393" s="96">
        <f>IF(AND(ISNUMBER(F393),ISNUMBER(H393)),IF(H393&gt;0,1,0),0)</f>
        <v>0</v>
      </c>
      <c r="W393" s="96" t="str">
        <f>IF(T393=1,INDEX('ITENS_MTR'!$AU$6:$AU$1005,S393)&amp;"","")</f>
        <v/>
      </c>
      <c r="X393" s="96">
        <f>IF(AND(Q393=1,T393=1,I393&lt;&gt;"",W393&lt;&gt;""),IF(I393&lt;&gt;W393,1,0),0)</f>
        <v>0</v>
      </c>
      <c r="Y393" s="96">
        <f>IF(N393=0,0,IF(OR(Q393=0,T393=0,V393=0,AND(X393=1,J393&lt;&gt;"Sim")),1,0))</f>
        <v>0</v>
      </c>
      <c r="Z393" s="96">
        <f>IF(Q393=1,INDEX('CDFs'!$W$6:$W$505,P393),0)</f>
        <v>0</v>
      </c>
      <c r="AA393" s="96">
        <f>IF(AND(N393=1,Y393=0,Z393=1,J393="Sim"),1,0)</f>
        <v>0</v>
      </c>
      <c r="AB393" s="96">
        <f>IF(AND(N393=1,O393&lt;&gt;"",D393&lt;&gt;""),IF(COUNTIFS($O$6:O393,O393,$D$6:D393,D393)=1,1,0),0)</f>
        <v>0</v>
      </c>
      <c r="AC393" s="96">
        <f>IF(T393=1,INDEX('ITENS_MTR'!$AL$6:$AL$1005,S393),0)</f>
        <v>0</v>
      </c>
    </row>
    <row r="394">
      <c r="A394" s="89" t="inlineStr">
        <is>
          <t>VIN-000389</t>
        </is>
      </c>
      <c r="B394" s="91" t="n"/>
      <c r="C394" s="91" t="n"/>
      <c r="D394" s="94" t="str">
        <f>IF(T394=1,INDEX('ITENS_MTR'!$S$6:$S$1005,S394)&amp;"","")</f>
        <v/>
      </c>
      <c r="E394" s="94" t="str">
        <f>IF(T394=1,INDEX('ITENS_MTR'!$C$6:$C$1005,S394)&amp;"","")</f>
        <v/>
      </c>
      <c r="F394" s="98" t="n"/>
      <c r="G394" s="91" t="n"/>
      <c r="H394" s="93" t="str">
        <f>IF(N394=0,"",IF(NOT(ISNUMBER(F394)),"",IF(ISNUMBER(U394),F394*U394,"UNIDADE A CONFERIR")))</f>
        <v/>
      </c>
      <c r="I394" s="94" t="str">
        <f>IF(Q394=1,INDEX('CDFs'!$F$6:$F$505,P394)&amp;"","")</f>
        <v/>
      </c>
      <c r="J394" s="91" t="n"/>
      <c r="K394" s="91" t="n"/>
      <c r="L394" s="94" t="str">
        <f>IF(N394=0,"",IF(NOT(ISNUMBER(F394)),"Quantidade não informada",IF(F394&lt;=0,"Quantidade não positiva",IF(G394="","Unidade não informada",IF(NOT(ISNUMBER(H394)),"Unidade a conferir",IF(AC394=1,"REVISAR VÍNCULO: soma vinculada maior que a referência do item","OK"))))))</f>
        <v/>
      </c>
      <c r="M394" s="94" t="str">
        <f>IF(N394=0,"",IF(B394="","CDF não informado",IF(Q394=0,"REVISAR VÍNCULO: CDF inexistente",IF(C394="","Item não informado",IF(T394=0,"REVISAR VÍNCULO: item inexistente",IF(AND(X394=1,J394&lt;&gt;"Sim"),"REVISAR VÍNCULO: destinador diferente do MTR",IF(X394=1,"Destinador diferente do MTR (analisado)","OK")))))))</f>
        <v/>
      </c>
      <c r="N394" s="96">
        <f>IF(COUNTA(B394:C394,F394:G394,J394:K394)&gt;0,1,0)</f>
        <v>0</v>
      </c>
      <c r="O394" s="96" t="str">
        <f>IF(B394="","",TRIM(LEFT(B394,FIND(" |",B394&amp;" |")-1)))</f>
        <v/>
      </c>
      <c r="P394" s="96" t="str">
        <f>IF(O394="","",IFERROR(MATCH(O394,'CDFs'!$A$6:$A$505,0),""))</f>
        <v/>
      </c>
      <c r="Q394" s="96">
        <f>IF(P394="",0,IF(INDEX('CDFs'!$S$6:$S$505,P394)=1,1,0))</f>
        <v>0</v>
      </c>
      <c r="R394" s="96" t="str">
        <f>IF(C394="","",TRIM(LEFT(C394,FIND(" |",C394&amp;" |")-1)))</f>
        <v/>
      </c>
      <c r="S394" s="96" t="str">
        <f>IF(R394="","",IFERROR(MATCH(R394,'ITENS_MTR'!$A$6:$A$1005,0),""))</f>
        <v/>
      </c>
      <c r="T394" s="96">
        <f>IF(S394="",0,IF(INDEX('ITENS_MTR'!$R$6:$R$1005,S394)=1,1,0))</f>
        <v>0</v>
      </c>
      <c r="U394" s="96" t="str">
        <f>IF(G394="","",IFERROR(IF(ISNUMBER(INDEX(cfg_fac,MATCH(G394,cfg_units,0))),IF(INDEX(cfg_fac,MATCH(G394,cfg_units,0))&gt;0,INDEX(cfg_fac,MATCH(G394,cfg_units,0)),""),""),""))</f>
        <v/>
      </c>
      <c r="V394" s="96">
        <f>IF(AND(ISNUMBER(F394),ISNUMBER(H394)),IF(H394&gt;0,1,0),0)</f>
        <v>0</v>
      </c>
      <c r="W394" s="96" t="str">
        <f>IF(T394=1,INDEX('ITENS_MTR'!$AU$6:$AU$1005,S394)&amp;"","")</f>
        <v/>
      </c>
      <c r="X394" s="96">
        <f>IF(AND(Q394=1,T394=1,I394&lt;&gt;"",W394&lt;&gt;""),IF(I394&lt;&gt;W394,1,0),0)</f>
        <v>0</v>
      </c>
      <c r="Y394" s="96">
        <f>IF(N394=0,0,IF(OR(Q394=0,T394=0,V394=0,AND(X394=1,J394&lt;&gt;"Sim")),1,0))</f>
        <v>0</v>
      </c>
      <c r="Z394" s="96">
        <f>IF(Q394=1,INDEX('CDFs'!$W$6:$W$505,P394),0)</f>
        <v>0</v>
      </c>
      <c r="AA394" s="96">
        <f>IF(AND(N394=1,Y394=0,Z394=1,J394="Sim"),1,0)</f>
        <v>0</v>
      </c>
      <c r="AB394" s="96">
        <f>IF(AND(N394=1,O394&lt;&gt;"",D394&lt;&gt;""),IF(COUNTIFS($O$6:O394,O394,$D$6:D394,D394)=1,1,0),0)</f>
        <v>0</v>
      </c>
      <c r="AC394" s="96">
        <f>IF(T394=1,INDEX('ITENS_MTR'!$AL$6:$AL$1005,S394),0)</f>
        <v>0</v>
      </c>
    </row>
    <row r="395">
      <c r="A395" s="89" t="inlineStr">
        <is>
          <t>VIN-000390</t>
        </is>
      </c>
      <c r="B395" s="91" t="n"/>
      <c r="C395" s="91" t="n"/>
      <c r="D395" s="94" t="str">
        <f>IF(T395=1,INDEX('ITENS_MTR'!$S$6:$S$1005,S395)&amp;"","")</f>
        <v/>
      </c>
      <c r="E395" s="94" t="str">
        <f>IF(T395=1,INDEX('ITENS_MTR'!$C$6:$C$1005,S395)&amp;"","")</f>
        <v/>
      </c>
      <c r="F395" s="98" t="n"/>
      <c r="G395" s="91" t="n"/>
      <c r="H395" s="93" t="str">
        <f>IF(N395=0,"",IF(NOT(ISNUMBER(F395)),"",IF(ISNUMBER(U395),F395*U395,"UNIDADE A CONFERIR")))</f>
        <v/>
      </c>
      <c r="I395" s="94" t="str">
        <f>IF(Q395=1,INDEX('CDFs'!$F$6:$F$505,P395)&amp;"","")</f>
        <v/>
      </c>
      <c r="J395" s="91" t="n"/>
      <c r="K395" s="91" t="n"/>
      <c r="L395" s="94" t="str">
        <f>IF(N395=0,"",IF(NOT(ISNUMBER(F395)),"Quantidade não informada",IF(F395&lt;=0,"Quantidade não positiva",IF(G395="","Unidade não informada",IF(NOT(ISNUMBER(H395)),"Unidade a conferir",IF(AC395=1,"REVISAR VÍNCULO: soma vinculada maior que a referência do item","OK"))))))</f>
        <v/>
      </c>
      <c r="M395" s="94" t="str">
        <f>IF(N395=0,"",IF(B395="","CDF não informado",IF(Q395=0,"REVISAR VÍNCULO: CDF inexistente",IF(C395="","Item não informado",IF(T395=0,"REVISAR VÍNCULO: item inexistente",IF(AND(X395=1,J395&lt;&gt;"Sim"),"REVISAR VÍNCULO: destinador diferente do MTR",IF(X395=1,"Destinador diferente do MTR (analisado)","OK")))))))</f>
        <v/>
      </c>
      <c r="N395" s="96">
        <f>IF(COUNTA(B395:C395,F395:G395,J395:K395)&gt;0,1,0)</f>
        <v>0</v>
      </c>
      <c r="O395" s="96" t="str">
        <f>IF(B395="","",TRIM(LEFT(B395,FIND(" |",B395&amp;" |")-1)))</f>
        <v/>
      </c>
      <c r="P395" s="96" t="str">
        <f>IF(O395="","",IFERROR(MATCH(O395,'CDFs'!$A$6:$A$505,0),""))</f>
        <v/>
      </c>
      <c r="Q395" s="96">
        <f>IF(P395="",0,IF(INDEX('CDFs'!$S$6:$S$505,P395)=1,1,0))</f>
        <v>0</v>
      </c>
      <c r="R395" s="96" t="str">
        <f>IF(C395="","",TRIM(LEFT(C395,FIND(" |",C395&amp;" |")-1)))</f>
        <v/>
      </c>
      <c r="S395" s="96" t="str">
        <f>IF(R395="","",IFERROR(MATCH(R395,'ITENS_MTR'!$A$6:$A$1005,0),""))</f>
        <v/>
      </c>
      <c r="T395" s="96">
        <f>IF(S395="",0,IF(INDEX('ITENS_MTR'!$R$6:$R$1005,S395)=1,1,0))</f>
        <v>0</v>
      </c>
      <c r="U395" s="96" t="str">
        <f>IF(G395="","",IFERROR(IF(ISNUMBER(INDEX(cfg_fac,MATCH(G395,cfg_units,0))),IF(INDEX(cfg_fac,MATCH(G395,cfg_units,0))&gt;0,INDEX(cfg_fac,MATCH(G395,cfg_units,0)),""),""),""))</f>
        <v/>
      </c>
      <c r="V395" s="96">
        <f>IF(AND(ISNUMBER(F395),ISNUMBER(H395)),IF(H395&gt;0,1,0),0)</f>
        <v>0</v>
      </c>
      <c r="W395" s="96" t="str">
        <f>IF(T395=1,INDEX('ITENS_MTR'!$AU$6:$AU$1005,S395)&amp;"","")</f>
        <v/>
      </c>
      <c r="X395" s="96">
        <f>IF(AND(Q395=1,T395=1,I395&lt;&gt;"",W395&lt;&gt;""),IF(I395&lt;&gt;W395,1,0),0)</f>
        <v>0</v>
      </c>
      <c r="Y395" s="96">
        <f>IF(N395=0,0,IF(OR(Q395=0,T395=0,V395=0,AND(X395=1,J395&lt;&gt;"Sim")),1,0))</f>
        <v>0</v>
      </c>
      <c r="Z395" s="96">
        <f>IF(Q395=1,INDEX('CDFs'!$W$6:$W$505,P395),0)</f>
        <v>0</v>
      </c>
      <c r="AA395" s="96">
        <f>IF(AND(N395=1,Y395=0,Z395=1,J395="Sim"),1,0)</f>
        <v>0</v>
      </c>
      <c r="AB395" s="96">
        <f>IF(AND(N395=1,O395&lt;&gt;"",D395&lt;&gt;""),IF(COUNTIFS($O$6:O395,O395,$D$6:D395,D395)=1,1,0),0)</f>
        <v>0</v>
      </c>
      <c r="AC395" s="96">
        <f>IF(T395=1,INDEX('ITENS_MTR'!$AL$6:$AL$1005,S395),0)</f>
        <v>0</v>
      </c>
    </row>
    <row r="396">
      <c r="A396" s="89" t="inlineStr">
        <is>
          <t>VIN-000391</t>
        </is>
      </c>
      <c r="B396" s="91" t="n"/>
      <c r="C396" s="91" t="n"/>
      <c r="D396" s="94" t="str">
        <f>IF(T396=1,INDEX('ITENS_MTR'!$S$6:$S$1005,S396)&amp;"","")</f>
        <v/>
      </c>
      <c r="E396" s="94" t="str">
        <f>IF(T396=1,INDEX('ITENS_MTR'!$C$6:$C$1005,S396)&amp;"","")</f>
        <v/>
      </c>
      <c r="F396" s="98" t="n"/>
      <c r="G396" s="91" t="n"/>
      <c r="H396" s="93" t="str">
        <f>IF(N396=0,"",IF(NOT(ISNUMBER(F396)),"",IF(ISNUMBER(U396),F396*U396,"UNIDADE A CONFERIR")))</f>
        <v/>
      </c>
      <c r="I396" s="94" t="str">
        <f>IF(Q396=1,INDEX('CDFs'!$F$6:$F$505,P396)&amp;"","")</f>
        <v/>
      </c>
      <c r="J396" s="91" t="n"/>
      <c r="K396" s="91" t="n"/>
      <c r="L396" s="94" t="str">
        <f>IF(N396=0,"",IF(NOT(ISNUMBER(F396)),"Quantidade não informada",IF(F396&lt;=0,"Quantidade não positiva",IF(G396="","Unidade não informada",IF(NOT(ISNUMBER(H396)),"Unidade a conferir",IF(AC396=1,"REVISAR VÍNCULO: soma vinculada maior que a referência do item","OK"))))))</f>
        <v/>
      </c>
      <c r="M396" s="94" t="str">
        <f>IF(N396=0,"",IF(B396="","CDF não informado",IF(Q396=0,"REVISAR VÍNCULO: CDF inexistente",IF(C396="","Item não informado",IF(T396=0,"REVISAR VÍNCULO: item inexistente",IF(AND(X396=1,J396&lt;&gt;"Sim"),"REVISAR VÍNCULO: destinador diferente do MTR",IF(X396=1,"Destinador diferente do MTR (analisado)","OK")))))))</f>
        <v/>
      </c>
      <c r="N396" s="96">
        <f>IF(COUNTA(B396:C396,F396:G396,J396:K396)&gt;0,1,0)</f>
        <v>0</v>
      </c>
      <c r="O396" s="96" t="str">
        <f>IF(B396="","",TRIM(LEFT(B396,FIND(" |",B396&amp;" |")-1)))</f>
        <v/>
      </c>
      <c r="P396" s="96" t="str">
        <f>IF(O396="","",IFERROR(MATCH(O396,'CDFs'!$A$6:$A$505,0),""))</f>
        <v/>
      </c>
      <c r="Q396" s="96">
        <f>IF(P396="",0,IF(INDEX('CDFs'!$S$6:$S$505,P396)=1,1,0))</f>
        <v>0</v>
      </c>
      <c r="R396" s="96" t="str">
        <f>IF(C396="","",TRIM(LEFT(C396,FIND(" |",C396&amp;" |")-1)))</f>
        <v/>
      </c>
      <c r="S396" s="96" t="str">
        <f>IF(R396="","",IFERROR(MATCH(R396,'ITENS_MTR'!$A$6:$A$1005,0),""))</f>
        <v/>
      </c>
      <c r="T396" s="96">
        <f>IF(S396="",0,IF(INDEX('ITENS_MTR'!$R$6:$R$1005,S396)=1,1,0))</f>
        <v>0</v>
      </c>
      <c r="U396" s="96" t="str">
        <f>IF(G396="","",IFERROR(IF(ISNUMBER(INDEX(cfg_fac,MATCH(G396,cfg_units,0))),IF(INDEX(cfg_fac,MATCH(G396,cfg_units,0))&gt;0,INDEX(cfg_fac,MATCH(G396,cfg_units,0)),""),""),""))</f>
        <v/>
      </c>
      <c r="V396" s="96">
        <f>IF(AND(ISNUMBER(F396),ISNUMBER(H396)),IF(H396&gt;0,1,0),0)</f>
        <v>0</v>
      </c>
      <c r="W396" s="96" t="str">
        <f>IF(T396=1,INDEX('ITENS_MTR'!$AU$6:$AU$1005,S396)&amp;"","")</f>
        <v/>
      </c>
      <c r="X396" s="96">
        <f>IF(AND(Q396=1,T396=1,I396&lt;&gt;"",W396&lt;&gt;""),IF(I396&lt;&gt;W396,1,0),0)</f>
        <v>0</v>
      </c>
      <c r="Y396" s="96">
        <f>IF(N396=0,0,IF(OR(Q396=0,T396=0,V396=0,AND(X396=1,J396&lt;&gt;"Sim")),1,0))</f>
        <v>0</v>
      </c>
      <c r="Z396" s="96">
        <f>IF(Q396=1,INDEX('CDFs'!$W$6:$W$505,P396),0)</f>
        <v>0</v>
      </c>
      <c r="AA396" s="96">
        <f>IF(AND(N396=1,Y396=0,Z396=1,J396="Sim"),1,0)</f>
        <v>0</v>
      </c>
      <c r="AB396" s="96">
        <f>IF(AND(N396=1,O396&lt;&gt;"",D396&lt;&gt;""),IF(COUNTIFS($O$6:O396,O396,$D$6:D396,D396)=1,1,0),0)</f>
        <v>0</v>
      </c>
      <c r="AC396" s="96">
        <f>IF(T396=1,INDEX('ITENS_MTR'!$AL$6:$AL$1005,S396),0)</f>
        <v>0</v>
      </c>
    </row>
    <row r="397">
      <c r="A397" s="89" t="inlineStr">
        <is>
          <t>VIN-000392</t>
        </is>
      </c>
      <c r="B397" s="91" t="n"/>
      <c r="C397" s="91" t="n"/>
      <c r="D397" s="94" t="str">
        <f>IF(T397=1,INDEX('ITENS_MTR'!$S$6:$S$1005,S397)&amp;"","")</f>
        <v/>
      </c>
      <c r="E397" s="94" t="str">
        <f>IF(T397=1,INDEX('ITENS_MTR'!$C$6:$C$1005,S397)&amp;"","")</f>
        <v/>
      </c>
      <c r="F397" s="98" t="n"/>
      <c r="G397" s="91" t="n"/>
      <c r="H397" s="93" t="str">
        <f>IF(N397=0,"",IF(NOT(ISNUMBER(F397)),"",IF(ISNUMBER(U397),F397*U397,"UNIDADE A CONFERIR")))</f>
        <v/>
      </c>
      <c r="I397" s="94" t="str">
        <f>IF(Q397=1,INDEX('CDFs'!$F$6:$F$505,P397)&amp;"","")</f>
        <v/>
      </c>
      <c r="J397" s="91" t="n"/>
      <c r="K397" s="91" t="n"/>
      <c r="L397" s="94" t="str">
        <f>IF(N397=0,"",IF(NOT(ISNUMBER(F397)),"Quantidade não informada",IF(F397&lt;=0,"Quantidade não positiva",IF(G397="","Unidade não informada",IF(NOT(ISNUMBER(H397)),"Unidade a conferir",IF(AC397=1,"REVISAR VÍNCULO: soma vinculada maior que a referência do item","OK"))))))</f>
        <v/>
      </c>
      <c r="M397" s="94" t="str">
        <f>IF(N397=0,"",IF(B397="","CDF não informado",IF(Q397=0,"REVISAR VÍNCULO: CDF inexistente",IF(C397="","Item não informado",IF(T397=0,"REVISAR VÍNCULO: item inexistente",IF(AND(X397=1,J397&lt;&gt;"Sim"),"REVISAR VÍNCULO: destinador diferente do MTR",IF(X397=1,"Destinador diferente do MTR (analisado)","OK")))))))</f>
        <v/>
      </c>
      <c r="N397" s="96">
        <f>IF(COUNTA(B397:C397,F397:G397,J397:K397)&gt;0,1,0)</f>
        <v>0</v>
      </c>
      <c r="O397" s="96" t="str">
        <f>IF(B397="","",TRIM(LEFT(B397,FIND(" |",B397&amp;" |")-1)))</f>
        <v/>
      </c>
      <c r="P397" s="96" t="str">
        <f>IF(O397="","",IFERROR(MATCH(O397,'CDFs'!$A$6:$A$505,0),""))</f>
        <v/>
      </c>
      <c r="Q397" s="96">
        <f>IF(P397="",0,IF(INDEX('CDFs'!$S$6:$S$505,P397)=1,1,0))</f>
        <v>0</v>
      </c>
      <c r="R397" s="96" t="str">
        <f>IF(C397="","",TRIM(LEFT(C397,FIND(" |",C397&amp;" |")-1)))</f>
        <v/>
      </c>
      <c r="S397" s="96" t="str">
        <f>IF(R397="","",IFERROR(MATCH(R397,'ITENS_MTR'!$A$6:$A$1005,0),""))</f>
        <v/>
      </c>
      <c r="T397" s="96">
        <f>IF(S397="",0,IF(INDEX('ITENS_MTR'!$R$6:$R$1005,S397)=1,1,0))</f>
        <v>0</v>
      </c>
      <c r="U397" s="96" t="str">
        <f>IF(G397="","",IFERROR(IF(ISNUMBER(INDEX(cfg_fac,MATCH(G397,cfg_units,0))),IF(INDEX(cfg_fac,MATCH(G397,cfg_units,0))&gt;0,INDEX(cfg_fac,MATCH(G397,cfg_units,0)),""),""),""))</f>
        <v/>
      </c>
      <c r="V397" s="96">
        <f>IF(AND(ISNUMBER(F397),ISNUMBER(H397)),IF(H397&gt;0,1,0),0)</f>
        <v>0</v>
      </c>
      <c r="W397" s="96" t="str">
        <f>IF(T397=1,INDEX('ITENS_MTR'!$AU$6:$AU$1005,S397)&amp;"","")</f>
        <v/>
      </c>
      <c r="X397" s="96">
        <f>IF(AND(Q397=1,T397=1,I397&lt;&gt;"",W397&lt;&gt;""),IF(I397&lt;&gt;W397,1,0),0)</f>
        <v>0</v>
      </c>
      <c r="Y397" s="96">
        <f>IF(N397=0,0,IF(OR(Q397=0,T397=0,V397=0,AND(X397=1,J397&lt;&gt;"Sim")),1,0))</f>
        <v>0</v>
      </c>
      <c r="Z397" s="96">
        <f>IF(Q397=1,INDEX('CDFs'!$W$6:$W$505,P397),0)</f>
        <v>0</v>
      </c>
      <c r="AA397" s="96">
        <f>IF(AND(N397=1,Y397=0,Z397=1,J397="Sim"),1,0)</f>
        <v>0</v>
      </c>
      <c r="AB397" s="96">
        <f>IF(AND(N397=1,O397&lt;&gt;"",D397&lt;&gt;""),IF(COUNTIFS($O$6:O397,O397,$D$6:D397,D397)=1,1,0),0)</f>
        <v>0</v>
      </c>
      <c r="AC397" s="96">
        <f>IF(T397=1,INDEX('ITENS_MTR'!$AL$6:$AL$1005,S397),0)</f>
        <v>0</v>
      </c>
    </row>
    <row r="398">
      <c r="A398" s="89" t="inlineStr">
        <is>
          <t>VIN-000393</t>
        </is>
      </c>
      <c r="B398" s="91" t="n"/>
      <c r="C398" s="91" t="n"/>
      <c r="D398" s="94" t="str">
        <f>IF(T398=1,INDEX('ITENS_MTR'!$S$6:$S$1005,S398)&amp;"","")</f>
        <v/>
      </c>
      <c r="E398" s="94" t="str">
        <f>IF(T398=1,INDEX('ITENS_MTR'!$C$6:$C$1005,S398)&amp;"","")</f>
        <v/>
      </c>
      <c r="F398" s="98" t="n"/>
      <c r="G398" s="91" t="n"/>
      <c r="H398" s="93" t="str">
        <f>IF(N398=0,"",IF(NOT(ISNUMBER(F398)),"",IF(ISNUMBER(U398),F398*U398,"UNIDADE A CONFERIR")))</f>
        <v/>
      </c>
      <c r="I398" s="94" t="str">
        <f>IF(Q398=1,INDEX('CDFs'!$F$6:$F$505,P398)&amp;"","")</f>
        <v/>
      </c>
      <c r="J398" s="91" t="n"/>
      <c r="K398" s="91" t="n"/>
      <c r="L398" s="94" t="str">
        <f>IF(N398=0,"",IF(NOT(ISNUMBER(F398)),"Quantidade não informada",IF(F398&lt;=0,"Quantidade não positiva",IF(G398="","Unidade não informada",IF(NOT(ISNUMBER(H398)),"Unidade a conferir",IF(AC398=1,"REVISAR VÍNCULO: soma vinculada maior que a referência do item","OK"))))))</f>
        <v/>
      </c>
      <c r="M398" s="94" t="str">
        <f>IF(N398=0,"",IF(B398="","CDF não informado",IF(Q398=0,"REVISAR VÍNCULO: CDF inexistente",IF(C398="","Item não informado",IF(T398=0,"REVISAR VÍNCULO: item inexistente",IF(AND(X398=1,J398&lt;&gt;"Sim"),"REVISAR VÍNCULO: destinador diferente do MTR",IF(X398=1,"Destinador diferente do MTR (analisado)","OK")))))))</f>
        <v/>
      </c>
      <c r="N398" s="96">
        <f>IF(COUNTA(B398:C398,F398:G398,J398:K398)&gt;0,1,0)</f>
        <v>0</v>
      </c>
      <c r="O398" s="96" t="str">
        <f>IF(B398="","",TRIM(LEFT(B398,FIND(" |",B398&amp;" |")-1)))</f>
        <v/>
      </c>
      <c r="P398" s="96" t="str">
        <f>IF(O398="","",IFERROR(MATCH(O398,'CDFs'!$A$6:$A$505,0),""))</f>
        <v/>
      </c>
      <c r="Q398" s="96">
        <f>IF(P398="",0,IF(INDEX('CDFs'!$S$6:$S$505,P398)=1,1,0))</f>
        <v>0</v>
      </c>
      <c r="R398" s="96" t="str">
        <f>IF(C398="","",TRIM(LEFT(C398,FIND(" |",C398&amp;" |")-1)))</f>
        <v/>
      </c>
      <c r="S398" s="96" t="str">
        <f>IF(R398="","",IFERROR(MATCH(R398,'ITENS_MTR'!$A$6:$A$1005,0),""))</f>
        <v/>
      </c>
      <c r="T398" s="96">
        <f>IF(S398="",0,IF(INDEX('ITENS_MTR'!$R$6:$R$1005,S398)=1,1,0))</f>
        <v>0</v>
      </c>
      <c r="U398" s="96" t="str">
        <f>IF(G398="","",IFERROR(IF(ISNUMBER(INDEX(cfg_fac,MATCH(G398,cfg_units,0))),IF(INDEX(cfg_fac,MATCH(G398,cfg_units,0))&gt;0,INDEX(cfg_fac,MATCH(G398,cfg_units,0)),""),""),""))</f>
        <v/>
      </c>
      <c r="V398" s="96">
        <f>IF(AND(ISNUMBER(F398),ISNUMBER(H398)),IF(H398&gt;0,1,0),0)</f>
        <v>0</v>
      </c>
      <c r="W398" s="96" t="str">
        <f>IF(T398=1,INDEX('ITENS_MTR'!$AU$6:$AU$1005,S398)&amp;"","")</f>
        <v/>
      </c>
      <c r="X398" s="96">
        <f>IF(AND(Q398=1,T398=1,I398&lt;&gt;"",W398&lt;&gt;""),IF(I398&lt;&gt;W398,1,0),0)</f>
        <v>0</v>
      </c>
      <c r="Y398" s="96">
        <f>IF(N398=0,0,IF(OR(Q398=0,T398=0,V398=0,AND(X398=1,J398&lt;&gt;"Sim")),1,0))</f>
        <v>0</v>
      </c>
      <c r="Z398" s="96">
        <f>IF(Q398=1,INDEX('CDFs'!$W$6:$W$505,P398),0)</f>
        <v>0</v>
      </c>
      <c r="AA398" s="96">
        <f>IF(AND(N398=1,Y398=0,Z398=1,J398="Sim"),1,0)</f>
        <v>0</v>
      </c>
      <c r="AB398" s="96">
        <f>IF(AND(N398=1,O398&lt;&gt;"",D398&lt;&gt;""),IF(COUNTIFS($O$6:O398,O398,$D$6:D398,D398)=1,1,0),0)</f>
        <v>0</v>
      </c>
      <c r="AC398" s="96">
        <f>IF(T398=1,INDEX('ITENS_MTR'!$AL$6:$AL$1005,S398),0)</f>
        <v>0</v>
      </c>
    </row>
    <row r="399">
      <c r="A399" s="89" t="inlineStr">
        <is>
          <t>VIN-000394</t>
        </is>
      </c>
      <c r="B399" s="91" t="n"/>
      <c r="C399" s="91" t="n"/>
      <c r="D399" s="94" t="str">
        <f>IF(T399=1,INDEX('ITENS_MTR'!$S$6:$S$1005,S399)&amp;"","")</f>
        <v/>
      </c>
      <c r="E399" s="94" t="str">
        <f>IF(T399=1,INDEX('ITENS_MTR'!$C$6:$C$1005,S399)&amp;"","")</f>
        <v/>
      </c>
      <c r="F399" s="98" t="n"/>
      <c r="G399" s="91" t="n"/>
      <c r="H399" s="93" t="str">
        <f>IF(N399=0,"",IF(NOT(ISNUMBER(F399)),"",IF(ISNUMBER(U399),F399*U399,"UNIDADE A CONFERIR")))</f>
        <v/>
      </c>
      <c r="I399" s="94" t="str">
        <f>IF(Q399=1,INDEX('CDFs'!$F$6:$F$505,P399)&amp;"","")</f>
        <v/>
      </c>
      <c r="J399" s="91" t="n"/>
      <c r="K399" s="91" t="n"/>
      <c r="L399" s="94" t="str">
        <f>IF(N399=0,"",IF(NOT(ISNUMBER(F399)),"Quantidade não informada",IF(F399&lt;=0,"Quantidade não positiva",IF(G399="","Unidade não informada",IF(NOT(ISNUMBER(H399)),"Unidade a conferir",IF(AC399=1,"REVISAR VÍNCULO: soma vinculada maior que a referência do item","OK"))))))</f>
        <v/>
      </c>
      <c r="M399" s="94" t="str">
        <f>IF(N399=0,"",IF(B399="","CDF não informado",IF(Q399=0,"REVISAR VÍNCULO: CDF inexistente",IF(C399="","Item não informado",IF(T399=0,"REVISAR VÍNCULO: item inexistente",IF(AND(X399=1,J399&lt;&gt;"Sim"),"REVISAR VÍNCULO: destinador diferente do MTR",IF(X399=1,"Destinador diferente do MTR (analisado)","OK")))))))</f>
        <v/>
      </c>
      <c r="N399" s="96">
        <f>IF(COUNTA(B399:C399,F399:G399,J399:K399)&gt;0,1,0)</f>
        <v>0</v>
      </c>
      <c r="O399" s="96" t="str">
        <f>IF(B399="","",TRIM(LEFT(B399,FIND(" |",B399&amp;" |")-1)))</f>
        <v/>
      </c>
      <c r="P399" s="96" t="str">
        <f>IF(O399="","",IFERROR(MATCH(O399,'CDFs'!$A$6:$A$505,0),""))</f>
        <v/>
      </c>
      <c r="Q399" s="96">
        <f>IF(P399="",0,IF(INDEX('CDFs'!$S$6:$S$505,P399)=1,1,0))</f>
        <v>0</v>
      </c>
      <c r="R399" s="96" t="str">
        <f>IF(C399="","",TRIM(LEFT(C399,FIND(" |",C399&amp;" |")-1)))</f>
        <v/>
      </c>
      <c r="S399" s="96" t="str">
        <f>IF(R399="","",IFERROR(MATCH(R399,'ITENS_MTR'!$A$6:$A$1005,0),""))</f>
        <v/>
      </c>
      <c r="T399" s="96">
        <f>IF(S399="",0,IF(INDEX('ITENS_MTR'!$R$6:$R$1005,S399)=1,1,0))</f>
        <v>0</v>
      </c>
      <c r="U399" s="96" t="str">
        <f>IF(G399="","",IFERROR(IF(ISNUMBER(INDEX(cfg_fac,MATCH(G399,cfg_units,0))),IF(INDEX(cfg_fac,MATCH(G399,cfg_units,0))&gt;0,INDEX(cfg_fac,MATCH(G399,cfg_units,0)),""),""),""))</f>
        <v/>
      </c>
      <c r="V399" s="96">
        <f>IF(AND(ISNUMBER(F399),ISNUMBER(H399)),IF(H399&gt;0,1,0),0)</f>
        <v>0</v>
      </c>
      <c r="W399" s="96" t="str">
        <f>IF(T399=1,INDEX('ITENS_MTR'!$AU$6:$AU$1005,S399)&amp;"","")</f>
        <v/>
      </c>
      <c r="X399" s="96">
        <f>IF(AND(Q399=1,T399=1,I399&lt;&gt;"",W399&lt;&gt;""),IF(I399&lt;&gt;W399,1,0),0)</f>
        <v>0</v>
      </c>
      <c r="Y399" s="96">
        <f>IF(N399=0,0,IF(OR(Q399=0,T399=0,V399=0,AND(X399=1,J399&lt;&gt;"Sim")),1,0))</f>
        <v>0</v>
      </c>
      <c r="Z399" s="96">
        <f>IF(Q399=1,INDEX('CDFs'!$W$6:$W$505,P399),0)</f>
        <v>0</v>
      </c>
      <c r="AA399" s="96">
        <f>IF(AND(N399=1,Y399=0,Z399=1,J399="Sim"),1,0)</f>
        <v>0</v>
      </c>
      <c r="AB399" s="96">
        <f>IF(AND(N399=1,O399&lt;&gt;"",D399&lt;&gt;""),IF(COUNTIFS($O$6:O399,O399,$D$6:D399,D399)=1,1,0),0)</f>
        <v>0</v>
      </c>
      <c r="AC399" s="96">
        <f>IF(T399=1,INDEX('ITENS_MTR'!$AL$6:$AL$1005,S399),0)</f>
        <v>0</v>
      </c>
    </row>
    <row r="400">
      <c r="A400" s="89" t="inlineStr">
        <is>
          <t>VIN-000395</t>
        </is>
      </c>
      <c r="B400" s="91" t="n"/>
      <c r="C400" s="91" t="n"/>
      <c r="D400" s="94" t="str">
        <f>IF(T400=1,INDEX('ITENS_MTR'!$S$6:$S$1005,S400)&amp;"","")</f>
        <v/>
      </c>
      <c r="E400" s="94" t="str">
        <f>IF(T400=1,INDEX('ITENS_MTR'!$C$6:$C$1005,S400)&amp;"","")</f>
        <v/>
      </c>
      <c r="F400" s="98" t="n"/>
      <c r="G400" s="91" t="n"/>
      <c r="H400" s="93" t="str">
        <f>IF(N400=0,"",IF(NOT(ISNUMBER(F400)),"",IF(ISNUMBER(U400),F400*U400,"UNIDADE A CONFERIR")))</f>
        <v/>
      </c>
      <c r="I400" s="94" t="str">
        <f>IF(Q400=1,INDEX('CDFs'!$F$6:$F$505,P400)&amp;"","")</f>
        <v/>
      </c>
      <c r="J400" s="91" t="n"/>
      <c r="K400" s="91" t="n"/>
      <c r="L400" s="94" t="str">
        <f>IF(N400=0,"",IF(NOT(ISNUMBER(F400)),"Quantidade não informada",IF(F400&lt;=0,"Quantidade não positiva",IF(G400="","Unidade não informada",IF(NOT(ISNUMBER(H400)),"Unidade a conferir",IF(AC400=1,"REVISAR VÍNCULO: soma vinculada maior que a referência do item","OK"))))))</f>
        <v/>
      </c>
      <c r="M400" s="94" t="str">
        <f>IF(N400=0,"",IF(B400="","CDF não informado",IF(Q400=0,"REVISAR VÍNCULO: CDF inexistente",IF(C400="","Item não informado",IF(T400=0,"REVISAR VÍNCULO: item inexistente",IF(AND(X400=1,J400&lt;&gt;"Sim"),"REVISAR VÍNCULO: destinador diferente do MTR",IF(X400=1,"Destinador diferente do MTR (analisado)","OK")))))))</f>
        <v/>
      </c>
      <c r="N400" s="96">
        <f>IF(COUNTA(B400:C400,F400:G400,J400:K400)&gt;0,1,0)</f>
        <v>0</v>
      </c>
      <c r="O400" s="96" t="str">
        <f>IF(B400="","",TRIM(LEFT(B400,FIND(" |",B400&amp;" |")-1)))</f>
        <v/>
      </c>
      <c r="P400" s="96" t="str">
        <f>IF(O400="","",IFERROR(MATCH(O400,'CDFs'!$A$6:$A$505,0),""))</f>
        <v/>
      </c>
      <c r="Q400" s="96">
        <f>IF(P400="",0,IF(INDEX('CDFs'!$S$6:$S$505,P400)=1,1,0))</f>
        <v>0</v>
      </c>
      <c r="R400" s="96" t="str">
        <f>IF(C400="","",TRIM(LEFT(C400,FIND(" |",C400&amp;" |")-1)))</f>
        <v/>
      </c>
      <c r="S400" s="96" t="str">
        <f>IF(R400="","",IFERROR(MATCH(R400,'ITENS_MTR'!$A$6:$A$1005,0),""))</f>
        <v/>
      </c>
      <c r="T400" s="96">
        <f>IF(S400="",0,IF(INDEX('ITENS_MTR'!$R$6:$R$1005,S400)=1,1,0))</f>
        <v>0</v>
      </c>
      <c r="U400" s="96" t="str">
        <f>IF(G400="","",IFERROR(IF(ISNUMBER(INDEX(cfg_fac,MATCH(G400,cfg_units,0))),IF(INDEX(cfg_fac,MATCH(G400,cfg_units,0))&gt;0,INDEX(cfg_fac,MATCH(G400,cfg_units,0)),""),""),""))</f>
        <v/>
      </c>
      <c r="V400" s="96">
        <f>IF(AND(ISNUMBER(F400),ISNUMBER(H400)),IF(H400&gt;0,1,0),0)</f>
        <v>0</v>
      </c>
      <c r="W400" s="96" t="str">
        <f>IF(T400=1,INDEX('ITENS_MTR'!$AU$6:$AU$1005,S400)&amp;"","")</f>
        <v/>
      </c>
      <c r="X400" s="96">
        <f>IF(AND(Q400=1,T400=1,I400&lt;&gt;"",W400&lt;&gt;""),IF(I400&lt;&gt;W400,1,0),0)</f>
        <v>0</v>
      </c>
      <c r="Y400" s="96">
        <f>IF(N400=0,0,IF(OR(Q400=0,T400=0,V400=0,AND(X400=1,J400&lt;&gt;"Sim")),1,0))</f>
        <v>0</v>
      </c>
      <c r="Z400" s="96">
        <f>IF(Q400=1,INDEX('CDFs'!$W$6:$W$505,P400),0)</f>
        <v>0</v>
      </c>
      <c r="AA400" s="96">
        <f>IF(AND(N400=1,Y400=0,Z400=1,J400="Sim"),1,0)</f>
        <v>0</v>
      </c>
      <c r="AB400" s="96">
        <f>IF(AND(N400=1,O400&lt;&gt;"",D400&lt;&gt;""),IF(COUNTIFS($O$6:O400,O400,$D$6:D400,D400)=1,1,0),0)</f>
        <v>0</v>
      </c>
      <c r="AC400" s="96">
        <f>IF(T400=1,INDEX('ITENS_MTR'!$AL$6:$AL$1005,S400),0)</f>
        <v>0</v>
      </c>
    </row>
    <row r="401">
      <c r="A401" s="89" t="inlineStr">
        <is>
          <t>VIN-000396</t>
        </is>
      </c>
      <c r="B401" s="91" t="n"/>
      <c r="C401" s="91" t="n"/>
      <c r="D401" s="94" t="str">
        <f>IF(T401=1,INDEX('ITENS_MTR'!$S$6:$S$1005,S401)&amp;"","")</f>
        <v/>
      </c>
      <c r="E401" s="94" t="str">
        <f>IF(T401=1,INDEX('ITENS_MTR'!$C$6:$C$1005,S401)&amp;"","")</f>
        <v/>
      </c>
      <c r="F401" s="98" t="n"/>
      <c r="G401" s="91" t="n"/>
      <c r="H401" s="93" t="str">
        <f>IF(N401=0,"",IF(NOT(ISNUMBER(F401)),"",IF(ISNUMBER(U401),F401*U401,"UNIDADE A CONFERIR")))</f>
        <v/>
      </c>
      <c r="I401" s="94" t="str">
        <f>IF(Q401=1,INDEX('CDFs'!$F$6:$F$505,P401)&amp;"","")</f>
        <v/>
      </c>
      <c r="J401" s="91" t="n"/>
      <c r="K401" s="91" t="n"/>
      <c r="L401" s="94" t="str">
        <f>IF(N401=0,"",IF(NOT(ISNUMBER(F401)),"Quantidade não informada",IF(F401&lt;=0,"Quantidade não positiva",IF(G401="","Unidade não informada",IF(NOT(ISNUMBER(H401)),"Unidade a conferir",IF(AC401=1,"REVISAR VÍNCULO: soma vinculada maior que a referência do item","OK"))))))</f>
        <v/>
      </c>
      <c r="M401" s="94" t="str">
        <f>IF(N401=0,"",IF(B401="","CDF não informado",IF(Q401=0,"REVISAR VÍNCULO: CDF inexistente",IF(C401="","Item não informado",IF(T401=0,"REVISAR VÍNCULO: item inexistente",IF(AND(X401=1,J401&lt;&gt;"Sim"),"REVISAR VÍNCULO: destinador diferente do MTR",IF(X401=1,"Destinador diferente do MTR (analisado)","OK")))))))</f>
        <v/>
      </c>
      <c r="N401" s="96">
        <f>IF(COUNTA(B401:C401,F401:G401,J401:K401)&gt;0,1,0)</f>
        <v>0</v>
      </c>
      <c r="O401" s="96" t="str">
        <f>IF(B401="","",TRIM(LEFT(B401,FIND(" |",B401&amp;" |")-1)))</f>
        <v/>
      </c>
      <c r="P401" s="96" t="str">
        <f>IF(O401="","",IFERROR(MATCH(O401,'CDFs'!$A$6:$A$505,0),""))</f>
        <v/>
      </c>
      <c r="Q401" s="96">
        <f>IF(P401="",0,IF(INDEX('CDFs'!$S$6:$S$505,P401)=1,1,0))</f>
        <v>0</v>
      </c>
      <c r="R401" s="96" t="str">
        <f>IF(C401="","",TRIM(LEFT(C401,FIND(" |",C401&amp;" |")-1)))</f>
        <v/>
      </c>
      <c r="S401" s="96" t="str">
        <f>IF(R401="","",IFERROR(MATCH(R401,'ITENS_MTR'!$A$6:$A$1005,0),""))</f>
        <v/>
      </c>
      <c r="T401" s="96">
        <f>IF(S401="",0,IF(INDEX('ITENS_MTR'!$R$6:$R$1005,S401)=1,1,0))</f>
        <v>0</v>
      </c>
      <c r="U401" s="96" t="str">
        <f>IF(G401="","",IFERROR(IF(ISNUMBER(INDEX(cfg_fac,MATCH(G401,cfg_units,0))),IF(INDEX(cfg_fac,MATCH(G401,cfg_units,0))&gt;0,INDEX(cfg_fac,MATCH(G401,cfg_units,0)),""),""),""))</f>
        <v/>
      </c>
      <c r="V401" s="96">
        <f>IF(AND(ISNUMBER(F401),ISNUMBER(H401)),IF(H401&gt;0,1,0),0)</f>
        <v>0</v>
      </c>
      <c r="W401" s="96" t="str">
        <f>IF(T401=1,INDEX('ITENS_MTR'!$AU$6:$AU$1005,S401)&amp;"","")</f>
        <v/>
      </c>
      <c r="X401" s="96">
        <f>IF(AND(Q401=1,T401=1,I401&lt;&gt;"",W401&lt;&gt;""),IF(I401&lt;&gt;W401,1,0),0)</f>
        <v>0</v>
      </c>
      <c r="Y401" s="96">
        <f>IF(N401=0,0,IF(OR(Q401=0,T401=0,V401=0,AND(X401=1,J401&lt;&gt;"Sim")),1,0))</f>
        <v>0</v>
      </c>
      <c r="Z401" s="96">
        <f>IF(Q401=1,INDEX('CDFs'!$W$6:$W$505,P401),0)</f>
        <v>0</v>
      </c>
      <c r="AA401" s="96">
        <f>IF(AND(N401=1,Y401=0,Z401=1,J401="Sim"),1,0)</f>
        <v>0</v>
      </c>
      <c r="AB401" s="96">
        <f>IF(AND(N401=1,O401&lt;&gt;"",D401&lt;&gt;""),IF(COUNTIFS($O$6:O401,O401,$D$6:D401,D401)=1,1,0),0)</f>
        <v>0</v>
      </c>
      <c r="AC401" s="96">
        <f>IF(T401=1,INDEX('ITENS_MTR'!$AL$6:$AL$1005,S401),0)</f>
        <v>0</v>
      </c>
    </row>
    <row r="402">
      <c r="A402" s="89" t="inlineStr">
        <is>
          <t>VIN-000397</t>
        </is>
      </c>
      <c r="B402" s="91" t="n"/>
      <c r="C402" s="91" t="n"/>
      <c r="D402" s="94" t="str">
        <f>IF(T402=1,INDEX('ITENS_MTR'!$S$6:$S$1005,S402)&amp;"","")</f>
        <v/>
      </c>
      <c r="E402" s="94" t="str">
        <f>IF(T402=1,INDEX('ITENS_MTR'!$C$6:$C$1005,S402)&amp;"","")</f>
        <v/>
      </c>
      <c r="F402" s="98" t="n"/>
      <c r="G402" s="91" t="n"/>
      <c r="H402" s="93" t="str">
        <f>IF(N402=0,"",IF(NOT(ISNUMBER(F402)),"",IF(ISNUMBER(U402),F402*U402,"UNIDADE A CONFERIR")))</f>
        <v/>
      </c>
      <c r="I402" s="94" t="str">
        <f>IF(Q402=1,INDEX('CDFs'!$F$6:$F$505,P402)&amp;"","")</f>
        <v/>
      </c>
      <c r="J402" s="91" t="n"/>
      <c r="K402" s="91" t="n"/>
      <c r="L402" s="94" t="str">
        <f>IF(N402=0,"",IF(NOT(ISNUMBER(F402)),"Quantidade não informada",IF(F402&lt;=0,"Quantidade não positiva",IF(G402="","Unidade não informada",IF(NOT(ISNUMBER(H402)),"Unidade a conferir",IF(AC402=1,"REVISAR VÍNCULO: soma vinculada maior que a referência do item","OK"))))))</f>
        <v/>
      </c>
      <c r="M402" s="94" t="str">
        <f>IF(N402=0,"",IF(B402="","CDF não informado",IF(Q402=0,"REVISAR VÍNCULO: CDF inexistente",IF(C402="","Item não informado",IF(T402=0,"REVISAR VÍNCULO: item inexistente",IF(AND(X402=1,J402&lt;&gt;"Sim"),"REVISAR VÍNCULO: destinador diferente do MTR",IF(X402=1,"Destinador diferente do MTR (analisado)","OK")))))))</f>
        <v/>
      </c>
      <c r="N402" s="96">
        <f>IF(COUNTA(B402:C402,F402:G402,J402:K402)&gt;0,1,0)</f>
        <v>0</v>
      </c>
      <c r="O402" s="96" t="str">
        <f>IF(B402="","",TRIM(LEFT(B402,FIND(" |",B402&amp;" |")-1)))</f>
        <v/>
      </c>
      <c r="P402" s="96" t="str">
        <f>IF(O402="","",IFERROR(MATCH(O402,'CDFs'!$A$6:$A$505,0),""))</f>
        <v/>
      </c>
      <c r="Q402" s="96">
        <f>IF(P402="",0,IF(INDEX('CDFs'!$S$6:$S$505,P402)=1,1,0))</f>
        <v>0</v>
      </c>
      <c r="R402" s="96" t="str">
        <f>IF(C402="","",TRIM(LEFT(C402,FIND(" |",C402&amp;" |")-1)))</f>
        <v/>
      </c>
      <c r="S402" s="96" t="str">
        <f>IF(R402="","",IFERROR(MATCH(R402,'ITENS_MTR'!$A$6:$A$1005,0),""))</f>
        <v/>
      </c>
      <c r="T402" s="96">
        <f>IF(S402="",0,IF(INDEX('ITENS_MTR'!$R$6:$R$1005,S402)=1,1,0))</f>
        <v>0</v>
      </c>
      <c r="U402" s="96" t="str">
        <f>IF(G402="","",IFERROR(IF(ISNUMBER(INDEX(cfg_fac,MATCH(G402,cfg_units,0))),IF(INDEX(cfg_fac,MATCH(G402,cfg_units,0))&gt;0,INDEX(cfg_fac,MATCH(G402,cfg_units,0)),""),""),""))</f>
        <v/>
      </c>
      <c r="V402" s="96">
        <f>IF(AND(ISNUMBER(F402),ISNUMBER(H402)),IF(H402&gt;0,1,0),0)</f>
        <v>0</v>
      </c>
      <c r="W402" s="96" t="str">
        <f>IF(T402=1,INDEX('ITENS_MTR'!$AU$6:$AU$1005,S402)&amp;"","")</f>
        <v/>
      </c>
      <c r="X402" s="96">
        <f>IF(AND(Q402=1,T402=1,I402&lt;&gt;"",W402&lt;&gt;""),IF(I402&lt;&gt;W402,1,0),0)</f>
        <v>0</v>
      </c>
      <c r="Y402" s="96">
        <f>IF(N402=0,0,IF(OR(Q402=0,T402=0,V402=0,AND(X402=1,J402&lt;&gt;"Sim")),1,0))</f>
        <v>0</v>
      </c>
      <c r="Z402" s="96">
        <f>IF(Q402=1,INDEX('CDFs'!$W$6:$W$505,P402),0)</f>
        <v>0</v>
      </c>
      <c r="AA402" s="96">
        <f>IF(AND(N402=1,Y402=0,Z402=1,J402="Sim"),1,0)</f>
        <v>0</v>
      </c>
      <c r="AB402" s="96">
        <f>IF(AND(N402=1,O402&lt;&gt;"",D402&lt;&gt;""),IF(COUNTIFS($O$6:O402,O402,$D$6:D402,D402)=1,1,0),0)</f>
        <v>0</v>
      </c>
      <c r="AC402" s="96">
        <f>IF(T402=1,INDEX('ITENS_MTR'!$AL$6:$AL$1005,S402),0)</f>
        <v>0</v>
      </c>
    </row>
    <row r="403">
      <c r="A403" s="89" t="inlineStr">
        <is>
          <t>VIN-000398</t>
        </is>
      </c>
      <c r="B403" s="91" t="n"/>
      <c r="C403" s="91" t="n"/>
      <c r="D403" s="94" t="str">
        <f>IF(T403=1,INDEX('ITENS_MTR'!$S$6:$S$1005,S403)&amp;"","")</f>
        <v/>
      </c>
      <c r="E403" s="94" t="str">
        <f>IF(T403=1,INDEX('ITENS_MTR'!$C$6:$C$1005,S403)&amp;"","")</f>
        <v/>
      </c>
      <c r="F403" s="98" t="n"/>
      <c r="G403" s="91" t="n"/>
      <c r="H403" s="93" t="str">
        <f>IF(N403=0,"",IF(NOT(ISNUMBER(F403)),"",IF(ISNUMBER(U403),F403*U403,"UNIDADE A CONFERIR")))</f>
        <v/>
      </c>
      <c r="I403" s="94" t="str">
        <f>IF(Q403=1,INDEX('CDFs'!$F$6:$F$505,P403)&amp;"","")</f>
        <v/>
      </c>
      <c r="J403" s="91" t="n"/>
      <c r="K403" s="91" t="n"/>
      <c r="L403" s="94" t="str">
        <f>IF(N403=0,"",IF(NOT(ISNUMBER(F403)),"Quantidade não informada",IF(F403&lt;=0,"Quantidade não positiva",IF(G403="","Unidade não informada",IF(NOT(ISNUMBER(H403)),"Unidade a conferir",IF(AC403=1,"REVISAR VÍNCULO: soma vinculada maior que a referência do item","OK"))))))</f>
        <v/>
      </c>
      <c r="M403" s="94" t="str">
        <f>IF(N403=0,"",IF(B403="","CDF não informado",IF(Q403=0,"REVISAR VÍNCULO: CDF inexistente",IF(C403="","Item não informado",IF(T403=0,"REVISAR VÍNCULO: item inexistente",IF(AND(X403=1,J403&lt;&gt;"Sim"),"REVISAR VÍNCULO: destinador diferente do MTR",IF(X403=1,"Destinador diferente do MTR (analisado)","OK")))))))</f>
        <v/>
      </c>
      <c r="N403" s="96">
        <f>IF(COUNTA(B403:C403,F403:G403,J403:K403)&gt;0,1,0)</f>
        <v>0</v>
      </c>
      <c r="O403" s="96" t="str">
        <f>IF(B403="","",TRIM(LEFT(B403,FIND(" |",B403&amp;" |")-1)))</f>
        <v/>
      </c>
      <c r="P403" s="96" t="str">
        <f>IF(O403="","",IFERROR(MATCH(O403,'CDFs'!$A$6:$A$505,0),""))</f>
        <v/>
      </c>
      <c r="Q403" s="96">
        <f>IF(P403="",0,IF(INDEX('CDFs'!$S$6:$S$505,P403)=1,1,0))</f>
        <v>0</v>
      </c>
      <c r="R403" s="96" t="str">
        <f>IF(C403="","",TRIM(LEFT(C403,FIND(" |",C403&amp;" |")-1)))</f>
        <v/>
      </c>
      <c r="S403" s="96" t="str">
        <f>IF(R403="","",IFERROR(MATCH(R403,'ITENS_MTR'!$A$6:$A$1005,0),""))</f>
        <v/>
      </c>
      <c r="T403" s="96">
        <f>IF(S403="",0,IF(INDEX('ITENS_MTR'!$R$6:$R$1005,S403)=1,1,0))</f>
        <v>0</v>
      </c>
      <c r="U403" s="96" t="str">
        <f>IF(G403="","",IFERROR(IF(ISNUMBER(INDEX(cfg_fac,MATCH(G403,cfg_units,0))),IF(INDEX(cfg_fac,MATCH(G403,cfg_units,0))&gt;0,INDEX(cfg_fac,MATCH(G403,cfg_units,0)),""),""),""))</f>
        <v/>
      </c>
      <c r="V403" s="96">
        <f>IF(AND(ISNUMBER(F403),ISNUMBER(H403)),IF(H403&gt;0,1,0),0)</f>
        <v>0</v>
      </c>
      <c r="W403" s="96" t="str">
        <f>IF(T403=1,INDEX('ITENS_MTR'!$AU$6:$AU$1005,S403)&amp;"","")</f>
        <v/>
      </c>
      <c r="X403" s="96">
        <f>IF(AND(Q403=1,T403=1,I403&lt;&gt;"",W403&lt;&gt;""),IF(I403&lt;&gt;W403,1,0),0)</f>
        <v>0</v>
      </c>
      <c r="Y403" s="96">
        <f>IF(N403=0,0,IF(OR(Q403=0,T403=0,V403=0,AND(X403=1,J403&lt;&gt;"Sim")),1,0))</f>
        <v>0</v>
      </c>
      <c r="Z403" s="96">
        <f>IF(Q403=1,INDEX('CDFs'!$W$6:$W$505,P403),0)</f>
        <v>0</v>
      </c>
      <c r="AA403" s="96">
        <f>IF(AND(N403=1,Y403=0,Z403=1,J403="Sim"),1,0)</f>
        <v>0</v>
      </c>
      <c r="AB403" s="96">
        <f>IF(AND(N403=1,O403&lt;&gt;"",D403&lt;&gt;""),IF(COUNTIFS($O$6:O403,O403,$D$6:D403,D403)=1,1,0),0)</f>
        <v>0</v>
      </c>
      <c r="AC403" s="96">
        <f>IF(T403=1,INDEX('ITENS_MTR'!$AL$6:$AL$1005,S403),0)</f>
        <v>0</v>
      </c>
    </row>
    <row r="404">
      <c r="A404" s="89" t="inlineStr">
        <is>
          <t>VIN-000399</t>
        </is>
      </c>
      <c r="B404" s="91" t="n"/>
      <c r="C404" s="91" t="n"/>
      <c r="D404" s="94" t="str">
        <f>IF(T404=1,INDEX('ITENS_MTR'!$S$6:$S$1005,S404)&amp;"","")</f>
        <v/>
      </c>
      <c r="E404" s="94" t="str">
        <f>IF(T404=1,INDEX('ITENS_MTR'!$C$6:$C$1005,S404)&amp;"","")</f>
        <v/>
      </c>
      <c r="F404" s="98" t="n"/>
      <c r="G404" s="91" t="n"/>
      <c r="H404" s="93" t="str">
        <f>IF(N404=0,"",IF(NOT(ISNUMBER(F404)),"",IF(ISNUMBER(U404),F404*U404,"UNIDADE A CONFERIR")))</f>
        <v/>
      </c>
      <c r="I404" s="94" t="str">
        <f>IF(Q404=1,INDEX('CDFs'!$F$6:$F$505,P404)&amp;"","")</f>
        <v/>
      </c>
      <c r="J404" s="91" t="n"/>
      <c r="K404" s="91" t="n"/>
      <c r="L404" s="94" t="str">
        <f>IF(N404=0,"",IF(NOT(ISNUMBER(F404)),"Quantidade não informada",IF(F404&lt;=0,"Quantidade não positiva",IF(G404="","Unidade não informada",IF(NOT(ISNUMBER(H404)),"Unidade a conferir",IF(AC404=1,"REVISAR VÍNCULO: soma vinculada maior que a referência do item","OK"))))))</f>
        <v/>
      </c>
      <c r="M404" s="94" t="str">
        <f>IF(N404=0,"",IF(B404="","CDF não informado",IF(Q404=0,"REVISAR VÍNCULO: CDF inexistente",IF(C404="","Item não informado",IF(T404=0,"REVISAR VÍNCULO: item inexistente",IF(AND(X404=1,J404&lt;&gt;"Sim"),"REVISAR VÍNCULO: destinador diferente do MTR",IF(X404=1,"Destinador diferente do MTR (analisado)","OK")))))))</f>
        <v/>
      </c>
      <c r="N404" s="96">
        <f>IF(COUNTA(B404:C404,F404:G404,J404:K404)&gt;0,1,0)</f>
        <v>0</v>
      </c>
      <c r="O404" s="96" t="str">
        <f>IF(B404="","",TRIM(LEFT(B404,FIND(" |",B404&amp;" |")-1)))</f>
        <v/>
      </c>
      <c r="P404" s="96" t="str">
        <f>IF(O404="","",IFERROR(MATCH(O404,'CDFs'!$A$6:$A$505,0),""))</f>
        <v/>
      </c>
      <c r="Q404" s="96">
        <f>IF(P404="",0,IF(INDEX('CDFs'!$S$6:$S$505,P404)=1,1,0))</f>
        <v>0</v>
      </c>
      <c r="R404" s="96" t="str">
        <f>IF(C404="","",TRIM(LEFT(C404,FIND(" |",C404&amp;" |")-1)))</f>
        <v/>
      </c>
      <c r="S404" s="96" t="str">
        <f>IF(R404="","",IFERROR(MATCH(R404,'ITENS_MTR'!$A$6:$A$1005,0),""))</f>
        <v/>
      </c>
      <c r="T404" s="96">
        <f>IF(S404="",0,IF(INDEX('ITENS_MTR'!$R$6:$R$1005,S404)=1,1,0))</f>
        <v>0</v>
      </c>
      <c r="U404" s="96" t="str">
        <f>IF(G404="","",IFERROR(IF(ISNUMBER(INDEX(cfg_fac,MATCH(G404,cfg_units,0))),IF(INDEX(cfg_fac,MATCH(G404,cfg_units,0))&gt;0,INDEX(cfg_fac,MATCH(G404,cfg_units,0)),""),""),""))</f>
        <v/>
      </c>
      <c r="V404" s="96">
        <f>IF(AND(ISNUMBER(F404),ISNUMBER(H404)),IF(H404&gt;0,1,0),0)</f>
        <v>0</v>
      </c>
      <c r="W404" s="96" t="str">
        <f>IF(T404=1,INDEX('ITENS_MTR'!$AU$6:$AU$1005,S404)&amp;"","")</f>
        <v/>
      </c>
      <c r="X404" s="96">
        <f>IF(AND(Q404=1,T404=1,I404&lt;&gt;"",W404&lt;&gt;""),IF(I404&lt;&gt;W404,1,0),0)</f>
        <v>0</v>
      </c>
      <c r="Y404" s="96">
        <f>IF(N404=0,0,IF(OR(Q404=0,T404=0,V404=0,AND(X404=1,J404&lt;&gt;"Sim")),1,0))</f>
        <v>0</v>
      </c>
      <c r="Z404" s="96">
        <f>IF(Q404=1,INDEX('CDFs'!$W$6:$W$505,P404),0)</f>
        <v>0</v>
      </c>
      <c r="AA404" s="96">
        <f>IF(AND(N404=1,Y404=0,Z404=1,J404="Sim"),1,0)</f>
        <v>0</v>
      </c>
      <c r="AB404" s="96">
        <f>IF(AND(N404=1,O404&lt;&gt;"",D404&lt;&gt;""),IF(COUNTIFS($O$6:O404,O404,$D$6:D404,D404)=1,1,0),0)</f>
        <v>0</v>
      </c>
      <c r="AC404" s="96">
        <f>IF(T404=1,INDEX('ITENS_MTR'!$AL$6:$AL$1005,S404),0)</f>
        <v>0</v>
      </c>
    </row>
    <row r="405">
      <c r="A405" s="89" t="inlineStr">
        <is>
          <t>VIN-000400</t>
        </is>
      </c>
      <c r="B405" s="91" t="n"/>
      <c r="C405" s="91" t="n"/>
      <c r="D405" s="94" t="str">
        <f>IF(T405=1,INDEX('ITENS_MTR'!$S$6:$S$1005,S405)&amp;"","")</f>
        <v/>
      </c>
      <c r="E405" s="94" t="str">
        <f>IF(T405=1,INDEX('ITENS_MTR'!$C$6:$C$1005,S405)&amp;"","")</f>
        <v/>
      </c>
      <c r="F405" s="98" t="n"/>
      <c r="G405" s="91" t="n"/>
      <c r="H405" s="93" t="str">
        <f>IF(N405=0,"",IF(NOT(ISNUMBER(F405)),"",IF(ISNUMBER(U405),F405*U405,"UNIDADE A CONFERIR")))</f>
        <v/>
      </c>
      <c r="I405" s="94" t="str">
        <f>IF(Q405=1,INDEX('CDFs'!$F$6:$F$505,P405)&amp;"","")</f>
        <v/>
      </c>
      <c r="J405" s="91" t="n"/>
      <c r="K405" s="91" t="n"/>
      <c r="L405" s="94" t="str">
        <f>IF(N405=0,"",IF(NOT(ISNUMBER(F405)),"Quantidade não informada",IF(F405&lt;=0,"Quantidade não positiva",IF(G405="","Unidade não informada",IF(NOT(ISNUMBER(H405)),"Unidade a conferir",IF(AC405=1,"REVISAR VÍNCULO: soma vinculada maior que a referência do item","OK"))))))</f>
        <v/>
      </c>
      <c r="M405" s="94" t="str">
        <f>IF(N405=0,"",IF(B405="","CDF não informado",IF(Q405=0,"REVISAR VÍNCULO: CDF inexistente",IF(C405="","Item não informado",IF(T405=0,"REVISAR VÍNCULO: item inexistente",IF(AND(X405=1,J405&lt;&gt;"Sim"),"REVISAR VÍNCULO: destinador diferente do MTR",IF(X405=1,"Destinador diferente do MTR (analisado)","OK")))))))</f>
        <v/>
      </c>
      <c r="N405" s="96">
        <f>IF(COUNTA(B405:C405,F405:G405,J405:K405)&gt;0,1,0)</f>
        <v>0</v>
      </c>
      <c r="O405" s="96" t="str">
        <f>IF(B405="","",TRIM(LEFT(B405,FIND(" |",B405&amp;" |")-1)))</f>
        <v/>
      </c>
      <c r="P405" s="96" t="str">
        <f>IF(O405="","",IFERROR(MATCH(O405,'CDFs'!$A$6:$A$505,0),""))</f>
        <v/>
      </c>
      <c r="Q405" s="96">
        <f>IF(P405="",0,IF(INDEX('CDFs'!$S$6:$S$505,P405)=1,1,0))</f>
        <v>0</v>
      </c>
      <c r="R405" s="96" t="str">
        <f>IF(C405="","",TRIM(LEFT(C405,FIND(" |",C405&amp;" |")-1)))</f>
        <v/>
      </c>
      <c r="S405" s="96" t="str">
        <f>IF(R405="","",IFERROR(MATCH(R405,'ITENS_MTR'!$A$6:$A$1005,0),""))</f>
        <v/>
      </c>
      <c r="T405" s="96">
        <f>IF(S405="",0,IF(INDEX('ITENS_MTR'!$R$6:$R$1005,S405)=1,1,0))</f>
        <v>0</v>
      </c>
      <c r="U405" s="96" t="str">
        <f>IF(G405="","",IFERROR(IF(ISNUMBER(INDEX(cfg_fac,MATCH(G405,cfg_units,0))),IF(INDEX(cfg_fac,MATCH(G405,cfg_units,0))&gt;0,INDEX(cfg_fac,MATCH(G405,cfg_units,0)),""),""),""))</f>
        <v/>
      </c>
      <c r="V405" s="96">
        <f>IF(AND(ISNUMBER(F405),ISNUMBER(H405)),IF(H405&gt;0,1,0),0)</f>
        <v>0</v>
      </c>
      <c r="W405" s="96" t="str">
        <f>IF(T405=1,INDEX('ITENS_MTR'!$AU$6:$AU$1005,S405)&amp;"","")</f>
        <v/>
      </c>
      <c r="X405" s="96">
        <f>IF(AND(Q405=1,T405=1,I405&lt;&gt;"",W405&lt;&gt;""),IF(I405&lt;&gt;W405,1,0),0)</f>
        <v>0</v>
      </c>
      <c r="Y405" s="96">
        <f>IF(N405=0,0,IF(OR(Q405=0,T405=0,V405=0,AND(X405=1,J405&lt;&gt;"Sim")),1,0))</f>
        <v>0</v>
      </c>
      <c r="Z405" s="96">
        <f>IF(Q405=1,INDEX('CDFs'!$W$6:$W$505,P405),0)</f>
        <v>0</v>
      </c>
      <c r="AA405" s="96">
        <f>IF(AND(N405=1,Y405=0,Z405=1,J405="Sim"),1,0)</f>
        <v>0</v>
      </c>
      <c r="AB405" s="96">
        <f>IF(AND(N405=1,O405&lt;&gt;"",D405&lt;&gt;""),IF(COUNTIFS($O$6:O405,O405,$D$6:D405,D405)=1,1,0),0)</f>
        <v>0</v>
      </c>
      <c r="AC405" s="96">
        <f>IF(T405=1,INDEX('ITENS_MTR'!$AL$6:$AL$1005,S405),0)</f>
        <v>0</v>
      </c>
    </row>
    <row r="406">
      <c r="A406" s="89" t="inlineStr">
        <is>
          <t>VIN-000401</t>
        </is>
      </c>
      <c r="B406" s="91" t="n"/>
      <c r="C406" s="91" t="n"/>
      <c r="D406" s="94" t="str">
        <f>IF(T406=1,INDEX('ITENS_MTR'!$S$6:$S$1005,S406)&amp;"","")</f>
        <v/>
      </c>
      <c r="E406" s="94" t="str">
        <f>IF(T406=1,INDEX('ITENS_MTR'!$C$6:$C$1005,S406)&amp;"","")</f>
        <v/>
      </c>
      <c r="F406" s="98" t="n"/>
      <c r="G406" s="91" t="n"/>
      <c r="H406" s="93" t="str">
        <f>IF(N406=0,"",IF(NOT(ISNUMBER(F406)),"",IF(ISNUMBER(U406),F406*U406,"UNIDADE A CONFERIR")))</f>
        <v/>
      </c>
      <c r="I406" s="94" t="str">
        <f>IF(Q406=1,INDEX('CDFs'!$F$6:$F$505,P406)&amp;"","")</f>
        <v/>
      </c>
      <c r="J406" s="91" t="n"/>
      <c r="K406" s="91" t="n"/>
      <c r="L406" s="94" t="str">
        <f>IF(N406=0,"",IF(NOT(ISNUMBER(F406)),"Quantidade não informada",IF(F406&lt;=0,"Quantidade não positiva",IF(G406="","Unidade não informada",IF(NOT(ISNUMBER(H406)),"Unidade a conferir",IF(AC406=1,"REVISAR VÍNCULO: soma vinculada maior que a referência do item","OK"))))))</f>
        <v/>
      </c>
      <c r="M406" s="94" t="str">
        <f>IF(N406=0,"",IF(B406="","CDF não informado",IF(Q406=0,"REVISAR VÍNCULO: CDF inexistente",IF(C406="","Item não informado",IF(T406=0,"REVISAR VÍNCULO: item inexistente",IF(AND(X406=1,J406&lt;&gt;"Sim"),"REVISAR VÍNCULO: destinador diferente do MTR",IF(X406=1,"Destinador diferente do MTR (analisado)","OK")))))))</f>
        <v/>
      </c>
      <c r="N406" s="96">
        <f>IF(COUNTA(B406:C406,F406:G406,J406:K406)&gt;0,1,0)</f>
        <v>0</v>
      </c>
      <c r="O406" s="96" t="str">
        <f>IF(B406="","",TRIM(LEFT(B406,FIND(" |",B406&amp;" |")-1)))</f>
        <v/>
      </c>
      <c r="P406" s="96" t="str">
        <f>IF(O406="","",IFERROR(MATCH(O406,'CDFs'!$A$6:$A$505,0),""))</f>
        <v/>
      </c>
      <c r="Q406" s="96">
        <f>IF(P406="",0,IF(INDEX('CDFs'!$S$6:$S$505,P406)=1,1,0))</f>
        <v>0</v>
      </c>
      <c r="R406" s="96" t="str">
        <f>IF(C406="","",TRIM(LEFT(C406,FIND(" |",C406&amp;" |")-1)))</f>
        <v/>
      </c>
      <c r="S406" s="96" t="str">
        <f>IF(R406="","",IFERROR(MATCH(R406,'ITENS_MTR'!$A$6:$A$1005,0),""))</f>
        <v/>
      </c>
      <c r="T406" s="96">
        <f>IF(S406="",0,IF(INDEX('ITENS_MTR'!$R$6:$R$1005,S406)=1,1,0))</f>
        <v>0</v>
      </c>
      <c r="U406" s="96" t="str">
        <f>IF(G406="","",IFERROR(IF(ISNUMBER(INDEX(cfg_fac,MATCH(G406,cfg_units,0))),IF(INDEX(cfg_fac,MATCH(G406,cfg_units,0))&gt;0,INDEX(cfg_fac,MATCH(G406,cfg_units,0)),""),""),""))</f>
        <v/>
      </c>
      <c r="V406" s="96">
        <f>IF(AND(ISNUMBER(F406),ISNUMBER(H406)),IF(H406&gt;0,1,0),0)</f>
        <v>0</v>
      </c>
      <c r="W406" s="96" t="str">
        <f>IF(T406=1,INDEX('ITENS_MTR'!$AU$6:$AU$1005,S406)&amp;"","")</f>
        <v/>
      </c>
      <c r="X406" s="96">
        <f>IF(AND(Q406=1,T406=1,I406&lt;&gt;"",W406&lt;&gt;""),IF(I406&lt;&gt;W406,1,0),0)</f>
        <v>0</v>
      </c>
      <c r="Y406" s="96">
        <f>IF(N406=0,0,IF(OR(Q406=0,T406=0,V406=0,AND(X406=1,J406&lt;&gt;"Sim")),1,0))</f>
        <v>0</v>
      </c>
      <c r="Z406" s="96">
        <f>IF(Q406=1,INDEX('CDFs'!$W$6:$W$505,P406),0)</f>
        <v>0</v>
      </c>
      <c r="AA406" s="96">
        <f>IF(AND(N406=1,Y406=0,Z406=1,J406="Sim"),1,0)</f>
        <v>0</v>
      </c>
      <c r="AB406" s="96">
        <f>IF(AND(N406=1,O406&lt;&gt;"",D406&lt;&gt;""),IF(COUNTIFS($O$6:O406,O406,$D$6:D406,D406)=1,1,0),0)</f>
        <v>0</v>
      </c>
      <c r="AC406" s="96">
        <f>IF(T406=1,INDEX('ITENS_MTR'!$AL$6:$AL$1005,S406),0)</f>
        <v>0</v>
      </c>
    </row>
    <row r="407">
      <c r="A407" s="89" t="inlineStr">
        <is>
          <t>VIN-000402</t>
        </is>
      </c>
      <c r="B407" s="91" t="n"/>
      <c r="C407" s="91" t="n"/>
      <c r="D407" s="94" t="str">
        <f>IF(T407=1,INDEX('ITENS_MTR'!$S$6:$S$1005,S407)&amp;"","")</f>
        <v/>
      </c>
      <c r="E407" s="94" t="str">
        <f>IF(T407=1,INDEX('ITENS_MTR'!$C$6:$C$1005,S407)&amp;"","")</f>
        <v/>
      </c>
      <c r="F407" s="98" t="n"/>
      <c r="G407" s="91" t="n"/>
      <c r="H407" s="93" t="str">
        <f>IF(N407=0,"",IF(NOT(ISNUMBER(F407)),"",IF(ISNUMBER(U407),F407*U407,"UNIDADE A CONFERIR")))</f>
        <v/>
      </c>
      <c r="I407" s="94" t="str">
        <f>IF(Q407=1,INDEX('CDFs'!$F$6:$F$505,P407)&amp;"","")</f>
        <v/>
      </c>
      <c r="J407" s="91" t="n"/>
      <c r="K407" s="91" t="n"/>
      <c r="L407" s="94" t="str">
        <f>IF(N407=0,"",IF(NOT(ISNUMBER(F407)),"Quantidade não informada",IF(F407&lt;=0,"Quantidade não positiva",IF(G407="","Unidade não informada",IF(NOT(ISNUMBER(H407)),"Unidade a conferir",IF(AC407=1,"REVISAR VÍNCULO: soma vinculada maior que a referência do item","OK"))))))</f>
        <v/>
      </c>
      <c r="M407" s="94" t="str">
        <f>IF(N407=0,"",IF(B407="","CDF não informado",IF(Q407=0,"REVISAR VÍNCULO: CDF inexistente",IF(C407="","Item não informado",IF(T407=0,"REVISAR VÍNCULO: item inexistente",IF(AND(X407=1,J407&lt;&gt;"Sim"),"REVISAR VÍNCULO: destinador diferente do MTR",IF(X407=1,"Destinador diferente do MTR (analisado)","OK")))))))</f>
        <v/>
      </c>
      <c r="N407" s="96">
        <f>IF(COUNTA(B407:C407,F407:G407,J407:K407)&gt;0,1,0)</f>
        <v>0</v>
      </c>
      <c r="O407" s="96" t="str">
        <f>IF(B407="","",TRIM(LEFT(B407,FIND(" |",B407&amp;" |")-1)))</f>
        <v/>
      </c>
      <c r="P407" s="96" t="str">
        <f>IF(O407="","",IFERROR(MATCH(O407,'CDFs'!$A$6:$A$505,0),""))</f>
        <v/>
      </c>
      <c r="Q407" s="96">
        <f>IF(P407="",0,IF(INDEX('CDFs'!$S$6:$S$505,P407)=1,1,0))</f>
        <v>0</v>
      </c>
      <c r="R407" s="96" t="str">
        <f>IF(C407="","",TRIM(LEFT(C407,FIND(" |",C407&amp;" |")-1)))</f>
        <v/>
      </c>
      <c r="S407" s="96" t="str">
        <f>IF(R407="","",IFERROR(MATCH(R407,'ITENS_MTR'!$A$6:$A$1005,0),""))</f>
        <v/>
      </c>
      <c r="T407" s="96">
        <f>IF(S407="",0,IF(INDEX('ITENS_MTR'!$R$6:$R$1005,S407)=1,1,0))</f>
        <v>0</v>
      </c>
      <c r="U407" s="96" t="str">
        <f>IF(G407="","",IFERROR(IF(ISNUMBER(INDEX(cfg_fac,MATCH(G407,cfg_units,0))),IF(INDEX(cfg_fac,MATCH(G407,cfg_units,0))&gt;0,INDEX(cfg_fac,MATCH(G407,cfg_units,0)),""),""),""))</f>
        <v/>
      </c>
      <c r="V407" s="96">
        <f>IF(AND(ISNUMBER(F407),ISNUMBER(H407)),IF(H407&gt;0,1,0),0)</f>
        <v>0</v>
      </c>
      <c r="W407" s="96" t="str">
        <f>IF(T407=1,INDEX('ITENS_MTR'!$AU$6:$AU$1005,S407)&amp;"","")</f>
        <v/>
      </c>
      <c r="X407" s="96">
        <f>IF(AND(Q407=1,T407=1,I407&lt;&gt;"",W407&lt;&gt;""),IF(I407&lt;&gt;W407,1,0),0)</f>
        <v>0</v>
      </c>
      <c r="Y407" s="96">
        <f>IF(N407=0,0,IF(OR(Q407=0,T407=0,V407=0,AND(X407=1,J407&lt;&gt;"Sim")),1,0))</f>
        <v>0</v>
      </c>
      <c r="Z407" s="96">
        <f>IF(Q407=1,INDEX('CDFs'!$W$6:$W$505,P407),0)</f>
        <v>0</v>
      </c>
      <c r="AA407" s="96">
        <f>IF(AND(N407=1,Y407=0,Z407=1,J407="Sim"),1,0)</f>
        <v>0</v>
      </c>
      <c r="AB407" s="96">
        <f>IF(AND(N407=1,O407&lt;&gt;"",D407&lt;&gt;""),IF(COUNTIFS($O$6:O407,O407,$D$6:D407,D407)=1,1,0),0)</f>
        <v>0</v>
      </c>
      <c r="AC407" s="96">
        <f>IF(T407=1,INDEX('ITENS_MTR'!$AL$6:$AL$1005,S407),0)</f>
        <v>0</v>
      </c>
    </row>
    <row r="408">
      <c r="A408" s="89" t="inlineStr">
        <is>
          <t>VIN-000403</t>
        </is>
      </c>
      <c r="B408" s="91" t="n"/>
      <c r="C408" s="91" t="n"/>
      <c r="D408" s="94" t="str">
        <f>IF(T408=1,INDEX('ITENS_MTR'!$S$6:$S$1005,S408)&amp;"","")</f>
        <v/>
      </c>
      <c r="E408" s="94" t="str">
        <f>IF(T408=1,INDEX('ITENS_MTR'!$C$6:$C$1005,S408)&amp;"","")</f>
        <v/>
      </c>
      <c r="F408" s="98" t="n"/>
      <c r="G408" s="91" t="n"/>
      <c r="H408" s="93" t="str">
        <f>IF(N408=0,"",IF(NOT(ISNUMBER(F408)),"",IF(ISNUMBER(U408),F408*U408,"UNIDADE A CONFERIR")))</f>
        <v/>
      </c>
      <c r="I408" s="94" t="str">
        <f>IF(Q408=1,INDEX('CDFs'!$F$6:$F$505,P408)&amp;"","")</f>
        <v/>
      </c>
      <c r="J408" s="91" t="n"/>
      <c r="K408" s="91" t="n"/>
      <c r="L408" s="94" t="str">
        <f>IF(N408=0,"",IF(NOT(ISNUMBER(F408)),"Quantidade não informada",IF(F408&lt;=0,"Quantidade não positiva",IF(G408="","Unidade não informada",IF(NOT(ISNUMBER(H408)),"Unidade a conferir",IF(AC408=1,"REVISAR VÍNCULO: soma vinculada maior que a referência do item","OK"))))))</f>
        <v/>
      </c>
      <c r="M408" s="94" t="str">
        <f>IF(N408=0,"",IF(B408="","CDF não informado",IF(Q408=0,"REVISAR VÍNCULO: CDF inexistente",IF(C408="","Item não informado",IF(T408=0,"REVISAR VÍNCULO: item inexistente",IF(AND(X408=1,J408&lt;&gt;"Sim"),"REVISAR VÍNCULO: destinador diferente do MTR",IF(X408=1,"Destinador diferente do MTR (analisado)","OK")))))))</f>
        <v/>
      </c>
      <c r="N408" s="96">
        <f>IF(COUNTA(B408:C408,F408:G408,J408:K408)&gt;0,1,0)</f>
        <v>0</v>
      </c>
      <c r="O408" s="96" t="str">
        <f>IF(B408="","",TRIM(LEFT(B408,FIND(" |",B408&amp;" |")-1)))</f>
        <v/>
      </c>
      <c r="P408" s="96" t="str">
        <f>IF(O408="","",IFERROR(MATCH(O408,'CDFs'!$A$6:$A$505,0),""))</f>
        <v/>
      </c>
      <c r="Q408" s="96">
        <f>IF(P408="",0,IF(INDEX('CDFs'!$S$6:$S$505,P408)=1,1,0))</f>
        <v>0</v>
      </c>
      <c r="R408" s="96" t="str">
        <f>IF(C408="","",TRIM(LEFT(C408,FIND(" |",C408&amp;" |")-1)))</f>
        <v/>
      </c>
      <c r="S408" s="96" t="str">
        <f>IF(R408="","",IFERROR(MATCH(R408,'ITENS_MTR'!$A$6:$A$1005,0),""))</f>
        <v/>
      </c>
      <c r="T408" s="96">
        <f>IF(S408="",0,IF(INDEX('ITENS_MTR'!$R$6:$R$1005,S408)=1,1,0))</f>
        <v>0</v>
      </c>
      <c r="U408" s="96" t="str">
        <f>IF(G408="","",IFERROR(IF(ISNUMBER(INDEX(cfg_fac,MATCH(G408,cfg_units,0))),IF(INDEX(cfg_fac,MATCH(G408,cfg_units,0))&gt;0,INDEX(cfg_fac,MATCH(G408,cfg_units,0)),""),""),""))</f>
        <v/>
      </c>
      <c r="V408" s="96">
        <f>IF(AND(ISNUMBER(F408),ISNUMBER(H408)),IF(H408&gt;0,1,0),0)</f>
        <v>0</v>
      </c>
      <c r="W408" s="96" t="str">
        <f>IF(T408=1,INDEX('ITENS_MTR'!$AU$6:$AU$1005,S408)&amp;"","")</f>
        <v/>
      </c>
      <c r="X408" s="96">
        <f>IF(AND(Q408=1,T408=1,I408&lt;&gt;"",W408&lt;&gt;""),IF(I408&lt;&gt;W408,1,0),0)</f>
        <v>0</v>
      </c>
      <c r="Y408" s="96">
        <f>IF(N408=0,0,IF(OR(Q408=0,T408=0,V408=0,AND(X408=1,J408&lt;&gt;"Sim")),1,0))</f>
        <v>0</v>
      </c>
      <c r="Z408" s="96">
        <f>IF(Q408=1,INDEX('CDFs'!$W$6:$W$505,P408),0)</f>
        <v>0</v>
      </c>
      <c r="AA408" s="96">
        <f>IF(AND(N408=1,Y408=0,Z408=1,J408="Sim"),1,0)</f>
        <v>0</v>
      </c>
      <c r="AB408" s="96">
        <f>IF(AND(N408=1,O408&lt;&gt;"",D408&lt;&gt;""),IF(COUNTIFS($O$6:O408,O408,$D$6:D408,D408)=1,1,0),0)</f>
        <v>0</v>
      </c>
      <c r="AC408" s="96">
        <f>IF(T408=1,INDEX('ITENS_MTR'!$AL$6:$AL$1005,S408),0)</f>
        <v>0</v>
      </c>
    </row>
    <row r="409">
      <c r="A409" s="89" t="inlineStr">
        <is>
          <t>VIN-000404</t>
        </is>
      </c>
      <c r="B409" s="91" t="n"/>
      <c r="C409" s="91" t="n"/>
      <c r="D409" s="94" t="str">
        <f>IF(T409=1,INDEX('ITENS_MTR'!$S$6:$S$1005,S409)&amp;"","")</f>
        <v/>
      </c>
      <c r="E409" s="94" t="str">
        <f>IF(T409=1,INDEX('ITENS_MTR'!$C$6:$C$1005,S409)&amp;"","")</f>
        <v/>
      </c>
      <c r="F409" s="98" t="n"/>
      <c r="G409" s="91" t="n"/>
      <c r="H409" s="93" t="str">
        <f>IF(N409=0,"",IF(NOT(ISNUMBER(F409)),"",IF(ISNUMBER(U409),F409*U409,"UNIDADE A CONFERIR")))</f>
        <v/>
      </c>
      <c r="I409" s="94" t="str">
        <f>IF(Q409=1,INDEX('CDFs'!$F$6:$F$505,P409)&amp;"","")</f>
        <v/>
      </c>
      <c r="J409" s="91" t="n"/>
      <c r="K409" s="91" t="n"/>
      <c r="L409" s="94" t="str">
        <f>IF(N409=0,"",IF(NOT(ISNUMBER(F409)),"Quantidade não informada",IF(F409&lt;=0,"Quantidade não positiva",IF(G409="","Unidade não informada",IF(NOT(ISNUMBER(H409)),"Unidade a conferir",IF(AC409=1,"REVISAR VÍNCULO: soma vinculada maior que a referência do item","OK"))))))</f>
        <v/>
      </c>
      <c r="M409" s="94" t="str">
        <f>IF(N409=0,"",IF(B409="","CDF não informado",IF(Q409=0,"REVISAR VÍNCULO: CDF inexistente",IF(C409="","Item não informado",IF(T409=0,"REVISAR VÍNCULO: item inexistente",IF(AND(X409=1,J409&lt;&gt;"Sim"),"REVISAR VÍNCULO: destinador diferente do MTR",IF(X409=1,"Destinador diferente do MTR (analisado)","OK")))))))</f>
        <v/>
      </c>
      <c r="N409" s="96">
        <f>IF(COUNTA(B409:C409,F409:G409,J409:K409)&gt;0,1,0)</f>
        <v>0</v>
      </c>
      <c r="O409" s="96" t="str">
        <f>IF(B409="","",TRIM(LEFT(B409,FIND(" |",B409&amp;" |")-1)))</f>
        <v/>
      </c>
      <c r="P409" s="96" t="str">
        <f>IF(O409="","",IFERROR(MATCH(O409,'CDFs'!$A$6:$A$505,0),""))</f>
        <v/>
      </c>
      <c r="Q409" s="96">
        <f>IF(P409="",0,IF(INDEX('CDFs'!$S$6:$S$505,P409)=1,1,0))</f>
        <v>0</v>
      </c>
      <c r="R409" s="96" t="str">
        <f>IF(C409="","",TRIM(LEFT(C409,FIND(" |",C409&amp;" |")-1)))</f>
        <v/>
      </c>
      <c r="S409" s="96" t="str">
        <f>IF(R409="","",IFERROR(MATCH(R409,'ITENS_MTR'!$A$6:$A$1005,0),""))</f>
        <v/>
      </c>
      <c r="T409" s="96">
        <f>IF(S409="",0,IF(INDEX('ITENS_MTR'!$R$6:$R$1005,S409)=1,1,0))</f>
        <v>0</v>
      </c>
      <c r="U409" s="96" t="str">
        <f>IF(G409="","",IFERROR(IF(ISNUMBER(INDEX(cfg_fac,MATCH(G409,cfg_units,0))),IF(INDEX(cfg_fac,MATCH(G409,cfg_units,0))&gt;0,INDEX(cfg_fac,MATCH(G409,cfg_units,0)),""),""),""))</f>
        <v/>
      </c>
      <c r="V409" s="96">
        <f>IF(AND(ISNUMBER(F409),ISNUMBER(H409)),IF(H409&gt;0,1,0),0)</f>
        <v>0</v>
      </c>
      <c r="W409" s="96" t="str">
        <f>IF(T409=1,INDEX('ITENS_MTR'!$AU$6:$AU$1005,S409)&amp;"","")</f>
        <v/>
      </c>
      <c r="X409" s="96">
        <f>IF(AND(Q409=1,T409=1,I409&lt;&gt;"",W409&lt;&gt;""),IF(I409&lt;&gt;W409,1,0),0)</f>
        <v>0</v>
      </c>
      <c r="Y409" s="96">
        <f>IF(N409=0,0,IF(OR(Q409=0,T409=0,V409=0,AND(X409=1,J409&lt;&gt;"Sim")),1,0))</f>
        <v>0</v>
      </c>
      <c r="Z409" s="96">
        <f>IF(Q409=1,INDEX('CDFs'!$W$6:$W$505,P409),0)</f>
        <v>0</v>
      </c>
      <c r="AA409" s="96">
        <f>IF(AND(N409=1,Y409=0,Z409=1,J409="Sim"),1,0)</f>
        <v>0</v>
      </c>
      <c r="AB409" s="96">
        <f>IF(AND(N409=1,O409&lt;&gt;"",D409&lt;&gt;""),IF(COUNTIFS($O$6:O409,O409,$D$6:D409,D409)=1,1,0),0)</f>
        <v>0</v>
      </c>
      <c r="AC409" s="96">
        <f>IF(T409=1,INDEX('ITENS_MTR'!$AL$6:$AL$1005,S409),0)</f>
        <v>0</v>
      </c>
    </row>
    <row r="410">
      <c r="A410" s="89" t="inlineStr">
        <is>
          <t>VIN-000405</t>
        </is>
      </c>
      <c r="B410" s="91" t="n"/>
      <c r="C410" s="91" t="n"/>
      <c r="D410" s="94" t="str">
        <f>IF(T410=1,INDEX('ITENS_MTR'!$S$6:$S$1005,S410)&amp;"","")</f>
        <v/>
      </c>
      <c r="E410" s="94" t="str">
        <f>IF(T410=1,INDEX('ITENS_MTR'!$C$6:$C$1005,S410)&amp;"","")</f>
        <v/>
      </c>
      <c r="F410" s="98" t="n"/>
      <c r="G410" s="91" t="n"/>
      <c r="H410" s="93" t="str">
        <f>IF(N410=0,"",IF(NOT(ISNUMBER(F410)),"",IF(ISNUMBER(U410),F410*U410,"UNIDADE A CONFERIR")))</f>
        <v/>
      </c>
      <c r="I410" s="94" t="str">
        <f>IF(Q410=1,INDEX('CDFs'!$F$6:$F$505,P410)&amp;"","")</f>
        <v/>
      </c>
      <c r="J410" s="91" t="n"/>
      <c r="K410" s="91" t="n"/>
      <c r="L410" s="94" t="str">
        <f>IF(N410=0,"",IF(NOT(ISNUMBER(F410)),"Quantidade não informada",IF(F410&lt;=0,"Quantidade não positiva",IF(G410="","Unidade não informada",IF(NOT(ISNUMBER(H410)),"Unidade a conferir",IF(AC410=1,"REVISAR VÍNCULO: soma vinculada maior que a referência do item","OK"))))))</f>
        <v/>
      </c>
      <c r="M410" s="94" t="str">
        <f>IF(N410=0,"",IF(B410="","CDF não informado",IF(Q410=0,"REVISAR VÍNCULO: CDF inexistente",IF(C410="","Item não informado",IF(T410=0,"REVISAR VÍNCULO: item inexistente",IF(AND(X410=1,J410&lt;&gt;"Sim"),"REVISAR VÍNCULO: destinador diferente do MTR",IF(X410=1,"Destinador diferente do MTR (analisado)","OK")))))))</f>
        <v/>
      </c>
      <c r="N410" s="96">
        <f>IF(COUNTA(B410:C410,F410:G410,J410:K410)&gt;0,1,0)</f>
        <v>0</v>
      </c>
      <c r="O410" s="96" t="str">
        <f>IF(B410="","",TRIM(LEFT(B410,FIND(" |",B410&amp;" |")-1)))</f>
        <v/>
      </c>
      <c r="P410" s="96" t="str">
        <f>IF(O410="","",IFERROR(MATCH(O410,'CDFs'!$A$6:$A$505,0),""))</f>
        <v/>
      </c>
      <c r="Q410" s="96">
        <f>IF(P410="",0,IF(INDEX('CDFs'!$S$6:$S$505,P410)=1,1,0))</f>
        <v>0</v>
      </c>
      <c r="R410" s="96" t="str">
        <f>IF(C410="","",TRIM(LEFT(C410,FIND(" |",C410&amp;" |")-1)))</f>
        <v/>
      </c>
      <c r="S410" s="96" t="str">
        <f>IF(R410="","",IFERROR(MATCH(R410,'ITENS_MTR'!$A$6:$A$1005,0),""))</f>
        <v/>
      </c>
      <c r="T410" s="96">
        <f>IF(S410="",0,IF(INDEX('ITENS_MTR'!$R$6:$R$1005,S410)=1,1,0))</f>
        <v>0</v>
      </c>
      <c r="U410" s="96" t="str">
        <f>IF(G410="","",IFERROR(IF(ISNUMBER(INDEX(cfg_fac,MATCH(G410,cfg_units,0))),IF(INDEX(cfg_fac,MATCH(G410,cfg_units,0))&gt;0,INDEX(cfg_fac,MATCH(G410,cfg_units,0)),""),""),""))</f>
        <v/>
      </c>
      <c r="V410" s="96">
        <f>IF(AND(ISNUMBER(F410),ISNUMBER(H410)),IF(H410&gt;0,1,0),0)</f>
        <v>0</v>
      </c>
      <c r="W410" s="96" t="str">
        <f>IF(T410=1,INDEX('ITENS_MTR'!$AU$6:$AU$1005,S410)&amp;"","")</f>
        <v/>
      </c>
      <c r="X410" s="96">
        <f>IF(AND(Q410=1,T410=1,I410&lt;&gt;"",W410&lt;&gt;""),IF(I410&lt;&gt;W410,1,0),0)</f>
        <v>0</v>
      </c>
      <c r="Y410" s="96">
        <f>IF(N410=0,0,IF(OR(Q410=0,T410=0,V410=0,AND(X410=1,J410&lt;&gt;"Sim")),1,0))</f>
        <v>0</v>
      </c>
      <c r="Z410" s="96">
        <f>IF(Q410=1,INDEX('CDFs'!$W$6:$W$505,P410),0)</f>
        <v>0</v>
      </c>
      <c r="AA410" s="96">
        <f>IF(AND(N410=1,Y410=0,Z410=1,J410="Sim"),1,0)</f>
        <v>0</v>
      </c>
      <c r="AB410" s="96">
        <f>IF(AND(N410=1,O410&lt;&gt;"",D410&lt;&gt;""),IF(COUNTIFS($O$6:O410,O410,$D$6:D410,D410)=1,1,0),0)</f>
        <v>0</v>
      </c>
      <c r="AC410" s="96">
        <f>IF(T410=1,INDEX('ITENS_MTR'!$AL$6:$AL$1005,S410),0)</f>
        <v>0</v>
      </c>
    </row>
    <row r="411">
      <c r="A411" s="89" t="inlineStr">
        <is>
          <t>VIN-000406</t>
        </is>
      </c>
      <c r="B411" s="91" t="n"/>
      <c r="C411" s="91" t="n"/>
      <c r="D411" s="94" t="str">
        <f>IF(T411=1,INDEX('ITENS_MTR'!$S$6:$S$1005,S411)&amp;"","")</f>
        <v/>
      </c>
      <c r="E411" s="94" t="str">
        <f>IF(T411=1,INDEX('ITENS_MTR'!$C$6:$C$1005,S411)&amp;"","")</f>
        <v/>
      </c>
      <c r="F411" s="98" t="n"/>
      <c r="G411" s="91" t="n"/>
      <c r="H411" s="93" t="str">
        <f>IF(N411=0,"",IF(NOT(ISNUMBER(F411)),"",IF(ISNUMBER(U411),F411*U411,"UNIDADE A CONFERIR")))</f>
        <v/>
      </c>
      <c r="I411" s="94" t="str">
        <f>IF(Q411=1,INDEX('CDFs'!$F$6:$F$505,P411)&amp;"","")</f>
        <v/>
      </c>
      <c r="J411" s="91" t="n"/>
      <c r="K411" s="91" t="n"/>
      <c r="L411" s="94" t="str">
        <f>IF(N411=0,"",IF(NOT(ISNUMBER(F411)),"Quantidade não informada",IF(F411&lt;=0,"Quantidade não positiva",IF(G411="","Unidade não informada",IF(NOT(ISNUMBER(H411)),"Unidade a conferir",IF(AC411=1,"REVISAR VÍNCULO: soma vinculada maior que a referência do item","OK"))))))</f>
        <v/>
      </c>
      <c r="M411" s="94" t="str">
        <f>IF(N411=0,"",IF(B411="","CDF não informado",IF(Q411=0,"REVISAR VÍNCULO: CDF inexistente",IF(C411="","Item não informado",IF(T411=0,"REVISAR VÍNCULO: item inexistente",IF(AND(X411=1,J411&lt;&gt;"Sim"),"REVISAR VÍNCULO: destinador diferente do MTR",IF(X411=1,"Destinador diferente do MTR (analisado)","OK")))))))</f>
        <v/>
      </c>
      <c r="N411" s="96">
        <f>IF(COUNTA(B411:C411,F411:G411,J411:K411)&gt;0,1,0)</f>
        <v>0</v>
      </c>
      <c r="O411" s="96" t="str">
        <f>IF(B411="","",TRIM(LEFT(B411,FIND(" |",B411&amp;" |")-1)))</f>
        <v/>
      </c>
      <c r="P411" s="96" t="str">
        <f>IF(O411="","",IFERROR(MATCH(O411,'CDFs'!$A$6:$A$505,0),""))</f>
        <v/>
      </c>
      <c r="Q411" s="96">
        <f>IF(P411="",0,IF(INDEX('CDFs'!$S$6:$S$505,P411)=1,1,0))</f>
        <v>0</v>
      </c>
      <c r="R411" s="96" t="str">
        <f>IF(C411="","",TRIM(LEFT(C411,FIND(" |",C411&amp;" |")-1)))</f>
        <v/>
      </c>
      <c r="S411" s="96" t="str">
        <f>IF(R411="","",IFERROR(MATCH(R411,'ITENS_MTR'!$A$6:$A$1005,0),""))</f>
        <v/>
      </c>
      <c r="T411" s="96">
        <f>IF(S411="",0,IF(INDEX('ITENS_MTR'!$R$6:$R$1005,S411)=1,1,0))</f>
        <v>0</v>
      </c>
      <c r="U411" s="96" t="str">
        <f>IF(G411="","",IFERROR(IF(ISNUMBER(INDEX(cfg_fac,MATCH(G411,cfg_units,0))),IF(INDEX(cfg_fac,MATCH(G411,cfg_units,0))&gt;0,INDEX(cfg_fac,MATCH(G411,cfg_units,0)),""),""),""))</f>
        <v/>
      </c>
      <c r="V411" s="96">
        <f>IF(AND(ISNUMBER(F411),ISNUMBER(H411)),IF(H411&gt;0,1,0),0)</f>
        <v>0</v>
      </c>
      <c r="W411" s="96" t="str">
        <f>IF(T411=1,INDEX('ITENS_MTR'!$AU$6:$AU$1005,S411)&amp;"","")</f>
        <v/>
      </c>
      <c r="X411" s="96">
        <f>IF(AND(Q411=1,T411=1,I411&lt;&gt;"",W411&lt;&gt;""),IF(I411&lt;&gt;W411,1,0),0)</f>
        <v>0</v>
      </c>
      <c r="Y411" s="96">
        <f>IF(N411=0,0,IF(OR(Q411=0,T411=0,V411=0,AND(X411=1,J411&lt;&gt;"Sim")),1,0))</f>
        <v>0</v>
      </c>
      <c r="Z411" s="96">
        <f>IF(Q411=1,INDEX('CDFs'!$W$6:$W$505,P411),0)</f>
        <v>0</v>
      </c>
      <c r="AA411" s="96">
        <f>IF(AND(N411=1,Y411=0,Z411=1,J411="Sim"),1,0)</f>
        <v>0</v>
      </c>
      <c r="AB411" s="96">
        <f>IF(AND(N411=1,O411&lt;&gt;"",D411&lt;&gt;""),IF(COUNTIFS($O$6:O411,O411,$D$6:D411,D411)=1,1,0),0)</f>
        <v>0</v>
      </c>
      <c r="AC411" s="96">
        <f>IF(T411=1,INDEX('ITENS_MTR'!$AL$6:$AL$1005,S411),0)</f>
        <v>0</v>
      </c>
    </row>
    <row r="412">
      <c r="A412" s="89" t="inlineStr">
        <is>
          <t>VIN-000407</t>
        </is>
      </c>
      <c r="B412" s="91" t="n"/>
      <c r="C412" s="91" t="n"/>
      <c r="D412" s="94" t="str">
        <f>IF(T412=1,INDEX('ITENS_MTR'!$S$6:$S$1005,S412)&amp;"","")</f>
        <v/>
      </c>
      <c r="E412" s="94" t="str">
        <f>IF(T412=1,INDEX('ITENS_MTR'!$C$6:$C$1005,S412)&amp;"","")</f>
        <v/>
      </c>
      <c r="F412" s="98" t="n"/>
      <c r="G412" s="91" t="n"/>
      <c r="H412" s="93" t="str">
        <f>IF(N412=0,"",IF(NOT(ISNUMBER(F412)),"",IF(ISNUMBER(U412),F412*U412,"UNIDADE A CONFERIR")))</f>
        <v/>
      </c>
      <c r="I412" s="94" t="str">
        <f>IF(Q412=1,INDEX('CDFs'!$F$6:$F$505,P412)&amp;"","")</f>
        <v/>
      </c>
      <c r="J412" s="91" t="n"/>
      <c r="K412" s="91" t="n"/>
      <c r="L412" s="94" t="str">
        <f>IF(N412=0,"",IF(NOT(ISNUMBER(F412)),"Quantidade não informada",IF(F412&lt;=0,"Quantidade não positiva",IF(G412="","Unidade não informada",IF(NOT(ISNUMBER(H412)),"Unidade a conferir",IF(AC412=1,"REVISAR VÍNCULO: soma vinculada maior que a referência do item","OK"))))))</f>
        <v/>
      </c>
      <c r="M412" s="94" t="str">
        <f>IF(N412=0,"",IF(B412="","CDF não informado",IF(Q412=0,"REVISAR VÍNCULO: CDF inexistente",IF(C412="","Item não informado",IF(T412=0,"REVISAR VÍNCULO: item inexistente",IF(AND(X412=1,J412&lt;&gt;"Sim"),"REVISAR VÍNCULO: destinador diferente do MTR",IF(X412=1,"Destinador diferente do MTR (analisado)","OK")))))))</f>
        <v/>
      </c>
      <c r="N412" s="96">
        <f>IF(COUNTA(B412:C412,F412:G412,J412:K412)&gt;0,1,0)</f>
        <v>0</v>
      </c>
      <c r="O412" s="96" t="str">
        <f>IF(B412="","",TRIM(LEFT(B412,FIND(" |",B412&amp;" |")-1)))</f>
        <v/>
      </c>
      <c r="P412" s="96" t="str">
        <f>IF(O412="","",IFERROR(MATCH(O412,'CDFs'!$A$6:$A$505,0),""))</f>
        <v/>
      </c>
      <c r="Q412" s="96">
        <f>IF(P412="",0,IF(INDEX('CDFs'!$S$6:$S$505,P412)=1,1,0))</f>
        <v>0</v>
      </c>
      <c r="R412" s="96" t="str">
        <f>IF(C412="","",TRIM(LEFT(C412,FIND(" |",C412&amp;" |")-1)))</f>
        <v/>
      </c>
      <c r="S412" s="96" t="str">
        <f>IF(R412="","",IFERROR(MATCH(R412,'ITENS_MTR'!$A$6:$A$1005,0),""))</f>
        <v/>
      </c>
      <c r="T412" s="96">
        <f>IF(S412="",0,IF(INDEX('ITENS_MTR'!$R$6:$R$1005,S412)=1,1,0))</f>
        <v>0</v>
      </c>
      <c r="U412" s="96" t="str">
        <f>IF(G412="","",IFERROR(IF(ISNUMBER(INDEX(cfg_fac,MATCH(G412,cfg_units,0))),IF(INDEX(cfg_fac,MATCH(G412,cfg_units,0))&gt;0,INDEX(cfg_fac,MATCH(G412,cfg_units,0)),""),""),""))</f>
        <v/>
      </c>
      <c r="V412" s="96">
        <f>IF(AND(ISNUMBER(F412),ISNUMBER(H412)),IF(H412&gt;0,1,0),0)</f>
        <v>0</v>
      </c>
      <c r="W412" s="96" t="str">
        <f>IF(T412=1,INDEX('ITENS_MTR'!$AU$6:$AU$1005,S412)&amp;"","")</f>
        <v/>
      </c>
      <c r="X412" s="96">
        <f>IF(AND(Q412=1,T412=1,I412&lt;&gt;"",W412&lt;&gt;""),IF(I412&lt;&gt;W412,1,0),0)</f>
        <v>0</v>
      </c>
      <c r="Y412" s="96">
        <f>IF(N412=0,0,IF(OR(Q412=0,T412=0,V412=0,AND(X412=1,J412&lt;&gt;"Sim")),1,0))</f>
        <v>0</v>
      </c>
      <c r="Z412" s="96">
        <f>IF(Q412=1,INDEX('CDFs'!$W$6:$W$505,P412),0)</f>
        <v>0</v>
      </c>
      <c r="AA412" s="96">
        <f>IF(AND(N412=1,Y412=0,Z412=1,J412="Sim"),1,0)</f>
        <v>0</v>
      </c>
      <c r="AB412" s="96">
        <f>IF(AND(N412=1,O412&lt;&gt;"",D412&lt;&gt;""),IF(COUNTIFS($O$6:O412,O412,$D$6:D412,D412)=1,1,0),0)</f>
        <v>0</v>
      </c>
      <c r="AC412" s="96">
        <f>IF(T412=1,INDEX('ITENS_MTR'!$AL$6:$AL$1005,S412),0)</f>
        <v>0</v>
      </c>
    </row>
    <row r="413">
      <c r="A413" s="89" t="inlineStr">
        <is>
          <t>VIN-000408</t>
        </is>
      </c>
      <c r="B413" s="91" t="n"/>
      <c r="C413" s="91" t="n"/>
      <c r="D413" s="94" t="str">
        <f>IF(T413=1,INDEX('ITENS_MTR'!$S$6:$S$1005,S413)&amp;"","")</f>
        <v/>
      </c>
      <c r="E413" s="94" t="str">
        <f>IF(T413=1,INDEX('ITENS_MTR'!$C$6:$C$1005,S413)&amp;"","")</f>
        <v/>
      </c>
      <c r="F413" s="98" t="n"/>
      <c r="G413" s="91" t="n"/>
      <c r="H413" s="93" t="str">
        <f>IF(N413=0,"",IF(NOT(ISNUMBER(F413)),"",IF(ISNUMBER(U413),F413*U413,"UNIDADE A CONFERIR")))</f>
        <v/>
      </c>
      <c r="I413" s="94" t="str">
        <f>IF(Q413=1,INDEX('CDFs'!$F$6:$F$505,P413)&amp;"","")</f>
        <v/>
      </c>
      <c r="J413" s="91" t="n"/>
      <c r="K413" s="91" t="n"/>
      <c r="L413" s="94" t="str">
        <f>IF(N413=0,"",IF(NOT(ISNUMBER(F413)),"Quantidade não informada",IF(F413&lt;=0,"Quantidade não positiva",IF(G413="","Unidade não informada",IF(NOT(ISNUMBER(H413)),"Unidade a conferir",IF(AC413=1,"REVISAR VÍNCULO: soma vinculada maior que a referência do item","OK"))))))</f>
        <v/>
      </c>
      <c r="M413" s="94" t="str">
        <f>IF(N413=0,"",IF(B413="","CDF não informado",IF(Q413=0,"REVISAR VÍNCULO: CDF inexistente",IF(C413="","Item não informado",IF(T413=0,"REVISAR VÍNCULO: item inexistente",IF(AND(X413=1,J413&lt;&gt;"Sim"),"REVISAR VÍNCULO: destinador diferente do MTR",IF(X413=1,"Destinador diferente do MTR (analisado)","OK")))))))</f>
        <v/>
      </c>
      <c r="N413" s="96">
        <f>IF(COUNTA(B413:C413,F413:G413,J413:K413)&gt;0,1,0)</f>
        <v>0</v>
      </c>
      <c r="O413" s="96" t="str">
        <f>IF(B413="","",TRIM(LEFT(B413,FIND(" |",B413&amp;" |")-1)))</f>
        <v/>
      </c>
      <c r="P413" s="96" t="str">
        <f>IF(O413="","",IFERROR(MATCH(O413,'CDFs'!$A$6:$A$505,0),""))</f>
        <v/>
      </c>
      <c r="Q413" s="96">
        <f>IF(P413="",0,IF(INDEX('CDFs'!$S$6:$S$505,P413)=1,1,0))</f>
        <v>0</v>
      </c>
      <c r="R413" s="96" t="str">
        <f>IF(C413="","",TRIM(LEFT(C413,FIND(" |",C413&amp;" |")-1)))</f>
        <v/>
      </c>
      <c r="S413" s="96" t="str">
        <f>IF(R413="","",IFERROR(MATCH(R413,'ITENS_MTR'!$A$6:$A$1005,0),""))</f>
        <v/>
      </c>
      <c r="T413" s="96">
        <f>IF(S413="",0,IF(INDEX('ITENS_MTR'!$R$6:$R$1005,S413)=1,1,0))</f>
        <v>0</v>
      </c>
      <c r="U413" s="96" t="str">
        <f>IF(G413="","",IFERROR(IF(ISNUMBER(INDEX(cfg_fac,MATCH(G413,cfg_units,0))),IF(INDEX(cfg_fac,MATCH(G413,cfg_units,0))&gt;0,INDEX(cfg_fac,MATCH(G413,cfg_units,0)),""),""),""))</f>
        <v/>
      </c>
      <c r="V413" s="96">
        <f>IF(AND(ISNUMBER(F413),ISNUMBER(H413)),IF(H413&gt;0,1,0),0)</f>
        <v>0</v>
      </c>
      <c r="W413" s="96" t="str">
        <f>IF(T413=1,INDEX('ITENS_MTR'!$AU$6:$AU$1005,S413)&amp;"","")</f>
        <v/>
      </c>
      <c r="X413" s="96">
        <f>IF(AND(Q413=1,T413=1,I413&lt;&gt;"",W413&lt;&gt;""),IF(I413&lt;&gt;W413,1,0),0)</f>
        <v>0</v>
      </c>
      <c r="Y413" s="96">
        <f>IF(N413=0,0,IF(OR(Q413=0,T413=0,V413=0,AND(X413=1,J413&lt;&gt;"Sim")),1,0))</f>
        <v>0</v>
      </c>
      <c r="Z413" s="96">
        <f>IF(Q413=1,INDEX('CDFs'!$W$6:$W$505,P413),0)</f>
        <v>0</v>
      </c>
      <c r="AA413" s="96">
        <f>IF(AND(N413=1,Y413=0,Z413=1,J413="Sim"),1,0)</f>
        <v>0</v>
      </c>
      <c r="AB413" s="96">
        <f>IF(AND(N413=1,O413&lt;&gt;"",D413&lt;&gt;""),IF(COUNTIFS($O$6:O413,O413,$D$6:D413,D413)=1,1,0),0)</f>
        <v>0</v>
      </c>
      <c r="AC413" s="96">
        <f>IF(T413=1,INDEX('ITENS_MTR'!$AL$6:$AL$1005,S413),0)</f>
        <v>0</v>
      </c>
    </row>
    <row r="414">
      <c r="A414" s="89" t="inlineStr">
        <is>
          <t>VIN-000409</t>
        </is>
      </c>
      <c r="B414" s="91" t="n"/>
      <c r="C414" s="91" t="n"/>
      <c r="D414" s="94" t="str">
        <f>IF(T414=1,INDEX('ITENS_MTR'!$S$6:$S$1005,S414)&amp;"","")</f>
        <v/>
      </c>
      <c r="E414" s="94" t="str">
        <f>IF(T414=1,INDEX('ITENS_MTR'!$C$6:$C$1005,S414)&amp;"","")</f>
        <v/>
      </c>
      <c r="F414" s="98" t="n"/>
      <c r="G414" s="91" t="n"/>
      <c r="H414" s="93" t="str">
        <f>IF(N414=0,"",IF(NOT(ISNUMBER(F414)),"",IF(ISNUMBER(U414),F414*U414,"UNIDADE A CONFERIR")))</f>
        <v/>
      </c>
      <c r="I414" s="94" t="str">
        <f>IF(Q414=1,INDEX('CDFs'!$F$6:$F$505,P414)&amp;"","")</f>
        <v/>
      </c>
      <c r="J414" s="91" t="n"/>
      <c r="K414" s="91" t="n"/>
      <c r="L414" s="94" t="str">
        <f>IF(N414=0,"",IF(NOT(ISNUMBER(F414)),"Quantidade não informada",IF(F414&lt;=0,"Quantidade não positiva",IF(G414="","Unidade não informada",IF(NOT(ISNUMBER(H414)),"Unidade a conferir",IF(AC414=1,"REVISAR VÍNCULO: soma vinculada maior que a referência do item","OK"))))))</f>
        <v/>
      </c>
      <c r="M414" s="94" t="str">
        <f>IF(N414=0,"",IF(B414="","CDF não informado",IF(Q414=0,"REVISAR VÍNCULO: CDF inexistente",IF(C414="","Item não informado",IF(T414=0,"REVISAR VÍNCULO: item inexistente",IF(AND(X414=1,J414&lt;&gt;"Sim"),"REVISAR VÍNCULO: destinador diferente do MTR",IF(X414=1,"Destinador diferente do MTR (analisado)","OK")))))))</f>
        <v/>
      </c>
      <c r="N414" s="96">
        <f>IF(COUNTA(B414:C414,F414:G414,J414:K414)&gt;0,1,0)</f>
        <v>0</v>
      </c>
      <c r="O414" s="96" t="str">
        <f>IF(B414="","",TRIM(LEFT(B414,FIND(" |",B414&amp;" |")-1)))</f>
        <v/>
      </c>
      <c r="P414" s="96" t="str">
        <f>IF(O414="","",IFERROR(MATCH(O414,'CDFs'!$A$6:$A$505,0),""))</f>
        <v/>
      </c>
      <c r="Q414" s="96">
        <f>IF(P414="",0,IF(INDEX('CDFs'!$S$6:$S$505,P414)=1,1,0))</f>
        <v>0</v>
      </c>
      <c r="R414" s="96" t="str">
        <f>IF(C414="","",TRIM(LEFT(C414,FIND(" |",C414&amp;" |")-1)))</f>
        <v/>
      </c>
      <c r="S414" s="96" t="str">
        <f>IF(R414="","",IFERROR(MATCH(R414,'ITENS_MTR'!$A$6:$A$1005,0),""))</f>
        <v/>
      </c>
      <c r="T414" s="96">
        <f>IF(S414="",0,IF(INDEX('ITENS_MTR'!$R$6:$R$1005,S414)=1,1,0))</f>
        <v>0</v>
      </c>
      <c r="U414" s="96" t="str">
        <f>IF(G414="","",IFERROR(IF(ISNUMBER(INDEX(cfg_fac,MATCH(G414,cfg_units,0))),IF(INDEX(cfg_fac,MATCH(G414,cfg_units,0))&gt;0,INDEX(cfg_fac,MATCH(G414,cfg_units,0)),""),""),""))</f>
        <v/>
      </c>
      <c r="V414" s="96">
        <f>IF(AND(ISNUMBER(F414),ISNUMBER(H414)),IF(H414&gt;0,1,0),0)</f>
        <v>0</v>
      </c>
      <c r="W414" s="96" t="str">
        <f>IF(T414=1,INDEX('ITENS_MTR'!$AU$6:$AU$1005,S414)&amp;"","")</f>
        <v/>
      </c>
      <c r="X414" s="96">
        <f>IF(AND(Q414=1,T414=1,I414&lt;&gt;"",W414&lt;&gt;""),IF(I414&lt;&gt;W414,1,0),0)</f>
        <v>0</v>
      </c>
      <c r="Y414" s="96">
        <f>IF(N414=0,0,IF(OR(Q414=0,T414=0,V414=0,AND(X414=1,J414&lt;&gt;"Sim")),1,0))</f>
        <v>0</v>
      </c>
      <c r="Z414" s="96">
        <f>IF(Q414=1,INDEX('CDFs'!$W$6:$W$505,P414),0)</f>
        <v>0</v>
      </c>
      <c r="AA414" s="96">
        <f>IF(AND(N414=1,Y414=0,Z414=1,J414="Sim"),1,0)</f>
        <v>0</v>
      </c>
      <c r="AB414" s="96">
        <f>IF(AND(N414=1,O414&lt;&gt;"",D414&lt;&gt;""),IF(COUNTIFS($O$6:O414,O414,$D$6:D414,D414)=1,1,0),0)</f>
        <v>0</v>
      </c>
      <c r="AC414" s="96">
        <f>IF(T414=1,INDEX('ITENS_MTR'!$AL$6:$AL$1005,S414),0)</f>
        <v>0</v>
      </c>
    </row>
    <row r="415">
      <c r="A415" s="89" t="inlineStr">
        <is>
          <t>VIN-000410</t>
        </is>
      </c>
      <c r="B415" s="91" t="n"/>
      <c r="C415" s="91" t="n"/>
      <c r="D415" s="94" t="str">
        <f>IF(T415=1,INDEX('ITENS_MTR'!$S$6:$S$1005,S415)&amp;"","")</f>
        <v/>
      </c>
      <c r="E415" s="94" t="str">
        <f>IF(T415=1,INDEX('ITENS_MTR'!$C$6:$C$1005,S415)&amp;"","")</f>
        <v/>
      </c>
      <c r="F415" s="98" t="n"/>
      <c r="G415" s="91" t="n"/>
      <c r="H415" s="93" t="str">
        <f>IF(N415=0,"",IF(NOT(ISNUMBER(F415)),"",IF(ISNUMBER(U415),F415*U415,"UNIDADE A CONFERIR")))</f>
        <v/>
      </c>
      <c r="I415" s="94" t="str">
        <f>IF(Q415=1,INDEX('CDFs'!$F$6:$F$505,P415)&amp;"","")</f>
        <v/>
      </c>
      <c r="J415" s="91" t="n"/>
      <c r="K415" s="91" t="n"/>
      <c r="L415" s="94" t="str">
        <f>IF(N415=0,"",IF(NOT(ISNUMBER(F415)),"Quantidade não informada",IF(F415&lt;=0,"Quantidade não positiva",IF(G415="","Unidade não informada",IF(NOT(ISNUMBER(H415)),"Unidade a conferir",IF(AC415=1,"REVISAR VÍNCULO: soma vinculada maior que a referência do item","OK"))))))</f>
        <v/>
      </c>
      <c r="M415" s="94" t="str">
        <f>IF(N415=0,"",IF(B415="","CDF não informado",IF(Q415=0,"REVISAR VÍNCULO: CDF inexistente",IF(C415="","Item não informado",IF(T415=0,"REVISAR VÍNCULO: item inexistente",IF(AND(X415=1,J415&lt;&gt;"Sim"),"REVISAR VÍNCULO: destinador diferente do MTR",IF(X415=1,"Destinador diferente do MTR (analisado)","OK")))))))</f>
        <v/>
      </c>
      <c r="N415" s="96">
        <f>IF(COUNTA(B415:C415,F415:G415,J415:K415)&gt;0,1,0)</f>
        <v>0</v>
      </c>
      <c r="O415" s="96" t="str">
        <f>IF(B415="","",TRIM(LEFT(B415,FIND(" |",B415&amp;" |")-1)))</f>
        <v/>
      </c>
      <c r="P415" s="96" t="str">
        <f>IF(O415="","",IFERROR(MATCH(O415,'CDFs'!$A$6:$A$505,0),""))</f>
        <v/>
      </c>
      <c r="Q415" s="96">
        <f>IF(P415="",0,IF(INDEX('CDFs'!$S$6:$S$505,P415)=1,1,0))</f>
        <v>0</v>
      </c>
      <c r="R415" s="96" t="str">
        <f>IF(C415="","",TRIM(LEFT(C415,FIND(" |",C415&amp;" |")-1)))</f>
        <v/>
      </c>
      <c r="S415" s="96" t="str">
        <f>IF(R415="","",IFERROR(MATCH(R415,'ITENS_MTR'!$A$6:$A$1005,0),""))</f>
        <v/>
      </c>
      <c r="T415" s="96">
        <f>IF(S415="",0,IF(INDEX('ITENS_MTR'!$R$6:$R$1005,S415)=1,1,0))</f>
        <v>0</v>
      </c>
      <c r="U415" s="96" t="str">
        <f>IF(G415="","",IFERROR(IF(ISNUMBER(INDEX(cfg_fac,MATCH(G415,cfg_units,0))),IF(INDEX(cfg_fac,MATCH(G415,cfg_units,0))&gt;0,INDEX(cfg_fac,MATCH(G415,cfg_units,0)),""),""),""))</f>
        <v/>
      </c>
      <c r="V415" s="96">
        <f>IF(AND(ISNUMBER(F415),ISNUMBER(H415)),IF(H415&gt;0,1,0),0)</f>
        <v>0</v>
      </c>
      <c r="W415" s="96" t="str">
        <f>IF(T415=1,INDEX('ITENS_MTR'!$AU$6:$AU$1005,S415)&amp;"","")</f>
        <v/>
      </c>
      <c r="X415" s="96">
        <f>IF(AND(Q415=1,T415=1,I415&lt;&gt;"",W415&lt;&gt;""),IF(I415&lt;&gt;W415,1,0),0)</f>
        <v>0</v>
      </c>
      <c r="Y415" s="96">
        <f>IF(N415=0,0,IF(OR(Q415=0,T415=0,V415=0,AND(X415=1,J415&lt;&gt;"Sim")),1,0))</f>
        <v>0</v>
      </c>
      <c r="Z415" s="96">
        <f>IF(Q415=1,INDEX('CDFs'!$W$6:$W$505,P415),0)</f>
        <v>0</v>
      </c>
      <c r="AA415" s="96">
        <f>IF(AND(N415=1,Y415=0,Z415=1,J415="Sim"),1,0)</f>
        <v>0</v>
      </c>
      <c r="AB415" s="96">
        <f>IF(AND(N415=1,O415&lt;&gt;"",D415&lt;&gt;""),IF(COUNTIFS($O$6:O415,O415,$D$6:D415,D415)=1,1,0),0)</f>
        <v>0</v>
      </c>
      <c r="AC415" s="96">
        <f>IF(T415=1,INDEX('ITENS_MTR'!$AL$6:$AL$1005,S415),0)</f>
        <v>0</v>
      </c>
    </row>
    <row r="416">
      <c r="A416" s="89" t="inlineStr">
        <is>
          <t>VIN-000411</t>
        </is>
      </c>
      <c r="B416" s="91" t="n"/>
      <c r="C416" s="91" t="n"/>
      <c r="D416" s="94" t="str">
        <f>IF(T416=1,INDEX('ITENS_MTR'!$S$6:$S$1005,S416)&amp;"","")</f>
        <v/>
      </c>
      <c r="E416" s="94" t="str">
        <f>IF(T416=1,INDEX('ITENS_MTR'!$C$6:$C$1005,S416)&amp;"","")</f>
        <v/>
      </c>
      <c r="F416" s="98" t="n"/>
      <c r="G416" s="91" t="n"/>
      <c r="H416" s="93" t="str">
        <f>IF(N416=0,"",IF(NOT(ISNUMBER(F416)),"",IF(ISNUMBER(U416),F416*U416,"UNIDADE A CONFERIR")))</f>
        <v/>
      </c>
      <c r="I416" s="94" t="str">
        <f>IF(Q416=1,INDEX('CDFs'!$F$6:$F$505,P416)&amp;"","")</f>
        <v/>
      </c>
      <c r="J416" s="91" t="n"/>
      <c r="K416" s="91" t="n"/>
      <c r="L416" s="94" t="str">
        <f>IF(N416=0,"",IF(NOT(ISNUMBER(F416)),"Quantidade não informada",IF(F416&lt;=0,"Quantidade não positiva",IF(G416="","Unidade não informada",IF(NOT(ISNUMBER(H416)),"Unidade a conferir",IF(AC416=1,"REVISAR VÍNCULO: soma vinculada maior que a referência do item","OK"))))))</f>
        <v/>
      </c>
      <c r="M416" s="94" t="str">
        <f>IF(N416=0,"",IF(B416="","CDF não informado",IF(Q416=0,"REVISAR VÍNCULO: CDF inexistente",IF(C416="","Item não informado",IF(T416=0,"REVISAR VÍNCULO: item inexistente",IF(AND(X416=1,J416&lt;&gt;"Sim"),"REVISAR VÍNCULO: destinador diferente do MTR",IF(X416=1,"Destinador diferente do MTR (analisado)","OK")))))))</f>
        <v/>
      </c>
      <c r="N416" s="96">
        <f>IF(COUNTA(B416:C416,F416:G416,J416:K416)&gt;0,1,0)</f>
        <v>0</v>
      </c>
      <c r="O416" s="96" t="str">
        <f>IF(B416="","",TRIM(LEFT(B416,FIND(" |",B416&amp;" |")-1)))</f>
        <v/>
      </c>
      <c r="P416" s="96" t="str">
        <f>IF(O416="","",IFERROR(MATCH(O416,'CDFs'!$A$6:$A$505,0),""))</f>
        <v/>
      </c>
      <c r="Q416" s="96">
        <f>IF(P416="",0,IF(INDEX('CDFs'!$S$6:$S$505,P416)=1,1,0))</f>
        <v>0</v>
      </c>
      <c r="R416" s="96" t="str">
        <f>IF(C416="","",TRIM(LEFT(C416,FIND(" |",C416&amp;" |")-1)))</f>
        <v/>
      </c>
      <c r="S416" s="96" t="str">
        <f>IF(R416="","",IFERROR(MATCH(R416,'ITENS_MTR'!$A$6:$A$1005,0),""))</f>
        <v/>
      </c>
      <c r="T416" s="96">
        <f>IF(S416="",0,IF(INDEX('ITENS_MTR'!$R$6:$R$1005,S416)=1,1,0))</f>
        <v>0</v>
      </c>
      <c r="U416" s="96" t="str">
        <f>IF(G416="","",IFERROR(IF(ISNUMBER(INDEX(cfg_fac,MATCH(G416,cfg_units,0))),IF(INDEX(cfg_fac,MATCH(G416,cfg_units,0))&gt;0,INDEX(cfg_fac,MATCH(G416,cfg_units,0)),""),""),""))</f>
        <v/>
      </c>
      <c r="V416" s="96">
        <f>IF(AND(ISNUMBER(F416),ISNUMBER(H416)),IF(H416&gt;0,1,0),0)</f>
        <v>0</v>
      </c>
      <c r="W416" s="96" t="str">
        <f>IF(T416=1,INDEX('ITENS_MTR'!$AU$6:$AU$1005,S416)&amp;"","")</f>
        <v/>
      </c>
      <c r="X416" s="96">
        <f>IF(AND(Q416=1,T416=1,I416&lt;&gt;"",W416&lt;&gt;""),IF(I416&lt;&gt;W416,1,0),0)</f>
        <v>0</v>
      </c>
      <c r="Y416" s="96">
        <f>IF(N416=0,0,IF(OR(Q416=0,T416=0,V416=0,AND(X416=1,J416&lt;&gt;"Sim")),1,0))</f>
        <v>0</v>
      </c>
      <c r="Z416" s="96">
        <f>IF(Q416=1,INDEX('CDFs'!$W$6:$W$505,P416),0)</f>
        <v>0</v>
      </c>
      <c r="AA416" s="96">
        <f>IF(AND(N416=1,Y416=0,Z416=1,J416="Sim"),1,0)</f>
        <v>0</v>
      </c>
      <c r="AB416" s="96">
        <f>IF(AND(N416=1,O416&lt;&gt;"",D416&lt;&gt;""),IF(COUNTIFS($O$6:O416,O416,$D$6:D416,D416)=1,1,0),0)</f>
        <v>0</v>
      </c>
      <c r="AC416" s="96">
        <f>IF(T416=1,INDEX('ITENS_MTR'!$AL$6:$AL$1005,S416),0)</f>
        <v>0</v>
      </c>
    </row>
    <row r="417">
      <c r="A417" s="89" t="inlineStr">
        <is>
          <t>VIN-000412</t>
        </is>
      </c>
      <c r="B417" s="91" t="n"/>
      <c r="C417" s="91" t="n"/>
      <c r="D417" s="94" t="str">
        <f>IF(T417=1,INDEX('ITENS_MTR'!$S$6:$S$1005,S417)&amp;"","")</f>
        <v/>
      </c>
      <c r="E417" s="94" t="str">
        <f>IF(T417=1,INDEX('ITENS_MTR'!$C$6:$C$1005,S417)&amp;"","")</f>
        <v/>
      </c>
      <c r="F417" s="98" t="n"/>
      <c r="G417" s="91" t="n"/>
      <c r="H417" s="93" t="str">
        <f>IF(N417=0,"",IF(NOT(ISNUMBER(F417)),"",IF(ISNUMBER(U417),F417*U417,"UNIDADE A CONFERIR")))</f>
        <v/>
      </c>
      <c r="I417" s="94" t="str">
        <f>IF(Q417=1,INDEX('CDFs'!$F$6:$F$505,P417)&amp;"","")</f>
        <v/>
      </c>
      <c r="J417" s="91" t="n"/>
      <c r="K417" s="91" t="n"/>
      <c r="L417" s="94" t="str">
        <f>IF(N417=0,"",IF(NOT(ISNUMBER(F417)),"Quantidade não informada",IF(F417&lt;=0,"Quantidade não positiva",IF(G417="","Unidade não informada",IF(NOT(ISNUMBER(H417)),"Unidade a conferir",IF(AC417=1,"REVISAR VÍNCULO: soma vinculada maior que a referência do item","OK"))))))</f>
        <v/>
      </c>
      <c r="M417" s="94" t="str">
        <f>IF(N417=0,"",IF(B417="","CDF não informado",IF(Q417=0,"REVISAR VÍNCULO: CDF inexistente",IF(C417="","Item não informado",IF(T417=0,"REVISAR VÍNCULO: item inexistente",IF(AND(X417=1,J417&lt;&gt;"Sim"),"REVISAR VÍNCULO: destinador diferente do MTR",IF(X417=1,"Destinador diferente do MTR (analisado)","OK")))))))</f>
        <v/>
      </c>
      <c r="N417" s="96">
        <f>IF(COUNTA(B417:C417,F417:G417,J417:K417)&gt;0,1,0)</f>
        <v>0</v>
      </c>
      <c r="O417" s="96" t="str">
        <f>IF(B417="","",TRIM(LEFT(B417,FIND(" |",B417&amp;" |")-1)))</f>
        <v/>
      </c>
      <c r="P417" s="96" t="str">
        <f>IF(O417="","",IFERROR(MATCH(O417,'CDFs'!$A$6:$A$505,0),""))</f>
        <v/>
      </c>
      <c r="Q417" s="96">
        <f>IF(P417="",0,IF(INDEX('CDFs'!$S$6:$S$505,P417)=1,1,0))</f>
        <v>0</v>
      </c>
      <c r="R417" s="96" t="str">
        <f>IF(C417="","",TRIM(LEFT(C417,FIND(" |",C417&amp;" |")-1)))</f>
        <v/>
      </c>
      <c r="S417" s="96" t="str">
        <f>IF(R417="","",IFERROR(MATCH(R417,'ITENS_MTR'!$A$6:$A$1005,0),""))</f>
        <v/>
      </c>
      <c r="T417" s="96">
        <f>IF(S417="",0,IF(INDEX('ITENS_MTR'!$R$6:$R$1005,S417)=1,1,0))</f>
        <v>0</v>
      </c>
      <c r="U417" s="96" t="str">
        <f>IF(G417="","",IFERROR(IF(ISNUMBER(INDEX(cfg_fac,MATCH(G417,cfg_units,0))),IF(INDEX(cfg_fac,MATCH(G417,cfg_units,0))&gt;0,INDEX(cfg_fac,MATCH(G417,cfg_units,0)),""),""),""))</f>
        <v/>
      </c>
      <c r="V417" s="96">
        <f>IF(AND(ISNUMBER(F417),ISNUMBER(H417)),IF(H417&gt;0,1,0),0)</f>
        <v>0</v>
      </c>
      <c r="W417" s="96" t="str">
        <f>IF(T417=1,INDEX('ITENS_MTR'!$AU$6:$AU$1005,S417)&amp;"","")</f>
        <v/>
      </c>
      <c r="X417" s="96">
        <f>IF(AND(Q417=1,T417=1,I417&lt;&gt;"",W417&lt;&gt;""),IF(I417&lt;&gt;W417,1,0),0)</f>
        <v>0</v>
      </c>
      <c r="Y417" s="96">
        <f>IF(N417=0,0,IF(OR(Q417=0,T417=0,V417=0,AND(X417=1,J417&lt;&gt;"Sim")),1,0))</f>
        <v>0</v>
      </c>
      <c r="Z417" s="96">
        <f>IF(Q417=1,INDEX('CDFs'!$W$6:$W$505,P417),0)</f>
        <v>0</v>
      </c>
      <c r="AA417" s="96">
        <f>IF(AND(N417=1,Y417=0,Z417=1,J417="Sim"),1,0)</f>
        <v>0</v>
      </c>
      <c r="AB417" s="96">
        <f>IF(AND(N417=1,O417&lt;&gt;"",D417&lt;&gt;""),IF(COUNTIFS($O$6:O417,O417,$D$6:D417,D417)=1,1,0),0)</f>
        <v>0</v>
      </c>
      <c r="AC417" s="96">
        <f>IF(T417=1,INDEX('ITENS_MTR'!$AL$6:$AL$1005,S417),0)</f>
        <v>0</v>
      </c>
    </row>
    <row r="418">
      <c r="A418" s="89" t="inlineStr">
        <is>
          <t>VIN-000413</t>
        </is>
      </c>
      <c r="B418" s="91" t="n"/>
      <c r="C418" s="91" t="n"/>
      <c r="D418" s="94" t="str">
        <f>IF(T418=1,INDEX('ITENS_MTR'!$S$6:$S$1005,S418)&amp;"","")</f>
        <v/>
      </c>
      <c r="E418" s="94" t="str">
        <f>IF(T418=1,INDEX('ITENS_MTR'!$C$6:$C$1005,S418)&amp;"","")</f>
        <v/>
      </c>
      <c r="F418" s="98" t="n"/>
      <c r="G418" s="91" t="n"/>
      <c r="H418" s="93" t="str">
        <f>IF(N418=0,"",IF(NOT(ISNUMBER(F418)),"",IF(ISNUMBER(U418),F418*U418,"UNIDADE A CONFERIR")))</f>
        <v/>
      </c>
      <c r="I418" s="94" t="str">
        <f>IF(Q418=1,INDEX('CDFs'!$F$6:$F$505,P418)&amp;"","")</f>
        <v/>
      </c>
      <c r="J418" s="91" t="n"/>
      <c r="K418" s="91" t="n"/>
      <c r="L418" s="94" t="str">
        <f>IF(N418=0,"",IF(NOT(ISNUMBER(F418)),"Quantidade não informada",IF(F418&lt;=0,"Quantidade não positiva",IF(G418="","Unidade não informada",IF(NOT(ISNUMBER(H418)),"Unidade a conferir",IF(AC418=1,"REVISAR VÍNCULO: soma vinculada maior que a referência do item","OK"))))))</f>
        <v/>
      </c>
      <c r="M418" s="94" t="str">
        <f>IF(N418=0,"",IF(B418="","CDF não informado",IF(Q418=0,"REVISAR VÍNCULO: CDF inexistente",IF(C418="","Item não informado",IF(T418=0,"REVISAR VÍNCULO: item inexistente",IF(AND(X418=1,J418&lt;&gt;"Sim"),"REVISAR VÍNCULO: destinador diferente do MTR",IF(X418=1,"Destinador diferente do MTR (analisado)","OK")))))))</f>
        <v/>
      </c>
      <c r="N418" s="96">
        <f>IF(COUNTA(B418:C418,F418:G418,J418:K418)&gt;0,1,0)</f>
        <v>0</v>
      </c>
      <c r="O418" s="96" t="str">
        <f>IF(B418="","",TRIM(LEFT(B418,FIND(" |",B418&amp;" |")-1)))</f>
        <v/>
      </c>
      <c r="P418" s="96" t="str">
        <f>IF(O418="","",IFERROR(MATCH(O418,'CDFs'!$A$6:$A$505,0),""))</f>
        <v/>
      </c>
      <c r="Q418" s="96">
        <f>IF(P418="",0,IF(INDEX('CDFs'!$S$6:$S$505,P418)=1,1,0))</f>
        <v>0</v>
      </c>
      <c r="R418" s="96" t="str">
        <f>IF(C418="","",TRIM(LEFT(C418,FIND(" |",C418&amp;" |")-1)))</f>
        <v/>
      </c>
      <c r="S418" s="96" t="str">
        <f>IF(R418="","",IFERROR(MATCH(R418,'ITENS_MTR'!$A$6:$A$1005,0),""))</f>
        <v/>
      </c>
      <c r="T418" s="96">
        <f>IF(S418="",0,IF(INDEX('ITENS_MTR'!$R$6:$R$1005,S418)=1,1,0))</f>
        <v>0</v>
      </c>
      <c r="U418" s="96" t="str">
        <f>IF(G418="","",IFERROR(IF(ISNUMBER(INDEX(cfg_fac,MATCH(G418,cfg_units,0))),IF(INDEX(cfg_fac,MATCH(G418,cfg_units,0))&gt;0,INDEX(cfg_fac,MATCH(G418,cfg_units,0)),""),""),""))</f>
        <v/>
      </c>
      <c r="V418" s="96">
        <f>IF(AND(ISNUMBER(F418),ISNUMBER(H418)),IF(H418&gt;0,1,0),0)</f>
        <v>0</v>
      </c>
      <c r="W418" s="96" t="str">
        <f>IF(T418=1,INDEX('ITENS_MTR'!$AU$6:$AU$1005,S418)&amp;"","")</f>
        <v/>
      </c>
      <c r="X418" s="96">
        <f>IF(AND(Q418=1,T418=1,I418&lt;&gt;"",W418&lt;&gt;""),IF(I418&lt;&gt;W418,1,0),0)</f>
        <v>0</v>
      </c>
      <c r="Y418" s="96">
        <f>IF(N418=0,0,IF(OR(Q418=0,T418=0,V418=0,AND(X418=1,J418&lt;&gt;"Sim")),1,0))</f>
        <v>0</v>
      </c>
      <c r="Z418" s="96">
        <f>IF(Q418=1,INDEX('CDFs'!$W$6:$W$505,P418),0)</f>
        <v>0</v>
      </c>
      <c r="AA418" s="96">
        <f>IF(AND(N418=1,Y418=0,Z418=1,J418="Sim"),1,0)</f>
        <v>0</v>
      </c>
      <c r="AB418" s="96">
        <f>IF(AND(N418=1,O418&lt;&gt;"",D418&lt;&gt;""),IF(COUNTIFS($O$6:O418,O418,$D$6:D418,D418)=1,1,0),0)</f>
        <v>0</v>
      </c>
      <c r="AC418" s="96">
        <f>IF(T418=1,INDEX('ITENS_MTR'!$AL$6:$AL$1005,S418),0)</f>
        <v>0</v>
      </c>
    </row>
    <row r="419">
      <c r="A419" s="89" t="inlineStr">
        <is>
          <t>VIN-000414</t>
        </is>
      </c>
      <c r="B419" s="91" t="n"/>
      <c r="C419" s="91" t="n"/>
      <c r="D419" s="94" t="str">
        <f>IF(T419=1,INDEX('ITENS_MTR'!$S$6:$S$1005,S419)&amp;"","")</f>
        <v/>
      </c>
      <c r="E419" s="94" t="str">
        <f>IF(T419=1,INDEX('ITENS_MTR'!$C$6:$C$1005,S419)&amp;"","")</f>
        <v/>
      </c>
      <c r="F419" s="98" t="n"/>
      <c r="G419" s="91" t="n"/>
      <c r="H419" s="93" t="str">
        <f>IF(N419=0,"",IF(NOT(ISNUMBER(F419)),"",IF(ISNUMBER(U419),F419*U419,"UNIDADE A CONFERIR")))</f>
        <v/>
      </c>
      <c r="I419" s="94" t="str">
        <f>IF(Q419=1,INDEX('CDFs'!$F$6:$F$505,P419)&amp;"","")</f>
        <v/>
      </c>
      <c r="J419" s="91" t="n"/>
      <c r="K419" s="91" t="n"/>
      <c r="L419" s="94" t="str">
        <f>IF(N419=0,"",IF(NOT(ISNUMBER(F419)),"Quantidade não informada",IF(F419&lt;=0,"Quantidade não positiva",IF(G419="","Unidade não informada",IF(NOT(ISNUMBER(H419)),"Unidade a conferir",IF(AC419=1,"REVISAR VÍNCULO: soma vinculada maior que a referência do item","OK"))))))</f>
        <v/>
      </c>
      <c r="M419" s="94" t="str">
        <f>IF(N419=0,"",IF(B419="","CDF não informado",IF(Q419=0,"REVISAR VÍNCULO: CDF inexistente",IF(C419="","Item não informado",IF(T419=0,"REVISAR VÍNCULO: item inexistente",IF(AND(X419=1,J419&lt;&gt;"Sim"),"REVISAR VÍNCULO: destinador diferente do MTR",IF(X419=1,"Destinador diferente do MTR (analisado)","OK")))))))</f>
        <v/>
      </c>
      <c r="N419" s="96">
        <f>IF(COUNTA(B419:C419,F419:G419,J419:K419)&gt;0,1,0)</f>
        <v>0</v>
      </c>
      <c r="O419" s="96" t="str">
        <f>IF(B419="","",TRIM(LEFT(B419,FIND(" |",B419&amp;" |")-1)))</f>
        <v/>
      </c>
      <c r="P419" s="96" t="str">
        <f>IF(O419="","",IFERROR(MATCH(O419,'CDFs'!$A$6:$A$505,0),""))</f>
        <v/>
      </c>
      <c r="Q419" s="96">
        <f>IF(P419="",0,IF(INDEX('CDFs'!$S$6:$S$505,P419)=1,1,0))</f>
        <v>0</v>
      </c>
      <c r="R419" s="96" t="str">
        <f>IF(C419="","",TRIM(LEFT(C419,FIND(" |",C419&amp;" |")-1)))</f>
        <v/>
      </c>
      <c r="S419" s="96" t="str">
        <f>IF(R419="","",IFERROR(MATCH(R419,'ITENS_MTR'!$A$6:$A$1005,0),""))</f>
        <v/>
      </c>
      <c r="T419" s="96">
        <f>IF(S419="",0,IF(INDEX('ITENS_MTR'!$R$6:$R$1005,S419)=1,1,0))</f>
        <v>0</v>
      </c>
      <c r="U419" s="96" t="str">
        <f>IF(G419="","",IFERROR(IF(ISNUMBER(INDEX(cfg_fac,MATCH(G419,cfg_units,0))),IF(INDEX(cfg_fac,MATCH(G419,cfg_units,0))&gt;0,INDEX(cfg_fac,MATCH(G419,cfg_units,0)),""),""),""))</f>
        <v/>
      </c>
      <c r="V419" s="96">
        <f>IF(AND(ISNUMBER(F419),ISNUMBER(H419)),IF(H419&gt;0,1,0),0)</f>
        <v>0</v>
      </c>
      <c r="W419" s="96" t="str">
        <f>IF(T419=1,INDEX('ITENS_MTR'!$AU$6:$AU$1005,S419)&amp;"","")</f>
        <v/>
      </c>
      <c r="X419" s="96">
        <f>IF(AND(Q419=1,T419=1,I419&lt;&gt;"",W419&lt;&gt;""),IF(I419&lt;&gt;W419,1,0),0)</f>
        <v>0</v>
      </c>
      <c r="Y419" s="96">
        <f>IF(N419=0,0,IF(OR(Q419=0,T419=0,V419=0,AND(X419=1,J419&lt;&gt;"Sim")),1,0))</f>
        <v>0</v>
      </c>
      <c r="Z419" s="96">
        <f>IF(Q419=1,INDEX('CDFs'!$W$6:$W$505,P419),0)</f>
        <v>0</v>
      </c>
      <c r="AA419" s="96">
        <f>IF(AND(N419=1,Y419=0,Z419=1,J419="Sim"),1,0)</f>
        <v>0</v>
      </c>
      <c r="AB419" s="96">
        <f>IF(AND(N419=1,O419&lt;&gt;"",D419&lt;&gt;""),IF(COUNTIFS($O$6:O419,O419,$D$6:D419,D419)=1,1,0),0)</f>
        <v>0</v>
      </c>
      <c r="AC419" s="96">
        <f>IF(T419=1,INDEX('ITENS_MTR'!$AL$6:$AL$1005,S419),0)</f>
        <v>0</v>
      </c>
    </row>
    <row r="420">
      <c r="A420" s="89" t="inlineStr">
        <is>
          <t>VIN-000415</t>
        </is>
      </c>
      <c r="B420" s="91" t="n"/>
      <c r="C420" s="91" t="n"/>
      <c r="D420" s="94" t="str">
        <f>IF(T420=1,INDEX('ITENS_MTR'!$S$6:$S$1005,S420)&amp;"","")</f>
        <v/>
      </c>
      <c r="E420" s="94" t="str">
        <f>IF(T420=1,INDEX('ITENS_MTR'!$C$6:$C$1005,S420)&amp;"","")</f>
        <v/>
      </c>
      <c r="F420" s="98" t="n"/>
      <c r="G420" s="91" t="n"/>
      <c r="H420" s="93" t="str">
        <f>IF(N420=0,"",IF(NOT(ISNUMBER(F420)),"",IF(ISNUMBER(U420),F420*U420,"UNIDADE A CONFERIR")))</f>
        <v/>
      </c>
      <c r="I420" s="94" t="str">
        <f>IF(Q420=1,INDEX('CDFs'!$F$6:$F$505,P420)&amp;"","")</f>
        <v/>
      </c>
      <c r="J420" s="91" t="n"/>
      <c r="K420" s="91" t="n"/>
      <c r="L420" s="94" t="str">
        <f>IF(N420=0,"",IF(NOT(ISNUMBER(F420)),"Quantidade não informada",IF(F420&lt;=0,"Quantidade não positiva",IF(G420="","Unidade não informada",IF(NOT(ISNUMBER(H420)),"Unidade a conferir",IF(AC420=1,"REVISAR VÍNCULO: soma vinculada maior que a referência do item","OK"))))))</f>
        <v/>
      </c>
      <c r="M420" s="94" t="str">
        <f>IF(N420=0,"",IF(B420="","CDF não informado",IF(Q420=0,"REVISAR VÍNCULO: CDF inexistente",IF(C420="","Item não informado",IF(T420=0,"REVISAR VÍNCULO: item inexistente",IF(AND(X420=1,J420&lt;&gt;"Sim"),"REVISAR VÍNCULO: destinador diferente do MTR",IF(X420=1,"Destinador diferente do MTR (analisado)","OK")))))))</f>
        <v/>
      </c>
      <c r="N420" s="96">
        <f>IF(COUNTA(B420:C420,F420:G420,J420:K420)&gt;0,1,0)</f>
        <v>0</v>
      </c>
      <c r="O420" s="96" t="str">
        <f>IF(B420="","",TRIM(LEFT(B420,FIND(" |",B420&amp;" |")-1)))</f>
        <v/>
      </c>
      <c r="P420" s="96" t="str">
        <f>IF(O420="","",IFERROR(MATCH(O420,'CDFs'!$A$6:$A$505,0),""))</f>
        <v/>
      </c>
      <c r="Q420" s="96">
        <f>IF(P420="",0,IF(INDEX('CDFs'!$S$6:$S$505,P420)=1,1,0))</f>
        <v>0</v>
      </c>
      <c r="R420" s="96" t="str">
        <f>IF(C420="","",TRIM(LEFT(C420,FIND(" |",C420&amp;" |")-1)))</f>
        <v/>
      </c>
      <c r="S420" s="96" t="str">
        <f>IF(R420="","",IFERROR(MATCH(R420,'ITENS_MTR'!$A$6:$A$1005,0),""))</f>
        <v/>
      </c>
      <c r="T420" s="96">
        <f>IF(S420="",0,IF(INDEX('ITENS_MTR'!$R$6:$R$1005,S420)=1,1,0))</f>
        <v>0</v>
      </c>
      <c r="U420" s="96" t="str">
        <f>IF(G420="","",IFERROR(IF(ISNUMBER(INDEX(cfg_fac,MATCH(G420,cfg_units,0))),IF(INDEX(cfg_fac,MATCH(G420,cfg_units,0))&gt;0,INDEX(cfg_fac,MATCH(G420,cfg_units,0)),""),""),""))</f>
        <v/>
      </c>
      <c r="V420" s="96">
        <f>IF(AND(ISNUMBER(F420),ISNUMBER(H420)),IF(H420&gt;0,1,0),0)</f>
        <v>0</v>
      </c>
      <c r="W420" s="96" t="str">
        <f>IF(T420=1,INDEX('ITENS_MTR'!$AU$6:$AU$1005,S420)&amp;"","")</f>
        <v/>
      </c>
      <c r="X420" s="96">
        <f>IF(AND(Q420=1,T420=1,I420&lt;&gt;"",W420&lt;&gt;""),IF(I420&lt;&gt;W420,1,0),0)</f>
        <v>0</v>
      </c>
      <c r="Y420" s="96">
        <f>IF(N420=0,0,IF(OR(Q420=0,T420=0,V420=0,AND(X420=1,J420&lt;&gt;"Sim")),1,0))</f>
        <v>0</v>
      </c>
      <c r="Z420" s="96">
        <f>IF(Q420=1,INDEX('CDFs'!$W$6:$W$505,P420),0)</f>
        <v>0</v>
      </c>
      <c r="AA420" s="96">
        <f>IF(AND(N420=1,Y420=0,Z420=1,J420="Sim"),1,0)</f>
        <v>0</v>
      </c>
      <c r="AB420" s="96">
        <f>IF(AND(N420=1,O420&lt;&gt;"",D420&lt;&gt;""),IF(COUNTIFS($O$6:O420,O420,$D$6:D420,D420)=1,1,0),0)</f>
        <v>0</v>
      </c>
      <c r="AC420" s="96">
        <f>IF(T420=1,INDEX('ITENS_MTR'!$AL$6:$AL$1005,S420),0)</f>
        <v>0</v>
      </c>
    </row>
    <row r="421">
      <c r="A421" s="89" t="inlineStr">
        <is>
          <t>VIN-000416</t>
        </is>
      </c>
      <c r="B421" s="91" t="n"/>
      <c r="C421" s="91" t="n"/>
      <c r="D421" s="94" t="str">
        <f>IF(T421=1,INDEX('ITENS_MTR'!$S$6:$S$1005,S421)&amp;"","")</f>
        <v/>
      </c>
      <c r="E421" s="94" t="str">
        <f>IF(T421=1,INDEX('ITENS_MTR'!$C$6:$C$1005,S421)&amp;"","")</f>
        <v/>
      </c>
      <c r="F421" s="98" t="n"/>
      <c r="G421" s="91" t="n"/>
      <c r="H421" s="93" t="str">
        <f>IF(N421=0,"",IF(NOT(ISNUMBER(F421)),"",IF(ISNUMBER(U421),F421*U421,"UNIDADE A CONFERIR")))</f>
        <v/>
      </c>
      <c r="I421" s="94" t="str">
        <f>IF(Q421=1,INDEX('CDFs'!$F$6:$F$505,P421)&amp;"","")</f>
        <v/>
      </c>
      <c r="J421" s="91" t="n"/>
      <c r="K421" s="91" t="n"/>
      <c r="L421" s="94" t="str">
        <f>IF(N421=0,"",IF(NOT(ISNUMBER(F421)),"Quantidade não informada",IF(F421&lt;=0,"Quantidade não positiva",IF(G421="","Unidade não informada",IF(NOT(ISNUMBER(H421)),"Unidade a conferir",IF(AC421=1,"REVISAR VÍNCULO: soma vinculada maior que a referência do item","OK"))))))</f>
        <v/>
      </c>
      <c r="M421" s="94" t="str">
        <f>IF(N421=0,"",IF(B421="","CDF não informado",IF(Q421=0,"REVISAR VÍNCULO: CDF inexistente",IF(C421="","Item não informado",IF(T421=0,"REVISAR VÍNCULO: item inexistente",IF(AND(X421=1,J421&lt;&gt;"Sim"),"REVISAR VÍNCULO: destinador diferente do MTR",IF(X421=1,"Destinador diferente do MTR (analisado)","OK")))))))</f>
        <v/>
      </c>
      <c r="N421" s="96">
        <f>IF(COUNTA(B421:C421,F421:G421,J421:K421)&gt;0,1,0)</f>
        <v>0</v>
      </c>
      <c r="O421" s="96" t="str">
        <f>IF(B421="","",TRIM(LEFT(B421,FIND(" |",B421&amp;" |")-1)))</f>
        <v/>
      </c>
      <c r="P421" s="96" t="str">
        <f>IF(O421="","",IFERROR(MATCH(O421,'CDFs'!$A$6:$A$505,0),""))</f>
        <v/>
      </c>
      <c r="Q421" s="96">
        <f>IF(P421="",0,IF(INDEX('CDFs'!$S$6:$S$505,P421)=1,1,0))</f>
        <v>0</v>
      </c>
      <c r="R421" s="96" t="str">
        <f>IF(C421="","",TRIM(LEFT(C421,FIND(" |",C421&amp;" |")-1)))</f>
        <v/>
      </c>
      <c r="S421" s="96" t="str">
        <f>IF(R421="","",IFERROR(MATCH(R421,'ITENS_MTR'!$A$6:$A$1005,0),""))</f>
        <v/>
      </c>
      <c r="T421" s="96">
        <f>IF(S421="",0,IF(INDEX('ITENS_MTR'!$R$6:$R$1005,S421)=1,1,0))</f>
        <v>0</v>
      </c>
      <c r="U421" s="96" t="str">
        <f>IF(G421="","",IFERROR(IF(ISNUMBER(INDEX(cfg_fac,MATCH(G421,cfg_units,0))),IF(INDEX(cfg_fac,MATCH(G421,cfg_units,0))&gt;0,INDEX(cfg_fac,MATCH(G421,cfg_units,0)),""),""),""))</f>
        <v/>
      </c>
      <c r="V421" s="96">
        <f>IF(AND(ISNUMBER(F421),ISNUMBER(H421)),IF(H421&gt;0,1,0),0)</f>
        <v>0</v>
      </c>
      <c r="W421" s="96" t="str">
        <f>IF(T421=1,INDEX('ITENS_MTR'!$AU$6:$AU$1005,S421)&amp;"","")</f>
        <v/>
      </c>
      <c r="X421" s="96">
        <f>IF(AND(Q421=1,T421=1,I421&lt;&gt;"",W421&lt;&gt;""),IF(I421&lt;&gt;W421,1,0),0)</f>
        <v>0</v>
      </c>
      <c r="Y421" s="96">
        <f>IF(N421=0,0,IF(OR(Q421=0,T421=0,V421=0,AND(X421=1,J421&lt;&gt;"Sim")),1,0))</f>
        <v>0</v>
      </c>
      <c r="Z421" s="96">
        <f>IF(Q421=1,INDEX('CDFs'!$W$6:$W$505,P421),0)</f>
        <v>0</v>
      </c>
      <c r="AA421" s="96">
        <f>IF(AND(N421=1,Y421=0,Z421=1,J421="Sim"),1,0)</f>
        <v>0</v>
      </c>
      <c r="AB421" s="96">
        <f>IF(AND(N421=1,O421&lt;&gt;"",D421&lt;&gt;""),IF(COUNTIFS($O$6:O421,O421,$D$6:D421,D421)=1,1,0),0)</f>
        <v>0</v>
      </c>
      <c r="AC421" s="96">
        <f>IF(T421=1,INDEX('ITENS_MTR'!$AL$6:$AL$1005,S421),0)</f>
        <v>0</v>
      </c>
    </row>
    <row r="422">
      <c r="A422" s="89" t="inlineStr">
        <is>
          <t>VIN-000417</t>
        </is>
      </c>
      <c r="B422" s="91" t="n"/>
      <c r="C422" s="91" t="n"/>
      <c r="D422" s="94" t="str">
        <f>IF(T422=1,INDEX('ITENS_MTR'!$S$6:$S$1005,S422)&amp;"","")</f>
        <v/>
      </c>
      <c r="E422" s="94" t="str">
        <f>IF(T422=1,INDEX('ITENS_MTR'!$C$6:$C$1005,S422)&amp;"","")</f>
        <v/>
      </c>
      <c r="F422" s="98" t="n"/>
      <c r="G422" s="91" t="n"/>
      <c r="H422" s="93" t="str">
        <f>IF(N422=0,"",IF(NOT(ISNUMBER(F422)),"",IF(ISNUMBER(U422),F422*U422,"UNIDADE A CONFERIR")))</f>
        <v/>
      </c>
      <c r="I422" s="94" t="str">
        <f>IF(Q422=1,INDEX('CDFs'!$F$6:$F$505,P422)&amp;"","")</f>
        <v/>
      </c>
      <c r="J422" s="91" t="n"/>
      <c r="K422" s="91" t="n"/>
      <c r="L422" s="94" t="str">
        <f>IF(N422=0,"",IF(NOT(ISNUMBER(F422)),"Quantidade não informada",IF(F422&lt;=0,"Quantidade não positiva",IF(G422="","Unidade não informada",IF(NOT(ISNUMBER(H422)),"Unidade a conferir",IF(AC422=1,"REVISAR VÍNCULO: soma vinculada maior que a referência do item","OK"))))))</f>
        <v/>
      </c>
      <c r="M422" s="94" t="str">
        <f>IF(N422=0,"",IF(B422="","CDF não informado",IF(Q422=0,"REVISAR VÍNCULO: CDF inexistente",IF(C422="","Item não informado",IF(T422=0,"REVISAR VÍNCULO: item inexistente",IF(AND(X422=1,J422&lt;&gt;"Sim"),"REVISAR VÍNCULO: destinador diferente do MTR",IF(X422=1,"Destinador diferente do MTR (analisado)","OK")))))))</f>
        <v/>
      </c>
      <c r="N422" s="96">
        <f>IF(COUNTA(B422:C422,F422:G422,J422:K422)&gt;0,1,0)</f>
        <v>0</v>
      </c>
      <c r="O422" s="96" t="str">
        <f>IF(B422="","",TRIM(LEFT(B422,FIND(" |",B422&amp;" |")-1)))</f>
        <v/>
      </c>
      <c r="P422" s="96" t="str">
        <f>IF(O422="","",IFERROR(MATCH(O422,'CDFs'!$A$6:$A$505,0),""))</f>
        <v/>
      </c>
      <c r="Q422" s="96">
        <f>IF(P422="",0,IF(INDEX('CDFs'!$S$6:$S$505,P422)=1,1,0))</f>
        <v>0</v>
      </c>
      <c r="R422" s="96" t="str">
        <f>IF(C422="","",TRIM(LEFT(C422,FIND(" |",C422&amp;" |")-1)))</f>
        <v/>
      </c>
      <c r="S422" s="96" t="str">
        <f>IF(R422="","",IFERROR(MATCH(R422,'ITENS_MTR'!$A$6:$A$1005,0),""))</f>
        <v/>
      </c>
      <c r="T422" s="96">
        <f>IF(S422="",0,IF(INDEX('ITENS_MTR'!$R$6:$R$1005,S422)=1,1,0))</f>
        <v>0</v>
      </c>
      <c r="U422" s="96" t="str">
        <f>IF(G422="","",IFERROR(IF(ISNUMBER(INDEX(cfg_fac,MATCH(G422,cfg_units,0))),IF(INDEX(cfg_fac,MATCH(G422,cfg_units,0))&gt;0,INDEX(cfg_fac,MATCH(G422,cfg_units,0)),""),""),""))</f>
        <v/>
      </c>
      <c r="V422" s="96">
        <f>IF(AND(ISNUMBER(F422),ISNUMBER(H422)),IF(H422&gt;0,1,0),0)</f>
        <v>0</v>
      </c>
      <c r="W422" s="96" t="str">
        <f>IF(T422=1,INDEX('ITENS_MTR'!$AU$6:$AU$1005,S422)&amp;"","")</f>
        <v/>
      </c>
      <c r="X422" s="96">
        <f>IF(AND(Q422=1,T422=1,I422&lt;&gt;"",W422&lt;&gt;""),IF(I422&lt;&gt;W422,1,0),0)</f>
        <v>0</v>
      </c>
      <c r="Y422" s="96">
        <f>IF(N422=0,0,IF(OR(Q422=0,T422=0,V422=0,AND(X422=1,J422&lt;&gt;"Sim")),1,0))</f>
        <v>0</v>
      </c>
      <c r="Z422" s="96">
        <f>IF(Q422=1,INDEX('CDFs'!$W$6:$W$505,P422),0)</f>
        <v>0</v>
      </c>
      <c r="AA422" s="96">
        <f>IF(AND(N422=1,Y422=0,Z422=1,J422="Sim"),1,0)</f>
        <v>0</v>
      </c>
      <c r="AB422" s="96">
        <f>IF(AND(N422=1,O422&lt;&gt;"",D422&lt;&gt;""),IF(COUNTIFS($O$6:O422,O422,$D$6:D422,D422)=1,1,0),0)</f>
        <v>0</v>
      </c>
      <c r="AC422" s="96">
        <f>IF(T422=1,INDEX('ITENS_MTR'!$AL$6:$AL$1005,S422),0)</f>
        <v>0</v>
      </c>
    </row>
    <row r="423">
      <c r="A423" s="89" t="inlineStr">
        <is>
          <t>VIN-000418</t>
        </is>
      </c>
      <c r="B423" s="91" t="n"/>
      <c r="C423" s="91" t="n"/>
      <c r="D423" s="94" t="str">
        <f>IF(T423=1,INDEX('ITENS_MTR'!$S$6:$S$1005,S423)&amp;"","")</f>
        <v/>
      </c>
      <c r="E423" s="94" t="str">
        <f>IF(T423=1,INDEX('ITENS_MTR'!$C$6:$C$1005,S423)&amp;"","")</f>
        <v/>
      </c>
      <c r="F423" s="98" t="n"/>
      <c r="G423" s="91" t="n"/>
      <c r="H423" s="93" t="str">
        <f>IF(N423=0,"",IF(NOT(ISNUMBER(F423)),"",IF(ISNUMBER(U423),F423*U423,"UNIDADE A CONFERIR")))</f>
        <v/>
      </c>
      <c r="I423" s="94" t="str">
        <f>IF(Q423=1,INDEX('CDFs'!$F$6:$F$505,P423)&amp;"","")</f>
        <v/>
      </c>
      <c r="J423" s="91" t="n"/>
      <c r="K423" s="91" t="n"/>
      <c r="L423" s="94" t="str">
        <f>IF(N423=0,"",IF(NOT(ISNUMBER(F423)),"Quantidade não informada",IF(F423&lt;=0,"Quantidade não positiva",IF(G423="","Unidade não informada",IF(NOT(ISNUMBER(H423)),"Unidade a conferir",IF(AC423=1,"REVISAR VÍNCULO: soma vinculada maior que a referência do item","OK"))))))</f>
        <v/>
      </c>
      <c r="M423" s="94" t="str">
        <f>IF(N423=0,"",IF(B423="","CDF não informado",IF(Q423=0,"REVISAR VÍNCULO: CDF inexistente",IF(C423="","Item não informado",IF(T423=0,"REVISAR VÍNCULO: item inexistente",IF(AND(X423=1,J423&lt;&gt;"Sim"),"REVISAR VÍNCULO: destinador diferente do MTR",IF(X423=1,"Destinador diferente do MTR (analisado)","OK")))))))</f>
        <v/>
      </c>
      <c r="N423" s="96">
        <f>IF(COUNTA(B423:C423,F423:G423,J423:K423)&gt;0,1,0)</f>
        <v>0</v>
      </c>
      <c r="O423" s="96" t="str">
        <f>IF(B423="","",TRIM(LEFT(B423,FIND(" |",B423&amp;" |")-1)))</f>
        <v/>
      </c>
      <c r="P423" s="96" t="str">
        <f>IF(O423="","",IFERROR(MATCH(O423,'CDFs'!$A$6:$A$505,0),""))</f>
        <v/>
      </c>
      <c r="Q423" s="96">
        <f>IF(P423="",0,IF(INDEX('CDFs'!$S$6:$S$505,P423)=1,1,0))</f>
        <v>0</v>
      </c>
      <c r="R423" s="96" t="str">
        <f>IF(C423="","",TRIM(LEFT(C423,FIND(" |",C423&amp;" |")-1)))</f>
        <v/>
      </c>
      <c r="S423" s="96" t="str">
        <f>IF(R423="","",IFERROR(MATCH(R423,'ITENS_MTR'!$A$6:$A$1005,0),""))</f>
        <v/>
      </c>
      <c r="T423" s="96">
        <f>IF(S423="",0,IF(INDEX('ITENS_MTR'!$R$6:$R$1005,S423)=1,1,0))</f>
        <v>0</v>
      </c>
      <c r="U423" s="96" t="str">
        <f>IF(G423="","",IFERROR(IF(ISNUMBER(INDEX(cfg_fac,MATCH(G423,cfg_units,0))),IF(INDEX(cfg_fac,MATCH(G423,cfg_units,0))&gt;0,INDEX(cfg_fac,MATCH(G423,cfg_units,0)),""),""),""))</f>
        <v/>
      </c>
      <c r="V423" s="96">
        <f>IF(AND(ISNUMBER(F423),ISNUMBER(H423)),IF(H423&gt;0,1,0),0)</f>
        <v>0</v>
      </c>
      <c r="W423" s="96" t="str">
        <f>IF(T423=1,INDEX('ITENS_MTR'!$AU$6:$AU$1005,S423)&amp;"","")</f>
        <v/>
      </c>
      <c r="X423" s="96">
        <f>IF(AND(Q423=1,T423=1,I423&lt;&gt;"",W423&lt;&gt;""),IF(I423&lt;&gt;W423,1,0),0)</f>
        <v>0</v>
      </c>
      <c r="Y423" s="96">
        <f>IF(N423=0,0,IF(OR(Q423=0,T423=0,V423=0,AND(X423=1,J423&lt;&gt;"Sim")),1,0))</f>
        <v>0</v>
      </c>
      <c r="Z423" s="96">
        <f>IF(Q423=1,INDEX('CDFs'!$W$6:$W$505,P423),0)</f>
        <v>0</v>
      </c>
      <c r="AA423" s="96">
        <f>IF(AND(N423=1,Y423=0,Z423=1,J423="Sim"),1,0)</f>
        <v>0</v>
      </c>
      <c r="AB423" s="96">
        <f>IF(AND(N423=1,O423&lt;&gt;"",D423&lt;&gt;""),IF(COUNTIFS($O$6:O423,O423,$D$6:D423,D423)=1,1,0),0)</f>
        <v>0</v>
      </c>
      <c r="AC423" s="96">
        <f>IF(T423=1,INDEX('ITENS_MTR'!$AL$6:$AL$1005,S423),0)</f>
        <v>0</v>
      </c>
    </row>
    <row r="424">
      <c r="A424" s="89" t="inlineStr">
        <is>
          <t>VIN-000419</t>
        </is>
      </c>
      <c r="B424" s="91" t="n"/>
      <c r="C424" s="91" t="n"/>
      <c r="D424" s="94" t="str">
        <f>IF(T424=1,INDEX('ITENS_MTR'!$S$6:$S$1005,S424)&amp;"","")</f>
        <v/>
      </c>
      <c r="E424" s="94" t="str">
        <f>IF(T424=1,INDEX('ITENS_MTR'!$C$6:$C$1005,S424)&amp;"","")</f>
        <v/>
      </c>
      <c r="F424" s="98" t="n"/>
      <c r="G424" s="91" t="n"/>
      <c r="H424" s="93" t="str">
        <f>IF(N424=0,"",IF(NOT(ISNUMBER(F424)),"",IF(ISNUMBER(U424),F424*U424,"UNIDADE A CONFERIR")))</f>
        <v/>
      </c>
      <c r="I424" s="94" t="str">
        <f>IF(Q424=1,INDEX('CDFs'!$F$6:$F$505,P424)&amp;"","")</f>
        <v/>
      </c>
      <c r="J424" s="91" t="n"/>
      <c r="K424" s="91" t="n"/>
      <c r="L424" s="94" t="str">
        <f>IF(N424=0,"",IF(NOT(ISNUMBER(F424)),"Quantidade não informada",IF(F424&lt;=0,"Quantidade não positiva",IF(G424="","Unidade não informada",IF(NOT(ISNUMBER(H424)),"Unidade a conferir",IF(AC424=1,"REVISAR VÍNCULO: soma vinculada maior que a referência do item","OK"))))))</f>
        <v/>
      </c>
      <c r="M424" s="94" t="str">
        <f>IF(N424=0,"",IF(B424="","CDF não informado",IF(Q424=0,"REVISAR VÍNCULO: CDF inexistente",IF(C424="","Item não informado",IF(T424=0,"REVISAR VÍNCULO: item inexistente",IF(AND(X424=1,J424&lt;&gt;"Sim"),"REVISAR VÍNCULO: destinador diferente do MTR",IF(X424=1,"Destinador diferente do MTR (analisado)","OK")))))))</f>
        <v/>
      </c>
      <c r="N424" s="96">
        <f>IF(COUNTA(B424:C424,F424:G424,J424:K424)&gt;0,1,0)</f>
        <v>0</v>
      </c>
      <c r="O424" s="96" t="str">
        <f>IF(B424="","",TRIM(LEFT(B424,FIND(" |",B424&amp;" |")-1)))</f>
        <v/>
      </c>
      <c r="P424" s="96" t="str">
        <f>IF(O424="","",IFERROR(MATCH(O424,'CDFs'!$A$6:$A$505,0),""))</f>
        <v/>
      </c>
      <c r="Q424" s="96">
        <f>IF(P424="",0,IF(INDEX('CDFs'!$S$6:$S$505,P424)=1,1,0))</f>
        <v>0</v>
      </c>
      <c r="R424" s="96" t="str">
        <f>IF(C424="","",TRIM(LEFT(C424,FIND(" |",C424&amp;" |")-1)))</f>
        <v/>
      </c>
      <c r="S424" s="96" t="str">
        <f>IF(R424="","",IFERROR(MATCH(R424,'ITENS_MTR'!$A$6:$A$1005,0),""))</f>
        <v/>
      </c>
      <c r="T424" s="96">
        <f>IF(S424="",0,IF(INDEX('ITENS_MTR'!$R$6:$R$1005,S424)=1,1,0))</f>
        <v>0</v>
      </c>
      <c r="U424" s="96" t="str">
        <f>IF(G424="","",IFERROR(IF(ISNUMBER(INDEX(cfg_fac,MATCH(G424,cfg_units,0))),IF(INDEX(cfg_fac,MATCH(G424,cfg_units,0))&gt;0,INDEX(cfg_fac,MATCH(G424,cfg_units,0)),""),""),""))</f>
        <v/>
      </c>
      <c r="V424" s="96">
        <f>IF(AND(ISNUMBER(F424),ISNUMBER(H424)),IF(H424&gt;0,1,0),0)</f>
        <v>0</v>
      </c>
      <c r="W424" s="96" t="str">
        <f>IF(T424=1,INDEX('ITENS_MTR'!$AU$6:$AU$1005,S424)&amp;"","")</f>
        <v/>
      </c>
      <c r="X424" s="96">
        <f>IF(AND(Q424=1,T424=1,I424&lt;&gt;"",W424&lt;&gt;""),IF(I424&lt;&gt;W424,1,0),0)</f>
        <v>0</v>
      </c>
      <c r="Y424" s="96">
        <f>IF(N424=0,0,IF(OR(Q424=0,T424=0,V424=0,AND(X424=1,J424&lt;&gt;"Sim")),1,0))</f>
        <v>0</v>
      </c>
      <c r="Z424" s="96">
        <f>IF(Q424=1,INDEX('CDFs'!$W$6:$W$505,P424),0)</f>
        <v>0</v>
      </c>
      <c r="AA424" s="96">
        <f>IF(AND(N424=1,Y424=0,Z424=1,J424="Sim"),1,0)</f>
        <v>0</v>
      </c>
      <c r="AB424" s="96">
        <f>IF(AND(N424=1,O424&lt;&gt;"",D424&lt;&gt;""),IF(COUNTIFS($O$6:O424,O424,$D$6:D424,D424)=1,1,0),0)</f>
        <v>0</v>
      </c>
      <c r="AC424" s="96">
        <f>IF(T424=1,INDEX('ITENS_MTR'!$AL$6:$AL$1005,S424),0)</f>
        <v>0</v>
      </c>
    </row>
    <row r="425">
      <c r="A425" s="89" t="inlineStr">
        <is>
          <t>VIN-000420</t>
        </is>
      </c>
      <c r="B425" s="91" t="n"/>
      <c r="C425" s="91" t="n"/>
      <c r="D425" s="94" t="str">
        <f>IF(T425=1,INDEX('ITENS_MTR'!$S$6:$S$1005,S425)&amp;"","")</f>
        <v/>
      </c>
      <c r="E425" s="94" t="str">
        <f>IF(T425=1,INDEX('ITENS_MTR'!$C$6:$C$1005,S425)&amp;"","")</f>
        <v/>
      </c>
      <c r="F425" s="98" t="n"/>
      <c r="G425" s="91" t="n"/>
      <c r="H425" s="93" t="str">
        <f>IF(N425=0,"",IF(NOT(ISNUMBER(F425)),"",IF(ISNUMBER(U425),F425*U425,"UNIDADE A CONFERIR")))</f>
        <v/>
      </c>
      <c r="I425" s="94" t="str">
        <f>IF(Q425=1,INDEX('CDFs'!$F$6:$F$505,P425)&amp;"","")</f>
        <v/>
      </c>
      <c r="J425" s="91" t="n"/>
      <c r="K425" s="91" t="n"/>
      <c r="L425" s="94" t="str">
        <f>IF(N425=0,"",IF(NOT(ISNUMBER(F425)),"Quantidade não informada",IF(F425&lt;=0,"Quantidade não positiva",IF(G425="","Unidade não informada",IF(NOT(ISNUMBER(H425)),"Unidade a conferir",IF(AC425=1,"REVISAR VÍNCULO: soma vinculada maior que a referência do item","OK"))))))</f>
        <v/>
      </c>
      <c r="M425" s="94" t="str">
        <f>IF(N425=0,"",IF(B425="","CDF não informado",IF(Q425=0,"REVISAR VÍNCULO: CDF inexistente",IF(C425="","Item não informado",IF(T425=0,"REVISAR VÍNCULO: item inexistente",IF(AND(X425=1,J425&lt;&gt;"Sim"),"REVISAR VÍNCULO: destinador diferente do MTR",IF(X425=1,"Destinador diferente do MTR (analisado)","OK")))))))</f>
        <v/>
      </c>
      <c r="N425" s="96">
        <f>IF(COUNTA(B425:C425,F425:G425,J425:K425)&gt;0,1,0)</f>
        <v>0</v>
      </c>
      <c r="O425" s="96" t="str">
        <f>IF(B425="","",TRIM(LEFT(B425,FIND(" |",B425&amp;" |")-1)))</f>
        <v/>
      </c>
      <c r="P425" s="96" t="str">
        <f>IF(O425="","",IFERROR(MATCH(O425,'CDFs'!$A$6:$A$505,0),""))</f>
        <v/>
      </c>
      <c r="Q425" s="96">
        <f>IF(P425="",0,IF(INDEX('CDFs'!$S$6:$S$505,P425)=1,1,0))</f>
        <v>0</v>
      </c>
      <c r="R425" s="96" t="str">
        <f>IF(C425="","",TRIM(LEFT(C425,FIND(" |",C425&amp;" |")-1)))</f>
        <v/>
      </c>
      <c r="S425" s="96" t="str">
        <f>IF(R425="","",IFERROR(MATCH(R425,'ITENS_MTR'!$A$6:$A$1005,0),""))</f>
        <v/>
      </c>
      <c r="T425" s="96">
        <f>IF(S425="",0,IF(INDEX('ITENS_MTR'!$R$6:$R$1005,S425)=1,1,0))</f>
        <v>0</v>
      </c>
      <c r="U425" s="96" t="str">
        <f>IF(G425="","",IFERROR(IF(ISNUMBER(INDEX(cfg_fac,MATCH(G425,cfg_units,0))),IF(INDEX(cfg_fac,MATCH(G425,cfg_units,0))&gt;0,INDEX(cfg_fac,MATCH(G425,cfg_units,0)),""),""),""))</f>
        <v/>
      </c>
      <c r="V425" s="96">
        <f>IF(AND(ISNUMBER(F425),ISNUMBER(H425)),IF(H425&gt;0,1,0),0)</f>
        <v>0</v>
      </c>
      <c r="W425" s="96" t="str">
        <f>IF(T425=1,INDEX('ITENS_MTR'!$AU$6:$AU$1005,S425)&amp;"","")</f>
        <v/>
      </c>
      <c r="X425" s="96">
        <f>IF(AND(Q425=1,T425=1,I425&lt;&gt;"",W425&lt;&gt;""),IF(I425&lt;&gt;W425,1,0),0)</f>
        <v>0</v>
      </c>
      <c r="Y425" s="96">
        <f>IF(N425=0,0,IF(OR(Q425=0,T425=0,V425=0,AND(X425=1,J425&lt;&gt;"Sim")),1,0))</f>
        <v>0</v>
      </c>
      <c r="Z425" s="96">
        <f>IF(Q425=1,INDEX('CDFs'!$W$6:$W$505,P425),0)</f>
        <v>0</v>
      </c>
      <c r="AA425" s="96">
        <f>IF(AND(N425=1,Y425=0,Z425=1,J425="Sim"),1,0)</f>
        <v>0</v>
      </c>
      <c r="AB425" s="96">
        <f>IF(AND(N425=1,O425&lt;&gt;"",D425&lt;&gt;""),IF(COUNTIFS($O$6:O425,O425,$D$6:D425,D425)=1,1,0),0)</f>
        <v>0</v>
      </c>
      <c r="AC425" s="96">
        <f>IF(T425=1,INDEX('ITENS_MTR'!$AL$6:$AL$1005,S425),0)</f>
        <v>0</v>
      </c>
    </row>
    <row r="426">
      <c r="A426" s="89" t="inlineStr">
        <is>
          <t>VIN-000421</t>
        </is>
      </c>
      <c r="B426" s="91" t="n"/>
      <c r="C426" s="91" t="n"/>
      <c r="D426" s="94" t="str">
        <f>IF(T426=1,INDEX('ITENS_MTR'!$S$6:$S$1005,S426)&amp;"","")</f>
        <v/>
      </c>
      <c r="E426" s="94" t="str">
        <f>IF(T426=1,INDEX('ITENS_MTR'!$C$6:$C$1005,S426)&amp;"","")</f>
        <v/>
      </c>
      <c r="F426" s="98" t="n"/>
      <c r="G426" s="91" t="n"/>
      <c r="H426" s="93" t="str">
        <f>IF(N426=0,"",IF(NOT(ISNUMBER(F426)),"",IF(ISNUMBER(U426),F426*U426,"UNIDADE A CONFERIR")))</f>
        <v/>
      </c>
      <c r="I426" s="94" t="str">
        <f>IF(Q426=1,INDEX('CDFs'!$F$6:$F$505,P426)&amp;"","")</f>
        <v/>
      </c>
      <c r="J426" s="91" t="n"/>
      <c r="K426" s="91" t="n"/>
      <c r="L426" s="94" t="str">
        <f>IF(N426=0,"",IF(NOT(ISNUMBER(F426)),"Quantidade não informada",IF(F426&lt;=0,"Quantidade não positiva",IF(G426="","Unidade não informada",IF(NOT(ISNUMBER(H426)),"Unidade a conferir",IF(AC426=1,"REVISAR VÍNCULO: soma vinculada maior que a referência do item","OK"))))))</f>
        <v/>
      </c>
      <c r="M426" s="94" t="str">
        <f>IF(N426=0,"",IF(B426="","CDF não informado",IF(Q426=0,"REVISAR VÍNCULO: CDF inexistente",IF(C426="","Item não informado",IF(T426=0,"REVISAR VÍNCULO: item inexistente",IF(AND(X426=1,J426&lt;&gt;"Sim"),"REVISAR VÍNCULO: destinador diferente do MTR",IF(X426=1,"Destinador diferente do MTR (analisado)","OK")))))))</f>
        <v/>
      </c>
      <c r="N426" s="96">
        <f>IF(COUNTA(B426:C426,F426:G426,J426:K426)&gt;0,1,0)</f>
        <v>0</v>
      </c>
      <c r="O426" s="96" t="str">
        <f>IF(B426="","",TRIM(LEFT(B426,FIND(" |",B426&amp;" |")-1)))</f>
        <v/>
      </c>
      <c r="P426" s="96" t="str">
        <f>IF(O426="","",IFERROR(MATCH(O426,'CDFs'!$A$6:$A$505,0),""))</f>
        <v/>
      </c>
      <c r="Q426" s="96">
        <f>IF(P426="",0,IF(INDEX('CDFs'!$S$6:$S$505,P426)=1,1,0))</f>
        <v>0</v>
      </c>
      <c r="R426" s="96" t="str">
        <f>IF(C426="","",TRIM(LEFT(C426,FIND(" |",C426&amp;" |")-1)))</f>
        <v/>
      </c>
      <c r="S426" s="96" t="str">
        <f>IF(R426="","",IFERROR(MATCH(R426,'ITENS_MTR'!$A$6:$A$1005,0),""))</f>
        <v/>
      </c>
      <c r="T426" s="96">
        <f>IF(S426="",0,IF(INDEX('ITENS_MTR'!$R$6:$R$1005,S426)=1,1,0))</f>
        <v>0</v>
      </c>
      <c r="U426" s="96" t="str">
        <f>IF(G426="","",IFERROR(IF(ISNUMBER(INDEX(cfg_fac,MATCH(G426,cfg_units,0))),IF(INDEX(cfg_fac,MATCH(G426,cfg_units,0))&gt;0,INDEX(cfg_fac,MATCH(G426,cfg_units,0)),""),""),""))</f>
        <v/>
      </c>
      <c r="V426" s="96">
        <f>IF(AND(ISNUMBER(F426),ISNUMBER(H426)),IF(H426&gt;0,1,0),0)</f>
        <v>0</v>
      </c>
      <c r="W426" s="96" t="str">
        <f>IF(T426=1,INDEX('ITENS_MTR'!$AU$6:$AU$1005,S426)&amp;"","")</f>
        <v/>
      </c>
      <c r="X426" s="96">
        <f>IF(AND(Q426=1,T426=1,I426&lt;&gt;"",W426&lt;&gt;""),IF(I426&lt;&gt;W426,1,0),0)</f>
        <v>0</v>
      </c>
      <c r="Y426" s="96">
        <f>IF(N426=0,0,IF(OR(Q426=0,T426=0,V426=0,AND(X426=1,J426&lt;&gt;"Sim")),1,0))</f>
        <v>0</v>
      </c>
      <c r="Z426" s="96">
        <f>IF(Q426=1,INDEX('CDFs'!$W$6:$W$505,P426),0)</f>
        <v>0</v>
      </c>
      <c r="AA426" s="96">
        <f>IF(AND(N426=1,Y426=0,Z426=1,J426="Sim"),1,0)</f>
        <v>0</v>
      </c>
      <c r="AB426" s="96">
        <f>IF(AND(N426=1,O426&lt;&gt;"",D426&lt;&gt;""),IF(COUNTIFS($O$6:O426,O426,$D$6:D426,D426)=1,1,0),0)</f>
        <v>0</v>
      </c>
      <c r="AC426" s="96">
        <f>IF(T426=1,INDEX('ITENS_MTR'!$AL$6:$AL$1005,S426),0)</f>
        <v>0</v>
      </c>
    </row>
    <row r="427">
      <c r="A427" s="89" t="inlineStr">
        <is>
          <t>VIN-000422</t>
        </is>
      </c>
      <c r="B427" s="91" t="n"/>
      <c r="C427" s="91" t="n"/>
      <c r="D427" s="94" t="str">
        <f>IF(T427=1,INDEX('ITENS_MTR'!$S$6:$S$1005,S427)&amp;"","")</f>
        <v/>
      </c>
      <c r="E427" s="94" t="str">
        <f>IF(T427=1,INDEX('ITENS_MTR'!$C$6:$C$1005,S427)&amp;"","")</f>
        <v/>
      </c>
      <c r="F427" s="98" t="n"/>
      <c r="G427" s="91" t="n"/>
      <c r="H427" s="93" t="str">
        <f>IF(N427=0,"",IF(NOT(ISNUMBER(F427)),"",IF(ISNUMBER(U427),F427*U427,"UNIDADE A CONFERIR")))</f>
        <v/>
      </c>
      <c r="I427" s="94" t="str">
        <f>IF(Q427=1,INDEX('CDFs'!$F$6:$F$505,P427)&amp;"","")</f>
        <v/>
      </c>
      <c r="J427" s="91" t="n"/>
      <c r="K427" s="91" t="n"/>
      <c r="L427" s="94" t="str">
        <f>IF(N427=0,"",IF(NOT(ISNUMBER(F427)),"Quantidade não informada",IF(F427&lt;=0,"Quantidade não positiva",IF(G427="","Unidade não informada",IF(NOT(ISNUMBER(H427)),"Unidade a conferir",IF(AC427=1,"REVISAR VÍNCULO: soma vinculada maior que a referência do item","OK"))))))</f>
        <v/>
      </c>
      <c r="M427" s="94" t="str">
        <f>IF(N427=0,"",IF(B427="","CDF não informado",IF(Q427=0,"REVISAR VÍNCULO: CDF inexistente",IF(C427="","Item não informado",IF(T427=0,"REVISAR VÍNCULO: item inexistente",IF(AND(X427=1,J427&lt;&gt;"Sim"),"REVISAR VÍNCULO: destinador diferente do MTR",IF(X427=1,"Destinador diferente do MTR (analisado)","OK")))))))</f>
        <v/>
      </c>
      <c r="N427" s="96">
        <f>IF(COUNTA(B427:C427,F427:G427,J427:K427)&gt;0,1,0)</f>
        <v>0</v>
      </c>
      <c r="O427" s="96" t="str">
        <f>IF(B427="","",TRIM(LEFT(B427,FIND(" |",B427&amp;" |")-1)))</f>
        <v/>
      </c>
      <c r="P427" s="96" t="str">
        <f>IF(O427="","",IFERROR(MATCH(O427,'CDFs'!$A$6:$A$505,0),""))</f>
        <v/>
      </c>
      <c r="Q427" s="96">
        <f>IF(P427="",0,IF(INDEX('CDFs'!$S$6:$S$505,P427)=1,1,0))</f>
        <v>0</v>
      </c>
      <c r="R427" s="96" t="str">
        <f>IF(C427="","",TRIM(LEFT(C427,FIND(" |",C427&amp;" |")-1)))</f>
        <v/>
      </c>
      <c r="S427" s="96" t="str">
        <f>IF(R427="","",IFERROR(MATCH(R427,'ITENS_MTR'!$A$6:$A$1005,0),""))</f>
        <v/>
      </c>
      <c r="T427" s="96">
        <f>IF(S427="",0,IF(INDEX('ITENS_MTR'!$R$6:$R$1005,S427)=1,1,0))</f>
        <v>0</v>
      </c>
      <c r="U427" s="96" t="str">
        <f>IF(G427="","",IFERROR(IF(ISNUMBER(INDEX(cfg_fac,MATCH(G427,cfg_units,0))),IF(INDEX(cfg_fac,MATCH(G427,cfg_units,0))&gt;0,INDEX(cfg_fac,MATCH(G427,cfg_units,0)),""),""),""))</f>
        <v/>
      </c>
      <c r="V427" s="96">
        <f>IF(AND(ISNUMBER(F427),ISNUMBER(H427)),IF(H427&gt;0,1,0),0)</f>
        <v>0</v>
      </c>
      <c r="W427" s="96" t="str">
        <f>IF(T427=1,INDEX('ITENS_MTR'!$AU$6:$AU$1005,S427)&amp;"","")</f>
        <v/>
      </c>
      <c r="X427" s="96">
        <f>IF(AND(Q427=1,T427=1,I427&lt;&gt;"",W427&lt;&gt;""),IF(I427&lt;&gt;W427,1,0),0)</f>
        <v>0</v>
      </c>
      <c r="Y427" s="96">
        <f>IF(N427=0,0,IF(OR(Q427=0,T427=0,V427=0,AND(X427=1,J427&lt;&gt;"Sim")),1,0))</f>
        <v>0</v>
      </c>
      <c r="Z427" s="96">
        <f>IF(Q427=1,INDEX('CDFs'!$W$6:$W$505,P427),0)</f>
        <v>0</v>
      </c>
      <c r="AA427" s="96">
        <f>IF(AND(N427=1,Y427=0,Z427=1,J427="Sim"),1,0)</f>
        <v>0</v>
      </c>
      <c r="AB427" s="96">
        <f>IF(AND(N427=1,O427&lt;&gt;"",D427&lt;&gt;""),IF(COUNTIFS($O$6:O427,O427,$D$6:D427,D427)=1,1,0),0)</f>
        <v>0</v>
      </c>
      <c r="AC427" s="96">
        <f>IF(T427=1,INDEX('ITENS_MTR'!$AL$6:$AL$1005,S427),0)</f>
        <v>0</v>
      </c>
    </row>
    <row r="428">
      <c r="A428" s="89" t="inlineStr">
        <is>
          <t>VIN-000423</t>
        </is>
      </c>
      <c r="B428" s="91" t="n"/>
      <c r="C428" s="91" t="n"/>
      <c r="D428" s="94" t="str">
        <f>IF(T428=1,INDEX('ITENS_MTR'!$S$6:$S$1005,S428)&amp;"","")</f>
        <v/>
      </c>
      <c r="E428" s="94" t="str">
        <f>IF(T428=1,INDEX('ITENS_MTR'!$C$6:$C$1005,S428)&amp;"","")</f>
        <v/>
      </c>
      <c r="F428" s="98" t="n"/>
      <c r="G428" s="91" t="n"/>
      <c r="H428" s="93" t="str">
        <f>IF(N428=0,"",IF(NOT(ISNUMBER(F428)),"",IF(ISNUMBER(U428),F428*U428,"UNIDADE A CONFERIR")))</f>
        <v/>
      </c>
      <c r="I428" s="94" t="str">
        <f>IF(Q428=1,INDEX('CDFs'!$F$6:$F$505,P428)&amp;"","")</f>
        <v/>
      </c>
      <c r="J428" s="91" t="n"/>
      <c r="K428" s="91" t="n"/>
      <c r="L428" s="94" t="str">
        <f>IF(N428=0,"",IF(NOT(ISNUMBER(F428)),"Quantidade não informada",IF(F428&lt;=0,"Quantidade não positiva",IF(G428="","Unidade não informada",IF(NOT(ISNUMBER(H428)),"Unidade a conferir",IF(AC428=1,"REVISAR VÍNCULO: soma vinculada maior que a referência do item","OK"))))))</f>
        <v/>
      </c>
      <c r="M428" s="94" t="str">
        <f>IF(N428=0,"",IF(B428="","CDF não informado",IF(Q428=0,"REVISAR VÍNCULO: CDF inexistente",IF(C428="","Item não informado",IF(T428=0,"REVISAR VÍNCULO: item inexistente",IF(AND(X428=1,J428&lt;&gt;"Sim"),"REVISAR VÍNCULO: destinador diferente do MTR",IF(X428=1,"Destinador diferente do MTR (analisado)","OK")))))))</f>
        <v/>
      </c>
      <c r="N428" s="96">
        <f>IF(COUNTA(B428:C428,F428:G428,J428:K428)&gt;0,1,0)</f>
        <v>0</v>
      </c>
      <c r="O428" s="96" t="str">
        <f>IF(B428="","",TRIM(LEFT(B428,FIND(" |",B428&amp;" |")-1)))</f>
        <v/>
      </c>
      <c r="P428" s="96" t="str">
        <f>IF(O428="","",IFERROR(MATCH(O428,'CDFs'!$A$6:$A$505,0),""))</f>
        <v/>
      </c>
      <c r="Q428" s="96">
        <f>IF(P428="",0,IF(INDEX('CDFs'!$S$6:$S$505,P428)=1,1,0))</f>
        <v>0</v>
      </c>
      <c r="R428" s="96" t="str">
        <f>IF(C428="","",TRIM(LEFT(C428,FIND(" |",C428&amp;" |")-1)))</f>
        <v/>
      </c>
      <c r="S428" s="96" t="str">
        <f>IF(R428="","",IFERROR(MATCH(R428,'ITENS_MTR'!$A$6:$A$1005,0),""))</f>
        <v/>
      </c>
      <c r="T428" s="96">
        <f>IF(S428="",0,IF(INDEX('ITENS_MTR'!$R$6:$R$1005,S428)=1,1,0))</f>
        <v>0</v>
      </c>
      <c r="U428" s="96" t="str">
        <f>IF(G428="","",IFERROR(IF(ISNUMBER(INDEX(cfg_fac,MATCH(G428,cfg_units,0))),IF(INDEX(cfg_fac,MATCH(G428,cfg_units,0))&gt;0,INDEX(cfg_fac,MATCH(G428,cfg_units,0)),""),""),""))</f>
        <v/>
      </c>
      <c r="V428" s="96">
        <f>IF(AND(ISNUMBER(F428),ISNUMBER(H428)),IF(H428&gt;0,1,0),0)</f>
        <v>0</v>
      </c>
      <c r="W428" s="96" t="str">
        <f>IF(T428=1,INDEX('ITENS_MTR'!$AU$6:$AU$1005,S428)&amp;"","")</f>
        <v/>
      </c>
      <c r="X428" s="96">
        <f>IF(AND(Q428=1,T428=1,I428&lt;&gt;"",W428&lt;&gt;""),IF(I428&lt;&gt;W428,1,0),0)</f>
        <v>0</v>
      </c>
      <c r="Y428" s="96">
        <f>IF(N428=0,0,IF(OR(Q428=0,T428=0,V428=0,AND(X428=1,J428&lt;&gt;"Sim")),1,0))</f>
        <v>0</v>
      </c>
      <c r="Z428" s="96">
        <f>IF(Q428=1,INDEX('CDFs'!$W$6:$W$505,P428),0)</f>
        <v>0</v>
      </c>
      <c r="AA428" s="96">
        <f>IF(AND(N428=1,Y428=0,Z428=1,J428="Sim"),1,0)</f>
        <v>0</v>
      </c>
      <c r="AB428" s="96">
        <f>IF(AND(N428=1,O428&lt;&gt;"",D428&lt;&gt;""),IF(COUNTIFS($O$6:O428,O428,$D$6:D428,D428)=1,1,0),0)</f>
        <v>0</v>
      </c>
      <c r="AC428" s="96">
        <f>IF(T428=1,INDEX('ITENS_MTR'!$AL$6:$AL$1005,S428),0)</f>
        <v>0</v>
      </c>
    </row>
    <row r="429">
      <c r="A429" s="89" t="inlineStr">
        <is>
          <t>VIN-000424</t>
        </is>
      </c>
      <c r="B429" s="91" t="n"/>
      <c r="C429" s="91" t="n"/>
      <c r="D429" s="94" t="str">
        <f>IF(T429=1,INDEX('ITENS_MTR'!$S$6:$S$1005,S429)&amp;"","")</f>
        <v/>
      </c>
      <c r="E429" s="94" t="str">
        <f>IF(T429=1,INDEX('ITENS_MTR'!$C$6:$C$1005,S429)&amp;"","")</f>
        <v/>
      </c>
      <c r="F429" s="98" t="n"/>
      <c r="G429" s="91" t="n"/>
      <c r="H429" s="93" t="str">
        <f>IF(N429=0,"",IF(NOT(ISNUMBER(F429)),"",IF(ISNUMBER(U429),F429*U429,"UNIDADE A CONFERIR")))</f>
        <v/>
      </c>
      <c r="I429" s="94" t="str">
        <f>IF(Q429=1,INDEX('CDFs'!$F$6:$F$505,P429)&amp;"","")</f>
        <v/>
      </c>
      <c r="J429" s="91" t="n"/>
      <c r="K429" s="91" t="n"/>
      <c r="L429" s="94" t="str">
        <f>IF(N429=0,"",IF(NOT(ISNUMBER(F429)),"Quantidade não informada",IF(F429&lt;=0,"Quantidade não positiva",IF(G429="","Unidade não informada",IF(NOT(ISNUMBER(H429)),"Unidade a conferir",IF(AC429=1,"REVISAR VÍNCULO: soma vinculada maior que a referência do item","OK"))))))</f>
        <v/>
      </c>
      <c r="M429" s="94" t="str">
        <f>IF(N429=0,"",IF(B429="","CDF não informado",IF(Q429=0,"REVISAR VÍNCULO: CDF inexistente",IF(C429="","Item não informado",IF(T429=0,"REVISAR VÍNCULO: item inexistente",IF(AND(X429=1,J429&lt;&gt;"Sim"),"REVISAR VÍNCULO: destinador diferente do MTR",IF(X429=1,"Destinador diferente do MTR (analisado)","OK")))))))</f>
        <v/>
      </c>
      <c r="N429" s="96">
        <f>IF(COUNTA(B429:C429,F429:G429,J429:K429)&gt;0,1,0)</f>
        <v>0</v>
      </c>
      <c r="O429" s="96" t="str">
        <f>IF(B429="","",TRIM(LEFT(B429,FIND(" |",B429&amp;" |")-1)))</f>
        <v/>
      </c>
      <c r="P429" s="96" t="str">
        <f>IF(O429="","",IFERROR(MATCH(O429,'CDFs'!$A$6:$A$505,0),""))</f>
        <v/>
      </c>
      <c r="Q429" s="96">
        <f>IF(P429="",0,IF(INDEX('CDFs'!$S$6:$S$505,P429)=1,1,0))</f>
        <v>0</v>
      </c>
      <c r="R429" s="96" t="str">
        <f>IF(C429="","",TRIM(LEFT(C429,FIND(" |",C429&amp;" |")-1)))</f>
        <v/>
      </c>
      <c r="S429" s="96" t="str">
        <f>IF(R429="","",IFERROR(MATCH(R429,'ITENS_MTR'!$A$6:$A$1005,0),""))</f>
        <v/>
      </c>
      <c r="T429" s="96">
        <f>IF(S429="",0,IF(INDEX('ITENS_MTR'!$R$6:$R$1005,S429)=1,1,0))</f>
        <v>0</v>
      </c>
      <c r="U429" s="96" t="str">
        <f>IF(G429="","",IFERROR(IF(ISNUMBER(INDEX(cfg_fac,MATCH(G429,cfg_units,0))),IF(INDEX(cfg_fac,MATCH(G429,cfg_units,0))&gt;0,INDEX(cfg_fac,MATCH(G429,cfg_units,0)),""),""),""))</f>
        <v/>
      </c>
      <c r="V429" s="96">
        <f>IF(AND(ISNUMBER(F429),ISNUMBER(H429)),IF(H429&gt;0,1,0),0)</f>
        <v>0</v>
      </c>
      <c r="W429" s="96" t="str">
        <f>IF(T429=1,INDEX('ITENS_MTR'!$AU$6:$AU$1005,S429)&amp;"","")</f>
        <v/>
      </c>
      <c r="X429" s="96">
        <f>IF(AND(Q429=1,T429=1,I429&lt;&gt;"",W429&lt;&gt;""),IF(I429&lt;&gt;W429,1,0),0)</f>
        <v>0</v>
      </c>
      <c r="Y429" s="96">
        <f>IF(N429=0,0,IF(OR(Q429=0,T429=0,V429=0,AND(X429=1,J429&lt;&gt;"Sim")),1,0))</f>
        <v>0</v>
      </c>
      <c r="Z429" s="96">
        <f>IF(Q429=1,INDEX('CDFs'!$W$6:$W$505,P429),0)</f>
        <v>0</v>
      </c>
      <c r="AA429" s="96">
        <f>IF(AND(N429=1,Y429=0,Z429=1,J429="Sim"),1,0)</f>
        <v>0</v>
      </c>
      <c r="AB429" s="96">
        <f>IF(AND(N429=1,O429&lt;&gt;"",D429&lt;&gt;""),IF(COUNTIFS($O$6:O429,O429,$D$6:D429,D429)=1,1,0),0)</f>
        <v>0</v>
      </c>
      <c r="AC429" s="96">
        <f>IF(T429=1,INDEX('ITENS_MTR'!$AL$6:$AL$1005,S429),0)</f>
        <v>0</v>
      </c>
    </row>
    <row r="430">
      <c r="A430" s="89" t="inlineStr">
        <is>
          <t>VIN-000425</t>
        </is>
      </c>
      <c r="B430" s="91" t="n"/>
      <c r="C430" s="91" t="n"/>
      <c r="D430" s="94" t="str">
        <f>IF(T430=1,INDEX('ITENS_MTR'!$S$6:$S$1005,S430)&amp;"","")</f>
        <v/>
      </c>
      <c r="E430" s="94" t="str">
        <f>IF(T430=1,INDEX('ITENS_MTR'!$C$6:$C$1005,S430)&amp;"","")</f>
        <v/>
      </c>
      <c r="F430" s="98" t="n"/>
      <c r="G430" s="91" t="n"/>
      <c r="H430" s="93" t="str">
        <f>IF(N430=0,"",IF(NOT(ISNUMBER(F430)),"",IF(ISNUMBER(U430),F430*U430,"UNIDADE A CONFERIR")))</f>
        <v/>
      </c>
      <c r="I430" s="94" t="str">
        <f>IF(Q430=1,INDEX('CDFs'!$F$6:$F$505,P430)&amp;"","")</f>
        <v/>
      </c>
      <c r="J430" s="91" t="n"/>
      <c r="K430" s="91" t="n"/>
      <c r="L430" s="94" t="str">
        <f>IF(N430=0,"",IF(NOT(ISNUMBER(F430)),"Quantidade não informada",IF(F430&lt;=0,"Quantidade não positiva",IF(G430="","Unidade não informada",IF(NOT(ISNUMBER(H430)),"Unidade a conferir",IF(AC430=1,"REVISAR VÍNCULO: soma vinculada maior que a referência do item","OK"))))))</f>
        <v/>
      </c>
      <c r="M430" s="94" t="str">
        <f>IF(N430=0,"",IF(B430="","CDF não informado",IF(Q430=0,"REVISAR VÍNCULO: CDF inexistente",IF(C430="","Item não informado",IF(T430=0,"REVISAR VÍNCULO: item inexistente",IF(AND(X430=1,J430&lt;&gt;"Sim"),"REVISAR VÍNCULO: destinador diferente do MTR",IF(X430=1,"Destinador diferente do MTR (analisado)","OK")))))))</f>
        <v/>
      </c>
      <c r="N430" s="96">
        <f>IF(COUNTA(B430:C430,F430:G430,J430:K430)&gt;0,1,0)</f>
        <v>0</v>
      </c>
      <c r="O430" s="96" t="str">
        <f>IF(B430="","",TRIM(LEFT(B430,FIND(" |",B430&amp;" |")-1)))</f>
        <v/>
      </c>
      <c r="P430" s="96" t="str">
        <f>IF(O430="","",IFERROR(MATCH(O430,'CDFs'!$A$6:$A$505,0),""))</f>
        <v/>
      </c>
      <c r="Q430" s="96">
        <f>IF(P430="",0,IF(INDEX('CDFs'!$S$6:$S$505,P430)=1,1,0))</f>
        <v>0</v>
      </c>
      <c r="R430" s="96" t="str">
        <f>IF(C430="","",TRIM(LEFT(C430,FIND(" |",C430&amp;" |")-1)))</f>
        <v/>
      </c>
      <c r="S430" s="96" t="str">
        <f>IF(R430="","",IFERROR(MATCH(R430,'ITENS_MTR'!$A$6:$A$1005,0),""))</f>
        <v/>
      </c>
      <c r="T430" s="96">
        <f>IF(S430="",0,IF(INDEX('ITENS_MTR'!$R$6:$R$1005,S430)=1,1,0))</f>
        <v>0</v>
      </c>
      <c r="U430" s="96" t="str">
        <f>IF(G430="","",IFERROR(IF(ISNUMBER(INDEX(cfg_fac,MATCH(G430,cfg_units,0))),IF(INDEX(cfg_fac,MATCH(G430,cfg_units,0))&gt;0,INDEX(cfg_fac,MATCH(G430,cfg_units,0)),""),""),""))</f>
        <v/>
      </c>
      <c r="V430" s="96">
        <f>IF(AND(ISNUMBER(F430),ISNUMBER(H430)),IF(H430&gt;0,1,0),0)</f>
        <v>0</v>
      </c>
      <c r="W430" s="96" t="str">
        <f>IF(T430=1,INDEX('ITENS_MTR'!$AU$6:$AU$1005,S430)&amp;"","")</f>
        <v/>
      </c>
      <c r="X430" s="96">
        <f>IF(AND(Q430=1,T430=1,I430&lt;&gt;"",W430&lt;&gt;""),IF(I430&lt;&gt;W430,1,0),0)</f>
        <v>0</v>
      </c>
      <c r="Y430" s="96">
        <f>IF(N430=0,0,IF(OR(Q430=0,T430=0,V430=0,AND(X430=1,J430&lt;&gt;"Sim")),1,0))</f>
        <v>0</v>
      </c>
      <c r="Z430" s="96">
        <f>IF(Q430=1,INDEX('CDFs'!$W$6:$W$505,P430),0)</f>
        <v>0</v>
      </c>
      <c r="AA430" s="96">
        <f>IF(AND(N430=1,Y430=0,Z430=1,J430="Sim"),1,0)</f>
        <v>0</v>
      </c>
      <c r="AB430" s="96">
        <f>IF(AND(N430=1,O430&lt;&gt;"",D430&lt;&gt;""),IF(COUNTIFS($O$6:O430,O430,$D$6:D430,D430)=1,1,0),0)</f>
        <v>0</v>
      </c>
      <c r="AC430" s="96">
        <f>IF(T430=1,INDEX('ITENS_MTR'!$AL$6:$AL$1005,S430),0)</f>
        <v>0</v>
      </c>
    </row>
    <row r="431">
      <c r="A431" s="89" t="inlineStr">
        <is>
          <t>VIN-000426</t>
        </is>
      </c>
      <c r="B431" s="91" t="n"/>
      <c r="C431" s="91" t="n"/>
      <c r="D431" s="94" t="str">
        <f>IF(T431=1,INDEX('ITENS_MTR'!$S$6:$S$1005,S431)&amp;"","")</f>
        <v/>
      </c>
      <c r="E431" s="94" t="str">
        <f>IF(T431=1,INDEX('ITENS_MTR'!$C$6:$C$1005,S431)&amp;"","")</f>
        <v/>
      </c>
      <c r="F431" s="98" t="n"/>
      <c r="G431" s="91" t="n"/>
      <c r="H431" s="93" t="str">
        <f>IF(N431=0,"",IF(NOT(ISNUMBER(F431)),"",IF(ISNUMBER(U431),F431*U431,"UNIDADE A CONFERIR")))</f>
        <v/>
      </c>
      <c r="I431" s="94" t="str">
        <f>IF(Q431=1,INDEX('CDFs'!$F$6:$F$505,P431)&amp;"","")</f>
        <v/>
      </c>
      <c r="J431" s="91" t="n"/>
      <c r="K431" s="91" t="n"/>
      <c r="L431" s="94" t="str">
        <f>IF(N431=0,"",IF(NOT(ISNUMBER(F431)),"Quantidade não informada",IF(F431&lt;=0,"Quantidade não positiva",IF(G431="","Unidade não informada",IF(NOT(ISNUMBER(H431)),"Unidade a conferir",IF(AC431=1,"REVISAR VÍNCULO: soma vinculada maior que a referência do item","OK"))))))</f>
        <v/>
      </c>
      <c r="M431" s="94" t="str">
        <f>IF(N431=0,"",IF(B431="","CDF não informado",IF(Q431=0,"REVISAR VÍNCULO: CDF inexistente",IF(C431="","Item não informado",IF(T431=0,"REVISAR VÍNCULO: item inexistente",IF(AND(X431=1,J431&lt;&gt;"Sim"),"REVISAR VÍNCULO: destinador diferente do MTR",IF(X431=1,"Destinador diferente do MTR (analisado)","OK")))))))</f>
        <v/>
      </c>
      <c r="N431" s="96">
        <f>IF(COUNTA(B431:C431,F431:G431,J431:K431)&gt;0,1,0)</f>
        <v>0</v>
      </c>
      <c r="O431" s="96" t="str">
        <f>IF(B431="","",TRIM(LEFT(B431,FIND(" |",B431&amp;" |")-1)))</f>
        <v/>
      </c>
      <c r="P431" s="96" t="str">
        <f>IF(O431="","",IFERROR(MATCH(O431,'CDFs'!$A$6:$A$505,0),""))</f>
        <v/>
      </c>
      <c r="Q431" s="96">
        <f>IF(P431="",0,IF(INDEX('CDFs'!$S$6:$S$505,P431)=1,1,0))</f>
        <v>0</v>
      </c>
      <c r="R431" s="96" t="str">
        <f>IF(C431="","",TRIM(LEFT(C431,FIND(" |",C431&amp;" |")-1)))</f>
        <v/>
      </c>
      <c r="S431" s="96" t="str">
        <f>IF(R431="","",IFERROR(MATCH(R431,'ITENS_MTR'!$A$6:$A$1005,0),""))</f>
        <v/>
      </c>
      <c r="T431" s="96">
        <f>IF(S431="",0,IF(INDEX('ITENS_MTR'!$R$6:$R$1005,S431)=1,1,0))</f>
        <v>0</v>
      </c>
      <c r="U431" s="96" t="str">
        <f>IF(G431="","",IFERROR(IF(ISNUMBER(INDEX(cfg_fac,MATCH(G431,cfg_units,0))),IF(INDEX(cfg_fac,MATCH(G431,cfg_units,0))&gt;0,INDEX(cfg_fac,MATCH(G431,cfg_units,0)),""),""),""))</f>
        <v/>
      </c>
      <c r="V431" s="96">
        <f>IF(AND(ISNUMBER(F431),ISNUMBER(H431)),IF(H431&gt;0,1,0),0)</f>
        <v>0</v>
      </c>
      <c r="W431" s="96" t="str">
        <f>IF(T431=1,INDEX('ITENS_MTR'!$AU$6:$AU$1005,S431)&amp;"","")</f>
        <v/>
      </c>
      <c r="X431" s="96">
        <f>IF(AND(Q431=1,T431=1,I431&lt;&gt;"",W431&lt;&gt;""),IF(I431&lt;&gt;W431,1,0),0)</f>
        <v>0</v>
      </c>
      <c r="Y431" s="96">
        <f>IF(N431=0,0,IF(OR(Q431=0,T431=0,V431=0,AND(X431=1,J431&lt;&gt;"Sim")),1,0))</f>
        <v>0</v>
      </c>
      <c r="Z431" s="96">
        <f>IF(Q431=1,INDEX('CDFs'!$W$6:$W$505,P431),0)</f>
        <v>0</v>
      </c>
      <c r="AA431" s="96">
        <f>IF(AND(N431=1,Y431=0,Z431=1,J431="Sim"),1,0)</f>
        <v>0</v>
      </c>
      <c r="AB431" s="96">
        <f>IF(AND(N431=1,O431&lt;&gt;"",D431&lt;&gt;""),IF(COUNTIFS($O$6:O431,O431,$D$6:D431,D431)=1,1,0),0)</f>
        <v>0</v>
      </c>
      <c r="AC431" s="96">
        <f>IF(T431=1,INDEX('ITENS_MTR'!$AL$6:$AL$1005,S431),0)</f>
        <v>0</v>
      </c>
    </row>
    <row r="432">
      <c r="A432" s="89" t="inlineStr">
        <is>
          <t>VIN-000427</t>
        </is>
      </c>
      <c r="B432" s="91" t="n"/>
      <c r="C432" s="91" t="n"/>
      <c r="D432" s="94" t="str">
        <f>IF(T432=1,INDEX('ITENS_MTR'!$S$6:$S$1005,S432)&amp;"","")</f>
        <v/>
      </c>
      <c r="E432" s="94" t="str">
        <f>IF(T432=1,INDEX('ITENS_MTR'!$C$6:$C$1005,S432)&amp;"","")</f>
        <v/>
      </c>
      <c r="F432" s="98" t="n"/>
      <c r="G432" s="91" t="n"/>
      <c r="H432" s="93" t="str">
        <f>IF(N432=0,"",IF(NOT(ISNUMBER(F432)),"",IF(ISNUMBER(U432),F432*U432,"UNIDADE A CONFERIR")))</f>
        <v/>
      </c>
      <c r="I432" s="94" t="str">
        <f>IF(Q432=1,INDEX('CDFs'!$F$6:$F$505,P432)&amp;"","")</f>
        <v/>
      </c>
      <c r="J432" s="91" t="n"/>
      <c r="K432" s="91" t="n"/>
      <c r="L432" s="94" t="str">
        <f>IF(N432=0,"",IF(NOT(ISNUMBER(F432)),"Quantidade não informada",IF(F432&lt;=0,"Quantidade não positiva",IF(G432="","Unidade não informada",IF(NOT(ISNUMBER(H432)),"Unidade a conferir",IF(AC432=1,"REVISAR VÍNCULO: soma vinculada maior que a referência do item","OK"))))))</f>
        <v/>
      </c>
      <c r="M432" s="94" t="str">
        <f>IF(N432=0,"",IF(B432="","CDF não informado",IF(Q432=0,"REVISAR VÍNCULO: CDF inexistente",IF(C432="","Item não informado",IF(T432=0,"REVISAR VÍNCULO: item inexistente",IF(AND(X432=1,J432&lt;&gt;"Sim"),"REVISAR VÍNCULO: destinador diferente do MTR",IF(X432=1,"Destinador diferente do MTR (analisado)","OK")))))))</f>
        <v/>
      </c>
      <c r="N432" s="96">
        <f>IF(COUNTA(B432:C432,F432:G432,J432:K432)&gt;0,1,0)</f>
        <v>0</v>
      </c>
      <c r="O432" s="96" t="str">
        <f>IF(B432="","",TRIM(LEFT(B432,FIND(" |",B432&amp;" |")-1)))</f>
        <v/>
      </c>
      <c r="P432" s="96" t="str">
        <f>IF(O432="","",IFERROR(MATCH(O432,'CDFs'!$A$6:$A$505,0),""))</f>
        <v/>
      </c>
      <c r="Q432" s="96">
        <f>IF(P432="",0,IF(INDEX('CDFs'!$S$6:$S$505,P432)=1,1,0))</f>
        <v>0</v>
      </c>
      <c r="R432" s="96" t="str">
        <f>IF(C432="","",TRIM(LEFT(C432,FIND(" |",C432&amp;" |")-1)))</f>
        <v/>
      </c>
      <c r="S432" s="96" t="str">
        <f>IF(R432="","",IFERROR(MATCH(R432,'ITENS_MTR'!$A$6:$A$1005,0),""))</f>
        <v/>
      </c>
      <c r="T432" s="96">
        <f>IF(S432="",0,IF(INDEX('ITENS_MTR'!$R$6:$R$1005,S432)=1,1,0))</f>
        <v>0</v>
      </c>
      <c r="U432" s="96" t="str">
        <f>IF(G432="","",IFERROR(IF(ISNUMBER(INDEX(cfg_fac,MATCH(G432,cfg_units,0))),IF(INDEX(cfg_fac,MATCH(G432,cfg_units,0))&gt;0,INDEX(cfg_fac,MATCH(G432,cfg_units,0)),""),""),""))</f>
        <v/>
      </c>
      <c r="V432" s="96">
        <f>IF(AND(ISNUMBER(F432),ISNUMBER(H432)),IF(H432&gt;0,1,0),0)</f>
        <v>0</v>
      </c>
      <c r="W432" s="96" t="str">
        <f>IF(T432=1,INDEX('ITENS_MTR'!$AU$6:$AU$1005,S432)&amp;"","")</f>
        <v/>
      </c>
      <c r="X432" s="96">
        <f>IF(AND(Q432=1,T432=1,I432&lt;&gt;"",W432&lt;&gt;""),IF(I432&lt;&gt;W432,1,0),0)</f>
        <v>0</v>
      </c>
      <c r="Y432" s="96">
        <f>IF(N432=0,0,IF(OR(Q432=0,T432=0,V432=0,AND(X432=1,J432&lt;&gt;"Sim")),1,0))</f>
        <v>0</v>
      </c>
      <c r="Z432" s="96">
        <f>IF(Q432=1,INDEX('CDFs'!$W$6:$W$505,P432),0)</f>
        <v>0</v>
      </c>
      <c r="AA432" s="96">
        <f>IF(AND(N432=1,Y432=0,Z432=1,J432="Sim"),1,0)</f>
        <v>0</v>
      </c>
      <c r="AB432" s="96">
        <f>IF(AND(N432=1,O432&lt;&gt;"",D432&lt;&gt;""),IF(COUNTIFS($O$6:O432,O432,$D$6:D432,D432)=1,1,0),0)</f>
        <v>0</v>
      </c>
      <c r="AC432" s="96">
        <f>IF(T432=1,INDEX('ITENS_MTR'!$AL$6:$AL$1005,S432),0)</f>
        <v>0</v>
      </c>
    </row>
    <row r="433">
      <c r="A433" s="89" t="inlineStr">
        <is>
          <t>VIN-000428</t>
        </is>
      </c>
      <c r="B433" s="91" t="n"/>
      <c r="C433" s="91" t="n"/>
      <c r="D433" s="94" t="str">
        <f>IF(T433=1,INDEX('ITENS_MTR'!$S$6:$S$1005,S433)&amp;"","")</f>
        <v/>
      </c>
      <c r="E433" s="94" t="str">
        <f>IF(T433=1,INDEX('ITENS_MTR'!$C$6:$C$1005,S433)&amp;"","")</f>
        <v/>
      </c>
      <c r="F433" s="98" t="n"/>
      <c r="G433" s="91" t="n"/>
      <c r="H433" s="93" t="str">
        <f>IF(N433=0,"",IF(NOT(ISNUMBER(F433)),"",IF(ISNUMBER(U433),F433*U433,"UNIDADE A CONFERIR")))</f>
        <v/>
      </c>
      <c r="I433" s="94" t="str">
        <f>IF(Q433=1,INDEX('CDFs'!$F$6:$F$505,P433)&amp;"","")</f>
        <v/>
      </c>
      <c r="J433" s="91" t="n"/>
      <c r="K433" s="91" t="n"/>
      <c r="L433" s="94" t="str">
        <f>IF(N433=0,"",IF(NOT(ISNUMBER(F433)),"Quantidade não informada",IF(F433&lt;=0,"Quantidade não positiva",IF(G433="","Unidade não informada",IF(NOT(ISNUMBER(H433)),"Unidade a conferir",IF(AC433=1,"REVISAR VÍNCULO: soma vinculada maior que a referência do item","OK"))))))</f>
        <v/>
      </c>
      <c r="M433" s="94" t="str">
        <f>IF(N433=0,"",IF(B433="","CDF não informado",IF(Q433=0,"REVISAR VÍNCULO: CDF inexistente",IF(C433="","Item não informado",IF(T433=0,"REVISAR VÍNCULO: item inexistente",IF(AND(X433=1,J433&lt;&gt;"Sim"),"REVISAR VÍNCULO: destinador diferente do MTR",IF(X433=1,"Destinador diferente do MTR (analisado)","OK")))))))</f>
        <v/>
      </c>
      <c r="N433" s="96">
        <f>IF(COUNTA(B433:C433,F433:G433,J433:K433)&gt;0,1,0)</f>
        <v>0</v>
      </c>
      <c r="O433" s="96" t="str">
        <f>IF(B433="","",TRIM(LEFT(B433,FIND(" |",B433&amp;" |")-1)))</f>
        <v/>
      </c>
      <c r="P433" s="96" t="str">
        <f>IF(O433="","",IFERROR(MATCH(O433,'CDFs'!$A$6:$A$505,0),""))</f>
        <v/>
      </c>
      <c r="Q433" s="96">
        <f>IF(P433="",0,IF(INDEX('CDFs'!$S$6:$S$505,P433)=1,1,0))</f>
        <v>0</v>
      </c>
      <c r="R433" s="96" t="str">
        <f>IF(C433="","",TRIM(LEFT(C433,FIND(" |",C433&amp;" |")-1)))</f>
        <v/>
      </c>
      <c r="S433" s="96" t="str">
        <f>IF(R433="","",IFERROR(MATCH(R433,'ITENS_MTR'!$A$6:$A$1005,0),""))</f>
        <v/>
      </c>
      <c r="T433" s="96">
        <f>IF(S433="",0,IF(INDEX('ITENS_MTR'!$R$6:$R$1005,S433)=1,1,0))</f>
        <v>0</v>
      </c>
      <c r="U433" s="96" t="str">
        <f>IF(G433="","",IFERROR(IF(ISNUMBER(INDEX(cfg_fac,MATCH(G433,cfg_units,0))),IF(INDEX(cfg_fac,MATCH(G433,cfg_units,0))&gt;0,INDEX(cfg_fac,MATCH(G433,cfg_units,0)),""),""),""))</f>
        <v/>
      </c>
      <c r="V433" s="96">
        <f>IF(AND(ISNUMBER(F433),ISNUMBER(H433)),IF(H433&gt;0,1,0),0)</f>
        <v>0</v>
      </c>
      <c r="W433" s="96" t="str">
        <f>IF(T433=1,INDEX('ITENS_MTR'!$AU$6:$AU$1005,S433)&amp;"","")</f>
        <v/>
      </c>
      <c r="X433" s="96">
        <f>IF(AND(Q433=1,T433=1,I433&lt;&gt;"",W433&lt;&gt;""),IF(I433&lt;&gt;W433,1,0),0)</f>
        <v>0</v>
      </c>
      <c r="Y433" s="96">
        <f>IF(N433=0,0,IF(OR(Q433=0,T433=0,V433=0,AND(X433=1,J433&lt;&gt;"Sim")),1,0))</f>
        <v>0</v>
      </c>
      <c r="Z433" s="96">
        <f>IF(Q433=1,INDEX('CDFs'!$W$6:$W$505,P433),0)</f>
        <v>0</v>
      </c>
      <c r="AA433" s="96">
        <f>IF(AND(N433=1,Y433=0,Z433=1,J433="Sim"),1,0)</f>
        <v>0</v>
      </c>
      <c r="AB433" s="96">
        <f>IF(AND(N433=1,O433&lt;&gt;"",D433&lt;&gt;""),IF(COUNTIFS($O$6:O433,O433,$D$6:D433,D433)=1,1,0),0)</f>
        <v>0</v>
      </c>
      <c r="AC433" s="96">
        <f>IF(T433=1,INDEX('ITENS_MTR'!$AL$6:$AL$1005,S433),0)</f>
        <v>0</v>
      </c>
    </row>
    <row r="434">
      <c r="A434" s="89" t="inlineStr">
        <is>
          <t>VIN-000429</t>
        </is>
      </c>
      <c r="B434" s="91" t="n"/>
      <c r="C434" s="91" t="n"/>
      <c r="D434" s="94" t="str">
        <f>IF(T434=1,INDEX('ITENS_MTR'!$S$6:$S$1005,S434)&amp;"","")</f>
        <v/>
      </c>
      <c r="E434" s="94" t="str">
        <f>IF(T434=1,INDEX('ITENS_MTR'!$C$6:$C$1005,S434)&amp;"","")</f>
        <v/>
      </c>
      <c r="F434" s="98" t="n"/>
      <c r="G434" s="91" t="n"/>
      <c r="H434" s="93" t="str">
        <f>IF(N434=0,"",IF(NOT(ISNUMBER(F434)),"",IF(ISNUMBER(U434),F434*U434,"UNIDADE A CONFERIR")))</f>
        <v/>
      </c>
      <c r="I434" s="94" t="str">
        <f>IF(Q434=1,INDEX('CDFs'!$F$6:$F$505,P434)&amp;"","")</f>
        <v/>
      </c>
      <c r="J434" s="91" t="n"/>
      <c r="K434" s="91" t="n"/>
      <c r="L434" s="94" t="str">
        <f>IF(N434=0,"",IF(NOT(ISNUMBER(F434)),"Quantidade não informada",IF(F434&lt;=0,"Quantidade não positiva",IF(G434="","Unidade não informada",IF(NOT(ISNUMBER(H434)),"Unidade a conferir",IF(AC434=1,"REVISAR VÍNCULO: soma vinculada maior que a referência do item","OK"))))))</f>
        <v/>
      </c>
      <c r="M434" s="94" t="str">
        <f>IF(N434=0,"",IF(B434="","CDF não informado",IF(Q434=0,"REVISAR VÍNCULO: CDF inexistente",IF(C434="","Item não informado",IF(T434=0,"REVISAR VÍNCULO: item inexistente",IF(AND(X434=1,J434&lt;&gt;"Sim"),"REVISAR VÍNCULO: destinador diferente do MTR",IF(X434=1,"Destinador diferente do MTR (analisado)","OK")))))))</f>
        <v/>
      </c>
      <c r="N434" s="96">
        <f>IF(COUNTA(B434:C434,F434:G434,J434:K434)&gt;0,1,0)</f>
        <v>0</v>
      </c>
      <c r="O434" s="96" t="str">
        <f>IF(B434="","",TRIM(LEFT(B434,FIND(" |",B434&amp;" |")-1)))</f>
        <v/>
      </c>
      <c r="P434" s="96" t="str">
        <f>IF(O434="","",IFERROR(MATCH(O434,'CDFs'!$A$6:$A$505,0),""))</f>
        <v/>
      </c>
      <c r="Q434" s="96">
        <f>IF(P434="",0,IF(INDEX('CDFs'!$S$6:$S$505,P434)=1,1,0))</f>
        <v>0</v>
      </c>
      <c r="R434" s="96" t="str">
        <f>IF(C434="","",TRIM(LEFT(C434,FIND(" |",C434&amp;" |")-1)))</f>
        <v/>
      </c>
      <c r="S434" s="96" t="str">
        <f>IF(R434="","",IFERROR(MATCH(R434,'ITENS_MTR'!$A$6:$A$1005,0),""))</f>
        <v/>
      </c>
      <c r="T434" s="96">
        <f>IF(S434="",0,IF(INDEX('ITENS_MTR'!$R$6:$R$1005,S434)=1,1,0))</f>
        <v>0</v>
      </c>
      <c r="U434" s="96" t="str">
        <f>IF(G434="","",IFERROR(IF(ISNUMBER(INDEX(cfg_fac,MATCH(G434,cfg_units,0))),IF(INDEX(cfg_fac,MATCH(G434,cfg_units,0))&gt;0,INDEX(cfg_fac,MATCH(G434,cfg_units,0)),""),""),""))</f>
        <v/>
      </c>
      <c r="V434" s="96">
        <f>IF(AND(ISNUMBER(F434),ISNUMBER(H434)),IF(H434&gt;0,1,0),0)</f>
        <v>0</v>
      </c>
      <c r="W434" s="96" t="str">
        <f>IF(T434=1,INDEX('ITENS_MTR'!$AU$6:$AU$1005,S434)&amp;"","")</f>
        <v/>
      </c>
      <c r="X434" s="96">
        <f>IF(AND(Q434=1,T434=1,I434&lt;&gt;"",W434&lt;&gt;""),IF(I434&lt;&gt;W434,1,0),0)</f>
        <v>0</v>
      </c>
      <c r="Y434" s="96">
        <f>IF(N434=0,0,IF(OR(Q434=0,T434=0,V434=0,AND(X434=1,J434&lt;&gt;"Sim")),1,0))</f>
        <v>0</v>
      </c>
      <c r="Z434" s="96">
        <f>IF(Q434=1,INDEX('CDFs'!$W$6:$W$505,P434),0)</f>
        <v>0</v>
      </c>
      <c r="AA434" s="96">
        <f>IF(AND(N434=1,Y434=0,Z434=1,J434="Sim"),1,0)</f>
        <v>0</v>
      </c>
      <c r="AB434" s="96">
        <f>IF(AND(N434=1,O434&lt;&gt;"",D434&lt;&gt;""),IF(COUNTIFS($O$6:O434,O434,$D$6:D434,D434)=1,1,0),0)</f>
        <v>0</v>
      </c>
      <c r="AC434" s="96">
        <f>IF(T434=1,INDEX('ITENS_MTR'!$AL$6:$AL$1005,S434),0)</f>
        <v>0</v>
      </c>
    </row>
    <row r="435">
      <c r="A435" s="89" t="inlineStr">
        <is>
          <t>VIN-000430</t>
        </is>
      </c>
      <c r="B435" s="91" t="n"/>
      <c r="C435" s="91" t="n"/>
      <c r="D435" s="94" t="str">
        <f>IF(T435=1,INDEX('ITENS_MTR'!$S$6:$S$1005,S435)&amp;"","")</f>
        <v/>
      </c>
      <c r="E435" s="94" t="str">
        <f>IF(T435=1,INDEX('ITENS_MTR'!$C$6:$C$1005,S435)&amp;"","")</f>
        <v/>
      </c>
      <c r="F435" s="98" t="n"/>
      <c r="G435" s="91" t="n"/>
      <c r="H435" s="93" t="str">
        <f>IF(N435=0,"",IF(NOT(ISNUMBER(F435)),"",IF(ISNUMBER(U435),F435*U435,"UNIDADE A CONFERIR")))</f>
        <v/>
      </c>
      <c r="I435" s="94" t="str">
        <f>IF(Q435=1,INDEX('CDFs'!$F$6:$F$505,P435)&amp;"","")</f>
        <v/>
      </c>
      <c r="J435" s="91" t="n"/>
      <c r="K435" s="91" t="n"/>
      <c r="L435" s="94" t="str">
        <f>IF(N435=0,"",IF(NOT(ISNUMBER(F435)),"Quantidade não informada",IF(F435&lt;=0,"Quantidade não positiva",IF(G435="","Unidade não informada",IF(NOT(ISNUMBER(H435)),"Unidade a conferir",IF(AC435=1,"REVISAR VÍNCULO: soma vinculada maior que a referência do item","OK"))))))</f>
        <v/>
      </c>
      <c r="M435" s="94" t="str">
        <f>IF(N435=0,"",IF(B435="","CDF não informado",IF(Q435=0,"REVISAR VÍNCULO: CDF inexistente",IF(C435="","Item não informado",IF(T435=0,"REVISAR VÍNCULO: item inexistente",IF(AND(X435=1,J435&lt;&gt;"Sim"),"REVISAR VÍNCULO: destinador diferente do MTR",IF(X435=1,"Destinador diferente do MTR (analisado)","OK")))))))</f>
        <v/>
      </c>
      <c r="N435" s="96">
        <f>IF(COUNTA(B435:C435,F435:G435,J435:K435)&gt;0,1,0)</f>
        <v>0</v>
      </c>
      <c r="O435" s="96" t="str">
        <f>IF(B435="","",TRIM(LEFT(B435,FIND(" |",B435&amp;" |")-1)))</f>
        <v/>
      </c>
      <c r="P435" s="96" t="str">
        <f>IF(O435="","",IFERROR(MATCH(O435,'CDFs'!$A$6:$A$505,0),""))</f>
        <v/>
      </c>
      <c r="Q435" s="96">
        <f>IF(P435="",0,IF(INDEX('CDFs'!$S$6:$S$505,P435)=1,1,0))</f>
        <v>0</v>
      </c>
      <c r="R435" s="96" t="str">
        <f>IF(C435="","",TRIM(LEFT(C435,FIND(" |",C435&amp;" |")-1)))</f>
        <v/>
      </c>
      <c r="S435" s="96" t="str">
        <f>IF(R435="","",IFERROR(MATCH(R435,'ITENS_MTR'!$A$6:$A$1005,0),""))</f>
        <v/>
      </c>
      <c r="T435" s="96">
        <f>IF(S435="",0,IF(INDEX('ITENS_MTR'!$R$6:$R$1005,S435)=1,1,0))</f>
        <v>0</v>
      </c>
      <c r="U435" s="96" t="str">
        <f>IF(G435="","",IFERROR(IF(ISNUMBER(INDEX(cfg_fac,MATCH(G435,cfg_units,0))),IF(INDEX(cfg_fac,MATCH(G435,cfg_units,0))&gt;0,INDEX(cfg_fac,MATCH(G435,cfg_units,0)),""),""),""))</f>
        <v/>
      </c>
      <c r="V435" s="96">
        <f>IF(AND(ISNUMBER(F435),ISNUMBER(H435)),IF(H435&gt;0,1,0),0)</f>
        <v>0</v>
      </c>
      <c r="W435" s="96" t="str">
        <f>IF(T435=1,INDEX('ITENS_MTR'!$AU$6:$AU$1005,S435)&amp;"","")</f>
        <v/>
      </c>
      <c r="X435" s="96">
        <f>IF(AND(Q435=1,T435=1,I435&lt;&gt;"",W435&lt;&gt;""),IF(I435&lt;&gt;W435,1,0),0)</f>
        <v>0</v>
      </c>
      <c r="Y435" s="96">
        <f>IF(N435=0,0,IF(OR(Q435=0,T435=0,V435=0,AND(X435=1,J435&lt;&gt;"Sim")),1,0))</f>
        <v>0</v>
      </c>
      <c r="Z435" s="96">
        <f>IF(Q435=1,INDEX('CDFs'!$W$6:$W$505,P435),0)</f>
        <v>0</v>
      </c>
      <c r="AA435" s="96">
        <f>IF(AND(N435=1,Y435=0,Z435=1,J435="Sim"),1,0)</f>
        <v>0</v>
      </c>
      <c r="AB435" s="96">
        <f>IF(AND(N435=1,O435&lt;&gt;"",D435&lt;&gt;""),IF(COUNTIFS($O$6:O435,O435,$D$6:D435,D435)=1,1,0),0)</f>
        <v>0</v>
      </c>
      <c r="AC435" s="96">
        <f>IF(T435=1,INDEX('ITENS_MTR'!$AL$6:$AL$1005,S435),0)</f>
        <v>0</v>
      </c>
    </row>
    <row r="436">
      <c r="A436" s="89" t="inlineStr">
        <is>
          <t>VIN-000431</t>
        </is>
      </c>
      <c r="B436" s="91" t="n"/>
      <c r="C436" s="91" t="n"/>
      <c r="D436" s="94" t="str">
        <f>IF(T436=1,INDEX('ITENS_MTR'!$S$6:$S$1005,S436)&amp;"","")</f>
        <v/>
      </c>
      <c r="E436" s="94" t="str">
        <f>IF(T436=1,INDEX('ITENS_MTR'!$C$6:$C$1005,S436)&amp;"","")</f>
        <v/>
      </c>
      <c r="F436" s="98" t="n"/>
      <c r="G436" s="91" t="n"/>
      <c r="H436" s="93" t="str">
        <f>IF(N436=0,"",IF(NOT(ISNUMBER(F436)),"",IF(ISNUMBER(U436),F436*U436,"UNIDADE A CONFERIR")))</f>
        <v/>
      </c>
      <c r="I436" s="94" t="str">
        <f>IF(Q436=1,INDEX('CDFs'!$F$6:$F$505,P436)&amp;"","")</f>
        <v/>
      </c>
      <c r="J436" s="91" t="n"/>
      <c r="K436" s="91" t="n"/>
      <c r="L436" s="94" t="str">
        <f>IF(N436=0,"",IF(NOT(ISNUMBER(F436)),"Quantidade não informada",IF(F436&lt;=0,"Quantidade não positiva",IF(G436="","Unidade não informada",IF(NOT(ISNUMBER(H436)),"Unidade a conferir",IF(AC436=1,"REVISAR VÍNCULO: soma vinculada maior que a referência do item","OK"))))))</f>
        <v/>
      </c>
      <c r="M436" s="94" t="str">
        <f>IF(N436=0,"",IF(B436="","CDF não informado",IF(Q436=0,"REVISAR VÍNCULO: CDF inexistente",IF(C436="","Item não informado",IF(T436=0,"REVISAR VÍNCULO: item inexistente",IF(AND(X436=1,J436&lt;&gt;"Sim"),"REVISAR VÍNCULO: destinador diferente do MTR",IF(X436=1,"Destinador diferente do MTR (analisado)","OK")))))))</f>
        <v/>
      </c>
      <c r="N436" s="96">
        <f>IF(COUNTA(B436:C436,F436:G436,J436:K436)&gt;0,1,0)</f>
        <v>0</v>
      </c>
      <c r="O436" s="96" t="str">
        <f>IF(B436="","",TRIM(LEFT(B436,FIND(" |",B436&amp;" |")-1)))</f>
        <v/>
      </c>
      <c r="P436" s="96" t="str">
        <f>IF(O436="","",IFERROR(MATCH(O436,'CDFs'!$A$6:$A$505,0),""))</f>
        <v/>
      </c>
      <c r="Q436" s="96">
        <f>IF(P436="",0,IF(INDEX('CDFs'!$S$6:$S$505,P436)=1,1,0))</f>
        <v>0</v>
      </c>
      <c r="R436" s="96" t="str">
        <f>IF(C436="","",TRIM(LEFT(C436,FIND(" |",C436&amp;" |")-1)))</f>
        <v/>
      </c>
      <c r="S436" s="96" t="str">
        <f>IF(R436="","",IFERROR(MATCH(R436,'ITENS_MTR'!$A$6:$A$1005,0),""))</f>
        <v/>
      </c>
      <c r="T436" s="96">
        <f>IF(S436="",0,IF(INDEX('ITENS_MTR'!$R$6:$R$1005,S436)=1,1,0))</f>
        <v>0</v>
      </c>
      <c r="U436" s="96" t="str">
        <f>IF(G436="","",IFERROR(IF(ISNUMBER(INDEX(cfg_fac,MATCH(G436,cfg_units,0))),IF(INDEX(cfg_fac,MATCH(G436,cfg_units,0))&gt;0,INDEX(cfg_fac,MATCH(G436,cfg_units,0)),""),""),""))</f>
        <v/>
      </c>
      <c r="V436" s="96">
        <f>IF(AND(ISNUMBER(F436),ISNUMBER(H436)),IF(H436&gt;0,1,0),0)</f>
        <v>0</v>
      </c>
      <c r="W436" s="96" t="str">
        <f>IF(T436=1,INDEX('ITENS_MTR'!$AU$6:$AU$1005,S436)&amp;"","")</f>
        <v/>
      </c>
      <c r="X436" s="96">
        <f>IF(AND(Q436=1,T436=1,I436&lt;&gt;"",W436&lt;&gt;""),IF(I436&lt;&gt;W436,1,0),0)</f>
        <v>0</v>
      </c>
      <c r="Y436" s="96">
        <f>IF(N436=0,0,IF(OR(Q436=0,T436=0,V436=0,AND(X436=1,J436&lt;&gt;"Sim")),1,0))</f>
        <v>0</v>
      </c>
      <c r="Z436" s="96">
        <f>IF(Q436=1,INDEX('CDFs'!$W$6:$W$505,P436),0)</f>
        <v>0</v>
      </c>
      <c r="AA436" s="96">
        <f>IF(AND(N436=1,Y436=0,Z436=1,J436="Sim"),1,0)</f>
        <v>0</v>
      </c>
      <c r="AB436" s="96">
        <f>IF(AND(N436=1,O436&lt;&gt;"",D436&lt;&gt;""),IF(COUNTIFS($O$6:O436,O436,$D$6:D436,D436)=1,1,0),0)</f>
        <v>0</v>
      </c>
      <c r="AC436" s="96">
        <f>IF(T436=1,INDEX('ITENS_MTR'!$AL$6:$AL$1005,S436),0)</f>
        <v>0</v>
      </c>
    </row>
    <row r="437">
      <c r="A437" s="89" t="inlineStr">
        <is>
          <t>VIN-000432</t>
        </is>
      </c>
      <c r="B437" s="91" t="n"/>
      <c r="C437" s="91" t="n"/>
      <c r="D437" s="94" t="str">
        <f>IF(T437=1,INDEX('ITENS_MTR'!$S$6:$S$1005,S437)&amp;"","")</f>
        <v/>
      </c>
      <c r="E437" s="94" t="str">
        <f>IF(T437=1,INDEX('ITENS_MTR'!$C$6:$C$1005,S437)&amp;"","")</f>
        <v/>
      </c>
      <c r="F437" s="98" t="n"/>
      <c r="G437" s="91" t="n"/>
      <c r="H437" s="93" t="str">
        <f>IF(N437=0,"",IF(NOT(ISNUMBER(F437)),"",IF(ISNUMBER(U437),F437*U437,"UNIDADE A CONFERIR")))</f>
        <v/>
      </c>
      <c r="I437" s="94" t="str">
        <f>IF(Q437=1,INDEX('CDFs'!$F$6:$F$505,P437)&amp;"","")</f>
        <v/>
      </c>
      <c r="J437" s="91" t="n"/>
      <c r="K437" s="91" t="n"/>
      <c r="L437" s="94" t="str">
        <f>IF(N437=0,"",IF(NOT(ISNUMBER(F437)),"Quantidade não informada",IF(F437&lt;=0,"Quantidade não positiva",IF(G437="","Unidade não informada",IF(NOT(ISNUMBER(H437)),"Unidade a conferir",IF(AC437=1,"REVISAR VÍNCULO: soma vinculada maior que a referência do item","OK"))))))</f>
        <v/>
      </c>
      <c r="M437" s="94" t="str">
        <f>IF(N437=0,"",IF(B437="","CDF não informado",IF(Q437=0,"REVISAR VÍNCULO: CDF inexistente",IF(C437="","Item não informado",IF(T437=0,"REVISAR VÍNCULO: item inexistente",IF(AND(X437=1,J437&lt;&gt;"Sim"),"REVISAR VÍNCULO: destinador diferente do MTR",IF(X437=1,"Destinador diferente do MTR (analisado)","OK")))))))</f>
        <v/>
      </c>
      <c r="N437" s="96">
        <f>IF(COUNTA(B437:C437,F437:G437,J437:K437)&gt;0,1,0)</f>
        <v>0</v>
      </c>
      <c r="O437" s="96" t="str">
        <f>IF(B437="","",TRIM(LEFT(B437,FIND(" |",B437&amp;" |")-1)))</f>
        <v/>
      </c>
      <c r="P437" s="96" t="str">
        <f>IF(O437="","",IFERROR(MATCH(O437,'CDFs'!$A$6:$A$505,0),""))</f>
        <v/>
      </c>
      <c r="Q437" s="96">
        <f>IF(P437="",0,IF(INDEX('CDFs'!$S$6:$S$505,P437)=1,1,0))</f>
        <v>0</v>
      </c>
      <c r="R437" s="96" t="str">
        <f>IF(C437="","",TRIM(LEFT(C437,FIND(" |",C437&amp;" |")-1)))</f>
        <v/>
      </c>
      <c r="S437" s="96" t="str">
        <f>IF(R437="","",IFERROR(MATCH(R437,'ITENS_MTR'!$A$6:$A$1005,0),""))</f>
        <v/>
      </c>
      <c r="T437" s="96">
        <f>IF(S437="",0,IF(INDEX('ITENS_MTR'!$R$6:$R$1005,S437)=1,1,0))</f>
        <v>0</v>
      </c>
      <c r="U437" s="96" t="str">
        <f>IF(G437="","",IFERROR(IF(ISNUMBER(INDEX(cfg_fac,MATCH(G437,cfg_units,0))),IF(INDEX(cfg_fac,MATCH(G437,cfg_units,0))&gt;0,INDEX(cfg_fac,MATCH(G437,cfg_units,0)),""),""),""))</f>
        <v/>
      </c>
      <c r="V437" s="96">
        <f>IF(AND(ISNUMBER(F437),ISNUMBER(H437)),IF(H437&gt;0,1,0),0)</f>
        <v>0</v>
      </c>
      <c r="W437" s="96" t="str">
        <f>IF(T437=1,INDEX('ITENS_MTR'!$AU$6:$AU$1005,S437)&amp;"","")</f>
        <v/>
      </c>
      <c r="X437" s="96">
        <f>IF(AND(Q437=1,T437=1,I437&lt;&gt;"",W437&lt;&gt;""),IF(I437&lt;&gt;W437,1,0),0)</f>
        <v>0</v>
      </c>
      <c r="Y437" s="96">
        <f>IF(N437=0,0,IF(OR(Q437=0,T437=0,V437=0,AND(X437=1,J437&lt;&gt;"Sim")),1,0))</f>
        <v>0</v>
      </c>
      <c r="Z437" s="96">
        <f>IF(Q437=1,INDEX('CDFs'!$W$6:$W$505,P437),0)</f>
        <v>0</v>
      </c>
      <c r="AA437" s="96">
        <f>IF(AND(N437=1,Y437=0,Z437=1,J437="Sim"),1,0)</f>
        <v>0</v>
      </c>
      <c r="AB437" s="96">
        <f>IF(AND(N437=1,O437&lt;&gt;"",D437&lt;&gt;""),IF(COUNTIFS($O$6:O437,O437,$D$6:D437,D437)=1,1,0),0)</f>
        <v>0</v>
      </c>
      <c r="AC437" s="96">
        <f>IF(T437=1,INDEX('ITENS_MTR'!$AL$6:$AL$1005,S437),0)</f>
        <v>0</v>
      </c>
    </row>
    <row r="438">
      <c r="A438" s="89" t="inlineStr">
        <is>
          <t>VIN-000433</t>
        </is>
      </c>
      <c r="B438" s="91" t="n"/>
      <c r="C438" s="91" t="n"/>
      <c r="D438" s="94" t="str">
        <f>IF(T438=1,INDEX('ITENS_MTR'!$S$6:$S$1005,S438)&amp;"","")</f>
        <v/>
      </c>
      <c r="E438" s="94" t="str">
        <f>IF(T438=1,INDEX('ITENS_MTR'!$C$6:$C$1005,S438)&amp;"","")</f>
        <v/>
      </c>
      <c r="F438" s="98" t="n"/>
      <c r="G438" s="91" t="n"/>
      <c r="H438" s="93" t="str">
        <f>IF(N438=0,"",IF(NOT(ISNUMBER(F438)),"",IF(ISNUMBER(U438),F438*U438,"UNIDADE A CONFERIR")))</f>
        <v/>
      </c>
      <c r="I438" s="94" t="str">
        <f>IF(Q438=1,INDEX('CDFs'!$F$6:$F$505,P438)&amp;"","")</f>
        <v/>
      </c>
      <c r="J438" s="91" t="n"/>
      <c r="K438" s="91" t="n"/>
      <c r="L438" s="94" t="str">
        <f>IF(N438=0,"",IF(NOT(ISNUMBER(F438)),"Quantidade não informada",IF(F438&lt;=0,"Quantidade não positiva",IF(G438="","Unidade não informada",IF(NOT(ISNUMBER(H438)),"Unidade a conferir",IF(AC438=1,"REVISAR VÍNCULO: soma vinculada maior que a referência do item","OK"))))))</f>
        <v/>
      </c>
      <c r="M438" s="94" t="str">
        <f>IF(N438=0,"",IF(B438="","CDF não informado",IF(Q438=0,"REVISAR VÍNCULO: CDF inexistente",IF(C438="","Item não informado",IF(T438=0,"REVISAR VÍNCULO: item inexistente",IF(AND(X438=1,J438&lt;&gt;"Sim"),"REVISAR VÍNCULO: destinador diferente do MTR",IF(X438=1,"Destinador diferente do MTR (analisado)","OK")))))))</f>
        <v/>
      </c>
      <c r="N438" s="96">
        <f>IF(COUNTA(B438:C438,F438:G438,J438:K438)&gt;0,1,0)</f>
        <v>0</v>
      </c>
      <c r="O438" s="96" t="str">
        <f>IF(B438="","",TRIM(LEFT(B438,FIND(" |",B438&amp;" |")-1)))</f>
        <v/>
      </c>
      <c r="P438" s="96" t="str">
        <f>IF(O438="","",IFERROR(MATCH(O438,'CDFs'!$A$6:$A$505,0),""))</f>
        <v/>
      </c>
      <c r="Q438" s="96">
        <f>IF(P438="",0,IF(INDEX('CDFs'!$S$6:$S$505,P438)=1,1,0))</f>
        <v>0</v>
      </c>
      <c r="R438" s="96" t="str">
        <f>IF(C438="","",TRIM(LEFT(C438,FIND(" |",C438&amp;" |")-1)))</f>
        <v/>
      </c>
      <c r="S438" s="96" t="str">
        <f>IF(R438="","",IFERROR(MATCH(R438,'ITENS_MTR'!$A$6:$A$1005,0),""))</f>
        <v/>
      </c>
      <c r="T438" s="96">
        <f>IF(S438="",0,IF(INDEX('ITENS_MTR'!$R$6:$R$1005,S438)=1,1,0))</f>
        <v>0</v>
      </c>
      <c r="U438" s="96" t="str">
        <f>IF(G438="","",IFERROR(IF(ISNUMBER(INDEX(cfg_fac,MATCH(G438,cfg_units,0))),IF(INDEX(cfg_fac,MATCH(G438,cfg_units,0))&gt;0,INDEX(cfg_fac,MATCH(G438,cfg_units,0)),""),""),""))</f>
        <v/>
      </c>
      <c r="V438" s="96">
        <f>IF(AND(ISNUMBER(F438),ISNUMBER(H438)),IF(H438&gt;0,1,0),0)</f>
        <v>0</v>
      </c>
      <c r="W438" s="96" t="str">
        <f>IF(T438=1,INDEX('ITENS_MTR'!$AU$6:$AU$1005,S438)&amp;"","")</f>
        <v/>
      </c>
      <c r="X438" s="96">
        <f>IF(AND(Q438=1,T438=1,I438&lt;&gt;"",W438&lt;&gt;""),IF(I438&lt;&gt;W438,1,0),0)</f>
        <v>0</v>
      </c>
      <c r="Y438" s="96">
        <f>IF(N438=0,0,IF(OR(Q438=0,T438=0,V438=0,AND(X438=1,J438&lt;&gt;"Sim")),1,0))</f>
        <v>0</v>
      </c>
      <c r="Z438" s="96">
        <f>IF(Q438=1,INDEX('CDFs'!$W$6:$W$505,P438),0)</f>
        <v>0</v>
      </c>
      <c r="AA438" s="96">
        <f>IF(AND(N438=1,Y438=0,Z438=1,J438="Sim"),1,0)</f>
        <v>0</v>
      </c>
      <c r="AB438" s="96">
        <f>IF(AND(N438=1,O438&lt;&gt;"",D438&lt;&gt;""),IF(COUNTIFS($O$6:O438,O438,$D$6:D438,D438)=1,1,0),0)</f>
        <v>0</v>
      </c>
      <c r="AC438" s="96">
        <f>IF(T438=1,INDEX('ITENS_MTR'!$AL$6:$AL$1005,S438),0)</f>
        <v>0</v>
      </c>
    </row>
    <row r="439">
      <c r="A439" s="89" t="inlineStr">
        <is>
          <t>VIN-000434</t>
        </is>
      </c>
      <c r="B439" s="91" t="n"/>
      <c r="C439" s="91" t="n"/>
      <c r="D439" s="94" t="str">
        <f>IF(T439=1,INDEX('ITENS_MTR'!$S$6:$S$1005,S439)&amp;"","")</f>
        <v/>
      </c>
      <c r="E439" s="94" t="str">
        <f>IF(T439=1,INDEX('ITENS_MTR'!$C$6:$C$1005,S439)&amp;"","")</f>
        <v/>
      </c>
      <c r="F439" s="98" t="n"/>
      <c r="G439" s="91" t="n"/>
      <c r="H439" s="93" t="str">
        <f>IF(N439=0,"",IF(NOT(ISNUMBER(F439)),"",IF(ISNUMBER(U439),F439*U439,"UNIDADE A CONFERIR")))</f>
        <v/>
      </c>
      <c r="I439" s="94" t="str">
        <f>IF(Q439=1,INDEX('CDFs'!$F$6:$F$505,P439)&amp;"","")</f>
        <v/>
      </c>
      <c r="J439" s="91" t="n"/>
      <c r="K439" s="91" t="n"/>
      <c r="L439" s="94" t="str">
        <f>IF(N439=0,"",IF(NOT(ISNUMBER(F439)),"Quantidade não informada",IF(F439&lt;=0,"Quantidade não positiva",IF(G439="","Unidade não informada",IF(NOT(ISNUMBER(H439)),"Unidade a conferir",IF(AC439=1,"REVISAR VÍNCULO: soma vinculada maior que a referência do item","OK"))))))</f>
        <v/>
      </c>
      <c r="M439" s="94" t="str">
        <f>IF(N439=0,"",IF(B439="","CDF não informado",IF(Q439=0,"REVISAR VÍNCULO: CDF inexistente",IF(C439="","Item não informado",IF(T439=0,"REVISAR VÍNCULO: item inexistente",IF(AND(X439=1,J439&lt;&gt;"Sim"),"REVISAR VÍNCULO: destinador diferente do MTR",IF(X439=1,"Destinador diferente do MTR (analisado)","OK")))))))</f>
        <v/>
      </c>
      <c r="N439" s="96">
        <f>IF(COUNTA(B439:C439,F439:G439,J439:K439)&gt;0,1,0)</f>
        <v>0</v>
      </c>
      <c r="O439" s="96" t="str">
        <f>IF(B439="","",TRIM(LEFT(B439,FIND(" |",B439&amp;" |")-1)))</f>
        <v/>
      </c>
      <c r="P439" s="96" t="str">
        <f>IF(O439="","",IFERROR(MATCH(O439,'CDFs'!$A$6:$A$505,0),""))</f>
        <v/>
      </c>
      <c r="Q439" s="96">
        <f>IF(P439="",0,IF(INDEX('CDFs'!$S$6:$S$505,P439)=1,1,0))</f>
        <v>0</v>
      </c>
      <c r="R439" s="96" t="str">
        <f>IF(C439="","",TRIM(LEFT(C439,FIND(" |",C439&amp;" |")-1)))</f>
        <v/>
      </c>
      <c r="S439" s="96" t="str">
        <f>IF(R439="","",IFERROR(MATCH(R439,'ITENS_MTR'!$A$6:$A$1005,0),""))</f>
        <v/>
      </c>
      <c r="T439" s="96">
        <f>IF(S439="",0,IF(INDEX('ITENS_MTR'!$R$6:$R$1005,S439)=1,1,0))</f>
        <v>0</v>
      </c>
      <c r="U439" s="96" t="str">
        <f>IF(G439="","",IFERROR(IF(ISNUMBER(INDEX(cfg_fac,MATCH(G439,cfg_units,0))),IF(INDEX(cfg_fac,MATCH(G439,cfg_units,0))&gt;0,INDEX(cfg_fac,MATCH(G439,cfg_units,0)),""),""),""))</f>
        <v/>
      </c>
      <c r="V439" s="96">
        <f>IF(AND(ISNUMBER(F439),ISNUMBER(H439)),IF(H439&gt;0,1,0),0)</f>
        <v>0</v>
      </c>
      <c r="W439" s="96" t="str">
        <f>IF(T439=1,INDEX('ITENS_MTR'!$AU$6:$AU$1005,S439)&amp;"","")</f>
        <v/>
      </c>
      <c r="X439" s="96">
        <f>IF(AND(Q439=1,T439=1,I439&lt;&gt;"",W439&lt;&gt;""),IF(I439&lt;&gt;W439,1,0),0)</f>
        <v>0</v>
      </c>
      <c r="Y439" s="96">
        <f>IF(N439=0,0,IF(OR(Q439=0,T439=0,V439=0,AND(X439=1,J439&lt;&gt;"Sim")),1,0))</f>
        <v>0</v>
      </c>
      <c r="Z439" s="96">
        <f>IF(Q439=1,INDEX('CDFs'!$W$6:$W$505,P439),0)</f>
        <v>0</v>
      </c>
      <c r="AA439" s="96">
        <f>IF(AND(N439=1,Y439=0,Z439=1,J439="Sim"),1,0)</f>
        <v>0</v>
      </c>
      <c r="AB439" s="96">
        <f>IF(AND(N439=1,O439&lt;&gt;"",D439&lt;&gt;""),IF(COUNTIFS($O$6:O439,O439,$D$6:D439,D439)=1,1,0),0)</f>
        <v>0</v>
      </c>
      <c r="AC439" s="96">
        <f>IF(T439=1,INDEX('ITENS_MTR'!$AL$6:$AL$1005,S439),0)</f>
        <v>0</v>
      </c>
    </row>
    <row r="440">
      <c r="A440" s="89" t="inlineStr">
        <is>
          <t>VIN-000435</t>
        </is>
      </c>
      <c r="B440" s="91" t="n"/>
      <c r="C440" s="91" t="n"/>
      <c r="D440" s="94" t="str">
        <f>IF(T440=1,INDEX('ITENS_MTR'!$S$6:$S$1005,S440)&amp;"","")</f>
        <v/>
      </c>
      <c r="E440" s="94" t="str">
        <f>IF(T440=1,INDEX('ITENS_MTR'!$C$6:$C$1005,S440)&amp;"","")</f>
        <v/>
      </c>
      <c r="F440" s="98" t="n"/>
      <c r="G440" s="91" t="n"/>
      <c r="H440" s="93" t="str">
        <f>IF(N440=0,"",IF(NOT(ISNUMBER(F440)),"",IF(ISNUMBER(U440),F440*U440,"UNIDADE A CONFERIR")))</f>
        <v/>
      </c>
      <c r="I440" s="94" t="str">
        <f>IF(Q440=1,INDEX('CDFs'!$F$6:$F$505,P440)&amp;"","")</f>
        <v/>
      </c>
      <c r="J440" s="91" t="n"/>
      <c r="K440" s="91" t="n"/>
      <c r="L440" s="94" t="str">
        <f>IF(N440=0,"",IF(NOT(ISNUMBER(F440)),"Quantidade não informada",IF(F440&lt;=0,"Quantidade não positiva",IF(G440="","Unidade não informada",IF(NOT(ISNUMBER(H440)),"Unidade a conferir",IF(AC440=1,"REVISAR VÍNCULO: soma vinculada maior que a referência do item","OK"))))))</f>
        <v/>
      </c>
      <c r="M440" s="94" t="str">
        <f>IF(N440=0,"",IF(B440="","CDF não informado",IF(Q440=0,"REVISAR VÍNCULO: CDF inexistente",IF(C440="","Item não informado",IF(T440=0,"REVISAR VÍNCULO: item inexistente",IF(AND(X440=1,J440&lt;&gt;"Sim"),"REVISAR VÍNCULO: destinador diferente do MTR",IF(X440=1,"Destinador diferente do MTR (analisado)","OK")))))))</f>
        <v/>
      </c>
      <c r="N440" s="96">
        <f>IF(COUNTA(B440:C440,F440:G440,J440:K440)&gt;0,1,0)</f>
        <v>0</v>
      </c>
      <c r="O440" s="96" t="str">
        <f>IF(B440="","",TRIM(LEFT(B440,FIND(" |",B440&amp;" |")-1)))</f>
        <v/>
      </c>
      <c r="P440" s="96" t="str">
        <f>IF(O440="","",IFERROR(MATCH(O440,'CDFs'!$A$6:$A$505,0),""))</f>
        <v/>
      </c>
      <c r="Q440" s="96">
        <f>IF(P440="",0,IF(INDEX('CDFs'!$S$6:$S$505,P440)=1,1,0))</f>
        <v>0</v>
      </c>
      <c r="R440" s="96" t="str">
        <f>IF(C440="","",TRIM(LEFT(C440,FIND(" |",C440&amp;" |")-1)))</f>
        <v/>
      </c>
      <c r="S440" s="96" t="str">
        <f>IF(R440="","",IFERROR(MATCH(R440,'ITENS_MTR'!$A$6:$A$1005,0),""))</f>
        <v/>
      </c>
      <c r="T440" s="96">
        <f>IF(S440="",0,IF(INDEX('ITENS_MTR'!$R$6:$R$1005,S440)=1,1,0))</f>
        <v>0</v>
      </c>
      <c r="U440" s="96" t="str">
        <f>IF(G440="","",IFERROR(IF(ISNUMBER(INDEX(cfg_fac,MATCH(G440,cfg_units,0))),IF(INDEX(cfg_fac,MATCH(G440,cfg_units,0))&gt;0,INDEX(cfg_fac,MATCH(G440,cfg_units,0)),""),""),""))</f>
        <v/>
      </c>
      <c r="V440" s="96">
        <f>IF(AND(ISNUMBER(F440),ISNUMBER(H440)),IF(H440&gt;0,1,0),0)</f>
        <v>0</v>
      </c>
      <c r="W440" s="96" t="str">
        <f>IF(T440=1,INDEX('ITENS_MTR'!$AU$6:$AU$1005,S440)&amp;"","")</f>
        <v/>
      </c>
      <c r="X440" s="96">
        <f>IF(AND(Q440=1,T440=1,I440&lt;&gt;"",W440&lt;&gt;""),IF(I440&lt;&gt;W440,1,0),0)</f>
        <v>0</v>
      </c>
      <c r="Y440" s="96">
        <f>IF(N440=0,0,IF(OR(Q440=0,T440=0,V440=0,AND(X440=1,J440&lt;&gt;"Sim")),1,0))</f>
        <v>0</v>
      </c>
      <c r="Z440" s="96">
        <f>IF(Q440=1,INDEX('CDFs'!$W$6:$W$505,P440),0)</f>
        <v>0</v>
      </c>
      <c r="AA440" s="96">
        <f>IF(AND(N440=1,Y440=0,Z440=1,J440="Sim"),1,0)</f>
        <v>0</v>
      </c>
      <c r="AB440" s="96">
        <f>IF(AND(N440=1,O440&lt;&gt;"",D440&lt;&gt;""),IF(COUNTIFS($O$6:O440,O440,$D$6:D440,D440)=1,1,0),0)</f>
        <v>0</v>
      </c>
      <c r="AC440" s="96">
        <f>IF(T440=1,INDEX('ITENS_MTR'!$AL$6:$AL$1005,S440),0)</f>
        <v>0</v>
      </c>
    </row>
    <row r="441">
      <c r="A441" s="89" t="inlineStr">
        <is>
          <t>VIN-000436</t>
        </is>
      </c>
      <c r="B441" s="91" t="n"/>
      <c r="C441" s="91" t="n"/>
      <c r="D441" s="94" t="str">
        <f>IF(T441=1,INDEX('ITENS_MTR'!$S$6:$S$1005,S441)&amp;"","")</f>
        <v/>
      </c>
      <c r="E441" s="94" t="str">
        <f>IF(T441=1,INDEX('ITENS_MTR'!$C$6:$C$1005,S441)&amp;"","")</f>
        <v/>
      </c>
      <c r="F441" s="98" t="n"/>
      <c r="G441" s="91" t="n"/>
      <c r="H441" s="93" t="str">
        <f>IF(N441=0,"",IF(NOT(ISNUMBER(F441)),"",IF(ISNUMBER(U441),F441*U441,"UNIDADE A CONFERIR")))</f>
        <v/>
      </c>
      <c r="I441" s="94" t="str">
        <f>IF(Q441=1,INDEX('CDFs'!$F$6:$F$505,P441)&amp;"","")</f>
        <v/>
      </c>
      <c r="J441" s="91" t="n"/>
      <c r="K441" s="91" t="n"/>
      <c r="L441" s="94" t="str">
        <f>IF(N441=0,"",IF(NOT(ISNUMBER(F441)),"Quantidade não informada",IF(F441&lt;=0,"Quantidade não positiva",IF(G441="","Unidade não informada",IF(NOT(ISNUMBER(H441)),"Unidade a conferir",IF(AC441=1,"REVISAR VÍNCULO: soma vinculada maior que a referência do item","OK"))))))</f>
        <v/>
      </c>
      <c r="M441" s="94" t="str">
        <f>IF(N441=0,"",IF(B441="","CDF não informado",IF(Q441=0,"REVISAR VÍNCULO: CDF inexistente",IF(C441="","Item não informado",IF(T441=0,"REVISAR VÍNCULO: item inexistente",IF(AND(X441=1,J441&lt;&gt;"Sim"),"REVISAR VÍNCULO: destinador diferente do MTR",IF(X441=1,"Destinador diferente do MTR (analisado)","OK")))))))</f>
        <v/>
      </c>
      <c r="N441" s="96">
        <f>IF(COUNTA(B441:C441,F441:G441,J441:K441)&gt;0,1,0)</f>
        <v>0</v>
      </c>
      <c r="O441" s="96" t="str">
        <f>IF(B441="","",TRIM(LEFT(B441,FIND(" |",B441&amp;" |")-1)))</f>
        <v/>
      </c>
      <c r="P441" s="96" t="str">
        <f>IF(O441="","",IFERROR(MATCH(O441,'CDFs'!$A$6:$A$505,0),""))</f>
        <v/>
      </c>
      <c r="Q441" s="96">
        <f>IF(P441="",0,IF(INDEX('CDFs'!$S$6:$S$505,P441)=1,1,0))</f>
        <v>0</v>
      </c>
      <c r="R441" s="96" t="str">
        <f>IF(C441="","",TRIM(LEFT(C441,FIND(" |",C441&amp;" |")-1)))</f>
        <v/>
      </c>
      <c r="S441" s="96" t="str">
        <f>IF(R441="","",IFERROR(MATCH(R441,'ITENS_MTR'!$A$6:$A$1005,0),""))</f>
        <v/>
      </c>
      <c r="T441" s="96">
        <f>IF(S441="",0,IF(INDEX('ITENS_MTR'!$R$6:$R$1005,S441)=1,1,0))</f>
        <v>0</v>
      </c>
      <c r="U441" s="96" t="str">
        <f>IF(G441="","",IFERROR(IF(ISNUMBER(INDEX(cfg_fac,MATCH(G441,cfg_units,0))),IF(INDEX(cfg_fac,MATCH(G441,cfg_units,0))&gt;0,INDEX(cfg_fac,MATCH(G441,cfg_units,0)),""),""),""))</f>
        <v/>
      </c>
      <c r="V441" s="96">
        <f>IF(AND(ISNUMBER(F441),ISNUMBER(H441)),IF(H441&gt;0,1,0),0)</f>
        <v>0</v>
      </c>
      <c r="W441" s="96" t="str">
        <f>IF(T441=1,INDEX('ITENS_MTR'!$AU$6:$AU$1005,S441)&amp;"","")</f>
        <v/>
      </c>
      <c r="X441" s="96">
        <f>IF(AND(Q441=1,T441=1,I441&lt;&gt;"",W441&lt;&gt;""),IF(I441&lt;&gt;W441,1,0),0)</f>
        <v>0</v>
      </c>
      <c r="Y441" s="96">
        <f>IF(N441=0,0,IF(OR(Q441=0,T441=0,V441=0,AND(X441=1,J441&lt;&gt;"Sim")),1,0))</f>
        <v>0</v>
      </c>
      <c r="Z441" s="96">
        <f>IF(Q441=1,INDEX('CDFs'!$W$6:$W$505,P441),0)</f>
        <v>0</v>
      </c>
      <c r="AA441" s="96">
        <f>IF(AND(N441=1,Y441=0,Z441=1,J441="Sim"),1,0)</f>
        <v>0</v>
      </c>
      <c r="AB441" s="96">
        <f>IF(AND(N441=1,O441&lt;&gt;"",D441&lt;&gt;""),IF(COUNTIFS($O$6:O441,O441,$D$6:D441,D441)=1,1,0),0)</f>
        <v>0</v>
      </c>
      <c r="AC441" s="96">
        <f>IF(T441=1,INDEX('ITENS_MTR'!$AL$6:$AL$1005,S441),0)</f>
        <v>0</v>
      </c>
    </row>
    <row r="442">
      <c r="A442" s="89" t="inlineStr">
        <is>
          <t>VIN-000437</t>
        </is>
      </c>
      <c r="B442" s="91" t="n"/>
      <c r="C442" s="91" t="n"/>
      <c r="D442" s="94" t="str">
        <f>IF(T442=1,INDEX('ITENS_MTR'!$S$6:$S$1005,S442)&amp;"","")</f>
        <v/>
      </c>
      <c r="E442" s="94" t="str">
        <f>IF(T442=1,INDEX('ITENS_MTR'!$C$6:$C$1005,S442)&amp;"","")</f>
        <v/>
      </c>
      <c r="F442" s="98" t="n"/>
      <c r="G442" s="91" t="n"/>
      <c r="H442" s="93" t="str">
        <f>IF(N442=0,"",IF(NOT(ISNUMBER(F442)),"",IF(ISNUMBER(U442),F442*U442,"UNIDADE A CONFERIR")))</f>
        <v/>
      </c>
      <c r="I442" s="94" t="str">
        <f>IF(Q442=1,INDEX('CDFs'!$F$6:$F$505,P442)&amp;"","")</f>
        <v/>
      </c>
      <c r="J442" s="91" t="n"/>
      <c r="K442" s="91" t="n"/>
      <c r="L442" s="94" t="str">
        <f>IF(N442=0,"",IF(NOT(ISNUMBER(F442)),"Quantidade não informada",IF(F442&lt;=0,"Quantidade não positiva",IF(G442="","Unidade não informada",IF(NOT(ISNUMBER(H442)),"Unidade a conferir",IF(AC442=1,"REVISAR VÍNCULO: soma vinculada maior que a referência do item","OK"))))))</f>
        <v/>
      </c>
      <c r="M442" s="94" t="str">
        <f>IF(N442=0,"",IF(B442="","CDF não informado",IF(Q442=0,"REVISAR VÍNCULO: CDF inexistente",IF(C442="","Item não informado",IF(T442=0,"REVISAR VÍNCULO: item inexistente",IF(AND(X442=1,J442&lt;&gt;"Sim"),"REVISAR VÍNCULO: destinador diferente do MTR",IF(X442=1,"Destinador diferente do MTR (analisado)","OK")))))))</f>
        <v/>
      </c>
      <c r="N442" s="96">
        <f>IF(COUNTA(B442:C442,F442:G442,J442:K442)&gt;0,1,0)</f>
        <v>0</v>
      </c>
      <c r="O442" s="96" t="str">
        <f>IF(B442="","",TRIM(LEFT(B442,FIND(" |",B442&amp;" |")-1)))</f>
        <v/>
      </c>
      <c r="P442" s="96" t="str">
        <f>IF(O442="","",IFERROR(MATCH(O442,'CDFs'!$A$6:$A$505,0),""))</f>
        <v/>
      </c>
      <c r="Q442" s="96">
        <f>IF(P442="",0,IF(INDEX('CDFs'!$S$6:$S$505,P442)=1,1,0))</f>
        <v>0</v>
      </c>
      <c r="R442" s="96" t="str">
        <f>IF(C442="","",TRIM(LEFT(C442,FIND(" |",C442&amp;" |")-1)))</f>
        <v/>
      </c>
      <c r="S442" s="96" t="str">
        <f>IF(R442="","",IFERROR(MATCH(R442,'ITENS_MTR'!$A$6:$A$1005,0),""))</f>
        <v/>
      </c>
      <c r="T442" s="96">
        <f>IF(S442="",0,IF(INDEX('ITENS_MTR'!$R$6:$R$1005,S442)=1,1,0))</f>
        <v>0</v>
      </c>
      <c r="U442" s="96" t="str">
        <f>IF(G442="","",IFERROR(IF(ISNUMBER(INDEX(cfg_fac,MATCH(G442,cfg_units,0))),IF(INDEX(cfg_fac,MATCH(G442,cfg_units,0))&gt;0,INDEX(cfg_fac,MATCH(G442,cfg_units,0)),""),""),""))</f>
        <v/>
      </c>
      <c r="V442" s="96">
        <f>IF(AND(ISNUMBER(F442),ISNUMBER(H442)),IF(H442&gt;0,1,0),0)</f>
        <v>0</v>
      </c>
      <c r="W442" s="96" t="str">
        <f>IF(T442=1,INDEX('ITENS_MTR'!$AU$6:$AU$1005,S442)&amp;"","")</f>
        <v/>
      </c>
      <c r="X442" s="96">
        <f>IF(AND(Q442=1,T442=1,I442&lt;&gt;"",W442&lt;&gt;""),IF(I442&lt;&gt;W442,1,0),0)</f>
        <v>0</v>
      </c>
      <c r="Y442" s="96">
        <f>IF(N442=0,0,IF(OR(Q442=0,T442=0,V442=0,AND(X442=1,J442&lt;&gt;"Sim")),1,0))</f>
        <v>0</v>
      </c>
      <c r="Z442" s="96">
        <f>IF(Q442=1,INDEX('CDFs'!$W$6:$W$505,P442),0)</f>
        <v>0</v>
      </c>
      <c r="AA442" s="96">
        <f>IF(AND(N442=1,Y442=0,Z442=1,J442="Sim"),1,0)</f>
        <v>0</v>
      </c>
      <c r="AB442" s="96">
        <f>IF(AND(N442=1,O442&lt;&gt;"",D442&lt;&gt;""),IF(COUNTIFS($O$6:O442,O442,$D$6:D442,D442)=1,1,0),0)</f>
        <v>0</v>
      </c>
      <c r="AC442" s="96">
        <f>IF(T442=1,INDEX('ITENS_MTR'!$AL$6:$AL$1005,S442),0)</f>
        <v>0</v>
      </c>
    </row>
    <row r="443">
      <c r="A443" s="89" t="inlineStr">
        <is>
          <t>VIN-000438</t>
        </is>
      </c>
      <c r="B443" s="91" t="n"/>
      <c r="C443" s="91" t="n"/>
      <c r="D443" s="94" t="str">
        <f>IF(T443=1,INDEX('ITENS_MTR'!$S$6:$S$1005,S443)&amp;"","")</f>
        <v/>
      </c>
      <c r="E443" s="94" t="str">
        <f>IF(T443=1,INDEX('ITENS_MTR'!$C$6:$C$1005,S443)&amp;"","")</f>
        <v/>
      </c>
      <c r="F443" s="98" t="n"/>
      <c r="G443" s="91" t="n"/>
      <c r="H443" s="93" t="str">
        <f>IF(N443=0,"",IF(NOT(ISNUMBER(F443)),"",IF(ISNUMBER(U443),F443*U443,"UNIDADE A CONFERIR")))</f>
        <v/>
      </c>
      <c r="I443" s="94" t="str">
        <f>IF(Q443=1,INDEX('CDFs'!$F$6:$F$505,P443)&amp;"","")</f>
        <v/>
      </c>
      <c r="J443" s="91" t="n"/>
      <c r="K443" s="91" t="n"/>
      <c r="L443" s="94" t="str">
        <f>IF(N443=0,"",IF(NOT(ISNUMBER(F443)),"Quantidade não informada",IF(F443&lt;=0,"Quantidade não positiva",IF(G443="","Unidade não informada",IF(NOT(ISNUMBER(H443)),"Unidade a conferir",IF(AC443=1,"REVISAR VÍNCULO: soma vinculada maior que a referência do item","OK"))))))</f>
        <v/>
      </c>
      <c r="M443" s="94" t="str">
        <f>IF(N443=0,"",IF(B443="","CDF não informado",IF(Q443=0,"REVISAR VÍNCULO: CDF inexistente",IF(C443="","Item não informado",IF(T443=0,"REVISAR VÍNCULO: item inexistente",IF(AND(X443=1,J443&lt;&gt;"Sim"),"REVISAR VÍNCULO: destinador diferente do MTR",IF(X443=1,"Destinador diferente do MTR (analisado)","OK")))))))</f>
        <v/>
      </c>
      <c r="N443" s="96">
        <f>IF(COUNTA(B443:C443,F443:G443,J443:K443)&gt;0,1,0)</f>
        <v>0</v>
      </c>
      <c r="O443" s="96" t="str">
        <f>IF(B443="","",TRIM(LEFT(B443,FIND(" |",B443&amp;" |")-1)))</f>
        <v/>
      </c>
      <c r="P443" s="96" t="str">
        <f>IF(O443="","",IFERROR(MATCH(O443,'CDFs'!$A$6:$A$505,0),""))</f>
        <v/>
      </c>
      <c r="Q443" s="96">
        <f>IF(P443="",0,IF(INDEX('CDFs'!$S$6:$S$505,P443)=1,1,0))</f>
        <v>0</v>
      </c>
      <c r="R443" s="96" t="str">
        <f>IF(C443="","",TRIM(LEFT(C443,FIND(" |",C443&amp;" |")-1)))</f>
        <v/>
      </c>
      <c r="S443" s="96" t="str">
        <f>IF(R443="","",IFERROR(MATCH(R443,'ITENS_MTR'!$A$6:$A$1005,0),""))</f>
        <v/>
      </c>
      <c r="T443" s="96">
        <f>IF(S443="",0,IF(INDEX('ITENS_MTR'!$R$6:$R$1005,S443)=1,1,0))</f>
        <v>0</v>
      </c>
      <c r="U443" s="96" t="str">
        <f>IF(G443="","",IFERROR(IF(ISNUMBER(INDEX(cfg_fac,MATCH(G443,cfg_units,0))),IF(INDEX(cfg_fac,MATCH(G443,cfg_units,0))&gt;0,INDEX(cfg_fac,MATCH(G443,cfg_units,0)),""),""),""))</f>
        <v/>
      </c>
      <c r="V443" s="96">
        <f>IF(AND(ISNUMBER(F443),ISNUMBER(H443)),IF(H443&gt;0,1,0),0)</f>
        <v>0</v>
      </c>
      <c r="W443" s="96" t="str">
        <f>IF(T443=1,INDEX('ITENS_MTR'!$AU$6:$AU$1005,S443)&amp;"","")</f>
        <v/>
      </c>
      <c r="X443" s="96">
        <f>IF(AND(Q443=1,T443=1,I443&lt;&gt;"",W443&lt;&gt;""),IF(I443&lt;&gt;W443,1,0),0)</f>
        <v>0</v>
      </c>
      <c r="Y443" s="96">
        <f>IF(N443=0,0,IF(OR(Q443=0,T443=0,V443=0,AND(X443=1,J443&lt;&gt;"Sim")),1,0))</f>
        <v>0</v>
      </c>
      <c r="Z443" s="96">
        <f>IF(Q443=1,INDEX('CDFs'!$W$6:$W$505,P443),0)</f>
        <v>0</v>
      </c>
      <c r="AA443" s="96">
        <f>IF(AND(N443=1,Y443=0,Z443=1,J443="Sim"),1,0)</f>
        <v>0</v>
      </c>
      <c r="AB443" s="96">
        <f>IF(AND(N443=1,O443&lt;&gt;"",D443&lt;&gt;""),IF(COUNTIFS($O$6:O443,O443,$D$6:D443,D443)=1,1,0),0)</f>
        <v>0</v>
      </c>
      <c r="AC443" s="96">
        <f>IF(T443=1,INDEX('ITENS_MTR'!$AL$6:$AL$1005,S443),0)</f>
        <v>0</v>
      </c>
    </row>
    <row r="444">
      <c r="A444" s="89" t="inlineStr">
        <is>
          <t>VIN-000439</t>
        </is>
      </c>
      <c r="B444" s="91" t="n"/>
      <c r="C444" s="91" t="n"/>
      <c r="D444" s="94" t="str">
        <f>IF(T444=1,INDEX('ITENS_MTR'!$S$6:$S$1005,S444)&amp;"","")</f>
        <v/>
      </c>
      <c r="E444" s="94" t="str">
        <f>IF(T444=1,INDEX('ITENS_MTR'!$C$6:$C$1005,S444)&amp;"","")</f>
        <v/>
      </c>
      <c r="F444" s="98" t="n"/>
      <c r="G444" s="91" t="n"/>
      <c r="H444" s="93" t="str">
        <f>IF(N444=0,"",IF(NOT(ISNUMBER(F444)),"",IF(ISNUMBER(U444),F444*U444,"UNIDADE A CONFERIR")))</f>
        <v/>
      </c>
      <c r="I444" s="94" t="str">
        <f>IF(Q444=1,INDEX('CDFs'!$F$6:$F$505,P444)&amp;"","")</f>
        <v/>
      </c>
      <c r="J444" s="91" t="n"/>
      <c r="K444" s="91" t="n"/>
      <c r="L444" s="94" t="str">
        <f>IF(N444=0,"",IF(NOT(ISNUMBER(F444)),"Quantidade não informada",IF(F444&lt;=0,"Quantidade não positiva",IF(G444="","Unidade não informada",IF(NOT(ISNUMBER(H444)),"Unidade a conferir",IF(AC444=1,"REVISAR VÍNCULO: soma vinculada maior que a referência do item","OK"))))))</f>
        <v/>
      </c>
      <c r="M444" s="94" t="str">
        <f>IF(N444=0,"",IF(B444="","CDF não informado",IF(Q444=0,"REVISAR VÍNCULO: CDF inexistente",IF(C444="","Item não informado",IF(T444=0,"REVISAR VÍNCULO: item inexistente",IF(AND(X444=1,J444&lt;&gt;"Sim"),"REVISAR VÍNCULO: destinador diferente do MTR",IF(X444=1,"Destinador diferente do MTR (analisado)","OK")))))))</f>
        <v/>
      </c>
      <c r="N444" s="96">
        <f>IF(COUNTA(B444:C444,F444:G444,J444:K444)&gt;0,1,0)</f>
        <v>0</v>
      </c>
      <c r="O444" s="96" t="str">
        <f>IF(B444="","",TRIM(LEFT(B444,FIND(" |",B444&amp;" |")-1)))</f>
        <v/>
      </c>
      <c r="P444" s="96" t="str">
        <f>IF(O444="","",IFERROR(MATCH(O444,'CDFs'!$A$6:$A$505,0),""))</f>
        <v/>
      </c>
      <c r="Q444" s="96">
        <f>IF(P444="",0,IF(INDEX('CDFs'!$S$6:$S$505,P444)=1,1,0))</f>
        <v>0</v>
      </c>
      <c r="R444" s="96" t="str">
        <f>IF(C444="","",TRIM(LEFT(C444,FIND(" |",C444&amp;" |")-1)))</f>
        <v/>
      </c>
      <c r="S444" s="96" t="str">
        <f>IF(R444="","",IFERROR(MATCH(R444,'ITENS_MTR'!$A$6:$A$1005,0),""))</f>
        <v/>
      </c>
      <c r="T444" s="96">
        <f>IF(S444="",0,IF(INDEX('ITENS_MTR'!$R$6:$R$1005,S444)=1,1,0))</f>
        <v>0</v>
      </c>
      <c r="U444" s="96" t="str">
        <f>IF(G444="","",IFERROR(IF(ISNUMBER(INDEX(cfg_fac,MATCH(G444,cfg_units,0))),IF(INDEX(cfg_fac,MATCH(G444,cfg_units,0))&gt;0,INDEX(cfg_fac,MATCH(G444,cfg_units,0)),""),""),""))</f>
        <v/>
      </c>
      <c r="V444" s="96">
        <f>IF(AND(ISNUMBER(F444),ISNUMBER(H444)),IF(H444&gt;0,1,0),0)</f>
        <v>0</v>
      </c>
      <c r="W444" s="96" t="str">
        <f>IF(T444=1,INDEX('ITENS_MTR'!$AU$6:$AU$1005,S444)&amp;"","")</f>
        <v/>
      </c>
      <c r="X444" s="96">
        <f>IF(AND(Q444=1,T444=1,I444&lt;&gt;"",W444&lt;&gt;""),IF(I444&lt;&gt;W444,1,0),0)</f>
        <v>0</v>
      </c>
      <c r="Y444" s="96">
        <f>IF(N444=0,0,IF(OR(Q444=0,T444=0,V444=0,AND(X444=1,J444&lt;&gt;"Sim")),1,0))</f>
        <v>0</v>
      </c>
      <c r="Z444" s="96">
        <f>IF(Q444=1,INDEX('CDFs'!$W$6:$W$505,P444),0)</f>
        <v>0</v>
      </c>
      <c r="AA444" s="96">
        <f>IF(AND(N444=1,Y444=0,Z444=1,J444="Sim"),1,0)</f>
        <v>0</v>
      </c>
      <c r="AB444" s="96">
        <f>IF(AND(N444=1,O444&lt;&gt;"",D444&lt;&gt;""),IF(COUNTIFS($O$6:O444,O444,$D$6:D444,D444)=1,1,0),0)</f>
        <v>0</v>
      </c>
      <c r="AC444" s="96">
        <f>IF(T444=1,INDEX('ITENS_MTR'!$AL$6:$AL$1005,S444),0)</f>
        <v>0</v>
      </c>
    </row>
    <row r="445">
      <c r="A445" s="89" t="inlineStr">
        <is>
          <t>VIN-000440</t>
        </is>
      </c>
      <c r="B445" s="91" t="n"/>
      <c r="C445" s="91" t="n"/>
      <c r="D445" s="94" t="str">
        <f>IF(T445=1,INDEX('ITENS_MTR'!$S$6:$S$1005,S445)&amp;"","")</f>
        <v/>
      </c>
      <c r="E445" s="94" t="str">
        <f>IF(T445=1,INDEX('ITENS_MTR'!$C$6:$C$1005,S445)&amp;"","")</f>
        <v/>
      </c>
      <c r="F445" s="98" t="n"/>
      <c r="G445" s="91" t="n"/>
      <c r="H445" s="93" t="str">
        <f>IF(N445=0,"",IF(NOT(ISNUMBER(F445)),"",IF(ISNUMBER(U445),F445*U445,"UNIDADE A CONFERIR")))</f>
        <v/>
      </c>
      <c r="I445" s="94" t="str">
        <f>IF(Q445=1,INDEX('CDFs'!$F$6:$F$505,P445)&amp;"","")</f>
        <v/>
      </c>
      <c r="J445" s="91" t="n"/>
      <c r="K445" s="91" t="n"/>
      <c r="L445" s="94" t="str">
        <f>IF(N445=0,"",IF(NOT(ISNUMBER(F445)),"Quantidade não informada",IF(F445&lt;=0,"Quantidade não positiva",IF(G445="","Unidade não informada",IF(NOT(ISNUMBER(H445)),"Unidade a conferir",IF(AC445=1,"REVISAR VÍNCULO: soma vinculada maior que a referência do item","OK"))))))</f>
        <v/>
      </c>
      <c r="M445" s="94" t="str">
        <f>IF(N445=0,"",IF(B445="","CDF não informado",IF(Q445=0,"REVISAR VÍNCULO: CDF inexistente",IF(C445="","Item não informado",IF(T445=0,"REVISAR VÍNCULO: item inexistente",IF(AND(X445=1,J445&lt;&gt;"Sim"),"REVISAR VÍNCULO: destinador diferente do MTR",IF(X445=1,"Destinador diferente do MTR (analisado)","OK")))))))</f>
        <v/>
      </c>
      <c r="N445" s="96">
        <f>IF(COUNTA(B445:C445,F445:G445,J445:K445)&gt;0,1,0)</f>
        <v>0</v>
      </c>
      <c r="O445" s="96" t="str">
        <f>IF(B445="","",TRIM(LEFT(B445,FIND(" |",B445&amp;" |")-1)))</f>
        <v/>
      </c>
      <c r="P445" s="96" t="str">
        <f>IF(O445="","",IFERROR(MATCH(O445,'CDFs'!$A$6:$A$505,0),""))</f>
        <v/>
      </c>
      <c r="Q445" s="96">
        <f>IF(P445="",0,IF(INDEX('CDFs'!$S$6:$S$505,P445)=1,1,0))</f>
        <v>0</v>
      </c>
      <c r="R445" s="96" t="str">
        <f>IF(C445="","",TRIM(LEFT(C445,FIND(" |",C445&amp;" |")-1)))</f>
        <v/>
      </c>
      <c r="S445" s="96" t="str">
        <f>IF(R445="","",IFERROR(MATCH(R445,'ITENS_MTR'!$A$6:$A$1005,0),""))</f>
        <v/>
      </c>
      <c r="T445" s="96">
        <f>IF(S445="",0,IF(INDEX('ITENS_MTR'!$R$6:$R$1005,S445)=1,1,0))</f>
        <v>0</v>
      </c>
      <c r="U445" s="96" t="str">
        <f>IF(G445="","",IFERROR(IF(ISNUMBER(INDEX(cfg_fac,MATCH(G445,cfg_units,0))),IF(INDEX(cfg_fac,MATCH(G445,cfg_units,0))&gt;0,INDEX(cfg_fac,MATCH(G445,cfg_units,0)),""),""),""))</f>
        <v/>
      </c>
      <c r="V445" s="96">
        <f>IF(AND(ISNUMBER(F445),ISNUMBER(H445)),IF(H445&gt;0,1,0),0)</f>
        <v>0</v>
      </c>
      <c r="W445" s="96" t="str">
        <f>IF(T445=1,INDEX('ITENS_MTR'!$AU$6:$AU$1005,S445)&amp;"","")</f>
        <v/>
      </c>
      <c r="X445" s="96">
        <f>IF(AND(Q445=1,T445=1,I445&lt;&gt;"",W445&lt;&gt;""),IF(I445&lt;&gt;W445,1,0),0)</f>
        <v>0</v>
      </c>
      <c r="Y445" s="96">
        <f>IF(N445=0,0,IF(OR(Q445=0,T445=0,V445=0,AND(X445=1,J445&lt;&gt;"Sim")),1,0))</f>
        <v>0</v>
      </c>
      <c r="Z445" s="96">
        <f>IF(Q445=1,INDEX('CDFs'!$W$6:$W$505,P445),0)</f>
        <v>0</v>
      </c>
      <c r="AA445" s="96">
        <f>IF(AND(N445=1,Y445=0,Z445=1,J445="Sim"),1,0)</f>
        <v>0</v>
      </c>
      <c r="AB445" s="96">
        <f>IF(AND(N445=1,O445&lt;&gt;"",D445&lt;&gt;""),IF(COUNTIFS($O$6:O445,O445,$D$6:D445,D445)=1,1,0),0)</f>
        <v>0</v>
      </c>
      <c r="AC445" s="96">
        <f>IF(T445=1,INDEX('ITENS_MTR'!$AL$6:$AL$1005,S445),0)</f>
        <v>0</v>
      </c>
    </row>
    <row r="446">
      <c r="A446" s="89" t="inlineStr">
        <is>
          <t>VIN-000441</t>
        </is>
      </c>
      <c r="B446" s="91" t="n"/>
      <c r="C446" s="91" t="n"/>
      <c r="D446" s="94" t="str">
        <f>IF(T446=1,INDEX('ITENS_MTR'!$S$6:$S$1005,S446)&amp;"","")</f>
        <v/>
      </c>
      <c r="E446" s="94" t="str">
        <f>IF(T446=1,INDEX('ITENS_MTR'!$C$6:$C$1005,S446)&amp;"","")</f>
        <v/>
      </c>
      <c r="F446" s="98" t="n"/>
      <c r="G446" s="91" t="n"/>
      <c r="H446" s="93" t="str">
        <f>IF(N446=0,"",IF(NOT(ISNUMBER(F446)),"",IF(ISNUMBER(U446),F446*U446,"UNIDADE A CONFERIR")))</f>
        <v/>
      </c>
      <c r="I446" s="94" t="str">
        <f>IF(Q446=1,INDEX('CDFs'!$F$6:$F$505,P446)&amp;"","")</f>
        <v/>
      </c>
      <c r="J446" s="91" t="n"/>
      <c r="K446" s="91" t="n"/>
      <c r="L446" s="94" t="str">
        <f>IF(N446=0,"",IF(NOT(ISNUMBER(F446)),"Quantidade não informada",IF(F446&lt;=0,"Quantidade não positiva",IF(G446="","Unidade não informada",IF(NOT(ISNUMBER(H446)),"Unidade a conferir",IF(AC446=1,"REVISAR VÍNCULO: soma vinculada maior que a referência do item","OK"))))))</f>
        <v/>
      </c>
      <c r="M446" s="94" t="str">
        <f>IF(N446=0,"",IF(B446="","CDF não informado",IF(Q446=0,"REVISAR VÍNCULO: CDF inexistente",IF(C446="","Item não informado",IF(T446=0,"REVISAR VÍNCULO: item inexistente",IF(AND(X446=1,J446&lt;&gt;"Sim"),"REVISAR VÍNCULO: destinador diferente do MTR",IF(X446=1,"Destinador diferente do MTR (analisado)","OK")))))))</f>
        <v/>
      </c>
      <c r="N446" s="96">
        <f>IF(COUNTA(B446:C446,F446:G446,J446:K446)&gt;0,1,0)</f>
        <v>0</v>
      </c>
      <c r="O446" s="96" t="str">
        <f>IF(B446="","",TRIM(LEFT(B446,FIND(" |",B446&amp;" |")-1)))</f>
        <v/>
      </c>
      <c r="P446" s="96" t="str">
        <f>IF(O446="","",IFERROR(MATCH(O446,'CDFs'!$A$6:$A$505,0),""))</f>
        <v/>
      </c>
      <c r="Q446" s="96">
        <f>IF(P446="",0,IF(INDEX('CDFs'!$S$6:$S$505,P446)=1,1,0))</f>
        <v>0</v>
      </c>
      <c r="R446" s="96" t="str">
        <f>IF(C446="","",TRIM(LEFT(C446,FIND(" |",C446&amp;" |")-1)))</f>
        <v/>
      </c>
      <c r="S446" s="96" t="str">
        <f>IF(R446="","",IFERROR(MATCH(R446,'ITENS_MTR'!$A$6:$A$1005,0),""))</f>
        <v/>
      </c>
      <c r="T446" s="96">
        <f>IF(S446="",0,IF(INDEX('ITENS_MTR'!$R$6:$R$1005,S446)=1,1,0))</f>
        <v>0</v>
      </c>
      <c r="U446" s="96" t="str">
        <f>IF(G446="","",IFERROR(IF(ISNUMBER(INDEX(cfg_fac,MATCH(G446,cfg_units,0))),IF(INDEX(cfg_fac,MATCH(G446,cfg_units,0))&gt;0,INDEX(cfg_fac,MATCH(G446,cfg_units,0)),""),""),""))</f>
        <v/>
      </c>
      <c r="V446" s="96">
        <f>IF(AND(ISNUMBER(F446),ISNUMBER(H446)),IF(H446&gt;0,1,0),0)</f>
        <v>0</v>
      </c>
      <c r="W446" s="96" t="str">
        <f>IF(T446=1,INDEX('ITENS_MTR'!$AU$6:$AU$1005,S446)&amp;"","")</f>
        <v/>
      </c>
      <c r="X446" s="96">
        <f>IF(AND(Q446=1,T446=1,I446&lt;&gt;"",W446&lt;&gt;""),IF(I446&lt;&gt;W446,1,0),0)</f>
        <v>0</v>
      </c>
      <c r="Y446" s="96">
        <f>IF(N446=0,0,IF(OR(Q446=0,T446=0,V446=0,AND(X446=1,J446&lt;&gt;"Sim")),1,0))</f>
        <v>0</v>
      </c>
      <c r="Z446" s="96">
        <f>IF(Q446=1,INDEX('CDFs'!$W$6:$W$505,P446),0)</f>
        <v>0</v>
      </c>
      <c r="AA446" s="96">
        <f>IF(AND(N446=1,Y446=0,Z446=1,J446="Sim"),1,0)</f>
        <v>0</v>
      </c>
      <c r="AB446" s="96">
        <f>IF(AND(N446=1,O446&lt;&gt;"",D446&lt;&gt;""),IF(COUNTIFS($O$6:O446,O446,$D$6:D446,D446)=1,1,0),0)</f>
        <v>0</v>
      </c>
      <c r="AC446" s="96">
        <f>IF(T446=1,INDEX('ITENS_MTR'!$AL$6:$AL$1005,S446),0)</f>
        <v>0</v>
      </c>
    </row>
    <row r="447">
      <c r="A447" s="89" t="inlineStr">
        <is>
          <t>VIN-000442</t>
        </is>
      </c>
      <c r="B447" s="91" t="n"/>
      <c r="C447" s="91" t="n"/>
      <c r="D447" s="94" t="str">
        <f>IF(T447=1,INDEX('ITENS_MTR'!$S$6:$S$1005,S447)&amp;"","")</f>
        <v/>
      </c>
      <c r="E447" s="94" t="str">
        <f>IF(T447=1,INDEX('ITENS_MTR'!$C$6:$C$1005,S447)&amp;"","")</f>
        <v/>
      </c>
      <c r="F447" s="98" t="n"/>
      <c r="G447" s="91" t="n"/>
      <c r="H447" s="93" t="str">
        <f>IF(N447=0,"",IF(NOT(ISNUMBER(F447)),"",IF(ISNUMBER(U447),F447*U447,"UNIDADE A CONFERIR")))</f>
        <v/>
      </c>
      <c r="I447" s="94" t="str">
        <f>IF(Q447=1,INDEX('CDFs'!$F$6:$F$505,P447)&amp;"","")</f>
        <v/>
      </c>
      <c r="J447" s="91" t="n"/>
      <c r="K447" s="91" t="n"/>
      <c r="L447" s="94" t="str">
        <f>IF(N447=0,"",IF(NOT(ISNUMBER(F447)),"Quantidade não informada",IF(F447&lt;=0,"Quantidade não positiva",IF(G447="","Unidade não informada",IF(NOT(ISNUMBER(H447)),"Unidade a conferir",IF(AC447=1,"REVISAR VÍNCULO: soma vinculada maior que a referência do item","OK"))))))</f>
        <v/>
      </c>
      <c r="M447" s="94" t="str">
        <f>IF(N447=0,"",IF(B447="","CDF não informado",IF(Q447=0,"REVISAR VÍNCULO: CDF inexistente",IF(C447="","Item não informado",IF(T447=0,"REVISAR VÍNCULO: item inexistente",IF(AND(X447=1,J447&lt;&gt;"Sim"),"REVISAR VÍNCULO: destinador diferente do MTR",IF(X447=1,"Destinador diferente do MTR (analisado)","OK")))))))</f>
        <v/>
      </c>
      <c r="N447" s="96">
        <f>IF(COUNTA(B447:C447,F447:G447,J447:K447)&gt;0,1,0)</f>
        <v>0</v>
      </c>
      <c r="O447" s="96" t="str">
        <f>IF(B447="","",TRIM(LEFT(B447,FIND(" |",B447&amp;" |")-1)))</f>
        <v/>
      </c>
      <c r="P447" s="96" t="str">
        <f>IF(O447="","",IFERROR(MATCH(O447,'CDFs'!$A$6:$A$505,0),""))</f>
        <v/>
      </c>
      <c r="Q447" s="96">
        <f>IF(P447="",0,IF(INDEX('CDFs'!$S$6:$S$505,P447)=1,1,0))</f>
        <v>0</v>
      </c>
      <c r="R447" s="96" t="str">
        <f>IF(C447="","",TRIM(LEFT(C447,FIND(" |",C447&amp;" |")-1)))</f>
        <v/>
      </c>
      <c r="S447" s="96" t="str">
        <f>IF(R447="","",IFERROR(MATCH(R447,'ITENS_MTR'!$A$6:$A$1005,0),""))</f>
        <v/>
      </c>
      <c r="T447" s="96">
        <f>IF(S447="",0,IF(INDEX('ITENS_MTR'!$R$6:$R$1005,S447)=1,1,0))</f>
        <v>0</v>
      </c>
      <c r="U447" s="96" t="str">
        <f>IF(G447="","",IFERROR(IF(ISNUMBER(INDEX(cfg_fac,MATCH(G447,cfg_units,0))),IF(INDEX(cfg_fac,MATCH(G447,cfg_units,0))&gt;0,INDEX(cfg_fac,MATCH(G447,cfg_units,0)),""),""),""))</f>
        <v/>
      </c>
      <c r="V447" s="96">
        <f>IF(AND(ISNUMBER(F447),ISNUMBER(H447)),IF(H447&gt;0,1,0),0)</f>
        <v>0</v>
      </c>
      <c r="W447" s="96" t="str">
        <f>IF(T447=1,INDEX('ITENS_MTR'!$AU$6:$AU$1005,S447)&amp;"","")</f>
        <v/>
      </c>
      <c r="X447" s="96">
        <f>IF(AND(Q447=1,T447=1,I447&lt;&gt;"",W447&lt;&gt;""),IF(I447&lt;&gt;W447,1,0),0)</f>
        <v>0</v>
      </c>
      <c r="Y447" s="96">
        <f>IF(N447=0,0,IF(OR(Q447=0,T447=0,V447=0,AND(X447=1,J447&lt;&gt;"Sim")),1,0))</f>
        <v>0</v>
      </c>
      <c r="Z447" s="96">
        <f>IF(Q447=1,INDEX('CDFs'!$W$6:$W$505,P447),0)</f>
        <v>0</v>
      </c>
      <c r="AA447" s="96">
        <f>IF(AND(N447=1,Y447=0,Z447=1,J447="Sim"),1,0)</f>
        <v>0</v>
      </c>
      <c r="AB447" s="96">
        <f>IF(AND(N447=1,O447&lt;&gt;"",D447&lt;&gt;""),IF(COUNTIFS($O$6:O447,O447,$D$6:D447,D447)=1,1,0),0)</f>
        <v>0</v>
      </c>
      <c r="AC447" s="96">
        <f>IF(T447=1,INDEX('ITENS_MTR'!$AL$6:$AL$1005,S447),0)</f>
        <v>0</v>
      </c>
    </row>
    <row r="448">
      <c r="A448" s="89" t="inlineStr">
        <is>
          <t>VIN-000443</t>
        </is>
      </c>
      <c r="B448" s="91" t="n"/>
      <c r="C448" s="91" t="n"/>
      <c r="D448" s="94" t="str">
        <f>IF(T448=1,INDEX('ITENS_MTR'!$S$6:$S$1005,S448)&amp;"","")</f>
        <v/>
      </c>
      <c r="E448" s="94" t="str">
        <f>IF(T448=1,INDEX('ITENS_MTR'!$C$6:$C$1005,S448)&amp;"","")</f>
        <v/>
      </c>
      <c r="F448" s="98" t="n"/>
      <c r="G448" s="91" t="n"/>
      <c r="H448" s="93" t="str">
        <f>IF(N448=0,"",IF(NOT(ISNUMBER(F448)),"",IF(ISNUMBER(U448),F448*U448,"UNIDADE A CONFERIR")))</f>
        <v/>
      </c>
      <c r="I448" s="94" t="str">
        <f>IF(Q448=1,INDEX('CDFs'!$F$6:$F$505,P448)&amp;"","")</f>
        <v/>
      </c>
      <c r="J448" s="91" t="n"/>
      <c r="K448" s="91" t="n"/>
      <c r="L448" s="94" t="str">
        <f>IF(N448=0,"",IF(NOT(ISNUMBER(F448)),"Quantidade não informada",IF(F448&lt;=0,"Quantidade não positiva",IF(G448="","Unidade não informada",IF(NOT(ISNUMBER(H448)),"Unidade a conferir",IF(AC448=1,"REVISAR VÍNCULO: soma vinculada maior que a referência do item","OK"))))))</f>
        <v/>
      </c>
      <c r="M448" s="94" t="str">
        <f>IF(N448=0,"",IF(B448="","CDF não informado",IF(Q448=0,"REVISAR VÍNCULO: CDF inexistente",IF(C448="","Item não informado",IF(T448=0,"REVISAR VÍNCULO: item inexistente",IF(AND(X448=1,J448&lt;&gt;"Sim"),"REVISAR VÍNCULO: destinador diferente do MTR",IF(X448=1,"Destinador diferente do MTR (analisado)","OK")))))))</f>
        <v/>
      </c>
      <c r="N448" s="96">
        <f>IF(COUNTA(B448:C448,F448:G448,J448:K448)&gt;0,1,0)</f>
        <v>0</v>
      </c>
      <c r="O448" s="96" t="str">
        <f>IF(B448="","",TRIM(LEFT(B448,FIND(" |",B448&amp;" |")-1)))</f>
        <v/>
      </c>
      <c r="P448" s="96" t="str">
        <f>IF(O448="","",IFERROR(MATCH(O448,'CDFs'!$A$6:$A$505,0),""))</f>
        <v/>
      </c>
      <c r="Q448" s="96">
        <f>IF(P448="",0,IF(INDEX('CDFs'!$S$6:$S$505,P448)=1,1,0))</f>
        <v>0</v>
      </c>
      <c r="R448" s="96" t="str">
        <f>IF(C448="","",TRIM(LEFT(C448,FIND(" |",C448&amp;" |")-1)))</f>
        <v/>
      </c>
      <c r="S448" s="96" t="str">
        <f>IF(R448="","",IFERROR(MATCH(R448,'ITENS_MTR'!$A$6:$A$1005,0),""))</f>
        <v/>
      </c>
      <c r="T448" s="96">
        <f>IF(S448="",0,IF(INDEX('ITENS_MTR'!$R$6:$R$1005,S448)=1,1,0))</f>
        <v>0</v>
      </c>
      <c r="U448" s="96" t="str">
        <f>IF(G448="","",IFERROR(IF(ISNUMBER(INDEX(cfg_fac,MATCH(G448,cfg_units,0))),IF(INDEX(cfg_fac,MATCH(G448,cfg_units,0))&gt;0,INDEX(cfg_fac,MATCH(G448,cfg_units,0)),""),""),""))</f>
        <v/>
      </c>
      <c r="V448" s="96">
        <f>IF(AND(ISNUMBER(F448),ISNUMBER(H448)),IF(H448&gt;0,1,0),0)</f>
        <v>0</v>
      </c>
      <c r="W448" s="96" t="str">
        <f>IF(T448=1,INDEX('ITENS_MTR'!$AU$6:$AU$1005,S448)&amp;"","")</f>
        <v/>
      </c>
      <c r="X448" s="96">
        <f>IF(AND(Q448=1,T448=1,I448&lt;&gt;"",W448&lt;&gt;""),IF(I448&lt;&gt;W448,1,0),0)</f>
        <v>0</v>
      </c>
      <c r="Y448" s="96">
        <f>IF(N448=0,0,IF(OR(Q448=0,T448=0,V448=0,AND(X448=1,J448&lt;&gt;"Sim")),1,0))</f>
        <v>0</v>
      </c>
      <c r="Z448" s="96">
        <f>IF(Q448=1,INDEX('CDFs'!$W$6:$W$505,P448),0)</f>
        <v>0</v>
      </c>
      <c r="AA448" s="96">
        <f>IF(AND(N448=1,Y448=0,Z448=1,J448="Sim"),1,0)</f>
        <v>0</v>
      </c>
      <c r="AB448" s="96">
        <f>IF(AND(N448=1,O448&lt;&gt;"",D448&lt;&gt;""),IF(COUNTIFS($O$6:O448,O448,$D$6:D448,D448)=1,1,0),0)</f>
        <v>0</v>
      </c>
      <c r="AC448" s="96">
        <f>IF(T448=1,INDEX('ITENS_MTR'!$AL$6:$AL$1005,S448),0)</f>
        <v>0</v>
      </c>
    </row>
    <row r="449">
      <c r="A449" s="89" t="inlineStr">
        <is>
          <t>VIN-000444</t>
        </is>
      </c>
      <c r="B449" s="91" t="n"/>
      <c r="C449" s="91" t="n"/>
      <c r="D449" s="94" t="str">
        <f>IF(T449=1,INDEX('ITENS_MTR'!$S$6:$S$1005,S449)&amp;"","")</f>
        <v/>
      </c>
      <c r="E449" s="94" t="str">
        <f>IF(T449=1,INDEX('ITENS_MTR'!$C$6:$C$1005,S449)&amp;"","")</f>
        <v/>
      </c>
      <c r="F449" s="98" t="n"/>
      <c r="G449" s="91" t="n"/>
      <c r="H449" s="93" t="str">
        <f>IF(N449=0,"",IF(NOT(ISNUMBER(F449)),"",IF(ISNUMBER(U449),F449*U449,"UNIDADE A CONFERIR")))</f>
        <v/>
      </c>
      <c r="I449" s="94" t="str">
        <f>IF(Q449=1,INDEX('CDFs'!$F$6:$F$505,P449)&amp;"","")</f>
        <v/>
      </c>
      <c r="J449" s="91" t="n"/>
      <c r="K449" s="91" t="n"/>
      <c r="L449" s="94" t="str">
        <f>IF(N449=0,"",IF(NOT(ISNUMBER(F449)),"Quantidade não informada",IF(F449&lt;=0,"Quantidade não positiva",IF(G449="","Unidade não informada",IF(NOT(ISNUMBER(H449)),"Unidade a conferir",IF(AC449=1,"REVISAR VÍNCULO: soma vinculada maior que a referência do item","OK"))))))</f>
        <v/>
      </c>
      <c r="M449" s="94" t="str">
        <f>IF(N449=0,"",IF(B449="","CDF não informado",IF(Q449=0,"REVISAR VÍNCULO: CDF inexistente",IF(C449="","Item não informado",IF(T449=0,"REVISAR VÍNCULO: item inexistente",IF(AND(X449=1,J449&lt;&gt;"Sim"),"REVISAR VÍNCULO: destinador diferente do MTR",IF(X449=1,"Destinador diferente do MTR (analisado)","OK")))))))</f>
        <v/>
      </c>
      <c r="N449" s="96">
        <f>IF(COUNTA(B449:C449,F449:G449,J449:K449)&gt;0,1,0)</f>
        <v>0</v>
      </c>
      <c r="O449" s="96" t="str">
        <f>IF(B449="","",TRIM(LEFT(B449,FIND(" |",B449&amp;" |")-1)))</f>
        <v/>
      </c>
      <c r="P449" s="96" t="str">
        <f>IF(O449="","",IFERROR(MATCH(O449,'CDFs'!$A$6:$A$505,0),""))</f>
        <v/>
      </c>
      <c r="Q449" s="96">
        <f>IF(P449="",0,IF(INDEX('CDFs'!$S$6:$S$505,P449)=1,1,0))</f>
        <v>0</v>
      </c>
      <c r="R449" s="96" t="str">
        <f>IF(C449="","",TRIM(LEFT(C449,FIND(" |",C449&amp;" |")-1)))</f>
        <v/>
      </c>
      <c r="S449" s="96" t="str">
        <f>IF(R449="","",IFERROR(MATCH(R449,'ITENS_MTR'!$A$6:$A$1005,0),""))</f>
        <v/>
      </c>
      <c r="T449" s="96">
        <f>IF(S449="",0,IF(INDEX('ITENS_MTR'!$R$6:$R$1005,S449)=1,1,0))</f>
        <v>0</v>
      </c>
      <c r="U449" s="96" t="str">
        <f>IF(G449="","",IFERROR(IF(ISNUMBER(INDEX(cfg_fac,MATCH(G449,cfg_units,0))),IF(INDEX(cfg_fac,MATCH(G449,cfg_units,0))&gt;0,INDEX(cfg_fac,MATCH(G449,cfg_units,0)),""),""),""))</f>
        <v/>
      </c>
      <c r="V449" s="96">
        <f>IF(AND(ISNUMBER(F449),ISNUMBER(H449)),IF(H449&gt;0,1,0),0)</f>
        <v>0</v>
      </c>
      <c r="W449" s="96" t="str">
        <f>IF(T449=1,INDEX('ITENS_MTR'!$AU$6:$AU$1005,S449)&amp;"","")</f>
        <v/>
      </c>
      <c r="X449" s="96">
        <f>IF(AND(Q449=1,T449=1,I449&lt;&gt;"",W449&lt;&gt;""),IF(I449&lt;&gt;W449,1,0),0)</f>
        <v>0</v>
      </c>
      <c r="Y449" s="96">
        <f>IF(N449=0,0,IF(OR(Q449=0,T449=0,V449=0,AND(X449=1,J449&lt;&gt;"Sim")),1,0))</f>
        <v>0</v>
      </c>
      <c r="Z449" s="96">
        <f>IF(Q449=1,INDEX('CDFs'!$W$6:$W$505,P449),0)</f>
        <v>0</v>
      </c>
      <c r="AA449" s="96">
        <f>IF(AND(N449=1,Y449=0,Z449=1,J449="Sim"),1,0)</f>
        <v>0</v>
      </c>
      <c r="AB449" s="96">
        <f>IF(AND(N449=1,O449&lt;&gt;"",D449&lt;&gt;""),IF(COUNTIFS($O$6:O449,O449,$D$6:D449,D449)=1,1,0),0)</f>
        <v>0</v>
      </c>
      <c r="AC449" s="96">
        <f>IF(T449=1,INDEX('ITENS_MTR'!$AL$6:$AL$1005,S449),0)</f>
        <v>0</v>
      </c>
    </row>
    <row r="450">
      <c r="A450" s="89" t="inlineStr">
        <is>
          <t>VIN-000445</t>
        </is>
      </c>
      <c r="B450" s="91" t="n"/>
      <c r="C450" s="91" t="n"/>
      <c r="D450" s="94" t="str">
        <f>IF(T450=1,INDEX('ITENS_MTR'!$S$6:$S$1005,S450)&amp;"","")</f>
        <v/>
      </c>
      <c r="E450" s="94" t="str">
        <f>IF(T450=1,INDEX('ITENS_MTR'!$C$6:$C$1005,S450)&amp;"","")</f>
        <v/>
      </c>
      <c r="F450" s="98" t="n"/>
      <c r="G450" s="91" t="n"/>
      <c r="H450" s="93" t="str">
        <f>IF(N450=0,"",IF(NOT(ISNUMBER(F450)),"",IF(ISNUMBER(U450),F450*U450,"UNIDADE A CONFERIR")))</f>
        <v/>
      </c>
      <c r="I450" s="94" t="str">
        <f>IF(Q450=1,INDEX('CDFs'!$F$6:$F$505,P450)&amp;"","")</f>
        <v/>
      </c>
      <c r="J450" s="91" t="n"/>
      <c r="K450" s="91" t="n"/>
      <c r="L450" s="94" t="str">
        <f>IF(N450=0,"",IF(NOT(ISNUMBER(F450)),"Quantidade não informada",IF(F450&lt;=0,"Quantidade não positiva",IF(G450="","Unidade não informada",IF(NOT(ISNUMBER(H450)),"Unidade a conferir",IF(AC450=1,"REVISAR VÍNCULO: soma vinculada maior que a referência do item","OK"))))))</f>
        <v/>
      </c>
      <c r="M450" s="94" t="str">
        <f>IF(N450=0,"",IF(B450="","CDF não informado",IF(Q450=0,"REVISAR VÍNCULO: CDF inexistente",IF(C450="","Item não informado",IF(T450=0,"REVISAR VÍNCULO: item inexistente",IF(AND(X450=1,J450&lt;&gt;"Sim"),"REVISAR VÍNCULO: destinador diferente do MTR",IF(X450=1,"Destinador diferente do MTR (analisado)","OK")))))))</f>
        <v/>
      </c>
      <c r="N450" s="96">
        <f>IF(COUNTA(B450:C450,F450:G450,J450:K450)&gt;0,1,0)</f>
        <v>0</v>
      </c>
      <c r="O450" s="96" t="str">
        <f>IF(B450="","",TRIM(LEFT(B450,FIND(" |",B450&amp;" |")-1)))</f>
        <v/>
      </c>
      <c r="P450" s="96" t="str">
        <f>IF(O450="","",IFERROR(MATCH(O450,'CDFs'!$A$6:$A$505,0),""))</f>
        <v/>
      </c>
      <c r="Q450" s="96">
        <f>IF(P450="",0,IF(INDEX('CDFs'!$S$6:$S$505,P450)=1,1,0))</f>
        <v>0</v>
      </c>
      <c r="R450" s="96" t="str">
        <f>IF(C450="","",TRIM(LEFT(C450,FIND(" |",C450&amp;" |")-1)))</f>
        <v/>
      </c>
      <c r="S450" s="96" t="str">
        <f>IF(R450="","",IFERROR(MATCH(R450,'ITENS_MTR'!$A$6:$A$1005,0),""))</f>
        <v/>
      </c>
      <c r="T450" s="96">
        <f>IF(S450="",0,IF(INDEX('ITENS_MTR'!$R$6:$R$1005,S450)=1,1,0))</f>
        <v>0</v>
      </c>
      <c r="U450" s="96" t="str">
        <f>IF(G450="","",IFERROR(IF(ISNUMBER(INDEX(cfg_fac,MATCH(G450,cfg_units,0))),IF(INDEX(cfg_fac,MATCH(G450,cfg_units,0))&gt;0,INDEX(cfg_fac,MATCH(G450,cfg_units,0)),""),""),""))</f>
        <v/>
      </c>
      <c r="V450" s="96">
        <f>IF(AND(ISNUMBER(F450),ISNUMBER(H450)),IF(H450&gt;0,1,0),0)</f>
        <v>0</v>
      </c>
      <c r="W450" s="96" t="str">
        <f>IF(T450=1,INDEX('ITENS_MTR'!$AU$6:$AU$1005,S450)&amp;"","")</f>
        <v/>
      </c>
      <c r="X450" s="96">
        <f>IF(AND(Q450=1,T450=1,I450&lt;&gt;"",W450&lt;&gt;""),IF(I450&lt;&gt;W450,1,0),0)</f>
        <v>0</v>
      </c>
      <c r="Y450" s="96">
        <f>IF(N450=0,0,IF(OR(Q450=0,T450=0,V450=0,AND(X450=1,J450&lt;&gt;"Sim")),1,0))</f>
        <v>0</v>
      </c>
      <c r="Z450" s="96">
        <f>IF(Q450=1,INDEX('CDFs'!$W$6:$W$505,P450),0)</f>
        <v>0</v>
      </c>
      <c r="AA450" s="96">
        <f>IF(AND(N450=1,Y450=0,Z450=1,J450="Sim"),1,0)</f>
        <v>0</v>
      </c>
      <c r="AB450" s="96">
        <f>IF(AND(N450=1,O450&lt;&gt;"",D450&lt;&gt;""),IF(COUNTIFS($O$6:O450,O450,$D$6:D450,D450)=1,1,0),0)</f>
        <v>0</v>
      </c>
      <c r="AC450" s="96">
        <f>IF(T450=1,INDEX('ITENS_MTR'!$AL$6:$AL$1005,S450),0)</f>
        <v>0</v>
      </c>
    </row>
    <row r="451">
      <c r="A451" s="89" t="inlineStr">
        <is>
          <t>VIN-000446</t>
        </is>
      </c>
      <c r="B451" s="91" t="n"/>
      <c r="C451" s="91" t="n"/>
      <c r="D451" s="94" t="str">
        <f>IF(T451=1,INDEX('ITENS_MTR'!$S$6:$S$1005,S451)&amp;"","")</f>
        <v/>
      </c>
      <c r="E451" s="94" t="str">
        <f>IF(T451=1,INDEX('ITENS_MTR'!$C$6:$C$1005,S451)&amp;"","")</f>
        <v/>
      </c>
      <c r="F451" s="98" t="n"/>
      <c r="G451" s="91" t="n"/>
      <c r="H451" s="93" t="str">
        <f>IF(N451=0,"",IF(NOT(ISNUMBER(F451)),"",IF(ISNUMBER(U451),F451*U451,"UNIDADE A CONFERIR")))</f>
        <v/>
      </c>
      <c r="I451" s="94" t="str">
        <f>IF(Q451=1,INDEX('CDFs'!$F$6:$F$505,P451)&amp;"","")</f>
        <v/>
      </c>
      <c r="J451" s="91" t="n"/>
      <c r="K451" s="91" t="n"/>
      <c r="L451" s="94" t="str">
        <f>IF(N451=0,"",IF(NOT(ISNUMBER(F451)),"Quantidade não informada",IF(F451&lt;=0,"Quantidade não positiva",IF(G451="","Unidade não informada",IF(NOT(ISNUMBER(H451)),"Unidade a conferir",IF(AC451=1,"REVISAR VÍNCULO: soma vinculada maior que a referência do item","OK"))))))</f>
        <v/>
      </c>
      <c r="M451" s="94" t="str">
        <f>IF(N451=0,"",IF(B451="","CDF não informado",IF(Q451=0,"REVISAR VÍNCULO: CDF inexistente",IF(C451="","Item não informado",IF(T451=0,"REVISAR VÍNCULO: item inexistente",IF(AND(X451=1,J451&lt;&gt;"Sim"),"REVISAR VÍNCULO: destinador diferente do MTR",IF(X451=1,"Destinador diferente do MTR (analisado)","OK")))))))</f>
        <v/>
      </c>
      <c r="N451" s="96">
        <f>IF(COUNTA(B451:C451,F451:G451,J451:K451)&gt;0,1,0)</f>
        <v>0</v>
      </c>
      <c r="O451" s="96" t="str">
        <f>IF(B451="","",TRIM(LEFT(B451,FIND(" |",B451&amp;" |")-1)))</f>
        <v/>
      </c>
      <c r="P451" s="96" t="str">
        <f>IF(O451="","",IFERROR(MATCH(O451,'CDFs'!$A$6:$A$505,0),""))</f>
        <v/>
      </c>
      <c r="Q451" s="96">
        <f>IF(P451="",0,IF(INDEX('CDFs'!$S$6:$S$505,P451)=1,1,0))</f>
        <v>0</v>
      </c>
      <c r="R451" s="96" t="str">
        <f>IF(C451="","",TRIM(LEFT(C451,FIND(" |",C451&amp;" |")-1)))</f>
        <v/>
      </c>
      <c r="S451" s="96" t="str">
        <f>IF(R451="","",IFERROR(MATCH(R451,'ITENS_MTR'!$A$6:$A$1005,0),""))</f>
        <v/>
      </c>
      <c r="T451" s="96">
        <f>IF(S451="",0,IF(INDEX('ITENS_MTR'!$R$6:$R$1005,S451)=1,1,0))</f>
        <v>0</v>
      </c>
      <c r="U451" s="96" t="str">
        <f>IF(G451="","",IFERROR(IF(ISNUMBER(INDEX(cfg_fac,MATCH(G451,cfg_units,0))),IF(INDEX(cfg_fac,MATCH(G451,cfg_units,0))&gt;0,INDEX(cfg_fac,MATCH(G451,cfg_units,0)),""),""),""))</f>
        <v/>
      </c>
      <c r="V451" s="96">
        <f>IF(AND(ISNUMBER(F451),ISNUMBER(H451)),IF(H451&gt;0,1,0),0)</f>
        <v>0</v>
      </c>
      <c r="W451" s="96" t="str">
        <f>IF(T451=1,INDEX('ITENS_MTR'!$AU$6:$AU$1005,S451)&amp;"","")</f>
        <v/>
      </c>
      <c r="X451" s="96">
        <f>IF(AND(Q451=1,T451=1,I451&lt;&gt;"",W451&lt;&gt;""),IF(I451&lt;&gt;W451,1,0),0)</f>
        <v>0</v>
      </c>
      <c r="Y451" s="96">
        <f>IF(N451=0,0,IF(OR(Q451=0,T451=0,V451=0,AND(X451=1,J451&lt;&gt;"Sim")),1,0))</f>
        <v>0</v>
      </c>
      <c r="Z451" s="96">
        <f>IF(Q451=1,INDEX('CDFs'!$W$6:$W$505,P451),0)</f>
        <v>0</v>
      </c>
      <c r="AA451" s="96">
        <f>IF(AND(N451=1,Y451=0,Z451=1,J451="Sim"),1,0)</f>
        <v>0</v>
      </c>
      <c r="AB451" s="96">
        <f>IF(AND(N451=1,O451&lt;&gt;"",D451&lt;&gt;""),IF(COUNTIFS($O$6:O451,O451,$D$6:D451,D451)=1,1,0),0)</f>
        <v>0</v>
      </c>
      <c r="AC451" s="96">
        <f>IF(T451=1,INDEX('ITENS_MTR'!$AL$6:$AL$1005,S451),0)</f>
        <v>0</v>
      </c>
    </row>
    <row r="452">
      <c r="A452" s="89" t="inlineStr">
        <is>
          <t>VIN-000447</t>
        </is>
      </c>
      <c r="B452" s="91" t="n"/>
      <c r="C452" s="91" t="n"/>
      <c r="D452" s="94" t="str">
        <f>IF(T452=1,INDEX('ITENS_MTR'!$S$6:$S$1005,S452)&amp;"","")</f>
        <v/>
      </c>
      <c r="E452" s="94" t="str">
        <f>IF(T452=1,INDEX('ITENS_MTR'!$C$6:$C$1005,S452)&amp;"","")</f>
        <v/>
      </c>
      <c r="F452" s="98" t="n"/>
      <c r="G452" s="91" t="n"/>
      <c r="H452" s="93" t="str">
        <f>IF(N452=0,"",IF(NOT(ISNUMBER(F452)),"",IF(ISNUMBER(U452),F452*U452,"UNIDADE A CONFERIR")))</f>
        <v/>
      </c>
      <c r="I452" s="94" t="str">
        <f>IF(Q452=1,INDEX('CDFs'!$F$6:$F$505,P452)&amp;"","")</f>
        <v/>
      </c>
      <c r="J452" s="91" t="n"/>
      <c r="K452" s="91" t="n"/>
      <c r="L452" s="94" t="str">
        <f>IF(N452=0,"",IF(NOT(ISNUMBER(F452)),"Quantidade não informada",IF(F452&lt;=0,"Quantidade não positiva",IF(G452="","Unidade não informada",IF(NOT(ISNUMBER(H452)),"Unidade a conferir",IF(AC452=1,"REVISAR VÍNCULO: soma vinculada maior que a referência do item","OK"))))))</f>
        <v/>
      </c>
      <c r="M452" s="94" t="str">
        <f>IF(N452=0,"",IF(B452="","CDF não informado",IF(Q452=0,"REVISAR VÍNCULO: CDF inexistente",IF(C452="","Item não informado",IF(T452=0,"REVISAR VÍNCULO: item inexistente",IF(AND(X452=1,J452&lt;&gt;"Sim"),"REVISAR VÍNCULO: destinador diferente do MTR",IF(X452=1,"Destinador diferente do MTR (analisado)","OK")))))))</f>
        <v/>
      </c>
      <c r="N452" s="96">
        <f>IF(COUNTA(B452:C452,F452:G452,J452:K452)&gt;0,1,0)</f>
        <v>0</v>
      </c>
      <c r="O452" s="96" t="str">
        <f>IF(B452="","",TRIM(LEFT(B452,FIND(" |",B452&amp;" |")-1)))</f>
        <v/>
      </c>
      <c r="P452" s="96" t="str">
        <f>IF(O452="","",IFERROR(MATCH(O452,'CDFs'!$A$6:$A$505,0),""))</f>
        <v/>
      </c>
      <c r="Q452" s="96">
        <f>IF(P452="",0,IF(INDEX('CDFs'!$S$6:$S$505,P452)=1,1,0))</f>
        <v>0</v>
      </c>
      <c r="R452" s="96" t="str">
        <f>IF(C452="","",TRIM(LEFT(C452,FIND(" |",C452&amp;" |")-1)))</f>
        <v/>
      </c>
      <c r="S452" s="96" t="str">
        <f>IF(R452="","",IFERROR(MATCH(R452,'ITENS_MTR'!$A$6:$A$1005,0),""))</f>
        <v/>
      </c>
      <c r="T452" s="96">
        <f>IF(S452="",0,IF(INDEX('ITENS_MTR'!$R$6:$R$1005,S452)=1,1,0))</f>
        <v>0</v>
      </c>
      <c r="U452" s="96" t="str">
        <f>IF(G452="","",IFERROR(IF(ISNUMBER(INDEX(cfg_fac,MATCH(G452,cfg_units,0))),IF(INDEX(cfg_fac,MATCH(G452,cfg_units,0))&gt;0,INDEX(cfg_fac,MATCH(G452,cfg_units,0)),""),""),""))</f>
        <v/>
      </c>
      <c r="V452" s="96">
        <f>IF(AND(ISNUMBER(F452),ISNUMBER(H452)),IF(H452&gt;0,1,0),0)</f>
        <v>0</v>
      </c>
      <c r="W452" s="96" t="str">
        <f>IF(T452=1,INDEX('ITENS_MTR'!$AU$6:$AU$1005,S452)&amp;"","")</f>
        <v/>
      </c>
      <c r="X452" s="96">
        <f>IF(AND(Q452=1,T452=1,I452&lt;&gt;"",W452&lt;&gt;""),IF(I452&lt;&gt;W452,1,0),0)</f>
        <v>0</v>
      </c>
      <c r="Y452" s="96">
        <f>IF(N452=0,0,IF(OR(Q452=0,T452=0,V452=0,AND(X452=1,J452&lt;&gt;"Sim")),1,0))</f>
        <v>0</v>
      </c>
      <c r="Z452" s="96">
        <f>IF(Q452=1,INDEX('CDFs'!$W$6:$W$505,P452),0)</f>
        <v>0</v>
      </c>
      <c r="AA452" s="96">
        <f>IF(AND(N452=1,Y452=0,Z452=1,J452="Sim"),1,0)</f>
        <v>0</v>
      </c>
      <c r="AB452" s="96">
        <f>IF(AND(N452=1,O452&lt;&gt;"",D452&lt;&gt;""),IF(COUNTIFS($O$6:O452,O452,$D$6:D452,D452)=1,1,0),0)</f>
        <v>0</v>
      </c>
      <c r="AC452" s="96">
        <f>IF(T452=1,INDEX('ITENS_MTR'!$AL$6:$AL$1005,S452),0)</f>
        <v>0</v>
      </c>
    </row>
    <row r="453">
      <c r="A453" s="89" t="inlineStr">
        <is>
          <t>VIN-000448</t>
        </is>
      </c>
      <c r="B453" s="91" t="n"/>
      <c r="C453" s="91" t="n"/>
      <c r="D453" s="94" t="str">
        <f>IF(T453=1,INDEX('ITENS_MTR'!$S$6:$S$1005,S453)&amp;"","")</f>
        <v/>
      </c>
      <c r="E453" s="94" t="str">
        <f>IF(T453=1,INDEX('ITENS_MTR'!$C$6:$C$1005,S453)&amp;"","")</f>
        <v/>
      </c>
      <c r="F453" s="98" t="n"/>
      <c r="G453" s="91" t="n"/>
      <c r="H453" s="93" t="str">
        <f>IF(N453=0,"",IF(NOT(ISNUMBER(F453)),"",IF(ISNUMBER(U453),F453*U453,"UNIDADE A CONFERIR")))</f>
        <v/>
      </c>
      <c r="I453" s="94" t="str">
        <f>IF(Q453=1,INDEX('CDFs'!$F$6:$F$505,P453)&amp;"","")</f>
        <v/>
      </c>
      <c r="J453" s="91" t="n"/>
      <c r="K453" s="91" t="n"/>
      <c r="L453" s="94" t="str">
        <f>IF(N453=0,"",IF(NOT(ISNUMBER(F453)),"Quantidade não informada",IF(F453&lt;=0,"Quantidade não positiva",IF(G453="","Unidade não informada",IF(NOT(ISNUMBER(H453)),"Unidade a conferir",IF(AC453=1,"REVISAR VÍNCULO: soma vinculada maior que a referência do item","OK"))))))</f>
        <v/>
      </c>
      <c r="M453" s="94" t="str">
        <f>IF(N453=0,"",IF(B453="","CDF não informado",IF(Q453=0,"REVISAR VÍNCULO: CDF inexistente",IF(C453="","Item não informado",IF(T453=0,"REVISAR VÍNCULO: item inexistente",IF(AND(X453=1,J453&lt;&gt;"Sim"),"REVISAR VÍNCULO: destinador diferente do MTR",IF(X453=1,"Destinador diferente do MTR (analisado)","OK")))))))</f>
        <v/>
      </c>
      <c r="N453" s="96">
        <f>IF(COUNTA(B453:C453,F453:G453,J453:K453)&gt;0,1,0)</f>
        <v>0</v>
      </c>
      <c r="O453" s="96" t="str">
        <f>IF(B453="","",TRIM(LEFT(B453,FIND(" |",B453&amp;" |")-1)))</f>
        <v/>
      </c>
      <c r="P453" s="96" t="str">
        <f>IF(O453="","",IFERROR(MATCH(O453,'CDFs'!$A$6:$A$505,0),""))</f>
        <v/>
      </c>
      <c r="Q453" s="96">
        <f>IF(P453="",0,IF(INDEX('CDFs'!$S$6:$S$505,P453)=1,1,0))</f>
        <v>0</v>
      </c>
      <c r="R453" s="96" t="str">
        <f>IF(C453="","",TRIM(LEFT(C453,FIND(" |",C453&amp;" |")-1)))</f>
        <v/>
      </c>
      <c r="S453" s="96" t="str">
        <f>IF(R453="","",IFERROR(MATCH(R453,'ITENS_MTR'!$A$6:$A$1005,0),""))</f>
        <v/>
      </c>
      <c r="T453" s="96">
        <f>IF(S453="",0,IF(INDEX('ITENS_MTR'!$R$6:$R$1005,S453)=1,1,0))</f>
        <v>0</v>
      </c>
      <c r="U453" s="96" t="str">
        <f>IF(G453="","",IFERROR(IF(ISNUMBER(INDEX(cfg_fac,MATCH(G453,cfg_units,0))),IF(INDEX(cfg_fac,MATCH(G453,cfg_units,0))&gt;0,INDEX(cfg_fac,MATCH(G453,cfg_units,0)),""),""),""))</f>
        <v/>
      </c>
      <c r="V453" s="96">
        <f>IF(AND(ISNUMBER(F453),ISNUMBER(H453)),IF(H453&gt;0,1,0),0)</f>
        <v>0</v>
      </c>
      <c r="W453" s="96" t="str">
        <f>IF(T453=1,INDEX('ITENS_MTR'!$AU$6:$AU$1005,S453)&amp;"","")</f>
        <v/>
      </c>
      <c r="X453" s="96">
        <f>IF(AND(Q453=1,T453=1,I453&lt;&gt;"",W453&lt;&gt;""),IF(I453&lt;&gt;W453,1,0),0)</f>
        <v>0</v>
      </c>
      <c r="Y453" s="96">
        <f>IF(N453=0,0,IF(OR(Q453=0,T453=0,V453=0,AND(X453=1,J453&lt;&gt;"Sim")),1,0))</f>
        <v>0</v>
      </c>
      <c r="Z453" s="96">
        <f>IF(Q453=1,INDEX('CDFs'!$W$6:$W$505,P453),0)</f>
        <v>0</v>
      </c>
      <c r="AA453" s="96">
        <f>IF(AND(N453=1,Y453=0,Z453=1,J453="Sim"),1,0)</f>
        <v>0</v>
      </c>
      <c r="AB453" s="96">
        <f>IF(AND(N453=1,O453&lt;&gt;"",D453&lt;&gt;""),IF(COUNTIFS($O$6:O453,O453,$D$6:D453,D453)=1,1,0),0)</f>
        <v>0</v>
      </c>
      <c r="AC453" s="96">
        <f>IF(T453=1,INDEX('ITENS_MTR'!$AL$6:$AL$1005,S453),0)</f>
        <v>0</v>
      </c>
    </row>
    <row r="454">
      <c r="A454" s="89" t="inlineStr">
        <is>
          <t>VIN-000449</t>
        </is>
      </c>
      <c r="B454" s="91" t="n"/>
      <c r="C454" s="91" t="n"/>
      <c r="D454" s="94" t="str">
        <f>IF(T454=1,INDEX('ITENS_MTR'!$S$6:$S$1005,S454)&amp;"","")</f>
        <v/>
      </c>
      <c r="E454" s="94" t="str">
        <f>IF(T454=1,INDEX('ITENS_MTR'!$C$6:$C$1005,S454)&amp;"","")</f>
        <v/>
      </c>
      <c r="F454" s="98" t="n"/>
      <c r="G454" s="91" t="n"/>
      <c r="H454" s="93" t="str">
        <f>IF(N454=0,"",IF(NOT(ISNUMBER(F454)),"",IF(ISNUMBER(U454),F454*U454,"UNIDADE A CONFERIR")))</f>
        <v/>
      </c>
      <c r="I454" s="94" t="str">
        <f>IF(Q454=1,INDEX('CDFs'!$F$6:$F$505,P454)&amp;"","")</f>
        <v/>
      </c>
      <c r="J454" s="91" t="n"/>
      <c r="K454" s="91" t="n"/>
      <c r="L454" s="94" t="str">
        <f>IF(N454=0,"",IF(NOT(ISNUMBER(F454)),"Quantidade não informada",IF(F454&lt;=0,"Quantidade não positiva",IF(G454="","Unidade não informada",IF(NOT(ISNUMBER(H454)),"Unidade a conferir",IF(AC454=1,"REVISAR VÍNCULO: soma vinculada maior que a referência do item","OK"))))))</f>
        <v/>
      </c>
      <c r="M454" s="94" t="str">
        <f>IF(N454=0,"",IF(B454="","CDF não informado",IF(Q454=0,"REVISAR VÍNCULO: CDF inexistente",IF(C454="","Item não informado",IF(T454=0,"REVISAR VÍNCULO: item inexistente",IF(AND(X454=1,J454&lt;&gt;"Sim"),"REVISAR VÍNCULO: destinador diferente do MTR",IF(X454=1,"Destinador diferente do MTR (analisado)","OK")))))))</f>
        <v/>
      </c>
      <c r="N454" s="96">
        <f>IF(COUNTA(B454:C454,F454:G454,J454:K454)&gt;0,1,0)</f>
        <v>0</v>
      </c>
      <c r="O454" s="96" t="str">
        <f>IF(B454="","",TRIM(LEFT(B454,FIND(" |",B454&amp;" |")-1)))</f>
        <v/>
      </c>
      <c r="P454" s="96" t="str">
        <f>IF(O454="","",IFERROR(MATCH(O454,'CDFs'!$A$6:$A$505,0),""))</f>
        <v/>
      </c>
      <c r="Q454" s="96">
        <f>IF(P454="",0,IF(INDEX('CDFs'!$S$6:$S$505,P454)=1,1,0))</f>
        <v>0</v>
      </c>
      <c r="R454" s="96" t="str">
        <f>IF(C454="","",TRIM(LEFT(C454,FIND(" |",C454&amp;" |")-1)))</f>
        <v/>
      </c>
      <c r="S454" s="96" t="str">
        <f>IF(R454="","",IFERROR(MATCH(R454,'ITENS_MTR'!$A$6:$A$1005,0),""))</f>
        <v/>
      </c>
      <c r="T454" s="96">
        <f>IF(S454="",0,IF(INDEX('ITENS_MTR'!$R$6:$R$1005,S454)=1,1,0))</f>
        <v>0</v>
      </c>
      <c r="U454" s="96" t="str">
        <f>IF(G454="","",IFERROR(IF(ISNUMBER(INDEX(cfg_fac,MATCH(G454,cfg_units,0))),IF(INDEX(cfg_fac,MATCH(G454,cfg_units,0))&gt;0,INDEX(cfg_fac,MATCH(G454,cfg_units,0)),""),""),""))</f>
        <v/>
      </c>
      <c r="V454" s="96">
        <f>IF(AND(ISNUMBER(F454),ISNUMBER(H454)),IF(H454&gt;0,1,0),0)</f>
        <v>0</v>
      </c>
      <c r="W454" s="96" t="str">
        <f>IF(T454=1,INDEX('ITENS_MTR'!$AU$6:$AU$1005,S454)&amp;"","")</f>
        <v/>
      </c>
      <c r="X454" s="96">
        <f>IF(AND(Q454=1,T454=1,I454&lt;&gt;"",W454&lt;&gt;""),IF(I454&lt;&gt;W454,1,0),0)</f>
        <v>0</v>
      </c>
      <c r="Y454" s="96">
        <f>IF(N454=0,0,IF(OR(Q454=0,T454=0,V454=0,AND(X454=1,J454&lt;&gt;"Sim")),1,0))</f>
        <v>0</v>
      </c>
      <c r="Z454" s="96">
        <f>IF(Q454=1,INDEX('CDFs'!$W$6:$W$505,P454),0)</f>
        <v>0</v>
      </c>
      <c r="AA454" s="96">
        <f>IF(AND(N454=1,Y454=0,Z454=1,J454="Sim"),1,0)</f>
        <v>0</v>
      </c>
      <c r="AB454" s="96">
        <f>IF(AND(N454=1,O454&lt;&gt;"",D454&lt;&gt;""),IF(COUNTIFS($O$6:O454,O454,$D$6:D454,D454)=1,1,0),0)</f>
        <v>0</v>
      </c>
      <c r="AC454" s="96">
        <f>IF(T454=1,INDEX('ITENS_MTR'!$AL$6:$AL$1005,S454),0)</f>
        <v>0</v>
      </c>
    </row>
    <row r="455">
      <c r="A455" s="89" t="inlineStr">
        <is>
          <t>VIN-000450</t>
        </is>
      </c>
      <c r="B455" s="91" t="n"/>
      <c r="C455" s="91" t="n"/>
      <c r="D455" s="94" t="str">
        <f>IF(T455=1,INDEX('ITENS_MTR'!$S$6:$S$1005,S455)&amp;"","")</f>
        <v/>
      </c>
      <c r="E455" s="94" t="str">
        <f>IF(T455=1,INDEX('ITENS_MTR'!$C$6:$C$1005,S455)&amp;"","")</f>
        <v/>
      </c>
      <c r="F455" s="98" t="n"/>
      <c r="G455" s="91" t="n"/>
      <c r="H455" s="93" t="str">
        <f>IF(N455=0,"",IF(NOT(ISNUMBER(F455)),"",IF(ISNUMBER(U455),F455*U455,"UNIDADE A CONFERIR")))</f>
        <v/>
      </c>
      <c r="I455" s="94" t="str">
        <f>IF(Q455=1,INDEX('CDFs'!$F$6:$F$505,P455)&amp;"","")</f>
        <v/>
      </c>
      <c r="J455" s="91" t="n"/>
      <c r="K455" s="91" t="n"/>
      <c r="L455" s="94" t="str">
        <f>IF(N455=0,"",IF(NOT(ISNUMBER(F455)),"Quantidade não informada",IF(F455&lt;=0,"Quantidade não positiva",IF(G455="","Unidade não informada",IF(NOT(ISNUMBER(H455)),"Unidade a conferir",IF(AC455=1,"REVISAR VÍNCULO: soma vinculada maior que a referência do item","OK"))))))</f>
        <v/>
      </c>
      <c r="M455" s="94" t="str">
        <f>IF(N455=0,"",IF(B455="","CDF não informado",IF(Q455=0,"REVISAR VÍNCULO: CDF inexistente",IF(C455="","Item não informado",IF(T455=0,"REVISAR VÍNCULO: item inexistente",IF(AND(X455=1,J455&lt;&gt;"Sim"),"REVISAR VÍNCULO: destinador diferente do MTR",IF(X455=1,"Destinador diferente do MTR (analisado)","OK")))))))</f>
        <v/>
      </c>
      <c r="N455" s="96">
        <f>IF(COUNTA(B455:C455,F455:G455,J455:K455)&gt;0,1,0)</f>
        <v>0</v>
      </c>
      <c r="O455" s="96" t="str">
        <f>IF(B455="","",TRIM(LEFT(B455,FIND(" |",B455&amp;" |")-1)))</f>
        <v/>
      </c>
      <c r="P455" s="96" t="str">
        <f>IF(O455="","",IFERROR(MATCH(O455,'CDFs'!$A$6:$A$505,0),""))</f>
        <v/>
      </c>
      <c r="Q455" s="96">
        <f>IF(P455="",0,IF(INDEX('CDFs'!$S$6:$S$505,P455)=1,1,0))</f>
        <v>0</v>
      </c>
      <c r="R455" s="96" t="str">
        <f>IF(C455="","",TRIM(LEFT(C455,FIND(" |",C455&amp;" |")-1)))</f>
        <v/>
      </c>
      <c r="S455" s="96" t="str">
        <f>IF(R455="","",IFERROR(MATCH(R455,'ITENS_MTR'!$A$6:$A$1005,0),""))</f>
        <v/>
      </c>
      <c r="T455" s="96">
        <f>IF(S455="",0,IF(INDEX('ITENS_MTR'!$R$6:$R$1005,S455)=1,1,0))</f>
        <v>0</v>
      </c>
      <c r="U455" s="96" t="str">
        <f>IF(G455="","",IFERROR(IF(ISNUMBER(INDEX(cfg_fac,MATCH(G455,cfg_units,0))),IF(INDEX(cfg_fac,MATCH(G455,cfg_units,0))&gt;0,INDEX(cfg_fac,MATCH(G455,cfg_units,0)),""),""),""))</f>
        <v/>
      </c>
      <c r="V455" s="96">
        <f>IF(AND(ISNUMBER(F455),ISNUMBER(H455)),IF(H455&gt;0,1,0),0)</f>
        <v>0</v>
      </c>
      <c r="W455" s="96" t="str">
        <f>IF(T455=1,INDEX('ITENS_MTR'!$AU$6:$AU$1005,S455)&amp;"","")</f>
        <v/>
      </c>
      <c r="X455" s="96">
        <f>IF(AND(Q455=1,T455=1,I455&lt;&gt;"",W455&lt;&gt;""),IF(I455&lt;&gt;W455,1,0),0)</f>
        <v>0</v>
      </c>
      <c r="Y455" s="96">
        <f>IF(N455=0,0,IF(OR(Q455=0,T455=0,V455=0,AND(X455=1,J455&lt;&gt;"Sim")),1,0))</f>
        <v>0</v>
      </c>
      <c r="Z455" s="96">
        <f>IF(Q455=1,INDEX('CDFs'!$W$6:$W$505,P455),0)</f>
        <v>0</v>
      </c>
      <c r="AA455" s="96">
        <f>IF(AND(N455=1,Y455=0,Z455=1,J455="Sim"),1,0)</f>
        <v>0</v>
      </c>
      <c r="AB455" s="96">
        <f>IF(AND(N455=1,O455&lt;&gt;"",D455&lt;&gt;""),IF(COUNTIFS($O$6:O455,O455,$D$6:D455,D455)=1,1,0),0)</f>
        <v>0</v>
      </c>
      <c r="AC455" s="96">
        <f>IF(T455=1,INDEX('ITENS_MTR'!$AL$6:$AL$1005,S455),0)</f>
        <v>0</v>
      </c>
    </row>
    <row r="456">
      <c r="A456" s="89" t="inlineStr">
        <is>
          <t>VIN-000451</t>
        </is>
      </c>
      <c r="B456" s="91" t="n"/>
      <c r="C456" s="91" t="n"/>
      <c r="D456" s="94" t="str">
        <f>IF(T456=1,INDEX('ITENS_MTR'!$S$6:$S$1005,S456)&amp;"","")</f>
        <v/>
      </c>
      <c r="E456" s="94" t="str">
        <f>IF(T456=1,INDEX('ITENS_MTR'!$C$6:$C$1005,S456)&amp;"","")</f>
        <v/>
      </c>
      <c r="F456" s="98" t="n"/>
      <c r="G456" s="91" t="n"/>
      <c r="H456" s="93" t="str">
        <f>IF(N456=0,"",IF(NOT(ISNUMBER(F456)),"",IF(ISNUMBER(U456),F456*U456,"UNIDADE A CONFERIR")))</f>
        <v/>
      </c>
      <c r="I456" s="94" t="str">
        <f>IF(Q456=1,INDEX('CDFs'!$F$6:$F$505,P456)&amp;"","")</f>
        <v/>
      </c>
      <c r="J456" s="91" t="n"/>
      <c r="K456" s="91" t="n"/>
      <c r="L456" s="94" t="str">
        <f>IF(N456=0,"",IF(NOT(ISNUMBER(F456)),"Quantidade não informada",IF(F456&lt;=0,"Quantidade não positiva",IF(G456="","Unidade não informada",IF(NOT(ISNUMBER(H456)),"Unidade a conferir",IF(AC456=1,"REVISAR VÍNCULO: soma vinculada maior que a referência do item","OK"))))))</f>
        <v/>
      </c>
      <c r="M456" s="94" t="str">
        <f>IF(N456=0,"",IF(B456="","CDF não informado",IF(Q456=0,"REVISAR VÍNCULO: CDF inexistente",IF(C456="","Item não informado",IF(T456=0,"REVISAR VÍNCULO: item inexistente",IF(AND(X456=1,J456&lt;&gt;"Sim"),"REVISAR VÍNCULO: destinador diferente do MTR",IF(X456=1,"Destinador diferente do MTR (analisado)","OK")))))))</f>
        <v/>
      </c>
      <c r="N456" s="96">
        <f>IF(COUNTA(B456:C456,F456:G456,J456:K456)&gt;0,1,0)</f>
        <v>0</v>
      </c>
      <c r="O456" s="96" t="str">
        <f>IF(B456="","",TRIM(LEFT(B456,FIND(" |",B456&amp;" |")-1)))</f>
        <v/>
      </c>
      <c r="P456" s="96" t="str">
        <f>IF(O456="","",IFERROR(MATCH(O456,'CDFs'!$A$6:$A$505,0),""))</f>
        <v/>
      </c>
      <c r="Q456" s="96">
        <f>IF(P456="",0,IF(INDEX('CDFs'!$S$6:$S$505,P456)=1,1,0))</f>
        <v>0</v>
      </c>
      <c r="R456" s="96" t="str">
        <f>IF(C456="","",TRIM(LEFT(C456,FIND(" |",C456&amp;" |")-1)))</f>
        <v/>
      </c>
      <c r="S456" s="96" t="str">
        <f>IF(R456="","",IFERROR(MATCH(R456,'ITENS_MTR'!$A$6:$A$1005,0),""))</f>
        <v/>
      </c>
      <c r="T456" s="96">
        <f>IF(S456="",0,IF(INDEX('ITENS_MTR'!$R$6:$R$1005,S456)=1,1,0))</f>
        <v>0</v>
      </c>
      <c r="U456" s="96" t="str">
        <f>IF(G456="","",IFERROR(IF(ISNUMBER(INDEX(cfg_fac,MATCH(G456,cfg_units,0))),IF(INDEX(cfg_fac,MATCH(G456,cfg_units,0))&gt;0,INDEX(cfg_fac,MATCH(G456,cfg_units,0)),""),""),""))</f>
        <v/>
      </c>
      <c r="V456" s="96">
        <f>IF(AND(ISNUMBER(F456),ISNUMBER(H456)),IF(H456&gt;0,1,0),0)</f>
        <v>0</v>
      </c>
      <c r="W456" s="96" t="str">
        <f>IF(T456=1,INDEX('ITENS_MTR'!$AU$6:$AU$1005,S456)&amp;"","")</f>
        <v/>
      </c>
      <c r="X456" s="96">
        <f>IF(AND(Q456=1,T456=1,I456&lt;&gt;"",W456&lt;&gt;""),IF(I456&lt;&gt;W456,1,0),0)</f>
        <v>0</v>
      </c>
      <c r="Y456" s="96">
        <f>IF(N456=0,0,IF(OR(Q456=0,T456=0,V456=0,AND(X456=1,J456&lt;&gt;"Sim")),1,0))</f>
        <v>0</v>
      </c>
      <c r="Z456" s="96">
        <f>IF(Q456=1,INDEX('CDFs'!$W$6:$W$505,P456),0)</f>
        <v>0</v>
      </c>
      <c r="AA456" s="96">
        <f>IF(AND(N456=1,Y456=0,Z456=1,J456="Sim"),1,0)</f>
        <v>0</v>
      </c>
      <c r="AB456" s="96">
        <f>IF(AND(N456=1,O456&lt;&gt;"",D456&lt;&gt;""),IF(COUNTIFS($O$6:O456,O456,$D$6:D456,D456)=1,1,0),0)</f>
        <v>0</v>
      </c>
      <c r="AC456" s="96">
        <f>IF(T456=1,INDEX('ITENS_MTR'!$AL$6:$AL$1005,S456),0)</f>
        <v>0</v>
      </c>
    </row>
    <row r="457">
      <c r="A457" s="89" t="inlineStr">
        <is>
          <t>VIN-000452</t>
        </is>
      </c>
      <c r="B457" s="91" t="n"/>
      <c r="C457" s="91" t="n"/>
      <c r="D457" s="94" t="str">
        <f>IF(T457=1,INDEX('ITENS_MTR'!$S$6:$S$1005,S457)&amp;"","")</f>
        <v/>
      </c>
      <c r="E457" s="94" t="str">
        <f>IF(T457=1,INDEX('ITENS_MTR'!$C$6:$C$1005,S457)&amp;"","")</f>
        <v/>
      </c>
      <c r="F457" s="98" t="n"/>
      <c r="G457" s="91" t="n"/>
      <c r="H457" s="93" t="str">
        <f>IF(N457=0,"",IF(NOT(ISNUMBER(F457)),"",IF(ISNUMBER(U457),F457*U457,"UNIDADE A CONFERIR")))</f>
        <v/>
      </c>
      <c r="I457" s="94" t="str">
        <f>IF(Q457=1,INDEX('CDFs'!$F$6:$F$505,P457)&amp;"","")</f>
        <v/>
      </c>
      <c r="J457" s="91" t="n"/>
      <c r="K457" s="91" t="n"/>
      <c r="L457" s="94" t="str">
        <f>IF(N457=0,"",IF(NOT(ISNUMBER(F457)),"Quantidade não informada",IF(F457&lt;=0,"Quantidade não positiva",IF(G457="","Unidade não informada",IF(NOT(ISNUMBER(H457)),"Unidade a conferir",IF(AC457=1,"REVISAR VÍNCULO: soma vinculada maior que a referência do item","OK"))))))</f>
        <v/>
      </c>
      <c r="M457" s="94" t="str">
        <f>IF(N457=0,"",IF(B457="","CDF não informado",IF(Q457=0,"REVISAR VÍNCULO: CDF inexistente",IF(C457="","Item não informado",IF(T457=0,"REVISAR VÍNCULO: item inexistente",IF(AND(X457=1,J457&lt;&gt;"Sim"),"REVISAR VÍNCULO: destinador diferente do MTR",IF(X457=1,"Destinador diferente do MTR (analisado)","OK")))))))</f>
        <v/>
      </c>
      <c r="N457" s="96">
        <f>IF(COUNTA(B457:C457,F457:G457,J457:K457)&gt;0,1,0)</f>
        <v>0</v>
      </c>
      <c r="O457" s="96" t="str">
        <f>IF(B457="","",TRIM(LEFT(B457,FIND(" |",B457&amp;" |")-1)))</f>
        <v/>
      </c>
      <c r="P457" s="96" t="str">
        <f>IF(O457="","",IFERROR(MATCH(O457,'CDFs'!$A$6:$A$505,0),""))</f>
        <v/>
      </c>
      <c r="Q457" s="96">
        <f>IF(P457="",0,IF(INDEX('CDFs'!$S$6:$S$505,P457)=1,1,0))</f>
        <v>0</v>
      </c>
      <c r="R457" s="96" t="str">
        <f>IF(C457="","",TRIM(LEFT(C457,FIND(" |",C457&amp;" |")-1)))</f>
        <v/>
      </c>
      <c r="S457" s="96" t="str">
        <f>IF(R457="","",IFERROR(MATCH(R457,'ITENS_MTR'!$A$6:$A$1005,0),""))</f>
        <v/>
      </c>
      <c r="T457" s="96">
        <f>IF(S457="",0,IF(INDEX('ITENS_MTR'!$R$6:$R$1005,S457)=1,1,0))</f>
        <v>0</v>
      </c>
      <c r="U457" s="96" t="str">
        <f>IF(G457="","",IFERROR(IF(ISNUMBER(INDEX(cfg_fac,MATCH(G457,cfg_units,0))),IF(INDEX(cfg_fac,MATCH(G457,cfg_units,0))&gt;0,INDEX(cfg_fac,MATCH(G457,cfg_units,0)),""),""),""))</f>
        <v/>
      </c>
      <c r="V457" s="96">
        <f>IF(AND(ISNUMBER(F457),ISNUMBER(H457)),IF(H457&gt;0,1,0),0)</f>
        <v>0</v>
      </c>
      <c r="W457" s="96" t="str">
        <f>IF(T457=1,INDEX('ITENS_MTR'!$AU$6:$AU$1005,S457)&amp;"","")</f>
        <v/>
      </c>
      <c r="X457" s="96">
        <f>IF(AND(Q457=1,T457=1,I457&lt;&gt;"",W457&lt;&gt;""),IF(I457&lt;&gt;W457,1,0),0)</f>
        <v>0</v>
      </c>
      <c r="Y457" s="96">
        <f>IF(N457=0,0,IF(OR(Q457=0,T457=0,V457=0,AND(X457=1,J457&lt;&gt;"Sim")),1,0))</f>
        <v>0</v>
      </c>
      <c r="Z457" s="96">
        <f>IF(Q457=1,INDEX('CDFs'!$W$6:$W$505,P457),0)</f>
        <v>0</v>
      </c>
      <c r="AA457" s="96">
        <f>IF(AND(N457=1,Y457=0,Z457=1,J457="Sim"),1,0)</f>
        <v>0</v>
      </c>
      <c r="AB457" s="96">
        <f>IF(AND(N457=1,O457&lt;&gt;"",D457&lt;&gt;""),IF(COUNTIFS($O$6:O457,O457,$D$6:D457,D457)=1,1,0),0)</f>
        <v>0</v>
      </c>
      <c r="AC457" s="96">
        <f>IF(T457=1,INDEX('ITENS_MTR'!$AL$6:$AL$1005,S457),0)</f>
        <v>0</v>
      </c>
    </row>
    <row r="458">
      <c r="A458" s="89" t="inlineStr">
        <is>
          <t>VIN-000453</t>
        </is>
      </c>
      <c r="B458" s="91" t="n"/>
      <c r="C458" s="91" t="n"/>
      <c r="D458" s="94" t="str">
        <f>IF(T458=1,INDEX('ITENS_MTR'!$S$6:$S$1005,S458)&amp;"","")</f>
        <v/>
      </c>
      <c r="E458" s="94" t="str">
        <f>IF(T458=1,INDEX('ITENS_MTR'!$C$6:$C$1005,S458)&amp;"","")</f>
        <v/>
      </c>
      <c r="F458" s="98" t="n"/>
      <c r="G458" s="91" t="n"/>
      <c r="H458" s="93" t="str">
        <f>IF(N458=0,"",IF(NOT(ISNUMBER(F458)),"",IF(ISNUMBER(U458),F458*U458,"UNIDADE A CONFERIR")))</f>
        <v/>
      </c>
      <c r="I458" s="94" t="str">
        <f>IF(Q458=1,INDEX('CDFs'!$F$6:$F$505,P458)&amp;"","")</f>
        <v/>
      </c>
      <c r="J458" s="91" t="n"/>
      <c r="K458" s="91" t="n"/>
      <c r="L458" s="94" t="str">
        <f>IF(N458=0,"",IF(NOT(ISNUMBER(F458)),"Quantidade não informada",IF(F458&lt;=0,"Quantidade não positiva",IF(G458="","Unidade não informada",IF(NOT(ISNUMBER(H458)),"Unidade a conferir",IF(AC458=1,"REVISAR VÍNCULO: soma vinculada maior que a referência do item","OK"))))))</f>
        <v/>
      </c>
      <c r="M458" s="94" t="str">
        <f>IF(N458=0,"",IF(B458="","CDF não informado",IF(Q458=0,"REVISAR VÍNCULO: CDF inexistente",IF(C458="","Item não informado",IF(T458=0,"REVISAR VÍNCULO: item inexistente",IF(AND(X458=1,J458&lt;&gt;"Sim"),"REVISAR VÍNCULO: destinador diferente do MTR",IF(X458=1,"Destinador diferente do MTR (analisado)","OK")))))))</f>
        <v/>
      </c>
      <c r="N458" s="96">
        <f>IF(COUNTA(B458:C458,F458:G458,J458:K458)&gt;0,1,0)</f>
        <v>0</v>
      </c>
      <c r="O458" s="96" t="str">
        <f>IF(B458="","",TRIM(LEFT(B458,FIND(" |",B458&amp;" |")-1)))</f>
        <v/>
      </c>
      <c r="P458" s="96" t="str">
        <f>IF(O458="","",IFERROR(MATCH(O458,'CDFs'!$A$6:$A$505,0),""))</f>
        <v/>
      </c>
      <c r="Q458" s="96">
        <f>IF(P458="",0,IF(INDEX('CDFs'!$S$6:$S$505,P458)=1,1,0))</f>
        <v>0</v>
      </c>
      <c r="R458" s="96" t="str">
        <f>IF(C458="","",TRIM(LEFT(C458,FIND(" |",C458&amp;" |")-1)))</f>
        <v/>
      </c>
      <c r="S458" s="96" t="str">
        <f>IF(R458="","",IFERROR(MATCH(R458,'ITENS_MTR'!$A$6:$A$1005,0),""))</f>
        <v/>
      </c>
      <c r="T458" s="96">
        <f>IF(S458="",0,IF(INDEX('ITENS_MTR'!$R$6:$R$1005,S458)=1,1,0))</f>
        <v>0</v>
      </c>
      <c r="U458" s="96" t="str">
        <f>IF(G458="","",IFERROR(IF(ISNUMBER(INDEX(cfg_fac,MATCH(G458,cfg_units,0))),IF(INDEX(cfg_fac,MATCH(G458,cfg_units,0))&gt;0,INDEX(cfg_fac,MATCH(G458,cfg_units,0)),""),""),""))</f>
        <v/>
      </c>
      <c r="V458" s="96">
        <f>IF(AND(ISNUMBER(F458),ISNUMBER(H458)),IF(H458&gt;0,1,0),0)</f>
        <v>0</v>
      </c>
      <c r="W458" s="96" t="str">
        <f>IF(T458=1,INDEX('ITENS_MTR'!$AU$6:$AU$1005,S458)&amp;"","")</f>
        <v/>
      </c>
      <c r="X458" s="96">
        <f>IF(AND(Q458=1,T458=1,I458&lt;&gt;"",W458&lt;&gt;""),IF(I458&lt;&gt;W458,1,0),0)</f>
        <v>0</v>
      </c>
      <c r="Y458" s="96">
        <f>IF(N458=0,0,IF(OR(Q458=0,T458=0,V458=0,AND(X458=1,J458&lt;&gt;"Sim")),1,0))</f>
        <v>0</v>
      </c>
      <c r="Z458" s="96">
        <f>IF(Q458=1,INDEX('CDFs'!$W$6:$W$505,P458),0)</f>
        <v>0</v>
      </c>
      <c r="AA458" s="96">
        <f>IF(AND(N458=1,Y458=0,Z458=1,J458="Sim"),1,0)</f>
        <v>0</v>
      </c>
      <c r="AB458" s="96">
        <f>IF(AND(N458=1,O458&lt;&gt;"",D458&lt;&gt;""),IF(COUNTIFS($O$6:O458,O458,$D$6:D458,D458)=1,1,0),0)</f>
        <v>0</v>
      </c>
      <c r="AC458" s="96">
        <f>IF(T458=1,INDEX('ITENS_MTR'!$AL$6:$AL$1005,S458),0)</f>
        <v>0</v>
      </c>
    </row>
    <row r="459">
      <c r="A459" s="89" t="inlineStr">
        <is>
          <t>VIN-000454</t>
        </is>
      </c>
      <c r="B459" s="91" t="n"/>
      <c r="C459" s="91" t="n"/>
      <c r="D459" s="94" t="str">
        <f>IF(T459=1,INDEX('ITENS_MTR'!$S$6:$S$1005,S459)&amp;"","")</f>
        <v/>
      </c>
      <c r="E459" s="94" t="str">
        <f>IF(T459=1,INDEX('ITENS_MTR'!$C$6:$C$1005,S459)&amp;"","")</f>
        <v/>
      </c>
      <c r="F459" s="98" t="n"/>
      <c r="G459" s="91" t="n"/>
      <c r="H459" s="93" t="str">
        <f>IF(N459=0,"",IF(NOT(ISNUMBER(F459)),"",IF(ISNUMBER(U459),F459*U459,"UNIDADE A CONFERIR")))</f>
        <v/>
      </c>
      <c r="I459" s="94" t="str">
        <f>IF(Q459=1,INDEX('CDFs'!$F$6:$F$505,P459)&amp;"","")</f>
        <v/>
      </c>
      <c r="J459" s="91" t="n"/>
      <c r="K459" s="91" t="n"/>
      <c r="L459" s="94" t="str">
        <f>IF(N459=0,"",IF(NOT(ISNUMBER(F459)),"Quantidade não informada",IF(F459&lt;=0,"Quantidade não positiva",IF(G459="","Unidade não informada",IF(NOT(ISNUMBER(H459)),"Unidade a conferir",IF(AC459=1,"REVISAR VÍNCULO: soma vinculada maior que a referência do item","OK"))))))</f>
        <v/>
      </c>
      <c r="M459" s="94" t="str">
        <f>IF(N459=0,"",IF(B459="","CDF não informado",IF(Q459=0,"REVISAR VÍNCULO: CDF inexistente",IF(C459="","Item não informado",IF(T459=0,"REVISAR VÍNCULO: item inexistente",IF(AND(X459=1,J459&lt;&gt;"Sim"),"REVISAR VÍNCULO: destinador diferente do MTR",IF(X459=1,"Destinador diferente do MTR (analisado)","OK")))))))</f>
        <v/>
      </c>
      <c r="N459" s="96">
        <f>IF(COUNTA(B459:C459,F459:G459,J459:K459)&gt;0,1,0)</f>
        <v>0</v>
      </c>
      <c r="O459" s="96" t="str">
        <f>IF(B459="","",TRIM(LEFT(B459,FIND(" |",B459&amp;" |")-1)))</f>
        <v/>
      </c>
      <c r="P459" s="96" t="str">
        <f>IF(O459="","",IFERROR(MATCH(O459,'CDFs'!$A$6:$A$505,0),""))</f>
        <v/>
      </c>
      <c r="Q459" s="96">
        <f>IF(P459="",0,IF(INDEX('CDFs'!$S$6:$S$505,P459)=1,1,0))</f>
        <v>0</v>
      </c>
      <c r="R459" s="96" t="str">
        <f>IF(C459="","",TRIM(LEFT(C459,FIND(" |",C459&amp;" |")-1)))</f>
        <v/>
      </c>
      <c r="S459" s="96" t="str">
        <f>IF(R459="","",IFERROR(MATCH(R459,'ITENS_MTR'!$A$6:$A$1005,0),""))</f>
        <v/>
      </c>
      <c r="T459" s="96">
        <f>IF(S459="",0,IF(INDEX('ITENS_MTR'!$R$6:$R$1005,S459)=1,1,0))</f>
        <v>0</v>
      </c>
      <c r="U459" s="96" t="str">
        <f>IF(G459="","",IFERROR(IF(ISNUMBER(INDEX(cfg_fac,MATCH(G459,cfg_units,0))),IF(INDEX(cfg_fac,MATCH(G459,cfg_units,0))&gt;0,INDEX(cfg_fac,MATCH(G459,cfg_units,0)),""),""),""))</f>
        <v/>
      </c>
      <c r="V459" s="96">
        <f>IF(AND(ISNUMBER(F459),ISNUMBER(H459)),IF(H459&gt;0,1,0),0)</f>
        <v>0</v>
      </c>
      <c r="W459" s="96" t="str">
        <f>IF(T459=1,INDEX('ITENS_MTR'!$AU$6:$AU$1005,S459)&amp;"","")</f>
        <v/>
      </c>
      <c r="X459" s="96">
        <f>IF(AND(Q459=1,T459=1,I459&lt;&gt;"",W459&lt;&gt;""),IF(I459&lt;&gt;W459,1,0),0)</f>
        <v>0</v>
      </c>
      <c r="Y459" s="96">
        <f>IF(N459=0,0,IF(OR(Q459=0,T459=0,V459=0,AND(X459=1,J459&lt;&gt;"Sim")),1,0))</f>
        <v>0</v>
      </c>
      <c r="Z459" s="96">
        <f>IF(Q459=1,INDEX('CDFs'!$W$6:$W$505,P459),0)</f>
        <v>0</v>
      </c>
      <c r="AA459" s="96">
        <f>IF(AND(N459=1,Y459=0,Z459=1,J459="Sim"),1,0)</f>
        <v>0</v>
      </c>
      <c r="AB459" s="96">
        <f>IF(AND(N459=1,O459&lt;&gt;"",D459&lt;&gt;""),IF(COUNTIFS($O$6:O459,O459,$D$6:D459,D459)=1,1,0),0)</f>
        <v>0</v>
      </c>
      <c r="AC459" s="96">
        <f>IF(T459=1,INDEX('ITENS_MTR'!$AL$6:$AL$1005,S459),0)</f>
        <v>0</v>
      </c>
    </row>
    <row r="460">
      <c r="A460" s="89" t="inlineStr">
        <is>
          <t>VIN-000455</t>
        </is>
      </c>
      <c r="B460" s="91" t="n"/>
      <c r="C460" s="91" t="n"/>
      <c r="D460" s="94" t="str">
        <f>IF(T460=1,INDEX('ITENS_MTR'!$S$6:$S$1005,S460)&amp;"","")</f>
        <v/>
      </c>
      <c r="E460" s="94" t="str">
        <f>IF(T460=1,INDEX('ITENS_MTR'!$C$6:$C$1005,S460)&amp;"","")</f>
        <v/>
      </c>
      <c r="F460" s="98" t="n"/>
      <c r="G460" s="91" t="n"/>
      <c r="H460" s="93" t="str">
        <f>IF(N460=0,"",IF(NOT(ISNUMBER(F460)),"",IF(ISNUMBER(U460),F460*U460,"UNIDADE A CONFERIR")))</f>
        <v/>
      </c>
      <c r="I460" s="94" t="str">
        <f>IF(Q460=1,INDEX('CDFs'!$F$6:$F$505,P460)&amp;"","")</f>
        <v/>
      </c>
      <c r="J460" s="91" t="n"/>
      <c r="K460" s="91" t="n"/>
      <c r="L460" s="94" t="str">
        <f>IF(N460=0,"",IF(NOT(ISNUMBER(F460)),"Quantidade não informada",IF(F460&lt;=0,"Quantidade não positiva",IF(G460="","Unidade não informada",IF(NOT(ISNUMBER(H460)),"Unidade a conferir",IF(AC460=1,"REVISAR VÍNCULO: soma vinculada maior que a referência do item","OK"))))))</f>
        <v/>
      </c>
      <c r="M460" s="94" t="str">
        <f>IF(N460=0,"",IF(B460="","CDF não informado",IF(Q460=0,"REVISAR VÍNCULO: CDF inexistente",IF(C460="","Item não informado",IF(T460=0,"REVISAR VÍNCULO: item inexistente",IF(AND(X460=1,J460&lt;&gt;"Sim"),"REVISAR VÍNCULO: destinador diferente do MTR",IF(X460=1,"Destinador diferente do MTR (analisado)","OK")))))))</f>
        <v/>
      </c>
      <c r="N460" s="96">
        <f>IF(COUNTA(B460:C460,F460:G460,J460:K460)&gt;0,1,0)</f>
        <v>0</v>
      </c>
      <c r="O460" s="96" t="str">
        <f>IF(B460="","",TRIM(LEFT(B460,FIND(" |",B460&amp;" |")-1)))</f>
        <v/>
      </c>
      <c r="P460" s="96" t="str">
        <f>IF(O460="","",IFERROR(MATCH(O460,'CDFs'!$A$6:$A$505,0),""))</f>
        <v/>
      </c>
      <c r="Q460" s="96">
        <f>IF(P460="",0,IF(INDEX('CDFs'!$S$6:$S$505,P460)=1,1,0))</f>
        <v>0</v>
      </c>
      <c r="R460" s="96" t="str">
        <f>IF(C460="","",TRIM(LEFT(C460,FIND(" |",C460&amp;" |")-1)))</f>
        <v/>
      </c>
      <c r="S460" s="96" t="str">
        <f>IF(R460="","",IFERROR(MATCH(R460,'ITENS_MTR'!$A$6:$A$1005,0),""))</f>
        <v/>
      </c>
      <c r="T460" s="96">
        <f>IF(S460="",0,IF(INDEX('ITENS_MTR'!$R$6:$R$1005,S460)=1,1,0))</f>
        <v>0</v>
      </c>
      <c r="U460" s="96" t="str">
        <f>IF(G460="","",IFERROR(IF(ISNUMBER(INDEX(cfg_fac,MATCH(G460,cfg_units,0))),IF(INDEX(cfg_fac,MATCH(G460,cfg_units,0))&gt;0,INDEX(cfg_fac,MATCH(G460,cfg_units,0)),""),""),""))</f>
        <v/>
      </c>
      <c r="V460" s="96">
        <f>IF(AND(ISNUMBER(F460),ISNUMBER(H460)),IF(H460&gt;0,1,0),0)</f>
        <v>0</v>
      </c>
      <c r="W460" s="96" t="str">
        <f>IF(T460=1,INDEX('ITENS_MTR'!$AU$6:$AU$1005,S460)&amp;"","")</f>
        <v/>
      </c>
      <c r="X460" s="96">
        <f>IF(AND(Q460=1,T460=1,I460&lt;&gt;"",W460&lt;&gt;""),IF(I460&lt;&gt;W460,1,0),0)</f>
        <v>0</v>
      </c>
      <c r="Y460" s="96">
        <f>IF(N460=0,0,IF(OR(Q460=0,T460=0,V460=0,AND(X460=1,J460&lt;&gt;"Sim")),1,0))</f>
        <v>0</v>
      </c>
      <c r="Z460" s="96">
        <f>IF(Q460=1,INDEX('CDFs'!$W$6:$W$505,P460),0)</f>
        <v>0</v>
      </c>
      <c r="AA460" s="96">
        <f>IF(AND(N460=1,Y460=0,Z460=1,J460="Sim"),1,0)</f>
        <v>0</v>
      </c>
      <c r="AB460" s="96">
        <f>IF(AND(N460=1,O460&lt;&gt;"",D460&lt;&gt;""),IF(COUNTIFS($O$6:O460,O460,$D$6:D460,D460)=1,1,0),0)</f>
        <v>0</v>
      </c>
      <c r="AC460" s="96">
        <f>IF(T460=1,INDEX('ITENS_MTR'!$AL$6:$AL$1005,S460),0)</f>
        <v>0</v>
      </c>
    </row>
    <row r="461">
      <c r="A461" s="89" t="inlineStr">
        <is>
          <t>VIN-000456</t>
        </is>
      </c>
      <c r="B461" s="91" t="n"/>
      <c r="C461" s="91" t="n"/>
      <c r="D461" s="94" t="str">
        <f>IF(T461=1,INDEX('ITENS_MTR'!$S$6:$S$1005,S461)&amp;"","")</f>
        <v/>
      </c>
      <c r="E461" s="94" t="str">
        <f>IF(T461=1,INDEX('ITENS_MTR'!$C$6:$C$1005,S461)&amp;"","")</f>
        <v/>
      </c>
      <c r="F461" s="98" t="n"/>
      <c r="G461" s="91" t="n"/>
      <c r="H461" s="93" t="str">
        <f>IF(N461=0,"",IF(NOT(ISNUMBER(F461)),"",IF(ISNUMBER(U461),F461*U461,"UNIDADE A CONFERIR")))</f>
        <v/>
      </c>
      <c r="I461" s="94" t="str">
        <f>IF(Q461=1,INDEX('CDFs'!$F$6:$F$505,P461)&amp;"","")</f>
        <v/>
      </c>
      <c r="J461" s="91" t="n"/>
      <c r="K461" s="91" t="n"/>
      <c r="L461" s="94" t="str">
        <f>IF(N461=0,"",IF(NOT(ISNUMBER(F461)),"Quantidade não informada",IF(F461&lt;=0,"Quantidade não positiva",IF(G461="","Unidade não informada",IF(NOT(ISNUMBER(H461)),"Unidade a conferir",IF(AC461=1,"REVISAR VÍNCULO: soma vinculada maior que a referência do item","OK"))))))</f>
        <v/>
      </c>
      <c r="M461" s="94" t="str">
        <f>IF(N461=0,"",IF(B461="","CDF não informado",IF(Q461=0,"REVISAR VÍNCULO: CDF inexistente",IF(C461="","Item não informado",IF(T461=0,"REVISAR VÍNCULO: item inexistente",IF(AND(X461=1,J461&lt;&gt;"Sim"),"REVISAR VÍNCULO: destinador diferente do MTR",IF(X461=1,"Destinador diferente do MTR (analisado)","OK")))))))</f>
        <v/>
      </c>
      <c r="N461" s="96">
        <f>IF(COUNTA(B461:C461,F461:G461,J461:K461)&gt;0,1,0)</f>
        <v>0</v>
      </c>
      <c r="O461" s="96" t="str">
        <f>IF(B461="","",TRIM(LEFT(B461,FIND(" |",B461&amp;" |")-1)))</f>
        <v/>
      </c>
      <c r="P461" s="96" t="str">
        <f>IF(O461="","",IFERROR(MATCH(O461,'CDFs'!$A$6:$A$505,0),""))</f>
        <v/>
      </c>
      <c r="Q461" s="96">
        <f>IF(P461="",0,IF(INDEX('CDFs'!$S$6:$S$505,P461)=1,1,0))</f>
        <v>0</v>
      </c>
      <c r="R461" s="96" t="str">
        <f>IF(C461="","",TRIM(LEFT(C461,FIND(" |",C461&amp;" |")-1)))</f>
        <v/>
      </c>
      <c r="S461" s="96" t="str">
        <f>IF(R461="","",IFERROR(MATCH(R461,'ITENS_MTR'!$A$6:$A$1005,0),""))</f>
        <v/>
      </c>
      <c r="T461" s="96">
        <f>IF(S461="",0,IF(INDEX('ITENS_MTR'!$R$6:$R$1005,S461)=1,1,0))</f>
        <v>0</v>
      </c>
      <c r="U461" s="96" t="str">
        <f>IF(G461="","",IFERROR(IF(ISNUMBER(INDEX(cfg_fac,MATCH(G461,cfg_units,0))),IF(INDEX(cfg_fac,MATCH(G461,cfg_units,0))&gt;0,INDEX(cfg_fac,MATCH(G461,cfg_units,0)),""),""),""))</f>
        <v/>
      </c>
      <c r="V461" s="96">
        <f>IF(AND(ISNUMBER(F461),ISNUMBER(H461)),IF(H461&gt;0,1,0),0)</f>
        <v>0</v>
      </c>
      <c r="W461" s="96" t="str">
        <f>IF(T461=1,INDEX('ITENS_MTR'!$AU$6:$AU$1005,S461)&amp;"","")</f>
        <v/>
      </c>
      <c r="X461" s="96">
        <f>IF(AND(Q461=1,T461=1,I461&lt;&gt;"",W461&lt;&gt;""),IF(I461&lt;&gt;W461,1,0),0)</f>
        <v>0</v>
      </c>
      <c r="Y461" s="96">
        <f>IF(N461=0,0,IF(OR(Q461=0,T461=0,V461=0,AND(X461=1,J461&lt;&gt;"Sim")),1,0))</f>
        <v>0</v>
      </c>
      <c r="Z461" s="96">
        <f>IF(Q461=1,INDEX('CDFs'!$W$6:$W$505,P461),0)</f>
        <v>0</v>
      </c>
      <c r="AA461" s="96">
        <f>IF(AND(N461=1,Y461=0,Z461=1,J461="Sim"),1,0)</f>
        <v>0</v>
      </c>
      <c r="AB461" s="96">
        <f>IF(AND(N461=1,O461&lt;&gt;"",D461&lt;&gt;""),IF(COUNTIFS($O$6:O461,O461,$D$6:D461,D461)=1,1,0),0)</f>
        <v>0</v>
      </c>
      <c r="AC461" s="96">
        <f>IF(T461=1,INDEX('ITENS_MTR'!$AL$6:$AL$1005,S461),0)</f>
        <v>0</v>
      </c>
    </row>
    <row r="462">
      <c r="A462" s="89" t="inlineStr">
        <is>
          <t>VIN-000457</t>
        </is>
      </c>
      <c r="B462" s="91" t="n"/>
      <c r="C462" s="91" t="n"/>
      <c r="D462" s="94" t="str">
        <f>IF(T462=1,INDEX('ITENS_MTR'!$S$6:$S$1005,S462)&amp;"","")</f>
        <v/>
      </c>
      <c r="E462" s="94" t="str">
        <f>IF(T462=1,INDEX('ITENS_MTR'!$C$6:$C$1005,S462)&amp;"","")</f>
        <v/>
      </c>
      <c r="F462" s="98" t="n"/>
      <c r="G462" s="91" t="n"/>
      <c r="H462" s="93" t="str">
        <f>IF(N462=0,"",IF(NOT(ISNUMBER(F462)),"",IF(ISNUMBER(U462),F462*U462,"UNIDADE A CONFERIR")))</f>
        <v/>
      </c>
      <c r="I462" s="94" t="str">
        <f>IF(Q462=1,INDEX('CDFs'!$F$6:$F$505,P462)&amp;"","")</f>
        <v/>
      </c>
      <c r="J462" s="91" t="n"/>
      <c r="K462" s="91" t="n"/>
      <c r="L462" s="94" t="str">
        <f>IF(N462=0,"",IF(NOT(ISNUMBER(F462)),"Quantidade não informada",IF(F462&lt;=0,"Quantidade não positiva",IF(G462="","Unidade não informada",IF(NOT(ISNUMBER(H462)),"Unidade a conferir",IF(AC462=1,"REVISAR VÍNCULO: soma vinculada maior que a referência do item","OK"))))))</f>
        <v/>
      </c>
      <c r="M462" s="94" t="str">
        <f>IF(N462=0,"",IF(B462="","CDF não informado",IF(Q462=0,"REVISAR VÍNCULO: CDF inexistente",IF(C462="","Item não informado",IF(T462=0,"REVISAR VÍNCULO: item inexistente",IF(AND(X462=1,J462&lt;&gt;"Sim"),"REVISAR VÍNCULO: destinador diferente do MTR",IF(X462=1,"Destinador diferente do MTR (analisado)","OK")))))))</f>
        <v/>
      </c>
      <c r="N462" s="96">
        <f>IF(COUNTA(B462:C462,F462:G462,J462:K462)&gt;0,1,0)</f>
        <v>0</v>
      </c>
      <c r="O462" s="96" t="str">
        <f>IF(B462="","",TRIM(LEFT(B462,FIND(" |",B462&amp;" |")-1)))</f>
        <v/>
      </c>
      <c r="P462" s="96" t="str">
        <f>IF(O462="","",IFERROR(MATCH(O462,'CDFs'!$A$6:$A$505,0),""))</f>
        <v/>
      </c>
      <c r="Q462" s="96">
        <f>IF(P462="",0,IF(INDEX('CDFs'!$S$6:$S$505,P462)=1,1,0))</f>
        <v>0</v>
      </c>
      <c r="R462" s="96" t="str">
        <f>IF(C462="","",TRIM(LEFT(C462,FIND(" |",C462&amp;" |")-1)))</f>
        <v/>
      </c>
      <c r="S462" s="96" t="str">
        <f>IF(R462="","",IFERROR(MATCH(R462,'ITENS_MTR'!$A$6:$A$1005,0),""))</f>
        <v/>
      </c>
      <c r="T462" s="96">
        <f>IF(S462="",0,IF(INDEX('ITENS_MTR'!$R$6:$R$1005,S462)=1,1,0))</f>
        <v>0</v>
      </c>
      <c r="U462" s="96" t="str">
        <f>IF(G462="","",IFERROR(IF(ISNUMBER(INDEX(cfg_fac,MATCH(G462,cfg_units,0))),IF(INDEX(cfg_fac,MATCH(G462,cfg_units,0))&gt;0,INDEX(cfg_fac,MATCH(G462,cfg_units,0)),""),""),""))</f>
        <v/>
      </c>
      <c r="V462" s="96">
        <f>IF(AND(ISNUMBER(F462),ISNUMBER(H462)),IF(H462&gt;0,1,0),0)</f>
        <v>0</v>
      </c>
      <c r="W462" s="96" t="str">
        <f>IF(T462=1,INDEX('ITENS_MTR'!$AU$6:$AU$1005,S462)&amp;"","")</f>
        <v/>
      </c>
      <c r="X462" s="96">
        <f>IF(AND(Q462=1,T462=1,I462&lt;&gt;"",W462&lt;&gt;""),IF(I462&lt;&gt;W462,1,0),0)</f>
        <v>0</v>
      </c>
      <c r="Y462" s="96">
        <f>IF(N462=0,0,IF(OR(Q462=0,T462=0,V462=0,AND(X462=1,J462&lt;&gt;"Sim")),1,0))</f>
        <v>0</v>
      </c>
      <c r="Z462" s="96">
        <f>IF(Q462=1,INDEX('CDFs'!$W$6:$W$505,P462),0)</f>
        <v>0</v>
      </c>
      <c r="AA462" s="96">
        <f>IF(AND(N462=1,Y462=0,Z462=1,J462="Sim"),1,0)</f>
        <v>0</v>
      </c>
      <c r="AB462" s="96">
        <f>IF(AND(N462=1,O462&lt;&gt;"",D462&lt;&gt;""),IF(COUNTIFS($O$6:O462,O462,$D$6:D462,D462)=1,1,0),0)</f>
        <v>0</v>
      </c>
      <c r="AC462" s="96">
        <f>IF(T462=1,INDEX('ITENS_MTR'!$AL$6:$AL$1005,S462),0)</f>
        <v>0</v>
      </c>
    </row>
    <row r="463">
      <c r="A463" s="89" t="inlineStr">
        <is>
          <t>VIN-000458</t>
        </is>
      </c>
      <c r="B463" s="91" t="n"/>
      <c r="C463" s="91" t="n"/>
      <c r="D463" s="94" t="str">
        <f>IF(T463=1,INDEX('ITENS_MTR'!$S$6:$S$1005,S463)&amp;"","")</f>
        <v/>
      </c>
      <c r="E463" s="94" t="str">
        <f>IF(T463=1,INDEX('ITENS_MTR'!$C$6:$C$1005,S463)&amp;"","")</f>
        <v/>
      </c>
      <c r="F463" s="98" t="n"/>
      <c r="G463" s="91" t="n"/>
      <c r="H463" s="93" t="str">
        <f>IF(N463=0,"",IF(NOT(ISNUMBER(F463)),"",IF(ISNUMBER(U463),F463*U463,"UNIDADE A CONFERIR")))</f>
        <v/>
      </c>
      <c r="I463" s="94" t="str">
        <f>IF(Q463=1,INDEX('CDFs'!$F$6:$F$505,P463)&amp;"","")</f>
        <v/>
      </c>
      <c r="J463" s="91" t="n"/>
      <c r="K463" s="91" t="n"/>
      <c r="L463" s="94" t="str">
        <f>IF(N463=0,"",IF(NOT(ISNUMBER(F463)),"Quantidade não informada",IF(F463&lt;=0,"Quantidade não positiva",IF(G463="","Unidade não informada",IF(NOT(ISNUMBER(H463)),"Unidade a conferir",IF(AC463=1,"REVISAR VÍNCULO: soma vinculada maior que a referência do item","OK"))))))</f>
        <v/>
      </c>
      <c r="M463" s="94" t="str">
        <f>IF(N463=0,"",IF(B463="","CDF não informado",IF(Q463=0,"REVISAR VÍNCULO: CDF inexistente",IF(C463="","Item não informado",IF(T463=0,"REVISAR VÍNCULO: item inexistente",IF(AND(X463=1,J463&lt;&gt;"Sim"),"REVISAR VÍNCULO: destinador diferente do MTR",IF(X463=1,"Destinador diferente do MTR (analisado)","OK")))))))</f>
        <v/>
      </c>
      <c r="N463" s="96">
        <f>IF(COUNTA(B463:C463,F463:G463,J463:K463)&gt;0,1,0)</f>
        <v>0</v>
      </c>
      <c r="O463" s="96" t="str">
        <f>IF(B463="","",TRIM(LEFT(B463,FIND(" |",B463&amp;" |")-1)))</f>
        <v/>
      </c>
      <c r="P463" s="96" t="str">
        <f>IF(O463="","",IFERROR(MATCH(O463,'CDFs'!$A$6:$A$505,0),""))</f>
        <v/>
      </c>
      <c r="Q463" s="96">
        <f>IF(P463="",0,IF(INDEX('CDFs'!$S$6:$S$505,P463)=1,1,0))</f>
        <v>0</v>
      </c>
      <c r="R463" s="96" t="str">
        <f>IF(C463="","",TRIM(LEFT(C463,FIND(" |",C463&amp;" |")-1)))</f>
        <v/>
      </c>
      <c r="S463" s="96" t="str">
        <f>IF(R463="","",IFERROR(MATCH(R463,'ITENS_MTR'!$A$6:$A$1005,0),""))</f>
        <v/>
      </c>
      <c r="T463" s="96">
        <f>IF(S463="",0,IF(INDEX('ITENS_MTR'!$R$6:$R$1005,S463)=1,1,0))</f>
        <v>0</v>
      </c>
      <c r="U463" s="96" t="str">
        <f>IF(G463="","",IFERROR(IF(ISNUMBER(INDEX(cfg_fac,MATCH(G463,cfg_units,0))),IF(INDEX(cfg_fac,MATCH(G463,cfg_units,0))&gt;0,INDEX(cfg_fac,MATCH(G463,cfg_units,0)),""),""),""))</f>
        <v/>
      </c>
      <c r="V463" s="96">
        <f>IF(AND(ISNUMBER(F463),ISNUMBER(H463)),IF(H463&gt;0,1,0),0)</f>
        <v>0</v>
      </c>
      <c r="W463" s="96" t="str">
        <f>IF(T463=1,INDEX('ITENS_MTR'!$AU$6:$AU$1005,S463)&amp;"","")</f>
        <v/>
      </c>
      <c r="X463" s="96">
        <f>IF(AND(Q463=1,T463=1,I463&lt;&gt;"",W463&lt;&gt;""),IF(I463&lt;&gt;W463,1,0),0)</f>
        <v>0</v>
      </c>
      <c r="Y463" s="96">
        <f>IF(N463=0,0,IF(OR(Q463=0,T463=0,V463=0,AND(X463=1,J463&lt;&gt;"Sim")),1,0))</f>
        <v>0</v>
      </c>
      <c r="Z463" s="96">
        <f>IF(Q463=1,INDEX('CDFs'!$W$6:$W$505,P463),0)</f>
        <v>0</v>
      </c>
      <c r="AA463" s="96">
        <f>IF(AND(N463=1,Y463=0,Z463=1,J463="Sim"),1,0)</f>
        <v>0</v>
      </c>
      <c r="AB463" s="96">
        <f>IF(AND(N463=1,O463&lt;&gt;"",D463&lt;&gt;""),IF(COUNTIFS($O$6:O463,O463,$D$6:D463,D463)=1,1,0),0)</f>
        <v>0</v>
      </c>
      <c r="AC463" s="96">
        <f>IF(T463=1,INDEX('ITENS_MTR'!$AL$6:$AL$1005,S463),0)</f>
        <v>0</v>
      </c>
    </row>
    <row r="464">
      <c r="A464" s="89" t="inlineStr">
        <is>
          <t>VIN-000459</t>
        </is>
      </c>
      <c r="B464" s="91" t="n"/>
      <c r="C464" s="91" t="n"/>
      <c r="D464" s="94" t="str">
        <f>IF(T464=1,INDEX('ITENS_MTR'!$S$6:$S$1005,S464)&amp;"","")</f>
        <v/>
      </c>
      <c r="E464" s="94" t="str">
        <f>IF(T464=1,INDEX('ITENS_MTR'!$C$6:$C$1005,S464)&amp;"","")</f>
        <v/>
      </c>
      <c r="F464" s="98" t="n"/>
      <c r="G464" s="91" t="n"/>
      <c r="H464" s="93" t="str">
        <f>IF(N464=0,"",IF(NOT(ISNUMBER(F464)),"",IF(ISNUMBER(U464),F464*U464,"UNIDADE A CONFERIR")))</f>
        <v/>
      </c>
      <c r="I464" s="94" t="str">
        <f>IF(Q464=1,INDEX('CDFs'!$F$6:$F$505,P464)&amp;"","")</f>
        <v/>
      </c>
      <c r="J464" s="91" t="n"/>
      <c r="K464" s="91" t="n"/>
      <c r="L464" s="94" t="str">
        <f>IF(N464=0,"",IF(NOT(ISNUMBER(F464)),"Quantidade não informada",IF(F464&lt;=0,"Quantidade não positiva",IF(G464="","Unidade não informada",IF(NOT(ISNUMBER(H464)),"Unidade a conferir",IF(AC464=1,"REVISAR VÍNCULO: soma vinculada maior que a referência do item","OK"))))))</f>
        <v/>
      </c>
      <c r="M464" s="94" t="str">
        <f>IF(N464=0,"",IF(B464="","CDF não informado",IF(Q464=0,"REVISAR VÍNCULO: CDF inexistente",IF(C464="","Item não informado",IF(T464=0,"REVISAR VÍNCULO: item inexistente",IF(AND(X464=1,J464&lt;&gt;"Sim"),"REVISAR VÍNCULO: destinador diferente do MTR",IF(X464=1,"Destinador diferente do MTR (analisado)","OK")))))))</f>
        <v/>
      </c>
      <c r="N464" s="96">
        <f>IF(COUNTA(B464:C464,F464:G464,J464:K464)&gt;0,1,0)</f>
        <v>0</v>
      </c>
      <c r="O464" s="96" t="str">
        <f>IF(B464="","",TRIM(LEFT(B464,FIND(" |",B464&amp;" |")-1)))</f>
        <v/>
      </c>
      <c r="P464" s="96" t="str">
        <f>IF(O464="","",IFERROR(MATCH(O464,'CDFs'!$A$6:$A$505,0),""))</f>
        <v/>
      </c>
      <c r="Q464" s="96">
        <f>IF(P464="",0,IF(INDEX('CDFs'!$S$6:$S$505,P464)=1,1,0))</f>
        <v>0</v>
      </c>
      <c r="R464" s="96" t="str">
        <f>IF(C464="","",TRIM(LEFT(C464,FIND(" |",C464&amp;" |")-1)))</f>
        <v/>
      </c>
      <c r="S464" s="96" t="str">
        <f>IF(R464="","",IFERROR(MATCH(R464,'ITENS_MTR'!$A$6:$A$1005,0),""))</f>
        <v/>
      </c>
      <c r="T464" s="96">
        <f>IF(S464="",0,IF(INDEX('ITENS_MTR'!$R$6:$R$1005,S464)=1,1,0))</f>
        <v>0</v>
      </c>
      <c r="U464" s="96" t="str">
        <f>IF(G464="","",IFERROR(IF(ISNUMBER(INDEX(cfg_fac,MATCH(G464,cfg_units,0))),IF(INDEX(cfg_fac,MATCH(G464,cfg_units,0))&gt;0,INDEX(cfg_fac,MATCH(G464,cfg_units,0)),""),""),""))</f>
        <v/>
      </c>
      <c r="V464" s="96">
        <f>IF(AND(ISNUMBER(F464),ISNUMBER(H464)),IF(H464&gt;0,1,0),0)</f>
        <v>0</v>
      </c>
      <c r="W464" s="96" t="str">
        <f>IF(T464=1,INDEX('ITENS_MTR'!$AU$6:$AU$1005,S464)&amp;"","")</f>
        <v/>
      </c>
      <c r="X464" s="96">
        <f>IF(AND(Q464=1,T464=1,I464&lt;&gt;"",W464&lt;&gt;""),IF(I464&lt;&gt;W464,1,0),0)</f>
        <v>0</v>
      </c>
      <c r="Y464" s="96">
        <f>IF(N464=0,0,IF(OR(Q464=0,T464=0,V464=0,AND(X464=1,J464&lt;&gt;"Sim")),1,0))</f>
        <v>0</v>
      </c>
      <c r="Z464" s="96">
        <f>IF(Q464=1,INDEX('CDFs'!$W$6:$W$505,P464),0)</f>
        <v>0</v>
      </c>
      <c r="AA464" s="96">
        <f>IF(AND(N464=1,Y464=0,Z464=1,J464="Sim"),1,0)</f>
        <v>0</v>
      </c>
      <c r="AB464" s="96">
        <f>IF(AND(N464=1,O464&lt;&gt;"",D464&lt;&gt;""),IF(COUNTIFS($O$6:O464,O464,$D$6:D464,D464)=1,1,0),0)</f>
        <v>0</v>
      </c>
      <c r="AC464" s="96">
        <f>IF(T464=1,INDEX('ITENS_MTR'!$AL$6:$AL$1005,S464),0)</f>
        <v>0</v>
      </c>
    </row>
    <row r="465">
      <c r="A465" s="89" t="inlineStr">
        <is>
          <t>VIN-000460</t>
        </is>
      </c>
      <c r="B465" s="91" t="n"/>
      <c r="C465" s="91" t="n"/>
      <c r="D465" s="94" t="str">
        <f>IF(T465=1,INDEX('ITENS_MTR'!$S$6:$S$1005,S465)&amp;"","")</f>
        <v/>
      </c>
      <c r="E465" s="94" t="str">
        <f>IF(T465=1,INDEX('ITENS_MTR'!$C$6:$C$1005,S465)&amp;"","")</f>
        <v/>
      </c>
      <c r="F465" s="98" t="n"/>
      <c r="G465" s="91" t="n"/>
      <c r="H465" s="93" t="str">
        <f>IF(N465=0,"",IF(NOT(ISNUMBER(F465)),"",IF(ISNUMBER(U465),F465*U465,"UNIDADE A CONFERIR")))</f>
        <v/>
      </c>
      <c r="I465" s="94" t="str">
        <f>IF(Q465=1,INDEX('CDFs'!$F$6:$F$505,P465)&amp;"","")</f>
        <v/>
      </c>
      <c r="J465" s="91" t="n"/>
      <c r="K465" s="91" t="n"/>
      <c r="L465" s="94" t="str">
        <f>IF(N465=0,"",IF(NOT(ISNUMBER(F465)),"Quantidade não informada",IF(F465&lt;=0,"Quantidade não positiva",IF(G465="","Unidade não informada",IF(NOT(ISNUMBER(H465)),"Unidade a conferir",IF(AC465=1,"REVISAR VÍNCULO: soma vinculada maior que a referência do item","OK"))))))</f>
        <v/>
      </c>
      <c r="M465" s="94" t="str">
        <f>IF(N465=0,"",IF(B465="","CDF não informado",IF(Q465=0,"REVISAR VÍNCULO: CDF inexistente",IF(C465="","Item não informado",IF(T465=0,"REVISAR VÍNCULO: item inexistente",IF(AND(X465=1,J465&lt;&gt;"Sim"),"REVISAR VÍNCULO: destinador diferente do MTR",IF(X465=1,"Destinador diferente do MTR (analisado)","OK")))))))</f>
        <v/>
      </c>
      <c r="N465" s="96">
        <f>IF(COUNTA(B465:C465,F465:G465,J465:K465)&gt;0,1,0)</f>
        <v>0</v>
      </c>
      <c r="O465" s="96" t="str">
        <f>IF(B465="","",TRIM(LEFT(B465,FIND(" |",B465&amp;" |")-1)))</f>
        <v/>
      </c>
      <c r="P465" s="96" t="str">
        <f>IF(O465="","",IFERROR(MATCH(O465,'CDFs'!$A$6:$A$505,0),""))</f>
        <v/>
      </c>
      <c r="Q465" s="96">
        <f>IF(P465="",0,IF(INDEX('CDFs'!$S$6:$S$505,P465)=1,1,0))</f>
        <v>0</v>
      </c>
      <c r="R465" s="96" t="str">
        <f>IF(C465="","",TRIM(LEFT(C465,FIND(" |",C465&amp;" |")-1)))</f>
        <v/>
      </c>
      <c r="S465" s="96" t="str">
        <f>IF(R465="","",IFERROR(MATCH(R465,'ITENS_MTR'!$A$6:$A$1005,0),""))</f>
        <v/>
      </c>
      <c r="T465" s="96">
        <f>IF(S465="",0,IF(INDEX('ITENS_MTR'!$R$6:$R$1005,S465)=1,1,0))</f>
        <v>0</v>
      </c>
      <c r="U465" s="96" t="str">
        <f>IF(G465="","",IFERROR(IF(ISNUMBER(INDEX(cfg_fac,MATCH(G465,cfg_units,0))),IF(INDEX(cfg_fac,MATCH(G465,cfg_units,0))&gt;0,INDEX(cfg_fac,MATCH(G465,cfg_units,0)),""),""),""))</f>
        <v/>
      </c>
      <c r="V465" s="96">
        <f>IF(AND(ISNUMBER(F465),ISNUMBER(H465)),IF(H465&gt;0,1,0),0)</f>
        <v>0</v>
      </c>
      <c r="W465" s="96" t="str">
        <f>IF(T465=1,INDEX('ITENS_MTR'!$AU$6:$AU$1005,S465)&amp;"","")</f>
        <v/>
      </c>
      <c r="X465" s="96">
        <f>IF(AND(Q465=1,T465=1,I465&lt;&gt;"",W465&lt;&gt;""),IF(I465&lt;&gt;W465,1,0),0)</f>
        <v>0</v>
      </c>
      <c r="Y465" s="96">
        <f>IF(N465=0,0,IF(OR(Q465=0,T465=0,V465=0,AND(X465=1,J465&lt;&gt;"Sim")),1,0))</f>
        <v>0</v>
      </c>
      <c r="Z465" s="96">
        <f>IF(Q465=1,INDEX('CDFs'!$W$6:$W$505,P465),0)</f>
        <v>0</v>
      </c>
      <c r="AA465" s="96">
        <f>IF(AND(N465=1,Y465=0,Z465=1,J465="Sim"),1,0)</f>
        <v>0</v>
      </c>
      <c r="AB465" s="96">
        <f>IF(AND(N465=1,O465&lt;&gt;"",D465&lt;&gt;""),IF(COUNTIFS($O$6:O465,O465,$D$6:D465,D465)=1,1,0),0)</f>
        <v>0</v>
      </c>
      <c r="AC465" s="96">
        <f>IF(T465=1,INDEX('ITENS_MTR'!$AL$6:$AL$1005,S465),0)</f>
        <v>0</v>
      </c>
    </row>
    <row r="466">
      <c r="A466" s="89" t="inlineStr">
        <is>
          <t>VIN-000461</t>
        </is>
      </c>
      <c r="B466" s="91" t="n"/>
      <c r="C466" s="91" t="n"/>
      <c r="D466" s="94" t="str">
        <f>IF(T466=1,INDEX('ITENS_MTR'!$S$6:$S$1005,S466)&amp;"","")</f>
        <v/>
      </c>
      <c r="E466" s="94" t="str">
        <f>IF(T466=1,INDEX('ITENS_MTR'!$C$6:$C$1005,S466)&amp;"","")</f>
        <v/>
      </c>
      <c r="F466" s="98" t="n"/>
      <c r="G466" s="91" t="n"/>
      <c r="H466" s="93" t="str">
        <f>IF(N466=0,"",IF(NOT(ISNUMBER(F466)),"",IF(ISNUMBER(U466),F466*U466,"UNIDADE A CONFERIR")))</f>
        <v/>
      </c>
      <c r="I466" s="94" t="str">
        <f>IF(Q466=1,INDEX('CDFs'!$F$6:$F$505,P466)&amp;"","")</f>
        <v/>
      </c>
      <c r="J466" s="91" t="n"/>
      <c r="K466" s="91" t="n"/>
      <c r="L466" s="94" t="str">
        <f>IF(N466=0,"",IF(NOT(ISNUMBER(F466)),"Quantidade não informada",IF(F466&lt;=0,"Quantidade não positiva",IF(G466="","Unidade não informada",IF(NOT(ISNUMBER(H466)),"Unidade a conferir",IF(AC466=1,"REVISAR VÍNCULO: soma vinculada maior que a referência do item","OK"))))))</f>
        <v/>
      </c>
      <c r="M466" s="94" t="str">
        <f>IF(N466=0,"",IF(B466="","CDF não informado",IF(Q466=0,"REVISAR VÍNCULO: CDF inexistente",IF(C466="","Item não informado",IF(T466=0,"REVISAR VÍNCULO: item inexistente",IF(AND(X466=1,J466&lt;&gt;"Sim"),"REVISAR VÍNCULO: destinador diferente do MTR",IF(X466=1,"Destinador diferente do MTR (analisado)","OK")))))))</f>
        <v/>
      </c>
      <c r="N466" s="96">
        <f>IF(COUNTA(B466:C466,F466:G466,J466:K466)&gt;0,1,0)</f>
        <v>0</v>
      </c>
      <c r="O466" s="96" t="str">
        <f>IF(B466="","",TRIM(LEFT(B466,FIND(" |",B466&amp;" |")-1)))</f>
        <v/>
      </c>
      <c r="P466" s="96" t="str">
        <f>IF(O466="","",IFERROR(MATCH(O466,'CDFs'!$A$6:$A$505,0),""))</f>
        <v/>
      </c>
      <c r="Q466" s="96">
        <f>IF(P466="",0,IF(INDEX('CDFs'!$S$6:$S$505,P466)=1,1,0))</f>
        <v>0</v>
      </c>
      <c r="R466" s="96" t="str">
        <f>IF(C466="","",TRIM(LEFT(C466,FIND(" |",C466&amp;" |")-1)))</f>
        <v/>
      </c>
      <c r="S466" s="96" t="str">
        <f>IF(R466="","",IFERROR(MATCH(R466,'ITENS_MTR'!$A$6:$A$1005,0),""))</f>
        <v/>
      </c>
      <c r="T466" s="96">
        <f>IF(S466="",0,IF(INDEX('ITENS_MTR'!$R$6:$R$1005,S466)=1,1,0))</f>
        <v>0</v>
      </c>
      <c r="U466" s="96" t="str">
        <f>IF(G466="","",IFERROR(IF(ISNUMBER(INDEX(cfg_fac,MATCH(G466,cfg_units,0))),IF(INDEX(cfg_fac,MATCH(G466,cfg_units,0))&gt;0,INDEX(cfg_fac,MATCH(G466,cfg_units,0)),""),""),""))</f>
        <v/>
      </c>
      <c r="V466" s="96">
        <f>IF(AND(ISNUMBER(F466),ISNUMBER(H466)),IF(H466&gt;0,1,0),0)</f>
        <v>0</v>
      </c>
      <c r="W466" s="96" t="str">
        <f>IF(T466=1,INDEX('ITENS_MTR'!$AU$6:$AU$1005,S466)&amp;"","")</f>
        <v/>
      </c>
      <c r="X466" s="96">
        <f>IF(AND(Q466=1,T466=1,I466&lt;&gt;"",W466&lt;&gt;""),IF(I466&lt;&gt;W466,1,0),0)</f>
        <v>0</v>
      </c>
      <c r="Y466" s="96">
        <f>IF(N466=0,0,IF(OR(Q466=0,T466=0,V466=0,AND(X466=1,J466&lt;&gt;"Sim")),1,0))</f>
        <v>0</v>
      </c>
      <c r="Z466" s="96">
        <f>IF(Q466=1,INDEX('CDFs'!$W$6:$W$505,P466),0)</f>
        <v>0</v>
      </c>
      <c r="AA466" s="96">
        <f>IF(AND(N466=1,Y466=0,Z466=1,J466="Sim"),1,0)</f>
        <v>0</v>
      </c>
      <c r="AB466" s="96">
        <f>IF(AND(N466=1,O466&lt;&gt;"",D466&lt;&gt;""),IF(COUNTIFS($O$6:O466,O466,$D$6:D466,D466)=1,1,0),0)</f>
        <v>0</v>
      </c>
      <c r="AC466" s="96">
        <f>IF(T466=1,INDEX('ITENS_MTR'!$AL$6:$AL$1005,S466),0)</f>
        <v>0</v>
      </c>
    </row>
    <row r="467">
      <c r="A467" s="89" t="inlineStr">
        <is>
          <t>VIN-000462</t>
        </is>
      </c>
      <c r="B467" s="91" t="n"/>
      <c r="C467" s="91" t="n"/>
      <c r="D467" s="94" t="str">
        <f>IF(T467=1,INDEX('ITENS_MTR'!$S$6:$S$1005,S467)&amp;"","")</f>
        <v/>
      </c>
      <c r="E467" s="94" t="str">
        <f>IF(T467=1,INDEX('ITENS_MTR'!$C$6:$C$1005,S467)&amp;"","")</f>
        <v/>
      </c>
      <c r="F467" s="98" t="n"/>
      <c r="G467" s="91" t="n"/>
      <c r="H467" s="93" t="str">
        <f>IF(N467=0,"",IF(NOT(ISNUMBER(F467)),"",IF(ISNUMBER(U467),F467*U467,"UNIDADE A CONFERIR")))</f>
        <v/>
      </c>
      <c r="I467" s="94" t="str">
        <f>IF(Q467=1,INDEX('CDFs'!$F$6:$F$505,P467)&amp;"","")</f>
        <v/>
      </c>
      <c r="J467" s="91" t="n"/>
      <c r="K467" s="91" t="n"/>
      <c r="L467" s="94" t="str">
        <f>IF(N467=0,"",IF(NOT(ISNUMBER(F467)),"Quantidade não informada",IF(F467&lt;=0,"Quantidade não positiva",IF(G467="","Unidade não informada",IF(NOT(ISNUMBER(H467)),"Unidade a conferir",IF(AC467=1,"REVISAR VÍNCULO: soma vinculada maior que a referência do item","OK"))))))</f>
        <v/>
      </c>
      <c r="M467" s="94" t="str">
        <f>IF(N467=0,"",IF(B467="","CDF não informado",IF(Q467=0,"REVISAR VÍNCULO: CDF inexistente",IF(C467="","Item não informado",IF(T467=0,"REVISAR VÍNCULO: item inexistente",IF(AND(X467=1,J467&lt;&gt;"Sim"),"REVISAR VÍNCULO: destinador diferente do MTR",IF(X467=1,"Destinador diferente do MTR (analisado)","OK")))))))</f>
        <v/>
      </c>
      <c r="N467" s="96">
        <f>IF(COUNTA(B467:C467,F467:G467,J467:K467)&gt;0,1,0)</f>
        <v>0</v>
      </c>
      <c r="O467" s="96" t="str">
        <f>IF(B467="","",TRIM(LEFT(B467,FIND(" |",B467&amp;" |")-1)))</f>
        <v/>
      </c>
      <c r="P467" s="96" t="str">
        <f>IF(O467="","",IFERROR(MATCH(O467,'CDFs'!$A$6:$A$505,0),""))</f>
        <v/>
      </c>
      <c r="Q467" s="96">
        <f>IF(P467="",0,IF(INDEX('CDFs'!$S$6:$S$505,P467)=1,1,0))</f>
        <v>0</v>
      </c>
      <c r="R467" s="96" t="str">
        <f>IF(C467="","",TRIM(LEFT(C467,FIND(" |",C467&amp;" |")-1)))</f>
        <v/>
      </c>
      <c r="S467" s="96" t="str">
        <f>IF(R467="","",IFERROR(MATCH(R467,'ITENS_MTR'!$A$6:$A$1005,0),""))</f>
        <v/>
      </c>
      <c r="T467" s="96">
        <f>IF(S467="",0,IF(INDEX('ITENS_MTR'!$R$6:$R$1005,S467)=1,1,0))</f>
        <v>0</v>
      </c>
      <c r="U467" s="96" t="str">
        <f>IF(G467="","",IFERROR(IF(ISNUMBER(INDEX(cfg_fac,MATCH(G467,cfg_units,0))),IF(INDEX(cfg_fac,MATCH(G467,cfg_units,0))&gt;0,INDEX(cfg_fac,MATCH(G467,cfg_units,0)),""),""),""))</f>
        <v/>
      </c>
      <c r="V467" s="96">
        <f>IF(AND(ISNUMBER(F467),ISNUMBER(H467)),IF(H467&gt;0,1,0),0)</f>
        <v>0</v>
      </c>
      <c r="W467" s="96" t="str">
        <f>IF(T467=1,INDEX('ITENS_MTR'!$AU$6:$AU$1005,S467)&amp;"","")</f>
        <v/>
      </c>
      <c r="X467" s="96">
        <f>IF(AND(Q467=1,T467=1,I467&lt;&gt;"",W467&lt;&gt;""),IF(I467&lt;&gt;W467,1,0),0)</f>
        <v>0</v>
      </c>
      <c r="Y467" s="96">
        <f>IF(N467=0,0,IF(OR(Q467=0,T467=0,V467=0,AND(X467=1,J467&lt;&gt;"Sim")),1,0))</f>
        <v>0</v>
      </c>
      <c r="Z467" s="96">
        <f>IF(Q467=1,INDEX('CDFs'!$W$6:$W$505,P467),0)</f>
        <v>0</v>
      </c>
      <c r="AA467" s="96">
        <f>IF(AND(N467=1,Y467=0,Z467=1,J467="Sim"),1,0)</f>
        <v>0</v>
      </c>
      <c r="AB467" s="96">
        <f>IF(AND(N467=1,O467&lt;&gt;"",D467&lt;&gt;""),IF(COUNTIFS($O$6:O467,O467,$D$6:D467,D467)=1,1,0),0)</f>
        <v>0</v>
      </c>
      <c r="AC467" s="96">
        <f>IF(T467=1,INDEX('ITENS_MTR'!$AL$6:$AL$1005,S467),0)</f>
        <v>0</v>
      </c>
    </row>
    <row r="468">
      <c r="A468" s="89" t="inlineStr">
        <is>
          <t>VIN-000463</t>
        </is>
      </c>
      <c r="B468" s="91" t="n"/>
      <c r="C468" s="91" t="n"/>
      <c r="D468" s="94" t="str">
        <f>IF(T468=1,INDEX('ITENS_MTR'!$S$6:$S$1005,S468)&amp;"","")</f>
        <v/>
      </c>
      <c r="E468" s="94" t="str">
        <f>IF(T468=1,INDEX('ITENS_MTR'!$C$6:$C$1005,S468)&amp;"","")</f>
        <v/>
      </c>
      <c r="F468" s="98" t="n"/>
      <c r="G468" s="91" t="n"/>
      <c r="H468" s="93" t="str">
        <f>IF(N468=0,"",IF(NOT(ISNUMBER(F468)),"",IF(ISNUMBER(U468),F468*U468,"UNIDADE A CONFERIR")))</f>
        <v/>
      </c>
      <c r="I468" s="94" t="str">
        <f>IF(Q468=1,INDEX('CDFs'!$F$6:$F$505,P468)&amp;"","")</f>
        <v/>
      </c>
      <c r="J468" s="91" t="n"/>
      <c r="K468" s="91" t="n"/>
      <c r="L468" s="94" t="str">
        <f>IF(N468=0,"",IF(NOT(ISNUMBER(F468)),"Quantidade não informada",IF(F468&lt;=0,"Quantidade não positiva",IF(G468="","Unidade não informada",IF(NOT(ISNUMBER(H468)),"Unidade a conferir",IF(AC468=1,"REVISAR VÍNCULO: soma vinculada maior que a referência do item","OK"))))))</f>
        <v/>
      </c>
      <c r="M468" s="94" t="str">
        <f>IF(N468=0,"",IF(B468="","CDF não informado",IF(Q468=0,"REVISAR VÍNCULO: CDF inexistente",IF(C468="","Item não informado",IF(T468=0,"REVISAR VÍNCULO: item inexistente",IF(AND(X468=1,J468&lt;&gt;"Sim"),"REVISAR VÍNCULO: destinador diferente do MTR",IF(X468=1,"Destinador diferente do MTR (analisado)","OK")))))))</f>
        <v/>
      </c>
      <c r="N468" s="96">
        <f>IF(COUNTA(B468:C468,F468:G468,J468:K468)&gt;0,1,0)</f>
        <v>0</v>
      </c>
      <c r="O468" s="96" t="str">
        <f>IF(B468="","",TRIM(LEFT(B468,FIND(" |",B468&amp;" |")-1)))</f>
        <v/>
      </c>
      <c r="P468" s="96" t="str">
        <f>IF(O468="","",IFERROR(MATCH(O468,'CDFs'!$A$6:$A$505,0),""))</f>
        <v/>
      </c>
      <c r="Q468" s="96">
        <f>IF(P468="",0,IF(INDEX('CDFs'!$S$6:$S$505,P468)=1,1,0))</f>
        <v>0</v>
      </c>
      <c r="R468" s="96" t="str">
        <f>IF(C468="","",TRIM(LEFT(C468,FIND(" |",C468&amp;" |")-1)))</f>
        <v/>
      </c>
      <c r="S468" s="96" t="str">
        <f>IF(R468="","",IFERROR(MATCH(R468,'ITENS_MTR'!$A$6:$A$1005,0),""))</f>
        <v/>
      </c>
      <c r="T468" s="96">
        <f>IF(S468="",0,IF(INDEX('ITENS_MTR'!$R$6:$R$1005,S468)=1,1,0))</f>
        <v>0</v>
      </c>
      <c r="U468" s="96" t="str">
        <f>IF(G468="","",IFERROR(IF(ISNUMBER(INDEX(cfg_fac,MATCH(G468,cfg_units,0))),IF(INDEX(cfg_fac,MATCH(G468,cfg_units,0))&gt;0,INDEX(cfg_fac,MATCH(G468,cfg_units,0)),""),""),""))</f>
        <v/>
      </c>
      <c r="V468" s="96">
        <f>IF(AND(ISNUMBER(F468),ISNUMBER(H468)),IF(H468&gt;0,1,0),0)</f>
        <v>0</v>
      </c>
      <c r="W468" s="96" t="str">
        <f>IF(T468=1,INDEX('ITENS_MTR'!$AU$6:$AU$1005,S468)&amp;"","")</f>
        <v/>
      </c>
      <c r="X468" s="96">
        <f>IF(AND(Q468=1,T468=1,I468&lt;&gt;"",W468&lt;&gt;""),IF(I468&lt;&gt;W468,1,0),0)</f>
        <v>0</v>
      </c>
      <c r="Y468" s="96">
        <f>IF(N468=0,0,IF(OR(Q468=0,T468=0,V468=0,AND(X468=1,J468&lt;&gt;"Sim")),1,0))</f>
        <v>0</v>
      </c>
      <c r="Z468" s="96">
        <f>IF(Q468=1,INDEX('CDFs'!$W$6:$W$505,P468),0)</f>
        <v>0</v>
      </c>
      <c r="AA468" s="96">
        <f>IF(AND(N468=1,Y468=0,Z468=1,J468="Sim"),1,0)</f>
        <v>0</v>
      </c>
      <c r="AB468" s="96">
        <f>IF(AND(N468=1,O468&lt;&gt;"",D468&lt;&gt;""),IF(COUNTIFS($O$6:O468,O468,$D$6:D468,D468)=1,1,0),0)</f>
        <v>0</v>
      </c>
      <c r="AC468" s="96">
        <f>IF(T468=1,INDEX('ITENS_MTR'!$AL$6:$AL$1005,S468),0)</f>
        <v>0</v>
      </c>
    </row>
    <row r="469">
      <c r="A469" s="89" t="inlineStr">
        <is>
          <t>VIN-000464</t>
        </is>
      </c>
      <c r="B469" s="91" t="n"/>
      <c r="C469" s="91" t="n"/>
      <c r="D469" s="94" t="str">
        <f>IF(T469=1,INDEX('ITENS_MTR'!$S$6:$S$1005,S469)&amp;"","")</f>
        <v/>
      </c>
      <c r="E469" s="94" t="str">
        <f>IF(T469=1,INDEX('ITENS_MTR'!$C$6:$C$1005,S469)&amp;"","")</f>
        <v/>
      </c>
      <c r="F469" s="98" t="n"/>
      <c r="G469" s="91" t="n"/>
      <c r="H469" s="93" t="str">
        <f>IF(N469=0,"",IF(NOT(ISNUMBER(F469)),"",IF(ISNUMBER(U469),F469*U469,"UNIDADE A CONFERIR")))</f>
        <v/>
      </c>
      <c r="I469" s="94" t="str">
        <f>IF(Q469=1,INDEX('CDFs'!$F$6:$F$505,P469)&amp;"","")</f>
        <v/>
      </c>
      <c r="J469" s="91" t="n"/>
      <c r="K469" s="91" t="n"/>
      <c r="L469" s="94" t="str">
        <f>IF(N469=0,"",IF(NOT(ISNUMBER(F469)),"Quantidade não informada",IF(F469&lt;=0,"Quantidade não positiva",IF(G469="","Unidade não informada",IF(NOT(ISNUMBER(H469)),"Unidade a conferir",IF(AC469=1,"REVISAR VÍNCULO: soma vinculada maior que a referência do item","OK"))))))</f>
        <v/>
      </c>
      <c r="M469" s="94" t="str">
        <f>IF(N469=0,"",IF(B469="","CDF não informado",IF(Q469=0,"REVISAR VÍNCULO: CDF inexistente",IF(C469="","Item não informado",IF(T469=0,"REVISAR VÍNCULO: item inexistente",IF(AND(X469=1,J469&lt;&gt;"Sim"),"REVISAR VÍNCULO: destinador diferente do MTR",IF(X469=1,"Destinador diferente do MTR (analisado)","OK")))))))</f>
        <v/>
      </c>
      <c r="N469" s="96">
        <f>IF(COUNTA(B469:C469,F469:G469,J469:K469)&gt;0,1,0)</f>
        <v>0</v>
      </c>
      <c r="O469" s="96" t="str">
        <f>IF(B469="","",TRIM(LEFT(B469,FIND(" |",B469&amp;" |")-1)))</f>
        <v/>
      </c>
      <c r="P469" s="96" t="str">
        <f>IF(O469="","",IFERROR(MATCH(O469,'CDFs'!$A$6:$A$505,0),""))</f>
        <v/>
      </c>
      <c r="Q469" s="96">
        <f>IF(P469="",0,IF(INDEX('CDFs'!$S$6:$S$505,P469)=1,1,0))</f>
        <v>0</v>
      </c>
      <c r="R469" s="96" t="str">
        <f>IF(C469="","",TRIM(LEFT(C469,FIND(" |",C469&amp;" |")-1)))</f>
        <v/>
      </c>
      <c r="S469" s="96" t="str">
        <f>IF(R469="","",IFERROR(MATCH(R469,'ITENS_MTR'!$A$6:$A$1005,0),""))</f>
        <v/>
      </c>
      <c r="T469" s="96">
        <f>IF(S469="",0,IF(INDEX('ITENS_MTR'!$R$6:$R$1005,S469)=1,1,0))</f>
        <v>0</v>
      </c>
      <c r="U469" s="96" t="str">
        <f>IF(G469="","",IFERROR(IF(ISNUMBER(INDEX(cfg_fac,MATCH(G469,cfg_units,0))),IF(INDEX(cfg_fac,MATCH(G469,cfg_units,0))&gt;0,INDEX(cfg_fac,MATCH(G469,cfg_units,0)),""),""),""))</f>
        <v/>
      </c>
      <c r="V469" s="96">
        <f>IF(AND(ISNUMBER(F469),ISNUMBER(H469)),IF(H469&gt;0,1,0),0)</f>
        <v>0</v>
      </c>
      <c r="W469" s="96" t="str">
        <f>IF(T469=1,INDEX('ITENS_MTR'!$AU$6:$AU$1005,S469)&amp;"","")</f>
        <v/>
      </c>
      <c r="X469" s="96">
        <f>IF(AND(Q469=1,T469=1,I469&lt;&gt;"",W469&lt;&gt;""),IF(I469&lt;&gt;W469,1,0),0)</f>
        <v>0</v>
      </c>
      <c r="Y469" s="96">
        <f>IF(N469=0,0,IF(OR(Q469=0,T469=0,V469=0,AND(X469=1,J469&lt;&gt;"Sim")),1,0))</f>
        <v>0</v>
      </c>
      <c r="Z469" s="96">
        <f>IF(Q469=1,INDEX('CDFs'!$W$6:$W$505,P469),0)</f>
        <v>0</v>
      </c>
      <c r="AA469" s="96">
        <f>IF(AND(N469=1,Y469=0,Z469=1,J469="Sim"),1,0)</f>
        <v>0</v>
      </c>
      <c r="AB469" s="96">
        <f>IF(AND(N469=1,O469&lt;&gt;"",D469&lt;&gt;""),IF(COUNTIFS($O$6:O469,O469,$D$6:D469,D469)=1,1,0),0)</f>
        <v>0</v>
      </c>
      <c r="AC469" s="96">
        <f>IF(T469=1,INDEX('ITENS_MTR'!$AL$6:$AL$1005,S469),0)</f>
        <v>0</v>
      </c>
    </row>
    <row r="470">
      <c r="A470" s="89" t="inlineStr">
        <is>
          <t>VIN-000465</t>
        </is>
      </c>
      <c r="B470" s="91" t="n"/>
      <c r="C470" s="91" t="n"/>
      <c r="D470" s="94" t="str">
        <f>IF(T470=1,INDEX('ITENS_MTR'!$S$6:$S$1005,S470)&amp;"","")</f>
        <v/>
      </c>
      <c r="E470" s="94" t="str">
        <f>IF(T470=1,INDEX('ITENS_MTR'!$C$6:$C$1005,S470)&amp;"","")</f>
        <v/>
      </c>
      <c r="F470" s="98" t="n"/>
      <c r="G470" s="91" t="n"/>
      <c r="H470" s="93" t="str">
        <f>IF(N470=0,"",IF(NOT(ISNUMBER(F470)),"",IF(ISNUMBER(U470),F470*U470,"UNIDADE A CONFERIR")))</f>
        <v/>
      </c>
      <c r="I470" s="94" t="str">
        <f>IF(Q470=1,INDEX('CDFs'!$F$6:$F$505,P470)&amp;"","")</f>
        <v/>
      </c>
      <c r="J470" s="91" t="n"/>
      <c r="K470" s="91" t="n"/>
      <c r="L470" s="94" t="str">
        <f>IF(N470=0,"",IF(NOT(ISNUMBER(F470)),"Quantidade não informada",IF(F470&lt;=0,"Quantidade não positiva",IF(G470="","Unidade não informada",IF(NOT(ISNUMBER(H470)),"Unidade a conferir",IF(AC470=1,"REVISAR VÍNCULO: soma vinculada maior que a referência do item","OK"))))))</f>
        <v/>
      </c>
      <c r="M470" s="94" t="str">
        <f>IF(N470=0,"",IF(B470="","CDF não informado",IF(Q470=0,"REVISAR VÍNCULO: CDF inexistente",IF(C470="","Item não informado",IF(T470=0,"REVISAR VÍNCULO: item inexistente",IF(AND(X470=1,J470&lt;&gt;"Sim"),"REVISAR VÍNCULO: destinador diferente do MTR",IF(X470=1,"Destinador diferente do MTR (analisado)","OK")))))))</f>
        <v/>
      </c>
      <c r="N470" s="96">
        <f>IF(COUNTA(B470:C470,F470:G470,J470:K470)&gt;0,1,0)</f>
        <v>0</v>
      </c>
      <c r="O470" s="96" t="str">
        <f>IF(B470="","",TRIM(LEFT(B470,FIND(" |",B470&amp;" |")-1)))</f>
        <v/>
      </c>
      <c r="P470" s="96" t="str">
        <f>IF(O470="","",IFERROR(MATCH(O470,'CDFs'!$A$6:$A$505,0),""))</f>
        <v/>
      </c>
      <c r="Q470" s="96">
        <f>IF(P470="",0,IF(INDEX('CDFs'!$S$6:$S$505,P470)=1,1,0))</f>
        <v>0</v>
      </c>
      <c r="R470" s="96" t="str">
        <f>IF(C470="","",TRIM(LEFT(C470,FIND(" |",C470&amp;" |")-1)))</f>
        <v/>
      </c>
      <c r="S470" s="96" t="str">
        <f>IF(R470="","",IFERROR(MATCH(R470,'ITENS_MTR'!$A$6:$A$1005,0),""))</f>
        <v/>
      </c>
      <c r="T470" s="96">
        <f>IF(S470="",0,IF(INDEX('ITENS_MTR'!$R$6:$R$1005,S470)=1,1,0))</f>
        <v>0</v>
      </c>
      <c r="U470" s="96" t="str">
        <f>IF(G470="","",IFERROR(IF(ISNUMBER(INDEX(cfg_fac,MATCH(G470,cfg_units,0))),IF(INDEX(cfg_fac,MATCH(G470,cfg_units,0))&gt;0,INDEX(cfg_fac,MATCH(G470,cfg_units,0)),""),""),""))</f>
        <v/>
      </c>
      <c r="V470" s="96">
        <f>IF(AND(ISNUMBER(F470),ISNUMBER(H470)),IF(H470&gt;0,1,0),0)</f>
        <v>0</v>
      </c>
      <c r="W470" s="96" t="str">
        <f>IF(T470=1,INDEX('ITENS_MTR'!$AU$6:$AU$1005,S470)&amp;"","")</f>
        <v/>
      </c>
      <c r="X470" s="96">
        <f>IF(AND(Q470=1,T470=1,I470&lt;&gt;"",W470&lt;&gt;""),IF(I470&lt;&gt;W470,1,0),0)</f>
        <v>0</v>
      </c>
      <c r="Y470" s="96">
        <f>IF(N470=0,0,IF(OR(Q470=0,T470=0,V470=0,AND(X470=1,J470&lt;&gt;"Sim")),1,0))</f>
        <v>0</v>
      </c>
      <c r="Z470" s="96">
        <f>IF(Q470=1,INDEX('CDFs'!$W$6:$W$505,P470),0)</f>
        <v>0</v>
      </c>
      <c r="AA470" s="96">
        <f>IF(AND(N470=1,Y470=0,Z470=1,J470="Sim"),1,0)</f>
        <v>0</v>
      </c>
      <c r="AB470" s="96">
        <f>IF(AND(N470=1,O470&lt;&gt;"",D470&lt;&gt;""),IF(COUNTIFS($O$6:O470,O470,$D$6:D470,D470)=1,1,0),0)</f>
        <v>0</v>
      </c>
      <c r="AC470" s="96">
        <f>IF(T470=1,INDEX('ITENS_MTR'!$AL$6:$AL$1005,S470),0)</f>
        <v>0</v>
      </c>
    </row>
    <row r="471">
      <c r="A471" s="89" t="inlineStr">
        <is>
          <t>VIN-000466</t>
        </is>
      </c>
      <c r="B471" s="91" t="n"/>
      <c r="C471" s="91" t="n"/>
      <c r="D471" s="94" t="str">
        <f>IF(T471=1,INDEX('ITENS_MTR'!$S$6:$S$1005,S471)&amp;"","")</f>
        <v/>
      </c>
      <c r="E471" s="94" t="str">
        <f>IF(T471=1,INDEX('ITENS_MTR'!$C$6:$C$1005,S471)&amp;"","")</f>
        <v/>
      </c>
      <c r="F471" s="98" t="n"/>
      <c r="G471" s="91" t="n"/>
      <c r="H471" s="93" t="str">
        <f>IF(N471=0,"",IF(NOT(ISNUMBER(F471)),"",IF(ISNUMBER(U471),F471*U471,"UNIDADE A CONFERIR")))</f>
        <v/>
      </c>
      <c r="I471" s="94" t="str">
        <f>IF(Q471=1,INDEX('CDFs'!$F$6:$F$505,P471)&amp;"","")</f>
        <v/>
      </c>
      <c r="J471" s="91" t="n"/>
      <c r="K471" s="91" t="n"/>
      <c r="L471" s="94" t="str">
        <f>IF(N471=0,"",IF(NOT(ISNUMBER(F471)),"Quantidade não informada",IF(F471&lt;=0,"Quantidade não positiva",IF(G471="","Unidade não informada",IF(NOT(ISNUMBER(H471)),"Unidade a conferir",IF(AC471=1,"REVISAR VÍNCULO: soma vinculada maior que a referência do item","OK"))))))</f>
        <v/>
      </c>
      <c r="M471" s="94" t="str">
        <f>IF(N471=0,"",IF(B471="","CDF não informado",IF(Q471=0,"REVISAR VÍNCULO: CDF inexistente",IF(C471="","Item não informado",IF(T471=0,"REVISAR VÍNCULO: item inexistente",IF(AND(X471=1,J471&lt;&gt;"Sim"),"REVISAR VÍNCULO: destinador diferente do MTR",IF(X471=1,"Destinador diferente do MTR (analisado)","OK")))))))</f>
        <v/>
      </c>
      <c r="N471" s="96">
        <f>IF(COUNTA(B471:C471,F471:G471,J471:K471)&gt;0,1,0)</f>
        <v>0</v>
      </c>
      <c r="O471" s="96" t="str">
        <f>IF(B471="","",TRIM(LEFT(B471,FIND(" |",B471&amp;" |")-1)))</f>
        <v/>
      </c>
      <c r="P471" s="96" t="str">
        <f>IF(O471="","",IFERROR(MATCH(O471,'CDFs'!$A$6:$A$505,0),""))</f>
        <v/>
      </c>
      <c r="Q471" s="96">
        <f>IF(P471="",0,IF(INDEX('CDFs'!$S$6:$S$505,P471)=1,1,0))</f>
        <v>0</v>
      </c>
      <c r="R471" s="96" t="str">
        <f>IF(C471="","",TRIM(LEFT(C471,FIND(" |",C471&amp;" |")-1)))</f>
        <v/>
      </c>
      <c r="S471" s="96" t="str">
        <f>IF(R471="","",IFERROR(MATCH(R471,'ITENS_MTR'!$A$6:$A$1005,0),""))</f>
        <v/>
      </c>
      <c r="T471" s="96">
        <f>IF(S471="",0,IF(INDEX('ITENS_MTR'!$R$6:$R$1005,S471)=1,1,0))</f>
        <v>0</v>
      </c>
      <c r="U471" s="96" t="str">
        <f>IF(G471="","",IFERROR(IF(ISNUMBER(INDEX(cfg_fac,MATCH(G471,cfg_units,0))),IF(INDEX(cfg_fac,MATCH(G471,cfg_units,0))&gt;0,INDEX(cfg_fac,MATCH(G471,cfg_units,0)),""),""),""))</f>
        <v/>
      </c>
      <c r="V471" s="96">
        <f>IF(AND(ISNUMBER(F471),ISNUMBER(H471)),IF(H471&gt;0,1,0),0)</f>
        <v>0</v>
      </c>
      <c r="W471" s="96" t="str">
        <f>IF(T471=1,INDEX('ITENS_MTR'!$AU$6:$AU$1005,S471)&amp;"","")</f>
        <v/>
      </c>
      <c r="X471" s="96">
        <f>IF(AND(Q471=1,T471=1,I471&lt;&gt;"",W471&lt;&gt;""),IF(I471&lt;&gt;W471,1,0),0)</f>
        <v>0</v>
      </c>
      <c r="Y471" s="96">
        <f>IF(N471=0,0,IF(OR(Q471=0,T471=0,V471=0,AND(X471=1,J471&lt;&gt;"Sim")),1,0))</f>
        <v>0</v>
      </c>
      <c r="Z471" s="96">
        <f>IF(Q471=1,INDEX('CDFs'!$W$6:$W$505,P471),0)</f>
        <v>0</v>
      </c>
      <c r="AA471" s="96">
        <f>IF(AND(N471=1,Y471=0,Z471=1,J471="Sim"),1,0)</f>
        <v>0</v>
      </c>
      <c r="AB471" s="96">
        <f>IF(AND(N471=1,O471&lt;&gt;"",D471&lt;&gt;""),IF(COUNTIFS($O$6:O471,O471,$D$6:D471,D471)=1,1,0),0)</f>
        <v>0</v>
      </c>
      <c r="AC471" s="96">
        <f>IF(T471=1,INDEX('ITENS_MTR'!$AL$6:$AL$1005,S471),0)</f>
        <v>0</v>
      </c>
    </row>
    <row r="472">
      <c r="A472" s="89" t="inlineStr">
        <is>
          <t>VIN-000467</t>
        </is>
      </c>
      <c r="B472" s="91" t="n"/>
      <c r="C472" s="91" t="n"/>
      <c r="D472" s="94" t="str">
        <f>IF(T472=1,INDEX('ITENS_MTR'!$S$6:$S$1005,S472)&amp;"","")</f>
        <v/>
      </c>
      <c r="E472" s="94" t="str">
        <f>IF(T472=1,INDEX('ITENS_MTR'!$C$6:$C$1005,S472)&amp;"","")</f>
        <v/>
      </c>
      <c r="F472" s="98" t="n"/>
      <c r="G472" s="91" t="n"/>
      <c r="H472" s="93" t="str">
        <f>IF(N472=0,"",IF(NOT(ISNUMBER(F472)),"",IF(ISNUMBER(U472),F472*U472,"UNIDADE A CONFERIR")))</f>
        <v/>
      </c>
      <c r="I472" s="94" t="str">
        <f>IF(Q472=1,INDEX('CDFs'!$F$6:$F$505,P472)&amp;"","")</f>
        <v/>
      </c>
      <c r="J472" s="91" t="n"/>
      <c r="K472" s="91" t="n"/>
      <c r="L472" s="94" t="str">
        <f>IF(N472=0,"",IF(NOT(ISNUMBER(F472)),"Quantidade não informada",IF(F472&lt;=0,"Quantidade não positiva",IF(G472="","Unidade não informada",IF(NOT(ISNUMBER(H472)),"Unidade a conferir",IF(AC472=1,"REVISAR VÍNCULO: soma vinculada maior que a referência do item","OK"))))))</f>
        <v/>
      </c>
      <c r="M472" s="94" t="str">
        <f>IF(N472=0,"",IF(B472="","CDF não informado",IF(Q472=0,"REVISAR VÍNCULO: CDF inexistente",IF(C472="","Item não informado",IF(T472=0,"REVISAR VÍNCULO: item inexistente",IF(AND(X472=1,J472&lt;&gt;"Sim"),"REVISAR VÍNCULO: destinador diferente do MTR",IF(X472=1,"Destinador diferente do MTR (analisado)","OK")))))))</f>
        <v/>
      </c>
      <c r="N472" s="96">
        <f>IF(COUNTA(B472:C472,F472:G472,J472:K472)&gt;0,1,0)</f>
        <v>0</v>
      </c>
      <c r="O472" s="96" t="str">
        <f>IF(B472="","",TRIM(LEFT(B472,FIND(" |",B472&amp;" |")-1)))</f>
        <v/>
      </c>
      <c r="P472" s="96" t="str">
        <f>IF(O472="","",IFERROR(MATCH(O472,'CDFs'!$A$6:$A$505,0),""))</f>
        <v/>
      </c>
      <c r="Q472" s="96">
        <f>IF(P472="",0,IF(INDEX('CDFs'!$S$6:$S$505,P472)=1,1,0))</f>
        <v>0</v>
      </c>
      <c r="R472" s="96" t="str">
        <f>IF(C472="","",TRIM(LEFT(C472,FIND(" |",C472&amp;" |")-1)))</f>
        <v/>
      </c>
      <c r="S472" s="96" t="str">
        <f>IF(R472="","",IFERROR(MATCH(R472,'ITENS_MTR'!$A$6:$A$1005,0),""))</f>
        <v/>
      </c>
      <c r="T472" s="96">
        <f>IF(S472="",0,IF(INDEX('ITENS_MTR'!$R$6:$R$1005,S472)=1,1,0))</f>
        <v>0</v>
      </c>
      <c r="U472" s="96" t="str">
        <f>IF(G472="","",IFERROR(IF(ISNUMBER(INDEX(cfg_fac,MATCH(G472,cfg_units,0))),IF(INDEX(cfg_fac,MATCH(G472,cfg_units,0))&gt;0,INDEX(cfg_fac,MATCH(G472,cfg_units,0)),""),""),""))</f>
        <v/>
      </c>
      <c r="V472" s="96">
        <f>IF(AND(ISNUMBER(F472),ISNUMBER(H472)),IF(H472&gt;0,1,0),0)</f>
        <v>0</v>
      </c>
      <c r="W472" s="96" t="str">
        <f>IF(T472=1,INDEX('ITENS_MTR'!$AU$6:$AU$1005,S472)&amp;"","")</f>
        <v/>
      </c>
      <c r="X472" s="96">
        <f>IF(AND(Q472=1,T472=1,I472&lt;&gt;"",W472&lt;&gt;""),IF(I472&lt;&gt;W472,1,0),0)</f>
        <v>0</v>
      </c>
      <c r="Y472" s="96">
        <f>IF(N472=0,0,IF(OR(Q472=0,T472=0,V472=0,AND(X472=1,J472&lt;&gt;"Sim")),1,0))</f>
        <v>0</v>
      </c>
      <c r="Z472" s="96">
        <f>IF(Q472=1,INDEX('CDFs'!$W$6:$W$505,P472),0)</f>
        <v>0</v>
      </c>
      <c r="AA472" s="96">
        <f>IF(AND(N472=1,Y472=0,Z472=1,J472="Sim"),1,0)</f>
        <v>0</v>
      </c>
      <c r="AB472" s="96">
        <f>IF(AND(N472=1,O472&lt;&gt;"",D472&lt;&gt;""),IF(COUNTIFS($O$6:O472,O472,$D$6:D472,D472)=1,1,0),0)</f>
        <v>0</v>
      </c>
      <c r="AC472" s="96">
        <f>IF(T472=1,INDEX('ITENS_MTR'!$AL$6:$AL$1005,S472),0)</f>
        <v>0</v>
      </c>
    </row>
    <row r="473">
      <c r="A473" s="89" t="inlineStr">
        <is>
          <t>VIN-000468</t>
        </is>
      </c>
      <c r="B473" s="91" t="n"/>
      <c r="C473" s="91" t="n"/>
      <c r="D473" s="94" t="str">
        <f>IF(T473=1,INDEX('ITENS_MTR'!$S$6:$S$1005,S473)&amp;"","")</f>
        <v/>
      </c>
      <c r="E473" s="94" t="str">
        <f>IF(T473=1,INDEX('ITENS_MTR'!$C$6:$C$1005,S473)&amp;"","")</f>
        <v/>
      </c>
      <c r="F473" s="98" t="n"/>
      <c r="G473" s="91" t="n"/>
      <c r="H473" s="93" t="str">
        <f>IF(N473=0,"",IF(NOT(ISNUMBER(F473)),"",IF(ISNUMBER(U473),F473*U473,"UNIDADE A CONFERIR")))</f>
        <v/>
      </c>
      <c r="I473" s="94" t="str">
        <f>IF(Q473=1,INDEX('CDFs'!$F$6:$F$505,P473)&amp;"","")</f>
        <v/>
      </c>
      <c r="J473" s="91" t="n"/>
      <c r="K473" s="91" t="n"/>
      <c r="L473" s="94" t="str">
        <f>IF(N473=0,"",IF(NOT(ISNUMBER(F473)),"Quantidade não informada",IF(F473&lt;=0,"Quantidade não positiva",IF(G473="","Unidade não informada",IF(NOT(ISNUMBER(H473)),"Unidade a conferir",IF(AC473=1,"REVISAR VÍNCULO: soma vinculada maior que a referência do item","OK"))))))</f>
        <v/>
      </c>
      <c r="M473" s="94" t="str">
        <f>IF(N473=0,"",IF(B473="","CDF não informado",IF(Q473=0,"REVISAR VÍNCULO: CDF inexistente",IF(C473="","Item não informado",IF(T473=0,"REVISAR VÍNCULO: item inexistente",IF(AND(X473=1,J473&lt;&gt;"Sim"),"REVISAR VÍNCULO: destinador diferente do MTR",IF(X473=1,"Destinador diferente do MTR (analisado)","OK")))))))</f>
        <v/>
      </c>
      <c r="N473" s="96">
        <f>IF(COUNTA(B473:C473,F473:G473,J473:K473)&gt;0,1,0)</f>
        <v>0</v>
      </c>
      <c r="O473" s="96" t="str">
        <f>IF(B473="","",TRIM(LEFT(B473,FIND(" |",B473&amp;" |")-1)))</f>
        <v/>
      </c>
      <c r="P473" s="96" t="str">
        <f>IF(O473="","",IFERROR(MATCH(O473,'CDFs'!$A$6:$A$505,0),""))</f>
        <v/>
      </c>
      <c r="Q473" s="96">
        <f>IF(P473="",0,IF(INDEX('CDFs'!$S$6:$S$505,P473)=1,1,0))</f>
        <v>0</v>
      </c>
      <c r="R473" s="96" t="str">
        <f>IF(C473="","",TRIM(LEFT(C473,FIND(" |",C473&amp;" |")-1)))</f>
        <v/>
      </c>
      <c r="S473" s="96" t="str">
        <f>IF(R473="","",IFERROR(MATCH(R473,'ITENS_MTR'!$A$6:$A$1005,0),""))</f>
        <v/>
      </c>
      <c r="T473" s="96">
        <f>IF(S473="",0,IF(INDEX('ITENS_MTR'!$R$6:$R$1005,S473)=1,1,0))</f>
        <v>0</v>
      </c>
      <c r="U473" s="96" t="str">
        <f>IF(G473="","",IFERROR(IF(ISNUMBER(INDEX(cfg_fac,MATCH(G473,cfg_units,0))),IF(INDEX(cfg_fac,MATCH(G473,cfg_units,0))&gt;0,INDEX(cfg_fac,MATCH(G473,cfg_units,0)),""),""),""))</f>
        <v/>
      </c>
      <c r="V473" s="96">
        <f>IF(AND(ISNUMBER(F473),ISNUMBER(H473)),IF(H473&gt;0,1,0),0)</f>
        <v>0</v>
      </c>
      <c r="W473" s="96" t="str">
        <f>IF(T473=1,INDEX('ITENS_MTR'!$AU$6:$AU$1005,S473)&amp;"","")</f>
        <v/>
      </c>
      <c r="X473" s="96">
        <f>IF(AND(Q473=1,T473=1,I473&lt;&gt;"",W473&lt;&gt;""),IF(I473&lt;&gt;W473,1,0),0)</f>
        <v>0</v>
      </c>
      <c r="Y473" s="96">
        <f>IF(N473=0,0,IF(OR(Q473=0,T473=0,V473=0,AND(X473=1,J473&lt;&gt;"Sim")),1,0))</f>
        <v>0</v>
      </c>
      <c r="Z473" s="96">
        <f>IF(Q473=1,INDEX('CDFs'!$W$6:$W$505,P473),0)</f>
        <v>0</v>
      </c>
      <c r="AA473" s="96">
        <f>IF(AND(N473=1,Y473=0,Z473=1,J473="Sim"),1,0)</f>
        <v>0</v>
      </c>
      <c r="AB473" s="96">
        <f>IF(AND(N473=1,O473&lt;&gt;"",D473&lt;&gt;""),IF(COUNTIFS($O$6:O473,O473,$D$6:D473,D473)=1,1,0),0)</f>
        <v>0</v>
      </c>
      <c r="AC473" s="96">
        <f>IF(T473=1,INDEX('ITENS_MTR'!$AL$6:$AL$1005,S473),0)</f>
        <v>0</v>
      </c>
    </row>
    <row r="474">
      <c r="A474" s="89" t="inlineStr">
        <is>
          <t>VIN-000469</t>
        </is>
      </c>
      <c r="B474" s="91" t="n"/>
      <c r="C474" s="91" t="n"/>
      <c r="D474" s="94" t="str">
        <f>IF(T474=1,INDEX('ITENS_MTR'!$S$6:$S$1005,S474)&amp;"","")</f>
        <v/>
      </c>
      <c r="E474" s="94" t="str">
        <f>IF(T474=1,INDEX('ITENS_MTR'!$C$6:$C$1005,S474)&amp;"","")</f>
        <v/>
      </c>
      <c r="F474" s="98" t="n"/>
      <c r="G474" s="91" t="n"/>
      <c r="H474" s="93" t="str">
        <f>IF(N474=0,"",IF(NOT(ISNUMBER(F474)),"",IF(ISNUMBER(U474),F474*U474,"UNIDADE A CONFERIR")))</f>
        <v/>
      </c>
      <c r="I474" s="94" t="str">
        <f>IF(Q474=1,INDEX('CDFs'!$F$6:$F$505,P474)&amp;"","")</f>
        <v/>
      </c>
      <c r="J474" s="91" t="n"/>
      <c r="K474" s="91" t="n"/>
      <c r="L474" s="94" t="str">
        <f>IF(N474=0,"",IF(NOT(ISNUMBER(F474)),"Quantidade não informada",IF(F474&lt;=0,"Quantidade não positiva",IF(G474="","Unidade não informada",IF(NOT(ISNUMBER(H474)),"Unidade a conferir",IF(AC474=1,"REVISAR VÍNCULO: soma vinculada maior que a referência do item","OK"))))))</f>
        <v/>
      </c>
      <c r="M474" s="94" t="str">
        <f>IF(N474=0,"",IF(B474="","CDF não informado",IF(Q474=0,"REVISAR VÍNCULO: CDF inexistente",IF(C474="","Item não informado",IF(T474=0,"REVISAR VÍNCULO: item inexistente",IF(AND(X474=1,J474&lt;&gt;"Sim"),"REVISAR VÍNCULO: destinador diferente do MTR",IF(X474=1,"Destinador diferente do MTR (analisado)","OK")))))))</f>
        <v/>
      </c>
      <c r="N474" s="96">
        <f>IF(COUNTA(B474:C474,F474:G474,J474:K474)&gt;0,1,0)</f>
        <v>0</v>
      </c>
      <c r="O474" s="96" t="str">
        <f>IF(B474="","",TRIM(LEFT(B474,FIND(" |",B474&amp;" |")-1)))</f>
        <v/>
      </c>
      <c r="P474" s="96" t="str">
        <f>IF(O474="","",IFERROR(MATCH(O474,'CDFs'!$A$6:$A$505,0),""))</f>
        <v/>
      </c>
      <c r="Q474" s="96">
        <f>IF(P474="",0,IF(INDEX('CDFs'!$S$6:$S$505,P474)=1,1,0))</f>
        <v>0</v>
      </c>
      <c r="R474" s="96" t="str">
        <f>IF(C474="","",TRIM(LEFT(C474,FIND(" |",C474&amp;" |")-1)))</f>
        <v/>
      </c>
      <c r="S474" s="96" t="str">
        <f>IF(R474="","",IFERROR(MATCH(R474,'ITENS_MTR'!$A$6:$A$1005,0),""))</f>
        <v/>
      </c>
      <c r="T474" s="96">
        <f>IF(S474="",0,IF(INDEX('ITENS_MTR'!$R$6:$R$1005,S474)=1,1,0))</f>
        <v>0</v>
      </c>
      <c r="U474" s="96" t="str">
        <f>IF(G474="","",IFERROR(IF(ISNUMBER(INDEX(cfg_fac,MATCH(G474,cfg_units,0))),IF(INDEX(cfg_fac,MATCH(G474,cfg_units,0))&gt;0,INDEX(cfg_fac,MATCH(G474,cfg_units,0)),""),""),""))</f>
        <v/>
      </c>
      <c r="V474" s="96">
        <f>IF(AND(ISNUMBER(F474),ISNUMBER(H474)),IF(H474&gt;0,1,0),0)</f>
        <v>0</v>
      </c>
      <c r="W474" s="96" t="str">
        <f>IF(T474=1,INDEX('ITENS_MTR'!$AU$6:$AU$1005,S474)&amp;"","")</f>
        <v/>
      </c>
      <c r="X474" s="96">
        <f>IF(AND(Q474=1,T474=1,I474&lt;&gt;"",W474&lt;&gt;""),IF(I474&lt;&gt;W474,1,0),0)</f>
        <v>0</v>
      </c>
      <c r="Y474" s="96">
        <f>IF(N474=0,0,IF(OR(Q474=0,T474=0,V474=0,AND(X474=1,J474&lt;&gt;"Sim")),1,0))</f>
        <v>0</v>
      </c>
      <c r="Z474" s="96">
        <f>IF(Q474=1,INDEX('CDFs'!$W$6:$W$505,P474),0)</f>
        <v>0</v>
      </c>
      <c r="AA474" s="96">
        <f>IF(AND(N474=1,Y474=0,Z474=1,J474="Sim"),1,0)</f>
        <v>0</v>
      </c>
      <c r="AB474" s="96">
        <f>IF(AND(N474=1,O474&lt;&gt;"",D474&lt;&gt;""),IF(COUNTIFS($O$6:O474,O474,$D$6:D474,D474)=1,1,0),0)</f>
        <v>0</v>
      </c>
      <c r="AC474" s="96">
        <f>IF(T474=1,INDEX('ITENS_MTR'!$AL$6:$AL$1005,S474),0)</f>
        <v>0</v>
      </c>
    </row>
    <row r="475">
      <c r="A475" s="89" t="inlineStr">
        <is>
          <t>VIN-000470</t>
        </is>
      </c>
      <c r="B475" s="91" t="n"/>
      <c r="C475" s="91" t="n"/>
      <c r="D475" s="94" t="str">
        <f>IF(T475=1,INDEX('ITENS_MTR'!$S$6:$S$1005,S475)&amp;"","")</f>
        <v/>
      </c>
      <c r="E475" s="94" t="str">
        <f>IF(T475=1,INDEX('ITENS_MTR'!$C$6:$C$1005,S475)&amp;"","")</f>
        <v/>
      </c>
      <c r="F475" s="98" t="n"/>
      <c r="G475" s="91" t="n"/>
      <c r="H475" s="93" t="str">
        <f>IF(N475=0,"",IF(NOT(ISNUMBER(F475)),"",IF(ISNUMBER(U475),F475*U475,"UNIDADE A CONFERIR")))</f>
        <v/>
      </c>
      <c r="I475" s="94" t="str">
        <f>IF(Q475=1,INDEX('CDFs'!$F$6:$F$505,P475)&amp;"","")</f>
        <v/>
      </c>
      <c r="J475" s="91" t="n"/>
      <c r="K475" s="91" t="n"/>
      <c r="L475" s="94" t="str">
        <f>IF(N475=0,"",IF(NOT(ISNUMBER(F475)),"Quantidade não informada",IF(F475&lt;=0,"Quantidade não positiva",IF(G475="","Unidade não informada",IF(NOT(ISNUMBER(H475)),"Unidade a conferir",IF(AC475=1,"REVISAR VÍNCULO: soma vinculada maior que a referência do item","OK"))))))</f>
        <v/>
      </c>
      <c r="M475" s="94" t="str">
        <f>IF(N475=0,"",IF(B475="","CDF não informado",IF(Q475=0,"REVISAR VÍNCULO: CDF inexistente",IF(C475="","Item não informado",IF(T475=0,"REVISAR VÍNCULO: item inexistente",IF(AND(X475=1,J475&lt;&gt;"Sim"),"REVISAR VÍNCULO: destinador diferente do MTR",IF(X475=1,"Destinador diferente do MTR (analisado)","OK")))))))</f>
        <v/>
      </c>
      <c r="N475" s="96">
        <f>IF(COUNTA(B475:C475,F475:G475,J475:K475)&gt;0,1,0)</f>
        <v>0</v>
      </c>
      <c r="O475" s="96" t="str">
        <f>IF(B475="","",TRIM(LEFT(B475,FIND(" |",B475&amp;" |")-1)))</f>
        <v/>
      </c>
      <c r="P475" s="96" t="str">
        <f>IF(O475="","",IFERROR(MATCH(O475,'CDFs'!$A$6:$A$505,0),""))</f>
        <v/>
      </c>
      <c r="Q475" s="96">
        <f>IF(P475="",0,IF(INDEX('CDFs'!$S$6:$S$505,P475)=1,1,0))</f>
        <v>0</v>
      </c>
      <c r="R475" s="96" t="str">
        <f>IF(C475="","",TRIM(LEFT(C475,FIND(" |",C475&amp;" |")-1)))</f>
        <v/>
      </c>
      <c r="S475" s="96" t="str">
        <f>IF(R475="","",IFERROR(MATCH(R475,'ITENS_MTR'!$A$6:$A$1005,0),""))</f>
        <v/>
      </c>
      <c r="T475" s="96">
        <f>IF(S475="",0,IF(INDEX('ITENS_MTR'!$R$6:$R$1005,S475)=1,1,0))</f>
        <v>0</v>
      </c>
      <c r="U475" s="96" t="str">
        <f>IF(G475="","",IFERROR(IF(ISNUMBER(INDEX(cfg_fac,MATCH(G475,cfg_units,0))),IF(INDEX(cfg_fac,MATCH(G475,cfg_units,0))&gt;0,INDEX(cfg_fac,MATCH(G475,cfg_units,0)),""),""),""))</f>
        <v/>
      </c>
      <c r="V475" s="96">
        <f>IF(AND(ISNUMBER(F475),ISNUMBER(H475)),IF(H475&gt;0,1,0),0)</f>
        <v>0</v>
      </c>
      <c r="W475" s="96" t="str">
        <f>IF(T475=1,INDEX('ITENS_MTR'!$AU$6:$AU$1005,S475)&amp;"","")</f>
        <v/>
      </c>
      <c r="X475" s="96">
        <f>IF(AND(Q475=1,T475=1,I475&lt;&gt;"",W475&lt;&gt;""),IF(I475&lt;&gt;W475,1,0),0)</f>
        <v>0</v>
      </c>
      <c r="Y475" s="96">
        <f>IF(N475=0,0,IF(OR(Q475=0,T475=0,V475=0,AND(X475=1,J475&lt;&gt;"Sim")),1,0))</f>
        <v>0</v>
      </c>
      <c r="Z475" s="96">
        <f>IF(Q475=1,INDEX('CDFs'!$W$6:$W$505,P475),0)</f>
        <v>0</v>
      </c>
      <c r="AA475" s="96">
        <f>IF(AND(N475=1,Y475=0,Z475=1,J475="Sim"),1,0)</f>
        <v>0</v>
      </c>
      <c r="AB475" s="96">
        <f>IF(AND(N475=1,O475&lt;&gt;"",D475&lt;&gt;""),IF(COUNTIFS($O$6:O475,O475,$D$6:D475,D475)=1,1,0),0)</f>
        <v>0</v>
      </c>
      <c r="AC475" s="96">
        <f>IF(T475=1,INDEX('ITENS_MTR'!$AL$6:$AL$1005,S475),0)</f>
        <v>0</v>
      </c>
    </row>
    <row r="476">
      <c r="A476" s="89" t="inlineStr">
        <is>
          <t>VIN-000471</t>
        </is>
      </c>
      <c r="B476" s="91" t="n"/>
      <c r="C476" s="91" t="n"/>
      <c r="D476" s="94" t="str">
        <f>IF(T476=1,INDEX('ITENS_MTR'!$S$6:$S$1005,S476)&amp;"","")</f>
        <v/>
      </c>
      <c r="E476" s="94" t="str">
        <f>IF(T476=1,INDEX('ITENS_MTR'!$C$6:$C$1005,S476)&amp;"","")</f>
        <v/>
      </c>
      <c r="F476" s="98" t="n"/>
      <c r="G476" s="91" t="n"/>
      <c r="H476" s="93" t="str">
        <f>IF(N476=0,"",IF(NOT(ISNUMBER(F476)),"",IF(ISNUMBER(U476),F476*U476,"UNIDADE A CONFERIR")))</f>
        <v/>
      </c>
      <c r="I476" s="94" t="str">
        <f>IF(Q476=1,INDEX('CDFs'!$F$6:$F$505,P476)&amp;"","")</f>
        <v/>
      </c>
      <c r="J476" s="91" t="n"/>
      <c r="K476" s="91" t="n"/>
      <c r="L476" s="94" t="str">
        <f>IF(N476=0,"",IF(NOT(ISNUMBER(F476)),"Quantidade não informada",IF(F476&lt;=0,"Quantidade não positiva",IF(G476="","Unidade não informada",IF(NOT(ISNUMBER(H476)),"Unidade a conferir",IF(AC476=1,"REVISAR VÍNCULO: soma vinculada maior que a referência do item","OK"))))))</f>
        <v/>
      </c>
      <c r="M476" s="94" t="str">
        <f>IF(N476=0,"",IF(B476="","CDF não informado",IF(Q476=0,"REVISAR VÍNCULO: CDF inexistente",IF(C476="","Item não informado",IF(T476=0,"REVISAR VÍNCULO: item inexistente",IF(AND(X476=1,J476&lt;&gt;"Sim"),"REVISAR VÍNCULO: destinador diferente do MTR",IF(X476=1,"Destinador diferente do MTR (analisado)","OK")))))))</f>
        <v/>
      </c>
      <c r="N476" s="96">
        <f>IF(COUNTA(B476:C476,F476:G476,J476:K476)&gt;0,1,0)</f>
        <v>0</v>
      </c>
      <c r="O476" s="96" t="str">
        <f>IF(B476="","",TRIM(LEFT(B476,FIND(" |",B476&amp;" |")-1)))</f>
        <v/>
      </c>
      <c r="P476" s="96" t="str">
        <f>IF(O476="","",IFERROR(MATCH(O476,'CDFs'!$A$6:$A$505,0),""))</f>
        <v/>
      </c>
      <c r="Q476" s="96">
        <f>IF(P476="",0,IF(INDEX('CDFs'!$S$6:$S$505,P476)=1,1,0))</f>
        <v>0</v>
      </c>
      <c r="R476" s="96" t="str">
        <f>IF(C476="","",TRIM(LEFT(C476,FIND(" |",C476&amp;" |")-1)))</f>
        <v/>
      </c>
      <c r="S476" s="96" t="str">
        <f>IF(R476="","",IFERROR(MATCH(R476,'ITENS_MTR'!$A$6:$A$1005,0),""))</f>
        <v/>
      </c>
      <c r="T476" s="96">
        <f>IF(S476="",0,IF(INDEX('ITENS_MTR'!$R$6:$R$1005,S476)=1,1,0))</f>
        <v>0</v>
      </c>
      <c r="U476" s="96" t="str">
        <f>IF(G476="","",IFERROR(IF(ISNUMBER(INDEX(cfg_fac,MATCH(G476,cfg_units,0))),IF(INDEX(cfg_fac,MATCH(G476,cfg_units,0))&gt;0,INDEX(cfg_fac,MATCH(G476,cfg_units,0)),""),""),""))</f>
        <v/>
      </c>
      <c r="V476" s="96">
        <f>IF(AND(ISNUMBER(F476),ISNUMBER(H476)),IF(H476&gt;0,1,0),0)</f>
        <v>0</v>
      </c>
      <c r="W476" s="96" t="str">
        <f>IF(T476=1,INDEX('ITENS_MTR'!$AU$6:$AU$1005,S476)&amp;"","")</f>
        <v/>
      </c>
      <c r="X476" s="96">
        <f>IF(AND(Q476=1,T476=1,I476&lt;&gt;"",W476&lt;&gt;""),IF(I476&lt;&gt;W476,1,0),0)</f>
        <v>0</v>
      </c>
      <c r="Y476" s="96">
        <f>IF(N476=0,0,IF(OR(Q476=0,T476=0,V476=0,AND(X476=1,J476&lt;&gt;"Sim")),1,0))</f>
        <v>0</v>
      </c>
      <c r="Z476" s="96">
        <f>IF(Q476=1,INDEX('CDFs'!$W$6:$W$505,P476),0)</f>
        <v>0</v>
      </c>
      <c r="AA476" s="96">
        <f>IF(AND(N476=1,Y476=0,Z476=1,J476="Sim"),1,0)</f>
        <v>0</v>
      </c>
      <c r="AB476" s="96">
        <f>IF(AND(N476=1,O476&lt;&gt;"",D476&lt;&gt;""),IF(COUNTIFS($O$6:O476,O476,$D$6:D476,D476)=1,1,0),0)</f>
        <v>0</v>
      </c>
      <c r="AC476" s="96">
        <f>IF(T476=1,INDEX('ITENS_MTR'!$AL$6:$AL$1005,S476),0)</f>
        <v>0</v>
      </c>
    </row>
    <row r="477">
      <c r="A477" s="89" t="inlineStr">
        <is>
          <t>VIN-000472</t>
        </is>
      </c>
      <c r="B477" s="91" t="n"/>
      <c r="C477" s="91" t="n"/>
      <c r="D477" s="94" t="str">
        <f>IF(T477=1,INDEX('ITENS_MTR'!$S$6:$S$1005,S477)&amp;"","")</f>
        <v/>
      </c>
      <c r="E477" s="94" t="str">
        <f>IF(T477=1,INDEX('ITENS_MTR'!$C$6:$C$1005,S477)&amp;"","")</f>
        <v/>
      </c>
      <c r="F477" s="98" t="n"/>
      <c r="G477" s="91" t="n"/>
      <c r="H477" s="93" t="str">
        <f>IF(N477=0,"",IF(NOT(ISNUMBER(F477)),"",IF(ISNUMBER(U477),F477*U477,"UNIDADE A CONFERIR")))</f>
        <v/>
      </c>
      <c r="I477" s="94" t="str">
        <f>IF(Q477=1,INDEX('CDFs'!$F$6:$F$505,P477)&amp;"","")</f>
        <v/>
      </c>
      <c r="J477" s="91" t="n"/>
      <c r="K477" s="91" t="n"/>
      <c r="L477" s="94" t="str">
        <f>IF(N477=0,"",IF(NOT(ISNUMBER(F477)),"Quantidade não informada",IF(F477&lt;=0,"Quantidade não positiva",IF(G477="","Unidade não informada",IF(NOT(ISNUMBER(H477)),"Unidade a conferir",IF(AC477=1,"REVISAR VÍNCULO: soma vinculada maior que a referência do item","OK"))))))</f>
        <v/>
      </c>
      <c r="M477" s="94" t="str">
        <f>IF(N477=0,"",IF(B477="","CDF não informado",IF(Q477=0,"REVISAR VÍNCULO: CDF inexistente",IF(C477="","Item não informado",IF(T477=0,"REVISAR VÍNCULO: item inexistente",IF(AND(X477=1,J477&lt;&gt;"Sim"),"REVISAR VÍNCULO: destinador diferente do MTR",IF(X477=1,"Destinador diferente do MTR (analisado)","OK")))))))</f>
        <v/>
      </c>
      <c r="N477" s="96">
        <f>IF(COUNTA(B477:C477,F477:G477,J477:K477)&gt;0,1,0)</f>
        <v>0</v>
      </c>
      <c r="O477" s="96" t="str">
        <f>IF(B477="","",TRIM(LEFT(B477,FIND(" |",B477&amp;" |")-1)))</f>
        <v/>
      </c>
      <c r="P477" s="96" t="str">
        <f>IF(O477="","",IFERROR(MATCH(O477,'CDFs'!$A$6:$A$505,0),""))</f>
        <v/>
      </c>
      <c r="Q477" s="96">
        <f>IF(P477="",0,IF(INDEX('CDFs'!$S$6:$S$505,P477)=1,1,0))</f>
        <v>0</v>
      </c>
      <c r="R477" s="96" t="str">
        <f>IF(C477="","",TRIM(LEFT(C477,FIND(" |",C477&amp;" |")-1)))</f>
        <v/>
      </c>
      <c r="S477" s="96" t="str">
        <f>IF(R477="","",IFERROR(MATCH(R477,'ITENS_MTR'!$A$6:$A$1005,0),""))</f>
        <v/>
      </c>
      <c r="T477" s="96">
        <f>IF(S477="",0,IF(INDEX('ITENS_MTR'!$R$6:$R$1005,S477)=1,1,0))</f>
        <v>0</v>
      </c>
      <c r="U477" s="96" t="str">
        <f>IF(G477="","",IFERROR(IF(ISNUMBER(INDEX(cfg_fac,MATCH(G477,cfg_units,0))),IF(INDEX(cfg_fac,MATCH(G477,cfg_units,0))&gt;0,INDEX(cfg_fac,MATCH(G477,cfg_units,0)),""),""),""))</f>
        <v/>
      </c>
      <c r="V477" s="96">
        <f>IF(AND(ISNUMBER(F477),ISNUMBER(H477)),IF(H477&gt;0,1,0),0)</f>
        <v>0</v>
      </c>
      <c r="W477" s="96" t="str">
        <f>IF(T477=1,INDEX('ITENS_MTR'!$AU$6:$AU$1005,S477)&amp;"","")</f>
        <v/>
      </c>
      <c r="X477" s="96">
        <f>IF(AND(Q477=1,T477=1,I477&lt;&gt;"",W477&lt;&gt;""),IF(I477&lt;&gt;W477,1,0),0)</f>
        <v>0</v>
      </c>
      <c r="Y477" s="96">
        <f>IF(N477=0,0,IF(OR(Q477=0,T477=0,V477=0,AND(X477=1,J477&lt;&gt;"Sim")),1,0))</f>
        <v>0</v>
      </c>
      <c r="Z477" s="96">
        <f>IF(Q477=1,INDEX('CDFs'!$W$6:$W$505,P477),0)</f>
        <v>0</v>
      </c>
      <c r="AA477" s="96">
        <f>IF(AND(N477=1,Y477=0,Z477=1,J477="Sim"),1,0)</f>
        <v>0</v>
      </c>
      <c r="AB477" s="96">
        <f>IF(AND(N477=1,O477&lt;&gt;"",D477&lt;&gt;""),IF(COUNTIFS($O$6:O477,O477,$D$6:D477,D477)=1,1,0),0)</f>
        <v>0</v>
      </c>
      <c r="AC477" s="96">
        <f>IF(T477=1,INDEX('ITENS_MTR'!$AL$6:$AL$1005,S477),0)</f>
        <v>0</v>
      </c>
    </row>
    <row r="478">
      <c r="A478" s="89" t="inlineStr">
        <is>
          <t>VIN-000473</t>
        </is>
      </c>
      <c r="B478" s="91" t="n"/>
      <c r="C478" s="91" t="n"/>
      <c r="D478" s="94" t="str">
        <f>IF(T478=1,INDEX('ITENS_MTR'!$S$6:$S$1005,S478)&amp;"","")</f>
        <v/>
      </c>
      <c r="E478" s="94" t="str">
        <f>IF(T478=1,INDEX('ITENS_MTR'!$C$6:$C$1005,S478)&amp;"","")</f>
        <v/>
      </c>
      <c r="F478" s="98" t="n"/>
      <c r="G478" s="91" t="n"/>
      <c r="H478" s="93" t="str">
        <f>IF(N478=0,"",IF(NOT(ISNUMBER(F478)),"",IF(ISNUMBER(U478),F478*U478,"UNIDADE A CONFERIR")))</f>
        <v/>
      </c>
      <c r="I478" s="94" t="str">
        <f>IF(Q478=1,INDEX('CDFs'!$F$6:$F$505,P478)&amp;"","")</f>
        <v/>
      </c>
      <c r="J478" s="91" t="n"/>
      <c r="K478" s="91" t="n"/>
      <c r="L478" s="94" t="str">
        <f>IF(N478=0,"",IF(NOT(ISNUMBER(F478)),"Quantidade não informada",IF(F478&lt;=0,"Quantidade não positiva",IF(G478="","Unidade não informada",IF(NOT(ISNUMBER(H478)),"Unidade a conferir",IF(AC478=1,"REVISAR VÍNCULO: soma vinculada maior que a referência do item","OK"))))))</f>
        <v/>
      </c>
      <c r="M478" s="94" t="str">
        <f>IF(N478=0,"",IF(B478="","CDF não informado",IF(Q478=0,"REVISAR VÍNCULO: CDF inexistente",IF(C478="","Item não informado",IF(T478=0,"REVISAR VÍNCULO: item inexistente",IF(AND(X478=1,J478&lt;&gt;"Sim"),"REVISAR VÍNCULO: destinador diferente do MTR",IF(X478=1,"Destinador diferente do MTR (analisado)","OK")))))))</f>
        <v/>
      </c>
      <c r="N478" s="96">
        <f>IF(COUNTA(B478:C478,F478:G478,J478:K478)&gt;0,1,0)</f>
        <v>0</v>
      </c>
      <c r="O478" s="96" t="str">
        <f>IF(B478="","",TRIM(LEFT(B478,FIND(" |",B478&amp;" |")-1)))</f>
        <v/>
      </c>
      <c r="P478" s="96" t="str">
        <f>IF(O478="","",IFERROR(MATCH(O478,'CDFs'!$A$6:$A$505,0),""))</f>
        <v/>
      </c>
      <c r="Q478" s="96">
        <f>IF(P478="",0,IF(INDEX('CDFs'!$S$6:$S$505,P478)=1,1,0))</f>
        <v>0</v>
      </c>
      <c r="R478" s="96" t="str">
        <f>IF(C478="","",TRIM(LEFT(C478,FIND(" |",C478&amp;" |")-1)))</f>
        <v/>
      </c>
      <c r="S478" s="96" t="str">
        <f>IF(R478="","",IFERROR(MATCH(R478,'ITENS_MTR'!$A$6:$A$1005,0),""))</f>
        <v/>
      </c>
      <c r="T478" s="96">
        <f>IF(S478="",0,IF(INDEX('ITENS_MTR'!$R$6:$R$1005,S478)=1,1,0))</f>
        <v>0</v>
      </c>
      <c r="U478" s="96" t="str">
        <f>IF(G478="","",IFERROR(IF(ISNUMBER(INDEX(cfg_fac,MATCH(G478,cfg_units,0))),IF(INDEX(cfg_fac,MATCH(G478,cfg_units,0))&gt;0,INDEX(cfg_fac,MATCH(G478,cfg_units,0)),""),""),""))</f>
        <v/>
      </c>
      <c r="V478" s="96">
        <f>IF(AND(ISNUMBER(F478),ISNUMBER(H478)),IF(H478&gt;0,1,0),0)</f>
        <v>0</v>
      </c>
      <c r="W478" s="96" t="str">
        <f>IF(T478=1,INDEX('ITENS_MTR'!$AU$6:$AU$1005,S478)&amp;"","")</f>
        <v/>
      </c>
      <c r="X478" s="96">
        <f>IF(AND(Q478=1,T478=1,I478&lt;&gt;"",W478&lt;&gt;""),IF(I478&lt;&gt;W478,1,0),0)</f>
        <v>0</v>
      </c>
      <c r="Y478" s="96">
        <f>IF(N478=0,0,IF(OR(Q478=0,T478=0,V478=0,AND(X478=1,J478&lt;&gt;"Sim")),1,0))</f>
        <v>0</v>
      </c>
      <c r="Z478" s="96">
        <f>IF(Q478=1,INDEX('CDFs'!$W$6:$W$505,P478),0)</f>
        <v>0</v>
      </c>
      <c r="AA478" s="96">
        <f>IF(AND(N478=1,Y478=0,Z478=1,J478="Sim"),1,0)</f>
        <v>0</v>
      </c>
      <c r="AB478" s="96">
        <f>IF(AND(N478=1,O478&lt;&gt;"",D478&lt;&gt;""),IF(COUNTIFS($O$6:O478,O478,$D$6:D478,D478)=1,1,0),0)</f>
        <v>0</v>
      </c>
      <c r="AC478" s="96">
        <f>IF(T478=1,INDEX('ITENS_MTR'!$AL$6:$AL$1005,S478),0)</f>
        <v>0</v>
      </c>
    </row>
    <row r="479">
      <c r="A479" s="89" t="inlineStr">
        <is>
          <t>VIN-000474</t>
        </is>
      </c>
      <c r="B479" s="91" t="n"/>
      <c r="C479" s="91" t="n"/>
      <c r="D479" s="94" t="str">
        <f>IF(T479=1,INDEX('ITENS_MTR'!$S$6:$S$1005,S479)&amp;"","")</f>
        <v/>
      </c>
      <c r="E479" s="94" t="str">
        <f>IF(T479=1,INDEX('ITENS_MTR'!$C$6:$C$1005,S479)&amp;"","")</f>
        <v/>
      </c>
      <c r="F479" s="98" t="n"/>
      <c r="G479" s="91" t="n"/>
      <c r="H479" s="93" t="str">
        <f>IF(N479=0,"",IF(NOT(ISNUMBER(F479)),"",IF(ISNUMBER(U479),F479*U479,"UNIDADE A CONFERIR")))</f>
        <v/>
      </c>
      <c r="I479" s="94" t="str">
        <f>IF(Q479=1,INDEX('CDFs'!$F$6:$F$505,P479)&amp;"","")</f>
        <v/>
      </c>
      <c r="J479" s="91" t="n"/>
      <c r="K479" s="91" t="n"/>
      <c r="L479" s="94" t="str">
        <f>IF(N479=0,"",IF(NOT(ISNUMBER(F479)),"Quantidade não informada",IF(F479&lt;=0,"Quantidade não positiva",IF(G479="","Unidade não informada",IF(NOT(ISNUMBER(H479)),"Unidade a conferir",IF(AC479=1,"REVISAR VÍNCULO: soma vinculada maior que a referência do item","OK"))))))</f>
        <v/>
      </c>
      <c r="M479" s="94" t="str">
        <f>IF(N479=0,"",IF(B479="","CDF não informado",IF(Q479=0,"REVISAR VÍNCULO: CDF inexistente",IF(C479="","Item não informado",IF(T479=0,"REVISAR VÍNCULO: item inexistente",IF(AND(X479=1,J479&lt;&gt;"Sim"),"REVISAR VÍNCULO: destinador diferente do MTR",IF(X479=1,"Destinador diferente do MTR (analisado)","OK")))))))</f>
        <v/>
      </c>
      <c r="N479" s="96">
        <f>IF(COUNTA(B479:C479,F479:G479,J479:K479)&gt;0,1,0)</f>
        <v>0</v>
      </c>
      <c r="O479" s="96" t="str">
        <f>IF(B479="","",TRIM(LEFT(B479,FIND(" |",B479&amp;" |")-1)))</f>
        <v/>
      </c>
      <c r="P479" s="96" t="str">
        <f>IF(O479="","",IFERROR(MATCH(O479,'CDFs'!$A$6:$A$505,0),""))</f>
        <v/>
      </c>
      <c r="Q479" s="96">
        <f>IF(P479="",0,IF(INDEX('CDFs'!$S$6:$S$505,P479)=1,1,0))</f>
        <v>0</v>
      </c>
      <c r="R479" s="96" t="str">
        <f>IF(C479="","",TRIM(LEFT(C479,FIND(" |",C479&amp;" |")-1)))</f>
        <v/>
      </c>
      <c r="S479" s="96" t="str">
        <f>IF(R479="","",IFERROR(MATCH(R479,'ITENS_MTR'!$A$6:$A$1005,0),""))</f>
        <v/>
      </c>
      <c r="T479" s="96">
        <f>IF(S479="",0,IF(INDEX('ITENS_MTR'!$R$6:$R$1005,S479)=1,1,0))</f>
        <v>0</v>
      </c>
      <c r="U479" s="96" t="str">
        <f>IF(G479="","",IFERROR(IF(ISNUMBER(INDEX(cfg_fac,MATCH(G479,cfg_units,0))),IF(INDEX(cfg_fac,MATCH(G479,cfg_units,0))&gt;0,INDEX(cfg_fac,MATCH(G479,cfg_units,0)),""),""),""))</f>
        <v/>
      </c>
      <c r="V479" s="96">
        <f>IF(AND(ISNUMBER(F479),ISNUMBER(H479)),IF(H479&gt;0,1,0),0)</f>
        <v>0</v>
      </c>
      <c r="W479" s="96" t="str">
        <f>IF(T479=1,INDEX('ITENS_MTR'!$AU$6:$AU$1005,S479)&amp;"","")</f>
        <v/>
      </c>
      <c r="X479" s="96">
        <f>IF(AND(Q479=1,T479=1,I479&lt;&gt;"",W479&lt;&gt;""),IF(I479&lt;&gt;W479,1,0),0)</f>
        <v>0</v>
      </c>
      <c r="Y479" s="96">
        <f>IF(N479=0,0,IF(OR(Q479=0,T479=0,V479=0,AND(X479=1,J479&lt;&gt;"Sim")),1,0))</f>
        <v>0</v>
      </c>
      <c r="Z479" s="96">
        <f>IF(Q479=1,INDEX('CDFs'!$W$6:$W$505,P479),0)</f>
        <v>0</v>
      </c>
      <c r="AA479" s="96">
        <f>IF(AND(N479=1,Y479=0,Z479=1,J479="Sim"),1,0)</f>
        <v>0</v>
      </c>
      <c r="AB479" s="96">
        <f>IF(AND(N479=1,O479&lt;&gt;"",D479&lt;&gt;""),IF(COUNTIFS($O$6:O479,O479,$D$6:D479,D479)=1,1,0),0)</f>
        <v>0</v>
      </c>
      <c r="AC479" s="96">
        <f>IF(T479=1,INDEX('ITENS_MTR'!$AL$6:$AL$1005,S479),0)</f>
        <v>0</v>
      </c>
    </row>
    <row r="480">
      <c r="A480" s="89" t="inlineStr">
        <is>
          <t>VIN-000475</t>
        </is>
      </c>
      <c r="B480" s="91" t="n"/>
      <c r="C480" s="91" t="n"/>
      <c r="D480" s="94" t="str">
        <f>IF(T480=1,INDEX('ITENS_MTR'!$S$6:$S$1005,S480)&amp;"","")</f>
        <v/>
      </c>
      <c r="E480" s="94" t="str">
        <f>IF(T480=1,INDEX('ITENS_MTR'!$C$6:$C$1005,S480)&amp;"","")</f>
        <v/>
      </c>
      <c r="F480" s="98" t="n"/>
      <c r="G480" s="91" t="n"/>
      <c r="H480" s="93" t="str">
        <f>IF(N480=0,"",IF(NOT(ISNUMBER(F480)),"",IF(ISNUMBER(U480),F480*U480,"UNIDADE A CONFERIR")))</f>
        <v/>
      </c>
      <c r="I480" s="94" t="str">
        <f>IF(Q480=1,INDEX('CDFs'!$F$6:$F$505,P480)&amp;"","")</f>
        <v/>
      </c>
      <c r="J480" s="91" t="n"/>
      <c r="K480" s="91" t="n"/>
      <c r="L480" s="94" t="str">
        <f>IF(N480=0,"",IF(NOT(ISNUMBER(F480)),"Quantidade não informada",IF(F480&lt;=0,"Quantidade não positiva",IF(G480="","Unidade não informada",IF(NOT(ISNUMBER(H480)),"Unidade a conferir",IF(AC480=1,"REVISAR VÍNCULO: soma vinculada maior que a referência do item","OK"))))))</f>
        <v/>
      </c>
      <c r="M480" s="94" t="str">
        <f>IF(N480=0,"",IF(B480="","CDF não informado",IF(Q480=0,"REVISAR VÍNCULO: CDF inexistente",IF(C480="","Item não informado",IF(T480=0,"REVISAR VÍNCULO: item inexistente",IF(AND(X480=1,J480&lt;&gt;"Sim"),"REVISAR VÍNCULO: destinador diferente do MTR",IF(X480=1,"Destinador diferente do MTR (analisado)","OK")))))))</f>
        <v/>
      </c>
      <c r="N480" s="96">
        <f>IF(COUNTA(B480:C480,F480:G480,J480:K480)&gt;0,1,0)</f>
        <v>0</v>
      </c>
      <c r="O480" s="96" t="str">
        <f>IF(B480="","",TRIM(LEFT(B480,FIND(" |",B480&amp;" |")-1)))</f>
        <v/>
      </c>
      <c r="P480" s="96" t="str">
        <f>IF(O480="","",IFERROR(MATCH(O480,'CDFs'!$A$6:$A$505,0),""))</f>
        <v/>
      </c>
      <c r="Q480" s="96">
        <f>IF(P480="",0,IF(INDEX('CDFs'!$S$6:$S$505,P480)=1,1,0))</f>
        <v>0</v>
      </c>
      <c r="R480" s="96" t="str">
        <f>IF(C480="","",TRIM(LEFT(C480,FIND(" |",C480&amp;" |")-1)))</f>
        <v/>
      </c>
      <c r="S480" s="96" t="str">
        <f>IF(R480="","",IFERROR(MATCH(R480,'ITENS_MTR'!$A$6:$A$1005,0),""))</f>
        <v/>
      </c>
      <c r="T480" s="96">
        <f>IF(S480="",0,IF(INDEX('ITENS_MTR'!$R$6:$R$1005,S480)=1,1,0))</f>
        <v>0</v>
      </c>
      <c r="U480" s="96" t="str">
        <f>IF(G480="","",IFERROR(IF(ISNUMBER(INDEX(cfg_fac,MATCH(G480,cfg_units,0))),IF(INDEX(cfg_fac,MATCH(G480,cfg_units,0))&gt;0,INDEX(cfg_fac,MATCH(G480,cfg_units,0)),""),""),""))</f>
        <v/>
      </c>
      <c r="V480" s="96">
        <f>IF(AND(ISNUMBER(F480),ISNUMBER(H480)),IF(H480&gt;0,1,0),0)</f>
        <v>0</v>
      </c>
      <c r="W480" s="96" t="str">
        <f>IF(T480=1,INDEX('ITENS_MTR'!$AU$6:$AU$1005,S480)&amp;"","")</f>
        <v/>
      </c>
      <c r="X480" s="96">
        <f>IF(AND(Q480=1,T480=1,I480&lt;&gt;"",W480&lt;&gt;""),IF(I480&lt;&gt;W480,1,0),0)</f>
        <v>0</v>
      </c>
      <c r="Y480" s="96">
        <f>IF(N480=0,0,IF(OR(Q480=0,T480=0,V480=0,AND(X480=1,J480&lt;&gt;"Sim")),1,0))</f>
        <v>0</v>
      </c>
      <c r="Z480" s="96">
        <f>IF(Q480=1,INDEX('CDFs'!$W$6:$W$505,P480),0)</f>
        <v>0</v>
      </c>
      <c r="AA480" s="96">
        <f>IF(AND(N480=1,Y480=0,Z480=1,J480="Sim"),1,0)</f>
        <v>0</v>
      </c>
      <c r="AB480" s="96">
        <f>IF(AND(N480=1,O480&lt;&gt;"",D480&lt;&gt;""),IF(COUNTIFS($O$6:O480,O480,$D$6:D480,D480)=1,1,0),0)</f>
        <v>0</v>
      </c>
      <c r="AC480" s="96">
        <f>IF(T480=1,INDEX('ITENS_MTR'!$AL$6:$AL$1005,S480),0)</f>
        <v>0</v>
      </c>
    </row>
    <row r="481">
      <c r="A481" s="89" t="inlineStr">
        <is>
          <t>VIN-000476</t>
        </is>
      </c>
      <c r="B481" s="91" t="n"/>
      <c r="C481" s="91" t="n"/>
      <c r="D481" s="94" t="str">
        <f>IF(T481=1,INDEX('ITENS_MTR'!$S$6:$S$1005,S481)&amp;"","")</f>
        <v/>
      </c>
      <c r="E481" s="94" t="str">
        <f>IF(T481=1,INDEX('ITENS_MTR'!$C$6:$C$1005,S481)&amp;"","")</f>
        <v/>
      </c>
      <c r="F481" s="98" t="n"/>
      <c r="G481" s="91" t="n"/>
      <c r="H481" s="93" t="str">
        <f>IF(N481=0,"",IF(NOT(ISNUMBER(F481)),"",IF(ISNUMBER(U481),F481*U481,"UNIDADE A CONFERIR")))</f>
        <v/>
      </c>
      <c r="I481" s="94" t="str">
        <f>IF(Q481=1,INDEX('CDFs'!$F$6:$F$505,P481)&amp;"","")</f>
        <v/>
      </c>
      <c r="J481" s="91" t="n"/>
      <c r="K481" s="91" t="n"/>
      <c r="L481" s="94" t="str">
        <f>IF(N481=0,"",IF(NOT(ISNUMBER(F481)),"Quantidade não informada",IF(F481&lt;=0,"Quantidade não positiva",IF(G481="","Unidade não informada",IF(NOT(ISNUMBER(H481)),"Unidade a conferir",IF(AC481=1,"REVISAR VÍNCULO: soma vinculada maior que a referência do item","OK"))))))</f>
        <v/>
      </c>
      <c r="M481" s="94" t="str">
        <f>IF(N481=0,"",IF(B481="","CDF não informado",IF(Q481=0,"REVISAR VÍNCULO: CDF inexistente",IF(C481="","Item não informado",IF(T481=0,"REVISAR VÍNCULO: item inexistente",IF(AND(X481=1,J481&lt;&gt;"Sim"),"REVISAR VÍNCULO: destinador diferente do MTR",IF(X481=1,"Destinador diferente do MTR (analisado)","OK")))))))</f>
        <v/>
      </c>
      <c r="N481" s="96">
        <f>IF(COUNTA(B481:C481,F481:G481,J481:K481)&gt;0,1,0)</f>
        <v>0</v>
      </c>
      <c r="O481" s="96" t="str">
        <f>IF(B481="","",TRIM(LEFT(B481,FIND(" |",B481&amp;" |")-1)))</f>
        <v/>
      </c>
      <c r="P481" s="96" t="str">
        <f>IF(O481="","",IFERROR(MATCH(O481,'CDFs'!$A$6:$A$505,0),""))</f>
        <v/>
      </c>
      <c r="Q481" s="96">
        <f>IF(P481="",0,IF(INDEX('CDFs'!$S$6:$S$505,P481)=1,1,0))</f>
        <v>0</v>
      </c>
      <c r="R481" s="96" t="str">
        <f>IF(C481="","",TRIM(LEFT(C481,FIND(" |",C481&amp;" |")-1)))</f>
        <v/>
      </c>
      <c r="S481" s="96" t="str">
        <f>IF(R481="","",IFERROR(MATCH(R481,'ITENS_MTR'!$A$6:$A$1005,0),""))</f>
        <v/>
      </c>
      <c r="T481" s="96">
        <f>IF(S481="",0,IF(INDEX('ITENS_MTR'!$R$6:$R$1005,S481)=1,1,0))</f>
        <v>0</v>
      </c>
      <c r="U481" s="96" t="str">
        <f>IF(G481="","",IFERROR(IF(ISNUMBER(INDEX(cfg_fac,MATCH(G481,cfg_units,0))),IF(INDEX(cfg_fac,MATCH(G481,cfg_units,0))&gt;0,INDEX(cfg_fac,MATCH(G481,cfg_units,0)),""),""),""))</f>
        <v/>
      </c>
      <c r="V481" s="96">
        <f>IF(AND(ISNUMBER(F481),ISNUMBER(H481)),IF(H481&gt;0,1,0),0)</f>
        <v>0</v>
      </c>
      <c r="W481" s="96" t="str">
        <f>IF(T481=1,INDEX('ITENS_MTR'!$AU$6:$AU$1005,S481)&amp;"","")</f>
        <v/>
      </c>
      <c r="X481" s="96">
        <f>IF(AND(Q481=1,T481=1,I481&lt;&gt;"",W481&lt;&gt;""),IF(I481&lt;&gt;W481,1,0),0)</f>
        <v>0</v>
      </c>
      <c r="Y481" s="96">
        <f>IF(N481=0,0,IF(OR(Q481=0,T481=0,V481=0,AND(X481=1,J481&lt;&gt;"Sim")),1,0))</f>
        <v>0</v>
      </c>
      <c r="Z481" s="96">
        <f>IF(Q481=1,INDEX('CDFs'!$W$6:$W$505,P481),0)</f>
        <v>0</v>
      </c>
      <c r="AA481" s="96">
        <f>IF(AND(N481=1,Y481=0,Z481=1,J481="Sim"),1,0)</f>
        <v>0</v>
      </c>
      <c r="AB481" s="96">
        <f>IF(AND(N481=1,O481&lt;&gt;"",D481&lt;&gt;""),IF(COUNTIFS($O$6:O481,O481,$D$6:D481,D481)=1,1,0),0)</f>
        <v>0</v>
      </c>
      <c r="AC481" s="96">
        <f>IF(T481=1,INDEX('ITENS_MTR'!$AL$6:$AL$1005,S481),0)</f>
        <v>0</v>
      </c>
    </row>
    <row r="482">
      <c r="A482" s="89" t="inlineStr">
        <is>
          <t>VIN-000477</t>
        </is>
      </c>
      <c r="B482" s="91" t="n"/>
      <c r="C482" s="91" t="n"/>
      <c r="D482" s="94" t="str">
        <f>IF(T482=1,INDEX('ITENS_MTR'!$S$6:$S$1005,S482)&amp;"","")</f>
        <v/>
      </c>
      <c r="E482" s="94" t="str">
        <f>IF(T482=1,INDEX('ITENS_MTR'!$C$6:$C$1005,S482)&amp;"","")</f>
        <v/>
      </c>
      <c r="F482" s="98" t="n"/>
      <c r="G482" s="91" t="n"/>
      <c r="H482" s="93" t="str">
        <f>IF(N482=0,"",IF(NOT(ISNUMBER(F482)),"",IF(ISNUMBER(U482),F482*U482,"UNIDADE A CONFERIR")))</f>
        <v/>
      </c>
      <c r="I482" s="94" t="str">
        <f>IF(Q482=1,INDEX('CDFs'!$F$6:$F$505,P482)&amp;"","")</f>
        <v/>
      </c>
      <c r="J482" s="91" t="n"/>
      <c r="K482" s="91" t="n"/>
      <c r="L482" s="94" t="str">
        <f>IF(N482=0,"",IF(NOT(ISNUMBER(F482)),"Quantidade não informada",IF(F482&lt;=0,"Quantidade não positiva",IF(G482="","Unidade não informada",IF(NOT(ISNUMBER(H482)),"Unidade a conferir",IF(AC482=1,"REVISAR VÍNCULO: soma vinculada maior que a referência do item","OK"))))))</f>
        <v/>
      </c>
      <c r="M482" s="94" t="str">
        <f>IF(N482=0,"",IF(B482="","CDF não informado",IF(Q482=0,"REVISAR VÍNCULO: CDF inexistente",IF(C482="","Item não informado",IF(T482=0,"REVISAR VÍNCULO: item inexistente",IF(AND(X482=1,J482&lt;&gt;"Sim"),"REVISAR VÍNCULO: destinador diferente do MTR",IF(X482=1,"Destinador diferente do MTR (analisado)","OK")))))))</f>
        <v/>
      </c>
      <c r="N482" s="96">
        <f>IF(COUNTA(B482:C482,F482:G482,J482:K482)&gt;0,1,0)</f>
        <v>0</v>
      </c>
      <c r="O482" s="96" t="str">
        <f>IF(B482="","",TRIM(LEFT(B482,FIND(" |",B482&amp;" |")-1)))</f>
        <v/>
      </c>
      <c r="P482" s="96" t="str">
        <f>IF(O482="","",IFERROR(MATCH(O482,'CDFs'!$A$6:$A$505,0),""))</f>
        <v/>
      </c>
      <c r="Q482" s="96">
        <f>IF(P482="",0,IF(INDEX('CDFs'!$S$6:$S$505,P482)=1,1,0))</f>
        <v>0</v>
      </c>
      <c r="R482" s="96" t="str">
        <f>IF(C482="","",TRIM(LEFT(C482,FIND(" |",C482&amp;" |")-1)))</f>
        <v/>
      </c>
      <c r="S482" s="96" t="str">
        <f>IF(R482="","",IFERROR(MATCH(R482,'ITENS_MTR'!$A$6:$A$1005,0),""))</f>
        <v/>
      </c>
      <c r="T482" s="96">
        <f>IF(S482="",0,IF(INDEX('ITENS_MTR'!$R$6:$R$1005,S482)=1,1,0))</f>
        <v>0</v>
      </c>
      <c r="U482" s="96" t="str">
        <f>IF(G482="","",IFERROR(IF(ISNUMBER(INDEX(cfg_fac,MATCH(G482,cfg_units,0))),IF(INDEX(cfg_fac,MATCH(G482,cfg_units,0))&gt;0,INDEX(cfg_fac,MATCH(G482,cfg_units,0)),""),""),""))</f>
        <v/>
      </c>
      <c r="V482" s="96">
        <f>IF(AND(ISNUMBER(F482),ISNUMBER(H482)),IF(H482&gt;0,1,0),0)</f>
        <v>0</v>
      </c>
      <c r="W482" s="96" t="str">
        <f>IF(T482=1,INDEX('ITENS_MTR'!$AU$6:$AU$1005,S482)&amp;"","")</f>
        <v/>
      </c>
      <c r="X482" s="96">
        <f>IF(AND(Q482=1,T482=1,I482&lt;&gt;"",W482&lt;&gt;""),IF(I482&lt;&gt;W482,1,0),0)</f>
        <v>0</v>
      </c>
      <c r="Y482" s="96">
        <f>IF(N482=0,0,IF(OR(Q482=0,T482=0,V482=0,AND(X482=1,J482&lt;&gt;"Sim")),1,0))</f>
        <v>0</v>
      </c>
      <c r="Z482" s="96">
        <f>IF(Q482=1,INDEX('CDFs'!$W$6:$W$505,P482),0)</f>
        <v>0</v>
      </c>
      <c r="AA482" s="96">
        <f>IF(AND(N482=1,Y482=0,Z482=1,J482="Sim"),1,0)</f>
        <v>0</v>
      </c>
      <c r="AB482" s="96">
        <f>IF(AND(N482=1,O482&lt;&gt;"",D482&lt;&gt;""),IF(COUNTIFS($O$6:O482,O482,$D$6:D482,D482)=1,1,0),0)</f>
        <v>0</v>
      </c>
      <c r="AC482" s="96">
        <f>IF(T482=1,INDEX('ITENS_MTR'!$AL$6:$AL$1005,S482),0)</f>
        <v>0</v>
      </c>
    </row>
    <row r="483">
      <c r="A483" s="89" t="inlineStr">
        <is>
          <t>VIN-000478</t>
        </is>
      </c>
      <c r="B483" s="91" t="n"/>
      <c r="C483" s="91" t="n"/>
      <c r="D483" s="94" t="str">
        <f>IF(T483=1,INDEX('ITENS_MTR'!$S$6:$S$1005,S483)&amp;"","")</f>
        <v/>
      </c>
      <c r="E483" s="94" t="str">
        <f>IF(T483=1,INDEX('ITENS_MTR'!$C$6:$C$1005,S483)&amp;"","")</f>
        <v/>
      </c>
      <c r="F483" s="98" t="n"/>
      <c r="G483" s="91" t="n"/>
      <c r="H483" s="93" t="str">
        <f>IF(N483=0,"",IF(NOT(ISNUMBER(F483)),"",IF(ISNUMBER(U483),F483*U483,"UNIDADE A CONFERIR")))</f>
        <v/>
      </c>
      <c r="I483" s="94" t="str">
        <f>IF(Q483=1,INDEX('CDFs'!$F$6:$F$505,P483)&amp;"","")</f>
        <v/>
      </c>
      <c r="J483" s="91" t="n"/>
      <c r="K483" s="91" t="n"/>
      <c r="L483" s="94" t="str">
        <f>IF(N483=0,"",IF(NOT(ISNUMBER(F483)),"Quantidade não informada",IF(F483&lt;=0,"Quantidade não positiva",IF(G483="","Unidade não informada",IF(NOT(ISNUMBER(H483)),"Unidade a conferir",IF(AC483=1,"REVISAR VÍNCULO: soma vinculada maior que a referência do item","OK"))))))</f>
        <v/>
      </c>
      <c r="M483" s="94" t="str">
        <f>IF(N483=0,"",IF(B483="","CDF não informado",IF(Q483=0,"REVISAR VÍNCULO: CDF inexistente",IF(C483="","Item não informado",IF(T483=0,"REVISAR VÍNCULO: item inexistente",IF(AND(X483=1,J483&lt;&gt;"Sim"),"REVISAR VÍNCULO: destinador diferente do MTR",IF(X483=1,"Destinador diferente do MTR (analisado)","OK")))))))</f>
        <v/>
      </c>
      <c r="N483" s="96">
        <f>IF(COUNTA(B483:C483,F483:G483,J483:K483)&gt;0,1,0)</f>
        <v>0</v>
      </c>
      <c r="O483" s="96" t="str">
        <f>IF(B483="","",TRIM(LEFT(B483,FIND(" |",B483&amp;" |")-1)))</f>
        <v/>
      </c>
      <c r="P483" s="96" t="str">
        <f>IF(O483="","",IFERROR(MATCH(O483,'CDFs'!$A$6:$A$505,0),""))</f>
        <v/>
      </c>
      <c r="Q483" s="96">
        <f>IF(P483="",0,IF(INDEX('CDFs'!$S$6:$S$505,P483)=1,1,0))</f>
        <v>0</v>
      </c>
      <c r="R483" s="96" t="str">
        <f>IF(C483="","",TRIM(LEFT(C483,FIND(" |",C483&amp;" |")-1)))</f>
        <v/>
      </c>
      <c r="S483" s="96" t="str">
        <f>IF(R483="","",IFERROR(MATCH(R483,'ITENS_MTR'!$A$6:$A$1005,0),""))</f>
        <v/>
      </c>
      <c r="T483" s="96">
        <f>IF(S483="",0,IF(INDEX('ITENS_MTR'!$R$6:$R$1005,S483)=1,1,0))</f>
        <v>0</v>
      </c>
      <c r="U483" s="96" t="str">
        <f>IF(G483="","",IFERROR(IF(ISNUMBER(INDEX(cfg_fac,MATCH(G483,cfg_units,0))),IF(INDEX(cfg_fac,MATCH(G483,cfg_units,0))&gt;0,INDEX(cfg_fac,MATCH(G483,cfg_units,0)),""),""),""))</f>
        <v/>
      </c>
      <c r="V483" s="96">
        <f>IF(AND(ISNUMBER(F483),ISNUMBER(H483)),IF(H483&gt;0,1,0),0)</f>
        <v>0</v>
      </c>
      <c r="W483" s="96" t="str">
        <f>IF(T483=1,INDEX('ITENS_MTR'!$AU$6:$AU$1005,S483)&amp;"","")</f>
        <v/>
      </c>
      <c r="X483" s="96">
        <f>IF(AND(Q483=1,T483=1,I483&lt;&gt;"",W483&lt;&gt;""),IF(I483&lt;&gt;W483,1,0),0)</f>
        <v>0</v>
      </c>
      <c r="Y483" s="96">
        <f>IF(N483=0,0,IF(OR(Q483=0,T483=0,V483=0,AND(X483=1,J483&lt;&gt;"Sim")),1,0))</f>
        <v>0</v>
      </c>
      <c r="Z483" s="96">
        <f>IF(Q483=1,INDEX('CDFs'!$W$6:$W$505,P483),0)</f>
        <v>0</v>
      </c>
      <c r="AA483" s="96">
        <f>IF(AND(N483=1,Y483=0,Z483=1,J483="Sim"),1,0)</f>
        <v>0</v>
      </c>
      <c r="AB483" s="96">
        <f>IF(AND(N483=1,O483&lt;&gt;"",D483&lt;&gt;""),IF(COUNTIFS($O$6:O483,O483,$D$6:D483,D483)=1,1,0),0)</f>
        <v>0</v>
      </c>
      <c r="AC483" s="96">
        <f>IF(T483=1,INDEX('ITENS_MTR'!$AL$6:$AL$1005,S483),0)</f>
        <v>0</v>
      </c>
    </row>
    <row r="484">
      <c r="A484" s="89" t="inlineStr">
        <is>
          <t>VIN-000479</t>
        </is>
      </c>
      <c r="B484" s="91" t="n"/>
      <c r="C484" s="91" t="n"/>
      <c r="D484" s="94" t="str">
        <f>IF(T484=1,INDEX('ITENS_MTR'!$S$6:$S$1005,S484)&amp;"","")</f>
        <v/>
      </c>
      <c r="E484" s="94" t="str">
        <f>IF(T484=1,INDEX('ITENS_MTR'!$C$6:$C$1005,S484)&amp;"","")</f>
        <v/>
      </c>
      <c r="F484" s="98" t="n"/>
      <c r="G484" s="91" t="n"/>
      <c r="H484" s="93" t="str">
        <f>IF(N484=0,"",IF(NOT(ISNUMBER(F484)),"",IF(ISNUMBER(U484),F484*U484,"UNIDADE A CONFERIR")))</f>
        <v/>
      </c>
      <c r="I484" s="94" t="str">
        <f>IF(Q484=1,INDEX('CDFs'!$F$6:$F$505,P484)&amp;"","")</f>
        <v/>
      </c>
      <c r="J484" s="91" t="n"/>
      <c r="K484" s="91" t="n"/>
      <c r="L484" s="94" t="str">
        <f>IF(N484=0,"",IF(NOT(ISNUMBER(F484)),"Quantidade não informada",IF(F484&lt;=0,"Quantidade não positiva",IF(G484="","Unidade não informada",IF(NOT(ISNUMBER(H484)),"Unidade a conferir",IF(AC484=1,"REVISAR VÍNCULO: soma vinculada maior que a referência do item","OK"))))))</f>
        <v/>
      </c>
      <c r="M484" s="94" t="str">
        <f>IF(N484=0,"",IF(B484="","CDF não informado",IF(Q484=0,"REVISAR VÍNCULO: CDF inexistente",IF(C484="","Item não informado",IF(T484=0,"REVISAR VÍNCULO: item inexistente",IF(AND(X484=1,J484&lt;&gt;"Sim"),"REVISAR VÍNCULO: destinador diferente do MTR",IF(X484=1,"Destinador diferente do MTR (analisado)","OK")))))))</f>
        <v/>
      </c>
      <c r="N484" s="96">
        <f>IF(COUNTA(B484:C484,F484:G484,J484:K484)&gt;0,1,0)</f>
        <v>0</v>
      </c>
      <c r="O484" s="96" t="str">
        <f>IF(B484="","",TRIM(LEFT(B484,FIND(" |",B484&amp;" |")-1)))</f>
        <v/>
      </c>
      <c r="P484" s="96" t="str">
        <f>IF(O484="","",IFERROR(MATCH(O484,'CDFs'!$A$6:$A$505,0),""))</f>
        <v/>
      </c>
      <c r="Q484" s="96">
        <f>IF(P484="",0,IF(INDEX('CDFs'!$S$6:$S$505,P484)=1,1,0))</f>
        <v>0</v>
      </c>
      <c r="R484" s="96" t="str">
        <f>IF(C484="","",TRIM(LEFT(C484,FIND(" |",C484&amp;" |")-1)))</f>
        <v/>
      </c>
      <c r="S484" s="96" t="str">
        <f>IF(R484="","",IFERROR(MATCH(R484,'ITENS_MTR'!$A$6:$A$1005,0),""))</f>
        <v/>
      </c>
      <c r="T484" s="96">
        <f>IF(S484="",0,IF(INDEX('ITENS_MTR'!$R$6:$R$1005,S484)=1,1,0))</f>
        <v>0</v>
      </c>
      <c r="U484" s="96" t="str">
        <f>IF(G484="","",IFERROR(IF(ISNUMBER(INDEX(cfg_fac,MATCH(G484,cfg_units,0))),IF(INDEX(cfg_fac,MATCH(G484,cfg_units,0))&gt;0,INDEX(cfg_fac,MATCH(G484,cfg_units,0)),""),""),""))</f>
        <v/>
      </c>
      <c r="V484" s="96">
        <f>IF(AND(ISNUMBER(F484),ISNUMBER(H484)),IF(H484&gt;0,1,0),0)</f>
        <v>0</v>
      </c>
      <c r="W484" s="96" t="str">
        <f>IF(T484=1,INDEX('ITENS_MTR'!$AU$6:$AU$1005,S484)&amp;"","")</f>
        <v/>
      </c>
      <c r="X484" s="96">
        <f>IF(AND(Q484=1,T484=1,I484&lt;&gt;"",W484&lt;&gt;""),IF(I484&lt;&gt;W484,1,0),0)</f>
        <v>0</v>
      </c>
      <c r="Y484" s="96">
        <f>IF(N484=0,0,IF(OR(Q484=0,T484=0,V484=0,AND(X484=1,J484&lt;&gt;"Sim")),1,0))</f>
        <v>0</v>
      </c>
      <c r="Z484" s="96">
        <f>IF(Q484=1,INDEX('CDFs'!$W$6:$W$505,P484),0)</f>
        <v>0</v>
      </c>
      <c r="AA484" s="96">
        <f>IF(AND(N484=1,Y484=0,Z484=1,J484="Sim"),1,0)</f>
        <v>0</v>
      </c>
      <c r="AB484" s="96">
        <f>IF(AND(N484=1,O484&lt;&gt;"",D484&lt;&gt;""),IF(COUNTIFS($O$6:O484,O484,$D$6:D484,D484)=1,1,0),0)</f>
        <v>0</v>
      </c>
      <c r="AC484" s="96">
        <f>IF(T484=1,INDEX('ITENS_MTR'!$AL$6:$AL$1005,S484),0)</f>
        <v>0</v>
      </c>
    </row>
    <row r="485">
      <c r="A485" s="89" t="inlineStr">
        <is>
          <t>VIN-000480</t>
        </is>
      </c>
      <c r="B485" s="91" t="n"/>
      <c r="C485" s="91" t="n"/>
      <c r="D485" s="94" t="str">
        <f>IF(T485=1,INDEX('ITENS_MTR'!$S$6:$S$1005,S485)&amp;"","")</f>
        <v/>
      </c>
      <c r="E485" s="94" t="str">
        <f>IF(T485=1,INDEX('ITENS_MTR'!$C$6:$C$1005,S485)&amp;"","")</f>
        <v/>
      </c>
      <c r="F485" s="98" t="n"/>
      <c r="G485" s="91" t="n"/>
      <c r="H485" s="93" t="str">
        <f>IF(N485=0,"",IF(NOT(ISNUMBER(F485)),"",IF(ISNUMBER(U485),F485*U485,"UNIDADE A CONFERIR")))</f>
        <v/>
      </c>
      <c r="I485" s="94" t="str">
        <f>IF(Q485=1,INDEX('CDFs'!$F$6:$F$505,P485)&amp;"","")</f>
        <v/>
      </c>
      <c r="J485" s="91" t="n"/>
      <c r="K485" s="91" t="n"/>
      <c r="L485" s="94" t="str">
        <f>IF(N485=0,"",IF(NOT(ISNUMBER(F485)),"Quantidade não informada",IF(F485&lt;=0,"Quantidade não positiva",IF(G485="","Unidade não informada",IF(NOT(ISNUMBER(H485)),"Unidade a conferir",IF(AC485=1,"REVISAR VÍNCULO: soma vinculada maior que a referência do item","OK"))))))</f>
        <v/>
      </c>
      <c r="M485" s="94" t="str">
        <f>IF(N485=0,"",IF(B485="","CDF não informado",IF(Q485=0,"REVISAR VÍNCULO: CDF inexistente",IF(C485="","Item não informado",IF(T485=0,"REVISAR VÍNCULO: item inexistente",IF(AND(X485=1,J485&lt;&gt;"Sim"),"REVISAR VÍNCULO: destinador diferente do MTR",IF(X485=1,"Destinador diferente do MTR (analisado)","OK")))))))</f>
        <v/>
      </c>
      <c r="N485" s="96">
        <f>IF(COUNTA(B485:C485,F485:G485,J485:K485)&gt;0,1,0)</f>
        <v>0</v>
      </c>
      <c r="O485" s="96" t="str">
        <f>IF(B485="","",TRIM(LEFT(B485,FIND(" |",B485&amp;" |")-1)))</f>
        <v/>
      </c>
      <c r="P485" s="96" t="str">
        <f>IF(O485="","",IFERROR(MATCH(O485,'CDFs'!$A$6:$A$505,0),""))</f>
        <v/>
      </c>
      <c r="Q485" s="96">
        <f>IF(P485="",0,IF(INDEX('CDFs'!$S$6:$S$505,P485)=1,1,0))</f>
        <v>0</v>
      </c>
      <c r="R485" s="96" t="str">
        <f>IF(C485="","",TRIM(LEFT(C485,FIND(" |",C485&amp;" |")-1)))</f>
        <v/>
      </c>
      <c r="S485" s="96" t="str">
        <f>IF(R485="","",IFERROR(MATCH(R485,'ITENS_MTR'!$A$6:$A$1005,0),""))</f>
        <v/>
      </c>
      <c r="T485" s="96">
        <f>IF(S485="",0,IF(INDEX('ITENS_MTR'!$R$6:$R$1005,S485)=1,1,0))</f>
        <v>0</v>
      </c>
      <c r="U485" s="96" t="str">
        <f>IF(G485="","",IFERROR(IF(ISNUMBER(INDEX(cfg_fac,MATCH(G485,cfg_units,0))),IF(INDEX(cfg_fac,MATCH(G485,cfg_units,0))&gt;0,INDEX(cfg_fac,MATCH(G485,cfg_units,0)),""),""),""))</f>
        <v/>
      </c>
      <c r="V485" s="96">
        <f>IF(AND(ISNUMBER(F485),ISNUMBER(H485)),IF(H485&gt;0,1,0),0)</f>
        <v>0</v>
      </c>
      <c r="W485" s="96" t="str">
        <f>IF(T485=1,INDEX('ITENS_MTR'!$AU$6:$AU$1005,S485)&amp;"","")</f>
        <v/>
      </c>
      <c r="X485" s="96">
        <f>IF(AND(Q485=1,T485=1,I485&lt;&gt;"",W485&lt;&gt;""),IF(I485&lt;&gt;W485,1,0),0)</f>
        <v>0</v>
      </c>
      <c r="Y485" s="96">
        <f>IF(N485=0,0,IF(OR(Q485=0,T485=0,V485=0,AND(X485=1,J485&lt;&gt;"Sim")),1,0))</f>
        <v>0</v>
      </c>
      <c r="Z485" s="96">
        <f>IF(Q485=1,INDEX('CDFs'!$W$6:$W$505,P485),0)</f>
        <v>0</v>
      </c>
      <c r="AA485" s="96">
        <f>IF(AND(N485=1,Y485=0,Z485=1,J485="Sim"),1,0)</f>
        <v>0</v>
      </c>
      <c r="AB485" s="96">
        <f>IF(AND(N485=1,O485&lt;&gt;"",D485&lt;&gt;""),IF(COUNTIFS($O$6:O485,O485,$D$6:D485,D485)=1,1,0),0)</f>
        <v>0</v>
      </c>
      <c r="AC485" s="96">
        <f>IF(T485=1,INDEX('ITENS_MTR'!$AL$6:$AL$1005,S485),0)</f>
        <v>0</v>
      </c>
    </row>
    <row r="486">
      <c r="A486" s="89" t="inlineStr">
        <is>
          <t>VIN-000481</t>
        </is>
      </c>
      <c r="B486" s="91" t="n"/>
      <c r="C486" s="91" t="n"/>
      <c r="D486" s="94" t="str">
        <f>IF(T486=1,INDEX('ITENS_MTR'!$S$6:$S$1005,S486)&amp;"","")</f>
        <v/>
      </c>
      <c r="E486" s="94" t="str">
        <f>IF(T486=1,INDEX('ITENS_MTR'!$C$6:$C$1005,S486)&amp;"","")</f>
        <v/>
      </c>
      <c r="F486" s="98" t="n"/>
      <c r="G486" s="91" t="n"/>
      <c r="H486" s="93" t="str">
        <f>IF(N486=0,"",IF(NOT(ISNUMBER(F486)),"",IF(ISNUMBER(U486),F486*U486,"UNIDADE A CONFERIR")))</f>
        <v/>
      </c>
      <c r="I486" s="94" t="str">
        <f>IF(Q486=1,INDEX('CDFs'!$F$6:$F$505,P486)&amp;"","")</f>
        <v/>
      </c>
      <c r="J486" s="91" t="n"/>
      <c r="K486" s="91" t="n"/>
      <c r="L486" s="94" t="str">
        <f>IF(N486=0,"",IF(NOT(ISNUMBER(F486)),"Quantidade não informada",IF(F486&lt;=0,"Quantidade não positiva",IF(G486="","Unidade não informada",IF(NOT(ISNUMBER(H486)),"Unidade a conferir",IF(AC486=1,"REVISAR VÍNCULO: soma vinculada maior que a referência do item","OK"))))))</f>
        <v/>
      </c>
      <c r="M486" s="94" t="str">
        <f>IF(N486=0,"",IF(B486="","CDF não informado",IF(Q486=0,"REVISAR VÍNCULO: CDF inexistente",IF(C486="","Item não informado",IF(T486=0,"REVISAR VÍNCULO: item inexistente",IF(AND(X486=1,J486&lt;&gt;"Sim"),"REVISAR VÍNCULO: destinador diferente do MTR",IF(X486=1,"Destinador diferente do MTR (analisado)","OK")))))))</f>
        <v/>
      </c>
      <c r="N486" s="96">
        <f>IF(COUNTA(B486:C486,F486:G486,J486:K486)&gt;0,1,0)</f>
        <v>0</v>
      </c>
      <c r="O486" s="96" t="str">
        <f>IF(B486="","",TRIM(LEFT(B486,FIND(" |",B486&amp;" |")-1)))</f>
        <v/>
      </c>
      <c r="P486" s="96" t="str">
        <f>IF(O486="","",IFERROR(MATCH(O486,'CDFs'!$A$6:$A$505,0),""))</f>
        <v/>
      </c>
      <c r="Q486" s="96">
        <f>IF(P486="",0,IF(INDEX('CDFs'!$S$6:$S$505,P486)=1,1,0))</f>
        <v>0</v>
      </c>
      <c r="R486" s="96" t="str">
        <f>IF(C486="","",TRIM(LEFT(C486,FIND(" |",C486&amp;" |")-1)))</f>
        <v/>
      </c>
      <c r="S486" s="96" t="str">
        <f>IF(R486="","",IFERROR(MATCH(R486,'ITENS_MTR'!$A$6:$A$1005,0),""))</f>
        <v/>
      </c>
      <c r="T486" s="96">
        <f>IF(S486="",0,IF(INDEX('ITENS_MTR'!$R$6:$R$1005,S486)=1,1,0))</f>
        <v>0</v>
      </c>
      <c r="U486" s="96" t="str">
        <f>IF(G486="","",IFERROR(IF(ISNUMBER(INDEX(cfg_fac,MATCH(G486,cfg_units,0))),IF(INDEX(cfg_fac,MATCH(G486,cfg_units,0))&gt;0,INDEX(cfg_fac,MATCH(G486,cfg_units,0)),""),""),""))</f>
        <v/>
      </c>
      <c r="V486" s="96">
        <f>IF(AND(ISNUMBER(F486),ISNUMBER(H486)),IF(H486&gt;0,1,0),0)</f>
        <v>0</v>
      </c>
      <c r="W486" s="96" t="str">
        <f>IF(T486=1,INDEX('ITENS_MTR'!$AU$6:$AU$1005,S486)&amp;"","")</f>
        <v/>
      </c>
      <c r="X486" s="96">
        <f>IF(AND(Q486=1,T486=1,I486&lt;&gt;"",W486&lt;&gt;""),IF(I486&lt;&gt;W486,1,0),0)</f>
        <v>0</v>
      </c>
      <c r="Y486" s="96">
        <f>IF(N486=0,0,IF(OR(Q486=0,T486=0,V486=0,AND(X486=1,J486&lt;&gt;"Sim")),1,0))</f>
        <v>0</v>
      </c>
      <c r="Z486" s="96">
        <f>IF(Q486=1,INDEX('CDFs'!$W$6:$W$505,P486),0)</f>
        <v>0</v>
      </c>
      <c r="AA486" s="96">
        <f>IF(AND(N486=1,Y486=0,Z486=1,J486="Sim"),1,0)</f>
        <v>0</v>
      </c>
      <c r="AB486" s="96">
        <f>IF(AND(N486=1,O486&lt;&gt;"",D486&lt;&gt;""),IF(COUNTIFS($O$6:O486,O486,$D$6:D486,D486)=1,1,0),0)</f>
        <v>0</v>
      </c>
      <c r="AC486" s="96">
        <f>IF(T486=1,INDEX('ITENS_MTR'!$AL$6:$AL$1005,S486),0)</f>
        <v>0</v>
      </c>
    </row>
    <row r="487">
      <c r="A487" s="89" t="inlineStr">
        <is>
          <t>VIN-000482</t>
        </is>
      </c>
      <c r="B487" s="91" t="n"/>
      <c r="C487" s="91" t="n"/>
      <c r="D487" s="94" t="str">
        <f>IF(T487=1,INDEX('ITENS_MTR'!$S$6:$S$1005,S487)&amp;"","")</f>
        <v/>
      </c>
      <c r="E487" s="94" t="str">
        <f>IF(T487=1,INDEX('ITENS_MTR'!$C$6:$C$1005,S487)&amp;"","")</f>
        <v/>
      </c>
      <c r="F487" s="98" t="n"/>
      <c r="G487" s="91" t="n"/>
      <c r="H487" s="93" t="str">
        <f>IF(N487=0,"",IF(NOT(ISNUMBER(F487)),"",IF(ISNUMBER(U487),F487*U487,"UNIDADE A CONFERIR")))</f>
        <v/>
      </c>
      <c r="I487" s="94" t="str">
        <f>IF(Q487=1,INDEX('CDFs'!$F$6:$F$505,P487)&amp;"","")</f>
        <v/>
      </c>
      <c r="J487" s="91" t="n"/>
      <c r="K487" s="91" t="n"/>
      <c r="L487" s="94" t="str">
        <f>IF(N487=0,"",IF(NOT(ISNUMBER(F487)),"Quantidade não informada",IF(F487&lt;=0,"Quantidade não positiva",IF(G487="","Unidade não informada",IF(NOT(ISNUMBER(H487)),"Unidade a conferir",IF(AC487=1,"REVISAR VÍNCULO: soma vinculada maior que a referência do item","OK"))))))</f>
        <v/>
      </c>
      <c r="M487" s="94" t="str">
        <f>IF(N487=0,"",IF(B487="","CDF não informado",IF(Q487=0,"REVISAR VÍNCULO: CDF inexistente",IF(C487="","Item não informado",IF(T487=0,"REVISAR VÍNCULO: item inexistente",IF(AND(X487=1,J487&lt;&gt;"Sim"),"REVISAR VÍNCULO: destinador diferente do MTR",IF(X487=1,"Destinador diferente do MTR (analisado)","OK")))))))</f>
        <v/>
      </c>
      <c r="N487" s="96">
        <f>IF(COUNTA(B487:C487,F487:G487,J487:K487)&gt;0,1,0)</f>
        <v>0</v>
      </c>
      <c r="O487" s="96" t="str">
        <f>IF(B487="","",TRIM(LEFT(B487,FIND(" |",B487&amp;" |")-1)))</f>
        <v/>
      </c>
      <c r="P487" s="96" t="str">
        <f>IF(O487="","",IFERROR(MATCH(O487,'CDFs'!$A$6:$A$505,0),""))</f>
        <v/>
      </c>
      <c r="Q487" s="96">
        <f>IF(P487="",0,IF(INDEX('CDFs'!$S$6:$S$505,P487)=1,1,0))</f>
        <v>0</v>
      </c>
      <c r="R487" s="96" t="str">
        <f>IF(C487="","",TRIM(LEFT(C487,FIND(" |",C487&amp;" |")-1)))</f>
        <v/>
      </c>
      <c r="S487" s="96" t="str">
        <f>IF(R487="","",IFERROR(MATCH(R487,'ITENS_MTR'!$A$6:$A$1005,0),""))</f>
        <v/>
      </c>
      <c r="T487" s="96">
        <f>IF(S487="",0,IF(INDEX('ITENS_MTR'!$R$6:$R$1005,S487)=1,1,0))</f>
        <v>0</v>
      </c>
      <c r="U487" s="96" t="str">
        <f>IF(G487="","",IFERROR(IF(ISNUMBER(INDEX(cfg_fac,MATCH(G487,cfg_units,0))),IF(INDEX(cfg_fac,MATCH(G487,cfg_units,0))&gt;0,INDEX(cfg_fac,MATCH(G487,cfg_units,0)),""),""),""))</f>
        <v/>
      </c>
      <c r="V487" s="96">
        <f>IF(AND(ISNUMBER(F487),ISNUMBER(H487)),IF(H487&gt;0,1,0),0)</f>
        <v>0</v>
      </c>
      <c r="W487" s="96" t="str">
        <f>IF(T487=1,INDEX('ITENS_MTR'!$AU$6:$AU$1005,S487)&amp;"","")</f>
        <v/>
      </c>
      <c r="X487" s="96">
        <f>IF(AND(Q487=1,T487=1,I487&lt;&gt;"",W487&lt;&gt;""),IF(I487&lt;&gt;W487,1,0),0)</f>
        <v>0</v>
      </c>
      <c r="Y487" s="96">
        <f>IF(N487=0,0,IF(OR(Q487=0,T487=0,V487=0,AND(X487=1,J487&lt;&gt;"Sim")),1,0))</f>
        <v>0</v>
      </c>
      <c r="Z487" s="96">
        <f>IF(Q487=1,INDEX('CDFs'!$W$6:$W$505,P487),0)</f>
        <v>0</v>
      </c>
      <c r="AA487" s="96">
        <f>IF(AND(N487=1,Y487=0,Z487=1,J487="Sim"),1,0)</f>
        <v>0</v>
      </c>
      <c r="AB487" s="96">
        <f>IF(AND(N487=1,O487&lt;&gt;"",D487&lt;&gt;""),IF(COUNTIFS($O$6:O487,O487,$D$6:D487,D487)=1,1,0),0)</f>
        <v>0</v>
      </c>
      <c r="AC487" s="96">
        <f>IF(T487=1,INDEX('ITENS_MTR'!$AL$6:$AL$1005,S487),0)</f>
        <v>0</v>
      </c>
    </row>
    <row r="488">
      <c r="A488" s="89" t="inlineStr">
        <is>
          <t>VIN-000483</t>
        </is>
      </c>
      <c r="B488" s="91" t="n"/>
      <c r="C488" s="91" t="n"/>
      <c r="D488" s="94" t="str">
        <f>IF(T488=1,INDEX('ITENS_MTR'!$S$6:$S$1005,S488)&amp;"","")</f>
        <v/>
      </c>
      <c r="E488" s="94" t="str">
        <f>IF(T488=1,INDEX('ITENS_MTR'!$C$6:$C$1005,S488)&amp;"","")</f>
        <v/>
      </c>
      <c r="F488" s="98" t="n"/>
      <c r="G488" s="91" t="n"/>
      <c r="H488" s="93" t="str">
        <f>IF(N488=0,"",IF(NOT(ISNUMBER(F488)),"",IF(ISNUMBER(U488),F488*U488,"UNIDADE A CONFERIR")))</f>
        <v/>
      </c>
      <c r="I488" s="94" t="str">
        <f>IF(Q488=1,INDEX('CDFs'!$F$6:$F$505,P488)&amp;"","")</f>
        <v/>
      </c>
      <c r="J488" s="91" t="n"/>
      <c r="K488" s="91" t="n"/>
      <c r="L488" s="94" t="str">
        <f>IF(N488=0,"",IF(NOT(ISNUMBER(F488)),"Quantidade não informada",IF(F488&lt;=0,"Quantidade não positiva",IF(G488="","Unidade não informada",IF(NOT(ISNUMBER(H488)),"Unidade a conferir",IF(AC488=1,"REVISAR VÍNCULO: soma vinculada maior que a referência do item","OK"))))))</f>
        <v/>
      </c>
      <c r="M488" s="94" t="str">
        <f>IF(N488=0,"",IF(B488="","CDF não informado",IF(Q488=0,"REVISAR VÍNCULO: CDF inexistente",IF(C488="","Item não informado",IF(T488=0,"REVISAR VÍNCULO: item inexistente",IF(AND(X488=1,J488&lt;&gt;"Sim"),"REVISAR VÍNCULO: destinador diferente do MTR",IF(X488=1,"Destinador diferente do MTR (analisado)","OK")))))))</f>
        <v/>
      </c>
      <c r="N488" s="96">
        <f>IF(COUNTA(B488:C488,F488:G488,J488:K488)&gt;0,1,0)</f>
        <v>0</v>
      </c>
      <c r="O488" s="96" t="str">
        <f>IF(B488="","",TRIM(LEFT(B488,FIND(" |",B488&amp;" |")-1)))</f>
        <v/>
      </c>
      <c r="P488" s="96" t="str">
        <f>IF(O488="","",IFERROR(MATCH(O488,'CDFs'!$A$6:$A$505,0),""))</f>
        <v/>
      </c>
      <c r="Q488" s="96">
        <f>IF(P488="",0,IF(INDEX('CDFs'!$S$6:$S$505,P488)=1,1,0))</f>
        <v>0</v>
      </c>
      <c r="R488" s="96" t="str">
        <f>IF(C488="","",TRIM(LEFT(C488,FIND(" |",C488&amp;" |")-1)))</f>
        <v/>
      </c>
      <c r="S488" s="96" t="str">
        <f>IF(R488="","",IFERROR(MATCH(R488,'ITENS_MTR'!$A$6:$A$1005,0),""))</f>
        <v/>
      </c>
      <c r="T488" s="96">
        <f>IF(S488="",0,IF(INDEX('ITENS_MTR'!$R$6:$R$1005,S488)=1,1,0))</f>
        <v>0</v>
      </c>
      <c r="U488" s="96" t="str">
        <f>IF(G488="","",IFERROR(IF(ISNUMBER(INDEX(cfg_fac,MATCH(G488,cfg_units,0))),IF(INDEX(cfg_fac,MATCH(G488,cfg_units,0))&gt;0,INDEX(cfg_fac,MATCH(G488,cfg_units,0)),""),""),""))</f>
        <v/>
      </c>
      <c r="V488" s="96">
        <f>IF(AND(ISNUMBER(F488),ISNUMBER(H488)),IF(H488&gt;0,1,0),0)</f>
        <v>0</v>
      </c>
      <c r="W488" s="96" t="str">
        <f>IF(T488=1,INDEX('ITENS_MTR'!$AU$6:$AU$1005,S488)&amp;"","")</f>
        <v/>
      </c>
      <c r="X488" s="96">
        <f>IF(AND(Q488=1,T488=1,I488&lt;&gt;"",W488&lt;&gt;""),IF(I488&lt;&gt;W488,1,0),0)</f>
        <v>0</v>
      </c>
      <c r="Y488" s="96">
        <f>IF(N488=0,0,IF(OR(Q488=0,T488=0,V488=0,AND(X488=1,J488&lt;&gt;"Sim")),1,0))</f>
        <v>0</v>
      </c>
      <c r="Z488" s="96">
        <f>IF(Q488=1,INDEX('CDFs'!$W$6:$W$505,P488),0)</f>
        <v>0</v>
      </c>
      <c r="AA488" s="96">
        <f>IF(AND(N488=1,Y488=0,Z488=1,J488="Sim"),1,0)</f>
        <v>0</v>
      </c>
      <c r="AB488" s="96">
        <f>IF(AND(N488=1,O488&lt;&gt;"",D488&lt;&gt;""),IF(COUNTIFS($O$6:O488,O488,$D$6:D488,D488)=1,1,0),0)</f>
        <v>0</v>
      </c>
      <c r="AC488" s="96">
        <f>IF(T488=1,INDEX('ITENS_MTR'!$AL$6:$AL$1005,S488),0)</f>
        <v>0</v>
      </c>
    </row>
    <row r="489">
      <c r="A489" s="89" t="inlineStr">
        <is>
          <t>VIN-000484</t>
        </is>
      </c>
      <c r="B489" s="91" t="n"/>
      <c r="C489" s="91" t="n"/>
      <c r="D489" s="94" t="str">
        <f>IF(T489=1,INDEX('ITENS_MTR'!$S$6:$S$1005,S489)&amp;"","")</f>
        <v/>
      </c>
      <c r="E489" s="94" t="str">
        <f>IF(T489=1,INDEX('ITENS_MTR'!$C$6:$C$1005,S489)&amp;"","")</f>
        <v/>
      </c>
      <c r="F489" s="98" t="n"/>
      <c r="G489" s="91" t="n"/>
      <c r="H489" s="93" t="str">
        <f>IF(N489=0,"",IF(NOT(ISNUMBER(F489)),"",IF(ISNUMBER(U489),F489*U489,"UNIDADE A CONFERIR")))</f>
        <v/>
      </c>
      <c r="I489" s="94" t="str">
        <f>IF(Q489=1,INDEX('CDFs'!$F$6:$F$505,P489)&amp;"","")</f>
        <v/>
      </c>
      <c r="J489" s="91" t="n"/>
      <c r="K489" s="91" t="n"/>
      <c r="L489" s="94" t="str">
        <f>IF(N489=0,"",IF(NOT(ISNUMBER(F489)),"Quantidade não informada",IF(F489&lt;=0,"Quantidade não positiva",IF(G489="","Unidade não informada",IF(NOT(ISNUMBER(H489)),"Unidade a conferir",IF(AC489=1,"REVISAR VÍNCULO: soma vinculada maior que a referência do item","OK"))))))</f>
        <v/>
      </c>
      <c r="M489" s="94" t="str">
        <f>IF(N489=0,"",IF(B489="","CDF não informado",IF(Q489=0,"REVISAR VÍNCULO: CDF inexistente",IF(C489="","Item não informado",IF(T489=0,"REVISAR VÍNCULO: item inexistente",IF(AND(X489=1,J489&lt;&gt;"Sim"),"REVISAR VÍNCULO: destinador diferente do MTR",IF(X489=1,"Destinador diferente do MTR (analisado)","OK")))))))</f>
        <v/>
      </c>
      <c r="N489" s="96">
        <f>IF(COUNTA(B489:C489,F489:G489,J489:K489)&gt;0,1,0)</f>
        <v>0</v>
      </c>
      <c r="O489" s="96" t="str">
        <f>IF(B489="","",TRIM(LEFT(B489,FIND(" |",B489&amp;" |")-1)))</f>
        <v/>
      </c>
      <c r="P489" s="96" t="str">
        <f>IF(O489="","",IFERROR(MATCH(O489,'CDFs'!$A$6:$A$505,0),""))</f>
        <v/>
      </c>
      <c r="Q489" s="96">
        <f>IF(P489="",0,IF(INDEX('CDFs'!$S$6:$S$505,P489)=1,1,0))</f>
        <v>0</v>
      </c>
      <c r="R489" s="96" t="str">
        <f>IF(C489="","",TRIM(LEFT(C489,FIND(" |",C489&amp;" |")-1)))</f>
        <v/>
      </c>
      <c r="S489" s="96" t="str">
        <f>IF(R489="","",IFERROR(MATCH(R489,'ITENS_MTR'!$A$6:$A$1005,0),""))</f>
        <v/>
      </c>
      <c r="T489" s="96">
        <f>IF(S489="",0,IF(INDEX('ITENS_MTR'!$R$6:$R$1005,S489)=1,1,0))</f>
        <v>0</v>
      </c>
      <c r="U489" s="96" t="str">
        <f>IF(G489="","",IFERROR(IF(ISNUMBER(INDEX(cfg_fac,MATCH(G489,cfg_units,0))),IF(INDEX(cfg_fac,MATCH(G489,cfg_units,0))&gt;0,INDEX(cfg_fac,MATCH(G489,cfg_units,0)),""),""),""))</f>
        <v/>
      </c>
      <c r="V489" s="96">
        <f>IF(AND(ISNUMBER(F489),ISNUMBER(H489)),IF(H489&gt;0,1,0),0)</f>
        <v>0</v>
      </c>
      <c r="W489" s="96" t="str">
        <f>IF(T489=1,INDEX('ITENS_MTR'!$AU$6:$AU$1005,S489)&amp;"","")</f>
        <v/>
      </c>
      <c r="X489" s="96">
        <f>IF(AND(Q489=1,T489=1,I489&lt;&gt;"",W489&lt;&gt;""),IF(I489&lt;&gt;W489,1,0),0)</f>
        <v>0</v>
      </c>
      <c r="Y489" s="96">
        <f>IF(N489=0,0,IF(OR(Q489=0,T489=0,V489=0,AND(X489=1,J489&lt;&gt;"Sim")),1,0))</f>
        <v>0</v>
      </c>
      <c r="Z489" s="96">
        <f>IF(Q489=1,INDEX('CDFs'!$W$6:$W$505,P489),0)</f>
        <v>0</v>
      </c>
      <c r="AA489" s="96">
        <f>IF(AND(N489=1,Y489=0,Z489=1,J489="Sim"),1,0)</f>
        <v>0</v>
      </c>
      <c r="AB489" s="96">
        <f>IF(AND(N489=1,O489&lt;&gt;"",D489&lt;&gt;""),IF(COUNTIFS($O$6:O489,O489,$D$6:D489,D489)=1,1,0),0)</f>
        <v>0</v>
      </c>
      <c r="AC489" s="96">
        <f>IF(T489=1,INDEX('ITENS_MTR'!$AL$6:$AL$1005,S489),0)</f>
        <v>0</v>
      </c>
    </row>
    <row r="490">
      <c r="A490" s="89" t="inlineStr">
        <is>
          <t>VIN-000485</t>
        </is>
      </c>
      <c r="B490" s="91" t="n"/>
      <c r="C490" s="91" t="n"/>
      <c r="D490" s="94" t="str">
        <f>IF(T490=1,INDEX('ITENS_MTR'!$S$6:$S$1005,S490)&amp;"","")</f>
        <v/>
      </c>
      <c r="E490" s="94" t="str">
        <f>IF(T490=1,INDEX('ITENS_MTR'!$C$6:$C$1005,S490)&amp;"","")</f>
        <v/>
      </c>
      <c r="F490" s="98" t="n"/>
      <c r="G490" s="91" t="n"/>
      <c r="H490" s="93" t="str">
        <f>IF(N490=0,"",IF(NOT(ISNUMBER(F490)),"",IF(ISNUMBER(U490),F490*U490,"UNIDADE A CONFERIR")))</f>
        <v/>
      </c>
      <c r="I490" s="94" t="str">
        <f>IF(Q490=1,INDEX('CDFs'!$F$6:$F$505,P490)&amp;"","")</f>
        <v/>
      </c>
      <c r="J490" s="91" t="n"/>
      <c r="K490" s="91" t="n"/>
      <c r="L490" s="94" t="str">
        <f>IF(N490=0,"",IF(NOT(ISNUMBER(F490)),"Quantidade não informada",IF(F490&lt;=0,"Quantidade não positiva",IF(G490="","Unidade não informada",IF(NOT(ISNUMBER(H490)),"Unidade a conferir",IF(AC490=1,"REVISAR VÍNCULO: soma vinculada maior que a referência do item","OK"))))))</f>
        <v/>
      </c>
      <c r="M490" s="94" t="str">
        <f>IF(N490=0,"",IF(B490="","CDF não informado",IF(Q490=0,"REVISAR VÍNCULO: CDF inexistente",IF(C490="","Item não informado",IF(T490=0,"REVISAR VÍNCULO: item inexistente",IF(AND(X490=1,J490&lt;&gt;"Sim"),"REVISAR VÍNCULO: destinador diferente do MTR",IF(X490=1,"Destinador diferente do MTR (analisado)","OK")))))))</f>
        <v/>
      </c>
      <c r="N490" s="96">
        <f>IF(COUNTA(B490:C490,F490:G490,J490:K490)&gt;0,1,0)</f>
        <v>0</v>
      </c>
      <c r="O490" s="96" t="str">
        <f>IF(B490="","",TRIM(LEFT(B490,FIND(" |",B490&amp;" |")-1)))</f>
        <v/>
      </c>
      <c r="P490" s="96" t="str">
        <f>IF(O490="","",IFERROR(MATCH(O490,'CDFs'!$A$6:$A$505,0),""))</f>
        <v/>
      </c>
      <c r="Q490" s="96">
        <f>IF(P490="",0,IF(INDEX('CDFs'!$S$6:$S$505,P490)=1,1,0))</f>
        <v>0</v>
      </c>
      <c r="R490" s="96" t="str">
        <f>IF(C490="","",TRIM(LEFT(C490,FIND(" |",C490&amp;" |")-1)))</f>
        <v/>
      </c>
      <c r="S490" s="96" t="str">
        <f>IF(R490="","",IFERROR(MATCH(R490,'ITENS_MTR'!$A$6:$A$1005,0),""))</f>
        <v/>
      </c>
      <c r="T490" s="96">
        <f>IF(S490="",0,IF(INDEX('ITENS_MTR'!$R$6:$R$1005,S490)=1,1,0))</f>
        <v>0</v>
      </c>
      <c r="U490" s="96" t="str">
        <f>IF(G490="","",IFERROR(IF(ISNUMBER(INDEX(cfg_fac,MATCH(G490,cfg_units,0))),IF(INDEX(cfg_fac,MATCH(G490,cfg_units,0))&gt;0,INDEX(cfg_fac,MATCH(G490,cfg_units,0)),""),""),""))</f>
        <v/>
      </c>
      <c r="V490" s="96">
        <f>IF(AND(ISNUMBER(F490),ISNUMBER(H490)),IF(H490&gt;0,1,0),0)</f>
        <v>0</v>
      </c>
      <c r="W490" s="96" t="str">
        <f>IF(T490=1,INDEX('ITENS_MTR'!$AU$6:$AU$1005,S490)&amp;"","")</f>
        <v/>
      </c>
      <c r="X490" s="96">
        <f>IF(AND(Q490=1,T490=1,I490&lt;&gt;"",W490&lt;&gt;""),IF(I490&lt;&gt;W490,1,0),0)</f>
        <v>0</v>
      </c>
      <c r="Y490" s="96">
        <f>IF(N490=0,0,IF(OR(Q490=0,T490=0,V490=0,AND(X490=1,J490&lt;&gt;"Sim")),1,0))</f>
        <v>0</v>
      </c>
      <c r="Z490" s="96">
        <f>IF(Q490=1,INDEX('CDFs'!$W$6:$W$505,P490),0)</f>
        <v>0</v>
      </c>
      <c r="AA490" s="96">
        <f>IF(AND(N490=1,Y490=0,Z490=1,J490="Sim"),1,0)</f>
        <v>0</v>
      </c>
      <c r="AB490" s="96">
        <f>IF(AND(N490=1,O490&lt;&gt;"",D490&lt;&gt;""),IF(COUNTIFS($O$6:O490,O490,$D$6:D490,D490)=1,1,0),0)</f>
        <v>0</v>
      </c>
      <c r="AC490" s="96">
        <f>IF(T490=1,INDEX('ITENS_MTR'!$AL$6:$AL$1005,S490),0)</f>
        <v>0</v>
      </c>
    </row>
    <row r="491">
      <c r="A491" s="89" t="inlineStr">
        <is>
          <t>VIN-000486</t>
        </is>
      </c>
      <c r="B491" s="91" t="n"/>
      <c r="C491" s="91" t="n"/>
      <c r="D491" s="94" t="str">
        <f>IF(T491=1,INDEX('ITENS_MTR'!$S$6:$S$1005,S491)&amp;"","")</f>
        <v/>
      </c>
      <c r="E491" s="94" t="str">
        <f>IF(T491=1,INDEX('ITENS_MTR'!$C$6:$C$1005,S491)&amp;"","")</f>
        <v/>
      </c>
      <c r="F491" s="98" t="n"/>
      <c r="G491" s="91" t="n"/>
      <c r="H491" s="93" t="str">
        <f>IF(N491=0,"",IF(NOT(ISNUMBER(F491)),"",IF(ISNUMBER(U491),F491*U491,"UNIDADE A CONFERIR")))</f>
        <v/>
      </c>
      <c r="I491" s="94" t="str">
        <f>IF(Q491=1,INDEX('CDFs'!$F$6:$F$505,P491)&amp;"","")</f>
        <v/>
      </c>
      <c r="J491" s="91" t="n"/>
      <c r="K491" s="91" t="n"/>
      <c r="L491" s="94" t="str">
        <f>IF(N491=0,"",IF(NOT(ISNUMBER(F491)),"Quantidade não informada",IF(F491&lt;=0,"Quantidade não positiva",IF(G491="","Unidade não informada",IF(NOT(ISNUMBER(H491)),"Unidade a conferir",IF(AC491=1,"REVISAR VÍNCULO: soma vinculada maior que a referência do item","OK"))))))</f>
        <v/>
      </c>
      <c r="M491" s="94" t="str">
        <f>IF(N491=0,"",IF(B491="","CDF não informado",IF(Q491=0,"REVISAR VÍNCULO: CDF inexistente",IF(C491="","Item não informado",IF(T491=0,"REVISAR VÍNCULO: item inexistente",IF(AND(X491=1,J491&lt;&gt;"Sim"),"REVISAR VÍNCULO: destinador diferente do MTR",IF(X491=1,"Destinador diferente do MTR (analisado)","OK")))))))</f>
        <v/>
      </c>
      <c r="N491" s="96">
        <f>IF(COUNTA(B491:C491,F491:G491,J491:K491)&gt;0,1,0)</f>
        <v>0</v>
      </c>
      <c r="O491" s="96" t="str">
        <f>IF(B491="","",TRIM(LEFT(B491,FIND(" |",B491&amp;" |")-1)))</f>
        <v/>
      </c>
      <c r="P491" s="96" t="str">
        <f>IF(O491="","",IFERROR(MATCH(O491,'CDFs'!$A$6:$A$505,0),""))</f>
        <v/>
      </c>
      <c r="Q491" s="96">
        <f>IF(P491="",0,IF(INDEX('CDFs'!$S$6:$S$505,P491)=1,1,0))</f>
        <v>0</v>
      </c>
      <c r="R491" s="96" t="str">
        <f>IF(C491="","",TRIM(LEFT(C491,FIND(" |",C491&amp;" |")-1)))</f>
        <v/>
      </c>
      <c r="S491" s="96" t="str">
        <f>IF(R491="","",IFERROR(MATCH(R491,'ITENS_MTR'!$A$6:$A$1005,0),""))</f>
        <v/>
      </c>
      <c r="T491" s="96">
        <f>IF(S491="",0,IF(INDEX('ITENS_MTR'!$R$6:$R$1005,S491)=1,1,0))</f>
        <v>0</v>
      </c>
      <c r="U491" s="96" t="str">
        <f>IF(G491="","",IFERROR(IF(ISNUMBER(INDEX(cfg_fac,MATCH(G491,cfg_units,0))),IF(INDEX(cfg_fac,MATCH(G491,cfg_units,0))&gt;0,INDEX(cfg_fac,MATCH(G491,cfg_units,0)),""),""),""))</f>
        <v/>
      </c>
      <c r="V491" s="96">
        <f>IF(AND(ISNUMBER(F491),ISNUMBER(H491)),IF(H491&gt;0,1,0),0)</f>
        <v>0</v>
      </c>
      <c r="W491" s="96" t="str">
        <f>IF(T491=1,INDEX('ITENS_MTR'!$AU$6:$AU$1005,S491)&amp;"","")</f>
        <v/>
      </c>
      <c r="X491" s="96">
        <f>IF(AND(Q491=1,T491=1,I491&lt;&gt;"",W491&lt;&gt;""),IF(I491&lt;&gt;W491,1,0),0)</f>
        <v>0</v>
      </c>
      <c r="Y491" s="96">
        <f>IF(N491=0,0,IF(OR(Q491=0,T491=0,V491=0,AND(X491=1,J491&lt;&gt;"Sim")),1,0))</f>
        <v>0</v>
      </c>
      <c r="Z491" s="96">
        <f>IF(Q491=1,INDEX('CDFs'!$W$6:$W$505,P491),0)</f>
        <v>0</v>
      </c>
      <c r="AA491" s="96">
        <f>IF(AND(N491=1,Y491=0,Z491=1,J491="Sim"),1,0)</f>
        <v>0</v>
      </c>
      <c r="AB491" s="96">
        <f>IF(AND(N491=1,O491&lt;&gt;"",D491&lt;&gt;""),IF(COUNTIFS($O$6:O491,O491,$D$6:D491,D491)=1,1,0),0)</f>
        <v>0</v>
      </c>
      <c r="AC491" s="96">
        <f>IF(T491=1,INDEX('ITENS_MTR'!$AL$6:$AL$1005,S491),0)</f>
        <v>0</v>
      </c>
    </row>
    <row r="492">
      <c r="A492" s="89" t="inlineStr">
        <is>
          <t>VIN-000487</t>
        </is>
      </c>
      <c r="B492" s="91" t="n"/>
      <c r="C492" s="91" t="n"/>
      <c r="D492" s="94" t="str">
        <f>IF(T492=1,INDEX('ITENS_MTR'!$S$6:$S$1005,S492)&amp;"","")</f>
        <v/>
      </c>
      <c r="E492" s="94" t="str">
        <f>IF(T492=1,INDEX('ITENS_MTR'!$C$6:$C$1005,S492)&amp;"","")</f>
        <v/>
      </c>
      <c r="F492" s="98" t="n"/>
      <c r="G492" s="91" t="n"/>
      <c r="H492" s="93" t="str">
        <f>IF(N492=0,"",IF(NOT(ISNUMBER(F492)),"",IF(ISNUMBER(U492),F492*U492,"UNIDADE A CONFERIR")))</f>
        <v/>
      </c>
      <c r="I492" s="94" t="str">
        <f>IF(Q492=1,INDEX('CDFs'!$F$6:$F$505,P492)&amp;"","")</f>
        <v/>
      </c>
      <c r="J492" s="91" t="n"/>
      <c r="K492" s="91" t="n"/>
      <c r="L492" s="94" t="str">
        <f>IF(N492=0,"",IF(NOT(ISNUMBER(F492)),"Quantidade não informada",IF(F492&lt;=0,"Quantidade não positiva",IF(G492="","Unidade não informada",IF(NOT(ISNUMBER(H492)),"Unidade a conferir",IF(AC492=1,"REVISAR VÍNCULO: soma vinculada maior que a referência do item","OK"))))))</f>
        <v/>
      </c>
      <c r="M492" s="94" t="str">
        <f>IF(N492=0,"",IF(B492="","CDF não informado",IF(Q492=0,"REVISAR VÍNCULO: CDF inexistente",IF(C492="","Item não informado",IF(T492=0,"REVISAR VÍNCULO: item inexistente",IF(AND(X492=1,J492&lt;&gt;"Sim"),"REVISAR VÍNCULO: destinador diferente do MTR",IF(X492=1,"Destinador diferente do MTR (analisado)","OK")))))))</f>
        <v/>
      </c>
      <c r="N492" s="96">
        <f>IF(COUNTA(B492:C492,F492:G492,J492:K492)&gt;0,1,0)</f>
        <v>0</v>
      </c>
      <c r="O492" s="96" t="str">
        <f>IF(B492="","",TRIM(LEFT(B492,FIND(" |",B492&amp;" |")-1)))</f>
        <v/>
      </c>
      <c r="P492" s="96" t="str">
        <f>IF(O492="","",IFERROR(MATCH(O492,'CDFs'!$A$6:$A$505,0),""))</f>
        <v/>
      </c>
      <c r="Q492" s="96">
        <f>IF(P492="",0,IF(INDEX('CDFs'!$S$6:$S$505,P492)=1,1,0))</f>
        <v>0</v>
      </c>
      <c r="R492" s="96" t="str">
        <f>IF(C492="","",TRIM(LEFT(C492,FIND(" |",C492&amp;" |")-1)))</f>
        <v/>
      </c>
      <c r="S492" s="96" t="str">
        <f>IF(R492="","",IFERROR(MATCH(R492,'ITENS_MTR'!$A$6:$A$1005,0),""))</f>
        <v/>
      </c>
      <c r="T492" s="96">
        <f>IF(S492="",0,IF(INDEX('ITENS_MTR'!$R$6:$R$1005,S492)=1,1,0))</f>
        <v>0</v>
      </c>
      <c r="U492" s="96" t="str">
        <f>IF(G492="","",IFERROR(IF(ISNUMBER(INDEX(cfg_fac,MATCH(G492,cfg_units,0))),IF(INDEX(cfg_fac,MATCH(G492,cfg_units,0))&gt;0,INDEX(cfg_fac,MATCH(G492,cfg_units,0)),""),""),""))</f>
        <v/>
      </c>
      <c r="V492" s="96">
        <f>IF(AND(ISNUMBER(F492),ISNUMBER(H492)),IF(H492&gt;0,1,0),0)</f>
        <v>0</v>
      </c>
      <c r="W492" s="96" t="str">
        <f>IF(T492=1,INDEX('ITENS_MTR'!$AU$6:$AU$1005,S492)&amp;"","")</f>
        <v/>
      </c>
      <c r="X492" s="96">
        <f>IF(AND(Q492=1,T492=1,I492&lt;&gt;"",W492&lt;&gt;""),IF(I492&lt;&gt;W492,1,0),0)</f>
        <v>0</v>
      </c>
      <c r="Y492" s="96">
        <f>IF(N492=0,0,IF(OR(Q492=0,T492=0,V492=0,AND(X492=1,J492&lt;&gt;"Sim")),1,0))</f>
        <v>0</v>
      </c>
      <c r="Z492" s="96">
        <f>IF(Q492=1,INDEX('CDFs'!$W$6:$W$505,P492),0)</f>
        <v>0</v>
      </c>
      <c r="AA492" s="96">
        <f>IF(AND(N492=1,Y492=0,Z492=1,J492="Sim"),1,0)</f>
        <v>0</v>
      </c>
      <c r="AB492" s="96">
        <f>IF(AND(N492=1,O492&lt;&gt;"",D492&lt;&gt;""),IF(COUNTIFS($O$6:O492,O492,$D$6:D492,D492)=1,1,0),0)</f>
        <v>0</v>
      </c>
      <c r="AC492" s="96">
        <f>IF(T492=1,INDEX('ITENS_MTR'!$AL$6:$AL$1005,S492),0)</f>
        <v>0</v>
      </c>
    </row>
    <row r="493">
      <c r="A493" s="89" t="inlineStr">
        <is>
          <t>VIN-000488</t>
        </is>
      </c>
      <c r="B493" s="91" t="n"/>
      <c r="C493" s="91" t="n"/>
      <c r="D493" s="94" t="str">
        <f>IF(T493=1,INDEX('ITENS_MTR'!$S$6:$S$1005,S493)&amp;"","")</f>
        <v/>
      </c>
      <c r="E493" s="94" t="str">
        <f>IF(T493=1,INDEX('ITENS_MTR'!$C$6:$C$1005,S493)&amp;"","")</f>
        <v/>
      </c>
      <c r="F493" s="98" t="n"/>
      <c r="G493" s="91" t="n"/>
      <c r="H493" s="93" t="str">
        <f>IF(N493=0,"",IF(NOT(ISNUMBER(F493)),"",IF(ISNUMBER(U493),F493*U493,"UNIDADE A CONFERIR")))</f>
        <v/>
      </c>
      <c r="I493" s="94" t="str">
        <f>IF(Q493=1,INDEX('CDFs'!$F$6:$F$505,P493)&amp;"","")</f>
        <v/>
      </c>
      <c r="J493" s="91" t="n"/>
      <c r="K493" s="91" t="n"/>
      <c r="L493" s="94" t="str">
        <f>IF(N493=0,"",IF(NOT(ISNUMBER(F493)),"Quantidade não informada",IF(F493&lt;=0,"Quantidade não positiva",IF(G493="","Unidade não informada",IF(NOT(ISNUMBER(H493)),"Unidade a conferir",IF(AC493=1,"REVISAR VÍNCULO: soma vinculada maior que a referência do item","OK"))))))</f>
        <v/>
      </c>
      <c r="M493" s="94" t="str">
        <f>IF(N493=0,"",IF(B493="","CDF não informado",IF(Q493=0,"REVISAR VÍNCULO: CDF inexistente",IF(C493="","Item não informado",IF(T493=0,"REVISAR VÍNCULO: item inexistente",IF(AND(X493=1,J493&lt;&gt;"Sim"),"REVISAR VÍNCULO: destinador diferente do MTR",IF(X493=1,"Destinador diferente do MTR (analisado)","OK")))))))</f>
        <v/>
      </c>
      <c r="N493" s="96">
        <f>IF(COUNTA(B493:C493,F493:G493,J493:K493)&gt;0,1,0)</f>
        <v>0</v>
      </c>
      <c r="O493" s="96" t="str">
        <f>IF(B493="","",TRIM(LEFT(B493,FIND(" |",B493&amp;" |")-1)))</f>
        <v/>
      </c>
      <c r="P493" s="96" t="str">
        <f>IF(O493="","",IFERROR(MATCH(O493,'CDFs'!$A$6:$A$505,0),""))</f>
        <v/>
      </c>
      <c r="Q493" s="96">
        <f>IF(P493="",0,IF(INDEX('CDFs'!$S$6:$S$505,P493)=1,1,0))</f>
        <v>0</v>
      </c>
      <c r="R493" s="96" t="str">
        <f>IF(C493="","",TRIM(LEFT(C493,FIND(" |",C493&amp;" |")-1)))</f>
        <v/>
      </c>
      <c r="S493" s="96" t="str">
        <f>IF(R493="","",IFERROR(MATCH(R493,'ITENS_MTR'!$A$6:$A$1005,0),""))</f>
        <v/>
      </c>
      <c r="T493" s="96">
        <f>IF(S493="",0,IF(INDEX('ITENS_MTR'!$R$6:$R$1005,S493)=1,1,0))</f>
        <v>0</v>
      </c>
      <c r="U493" s="96" t="str">
        <f>IF(G493="","",IFERROR(IF(ISNUMBER(INDEX(cfg_fac,MATCH(G493,cfg_units,0))),IF(INDEX(cfg_fac,MATCH(G493,cfg_units,0))&gt;0,INDEX(cfg_fac,MATCH(G493,cfg_units,0)),""),""),""))</f>
        <v/>
      </c>
      <c r="V493" s="96">
        <f>IF(AND(ISNUMBER(F493),ISNUMBER(H493)),IF(H493&gt;0,1,0),0)</f>
        <v>0</v>
      </c>
      <c r="W493" s="96" t="str">
        <f>IF(T493=1,INDEX('ITENS_MTR'!$AU$6:$AU$1005,S493)&amp;"","")</f>
        <v/>
      </c>
      <c r="X493" s="96">
        <f>IF(AND(Q493=1,T493=1,I493&lt;&gt;"",W493&lt;&gt;""),IF(I493&lt;&gt;W493,1,0),0)</f>
        <v>0</v>
      </c>
      <c r="Y493" s="96">
        <f>IF(N493=0,0,IF(OR(Q493=0,T493=0,V493=0,AND(X493=1,J493&lt;&gt;"Sim")),1,0))</f>
        <v>0</v>
      </c>
      <c r="Z493" s="96">
        <f>IF(Q493=1,INDEX('CDFs'!$W$6:$W$505,P493),0)</f>
        <v>0</v>
      </c>
      <c r="AA493" s="96">
        <f>IF(AND(N493=1,Y493=0,Z493=1,J493="Sim"),1,0)</f>
        <v>0</v>
      </c>
      <c r="AB493" s="96">
        <f>IF(AND(N493=1,O493&lt;&gt;"",D493&lt;&gt;""),IF(COUNTIFS($O$6:O493,O493,$D$6:D493,D493)=1,1,0),0)</f>
        <v>0</v>
      </c>
      <c r="AC493" s="96">
        <f>IF(T493=1,INDEX('ITENS_MTR'!$AL$6:$AL$1005,S493),0)</f>
        <v>0</v>
      </c>
    </row>
    <row r="494">
      <c r="A494" s="89" t="inlineStr">
        <is>
          <t>VIN-000489</t>
        </is>
      </c>
      <c r="B494" s="91" t="n"/>
      <c r="C494" s="91" t="n"/>
      <c r="D494" s="94" t="str">
        <f>IF(T494=1,INDEX('ITENS_MTR'!$S$6:$S$1005,S494)&amp;"","")</f>
        <v/>
      </c>
      <c r="E494" s="94" t="str">
        <f>IF(T494=1,INDEX('ITENS_MTR'!$C$6:$C$1005,S494)&amp;"","")</f>
        <v/>
      </c>
      <c r="F494" s="98" t="n"/>
      <c r="G494" s="91" t="n"/>
      <c r="H494" s="93" t="str">
        <f>IF(N494=0,"",IF(NOT(ISNUMBER(F494)),"",IF(ISNUMBER(U494),F494*U494,"UNIDADE A CONFERIR")))</f>
        <v/>
      </c>
      <c r="I494" s="94" t="str">
        <f>IF(Q494=1,INDEX('CDFs'!$F$6:$F$505,P494)&amp;"","")</f>
        <v/>
      </c>
      <c r="J494" s="91" t="n"/>
      <c r="K494" s="91" t="n"/>
      <c r="L494" s="94" t="str">
        <f>IF(N494=0,"",IF(NOT(ISNUMBER(F494)),"Quantidade não informada",IF(F494&lt;=0,"Quantidade não positiva",IF(G494="","Unidade não informada",IF(NOT(ISNUMBER(H494)),"Unidade a conferir",IF(AC494=1,"REVISAR VÍNCULO: soma vinculada maior que a referência do item","OK"))))))</f>
        <v/>
      </c>
      <c r="M494" s="94" t="str">
        <f>IF(N494=0,"",IF(B494="","CDF não informado",IF(Q494=0,"REVISAR VÍNCULO: CDF inexistente",IF(C494="","Item não informado",IF(T494=0,"REVISAR VÍNCULO: item inexistente",IF(AND(X494=1,J494&lt;&gt;"Sim"),"REVISAR VÍNCULO: destinador diferente do MTR",IF(X494=1,"Destinador diferente do MTR (analisado)","OK")))))))</f>
        <v/>
      </c>
      <c r="N494" s="96">
        <f>IF(COUNTA(B494:C494,F494:G494,J494:K494)&gt;0,1,0)</f>
        <v>0</v>
      </c>
      <c r="O494" s="96" t="str">
        <f>IF(B494="","",TRIM(LEFT(B494,FIND(" |",B494&amp;" |")-1)))</f>
        <v/>
      </c>
      <c r="P494" s="96" t="str">
        <f>IF(O494="","",IFERROR(MATCH(O494,'CDFs'!$A$6:$A$505,0),""))</f>
        <v/>
      </c>
      <c r="Q494" s="96">
        <f>IF(P494="",0,IF(INDEX('CDFs'!$S$6:$S$505,P494)=1,1,0))</f>
        <v>0</v>
      </c>
      <c r="R494" s="96" t="str">
        <f>IF(C494="","",TRIM(LEFT(C494,FIND(" |",C494&amp;" |")-1)))</f>
        <v/>
      </c>
      <c r="S494" s="96" t="str">
        <f>IF(R494="","",IFERROR(MATCH(R494,'ITENS_MTR'!$A$6:$A$1005,0),""))</f>
        <v/>
      </c>
      <c r="T494" s="96">
        <f>IF(S494="",0,IF(INDEX('ITENS_MTR'!$R$6:$R$1005,S494)=1,1,0))</f>
        <v>0</v>
      </c>
      <c r="U494" s="96" t="str">
        <f>IF(G494="","",IFERROR(IF(ISNUMBER(INDEX(cfg_fac,MATCH(G494,cfg_units,0))),IF(INDEX(cfg_fac,MATCH(G494,cfg_units,0))&gt;0,INDEX(cfg_fac,MATCH(G494,cfg_units,0)),""),""),""))</f>
        <v/>
      </c>
      <c r="V494" s="96">
        <f>IF(AND(ISNUMBER(F494),ISNUMBER(H494)),IF(H494&gt;0,1,0),0)</f>
        <v>0</v>
      </c>
      <c r="W494" s="96" t="str">
        <f>IF(T494=1,INDEX('ITENS_MTR'!$AU$6:$AU$1005,S494)&amp;"","")</f>
        <v/>
      </c>
      <c r="X494" s="96">
        <f>IF(AND(Q494=1,T494=1,I494&lt;&gt;"",W494&lt;&gt;""),IF(I494&lt;&gt;W494,1,0),0)</f>
        <v>0</v>
      </c>
      <c r="Y494" s="96">
        <f>IF(N494=0,0,IF(OR(Q494=0,T494=0,V494=0,AND(X494=1,J494&lt;&gt;"Sim")),1,0))</f>
        <v>0</v>
      </c>
      <c r="Z494" s="96">
        <f>IF(Q494=1,INDEX('CDFs'!$W$6:$W$505,P494),0)</f>
        <v>0</v>
      </c>
      <c r="AA494" s="96">
        <f>IF(AND(N494=1,Y494=0,Z494=1,J494="Sim"),1,0)</f>
        <v>0</v>
      </c>
      <c r="AB494" s="96">
        <f>IF(AND(N494=1,O494&lt;&gt;"",D494&lt;&gt;""),IF(COUNTIFS($O$6:O494,O494,$D$6:D494,D494)=1,1,0),0)</f>
        <v>0</v>
      </c>
      <c r="AC494" s="96">
        <f>IF(T494=1,INDEX('ITENS_MTR'!$AL$6:$AL$1005,S494),0)</f>
        <v>0</v>
      </c>
    </row>
    <row r="495">
      <c r="A495" s="89" t="inlineStr">
        <is>
          <t>VIN-000490</t>
        </is>
      </c>
      <c r="B495" s="91" t="n"/>
      <c r="C495" s="91" t="n"/>
      <c r="D495" s="94" t="str">
        <f>IF(T495=1,INDEX('ITENS_MTR'!$S$6:$S$1005,S495)&amp;"","")</f>
        <v/>
      </c>
      <c r="E495" s="94" t="str">
        <f>IF(T495=1,INDEX('ITENS_MTR'!$C$6:$C$1005,S495)&amp;"","")</f>
        <v/>
      </c>
      <c r="F495" s="98" t="n"/>
      <c r="G495" s="91" t="n"/>
      <c r="H495" s="93" t="str">
        <f>IF(N495=0,"",IF(NOT(ISNUMBER(F495)),"",IF(ISNUMBER(U495),F495*U495,"UNIDADE A CONFERIR")))</f>
        <v/>
      </c>
      <c r="I495" s="94" t="str">
        <f>IF(Q495=1,INDEX('CDFs'!$F$6:$F$505,P495)&amp;"","")</f>
        <v/>
      </c>
      <c r="J495" s="91" t="n"/>
      <c r="K495" s="91" t="n"/>
      <c r="L495" s="94" t="str">
        <f>IF(N495=0,"",IF(NOT(ISNUMBER(F495)),"Quantidade não informada",IF(F495&lt;=0,"Quantidade não positiva",IF(G495="","Unidade não informada",IF(NOT(ISNUMBER(H495)),"Unidade a conferir",IF(AC495=1,"REVISAR VÍNCULO: soma vinculada maior que a referência do item","OK"))))))</f>
        <v/>
      </c>
      <c r="M495" s="94" t="str">
        <f>IF(N495=0,"",IF(B495="","CDF não informado",IF(Q495=0,"REVISAR VÍNCULO: CDF inexistente",IF(C495="","Item não informado",IF(T495=0,"REVISAR VÍNCULO: item inexistente",IF(AND(X495=1,J495&lt;&gt;"Sim"),"REVISAR VÍNCULO: destinador diferente do MTR",IF(X495=1,"Destinador diferente do MTR (analisado)","OK")))))))</f>
        <v/>
      </c>
      <c r="N495" s="96">
        <f>IF(COUNTA(B495:C495,F495:G495,J495:K495)&gt;0,1,0)</f>
        <v>0</v>
      </c>
      <c r="O495" s="96" t="str">
        <f>IF(B495="","",TRIM(LEFT(B495,FIND(" |",B495&amp;" |")-1)))</f>
        <v/>
      </c>
      <c r="P495" s="96" t="str">
        <f>IF(O495="","",IFERROR(MATCH(O495,'CDFs'!$A$6:$A$505,0),""))</f>
        <v/>
      </c>
      <c r="Q495" s="96">
        <f>IF(P495="",0,IF(INDEX('CDFs'!$S$6:$S$505,P495)=1,1,0))</f>
        <v>0</v>
      </c>
      <c r="R495" s="96" t="str">
        <f>IF(C495="","",TRIM(LEFT(C495,FIND(" |",C495&amp;" |")-1)))</f>
        <v/>
      </c>
      <c r="S495" s="96" t="str">
        <f>IF(R495="","",IFERROR(MATCH(R495,'ITENS_MTR'!$A$6:$A$1005,0),""))</f>
        <v/>
      </c>
      <c r="T495" s="96">
        <f>IF(S495="",0,IF(INDEX('ITENS_MTR'!$R$6:$R$1005,S495)=1,1,0))</f>
        <v>0</v>
      </c>
      <c r="U495" s="96" t="str">
        <f>IF(G495="","",IFERROR(IF(ISNUMBER(INDEX(cfg_fac,MATCH(G495,cfg_units,0))),IF(INDEX(cfg_fac,MATCH(G495,cfg_units,0))&gt;0,INDEX(cfg_fac,MATCH(G495,cfg_units,0)),""),""),""))</f>
        <v/>
      </c>
      <c r="V495" s="96">
        <f>IF(AND(ISNUMBER(F495),ISNUMBER(H495)),IF(H495&gt;0,1,0),0)</f>
        <v>0</v>
      </c>
      <c r="W495" s="96" t="str">
        <f>IF(T495=1,INDEX('ITENS_MTR'!$AU$6:$AU$1005,S495)&amp;"","")</f>
        <v/>
      </c>
      <c r="X495" s="96">
        <f>IF(AND(Q495=1,T495=1,I495&lt;&gt;"",W495&lt;&gt;""),IF(I495&lt;&gt;W495,1,0),0)</f>
        <v>0</v>
      </c>
      <c r="Y495" s="96">
        <f>IF(N495=0,0,IF(OR(Q495=0,T495=0,V495=0,AND(X495=1,J495&lt;&gt;"Sim")),1,0))</f>
        <v>0</v>
      </c>
      <c r="Z495" s="96">
        <f>IF(Q495=1,INDEX('CDFs'!$W$6:$W$505,P495),0)</f>
        <v>0</v>
      </c>
      <c r="AA495" s="96">
        <f>IF(AND(N495=1,Y495=0,Z495=1,J495="Sim"),1,0)</f>
        <v>0</v>
      </c>
      <c r="AB495" s="96">
        <f>IF(AND(N495=1,O495&lt;&gt;"",D495&lt;&gt;""),IF(COUNTIFS($O$6:O495,O495,$D$6:D495,D495)=1,1,0),0)</f>
        <v>0</v>
      </c>
      <c r="AC495" s="96">
        <f>IF(T495=1,INDEX('ITENS_MTR'!$AL$6:$AL$1005,S495),0)</f>
        <v>0</v>
      </c>
    </row>
    <row r="496">
      <c r="A496" s="89" t="inlineStr">
        <is>
          <t>VIN-000491</t>
        </is>
      </c>
      <c r="B496" s="91" t="n"/>
      <c r="C496" s="91" t="n"/>
      <c r="D496" s="94" t="str">
        <f>IF(T496=1,INDEX('ITENS_MTR'!$S$6:$S$1005,S496)&amp;"","")</f>
        <v/>
      </c>
      <c r="E496" s="94" t="str">
        <f>IF(T496=1,INDEX('ITENS_MTR'!$C$6:$C$1005,S496)&amp;"","")</f>
        <v/>
      </c>
      <c r="F496" s="98" t="n"/>
      <c r="G496" s="91" t="n"/>
      <c r="H496" s="93" t="str">
        <f>IF(N496=0,"",IF(NOT(ISNUMBER(F496)),"",IF(ISNUMBER(U496),F496*U496,"UNIDADE A CONFERIR")))</f>
        <v/>
      </c>
      <c r="I496" s="94" t="str">
        <f>IF(Q496=1,INDEX('CDFs'!$F$6:$F$505,P496)&amp;"","")</f>
        <v/>
      </c>
      <c r="J496" s="91" t="n"/>
      <c r="K496" s="91" t="n"/>
      <c r="L496" s="94" t="str">
        <f>IF(N496=0,"",IF(NOT(ISNUMBER(F496)),"Quantidade não informada",IF(F496&lt;=0,"Quantidade não positiva",IF(G496="","Unidade não informada",IF(NOT(ISNUMBER(H496)),"Unidade a conferir",IF(AC496=1,"REVISAR VÍNCULO: soma vinculada maior que a referência do item","OK"))))))</f>
        <v/>
      </c>
      <c r="M496" s="94" t="str">
        <f>IF(N496=0,"",IF(B496="","CDF não informado",IF(Q496=0,"REVISAR VÍNCULO: CDF inexistente",IF(C496="","Item não informado",IF(T496=0,"REVISAR VÍNCULO: item inexistente",IF(AND(X496=1,J496&lt;&gt;"Sim"),"REVISAR VÍNCULO: destinador diferente do MTR",IF(X496=1,"Destinador diferente do MTR (analisado)","OK")))))))</f>
        <v/>
      </c>
      <c r="N496" s="96">
        <f>IF(COUNTA(B496:C496,F496:G496,J496:K496)&gt;0,1,0)</f>
        <v>0</v>
      </c>
      <c r="O496" s="96" t="str">
        <f>IF(B496="","",TRIM(LEFT(B496,FIND(" |",B496&amp;" |")-1)))</f>
        <v/>
      </c>
      <c r="P496" s="96" t="str">
        <f>IF(O496="","",IFERROR(MATCH(O496,'CDFs'!$A$6:$A$505,0),""))</f>
        <v/>
      </c>
      <c r="Q496" s="96">
        <f>IF(P496="",0,IF(INDEX('CDFs'!$S$6:$S$505,P496)=1,1,0))</f>
        <v>0</v>
      </c>
      <c r="R496" s="96" t="str">
        <f>IF(C496="","",TRIM(LEFT(C496,FIND(" |",C496&amp;" |")-1)))</f>
        <v/>
      </c>
      <c r="S496" s="96" t="str">
        <f>IF(R496="","",IFERROR(MATCH(R496,'ITENS_MTR'!$A$6:$A$1005,0),""))</f>
        <v/>
      </c>
      <c r="T496" s="96">
        <f>IF(S496="",0,IF(INDEX('ITENS_MTR'!$R$6:$R$1005,S496)=1,1,0))</f>
        <v>0</v>
      </c>
      <c r="U496" s="96" t="str">
        <f>IF(G496="","",IFERROR(IF(ISNUMBER(INDEX(cfg_fac,MATCH(G496,cfg_units,0))),IF(INDEX(cfg_fac,MATCH(G496,cfg_units,0))&gt;0,INDEX(cfg_fac,MATCH(G496,cfg_units,0)),""),""),""))</f>
        <v/>
      </c>
      <c r="V496" s="96">
        <f>IF(AND(ISNUMBER(F496),ISNUMBER(H496)),IF(H496&gt;0,1,0),0)</f>
        <v>0</v>
      </c>
      <c r="W496" s="96" t="str">
        <f>IF(T496=1,INDEX('ITENS_MTR'!$AU$6:$AU$1005,S496)&amp;"","")</f>
        <v/>
      </c>
      <c r="X496" s="96">
        <f>IF(AND(Q496=1,T496=1,I496&lt;&gt;"",W496&lt;&gt;""),IF(I496&lt;&gt;W496,1,0),0)</f>
        <v>0</v>
      </c>
      <c r="Y496" s="96">
        <f>IF(N496=0,0,IF(OR(Q496=0,T496=0,V496=0,AND(X496=1,J496&lt;&gt;"Sim")),1,0))</f>
        <v>0</v>
      </c>
      <c r="Z496" s="96">
        <f>IF(Q496=1,INDEX('CDFs'!$W$6:$W$505,P496),0)</f>
        <v>0</v>
      </c>
      <c r="AA496" s="96">
        <f>IF(AND(N496=1,Y496=0,Z496=1,J496="Sim"),1,0)</f>
        <v>0</v>
      </c>
      <c r="AB496" s="96">
        <f>IF(AND(N496=1,O496&lt;&gt;"",D496&lt;&gt;""),IF(COUNTIFS($O$6:O496,O496,$D$6:D496,D496)=1,1,0),0)</f>
        <v>0</v>
      </c>
      <c r="AC496" s="96">
        <f>IF(T496=1,INDEX('ITENS_MTR'!$AL$6:$AL$1005,S496),0)</f>
        <v>0</v>
      </c>
    </row>
    <row r="497">
      <c r="A497" s="89" t="inlineStr">
        <is>
          <t>VIN-000492</t>
        </is>
      </c>
      <c r="B497" s="91" t="n"/>
      <c r="C497" s="91" t="n"/>
      <c r="D497" s="94" t="str">
        <f>IF(T497=1,INDEX('ITENS_MTR'!$S$6:$S$1005,S497)&amp;"","")</f>
        <v/>
      </c>
      <c r="E497" s="94" t="str">
        <f>IF(T497=1,INDEX('ITENS_MTR'!$C$6:$C$1005,S497)&amp;"","")</f>
        <v/>
      </c>
      <c r="F497" s="98" t="n"/>
      <c r="G497" s="91" t="n"/>
      <c r="H497" s="93" t="str">
        <f>IF(N497=0,"",IF(NOT(ISNUMBER(F497)),"",IF(ISNUMBER(U497),F497*U497,"UNIDADE A CONFERIR")))</f>
        <v/>
      </c>
      <c r="I497" s="94" t="str">
        <f>IF(Q497=1,INDEX('CDFs'!$F$6:$F$505,P497)&amp;"","")</f>
        <v/>
      </c>
      <c r="J497" s="91" t="n"/>
      <c r="K497" s="91" t="n"/>
      <c r="L497" s="94" t="str">
        <f>IF(N497=0,"",IF(NOT(ISNUMBER(F497)),"Quantidade não informada",IF(F497&lt;=0,"Quantidade não positiva",IF(G497="","Unidade não informada",IF(NOT(ISNUMBER(H497)),"Unidade a conferir",IF(AC497=1,"REVISAR VÍNCULO: soma vinculada maior que a referência do item","OK"))))))</f>
        <v/>
      </c>
      <c r="M497" s="94" t="str">
        <f>IF(N497=0,"",IF(B497="","CDF não informado",IF(Q497=0,"REVISAR VÍNCULO: CDF inexistente",IF(C497="","Item não informado",IF(T497=0,"REVISAR VÍNCULO: item inexistente",IF(AND(X497=1,J497&lt;&gt;"Sim"),"REVISAR VÍNCULO: destinador diferente do MTR",IF(X497=1,"Destinador diferente do MTR (analisado)","OK")))))))</f>
        <v/>
      </c>
      <c r="N497" s="96">
        <f>IF(COUNTA(B497:C497,F497:G497,J497:K497)&gt;0,1,0)</f>
        <v>0</v>
      </c>
      <c r="O497" s="96" t="str">
        <f>IF(B497="","",TRIM(LEFT(B497,FIND(" |",B497&amp;" |")-1)))</f>
        <v/>
      </c>
      <c r="P497" s="96" t="str">
        <f>IF(O497="","",IFERROR(MATCH(O497,'CDFs'!$A$6:$A$505,0),""))</f>
        <v/>
      </c>
      <c r="Q497" s="96">
        <f>IF(P497="",0,IF(INDEX('CDFs'!$S$6:$S$505,P497)=1,1,0))</f>
        <v>0</v>
      </c>
      <c r="R497" s="96" t="str">
        <f>IF(C497="","",TRIM(LEFT(C497,FIND(" |",C497&amp;" |")-1)))</f>
        <v/>
      </c>
      <c r="S497" s="96" t="str">
        <f>IF(R497="","",IFERROR(MATCH(R497,'ITENS_MTR'!$A$6:$A$1005,0),""))</f>
        <v/>
      </c>
      <c r="T497" s="96">
        <f>IF(S497="",0,IF(INDEX('ITENS_MTR'!$R$6:$R$1005,S497)=1,1,0))</f>
        <v>0</v>
      </c>
      <c r="U497" s="96" t="str">
        <f>IF(G497="","",IFERROR(IF(ISNUMBER(INDEX(cfg_fac,MATCH(G497,cfg_units,0))),IF(INDEX(cfg_fac,MATCH(G497,cfg_units,0))&gt;0,INDEX(cfg_fac,MATCH(G497,cfg_units,0)),""),""),""))</f>
        <v/>
      </c>
      <c r="V497" s="96">
        <f>IF(AND(ISNUMBER(F497),ISNUMBER(H497)),IF(H497&gt;0,1,0),0)</f>
        <v>0</v>
      </c>
      <c r="W497" s="96" t="str">
        <f>IF(T497=1,INDEX('ITENS_MTR'!$AU$6:$AU$1005,S497)&amp;"","")</f>
        <v/>
      </c>
      <c r="X497" s="96">
        <f>IF(AND(Q497=1,T497=1,I497&lt;&gt;"",W497&lt;&gt;""),IF(I497&lt;&gt;W497,1,0),0)</f>
        <v>0</v>
      </c>
      <c r="Y497" s="96">
        <f>IF(N497=0,0,IF(OR(Q497=0,T497=0,V497=0,AND(X497=1,J497&lt;&gt;"Sim")),1,0))</f>
        <v>0</v>
      </c>
      <c r="Z497" s="96">
        <f>IF(Q497=1,INDEX('CDFs'!$W$6:$W$505,P497),0)</f>
        <v>0</v>
      </c>
      <c r="AA497" s="96">
        <f>IF(AND(N497=1,Y497=0,Z497=1,J497="Sim"),1,0)</f>
        <v>0</v>
      </c>
      <c r="AB497" s="96">
        <f>IF(AND(N497=1,O497&lt;&gt;"",D497&lt;&gt;""),IF(COUNTIFS($O$6:O497,O497,$D$6:D497,D497)=1,1,0),0)</f>
        <v>0</v>
      </c>
      <c r="AC497" s="96">
        <f>IF(T497=1,INDEX('ITENS_MTR'!$AL$6:$AL$1005,S497),0)</f>
        <v>0</v>
      </c>
    </row>
    <row r="498">
      <c r="A498" s="89" t="inlineStr">
        <is>
          <t>VIN-000493</t>
        </is>
      </c>
      <c r="B498" s="91" t="n"/>
      <c r="C498" s="91" t="n"/>
      <c r="D498" s="94" t="str">
        <f>IF(T498=1,INDEX('ITENS_MTR'!$S$6:$S$1005,S498)&amp;"","")</f>
        <v/>
      </c>
      <c r="E498" s="94" t="str">
        <f>IF(T498=1,INDEX('ITENS_MTR'!$C$6:$C$1005,S498)&amp;"","")</f>
        <v/>
      </c>
      <c r="F498" s="98" t="n"/>
      <c r="G498" s="91" t="n"/>
      <c r="H498" s="93" t="str">
        <f>IF(N498=0,"",IF(NOT(ISNUMBER(F498)),"",IF(ISNUMBER(U498),F498*U498,"UNIDADE A CONFERIR")))</f>
        <v/>
      </c>
      <c r="I498" s="94" t="str">
        <f>IF(Q498=1,INDEX('CDFs'!$F$6:$F$505,P498)&amp;"","")</f>
        <v/>
      </c>
      <c r="J498" s="91" t="n"/>
      <c r="K498" s="91" t="n"/>
      <c r="L498" s="94" t="str">
        <f>IF(N498=0,"",IF(NOT(ISNUMBER(F498)),"Quantidade não informada",IF(F498&lt;=0,"Quantidade não positiva",IF(G498="","Unidade não informada",IF(NOT(ISNUMBER(H498)),"Unidade a conferir",IF(AC498=1,"REVISAR VÍNCULO: soma vinculada maior que a referência do item","OK"))))))</f>
        <v/>
      </c>
      <c r="M498" s="94" t="str">
        <f>IF(N498=0,"",IF(B498="","CDF não informado",IF(Q498=0,"REVISAR VÍNCULO: CDF inexistente",IF(C498="","Item não informado",IF(T498=0,"REVISAR VÍNCULO: item inexistente",IF(AND(X498=1,J498&lt;&gt;"Sim"),"REVISAR VÍNCULO: destinador diferente do MTR",IF(X498=1,"Destinador diferente do MTR (analisado)","OK")))))))</f>
        <v/>
      </c>
      <c r="N498" s="96">
        <f>IF(COUNTA(B498:C498,F498:G498,J498:K498)&gt;0,1,0)</f>
        <v>0</v>
      </c>
      <c r="O498" s="96" t="str">
        <f>IF(B498="","",TRIM(LEFT(B498,FIND(" |",B498&amp;" |")-1)))</f>
        <v/>
      </c>
      <c r="P498" s="96" t="str">
        <f>IF(O498="","",IFERROR(MATCH(O498,'CDFs'!$A$6:$A$505,0),""))</f>
        <v/>
      </c>
      <c r="Q498" s="96">
        <f>IF(P498="",0,IF(INDEX('CDFs'!$S$6:$S$505,P498)=1,1,0))</f>
        <v>0</v>
      </c>
      <c r="R498" s="96" t="str">
        <f>IF(C498="","",TRIM(LEFT(C498,FIND(" |",C498&amp;" |")-1)))</f>
        <v/>
      </c>
      <c r="S498" s="96" t="str">
        <f>IF(R498="","",IFERROR(MATCH(R498,'ITENS_MTR'!$A$6:$A$1005,0),""))</f>
        <v/>
      </c>
      <c r="T498" s="96">
        <f>IF(S498="",0,IF(INDEX('ITENS_MTR'!$R$6:$R$1005,S498)=1,1,0))</f>
        <v>0</v>
      </c>
      <c r="U498" s="96" t="str">
        <f>IF(G498="","",IFERROR(IF(ISNUMBER(INDEX(cfg_fac,MATCH(G498,cfg_units,0))),IF(INDEX(cfg_fac,MATCH(G498,cfg_units,0))&gt;0,INDEX(cfg_fac,MATCH(G498,cfg_units,0)),""),""),""))</f>
        <v/>
      </c>
      <c r="V498" s="96">
        <f>IF(AND(ISNUMBER(F498),ISNUMBER(H498)),IF(H498&gt;0,1,0),0)</f>
        <v>0</v>
      </c>
      <c r="W498" s="96" t="str">
        <f>IF(T498=1,INDEX('ITENS_MTR'!$AU$6:$AU$1005,S498)&amp;"","")</f>
        <v/>
      </c>
      <c r="X498" s="96">
        <f>IF(AND(Q498=1,T498=1,I498&lt;&gt;"",W498&lt;&gt;""),IF(I498&lt;&gt;W498,1,0),0)</f>
        <v>0</v>
      </c>
      <c r="Y498" s="96">
        <f>IF(N498=0,0,IF(OR(Q498=0,T498=0,V498=0,AND(X498=1,J498&lt;&gt;"Sim")),1,0))</f>
        <v>0</v>
      </c>
      <c r="Z498" s="96">
        <f>IF(Q498=1,INDEX('CDFs'!$W$6:$W$505,P498),0)</f>
        <v>0</v>
      </c>
      <c r="AA498" s="96">
        <f>IF(AND(N498=1,Y498=0,Z498=1,J498="Sim"),1,0)</f>
        <v>0</v>
      </c>
      <c r="AB498" s="96">
        <f>IF(AND(N498=1,O498&lt;&gt;"",D498&lt;&gt;""),IF(COUNTIFS($O$6:O498,O498,$D$6:D498,D498)=1,1,0),0)</f>
        <v>0</v>
      </c>
      <c r="AC498" s="96">
        <f>IF(T498=1,INDEX('ITENS_MTR'!$AL$6:$AL$1005,S498),0)</f>
        <v>0</v>
      </c>
    </row>
    <row r="499">
      <c r="A499" s="89" t="inlineStr">
        <is>
          <t>VIN-000494</t>
        </is>
      </c>
      <c r="B499" s="91" t="n"/>
      <c r="C499" s="91" t="n"/>
      <c r="D499" s="94" t="str">
        <f>IF(T499=1,INDEX('ITENS_MTR'!$S$6:$S$1005,S499)&amp;"","")</f>
        <v/>
      </c>
      <c r="E499" s="94" t="str">
        <f>IF(T499=1,INDEX('ITENS_MTR'!$C$6:$C$1005,S499)&amp;"","")</f>
        <v/>
      </c>
      <c r="F499" s="98" t="n"/>
      <c r="G499" s="91" t="n"/>
      <c r="H499" s="93" t="str">
        <f>IF(N499=0,"",IF(NOT(ISNUMBER(F499)),"",IF(ISNUMBER(U499),F499*U499,"UNIDADE A CONFERIR")))</f>
        <v/>
      </c>
      <c r="I499" s="94" t="str">
        <f>IF(Q499=1,INDEX('CDFs'!$F$6:$F$505,P499)&amp;"","")</f>
        <v/>
      </c>
      <c r="J499" s="91" t="n"/>
      <c r="K499" s="91" t="n"/>
      <c r="L499" s="94" t="str">
        <f>IF(N499=0,"",IF(NOT(ISNUMBER(F499)),"Quantidade não informada",IF(F499&lt;=0,"Quantidade não positiva",IF(G499="","Unidade não informada",IF(NOT(ISNUMBER(H499)),"Unidade a conferir",IF(AC499=1,"REVISAR VÍNCULO: soma vinculada maior que a referência do item","OK"))))))</f>
        <v/>
      </c>
      <c r="M499" s="94" t="str">
        <f>IF(N499=0,"",IF(B499="","CDF não informado",IF(Q499=0,"REVISAR VÍNCULO: CDF inexistente",IF(C499="","Item não informado",IF(T499=0,"REVISAR VÍNCULO: item inexistente",IF(AND(X499=1,J499&lt;&gt;"Sim"),"REVISAR VÍNCULO: destinador diferente do MTR",IF(X499=1,"Destinador diferente do MTR (analisado)","OK")))))))</f>
        <v/>
      </c>
      <c r="N499" s="96">
        <f>IF(COUNTA(B499:C499,F499:G499,J499:K499)&gt;0,1,0)</f>
        <v>0</v>
      </c>
      <c r="O499" s="96" t="str">
        <f>IF(B499="","",TRIM(LEFT(B499,FIND(" |",B499&amp;" |")-1)))</f>
        <v/>
      </c>
      <c r="P499" s="96" t="str">
        <f>IF(O499="","",IFERROR(MATCH(O499,'CDFs'!$A$6:$A$505,0),""))</f>
        <v/>
      </c>
      <c r="Q499" s="96">
        <f>IF(P499="",0,IF(INDEX('CDFs'!$S$6:$S$505,P499)=1,1,0))</f>
        <v>0</v>
      </c>
      <c r="R499" s="96" t="str">
        <f>IF(C499="","",TRIM(LEFT(C499,FIND(" |",C499&amp;" |")-1)))</f>
        <v/>
      </c>
      <c r="S499" s="96" t="str">
        <f>IF(R499="","",IFERROR(MATCH(R499,'ITENS_MTR'!$A$6:$A$1005,0),""))</f>
        <v/>
      </c>
      <c r="T499" s="96">
        <f>IF(S499="",0,IF(INDEX('ITENS_MTR'!$R$6:$R$1005,S499)=1,1,0))</f>
        <v>0</v>
      </c>
      <c r="U499" s="96" t="str">
        <f>IF(G499="","",IFERROR(IF(ISNUMBER(INDEX(cfg_fac,MATCH(G499,cfg_units,0))),IF(INDEX(cfg_fac,MATCH(G499,cfg_units,0))&gt;0,INDEX(cfg_fac,MATCH(G499,cfg_units,0)),""),""),""))</f>
        <v/>
      </c>
      <c r="V499" s="96">
        <f>IF(AND(ISNUMBER(F499),ISNUMBER(H499)),IF(H499&gt;0,1,0),0)</f>
        <v>0</v>
      </c>
      <c r="W499" s="96" t="str">
        <f>IF(T499=1,INDEX('ITENS_MTR'!$AU$6:$AU$1005,S499)&amp;"","")</f>
        <v/>
      </c>
      <c r="X499" s="96">
        <f>IF(AND(Q499=1,T499=1,I499&lt;&gt;"",W499&lt;&gt;""),IF(I499&lt;&gt;W499,1,0),0)</f>
        <v>0</v>
      </c>
      <c r="Y499" s="96">
        <f>IF(N499=0,0,IF(OR(Q499=0,T499=0,V499=0,AND(X499=1,J499&lt;&gt;"Sim")),1,0))</f>
        <v>0</v>
      </c>
      <c r="Z499" s="96">
        <f>IF(Q499=1,INDEX('CDFs'!$W$6:$W$505,P499),0)</f>
        <v>0</v>
      </c>
      <c r="AA499" s="96">
        <f>IF(AND(N499=1,Y499=0,Z499=1,J499="Sim"),1,0)</f>
        <v>0</v>
      </c>
      <c r="AB499" s="96">
        <f>IF(AND(N499=1,O499&lt;&gt;"",D499&lt;&gt;""),IF(COUNTIFS($O$6:O499,O499,$D$6:D499,D499)=1,1,0),0)</f>
        <v>0</v>
      </c>
      <c r="AC499" s="96">
        <f>IF(T499=1,INDEX('ITENS_MTR'!$AL$6:$AL$1005,S499),0)</f>
        <v>0</v>
      </c>
    </row>
    <row r="500">
      <c r="A500" s="89" t="inlineStr">
        <is>
          <t>VIN-000495</t>
        </is>
      </c>
      <c r="B500" s="91" t="n"/>
      <c r="C500" s="91" t="n"/>
      <c r="D500" s="94" t="str">
        <f>IF(T500=1,INDEX('ITENS_MTR'!$S$6:$S$1005,S500)&amp;"","")</f>
        <v/>
      </c>
      <c r="E500" s="94" t="str">
        <f>IF(T500=1,INDEX('ITENS_MTR'!$C$6:$C$1005,S500)&amp;"","")</f>
        <v/>
      </c>
      <c r="F500" s="98" t="n"/>
      <c r="G500" s="91" t="n"/>
      <c r="H500" s="93" t="str">
        <f>IF(N500=0,"",IF(NOT(ISNUMBER(F500)),"",IF(ISNUMBER(U500),F500*U500,"UNIDADE A CONFERIR")))</f>
        <v/>
      </c>
      <c r="I500" s="94" t="str">
        <f>IF(Q500=1,INDEX('CDFs'!$F$6:$F$505,P500)&amp;"","")</f>
        <v/>
      </c>
      <c r="J500" s="91" t="n"/>
      <c r="K500" s="91" t="n"/>
      <c r="L500" s="94" t="str">
        <f>IF(N500=0,"",IF(NOT(ISNUMBER(F500)),"Quantidade não informada",IF(F500&lt;=0,"Quantidade não positiva",IF(G500="","Unidade não informada",IF(NOT(ISNUMBER(H500)),"Unidade a conferir",IF(AC500=1,"REVISAR VÍNCULO: soma vinculada maior que a referência do item","OK"))))))</f>
        <v/>
      </c>
      <c r="M500" s="94" t="str">
        <f>IF(N500=0,"",IF(B500="","CDF não informado",IF(Q500=0,"REVISAR VÍNCULO: CDF inexistente",IF(C500="","Item não informado",IF(T500=0,"REVISAR VÍNCULO: item inexistente",IF(AND(X500=1,J500&lt;&gt;"Sim"),"REVISAR VÍNCULO: destinador diferente do MTR",IF(X500=1,"Destinador diferente do MTR (analisado)","OK")))))))</f>
        <v/>
      </c>
      <c r="N500" s="96">
        <f>IF(COUNTA(B500:C500,F500:G500,J500:K500)&gt;0,1,0)</f>
        <v>0</v>
      </c>
      <c r="O500" s="96" t="str">
        <f>IF(B500="","",TRIM(LEFT(B500,FIND(" |",B500&amp;" |")-1)))</f>
        <v/>
      </c>
      <c r="P500" s="96" t="str">
        <f>IF(O500="","",IFERROR(MATCH(O500,'CDFs'!$A$6:$A$505,0),""))</f>
        <v/>
      </c>
      <c r="Q500" s="96">
        <f>IF(P500="",0,IF(INDEX('CDFs'!$S$6:$S$505,P500)=1,1,0))</f>
        <v>0</v>
      </c>
      <c r="R500" s="96" t="str">
        <f>IF(C500="","",TRIM(LEFT(C500,FIND(" |",C500&amp;" |")-1)))</f>
        <v/>
      </c>
      <c r="S500" s="96" t="str">
        <f>IF(R500="","",IFERROR(MATCH(R500,'ITENS_MTR'!$A$6:$A$1005,0),""))</f>
        <v/>
      </c>
      <c r="T500" s="96">
        <f>IF(S500="",0,IF(INDEX('ITENS_MTR'!$R$6:$R$1005,S500)=1,1,0))</f>
        <v>0</v>
      </c>
      <c r="U500" s="96" t="str">
        <f>IF(G500="","",IFERROR(IF(ISNUMBER(INDEX(cfg_fac,MATCH(G500,cfg_units,0))),IF(INDEX(cfg_fac,MATCH(G500,cfg_units,0))&gt;0,INDEX(cfg_fac,MATCH(G500,cfg_units,0)),""),""),""))</f>
        <v/>
      </c>
      <c r="V500" s="96">
        <f>IF(AND(ISNUMBER(F500),ISNUMBER(H500)),IF(H500&gt;0,1,0),0)</f>
        <v>0</v>
      </c>
      <c r="W500" s="96" t="str">
        <f>IF(T500=1,INDEX('ITENS_MTR'!$AU$6:$AU$1005,S500)&amp;"","")</f>
        <v/>
      </c>
      <c r="X500" s="96">
        <f>IF(AND(Q500=1,T500=1,I500&lt;&gt;"",W500&lt;&gt;""),IF(I500&lt;&gt;W500,1,0),0)</f>
        <v>0</v>
      </c>
      <c r="Y500" s="96">
        <f>IF(N500=0,0,IF(OR(Q500=0,T500=0,V500=0,AND(X500=1,J500&lt;&gt;"Sim")),1,0))</f>
        <v>0</v>
      </c>
      <c r="Z500" s="96">
        <f>IF(Q500=1,INDEX('CDFs'!$W$6:$W$505,P500),0)</f>
        <v>0</v>
      </c>
      <c r="AA500" s="96">
        <f>IF(AND(N500=1,Y500=0,Z500=1,J500="Sim"),1,0)</f>
        <v>0</v>
      </c>
      <c r="AB500" s="96">
        <f>IF(AND(N500=1,O500&lt;&gt;"",D500&lt;&gt;""),IF(COUNTIFS($O$6:O500,O500,$D$6:D500,D500)=1,1,0),0)</f>
        <v>0</v>
      </c>
      <c r="AC500" s="96">
        <f>IF(T500=1,INDEX('ITENS_MTR'!$AL$6:$AL$1005,S500),0)</f>
        <v>0</v>
      </c>
    </row>
    <row r="501">
      <c r="A501" s="89" t="inlineStr">
        <is>
          <t>VIN-000496</t>
        </is>
      </c>
      <c r="B501" s="91" t="n"/>
      <c r="C501" s="91" t="n"/>
      <c r="D501" s="94" t="str">
        <f>IF(T501=1,INDEX('ITENS_MTR'!$S$6:$S$1005,S501)&amp;"","")</f>
        <v/>
      </c>
      <c r="E501" s="94" t="str">
        <f>IF(T501=1,INDEX('ITENS_MTR'!$C$6:$C$1005,S501)&amp;"","")</f>
        <v/>
      </c>
      <c r="F501" s="98" t="n"/>
      <c r="G501" s="91" t="n"/>
      <c r="H501" s="93" t="str">
        <f>IF(N501=0,"",IF(NOT(ISNUMBER(F501)),"",IF(ISNUMBER(U501),F501*U501,"UNIDADE A CONFERIR")))</f>
        <v/>
      </c>
      <c r="I501" s="94" t="str">
        <f>IF(Q501=1,INDEX('CDFs'!$F$6:$F$505,P501)&amp;"","")</f>
        <v/>
      </c>
      <c r="J501" s="91" t="n"/>
      <c r="K501" s="91" t="n"/>
      <c r="L501" s="94" t="str">
        <f>IF(N501=0,"",IF(NOT(ISNUMBER(F501)),"Quantidade não informada",IF(F501&lt;=0,"Quantidade não positiva",IF(G501="","Unidade não informada",IF(NOT(ISNUMBER(H501)),"Unidade a conferir",IF(AC501=1,"REVISAR VÍNCULO: soma vinculada maior que a referência do item","OK"))))))</f>
        <v/>
      </c>
      <c r="M501" s="94" t="str">
        <f>IF(N501=0,"",IF(B501="","CDF não informado",IF(Q501=0,"REVISAR VÍNCULO: CDF inexistente",IF(C501="","Item não informado",IF(T501=0,"REVISAR VÍNCULO: item inexistente",IF(AND(X501=1,J501&lt;&gt;"Sim"),"REVISAR VÍNCULO: destinador diferente do MTR",IF(X501=1,"Destinador diferente do MTR (analisado)","OK")))))))</f>
        <v/>
      </c>
      <c r="N501" s="96">
        <f>IF(COUNTA(B501:C501,F501:G501,J501:K501)&gt;0,1,0)</f>
        <v>0</v>
      </c>
      <c r="O501" s="96" t="str">
        <f>IF(B501="","",TRIM(LEFT(B501,FIND(" |",B501&amp;" |")-1)))</f>
        <v/>
      </c>
      <c r="P501" s="96" t="str">
        <f>IF(O501="","",IFERROR(MATCH(O501,'CDFs'!$A$6:$A$505,0),""))</f>
        <v/>
      </c>
      <c r="Q501" s="96">
        <f>IF(P501="",0,IF(INDEX('CDFs'!$S$6:$S$505,P501)=1,1,0))</f>
        <v>0</v>
      </c>
      <c r="R501" s="96" t="str">
        <f>IF(C501="","",TRIM(LEFT(C501,FIND(" |",C501&amp;" |")-1)))</f>
        <v/>
      </c>
      <c r="S501" s="96" t="str">
        <f>IF(R501="","",IFERROR(MATCH(R501,'ITENS_MTR'!$A$6:$A$1005,0),""))</f>
        <v/>
      </c>
      <c r="T501" s="96">
        <f>IF(S501="",0,IF(INDEX('ITENS_MTR'!$R$6:$R$1005,S501)=1,1,0))</f>
        <v>0</v>
      </c>
      <c r="U501" s="96" t="str">
        <f>IF(G501="","",IFERROR(IF(ISNUMBER(INDEX(cfg_fac,MATCH(G501,cfg_units,0))),IF(INDEX(cfg_fac,MATCH(G501,cfg_units,0))&gt;0,INDEX(cfg_fac,MATCH(G501,cfg_units,0)),""),""),""))</f>
        <v/>
      </c>
      <c r="V501" s="96">
        <f>IF(AND(ISNUMBER(F501),ISNUMBER(H501)),IF(H501&gt;0,1,0),0)</f>
        <v>0</v>
      </c>
      <c r="W501" s="96" t="str">
        <f>IF(T501=1,INDEX('ITENS_MTR'!$AU$6:$AU$1005,S501)&amp;"","")</f>
        <v/>
      </c>
      <c r="X501" s="96">
        <f>IF(AND(Q501=1,T501=1,I501&lt;&gt;"",W501&lt;&gt;""),IF(I501&lt;&gt;W501,1,0),0)</f>
        <v>0</v>
      </c>
      <c r="Y501" s="96">
        <f>IF(N501=0,0,IF(OR(Q501=0,T501=0,V501=0,AND(X501=1,J501&lt;&gt;"Sim")),1,0))</f>
        <v>0</v>
      </c>
      <c r="Z501" s="96">
        <f>IF(Q501=1,INDEX('CDFs'!$W$6:$W$505,P501),0)</f>
        <v>0</v>
      </c>
      <c r="AA501" s="96">
        <f>IF(AND(N501=1,Y501=0,Z501=1,J501="Sim"),1,0)</f>
        <v>0</v>
      </c>
      <c r="AB501" s="96">
        <f>IF(AND(N501=1,O501&lt;&gt;"",D501&lt;&gt;""),IF(COUNTIFS($O$6:O501,O501,$D$6:D501,D501)=1,1,0),0)</f>
        <v>0</v>
      </c>
      <c r="AC501" s="96">
        <f>IF(T501=1,INDEX('ITENS_MTR'!$AL$6:$AL$1005,S501),0)</f>
        <v>0</v>
      </c>
    </row>
    <row r="502">
      <c r="A502" s="89" t="inlineStr">
        <is>
          <t>VIN-000497</t>
        </is>
      </c>
      <c r="B502" s="91" t="n"/>
      <c r="C502" s="91" t="n"/>
      <c r="D502" s="94" t="str">
        <f>IF(T502=1,INDEX('ITENS_MTR'!$S$6:$S$1005,S502)&amp;"","")</f>
        <v/>
      </c>
      <c r="E502" s="94" t="str">
        <f>IF(T502=1,INDEX('ITENS_MTR'!$C$6:$C$1005,S502)&amp;"","")</f>
        <v/>
      </c>
      <c r="F502" s="98" t="n"/>
      <c r="G502" s="91" t="n"/>
      <c r="H502" s="93" t="str">
        <f>IF(N502=0,"",IF(NOT(ISNUMBER(F502)),"",IF(ISNUMBER(U502),F502*U502,"UNIDADE A CONFERIR")))</f>
        <v/>
      </c>
      <c r="I502" s="94" t="str">
        <f>IF(Q502=1,INDEX('CDFs'!$F$6:$F$505,P502)&amp;"","")</f>
        <v/>
      </c>
      <c r="J502" s="91" t="n"/>
      <c r="K502" s="91" t="n"/>
      <c r="L502" s="94" t="str">
        <f>IF(N502=0,"",IF(NOT(ISNUMBER(F502)),"Quantidade não informada",IF(F502&lt;=0,"Quantidade não positiva",IF(G502="","Unidade não informada",IF(NOT(ISNUMBER(H502)),"Unidade a conferir",IF(AC502=1,"REVISAR VÍNCULO: soma vinculada maior que a referência do item","OK"))))))</f>
        <v/>
      </c>
      <c r="M502" s="94" t="str">
        <f>IF(N502=0,"",IF(B502="","CDF não informado",IF(Q502=0,"REVISAR VÍNCULO: CDF inexistente",IF(C502="","Item não informado",IF(T502=0,"REVISAR VÍNCULO: item inexistente",IF(AND(X502=1,J502&lt;&gt;"Sim"),"REVISAR VÍNCULO: destinador diferente do MTR",IF(X502=1,"Destinador diferente do MTR (analisado)","OK")))))))</f>
        <v/>
      </c>
      <c r="N502" s="96">
        <f>IF(COUNTA(B502:C502,F502:G502,J502:K502)&gt;0,1,0)</f>
        <v>0</v>
      </c>
      <c r="O502" s="96" t="str">
        <f>IF(B502="","",TRIM(LEFT(B502,FIND(" |",B502&amp;" |")-1)))</f>
        <v/>
      </c>
      <c r="P502" s="96" t="str">
        <f>IF(O502="","",IFERROR(MATCH(O502,'CDFs'!$A$6:$A$505,0),""))</f>
        <v/>
      </c>
      <c r="Q502" s="96">
        <f>IF(P502="",0,IF(INDEX('CDFs'!$S$6:$S$505,P502)=1,1,0))</f>
        <v>0</v>
      </c>
      <c r="R502" s="96" t="str">
        <f>IF(C502="","",TRIM(LEFT(C502,FIND(" |",C502&amp;" |")-1)))</f>
        <v/>
      </c>
      <c r="S502" s="96" t="str">
        <f>IF(R502="","",IFERROR(MATCH(R502,'ITENS_MTR'!$A$6:$A$1005,0),""))</f>
        <v/>
      </c>
      <c r="T502" s="96">
        <f>IF(S502="",0,IF(INDEX('ITENS_MTR'!$R$6:$R$1005,S502)=1,1,0))</f>
        <v>0</v>
      </c>
      <c r="U502" s="96" t="str">
        <f>IF(G502="","",IFERROR(IF(ISNUMBER(INDEX(cfg_fac,MATCH(G502,cfg_units,0))),IF(INDEX(cfg_fac,MATCH(G502,cfg_units,0))&gt;0,INDEX(cfg_fac,MATCH(G502,cfg_units,0)),""),""),""))</f>
        <v/>
      </c>
      <c r="V502" s="96">
        <f>IF(AND(ISNUMBER(F502),ISNUMBER(H502)),IF(H502&gt;0,1,0),0)</f>
        <v>0</v>
      </c>
      <c r="W502" s="96" t="str">
        <f>IF(T502=1,INDEX('ITENS_MTR'!$AU$6:$AU$1005,S502)&amp;"","")</f>
        <v/>
      </c>
      <c r="X502" s="96">
        <f>IF(AND(Q502=1,T502=1,I502&lt;&gt;"",W502&lt;&gt;""),IF(I502&lt;&gt;W502,1,0),0)</f>
        <v>0</v>
      </c>
      <c r="Y502" s="96">
        <f>IF(N502=0,0,IF(OR(Q502=0,T502=0,V502=0,AND(X502=1,J502&lt;&gt;"Sim")),1,0))</f>
        <v>0</v>
      </c>
      <c r="Z502" s="96">
        <f>IF(Q502=1,INDEX('CDFs'!$W$6:$W$505,P502),0)</f>
        <v>0</v>
      </c>
      <c r="AA502" s="96">
        <f>IF(AND(N502=1,Y502=0,Z502=1,J502="Sim"),1,0)</f>
        <v>0</v>
      </c>
      <c r="AB502" s="96">
        <f>IF(AND(N502=1,O502&lt;&gt;"",D502&lt;&gt;""),IF(COUNTIFS($O$6:O502,O502,$D$6:D502,D502)=1,1,0),0)</f>
        <v>0</v>
      </c>
      <c r="AC502" s="96">
        <f>IF(T502=1,INDEX('ITENS_MTR'!$AL$6:$AL$1005,S502),0)</f>
        <v>0</v>
      </c>
    </row>
    <row r="503">
      <c r="A503" s="89" t="inlineStr">
        <is>
          <t>VIN-000498</t>
        </is>
      </c>
      <c r="B503" s="91" t="n"/>
      <c r="C503" s="91" t="n"/>
      <c r="D503" s="94" t="str">
        <f>IF(T503=1,INDEX('ITENS_MTR'!$S$6:$S$1005,S503)&amp;"","")</f>
        <v/>
      </c>
      <c r="E503" s="94" t="str">
        <f>IF(T503=1,INDEX('ITENS_MTR'!$C$6:$C$1005,S503)&amp;"","")</f>
        <v/>
      </c>
      <c r="F503" s="98" t="n"/>
      <c r="G503" s="91" t="n"/>
      <c r="H503" s="93" t="str">
        <f>IF(N503=0,"",IF(NOT(ISNUMBER(F503)),"",IF(ISNUMBER(U503),F503*U503,"UNIDADE A CONFERIR")))</f>
        <v/>
      </c>
      <c r="I503" s="94" t="str">
        <f>IF(Q503=1,INDEX('CDFs'!$F$6:$F$505,P503)&amp;"","")</f>
        <v/>
      </c>
      <c r="J503" s="91" t="n"/>
      <c r="K503" s="91" t="n"/>
      <c r="L503" s="94" t="str">
        <f>IF(N503=0,"",IF(NOT(ISNUMBER(F503)),"Quantidade não informada",IF(F503&lt;=0,"Quantidade não positiva",IF(G503="","Unidade não informada",IF(NOT(ISNUMBER(H503)),"Unidade a conferir",IF(AC503=1,"REVISAR VÍNCULO: soma vinculada maior que a referência do item","OK"))))))</f>
        <v/>
      </c>
      <c r="M503" s="94" t="str">
        <f>IF(N503=0,"",IF(B503="","CDF não informado",IF(Q503=0,"REVISAR VÍNCULO: CDF inexistente",IF(C503="","Item não informado",IF(T503=0,"REVISAR VÍNCULO: item inexistente",IF(AND(X503=1,J503&lt;&gt;"Sim"),"REVISAR VÍNCULO: destinador diferente do MTR",IF(X503=1,"Destinador diferente do MTR (analisado)","OK")))))))</f>
        <v/>
      </c>
      <c r="N503" s="96">
        <f>IF(COUNTA(B503:C503,F503:G503,J503:K503)&gt;0,1,0)</f>
        <v>0</v>
      </c>
      <c r="O503" s="96" t="str">
        <f>IF(B503="","",TRIM(LEFT(B503,FIND(" |",B503&amp;" |")-1)))</f>
        <v/>
      </c>
      <c r="P503" s="96" t="str">
        <f>IF(O503="","",IFERROR(MATCH(O503,'CDFs'!$A$6:$A$505,0),""))</f>
        <v/>
      </c>
      <c r="Q503" s="96">
        <f>IF(P503="",0,IF(INDEX('CDFs'!$S$6:$S$505,P503)=1,1,0))</f>
        <v>0</v>
      </c>
      <c r="R503" s="96" t="str">
        <f>IF(C503="","",TRIM(LEFT(C503,FIND(" |",C503&amp;" |")-1)))</f>
        <v/>
      </c>
      <c r="S503" s="96" t="str">
        <f>IF(R503="","",IFERROR(MATCH(R503,'ITENS_MTR'!$A$6:$A$1005,0),""))</f>
        <v/>
      </c>
      <c r="T503" s="96">
        <f>IF(S503="",0,IF(INDEX('ITENS_MTR'!$R$6:$R$1005,S503)=1,1,0))</f>
        <v>0</v>
      </c>
      <c r="U503" s="96" t="str">
        <f>IF(G503="","",IFERROR(IF(ISNUMBER(INDEX(cfg_fac,MATCH(G503,cfg_units,0))),IF(INDEX(cfg_fac,MATCH(G503,cfg_units,0))&gt;0,INDEX(cfg_fac,MATCH(G503,cfg_units,0)),""),""),""))</f>
        <v/>
      </c>
      <c r="V503" s="96">
        <f>IF(AND(ISNUMBER(F503),ISNUMBER(H503)),IF(H503&gt;0,1,0),0)</f>
        <v>0</v>
      </c>
      <c r="W503" s="96" t="str">
        <f>IF(T503=1,INDEX('ITENS_MTR'!$AU$6:$AU$1005,S503)&amp;"","")</f>
        <v/>
      </c>
      <c r="X503" s="96">
        <f>IF(AND(Q503=1,T503=1,I503&lt;&gt;"",W503&lt;&gt;""),IF(I503&lt;&gt;W503,1,0),0)</f>
        <v>0</v>
      </c>
      <c r="Y503" s="96">
        <f>IF(N503=0,0,IF(OR(Q503=0,T503=0,V503=0,AND(X503=1,J503&lt;&gt;"Sim")),1,0))</f>
        <v>0</v>
      </c>
      <c r="Z503" s="96">
        <f>IF(Q503=1,INDEX('CDFs'!$W$6:$W$505,P503),0)</f>
        <v>0</v>
      </c>
      <c r="AA503" s="96">
        <f>IF(AND(N503=1,Y503=0,Z503=1,J503="Sim"),1,0)</f>
        <v>0</v>
      </c>
      <c r="AB503" s="96">
        <f>IF(AND(N503=1,O503&lt;&gt;"",D503&lt;&gt;""),IF(COUNTIFS($O$6:O503,O503,$D$6:D503,D503)=1,1,0),0)</f>
        <v>0</v>
      </c>
      <c r="AC503" s="96">
        <f>IF(T503=1,INDEX('ITENS_MTR'!$AL$6:$AL$1005,S503),0)</f>
        <v>0</v>
      </c>
    </row>
    <row r="504">
      <c r="A504" s="89" t="inlineStr">
        <is>
          <t>VIN-000499</t>
        </is>
      </c>
      <c r="B504" s="91" t="n"/>
      <c r="C504" s="91" t="n"/>
      <c r="D504" s="94" t="str">
        <f>IF(T504=1,INDEX('ITENS_MTR'!$S$6:$S$1005,S504)&amp;"","")</f>
        <v/>
      </c>
      <c r="E504" s="94" t="str">
        <f>IF(T504=1,INDEX('ITENS_MTR'!$C$6:$C$1005,S504)&amp;"","")</f>
        <v/>
      </c>
      <c r="F504" s="98" t="n"/>
      <c r="G504" s="91" t="n"/>
      <c r="H504" s="93" t="str">
        <f>IF(N504=0,"",IF(NOT(ISNUMBER(F504)),"",IF(ISNUMBER(U504),F504*U504,"UNIDADE A CONFERIR")))</f>
        <v/>
      </c>
      <c r="I504" s="94" t="str">
        <f>IF(Q504=1,INDEX('CDFs'!$F$6:$F$505,P504)&amp;"","")</f>
        <v/>
      </c>
      <c r="J504" s="91" t="n"/>
      <c r="K504" s="91" t="n"/>
      <c r="L504" s="94" t="str">
        <f>IF(N504=0,"",IF(NOT(ISNUMBER(F504)),"Quantidade não informada",IF(F504&lt;=0,"Quantidade não positiva",IF(G504="","Unidade não informada",IF(NOT(ISNUMBER(H504)),"Unidade a conferir",IF(AC504=1,"REVISAR VÍNCULO: soma vinculada maior que a referência do item","OK"))))))</f>
        <v/>
      </c>
      <c r="M504" s="94" t="str">
        <f>IF(N504=0,"",IF(B504="","CDF não informado",IF(Q504=0,"REVISAR VÍNCULO: CDF inexistente",IF(C504="","Item não informado",IF(T504=0,"REVISAR VÍNCULO: item inexistente",IF(AND(X504=1,J504&lt;&gt;"Sim"),"REVISAR VÍNCULO: destinador diferente do MTR",IF(X504=1,"Destinador diferente do MTR (analisado)","OK")))))))</f>
        <v/>
      </c>
      <c r="N504" s="96">
        <f>IF(COUNTA(B504:C504,F504:G504,J504:K504)&gt;0,1,0)</f>
        <v>0</v>
      </c>
      <c r="O504" s="96" t="str">
        <f>IF(B504="","",TRIM(LEFT(B504,FIND(" |",B504&amp;" |")-1)))</f>
        <v/>
      </c>
      <c r="P504" s="96" t="str">
        <f>IF(O504="","",IFERROR(MATCH(O504,'CDFs'!$A$6:$A$505,0),""))</f>
        <v/>
      </c>
      <c r="Q504" s="96">
        <f>IF(P504="",0,IF(INDEX('CDFs'!$S$6:$S$505,P504)=1,1,0))</f>
        <v>0</v>
      </c>
      <c r="R504" s="96" t="str">
        <f>IF(C504="","",TRIM(LEFT(C504,FIND(" |",C504&amp;" |")-1)))</f>
        <v/>
      </c>
      <c r="S504" s="96" t="str">
        <f>IF(R504="","",IFERROR(MATCH(R504,'ITENS_MTR'!$A$6:$A$1005,0),""))</f>
        <v/>
      </c>
      <c r="T504" s="96">
        <f>IF(S504="",0,IF(INDEX('ITENS_MTR'!$R$6:$R$1005,S504)=1,1,0))</f>
        <v>0</v>
      </c>
      <c r="U504" s="96" t="str">
        <f>IF(G504="","",IFERROR(IF(ISNUMBER(INDEX(cfg_fac,MATCH(G504,cfg_units,0))),IF(INDEX(cfg_fac,MATCH(G504,cfg_units,0))&gt;0,INDEX(cfg_fac,MATCH(G504,cfg_units,0)),""),""),""))</f>
        <v/>
      </c>
      <c r="V504" s="96">
        <f>IF(AND(ISNUMBER(F504),ISNUMBER(H504)),IF(H504&gt;0,1,0),0)</f>
        <v>0</v>
      </c>
      <c r="W504" s="96" t="str">
        <f>IF(T504=1,INDEX('ITENS_MTR'!$AU$6:$AU$1005,S504)&amp;"","")</f>
        <v/>
      </c>
      <c r="X504" s="96">
        <f>IF(AND(Q504=1,T504=1,I504&lt;&gt;"",W504&lt;&gt;""),IF(I504&lt;&gt;W504,1,0),0)</f>
        <v>0</v>
      </c>
      <c r="Y504" s="96">
        <f>IF(N504=0,0,IF(OR(Q504=0,T504=0,V504=0,AND(X504=1,J504&lt;&gt;"Sim")),1,0))</f>
        <v>0</v>
      </c>
      <c r="Z504" s="96">
        <f>IF(Q504=1,INDEX('CDFs'!$W$6:$W$505,P504),0)</f>
        <v>0</v>
      </c>
      <c r="AA504" s="96">
        <f>IF(AND(N504=1,Y504=0,Z504=1,J504="Sim"),1,0)</f>
        <v>0</v>
      </c>
      <c r="AB504" s="96">
        <f>IF(AND(N504=1,O504&lt;&gt;"",D504&lt;&gt;""),IF(COUNTIFS($O$6:O504,O504,$D$6:D504,D504)=1,1,0),0)</f>
        <v>0</v>
      </c>
      <c r="AC504" s="96">
        <f>IF(T504=1,INDEX('ITENS_MTR'!$AL$6:$AL$1005,S504),0)</f>
        <v>0</v>
      </c>
    </row>
    <row r="505">
      <c r="A505" s="89" t="inlineStr">
        <is>
          <t>VIN-000500</t>
        </is>
      </c>
      <c r="B505" s="91" t="n"/>
      <c r="C505" s="91" t="n"/>
      <c r="D505" s="94" t="str">
        <f>IF(T505=1,INDEX('ITENS_MTR'!$S$6:$S$1005,S505)&amp;"","")</f>
        <v/>
      </c>
      <c r="E505" s="94" t="str">
        <f>IF(T505=1,INDEX('ITENS_MTR'!$C$6:$C$1005,S505)&amp;"","")</f>
        <v/>
      </c>
      <c r="F505" s="98" t="n"/>
      <c r="G505" s="91" t="n"/>
      <c r="H505" s="93" t="str">
        <f>IF(N505=0,"",IF(NOT(ISNUMBER(F505)),"",IF(ISNUMBER(U505),F505*U505,"UNIDADE A CONFERIR")))</f>
        <v/>
      </c>
      <c r="I505" s="94" t="str">
        <f>IF(Q505=1,INDEX('CDFs'!$F$6:$F$505,P505)&amp;"","")</f>
        <v/>
      </c>
      <c r="J505" s="91" t="n"/>
      <c r="K505" s="91" t="n"/>
      <c r="L505" s="94" t="str">
        <f>IF(N505=0,"",IF(NOT(ISNUMBER(F505)),"Quantidade não informada",IF(F505&lt;=0,"Quantidade não positiva",IF(G505="","Unidade não informada",IF(NOT(ISNUMBER(H505)),"Unidade a conferir",IF(AC505=1,"REVISAR VÍNCULO: soma vinculada maior que a referência do item","OK"))))))</f>
        <v/>
      </c>
      <c r="M505" s="94" t="str">
        <f>IF(N505=0,"",IF(B505="","CDF não informado",IF(Q505=0,"REVISAR VÍNCULO: CDF inexistente",IF(C505="","Item não informado",IF(T505=0,"REVISAR VÍNCULO: item inexistente",IF(AND(X505=1,J505&lt;&gt;"Sim"),"REVISAR VÍNCULO: destinador diferente do MTR",IF(X505=1,"Destinador diferente do MTR (analisado)","OK")))))))</f>
        <v/>
      </c>
      <c r="N505" s="96">
        <f>IF(COUNTA(B505:C505,F505:G505,J505:K505)&gt;0,1,0)</f>
        <v>0</v>
      </c>
      <c r="O505" s="96" t="str">
        <f>IF(B505="","",TRIM(LEFT(B505,FIND(" |",B505&amp;" |")-1)))</f>
        <v/>
      </c>
      <c r="P505" s="96" t="str">
        <f>IF(O505="","",IFERROR(MATCH(O505,'CDFs'!$A$6:$A$505,0),""))</f>
        <v/>
      </c>
      <c r="Q505" s="96">
        <f>IF(P505="",0,IF(INDEX('CDFs'!$S$6:$S$505,P505)=1,1,0))</f>
        <v>0</v>
      </c>
      <c r="R505" s="96" t="str">
        <f>IF(C505="","",TRIM(LEFT(C505,FIND(" |",C505&amp;" |")-1)))</f>
        <v/>
      </c>
      <c r="S505" s="96" t="str">
        <f>IF(R505="","",IFERROR(MATCH(R505,'ITENS_MTR'!$A$6:$A$1005,0),""))</f>
        <v/>
      </c>
      <c r="T505" s="96">
        <f>IF(S505="",0,IF(INDEX('ITENS_MTR'!$R$6:$R$1005,S505)=1,1,0))</f>
        <v>0</v>
      </c>
      <c r="U505" s="96" t="str">
        <f>IF(G505="","",IFERROR(IF(ISNUMBER(INDEX(cfg_fac,MATCH(G505,cfg_units,0))),IF(INDEX(cfg_fac,MATCH(G505,cfg_units,0))&gt;0,INDEX(cfg_fac,MATCH(G505,cfg_units,0)),""),""),""))</f>
        <v/>
      </c>
      <c r="V505" s="96">
        <f>IF(AND(ISNUMBER(F505),ISNUMBER(H505)),IF(H505&gt;0,1,0),0)</f>
        <v>0</v>
      </c>
      <c r="W505" s="96" t="str">
        <f>IF(T505=1,INDEX('ITENS_MTR'!$AU$6:$AU$1005,S505)&amp;"","")</f>
        <v/>
      </c>
      <c r="X505" s="96">
        <f>IF(AND(Q505=1,T505=1,I505&lt;&gt;"",W505&lt;&gt;""),IF(I505&lt;&gt;W505,1,0),0)</f>
        <v>0</v>
      </c>
      <c r="Y505" s="96">
        <f>IF(N505=0,0,IF(OR(Q505=0,T505=0,V505=0,AND(X505=1,J505&lt;&gt;"Sim")),1,0))</f>
        <v>0</v>
      </c>
      <c r="Z505" s="96">
        <f>IF(Q505=1,INDEX('CDFs'!$W$6:$W$505,P505),0)</f>
        <v>0</v>
      </c>
      <c r="AA505" s="96">
        <f>IF(AND(N505=1,Y505=0,Z505=1,J505="Sim"),1,0)</f>
        <v>0</v>
      </c>
      <c r="AB505" s="96">
        <f>IF(AND(N505=1,O505&lt;&gt;"",D505&lt;&gt;""),IF(COUNTIFS($O$6:O505,O505,$D$6:D505,D505)=1,1,0),0)</f>
        <v>0</v>
      </c>
      <c r="AC505" s="96">
        <f>IF(T505=1,INDEX('ITENS_MTR'!$AL$6:$AL$1005,S505),0)</f>
        <v>0</v>
      </c>
    </row>
    <row r="506">
      <c r="A506" s="89" t="inlineStr">
        <is>
          <t>VIN-000501</t>
        </is>
      </c>
      <c r="B506" s="91" t="n"/>
      <c r="C506" s="91" t="n"/>
      <c r="D506" s="94" t="str">
        <f>IF(T506=1,INDEX('ITENS_MTR'!$S$6:$S$1005,S506)&amp;"","")</f>
        <v/>
      </c>
      <c r="E506" s="94" t="str">
        <f>IF(T506=1,INDEX('ITENS_MTR'!$C$6:$C$1005,S506)&amp;"","")</f>
        <v/>
      </c>
      <c r="F506" s="98" t="n"/>
      <c r="G506" s="91" t="n"/>
      <c r="H506" s="93" t="str">
        <f>IF(N506=0,"",IF(NOT(ISNUMBER(F506)),"",IF(ISNUMBER(U506),F506*U506,"UNIDADE A CONFERIR")))</f>
        <v/>
      </c>
      <c r="I506" s="94" t="str">
        <f>IF(Q506=1,INDEX('CDFs'!$F$6:$F$505,P506)&amp;"","")</f>
        <v/>
      </c>
      <c r="J506" s="91" t="n"/>
      <c r="K506" s="91" t="n"/>
      <c r="L506" s="94" t="str">
        <f>IF(N506=0,"",IF(NOT(ISNUMBER(F506)),"Quantidade não informada",IF(F506&lt;=0,"Quantidade não positiva",IF(G506="","Unidade não informada",IF(NOT(ISNUMBER(H506)),"Unidade a conferir",IF(AC506=1,"REVISAR VÍNCULO: soma vinculada maior que a referência do item","OK"))))))</f>
        <v/>
      </c>
      <c r="M506" s="94" t="str">
        <f>IF(N506=0,"",IF(B506="","CDF não informado",IF(Q506=0,"REVISAR VÍNCULO: CDF inexistente",IF(C506="","Item não informado",IF(T506=0,"REVISAR VÍNCULO: item inexistente",IF(AND(X506=1,J506&lt;&gt;"Sim"),"REVISAR VÍNCULO: destinador diferente do MTR",IF(X506=1,"Destinador diferente do MTR (analisado)","OK")))))))</f>
        <v/>
      </c>
      <c r="N506" s="96">
        <f>IF(COUNTA(B506:C506,F506:G506,J506:K506)&gt;0,1,0)</f>
        <v>0</v>
      </c>
      <c r="O506" s="96" t="str">
        <f>IF(B506="","",TRIM(LEFT(B506,FIND(" |",B506&amp;" |")-1)))</f>
        <v/>
      </c>
      <c r="P506" s="96" t="str">
        <f>IF(O506="","",IFERROR(MATCH(O506,'CDFs'!$A$6:$A$505,0),""))</f>
        <v/>
      </c>
      <c r="Q506" s="96">
        <f>IF(P506="",0,IF(INDEX('CDFs'!$S$6:$S$505,P506)=1,1,0))</f>
        <v>0</v>
      </c>
      <c r="R506" s="96" t="str">
        <f>IF(C506="","",TRIM(LEFT(C506,FIND(" |",C506&amp;" |")-1)))</f>
        <v/>
      </c>
      <c r="S506" s="96" t="str">
        <f>IF(R506="","",IFERROR(MATCH(R506,'ITENS_MTR'!$A$6:$A$1005,0),""))</f>
        <v/>
      </c>
      <c r="T506" s="96">
        <f>IF(S506="",0,IF(INDEX('ITENS_MTR'!$R$6:$R$1005,S506)=1,1,0))</f>
        <v>0</v>
      </c>
      <c r="U506" s="96" t="str">
        <f>IF(G506="","",IFERROR(IF(ISNUMBER(INDEX(cfg_fac,MATCH(G506,cfg_units,0))),IF(INDEX(cfg_fac,MATCH(G506,cfg_units,0))&gt;0,INDEX(cfg_fac,MATCH(G506,cfg_units,0)),""),""),""))</f>
        <v/>
      </c>
      <c r="V506" s="96">
        <f>IF(AND(ISNUMBER(F506),ISNUMBER(H506)),IF(H506&gt;0,1,0),0)</f>
        <v>0</v>
      </c>
      <c r="W506" s="96" t="str">
        <f>IF(T506=1,INDEX('ITENS_MTR'!$AU$6:$AU$1005,S506)&amp;"","")</f>
        <v/>
      </c>
      <c r="X506" s="96">
        <f>IF(AND(Q506=1,T506=1,I506&lt;&gt;"",W506&lt;&gt;""),IF(I506&lt;&gt;W506,1,0),0)</f>
        <v>0</v>
      </c>
      <c r="Y506" s="96">
        <f>IF(N506=0,0,IF(OR(Q506=0,T506=0,V506=0,AND(X506=1,J506&lt;&gt;"Sim")),1,0))</f>
        <v>0</v>
      </c>
      <c r="Z506" s="96">
        <f>IF(Q506=1,INDEX('CDFs'!$W$6:$W$505,P506),0)</f>
        <v>0</v>
      </c>
      <c r="AA506" s="96">
        <f>IF(AND(N506=1,Y506=0,Z506=1,J506="Sim"),1,0)</f>
        <v>0</v>
      </c>
      <c r="AB506" s="96">
        <f>IF(AND(N506=1,O506&lt;&gt;"",D506&lt;&gt;""),IF(COUNTIFS($O$6:O506,O506,$D$6:D506,D506)=1,1,0),0)</f>
        <v>0</v>
      </c>
      <c r="AC506" s="96">
        <f>IF(T506=1,INDEX('ITENS_MTR'!$AL$6:$AL$1005,S506),0)</f>
        <v>0</v>
      </c>
    </row>
    <row r="507">
      <c r="A507" s="89" t="inlineStr">
        <is>
          <t>VIN-000502</t>
        </is>
      </c>
      <c r="B507" s="91" t="n"/>
      <c r="C507" s="91" t="n"/>
      <c r="D507" s="94" t="str">
        <f>IF(T507=1,INDEX('ITENS_MTR'!$S$6:$S$1005,S507)&amp;"","")</f>
        <v/>
      </c>
      <c r="E507" s="94" t="str">
        <f>IF(T507=1,INDEX('ITENS_MTR'!$C$6:$C$1005,S507)&amp;"","")</f>
        <v/>
      </c>
      <c r="F507" s="98" t="n"/>
      <c r="G507" s="91" t="n"/>
      <c r="H507" s="93" t="str">
        <f>IF(N507=0,"",IF(NOT(ISNUMBER(F507)),"",IF(ISNUMBER(U507),F507*U507,"UNIDADE A CONFERIR")))</f>
        <v/>
      </c>
      <c r="I507" s="94" t="str">
        <f>IF(Q507=1,INDEX('CDFs'!$F$6:$F$505,P507)&amp;"","")</f>
        <v/>
      </c>
      <c r="J507" s="91" t="n"/>
      <c r="K507" s="91" t="n"/>
      <c r="L507" s="94" t="str">
        <f>IF(N507=0,"",IF(NOT(ISNUMBER(F507)),"Quantidade não informada",IF(F507&lt;=0,"Quantidade não positiva",IF(G507="","Unidade não informada",IF(NOT(ISNUMBER(H507)),"Unidade a conferir",IF(AC507=1,"REVISAR VÍNCULO: soma vinculada maior que a referência do item","OK"))))))</f>
        <v/>
      </c>
      <c r="M507" s="94" t="str">
        <f>IF(N507=0,"",IF(B507="","CDF não informado",IF(Q507=0,"REVISAR VÍNCULO: CDF inexistente",IF(C507="","Item não informado",IF(T507=0,"REVISAR VÍNCULO: item inexistente",IF(AND(X507=1,J507&lt;&gt;"Sim"),"REVISAR VÍNCULO: destinador diferente do MTR",IF(X507=1,"Destinador diferente do MTR (analisado)","OK")))))))</f>
        <v/>
      </c>
      <c r="N507" s="96">
        <f>IF(COUNTA(B507:C507,F507:G507,J507:K507)&gt;0,1,0)</f>
        <v>0</v>
      </c>
      <c r="O507" s="96" t="str">
        <f>IF(B507="","",TRIM(LEFT(B507,FIND(" |",B507&amp;" |")-1)))</f>
        <v/>
      </c>
      <c r="P507" s="96" t="str">
        <f>IF(O507="","",IFERROR(MATCH(O507,'CDFs'!$A$6:$A$505,0),""))</f>
        <v/>
      </c>
      <c r="Q507" s="96">
        <f>IF(P507="",0,IF(INDEX('CDFs'!$S$6:$S$505,P507)=1,1,0))</f>
        <v>0</v>
      </c>
      <c r="R507" s="96" t="str">
        <f>IF(C507="","",TRIM(LEFT(C507,FIND(" |",C507&amp;" |")-1)))</f>
        <v/>
      </c>
      <c r="S507" s="96" t="str">
        <f>IF(R507="","",IFERROR(MATCH(R507,'ITENS_MTR'!$A$6:$A$1005,0),""))</f>
        <v/>
      </c>
      <c r="T507" s="96">
        <f>IF(S507="",0,IF(INDEX('ITENS_MTR'!$R$6:$R$1005,S507)=1,1,0))</f>
        <v>0</v>
      </c>
      <c r="U507" s="96" t="str">
        <f>IF(G507="","",IFERROR(IF(ISNUMBER(INDEX(cfg_fac,MATCH(G507,cfg_units,0))),IF(INDEX(cfg_fac,MATCH(G507,cfg_units,0))&gt;0,INDEX(cfg_fac,MATCH(G507,cfg_units,0)),""),""),""))</f>
        <v/>
      </c>
      <c r="V507" s="96">
        <f>IF(AND(ISNUMBER(F507),ISNUMBER(H507)),IF(H507&gt;0,1,0),0)</f>
        <v>0</v>
      </c>
      <c r="W507" s="96" t="str">
        <f>IF(T507=1,INDEX('ITENS_MTR'!$AU$6:$AU$1005,S507)&amp;"","")</f>
        <v/>
      </c>
      <c r="X507" s="96">
        <f>IF(AND(Q507=1,T507=1,I507&lt;&gt;"",W507&lt;&gt;""),IF(I507&lt;&gt;W507,1,0),0)</f>
        <v>0</v>
      </c>
      <c r="Y507" s="96">
        <f>IF(N507=0,0,IF(OR(Q507=0,T507=0,V507=0,AND(X507=1,J507&lt;&gt;"Sim")),1,0))</f>
        <v>0</v>
      </c>
      <c r="Z507" s="96">
        <f>IF(Q507=1,INDEX('CDFs'!$W$6:$W$505,P507),0)</f>
        <v>0</v>
      </c>
      <c r="AA507" s="96">
        <f>IF(AND(N507=1,Y507=0,Z507=1,J507="Sim"),1,0)</f>
        <v>0</v>
      </c>
      <c r="AB507" s="96">
        <f>IF(AND(N507=1,O507&lt;&gt;"",D507&lt;&gt;""),IF(COUNTIFS($O$6:O507,O507,$D$6:D507,D507)=1,1,0),0)</f>
        <v>0</v>
      </c>
      <c r="AC507" s="96">
        <f>IF(T507=1,INDEX('ITENS_MTR'!$AL$6:$AL$1005,S507),0)</f>
        <v>0</v>
      </c>
    </row>
    <row r="508">
      <c r="A508" s="89" t="inlineStr">
        <is>
          <t>VIN-000503</t>
        </is>
      </c>
      <c r="B508" s="91" t="n"/>
      <c r="C508" s="91" t="n"/>
      <c r="D508" s="94" t="str">
        <f>IF(T508=1,INDEX('ITENS_MTR'!$S$6:$S$1005,S508)&amp;"","")</f>
        <v/>
      </c>
      <c r="E508" s="94" t="str">
        <f>IF(T508=1,INDEX('ITENS_MTR'!$C$6:$C$1005,S508)&amp;"","")</f>
        <v/>
      </c>
      <c r="F508" s="98" t="n"/>
      <c r="G508" s="91" t="n"/>
      <c r="H508" s="93" t="str">
        <f>IF(N508=0,"",IF(NOT(ISNUMBER(F508)),"",IF(ISNUMBER(U508),F508*U508,"UNIDADE A CONFERIR")))</f>
        <v/>
      </c>
      <c r="I508" s="94" t="str">
        <f>IF(Q508=1,INDEX('CDFs'!$F$6:$F$505,P508)&amp;"","")</f>
        <v/>
      </c>
      <c r="J508" s="91" t="n"/>
      <c r="K508" s="91" t="n"/>
      <c r="L508" s="94" t="str">
        <f>IF(N508=0,"",IF(NOT(ISNUMBER(F508)),"Quantidade não informada",IF(F508&lt;=0,"Quantidade não positiva",IF(G508="","Unidade não informada",IF(NOT(ISNUMBER(H508)),"Unidade a conferir",IF(AC508=1,"REVISAR VÍNCULO: soma vinculada maior que a referência do item","OK"))))))</f>
        <v/>
      </c>
      <c r="M508" s="94" t="str">
        <f>IF(N508=0,"",IF(B508="","CDF não informado",IF(Q508=0,"REVISAR VÍNCULO: CDF inexistente",IF(C508="","Item não informado",IF(T508=0,"REVISAR VÍNCULO: item inexistente",IF(AND(X508=1,J508&lt;&gt;"Sim"),"REVISAR VÍNCULO: destinador diferente do MTR",IF(X508=1,"Destinador diferente do MTR (analisado)","OK")))))))</f>
        <v/>
      </c>
      <c r="N508" s="96">
        <f>IF(COUNTA(B508:C508,F508:G508,J508:K508)&gt;0,1,0)</f>
        <v>0</v>
      </c>
      <c r="O508" s="96" t="str">
        <f>IF(B508="","",TRIM(LEFT(B508,FIND(" |",B508&amp;" |")-1)))</f>
        <v/>
      </c>
      <c r="P508" s="96" t="str">
        <f>IF(O508="","",IFERROR(MATCH(O508,'CDFs'!$A$6:$A$505,0),""))</f>
        <v/>
      </c>
      <c r="Q508" s="96">
        <f>IF(P508="",0,IF(INDEX('CDFs'!$S$6:$S$505,P508)=1,1,0))</f>
        <v>0</v>
      </c>
      <c r="R508" s="96" t="str">
        <f>IF(C508="","",TRIM(LEFT(C508,FIND(" |",C508&amp;" |")-1)))</f>
        <v/>
      </c>
      <c r="S508" s="96" t="str">
        <f>IF(R508="","",IFERROR(MATCH(R508,'ITENS_MTR'!$A$6:$A$1005,0),""))</f>
        <v/>
      </c>
      <c r="T508" s="96">
        <f>IF(S508="",0,IF(INDEX('ITENS_MTR'!$R$6:$R$1005,S508)=1,1,0))</f>
        <v>0</v>
      </c>
      <c r="U508" s="96" t="str">
        <f>IF(G508="","",IFERROR(IF(ISNUMBER(INDEX(cfg_fac,MATCH(G508,cfg_units,0))),IF(INDEX(cfg_fac,MATCH(G508,cfg_units,0))&gt;0,INDEX(cfg_fac,MATCH(G508,cfg_units,0)),""),""),""))</f>
        <v/>
      </c>
      <c r="V508" s="96">
        <f>IF(AND(ISNUMBER(F508),ISNUMBER(H508)),IF(H508&gt;0,1,0),0)</f>
        <v>0</v>
      </c>
      <c r="W508" s="96" t="str">
        <f>IF(T508=1,INDEX('ITENS_MTR'!$AU$6:$AU$1005,S508)&amp;"","")</f>
        <v/>
      </c>
      <c r="X508" s="96">
        <f>IF(AND(Q508=1,T508=1,I508&lt;&gt;"",W508&lt;&gt;""),IF(I508&lt;&gt;W508,1,0),0)</f>
        <v>0</v>
      </c>
      <c r="Y508" s="96">
        <f>IF(N508=0,0,IF(OR(Q508=0,T508=0,V508=0,AND(X508=1,J508&lt;&gt;"Sim")),1,0))</f>
        <v>0</v>
      </c>
      <c r="Z508" s="96">
        <f>IF(Q508=1,INDEX('CDFs'!$W$6:$W$505,P508),0)</f>
        <v>0</v>
      </c>
      <c r="AA508" s="96">
        <f>IF(AND(N508=1,Y508=0,Z508=1,J508="Sim"),1,0)</f>
        <v>0</v>
      </c>
      <c r="AB508" s="96">
        <f>IF(AND(N508=1,O508&lt;&gt;"",D508&lt;&gt;""),IF(COUNTIFS($O$6:O508,O508,$D$6:D508,D508)=1,1,0),0)</f>
        <v>0</v>
      </c>
      <c r="AC508" s="96">
        <f>IF(T508=1,INDEX('ITENS_MTR'!$AL$6:$AL$1005,S508),0)</f>
        <v>0</v>
      </c>
    </row>
    <row r="509">
      <c r="A509" s="89" t="inlineStr">
        <is>
          <t>VIN-000504</t>
        </is>
      </c>
      <c r="B509" s="91" t="n"/>
      <c r="C509" s="91" t="n"/>
      <c r="D509" s="94" t="str">
        <f>IF(T509=1,INDEX('ITENS_MTR'!$S$6:$S$1005,S509)&amp;"","")</f>
        <v/>
      </c>
      <c r="E509" s="94" t="str">
        <f>IF(T509=1,INDEX('ITENS_MTR'!$C$6:$C$1005,S509)&amp;"","")</f>
        <v/>
      </c>
      <c r="F509" s="98" t="n"/>
      <c r="G509" s="91" t="n"/>
      <c r="H509" s="93" t="str">
        <f>IF(N509=0,"",IF(NOT(ISNUMBER(F509)),"",IF(ISNUMBER(U509),F509*U509,"UNIDADE A CONFERIR")))</f>
        <v/>
      </c>
      <c r="I509" s="94" t="str">
        <f>IF(Q509=1,INDEX('CDFs'!$F$6:$F$505,P509)&amp;"","")</f>
        <v/>
      </c>
      <c r="J509" s="91" t="n"/>
      <c r="K509" s="91" t="n"/>
      <c r="L509" s="94" t="str">
        <f>IF(N509=0,"",IF(NOT(ISNUMBER(F509)),"Quantidade não informada",IF(F509&lt;=0,"Quantidade não positiva",IF(G509="","Unidade não informada",IF(NOT(ISNUMBER(H509)),"Unidade a conferir",IF(AC509=1,"REVISAR VÍNCULO: soma vinculada maior que a referência do item","OK"))))))</f>
        <v/>
      </c>
      <c r="M509" s="94" t="str">
        <f>IF(N509=0,"",IF(B509="","CDF não informado",IF(Q509=0,"REVISAR VÍNCULO: CDF inexistente",IF(C509="","Item não informado",IF(T509=0,"REVISAR VÍNCULO: item inexistente",IF(AND(X509=1,J509&lt;&gt;"Sim"),"REVISAR VÍNCULO: destinador diferente do MTR",IF(X509=1,"Destinador diferente do MTR (analisado)","OK")))))))</f>
        <v/>
      </c>
      <c r="N509" s="96">
        <f>IF(COUNTA(B509:C509,F509:G509,J509:K509)&gt;0,1,0)</f>
        <v>0</v>
      </c>
      <c r="O509" s="96" t="str">
        <f>IF(B509="","",TRIM(LEFT(B509,FIND(" |",B509&amp;" |")-1)))</f>
        <v/>
      </c>
      <c r="P509" s="96" t="str">
        <f>IF(O509="","",IFERROR(MATCH(O509,'CDFs'!$A$6:$A$505,0),""))</f>
        <v/>
      </c>
      <c r="Q509" s="96">
        <f>IF(P509="",0,IF(INDEX('CDFs'!$S$6:$S$505,P509)=1,1,0))</f>
        <v>0</v>
      </c>
      <c r="R509" s="96" t="str">
        <f>IF(C509="","",TRIM(LEFT(C509,FIND(" |",C509&amp;" |")-1)))</f>
        <v/>
      </c>
      <c r="S509" s="96" t="str">
        <f>IF(R509="","",IFERROR(MATCH(R509,'ITENS_MTR'!$A$6:$A$1005,0),""))</f>
        <v/>
      </c>
      <c r="T509" s="96">
        <f>IF(S509="",0,IF(INDEX('ITENS_MTR'!$R$6:$R$1005,S509)=1,1,0))</f>
        <v>0</v>
      </c>
      <c r="U509" s="96" t="str">
        <f>IF(G509="","",IFERROR(IF(ISNUMBER(INDEX(cfg_fac,MATCH(G509,cfg_units,0))),IF(INDEX(cfg_fac,MATCH(G509,cfg_units,0))&gt;0,INDEX(cfg_fac,MATCH(G509,cfg_units,0)),""),""),""))</f>
        <v/>
      </c>
      <c r="V509" s="96">
        <f>IF(AND(ISNUMBER(F509),ISNUMBER(H509)),IF(H509&gt;0,1,0),0)</f>
        <v>0</v>
      </c>
      <c r="W509" s="96" t="str">
        <f>IF(T509=1,INDEX('ITENS_MTR'!$AU$6:$AU$1005,S509)&amp;"","")</f>
        <v/>
      </c>
      <c r="X509" s="96">
        <f>IF(AND(Q509=1,T509=1,I509&lt;&gt;"",W509&lt;&gt;""),IF(I509&lt;&gt;W509,1,0),0)</f>
        <v>0</v>
      </c>
      <c r="Y509" s="96">
        <f>IF(N509=0,0,IF(OR(Q509=0,T509=0,V509=0,AND(X509=1,J509&lt;&gt;"Sim")),1,0))</f>
        <v>0</v>
      </c>
      <c r="Z509" s="96">
        <f>IF(Q509=1,INDEX('CDFs'!$W$6:$W$505,P509),0)</f>
        <v>0</v>
      </c>
      <c r="AA509" s="96">
        <f>IF(AND(N509=1,Y509=0,Z509=1,J509="Sim"),1,0)</f>
        <v>0</v>
      </c>
      <c r="AB509" s="96">
        <f>IF(AND(N509=1,O509&lt;&gt;"",D509&lt;&gt;""),IF(COUNTIFS($O$6:O509,O509,$D$6:D509,D509)=1,1,0),0)</f>
        <v>0</v>
      </c>
      <c r="AC509" s="96">
        <f>IF(T509=1,INDEX('ITENS_MTR'!$AL$6:$AL$1005,S509),0)</f>
        <v>0</v>
      </c>
    </row>
    <row r="510">
      <c r="A510" s="89" t="inlineStr">
        <is>
          <t>VIN-000505</t>
        </is>
      </c>
      <c r="B510" s="91" t="n"/>
      <c r="C510" s="91" t="n"/>
      <c r="D510" s="94" t="str">
        <f>IF(T510=1,INDEX('ITENS_MTR'!$S$6:$S$1005,S510)&amp;"","")</f>
        <v/>
      </c>
      <c r="E510" s="94" t="str">
        <f>IF(T510=1,INDEX('ITENS_MTR'!$C$6:$C$1005,S510)&amp;"","")</f>
        <v/>
      </c>
      <c r="F510" s="98" t="n"/>
      <c r="G510" s="91" t="n"/>
      <c r="H510" s="93" t="str">
        <f>IF(N510=0,"",IF(NOT(ISNUMBER(F510)),"",IF(ISNUMBER(U510),F510*U510,"UNIDADE A CONFERIR")))</f>
        <v/>
      </c>
      <c r="I510" s="94" t="str">
        <f>IF(Q510=1,INDEX('CDFs'!$F$6:$F$505,P510)&amp;"","")</f>
        <v/>
      </c>
      <c r="J510" s="91" t="n"/>
      <c r="K510" s="91" t="n"/>
      <c r="L510" s="94" t="str">
        <f>IF(N510=0,"",IF(NOT(ISNUMBER(F510)),"Quantidade não informada",IF(F510&lt;=0,"Quantidade não positiva",IF(G510="","Unidade não informada",IF(NOT(ISNUMBER(H510)),"Unidade a conferir",IF(AC510=1,"REVISAR VÍNCULO: soma vinculada maior que a referência do item","OK"))))))</f>
        <v/>
      </c>
      <c r="M510" s="94" t="str">
        <f>IF(N510=0,"",IF(B510="","CDF não informado",IF(Q510=0,"REVISAR VÍNCULO: CDF inexistente",IF(C510="","Item não informado",IF(T510=0,"REVISAR VÍNCULO: item inexistente",IF(AND(X510=1,J510&lt;&gt;"Sim"),"REVISAR VÍNCULO: destinador diferente do MTR",IF(X510=1,"Destinador diferente do MTR (analisado)","OK")))))))</f>
        <v/>
      </c>
      <c r="N510" s="96">
        <f>IF(COUNTA(B510:C510,F510:G510,J510:K510)&gt;0,1,0)</f>
        <v>0</v>
      </c>
      <c r="O510" s="96" t="str">
        <f>IF(B510="","",TRIM(LEFT(B510,FIND(" |",B510&amp;" |")-1)))</f>
        <v/>
      </c>
      <c r="P510" s="96" t="str">
        <f>IF(O510="","",IFERROR(MATCH(O510,'CDFs'!$A$6:$A$505,0),""))</f>
        <v/>
      </c>
      <c r="Q510" s="96">
        <f>IF(P510="",0,IF(INDEX('CDFs'!$S$6:$S$505,P510)=1,1,0))</f>
        <v>0</v>
      </c>
      <c r="R510" s="96" t="str">
        <f>IF(C510="","",TRIM(LEFT(C510,FIND(" |",C510&amp;" |")-1)))</f>
        <v/>
      </c>
      <c r="S510" s="96" t="str">
        <f>IF(R510="","",IFERROR(MATCH(R510,'ITENS_MTR'!$A$6:$A$1005,0),""))</f>
        <v/>
      </c>
      <c r="T510" s="96">
        <f>IF(S510="",0,IF(INDEX('ITENS_MTR'!$R$6:$R$1005,S510)=1,1,0))</f>
        <v>0</v>
      </c>
      <c r="U510" s="96" t="str">
        <f>IF(G510="","",IFERROR(IF(ISNUMBER(INDEX(cfg_fac,MATCH(G510,cfg_units,0))),IF(INDEX(cfg_fac,MATCH(G510,cfg_units,0))&gt;0,INDEX(cfg_fac,MATCH(G510,cfg_units,0)),""),""),""))</f>
        <v/>
      </c>
      <c r="V510" s="96">
        <f>IF(AND(ISNUMBER(F510),ISNUMBER(H510)),IF(H510&gt;0,1,0),0)</f>
        <v>0</v>
      </c>
      <c r="W510" s="96" t="str">
        <f>IF(T510=1,INDEX('ITENS_MTR'!$AU$6:$AU$1005,S510)&amp;"","")</f>
        <v/>
      </c>
      <c r="X510" s="96">
        <f>IF(AND(Q510=1,T510=1,I510&lt;&gt;"",W510&lt;&gt;""),IF(I510&lt;&gt;W510,1,0),0)</f>
        <v>0</v>
      </c>
      <c r="Y510" s="96">
        <f>IF(N510=0,0,IF(OR(Q510=0,T510=0,V510=0,AND(X510=1,J510&lt;&gt;"Sim")),1,0))</f>
        <v>0</v>
      </c>
      <c r="Z510" s="96">
        <f>IF(Q510=1,INDEX('CDFs'!$W$6:$W$505,P510),0)</f>
        <v>0</v>
      </c>
      <c r="AA510" s="96">
        <f>IF(AND(N510=1,Y510=0,Z510=1,J510="Sim"),1,0)</f>
        <v>0</v>
      </c>
      <c r="AB510" s="96">
        <f>IF(AND(N510=1,O510&lt;&gt;"",D510&lt;&gt;""),IF(COUNTIFS($O$6:O510,O510,$D$6:D510,D510)=1,1,0),0)</f>
        <v>0</v>
      </c>
      <c r="AC510" s="96">
        <f>IF(T510=1,INDEX('ITENS_MTR'!$AL$6:$AL$1005,S510),0)</f>
        <v>0</v>
      </c>
    </row>
    <row r="511">
      <c r="A511" s="89" t="inlineStr">
        <is>
          <t>VIN-000506</t>
        </is>
      </c>
      <c r="B511" s="91" t="n"/>
      <c r="C511" s="91" t="n"/>
      <c r="D511" s="94" t="str">
        <f>IF(T511=1,INDEX('ITENS_MTR'!$S$6:$S$1005,S511)&amp;"","")</f>
        <v/>
      </c>
      <c r="E511" s="94" t="str">
        <f>IF(T511=1,INDEX('ITENS_MTR'!$C$6:$C$1005,S511)&amp;"","")</f>
        <v/>
      </c>
      <c r="F511" s="98" t="n"/>
      <c r="G511" s="91" t="n"/>
      <c r="H511" s="93" t="str">
        <f>IF(N511=0,"",IF(NOT(ISNUMBER(F511)),"",IF(ISNUMBER(U511),F511*U511,"UNIDADE A CONFERIR")))</f>
        <v/>
      </c>
      <c r="I511" s="94" t="str">
        <f>IF(Q511=1,INDEX('CDFs'!$F$6:$F$505,P511)&amp;"","")</f>
        <v/>
      </c>
      <c r="J511" s="91" t="n"/>
      <c r="K511" s="91" t="n"/>
      <c r="L511" s="94" t="str">
        <f>IF(N511=0,"",IF(NOT(ISNUMBER(F511)),"Quantidade não informada",IF(F511&lt;=0,"Quantidade não positiva",IF(G511="","Unidade não informada",IF(NOT(ISNUMBER(H511)),"Unidade a conferir",IF(AC511=1,"REVISAR VÍNCULO: soma vinculada maior que a referência do item","OK"))))))</f>
        <v/>
      </c>
      <c r="M511" s="94" t="str">
        <f>IF(N511=0,"",IF(B511="","CDF não informado",IF(Q511=0,"REVISAR VÍNCULO: CDF inexistente",IF(C511="","Item não informado",IF(T511=0,"REVISAR VÍNCULO: item inexistente",IF(AND(X511=1,J511&lt;&gt;"Sim"),"REVISAR VÍNCULO: destinador diferente do MTR",IF(X511=1,"Destinador diferente do MTR (analisado)","OK")))))))</f>
        <v/>
      </c>
      <c r="N511" s="96">
        <f>IF(COUNTA(B511:C511,F511:G511,J511:K511)&gt;0,1,0)</f>
        <v>0</v>
      </c>
      <c r="O511" s="96" t="str">
        <f>IF(B511="","",TRIM(LEFT(B511,FIND(" |",B511&amp;" |")-1)))</f>
        <v/>
      </c>
      <c r="P511" s="96" t="str">
        <f>IF(O511="","",IFERROR(MATCH(O511,'CDFs'!$A$6:$A$505,0),""))</f>
        <v/>
      </c>
      <c r="Q511" s="96">
        <f>IF(P511="",0,IF(INDEX('CDFs'!$S$6:$S$505,P511)=1,1,0))</f>
        <v>0</v>
      </c>
      <c r="R511" s="96" t="str">
        <f>IF(C511="","",TRIM(LEFT(C511,FIND(" |",C511&amp;" |")-1)))</f>
        <v/>
      </c>
      <c r="S511" s="96" t="str">
        <f>IF(R511="","",IFERROR(MATCH(R511,'ITENS_MTR'!$A$6:$A$1005,0),""))</f>
        <v/>
      </c>
      <c r="T511" s="96">
        <f>IF(S511="",0,IF(INDEX('ITENS_MTR'!$R$6:$R$1005,S511)=1,1,0))</f>
        <v>0</v>
      </c>
      <c r="U511" s="96" t="str">
        <f>IF(G511="","",IFERROR(IF(ISNUMBER(INDEX(cfg_fac,MATCH(G511,cfg_units,0))),IF(INDEX(cfg_fac,MATCH(G511,cfg_units,0))&gt;0,INDEX(cfg_fac,MATCH(G511,cfg_units,0)),""),""),""))</f>
        <v/>
      </c>
      <c r="V511" s="96">
        <f>IF(AND(ISNUMBER(F511),ISNUMBER(H511)),IF(H511&gt;0,1,0),0)</f>
        <v>0</v>
      </c>
      <c r="W511" s="96" t="str">
        <f>IF(T511=1,INDEX('ITENS_MTR'!$AU$6:$AU$1005,S511)&amp;"","")</f>
        <v/>
      </c>
      <c r="X511" s="96">
        <f>IF(AND(Q511=1,T511=1,I511&lt;&gt;"",W511&lt;&gt;""),IF(I511&lt;&gt;W511,1,0),0)</f>
        <v>0</v>
      </c>
      <c r="Y511" s="96">
        <f>IF(N511=0,0,IF(OR(Q511=0,T511=0,V511=0,AND(X511=1,J511&lt;&gt;"Sim")),1,0))</f>
        <v>0</v>
      </c>
      <c r="Z511" s="96">
        <f>IF(Q511=1,INDEX('CDFs'!$W$6:$W$505,P511),0)</f>
        <v>0</v>
      </c>
      <c r="AA511" s="96">
        <f>IF(AND(N511=1,Y511=0,Z511=1,J511="Sim"),1,0)</f>
        <v>0</v>
      </c>
      <c r="AB511" s="96">
        <f>IF(AND(N511=1,O511&lt;&gt;"",D511&lt;&gt;""),IF(COUNTIFS($O$6:O511,O511,$D$6:D511,D511)=1,1,0),0)</f>
        <v>0</v>
      </c>
      <c r="AC511" s="96">
        <f>IF(T511=1,INDEX('ITENS_MTR'!$AL$6:$AL$1005,S511),0)</f>
        <v>0</v>
      </c>
    </row>
    <row r="512">
      <c r="A512" s="89" t="inlineStr">
        <is>
          <t>VIN-000507</t>
        </is>
      </c>
      <c r="B512" s="91" t="n"/>
      <c r="C512" s="91" t="n"/>
      <c r="D512" s="94" t="str">
        <f>IF(T512=1,INDEX('ITENS_MTR'!$S$6:$S$1005,S512)&amp;"","")</f>
        <v/>
      </c>
      <c r="E512" s="94" t="str">
        <f>IF(T512=1,INDEX('ITENS_MTR'!$C$6:$C$1005,S512)&amp;"","")</f>
        <v/>
      </c>
      <c r="F512" s="98" t="n"/>
      <c r="G512" s="91" t="n"/>
      <c r="H512" s="93" t="str">
        <f>IF(N512=0,"",IF(NOT(ISNUMBER(F512)),"",IF(ISNUMBER(U512),F512*U512,"UNIDADE A CONFERIR")))</f>
        <v/>
      </c>
      <c r="I512" s="94" t="str">
        <f>IF(Q512=1,INDEX('CDFs'!$F$6:$F$505,P512)&amp;"","")</f>
        <v/>
      </c>
      <c r="J512" s="91" t="n"/>
      <c r="K512" s="91" t="n"/>
      <c r="L512" s="94" t="str">
        <f>IF(N512=0,"",IF(NOT(ISNUMBER(F512)),"Quantidade não informada",IF(F512&lt;=0,"Quantidade não positiva",IF(G512="","Unidade não informada",IF(NOT(ISNUMBER(H512)),"Unidade a conferir",IF(AC512=1,"REVISAR VÍNCULO: soma vinculada maior que a referência do item","OK"))))))</f>
        <v/>
      </c>
      <c r="M512" s="94" t="str">
        <f>IF(N512=0,"",IF(B512="","CDF não informado",IF(Q512=0,"REVISAR VÍNCULO: CDF inexistente",IF(C512="","Item não informado",IF(T512=0,"REVISAR VÍNCULO: item inexistente",IF(AND(X512=1,J512&lt;&gt;"Sim"),"REVISAR VÍNCULO: destinador diferente do MTR",IF(X512=1,"Destinador diferente do MTR (analisado)","OK")))))))</f>
        <v/>
      </c>
      <c r="N512" s="96">
        <f>IF(COUNTA(B512:C512,F512:G512,J512:K512)&gt;0,1,0)</f>
        <v>0</v>
      </c>
      <c r="O512" s="96" t="str">
        <f>IF(B512="","",TRIM(LEFT(B512,FIND(" |",B512&amp;" |")-1)))</f>
        <v/>
      </c>
      <c r="P512" s="96" t="str">
        <f>IF(O512="","",IFERROR(MATCH(O512,'CDFs'!$A$6:$A$505,0),""))</f>
        <v/>
      </c>
      <c r="Q512" s="96">
        <f>IF(P512="",0,IF(INDEX('CDFs'!$S$6:$S$505,P512)=1,1,0))</f>
        <v>0</v>
      </c>
      <c r="R512" s="96" t="str">
        <f>IF(C512="","",TRIM(LEFT(C512,FIND(" |",C512&amp;" |")-1)))</f>
        <v/>
      </c>
      <c r="S512" s="96" t="str">
        <f>IF(R512="","",IFERROR(MATCH(R512,'ITENS_MTR'!$A$6:$A$1005,0),""))</f>
        <v/>
      </c>
      <c r="T512" s="96">
        <f>IF(S512="",0,IF(INDEX('ITENS_MTR'!$R$6:$R$1005,S512)=1,1,0))</f>
        <v>0</v>
      </c>
      <c r="U512" s="96" t="str">
        <f>IF(G512="","",IFERROR(IF(ISNUMBER(INDEX(cfg_fac,MATCH(G512,cfg_units,0))),IF(INDEX(cfg_fac,MATCH(G512,cfg_units,0))&gt;0,INDEX(cfg_fac,MATCH(G512,cfg_units,0)),""),""),""))</f>
        <v/>
      </c>
      <c r="V512" s="96">
        <f>IF(AND(ISNUMBER(F512),ISNUMBER(H512)),IF(H512&gt;0,1,0),0)</f>
        <v>0</v>
      </c>
      <c r="W512" s="96" t="str">
        <f>IF(T512=1,INDEX('ITENS_MTR'!$AU$6:$AU$1005,S512)&amp;"","")</f>
        <v/>
      </c>
      <c r="X512" s="96">
        <f>IF(AND(Q512=1,T512=1,I512&lt;&gt;"",W512&lt;&gt;""),IF(I512&lt;&gt;W512,1,0),0)</f>
        <v>0</v>
      </c>
      <c r="Y512" s="96">
        <f>IF(N512=0,0,IF(OR(Q512=0,T512=0,V512=0,AND(X512=1,J512&lt;&gt;"Sim")),1,0))</f>
        <v>0</v>
      </c>
      <c r="Z512" s="96">
        <f>IF(Q512=1,INDEX('CDFs'!$W$6:$W$505,P512),0)</f>
        <v>0</v>
      </c>
      <c r="AA512" s="96">
        <f>IF(AND(N512=1,Y512=0,Z512=1,J512="Sim"),1,0)</f>
        <v>0</v>
      </c>
      <c r="AB512" s="96">
        <f>IF(AND(N512=1,O512&lt;&gt;"",D512&lt;&gt;""),IF(COUNTIFS($O$6:O512,O512,$D$6:D512,D512)=1,1,0),0)</f>
        <v>0</v>
      </c>
      <c r="AC512" s="96">
        <f>IF(T512=1,INDEX('ITENS_MTR'!$AL$6:$AL$1005,S512),0)</f>
        <v>0</v>
      </c>
    </row>
    <row r="513">
      <c r="A513" s="89" t="inlineStr">
        <is>
          <t>VIN-000508</t>
        </is>
      </c>
      <c r="B513" s="91" t="n"/>
      <c r="C513" s="91" t="n"/>
      <c r="D513" s="94" t="str">
        <f>IF(T513=1,INDEX('ITENS_MTR'!$S$6:$S$1005,S513)&amp;"","")</f>
        <v/>
      </c>
      <c r="E513" s="94" t="str">
        <f>IF(T513=1,INDEX('ITENS_MTR'!$C$6:$C$1005,S513)&amp;"","")</f>
        <v/>
      </c>
      <c r="F513" s="98" t="n"/>
      <c r="G513" s="91" t="n"/>
      <c r="H513" s="93" t="str">
        <f>IF(N513=0,"",IF(NOT(ISNUMBER(F513)),"",IF(ISNUMBER(U513),F513*U513,"UNIDADE A CONFERIR")))</f>
        <v/>
      </c>
      <c r="I513" s="94" t="str">
        <f>IF(Q513=1,INDEX('CDFs'!$F$6:$F$505,P513)&amp;"","")</f>
        <v/>
      </c>
      <c r="J513" s="91" t="n"/>
      <c r="K513" s="91" t="n"/>
      <c r="L513" s="94" t="str">
        <f>IF(N513=0,"",IF(NOT(ISNUMBER(F513)),"Quantidade não informada",IF(F513&lt;=0,"Quantidade não positiva",IF(G513="","Unidade não informada",IF(NOT(ISNUMBER(H513)),"Unidade a conferir",IF(AC513=1,"REVISAR VÍNCULO: soma vinculada maior que a referência do item","OK"))))))</f>
        <v/>
      </c>
      <c r="M513" s="94" t="str">
        <f>IF(N513=0,"",IF(B513="","CDF não informado",IF(Q513=0,"REVISAR VÍNCULO: CDF inexistente",IF(C513="","Item não informado",IF(T513=0,"REVISAR VÍNCULO: item inexistente",IF(AND(X513=1,J513&lt;&gt;"Sim"),"REVISAR VÍNCULO: destinador diferente do MTR",IF(X513=1,"Destinador diferente do MTR (analisado)","OK")))))))</f>
        <v/>
      </c>
      <c r="N513" s="96">
        <f>IF(COUNTA(B513:C513,F513:G513,J513:K513)&gt;0,1,0)</f>
        <v>0</v>
      </c>
      <c r="O513" s="96" t="str">
        <f>IF(B513="","",TRIM(LEFT(B513,FIND(" |",B513&amp;" |")-1)))</f>
        <v/>
      </c>
      <c r="P513" s="96" t="str">
        <f>IF(O513="","",IFERROR(MATCH(O513,'CDFs'!$A$6:$A$505,0),""))</f>
        <v/>
      </c>
      <c r="Q513" s="96">
        <f>IF(P513="",0,IF(INDEX('CDFs'!$S$6:$S$505,P513)=1,1,0))</f>
        <v>0</v>
      </c>
      <c r="R513" s="96" t="str">
        <f>IF(C513="","",TRIM(LEFT(C513,FIND(" |",C513&amp;" |")-1)))</f>
        <v/>
      </c>
      <c r="S513" s="96" t="str">
        <f>IF(R513="","",IFERROR(MATCH(R513,'ITENS_MTR'!$A$6:$A$1005,0),""))</f>
        <v/>
      </c>
      <c r="T513" s="96">
        <f>IF(S513="",0,IF(INDEX('ITENS_MTR'!$R$6:$R$1005,S513)=1,1,0))</f>
        <v>0</v>
      </c>
      <c r="U513" s="96" t="str">
        <f>IF(G513="","",IFERROR(IF(ISNUMBER(INDEX(cfg_fac,MATCH(G513,cfg_units,0))),IF(INDEX(cfg_fac,MATCH(G513,cfg_units,0))&gt;0,INDEX(cfg_fac,MATCH(G513,cfg_units,0)),""),""),""))</f>
        <v/>
      </c>
      <c r="V513" s="96">
        <f>IF(AND(ISNUMBER(F513),ISNUMBER(H513)),IF(H513&gt;0,1,0),0)</f>
        <v>0</v>
      </c>
      <c r="W513" s="96" t="str">
        <f>IF(T513=1,INDEX('ITENS_MTR'!$AU$6:$AU$1005,S513)&amp;"","")</f>
        <v/>
      </c>
      <c r="X513" s="96">
        <f>IF(AND(Q513=1,T513=1,I513&lt;&gt;"",W513&lt;&gt;""),IF(I513&lt;&gt;W513,1,0),0)</f>
        <v>0</v>
      </c>
      <c r="Y513" s="96">
        <f>IF(N513=0,0,IF(OR(Q513=0,T513=0,V513=0,AND(X513=1,J513&lt;&gt;"Sim")),1,0))</f>
        <v>0</v>
      </c>
      <c r="Z513" s="96">
        <f>IF(Q513=1,INDEX('CDFs'!$W$6:$W$505,P513),0)</f>
        <v>0</v>
      </c>
      <c r="AA513" s="96">
        <f>IF(AND(N513=1,Y513=0,Z513=1,J513="Sim"),1,0)</f>
        <v>0</v>
      </c>
      <c r="AB513" s="96">
        <f>IF(AND(N513=1,O513&lt;&gt;"",D513&lt;&gt;""),IF(COUNTIFS($O$6:O513,O513,$D$6:D513,D513)=1,1,0),0)</f>
        <v>0</v>
      </c>
      <c r="AC513" s="96">
        <f>IF(T513=1,INDEX('ITENS_MTR'!$AL$6:$AL$1005,S513),0)</f>
        <v>0</v>
      </c>
    </row>
    <row r="514">
      <c r="A514" s="89" t="inlineStr">
        <is>
          <t>VIN-000509</t>
        </is>
      </c>
      <c r="B514" s="91" t="n"/>
      <c r="C514" s="91" t="n"/>
      <c r="D514" s="94" t="str">
        <f>IF(T514=1,INDEX('ITENS_MTR'!$S$6:$S$1005,S514)&amp;"","")</f>
        <v/>
      </c>
      <c r="E514" s="94" t="str">
        <f>IF(T514=1,INDEX('ITENS_MTR'!$C$6:$C$1005,S514)&amp;"","")</f>
        <v/>
      </c>
      <c r="F514" s="98" t="n"/>
      <c r="G514" s="91" t="n"/>
      <c r="H514" s="93" t="str">
        <f>IF(N514=0,"",IF(NOT(ISNUMBER(F514)),"",IF(ISNUMBER(U514),F514*U514,"UNIDADE A CONFERIR")))</f>
        <v/>
      </c>
      <c r="I514" s="94" t="str">
        <f>IF(Q514=1,INDEX('CDFs'!$F$6:$F$505,P514)&amp;"","")</f>
        <v/>
      </c>
      <c r="J514" s="91" t="n"/>
      <c r="K514" s="91" t="n"/>
      <c r="L514" s="94" t="str">
        <f>IF(N514=0,"",IF(NOT(ISNUMBER(F514)),"Quantidade não informada",IF(F514&lt;=0,"Quantidade não positiva",IF(G514="","Unidade não informada",IF(NOT(ISNUMBER(H514)),"Unidade a conferir",IF(AC514=1,"REVISAR VÍNCULO: soma vinculada maior que a referência do item","OK"))))))</f>
        <v/>
      </c>
      <c r="M514" s="94" t="str">
        <f>IF(N514=0,"",IF(B514="","CDF não informado",IF(Q514=0,"REVISAR VÍNCULO: CDF inexistente",IF(C514="","Item não informado",IF(T514=0,"REVISAR VÍNCULO: item inexistente",IF(AND(X514=1,J514&lt;&gt;"Sim"),"REVISAR VÍNCULO: destinador diferente do MTR",IF(X514=1,"Destinador diferente do MTR (analisado)","OK")))))))</f>
        <v/>
      </c>
      <c r="N514" s="96">
        <f>IF(COUNTA(B514:C514,F514:G514,J514:K514)&gt;0,1,0)</f>
        <v>0</v>
      </c>
      <c r="O514" s="96" t="str">
        <f>IF(B514="","",TRIM(LEFT(B514,FIND(" |",B514&amp;" |")-1)))</f>
        <v/>
      </c>
      <c r="P514" s="96" t="str">
        <f>IF(O514="","",IFERROR(MATCH(O514,'CDFs'!$A$6:$A$505,0),""))</f>
        <v/>
      </c>
      <c r="Q514" s="96">
        <f>IF(P514="",0,IF(INDEX('CDFs'!$S$6:$S$505,P514)=1,1,0))</f>
        <v>0</v>
      </c>
      <c r="R514" s="96" t="str">
        <f>IF(C514="","",TRIM(LEFT(C514,FIND(" |",C514&amp;" |")-1)))</f>
        <v/>
      </c>
      <c r="S514" s="96" t="str">
        <f>IF(R514="","",IFERROR(MATCH(R514,'ITENS_MTR'!$A$6:$A$1005,0),""))</f>
        <v/>
      </c>
      <c r="T514" s="96">
        <f>IF(S514="",0,IF(INDEX('ITENS_MTR'!$R$6:$R$1005,S514)=1,1,0))</f>
        <v>0</v>
      </c>
      <c r="U514" s="96" t="str">
        <f>IF(G514="","",IFERROR(IF(ISNUMBER(INDEX(cfg_fac,MATCH(G514,cfg_units,0))),IF(INDEX(cfg_fac,MATCH(G514,cfg_units,0))&gt;0,INDEX(cfg_fac,MATCH(G514,cfg_units,0)),""),""),""))</f>
        <v/>
      </c>
      <c r="V514" s="96">
        <f>IF(AND(ISNUMBER(F514),ISNUMBER(H514)),IF(H514&gt;0,1,0),0)</f>
        <v>0</v>
      </c>
      <c r="W514" s="96" t="str">
        <f>IF(T514=1,INDEX('ITENS_MTR'!$AU$6:$AU$1005,S514)&amp;"","")</f>
        <v/>
      </c>
      <c r="X514" s="96">
        <f>IF(AND(Q514=1,T514=1,I514&lt;&gt;"",W514&lt;&gt;""),IF(I514&lt;&gt;W514,1,0),0)</f>
        <v>0</v>
      </c>
      <c r="Y514" s="96">
        <f>IF(N514=0,0,IF(OR(Q514=0,T514=0,V514=0,AND(X514=1,J514&lt;&gt;"Sim")),1,0))</f>
        <v>0</v>
      </c>
      <c r="Z514" s="96">
        <f>IF(Q514=1,INDEX('CDFs'!$W$6:$W$505,P514),0)</f>
        <v>0</v>
      </c>
      <c r="AA514" s="96">
        <f>IF(AND(N514=1,Y514=0,Z514=1,J514="Sim"),1,0)</f>
        <v>0</v>
      </c>
      <c r="AB514" s="96">
        <f>IF(AND(N514=1,O514&lt;&gt;"",D514&lt;&gt;""),IF(COUNTIFS($O$6:O514,O514,$D$6:D514,D514)=1,1,0),0)</f>
        <v>0</v>
      </c>
      <c r="AC514" s="96">
        <f>IF(T514=1,INDEX('ITENS_MTR'!$AL$6:$AL$1005,S514),0)</f>
        <v>0</v>
      </c>
    </row>
    <row r="515">
      <c r="A515" s="89" t="inlineStr">
        <is>
          <t>VIN-000510</t>
        </is>
      </c>
      <c r="B515" s="91" t="n"/>
      <c r="C515" s="91" t="n"/>
      <c r="D515" s="94" t="str">
        <f>IF(T515=1,INDEX('ITENS_MTR'!$S$6:$S$1005,S515)&amp;"","")</f>
        <v/>
      </c>
      <c r="E515" s="94" t="str">
        <f>IF(T515=1,INDEX('ITENS_MTR'!$C$6:$C$1005,S515)&amp;"","")</f>
        <v/>
      </c>
      <c r="F515" s="98" t="n"/>
      <c r="G515" s="91" t="n"/>
      <c r="H515" s="93" t="str">
        <f>IF(N515=0,"",IF(NOT(ISNUMBER(F515)),"",IF(ISNUMBER(U515),F515*U515,"UNIDADE A CONFERIR")))</f>
        <v/>
      </c>
      <c r="I515" s="94" t="str">
        <f>IF(Q515=1,INDEX('CDFs'!$F$6:$F$505,P515)&amp;"","")</f>
        <v/>
      </c>
      <c r="J515" s="91" t="n"/>
      <c r="K515" s="91" t="n"/>
      <c r="L515" s="94" t="str">
        <f>IF(N515=0,"",IF(NOT(ISNUMBER(F515)),"Quantidade não informada",IF(F515&lt;=0,"Quantidade não positiva",IF(G515="","Unidade não informada",IF(NOT(ISNUMBER(H515)),"Unidade a conferir",IF(AC515=1,"REVISAR VÍNCULO: soma vinculada maior que a referência do item","OK"))))))</f>
        <v/>
      </c>
      <c r="M515" s="94" t="str">
        <f>IF(N515=0,"",IF(B515="","CDF não informado",IF(Q515=0,"REVISAR VÍNCULO: CDF inexistente",IF(C515="","Item não informado",IF(T515=0,"REVISAR VÍNCULO: item inexistente",IF(AND(X515=1,J515&lt;&gt;"Sim"),"REVISAR VÍNCULO: destinador diferente do MTR",IF(X515=1,"Destinador diferente do MTR (analisado)","OK")))))))</f>
        <v/>
      </c>
      <c r="N515" s="96">
        <f>IF(COUNTA(B515:C515,F515:G515,J515:K515)&gt;0,1,0)</f>
        <v>0</v>
      </c>
      <c r="O515" s="96" t="str">
        <f>IF(B515="","",TRIM(LEFT(B515,FIND(" |",B515&amp;" |")-1)))</f>
        <v/>
      </c>
      <c r="P515" s="96" t="str">
        <f>IF(O515="","",IFERROR(MATCH(O515,'CDFs'!$A$6:$A$505,0),""))</f>
        <v/>
      </c>
      <c r="Q515" s="96">
        <f>IF(P515="",0,IF(INDEX('CDFs'!$S$6:$S$505,P515)=1,1,0))</f>
        <v>0</v>
      </c>
      <c r="R515" s="96" t="str">
        <f>IF(C515="","",TRIM(LEFT(C515,FIND(" |",C515&amp;" |")-1)))</f>
        <v/>
      </c>
      <c r="S515" s="96" t="str">
        <f>IF(R515="","",IFERROR(MATCH(R515,'ITENS_MTR'!$A$6:$A$1005,0),""))</f>
        <v/>
      </c>
      <c r="T515" s="96">
        <f>IF(S515="",0,IF(INDEX('ITENS_MTR'!$R$6:$R$1005,S515)=1,1,0))</f>
        <v>0</v>
      </c>
      <c r="U515" s="96" t="str">
        <f>IF(G515="","",IFERROR(IF(ISNUMBER(INDEX(cfg_fac,MATCH(G515,cfg_units,0))),IF(INDEX(cfg_fac,MATCH(G515,cfg_units,0))&gt;0,INDEX(cfg_fac,MATCH(G515,cfg_units,0)),""),""),""))</f>
        <v/>
      </c>
      <c r="V515" s="96">
        <f>IF(AND(ISNUMBER(F515),ISNUMBER(H515)),IF(H515&gt;0,1,0),0)</f>
        <v>0</v>
      </c>
      <c r="W515" s="96" t="str">
        <f>IF(T515=1,INDEX('ITENS_MTR'!$AU$6:$AU$1005,S515)&amp;"","")</f>
        <v/>
      </c>
      <c r="X515" s="96">
        <f>IF(AND(Q515=1,T515=1,I515&lt;&gt;"",W515&lt;&gt;""),IF(I515&lt;&gt;W515,1,0),0)</f>
        <v>0</v>
      </c>
      <c r="Y515" s="96">
        <f>IF(N515=0,0,IF(OR(Q515=0,T515=0,V515=0,AND(X515=1,J515&lt;&gt;"Sim")),1,0))</f>
        <v>0</v>
      </c>
      <c r="Z515" s="96">
        <f>IF(Q515=1,INDEX('CDFs'!$W$6:$W$505,P515),0)</f>
        <v>0</v>
      </c>
      <c r="AA515" s="96">
        <f>IF(AND(N515=1,Y515=0,Z515=1,J515="Sim"),1,0)</f>
        <v>0</v>
      </c>
      <c r="AB515" s="96">
        <f>IF(AND(N515=1,O515&lt;&gt;"",D515&lt;&gt;""),IF(COUNTIFS($O$6:O515,O515,$D$6:D515,D515)=1,1,0),0)</f>
        <v>0</v>
      </c>
      <c r="AC515" s="96">
        <f>IF(T515=1,INDEX('ITENS_MTR'!$AL$6:$AL$1005,S515),0)</f>
        <v>0</v>
      </c>
    </row>
    <row r="516">
      <c r="A516" s="89" t="inlineStr">
        <is>
          <t>VIN-000511</t>
        </is>
      </c>
      <c r="B516" s="91" t="n"/>
      <c r="C516" s="91" t="n"/>
      <c r="D516" s="94" t="str">
        <f>IF(T516=1,INDEX('ITENS_MTR'!$S$6:$S$1005,S516)&amp;"","")</f>
        <v/>
      </c>
      <c r="E516" s="94" t="str">
        <f>IF(T516=1,INDEX('ITENS_MTR'!$C$6:$C$1005,S516)&amp;"","")</f>
        <v/>
      </c>
      <c r="F516" s="98" t="n"/>
      <c r="G516" s="91" t="n"/>
      <c r="H516" s="93" t="str">
        <f>IF(N516=0,"",IF(NOT(ISNUMBER(F516)),"",IF(ISNUMBER(U516),F516*U516,"UNIDADE A CONFERIR")))</f>
        <v/>
      </c>
      <c r="I516" s="94" t="str">
        <f>IF(Q516=1,INDEX('CDFs'!$F$6:$F$505,P516)&amp;"","")</f>
        <v/>
      </c>
      <c r="J516" s="91" t="n"/>
      <c r="K516" s="91" t="n"/>
      <c r="L516" s="94" t="str">
        <f>IF(N516=0,"",IF(NOT(ISNUMBER(F516)),"Quantidade não informada",IF(F516&lt;=0,"Quantidade não positiva",IF(G516="","Unidade não informada",IF(NOT(ISNUMBER(H516)),"Unidade a conferir",IF(AC516=1,"REVISAR VÍNCULO: soma vinculada maior que a referência do item","OK"))))))</f>
        <v/>
      </c>
      <c r="M516" s="94" t="str">
        <f>IF(N516=0,"",IF(B516="","CDF não informado",IF(Q516=0,"REVISAR VÍNCULO: CDF inexistente",IF(C516="","Item não informado",IF(T516=0,"REVISAR VÍNCULO: item inexistente",IF(AND(X516=1,J516&lt;&gt;"Sim"),"REVISAR VÍNCULO: destinador diferente do MTR",IF(X516=1,"Destinador diferente do MTR (analisado)","OK")))))))</f>
        <v/>
      </c>
      <c r="N516" s="96">
        <f>IF(COUNTA(B516:C516,F516:G516,J516:K516)&gt;0,1,0)</f>
        <v>0</v>
      </c>
      <c r="O516" s="96" t="str">
        <f>IF(B516="","",TRIM(LEFT(B516,FIND(" |",B516&amp;" |")-1)))</f>
        <v/>
      </c>
      <c r="P516" s="96" t="str">
        <f>IF(O516="","",IFERROR(MATCH(O516,'CDFs'!$A$6:$A$505,0),""))</f>
        <v/>
      </c>
      <c r="Q516" s="96">
        <f>IF(P516="",0,IF(INDEX('CDFs'!$S$6:$S$505,P516)=1,1,0))</f>
        <v>0</v>
      </c>
      <c r="R516" s="96" t="str">
        <f>IF(C516="","",TRIM(LEFT(C516,FIND(" |",C516&amp;" |")-1)))</f>
        <v/>
      </c>
      <c r="S516" s="96" t="str">
        <f>IF(R516="","",IFERROR(MATCH(R516,'ITENS_MTR'!$A$6:$A$1005,0),""))</f>
        <v/>
      </c>
      <c r="T516" s="96">
        <f>IF(S516="",0,IF(INDEX('ITENS_MTR'!$R$6:$R$1005,S516)=1,1,0))</f>
        <v>0</v>
      </c>
      <c r="U516" s="96" t="str">
        <f>IF(G516="","",IFERROR(IF(ISNUMBER(INDEX(cfg_fac,MATCH(G516,cfg_units,0))),IF(INDEX(cfg_fac,MATCH(G516,cfg_units,0))&gt;0,INDEX(cfg_fac,MATCH(G516,cfg_units,0)),""),""),""))</f>
        <v/>
      </c>
      <c r="V516" s="96">
        <f>IF(AND(ISNUMBER(F516),ISNUMBER(H516)),IF(H516&gt;0,1,0),0)</f>
        <v>0</v>
      </c>
      <c r="W516" s="96" t="str">
        <f>IF(T516=1,INDEX('ITENS_MTR'!$AU$6:$AU$1005,S516)&amp;"","")</f>
        <v/>
      </c>
      <c r="X516" s="96">
        <f>IF(AND(Q516=1,T516=1,I516&lt;&gt;"",W516&lt;&gt;""),IF(I516&lt;&gt;W516,1,0),0)</f>
        <v>0</v>
      </c>
      <c r="Y516" s="96">
        <f>IF(N516=0,0,IF(OR(Q516=0,T516=0,V516=0,AND(X516=1,J516&lt;&gt;"Sim")),1,0))</f>
        <v>0</v>
      </c>
      <c r="Z516" s="96">
        <f>IF(Q516=1,INDEX('CDFs'!$W$6:$W$505,P516),0)</f>
        <v>0</v>
      </c>
      <c r="AA516" s="96">
        <f>IF(AND(N516=1,Y516=0,Z516=1,J516="Sim"),1,0)</f>
        <v>0</v>
      </c>
      <c r="AB516" s="96">
        <f>IF(AND(N516=1,O516&lt;&gt;"",D516&lt;&gt;""),IF(COUNTIFS($O$6:O516,O516,$D$6:D516,D516)=1,1,0),0)</f>
        <v>0</v>
      </c>
      <c r="AC516" s="96">
        <f>IF(T516=1,INDEX('ITENS_MTR'!$AL$6:$AL$1005,S516),0)</f>
        <v>0</v>
      </c>
    </row>
    <row r="517">
      <c r="A517" s="89" t="inlineStr">
        <is>
          <t>VIN-000512</t>
        </is>
      </c>
      <c r="B517" s="91" t="n"/>
      <c r="C517" s="91" t="n"/>
      <c r="D517" s="94" t="str">
        <f>IF(T517=1,INDEX('ITENS_MTR'!$S$6:$S$1005,S517)&amp;"","")</f>
        <v/>
      </c>
      <c r="E517" s="94" t="str">
        <f>IF(T517=1,INDEX('ITENS_MTR'!$C$6:$C$1005,S517)&amp;"","")</f>
        <v/>
      </c>
      <c r="F517" s="98" t="n"/>
      <c r="G517" s="91" t="n"/>
      <c r="H517" s="93" t="str">
        <f>IF(N517=0,"",IF(NOT(ISNUMBER(F517)),"",IF(ISNUMBER(U517),F517*U517,"UNIDADE A CONFERIR")))</f>
        <v/>
      </c>
      <c r="I517" s="94" t="str">
        <f>IF(Q517=1,INDEX('CDFs'!$F$6:$F$505,P517)&amp;"","")</f>
        <v/>
      </c>
      <c r="J517" s="91" t="n"/>
      <c r="K517" s="91" t="n"/>
      <c r="L517" s="94" t="str">
        <f>IF(N517=0,"",IF(NOT(ISNUMBER(F517)),"Quantidade não informada",IF(F517&lt;=0,"Quantidade não positiva",IF(G517="","Unidade não informada",IF(NOT(ISNUMBER(H517)),"Unidade a conferir",IF(AC517=1,"REVISAR VÍNCULO: soma vinculada maior que a referência do item","OK"))))))</f>
        <v/>
      </c>
      <c r="M517" s="94" t="str">
        <f>IF(N517=0,"",IF(B517="","CDF não informado",IF(Q517=0,"REVISAR VÍNCULO: CDF inexistente",IF(C517="","Item não informado",IF(T517=0,"REVISAR VÍNCULO: item inexistente",IF(AND(X517=1,J517&lt;&gt;"Sim"),"REVISAR VÍNCULO: destinador diferente do MTR",IF(X517=1,"Destinador diferente do MTR (analisado)","OK")))))))</f>
        <v/>
      </c>
      <c r="N517" s="96">
        <f>IF(COUNTA(B517:C517,F517:G517,J517:K517)&gt;0,1,0)</f>
        <v>0</v>
      </c>
      <c r="O517" s="96" t="str">
        <f>IF(B517="","",TRIM(LEFT(B517,FIND(" |",B517&amp;" |")-1)))</f>
        <v/>
      </c>
      <c r="P517" s="96" t="str">
        <f>IF(O517="","",IFERROR(MATCH(O517,'CDFs'!$A$6:$A$505,0),""))</f>
        <v/>
      </c>
      <c r="Q517" s="96">
        <f>IF(P517="",0,IF(INDEX('CDFs'!$S$6:$S$505,P517)=1,1,0))</f>
        <v>0</v>
      </c>
      <c r="R517" s="96" t="str">
        <f>IF(C517="","",TRIM(LEFT(C517,FIND(" |",C517&amp;" |")-1)))</f>
        <v/>
      </c>
      <c r="S517" s="96" t="str">
        <f>IF(R517="","",IFERROR(MATCH(R517,'ITENS_MTR'!$A$6:$A$1005,0),""))</f>
        <v/>
      </c>
      <c r="T517" s="96">
        <f>IF(S517="",0,IF(INDEX('ITENS_MTR'!$R$6:$R$1005,S517)=1,1,0))</f>
        <v>0</v>
      </c>
      <c r="U517" s="96" t="str">
        <f>IF(G517="","",IFERROR(IF(ISNUMBER(INDEX(cfg_fac,MATCH(G517,cfg_units,0))),IF(INDEX(cfg_fac,MATCH(G517,cfg_units,0))&gt;0,INDEX(cfg_fac,MATCH(G517,cfg_units,0)),""),""),""))</f>
        <v/>
      </c>
      <c r="V517" s="96">
        <f>IF(AND(ISNUMBER(F517),ISNUMBER(H517)),IF(H517&gt;0,1,0),0)</f>
        <v>0</v>
      </c>
      <c r="W517" s="96" t="str">
        <f>IF(T517=1,INDEX('ITENS_MTR'!$AU$6:$AU$1005,S517)&amp;"","")</f>
        <v/>
      </c>
      <c r="X517" s="96">
        <f>IF(AND(Q517=1,T517=1,I517&lt;&gt;"",W517&lt;&gt;""),IF(I517&lt;&gt;W517,1,0),0)</f>
        <v>0</v>
      </c>
      <c r="Y517" s="96">
        <f>IF(N517=0,0,IF(OR(Q517=0,T517=0,V517=0,AND(X517=1,J517&lt;&gt;"Sim")),1,0))</f>
        <v>0</v>
      </c>
      <c r="Z517" s="96">
        <f>IF(Q517=1,INDEX('CDFs'!$W$6:$W$505,P517),0)</f>
        <v>0</v>
      </c>
      <c r="AA517" s="96">
        <f>IF(AND(N517=1,Y517=0,Z517=1,J517="Sim"),1,0)</f>
        <v>0</v>
      </c>
      <c r="AB517" s="96">
        <f>IF(AND(N517=1,O517&lt;&gt;"",D517&lt;&gt;""),IF(COUNTIFS($O$6:O517,O517,$D$6:D517,D517)=1,1,0),0)</f>
        <v>0</v>
      </c>
      <c r="AC517" s="96">
        <f>IF(T517=1,INDEX('ITENS_MTR'!$AL$6:$AL$1005,S517),0)</f>
        <v>0</v>
      </c>
    </row>
    <row r="518">
      <c r="A518" s="89" t="inlineStr">
        <is>
          <t>VIN-000513</t>
        </is>
      </c>
      <c r="B518" s="91" t="n"/>
      <c r="C518" s="91" t="n"/>
      <c r="D518" s="94" t="str">
        <f>IF(T518=1,INDEX('ITENS_MTR'!$S$6:$S$1005,S518)&amp;"","")</f>
        <v/>
      </c>
      <c r="E518" s="94" t="str">
        <f>IF(T518=1,INDEX('ITENS_MTR'!$C$6:$C$1005,S518)&amp;"","")</f>
        <v/>
      </c>
      <c r="F518" s="98" t="n"/>
      <c r="G518" s="91" t="n"/>
      <c r="H518" s="93" t="str">
        <f>IF(N518=0,"",IF(NOT(ISNUMBER(F518)),"",IF(ISNUMBER(U518),F518*U518,"UNIDADE A CONFERIR")))</f>
        <v/>
      </c>
      <c r="I518" s="94" t="str">
        <f>IF(Q518=1,INDEX('CDFs'!$F$6:$F$505,P518)&amp;"","")</f>
        <v/>
      </c>
      <c r="J518" s="91" t="n"/>
      <c r="K518" s="91" t="n"/>
      <c r="L518" s="94" t="str">
        <f>IF(N518=0,"",IF(NOT(ISNUMBER(F518)),"Quantidade não informada",IF(F518&lt;=0,"Quantidade não positiva",IF(G518="","Unidade não informada",IF(NOT(ISNUMBER(H518)),"Unidade a conferir",IF(AC518=1,"REVISAR VÍNCULO: soma vinculada maior que a referência do item","OK"))))))</f>
        <v/>
      </c>
      <c r="M518" s="94" t="str">
        <f>IF(N518=0,"",IF(B518="","CDF não informado",IF(Q518=0,"REVISAR VÍNCULO: CDF inexistente",IF(C518="","Item não informado",IF(T518=0,"REVISAR VÍNCULO: item inexistente",IF(AND(X518=1,J518&lt;&gt;"Sim"),"REVISAR VÍNCULO: destinador diferente do MTR",IF(X518=1,"Destinador diferente do MTR (analisado)","OK")))))))</f>
        <v/>
      </c>
      <c r="N518" s="96">
        <f>IF(COUNTA(B518:C518,F518:G518,J518:K518)&gt;0,1,0)</f>
        <v>0</v>
      </c>
      <c r="O518" s="96" t="str">
        <f>IF(B518="","",TRIM(LEFT(B518,FIND(" |",B518&amp;" |")-1)))</f>
        <v/>
      </c>
      <c r="P518" s="96" t="str">
        <f>IF(O518="","",IFERROR(MATCH(O518,'CDFs'!$A$6:$A$505,0),""))</f>
        <v/>
      </c>
      <c r="Q518" s="96">
        <f>IF(P518="",0,IF(INDEX('CDFs'!$S$6:$S$505,P518)=1,1,0))</f>
        <v>0</v>
      </c>
      <c r="R518" s="96" t="str">
        <f>IF(C518="","",TRIM(LEFT(C518,FIND(" |",C518&amp;" |")-1)))</f>
        <v/>
      </c>
      <c r="S518" s="96" t="str">
        <f>IF(R518="","",IFERROR(MATCH(R518,'ITENS_MTR'!$A$6:$A$1005,0),""))</f>
        <v/>
      </c>
      <c r="T518" s="96">
        <f>IF(S518="",0,IF(INDEX('ITENS_MTR'!$R$6:$R$1005,S518)=1,1,0))</f>
        <v>0</v>
      </c>
      <c r="U518" s="96" t="str">
        <f>IF(G518="","",IFERROR(IF(ISNUMBER(INDEX(cfg_fac,MATCH(G518,cfg_units,0))),IF(INDEX(cfg_fac,MATCH(G518,cfg_units,0))&gt;0,INDEX(cfg_fac,MATCH(G518,cfg_units,0)),""),""),""))</f>
        <v/>
      </c>
      <c r="V518" s="96">
        <f>IF(AND(ISNUMBER(F518),ISNUMBER(H518)),IF(H518&gt;0,1,0),0)</f>
        <v>0</v>
      </c>
      <c r="W518" s="96" t="str">
        <f>IF(T518=1,INDEX('ITENS_MTR'!$AU$6:$AU$1005,S518)&amp;"","")</f>
        <v/>
      </c>
      <c r="X518" s="96">
        <f>IF(AND(Q518=1,T518=1,I518&lt;&gt;"",W518&lt;&gt;""),IF(I518&lt;&gt;W518,1,0),0)</f>
        <v>0</v>
      </c>
      <c r="Y518" s="96">
        <f>IF(N518=0,0,IF(OR(Q518=0,T518=0,V518=0,AND(X518=1,J518&lt;&gt;"Sim")),1,0))</f>
        <v>0</v>
      </c>
      <c r="Z518" s="96">
        <f>IF(Q518=1,INDEX('CDFs'!$W$6:$W$505,P518),0)</f>
        <v>0</v>
      </c>
      <c r="AA518" s="96">
        <f>IF(AND(N518=1,Y518=0,Z518=1,J518="Sim"),1,0)</f>
        <v>0</v>
      </c>
      <c r="AB518" s="96">
        <f>IF(AND(N518=1,O518&lt;&gt;"",D518&lt;&gt;""),IF(COUNTIFS($O$6:O518,O518,$D$6:D518,D518)=1,1,0),0)</f>
        <v>0</v>
      </c>
      <c r="AC518" s="96">
        <f>IF(T518=1,INDEX('ITENS_MTR'!$AL$6:$AL$1005,S518),0)</f>
        <v>0</v>
      </c>
    </row>
    <row r="519">
      <c r="A519" s="89" t="inlineStr">
        <is>
          <t>VIN-000514</t>
        </is>
      </c>
      <c r="B519" s="91" t="n"/>
      <c r="C519" s="91" t="n"/>
      <c r="D519" s="94" t="str">
        <f>IF(T519=1,INDEX('ITENS_MTR'!$S$6:$S$1005,S519)&amp;"","")</f>
        <v/>
      </c>
      <c r="E519" s="94" t="str">
        <f>IF(T519=1,INDEX('ITENS_MTR'!$C$6:$C$1005,S519)&amp;"","")</f>
        <v/>
      </c>
      <c r="F519" s="98" t="n"/>
      <c r="G519" s="91" t="n"/>
      <c r="H519" s="93" t="str">
        <f>IF(N519=0,"",IF(NOT(ISNUMBER(F519)),"",IF(ISNUMBER(U519),F519*U519,"UNIDADE A CONFERIR")))</f>
        <v/>
      </c>
      <c r="I519" s="94" t="str">
        <f>IF(Q519=1,INDEX('CDFs'!$F$6:$F$505,P519)&amp;"","")</f>
        <v/>
      </c>
      <c r="J519" s="91" t="n"/>
      <c r="K519" s="91" t="n"/>
      <c r="L519" s="94" t="str">
        <f>IF(N519=0,"",IF(NOT(ISNUMBER(F519)),"Quantidade não informada",IF(F519&lt;=0,"Quantidade não positiva",IF(G519="","Unidade não informada",IF(NOT(ISNUMBER(H519)),"Unidade a conferir",IF(AC519=1,"REVISAR VÍNCULO: soma vinculada maior que a referência do item","OK"))))))</f>
        <v/>
      </c>
      <c r="M519" s="94" t="str">
        <f>IF(N519=0,"",IF(B519="","CDF não informado",IF(Q519=0,"REVISAR VÍNCULO: CDF inexistente",IF(C519="","Item não informado",IF(T519=0,"REVISAR VÍNCULO: item inexistente",IF(AND(X519=1,J519&lt;&gt;"Sim"),"REVISAR VÍNCULO: destinador diferente do MTR",IF(X519=1,"Destinador diferente do MTR (analisado)","OK")))))))</f>
        <v/>
      </c>
      <c r="N519" s="96">
        <f>IF(COUNTA(B519:C519,F519:G519,J519:K519)&gt;0,1,0)</f>
        <v>0</v>
      </c>
      <c r="O519" s="96" t="str">
        <f>IF(B519="","",TRIM(LEFT(B519,FIND(" |",B519&amp;" |")-1)))</f>
        <v/>
      </c>
      <c r="P519" s="96" t="str">
        <f>IF(O519="","",IFERROR(MATCH(O519,'CDFs'!$A$6:$A$505,0),""))</f>
        <v/>
      </c>
      <c r="Q519" s="96">
        <f>IF(P519="",0,IF(INDEX('CDFs'!$S$6:$S$505,P519)=1,1,0))</f>
        <v>0</v>
      </c>
      <c r="R519" s="96" t="str">
        <f>IF(C519="","",TRIM(LEFT(C519,FIND(" |",C519&amp;" |")-1)))</f>
        <v/>
      </c>
      <c r="S519" s="96" t="str">
        <f>IF(R519="","",IFERROR(MATCH(R519,'ITENS_MTR'!$A$6:$A$1005,0),""))</f>
        <v/>
      </c>
      <c r="T519" s="96">
        <f>IF(S519="",0,IF(INDEX('ITENS_MTR'!$R$6:$R$1005,S519)=1,1,0))</f>
        <v>0</v>
      </c>
      <c r="U519" s="96" t="str">
        <f>IF(G519="","",IFERROR(IF(ISNUMBER(INDEX(cfg_fac,MATCH(G519,cfg_units,0))),IF(INDEX(cfg_fac,MATCH(G519,cfg_units,0))&gt;0,INDEX(cfg_fac,MATCH(G519,cfg_units,0)),""),""),""))</f>
        <v/>
      </c>
      <c r="V519" s="96">
        <f>IF(AND(ISNUMBER(F519),ISNUMBER(H519)),IF(H519&gt;0,1,0),0)</f>
        <v>0</v>
      </c>
      <c r="W519" s="96" t="str">
        <f>IF(T519=1,INDEX('ITENS_MTR'!$AU$6:$AU$1005,S519)&amp;"","")</f>
        <v/>
      </c>
      <c r="X519" s="96">
        <f>IF(AND(Q519=1,T519=1,I519&lt;&gt;"",W519&lt;&gt;""),IF(I519&lt;&gt;W519,1,0),0)</f>
        <v>0</v>
      </c>
      <c r="Y519" s="96">
        <f>IF(N519=0,0,IF(OR(Q519=0,T519=0,V519=0,AND(X519=1,J519&lt;&gt;"Sim")),1,0))</f>
        <v>0</v>
      </c>
      <c r="Z519" s="96">
        <f>IF(Q519=1,INDEX('CDFs'!$W$6:$W$505,P519),0)</f>
        <v>0</v>
      </c>
      <c r="AA519" s="96">
        <f>IF(AND(N519=1,Y519=0,Z519=1,J519="Sim"),1,0)</f>
        <v>0</v>
      </c>
      <c r="AB519" s="96">
        <f>IF(AND(N519=1,O519&lt;&gt;"",D519&lt;&gt;""),IF(COUNTIFS($O$6:O519,O519,$D$6:D519,D519)=1,1,0),0)</f>
        <v>0</v>
      </c>
      <c r="AC519" s="96">
        <f>IF(T519=1,INDEX('ITENS_MTR'!$AL$6:$AL$1005,S519),0)</f>
        <v>0</v>
      </c>
    </row>
    <row r="520">
      <c r="A520" s="89" t="inlineStr">
        <is>
          <t>VIN-000515</t>
        </is>
      </c>
      <c r="B520" s="91" t="n"/>
      <c r="C520" s="91" t="n"/>
      <c r="D520" s="94" t="str">
        <f>IF(T520=1,INDEX('ITENS_MTR'!$S$6:$S$1005,S520)&amp;"","")</f>
        <v/>
      </c>
      <c r="E520" s="94" t="str">
        <f>IF(T520=1,INDEX('ITENS_MTR'!$C$6:$C$1005,S520)&amp;"","")</f>
        <v/>
      </c>
      <c r="F520" s="98" t="n"/>
      <c r="G520" s="91" t="n"/>
      <c r="H520" s="93" t="str">
        <f>IF(N520=0,"",IF(NOT(ISNUMBER(F520)),"",IF(ISNUMBER(U520),F520*U520,"UNIDADE A CONFERIR")))</f>
        <v/>
      </c>
      <c r="I520" s="94" t="str">
        <f>IF(Q520=1,INDEX('CDFs'!$F$6:$F$505,P520)&amp;"","")</f>
        <v/>
      </c>
      <c r="J520" s="91" t="n"/>
      <c r="K520" s="91" t="n"/>
      <c r="L520" s="94" t="str">
        <f>IF(N520=0,"",IF(NOT(ISNUMBER(F520)),"Quantidade não informada",IF(F520&lt;=0,"Quantidade não positiva",IF(G520="","Unidade não informada",IF(NOT(ISNUMBER(H520)),"Unidade a conferir",IF(AC520=1,"REVISAR VÍNCULO: soma vinculada maior que a referência do item","OK"))))))</f>
        <v/>
      </c>
      <c r="M520" s="94" t="str">
        <f>IF(N520=0,"",IF(B520="","CDF não informado",IF(Q520=0,"REVISAR VÍNCULO: CDF inexistente",IF(C520="","Item não informado",IF(T520=0,"REVISAR VÍNCULO: item inexistente",IF(AND(X520=1,J520&lt;&gt;"Sim"),"REVISAR VÍNCULO: destinador diferente do MTR",IF(X520=1,"Destinador diferente do MTR (analisado)","OK")))))))</f>
        <v/>
      </c>
      <c r="N520" s="96">
        <f>IF(COUNTA(B520:C520,F520:G520,J520:K520)&gt;0,1,0)</f>
        <v>0</v>
      </c>
      <c r="O520" s="96" t="str">
        <f>IF(B520="","",TRIM(LEFT(B520,FIND(" |",B520&amp;" |")-1)))</f>
        <v/>
      </c>
      <c r="P520" s="96" t="str">
        <f>IF(O520="","",IFERROR(MATCH(O520,'CDFs'!$A$6:$A$505,0),""))</f>
        <v/>
      </c>
      <c r="Q520" s="96">
        <f>IF(P520="",0,IF(INDEX('CDFs'!$S$6:$S$505,P520)=1,1,0))</f>
        <v>0</v>
      </c>
      <c r="R520" s="96" t="str">
        <f>IF(C520="","",TRIM(LEFT(C520,FIND(" |",C520&amp;" |")-1)))</f>
        <v/>
      </c>
      <c r="S520" s="96" t="str">
        <f>IF(R520="","",IFERROR(MATCH(R520,'ITENS_MTR'!$A$6:$A$1005,0),""))</f>
        <v/>
      </c>
      <c r="T520" s="96">
        <f>IF(S520="",0,IF(INDEX('ITENS_MTR'!$R$6:$R$1005,S520)=1,1,0))</f>
        <v>0</v>
      </c>
      <c r="U520" s="96" t="str">
        <f>IF(G520="","",IFERROR(IF(ISNUMBER(INDEX(cfg_fac,MATCH(G520,cfg_units,0))),IF(INDEX(cfg_fac,MATCH(G520,cfg_units,0))&gt;0,INDEX(cfg_fac,MATCH(G520,cfg_units,0)),""),""),""))</f>
        <v/>
      </c>
      <c r="V520" s="96">
        <f>IF(AND(ISNUMBER(F520),ISNUMBER(H520)),IF(H520&gt;0,1,0),0)</f>
        <v>0</v>
      </c>
      <c r="W520" s="96" t="str">
        <f>IF(T520=1,INDEX('ITENS_MTR'!$AU$6:$AU$1005,S520)&amp;"","")</f>
        <v/>
      </c>
      <c r="X520" s="96">
        <f>IF(AND(Q520=1,T520=1,I520&lt;&gt;"",W520&lt;&gt;""),IF(I520&lt;&gt;W520,1,0),0)</f>
        <v>0</v>
      </c>
      <c r="Y520" s="96">
        <f>IF(N520=0,0,IF(OR(Q520=0,T520=0,V520=0,AND(X520=1,J520&lt;&gt;"Sim")),1,0))</f>
        <v>0</v>
      </c>
      <c r="Z520" s="96">
        <f>IF(Q520=1,INDEX('CDFs'!$W$6:$W$505,P520),0)</f>
        <v>0</v>
      </c>
      <c r="AA520" s="96">
        <f>IF(AND(N520=1,Y520=0,Z520=1,J520="Sim"),1,0)</f>
        <v>0</v>
      </c>
      <c r="AB520" s="96">
        <f>IF(AND(N520=1,O520&lt;&gt;"",D520&lt;&gt;""),IF(COUNTIFS($O$6:O520,O520,$D$6:D520,D520)=1,1,0),0)</f>
        <v>0</v>
      </c>
      <c r="AC520" s="96">
        <f>IF(T520=1,INDEX('ITENS_MTR'!$AL$6:$AL$1005,S520),0)</f>
        <v>0</v>
      </c>
    </row>
    <row r="521">
      <c r="A521" s="89" t="inlineStr">
        <is>
          <t>VIN-000516</t>
        </is>
      </c>
      <c r="B521" s="91" t="n"/>
      <c r="C521" s="91" t="n"/>
      <c r="D521" s="94" t="str">
        <f>IF(T521=1,INDEX('ITENS_MTR'!$S$6:$S$1005,S521)&amp;"","")</f>
        <v/>
      </c>
      <c r="E521" s="94" t="str">
        <f>IF(T521=1,INDEX('ITENS_MTR'!$C$6:$C$1005,S521)&amp;"","")</f>
        <v/>
      </c>
      <c r="F521" s="98" t="n"/>
      <c r="G521" s="91" t="n"/>
      <c r="H521" s="93" t="str">
        <f>IF(N521=0,"",IF(NOT(ISNUMBER(F521)),"",IF(ISNUMBER(U521),F521*U521,"UNIDADE A CONFERIR")))</f>
        <v/>
      </c>
      <c r="I521" s="94" t="str">
        <f>IF(Q521=1,INDEX('CDFs'!$F$6:$F$505,P521)&amp;"","")</f>
        <v/>
      </c>
      <c r="J521" s="91" t="n"/>
      <c r="K521" s="91" t="n"/>
      <c r="L521" s="94" t="str">
        <f>IF(N521=0,"",IF(NOT(ISNUMBER(F521)),"Quantidade não informada",IF(F521&lt;=0,"Quantidade não positiva",IF(G521="","Unidade não informada",IF(NOT(ISNUMBER(H521)),"Unidade a conferir",IF(AC521=1,"REVISAR VÍNCULO: soma vinculada maior que a referência do item","OK"))))))</f>
        <v/>
      </c>
      <c r="M521" s="94" t="str">
        <f>IF(N521=0,"",IF(B521="","CDF não informado",IF(Q521=0,"REVISAR VÍNCULO: CDF inexistente",IF(C521="","Item não informado",IF(T521=0,"REVISAR VÍNCULO: item inexistente",IF(AND(X521=1,J521&lt;&gt;"Sim"),"REVISAR VÍNCULO: destinador diferente do MTR",IF(X521=1,"Destinador diferente do MTR (analisado)","OK")))))))</f>
        <v/>
      </c>
      <c r="N521" s="96">
        <f>IF(COUNTA(B521:C521,F521:G521,J521:K521)&gt;0,1,0)</f>
        <v>0</v>
      </c>
      <c r="O521" s="96" t="str">
        <f>IF(B521="","",TRIM(LEFT(B521,FIND(" |",B521&amp;" |")-1)))</f>
        <v/>
      </c>
      <c r="P521" s="96" t="str">
        <f>IF(O521="","",IFERROR(MATCH(O521,'CDFs'!$A$6:$A$505,0),""))</f>
        <v/>
      </c>
      <c r="Q521" s="96">
        <f>IF(P521="",0,IF(INDEX('CDFs'!$S$6:$S$505,P521)=1,1,0))</f>
        <v>0</v>
      </c>
      <c r="R521" s="96" t="str">
        <f>IF(C521="","",TRIM(LEFT(C521,FIND(" |",C521&amp;" |")-1)))</f>
        <v/>
      </c>
      <c r="S521" s="96" t="str">
        <f>IF(R521="","",IFERROR(MATCH(R521,'ITENS_MTR'!$A$6:$A$1005,0),""))</f>
        <v/>
      </c>
      <c r="T521" s="96">
        <f>IF(S521="",0,IF(INDEX('ITENS_MTR'!$R$6:$R$1005,S521)=1,1,0))</f>
        <v>0</v>
      </c>
      <c r="U521" s="96" t="str">
        <f>IF(G521="","",IFERROR(IF(ISNUMBER(INDEX(cfg_fac,MATCH(G521,cfg_units,0))),IF(INDEX(cfg_fac,MATCH(G521,cfg_units,0))&gt;0,INDEX(cfg_fac,MATCH(G521,cfg_units,0)),""),""),""))</f>
        <v/>
      </c>
      <c r="V521" s="96">
        <f>IF(AND(ISNUMBER(F521),ISNUMBER(H521)),IF(H521&gt;0,1,0),0)</f>
        <v>0</v>
      </c>
      <c r="W521" s="96" t="str">
        <f>IF(T521=1,INDEX('ITENS_MTR'!$AU$6:$AU$1005,S521)&amp;"","")</f>
        <v/>
      </c>
      <c r="X521" s="96">
        <f>IF(AND(Q521=1,T521=1,I521&lt;&gt;"",W521&lt;&gt;""),IF(I521&lt;&gt;W521,1,0),0)</f>
        <v>0</v>
      </c>
      <c r="Y521" s="96">
        <f>IF(N521=0,0,IF(OR(Q521=0,T521=0,V521=0,AND(X521=1,J521&lt;&gt;"Sim")),1,0))</f>
        <v>0</v>
      </c>
      <c r="Z521" s="96">
        <f>IF(Q521=1,INDEX('CDFs'!$W$6:$W$505,P521),0)</f>
        <v>0</v>
      </c>
      <c r="AA521" s="96">
        <f>IF(AND(N521=1,Y521=0,Z521=1,J521="Sim"),1,0)</f>
        <v>0</v>
      </c>
      <c r="AB521" s="96">
        <f>IF(AND(N521=1,O521&lt;&gt;"",D521&lt;&gt;""),IF(COUNTIFS($O$6:O521,O521,$D$6:D521,D521)=1,1,0),0)</f>
        <v>0</v>
      </c>
      <c r="AC521" s="96">
        <f>IF(T521=1,INDEX('ITENS_MTR'!$AL$6:$AL$1005,S521),0)</f>
        <v>0</v>
      </c>
    </row>
    <row r="522">
      <c r="A522" s="89" t="inlineStr">
        <is>
          <t>VIN-000517</t>
        </is>
      </c>
      <c r="B522" s="91" t="n"/>
      <c r="C522" s="91" t="n"/>
      <c r="D522" s="94" t="str">
        <f>IF(T522=1,INDEX('ITENS_MTR'!$S$6:$S$1005,S522)&amp;"","")</f>
        <v/>
      </c>
      <c r="E522" s="94" t="str">
        <f>IF(T522=1,INDEX('ITENS_MTR'!$C$6:$C$1005,S522)&amp;"","")</f>
        <v/>
      </c>
      <c r="F522" s="98" t="n"/>
      <c r="G522" s="91" t="n"/>
      <c r="H522" s="93" t="str">
        <f>IF(N522=0,"",IF(NOT(ISNUMBER(F522)),"",IF(ISNUMBER(U522),F522*U522,"UNIDADE A CONFERIR")))</f>
        <v/>
      </c>
      <c r="I522" s="94" t="str">
        <f>IF(Q522=1,INDEX('CDFs'!$F$6:$F$505,P522)&amp;"","")</f>
        <v/>
      </c>
      <c r="J522" s="91" t="n"/>
      <c r="K522" s="91" t="n"/>
      <c r="L522" s="94" t="str">
        <f>IF(N522=0,"",IF(NOT(ISNUMBER(F522)),"Quantidade não informada",IF(F522&lt;=0,"Quantidade não positiva",IF(G522="","Unidade não informada",IF(NOT(ISNUMBER(H522)),"Unidade a conferir",IF(AC522=1,"REVISAR VÍNCULO: soma vinculada maior que a referência do item","OK"))))))</f>
        <v/>
      </c>
      <c r="M522" s="94" t="str">
        <f>IF(N522=0,"",IF(B522="","CDF não informado",IF(Q522=0,"REVISAR VÍNCULO: CDF inexistente",IF(C522="","Item não informado",IF(T522=0,"REVISAR VÍNCULO: item inexistente",IF(AND(X522=1,J522&lt;&gt;"Sim"),"REVISAR VÍNCULO: destinador diferente do MTR",IF(X522=1,"Destinador diferente do MTR (analisado)","OK")))))))</f>
        <v/>
      </c>
      <c r="N522" s="96">
        <f>IF(COUNTA(B522:C522,F522:G522,J522:K522)&gt;0,1,0)</f>
        <v>0</v>
      </c>
      <c r="O522" s="96" t="str">
        <f>IF(B522="","",TRIM(LEFT(B522,FIND(" |",B522&amp;" |")-1)))</f>
        <v/>
      </c>
      <c r="P522" s="96" t="str">
        <f>IF(O522="","",IFERROR(MATCH(O522,'CDFs'!$A$6:$A$505,0),""))</f>
        <v/>
      </c>
      <c r="Q522" s="96">
        <f>IF(P522="",0,IF(INDEX('CDFs'!$S$6:$S$505,P522)=1,1,0))</f>
        <v>0</v>
      </c>
      <c r="R522" s="96" t="str">
        <f>IF(C522="","",TRIM(LEFT(C522,FIND(" |",C522&amp;" |")-1)))</f>
        <v/>
      </c>
      <c r="S522" s="96" t="str">
        <f>IF(R522="","",IFERROR(MATCH(R522,'ITENS_MTR'!$A$6:$A$1005,0),""))</f>
        <v/>
      </c>
      <c r="T522" s="96">
        <f>IF(S522="",0,IF(INDEX('ITENS_MTR'!$R$6:$R$1005,S522)=1,1,0))</f>
        <v>0</v>
      </c>
      <c r="U522" s="96" t="str">
        <f>IF(G522="","",IFERROR(IF(ISNUMBER(INDEX(cfg_fac,MATCH(G522,cfg_units,0))),IF(INDEX(cfg_fac,MATCH(G522,cfg_units,0))&gt;0,INDEX(cfg_fac,MATCH(G522,cfg_units,0)),""),""),""))</f>
        <v/>
      </c>
      <c r="V522" s="96">
        <f>IF(AND(ISNUMBER(F522),ISNUMBER(H522)),IF(H522&gt;0,1,0),0)</f>
        <v>0</v>
      </c>
      <c r="W522" s="96" t="str">
        <f>IF(T522=1,INDEX('ITENS_MTR'!$AU$6:$AU$1005,S522)&amp;"","")</f>
        <v/>
      </c>
      <c r="X522" s="96">
        <f>IF(AND(Q522=1,T522=1,I522&lt;&gt;"",W522&lt;&gt;""),IF(I522&lt;&gt;W522,1,0),0)</f>
        <v>0</v>
      </c>
      <c r="Y522" s="96">
        <f>IF(N522=0,0,IF(OR(Q522=0,T522=0,V522=0,AND(X522=1,J522&lt;&gt;"Sim")),1,0))</f>
        <v>0</v>
      </c>
      <c r="Z522" s="96">
        <f>IF(Q522=1,INDEX('CDFs'!$W$6:$W$505,P522),0)</f>
        <v>0</v>
      </c>
      <c r="AA522" s="96">
        <f>IF(AND(N522=1,Y522=0,Z522=1,J522="Sim"),1,0)</f>
        <v>0</v>
      </c>
      <c r="AB522" s="96">
        <f>IF(AND(N522=1,O522&lt;&gt;"",D522&lt;&gt;""),IF(COUNTIFS($O$6:O522,O522,$D$6:D522,D522)=1,1,0),0)</f>
        <v>0</v>
      </c>
      <c r="AC522" s="96">
        <f>IF(T522=1,INDEX('ITENS_MTR'!$AL$6:$AL$1005,S522),0)</f>
        <v>0</v>
      </c>
    </row>
    <row r="523">
      <c r="A523" s="89" t="inlineStr">
        <is>
          <t>VIN-000518</t>
        </is>
      </c>
      <c r="B523" s="91" t="n"/>
      <c r="C523" s="91" t="n"/>
      <c r="D523" s="94" t="str">
        <f>IF(T523=1,INDEX('ITENS_MTR'!$S$6:$S$1005,S523)&amp;"","")</f>
        <v/>
      </c>
      <c r="E523" s="94" t="str">
        <f>IF(T523=1,INDEX('ITENS_MTR'!$C$6:$C$1005,S523)&amp;"","")</f>
        <v/>
      </c>
      <c r="F523" s="98" t="n"/>
      <c r="G523" s="91" t="n"/>
      <c r="H523" s="93" t="str">
        <f>IF(N523=0,"",IF(NOT(ISNUMBER(F523)),"",IF(ISNUMBER(U523),F523*U523,"UNIDADE A CONFERIR")))</f>
        <v/>
      </c>
      <c r="I523" s="94" t="str">
        <f>IF(Q523=1,INDEX('CDFs'!$F$6:$F$505,P523)&amp;"","")</f>
        <v/>
      </c>
      <c r="J523" s="91" t="n"/>
      <c r="K523" s="91" t="n"/>
      <c r="L523" s="94" t="str">
        <f>IF(N523=0,"",IF(NOT(ISNUMBER(F523)),"Quantidade não informada",IF(F523&lt;=0,"Quantidade não positiva",IF(G523="","Unidade não informada",IF(NOT(ISNUMBER(H523)),"Unidade a conferir",IF(AC523=1,"REVISAR VÍNCULO: soma vinculada maior que a referência do item","OK"))))))</f>
        <v/>
      </c>
      <c r="M523" s="94" t="str">
        <f>IF(N523=0,"",IF(B523="","CDF não informado",IF(Q523=0,"REVISAR VÍNCULO: CDF inexistente",IF(C523="","Item não informado",IF(T523=0,"REVISAR VÍNCULO: item inexistente",IF(AND(X523=1,J523&lt;&gt;"Sim"),"REVISAR VÍNCULO: destinador diferente do MTR",IF(X523=1,"Destinador diferente do MTR (analisado)","OK")))))))</f>
        <v/>
      </c>
      <c r="N523" s="96">
        <f>IF(COUNTA(B523:C523,F523:G523,J523:K523)&gt;0,1,0)</f>
        <v>0</v>
      </c>
      <c r="O523" s="96" t="str">
        <f>IF(B523="","",TRIM(LEFT(B523,FIND(" |",B523&amp;" |")-1)))</f>
        <v/>
      </c>
      <c r="P523" s="96" t="str">
        <f>IF(O523="","",IFERROR(MATCH(O523,'CDFs'!$A$6:$A$505,0),""))</f>
        <v/>
      </c>
      <c r="Q523" s="96">
        <f>IF(P523="",0,IF(INDEX('CDFs'!$S$6:$S$505,P523)=1,1,0))</f>
        <v>0</v>
      </c>
      <c r="R523" s="96" t="str">
        <f>IF(C523="","",TRIM(LEFT(C523,FIND(" |",C523&amp;" |")-1)))</f>
        <v/>
      </c>
      <c r="S523" s="96" t="str">
        <f>IF(R523="","",IFERROR(MATCH(R523,'ITENS_MTR'!$A$6:$A$1005,0),""))</f>
        <v/>
      </c>
      <c r="T523" s="96">
        <f>IF(S523="",0,IF(INDEX('ITENS_MTR'!$R$6:$R$1005,S523)=1,1,0))</f>
        <v>0</v>
      </c>
      <c r="U523" s="96" t="str">
        <f>IF(G523="","",IFERROR(IF(ISNUMBER(INDEX(cfg_fac,MATCH(G523,cfg_units,0))),IF(INDEX(cfg_fac,MATCH(G523,cfg_units,0))&gt;0,INDEX(cfg_fac,MATCH(G523,cfg_units,0)),""),""),""))</f>
        <v/>
      </c>
      <c r="V523" s="96">
        <f>IF(AND(ISNUMBER(F523),ISNUMBER(H523)),IF(H523&gt;0,1,0),0)</f>
        <v>0</v>
      </c>
      <c r="W523" s="96" t="str">
        <f>IF(T523=1,INDEX('ITENS_MTR'!$AU$6:$AU$1005,S523)&amp;"","")</f>
        <v/>
      </c>
      <c r="X523" s="96">
        <f>IF(AND(Q523=1,T523=1,I523&lt;&gt;"",W523&lt;&gt;""),IF(I523&lt;&gt;W523,1,0),0)</f>
        <v>0</v>
      </c>
      <c r="Y523" s="96">
        <f>IF(N523=0,0,IF(OR(Q523=0,T523=0,V523=0,AND(X523=1,J523&lt;&gt;"Sim")),1,0))</f>
        <v>0</v>
      </c>
      <c r="Z523" s="96">
        <f>IF(Q523=1,INDEX('CDFs'!$W$6:$W$505,P523),0)</f>
        <v>0</v>
      </c>
      <c r="AA523" s="96">
        <f>IF(AND(N523=1,Y523=0,Z523=1,J523="Sim"),1,0)</f>
        <v>0</v>
      </c>
      <c r="AB523" s="96">
        <f>IF(AND(N523=1,O523&lt;&gt;"",D523&lt;&gt;""),IF(COUNTIFS($O$6:O523,O523,$D$6:D523,D523)=1,1,0),0)</f>
        <v>0</v>
      </c>
      <c r="AC523" s="96">
        <f>IF(T523=1,INDEX('ITENS_MTR'!$AL$6:$AL$1005,S523),0)</f>
        <v>0</v>
      </c>
    </row>
    <row r="524">
      <c r="A524" s="89" t="inlineStr">
        <is>
          <t>VIN-000519</t>
        </is>
      </c>
      <c r="B524" s="91" t="n"/>
      <c r="C524" s="91" t="n"/>
      <c r="D524" s="94" t="str">
        <f>IF(T524=1,INDEX('ITENS_MTR'!$S$6:$S$1005,S524)&amp;"","")</f>
        <v/>
      </c>
      <c r="E524" s="94" t="str">
        <f>IF(T524=1,INDEX('ITENS_MTR'!$C$6:$C$1005,S524)&amp;"","")</f>
        <v/>
      </c>
      <c r="F524" s="98" t="n"/>
      <c r="G524" s="91" t="n"/>
      <c r="H524" s="93" t="str">
        <f>IF(N524=0,"",IF(NOT(ISNUMBER(F524)),"",IF(ISNUMBER(U524),F524*U524,"UNIDADE A CONFERIR")))</f>
        <v/>
      </c>
      <c r="I524" s="94" t="str">
        <f>IF(Q524=1,INDEX('CDFs'!$F$6:$F$505,P524)&amp;"","")</f>
        <v/>
      </c>
      <c r="J524" s="91" t="n"/>
      <c r="K524" s="91" t="n"/>
      <c r="L524" s="94" t="str">
        <f>IF(N524=0,"",IF(NOT(ISNUMBER(F524)),"Quantidade não informada",IF(F524&lt;=0,"Quantidade não positiva",IF(G524="","Unidade não informada",IF(NOT(ISNUMBER(H524)),"Unidade a conferir",IF(AC524=1,"REVISAR VÍNCULO: soma vinculada maior que a referência do item","OK"))))))</f>
        <v/>
      </c>
      <c r="M524" s="94" t="str">
        <f>IF(N524=0,"",IF(B524="","CDF não informado",IF(Q524=0,"REVISAR VÍNCULO: CDF inexistente",IF(C524="","Item não informado",IF(T524=0,"REVISAR VÍNCULO: item inexistente",IF(AND(X524=1,J524&lt;&gt;"Sim"),"REVISAR VÍNCULO: destinador diferente do MTR",IF(X524=1,"Destinador diferente do MTR (analisado)","OK")))))))</f>
        <v/>
      </c>
      <c r="N524" s="96">
        <f>IF(COUNTA(B524:C524,F524:G524,J524:K524)&gt;0,1,0)</f>
        <v>0</v>
      </c>
      <c r="O524" s="96" t="str">
        <f>IF(B524="","",TRIM(LEFT(B524,FIND(" |",B524&amp;" |")-1)))</f>
        <v/>
      </c>
      <c r="P524" s="96" t="str">
        <f>IF(O524="","",IFERROR(MATCH(O524,'CDFs'!$A$6:$A$505,0),""))</f>
        <v/>
      </c>
      <c r="Q524" s="96">
        <f>IF(P524="",0,IF(INDEX('CDFs'!$S$6:$S$505,P524)=1,1,0))</f>
        <v>0</v>
      </c>
      <c r="R524" s="96" t="str">
        <f>IF(C524="","",TRIM(LEFT(C524,FIND(" |",C524&amp;" |")-1)))</f>
        <v/>
      </c>
      <c r="S524" s="96" t="str">
        <f>IF(R524="","",IFERROR(MATCH(R524,'ITENS_MTR'!$A$6:$A$1005,0),""))</f>
        <v/>
      </c>
      <c r="T524" s="96">
        <f>IF(S524="",0,IF(INDEX('ITENS_MTR'!$R$6:$R$1005,S524)=1,1,0))</f>
        <v>0</v>
      </c>
      <c r="U524" s="96" t="str">
        <f>IF(G524="","",IFERROR(IF(ISNUMBER(INDEX(cfg_fac,MATCH(G524,cfg_units,0))),IF(INDEX(cfg_fac,MATCH(G524,cfg_units,0))&gt;0,INDEX(cfg_fac,MATCH(G524,cfg_units,0)),""),""),""))</f>
        <v/>
      </c>
      <c r="V524" s="96">
        <f>IF(AND(ISNUMBER(F524),ISNUMBER(H524)),IF(H524&gt;0,1,0),0)</f>
        <v>0</v>
      </c>
      <c r="W524" s="96" t="str">
        <f>IF(T524=1,INDEX('ITENS_MTR'!$AU$6:$AU$1005,S524)&amp;"","")</f>
        <v/>
      </c>
      <c r="X524" s="96">
        <f>IF(AND(Q524=1,T524=1,I524&lt;&gt;"",W524&lt;&gt;""),IF(I524&lt;&gt;W524,1,0),0)</f>
        <v>0</v>
      </c>
      <c r="Y524" s="96">
        <f>IF(N524=0,0,IF(OR(Q524=0,T524=0,V524=0,AND(X524=1,J524&lt;&gt;"Sim")),1,0))</f>
        <v>0</v>
      </c>
      <c r="Z524" s="96">
        <f>IF(Q524=1,INDEX('CDFs'!$W$6:$W$505,P524),0)</f>
        <v>0</v>
      </c>
      <c r="AA524" s="96">
        <f>IF(AND(N524=1,Y524=0,Z524=1,J524="Sim"),1,0)</f>
        <v>0</v>
      </c>
      <c r="AB524" s="96">
        <f>IF(AND(N524=1,O524&lt;&gt;"",D524&lt;&gt;""),IF(COUNTIFS($O$6:O524,O524,$D$6:D524,D524)=1,1,0),0)</f>
        <v>0</v>
      </c>
      <c r="AC524" s="96">
        <f>IF(T524=1,INDEX('ITENS_MTR'!$AL$6:$AL$1005,S524),0)</f>
        <v>0</v>
      </c>
    </row>
    <row r="525">
      <c r="A525" s="89" t="inlineStr">
        <is>
          <t>VIN-000520</t>
        </is>
      </c>
      <c r="B525" s="91" t="n"/>
      <c r="C525" s="91" t="n"/>
      <c r="D525" s="94" t="str">
        <f>IF(T525=1,INDEX('ITENS_MTR'!$S$6:$S$1005,S525)&amp;"","")</f>
        <v/>
      </c>
      <c r="E525" s="94" t="str">
        <f>IF(T525=1,INDEX('ITENS_MTR'!$C$6:$C$1005,S525)&amp;"","")</f>
        <v/>
      </c>
      <c r="F525" s="98" t="n"/>
      <c r="G525" s="91" t="n"/>
      <c r="H525" s="93" t="str">
        <f>IF(N525=0,"",IF(NOT(ISNUMBER(F525)),"",IF(ISNUMBER(U525),F525*U525,"UNIDADE A CONFERIR")))</f>
        <v/>
      </c>
      <c r="I525" s="94" t="str">
        <f>IF(Q525=1,INDEX('CDFs'!$F$6:$F$505,P525)&amp;"","")</f>
        <v/>
      </c>
      <c r="J525" s="91" t="n"/>
      <c r="K525" s="91" t="n"/>
      <c r="L525" s="94" t="str">
        <f>IF(N525=0,"",IF(NOT(ISNUMBER(F525)),"Quantidade não informada",IF(F525&lt;=0,"Quantidade não positiva",IF(G525="","Unidade não informada",IF(NOT(ISNUMBER(H525)),"Unidade a conferir",IF(AC525=1,"REVISAR VÍNCULO: soma vinculada maior que a referência do item","OK"))))))</f>
        <v/>
      </c>
      <c r="M525" s="94" t="str">
        <f>IF(N525=0,"",IF(B525="","CDF não informado",IF(Q525=0,"REVISAR VÍNCULO: CDF inexistente",IF(C525="","Item não informado",IF(T525=0,"REVISAR VÍNCULO: item inexistente",IF(AND(X525=1,J525&lt;&gt;"Sim"),"REVISAR VÍNCULO: destinador diferente do MTR",IF(X525=1,"Destinador diferente do MTR (analisado)","OK")))))))</f>
        <v/>
      </c>
      <c r="N525" s="96">
        <f>IF(COUNTA(B525:C525,F525:G525,J525:K525)&gt;0,1,0)</f>
        <v>0</v>
      </c>
      <c r="O525" s="96" t="str">
        <f>IF(B525="","",TRIM(LEFT(B525,FIND(" |",B525&amp;" |")-1)))</f>
        <v/>
      </c>
      <c r="P525" s="96" t="str">
        <f>IF(O525="","",IFERROR(MATCH(O525,'CDFs'!$A$6:$A$505,0),""))</f>
        <v/>
      </c>
      <c r="Q525" s="96">
        <f>IF(P525="",0,IF(INDEX('CDFs'!$S$6:$S$505,P525)=1,1,0))</f>
        <v>0</v>
      </c>
      <c r="R525" s="96" t="str">
        <f>IF(C525="","",TRIM(LEFT(C525,FIND(" |",C525&amp;" |")-1)))</f>
        <v/>
      </c>
      <c r="S525" s="96" t="str">
        <f>IF(R525="","",IFERROR(MATCH(R525,'ITENS_MTR'!$A$6:$A$1005,0),""))</f>
        <v/>
      </c>
      <c r="T525" s="96">
        <f>IF(S525="",0,IF(INDEX('ITENS_MTR'!$R$6:$R$1005,S525)=1,1,0))</f>
        <v>0</v>
      </c>
      <c r="U525" s="96" t="str">
        <f>IF(G525="","",IFERROR(IF(ISNUMBER(INDEX(cfg_fac,MATCH(G525,cfg_units,0))),IF(INDEX(cfg_fac,MATCH(G525,cfg_units,0))&gt;0,INDEX(cfg_fac,MATCH(G525,cfg_units,0)),""),""),""))</f>
        <v/>
      </c>
      <c r="V525" s="96">
        <f>IF(AND(ISNUMBER(F525),ISNUMBER(H525)),IF(H525&gt;0,1,0),0)</f>
        <v>0</v>
      </c>
      <c r="W525" s="96" t="str">
        <f>IF(T525=1,INDEX('ITENS_MTR'!$AU$6:$AU$1005,S525)&amp;"","")</f>
        <v/>
      </c>
      <c r="X525" s="96">
        <f>IF(AND(Q525=1,T525=1,I525&lt;&gt;"",W525&lt;&gt;""),IF(I525&lt;&gt;W525,1,0),0)</f>
        <v>0</v>
      </c>
      <c r="Y525" s="96">
        <f>IF(N525=0,0,IF(OR(Q525=0,T525=0,V525=0,AND(X525=1,J525&lt;&gt;"Sim")),1,0))</f>
        <v>0</v>
      </c>
      <c r="Z525" s="96">
        <f>IF(Q525=1,INDEX('CDFs'!$W$6:$W$505,P525),0)</f>
        <v>0</v>
      </c>
      <c r="AA525" s="96">
        <f>IF(AND(N525=1,Y525=0,Z525=1,J525="Sim"),1,0)</f>
        <v>0</v>
      </c>
      <c r="AB525" s="96">
        <f>IF(AND(N525=1,O525&lt;&gt;"",D525&lt;&gt;""),IF(COUNTIFS($O$6:O525,O525,$D$6:D525,D525)=1,1,0),0)</f>
        <v>0</v>
      </c>
      <c r="AC525" s="96">
        <f>IF(T525=1,INDEX('ITENS_MTR'!$AL$6:$AL$1005,S525),0)</f>
        <v>0</v>
      </c>
    </row>
    <row r="526">
      <c r="A526" s="89" t="inlineStr">
        <is>
          <t>VIN-000521</t>
        </is>
      </c>
      <c r="B526" s="91" t="n"/>
      <c r="C526" s="91" t="n"/>
      <c r="D526" s="94" t="str">
        <f>IF(T526=1,INDEX('ITENS_MTR'!$S$6:$S$1005,S526)&amp;"","")</f>
        <v/>
      </c>
      <c r="E526" s="94" t="str">
        <f>IF(T526=1,INDEX('ITENS_MTR'!$C$6:$C$1005,S526)&amp;"","")</f>
        <v/>
      </c>
      <c r="F526" s="98" t="n"/>
      <c r="G526" s="91" t="n"/>
      <c r="H526" s="93" t="str">
        <f>IF(N526=0,"",IF(NOT(ISNUMBER(F526)),"",IF(ISNUMBER(U526),F526*U526,"UNIDADE A CONFERIR")))</f>
        <v/>
      </c>
      <c r="I526" s="94" t="str">
        <f>IF(Q526=1,INDEX('CDFs'!$F$6:$F$505,P526)&amp;"","")</f>
        <v/>
      </c>
      <c r="J526" s="91" t="n"/>
      <c r="K526" s="91" t="n"/>
      <c r="L526" s="94" t="str">
        <f>IF(N526=0,"",IF(NOT(ISNUMBER(F526)),"Quantidade não informada",IF(F526&lt;=0,"Quantidade não positiva",IF(G526="","Unidade não informada",IF(NOT(ISNUMBER(H526)),"Unidade a conferir",IF(AC526=1,"REVISAR VÍNCULO: soma vinculada maior que a referência do item","OK"))))))</f>
        <v/>
      </c>
      <c r="M526" s="94" t="str">
        <f>IF(N526=0,"",IF(B526="","CDF não informado",IF(Q526=0,"REVISAR VÍNCULO: CDF inexistente",IF(C526="","Item não informado",IF(T526=0,"REVISAR VÍNCULO: item inexistente",IF(AND(X526=1,J526&lt;&gt;"Sim"),"REVISAR VÍNCULO: destinador diferente do MTR",IF(X526=1,"Destinador diferente do MTR (analisado)","OK")))))))</f>
        <v/>
      </c>
      <c r="N526" s="96">
        <f>IF(COUNTA(B526:C526,F526:G526,J526:K526)&gt;0,1,0)</f>
        <v>0</v>
      </c>
      <c r="O526" s="96" t="str">
        <f>IF(B526="","",TRIM(LEFT(B526,FIND(" |",B526&amp;" |")-1)))</f>
        <v/>
      </c>
      <c r="P526" s="96" t="str">
        <f>IF(O526="","",IFERROR(MATCH(O526,'CDFs'!$A$6:$A$505,0),""))</f>
        <v/>
      </c>
      <c r="Q526" s="96">
        <f>IF(P526="",0,IF(INDEX('CDFs'!$S$6:$S$505,P526)=1,1,0))</f>
        <v>0</v>
      </c>
      <c r="R526" s="96" t="str">
        <f>IF(C526="","",TRIM(LEFT(C526,FIND(" |",C526&amp;" |")-1)))</f>
        <v/>
      </c>
      <c r="S526" s="96" t="str">
        <f>IF(R526="","",IFERROR(MATCH(R526,'ITENS_MTR'!$A$6:$A$1005,0),""))</f>
        <v/>
      </c>
      <c r="T526" s="96">
        <f>IF(S526="",0,IF(INDEX('ITENS_MTR'!$R$6:$R$1005,S526)=1,1,0))</f>
        <v>0</v>
      </c>
      <c r="U526" s="96" t="str">
        <f>IF(G526="","",IFERROR(IF(ISNUMBER(INDEX(cfg_fac,MATCH(G526,cfg_units,0))),IF(INDEX(cfg_fac,MATCH(G526,cfg_units,0))&gt;0,INDEX(cfg_fac,MATCH(G526,cfg_units,0)),""),""),""))</f>
        <v/>
      </c>
      <c r="V526" s="96">
        <f>IF(AND(ISNUMBER(F526),ISNUMBER(H526)),IF(H526&gt;0,1,0),0)</f>
        <v>0</v>
      </c>
      <c r="W526" s="96" t="str">
        <f>IF(T526=1,INDEX('ITENS_MTR'!$AU$6:$AU$1005,S526)&amp;"","")</f>
        <v/>
      </c>
      <c r="X526" s="96">
        <f>IF(AND(Q526=1,T526=1,I526&lt;&gt;"",W526&lt;&gt;""),IF(I526&lt;&gt;W526,1,0),0)</f>
        <v>0</v>
      </c>
      <c r="Y526" s="96">
        <f>IF(N526=0,0,IF(OR(Q526=0,T526=0,V526=0,AND(X526=1,J526&lt;&gt;"Sim")),1,0))</f>
        <v>0</v>
      </c>
      <c r="Z526" s="96">
        <f>IF(Q526=1,INDEX('CDFs'!$W$6:$W$505,P526),0)</f>
        <v>0</v>
      </c>
      <c r="AA526" s="96">
        <f>IF(AND(N526=1,Y526=0,Z526=1,J526="Sim"),1,0)</f>
        <v>0</v>
      </c>
      <c r="AB526" s="96">
        <f>IF(AND(N526=1,O526&lt;&gt;"",D526&lt;&gt;""),IF(COUNTIFS($O$6:O526,O526,$D$6:D526,D526)=1,1,0),0)</f>
        <v>0</v>
      </c>
      <c r="AC526" s="96">
        <f>IF(T526=1,INDEX('ITENS_MTR'!$AL$6:$AL$1005,S526),0)</f>
        <v>0</v>
      </c>
    </row>
    <row r="527">
      <c r="A527" s="89" t="inlineStr">
        <is>
          <t>VIN-000522</t>
        </is>
      </c>
      <c r="B527" s="91" t="n"/>
      <c r="C527" s="91" t="n"/>
      <c r="D527" s="94" t="str">
        <f>IF(T527=1,INDEX('ITENS_MTR'!$S$6:$S$1005,S527)&amp;"","")</f>
        <v/>
      </c>
      <c r="E527" s="94" t="str">
        <f>IF(T527=1,INDEX('ITENS_MTR'!$C$6:$C$1005,S527)&amp;"","")</f>
        <v/>
      </c>
      <c r="F527" s="98" t="n"/>
      <c r="G527" s="91" t="n"/>
      <c r="H527" s="93" t="str">
        <f>IF(N527=0,"",IF(NOT(ISNUMBER(F527)),"",IF(ISNUMBER(U527),F527*U527,"UNIDADE A CONFERIR")))</f>
        <v/>
      </c>
      <c r="I527" s="94" t="str">
        <f>IF(Q527=1,INDEX('CDFs'!$F$6:$F$505,P527)&amp;"","")</f>
        <v/>
      </c>
      <c r="J527" s="91" t="n"/>
      <c r="K527" s="91" t="n"/>
      <c r="L527" s="94" t="str">
        <f>IF(N527=0,"",IF(NOT(ISNUMBER(F527)),"Quantidade não informada",IF(F527&lt;=0,"Quantidade não positiva",IF(G527="","Unidade não informada",IF(NOT(ISNUMBER(H527)),"Unidade a conferir",IF(AC527=1,"REVISAR VÍNCULO: soma vinculada maior que a referência do item","OK"))))))</f>
        <v/>
      </c>
      <c r="M527" s="94" t="str">
        <f>IF(N527=0,"",IF(B527="","CDF não informado",IF(Q527=0,"REVISAR VÍNCULO: CDF inexistente",IF(C527="","Item não informado",IF(T527=0,"REVISAR VÍNCULO: item inexistente",IF(AND(X527=1,J527&lt;&gt;"Sim"),"REVISAR VÍNCULO: destinador diferente do MTR",IF(X527=1,"Destinador diferente do MTR (analisado)","OK")))))))</f>
        <v/>
      </c>
      <c r="N527" s="96">
        <f>IF(COUNTA(B527:C527,F527:G527,J527:K527)&gt;0,1,0)</f>
        <v>0</v>
      </c>
      <c r="O527" s="96" t="str">
        <f>IF(B527="","",TRIM(LEFT(B527,FIND(" |",B527&amp;" |")-1)))</f>
        <v/>
      </c>
      <c r="P527" s="96" t="str">
        <f>IF(O527="","",IFERROR(MATCH(O527,'CDFs'!$A$6:$A$505,0),""))</f>
        <v/>
      </c>
      <c r="Q527" s="96">
        <f>IF(P527="",0,IF(INDEX('CDFs'!$S$6:$S$505,P527)=1,1,0))</f>
        <v>0</v>
      </c>
      <c r="R527" s="96" t="str">
        <f>IF(C527="","",TRIM(LEFT(C527,FIND(" |",C527&amp;" |")-1)))</f>
        <v/>
      </c>
      <c r="S527" s="96" t="str">
        <f>IF(R527="","",IFERROR(MATCH(R527,'ITENS_MTR'!$A$6:$A$1005,0),""))</f>
        <v/>
      </c>
      <c r="T527" s="96">
        <f>IF(S527="",0,IF(INDEX('ITENS_MTR'!$R$6:$R$1005,S527)=1,1,0))</f>
        <v>0</v>
      </c>
      <c r="U527" s="96" t="str">
        <f>IF(G527="","",IFERROR(IF(ISNUMBER(INDEX(cfg_fac,MATCH(G527,cfg_units,0))),IF(INDEX(cfg_fac,MATCH(G527,cfg_units,0))&gt;0,INDEX(cfg_fac,MATCH(G527,cfg_units,0)),""),""),""))</f>
        <v/>
      </c>
      <c r="V527" s="96">
        <f>IF(AND(ISNUMBER(F527),ISNUMBER(H527)),IF(H527&gt;0,1,0),0)</f>
        <v>0</v>
      </c>
      <c r="W527" s="96" t="str">
        <f>IF(T527=1,INDEX('ITENS_MTR'!$AU$6:$AU$1005,S527)&amp;"","")</f>
        <v/>
      </c>
      <c r="X527" s="96">
        <f>IF(AND(Q527=1,T527=1,I527&lt;&gt;"",W527&lt;&gt;""),IF(I527&lt;&gt;W527,1,0),0)</f>
        <v>0</v>
      </c>
      <c r="Y527" s="96">
        <f>IF(N527=0,0,IF(OR(Q527=0,T527=0,V527=0,AND(X527=1,J527&lt;&gt;"Sim")),1,0))</f>
        <v>0</v>
      </c>
      <c r="Z527" s="96">
        <f>IF(Q527=1,INDEX('CDFs'!$W$6:$W$505,P527),0)</f>
        <v>0</v>
      </c>
      <c r="AA527" s="96">
        <f>IF(AND(N527=1,Y527=0,Z527=1,J527="Sim"),1,0)</f>
        <v>0</v>
      </c>
      <c r="AB527" s="96">
        <f>IF(AND(N527=1,O527&lt;&gt;"",D527&lt;&gt;""),IF(COUNTIFS($O$6:O527,O527,$D$6:D527,D527)=1,1,0),0)</f>
        <v>0</v>
      </c>
      <c r="AC527" s="96">
        <f>IF(T527=1,INDEX('ITENS_MTR'!$AL$6:$AL$1005,S527),0)</f>
        <v>0</v>
      </c>
    </row>
    <row r="528">
      <c r="A528" s="89" t="inlineStr">
        <is>
          <t>VIN-000523</t>
        </is>
      </c>
      <c r="B528" s="91" t="n"/>
      <c r="C528" s="91" t="n"/>
      <c r="D528" s="94" t="str">
        <f>IF(T528=1,INDEX('ITENS_MTR'!$S$6:$S$1005,S528)&amp;"","")</f>
        <v/>
      </c>
      <c r="E528" s="94" t="str">
        <f>IF(T528=1,INDEX('ITENS_MTR'!$C$6:$C$1005,S528)&amp;"","")</f>
        <v/>
      </c>
      <c r="F528" s="98" t="n"/>
      <c r="G528" s="91" t="n"/>
      <c r="H528" s="93" t="str">
        <f>IF(N528=0,"",IF(NOT(ISNUMBER(F528)),"",IF(ISNUMBER(U528),F528*U528,"UNIDADE A CONFERIR")))</f>
        <v/>
      </c>
      <c r="I528" s="94" t="str">
        <f>IF(Q528=1,INDEX('CDFs'!$F$6:$F$505,P528)&amp;"","")</f>
        <v/>
      </c>
      <c r="J528" s="91" t="n"/>
      <c r="K528" s="91" t="n"/>
      <c r="L528" s="94" t="str">
        <f>IF(N528=0,"",IF(NOT(ISNUMBER(F528)),"Quantidade não informada",IF(F528&lt;=0,"Quantidade não positiva",IF(G528="","Unidade não informada",IF(NOT(ISNUMBER(H528)),"Unidade a conferir",IF(AC528=1,"REVISAR VÍNCULO: soma vinculada maior que a referência do item","OK"))))))</f>
        <v/>
      </c>
      <c r="M528" s="94" t="str">
        <f>IF(N528=0,"",IF(B528="","CDF não informado",IF(Q528=0,"REVISAR VÍNCULO: CDF inexistente",IF(C528="","Item não informado",IF(T528=0,"REVISAR VÍNCULO: item inexistente",IF(AND(X528=1,J528&lt;&gt;"Sim"),"REVISAR VÍNCULO: destinador diferente do MTR",IF(X528=1,"Destinador diferente do MTR (analisado)","OK")))))))</f>
        <v/>
      </c>
      <c r="N528" s="96">
        <f>IF(COUNTA(B528:C528,F528:G528,J528:K528)&gt;0,1,0)</f>
        <v>0</v>
      </c>
      <c r="O528" s="96" t="str">
        <f>IF(B528="","",TRIM(LEFT(B528,FIND(" |",B528&amp;" |")-1)))</f>
        <v/>
      </c>
      <c r="P528" s="96" t="str">
        <f>IF(O528="","",IFERROR(MATCH(O528,'CDFs'!$A$6:$A$505,0),""))</f>
        <v/>
      </c>
      <c r="Q528" s="96">
        <f>IF(P528="",0,IF(INDEX('CDFs'!$S$6:$S$505,P528)=1,1,0))</f>
        <v>0</v>
      </c>
      <c r="R528" s="96" t="str">
        <f>IF(C528="","",TRIM(LEFT(C528,FIND(" |",C528&amp;" |")-1)))</f>
        <v/>
      </c>
      <c r="S528" s="96" t="str">
        <f>IF(R528="","",IFERROR(MATCH(R528,'ITENS_MTR'!$A$6:$A$1005,0),""))</f>
        <v/>
      </c>
      <c r="T528" s="96">
        <f>IF(S528="",0,IF(INDEX('ITENS_MTR'!$R$6:$R$1005,S528)=1,1,0))</f>
        <v>0</v>
      </c>
      <c r="U528" s="96" t="str">
        <f>IF(G528="","",IFERROR(IF(ISNUMBER(INDEX(cfg_fac,MATCH(G528,cfg_units,0))),IF(INDEX(cfg_fac,MATCH(G528,cfg_units,0))&gt;0,INDEX(cfg_fac,MATCH(G528,cfg_units,0)),""),""),""))</f>
        <v/>
      </c>
      <c r="V528" s="96">
        <f>IF(AND(ISNUMBER(F528),ISNUMBER(H528)),IF(H528&gt;0,1,0),0)</f>
        <v>0</v>
      </c>
      <c r="W528" s="96" t="str">
        <f>IF(T528=1,INDEX('ITENS_MTR'!$AU$6:$AU$1005,S528)&amp;"","")</f>
        <v/>
      </c>
      <c r="X528" s="96">
        <f>IF(AND(Q528=1,T528=1,I528&lt;&gt;"",W528&lt;&gt;""),IF(I528&lt;&gt;W528,1,0),0)</f>
        <v>0</v>
      </c>
      <c r="Y528" s="96">
        <f>IF(N528=0,0,IF(OR(Q528=0,T528=0,V528=0,AND(X528=1,J528&lt;&gt;"Sim")),1,0))</f>
        <v>0</v>
      </c>
      <c r="Z528" s="96">
        <f>IF(Q528=1,INDEX('CDFs'!$W$6:$W$505,P528),0)</f>
        <v>0</v>
      </c>
      <c r="AA528" s="96">
        <f>IF(AND(N528=1,Y528=0,Z528=1,J528="Sim"),1,0)</f>
        <v>0</v>
      </c>
      <c r="AB528" s="96">
        <f>IF(AND(N528=1,O528&lt;&gt;"",D528&lt;&gt;""),IF(COUNTIFS($O$6:O528,O528,$D$6:D528,D528)=1,1,0),0)</f>
        <v>0</v>
      </c>
      <c r="AC528" s="96">
        <f>IF(T528=1,INDEX('ITENS_MTR'!$AL$6:$AL$1005,S528),0)</f>
        <v>0</v>
      </c>
    </row>
    <row r="529">
      <c r="A529" s="89" t="inlineStr">
        <is>
          <t>VIN-000524</t>
        </is>
      </c>
      <c r="B529" s="91" t="n"/>
      <c r="C529" s="91" t="n"/>
      <c r="D529" s="94" t="str">
        <f>IF(T529=1,INDEX('ITENS_MTR'!$S$6:$S$1005,S529)&amp;"","")</f>
        <v/>
      </c>
      <c r="E529" s="94" t="str">
        <f>IF(T529=1,INDEX('ITENS_MTR'!$C$6:$C$1005,S529)&amp;"","")</f>
        <v/>
      </c>
      <c r="F529" s="98" t="n"/>
      <c r="G529" s="91" t="n"/>
      <c r="H529" s="93" t="str">
        <f>IF(N529=0,"",IF(NOT(ISNUMBER(F529)),"",IF(ISNUMBER(U529),F529*U529,"UNIDADE A CONFERIR")))</f>
        <v/>
      </c>
      <c r="I529" s="94" t="str">
        <f>IF(Q529=1,INDEX('CDFs'!$F$6:$F$505,P529)&amp;"","")</f>
        <v/>
      </c>
      <c r="J529" s="91" t="n"/>
      <c r="K529" s="91" t="n"/>
      <c r="L529" s="94" t="str">
        <f>IF(N529=0,"",IF(NOT(ISNUMBER(F529)),"Quantidade não informada",IF(F529&lt;=0,"Quantidade não positiva",IF(G529="","Unidade não informada",IF(NOT(ISNUMBER(H529)),"Unidade a conferir",IF(AC529=1,"REVISAR VÍNCULO: soma vinculada maior que a referência do item","OK"))))))</f>
        <v/>
      </c>
      <c r="M529" s="94" t="str">
        <f>IF(N529=0,"",IF(B529="","CDF não informado",IF(Q529=0,"REVISAR VÍNCULO: CDF inexistente",IF(C529="","Item não informado",IF(T529=0,"REVISAR VÍNCULO: item inexistente",IF(AND(X529=1,J529&lt;&gt;"Sim"),"REVISAR VÍNCULO: destinador diferente do MTR",IF(X529=1,"Destinador diferente do MTR (analisado)","OK")))))))</f>
        <v/>
      </c>
      <c r="N529" s="96">
        <f>IF(COUNTA(B529:C529,F529:G529,J529:K529)&gt;0,1,0)</f>
        <v>0</v>
      </c>
      <c r="O529" s="96" t="str">
        <f>IF(B529="","",TRIM(LEFT(B529,FIND(" |",B529&amp;" |")-1)))</f>
        <v/>
      </c>
      <c r="P529" s="96" t="str">
        <f>IF(O529="","",IFERROR(MATCH(O529,'CDFs'!$A$6:$A$505,0),""))</f>
        <v/>
      </c>
      <c r="Q529" s="96">
        <f>IF(P529="",0,IF(INDEX('CDFs'!$S$6:$S$505,P529)=1,1,0))</f>
        <v>0</v>
      </c>
      <c r="R529" s="96" t="str">
        <f>IF(C529="","",TRIM(LEFT(C529,FIND(" |",C529&amp;" |")-1)))</f>
        <v/>
      </c>
      <c r="S529" s="96" t="str">
        <f>IF(R529="","",IFERROR(MATCH(R529,'ITENS_MTR'!$A$6:$A$1005,0),""))</f>
        <v/>
      </c>
      <c r="T529" s="96">
        <f>IF(S529="",0,IF(INDEX('ITENS_MTR'!$R$6:$R$1005,S529)=1,1,0))</f>
        <v>0</v>
      </c>
      <c r="U529" s="96" t="str">
        <f>IF(G529="","",IFERROR(IF(ISNUMBER(INDEX(cfg_fac,MATCH(G529,cfg_units,0))),IF(INDEX(cfg_fac,MATCH(G529,cfg_units,0))&gt;0,INDEX(cfg_fac,MATCH(G529,cfg_units,0)),""),""),""))</f>
        <v/>
      </c>
      <c r="V529" s="96">
        <f>IF(AND(ISNUMBER(F529),ISNUMBER(H529)),IF(H529&gt;0,1,0),0)</f>
        <v>0</v>
      </c>
      <c r="W529" s="96" t="str">
        <f>IF(T529=1,INDEX('ITENS_MTR'!$AU$6:$AU$1005,S529)&amp;"","")</f>
        <v/>
      </c>
      <c r="X529" s="96">
        <f>IF(AND(Q529=1,T529=1,I529&lt;&gt;"",W529&lt;&gt;""),IF(I529&lt;&gt;W529,1,0),0)</f>
        <v>0</v>
      </c>
      <c r="Y529" s="96">
        <f>IF(N529=0,0,IF(OR(Q529=0,T529=0,V529=0,AND(X529=1,J529&lt;&gt;"Sim")),1,0))</f>
        <v>0</v>
      </c>
      <c r="Z529" s="96">
        <f>IF(Q529=1,INDEX('CDFs'!$W$6:$W$505,P529),0)</f>
        <v>0</v>
      </c>
      <c r="AA529" s="96">
        <f>IF(AND(N529=1,Y529=0,Z529=1,J529="Sim"),1,0)</f>
        <v>0</v>
      </c>
      <c r="AB529" s="96">
        <f>IF(AND(N529=1,O529&lt;&gt;"",D529&lt;&gt;""),IF(COUNTIFS($O$6:O529,O529,$D$6:D529,D529)=1,1,0),0)</f>
        <v>0</v>
      </c>
      <c r="AC529" s="96">
        <f>IF(T529=1,INDEX('ITENS_MTR'!$AL$6:$AL$1005,S529),0)</f>
        <v>0</v>
      </c>
    </row>
    <row r="530">
      <c r="A530" s="89" t="inlineStr">
        <is>
          <t>VIN-000525</t>
        </is>
      </c>
      <c r="B530" s="91" t="n"/>
      <c r="C530" s="91" t="n"/>
      <c r="D530" s="94" t="str">
        <f>IF(T530=1,INDEX('ITENS_MTR'!$S$6:$S$1005,S530)&amp;"","")</f>
        <v/>
      </c>
      <c r="E530" s="94" t="str">
        <f>IF(T530=1,INDEX('ITENS_MTR'!$C$6:$C$1005,S530)&amp;"","")</f>
        <v/>
      </c>
      <c r="F530" s="98" t="n"/>
      <c r="G530" s="91" t="n"/>
      <c r="H530" s="93" t="str">
        <f>IF(N530=0,"",IF(NOT(ISNUMBER(F530)),"",IF(ISNUMBER(U530),F530*U530,"UNIDADE A CONFERIR")))</f>
        <v/>
      </c>
      <c r="I530" s="94" t="str">
        <f>IF(Q530=1,INDEX('CDFs'!$F$6:$F$505,P530)&amp;"","")</f>
        <v/>
      </c>
      <c r="J530" s="91" t="n"/>
      <c r="K530" s="91" t="n"/>
      <c r="L530" s="94" t="str">
        <f>IF(N530=0,"",IF(NOT(ISNUMBER(F530)),"Quantidade não informada",IF(F530&lt;=0,"Quantidade não positiva",IF(G530="","Unidade não informada",IF(NOT(ISNUMBER(H530)),"Unidade a conferir",IF(AC530=1,"REVISAR VÍNCULO: soma vinculada maior que a referência do item","OK"))))))</f>
        <v/>
      </c>
      <c r="M530" s="94" t="str">
        <f>IF(N530=0,"",IF(B530="","CDF não informado",IF(Q530=0,"REVISAR VÍNCULO: CDF inexistente",IF(C530="","Item não informado",IF(T530=0,"REVISAR VÍNCULO: item inexistente",IF(AND(X530=1,J530&lt;&gt;"Sim"),"REVISAR VÍNCULO: destinador diferente do MTR",IF(X530=1,"Destinador diferente do MTR (analisado)","OK")))))))</f>
        <v/>
      </c>
      <c r="N530" s="96">
        <f>IF(COUNTA(B530:C530,F530:G530,J530:K530)&gt;0,1,0)</f>
        <v>0</v>
      </c>
      <c r="O530" s="96" t="str">
        <f>IF(B530="","",TRIM(LEFT(B530,FIND(" |",B530&amp;" |")-1)))</f>
        <v/>
      </c>
      <c r="P530" s="96" t="str">
        <f>IF(O530="","",IFERROR(MATCH(O530,'CDFs'!$A$6:$A$505,0),""))</f>
        <v/>
      </c>
      <c r="Q530" s="96">
        <f>IF(P530="",0,IF(INDEX('CDFs'!$S$6:$S$505,P530)=1,1,0))</f>
        <v>0</v>
      </c>
      <c r="R530" s="96" t="str">
        <f>IF(C530="","",TRIM(LEFT(C530,FIND(" |",C530&amp;" |")-1)))</f>
        <v/>
      </c>
      <c r="S530" s="96" t="str">
        <f>IF(R530="","",IFERROR(MATCH(R530,'ITENS_MTR'!$A$6:$A$1005,0),""))</f>
        <v/>
      </c>
      <c r="T530" s="96">
        <f>IF(S530="",0,IF(INDEX('ITENS_MTR'!$R$6:$R$1005,S530)=1,1,0))</f>
        <v>0</v>
      </c>
      <c r="U530" s="96" t="str">
        <f>IF(G530="","",IFERROR(IF(ISNUMBER(INDEX(cfg_fac,MATCH(G530,cfg_units,0))),IF(INDEX(cfg_fac,MATCH(G530,cfg_units,0))&gt;0,INDEX(cfg_fac,MATCH(G530,cfg_units,0)),""),""),""))</f>
        <v/>
      </c>
      <c r="V530" s="96">
        <f>IF(AND(ISNUMBER(F530),ISNUMBER(H530)),IF(H530&gt;0,1,0),0)</f>
        <v>0</v>
      </c>
      <c r="W530" s="96" t="str">
        <f>IF(T530=1,INDEX('ITENS_MTR'!$AU$6:$AU$1005,S530)&amp;"","")</f>
        <v/>
      </c>
      <c r="X530" s="96">
        <f>IF(AND(Q530=1,T530=1,I530&lt;&gt;"",W530&lt;&gt;""),IF(I530&lt;&gt;W530,1,0),0)</f>
        <v>0</v>
      </c>
      <c r="Y530" s="96">
        <f>IF(N530=0,0,IF(OR(Q530=0,T530=0,V530=0,AND(X530=1,J530&lt;&gt;"Sim")),1,0))</f>
        <v>0</v>
      </c>
      <c r="Z530" s="96">
        <f>IF(Q530=1,INDEX('CDFs'!$W$6:$W$505,P530),0)</f>
        <v>0</v>
      </c>
      <c r="AA530" s="96">
        <f>IF(AND(N530=1,Y530=0,Z530=1,J530="Sim"),1,0)</f>
        <v>0</v>
      </c>
      <c r="AB530" s="96">
        <f>IF(AND(N530=1,O530&lt;&gt;"",D530&lt;&gt;""),IF(COUNTIFS($O$6:O530,O530,$D$6:D530,D530)=1,1,0),0)</f>
        <v>0</v>
      </c>
      <c r="AC530" s="96">
        <f>IF(T530=1,INDEX('ITENS_MTR'!$AL$6:$AL$1005,S530),0)</f>
        <v>0</v>
      </c>
    </row>
    <row r="531">
      <c r="A531" s="89" t="inlineStr">
        <is>
          <t>VIN-000526</t>
        </is>
      </c>
      <c r="B531" s="91" t="n"/>
      <c r="C531" s="91" t="n"/>
      <c r="D531" s="94" t="str">
        <f>IF(T531=1,INDEX('ITENS_MTR'!$S$6:$S$1005,S531)&amp;"","")</f>
        <v/>
      </c>
      <c r="E531" s="94" t="str">
        <f>IF(T531=1,INDEX('ITENS_MTR'!$C$6:$C$1005,S531)&amp;"","")</f>
        <v/>
      </c>
      <c r="F531" s="98" t="n"/>
      <c r="G531" s="91" t="n"/>
      <c r="H531" s="93" t="str">
        <f>IF(N531=0,"",IF(NOT(ISNUMBER(F531)),"",IF(ISNUMBER(U531),F531*U531,"UNIDADE A CONFERIR")))</f>
        <v/>
      </c>
      <c r="I531" s="94" t="str">
        <f>IF(Q531=1,INDEX('CDFs'!$F$6:$F$505,P531)&amp;"","")</f>
        <v/>
      </c>
      <c r="J531" s="91" t="n"/>
      <c r="K531" s="91" t="n"/>
      <c r="L531" s="94" t="str">
        <f>IF(N531=0,"",IF(NOT(ISNUMBER(F531)),"Quantidade não informada",IF(F531&lt;=0,"Quantidade não positiva",IF(G531="","Unidade não informada",IF(NOT(ISNUMBER(H531)),"Unidade a conferir",IF(AC531=1,"REVISAR VÍNCULO: soma vinculada maior que a referência do item","OK"))))))</f>
        <v/>
      </c>
      <c r="M531" s="94" t="str">
        <f>IF(N531=0,"",IF(B531="","CDF não informado",IF(Q531=0,"REVISAR VÍNCULO: CDF inexistente",IF(C531="","Item não informado",IF(T531=0,"REVISAR VÍNCULO: item inexistente",IF(AND(X531=1,J531&lt;&gt;"Sim"),"REVISAR VÍNCULO: destinador diferente do MTR",IF(X531=1,"Destinador diferente do MTR (analisado)","OK")))))))</f>
        <v/>
      </c>
      <c r="N531" s="96">
        <f>IF(COUNTA(B531:C531,F531:G531,J531:K531)&gt;0,1,0)</f>
        <v>0</v>
      </c>
      <c r="O531" s="96" t="str">
        <f>IF(B531="","",TRIM(LEFT(B531,FIND(" |",B531&amp;" |")-1)))</f>
        <v/>
      </c>
      <c r="P531" s="96" t="str">
        <f>IF(O531="","",IFERROR(MATCH(O531,'CDFs'!$A$6:$A$505,0),""))</f>
        <v/>
      </c>
      <c r="Q531" s="96">
        <f>IF(P531="",0,IF(INDEX('CDFs'!$S$6:$S$505,P531)=1,1,0))</f>
        <v>0</v>
      </c>
      <c r="R531" s="96" t="str">
        <f>IF(C531="","",TRIM(LEFT(C531,FIND(" |",C531&amp;" |")-1)))</f>
        <v/>
      </c>
      <c r="S531" s="96" t="str">
        <f>IF(R531="","",IFERROR(MATCH(R531,'ITENS_MTR'!$A$6:$A$1005,0),""))</f>
        <v/>
      </c>
      <c r="T531" s="96">
        <f>IF(S531="",0,IF(INDEX('ITENS_MTR'!$R$6:$R$1005,S531)=1,1,0))</f>
        <v>0</v>
      </c>
      <c r="U531" s="96" t="str">
        <f>IF(G531="","",IFERROR(IF(ISNUMBER(INDEX(cfg_fac,MATCH(G531,cfg_units,0))),IF(INDEX(cfg_fac,MATCH(G531,cfg_units,0))&gt;0,INDEX(cfg_fac,MATCH(G531,cfg_units,0)),""),""),""))</f>
        <v/>
      </c>
      <c r="V531" s="96">
        <f>IF(AND(ISNUMBER(F531),ISNUMBER(H531)),IF(H531&gt;0,1,0),0)</f>
        <v>0</v>
      </c>
      <c r="W531" s="96" t="str">
        <f>IF(T531=1,INDEX('ITENS_MTR'!$AU$6:$AU$1005,S531)&amp;"","")</f>
        <v/>
      </c>
      <c r="X531" s="96">
        <f>IF(AND(Q531=1,T531=1,I531&lt;&gt;"",W531&lt;&gt;""),IF(I531&lt;&gt;W531,1,0),0)</f>
        <v>0</v>
      </c>
      <c r="Y531" s="96">
        <f>IF(N531=0,0,IF(OR(Q531=0,T531=0,V531=0,AND(X531=1,J531&lt;&gt;"Sim")),1,0))</f>
        <v>0</v>
      </c>
      <c r="Z531" s="96">
        <f>IF(Q531=1,INDEX('CDFs'!$W$6:$W$505,P531),0)</f>
        <v>0</v>
      </c>
      <c r="AA531" s="96">
        <f>IF(AND(N531=1,Y531=0,Z531=1,J531="Sim"),1,0)</f>
        <v>0</v>
      </c>
      <c r="AB531" s="96">
        <f>IF(AND(N531=1,O531&lt;&gt;"",D531&lt;&gt;""),IF(COUNTIFS($O$6:O531,O531,$D$6:D531,D531)=1,1,0),0)</f>
        <v>0</v>
      </c>
      <c r="AC531" s="96">
        <f>IF(T531=1,INDEX('ITENS_MTR'!$AL$6:$AL$1005,S531),0)</f>
        <v>0</v>
      </c>
    </row>
    <row r="532">
      <c r="A532" s="89" t="inlineStr">
        <is>
          <t>VIN-000527</t>
        </is>
      </c>
      <c r="B532" s="91" t="n"/>
      <c r="C532" s="91" t="n"/>
      <c r="D532" s="94" t="str">
        <f>IF(T532=1,INDEX('ITENS_MTR'!$S$6:$S$1005,S532)&amp;"","")</f>
        <v/>
      </c>
      <c r="E532" s="94" t="str">
        <f>IF(T532=1,INDEX('ITENS_MTR'!$C$6:$C$1005,S532)&amp;"","")</f>
        <v/>
      </c>
      <c r="F532" s="98" t="n"/>
      <c r="G532" s="91" t="n"/>
      <c r="H532" s="93" t="str">
        <f>IF(N532=0,"",IF(NOT(ISNUMBER(F532)),"",IF(ISNUMBER(U532),F532*U532,"UNIDADE A CONFERIR")))</f>
        <v/>
      </c>
      <c r="I532" s="94" t="str">
        <f>IF(Q532=1,INDEX('CDFs'!$F$6:$F$505,P532)&amp;"","")</f>
        <v/>
      </c>
      <c r="J532" s="91" t="n"/>
      <c r="K532" s="91" t="n"/>
      <c r="L532" s="94" t="str">
        <f>IF(N532=0,"",IF(NOT(ISNUMBER(F532)),"Quantidade não informada",IF(F532&lt;=0,"Quantidade não positiva",IF(G532="","Unidade não informada",IF(NOT(ISNUMBER(H532)),"Unidade a conferir",IF(AC532=1,"REVISAR VÍNCULO: soma vinculada maior que a referência do item","OK"))))))</f>
        <v/>
      </c>
      <c r="M532" s="94" t="str">
        <f>IF(N532=0,"",IF(B532="","CDF não informado",IF(Q532=0,"REVISAR VÍNCULO: CDF inexistente",IF(C532="","Item não informado",IF(T532=0,"REVISAR VÍNCULO: item inexistente",IF(AND(X532=1,J532&lt;&gt;"Sim"),"REVISAR VÍNCULO: destinador diferente do MTR",IF(X532=1,"Destinador diferente do MTR (analisado)","OK")))))))</f>
        <v/>
      </c>
      <c r="N532" s="96">
        <f>IF(COUNTA(B532:C532,F532:G532,J532:K532)&gt;0,1,0)</f>
        <v>0</v>
      </c>
      <c r="O532" s="96" t="str">
        <f>IF(B532="","",TRIM(LEFT(B532,FIND(" |",B532&amp;" |")-1)))</f>
        <v/>
      </c>
      <c r="P532" s="96" t="str">
        <f>IF(O532="","",IFERROR(MATCH(O532,'CDFs'!$A$6:$A$505,0),""))</f>
        <v/>
      </c>
      <c r="Q532" s="96">
        <f>IF(P532="",0,IF(INDEX('CDFs'!$S$6:$S$505,P532)=1,1,0))</f>
        <v>0</v>
      </c>
      <c r="R532" s="96" t="str">
        <f>IF(C532="","",TRIM(LEFT(C532,FIND(" |",C532&amp;" |")-1)))</f>
        <v/>
      </c>
      <c r="S532" s="96" t="str">
        <f>IF(R532="","",IFERROR(MATCH(R532,'ITENS_MTR'!$A$6:$A$1005,0),""))</f>
        <v/>
      </c>
      <c r="T532" s="96">
        <f>IF(S532="",0,IF(INDEX('ITENS_MTR'!$R$6:$R$1005,S532)=1,1,0))</f>
        <v>0</v>
      </c>
      <c r="U532" s="96" t="str">
        <f>IF(G532="","",IFERROR(IF(ISNUMBER(INDEX(cfg_fac,MATCH(G532,cfg_units,0))),IF(INDEX(cfg_fac,MATCH(G532,cfg_units,0))&gt;0,INDEX(cfg_fac,MATCH(G532,cfg_units,0)),""),""),""))</f>
        <v/>
      </c>
      <c r="V532" s="96">
        <f>IF(AND(ISNUMBER(F532),ISNUMBER(H532)),IF(H532&gt;0,1,0),0)</f>
        <v>0</v>
      </c>
      <c r="W532" s="96" t="str">
        <f>IF(T532=1,INDEX('ITENS_MTR'!$AU$6:$AU$1005,S532)&amp;"","")</f>
        <v/>
      </c>
      <c r="X532" s="96">
        <f>IF(AND(Q532=1,T532=1,I532&lt;&gt;"",W532&lt;&gt;""),IF(I532&lt;&gt;W532,1,0),0)</f>
        <v>0</v>
      </c>
      <c r="Y532" s="96">
        <f>IF(N532=0,0,IF(OR(Q532=0,T532=0,V532=0,AND(X532=1,J532&lt;&gt;"Sim")),1,0))</f>
        <v>0</v>
      </c>
      <c r="Z532" s="96">
        <f>IF(Q532=1,INDEX('CDFs'!$W$6:$W$505,P532),0)</f>
        <v>0</v>
      </c>
      <c r="AA532" s="96">
        <f>IF(AND(N532=1,Y532=0,Z532=1,J532="Sim"),1,0)</f>
        <v>0</v>
      </c>
      <c r="AB532" s="96">
        <f>IF(AND(N532=1,O532&lt;&gt;"",D532&lt;&gt;""),IF(COUNTIFS($O$6:O532,O532,$D$6:D532,D532)=1,1,0),0)</f>
        <v>0</v>
      </c>
      <c r="AC532" s="96">
        <f>IF(T532=1,INDEX('ITENS_MTR'!$AL$6:$AL$1005,S532),0)</f>
        <v>0</v>
      </c>
    </row>
    <row r="533">
      <c r="A533" s="89" t="inlineStr">
        <is>
          <t>VIN-000528</t>
        </is>
      </c>
      <c r="B533" s="91" t="n"/>
      <c r="C533" s="91" t="n"/>
      <c r="D533" s="94" t="str">
        <f>IF(T533=1,INDEX('ITENS_MTR'!$S$6:$S$1005,S533)&amp;"","")</f>
        <v/>
      </c>
      <c r="E533" s="94" t="str">
        <f>IF(T533=1,INDEX('ITENS_MTR'!$C$6:$C$1005,S533)&amp;"","")</f>
        <v/>
      </c>
      <c r="F533" s="98" t="n"/>
      <c r="G533" s="91" t="n"/>
      <c r="H533" s="93" t="str">
        <f>IF(N533=0,"",IF(NOT(ISNUMBER(F533)),"",IF(ISNUMBER(U533),F533*U533,"UNIDADE A CONFERIR")))</f>
        <v/>
      </c>
      <c r="I533" s="94" t="str">
        <f>IF(Q533=1,INDEX('CDFs'!$F$6:$F$505,P533)&amp;"","")</f>
        <v/>
      </c>
      <c r="J533" s="91" t="n"/>
      <c r="K533" s="91" t="n"/>
      <c r="L533" s="94" t="str">
        <f>IF(N533=0,"",IF(NOT(ISNUMBER(F533)),"Quantidade não informada",IF(F533&lt;=0,"Quantidade não positiva",IF(G533="","Unidade não informada",IF(NOT(ISNUMBER(H533)),"Unidade a conferir",IF(AC533=1,"REVISAR VÍNCULO: soma vinculada maior que a referência do item","OK"))))))</f>
        <v/>
      </c>
      <c r="M533" s="94" t="str">
        <f>IF(N533=0,"",IF(B533="","CDF não informado",IF(Q533=0,"REVISAR VÍNCULO: CDF inexistente",IF(C533="","Item não informado",IF(T533=0,"REVISAR VÍNCULO: item inexistente",IF(AND(X533=1,J533&lt;&gt;"Sim"),"REVISAR VÍNCULO: destinador diferente do MTR",IF(X533=1,"Destinador diferente do MTR (analisado)","OK")))))))</f>
        <v/>
      </c>
      <c r="N533" s="96">
        <f>IF(COUNTA(B533:C533,F533:G533,J533:K533)&gt;0,1,0)</f>
        <v>0</v>
      </c>
      <c r="O533" s="96" t="str">
        <f>IF(B533="","",TRIM(LEFT(B533,FIND(" |",B533&amp;" |")-1)))</f>
        <v/>
      </c>
      <c r="P533" s="96" t="str">
        <f>IF(O533="","",IFERROR(MATCH(O533,'CDFs'!$A$6:$A$505,0),""))</f>
        <v/>
      </c>
      <c r="Q533" s="96">
        <f>IF(P533="",0,IF(INDEX('CDFs'!$S$6:$S$505,P533)=1,1,0))</f>
        <v>0</v>
      </c>
      <c r="R533" s="96" t="str">
        <f>IF(C533="","",TRIM(LEFT(C533,FIND(" |",C533&amp;" |")-1)))</f>
        <v/>
      </c>
      <c r="S533" s="96" t="str">
        <f>IF(R533="","",IFERROR(MATCH(R533,'ITENS_MTR'!$A$6:$A$1005,0),""))</f>
        <v/>
      </c>
      <c r="T533" s="96">
        <f>IF(S533="",0,IF(INDEX('ITENS_MTR'!$R$6:$R$1005,S533)=1,1,0))</f>
        <v>0</v>
      </c>
      <c r="U533" s="96" t="str">
        <f>IF(G533="","",IFERROR(IF(ISNUMBER(INDEX(cfg_fac,MATCH(G533,cfg_units,0))),IF(INDEX(cfg_fac,MATCH(G533,cfg_units,0))&gt;0,INDEX(cfg_fac,MATCH(G533,cfg_units,0)),""),""),""))</f>
        <v/>
      </c>
      <c r="V533" s="96">
        <f>IF(AND(ISNUMBER(F533),ISNUMBER(H533)),IF(H533&gt;0,1,0),0)</f>
        <v>0</v>
      </c>
      <c r="W533" s="96" t="str">
        <f>IF(T533=1,INDEX('ITENS_MTR'!$AU$6:$AU$1005,S533)&amp;"","")</f>
        <v/>
      </c>
      <c r="X533" s="96">
        <f>IF(AND(Q533=1,T533=1,I533&lt;&gt;"",W533&lt;&gt;""),IF(I533&lt;&gt;W533,1,0),0)</f>
        <v>0</v>
      </c>
      <c r="Y533" s="96">
        <f>IF(N533=0,0,IF(OR(Q533=0,T533=0,V533=0,AND(X533=1,J533&lt;&gt;"Sim")),1,0))</f>
        <v>0</v>
      </c>
      <c r="Z533" s="96">
        <f>IF(Q533=1,INDEX('CDFs'!$W$6:$W$505,P533),0)</f>
        <v>0</v>
      </c>
      <c r="AA533" s="96">
        <f>IF(AND(N533=1,Y533=0,Z533=1,J533="Sim"),1,0)</f>
        <v>0</v>
      </c>
      <c r="AB533" s="96">
        <f>IF(AND(N533=1,O533&lt;&gt;"",D533&lt;&gt;""),IF(COUNTIFS($O$6:O533,O533,$D$6:D533,D533)=1,1,0),0)</f>
        <v>0</v>
      </c>
      <c r="AC533" s="96">
        <f>IF(T533=1,INDEX('ITENS_MTR'!$AL$6:$AL$1005,S533),0)</f>
        <v>0</v>
      </c>
    </row>
    <row r="534">
      <c r="A534" s="89" t="inlineStr">
        <is>
          <t>VIN-000529</t>
        </is>
      </c>
      <c r="B534" s="91" t="n"/>
      <c r="C534" s="91" t="n"/>
      <c r="D534" s="94" t="str">
        <f>IF(T534=1,INDEX('ITENS_MTR'!$S$6:$S$1005,S534)&amp;"","")</f>
        <v/>
      </c>
      <c r="E534" s="94" t="str">
        <f>IF(T534=1,INDEX('ITENS_MTR'!$C$6:$C$1005,S534)&amp;"","")</f>
        <v/>
      </c>
      <c r="F534" s="98" t="n"/>
      <c r="G534" s="91" t="n"/>
      <c r="H534" s="93" t="str">
        <f>IF(N534=0,"",IF(NOT(ISNUMBER(F534)),"",IF(ISNUMBER(U534),F534*U534,"UNIDADE A CONFERIR")))</f>
        <v/>
      </c>
      <c r="I534" s="94" t="str">
        <f>IF(Q534=1,INDEX('CDFs'!$F$6:$F$505,P534)&amp;"","")</f>
        <v/>
      </c>
      <c r="J534" s="91" t="n"/>
      <c r="K534" s="91" t="n"/>
      <c r="L534" s="94" t="str">
        <f>IF(N534=0,"",IF(NOT(ISNUMBER(F534)),"Quantidade não informada",IF(F534&lt;=0,"Quantidade não positiva",IF(G534="","Unidade não informada",IF(NOT(ISNUMBER(H534)),"Unidade a conferir",IF(AC534=1,"REVISAR VÍNCULO: soma vinculada maior que a referência do item","OK"))))))</f>
        <v/>
      </c>
      <c r="M534" s="94" t="str">
        <f>IF(N534=0,"",IF(B534="","CDF não informado",IF(Q534=0,"REVISAR VÍNCULO: CDF inexistente",IF(C534="","Item não informado",IF(T534=0,"REVISAR VÍNCULO: item inexistente",IF(AND(X534=1,J534&lt;&gt;"Sim"),"REVISAR VÍNCULO: destinador diferente do MTR",IF(X534=1,"Destinador diferente do MTR (analisado)","OK")))))))</f>
        <v/>
      </c>
      <c r="N534" s="96">
        <f>IF(COUNTA(B534:C534,F534:G534,J534:K534)&gt;0,1,0)</f>
        <v>0</v>
      </c>
      <c r="O534" s="96" t="str">
        <f>IF(B534="","",TRIM(LEFT(B534,FIND(" |",B534&amp;" |")-1)))</f>
        <v/>
      </c>
      <c r="P534" s="96" t="str">
        <f>IF(O534="","",IFERROR(MATCH(O534,'CDFs'!$A$6:$A$505,0),""))</f>
        <v/>
      </c>
      <c r="Q534" s="96">
        <f>IF(P534="",0,IF(INDEX('CDFs'!$S$6:$S$505,P534)=1,1,0))</f>
        <v>0</v>
      </c>
      <c r="R534" s="96" t="str">
        <f>IF(C534="","",TRIM(LEFT(C534,FIND(" |",C534&amp;" |")-1)))</f>
        <v/>
      </c>
      <c r="S534" s="96" t="str">
        <f>IF(R534="","",IFERROR(MATCH(R534,'ITENS_MTR'!$A$6:$A$1005,0),""))</f>
        <v/>
      </c>
      <c r="T534" s="96">
        <f>IF(S534="",0,IF(INDEX('ITENS_MTR'!$R$6:$R$1005,S534)=1,1,0))</f>
        <v>0</v>
      </c>
      <c r="U534" s="96" t="str">
        <f>IF(G534="","",IFERROR(IF(ISNUMBER(INDEX(cfg_fac,MATCH(G534,cfg_units,0))),IF(INDEX(cfg_fac,MATCH(G534,cfg_units,0))&gt;0,INDEX(cfg_fac,MATCH(G534,cfg_units,0)),""),""),""))</f>
        <v/>
      </c>
      <c r="V534" s="96">
        <f>IF(AND(ISNUMBER(F534),ISNUMBER(H534)),IF(H534&gt;0,1,0),0)</f>
        <v>0</v>
      </c>
      <c r="W534" s="96" t="str">
        <f>IF(T534=1,INDEX('ITENS_MTR'!$AU$6:$AU$1005,S534)&amp;"","")</f>
        <v/>
      </c>
      <c r="X534" s="96">
        <f>IF(AND(Q534=1,T534=1,I534&lt;&gt;"",W534&lt;&gt;""),IF(I534&lt;&gt;W534,1,0),0)</f>
        <v>0</v>
      </c>
      <c r="Y534" s="96">
        <f>IF(N534=0,0,IF(OR(Q534=0,T534=0,V534=0,AND(X534=1,J534&lt;&gt;"Sim")),1,0))</f>
        <v>0</v>
      </c>
      <c r="Z534" s="96">
        <f>IF(Q534=1,INDEX('CDFs'!$W$6:$W$505,P534),0)</f>
        <v>0</v>
      </c>
      <c r="AA534" s="96">
        <f>IF(AND(N534=1,Y534=0,Z534=1,J534="Sim"),1,0)</f>
        <v>0</v>
      </c>
      <c r="AB534" s="96">
        <f>IF(AND(N534=1,O534&lt;&gt;"",D534&lt;&gt;""),IF(COUNTIFS($O$6:O534,O534,$D$6:D534,D534)=1,1,0),0)</f>
        <v>0</v>
      </c>
      <c r="AC534" s="96">
        <f>IF(T534=1,INDEX('ITENS_MTR'!$AL$6:$AL$1005,S534),0)</f>
        <v>0</v>
      </c>
    </row>
    <row r="535">
      <c r="A535" s="89" t="inlineStr">
        <is>
          <t>VIN-000530</t>
        </is>
      </c>
      <c r="B535" s="91" t="n"/>
      <c r="C535" s="91" t="n"/>
      <c r="D535" s="94" t="str">
        <f>IF(T535=1,INDEX('ITENS_MTR'!$S$6:$S$1005,S535)&amp;"","")</f>
        <v/>
      </c>
      <c r="E535" s="94" t="str">
        <f>IF(T535=1,INDEX('ITENS_MTR'!$C$6:$C$1005,S535)&amp;"","")</f>
        <v/>
      </c>
      <c r="F535" s="98" t="n"/>
      <c r="G535" s="91" t="n"/>
      <c r="H535" s="93" t="str">
        <f>IF(N535=0,"",IF(NOT(ISNUMBER(F535)),"",IF(ISNUMBER(U535),F535*U535,"UNIDADE A CONFERIR")))</f>
        <v/>
      </c>
      <c r="I535" s="94" t="str">
        <f>IF(Q535=1,INDEX('CDFs'!$F$6:$F$505,P535)&amp;"","")</f>
        <v/>
      </c>
      <c r="J535" s="91" t="n"/>
      <c r="K535" s="91" t="n"/>
      <c r="L535" s="94" t="str">
        <f>IF(N535=0,"",IF(NOT(ISNUMBER(F535)),"Quantidade não informada",IF(F535&lt;=0,"Quantidade não positiva",IF(G535="","Unidade não informada",IF(NOT(ISNUMBER(H535)),"Unidade a conferir",IF(AC535=1,"REVISAR VÍNCULO: soma vinculada maior que a referência do item","OK"))))))</f>
        <v/>
      </c>
      <c r="M535" s="94" t="str">
        <f>IF(N535=0,"",IF(B535="","CDF não informado",IF(Q535=0,"REVISAR VÍNCULO: CDF inexistente",IF(C535="","Item não informado",IF(T535=0,"REVISAR VÍNCULO: item inexistente",IF(AND(X535=1,J535&lt;&gt;"Sim"),"REVISAR VÍNCULO: destinador diferente do MTR",IF(X535=1,"Destinador diferente do MTR (analisado)","OK")))))))</f>
        <v/>
      </c>
      <c r="N535" s="96">
        <f>IF(COUNTA(B535:C535,F535:G535,J535:K535)&gt;0,1,0)</f>
        <v>0</v>
      </c>
      <c r="O535" s="96" t="str">
        <f>IF(B535="","",TRIM(LEFT(B535,FIND(" |",B535&amp;" |")-1)))</f>
        <v/>
      </c>
      <c r="P535" s="96" t="str">
        <f>IF(O535="","",IFERROR(MATCH(O535,'CDFs'!$A$6:$A$505,0),""))</f>
        <v/>
      </c>
      <c r="Q535" s="96">
        <f>IF(P535="",0,IF(INDEX('CDFs'!$S$6:$S$505,P535)=1,1,0))</f>
        <v>0</v>
      </c>
      <c r="R535" s="96" t="str">
        <f>IF(C535="","",TRIM(LEFT(C535,FIND(" |",C535&amp;" |")-1)))</f>
        <v/>
      </c>
      <c r="S535" s="96" t="str">
        <f>IF(R535="","",IFERROR(MATCH(R535,'ITENS_MTR'!$A$6:$A$1005,0),""))</f>
        <v/>
      </c>
      <c r="T535" s="96">
        <f>IF(S535="",0,IF(INDEX('ITENS_MTR'!$R$6:$R$1005,S535)=1,1,0))</f>
        <v>0</v>
      </c>
      <c r="U535" s="96" t="str">
        <f>IF(G535="","",IFERROR(IF(ISNUMBER(INDEX(cfg_fac,MATCH(G535,cfg_units,0))),IF(INDEX(cfg_fac,MATCH(G535,cfg_units,0))&gt;0,INDEX(cfg_fac,MATCH(G535,cfg_units,0)),""),""),""))</f>
        <v/>
      </c>
      <c r="V535" s="96">
        <f>IF(AND(ISNUMBER(F535),ISNUMBER(H535)),IF(H535&gt;0,1,0),0)</f>
        <v>0</v>
      </c>
      <c r="W535" s="96" t="str">
        <f>IF(T535=1,INDEX('ITENS_MTR'!$AU$6:$AU$1005,S535)&amp;"","")</f>
        <v/>
      </c>
      <c r="X535" s="96">
        <f>IF(AND(Q535=1,T535=1,I535&lt;&gt;"",W535&lt;&gt;""),IF(I535&lt;&gt;W535,1,0),0)</f>
        <v>0</v>
      </c>
      <c r="Y535" s="96">
        <f>IF(N535=0,0,IF(OR(Q535=0,T535=0,V535=0,AND(X535=1,J535&lt;&gt;"Sim")),1,0))</f>
        <v>0</v>
      </c>
      <c r="Z535" s="96">
        <f>IF(Q535=1,INDEX('CDFs'!$W$6:$W$505,P535),0)</f>
        <v>0</v>
      </c>
      <c r="AA535" s="96">
        <f>IF(AND(N535=1,Y535=0,Z535=1,J535="Sim"),1,0)</f>
        <v>0</v>
      </c>
      <c r="AB535" s="96">
        <f>IF(AND(N535=1,O535&lt;&gt;"",D535&lt;&gt;""),IF(COUNTIFS($O$6:O535,O535,$D$6:D535,D535)=1,1,0),0)</f>
        <v>0</v>
      </c>
      <c r="AC535" s="96">
        <f>IF(T535=1,INDEX('ITENS_MTR'!$AL$6:$AL$1005,S535),0)</f>
        <v>0</v>
      </c>
    </row>
    <row r="536">
      <c r="A536" s="89" t="inlineStr">
        <is>
          <t>VIN-000531</t>
        </is>
      </c>
      <c r="B536" s="91" t="n"/>
      <c r="C536" s="91" t="n"/>
      <c r="D536" s="94" t="str">
        <f>IF(T536=1,INDEX('ITENS_MTR'!$S$6:$S$1005,S536)&amp;"","")</f>
        <v/>
      </c>
      <c r="E536" s="94" t="str">
        <f>IF(T536=1,INDEX('ITENS_MTR'!$C$6:$C$1005,S536)&amp;"","")</f>
        <v/>
      </c>
      <c r="F536" s="98" t="n"/>
      <c r="G536" s="91" t="n"/>
      <c r="H536" s="93" t="str">
        <f>IF(N536=0,"",IF(NOT(ISNUMBER(F536)),"",IF(ISNUMBER(U536),F536*U536,"UNIDADE A CONFERIR")))</f>
        <v/>
      </c>
      <c r="I536" s="94" t="str">
        <f>IF(Q536=1,INDEX('CDFs'!$F$6:$F$505,P536)&amp;"","")</f>
        <v/>
      </c>
      <c r="J536" s="91" t="n"/>
      <c r="K536" s="91" t="n"/>
      <c r="L536" s="94" t="str">
        <f>IF(N536=0,"",IF(NOT(ISNUMBER(F536)),"Quantidade não informada",IF(F536&lt;=0,"Quantidade não positiva",IF(G536="","Unidade não informada",IF(NOT(ISNUMBER(H536)),"Unidade a conferir",IF(AC536=1,"REVISAR VÍNCULO: soma vinculada maior que a referência do item","OK"))))))</f>
        <v/>
      </c>
      <c r="M536" s="94" t="str">
        <f>IF(N536=0,"",IF(B536="","CDF não informado",IF(Q536=0,"REVISAR VÍNCULO: CDF inexistente",IF(C536="","Item não informado",IF(T536=0,"REVISAR VÍNCULO: item inexistente",IF(AND(X536=1,J536&lt;&gt;"Sim"),"REVISAR VÍNCULO: destinador diferente do MTR",IF(X536=1,"Destinador diferente do MTR (analisado)","OK")))))))</f>
        <v/>
      </c>
      <c r="N536" s="96">
        <f>IF(COUNTA(B536:C536,F536:G536,J536:K536)&gt;0,1,0)</f>
        <v>0</v>
      </c>
      <c r="O536" s="96" t="str">
        <f>IF(B536="","",TRIM(LEFT(B536,FIND(" |",B536&amp;" |")-1)))</f>
        <v/>
      </c>
      <c r="P536" s="96" t="str">
        <f>IF(O536="","",IFERROR(MATCH(O536,'CDFs'!$A$6:$A$505,0),""))</f>
        <v/>
      </c>
      <c r="Q536" s="96">
        <f>IF(P536="",0,IF(INDEX('CDFs'!$S$6:$S$505,P536)=1,1,0))</f>
        <v>0</v>
      </c>
      <c r="R536" s="96" t="str">
        <f>IF(C536="","",TRIM(LEFT(C536,FIND(" |",C536&amp;" |")-1)))</f>
        <v/>
      </c>
      <c r="S536" s="96" t="str">
        <f>IF(R536="","",IFERROR(MATCH(R536,'ITENS_MTR'!$A$6:$A$1005,0),""))</f>
        <v/>
      </c>
      <c r="T536" s="96">
        <f>IF(S536="",0,IF(INDEX('ITENS_MTR'!$R$6:$R$1005,S536)=1,1,0))</f>
        <v>0</v>
      </c>
      <c r="U536" s="96" t="str">
        <f>IF(G536="","",IFERROR(IF(ISNUMBER(INDEX(cfg_fac,MATCH(G536,cfg_units,0))),IF(INDEX(cfg_fac,MATCH(G536,cfg_units,0))&gt;0,INDEX(cfg_fac,MATCH(G536,cfg_units,0)),""),""),""))</f>
        <v/>
      </c>
      <c r="V536" s="96">
        <f>IF(AND(ISNUMBER(F536),ISNUMBER(H536)),IF(H536&gt;0,1,0),0)</f>
        <v>0</v>
      </c>
      <c r="W536" s="96" t="str">
        <f>IF(T536=1,INDEX('ITENS_MTR'!$AU$6:$AU$1005,S536)&amp;"","")</f>
        <v/>
      </c>
      <c r="X536" s="96">
        <f>IF(AND(Q536=1,T536=1,I536&lt;&gt;"",W536&lt;&gt;""),IF(I536&lt;&gt;W536,1,0),0)</f>
        <v>0</v>
      </c>
      <c r="Y536" s="96">
        <f>IF(N536=0,0,IF(OR(Q536=0,T536=0,V536=0,AND(X536=1,J536&lt;&gt;"Sim")),1,0))</f>
        <v>0</v>
      </c>
      <c r="Z536" s="96">
        <f>IF(Q536=1,INDEX('CDFs'!$W$6:$W$505,P536),0)</f>
        <v>0</v>
      </c>
      <c r="AA536" s="96">
        <f>IF(AND(N536=1,Y536=0,Z536=1,J536="Sim"),1,0)</f>
        <v>0</v>
      </c>
      <c r="AB536" s="96">
        <f>IF(AND(N536=1,O536&lt;&gt;"",D536&lt;&gt;""),IF(COUNTIFS($O$6:O536,O536,$D$6:D536,D536)=1,1,0),0)</f>
        <v>0</v>
      </c>
      <c r="AC536" s="96">
        <f>IF(T536=1,INDEX('ITENS_MTR'!$AL$6:$AL$1005,S536),0)</f>
        <v>0</v>
      </c>
    </row>
    <row r="537">
      <c r="A537" s="89" t="inlineStr">
        <is>
          <t>VIN-000532</t>
        </is>
      </c>
      <c r="B537" s="91" t="n"/>
      <c r="C537" s="91" t="n"/>
      <c r="D537" s="94" t="str">
        <f>IF(T537=1,INDEX('ITENS_MTR'!$S$6:$S$1005,S537)&amp;"","")</f>
        <v/>
      </c>
      <c r="E537" s="94" t="str">
        <f>IF(T537=1,INDEX('ITENS_MTR'!$C$6:$C$1005,S537)&amp;"","")</f>
        <v/>
      </c>
      <c r="F537" s="98" t="n"/>
      <c r="G537" s="91" t="n"/>
      <c r="H537" s="93" t="str">
        <f>IF(N537=0,"",IF(NOT(ISNUMBER(F537)),"",IF(ISNUMBER(U537),F537*U537,"UNIDADE A CONFERIR")))</f>
        <v/>
      </c>
      <c r="I537" s="94" t="str">
        <f>IF(Q537=1,INDEX('CDFs'!$F$6:$F$505,P537)&amp;"","")</f>
        <v/>
      </c>
      <c r="J537" s="91" t="n"/>
      <c r="K537" s="91" t="n"/>
      <c r="L537" s="94" t="str">
        <f>IF(N537=0,"",IF(NOT(ISNUMBER(F537)),"Quantidade não informada",IF(F537&lt;=0,"Quantidade não positiva",IF(G537="","Unidade não informada",IF(NOT(ISNUMBER(H537)),"Unidade a conferir",IF(AC537=1,"REVISAR VÍNCULO: soma vinculada maior que a referência do item","OK"))))))</f>
        <v/>
      </c>
      <c r="M537" s="94" t="str">
        <f>IF(N537=0,"",IF(B537="","CDF não informado",IF(Q537=0,"REVISAR VÍNCULO: CDF inexistente",IF(C537="","Item não informado",IF(T537=0,"REVISAR VÍNCULO: item inexistente",IF(AND(X537=1,J537&lt;&gt;"Sim"),"REVISAR VÍNCULO: destinador diferente do MTR",IF(X537=1,"Destinador diferente do MTR (analisado)","OK")))))))</f>
        <v/>
      </c>
      <c r="N537" s="96">
        <f>IF(COUNTA(B537:C537,F537:G537,J537:K537)&gt;0,1,0)</f>
        <v>0</v>
      </c>
      <c r="O537" s="96" t="str">
        <f>IF(B537="","",TRIM(LEFT(B537,FIND(" |",B537&amp;" |")-1)))</f>
        <v/>
      </c>
      <c r="P537" s="96" t="str">
        <f>IF(O537="","",IFERROR(MATCH(O537,'CDFs'!$A$6:$A$505,0),""))</f>
        <v/>
      </c>
      <c r="Q537" s="96">
        <f>IF(P537="",0,IF(INDEX('CDFs'!$S$6:$S$505,P537)=1,1,0))</f>
        <v>0</v>
      </c>
      <c r="R537" s="96" t="str">
        <f>IF(C537="","",TRIM(LEFT(C537,FIND(" |",C537&amp;" |")-1)))</f>
        <v/>
      </c>
      <c r="S537" s="96" t="str">
        <f>IF(R537="","",IFERROR(MATCH(R537,'ITENS_MTR'!$A$6:$A$1005,0),""))</f>
        <v/>
      </c>
      <c r="T537" s="96">
        <f>IF(S537="",0,IF(INDEX('ITENS_MTR'!$R$6:$R$1005,S537)=1,1,0))</f>
        <v>0</v>
      </c>
      <c r="U537" s="96" t="str">
        <f>IF(G537="","",IFERROR(IF(ISNUMBER(INDEX(cfg_fac,MATCH(G537,cfg_units,0))),IF(INDEX(cfg_fac,MATCH(G537,cfg_units,0))&gt;0,INDEX(cfg_fac,MATCH(G537,cfg_units,0)),""),""),""))</f>
        <v/>
      </c>
      <c r="V537" s="96">
        <f>IF(AND(ISNUMBER(F537),ISNUMBER(H537)),IF(H537&gt;0,1,0),0)</f>
        <v>0</v>
      </c>
      <c r="W537" s="96" t="str">
        <f>IF(T537=1,INDEX('ITENS_MTR'!$AU$6:$AU$1005,S537)&amp;"","")</f>
        <v/>
      </c>
      <c r="X537" s="96">
        <f>IF(AND(Q537=1,T537=1,I537&lt;&gt;"",W537&lt;&gt;""),IF(I537&lt;&gt;W537,1,0),0)</f>
        <v>0</v>
      </c>
      <c r="Y537" s="96">
        <f>IF(N537=0,0,IF(OR(Q537=0,T537=0,V537=0,AND(X537=1,J537&lt;&gt;"Sim")),1,0))</f>
        <v>0</v>
      </c>
      <c r="Z537" s="96">
        <f>IF(Q537=1,INDEX('CDFs'!$W$6:$W$505,P537),0)</f>
        <v>0</v>
      </c>
      <c r="AA537" s="96">
        <f>IF(AND(N537=1,Y537=0,Z537=1,J537="Sim"),1,0)</f>
        <v>0</v>
      </c>
      <c r="AB537" s="96">
        <f>IF(AND(N537=1,O537&lt;&gt;"",D537&lt;&gt;""),IF(COUNTIFS($O$6:O537,O537,$D$6:D537,D537)=1,1,0),0)</f>
        <v>0</v>
      </c>
      <c r="AC537" s="96">
        <f>IF(T537=1,INDEX('ITENS_MTR'!$AL$6:$AL$1005,S537),0)</f>
        <v>0</v>
      </c>
    </row>
    <row r="538">
      <c r="A538" s="89" t="inlineStr">
        <is>
          <t>VIN-000533</t>
        </is>
      </c>
      <c r="B538" s="91" t="n"/>
      <c r="C538" s="91" t="n"/>
      <c r="D538" s="94" t="str">
        <f>IF(T538=1,INDEX('ITENS_MTR'!$S$6:$S$1005,S538)&amp;"","")</f>
        <v/>
      </c>
      <c r="E538" s="94" t="str">
        <f>IF(T538=1,INDEX('ITENS_MTR'!$C$6:$C$1005,S538)&amp;"","")</f>
        <v/>
      </c>
      <c r="F538" s="98" t="n"/>
      <c r="G538" s="91" t="n"/>
      <c r="H538" s="93" t="str">
        <f>IF(N538=0,"",IF(NOT(ISNUMBER(F538)),"",IF(ISNUMBER(U538),F538*U538,"UNIDADE A CONFERIR")))</f>
        <v/>
      </c>
      <c r="I538" s="94" t="str">
        <f>IF(Q538=1,INDEX('CDFs'!$F$6:$F$505,P538)&amp;"","")</f>
        <v/>
      </c>
      <c r="J538" s="91" t="n"/>
      <c r="K538" s="91" t="n"/>
      <c r="L538" s="94" t="str">
        <f>IF(N538=0,"",IF(NOT(ISNUMBER(F538)),"Quantidade não informada",IF(F538&lt;=0,"Quantidade não positiva",IF(G538="","Unidade não informada",IF(NOT(ISNUMBER(H538)),"Unidade a conferir",IF(AC538=1,"REVISAR VÍNCULO: soma vinculada maior que a referência do item","OK"))))))</f>
        <v/>
      </c>
      <c r="M538" s="94" t="str">
        <f>IF(N538=0,"",IF(B538="","CDF não informado",IF(Q538=0,"REVISAR VÍNCULO: CDF inexistente",IF(C538="","Item não informado",IF(T538=0,"REVISAR VÍNCULO: item inexistente",IF(AND(X538=1,J538&lt;&gt;"Sim"),"REVISAR VÍNCULO: destinador diferente do MTR",IF(X538=1,"Destinador diferente do MTR (analisado)","OK")))))))</f>
        <v/>
      </c>
      <c r="N538" s="96">
        <f>IF(COUNTA(B538:C538,F538:G538,J538:K538)&gt;0,1,0)</f>
        <v>0</v>
      </c>
      <c r="O538" s="96" t="str">
        <f>IF(B538="","",TRIM(LEFT(B538,FIND(" |",B538&amp;" |")-1)))</f>
        <v/>
      </c>
      <c r="P538" s="96" t="str">
        <f>IF(O538="","",IFERROR(MATCH(O538,'CDFs'!$A$6:$A$505,0),""))</f>
        <v/>
      </c>
      <c r="Q538" s="96">
        <f>IF(P538="",0,IF(INDEX('CDFs'!$S$6:$S$505,P538)=1,1,0))</f>
        <v>0</v>
      </c>
      <c r="R538" s="96" t="str">
        <f>IF(C538="","",TRIM(LEFT(C538,FIND(" |",C538&amp;" |")-1)))</f>
        <v/>
      </c>
      <c r="S538" s="96" t="str">
        <f>IF(R538="","",IFERROR(MATCH(R538,'ITENS_MTR'!$A$6:$A$1005,0),""))</f>
        <v/>
      </c>
      <c r="T538" s="96">
        <f>IF(S538="",0,IF(INDEX('ITENS_MTR'!$R$6:$R$1005,S538)=1,1,0))</f>
        <v>0</v>
      </c>
      <c r="U538" s="96" t="str">
        <f>IF(G538="","",IFERROR(IF(ISNUMBER(INDEX(cfg_fac,MATCH(G538,cfg_units,0))),IF(INDEX(cfg_fac,MATCH(G538,cfg_units,0))&gt;0,INDEX(cfg_fac,MATCH(G538,cfg_units,0)),""),""),""))</f>
        <v/>
      </c>
      <c r="V538" s="96">
        <f>IF(AND(ISNUMBER(F538),ISNUMBER(H538)),IF(H538&gt;0,1,0),0)</f>
        <v>0</v>
      </c>
      <c r="W538" s="96" t="str">
        <f>IF(T538=1,INDEX('ITENS_MTR'!$AU$6:$AU$1005,S538)&amp;"","")</f>
        <v/>
      </c>
      <c r="X538" s="96">
        <f>IF(AND(Q538=1,T538=1,I538&lt;&gt;"",W538&lt;&gt;""),IF(I538&lt;&gt;W538,1,0),0)</f>
        <v>0</v>
      </c>
      <c r="Y538" s="96">
        <f>IF(N538=0,0,IF(OR(Q538=0,T538=0,V538=0,AND(X538=1,J538&lt;&gt;"Sim")),1,0))</f>
        <v>0</v>
      </c>
      <c r="Z538" s="96">
        <f>IF(Q538=1,INDEX('CDFs'!$W$6:$W$505,P538),0)</f>
        <v>0</v>
      </c>
      <c r="AA538" s="96">
        <f>IF(AND(N538=1,Y538=0,Z538=1,J538="Sim"),1,0)</f>
        <v>0</v>
      </c>
      <c r="AB538" s="96">
        <f>IF(AND(N538=1,O538&lt;&gt;"",D538&lt;&gt;""),IF(COUNTIFS($O$6:O538,O538,$D$6:D538,D538)=1,1,0),0)</f>
        <v>0</v>
      </c>
      <c r="AC538" s="96">
        <f>IF(T538=1,INDEX('ITENS_MTR'!$AL$6:$AL$1005,S538),0)</f>
        <v>0</v>
      </c>
    </row>
    <row r="539">
      <c r="A539" s="89" t="inlineStr">
        <is>
          <t>VIN-000534</t>
        </is>
      </c>
      <c r="B539" s="91" t="n"/>
      <c r="C539" s="91" t="n"/>
      <c r="D539" s="94" t="str">
        <f>IF(T539=1,INDEX('ITENS_MTR'!$S$6:$S$1005,S539)&amp;"","")</f>
        <v/>
      </c>
      <c r="E539" s="94" t="str">
        <f>IF(T539=1,INDEX('ITENS_MTR'!$C$6:$C$1005,S539)&amp;"","")</f>
        <v/>
      </c>
      <c r="F539" s="98" t="n"/>
      <c r="G539" s="91" t="n"/>
      <c r="H539" s="93" t="str">
        <f>IF(N539=0,"",IF(NOT(ISNUMBER(F539)),"",IF(ISNUMBER(U539),F539*U539,"UNIDADE A CONFERIR")))</f>
        <v/>
      </c>
      <c r="I539" s="94" t="str">
        <f>IF(Q539=1,INDEX('CDFs'!$F$6:$F$505,P539)&amp;"","")</f>
        <v/>
      </c>
      <c r="J539" s="91" t="n"/>
      <c r="K539" s="91" t="n"/>
      <c r="L539" s="94" t="str">
        <f>IF(N539=0,"",IF(NOT(ISNUMBER(F539)),"Quantidade não informada",IF(F539&lt;=0,"Quantidade não positiva",IF(G539="","Unidade não informada",IF(NOT(ISNUMBER(H539)),"Unidade a conferir",IF(AC539=1,"REVISAR VÍNCULO: soma vinculada maior que a referência do item","OK"))))))</f>
        <v/>
      </c>
      <c r="M539" s="94" t="str">
        <f>IF(N539=0,"",IF(B539="","CDF não informado",IF(Q539=0,"REVISAR VÍNCULO: CDF inexistente",IF(C539="","Item não informado",IF(T539=0,"REVISAR VÍNCULO: item inexistente",IF(AND(X539=1,J539&lt;&gt;"Sim"),"REVISAR VÍNCULO: destinador diferente do MTR",IF(X539=1,"Destinador diferente do MTR (analisado)","OK")))))))</f>
        <v/>
      </c>
      <c r="N539" s="96">
        <f>IF(COUNTA(B539:C539,F539:G539,J539:K539)&gt;0,1,0)</f>
        <v>0</v>
      </c>
      <c r="O539" s="96" t="str">
        <f>IF(B539="","",TRIM(LEFT(B539,FIND(" |",B539&amp;" |")-1)))</f>
        <v/>
      </c>
      <c r="P539" s="96" t="str">
        <f>IF(O539="","",IFERROR(MATCH(O539,'CDFs'!$A$6:$A$505,0),""))</f>
        <v/>
      </c>
      <c r="Q539" s="96">
        <f>IF(P539="",0,IF(INDEX('CDFs'!$S$6:$S$505,P539)=1,1,0))</f>
        <v>0</v>
      </c>
      <c r="R539" s="96" t="str">
        <f>IF(C539="","",TRIM(LEFT(C539,FIND(" |",C539&amp;" |")-1)))</f>
        <v/>
      </c>
      <c r="S539" s="96" t="str">
        <f>IF(R539="","",IFERROR(MATCH(R539,'ITENS_MTR'!$A$6:$A$1005,0),""))</f>
        <v/>
      </c>
      <c r="T539" s="96">
        <f>IF(S539="",0,IF(INDEX('ITENS_MTR'!$R$6:$R$1005,S539)=1,1,0))</f>
        <v>0</v>
      </c>
      <c r="U539" s="96" t="str">
        <f>IF(G539="","",IFERROR(IF(ISNUMBER(INDEX(cfg_fac,MATCH(G539,cfg_units,0))),IF(INDEX(cfg_fac,MATCH(G539,cfg_units,0))&gt;0,INDEX(cfg_fac,MATCH(G539,cfg_units,0)),""),""),""))</f>
        <v/>
      </c>
      <c r="V539" s="96">
        <f>IF(AND(ISNUMBER(F539),ISNUMBER(H539)),IF(H539&gt;0,1,0),0)</f>
        <v>0</v>
      </c>
      <c r="W539" s="96" t="str">
        <f>IF(T539=1,INDEX('ITENS_MTR'!$AU$6:$AU$1005,S539)&amp;"","")</f>
        <v/>
      </c>
      <c r="X539" s="96">
        <f>IF(AND(Q539=1,T539=1,I539&lt;&gt;"",W539&lt;&gt;""),IF(I539&lt;&gt;W539,1,0),0)</f>
        <v>0</v>
      </c>
      <c r="Y539" s="96">
        <f>IF(N539=0,0,IF(OR(Q539=0,T539=0,V539=0,AND(X539=1,J539&lt;&gt;"Sim")),1,0))</f>
        <v>0</v>
      </c>
      <c r="Z539" s="96">
        <f>IF(Q539=1,INDEX('CDFs'!$W$6:$W$505,P539),0)</f>
        <v>0</v>
      </c>
      <c r="AA539" s="96">
        <f>IF(AND(N539=1,Y539=0,Z539=1,J539="Sim"),1,0)</f>
        <v>0</v>
      </c>
      <c r="AB539" s="96">
        <f>IF(AND(N539=1,O539&lt;&gt;"",D539&lt;&gt;""),IF(COUNTIFS($O$6:O539,O539,$D$6:D539,D539)=1,1,0),0)</f>
        <v>0</v>
      </c>
      <c r="AC539" s="96">
        <f>IF(T539=1,INDEX('ITENS_MTR'!$AL$6:$AL$1005,S539),0)</f>
        <v>0</v>
      </c>
    </row>
    <row r="540">
      <c r="A540" s="89" t="inlineStr">
        <is>
          <t>VIN-000535</t>
        </is>
      </c>
      <c r="B540" s="91" t="n"/>
      <c r="C540" s="91" t="n"/>
      <c r="D540" s="94" t="str">
        <f>IF(T540=1,INDEX('ITENS_MTR'!$S$6:$S$1005,S540)&amp;"","")</f>
        <v/>
      </c>
      <c r="E540" s="94" t="str">
        <f>IF(T540=1,INDEX('ITENS_MTR'!$C$6:$C$1005,S540)&amp;"","")</f>
        <v/>
      </c>
      <c r="F540" s="98" t="n"/>
      <c r="G540" s="91" t="n"/>
      <c r="H540" s="93" t="str">
        <f>IF(N540=0,"",IF(NOT(ISNUMBER(F540)),"",IF(ISNUMBER(U540),F540*U540,"UNIDADE A CONFERIR")))</f>
        <v/>
      </c>
      <c r="I540" s="94" t="str">
        <f>IF(Q540=1,INDEX('CDFs'!$F$6:$F$505,P540)&amp;"","")</f>
        <v/>
      </c>
      <c r="J540" s="91" t="n"/>
      <c r="K540" s="91" t="n"/>
      <c r="L540" s="94" t="str">
        <f>IF(N540=0,"",IF(NOT(ISNUMBER(F540)),"Quantidade não informada",IF(F540&lt;=0,"Quantidade não positiva",IF(G540="","Unidade não informada",IF(NOT(ISNUMBER(H540)),"Unidade a conferir",IF(AC540=1,"REVISAR VÍNCULO: soma vinculada maior que a referência do item","OK"))))))</f>
        <v/>
      </c>
      <c r="M540" s="94" t="str">
        <f>IF(N540=0,"",IF(B540="","CDF não informado",IF(Q540=0,"REVISAR VÍNCULO: CDF inexistente",IF(C540="","Item não informado",IF(T540=0,"REVISAR VÍNCULO: item inexistente",IF(AND(X540=1,J540&lt;&gt;"Sim"),"REVISAR VÍNCULO: destinador diferente do MTR",IF(X540=1,"Destinador diferente do MTR (analisado)","OK")))))))</f>
        <v/>
      </c>
      <c r="N540" s="96">
        <f>IF(COUNTA(B540:C540,F540:G540,J540:K540)&gt;0,1,0)</f>
        <v>0</v>
      </c>
      <c r="O540" s="96" t="str">
        <f>IF(B540="","",TRIM(LEFT(B540,FIND(" |",B540&amp;" |")-1)))</f>
        <v/>
      </c>
      <c r="P540" s="96" t="str">
        <f>IF(O540="","",IFERROR(MATCH(O540,'CDFs'!$A$6:$A$505,0),""))</f>
        <v/>
      </c>
      <c r="Q540" s="96">
        <f>IF(P540="",0,IF(INDEX('CDFs'!$S$6:$S$505,P540)=1,1,0))</f>
        <v>0</v>
      </c>
      <c r="R540" s="96" t="str">
        <f>IF(C540="","",TRIM(LEFT(C540,FIND(" |",C540&amp;" |")-1)))</f>
        <v/>
      </c>
      <c r="S540" s="96" t="str">
        <f>IF(R540="","",IFERROR(MATCH(R540,'ITENS_MTR'!$A$6:$A$1005,0),""))</f>
        <v/>
      </c>
      <c r="T540" s="96">
        <f>IF(S540="",0,IF(INDEX('ITENS_MTR'!$R$6:$R$1005,S540)=1,1,0))</f>
        <v>0</v>
      </c>
      <c r="U540" s="96" t="str">
        <f>IF(G540="","",IFERROR(IF(ISNUMBER(INDEX(cfg_fac,MATCH(G540,cfg_units,0))),IF(INDEX(cfg_fac,MATCH(G540,cfg_units,0))&gt;0,INDEX(cfg_fac,MATCH(G540,cfg_units,0)),""),""),""))</f>
        <v/>
      </c>
      <c r="V540" s="96">
        <f>IF(AND(ISNUMBER(F540),ISNUMBER(H540)),IF(H540&gt;0,1,0),0)</f>
        <v>0</v>
      </c>
      <c r="W540" s="96" t="str">
        <f>IF(T540=1,INDEX('ITENS_MTR'!$AU$6:$AU$1005,S540)&amp;"","")</f>
        <v/>
      </c>
      <c r="X540" s="96">
        <f>IF(AND(Q540=1,T540=1,I540&lt;&gt;"",W540&lt;&gt;""),IF(I540&lt;&gt;W540,1,0),0)</f>
        <v>0</v>
      </c>
      <c r="Y540" s="96">
        <f>IF(N540=0,0,IF(OR(Q540=0,T540=0,V540=0,AND(X540=1,J540&lt;&gt;"Sim")),1,0))</f>
        <v>0</v>
      </c>
      <c r="Z540" s="96">
        <f>IF(Q540=1,INDEX('CDFs'!$W$6:$W$505,P540),0)</f>
        <v>0</v>
      </c>
      <c r="AA540" s="96">
        <f>IF(AND(N540=1,Y540=0,Z540=1,J540="Sim"),1,0)</f>
        <v>0</v>
      </c>
      <c r="AB540" s="96">
        <f>IF(AND(N540=1,O540&lt;&gt;"",D540&lt;&gt;""),IF(COUNTIFS($O$6:O540,O540,$D$6:D540,D540)=1,1,0),0)</f>
        <v>0</v>
      </c>
      <c r="AC540" s="96">
        <f>IF(T540=1,INDEX('ITENS_MTR'!$AL$6:$AL$1005,S540),0)</f>
        <v>0</v>
      </c>
    </row>
    <row r="541">
      <c r="A541" s="89" t="inlineStr">
        <is>
          <t>VIN-000536</t>
        </is>
      </c>
      <c r="B541" s="91" t="n"/>
      <c r="C541" s="91" t="n"/>
      <c r="D541" s="94" t="str">
        <f>IF(T541=1,INDEX('ITENS_MTR'!$S$6:$S$1005,S541)&amp;"","")</f>
        <v/>
      </c>
      <c r="E541" s="94" t="str">
        <f>IF(T541=1,INDEX('ITENS_MTR'!$C$6:$C$1005,S541)&amp;"","")</f>
        <v/>
      </c>
      <c r="F541" s="98" t="n"/>
      <c r="G541" s="91" t="n"/>
      <c r="H541" s="93" t="str">
        <f>IF(N541=0,"",IF(NOT(ISNUMBER(F541)),"",IF(ISNUMBER(U541),F541*U541,"UNIDADE A CONFERIR")))</f>
        <v/>
      </c>
      <c r="I541" s="94" t="str">
        <f>IF(Q541=1,INDEX('CDFs'!$F$6:$F$505,P541)&amp;"","")</f>
        <v/>
      </c>
      <c r="J541" s="91" t="n"/>
      <c r="K541" s="91" t="n"/>
      <c r="L541" s="94" t="str">
        <f>IF(N541=0,"",IF(NOT(ISNUMBER(F541)),"Quantidade não informada",IF(F541&lt;=0,"Quantidade não positiva",IF(G541="","Unidade não informada",IF(NOT(ISNUMBER(H541)),"Unidade a conferir",IF(AC541=1,"REVISAR VÍNCULO: soma vinculada maior que a referência do item","OK"))))))</f>
        <v/>
      </c>
      <c r="M541" s="94" t="str">
        <f>IF(N541=0,"",IF(B541="","CDF não informado",IF(Q541=0,"REVISAR VÍNCULO: CDF inexistente",IF(C541="","Item não informado",IF(T541=0,"REVISAR VÍNCULO: item inexistente",IF(AND(X541=1,J541&lt;&gt;"Sim"),"REVISAR VÍNCULO: destinador diferente do MTR",IF(X541=1,"Destinador diferente do MTR (analisado)","OK")))))))</f>
        <v/>
      </c>
      <c r="N541" s="96">
        <f>IF(COUNTA(B541:C541,F541:G541,J541:K541)&gt;0,1,0)</f>
        <v>0</v>
      </c>
      <c r="O541" s="96" t="str">
        <f>IF(B541="","",TRIM(LEFT(B541,FIND(" |",B541&amp;" |")-1)))</f>
        <v/>
      </c>
      <c r="P541" s="96" t="str">
        <f>IF(O541="","",IFERROR(MATCH(O541,'CDFs'!$A$6:$A$505,0),""))</f>
        <v/>
      </c>
      <c r="Q541" s="96">
        <f>IF(P541="",0,IF(INDEX('CDFs'!$S$6:$S$505,P541)=1,1,0))</f>
        <v>0</v>
      </c>
      <c r="R541" s="96" t="str">
        <f>IF(C541="","",TRIM(LEFT(C541,FIND(" |",C541&amp;" |")-1)))</f>
        <v/>
      </c>
      <c r="S541" s="96" t="str">
        <f>IF(R541="","",IFERROR(MATCH(R541,'ITENS_MTR'!$A$6:$A$1005,0),""))</f>
        <v/>
      </c>
      <c r="T541" s="96">
        <f>IF(S541="",0,IF(INDEX('ITENS_MTR'!$R$6:$R$1005,S541)=1,1,0))</f>
        <v>0</v>
      </c>
      <c r="U541" s="96" t="str">
        <f>IF(G541="","",IFERROR(IF(ISNUMBER(INDEX(cfg_fac,MATCH(G541,cfg_units,0))),IF(INDEX(cfg_fac,MATCH(G541,cfg_units,0))&gt;0,INDEX(cfg_fac,MATCH(G541,cfg_units,0)),""),""),""))</f>
        <v/>
      </c>
      <c r="V541" s="96">
        <f>IF(AND(ISNUMBER(F541),ISNUMBER(H541)),IF(H541&gt;0,1,0),0)</f>
        <v>0</v>
      </c>
      <c r="W541" s="96" t="str">
        <f>IF(T541=1,INDEX('ITENS_MTR'!$AU$6:$AU$1005,S541)&amp;"","")</f>
        <v/>
      </c>
      <c r="X541" s="96">
        <f>IF(AND(Q541=1,T541=1,I541&lt;&gt;"",W541&lt;&gt;""),IF(I541&lt;&gt;W541,1,0),0)</f>
        <v>0</v>
      </c>
      <c r="Y541" s="96">
        <f>IF(N541=0,0,IF(OR(Q541=0,T541=0,V541=0,AND(X541=1,J541&lt;&gt;"Sim")),1,0))</f>
        <v>0</v>
      </c>
      <c r="Z541" s="96">
        <f>IF(Q541=1,INDEX('CDFs'!$W$6:$W$505,P541),0)</f>
        <v>0</v>
      </c>
      <c r="AA541" s="96">
        <f>IF(AND(N541=1,Y541=0,Z541=1,J541="Sim"),1,0)</f>
        <v>0</v>
      </c>
      <c r="AB541" s="96">
        <f>IF(AND(N541=1,O541&lt;&gt;"",D541&lt;&gt;""),IF(COUNTIFS($O$6:O541,O541,$D$6:D541,D541)=1,1,0),0)</f>
        <v>0</v>
      </c>
      <c r="AC541" s="96">
        <f>IF(T541=1,INDEX('ITENS_MTR'!$AL$6:$AL$1005,S541),0)</f>
        <v>0</v>
      </c>
    </row>
    <row r="542">
      <c r="A542" s="89" t="inlineStr">
        <is>
          <t>VIN-000537</t>
        </is>
      </c>
      <c r="B542" s="91" t="n"/>
      <c r="C542" s="91" t="n"/>
      <c r="D542" s="94" t="str">
        <f>IF(T542=1,INDEX('ITENS_MTR'!$S$6:$S$1005,S542)&amp;"","")</f>
        <v/>
      </c>
      <c r="E542" s="94" t="str">
        <f>IF(T542=1,INDEX('ITENS_MTR'!$C$6:$C$1005,S542)&amp;"","")</f>
        <v/>
      </c>
      <c r="F542" s="98" t="n"/>
      <c r="G542" s="91" t="n"/>
      <c r="H542" s="93" t="str">
        <f>IF(N542=0,"",IF(NOT(ISNUMBER(F542)),"",IF(ISNUMBER(U542),F542*U542,"UNIDADE A CONFERIR")))</f>
        <v/>
      </c>
      <c r="I542" s="94" t="str">
        <f>IF(Q542=1,INDEX('CDFs'!$F$6:$F$505,P542)&amp;"","")</f>
        <v/>
      </c>
      <c r="J542" s="91" t="n"/>
      <c r="K542" s="91" t="n"/>
      <c r="L542" s="94" t="str">
        <f>IF(N542=0,"",IF(NOT(ISNUMBER(F542)),"Quantidade não informada",IF(F542&lt;=0,"Quantidade não positiva",IF(G542="","Unidade não informada",IF(NOT(ISNUMBER(H542)),"Unidade a conferir",IF(AC542=1,"REVISAR VÍNCULO: soma vinculada maior que a referência do item","OK"))))))</f>
        <v/>
      </c>
      <c r="M542" s="94" t="str">
        <f>IF(N542=0,"",IF(B542="","CDF não informado",IF(Q542=0,"REVISAR VÍNCULO: CDF inexistente",IF(C542="","Item não informado",IF(T542=0,"REVISAR VÍNCULO: item inexistente",IF(AND(X542=1,J542&lt;&gt;"Sim"),"REVISAR VÍNCULO: destinador diferente do MTR",IF(X542=1,"Destinador diferente do MTR (analisado)","OK")))))))</f>
        <v/>
      </c>
      <c r="N542" s="96">
        <f>IF(COUNTA(B542:C542,F542:G542,J542:K542)&gt;0,1,0)</f>
        <v>0</v>
      </c>
      <c r="O542" s="96" t="str">
        <f>IF(B542="","",TRIM(LEFT(B542,FIND(" |",B542&amp;" |")-1)))</f>
        <v/>
      </c>
      <c r="P542" s="96" t="str">
        <f>IF(O542="","",IFERROR(MATCH(O542,'CDFs'!$A$6:$A$505,0),""))</f>
        <v/>
      </c>
      <c r="Q542" s="96">
        <f>IF(P542="",0,IF(INDEX('CDFs'!$S$6:$S$505,P542)=1,1,0))</f>
        <v>0</v>
      </c>
      <c r="R542" s="96" t="str">
        <f>IF(C542="","",TRIM(LEFT(C542,FIND(" |",C542&amp;" |")-1)))</f>
        <v/>
      </c>
      <c r="S542" s="96" t="str">
        <f>IF(R542="","",IFERROR(MATCH(R542,'ITENS_MTR'!$A$6:$A$1005,0),""))</f>
        <v/>
      </c>
      <c r="T542" s="96">
        <f>IF(S542="",0,IF(INDEX('ITENS_MTR'!$R$6:$R$1005,S542)=1,1,0))</f>
        <v>0</v>
      </c>
      <c r="U542" s="96" t="str">
        <f>IF(G542="","",IFERROR(IF(ISNUMBER(INDEX(cfg_fac,MATCH(G542,cfg_units,0))),IF(INDEX(cfg_fac,MATCH(G542,cfg_units,0))&gt;0,INDEX(cfg_fac,MATCH(G542,cfg_units,0)),""),""),""))</f>
        <v/>
      </c>
      <c r="V542" s="96">
        <f>IF(AND(ISNUMBER(F542),ISNUMBER(H542)),IF(H542&gt;0,1,0),0)</f>
        <v>0</v>
      </c>
      <c r="W542" s="96" t="str">
        <f>IF(T542=1,INDEX('ITENS_MTR'!$AU$6:$AU$1005,S542)&amp;"","")</f>
        <v/>
      </c>
      <c r="X542" s="96">
        <f>IF(AND(Q542=1,T542=1,I542&lt;&gt;"",W542&lt;&gt;""),IF(I542&lt;&gt;W542,1,0),0)</f>
        <v>0</v>
      </c>
      <c r="Y542" s="96">
        <f>IF(N542=0,0,IF(OR(Q542=0,T542=0,V542=0,AND(X542=1,J542&lt;&gt;"Sim")),1,0))</f>
        <v>0</v>
      </c>
      <c r="Z542" s="96">
        <f>IF(Q542=1,INDEX('CDFs'!$W$6:$W$505,P542),0)</f>
        <v>0</v>
      </c>
      <c r="AA542" s="96">
        <f>IF(AND(N542=1,Y542=0,Z542=1,J542="Sim"),1,0)</f>
        <v>0</v>
      </c>
      <c r="AB542" s="96">
        <f>IF(AND(N542=1,O542&lt;&gt;"",D542&lt;&gt;""),IF(COUNTIFS($O$6:O542,O542,$D$6:D542,D542)=1,1,0),0)</f>
        <v>0</v>
      </c>
      <c r="AC542" s="96">
        <f>IF(T542=1,INDEX('ITENS_MTR'!$AL$6:$AL$1005,S542),0)</f>
        <v>0</v>
      </c>
    </row>
    <row r="543">
      <c r="A543" s="89" t="inlineStr">
        <is>
          <t>VIN-000538</t>
        </is>
      </c>
      <c r="B543" s="91" t="n"/>
      <c r="C543" s="91" t="n"/>
      <c r="D543" s="94" t="str">
        <f>IF(T543=1,INDEX('ITENS_MTR'!$S$6:$S$1005,S543)&amp;"","")</f>
        <v/>
      </c>
      <c r="E543" s="94" t="str">
        <f>IF(T543=1,INDEX('ITENS_MTR'!$C$6:$C$1005,S543)&amp;"","")</f>
        <v/>
      </c>
      <c r="F543" s="98" t="n"/>
      <c r="G543" s="91" t="n"/>
      <c r="H543" s="93" t="str">
        <f>IF(N543=0,"",IF(NOT(ISNUMBER(F543)),"",IF(ISNUMBER(U543),F543*U543,"UNIDADE A CONFERIR")))</f>
        <v/>
      </c>
      <c r="I543" s="94" t="str">
        <f>IF(Q543=1,INDEX('CDFs'!$F$6:$F$505,P543)&amp;"","")</f>
        <v/>
      </c>
      <c r="J543" s="91" t="n"/>
      <c r="K543" s="91" t="n"/>
      <c r="L543" s="94" t="str">
        <f>IF(N543=0,"",IF(NOT(ISNUMBER(F543)),"Quantidade não informada",IF(F543&lt;=0,"Quantidade não positiva",IF(G543="","Unidade não informada",IF(NOT(ISNUMBER(H543)),"Unidade a conferir",IF(AC543=1,"REVISAR VÍNCULO: soma vinculada maior que a referência do item","OK"))))))</f>
        <v/>
      </c>
      <c r="M543" s="94" t="str">
        <f>IF(N543=0,"",IF(B543="","CDF não informado",IF(Q543=0,"REVISAR VÍNCULO: CDF inexistente",IF(C543="","Item não informado",IF(T543=0,"REVISAR VÍNCULO: item inexistente",IF(AND(X543=1,J543&lt;&gt;"Sim"),"REVISAR VÍNCULO: destinador diferente do MTR",IF(X543=1,"Destinador diferente do MTR (analisado)","OK")))))))</f>
        <v/>
      </c>
      <c r="N543" s="96">
        <f>IF(COUNTA(B543:C543,F543:G543,J543:K543)&gt;0,1,0)</f>
        <v>0</v>
      </c>
      <c r="O543" s="96" t="str">
        <f>IF(B543="","",TRIM(LEFT(B543,FIND(" |",B543&amp;" |")-1)))</f>
        <v/>
      </c>
      <c r="P543" s="96" t="str">
        <f>IF(O543="","",IFERROR(MATCH(O543,'CDFs'!$A$6:$A$505,0),""))</f>
        <v/>
      </c>
      <c r="Q543" s="96">
        <f>IF(P543="",0,IF(INDEX('CDFs'!$S$6:$S$505,P543)=1,1,0))</f>
        <v>0</v>
      </c>
      <c r="R543" s="96" t="str">
        <f>IF(C543="","",TRIM(LEFT(C543,FIND(" |",C543&amp;" |")-1)))</f>
        <v/>
      </c>
      <c r="S543" s="96" t="str">
        <f>IF(R543="","",IFERROR(MATCH(R543,'ITENS_MTR'!$A$6:$A$1005,0),""))</f>
        <v/>
      </c>
      <c r="T543" s="96">
        <f>IF(S543="",0,IF(INDEX('ITENS_MTR'!$R$6:$R$1005,S543)=1,1,0))</f>
        <v>0</v>
      </c>
      <c r="U543" s="96" t="str">
        <f>IF(G543="","",IFERROR(IF(ISNUMBER(INDEX(cfg_fac,MATCH(G543,cfg_units,0))),IF(INDEX(cfg_fac,MATCH(G543,cfg_units,0))&gt;0,INDEX(cfg_fac,MATCH(G543,cfg_units,0)),""),""),""))</f>
        <v/>
      </c>
      <c r="V543" s="96">
        <f>IF(AND(ISNUMBER(F543),ISNUMBER(H543)),IF(H543&gt;0,1,0),0)</f>
        <v>0</v>
      </c>
      <c r="W543" s="96" t="str">
        <f>IF(T543=1,INDEX('ITENS_MTR'!$AU$6:$AU$1005,S543)&amp;"","")</f>
        <v/>
      </c>
      <c r="X543" s="96">
        <f>IF(AND(Q543=1,T543=1,I543&lt;&gt;"",W543&lt;&gt;""),IF(I543&lt;&gt;W543,1,0),0)</f>
        <v>0</v>
      </c>
      <c r="Y543" s="96">
        <f>IF(N543=0,0,IF(OR(Q543=0,T543=0,V543=0,AND(X543=1,J543&lt;&gt;"Sim")),1,0))</f>
        <v>0</v>
      </c>
      <c r="Z543" s="96">
        <f>IF(Q543=1,INDEX('CDFs'!$W$6:$W$505,P543),0)</f>
        <v>0</v>
      </c>
      <c r="AA543" s="96">
        <f>IF(AND(N543=1,Y543=0,Z543=1,J543="Sim"),1,0)</f>
        <v>0</v>
      </c>
      <c r="AB543" s="96">
        <f>IF(AND(N543=1,O543&lt;&gt;"",D543&lt;&gt;""),IF(COUNTIFS($O$6:O543,O543,$D$6:D543,D543)=1,1,0),0)</f>
        <v>0</v>
      </c>
      <c r="AC543" s="96">
        <f>IF(T543=1,INDEX('ITENS_MTR'!$AL$6:$AL$1005,S543),0)</f>
        <v>0</v>
      </c>
    </row>
    <row r="544">
      <c r="A544" s="89" t="inlineStr">
        <is>
          <t>VIN-000539</t>
        </is>
      </c>
      <c r="B544" s="91" t="n"/>
      <c r="C544" s="91" t="n"/>
      <c r="D544" s="94" t="str">
        <f>IF(T544=1,INDEX('ITENS_MTR'!$S$6:$S$1005,S544)&amp;"","")</f>
        <v/>
      </c>
      <c r="E544" s="94" t="str">
        <f>IF(T544=1,INDEX('ITENS_MTR'!$C$6:$C$1005,S544)&amp;"","")</f>
        <v/>
      </c>
      <c r="F544" s="98" t="n"/>
      <c r="G544" s="91" t="n"/>
      <c r="H544" s="93" t="str">
        <f>IF(N544=0,"",IF(NOT(ISNUMBER(F544)),"",IF(ISNUMBER(U544),F544*U544,"UNIDADE A CONFERIR")))</f>
        <v/>
      </c>
      <c r="I544" s="94" t="str">
        <f>IF(Q544=1,INDEX('CDFs'!$F$6:$F$505,P544)&amp;"","")</f>
        <v/>
      </c>
      <c r="J544" s="91" t="n"/>
      <c r="K544" s="91" t="n"/>
      <c r="L544" s="94" t="str">
        <f>IF(N544=0,"",IF(NOT(ISNUMBER(F544)),"Quantidade não informada",IF(F544&lt;=0,"Quantidade não positiva",IF(G544="","Unidade não informada",IF(NOT(ISNUMBER(H544)),"Unidade a conferir",IF(AC544=1,"REVISAR VÍNCULO: soma vinculada maior que a referência do item","OK"))))))</f>
        <v/>
      </c>
      <c r="M544" s="94" t="str">
        <f>IF(N544=0,"",IF(B544="","CDF não informado",IF(Q544=0,"REVISAR VÍNCULO: CDF inexistente",IF(C544="","Item não informado",IF(T544=0,"REVISAR VÍNCULO: item inexistente",IF(AND(X544=1,J544&lt;&gt;"Sim"),"REVISAR VÍNCULO: destinador diferente do MTR",IF(X544=1,"Destinador diferente do MTR (analisado)","OK")))))))</f>
        <v/>
      </c>
      <c r="N544" s="96">
        <f>IF(COUNTA(B544:C544,F544:G544,J544:K544)&gt;0,1,0)</f>
        <v>0</v>
      </c>
      <c r="O544" s="96" t="str">
        <f>IF(B544="","",TRIM(LEFT(B544,FIND(" |",B544&amp;" |")-1)))</f>
        <v/>
      </c>
      <c r="P544" s="96" t="str">
        <f>IF(O544="","",IFERROR(MATCH(O544,'CDFs'!$A$6:$A$505,0),""))</f>
        <v/>
      </c>
      <c r="Q544" s="96">
        <f>IF(P544="",0,IF(INDEX('CDFs'!$S$6:$S$505,P544)=1,1,0))</f>
        <v>0</v>
      </c>
      <c r="R544" s="96" t="str">
        <f>IF(C544="","",TRIM(LEFT(C544,FIND(" |",C544&amp;" |")-1)))</f>
        <v/>
      </c>
      <c r="S544" s="96" t="str">
        <f>IF(R544="","",IFERROR(MATCH(R544,'ITENS_MTR'!$A$6:$A$1005,0),""))</f>
        <v/>
      </c>
      <c r="T544" s="96">
        <f>IF(S544="",0,IF(INDEX('ITENS_MTR'!$R$6:$R$1005,S544)=1,1,0))</f>
        <v>0</v>
      </c>
      <c r="U544" s="96" t="str">
        <f>IF(G544="","",IFERROR(IF(ISNUMBER(INDEX(cfg_fac,MATCH(G544,cfg_units,0))),IF(INDEX(cfg_fac,MATCH(G544,cfg_units,0))&gt;0,INDEX(cfg_fac,MATCH(G544,cfg_units,0)),""),""),""))</f>
        <v/>
      </c>
      <c r="V544" s="96">
        <f>IF(AND(ISNUMBER(F544),ISNUMBER(H544)),IF(H544&gt;0,1,0),0)</f>
        <v>0</v>
      </c>
      <c r="W544" s="96" t="str">
        <f>IF(T544=1,INDEX('ITENS_MTR'!$AU$6:$AU$1005,S544)&amp;"","")</f>
        <v/>
      </c>
      <c r="X544" s="96">
        <f>IF(AND(Q544=1,T544=1,I544&lt;&gt;"",W544&lt;&gt;""),IF(I544&lt;&gt;W544,1,0),0)</f>
        <v>0</v>
      </c>
      <c r="Y544" s="96">
        <f>IF(N544=0,0,IF(OR(Q544=0,T544=0,V544=0,AND(X544=1,J544&lt;&gt;"Sim")),1,0))</f>
        <v>0</v>
      </c>
      <c r="Z544" s="96">
        <f>IF(Q544=1,INDEX('CDFs'!$W$6:$W$505,P544),0)</f>
        <v>0</v>
      </c>
      <c r="AA544" s="96">
        <f>IF(AND(N544=1,Y544=0,Z544=1,J544="Sim"),1,0)</f>
        <v>0</v>
      </c>
      <c r="AB544" s="96">
        <f>IF(AND(N544=1,O544&lt;&gt;"",D544&lt;&gt;""),IF(COUNTIFS($O$6:O544,O544,$D$6:D544,D544)=1,1,0),0)</f>
        <v>0</v>
      </c>
      <c r="AC544" s="96">
        <f>IF(T544=1,INDEX('ITENS_MTR'!$AL$6:$AL$1005,S544),0)</f>
        <v>0</v>
      </c>
    </row>
    <row r="545">
      <c r="A545" s="89" t="inlineStr">
        <is>
          <t>VIN-000540</t>
        </is>
      </c>
      <c r="B545" s="91" t="n"/>
      <c r="C545" s="91" t="n"/>
      <c r="D545" s="94" t="str">
        <f>IF(T545=1,INDEX('ITENS_MTR'!$S$6:$S$1005,S545)&amp;"","")</f>
        <v/>
      </c>
      <c r="E545" s="94" t="str">
        <f>IF(T545=1,INDEX('ITENS_MTR'!$C$6:$C$1005,S545)&amp;"","")</f>
        <v/>
      </c>
      <c r="F545" s="98" t="n"/>
      <c r="G545" s="91" t="n"/>
      <c r="H545" s="93" t="str">
        <f>IF(N545=0,"",IF(NOT(ISNUMBER(F545)),"",IF(ISNUMBER(U545),F545*U545,"UNIDADE A CONFERIR")))</f>
        <v/>
      </c>
      <c r="I545" s="94" t="str">
        <f>IF(Q545=1,INDEX('CDFs'!$F$6:$F$505,P545)&amp;"","")</f>
        <v/>
      </c>
      <c r="J545" s="91" t="n"/>
      <c r="K545" s="91" t="n"/>
      <c r="L545" s="94" t="str">
        <f>IF(N545=0,"",IF(NOT(ISNUMBER(F545)),"Quantidade não informada",IF(F545&lt;=0,"Quantidade não positiva",IF(G545="","Unidade não informada",IF(NOT(ISNUMBER(H545)),"Unidade a conferir",IF(AC545=1,"REVISAR VÍNCULO: soma vinculada maior que a referência do item","OK"))))))</f>
        <v/>
      </c>
      <c r="M545" s="94" t="str">
        <f>IF(N545=0,"",IF(B545="","CDF não informado",IF(Q545=0,"REVISAR VÍNCULO: CDF inexistente",IF(C545="","Item não informado",IF(T545=0,"REVISAR VÍNCULO: item inexistente",IF(AND(X545=1,J545&lt;&gt;"Sim"),"REVISAR VÍNCULO: destinador diferente do MTR",IF(X545=1,"Destinador diferente do MTR (analisado)","OK")))))))</f>
        <v/>
      </c>
      <c r="N545" s="96">
        <f>IF(COUNTA(B545:C545,F545:G545,J545:K545)&gt;0,1,0)</f>
        <v>0</v>
      </c>
      <c r="O545" s="96" t="str">
        <f>IF(B545="","",TRIM(LEFT(B545,FIND(" |",B545&amp;" |")-1)))</f>
        <v/>
      </c>
      <c r="P545" s="96" t="str">
        <f>IF(O545="","",IFERROR(MATCH(O545,'CDFs'!$A$6:$A$505,0),""))</f>
        <v/>
      </c>
      <c r="Q545" s="96">
        <f>IF(P545="",0,IF(INDEX('CDFs'!$S$6:$S$505,P545)=1,1,0))</f>
        <v>0</v>
      </c>
      <c r="R545" s="96" t="str">
        <f>IF(C545="","",TRIM(LEFT(C545,FIND(" |",C545&amp;" |")-1)))</f>
        <v/>
      </c>
      <c r="S545" s="96" t="str">
        <f>IF(R545="","",IFERROR(MATCH(R545,'ITENS_MTR'!$A$6:$A$1005,0),""))</f>
        <v/>
      </c>
      <c r="T545" s="96">
        <f>IF(S545="",0,IF(INDEX('ITENS_MTR'!$R$6:$R$1005,S545)=1,1,0))</f>
        <v>0</v>
      </c>
      <c r="U545" s="96" t="str">
        <f>IF(G545="","",IFERROR(IF(ISNUMBER(INDEX(cfg_fac,MATCH(G545,cfg_units,0))),IF(INDEX(cfg_fac,MATCH(G545,cfg_units,0))&gt;0,INDEX(cfg_fac,MATCH(G545,cfg_units,0)),""),""),""))</f>
        <v/>
      </c>
      <c r="V545" s="96">
        <f>IF(AND(ISNUMBER(F545),ISNUMBER(H545)),IF(H545&gt;0,1,0),0)</f>
        <v>0</v>
      </c>
      <c r="W545" s="96" t="str">
        <f>IF(T545=1,INDEX('ITENS_MTR'!$AU$6:$AU$1005,S545)&amp;"","")</f>
        <v/>
      </c>
      <c r="X545" s="96">
        <f>IF(AND(Q545=1,T545=1,I545&lt;&gt;"",W545&lt;&gt;""),IF(I545&lt;&gt;W545,1,0),0)</f>
        <v>0</v>
      </c>
      <c r="Y545" s="96">
        <f>IF(N545=0,0,IF(OR(Q545=0,T545=0,V545=0,AND(X545=1,J545&lt;&gt;"Sim")),1,0))</f>
        <v>0</v>
      </c>
      <c r="Z545" s="96">
        <f>IF(Q545=1,INDEX('CDFs'!$W$6:$W$505,P545),0)</f>
        <v>0</v>
      </c>
      <c r="AA545" s="96">
        <f>IF(AND(N545=1,Y545=0,Z545=1,J545="Sim"),1,0)</f>
        <v>0</v>
      </c>
      <c r="AB545" s="96">
        <f>IF(AND(N545=1,O545&lt;&gt;"",D545&lt;&gt;""),IF(COUNTIFS($O$6:O545,O545,$D$6:D545,D545)=1,1,0),0)</f>
        <v>0</v>
      </c>
      <c r="AC545" s="96">
        <f>IF(T545=1,INDEX('ITENS_MTR'!$AL$6:$AL$1005,S545),0)</f>
        <v>0</v>
      </c>
    </row>
    <row r="546">
      <c r="A546" s="89" t="inlineStr">
        <is>
          <t>VIN-000541</t>
        </is>
      </c>
      <c r="B546" s="91" t="n"/>
      <c r="C546" s="91" t="n"/>
      <c r="D546" s="94" t="str">
        <f>IF(T546=1,INDEX('ITENS_MTR'!$S$6:$S$1005,S546)&amp;"","")</f>
        <v/>
      </c>
      <c r="E546" s="94" t="str">
        <f>IF(T546=1,INDEX('ITENS_MTR'!$C$6:$C$1005,S546)&amp;"","")</f>
        <v/>
      </c>
      <c r="F546" s="98" t="n"/>
      <c r="G546" s="91" t="n"/>
      <c r="H546" s="93" t="str">
        <f>IF(N546=0,"",IF(NOT(ISNUMBER(F546)),"",IF(ISNUMBER(U546),F546*U546,"UNIDADE A CONFERIR")))</f>
        <v/>
      </c>
      <c r="I546" s="94" t="str">
        <f>IF(Q546=1,INDEX('CDFs'!$F$6:$F$505,P546)&amp;"","")</f>
        <v/>
      </c>
      <c r="J546" s="91" t="n"/>
      <c r="K546" s="91" t="n"/>
      <c r="L546" s="94" t="str">
        <f>IF(N546=0,"",IF(NOT(ISNUMBER(F546)),"Quantidade não informada",IF(F546&lt;=0,"Quantidade não positiva",IF(G546="","Unidade não informada",IF(NOT(ISNUMBER(H546)),"Unidade a conferir",IF(AC546=1,"REVISAR VÍNCULO: soma vinculada maior que a referência do item","OK"))))))</f>
        <v/>
      </c>
      <c r="M546" s="94" t="str">
        <f>IF(N546=0,"",IF(B546="","CDF não informado",IF(Q546=0,"REVISAR VÍNCULO: CDF inexistente",IF(C546="","Item não informado",IF(T546=0,"REVISAR VÍNCULO: item inexistente",IF(AND(X546=1,J546&lt;&gt;"Sim"),"REVISAR VÍNCULO: destinador diferente do MTR",IF(X546=1,"Destinador diferente do MTR (analisado)","OK")))))))</f>
        <v/>
      </c>
      <c r="N546" s="96">
        <f>IF(COUNTA(B546:C546,F546:G546,J546:K546)&gt;0,1,0)</f>
        <v>0</v>
      </c>
      <c r="O546" s="96" t="str">
        <f>IF(B546="","",TRIM(LEFT(B546,FIND(" |",B546&amp;" |")-1)))</f>
        <v/>
      </c>
      <c r="P546" s="96" t="str">
        <f>IF(O546="","",IFERROR(MATCH(O546,'CDFs'!$A$6:$A$505,0),""))</f>
        <v/>
      </c>
      <c r="Q546" s="96">
        <f>IF(P546="",0,IF(INDEX('CDFs'!$S$6:$S$505,P546)=1,1,0))</f>
        <v>0</v>
      </c>
      <c r="R546" s="96" t="str">
        <f>IF(C546="","",TRIM(LEFT(C546,FIND(" |",C546&amp;" |")-1)))</f>
        <v/>
      </c>
      <c r="S546" s="96" t="str">
        <f>IF(R546="","",IFERROR(MATCH(R546,'ITENS_MTR'!$A$6:$A$1005,0),""))</f>
        <v/>
      </c>
      <c r="T546" s="96">
        <f>IF(S546="",0,IF(INDEX('ITENS_MTR'!$R$6:$R$1005,S546)=1,1,0))</f>
        <v>0</v>
      </c>
      <c r="U546" s="96" t="str">
        <f>IF(G546="","",IFERROR(IF(ISNUMBER(INDEX(cfg_fac,MATCH(G546,cfg_units,0))),IF(INDEX(cfg_fac,MATCH(G546,cfg_units,0))&gt;0,INDEX(cfg_fac,MATCH(G546,cfg_units,0)),""),""),""))</f>
        <v/>
      </c>
      <c r="V546" s="96">
        <f>IF(AND(ISNUMBER(F546),ISNUMBER(H546)),IF(H546&gt;0,1,0),0)</f>
        <v>0</v>
      </c>
      <c r="W546" s="96" t="str">
        <f>IF(T546=1,INDEX('ITENS_MTR'!$AU$6:$AU$1005,S546)&amp;"","")</f>
        <v/>
      </c>
      <c r="X546" s="96">
        <f>IF(AND(Q546=1,T546=1,I546&lt;&gt;"",W546&lt;&gt;""),IF(I546&lt;&gt;W546,1,0),0)</f>
        <v>0</v>
      </c>
      <c r="Y546" s="96">
        <f>IF(N546=0,0,IF(OR(Q546=0,T546=0,V546=0,AND(X546=1,J546&lt;&gt;"Sim")),1,0))</f>
        <v>0</v>
      </c>
      <c r="Z546" s="96">
        <f>IF(Q546=1,INDEX('CDFs'!$W$6:$W$505,P546),0)</f>
        <v>0</v>
      </c>
      <c r="AA546" s="96">
        <f>IF(AND(N546=1,Y546=0,Z546=1,J546="Sim"),1,0)</f>
        <v>0</v>
      </c>
      <c r="AB546" s="96">
        <f>IF(AND(N546=1,O546&lt;&gt;"",D546&lt;&gt;""),IF(COUNTIFS($O$6:O546,O546,$D$6:D546,D546)=1,1,0),0)</f>
        <v>0</v>
      </c>
      <c r="AC546" s="96">
        <f>IF(T546=1,INDEX('ITENS_MTR'!$AL$6:$AL$1005,S546),0)</f>
        <v>0</v>
      </c>
    </row>
    <row r="547">
      <c r="A547" s="89" t="inlineStr">
        <is>
          <t>VIN-000542</t>
        </is>
      </c>
      <c r="B547" s="91" t="n"/>
      <c r="C547" s="91" t="n"/>
      <c r="D547" s="94" t="str">
        <f>IF(T547=1,INDEX('ITENS_MTR'!$S$6:$S$1005,S547)&amp;"","")</f>
        <v/>
      </c>
      <c r="E547" s="94" t="str">
        <f>IF(T547=1,INDEX('ITENS_MTR'!$C$6:$C$1005,S547)&amp;"","")</f>
        <v/>
      </c>
      <c r="F547" s="98" t="n"/>
      <c r="G547" s="91" t="n"/>
      <c r="H547" s="93" t="str">
        <f>IF(N547=0,"",IF(NOT(ISNUMBER(F547)),"",IF(ISNUMBER(U547),F547*U547,"UNIDADE A CONFERIR")))</f>
        <v/>
      </c>
      <c r="I547" s="94" t="str">
        <f>IF(Q547=1,INDEX('CDFs'!$F$6:$F$505,P547)&amp;"","")</f>
        <v/>
      </c>
      <c r="J547" s="91" t="n"/>
      <c r="K547" s="91" t="n"/>
      <c r="L547" s="94" t="str">
        <f>IF(N547=0,"",IF(NOT(ISNUMBER(F547)),"Quantidade não informada",IF(F547&lt;=0,"Quantidade não positiva",IF(G547="","Unidade não informada",IF(NOT(ISNUMBER(H547)),"Unidade a conferir",IF(AC547=1,"REVISAR VÍNCULO: soma vinculada maior que a referência do item","OK"))))))</f>
        <v/>
      </c>
      <c r="M547" s="94" t="str">
        <f>IF(N547=0,"",IF(B547="","CDF não informado",IF(Q547=0,"REVISAR VÍNCULO: CDF inexistente",IF(C547="","Item não informado",IF(T547=0,"REVISAR VÍNCULO: item inexistente",IF(AND(X547=1,J547&lt;&gt;"Sim"),"REVISAR VÍNCULO: destinador diferente do MTR",IF(X547=1,"Destinador diferente do MTR (analisado)","OK")))))))</f>
        <v/>
      </c>
      <c r="N547" s="96">
        <f>IF(COUNTA(B547:C547,F547:G547,J547:K547)&gt;0,1,0)</f>
        <v>0</v>
      </c>
      <c r="O547" s="96" t="str">
        <f>IF(B547="","",TRIM(LEFT(B547,FIND(" |",B547&amp;" |")-1)))</f>
        <v/>
      </c>
      <c r="P547" s="96" t="str">
        <f>IF(O547="","",IFERROR(MATCH(O547,'CDFs'!$A$6:$A$505,0),""))</f>
        <v/>
      </c>
      <c r="Q547" s="96">
        <f>IF(P547="",0,IF(INDEX('CDFs'!$S$6:$S$505,P547)=1,1,0))</f>
        <v>0</v>
      </c>
      <c r="R547" s="96" t="str">
        <f>IF(C547="","",TRIM(LEFT(C547,FIND(" |",C547&amp;" |")-1)))</f>
        <v/>
      </c>
      <c r="S547" s="96" t="str">
        <f>IF(R547="","",IFERROR(MATCH(R547,'ITENS_MTR'!$A$6:$A$1005,0),""))</f>
        <v/>
      </c>
      <c r="T547" s="96">
        <f>IF(S547="",0,IF(INDEX('ITENS_MTR'!$R$6:$R$1005,S547)=1,1,0))</f>
        <v>0</v>
      </c>
      <c r="U547" s="96" t="str">
        <f>IF(G547="","",IFERROR(IF(ISNUMBER(INDEX(cfg_fac,MATCH(G547,cfg_units,0))),IF(INDEX(cfg_fac,MATCH(G547,cfg_units,0))&gt;0,INDEX(cfg_fac,MATCH(G547,cfg_units,0)),""),""),""))</f>
        <v/>
      </c>
      <c r="V547" s="96">
        <f>IF(AND(ISNUMBER(F547),ISNUMBER(H547)),IF(H547&gt;0,1,0),0)</f>
        <v>0</v>
      </c>
      <c r="W547" s="96" t="str">
        <f>IF(T547=1,INDEX('ITENS_MTR'!$AU$6:$AU$1005,S547)&amp;"","")</f>
        <v/>
      </c>
      <c r="X547" s="96">
        <f>IF(AND(Q547=1,T547=1,I547&lt;&gt;"",W547&lt;&gt;""),IF(I547&lt;&gt;W547,1,0),0)</f>
        <v>0</v>
      </c>
      <c r="Y547" s="96">
        <f>IF(N547=0,0,IF(OR(Q547=0,T547=0,V547=0,AND(X547=1,J547&lt;&gt;"Sim")),1,0))</f>
        <v>0</v>
      </c>
      <c r="Z547" s="96">
        <f>IF(Q547=1,INDEX('CDFs'!$W$6:$W$505,P547),0)</f>
        <v>0</v>
      </c>
      <c r="AA547" s="96">
        <f>IF(AND(N547=1,Y547=0,Z547=1,J547="Sim"),1,0)</f>
        <v>0</v>
      </c>
      <c r="AB547" s="96">
        <f>IF(AND(N547=1,O547&lt;&gt;"",D547&lt;&gt;""),IF(COUNTIFS($O$6:O547,O547,$D$6:D547,D547)=1,1,0),0)</f>
        <v>0</v>
      </c>
      <c r="AC547" s="96">
        <f>IF(T547=1,INDEX('ITENS_MTR'!$AL$6:$AL$1005,S547),0)</f>
        <v>0</v>
      </c>
    </row>
    <row r="548">
      <c r="A548" s="89" t="inlineStr">
        <is>
          <t>VIN-000543</t>
        </is>
      </c>
      <c r="B548" s="91" t="n"/>
      <c r="C548" s="91" t="n"/>
      <c r="D548" s="94" t="str">
        <f>IF(T548=1,INDEX('ITENS_MTR'!$S$6:$S$1005,S548)&amp;"","")</f>
        <v/>
      </c>
      <c r="E548" s="94" t="str">
        <f>IF(T548=1,INDEX('ITENS_MTR'!$C$6:$C$1005,S548)&amp;"","")</f>
        <v/>
      </c>
      <c r="F548" s="98" t="n"/>
      <c r="G548" s="91" t="n"/>
      <c r="H548" s="93" t="str">
        <f>IF(N548=0,"",IF(NOT(ISNUMBER(F548)),"",IF(ISNUMBER(U548),F548*U548,"UNIDADE A CONFERIR")))</f>
        <v/>
      </c>
      <c r="I548" s="94" t="str">
        <f>IF(Q548=1,INDEX('CDFs'!$F$6:$F$505,P548)&amp;"","")</f>
        <v/>
      </c>
      <c r="J548" s="91" t="n"/>
      <c r="K548" s="91" t="n"/>
      <c r="L548" s="94" t="str">
        <f>IF(N548=0,"",IF(NOT(ISNUMBER(F548)),"Quantidade não informada",IF(F548&lt;=0,"Quantidade não positiva",IF(G548="","Unidade não informada",IF(NOT(ISNUMBER(H548)),"Unidade a conferir",IF(AC548=1,"REVISAR VÍNCULO: soma vinculada maior que a referência do item","OK"))))))</f>
        <v/>
      </c>
      <c r="M548" s="94" t="str">
        <f>IF(N548=0,"",IF(B548="","CDF não informado",IF(Q548=0,"REVISAR VÍNCULO: CDF inexistente",IF(C548="","Item não informado",IF(T548=0,"REVISAR VÍNCULO: item inexistente",IF(AND(X548=1,J548&lt;&gt;"Sim"),"REVISAR VÍNCULO: destinador diferente do MTR",IF(X548=1,"Destinador diferente do MTR (analisado)","OK")))))))</f>
        <v/>
      </c>
      <c r="N548" s="96">
        <f>IF(COUNTA(B548:C548,F548:G548,J548:K548)&gt;0,1,0)</f>
        <v>0</v>
      </c>
      <c r="O548" s="96" t="str">
        <f>IF(B548="","",TRIM(LEFT(B548,FIND(" |",B548&amp;" |")-1)))</f>
        <v/>
      </c>
      <c r="P548" s="96" t="str">
        <f>IF(O548="","",IFERROR(MATCH(O548,'CDFs'!$A$6:$A$505,0),""))</f>
        <v/>
      </c>
      <c r="Q548" s="96">
        <f>IF(P548="",0,IF(INDEX('CDFs'!$S$6:$S$505,P548)=1,1,0))</f>
        <v>0</v>
      </c>
      <c r="R548" s="96" t="str">
        <f>IF(C548="","",TRIM(LEFT(C548,FIND(" |",C548&amp;" |")-1)))</f>
        <v/>
      </c>
      <c r="S548" s="96" t="str">
        <f>IF(R548="","",IFERROR(MATCH(R548,'ITENS_MTR'!$A$6:$A$1005,0),""))</f>
        <v/>
      </c>
      <c r="T548" s="96">
        <f>IF(S548="",0,IF(INDEX('ITENS_MTR'!$R$6:$R$1005,S548)=1,1,0))</f>
        <v>0</v>
      </c>
      <c r="U548" s="96" t="str">
        <f>IF(G548="","",IFERROR(IF(ISNUMBER(INDEX(cfg_fac,MATCH(G548,cfg_units,0))),IF(INDEX(cfg_fac,MATCH(G548,cfg_units,0))&gt;0,INDEX(cfg_fac,MATCH(G548,cfg_units,0)),""),""),""))</f>
        <v/>
      </c>
      <c r="V548" s="96">
        <f>IF(AND(ISNUMBER(F548),ISNUMBER(H548)),IF(H548&gt;0,1,0),0)</f>
        <v>0</v>
      </c>
      <c r="W548" s="96" t="str">
        <f>IF(T548=1,INDEX('ITENS_MTR'!$AU$6:$AU$1005,S548)&amp;"","")</f>
        <v/>
      </c>
      <c r="X548" s="96">
        <f>IF(AND(Q548=1,T548=1,I548&lt;&gt;"",W548&lt;&gt;""),IF(I548&lt;&gt;W548,1,0),0)</f>
        <v>0</v>
      </c>
      <c r="Y548" s="96">
        <f>IF(N548=0,0,IF(OR(Q548=0,T548=0,V548=0,AND(X548=1,J548&lt;&gt;"Sim")),1,0))</f>
        <v>0</v>
      </c>
      <c r="Z548" s="96">
        <f>IF(Q548=1,INDEX('CDFs'!$W$6:$W$505,P548),0)</f>
        <v>0</v>
      </c>
      <c r="AA548" s="96">
        <f>IF(AND(N548=1,Y548=0,Z548=1,J548="Sim"),1,0)</f>
        <v>0</v>
      </c>
      <c r="AB548" s="96">
        <f>IF(AND(N548=1,O548&lt;&gt;"",D548&lt;&gt;""),IF(COUNTIFS($O$6:O548,O548,$D$6:D548,D548)=1,1,0),0)</f>
        <v>0</v>
      </c>
      <c r="AC548" s="96">
        <f>IF(T548=1,INDEX('ITENS_MTR'!$AL$6:$AL$1005,S548),0)</f>
        <v>0</v>
      </c>
    </row>
    <row r="549">
      <c r="A549" s="89" t="inlineStr">
        <is>
          <t>VIN-000544</t>
        </is>
      </c>
      <c r="B549" s="91" t="n"/>
      <c r="C549" s="91" t="n"/>
      <c r="D549" s="94" t="str">
        <f>IF(T549=1,INDEX('ITENS_MTR'!$S$6:$S$1005,S549)&amp;"","")</f>
        <v/>
      </c>
      <c r="E549" s="94" t="str">
        <f>IF(T549=1,INDEX('ITENS_MTR'!$C$6:$C$1005,S549)&amp;"","")</f>
        <v/>
      </c>
      <c r="F549" s="98" t="n"/>
      <c r="G549" s="91" t="n"/>
      <c r="H549" s="93" t="str">
        <f>IF(N549=0,"",IF(NOT(ISNUMBER(F549)),"",IF(ISNUMBER(U549),F549*U549,"UNIDADE A CONFERIR")))</f>
        <v/>
      </c>
      <c r="I549" s="94" t="str">
        <f>IF(Q549=1,INDEX('CDFs'!$F$6:$F$505,P549)&amp;"","")</f>
        <v/>
      </c>
      <c r="J549" s="91" t="n"/>
      <c r="K549" s="91" t="n"/>
      <c r="L549" s="94" t="str">
        <f>IF(N549=0,"",IF(NOT(ISNUMBER(F549)),"Quantidade não informada",IF(F549&lt;=0,"Quantidade não positiva",IF(G549="","Unidade não informada",IF(NOT(ISNUMBER(H549)),"Unidade a conferir",IF(AC549=1,"REVISAR VÍNCULO: soma vinculada maior que a referência do item","OK"))))))</f>
        <v/>
      </c>
      <c r="M549" s="94" t="str">
        <f>IF(N549=0,"",IF(B549="","CDF não informado",IF(Q549=0,"REVISAR VÍNCULO: CDF inexistente",IF(C549="","Item não informado",IF(T549=0,"REVISAR VÍNCULO: item inexistente",IF(AND(X549=1,J549&lt;&gt;"Sim"),"REVISAR VÍNCULO: destinador diferente do MTR",IF(X549=1,"Destinador diferente do MTR (analisado)","OK")))))))</f>
        <v/>
      </c>
      <c r="N549" s="96">
        <f>IF(COUNTA(B549:C549,F549:G549,J549:K549)&gt;0,1,0)</f>
        <v>0</v>
      </c>
      <c r="O549" s="96" t="str">
        <f>IF(B549="","",TRIM(LEFT(B549,FIND(" |",B549&amp;" |")-1)))</f>
        <v/>
      </c>
      <c r="P549" s="96" t="str">
        <f>IF(O549="","",IFERROR(MATCH(O549,'CDFs'!$A$6:$A$505,0),""))</f>
        <v/>
      </c>
      <c r="Q549" s="96">
        <f>IF(P549="",0,IF(INDEX('CDFs'!$S$6:$S$505,P549)=1,1,0))</f>
        <v>0</v>
      </c>
      <c r="R549" s="96" t="str">
        <f>IF(C549="","",TRIM(LEFT(C549,FIND(" |",C549&amp;" |")-1)))</f>
        <v/>
      </c>
      <c r="S549" s="96" t="str">
        <f>IF(R549="","",IFERROR(MATCH(R549,'ITENS_MTR'!$A$6:$A$1005,0),""))</f>
        <v/>
      </c>
      <c r="T549" s="96">
        <f>IF(S549="",0,IF(INDEX('ITENS_MTR'!$R$6:$R$1005,S549)=1,1,0))</f>
        <v>0</v>
      </c>
      <c r="U549" s="96" t="str">
        <f>IF(G549="","",IFERROR(IF(ISNUMBER(INDEX(cfg_fac,MATCH(G549,cfg_units,0))),IF(INDEX(cfg_fac,MATCH(G549,cfg_units,0))&gt;0,INDEX(cfg_fac,MATCH(G549,cfg_units,0)),""),""),""))</f>
        <v/>
      </c>
      <c r="V549" s="96">
        <f>IF(AND(ISNUMBER(F549),ISNUMBER(H549)),IF(H549&gt;0,1,0),0)</f>
        <v>0</v>
      </c>
      <c r="W549" s="96" t="str">
        <f>IF(T549=1,INDEX('ITENS_MTR'!$AU$6:$AU$1005,S549)&amp;"","")</f>
        <v/>
      </c>
      <c r="X549" s="96">
        <f>IF(AND(Q549=1,T549=1,I549&lt;&gt;"",W549&lt;&gt;""),IF(I549&lt;&gt;W549,1,0),0)</f>
        <v>0</v>
      </c>
      <c r="Y549" s="96">
        <f>IF(N549=0,0,IF(OR(Q549=0,T549=0,V549=0,AND(X549=1,J549&lt;&gt;"Sim")),1,0))</f>
        <v>0</v>
      </c>
      <c r="Z549" s="96">
        <f>IF(Q549=1,INDEX('CDFs'!$W$6:$W$505,P549),0)</f>
        <v>0</v>
      </c>
      <c r="AA549" s="96">
        <f>IF(AND(N549=1,Y549=0,Z549=1,J549="Sim"),1,0)</f>
        <v>0</v>
      </c>
      <c r="AB549" s="96">
        <f>IF(AND(N549=1,O549&lt;&gt;"",D549&lt;&gt;""),IF(COUNTIFS($O$6:O549,O549,$D$6:D549,D549)=1,1,0),0)</f>
        <v>0</v>
      </c>
      <c r="AC549" s="96">
        <f>IF(T549=1,INDEX('ITENS_MTR'!$AL$6:$AL$1005,S549),0)</f>
        <v>0</v>
      </c>
    </row>
    <row r="550">
      <c r="A550" s="89" t="inlineStr">
        <is>
          <t>VIN-000545</t>
        </is>
      </c>
      <c r="B550" s="91" t="n"/>
      <c r="C550" s="91" t="n"/>
      <c r="D550" s="94" t="str">
        <f>IF(T550=1,INDEX('ITENS_MTR'!$S$6:$S$1005,S550)&amp;"","")</f>
        <v/>
      </c>
      <c r="E550" s="94" t="str">
        <f>IF(T550=1,INDEX('ITENS_MTR'!$C$6:$C$1005,S550)&amp;"","")</f>
        <v/>
      </c>
      <c r="F550" s="98" t="n"/>
      <c r="G550" s="91" t="n"/>
      <c r="H550" s="93" t="str">
        <f>IF(N550=0,"",IF(NOT(ISNUMBER(F550)),"",IF(ISNUMBER(U550),F550*U550,"UNIDADE A CONFERIR")))</f>
        <v/>
      </c>
      <c r="I550" s="94" t="str">
        <f>IF(Q550=1,INDEX('CDFs'!$F$6:$F$505,P550)&amp;"","")</f>
        <v/>
      </c>
      <c r="J550" s="91" t="n"/>
      <c r="K550" s="91" t="n"/>
      <c r="L550" s="94" t="str">
        <f>IF(N550=0,"",IF(NOT(ISNUMBER(F550)),"Quantidade não informada",IF(F550&lt;=0,"Quantidade não positiva",IF(G550="","Unidade não informada",IF(NOT(ISNUMBER(H550)),"Unidade a conferir",IF(AC550=1,"REVISAR VÍNCULO: soma vinculada maior que a referência do item","OK"))))))</f>
        <v/>
      </c>
      <c r="M550" s="94" t="str">
        <f>IF(N550=0,"",IF(B550="","CDF não informado",IF(Q550=0,"REVISAR VÍNCULO: CDF inexistente",IF(C550="","Item não informado",IF(T550=0,"REVISAR VÍNCULO: item inexistente",IF(AND(X550=1,J550&lt;&gt;"Sim"),"REVISAR VÍNCULO: destinador diferente do MTR",IF(X550=1,"Destinador diferente do MTR (analisado)","OK")))))))</f>
        <v/>
      </c>
      <c r="N550" s="96">
        <f>IF(COUNTA(B550:C550,F550:G550,J550:K550)&gt;0,1,0)</f>
        <v>0</v>
      </c>
      <c r="O550" s="96" t="str">
        <f>IF(B550="","",TRIM(LEFT(B550,FIND(" |",B550&amp;" |")-1)))</f>
        <v/>
      </c>
      <c r="P550" s="96" t="str">
        <f>IF(O550="","",IFERROR(MATCH(O550,'CDFs'!$A$6:$A$505,0),""))</f>
        <v/>
      </c>
      <c r="Q550" s="96">
        <f>IF(P550="",0,IF(INDEX('CDFs'!$S$6:$S$505,P550)=1,1,0))</f>
        <v>0</v>
      </c>
      <c r="R550" s="96" t="str">
        <f>IF(C550="","",TRIM(LEFT(C550,FIND(" |",C550&amp;" |")-1)))</f>
        <v/>
      </c>
      <c r="S550" s="96" t="str">
        <f>IF(R550="","",IFERROR(MATCH(R550,'ITENS_MTR'!$A$6:$A$1005,0),""))</f>
        <v/>
      </c>
      <c r="T550" s="96">
        <f>IF(S550="",0,IF(INDEX('ITENS_MTR'!$R$6:$R$1005,S550)=1,1,0))</f>
        <v>0</v>
      </c>
      <c r="U550" s="96" t="str">
        <f>IF(G550="","",IFERROR(IF(ISNUMBER(INDEX(cfg_fac,MATCH(G550,cfg_units,0))),IF(INDEX(cfg_fac,MATCH(G550,cfg_units,0))&gt;0,INDEX(cfg_fac,MATCH(G550,cfg_units,0)),""),""),""))</f>
        <v/>
      </c>
      <c r="V550" s="96">
        <f>IF(AND(ISNUMBER(F550),ISNUMBER(H550)),IF(H550&gt;0,1,0),0)</f>
        <v>0</v>
      </c>
      <c r="W550" s="96" t="str">
        <f>IF(T550=1,INDEX('ITENS_MTR'!$AU$6:$AU$1005,S550)&amp;"","")</f>
        <v/>
      </c>
      <c r="X550" s="96">
        <f>IF(AND(Q550=1,T550=1,I550&lt;&gt;"",W550&lt;&gt;""),IF(I550&lt;&gt;W550,1,0),0)</f>
        <v>0</v>
      </c>
      <c r="Y550" s="96">
        <f>IF(N550=0,0,IF(OR(Q550=0,T550=0,V550=0,AND(X550=1,J550&lt;&gt;"Sim")),1,0))</f>
        <v>0</v>
      </c>
      <c r="Z550" s="96">
        <f>IF(Q550=1,INDEX('CDFs'!$W$6:$W$505,P550),0)</f>
        <v>0</v>
      </c>
      <c r="AA550" s="96">
        <f>IF(AND(N550=1,Y550=0,Z550=1,J550="Sim"),1,0)</f>
        <v>0</v>
      </c>
      <c r="AB550" s="96">
        <f>IF(AND(N550=1,O550&lt;&gt;"",D550&lt;&gt;""),IF(COUNTIFS($O$6:O550,O550,$D$6:D550,D550)=1,1,0),0)</f>
        <v>0</v>
      </c>
      <c r="AC550" s="96">
        <f>IF(T550=1,INDEX('ITENS_MTR'!$AL$6:$AL$1005,S550),0)</f>
        <v>0</v>
      </c>
    </row>
    <row r="551">
      <c r="A551" s="89" t="inlineStr">
        <is>
          <t>VIN-000546</t>
        </is>
      </c>
      <c r="B551" s="91" t="n"/>
      <c r="C551" s="91" t="n"/>
      <c r="D551" s="94" t="str">
        <f>IF(T551=1,INDEX('ITENS_MTR'!$S$6:$S$1005,S551)&amp;"","")</f>
        <v/>
      </c>
      <c r="E551" s="94" t="str">
        <f>IF(T551=1,INDEX('ITENS_MTR'!$C$6:$C$1005,S551)&amp;"","")</f>
        <v/>
      </c>
      <c r="F551" s="98" t="n"/>
      <c r="G551" s="91" t="n"/>
      <c r="H551" s="93" t="str">
        <f>IF(N551=0,"",IF(NOT(ISNUMBER(F551)),"",IF(ISNUMBER(U551),F551*U551,"UNIDADE A CONFERIR")))</f>
        <v/>
      </c>
      <c r="I551" s="94" t="str">
        <f>IF(Q551=1,INDEX('CDFs'!$F$6:$F$505,P551)&amp;"","")</f>
        <v/>
      </c>
      <c r="J551" s="91" t="n"/>
      <c r="K551" s="91" t="n"/>
      <c r="L551" s="94" t="str">
        <f>IF(N551=0,"",IF(NOT(ISNUMBER(F551)),"Quantidade não informada",IF(F551&lt;=0,"Quantidade não positiva",IF(G551="","Unidade não informada",IF(NOT(ISNUMBER(H551)),"Unidade a conferir",IF(AC551=1,"REVISAR VÍNCULO: soma vinculada maior que a referência do item","OK"))))))</f>
        <v/>
      </c>
      <c r="M551" s="94" t="str">
        <f>IF(N551=0,"",IF(B551="","CDF não informado",IF(Q551=0,"REVISAR VÍNCULO: CDF inexistente",IF(C551="","Item não informado",IF(T551=0,"REVISAR VÍNCULO: item inexistente",IF(AND(X551=1,J551&lt;&gt;"Sim"),"REVISAR VÍNCULO: destinador diferente do MTR",IF(X551=1,"Destinador diferente do MTR (analisado)","OK")))))))</f>
        <v/>
      </c>
      <c r="N551" s="96">
        <f>IF(COUNTA(B551:C551,F551:G551,J551:K551)&gt;0,1,0)</f>
        <v>0</v>
      </c>
      <c r="O551" s="96" t="str">
        <f>IF(B551="","",TRIM(LEFT(B551,FIND(" |",B551&amp;" |")-1)))</f>
        <v/>
      </c>
      <c r="P551" s="96" t="str">
        <f>IF(O551="","",IFERROR(MATCH(O551,'CDFs'!$A$6:$A$505,0),""))</f>
        <v/>
      </c>
      <c r="Q551" s="96">
        <f>IF(P551="",0,IF(INDEX('CDFs'!$S$6:$S$505,P551)=1,1,0))</f>
        <v>0</v>
      </c>
      <c r="R551" s="96" t="str">
        <f>IF(C551="","",TRIM(LEFT(C551,FIND(" |",C551&amp;" |")-1)))</f>
        <v/>
      </c>
      <c r="S551" s="96" t="str">
        <f>IF(R551="","",IFERROR(MATCH(R551,'ITENS_MTR'!$A$6:$A$1005,0),""))</f>
        <v/>
      </c>
      <c r="T551" s="96">
        <f>IF(S551="",0,IF(INDEX('ITENS_MTR'!$R$6:$R$1005,S551)=1,1,0))</f>
        <v>0</v>
      </c>
      <c r="U551" s="96" t="str">
        <f>IF(G551="","",IFERROR(IF(ISNUMBER(INDEX(cfg_fac,MATCH(G551,cfg_units,0))),IF(INDEX(cfg_fac,MATCH(G551,cfg_units,0))&gt;0,INDEX(cfg_fac,MATCH(G551,cfg_units,0)),""),""),""))</f>
        <v/>
      </c>
      <c r="V551" s="96">
        <f>IF(AND(ISNUMBER(F551),ISNUMBER(H551)),IF(H551&gt;0,1,0),0)</f>
        <v>0</v>
      </c>
      <c r="W551" s="96" t="str">
        <f>IF(T551=1,INDEX('ITENS_MTR'!$AU$6:$AU$1005,S551)&amp;"","")</f>
        <v/>
      </c>
      <c r="X551" s="96">
        <f>IF(AND(Q551=1,T551=1,I551&lt;&gt;"",W551&lt;&gt;""),IF(I551&lt;&gt;W551,1,0),0)</f>
        <v>0</v>
      </c>
      <c r="Y551" s="96">
        <f>IF(N551=0,0,IF(OR(Q551=0,T551=0,V551=0,AND(X551=1,J551&lt;&gt;"Sim")),1,0))</f>
        <v>0</v>
      </c>
      <c r="Z551" s="96">
        <f>IF(Q551=1,INDEX('CDFs'!$W$6:$W$505,P551),0)</f>
        <v>0</v>
      </c>
      <c r="AA551" s="96">
        <f>IF(AND(N551=1,Y551=0,Z551=1,J551="Sim"),1,0)</f>
        <v>0</v>
      </c>
      <c r="AB551" s="96">
        <f>IF(AND(N551=1,O551&lt;&gt;"",D551&lt;&gt;""),IF(COUNTIFS($O$6:O551,O551,$D$6:D551,D551)=1,1,0),0)</f>
        <v>0</v>
      </c>
      <c r="AC551" s="96">
        <f>IF(T551=1,INDEX('ITENS_MTR'!$AL$6:$AL$1005,S551),0)</f>
        <v>0</v>
      </c>
    </row>
    <row r="552">
      <c r="A552" s="89" t="inlineStr">
        <is>
          <t>VIN-000547</t>
        </is>
      </c>
      <c r="B552" s="91" t="n"/>
      <c r="C552" s="91" t="n"/>
      <c r="D552" s="94" t="str">
        <f>IF(T552=1,INDEX('ITENS_MTR'!$S$6:$S$1005,S552)&amp;"","")</f>
        <v/>
      </c>
      <c r="E552" s="94" t="str">
        <f>IF(T552=1,INDEX('ITENS_MTR'!$C$6:$C$1005,S552)&amp;"","")</f>
        <v/>
      </c>
      <c r="F552" s="98" t="n"/>
      <c r="G552" s="91" t="n"/>
      <c r="H552" s="93" t="str">
        <f>IF(N552=0,"",IF(NOT(ISNUMBER(F552)),"",IF(ISNUMBER(U552),F552*U552,"UNIDADE A CONFERIR")))</f>
        <v/>
      </c>
      <c r="I552" s="94" t="str">
        <f>IF(Q552=1,INDEX('CDFs'!$F$6:$F$505,P552)&amp;"","")</f>
        <v/>
      </c>
      <c r="J552" s="91" t="n"/>
      <c r="K552" s="91" t="n"/>
      <c r="L552" s="94" t="str">
        <f>IF(N552=0,"",IF(NOT(ISNUMBER(F552)),"Quantidade não informada",IF(F552&lt;=0,"Quantidade não positiva",IF(G552="","Unidade não informada",IF(NOT(ISNUMBER(H552)),"Unidade a conferir",IF(AC552=1,"REVISAR VÍNCULO: soma vinculada maior que a referência do item","OK"))))))</f>
        <v/>
      </c>
      <c r="M552" s="94" t="str">
        <f>IF(N552=0,"",IF(B552="","CDF não informado",IF(Q552=0,"REVISAR VÍNCULO: CDF inexistente",IF(C552="","Item não informado",IF(T552=0,"REVISAR VÍNCULO: item inexistente",IF(AND(X552=1,J552&lt;&gt;"Sim"),"REVISAR VÍNCULO: destinador diferente do MTR",IF(X552=1,"Destinador diferente do MTR (analisado)","OK")))))))</f>
        <v/>
      </c>
      <c r="N552" s="96">
        <f>IF(COUNTA(B552:C552,F552:G552,J552:K552)&gt;0,1,0)</f>
        <v>0</v>
      </c>
      <c r="O552" s="96" t="str">
        <f>IF(B552="","",TRIM(LEFT(B552,FIND(" |",B552&amp;" |")-1)))</f>
        <v/>
      </c>
      <c r="P552" s="96" t="str">
        <f>IF(O552="","",IFERROR(MATCH(O552,'CDFs'!$A$6:$A$505,0),""))</f>
        <v/>
      </c>
      <c r="Q552" s="96">
        <f>IF(P552="",0,IF(INDEX('CDFs'!$S$6:$S$505,P552)=1,1,0))</f>
        <v>0</v>
      </c>
      <c r="R552" s="96" t="str">
        <f>IF(C552="","",TRIM(LEFT(C552,FIND(" |",C552&amp;" |")-1)))</f>
        <v/>
      </c>
      <c r="S552" s="96" t="str">
        <f>IF(R552="","",IFERROR(MATCH(R552,'ITENS_MTR'!$A$6:$A$1005,0),""))</f>
        <v/>
      </c>
      <c r="T552" s="96">
        <f>IF(S552="",0,IF(INDEX('ITENS_MTR'!$R$6:$R$1005,S552)=1,1,0))</f>
        <v>0</v>
      </c>
      <c r="U552" s="96" t="str">
        <f>IF(G552="","",IFERROR(IF(ISNUMBER(INDEX(cfg_fac,MATCH(G552,cfg_units,0))),IF(INDEX(cfg_fac,MATCH(G552,cfg_units,0))&gt;0,INDEX(cfg_fac,MATCH(G552,cfg_units,0)),""),""),""))</f>
        <v/>
      </c>
      <c r="V552" s="96">
        <f>IF(AND(ISNUMBER(F552),ISNUMBER(H552)),IF(H552&gt;0,1,0),0)</f>
        <v>0</v>
      </c>
      <c r="W552" s="96" t="str">
        <f>IF(T552=1,INDEX('ITENS_MTR'!$AU$6:$AU$1005,S552)&amp;"","")</f>
        <v/>
      </c>
      <c r="X552" s="96">
        <f>IF(AND(Q552=1,T552=1,I552&lt;&gt;"",W552&lt;&gt;""),IF(I552&lt;&gt;W552,1,0),0)</f>
        <v>0</v>
      </c>
      <c r="Y552" s="96">
        <f>IF(N552=0,0,IF(OR(Q552=0,T552=0,V552=0,AND(X552=1,J552&lt;&gt;"Sim")),1,0))</f>
        <v>0</v>
      </c>
      <c r="Z552" s="96">
        <f>IF(Q552=1,INDEX('CDFs'!$W$6:$W$505,P552),0)</f>
        <v>0</v>
      </c>
      <c r="AA552" s="96">
        <f>IF(AND(N552=1,Y552=0,Z552=1,J552="Sim"),1,0)</f>
        <v>0</v>
      </c>
      <c r="AB552" s="96">
        <f>IF(AND(N552=1,O552&lt;&gt;"",D552&lt;&gt;""),IF(COUNTIFS($O$6:O552,O552,$D$6:D552,D552)=1,1,0),0)</f>
        <v>0</v>
      </c>
      <c r="AC552" s="96">
        <f>IF(T552=1,INDEX('ITENS_MTR'!$AL$6:$AL$1005,S552),0)</f>
        <v>0</v>
      </c>
    </row>
    <row r="553">
      <c r="A553" s="89" t="inlineStr">
        <is>
          <t>VIN-000548</t>
        </is>
      </c>
      <c r="B553" s="91" t="n"/>
      <c r="C553" s="91" t="n"/>
      <c r="D553" s="94" t="str">
        <f>IF(T553=1,INDEX('ITENS_MTR'!$S$6:$S$1005,S553)&amp;"","")</f>
        <v/>
      </c>
      <c r="E553" s="94" t="str">
        <f>IF(T553=1,INDEX('ITENS_MTR'!$C$6:$C$1005,S553)&amp;"","")</f>
        <v/>
      </c>
      <c r="F553" s="98" t="n"/>
      <c r="G553" s="91" t="n"/>
      <c r="H553" s="93" t="str">
        <f>IF(N553=0,"",IF(NOT(ISNUMBER(F553)),"",IF(ISNUMBER(U553),F553*U553,"UNIDADE A CONFERIR")))</f>
        <v/>
      </c>
      <c r="I553" s="94" t="str">
        <f>IF(Q553=1,INDEX('CDFs'!$F$6:$F$505,P553)&amp;"","")</f>
        <v/>
      </c>
      <c r="J553" s="91" t="n"/>
      <c r="K553" s="91" t="n"/>
      <c r="L553" s="94" t="str">
        <f>IF(N553=0,"",IF(NOT(ISNUMBER(F553)),"Quantidade não informada",IF(F553&lt;=0,"Quantidade não positiva",IF(G553="","Unidade não informada",IF(NOT(ISNUMBER(H553)),"Unidade a conferir",IF(AC553=1,"REVISAR VÍNCULO: soma vinculada maior que a referência do item","OK"))))))</f>
        <v/>
      </c>
      <c r="M553" s="94" t="str">
        <f>IF(N553=0,"",IF(B553="","CDF não informado",IF(Q553=0,"REVISAR VÍNCULO: CDF inexistente",IF(C553="","Item não informado",IF(T553=0,"REVISAR VÍNCULO: item inexistente",IF(AND(X553=1,J553&lt;&gt;"Sim"),"REVISAR VÍNCULO: destinador diferente do MTR",IF(X553=1,"Destinador diferente do MTR (analisado)","OK")))))))</f>
        <v/>
      </c>
      <c r="N553" s="96">
        <f>IF(COUNTA(B553:C553,F553:G553,J553:K553)&gt;0,1,0)</f>
        <v>0</v>
      </c>
      <c r="O553" s="96" t="str">
        <f>IF(B553="","",TRIM(LEFT(B553,FIND(" |",B553&amp;" |")-1)))</f>
        <v/>
      </c>
      <c r="P553" s="96" t="str">
        <f>IF(O553="","",IFERROR(MATCH(O553,'CDFs'!$A$6:$A$505,0),""))</f>
        <v/>
      </c>
      <c r="Q553" s="96">
        <f>IF(P553="",0,IF(INDEX('CDFs'!$S$6:$S$505,P553)=1,1,0))</f>
        <v>0</v>
      </c>
      <c r="R553" s="96" t="str">
        <f>IF(C553="","",TRIM(LEFT(C553,FIND(" |",C553&amp;" |")-1)))</f>
        <v/>
      </c>
      <c r="S553" s="96" t="str">
        <f>IF(R553="","",IFERROR(MATCH(R553,'ITENS_MTR'!$A$6:$A$1005,0),""))</f>
        <v/>
      </c>
      <c r="T553" s="96">
        <f>IF(S553="",0,IF(INDEX('ITENS_MTR'!$R$6:$R$1005,S553)=1,1,0))</f>
        <v>0</v>
      </c>
      <c r="U553" s="96" t="str">
        <f>IF(G553="","",IFERROR(IF(ISNUMBER(INDEX(cfg_fac,MATCH(G553,cfg_units,0))),IF(INDEX(cfg_fac,MATCH(G553,cfg_units,0))&gt;0,INDEX(cfg_fac,MATCH(G553,cfg_units,0)),""),""),""))</f>
        <v/>
      </c>
      <c r="V553" s="96">
        <f>IF(AND(ISNUMBER(F553),ISNUMBER(H553)),IF(H553&gt;0,1,0),0)</f>
        <v>0</v>
      </c>
      <c r="W553" s="96" t="str">
        <f>IF(T553=1,INDEX('ITENS_MTR'!$AU$6:$AU$1005,S553)&amp;"","")</f>
        <v/>
      </c>
      <c r="X553" s="96">
        <f>IF(AND(Q553=1,T553=1,I553&lt;&gt;"",W553&lt;&gt;""),IF(I553&lt;&gt;W553,1,0),0)</f>
        <v>0</v>
      </c>
      <c r="Y553" s="96">
        <f>IF(N553=0,0,IF(OR(Q553=0,T553=0,V553=0,AND(X553=1,J553&lt;&gt;"Sim")),1,0))</f>
        <v>0</v>
      </c>
      <c r="Z553" s="96">
        <f>IF(Q553=1,INDEX('CDFs'!$W$6:$W$505,P553),0)</f>
        <v>0</v>
      </c>
      <c r="AA553" s="96">
        <f>IF(AND(N553=1,Y553=0,Z553=1,J553="Sim"),1,0)</f>
        <v>0</v>
      </c>
      <c r="AB553" s="96">
        <f>IF(AND(N553=1,O553&lt;&gt;"",D553&lt;&gt;""),IF(COUNTIFS($O$6:O553,O553,$D$6:D553,D553)=1,1,0),0)</f>
        <v>0</v>
      </c>
      <c r="AC553" s="96">
        <f>IF(T553=1,INDEX('ITENS_MTR'!$AL$6:$AL$1005,S553),0)</f>
        <v>0</v>
      </c>
    </row>
    <row r="554">
      <c r="A554" s="89" t="inlineStr">
        <is>
          <t>VIN-000549</t>
        </is>
      </c>
      <c r="B554" s="91" t="n"/>
      <c r="C554" s="91" t="n"/>
      <c r="D554" s="94" t="str">
        <f>IF(T554=1,INDEX('ITENS_MTR'!$S$6:$S$1005,S554)&amp;"","")</f>
        <v/>
      </c>
      <c r="E554" s="94" t="str">
        <f>IF(T554=1,INDEX('ITENS_MTR'!$C$6:$C$1005,S554)&amp;"","")</f>
        <v/>
      </c>
      <c r="F554" s="98" t="n"/>
      <c r="G554" s="91" t="n"/>
      <c r="H554" s="93" t="str">
        <f>IF(N554=0,"",IF(NOT(ISNUMBER(F554)),"",IF(ISNUMBER(U554),F554*U554,"UNIDADE A CONFERIR")))</f>
        <v/>
      </c>
      <c r="I554" s="94" t="str">
        <f>IF(Q554=1,INDEX('CDFs'!$F$6:$F$505,P554)&amp;"","")</f>
        <v/>
      </c>
      <c r="J554" s="91" t="n"/>
      <c r="K554" s="91" t="n"/>
      <c r="L554" s="94" t="str">
        <f>IF(N554=0,"",IF(NOT(ISNUMBER(F554)),"Quantidade não informada",IF(F554&lt;=0,"Quantidade não positiva",IF(G554="","Unidade não informada",IF(NOT(ISNUMBER(H554)),"Unidade a conferir",IF(AC554=1,"REVISAR VÍNCULO: soma vinculada maior que a referência do item","OK"))))))</f>
        <v/>
      </c>
      <c r="M554" s="94" t="str">
        <f>IF(N554=0,"",IF(B554="","CDF não informado",IF(Q554=0,"REVISAR VÍNCULO: CDF inexistente",IF(C554="","Item não informado",IF(T554=0,"REVISAR VÍNCULO: item inexistente",IF(AND(X554=1,J554&lt;&gt;"Sim"),"REVISAR VÍNCULO: destinador diferente do MTR",IF(X554=1,"Destinador diferente do MTR (analisado)","OK")))))))</f>
        <v/>
      </c>
      <c r="N554" s="96">
        <f>IF(COUNTA(B554:C554,F554:G554,J554:K554)&gt;0,1,0)</f>
        <v>0</v>
      </c>
      <c r="O554" s="96" t="str">
        <f>IF(B554="","",TRIM(LEFT(B554,FIND(" |",B554&amp;" |")-1)))</f>
        <v/>
      </c>
      <c r="P554" s="96" t="str">
        <f>IF(O554="","",IFERROR(MATCH(O554,'CDFs'!$A$6:$A$505,0),""))</f>
        <v/>
      </c>
      <c r="Q554" s="96">
        <f>IF(P554="",0,IF(INDEX('CDFs'!$S$6:$S$505,P554)=1,1,0))</f>
        <v>0</v>
      </c>
      <c r="R554" s="96" t="str">
        <f>IF(C554="","",TRIM(LEFT(C554,FIND(" |",C554&amp;" |")-1)))</f>
        <v/>
      </c>
      <c r="S554" s="96" t="str">
        <f>IF(R554="","",IFERROR(MATCH(R554,'ITENS_MTR'!$A$6:$A$1005,0),""))</f>
        <v/>
      </c>
      <c r="T554" s="96">
        <f>IF(S554="",0,IF(INDEX('ITENS_MTR'!$R$6:$R$1005,S554)=1,1,0))</f>
        <v>0</v>
      </c>
      <c r="U554" s="96" t="str">
        <f>IF(G554="","",IFERROR(IF(ISNUMBER(INDEX(cfg_fac,MATCH(G554,cfg_units,0))),IF(INDEX(cfg_fac,MATCH(G554,cfg_units,0))&gt;0,INDEX(cfg_fac,MATCH(G554,cfg_units,0)),""),""),""))</f>
        <v/>
      </c>
      <c r="V554" s="96">
        <f>IF(AND(ISNUMBER(F554),ISNUMBER(H554)),IF(H554&gt;0,1,0),0)</f>
        <v>0</v>
      </c>
      <c r="W554" s="96" t="str">
        <f>IF(T554=1,INDEX('ITENS_MTR'!$AU$6:$AU$1005,S554)&amp;"","")</f>
        <v/>
      </c>
      <c r="X554" s="96">
        <f>IF(AND(Q554=1,T554=1,I554&lt;&gt;"",W554&lt;&gt;""),IF(I554&lt;&gt;W554,1,0),0)</f>
        <v>0</v>
      </c>
      <c r="Y554" s="96">
        <f>IF(N554=0,0,IF(OR(Q554=0,T554=0,V554=0,AND(X554=1,J554&lt;&gt;"Sim")),1,0))</f>
        <v>0</v>
      </c>
      <c r="Z554" s="96">
        <f>IF(Q554=1,INDEX('CDFs'!$W$6:$W$505,P554),0)</f>
        <v>0</v>
      </c>
      <c r="AA554" s="96">
        <f>IF(AND(N554=1,Y554=0,Z554=1,J554="Sim"),1,0)</f>
        <v>0</v>
      </c>
      <c r="AB554" s="96">
        <f>IF(AND(N554=1,O554&lt;&gt;"",D554&lt;&gt;""),IF(COUNTIFS($O$6:O554,O554,$D$6:D554,D554)=1,1,0),0)</f>
        <v>0</v>
      </c>
      <c r="AC554" s="96">
        <f>IF(T554=1,INDEX('ITENS_MTR'!$AL$6:$AL$1005,S554),0)</f>
        <v>0</v>
      </c>
    </row>
    <row r="555">
      <c r="A555" s="89" t="inlineStr">
        <is>
          <t>VIN-000550</t>
        </is>
      </c>
      <c r="B555" s="91" t="n"/>
      <c r="C555" s="91" t="n"/>
      <c r="D555" s="94" t="str">
        <f>IF(T555=1,INDEX('ITENS_MTR'!$S$6:$S$1005,S555)&amp;"","")</f>
        <v/>
      </c>
      <c r="E555" s="94" t="str">
        <f>IF(T555=1,INDEX('ITENS_MTR'!$C$6:$C$1005,S555)&amp;"","")</f>
        <v/>
      </c>
      <c r="F555" s="98" t="n"/>
      <c r="G555" s="91" t="n"/>
      <c r="H555" s="93" t="str">
        <f>IF(N555=0,"",IF(NOT(ISNUMBER(F555)),"",IF(ISNUMBER(U555),F555*U555,"UNIDADE A CONFERIR")))</f>
        <v/>
      </c>
      <c r="I555" s="94" t="str">
        <f>IF(Q555=1,INDEX('CDFs'!$F$6:$F$505,P555)&amp;"","")</f>
        <v/>
      </c>
      <c r="J555" s="91" t="n"/>
      <c r="K555" s="91" t="n"/>
      <c r="L555" s="94" t="str">
        <f>IF(N555=0,"",IF(NOT(ISNUMBER(F555)),"Quantidade não informada",IF(F555&lt;=0,"Quantidade não positiva",IF(G555="","Unidade não informada",IF(NOT(ISNUMBER(H555)),"Unidade a conferir",IF(AC555=1,"REVISAR VÍNCULO: soma vinculada maior que a referência do item","OK"))))))</f>
        <v/>
      </c>
      <c r="M555" s="94" t="str">
        <f>IF(N555=0,"",IF(B555="","CDF não informado",IF(Q555=0,"REVISAR VÍNCULO: CDF inexistente",IF(C555="","Item não informado",IF(T555=0,"REVISAR VÍNCULO: item inexistente",IF(AND(X555=1,J555&lt;&gt;"Sim"),"REVISAR VÍNCULO: destinador diferente do MTR",IF(X555=1,"Destinador diferente do MTR (analisado)","OK")))))))</f>
        <v/>
      </c>
      <c r="N555" s="96">
        <f>IF(COUNTA(B555:C555,F555:G555,J555:K555)&gt;0,1,0)</f>
        <v>0</v>
      </c>
      <c r="O555" s="96" t="str">
        <f>IF(B555="","",TRIM(LEFT(B555,FIND(" |",B555&amp;" |")-1)))</f>
        <v/>
      </c>
      <c r="P555" s="96" t="str">
        <f>IF(O555="","",IFERROR(MATCH(O555,'CDFs'!$A$6:$A$505,0),""))</f>
        <v/>
      </c>
      <c r="Q555" s="96">
        <f>IF(P555="",0,IF(INDEX('CDFs'!$S$6:$S$505,P555)=1,1,0))</f>
        <v>0</v>
      </c>
      <c r="R555" s="96" t="str">
        <f>IF(C555="","",TRIM(LEFT(C555,FIND(" |",C555&amp;" |")-1)))</f>
        <v/>
      </c>
      <c r="S555" s="96" t="str">
        <f>IF(R555="","",IFERROR(MATCH(R555,'ITENS_MTR'!$A$6:$A$1005,0),""))</f>
        <v/>
      </c>
      <c r="T555" s="96">
        <f>IF(S555="",0,IF(INDEX('ITENS_MTR'!$R$6:$R$1005,S555)=1,1,0))</f>
        <v>0</v>
      </c>
      <c r="U555" s="96" t="str">
        <f>IF(G555="","",IFERROR(IF(ISNUMBER(INDEX(cfg_fac,MATCH(G555,cfg_units,0))),IF(INDEX(cfg_fac,MATCH(G555,cfg_units,0))&gt;0,INDEX(cfg_fac,MATCH(G555,cfg_units,0)),""),""),""))</f>
        <v/>
      </c>
      <c r="V555" s="96">
        <f>IF(AND(ISNUMBER(F555),ISNUMBER(H555)),IF(H555&gt;0,1,0),0)</f>
        <v>0</v>
      </c>
      <c r="W555" s="96" t="str">
        <f>IF(T555=1,INDEX('ITENS_MTR'!$AU$6:$AU$1005,S555)&amp;"","")</f>
        <v/>
      </c>
      <c r="X555" s="96">
        <f>IF(AND(Q555=1,T555=1,I555&lt;&gt;"",W555&lt;&gt;""),IF(I555&lt;&gt;W555,1,0),0)</f>
        <v>0</v>
      </c>
      <c r="Y555" s="96">
        <f>IF(N555=0,0,IF(OR(Q555=0,T555=0,V555=0,AND(X555=1,J555&lt;&gt;"Sim")),1,0))</f>
        <v>0</v>
      </c>
      <c r="Z555" s="96">
        <f>IF(Q555=1,INDEX('CDFs'!$W$6:$W$505,P555),0)</f>
        <v>0</v>
      </c>
      <c r="AA555" s="96">
        <f>IF(AND(N555=1,Y555=0,Z555=1,J555="Sim"),1,0)</f>
        <v>0</v>
      </c>
      <c r="AB555" s="96">
        <f>IF(AND(N555=1,O555&lt;&gt;"",D555&lt;&gt;""),IF(COUNTIFS($O$6:O555,O555,$D$6:D555,D555)=1,1,0),0)</f>
        <v>0</v>
      </c>
      <c r="AC555" s="96">
        <f>IF(T555=1,INDEX('ITENS_MTR'!$AL$6:$AL$1005,S555),0)</f>
        <v>0</v>
      </c>
    </row>
    <row r="556">
      <c r="A556" s="89" t="inlineStr">
        <is>
          <t>VIN-000551</t>
        </is>
      </c>
      <c r="B556" s="91" t="n"/>
      <c r="C556" s="91" t="n"/>
      <c r="D556" s="94" t="str">
        <f>IF(T556=1,INDEX('ITENS_MTR'!$S$6:$S$1005,S556)&amp;"","")</f>
        <v/>
      </c>
      <c r="E556" s="94" t="str">
        <f>IF(T556=1,INDEX('ITENS_MTR'!$C$6:$C$1005,S556)&amp;"","")</f>
        <v/>
      </c>
      <c r="F556" s="98" t="n"/>
      <c r="G556" s="91" t="n"/>
      <c r="H556" s="93" t="str">
        <f>IF(N556=0,"",IF(NOT(ISNUMBER(F556)),"",IF(ISNUMBER(U556),F556*U556,"UNIDADE A CONFERIR")))</f>
        <v/>
      </c>
      <c r="I556" s="94" t="str">
        <f>IF(Q556=1,INDEX('CDFs'!$F$6:$F$505,P556)&amp;"","")</f>
        <v/>
      </c>
      <c r="J556" s="91" t="n"/>
      <c r="K556" s="91" t="n"/>
      <c r="L556" s="94" t="str">
        <f>IF(N556=0,"",IF(NOT(ISNUMBER(F556)),"Quantidade não informada",IF(F556&lt;=0,"Quantidade não positiva",IF(G556="","Unidade não informada",IF(NOT(ISNUMBER(H556)),"Unidade a conferir",IF(AC556=1,"REVISAR VÍNCULO: soma vinculada maior que a referência do item","OK"))))))</f>
        <v/>
      </c>
      <c r="M556" s="94" t="str">
        <f>IF(N556=0,"",IF(B556="","CDF não informado",IF(Q556=0,"REVISAR VÍNCULO: CDF inexistente",IF(C556="","Item não informado",IF(T556=0,"REVISAR VÍNCULO: item inexistente",IF(AND(X556=1,J556&lt;&gt;"Sim"),"REVISAR VÍNCULO: destinador diferente do MTR",IF(X556=1,"Destinador diferente do MTR (analisado)","OK")))))))</f>
        <v/>
      </c>
      <c r="N556" s="96">
        <f>IF(COUNTA(B556:C556,F556:G556,J556:K556)&gt;0,1,0)</f>
        <v>0</v>
      </c>
      <c r="O556" s="96" t="str">
        <f>IF(B556="","",TRIM(LEFT(B556,FIND(" |",B556&amp;" |")-1)))</f>
        <v/>
      </c>
      <c r="P556" s="96" t="str">
        <f>IF(O556="","",IFERROR(MATCH(O556,'CDFs'!$A$6:$A$505,0),""))</f>
        <v/>
      </c>
      <c r="Q556" s="96">
        <f>IF(P556="",0,IF(INDEX('CDFs'!$S$6:$S$505,P556)=1,1,0))</f>
        <v>0</v>
      </c>
      <c r="R556" s="96" t="str">
        <f>IF(C556="","",TRIM(LEFT(C556,FIND(" |",C556&amp;" |")-1)))</f>
        <v/>
      </c>
      <c r="S556" s="96" t="str">
        <f>IF(R556="","",IFERROR(MATCH(R556,'ITENS_MTR'!$A$6:$A$1005,0),""))</f>
        <v/>
      </c>
      <c r="T556" s="96">
        <f>IF(S556="",0,IF(INDEX('ITENS_MTR'!$R$6:$R$1005,S556)=1,1,0))</f>
        <v>0</v>
      </c>
      <c r="U556" s="96" t="str">
        <f>IF(G556="","",IFERROR(IF(ISNUMBER(INDEX(cfg_fac,MATCH(G556,cfg_units,0))),IF(INDEX(cfg_fac,MATCH(G556,cfg_units,0))&gt;0,INDEX(cfg_fac,MATCH(G556,cfg_units,0)),""),""),""))</f>
        <v/>
      </c>
      <c r="V556" s="96">
        <f>IF(AND(ISNUMBER(F556),ISNUMBER(H556)),IF(H556&gt;0,1,0),0)</f>
        <v>0</v>
      </c>
      <c r="W556" s="96" t="str">
        <f>IF(T556=1,INDEX('ITENS_MTR'!$AU$6:$AU$1005,S556)&amp;"","")</f>
        <v/>
      </c>
      <c r="X556" s="96">
        <f>IF(AND(Q556=1,T556=1,I556&lt;&gt;"",W556&lt;&gt;""),IF(I556&lt;&gt;W556,1,0),0)</f>
        <v>0</v>
      </c>
      <c r="Y556" s="96">
        <f>IF(N556=0,0,IF(OR(Q556=0,T556=0,V556=0,AND(X556=1,J556&lt;&gt;"Sim")),1,0))</f>
        <v>0</v>
      </c>
      <c r="Z556" s="96">
        <f>IF(Q556=1,INDEX('CDFs'!$W$6:$W$505,P556),0)</f>
        <v>0</v>
      </c>
      <c r="AA556" s="96">
        <f>IF(AND(N556=1,Y556=0,Z556=1,J556="Sim"),1,0)</f>
        <v>0</v>
      </c>
      <c r="AB556" s="96">
        <f>IF(AND(N556=1,O556&lt;&gt;"",D556&lt;&gt;""),IF(COUNTIFS($O$6:O556,O556,$D$6:D556,D556)=1,1,0),0)</f>
        <v>0</v>
      </c>
      <c r="AC556" s="96">
        <f>IF(T556=1,INDEX('ITENS_MTR'!$AL$6:$AL$1005,S556),0)</f>
        <v>0</v>
      </c>
    </row>
    <row r="557">
      <c r="A557" s="89" t="inlineStr">
        <is>
          <t>VIN-000552</t>
        </is>
      </c>
      <c r="B557" s="91" t="n"/>
      <c r="C557" s="91" t="n"/>
      <c r="D557" s="94" t="str">
        <f>IF(T557=1,INDEX('ITENS_MTR'!$S$6:$S$1005,S557)&amp;"","")</f>
        <v/>
      </c>
      <c r="E557" s="94" t="str">
        <f>IF(T557=1,INDEX('ITENS_MTR'!$C$6:$C$1005,S557)&amp;"","")</f>
        <v/>
      </c>
      <c r="F557" s="98" t="n"/>
      <c r="G557" s="91" t="n"/>
      <c r="H557" s="93" t="str">
        <f>IF(N557=0,"",IF(NOT(ISNUMBER(F557)),"",IF(ISNUMBER(U557),F557*U557,"UNIDADE A CONFERIR")))</f>
        <v/>
      </c>
      <c r="I557" s="94" t="str">
        <f>IF(Q557=1,INDEX('CDFs'!$F$6:$F$505,P557)&amp;"","")</f>
        <v/>
      </c>
      <c r="J557" s="91" t="n"/>
      <c r="K557" s="91" t="n"/>
      <c r="L557" s="94" t="str">
        <f>IF(N557=0,"",IF(NOT(ISNUMBER(F557)),"Quantidade não informada",IF(F557&lt;=0,"Quantidade não positiva",IF(G557="","Unidade não informada",IF(NOT(ISNUMBER(H557)),"Unidade a conferir",IF(AC557=1,"REVISAR VÍNCULO: soma vinculada maior que a referência do item","OK"))))))</f>
        <v/>
      </c>
      <c r="M557" s="94" t="str">
        <f>IF(N557=0,"",IF(B557="","CDF não informado",IF(Q557=0,"REVISAR VÍNCULO: CDF inexistente",IF(C557="","Item não informado",IF(T557=0,"REVISAR VÍNCULO: item inexistente",IF(AND(X557=1,J557&lt;&gt;"Sim"),"REVISAR VÍNCULO: destinador diferente do MTR",IF(X557=1,"Destinador diferente do MTR (analisado)","OK")))))))</f>
        <v/>
      </c>
      <c r="N557" s="96">
        <f>IF(COUNTA(B557:C557,F557:G557,J557:K557)&gt;0,1,0)</f>
        <v>0</v>
      </c>
      <c r="O557" s="96" t="str">
        <f>IF(B557="","",TRIM(LEFT(B557,FIND(" |",B557&amp;" |")-1)))</f>
        <v/>
      </c>
      <c r="P557" s="96" t="str">
        <f>IF(O557="","",IFERROR(MATCH(O557,'CDFs'!$A$6:$A$505,0),""))</f>
        <v/>
      </c>
      <c r="Q557" s="96">
        <f>IF(P557="",0,IF(INDEX('CDFs'!$S$6:$S$505,P557)=1,1,0))</f>
        <v>0</v>
      </c>
      <c r="R557" s="96" t="str">
        <f>IF(C557="","",TRIM(LEFT(C557,FIND(" |",C557&amp;" |")-1)))</f>
        <v/>
      </c>
      <c r="S557" s="96" t="str">
        <f>IF(R557="","",IFERROR(MATCH(R557,'ITENS_MTR'!$A$6:$A$1005,0),""))</f>
        <v/>
      </c>
      <c r="T557" s="96">
        <f>IF(S557="",0,IF(INDEX('ITENS_MTR'!$R$6:$R$1005,S557)=1,1,0))</f>
        <v>0</v>
      </c>
      <c r="U557" s="96" t="str">
        <f>IF(G557="","",IFERROR(IF(ISNUMBER(INDEX(cfg_fac,MATCH(G557,cfg_units,0))),IF(INDEX(cfg_fac,MATCH(G557,cfg_units,0))&gt;0,INDEX(cfg_fac,MATCH(G557,cfg_units,0)),""),""),""))</f>
        <v/>
      </c>
      <c r="V557" s="96">
        <f>IF(AND(ISNUMBER(F557),ISNUMBER(H557)),IF(H557&gt;0,1,0),0)</f>
        <v>0</v>
      </c>
      <c r="W557" s="96" t="str">
        <f>IF(T557=1,INDEX('ITENS_MTR'!$AU$6:$AU$1005,S557)&amp;"","")</f>
        <v/>
      </c>
      <c r="X557" s="96">
        <f>IF(AND(Q557=1,T557=1,I557&lt;&gt;"",W557&lt;&gt;""),IF(I557&lt;&gt;W557,1,0),0)</f>
        <v>0</v>
      </c>
      <c r="Y557" s="96">
        <f>IF(N557=0,0,IF(OR(Q557=0,T557=0,V557=0,AND(X557=1,J557&lt;&gt;"Sim")),1,0))</f>
        <v>0</v>
      </c>
      <c r="Z557" s="96">
        <f>IF(Q557=1,INDEX('CDFs'!$W$6:$W$505,P557),0)</f>
        <v>0</v>
      </c>
      <c r="AA557" s="96">
        <f>IF(AND(N557=1,Y557=0,Z557=1,J557="Sim"),1,0)</f>
        <v>0</v>
      </c>
      <c r="AB557" s="96">
        <f>IF(AND(N557=1,O557&lt;&gt;"",D557&lt;&gt;""),IF(COUNTIFS($O$6:O557,O557,$D$6:D557,D557)=1,1,0),0)</f>
        <v>0</v>
      </c>
      <c r="AC557" s="96">
        <f>IF(T557=1,INDEX('ITENS_MTR'!$AL$6:$AL$1005,S557),0)</f>
        <v>0</v>
      </c>
    </row>
    <row r="558">
      <c r="A558" s="89" t="inlineStr">
        <is>
          <t>VIN-000553</t>
        </is>
      </c>
      <c r="B558" s="91" t="n"/>
      <c r="C558" s="91" t="n"/>
      <c r="D558" s="94" t="str">
        <f>IF(T558=1,INDEX('ITENS_MTR'!$S$6:$S$1005,S558)&amp;"","")</f>
        <v/>
      </c>
      <c r="E558" s="94" t="str">
        <f>IF(T558=1,INDEX('ITENS_MTR'!$C$6:$C$1005,S558)&amp;"","")</f>
        <v/>
      </c>
      <c r="F558" s="98" t="n"/>
      <c r="G558" s="91" t="n"/>
      <c r="H558" s="93" t="str">
        <f>IF(N558=0,"",IF(NOT(ISNUMBER(F558)),"",IF(ISNUMBER(U558),F558*U558,"UNIDADE A CONFERIR")))</f>
        <v/>
      </c>
      <c r="I558" s="94" t="str">
        <f>IF(Q558=1,INDEX('CDFs'!$F$6:$F$505,P558)&amp;"","")</f>
        <v/>
      </c>
      <c r="J558" s="91" t="n"/>
      <c r="K558" s="91" t="n"/>
      <c r="L558" s="94" t="str">
        <f>IF(N558=0,"",IF(NOT(ISNUMBER(F558)),"Quantidade não informada",IF(F558&lt;=0,"Quantidade não positiva",IF(G558="","Unidade não informada",IF(NOT(ISNUMBER(H558)),"Unidade a conferir",IF(AC558=1,"REVISAR VÍNCULO: soma vinculada maior que a referência do item","OK"))))))</f>
        <v/>
      </c>
      <c r="M558" s="94" t="str">
        <f>IF(N558=0,"",IF(B558="","CDF não informado",IF(Q558=0,"REVISAR VÍNCULO: CDF inexistente",IF(C558="","Item não informado",IF(T558=0,"REVISAR VÍNCULO: item inexistente",IF(AND(X558=1,J558&lt;&gt;"Sim"),"REVISAR VÍNCULO: destinador diferente do MTR",IF(X558=1,"Destinador diferente do MTR (analisado)","OK")))))))</f>
        <v/>
      </c>
      <c r="N558" s="96">
        <f>IF(COUNTA(B558:C558,F558:G558,J558:K558)&gt;0,1,0)</f>
        <v>0</v>
      </c>
      <c r="O558" s="96" t="str">
        <f>IF(B558="","",TRIM(LEFT(B558,FIND(" |",B558&amp;" |")-1)))</f>
        <v/>
      </c>
      <c r="P558" s="96" t="str">
        <f>IF(O558="","",IFERROR(MATCH(O558,'CDFs'!$A$6:$A$505,0),""))</f>
        <v/>
      </c>
      <c r="Q558" s="96">
        <f>IF(P558="",0,IF(INDEX('CDFs'!$S$6:$S$505,P558)=1,1,0))</f>
        <v>0</v>
      </c>
      <c r="R558" s="96" t="str">
        <f>IF(C558="","",TRIM(LEFT(C558,FIND(" |",C558&amp;" |")-1)))</f>
        <v/>
      </c>
      <c r="S558" s="96" t="str">
        <f>IF(R558="","",IFERROR(MATCH(R558,'ITENS_MTR'!$A$6:$A$1005,0),""))</f>
        <v/>
      </c>
      <c r="T558" s="96">
        <f>IF(S558="",0,IF(INDEX('ITENS_MTR'!$R$6:$R$1005,S558)=1,1,0))</f>
        <v>0</v>
      </c>
      <c r="U558" s="96" t="str">
        <f>IF(G558="","",IFERROR(IF(ISNUMBER(INDEX(cfg_fac,MATCH(G558,cfg_units,0))),IF(INDEX(cfg_fac,MATCH(G558,cfg_units,0))&gt;0,INDEX(cfg_fac,MATCH(G558,cfg_units,0)),""),""),""))</f>
        <v/>
      </c>
      <c r="V558" s="96">
        <f>IF(AND(ISNUMBER(F558),ISNUMBER(H558)),IF(H558&gt;0,1,0),0)</f>
        <v>0</v>
      </c>
      <c r="W558" s="96" t="str">
        <f>IF(T558=1,INDEX('ITENS_MTR'!$AU$6:$AU$1005,S558)&amp;"","")</f>
        <v/>
      </c>
      <c r="X558" s="96">
        <f>IF(AND(Q558=1,T558=1,I558&lt;&gt;"",W558&lt;&gt;""),IF(I558&lt;&gt;W558,1,0),0)</f>
        <v>0</v>
      </c>
      <c r="Y558" s="96">
        <f>IF(N558=0,0,IF(OR(Q558=0,T558=0,V558=0,AND(X558=1,J558&lt;&gt;"Sim")),1,0))</f>
        <v>0</v>
      </c>
      <c r="Z558" s="96">
        <f>IF(Q558=1,INDEX('CDFs'!$W$6:$W$505,P558),0)</f>
        <v>0</v>
      </c>
      <c r="AA558" s="96">
        <f>IF(AND(N558=1,Y558=0,Z558=1,J558="Sim"),1,0)</f>
        <v>0</v>
      </c>
      <c r="AB558" s="96">
        <f>IF(AND(N558=1,O558&lt;&gt;"",D558&lt;&gt;""),IF(COUNTIFS($O$6:O558,O558,$D$6:D558,D558)=1,1,0),0)</f>
        <v>0</v>
      </c>
      <c r="AC558" s="96">
        <f>IF(T558=1,INDEX('ITENS_MTR'!$AL$6:$AL$1005,S558),0)</f>
        <v>0</v>
      </c>
    </row>
    <row r="559">
      <c r="A559" s="89" t="inlineStr">
        <is>
          <t>VIN-000554</t>
        </is>
      </c>
      <c r="B559" s="91" t="n"/>
      <c r="C559" s="91" t="n"/>
      <c r="D559" s="94" t="str">
        <f>IF(T559=1,INDEX('ITENS_MTR'!$S$6:$S$1005,S559)&amp;"","")</f>
        <v/>
      </c>
      <c r="E559" s="94" t="str">
        <f>IF(T559=1,INDEX('ITENS_MTR'!$C$6:$C$1005,S559)&amp;"","")</f>
        <v/>
      </c>
      <c r="F559" s="98" t="n"/>
      <c r="G559" s="91" t="n"/>
      <c r="H559" s="93" t="str">
        <f>IF(N559=0,"",IF(NOT(ISNUMBER(F559)),"",IF(ISNUMBER(U559),F559*U559,"UNIDADE A CONFERIR")))</f>
        <v/>
      </c>
      <c r="I559" s="94" t="str">
        <f>IF(Q559=1,INDEX('CDFs'!$F$6:$F$505,P559)&amp;"","")</f>
        <v/>
      </c>
      <c r="J559" s="91" t="n"/>
      <c r="K559" s="91" t="n"/>
      <c r="L559" s="94" t="str">
        <f>IF(N559=0,"",IF(NOT(ISNUMBER(F559)),"Quantidade não informada",IF(F559&lt;=0,"Quantidade não positiva",IF(G559="","Unidade não informada",IF(NOT(ISNUMBER(H559)),"Unidade a conferir",IF(AC559=1,"REVISAR VÍNCULO: soma vinculada maior que a referência do item","OK"))))))</f>
        <v/>
      </c>
      <c r="M559" s="94" t="str">
        <f>IF(N559=0,"",IF(B559="","CDF não informado",IF(Q559=0,"REVISAR VÍNCULO: CDF inexistente",IF(C559="","Item não informado",IF(T559=0,"REVISAR VÍNCULO: item inexistente",IF(AND(X559=1,J559&lt;&gt;"Sim"),"REVISAR VÍNCULO: destinador diferente do MTR",IF(X559=1,"Destinador diferente do MTR (analisado)","OK")))))))</f>
        <v/>
      </c>
      <c r="N559" s="96">
        <f>IF(COUNTA(B559:C559,F559:G559,J559:K559)&gt;0,1,0)</f>
        <v>0</v>
      </c>
      <c r="O559" s="96" t="str">
        <f>IF(B559="","",TRIM(LEFT(B559,FIND(" |",B559&amp;" |")-1)))</f>
        <v/>
      </c>
      <c r="P559" s="96" t="str">
        <f>IF(O559="","",IFERROR(MATCH(O559,'CDFs'!$A$6:$A$505,0),""))</f>
        <v/>
      </c>
      <c r="Q559" s="96">
        <f>IF(P559="",0,IF(INDEX('CDFs'!$S$6:$S$505,P559)=1,1,0))</f>
        <v>0</v>
      </c>
      <c r="R559" s="96" t="str">
        <f>IF(C559="","",TRIM(LEFT(C559,FIND(" |",C559&amp;" |")-1)))</f>
        <v/>
      </c>
      <c r="S559" s="96" t="str">
        <f>IF(R559="","",IFERROR(MATCH(R559,'ITENS_MTR'!$A$6:$A$1005,0),""))</f>
        <v/>
      </c>
      <c r="T559" s="96">
        <f>IF(S559="",0,IF(INDEX('ITENS_MTR'!$R$6:$R$1005,S559)=1,1,0))</f>
        <v>0</v>
      </c>
      <c r="U559" s="96" t="str">
        <f>IF(G559="","",IFERROR(IF(ISNUMBER(INDEX(cfg_fac,MATCH(G559,cfg_units,0))),IF(INDEX(cfg_fac,MATCH(G559,cfg_units,0))&gt;0,INDEX(cfg_fac,MATCH(G559,cfg_units,0)),""),""),""))</f>
        <v/>
      </c>
      <c r="V559" s="96">
        <f>IF(AND(ISNUMBER(F559),ISNUMBER(H559)),IF(H559&gt;0,1,0),0)</f>
        <v>0</v>
      </c>
      <c r="W559" s="96" t="str">
        <f>IF(T559=1,INDEX('ITENS_MTR'!$AU$6:$AU$1005,S559)&amp;"","")</f>
        <v/>
      </c>
      <c r="X559" s="96">
        <f>IF(AND(Q559=1,T559=1,I559&lt;&gt;"",W559&lt;&gt;""),IF(I559&lt;&gt;W559,1,0),0)</f>
        <v>0</v>
      </c>
      <c r="Y559" s="96">
        <f>IF(N559=0,0,IF(OR(Q559=0,T559=0,V559=0,AND(X559=1,J559&lt;&gt;"Sim")),1,0))</f>
        <v>0</v>
      </c>
      <c r="Z559" s="96">
        <f>IF(Q559=1,INDEX('CDFs'!$W$6:$W$505,P559),0)</f>
        <v>0</v>
      </c>
      <c r="AA559" s="96">
        <f>IF(AND(N559=1,Y559=0,Z559=1,J559="Sim"),1,0)</f>
        <v>0</v>
      </c>
      <c r="AB559" s="96">
        <f>IF(AND(N559=1,O559&lt;&gt;"",D559&lt;&gt;""),IF(COUNTIFS($O$6:O559,O559,$D$6:D559,D559)=1,1,0),0)</f>
        <v>0</v>
      </c>
      <c r="AC559" s="96">
        <f>IF(T559=1,INDEX('ITENS_MTR'!$AL$6:$AL$1005,S559),0)</f>
        <v>0</v>
      </c>
    </row>
    <row r="560">
      <c r="A560" s="89" t="inlineStr">
        <is>
          <t>VIN-000555</t>
        </is>
      </c>
      <c r="B560" s="91" t="n"/>
      <c r="C560" s="91" t="n"/>
      <c r="D560" s="94" t="str">
        <f>IF(T560=1,INDEX('ITENS_MTR'!$S$6:$S$1005,S560)&amp;"","")</f>
        <v/>
      </c>
      <c r="E560" s="94" t="str">
        <f>IF(T560=1,INDEX('ITENS_MTR'!$C$6:$C$1005,S560)&amp;"","")</f>
        <v/>
      </c>
      <c r="F560" s="98" t="n"/>
      <c r="G560" s="91" t="n"/>
      <c r="H560" s="93" t="str">
        <f>IF(N560=0,"",IF(NOT(ISNUMBER(F560)),"",IF(ISNUMBER(U560),F560*U560,"UNIDADE A CONFERIR")))</f>
        <v/>
      </c>
      <c r="I560" s="94" t="str">
        <f>IF(Q560=1,INDEX('CDFs'!$F$6:$F$505,P560)&amp;"","")</f>
        <v/>
      </c>
      <c r="J560" s="91" t="n"/>
      <c r="K560" s="91" t="n"/>
      <c r="L560" s="94" t="str">
        <f>IF(N560=0,"",IF(NOT(ISNUMBER(F560)),"Quantidade não informada",IF(F560&lt;=0,"Quantidade não positiva",IF(G560="","Unidade não informada",IF(NOT(ISNUMBER(H560)),"Unidade a conferir",IF(AC560=1,"REVISAR VÍNCULO: soma vinculada maior que a referência do item","OK"))))))</f>
        <v/>
      </c>
      <c r="M560" s="94" t="str">
        <f>IF(N560=0,"",IF(B560="","CDF não informado",IF(Q560=0,"REVISAR VÍNCULO: CDF inexistente",IF(C560="","Item não informado",IF(T560=0,"REVISAR VÍNCULO: item inexistente",IF(AND(X560=1,J560&lt;&gt;"Sim"),"REVISAR VÍNCULO: destinador diferente do MTR",IF(X560=1,"Destinador diferente do MTR (analisado)","OK")))))))</f>
        <v/>
      </c>
      <c r="N560" s="96">
        <f>IF(COUNTA(B560:C560,F560:G560,J560:K560)&gt;0,1,0)</f>
        <v>0</v>
      </c>
      <c r="O560" s="96" t="str">
        <f>IF(B560="","",TRIM(LEFT(B560,FIND(" |",B560&amp;" |")-1)))</f>
        <v/>
      </c>
      <c r="P560" s="96" t="str">
        <f>IF(O560="","",IFERROR(MATCH(O560,'CDFs'!$A$6:$A$505,0),""))</f>
        <v/>
      </c>
      <c r="Q560" s="96">
        <f>IF(P560="",0,IF(INDEX('CDFs'!$S$6:$S$505,P560)=1,1,0))</f>
        <v>0</v>
      </c>
      <c r="R560" s="96" t="str">
        <f>IF(C560="","",TRIM(LEFT(C560,FIND(" |",C560&amp;" |")-1)))</f>
        <v/>
      </c>
      <c r="S560" s="96" t="str">
        <f>IF(R560="","",IFERROR(MATCH(R560,'ITENS_MTR'!$A$6:$A$1005,0),""))</f>
        <v/>
      </c>
      <c r="T560" s="96">
        <f>IF(S560="",0,IF(INDEX('ITENS_MTR'!$R$6:$R$1005,S560)=1,1,0))</f>
        <v>0</v>
      </c>
      <c r="U560" s="96" t="str">
        <f>IF(G560="","",IFERROR(IF(ISNUMBER(INDEX(cfg_fac,MATCH(G560,cfg_units,0))),IF(INDEX(cfg_fac,MATCH(G560,cfg_units,0))&gt;0,INDEX(cfg_fac,MATCH(G560,cfg_units,0)),""),""),""))</f>
        <v/>
      </c>
      <c r="V560" s="96">
        <f>IF(AND(ISNUMBER(F560),ISNUMBER(H560)),IF(H560&gt;0,1,0),0)</f>
        <v>0</v>
      </c>
      <c r="W560" s="96" t="str">
        <f>IF(T560=1,INDEX('ITENS_MTR'!$AU$6:$AU$1005,S560)&amp;"","")</f>
        <v/>
      </c>
      <c r="X560" s="96">
        <f>IF(AND(Q560=1,T560=1,I560&lt;&gt;"",W560&lt;&gt;""),IF(I560&lt;&gt;W560,1,0),0)</f>
        <v>0</v>
      </c>
      <c r="Y560" s="96">
        <f>IF(N560=0,0,IF(OR(Q560=0,T560=0,V560=0,AND(X560=1,J560&lt;&gt;"Sim")),1,0))</f>
        <v>0</v>
      </c>
      <c r="Z560" s="96">
        <f>IF(Q560=1,INDEX('CDFs'!$W$6:$W$505,P560),0)</f>
        <v>0</v>
      </c>
      <c r="AA560" s="96">
        <f>IF(AND(N560=1,Y560=0,Z560=1,J560="Sim"),1,0)</f>
        <v>0</v>
      </c>
      <c r="AB560" s="96">
        <f>IF(AND(N560=1,O560&lt;&gt;"",D560&lt;&gt;""),IF(COUNTIFS($O$6:O560,O560,$D$6:D560,D560)=1,1,0),0)</f>
        <v>0</v>
      </c>
      <c r="AC560" s="96">
        <f>IF(T560=1,INDEX('ITENS_MTR'!$AL$6:$AL$1005,S560),0)</f>
        <v>0</v>
      </c>
    </row>
    <row r="561">
      <c r="A561" s="89" t="inlineStr">
        <is>
          <t>VIN-000556</t>
        </is>
      </c>
      <c r="B561" s="91" t="n"/>
      <c r="C561" s="91" t="n"/>
      <c r="D561" s="94" t="str">
        <f>IF(T561=1,INDEX('ITENS_MTR'!$S$6:$S$1005,S561)&amp;"","")</f>
        <v/>
      </c>
      <c r="E561" s="94" t="str">
        <f>IF(T561=1,INDEX('ITENS_MTR'!$C$6:$C$1005,S561)&amp;"","")</f>
        <v/>
      </c>
      <c r="F561" s="98" t="n"/>
      <c r="G561" s="91" t="n"/>
      <c r="H561" s="93" t="str">
        <f>IF(N561=0,"",IF(NOT(ISNUMBER(F561)),"",IF(ISNUMBER(U561),F561*U561,"UNIDADE A CONFERIR")))</f>
        <v/>
      </c>
      <c r="I561" s="94" t="str">
        <f>IF(Q561=1,INDEX('CDFs'!$F$6:$F$505,P561)&amp;"","")</f>
        <v/>
      </c>
      <c r="J561" s="91" t="n"/>
      <c r="K561" s="91" t="n"/>
      <c r="L561" s="94" t="str">
        <f>IF(N561=0,"",IF(NOT(ISNUMBER(F561)),"Quantidade não informada",IF(F561&lt;=0,"Quantidade não positiva",IF(G561="","Unidade não informada",IF(NOT(ISNUMBER(H561)),"Unidade a conferir",IF(AC561=1,"REVISAR VÍNCULO: soma vinculada maior que a referência do item","OK"))))))</f>
        <v/>
      </c>
      <c r="M561" s="94" t="str">
        <f>IF(N561=0,"",IF(B561="","CDF não informado",IF(Q561=0,"REVISAR VÍNCULO: CDF inexistente",IF(C561="","Item não informado",IF(T561=0,"REVISAR VÍNCULO: item inexistente",IF(AND(X561=1,J561&lt;&gt;"Sim"),"REVISAR VÍNCULO: destinador diferente do MTR",IF(X561=1,"Destinador diferente do MTR (analisado)","OK")))))))</f>
        <v/>
      </c>
      <c r="N561" s="96">
        <f>IF(COUNTA(B561:C561,F561:G561,J561:K561)&gt;0,1,0)</f>
        <v>0</v>
      </c>
      <c r="O561" s="96" t="str">
        <f>IF(B561="","",TRIM(LEFT(B561,FIND(" |",B561&amp;" |")-1)))</f>
        <v/>
      </c>
      <c r="P561" s="96" t="str">
        <f>IF(O561="","",IFERROR(MATCH(O561,'CDFs'!$A$6:$A$505,0),""))</f>
        <v/>
      </c>
      <c r="Q561" s="96">
        <f>IF(P561="",0,IF(INDEX('CDFs'!$S$6:$S$505,P561)=1,1,0))</f>
        <v>0</v>
      </c>
      <c r="R561" s="96" t="str">
        <f>IF(C561="","",TRIM(LEFT(C561,FIND(" |",C561&amp;" |")-1)))</f>
        <v/>
      </c>
      <c r="S561" s="96" t="str">
        <f>IF(R561="","",IFERROR(MATCH(R561,'ITENS_MTR'!$A$6:$A$1005,0),""))</f>
        <v/>
      </c>
      <c r="T561" s="96">
        <f>IF(S561="",0,IF(INDEX('ITENS_MTR'!$R$6:$R$1005,S561)=1,1,0))</f>
        <v>0</v>
      </c>
      <c r="U561" s="96" t="str">
        <f>IF(G561="","",IFERROR(IF(ISNUMBER(INDEX(cfg_fac,MATCH(G561,cfg_units,0))),IF(INDEX(cfg_fac,MATCH(G561,cfg_units,0))&gt;0,INDEX(cfg_fac,MATCH(G561,cfg_units,0)),""),""),""))</f>
        <v/>
      </c>
      <c r="V561" s="96">
        <f>IF(AND(ISNUMBER(F561),ISNUMBER(H561)),IF(H561&gt;0,1,0),0)</f>
        <v>0</v>
      </c>
      <c r="W561" s="96" t="str">
        <f>IF(T561=1,INDEX('ITENS_MTR'!$AU$6:$AU$1005,S561)&amp;"","")</f>
        <v/>
      </c>
      <c r="X561" s="96">
        <f>IF(AND(Q561=1,T561=1,I561&lt;&gt;"",W561&lt;&gt;""),IF(I561&lt;&gt;W561,1,0),0)</f>
        <v>0</v>
      </c>
      <c r="Y561" s="96">
        <f>IF(N561=0,0,IF(OR(Q561=0,T561=0,V561=0,AND(X561=1,J561&lt;&gt;"Sim")),1,0))</f>
        <v>0</v>
      </c>
      <c r="Z561" s="96">
        <f>IF(Q561=1,INDEX('CDFs'!$W$6:$W$505,P561),0)</f>
        <v>0</v>
      </c>
      <c r="AA561" s="96">
        <f>IF(AND(N561=1,Y561=0,Z561=1,J561="Sim"),1,0)</f>
        <v>0</v>
      </c>
      <c r="AB561" s="96">
        <f>IF(AND(N561=1,O561&lt;&gt;"",D561&lt;&gt;""),IF(COUNTIFS($O$6:O561,O561,$D$6:D561,D561)=1,1,0),0)</f>
        <v>0</v>
      </c>
      <c r="AC561" s="96">
        <f>IF(T561=1,INDEX('ITENS_MTR'!$AL$6:$AL$1005,S561),0)</f>
        <v>0</v>
      </c>
    </row>
    <row r="562">
      <c r="A562" s="89" t="inlineStr">
        <is>
          <t>VIN-000557</t>
        </is>
      </c>
      <c r="B562" s="91" t="n"/>
      <c r="C562" s="91" t="n"/>
      <c r="D562" s="94" t="str">
        <f>IF(T562=1,INDEX('ITENS_MTR'!$S$6:$S$1005,S562)&amp;"","")</f>
        <v/>
      </c>
      <c r="E562" s="94" t="str">
        <f>IF(T562=1,INDEX('ITENS_MTR'!$C$6:$C$1005,S562)&amp;"","")</f>
        <v/>
      </c>
      <c r="F562" s="98" t="n"/>
      <c r="G562" s="91" t="n"/>
      <c r="H562" s="93" t="str">
        <f>IF(N562=0,"",IF(NOT(ISNUMBER(F562)),"",IF(ISNUMBER(U562),F562*U562,"UNIDADE A CONFERIR")))</f>
        <v/>
      </c>
      <c r="I562" s="94" t="str">
        <f>IF(Q562=1,INDEX('CDFs'!$F$6:$F$505,P562)&amp;"","")</f>
        <v/>
      </c>
      <c r="J562" s="91" t="n"/>
      <c r="K562" s="91" t="n"/>
      <c r="L562" s="94" t="str">
        <f>IF(N562=0,"",IF(NOT(ISNUMBER(F562)),"Quantidade não informada",IF(F562&lt;=0,"Quantidade não positiva",IF(G562="","Unidade não informada",IF(NOT(ISNUMBER(H562)),"Unidade a conferir",IF(AC562=1,"REVISAR VÍNCULO: soma vinculada maior que a referência do item","OK"))))))</f>
        <v/>
      </c>
      <c r="M562" s="94" t="str">
        <f>IF(N562=0,"",IF(B562="","CDF não informado",IF(Q562=0,"REVISAR VÍNCULO: CDF inexistente",IF(C562="","Item não informado",IF(T562=0,"REVISAR VÍNCULO: item inexistente",IF(AND(X562=1,J562&lt;&gt;"Sim"),"REVISAR VÍNCULO: destinador diferente do MTR",IF(X562=1,"Destinador diferente do MTR (analisado)","OK")))))))</f>
        <v/>
      </c>
      <c r="N562" s="96">
        <f>IF(COUNTA(B562:C562,F562:G562,J562:K562)&gt;0,1,0)</f>
        <v>0</v>
      </c>
      <c r="O562" s="96" t="str">
        <f>IF(B562="","",TRIM(LEFT(B562,FIND(" |",B562&amp;" |")-1)))</f>
        <v/>
      </c>
      <c r="P562" s="96" t="str">
        <f>IF(O562="","",IFERROR(MATCH(O562,'CDFs'!$A$6:$A$505,0),""))</f>
        <v/>
      </c>
      <c r="Q562" s="96">
        <f>IF(P562="",0,IF(INDEX('CDFs'!$S$6:$S$505,P562)=1,1,0))</f>
        <v>0</v>
      </c>
      <c r="R562" s="96" t="str">
        <f>IF(C562="","",TRIM(LEFT(C562,FIND(" |",C562&amp;" |")-1)))</f>
        <v/>
      </c>
      <c r="S562" s="96" t="str">
        <f>IF(R562="","",IFERROR(MATCH(R562,'ITENS_MTR'!$A$6:$A$1005,0),""))</f>
        <v/>
      </c>
      <c r="T562" s="96">
        <f>IF(S562="",0,IF(INDEX('ITENS_MTR'!$R$6:$R$1005,S562)=1,1,0))</f>
        <v>0</v>
      </c>
      <c r="U562" s="96" t="str">
        <f>IF(G562="","",IFERROR(IF(ISNUMBER(INDEX(cfg_fac,MATCH(G562,cfg_units,0))),IF(INDEX(cfg_fac,MATCH(G562,cfg_units,0))&gt;0,INDEX(cfg_fac,MATCH(G562,cfg_units,0)),""),""),""))</f>
        <v/>
      </c>
      <c r="V562" s="96">
        <f>IF(AND(ISNUMBER(F562),ISNUMBER(H562)),IF(H562&gt;0,1,0),0)</f>
        <v>0</v>
      </c>
      <c r="W562" s="96" t="str">
        <f>IF(T562=1,INDEX('ITENS_MTR'!$AU$6:$AU$1005,S562)&amp;"","")</f>
        <v/>
      </c>
      <c r="X562" s="96">
        <f>IF(AND(Q562=1,T562=1,I562&lt;&gt;"",W562&lt;&gt;""),IF(I562&lt;&gt;W562,1,0),0)</f>
        <v>0</v>
      </c>
      <c r="Y562" s="96">
        <f>IF(N562=0,0,IF(OR(Q562=0,T562=0,V562=0,AND(X562=1,J562&lt;&gt;"Sim")),1,0))</f>
        <v>0</v>
      </c>
      <c r="Z562" s="96">
        <f>IF(Q562=1,INDEX('CDFs'!$W$6:$W$505,P562),0)</f>
        <v>0</v>
      </c>
      <c r="AA562" s="96">
        <f>IF(AND(N562=1,Y562=0,Z562=1,J562="Sim"),1,0)</f>
        <v>0</v>
      </c>
      <c r="AB562" s="96">
        <f>IF(AND(N562=1,O562&lt;&gt;"",D562&lt;&gt;""),IF(COUNTIFS($O$6:O562,O562,$D$6:D562,D562)=1,1,0),0)</f>
        <v>0</v>
      </c>
      <c r="AC562" s="96">
        <f>IF(T562=1,INDEX('ITENS_MTR'!$AL$6:$AL$1005,S562),0)</f>
        <v>0</v>
      </c>
    </row>
    <row r="563">
      <c r="A563" s="89" t="inlineStr">
        <is>
          <t>VIN-000558</t>
        </is>
      </c>
      <c r="B563" s="91" t="n"/>
      <c r="C563" s="91" t="n"/>
      <c r="D563" s="94" t="str">
        <f>IF(T563=1,INDEX('ITENS_MTR'!$S$6:$S$1005,S563)&amp;"","")</f>
        <v/>
      </c>
      <c r="E563" s="94" t="str">
        <f>IF(T563=1,INDEX('ITENS_MTR'!$C$6:$C$1005,S563)&amp;"","")</f>
        <v/>
      </c>
      <c r="F563" s="98" t="n"/>
      <c r="G563" s="91" t="n"/>
      <c r="H563" s="93" t="str">
        <f>IF(N563=0,"",IF(NOT(ISNUMBER(F563)),"",IF(ISNUMBER(U563),F563*U563,"UNIDADE A CONFERIR")))</f>
        <v/>
      </c>
      <c r="I563" s="94" t="str">
        <f>IF(Q563=1,INDEX('CDFs'!$F$6:$F$505,P563)&amp;"","")</f>
        <v/>
      </c>
      <c r="J563" s="91" t="n"/>
      <c r="K563" s="91" t="n"/>
      <c r="L563" s="94" t="str">
        <f>IF(N563=0,"",IF(NOT(ISNUMBER(F563)),"Quantidade não informada",IF(F563&lt;=0,"Quantidade não positiva",IF(G563="","Unidade não informada",IF(NOT(ISNUMBER(H563)),"Unidade a conferir",IF(AC563=1,"REVISAR VÍNCULO: soma vinculada maior que a referência do item","OK"))))))</f>
        <v/>
      </c>
      <c r="M563" s="94" t="str">
        <f>IF(N563=0,"",IF(B563="","CDF não informado",IF(Q563=0,"REVISAR VÍNCULO: CDF inexistente",IF(C563="","Item não informado",IF(T563=0,"REVISAR VÍNCULO: item inexistente",IF(AND(X563=1,J563&lt;&gt;"Sim"),"REVISAR VÍNCULO: destinador diferente do MTR",IF(X563=1,"Destinador diferente do MTR (analisado)","OK")))))))</f>
        <v/>
      </c>
      <c r="N563" s="96">
        <f>IF(COUNTA(B563:C563,F563:G563,J563:K563)&gt;0,1,0)</f>
        <v>0</v>
      </c>
      <c r="O563" s="96" t="str">
        <f>IF(B563="","",TRIM(LEFT(B563,FIND(" |",B563&amp;" |")-1)))</f>
        <v/>
      </c>
      <c r="P563" s="96" t="str">
        <f>IF(O563="","",IFERROR(MATCH(O563,'CDFs'!$A$6:$A$505,0),""))</f>
        <v/>
      </c>
      <c r="Q563" s="96">
        <f>IF(P563="",0,IF(INDEX('CDFs'!$S$6:$S$505,P563)=1,1,0))</f>
        <v>0</v>
      </c>
      <c r="R563" s="96" t="str">
        <f>IF(C563="","",TRIM(LEFT(C563,FIND(" |",C563&amp;" |")-1)))</f>
        <v/>
      </c>
      <c r="S563" s="96" t="str">
        <f>IF(R563="","",IFERROR(MATCH(R563,'ITENS_MTR'!$A$6:$A$1005,0),""))</f>
        <v/>
      </c>
      <c r="T563" s="96">
        <f>IF(S563="",0,IF(INDEX('ITENS_MTR'!$R$6:$R$1005,S563)=1,1,0))</f>
        <v>0</v>
      </c>
      <c r="U563" s="96" t="str">
        <f>IF(G563="","",IFERROR(IF(ISNUMBER(INDEX(cfg_fac,MATCH(G563,cfg_units,0))),IF(INDEX(cfg_fac,MATCH(G563,cfg_units,0))&gt;0,INDEX(cfg_fac,MATCH(G563,cfg_units,0)),""),""),""))</f>
        <v/>
      </c>
      <c r="V563" s="96">
        <f>IF(AND(ISNUMBER(F563),ISNUMBER(H563)),IF(H563&gt;0,1,0),0)</f>
        <v>0</v>
      </c>
      <c r="W563" s="96" t="str">
        <f>IF(T563=1,INDEX('ITENS_MTR'!$AU$6:$AU$1005,S563)&amp;"","")</f>
        <v/>
      </c>
      <c r="X563" s="96">
        <f>IF(AND(Q563=1,T563=1,I563&lt;&gt;"",W563&lt;&gt;""),IF(I563&lt;&gt;W563,1,0),0)</f>
        <v>0</v>
      </c>
      <c r="Y563" s="96">
        <f>IF(N563=0,0,IF(OR(Q563=0,T563=0,V563=0,AND(X563=1,J563&lt;&gt;"Sim")),1,0))</f>
        <v>0</v>
      </c>
      <c r="Z563" s="96">
        <f>IF(Q563=1,INDEX('CDFs'!$W$6:$W$505,P563),0)</f>
        <v>0</v>
      </c>
      <c r="AA563" s="96">
        <f>IF(AND(N563=1,Y563=0,Z563=1,J563="Sim"),1,0)</f>
        <v>0</v>
      </c>
      <c r="AB563" s="96">
        <f>IF(AND(N563=1,O563&lt;&gt;"",D563&lt;&gt;""),IF(COUNTIFS($O$6:O563,O563,$D$6:D563,D563)=1,1,0),0)</f>
        <v>0</v>
      </c>
      <c r="AC563" s="96">
        <f>IF(T563=1,INDEX('ITENS_MTR'!$AL$6:$AL$1005,S563),0)</f>
        <v>0</v>
      </c>
    </row>
    <row r="564">
      <c r="A564" s="89" t="inlineStr">
        <is>
          <t>VIN-000559</t>
        </is>
      </c>
      <c r="B564" s="91" t="n"/>
      <c r="C564" s="91" t="n"/>
      <c r="D564" s="94" t="str">
        <f>IF(T564=1,INDEX('ITENS_MTR'!$S$6:$S$1005,S564)&amp;"","")</f>
        <v/>
      </c>
      <c r="E564" s="94" t="str">
        <f>IF(T564=1,INDEX('ITENS_MTR'!$C$6:$C$1005,S564)&amp;"","")</f>
        <v/>
      </c>
      <c r="F564" s="98" t="n"/>
      <c r="G564" s="91" t="n"/>
      <c r="H564" s="93" t="str">
        <f>IF(N564=0,"",IF(NOT(ISNUMBER(F564)),"",IF(ISNUMBER(U564),F564*U564,"UNIDADE A CONFERIR")))</f>
        <v/>
      </c>
      <c r="I564" s="94" t="str">
        <f>IF(Q564=1,INDEX('CDFs'!$F$6:$F$505,P564)&amp;"","")</f>
        <v/>
      </c>
      <c r="J564" s="91" t="n"/>
      <c r="K564" s="91" t="n"/>
      <c r="L564" s="94" t="str">
        <f>IF(N564=0,"",IF(NOT(ISNUMBER(F564)),"Quantidade não informada",IF(F564&lt;=0,"Quantidade não positiva",IF(G564="","Unidade não informada",IF(NOT(ISNUMBER(H564)),"Unidade a conferir",IF(AC564=1,"REVISAR VÍNCULO: soma vinculada maior que a referência do item","OK"))))))</f>
        <v/>
      </c>
      <c r="M564" s="94" t="str">
        <f>IF(N564=0,"",IF(B564="","CDF não informado",IF(Q564=0,"REVISAR VÍNCULO: CDF inexistente",IF(C564="","Item não informado",IF(T564=0,"REVISAR VÍNCULO: item inexistente",IF(AND(X564=1,J564&lt;&gt;"Sim"),"REVISAR VÍNCULO: destinador diferente do MTR",IF(X564=1,"Destinador diferente do MTR (analisado)","OK")))))))</f>
        <v/>
      </c>
      <c r="N564" s="96">
        <f>IF(COUNTA(B564:C564,F564:G564,J564:K564)&gt;0,1,0)</f>
        <v>0</v>
      </c>
      <c r="O564" s="96" t="str">
        <f>IF(B564="","",TRIM(LEFT(B564,FIND(" |",B564&amp;" |")-1)))</f>
        <v/>
      </c>
      <c r="P564" s="96" t="str">
        <f>IF(O564="","",IFERROR(MATCH(O564,'CDFs'!$A$6:$A$505,0),""))</f>
        <v/>
      </c>
      <c r="Q564" s="96">
        <f>IF(P564="",0,IF(INDEX('CDFs'!$S$6:$S$505,P564)=1,1,0))</f>
        <v>0</v>
      </c>
      <c r="R564" s="96" t="str">
        <f>IF(C564="","",TRIM(LEFT(C564,FIND(" |",C564&amp;" |")-1)))</f>
        <v/>
      </c>
      <c r="S564" s="96" t="str">
        <f>IF(R564="","",IFERROR(MATCH(R564,'ITENS_MTR'!$A$6:$A$1005,0),""))</f>
        <v/>
      </c>
      <c r="T564" s="96">
        <f>IF(S564="",0,IF(INDEX('ITENS_MTR'!$R$6:$R$1005,S564)=1,1,0))</f>
        <v>0</v>
      </c>
      <c r="U564" s="96" t="str">
        <f>IF(G564="","",IFERROR(IF(ISNUMBER(INDEX(cfg_fac,MATCH(G564,cfg_units,0))),IF(INDEX(cfg_fac,MATCH(G564,cfg_units,0))&gt;0,INDEX(cfg_fac,MATCH(G564,cfg_units,0)),""),""),""))</f>
        <v/>
      </c>
      <c r="V564" s="96">
        <f>IF(AND(ISNUMBER(F564),ISNUMBER(H564)),IF(H564&gt;0,1,0),0)</f>
        <v>0</v>
      </c>
      <c r="W564" s="96" t="str">
        <f>IF(T564=1,INDEX('ITENS_MTR'!$AU$6:$AU$1005,S564)&amp;"","")</f>
        <v/>
      </c>
      <c r="X564" s="96">
        <f>IF(AND(Q564=1,T564=1,I564&lt;&gt;"",W564&lt;&gt;""),IF(I564&lt;&gt;W564,1,0),0)</f>
        <v>0</v>
      </c>
      <c r="Y564" s="96">
        <f>IF(N564=0,0,IF(OR(Q564=0,T564=0,V564=0,AND(X564=1,J564&lt;&gt;"Sim")),1,0))</f>
        <v>0</v>
      </c>
      <c r="Z564" s="96">
        <f>IF(Q564=1,INDEX('CDFs'!$W$6:$W$505,P564),0)</f>
        <v>0</v>
      </c>
      <c r="AA564" s="96">
        <f>IF(AND(N564=1,Y564=0,Z564=1,J564="Sim"),1,0)</f>
        <v>0</v>
      </c>
      <c r="AB564" s="96">
        <f>IF(AND(N564=1,O564&lt;&gt;"",D564&lt;&gt;""),IF(COUNTIFS($O$6:O564,O564,$D$6:D564,D564)=1,1,0),0)</f>
        <v>0</v>
      </c>
      <c r="AC564" s="96">
        <f>IF(T564=1,INDEX('ITENS_MTR'!$AL$6:$AL$1005,S564),0)</f>
        <v>0</v>
      </c>
    </row>
    <row r="565">
      <c r="A565" s="89" t="inlineStr">
        <is>
          <t>VIN-000560</t>
        </is>
      </c>
      <c r="B565" s="91" t="n"/>
      <c r="C565" s="91" t="n"/>
      <c r="D565" s="94" t="str">
        <f>IF(T565=1,INDEX('ITENS_MTR'!$S$6:$S$1005,S565)&amp;"","")</f>
        <v/>
      </c>
      <c r="E565" s="94" t="str">
        <f>IF(T565=1,INDEX('ITENS_MTR'!$C$6:$C$1005,S565)&amp;"","")</f>
        <v/>
      </c>
      <c r="F565" s="98" t="n"/>
      <c r="G565" s="91" t="n"/>
      <c r="H565" s="93" t="str">
        <f>IF(N565=0,"",IF(NOT(ISNUMBER(F565)),"",IF(ISNUMBER(U565),F565*U565,"UNIDADE A CONFERIR")))</f>
        <v/>
      </c>
      <c r="I565" s="94" t="str">
        <f>IF(Q565=1,INDEX('CDFs'!$F$6:$F$505,P565)&amp;"","")</f>
        <v/>
      </c>
      <c r="J565" s="91" t="n"/>
      <c r="K565" s="91" t="n"/>
      <c r="L565" s="94" t="str">
        <f>IF(N565=0,"",IF(NOT(ISNUMBER(F565)),"Quantidade não informada",IF(F565&lt;=0,"Quantidade não positiva",IF(G565="","Unidade não informada",IF(NOT(ISNUMBER(H565)),"Unidade a conferir",IF(AC565=1,"REVISAR VÍNCULO: soma vinculada maior que a referência do item","OK"))))))</f>
        <v/>
      </c>
      <c r="M565" s="94" t="str">
        <f>IF(N565=0,"",IF(B565="","CDF não informado",IF(Q565=0,"REVISAR VÍNCULO: CDF inexistente",IF(C565="","Item não informado",IF(T565=0,"REVISAR VÍNCULO: item inexistente",IF(AND(X565=1,J565&lt;&gt;"Sim"),"REVISAR VÍNCULO: destinador diferente do MTR",IF(X565=1,"Destinador diferente do MTR (analisado)","OK")))))))</f>
        <v/>
      </c>
      <c r="N565" s="96">
        <f>IF(COUNTA(B565:C565,F565:G565,J565:K565)&gt;0,1,0)</f>
        <v>0</v>
      </c>
      <c r="O565" s="96" t="str">
        <f>IF(B565="","",TRIM(LEFT(B565,FIND(" |",B565&amp;" |")-1)))</f>
        <v/>
      </c>
      <c r="P565" s="96" t="str">
        <f>IF(O565="","",IFERROR(MATCH(O565,'CDFs'!$A$6:$A$505,0),""))</f>
        <v/>
      </c>
      <c r="Q565" s="96">
        <f>IF(P565="",0,IF(INDEX('CDFs'!$S$6:$S$505,P565)=1,1,0))</f>
        <v>0</v>
      </c>
      <c r="R565" s="96" t="str">
        <f>IF(C565="","",TRIM(LEFT(C565,FIND(" |",C565&amp;" |")-1)))</f>
        <v/>
      </c>
      <c r="S565" s="96" t="str">
        <f>IF(R565="","",IFERROR(MATCH(R565,'ITENS_MTR'!$A$6:$A$1005,0),""))</f>
        <v/>
      </c>
      <c r="T565" s="96">
        <f>IF(S565="",0,IF(INDEX('ITENS_MTR'!$R$6:$R$1005,S565)=1,1,0))</f>
        <v>0</v>
      </c>
      <c r="U565" s="96" t="str">
        <f>IF(G565="","",IFERROR(IF(ISNUMBER(INDEX(cfg_fac,MATCH(G565,cfg_units,0))),IF(INDEX(cfg_fac,MATCH(G565,cfg_units,0))&gt;0,INDEX(cfg_fac,MATCH(G565,cfg_units,0)),""),""),""))</f>
        <v/>
      </c>
      <c r="V565" s="96">
        <f>IF(AND(ISNUMBER(F565),ISNUMBER(H565)),IF(H565&gt;0,1,0),0)</f>
        <v>0</v>
      </c>
      <c r="W565" s="96" t="str">
        <f>IF(T565=1,INDEX('ITENS_MTR'!$AU$6:$AU$1005,S565)&amp;"","")</f>
        <v/>
      </c>
      <c r="X565" s="96">
        <f>IF(AND(Q565=1,T565=1,I565&lt;&gt;"",W565&lt;&gt;""),IF(I565&lt;&gt;W565,1,0),0)</f>
        <v>0</v>
      </c>
      <c r="Y565" s="96">
        <f>IF(N565=0,0,IF(OR(Q565=0,T565=0,V565=0,AND(X565=1,J565&lt;&gt;"Sim")),1,0))</f>
        <v>0</v>
      </c>
      <c r="Z565" s="96">
        <f>IF(Q565=1,INDEX('CDFs'!$W$6:$W$505,P565),0)</f>
        <v>0</v>
      </c>
      <c r="AA565" s="96">
        <f>IF(AND(N565=1,Y565=0,Z565=1,J565="Sim"),1,0)</f>
        <v>0</v>
      </c>
      <c r="AB565" s="96">
        <f>IF(AND(N565=1,O565&lt;&gt;"",D565&lt;&gt;""),IF(COUNTIFS($O$6:O565,O565,$D$6:D565,D565)=1,1,0),0)</f>
        <v>0</v>
      </c>
      <c r="AC565" s="96">
        <f>IF(T565=1,INDEX('ITENS_MTR'!$AL$6:$AL$1005,S565),0)</f>
        <v>0</v>
      </c>
    </row>
    <row r="566">
      <c r="A566" s="89" t="inlineStr">
        <is>
          <t>VIN-000561</t>
        </is>
      </c>
      <c r="B566" s="91" t="n"/>
      <c r="C566" s="91" t="n"/>
      <c r="D566" s="94" t="str">
        <f>IF(T566=1,INDEX('ITENS_MTR'!$S$6:$S$1005,S566)&amp;"","")</f>
        <v/>
      </c>
      <c r="E566" s="94" t="str">
        <f>IF(T566=1,INDEX('ITENS_MTR'!$C$6:$C$1005,S566)&amp;"","")</f>
        <v/>
      </c>
      <c r="F566" s="98" t="n"/>
      <c r="G566" s="91" t="n"/>
      <c r="H566" s="93" t="str">
        <f>IF(N566=0,"",IF(NOT(ISNUMBER(F566)),"",IF(ISNUMBER(U566),F566*U566,"UNIDADE A CONFERIR")))</f>
        <v/>
      </c>
      <c r="I566" s="94" t="str">
        <f>IF(Q566=1,INDEX('CDFs'!$F$6:$F$505,P566)&amp;"","")</f>
        <v/>
      </c>
      <c r="J566" s="91" t="n"/>
      <c r="K566" s="91" t="n"/>
      <c r="L566" s="94" t="str">
        <f>IF(N566=0,"",IF(NOT(ISNUMBER(F566)),"Quantidade não informada",IF(F566&lt;=0,"Quantidade não positiva",IF(G566="","Unidade não informada",IF(NOT(ISNUMBER(H566)),"Unidade a conferir",IF(AC566=1,"REVISAR VÍNCULO: soma vinculada maior que a referência do item","OK"))))))</f>
        <v/>
      </c>
      <c r="M566" s="94" t="str">
        <f>IF(N566=0,"",IF(B566="","CDF não informado",IF(Q566=0,"REVISAR VÍNCULO: CDF inexistente",IF(C566="","Item não informado",IF(T566=0,"REVISAR VÍNCULO: item inexistente",IF(AND(X566=1,J566&lt;&gt;"Sim"),"REVISAR VÍNCULO: destinador diferente do MTR",IF(X566=1,"Destinador diferente do MTR (analisado)","OK")))))))</f>
        <v/>
      </c>
      <c r="N566" s="96">
        <f>IF(COUNTA(B566:C566,F566:G566,J566:K566)&gt;0,1,0)</f>
        <v>0</v>
      </c>
      <c r="O566" s="96" t="str">
        <f>IF(B566="","",TRIM(LEFT(B566,FIND(" |",B566&amp;" |")-1)))</f>
        <v/>
      </c>
      <c r="P566" s="96" t="str">
        <f>IF(O566="","",IFERROR(MATCH(O566,'CDFs'!$A$6:$A$505,0),""))</f>
        <v/>
      </c>
      <c r="Q566" s="96">
        <f>IF(P566="",0,IF(INDEX('CDFs'!$S$6:$S$505,P566)=1,1,0))</f>
        <v>0</v>
      </c>
      <c r="R566" s="96" t="str">
        <f>IF(C566="","",TRIM(LEFT(C566,FIND(" |",C566&amp;" |")-1)))</f>
        <v/>
      </c>
      <c r="S566" s="96" t="str">
        <f>IF(R566="","",IFERROR(MATCH(R566,'ITENS_MTR'!$A$6:$A$1005,0),""))</f>
        <v/>
      </c>
      <c r="T566" s="96">
        <f>IF(S566="",0,IF(INDEX('ITENS_MTR'!$R$6:$R$1005,S566)=1,1,0))</f>
        <v>0</v>
      </c>
      <c r="U566" s="96" t="str">
        <f>IF(G566="","",IFERROR(IF(ISNUMBER(INDEX(cfg_fac,MATCH(G566,cfg_units,0))),IF(INDEX(cfg_fac,MATCH(G566,cfg_units,0))&gt;0,INDEX(cfg_fac,MATCH(G566,cfg_units,0)),""),""),""))</f>
        <v/>
      </c>
      <c r="V566" s="96">
        <f>IF(AND(ISNUMBER(F566),ISNUMBER(H566)),IF(H566&gt;0,1,0),0)</f>
        <v>0</v>
      </c>
      <c r="W566" s="96" t="str">
        <f>IF(T566=1,INDEX('ITENS_MTR'!$AU$6:$AU$1005,S566)&amp;"","")</f>
        <v/>
      </c>
      <c r="X566" s="96">
        <f>IF(AND(Q566=1,T566=1,I566&lt;&gt;"",W566&lt;&gt;""),IF(I566&lt;&gt;W566,1,0),0)</f>
        <v>0</v>
      </c>
      <c r="Y566" s="96">
        <f>IF(N566=0,0,IF(OR(Q566=0,T566=0,V566=0,AND(X566=1,J566&lt;&gt;"Sim")),1,0))</f>
        <v>0</v>
      </c>
      <c r="Z566" s="96">
        <f>IF(Q566=1,INDEX('CDFs'!$W$6:$W$505,P566),0)</f>
        <v>0</v>
      </c>
      <c r="AA566" s="96">
        <f>IF(AND(N566=1,Y566=0,Z566=1,J566="Sim"),1,0)</f>
        <v>0</v>
      </c>
      <c r="AB566" s="96">
        <f>IF(AND(N566=1,O566&lt;&gt;"",D566&lt;&gt;""),IF(COUNTIFS($O$6:O566,O566,$D$6:D566,D566)=1,1,0),0)</f>
        <v>0</v>
      </c>
      <c r="AC566" s="96">
        <f>IF(T566=1,INDEX('ITENS_MTR'!$AL$6:$AL$1005,S566),0)</f>
        <v>0</v>
      </c>
    </row>
    <row r="567">
      <c r="A567" s="89" t="inlineStr">
        <is>
          <t>VIN-000562</t>
        </is>
      </c>
      <c r="B567" s="91" t="n"/>
      <c r="C567" s="91" t="n"/>
      <c r="D567" s="94" t="str">
        <f>IF(T567=1,INDEX('ITENS_MTR'!$S$6:$S$1005,S567)&amp;"","")</f>
        <v/>
      </c>
      <c r="E567" s="94" t="str">
        <f>IF(T567=1,INDEX('ITENS_MTR'!$C$6:$C$1005,S567)&amp;"","")</f>
        <v/>
      </c>
      <c r="F567" s="98" t="n"/>
      <c r="G567" s="91" t="n"/>
      <c r="H567" s="93" t="str">
        <f>IF(N567=0,"",IF(NOT(ISNUMBER(F567)),"",IF(ISNUMBER(U567),F567*U567,"UNIDADE A CONFERIR")))</f>
        <v/>
      </c>
      <c r="I567" s="94" t="str">
        <f>IF(Q567=1,INDEX('CDFs'!$F$6:$F$505,P567)&amp;"","")</f>
        <v/>
      </c>
      <c r="J567" s="91" t="n"/>
      <c r="K567" s="91" t="n"/>
      <c r="L567" s="94" t="str">
        <f>IF(N567=0,"",IF(NOT(ISNUMBER(F567)),"Quantidade não informada",IF(F567&lt;=0,"Quantidade não positiva",IF(G567="","Unidade não informada",IF(NOT(ISNUMBER(H567)),"Unidade a conferir",IF(AC567=1,"REVISAR VÍNCULO: soma vinculada maior que a referência do item","OK"))))))</f>
        <v/>
      </c>
      <c r="M567" s="94" t="str">
        <f>IF(N567=0,"",IF(B567="","CDF não informado",IF(Q567=0,"REVISAR VÍNCULO: CDF inexistente",IF(C567="","Item não informado",IF(T567=0,"REVISAR VÍNCULO: item inexistente",IF(AND(X567=1,J567&lt;&gt;"Sim"),"REVISAR VÍNCULO: destinador diferente do MTR",IF(X567=1,"Destinador diferente do MTR (analisado)","OK")))))))</f>
        <v/>
      </c>
      <c r="N567" s="96">
        <f>IF(COUNTA(B567:C567,F567:G567,J567:K567)&gt;0,1,0)</f>
        <v>0</v>
      </c>
      <c r="O567" s="96" t="str">
        <f>IF(B567="","",TRIM(LEFT(B567,FIND(" |",B567&amp;" |")-1)))</f>
        <v/>
      </c>
      <c r="P567" s="96" t="str">
        <f>IF(O567="","",IFERROR(MATCH(O567,'CDFs'!$A$6:$A$505,0),""))</f>
        <v/>
      </c>
      <c r="Q567" s="96">
        <f>IF(P567="",0,IF(INDEX('CDFs'!$S$6:$S$505,P567)=1,1,0))</f>
        <v>0</v>
      </c>
      <c r="R567" s="96" t="str">
        <f>IF(C567="","",TRIM(LEFT(C567,FIND(" |",C567&amp;" |")-1)))</f>
        <v/>
      </c>
      <c r="S567" s="96" t="str">
        <f>IF(R567="","",IFERROR(MATCH(R567,'ITENS_MTR'!$A$6:$A$1005,0),""))</f>
        <v/>
      </c>
      <c r="T567" s="96">
        <f>IF(S567="",0,IF(INDEX('ITENS_MTR'!$R$6:$R$1005,S567)=1,1,0))</f>
        <v>0</v>
      </c>
      <c r="U567" s="96" t="str">
        <f>IF(G567="","",IFERROR(IF(ISNUMBER(INDEX(cfg_fac,MATCH(G567,cfg_units,0))),IF(INDEX(cfg_fac,MATCH(G567,cfg_units,0))&gt;0,INDEX(cfg_fac,MATCH(G567,cfg_units,0)),""),""),""))</f>
        <v/>
      </c>
      <c r="V567" s="96">
        <f>IF(AND(ISNUMBER(F567),ISNUMBER(H567)),IF(H567&gt;0,1,0),0)</f>
        <v>0</v>
      </c>
      <c r="W567" s="96" t="str">
        <f>IF(T567=1,INDEX('ITENS_MTR'!$AU$6:$AU$1005,S567)&amp;"","")</f>
        <v/>
      </c>
      <c r="X567" s="96">
        <f>IF(AND(Q567=1,T567=1,I567&lt;&gt;"",W567&lt;&gt;""),IF(I567&lt;&gt;W567,1,0),0)</f>
        <v>0</v>
      </c>
      <c r="Y567" s="96">
        <f>IF(N567=0,0,IF(OR(Q567=0,T567=0,V567=0,AND(X567=1,J567&lt;&gt;"Sim")),1,0))</f>
        <v>0</v>
      </c>
      <c r="Z567" s="96">
        <f>IF(Q567=1,INDEX('CDFs'!$W$6:$W$505,P567),0)</f>
        <v>0</v>
      </c>
      <c r="AA567" s="96">
        <f>IF(AND(N567=1,Y567=0,Z567=1,J567="Sim"),1,0)</f>
        <v>0</v>
      </c>
      <c r="AB567" s="96">
        <f>IF(AND(N567=1,O567&lt;&gt;"",D567&lt;&gt;""),IF(COUNTIFS($O$6:O567,O567,$D$6:D567,D567)=1,1,0),0)</f>
        <v>0</v>
      </c>
      <c r="AC567" s="96">
        <f>IF(T567=1,INDEX('ITENS_MTR'!$AL$6:$AL$1005,S567),0)</f>
        <v>0</v>
      </c>
    </row>
    <row r="568">
      <c r="A568" s="89" t="inlineStr">
        <is>
          <t>VIN-000563</t>
        </is>
      </c>
      <c r="B568" s="91" t="n"/>
      <c r="C568" s="91" t="n"/>
      <c r="D568" s="94" t="str">
        <f>IF(T568=1,INDEX('ITENS_MTR'!$S$6:$S$1005,S568)&amp;"","")</f>
        <v/>
      </c>
      <c r="E568" s="94" t="str">
        <f>IF(T568=1,INDEX('ITENS_MTR'!$C$6:$C$1005,S568)&amp;"","")</f>
        <v/>
      </c>
      <c r="F568" s="98" t="n"/>
      <c r="G568" s="91" t="n"/>
      <c r="H568" s="93" t="str">
        <f>IF(N568=0,"",IF(NOT(ISNUMBER(F568)),"",IF(ISNUMBER(U568),F568*U568,"UNIDADE A CONFERIR")))</f>
        <v/>
      </c>
      <c r="I568" s="94" t="str">
        <f>IF(Q568=1,INDEX('CDFs'!$F$6:$F$505,P568)&amp;"","")</f>
        <v/>
      </c>
      <c r="J568" s="91" t="n"/>
      <c r="K568" s="91" t="n"/>
      <c r="L568" s="94" t="str">
        <f>IF(N568=0,"",IF(NOT(ISNUMBER(F568)),"Quantidade não informada",IF(F568&lt;=0,"Quantidade não positiva",IF(G568="","Unidade não informada",IF(NOT(ISNUMBER(H568)),"Unidade a conferir",IF(AC568=1,"REVISAR VÍNCULO: soma vinculada maior que a referência do item","OK"))))))</f>
        <v/>
      </c>
      <c r="M568" s="94" t="str">
        <f>IF(N568=0,"",IF(B568="","CDF não informado",IF(Q568=0,"REVISAR VÍNCULO: CDF inexistente",IF(C568="","Item não informado",IF(T568=0,"REVISAR VÍNCULO: item inexistente",IF(AND(X568=1,J568&lt;&gt;"Sim"),"REVISAR VÍNCULO: destinador diferente do MTR",IF(X568=1,"Destinador diferente do MTR (analisado)","OK")))))))</f>
        <v/>
      </c>
      <c r="N568" s="96">
        <f>IF(COUNTA(B568:C568,F568:G568,J568:K568)&gt;0,1,0)</f>
        <v>0</v>
      </c>
      <c r="O568" s="96" t="str">
        <f>IF(B568="","",TRIM(LEFT(B568,FIND(" |",B568&amp;" |")-1)))</f>
        <v/>
      </c>
      <c r="P568" s="96" t="str">
        <f>IF(O568="","",IFERROR(MATCH(O568,'CDFs'!$A$6:$A$505,0),""))</f>
        <v/>
      </c>
      <c r="Q568" s="96">
        <f>IF(P568="",0,IF(INDEX('CDFs'!$S$6:$S$505,P568)=1,1,0))</f>
        <v>0</v>
      </c>
      <c r="R568" s="96" t="str">
        <f>IF(C568="","",TRIM(LEFT(C568,FIND(" |",C568&amp;" |")-1)))</f>
        <v/>
      </c>
      <c r="S568" s="96" t="str">
        <f>IF(R568="","",IFERROR(MATCH(R568,'ITENS_MTR'!$A$6:$A$1005,0),""))</f>
        <v/>
      </c>
      <c r="T568" s="96">
        <f>IF(S568="",0,IF(INDEX('ITENS_MTR'!$R$6:$R$1005,S568)=1,1,0))</f>
        <v>0</v>
      </c>
      <c r="U568" s="96" t="str">
        <f>IF(G568="","",IFERROR(IF(ISNUMBER(INDEX(cfg_fac,MATCH(G568,cfg_units,0))),IF(INDEX(cfg_fac,MATCH(G568,cfg_units,0))&gt;0,INDEX(cfg_fac,MATCH(G568,cfg_units,0)),""),""),""))</f>
        <v/>
      </c>
      <c r="V568" s="96">
        <f>IF(AND(ISNUMBER(F568),ISNUMBER(H568)),IF(H568&gt;0,1,0),0)</f>
        <v>0</v>
      </c>
      <c r="W568" s="96" t="str">
        <f>IF(T568=1,INDEX('ITENS_MTR'!$AU$6:$AU$1005,S568)&amp;"","")</f>
        <v/>
      </c>
      <c r="X568" s="96">
        <f>IF(AND(Q568=1,T568=1,I568&lt;&gt;"",W568&lt;&gt;""),IF(I568&lt;&gt;W568,1,0),0)</f>
        <v>0</v>
      </c>
      <c r="Y568" s="96">
        <f>IF(N568=0,0,IF(OR(Q568=0,T568=0,V568=0,AND(X568=1,J568&lt;&gt;"Sim")),1,0))</f>
        <v>0</v>
      </c>
      <c r="Z568" s="96">
        <f>IF(Q568=1,INDEX('CDFs'!$W$6:$W$505,P568),0)</f>
        <v>0</v>
      </c>
      <c r="AA568" s="96">
        <f>IF(AND(N568=1,Y568=0,Z568=1,J568="Sim"),1,0)</f>
        <v>0</v>
      </c>
      <c r="AB568" s="96">
        <f>IF(AND(N568=1,O568&lt;&gt;"",D568&lt;&gt;""),IF(COUNTIFS($O$6:O568,O568,$D$6:D568,D568)=1,1,0),0)</f>
        <v>0</v>
      </c>
      <c r="AC568" s="96">
        <f>IF(T568=1,INDEX('ITENS_MTR'!$AL$6:$AL$1005,S568),0)</f>
        <v>0</v>
      </c>
    </row>
    <row r="569">
      <c r="A569" s="89" t="inlineStr">
        <is>
          <t>VIN-000564</t>
        </is>
      </c>
      <c r="B569" s="91" t="n"/>
      <c r="C569" s="91" t="n"/>
      <c r="D569" s="94" t="str">
        <f>IF(T569=1,INDEX('ITENS_MTR'!$S$6:$S$1005,S569)&amp;"","")</f>
        <v/>
      </c>
      <c r="E569" s="94" t="str">
        <f>IF(T569=1,INDEX('ITENS_MTR'!$C$6:$C$1005,S569)&amp;"","")</f>
        <v/>
      </c>
      <c r="F569" s="98" t="n"/>
      <c r="G569" s="91" t="n"/>
      <c r="H569" s="93" t="str">
        <f>IF(N569=0,"",IF(NOT(ISNUMBER(F569)),"",IF(ISNUMBER(U569),F569*U569,"UNIDADE A CONFERIR")))</f>
        <v/>
      </c>
      <c r="I569" s="94" t="str">
        <f>IF(Q569=1,INDEX('CDFs'!$F$6:$F$505,P569)&amp;"","")</f>
        <v/>
      </c>
      <c r="J569" s="91" t="n"/>
      <c r="K569" s="91" t="n"/>
      <c r="L569" s="94" t="str">
        <f>IF(N569=0,"",IF(NOT(ISNUMBER(F569)),"Quantidade não informada",IF(F569&lt;=0,"Quantidade não positiva",IF(G569="","Unidade não informada",IF(NOT(ISNUMBER(H569)),"Unidade a conferir",IF(AC569=1,"REVISAR VÍNCULO: soma vinculada maior que a referência do item","OK"))))))</f>
        <v/>
      </c>
      <c r="M569" s="94" t="str">
        <f>IF(N569=0,"",IF(B569="","CDF não informado",IF(Q569=0,"REVISAR VÍNCULO: CDF inexistente",IF(C569="","Item não informado",IF(T569=0,"REVISAR VÍNCULO: item inexistente",IF(AND(X569=1,J569&lt;&gt;"Sim"),"REVISAR VÍNCULO: destinador diferente do MTR",IF(X569=1,"Destinador diferente do MTR (analisado)","OK")))))))</f>
        <v/>
      </c>
      <c r="N569" s="96">
        <f>IF(COUNTA(B569:C569,F569:G569,J569:K569)&gt;0,1,0)</f>
        <v>0</v>
      </c>
      <c r="O569" s="96" t="str">
        <f>IF(B569="","",TRIM(LEFT(B569,FIND(" |",B569&amp;" |")-1)))</f>
        <v/>
      </c>
      <c r="P569" s="96" t="str">
        <f>IF(O569="","",IFERROR(MATCH(O569,'CDFs'!$A$6:$A$505,0),""))</f>
        <v/>
      </c>
      <c r="Q569" s="96">
        <f>IF(P569="",0,IF(INDEX('CDFs'!$S$6:$S$505,P569)=1,1,0))</f>
        <v>0</v>
      </c>
      <c r="R569" s="96" t="str">
        <f>IF(C569="","",TRIM(LEFT(C569,FIND(" |",C569&amp;" |")-1)))</f>
        <v/>
      </c>
      <c r="S569" s="96" t="str">
        <f>IF(R569="","",IFERROR(MATCH(R569,'ITENS_MTR'!$A$6:$A$1005,0),""))</f>
        <v/>
      </c>
      <c r="T569" s="96">
        <f>IF(S569="",0,IF(INDEX('ITENS_MTR'!$R$6:$R$1005,S569)=1,1,0))</f>
        <v>0</v>
      </c>
      <c r="U569" s="96" t="str">
        <f>IF(G569="","",IFERROR(IF(ISNUMBER(INDEX(cfg_fac,MATCH(G569,cfg_units,0))),IF(INDEX(cfg_fac,MATCH(G569,cfg_units,0))&gt;0,INDEX(cfg_fac,MATCH(G569,cfg_units,0)),""),""),""))</f>
        <v/>
      </c>
      <c r="V569" s="96">
        <f>IF(AND(ISNUMBER(F569),ISNUMBER(H569)),IF(H569&gt;0,1,0),0)</f>
        <v>0</v>
      </c>
      <c r="W569" s="96" t="str">
        <f>IF(T569=1,INDEX('ITENS_MTR'!$AU$6:$AU$1005,S569)&amp;"","")</f>
        <v/>
      </c>
      <c r="X569" s="96">
        <f>IF(AND(Q569=1,T569=1,I569&lt;&gt;"",W569&lt;&gt;""),IF(I569&lt;&gt;W569,1,0),0)</f>
        <v>0</v>
      </c>
      <c r="Y569" s="96">
        <f>IF(N569=0,0,IF(OR(Q569=0,T569=0,V569=0,AND(X569=1,J569&lt;&gt;"Sim")),1,0))</f>
        <v>0</v>
      </c>
      <c r="Z569" s="96">
        <f>IF(Q569=1,INDEX('CDFs'!$W$6:$W$505,P569),0)</f>
        <v>0</v>
      </c>
      <c r="AA569" s="96">
        <f>IF(AND(N569=1,Y569=0,Z569=1,J569="Sim"),1,0)</f>
        <v>0</v>
      </c>
      <c r="AB569" s="96">
        <f>IF(AND(N569=1,O569&lt;&gt;"",D569&lt;&gt;""),IF(COUNTIFS($O$6:O569,O569,$D$6:D569,D569)=1,1,0),0)</f>
        <v>0</v>
      </c>
      <c r="AC569" s="96">
        <f>IF(T569=1,INDEX('ITENS_MTR'!$AL$6:$AL$1005,S569),0)</f>
        <v>0</v>
      </c>
    </row>
    <row r="570">
      <c r="A570" s="89" t="inlineStr">
        <is>
          <t>VIN-000565</t>
        </is>
      </c>
      <c r="B570" s="91" t="n"/>
      <c r="C570" s="91" t="n"/>
      <c r="D570" s="94" t="str">
        <f>IF(T570=1,INDEX('ITENS_MTR'!$S$6:$S$1005,S570)&amp;"","")</f>
        <v/>
      </c>
      <c r="E570" s="94" t="str">
        <f>IF(T570=1,INDEX('ITENS_MTR'!$C$6:$C$1005,S570)&amp;"","")</f>
        <v/>
      </c>
      <c r="F570" s="98" t="n"/>
      <c r="G570" s="91" t="n"/>
      <c r="H570" s="93" t="str">
        <f>IF(N570=0,"",IF(NOT(ISNUMBER(F570)),"",IF(ISNUMBER(U570),F570*U570,"UNIDADE A CONFERIR")))</f>
        <v/>
      </c>
      <c r="I570" s="94" t="str">
        <f>IF(Q570=1,INDEX('CDFs'!$F$6:$F$505,P570)&amp;"","")</f>
        <v/>
      </c>
      <c r="J570" s="91" t="n"/>
      <c r="K570" s="91" t="n"/>
      <c r="L570" s="94" t="str">
        <f>IF(N570=0,"",IF(NOT(ISNUMBER(F570)),"Quantidade não informada",IF(F570&lt;=0,"Quantidade não positiva",IF(G570="","Unidade não informada",IF(NOT(ISNUMBER(H570)),"Unidade a conferir",IF(AC570=1,"REVISAR VÍNCULO: soma vinculada maior que a referência do item","OK"))))))</f>
        <v/>
      </c>
      <c r="M570" s="94" t="str">
        <f>IF(N570=0,"",IF(B570="","CDF não informado",IF(Q570=0,"REVISAR VÍNCULO: CDF inexistente",IF(C570="","Item não informado",IF(T570=0,"REVISAR VÍNCULO: item inexistente",IF(AND(X570=1,J570&lt;&gt;"Sim"),"REVISAR VÍNCULO: destinador diferente do MTR",IF(X570=1,"Destinador diferente do MTR (analisado)","OK")))))))</f>
        <v/>
      </c>
      <c r="N570" s="96">
        <f>IF(COUNTA(B570:C570,F570:G570,J570:K570)&gt;0,1,0)</f>
        <v>0</v>
      </c>
      <c r="O570" s="96" t="str">
        <f>IF(B570="","",TRIM(LEFT(B570,FIND(" |",B570&amp;" |")-1)))</f>
        <v/>
      </c>
      <c r="P570" s="96" t="str">
        <f>IF(O570="","",IFERROR(MATCH(O570,'CDFs'!$A$6:$A$505,0),""))</f>
        <v/>
      </c>
      <c r="Q570" s="96">
        <f>IF(P570="",0,IF(INDEX('CDFs'!$S$6:$S$505,P570)=1,1,0))</f>
        <v>0</v>
      </c>
      <c r="R570" s="96" t="str">
        <f>IF(C570="","",TRIM(LEFT(C570,FIND(" |",C570&amp;" |")-1)))</f>
        <v/>
      </c>
      <c r="S570" s="96" t="str">
        <f>IF(R570="","",IFERROR(MATCH(R570,'ITENS_MTR'!$A$6:$A$1005,0),""))</f>
        <v/>
      </c>
      <c r="T570" s="96">
        <f>IF(S570="",0,IF(INDEX('ITENS_MTR'!$R$6:$R$1005,S570)=1,1,0))</f>
        <v>0</v>
      </c>
      <c r="U570" s="96" t="str">
        <f>IF(G570="","",IFERROR(IF(ISNUMBER(INDEX(cfg_fac,MATCH(G570,cfg_units,0))),IF(INDEX(cfg_fac,MATCH(G570,cfg_units,0))&gt;0,INDEX(cfg_fac,MATCH(G570,cfg_units,0)),""),""),""))</f>
        <v/>
      </c>
      <c r="V570" s="96">
        <f>IF(AND(ISNUMBER(F570),ISNUMBER(H570)),IF(H570&gt;0,1,0),0)</f>
        <v>0</v>
      </c>
      <c r="W570" s="96" t="str">
        <f>IF(T570=1,INDEX('ITENS_MTR'!$AU$6:$AU$1005,S570)&amp;"","")</f>
        <v/>
      </c>
      <c r="X570" s="96">
        <f>IF(AND(Q570=1,T570=1,I570&lt;&gt;"",W570&lt;&gt;""),IF(I570&lt;&gt;W570,1,0),0)</f>
        <v>0</v>
      </c>
      <c r="Y570" s="96">
        <f>IF(N570=0,0,IF(OR(Q570=0,T570=0,V570=0,AND(X570=1,J570&lt;&gt;"Sim")),1,0))</f>
        <v>0</v>
      </c>
      <c r="Z570" s="96">
        <f>IF(Q570=1,INDEX('CDFs'!$W$6:$W$505,P570),0)</f>
        <v>0</v>
      </c>
      <c r="AA570" s="96">
        <f>IF(AND(N570=1,Y570=0,Z570=1,J570="Sim"),1,0)</f>
        <v>0</v>
      </c>
      <c r="AB570" s="96">
        <f>IF(AND(N570=1,O570&lt;&gt;"",D570&lt;&gt;""),IF(COUNTIFS($O$6:O570,O570,$D$6:D570,D570)=1,1,0),0)</f>
        <v>0</v>
      </c>
      <c r="AC570" s="96">
        <f>IF(T570=1,INDEX('ITENS_MTR'!$AL$6:$AL$1005,S570),0)</f>
        <v>0</v>
      </c>
    </row>
    <row r="571">
      <c r="A571" s="89" t="inlineStr">
        <is>
          <t>VIN-000566</t>
        </is>
      </c>
      <c r="B571" s="91" t="n"/>
      <c r="C571" s="91" t="n"/>
      <c r="D571" s="94" t="str">
        <f>IF(T571=1,INDEX('ITENS_MTR'!$S$6:$S$1005,S571)&amp;"","")</f>
        <v/>
      </c>
      <c r="E571" s="94" t="str">
        <f>IF(T571=1,INDEX('ITENS_MTR'!$C$6:$C$1005,S571)&amp;"","")</f>
        <v/>
      </c>
      <c r="F571" s="98" t="n"/>
      <c r="G571" s="91" t="n"/>
      <c r="H571" s="93" t="str">
        <f>IF(N571=0,"",IF(NOT(ISNUMBER(F571)),"",IF(ISNUMBER(U571),F571*U571,"UNIDADE A CONFERIR")))</f>
        <v/>
      </c>
      <c r="I571" s="94" t="str">
        <f>IF(Q571=1,INDEX('CDFs'!$F$6:$F$505,P571)&amp;"","")</f>
        <v/>
      </c>
      <c r="J571" s="91" t="n"/>
      <c r="K571" s="91" t="n"/>
      <c r="L571" s="94" t="str">
        <f>IF(N571=0,"",IF(NOT(ISNUMBER(F571)),"Quantidade não informada",IF(F571&lt;=0,"Quantidade não positiva",IF(G571="","Unidade não informada",IF(NOT(ISNUMBER(H571)),"Unidade a conferir",IF(AC571=1,"REVISAR VÍNCULO: soma vinculada maior que a referência do item","OK"))))))</f>
        <v/>
      </c>
      <c r="M571" s="94" t="str">
        <f>IF(N571=0,"",IF(B571="","CDF não informado",IF(Q571=0,"REVISAR VÍNCULO: CDF inexistente",IF(C571="","Item não informado",IF(T571=0,"REVISAR VÍNCULO: item inexistente",IF(AND(X571=1,J571&lt;&gt;"Sim"),"REVISAR VÍNCULO: destinador diferente do MTR",IF(X571=1,"Destinador diferente do MTR (analisado)","OK")))))))</f>
        <v/>
      </c>
      <c r="N571" s="96">
        <f>IF(COUNTA(B571:C571,F571:G571,J571:K571)&gt;0,1,0)</f>
        <v>0</v>
      </c>
      <c r="O571" s="96" t="str">
        <f>IF(B571="","",TRIM(LEFT(B571,FIND(" |",B571&amp;" |")-1)))</f>
        <v/>
      </c>
      <c r="P571" s="96" t="str">
        <f>IF(O571="","",IFERROR(MATCH(O571,'CDFs'!$A$6:$A$505,0),""))</f>
        <v/>
      </c>
      <c r="Q571" s="96">
        <f>IF(P571="",0,IF(INDEX('CDFs'!$S$6:$S$505,P571)=1,1,0))</f>
        <v>0</v>
      </c>
      <c r="R571" s="96" t="str">
        <f>IF(C571="","",TRIM(LEFT(C571,FIND(" |",C571&amp;" |")-1)))</f>
        <v/>
      </c>
      <c r="S571" s="96" t="str">
        <f>IF(R571="","",IFERROR(MATCH(R571,'ITENS_MTR'!$A$6:$A$1005,0),""))</f>
        <v/>
      </c>
      <c r="T571" s="96">
        <f>IF(S571="",0,IF(INDEX('ITENS_MTR'!$R$6:$R$1005,S571)=1,1,0))</f>
        <v>0</v>
      </c>
      <c r="U571" s="96" t="str">
        <f>IF(G571="","",IFERROR(IF(ISNUMBER(INDEX(cfg_fac,MATCH(G571,cfg_units,0))),IF(INDEX(cfg_fac,MATCH(G571,cfg_units,0))&gt;0,INDEX(cfg_fac,MATCH(G571,cfg_units,0)),""),""),""))</f>
        <v/>
      </c>
      <c r="V571" s="96">
        <f>IF(AND(ISNUMBER(F571),ISNUMBER(H571)),IF(H571&gt;0,1,0),0)</f>
        <v>0</v>
      </c>
      <c r="W571" s="96" t="str">
        <f>IF(T571=1,INDEX('ITENS_MTR'!$AU$6:$AU$1005,S571)&amp;"","")</f>
        <v/>
      </c>
      <c r="X571" s="96">
        <f>IF(AND(Q571=1,T571=1,I571&lt;&gt;"",W571&lt;&gt;""),IF(I571&lt;&gt;W571,1,0),0)</f>
        <v>0</v>
      </c>
      <c r="Y571" s="96">
        <f>IF(N571=0,0,IF(OR(Q571=0,T571=0,V571=0,AND(X571=1,J571&lt;&gt;"Sim")),1,0))</f>
        <v>0</v>
      </c>
      <c r="Z571" s="96">
        <f>IF(Q571=1,INDEX('CDFs'!$W$6:$W$505,P571),0)</f>
        <v>0</v>
      </c>
      <c r="AA571" s="96">
        <f>IF(AND(N571=1,Y571=0,Z571=1,J571="Sim"),1,0)</f>
        <v>0</v>
      </c>
      <c r="AB571" s="96">
        <f>IF(AND(N571=1,O571&lt;&gt;"",D571&lt;&gt;""),IF(COUNTIFS($O$6:O571,O571,$D$6:D571,D571)=1,1,0),0)</f>
        <v>0</v>
      </c>
      <c r="AC571" s="96">
        <f>IF(T571=1,INDEX('ITENS_MTR'!$AL$6:$AL$1005,S571),0)</f>
        <v>0</v>
      </c>
    </row>
    <row r="572">
      <c r="A572" s="89" t="inlineStr">
        <is>
          <t>VIN-000567</t>
        </is>
      </c>
      <c r="B572" s="91" t="n"/>
      <c r="C572" s="91" t="n"/>
      <c r="D572" s="94" t="str">
        <f>IF(T572=1,INDEX('ITENS_MTR'!$S$6:$S$1005,S572)&amp;"","")</f>
        <v/>
      </c>
      <c r="E572" s="94" t="str">
        <f>IF(T572=1,INDEX('ITENS_MTR'!$C$6:$C$1005,S572)&amp;"","")</f>
        <v/>
      </c>
      <c r="F572" s="98" t="n"/>
      <c r="G572" s="91" t="n"/>
      <c r="H572" s="93" t="str">
        <f>IF(N572=0,"",IF(NOT(ISNUMBER(F572)),"",IF(ISNUMBER(U572),F572*U572,"UNIDADE A CONFERIR")))</f>
        <v/>
      </c>
      <c r="I572" s="94" t="str">
        <f>IF(Q572=1,INDEX('CDFs'!$F$6:$F$505,P572)&amp;"","")</f>
        <v/>
      </c>
      <c r="J572" s="91" t="n"/>
      <c r="K572" s="91" t="n"/>
      <c r="L572" s="94" t="str">
        <f>IF(N572=0,"",IF(NOT(ISNUMBER(F572)),"Quantidade não informada",IF(F572&lt;=0,"Quantidade não positiva",IF(G572="","Unidade não informada",IF(NOT(ISNUMBER(H572)),"Unidade a conferir",IF(AC572=1,"REVISAR VÍNCULO: soma vinculada maior que a referência do item","OK"))))))</f>
        <v/>
      </c>
      <c r="M572" s="94" t="str">
        <f>IF(N572=0,"",IF(B572="","CDF não informado",IF(Q572=0,"REVISAR VÍNCULO: CDF inexistente",IF(C572="","Item não informado",IF(T572=0,"REVISAR VÍNCULO: item inexistente",IF(AND(X572=1,J572&lt;&gt;"Sim"),"REVISAR VÍNCULO: destinador diferente do MTR",IF(X572=1,"Destinador diferente do MTR (analisado)","OK")))))))</f>
        <v/>
      </c>
      <c r="N572" s="96">
        <f>IF(COUNTA(B572:C572,F572:G572,J572:K572)&gt;0,1,0)</f>
        <v>0</v>
      </c>
      <c r="O572" s="96" t="str">
        <f>IF(B572="","",TRIM(LEFT(B572,FIND(" |",B572&amp;" |")-1)))</f>
        <v/>
      </c>
      <c r="P572" s="96" t="str">
        <f>IF(O572="","",IFERROR(MATCH(O572,'CDFs'!$A$6:$A$505,0),""))</f>
        <v/>
      </c>
      <c r="Q572" s="96">
        <f>IF(P572="",0,IF(INDEX('CDFs'!$S$6:$S$505,P572)=1,1,0))</f>
        <v>0</v>
      </c>
      <c r="R572" s="96" t="str">
        <f>IF(C572="","",TRIM(LEFT(C572,FIND(" |",C572&amp;" |")-1)))</f>
        <v/>
      </c>
      <c r="S572" s="96" t="str">
        <f>IF(R572="","",IFERROR(MATCH(R572,'ITENS_MTR'!$A$6:$A$1005,0),""))</f>
        <v/>
      </c>
      <c r="T572" s="96">
        <f>IF(S572="",0,IF(INDEX('ITENS_MTR'!$R$6:$R$1005,S572)=1,1,0))</f>
        <v>0</v>
      </c>
      <c r="U572" s="96" t="str">
        <f>IF(G572="","",IFERROR(IF(ISNUMBER(INDEX(cfg_fac,MATCH(G572,cfg_units,0))),IF(INDEX(cfg_fac,MATCH(G572,cfg_units,0))&gt;0,INDEX(cfg_fac,MATCH(G572,cfg_units,0)),""),""),""))</f>
        <v/>
      </c>
      <c r="V572" s="96">
        <f>IF(AND(ISNUMBER(F572),ISNUMBER(H572)),IF(H572&gt;0,1,0),0)</f>
        <v>0</v>
      </c>
      <c r="W572" s="96" t="str">
        <f>IF(T572=1,INDEX('ITENS_MTR'!$AU$6:$AU$1005,S572)&amp;"","")</f>
        <v/>
      </c>
      <c r="X572" s="96">
        <f>IF(AND(Q572=1,T572=1,I572&lt;&gt;"",W572&lt;&gt;""),IF(I572&lt;&gt;W572,1,0),0)</f>
        <v>0</v>
      </c>
      <c r="Y572" s="96">
        <f>IF(N572=0,0,IF(OR(Q572=0,T572=0,V572=0,AND(X572=1,J572&lt;&gt;"Sim")),1,0))</f>
        <v>0</v>
      </c>
      <c r="Z572" s="96">
        <f>IF(Q572=1,INDEX('CDFs'!$W$6:$W$505,P572),0)</f>
        <v>0</v>
      </c>
      <c r="AA572" s="96">
        <f>IF(AND(N572=1,Y572=0,Z572=1,J572="Sim"),1,0)</f>
        <v>0</v>
      </c>
      <c r="AB572" s="96">
        <f>IF(AND(N572=1,O572&lt;&gt;"",D572&lt;&gt;""),IF(COUNTIFS($O$6:O572,O572,$D$6:D572,D572)=1,1,0),0)</f>
        <v>0</v>
      </c>
      <c r="AC572" s="96">
        <f>IF(T572=1,INDEX('ITENS_MTR'!$AL$6:$AL$1005,S572),0)</f>
        <v>0</v>
      </c>
    </row>
    <row r="573">
      <c r="A573" s="89" t="inlineStr">
        <is>
          <t>VIN-000568</t>
        </is>
      </c>
      <c r="B573" s="91" t="n"/>
      <c r="C573" s="91" t="n"/>
      <c r="D573" s="94" t="str">
        <f>IF(T573=1,INDEX('ITENS_MTR'!$S$6:$S$1005,S573)&amp;"","")</f>
        <v/>
      </c>
      <c r="E573" s="94" t="str">
        <f>IF(T573=1,INDEX('ITENS_MTR'!$C$6:$C$1005,S573)&amp;"","")</f>
        <v/>
      </c>
      <c r="F573" s="98" t="n"/>
      <c r="G573" s="91" t="n"/>
      <c r="H573" s="93" t="str">
        <f>IF(N573=0,"",IF(NOT(ISNUMBER(F573)),"",IF(ISNUMBER(U573),F573*U573,"UNIDADE A CONFERIR")))</f>
        <v/>
      </c>
      <c r="I573" s="94" t="str">
        <f>IF(Q573=1,INDEX('CDFs'!$F$6:$F$505,P573)&amp;"","")</f>
        <v/>
      </c>
      <c r="J573" s="91" t="n"/>
      <c r="K573" s="91" t="n"/>
      <c r="L573" s="94" t="str">
        <f>IF(N573=0,"",IF(NOT(ISNUMBER(F573)),"Quantidade não informada",IF(F573&lt;=0,"Quantidade não positiva",IF(G573="","Unidade não informada",IF(NOT(ISNUMBER(H573)),"Unidade a conferir",IF(AC573=1,"REVISAR VÍNCULO: soma vinculada maior que a referência do item","OK"))))))</f>
        <v/>
      </c>
      <c r="M573" s="94" t="str">
        <f>IF(N573=0,"",IF(B573="","CDF não informado",IF(Q573=0,"REVISAR VÍNCULO: CDF inexistente",IF(C573="","Item não informado",IF(T573=0,"REVISAR VÍNCULO: item inexistente",IF(AND(X573=1,J573&lt;&gt;"Sim"),"REVISAR VÍNCULO: destinador diferente do MTR",IF(X573=1,"Destinador diferente do MTR (analisado)","OK")))))))</f>
        <v/>
      </c>
      <c r="N573" s="96">
        <f>IF(COUNTA(B573:C573,F573:G573,J573:K573)&gt;0,1,0)</f>
        <v>0</v>
      </c>
      <c r="O573" s="96" t="str">
        <f>IF(B573="","",TRIM(LEFT(B573,FIND(" |",B573&amp;" |")-1)))</f>
        <v/>
      </c>
      <c r="P573" s="96" t="str">
        <f>IF(O573="","",IFERROR(MATCH(O573,'CDFs'!$A$6:$A$505,0),""))</f>
        <v/>
      </c>
      <c r="Q573" s="96">
        <f>IF(P573="",0,IF(INDEX('CDFs'!$S$6:$S$505,P573)=1,1,0))</f>
        <v>0</v>
      </c>
      <c r="R573" s="96" t="str">
        <f>IF(C573="","",TRIM(LEFT(C573,FIND(" |",C573&amp;" |")-1)))</f>
        <v/>
      </c>
      <c r="S573" s="96" t="str">
        <f>IF(R573="","",IFERROR(MATCH(R573,'ITENS_MTR'!$A$6:$A$1005,0),""))</f>
        <v/>
      </c>
      <c r="T573" s="96">
        <f>IF(S573="",0,IF(INDEX('ITENS_MTR'!$R$6:$R$1005,S573)=1,1,0))</f>
        <v>0</v>
      </c>
      <c r="U573" s="96" t="str">
        <f>IF(G573="","",IFERROR(IF(ISNUMBER(INDEX(cfg_fac,MATCH(G573,cfg_units,0))),IF(INDEX(cfg_fac,MATCH(G573,cfg_units,0))&gt;0,INDEX(cfg_fac,MATCH(G573,cfg_units,0)),""),""),""))</f>
        <v/>
      </c>
      <c r="V573" s="96">
        <f>IF(AND(ISNUMBER(F573),ISNUMBER(H573)),IF(H573&gt;0,1,0),0)</f>
        <v>0</v>
      </c>
      <c r="W573" s="96" t="str">
        <f>IF(T573=1,INDEX('ITENS_MTR'!$AU$6:$AU$1005,S573)&amp;"","")</f>
        <v/>
      </c>
      <c r="X573" s="96">
        <f>IF(AND(Q573=1,T573=1,I573&lt;&gt;"",W573&lt;&gt;""),IF(I573&lt;&gt;W573,1,0),0)</f>
        <v>0</v>
      </c>
      <c r="Y573" s="96">
        <f>IF(N573=0,0,IF(OR(Q573=0,T573=0,V573=0,AND(X573=1,J573&lt;&gt;"Sim")),1,0))</f>
        <v>0</v>
      </c>
      <c r="Z573" s="96">
        <f>IF(Q573=1,INDEX('CDFs'!$W$6:$W$505,P573),0)</f>
        <v>0</v>
      </c>
      <c r="AA573" s="96">
        <f>IF(AND(N573=1,Y573=0,Z573=1,J573="Sim"),1,0)</f>
        <v>0</v>
      </c>
      <c r="AB573" s="96">
        <f>IF(AND(N573=1,O573&lt;&gt;"",D573&lt;&gt;""),IF(COUNTIFS($O$6:O573,O573,$D$6:D573,D573)=1,1,0),0)</f>
        <v>0</v>
      </c>
      <c r="AC573" s="96">
        <f>IF(T573=1,INDEX('ITENS_MTR'!$AL$6:$AL$1005,S573),0)</f>
        <v>0</v>
      </c>
    </row>
    <row r="574">
      <c r="A574" s="89" t="inlineStr">
        <is>
          <t>VIN-000569</t>
        </is>
      </c>
      <c r="B574" s="91" t="n"/>
      <c r="C574" s="91" t="n"/>
      <c r="D574" s="94" t="str">
        <f>IF(T574=1,INDEX('ITENS_MTR'!$S$6:$S$1005,S574)&amp;"","")</f>
        <v/>
      </c>
      <c r="E574" s="94" t="str">
        <f>IF(T574=1,INDEX('ITENS_MTR'!$C$6:$C$1005,S574)&amp;"","")</f>
        <v/>
      </c>
      <c r="F574" s="98" t="n"/>
      <c r="G574" s="91" t="n"/>
      <c r="H574" s="93" t="str">
        <f>IF(N574=0,"",IF(NOT(ISNUMBER(F574)),"",IF(ISNUMBER(U574),F574*U574,"UNIDADE A CONFERIR")))</f>
        <v/>
      </c>
      <c r="I574" s="94" t="str">
        <f>IF(Q574=1,INDEX('CDFs'!$F$6:$F$505,P574)&amp;"","")</f>
        <v/>
      </c>
      <c r="J574" s="91" t="n"/>
      <c r="K574" s="91" t="n"/>
      <c r="L574" s="94" t="str">
        <f>IF(N574=0,"",IF(NOT(ISNUMBER(F574)),"Quantidade não informada",IF(F574&lt;=0,"Quantidade não positiva",IF(G574="","Unidade não informada",IF(NOT(ISNUMBER(H574)),"Unidade a conferir",IF(AC574=1,"REVISAR VÍNCULO: soma vinculada maior que a referência do item","OK"))))))</f>
        <v/>
      </c>
      <c r="M574" s="94" t="str">
        <f>IF(N574=0,"",IF(B574="","CDF não informado",IF(Q574=0,"REVISAR VÍNCULO: CDF inexistente",IF(C574="","Item não informado",IF(T574=0,"REVISAR VÍNCULO: item inexistente",IF(AND(X574=1,J574&lt;&gt;"Sim"),"REVISAR VÍNCULO: destinador diferente do MTR",IF(X574=1,"Destinador diferente do MTR (analisado)","OK")))))))</f>
        <v/>
      </c>
      <c r="N574" s="96">
        <f>IF(COUNTA(B574:C574,F574:G574,J574:K574)&gt;0,1,0)</f>
        <v>0</v>
      </c>
      <c r="O574" s="96" t="str">
        <f>IF(B574="","",TRIM(LEFT(B574,FIND(" |",B574&amp;" |")-1)))</f>
        <v/>
      </c>
      <c r="P574" s="96" t="str">
        <f>IF(O574="","",IFERROR(MATCH(O574,'CDFs'!$A$6:$A$505,0),""))</f>
        <v/>
      </c>
      <c r="Q574" s="96">
        <f>IF(P574="",0,IF(INDEX('CDFs'!$S$6:$S$505,P574)=1,1,0))</f>
        <v>0</v>
      </c>
      <c r="R574" s="96" t="str">
        <f>IF(C574="","",TRIM(LEFT(C574,FIND(" |",C574&amp;" |")-1)))</f>
        <v/>
      </c>
      <c r="S574" s="96" t="str">
        <f>IF(R574="","",IFERROR(MATCH(R574,'ITENS_MTR'!$A$6:$A$1005,0),""))</f>
        <v/>
      </c>
      <c r="T574" s="96">
        <f>IF(S574="",0,IF(INDEX('ITENS_MTR'!$R$6:$R$1005,S574)=1,1,0))</f>
        <v>0</v>
      </c>
      <c r="U574" s="96" t="str">
        <f>IF(G574="","",IFERROR(IF(ISNUMBER(INDEX(cfg_fac,MATCH(G574,cfg_units,0))),IF(INDEX(cfg_fac,MATCH(G574,cfg_units,0))&gt;0,INDEX(cfg_fac,MATCH(G574,cfg_units,0)),""),""),""))</f>
        <v/>
      </c>
      <c r="V574" s="96">
        <f>IF(AND(ISNUMBER(F574),ISNUMBER(H574)),IF(H574&gt;0,1,0),0)</f>
        <v>0</v>
      </c>
      <c r="W574" s="96" t="str">
        <f>IF(T574=1,INDEX('ITENS_MTR'!$AU$6:$AU$1005,S574)&amp;"","")</f>
        <v/>
      </c>
      <c r="X574" s="96">
        <f>IF(AND(Q574=1,T574=1,I574&lt;&gt;"",W574&lt;&gt;""),IF(I574&lt;&gt;W574,1,0),0)</f>
        <v>0</v>
      </c>
      <c r="Y574" s="96">
        <f>IF(N574=0,0,IF(OR(Q574=0,T574=0,V574=0,AND(X574=1,J574&lt;&gt;"Sim")),1,0))</f>
        <v>0</v>
      </c>
      <c r="Z574" s="96">
        <f>IF(Q574=1,INDEX('CDFs'!$W$6:$W$505,P574),0)</f>
        <v>0</v>
      </c>
      <c r="AA574" s="96">
        <f>IF(AND(N574=1,Y574=0,Z574=1,J574="Sim"),1,0)</f>
        <v>0</v>
      </c>
      <c r="AB574" s="96">
        <f>IF(AND(N574=1,O574&lt;&gt;"",D574&lt;&gt;""),IF(COUNTIFS($O$6:O574,O574,$D$6:D574,D574)=1,1,0),0)</f>
        <v>0</v>
      </c>
      <c r="AC574" s="96">
        <f>IF(T574=1,INDEX('ITENS_MTR'!$AL$6:$AL$1005,S574),0)</f>
        <v>0</v>
      </c>
    </row>
    <row r="575">
      <c r="A575" s="89" t="inlineStr">
        <is>
          <t>VIN-000570</t>
        </is>
      </c>
      <c r="B575" s="91" t="n"/>
      <c r="C575" s="91" t="n"/>
      <c r="D575" s="94" t="str">
        <f>IF(T575=1,INDEX('ITENS_MTR'!$S$6:$S$1005,S575)&amp;"","")</f>
        <v/>
      </c>
      <c r="E575" s="94" t="str">
        <f>IF(T575=1,INDEX('ITENS_MTR'!$C$6:$C$1005,S575)&amp;"","")</f>
        <v/>
      </c>
      <c r="F575" s="98" t="n"/>
      <c r="G575" s="91" t="n"/>
      <c r="H575" s="93" t="str">
        <f>IF(N575=0,"",IF(NOT(ISNUMBER(F575)),"",IF(ISNUMBER(U575),F575*U575,"UNIDADE A CONFERIR")))</f>
        <v/>
      </c>
      <c r="I575" s="94" t="str">
        <f>IF(Q575=1,INDEX('CDFs'!$F$6:$F$505,P575)&amp;"","")</f>
        <v/>
      </c>
      <c r="J575" s="91" t="n"/>
      <c r="K575" s="91" t="n"/>
      <c r="L575" s="94" t="str">
        <f>IF(N575=0,"",IF(NOT(ISNUMBER(F575)),"Quantidade não informada",IF(F575&lt;=0,"Quantidade não positiva",IF(G575="","Unidade não informada",IF(NOT(ISNUMBER(H575)),"Unidade a conferir",IF(AC575=1,"REVISAR VÍNCULO: soma vinculada maior que a referência do item","OK"))))))</f>
        <v/>
      </c>
      <c r="M575" s="94" t="str">
        <f>IF(N575=0,"",IF(B575="","CDF não informado",IF(Q575=0,"REVISAR VÍNCULO: CDF inexistente",IF(C575="","Item não informado",IF(T575=0,"REVISAR VÍNCULO: item inexistente",IF(AND(X575=1,J575&lt;&gt;"Sim"),"REVISAR VÍNCULO: destinador diferente do MTR",IF(X575=1,"Destinador diferente do MTR (analisado)","OK")))))))</f>
        <v/>
      </c>
      <c r="N575" s="96">
        <f>IF(COUNTA(B575:C575,F575:G575,J575:K575)&gt;0,1,0)</f>
        <v>0</v>
      </c>
      <c r="O575" s="96" t="str">
        <f>IF(B575="","",TRIM(LEFT(B575,FIND(" |",B575&amp;" |")-1)))</f>
        <v/>
      </c>
      <c r="P575" s="96" t="str">
        <f>IF(O575="","",IFERROR(MATCH(O575,'CDFs'!$A$6:$A$505,0),""))</f>
        <v/>
      </c>
      <c r="Q575" s="96">
        <f>IF(P575="",0,IF(INDEX('CDFs'!$S$6:$S$505,P575)=1,1,0))</f>
        <v>0</v>
      </c>
      <c r="R575" s="96" t="str">
        <f>IF(C575="","",TRIM(LEFT(C575,FIND(" |",C575&amp;" |")-1)))</f>
        <v/>
      </c>
      <c r="S575" s="96" t="str">
        <f>IF(R575="","",IFERROR(MATCH(R575,'ITENS_MTR'!$A$6:$A$1005,0),""))</f>
        <v/>
      </c>
      <c r="T575" s="96">
        <f>IF(S575="",0,IF(INDEX('ITENS_MTR'!$R$6:$R$1005,S575)=1,1,0))</f>
        <v>0</v>
      </c>
      <c r="U575" s="96" t="str">
        <f>IF(G575="","",IFERROR(IF(ISNUMBER(INDEX(cfg_fac,MATCH(G575,cfg_units,0))),IF(INDEX(cfg_fac,MATCH(G575,cfg_units,0))&gt;0,INDEX(cfg_fac,MATCH(G575,cfg_units,0)),""),""),""))</f>
        <v/>
      </c>
      <c r="V575" s="96">
        <f>IF(AND(ISNUMBER(F575),ISNUMBER(H575)),IF(H575&gt;0,1,0),0)</f>
        <v>0</v>
      </c>
      <c r="W575" s="96" t="str">
        <f>IF(T575=1,INDEX('ITENS_MTR'!$AU$6:$AU$1005,S575)&amp;"","")</f>
        <v/>
      </c>
      <c r="X575" s="96">
        <f>IF(AND(Q575=1,T575=1,I575&lt;&gt;"",W575&lt;&gt;""),IF(I575&lt;&gt;W575,1,0),0)</f>
        <v>0</v>
      </c>
      <c r="Y575" s="96">
        <f>IF(N575=0,0,IF(OR(Q575=0,T575=0,V575=0,AND(X575=1,J575&lt;&gt;"Sim")),1,0))</f>
        <v>0</v>
      </c>
      <c r="Z575" s="96">
        <f>IF(Q575=1,INDEX('CDFs'!$W$6:$W$505,P575),0)</f>
        <v>0</v>
      </c>
      <c r="AA575" s="96">
        <f>IF(AND(N575=1,Y575=0,Z575=1,J575="Sim"),1,0)</f>
        <v>0</v>
      </c>
      <c r="AB575" s="96">
        <f>IF(AND(N575=1,O575&lt;&gt;"",D575&lt;&gt;""),IF(COUNTIFS($O$6:O575,O575,$D$6:D575,D575)=1,1,0),0)</f>
        <v>0</v>
      </c>
      <c r="AC575" s="96">
        <f>IF(T575=1,INDEX('ITENS_MTR'!$AL$6:$AL$1005,S575),0)</f>
        <v>0</v>
      </c>
    </row>
    <row r="576">
      <c r="A576" s="89" t="inlineStr">
        <is>
          <t>VIN-000571</t>
        </is>
      </c>
      <c r="B576" s="91" t="n"/>
      <c r="C576" s="91" t="n"/>
      <c r="D576" s="94" t="str">
        <f>IF(T576=1,INDEX('ITENS_MTR'!$S$6:$S$1005,S576)&amp;"","")</f>
        <v/>
      </c>
      <c r="E576" s="94" t="str">
        <f>IF(T576=1,INDEX('ITENS_MTR'!$C$6:$C$1005,S576)&amp;"","")</f>
        <v/>
      </c>
      <c r="F576" s="98" t="n"/>
      <c r="G576" s="91" t="n"/>
      <c r="H576" s="93" t="str">
        <f>IF(N576=0,"",IF(NOT(ISNUMBER(F576)),"",IF(ISNUMBER(U576),F576*U576,"UNIDADE A CONFERIR")))</f>
        <v/>
      </c>
      <c r="I576" s="94" t="str">
        <f>IF(Q576=1,INDEX('CDFs'!$F$6:$F$505,P576)&amp;"","")</f>
        <v/>
      </c>
      <c r="J576" s="91" t="n"/>
      <c r="K576" s="91" t="n"/>
      <c r="L576" s="94" t="str">
        <f>IF(N576=0,"",IF(NOT(ISNUMBER(F576)),"Quantidade não informada",IF(F576&lt;=0,"Quantidade não positiva",IF(G576="","Unidade não informada",IF(NOT(ISNUMBER(H576)),"Unidade a conferir",IF(AC576=1,"REVISAR VÍNCULO: soma vinculada maior que a referência do item","OK"))))))</f>
        <v/>
      </c>
      <c r="M576" s="94" t="str">
        <f>IF(N576=0,"",IF(B576="","CDF não informado",IF(Q576=0,"REVISAR VÍNCULO: CDF inexistente",IF(C576="","Item não informado",IF(T576=0,"REVISAR VÍNCULO: item inexistente",IF(AND(X576=1,J576&lt;&gt;"Sim"),"REVISAR VÍNCULO: destinador diferente do MTR",IF(X576=1,"Destinador diferente do MTR (analisado)","OK")))))))</f>
        <v/>
      </c>
      <c r="N576" s="96">
        <f>IF(COUNTA(B576:C576,F576:G576,J576:K576)&gt;0,1,0)</f>
        <v>0</v>
      </c>
      <c r="O576" s="96" t="str">
        <f>IF(B576="","",TRIM(LEFT(B576,FIND(" |",B576&amp;" |")-1)))</f>
        <v/>
      </c>
      <c r="P576" s="96" t="str">
        <f>IF(O576="","",IFERROR(MATCH(O576,'CDFs'!$A$6:$A$505,0),""))</f>
        <v/>
      </c>
      <c r="Q576" s="96">
        <f>IF(P576="",0,IF(INDEX('CDFs'!$S$6:$S$505,P576)=1,1,0))</f>
        <v>0</v>
      </c>
      <c r="R576" s="96" t="str">
        <f>IF(C576="","",TRIM(LEFT(C576,FIND(" |",C576&amp;" |")-1)))</f>
        <v/>
      </c>
      <c r="S576" s="96" t="str">
        <f>IF(R576="","",IFERROR(MATCH(R576,'ITENS_MTR'!$A$6:$A$1005,0),""))</f>
        <v/>
      </c>
      <c r="T576" s="96">
        <f>IF(S576="",0,IF(INDEX('ITENS_MTR'!$R$6:$R$1005,S576)=1,1,0))</f>
        <v>0</v>
      </c>
      <c r="U576" s="96" t="str">
        <f>IF(G576="","",IFERROR(IF(ISNUMBER(INDEX(cfg_fac,MATCH(G576,cfg_units,0))),IF(INDEX(cfg_fac,MATCH(G576,cfg_units,0))&gt;0,INDEX(cfg_fac,MATCH(G576,cfg_units,0)),""),""),""))</f>
        <v/>
      </c>
      <c r="V576" s="96">
        <f>IF(AND(ISNUMBER(F576),ISNUMBER(H576)),IF(H576&gt;0,1,0),0)</f>
        <v>0</v>
      </c>
      <c r="W576" s="96" t="str">
        <f>IF(T576=1,INDEX('ITENS_MTR'!$AU$6:$AU$1005,S576)&amp;"","")</f>
        <v/>
      </c>
      <c r="X576" s="96">
        <f>IF(AND(Q576=1,T576=1,I576&lt;&gt;"",W576&lt;&gt;""),IF(I576&lt;&gt;W576,1,0),0)</f>
        <v>0</v>
      </c>
      <c r="Y576" s="96">
        <f>IF(N576=0,0,IF(OR(Q576=0,T576=0,V576=0,AND(X576=1,J576&lt;&gt;"Sim")),1,0))</f>
        <v>0</v>
      </c>
      <c r="Z576" s="96">
        <f>IF(Q576=1,INDEX('CDFs'!$W$6:$W$505,P576),0)</f>
        <v>0</v>
      </c>
      <c r="AA576" s="96">
        <f>IF(AND(N576=1,Y576=0,Z576=1,J576="Sim"),1,0)</f>
        <v>0</v>
      </c>
      <c r="AB576" s="96">
        <f>IF(AND(N576=1,O576&lt;&gt;"",D576&lt;&gt;""),IF(COUNTIFS($O$6:O576,O576,$D$6:D576,D576)=1,1,0),0)</f>
        <v>0</v>
      </c>
      <c r="AC576" s="96">
        <f>IF(T576=1,INDEX('ITENS_MTR'!$AL$6:$AL$1005,S576),0)</f>
        <v>0</v>
      </c>
    </row>
    <row r="577">
      <c r="A577" s="89" t="inlineStr">
        <is>
          <t>VIN-000572</t>
        </is>
      </c>
      <c r="B577" s="91" t="n"/>
      <c r="C577" s="91" t="n"/>
      <c r="D577" s="94" t="str">
        <f>IF(T577=1,INDEX('ITENS_MTR'!$S$6:$S$1005,S577)&amp;"","")</f>
        <v/>
      </c>
      <c r="E577" s="94" t="str">
        <f>IF(T577=1,INDEX('ITENS_MTR'!$C$6:$C$1005,S577)&amp;"","")</f>
        <v/>
      </c>
      <c r="F577" s="98" t="n"/>
      <c r="G577" s="91" t="n"/>
      <c r="H577" s="93" t="str">
        <f>IF(N577=0,"",IF(NOT(ISNUMBER(F577)),"",IF(ISNUMBER(U577),F577*U577,"UNIDADE A CONFERIR")))</f>
        <v/>
      </c>
      <c r="I577" s="94" t="str">
        <f>IF(Q577=1,INDEX('CDFs'!$F$6:$F$505,P577)&amp;"","")</f>
        <v/>
      </c>
      <c r="J577" s="91" t="n"/>
      <c r="K577" s="91" t="n"/>
      <c r="L577" s="94" t="str">
        <f>IF(N577=0,"",IF(NOT(ISNUMBER(F577)),"Quantidade não informada",IF(F577&lt;=0,"Quantidade não positiva",IF(G577="","Unidade não informada",IF(NOT(ISNUMBER(H577)),"Unidade a conferir",IF(AC577=1,"REVISAR VÍNCULO: soma vinculada maior que a referência do item","OK"))))))</f>
        <v/>
      </c>
      <c r="M577" s="94" t="str">
        <f>IF(N577=0,"",IF(B577="","CDF não informado",IF(Q577=0,"REVISAR VÍNCULO: CDF inexistente",IF(C577="","Item não informado",IF(T577=0,"REVISAR VÍNCULO: item inexistente",IF(AND(X577=1,J577&lt;&gt;"Sim"),"REVISAR VÍNCULO: destinador diferente do MTR",IF(X577=1,"Destinador diferente do MTR (analisado)","OK")))))))</f>
        <v/>
      </c>
      <c r="N577" s="96">
        <f>IF(COUNTA(B577:C577,F577:G577,J577:K577)&gt;0,1,0)</f>
        <v>0</v>
      </c>
      <c r="O577" s="96" t="str">
        <f>IF(B577="","",TRIM(LEFT(B577,FIND(" |",B577&amp;" |")-1)))</f>
        <v/>
      </c>
      <c r="P577" s="96" t="str">
        <f>IF(O577="","",IFERROR(MATCH(O577,'CDFs'!$A$6:$A$505,0),""))</f>
        <v/>
      </c>
      <c r="Q577" s="96">
        <f>IF(P577="",0,IF(INDEX('CDFs'!$S$6:$S$505,P577)=1,1,0))</f>
        <v>0</v>
      </c>
      <c r="R577" s="96" t="str">
        <f>IF(C577="","",TRIM(LEFT(C577,FIND(" |",C577&amp;" |")-1)))</f>
        <v/>
      </c>
      <c r="S577" s="96" t="str">
        <f>IF(R577="","",IFERROR(MATCH(R577,'ITENS_MTR'!$A$6:$A$1005,0),""))</f>
        <v/>
      </c>
      <c r="T577" s="96">
        <f>IF(S577="",0,IF(INDEX('ITENS_MTR'!$R$6:$R$1005,S577)=1,1,0))</f>
        <v>0</v>
      </c>
      <c r="U577" s="96" t="str">
        <f>IF(G577="","",IFERROR(IF(ISNUMBER(INDEX(cfg_fac,MATCH(G577,cfg_units,0))),IF(INDEX(cfg_fac,MATCH(G577,cfg_units,0))&gt;0,INDEX(cfg_fac,MATCH(G577,cfg_units,0)),""),""),""))</f>
        <v/>
      </c>
      <c r="V577" s="96">
        <f>IF(AND(ISNUMBER(F577),ISNUMBER(H577)),IF(H577&gt;0,1,0),0)</f>
        <v>0</v>
      </c>
      <c r="W577" s="96" t="str">
        <f>IF(T577=1,INDEX('ITENS_MTR'!$AU$6:$AU$1005,S577)&amp;"","")</f>
        <v/>
      </c>
      <c r="X577" s="96">
        <f>IF(AND(Q577=1,T577=1,I577&lt;&gt;"",W577&lt;&gt;""),IF(I577&lt;&gt;W577,1,0),0)</f>
        <v>0</v>
      </c>
      <c r="Y577" s="96">
        <f>IF(N577=0,0,IF(OR(Q577=0,T577=0,V577=0,AND(X577=1,J577&lt;&gt;"Sim")),1,0))</f>
        <v>0</v>
      </c>
      <c r="Z577" s="96">
        <f>IF(Q577=1,INDEX('CDFs'!$W$6:$W$505,P577),0)</f>
        <v>0</v>
      </c>
      <c r="AA577" s="96">
        <f>IF(AND(N577=1,Y577=0,Z577=1,J577="Sim"),1,0)</f>
        <v>0</v>
      </c>
      <c r="AB577" s="96">
        <f>IF(AND(N577=1,O577&lt;&gt;"",D577&lt;&gt;""),IF(COUNTIFS($O$6:O577,O577,$D$6:D577,D577)=1,1,0),0)</f>
        <v>0</v>
      </c>
      <c r="AC577" s="96">
        <f>IF(T577=1,INDEX('ITENS_MTR'!$AL$6:$AL$1005,S577),0)</f>
        <v>0</v>
      </c>
    </row>
    <row r="578">
      <c r="A578" s="89" t="inlineStr">
        <is>
          <t>VIN-000573</t>
        </is>
      </c>
      <c r="B578" s="91" t="n"/>
      <c r="C578" s="91" t="n"/>
      <c r="D578" s="94" t="str">
        <f>IF(T578=1,INDEX('ITENS_MTR'!$S$6:$S$1005,S578)&amp;"","")</f>
        <v/>
      </c>
      <c r="E578" s="94" t="str">
        <f>IF(T578=1,INDEX('ITENS_MTR'!$C$6:$C$1005,S578)&amp;"","")</f>
        <v/>
      </c>
      <c r="F578" s="98" t="n"/>
      <c r="G578" s="91" t="n"/>
      <c r="H578" s="93" t="str">
        <f>IF(N578=0,"",IF(NOT(ISNUMBER(F578)),"",IF(ISNUMBER(U578),F578*U578,"UNIDADE A CONFERIR")))</f>
        <v/>
      </c>
      <c r="I578" s="94" t="str">
        <f>IF(Q578=1,INDEX('CDFs'!$F$6:$F$505,P578)&amp;"","")</f>
        <v/>
      </c>
      <c r="J578" s="91" t="n"/>
      <c r="K578" s="91" t="n"/>
      <c r="L578" s="94" t="str">
        <f>IF(N578=0,"",IF(NOT(ISNUMBER(F578)),"Quantidade não informada",IF(F578&lt;=0,"Quantidade não positiva",IF(G578="","Unidade não informada",IF(NOT(ISNUMBER(H578)),"Unidade a conferir",IF(AC578=1,"REVISAR VÍNCULO: soma vinculada maior que a referência do item","OK"))))))</f>
        <v/>
      </c>
      <c r="M578" s="94" t="str">
        <f>IF(N578=0,"",IF(B578="","CDF não informado",IF(Q578=0,"REVISAR VÍNCULO: CDF inexistente",IF(C578="","Item não informado",IF(T578=0,"REVISAR VÍNCULO: item inexistente",IF(AND(X578=1,J578&lt;&gt;"Sim"),"REVISAR VÍNCULO: destinador diferente do MTR",IF(X578=1,"Destinador diferente do MTR (analisado)","OK")))))))</f>
        <v/>
      </c>
      <c r="N578" s="96">
        <f>IF(COUNTA(B578:C578,F578:G578,J578:K578)&gt;0,1,0)</f>
        <v>0</v>
      </c>
      <c r="O578" s="96" t="str">
        <f>IF(B578="","",TRIM(LEFT(B578,FIND(" |",B578&amp;" |")-1)))</f>
        <v/>
      </c>
      <c r="P578" s="96" t="str">
        <f>IF(O578="","",IFERROR(MATCH(O578,'CDFs'!$A$6:$A$505,0),""))</f>
        <v/>
      </c>
      <c r="Q578" s="96">
        <f>IF(P578="",0,IF(INDEX('CDFs'!$S$6:$S$505,P578)=1,1,0))</f>
        <v>0</v>
      </c>
      <c r="R578" s="96" t="str">
        <f>IF(C578="","",TRIM(LEFT(C578,FIND(" |",C578&amp;" |")-1)))</f>
        <v/>
      </c>
      <c r="S578" s="96" t="str">
        <f>IF(R578="","",IFERROR(MATCH(R578,'ITENS_MTR'!$A$6:$A$1005,0),""))</f>
        <v/>
      </c>
      <c r="T578" s="96">
        <f>IF(S578="",0,IF(INDEX('ITENS_MTR'!$R$6:$R$1005,S578)=1,1,0))</f>
        <v>0</v>
      </c>
      <c r="U578" s="96" t="str">
        <f>IF(G578="","",IFERROR(IF(ISNUMBER(INDEX(cfg_fac,MATCH(G578,cfg_units,0))),IF(INDEX(cfg_fac,MATCH(G578,cfg_units,0))&gt;0,INDEX(cfg_fac,MATCH(G578,cfg_units,0)),""),""),""))</f>
        <v/>
      </c>
      <c r="V578" s="96">
        <f>IF(AND(ISNUMBER(F578),ISNUMBER(H578)),IF(H578&gt;0,1,0),0)</f>
        <v>0</v>
      </c>
      <c r="W578" s="96" t="str">
        <f>IF(T578=1,INDEX('ITENS_MTR'!$AU$6:$AU$1005,S578)&amp;"","")</f>
        <v/>
      </c>
      <c r="X578" s="96">
        <f>IF(AND(Q578=1,T578=1,I578&lt;&gt;"",W578&lt;&gt;""),IF(I578&lt;&gt;W578,1,0),0)</f>
        <v>0</v>
      </c>
      <c r="Y578" s="96">
        <f>IF(N578=0,0,IF(OR(Q578=0,T578=0,V578=0,AND(X578=1,J578&lt;&gt;"Sim")),1,0))</f>
        <v>0</v>
      </c>
      <c r="Z578" s="96">
        <f>IF(Q578=1,INDEX('CDFs'!$W$6:$W$505,P578),0)</f>
        <v>0</v>
      </c>
      <c r="AA578" s="96">
        <f>IF(AND(N578=1,Y578=0,Z578=1,J578="Sim"),1,0)</f>
        <v>0</v>
      </c>
      <c r="AB578" s="96">
        <f>IF(AND(N578=1,O578&lt;&gt;"",D578&lt;&gt;""),IF(COUNTIFS($O$6:O578,O578,$D$6:D578,D578)=1,1,0),0)</f>
        <v>0</v>
      </c>
      <c r="AC578" s="96">
        <f>IF(T578=1,INDEX('ITENS_MTR'!$AL$6:$AL$1005,S578),0)</f>
        <v>0</v>
      </c>
    </row>
    <row r="579">
      <c r="A579" s="89" t="inlineStr">
        <is>
          <t>VIN-000574</t>
        </is>
      </c>
      <c r="B579" s="91" t="n"/>
      <c r="C579" s="91" t="n"/>
      <c r="D579" s="94" t="str">
        <f>IF(T579=1,INDEX('ITENS_MTR'!$S$6:$S$1005,S579)&amp;"","")</f>
        <v/>
      </c>
      <c r="E579" s="94" t="str">
        <f>IF(T579=1,INDEX('ITENS_MTR'!$C$6:$C$1005,S579)&amp;"","")</f>
        <v/>
      </c>
      <c r="F579" s="98" t="n"/>
      <c r="G579" s="91" t="n"/>
      <c r="H579" s="93" t="str">
        <f>IF(N579=0,"",IF(NOT(ISNUMBER(F579)),"",IF(ISNUMBER(U579),F579*U579,"UNIDADE A CONFERIR")))</f>
        <v/>
      </c>
      <c r="I579" s="94" t="str">
        <f>IF(Q579=1,INDEX('CDFs'!$F$6:$F$505,P579)&amp;"","")</f>
        <v/>
      </c>
      <c r="J579" s="91" t="n"/>
      <c r="K579" s="91" t="n"/>
      <c r="L579" s="94" t="str">
        <f>IF(N579=0,"",IF(NOT(ISNUMBER(F579)),"Quantidade não informada",IF(F579&lt;=0,"Quantidade não positiva",IF(G579="","Unidade não informada",IF(NOT(ISNUMBER(H579)),"Unidade a conferir",IF(AC579=1,"REVISAR VÍNCULO: soma vinculada maior que a referência do item","OK"))))))</f>
        <v/>
      </c>
      <c r="M579" s="94" t="str">
        <f>IF(N579=0,"",IF(B579="","CDF não informado",IF(Q579=0,"REVISAR VÍNCULO: CDF inexistente",IF(C579="","Item não informado",IF(T579=0,"REVISAR VÍNCULO: item inexistente",IF(AND(X579=1,J579&lt;&gt;"Sim"),"REVISAR VÍNCULO: destinador diferente do MTR",IF(X579=1,"Destinador diferente do MTR (analisado)","OK")))))))</f>
        <v/>
      </c>
      <c r="N579" s="96">
        <f>IF(COUNTA(B579:C579,F579:G579,J579:K579)&gt;0,1,0)</f>
        <v>0</v>
      </c>
      <c r="O579" s="96" t="str">
        <f>IF(B579="","",TRIM(LEFT(B579,FIND(" |",B579&amp;" |")-1)))</f>
        <v/>
      </c>
      <c r="P579" s="96" t="str">
        <f>IF(O579="","",IFERROR(MATCH(O579,'CDFs'!$A$6:$A$505,0),""))</f>
        <v/>
      </c>
      <c r="Q579" s="96">
        <f>IF(P579="",0,IF(INDEX('CDFs'!$S$6:$S$505,P579)=1,1,0))</f>
        <v>0</v>
      </c>
      <c r="R579" s="96" t="str">
        <f>IF(C579="","",TRIM(LEFT(C579,FIND(" |",C579&amp;" |")-1)))</f>
        <v/>
      </c>
      <c r="S579" s="96" t="str">
        <f>IF(R579="","",IFERROR(MATCH(R579,'ITENS_MTR'!$A$6:$A$1005,0),""))</f>
        <v/>
      </c>
      <c r="T579" s="96">
        <f>IF(S579="",0,IF(INDEX('ITENS_MTR'!$R$6:$R$1005,S579)=1,1,0))</f>
        <v>0</v>
      </c>
      <c r="U579" s="96" t="str">
        <f>IF(G579="","",IFERROR(IF(ISNUMBER(INDEX(cfg_fac,MATCH(G579,cfg_units,0))),IF(INDEX(cfg_fac,MATCH(G579,cfg_units,0))&gt;0,INDEX(cfg_fac,MATCH(G579,cfg_units,0)),""),""),""))</f>
        <v/>
      </c>
      <c r="V579" s="96">
        <f>IF(AND(ISNUMBER(F579),ISNUMBER(H579)),IF(H579&gt;0,1,0),0)</f>
        <v>0</v>
      </c>
      <c r="W579" s="96" t="str">
        <f>IF(T579=1,INDEX('ITENS_MTR'!$AU$6:$AU$1005,S579)&amp;"","")</f>
        <v/>
      </c>
      <c r="X579" s="96">
        <f>IF(AND(Q579=1,T579=1,I579&lt;&gt;"",W579&lt;&gt;""),IF(I579&lt;&gt;W579,1,0),0)</f>
        <v>0</v>
      </c>
      <c r="Y579" s="96">
        <f>IF(N579=0,0,IF(OR(Q579=0,T579=0,V579=0,AND(X579=1,J579&lt;&gt;"Sim")),1,0))</f>
        <v>0</v>
      </c>
      <c r="Z579" s="96">
        <f>IF(Q579=1,INDEX('CDFs'!$W$6:$W$505,P579),0)</f>
        <v>0</v>
      </c>
      <c r="AA579" s="96">
        <f>IF(AND(N579=1,Y579=0,Z579=1,J579="Sim"),1,0)</f>
        <v>0</v>
      </c>
      <c r="AB579" s="96">
        <f>IF(AND(N579=1,O579&lt;&gt;"",D579&lt;&gt;""),IF(COUNTIFS($O$6:O579,O579,$D$6:D579,D579)=1,1,0),0)</f>
        <v>0</v>
      </c>
      <c r="AC579" s="96">
        <f>IF(T579=1,INDEX('ITENS_MTR'!$AL$6:$AL$1005,S579),0)</f>
        <v>0</v>
      </c>
    </row>
    <row r="580">
      <c r="A580" s="89" t="inlineStr">
        <is>
          <t>VIN-000575</t>
        </is>
      </c>
      <c r="B580" s="91" t="n"/>
      <c r="C580" s="91" t="n"/>
      <c r="D580" s="94" t="str">
        <f>IF(T580=1,INDEX('ITENS_MTR'!$S$6:$S$1005,S580)&amp;"","")</f>
        <v/>
      </c>
      <c r="E580" s="94" t="str">
        <f>IF(T580=1,INDEX('ITENS_MTR'!$C$6:$C$1005,S580)&amp;"","")</f>
        <v/>
      </c>
      <c r="F580" s="98" t="n"/>
      <c r="G580" s="91" t="n"/>
      <c r="H580" s="93" t="str">
        <f>IF(N580=0,"",IF(NOT(ISNUMBER(F580)),"",IF(ISNUMBER(U580),F580*U580,"UNIDADE A CONFERIR")))</f>
        <v/>
      </c>
      <c r="I580" s="94" t="str">
        <f>IF(Q580=1,INDEX('CDFs'!$F$6:$F$505,P580)&amp;"","")</f>
        <v/>
      </c>
      <c r="J580" s="91" t="n"/>
      <c r="K580" s="91" t="n"/>
      <c r="L580" s="94" t="str">
        <f>IF(N580=0,"",IF(NOT(ISNUMBER(F580)),"Quantidade não informada",IF(F580&lt;=0,"Quantidade não positiva",IF(G580="","Unidade não informada",IF(NOT(ISNUMBER(H580)),"Unidade a conferir",IF(AC580=1,"REVISAR VÍNCULO: soma vinculada maior que a referência do item","OK"))))))</f>
        <v/>
      </c>
      <c r="M580" s="94" t="str">
        <f>IF(N580=0,"",IF(B580="","CDF não informado",IF(Q580=0,"REVISAR VÍNCULO: CDF inexistente",IF(C580="","Item não informado",IF(T580=0,"REVISAR VÍNCULO: item inexistente",IF(AND(X580=1,J580&lt;&gt;"Sim"),"REVISAR VÍNCULO: destinador diferente do MTR",IF(X580=1,"Destinador diferente do MTR (analisado)","OK")))))))</f>
        <v/>
      </c>
      <c r="N580" s="96">
        <f>IF(COUNTA(B580:C580,F580:G580,J580:K580)&gt;0,1,0)</f>
        <v>0</v>
      </c>
      <c r="O580" s="96" t="str">
        <f>IF(B580="","",TRIM(LEFT(B580,FIND(" |",B580&amp;" |")-1)))</f>
        <v/>
      </c>
      <c r="P580" s="96" t="str">
        <f>IF(O580="","",IFERROR(MATCH(O580,'CDFs'!$A$6:$A$505,0),""))</f>
        <v/>
      </c>
      <c r="Q580" s="96">
        <f>IF(P580="",0,IF(INDEX('CDFs'!$S$6:$S$505,P580)=1,1,0))</f>
        <v>0</v>
      </c>
      <c r="R580" s="96" t="str">
        <f>IF(C580="","",TRIM(LEFT(C580,FIND(" |",C580&amp;" |")-1)))</f>
        <v/>
      </c>
      <c r="S580" s="96" t="str">
        <f>IF(R580="","",IFERROR(MATCH(R580,'ITENS_MTR'!$A$6:$A$1005,0),""))</f>
        <v/>
      </c>
      <c r="T580" s="96">
        <f>IF(S580="",0,IF(INDEX('ITENS_MTR'!$R$6:$R$1005,S580)=1,1,0))</f>
        <v>0</v>
      </c>
      <c r="U580" s="96" t="str">
        <f>IF(G580="","",IFERROR(IF(ISNUMBER(INDEX(cfg_fac,MATCH(G580,cfg_units,0))),IF(INDEX(cfg_fac,MATCH(G580,cfg_units,0))&gt;0,INDEX(cfg_fac,MATCH(G580,cfg_units,0)),""),""),""))</f>
        <v/>
      </c>
      <c r="V580" s="96">
        <f>IF(AND(ISNUMBER(F580),ISNUMBER(H580)),IF(H580&gt;0,1,0),0)</f>
        <v>0</v>
      </c>
      <c r="W580" s="96" t="str">
        <f>IF(T580=1,INDEX('ITENS_MTR'!$AU$6:$AU$1005,S580)&amp;"","")</f>
        <v/>
      </c>
      <c r="X580" s="96">
        <f>IF(AND(Q580=1,T580=1,I580&lt;&gt;"",W580&lt;&gt;""),IF(I580&lt;&gt;W580,1,0),0)</f>
        <v>0</v>
      </c>
      <c r="Y580" s="96">
        <f>IF(N580=0,0,IF(OR(Q580=0,T580=0,V580=0,AND(X580=1,J580&lt;&gt;"Sim")),1,0))</f>
        <v>0</v>
      </c>
      <c r="Z580" s="96">
        <f>IF(Q580=1,INDEX('CDFs'!$W$6:$W$505,P580),0)</f>
        <v>0</v>
      </c>
      <c r="AA580" s="96">
        <f>IF(AND(N580=1,Y580=0,Z580=1,J580="Sim"),1,0)</f>
        <v>0</v>
      </c>
      <c r="AB580" s="96">
        <f>IF(AND(N580=1,O580&lt;&gt;"",D580&lt;&gt;""),IF(COUNTIFS($O$6:O580,O580,$D$6:D580,D580)=1,1,0),0)</f>
        <v>0</v>
      </c>
      <c r="AC580" s="96">
        <f>IF(T580=1,INDEX('ITENS_MTR'!$AL$6:$AL$1005,S580),0)</f>
        <v>0</v>
      </c>
    </row>
    <row r="581">
      <c r="A581" s="89" t="inlineStr">
        <is>
          <t>VIN-000576</t>
        </is>
      </c>
      <c r="B581" s="91" t="n"/>
      <c r="C581" s="91" t="n"/>
      <c r="D581" s="94" t="str">
        <f>IF(T581=1,INDEX('ITENS_MTR'!$S$6:$S$1005,S581)&amp;"","")</f>
        <v/>
      </c>
      <c r="E581" s="94" t="str">
        <f>IF(T581=1,INDEX('ITENS_MTR'!$C$6:$C$1005,S581)&amp;"","")</f>
        <v/>
      </c>
      <c r="F581" s="98" t="n"/>
      <c r="G581" s="91" t="n"/>
      <c r="H581" s="93" t="str">
        <f>IF(N581=0,"",IF(NOT(ISNUMBER(F581)),"",IF(ISNUMBER(U581),F581*U581,"UNIDADE A CONFERIR")))</f>
        <v/>
      </c>
      <c r="I581" s="94" t="str">
        <f>IF(Q581=1,INDEX('CDFs'!$F$6:$F$505,P581)&amp;"","")</f>
        <v/>
      </c>
      <c r="J581" s="91" t="n"/>
      <c r="K581" s="91" t="n"/>
      <c r="L581" s="94" t="str">
        <f>IF(N581=0,"",IF(NOT(ISNUMBER(F581)),"Quantidade não informada",IF(F581&lt;=0,"Quantidade não positiva",IF(G581="","Unidade não informada",IF(NOT(ISNUMBER(H581)),"Unidade a conferir",IF(AC581=1,"REVISAR VÍNCULO: soma vinculada maior que a referência do item","OK"))))))</f>
        <v/>
      </c>
      <c r="M581" s="94" t="str">
        <f>IF(N581=0,"",IF(B581="","CDF não informado",IF(Q581=0,"REVISAR VÍNCULO: CDF inexistente",IF(C581="","Item não informado",IF(T581=0,"REVISAR VÍNCULO: item inexistente",IF(AND(X581=1,J581&lt;&gt;"Sim"),"REVISAR VÍNCULO: destinador diferente do MTR",IF(X581=1,"Destinador diferente do MTR (analisado)","OK")))))))</f>
        <v/>
      </c>
      <c r="N581" s="96">
        <f>IF(COUNTA(B581:C581,F581:G581,J581:K581)&gt;0,1,0)</f>
        <v>0</v>
      </c>
      <c r="O581" s="96" t="str">
        <f>IF(B581="","",TRIM(LEFT(B581,FIND(" |",B581&amp;" |")-1)))</f>
        <v/>
      </c>
      <c r="P581" s="96" t="str">
        <f>IF(O581="","",IFERROR(MATCH(O581,'CDFs'!$A$6:$A$505,0),""))</f>
        <v/>
      </c>
      <c r="Q581" s="96">
        <f>IF(P581="",0,IF(INDEX('CDFs'!$S$6:$S$505,P581)=1,1,0))</f>
        <v>0</v>
      </c>
      <c r="R581" s="96" t="str">
        <f>IF(C581="","",TRIM(LEFT(C581,FIND(" |",C581&amp;" |")-1)))</f>
        <v/>
      </c>
      <c r="S581" s="96" t="str">
        <f>IF(R581="","",IFERROR(MATCH(R581,'ITENS_MTR'!$A$6:$A$1005,0),""))</f>
        <v/>
      </c>
      <c r="T581" s="96">
        <f>IF(S581="",0,IF(INDEX('ITENS_MTR'!$R$6:$R$1005,S581)=1,1,0))</f>
        <v>0</v>
      </c>
      <c r="U581" s="96" t="str">
        <f>IF(G581="","",IFERROR(IF(ISNUMBER(INDEX(cfg_fac,MATCH(G581,cfg_units,0))),IF(INDEX(cfg_fac,MATCH(G581,cfg_units,0))&gt;0,INDEX(cfg_fac,MATCH(G581,cfg_units,0)),""),""),""))</f>
        <v/>
      </c>
      <c r="V581" s="96">
        <f>IF(AND(ISNUMBER(F581),ISNUMBER(H581)),IF(H581&gt;0,1,0),0)</f>
        <v>0</v>
      </c>
      <c r="W581" s="96" t="str">
        <f>IF(T581=1,INDEX('ITENS_MTR'!$AU$6:$AU$1005,S581)&amp;"","")</f>
        <v/>
      </c>
      <c r="X581" s="96">
        <f>IF(AND(Q581=1,T581=1,I581&lt;&gt;"",W581&lt;&gt;""),IF(I581&lt;&gt;W581,1,0),0)</f>
        <v>0</v>
      </c>
      <c r="Y581" s="96">
        <f>IF(N581=0,0,IF(OR(Q581=0,T581=0,V581=0,AND(X581=1,J581&lt;&gt;"Sim")),1,0))</f>
        <v>0</v>
      </c>
      <c r="Z581" s="96">
        <f>IF(Q581=1,INDEX('CDFs'!$W$6:$W$505,P581),0)</f>
        <v>0</v>
      </c>
      <c r="AA581" s="96">
        <f>IF(AND(N581=1,Y581=0,Z581=1,J581="Sim"),1,0)</f>
        <v>0</v>
      </c>
      <c r="AB581" s="96">
        <f>IF(AND(N581=1,O581&lt;&gt;"",D581&lt;&gt;""),IF(COUNTIFS($O$6:O581,O581,$D$6:D581,D581)=1,1,0),0)</f>
        <v>0</v>
      </c>
      <c r="AC581" s="96">
        <f>IF(T581=1,INDEX('ITENS_MTR'!$AL$6:$AL$1005,S581),0)</f>
        <v>0</v>
      </c>
    </row>
    <row r="582">
      <c r="A582" s="89" t="inlineStr">
        <is>
          <t>VIN-000577</t>
        </is>
      </c>
      <c r="B582" s="91" t="n"/>
      <c r="C582" s="91" t="n"/>
      <c r="D582" s="94" t="str">
        <f>IF(T582=1,INDEX('ITENS_MTR'!$S$6:$S$1005,S582)&amp;"","")</f>
        <v/>
      </c>
      <c r="E582" s="94" t="str">
        <f>IF(T582=1,INDEX('ITENS_MTR'!$C$6:$C$1005,S582)&amp;"","")</f>
        <v/>
      </c>
      <c r="F582" s="98" t="n"/>
      <c r="G582" s="91" t="n"/>
      <c r="H582" s="93" t="str">
        <f>IF(N582=0,"",IF(NOT(ISNUMBER(F582)),"",IF(ISNUMBER(U582),F582*U582,"UNIDADE A CONFERIR")))</f>
        <v/>
      </c>
      <c r="I582" s="94" t="str">
        <f>IF(Q582=1,INDEX('CDFs'!$F$6:$F$505,P582)&amp;"","")</f>
        <v/>
      </c>
      <c r="J582" s="91" t="n"/>
      <c r="K582" s="91" t="n"/>
      <c r="L582" s="94" t="str">
        <f>IF(N582=0,"",IF(NOT(ISNUMBER(F582)),"Quantidade não informada",IF(F582&lt;=0,"Quantidade não positiva",IF(G582="","Unidade não informada",IF(NOT(ISNUMBER(H582)),"Unidade a conferir",IF(AC582=1,"REVISAR VÍNCULO: soma vinculada maior que a referência do item","OK"))))))</f>
        <v/>
      </c>
      <c r="M582" s="94" t="str">
        <f>IF(N582=0,"",IF(B582="","CDF não informado",IF(Q582=0,"REVISAR VÍNCULO: CDF inexistente",IF(C582="","Item não informado",IF(T582=0,"REVISAR VÍNCULO: item inexistente",IF(AND(X582=1,J582&lt;&gt;"Sim"),"REVISAR VÍNCULO: destinador diferente do MTR",IF(X582=1,"Destinador diferente do MTR (analisado)","OK")))))))</f>
        <v/>
      </c>
      <c r="N582" s="96">
        <f>IF(COUNTA(B582:C582,F582:G582,J582:K582)&gt;0,1,0)</f>
        <v>0</v>
      </c>
      <c r="O582" s="96" t="str">
        <f>IF(B582="","",TRIM(LEFT(B582,FIND(" |",B582&amp;" |")-1)))</f>
        <v/>
      </c>
      <c r="P582" s="96" t="str">
        <f>IF(O582="","",IFERROR(MATCH(O582,'CDFs'!$A$6:$A$505,0),""))</f>
        <v/>
      </c>
      <c r="Q582" s="96">
        <f>IF(P582="",0,IF(INDEX('CDFs'!$S$6:$S$505,P582)=1,1,0))</f>
        <v>0</v>
      </c>
      <c r="R582" s="96" t="str">
        <f>IF(C582="","",TRIM(LEFT(C582,FIND(" |",C582&amp;" |")-1)))</f>
        <v/>
      </c>
      <c r="S582" s="96" t="str">
        <f>IF(R582="","",IFERROR(MATCH(R582,'ITENS_MTR'!$A$6:$A$1005,0),""))</f>
        <v/>
      </c>
      <c r="T582" s="96">
        <f>IF(S582="",0,IF(INDEX('ITENS_MTR'!$R$6:$R$1005,S582)=1,1,0))</f>
        <v>0</v>
      </c>
      <c r="U582" s="96" t="str">
        <f>IF(G582="","",IFERROR(IF(ISNUMBER(INDEX(cfg_fac,MATCH(G582,cfg_units,0))),IF(INDEX(cfg_fac,MATCH(G582,cfg_units,0))&gt;0,INDEX(cfg_fac,MATCH(G582,cfg_units,0)),""),""),""))</f>
        <v/>
      </c>
      <c r="V582" s="96">
        <f>IF(AND(ISNUMBER(F582),ISNUMBER(H582)),IF(H582&gt;0,1,0),0)</f>
        <v>0</v>
      </c>
      <c r="W582" s="96" t="str">
        <f>IF(T582=1,INDEX('ITENS_MTR'!$AU$6:$AU$1005,S582)&amp;"","")</f>
        <v/>
      </c>
      <c r="X582" s="96">
        <f>IF(AND(Q582=1,T582=1,I582&lt;&gt;"",W582&lt;&gt;""),IF(I582&lt;&gt;W582,1,0),0)</f>
        <v>0</v>
      </c>
      <c r="Y582" s="96">
        <f>IF(N582=0,0,IF(OR(Q582=0,T582=0,V582=0,AND(X582=1,J582&lt;&gt;"Sim")),1,0))</f>
        <v>0</v>
      </c>
      <c r="Z582" s="96">
        <f>IF(Q582=1,INDEX('CDFs'!$W$6:$W$505,P582),0)</f>
        <v>0</v>
      </c>
      <c r="AA582" s="96">
        <f>IF(AND(N582=1,Y582=0,Z582=1,J582="Sim"),1,0)</f>
        <v>0</v>
      </c>
      <c r="AB582" s="96">
        <f>IF(AND(N582=1,O582&lt;&gt;"",D582&lt;&gt;""),IF(COUNTIFS($O$6:O582,O582,$D$6:D582,D582)=1,1,0),0)</f>
        <v>0</v>
      </c>
      <c r="AC582" s="96">
        <f>IF(T582=1,INDEX('ITENS_MTR'!$AL$6:$AL$1005,S582),0)</f>
        <v>0</v>
      </c>
    </row>
    <row r="583">
      <c r="A583" s="89" t="inlineStr">
        <is>
          <t>VIN-000578</t>
        </is>
      </c>
      <c r="B583" s="91" t="n"/>
      <c r="C583" s="91" t="n"/>
      <c r="D583" s="94" t="str">
        <f>IF(T583=1,INDEX('ITENS_MTR'!$S$6:$S$1005,S583)&amp;"","")</f>
        <v/>
      </c>
      <c r="E583" s="94" t="str">
        <f>IF(T583=1,INDEX('ITENS_MTR'!$C$6:$C$1005,S583)&amp;"","")</f>
        <v/>
      </c>
      <c r="F583" s="98" t="n"/>
      <c r="G583" s="91" t="n"/>
      <c r="H583" s="93" t="str">
        <f>IF(N583=0,"",IF(NOT(ISNUMBER(F583)),"",IF(ISNUMBER(U583),F583*U583,"UNIDADE A CONFERIR")))</f>
        <v/>
      </c>
      <c r="I583" s="94" t="str">
        <f>IF(Q583=1,INDEX('CDFs'!$F$6:$F$505,P583)&amp;"","")</f>
        <v/>
      </c>
      <c r="J583" s="91" t="n"/>
      <c r="K583" s="91" t="n"/>
      <c r="L583" s="94" t="str">
        <f>IF(N583=0,"",IF(NOT(ISNUMBER(F583)),"Quantidade não informada",IF(F583&lt;=0,"Quantidade não positiva",IF(G583="","Unidade não informada",IF(NOT(ISNUMBER(H583)),"Unidade a conferir",IF(AC583=1,"REVISAR VÍNCULO: soma vinculada maior que a referência do item","OK"))))))</f>
        <v/>
      </c>
      <c r="M583" s="94" t="str">
        <f>IF(N583=0,"",IF(B583="","CDF não informado",IF(Q583=0,"REVISAR VÍNCULO: CDF inexistente",IF(C583="","Item não informado",IF(T583=0,"REVISAR VÍNCULO: item inexistente",IF(AND(X583=1,J583&lt;&gt;"Sim"),"REVISAR VÍNCULO: destinador diferente do MTR",IF(X583=1,"Destinador diferente do MTR (analisado)","OK")))))))</f>
        <v/>
      </c>
      <c r="N583" s="96">
        <f>IF(COUNTA(B583:C583,F583:G583,J583:K583)&gt;0,1,0)</f>
        <v>0</v>
      </c>
      <c r="O583" s="96" t="str">
        <f>IF(B583="","",TRIM(LEFT(B583,FIND(" |",B583&amp;" |")-1)))</f>
        <v/>
      </c>
      <c r="P583" s="96" t="str">
        <f>IF(O583="","",IFERROR(MATCH(O583,'CDFs'!$A$6:$A$505,0),""))</f>
        <v/>
      </c>
      <c r="Q583" s="96">
        <f>IF(P583="",0,IF(INDEX('CDFs'!$S$6:$S$505,P583)=1,1,0))</f>
        <v>0</v>
      </c>
      <c r="R583" s="96" t="str">
        <f>IF(C583="","",TRIM(LEFT(C583,FIND(" |",C583&amp;" |")-1)))</f>
        <v/>
      </c>
      <c r="S583" s="96" t="str">
        <f>IF(R583="","",IFERROR(MATCH(R583,'ITENS_MTR'!$A$6:$A$1005,0),""))</f>
        <v/>
      </c>
      <c r="T583" s="96">
        <f>IF(S583="",0,IF(INDEX('ITENS_MTR'!$R$6:$R$1005,S583)=1,1,0))</f>
        <v>0</v>
      </c>
      <c r="U583" s="96" t="str">
        <f>IF(G583="","",IFERROR(IF(ISNUMBER(INDEX(cfg_fac,MATCH(G583,cfg_units,0))),IF(INDEX(cfg_fac,MATCH(G583,cfg_units,0))&gt;0,INDEX(cfg_fac,MATCH(G583,cfg_units,0)),""),""),""))</f>
        <v/>
      </c>
      <c r="V583" s="96">
        <f>IF(AND(ISNUMBER(F583),ISNUMBER(H583)),IF(H583&gt;0,1,0),0)</f>
        <v>0</v>
      </c>
      <c r="W583" s="96" t="str">
        <f>IF(T583=1,INDEX('ITENS_MTR'!$AU$6:$AU$1005,S583)&amp;"","")</f>
        <v/>
      </c>
      <c r="X583" s="96">
        <f>IF(AND(Q583=1,T583=1,I583&lt;&gt;"",W583&lt;&gt;""),IF(I583&lt;&gt;W583,1,0),0)</f>
        <v>0</v>
      </c>
      <c r="Y583" s="96">
        <f>IF(N583=0,0,IF(OR(Q583=0,T583=0,V583=0,AND(X583=1,J583&lt;&gt;"Sim")),1,0))</f>
        <v>0</v>
      </c>
      <c r="Z583" s="96">
        <f>IF(Q583=1,INDEX('CDFs'!$W$6:$W$505,P583),0)</f>
        <v>0</v>
      </c>
      <c r="AA583" s="96">
        <f>IF(AND(N583=1,Y583=0,Z583=1,J583="Sim"),1,0)</f>
        <v>0</v>
      </c>
      <c r="AB583" s="96">
        <f>IF(AND(N583=1,O583&lt;&gt;"",D583&lt;&gt;""),IF(COUNTIFS($O$6:O583,O583,$D$6:D583,D583)=1,1,0),0)</f>
        <v>0</v>
      </c>
      <c r="AC583" s="96">
        <f>IF(T583=1,INDEX('ITENS_MTR'!$AL$6:$AL$1005,S583),0)</f>
        <v>0</v>
      </c>
    </row>
    <row r="584">
      <c r="A584" s="89" t="inlineStr">
        <is>
          <t>VIN-000579</t>
        </is>
      </c>
      <c r="B584" s="91" t="n"/>
      <c r="C584" s="91" t="n"/>
      <c r="D584" s="94" t="str">
        <f>IF(T584=1,INDEX('ITENS_MTR'!$S$6:$S$1005,S584)&amp;"","")</f>
        <v/>
      </c>
      <c r="E584" s="94" t="str">
        <f>IF(T584=1,INDEX('ITENS_MTR'!$C$6:$C$1005,S584)&amp;"","")</f>
        <v/>
      </c>
      <c r="F584" s="98" t="n"/>
      <c r="G584" s="91" t="n"/>
      <c r="H584" s="93" t="str">
        <f>IF(N584=0,"",IF(NOT(ISNUMBER(F584)),"",IF(ISNUMBER(U584),F584*U584,"UNIDADE A CONFERIR")))</f>
        <v/>
      </c>
      <c r="I584" s="94" t="str">
        <f>IF(Q584=1,INDEX('CDFs'!$F$6:$F$505,P584)&amp;"","")</f>
        <v/>
      </c>
      <c r="J584" s="91" t="n"/>
      <c r="K584" s="91" t="n"/>
      <c r="L584" s="94" t="str">
        <f>IF(N584=0,"",IF(NOT(ISNUMBER(F584)),"Quantidade não informada",IF(F584&lt;=0,"Quantidade não positiva",IF(G584="","Unidade não informada",IF(NOT(ISNUMBER(H584)),"Unidade a conferir",IF(AC584=1,"REVISAR VÍNCULO: soma vinculada maior que a referência do item","OK"))))))</f>
        <v/>
      </c>
      <c r="M584" s="94" t="str">
        <f>IF(N584=0,"",IF(B584="","CDF não informado",IF(Q584=0,"REVISAR VÍNCULO: CDF inexistente",IF(C584="","Item não informado",IF(T584=0,"REVISAR VÍNCULO: item inexistente",IF(AND(X584=1,J584&lt;&gt;"Sim"),"REVISAR VÍNCULO: destinador diferente do MTR",IF(X584=1,"Destinador diferente do MTR (analisado)","OK")))))))</f>
        <v/>
      </c>
      <c r="N584" s="96">
        <f>IF(COUNTA(B584:C584,F584:G584,J584:K584)&gt;0,1,0)</f>
        <v>0</v>
      </c>
      <c r="O584" s="96" t="str">
        <f>IF(B584="","",TRIM(LEFT(B584,FIND(" |",B584&amp;" |")-1)))</f>
        <v/>
      </c>
      <c r="P584" s="96" t="str">
        <f>IF(O584="","",IFERROR(MATCH(O584,'CDFs'!$A$6:$A$505,0),""))</f>
        <v/>
      </c>
      <c r="Q584" s="96">
        <f>IF(P584="",0,IF(INDEX('CDFs'!$S$6:$S$505,P584)=1,1,0))</f>
        <v>0</v>
      </c>
      <c r="R584" s="96" t="str">
        <f>IF(C584="","",TRIM(LEFT(C584,FIND(" |",C584&amp;" |")-1)))</f>
        <v/>
      </c>
      <c r="S584" s="96" t="str">
        <f>IF(R584="","",IFERROR(MATCH(R584,'ITENS_MTR'!$A$6:$A$1005,0),""))</f>
        <v/>
      </c>
      <c r="T584" s="96">
        <f>IF(S584="",0,IF(INDEX('ITENS_MTR'!$R$6:$R$1005,S584)=1,1,0))</f>
        <v>0</v>
      </c>
      <c r="U584" s="96" t="str">
        <f>IF(G584="","",IFERROR(IF(ISNUMBER(INDEX(cfg_fac,MATCH(G584,cfg_units,0))),IF(INDEX(cfg_fac,MATCH(G584,cfg_units,0))&gt;0,INDEX(cfg_fac,MATCH(G584,cfg_units,0)),""),""),""))</f>
        <v/>
      </c>
      <c r="V584" s="96">
        <f>IF(AND(ISNUMBER(F584),ISNUMBER(H584)),IF(H584&gt;0,1,0),0)</f>
        <v>0</v>
      </c>
      <c r="W584" s="96" t="str">
        <f>IF(T584=1,INDEX('ITENS_MTR'!$AU$6:$AU$1005,S584)&amp;"","")</f>
        <v/>
      </c>
      <c r="X584" s="96">
        <f>IF(AND(Q584=1,T584=1,I584&lt;&gt;"",W584&lt;&gt;""),IF(I584&lt;&gt;W584,1,0),0)</f>
        <v>0</v>
      </c>
      <c r="Y584" s="96">
        <f>IF(N584=0,0,IF(OR(Q584=0,T584=0,V584=0,AND(X584=1,J584&lt;&gt;"Sim")),1,0))</f>
        <v>0</v>
      </c>
      <c r="Z584" s="96">
        <f>IF(Q584=1,INDEX('CDFs'!$W$6:$W$505,P584),0)</f>
        <v>0</v>
      </c>
      <c r="AA584" s="96">
        <f>IF(AND(N584=1,Y584=0,Z584=1,J584="Sim"),1,0)</f>
        <v>0</v>
      </c>
      <c r="AB584" s="96">
        <f>IF(AND(N584=1,O584&lt;&gt;"",D584&lt;&gt;""),IF(COUNTIFS($O$6:O584,O584,$D$6:D584,D584)=1,1,0),0)</f>
        <v>0</v>
      </c>
      <c r="AC584" s="96">
        <f>IF(T584=1,INDEX('ITENS_MTR'!$AL$6:$AL$1005,S584),0)</f>
        <v>0</v>
      </c>
    </row>
    <row r="585">
      <c r="A585" s="89" t="inlineStr">
        <is>
          <t>VIN-000580</t>
        </is>
      </c>
      <c r="B585" s="91" t="n"/>
      <c r="C585" s="91" t="n"/>
      <c r="D585" s="94" t="str">
        <f>IF(T585=1,INDEX('ITENS_MTR'!$S$6:$S$1005,S585)&amp;"","")</f>
        <v/>
      </c>
      <c r="E585" s="94" t="str">
        <f>IF(T585=1,INDEX('ITENS_MTR'!$C$6:$C$1005,S585)&amp;"","")</f>
        <v/>
      </c>
      <c r="F585" s="98" t="n"/>
      <c r="G585" s="91" t="n"/>
      <c r="H585" s="93" t="str">
        <f>IF(N585=0,"",IF(NOT(ISNUMBER(F585)),"",IF(ISNUMBER(U585),F585*U585,"UNIDADE A CONFERIR")))</f>
        <v/>
      </c>
      <c r="I585" s="94" t="str">
        <f>IF(Q585=1,INDEX('CDFs'!$F$6:$F$505,P585)&amp;"","")</f>
        <v/>
      </c>
      <c r="J585" s="91" t="n"/>
      <c r="K585" s="91" t="n"/>
      <c r="L585" s="94" t="str">
        <f>IF(N585=0,"",IF(NOT(ISNUMBER(F585)),"Quantidade não informada",IF(F585&lt;=0,"Quantidade não positiva",IF(G585="","Unidade não informada",IF(NOT(ISNUMBER(H585)),"Unidade a conferir",IF(AC585=1,"REVISAR VÍNCULO: soma vinculada maior que a referência do item","OK"))))))</f>
        <v/>
      </c>
      <c r="M585" s="94" t="str">
        <f>IF(N585=0,"",IF(B585="","CDF não informado",IF(Q585=0,"REVISAR VÍNCULO: CDF inexistente",IF(C585="","Item não informado",IF(T585=0,"REVISAR VÍNCULO: item inexistente",IF(AND(X585=1,J585&lt;&gt;"Sim"),"REVISAR VÍNCULO: destinador diferente do MTR",IF(X585=1,"Destinador diferente do MTR (analisado)","OK")))))))</f>
        <v/>
      </c>
      <c r="N585" s="96">
        <f>IF(COUNTA(B585:C585,F585:G585,J585:K585)&gt;0,1,0)</f>
        <v>0</v>
      </c>
      <c r="O585" s="96" t="str">
        <f>IF(B585="","",TRIM(LEFT(B585,FIND(" |",B585&amp;" |")-1)))</f>
        <v/>
      </c>
      <c r="P585" s="96" t="str">
        <f>IF(O585="","",IFERROR(MATCH(O585,'CDFs'!$A$6:$A$505,0),""))</f>
        <v/>
      </c>
      <c r="Q585" s="96">
        <f>IF(P585="",0,IF(INDEX('CDFs'!$S$6:$S$505,P585)=1,1,0))</f>
        <v>0</v>
      </c>
      <c r="R585" s="96" t="str">
        <f>IF(C585="","",TRIM(LEFT(C585,FIND(" |",C585&amp;" |")-1)))</f>
        <v/>
      </c>
      <c r="S585" s="96" t="str">
        <f>IF(R585="","",IFERROR(MATCH(R585,'ITENS_MTR'!$A$6:$A$1005,0),""))</f>
        <v/>
      </c>
      <c r="T585" s="96">
        <f>IF(S585="",0,IF(INDEX('ITENS_MTR'!$R$6:$R$1005,S585)=1,1,0))</f>
        <v>0</v>
      </c>
      <c r="U585" s="96" t="str">
        <f>IF(G585="","",IFERROR(IF(ISNUMBER(INDEX(cfg_fac,MATCH(G585,cfg_units,0))),IF(INDEX(cfg_fac,MATCH(G585,cfg_units,0))&gt;0,INDEX(cfg_fac,MATCH(G585,cfg_units,0)),""),""),""))</f>
        <v/>
      </c>
      <c r="V585" s="96">
        <f>IF(AND(ISNUMBER(F585),ISNUMBER(H585)),IF(H585&gt;0,1,0),0)</f>
        <v>0</v>
      </c>
      <c r="W585" s="96" t="str">
        <f>IF(T585=1,INDEX('ITENS_MTR'!$AU$6:$AU$1005,S585)&amp;"","")</f>
        <v/>
      </c>
      <c r="X585" s="96">
        <f>IF(AND(Q585=1,T585=1,I585&lt;&gt;"",W585&lt;&gt;""),IF(I585&lt;&gt;W585,1,0),0)</f>
        <v>0</v>
      </c>
      <c r="Y585" s="96">
        <f>IF(N585=0,0,IF(OR(Q585=0,T585=0,V585=0,AND(X585=1,J585&lt;&gt;"Sim")),1,0))</f>
        <v>0</v>
      </c>
      <c r="Z585" s="96">
        <f>IF(Q585=1,INDEX('CDFs'!$W$6:$W$505,P585),0)</f>
        <v>0</v>
      </c>
      <c r="AA585" s="96">
        <f>IF(AND(N585=1,Y585=0,Z585=1,J585="Sim"),1,0)</f>
        <v>0</v>
      </c>
      <c r="AB585" s="96">
        <f>IF(AND(N585=1,O585&lt;&gt;"",D585&lt;&gt;""),IF(COUNTIFS($O$6:O585,O585,$D$6:D585,D585)=1,1,0),0)</f>
        <v>0</v>
      </c>
      <c r="AC585" s="96">
        <f>IF(T585=1,INDEX('ITENS_MTR'!$AL$6:$AL$1005,S585),0)</f>
        <v>0</v>
      </c>
    </row>
    <row r="586">
      <c r="A586" s="89" t="inlineStr">
        <is>
          <t>VIN-000581</t>
        </is>
      </c>
      <c r="B586" s="91" t="n"/>
      <c r="C586" s="91" t="n"/>
      <c r="D586" s="94" t="str">
        <f>IF(T586=1,INDEX('ITENS_MTR'!$S$6:$S$1005,S586)&amp;"","")</f>
        <v/>
      </c>
      <c r="E586" s="94" t="str">
        <f>IF(T586=1,INDEX('ITENS_MTR'!$C$6:$C$1005,S586)&amp;"","")</f>
        <v/>
      </c>
      <c r="F586" s="98" t="n"/>
      <c r="G586" s="91" t="n"/>
      <c r="H586" s="93" t="str">
        <f>IF(N586=0,"",IF(NOT(ISNUMBER(F586)),"",IF(ISNUMBER(U586),F586*U586,"UNIDADE A CONFERIR")))</f>
        <v/>
      </c>
      <c r="I586" s="94" t="str">
        <f>IF(Q586=1,INDEX('CDFs'!$F$6:$F$505,P586)&amp;"","")</f>
        <v/>
      </c>
      <c r="J586" s="91" t="n"/>
      <c r="K586" s="91" t="n"/>
      <c r="L586" s="94" t="str">
        <f>IF(N586=0,"",IF(NOT(ISNUMBER(F586)),"Quantidade não informada",IF(F586&lt;=0,"Quantidade não positiva",IF(G586="","Unidade não informada",IF(NOT(ISNUMBER(H586)),"Unidade a conferir",IF(AC586=1,"REVISAR VÍNCULO: soma vinculada maior que a referência do item","OK"))))))</f>
        <v/>
      </c>
      <c r="M586" s="94" t="str">
        <f>IF(N586=0,"",IF(B586="","CDF não informado",IF(Q586=0,"REVISAR VÍNCULO: CDF inexistente",IF(C586="","Item não informado",IF(T586=0,"REVISAR VÍNCULO: item inexistente",IF(AND(X586=1,J586&lt;&gt;"Sim"),"REVISAR VÍNCULO: destinador diferente do MTR",IF(X586=1,"Destinador diferente do MTR (analisado)","OK")))))))</f>
        <v/>
      </c>
      <c r="N586" s="96">
        <f>IF(COUNTA(B586:C586,F586:G586,J586:K586)&gt;0,1,0)</f>
        <v>0</v>
      </c>
      <c r="O586" s="96" t="str">
        <f>IF(B586="","",TRIM(LEFT(B586,FIND(" |",B586&amp;" |")-1)))</f>
        <v/>
      </c>
      <c r="P586" s="96" t="str">
        <f>IF(O586="","",IFERROR(MATCH(O586,'CDFs'!$A$6:$A$505,0),""))</f>
        <v/>
      </c>
      <c r="Q586" s="96">
        <f>IF(P586="",0,IF(INDEX('CDFs'!$S$6:$S$505,P586)=1,1,0))</f>
        <v>0</v>
      </c>
      <c r="R586" s="96" t="str">
        <f>IF(C586="","",TRIM(LEFT(C586,FIND(" |",C586&amp;" |")-1)))</f>
        <v/>
      </c>
      <c r="S586" s="96" t="str">
        <f>IF(R586="","",IFERROR(MATCH(R586,'ITENS_MTR'!$A$6:$A$1005,0),""))</f>
        <v/>
      </c>
      <c r="T586" s="96">
        <f>IF(S586="",0,IF(INDEX('ITENS_MTR'!$R$6:$R$1005,S586)=1,1,0))</f>
        <v>0</v>
      </c>
      <c r="U586" s="96" t="str">
        <f>IF(G586="","",IFERROR(IF(ISNUMBER(INDEX(cfg_fac,MATCH(G586,cfg_units,0))),IF(INDEX(cfg_fac,MATCH(G586,cfg_units,0))&gt;0,INDEX(cfg_fac,MATCH(G586,cfg_units,0)),""),""),""))</f>
        <v/>
      </c>
      <c r="V586" s="96">
        <f>IF(AND(ISNUMBER(F586),ISNUMBER(H586)),IF(H586&gt;0,1,0),0)</f>
        <v>0</v>
      </c>
      <c r="W586" s="96" t="str">
        <f>IF(T586=1,INDEX('ITENS_MTR'!$AU$6:$AU$1005,S586)&amp;"","")</f>
        <v/>
      </c>
      <c r="X586" s="96">
        <f>IF(AND(Q586=1,T586=1,I586&lt;&gt;"",W586&lt;&gt;""),IF(I586&lt;&gt;W586,1,0),0)</f>
        <v>0</v>
      </c>
      <c r="Y586" s="96">
        <f>IF(N586=0,0,IF(OR(Q586=0,T586=0,V586=0,AND(X586=1,J586&lt;&gt;"Sim")),1,0))</f>
        <v>0</v>
      </c>
      <c r="Z586" s="96">
        <f>IF(Q586=1,INDEX('CDFs'!$W$6:$W$505,P586),0)</f>
        <v>0</v>
      </c>
      <c r="AA586" s="96">
        <f>IF(AND(N586=1,Y586=0,Z586=1,J586="Sim"),1,0)</f>
        <v>0</v>
      </c>
      <c r="AB586" s="96">
        <f>IF(AND(N586=1,O586&lt;&gt;"",D586&lt;&gt;""),IF(COUNTIFS($O$6:O586,O586,$D$6:D586,D586)=1,1,0),0)</f>
        <v>0</v>
      </c>
      <c r="AC586" s="96">
        <f>IF(T586=1,INDEX('ITENS_MTR'!$AL$6:$AL$1005,S586),0)</f>
        <v>0</v>
      </c>
    </row>
    <row r="587">
      <c r="A587" s="89" t="inlineStr">
        <is>
          <t>VIN-000582</t>
        </is>
      </c>
      <c r="B587" s="91" t="n"/>
      <c r="C587" s="91" t="n"/>
      <c r="D587" s="94" t="str">
        <f>IF(T587=1,INDEX('ITENS_MTR'!$S$6:$S$1005,S587)&amp;"","")</f>
        <v/>
      </c>
      <c r="E587" s="94" t="str">
        <f>IF(T587=1,INDEX('ITENS_MTR'!$C$6:$C$1005,S587)&amp;"","")</f>
        <v/>
      </c>
      <c r="F587" s="98" t="n"/>
      <c r="G587" s="91" t="n"/>
      <c r="H587" s="93" t="str">
        <f>IF(N587=0,"",IF(NOT(ISNUMBER(F587)),"",IF(ISNUMBER(U587),F587*U587,"UNIDADE A CONFERIR")))</f>
        <v/>
      </c>
      <c r="I587" s="94" t="str">
        <f>IF(Q587=1,INDEX('CDFs'!$F$6:$F$505,P587)&amp;"","")</f>
        <v/>
      </c>
      <c r="J587" s="91" t="n"/>
      <c r="K587" s="91" t="n"/>
      <c r="L587" s="94" t="str">
        <f>IF(N587=0,"",IF(NOT(ISNUMBER(F587)),"Quantidade não informada",IF(F587&lt;=0,"Quantidade não positiva",IF(G587="","Unidade não informada",IF(NOT(ISNUMBER(H587)),"Unidade a conferir",IF(AC587=1,"REVISAR VÍNCULO: soma vinculada maior que a referência do item","OK"))))))</f>
        <v/>
      </c>
      <c r="M587" s="94" t="str">
        <f>IF(N587=0,"",IF(B587="","CDF não informado",IF(Q587=0,"REVISAR VÍNCULO: CDF inexistente",IF(C587="","Item não informado",IF(T587=0,"REVISAR VÍNCULO: item inexistente",IF(AND(X587=1,J587&lt;&gt;"Sim"),"REVISAR VÍNCULO: destinador diferente do MTR",IF(X587=1,"Destinador diferente do MTR (analisado)","OK")))))))</f>
        <v/>
      </c>
      <c r="N587" s="96">
        <f>IF(COUNTA(B587:C587,F587:G587,J587:K587)&gt;0,1,0)</f>
        <v>0</v>
      </c>
      <c r="O587" s="96" t="str">
        <f>IF(B587="","",TRIM(LEFT(B587,FIND(" |",B587&amp;" |")-1)))</f>
        <v/>
      </c>
      <c r="P587" s="96" t="str">
        <f>IF(O587="","",IFERROR(MATCH(O587,'CDFs'!$A$6:$A$505,0),""))</f>
        <v/>
      </c>
      <c r="Q587" s="96">
        <f>IF(P587="",0,IF(INDEX('CDFs'!$S$6:$S$505,P587)=1,1,0))</f>
        <v>0</v>
      </c>
      <c r="R587" s="96" t="str">
        <f>IF(C587="","",TRIM(LEFT(C587,FIND(" |",C587&amp;" |")-1)))</f>
        <v/>
      </c>
      <c r="S587" s="96" t="str">
        <f>IF(R587="","",IFERROR(MATCH(R587,'ITENS_MTR'!$A$6:$A$1005,0),""))</f>
        <v/>
      </c>
      <c r="T587" s="96">
        <f>IF(S587="",0,IF(INDEX('ITENS_MTR'!$R$6:$R$1005,S587)=1,1,0))</f>
        <v>0</v>
      </c>
      <c r="U587" s="96" t="str">
        <f>IF(G587="","",IFERROR(IF(ISNUMBER(INDEX(cfg_fac,MATCH(G587,cfg_units,0))),IF(INDEX(cfg_fac,MATCH(G587,cfg_units,0))&gt;0,INDEX(cfg_fac,MATCH(G587,cfg_units,0)),""),""),""))</f>
        <v/>
      </c>
      <c r="V587" s="96">
        <f>IF(AND(ISNUMBER(F587),ISNUMBER(H587)),IF(H587&gt;0,1,0),0)</f>
        <v>0</v>
      </c>
      <c r="W587" s="96" t="str">
        <f>IF(T587=1,INDEX('ITENS_MTR'!$AU$6:$AU$1005,S587)&amp;"","")</f>
        <v/>
      </c>
      <c r="X587" s="96">
        <f>IF(AND(Q587=1,T587=1,I587&lt;&gt;"",W587&lt;&gt;""),IF(I587&lt;&gt;W587,1,0),0)</f>
        <v>0</v>
      </c>
      <c r="Y587" s="96">
        <f>IF(N587=0,0,IF(OR(Q587=0,T587=0,V587=0,AND(X587=1,J587&lt;&gt;"Sim")),1,0))</f>
        <v>0</v>
      </c>
      <c r="Z587" s="96">
        <f>IF(Q587=1,INDEX('CDFs'!$W$6:$W$505,P587),0)</f>
        <v>0</v>
      </c>
      <c r="AA587" s="96">
        <f>IF(AND(N587=1,Y587=0,Z587=1,J587="Sim"),1,0)</f>
        <v>0</v>
      </c>
      <c r="AB587" s="96">
        <f>IF(AND(N587=1,O587&lt;&gt;"",D587&lt;&gt;""),IF(COUNTIFS($O$6:O587,O587,$D$6:D587,D587)=1,1,0),0)</f>
        <v>0</v>
      </c>
      <c r="AC587" s="96">
        <f>IF(T587=1,INDEX('ITENS_MTR'!$AL$6:$AL$1005,S587),0)</f>
        <v>0</v>
      </c>
    </row>
    <row r="588">
      <c r="A588" s="89" t="inlineStr">
        <is>
          <t>VIN-000583</t>
        </is>
      </c>
      <c r="B588" s="91" t="n"/>
      <c r="C588" s="91" t="n"/>
      <c r="D588" s="94" t="str">
        <f>IF(T588=1,INDEX('ITENS_MTR'!$S$6:$S$1005,S588)&amp;"","")</f>
        <v/>
      </c>
      <c r="E588" s="94" t="str">
        <f>IF(T588=1,INDEX('ITENS_MTR'!$C$6:$C$1005,S588)&amp;"","")</f>
        <v/>
      </c>
      <c r="F588" s="98" t="n"/>
      <c r="G588" s="91" t="n"/>
      <c r="H588" s="93" t="str">
        <f>IF(N588=0,"",IF(NOT(ISNUMBER(F588)),"",IF(ISNUMBER(U588),F588*U588,"UNIDADE A CONFERIR")))</f>
        <v/>
      </c>
      <c r="I588" s="94" t="str">
        <f>IF(Q588=1,INDEX('CDFs'!$F$6:$F$505,P588)&amp;"","")</f>
        <v/>
      </c>
      <c r="J588" s="91" t="n"/>
      <c r="K588" s="91" t="n"/>
      <c r="L588" s="94" t="str">
        <f>IF(N588=0,"",IF(NOT(ISNUMBER(F588)),"Quantidade não informada",IF(F588&lt;=0,"Quantidade não positiva",IF(G588="","Unidade não informada",IF(NOT(ISNUMBER(H588)),"Unidade a conferir",IF(AC588=1,"REVISAR VÍNCULO: soma vinculada maior que a referência do item","OK"))))))</f>
        <v/>
      </c>
      <c r="M588" s="94" t="str">
        <f>IF(N588=0,"",IF(B588="","CDF não informado",IF(Q588=0,"REVISAR VÍNCULO: CDF inexistente",IF(C588="","Item não informado",IF(T588=0,"REVISAR VÍNCULO: item inexistente",IF(AND(X588=1,J588&lt;&gt;"Sim"),"REVISAR VÍNCULO: destinador diferente do MTR",IF(X588=1,"Destinador diferente do MTR (analisado)","OK")))))))</f>
        <v/>
      </c>
      <c r="N588" s="96">
        <f>IF(COUNTA(B588:C588,F588:G588,J588:K588)&gt;0,1,0)</f>
        <v>0</v>
      </c>
      <c r="O588" s="96" t="str">
        <f>IF(B588="","",TRIM(LEFT(B588,FIND(" |",B588&amp;" |")-1)))</f>
        <v/>
      </c>
      <c r="P588" s="96" t="str">
        <f>IF(O588="","",IFERROR(MATCH(O588,'CDFs'!$A$6:$A$505,0),""))</f>
        <v/>
      </c>
      <c r="Q588" s="96">
        <f>IF(P588="",0,IF(INDEX('CDFs'!$S$6:$S$505,P588)=1,1,0))</f>
        <v>0</v>
      </c>
      <c r="R588" s="96" t="str">
        <f>IF(C588="","",TRIM(LEFT(C588,FIND(" |",C588&amp;" |")-1)))</f>
        <v/>
      </c>
      <c r="S588" s="96" t="str">
        <f>IF(R588="","",IFERROR(MATCH(R588,'ITENS_MTR'!$A$6:$A$1005,0),""))</f>
        <v/>
      </c>
      <c r="T588" s="96">
        <f>IF(S588="",0,IF(INDEX('ITENS_MTR'!$R$6:$R$1005,S588)=1,1,0))</f>
        <v>0</v>
      </c>
      <c r="U588" s="96" t="str">
        <f>IF(G588="","",IFERROR(IF(ISNUMBER(INDEX(cfg_fac,MATCH(G588,cfg_units,0))),IF(INDEX(cfg_fac,MATCH(G588,cfg_units,0))&gt;0,INDEX(cfg_fac,MATCH(G588,cfg_units,0)),""),""),""))</f>
        <v/>
      </c>
      <c r="V588" s="96">
        <f>IF(AND(ISNUMBER(F588),ISNUMBER(H588)),IF(H588&gt;0,1,0),0)</f>
        <v>0</v>
      </c>
      <c r="W588" s="96" t="str">
        <f>IF(T588=1,INDEX('ITENS_MTR'!$AU$6:$AU$1005,S588)&amp;"","")</f>
        <v/>
      </c>
      <c r="X588" s="96">
        <f>IF(AND(Q588=1,T588=1,I588&lt;&gt;"",W588&lt;&gt;""),IF(I588&lt;&gt;W588,1,0),0)</f>
        <v>0</v>
      </c>
      <c r="Y588" s="96">
        <f>IF(N588=0,0,IF(OR(Q588=0,T588=0,V588=0,AND(X588=1,J588&lt;&gt;"Sim")),1,0))</f>
        <v>0</v>
      </c>
      <c r="Z588" s="96">
        <f>IF(Q588=1,INDEX('CDFs'!$W$6:$W$505,P588),0)</f>
        <v>0</v>
      </c>
      <c r="AA588" s="96">
        <f>IF(AND(N588=1,Y588=0,Z588=1,J588="Sim"),1,0)</f>
        <v>0</v>
      </c>
      <c r="AB588" s="96">
        <f>IF(AND(N588=1,O588&lt;&gt;"",D588&lt;&gt;""),IF(COUNTIFS($O$6:O588,O588,$D$6:D588,D588)=1,1,0),0)</f>
        <v>0</v>
      </c>
      <c r="AC588" s="96">
        <f>IF(T588=1,INDEX('ITENS_MTR'!$AL$6:$AL$1005,S588),0)</f>
        <v>0</v>
      </c>
    </row>
    <row r="589">
      <c r="A589" s="89" t="inlineStr">
        <is>
          <t>VIN-000584</t>
        </is>
      </c>
      <c r="B589" s="91" t="n"/>
      <c r="C589" s="91" t="n"/>
      <c r="D589" s="94" t="str">
        <f>IF(T589=1,INDEX('ITENS_MTR'!$S$6:$S$1005,S589)&amp;"","")</f>
        <v/>
      </c>
      <c r="E589" s="94" t="str">
        <f>IF(T589=1,INDEX('ITENS_MTR'!$C$6:$C$1005,S589)&amp;"","")</f>
        <v/>
      </c>
      <c r="F589" s="98" t="n"/>
      <c r="G589" s="91" t="n"/>
      <c r="H589" s="93" t="str">
        <f>IF(N589=0,"",IF(NOT(ISNUMBER(F589)),"",IF(ISNUMBER(U589),F589*U589,"UNIDADE A CONFERIR")))</f>
        <v/>
      </c>
      <c r="I589" s="94" t="str">
        <f>IF(Q589=1,INDEX('CDFs'!$F$6:$F$505,P589)&amp;"","")</f>
        <v/>
      </c>
      <c r="J589" s="91" t="n"/>
      <c r="K589" s="91" t="n"/>
      <c r="L589" s="94" t="str">
        <f>IF(N589=0,"",IF(NOT(ISNUMBER(F589)),"Quantidade não informada",IF(F589&lt;=0,"Quantidade não positiva",IF(G589="","Unidade não informada",IF(NOT(ISNUMBER(H589)),"Unidade a conferir",IF(AC589=1,"REVISAR VÍNCULO: soma vinculada maior que a referência do item","OK"))))))</f>
        <v/>
      </c>
      <c r="M589" s="94" t="str">
        <f>IF(N589=0,"",IF(B589="","CDF não informado",IF(Q589=0,"REVISAR VÍNCULO: CDF inexistente",IF(C589="","Item não informado",IF(T589=0,"REVISAR VÍNCULO: item inexistente",IF(AND(X589=1,J589&lt;&gt;"Sim"),"REVISAR VÍNCULO: destinador diferente do MTR",IF(X589=1,"Destinador diferente do MTR (analisado)","OK")))))))</f>
        <v/>
      </c>
      <c r="N589" s="96">
        <f>IF(COUNTA(B589:C589,F589:G589,J589:K589)&gt;0,1,0)</f>
        <v>0</v>
      </c>
      <c r="O589" s="96" t="str">
        <f>IF(B589="","",TRIM(LEFT(B589,FIND(" |",B589&amp;" |")-1)))</f>
        <v/>
      </c>
      <c r="P589" s="96" t="str">
        <f>IF(O589="","",IFERROR(MATCH(O589,'CDFs'!$A$6:$A$505,0),""))</f>
        <v/>
      </c>
      <c r="Q589" s="96">
        <f>IF(P589="",0,IF(INDEX('CDFs'!$S$6:$S$505,P589)=1,1,0))</f>
        <v>0</v>
      </c>
      <c r="R589" s="96" t="str">
        <f>IF(C589="","",TRIM(LEFT(C589,FIND(" |",C589&amp;" |")-1)))</f>
        <v/>
      </c>
      <c r="S589" s="96" t="str">
        <f>IF(R589="","",IFERROR(MATCH(R589,'ITENS_MTR'!$A$6:$A$1005,0),""))</f>
        <v/>
      </c>
      <c r="T589" s="96">
        <f>IF(S589="",0,IF(INDEX('ITENS_MTR'!$R$6:$R$1005,S589)=1,1,0))</f>
        <v>0</v>
      </c>
      <c r="U589" s="96" t="str">
        <f>IF(G589="","",IFERROR(IF(ISNUMBER(INDEX(cfg_fac,MATCH(G589,cfg_units,0))),IF(INDEX(cfg_fac,MATCH(G589,cfg_units,0))&gt;0,INDEX(cfg_fac,MATCH(G589,cfg_units,0)),""),""),""))</f>
        <v/>
      </c>
      <c r="V589" s="96">
        <f>IF(AND(ISNUMBER(F589),ISNUMBER(H589)),IF(H589&gt;0,1,0),0)</f>
        <v>0</v>
      </c>
      <c r="W589" s="96" t="str">
        <f>IF(T589=1,INDEX('ITENS_MTR'!$AU$6:$AU$1005,S589)&amp;"","")</f>
        <v/>
      </c>
      <c r="X589" s="96">
        <f>IF(AND(Q589=1,T589=1,I589&lt;&gt;"",W589&lt;&gt;""),IF(I589&lt;&gt;W589,1,0),0)</f>
        <v>0</v>
      </c>
      <c r="Y589" s="96">
        <f>IF(N589=0,0,IF(OR(Q589=0,T589=0,V589=0,AND(X589=1,J589&lt;&gt;"Sim")),1,0))</f>
        <v>0</v>
      </c>
      <c r="Z589" s="96">
        <f>IF(Q589=1,INDEX('CDFs'!$W$6:$W$505,P589),0)</f>
        <v>0</v>
      </c>
      <c r="AA589" s="96">
        <f>IF(AND(N589=1,Y589=0,Z589=1,J589="Sim"),1,0)</f>
        <v>0</v>
      </c>
      <c r="AB589" s="96">
        <f>IF(AND(N589=1,O589&lt;&gt;"",D589&lt;&gt;""),IF(COUNTIFS($O$6:O589,O589,$D$6:D589,D589)=1,1,0),0)</f>
        <v>0</v>
      </c>
      <c r="AC589" s="96">
        <f>IF(T589=1,INDEX('ITENS_MTR'!$AL$6:$AL$1005,S589),0)</f>
        <v>0</v>
      </c>
    </row>
    <row r="590">
      <c r="A590" s="89" t="inlineStr">
        <is>
          <t>VIN-000585</t>
        </is>
      </c>
      <c r="B590" s="91" t="n"/>
      <c r="C590" s="91" t="n"/>
      <c r="D590" s="94" t="str">
        <f>IF(T590=1,INDEX('ITENS_MTR'!$S$6:$S$1005,S590)&amp;"","")</f>
        <v/>
      </c>
      <c r="E590" s="94" t="str">
        <f>IF(T590=1,INDEX('ITENS_MTR'!$C$6:$C$1005,S590)&amp;"","")</f>
        <v/>
      </c>
      <c r="F590" s="98" t="n"/>
      <c r="G590" s="91" t="n"/>
      <c r="H590" s="93" t="str">
        <f>IF(N590=0,"",IF(NOT(ISNUMBER(F590)),"",IF(ISNUMBER(U590),F590*U590,"UNIDADE A CONFERIR")))</f>
        <v/>
      </c>
      <c r="I590" s="94" t="str">
        <f>IF(Q590=1,INDEX('CDFs'!$F$6:$F$505,P590)&amp;"","")</f>
        <v/>
      </c>
      <c r="J590" s="91" t="n"/>
      <c r="K590" s="91" t="n"/>
      <c r="L590" s="94" t="str">
        <f>IF(N590=0,"",IF(NOT(ISNUMBER(F590)),"Quantidade não informada",IF(F590&lt;=0,"Quantidade não positiva",IF(G590="","Unidade não informada",IF(NOT(ISNUMBER(H590)),"Unidade a conferir",IF(AC590=1,"REVISAR VÍNCULO: soma vinculada maior que a referência do item","OK"))))))</f>
        <v/>
      </c>
      <c r="M590" s="94" t="str">
        <f>IF(N590=0,"",IF(B590="","CDF não informado",IF(Q590=0,"REVISAR VÍNCULO: CDF inexistente",IF(C590="","Item não informado",IF(T590=0,"REVISAR VÍNCULO: item inexistente",IF(AND(X590=1,J590&lt;&gt;"Sim"),"REVISAR VÍNCULO: destinador diferente do MTR",IF(X590=1,"Destinador diferente do MTR (analisado)","OK")))))))</f>
        <v/>
      </c>
      <c r="N590" s="96">
        <f>IF(COUNTA(B590:C590,F590:G590,J590:K590)&gt;0,1,0)</f>
        <v>0</v>
      </c>
      <c r="O590" s="96" t="str">
        <f>IF(B590="","",TRIM(LEFT(B590,FIND(" |",B590&amp;" |")-1)))</f>
        <v/>
      </c>
      <c r="P590" s="96" t="str">
        <f>IF(O590="","",IFERROR(MATCH(O590,'CDFs'!$A$6:$A$505,0),""))</f>
        <v/>
      </c>
      <c r="Q590" s="96">
        <f>IF(P590="",0,IF(INDEX('CDFs'!$S$6:$S$505,P590)=1,1,0))</f>
        <v>0</v>
      </c>
      <c r="R590" s="96" t="str">
        <f>IF(C590="","",TRIM(LEFT(C590,FIND(" |",C590&amp;" |")-1)))</f>
        <v/>
      </c>
      <c r="S590" s="96" t="str">
        <f>IF(R590="","",IFERROR(MATCH(R590,'ITENS_MTR'!$A$6:$A$1005,0),""))</f>
        <v/>
      </c>
      <c r="T590" s="96">
        <f>IF(S590="",0,IF(INDEX('ITENS_MTR'!$R$6:$R$1005,S590)=1,1,0))</f>
        <v>0</v>
      </c>
      <c r="U590" s="96" t="str">
        <f>IF(G590="","",IFERROR(IF(ISNUMBER(INDEX(cfg_fac,MATCH(G590,cfg_units,0))),IF(INDEX(cfg_fac,MATCH(G590,cfg_units,0))&gt;0,INDEX(cfg_fac,MATCH(G590,cfg_units,0)),""),""),""))</f>
        <v/>
      </c>
      <c r="V590" s="96">
        <f>IF(AND(ISNUMBER(F590),ISNUMBER(H590)),IF(H590&gt;0,1,0),0)</f>
        <v>0</v>
      </c>
      <c r="W590" s="96" t="str">
        <f>IF(T590=1,INDEX('ITENS_MTR'!$AU$6:$AU$1005,S590)&amp;"","")</f>
        <v/>
      </c>
      <c r="X590" s="96">
        <f>IF(AND(Q590=1,T590=1,I590&lt;&gt;"",W590&lt;&gt;""),IF(I590&lt;&gt;W590,1,0),0)</f>
        <v>0</v>
      </c>
      <c r="Y590" s="96">
        <f>IF(N590=0,0,IF(OR(Q590=0,T590=0,V590=0,AND(X590=1,J590&lt;&gt;"Sim")),1,0))</f>
        <v>0</v>
      </c>
      <c r="Z590" s="96">
        <f>IF(Q590=1,INDEX('CDFs'!$W$6:$W$505,P590),0)</f>
        <v>0</v>
      </c>
      <c r="AA590" s="96">
        <f>IF(AND(N590=1,Y590=0,Z590=1,J590="Sim"),1,0)</f>
        <v>0</v>
      </c>
      <c r="AB590" s="96">
        <f>IF(AND(N590=1,O590&lt;&gt;"",D590&lt;&gt;""),IF(COUNTIFS($O$6:O590,O590,$D$6:D590,D590)=1,1,0),0)</f>
        <v>0</v>
      </c>
      <c r="AC590" s="96">
        <f>IF(T590=1,INDEX('ITENS_MTR'!$AL$6:$AL$1005,S590),0)</f>
        <v>0</v>
      </c>
    </row>
    <row r="591">
      <c r="A591" s="89" t="inlineStr">
        <is>
          <t>VIN-000586</t>
        </is>
      </c>
      <c r="B591" s="91" t="n"/>
      <c r="C591" s="91" t="n"/>
      <c r="D591" s="94" t="str">
        <f>IF(T591=1,INDEX('ITENS_MTR'!$S$6:$S$1005,S591)&amp;"","")</f>
        <v/>
      </c>
      <c r="E591" s="94" t="str">
        <f>IF(T591=1,INDEX('ITENS_MTR'!$C$6:$C$1005,S591)&amp;"","")</f>
        <v/>
      </c>
      <c r="F591" s="98" t="n"/>
      <c r="G591" s="91" t="n"/>
      <c r="H591" s="93" t="str">
        <f>IF(N591=0,"",IF(NOT(ISNUMBER(F591)),"",IF(ISNUMBER(U591),F591*U591,"UNIDADE A CONFERIR")))</f>
        <v/>
      </c>
      <c r="I591" s="94" t="str">
        <f>IF(Q591=1,INDEX('CDFs'!$F$6:$F$505,P591)&amp;"","")</f>
        <v/>
      </c>
      <c r="J591" s="91" t="n"/>
      <c r="K591" s="91" t="n"/>
      <c r="L591" s="94" t="str">
        <f>IF(N591=0,"",IF(NOT(ISNUMBER(F591)),"Quantidade não informada",IF(F591&lt;=0,"Quantidade não positiva",IF(G591="","Unidade não informada",IF(NOT(ISNUMBER(H591)),"Unidade a conferir",IF(AC591=1,"REVISAR VÍNCULO: soma vinculada maior que a referência do item","OK"))))))</f>
        <v/>
      </c>
      <c r="M591" s="94" t="str">
        <f>IF(N591=0,"",IF(B591="","CDF não informado",IF(Q591=0,"REVISAR VÍNCULO: CDF inexistente",IF(C591="","Item não informado",IF(T591=0,"REVISAR VÍNCULO: item inexistente",IF(AND(X591=1,J591&lt;&gt;"Sim"),"REVISAR VÍNCULO: destinador diferente do MTR",IF(X591=1,"Destinador diferente do MTR (analisado)","OK")))))))</f>
        <v/>
      </c>
      <c r="N591" s="96">
        <f>IF(COUNTA(B591:C591,F591:G591,J591:K591)&gt;0,1,0)</f>
        <v>0</v>
      </c>
      <c r="O591" s="96" t="str">
        <f>IF(B591="","",TRIM(LEFT(B591,FIND(" |",B591&amp;" |")-1)))</f>
        <v/>
      </c>
      <c r="P591" s="96" t="str">
        <f>IF(O591="","",IFERROR(MATCH(O591,'CDFs'!$A$6:$A$505,0),""))</f>
        <v/>
      </c>
      <c r="Q591" s="96">
        <f>IF(P591="",0,IF(INDEX('CDFs'!$S$6:$S$505,P591)=1,1,0))</f>
        <v>0</v>
      </c>
      <c r="R591" s="96" t="str">
        <f>IF(C591="","",TRIM(LEFT(C591,FIND(" |",C591&amp;" |")-1)))</f>
        <v/>
      </c>
      <c r="S591" s="96" t="str">
        <f>IF(R591="","",IFERROR(MATCH(R591,'ITENS_MTR'!$A$6:$A$1005,0),""))</f>
        <v/>
      </c>
      <c r="T591" s="96">
        <f>IF(S591="",0,IF(INDEX('ITENS_MTR'!$R$6:$R$1005,S591)=1,1,0))</f>
        <v>0</v>
      </c>
      <c r="U591" s="96" t="str">
        <f>IF(G591="","",IFERROR(IF(ISNUMBER(INDEX(cfg_fac,MATCH(G591,cfg_units,0))),IF(INDEX(cfg_fac,MATCH(G591,cfg_units,0))&gt;0,INDEX(cfg_fac,MATCH(G591,cfg_units,0)),""),""),""))</f>
        <v/>
      </c>
      <c r="V591" s="96">
        <f>IF(AND(ISNUMBER(F591),ISNUMBER(H591)),IF(H591&gt;0,1,0),0)</f>
        <v>0</v>
      </c>
      <c r="W591" s="96" t="str">
        <f>IF(T591=1,INDEX('ITENS_MTR'!$AU$6:$AU$1005,S591)&amp;"","")</f>
        <v/>
      </c>
      <c r="X591" s="96">
        <f>IF(AND(Q591=1,T591=1,I591&lt;&gt;"",W591&lt;&gt;""),IF(I591&lt;&gt;W591,1,0),0)</f>
        <v>0</v>
      </c>
      <c r="Y591" s="96">
        <f>IF(N591=0,0,IF(OR(Q591=0,T591=0,V591=0,AND(X591=1,J591&lt;&gt;"Sim")),1,0))</f>
        <v>0</v>
      </c>
      <c r="Z591" s="96">
        <f>IF(Q591=1,INDEX('CDFs'!$W$6:$W$505,P591),0)</f>
        <v>0</v>
      </c>
      <c r="AA591" s="96">
        <f>IF(AND(N591=1,Y591=0,Z591=1,J591="Sim"),1,0)</f>
        <v>0</v>
      </c>
      <c r="AB591" s="96">
        <f>IF(AND(N591=1,O591&lt;&gt;"",D591&lt;&gt;""),IF(COUNTIFS($O$6:O591,O591,$D$6:D591,D591)=1,1,0),0)</f>
        <v>0</v>
      </c>
      <c r="AC591" s="96">
        <f>IF(T591=1,INDEX('ITENS_MTR'!$AL$6:$AL$1005,S591),0)</f>
        <v>0</v>
      </c>
    </row>
    <row r="592">
      <c r="A592" s="89" t="inlineStr">
        <is>
          <t>VIN-000587</t>
        </is>
      </c>
      <c r="B592" s="91" t="n"/>
      <c r="C592" s="91" t="n"/>
      <c r="D592" s="94" t="str">
        <f>IF(T592=1,INDEX('ITENS_MTR'!$S$6:$S$1005,S592)&amp;"","")</f>
        <v/>
      </c>
      <c r="E592" s="94" t="str">
        <f>IF(T592=1,INDEX('ITENS_MTR'!$C$6:$C$1005,S592)&amp;"","")</f>
        <v/>
      </c>
      <c r="F592" s="98" t="n"/>
      <c r="G592" s="91" t="n"/>
      <c r="H592" s="93" t="str">
        <f>IF(N592=0,"",IF(NOT(ISNUMBER(F592)),"",IF(ISNUMBER(U592),F592*U592,"UNIDADE A CONFERIR")))</f>
        <v/>
      </c>
      <c r="I592" s="94" t="str">
        <f>IF(Q592=1,INDEX('CDFs'!$F$6:$F$505,P592)&amp;"","")</f>
        <v/>
      </c>
      <c r="J592" s="91" t="n"/>
      <c r="K592" s="91" t="n"/>
      <c r="L592" s="94" t="str">
        <f>IF(N592=0,"",IF(NOT(ISNUMBER(F592)),"Quantidade não informada",IF(F592&lt;=0,"Quantidade não positiva",IF(G592="","Unidade não informada",IF(NOT(ISNUMBER(H592)),"Unidade a conferir",IF(AC592=1,"REVISAR VÍNCULO: soma vinculada maior que a referência do item","OK"))))))</f>
        <v/>
      </c>
      <c r="M592" s="94" t="str">
        <f>IF(N592=0,"",IF(B592="","CDF não informado",IF(Q592=0,"REVISAR VÍNCULO: CDF inexistente",IF(C592="","Item não informado",IF(T592=0,"REVISAR VÍNCULO: item inexistente",IF(AND(X592=1,J592&lt;&gt;"Sim"),"REVISAR VÍNCULO: destinador diferente do MTR",IF(X592=1,"Destinador diferente do MTR (analisado)","OK")))))))</f>
        <v/>
      </c>
      <c r="N592" s="96">
        <f>IF(COUNTA(B592:C592,F592:G592,J592:K592)&gt;0,1,0)</f>
        <v>0</v>
      </c>
      <c r="O592" s="96" t="str">
        <f>IF(B592="","",TRIM(LEFT(B592,FIND(" |",B592&amp;" |")-1)))</f>
        <v/>
      </c>
      <c r="P592" s="96" t="str">
        <f>IF(O592="","",IFERROR(MATCH(O592,'CDFs'!$A$6:$A$505,0),""))</f>
        <v/>
      </c>
      <c r="Q592" s="96">
        <f>IF(P592="",0,IF(INDEX('CDFs'!$S$6:$S$505,P592)=1,1,0))</f>
        <v>0</v>
      </c>
      <c r="R592" s="96" t="str">
        <f>IF(C592="","",TRIM(LEFT(C592,FIND(" |",C592&amp;" |")-1)))</f>
        <v/>
      </c>
      <c r="S592" s="96" t="str">
        <f>IF(R592="","",IFERROR(MATCH(R592,'ITENS_MTR'!$A$6:$A$1005,0),""))</f>
        <v/>
      </c>
      <c r="T592" s="96">
        <f>IF(S592="",0,IF(INDEX('ITENS_MTR'!$R$6:$R$1005,S592)=1,1,0))</f>
        <v>0</v>
      </c>
      <c r="U592" s="96" t="str">
        <f>IF(G592="","",IFERROR(IF(ISNUMBER(INDEX(cfg_fac,MATCH(G592,cfg_units,0))),IF(INDEX(cfg_fac,MATCH(G592,cfg_units,0))&gt;0,INDEX(cfg_fac,MATCH(G592,cfg_units,0)),""),""),""))</f>
        <v/>
      </c>
      <c r="V592" s="96">
        <f>IF(AND(ISNUMBER(F592),ISNUMBER(H592)),IF(H592&gt;0,1,0),0)</f>
        <v>0</v>
      </c>
      <c r="W592" s="96" t="str">
        <f>IF(T592=1,INDEX('ITENS_MTR'!$AU$6:$AU$1005,S592)&amp;"","")</f>
        <v/>
      </c>
      <c r="X592" s="96">
        <f>IF(AND(Q592=1,T592=1,I592&lt;&gt;"",W592&lt;&gt;""),IF(I592&lt;&gt;W592,1,0),0)</f>
        <v>0</v>
      </c>
      <c r="Y592" s="96">
        <f>IF(N592=0,0,IF(OR(Q592=0,T592=0,V592=0,AND(X592=1,J592&lt;&gt;"Sim")),1,0))</f>
        <v>0</v>
      </c>
      <c r="Z592" s="96">
        <f>IF(Q592=1,INDEX('CDFs'!$W$6:$W$505,P592),0)</f>
        <v>0</v>
      </c>
      <c r="AA592" s="96">
        <f>IF(AND(N592=1,Y592=0,Z592=1,J592="Sim"),1,0)</f>
        <v>0</v>
      </c>
      <c r="AB592" s="96">
        <f>IF(AND(N592=1,O592&lt;&gt;"",D592&lt;&gt;""),IF(COUNTIFS($O$6:O592,O592,$D$6:D592,D592)=1,1,0),0)</f>
        <v>0</v>
      </c>
      <c r="AC592" s="96">
        <f>IF(T592=1,INDEX('ITENS_MTR'!$AL$6:$AL$1005,S592),0)</f>
        <v>0</v>
      </c>
    </row>
    <row r="593">
      <c r="A593" s="89" t="inlineStr">
        <is>
          <t>VIN-000588</t>
        </is>
      </c>
      <c r="B593" s="91" t="n"/>
      <c r="C593" s="91" t="n"/>
      <c r="D593" s="94" t="str">
        <f>IF(T593=1,INDEX('ITENS_MTR'!$S$6:$S$1005,S593)&amp;"","")</f>
        <v/>
      </c>
      <c r="E593" s="94" t="str">
        <f>IF(T593=1,INDEX('ITENS_MTR'!$C$6:$C$1005,S593)&amp;"","")</f>
        <v/>
      </c>
      <c r="F593" s="98" t="n"/>
      <c r="G593" s="91" t="n"/>
      <c r="H593" s="93" t="str">
        <f>IF(N593=0,"",IF(NOT(ISNUMBER(F593)),"",IF(ISNUMBER(U593),F593*U593,"UNIDADE A CONFERIR")))</f>
        <v/>
      </c>
      <c r="I593" s="94" t="str">
        <f>IF(Q593=1,INDEX('CDFs'!$F$6:$F$505,P593)&amp;"","")</f>
        <v/>
      </c>
      <c r="J593" s="91" t="n"/>
      <c r="K593" s="91" t="n"/>
      <c r="L593" s="94" t="str">
        <f>IF(N593=0,"",IF(NOT(ISNUMBER(F593)),"Quantidade não informada",IF(F593&lt;=0,"Quantidade não positiva",IF(G593="","Unidade não informada",IF(NOT(ISNUMBER(H593)),"Unidade a conferir",IF(AC593=1,"REVISAR VÍNCULO: soma vinculada maior que a referência do item","OK"))))))</f>
        <v/>
      </c>
      <c r="M593" s="94" t="str">
        <f>IF(N593=0,"",IF(B593="","CDF não informado",IF(Q593=0,"REVISAR VÍNCULO: CDF inexistente",IF(C593="","Item não informado",IF(T593=0,"REVISAR VÍNCULO: item inexistente",IF(AND(X593=1,J593&lt;&gt;"Sim"),"REVISAR VÍNCULO: destinador diferente do MTR",IF(X593=1,"Destinador diferente do MTR (analisado)","OK")))))))</f>
        <v/>
      </c>
      <c r="N593" s="96">
        <f>IF(COUNTA(B593:C593,F593:G593,J593:K593)&gt;0,1,0)</f>
        <v>0</v>
      </c>
      <c r="O593" s="96" t="str">
        <f>IF(B593="","",TRIM(LEFT(B593,FIND(" |",B593&amp;" |")-1)))</f>
        <v/>
      </c>
      <c r="P593" s="96" t="str">
        <f>IF(O593="","",IFERROR(MATCH(O593,'CDFs'!$A$6:$A$505,0),""))</f>
        <v/>
      </c>
      <c r="Q593" s="96">
        <f>IF(P593="",0,IF(INDEX('CDFs'!$S$6:$S$505,P593)=1,1,0))</f>
        <v>0</v>
      </c>
      <c r="R593" s="96" t="str">
        <f>IF(C593="","",TRIM(LEFT(C593,FIND(" |",C593&amp;" |")-1)))</f>
        <v/>
      </c>
      <c r="S593" s="96" t="str">
        <f>IF(R593="","",IFERROR(MATCH(R593,'ITENS_MTR'!$A$6:$A$1005,0),""))</f>
        <v/>
      </c>
      <c r="T593" s="96">
        <f>IF(S593="",0,IF(INDEX('ITENS_MTR'!$R$6:$R$1005,S593)=1,1,0))</f>
        <v>0</v>
      </c>
      <c r="U593" s="96" t="str">
        <f>IF(G593="","",IFERROR(IF(ISNUMBER(INDEX(cfg_fac,MATCH(G593,cfg_units,0))),IF(INDEX(cfg_fac,MATCH(G593,cfg_units,0))&gt;0,INDEX(cfg_fac,MATCH(G593,cfg_units,0)),""),""),""))</f>
        <v/>
      </c>
      <c r="V593" s="96">
        <f>IF(AND(ISNUMBER(F593),ISNUMBER(H593)),IF(H593&gt;0,1,0),0)</f>
        <v>0</v>
      </c>
      <c r="W593" s="96" t="str">
        <f>IF(T593=1,INDEX('ITENS_MTR'!$AU$6:$AU$1005,S593)&amp;"","")</f>
        <v/>
      </c>
      <c r="X593" s="96">
        <f>IF(AND(Q593=1,T593=1,I593&lt;&gt;"",W593&lt;&gt;""),IF(I593&lt;&gt;W593,1,0),0)</f>
        <v>0</v>
      </c>
      <c r="Y593" s="96">
        <f>IF(N593=0,0,IF(OR(Q593=0,T593=0,V593=0,AND(X593=1,J593&lt;&gt;"Sim")),1,0))</f>
        <v>0</v>
      </c>
      <c r="Z593" s="96">
        <f>IF(Q593=1,INDEX('CDFs'!$W$6:$W$505,P593),0)</f>
        <v>0</v>
      </c>
      <c r="AA593" s="96">
        <f>IF(AND(N593=1,Y593=0,Z593=1,J593="Sim"),1,0)</f>
        <v>0</v>
      </c>
      <c r="AB593" s="96">
        <f>IF(AND(N593=1,O593&lt;&gt;"",D593&lt;&gt;""),IF(COUNTIFS($O$6:O593,O593,$D$6:D593,D593)=1,1,0),0)</f>
        <v>0</v>
      </c>
      <c r="AC593" s="96">
        <f>IF(T593=1,INDEX('ITENS_MTR'!$AL$6:$AL$1005,S593),0)</f>
        <v>0</v>
      </c>
    </row>
    <row r="594">
      <c r="A594" s="89" t="inlineStr">
        <is>
          <t>VIN-000589</t>
        </is>
      </c>
      <c r="B594" s="91" t="n"/>
      <c r="C594" s="91" t="n"/>
      <c r="D594" s="94" t="str">
        <f>IF(T594=1,INDEX('ITENS_MTR'!$S$6:$S$1005,S594)&amp;"","")</f>
        <v/>
      </c>
      <c r="E594" s="94" t="str">
        <f>IF(T594=1,INDEX('ITENS_MTR'!$C$6:$C$1005,S594)&amp;"","")</f>
        <v/>
      </c>
      <c r="F594" s="98" t="n"/>
      <c r="G594" s="91" t="n"/>
      <c r="H594" s="93" t="str">
        <f>IF(N594=0,"",IF(NOT(ISNUMBER(F594)),"",IF(ISNUMBER(U594),F594*U594,"UNIDADE A CONFERIR")))</f>
        <v/>
      </c>
      <c r="I594" s="94" t="str">
        <f>IF(Q594=1,INDEX('CDFs'!$F$6:$F$505,P594)&amp;"","")</f>
        <v/>
      </c>
      <c r="J594" s="91" t="n"/>
      <c r="K594" s="91" t="n"/>
      <c r="L594" s="94" t="str">
        <f>IF(N594=0,"",IF(NOT(ISNUMBER(F594)),"Quantidade não informada",IF(F594&lt;=0,"Quantidade não positiva",IF(G594="","Unidade não informada",IF(NOT(ISNUMBER(H594)),"Unidade a conferir",IF(AC594=1,"REVISAR VÍNCULO: soma vinculada maior que a referência do item","OK"))))))</f>
        <v/>
      </c>
      <c r="M594" s="94" t="str">
        <f>IF(N594=0,"",IF(B594="","CDF não informado",IF(Q594=0,"REVISAR VÍNCULO: CDF inexistente",IF(C594="","Item não informado",IF(T594=0,"REVISAR VÍNCULO: item inexistente",IF(AND(X594=1,J594&lt;&gt;"Sim"),"REVISAR VÍNCULO: destinador diferente do MTR",IF(X594=1,"Destinador diferente do MTR (analisado)","OK")))))))</f>
        <v/>
      </c>
      <c r="N594" s="96">
        <f>IF(COUNTA(B594:C594,F594:G594,J594:K594)&gt;0,1,0)</f>
        <v>0</v>
      </c>
      <c r="O594" s="96" t="str">
        <f>IF(B594="","",TRIM(LEFT(B594,FIND(" |",B594&amp;" |")-1)))</f>
        <v/>
      </c>
      <c r="P594" s="96" t="str">
        <f>IF(O594="","",IFERROR(MATCH(O594,'CDFs'!$A$6:$A$505,0),""))</f>
        <v/>
      </c>
      <c r="Q594" s="96">
        <f>IF(P594="",0,IF(INDEX('CDFs'!$S$6:$S$505,P594)=1,1,0))</f>
        <v>0</v>
      </c>
      <c r="R594" s="96" t="str">
        <f>IF(C594="","",TRIM(LEFT(C594,FIND(" |",C594&amp;" |")-1)))</f>
        <v/>
      </c>
      <c r="S594" s="96" t="str">
        <f>IF(R594="","",IFERROR(MATCH(R594,'ITENS_MTR'!$A$6:$A$1005,0),""))</f>
        <v/>
      </c>
      <c r="T594" s="96">
        <f>IF(S594="",0,IF(INDEX('ITENS_MTR'!$R$6:$R$1005,S594)=1,1,0))</f>
        <v>0</v>
      </c>
      <c r="U594" s="96" t="str">
        <f>IF(G594="","",IFERROR(IF(ISNUMBER(INDEX(cfg_fac,MATCH(G594,cfg_units,0))),IF(INDEX(cfg_fac,MATCH(G594,cfg_units,0))&gt;0,INDEX(cfg_fac,MATCH(G594,cfg_units,0)),""),""),""))</f>
        <v/>
      </c>
      <c r="V594" s="96">
        <f>IF(AND(ISNUMBER(F594),ISNUMBER(H594)),IF(H594&gt;0,1,0),0)</f>
        <v>0</v>
      </c>
      <c r="W594" s="96" t="str">
        <f>IF(T594=1,INDEX('ITENS_MTR'!$AU$6:$AU$1005,S594)&amp;"","")</f>
        <v/>
      </c>
      <c r="X594" s="96">
        <f>IF(AND(Q594=1,T594=1,I594&lt;&gt;"",W594&lt;&gt;""),IF(I594&lt;&gt;W594,1,0),0)</f>
        <v>0</v>
      </c>
      <c r="Y594" s="96">
        <f>IF(N594=0,0,IF(OR(Q594=0,T594=0,V594=0,AND(X594=1,J594&lt;&gt;"Sim")),1,0))</f>
        <v>0</v>
      </c>
      <c r="Z594" s="96">
        <f>IF(Q594=1,INDEX('CDFs'!$W$6:$W$505,P594),0)</f>
        <v>0</v>
      </c>
      <c r="AA594" s="96">
        <f>IF(AND(N594=1,Y594=0,Z594=1,J594="Sim"),1,0)</f>
        <v>0</v>
      </c>
      <c r="AB594" s="96">
        <f>IF(AND(N594=1,O594&lt;&gt;"",D594&lt;&gt;""),IF(COUNTIFS($O$6:O594,O594,$D$6:D594,D594)=1,1,0),0)</f>
        <v>0</v>
      </c>
      <c r="AC594" s="96">
        <f>IF(T594=1,INDEX('ITENS_MTR'!$AL$6:$AL$1005,S594),0)</f>
        <v>0</v>
      </c>
    </row>
    <row r="595">
      <c r="A595" s="89" t="inlineStr">
        <is>
          <t>VIN-000590</t>
        </is>
      </c>
      <c r="B595" s="91" t="n"/>
      <c r="C595" s="91" t="n"/>
      <c r="D595" s="94" t="str">
        <f>IF(T595=1,INDEX('ITENS_MTR'!$S$6:$S$1005,S595)&amp;"","")</f>
        <v/>
      </c>
      <c r="E595" s="94" t="str">
        <f>IF(T595=1,INDEX('ITENS_MTR'!$C$6:$C$1005,S595)&amp;"","")</f>
        <v/>
      </c>
      <c r="F595" s="98" t="n"/>
      <c r="G595" s="91" t="n"/>
      <c r="H595" s="93" t="str">
        <f>IF(N595=0,"",IF(NOT(ISNUMBER(F595)),"",IF(ISNUMBER(U595),F595*U595,"UNIDADE A CONFERIR")))</f>
        <v/>
      </c>
      <c r="I595" s="94" t="str">
        <f>IF(Q595=1,INDEX('CDFs'!$F$6:$F$505,P595)&amp;"","")</f>
        <v/>
      </c>
      <c r="J595" s="91" t="n"/>
      <c r="K595" s="91" t="n"/>
      <c r="L595" s="94" t="str">
        <f>IF(N595=0,"",IF(NOT(ISNUMBER(F595)),"Quantidade não informada",IF(F595&lt;=0,"Quantidade não positiva",IF(G595="","Unidade não informada",IF(NOT(ISNUMBER(H595)),"Unidade a conferir",IF(AC595=1,"REVISAR VÍNCULO: soma vinculada maior que a referência do item","OK"))))))</f>
        <v/>
      </c>
      <c r="M595" s="94" t="str">
        <f>IF(N595=0,"",IF(B595="","CDF não informado",IF(Q595=0,"REVISAR VÍNCULO: CDF inexistente",IF(C595="","Item não informado",IF(T595=0,"REVISAR VÍNCULO: item inexistente",IF(AND(X595=1,J595&lt;&gt;"Sim"),"REVISAR VÍNCULO: destinador diferente do MTR",IF(X595=1,"Destinador diferente do MTR (analisado)","OK")))))))</f>
        <v/>
      </c>
      <c r="N595" s="96">
        <f>IF(COUNTA(B595:C595,F595:G595,J595:K595)&gt;0,1,0)</f>
        <v>0</v>
      </c>
      <c r="O595" s="96" t="str">
        <f>IF(B595="","",TRIM(LEFT(B595,FIND(" |",B595&amp;" |")-1)))</f>
        <v/>
      </c>
      <c r="P595" s="96" t="str">
        <f>IF(O595="","",IFERROR(MATCH(O595,'CDFs'!$A$6:$A$505,0),""))</f>
        <v/>
      </c>
      <c r="Q595" s="96">
        <f>IF(P595="",0,IF(INDEX('CDFs'!$S$6:$S$505,P595)=1,1,0))</f>
        <v>0</v>
      </c>
      <c r="R595" s="96" t="str">
        <f>IF(C595="","",TRIM(LEFT(C595,FIND(" |",C595&amp;" |")-1)))</f>
        <v/>
      </c>
      <c r="S595" s="96" t="str">
        <f>IF(R595="","",IFERROR(MATCH(R595,'ITENS_MTR'!$A$6:$A$1005,0),""))</f>
        <v/>
      </c>
      <c r="T595" s="96">
        <f>IF(S595="",0,IF(INDEX('ITENS_MTR'!$R$6:$R$1005,S595)=1,1,0))</f>
        <v>0</v>
      </c>
      <c r="U595" s="96" t="str">
        <f>IF(G595="","",IFERROR(IF(ISNUMBER(INDEX(cfg_fac,MATCH(G595,cfg_units,0))),IF(INDEX(cfg_fac,MATCH(G595,cfg_units,0))&gt;0,INDEX(cfg_fac,MATCH(G595,cfg_units,0)),""),""),""))</f>
        <v/>
      </c>
      <c r="V595" s="96">
        <f>IF(AND(ISNUMBER(F595),ISNUMBER(H595)),IF(H595&gt;0,1,0),0)</f>
        <v>0</v>
      </c>
      <c r="W595" s="96" t="str">
        <f>IF(T595=1,INDEX('ITENS_MTR'!$AU$6:$AU$1005,S595)&amp;"","")</f>
        <v/>
      </c>
      <c r="X595" s="96">
        <f>IF(AND(Q595=1,T595=1,I595&lt;&gt;"",W595&lt;&gt;""),IF(I595&lt;&gt;W595,1,0),0)</f>
        <v>0</v>
      </c>
      <c r="Y595" s="96">
        <f>IF(N595=0,0,IF(OR(Q595=0,T595=0,V595=0,AND(X595=1,J595&lt;&gt;"Sim")),1,0))</f>
        <v>0</v>
      </c>
      <c r="Z595" s="96">
        <f>IF(Q595=1,INDEX('CDFs'!$W$6:$W$505,P595),0)</f>
        <v>0</v>
      </c>
      <c r="AA595" s="96">
        <f>IF(AND(N595=1,Y595=0,Z595=1,J595="Sim"),1,0)</f>
        <v>0</v>
      </c>
      <c r="AB595" s="96">
        <f>IF(AND(N595=1,O595&lt;&gt;"",D595&lt;&gt;""),IF(COUNTIFS($O$6:O595,O595,$D$6:D595,D595)=1,1,0),0)</f>
        <v>0</v>
      </c>
      <c r="AC595" s="96">
        <f>IF(T595=1,INDEX('ITENS_MTR'!$AL$6:$AL$1005,S595),0)</f>
        <v>0</v>
      </c>
    </row>
    <row r="596">
      <c r="A596" s="89" t="inlineStr">
        <is>
          <t>VIN-000591</t>
        </is>
      </c>
      <c r="B596" s="91" t="n"/>
      <c r="C596" s="91" t="n"/>
      <c r="D596" s="94" t="str">
        <f>IF(T596=1,INDEX('ITENS_MTR'!$S$6:$S$1005,S596)&amp;"","")</f>
        <v/>
      </c>
      <c r="E596" s="94" t="str">
        <f>IF(T596=1,INDEX('ITENS_MTR'!$C$6:$C$1005,S596)&amp;"","")</f>
        <v/>
      </c>
      <c r="F596" s="98" t="n"/>
      <c r="G596" s="91" t="n"/>
      <c r="H596" s="93" t="str">
        <f>IF(N596=0,"",IF(NOT(ISNUMBER(F596)),"",IF(ISNUMBER(U596),F596*U596,"UNIDADE A CONFERIR")))</f>
        <v/>
      </c>
      <c r="I596" s="94" t="str">
        <f>IF(Q596=1,INDEX('CDFs'!$F$6:$F$505,P596)&amp;"","")</f>
        <v/>
      </c>
      <c r="J596" s="91" t="n"/>
      <c r="K596" s="91" t="n"/>
      <c r="L596" s="94" t="str">
        <f>IF(N596=0,"",IF(NOT(ISNUMBER(F596)),"Quantidade não informada",IF(F596&lt;=0,"Quantidade não positiva",IF(G596="","Unidade não informada",IF(NOT(ISNUMBER(H596)),"Unidade a conferir",IF(AC596=1,"REVISAR VÍNCULO: soma vinculada maior que a referência do item","OK"))))))</f>
        <v/>
      </c>
      <c r="M596" s="94" t="str">
        <f>IF(N596=0,"",IF(B596="","CDF não informado",IF(Q596=0,"REVISAR VÍNCULO: CDF inexistente",IF(C596="","Item não informado",IF(T596=0,"REVISAR VÍNCULO: item inexistente",IF(AND(X596=1,J596&lt;&gt;"Sim"),"REVISAR VÍNCULO: destinador diferente do MTR",IF(X596=1,"Destinador diferente do MTR (analisado)","OK")))))))</f>
        <v/>
      </c>
      <c r="N596" s="96">
        <f>IF(COUNTA(B596:C596,F596:G596,J596:K596)&gt;0,1,0)</f>
        <v>0</v>
      </c>
      <c r="O596" s="96" t="str">
        <f>IF(B596="","",TRIM(LEFT(B596,FIND(" |",B596&amp;" |")-1)))</f>
        <v/>
      </c>
      <c r="P596" s="96" t="str">
        <f>IF(O596="","",IFERROR(MATCH(O596,'CDFs'!$A$6:$A$505,0),""))</f>
        <v/>
      </c>
      <c r="Q596" s="96">
        <f>IF(P596="",0,IF(INDEX('CDFs'!$S$6:$S$505,P596)=1,1,0))</f>
        <v>0</v>
      </c>
      <c r="R596" s="96" t="str">
        <f>IF(C596="","",TRIM(LEFT(C596,FIND(" |",C596&amp;" |")-1)))</f>
        <v/>
      </c>
      <c r="S596" s="96" t="str">
        <f>IF(R596="","",IFERROR(MATCH(R596,'ITENS_MTR'!$A$6:$A$1005,0),""))</f>
        <v/>
      </c>
      <c r="T596" s="96">
        <f>IF(S596="",0,IF(INDEX('ITENS_MTR'!$R$6:$R$1005,S596)=1,1,0))</f>
        <v>0</v>
      </c>
      <c r="U596" s="96" t="str">
        <f>IF(G596="","",IFERROR(IF(ISNUMBER(INDEX(cfg_fac,MATCH(G596,cfg_units,0))),IF(INDEX(cfg_fac,MATCH(G596,cfg_units,0))&gt;0,INDEX(cfg_fac,MATCH(G596,cfg_units,0)),""),""),""))</f>
        <v/>
      </c>
      <c r="V596" s="96">
        <f>IF(AND(ISNUMBER(F596),ISNUMBER(H596)),IF(H596&gt;0,1,0),0)</f>
        <v>0</v>
      </c>
      <c r="W596" s="96" t="str">
        <f>IF(T596=1,INDEX('ITENS_MTR'!$AU$6:$AU$1005,S596)&amp;"","")</f>
        <v/>
      </c>
      <c r="X596" s="96">
        <f>IF(AND(Q596=1,T596=1,I596&lt;&gt;"",W596&lt;&gt;""),IF(I596&lt;&gt;W596,1,0),0)</f>
        <v>0</v>
      </c>
      <c r="Y596" s="96">
        <f>IF(N596=0,0,IF(OR(Q596=0,T596=0,V596=0,AND(X596=1,J596&lt;&gt;"Sim")),1,0))</f>
        <v>0</v>
      </c>
      <c r="Z596" s="96">
        <f>IF(Q596=1,INDEX('CDFs'!$W$6:$W$505,P596),0)</f>
        <v>0</v>
      </c>
      <c r="AA596" s="96">
        <f>IF(AND(N596=1,Y596=0,Z596=1,J596="Sim"),1,0)</f>
        <v>0</v>
      </c>
      <c r="AB596" s="96">
        <f>IF(AND(N596=1,O596&lt;&gt;"",D596&lt;&gt;""),IF(COUNTIFS($O$6:O596,O596,$D$6:D596,D596)=1,1,0),0)</f>
        <v>0</v>
      </c>
      <c r="AC596" s="96">
        <f>IF(T596=1,INDEX('ITENS_MTR'!$AL$6:$AL$1005,S596),0)</f>
        <v>0</v>
      </c>
    </row>
    <row r="597">
      <c r="A597" s="89" t="inlineStr">
        <is>
          <t>VIN-000592</t>
        </is>
      </c>
      <c r="B597" s="91" t="n"/>
      <c r="C597" s="91" t="n"/>
      <c r="D597" s="94" t="str">
        <f>IF(T597=1,INDEX('ITENS_MTR'!$S$6:$S$1005,S597)&amp;"","")</f>
        <v/>
      </c>
      <c r="E597" s="94" t="str">
        <f>IF(T597=1,INDEX('ITENS_MTR'!$C$6:$C$1005,S597)&amp;"","")</f>
        <v/>
      </c>
      <c r="F597" s="98" t="n"/>
      <c r="G597" s="91" t="n"/>
      <c r="H597" s="93" t="str">
        <f>IF(N597=0,"",IF(NOT(ISNUMBER(F597)),"",IF(ISNUMBER(U597),F597*U597,"UNIDADE A CONFERIR")))</f>
        <v/>
      </c>
      <c r="I597" s="94" t="str">
        <f>IF(Q597=1,INDEX('CDFs'!$F$6:$F$505,P597)&amp;"","")</f>
        <v/>
      </c>
      <c r="J597" s="91" t="n"/>
      <c r="K597" s="91" t="n"/>
      <c r="L597" s="94" t="str">
        <f>IF(N597=0,"",IF(NOT(ISNUMBER(F597)),"Quantidade não informada",IF(F597&lt;=0,"Quantidade não positiva",IF(G597="","Unidade não informada",IF(NOT(ISNUMBER(H597)),"Unidade a conferir",IF(AC597=1,"REVISAR VÍNCULO: soma vinculada maior que a referência do item","OK"))))))</f>
        <v/>
      </c>
      <c r="M597" s="94" t="str">
        <f>IF(N597=0,"",IF(B597="","CDF não informado",IF(Q597=0,"REVISAR VÍNCULO: CDF inexistente",IF(C597="","Item não informado",IF(T597=0,"REVISAR VÍNCULO: item inexistente",IF(AND(X597=1,J597&lt;&gt;"Sim"),"REVISAR VÍNCULO: destinador diferente do MTR",IF(X597=1,"Destinador diferente do MTR (analisado)","OK")))))))</f>
        <v/>
      </c>
      <c r="N597" s="96">
        <f>IF(COUNTA(B597:C597,F597:G597,J597:K597)&gt;0,1,0)</f>
        <v>0</v>
      </c>
      <c r="O597" s="96" t="str">
        <f>IF(B597="","",TRIM(LEFT(B597,FIND(" |",B597&amp;" |")-1)))</f>
        <v/>
      </c>
      <c r="P597" s="96" t="str">
        <f>IF(O597="","",IFERROR(MATCH(O597,'CDFs'!$A$6:$A$505,0),""))</f>
        <v/>
      </c>
      <c r="Q597" s="96">
        <f>IF(P597="",0,IF(INDEX('CDFs'!$S$6:$S$505,P597)=1,1,0))</f>
        <v>0</v>
      </c>
      <c r="R597" s="96" t="str">
        <f>IF(C597="","",TRIM(LEFT(C597,FIND(" |",C597&amp;" |")-1)))</f>
        <v/>
      </c>
      <c r="S597" s="96" t="str">
        <f>IF(R597="","",IFERROR(MATCH(R597,'ITENS_MTR'!$A$6:$A$1005,0),""))</f>
        <v/>
      </c>
      <c r="T597" s="96">
        <f>IF(S597="",0,IF(INDEX('ITENS_MTR'!$R$6:$R$1005,S597)=1,1,0))</f>
        <v>0</v>
      </c>
      <c r="U597" s="96" t="str">
        <f>IF(G597="","",IFERROR(IF(ISNUMBER(INDEX(cfg_fac,MATCH(G597,cfg_units,0))),IF(INDEX(cfg_fac,MATCH(G597,cfg_units,0))&gt;0,INDEX(cfg_fac,MATCH(G597,cfg_units,0)),""),""),""))</f>
        <v/>
      </c>
      <c r="V597" s="96">
        <f>IF(AND(ISNUMBER(F597),ISNUMBER(H597)),IF(H597&gt;0,1,0),0)</f>
        <v>0</v>
      </c>
      <c r="W597" s="96" t="str">
        <f>IF(T597=1,INDEX('ITENS_MTR'!$AU$6:$AU$1005,S597)&amp;"","")</f>
        <v/>
      </c>
      <c r="X597" s="96">
        <f>IF(AND(Q597=1,T597=1,I597&lt;&gt;"",W597&lt;&gt;""),IF(I597&lt;&gt;W597,1,0),0)</f>
        <v>0</v>
      </c>
      <c r="Y597" s="96">
        <f>IF(N597=0,0,IF(OR(Q597=0,T597=0,V597=0,AND(X597=1,J597&lt;&gt;"Sim")),1,0))</f>
        <v>0</v>
      </c>
      <c r="Z597" s="96">
        <f>IF(Q597=1,INDEX('CDFs'!$W$6:$W$505,P597),0)</f>
        <v>0</v>
      </c>
      <c r="AA597" s="96">
        <f>IF(AND(N597=1,Y597=0,Z597=1,J597="Sim"),1,0)</f>
        <v>0</v>
      </c>
      <c r="AB597" s="96">
        <f>IF(AND(N597=1,O597&lt;&gt;"",D597&lt;&gt;""),IF(COUNTIFS($O$6:O597,O597,$D$6:D597,D597)=1,1,0),0)</f>
        <v>0</v>
      </c>
      <c r="AC597" s="96">
        <f>IF(T597=1,INDEX('ITENS_MTR'!$AL$6:$AL$1005,S597),0)</f>
        <v>0</v>
      </c>
    </row>
    <row r="598">
      <c r="A598" s="89" t="inlineStr">
        <is>
          <t>VIN-000593</t>
        </is>
      </c>
      <c r="B598" s="91" t="n"/>
      <c r="C598" s="91" t="n"/>
      <c r="D598" s="94" t="str">
        <f>IF(T598=1,INDEX('ITENS_MTR'!$S$6:$S$1005,S598)&amp;"","")</f>
        <v/>
      </c>
      <c r="E598" s="94" t="str">
        <f>IF(T598=1,INDEX('ITENS_MTR'!$C$6:$C$1005,S598)&amp;"","")</f>
        <v/>
      </c>
      <c r="F598" s="98" t="n"/>
      <c r="G598" s="91" t="n"/>
      <c r="H598" s="93" t="str">
        <f>IF(N598=0,"",IF(NOT(ISNUMBER(F598)),"",IF(ISNUMBER(U598),F598*U598,"UNIDADE A CONFERIR")))</f>
        <v/>
      </c>
      <c r="I598" s="94" t="str">
        <f>IF(Q598=1,INDEX('CDFs'!$F$6:$F$505,P598)&amp;"","")</f>
        <v/>
      </c>
      <c r="J598" s="91" t="n"/>
      <c r="K598" s="91" t="n"/>
      <c r="L598" s="94" t="str">
        <f>IF(N598=0,"",IF(NOT(ISNUMBER(F598)),"Quantidade não informada",IF(F598&lt;=0,"Quantidade não positiva",IF(G598="","Unidade não informada",IF(NOT(ISNUMBER(H598)),"Unidade a conferir",IF(AC598=1,"REVISAR VÍNCULO: soma vinculada maior que a referência do item","OK"))))))</f>
        <v/>
      </c>
      <c r="M598" s="94" t="str">
        <f>IF(N598=0,"",IF(B598="","CDF não informado",IF(Q598=0,"REVISAR VÍNCULO: CDF inexistente",IF(C598="","Item não informado",IF(T598=0,"REVISAR VÍNCULO: item inexistente",IF(AND(X598=1,J598&lt;&gt;"Sim"),"REVISAR VÍNCULO: destinador diferente do MTR",IF(X598=1,"Destinador diferente do MTR (analisado)","OK")))))))</f>
        <v/>
      </c>
      <c r="N598" s="96">
        <f>IF(COUNTA(B598:C598,F598:G598,J598:K598)&gt;0,1,0)</f>
        <v>0</v>
      </c>
      <c r="O598" s="96" t="str">
        <f>IF(B598="","",TRIM(LEFT(B598,FIND(" |",B598&amp;" |")-1)))</f>
        <v/>
      </c>
      <c r="P598" s="96" t="str">
        <f>IF(O598="","",IFERROR(MATCH(O598,'CDFs'!$A$6:$A$505,0),""))</f>
        <v/>
      </c>
      <c r="Q598" s="96">
        <f>IF(P598="",0,IF(INDEX('CDFs'!$S$6:$S$505,P598)=1,1,0))</f>
        <v>0</v>
      </c>
      <c r="R598" s="96" t="str">
        <f>IF(C598="","",TRIM(LEFT(C598,FIND(" |",C598&amp;" |")-1)))</f>
        <v/>
      </c>
      <c r="S598" s="96" t="str">
        <f>IF(R598="","",IFERROR(MATCH(R598,'ITENS_MTR'!$A$6:$A$1005,0),""))</f>
        <v/>
      </c>
      <c r="T598" s="96">
        <f>IF(S598="",0,IF(INDEX('ITENS_MTR'!$R$6:$R$1005,S598)=1,1,0))</f>
        <v>0</v>
      </c>
      <c r="U598" s="96" t="str">
        <f>IF(G598="","",IFERROR(IF(ISNUMBER(INDEX(cfg_fac,MATCH(G598,cfg_units,0))),IF(INDEX(cfg_fac,MATCH(G598,cfg_units,0))&gt;0,INDEX(cfg_fac,MATCH(G598,cfg_units,0)),""),""),""))</f>
        <v/>
      </c>
      <c r="V598" s="96">
        <f>IF(AND(ISNUMBER(F598),ISNUMBER(H598)),IF(H598&gt;0,1,0),0)</f>
        <v>0</v>
      </c>
      <c r="W598" s="96" t="str">
        <f>IF(T598=1,INDEX('ITENS_MTR'!$AU$6:$AU$1005,S598)&amp;"","")</f>
        <v/>
      </c>
      <c r="X598" s="96">
        <f>IF(AND(Q598=1,T598=1,I598&lt;&gt;"",W598&lt;&gt;""),IF(I598&lt;&gt;W598,1,0),0)</f>
        <v>0</v>
      </c>
      <c r="Y598" s="96">
        <f>IF(N598=0,0,IF(OR(Q598=0,T598=0,V598=0,AND(X598=1,J598&lt;&gt;"Sim")),1,0))</f>
        <v>0</v>
      </c>
      <c r="Z598" s="96">
        <f>IF(Q598=1,INDEX('CDFs'!$W$6:$W$505,P598),0)</f>
        <v>0</v>
      </c>
      <c r="AA598" s="96">
        <f>IF(AND(N598=1,Y598=0,Z598=1,J598="Sim"),1,0)</f>
        <v>0</v>
      </c>
      <c r="AB598" s="96">
        <f>IF(AND(N598=1,O598&lt;&gt;"",D598&lt;&gt;""),IF(COUNTIFS($O$6:O598,O598,$D$6:D598,D598)=1,1,0),0)</f>
        <v>0</v>
      </c>
      <c r="AC598" s="96">
        <f>IF(T598=1,INDEX('ITENS_MTR'!$AL$6:$AL$1005,S598),0)</f>
        <v>0</v>
      </c>
    </row>
    <row r="599">
      <c r="A599" s="89" t="inlineStr">
        <is>
          <t>VIN-000594</t>
        </is>
      </c>
      <c r="B599" s="91" t="n"/>
      <c r="C599" s="91" t="n"/>
      <c r="D599" s="94" t="str">
        <f>IF(T599=1,INDEX('ITENS_MTR'!$S$6:$S$1005,S599)&amp;"","")</f>
        <v/>
      </c>
      <c r="E599" s="94" t="str">
        <f>IF(T599=1,INDEX('ITENS_MTR'!$C$6:$C$1005,S599)&amp;"","")</f>
        <v/>
      </c>
      <c r="F599" s="98" t="n"/>
      <c r="G599" s="91" t="n"/>
      <c r="H599" s="93" t="str">
        <f>IF(N599=0,"",IF(NOT(ISNUMBER(F599)),"",IF(ISNUMBER(U599),F599*U599,"UNIDADE A CONFERIR")))</f>
        <v/>
      </c>
      <c r="I599" s="94" t="str">
        <f>IF(Q599=1,INDEX('CDFs'!$F$6:$F$505,P599)&amp;"","")</f>
        <v/>
      </c>
      <c r="J599" s="91" t="n"/>
      <c r="K599" s="91" t="n"/>
      <c r="L599" s="94" t="str">
        <f>IF(N599=0,"",IF(NOT(ISNUMBER(F599)),"Quantidade não informada",IF(F599&lt;=0,"Quantidade não positiva",IF(G599="","Unidade não informada",IF(NOT(ISNUMBER(H599)),"Unidade a conferir",IF(AC599=1,"REVISAR VÍNCULO: soma vinculada maior que a referência do item","OK"))))))</f>
        <v/>
      </c>
      <c r="M599" s="94" t="str">
        <f>IF(N599=0,"",IF(B599="","CDF não informado",IF(Q599=0,"REVISAR VÍNCULO: CDF inexistente",IF(C599="","Item não informado",IF(T599=0,"REVISAR VÍNCULO: item inexistente",IF(AND(X599=1,J599&lt;&gt;"Sim"),"REVISAR VÍNCULO: destinador diferente do MTR",IF(X599=1,"Destinador diferente do MTR (analisado)","OK")))))))</f>
        <v/>
      </c>
      <c r="N599" s="96">
        <f>IF(COUNTA(B599:C599,F599:G599,J599:K599)&gt;0,1,0)</f>
        <v>0</v>
      </c>
      <c r="O599" s="96" t="str">
        <f>IF(B599="","",TRIM(LEFT(B599,FIND(" |",B599&amp;" |")-1)))</f>
        <v/>
      </c>
      <c r="P599" s="96" t="str">
        <f>IF(O599="","",IFERROR(MATCH(O599,'CDFs'!$A$6:$A$505,0),""))</f>
        <v/>
      </c>
      <c r="Q599" s="96">
        <f>IF(P599="",0,IF(INDEX('CDFs'!$S$6:$S$505,P599)=1,1,0))</f>
        <v>0</v>
      </c>
      <c r="R599" s="96" t="str">
        <f>IF(C599="","",TRIM(LEFT(C599,FIND(" |",C599&amp;" |")-1)))</f>
        <v/>
      </c>
      <c r="S599" s="96" t="str">
        <f>IF(R599="","",IFERROR(MATCH(R599,'ITENS_MTR'!$A$6:$A$1005,0),""))</f>
        <v/>
      </c>
      <c r="T599" s="96">
        <f>IF(S599="",0,IF(INDEX('ITENS_MTR'!$R$6:$R$1005,S599)=1,1,0))</f>
        <v>0</v>
      </c>
      <c r="U599" s="96" t="str">
        <f>IF(G599="","",IFERROR(IF(ISNUMBER(INDEX(cfg_fac,MATCH(G599,cfg_units,0))),IF(INDEX(cfg_fac,MATCH(G599,cfg_units,0))&gt;0,INDEX(cfg_fac,MATCH(G599,cfg_units,0)),""),""),""))</f>
        <v/>
      </c>
      <c r="V599" s="96">
        <f>IF(AND(ISNUMBER(F599),ISNUMBER(H599)),IF(H599&gt;0,1,0),0)</f>
        <v>0</v>
      </c>
      <c r="W599" s="96" t="str">
        <f>IF(T599=1,INDEX('ITENS_MTR'!$AU$6:$AU$1005,S599)&amp;"","")</f>
        <v/>
      </c>
      <c r="X599" s="96">
        <f>IF(AND(Q599=1,T599=1,I599&lt;&gt;"",W599&lt;&gt;""),IF(I599&lt;&gt;W599,1,0),0)</f>
        <v>0</v>
      </c>
      <c r="Y599" s="96">
        <f>IF(N599=0,0,IF(OR(Q599=0,T599=0,V599=0,AND(X599=1,J599&lt;&gt;"Sim")),1,0))</f>
        <v>0</v>
      </c>
      <c r="Z599" s="96">
        <f>IF(Q599=1,INDEX('CDFs'!$W$6:$W$505,P599),0)</f>
        <v>0</v>
      </c>
      <c r="AA599" s="96">
        <f>IF(AND(N599=1,Y599=0,Z599=1,J599="Sim"),1,0)</f>
        <v>0</v>
      </c>
      <c r="AB599" s="96">
        <f>IF(AND(N599=1,O599&lt;&gt;"",D599&lt;&gt;""),IF(COUNTIFS($O$6:O599,O599,$D$6:D599,D599)=1,1,0),0)</f>
        <v>0</v>
      </c>
      <c r="AC599" s="96">
        <f>IF(T599=1,INDEX('ITENS_MTR'!$AL$6:$AL$1005,S599),0)</f>
        <v>0</v>
      </c>
    </row>
    <row r="600">
      <c r="A600" s="89" t="inlineStr">
        <is>
          <t>VIN-000595</t>
        </is>
      </c>
      <c r="B600" s="91" t="n"/>
      <c r="C600" s="91" t="n"/>
      <c r="D600" s="94" t="str">
        <f>IF(T600=1,INDEX('ITENS_MTR'!$S$6:$S$1005,S600)&amp;"","")</f>
        <v/>
      </c>
      <c r="E600" s="94" t="str">
        <f>IF(T600=1,INDEX('ITENS_MTR'!$C$6:$C$1005,S600)&amp;"","")</f>
        <v/>
      </c>
      <c r="F600" s="98" t="n"/>
      <c r="G600" s="91" t="n"/>
      <c r="H600" s="93" t="str">
        <f>IF(N600=0,"",IF(NOT(ISNUMBER(F600)),"",IF(ISNUMBER(U600),F600*U600,"UNIDADE A CONFERIR")))</f>
        <v/>
      </c>
      <c r="I600" s="94" t="str">
        <f>IF(Q600=1,INDEX('CDFs'!$F$6:$F$505,P600)&amp;"","")</f>
        <v/>
      </c>
      <c r="J600" s="91" t="n"/>
      <c r="K600" s="91" t="n"/>
      <c r="L600" s="94" t="str">
        <f>IF(N600=0,"",IF(NOT(ISNUMBER(F600)),"Quantidade não informada",IF(F600&lt;=0,"Quantidade não positiva",IF(G600="","Unidade não informada",IF(NOT(ISNUMBER(H600)),"Unidade a conferir",IF(AC600=1,"REVISAR VÍNCULO: soma vinculada maior que a referência do item","OK"))))))</f>
        <v/>
      </c>
      <c r="M600" s="94" t="str">
        <f>IF(N600=0,"",IF(B600="","CDF não informado",IF(Q600=0,"REVISAR VÍNCULO: CDF inexistente",IF(C600="","Item não informado",IF(T600=0,"REVISAR VÍNCULO: item inexistente",IF(AND(X600=1,J600&lt;&gt;"Sim"),"REVISAR VÍNCULO: destinador diferente do MTR",IF(X600=1,"Destinador diferente do MTR (analisado)","OK")))))))</f>
        <v/>
      </c>
      <c r="N600" s="96">
        <f>IF(COUNTA(B600:C600,F600:G600,J600:K600)&gt;0,1,0)</f>
        <v>0</v>
      </c>
      <c r="O600" s="96" t="str">
        <f>IF(B600="","",TRIM(LEFT(B600,FIND(" |",B600&amp;" |")-1)))</f>
        <v/>
      </c>
      <c r="P600" s="96" t="str">
        <f>IF(O600="","",IFERROR(MATCH(O600,'CDFs'!$A$6:$A$505,0),""))</f>
        <v/>
      </c>
      <c r="Q600" s="96">
        <f>IF(P600="",0,IF(INDEX('CDFs'!$S$6:$S$505,P600)=1,1,0))</f>
        <v>0</v>
      </c>
      <c r="R600" s="96" t="str">
        <f>IF(C600="","",TRIM(LEFT(C600,FIND(" |",C600&amp;" |")-1)))</f>
        <v/>
      </c>
      <c r="S600" s="96" t="str">
        <f>IF(R600="","",IFERROR(MATCH(R600,'ITENS_MTR'!$A$6:$A$1005,0),""))</f>
        <v/>
      </c>
      <c r="T600" s="96">
        <f>IF(S600="",0,IF(INDEX('ITENS_MTR'!$R$6:$R$1005,S600)=1,1,0))</f>
        <v>0</v>
      </c>
      <c r="U600" s="96" t="str">
        <f>IF(G600="","",IFERROR(IF(ISNUMBER(INDEX(cfg_fac,MATCH(G600,cfg_units,0))),IF(INDEX(cfg_fac,MATCH(G600,cfg_units,0))&gt;0,INDEX(cfg_fac,MATCH(G600,cfg_units,0)),""),""),""))</f>
        <v/>
      </c>
      <c r="V600" s="96">
        <f>IF(AND(ISNUMBER(F600),ISNUMBER(H600)),IF(H600&gt;0,1,0),0)</f>
        <v>0</v>
      </c>
      <c r="W600" s="96" t="str">
        <f>IF(T600=1,INDEX('ITENS_MTR'!$AU$6:$AU$1005,S600)&amp;"","")</f>
        <v/>
      </c>
      <c r="X600" s="96">
        <f>IF(AND(Q600=1,T600=1,I600&lt;&gt;"",W600&lt;&gt;""),IF(I600&lt;&gt;W600,1,0),0)</f>
        <v>0</v>
      </c>
      <c r="Y600" s="96">
        <f>IF(N600=0,0,IF(OR(Q600=0,T600=0,V600=0,AND(X600=1,J600&lt;&gt;"Sim")),1,0))</f>
        <v>0</v>
      </c>
      <c r="Z600" s="96">
        <f>IF(Q600=1,INDEX('CDFs'!$W$6:$W$505,P600),0)</f>
        <v>0</v>
      </c>
      <c r="AA600" s="96">
        <f>IF(AND(N600=1,Y600=0,Z600=1,J600="Sim"),1,0)</f>
        <v>0</v>
      </c>
      <c r="AB600" s="96">
        <f>IF(AND(N600=1,O600&lt;&gt;"",D600&lt;&gt;""),IF(COUNTIFS($O$6:O600,O600,$D$6:D600,D600)=1,1,0),0)</f>
        <v>0</v>
      </c>
      <c r="AC600" s="96">
        <f>IF(T600=1,INDEX('ITENS_MTR'!$AL$6:$AL$1005,S600),0)</f>
        <v>0</v>
      </c>
    </row>
    <row r="601">
      <c r="A601" s="89" t="inlineStr">
        <is>
          <t>VIN-000596</t>
        </is>
      </c>
      <c r="B601" s="91" t="n"/>
      <c r="C601" s="91" t="n"/>
      <c r="D601" s="94" t="str">
        <f>IF(T601=1,INDEX('ITENS_MTR'!$S$6:$S$1005,S601)&amp;"","")</f>
        <v/>
      </c>
      <c r="E601" s="94" t="str">
        <f>IF(T601=1,INDEX('ITENS_MTR'!$C$6:$C$1005,S601)&amp;"","")</f>
        <v/>
      </c>
      <c r="F601" s="98" t="n"/>
      <c r="G601" s="91" t="n"/>
      <c r="H601" s="93" t="str">
        <f>IF(N601=0,"",IF(NOT(ISNUMBER(F601)),"",IF(ISNUMBER(U601),F601*U601,"UNIDADE A CONFERIR")))</f>
        <v/>
      </c>
      <c r="I601" s="94" t="str">
        <f>IF(Q601=1,INDEX('CDFs'!$F$6:$F$505,P601)&amp;"","")</f>
        <v/>
      </c>
      <c r="J601" s="91" t="n"/>
      <c r="K601" s="91" t="n"/>
      <c r="L601" s="94" t="str">
        <f>IF(N601=0,"",IF(NOT(ISNUMBER(F601)),"Quantidade não informada",IF(F601&lt;=0,"Quantidade não positiva",IF(G601="","Unidade não informada",IF(NOT(ISNUMBER(H601)),"Unidade a conferir",IF(AC601=1,"REVISAR VÍNCULO: soma vinculada maior que a referência do item","OK"))))))</f>
        <v/>
      </c>
      <c r="M601" s="94" t="str">
        <f>IF(N601=0,"",IF(B601="","CDF não informado",IF(Q601=0,"REVISAR VÍNCULO: CDF inexistente",IF(C601="","Item não informado",IF(T601=0,"REVISAR VÍNCULO: item inexistente",IF(AND(X601=1,J601&lt;&gt;"Sim"),"REVISAR VÍNCULO: destinador diferente do MTR",IF(X601=1,"Destinador diferente do MTR (analisado)","OK")))))))</f>
        <v/>
      </c>
      <c r="N601" s="96">
        <f>IF(COUNTA(B601:C601,F601:G601,J601:K601)&gt;0,1,0)</f>
        <v>0</v>
      </c>
      <c r="O601" s="96" t="str">
        <f>IF(B601="","",TRIM(LEFT(B601,FIND(" |",B601&amp;" |")-1)))</f>
        <v/>
      </c>
      <c r="P601" s="96" t="str">
        <f>IF(O601="","",IFERROR(MATCH(O601,'CDFs'!$A$6:$A$505,0),""))</f>
        <v/>
      </c>
      <c r="Q601" s="96">
        <f>IF(P601="",0,IF(INDEX('CDFs'!$S$6:$S$505,P601)=1,1,0))</f>
        <v>0</v>
      </c>
      <c r="R601" s="96" t="str">
        <f>IF(C601="","",TRIM(LEFT(C601,FIND(" |",C601&amp;" |")-1)))</f>
        <v/>
      </c>
      <c r="S601" s="96" t="str">
        <f>IF(R601="","",IFERROR(MATCH(R601,'ITENS_MTR'!$A$6:$A$1005,0),""))</f>
        <v/>
      </c>
      <c r="T601" s="96">
        <f>IF(S601="",0,IF(INDEX('ITENS_MTR'!$R$6:$R$1005,S601)=1,1,0))</f>
        <v>0</v>
      </c>
      <c r="U601" s="96" t="str">
        <f>IF(G601="","",IFERROR(IF(ISNUMBER(INDEX(cfg_fac,MATCH(G601,cfg_units,0))),IF(INDEX(cfg_fac,MATCH(G601,cfg_units,0))&gt;0,INDEX(cfg_fac,MATCH(G601,cfg_units,0)),""),""),""))</f>
        <v/>
      </c>
      <c r="V601" s="96">
        <f>IF(AND(ISNUMBER(F601),ISNUMBER(H601)),IF(H601&gt;0,1,0),0)</f>
        <v>0</v>
      </c>
      <c r="W601" s="96" t="str">
        <f>IF(T601=1,INDEX('ITENS_MTR'!$AU$6:$AU$1005,S601)&amp;"","")</f>
        <v/>
      </c>
      <c r="X601" s="96">
        <f>IF(AND(Q601=1,T601=1,I601&lt;&gt;"",W601&lt;&gt;""),IF(I601&lt;&gt;W601,1,0),0)</f>
        <v>0</v>
      </c>
      <c r="Y601" s="96">
        <f>IF(N601=0,0,IF(OR(Q601=0,T601=0,V601=0,AND(X601=1,J601&lt;&gt;"Sim")),1,0))</f>
        <v>0</v>
      </c>
      <c r="Z601" s="96">
        <f>IF(Q601=1,INDEX('CDFs'!$W$6:$W$505,P601),0)</f>
        <v>0</v>
      </c>
      <c r="AA601" s="96">
        <f>IF(AND(N601=1,Y601=0,Z601=1,J601="Sim"),1,0)</f>
        <v>0</v>
      </c>
      <c r="AB601" s="96">
        <f>IF(AND(N601=1,O601&lt;&gt;"",D601&lt;&gt;""),IF(COUNTIFS($O$6:O601,O601,$D$6:D601,D601)=1,1,0),0)</f>
        <v>0</v>
      </c>
      <c r="AC601" s="96">
        <f>IF(T601=1,INDEX('ITENS_MTR'!$AL$6:$AL$1005,S601),0)</f>
        <v>0</v>
      </c>
    </row>
    <row r="602">
      <c r="A602" s="89" t="inlineStr">
        <is>
          <t>VIN-000597</t>
        </is>
      </c>
      <c r="B602" s="91" t="n"/>
      <c r="C602" s="91" t="n"/>
      <c r="D602" s="94" t="str">
        <f>IF(T602=1,INDEX('ITENS_MTR'!$S$6:$S$1005,S602)&amp;"","")</f>
        <v/>
      </c>
      <c r="E602" s="94" t="str">
        <f>IF(T602=1,INDEX('ITENS_MTR'!$C$6:$C$1005,S602)&amp;"","")</f>
        <v/>
      </c>
      <c r="F602" s="98" t="n"/>
      <c r="G602" s="91" t="n"/>
      <c r="H602" s="93" t="str">
        <f>IF(N602=0,"",IF(NOT(ISNUMBER(F602)),"",IF(ISNUMBER(U602),F602*U602,"UNIDADE A CONFERIR")))</f>
        <v/>
      </c>
      <c r="I602" s="94" t="str">
        <f>IF(Q602=1,INDEX('CDFs'!$F$6:$F$505,P602)&amp;"","")</f>
        <v/>
      </c>
      <c r="J602" s="91" t="n"/>
      <c r="K602" s="91" t="n"/>
      <c r="L602" s="94" t="str">
        <f>IF(N602=0,"",IF(NOT(ISNUMBER(F602)),"Quantidade não informada",IF(F602&lt;=0,"Quantidade não positiva",IF(G602="","Unidade não informada",IF(NOT(ISNUMBER(H602)),"Unidade a conferir",IF(AC602=1,"REVISAR VÍNCULO: soma vinculada maior que a referência do item","OK"))))))</f>
        <v/>
      </c>
      <c r="M602" s="94" t="str">
        <f>IF(N602=0,"",IF(B602="","CDF não informado",IF(Q602=0,"REVISAR VÍNCULO: CDF inexistente",IF(C602="","Item não informado",IF(T602=0,"REVISAR VÍNCULO: item inexistente",IF(AND(X602=1,J602&lt;&gt;"Sim"),"REVISAR VÍNCULO: destinador diferente do MTR",IF(X602=1,"Destinador diferente do MTR (analisado)","OK")))))))</f>
        <v/>
      </c>
      <c r="N602" s="96">
        <f>IF(COUNTA(B602:C602,F602:G602,J602:K602)&gt;0,1,0)</f>
        <v>0</v>
      </c>
      <c r="O602" s="96" t="str">
        <f>IF(B602="","",TRIM(LEFT(B602,FIND(" |",B602&amp;" |")-1)))</f>
        <v/>
      </c>
      <c r="P602" s="96" t="str">
        <f>IF(O602="","",IFERROR(MATCH(O602,'CDFs'!$A$6:$A$505,0),""))</f>
        <v/>
      </c>
      <c r="Q602" s="96">
        <f>IF(P602="",0,IF(INDEX('CDFs'!$S$6:$S$505,P602)=1,1,0))</f>
        <v>0</v>
      </c>
      <c r="R602" s="96" t="str">
        <f>IF(C602="","",TRIM(LEFT(C602,FIND(" |",C602&amp;" |")-1)))</f>
        <v/>
      </c>
      <c r="S602" s="96" t="str">
        <f>IF(R602="","",IFERROR(MATCH(R602,'ITENS_MTR'!$A$6:$A$1005,0),""))</f>
        <v/>
      </c>
      <c r="T602" s="96">
        <f>IF(S602="",0,IF(INDEX('ITENS_MTR'!$R$6:$R$1005,S602)=1,1,0))</f>
        <v>0</v>
      </c>
      <c r="U602" s="96" t="str">
        <f>IF(G602="","",IFERROR(IF(ISNUMBER(INDEX(cfg_fac,MATCH(G602,cfg_units,0))),IF(INDEX(cfg_fac,MATCH(G602,cfg_units,0))&gt;0,INDEX(cfg_fac,MATCH(G602,cfg_units,0)),""),""),""))</f>
        <v/>
      </c>
      <c r="V602" s="96">
        <f>IF(AND(ISNUMBER(F602),ISNUMBER(H602)),IF(H602&gt;0,1,0),0)</f>
        <v>0</v>
      </c>
      <c r="W602" s="96" t="str">
        <f>IF(T602=1,INDEX('ITENS_MTR'!$AU$6:$AU$1005,S602)&amp;"","")</f>
        <v/>
      </c>
      <c r="X602" s="96">
        <f>IF(AND(Q602=1,T602=1,I602&lt;&gt;"",W602&lt;&gt;""),IF(I602&lt;&gt;W602,1,0),0)</f>
        <v>0</v>
      </c>
      <c r="Y602" s="96">
        <f>IF(N602=0,0,IF(OR(Q602=0,T602=0,V602=0,AND(X602=1,J602&lt;&gt;"Sim")),1,0))</f>
        <v>0</v>
      </c>
      <c r="Z602" s="96">
        <f>IF(Q602=1,INDEX('CDFs'!$W$6:$W$505,P602),0)</f>
        <v>0</v>
      </c>
      <c r="AA602" s="96">
        <f>IF(AND(N602=1,Y602=0,Z602=1,J602="Sim"),1,0)</f>
        <v>0</v>
      </c>
      <c r="AB602" s="96">
        <f>IF(AND(N602=1,O602&lt;&gt;"",D602&lt;&gt;""),IF(COUNTIFS($O$6:O602,O602,$D$6:D602,D602)=1,1,0),0)</f>
        <v>0</v>
      </c>
      <c r="AC602" s="96">
        <f>IF(T602=1,INDEX('ITENS_MTR'!$AL$6:$AL$1005,S602),0)</f>
        <v>0</v>
      </c>
    </row>
    <row r="603">
      <c r="A603" s="89" t="inlineStr">
        <is>
          <t>VIN-000598</t>
        </is>
      </c>
      <c r="B603" s="91" t="n"/>
      <c r="C603" s="91" t="n"/>
      <c r="D603" s="94" t="str">
        <f>IF(T603=1,INDEX('ITENS_MTR'!$S$6:$S$1005,S603)&amp;"","")</f>
        <v/>
      </c>
      <c r="E603" s="94" t="str">
        <f>IF(T603=1,INDEX('ITENS_MTR'!$C$6:$C$1005,S603)&amp;"","")</f>
        <v/>
      </c>
      <c r="F603" s="98" t="n"/>
      <c r="G603" s="91" t="n"/>
      <c r="H603" s="93" t="str">
        <f>IF(N603=0,"",IF(NOT(ISNUMBER(F603)),"",IF(ISNUMBER(U603),F603*U603,"UNIDADE A CONFERIR")))</f>
        <v/>
      </c>
      <c r="I603" s="94" t="str">
        <f>IF(Q603=1,INDEX('CDFs'!$F$6:$F$505,P603)&amp;"","")</f>
        <v/>
      </c>
      <c r="J603" s="91" t="n"/>
      <c r="K603" s="91" t="n"/>
      <c r="L603" s="94" t="str">
        <f>IF(N603=0,"",IF(NOT(ISNUMBER(F603)),"Quantidade não informada",IF(F603&lt;=0,"Quantidade não positiva",IF(G603="","Unidade não informada",IF(NOT(ISNUMBER(H603)),"Unidade a conferir",IF(AC603=1,"REVISAR VÍNCULO: soma vinculada maior que a referência do item","OK"))))))</f>
        <v/>
      </c>
      <c r="M603" s="94" t="str">
        <f>IF(N603=0,"",IF(B603="","CDF não informado",IF(Q603=0,"REVISAR VÍNCULO: CDF inexistente",IF(C603="","Item não informado",IF(T603=0,"REVISAR VÍNCULO: item inexistente",IF(AND(X603=1,J603&lt;&gt;"Sim"),"REVISAR VÍNCULO: destinador diferente do MTR",IF(X603=1,"Destinador diferente do MTR (analisado)","OK")))))))</f>
        <v/>
      </c>
      <c r="N603" s="96">
        <f>IF(COUNTA(B603:C603,F603:G603,J603:K603)&gt;0,1,0)</f>
        <v>0</v>
      </c>
      <c r="O603" s="96" t="str">
        <f>IF(B603="","",TRIM(LEFT(B603,FIND(" |",B603&amp;" |")-1)))</f>
        <v/>
      </c>
      <c r="P603" s="96" t="str">
        <f>IF(O603="","",IFERROR(MATCH(O603,'CDFs'!$A$6:$A$505,0),""))</f>
        <v/>
      </c>
      <c r="Q603" s="96">
        <f>IF(P603="",0,IF(INDEX('CDFs'!$S$6:$S$505,P603)=1,1,0))</f>
        <v>0</v>
      </c>
      <c r="R603" s="96" t="str">
        <f>IF(C603="","",TRIM(LEFT(C603,FIND(" |",C603&amp;" |")-1)))</f>
        <v/>
      </c>
      <c r="S603" s="96" t="str">
        <f>IF(R603="","",IFERROR(MATCH(R603,'ITENS_MTR'!$A$6:$A$1005,0),""))</f>
        <v/>
      </c>
      <c r="T603" s="96">
        <f>IF(S603="",0,IF(INDEX('ITENS_MTR'!$R$6:$R$1005,S603)=1,1,0))</f>
        <v>0</v>
      </c>
      <c r="U603" s="96" t="str">
        <f>IF(G603="","",IFERROR(IF(ISNUMBER(INDEX(cfg_fac,MATCH(G603,cfg_units,0))),IF(INDEX(cfg_fac,MATCH(G603,cfg_units,0))&gt;0,INDEX(cfg_fac,MATCH(G603,cfg_units,0)),""),""),""))</f>
        <v/>
      </c>
      <c r="V603" s="96">
        <f>IF(AND(ISNUMBER(F603),ISNUMBER(H603)),IF(H603&gt;0,1,0),0)</f>
        <v>0</v>
      </c>
      <c r="W603" s="96" t="str">
        <f>IF(T603=1,INDEX('ITENS_MTR'!$AU$6:$AU$1005,S603)&amp;"","")</f>
        <v/>
      </c>
      <c r="X603" s="96">
        <f>IF(AND(Q603=1,T603=1,I603&lt;&gt;"",W603&lt;&gt;""),IF(I603&lt;&gt;W603,1,0),0)</f>
        <v>0</v>
      </c>
      <c r="Y603" s="96">
        <f>IF(N603=0,0,IF(OR(Q603=0,T603=0,V603=0,AND(X603=1,J603&lt;&gt;"Sim")),1,0))</f>
        <v>0</v>
      </c>
      <c r="Z603" s="96">
        <f>IF(Q603=1,INDEX('CDFs'!$W$6:$W$505,P603),0)</f>
        <v>0</v>
      </c>
      <c r="AA603" s="96">
        <f>IF(AND(N603=1,Y603=0,Z603=1,J603="Sim"),1,0)</f>
        <v>0</v>
      </c>
      <c r="AB603" s="96">
        <f>IF(AND(N603=1,O603&lt;&gt;"",D603&lt;&gt;""),IF(COUNTIFS($O$6:O603,O603,$D$6:D603,D603)=1,1,0),0)</f>
        <v>0</v>
      </c>
      <c r="AC603" s="96">
        <f>IF(T603=1,INDEX('ITENS_MTR'!$AL$6:$AL$1005,S603),0)</f>
        <v>0</v>
      </c>
    </row>
    <row r="604">
      <c r="A604" s="89" t="inlineStr">
        <is>
          <t>VIN-000599</t>
        </is>
      </c>
      <c r="B604" s="91" t="n"/>
      <c r="C604" s="91" t="n"/>
      <c r="D604" s="94" t="str">
        <f>IF(T604=1,INDEX('ITENS_MTR'!$S$6:$S$1005,S604)&amp;"","")</f>
        <v/>
      </c>
      <c r="E604" s="94" t="str">
        <f>IF(T604=1,INDEX('ITENS_MTR'!$C$6:$C$1005,S604)&amp;"","")</f>
        <v/>
      </c>
      <c r="F604" s="98" t="n"/>
      <c r="G604" s="91" t="n"/>
      <c r="H604" s="93" t="str">
        <f>IF(N604=0,"",IF(NOT(ISNUMBER(F604)),"",IF(ISNUMBER(U604),F604*U604,"UNIDADE A CONFERIR")))</f>
        <v/>
      </c>
      <c r="I604" s="94" t="str">
        <f>IF(Q604=1,INDEX('CDFs'!$F$6:$F$505,P604)&amp;"","")</f>
        <v/>
      </c>
      <c r="J604" s="91" t="n"/>
      <c r="K604" s="91" t="n"/>
      <c r="L604" s="94" t="str">
        <f>IF(N604=0,"",IF(NOT(ISNUMBER(F604)),"Quantidade não informada",IF(F604&lt;=0,"Quantidade não positiva",IF(G604="","Unidade não informada",IF(NOT(ISNUMBER(H604)),"Unidade a conferir",IF(AC604=1,"REVISAR VÍNCULO: soma vinculada maior que a referência do item","OK"))))))</f>
        <v/>
      </c>
      <c r="M604" s="94" t="str">
        <f>IF(N604=0,"",IF(B604="","CDF não informado",IF(Q604=0,"REVISAR VÍNCULO: CDF inexistente",IF(C604="","Item não informado",IF(T604=0,"REVISAR VÍNCULO: item inexistente",IF(AND(X604=1,J604&lt;&gt;"Sim"),"REVISAR VÍNCULO: destinador diferente do MTR",IF(X604=1,"Destinador diferente do MTR (analisado)","OK")))))))</f>
        <v/>
      </c>
      <c r="N604" s="96">
        <f>IF(COUNTA(B604:C604,F604:G604,J604:K604)&gt;0,1,0)</f>
        <v>0</v>
      </c>
      <c r="O604" s="96" t="str">
        <f>IF(B604="","",TRIM(LEFT(B604,FIND(" |",B604&amp;" |")-1)))</f>
        <v/>
      </c>
      <c r="P604" s="96" t="str">
        <f>IF(O604="","",IFERROR(MATCH(O604,'CDFs'!$A$6:$A$505,0),""))</f>
        <v/>
      </c>
      <c r="Q604" s="96">
        <f>IF(P604="",0,IF(INDEX('CDFs'!$S$6:$S$505,P604)=1,1,0))</f>
        <v>0</v>
      </c>
      <c r="R604" s="96" t="str">
        <f>IF(C604="","",TRIM(LEFT(C604,FIND(" |",C604&amp;" |")-1)))</f>
        <v/>
      </c>
      <c r="S604" s="96" t="str">
        <f>IF(R604="","",IFERROR(MATCH(R604,'ITENS_MTR'!$A$6:$A$1005,0),""))</f>
        <v/>
      </c>
      <c r="T604" s="96">
        <f>IF(S604="",0,IF(INDEX('ITENS_MTR'!$R$6:$R$1005,S604)=1,1,0))</f>
        <v>0</v>
      </c>
      <c r="U604" s="96" t="str">
        <f>IF(G604="","",IFERROR(IF(ISNUMBER(INDEX(cfg_fac,MATCH(G604,cfg_units,0))),IF(INDEX(cfg_fac,MATCH(G604,cfg_units,0))&gt;0,INDEX(cfg_fac,MATCH(G604,cfg_units,0)),""),""),""))</f>
        <v/>
      </c>
      <c r="V604" s="96">
        <f>IF(AND(ISNUMBER(F604),ISNUMBER(H604)),IF(H604&gt;0,1,0),0)</f>
        <v>0</v>
      </c>
      <c r="W604" s="96" t="str">
        <f>IF(T604=1,INDEX('ITENS_MTR'!$AU$6:$AU$1005,S604)&amp;"","")</f>
        <v/>
      </c>
      <c r="X604" s="96">
        <f>IF(AND(Q604=1,T604=1,I604&lt;&gt;"",W604&lt;&gt;""),IF(I604&lt;&gt;W604,1,0),0)</f>
        <v>0</v>
      </c>
      <c r="Y604" s="96">
        <f>IF(N604=0,0,IF(OR(Q604=0,T604=0,V604=0,AND(X604=1,J604&lt;&gt;"Sim")),1,0))</f>
        <v>0</v>
      </c>
      <c r="Z604" s="96">
        <f>IF(Q604=1,INDEX('CDFs'!$W$6:$W$505,P604),0)</f>
        <v>0</v>
      </c>
      <c r="AA604" s="96">
        <f>IF(AND(N604=1,Y604=0,Z604=1,J604="Sim"),1,0)</f>
        <v>0</v>
      </c>
      <c r="AB604" s="96">
        <f>IF(AND(N604=1,O604&lt;&gt;"",D604&lt;&gt;""),IF(COUNTIFS($O$6:O604,O604,$D$6:D604,D604)=1,1,0),0)</f>
        <v>0</v>
      </c>
      <c r="AC604" s="96">
        <f>IF(T604=1,INDEX('ITENS_MTR'!$AL$6:$AL$1005,S604),0)</f>
        <v>0</v>
      </c>
    </row>
    <row r="605">
      <c r="A605" s="89" t="inlineStr">
        <is>
          <t>VIN-000600</t>
        </is>
      </c>
      <c r="B605" s="91" t="n"/>
      <c r="C605" s="91" t="n"/>
      <c r="D605" s="94" t="str">
        <f>IF(T605=1,INDEX('ITENS_MTR'!$S$6:$S$1005,S605)&amp;"","")</f>
        <v/>
      </c>
      <c r="E605" s="94" t="str">
        <f>IF(T605=1,INDEX('ITENS_MTR'!$C$6:$C$1005,S605)&amp;"","")</f>
        <v/>
      </c>
      <c r="F605" s="98" t="n"/>
      <c r="G605" s="91" t="n"/>
      <c r="H605" s="93" t="str">
        <f>IF(N605=0,"",IF(NOT(ISNUMBER(F605)),"",IF(ISNUMBER(U605),F605*U605,"UNIDADE A CONFERIR")))</f>
        <v/>
      </c>
      <c r="I605" s="94" t="str">
        <f>IF(Q605=1,INDEX('CDFs'!$F$6:$F$505,P605)&amp;"","")</f>
        <v/>
      </c>
      <c r="J605" s="91" t="n"/>
      <c r="K605" s="91" t="n"/>
      <c r="L605" s="94" t="str">
        <f>IF(N605=0,"",IF(NOT(ISNUMBER(F605)),"Quantidade não informada",IF(F605&lt;=0,"Quantidade não positiva",IF(G605="","Unidade não informada",IF(NOT(ISNUMBER(H605)),"Unidade a conferir",IF(AC605=1,"REVISAR VÍNCULO: soma vinculada maior que a referência do item","OK"))))))</f>
        <v/>
      </c>
      <c r="M605" s="94" t="str">
        <f>IF(N605=0,"",IF(B605="","CDF não informado",IF(Q605=0,"REVISAR VÍNCULO: CDF inexistente",IF(C605="","Item não informado",IF(T605=0,"REVISAR VÍNCULO: item inexistente",IF(AND(X605=1,J605&lt;&gt;"Sim"),"REVISAR VÍNCULO: destinador diferente do MTR",IF(X605=1,"Destinador diferente do MTR (analisado)","OK")))))))</f>
        <v/>
      </c>
      <c r="N605" s="96">
        <f>IF(COUNTA(B605:C605,F605:G605,J605:K605)&gt;0,1,0)</f>
        <v>0</v>
      </c>
      <c r="O605" s="96" t="str">
        <f>IF(B605="","",TRIM(LEFT(B605,FIND(" |",B605&amp;" |")-1)))</f>
        <v/>
      </c>
      <c r="P605" s="96" t="str">
        <f>IF(O605="","",IFERROR(MATCH(O605,'CDFs'!$A$6:$A$505,0),""))</f>
        <v/>
      </c>
      <c r="Q605" s="96">
        <f>IF(P605="",0,IF(INDEX('CDFs'!$S$6:$S$505,P605)=1,1,0))</f>
        <v>0</v>
      </c>
      <c r="R605" s="96" t="str">
        <f>IF(C605="","",TRIM(LEFT(C605,FIND(" |",C605&amp;" |")-1)))</f>
        <v/>
      </c>
      <c r="S605" s="96" t="str">
        <f>IF(R605="","",IFERROR(MATCH(R605,'ITENS_MTR'!$A$6:$A$1005,0),""))</f>
        <v/>
      </c>
      <c r="T605" s="96">
        <f>IF(S605="",0,IF(INDEX('ITENS_MTR'!$R$6:$R$1005,S605)=1,1,0))</f>
        <v>0</v>
      </c>
      <c r="U605" s="96" t="str">
        <f>IF(G605="","",IFERROR(IF(ISNUMBER(INDEX(cfg_fac,MATCH(G605,cfg_units,0))),IF(INDEX(cfg_fac,MATCH(G605,cfg_units,0))&gt;0,INDEX(cfg_fac,MATCH(G605,cfg_units,0)),""),""),""))</f>
        <v/>
      </c>
      <c r="V605" s="96">
        <f>IF(AND(ISNUMBER(F605),ISNUMBER(H605)),IF(H605&gt;0,1,0),0)</f>
        <v>0</v>
      </c>
      <c r="W605" s="96" t="str">
        <f>IF(T605=1,INDEX('ITENS_MTR'!$AU$6:$AU$1005,S605)&amp;"","")</f>
        <v/>
      </c>
      <c r="X605" s="96">
        <f>IF(AND(Q605=1,T605=1,I605&lt;&gt;"",W605&lt;&gt;""),IF(I605&lt;&gt;W605,1,0),0)</f>
        <v>0</v>
      </c>
      <c r="Y605" s="96">
        <f>IF(N605=0,0,IF(OR(Q605=0,T605=0,V605=0,AND(X605=1,J605&lt;&gt;"Sim")),1,0))</f>
        <v>0</v>
      </c>
      <c r="Z605" s="96">
        <f>IF(Q605=1,INDEX('CDFs'!$W$6:$W$505,P605),0)</f>
        <v>0</v>
      </c>
      <c r="AA605" s="96">
        <f>IF(AND(N605=1,Y605=0,Z605=1,J605="Sim"),1,0)</f>
        <v>0</v>
      </c>
      <c r="AB605" s="96">
        <f>IF(AND(N605=1,O605&lt;&gt;"",D605&lt;&gt;""),IF(COUNTIFS($O$6:O605,O605,$D$6:D605,D605)=1,1,0),0)</f>
        <v>0</v>
      </c>
      <c r="AC605" s="96">
        <f>IF(T605=1,INDEX('ITENS_MTR'!$AL$6:$AL$1005,S605),0)</f>
        <v>0</v>
      </c>
    </row>
    <row r="606">
      <c r="A606" s="89" t="inlineStr">
        <is>
          <t>VIN-000601</t>
        </is>
      </c>
      <c r="B606" s="91" t="n"/>
      <c r="C606" s="91" t="n"/>
      <c r="D606" s="94" t="str">
        <f>IF(T606=1,INDEX('ITENS_MTR'!$S$6:$S$1005,S606)&amp;"","")</f>
        <v/>
      </c>
      <c r="E606" s="94" t="str">
        <f>IF(T606=1,INDEX('ITENS_MTR'!$C$6:$C$1005,S606)&amp;"","")</f>
        <v/>
      </c>
      <c r="F606" s="98" t="n"/>
      <c r="G606" s="91" t="n"/>
      <c r="H606" s="93" t="str">
        <f>IF(N606=0,"",IF(NOT(ISNUMBER(F606)),"",IF(ISNUMBER(U606),F606*U606,"UNIDADE A CONFERIR")))</f>
        <v/>
      </c>
      <c r="I606" s="94" t="str">
        <f>IF(Q606=1,INDEX('CDFs'!$F$6:$F$505,P606)&amp;"","")</f>
        <v/>
      </c>
      <c r="J606" s="91" t="n"/>
      <c r="K606" s="91" t="n"/>
      <c r="L606" s="94" t="str">
        <f>IF(N606=0,"",IF(NOT(ISNUMBER(F606)),"Quantidade não informada",IF(F606&lt;=0,"Quantidade não positiva",IF(G606="","Unidade não informada",IF(NOT(ISNUMBER(H606)),"Unidade a conferir",IF(AC606=1,"REVISAR VÍNCULO: soma vinculada maior que a referência do item","OK"))))))</f>
        <v/>
      </c>
      <c r="M606" s="94" t="str">
        <f>IF(N606=0,"",IF(B606="","CDF não informado",IF(Q606=0,"REVISAR VÍNCULO: CDF inexistente",IF(C606="","Item não informado",IF(T606=0,"REVISAR VÍNCULO: item inexistente",IF(AND(X606=1,J606&lt;&gt;"Sim"),"REVISAR VÍNCULO: destinador diferente do MTR",IF(X606=1,"Destinador diferente do MTR (analisado)","OK")))))))</f>
        <v/>
      </c>
      <c r="N606" s="96">
        <f>IF(COUNTA(B606:C606,F606:G606,J606:K606)&gt;0,1,0)</f>
        <v>0</v>
      </c>
      <c r="O606" s="96" t="str">
        <f>IF(B606="","",TRIM(LEFT(B606,FIND(" |",B606&amp;" |")-1)))</f>
        <v/>
      </c>
      <c r="P606" s="96" t="str">
        <f>IF(O606="","",IFERROR(MATCH(O606,'CDFs'!$A$6:$A$505,0),""))</f>
        <v/>
      </c>
      <c r="Q606" s="96">
        <f>IF(P606="",0,IF(INDEX('CDFs'!$S$6:$S$505,P606)=1,1,0))</f>
        <v>0</v>
      </c>
      <c r="R606" s="96" t="str">
        <f>IF(C606="","",TRIM(LEFT(C606,FIND(" |",C606&amp;" |")-1)))</f>
        <v/>
      </c>
      <c r="S606" s="96" t="str">
        <f>IF(R606="","",IFERROR(MATCH(R606,'ITENS_MTR'!$A$6:$A$1005,0),""))</f>
        <v/>
      </c>
      <c r="T606" s="96">
        <f>IF(S606="",0,IF(INDEX('ITENS_MTR'!$R$6:$R$1005,S606)=1,1,0))</f>
        <v>0</v>
      </c>
      <c r="U606" s="96" t="str">
        <f>IF(G606="","",IFERROR(IF(ISNUMBER(INDEX(cfg_fac,MATCH(G606,cfg_units,0))),IF(INDEX(cfg_fac,MATCH(G606,cfg_units,0))&gt;0,INDEX(cfg_fac,MATCH(G606,cfg_units,0)),""),""),""))</f>
        <v/>
      </c>
      <c r="V606" s="96">
        <f>IF(AND(ISNUMBER(F606),ISNUMBER(H606)),IF(H606&gt;0,1,0),0)</f>
        <v>0</v>
      </c>
      <c r="W606" s="96" t="str">
        <f>IF(T606=1,INDEX('ITENS_MTR'!$AU$6:$AU$1005,S606)&amp;"","")</f>
        <v/>
      </c>
      <c r="X606" s="96">
        <f>IF(AND(Q606=1,T606=1,I606&lt;&gt;"",W606&lt;&gt;""),IF(I606&lt;&gt;W606,1,0),0)</f>
        <v>0</v>
      </c>
      <c r="Y606" s="96">
        <f>IF(N606=0,0,IF(OR(Q606=0,T606=0,V606=0,AND(X606=1,J606&lt;&gt;"Sim")),1,0))</f>
        <v>0</v>
      </c>
      <c r="Z606" s="96">
        <f>IF(Q606=1,INDEX('CDFs'!$W$6:$W$505,P606),0)</f>
        <v>0</v>
      </c>
      <c r="AA606" s="96">
        <f>IF(AND(N606=1,Y606=0,Z606=1,J606="Sim"),1,0)</f>
        <v>0</v>
      </c>
      <c r="AB606" s="96">
        <f>IF(AND(N606=1,O606&lt;&gt;"",D606&lt;&gt;""),IF(COUNTIFS($O$6:O606,O606,$D$6:D606,D606)=1,1,0),0)</f>
        <v>0</v>
      </c>
      <c r="AC606" s="96">
        <f>IF(T606=1,INDEX('ITENS_MTR'!$AL$6:$AL$1005,S606),0)</f>
        <v>0</v>
      </c>
    </row>
    <row r="607">
      <c r="A607" s="89" t="inlineStr">
        <is>
          <t>VIN-000602</t>
        </is>
      </c>
      <c r="B607" s="91" t="n"/>
      <c r="C607" s="91" t="n"/>
      <c r="D607" s="94" t="str">
        <f>IF(T607=1,INDEX('ITENS_MTR'!$S$6:$S$1005,S607)&amp;"","")</f>
        <v/>
      </c>
      <c r="E607" s="94" t="str">
        <f>IF(T607=1,INDEX('ITENS_MTR'!$C$6:$C$1005,S607)&amp;"","")</f>
        <v/>
      </c>
      <c r="F607" s="98" t="n"/>
      <c r="G607" s="91" t="n"/>
      <c r="H607" s="93" t="str">
        <f>IF(N607=0,"",IF(NOT(ISNUMBER(F607)),"",IF(ISNUMBER(U607),F607*U607,"UNIDADE A CONFERIR")))</f>
        <v/>
      </c>
      <c r="I607" s="94" t="str">
        <f>IF(Q607=1,INDEX('CDFs'!$F$6:$F$505,P607)&amp;"","")</f>
        <v/>
      </c>
      <c r="J607" s="91" t="n"/>
      <c r="K607" s="91" t="n"/>
      <c r="L607" s="94" t="str">
        <f>IF(N607=0,"",IF(NOT(ISNUMBER(F607)),"Quantidade não informada",IF(F607&lt;=0,"Quantidade não positiva",IF(G607="","Unidade não informada",IF(NOT(ISNUMBER(H607)),"Unidade a conferir",IF(AC607=1,"REVISAR VÍNCULO: soma vinculada maior que a referência do item","OK"))))))</f>
        <v/>
      </c>
      <c r="M607" s="94" t="str">
        <f>IF(N607=0,"",IF(B607="","CDF não informado",IF(Q607=0,"REVISAR VÍNCULO: CDF inexistente",IF(C607="","Item não informado",IF(T607=0,"REVISAR VÍNCULO: item inexistente",IF(AND(X607=1,J607&lt;&gt;"Sim"),"REVISAR VÍNCULO: destinador diferente do MTR",IF(X607=1,"Destinador diferente do MTR (analisado)","OK")))))))</f>
        <v/>
      </c>
      <c r="N607" s="96">
        <f>IF(COUNTA(B607:C607,F607:G607,J607:K607)&gt;0,1,0)</f>
        <v>0</v>
      </c>
      <c r="O607" s="96" t="str">
        <f>IF(B607="","",TRIM(LEFT(B607,FIND(" |",B607&amp;" |")-1)))</f>
        <v/>
      </c>
      <c r="P607" s="96" t="str">
        <f>IF(O607="","",IFERROR(MATCH(O607,'CDFs'!$A$6:$A$505,0),""))</f>
        <v/>
      </c>
      <c r="Q607" s="96">
        <f>IF(P607="",0,IF(INDEX('CDFs'!$S$6:$S$505,P607)=1,1,0))</f>
        <v>0</v>
      </c>
      <c r="R607" s="96" t="str">
        <f>IF(C607="","",TRIM(LEFT(C607,FIND(" |",C607&amp;" |")-1)))</f>
        <v/>
      </c>
      <c r="S607" s="96" t="str">
        <f>IF(R607="","",IFERROR(MATCH(R607,'ITENS_MTR'!$A$6:$A$1005,0),""))</f>
        <v/>
      </c>
      <c r="T607" s="96">
        <f>IF(S607="",0,IF(INDEX('ITENS_MTR'!$R$6:$R$1005,S607)=1,1,0))</f>
        <v>0</v>
      </c>
      <c r="U607" s="96" t="str">
        <f>IF(G607="","",IFERROR(IF(ISNUMBER(INDEX(cfg_fac,MATCH(G607,cfg_units,0))),IF(INDEX(cfg_fac,MATCH(G607,cfg_units,0))&gt;0,INDEX(cfg_fac,MATCH(G607,cfg_units,0)),""),""),""))</f>
        <v/>
      </c>
      <c r="V607" s="96">
        <f>IF(AND(ISNUMBER(F607),ISNUMBER(H607)),IF(H607&gt;0,1,0),0)</f>
        <v>0</v>
      </c>
      <c r="W607" s="96" t="str">
        <f>IF(T607=1,INDEX('ITENS_MTR'!$AU$6:$AU$1005,S607)&amp;"","")</f>
        <v/>
      </c>
      <c r="X607" s="96">
        <f>IF(AND(Q607=1,T607=1,I607&lt;&gt;"",W607&lt;&gt;""),IF(I607&lt;&gt;W607,1,0),0)</f>
        <v>0</v>
      </c>
      <c r="Y607" s="96">
        <f>IF(N607=0,0,IF(OR(Q607=0,T607=0,V607=0,AND(X607=1,J607&lt;&gt;"Sim")),1,0))</f>
        <v>0</v>
      </c>
      <c r="Z607" s="96">
        <f>IF(Q607=1,INDEX('CDFs'!$W$6:$W$505,P607),0)</f>
        <v>0</v>
      </c>
      <c r="AA607" s="96">
        <f>IF(AND(N607=1,Y607=0,Z607=1,J607="Sim"),1,0)</f>
        <v>0</v>
      </c>
      <c r="AB607" s="96">
        <f>IF(AND(N607=1,O607&lt;&gt;"",D607&lt;&gt;""),IF(COUNTIFS($O$6:O607,O607,$D$6:D607,D607)=1,1,0),0)</f>
        <v>0</v>
      </c>
      <c r="AC607" s="96">
        <f>IF(T607=1,INDEX('ITENS_MTR'!$AL$6:$AL$1005,S607),0)</f>
        <v>0</v>
      </c>
    </row>
    <row r="608">
      <c r="A608" s="89" t="inlineStr">
        <is>
          <t>VIN-000603</t>
        </is>
      </c>
      <c r="B608" s="91" t="n"/>
      <c r="C608" s="91" t="n"/>
      <c r="D608" s="94" t="str">
        <f>IF(T608=1,INDEX('ITENS_MTR'!$S$6:$S$1005,S608)&amp;"","")</f>
        <v/>
      </c>
      <c r="E608" s="94" t="str">
        <f>IF(T608=1,INDEX('ITENS_MTR'!$C$6:$C$1005,S608)&amp;"","")</f>
        <v/>
      </c>
      <c r="F608" s="98" t="n"/>
      <c r="G608" s="91" t="n"/>
      <c r="H608" s="93" t="str">
        <f>IF(N608=0,"",IF(NOT(ISNUMBER(F608)),"",IF(ISNUMBER(U608),F608*U608,"UNIDADE A CONFERIR")))</f>
        <v/>
      </c>
      <c r="I608" s="94" t="str">
        <f>IF(Q608=1,INDEX('CDFs'!$F$6:$F$505,P608)&amp;"","")</f>
        <v/>
      </c>
      <c r="J608" s="91" t="n"/>
      <c r="K608" s="91" t="n"/>
      <c r="L608" s="94" t="str">
        <f>IF(N608=0,"",IF(NOT(ISNUMBER(F608)),"Quantidade não informada",IF(F608&lt;=0,"Quantidade não positiva",IF(G608="","Unidade não informada",IF(NOT(ISNUMBER(H608)),"Unidade a conferir",IF(AC608=1,"REVISAR VÍNCULO: soma vinculada maior que a referência do item","OK"))))))</f>
        <v/>
      </c>
      <c r="M608" s="94" t="str">
        <f>IF(N608=0,"",IF(B608="","CDF não informado",IF(Q608=0,"REVISAR VÍNCULO: CDF inexistente",IF(C608="","Item não informado",IF(T608=0,"REVISAR VÍNCULO: item inexistente",IF(AND(X608=1,J608&lt;&gt;"Sim"),"REVISAR VÍNCULO: destinador diferente do MTR",IF(X608=1,"Destinador diferente do MTR (analisado)","OK")))))))</f>
        <v/>
      </c>
      <c r="N608" s="96">
        <f>IF(COUNTA(B608:C608,F608:G608,J608:K608)&gt;0,1,0)</f>
        <v>0</v>
      </c>
      <c r="O608" s="96" t="str">
        <f>IF(B608="","",TRIM(LEFT(B608,FIND(" |",B608&amp;" |")-1)))</f>
        <v/>
      </c>
      <c r="P608" s="96" t="str">
        <f>IF(O608="","",IFERROR(MATCH(O608,'CDFs'!$A$6:$A$505,0),""))</f>
        <v/>
      </c>
      <c r="Q608" s="96">
        <f>IF(P608="",0,IF(INDEX('CDFs'!$S$6:$S$505,P608)=1,1,0))</f>
        <v>0</v>
      </c>
      <c r="R608" s="96" t="str">
        <f>IF(C608="","",TRIM(LEFT(C608,FIND(" |",C608&amp;" |")-1)))</f>
        <v/>
      </c>
      <c r="S608" s="96" t="str">
        <f>IF(R608="","",IFERROR(MATCH(R608,'ITENS_MTR'!$A$6:$A$1005,0),""))</f>
        <v/>
      </c>
      <c r="T608" s="96">
        <f>IF(S608="",0,IF(INDEX('ITENS_MTR'!$R$6:$R$1005,S608)=1,1,0))</f>
        <v>0</v>
      </c>
      <c r="U608" s="96" t="str">
        <f>IF(G608="","",IFERROR(IF(ISNUMBER(INDEX(cfg_fac,MATCH(G608,cfg_units,0))),IF(INDEX(cfg_fac,MATCH(G608,cfg_units,0))&gt;0,INDEX(cfg_fac,MATCH(G608,cfg_units,0)),""),""),""))</f>
        <v/>
      </c>
      <c r="V608" s="96">
        <f>IF(AND(ISNUMBER(F608),ISNUMBER(H608)),IF(H608&gt;0,1,0),0)</f>
        <v>0</v>
      </c>
      <c r="W608" s="96" t="str">
        <f>IF(T608=1,INDEX('ITENS_MTR'!$AU$6:$AU$1005,S608)&amp;"","")</f>
        <v/>
      </c>
      <c r="X608" s="96">
        <f>IF(AND(Q608=1,T608=1,I608&lt;&gt;"",W608&lt;&gt;""),IF(I608&lt;&gt;W608,1,0),0)</f>
        <v>0</v>
      </c>
      <c r="Y608" s="96">
        <f>IF(N608=0,0,IF(OR(Q608=0,T608=0,V608=0,AND(X608=1,J608&lt;&gt;"Sim")),1,0))</f>
        <v>0</v>
      </c>
      <c r="Z608" s="96">
        <f>IF(Q608=1,INDEX('CDFs'!$W$6:$W$505,P608),0)</f>
        <v>0</v>
      </c>
      <c r="AA608" s="96">
        <f>IF(AND(N608=1,Y608=0,Z608=1,J608="Sim"),1,0)</f>
        <v>0</v>
      </c>
      <c r="AB608" s="96">
        <f>IF(AND(N608=1,O608&lt;&gt;"",D608&lt;&gt;""),IF(COUNTIFS($O$6:O608,O608,$D$6:D608,D608)=1,1,0),0)</f>
        <v>0</v>
      </c>
      <c r="AC608" s="96">
        <f>IF(T608=1,INDEX('ITENS_MTR'!$AL$6:$AL$1005,S608),0)</f>
        <v>0</v>
      </c>
    </row>
    <row r="609">
      <c r="A609" s="89" t="inlineStr">
        <is>
          <t>VIN-000604</t>
        </is>
      </c>
      <c r="B609" s="91" t="n"/>
      <c r="C609" s="91" t="n"/>
      <c r="D609" s="94" t="str">
        <f>IF(T609=1,INDEX('ITENS_MTR'!$S$6:$S$1005,S609)&amp;"","")</f>
        <v/>
      </c>
      <c r="E609" s="94" t="str">
        <f>IF(T609=1,INDEX('ITENS_MTR'!$C$6:$C$1005,S609)&amp;"","")</f>
        <v/>
      </c>
      <c r="F609" s="98" t="n"/>
      <c r="G609" s="91" t="n"/>
      <c r="H609" s="93" t="str">
        <f>IF(N609=0,"",IF(NOT(ISNUMBER(F609)),"",IF(ISNUMBER(U609),F609*U609,"UNIDADE A CONFERIR")))</f>
        <v/>
      </c>
      <c r="I609" s="94" t="str">
        <f>IF(Q609=1,INDEX('CDFs'!$F$6:$F$505,P609)&amp;"","")</f>
        <v/>
      </c>
      <c r="J609" s="91" t="n"/>
      <c r="K609" s="91" t="n"/>
      <c r="L609" s="94" t="str">
        <f>IF(N609=0,"",IF(NOT(ISNUMBER(F609)),"Quantidade não informada",IF(F609&lt;=0,"Quantidade não positiva",IF(G609="","Unidade não informada",IF(NOT(ISNUMBER(H609)),"Unidade a conferir",IF(AC609=1,"REVISAR VÍNCULO: soma vinculada maior que a referência do item","OK"))))))</f>
        <v/>
      </c>
      <c r="M609" s="94" t="str">
        <f>IF(N609=0,"",IF(B609="","CDF não informado",IF(Q609=0,"REVISAR VÍNCULO: CDF inexistente",IF(C609="","Item não informado",IF(T609=0,"REVISAR VÍNCULO: item inexistente",IF(AND(X609=1,J609&lt;&gt;"Sim"),"REVISAR VÍNCULO: destinador diferente do MTR",IF(X609=1,"Destinador diferente do MTR (analisado)","OK")))))))</f>
        <v/>
      </c>
      <c r="N609" s="96">
        <f>IF(COUNTA(B609:C609,F609:G609,J609:K609)&gt;0,1,0)</f>
        <v>0</v>
      </c>
      <c r="O609" s="96" t="str">
        <f>IF(B609="","",TRIM(LEFT(B609,FIND(" |",B609&amp;" |")-1)))</f>
        <v/>
      </c>
      <c r="P609" s="96" t="str">
        <f>IF(O609="","",IFERROR(MATCH(O609,'CDFs'!$A$6:$A$505,0),""))</f>
        <v/>
      </c>
      <c r="Q609" s="96">
        <f>IF(P609="",0,IF(INDEX('CDFs'!$S$6:$S$505,P609)=1,1,0))</f>
        <v>0</v>
      </c>
      <c r="R609" s="96" t="str">
        <f>IF(C609="","",TRIM(LEFT(C609,FIND(" |",C609&amp;" |")-1)))</f>
        <v/>
      </c>
      <c r="S609" s="96" t="str">
        <f>IF(R609="","",IFERROR(MATCH(R609,'ITENS_MTR'!$A$6:$A$1005,0),""))</f>
        <v/>
      </c>
      <c r="T609" s="96">
        <f>IF(S609="",0,IF(INDEX('ITENS_MTR'!$R$6:$R$1005,S609)=1,1,0))</f>
        <v>0</v>
      </c>
      <c r="U609" s="96" t="str">
        <f>IF(G609="","",IFERROR(IF(ISNUMBER(INDEX(cfg_fac,MATCH(G609,cfg_units,0))),IF(INDEX(cfg_fac,MATCH(G609,cfg_units,0))&gt;0,INDEX(cfg_fac,MATCH(G609,cfg_units,0)),""),""),""))</f>
        <v/>
      </c>
      <c r="V609" s="96">
        <f>IF(AND(ISNUMBER(F609),ISNUMBER(H609)),IF(H609&gt;0,1,0),0)</f>
        <v>0</v>
      </c>
      <c r="W609" s="96" t="str">
        <f>IF(T609=1,INDEX('ITENS_MTR'!$AU$6:$AU$1005,S609)&amp;"","")</f>
        <v/>
      </c>
      <c r="X609" s="96">
        <f>IF(AND(Q609=1,T609=1,I609&lt;&gt;"",W609&lt;&gt;""),IF(I609&lt;&gt;W609,1,0),0)</f>
        <v>0</v>
      </c>
      <c r="Y609" s="96">
        <f>IF(N609=0,0,IF(OR(Q609=0,T609=0,V609=0,AND(X609=1,J609&lt;&gt;"Sim")),1,0))</f>
        <v>0</v>
      </c>
      <c r="Z609" s="96">
        <f>IF(Q609=1,INDEX('CDFs'!$W$6:$W$505,P609),0)</f>
        <v>0</v>
      </c>
      <c r="AA609" s="96">
        <f>IF(AND(N609=1,Y609=0,Z609=1,J609="Sim"),1,0)</f>
        <v>0</v>
      </c>
      <c r="AB609" s="96">
        <f>IF(AND(N609=1,O609&lt;&gt;"",D609&lt;&gt;""),IF(COUNTIFS($O$6:O609,O609,$D$6:D609,D609)=1,1,0),0)</f>
        <v>0</v>
      </c>
      <c r="AC609" s="96">
        <f>IF(T609=1,INDEX('ITENS_MTR'!$AL$6:$AL$1005,S609),0)</f>
        <v>0</v>
      </c>
    </row>
    <row r="610">
      <c r="A610" s="89" t="inlineStr">
        <is>
          <t>VIN-000605</t>
        </is>
      </c>
      <c r="B610" s="91" t="n"/>
      <c r="C610" s="91" t="n"/>
      <c r="D610" s="94" t="str">
        <f>IF(T610=1,INDEX('ITENS_MTR'!$S$6:$S$1005,S610)&amp;"","")</f>
        <v/>
      </c>
      <c r="E610" s="94" t="str">
        <f>IF(T610=1,INDEX('ITENS_MTR'!$C$6:$C$1005,S610)&amp;"","")</f>
        <v/>
      </c>
      <c r="F610" s="98" t="n"/>
      <c r="G610" s="91" t="n"/>
      <c r="H610" s="93" t="str">
        <f>IF(N610=0,"",IF(NOT(ISNUMBER(F610)),"",IF(ISNUMBER(U610),F610*U610,"UNIDADE A CONFERIR")))</f>
        <v/>
      </c>
      <c r="I610" s="94" t="str">
        <f>IF(Q610=1,INDEX('CDFs'!$F$6:$F$505,P610)&amp;"","")</f>
        <v/>
      </c>
      <c r="J610" s="91" t="n"/>
      <c r="K610" s="91" t="n"/>
      <c r="L610" s="94" t="str">
        <f>IF(N610=0,"",IF(NOT(ISNUMBER(F610)),"Quantidade não informada",IF(F610&lt;=0,"Quantidade não positiva",IF(G610="","Unidade não informada",IF(NOT(ISNUMBER(H610)),"Unidade a conferir",IF(AC610=1,"REVISAR VÍNCULO: soma vinculada maior que a referência do item","OK"))))))</f>
        <v/>
      </c>
      <c r="M610" s="94" t="str">
        <f>IF(N610=0,"",IF(B610="","CDF não informado",IF(Q610=0,"REVISAR VÍNCULO: CDF inexistente",IF(C610="","Item não informado",IF(T610=0,"REVISAR VÍNCULO: item inexistente",IF(AND(X610=1,J610&lt;&gt;"Sim"),"REVISAR VÍNCULO: destinador diferente do MTR",IF(X610=1,"Destinador diferente do MTR (analisado)","OK")))))))</f>
        <v/>
      </c>
      <c r="N610" s="96">
        <f>IF(COUNTA(B610:C610,F610:G610,J610:K610)&gt;0,1,0)</f>
        <v>0</v>
      </c>
      <c r="O610" s="96" t="str">
        <f>IF(B610="","",TRIM(LEFT(B610,FIND(" |",B610&amp;" |")-1)))</f>
        <v/>
      </c>
      <c r="P610" s="96" t="str">
        <f>IF(O610="","",IFERROR(MATCH(O610,'CDFs'!$A$6:$A$505,0),""))</f>
        <v/>
      </c>
      <c r="Q610" s="96">
        <f>IF(P610="",0,IF(INDEX('CDFs'!$S$6:$S$505,P610)=1,1,0))</f>
        <v>0</v>
      </c>
      <c r="R610" s="96" t="str">
        <f>IF(C610="","",TRIM(LEFT(C610,FIND(" |",C610&amp;" |")-1)))</f>
        <v/>
      </c>
      <c r="S610" s="96" t="str">
        <f>IF(R610="","",IFERROR(MATCH(R610,'ITENS_MTR'!$A$6:$A$1005,0),""))</f>
        <v/>
      </c>
      <c r="T610" s="96">
        <f>IF(S610="",0,IF(INDEX('ITENS_MTR'!$R$6:$R$1005,S610)=1,1,0))</f>
        <v>0</v>
      </c>
      <c r="U610" s="96" t="str">
        <f>IF(G610="","",IFERROR(IF(ISNUMBER(INDEX(cfg_fac,MATCH(G610,cfg_units,0))),IF(INDEX(cfg_fac,MATCH(G610,cfg_units,0))&gt;0,INDEX(cfg_fac,MATCH(G610,cfg_units,0)),""),""),""))</f>
        <v/>
      </c>
      <c r="V610" s="96">
        <f>IF(AND(ISNUMBER(F610),ISNUMBER(H610)),IF(H610&gt;0,1,0),0)</f>
        <v>0</v>
      </c>
      <c r="W610" s="96" t="str">
        <f>IF(T610=1,INDEX('ITENS_MTR'!$AU$6:$AU$1005,S610)&amp;"","")</f>
        <v/>
      </c>
      <c r="X610" s="96">
        <f>IF(AND(Q610=1,T610=1,I610&lt;&gt;"",W610&lt;&gt;""),IF(I610&lt;&gt;W610,1,0),0)</f>
        <v>0</v>
      </c>
      <c r="Y610" s="96">
        <f>IF(N610=0,0,IF(OR(Q610=0,T610=0,V610=0,AND(X610=1,J610&lt;&gt;"Sim")),1,0))</f>
        <v>0</v>
      </c>
      <c r="Z610" s="96">
        <f>IF(Q610=1,INDEX('CDFs'!$W$6:$W$505,P610),0)</f>
        <v>0</v>
      </c>
      <c r="AA610" s="96">
        <f>IF(AND(N610=1,Y610=0,Z610=1,J610="Sim"),1,0)</f>
        <v>0</v>
      </c>
      <c r="AB610" s="96">
        <f>IF(AND(N610=1,O610&lt;&gt;"",D610&lt;&gt;""),IF(COUNTIFS($O$6:O610,O610,$D$6:D610,D610)=1,1,0),0)</f>
        <v>0</v>
      </c>
      <c r="AC610" s="96">
        <f>IF(T610=1,INDEX('ITENS_MTR'!$AL$6:$AL$1005,S610),0)</f>
        <v>0</v>
      </c>
    </row>
    <row r="611">
      <c r="A611" s="89" t="inlineStr">
        <is>
          <t>VIN-000606</t>
        </is>
      </c>
      <c r="B611" s="91" t="n"/>
      <c r="C611" s="91" t="n"/>
      <c r="D611" s="94" t="str">
        <f>IF(T611=1,INDEX('ITENS_MTR'!$S$6:$S$1005,S611)&amp;"","")</f>
        <v/>
      </c>
      <c r="E611" s="94" t="str">
        <f>IF(T611=1,INDEX('ITENS_MTR'!$C$6:$C$1005,S611)&amp;"","")</f>
        <v/>
      </c>
      <c r="F611" s="98" t="n"/>
      <c r="G611" s="91" t="n"/>
      <c r="H611" s="93" t="str">
        <f>IF(N611=0,"",IF(NOT(ISNUMBER(F611)),"",IF(ISNUMBER(U611),F611*U611,"UNIDADE A CONFERIR")))</f>
        <v/>
      </c>
      <c r="I611" s="94" t="str">
        <f>IF(Q611=1,INDEX('CDFs'!$F$6:$F$505,P611)&amp;"","")</f>
        <v/>
      </c>
      <c r="J611" s="91" t="n"/>
      <c r="K611" s="91" t="n"/>
      <c r="L611" s="94" t="str">
        <f>IF(N611=0,"",IF(NOT(ISNUMBER(F611)),"Quantidade não informada",IF(F611&lt;=0,"Quantidade não positiva",IF(G611="","Unidade não informada",IF(NOT(ISNUMBER(H611)),"Unidade a conferir",IF(AC611=1,"REVISAR VÍNCULO: soma vinculada maior que a referência do item","OK"))))))</f>
        <v/>
      </c>
      <c r="M611" s="94" t="str">
        <f>IF(N611=0,"",IF(B611="","CDF não informado",IF(Q611=0,"REVISAR VÍNCULO: CDF inexistente",IF(C611="","Item não informado",IF(T611=0,"REVISAR VÍNCULO: item inexistente",IF(AND(X611=1,J611&lt;&gt;"Sim"),"REVISAR VÍNCULO: destinador diferente do MTR",IF(X611=1,"Destinador diferente do MTR (analisado)","OK")))))))</f>
        <v/>
      </c>
      <c r="N611" s="96">
        <f>IF(COUNTA(B611:C611,F611:G611,J611:K611)&gt;0,1,0)</f>
        <v>0</v>
      </c>
      <c r="O611" s="96" t="str">
        <f>IF(B611="","",TRIM(LEFT(B611,FIND(" |",B611&amp;" |")-1)))</f>
        <v/>
      </c>
      <c r="P611" s="96" t="str">
        <f>IF(O611="","",IFERROR(MATCH(O611,'CDFs'!$A$6:$A$505,0),""))</f>
        <v/>
      </c>
      <c r="Q611" s="96">
        <f>IF(P611="",0,IF(INDEX('CDFs'!$S$6:$S$505,P611)=1,1,0))</f>
        <v>0</v>
      </c>
      <c r="R611" s="96" t="str">
        <f>IF(C611="","",TRIM(LEFT(C611,FIND(" |",C611&amp;" |")-1)))</f>
        <v/>
      </c>
      <c r="S611" s="96" t="str">
        <f>IF(R611="","",IFERROR(MATCH(R611,'ITENS_MTR'!$A$6:$A$1005,0),""))</f>
        <v/>
      </c>
      <c r="T611" s="96">
        <f>IF(S611="",0,IF(INDEX('ITENS_MTR'!$R$6:$R$1005,S611)=1,1,0))</f>
        <v>0</v>
      </c>
      <c r="U611" s="96" t="str">
        <f>IF(G611="","",IFERROR(IF(ISNUMBER(INDEX(cfg_fac,MATCH(G611,cfg_units,0))),IF(INDEX(cfg_fac,MATCH(G611,cfg_units,0))&gt;0,INDEX(cfg_fac,MATCH(G611,cfg_units,0)),""),""),""))</f>
        <v/>
      </c>
      <c r="V611" s="96">
        <f>IF(AND(ISNUMBER(F611),ISNUMBER(H611)),IF(H611&gt;0,1,0),0)</f>
        <v>0</v>
      </c>
      <c r="W611" s="96" t="str">
        <f>IF(T611=1,INDEX('ITENS_MTR'!$AU$6:$AU$1005,S611)&amp;"","")</f>
        <v/>
      </c>
      <c r="X611" s="96">
        <f>IF(AND(Q611=1,T611=1,I611&lt;&gt;"",W611&lt;&gt;""),IF(I611&lt;&gt;W611,1,0),0)</f>
        <v>0</v>
      </c>
      <c r="Y611" s="96">
        <f>IF(N611=0,0,IF(OR(Q611=0,T611=0,V611=0,AND(X611=1,J611&lt;&gt;"Sim")),1,0))</f>
        <v>0</v>
      </c>
      <c r="Z611" s="96">
        <f>IF(Q611=1,INDEX('CDFs'!$W$6:$W$505,P611),0)</f>
        <v>0</v>
      </c>
      <c r="AA611" s="96">
        <f>IF(AND(N611=1,Y611=0,Z611=1,J611="Sim"),1,0)</f>
        <v>0</v>
      </c>
      <c r="AB611" s="96">
        <f>IF(AND(N611=1,O611&lt;&gt;"",D611&lt;&gt;""),IF(COUNTIFS($O$6:O611,O611,$D$6:D611,D611)=1,1,0),0)</f>
        <v>0</v>
      </c>
      <c r="AC611" s="96">
        <f>IF(T611=1,INDEX('ITENS_MTR'!$AL$6:$AL$1005,S611),0)</f>
        <v>0</v>
      </c>
    </row>
    <row r="612">
      <c r="A612" s="89" t="inlineStr">
        <is>
          <t>VIN-000607</t>
        </is>
      </c>
      <c r="B612" s="91" t="n"/>
      <c r="C612" s="91" t="n"/>
      <c r="D612" s="94" t="str">
        <f>IF(T612=1,INDEX('ITENS_MTR'!$S$6:$S$1005,S612)&amp;"","")</f>
        <v/>
      </c>
      <c r="E612" s="94" t="str">
        <f>IF(T612=1,INDEX('ITENS_MTR'!$C$6:$C$1005,S612)&amp;"","")</f>
        <v/>
      </c>
      <c r="F612" s="98" t="n"/>
      <c r="G612" s="91" t="n"/>
      <c r="H612" s="93" t="str">
        <f>IF(N612=0,"",IF(NOT(ISNUMBER(F612)),"",IF(ISNUMBER(U612),F612*U612,"UNIDADE A CONFERIR")))</f>
        <v/>
      </c>
      <c r="I612" s="94" t="str">
        <f>IF(Q612=1,INDEX('CDFs'!$F$6:$F$505,P612)&amp;"","")</f>
        <v/>
      </c>
      <c r="J612" s="91" t="n"/>
      <c r="K612" s="91" t="n"/>
      <c r="L612" s="94" t="str">
        <f>IF(N612=0,"",IF(NOT(ISNUMBER(F612)),"Quantidade não informada",IF(F612&lt;=0,"Quantidade não positiva",IF(G612="","Unidade não informada",IF(NOT(ISNUMBER(H612)),"Unidade a conferir",IF(AC612=1,"REVISAR VÍNCULO: soma vinculada maior que a referência do item","OK"))))))</f>
        <v/>
      </c>
      <c r="M612" s="94" t="str">
        <f>IF(N612=0,"",IF(B612="","CDF não informado",IF(Q612=0,"REVISAR VÍNCULO: CDF inexistente",IF(C612="","Item não informado",IF(T612=0,"REVISAR VÍNCULO: item inexistente",IF(AND(X612=1,J612&lt;&gt;"Sim"),"REVISAR VÍNCULO: destinador diferente do MTR",IF(X612=1,"Destinador diferente do MTR (analisado)","OK")))))))</f>
        <v/>
      </c>
      <c r="N612" s="96">
        <f>IF(COUNTA(B612:C612,F612:G612,J612:K612)&gt;0,1,0)</f>
        <v>0</v>
      </c>
      <c r="O612" s="96" t="str">
        <f>IF(B612="","",TRIM(LEFT(B612,FIND(" |",B612&amp;" |")-1)))</f>
        <v/>
      </c>
      <c r="P612" s="96" t="str">
        <f>IF(O612="","",IFERROR(MATCH(O612,'CDFs'!$A$6:$A$505,0),""))</f>
        <v/>
      </c>
      <c r="Q612" s="96">
        <f>IF(P612="",0,IF(INDEX('CDFs'!$S$6:$S$505,P612)=1,1,0))</f>
        <v>0</v>
      </c>
      <c r="R612" s="96" t="str">
        <f>IF(C612="","",TRIM(LEFT(C612,FIND(" |",C612&amp;" |")-1)))</f>
        <v/>
      </c>
      <c r="S612" s="96" t="str">
        <f>IF(R612="","",IFERROR(MATCH(R612,'ITENS_MTR'!$A$6:$A$1005,0),""))</f>
        <v/>
      </c>
      <c r="T612" s="96">
        <f>IF(S612="",0,IF(INDEX('ITENS_MTR'!$R$6:$R$1005,S612)=1,1,0))</f>
        <v>0</v>
      </c>
      <c r="U612" s="96" t="str">
        <f>IF(G612="","",IFERROR(IF(ISNUMBER(INDEX(cfg_fac,MATCH(G612,cfg_units,0))),IF(INDEX(cfg_fac,MATCH(G612,cfg_units,0))&gt;0,INDEX(cfg_fac,MATCH(G612,cfg_units,0)),""),""),""))</f>
        <v/>
      </c>
      <c r="V612" s="96">
        <f>IF(AND(ISNUMBER(F612),ISNUMBER(H612)),IF(H612&gt;0,1,0),0)</f>
        <v>0</v>
      </c>
      <c r="W612" s="96" t="str">
        <f>IF(T612=1,INDEX('ITENS_MTR'!$AU$6:$AU$1005,S612)&amp;"","")</f>
        <v/>
      </c>
      <c r="X612" s="96">
        <f>IF(AND(Q612=1,T612=1,I612&lt;&gt;"",W612&lt;&gt;""),IF(I612&lt;&gt;W612,1,0),0)</f>
        <v>0</v>
      </c>
      <c r="Y612" s="96">
        <f>IF(N612=0,0,IF(OR(Q612=0,T612=0,V612=0,AND(X612=1,J612&lt;&gt;"Sim")),1,0))</f>
        <v>0</v>
      </c>
      <c r="Z612" s="96">
        <f>IF(Q612=1,INDEX('CDFs'!$W$6:$W$505,P612),0)</f>
        <v>0</v>
      </c>
      <c r="AA612" s="96">
        <f>IF(AND(N612=1,Y612=0,Z612=1,J612="Sim"),1,0)</f>
        <v>0</v>
      </c>
      <c r="AB612" s="96">
        <f>IF(AND(N612=1,O612&lt;&gt;"",D612&lt;&gt;""),IF(COUNTIFS($O$6:O612,O612,$D$6:D612,D612)=1,1,0),0)</f>
        <v>0</v>
      </c>
      <c r="AC612" s="96">
        <f>IF(T612=1,INDEX('ITENS_MTR'!$AL$6:$AL$1005,S612),0)</f>
        <v>0</v>
      </c>
    </row>
    <row r="613">
      <c r="A613" s="89" t="inlineStr">
        <is>
          <t>VIN-000608</t>
        </is>
      </c>
      <c r="B613" s="91" t="n"/>
      <c r="C613" s="91" t="n"/>
      <c r="D613" s="94" t="str">
        <f>IF(T613=1,INDEX('ITENS_MTR'!$S$6:$S$1005,S613)&amp;"","")</f>
        <v/>
      </c>
      <c r="E613" s="94" t="str">
        <f>IF(T613=1,INDEX('ITENS_MTR'!$C$6:$C$1005,S613)&amp;"","")</f>
        <v/>
      </c>
      <c r="F613" s="98" t="n"/>
      <c r="G613" s="91" t="n"/>
      <c r="H613" s="93" t="str">
        <f>IF(N613=0,"",IF(NOT(ISNUMBER(F613)),"",IF(ISNUMBER(U613),F613*U613,"UNIDADE A CONFERIR")))</f>
        <v/>
      </c>
      <c r="I613" s="94" t="str">
        <f>IF(Q613=1,INDEX('CDFs'!$F$6:$F$505,P613)&amp;"","")</f>
        <v/>
      </c>
      <c r="J613" s="91" t="n"/>
      <c r="K613" s="91" t="n"/>
      <c r="L613" s="94" t="str">
        <f>IF(N613=0,"",IF(NOT(ISNUMBER(F613)),"Quantidade não informada",IF(F613&lt;=0,"Quantidade não positiva",IF(G613="","Unidade não informada",IF(NOT(ISNUMBER(H613)),"Unidade a conferir",IF(AC613=1,"REVISAR VÍNCULO: soma vinculada maior que a referência do item","OK"))))))</f>
        <v/>
      </c>
      <c r="M613" s="94" t="str">
        <f>IF(N613=0,"",IF(B613="","CDF não informado",IF(Q613=0,"REVISAR VÍNCULO: CDF inexistente",IF(C613="","Item não informado",IF(T613=0,"REVISAR VÍNCULO: item inexistente",IF(AND(X613=1,J613&lt;&gt;"Sim"),"REVISAR VÍNCULO: destinador diferente do MTR",IF(X613=1,"Destinador diferente do MTR (analisado)","OK")))))))</f>
        <v/>
      </c>
      <c r="N613" s="96">
        <f>IF(COUNTA(B613:C613,F613:G613,J613:K613)&gt;0,1,0)</f>
        <v>0</v>
      </c>
      <c r="O613" s="96" t="str">
        <f>IF(B613="","",TRIM(LEFT(B613,FIND(" |",B613&amp;" |")-1)))</f>
        <v/>
      </c>
      <c r="P613" s="96" t="str">
        <f>IF(O613="","",IFERROR(MATCH(O613,'CDFs'!$A$6:$A$505,0),""))</f>
        <v/>
      </c>
      <c r="Q613" s="96">
        <f>IF(P613="",0,IF(INDEX('CDFs'!$S$6:$S$505,P613)=1,1,0))</f>
        <v>0</v>
      </c>
      <c r="R613" s="96" t="str">
        <f>IF(C613="","",TRIM(LEFT(C613,FIND(" |",C613&amp;" |")-1)))</f>
        <v/>
      </c>
      <c r="S613" s="96" t="str">
        <f>IF(R613="","",IFERROR(MATCH(R613,'ITENS_MTR'!$A$6:$A$1005,0),""))</f>
        <v/>
      </c>
      <c r="T613" s="96">
        <f>IF(S613="",0,IF(INDEX('ITENS_MTR'!$R$6:$R$1005,S613)=1,1,0))</f>
        <v>0</v>
      </c>
      <c r="U613" s="96" t="str">
        <f>IF(G613="","",IFERROR(IF(ISNUMBER(INDEX(cfg_fac,MATCH(G613,cfg_units,0))),IF(INDEX(cfg_fac,MATCH(G613,cfg_units,0))&gt;0,INDEX(cfg_fac,MATCH(G613,cfg_units,0)),""),""),""))</f>
        <v/>
      </c>
      <c r="V613" s="96">
        <f>IF(AND(ISNUMBER(F613),ISNUMBER(H613)),IF(H613&gt;0,1,0),0)</f>
        <v>0</v>
      </c>
      <c r="W613" s="96" t="str">
        <f>IF(T613=1,INDEX('ITENS_MTR'!$AU$6:$AU$1005,S613)&amp;"","")</f>
        <v/>
      </c>
      <c r="X613" s="96">
        <f>IF(AND(Q613=1,T613=1,I613&lt;&gt;"",W613&lt;&gt;""),IF(I613&lt;&gt;W613,1,0),0)</f>
        <v>0</v>
      </c>
      <c r="Y613" s="96">
        <f>IF(N613=0,0,IF(OR(Q613=0,T613=0,V613=0,AND(X613=1,J613&lt;&gt;"Sim")),1,0))</f>
        <v>0</v>
      </c>
      <c r="Z613" s="96">
        <f>IF(Q613=1,INDEX('CDFs'!$W$6:$W$505,P613),0)</f>
        <v>0</v>
      </c>
      <c r="AA613" s="96">
        <f>IF(AND(N613=1,Y613=0,Z613=1,J613="Sim"),1,0)</f>
        <v>0</v>
      </c>
      <c r="AB613" s="96">
        <f>IF(AND(N613=1,O613&lt;&gt;"",D613&lt;&gt;""),IF(COUNTIFS($O$6:O613,O613,$D$6:D613,D613)=1,1,0),0)</f>
        <v>0</v>
      </c>
      <c r="AC613" s="96">
        <f>IF(T613=1,INDEX('ITENS_MTR'!$AL$6:$AL$1005,S613),0)</f>
        <v>0</v>
      </c>
    </row>
    <row r="614">
      <c r="A614" s="89" t="inlineStr">
        <is>
          <t>VIN-000609</t>
        </is>
      </c>
      <c r="B614" s="91" t="n"/>
      <c r="C614" s="91" t="n"/>
      <c r="D614" s="94" t="str">
        <f>IF(T614=1,INDEX('ITENS_MTR'!$S$6:$S$1005,S614)&amp;"","")</f>
        <v/>
      </c>
      <c r="E614" s="94" t="str">
        <f>IF(T614=1,INDEX('ITENS_MTR'!$C$6:$C$1005,S614)&amp;"","")</f>
        <v/>
      </c>
      <c r="F614" s="98" t="n"/>
      <c r="G614" s="91" t="n"/>
      <c r="H614" s="93" t="str">
        <f>IF(N614=0,"",IF(NOT(ISNUMBER(F614)),"",IF(ISNUMBER(U614),F614*U614,"UNIDADE A CONFERIR")))</f>
        <v/>
      </c>
      <c r="I614" s="94" t="str">
        <f>IF(Q614=1,INDEX('CDFs'!$F$6:$F$505,P614)&amp;"","")</f>
        <v/>
      </c>
      <c r="J614" s="91" t="n"/>
      <c r="K614" s="91" t="n"/>
      <c r="L614" s="94" t="str">
        <f>IF(N614=0,"",IF(NOT(ISNUMBER(F614)),"Quantidade não informada",IF(F614&lt;=0,"Quantidade não positiva",IF(G614="","Unidade não informada",IF(NOT(ISNUMBER(H614)),"Unidade a conferir",IF(AC614=1,"REVISAR VÍNCULO: soma vinculada maior que a referência do item","OK"))))))</f>
        <v/>
      </c>
      <c r="M614" s="94" t="str">
        <f>IF(N614=0,"",IF(B614="","CDF não informado",IF(Q614=0,"REVISAR VÍNCULO: CDF inexistente",IF(C614="","Item não informado",IF(T614=0,"REVISAR VÍNCULO: item inexistente",IF(AND(X614=1,J614&lt;&gt;"Sim"),"REVISAR VÍNCULO: destinador diferente do MTR",IF(X614=1,"Destinador diferente do MTR (analisado)","OK")))))))</f>
        <v/>
      </c>
      <c r="N614" s="96">
        <f>IF(COUNTA(B614:C614,F614:G614,J614:K614)&gt;0,1,0)</f>
        <v>0</v>
      </c>
      <c r="O614" s="96" t="str">
        <f>IF(B614="","",TRIM(LEFT(B614,FIND(" |",B614&amp;" |")-1)))</f>
        <v/>
      </c>
      <c r="P614" s="96" t="str">
        <f>IF(O614="","",IFERROR(MATCH(O614,'CDFs'!$A$6:$A$505,0),""))</f>
        <v/>
      </c>
      <c r="Q614" s="96">
        <f>IF(P614="",0,IF(INDEX('CDFs'!$S$6:$S$505,P614)=1,1,0))</f>
        <v>0</v>
      </c>
      <c r="R614" s="96" t="str">
        <f>IF(C614="","",TRIM(LEFT(C614,FIND(" |",C614&amp;" |")-1)))</f>
        <v/>
      </c>
      <c r="S614" s="96" t="str">
        <f>IF(R614="","",IFERROR(MATCH(R614,'ITENS_MTR'!$A$6:$A$1005,0),""))</f>
        <v/>
      </c>
      <c r="T614" s="96">
        <f>IF(S614="",0,IF(INDEX('ITENS_MTR'!$R$6:$R$1005,S614)=1,1,0))</f>
        <v>0</v>
      </c>
      <c r="U614" s="96" t="str">
        <f>IF(G614="","",IFERROR(IF(ISNUMBER(INDEX(cfg_fac,MATCH(G614,cfg_units,0))),IF(INDEX(cfg_fac,MATCH(G614,cfg_units,0))&gt;0,INDEX(cfg_fac,MATCH(G614,cfg_units,0)),""),""),""))</f>
        <v/>
      </c>
      <c r="V614" s="96">
        <f>IF(AND(ISNUMBER(F614),ISNUMBER(H614)),IF(H614&gt;0,1,0),0)</f>
        <v>0</v>
      </c>
      <c r="W614" s="96" t="str">
        <f>IF(T614=1,INDEX('ITENS_MTR'!$AU$6:$AU$1005,S614)&amp;"","")</f>
        <v/>
      </c>
      <c r="X614" s="96">
        <f>IF(AND(Q614=1,T614=1,I614&lt;&gt;"",W614&lt;&gt;""),IF(I614&lt;&gt;W614,1,0),0)</f>
        <v>0</v>
      </c>
      <c r="Y614" s="96">
        <f>IF(N614=0,0,IF(OR(Q614=0,T614=0,V614=0,AND(X614=1,J614&lt;&gt;"Sim")),1,0))</f>
        <v>0</v>
      </c>
      <c r="Z614" s="96">
        <f>IF(Q614=1,INDEX('CDFs'!$W$6:$W$505,P614),0)</f>
        <v>0</v>
      </c>
      <c r="AA614" s="96">
        <f>IF(AND(N614=1,Y614=0,Z614=1,J614="Sim"),1,0)</f>
        <v>0</v>
      </c>
      <c r="AB614" s="96">
        <f>IF(AND(N614=1,O614&lt;&gt;"",D614&lt;&gt;""),IF(COUNTIFS($O$6:O614,O614,$D$6:D614,D614)=1,1,0),0)</f>
        <v>0</v>
      </c>
      <c r="AC614" s="96">
        <f>IF(T614=1,INDEX('ITENS_MTR'!$AL$6:$AL$1005,S614),0)</f>
        <v>0</v>
      </c>
    </row>
    <row r="615">
      <c r="A615" s="89" t="inlineStr">
        <is>
          <t>VIN-000610</t>
        </is>
      </c>
      <c r="B615" s="91" t="n"/>
      <c r="C615" s="91" t="n"/>
      <c r="D615" s="94" t="str">
        <f>IF(T615=1,INDEX('ITENS_MTR'!$S$6:$S$1005,S615)&amp;"","")</f>
        <v/>
      </c>
      <c r="E615" s="94" t="str">
        <f>IF(T615=1,INDEX('ITENS_MTR'!$C$6:$C$1005,S615)&amp;"","")</f>
        <v/>
      </c>
      <c r="F615" s="98" t="n"/>
      <c r="G615" s="91" t="n"/>
      <c r="H615" s="93" t="str">
        <f>IF(N615=0,"",IF(NOT(ISNUMBER(F615)),"",IF(ISNUMBER(U615),F615*U615,"UNIDADE A CONFERIR")))</f>
        <v/>
      </c>
      <c r="I615" s="94" t="str">
        <f>IF(Q615=1,INDEX('CDFs'!$F$6:$F$505,P615)&amp;"","")</f>
        <v/>
      </c>
      <c r="J615" s="91" t="n"/>
      <c r="K615" s="91" t="n"/>
      <c r="L615" s="94" t="str">
        <f>IF(N615=0,"",IF(NOT(ISNUMBER(F615)),"Quantidade não informada",IF(F615&lt;=0,"Quantidade não positiva",IF(G615="","Unidade não informada",IF(NOT(ISNUMBER(H615)),"Unidade a conferir",IF(AC615=1,"REVISAR VÍNCULO: soma vinculada maior que a referência do item","OK"))))))</f>
        <v/>
      </c>
      <c r="M615" s="94" t="str">
        <f>IF(N615=0,"",IF(B615="","CDF não informado",IF(Q615=0,"REVISAR VÍNCULO: CDF inexistente",IF(C615="","Item não informado",IF(T615=0,"REVISAR VÍNCULO: item inexistente",IF(AND(X615=1,J615&lt;&gt;"Sim"),"REVISAR VÍNCULO: destinador diferente do MTR",IF(X615=1,"Destinador diferente do MTR (analisado)","OK")))))))</f>
        <v/>
      </c>
      <c r="N615" s="96">
        <f>IF(COUNTA(B615:C615,F615:G615,J615:K615)&gt;0,1,0)</f>
        <v>0</v>
      </c>
      <c r="O615" s="96" t="str">
        <f>IF(B615="","",TRIM(LEFT(B615,FIND(" |",B615&amp;" |")-1)))</f>
        <v/>
      </c>
      <c r="P615" s="96" t="str">
        <f>IF(O615="","",IFERROR(MATCH(O615,'CDFs'!$A$6:$A$505,0),""))</f>
        <v/>
      </c>
      <c r="Q615" s="96">
        <f>IF(P615="",0,IF(INDEX('CDFs'!$S$6:$S$505,P615)=1,1,0))</f>
        <v>0</v>
      </c>
      <c r="R615" s="96" t="str">
        <f>IF(C615="","",TRIM(LEFT(C615,FIND(" |",C615&amp;" |")-1)))</f>
        <v/>
      </c>
      <c r="S615" s="96" t="str">
        <f>IF(R615="","",IFERROR(MATCH(R615,'ITENS_MTR'!$A$6:$A$1005,0),""))</f>
        <v/>
      </c>
      <c r="T615" s="96">
        <f>IF(S615="",0,IF(INDEX('ITENS_MTR'!$R$6:$R$1005,S615)=1,1,0))</f>
        <v>0</v>
      </c>
      <c r="U615" s="96" t="str">
        <f>IF(G615="","",IFERROR(IF(ISNUMBER(INDEX(cfg_fac,MATCH(G615,cfg_units,0))),IF(INDEX(cfg_fac,MATCH(G615,cfg_units,0))&gt;0,INDEX(cfg_fac,MATCH(G615,cfg_units,0)),""),""),""))</f>
        <v/>
      </c>
      <c r="V615" s="96">
        <f>IF(AND(ISNUMBER(F615),ISNUMBER(H615)),IF(H615&gt;0,1,0),0)</f>
        <v>0</v>
      </c>
      <c r="W615" s="96" t="str">
        <f>IF(T615=1,INDEX('ITENS_MTR'!$AU$6:$AU$1005,S615)&amp;"","")</f>
        <v/>
      </c>
      <c r="X615" s="96">
        <f>IF(AND(Q615=1,T615=1,I615&lt;&gt;"",W615&lt;&gt;""),IF(I615&lt;&gt;W615,1,0),0)</f>
        <v>0</v>
      </c>
      <c r="Y615" s="96">
        <f>IF(N615=0,0,IF(OR(Q615=0,T615=0,V615=0,AND(X615=1,J615&lt;&gt;"Sim")),1,0))</f>
        <v>0</v>
      </c>
      <c r="Z615" s="96">
        <f>IF(Q615=1,INDEX('CDFs'!$W$6:$W$505,P615),0)</f>
        <v>0</v>
      </c>
      <c r="AA615" s="96">
        <f>IF(AND(N615=1,Y615=0,Z615=1,J615="Sim"),1,0)</f>
        <v>0</v>
      </c>
      <c r="AB615" s="96">
        <f>IF(AND(N615=1,O615&lt;&gt;"",D615&lt;&gt;""),IF(COUNTIFS($O$6:O615,O615,$D$6:D615,D615)=1,1,0),0)</f>
        <v>0</v>
      </c>
      <c r="AC615" s="96">
        <f>IF(T615=1,INDEX('ITENS_MTR'!$AL$6:$AL$1005,S615),0)</f>
        <v>0</v>
      </c>
    </row>
    <row r="616">
      <c r="A616" s="89" t="inlineStr">
        <is>
          <t>VIN-000611</t>
        </is>
      </c>
      <c r="B616" s="91" t="n"/>
      <c r="C616" s="91" t="n"/>
      <c r="D616" s="94" t="str">
        <f>IF(T616=1,INDEX('ITENS_MTR'!$S$6:$S$1005,S616)&amp;"","")</f>
        <v/>
      </c>
      <c r="E616" s="94" t="str">
        <f>IF(T616=1,INDEX('ITENS_MTR'!$C$6:$C$1005,S616)&amp;"","")</f>
        <v/>
      </c>
      <c r="F616" s="98" t="n"/>
      <c r="G616" s="91" t="n"/>
      <c r="H616" s="93" t="str">
        <f>IF(N616=0,"",IF(NOT(ISNUMBER(F616)),"",IF(ISNUMBER(U616),F616*U616,"UNIDADE A CONFERIR")))</f>
        <v/>
      </c>
      <c r="I616" s="94" t="str">
        <f>IF(Q616=1,INDEX('CDFs'!$F$6:$F$505,P616)&amp;"","")</f>
        <v/>
      </c>
      <c r="J616" s="91" t="n"/>
      <c r="K616" s="91" t="n"/>
      <c r="L616" s="94" t="str">
        <f>IF(N616=0,"",IF(NOT(ISNUMBER(F616)),"Quantidade não informada",IF(F616&lt;=0,"Quantidade não positiva",IF(G616="","Unidade não informada",IF(NOT(ISNUMBER(H616)),"Unidade a conferir",IF(AC616=1,"REVISAR VÍNCULO: soma vinculada maior que a referência do item","OK"))))))</f>
        <v/>
      </c>
      <c r="M616" s="94" t="str">
        <f>IF(N616=0,"",IF(B616="","CDF não informado",IF(Q616=0,"REVISAR VÍNCULO: CDF inexistente",IF(C616="","Item não informado",IF(T616=0,"REVISAR VÍNCULO: item inexistente",IF(AND(X616=1,J616&lt;&gt;"Sim"),"REVISAR VÍNCULO: destinador diferente do MTR",IF(X616=1,"Destinador diferente do MTR (analisado)","OK")))))))</f>
        <v/>
      </c>
      <c r="N616" s="96">
        <f>IF(COUNTA(B616:C616,F616:G616,J616:K616)&gt;0,1,0)</f>
        <v>0</v>
      </c>
      <c r="O616" s="96" t="str">
        <f>IF(B616="","",TRIM(LEFT(B616,FIND(" |",B616&amp;" |")-1)))</f>
        <v/>
      </c>
      <c r="P616" s="96" t="str">
        <f>IF(O616="","",IFERROR(MATCH(O616,'CDFs'!$A$6:$A$505,0),""))</f>
        <v/>
      </c>
      <c r="Q616" s="96">
        <f>IF(P616="",0,IF(INDEX('CDFs'!$S$6:$S$505,P616)=1,1,0))</f>
        <v>0</v>
      </c>
      <c r="R616" s="96" t="str">
        <f>IF(C616="","",TRIM(LEFT(C616,FIND(" |",C616&amp;" |")-1)))</f>
        <v/>
      </c>
      <c r="S616" s="96" t="str">
        <f>IF(R616="","",IFERROR(MATCH(R616,'ITENS_MTR'!$A$6:$A$1005,0),""))</f>
        <v/>
      </c>
      <c r="T616" s="96">
        <f>IF(S616="",0,IF(INDEX('ITENS_MTR'!$R$6:$R$1005,S616)=1,1,0))</f>
        <v>0</v>
      </c>
      <c r="U616" s="96" t="str">
        <f>IF(G616="","",IFERROR(IF(ISNUMBER(INDEX(cfg_fac,MATCH(G616,cfg_units,0))),IF(INDEX(cfg_fac,MATCH(G616,cfg_units,0))&gt;0,INDEX(cfg_fac,MATCH(G616,cfg_units,0)),""),""),""))</f>
        <v/>
      </c>
      <c r="V616" s="96">
        <f>IF(AND(ISNUMBER(F616),ISNUMBER(H616)),IF(H616&gt;0,1,0),0)</f>
        <v>0</v>
      </c>
      <c r="W616" s="96" t="str">
        <f>IF(T616=1,INDEX('ITENS_MTR'!$AU$6:$AU$1005,S616)&amp;"","")</f>
        <v/>
      </c>
      <c r="X616" s="96">
        <f>IF(AND(Q616=1,T616=1,I616&lt;&gt;"",W616&lt;&gt;""),IF(I616&lt;&gt;W616,1,0),0)</f>
        <v>0</v>
      </c>
      <c r="Y616" s="96">
        <f>IF(N616=0,0,IF(OR(Q616=0,T616=0,V616=0,AND(X616=1,J616&lt;&gt;"Sim")),1,0))</f>
        <v>0</v>
      </c>
      <c r="Z616" s="96">
        <f>IF(Q616=1,INDEX('CDFs'!$W$6:$W$505,P616),0)</f>
        <v>0</v>
      </c>
      <c r="AA616" s="96">
        <f>IF(AND(N616=1,Y616=0,Z616=1,J616="Sim"),1,0)</f>
        <v>0</v>
      </c>
      <c r="AB616" s="96">
        <f>IF(AND(N616=1,O616&lt;&gt;"",D616&lt;&gt;""),IF(COUNTIFS($O$6:O616,O616,$D$6:D616,D616)=1,1,0),0)</f>
        <v>0</v>
      </c>
      <c r="AC616" s="96">
        <f>IF(T616=1,INDEX('ITENS_MTR'!$AL$6:$AL$1005,S616),0)</f>
        <v>0</v>
      </c>
    </row>
    <row r="617">
      <c r="A617" s="89" t="inlineStr">
        <is>
          <t>VIN-000612</t>
        </is>
      </c>
      <c r="B617" s="91" t="n"/>
      <c r="C617" s="91" t="n"/>
      <c r="D617" s="94" t="str">
        <f>IF(T617=1,INDEX('ITENS_MTR'!$S$6:$S$1005,S617)&amp;"","")</f>
        <v/>
      </c>
      <c r="E617" s="94" t="str">
        <f>IF(T617=1,INDEX('ITENS_MTR'!$C$6:$C$1005,S617)&amp;"","")</f>
        <v/>
      </c>
      <c r="F617" s="98" t="n"/>
      <c r="G617" s="91" t="n"/>
      <c r="H617" s="93" t="str">
        <f>IF(N617=0,"",IF(NOT(ISNUMBER(F617)),"",IF(ISNUMBER(U617),F617*U617,"UNIDADE A CONFERIR")))</f>
        <v/>
      </c>
      <c r="I617" s="94" t="str">
        <f>IF(Q617=1,INDEX('CDFs'!$F$6:$F$505,P617)&amp;"","")</f>
        <v/>
      </c>
      <c r="J617" s="91" t="n"/>
      <c r="K617" s="91" t="n"/>
      <c r="L617" s="94" t="str">
        <f>IF(N617=0,"",IF(NOT(ISNUMBER(F617)),"Quantidade não informada",IF(F617&lt;=0,"Quantidade não positiva",IF(G617="","Unidade não informada",IF(NOT(ISNUMBER(H617)),"Unidade a conferir",IF(AC617=1,"REVISAR VÍNCULO: soma vinculada maior que a referência do item","OK"))))))</f>
        <v/>
      </c>
      <c r="M617" s="94" t="str">
        <f>IF(N617=0,"",IF(B617="","CDF não informado",IF(Q617=0,"REVISAR VÍNCULO: CDF inexistente",IF(C617="","Item não informado",IF(T617=0,"REVISAR VÍNCULO: item inexistente",IF(AND(X617=1,J617&lt;&gt;"Sim"),"REVISAR VÍNCULO: destinador diferente do MTR",IF(X617=1,"Destinador diferente do MTR (analisado)","OK")))))))</f>
        <v/>
      </c>
      <c r="N617" s="96">
        <f>IF(COUNTA(B617:C617,F617:G617,J617:K617)&gt;0,1,0)</f>
        <v>0</v>
      </c>
      <c r="O617" s="96" t="str">
        <f>IF(B617="","",TRIM(LEFT(B617,FIND(" |",B617&amp;" |")-1)))</f>
        <v/>
      </c>
      <c r="P617" s="96" t="str">
        <f>IF(O617="","",IFERROR(MATCH(O617,'CDFs'!$A$6:$A$505,0),""))</f>
        <v/>
      </c>
      <c r="Q617" s="96">
        <f>IF(P617="",0,IF(INDEX('CDFs'!$S$6:$S$505,P617)=1,1,0))</f>
        <v>0</v>
      </c>
      <c r="R617" s="96" t="str">
        <f>IF(C617="","",TRIM(LEFT(C617,FIND(" |",C617&amp;" |")-1)))</f>
        <v/>
      </c>
      <c r="S617" s="96" t="str">
        <f>IF(R617="","",IFERROR(MATCH(R617,'ITENS_MTR'!$A$6:$A$1005,0),""))</f>
        <v/>
      </c>
      <c r="T617" s="96">
        <f>IF(S617="",0,IF(INDEX('ITENS_MTR'!$R$6:$R$1005,S617)=1,1,0))</f>
        <v>0</v>
      </c>
      <c r="U617" s="96" t="str">
        <f>IF(G617="","",IFERROR(IF(ISNUMBER(INDEX(cfg_fac,MATCH(G617,cfg_units,0))),IF(INDEX(cfg_fac,MATCH(G617,cfg_units,0))&gt;0,INDEX(cfg_fac,MATCH(G617,cfg_units,0)),""),""),""))</f>
        <v/>
      </c>
      <c r="V617" s="96">
        <f>IF(AND(ISNUMBER(F617),ISNUMBER(H617)),IF(H617&gt;0,1,0),0)</f>
        <v>0</v>
      </c>
      <c r="W617" s="96" t="str">
        <f>IF(T617=1,INDEX('ITENS_MTR'!$AU$6:$AU$1005,S617)&amp;"","")</f>
        <v/>
      </c>
      <c r="X617" s="96">
        <f>IF(AND(Q617=1,T617=1,I617&lt;&gt;"",W617&lt;&gt;""),IF(I617&lt;&gt;W617,1,0),0)</f>
        <v>0</v>
      </c>
      <c r="Y617" s="96">
        <f>IF(N617=0,0,IF(OR(Q617=0,T617=0,V617=0,AND(X617=1,J617&lt;&gt;"Sim")),1,0))</f>
        <v>0</v>
      </c>
      <c r="Z617" s="96">
        <f>IF(Q617=1,INDEX('CDFs'!$W$6:$W$505,P617),0)</f>
        <v>0</v>
      </c>
      <c r="AA617" s="96">
        <f>IF(AND(N617=1,Y617=0,Z617=1,J617="Sim"),1,0)</f>
        <v>0</v>
      </c>
      <c r="AB617" s="96">
        <f>IF(AND(N617=1,O617&lt;&gt;"",D617&lt;&gt;""),IF(COUNTIFS($O$6:O617,O617,$D$6:D617,D617)=1,1,0),0)</f>
        <v>0</v>
      </c>
      <c r="AC617" s="96">
        <f>IF(T617=1,INDEX('ITENS_MTR'!$AL$6:$AL$1005,S617),0)</f>
        <v>0</v>
      </c>
    </row>
    <row r="618">
      <c r="A618" s="89" t="inlineStr">
        <is>
          <t>VIN-000613</t>
        </is>
      </c>
      <c r="B618" s="91" t="n"/>
      <c r="C618" s="91" t="n"/>
      <c r="D618" s="94" t="str">
        <f>IF(T618=1,INDEX('ITENS_MTR'!$S$6:$S$1005,S618)&amp;"","")</f>
        <v/>
      </c>
      <c r="E618" s="94" t="str">
        <f>IF(T618=1,INDEX('ITENS_MTR'!$C$6:$C$1005,S618)&amp;"","")</f>
        <v/>
      </c>
      <c r="F618" s="98" t="n"/>
      <c r="G618" s="91" t="n"/>
      <c r="H618" s="93" t="str">
        <f>IF(N618=0,"",IF(NOT(ISNUMBER(F618)),"",IF(ISNUMBER(U618),F618*U618,"UNIDADE A CONFERIR")))</f>
        <v/>
      </c>
      <c r="I618" s="94" t="str">
        <f>IF(Q618=1,INDEX('CDFs'!$F$6:$F$505,P618)&amp;"","")</f>
        <v/>
      </c>
      <c r="J618" s="91" t="n"/>
      <c r="K618" s="91" t="n"/>
      <c r="L618" s="94" t="str">
        <f>IF(N618=0,"",IF(NOT(ISNUMBER(F618)),"Quantidade não informada",IF(F618&lt;=0,"Quantidade não positiva",IF(G618="","Unidade não informada",IF(NOT(ISNUMBER(H618)),"Unidade a conferir",IF(AC618=1,"REVISAR VÍNCULO: soma vinculada maior que a referência do item","OK"))))))</f>
        <v/>
      </c>
      <c r="M618" s="94" t="str">
        <f>IF(N618=0,"",IF(B618="","CDF não informado",IF(Q618=0,"REVISAR VÍNCULO: CDF inexistente",IF(C618="","Item não informado",IF(T618=0,"REVISAR VÍNCULO: item inexistente",IF(AND(X618=1,J618&lt;&gt;"Sim"),"REVISAR VÍNCULO: destinador diferente do MTR",IF(X618=1,"Destinador diferente do MTR (analisado)","OK")))))))</f>
        <v/>
      </c>
      <c r="N618" s="96">
        <f>IF(COUNTA(B618:C618,F618:G618,J618:K618)&gt;0,1,0)</f>
        <v>0</v>
      </c>
      <c r="O618" s="96" t="str">
        <f>IF(B618="","",TRIM(LEFT(B618,FIND(" |",B618&amp;" |")-1)))</f>
        <v/>
      </c>
      <c r="P618" s="96" t="str">
        <f>IF(O618="","",IFERROR(MATCH(O618,'CDFs'!$A$6:$A$505,0),""))</f>
        <v/>
      </c>
      <c r="Q618" s="96">
        <f>IF(P618="",0,IF(INDEX('CDFs'!$S$6:$S$505,P618)=1,1,0))</f>
        <v>0</v>
      </c>
      <c r="R618" s="96" t="str">
        <f>IF(C618="","",TRIM(LEFT(C618,FIND(" |",C618&amp;" |")-1)))</f>
        <v/>
      </c>
      <c r="S618" s="96" t="str">
        <f>IF(R618="","",IFERROR(MATCH(R618,'ITENS_MTR'!$A$6:$A$1005,0),""))</f>
        <v/>
      </c>
      <c r="T618" s="96">
        <f>IF(S618="",0,IF(INDEX('ITENS_MTR'!$R$6:$R$1005,S618)=1,1,0))</f>
        <v>0</v>
      </c>
      <c r="U618" s="96" t="str">
        <f>IF(G618="","",IFERROR(IF(ISNUMBER(INDEX(cfg_fac,MATCH(G618,cfg_units,0))),IF(INDEX(cfg_fac,MATCH(G618,cfg_units,0))&gt;0,INDEX(cfg_fac,MATCH(G618,cfg_units,0)),""),""),""))</f>
        <v/>
      </c>
      <c r="V618" s="96">
        <f>IF(AND(ISNUMBER(F618),ISNUMBER(H618)),IF(H618&gt;0,1,0),0)</f>
        <v>0</v>
      </c>
      <c r="W618" s="96" t="str">
        <f>IF(T618=1,INDEX('ITENS_MTR'!$AU$6:$AU$1005,S618)&amp;"","")</f>
        <v/>
      </c>
      <c r="X618" s="96">
        <f>IF(AND(Q618=1,T618=1,I618&lt;&gt;"",W618&lt;&gt;""),IF(I618&lt;&gt;W618,1,0),0)</f>
        <v>0</v>
      </c>
      <c r="Y618" s="96">
        <f>IF(N618=0,0,IF(OR(Q618=0,T618=0,V618=0,AND(X618=1,J618&lt;&gt;"Sim")),1,0))</f>
        <v>0</v>
      </c>
      <c r="Z618" s="96">
        <f>IF(Q618=1,INDEX('CDFs'!$W$6:$W$505,P618),0)</f>
        <v>0</v>
      </c>
      <c r="AA618" s="96">
        <f>IF(AND(N618=1,Y618=0,Z618=1,J618="Sim"),1,0)</f>
        <v>0</v>
      </c>
      <c r="AB618" s="96">
        <f>IF(AND(N618=1,O618&lt;&gt;"",D618&lt;&gt;""),IF(COUNTIFS($O$6:O618,O618,$D$6:D618,D618)=1,1,0),0)</f>
        <v>0</v>
      </c>
      <c r="AC618" s="96">
        <f>IF(T618=1,INDEX('ITENS_MTR'!$AL$6:$AL$1005,S618),0)</f>
        <v>0</v>
      </c>
    </row>
    <row r="619">
      <c r="A619" s="89" t="inlineStr">
        <is>
          <t>VIN-000614</t>
        </is>
      </c>
      <c r="B619" s="91" t="n"/>
      <c r="C619" s="91" t="n"/>
      <c r="D619" s="94" t="str">
        <f>IF(T619=1,INDEX('ITENS_MTR'!$S$6:$S$1005,S619)&amp;"","")</f>
        <v/>
      </c>
      <c r="E619" s="94" t="str">
        <f>IF(T619=1,INDEX('ITENS_MTR'!$C$6:$C$1005,S619)&amp;"","")</f>
        <v/>
      </c>
      <c r="F619" s="98" t="n"/>
      <c r="G619" s="91" t="n"/>
      <c r="H619" s="93" t="str">
        <f>IF(N619=0,"",IF(NOT(ISNUMBER(F619)),"",IF(ISNUMBER(U619),F619*U619,"UNIDADE A CONFERIR")))</f>
        <v/>
      </c>
      <c r="I619" s="94" t="str">
        <f>IF(Q619=1,INDEX('CDFs'!$F$6:$F$505,P619)&amp;"","")</f>
        <v/>
      </c>
      <c r="J619" s="91" t="n"/>
      <c r="K619" s="91" t="n"/>
      <c r="L619" s="94" t="str">
        <f>IF(N619=0,"",IF(NOT(ISNUMBER(F619)),"Quantidade não informada",IF(F619&lt;=0,"Quantidade não positiva",IF(G619="","Unidade não informada",IF(NOT(ISNUMBER(H619)),"Unidade a conferir",IF(AC619=1,"REVISAR VÍNCULO: soma vinculada maior que a referência do item","OK"))))))</f>
        <v/>
      </c>
      <c r="M619" s="94" t="str">
        <f>IF(N619=0,"",IF(B619="","CDF não informado",IF(Q619=0,"REVISAR VÍNCULO: CDF inexistente",IF(C619="","Item não informado",IF(T619=0,"REVISAR VÍNCULO: item inexistente",IF(AND(X619=1,J619&lt;&gt;"Sim"),"REVISAR VÍNCULO: destinador diferente do MTR",IF(X619=1,"Destinador diferente do MTR (analisado)","OK")))))))</f>
        <v/>
      </c>
      <c r="N619" s="96">
        <f>IF(COUNTA(B619:C619,F619:G619,J619:K619)&gt;0,1,0)</f>
        <v>0</v>
      </c>
      <c r="O619" s="96" t="str">
        <f>IF(B619="","",TRIM(LEFT(B619,FIND(" |",B619&amp;" |")-1)))</f>
        <v/>
      </c>
      <c r="P619" s="96" t="str">
        <f>IF(O619="","",IFERROR(MATCH(O619,'CDFs'!$A$6:$A$505,0),""))</f>
        <v/>
      </c>
      <c r="Q619" s="96">
        <f>IF(P619="",0,IF(INDEX('CDFs'!$S$6:$S$505,P619)=1,1,0))</f>
        <v>0</v>
      </c>
      <c r="R619" s="96" t="str">
        <f>IF(C619="","",TRIM(LEFT(C619,FIND(" |",C619&amp;" |")-1)))</f>
        <v/>
      </c>
      <c r="S619" s="96" t="str">
        <f>IF(R619="","",IFERROR(MATCH(R619,'ITENS_MTR'!$A$6:$A$1005,0),""))</f>
        <v/>
      </c>
      <c r="T619" s="96">
        <f>IF(S619="",0,IF(INDEX('ITENS_MTR'!$R$6:$R$1005,S619)=1,1,0))</f>
        <v>0</v>
      </c>
      <c r="U619" s="96" t="str">
        <f>IF(G619="","",IFERROR(IF(ISNUMBER(INDEX(cfg_fac,MATCH(G619,cfg_units,0))),IF(INDEX(cfg_fac,MATCH(G619,cfg_units,0))&gt;0,INDEX(cfg_fac,MATCH(G619,cfg_units,0)),""),""),""))</f>
        <v/>
      </c>
      <c r="V619" s="96">
        <f>IF(AND(ISNUMBER(F619),ISNUMBER(H619)),IF(H619&gt;0,1,0),0)</f>
        <v>0</v>
      </c>
      <c r="W619" s="96" t="str">
        <f>IF(T619=1,INDEX('ITENS_MTR'!$AU$6:$AU$1005,S619)&amp;"","")</f>
        <v/>
      </c>
      <c r="X619" s="96">
        <f>IF(AND(Q619=1,T619=1,I619&lt;&gt;"",W619&lt;&gt;""),IF(I619&lt;&gt;W619,1,0),0)</f>
        <v>0</v>
      </c>
      <c r="Y619" s="96">
        <f>IF(N619=0,0,IF(OR(Q619=0,T619=0,V619=0,AND(X619=1,J619&lt;&gt;"Sim")),1,0))</f>
        <v>0</v>
      </c>
      <c r="Z619" s="96">
        <f>IF(Q619=1,INDEX('CDFs'!$W$6:$W$505,P619),0)</f>
        <v>0</v>
      </c>
      <c r="AA619" s="96">
        <f>IF(AND(N619=1,Y619=0,Z619=1,J619="Sim"),1,0)</f>
        <v>0</v>
      </c>
      <c r="AB619" s="96">
        <f>IF(AND(N619=1,O619&lt;&gt;"",D619&lt;&gt;""),IF(COUNTIFS($O$6:O619,O619,$D$6:D619,D619)=1,1,0),0)</f>
        <v>0</v>
      </c>
      <c r="AC619" s="96">
        <f>IF(T619=1,INDEX('ITENS_MTR'!$AL$6:$AL$1005,S619),0)</f>
        <v>0</v>
      </c>
    </row>
    <row r="620">
      <c r="A620" s="89" t="inlineStr">
        <is>
          <t>VIN-000615</t>
        </is>
      </c>
      <c r="B620" s="91" t="n"/>
      <c r="C620" s="91" t="n"/>
      <c r="D620" s="94" t="str">
        <f>IF(T620=1,INDEX('ITENS_MTR'!$S$6:$S$1005,S620)&amp;"","")</f>
        <v/>
      </c>
      <c r="E620" s="94" t="str">
        <f>IF(T620=1,INDEX('ITENS_MTR'!$C$6:$C$1005,S620)&amp;"","")</f>
        <v/>
      </c>
      <c r="F620" s="98" t="n"/>
      <c r="G620" s="91" t="n"/>
      <c r="H620" s="93" t="str">
        <f>IF(N620=0,"",IF(NOT(ISNUMBER(F620)),"",IF(ISNUMBER(U620),F620*U620,"UNIDADE A CONFERIR")))</f>
        <v/>
      </c>
      <c r="I620" s="94" t="str">
        <f>IF(Q620=1,INDEX('CDFs'!$F$6:$F$505,P620)&amp;"","")</f>
        <v/>
      </c>
      <c r="J620" s="91" t="n"/>
      <c r="K620" s="91" t="n"/>
      <c r="L620" s="94" t="str">
        <f>IF(N620=0,"",IF(NOT(ISNUMBER(F620)),"Quantidade não informada",IF(F620&lt;=0,"Quantidade não positiva",IF(G620="","Unidade não informada",IF(NOT(ISNUMBER(H620)),"Unidade a conferir",IF(AC620=1,"REVISAR VÍNCULO: soma vinculada maior que a referência do item","OK"))))))</f>
        <v/>
      </c>
      <c r="M620" s="94" t="str">
        <f>IF(N620=0,"",IF(B620="","CDF não informado",IF(Q620=0,"REVISAR VÍNCULO: CDF inexistente",IF(C620="","Item não informado",IF(T620=0,"REVISAR VÍNCULO: item inexistente",IF(AND(X620=1,J620&lt;&gt;"Sim"),"REVISAR VÍNCULO: destinador diferente do MTR",IF(X620=1,"Destinador diferente do MTR (analisado)","OK")))))))</f>
        <v/>
      </c>
      <c r="N620" s="96">
        <f>IF(COUNTA(B620:C620,F620:G620,J620:K620)&gt;0,1,0)</f>
        <v>0</v>
      </c>
      <c r="O620" s="96" t="str">
        <f>IF(B620="","",TRIM(LEFT(B620,FIND(" |",B620&amp;" |")-1)))</f>
        <v/>
      </c>
      <c r="P620" s="96" t="str">
        <f>IF(O620="","",IFERROR(MATCH(O620,'CDFs'!$A$6:$A$505,0),""))</f>
        <v/>
      </c>
      <c r="Q620" s="96">
        <f>IF(P620="",0,IF(INDEX('CDFs'!$S$6:$S$505,P620)=1,1,0))</f>
        <v>0</v>
      </c>
      <c r="R620" s="96" t="str">
        <f>IF(C620="","",TRIM(LEFT(C620,FIND(" |",C620&amp;" |")-1)))</f>
        <v/>
      </c>
      <c r="S620" s="96" t="str">
        <f>IF(R620="","",IFERROR(MATCH(R620,'ITENS_MTR'!$A$6:$A$1005,0),""))</f>
        <v/>
      </c>
      <c r="T620" s="96">
        <f>IF(S620="",0,IF(INDEX('ITENS_MTR'!$R$6:$R$1005,S620)=1,1,0))</f>
        <v>0</v>
      </c>
      <c r="U620" s="96" t="str">
        <f>IF(G620="","",IFERROR(IF(ISNUMBER(INDEX(cfg_fac,MATCH(G620,cfg_units,0))),IF(INDEX(cfg_fac,MATCH(G620,cfg_units,0))&gt;0,INDEX(cfg_fac,MATCH(G620,cfg_units,0)),""),""),""))</f>
        <v/>
      </c>
      <c r="V620" s="96">
        <f>IF(AND(ISNUMBER(F620),ISNUMBER(H620)),IF(H620&gt;0,1,0),0)</f>
        <v>0</v>
      </c>
      <c r="W620" s="96" t="str">
        <f>IF(T620=1,INDEX('ITENS_MTR'!$AU$6:$AU$1005,S620)&amp;"","")</f>
        <v/>
      </c>
      <c r="X620" s="96">
        <f>IF(AND(Q620=1,T620=1,I620&lt;&gt;"",W620&lt;&gt;""),IF(I620&lt;&gt;W620,1,0),0)</f>
        <v>0</v>
      </c>
      <c r="Y620" s="96">
        <f>IF(N620=0,0,IF(OR(Q620=0,T620=0,V620=0,AND(X620=1,J620&lt;&gt;"Sim")),1,0))</f>
        <v>0</v>
      </c>
      <c r="Z620" s="96">
        <f>IF(Q620=1,INDEX('CDFs'!$W$6:$W$505,P620),0)</f>
        <v>0</v>
      </c>
      <c r="AA620" s="96">
        <f>IF(AND(N620=1,Y620=0,Z620=1,J620="Sim"),1,0)</f>
        <v>0</v>
      </c>
      <c r="AB620" s="96">
        <f>IF(AND(N620=1,O620&lt;&gt;"",D620&lt;&gt;""),IF(COUNTIFS($O$6:O620,O620,$D$6:D620,D620)=1,1,0),0)</f>
        <v>0</v>
      </c>
      <c r="AC620" s="96">
        <f>IF(T620=1,INDEX('ITENS_MTR'!$AL$6:$AL$1005,S620),0)</f>
        <v>0</v>
      </c>
    </row>
    <row r="621">
      <c r="A621" s="89" t="inlineStr">
        <is>
          <t>VIN-000616</t>
        </is>
      </c>
      <c r="B621" s="91" t="n"/>
      <c r="C621" s="91" t="n"/>
      <c r="D621" s="94" t="str">
        <f>IF(T621=1,INDEX('ITENS_MTR'!$S$6:$S$1005,S621)&amp;"","")</f>
        <v/>
      </c>
      <c r="E621" s="94" t="str">
        <f>IF(T621=1,INDEX('ITENS_MTR'!$C$6:$C$1005,S621)&amp;"","")</f>
        <v/>
      </c>
      <c r="F621" s="98" t="n"/>
      <c r="G621" s="91" t="n"/>
      <c r="H621" s="93" t="str">
        <f>IF(N621=0,"",IF(NOT(ISNUMBER(F621)),"",IF(ISNUMBER(U621),F621*U621,"UNIDADE A CONFERIR")))</f>
        <v/>
      </c>
      <c r="I621" s="94" t="str">
        <f>IF(Q621=1,INDEX('CDFs'!$F$6:$F$505,P621)&amp;"","")</f>
        <v/>
      </c>
      <c r="J621" s="91" t="n"/>
      <c r="K621" s="91" t="n"/>
      <c r="L621" s="94" t="str">
        <f>IF(N621=0,"",IF(NOT(ISNUMBER(F621)),"Quantidade não informada",IF(F621&lt;=0,"Quantidade não positiva",IF(G621="","Unidade não informada",IF(NOT(ISNUMBER(H621)),"Unidade a conferir",IF(AC621=1,"REVISAR VÍNCULO: soma vinculada maior que a referência do item","OK"))))))</f>
        <v/>
      </c>
      <c r="M621" s="94" t="str">
        <f>IF(N621=0,"",IF(B621="","CDF não informado",IF(Q621=0,"REVISAR VÍNCULO: CDF inexistente",IF(C621="","Item não informado",IF(T621=0,"REVISAR VÍNCULO: item inexistente",IF(AND(X621=1,J621&lt;&gt;"Sim"),"REVISAR VÍNCULO: destinador diferente do MTR",IF(X621=1,"Destinador diferente do MTR (analisado)","OK")))))))</f>
        <v/>
      </c>
      <c r="N621" s="96">
        <f>IF(COUNTA(B621:C621,F621:G621,J621:K621)&gt;0,1,0)</f>
        <v>0</v>
      </c>
      <c r="O621" s="96" t="str">
        <f>IF(B621="","",TRIM(LEFT(B621,FIND(" |",B621&amp;" |")-1)))</f>
        <v/>
      </c>
      <c r="P621" s="96" t="str">
        <f>IF(O621="","",IFERROR(MATCH(O621,'CDFs'!$A$6:$A$505,0),""))</f>
        <v/>
      </c>
      <c r="Q621" s="96">
        <f>IF(P621="",0,IF(INDEX('CDFs'!$S$6:$S$505,P621)=1,1,0))</f>
        <v>0</v>
      </c>
      <c r="R621" s="96" t="str">
        <f>IF(C621="","",TRIM(LEFT(C621,FIND(" |",C621&amp;" |")-1)))</f>
        <v/>
      </c>
      <c r="S621" s="96" t="str">
        <f>IF(R621="","",IFERROR(MATCH(R621,'ITENS_MTR'!$A$6:$A$1005,0),""))</f>
        <v/>
      </c>
      <c r="T621" s="96">
        <f>IF(S621="",0,IF(INDEX('ITENS_MTR'!$R$6:$R$1005,S621)=1,1,0))</f>
        <v>0</v>
      </c>
      <c r="U621" s="96" t="str">
        <f>IF(G621="","",IFERROR(IF(ISNUMBER(INDEX(cfg_fac,MATCH(G621,cfg_units,0))),IF(INDEX(cfg_fac,MATCH(G621,cfg_units,0))&gt;0,INDEX(cfg_fac,MATCH(G621,cfg_units,0)),""),""),""))</f>
        <v/>
      </c>
      <c r="V621" s="96">
        <f>IF(AND(ISNUMBER(F621),ISNUMBER(H621)),IF(H621&gt;0,1,0),0)</f>
        <v>0</v>
      </c>
      <c r="W621" s="96" t="str">
        <f>IF(T621=1,INDEX('ITENS_MTR'!$AU$6:$AU$1005,S621)&amp;"","")</f>
        <v/>
      </c>
      <c r="X621" s="96">
        <f>IF(AND(Q621=1,T621=1,I621&lt;&gt;"",W621&lt;&gt;""),IF(I621&lt;&gt;W621,1,0),0)</f>
        <v>0</v>
      </c>
      <c r="Y621" s="96">
        <f>IF(N621=0,0,IF(OR(Q621=0,T621=0,V621=0,AND(X621=1,J621&lt;&gt;"Sim")),1,0))</f>
        <v>0</v>
      </c>
      <c r="Z621" s="96">
        <f>IF(Q621=1,INDEX('CDFs'!$W$6:$W$505,P621),0)</f>
        <v>0</v>
      </c>
      <c r="AA621" s="96">
        <f>IF(AND(N621=1,Y621=0,Z621=1,J621="Sim"),1,0)</f>
        <v>0</v>
      </c>
      <c r="AB621" s="96">
        <f>IF(AND(N621=1,O621&lt;&gt;"",D621&lt;&gt;""),IF(COUNTIFS($O$6:O621,O621,$D$6:D621,D621)=1,1,0),0)</f>
        <v>0</v>
      </c>
      <c r="AC621" s="96">
        <f>IF(T621=1,INDEX('ITENS_MTR'!$AL$6:$AL$1005,S621),0)</f>
        <v>0</v>
      </c>
    </row>
    <row r="622">
      <c r="A622" s="89" t="inlineStr">
        <is>
          <t>VIN-000617</t>
        </is>
      </c>
      <c r="B622" s="91" t="n"/>
      <c r="C622" s="91" t="n"/>
      <c r="D622" s="94" t="str">
        <f>IF(T622=1,INDEX('ITENS_MTR'!$S$6:$S$1005,S622)&amp;"","")</f>
        <v/>
      </c>
      <c r="E622" s="94" t="str">
        <f>IF(T622=1,INDEX('ITENS_MTR'!$C$6:$C$1005,S622)&amp;"","")</f>
        <v/>
      </c>
      <c r="F622" s="98" t="n"/>
      <c r="G622" s="91" t="n"/>
      <c r="H622" s="93" t="str">
        <f>IF(N622=0,"",IF(NOT(ISNUMBER(F622)),"",IF(ISNUMBER(U622),F622*U622,"UNIDADE A CONFERIR")))</f>
        <v/>
      </c>
      <c r="I622" s="94" t="str">
        <f>IF(Q622=1,INDEX('CDFs'!$F$6:$F$505,P622)&amp;"","")</f>
        <v/>
      </c>
      <c r="J622" s="91" t="n"/>
      <c r="K622" s="91" t="n"/>
      <c r="L622" s="94" t="str">
        <f>IF(N622=0,"",IF(NOT(ISNUMBER(F622)),"Quantidade não informada",IF(F622&lt;=0,"Quantidade não positiva",IF(G622="","Unidade não informada",IF(NOT(ISNUMBER(H622)),"Unidade a conferir",IF(AC622=1,"REVISAR VÍNCULO: soma vinculada maior que a referência do item","OK"))))))</f>
        <v/>
      </c>
      <c r="M622" s="94" t="str">
        <f>IF(N622=0,"",IF(B622="","CDF não informado",IF(Q622=0,"REVISAR VÍNCULO: CDF inexistente",IF(C622="","Item não informado",IF(T622=0,"REVISAR VÍNCULO: item inexistente",IF(AND(X622=1,J622&lt;&gt;"Sim"),"REVISAR VÍNCULO: destinador diferente do MTR",IF(X622=1,"Destinador diferente do MTR (analisado)","OK")))))))</f>
        <v/>
      </c>
      <c r="N622" s="96">
        <f>IF(COUNTA(B622:C622,F622:G622,J622:K622)&gt;0,1,0)</f>
        <v>0</v>
      </c>
      <c r="O622" s="96" t="str">
        <f>IF(B622="","",TRIM(LEFT(B622,FIND(" |",B622&amp;" |")-1)))</f>
        <v/>
      </c>
      <c r="P622" s="96" t="str">
        <f>IF(O622="","",IFERROR(MATCH(O622,'CDFs'!$A$6:$A$505,0),""))</f>
        <v/>
      </c>
      <c r="Q622" s="96">
        <f>IF(P622="",0,IF(INDEX('CDFs'!$S$6:$S$505,P622)=1,1,0))</f>
        <v>0</v>
      </c>
      <c r="R622" s="96" t="str">
        <f>IF(C622="","",TRIM(LEFT(C622,FIND(" |",C622&amp;" |")-1)))</f>
        <v/>
      </c>
      <c r="S622" s="96" t="str">
        <f>IF(R622="","",IFERROR(MATCH(R622,'ITENS_MTR'!$A$6:$A$1005,0),""))</f>
        <v/>
      </c>
      <c r="T622" s="96">
        <f>IF(S622="",0,IF(INDEX('ITENS_MTR'!$R$6:$R$1005,S622)=1,1,0))</f>
        <v>0</v>
      </c>
      <c r="U622" s="96" t="str">
        <f>IF(G622="","",IFERROR(IF(ISNUMBER(INDEX(cfg_fac,MATCH(G622,cfg_units,0))),IF(INDEX(cfg_fac,MATCH(G622,cfg_units,0))&gt;0,INDEX(cfg_fac,MATCH(G622,cfg_units,0)),""),""),""))</f>
        <v/>
      </c>
      <c r="V622" s="96">
        <f>IF(AND(ISNUMBER(F622),ISNUMBER(H622)),IF(H622&gt;0,1,0),0)</f>
        <v>0</v>
      </c>
      <c r="W622" s="96" t="str">
        <f>IF(T622=1,INDEX('ITENS_MTR'!$AU$6:$AU$1005,S622)&amp;"","")</f>
        <v/>
      </c>
      <c r="X622" s="96">
        <f>IF(AND(Q622=1,T622=1,I622&lt;&gt;"",W622&lt;&gt;""),IF(I622&lt;&gt;W622,1,0),0)</f>
        <v>0</v>
      </c>
      <c r="Y622" s="96">
        <f>IF(N622=0,0,IF(OR(Q622=0,T622=0,V622=0,AND(X622=1,J622&lt;&gt;"Sim")),1,0))</f>
        <v>0</v>
      </c>
      <c r="Z622" s="96">
        <f>IF(Q622=1,INDEX('CDFs'!$W$6:$W$505,P622),0)</f>
        <v>0</v>
      </c>
      <c r="AA622" s="96">
        <f>IF(AND(N622=1,Y622=0,Z622=1,J622="Sim"),1,0)</f>
        <v>0</v>
      </c>
      <c r="AB622" s="96">
        <f>IF(AND(N622=1,O622&lt;&gt;"",D622&lt;&gt;""),IF(COUNTIFS($O$6:O622,O622,$D$6:D622,D622)=1,1,0),0)</f>
        <v>0</v>
      </c>
      <c r="AC622" s="96">
        <f>IF(T622=1,INDEX('ITENS_MTR'!$AL$6:$AL$1005,S622),0)</f>
        <v>0</v>
      </c>
    </row>
    <row r="623">
      <c r="A623" s="89" t="inlineStr">
        <is>
          <t>VIN-000618</t>
        </is>
      </c>
      <c r="B623" s="91" t="n"/>
      <c r="C623" s="91" t="n"/>
      <c r="D623" s="94" t="str">
        <f>IF(T623=1,INDEX('ITENS_MTR'!$S$6:$S$1005,S623)&amp;"","")</f>
        <v/>
      </c>
      <c r="E623" s="94" t="str">
        <f>IF(T623=1,INDEX('ITENS_MTR'!$C$6:$C$1005,S623)&amp;"","")</f>
        <v/>
      </c>
      <c r="F623" s="98" t="n"/>
      <c r="G623" s="91" t="n"/>
      <c r="H623" s="93" t="str">
        <f>IF(N623=0,"",IF(NOT(ISNUMBER(F623)),"",IF(ISNUMBER(U623),F623*U623,"UNIDADE A CONFERIR")))</f>
        <v/>
      </c>
      <c r="I623" s="94" t="str">
        <f>IF(Q623=1,INDEX('CDFs'!$F$6:$F$505,P623)&amp;"","")</f>
        <v/>
      </c>
      <c r="J623" s="91" t="n"/>
      <c r="K623" s="91" t="n"/>
      <c r="L623" s="94" t="str">
        <f>IF(N623=0,"",IF(NOT(ISNUMBER(F623)),"Quantidade não informada",IF(F623&lt;=0,"Quantidade não positiva",IF(G623="","Unidade não informada",IF(NOT(ISNUMBER(H623)),"Unidade a conferir",IF(AC623=1,"REVISAR VÍNCULO: soma vinculada maior que a referência do item","OK"))))))</f>
        <v/>
      </c>
      <c r="M623" s="94" t="str">
        <f>IF(N623=0,"",IF(B623="","CDF não informado",IF(Q623=0,"REVISAR VÍNCULO: CDF inexistente",IF(C623="","Item não informado",IF(T623=0,"REVISAR VÍNCULO: item inexistente",IF(AND(X623=1,J623&lt;&gt;"Sim"),"REVISAR VÍNCULO: destinador diferente do MTR",IF(X623=1,"Destinador diferente do MTR (analisado)","OK")))))))</f>
        <v/>
      </c>
      <c r="N623" s="96">
        <f>IF(COUNTA(B623:C623,F623:G623,J623:K623)&gt;0,1,0)</f>
        <v>0</v>
      </c>
      <c r="O623" s="96" t="str">
        <f>IF(B623="","",TRIM(LEFT(B623,FIND(" |",B623&amp;" |")-1)))</f>
        <v/>
      </c>
      <c r="P623" s="96" t="str">
        <f>IF(O623="","",IFERROR(MATCH(O623,'CDFs'!$A$6:$A$505,0),""))</f>
        <v/>
      </c>
      <c r="Q623" s="96">
        <f>IF(P623="",0,IF(INDEX('CDFs'!$S$6:$S$505,P623)=1,1,0))</f>
        <v>0</v>
      </c>
      <c r="R623" s="96" t="str">
        <f>IF(C623="","",TRIM(LEFT(C623,FIND(" |",C623&amp;" |")-1)))</f>
        <v/>
      </c>
      <c r="S623" s="96" t="str">
        <f>IF(R623="","",IFERROR(MATCH(R623,'ITENS_MTR'!$A$6:$A$1005,0),""))</f>
        <v/>
      </c>
      <c r="T623" s="96">
        <f>IF(S623="",0,IF(INDEX('ITENS_MTR'!$R$6:$R$1005,S623)=1,1,0))</f>
        <v>0</v>
      </c>
      <c r="U623" s="96" t="str">
        <f>IF(G623="","",IFERROR(IF(ISNUMBER(INDEX(cfg_fac,MATCH(G623,cfg_units,0))),IF(INDEX(cfg_fac,MATCH(G623,cfg_units,0))&gt;0,INDEX(cfg_fac,MATCH(G623,cfg_units,0)),""),""),""))</f>
        <v/>
      </c>
      <c r="V623" s="96">
        <f>IF(AND(ISNUMBER(F623),ISNUMBER(H623)),IF(H623&gt;0,1,0),0)</f>
        <v>0</v>
      </c>
      <c r="W623" s="96" t="str">
        <f>IF(T623=1,INDEX('ITENS_MTR'!$AU$6:$AU$1005,S623)&amp;"","")</f>
        <v/>
      </c>
      <c r="X623" s="96">
        <f>IF(AND(Q623=1,T623=1,I623&lt;&gt;"",W623&lt;&gt;""),IF(I623&lt;&gt;W623,1,0),0)</f>
        <v>0</v>
      </c>
      <c r="Y623" s="96">
        <f>IF(N623=0,0,IF(OR(Q623=0,T623=0,V623=0,AND(X623=1,J623&lt;&gt;"Sim")),1,0))</f>
        <v>0</v>
      </c>
      <c r="Z623" s="96">
        <f>IF(Q623=1,INDEX('CDFs'!$W$6:$W$505,P623),0)</f>
        <v>0</v>
      </c>
      <c r="AA623" s="96">
        <f>IF(AND(N623=1,Y623=0,Z623=1,J623="Sim"),1,0)</f>
        <v>0</v>
      </c>
      <c r="AB623" s="96">
        <f>IF(AND(N623=1,O623&lt;&gt;"",D623&lt;&gt;""),IF(COUNTIFS($O$6:O623,O623,$D$6:D623,D623)=1,1,0),0)</f>
        <v>0</v>
      </c>
      <c r="AC623" s="96">
        <f>IF(T623=1,INDEX('ITENS_MTR'!$AL$6:$AL$1005,S623),0)</f>
        <v>0</v>
      </c>
    </row>
    <row r="624">
      <c r="A624" s="89" t="inlineStr">
        <is>
          <t>VIN-000619</t>
        </is>
      </c>
      <c r="B624" s="91" t="n"/>
      <c r="C624" s="91" t="n"/>
      <c r="D624" s="94" t="str">
        <f>IF(T624=1,INDEX('ITENS_MTR'!$S$6:$S$1005,S624)&amp;"","")</f>
        <v/>
      </c>
      <c r="E624" s="94" t="str">
        <f>IF(T624=1,INDEX('ITENS_MTR'!$C$6:$C$1005,S624)&amp;"","")</f>
        <v/>
      </c>
      <c r="F624" s="98" t="n"/>
      <c r="G624" s="91" t="n"/>
      <c r="H624" s="93" t="str">
        <f>IF(N624=0,"",IF(NOT(ISNUMBER(F624)),"",IF(ISNUMBER(U624),F624*U624,"UNIDADE A CONFERIR")))</f>
        <v/>
      </c>
      <c r="I624" s="94" t="str">
        <f>IF(Q624=1,INDEX('CDFs'!$F$6:$F$505,P624)&amp;"","")</f>
        <v/>
      </c>
      <c r="J624" s="91" t="n"/>
      <c r="K624" s="91" t="n"/>
      <c r="L624" s="94" t="str">
        <f>IF(N624=0,"",IF(NOT(ISNUMBER(F624)),"Quantidade não informada",IF(F624&lt;=0,"Quantidade não positiva",IF(G624="","Unidade não informada",IF(NOT(ISNUMBER(H624)),"Unidade a conferir",IF(AC624=1,"REVISAR VÍNCULO: soma vinculada maior que a referência do item","OK"))))))</f>
        <v/>
      </c>
      <c r="M624" s="94" t="str">
        <f>IF(N624=0,"",IF(B624="","CDF não informado",IF(Q624=0,"REVISAR VÍNCULO: CDF inexistente",IF(C624="","Item não informado",IF(T624=0,"REVISAR VÍNCULO: item inexistente",IF(AND(X624=1,J624&lt;&gt;"Sim"),"REVISAR VÍNCULO: destinador diferente do MTR",IF(X624=1,"Destinador diferente do MTR (analisado)","OK")))))))</f>
        <v/>
      </c>
      <c r="N624" s="96">
        <f>IF(COUNTA(B624:C624,F624:G624,J624:K624)&gt;0,1,0)</f>
        <v>0</v>
      </c>
      <c r="O624" s="96" t="str">
        <f>IF(B624="","",TRIM(LEFT(B624,FIND(" |",B624&amp;" |")-1)))</f>
        <v/>
      </c>
      <c r="P624" s="96" t="str">
        <f>IF(O624="","",IFERROR(MATCH(O624,'CDFs'!$A$6:$A$505,0),""))</f>
        <v/>
      </c>
      <c r="Q624" s="96">
        <f>IF(P624="",0,IF(INDEX('CDFs'!$S$6:$S$505,P624)=1,1,0))</f>
        <v>0</v>
      </c>
      <c r="R624" s="96" t="str">
        <f>IF(C624="","",TRIM(LEFT(C624,FIND(" |",C624&amp;" |")-1)))</f>
        <v/>
      </c>
      <c r="S624" s="96" t="str">
        <f>IF(R624="","",IFERROR(MATCH(R624,'ITENS_MTR'!$A$6:$A$1005,0),""))</f>
        <v/>
      </c>
      <c r="T624" s="96">
        <f>IF(S624="",0,IF(INDEX('ITENS_MTR'!$R$6:$R$1005,S624)=1,1,0))</f>
        <v>0</v>
      </c>
      <c r="U624" s="96" t="str">
        <f>IF(G624="","",IFERROR(IF(ISNUMBER(INDEX(cfg_fac,MATCH(G624,cfg_units,0))),IF(INDEX(cfg_fac,MATCH(G624,cfg_units,0))&gt;0,INDEX(cfg_fac,MATCH(G624,cfg_units,0)),""),""),""))</f>
        <v/>
      </c>
      <c r="V624" s="96">
        <f>IF(AND(ISNUMBER(F624),ISNUMBER(H624)),IF(H624&gt;0,1,0),0)</f>
        <v>0</v>
      </c>
      <c r="W624" s="96" t="str">
        <f>IF(T624=1,INDEX('ITENS_MTR'!$AU$6:$AU$1005,S624)&amp;"","")</f>
        <v/>
      </c>
      <c r="X624" s="96">
        <f>IF(AND(Q624=1,T624=1,I624&lt;&gt;"",W624&lt;&gt;""),IF(I624&lt;&gt;W624,1,0),0)</f>
        <v>0</v>
      </c>
      <c r="Y624" s="96">
        <f>IF(N624=0,0,IF(OR(Q624=0,T624=0,V624=0,AND(X624=1,J624&lt;&gt;"Sim")),1,0))</f>
        <v>0</v>
      </c>
      <c r="Z624" s="96">
        <f>IF(Q624=1,INDEX('CDFs'!$W$6:$W$505,P624),0)</f>
        <v>0</v>
      </c>
      <c r="AA624" s="96">
        <f>IF(AND(N624=1,Y624=0,Z624=1,J624="Sim"),1,0)</f>
        <v>0</v>
      </c>
      <c r="AB624" s="96">
        <f>IF(AND(N624=1,O624&lt;&gt;"",D624&lt;&gt;""),IF(COUNTIFS($O$6:O624,O624,$D$6:D624,D624)=1,1,0),0)</f>
        <v>0</v>
      </c>
      <c r="AC624" s="96">
        <f>IF(T624=1,INDEX('ITENS_MTR'!$AL$6:$AL$1005,S624),0)</f>
        <v>0</v>
      </c>
    </row>
    <row r="625">
      <c r="A625" s="89" t="inlineStr">
        <is>
          <t>VIN-000620</t>
        </is>
      </c>
      <c r="B625" s="91" t="n"/>
      <c r="C625" s="91" t="n"/>
      <c r="D625" s="94" t="str">
        <f>IF(T625=1,INDEX('ITENS_MTR'!$S$6:$S$1005,S625)&amp;"","")</f>
        <v/>
      </c>
      <c r="E625" s="94" t="str">
        <f>IF(T625=1,INDEX('ITENS_MTR'!$C$6:$C$1005,S625)&amp;"","")</f>
        <v/>
      </c>
      <c r="F625" s="98" t="n"/>
      <c r="G625" s="91" t="n"/>
      <c r="H625" s="93" t="str">
        <f>IF(N625=0,"",IF(NOT(ISNUMBER(F625)),"",IF(ISNUMBER(U625),F625*U625,"UNIDADE A CONFERIR")))</f>
        <v/>
      </c>
      <c r="I625" s="94" t="str">
        <f>IF(Q625=1,INDEX('CDFs'!$F$6:$F$505,P625)&amp;"","")</f>
        <v/>
      </c>
      <c r="J625" s="91" t="n"/>
      <c r="K625" s="91" t="n"/>
      <c r="L625" s="94" t="str">
        <f>IF(N625=0,"",IF(NOT(ISNUMBER(F625)),"Quantidade não informada",IF(F625&lt;=0,"Quantidade não positiva",IF(G625="","Unidade não informada",IF(NOT(ISNUMBER(H625)),"Unidade a conferir",IF(AC625=1,"REVISAR VÍNCULO: soma vinculada maior que a referência do item","OK"))))))</f>
        <v/>
      </c>
      <c r="M625" s="94" t="str">
        <f>IF(N625=0,"",IF(B625="","CDF não informado",IF(Q625=0,"REVISAR VÍNCULO: CDF inexistente",IF(C625="","Item não informado",IF(T625=0,"REVISAR VÍNCULO: item inexistente",IF(AND(X625=1,J625&lt;&gt;"Sim"),"REVISAR VÍNCULO: destinador diferente do MTR",IF(X625=1,"Destinador diferente do MTR (analisado)","OK")))))))</f>
        <v/>
      </c>
      <c r="N625" s="96">
        <f>IF(COUNTA(B625:C625,F625:G625,J625:K625)&gt;0,1,0)</f>
        <v>0</v>
      </c>
      <c r="O625" s="96" t="str">
        <f>IF(B625="","",TRIM(LEFT(B625,FIND(" |",B625&amp;" |")-1)))</f>
        <v/>
      </c>
      <c r="P625" s="96" t="str">
        <f>IF(O625="","",IFERROR(MATCH(O625,'CDFs'!$A$6:$A$505,0),""))</f>
        <v/>
      </c>
      <c r="Q625" s="96">
        <f>IF(P625="",0,IF(INDEX('CDFs'!$S$6:$S$505,P625)=1,1,0))</f>
        <v>0</v>
      </c>
      <c r="R625" s="96" t="str">
        <f>IF(C625="","",TRIM(LEFT(C625,FIND(" |",C625&amp;" |")-1)))</f>
        <v/>
      </c>
      <c r="S625" s="96" t="str">
        <f>IF(R625="","",IFERROR(MATCH(R625,'ITENS_MTR'!$A$6:$A$1005,0),""))</f>
        <v/>
      </c>
      <c r="T625" s="96">
        <f>IF(S625="",0,IF(INDEX('ITENS_MTR'!$R$6:$R$1005,S625)=1,1,0))</f>
        <v>0</v>
      </c>
      <c r="U625" s="96" t="str">
        <f>IF(G625="","",IFERROR(IF(ISNUMBER(INDEX(cfg_fac,MATCH(G625,cfg_units,0))),IF(INDEX(cfg_fac,MATCH(G625,cfg_units,0))&gt;0,INDEX(cfg_fac,MATCH(G625,cfg_units,0)),""),""),""))</f>
        <v/>
      </c>
      <c r="V625" s="96">
        <f>IF(AND(ISNUMBER(F625),ISNUMBER(H625)),IF(H625&gt;0,1,0),0)</f>
        <v>0</v>
      </c>
      <c r="W625" s="96" t="str">
        <f>IF(T625=1,INDEX('ITENS_MTR'!$AU$6:$AU$1005,S625)&amp;"","")</f>
        <v/>
      </c>
      <c r="X625" s="96">
        <f>IF(AND(Q625=1,T625=1,I625&lt;&gt;"",W625&lt;&gt;""),IF(I625&lt;&gt;W625,1,0),0)</f>
        <v>0</v>
      </c>
      <c r="Y625" s="96">
        <f>IF(N625=0,0,IF(OR(Q625=0,T625=0,V625=0,AND(X625=1,J625&lt;&gt;"Sim")),1,0))</f>
        <v>0</v>
      </c>
      <c r="Z625" s="96">
        <f>IF(Q625=1,INDEX('CDFs'!$W$6:$W$505,P625),0)</f>
        <v>0</v>
      </c>
      <c r="AA625" s="96">
        <f>IF(AND(N625=1,Y625=0,Z625=1,J625="Sim"),1,0)</f>
        <v>0</v>
      </c>
      <c r="AB625" s="96">
        <f>IF(AND(N625=1,O625&lt;&gt;"",D625&lt;&gt;""),IF(COUNTIFS($O$6:O625,O625,$D$6:D625,D625)=1,1,0),0)</f>
        <v>0</v>
      </c>
      <c r="AC625" s="96">
        <f>IF(T625=1,INDEX('ITENS_MTR'!$AL$6:$AL$1005,S625),0)</f>
        <v>0</v>
      </c>
    </row>
    <row r="626">
      <c r="A626" s="89" t="inlineStr">
        <is>
          <t>VIN-000621</t>
        </is>
      </c>
      <c r="B626" s="91" t="n"/>
      <c r="C626" s="91" t="n"/>
      <c r="D626" s="94" t="str">
        <f>IF(T626=1,INDEX('ITENS_MTR'!$S$6:$S$1005,S626)&amp;"","")</f>
        <v/>
      </c>
      <c r="E626" s="94" t="str">
        <f>IF(T626=1,INDEX('ITENS_MTR'!$C$6:$C$1005,S626)&amp;"","")</f>
        <v/>
      </c>
      <c r="F626" s="98" t="n"/>
      <c r="G626" s="91" t="n"/>
      <c r="H626" s="93" t="str">
        <f>IF(N626=0,"",IF(NOT(ISNUMBER(F626)),"",IF(ISNUMBER(U626),F626*U626,"UNIDADE A CONFERIR")))</f>
        <v/>
      </c>
      <c r="I626" s="94" t="str">
        <f>IF(Q626=1,INDEX('CDFs'!$F$6:$F$505,P626)&amp;"","")</f>
        <v/>
      </c>
      <c r="J626" s="91" t="n"/>
      <c r="K626" s="91" t="n"/>
      <c r="L626" s="94" t="str">
        <f>IF(N626=0,"",IF(NOT(ISNUMBER(F626)),"Quantidade não informada",IF(F626&lt;=0,"Quantidade não positiva",IF(G626="","Unidade não informada",IF(NOT(ISNUMBER(H626)),"Unidade a conferir",IF(AC626=1,"REVISAR VÍNCULO: soma vinculada maior que a referência do item","OK"))))))</f>
        <v/>
      </c>
      <c r="M626" s="94" t="str">
        <f>IF(N626=0,"",IF(B626="","CDF não informado",IF(Q626=0,"REVISAR VÍNCULO: CDF inexistente",IF(C626="","Item não informado",IF(T626=0,"REVISAR VÍNCULO: item inexistente",IF(AND(X626=1,J626&lt;&gt;"Sim"),"REVISAR VÍNCULO: destinador diferente do MTR",IF(X626=1,"Destinador diferente do MTR (analisado)","OK")))))))</f>
        <v/>
      </c>
      <c r="N626" s="96">
        <f>IF(COUNTA(B626:C626,F626:G626,J626:K626)&gt;0,1,0)</f>
        <v>0</v>
      </c>
      <c r="O626" s="96" t="str">
        <f>IF(B626="","",TRIM(LEFT(B626,FIND(" |",B626&amp;" |")-1)))</f>
        <v/>
      </c>
      <c r="P626" s="96" t="str">
        <f>IF(O626="","",IFERROR(MATCH(O626,'CDFs'!$A$6:$A$505,0),""))</f>
        <v/>
      </c>
      <c r="Q626" s="96">
        <f>IF(P626="",0,IF(INDEX('CDFs'!$S$6:$S$505,P626)=1,1,0))</f>
        <v>0</v>
      </c>
      <c r="R626" s="96" t="str">
        <f>IF(C626="","",TRIM(LEFT(C626,FIND(" |",C626&amp;" |")-1)))</f>
        <v/>
      </c>
      <c r="S626" s="96" t="str">
        <f>IF(R626="","",IFERROR(MATCH(R626,'ITENS_MTR'!$A$6:$A$1005,0),""))</f>
        <v/>
      </c>
      <c r="T626" s="96">
        <f>IF(S626="",0,IF(INDEX('ITENS_MTR'!$R$6:$R$1005,S626)=1,1,0))</f>
        <v>0</v>
      </c>
      <c r="U626" s="96" t="str">
        <f>IF(G626="","",IFERROR(IF(ISNUMBER(INDEX(cfg_fac,MATCH(G626,cfg_units,0))),IF(INDEX(cfg_fac,MATCH(G626,cfg_units,0))&gt;0,INDEX(cfg_fac,MATCH(G626,cfg_units,0)),""),""),""))</f>
        <v/>
      </c>
      <c r="V626" s="96">
        <f>IF(AND(ISNUMBER(F626),ISNUMBER(H626)),IF(H626&gt;0,1,0),0)</f>
        <v>0</v>
      </c>
      <c r="W626" s="96" t="str">
        <f>IF(T626=1,INDEX('ITENS_MTR'!$AU$6:$AU$1005,S626)&amp;"","")</f>
        <v/>
      </c>
      <c r="X626" s="96">
        <f>IF(AND(Q626=1,T626=1,I626&lt;&gt;"",W626&lt;&gt;""),IF(I626&lt;&gt;W626,1,0),0)</f>
        <v>0</v>
      </c>
      <c r="Y626" s="96">
        <f>IF(N626=0,0,IF(OR(Q626=0,T626=0,V626=0,AND(X626=1,J626&lt;&gt;"Sim")),1,0))</f>
        <v>0</v>
      </c>
      <c r="Z626" s="96">
        <f>IF(Q626=1,INDEX('CDFs'!$W$6:$W$505,P626),0)</f>
        <v>0</v>
      </c>
      <c r="AA626" s="96">
        <f>IF(AND(N626=1,Y626=0,Z626=1,J626="Sim"),1,0)</f>
        <v>0</v>
      </c>
      <c r="AB626" s="96">
        <f>IF(AND(N626=1,O626&lt;&gt;"",D626&lt;&gt;""),IF(COUNTIFS($O$6:O626,O626,$D$6:D626,D626)=1,1,0),0)</f>
        <v>0</v>
      </c>
      <c r="AC626" s="96">
        <f>IF(T626=1,INDEX('ITENS_MTR'!$AL$6:$AL$1005,S626),0)</f>
        <v>0</v>
      </c>
    </row>
    <row r="627">
      <c r="A627" s="89" t="inlineStr">
        <is>
          <t>VIN-000622</t>
        </is>
      </c>
      <c r="B627" s="91" t="n"/>
      <c r="C627" s="91" t="n"/>
      <c r="D627" s="94" t="str">
        <f>IF(T627=1,INDEX('ITENS_MTR'!$S$6:$S$1005,S627)&amp;"","")</f>
        <v/>
      </c>
      <c r="E627" s="94" t="str">
        <f>IF(T627=1,INDEX('ITENS_MTR'!$C$6:$C$1005,S627)&amp;"","")</f>
        <v/>
      </c>
      <c r="F627" s="98" t="n"/>
      <c r="G627" s="91" t="n"/>
      <c r="H627" s="93" t="str">
        <f>IF(N627=0,"",IF(NOT(ISNUMBER(F627)),"",IF(ISNUMBER(U627),F627*U627,"UNIDADE A CONFERIR")))</f>
        <v/>
      </c>
      <c r="I627" s="94" t="str">
        <f>IF(Q627=1,INDEX('CDFs'!$F$6:$F$505,P627)&amp;"","")</f>
        <v/>
      </c>
      <c r="J627" s="91" t="n"/>
      <c r="K627" s="91" t="n"/>
      <c r="L627" s="94" t="str">
        <f>IF(N627=0,"",IF(NOT(ISNUMBER(F627)),"Quantidade não informada",IF(F627&lt;=0,"Quantidade não positiva",IF(G627="","Unidade não informada",IF(NOT(ISNUMBER(H627)),"Unidade a conferir",IF(AC627=1,"REVISAR VÍNCULO: soma vinculada maior que a referência do item","OK"))))))</f>
        <v/>
      </c>
      <c r="M627" s="94" t="str">
        <f>IF(N627=0,"",IF(B627="","CDF não informado",IF(Q627=0,"REVISAR VÍNCULO: CDF inexistente",IF(C627="","Item não informado",IF(T627=0,"REVISAR VÍNCULO: item inexistente",IF(AND(X627=1,J627&lt;&gt;"Sim"),"REVISAR VÍNCULO: destinador diferente do MTR",IF(X627=1,"Destinador diferente do MTR (analisado)","OK")))))))</f>
        <v/>
      </c>
      <c r="N627" s="96">
        <f>IF(COUNTA(B627:C627,F627:G627,J627:K627)&gt;0,1,0)</f>
        <v>0</v>
      </c>
      <c r="O627" s="96" t="str">
        <f>IF(B627="","",TRIM(LEFT(B627,FIND(" |",B627&amp;" |")-1)))</f>
        <v/>
      </c>
      <c r="P627" s="96" t="str">
        <f>IF(O627="","",IFERROR(MATCH(O627,'CDFs'!$A$6:$A$505,0),""))</f>
        <v/>
      </c>
      <c r="Q627" s="96">
        <f>IF(P627="",0,IF(INDEX('CDFs'!$S$6:$S$505,P627)=1,1,0))</f>
        <v>0</v>
      </c>
      <c r="R627" s="96" t="str">
        <f>IF(C627="","",TRIM(LEFT(C627,FIND(" |",C627&amp;" |")-1)))</f>
        <v/>
      </c>
      <c r="S627" s="96" t="str">
        <f>IF(R627="","",IFERROR(MATCH(R627,'ITENS_MTR'!$A$6:$A$1005,0),""))</f>
        <v/>
      </c>
      <c r="T627" s="96">
        <f>IF(S627="",0,IF(INDEX('ITENS_MTR'!$R$6:$R$1005,S627)=1,1,0))</f>
        <v>0</v>
      </c>
      <c r="U627" s="96" t="str">
        <f>IF(G627="","",IFERROR(IF(ISNUMBER(INDEX(cfg_fac,MATCH(G627,cfg_units,0))),IF(INDEX(cfg_fac,MATCH(G627,cfg_units,0))&gt;0,INDEX(cfg_fac,MATCH(G627,cfg_units,0)),""),""),""))</f>
        <v/>
      </c>
      <c r="V627" s="96">
        <f>IF(AND(ISNUMBER(F627),ISNUMBER(H627)),IF(H627&gt;0,1,0),0)</f>
        <v>0</v>
      </c>
      <c r="W627" s="96" t="str">
        <f>IF(T627=1,INDEX('ITENS_MTR'!$AU$6:$AU$1005,S627)&amp;"","")</f>
        <v/>
      </c>
      <c r="X627" s="96">
        <f>IF(AND(Q627=1,T627=1,I627&lt;&gt;"",W627&lt;&gt;""),IF(I627&lt;&gt;W627,1,0),0)</f>
        <v>0</v>
      </c>
      <c r="Y627" s="96">
        <f>IF(N627=0,0,IF(OR(Q627=0,T627=0,V627=0,AND(X627=1,J627&lt;&gt;"Sim")),1,0))</f>
        <v>0</v>
      </c>
      <c r="Z627" s="96">
        <f>IF(Q627=1,INDEX('CDFs'!$W$6:$W$505,P627),0)</f>
        <v>0</v>
      </c>
      <c r="AA627" s="96">
        <f>IF(AND(N627=1,Y627=0,Z627=1,J627="Sim"),1,0)</f>
        <v>0</v>
      </c>
      <c r="AB627" s="96">
        <f>IF(AND(N627=1,O627&lt;&gt;"",D627&lt;&gt;""),IF(COUNTIFS($O$6:O627,O627,$D$6:D627,D627)=1,1,0),0)</f>
        <v>0</v>
      </c>
      <c r="AC627" s="96">
        <f>IF(T627=1,INDEX('ITENS_MTR'!$AL$6:$AL$1005,S627),0)</f>
        <v>0</v>
      </c>
    </row>
    <row r="628">
      <c r="A628" s="89" t="inlineStr">
        <is>
          <t>VIN-000623</t>
        </is>
      </c>
      <c r="B628" s="91" t="n"/>
      <c r="C628" s="91" t="n"/>
      <c r="D628" s="94" t="str">
        <f>IF(T628=1,INDEX('ITENS_MTR'!$S$6:$S$1005,S628)&amp;"","")</f>
        <v/>
      </c>
      <c r="E628" s="94" t="str">
        <f>IF(T628=1,INDEX('ITENS_MTR'!$C$6:$C$1005,S628)&amp;"","")</f>
        <v/>
      </c>
      <c r="F628" s="98" t="n"/>
      <c r="G628" s="91" t="n"/>
      <c r="H628" s="93" t="str">
        <f>IF(N628=0,"",IF(NOT(ISNUMBER(F628)),"",IF(ISNUMBER(U628),F628*U628,"UNIDADE A CONFERIR")))</f>
        <v/>
      </c>
      <c r="I628" s="94" t="str">
        <f>IF(Q628=1,INDEX('CDFs'!$F$6:$F$505,P628)&amp;"","")</f>
        <v/>
      </c>
      <c r="J628" s="91" t="n"/>
      <c r="K628" s="91" t="n"/>
      <c r="L628" s="94" t="str">
        <f>IF(N628=0,"",IF(NOT(ISNUMBER(F628)),"Quantidade não informada",IF(F628&lt;=0,"Quantidade não positiva",IF(G628="","Unidade não informada",IF(NOT(ISNUMBER(H628)),"Unidade a conferir",IF(AC628=1,"REVISAR VÍNCULO: soma vinculada maior que a referência do item","OK"))))))</f>
        <v/>
      </c>
      <c r="M628" s="94" t="str">
        <f>IF(N628=0,"",IF(B628="","CDF não informado",IF(Q628=0,"REVISAR VÍNCULO: CDF inexistente",IF(C628="","Item não informado",IF(T628=0,"REVISAR VÍNCULO: item inexistente",IF(AND(X628=1,J628&lt;&gt;"Sim"),"REVISAR VÍNCULO: destinador diferente do MTR",IF(X628=1,"Destinador diferente do MTR (analisado)","OK")))))))</f>
        <v/>
      </c>
      <c r="N628" s="96">
        <f>IF(COUNTA(B628:C628,F628:G628,J628:K628)&gt;0,1,0)</f>
        <v>0</v>
      </c>
      <c r="O628" s="96" t="str">
        <f>IF(B628="","",TRIM(LEFT(B628,FIND(" |",B628&amp;" |")-1)))</f>
        <v/>
      </c>
      <c r="P628" s="96" t="str">
        <f>IF(O628="","",IFERROR(MATCH(O628,'CDFs'!$A$6:$A$505,0),""))</f>
        <v/>
      </c>
      <c r="Q628" s="96">
        <f>IF(P628="",0,IF(INDEX('CDFs'!$S$6:$S$505,P628)=1,1,0))</f>
        <v>0</v>
      </c>
      <c r="R628" s="96" t="str">
        <f>IF(C628="","",TRIM(LEFT(C628,FIND(" |",C628&amp;" |")-1)))</f>
        <v/>
      </c>
      <c r="S628" s="96" t="str">
        <f>IF(R628="","",IFERROR(MATCH(R628,'ITENS_MTR'!$A$6:$A$1005,0),""))</f>
        <v/>
      </c>
      <c r="T628" s="96">
        <f>IF(S628="",0,IF(INDEX('ITENS_MTR'!$R$6:$R$1005,S628)=1,1,0))</f>
        <v>0</v>
      </c>
      <c r="U628" s="96" t="str">
        <f>IF(G628="","",IFERROR(IF(ISNUMBER(INDEX(cfg_fac,MATCH(G628,cfg_units,0))),IF(INDEX(cfg_fac,MATCH(G628,cfg_units,0))&gt;0,INDEX(cfg_fac,MATCH(G628,cfg_units,0)),""),""),""))</f>
        <v/>
      </c>
      <c r="V628" s="96">
        <f>IF(AND(ISNUMBER(F628),ISNUMBER(H628)),IF(H628&gt;0,1,0),0)</f>
        <v>0</v>
      </c>
      <c r="W628" s="96" t="str">
        <f>IF(T628=1,INDEX('ITENS_MTR'!$AU$6:$AU$1005,S628)&amp;"","")</f>
        <v/>
      </c>
      <c r="X628" s="96">
        <f>IF(AND(Q628=1,T628=1,I628&lt;&gt;"",W628&lt;&gt;""),IF(I628&lt;&gt;W628,1,0),0)</f>
        <v>0</v>
      </c>
      <c r="Y628" s="96">
        <f>IF(N628=0,0,IF(OR(Q628=0,T628=0,V628=0,AND(X628=1,J628&lt;&gt;"Sim")),1,0))</f>
        <v>0</v>
      </c>
      <c r="Z628" s="96">
        <f>IF(Q628=1,INDEX('CDFs'!$W$6:$W$505,P628),0)</f>
        <v>0</v>
      </c>
      <c r="AA628" s="96">
        <f>IF(AND(N628=1,Y628=0,Z628=1,J628="Sim"),1,0)</f>
        <v>0</v>
      </c>
      <c r="AB628" s="96">
        <f>IF(AND(N628=1,O628&lt;&gt;"",D628&lt;&gt;""),IF(COUNTIFS($O$6:O628,O628,$D$6:D628,D628)=1,1,0),0)</f>
        <v>0</v>
      </c>
      <c r="AC628" s="96">
        <f>IF(T628=1,INDEX('ITENS_MTR'!$AL$6:$AL$1005,S628),0)</f>
        <v>0</v>
      </c>
    </row>
    <row r="629">
      <c r="A629" s="89" t="inlineStr">
        <is>
          <t>VIN-000624</t>
        </is>
      </c>
      <c r="B629" s="91" t="n"/>
      <c r="C629" s="91" t="n"/>
      <c r="D629" s="94" t="str">
        <f>IF(T629=1,INDEX('ITENS_MTR'!$S$6:$S$1005,S629)&amp;"","")</f>
        <v/>
      </c>
      <c r="E629" s="94" t="str">
        <f>IF(T629=1,INDEX('ITENS_MTR'!$C$6:$C$1005,S629)&amp;"","")</f>
        <v/>
      </c>
      <c r="F629" s="98" t="n"/>
      <c r="G629" s="91" t="n"/>
      <c r="H629" s="93" t="str">
        <f>IF(N629=0,"",IF(NOT(ISNUMBER(F629)),"",IF(ISNUMBER(U629),F629*U629,"UNIDADE A CONFERIR")))</f>
        <v/>
      </c>
      <c r="I629" s="94" t="str">
        <f>IF(Q629=1,INDEX('CDFs'!$F$6:$F$505,P629)&amp;"","")</f>
        <v/>
      </c>
      <c r="J629" s="91" t="n"/>
      <c r="K629" s="91" t="n"/>
      <c r="L629" s="94" t="str">
        <f>IF(N629=0,"",IF(NOT(ISNUMBER(F629)),"Quantidade não informada",IF(F629&lt;=0,"Quantidade não positiva",IF(G629="","Unidade não informada",IF(NOT(ISNUMBER(H629)),"Unidade a conferir",IF(AC629=1,"REVISAR VÍNCULO: soma vinculada maior que a referência do item","OK"))))))</f>
        <v/>
      </c>
      <c r="M629" s="94" t="str">
        <f>IF(N629=0,"",IF(B629="","CDF não informado",IF(Q629=0,"REVISAR VÍNCULO: CDF inexistente",IF(C629="","Item não informado",IF(T629=0,"REVISAR VÍNCULO: item inexistente",IF(AND(X629=1,J629&lt;&gt;"Sim"),"REVISAR VÍNCULO: destinador diferente do MTR",IF(X629=1,"Destinador diferente do MTR (analisado)","OK")))))))</f>
        <v/>
      </c>
      <c r="N629" s="96">
        <f>IF(COUNTA(B629:C629,F629:G629,J629:K629)&gt;0,1,0)</f>
        <v>0</v>
      </c>
      <c r="O629" s="96" t="str">
        <f>IF(B629="","",TRIM(LEFT(B629,FIND(" |",B629&amp;" |")-1)))</f>
        <v/>
      </c>
      <c r="P629" s="96" t="str">
        <f>IF(O629="","",IFERROR(MATCH(O629,'CDFs'!$A$6:$A$505,0),""))</f>
        <v/>
      </c>
      <c r="Q629" s="96">
        <f>IF(P629="",0,IF(INDEX('CDFs'!$S$6:$S$505,P629)=1,1,0))</f>
        <v>0</v>
      </c>
      <c r="R629" s="96" t="str">
        <f>IF(C629="","",TRIM(LEFT(C629,FIND(" |",C629&amp;" |")-1)))</f>
        <v/>
      </c>
      <c r="S629" s="96" t="str">
        <f>IF(R629="","",IFERROR(MATCH(R629,'ITENS_MTR'!$A$6:$A$1005,0),""))</f>
        <v/>
      </c>
      <c r="T629" s="96">
        <f>IF(S629="",0,IF(INDEX('ITENS_MTR'!$R$6:$R$1005,S629)=1,1,0))</f>
        <v>0</v>
      </c>
      <c r="U629" s="96" t="str">
        <f>IF(G629="","",IFERROR(IF(ISNUMBER(INDEX(cfg_fac,MATCH(G629,cfg_units,0))),IF(INDEX(cfg_fac,MATCH(G629,cfg_units,0))&gt;0,INDEX(cfg_fac,MATCH(G629,cfg_units,0)),""),""),""))</f>
        <v/>
      </c>
      <c r="V629" s="96">
        <f>IF(AND(ISNUMBER(F629),ISNUMBER(H629)),IF(H629&gt;0,1,0),0)</f>
        <v>0</v>
      </c>
      <c r="W629" s="96" t="str">
        <f>IF(T629=1,INDEX('ITENS_MTR'!$AU$6:$AU$1005,S629)&amp;"","")</f>
        <v/>
      </c>
      <c r="X629" s="96">
        <f>IF(AND(Q629=1,T629=1,I629&lt;&gt;"",W629&lt;&gt;""),IF(I629&lt;&gt;W629,1,0),0)</f>
        <v>0</v>
      </c>
      <c r="Y629" s="96">
        <f>IF(N629=0,0,IF(OR(Q629=0,T629=0,V629=0,AND(X629=1,J629&lt;&gt;"Sim")),1,0))</f>
        <v>0</v>
      </c>
      <c r="Z629" s="96">
        <f>IF(Q629=1,INDEX('CDFs'!$W$6:$W$505,P629),0)</f>
        <v>0</v>
      </c>
      <c r="AA629" s="96">
        <f>IF(AND(N629=1,Y629=0,Z629=1,J629="Sim"),1,0)</f>
        <v>0</v>
      </c>
      <c r="AB629" s="96">
        <f>IF(AND(N629=1,O629&lt;&gt;"",D629&lt;&gt;""),IF(COUNTIFS($O$6:O629,O629,$D$6:D629,D629)=1,1,0),0)</f>
        <v>0</v>
      </c>
      <c r="AC629" s="96">
        <f>IF(T629=1,INDEX('ITENS_MTR'!$AL$6:$AL$1005,S629),0)</f>
        <v>0</v>
      </c>
    </row>
    <row r="630">
      <c r="A630" s="89" t="inlineStr">
        <is>
          <t>VIN-000625</t>
        </is>
      </c>
      <c r="B630" s="91" t="n"/>
      <c r="C630" s="91" t="n"/>
      <c r="D630" s="94" t="str">
        <f>IF(T630=1,INDEX('ITENS_MTR'!$S$6:$S$1005,S630)&amp;"","")</f>
        <v/>
      </c>
      <c r="E630" s="94" t="str">
        <f>IF(T630=1,INDEX('ITENS_MTR'!$C$6:$C$1005,S630)&amp;"","")</f>
        <v/>
      </c>
      <c r="F630" s="98" t="n"/>
      <c r="G630" s="91" t="n"/>
      <c r="H630" s="93" t="str">
        <f>IF(N630=0,"",IF(NOT(ISNUMBER(F630)),"",IF(ISNUMBER(U630),F630*U630,"UNIDADE A CONFERIR")))</f>
        <v/>
      </c>
      <c r="I630" s="94" t="str">
        <f>IF(Q630=1,INDEX('CDFs'!$F$6:$F$505,P630)&amp;"","")</f>
        <v/>
      </c>
      <c r="J630" s="91" t="n"/>
      <c r="K630" s="91" t="n"/>
      <c r="L630" s="94" t="str">
        <f>IF(N630=0,"",IF(NOT(ISNUMBER(F630)),"Quantidade não informada",IF(F630&lt;=0,"Quantidade não positiva",IF(G630="","Unidade não informada",IF(NOT(ISNUMBER(H630)),"Unidade a conferir",IF(AC630=1,"REVISAR VÍNCULO: soma vinculada maior que a referência do item","OK"))))))</f>
        <v/>
      </c>
      <c r="M630" s="94" t="str">
        <f>IF(N630=0,"",IF(B630="","CDF não informado",IF(Q630=0,"REVISAR VÍNCULO: CDF inexistente",IF(C630="","Item não informado",IF(T630=0,"REVISAR VÍNCULO: item inexistente",IF(AND(X630=1,J630&lt;&gt;"Sim"),"REVISAR VÍNCULO: destinador diferente do MTR",IF(X630=1,"Destinador diferente do MTR (analisado)","OK")))))))</f>
        <v/>
      </c>
      <c r="N630" s="96">
        <f>IF(COUNTA(B630:C630,F630:G630,J630:K630)&gt;0,1,0)</f>
        <v>0</v>
      </c>
      <c r="O630" s="96" t="str">
        <f>IF(B630="","",TRIM(LEFT(B630,FIND(" |",B630&amp;" |")-1)))</f>
        <v/>
      </c>
      <c r="P630" s="96" t="str">
        <f>IF(O630="","",IFERROR(MATCH(O630,'CDFs'!$A$6:$A$505,0),""))</f>
        <v/>
      </c>
      <c r="Q630" s="96">
        <f>IF(P630="",0,IF(INDEX('CDFs'!$S$6:$S$505,P630)=1,1,0))</f>
        <v>0</v>
      </c>
      <c r="R630" s="96" t="str">
        <f>IF(C630="","",TRIM(LEFT(C630,FIND(" |",C630&amp;" |")-1)))</f>
        <v/>
      </c>
      <c r="S630" s="96" t="str">
        <f>IF(R630="","",IFERROR(MATCH(R630,'ITENS_MTR'!$A$6:$A$1005,0),""))</f>
        <v/>
      </c>
      <c r="T630" s="96">
        <f>IF(S630="",0,IF(INDEX('ITENS_MTR'!$R$6:$R$1005,S630)=1,1,0))</f>
        <v>0</v>
      </c>
      <c r="U630" s="96" t="str">
        <f>IF(G630="","",IFERROR(IF(ISNUMBER(INDEX(cfg_fac,MATCH(G630,cfg_units,0))),IF(INDEX(cfg_fac,MATCH(G630,cfg_units,0))&gt;0,INDEX(cfg_fac,MATCH(G630,cfg_units,0)),""),""),""))</f>
        <v/>
      </c>
      <c r="V630" s="96">
        <f>IF(AND(ISNUMBER(F630),ISNUMBER(H630)),IF(H630&gt;0,1,0),0)</f>
        <v>0</v>
      </c>
      <c r="W630" s="96" t="str">
        <f>IF(T630=1,INDEX('ITENS_MTR'!$AU$6:$AU$1005,S630)&amp;"","")</f>
        <v/>
      </c>
      <c r="X630" s="96">
        <f>IF(AND(Q630=1,T630=1,I630&lt;&gt;"",W630&lt;&gt;""),IF(I630&lt;&gt;W630,1,0),0)</f>
        <v>0</v>
      </c>
      <c r="Y630" s="96">
        <f>IF(N630=0,0,IF(OR(Q630=0,T630=0,V630=0,AND(X630=1,J630&lt;&gt;"Sim")),1,0))</f>
        <v>0</v>
      </c>
      <c r="Z630" s="96">
        <f>IF(Q630=1,INDEX('CDFs'!$W$6:$W$505,P630),0)</f>
        <v>0</v>
      </c>
      <c r="AA630" s="96">
        <f>IF(AND(N630=1,Y630=0,Z630=1,J630="Sim"),1,0)</f>
        <v>0</v>
      </c>
      <c r="AB630" s="96">
        <f>IF(AND(N630=1,O630&lt;&gt;"",D630&lt;&gt;""),IF(COUNTIFS($O$6:O630,O630,$D$6:D630,D630)=1,1,0),0)</f>
        <v>0</v>
      </c>
      <c r="AC630" s="96">
        <f>IF(T630=1,INDEX('ITENS_MTR'!$AL$6:$AL$1005,S630),0)</f>
        <v>0</v>
      </c>
    </row>
    <row r="631">
      <c r="A631" s="89" t="inlineStr">
        <is>
          <t>VIN-000626</t>
        </is>
      </c>
      <c r="B631" s="91" t="n"/>
      <c r="C631" s="91" t="n"/>
      <c r="D631" s="94" t="str">
        <f>IF(T631=1,INDEX('ITENS_MTR'!$S$6:$S$1005,S631)&amp;"","")</f>
        <v/>
      </c>
      <c r="E631" s="94" t="str">
        <f>IF(T631=1,INDEX('ITENS_MTR'!$C$6:$C$1005,S631)&amp;"","")</f>
        <v/>
      </c>
      <c r="F631" s="98" t="n"/>
      <c r="G631" s="91" t="n"/>
      <c r="H631" s="93" t="str">
        <f>IF(N631=0,"",IF(NOT(ISNUMBER(F631)),"",IF(ISNUMBER(U631),F631*U631,"UNIDADE A CONFERIR")))</f>
        <v/>
      </c>
      <c r="I631" s="94" t="str">
        <f>IF(Q631=1,INDEX('CDFs'!$F$6:$F$505,P631)&amp;"","")</f>
        <v/>
      </c>
      <c r="J631" s="91" t="n"/>
      <c r="K631" s="91" t="n"/>
      <c r="L631" s="94" t="str">
        <f>IF(N631=0,"",IF(NOT(ISNUMBER(F631)),"Quantidade não informada",IF(F631&lt;=0,"Quantidade não positiva",IF(G631="","Unidade não informada",IF(NOT(ISNUMBER(H631)),"Unidade a conferir",IF(AC631=1,"REVISAR VÍNCULO: soma vinculada maior que a referência do item","OK"))))))</f>
        <v/>
      </c>
      <c r="M631" s="94" t="str">
        <f>IF(N631=0,"",IF(B631="","CDF não informado",IF(Q631=0,"REVISAR VÍNCULO: CDF inexistente",IF(C631="","Item não informado",IF(T631=0,"REVISAR VÍNCULO: item inexistente",IF(AND(X631=1,J631&lt;&gt;"Sim"),"REVISAR VÍNCULO: destinador diferente do MTR",IF(X631=1,"Destinador diferente do MTR (analisado)","OK")))))))</f>
        <v/>
      </c>
      <c r="N631" s="96">
        <f>IF(COUNTA(B631:C631,F631:G631,J631:K631)&gt;0,1,0)</f>
        <v>0</v>
      </c>
      <c r="O631" s="96" t="str">
        <f>IF(B631="","",TRIM(LEFT(B631,FIND(" |",B631&amp;" |")-1)))</f>
        <v/>
      </c>
      <c r="P631" s="96" t="str">
        <f>IF(O631="","",IFERROR(MATCH(O631,'CDFs'!$A$6:$A$505,0),""))</f>
        <v/>
      </c>
      <c r="Q631" s="96">
        <f>IF(P631="",0,IF(INDEX('CDFs'!$S$6:$S$505,P631)=1,1,0))</f>
        <v>0</v>
      </c>
      <c r="R631" s="96" t="str">
        <f>IF(C631="","",TRIM(LEFT(C631,FIND(" |",C631&amp;" |")-1)))</f>
        <v/>
      </c>
      <c r="S631" s="96" t="str">
        <f>IF(R631="","",IFERROR(MATCH(R631,'ITENS_MTR'!$A$6:$A$1005,0),""))</f>
        <v/>
      </c>
      <c r="T631" s="96">
        <f>IF(S631="",0,IF(INDEX('ITENS_MTR'!$R$6:$R$1005,S631)=1,1,0))</f>
        <v>0</v>
      </c>
      <c r="U631" s="96" t="str">
        <f>IF(G631="","",IFERROR(IF(ISNUMBER(INDEX(cfg_fac,MATCH(G631,cfg_units,0))),IF(INDEX(cfg_fac,MATCH(G631,cfg_units,0))&gt;0,INDEX(cfg_fac,MATCH(G631,cfg_units,0)),""),""),""))</f>
        <v/>
      </c>
      <c r="V631" s="96">
        <f>IF(AND(ISNUMBER(F631),ISNUMBER(H631)),IF(H631&gt;0,1,0),0)</f>
        <v>0</v>
      </c>
      <c r="W631" s="96" t="str">
        <f>IF(T631=1,INDEX('ITENS_MTR'!$AU$6:$AU$1005,S631)&amp;"","")</f>
        <v/>
      </c>
      <c r="X631" s="96">
        <f>IF(AND(Q631=1,T631=1,I631&lt;&gt;"",W631&lt;&gt;""),IF(I631&lt;&gt;W631,1,0),0)</f>
        <v>0</v>
      </c>
      <c r="Y631" s="96">
        <f>IF(N631=0,0,IF(OR(Q631=0,T631=0,V631=0,AND(X631=1,J631&lt;&gt;"Sim")),1,0))</f>
        <v>0</v>
      </c>
      <c r="Z631" s="96">
        <f>IF(Q631=1,INDEX('CDFs'!$W$6:$W$505,P631),0)</f>
        <v>0</v>
      </c>
      <c r="AA631" s="96">
        <f>IF(AND(N631=1,Y631=0,Z631=1,J631="Sim"),1,0)</f>
        <v>0</v>
      </c>
      <c r="AB631" s="96">
        <f>IF(AND(N631=1,O631&lt;&gt;"",D631&lt;&gt;""),IF(COUNTIFS($O$6:O631,O631,$D$6:D631,D631)=1,1,0),0)</f>
        <v>0</v>
      </c>
      <c r="AC631" s="96">
        <f>IF(T631=1,INDEX('ITENS_MTR'!$AL$6:$AL$1005,S631),0)</f>
        <v>0</v>
      </c>
    </row>
    <row r="632">
      <c r="A632" s="89" t="inlineStr">
        <is>
          <t>VIN-000627</t>
        </is>
      </c>
      <c r="B632" s="91" t="n"/>
      <c r="C632" s="91" t="n"/>
      <c r="D632" s="94" t="str">
        <f>IF(T632=1,INDEX('ITENS_MTR'!$S$6:$S$1005,S632)&amp;"","")</f>
        <v/>
      </c>
      <c r="E632" s="94" t="str">
        <f>IF(T632=1,INDEX('ITENS_MTR'!$C$6:$C$1005,S632)&amp;"","")</f>
        <v/>
      </c>
      <c r="F632" s="98" t="n"/>
      <c r="G632" s="91" t="n"/>
      <c r="H632" s="93" t="str">
        <f>IF(N632=0,"",IF(NOT(ISNUMBER(F632)),"",IF(ISNUMBER(U632),F632*U632,"UNIDADE A CONFERIR")))</f>
        <v/>
      </c>
      <c r="I632" s="94" t="str">
        <f>IF(Q632=1,INDEX('CDFs'!$F$6:$F$505,P632)&amp;"","")</f>
        <v/>
      </c>
      <c r="J632" s="91" t="n"/>
      <c r="K632" s="91" t="n"/>
      <c r="L632" s="94" t="str">
        <f>IF(N632=0,"",IF(NOT(ISNUMBER(F632)),"Quantidade não informada",IF(F632&lt;=0,"Quantidade não positiva",IF(G632="","Unidade não informada",IF(NOT(ISNUMBER(H632)),"Unidade a conferir",IF(AC632=1,"REVISAR VÍNCULO: soma vinculada maior que a referência do item","OK"))))))</f>
        <v/>
      </c>
      <c r="M632" s="94" t="str">
        <f>IF(N632=0,"",IF(B632="","CDF não informado",IF(Q632=0,"REVISAR VÍNCULO: CDF inexistente",IF(C632="","Item não informado",IF(T632=0,"REVISAR VÍNCULO: item inexistente",IF(AND(X632=1,J632&lt;&gt;"Sim"),"REVISAR VÍNCULO: destinador diferente do MTR",IF(X632=1,"Destinador diferente do MTR (analisado)","OK")))))))</f>
        <v/>
      </c>
      <c r="N632" s="96">
        <f>IF(COUNTA(B632:C632,F632:G632,J632:K632)&gt;0,1,0)</f>
        <v>0</v>
      </c>
      <c r="O632" s="96" t="str">
        <f>IF(B632="","",TRIM(LEFT(B632,FIND(" |",B632&amp;" |")-1)))</f>
        <v/>
      </c>
      <c r="P632" s="96" t="str">
        <f>IF(O632="","",IFERROR(MATCH(O632,'CDFs'!$A$6:$A$505,0),""))</f>
        <v/>
      </c>
      <c r="Q632" s="96">
        <f>IF(P632="",0,IF(INDEX('CDFs'!$S$6:$S$505,P632)=1,1,0))</f>
        <v>0</v>
      </c>
      <c r="R632" s="96" t="str">
        <f>IF(C632="","",TRIM(LEFT(C632,FIND(" |",C632&amp;" |")-1)))</f>
        <v/>
      </c>
      <c r="S632" s="96" t="str">
        <f>IF(R632="","",IFERROR(MATCH(R632,'ITENS_MTR'!$A$6:$A$1005,0),""))</f>
        <v/>
      </c>
      <c r="T632" s="96">
        <f>IF(S632="",0,IF(INDEX('ITENS_MTR'!$R$6:$R$1005,S632)=1,1,0))</f>
        <v>0</v>
      </c>
      <c r="U632" s="96" t="str">
        <f>IF(G632="","",IFERROR(IF(ISNUMBER(INDEX(cfg_fac,MATCH(G632,cfg_units,0))),IF(INDEX(cfg_fac,MATCH(G632,cfg_units,0))&gt;0,INDEX(cfg_fac,MATCH(G632,cfg_units,0)),""),""),""))</f>
        <v/>
      </c>
      <c r="V632" s="96">
        <f>IF(AND(ISNUMBER(F632),ISNUMBER(H632)),IF(H632&gt;0,1,0),0)</f>
        <v>0</v>
      </c>
      <c r="W632" s="96" t="str">
        <f>IF(T632=1,INDEX('ITENS_MTR'!$AU$6:$AU$1005,S632)&amp;"","")</f>
        <v/>
      </c>
      <c r="X632" s="96">
        <f>IF(AND(Q632=1,T632=1,I632&lt;&gt;"",W632&lt;&gt;""),IF(I632&lt;&gt;W632,1,0),0)</f>
        <v>0</v>
      </c>
      <c r="Y632" s="96">
        <f>IF(N632=0,0,IF(OR(Q632=0,T632=0,V632=0,AND(X632=1,J632&lt;&gt;"Sim")),1,0))</f>
        <v>0</v>
      </c>
      <c r="Z632" s="96">
        <f>IF(Q632=1,INDEX('CDFs'!$W$6:$W$505,P632),0)</f>
        <v>0</v>
      </c>
      <c r="AA632" s="96">
        <f>IF(AND(N632=1,Y632=0,Z632=1,J632="Sim"),1,0)</f>
        <v>0</v>
      </c>
      <c r="AB632" s="96">
        <f>IF(AND(N632=1,O632&lt;&gt;"",D632&lt;&gt;""),IF(COUNTIFS($O$6:O632,O632,$D$6:D632,D632)=1,1,0),0)</f>
        <v>0</v>
      </c>
      <c r="AC632" s="96">
        <f>IF(T632=1,INDEX('ITENS_MTR'!$AL$6:$AL$1005,S632),0)</f>
        <v>0</v>
      </c>
    </row>
    <row r="633">
      <c r="A633" s="89" t="inlineStr">
        <is>
          <t>VIN-000628</t>
        </is>
      </c>
      <c r="B633" s="91" t="n"/>
      <c r="C633" s="91" t="n"/>
      <c r="D633" s="94" t="str">
        <f>IF(T633=1,INDEX('ITENS_MTR'!$S$6:$S$1005,S633)&amp;"","")</f>
        <v/>
      </c>
      <c r="E633" s="94" t="str">
        <f>IF(T633=1,INDEX('ITENS_MTR'!$C$6:$C$1005,S633)&amp;"","")</f>
        <v/>
      </c>
      <c r="F633" s="98" t="n"/>
      <c r="G633" s="91" t="n"/>
      <c r="H633" s="93" t="str">
        <f>IF(N633=0,"",IF(NOT(ISNUMBER(F633)),"",IF(ISNUMBER(U633),F633*U633,"UNIDADE A CONFERIR")))</f>
        <v/>
      </c>
      <c r="I633" s="94" t="str">
        <f>IF(Q633=1,INDEX('CDFs'!$F$6:$F$505,P633)&amp;"","")</f>
        <v/>
      </c>
      <c r="J633" s="91" t="n"/>
      <c r="K633" s="91" t="n"/>
      <c r="L633" s="94" t="str">
        <f>IF(N633=0,"",IF(NOT(ISNUMBER(F633)),"Quantidade não informada",IF(F633&lt;=0,"Quantidade não positiva",IF(G633="","Unidade não informada",IF(NOT(ISNUMBER(H633)),"Unidade a conferir",IF(AC633=1,"REVISAR VÍNCULO: soma vinculada maior que a referência do item","OK"))))))</f>
        <v/>
      </c>
      <c r="M633" s="94" t="str">
        <f>IF(N633=0,"",IF(B633="","CDF não informado",IF(Q633=0,"REVISAR VÍNCULO: CDF inexistente",IF(C633="","Item não informado",IF(T633=0,"REVISAR VÍNCULO: item inexistente",IF(AND(X633=1,J633&lt;&gt;"Sim"),"REVISAR VÍNCULO: destinador diferente do MTR",IF(X633=1,"Destinador diferente do MTR (analisado)","OK")))))))</f>
        <v/>
      </c>
      <c r="N633" s="96">
        <f>IF(COUNTA(B633:C633,F633:G633,J633:K633)&gt;0,1,0)</f>
        <v>0</v>
      </c>
      <c r="O633" s="96" t="str">
        <f>IF(B633="","",TRIM(LEFT(B633,FIND(" |",B633&amp;" |")-1)))</f>
        <v/>
      </c>
      <c r="P633" s="96" t="str">
        <f>IF(O633="","",IFERROR(MATCH(O633,'CDFs'!$A$6:$A$505,0),""))</f>
        <v/>
      </c>
      <c r="Q633" s="96">
        <f>IF(P633="",0,IF(INDEX('CDFs'!$S$6:$S$505,P633)=1,1,0))</f>
        <v>0</v>
      </c>
      <c r="R633" s="96" t="str">
        <f>IF(C633="","",TRIM(LEFT(C633,FIND(" |",C633&amp;" |")-1)))</f>
        <v/>
      </c>
      <c r="S633" s="96" t="str">
        <f>IF(R633="","",IFERROR(MATCH(R633,'ITENS_MTR'!$A$6:$A$1005,0),""))</f>
        <v/>
      </c>
      <c r="T633" s="96">
        <f>IF(S633="",0,IF(INDEX('ITENS_MTR'!$R$6:$R$1005,S633)=1,1,0))</f>
        <v>0</v>
      </c>
      <c r="U633" s="96" t="str">
        <f>IF(G633="","",IFERROR(IF(ISNUMBER(INDEX(cfg_fac,MATCH(G633,cfg_units,0))),IF(INDEX(cfg_fac,MATCH(G633,cfg_units,0))&gt;0,INDEX(cfg_fac,MATCH(G633,cfg_units,0)),""),""),""))</f>
        <v/>
      </c>
      <c r="V633" s="96">
        <f>IF(AND(ISNUMBER(F633),ISNUMBER(H633)),IF(H633&gt;0,1,0),0)</f>
        <v>0</v>
      </c>
      <c r="W633" s="96" t="str">
        <f>IF(T633=1,INDEX('ITENS_MTR'!$AU$6:$AU$1005,S633)&amp;"","")</f>
        <v/>
      </c>
      <c r="X633" s="96">
        <f>IF(AND(Q633=1,T633=1,I633&lt;&gt;"",W633&lt;&gt;""),IF(I633&lt;&gt;W633,1,0),0)</f>
        <v>0</v>
      </c>
      <c r="Y633" s="96">
        <f>IF(N633=0,0,IF(OR(Q633=0,T633=0,V633=0,AND(X633=1,J633&lt;&gt;"Sim")),1,0))</f>
        <v>0</v>
      </c>
      <c r="Z633" s="96">
        <f>IF(Q633=1,INDEX('CDFs'!$W$6:$W$505,P633),0)</f>
        <v>0</v>
      </c>
      <c r="AA633" s="96">
        <f>IF(AND(N633=1,Y633=0,Z633=1,J633="Sim"),1,0)</f>
        <v>0</v>
      </c>
      <c r="AB633" s="96">
        <f>IF(AND(N633=1,O633&lt;&gt;"",D633&lt;&gt;""),IF(COUNTIFS($O$6:O633,O633,$D$6:D633,D633)=1,1,0),0)</f>
        <v>0</v>
      </c>
      <c r="AC633" s="96">
        <f>IF(T633=1,INDEX('ITENS_MTR'!$AL$6:$AL$1005,S633),0)</f>
        <v>0</v>
      </c>
    </row>
    <row r="634">
      <c r="A634" s="89" t="inlineStr">
        <is>
          <t>VIN-000629</t>
        </is>
      </c>
      <c r="B634" s="91" t="n"/>
      <c r="C634" s="91" t="n"/>
      <c r="D634" s="94" t="str">
        <f>IF(T634=1,INDEX('ITENS_MTR'!$S$6:$S$1005,S634)&amp;"","")</f>
        <v/>
      </c>
      <c r="E634" s="94" t="str">
        <f>IF(T634=1,INDEX('ITENS_MTR'!$C$6:$C$1005,S634)&amp;"","")</f>
        <v/>
      </c>
      <c r="F634" s="98" t="n"/>
      <c r="G634" s="91" t="n"/>
      <c r="H634" s="93" t="str">
        <f>IF(N634=0,"",IF(NOT(ISNUMBER(F634)),"",IF(ISNUMBER(U634),F634*U634,"UNIDADE A CONFERIR")))</f>
        <v/>
      </c>
      <c r="I634" s="94" t="str">
        <f>IF(Q634=1,INDEX('CDFs'!$F$6:$F$505,P634)&amp;"","")</f>
        <v/>
      </c>
      <c r="J634" s="91" t="n"/>
      <c r="K634" s="91" t="n"/>
      <c r="L634" s="94" t="str">
        <f>IF(N634=0,"",IF(NOT(ISNUMBER(F634)),"Quantidade não informada",IF(F634&lt;=0,"Quantidade não positiva",IF(G634="","Unidade não informada",IF(NOT(ISNUMBER(H634)),"Unidade a conferir",IF(AC634=1,"REVISAR VÍNCULO: soma vinculada maior que a referência do item","OK"))))))</f>
        <v/>
      </c>
      <c r="M634" s="94" t="str">
        <f>IF(N634=0,"",IF(B634="","CDF não informado",IF(Q634=0,"REVISAR VÍNCULO: CDF inexistente",IF(C634="","Item não informado",IF(T634=0,"REVISAR VÍNCULO: item inexistente",IF(AND(X634=1,J634&lt;&gt;"Sim"),"REVISAR VÍNCULO: destinador diferente do MTR",IF(X634=1,"Destinador diferente do MTR (analisado)","OK")))))))</f>
        <v/>
      </c>
      <c r="N634" s="96">
        <f>IF(COUNTA(B634:C634,F634:G634,J634:K634)&gt;0,1,0)</f>
        <v>0</v>
      </c>
      <c r="O634" s="96" t="str">
        <f>IF(B634="","",TRIM(LEFT(B634,FIND(" |",B634&amp;" |")-1)))</f>
        <v/>
      </c>
      <c r="P634" s="96" t="str">
        <f>IF(O634="","",IFERROR(MATCH(O634,'CDFs'!$A$6:$A$505,0),""))</f>
        <v/>
      </c>
      <c r="Q634" s="96">
        <f>IF(P634="",0,IF(INDEX('CDFs'!$S$6:$S$505,P634)=1,1,0))</f>
        <v>0</v>
      </c>
      <c r="R634" s="96" t="str">
        <f>IF(C634="","",TRIM(LEFT(C634,FIND(" |",C634&amp;" |")-1)))</f>
        <v/>
      </c>
      <c r="S634" s="96" t="str">
        <f>IF(R634="","",IFERROR(MATCH(R634,'ITENS_MTR'!$A$6:$A$1005,0),""))</f>
        <v/>
      </c>
      <c r="T634" s="96">
        <f>IF(S634="",0,IF(INDEX('ITENS_MTR'!$R$6:$R$1005,S634)=1,1,0))</f>
        <v>0</v>
      </c>
      <c r="U634" s="96" t="str">
        <f>IF(G634="","",IFERROR(IF(ISNUMBER(INDEX(cfg_fac,MATCH(G634,cfg_units,0))),IF(INDEX(cfg_fac,MATCH(G634,cfg_units,0))&gt;0,INDEX(cfg_fac,MATCH(G634,cfg_units,0)),""),""),""))</f>
        <v/>
      </c>
      <c r="V634" s="96">
        <f>IF(AND(ISNUMBER(F634),ISNUMBER(H634)),IF(H634&gt;0,1,0),0)</f>
        <v>0</v>
      </c>
      <c r="W634" s="96" t="str">
        <f>IF(T634=1,INDEX('ITENS_MTR'!$AU$6:$AU$1005,S634)&amp;"","")</f>
        <v/>
      </c>
      <c r="X634" s="96">
        <f>IF(AND(Q634=1,T634=1,I634&lt;&gt;"",W634&lt;&gt;""),IF(I634&lt;&gt;W634,1,0),0)</f>
        <v>0</v>
      </c>
      <c r="Y634" s="96">
        <f>IF(N634=0,0,IF(OR(Q634=0,T634=0,V634=0,AND(X634=1,J634&lt;&gt;"Sim")),1,0))</f>
        <v>0</v>
      </c>
      <c r="Z634" s="96">
        <f>IF(Q634=1,INDEX('CDFs'!$W$6:$W$505,P634),0)</f>
        <v>0</v>
      </c>
      <c r="AA634" s="96">
        <f>IF(AND(N634=1,Y634=0,Z634=1,J634="Sim"),1,0)</f>
        <v>0</v>
      </c>
      <c r="AB634" s="96">
        <f>IF(AND(N634=1,O634&lt;&gt;"",D634&lt;&gt;""),IF(COUNTIFS($O$6:O634,O634,$D$6:D634,D634)=1,1,0),0)</f>
        <v>0</v>
      </c>
      <c r="AC634" s="96">
        <f>IF(T634=1,INDEX('ITENS_MTR'!$AL$6:$AL$1005,S634),0)</f>
        <v>0</v>
      </c>
    </row>
    <row r="635">
      <c r="A635" s="89" t="inlineStr">
        <is>
          <t>VIN-000630</t>
        </is>
      </c>
      <c r="B635" s="91" t="n"/>
      <c r="C635" s="91" t="n"/>
      <c r="D635" s="94" t="str">
        <f>IF(T635=1,INDEX('ITENS_MTR'!$S$6:$S$1005,S635)&amp;"","")</f>
        <v/>
      </c>
      <c r="E635" s="94" t="str">
        <f>IF(T635=1,INDEX('ITENS_MTR'!$C$6:$C$1005,S635)&amp;"","")</f>
        <v/>
      </c>
      <c r="F635" s="98" t="n"/>
      <c r="G635" s="91" t="n"/>
      <c r="H635" s="93" t="str">
        <f>IF(N635=0,"",IF(NOT(ISNUMBER(F635)),"",IF(ISNUMBER(U635),F635*U635,"UNIDADE A CONFERIR")))</f>
        <v/>
      </c>
      <c r="I635" s="94" t="str">
        <f>IF(Q635=1,INDEX('CDFs'!$F$6:$F$505,P635)&amp;"","")</f>
        <v/>
      </c>
      <c r="J635" s="91" t="n"/>
      <c r="K635" s="91" t="n"/>
      <c r="L635" s="94" t="str">
        <f>IF(N635=0,"",IF(NOT(ISNUMBER(F635)),"Quantidade não informada",IF(F635&lt;=0,"Quantidade não positiva",IF(G635="","Unidade não informada",IF(NOT(ISNUMBER(H635)),"Unidade a conferir",IF(AC635=1,"REVISAR VÍNCULO: soma vinculada maior que a referência do item","OK"))))))</f>
        <v/>
      </c>
      <c r="M635" s="94" t="str">
        <f>IF(N635=0,"",IF(B635="","CDF não informado",IF(Q635=0,"REVISAR VÍNCULO: CDF inexistente",IF(C635="","Item não informado",IF(T635=0,"REVISAR VÍNCULO: item inexistente",IF(AND(X635=1,J635&lt;&gt;"Sim"),"REVISAR VÍNCULO: destinador diferente do MTR",IF(X635=1,"Destinador diferente do MTR (analisado)","OK")))))))</f>
        <v/>
      </c>
      <c r="N635" s="96">
        <f>IF(COUNTA(B635:C635,F635:G635,J635:K635)&gt;0,1,0)</f>
        <v>0</v>
      </c>
      <c r="O635" s="96" t="str">
        <f>IF(B635="","",TRIM(LEFT(B635,FIND(" |",B635&amp;" |")-1)))</f>
        <v/>
      </c>
      <c r="P635" s="96" t="str">
        <f>IF(O635="","",IFERROR(MATCH(O635,'CDFs'!$A$6:$A$505,0),""))</f>
        <v/>
      </c>
      <c r="Q635" s="96">
        <f>IF(P635="",0,IF(INDEX('CDFs'!$S$6:$S$505,P635)=1,1,0))</f>
        <v>0</v>
      </c>
      <c r="R635" s="96" t="str">
        <f>IF(C635="","",TRIM(LEFT(C635,FIND(" |",C635&amp;" |")-1)))</f>
        <v/>
      </c>
      <c r="S635" s="96" t="str">
        <f>IF(R635="","",IFERROR(MATCH(R635,'ITENS_MTR'!$A$6:$A$1005,0),""))</f>
        <v/>
      </c>
      <c r="T635" s="96">
        <f>IF(S635="",0,IF(INDEX('ITENS_MTR'!$R$6:$R$1005,S635)=1,1,0))</f>
        <v>0</v>
      </c>
      <c r="U635" s="96" t="str">
        <f>IF(G635="","",IFERROR(IF(ISNUMBER(INDEX(cfg_fac,MATCH(G635,cfg_units,0))),IF(INDEX(cfg_fac,MATCH(G635,cfg_units,0))&gt;0,INDEX(cfg_fac,MATCH(G635,cfg_units,0)),""),""),""))</f>
        <v/>
      </c>
      <c r="V635" s="96">
        <f>IF(AND(ISNUMBER(F635),ISNUMBER(H635)),IF(H635&gt;0,1,0),0)</f>
        <v>0</v>
      </c>
      <c r="W635" s="96" t="str">
        <f>IF(T635=1,INDEX('ITENS_MTR'!$AU$6:$AU$1005,S635)&amp;"","")</f>
        <v/>
      </c>
      <c r="X635" s="96">
        <f>IF(AND(Q635=1,T635=1,I635&lt;&gt;"",W635&lt;&gt;""),IF(I635&lt;&gt;W635,1,0),0)</f>
        <v>0</v>
      </c>
      <c r="Y635" s="96">
        <f>IF(N635=0,0,IF(OR(Q635=0,T635=0,V635=0,AND(X635=1,J635&lt;&gt;"Sim")),1,0))</f>
        <v>0</v>
      </c>
      <c r="Z635" s="96">
        <f>IF(Q635=1,INDEX('CDFs'!$W$6:$W$505,P635),0)</f>
        <v>0</v>
      </c>
      <c r="AA635" s="96">
        <f>IF(AND(N635=1,Y635=0,Z635=1,J635="Sim"),1,0)</f>
        <v>0</v>
      </c>
      <c r="AB635" s="96">
        <f>IF(AND(N635=1,O635&lt;&gt;"",D635&lt;&gt;""),IF(COUNTIFS($O$6:O635,O635,$D$6:D635,D635)=1,1,0),0)</f>
        <v>0</v>
      </c>
      <c r="AC635" s="96">
        <f>IF(T635=1,INDEX('ITENS_MTR'!$AL$6:$AL$1005,S635),0)</f>
        <v>0</v>
      </c>
    </row>
    <row r="636">
      <c r="A636" s="89" t="inlineStr">
        <is>
          <t>VIN-000631</t>
        </is>
      </c>
      <c r="B636" s="91" t="n"/>
      <c r="C636" s="91" t="n"/>
      <c r="D636" s="94" t="str">
        <f>IF(T636=1,INDEX('ITENS_MTR'!$S$6:$S$1005,S636)&amp;"","")</f>
        <v/>
      </c>
      <c r="E636" s="94" t="str">
        <f>IF(T636=1,INDEX('ITENS_MTR'!$C$6:$C$1005,S636)&amp;"","")</f>
        <v/>
      </c>
      <c r="F636" s="98" t="n"/>
      <c r="G636" s="91" t="n"/>
      <c r="H636" s="93" t="str">
        <f>IF(N636=0,"",IF(NOT(ISNUMBER(F636)),"",IF(ISNUMBER(U636),F636*U636,"UNIDADE A CONFERIR")))</f>
        <v/>
      </c>
      <c r="I636" s="94" t="str">
        <f>IF(Q636=1,INDEX('CDFs'!$F$6:$F$505,P636)&amp;"","")</f>
        <v/>
      </c>
      <c r="J636" s="91" t="n"/>
      <c r="K636" s="91" t="n"/>
      <c r="L636" s="94" t="str">
        <f>IF(N636=0,"",IF(NOT(ISNUMBER(F636)),"Quantidade não informada",IF(F636&lt;=0,"Quantidade não positiva",IF(G636="","Unidade não informada",IF(NOT(ISNUMBER(H636)),"Unidade a conferir",IF(AC636=1,"REVISAR VÍNCULO: soma vinculada maior que a referência do item","OK"))))))</f>
        <v/>
      </c>
      <c r="M636" s="94" t="str">
        <f>IF(N636=0,"",IF(B636="","CDF não informado",IF(Q636=0,"REVISAR VÍNCULO: CDF inexistente",IF(C636="","Item não informado",IF(T636=0,"REVISAR VÍNCULO: item inexistente",IF(AND(X636=1,J636&lt;&gt;"Sim"),"REVISAR VÍNCULO: destinador diferente do MTR",IF(X636=1,"Destinador diferente do MTR (analisado)","OK")))))))</f>
        <v/>
      </c>
      <c r="N636" s="96">
        <f>IF(COUNTA(B636:C636,F636:G636,J636:K636)&gt;0,1,0)</f>
        <v>0</v>
      </c>
      <c r="O636" s="96" t="str">
        <f>IF(B636="","",TRIM(LEFT(B636,FIND(" |",B636&amp;" |")-1)))</f>
        <v/>
      </c>
      <c r="P636" s="96" t="str">
        <f>IF(O636="","",IFERROR(MATCH(O636,'CDFs'!$A$6:$A$505,0),""))</f>
        <v/>
      </c>
      <c r="Q636" s="96">
        <f>IF(P636="",0,IF(INDEX('CDFs'!$S$6:$S$505,P636)=1,1,0))</f>
        <v>0</v>
      </c>
      <c r="R636" s="96" t="str">
        <f>IF(C636="","",TRIM(LEFT(C636,FIND(" |",C636&amp;" |")-1)))</f>
        <v/>
      </c>
      <c r="S636" s="96" t="str">
        <f>IF(R636="","",IFERROR(MATCH(R636,'ITENS_MTR'!$A$6:$A$1005,0),""))</f>
        <v/>
      </c>
      <c r="T636" s="96">
        <f>IF(S636="",0,IF(INDEX('ITENS_MTR'!$R$6:$R$1005,S636)=1,1,0))</f>
        <v>0</v>
      </c>
      <c r="U636" s="96" t="str">
        <f>IF(G636="","",IFERROR(IF(ISNUMBER(INDEX(cfg_fac,MATCH(G636,cfg_units,0))),IF(INDEX(cfg_fac,MATCH(G636,cfg_units,0))&gt;0,INDEX(cfg_fac,MATCH(G636,cfg_units,0)),""),""),""))</f>
        <v/>
      </c>
      <c r="V636" s="96">
        <f>IF(AND(ISNUMBER(F636),ISNUMBER(H636)),IF(H636&gt;0,1,0),0)</f>
        <v>0</v>
      </c>
      <c r="W636" s="96" t="str">
        <f>IF(T636=1,INDEX('ITENS_MTR'!$AU$6:$AU$1005,S636)&amp;"","")</f>
        <v/>
      </c>
      <c r="X636" s="96">
        <f>IF(AND(Q636=1,T636=1,I636&lt;&gt;"",W636&lt;&gt;""),IF(I636&lt;&gt;W636,1,0),0)</f>
        <v>0</v>
      </c>
      <c r="Y636" s="96">
        <f>IF(N636=0,0,IF(OR(Q636=0,T636=0,V636=0,AND(X636=1,J636&lt;&gt;"Sim")),1,0))</f>
        <v>0</v>
      </c>
      <c r="Z636" s="96">
        <f>IF(Q636=1,INDEX('CDFs'!$W$6:$W$505,P636),0)</f>
        <v>0</v>
      </c>
      <c r="AA636" s="96">
        <f>IF(AND(N636=1,Y636=0,Z636=1,J636="Sim"),1,0)</f>
        <v>0</v>
      </c>
      <c r="AB636" s="96">
        <f>IF(AND(N636=1,O636&lt;&gt;"",D636&lt;&gt;""),IF(COUNTIFS($O$6:O636,O636,$D$6:D636,D636)=1,1,0),0)</f>
        <v>0</v>
      </c>
      <c r="AC636" s="96">
        <f>IF(T636=1,INDEX('ITENS_MTR'!$AL$6:$AL$1005,S636),0)</f>
        <v>0</v>
      </c>
    </row>
    <row r="637">
      <c r="A637" s="89" t="inlineStr">
        <is>
          <t>VIN-000632</t>
        </is>
      </c>
      <c r="B637" s="91" t="n"/>
      <c r="C637" s="91" t="n"/>
      <c r="D637" s="94" t="str">
        <f>IF(T637=1,INDEX('ITENS_MTR'!$S$6:$S$1005,S637)&amp;"","")</f>
        <v/>
      </c>
      <c r="E637" s="94" t="str">
        <f>IF(T637=1,INDEX('ITENS_MTR'!$C$6:$C$1005,S637)&amp;"","")</f>
        <v/>
      </c>
      <c r="F637" s="98" t="n"/>
      <c r="G637" s="91" t="n"/>
      <c r="H637" s="93" t="str">
        <f>IF(N637=0,"",IF(NOT(ISNUMBER(F637)),"",IF(ISNUMBER(U637),F637*U637,"UNIDADE A CONFERIR")))</f>
        <v/>
      </c>
      <c r="I637" s="94" t="str">
        <f>IF(Q637=1,INDEX('CDFs'!$F$6:$F$505,P637)&amp;"","")</f>
        <v/>
      </c>
      <c r="J637" s="91" t="n"/>
      <c r="K637" s="91" t="n"/>
      <c r="L637" s="94" t="str">
        <f>IF(N637=0,"",IF(NOT(ISNUMBER(F637)),"Quantidade não informada",IF(F637&lt;=0,"Quantidade não positiva",IF(G637="","Unidade não informada",IF(NOT(ISNUMBER(H637)),"Unidade a conferir",IF(AC637=1,"REVISAR VÍNCULO: soma vinculada maior que a referência do item","OK"))))))</f>
        <v/>
      </c>
      <c r="M637" s="94" t="str">
        <f>IF(N637=0,"",IF(B637="","CDF não informado",IF(Q637=0,"REVISAR VÍNCULO: CDF inexistente",IF(C637="","Item não informado",IF(T637=0,"REVISAR VÍNCULO: item inexistente",IF(AND(X637=1,J637&lt;&gt;"Sim"),"REVISAR VÍNCULO: destinador diferente do MTR",IF(X637=1,"Destinador diferente do MTR (analisado)","OK")))))))</f>
        <v/>
      </c>
      <c r="N637" s="96">
        <f>IF(COUNTA(B637:C637,F637:G637,J637:K637)&gt;0,1,0)</f>
        <v>0</v>
      </c>
      <c r="O637" s="96" t="str">
        <f>IF(B637="","",TRIM(LEFT(B637,FIND(" |",B637&amp;" |")-1)))</f>
        <v/>
      </c>
      <c r="P637" s="96" t="str">
        <f>IF(O637="","",IFERROR(MATCH(O637,'CDFs'!$A$6:$A$505,0),""))</f>
        <v/>
      </c>
      <c r="Q637" s="96">
        <f>IF(P637="",0,IF(INDEX('CDFs'!$S$6:$S$505,P637)=1,1,0))</f>
        <v>0</v>
      </c>
      <c r="R637" s="96" t="str">
        <f>IF(C637="","",TRIM(LEFT(C637,FIND(" |",C637&amp;" |")-1)))</f>
        <v/>
      </c>
      <c r="S637" s="96" t="str">
        <f>IF(R637="","",IFERROR(MATCH(R637,'ITENS_MTR'!$A$6:$A$1005,0),""))</f>
        <v/>
      </c>
      <c r="T637" s="96">
        <f>IF(S637="",0,IF(INDEX('ITENS_MTR'!$R$6:$R$1005,S637)=1,1,0))</f>
        <v>0</v>
      </c>
      <c r="U637" s="96" t="str">
        <f>IF(G637="","",IFERROR(IF(ISNUMBER(INDEX(cfg_fac,MATCH(G637,cfg_units,0))),IF(INDEX(cfg_fac,MATCH(G637,cfg_units,0))&gt;0,INDEX(cfg_fac,MATCH(G637,cfg_units,0)),""),""),""))</f>
        <v/>
      </c>
      <c r="V637" s="96">
        <f>IF(AND(ISNUMBER(F637),ISNUMBER(H637)),IF(H637&gt;0,1,0),0)</f>
        <v>0</v>
      </c>
      <c r="W637" s="96" t="str">
        <f>IF(T637=1,INDEX('ITENS_MTR'!$AU$6:$AU$1005,S637)&amp;"","")</f>
        <v/>
      </c>
      <c r="X637" s="96">
        <f>IF(AND(Q637=1,T637=1,I637&lt;&gt;"",W637&lt;&gt;""),IF(I637&lt;&gt;W637,1,0),0)</f>
        <v>0</v>
      </c>
      <c r="Y637" s="96">
        <f>IF(N637=0,0,IF(OR(Q637=0,T637=0,V637=0,AND(X637=1,J637&lt;&gt;"Sim")),1,0))</f>
        <v>0</v>
      </c>
      <c r="Z637" s="96">
        <f>IF(Q637=1,INDEX('CDFs'!$W$6:$W$505,P637),0)</f>
        <v>0</v>
      </c>
      <c r="AA637" s="96">
        <f>IF(AND(N637=1,Y637=0,Z637=1,J637="Sim"),1,0)</f>
        <v>0</v>
      </c>
      <c r="AB637" s="96">
        <f>IF(AND(N637=1,O637&lt;&gt;"",D637&lt;&gt;""),IF(COUNTIFS($O$6:O637,O637,$D$6:D637,D637)=1,1,0),0)</f>
        <v>0</v>
      </c>
      <c r="AC637" s="96">
        <f>IF(T637=1,INDEX('ITENS_MTR'!$AL$6:$AL$1005,S637),0)</f>
        <v>0</v>
      </c>
    </row>
    <row r="638">
      <c r="A638" s="89" t="inlineStr">
        <is>
          <t>VIN-000633</t>
        </is>
      </c>
      <c r="B638" s="91" t="n"/>
      <c r="C638" s="91" t="n"/>
      <c r="D638" s="94" t="str">
        <f>IF(T638=1,INDEX('ITENS_MTR'!$S$6:$S$1005,S638)&amp;"","")</f>
        <v/>
      </c>
      <c r="E638" s="94" t="str">
        <f>IF(T638=1,INDEX('ITENS_MTR'!$C$6:$C$1005,S638)&amp;"","")</f>
        <v/>
      </c>
      <c r="F638" s="98" t="n"/>
      <c r="G638" s="91" t="n"/>
      <c r="H638" s="93" t="str">
        <f>IF(N638=0,"",IF(NOT(ISNUMBER(F638)),"",IF(ISNUMBER(U638),F638*U638,"UNIDADE A CONFERIR")))</f>
        <v/>
      </c>
      <c r="I638" s="94" t="str">
        <f>IF(Q638=1,INDEX('CDFs'!$F$6:$F$505,P638)&amp;"","")</f>
        <v/>
      </c>
      <c r="J638" s="91" t="n"/>
      <c r="K638" s="91" t="n"/>
      <c r="L638" s="94" t="str">
        <f>IF(N638=0,"",IF(NOT(ISNUMBER(F638)),"Quantidade não informada",IF(F638&lt;=0,"Quantidade não positiva",IF(G638="","Unidade não informada",IF(NOT(ISNUMBER(H638)),"Unidade a conferir",IF(AC638=1,"REVISAR VÍNCULO: soma vinculada maior que a referência do item","OK"))))))</f>
        <v/>
      </c>
      <c r="M638" s="94" t="str">
        <f>IF(N638=0,"",IF(B638="","CDF não informado",IF(Q638=0,"REVISAR VÍNCULO: CDF inexistente",IF(C638="","Item não informado",IF(T638=0,"REVISAR VÍNCULO: item inexistente",IF(AND(X638=1,J638&lt;&gt;"Sim"),"REVISAR VÍNCULO: destinador diferente do MTR",IF(X638=1,"Destinador diferente do MTR (analisado)","OK")))))))</f>
        <v/>
      </c>
      <c r="N638" s="96">
        <f>IF(COUNTA(B638:C638,F638:G638,J638:K638)&gt;0,1,0)</f>
        <v>0</v>
      </c>
      <c r="O638" s="96" t="str">
        <f>IF(B638="","",TRIM(LEFT(B638,FIND(" |",B638&amp;" |")-1)))</f>
        <v/>
      </c>
      <c r="P638" s="96" t="str">
        <f>IF(O638="","",IFERROR(MATCH(O638,'CDFs'!$A$6:$A$505,0),""))</f>
        <v/>
      </c>
      <c r="Q638" s="96">
        <f>IF(P638="",0,IF(INDEX('CDFs'!$S$6:$S$505,P638)=1,1,0))</f>
        <v>0</v>
      </c>
      <c r="R638" s="96" t="str">
        <f>IF(C638="","",TRIM(LEFT(C638,FIND(" |",C638&amp;" |")-1)))</f>
        <v/>
      </c>
      <c r="S638" s="96" t="str">
        <f>IF(R638="","",IFERROR(MATCH(R638,'ITENS_MTR'!$A$6:$A$1005,0),""))</f>
        <v/>
      </c>
      <c r="T638" s="96">
        <f>IF(S638="",0,IF(INDEX('ITENS_MTR'!$R$6:$R$1005,S638)=1,1,0))</f>
        <v>0</v>
      </c>
      <c r="U638" s="96" t="str">
        <f>IF(G638="","",IFERROR(IF(ISNUMBER(INDEX(cfg_fac,MATCH(G638,cfg_units,0))),IF(INDEX(cfg_fac,MATCH(G638,cfg_units,0))&gt;0,INDEX(cfg_fac,MATCH(G638,cfg_units,0)),""),""),""))</f>
        <v/>
      </c>
      <c r="V638" s="96">
        <f>IF(AND(ISNUMBER(F638),ISNUMBER(H638)),IF(H638&gt;0,1,0),0)</f>
        <v>0</v>
      </c>
      <c r="W638" s="96" t="str">
        <f>IF(T638=1,INDEX('ITENS_MTR'!$AU$6:$AU$1005,S638)&amp;"","")</f>
        <v/>
      </c>
      <c r="X638" s="96">
        <f>IF(AND(Q638=1,T638=1,I638&lt;&gt;"",W638&lt;&gt;""),IF(I638&lt;&gt;W638,1,0),0)</f>
        <v>0</v>
      </c>
      <c r="Y638" s="96">
        <f>IF(N638=0,0,IF(OR(Q638=0,T638=0,V638=0,AND(X638=1,J638&lt;&gt;"Sim")),1,0))</f>
        <v>0</v>
      </c>
      <c r="Z638" s="96">
        <f>IF(Q638=1,INDEX('CDFs'!$W$6:$W$505,P638),0)</f>
        <v>0</v>
      </c>
      <c r="AA638" s="96">
        <f>IF(AND(N638=1,Y638=0,Z638=1,J638="Sim"),1,0)</f>
        <v>0</v>
      </c>
      <c r="AB638" s="96">
        <f>IF(AND(N638=1,O638&lt;&gt;"",D638&lt;&gt;""),IF(COUNTIFS($O$6:O638,O638,$D$6:D638,D638)=1,1,0),0)</f>
        <v>0</v>
      </c>
      <c r="AC638" s="96">
        <f>IF(T638=1,INDEX('ITENS_MTR'!$AL$6:$AL$1005,S638),0)</f>
        <v>0</v>
      </c>
    </row>
    <row r="639">
      <c r="A639" s="89" t="inlineStr">
        <is>
          <t>VIN-000634</t>
        </is>
      </c>
      <c r="B639" s="91" t="n"/>
      <c r="C639" s="91" t="n"/>
      <c r="D639" s="94" t="str">
        <f>IF(T639=1,INDEX('ITENS_MTR'!$S$6:$S$1005,S639)&amp;"","")</f>
        <v/>
      </c>
      <c r="E639" s="94" t="str">
        <f>IF(T639=1,INDEX('ITENS_MTR'!$C$6:$C$1005,S639)&amp;"","")</f>
        <v/>
      </c>
      <c r="F639" s="98" t="n"/>
      <c r="G639" s="91" t="n"/>
      <c r="H639" s="93" t="str">
        <f>IF(N639=0,"",IF(NOT(ISNUMBER(F639)),"",IF(ISNUMBER(U639),F639*U639,"UNIDADE A CONFERIR")))</f>
        <v/>
      </c>
      <c r="I639" s="94" t="str">
        <f>IF(Q639=1,INDEX('CDFs'!$F$6:$F$505,P639)&amp;"","")</f>
        <v/>
      </c>
      <c r="J639" s="91" t="n"/>
      <c r="K639" s="91" t="n"/>
      <c r="L639" s="94" t="str">
        <f>IF(N639=0,"",IF(NOT(ISNUMBER(F639)),"Quantidade não informada",IF(F639&lt;=0,"Quantidade não positiva",IF(G639="","Unidade não informada",IF(NOT(ISNUMBER(H639)),"Unidade a conferir",IF(AC639=1,"REVISAR VÍNCULO: soma vinculada maior que a referência do item","OK"))))))</f>
        <v/>
      </c>
      <c r="M639" s="94" t="str">
        <f>IF(N639=0,"",IF(B639="","CDF não informado",IF(Q639=0,"REVISAR VÍNCULO: CDF inexistente",IF(C639="","Item não informado",IF(T639=0,"REVISAR VÍNCULO: item inexistente",IF(AND(X639=1,J639&lt;&gt;"Sim"),"REVISAR VÍNCULO: destinador diferente do MTR",IF(X639=1,"Destinador diferente do MTR (analisado)","OK")))))))</f>
        <v/>
      </c>
      <c r="N639" s="96">
        <f>IF(COUNTA(B639:C639,F639:G639,J639:K639)&gt;0,1,0)</f>
        <v>0</v>
      </c>
      <c r="O639" s="96" t="str">
        <f>IF(B639="","",TRIM(LEFT(B639,FIND(" |",B639&amp;" |")-1)))</f>
        <v/>
      </c>
      <c r="P639" s="96" t="str">
        <f>IF(O639="","",IFERROR(MATCH(O639,'CDFs'!$A$6:$A$505,0),""))</f>
        <v/>
      </c>
      <c r="Q639" s="96">
        <f>IF(P639="",0,IF(INDEX('CDFs'!$S$6:$S$505,P639)=1,1,0))</f>
        <v>0</v>
      </c>
      <c r="R639" s="96" t="str">
        <f>IF(C639="","",TRIM(LEFT(C639,FIND(" |",C639&amp;" |")-1)))</f>
        <v/>
      </c>
      <c r="S639" s="96" t="str">
        <f>IF(R639="","",IFERROR(MATCH(R639,'ITENS_MTR'!$A$6:$A$1005,0),""))</f>
        <v/>
      </c>
      <c r="T639" s="96">
        <f>IF(S639="",0,IF(INDEX('ITENS_MTR'!$R$6:$R$1005,S639)=1,1,0))</f>
        <v>0</v>
      </c>
      <c r="U639" s="96" t="str">
        <f>IF(G639="","",IFERROR(IF(ISNUMBER(INDEX(cfg_fac,MATCH(G639,cfg_units,0))),IF(INDEX(cfg_fac,MATCH(G639,cfg_units,0))&gt;0,INDEX(cfg_fac,MATCH(G639,cfg_units,0)),""),""),""))</f>
        <v/>
      </c>
      <c r="V639" s="96">
        <f>IF(AND(ISNUMBER(F639),ISNUMBER(H639)),IF(H639&gt;0,1,0),0)</f>
        <v>0</v>
      </c>
      <c r="W639" s="96" t="str">
        <f>IF(T639=1,INDEX('ITENS_MTR'!$AU$6:$AU$1005,S639)&amp;"","")</f>
        <v/>
      </c>
      <c r="X639" s="96">
        <f>IF(AND(Q639=1,T639=1,I639&lt;&gt;"",W639&lt;&gt;""),IF(I639&lt;&gt;W639,1,0),0)</f>
        <v>0</v>
      </c>
      <c r="Y639" s="96">
        <f>IF(N639=0,0,IF(OR(Q639=0,T639=0,V639=0,AND(X639=1,J639&lt;&gt;"Sim")),1,0))</f>
        <v>0</v>
      </c>
      <c r="Z639" s="96">
        <f>IF(Q639=1,INDEX('CDFs'!$W$6:$W$505,P639),0)</f>
        <v>0</v>
      </c>
      <c r="AA639" s="96">
        <f>IF(AND(N639=1,Y639=0,Z639=1,J639="Sim"),1,0)</f>
        <v>0</v>
      </c>
      <c r="AB639" s="96">
        <f>IF(AND(N639=1,O639&lt;&gt;"",D639&lt;&gt;""),IF(COUNTIFS($O$6:O639,O639,$D$6:D639,D639)=1,1,0),0)</f>
        <v>0</v>
      </c>
      <c r="AC639" s="96">
        <f>IF(T639=1,INDEX('ITENS_MTR'!$AL$6:$AL$1005,S639),0)</f>
        <v>0</v>
      </c>
    </row>
    <row r="640">
      <c r="A640" s="89" t="inlineStr">
        <is>
          <t>VIN-000635</t>
        </is>
      </c>
      <c r="B640" s="91" t="n"/>
      <c r="C640" s="91" t="n"/>
      <c r="D640" s="94" t="str">
        <f>IF(T640=1,INDEX('ITENS_MTR'!$S$6:$S$1005,S640)&amp;"","")</f>
        <v/>
      </c>
      <c r="E640" s="94" t="str">
        <f>IF(T640=1,INDEX('ITENS_MTR'!$C$6:$C$1005,S640)&amp;"","")</f>
        <v/>
      </c>
      <c r="F640" s="98" t="n"/>
      <c r="G640" s="91" t="n"/>
      <c r="H640" s="93" t="str">
        <f>IF(N640=0,"",IF(NOT(ISNUMBER(F640)),"",IF(ISNUMBER(U640),F640*U640,"UNIDADE A CONFERIR")))</f>
        <v/>
      </c>
      <c r="I640" s="94" t="str">
        <f>IF(Q640=1,INDEX('CDFs'!$F$6:$F$505,P640)&amp;"","")</f>
        <v/>
      </c>
      <c r="J640" s="91" t="n"/>
      <c r="K640" s="91" t="n"/>
      <c r="L640" s="94" t="str">
        <f>IF(N640=0,"",IF(NOT(ISNUMBER(F640)),"Quantidade não informada",IF(F640&lt;=0,"Quantidade não positiva",IF(G640="","Unidade não informada",IF(NOT(ISNUMBER(H640)),"Unidade a conferir",IF(AC640=1,"REVISAR VÍNCULO: soma vinculada maior que a referência do item","OK"))))))</f>
        <v/>
      </c>
      <c r="M640" s="94" t="str">
        <f>IF(N640=0,"",IF(B640="","CDF não informado",IF(Q640=0,"REVISAR VÍNCULO: CDF inexistente",IF(C640="","Item não informado",IF(T640=0,"REVISAR VÍNCULO: item inexistente",IF(AND(X640=1,J640&lt;&gt;"Sim"),"REVISAR VÍNCULO: destinador diferente do MTR",IF(X640=1,"Destinador diferente do MTR (analisado)","OK")))))))</f>
        <v/>
      </c>
      <c r="N640" s="96">
        <f>IF(COUNTA(B640:C640,F640:G640,J640:K640)&gt;0,1,0)</f>
        <v>0</v>
      </c>
      <c r="O640" s="96" t="str">
        <f>IF(B640="","",TRIM(LEFT(B640,FIND(" |",B640&amp;" |")-1)))</f>
        <v/>
      </c>
      <c r="P640" s="96" t="str">
        <f>IF(O640="","",IFERROR(MATCH(O640,'CDFs'!$A$6:$A$505,0),""))</f>
        <v/>
      </c>
      <c r="Q640" s="96">
        <f>IF(P640="",0,IF(INDEX('CDFs'!$S$6:$S$505,P640)=1,1,0))</f>
        <v>0</v>
      </c>
      <c r="R640" s="96" t="str">
        <f>IF(C640="","",TRIM(LEFT(C640,FIND(" |",C640&amp;" |")-1)))</f>
        <v/>
      </c>
      <c r="S640" s="96" t="str">
        <f>IF(R640="","",IFERROR(MATCH(R640,'ITENS_MTR'!$A$6:$A$1005,0),""))</f>
        <v/>
      </c>
      <c r="T640" s="96">
        <f>IF(S640="",0,IF(INDEX('ITENS_MTR'!$R$6:$R$1005,S640)=1,1,0))</f>
        <v>0</v>
      </c>
      <c r="U640" s="96" t="str">
        <f>IF(G640="","",IFERROR(IF(ISNUMBER(INDEX(cfg_fac,MATCH(G640,cfg_units,0))),IF(INDEX(cfg_fac,MATCH(G640,cfg_units,0))&gt;0,INDEX(cfg_fac,MATCH(G640,cfg_units,0)),""),""),""))</f>
        <v/>
      </c>
      <c r="V640" s="96">
        <f>IF(AND(ISNUMBER(F640),ISNUMBER(H640)),IF(H640&gt;0,1,0),0)</f>
        <v>0</v>
      </c>
      <c r="W640" s="96" t="str">
        <f>IF(T640=1,INDEX('ITENS_MTR'!$AU$6:$AU$1005,S640)&amp;"","")</f>
        <v/>
      </c>
      <c r="X640" s="96">
        <f>IF(AND(Q640=1,T640=1,I640&lt;&gt;"",W640&lt;&gt;""),IF(I640&lt;&gt;W640,1,0),0)</f>
        <v>0</v>
      </c>
      <c r="Y640" s="96">
        <f>IF(N640=0,0,IF(OR(Q640=0,T640=0,V640=0,AND(X640=1,J640&lt;&gt;"Sim")),1,0))</f>
        <v>0</v>
      </c>
      <c r="Z640" s="96">
        <f>IF(Q640=1,INDEX('CDFs'!$W$6:$W$505,P640),0)</f>
        <v>0</v>
      </c>
      <c r="AA640" s="96">
        <f>IF(AND(N640=1,Y640=0,Z640=1,J640="Sim"),1,0)</f>
        <v>0</v>
      </c>
      <c r="AB640" s="96">
        <f>IF(AND(N640=1,O640&lt;&gt;"",D640&lt;&gt;""),IF(COUNTIFS($O$6:O640,O640,$D$6:D640,D640)=1,1,0),0)</f>
        <v>0</v>
      </c>
      <c r="AC640" s="96">
        <f>IF(T640=1,INDEX('ITENS_MTR'!$AL$6:$AL$1005,S640),0)</f>
        <v>0</v>
      </c>
    </row>
    <row r="641">
      <c r="A641" s="89" t="inlineStr">
        <is>
          <t>VIN-000636</t>
        </is>
      </c>
      <c r="B641" s="91" t="n"/>
      <c r="C641" s="91" t="n"/>
      <c r="D641" s="94" t="str">
        <f>IF(T641=1,INDEX('ITENS_MTR'!$S$6:$S$1005,S641)&amp;"","")</f>
        <v/>
      </c>
      <c r="E641" s="94" t="str">
        <f>IF(T641=1,INDEX('ITENS_MTR'!$C$6:$C$1005,S641)&amp;"","")</f>
        <v/>
      </c>
      <c r="F641" s="98" t="n"/>
      <c r="G641" s="91" t="n"/>
      <c r="H641" s="93" t="str">
        <f>IF(N641=0,"",IF(NOT(ISNUMBER(F641)),"",IF(ISNUMBER(U641),F641*U641,"UNIDADE A CONFERIR")))</f>
        <v/>
      </c>
      <c r="I641" s="94" t="str">
        <f>IF(Q641=1,INDEX('CDFs'!$F$6:$F$505,P641)&amp;"","")</f>
        <v/>
      </c>
      <c r="J641" s="91" t="n"/>
      <c r="K641" s="91" t="n"/>
      <c r="L641" s="94" t="str">
        <f>IF(N641=0,"",IF(NOT(ISNUMBER(F641)),"Quantidade não informada",IF(F641&lt;=0,"Quantidade não positiva",IF(G641="","Unidade não informada",IF(NOT(ISNUMBER(H641)),"Unidade a conferir",IF(AC641=1,"REVISAR VÍNCULO: soma vinculada maior que a referência do item","OK"))))))</f>
        <v/>
      </c>
      <c r="M641" s="94" t="str">
        <f>IF(N641=0,"",IF(B641="","CDF não informado",IF(Q641=0,"REVISAR VÍNCULO: CDF inexistente",IF(C641="","Item não informado",IF(T641=0,"REVISAR VÍNCULO: item inexistente",IF(AND(X641=1,J641&lt;&gt;"Sim"),"REVISAR VÍNCULO: destinador diferente do MTR",IF(X641=1,"Destinador diferente do MTR (analisado)","OK")))))))</f>
        <v/>
      </c>
      <c r="N641" s="96">
        <f>IF(COUNTA(B641:C641,F641:G641,J641:K641)&gt;0,1,0)</f>
        <v>0</v>
      </c>
      <c r="O641" s="96" t="str">
        <f>IF(B641="","",TRIM(LEFT(B641,FIND(" |",B641&amp;" |")-1)))</f>
        <v/>
      </c>
      <c r="P641" s="96" t="str">
        <f>IF(O641="","",IFERROR(MATCH(O641,'CDFs'!$A$6:$A$505,0),""))</f>
        <v/>
      </c>
      <c r="Q641" s="96">
        <f>IF(P641="",0,IF(INDEX('CDFs'!$S$6:$S$505,P641)=1,1,0))</f>
        <v>0</v>
      </c>
      <c r="R641" s="96" t="str">
        <f>IF(C641="","",TRIM(LEFT(C641,FIND(" |",C641&amp;" |")-1)))</f>
        <v/>
      </c>
      <c r="S641" s="96" t="str">
        <f>IF(R641="","",IFERROR(MATCH(R641,'ITENS_MTR'!$A$6:$A$1005,0),""))</f>
        <v/>
      </c>
      <c r="T641" s="96">
        <f>IF(S641="",0,IF(INDEX('ITENS_MTR'!$R$6:$R$1005,S641)=1,1,0))</f>
        <v>0</v>
      </c>
      <c r="U641" s="96" t="str">
        <f>IF(G641="","",IFERROR(IF(ISNUMBER(INDEX(cfg_fac,MATCH(G641,cfg_units,0))),IF(INDEX(cfg_fac,MATCH(G641,cfg_units,0))&gt;0,INDEX(cfg_fac,MATCH(G641,cfg_units,0)),""),""),""))</f>
        <v/>
      </c>
      <c r="V641" s="96">
        <f>IF(AND(ISNUMBER(F641),ISNUMBER(H641)),IF(H641&gt;0,1,0),0)</f>
        <v>0</v>
      </c>
      <c r="W641" s="96" t="str">
        <f>IF(T641=1,INDEX('ITENS_MTR'!$AU$6:$AU$1005,S641)&amp;"","")</f>
        <v/>
      </c>
      <c r="X641" s="96">
        <f>IF(AND(Q641=1,T641=1,I641&lt;&gt;"",W641&lt;&gt;""),IF(I641&lt;&gt;W641,1,0),0)</f>
        <v>0</v>
      </c>
      <c r="Y641" s="96">
        <f>IF(N641=0,0,IF(OR(Q641=0,T641=0,V641=0,AND(X641=1,J641&lt;&gt;"Sim")),1,0))</f>
        <v>0</v>
      </c>
      <c r="Z641" s="96">
        <f>IF(Q641=1,INDEX('CDFs'!$W$6:$W$505,P641),0)</f>
        <v>0</v>
      </c>
      <c r="AA641" s="96">
        <f>IF(AND(N641=1,Y641=0,Z641=1,J641="Sim"),1,0)</f>
        <v>0</v>
      </c>
      <c r="AB641" s="96">
        <f>IF(AND(N641=1,O641&lt;&gt;"",D641&lt;&gt;""),IF(COUNTIFS($O$6:O641,O641,$D$6:D641,D641)=1,1,0),0)</f>
        <v>0</v>
      </c>
      <c r="AC641" s="96">
        <f>IF(T641=1,INDEX('ITENS_MTR'!$AL$6:$AL$1005,S641),0)</f>
        <v>0</v>
      </c>
    </row>
    <row r="642">
      <c r="A642" s="89" t="inlineStr">
        <is>
          <t>VIN-000637</t>
        </is>
      </c>
      <c r="B642" s="91" t="n"/>
      <c r="C642" s="91" t="n"/>
      <c r="D642" s="94" t="str">
        <f>IF(T642=1,INDEX('ITENS_MTR'!$S$6:$S$1005,S642)&amp;"","")</f>
        <v/>
      </c>
      <c r="E642" s="94" t="str">
        <f>IF(T642=1,INDEX('ITENS_MTR'!$C$6:$C$1005,S642)&amp;"","")</f>
        <v/>
      </c>
      <c r="F642" s="98" t="n"/>
      <c r="G642" s="91" t="n"/>
      <c r="H642" s="93" t="str">
        <f>IF(N642=0,"",IF(NOT(ISNUMBER(F642)),"",IF(ISNUMBER(U642),F642*U642,"UNIDADE A CONFERIR")))</f>
        <v/>
      </c>
      <c r="I642" s="94" t="str">
        <f>IF(Q642=1,INDEX('CDFs'!$F$6:$F$505,P642)&amp;"","")</f>
        <v/>
      </c>
      <c r="J642" s="91" t="n"/>
      <c r="K642" s="91" t="n"/>
      <c r="L642" s="94" t="str">
        <f>IF(N642=0,"",IF(NOT(ISNUMBER(F642)),"Quantidade não informada",IF(F642&lt;=0,"Quantidade não positiva",IF(G642="","Unidade não informada",IF(NOT(ISNUMBER(H642)),"Unidade a conferir",IF(AC642=1,"REVISAR VÍNCULO: soma vinculada maior que a referência do item","OK"))))))</f>
        <v/>
      </c>
      <c r="M642" s="94" t="str">
        <f>IF(N642=0,"",IF(B642="","CDF não informado",IF(Q642=0,"REVISAR VÍNCULO: CDF inexistente",IF(C642="","Item não informado",IF(T642=0,"REVISAR VÍNCULO: item inexistente",IF(AND(X642=1,J642&lt;&gt;"Sim"),"REVISAR VÍNCULO: destinador diferente do MTR",IF(X642=1,"Destinador diferente do MTR (analisado)","OK")))))))</f>
        <v/>
      </c>
      <c r="N642" s="96">
        <f>IF(COUNTA(B642:C642,F642:G642,J642:K642)&gt;0,1,0)</f>
        <v>0</v>
      </c>
      <c r="O642" s="96" t="str">
        <f>IF(B642="","",TRIM(LEFT(B642,FIND(" |",B642&amp;" |")-1)))</f>
        <v/>
      </c>
      <c r="P642" s="96" t="str">
        <f>IF(O642="","",IFERROR(MATCH(O642,'CDFs'!$A$6:$A$505,0),""))</f>
        <v/>
      </c>
      <c r="Q642" s="96">
        <f>IF(P642="",0,IF(INDEX('CDFs'!$S$6:$S$505,P642)=1,1,0))</f>
        <v>0</v>
      </c>
      <c r="R642" s="96" t="str">
        <f>IF(C642="","",TRIM(LEFT(C642,FIND(" |",C642&amp;" |")-1)))</f>
        <v/>
      </c>
      <c r="S642" s="96" t="str">
        <f>IF(R642="","",IFERROR(MATCH(R642,'ITENS_MTR'!$A$6:$A$1005,0),""))</f>
        <v/>
      </c>
      <c r="T642" s="96">
        <f>IF(S642="",0,IF(INDEX('ITENS_MTR'!$R$6:$R$1005,S642)=1,1,0))</f>
        <v>0</v>
      </c>
      <c r="U642" s="96" t="str">
        <f>IF(G642="","",IFERROR(IF(ISNUMBER(INDEX(cfg_fac,MATCH(G642,cfg_units,0))),IF(INDEX(cfg_fac,MATCH(G642,cfg_units,0))&gt;0,INDEX(cfg_fac,MATCH(G642,cfg_units,0)),""),""),""))</f>
        <v/>
      </c>
      <c r="V642" s="96">
        <f>IF(AND(ISNUMBER(F642),ISNUMBER(H642)),IF(H642&gt;0,1,0),0)</f>
        <v>0</v>
      </c>
      <c r="W642" s="96" t="str">
        <f>IF(T642=1,INDEX('ITENS_MTR'!$AU$6:$AU$1005,S642)&amp;"","")</f>
        <v/>
      </c>
      <c r="X642" s="96">
        <f>IF(AND(Q642=1,T642=1,I642&lt;&gt;"",W642&lt;&gt;""),IF(I642&lt;&gt;W642,1,0),0)</f>
        <v>0</v>
      </c>
      <c r="Y642" s="96">
        <f>IF(N642=0,0,IF(OR(Q642=0,T642=0,V642=0,AND(X642=1,J642&lt;&gt;"Sim")),1,0))</f>
        <v>0</v>
      </c>
      <c r="Z642" s="96">
        <f>IF(Q642=1,INDEX('CDFs'!$W$6:$W$505,P642),0)</f>
        <v>0</v>
      </c>
      <c r="AA642" s="96">
        <f>IF(AND(N642=1,Y642=0,Z642=1,J642="Sim"),1,0)</f>
        <v>0</v>
      </c>
      <c r="AB642" s="96">
        <f>IF(AND(N642=1,O642&lt;&gt;"",D642&lt;&gt;""),IF(COUNTIFS($O$6:O642,O642,$D$6:D642,D642)=1,1,0),0)</f>
        <v>0</v>
      </c>
      <c r="AC642" s="96">
        <f>IF(T642=1,INDEX('ITENS_MTR'!$AL$6:$AL$1005,S642),0)</f>
        <v>0</v>
      </c>
    </row>
    <row r="643">
      <c r="A643" s="89" t="inlineStr">
        <is>
          <t>VIN-000638</t>
        </is>
      </c>
      <c r="B643" s="91" t="n"/>
      <c r="C643" s="91" t="n"/>
      <c r="D643" s="94" t="str">
        <f>IF(T643=1,INDEX('ITENS_MTR'!$S$6:$S$1005,S643)&amp;"","")</f>
        <v/>
      </c>
      <c r="E643" s="94" t="str">
        <f>IF(T643=1,INDEX('ITENS_MTR'!$C$6:$C$1005,S643)&amp;"","")</f>
        <v/>
      </c>
      <c r="F643" s="98" t="n"/>
      <c r="G643" s="91" t="n"/>
      <c r="H643" s="93" t="str">
        <f>IF(N643=0,"",IF(NOT(ISNUMBER(F643)),"",IF(ISNUMBER(U643),F643*U643,"UNIDADE A CONFERIR")))</f>
        <v/>
      </c>
      <c r="I643" s="94" t="str">
        <f>IF(Q643=1,INDEX('CDFs'!$F$6:$F$505,P643)&amp;"","")</f>
        <v/>
      </c>
      <c r="J643" s="91" t="n"/>
      <c r="K643" s="91" t="n"/>
      <c r="L643" s="94" t="str">
        <f>IF(N643=0,"",IF(NOT(ISNUMBER(F643)),"Quantidade não informada",IF(F643&lt;=0,"Quantidade não positiva",IF(G643="","Unidade não informada",IF(NOT(ISNUMBER(H643)),"Unidade a conferir",IF(AC643=1,"REVISAR VÍNCULO: soma vinculada maior que a referência do item","OK"))))))</f>
        <v/>
      </c>
      <c r="M643" s="94" t="str">
        <f>IF(N643=0,"",IF(B643="","CDF não informado",IF(Q643=0,"REVISAR VÍNCULO: CDF inexistente",IF(C643="","Item não informado",IF(T643=0,"REVISAR VÍNCULO: item inexistente",IF(AND(X643=1,J643&lt;&gt;"Sim"),"REVISAR VÍNCULO: destinador diferente do MTR",IF(X643=1,"Destinador diferente do MTR (analisado)","OK")))))))</f>
        <v/>
      </c>
      <c r="N643" s="96">
        <f>IF(COUNTA(B643:C643,F643:G643,J643:K643)&gt;0,1,0)</f>
        <v>0</v>
      </c>
      <c r="O643" s="96" t="str">
        <f>IF(B643="","",TRIM(LEFT(B643,FIND(" |",B643&amp;" |")-1)))</f>
        <v/>
      </c>
      <c r="P643" s="96" t="str">
        <f>IF(O643="","",IFERROR(MATCH(O643,'CDFs'!$A$6:$A$505,0),""))</f>
        <v/>
      </c>
      <c r="Q643" s="96">
        <f>IF(P643="",0,IF(INDEX('CDFs'!$S$6:$S$505,P643)=1,1,0))</f>
        <v>0</v>
      </c>
      <c r="R643" s="96" t="str">
        <f>IF(C643="","",TRIM(LEFT(C643,FIND(" |",C643&amp;" |")-1)))</f>
        <v/>
      </c>
      <c r="S643" s="96" t="str">
        <f>IF(R643="","",IFERROR(MATCH(R643,'ITENS_MTR'!$A$6:$A$1005,0),""))</f>
        <v/>
      </c>
      <c r="T643" s="96">
        <f>IF(S643="",0,IF(INDEX('ITENS_MTR'!$R$6:$R$1005,S643)=1,1,0))</f>
        <v>0</v>
      </c>
      <c r="U643" s="96" t="str">
        <f>IF(G643="","",IFERROR(IF(ISNUMBER(INDEX(cfg_fac,MATCH(G643,cfg_units,0))),IF(INDEX(cfg_fac,MATCH(G643,cfg_units,0))&gt;0,INDEX(cfg_fac,MATCH(G643,cfg_units,0)),""),""),""))</f>
        <v/>
      </c>
      <c r="V643" s="96">
        <f>IF(AND(ISNUMBER(F643),ISNUMBER(H643)),IF(H643&gt;0,1,0),0)</f>
        <v>0</v>
      </c>
      <c r="W643" s="96" t="str">
        <f>IF(T643=1,INDEX('ITENS_MTR'!$AU$6:$AU$1005,S643)&amp;"","")</f>
        <v/>
      </c>
      <c r="X643" s="96">
        <f>IF(AND(Q643=1,T643=1,I643&lt;&gt;"",W643&lt;&gt;""),IF(I643&lt;&gt;W643,1,0),0)</f>
        <v>0</v>
      </c>
      <c r="Y643" s="96">
        <f>IF(N643=0,0,IF(OR(Q643=0,T643=0,V643=0,AND(X643=1,J643&lt;&gt;"Sim")),1,0))</f>
        <v>0</v>
      </c>
      <c r="Z643" s="96">
        <f>IF(Q643=1,INDEX('CDFs'!$W$6:$W$505,P643),0)</f>
        <v>0</v>
      </c>
      <c r="AA643" s="96">
        <f>IF(AND(N643=1,Y643=0,Z643=1,J643="Sim"),1,0)</f>
        <v>0</v>
      </c>
      <c r="AB643" s="96">
        <f>IF(AND(N643=1,O643&lt;&gt;"",D643&lt;&gt;""),IF(COUNTIFS($O$6:O643,O643,$D$6:D643,D643)=1,1,0),0)</f>
        <v>0</v>
      </c>
      <c r="AC643" s="96">
        <f>IF(T643=1,INDEX('ITENS_MTR'!$AL$6:$AL$1005,S643),0)</f>
        <v>0</v>
      </c>
    </row>
    <row r="644">
      <c r="A644" s="89" t="inlineStr">
        <is>
          <t>VIN-000639</t>
        </is>
      </c>
      <c r="B644" s="91" t="n"/>
      <c r="C644" s="91" t="n"/>
      <c r="D644" s="94" t="str">
        <f>IF(T644=1,INDEX('ITENS_MTR'!$S$6:$S$1005,S644)&amp;"","")</f>
        <v/>
      </c>
      <c r="E644" s="94" t="str">
        <f>IF(T644=1,INDEX('ITENS_MTR'!$C$6:$C$1005,S644)&amp;"","")</f>
        <v/>
      </c>
      <c r="F644" s="98" t="n"/>
      <c r="G644" s="91" t="n"/>
      <c r="H644" s="93" t="str">
        <f>IF(N644=0,"",IF(NOT(ISNUMBER(F644)),"",IF(ISNUMBER(U644),F644*U644,"UNIDADE A CONFERIR")))</f>
        <v/>
      </c>
      <c r="I644" s="94" t="str">
        <f>IF(Q644=1,INDEX('CDFs'!$F$6:$F$505,P644)&amp;"","")</f>
        <v/>
      </c>
      <c r="J644" s="91" t="n"/>
      <c r="K644" s="91" t="n"/>
      <c r="L644" s="94" t="str">
        <f>IF(N644=0,"",IF(NOT(ISNUMBER(F644)),"Quantidade não informada",IF(F644&lt;=0,"Quantidade não positiva",IF(G644="","Unidade não informada",IF(NOT(ISNUMBER(H644)),"Unidade a conferir",IF(AC644=1,"REVISAR VÍNCULO: soma vinculada maior que a referência do item","OK"))))))</f>
        <v/>
      </c>
      <c r="M644" s="94" t="str">
        <f>IF(N644=0,"",IF(B644="","CDF não informado",IF(Q644=0,"REVISAR VÍNCULO: CDF inexistente",IF(C644="","Item não informado",IF(T644=0,"REVISAR VÍNCULO: item inexistente",IF(AND(X644=1,J644&lt;&gt;"Sim"),"REVISAR VÍNCULO: destinador diferente do MTR",IF(X644=1,"Destinador diferente do MTR (analisado)","OK")))))))</f>
        <v/>
      </c>
      <c r="N644" s="96">
        <f>IF(COUNTA(B644:C644,F644:G644,J644:K644)&gt;0,1,0)</f>
        <v>0</v>
      </c>
      <c r="O644" s="96" t="str">
        <f>IF(B644="","",TRIM(LEFT(B644,FIND(" |",B644&amp;" |")-1)))</f>
        <v/>
      </c>
      <c r="P644" s="96" t="str">
        <f>IF(O644="","",IFERROR(MATCH(O644,'CDFs'!$A$6:$A$505,0),""))</f>
        <v/>
      </c>
      <c r="Q644" s="96">
        <f>IF(P644="",0,IF(INDEX('CDFs'!$S$6:$S$505,P644)=1,1,0))</f>
        <v>0</v>
      </c>
      <c r="R644" s="96" t="str">
        <f>IF(C644="","",TRIM(LEFT(C644,FIND(" |",C644&amp;" |")-1)))</f>
        <v/>
      </c>
      <c r="S644" s="96" t="str">
        <f>IF(R644="","",IFERROR(MATCH(R644,'ITENS_MTR'!$A$6:$A$1005,0),""))</f>
        <v/>
      </c>
      <c r="T644" s="96">
        <f>IF(S644="",0,IF(INDEX('ITENS_MTR'!$R$6:$R$1005,S644)=1,1,0))</f>
        <v>0</v>
      </c>
      <c r="U644" s="96" t="str">
        <f>IF(G644="","",IFERROR(IF(ISNUMBER(INDEX(cfg_fac,MATCH(G644,cfg_units,0))),IF(INDEX(cfg_fac,MATCH(G644,cfg_units,0))&gt;0,INDEX(cfg_fac,MATCH(G644,cfg_units,0)),""),""),""))</f>
        <v/>
      </c>
      <c r="V644" s="96">
        <f>IF(AND(ISNUMBER(F644),ISNUMBER(H644)),IF(H644&gt;0,1,0),0)</f>
        <v>0</v>
      </c>
      <c r="W644" s="96" t="str">
        <f>IF(T644=1,INDEX('ITENS_MTR'!$AU$6:$AU$1005,S644)&amp;"","")</f>
        <v/>
      </c>
      <c r="X644" s="96">
        <f>IF(AND(Q644=1,T644=1,I644&lt;&gt;"",W644&lt;&gt;""),IF(I644&lt;&gt;W644,1,0),0)</f>
        <v>0</v>
      </c>
      <c r="Y644" s="96">
        <f>IF(N644=0,0,IF(OR(Q644=0,T644=0,V644=0,AND(X644=1,J644&lt;&gt;"Sim")),1,0))</f>
        <v>0</v>
      </c>
      <c r="Z644" s="96">
        <f>IF(Q644=1,INDEX('CDFs'!$W$6:$W$505,P644),0)</f>
        <v>0</v>
      </c>
      <c r="AA644" s="96">
        <f>IF(AND(N644=1,Y644=0,Z644=1,J644="Sim"),1,0)</f>
        <v>0</v>
      </c>
      <c r="AB644" s="96">
        <f>IF(AND(N644=1,O644&lt;&gt;"",D644&lt;&gt;""),IF(COUNTIFS($O$6:O644,O644,$D$6:D644,D644)=1,1,0),0)</f>
        <v>0</v>
      </c>
      <c r="AC644" s="96">
        <f>IF(T644=1,INDEX('ITENS_MTR'!$AL$6:$AL$1005,S644),0)</f>
        <v>0</v>
      </c>
    </row>
    <row r="645">
      <c r="A645" s="89" t="inlineStr">
        <is>
          <t>VIN-000640</t>
        </is>
      </c>
      <c r="B645" s="91" t="n"/>
      <c r="C645" s="91" t="n"/>
      <c r="D645" s="94" t="str">
        <f>IF(T645=1,INDEX('ITENS_MTR'!$S$6:$S$1005,S645)&amp;"","")</f>
        <v/>
      </c>
      <c r="E645" s="94" t="str">
        <f>IF(T645=1,INDEX('ITENS_MTR'!$C$6:$C$1005,S645)&amp;"","")</f>
        <v/>
      </c>
      <c r="F645" s="98" t="n"/>
      <c r="G645" s="91" t="n"/>
      <c r="H645" s="93" t="str">
        <f>IF(N645=0,"",IF(NOT(ISNUMBER(F645)),"",IF(ISNUMBER(U645),F645*U645,"UNIDADE A CONFERIR")))</f>
        <v/>
      </c>
      <c r="I645" s="94" t="str">
        <f>IF(Q645=1,INDEX('CDFs'!$F$6:$F$505,P645)&amp;"","")</f>
        <v/>
      </c>
      <c r="J645" s="91" t="n"/>
      <c r="K645" s="91" t="n"/>
      <c r="L645" s="94" t="str">
        <f>IF(N645=0,"",IF(NOT(ISNUMBER(F645)),"Quantidade não informada",IF(F645&lt;=0,"Quantidade não positiva",IF(G645="","Unidade não informada",IF(NOT(ISNUMBER(H645)),"Unidade a conferir",IF(AC645=1,"REVISAR VÍNCULO: soma vinculada maior que a referência do item","OK"))))))</f>
        <v/>
      </c>
      <c r="M645" s="94" t="str">
        <f>IF(N645=0,"",IF(B645="","CDF não informado",IF(Q645=0,"REVISAR VÍNCULO: CDF inexistente",IF(C645="","Item não informado",IF(T645=0,"REVISAR VÍNCULO: item inexistente",IF(AND(X645=1,J645&lt;&gt;"Sim"),"REVISAR VÍNCULO: destinador diferente do MTR",IF(X645=1,"Destinador diferente do MTR (analisado)","OK")))))))</f>
        <v/>
      </c>
      <c r="N645" s="96">
        <f>IF(COUNTA(B645:C645,F645:G645,J645:K645)&gt;0,1,0)</f>
        <v>0</v>
      </c>
      <c r="O645" s="96" t="str">
        <f>IF(B645="","",TRIM(LEFT(B645,FIND(" |",B645&amp;" |")-1)))</f>
        <v/>
      </c>
      <c r="P645" s="96" t="str">
        <f>IF(O645="","",IFERROR(MATCH(O645,'CDFs'!$A$6:$A$505,0),""))</f>
        <v/>
      </c>
      <c r="Q645" s="96">
        <f>IF(P645="",0,IF(INDEX('CDFs'!$S$6:$S$505,P645)=1,1,0))</f>
        <v>0</v>
      </c>
      <c r="R645" s="96" t="str">
        <f>IF(C645="","",TRIM(LEFT(C645,FIND(" |",C645&amp;" |")-1)))</f>
        <v/>
      </c>
      <c r="S645" s="96" t="str">
        <f>IF(R645="","",IFERROR(MATCH(R645,'ITENS_MTR'!$A$6:$A$1005,0),""))</f>
        <v/>
      </c>
      <c r="T645" s="96">
        <f>IF(S645="",0,IF(INDEX('ITENS_MTR'!$R$6:$R$1005,S645)=1,1,0))</f>
        <v>0</v>
      </c>
      <c r="U645" s="96" t="str">
        <f>IF(G645="","",IFERROR(IF(ISNUMBER(INDEX(cfg_fac,MATCH(G645,cfg_units,0))),IF(INDEX(cfg_fac,MATCH(G645,cfg_units,0))&gt;0,INDEX(cfg_fac,MATCH(G645,cfg_units,0)),""),""),""))</f>
        <v/>
      </c>
      <c r="V645" s="96">
        <f>IF(AND(ISNUMBER(F645),ISNUMBER(H645)),IF(H645&gt;0,1,0),0)</f>
        <v>0</v>
      </c>
      <c r="W645" s="96" t="str">
        <f>IF(T645=1,INDEX('ITENS_MTR'!$AU$6:$AU$1005,S645)&amp;"","")</f>
        <v/>
      </c>
      <c r="X645" s="96">
        <f>IF(AND(Q645=1,T645=1,I645&lt;&gt;"",W645&lt;&gt;""),IF(I645&lt;&gt;W645,1,0),0)</f>
        <v>0</v>
      </c>
      <c r="Y645" s="96">
        <f>IF(N645=0,0,IF(OR(Q645=0,T645=0,V645=0,AND(X645=1,J645&lt;&gt;"Sim")),1,0))</f>
        <v>0</v>
      </c>
      <c r="Z645" s="96">
        <f>IF(Q645=1,INDEX('CDFs'!$W$6:$W$505,P645),0)</f>
        <v>0</v>
      </c>
      <c r="AA645" s="96">
        <f>IF(AND(N645=1,Y645=0,Z645=1,J645="Sim"),1,0)</f>
        <v>0</v>
      </c>
      <c r="AB645" s="96">
        <f>IF(AND(N645=1,O645&lt;&gt;"",D645&lt;&gt;""),IF(COUNTIFS($O$6:O645,O645,$D$6:D645,D645)=1,1,0),0)</f>
        <v>0</v>
      </c>
      <c r="AC645" s="96">
        <f>IF(T645=1,INDEX('ITENS_MTR'!$AL$6:$AL$1005,S645),0)</f>
        <v>0</v>
      </c>
    </row>
    <row r="646">
      <c r="A646" s="89" t="inlineStr">
        <is>
          <t>VIN-000641</t>
        </is>
      </c>
      <c r="B646" s="91" t="n"/>
      <c r="C646" s="91" t="n"/>
      <c r="D646" s="94" t="str">
        <f>IF(T646=1,INDEX('ITENS_MTR'!$S$6:$S$1005,S646)&amp;"","")</f>
        <v/>
      </c>
      <c r="E646" s="94" t="str">
        <f>IF(T646=1,INDEX('ITENS_MTR'!$C$6:$C$1005,S646)&amp;"","")</f>
        <v/>
      </c>
      <c r="F646" s="98" t="n"/>
      <c r="G646" s="91" t="n"/>
      <c r="H646" s="93" t="str">
        <f>IF(N646=0,"",IF(NOT(ISNUMBER(F646)),"",IF(ISNUMBER(U646),F646*U646,"UNIDADE A CONFERIR")))</f>
        <v/>
      </c>
      <c r="I646" s="94" t="str">
        <f>IF(Q646=1,INDEX('CDFs'!$F$6:$F$505,P646)&amp;"","")</f>
        <v/>
      </c>
      <c r="J646" s="91" t="n"/>
      <c r="K646" s="91" t="n"/>
      <c r="L646" s="94" t="str">
        <f>IF(N646=0,"",IF(NOT(ISNUMBER(F646)),"Quantidade não informada",IF(F646&lt;=0,"Quantidade não positiva",IF(G646="","Unidade não informada",IF(NOT(ISNUMBER(H646)),"Unidade a conferir",IF(AC646=1,"REVISAR VÍNCULO: soma vinculada maior que a referência do item","OK"))))))</f>
        <v/>
      </c>
      <c r="M646" s="94" t="str">
        <f>IF(N646=0,"",IF(B646="","CDF não informado",IF(Q646=0,"REVISAR VÍNCULO: CDF inexistente",IF(C646="","Item não informado",IF(T646=0,"REVISAR VÍNCULO: item inexistente",IF(AND(X646=1,J646&lt;&gt;"Sim"),"REVISAR VÍNCULO: destinador diferente do MTR",IF(X646=1,"Destinador diferente do MTR (analisado)","OK")))))))</f>
        <v/>
      </c>
      <c r="N646" s="96">
        <f>IF(COUNTA(B646:C646,F646:G646,J646:K646)&gt;0,1,0)</f>
        <v>0</v>
      </c>
      <c r="O646" s="96" t="str">
        <f>IF(B646="","",TRIM(LEFT(B646,FIND(" |",B646&amp;" |")-1)))</f>
        <v/>
      </c>
      <c r="P646" s="96" t="str">
        <f>IF(O646="","",IFERROR(MATCH(O646,'CDFs'!$A$6:$A$505,0),""))</f>
        <v/>
      </c>
      <c r="Q646" s="96">
        <f>IF(P646="",0,IF(INDEX('CDFs'!$S$6:$S$505,P646)=1,1,0))</f>
        <v>0</v>
      </c>
      <c r="R646" s="96" t="str">
        <f>IF(C646="","",TRIM(LEFT(C646,FIND(" |",C646&amp;" |")-1)))</f>
        <v/>
      </c>
      <c r="S646" s="96" t="str">
        <f>IF(R646="","",IFERROR(MATCH(R646,'ITENS_MTR'!$A$6:$A$1005,0),""))</f>
        <v/>
      </c>
      <c r="T646" s="96">
        <f>IF(S646="",0,IF(INDEX('ITENS_MTR'!$R$6:$R$1005,S646)=1,1,0))</f>
        <v>0</v>
      </c>
      <c r="U646" s="96" t="str">
        <f>IF(G646="","",IFERROR(IF(ISNUMBER(INDEX(cfg_fac,MATCH(G646,cfg_units,0))),IF(INDEX(cfg_fac,MATCH(G646,cfg_units,0))&gt;0,INDEX(cfg_fac,MATCH(G646,cfg_units,0)),""),""),""))</f>
        <v/>
      </c>
      <c r="V646" s="96">
        <f>IF(AND(ISNUMBER(F646),ISNUMBER(H646)),IF(H646&gt;0,1,0),0)</f>
        <v>0</v>
      </c>
      <c r="W646" s="96" t="str">
        <f>IF(T646=1,INDEX('ITENS_MTR'!$AU$6:$AU$1005,S646)&amp;"","")</f>
        <v/>
      </c>
      <c r="X646" s="96">
        <f>IF(AND(Q646=1,T646=1,I646&lt;&gt;"",W646&lt;&gt;""),IF(I646&lt;&gt;W646,1,0),0)</f>
        <v>0</v>
      </c>
      <c r="Y646" s="96">
        <f>IF(N646=0,0,IF(OR(Q646=0,T646=0,V646=0,AND(X646=1,J646&lt;&gt;"Sim")),1,0))</f>
        <v>0</v>
      </c>
      <c r="Z646" s="96">
        <f>IF(Q646=1,INDEX('CDFs'!$W$6:$W$505,P646),0)</f>
        <v>0</v>
      </c>
      <c r="AA646" s="96">
        <f>IF(AND(N646=1,Y646=0,Z646=1,J646="Sim"),1,0)</f>
        <v>0</v>
      </c>
      <c r="AB646" s="96">
        <f>IF(AND(N646=1,O646&lt;&gt;"",D646&lt;&gt;""),IF(COUNTIFS($O$6:O646,O646,$D$6:D646,D646)=1,1,0),0)</f>
        <v>0</v>
      </c>
      <c r="AC646" s="96">
        <f>IF(T646=1,INDEX('ITENS_MTR'!$AL$6:$AL$1005,S646),0)</f>
        <v>0</v>
      </c>
    </row>
    <row r="647">
      <c r="A647" s="89" t="inlineStr">
        <is>
          <t>VIN-000642</t>
        </is>
      </c>
      <c r="B647" s="91" t="n"/>
      <c r="C647" s="91" t="n"/>
      <c r="D647" s="94" t="str">
        <f>IF(T647=1,INDEX('ITENS_MTR'!$S$6:$S$1005,S647)&amp;"","")</f>
        <v/>
      </c>
      <c r="E647" s="94" t="str">
        <f>IF(T647=1,INDEX('ITENS_MTR'!$C$6:$C$1005,S647)&amp;"","")</f>
        <v/>
      </c>
      <c r="F647" s="98" t="n"/>
      <c r="G647" s="91" t="n"/>
      <c r="H647" s="93" t="str">
        <f>IF(N647=0,"",IF(NOT(ISNUMBER(F647)),"",IF(ISNUMBER(U647),F647*U647,"UNIDADE A CONFERIR")))</f>
        <v/>
      </c>
      <c r="I647" s="94" t="str">
        <f>IF(Q647=1,INDEX('CDFs'!$F$6:$F$505,P647)&amp;"","")</f>
        <v/>
      </c>
      <c r="J647" s="91" t="n"/>
      <c r="K647" s="91" t="n"/>
      <c r="L647" s="94" t="str">
        <f>IF(N647=0,"",IF(NOT(ISNUMBER(F647)),"Quantidade não informada",IF(F647&lt;=0,"Quantidade não positiva",IF(G647="","Unidade não informada",IF(NOT(ISNUMBER(H647)),"Unidade a conferir",IF(AC647=1,"REVISAR VÍNCULO: soma vinculada maior que a referência do item","OK"))))))</f>
        <v/>
      </c>
      <c r="M647" s="94" t="str">
        <f>IF(N647=0,"",IF(B647="","CDF não informado",IF(Q647=0,"REVISAR VÍNCULO: CDF inexistente",IF(C647="","Item não informado",IF(T647=0,"REVISAR VÍNCULO: item inexistente",IF(AND(X647=1,J647&lt;&gt;"Sim"),"REVISAR VÍNCULO: destinador diferente do MTR",IF(X647=1,"Destinador diferente do MTR (analisado)","OK")))))))</f>
        <v/>
      </c>
      <c r="N647" s="96">
        <f>IF(COUNTA(B647:C647,F647:G647,J647:K647)&gt;0,1,0)</f>
        <v>0</v>
      </c>
      <c r="O647" s="96" t="str">
        <f>IF(B647="","",TRIM(LEFT(B647,FIND(" |",B647&amp;" |")-1)))</f>
        <v/>
      </c>
      <c r="P647" s="96" t="str">
        <f>IF(O647="","",IFERROR(MATCH(O647,'CDFs'!$A$6:$A$505,0),""))</f>
        <v/>
      </c>
      <c r="Q647" s="96">
        <f>IF(P647="",0,IF(INDEX('CDFs'!$S$6:$S$505,P647)=1,1,0))</f>
        <v>0</v>
      </c>
      <c r="R647" s="96" t="str">
        <f>IF(C647="","",TRIM(LEFT(C647,FIND(" |",C647&amp;" |")-1)))</f>
        <v/>
      </c>
      <c r="S647" s="96" t="str">
        <f>IF(R647="","",IFERROR(MATCH(R647,'ITENS_MTR'!$A$6:$A$1005,0),""))</f>
        <v/>
      </c>
      <c r="T647" s="96">
        <f>IF(S647="",0,IF(INDEX('ITENS_MTR'!$R$6:$R$1005,S647)=1,1,0))</f>
        <v>0</v>
      </c>
      <c r="U647" s="96" t="str">
        <f>IF(G647="","",IFERROR(IF(ISNUMBER(INDEX(cfg_fac,MATCH(G647,cfg_units,0))),IF(INDEX(cfg_fac,MATCH(G647,cfg_units,0))&gt;0,INDEX(cfg_fac,MATCH(G647,cfg_units,0)),""),""),""))</f>
        <v/>
      </c>
      <c r="V647" s="96">
        <f>IF(AND(ISNUMBER(F647),ISNUMBER(H647)),IF(H647&gt;0,1,0),0)</f>
        <v>0</v>
      </c>
      <c r="W647" s="96" t="str">
        <f>IF(T647=1,INDEX('ITENS_MTR'!$AU$6:$AU$1005,S647)&amp;"","")</f>
        <v/>
      </c>
      <c r="X647" s="96">
        <f>IF(AND(Q647=1,T647=1,I647&lt;&gt;"",W647&lt;&gt;""),IF(I647&lt;&gt;W647,1,0),0)</f>
        <v>0</v>
      </c>
      <c r="Y647" s="96">
        <f>IF(N647=0,0,IF(OR(Q647=0,T647=0,V647=0,AND(X647=1,J647&lt;&gt;"Sim")),1,0))</f>
        <v>0</v>
      </c>
      <c r="Z647" s="96">
        <f>IF(Q647=1,INDEX('CDFs'!$W$6:$W$505,P647),0)</f>
        <v>0</v>
      </c>
      <c r="AA647" s="96">
        <f>IF(AND(N647=1,Y647=0,Z647=1,J647="Sim"),1,0)</f>
        <v>0</v>
      </c>
      <c r="AB647" s="96">
        <f>IF(AND(N647=1,O647&lt;&gt;"",D647&lt;&gt;""),IF(COUNTIFS($O$6:O647,O647,$D$6:D647,D647)=1,1,0),0)</f>
        <v>0</v>
      </c>
      <c r="AC647" s="96">
        <f>IF(T647=1,INDEX('ITENS_MTR'!$AL$6:$AL$1005,S647),0)</f>
        <v>0</v>
      </c>
    </row>
    <row r="648">
      <c r="A648" s="89" t="inlineStr">
        <is>
          <t>VIN-000643</t>
        </is>
      </c>
      <c r="B648" s="91" t="n"/>
      <c r="C648" s="91" t="n"/>
      <c r="D648" s="94" t="str">
        <f>IF(T648=1,INDEX('ITENS_MTR'!$S$6:$S$1005,S648)&amp;"","")</f>
        <v/>
      </c>
      <c r="E648" s="94" t="str">
        <f>IF(T648=1,INDEX('ITENS_MTR'!$C$6:$C$1005,S648)&amp;"","")</f>
        <v/>
      </c>
      <c r="F648" s="98" t="n"/>
      <c r="G648" s="91" t="n"/>
      <c r="H648" s="93" t="str">
        <f>IF(N648=0,"",IF(NOT(ISNUMBER(F648)),"",IF(ISNUMBER(U648),F648*U648,"UNIDADE A CONFERIR")))</f>
        <v/>
      </c>
      <c r="I648" s="94" t="str">
        <f>IF(Q648=1,INDEX('CDFs'!$F$6:$F$505,P648)&amp;"","")</f>
        <v/>
      </c>
      <c r="J648" s="91" t="n"/>
      <c r="K648" s="91" t="n"/>
      <c r="L648" s="94" t="str">
        <f>IF(N648=0,"",IF(NOT(ISNUMBER(F648)),"Quantidade não informada",IF(F648&lt;=0,"Quantidade não positiva",IF(G648="","Unidade não informada",IF(NOT(ISNUMBER(H648)),"Unidade a conferir",IF(AC648=1,"REVISAR VÍNCULO: soma vinculada maior que a referência do item","OK"))))))</f>
        <v/>
      </c>
      <c r="M648" s="94" t="str">
        <f>IF(N648=0,"",IF(B648="","CDF não informado",IF(Q648=0,"REVISAR VÍNCULO: CDF inexistente",IF(C648="","Item não informado",IF(T648=0,"REVISAR VÍNCULO: item inexistente",IF(AND(X648=1,J648&lt;&gt;"Sim"),"REVISAR VÍNCULO: destinador diferente do MTR",IF(X648=1,"Destinador diferente do MTR (analisado)","OK")))))))</f>
        <v/>
      </c>
      <c r="N648" s="96">
        <f>IF(COUNTA(B648:C648,F648:G648,J648:K648)&gt;0,1,0)</f>
        <v>0</v>
      </c>
      <c r="O648" s="96" t="str">
        <f>IF(B648="","",TRIM(LEFT(B648,FIND(" |",B648&amp;" |")-1)))</f>
        <v/>
      </c>
      <c r="P648" s="96" t="str">
        <f>IF(O648="","",IFERROR(MATCH(O648,'CDFs'!$A$6:$A$505,0),""))</f>
        <v/>
      </c>
      <c r="Q648" s="96">
        <f>IF(P648="",0,IF(INDEX('CDFs'!$S$6:$S$505,P648)=1,1,0))</f>
        <v>0</v>
      </c>
      <c r="R648" s="96" t="str">
        <f>IF(C648="","",TRIM(LEFT(C648,FIND(" |",C648&amp;" |")-1)))</f>
        <v/>
      </c>
      <c r="S648" s="96" t="str">
        <f>IF(R648="","",IFERROR(MATCH(R648,'ITENS_MTR'!$A$6:$A$1005,0),""))</f>
        <v/>
      </c>
      <c r="T648" s="96">
        <f>IF(S648="",0,IF(INDEX('ITENS_MTR'!$R$6:$R$1005,S648)=1,1,0))</f>
        <v>0</v>
      </c>
      <c r="U648" s="96" t="str">
        <f>IF(G648="","",IFERROR(IF(ISNUMBER(INDEX(cfg_fac,MATCH(G648,cfg_units,0))),IF(INDEX(cfg_fac,MATCH(G648,cfg_units,0))&gt;0,INDEX(cfg_fac,MATCH(G648,cfg_units,0)),""),""),""))</f>
        <v/>
      </c>
      <c r="V648" s="96">
        <f>IF(AND(ISNUMBER(F648),ISNUMBER(H648)),IF(H648&gt;0,1,0),0)</f>
        <v>0</v>
      </c>
      <c r="W648" s="96" t="str">
        <f>IF(T648=1,INDEX('ITENS_MTR'!$AU$6:$AU$1005,S648)&amp;"","")</f>
        <v/>
      </c>
      <c r="X648" s="96">
        <f>IF(AND(Q648=1,T648=1,I648&lt;&gt;"",W648&lt;&gt;""),IF(I648&lt;&gt;W648,1,0),0)</f>
        <v>0</v>
      </c>
      <c r="Y648" s="96">
        <f>IF(N648=0,0,IF(OR(Q648=0,T648=0,V648=0,AND(X648=1,J648&lt;&gt;"Sim")),1,0))</f>
        <v>0</v>
      </c>
      <c r="Z648" s="96">
        <f>IF(Q648=1,INDEX('CDFs'!$W$6:$W$505,P648),0)</f>
        <v>0</v>
      </c>
      <c r="AA648" s="96">
        <f>IF(AND(N648=1,Y648=0,Z648=1,J648="Sim"),1,0)</f>
        <v>0</v>
      </c>
      <c r="AB648" s="96">
        <f>IF(AND(N648=1,O648&lt;&gt;"",D648&lt;&gt;""),IF(COUNTIFS($O$6:O648,O648,$D$6:D648,D648)=1,1,0),0)</f>
        <v>0</v>
      </c>
      <c r="AC648" s="96">
        <f>IF(T648=1,INDEX('ITENS_MTR'!$AL$6:$AL$1005,S648),0)</f>
        <v>0</v>
      </c>
    </row>
    <row r="649">
      <c r="A649" s="89" t="inlineStr">
        <is>
          <t>VIN-000644</t>
        </is>
      </c>
      <c r="B649" s="91" t="n"/>
      <c r="C649" s="91" t="n"/>
      <c r="D649" s="94" t="str">
        <f>IF(T649=1,INDEX('ITENS_MTR'!$S$6:$S$1005,S649)&amp;"","")</f>
        <v/>
      </c>
      <c r="E649" s="94" t="str">
        <f>IF(T649=1,INDEX('ITENS_MTR'!$C$6:$C$1005,S649)&amp;"","")</f>
        <v/>
      </c>
      <c r="F649" s="98" t="n"/>
      <c r="G649" s="91" t="n"/>
      <c r="H649" s="93" t="str">
        <f>IF(N649=0,"",IF(NOT(ISNUMBER(F649)),"",IF(ISNUMBER(U649),F649*U649,"UNIDADE A CONFERIR")))</f>
        <v/>
      </c>
      <c r="I649" s="94" t="str">
        <f>IF(Q649=1,INDEX('CDFs'!$F$6:$F$505,P649)&amp;"","")</f>
        <v/>
      </c>
      <c r="J649" s="91" t="n"/>
      <c r="K649" s="91" t="n"/>
      <c r="L649" s="94" t="str">
        <f>IF(N649=0,"",IF(NOT(ISNUMBER(F649)),"Quantidade não informada",IF(F649&lt;=0,"Quantidade não positiva",IF(G649="","Unidade não informada",IF(NOT(ISNUMBER(H649)),"Unidade a conferir",IF(AC649=1,"REVISAR VÍNCULO: soma vinculada maior que a referência do item","OK"))))))</f>
        <v/>
      </c>
      <c r="M649" s="94" t="str">
        <f>IF(N649=0,"",IF(B649="","CDF não informado",IF(Q649=0,"REVISAR VÍNCULO: CDF inexistente",IF(C649="","Item não informado",IF(T649=0,"REVISAR VÍNCULO: item inexistente",IF(AND(X649=1,J649&lt;&gt;"Sim"),"REVISAR VÍNCULO: destinador diferente do MTR",IF(X649=1,"Destinador diferente do MTR (analisado)","OK")))))))</f>
        <v/>
      </c>
      <c r="N649" s="96">
        <f>IF(COUNTA(B649:C649,F649:G649,J649:K649)&gt;0,1,0)</f>
        <v>0</v>
      </c>
      <c r="O649" s="96" t="str">
        <f>IF(B649="","",TRIM(LEFT(B649,FIND(" |",B649&amp;" |")-1)))</f>
        <v/>
      </c>
      <c r="P649" s="96" t="str">
        <f>IF(O649="","",IFERROR(MATCH(O649,'CDFs'!$A$6:$A$505,0),""))</f>
        <v/>
      </c>
      <c r="Q649" s="96">
        <f>IF(P649="",0,IF(INDEX('CDFs'!$S$6:$S$505,P649)=1,1,0))</f>
        <v>0</v>
      </c>
      <c r="R649" s="96" t="str">
        <f>IF(C649="","",TRIM(LEFT(C649,FIND(" |",C649&amp;" |")-1)))</f>
        <v/>
      </c>
      <c r="S649" s="96" t="str">
        <f>IF(R649="","",IFERROR(MATCH(R649,'ITENS_MTR'!$A$6:$A$1005,0),""))</f>
        <v/>
      </c>
      <c r="T649" s="96">
        <f>IF(S649="",0,IF(INDEX('ITENS_MTR'!$R$6:$R$1005,S649)=1,1,0))</f>
        <v>0</v>
      </c>
      <c r="U649" s="96" t="str">
        <f>IF(G649="","",IFERROR(IF(ISNUMBER(INDEX(cfg_fac,MATCH(G649,cfg_units,0))),IF(INDEX(cfg_fac,MATCH(G649,cfg_units,0))&gt;0,INDEX(cfg_fac,MATCH(G649,cfg_units,0)),""),""),""))</f>
        <v/>
      </c>
      <c r="V649" s="96">
        <f>IF(AND(ISNUMBER(F649),ISNUMBER(H649)),IF(H649&gt;0,1,0),0)</f>
        <v>0</v>
      </c>
      <c r="W649" s="96" t="str">
        <f>IF(T649=1,INDEX('ITENS_MTR'!$AU$6:$AU$1005,S649)&amp;"","")</f>
        <v/>
      </c>
      <c r="X649" s="96">
        <f>IF(AND(Q649=1,T649=1,I649&lt;&gt;"",W649&lt;&gt;""),IF(I649&lt;&gt;W649,1,0),0)</f>
        <v>0</v>
      </c>
      <c r="Y649" s="96">
        <f>IF(N649=0,0,IF(OR(Q649=0,T649=0,V649=0,AND(X649=1,J649&lt;&gt;"Sim")),1,0))</f>
        <v>0</v>
      </c>
      <c r="Z649" s="96">
        <f>IF(Q649=1,INDEX('CDFs'!$W$6:$W$505,P649),0)</f>
        <v>0</v>
      </c>
      <c r="AA649" s="96">
        <f>IF(AND(N649=1,Y649=0,Z649=1,J649="Sim"),1,0)</f>
        <v>0</v>
      </c>
      <c r="AB649" s="96">
        <f>IF(AND(N649=1,O649&lt;&gt;"",D649&lt;&gt;""),IF(COUNTIFS($O$6:O649,O649,$D$6:D649,D649)=1,1,0),0)</f>
        <v>0</v>
      </c>
      <c r="AC649" s="96">
        <f>IF(T649=1,INDEX('ITENS_MTR'!$AL$6:$AL$1005,S649),0)</f>
        <v>0</v>
      </c>
    </row>
    <row r="650">
      <c r="A650" s="89" t="inlineStr">
        <is>
          <t>VIN-000645</t>
        </is>
      </c>
      <c r="B650" s="91" t="n"/>
      <c r="C650" s="91" t="n"/>
      <c r="D650" s="94" t="str">
        <f>IF(T650=1,INDEX('ITENS_MTR'!$S$6:$S$1005,S650)&amp;"","")</f>
        <v/>
      </c>
      <c r="E650" s="94" t="str">
        <f>IF(T650=1,INDEX('ITENS_MTR'!$C$6:$C$1005,S650)&amp;"","")</f>
        <v/>
      </c>
      <c r="F650" s="98" t="n"/>
      <c r="G650" s="91" t="n"/>
      <c r="H650" s="93" t="str">
        <f>IF(N650=0,"",IF(NOT(ISNUMBER(F650)),"",IF(ISNUMBER(U650),F650*U650,"UNIDADE A CONFERIR")))</f>
        <v/>
      </c>
      <c r="I650" s="94" t="str">
        <f>IF(Q650=1,INDEX('CDFs'!$F$6:$F$505,P650)&amp;"","")</f>
        <v/>
      </c>
      <c r="J650" s="91" t="n"/>
      <c r="K650" s="91" t="n"/>
      <c r="L650" s="94" t="str">
        <f>IF(N650=0,"",IF(NOT(ISNUMBER(F650)),"Quantidade não informada",IF(F650&lt;=0,"Quantidade não positiva",IF(G650="","Unidade não informada",IF(NOT(ISNUMBER(H650)),"Unidade a conferir",IF(AC650=1,"REVISAR VÍNCULO: soma vinculada maior que a referência do item","OK"))))))</f>
        <v/>
      </c>
      <c r="M650" s="94" t="str">
        <f>IF(N650=0,"",IF(B650="","CDF não informado",IF(Q650=0,"REVISAR VÍNCULO: CDF inexistente",IF(C650="","Item não informado",IF(T650=0,"REVISAR VÍNCULO: item inexistente",IF(AND(X650=1,J650&lt;&gt;"Sim"),"REVISAR VÍNCULO: destinador diferente do MTR",IF(X650=1,"Destinador diferente do MTR (analisado)","OK")))))))</f>
        <v/>
      </c>
      <c r="N650" s="96">
        <f>IF(COUNTA(B650:C650,F650:G650,J650:K650)&gt;0,1,0)</f>
        <v>0</v>
      </c>
      <c r="O650" s="96" t="str">
        <f>IF(B650="","",TRIM(LEFT(B650,FIND(" |",B650&amp;" |")-1)))</f>
        <v/>
      </c>
      <c r="P650" s="96" t="str">
        <f>IF(O650="","",IFERROR(MATCH(O650,'CDFs'!$A$6:$A$505,0),""))</f>
        <v/>
      </c>
      <c r="Q650" s="96">
        <f>IF(P650="",0,IF(INDEX('CDFs'!$S$6:$S$505,P650)=1,1,0))</f>
        <v>0</v>
      </c>
      <c r="R650" s="96" t="str">
        <f>IF(C650="","",TRIM(LEFT(C650,FIND(" |",C650&amp;" |")-1)))</f>
        <v/>
      </c>
      <c r="S650" s="96" t="str">
        <f>IF(R650="","",IFERROR(MATCH(R650,'ITENS_MTR'!$A$6:$A$1005,0),""))</f>
        <v/>
      </c>
      <c r="T650" s="96">
        <f>IF(S650="",0,IF(INDEX('ITENS_MTR'!$R$6:$R$1005,S650)=1,1,0))</f>
        <v>0</v>
      </c>
      <c r="U650" s="96" t="str">
        <f>IF(G650="","",IFERROR(IF(ISNUMBER(INDEX(cfg_fac,MATCH(G650,cfg_units,0))),IF(INDEX(cfg_fac,MATCH(G650,cfg_units,0))&gt;0,INDEX(cfg_fac,MATCH(G650,cfg_units,0)),""),""),""))</f>
        <v/>
      </c>
      <c r="V650" s="96">
        <f>IF(AND(ISNUMBER(F650),ISNUMBER(H650)),IF(H650&gt;0,1,0),0)</f>
        <v>0</v>
      </c>
      <c r="W650" s="96" t="str">
        <f>IF(T650=1,INDEX('ITENS_MTR'!$AU$6:$AU$1005,S650)&amp;"","")</f>
        <v/>
      </c>
      <c r="X650" s="96">
        <f>IF(AND(Q650=1,T650=1,I650&lt;&gt;"",W650&lt;&gt;""),IF(I650&lt;&gt;W650,1,0),0)</f>
        <v>0</v>
      </c>
      <c r="Y650" s="96">
        <f>IF(N650=0,0,IF(OR(Q650=0,T650=0,V650=0,AND(X650=1,J650&lt;&gt;"Sim")),1,0))</f>
        <v>0</v>
      </c>
      <c r="Z650" s="96">
        <f>IF(Q650=1,INDEX('CDFs'!$W$6:$W$505,P650),0)</f>
        <v>0</v>
      </c>
      <c r="AA650" s="96">
        <f>IF(AND(N650=1,Y650=0,Z650=1,J650="Sim"),1,0)</f>
        <v>0</v>
      </c>
      <c r="AB650" s="96">
        <f>IF(AND(N650=1,O650&lt;&gt;"",D650&lt;&gt;""),IF(COUNTIFS($O$6:O650,O650,$D$6:D650,D650)=1,1,0),0)</f>
        <v>0</v>
      </c>
      <c r="AC650" s="96">
        <f>IF(T650=1,INDEX('ITENS_MTR'!$AL$6:$AL$1005,S650),0)</f>
        <v>0</v>
      </c>
    </row>
    <row r="651">
      <c r="A651" s="89" t="inlineStr">
        <is>
          <t>VIN-000646</t>
        </is>
      </c>
      <c r="B651" s="91" t="n"/>
      <c r="C651" s="91" t="n"/>
      <c r="D651" s="94" t="str">
        <f>IF(T651=1,INDEX('ITENS_MTR'!$S$6:$S$1005,S651)&amp;"","")</f>
        <v/>
      </c>
      <c r="E651" s="94" t="str">
        <f>IF(T651=1,INDEX('ITENS_MTR'!$C$6:$C$1005,S651)&amp;"","")</f>
        <v/>
      </c>
      <c r="F651" s="98" t="n"/>
      <c r="G651" s="91" t="n"/>
      <c r="H651" s="93" t="str">
        <f>IF(N651=0,"",IF(NOT(ISNUMBER(F651)),"",IF(ISNUMBER(U651),F651*U651,"UNIDADE A CONFERIR")))</f>
        <v/>
      </c>
      <c r="I651" s="94" t="str">
        <f>IF(Q651=1,INDEX('CDFs'!$F$6:$F$505,P651)&amp;"","")</f>
        <v/>
      </c>
      <c r="J651" s="91" t="n"/>
      <c r="K651" s="91" t="n"/>
      <c r="L651" s="94" t="str">
        <f>IF(N651=0,"",IF(NOT(ISNUMBER(F651)),"Quantidade não informada",IF(F651&lt;=0,"Quantidade não positiva",IF(G651="","Unidade não informada",IF(NOT(ISNUMBER(H651)),"Unidade a conferir",IF(AC651=1,"REVISAR VÍNCULO: soma vinculada maior que a referência do item","OK"))))))</f>
        <v/>
      </c>
      <c r="M651" s="94" t="str">
        <f>IF(N651=0,"",IF(B651="","CDF não informado",IF(Q651=0,"REVISAR VÍNCULO: CDF inexistente",IF(C651="","Item não informado",IF(T651=0,"REVISAR VÍNCULO: item inexistente",IF(AND(X651=1,J651&lt;&gt;"Sim"),"REVISAR VÍNCULO: destinador diferente do MTR",IF(X651=1,"Destinador diferente do MTR (analisado)","OK")))))))</f>
        <v/>
      </c>
      <c r="N651" s="96">
        <f>IF(COUNTA(B651:C651,F651:G651,J651:K651)&gt;0,1,0)</f>
        <v>0</v>
      </c>
      <c r="O651" s="96" t="str">
        <f>IF(B651="","",TRIM(LEFT(B651,FIND(" |",B651&amp;" |")-1)))</f>
        <v/>
      </c>
      <c r="P651" s="96" t="str">
        <f>IF(O651="","",IFERROR(MATCH(O651,'CDFs'!$A$6:$A$505,0),""))</f>
        <v/>
      </c>
      <c r="Q651" s="96">
        <f>IF(P651="",0,IF(INDEX('CDFs'!$S$6:$S$505,P651)=1,1,0))</f>
        <v>0</v>
      </c>
      <c r="R651" s="96" t="str">
        <f>IF(C651="","",TRIM(LEFT(C651,FIND(" |",C651&amp;" |")-1)))</f>
        <v/>
      </c>
      <c r="S651" s="96" t="str">
        <f>IF(R651="","",IFERROR(MATCH(R651,'ITENS_MTR'!$A$6:$A$1005,0),""))</f>
        <v/>
      </c>
      <c r="T651" s="96">
        <f>IF(S651="",0,IF(INDEX('ITENS_MTR'!$R$6:$R$1005,S651)=1,1,0))</f>
        <v>0</v>
      </c>
      <c r="U651" s="96" t="str">
        <f>IF(G651="","",IFERROR(IF(ISNUMBER(INDEX(cfg_fac,MATCH(G651,cfg_units,0))),IF(INDEX(cfg_fac,MATCH(G651,cfg_units,0))&gt;0,INDEX(cfg_fac,MATCH(G651,cfg_units,0)),""),""),""))</f>
        <v/>
      </c>
      <c r="V651" s="96">
        <f>IF(AND(ISNUMBER(F651),ISNUMBER(H651)),IF(H651&gt;0,1,0),0)</f>
        <v>0</v>
      </c>
      <c r="W651" s="96" t="str">
        <f>IF(T651=1,INDEX('ITENS_MTR'!$AU$6:$AU$1005,S651)&amp;"","")</f>
        <v/>
      </c>
      <c r="X651" s="96">
        <f>IF(AND(Q651=1,T651=1,I651&lt;&gt;"",W651&lt;&gt;""),IF(I651&lt;&gt;W651,1,0),0)</f>
        <v>0</v>
      </c>
      <c r="Y651" s="96">
        <f>IF(N651=0,0,IF(OR(Q651=0,T651=0,V651=0,AND(X651=1,J651&lt;&gt;"Sim")),1,0))</f>
        <v>0</v>
      </c>
      <c r="Z651" s="96">
        <f>IF(Q651=1,INDEX('CDFs'!$W$6:$W$505,P651),0)</f>
        <v>0</v>
      </c>
      <c r="AA651" s="96">
        <f>IF(AND(N651=1,Y651=0,Z651=1,J651="Sim"),1,0)</f>
        <v>0</v>
      </c>
      <c r="AB651" s="96">
        <f>IF(AND(N651=1,O651&lt;&gt;"",D651&lt;&gt;""),IF(COUNTIFS($O$6:O651,O651,$D$6:D651,D651)=1,1,0),0)</f>
        <v>0</v>
      </c>
      <c r="AC651" s="96">
        <f>IF(T651=1,INDEX('ITENS_MTR'!$AL$6:$AL$1005,S651),0)</f>
        <v>0</v>
      </c>
    </row>
    <row r="652">
      <c r="A652" s="89" t="inlineStr">
        <is>
          <t>VIN-000647</t>
        </is>
      </c>
      <c r="B652" s="91" t="n"/>
      <c r="C652" s="91" t="n"/>
      <c r="D652" s="94" t="str">
        <f>IF(T652=1,INDEX('ITENS_MTR'!$S$6:$S$1005,S652)&amp;"","")</f>
        <v/>
      </c>
      <c r="E652" s="94" t="str">
        <f>IF(T652=1,INDEX('ITENS_MTR'!$C$6:$C$1005,S652)&amp;"","")</f>
        <v/>
      </c>
      <c r="F652" s="98" t="n"/>
      <c r="G652" s="91" t="n"/>
      <c r="H652" s="93" t="str">
        <f>IF(N652=0,"",IF(NOT(ISNUMBER(F652)),"",IF(ISNUMBER(U652),F652*U652,"UNIDADE A CONFERIR")))</f>
        <v/>
      </c>
      <c r="I652" s="94" t="str">
        <f>IF(Q652=1,INDEX('CDFs'!$F$6:$F$505,P652)&amp;"","")</f>
        <v/>
      </c>
      <c r="J652" s="91" t="n"/>
      <c r="K652" s="91" t="n"/>
      <c r="L652" s="94" t="str">
        <f>IF(N652=0,"",IF(NOT(ISNUMBER(F652)),"Quantidade não informada",IF(F652&lt;=0,"Quantidade não positiva",IF(G652="","Unidade não informada",IF(NOT(ISNUMBER(H652)),"Unidade a conferir",IF(AC652=1,"REVISAR VÍNCULO: soma vinculada maior que a referência do item","OK"))))))</f>
        <v/>
      </c>
      <c r="M652" s="94" t="str">
        <f>IF(N652=0,"",IF(B652="","CDF não informado",IF(Q652=0,"REVISAR VÍNCULO: CDF inexistente",IF(C652="","Item não informado",IF(T652=0,"REVISAR VÍNCULO: item inexistente",IF(AND(X652=1,J652&lt;&gt;"Sim"),"REVISAR VÍNCULO: destinador diferente do MTR",IF(X652=1,"Destinador diferente do MTR (analisado)","OK")))))))</f>
        <v/>
      </c>
      <c r="N652" s="96">
        <f>IF(COUNTA(B652:C652,F652:G652,J652:K652)&gt;0,1,0)</f>
        <v>0</v>
      </c>
      <c r="O652" s="96" t="str">
        <f>IF(B652="","",TRIM(LEFT(B652,FIND(" |",B652&amp;" |")-1)))</f>
        <v/>
      </c>
      <c r="P652" s="96" t="str">
        <f>IF(O652="","",IFERROR(MATCH(O652,'CDFs'!$A$6:$A$505,0),""))</f>
        <v/>
      </c>
      <c r="Q652" s="96">
        <f>IF(P652="",0,IF(INDEX('CDFs'!$S$6:$S$505,P652)=1,1,0))</f>
        <v>0</v>
      </c>
      <c r="R652" s="96" t="str">
        <f>IF(C652="","",TRIM(LEFT(C652,FIND(" |",C652&amp;" |")-1)))</f>
        <v/>
      </c>
      <c r="S652" s="96" t="str">
        <f>IF(R652="","",IFERROR(MATCH(R652,'ITENS_MTR'!$A$6:$A$1005,0),""))</f>
        <v/>
      </c>
      <c r="T652" s="96">
        <f>IF(S652="",0,IF(INDEX('ITENS_MTR'!$R$6:$R$1005,S652)=1,1,0))</f>
        <v>0</v>
      </c>
      <c r="U652" s="96" t="str">
        <f>IF(G652="","",IFERROR(IF(ISNUMBER(INDEX(cfg_fac,MATCH(G652,cfg_units,0))),IF(INDEX(cfg_fac,MATCH(G652,cfg_units,0))&gt;0,INDEX(cfg_fac,MATCH(G652,cfg_units,0)),""),""),""))</f>
        <v/>
      </c>
      <c r="V652" s="96">
        <f>IF(AND(ISNUMBER(F652),ISNUMBER(H652)),IF(H652&gt;0,1,0),0)</f>
        <v>0</v>
      </c>
      <c r="W652" s="96" t="str">
        <f>IF(T652=1,INDEX('ITENS_MTR'!$AU$6:$AU$1005,S652)&amp;"","")</f>
        <v/>
      </c>
      <c r="X652" s="96">
        <f>IF(AND(Q652=1,T652=1,I652&lt;&gt;"",W652&lt;&gt;""),IF(I652&lt;&gt;W652,1,0),0)</f>
        <v>0</v>
      </c>
      <c r="Y652" s="96">
        <f>IF(N652=0,0,IF(OR(Q652=0,T652=0,V652=0,AND(X652=1,J652&lt;&gt;"Sim")),1,0))</f>
        <v>0</v>
      </c>
      <c r="Z652" s="96">
        <f>IF(Q652=1,INDEX('CDFs'!$W$6:$W$505,P652),0)</f>
        <v>0</v>
      </c>
      <c r="AA652" s="96">
        <f>IF(AND(N652=1,Y652=0,Z652=1,J652="Sim"),1,0)</f>
        <v>0</v>
      </c>
      <c r="AB652" s="96">
        <f>IF(AND(N652=1,O652&lt;&gt;"",D652&lt;&gt;""),IF(COUNTIFS($O$6:O652,O652,$D$6:D652,D652)=1,1,0),0)</f>
        <v>0</v>
      </c>
      <c r="AC652" s="96">
        <f>IF(T652=1,INDEX('ITENS_MTR'!$AL$6:$AL$1005,S652),0)</f>
        <v>0</v>
      </c>
    </row>
    <row r="653">
      <c r="A653" s="89" t="inlineStr">
        <is>
          <t>VIN-000648</t>
        </is>
      </c>
      <c r="B653" s="91" t="n"/>
      <c r="C653" s="91" t="n"/>
      <c r="D653" s="94" t="str">
        <f>IF(T653=1,INDEX('ITENS_MTR'!$S$6:$S$1005,S653)&amp;"","")</f>
        <v/>
      </c>
      <c r="E653" s="94" t="str">
        <f>IF(T653=1,INDEX('ITENS_MTR'!$C$6:$C$1005,S653)&amp;"","")</f>
        <v/>
      </c>
      <c r="F653" s="98" t="n"/>
      <c r="G653" s="91" t="n"/>
      <c r="H653" s="93" t="str">
        <f>IF(N653=0,"",IF(NOT(ISNUMBER(F653)),"",IF(ISNUMBER(U653),F653*U653,"UNIDADE A CONFERIR")))</f>
        <v/>
      </c>
      <c r="I653" s="94" t="str">
        <f>IF(Q653=1,INDEX('CDFs'!$F$6:$F$505,P653)&amp;"","")</f>
        <v/>
      </c>
      <c r="J653" s="91" t="n"/>
      <c r="K653" s="91" t="n"/>
      <c r="L653" s="94" t="str">
        <f>IF(N653=0,"",IF(NOT(ISNUMBER(F653)),"Quantidade não informada",IF(F653&lt;=0,"Quantidade não positiva",IF(G653="","Unidade não informada",IF(NOT(ISNUMBER(H653)),"Unidade a conferir",IF(AC653=1,"REVISAR VÍNCULO: soma vinculada maior que a referência do item","OK"))))))</f>
        <v/>
      </c>
      <c r="M653" s="94" t="str">
        <f>IF(N653=0,"",IF(B653="","CDF não informado",IF(Q653=0,"REVISAR VÍNCULO: CDF inexistente",IF(C653="","Item não informado",IF(T653=0,"REVISAR VÍNCULO: item inexistente",IF(AND(X653=1,J653&lt;&gt;"Sim"),"REVISAR VÍNCULO: destinador diferente do MTR",IF(X653=1,"Destinador diferente do MTR (analisado)","OK")))))))</f>
        <v/>
      </c>
      <c r="N653" s="96">
        <f>IF(COUNTA(B653:C653,F653:G653,J653:K653)&gt;0,1,0)</f>
        <v>0</v>
      </c>
      <c r="O653" s="96" t="str">
        <f>IF(B653="","",TRIM(LEFT(B653,FIND(" |",B653&amp;" |")-1)))</f>
        <v/>
      </c>
      <c r="P653" s="96" t="str">
        <f>IF(O653="","",IFERROR(MATCH(O653,'CDFs'!$A$6:$A$505,0),""))</f>
        <v/>
      </c>
      <c r="Q653" s="96">
        <f>IF(P653="",0,IF(INDEX('CDFs'!$S$6:$S$505,P653)=1,1,0))</f>
        <v>0</v>
      </c>
      <c r="R653" s="96" t="str">
        <f>IF(C653="","",TRIM(LEFT(C653,FIND(" |",C653&amp;" |")-1)))</f>
        <v/>
      </c>
      <c r="S653" s="96" t="str">
        <f>IF(R653="","",IFERROR(MATCH(R653,'ITENS_MTR'!$A$6:$A$1005,0),""))</f>
        <v/>
      </c>
      <c r="T653" s="96">
        <f>IF(S653="",0,IF(INDEX('ITENS_MTR'!$R$6:$R$1005,S653)=1,1,0))</f>
        <v>0</v>
      </c>
      <c r="U653" s="96" t="str">
        <f>IF(G653="","",IFERROR(IF(ISNUMBER(INDEX(cfg_fac,MATCH(G653,cfg_units,0))),IF(INDEX(cfg_fac,MATCH(G653,cfg_units,0))&gt;0,INDEX(cfg_fac,MATCH(G653,cfg_units,0)),""),""),""))</f>
        <v/>
      </c>
      <c r="V653" s="96">
        <f>IF(AND(ISNUMBER(F653),ISNUMBER(H653)),IF(H653&gt;0,1,0),0)</f>
        <v>0</v>
      </c>
      <c r="W653" s="96" t="str">
        <f>IF(T653=1,INDEX('ITENS_MTR'!$AU$6:$AU$1005,S653)&amp;"","")</f>
        <v/>
      </c>
      <c r="X653" s="96">
        <f>IF(AND(Q653=1,T653=1,I653&lt;&gt;"",W653&lt;&gt;""),IF(I653&lt;&gt;W653,1,0),0)</f>
        <v>0</v>
      </c>
      <c r="Y653" s="96">
        <f>IF(N653=0,0,IF(OR(Q653=0,T653=0,V653=0,AND(X653=1,J653&lt;&gt;"Sim")),1,0))</f>
        <v>0</v>
      </c>
      <c r="Z653" s="96">
        <f>IF(Q653=1,INDEX('CDFs'!$W$6:$W$505,P653),0)</f>
        <v>0</v>
      </c>
      <c r="AA653" s="96">
        <f>IF(AND(N653=1,Y653=0,Z653=1,J653="Sim"),1,0)</f>
        <v>0</v>
      </c>
      <c r="AB653" s="96">
        <f>IF(AND(N653=1,O653&lt;&gt;"",D653&lt;&gt;""),IF(COUNTIFS($O$6:O653,O653,$D$6:D653,D653)=1,1,0),0)</f>
        <v>0</v>
      </c>
      <c r="AC653" s="96">
        <f>IF(T653=1,INDEX('ITENS_MTR'!$AL$6:$AL$1005,S653),0)</f>
        <v>0</v>
      </c>
    </row>
    <row r="654">
      <c r="A654" s="89" t="inlineStr">
        <is>
          <t>VIN-000649</t>
        </is>
      </c>
      <c r="B654" s="91" t="n"/>
      <c r="C654" s="91" t="n"/>
      <c r="D654" s="94" t="str">
        <f>IF(T654=1,INDEX('ITENS_MTR'!$S$6:$S$1005,S654)&amp;"","")</f>
        <v/>
      </c>
      <c r="E654" s="94" t="str">
        <f>IF(T654=1,INDEX('ITENS_MTR'!$C$6:$C$1005,S654)&amp;"","")</f>
        <v/>
      </c>
      <c r="F654" s="98" t="n"/>
      <c r="G654" s="91" t="n"/>
      <c r="H654" s="93" t="str">
        <f>IF(N654=0,"",IF(NOT(ISNUMBER(F654)),"",IF(ISNUMBER(U654),F654*U654,"UNIDADE A CONFERIR")))</f>
        <v/>
      </c>
      <c r="I654" s="94" t="str">
        <f>IF(Q654=1,INDEX('CDFs'!$F$6:$F$505,P654)&amp;"","")</f>
        <v/>
      </c>
      <c r="J654" s="91" t="n"/>
      <c r="K654" s="91" t="n"/>
      <c r="L654" s="94" t="str">
        <f>IF(N654=0,"",IF(NOT(ISNUMBER(F654)),"Quantidade não informada",IF(F654&lt;=0,"Quantidade não positiva",IF(G654="","Unidade não informada",IF(NOT(ISNUMBER(H654)),"Unidade a conferir",IF(AC654=1,"REVISAR VÍNCULO: soma vinculada maior que a referência do item","OK"))))))</f>
        <v/>
      </c>
      <c r="M654" s="94" t="str">
        <f>IF(N654=0,"",IF(B654="","CDF não informado",IF(Q654=0,"REVISAR VÍNCULO: CDF inexistente",IF(C654="","Item não informado",IF(T654=0,"REVISAR VÍNCULO: item inexistente",IF(AND(X654=1,J654&lt;&gt;"Sim"),"REVISAR VÍNCULO: destinador diferente do MTR",IF(X654=1,"Destinador diferente do MTR (analisado)","OK")))))))</f>
        <v/>
      </c>
      <c r="N654" s="96">
        <f>IF(COUNTA(B654:C654,F654:G654,J654:K654)&gt;0,1,0)</f>
        <v>0</v>
      </c>
      <c r="O654" s="96" t="str">
        <f>IF(B654="","",TRIM(LEFT(B654,FIND(" |",B654&amp;" |")-1)))</f>
        <v/>
      </c>
      <c r="P654" s="96" t="str">
        <f>IF(O654="","",IFERROR(MATCH(O654,'CDFs'!$A$6:$A$505,0),""))</f>
        <v/>
      </c>
      <c r="Q654" s="96">
        <f>IF(P654="",0,IF(INDEX('CDFs'!$S$6:$S$505,P654)=1,1,0))</f>
        <v>0</v>
      </c>
      <c r="R654" s="96" t="str">
        <f>IF(C654="","",TRIM(LEFT(C654,FIND(" |",C654&amp;" |")-1)))</f>
        <v/>
      </c>
      <c r="S654" s="96" t="str">
        <f>IF(R654="","",IFERROR(MATCH(R654,'ITENS_MTR'!$A$6:$A$1005,0),""))</f>
        <v/>
      </c>
      <c r="T654" s="96">
        <f>IF(S654="",0,IF(INDEX('ITENS_MTR'!$R$6:$R$1005,S654)=1,1,0))</f>
        <v>0</v>
      </c>
      <c r="U654" s="96" t="str">
        <f>IF(G654="","",IFERROR(IF(ISNUMBER(INDEX(cfg_fac,MATCH(G654,cfg_units,0))),IF(INDEX(cfg_fac,MATCH(G654,cfg_units,0))&gt;0,INDEX(cfg_fac,MATCH(G654,cfg_units,0)),""),""),""))</f>
        <v/>
      </c>
      <c r="V654" s="96">
        <f>IF(AND(ISNUMBER(F654),ISNUMBER(H654)),IF(H654&gt;0,1,0),0)</f>
        <v>0</v>
      </c>
      <c r="W654" s="96" t="str">
        <f>IF(T654=1,INDEX('ITENS_MTR'!$AU$6:$AU$1005,S654)&amp;"","")</f>
        <v/>
      </c>
      <c r="X654" s="96">
        <f>IF(AND(Q654=1,T654=1,I654&lt;&gt;"",W654&lt;&gt;""),IF(I654&lt;&gt;W654,1,0),0)</f>
        <v>0</v>
      </c>
      <c r="Y654" s="96">
        <f>IF(N654=0,0,IF(OR(Q654=0,T654=0,V654=0,AND(X654=1,J654&lt;&gt;"Sim")),1,0))</f>
        <v>0</v>
      </c>
      <c r="Z654" s="96">
        <f>IF(Q654=1,INDEX('CDFs'!$W$6:$W$505,P654),0)</f>
        <v>0</v>
      </c>
      <c r="AA654" s="96">
        <f>IF(AND(N654=1,Y654=0,Z654=1,J654="Sim"),1,0)</f>
        <v>0</v>
      </c>
      <c r="AB654" s="96">
        <f>IF(AND(N654=1,O654&lt;&gt;"",D654&lt;&gt;""),IF(COUNTIFS($O$6:O654,O654,$D$6:D654,D654)=1,1,0),0)</f>
        <v>0</v>
      </c>
      <c r="AC654" s="96">
        <f>IF(T654=1,INDEX('ITENS_MTR'!$AL$6:$AL$1005,S654),0)</f>
        <v>0</v>
      </c>
    </row>
    <row r="655">
      <c r="A655" s="89" t="inlineStr">
        <is>
          <t>VIN-000650</t>
        </is>
      </c>
      <c r="B655" s="91" t="n"/>
      <c r="C655" s="91" t="n"/>
      <c r="D655" s="94" t="str">
        <f>IF(T655=1,INDEX('ITENS_MTR'!$S$6:$S$1005,S655)&amp;"","")</f>
        <v/>
      </c>
      <c r="E655" s="94" t="str">
        <f>IF(T655=1,INDEX('ITENS_MTR'!$C$6:$C$1005,S655)&amp;"","")</f>
        <v/>
      </c>
      <c r="F655" s="98" t="n"/>
      <c r="G655" s="91" t="n"/>
      <c r="H655" s="93" t="str">
        <f>IF(N655=0,"",IF(NOT(ISNUMBER(F655)),"",IF(ISNUMBER(U655),F655*U655,"UNIDADE A CONFERIR")))</f>
        <v/>
      </c>
      <c r="I655" s="94" t="str">
        <f>IF(Q655=1,INDEX('CDFs'!$F$6:$F$505,P655)&amp;"","")</f>
        <v/>
      </c>
      <c r="J655" s="91" t="n"/>
      <c r="K655" s="91" t="n"/>
      <c r="L655" s="94" t="str">
        <f>IF(N655=0,"",IF(NOT(ISNUMBER(F655)),"Quantidade não informada",IF(F655&lt;=0,"Quantidade não positiva",IF(G655="","Unidade não informada",IF(NOT(ISNUMBER(H655)),"Unidade a conferir",IF(AC655=1,"REVISAR VÍNCULO: soma vinculada maior que a referência do item","OK"))))))</f>
        <v/>
      </c>
      <c r="M655" s="94" t="str">
        <f>IF(N655=0,"",IF(B655="","CDF não informado",IF(Q655=0,"REVISAR VÍNCULO: CDF inexistente",IF(C655="","Item não informado",IF(T655=0,"REVISAR VÍNCULO: item inexistente",IF(AND(X655=1,J655&lt;&gt;"Sim"),"REVISAR VÍNCULO: destinador diferente do MTR",IF(X655=1,"Destinador diferente do MTR (analisado)","OK")))))))</f>
        <v/>
      </c>
      <c r="N655" s="96">
        <f>IF(COUNTA(B655:C655,F655:G655,J655:K655)&gt;0,1,0)</f>
        <v>0</v>
      </c>
      <c r="O655" s="96" t="str">
        <f>IF(B655="","",TRIM(LEFT(B655,FIND(" |",B655&amp;" |")-1)))</f>
        <v/>
      </c>
      <c r="P655" s="96" t="str">
        <f>IF(O655="","",IFERROR(MATCH(O655,'CDFs'!$A$6:$A$505,0),""))</f>
        <v/>
      </c>
      <c r="Q655" s="96">
        <f>IF(P655="",0,IF(INDEX('CDFs'!$S$6:$S$505,P655)=1,1,0))</f>
        <v>0</v>
      </c>
      <c r="R655" s="96" t="str">
        <f>IF(C655="","",TRIM(LEFT(C655,FIND(" |",C655&amp;" |")-1)))</f>
        <v/>
      </c>
      <c r="S655" s="96" t="str">
        <f>IF(R655="","",IFERROR(MATCH(R655,'ITENS_MTR'!$A$6:$A$1005,0),""))</f>
        <v/>
      </c>
      <c r="T655" s="96">
        <f>IF(S655="",0,IF(INDEX('ITENS_MTR'!$R$6:$R$1005,S655)=1,1,0))</f>
        <v>0</v>
      </c>
      <c r="U655" s="96" t="str">
        <f>IF(G655="","",IFERROR(IF(ISNUMBER(INDEX(cfg_fac,MATCH(G655,cfg_units,0))),IF(INDEX(cfg_fac,MATCH(G655,cfg_units,0))&gt;0,INDEX(cfg_fac,MATCH(G655,cfg_units,0)),""),""),""))</f>
        <v/>
      </c>
      <c r="V655" s="96">
        <f>IF(AND(ISNUMBER(F655),ISNUMBER(H655)),IF(H655&gt;0,1,0),0)</f>
        <v>0</v>
      </c>
      <c r="W655" s="96" t="str">
        <f>IF(T655=1,INDEX('ITENS_MTR'!$AU$6:$AU$1005,S655)&amp;"","")</f>
        <v/>
      </c>
      <c r="X655" s="96">
        <f>IF(AND(Q655=1,T655=1,I655&lt;&gt;"",W655&lt;&gt;""),IF(I655&lt;&gt;W655,1,0),0)</f>
        <v>0</v>
      </c>
      <c r="Y655" s="96">
        <f>IF(N655=0,0,IF(OR(Q655=0,T655=0,V655=0,AND(X655=1,J655&lt;&gt;"Sim")),1,0))</f>
        <v>0</v>
      </c>
      <c r="Z655" s="96">
        <f>IF(Q655=1,INDEX('CDFs'!$W$6:$W$505,P655),0)</f>
        <v>0</v>
      </c>
      <c r="AA655" s="96">
        <f>IF(AND(N655=1,Y655=0,Z655=1,J655="Sim"),1,0)</f>
        <v>0</v>
      </c>
      <c r="AB655" s="96">
        <f>IF(AND(N655=1,O655&lt;&gt;"",D655&lt;&gt;""),IF(COUNTIFS($O$6:O655,O655,$D$6:D655,D655)=1,1,0),0)</f>
        <v>0</v>
      </c>
      <c r="AC655" s="96">
        <f>IF(T655=1,INDEX('ITENS_MTR'!$AL$6:$AL$1005,S655),0)</f>
        <v>0</v>
      </c>
    </row>
    <row r="656">
      <c r="A656" s="89" t="inlineStr">
        <is>
          <t>VIN-000651</t>
        </is>
      </c>
      <c r="B656" s="91" t="n"/>
      <c r="C656" s="91" t="n"/>
      <c r="D656" s="94" t="str">
        <f>IF(T656=1,INDEX('ITENS_MTR'!$S$6:$S$1005,S656)&amp;"","")</f>
        <v/>
      </c>
      <c r="E656" s="94" t="str">
        <f>IF(T656=1,INDEX('ITENS_MTR'!$C$6:$C$1005,S656)&amp;"","")</f>
        <v/>
      </c>
      <c r="F656" s="98" t="n"/>
      <c r="G656" s="91" t="n"/>
      <c r="H656" s="93" t="str">
        <f>IF(N656=0,"",IF(NOT(ISNUMBER(F656)),"",IF(ISNUMBER(U656),F656*U656,"UNIDADE A CONFERIR")))</f>
        <v/>
      </c>
      <c r="I656" s="94" t="str">
        <f>IF(Q656=1,INDEX('CDFs'!$F$6:$F$505,P656)&amp;"","")</f>
        <v/>
      </c>
      <c r="J656" s="91" t="n"/>
      <c r="K656" s="91" t="n"/>
      <c r="L656" s="94" t="str">
        <f>IF(N656=0,"",IF(NOT(ISNUMBER(F656)),"Quantidade não informada",IF(F656&lt;=0,"Quantidade não positiva",IF(G656="","Unidade não informada",IF(NOT(ISNUMBER(H656)),"Unidade a conferir",IF(AC656=1,"REVISAR VÍNCULO: soma vinculada maior que a referência do item","OK"))))))</f>
        <v/>
      </c>
      <c r="M656" s="94" t="str">
        <f>IF(N656=0,"",IF(B656="","CDF não informado",IF(Q656=0,"REVISAR VÍNCULO: CDF inexistente",IF(C656="","Item não informado",IF(T656=0,"REVISAR VÍNCULO: item inexistente",IF(AND(X656=1,J656&lt;&gt;"Sim"),"REVISAR VÍNCULO: destinador diferente do MTR",IF(X656=1,"Destinador diferente do MTR (analisado)","OK")))))))</f>
        <v/>
      </c>
      <c r="N656" s="96">
        <f>IF(COUNTA(B656:C656,F656:G656,J656:K656)&gt;0,1,0)</f>
        <v>0</v>
      </c>
      <c r="O656" s="96" t="str">
        <f>IF(B656="","",TRIM(LEFT(B656,FIND(" |",B656&amp;" |")-1)))</f>
        <v/>
      </c>
      <c r="P656" s="96" t="str">
        <f>IF(O656="","",IFERROR(MATCH(O656,'CDFs'!$A$6:$A$505,0),""))</f>
        <v/>
      </c>
      <c r="Q656" s="96">
        <f>IF(P656="",0,IF(INDEX('CDFs'!$S$6:$S$505,P656)=1,1,0))</f>
        <v>0</v>
      </c>
      <c r="R656" s="96" t="str">
        <f>IF(C656="","",TRIM(LEFT(C656,FIND(" |",C656&amp;" |")-1)))</f>
        <v/>
      </c>
      <c r="S656" s="96" t="str">
        <f>IF(R656="","",IFERROR(MATCH(R656,'ITENS_MTR'!$A$6:$A$1005,0),""))</f>
        <v/>
      </c>
      <c r="T656" s="96">
        <f>IF(S656="",0,IF(INDEX('ITENS_MTR'!$R$6:$R$1005,S656)=1,1,0))</f>
        <v>0</v>
      </c>
      <c r="U656" s="96" t="str">
        <f>IF(G656="","",IFERROR(IF(ISNUMBER(INDEX(cfg_fac,MATCH(G656,cfg_units,0))),IF(INDEX(cfg_fac,MATCH(G656,cfg_units,0))&gt;0,INDEX(cfg_fac,MATCH(G656,cfg_units,0)),""),""),""))</f>
        <v/>
      </c>
      <c r="V656" s="96">
        <f>IF(AND(ISNUMBER(F656),ISNUMBER(H656)),IF(H656&gt;0,1,0),0)</f>
        <v>0</v>
      </c>
      <c r="W656" s="96" t="str">
        <f>IF(T656=1,INDEX('ITENS_MTR'!$AU$6:$AU$1005,S656)&amp;"","")</f>
        <v/>
      </c>
      <c r="X656" s="96">
        <f>IF(AND(Q656=1,T656=1,I656&lt;&gt;"",W656&lt;&gt;""),IF(I656&lt;&gt;W656,1,0),0)</f>
        <v>0</v>
      </c>
      <c r="Y656" s="96">
        <f>IF(N656=0,0,IF(OR(Q656=0,T656=0,V656=0,AND(X656=1,J656&lt;&gt;"Sim")),1,0))</f>
        <v>0</v>
      </c>
      <c r="Z656" s="96">
        <f>IF(Q656=1,INDEX('CDFs'!$W$6:$W$505,P656),0)</f>
        <v>0</v>
      </c>
      <c r="AA656" s="96">
        <f>IF(AND(N656=1,Y656=0,Z656=1,J656="Sim"),1,0)</f>
        <v>0</v>
      </c>
      <c r="AB656" s="96">
        <f>IF(AND(N656=1,O656&lt;&gt;"",D656&lt;&gt;""),IF(COUNTIFS($O$6:O656,O656,$D$6:D656,D656)=1,1,0),0)</f>
        <v>0</v>
      </c>
      <c r="AC656" s="96">
        <f>IF(T656=1,INDEX('ITENS_MTR'!$AL$6:$AL$1005,S656),0)</f>
        <v>0</v>
      </c>
    </row>
    <row r="657">
      <c r="A657" s="89" t="inlineStr">
        <is>
          <t>VIN-000652</t>
        </is>
      </c>
      <c r="B657" s="91" t="n"/>
      <c r="C657" s="91" t="n"/>
      <c r="D657" s="94" t="str">
        <f>IF(T657=1,INDEX('ITENS_MTR'!$S$6:$S$1005,S657)&amp;"","")</f>
        <v/>
      </c>
      <c r="E657" s="94" t="str">
        <f>IF(T657=1,INDEX('ITENS_MTR'!$C$6:$C$1005,S657)&amp;"","")</f>
        <v/>
      </c>
      <c r="F657" s="98" t="n"/>
      <c r="G657" s="91" t="n"/>
      <c r="H657" s="93" t="str">
        <f>IF(N657=0,"",IF(NOT(ISNUMBER(F657)),"",IF(ISNUMBER(U657),F657*U657,"UNIDADE A CONFERIR")))</f>
        <v/>
      </c>
      <c r="I657" s="94" t="str">
        <f>IF(Q657=1,INDEX('CDFs'!$F$6:$F$505,P657)&amp;"","")</f>
        <v/>
      </c>
      <c r="J657" s="91" t="n"/>
      <c r="K657" s="91" t="n"/>
      <c r="L657" s="94" t="str">
        <f>IF(N657=0,"",IF(NOT(ISNUMBER(F657)),"Quantidade não informada",IF(F657&lt;=0,"Quantidade não positiva",IF(G657="","Unidade não informada",IF(NOT(ISNUMBER(H657)),"Unidade a conferir",IF(AC657=1,"REVISAR VÍNCULO: soma vinculada maior que a referência do item","OK"))))))</f>
        <v/>
      </c>
      <c r="M657" s="94" t="str">
        <f>IF(N657=0,"",IF(B657="","CDF não informado",IF(Q657=0,"REVISAR VÍNCULO: CDF inexistente",IF(C657="","Item não informado",IF(T657=0,"REVISAR VÍNCULO: item inexistente",IF(AND(X657=1,J657&lt;&gt;"Sim"),"REVISAR VÍNCULO: destinador diferente do MTR",IF(X657=1,"Destinador diferente do MTR (analisado)","OK")))))))</f>
        <v/>
      </c>
      <c r="N657" s="96">
        <f>IF(COUNTA(B657:C657,F657:G657,J657:K657)&gt;0,1,0)</f>
        <v>0</v>
      </c>
      <c r="O657" s="96" t="str">
        <f>IF(B657="","",TRIM(LEFT(B657,FIND(" |",B657&amp;" |")-1)))</f>
        <v/>
      </c>
      <c r="P657" s="96" t="str">
        <f>IF(O657="","",IFERROR(MATCH(O657,'CDFs'!$A$6:$A$505,0),""))</f>
        <v/>
      </c>
      <c r="Q657" s="96">
        <f>IF(P657="",0,IF(INDEX('CDFs'!$S$6:$S$505,P657)=1,1,0))</f>
        <v>0</v>
      </c>
      <c r="R657" s="96" t="str">
        <f>IF(C657="","",TRIM(LEFT(C657,FIND(" |",C657&amp;" |")-1)))</f>
        <v/>
      </c>
      <c r="S657" s="96" t="str">
        <f>IF(R657="","",IFERROR(MATCH(R657,'ITENS_MTR'!$A$6:$A$1005,0),""))</f>
        <v/>
      </c>
      <c r="T657" s="96">
        <f>IF(S657="",0,IF(INDEX('ITENS_MTR'!$R$6:$R$1005,S657)=1,1,0))</f>
        <v>0</v>
      </c>
      <c r="U657" s="96" t="str">
        <f>IF(G657="","",IFERROR(IF(ISNUMBER(INDEX(cfg_fac,MATCH(G657,cfg_units,0))),IF(INDEX(cfg_fac,MATCH(G657,cfg_units,0))&gt;0,INDEX(cfg_fac,MATCH(G657,cfg_units,0)),""),""),""))</f>
        <v/>
      </c>
      <c r="V657" s="96">
        <f>IF(AND(ISNUMBER(F657),ISNUMBER(H657)),IF(H657&gt;0,1,0),0)</f>
        <v>0</v>
      </c>
      <c r="W657" s="96" t="str">
        <f>IF(T657=1,INDEX('ITENS_MTR'!$AU$6:$AU$1005,S657)&amp;"","")</f>
        <v/>
      </c>
      <c r="X657" s="96">
        <f>IF(AND(Q657=1,T657=1,I657&lt;&gt;"",W657&lt;&gt;""),IF(I657&lt;&gt;W657,1,0),0)</f>
        <v>0</v>
      </c>
      <c r="Y657" s="96">
        <f>IF(N657=0,0,IF(OR(Q657=0,T657=0,V657=0,AND(X657=1,J657&lt;&gt;"Sim")),1,0))</f>
        <v>0</v>
      </c>
      <c r="Z657" s="96">
        <f>IF(Q657=1,INDEX('CDFs'!$W$6:$W$505,P657),0)</f>
        <v>0</v>
      </c>
      <c r="AA657" s="96">
        <f>IF(AND(N657=1,Y657=0,Z657=1,J657="Sim"),1,0)</f>
        <v>0</v>
      </c>
      <c r="AB657" s="96">
        <f>IF(AND(N657=1,O657&lt;&gt;"",D657&lt;&gt;""),IF(COUNTIFS($O$6:O657,O657,$D$6:D657,D657)=1,1,0),0)</f>
        <v>0</v>
      </c>
      <c r="AC657" s="96">
        <f>IF(T657=1,INDEX('ITENS_MTR'!$AL$6:$AL$1005,S657),0)</f>
        <v>0</v>
      </c>
    </row>
    <row r="658">
      <c r="A658" s="89" t="inlineStr">
        <is>
          <t>VIN-000653</t>
        </is>
      </c>
      <c r="B658" s="91" t="n"/>
      <c r="C658" s="91" t="n"/>
      <c r="D658" s="94" t="str">
        <f>IF(T658=1,INDEX('ITENS_MTR'!$S$6:$S$1005,S658)&amp;"","")</f>
        <v/>
      </c>
      <c r="E658" s="94" t="str">
        <f>IF(T658=1,INDEX('ITENS_MTR'!$C$6:$C$1005,S658)&amp;"","")</f>
        <v/>
      </c>
      <c r="F658" s="98" t="n"/>
      <c r="G658" s="91" t="n"/>
      <c r="H658" s="93" t="str">
        <f>IF(N658=0,"",IF(NOT(ISNUMBER(F658)),"",IF(ISNUMBER(U658),F658*U658,"UNIDADE A CONFERIR")))</f>
        <v/>
      </c>
      <c r="I658" s="94" t="str">
        <f>IF(Q658=1,INDEX('CDFs'!$F$6:$F$505,P658)&amp;"","")</f>
        <v/>
      </c>
      <c r="J658" s="91" t="n"/>
      <c r="K658" s="91" t="n"/>
      <c r="L658" s="94" t="str">
        <f>IF(N658=0,"",IF(NOT(ISNUMBER(F658)),"Quantidade não informada",IF(F658&lt;=0,"Quantidade não positiva",IF(G658="","Unidade não informada",IF(NOT(ISNUMBER(H658)),"Unidade a conferir",IF(AC658=1,"REVISAR VÍNCULO: soma vinculada maior que a referência do item","OK"))))))</f>
        <v/>
      </c>
      <c r="M658" s="94" t="str">
        <f>IF(N658=0,"",IF(B658="","CDF não informado",IF(Q658=0,"REVISAR VÍNCULO: CDF inexistente",IF(C658="","Item não informado",IF(T658=0,"REVISAR VÍNCULO: item inexistente",IF(AND(X658=1,J658&lt;&gt;"Sim"),"REVISAR VÍNCULO: destinador diferente do MTR",IF(X658=1,"Destinador diferente do MTR (analisado)","OK")))))))</f>
        <v/>
      </c>
      <c r="N658" s="96">
        <f>IF(COUNTA(B658:C658,F658:G658,J658:K658)&gt;0,1,0)</f>
        <v>0</v>
      </c>
      <c r="O658" s="96" t="str">
        <f>IF(B658="","",TRIM(LEFT(B658,FIND(" |",B658&amp;" |")-1)))</f>
        <v/>
      </c>
      <c r="P658" s="96" t="str">
        <f>IF(O658="","",IFERROR(MATCH(O658,'CDFs'!$A$6:$A$505,0),""))</f>
        <v/>
      </c>
      <c r="Q658" s="96">
        <f>IF(P658="",0,IF(INDEX('CDFs'!$S$6:$S$505,P658)=1,1,0))</f>
        <v>0</v>
      </c>
      <c r="R658" s="96" t="str">
        <f>IF(C658="","",TRIM(LEFT(C658,FIND(" |",C658&amp;" |")-1)))</f>
        <v/>
      </c>
      <c r="S658" s="96" t="str">
        <f>IF(R658="","",IFERROR(MATCH(R658,'ITENS_MTR'!$A$6:$A$1005,0),""))</f>
        <v/>
      </c>
      <c r="T658" s="96">
        <f>IF(S658="",0,IF(INDEX('ITENS_MTR'!$R$6:$R$1005,S658)=1,1,0))</f>
        <v>0</v>
      </c>
      <c r="U658" s="96" t="str">
        <f>IF(G658="","",IFERROR(IF(ISNUMBER(INDEX(cfg_fac,MATCH(G658,cfg_units,0))),IF(INDEX(cfg_fac,MATCH(G658,cfg_units,0))&gt;0,INDEX(cfg_fac,MATCH(G658,cfg_units,0)),""),""),""))</f>
        <v/>
      </c>
      <c r="V658" s="96">
        <f>IF(AND(ISNUMBER(F658),ISNUMBER(H658)),IF(H658&gt;0,1,0),0)</f>
        <v>0</v>
      </c>
      <c r="W658" s="96" t="str">
        <f>IF(T658=1,INDEX('ITENS_MTR'!$AU$6:$AU$1005,S658)&amp;"","")</f>
        <v/>
      </c>
      <c r="X658" s="96">
        <f>IF(AND(Q658=1,T658=1,I658&lt;&gt;"",W658&lt;&gt;""),IF(I658&lt;&gt;W658,1,0),0)</f>
        <v>0</v>
      </c>
      <c r="Y658" s="96">
        <f>IF(N658=0,0,IF(OR(Q658=0,T658=0,V658=0,AND(X658=1,J658&lt;&gt;"Sim")),1,0))</f>
        <v>0</v>
      </c>
      <c r="Z658" s="96">
        <f>IF(Q658=1,INDEX('CDFs'!$W$6:$W$505,P658),0)</f>
        <v>0</v>
      </c>
      <c r="AA658" s="96">
        <f>IF(AND(N658=1,Y658=0,Z658=1,J658="Sim"),1,0)</f>
        <v>0</v>
      </c>
      <c r="AB658" s="96">
        <f>IF(AND(N658=1,O658&lt;&gt;"",D658&lt;&gt;""),IF(COUNTIFS($O$6:O658,O658,$D$6:D658,D658)=1,1,0),0)</f>
        <v>0</v>
      </c>
      <c r="AC658" s="96">
        <f>IF(T658=1,INDEX('ITENS_MTR'!$AL$6:$AL$1005,S658),0)</f>
        <v>0</v>
      </c>
    </row>
    <row r="659">
      <c r="A659" s="89" t="inlineStr">
        <is>
          <t>VIN-000654</t>
        </is>
      </c>
      <c r="B659" s="91" t="n"/>
      <c r="C659" s="91" t="n"/>
      <c r="D659" s="94" t="str">
        <f>IF(T659=1,INDEX('ITENS_MTR'!$S$6:$S$1005,S659)&amp;"","")</f>
        <v/>
      </c>
      <c r="E659" s="94" t="str">
        <f>IF(T659=1,INDEX('ITENS_MTR'!$C$6:$C$1005,S659)&amp;"","")</f>
        <v/>
      </c>
      <c r="F659" s="98" t="n"/>
      <c r="G659" s="91" t="n"/>
      <c r="H659" s="93" t="str">
        <f>IF(N659=0,"",IF(NOT(ISNUMBER(F659)),"",IF(ISNUMBER(U659),F659*U659,"UNIDADE A CONFERIR")))</f>
        <v/>
      </c>
      <c r="I659" s="94" t="str">
        <f>IF(Q659=1,INDEX('CDFs'!$F$6:$F$505,P659)&amp;"","")</f>
        <v/>
      </c>
      <c r="J659" s="91" t="n"/>
      <c r="K659" s="91" t="n"/>
      <c r="L659" s="94" t="str">
        <f>IF(N659=0,"",IF(NOT(ISNUMBER(F659)),"Quantidade não informada",IF(F659&lt;=0,"Quantidade não positiva",IF(G659="","Unidade não informada",IF(NOT(ISNUMBER(H659)),"Unidade a conferir",IF(AC659=1,"REVISAR VÍNCULO: soma vinculada maior que a referência do item","OK"))))))</f>
        <v/>
      </c>
      <c r="M659" s="94" t="str">
        <f>IF(N659=0,"",IF(B659="","CDF não informado",IF(Q659=0,"REVISAR VÍNCULO: CDF inexistente",IF(C659="","Item não informado",IF(T659=0,"REVISAR VÍNCULO: item inexistente",IF(AND(X659=1,J659&lt;&gt;"Sim"),"REVISAR VÍNCULO: destinador diferente do MTR",IF(X659=1,"Destinador diferente do MTR (analisado)","OK")))))))</f>
        <v/>
      </c>
      <c r="N659" s="96">
        <f>IF(COUNTA(B659:C659,F659:G659,J659:K659)&gt;0,1,0)</f>
        <v>0</v>
      </c>
      <c r="O659" s="96" t="str">
        <f>IF(B659="","",TRIM(LEFT(B659,FIND(" |",B659&amp;" |")-1)))</f>
        <v/>
      </c>
      <c r="P659" s="96" t="str">
        <f>IF(O659="","",IFERROR(MATCH(O659,'CDFs'!$A$6:$A$505,0),""))</f>
        <v/>
      </c>
      <c r="Q659" s="96">
        <f>IF(P659="",0,IF(INDEX('CDFs'!$S$6:$S$505,P659)=1,1,0))</f>
        <v>0</v>
      </c>
      <c r="R659" s="96" t="str">
        <f>IF(C659="","",TRIM(LEFT(C659,FIND(" |",C659&amp;" |")-1)))</f>
        <v/>
      </c>
      <c r="S659" s="96" t="str">
        <f>IF(R659="","",IFERROR(MATCH(R659,'ITENS_MTR'!$A$6:$A$1005,0),""))</f>
        <v/>
      </c>
      <c r="T659" s="96">
        <f>IF(S659="",0,IF(INDEX('ITENS_MTR'!$R$6:$R$1005,S659)=1,1,0))</f>
        <v>0</v>
      </c>
      <c r="U659" s="96" t="str">
        <f>IF(G659="","",IFERROR(IF(ISNUMBER(INDEX(cfg_fac,MATCH(G659,cfg_units,0))),IF(INDEX(cfg_fac,MATCH(G659,cfg_units,0))&gt;0,INDEX(cfg_fac,MATCH(G659,cfg_units,0)),""),""),""))</f>
        <v/>
      </c>
      <c r="V659" s="96">
        <f>IF(AND(ISNUMBER(F659),ISNUMBER(H659)),IF(H659&gt;0,1,0),0)</f>
        <v>0</v>
      </c>
      <c r="W659" s="96" t="str">
        <f>IF(T659=1,INDEX('ITENS_MTR'!$AU$6:$AU$1005,S659)&amp;"","")</f>
        <v/>
      </c>
      <c r="X659" s="96">
        <f>IF(AND(Q659=1,T659=1,I659&lt;&gt;"",W659&lt;&gt;""),IF(I659&lt;&gt;W659,1,0),0)</f>
        <v>0</v>
      </c>
      <c r="Y659" s="96">
        <f>IF(N659=0,0,IF(OR(Q659=0,T659=0,V659=0,AND(X659=1,J659&lt;&gt;"Sim")),1,0))</f>
        <v>0</v>
      </c>
      <c r="Z659" s="96">
        <f>IF(Q659=1,INDEX('CDFs'!$W$6:$W$505,P659),0)</f>
        <v>0</v>
      </c>
      <c r="AA659" s="96">
        <f>IF(AND(N659=1,Y659=0,Z659=1,J659="Sim"),1,0)</f>
        <v>0</v>
      </c>
      <c r="AB659" s="96">
        <f>IF(AND(N659=1,O659&lt;&gt;"",D659&lt;&gt;""),IF(COUNTIFS($O$6:O659,O659,$D$6:D659,D659)=1,1,0),0)</f>
        <v>0</v>
      </c>
      <c r="AC659" s="96">
        <f>IF(T659=1,INDEX('ITENS_MTR'!$AL$6:$AL$1005,S659),0)</f>
        <v>0</v>
      </c>
    </row>
    <row r="660">
      <c r="A660" s="89" t="inlineStr">
        <is>
          <t>VIN-000655</t>
        </is>
      </c>
      <c r="B660" s="91" t="n"/>
      <c r="C660" s="91" t="n"/>
      <c r="D660" s="94" t="str">
        <f>IF(T660=1,INDEX('ITENS_MTR'!$S$6:$S$1005,S660)&amp;"","")</f>
        <v/>
      </c>
      <c r="E660" s="94" t="str">
        <f>IF(T660=1,INDEX('ITENS_MTR'!$C$6:$C$1005,S660)&amp;"","")</f>
        <v/>
      </c>
      <c r="F660" s="98" t="n"/>
      <c r="G660" s="91" t="n"/>
      <c r="H660" s="93" t="str">
        <f>IF(N660=0,"",IF(NOT(ISNUMBER(F660)),"",IF(ISNUMBER(U660),F660*U660,"UNIDADE A CONFERIR")))</f>
        <v/>
      </c>
      <c r="I660" s="94" t="str">
        <f>IF(Q660=1,INDEX('CDFs'!$F$6:$F$505,P660)&amp;"","")</f>
        <v/>
      </c>
      <c r="J660" s="91" t="n"/>
      <c r="K660" s="91" t="n"/>
      <c r="L660" s="94" t="str">
        <f>IF(N660=0,"",IF(NOT(ISNUMBER(F660)),"Quantidade não informada",IF(F660&lt;=0,"Quantidade não positiva",IF(G660="","Unidade não informada",IF(NOT(ISNUMBER(H660)),"Unidade a conferir",IF(AC660=1,"REVISAR VÍNCULO: soma vinculada maior que a referência do item","OK"))))))</f>
        <v/>
      </c>
      <c r="M660" s="94" t="str">
        <f>IF(N660=0,"",IF(B660="","CDF não informado",IF(Q660=0,"REVISAR VÍNCULO: CDF inexistente",IF(C660="","Item não informado",IF(T660=0,"REVISAR VÍNCULO: item inexistente",IF(AND(X660=1,J660&lt;&gt;"Sim"),"REVISAR VÍNCULO: destinador diferente do MTR",IF(X660=1,"Destinador diferente do MTR (analisado)","OK")))))))</f>
        <v/>
      </c>
      <c r="N660" s="96">
        <f>IF(COUNTA(B660:C660,F660:G660,J660:K660)&gt;0,1,0)</f>
        <v>0</v>
      </c>
      <c r="O660" s="96" t="str">
        <f>IF(B660="","",TRIM(LEFT(B660,FIND(" |",B660&amp;" |")-1)))</f>
        <v/>
      </c>
      <c r="P660" s="96" t="str">
        <f>IF(O660="","",IFERROR(MATCH(O660,'CDFs'!$A$6:$A$505,0),""))</f>
        <v/>
      </c>
      <c r="Q660" s="96">
        <f>IF(P660="",0,IF(INDEX('CDFs'!$S$6:$S$505,P660)=1,1,0))</f>
        <v>0</v>
      </c>
      <c r="R660" s="96" t="str">
        <f>IF(C660="","",TRIM(LEFT(C660,FIND(" |",C660&amp;" |")-1)))</f>
        <v/>
      </c>
      <c r="S660" s="96" t="str">
        <f>IF(R660="","",IFERROR(MATCH(R660,'ITENS_MTR'!$A$6:$A$1005,0),""))</f>
        <v/>
      </c>
      <c r="T660" s="96">
        <f>IF(S660="",0,IF(INDEX('ITENS_MTR'!$R$6:$R$1005,S660)=1,1,0))</f>
        <v>0</v>
      </c>
      <c r="U660" s="96" t="str">
        <f>IF(G660="","",IFERROR(IF(ISNUMBER(INDEX(cfg_fac,MATCH(G660,cfg_units,0))),IF(INDEX(cfg_fac,MATCH(G660,cfg_units,0))&gt;0,INDEX(cfg_fac,MATCH(G660,cfg_units,0)),""),""),""))</f>
        <v/>
      </c>
      <c r="V660" s="96">
        <f>IF(AND(ISNUMBER(F660),ISNUMBER(H660)),IF(H660&gt;0,1,0),0)</f>
        <v>0</v>
      </c>
      <c r="W660" s="96" t="str">
        <f>IF(T660=1,INDEX('ITENS_MTR'!$AU$6:$AU$1005,S660)&amp;"","")</f>
        <v/>
      </c>
      <c r="X660" s="96">
        <f>IF(AND(Q660=1,T660=1,I660&lt;&gt;"",W660&lt;&gt;""),IF(I660&lt;&gt;W660,1,0),0)</f>
        <v>0</v>
      </c>
      <c r="Y660" s="96">
        <f>IF(N660=0,0,IF(OR(Q660=0,T660=0,V660=0,AND(X660=1,J660&lt;&gt;"Sim")),1,0))</f>
        <v>0</v>
      </c>
      <c r="Z660" s="96">
        <f>IF(Q660=1,INDEX('CDFs'!$W$6:$W$505,P660),0)</f>
        <v>0</v>
      </c>
      <c r="AA660" s="96">
        <f>IF(AND(N660=1,Y660=0,Z660=1,J660="Sim"),1,0)</f>
        <v>0</v>
      </c>
      <c r="AB660" s="96">
        <f>IF(AND(N660=1,O660&lt;&gt;"",D660&lt;&gt;""),IF(COUNTIFS($O$6:O660,O660,$D$6:D660,D660)=1,1,0),0)</f>
        <v>0</v>
      </c>
      <c r="AC660" s="96">
        <f>IF(T660=1,INDEX('ITENS_MTR'!$AL$6:$AL$1005,S660),0)</f>
        <v>0</v>
      </c>
    </row>
    <row r="661">
      <c r="A661" s="89" t="inlineStr">
        <is>
          <t>VIN-000656</t>
        </is>
      </c>
      <c r="B661" s="91" t="n"/>
      <c r="C661" s="91" t="n"/>
      <c r="D661" s="94" t="str">
        <f>IF(T661=1,INDEX('ITENS_MTR'!$S$6:$S$1005,S661)&amp;"","")</f>
        <v/>
      </c>
      <c r="E661" s="94" t="str">
        <f>IF(T661=1,INDEX('ITENS_MTR'!$C$6:$C$1005,S661)&amp;"","")</f>
        <v/>
      </c>
      <c r="F661" s="98" t="n"/>
      <c r="G661" s="91" t="n"/>
      <c r="H661" s="93" t="str">
        <f>IF(N661=0,"",IF(NOT(ISNUMBER(F661)),"",IF(ISNUMBER(U661),F661*U661,"UNIDADE A CONFERIR")))</f>
        <v/>
      </c>
      <c r="I661" s="94" t="str">
        <f>IF(Q661=1,INDEX('CDFs'!$F$6:$F$505,P661)&amp;"","")</f>
        <v/>
      </c>
      <c r="J661" s="91" t="n"/>
      <c r="K661" s="91" t="n"/>
      <c r="L661" s="94" t="str">
        <f>IF(N661=0,"",IF(NOT(ISNUMBER(F661)),"Quantidade não informada",IF(F661&lt;=0,"Quantidade não positiva",IF(G661="","Unidade não informada",IF(NOT(ISNUMBER(H661)),"Unidade a conferir",IF(AC661=1,"REVISAR VÍNCULO: soma vinculada maior que a referência do item","OK"))))))</f>
        <v/>
      </c>
      <c r="M661" s="94" t="str">
        <f>IF(N661=0,"",IF(B661="","CDF não informado",IF(Q661=0,"REVISAR VÍNCULO: CDF inexistente",IF(C661="","Item não informado",IF(T661=0,"REVISAR VÍNCULO: item inexistente",IF(AND(X661=1,J661&lt;&gt;"Sim"),"REVISAR VÍNCULO: destinador diferente do MTR",IF(X661=1,"Destinador diferente do MTR (analisado)","OK")))))))</f>
        <v/>
      </c>
      <c r="N661" s="96">
        <f>IF(COUNTA(B661:C661,F661:G661,J661:K661)&gt;0,1,0)</f>
        <v>0</v>
      </c>
      <c r="O661" s="96" t="str">
        <f>IF(B661="","",TRIM(LEFT(B661,FIND(" |",B661&amp;" |")-1)))</f>
        <v/>
      </c>
      <c r="P661" s="96" t="str">
        <f>IF(O661="","",IFERROR(MATCH(O661,'CDFs'!$A$6:$A$505,0),""))</f>
        <v/>
      </c>
      <c r="Q661" s="96">
        <f>IF(P661="",0,IF(INDEX('CDFs'!$S$6:$S$505,P661)=1,1,0))</f>
        <v>0</v>
      </c>
      <c r="R661" s="96" t="str">
        <f>IF(C661="","",TRIM(LEFT(C661,FIND(" |",C661&amp;" |")-1)))</f>
        <v/>
      </c>
      <c r="S661" s="96" t="str">
        <f>IF(R661="","",IFERROR(MATCH(R661,'ITENS_MTR'!$A$6:$A$1005,0),""))</f>
        <v/>
      </c>
      <c r="T661" s="96">
        <f>IF(S661="",0,IF(INDEX('ITENS_MTR'!$R$6:$R$1005,S661)=1,1,0))</f>
        <v>0</v>
      </c>
      <c r="U661" s="96" t="str">
        <f>IF(G661="","",IFERROR(IF(ISNUMBER(INDEX(cfg_fac,MATCH(G661,cfg_units,0))),IF(INDEX(cfg_fac,MATCH(G661,cfg_units,0))&gt;0,INDEX(cfg_fac,MATCH(G661,cfg_units,0)),""),""),""))</f>
        <v/>
      </c>
      <c r="V661" s="96">
        <f>IF(AND(ISNUMBER(F661),ISNUMBER(H661)),IF(H661&gt;0,1,0),0)</f>
        <v>0</v>
      </c>
      <c r="W661" s="96" t="str">
        <f>IF(T661=1,INDEX('ITENS_MTR'!$AU$6:$AU$1005,S661)&amp;"","")</f>
        <v/>
      </c>
      <c r="X661" s="96">
        <f>IF(AND(Q661=1,T661=1,I661&lt;&gt;"",W661&lt;&gt;""),IF(I661&lt;&gt;W661,1,0),0)</f>
        <v>0</v>
      </c>
      <c r="Y661" s="96">
        <f>IF(N661=0,0,IF(OR(Q661=0,T661=0,V661=0,AND(X661=1,J661&lt;&gt;"Sim")),1,0))</f>
        <v>0</v>
      </c>
      <c r="Z661" s="96">
        <f>IF(Q661=1,INDEX('CDFs'!$W$6:$W$505,P661),0)</f>
        <v>0</v>
      </c>
      <c r="AA661" s="96">
        <f>IF(AND(N661=1,Y661=0,Z661=1,J661="Sim"),1,0)</f>
        <v>0</v>
      </c>
      <c r="AB661" s="96">
        <f>IF(AND(N661=1,O661&lt;&gt;"",D661&lt;&gt;""),IF(COUNTIFS($O$6:O661,O661,$D$6:D661,D661)=1,1,0),0)</f>
        <v>0</v>
      </c>
      <c r="AC661" s="96">
        <f>IF(T661=1,INDEX('ITENS_MTR'!$AL$6:$AL$1005,S661),0)</f>
        <v>0</v>
      </c>
    </row>
    <row r="662">
      <c r="A662" s="89" t="inlineStr">
        <is>
          <t>VIN-000657</t>
        </is>
      </c>
      <c r="B662" s="91" t="n"/>
      <c r="C662" s="91" t="n"/>
      <c r="D662" s="94" t="str">
        <f>IF(T662=1,INDEX('ITENS_MTR'!$S$6:$S$1005,S662)&amp;"","")</f>
        <v/>
      </c>
      <c r="E662" s="94" t="str">
        <f>IF(T662=1,INDEX('ITENS_MTR'!$C$6:$C$1005,S662)&amp;"","")</f>
        <v/>
      </c>
      <c r="F662" s="98" t="n"/>
      <c r="G662" s="91" t="n"/>
      <c r="H662" s="93" t="str">
        <f>IF(N662=0,"",IF(NOT(ISNUMBER(F662)),"",IF(ISNUMBER(U662),F662*U662,"UNIDADE A CONFERIR")))</f>
        <v/>
      </c>
      <c r="I662" s="94" t="str">
        <f>IF(Q662=1,INDEX('CDFs'!$F$6:$F$505,P662)&amp;"","")</f>
        <v/>
      </c>
      <c r="J662" s="91" t="n"/>
      <c r="K662" s="91" t="n"/>
      <c r="L662" s="94" t="str">
        <f>IF(N662=0,"",IF(NOT(ISNUMBER(F662)),"Quantidade não informada",IF(F662&lt;=0,"Quantidade não positiva",IF(G662="","Unidade não informada",IF(NOT(ISNUMBER(H662)),"Unidade a conferir",IF(AC662=1,"REVISAR VÍNCULO: soma vinculada maior que a referência do item","OK"))))))</f>
        <v/>
      </c>
      <c r="M662" s="94" t="str">
        <f>IF(N662=0,"",IF(B662="","CDF não informado",IF(Q662=0,"REVISAR VÍNCULO: CDF inexistente",IF(C662="","Item não informado",IF(T662=0,"REVISAR VÍNCULO: item inexistente",IF(AND(X662=1,J662&lt;&gt;"Sim"),"REVISAR VÍNCULO: destinador diferente do MTR",IF(X662=1,"Destinador diferente do MTR (analisado)","OK")))))))</f>
        <v/>
      </c>
      <c r="N662" s="96">
        <f>IF(COUNTA(B662:C662,F662:G662,J662:K662)&gt;0,1,0)</f>
        <v>0</v>
      </c>
      <c r="O662" s="96" t="str">
        <f>IF(B662="","",TRIM(LEFT(B662,FIND(" |",B662&amp;" |")-1)))</f>
        <v/>
      </c>
      <c r="P662" s="96" t="str">
        <f>IF(O662="","",IFERROR(MATCH(O662,'CDFs'!$A$6:$A$505,0),""))</f>
        <v/>
      </c>
      <c r="Q662" s="96">
        <f>IF(P662="",0,IF(INDEX('CDFs'!$S$6:$S$505,P662)=1,1,0))</f>
        <v>0</v>
      </c>
      <c r="R662" s="96" t="str">
        <f>IF(C662="","",TRIM(LEFT(C662,FIND(" |",C662&amp;" |")-1)))</f>
        <v/>
      </c>
      <c r="S662" s="96" t="str">
        <f>IF(R662="","",IFERROR(MATCH(R662,'ITENS_MTR'!$A$6:$A$1005,0),""))</f>
        <v/>
      </c>
      <c r="T662" s="96">
        <f>IF(S662="",0,IF(INDEX('ITENS_MTR'!$R$6:$R$1005,S662)=1,1,0))</f>
        <v>0</v>
      </c>
      <c r="U662" s="96" t="str">
        <f>IF(G662="","",IFERROR(IF(ISNUMBER(INDEX(cfg_fac,MATCH(G662,cfg_units,0))),IF(INDEX(cfg_fac,MATCH(G662,cfg_units,0))&gt;0,INDEX(cfg_fac,MATCH(G662,cfg_units,0)),""),""),""))</f>
        <v/>
      </c>
      <c r="V662" s="96">
        <f>IF(AND(ISNUMBER(F662),ISNUMBER(H662)),IF(H662&gt;0,1,0),0)</f>
        <v>0</v>
      </c>
      <c r="W662" s="96" t="str">
        <f>IF(T662=1,INDEX('ITENS_MTR'!$AU$6:$AU$1005,S662)&amp;"","")</f>
        <v/>
      </c>
      <c r="X662" s="96">
        <f>IF(AND(Q662=1,T662=1,I662&lt;&gt;"",W662&lt;&gt;""),IF(I662&lt;&gt;W662,1,0),0)</f>
        <v>0</v>
      </c>
      <c r="Y662" s="96">
        <f>IF(N662=0,0,IF(OR(Q662=0,T662=0,V662=0,AND(X662=1,J662&lt;&gt;"Sim")),1,0))</f>
        <v>0</v>
      </c>
      <c r="Z662" s="96">
        <f>IF(Q662=1,INDEX('CDFs'!$W$6:$W$505,P662),0)</f>
        <v>0</v>
      </c>
      <c r="AA662" s="96">
        <f>IF(AND(N662=1,Y662=0,Z662=1,J662="Sim"),1,0)</f>
        <v>0</v>
      </c>
      <c r="AB662" s="96">
        <f>IF(AND(N662=1,O662&lt;&gt;"",D662&lt;&gt;""),IF(COUNTIFS($O$6:O662,O662,$D$6:D662,D662)=1,1,0),0)</f>
        <v>0</v>
      </c>
      <c r="AC662" s="96">
        <f>IF(T662=1,INDEX('ITENS_MTR'!$AL$6:$AL$1005,S662),0)</f>
        <v>0</v>
      </c>
    </row>
    <row r="663">
      <c r="A663" s="89" t="inlineStr">
        <is>
          <t>VIN-000658</t>
        </is>
      </c>
      <c r="B663" s="91" t="n"/>
      <c r="C663" s="91" t="n"/>
      <c r="D663" s="94" t="str">
        <f>IF(T663=1,INDEX('ITENS_MTR'!$S$6:$S$1005,S663)&amp;"","")</f>
        <v/>
      </c>
      <c r="E663" s="94" t="str">
        <f>IF(T663=1,INDEX('ITENS_MTR'!$C$6:$C$1005,S663)&amp;"","")</f>
        <v/>
      </c>
      <c r="F663" s="98" t="n"/>
      <c r="G663" s="91" t="n"/>
      <c r="H663" s="93" t="str">
        <f>IF(N663=0,"",IF(NOT(ISNUMBER(F663)),"",IF(ISNUMBER(U663),F663*U663,"UNIDADE A CONFERIR")))</f>
        <v/>
      </c>
      <c r="I663" s="94" t="str">
        <f>IF(Q663=1,INDEX('CDFs'!$F$6:$F$505,P663)&amp;"","")</f>
        <v/>
      </c>
      <c r="J663" s="91" t="n"/>
      <c r="K663" s="91" t="n"/>
      <c r="L663" s="94" t="str">
        <f>IF(N663=0,"",IF(NOT(ISNUMBER(F663)),"Quantidade não informada",IF(F663&lt;=0,"Quantidade não positiva",IF(G663="","Unidade não informada",IF(NOT(ISNUMBER(H663)),"Unidade a conferir",IF(AC663=1,"REVISAR VÍNCULO: soma vinculada maior que a referência do item","OK"))))))</f>
        <v/>
      </c>
      <c r="M663" s="94" t="str">
        <f>IF(N663=0,"",IF(B663="","CDF não informado",IF(Q663=0,"REVISAR VÍNCULO: CDF inexistente",IF(C663="","Item não informado",IF(T663=0,"REVISAR VÍNCULO: item inexistente",IF(AND(X663=1,J663&lt;&gt;"Sim"),"REVISAR VÍNCULO: destinador diferente do MTR",IF(X663=1,"Destinador diferente do MTR (analisado)","OK")))))))</f>
        <v/>
      </c>
      <c r="N663" s="96">
        <f>IF(COUNTA(B663:C663,F663:G663,J663:K663)&gt;0,1,0)</f>
        <v>0</v>
      </c>
      <c r="O663" s="96" t="str">
        <f>IF(B663="","",TRIM(LEFT(B663,FIND(" |",B663&amp;" |")-1)))</f>
        <v/>
      </c>
      <c r="P663" s="96" t="str">
        <f>IF(O663="","",IFERROR(MATCH(O663,'CDFs'!$A$6:$A$505,0),""))</f>
        <v/>
      </c>
      <c r="Q663" s="96">
        <f>IF(P663="",0,IF(INDEX('CDFs'!$S$6:$S$505,P663)=1,1,0))</f>
        <v>0</v>
      </c>
      <c r="R663" s="96" t="str">
        <f>IF(C663="","",TRIM(LEFT(C663,FIND(" |",C663&amp;" |")-1)))</f>
        <v/>
      </c>
      <c r="S663" s="96" t="str">
        <f>IF(R663="","",IFERROR(MATCH(R663,'ITENS_MTR'!$A$6:$A$1005,0),""))</f>
        <v/>
      </c>
      <c r="T663" s="96">
        <f>IF(S663="",0,IF(INDEX('ITENS_MTR'!$R$6:$R$1005,S663)=1,1,0))</f>
        <v>0</v>
      </c>
      <c r="U663" s="96" t="str">
        <f>IF(G663="","",IFERROR(IF(ISNUMBER(INDEX(cfg_fac,MATCH(G663,cfg_units,0))),IF(INDEX(cfg_fac,MATCH(G663,cfg_units,0))&gt;0,INDEX(cfg_fac,MATCH(G663,cfg_units,0)),""),""),""))</f>
        <v/>
      </c>
      <c r="V663" s="96">
        <f>IF(AND(ISNUMBER(F663),ISNUMBER(H663)),IF(H663&gt;0,1,0),0)</f>
        <v>0</v>
      </c>
      <c r="W663" s="96" t="str">
        <f>IF(T663=1,INDEX('ITENS_MTR'!$AU$6:$AU$1005,S663)&amp;"","")</f>
        <v/>
      </c>
      <c r="X663" s="96">
        <f>IF(AND(Q663=1,T663=1,I663&lt;&gt;"",W663&lt;&gt;""),IF(I663&lt;&gt;W663,1,0),0)</f>
        <v>0</v>
      </c>
      <c r="Y663" s="96">
        <f>IF(N663=0,0,IF(OR(Q663=0,T663=0,V663=0,AND(X663=1,J663&lt;&gt;"Sim")),1,0))</f>
        <v>0</v>
      </c>
      <c r="Z663" s="96">
        <f>IF(Q663=1,INDEX('CDFs'!$W$6:$W$505,P663),0)</f>
        <v>0</v>
      </c>
      <c r="AA663" s="96">
        <f>IF(AND(N663=1,Y663=0,Z663=1,J663="Sim"),1,0)</f>
        <v>0</v>
      </c>
      <c r="AB663" s="96">
        <f>IF(AND(N663=1,O663&lt;&gt;"",D663&lt;&gt;""),IF(COUNTIFS($O$6:O663,O663,$D$6:D663,D663)=1,1,0),0)</f>
        <v>0</v>
      </c>
      <c r="AC663" s="96">
        <f>IF(T663=1,INDEX('ITENS_MTR'!$AL$6:$AL$1005,S663),0)</f>
        <v>0</v>
      </c>
    </row>
    <row r="664">
      <c r="A664" s="89" t="inlineStr">
        <is>
          <t>VIN-000659</t>
        </is>
      </c>
      <c r="B664" s="91" t="n"/>
      <c r="C664" s="91" t="n"/>
      <c r="D664" s="94" t="str">
        <f>IF(T664=1,INDEX('ITENS_MTR'!$S$6:$S$1005,S664)&amp;"","")</f>
        <v/>
      </c>
      <c r="E664" s="94" t="str">
        <f>IF(T664=1,INDEX('ITENS_MTR'!$C$6:$C$1005,S664)&amp;"","")</f>
        <v/>
      </c>
      <c r="F664" s="98" t="n"/>
      <c r="G664" s="91" t="n"/>
      <c r="H664" s="93" t="str">
        <f>IF(N664=0,"",IF(NOT(ISNUMBER(F664)),"",IF(ISNUMBER(U664),F664*U664,"UNIDADE A CONFERIR")))</f>
        <v/>
      </c>
      <c r="I664" s="94" t="str">
        <f>IF(Q664=1,INDEX('CDFs'!$F$6:$F$505,P664)&amp;"","")</f>
        <v/>
      </c>
      <c r="J664" s="91" t="n"/>
      <c r="K664" s="91" t="n"/>
      <c r="L664" s="94" t="str">
        <f>IF(N664=0,"",IF(NOT(ISNUMBER(F664)),"Quantidade não informada",IF(F664&lt;=0,"Quantidade não positiva",IF(G664="","Unidade não informada",IF(NOT(ISNUMBER(H664)),"Unidade a conferir",IF(AC664=1,"REVISAR VÍNCULO: soma vinculada maior que a referência do item","OK"))))))</f>
        <v/>
      </c>
      <c r="M664" s="94" t="str">
        <f>IF(N664=0,"",IF(B664="","CDF não informado",IF(Q664=0,"REVISAR VÍNCULO: CDF inexistente",IF(C664="","Item não informado",IF(T664=0,"REVISAR VÍNCULO: item inexistente",IF(AND(X664=1,J664&lt;&gt;"Sim"),"REVISAR VÍNCULO: destinador diferente do MTR",IF(X664=1,"Destinador diferente do MTR (analisado)","OK")))))))</f>
        <v/>
      </c>
      <c r="N664" s="96">
        <f>IF(COUNTA(B664:C664,F664:G664,J664:K664)&gt;0,1,0)</f>
        <v>0</v>
      </c>
      <c r="O664" s="96" t="str">
        <f>IF(B664="","",TRIM(LEFT(B664,FIND(" |",B664&amp;" |")-1)))</f>
        <v/>
      </c>
      <c r="P664" s="96" t="str">
        <f>IF(O664="","",IFERROR(MATCH(O664,'CDFs'!$A$6:$A$505,0),""))</f>
        <v/>
      </c>
      <c r="Q664" s="96">
        <f>IF(P664="",0,IF(INDEX('CDFs'!$S$6:$S$505,P664)=1,1,0))</f>
        <v>0</v>
      </c>
      <c r="R664" s="96" t="str">
        <f>IF(C664="","",TRIM(LEFT(C664,FIND(" |",C664&amp;" |")-1)))</f>
        <v/>
      </c>
      <c r="S664" s="96" t="str">
        <f>IF(R664="","",IFERROR(MATCH(R664,'ITENS_MTR'!$A$6:$A$1005,0),""))</f>
        <v/>
      </c>
      <c r="T664" s="96">
        <f>IF(S664="",0,IF(INDEX('ITENS_MTR'!$R$6:$R$1005,S664)=1,1,0))</f>
        <v>0</v>
      </c>
      <c r="U664" s="96" t="str">
        <f>IF(G664="","",IFERROR(IF(ISNUMBER(INDEX(cfg_fac,MATCH(G664,cfg_units,0))),IF(INDEX(cfg_fac,MATCH(G664,cfg_units,0))&gt;0,INDEX(cfg_fac,MATCH(G664,cfg_units,0)),""),""),""))</f>
        <v/>
      </c>
      <c r="V664" s="96">
        <f>IF(AND(ISNUMBER(F664),ISNUMBER(H664)),IF(H664&gt;0,1,0),0)</f>
        <v>0</v>
      </c>
      <c r="W664" s="96" t="str">
        <f>IF(T664=1,INDEX('ITENS_MTR'!$AU$6:$AU$1005,S664)&amp;"","")</f>
        <v/>
      </c>
      <c r="X664" s="96">
        <f>IF(AND(Q664=1,T664=1,I664&lt;&gt;"",W664&lt;&gt;""),IF(I664&lt;&gt;W664,1,0),0)</f>
        <v>0</v>
      </c>
      <c r="Y664" s="96">
        <f>IF(N664=0,0,IF(OR(Q664=0,T664=0,V664=0,AND(X664=1,J664&lt;&gt;"Sim")),1,0))</f>
        <v>0</v>
      </c>
      <c r="Z664" s="96">
        <f>IF(Q664=1,INDEX('CDFs'!$W$6:$W$505,P664),0)</f>
        <v>0</v>
      </c>
      <c r="AA664" s="96">
        <f>IF(AND(N664=1,Y664=0,Z664=1,J664="Sim"),1,0)</f>
        <v>0</v>
      </c>
      <c r="AB664" s="96">
        <f>IF(AND(N664=1,O664&lt;&gt;"",D664&lt;&gt;""),IF(COUNTIFS($O$6:O664,O664,$D$6:D664,D664)=1,1,0),0)</f>
        <v>0</v>
      </c>
      <c r="AC664" s="96">
        <f>IF(T664=1,INDEX('ITENS_MTR'!$AL$6:$AL$1005,S664),0)</f>
        <v>0</v>
      </c>
    </row>
    <row r="665">
      <c r="A665" s="89" t="inlineStr">
        <is>
          <t>VIN-000660</t>
        </is>
      </c>
      <c r="B665" s="91" t="n"/>
      <c r="C665" s="91" t="n"/>
      <c r="D665" s="94" t="str">
        <f>IF(T665=1,INDEX('ITENS_MTR'!$S$6:$S$1005,S665)&amp;"","")</f>
        <v/>
      </c>
      <c r="E665" s="94" t="str">
        <f>IF(T665=1,INDEX('ITENS_MTR'!$C$6:$C$1005,S665)&amp;"","")</f>
        <v/>
      </c>
      <c r="F665" s="98" t="n"/>
      <c r="G665" s="91" t="n"/>
      <c r="H665" s="93" t="str">
        <f>IF(N665=0,"",IF(NOT(ISNUMBER(F665)),"",IF(ISNUMBER(U665),F665*U665,"UNIDADE A CONFERIR")))</f>
        <v/>
      </c>
      <c r="I665" s="94" t="str">
        <f>IF(Q665=1,INDEX('CDFs'!$F$6:$F$505,P665)&amp;"","")</f>
        <v/>
      </c>
      <c r="J665" s="91" t="n"/>
      <c r="K665" s="91" t="n"/>
      <c r="L665" s="94" t="str">
        <f>IF(N665=0,"",IF(NOT(ISNUMBER(F665)),"Quantidade não informada",IF(F665&lt;=0,"Quantidade não positiva",IF(G665="","Unidade não informada",IF(NOT(ISNUMBER(H665)),"Unidade a conferir",IF(AC665=1,"REVISAR VÍNCULO: soma vinculada maior que a referência do item","OK"))))))</f>
        <v/>
      </c>
      <c r="M665" s="94" t="str">
        <f>IF(N665=0,"",IF(B665="","CDF não informado",IF(Q665=0,"REVISAR VÍNCULO: CDF inexistente",IF(C665="","Item não informado",IF(T665=0,"REVISAR VÍNCULO: item inexistente",IF(AND(X665=1,J665&lt;&gt;"Sim"),"REVISAR VÍNCULO: destinador diferente do MTR",IF(X665=1,"Destinador diferente do MTR (analisado)","OK")))))))</f>
        <v/>
      </c>
      <c r="N665" s="96">
        <f>IF(COUNTA(B665:C665,F665:G665,J665:K665)&gt;0,1,0)</f>
        <v>0</v>
      </c>
      <c r="O665" s="96" t="str">
        <f>IF(B665="","",TRIM(LEFT(B665,FIND(" |",B665&amp;" |")-1)))</f>
        <v/>
      </c>
      <c r="P665" s="96" t="str">
        <f>IF(O665="","",IFERROR(MATCH(O665,'CDFs'!$A$6:$A$505,0),""))</f>
        <v/>
      </c>
      <c r="Q665" s="96">
        <f>IF(P665="",0,IF(INDEX('CDFs'!$S$6:$S$505,P665)=1,1,0))</f>
        <v>0</v>
      </c>
      <c r="R665" s="96" t="str">
        <f>IF(C665="","",TRIM(LEFT(C665,FIND(" |",C665&amp;" |")-1)))</f>
        <v/>
      </c>
      <c r="S665" s="96" t="str">
        <f>IF(R665="","",IFERROR(MATCH(R665,'ITENS_MTR'!$A$6:$A$1005,0),""))</f>
        <v/>
      </c>
      <c r="T665" s="96">
        <f>IF(S665="",0,IF(INDEX('ITENS_MTR'!$R$6:$R$1005,S665)=1,1,0))</f>
        <v>0</v>
      </c>
      <c r="U665" s="96" t="str">
        <f>IF(G665="","",IFERROR(IF(ISNUMBER(INDEX(cfg_fac,MATCH(G665,cfg_units,0))),IF(INDEX(cfg_fac,MATCH(G665,cfg_units,0))&gt;0,INDEX(cfg_fac,MATCH(G665,cfg_units,0)),""),""),""))</f>
        <v/>
      </c>
      <c r="V665" s="96">
        <f>IF(AND(ISNUMBER(F665),ISNUMBER(H665)),IF(H665&gt;0,1,0),0)</f>
        <v>0</v>
      </c>
      <c r="W665" s="96" t="str">
        <f>IF(T665=1,INDEX('ITENS_MTR'!$AU$6:$AU$1005,S665)&amp;"","")</f>
        <v/>
      </c>
      <c r="X665" s="96">
        <f>IF(AND(Q665=1,T665=1,I665&lt;&gt;"",W665&lt;&gt;""),IF(I665&lt;&gt;W665,1,0),0)</f>
        <v>0</v>
      </c>
      <c r="Y665" s="96">
        <f>IF(N665=0,0,IF(OR(Q665=0,T665=0,V665=0,AND(X665=1,J665&lt;&gt;"Sim")),1,0))</f>
        <v>0</v>
      </c>
      <c r="Z665" s="96">
        <f>IF(Q665=1,INDEX('CDFs'!$W$6:$W$505,P665),0)</f>
        <v>0</v>
      </c>
      <c r="AA665" s="96">
        <f>IF(AND(N665=1,Y665=0,Z665=1,J665="Sim"),1,0)</f>
        <v>0</v>
      </c>
      <c r="AB665" s="96">
        <f>IF(AND(N665=1,O665&lt;&gt;"",D665&lt;&gt;""),IF(COUNTIFS($O$6:O665,O665,$D$6:D665,D665)=1,1,0),0)</f>
        <v>0</v>
      </c>
      <c r="AC665" s="96">
        <f>IF(T665=1,INDEX('ITENS_MTR'!$AL$6:$AL$1005,S665),0)</f>
        <v>0</v>
      </c>
    </row>
    <row r="666">
      <c r="A666" s="89" t="inlineStr">
        <is>
          <t>VIN-000661</t>
        </is>
      </c>
      <c r="B666" s="91" t="n"/>
      <c r="C666" s="91" t="n"/>
      <c r="D666" s="94" t="str">
        <f>IF(T666=1,INDEX('ITENS_MTR'!$S$6:$S$1005,S666)&amp;"","")</f>
        <v/>
      </c>
      <c r="E666" s="94" t="str">
        <f>IF(T666=1,INDEX('ITENS_MTR'!$C$6:$C$1005,S666)&amp;"","")</f>
        <v/>
      </c>
      <c r="F666" s="98" t="n"/>
      <c r="G666" s="91" t="n"/>
      <c r="H666" s="93" t="str">
        <f>IF(N666=0,"",IF(NOT(ISNUMBER(F666)),"",IF(ISNUMBER(U666),F666*U666,"UNIDADE A CONFERIR")))</f>
        <v/>
      </c>
      <c r="I666" s="94" t="str">
        <f>IF(Q666=1,INDEX('CDFs'!$F$6:$F$505,P666)&amp;"","")</f>
        <v/>
      </c>
      <c r="J666" s="91" t="n"/>
      <c r="K666" s="91" t="n"/>
      <c r="L666" s="94" t="str">
        <f>IF(N666=0,"",IF(NOT(ISNUMBER(F666)),"Quantidade não informada",IF(F666&lt;=0,"Quantidade não positiva",IF(G666="","Unidade não informada",IF(NOT(ISNUMBER(H666)),"Unidade a conferir",IF(AC666=1,"REVISAR VÍNCULO: soma vinculada maior que a referência do item","OK"))))))</f>
        <v/>
      </c>
      <c r="M666" s="94" t="str">
        <f>IF(N666=0,"",IF(B666="","CDF não informado",IF(Q666=0,"REVISAR VÍNCULO: CDF inexistente",IF(C666="","Item não informado",IF(T666=0,"REVISAR VÍNCULO: item inexistente",IF(AND(X666=1,J666&lt;&gt;"Sim"),"REVISAR VÍNCULO: destinador diferente do MTR",IF(X666=1,"Destinador diferente do MTR (analisado)","OK")))))))</f>
        <v/>
      </c>
      <c r="N666" s="96">
        <f>IF(COUNTA(B666:C666,F666:G666,J666:K666)&gt;0,1,0)</f>
        <v>0</v>
      </c>
      <c r="O666" s="96" t="str">
        <f>IF(B666="","",TRIM(LEFT(B666,FIND(" |",B666&amp;" |")-1)))</f>
        <v/>
      </c>
      <c r="P666" s="96" t="str">
        <f>IF(O666="","",IFERROR(MATCH(O666,'CDFs'!$A$6:$A$505,0),""))</f>
        <v/>
      </c>
      <c r="Q666" s="96">
        <f>IF(P666="",0,IF(INDEX('CDFs'!$S$6:$S$505,P666)=1,1,0))</f>
        <v>0</v>
      </c>
      <c r="R666" s="96" t="str">
        <f>IF(C666="","",TRIM(LEFT(C666,FIND(" |",C666&amp;" |")-1)))</f>
        <v/>
      </c>
      <c r="S666" s="96" t="str">
        <f>IF(R666="","",IFERROR(MATCH(R666,'ITENS_MTR'!$A$6:$A$1005,0),""))</f>
        <v/>
      </c>
      <c r="T666" s="96">
        <f>IF(S666="",0,IF(INDEX('ITENS_MTR'!$R$6:$R$1005,S666)=1,1,0))</f>
        <v>0</v>
      </c>
      <c r="U666" s="96" t="str">
        <f>IF(G666="","",IFERROR(IF(ISNUMBER(INDEX(cfg_fac,MATCH(G666,cfg_units,0))),IF(INDEX(cfg_fac,MATCH(G666,cfg_units,0))&gt;0,INDEX(cfg_fac,MATCH(G666,cfg_units,0)),""),""),""))</f>
        <v/>
      </c>
      <c r="V666" s="96">
        <f>IF(AND(ISNUMBER(F666),ISNUMBER(H666)),IF(H666&gt;0,1,0),0)</f>
        <v>0</v>
      </c>
      <c r="W666" s="96" t="str">
        <f>IF(T666=1,INDEX('ITENS_MTR'!$AU$6:$AU$1005,S666)&amp;"","")</f>
        <v/>
      </c>
      <c r="X666" s="96">
        <f>IF(AND(Q666=1,T666=1,I666&lt;&gt;"",W666&lt;&gt;""),IF(I666&lt;&gt;W666,1,0),0)</f>
        <v>0</v>
      </c>
      <c r="Y666" s="96">
        <f>IF(N666=0,0,IF(OR(Q666=0,T666=0,V666=0,AND(X666=1,J666&lt;&gt;"Sim")),1,0))</f>
        <v>0</v>
      </c>
      <c r="Z666" s="96">
        <f>IF(Q666=1,INDEX('CDFs'!$W$6:$W$505,P666),0)</f>
        <v>0</v>
      </c>
      <c r="AA666" s="96">
        <f>IF(AND(N666=1,Y666=0,Z666=1,J666="Sim"),1,0)</f>
        <v>0</v>
      </c>
      <c r="AB666" s="96">
        <f>IF(AND(N666=1,O666&lt;&gt;"",D666&lt;&gt;""),IF(COUNTIFS($O$6:O666,O666,$D$6:D666,D666)=1,1,0),0)</f>
        <v>0</v>
      </c>
      <c r="AC666" s="96">
        <f>IF(T666=1,INDEX('ITENS_MTR'!$AL$6:$AL$1005,S666),0)</f>
        <v>0</v>
      </c>
    </row>
    <row r="667">
      <c r="A667" s="89" t="inlineStr">
        <is>
          <t>VIN-000662</t>
        </is>
      </c>
      <c r="B667" s="91" t="n"/>
      <c r="C667" s="91" t="n"/>
      <c r="D667" s="94" t="str">
        <f>IF(T667=1,INDEX('ITENS_MTR'!$S$6:$S$1005,S667)&amp;"","")</f>
        <v/>
      </c>
      <c r="E667" s="94" t="str">
        <f>IF(T667=1,INDEX('ITENS_MTR'!$C$6:$C$1005,S667)&amp;"","")</f>
        <v/>
      </c>
      <c r="F667" s="98" t="n"/>
      <c r="G667" s="91" t="n"/>
      <c r="H667" s="93" t="str">
        <f>IF(N667=0,"",IF(NOT(ISNUMBER(F667)),"",IF(ISNUMBER(U667),F667*U667,"UNIDADE A CONFERIR")))</f>
        <v/>
      </c>
      <c r="I667" s="94" t="str">
        <f>IF(Q667=1,INDEX('CDFs'!$F$6:$F$505,P667)&amp;"","")</f>
        <v/>
      </c>
      <c r="J667" s="91" t="n"/>
      <c r="K667" s="91" t="n"/>
      <c r="L667" s="94" t="str">
        <f>IF(N667=0,"",IF(NOT(ISNUMBER(F667)),"Quantidade não informada",IF(F667&lt;=0,"Quantidade não positiva",IF(G667="","Unidade não informada",IF(NOT(ISNUMBER(H667)),"Unidade a conferir",IF(AC667=1,"REVISAR VÍNCULO: soma vinculada maior que a referência do item","OK"))))))</f>
        <v/>
      </c>
      <c r="M667" s="94" t="str">
        <f>IF(N667=0,"",IF(B667="","CDF não informado",IF(Q667=0,"REVISAR VÍNCULO: CDF inexistente",IF(C667="","Item não informado",IF(T667=0,"REVISAR VÍNCULO: item inexistente",IF(AND(X667=1,J667&lt;&gt;"Sim"),"REVISAR VÍNCULO: destinador diferente do MTR",IF(X667=1,"Destinador diferente do MTR (analisado)","OK")))))))</f>
        <v/>
      </c>
      <c r="N667" s="96">
        <f>IF(COUNTA(B667:C667,F667:G667,J667:K667)&gt;0,1,0)</f>
        <v>0</v>
      </c>
      <c r="O667" s="96" t="str">
        <f>IF(B667="","",TRIM(LEFT(B667,FIND(" |",B667&amp;" |")-1)))</f>
        <v/>
      </c>
      <c r="P667" s="96" t="str">
        <f>IF(O667="","",IFERROR(MATCH(O667,'CDFs'!$A$6:$A$505,0),""))</f>
        <v/>
      </c>
      <c r="Q667" s="96">
        <f>IF(P667="",0,IF(INDEX('CDFs'!$S$6:$S$505,P667)=1,1,0))</f>
        <v>0</v>
      </c>
      <c r="R667" s="96" t="str">
        <f>IF(C667="","",TRIM(LEFT(C667,FIND(" |",C667&amp;" |")-1)))</f>
        <v/>
      </c>
      <c r="S667" s="96" t="str">
        <f>IF(R667="","",IFERROR(MATCH(R667,'ITENS_MTR'!$A$6:$A$1005,0),""))</f>
        <v/>
      </c>
      <c r="T667" s="96">
        <f>IF(S667="",0,IF(INDEX('ITENS_MTR'!$R$6:$R$1005,S667)=1,1,0))</f>
        <v>0</v>
      </c>
      <c r="U667" s="96" t="str">
        <f>IF(G667="","",IFERROR(IF(ISNUMBER(INDEX(cfg_fac,MATCH(G667,cfg_units,0))),IF(INDEX(cfg_fac,MATCH(G667,cfg_units,0))&gt;0,INDEX(cfg_fac,MATCH(G667,cfg_units,0)),""),""),""))</f>
        <v/>
      </c>
      <c r="V667" s="96">
        <f>IF(AND(ISNUMBER(F667),ISNUMBER(H667)),IF(H667&gt;0,1,0),0)</f>
        <v>0</v>
      </c>
      <c r="W667" s="96" t="str">
        <f>IF(T667=1,INDEX('ITENS_MTR'!$AU$6:$AU$1005,S667)&amp;"","")</f>
        <v/>
      </c>
      <c r="X667" s="96">
        <f>IF(AND(Q667=1,T667=1,I667&lt;&gt;"",W667&lt;&gt;""),IF(I667&lt;&gt;W667,1,0),0)</f>
        <v>0</v>
      </c>
      <c r="Y667" s="96">
        <f>IF(N667=0,0,IF(OR(Q667=0,T667=0,V667=0,AND(X667=1,J667&lt;&gt;"Sim")),1,0))</f>
        <v>0</v>
      </c>
      <c r="Z667" s="96">
        <f>IF(Q667=1,INDEX('CDFs'!$W$6:$W$505,P667),0)</f>
        <v>0</v>
      </c>
      <c r="AA667" s="96">
        <f>IF(AND(N667=1,Y667=0,Z667=1,J667="Sim"),1,0)</f>
        <v>0</v>
      </c>
      <c r="AB667" s="96">
        <f>IF(AND(N667=1,O667&lt;&gt;"",D667&lt;&gt;""),IF(COUNTIFS($O$6:O667,O667,$D$6:D667,D667)=1,1,0),0)</f>
        <v>0</v>
      </c>
      <c r="AC667" s="96">
        <f>IF(T667=1,INDEX('ITENS_MTR'!$AL$6:$AL$1005,S667),0)</f>
        <v>0</v>
      </c>
    </row>
    <row r="668">
      <c r="A668" s="89" t="inlineStr">
        <is>
          <t>VIN-000663</t>
        </is>
      </c>
      <c r="B668" s="91" t="n"/>
      <c r="C668" s="91" t="n"/>
      <c r="D668" s="94" t="str">
        <f>IF(T668=1,INDEX('ITENS_MTR'!$S$6:$S$1005,S668)&amp;"","")</f>
        <v/>
      </c>
      <c r="E668" s="94" t="str">
        <f>IF(T668=1,INDEX('ITENS_MTR'!$C$6:$C$1005,S668)&amp;"","")</f>
        <v/>
      </c>
      <c r="F668" s="98" t="n"/>
      <c r="G668" s="91" t="n"/>
      <c r="H668" s="93" t="str">
        <f>IF(N668=0,"",IF(NOT(ISNUMBER(F668)),"",IF(ISNUMBER(U668),F668*U668,"UNIDADE A CONFERIR")))</f>
        <v/>
      </c>
      <c r="I668" s="94" t="str">
        <f>IF(Q668=1,INDEX('CDFs'!$F$6:$F$505,P668)&amp;"","")</f>
        <v/>
      </c>
      <c r="J668" s="91" t="n"/>
      <c r="K668" s="91" t="n"/>
      <c r="L668" s="94" t="str">
        <f>IF(N668=0,"",IF(NOT(ISNUMBER(F668)),"Quantidade não informada",IF(F668&lt;=0,"Quantidade não positiva",IF(G668="","Unidade não informada",IF(NOT(ISNUMBER(H668)),"Unidade a conferir",IF(AC668=1,"REVISAR VÍNCULO: soma vinculada maior que a referência do item","OK"))))))</f>
        <v/>
      </c>
      <c r="M668" s="94" t="str">
        <f>IF(N668=0,"",IF(B668="","CDF não informado",IF(Q668=0,"REVISAR VÍNCULO: CDF inexistente",IF(C668="","Item não informado",IF(T668=0,"REVISAR VÍNCULO: item inexistente",IF(AND(X668=1,J668&lt;&gt;"Sim"),"REVISAR VÍNCULO: destinador diferente do MTR",IF(X668=1,"Destinador diferente do MTR (analisado)","OK")))))))</f>
        <v/>
      </c>
      <c r="N668" s="96">
        <f>IF(COUNTA(B668:C668,F668:G668,J668:K668)&gt;0,1,0)</f>
        <v>0</v>
      </c>
      <c r="O668" s="96" t="str">
        <f>IF(B668="","",TRIM(LEFT(B668,FIND(" |",B668&amp;" |")-1)))</f>
        <v/>
      </c>
      <c r="P668" s="96" t="str">
        <f>IF(O668="","",IFERROR(MATCH(O668,'CDFs'!$A$6:$A$505,0),""))</f>
        <v/>
      </c>
      <c r="Q668" s="96">
        <f>IF(P668="",0,IF(INDEX('CDFs'!$S$6:$S$505,P668)=1,1,0))</f>
        <v>0</v>
      </c>
      <c r="R668" s="96" t="str">
        <f>IF(C668="","",TRIM(LEFT(C668,FIND(" |",C668&amp;" |")-1)))</f>
        <v/>
      </c>
      <c r="S668" s="96" t="str">
        <f>IF(R668="","",IFERROR(MATCH(R668,'ITENS_MTR'!$A$6:$A$1005,0),""))</f>
        <v/>
      </c>
      <c r="T668" s="96">
        <f>IF(S668="",0,IF(INDEX('ITENS_MTR'!$R$6:$R$1005,S668)=1,1,0))</f>
        <v>0</v>
      </c>
      <c r="U668" s="96" t="str">
        <f>IF(G668="","",IFERROR(IF(ISNUMBER(INDEX(cfg_fac,MATCH(G668,cfg_units,0))),IF(INDEX(cfg_fac,MATCH(G668,cfg_units,0))&gt;0,INDEX(cfg_fac,MATCH(G668,cfg_units,0)),""),""),""))</f>
        <v/>
      </c>
      <c r="V668" s="96">
        <f>IF(AND(ISNUMBER(F668),ISNUMBER(H668)),IF(H668&gt;0,1,0),0)</f>
        <v>0</v>
      </c>
      <c r="W668" s="96" t="str">
        <f>IF(T668=1,INDEX('ITENS_MTR'!$AU$6:$AU$1005,S668)&amp;"","")</f>
        <v/>
      </c>
      <c r="X668" s="96">
        <f>IF(AND(Q668=1,T668=1,I668&lt;&gt;"",W668&lt;&gt;""),IF(I668&lt;&gt;W668,1,0),0)</f>
        <v>0</v>
      </c>
      <c r="Y668" s="96">
        <f>IF(N668=0,0,IF(OR(Q668=0,T668=0,V668=0,AND(X668=1,J668&lt;&gt;"Sim")),1,0))</f>
        <v>0</v>
      </c>
      <c r="Z668" s="96">
        <f>IF(Q668=1,INDEX('CDFs'!$W$6:$W$505,P668),0)</f>
        <v>0</v>
      </c>
      <c r="AA668" s="96">
        <f>IF(AND(N668=1,Y668=0,Z668=1,J668="Sim"),1,0)</f>
        <v>0</v>
      </c>
      <c r="AB668" s="96">
        <f>IF(AND(N668=1,O668&lt;&gt;"",D668&lt;&gt;""),IF(COUNTIFS($O$6:O668,O668,$D$6:D668,D668)=1,1,0),0)</f>
        <v>0</v>
      </c>
      <c r="AC668" s="96">
        <f>IF(T668=1,INDEX('ITENS_MTR'!$AL$6:$AL$1005,S668),0)</f>
        <v>0</v>
      </c>
    </row>
    <row r="669">
      <c r="A669" s="89" t="inlineStr">
        <is>
          <t>VIN-000664</t>
        </is>
      </c>
      <c r="B669" s="91" t="n"/>
      <c r="C669" s="91" t="n"/>
      <c r="D669" s="94" t="str">
        <f>IF(T669=1,INDEX('ITENS_MTR'!$S$6:$S$1005,S669)&amp;"","")</f>
        <v/>
      </c>
      <c r="E669" s="94" t="str">
        <f>IF(T669=1,INDEX('ITENS_MTR'!$C$6:$C$1005,S669)&amp;"","")</f>
        <v/>
      </c>
      <c r="F669" s="98" t="n"/>
      <c r="G669" s="91" t="n"/>
      <c r="H669" s="93" t="str">
        <f>IF(N669=0,"",IF(NOT(ISNUMBER(F669)),"",IF(ISNUMBER(U669),F669*U669,"UNIDADE A CONFERIR")))</f>
        <v/>
      </c>
      <c r="I669" s="94" t="str">
        <f>IF(Q669=1,INDEX('CDFs'!$F$6:$F$505,P669)&amp;"","")</f>
        <v/>
      </c>
      <c r="J669" s="91" t="n"/>
      <c r="K669" s="91" t="n"/>
      <c r="L669" s="94" t="str">
        <f>IF(N669=0,"",IF(NOT(ISNUMBER(F669)),"Quantidade não informada",IF(F669&lt;=0,"Quantidade não positiva",IF(G669="","Unidade não informada",IF(NOT(ISNUMBER(H669)),"Unidade a conferir",IF(AC669=1,"REVISAR VÍNCULO: soma vinculada maior que a referência do item","OK"))))))</f>
        <v/>
      </c>
      <c r="M669" s="94" t="str">
        <f>IF(N669=0,"",IF(B669="","CDF não informado",IF(Q669=0,"REVISAR VÍNCULO: CDF inexistente",IF(C669="","Item não informado",IF(T669=0,"REVISAR VÍNCULO: item inexistente",IF(AND(X669=1,J669&lt;&gt;"Sim"),"REVISAR VÍNCULO: destinador diferente do MTR",IF(X669=1,"Destinador diferente do MTR (analisado)","OK")))))))</f>
        <v/>
      </c>
      <c r="N669" s="96">
        <f>IF(COUNTA(B669:C669,F669:G669,J669:K669)&gt;0,1,0)</f>
        <v>0</v>
      </c>
      <c r="O669" s="96" t="str">
        <f>IF(B669="","",TRIM(LEFT(B669,FIND(" |",B669&amp;" |")-1)))</f>
        <v/>
      </c>
      <c r="P669" s="96" t="str">
        <f>IF(O669="","",IFERROR(MATCH(O669,'CDFs'!$A$6:$A$505,0),""))</f>
        <v/>
      </c>
      <c r="Q669" s="96">
        <f>IF(P669="",0,IF(INDEX('CDFs'!$S$6:$S$505,P669)=1,1,0))</f>
        <v>0</v>
      </c>
      <c r="R669" s="96" t="str">
        <f>IF(C669="","",TRIM(LEFT(C669,FIND(" |",C669&amp;" |")-1)))</f>
        <v/>
      </c>
      <c r="S669" s="96" t="str">
        <f>IF(R669="","",IFERROR(MATCH(R669,'ITENS_MTR'!$A$6:$A$1005,0),""))</f>
        <v/>
      </c>
      <c r="T669" s="96">
        <f>IF(S669="",0,IF(INDEX('ITENS_MTR'!$R$6:$R$1005,S669)=1,1,0))</f>
        <v>0</v>
      </c>
      <c r="U669" s="96" t="str">
        <f>IF(G669="","",IFERROR(IF(ISNUMBER(INDEX(cfg_fac,MATCH(G669,cfg_units,0))),IF(INDEX(cfg_fac,MATCH(G669,cfg_units,0))&gt;0,INDEX(cfg_fac,MATCH(G669,cfg_units,0)),""),""),""))</f>
        <v/>
      </c>
      <c r="V669" s="96">
        <f>IF(AND(ISNUMBER(F669),ISNUMBER(H669)),IF(H669&gt;0,1,0),0)</f>
        <v>0</v>
      </c>
      <c r="W669" s="96" t="str">
        <f>IF(T669=1,INDEX('ITENS_MTR'!$AU$6:$AU$1005,S669)&amp;"","")</f>
        <v/>
      </c>
      <c r="X669" s="96">
        <f>IF(AND(Q669=1,T669=1,I669&lt;&gt;"",W669&lt;&gt;""),IF(I669&lt;&gt;W669,1,0),0)</f>
        <v>0</v>
      </c>
      <c r="Y669" s="96">
        <f>IF(N669=0,0,IF(OR(Q669=0,T669=0,V669=0,AND(X669=1,J669&lt;&gt;"Sim")),1,0))</f>
        <v>0</v>
      </c>
      <c r="Z669" s="96">
        <f>IF(Q669=1,INDEX('CDFs'!$W$6:$W$505,P669),0)</f>
        <v>0</v>
      </c>
      <c r="AA669" s="96">
        <f>IF(AND(N669=1,Y669=0,Z669=1,J669="Sim"),1,0)</f>
        <v>0</v>
      </c>
      <c r="AB669" s="96">
        <f>IF(AND(N669=1,O669&lt;&gt;"",D669&lt;&gt;""),IF(COUNTIFS($O$6:O669,O669,$D$6:D669,D669)=1,1,0),0)</f>
        <v>0</v>
      </c>
      <c r="AC669" s="96">
        <f>IF(T669=1,INDEX('ITENS_MTR'!$AL$6:$AL$1005,S669),0)</f>
        <v>0</v>
      </c>
    </row>
    <row r="670">
      <c r="A670" s="89" t="inlineStr">
        <is>
          <t>VIN-000665</t>
        </is>
      </c>
      <c r="B670" s="91" t="n"/>
      <c r="C670" s="91" t="n"/>
      <c r="D670" s="94" t="str">
        <f>IF(T670=1,INDEX('ITENS_MTR'!$S$6:$S$1005,S670)&amp;"","")</f>
        <v/>
      </c>
      <c r="E670" s="94" t="str">
        <f>IF(T670=1,INDEX('ITENS_MTR'!$C$6:$C$1005,S670)&amp;"","")</f>
        <v/>
      </c>
      <c r="F670" s="98" t="n"/>
      <c r="G670" s="91" t="n"/>
      <c r="H670" s="93" t="str">
        <f>IF(N670=0,"",IF(NOT(ISNUMBER(F670)),"",IF(ISNUMBER(U670),F670*U670,"UNIDADE A CONFERIR")))</f>
        <v/>
      </c>
      <c r="I670" s="94" t="str">
        <f>IF(Q670=1,INDEX('CDFs'!$F$6:$F$505,P670)&amp;"","")</f>
        <v/>
      </c>
      <c r="J670" s="91" t="n"/>
      <c r="K670" s="91" t="n"/>
      <c r="L670" s="94" t="str">
        <f>IF(N670=0,"",IF(NOT(ISNUMBER(F670)),"Quantidade não informada",IF(F670&lt;=0,"Quantidade não positiva",IF(G670="","Unidade não informada",IF(NOT(ISNUMBER(H670)),"Unidade a conferir",IF(AC670=1,"REVISAR VÍNCULO: soma vinculada maior que a referência do item","OK"))))))</f>
        <v/>
      </c>
      <c r="M670" s="94" t="str">
        <f>IF(N670=0,"",IF(B670="","CDF não informado",IF(Q670=0,"REVISAR VÍNCULO: CDF inexistente",IF(C670="","Item não informado",IF(T670=0,"REVISAR VÍNCULO: item inexistente",IF(AND(X670=1,J670&lt;&gt;"Sim"),"REVISAR VÍNCULO: destinador diferente do MTR",IF(X670=1,"Destinador diferente do MTR (analisado)","OK")))))))</f>
        <v/>
      </c>
      <c r="N670" s="96">
        <f>IF(COUNTA(B670:C670,F670:G670,J670:K670)&gt;0,1,0)</f>
        <v>0</v>
      </c>
      <c r="O670" s="96" t="str">
        <f>IF(B670="","",TRIM(LEFT(B670,FIND(" |",B670&amp;" |")-1)))</f>
        <v/>
      </c>
      <c r="P670" s="96" t="str">
        <f>IF(O670="","",IFERROR(MATCH(O670,'CDFs'!$A$6:$A$505,0),""))</f>
        <v/>
      </c>
      <c r="Q670" s="96">
        <f>IF(P670="",0,IF(INDEX('CDFs'!$S$6:$S$505,P670)=1,1,0))</f>
        <v>0</v>
      </c>
      <c r="R670" s="96" t="str">
        <f>IF(C670="","",TRIM(LEFT(C670,FIND(" |",C670&amp;" |")-1)))</f>
        <v/>
      </c>
      <c r="S670" s="96" t="str">
        <f>IF(R670="","",IFERROR(MATCH(R670,'ITENS_MTR'!$A$6:$A$1005,0),""))</f>
        <v/>
      </c>
      <c r="T670" s="96">
        <f>IF(S670="",0,IF(INDEX('ITENS_MTR'!$R$6:$R$1005,S670)=1,1,0))</f>
        <v>0</v>
      </c>
      <c r="U670" s="96" t="str">
        <f>IF(G670="","",IFERROR(IF(ISNUMBER(INDEX(cfg_fac,MATCH(G670,cfg_units,0))),IF(INDEX(cfg_fac,MATCH(G670,cfg_units,0))&gt;0,INDEX(cfg_fac,MATCH(G670,cfg_units,0)),""),""),""))</f>
        <v/>
      </c>
      <c r="V670" s="96">
        <f>IF(AND(ISNUMBER(F670),ISNUMBER(H670)),IF(H670&gt;0,1,0),0)</f>
        <v>0</v>
      </c>
      <c r="W670" s="96" t="str">
        <f>IF(T670=1,INDEX('ITENS_MTR'!$AU$6:$AU$1005,S670)&amp;"","")</f>
        <v/>
      </c>
      <c r="X670" s="96">
        <f>IF(AND(Q670=1,T670=1,I670&lt;&gt;"",W670&lt;&gt;""),IF(I670&lt;&gt;W670,1,0),0)</f>
        <v>0</v>
      </c>
      <c r="Y670" s="96">
        <f>IF(N670=0,0,IF(OR(Q670=0,T670=0,V670=0,AND(X670=1,J670&lt;&gt;"Sim")),1,0))</f>
        <v>0</v>
      </c>
      <c r="Z670" s="96">
        <f>IF(Q670=1,INDEX('CDFs'!$W$6:$W$505,P670),0)</f>
        <v>0</v>
      </c>
      <c r="AA670" s="96">
        <f>IF(AND(N670=1,Y670=0,Z670=1,J670="Sim"),1,0)</f>
        <v>0</v>
      </c>
      <c r="AB670" s="96">
        <f>IF(AND(N670=1,O670&lt;&gt;"",D670&lt;&gt;""),IF(COUNTIFS($O$6:O670,O670,$D$6:D670,D670)=1,1,0),0)</f>
        <v>0</v>
      </c>
      <c r="AC670" s="96">
        <f>IF(T670=1,INDEX('ITENS_MTR'!$AL$6:$AL$1005,S670),0)</f>
        <v>0</v>
      </c>
    </row>
    <row r="671">
      <c r="A671" s="89" t="inlineStr">
        <is>
          <t>VIN-000666</t>
        </is>
      </c>
      <c r="B671" s="91" t="n"/>
      <c r="C671" s="91" t="n"/>
      <c r="D671" s="94" t="str">
        <f>IF(T671=1,INDEX('ITENS_MTR'!$S$6:$S$1005,S671)&amp;"","")</f>
        <v/>
      </c>
      <c r="E671" s="94" t="str">
        <f>IF(T671=1,INDEX('ITENS_MTR'!$C$6:$C$1005,S671)&amp;"","")</f>
        <v/>
      </c>
      <c r="F671" s="98" t="n"/>
      <c r="G671" s="91" t="n"/>
      <c r="H671" s="93" t="str">
        <f>IF(N671=0,"",IF(NOT(ISNUMBER(F671)),"",IF(ISNUMBER(U671),F671*U671,"UNIDADE A CONFERIR")))</f>
        <v/>
      </c>
      <c r="I671" s="94" t="str">
        <f>IF(Q671=1,INDEX('CDFs'!$F$6:$F$505,P671)&amp;"","")</f>
        <v/>
      </c>
      <c r="J671" s="91" t="n"/>
      <c r="K671" s="91" t="n"/>
      <c r="L671" s="94" t="str">
        <f>IF(N671=0,"",IF(NOT(ISNUMBER(F671)),"Quantidade não informada",IF(F671&lt;=0,"Quantidade não positiva",IF(G671="","Unidade não informada",IF(NOT(ISNUMBER(H671)),"Unidade a conferir",IF(AC671=1,"REVISAR VÍNCULO: soma vinculada maior que a referência do item","OK"))))))</f>
        <v/>
      </c>
      <c r="M671" s="94" t="str">
        <f>IF(N671=0,"",IF(B671="","CDF não informado",IF(Q671=0,"REVISAR VÍNCULO: CDF inexistente",IF(C671="","Item não informado",IF(T671=0,"REVISAR VÍNCULO: item inexistente",IF(AND(X671=1,J671&lt;&gt;"Sim"),"REVISAR VÍNCULO: destinador diferente do MTR",IF(X671=1,"Destinador diferente do MTR (analisado)","OK")))))))</f>
        <v/>
      </c>
      <c r="N671" s="96">
        <f>IF(COUNTA(B671:C671,F671:G671,J671:K671)&gt;0,1,0)</f>
        <v>0</v>
      </c>
      <c r="O671" s="96" t="str">
        <f>IF(B671="","",TRIM(LEFT(B671,FIND(" |",B671&amp;" |")-1)))</f>
        <v/>
      </c>
      <c r="P671" s="96" t="str">
        <f>IF(O671="","",IFERROR(MATCH(O671,'CDFs'!$A$6:$A$505,0),""))</f>
        <v/>
      </c>
      <c r="Q671" s="96">
        <f>IF(P671="",0,IF(INDEX('CDFs'!$S$6:$S$505,P671)=1,1,0))</f>
        <v>0</v>
      </c>
      <c r="R671" s="96" t="str">
        <f>IF(C671="","",TRIM(LEFT(C671,FIND(" |",C671&amp;" |")-1)))</f>
        <v/>
      </c>
      <c r="S671" s="96" t="str">
        <f>IF(R671="","",IFERROR(MATCH(R671,'ITENS_MTR'!$A$6:$A$1005,0),""))</f>
        <v/>
      </c>
      <c r="T671" s="96">
        <f>IF(S671="",0,IF(INDEX('ITENS_MTR'!$R$6:$R$1005,S671)=1,1,0))</f>
        <v>0</v>
      </c>
      <c r="U671" s="96" t="str">
        <f>IF(G671="","",IFERROR(IF(ISNUMBER(INDEX(cfg_fac,MATCH(G671,cfg_units,0))),IF(INDEX(cfg_fac,MATCH(G671,cfg_units,0))&gt;0,INDEX(cfg_fac,MATCH(G671,cfg_units,0)),""),""),""))</f>
        <v/>
      </c>
      <c r="V671" s="96">
        <f>IF(AND(ISNUMBER(F671),ISNUMBER(H671)),IF(H671&gt;0,1,0),0)</f>
        <v>0</v>
      </c>
      <c r="W671" s="96" t="str">
        <f>IF(T671=1,INDEX('ITENS_MTR'!$AU$6:$AU$1005,S671)&amp;"","")</f>
        <v/>
      </c>
      <c r="X671" s="96">
        <f>IF(AND(Q671=1,T671=1,I671&lt;&gt;"",W671&lt;&gt;""),IF(I671&lt;&gt;W671,1,0),0)</f>
        <v>0</v>
      </c>
      <c r="Y671" s="96">
        <f>IF(N671=0,0,IF(OR(Q671=0,T671=0,V671=0,AND(X671=1,J671&lt;&gt;"Sim")),1,0))</f>
        <v>0</v>
      </c>
      <c r="Z671" s="96">
        <f>IF(Q671=1,INDEX('CDFs'!$W$6:$W$505,P671),0)</f>
        <v>0</v>
      </c>
      <c r="AA671" s="96">
        <f>IF(AND(N671=1,Y671=0,Z671=1,J671="Sim"),1,0)</f>
        <v>0</v>
      </c>
      <c r="AB671" s="96">
        <f>IF(AND(N671=1,O671&lt;&gt;"",D671&lt;&gt;""),IF(COUNTIFS($O$6:O671,O671,$D$6:D671,D671)=1,1,0),0)</f>
        <v>0</v>
      </c>
      <c r="AC671" s="96">
        <f>IF(T671=1,INDEX('ITENS_MTR'!$AL$6:$AL$1005,S671),0)</f>
        <v>0</v>
      </c>
    </row>
    <row r="672">
      <c r="A672" s="89" t="inlineStr">
        <is>
          <t>VIN-000667</t>
        </is>
      </c>
      <c r="B672" s="91" t="n"/>
      <c r="C672" s="91" t="n"/>
      <c r="D672" s="94" t="str">
        <f>IF(T672=1,INDEX('ITENS_MTR'!$S$6:$S$1005,S672)&amp;"","")</f>
        <v/>
      </c>
      <c r="E672" s="94" t="str">
        <f>IF(T672=1,INDEX('ITENS_MTR'!$C$6:$C$1005,S672)&amp;"","")</f>
        <v/>
      </c>
      <c r="F672" s="98" t="n"/>
      <c r="G672" s="91" t="n"/>
      <c r="H672" s="93" t="str">
        <f>IF(N672=0,"",IF(NOT(ISNUMBER(F672)),"",IF(ISNUMBER(U672),F672*U672,"UNIDADE A CONFERIR")))</f>
        <v/>
      </c>
      <c r="I672" s="94" t="str">
        <f>IF(Q672=1,INDEX('CDFs'!$F$6:$F$505,P672)&amp;"","")</f>
        <v/>
      </c>
      <c r="J672" s="91" t="n"/>
      <c r="K672" s="91" t="n"/>
      <c r="L672" s="94" t="str">
        <f>IF(N672=0,"",IF(NOT(ISNUMBER(F672)),"Quantidade não informada",IF(F672&lt;=0,"Quantidade não positiva",IF(G672="","Unidade não informada",IF(NOT(ISNUMBER(H672)),"Unidade a conferir",IF(AC672=1,"REVISAR VÍNCULO: soma vinculada maior que a referência do item","OK"))))))</f>
        <v/>
      </c>
      <c r="M672" s="94" t="str">
        <f>IF(N672=0,"",IF(B672="","CDF não informado",IF(Q672=0,"REVISAR VÍNCULO: CDF inexistente",IF(C672="","Item não informado",IF(T672=0,"REVISAR VÍNCULO: item inexistente",IF(AND(X672=1,J672&lt;&gt;"Sim"),"REVISAR VÍNCULO: destinador diferente do MTR",IF(X672=1,"Destinador diferente do MTR (analisado)","OK")))))))</f>
        <v/>
      </c>
      <c r="N672" s="96">
        <f>IF(COUNTA(B672:C672,F672:G672,J672:K672)&gt;0,1,0)</f>
        <v>0</v>
      </c>
      <c r="O672" s="96" t="str">
        <f>IF(B672="","",TRIM(LEFT(B672,FIND(" |",B672&amp;" |")-1)))</f>
        <v/>
      </c>
      <c r="P672" s="96" t="str">
        <f>IF(O672="","",IFERROR(MATCH(O672,'CDFs'!$A$6:$A$505,0),""))</f>
        <v/>
      </c>
      <c r="Q672" s="96">
        <f>IF(P672="",0,IF(INDEX('CDFs'!$S$6:$S$505,P672)=1,1,0))</f>
        <v>0</v>
      </c>
      <c r="R672" s="96" t="str">
        <f>IF(C672="","",TRIM(LEFT(C672,FIND(" |",C672&amp;" |")-1)))</f>
        <v/>
      </c>
      <c r="S672" s="96" t="str">
        <f>IF(R672="","",IFERROR(MATCH(R672,'ITENS_MTR'!$A$6:$A$1005,0),""))</f>
        <v/>
      </c>
      <c r="T672" s="96">
        <f>IF(S672="",0,IF(INDEX('ITENS_MTR'!$R$6:$R$1005,S672)=1,1,0))</f>
        <v>0</v>
      </c>
      <c r="U672" s="96" t="str">
        <f>IF(G672="","",IFERROR(IF(ISNUMBER(INDEX(cfg_fac,MATCH(G672,cfg_units,0))),IF(INDEX(cfg_fac,MATCH(G672,cfg_units,0))&gt;0,INDEX(cfg_fac,MATCH(G672,cfg_units,0)),""),""),""))</f>
        <v/>
      </c>
      <c r="V672" s="96">
        <f>IF(AND(ISNUMBER(F672),ISNUMBER(H672)),IF(H672&gt;0,1,0),0)</f>
        <v>0</v>
      </c>
      <c r="W672" s="96" t="str">
        <f>IF(T672=1,INDEX('ITENS_MTR'!$AU$6:$AU$1005,S672)&amp;"","")</f>
        <v/>
      </c>
      <c r="X672" s="96">
        <f>IF(AND(Q672=1,T672=1,I672&lt;&gt;"",W672&lt;&gt;""),IF(I672&lt;&gt;W672,1,0),0)</f>
        <v>0</v>
      </c>
      <c r="Y672" s="96">
        <f>IF(N672=0,0,IF(OR(Q672=0,T672=0,V672=0,AND(X672=1,J672&lt;&gt;"Sim")),1,0))</f>
        <v>0</v>
      </c>
      <c r="Z672" s="96">
        <f>IF(Q672=1,INDEX('CDFs'!$W$6:$W$505,P672),0)</f>
        <v>0</v>
      </c>
      <c r="AA672" s="96">
        <f>IF(AND(N672=1,Y672=0,Z672=1,J672="Sim"),1,0)</f>
        <v>0</v>
      </c>
      <c r="AB672" s="96">
        <f>IF(AND(N672=1,O672&lt;&gt;"",D672&lt;&gt;""),IF(COUNTIFS($O$6:O672,O672,$D$6:D672,D672)=1,1,0),0)</f>
        <v>0</v>
      </c>
      <c r="AC672" s="96">
        <f>IF(T672=1,INDEX('ITENS_MTR'!$AL$6:$AL$1005,S672),0)</f>
        <v>0</v>
      </c>
    </row>
    <row r="673">
      <c r="A673" s="89" t="inlineStr">
        <is>
          <t>VIN-000668</t>
        </is>
      </c>
      <c r="B673" s="91" t="n"/>
      <c r="C673" s="91" t="n"/>
      <c r="D673" s="94" t="str">
        <f>IF(T673=1,INDEX('ITENS_MTR'!$S$6:$S$1005,S673)&amp;"","")</f>
        <v/>
      </c>
      <c r="E673" s="94" t="str">
        <f>IF(T673=1,INDEX('ITENS_MTR'!$C$6:$C$1005,S673)&amp;"","")</f>
        <v/>
      </c>
      <c r="F673" s="98" t="n"/>
      <c r="G673" s="91" t="n"/>
      <c r="H673" s="93" t="str">
        <f>IF(N673=0,"",IF(NOT(ISNUMBER(F673)),"",IF(ISNUMBER(U673),F673*U673,"UNIDADE A CONFERIR")))</f>
        <v/>
      </c>
      <c r="I673" s="94" t="str">
        <f>IF(Q673=1,INDEX('CDFs'!$F$6:$F$505,P673)&amp;"","")</f>
        <v/>
      </c>
      <c r="J673" s="91" t="n"/>
      <c r="K673" s="91" t="n"/>
      <c r="L673" s="94" t="str">
        <f>IF(N673=0,"",IF(NOT(ISNUMBER(F673)),"Quantidade não informada",IF(F673&lt;=0,"Quantidade não positiva",IF(G673="","Unidade não informada",IF(NOT(ISNUMBER(H673)),"Unidade a conferir",IF(AC673=1,"REVISAR VÍNCULO: soma vinculada maior que a referência do item","OK"))))))</f>
        <v/>
      </c>
      <c r="M673" s="94" t="str">
        <f>IF(N673=0,"",IF(B673="","CDF não informado",IF(Q673=0,"REVISAR VÍNCULO: CDF inexistente",IF(C673="","Item não informado",IF(T673=0,"REVISAR VÍNCULO: item inexistente",IF(AND(X673=1,J673&lt;&gt;"Sim"),"REVISAR VÍNCULO: destinador diferente do MTR",IF(X673=1,"Destinador diferente do MTR (analisado)","OK")))))))</f>
        <v/>
      </c>
      <c r="N673" s="96">
        <f>IF(COUNTA(B673:C673,F673:G673,J673:K673)&gt;0,1,0)</f>
        <v>0</v>
      </c>
      <c r="O673" s="96" t="str">
        <f>IF(B673="","",TRIM(LEFT(B673,FIND(" |",B673&amp;" |")-1)))</f>
        <v/>
      </c>
      <c r="P673" s="96" t="str">
        <f>IF(O673="","",IFERROR(MATCH(O673,'CDFs'!$A$6:$A$505,0),""))</f>
        <v/>
      </c>
      <c r="Q673" s="96">
        <f>IF(P673="",0,IF(INDEX('CDFs'!$S$6:$S$505,P673)=1,1,0))</f>
        <v>0</v>
      </c>
      <c r="R673" s="96" t="str">
        <f>IF(C673="","",TRIM(LEFT(C673,FIND(" |",C673&amp;" |")-1)))</f>
        <v/>
      </c>
      <c r="S673" s="96" t="str">
        <f>IF(R673="","",IFERROR(MATCH(R673,'ITENS_MTR'!$A$6:$A$1005,0),""))</f>
        <v/>
      </c>
      <c r="T673" s="96">
        <f>IF(S673="",0,IF(INDEX('ITENS_MTR'!$R$6:$R$1005,S673)=1,1,0))</f>
        <v>0</v>
      </c>
      <c r="U673" s="96" t="str">
        <f>IF(G673="","",IFERROR(IF(ISNUMBER(INDEX(cfg_fac,MATCH(G673,cfg_units,0))),IF(INDEX(cfg_fac,MATCH(G673,cfg_units,0))&gt;0,INDEX(cfg_fac,MATCH(G673,cfg_units,0)),""),""),""))</f>
        <v/>
      </c>
      <c r="V673" s="96">
        <f>IF(AND(ISNUMBER(F673),ISNUMBER(H673)),IF(H673&gt;0,1,0),0)</f>
        <v>0</v>
      </c>
      <c r="W673" s="96" t="str">
        <f>IF(T673=1,INDEX('ITENS_MTR'!$AU$6:$AU$1005,S673)&amp;"","")</f>
        <v/>
      </c>
      <c r="X673" s="96">
        <f>IF(AND(Q673=1,T673=1,I673&lt;&gt;"",W673&lt;&gt;""),IF(I673&lt;&gt;W673,1,0),0)</f>
        <v>0</v>
      </c>
      <c r="Y673" s="96">
        <f>IF(N673=0,0,IF(OR(Q673=0,T673=0,V673=0,AND(X673=1,J673&lt;&gt;"Sim")),1,0))</f>
        <v>0</v>
      </c>
      <c r="Z673" s="96">
        <f>IF(Q673=1,INDEX('CDFs'!$W$6:$W$505,P673),0)</f>
        <v>0</v>
      </c>
      <c r="AA673" s="96">
        <f>IF(AND(N673=1,Y673=0,Z673=1,J673="Sim"),1,0)</f>
        <v>0</v>
      </c>
      <c r="AB673" s="96">
        <f>IF(AND(N673=1,O673&lt;&gt;"",D673&lt;&gt;""),IF(COUNTIFS($O$6:O673,O673,$D$6:D673,D673)=1,1,0),0)</f>
        <v>0</v>
      </c>
      <c r="AC673" s="96">
        <f>IF(T673=1,INDEX('ITENS_MTR'!$AL$6:$AL$1005,S673),0)</f>
        <v>0</v>
      </c>
    </row>
    <row r="674">
      <c r="A674" s="89" t="inlineStr">
        <is>
          <t>VIN-000669</t>
        </is>
      </c>
      <c r="B674" s="91" t="n"/>
      <c r="C674" s="91" t="n"/>
      <c r="D674" s="94" t="str">
        <f>IF(T674=1,INDEX('ITENS_MTR'!$S$6:$S$1005,S674)&amp;"","")</f>
        <v/>
      </c>
      <c r="E674" s="94" t="str">
        <f>IF(T674=1,INDEX('ITENS_MTR'!$C$6:$C$1005,S674)&amp;"","")</f>
        <v/>
      </c>
      <c r="F674" s="98" t="n"/>
      <c r="G674" s="91" t="n"/>
      <c r="H674" s="93" t="str">
        <f>IF(N674=0,"",IF(NOT(ISNUMBER(F674)),"",IF(ISNUMBER(U674),F674*U674,"UNIDADE A CONFERIR")))</f>
        <v/>
      </c>
      <c r="I674" s="94" t="str">
        <f>IF(Q674=1,INDEX('CDFs'!$F$6:$F$505,P674)&amp;"","")</f>
        <v/>
      </c>
      <c r="J674" s="91" t="n"/>
      <c r="K674" s="91" t="n"/>
      <c r="L674" s="94" t="str">
        <f>IF(N674=0,"",IF(NOT(ISNUMBER(F674)),"Quantidade não informada",IF(F674&lt;=0,"Quantidade não positiva",IF(G674="","Unidade não informada",IF(NOT(ISNUMBER(H674)),"Unidade a conferir",IF(AC674=1,"REVISAR VÍNCULO: soma vinculada maior que a referência do item","OK"))))))</f>
        <v/>
      </c>
      <c r="M674" s="94" t="str">
        <f>IF(N674=0,"",IF(B674="","CDF não informado",IF(Q674=0,"REVISAR VÍNCULO: CDF inexistente",IF(C674="","Item não informado",IF(T674=0,"REVISAR VÍNCULO: item inexistente",IF(AND(X674=1,J674&lt;&gt;"Sim"),"REVISAR VÍNCULO: destinador diferente do MTR",IF(X674=1,"Destinador diferente do MTR (analisado)","OK")))))))</f>
        <v/>
      </c>
      <c r="N674" s="96">
        <f>IF(COUNTA(B674:C674,F674:G674,J674:K674)&gt;0,1,0)</f>
        <v>0</v>
      </c>
      <c r="O674" s="96" t="str">
        <f>IF(B674="","",TRIM(LEFT(B674,FIND(" |",B674&amp;" |")-1)))</f>
        <v/>
      </c>
      <c r="P674" s="96" t="str">
        <f>IF(O674="","",IFERROR(MATCH(O674,'CDFs'!$A$6:$A$505,0),""))</f>
        <v/>
      </c>
      <c r="Q674" s="96">
        <f>IF(P674="",0,IF(INDEX('CDFs'!$S$6:$S$505,P674)=1,1,0))</f>
        <v>0</v>
      </c>
      <c r="R674" s="96" t="str">
        <f>IF(C674="","",TRIM(LEFT(C674,FIND(" |",C674&amp;" |")-1)))</f>
        <v/>
      </c>
      <c r="S674" s="96" t="str">
        <f>IF(R674="","",IFERROR(MATCH(R674,'ITENS_MTR'!$A$6:$A$1005,0),""))</f>
        <v/>
      </c>
      <c r="T674" s="96">
        <f>IF(S674="",0,IF(INDEX('ITENS_MTR'!$R$6:$R$1005,S674)=1,1,0))</f>
        <v>0</v>
      </c>
      <c r="U674" s="96" t="str">
        <f>IF(G674="","",IFERROR(IF(ISNUMBER(INDEX(cfg_fac,MATCH(G674,cfg_units,0))),IF(INDEX(cfg_fac,MATCH(G674,cfg_units,0))&gt;0,INDEX(cfg_fac,MATCH(G674,cfg_units,0)),""),""),""))</f>
        <v/>
      </c>
      <c r="V674" s="96">
        <f>IF(AND(ISNUMBER(F674),ISNUMBER(H674)),IF(H674&gt;0,1,0),0)</f>
        <v>0</v>
      </c>
      <c r="W674" s="96" t="str">
        <f>IF(T674=1,INDEX('ITENS_MTR'!$AU$6:$AU$1005,S674)&amp;"","")</f>
        <v/>
      </c>
      <c r="X674" s="96">
        <f>IF(AND(Q674=1,T674=1,I674&lt;&gt;"",W674&lt;&gt;""),IF(I674&lt;&gt;W674,1,0),0)</f>
        <v>0</v>
      </c>
      <c r="Y674" s="96">
        <f>IF(N674=0,0,IF(OR(Q674=0,T674=0,V674=0,AND(X674=1,J674&lt;&gt;"Sim")),1,0))</f>
        <v>0</v>
      </c>
      <c r="Z674" s="96">
        <f>IF(Q674=1,INDEX('CDFs'!$W$6:$W$505,P674),0)</f>
        <v>0</v>
      </c>
      <c r="AA674" s="96">
        <f>IF(AND(N674=1,Y674=0,Z674=1,J674="Sim"),1,0)</f>
        <v>0</v>
      </c>
      <c r="AB674" s="96">
        <f>IF(AND(N674=1,O674&lt;&gt;"",D674&lt;&gt;""),IF(COUNTIFS($O$6:O674,O674,$D$6:D674,D674)=1,1,0),0)</f>
        <v>0</v>
      </c>
      <c r="AC674" s="96">
        <f>IF(T674=1,INDEX('ITENS_MTR'!$AL$6:$AL$1005,S674),0)</f>
        <v>0</v>
      </c>
    </row>
    <row r="675">
      <c r="A675" s="89" t="inlineStr">
        <is>
          <t>VIN-000670</t>
        </is>
      </c>
      <c r="B675" s="91" t="n"/>
      <c r="C675" s="91" t="n"/>
      <c r="D675" s="94" t="str">
        <f>IF(T675=1,INDEX('ITENS_MTR'!$S$6:$S$1005,S675)&amp;"","")</f>
        <v/>
      </c>
      <c r="E675" s="94" t="str">
        <f>IF(T675=1,INDEX('ITENS_MTR'!$C$6:$C$1005,S675)&amp;"","")</f>
        <v/>
      </c>
      <c r="F675" s="98" t="n"/>
      <c r="G675" s="91" t="n"/>
      <c r="H675" s="93" t="str">
        <f>IF(N675=0,"",IF(NOT(ISNUMBER(F675)),"",IF(ISNUMBER(U675),F675*U675,"UNIDADE A CONFERIR")))</f>
        <v/>
      </c>
      <c r="I675" s="94" t="str">
        <f>IF(Q675=1,INDEX('CDFs'!$F$6:$F$505,P675)&amp;"","")</f>
        <v/>
      </c>
      <c r="J675" s="91" t="n"/>
      <c r="K675" s="91" t="n"/>
      <c r="L675" s="94" t="str">
        <f>IF(N675=0,"",IF(NOT(ISNUMBER(F675)),"Quantidade não informada",IF(F675&lt;=0,"Quantidade não positiva",IF(G675="","Unidade não informada",IF(NOT(ISNUMBER(H675)),"Unidade a conferir",IF(AC675=1,"REVISAR VÍNCULO: soma vinculada maior que a referência do item","OK"))))))</f>
        <v/>
      </c>
      <c r="M675" s="94" t="str">
        <f>IF(N675=0,"",IF(B675="","CDF não informado",IF(Q675=0,"REVISAR VÍNCULO: CDF inexistente",IF(C675="","Item não informado",IF(T675=0,"REVISAR VÍNCULO: item inexistente",IF(AND(X675=1,J675&lt;&gt;"Sim"),"REVISAR VÍNCULO: destinador diferente do MTR",IF(X675=1,"Destinador diferente do MTR (analisado)","OK")))))))</f>
        <v/>
      </c>
      <c r="N675" s="96">
        <f>IF(COUNTA(B675:C675,F675:G675,J675:K675)&gt;0,1,0)</f>
        <v>0</v>
      </c>
      <c r="O675" s="96" t="str">
        <f>IF(B675="","",TRIM(LEFT(B675,FIND(" |",B675&amp;" |")-1)))</f>
        <v/>
      </c>
      <c r="P675" s="96" t="str">
        <f>IF(O675="","",IFERROR(MATCH(O675,'CDFs'!$A$6:$A$505,0),""))</f>
        <v/>
      </c>
      <c r="Q675" s="96">
        <f>IF(P675="",0,IF(INDEX('CDFs'!$S$6:$S$505,P675)=1,1,0))</f>
        <v>0</v>
      </c>
      <c r="R675" s="96" t="str">
        <f>IF(C675="","",TRIM(LEFT(C675,FIND(" |",C675&amp;" |")-1)))</f>
        <v/>
      </c>
      <c r="S675" s="96" t="str">
        <f>IF(R675="","",IFERROR(MATCH(R675,'ITENS_MTR'!$A$6:$A$1005,0),""))</f>
        <v/>
      </c>
      <c r="T675" s="96">
        <f>IF(S675="",0,IF(INDEX('ITENS_MTR'!$R$6:$R$1005,S675)=1,1,0))</f>
        <v>0</v>
      </c>
      <c r="U675" s="96" t="str">
        <f>IF(G675="","",IFERROR(IF(ISNUMBER(INDEX(cfg_fac,MATCH(G675,cfg_units,0))),IF(INDEX(cfg_fac,MATCH(G675,cfg_units,0))&gt;0,INDEX(cfg_fac,MATCH(G675,cfg_units,0)),""),""),""))</f>
        <v/>
      </c>
      <c r="V675" s="96">
        <f>IF(AND(ISNUMBER(F675),ISNUMBER(H675)),IF(H675&gt;0,1,0),0)</f>
        <v>0</v>
      </c>
      <c r="W675" s="96" t="str">
        <f>IF(T675=1,INDEX('ITENS_MTR'!$AU$6:$AU$1005,S675)&amp;"","")</f>
        <v/>
      </c>
      <c r="X675" s="96">
        <f>IF(AND(Q675=1,T675=1,I675&lt;&gt;"",W675&lt;&gt;""),IF(I675&lt;&gt;W675,1,0),0)</f>
        <v>0</v>
      </c>
      <c r="Y675" s="96">
        <f>IF(N675=0,0,IF(OR(Q675=0,T675=0,V675=0,AND(X675=1,J675&lt;&gt;"Sim")),1,0))</f>
        <v>0</v>
      </c>
      <c r="Z675" s="96">
        <f>IF(Q675=1,INDEX('CDFs'!$W$6:$W$505,P675),0)</f>
        <v>0</v>
      </c>
      <c r="AA675" s="96">
        <f>IF(AND(N675=1,Y675=0,Z675=1,J675="Sim"),1,0)</f>
        <v>0</v>
      </c>
      <c r="AB675" s="96">
        <f>IF(AND(N675=1,O675&lt;&gt;"",D675&lt;&gt;""),IF(COUNTIFS($O$6:O675,O675,$D$6:D675,D675)=1,1,0),0)</f>
        <v>0</v>
      </c>
      <c r="AC675" s="96">
        <f>IF(T675=1,INDEX('ITENS_MTR'!$AL$6:$AL$1005,S675),0)</f>
        <v>0</v>
      </c>
    </row>
    <row r="676">
      <c r="A676" s="89" t="inlineStr">
        <is>
          <t>VIN-000671</t>
        </is>
      </c>
      <c r="B676" s="91" t="n"/>
      <c r="C676" s="91" t="n"/>
      <c r="D676" s="94" t="str">
        <f>IF(T676=1,INDEX('ITENS_MTR'!$S$6:$S$1005,S676)&amp;"","")</f>
        <v/>
      </c>
      <c r="E676" s="94" t="str">
        <f>IF(T676=1,INDEX('ITENS_MTR'!$C$6:$C$1005,S676)&amp;"","")</f>
        <v/>
      </c>
      <c r="F676" s="98" t="n"/>
      <c r="G676" s="91" t="n"/>
      <c r="H676" s="93" t="str">
        <f>IF(N676=0,"",IF(NOT(ISNUMBER(F676)),"",IF(ISNUMBER(U676),F676*U676,"UNIDADE A CONFERIR")))</f>
        <v/>
      </c>
      <c r="I676" s="94" t="str">
        <f>IF(Q676=1,INDEX('CDFs'!$F$6:$F$505,P676)&amp;"","")</f>
        <v/>
      </c>
      <c r="J676" s="91" t="n"/>
      <c r="K676" s="91" t="n"/>
      <c r="L676" s="94" t="str">
        <f>IF(N676=0,"",IF(NOT(ISNUMBER(F676)),"Quantidade não informada",IF(F676&lt;=0,"Quantidade não positiva",IF(G676="","Unidade não informada",IF(NOT(ISNUMBER(H676)),"Unidade a conferir",IF(AC676=1,"REVISAR VÍNCULO: soma vinculada maior que a referência do item","OK"))))))</f>
        <v/>
      </c>
      <c r="M676" s="94" t="str">
        <f>IF(N676=0,"",IF(B676="","CDF não informado",IF(Q676=0,"REVISAR VÍNCULO: CDF inexistente",IF(C676="","Item não informado",IF(T676=0,"REVISAR VÍNCULO: item inexistente",IF(AND(X676=1,J676&lt;&gt;"Sim"),"REVISAR VÍNCULO: destinador diferente do MTR",IF(X676=1,"Destinador diferente do MTR (analisado)","OK")))))))</f>
        <v/>
      </c>
      <c r="N676" s="96">
        <f>IF(COUNTA(B676:C676,F676:G676,J676:K676)&gt;0,1,0)</f>
        <v>0</v>
      </c>
      <c r="O676" s="96" t="str">
        <f>IF(B676="","",TRIM(LEFT(B676,FIND(" |",B676&amp;" |")-1)))</f>
        <v/>
      </c>
      <c r="P676" s="96" t="str">
        <f>IF(O676="","",IFERROR(MATCH(O676,'CDFs'!$A$6:$A$505,0),""))</f>
        <v/>
      </c>
      <c r="Q676" s="96">
        <f>IF(P676="",0,IF(INDEX('CDFs'!$S$6:$S$505,P676)=1,1,0))</f>
        <v>0</v>
      </c>
      <c r="R676" s="96" t="str">
        <f>IF(C676="","",TRIM(LEFT(C676,FIND(" |",C676&amp;" |")-1)))</f>
        <v/>
      </c>
      <c r="S676" s="96" t="str">
        <f>IF(R676="","",IFERROR(MATCH(R676,'ITENS_MTR'!$A$6:$A$1005,0),""))</f>
        <v/>
      </c>
      <c r="T676" s="96">
        <f>IF(S676="",0,IF(INDEX('ITENS_MTR'!$R$6:$R$1005,S676)=1,1,0))</f>
        <v>0</v>
      </c>
      <c r="U676" s="96" t="str">
        <f>IF(G676="","",IFERROR(IF(ISNUMBER(INDEX(cfg_fac,MATCH(G676,cfg_units,0))),IF(INDEX(cfg_fac,MATCH(G676,cfg_units,0))&gt;0,INDEX(cfg_fac,MATCH(G676,cfg_units,0)),""),""),""))</f>
        <v/>
      </c>
      <c r="V676" s="96">
        <f>IF(AND(ISNUMBER(F676),ISNUMBER(H676)),IF(H676&gt;0,1,0),0)</f>
        <v>0</v>
      </c>
      <c r="W676" s="96" t="str">
        <f>IF(T676=1,INDEX('ITENS_MTR'!$AU$6:$AU$1005,S676)&amp;"","")</f>
        <v/>
      </c>
      <c r="X676" s="96">
        <f>IF(AND(Q676=1,T676=1,I676&lt;&gt;"",W676&lt;&gt;""),IF(I676&lt;&gt;W676,1,0),0)</f>
        <v>0</v>
      </c>
      <c r="Y676" s="96">
        <f>IF(N676=0,0,IF(OR(Q676=0,T676=0,V676=0,AND(X676=1,J676&lt;&gt;"Sim")),1,0))</f>
        <v>0</v>
      </c>
      <c r="Z676" s="96">
        <f>IF(Q676=1,INDEX('CDFs'!$W$6:$W$505,P676),0)</f>
        <v>0</v>
      </c>
      <c r="AA676" s="96">
        <f>IF(AND(N676=1,Y676=0,Z676=1,J676="Sim"),1,0)</f>
        <v>0</v>
      </c>
      <c r="AB676" s="96">
        <f>IF(AND(N676=1,O676&lt;&gt;"",D676&lt;&gt;""),IF(COUNTIFS($O$6:O676,O676,$D$6:D676,D676)=1,1,0),0)</f>
        <v>0</v>
      </c>
      <c r="AC676" s="96">
        <f>IF(T676=1,INDEX('ITENS_MTR'!$AL$6:$AL$1005,S676),0)</f>
        <v>0</v>
      </c>
    </row>
    <row r="677">
      <c r="A677" s="89" t="inlineStr">
        <is>
          <t>VIN-000672</t>
        </is>
      </c>
      <c r="B677" s="91" t="n"/>
      <c r="C677" s="91" t="n"/>
      <c r="D677" s="94" t="str">
        <f>IF(T677=1,INDEX('ITENS_MTR'!$S$6:$S$1005,S677)&amp;"","")</f>
        <v/>
      </c>
      <c r="E677" s="94" t="str">
        <f>IF(T677=1,INDEX('ITENS_MTR'!$C$6:$C$1005,S677)&amp;"","")</f>
        <v/>
      </c>
      <c r="F677" s="98" t="n"/>
      <c r="G677" s="91" t="n"/>
      <c r="H677" s="93" t="str">
        <f>IF(N677=0,"",IF(NOT(ISNUMBER(F677)),"",IF(ISNUMBER(U677),F677*U677,"UNIDADE A CONFERIR")))</f>
        <v/>
      </c>
      <c r="I677" s="94" t="str">
        <f>IF(Q677=1,INDEX('CDFs'!$F$6:$F$505,P677)&amp;"","")</f>
        <v/>
      </c>
      <c r="J677" s="91" t="n"/>
      <c r="K677" s="91" t="n"/>
      <c r="L677" s="94" t="str">
        <f>IF(N677=0,"",IF(NOT(ISNUMBER(F677)),"Quantidade não informada",IF(F677&lt;=0,"Quantidade não positiva",IF(G677="","Unidade não informada",IF(NOT(ISNUMBER(H677)),"Unidade a conferir",IF(AC677=1,"REVISAR VÍNCULO: soma vinculada maior que a referência do item","OK"))))))</f>
        <v/>
      </c>
      <c r="M677" s="94" t="str">
        <f>IF(N677=0,"",IF(B677="","CDF não informado",IF(Q677=0,"REVISAR VÍNCULO: CDF inexistente",IF(C677="","Item não informado",IF(T677=0,"REVISAR VÍNCULO: item inexistente",IF(AND(X677=1,J677&lt;&gt;"Sim"),"REVISAR VÍNCULO: destinador diferente do MTR",IF(X677=1,"Destinador diferente do MTR (analisado)","OK")))))))</f>
        <v/>
      </c>
      <c r="N677" s="96">
        <f>IF(COUNTA(B677:C677,F677:G677,J677:K677)&gt;0,1,0)</f>
        <v>0</v>
      </c>
      <c r="O677" s="96" t="str">
        <f>IF(B677="","",TRIM(LEFT(B677,FIND(" |",B677&amp;" |")-1)))</f>
        <v/>
      </c>
      <c r="P677" s="96" t="str">
        <f>IF(O677="","",IFERROR(MATCH(O677,'CDFs'!$A$6:$A$505,0),""))</f>
        <v/>
      </c>
      <c r="Q677" s="96">
        <f>IF(P677="",0,IF(INDEX('CDFs'!$S$6:$S$505,P677)=1,1,0))</f>
        <v>0</v>
      </c>
      <c r="R677" s="96" t="str">
        <f>IF(C677="","",TRIM(LEFT(C677,FIND(" |",C677&amp;" |")-1)))</f>
        <v/>
      </c>
      <c r="S677" s="96" t="str">
        <f>IF(R677="","",IFERROR(MATCH(R677,'ITENS_MTR'!$A$6:$A$1005,0),""))</f>
        <v/>
      </c>
      <c r="T677" s="96">
        <f>IF(S677="",0,IF(INDEX('ITENS_MTR'!$R$6:$R$1005,S677)=1,1,0))</f>
        <v>0</v>
      </c>
      <c r="U677" s="96" t="str">
        <f>IF(G677="","",IFERROR(IF(ISNUMBER(INDEX(cfg_fac,MATCH(G677,cfg_units,0))),IF(INDEX(cfg_fac,MATCH(G677,cfg_units,0))&gt;0,INDEX(cfg_fac,MATCH(G677,cfg_units,0)),""),""),""))</f>
        <v/>
      </c>
      <c r="V677" s="96">
        <f>IF(AND(ISNUMBER(F677),ISNUMBER(H677)),IF(H677&gt;0,1,0),0)</f>
        <v>0</v>
      </c>
      <c r="W677" s="96" t="str">
        <f>IF(T677=1,INDEX('ITENS_MTR'!$AU$6:$AU$1005,S677)&amp;"","")</f>
        <v/>
      </c>
      <c r="X677" s="96">
        <f>IF(AND(Q677=1,T677=1,I677&lt;&gt;"",W677&lt;&gt;""),IF(I677&lt;&gt;W677,1,0),0)</f>
        <v>0</v>
      </c>
      <c r="Y677" s="96">
        <f>IF(N677=0,0,IF(OR(Q677=0,T677=0,V677=0,AND(X677=1,J677&lt;&gt;"Sim")),1,0))</f>
        <v>0</v>
      </c>
      <c r="Z677" s="96">
        <f>IF(Q677=1,INDEX('CDFs'!$W$6:$W$505,P677),0)</f>
        <v>0</v>
      </c>
      <c r="AA677" s="96">
        <f>IF(AND(N677=1,Y677=0,Z677=1,J677="Sim"),1,0)</f>
        <v>0</v>
      </c>
      <c r="AB677" s="96">
        <f>IF(AND(N677=1,O677&lt;&gt;"",D677&lt;&gt;""),IF(COUNTIFS($O$6:O677,O677,$D$6:D677,D677)=1,1,0),0)</f>
        <v>0</v>
      </c>
      <c r="AC677" s="96">
        <f>IF(T677=1,INDEX('ITENS_MTR'!$AL$6:$AL$1005,S677),0)</f>
        <v>0</v>
      </c>
    </row>
    <row r="678">
      <c r="A678" s="89" t="inlineStr">
        <is>
          <t>VIN-000673</t>
        </is>
      </c>
      <c r="B678" s="91" t="n"/>
      <c r="C678" s="91" t="n"/>
      <c r="D678" s="94" t="str">
        <f>IF(T678=1,INDEX('ITENS_MTR'!$S$6:$S$1005,S678)&amp;"","")</f>
        <v/>
      </c>
      <c r="E678" s="94" t="str">
        <f>IF(T678=1,INDEX('ITENS_MTR'!$C$6:$C$1005,S678)&amp;"","")</f>
        <v/>
      </c>
      <c r="F678" s="98" t="n"/>
      <c r="G678" s="91" t="n"/>
      <c r="H678" s="93" t="str">
        <f>IF(N678=0,"",IF(NOT(ISNUMBER(F678)),"",IF(ISNUMBER(U678),F678*U678,"UNIDADE A CONFERIR")))</f>
        <v/>
      </c>
      <c r="I678" s="94" t="str">
        <f>IF(Q678=1,INDEX('CDFs'!$F$6:$F$505,P678)&amp;"","")</f>
        <v/>
      </c>
      <c r="J678" s="91" t="n"/>
      <c r="K678" s="91" t="n"/>
      <c r="L678" s="94" t="str">
        <f>IF(N678=0,"",IF(NOT(ISNUMBER(F678)),"Quantidade não informada",IF(F678&lt;=0,"Quantidade não positiva",IF(G678="","Unidade não informada",IF(NOT(ISNUMBER(H678)),"Unidade a conferir",IF(AC678=1,"REVISAR VÍNCULO: soma vinculada maior que a referência do item","OK"))))))</f>
        <v/>
      </c>
      <c r="M678" s="94" t="str">
        <f>IF(N678=0,"",IF(B678="","CDF não informado",IF(Q678=0,"REVISAR VÍNCULO: CDF inexistente",IF(C678="","Item não informado",IF(T678=0,"REVISAR VÍNCULO: item inexistente",IF(AND(X678=1,J678&lt;&gt;"Sim"),"REVISAR VÍNCULO: destinador diferente do MTR",IF(X678=1,"Destinador diferente do MTR (analisado)","OK")))))))</f>
        <v/>
      </c>
      <c r="N678" s="96">
        <f>IF(COUNTA(B678:C678,F678:G678,J678:K678)&gt;0,1,0)</f>
        <v>0</v>
      </c>
      <c r="O678" s="96" t="str">
        <f>IF(B678="","",TRIM(LEFT(B678,FIND(" |",B678&amp;" |")-1)))</f>
        <v/>
      </c>
      <c r="P678" s="96" t="str">
        <f>IF(O678="","",IFERROR(MATCH(O678,'CDFs'!$A$6:$A$505,0),""))</f>
        <v/>
      </c>
      <c r="Q678" s="96">
        <f>IF(P678="",0,IF(INDEX('CDFs'!$S$6:$S$505,P678)=1,1,0))</f>
        <v>0</v>
      </c>
      <c r="R678" s="96" t="str">
        <f>IF(C678="","",TRIM(LEFT(C678,FIND(" |",C678&amp;" |")-1)))</f>
        <v/>
      </c>
      <c r="S678" s="96" t="str">
        <f>IF(R678="","",IFERROR(MATCH(R678,'ITENS_MTR'!$A$6:$A$1005,0),""))</f>
        <v/>
      </c>
      <c r="T678" s="96">
        <f>IF(S678="",0,IF(INDEX('ITENS_MTR'!$R$6:$R$1005,S678)=1,1,0))</f>
        <v>0</v>
      </c>
      <c r="U678" s="96" t="str">
        <f>IF(G678="","",IFERROR(IF(ISNUMBER(INDEX(cfg_fac,MATCH(G678,cfg_units,0))),IF(INDEX(cfg_fac,MATCH(G678,cfg_units,0))&gt;0,INDEX(cfg_fac,MATCH(G678,cfg_units,0)),""),""),""))</f>
        <v/>
      </c>
      <c r="V678" s="96">
        <f>IF(AND(ISNUMBER(F678),ISNUMBER(H678)),IF(H678&gt;0,1,0),0)</f>
        <v>0</v>
      </c>
      <c r="W678" s="96" t="str">
        <f>IF(T678=1,INDEX('ITENS_MTR'!$AU$6:$AU$1005,S678)&amp;"","")</f>
        <v/>
      </c>
      <c r="X678" s="96">
        <f>IF(AND(Q678=1,T678=1,I678&lt;&gt;"",W678&lt;&gt;""),IF(I678&lt;&gt;W678,1,0),0)</f>
        <v>0</v>
      </c>
      <c r="Y678" s="96">
        <f>IF(N678=0,0,IF(OR(Q678=0,T678=0,V678=0,AND(X678=1,J678&lt;&gt;"Sim")),1,0))</f>
        <v>0</v>
      </c>
      <c r="Z678" s="96">
        <f>IF(Q678=1,INDEX('CDFs'!$W$6:$W$505,P678),0)</f>
        <v>0</v>
      </c>
      <c r="AA678" s="96">
        <f>IF(AND(N678=1,Y678=0,Z678=1,J678="Sim"),1,0)</f>
        <v>0</v>
      </c>
      <c r="AB678" s="96">
        <f>IF(AND(N678=1,O678&lt;&gt;"",D678&lt;&gt;""),IF(COUNTIFS($O$6:O678,O678,$D$6:D678,D678)=1,1,0),0)</f>
        <v>0</v>
      </c>
      <c r="AC678" s="96">
        <f>IF(T678=1,INDEX('ITENS_MTR'!$AL$6:$AL$1005,S678),0)</f>
        <v>0</v>
      </c>
    </row>
    <row r="679">
      <c r="A679" s="89" t="inlineStr">
        <is>
          <t>VIN-000674</t>
        </is>
      </c>
      <c r="B679" s="91" t="n"/>
      <c r="C679" s="91" t="n"/>
      <c r="D679" s="94" t="str">
        <f>IF(T679=1,INDEX('ITENS_MTR'!$S$6:$S$1005,S679)&amp;"","")</f>
        <v/>
      </c>
      <c r="E679" s="94" t="str">
        <f>IF(T679=1,INDEX('ITENS_MTR'!$C$6:$C$1005,S679)&amp;"","")</f>
        <v/>
      </c>
      <c r="F679" s="98" t="n"/>
      <c r="G679" s="91" t="n"/>
      <c r="H679" s="93" t="str">
        <f>IF(N679=0,"",IF(NOT(ISNUMBER(F679)),"",IF(ISNUMBER(U679),F679*U679,"UNIDADE A CONFERIR")))</f>
        <v/>
      </c>
      <c r="I679" s="94" t="str">
        <f>IF(Q679=1,INDEX('CDFs'!$F$6:$F$505,P679)&amp;"","")</f>
        <v/>
      </c>
      <c r="J679" s="91" t="n"/>
      <c r="K679" s="91" t="n"/>
      <c r="L679" s="94" t="str">
        <f>IF(N679=0,"",IF(NOT(ISNUMBER(F679)),"Quantidade não informada",IF(F679&lt;=0,"Quantidade não positiva",IF(G679="","Unidade não informada",IF(NOT(ISNUMBER(H679)),"Unidade a conferir",IF(AC679=1,"REVISAR VÍNCULO: soma vinculada maior que a referência do item","OK"))))))</f>
        <v/>
      </c>
      <c r="M679" s="94" t="str">
        <f>IF(N679=0,"",IF(B679="","CDF não informado",IF(Q679=0,"REVISAR VÍNCULO: CDF inexistente",IF(C679="","Item não informado",IF(T679=0,"REVISAR VÍNCULO: item inexistente",IF(AND(X679=1,J679&lt;&gt;"Sim"),"REVISAR VÍNCULO: destinador diferente do MTR",IF(X679=1,"Destinador diferente do MTR (analisado)","OK")))))))</f>
        <v/>
      </c>
      <c r="N679" s="96">
        <f>IF(COUNTA(B679:C679,F679:G679,J679:K679)&gt;0,1,0)</f>
        <v>0</v>
      </c>
      <c r="O679" s="96" t="str">
        <f>IF(B679="","",TRIM(LEFT(B679,FIND(" |",B679&amp;" |")-1)))</f>
        <v/>
      </c>
      <c r="P679" s="96" t="str">
        <f>IF(O679="","",IFERROR(MATCH(O679,'CDFs'!$A$6:$A$505,0),""))</f>
        <v/>
      </c>
      <c r="Q679" s="96">
        <f>IF(P679="",0,IF(INDEX('CDFs'!$S$6:$S$505,P679)=1,1,0))</f>
        <v>0</v>
      </c>
      <c r="R679" s="96" t="str">
        <f>IF(C679="","",TRIM(LEFT(C679,FIND(" |",C679&amp;" |")-1)))</f>
        <v/>
      </c>
      <c r="S679" s="96" t="str">
        <f>IF(R679="","",IFERROR(MATCH(R679,'ITENS_MTR'!$A$6:$A$1005,0),""))</f>
        <v/>
      </c>
      <c r="T679" s="96">
        <f>IF(S679="",0,IF(INDEX('ITENS_MTR'!$R$6:$R$1005,S679)=1,1,0))</f>
        <v>0</v>
      </c>
      <c r="U679" s="96" t="str">
        <f>IF(G679="","",IFERROR(IF(ISNUMBER(INDEX(cfg_fac,MATCH(G679,cfg_units,0))),IF(INDEX(cfg_fac,MATCH(G679,cfg_units,0))&gt;0,INDEX(cfg_fac,MATCH(G679,cfg_units,0)),""),""),""))</f>
        <v/>
      </c>
      <c r="V679" s="96">
        <f>IF(AND(ISNUMBER(F679),ISNUMBER(H679)),IF(H679&gt;0,1,0),0)</f>
        <v>0</v>
      </c>
      <c r="W679" s="96" t="str">
        <f>IF(T679=1,INDEX('ITENS_MTR'!$AU$6:$AU$1005,S679)&amp;"","")</f>
        <v/>
      </c>
      <c r="X679" s="96">
        <f>IF(AND(Q679=1,T679=1,I679&lt;&gt;"",W679&lt;&gt;""),IF(I679&lt;&gt;W679,1,0),0)</f>
        <v>0</v>
      </c>
      <c r="Y679" s="96">
        <f>IF(N679=0,0,IF(OR(Q679=0,T679=0,V679=0,AND(X679=1,J679&lt;&gt;"Sim")),1,0))</f>
        <v>0</v>
      </c>
      <c r="Z679" s="96">
        <f>IF(Q679=1,INDEX('CDFs'!$W$6:$W$505,P679),0)</f>
        <v>0</v>
      </c>
      <c r="AA679" s="96">
        <f>IF(AND(N679=1,Y679=0,Z679=1,J679="Sim"),1,0)</f>
        <v>0</v>
      </c>
      <c r="AB679" s="96">
        <f>IF(AND(N679=1,O679&lt;&gt;"",D679&lt;&gt;""),IF(COUNTIFS($O$6:O679,O679,$D$6:D679,D679)=1,1,0),0)</f>
        <v>0</v>
      </c>
      <c r="AC679" s="96">
        <f>IF(T679=1,INDEX('ITENS_MTR'!$AL$6:$AL$1005,S679),0)</f>
        <v>0</v>
      </c>
    </row>
    <row r="680">
      <c r="A680" s="89" t="inlineStr">
        <is>
          <t>VIN-000675</t>
        </is>
      </c>
      <c r="B680" s="91" t="n"/>
      <c r="C680" s="91" t="n"/>
      <c r="D680" s="94" t="str">
        <f>IF(T680=1,INDEX('ITENS_MTR'!$S$6:$S$1005,S680)&amp;"","")</f>
        <v/>
      </c>
      <c r="E680" s="94" t="str">
        <f>IF(T680=1,INDEX('ITENS_MTR'!$C$6:$C$1005,S680)&amp;"","")</f>
        <v/>
      </c>
      <c r="F680" s="98" t="n"/>
      <c r="G680" s="91" t="n"/>
      <c r="H680" s="93" t="str">
        <f>IF(N680=0,"",IF(NOT(ISNUMBER(F680)),"",IF(ISNUMBER(U680),F680*U680,"UNIDADE A CONFERIR")))</f>
        <v/>
      </c>
      <c r="I680" s="94" t="str">
        <f>IF(Q680=1,INDEX('CDFs'!$F$6:$F$505,P680)&amp;"","")</f>
        <v/>
      </c>
      <c r="J680" s="91" t="n"/>
      <c r="K680" s="91" t="n"/>
      <c r="L680" s="94" t="str">
        <f>IF(N680=0,"",IF(NOT(ISNUMBER(F680)),"Quantidade não informada",IF(F680&lt;=0,"Quantidade não positiva",IF(G680="","Unidade não informada",IF(NOT(ISNUMBER(H680)),"Unidade a conferir",IF(AC680=1,"REVISAR VÍNCULO: soma vinculada maior que a referência do item","OK"))))))</f>
        <v/>
      </c>
      <c r="M680" s="94" t="str">
        <f>IF(N680=0,"",IF(B680="","CDF não informado",IF(Q680=0,"REVISAR VÍNCULO: CDF inexistente",IF(C680="","Item não informado",IF(T680=0,"REVISAR VÍNCULO: item inexistente",IF(AND(X680=1,J680&lt;&gt;"Sim"),"REVISAR VÍNCULO: destinador diferente do MTR",IF(X680=1,"Destinador diferente do MTR (analisado)","OK")))))))</f>
        <v/>
      </c>
      <c r="N680" s="96">
        <f>IF(COUNTA(B680:C680,F680:G680,J680:K680)&gt;0,1,0)</f>
        <v>0</v>
      </c>
      <c r="O680" s="96" t="str">
        <f>IF(B680="","",TRIM(LEFT(B680,FIND(" |",B680&amp;" |")-1)))</f>
        <v/>
      </c>
      <c r="P680" s="96" t="str">
        <f>IF(O680="","",IFERROR(MATCH(O680,'CDFs'!$A$6:$A$505,0),""))</f>
        <v/>
      </c>
      <c r="Q680" s="96">
        <f>IF(P680="",0,IF(INDEX('CDFs'!$S$6:$S$505,P680)=1,1,0))</f>
        <v>0</v>
      </c>
      <c r="R680" s="96" t="str">
        <f>IF(C680="","",TRIM(LEFT(C680,FIND(" |",C680&amp;" |")-1)))</f>
        <v/>
      </c>
      <c r="S680" s="96" t="str">
        <f>IF(R680="","",IFERROR(MATCH(R680,'ITENS_MTR'!$A$6:$A$1005,0),""))</f>
        <v/>
      </c>
      <c r="T680" s="96">
        <f>IF(S680="",0,IF(INDEX('ITENS_MTR'!$R$6:$R$1005,S680)=1,1,0))</f>
        <v>0</v>
      </c>
      <c r="U680" s="96" t="str">
        <f>IF(G680="","",IFERROR(IF(ISNUMBER(INDEX(cfg_fac,MATCH(G680,cfg_units,0))),IF(INDEX(cfg_fac,MATCH(G680,cfg_units,0))&gt;0,INDEX(cfg_fac,MATCH(G680,cfg_units,0)),""),""),""))</f>
        <v/>
      </c>
      <c r="V680" s="96">
        <f>IF(AND(ISNUMBER(F680),ISNUMBER(H680)),IF(H680&gt;0,1,0),0)</f>
        <v>0</v>
      </c>
      <c r="W680" s="96" t="str">
        <f>IF(T680=1,INDEX('ITENS_MTR'!$AU$6:$AU$1005,S680)&amp;"","")</f>
        <v/>
      </c>
      <c r="X680" s="96">
        <f>IF(AND(Q680=1,T680=1,I680&lt;&gt;"",W680&lt;&gt;""),IF(I680&lt;&gt;W680,1,0),0)</f>
        <v>0</v>
      </c>
      <c r="Y680" s="96">
        <f>IF(N680=0,0,IF(OR(Q680=0,T680=0,V680=0,AND(X680=1,J680&lt;&gt;"Sim")),1,0))</f>
        <v>0</v>
      </c>
      <c r="Z680" s="96">
        <f>IF(Q680=1,INDEX('CDFs'!$W$6:$W$505,P680),0)</f>
        <v>0</v>
      </c>
      <c r="AA680" s="96">
        <f>IF(AND(N680=1,Y680=0,Z680=1,J680="Sim"),1,0)</f>
        <v>0</v>
      </c>
      <c r="AB680" s="96">
        <f>IF(AND(N680=1,O680&lt;&gt;"",D680&lt;&gt;""),IF(COUNTIFS($O$6:O680,O680,$D$6:D680,D680)=1,1,0),0)</f>
        <v>0</v>
      </c>
      <c r="AC680" s="96">
        <f>IF(T680=1,INDEX('ITENS_MTR'!$AL$6:$AL$1005,S680),0)</f>
        <v>0</v>
      </c>
    </row>
    <row r="681">
      <c r="A681" s="89" t="inlineStr">
        <is>
          <t>VIN-000676</t>
        </is>
      </c>
      <c r="B681" s="91" t="n"/>
      <c r="C681" s="91" t="n"/>
      <c r="D681" s="94" t="str">
        <f>IF(T681=1,INDEX('ITENS_MTR'!$S$6:$S$1005,S681)&amp;"","")</f>
        <v/>
      </c>
      <c r="E681" s="94" t="str">
        <f>IF(T681=1,INDEX('ITENS_MTR'!$C$6:$C$1005,S681)&amp;"","")</f>
        <v/>
      </c>
      <c r="F681" s="98" t="n"/>
      <c r="G681" s="91" t="n"/>
      <c r="H681" s="93" t="str">
        <f>IF(N681=0,"",IF(NOT(ISNUMBER(F681)),"",IF(ISNUMBER(U681),F681*U681,"UNIDADE A CONFERIR")))</f>
        <v/>
      </c>
      <c r="I681" s="94" t="str">
        <f>IF(Q681=1,INDEX('CDFs'!$F$6:$F$505,P681)&amp;"","")</f>
        <v/>
      </c>
      <c r="J681" s="91" t="n"/>
      <c r="K681" s="91" t="n"/>
      <c r="L681" s="94" t="str">
        <f>IF(N681=0,"",IF(NOT(ISNUMBER(F681)),"Quantidade não informada",IF(F681&lt;=0,"Quantidade não positiva",IF(G681="","Unidade não informada",IF(NOT(ISNUMBER(H681)),"Unidade a conferir",IF(AC681=1,"REVISAR VÍNCULO: soma vinculada maior que a referência do item","OK"))))))</f>
        <v/>
      </c>
      <c r="M681" s="94" t="str">
        <f>IF(N681=0,"",IF(B681="","CDF não informado",IF(Q681=0,"REVISAR VÍNCULO: CDF inexistente",IF(C681="","Item não informado",IF(T681=0,"REVISAR VÍNCULO: item inexistente",IF(AND(X681=1,J681&lt;&gt;"Sim"),"REVISAR VÍNCULO: destinador diferente do MTR",IF(X681=1,"Destinador diferente do MTR (analisado)","OK")))))))</f>
        <v/>
      </c>
      <c r="N681" s="96">
        <f>IF(COUNTA(B681:C681,F681:G681,J681:K681)&gt;0,1,0)</f>
        <v>0</v>
      </c>
      <c r="O681" s="96" t="str">
        <f>IF(B681="","",TRIM(LEFT(B681,FIND(" |",B681&amp;" |")-1)))</f>
        <v/>
      </c>
      <c r="P681" s="96" t="str">
        <f>IF(O681="","",IFERROR(MATCH(O681,'CDFs'!$A$6:$A$505,0),""))</f>
        <v/>
      </c>
      <c r="Q681" s="96">
        <f>IF(P681="",0,IF(INDEX('CDFs'!$S$6:$S$505,P681)=1,1,0))</f>
        <v>0</v>
      </c>
      <c r="R681" s="96" t="str">
        <f>IF(C681="","",TRIM(LEFT(C681,FIND(" |",C681&amp;" |")-1)))</f>
        <v/>
      </c>
      <c r="S681" s="96" t="str">
        <f>IF(R681="","",IFERROR(MATCH(R681,'ITENS_MTR'!$A$6:$A$1005,0),""))</f>
        <v/>
      </c>
      <c r="T681" s="96">
        <f>IF(S681="",0,IF(INDEX('ITENS_MTR'!$R$6:$R$1005,S681)=1,1,0))</f>
        <v>0</v>
      </c>
      <c r="U681" s="96" t="str">
        <f>IF(G681="","",IFERROR(IF(ISNUMBER(INDEX(cfg_fac,MATCH(G681,cfg_units,0))),IF(INDEX(cfg_fac,MATCH(G681,cfg_units,0))&gt;0,INDEX(cfg_fac,MATCH(G681,cfg_units,0)),""),""),""))</f>
        <v/>
      </c>
      <c r="V681" s="96">
        <f>IF(AND(ISNUMBER(F681),ISNUMBER(H681)),IF(H681&gt;0,1,0),0)</f>
        <v>0</v>
      </c>
      <c r="W681" s="96" t="str">
        <f>IF(T681=1,INDEX('ITENS_MTR'!$AU$6:$AU$1005,S681)&amp;"","")</f>
        <v/>
      </c>
      <c r="X681" s="96">
        <f>IF(AND(Q681=1,T681=1,I681&lt;&gt;"",W681&lt;&gt;""),IF(I681&lt;&gt;W681,1,0),0)</f>
        <v>0</v>
      </c>
      <c r="Y681" s="96">
        <f>IF(N681=0,0,IF(OR(Q681=0,T681=0,V681=0,AND(X681=1,J681&lt;&gt;"Sim")),1,0))</f>
        <v>0</v>
      </c>
      <c r="Z681" s="96">
        <f>IF(Q681=1,INDEX('CDFs'!$W$6:$W$505,P681),0)</f>
        <v>0</v>
      </c>
      <c r="AA681" s="96">
        <f>IF(AND(N681=1,Y681=0,Z681=1,J681="Sim"),1,0)</f>
        <v>0</v>
      </c>
      <c r="AB681" s="96">
        <f>IF(AND(N681=1,O681&lt;&gt;"",D681&lt;&gt;""),IF(COUNTIFS($O$6:O681,O681,$D$6:D681,D681)=1,1,0),0)</f>
        <v>0</v>
      </c>
      <c r="AC681" s="96">
        <f>IF(T681=1,INDEX('ITENS_MTR'!$AL$6:$AL$1005,S681),0)</f>
        <v>0</v>
      </c>
    </row>
    <row r="682">
      <c r="A682" s="89" t="inlineStr">
        <is>
          <t>VIN-000677</t>
        </is>
      </c>
      <c r="B682" s="91" t="n"/>
      <c r="C682" s="91" t="n"/>
      <c r="D682" s="94" t="str">
        <f>IF(T682=1,INDEX('ITENS_MTR'!$S$6:$S$1005,S682)&amp;"","")</f>
        <v/>
      </c>
      <c r="E682" s="94" t="str">
        <f>IF(T682=1,INDEX('ITENS_MTR'!$C$6:$C$1005,S682)&amp;"","")</f>
        <v/>
      </c>
      <c r="F682" s="98" t="n"/>
      <c r="G682" s="91" t="n"/>
      <c r="H682" s="93" t="str">
        <f>IF(N682=0,"",IF(NOT(ISNUMBER(F682)),"",IF(ISNUMBER(U682),F682*U682,"UNIDADE A CONFERIR")))</f>
        <v/>
      </c>
      <c r="I682" s="94" t="str">
        <f>IF(Q682=1,INDEX('CDFs'!$F$6:$F$505,P682)&amp;"","")</f>
        <v/>
      </c>
      <c r="J682" s="91" t="n"/>
      <c r="K682" s="91" t="n"/>
      <c r="L682" s="94" t="str">
        <f>IF(N682=0,"",IF(NOT(ISNUMBER(F682)),"Quantidade não informada",IF(F682&lt;=0,"Quantidade não positiva",IF(G682="","Unidade não informada",IF(NOT(ISNUMBER(H682)),"Unidade a conferir",IF(AC682=1,"REVISAR VÍNCULO: soma vinculada maior que a referência do item","OK"))))))</f>
        <v/>
      </c>
      <c r="M682" s="94" t="str">
        <f>IF(N682=0,"",IF(B682="","CDF não informado",IF(Q682=0,"REVISAR VÍNCULO: CDF inexistente",IF(C682="","Item não informado",IF(T682=0,"REVISAR VÍNCULO: item inexistente",IF(AND(X682=1,J682&lt;&gt;"Sim"),"REVISAR VÍNCULO: destinador diferente do MTR",IF(X682=1,"Destinador diferente do MTR (analisado)","OK")))))))</f>
        <v/>
      </c>
      <c r="N682" s="96">
        <f>IF(COUNTA(B682:C682,F682:G682,J682:K682)&gt;0,1,0)</f>
        <v>0</v>
      </c>
      <c r="O682" s="96" t="str">
        <f>IF(B682="","",TRIM(LEFT(B682,FIND(" |",B682&amp;" |")-1)))</f>
        <v/>
      </c>
      <c r="P682" s="96" t="str">
        <f>IF(O682="","",IFERROR(MATCH(O682,'CDFs'!$A$6:$A$505,0),""))</f>
        <v/>
      </c>
      <c r="Q682" s="96">
        <f>IF(P682="",0,IF(INDEX('CDFs'!$S$6:$S$505,P682)=1,1,0))</f>
        <v>0</v>
      </c>
      <c r="R682" s="96" t="str">
        <f>IF(C682="","",TRIM(LEFT(C682,FIND(" |",C682&amp;" |")-1)))</f>
        <v/>
      </c>
      <c r="S682" s="96" t="str">
        <f>IF(R682="","",IFERROR(MATCH(R682,'ITENS_MTR'!$A$6:$A$1005,0),""))</f>
        <v/>
      </c>
      <c r="T682" s="96">
        <f>IF(S682="",0,IF(INDEX('ITENS_MTR'!$R$6:$R$1005,S682)=1,1,0))</f>
        <v>0</v>
      </c>
      <c r="U682" s="96" t="str">
        <f>IF(G682="","",IFERROR(IF(ISNUMBER(INDEX(cfg_fac,MATCH(G682,cfg_units,0))),IF(INDEX(cfg_fac,MATCH(G682,cfg_units,0))&gt;0,INDEX(cfg_fac,MATCH(G682,cfg_units,0)),""),""),""))</f>
        <v/>
      </c>
      <c r="V682" s="96">
        <f>IF(AND(ISNUMBER(F682),ISNUMBER(H682)),IF(H682&gt;0,1,0),0)</f>
        <v>0</v>
      </c>
      <c r="W682" s="96" t="str">
        <f>IF(T682=1,INDEX('ITENS_MTR'!$AU$6:$AU$1005,S682)&amp;"","")</f>
        <v/>
      </c>
      <c r="X682" s="96">
        <f>IF(AND(Q682=1,T682=1,I682&lt;&gt;"",W682&lt;&gt;""),IF(I682&lt;&gt;W682,1,0),0)</f>
        <v>0</v>
      </c>
      <c r="Y682" s="96">
        <f>IF(N682=0,0,IF(OR(Q682=0,T682=0,V682=0,AND(X682=1,J682&lt;&gt;"Sim")),1,0))</f>
        <v>0</v>
      </c>
      <c r="Z682" s="96">
        <f>IF(Q682=1,INDEX('CDFs'!$W$6:$W$505,P682),0)</f>
        <v>0</v>
      </c>
      <c r="AA682" s="96">
        <f>IF(AND(N682=1,Y682=0,Z682=1,J682="Sim"),1,0)</f>
        <v>0</v>
      </c>
      <c r="AB682" s="96">
        <f>IF(AND(N682=1,O682&lt;&gt;"",D682&lt;&gt;""),IF(COUNTIFS($O$6:O682,O682,$D$6:D682,D682)=1,1,0),0)</f>
        <v>0</v>
      </c>
      <c r="AC682" s="96">
        <f>IF(T682=1,INDEX('ITENS_MTR'!$AL$6:$AL$1005,S682),0)</f>
        <v>0</v>
      </c>
    </row>
    <row r="683">
      <c r="A683" s="89" t="inlineStr">
        <is>
          <t>VIN-000678</t>
        </is>
      </c>
      <c r="B683" s="91" t="n"/>
      <c r="C683" s="91" t="n"/>
      <c r="D683" s="94" t="str">
        <f>IF(T683=1,INDEX('ITENS_MTR'!$S$6:$S$1005,S683)&amp;"","")</f>
        <v/>
      </c>
      <c r="E683" s="94" t="str">
        <f>IF(T683=1,INDEX('ITENS_MTR'!$C$6:$C$1005,S683)&amp;"","")</f>
        <v/>
      </c>
      <c r="F683" s="98" t="n"/>
      <c r="G683" s="91" t="n"/>
      <c r="H683" s="93" t="str">
        <f>IF(N683=0,"",IF(NOT(ISNUMBER(F683)),"",IF(ISNUMBER(U683),F683*U683,"UNIDADE A CONFERIR")))</f>
        <v/>
      </c>
      <c r="I683" s="94" t="str">
        <f>IF(Q683=1,INDEX('CDFs'!$F$6:$F$505,P683)&amp;"","")</f>
        <v/>
      </c>
      <c r="J683" s="91" t="n"/>
      <c r="K683" s="91" t="n"/>
      <c r="L683" s="94" t="str">
        <f>IF(N683=0,"",IF(NOT(ISNUMBER(F683)),"Quantidade não informada",IF(F683&lt;=0,"Quantidade não positiva",IF(G683="","Unidade não informada",IF(NOT(ISNUMBER(H683)),"Unidade a conferir",IF(AC683=1,"REVISAR VÍNCULO: soma vinculada maior que a referência do item","OK"))))))</f>
        <v/>
      </c>
      <c r="M683" s="94" t="str">
        <f>IF(N683=0,"",IF(B683="","CDF não informado",IF(Q683=0,"REVISAR VÍNCULO: CDF inexistente",IF(C683="","Item não informado",IF(T683=0,"REVISAR VÍNCULO: item inexistente",IF(AND(X683=1,J683&lt;&gt;"Sim"),"REVISAR VÍNCULO: destinador diferente do MTR",IF(X683=1,"Destinador diferente do MTR (analisado)","OK")))))))</f>
        <v/>
      </c>
      <c r="N683" s="96">
        <f>IF(COUNTA(B683:C683,F683:G683,J683:K683)&gt;0,1,0)</f>
        <v>0</v>
      </c>
      <c r="O683" s="96" t="str">
        <f>IF(B683="","",TRIM(LEFT(B683,FIND(" |",B683&amp;" |")-1)))</f>
        <v/>
      </c>
      <c r="P683" s="96" t="str">
        <f>IF(O683="","",IFERROR(MATCH(O683,'CDFs'!$A$6:$A$505,0),""))</f>
        <v/>
      </c>
      <c r="Q683" s="96">
        <f>IF(P683="",0,IF(INDEX('CDFs'!$S$6:$S$505,P683)=1,1,0))</f>
        <v>0</v>
      </c>
      <c r="R683" s="96" t="str">
        <f>IF(C683="","",TRIM(LEFT(C683,FIND(" |",C683&amp;" |")-1)))</f>
        <v/>
      </c>
      <c r="S683" s="96" t="str">
        <f>IF(R683="","",IFERROR(MATCH(R683,'ITENS_MTR'!$A$6:$A$1005,0),""))</f>
        <v/>
      </c>
      <c r="T683" s="96">
        <f>IF(S683="",0,IF(INDEX('ITENS_MTR'!$R$6:$R$1005,S683)=1,1,0))</f>
        <v>0</v>
      </c>
      <c r="U683" s="96" t="str">
        <f>IF(G683="","",IFERROR(IF(ISNUMBER(INDEX(cfg_fac,MATCH(G683,cfg_units,0))),IF(INDEX(cfg_fac,MATCH(G683,cfg_units,0))&gt;0,INDEX(cfg_fac,MATCH(G683,cfg_units,0)),""),""),""))</f>
        <v/>
      </c>
      <c r="V683" s="96">
        <f>IF(AND(ISNUMBER(F683),ISNUMBER(H683)),IF(H683&gt;0,1,0),0)</f>
        <v>0</v>
      </c>
      <c r="W683" s="96" t="str">
        <f>IF(T683=1,INDEX('ITENS_MTR'!$AU$6:$AU$1005,S683)&amp;"","")</f>
        <v/>
      </c>
      <c r="X683" s="96">
        <f>IF(AND(Q683=1,T683=1,I683&lt;&gt;"",W683&lt;&gt;""),IF(I683&lt;&gt;W683,1,0),0)</f>
        <v>0</v>
      </c>
      <c r="Y683" s="96">
        <f>IF(N683=0,0,IF(OR(Q683=0,T683=0,V683=0,AND(X683=1,J683&lt;&gt;"Sim")),1,0))</f>
        <v>0</v>
      </c>
      <c r="Z683" s="96">
        <f>IF(Q683=1,INDEX('CDFs'!$W$6:$W$505,P683),0)</f>
        <v>0</v>
      </c>
      <c r="AA683" s="96">
        <f>IF(AND(N683=1,Y683=0,Z683=1,J683="Sim"),1,0)</f>
        <v>0</v>
      </c>
      <c r="AB683" s="96">
        <f>IF(AND(N683=1,O683&lt;&gt;"",D683&lt;&gt;""),IF(COUNTIFS($O$6:O683,O683,$D$6:D683,D683)=1,1,0),0)</f>
        <v>0</v>
      </c>
      <c r="AC683" s="96">
        <f>IF(T683=1,INDEX('ITENS_MTR'!$AL$6:$AL$1005,S683),0)</f>
        <v>0</v>
      </c>
    </row>
    <row r="684">
      <c r="A684" s="89" t="inlineStr">
        <is>
          <t>VIN-000679</t>
        </is>
      </c>
      <c r="B684" s="91" t="n"/>
      <c r="C684" s="91" t="n"/>
      <c r="D684" s="94" t="str">
        <f>IF(T684=1,INDEX('ITENS_MTR'!$S$6:$S$1005,S684)&amp;"","")</f>
        <v/>
      </c>
      <c r="E684" s="94" t="str">
        <f>IF(T684=1,INDEX('ITENS_MTR'!$C$6:$C$1005,S684)&amp;"","")</f>
        <v/>
      </c>
      <c r="F684" s="98" t="n"/>
      <c r="G684" s="91" t="n"/>
      <c r="H684" s="93" t="str">
        <f>IF(N684=0,"",IF(NOT(ISNUMBER(F684)),"",IF(ISNUMBER(U684),F684*U684,"UNIDADE A CONFERIR")))</f>
        <v/>
      </c>
      <c r="I684" s="94" t="str">
        <f>IF(Q684=1,INDEX('CDFs'!$F$6:$F$505,P684)&amp;"","")</f>
        <v/>
      </c>
      <c r="J684" s="91" t="n"/>
      <c r="K684" s="91" t="n"/>
      <c r="L684" s="94" t="str">
        <f>IF(N684=0,"",IF(NOT(ISNUMBER(F684)),"Quantidade não informada",IF(F684&lt;=0,"Quantidade não positiva",IF(G684="","Unidade não informada",IF(NOT(ISNUMBER(H684)),"Unidade a conferir",IF(AC684=1,"REVISAR VÍNCULO: soma vinculada maior que a referência do item","OK"))))))</f>
        <v/>
      </c>
      <c r="M684" s="94" t="str">
        <f>IF(N684=0,"",IF(B684="","CDF não informado",IF(Q684=0,"REVISAR VÍNCULO: CDF inexistente",IF(C684="","Item não informado",IF(T684=0,"REVISAR VÍNCULO: item inexistente",IF(AND(X684=1,J684&lt;&gt;"Sim"),"REVISAR VÍNCULO: destinador diferente do MTR",IF(X684=1,"Destinador diferente do MTR (analisado)","OK")))))))</f>
        <v/>
      </c>
      <c r="N684" s="96">
        <f>IF(COUNTA(B684:C684,F684:G684,J684:K684)&gt;0,1,0)</f>
        <v>0</v>
      </c>
      <c r="O684" s="96" t="str">
        <f>IF(B684="","",TRIM(LEFT(B684,FIND(" |",B684&amp;" |")-1)))</f>
        <v/>
      </c>
      <c r="P684" s="96" t="str">
        <f>IF(O684="","",IFERROR(MATCH(O684,'CDFs'!$A$6:$A$505,0),""))</f>
        <v/>
      </c>
      <c r="Q684" s="96">
        <f>IF(P684="",0,IF(INDEX('CDFs'!$S$6:$S$505,P684)=1,1,0))</f>
        <v>0</v>
      </c>
      <c r="R684" s="96" t="str">
        <f>IF(C684="","",TRIM(LEFT(C684,FIND(" |",C684&amp;" |")-1)))</f>
        <v/>
      </c>
      <c r="S684" s="96" t="str">
        <f>IF(R684="","",IFERROR(MATCH(R684,'ITENS_MTR'!$A$6:$A$1005,0),""))</f>
        <v/>
      </c>
      <c r="T684" s="96">
        <f>IF(S684="",0,IF(INDEX('ITENS_MTR'!$R$6:$R$1005,S684)=1,1,0))</f>
        <v>0</v>
      </c>
      <c r="U684" s="96" t="str">
        <f>IF(G684="","",IFERROR(IF(ISNUMBER(INDEX(cfg_fac,MATCH(G684,cfg_units,0))),IF(INDEX(cfg_fac,MATCH(G684,cfg_units,0))&gt;0,INDEX(cfg_fac,MATCH(G684,cfg_units,0)),""),""),""))</f>
        <v/>
      </c>
      <c r="V684" s="96">
        <f>IF(AND(ISNUMBER(F684),ISNUMBER(H684)),IF(H684&gt;0,1,0),0)</f>
        <v>0</v>
      </c>
      <c r="W684" s="96" t="str">
        <f>IF(T684=1,INDEX('ITENS_MTR'!$AU$6:$AU$1005,S684)&amp;"","")</f>
        <v/>
      </c>
      <c r="X684" s="96">
        <f>IF(AND(Q684=1,T684=1,I684&lt;&gt;"",W684&lt;&gt;""),IF(I684&lt;&gt;W684,1,0),0)</f>
        <v>0</v>
      </c>
      <c r="Y684" s="96">
        <f>IF(N684=0,0,IF(OR(Q684=0,T684=0,V684=0,AND(X684=1,J684&lt;&gt;"Sim")),1,0))</f>
        <v>0</v>
      </c>
      <c r="Z684" s="96">
        <f>IF(Q684=1,INDEX('CDFs'!$W$6:$W$505,P684),0)</f>
        <v>0</v>
      </c>
      <c r="AA684" s="96">
        <f>IF(AND(N684=1,Y684=0,Z684=1,J684="Sim"),1,0)</f>
        <v>0</v>
      </c>
      <c r="AB684" s="96">
        <f>IF(AND(N684=1,O684&lt;&gt;"",D684&lt;&gt;""),IF(COUNTIFS($O$6:O684,O684,$D$6:D684,D684)=1,1,0),0)</f>
        <v>0</v>
      </c>
      <c r="AC684" s="96">
        <f>IF(T684=1,INDEX('ITENS_MTR'!$AL$6:$AL$1005,S684),0)</f>
        <v>0</v>
      </c>
    </row>
    <row r="685">
      <c r="A685" s="89" t="inlineStr">
        <is>
          <t>VIN-000680</t>
        </is>
      </c>
      <c r="B685" s="91" t="n"/>
      <c r="C685" s="91" t="n"/>
      <c r="D685" s="94" t="str">
        <f>IF(T685=1,INDEX('ITENS_MTR'!$S$6:$S$1005,S685)&amp;"","")</f>
        <v/>
      </c>
      <c r="E685" s="94" t="str">
        <f>IF(T685=1,INDEX('ITENS_MTR'!$C$6:$C$1005,S685)&amp;"","")</f>
        <v/>
      </c>
      <c r="F685" s="98" t="n"/>
      <c r="G685" s="91" t="n"/>
      <c r="H685" s="93" t="str">
        <f>IF(N685=0,"",IF(NOT(ISNUMBER(F685)),"",IF(ISNUMBER(U685),F685*U685,"UNIDADE A CONFERIR")))</f>
        <v/>
      </c>
      <c r="I685" s="94" t="str">
        <f>IF(Q685=1,INDEX('CDFs'!$F$6:$F$505,P685)&amp;"","")</f>
        <v/>
      </c>
      <c r="J685" s="91" t="n"/>
      <c r="K685" s="91" t="n"/>
      <c r="L685" s="94" t="str">
        <f>IF(N685=0,"",IF(NOT(ISNUMBER(F685)),"Quantidade não informada",IF(F685&lt;=0,"Quantidade não positiva",IF(G685="","Unidade não informada",IF(NOT(ISNUMBER(H685)),"Unidade a conferir",IF(AC685=1,"REVISAR VÍNCULO: soma vinculada maior que a referência do item","OK"))))))</f>
        <v/>
      </c>
      <c r="M685" s="94" t="str">
        <f>IF(N685=0,"",IF(B685="","CDF não informado",IF(Q685=0,"REVISAR VÍNCULO: CDF inexistente",IF(C685="","Item não informado",IF(T685=0,"REVISAR VÍNCULO: item inexistente",IF(AND(X685=1,J685&lt;&gt;"Sim"),"REVISAR VÍNCULO: destinador diferente do MTR",IF(X685=1,"Destinador diferente do MTR (analisado)","OK")))))))</f>
        <v/>
      </c>
      <c r="N685" s="96">
        <f>IF(COUNTA(B685:C685,F685:G685,J685:K685)&gt;0,1,0)</f>
        <v>0</v>
      </c>
      <c r="O685" s="96" t="str">
        <f>IF(B685="","",TRIM(LEFT(B685,FIND(" |",B685&amp;" |")-1)))</f>
        <v/>
      </c>
      <c r="P685" s="96" t="str">
        <f>IF(O685="","",IFERROR(MATCH(O685,'CDFs'!$A$6:$A$505,0),""))</f>
        <v/>
      </c>
      <c r="Q685" s="96">
        <f>IF(P685="",0,IF(INDEX('CDFs'!$S$6:$S$505,P685)=1,1,0))</f>
        <v>0</v>
      </c>
      <c r="R685" s="96" t="str">
        <f>IF(C685="","",TRIM(LEFT(C685,FIND(" |",C685&amp;" |")-1)))</f>
        <v/>
      </c>
      <c r="S685" s="96" t="str">
        <f>IF(R685="","",IFERROR(MATCH(R685,'ITENS_MTR'!$A$6:$A$1005,0),""))</f>
        <v/>
      </c>
      <c r="T685" s="96">
        <f>IF(S685="",0,IF(INDEX('ITENS_MTR'!$R$6:$R$1005,S685)=1,1,0))</f>
        <v>0</v>
      </c>
      <c r="U685" s="96" t="str">
        <f>IF(G685="","",IFERROR(IF(ISNUMBER(INDEX(cfg_fac,MATCH(G685,cfg_units,0))),IF(INDEX(cfg_fac,MATCH(G685,cfg_units,0))&gt;0,INDEX(cfg_fac,MATCH(G685,cfg_units,0)),""),""),""))</f>
        <v/>
      </c>
      <c r="V685" s="96">
        <f>IF(AND(ISNUMBER(F685),ISNUMBER(H685)),IF(H685&gt;0,1,0),0)</f>
        <v>0</v>
      </c>
      <c r="W685" s="96" t="str">
        <f>IF(T685=1,INDEX('ITENS_MTR'!$AU$6:$AU$1005,S685)&amp;"","")</f>
        <v/>
      </c>
      <c r="X685" s="96">
        <f>IF(AND(Q685=1,T685=1,I685&lt;&gt;"",W685&lt;&gt;""),IF(I685&lt;&gt;W685,1,0),0)</f>
        <v>0</v>
      </c>
      <c r="Y685" s="96">
        <f>IF(N685=0,0,IF(OR(Q685=0,T685=0,V685=0,AND(X685=1,J685&lt;&gt;"Sim")),1,0))</f>
        <v>0</v>
      </c>
      <c r="Z685" s="96">
        <f>IF(Q685=1,INDEX('CDFs'!$W$6:$W$505,P685),0)</f>
        <v>0</v>
      </c>
      <c r="AA685" s="96">
        <f>IF(AND(N685=1,Y685=0,Z685=1,J685="Sim"),1,0)</f>
        <v>0</v>
      </c>
      <c r="AB685" s="96">
        <f>IF(AND(N685=1,O685&lt;&gt;"",D685&lt;&gt;""),IF(COUNTIFS($O$6:O685,O685,$D$6:D685,D685)=1,1,0),0)</f>
        <v>0</v>
      </c>
      <c r="AC685" s="96">
        <f>IF(T685=1,INDEX('ITENS_MTR'!$AL$6:$AL$1005,S685),0)</f>
        <v>0</v>
      </c>
    </row>
    <row r="686">
      <c r="A686" s="89" t="inlineStr">
        <is>
          <t>VIN-000681</t>
        </is>
      </c>
      <c r="B686" s="91" t="n"/>
      <c r="C686" s="91" t="n"/>
      <c r="D686" s="94" t="str">
        <f>IF(T686=1,INDEX('ITENS_MTR'!$S$6:$S$1005,S686)&amp;"","")</f>
        <v/>
      </c>
      <c r="E686" s="94" t="str">
        <f>IF(T686=1,INDEX('ITENS_MTR'!$C$6:$C$1005,S686)&amp;"","")</f>
        <v/>
      </c>
      <c r="F686" s="98" t="n"/>
      <c r="G686" s="91" t="n"/>
      <c r="H686" s="93" t="str">
        <f>IF(N686=0,"",IF(NOT(ISNUMBER(F686)),"",IF(ISNUMBER(U686),F686*U686,"UNIDADE A CONFERIR")))</f>
        <v/>
      </c>
      <c r="I686" s="94" t="str">
        <f>IF(Q686=1,INDEX('CDFs'!$F$6:$F$505,P686)&amp;"","")</f>
        <v/>
      </c>
      <c r="J686" s="91" t="n"/>
      <c r="K686" s="91" t="n"/>
      <c r="L686" s="94" t="str">
        <f>IF(N686=0,"",IF(NOT(ISNUMBER(F686)),"Quantidade não informada",IF(F686&lt;=0,"Quantidade não positiva",IF(G686="","Unidade não informada",IF(NOT(ISNUMBER(H686)),"Unidade a conferir",IF(AC686=1,"REVISAR VÍNCULO: soma vinculada maior que a referência do item","OK"))))))</f>
        <v/>
      </c>
      <c r="M686" s="94" t="str">
        <f>IF(N686=0,"",IF(B686="","CDF não informado",IF(Q686=0,"REVISAR VÍNCULO: CDF inexistente",IF(C686="","Item não informado",IF(T686=0,"REVISAR VÍNCULO: item inexistente",IF(AND(X686=1,J686&lt;&gt;"Sim"),"REVISAR VÍNCULO: destinador diferente do MTR",IF(X686=1,"Destinador diferente do MTR (analisado)","OK")))))))</f>
        <v/>
      </c>
      <c r="N686" s="96">
        <f>IF(COUNTA(B686:C686,F686:G686,J686:K686)&gt;0,1,0)</f>
        <v>0</v>
      </c>
      <c r="O686" s="96" t="str">
        <f>IF(B686="","",TRIM(LEFT(B686,FIND(" |",B686&amp;" |")-1)))</f>
        <v/>
      </c>
      <c r="P686" s="96" t="str">
        <f>IF(O686="","",IFERROR(MATCH(O686,'CDFs'!$A$6:$A$505,0),""))</f>
        <v/>
      </c>
      <c r="Q686" s="96">
        <f>IF(P686="",0,IF(INDEX('CDFs'!$S$6:$S$505,P686)=1,1,0))</f>
        <v>0</v>
      </c>
      <c r="R686" s="96" t="str">
        <f>IF(C686="","",TRIM(LEFT(C686,FIND(" |",C686&amp;" |")-1)))</f>
        <v/>
      </c>
      <c r="S686" s="96" t="str">
        <f>IF(R686="","",IFERROR(MATCH(R686,'ITENS_MTR'!$A$6:$A$1005,0),""))</f>
        <v/>
      </c>
      <c r="T686" s="96">
        <f>IF(S686="",0,IF(INDEX('ITENS_MTR'!$R$6:$R$1005,S686)=1,1,0))</f>
        <v>0</v>
      </c>
      <c r="U686" s="96" t="str">
        <f>IF(G686="","",IFERROR(IF(ISNUMBER(INDEX(cfg_fac,MATCH(G686,cfg_units,0))),IF(INDEX(cfg_fac,MATCH(G686,cfg_units,0))&gt;0,INDEX(cfg_fac,MATCH(G686,cfg_units,0)),""),""),""))</f>
        <v/>
      </c>
      <c r="V686" s="96">
        <f>IF(AND(ISNUMBER(F686),ISNUMBER(H686)),IF(H686&gt;0,1,0),0)</f>
        <v>0</v>
      </c>
      <c r="W686" s="96" t="str">
        <f>IF(T686=1,INDEX('ITENS_MTR'!$AU$6:$AU$1005,S686)&amp;"","")</f>
        <v/>
      </c>
      <c r="X686" s="96">
        <f>IF(AND(Q686=1,T686=1,I686&lt;&gt;"",W686&lt;&gt;""),IF(I686&lt;&gt;W686,1,0),0)</f>
        <v>0</v>
      </c>
      <c r="Y686" s="96">
        <f>IF(N686=0,0,IF(OR(Q686=0,T686=0,V686=0,AND(X686=1,J686&lt;&gt;"Sim")),1,0))</f>
        <v>0</v>
      </c>
      <c r="Z686" s="96">
        <f>IF(Q686=1,INDEX('CDFs'!$W$6:$W$505,P686),0)</f>
        <v>0</v>
      </c>
      <c r="AA686" s="96">
        <f>IF(AND(N686=1,Y686=0,Z686=1,J686="Sim"),1,0)</f>
        <v>0</v>
      </c>
      <c r="AB686" s="96">
        <f>IF(AND(N686=1,O686&lt;&gt;"",D686&lt;&gt;""),IF(COUNTIFS($O$6:O686,O686,$D$6:D686,D686)=1,1,0),0)</f>
        <v>0</v>
      </c>
      <c r="AC686" s="96">
        <f>IF(T686=1,INDEX('ITENS_MTR'!$AL$6:$AL$1005,S686),0)</f>
        <v>0</v>
      </c>
    </row>
    <row r="687">
      <c r="A687" s="89" t="inlineStr">
        <is>
          <t>VIN-000682</t>
        </is>
      </c>
      <c r="B687" s="91" t="n"/>
      <c r="C687" s="91" t="n"/>
      <c r="D687" s="94" t="str">
        <f>IF(T687=1,INDEX('ITENS_MTR'!$S$6:$S$1005,S687)&amp;"","")</f>
        <v/>
      </c>
      <c r="E687" s="94" t="str">
        <f>IF(T687=1,INDEX('ITENS_MTR'!$C$6:$C$1005,S687)&amp;"","")</f>
        <v/>
      </c>
      <c r="F687" s="98" t="n"/>
      <c r="G687" s="91" t="n"/>
      <c r="H687" s="93" t="str">
        <f>IF(N687=0,"",IF(NOT(ISNUMBER(F687)),"",IF(ISNUMBER(U687),F687*U687,"UNIDADE A CONFERIR")))</f>
        <v/>
      </c>
      <c r="I687" s="94" t="str">
        <f>IF(Q687=1,INDEX('CDFs'!$F$6:$F$505,P687)&amp;"","")</f>
        <v/>
      </c>
      <c r="J687" s="91" t="n"/>
      <c r="K687" s="91" t="n"/>
      <c r="L687" s="94" t="str">
        <f>IF(N687=0,"",IF(NOT(ISNUMBER(F687)),"Quantidade não informada",IF(F687&lt;=0,"Quantidade não positiva",IF(G687="","Unidade não informada",IF(NOT(ISNUMBER(H687)),"Unidade a conferir",IF(AC687=1,"REVISAR VÍNCULO: soma vinculada maior que a referência do item","OK"))))))</f>
        <v/>
      </c>
      <c r="M687" s="94" t="str">
        <f>IF(N687=0,"",IF(B687="","CDF não informado",IF(Q687=0,"REVISAR VÍNCULO: CDF inexistente",IF(C687="","Item não informado",IF(T687=0,"REVISAR VÍNCULO: item inexistente",IF(AND(X687=1,J687&lt;&gt;"Sim"),"REVISAR VÍNCULO: destinador diferente do MTR",IF(X687=1,"Destinador diferente do MTR (analisado)","OK")))))))</f>
        <v/>
      </c>
      <c r="N687" s="96">
        <f>IF(COUNTA(B687:C687,F687:G687,J687:K687)&gt;0,1,0)</f>
        <v>0</v>
      </c>
      <c r="O687" s="96" t="str">
        <f>IF(B687="","",TRIM(LEFT(B687,FIND(" |",B687&amp;" |")-1)))</f>
        <v/>
      </c>
      <c r="P687" s="96" t="str">
        <f>IF(O687="","",IFERROR(MATCH(O687,'CDFs'!$A$6:$A$505,0),""))</f>
        <v/>
      </c>
      <c r="Q687" s="96">
        <f>IF(P687="",0,IF(INDEX('CDFs'!$S$6:$S$505,P687)=1,1,0))</f>
        <v>0</v>
      </c>
      <c r="R687" s="96" t="str">
        <f>IF(C687="","",TRIM(LEFT(C687,FIND(" |",C687&amp;" |")-1)))</f>
        <v/>
      </c>
      <c r="S687" s="96" t="str">
        <f>IF(R687="","",IFERROR(MATCH(R687,'ITENS_MTR'!$A$6:$A$1005,0),""))</f>
        <v/>
      </c>
      <c r="T687" s="96">
        <f>IF(S687="",0,IF(INDEX('ITENS_MTR'!$R$6:$R$1005,S687)=1,1,0))</f>
        <v>0</v>
      </c>
      <c r="U687" s="96" t="str">
        <f>IF(G687="","",IFERROR(IF(ISNUMBER(INDEX(cfg_fac,MATCH(G687,cfg_units,0))),IF(INDEX(cfg_fac,MATCH(G687,cfg_units,0))&gt;0,INDEX(cfg_fac,MATCH(G687,cfg_units,0)),""),""),""))</f>
        <v/>
      </c>
      <c r="V687" s="96">
        <f>IF(AND(ISNUMBER(F687),ISNUMBER(H687)),IF(H687&gt;0,1,0),0)</f>
        <v>0</v>
      </c>
      <c r="W687" s="96" t="str">
        <f>IF(T687=1,INDEX('ITENS_MTR'!$AU$6:$AU$1005,S687)&amp;"","")</f>
        <v/>
      </c>
      <c r="X687" s="96">
        <f>IF(AND(Q687=1,T687=1,I687&lt;&gt;"",W687&lt;&gt;""),IF(I687&lt;&gt;W687,1,0),0)</f>
        <v>0</v>
      </c>
      <c r="Y687" s="96">
        <f>IF(N687=0,0,IF(OR(Q687=0,T687=0,V687=0,AND(X687=1,J687&lt;&gt;"Sim")),1,0))</f>
        <v>0</v>
      </c>
      <c r="Z687" s="96">
        <f>IF(Q687=1,INDEX('CDFs'!$W$6:$W$505,P687),0)</f>
        <v>0</v>
      </c>
      <c r="AA687" s="96">
        <f>IF(AND(N687=1,Y687=0,Z687=1,J687="Sim"),1,0)</f>
        <v>0</v>
      </c>
      <c r="AB687" s="96">
        <f>IF(AND(N687=1,O687&lt;&gt;"",D687&lt;&gt;""),IF(COUNTIFS($O$6:O687,O687,$D$6:D687,D687)=1,1,0),0)</f>
        <v>0</v>
      </c>
      <c r="AC687" s="96">
        <f>IF(T687=1,INDEX('ITENS_MTR'!$AL$6:$AL$1005,S687),0)</f>
        <v>0</v>
      </c>
    </row>
    <row r="688">
      <c r="A688" s="89" t="inlineStr">
        <is>
          <t>VIN-000683</t>
        </is>
      </c>
      <c r="B688" s="91" t="n"/>
      <c r="C688" s="91" t="n"/>
      <c r="D688" s="94" t="str">
        <f>IF(T688=1,INDEX('ITENS_MTR'!$S$6:$S$1005,S688)&amp;"","")</f>
        <v/>
      </c>
      <c r="E688" s="94" t="str">
        <f>IF(T688=1,INDEX('ITENS_MTR'!$C$6:$C$1005,S688)&amp;"","")</f>
        <v/>
      </c>
      <c r="F688" s="98" t="n"/>
      <c r="G688" s="91" t="n"/>
      <c r="H688" s="93" t="str">
        <f>IF(N688=0,"",IF(NOT(ISNUMBER(F688)),"",IF(ISNUMBER(U688),F688*U688,"UNIDADE A CONFERIR")))</f>
        <v/>
      </c>
      <c r="I688" s="94" t="str">
        <f>IF(Q688=1,INDEX('CDFs'!$F$6:$F$505,P688)&amp;"","")</f>
        <v/>
      </c>
      <c r="J688" s="91" t="n"/>
      <c r="K688" s="91" t="n"/>
      <c r="L688" s="94" t="str">
        <f>IF(N688=0,"",IF(NOT(ISNUMBER(F688)),"Quantidade não informada",IF(F688&lt;=0,"Quantidade não positiva",IF(G688="","Unidade não informada",IF(NOT(ISNUMBER(H688)),"Unidade a conferir",IF(AC688=1,"REVISAR VÍNCULO: soma vinculada maior que a referência do item","OK"))))))</f>
        <v/>
      </c>
      <c r="M688" s="94" t="str">
        <f>IF(N688=0,"",IF(B688="","CDF não informado",IF(Q688=0,"REVISAR VÍNCULO: CDF inexistente",IF(C688="","Item não informado",IF(T688=0,"REVISAR VÍNCULO: item inexistente",IF(AND(X688=1,J688&lt;&gt;"Sim"),"REVISAR VÍNCULO: destinador diferente do MTR",IF(X688=1,"Destinador diferente do MTR (analisado)","OK")))))))</f>
        <v/>
      </c>
      <c r="N688" s="96">
        <f>IF(COUNTA(B688:C688,F688:G688,J688:K688)&gt;0,1,0)</f>
        <v>0</v>
      </c>
      <c r="O688" s="96" t="str">
        <f>IF(B688="","",TRIM(LEFT(B688,FIND(" |",B688&amp;" |")-1)))</f>
        <v/>
      </c>
      <c r="P688" s="96" t="str">
        <f>IF(O688="","",IFERROR(MATCH(O688,'CDFs'!$A$6:$A$505,0),""))</f>
        <v/>
      </c>
      <c r="Q688" s="96">
        <f>IF(P688="",0,IF(INDEX('CDFs'!$S$6:$S$505,P688)=1,1,0))</f>
        <v>0</v>
      </c>
      <c r="R688" s="96" t="str">
        <f>IF(C688="","",TRIM(LEFT(C688,FIND(" |",C688&amp;" |")-1)))</f>
        <v/>
      </c>
      <c r="S688" s="96" t="str">
        <f>IF(R688="","",IFERROR(MATCH(R688,'ITENS_MTR'!$A$6:$A$1005,0),""))</f>
        <v/>
      </c>
      <c r="T688" s="96">
        <f>IF(S688="",0,IF(INDEX('ITENS_MTR'!$R$6:$R$1005,S688)=1,1,0))</f>
        <v>0</v>
      </c>
      <c r="U688" s="96" t="str">
        <f>IF(G688="","",IFERROR(IF(ISNUMBER(INDEX(cfg_fac,MATCH(G688,cfg_units,0))),IF(INDEX(cfg_fac,MATCH(G688,cfg_units,0))&gt;0,INDEX(cfg_fac,MATCH(G688,cfg_units,0)),""),""),""))</f>
        <v/>
      </c>
      <c r="V688" s="96">
        <f>IF(AND(ISNUMBER(F688),ISNUMBER(H688)),IF(H688&gt;0,1,0),0)</f>
        <v>0</v>
      </c>
      <c r="W688" s="96" t="str">
        <f>IF(T688=1,INDEX('ITENS_MTR'!$AU$6:$AU$1005,S688)&amp;"","")</f>
        <v/>
      </c>
      <c r="X688" s="96">
        <f>IF(AND(Q688=1,T688=1,I688&lt;&gt;"",W688&lt;&gt;""),IF(I688&lt;&gt;W688,1,0),0)</f>
        <v>0</v>
      </c>
      <c r="Y688" s="96">
        <f>IF(N688=0,0,IF(OR(Q688=0,T688=0,V688=0,AND(X688=1,J688&lt;&gt;"Sim")),1,0))</f>
        <v>0</v>
      </c>
      <c r="Z688" s="96">
        <f>IF(Q688=1,INDEX('CDFs'!$W$6:$W$505,P688),0)</f>
        <v>0</v>
      </c>
      <c r="AA688" s="96">
        <f>IF(AND(N688=1,Y688=0,Z688=1,J688="Sim"),1,0)</f>
        <v>0</v>
      </c>
      <c r="AB688" s="96">
        <f>IF(AND(N688=1,O688&lt;&gt;"",D688&lt;&gt;""),IF(COUNTIFS($O$6:O688,O688,$D$6:D688,D688)=1,1,0),0)</f>
        <v>0</v>
      </c>
      <c r="AC688" s="96">
        <f>IF(T688=1,INDEX('ITENS_MTR'!$AL$6:$AL$1005,S688),0)</f>
        <v>0</v>
      </c>
    </row>
    <row r="689">
      <c r="A689" s="89" t="inlineStr">
        <is>
          <t>VIN-000684</t>
        </is>
      </c>
      <c r="B689" s="91" t="n"/>
      <c r="C689" s="91" t="n"/>
      <c r="D689" s="94" t="str">
        <f>IF(T689=1,INDEX('ITENS_MTR'!$S$6:$S$1005,S689)&amp;"","")</f>
        <v/>
      </c>
      <c r="E689" s="94" t="str">
        <f>IF(T689=1,INDEX('ITENS_MTR'!$C$6:$C$1005,S689)&amp;"","")</f>
        <v/>
      </c>
      <c r="F689" s="98" t="n"/>
      <c r="G689" s="91" t="n"/>
      <c r="H689" s="93" t="str">
        <f>IF(N689=0,"",IF(NOT(ISNUMBER(F689)),"",IF(ISNUMBER(U689),F689*U689,"UNIDADE A CONFERIR")))</f>
        <v/>
      </c>
      <c r="I689" s="94" t="str">
        <f>IF(Q689=1,INDEX('CDFs'!$F$6:$F$505,P689)&amp;"","")</f>
        <v/>
      </c>
      <c r="J689" s="91" t="n"/>
      <c r="K689" s="91" t="n"/>
      <c r="L689" s="94" t="str">
        <f>IF(N689=0,"",IF(NOT(ISNUMBER(F689)),"Quantidade não informada",IF(F689&lt;=0,"Quantidade não positiva",IF(G689="","Unidade não informada",IF(NOT(ISNUMBER(H689)),"Unidade a conferir",IF(AC689=1,"REVISAR VÍNCULO: soma vinculada maior que a referência do item","OK"))))))</f>
        <v/>
      </c>
      <c r="M689" s="94" t="str">
        <f>IF(N689=0,"",IF(B689="","CDF não informado",IF(Q689=0,"REVISAR VÍNCULO: CDF inexistente",IF(C689="","Item não informado",IF(T689=0,"REVISAR VÍNCULO: item inexistente",IF(AND(X689=1,J689&lt;&gt;"Sim"),"REVISAR VÍNCULO: destinador diferente do MTR",IF(X689=1,"Destinador diferente do MTR (analisado)","OK")))))))</f>
        <v/>
      </c>
      <c r="N689" s="96">
        <f>IF(COUNTA(B689:C689,F689:G689,J689:K689)&gt;0,1,0)</f>
        <v>0</v>
      </c>
      <c r="O689" s="96" t="str">
        <f>IF(B689="","",TRIM(LEFT(B689,FIND(" |",B689&amp;" |")-1)))</f>
        <v/>
      </c>
      <c r="P689" s="96" t="str">
        <f>IF(O689="","",IFERROR(MATCH(O689,'CDFs'!$A$6:$A$505,0),""))</f>
        <v/>
      </c>
      <c r="Q689" s="96">
        <f>IF(P689="",0,IF(INDEX('CDFs'!$S$6:$S$505,P689)=1,1,0))</f>
        <v>0</v>
      </c>
      <c r="R689" s="96" t="str">
        <f>IF(C689="","",TRIM(LEFT(C689,FIND(" |",C689&amp;" |")-1)))</f>
        <v/>
      </c>
      <c r="S689" s="96" t="str">
        <f>IF(R689="","",IFERROR(MATCH(R689,'ITENS_MTR'!$A$6:$A$1005,0),""))</f>
        <v/>
      </c>
      <c r="T689" s="96">
        <f>IF(S689="",0,IF(INDEX('ITENS_MTR'!$R$6:$R$1005,S689)=1,1,0))</f>
        <v>0</v>
      </c>
      <c r="U689" s="96" t="str">
        <f>IF(G689="","",IFERROR(IF(ISNUMBER(INDEX(cfg_fac,MATCH(G689,cfg_units,0))),IF(INDEX(cfg_fac,MATCH(G689,cfg_units,0))&gt;0,INDEX(cfg_fac,MATCH(G689,cfg_units,0)),""),""),""))</f>
        <v/>
      </c>
      <c r="V689" s="96">
        <f>IF(AND(ISNUMBER(F689),ISNUMBER(H689)),IF(H689&gt;0,1,0),0)</f>
        <v>0</v>
      </c>
      <c r="W689" s="96" t="str">
        <f>IF(T689=1,INDEX('ITENS_MTR'!$AU$6:$AU$1005,S689)&amp;"","")</f>
        <v/>
      </c>
      <c r="X689" s="96">
        <f>IF(AND(Q689=1,T689=1,I689&lt;&gt;"",W689&lt;&gt;""),IF(I689&lt;&gt;W689,1,0),0)</f>
        <v>0</v>
      </c>
      <c r="Y689" s="96">
        <f>IF(N689=0,0,IF(OR(Q689=0,T689=0,V689=0,AND(X689=1,J689&lt;&gt;"Sim")),1,0))</f>
        <v>0</v>
      </c>
      <c r="Z689" s="96">
        <f>IF(Q689=1,INDEX('CDFs'!$W$6:$W$505,P689),0)</f>
        <v>0</v>
      </c>
      <c r="AA689" s="96">
        <f>IF(AND(N689=1,Y689=0,Z689=1,J689="Sim"),1,0)</f>
        <v>0</v>
      </c>
      <c r="AB689" s="96">
        <f>IF(AND(N689=1,O689&lt;&gt;"",D689&lt;&gt;""),IF(COUNTIFS($O$6:O689,O689,$D$6:D689,D689)=1,1,0),0)</f>
        <v>0</v>
      </c>
      <c r="AC689" s="96">
        <f>IF(T689=1,INDEX('ITENS_MTR'!$AL$6:$AL$1005,S689),0)</f>
        <v>0</v>
      </c>
    </row>
    <row r="690">
      <c r="A690" s="89" t="inlineStr">
        <is>
          <t>VIN-000685</t>
        </is>
      </c>
      <c r="B690" s="91" t="n"/>
      <c r="C690" s="91" t="n"/>
      <c r="D690" s="94" t="str">
        <f>IF(T690=1,INDEX('ITENS_MTR'!$S$6:$S$1005,S690)&amp;"","")</f>
        <v/>
      </c>
      <c r="E690" s="94" t="str">
        <f>IF(T690=1,INDEX('ITENS_MTR'!$C$6:$C$1005,S690)&amp;"","")</f>
        <v/>
      </c>
      <c r="F690" s="98" t="n"/>
      <c r="G690" s="91" t="n"/>
      <c r="H690" s="93" t="str">
        <f>IF(N690=0,"",IF(NOT(ISNUMBER(F690)),"",IF(ISNUMBER(U690),F690*U690,"UNIDADE A CONFERIR")))</f>
        <v/>
      </c>
      <c r="I690" s="94" t="str">
        <f>IF(Q690=1,INDEX('CDFs'!$F$6:$F$505,P690)&amp;"","")</f>
        <v/>
      </c>
      <c r="J690" s="91" t="n"/>
      <c r="K690" s="91" t="n"/>
      <c r="L690" s="94" t="str">
        <f>IF(N690=0,"",IF(NOT(ISNUMBER(F690)),"Quantidade não informada",IF(F690&lt;=0,"Quantidade não positiva",IF(G690="","Unidade não informada",IF(NOT(ISNUMBER(H690)),"Unidade a conferir",IF(AC690=1,"REVISAR VÍNCULO: soma vinculada maior que a referência do item","OK"))))))</f>
        <v/>
      </c>
      <c r="M690" s="94" t="str">
        <f>IF(N690=0,"",IF(B690="","CDF não informado",IF(Q690=0,"REVISAR VÍNCULO: CDF inexistente",IF(C690="","Item não informado",IF(T690=0,"REVISAR VÍNCULO: item inexistente",IF(AND(X690=1,J690&lt;&gt;"Sim"),"REVISAR VÍNCULO: destinador diferente do MTR",IF(X690=1,"Destinador diferente do MTR (analisado)","OK")))))))</f>
        <v/>
      </c>
      <c r="N690" s="96">
        <f>IF(COUNTA(B690:C690,F690:G690,J690:K690)&gt;0,1,0)</f>
        <v>0</v>
      </c>
      <c r="O690" s="96" t="str">
        <f>IF(B690="","",TRIM(LEFT(B690,FIND(" |",B690&amp;" |")-1)))</f>
        <v/>
      </c>
      <c r="P690" s="96" t="str">
        <f>IF(O690="","",IFERROR(MATCH(O690,'CDFs'!$A$6:$A$505,0),""))</f>
        <v/>
      </c>
      <c r="Q690" s="96">
        <f>IF(P690="",0,IF(INDEX('CDFs'!$S$6:$S$505,P690)=1,1,0))</f>
        <v>0</v>
      </c>
      <c r="R690" s="96" t="str">
        <f>IF(C690="","",TRIM(LEFT(C690,FIND(" |",C690&amp;" |")-1)))</f>
        <v/>
      </c>
      <c r="S690" s="96" t="str">
        <f>IF(R690="","",IFERROR(MATCH(R690,'ITENS_MTR'!$A$6:$A$1005,0),""))</f>
        <v/>
      </c>
      <c r="T690" s="96">
        <f>IF(S690="",0,IF(INDEX('ITENS_MTR'!$R$6:$R$1005,S690)=1,1,0))</f>
        <v>0</v>
      </c>
      <c r="U690" s="96" t="str">
        <f>IF(G690="","",IFERROR(IF(ISNUMBER(INDEX(cfg_fac,MATCH(G690,cfg_units,0))),IF(INDEX(cfg_fac,MATCH(G690,cfg_units,0))&gt;0,INDEX(cfg_fac,MATCH(G690,cfg_units,0)),""),""),""))</f>
        <v/>
      </c>
      <c r="V690" s="96">
        <f>IF(AND(ISNUMBER(F690),ISNUMBER(H690)),IF(H690&gt;0,1,0),0)</f>
        <v>0</v>
      </c>
      <c r="W690" s="96" t="str">
        <f>IF(T690=1,INDEX('ITENS_MTR'!$AU$6:$AU$1005,S690)&amp;"","")</f>
        <v/>
      </c>
      <c r="X690" s="96">
        <f>IF(AND(Q690=1,T690=1,I690&lt;&gt;"",W690&lt;&gt;""),IF(I690&lt;&gt;W690,1,0),0)</f>
        <v>0</v>
      </c>
      <c r="Y690" s="96">
        <f>IF(N690=0,0,IF(OR(Q690=0,T690=0,V690=0,AND(X690=1,J690&lt;&gt;"Sim")),1,0))</f>
        <v>0</v>
      </c>
      <c r="Z690" s="96">
        <f>IF(Q690=1,INDEX('CDFs'!$W$6:$W$505,P690),0)</f>
        <v>0</v>
      </c>
      <c r="AA690" s="96">
        <f>IF(AND(N690=1,Y690=0,Z690=1,J690="Sim"),1,0)</f>
        <v>0</v>
      </c>
      <c r="AB690" s="96">
        <f>IF(AND(N690=1,O690&lt;&gt;"",D690&lt;&gt;""),IF(COUNTIFS($O$6:O690,O690,$D$6:D690,D690)=1,1,0),0)</f>
        <v>0</v>
      </c>
      <c r="AC690" s="96">
        <f>IF(T690=1,INDEX('ITENS_MTR'!$AL$6:$AL$1005,S690),0)</f>
        <v>0</v>
      </c>
    </row>
    <row r="691">
      <c r="A691" s="89" t="inlineStr">
        <is>
          <t>VIN-000686</t>
        </is>
      </c>
      <c r="B691" s="91" t="n"/>
      <c r="C691" s="91" t="n"/>
      <c r="D691" s="94" t="str">
        <f>IF(T691=1,INDEX('ITENS_MTR'!$S$6:$S$1005,S691)&amp;"","")</f>
        <v/>
      </c>
      <c r="E691" s="94" t="str">
        <f>IF(T691=1,INDEX('ITENS_MTR'!$C$6:$C$1005,S691)&amp;"","")</f>
        <v/>
      </c>
      <c r="F691" s="98" t="n"/>
      <c r="G691" s="91" t="n"/>
      <c r="H691" s="93" t="str">
        <f>IF(N691=0,"",IF(NOT(ISNUMBER(F691)),"",IF(ISNUMBER(U691),F691*U691,"UNIDADE A CONFERIR")))</f>
        <v/>
      </c>
      <c r="I691" s="94" t="str">
        <f>IF(Q691=1,INDEX('CDFs'!$F$6:$F$505,P691)&amp;"","")</f>
        <v/>
      </c>
      <c r="J691" s="91" t="n"/>
      <c r="K691" s="91" t="n"/>
      <c r="L691" s="94" t="str">
        <f>IF(N691=0,"",IF(NOT(ISNUMBER(F691)),"Quantidade não informada",IF(F691&lt;=0,"Quantidade não positiva",IF(G691="","Unidade não informada",IF(NOT(ISNUMBER(H691)),"Unidade a conferir",IF(AC691=1,"REVISAR VÍNCULO: soma vinculada maior que a referência do item","OK"))))))</f>
        <v/>
      </c>
      <c r="M691" s="94" t="str">
        <f>IF(N691=0,"",IF(B691="","CDF não informado",IF(Q691=0,"REVISAR VÍNCULO: CDF inexistente",IF(C691="","Item não informado",IF(T691=0,"REVISAR VÍNCULO: item inexistente",IF(AND(X691=1,J691&lt;&gt;"Sim"),"REVISAR VÍNCULO: destinador diferente do MTR",IF(X691=1,"Destinador diferente do MTR (analisado)","OK")))))))</f>
        <v/>
      </c>
      <c r="N691" s="96">
        <f>IF(COUNTA(B691:C691,F691:G691,J691:K691)&gt;0,1,0)</f>
        <v>0</v>
      </c>
      <c r="O691" s="96" t="str">
        <f>IF(B691="","",TRIM(LEFT(B691,FIND(" |",B691&amp;" |")-1)))</f>
        <v/>
      </c>
      <c r="P691" s="96" t="str">
        <f>IF(O691="","",IFERROR(MATCH(O691,'CDFs'!$A$6:$A$505,0),""))</f>
        <v/>
      </c>
      <c r="Q691" s="96">
        <f>IF(P691="",0,IF(INDEX('CDFs'!$S$6:$S$505,P691)=1,1,0))</f>
        <v>0</v>
      </c>
      <c r="R691" s="96" t="str">
        <f>IF(C691="","",TRIM(LEFT(C691,FIND(" |",C691&amp;" |")-1)))</f>
        <v/>
      </c>
      <c r="S691" s="96" t="str">
        <f>IF(R691="","",IFERROR(MATCH(R691,'ITENS_MTR'!$A$6:$A$1005,0),""))</f>
        <v/>
      </c>
      <c r="T691" s="96">
        <f>IF(S691="",0,IF(INDEX('ITENS_MTR'!$R$6:$R$1005,S691)=1,1,0))</f>
        <v>0</v>
      </c>
      <c r="U691" s="96" t="str">
        <f>IF(G691="","",IFERROR(IF(ISNUMBER(INDEX(cfg_fac,MATCH(G691,cfg_units,0))),IF(INDEX(cfg_fac,MATCH(G691,cfg_units,0))&gt;0,INDEX(cfg_fac,MATCH(G691,cfg_units,0)),""),""),""))</f>
        <v/>
      </c>
      <c r="V691" s="96">
        <f>IF(AND(ISNUMBER(F691),ISNUMBER(H691)),IF(H691&gt;0,1,0),0)</f>
        <v>0</v>
      </c>
      <c r="W691" s="96" t="str">
        <f>IF(T691=1,INDEX('ITENS_MTR'!$AU$6:$AU$1005,S691)&amp;"","")</f>
        <v/>
      </c>
      <c r="X691" s="96">
        <f>IF(AND(Q691=1,T691=1,I691&lt;&gt;"",W691&lt;&gt;""),IF(I691&lt;&gt;W691,1,0),0)</f>
        <v>0</v>
      </c>
      <c r="Y691" s="96">
        <f>IF(N691=0,0,IF(OR(Q691=0,T691=0,V691=0,AND(X691=1,J691&lt;&gt;"Sim")),1,0))</f>
        <v>0</v>
      </c>
      <c r="Z691" s="96">
        <f>IF(Q691=1,INDEX('CDFs'!$W$6:$W$505,P691),0)</f>
        <v>0</v>
      </c>
      <c r="AA691" s="96">
        <f>IF(AND(N691=1,Y691=0,Z691=1,J691="Sim"),1,0)</f>
        <v>0</v>
      </c>
      <c r="AB691" s="96">
        <f>IF(AND(N691=1,O691&lt;&gt;"",D691&lt;&gt;""),IF(COUNTIFS($O$6:O691,O691,$D$6:D691,D691)=1,1,0),0)</f>
        <v>0</v>
      </c>
      <c r="AC691" s="96">
        <f>IF(T691=1,INDEX('ITENS_MTR'!$AL$6:$AL$1005,S691),0)</f>
        <v>0</v>
      </c>
    </row>
    <row r="692">
      <c r="A692" s="89" t="inlineStr">
        <is>
          <t>VIN-000687</t>
        </is>
      </c>
      <c r="B692" s="91" t="n"/>
      <c r="C692" s="91" t="n"/>
      <c r="D692" s="94" t="str">
        <f>IF(T692=1,INDEX('ITENS_MTR'!$S$6:$S$1005,S692)&amp;"","")</f>
        <v/>
      </c>
      <c r="E692" s="94" t="str">
        <f>IF(T692=1,INDEX('ITENS_MTR'!$C$6:$C$1005,S692)&amp;"","")</f>
        <v/>
      </c>
      <c r="F692" s="98" t="n"/>
      <c r="G692" s="91" t="n"/>
      <c r="H692" s="93" t="str">
        <f>IF(N692=0,"",IF(NOT(ISNUMBER(F692)),"",IF(ISNUMBER(U692),F692*U692,"UNIDADE A CONFERIR")))</f>
        <v/>
      </c>
      <c r="I692" s="94" t="str">
        <f>IF(Q692=1,INDEX('CDFs'!$F$6:$F$505,P692)&amp;"","")</f>
        <v/>
      </c>
      <c r="J692" s="91" t="n"/>
      <c r="K692" s="91" t="n"/>
      <c r="L692" s="94" t="str">
        <f>IF(N692=0,"",IF(NOT(ISNUMBER(F692)),"Quantidade não informada",IF(F692&lt;=0,"Quantidade não positiva",IF(G692="","Unidade não informada",IF(NOT(ISNUMBER(H692)),"Unidade a conferir",IF(AC692=1,"REVISAR VÍNCULO: soma vinculada maior que a referência do item","OK"))))))</f>
        <v/>
      </c>
      <c r="M692" s="94" t="str">
        <f>IF(N692=0,"",IF(B692="","CDF não informado",IF(Q692=0,"REVISAR VÍNCULO: CDF inexistente",IF(C692="","Item não informado",IF(T692=0,"REVISAR VÍNCULO: item inexistente",IF(AND(X692=1,J692&lt;&gt;"Sim"),"REVISAR VÍNCULO: destinador diferente do MTR",IF(X692=1,"Destinador diferente do MTR (analisado)","OK")))))))</f>
        <v/>
      </c>
      <c r="N692" s="96">
        <f>IF(COUNTA(B692:C692,F692:G692,J692:K692)&gt;0,1,0)</f>
        <v>0</v>
      </c>
      <c r="O692" s="96" t="str">
        <f>IF(B692="","",TRIM(LEFT(B692,FIND(" |",B692&amp;" |")-1)))</f>
        <v/>
      </c>
      <c r="P692" s="96" t="str">
        <f>IF(O692="","",IFERROR(MATCH(O692,'CDFs'!$A$6:$A$505,0),""))</f>
        <v/>
      </c>
      <c r="Q692" s="96">
        <f>IF(P692="",0,IF(INDEX('CDFs'!$S$6:$S$505,P692)=1,1,0))</f>
        <v>0</v>
      </c>
      <c r="R692" s="96" t="str">
        <f>IF(C692="","",TRIM(LEFT(C692,FIND(" |",C692&amp;" |")-1)))</f>
        <v/>
      </c>
      <c r="S692" s="96" t="str">
        <f>IF(R692="","",IFERROR(MATCH(R692,'ITENS_MTR'!$A$6:$A$1005,0),""))</f>
        <v/>
      </c>
      <c r="T692" s="96">
        <f>IF(S692="",0,IF(INDEX('ITENS_MTR'!$R$6:$R$1005,S692)=1,1,0))</f>
        <v>0</v>
      </c>
      <c r="U692" s="96" t="str">
        <f>IF(G692="","",IFERROR(IF(ISNUMBER(INDEX(cfg_fac,MATCH(G692,cfg_units,0))),IF(INDEX(cfg_fac,MATCH(G692,cfg_units,0))&gt;0,INDEX(cfg_fac,MATCH(G692,cfg_units,0)),""),""),""))</f>
        <v/>
      </c>
      <c r="V692" s="96">
        <f>IF(AND(ISNUMBER(F692),ISNUMBER(H692)),IF(H692&gt;0,1,0),0)</f>
        <v>0</v>
      </c>
      <c r="W692" s="96" t="str">
        <f>IF(T692=1,INDEX('ITENS_MTR'!$AU$6:$AU$1005,S692)&amp;"","")</f>
        <v/>
      </c>
      <c r="X692" s="96">
        <f>IF(AND(Q692=1,T692=1,I692&lt;&gt;"",W692&lt;&gt;""),IF(I692&lt;&gt;W692,1,0),0)</f>
        <v>0</v>
      </c>
      <c r="Y692" s="96">
        <f>IF(N692=0,0,IF(OR(Q692=0,T692=0,V692=0,AND(X692=1,J692&lt;&gt;"Sim")),1,0))</f>
        <v>0</v>
      </c>
      <c r="Z692" s="96">
        <f>IF(Q692=1,INDEX('CDFs'!$W$6:$W$505,P692),0)</f>
        <v>0</v>
      </c>
      <c r="AA692" s="96">
        <f>IF(AND(N692=1,Y692=0,Z692=1,J692="Sim"),1,0)</f>
        <v>0</v>
      </c>
      <c r="AB692" s="96">
        <f>IF(AND(N692=1,O692&lt;&gt;"",D692&lt;&gt;""),IF(COUNTIFS($O$6:O692,O692,$D$6:D692,D692)=1,1,0),0)</f>
        <v>0</v>
      </c>
      <c r="AC692" s="96">
        <f>IF(T692=1,INDEX('ITENS_MTR'!$AL$6:$AL$1005,S692),0)</f>
        <v>0</v>
      </c>
    </row>
    <row r="693">
      <c r="A693" s="89" t="inlineStr">
        <is>
          <t>VIN-000688</t>
        </is>
      </c>
      <c r="B693" s="91" t="n"/>
      <c r="C693" s="91" t="n"/>
      <c r="D693" s="94" t="str">
        <f>IF(T693=1,INDEX('ITENS_MTR'!$S$6:$S$1005,S693)&amp;"","")</f>
        <v/>
      </c>
      <c r="E693" s="94" t="str">
        <f>IF(T693=1,INDEX('ITENS_MTR'!$C$6:$C$1005,S693)&amp;"","")</f>
        <v/>
      </c>
      <c r="F693" s="98" t="n"/>
      <c r="G693" s="91" t="n"/>
      <c r="H693" s="93" t="str">
        <f>IF(N693=0,"",IF(NOT(ISNUMBER(F693)),"",IF(ISNUMBER(U693),F693*U693,"UNIDADE A CONFERIR")))</f>
        <v/>
      </c>
      <c r="I693" s="94" t="str">
        <f>IF(Q693=1,INDEX('CDFs'!$F$6:$F$505,P693)&amp;"","")</f>
        <v/>
      </c>
      <c r="J693" s="91" t="n"/>
      <c r="K693" s="91" t="n"/>
      <c r="L693" s="94" t="str">
        <f>IF(N693=0,"",IF(NOT(ISNUMBER(F693)),"Quantidade não informada",IF(F693&lt;=0,"Quantidade não positiva",IF(G693="","Unidade não informada",IF(NOT(ISNUMBER(H693)),"Unidade a conferir",IF(AC693=1,"REVISAR VÍNCULO: soma vinculada maior que a referência do item","OK"))))))</f>
        <v/>
      </c>
      <c r="M693" s="94" t="str">
        <f>IF(N693=0,"",IF(B693="","CDF não informado",IF(Q693=0,"REVISAR VÍNCULO: CDF inexistente",IF(C693="","Item não informado",IF(T693=0,"REVISAR VÍNCULO: item inexistente",IF(AND(X693=1,J693&lt;&gt;"Sim"),"REVISAR VÍNCULO: destinador diferente do MTR",IF(X693=1,"Destinador diferente do MTR (analisado)","OK")))))))</f>
        <v/>
      </c>
      <c r="N693" s="96">
        <f>IF(COUNTA(B693:C693,F693:G693,J693:K693)&gt;0,1,0)</f>
        <v>0</v>
      </c>
      <c r="O693" s="96" t="str">
        <f>IF(B693="","",TRIM(LEFT(B693,FIND(" |",B693&amp;" |")-1)))</f>
        <v/>
      </c>
      <c r="P693" s="96" t="str">
        <f>IF(O693="","",IFERROR(MATCH(O693,'CDFs'!$A$6:$A$505,0),""))</f>
        <v/>
      </c>
      <c r="Q693" s="96">
        <f>IF(P693="",0,IF(INDEX('CDFs'!$S$6:$S$505,P693)=1,1,0))</f>
        <v>0</v>
      </c>
      <c r="R693" s="96" t="str">
        <f>IF(C693="","",TRIM(LEFT(C693,FIND(" |",C693&amp;" |")-1)))</f>
        <v/>
      </c>
      <c r="S693" s="96" t="str">
        <f>IF(R693="","",IFERROR(MATCH(R693,'ITENS_MTR'!$A$6:$A$1005,0),""))</f>
        <v/>
      </c>
      <c r="T693" s="96">
        <f>IF(S693="",0,IF(INDEX('ITENS_MTR'!$R$6:$R$1005,S693)=1,1,0))</f>
        <v>0</v>
      </c>
      <c r="U693" s="96" t="str">
        <f>IF(G693="","",IFERROR(IF(ISNUMBER(INDEX(cfg_fac,MATCH(G693,cfg_units,0))),IF(INDEX(cfg_fac,MATCH(G693,cfg_units,0))&gt;0,INDEX(cfg_fac,MATCH(G693,cfg_units,0)),""),""),""))</f>
        <v/>
      </c>
      <c r="V693" s="96">
        <f>IF(AND(ISNUMBER(F693),ISNUMBER(H693)),IF(H693&gt;0,1,0),0)</f>
        <v>0</v>
      </c>
      <c r="W693" s="96" t="str">
        <f>IF(T693=1,INDEX('ITENS_MTR'!$AU$6:$AU$1005,S693)&amp;"","")</f>
        <v/>
      </c>
      <c r="X693" s="96">
        <f>IF(AND(Q693=1,T693=1,I693&lt;&gt;"",W693&lt;&gt;""),IF(I693&lt;&gt;W693,1,0),0)</f>
        <v>0</v>
      </c>
      <c r="Y693" s="96">
        <f>IF(N693=0,0,IF(OR(Q693=0,T693=0,V693=0,AND(X693=1,J693&lt;&gt;"Sim")),1,0))</f>
        <v>0</v>
      </c>
      <c r="Z693" s="96">
        <f>IF(Q693=1,INDEX('CDFs'!$W$6:$W$505,P693),0)</f>
        <v>0</v>
      </c>
      <c r="AA693" s="96">
        <f>IF(AND(N693=1,Y693=0,Z693=1,J693="Sim"),1,0)</f>
        <v>0</v>
      </c>
      <c r="AB693" s="96">
        <f>IF(AND(N693=1,O693&lt;&gt;"",D693&lt;&gt;""),IF(COUNTIFS($O$6:O693,O693,$D$6:D693,D693)=1,1,0),0)</f>
        <v>0</v>
      </c>
      <c r="AC693" s="96">
        <f>IF(T693=1,INDEX('ITENS_MTR'!$AL$6:$AL$1005,S693),0)</f>
        <v>0</v>
      </c>
    </row>
    <row r="694">
      <c r="A694" s="89" t="inlineStr">
        <is>
          <t>VIN-000689</t>
        </is>
      </c>
      <c r="B694" s="91" t="n"/>
      <c r="C694" s="91" t="n"/>
      <c r="D694" s="94" t="str">
        <f>IF(T694=1,INDEX('ITENS_MTR'!$S$6:$S$1005,S694)&amp;"","")</f>
        <v/>
      </c>
      <c r="E694" s="94" t="str">
        <f>IF(T694=1,INDEX('ITENS_MTR'!$C$6:$C$1005,S694)&amp;"","")</f>
        <v/>
      </c>
      <c r="F694" s="98" t="n"/>
      <c r="G694" s="91" t="n"/>
      <c r="H694" s="93" t="str">
        <f>IF(N694=0,"",IF(NOT(ISNUMBER(F694)),"",IF(ISNUMBER(U694),F694*U694,"UNIDADE A CONFERIR")))</f>
        <v/>
      </c>
      <c r="I694" s="94" t="str">
        <f>IF(Q694=1,INDEX('CDFs'!$F$6:$F$505,P694)&amp;"","")</f>
        <v/>
      </c>
      <c r="J694" s="91" t="n"/>
      <c r="K694" s="91" t="n"/>
      <c r="L694" s="94" t="str">
        <f>IF(N694=0,"",IF(NOT(ISNUMBER(F694)),"Quantidade não informada",IF(F694&lt;=0,"Quantidade não positiva",IF(G694="","Unidade não informada",IF(NOT(ISNUMBER(H694)),"Unidade a conferir",IF(AC694=1,"REVISAR VÍNCULO: soma vinculada maior que a referência do item","OK"))))))</f>
        <v/>
      </c>
      <c r="M694" s="94" t="str">
        <f>IF(N694=0,"",IF(B694="","CDF não informado",IF(Q694=0,"REVISAR VÍNCULO: CDF inexistente",IF(C694="","Item não informado",IF(T694=0,"REVISAR VÍNCULO: item inexistente",IF(AND(X694=1,J694&lt;&gt;"Sim"),"REVISAR VÍNCULO: destinador diferente do MTR",IF(X694=1,"Destinador diferente do MTR (analisado)","OK")))))))</f>
        <v/>
      </c>
      <c r="N694" s="96">
        <f>IF(COUNTA(B694:C694,F694:G694,J694:K694)&gt;0,1,0)</f>
        <v>0</v>
      </c>
      <c r="O694" s="96" t="str">
        <f>IF(B694="","",TRIM(LEFT(B694,FIND(" |",B694&amp;" |")-1)))</f>
        <v/>
      </c>
      <c r="P694" s="96" t="str">
        <f>IF(O694="","",IFERROR(MATCH(O694,'CDFs'!$A$6:$A$505,0),""))</f>
        <v/>
      </c>
      <c r="Q694" s="96">
        <f>IF(P694="",0,IF(INDEX('CDFs'!$S$6:$S$505,P694)=1,1,0))</f>
        <v>0</v>
      </c>
      <c r="R694" s="96" t="str">
        <f>IF(C694="","",TRIM(LEFT(C694,FIND(" |",C694&amp;" |")-1)))</f>
        <v/>
      </c>
      <c r="S694" s="96" t="str">
        <f>IF(R694="","",IFERROR(MATCH(R694,'ITENS_MTR'!$A$6:$A$1005,0),""))</f>
        <v/>
      </c>
      <c r="T694" s="96">
        <f>IF(S694="",0,IF(INDEX('ITENS_MTR'!$R$6:$R$1005,S694)=1,1,0))</f>
        <v>0</v>
      </c>
      <c r="U694" s="96" t="str">
        <f>IF(G694="","",IFERROR(IF(ISNUMBER(INDEX(cfg_fac,MATCH(G694,cfg_units,0))),IF(INDEX(cfg_fac,MATCH(G694,cfg_units,0))&gt;0,INDEX(cfg_fac,MATCH(G694,cfg_units,0)),""),""),""))</f>
        <v/>
      </c>
      <c r="V694" s="96">
        <f>IF(AND(ISNUMBER(F694),ISNUMBER(H694)),IF(H694&gt;0,1,0),0)</f>
        <v>0</v>
      </c>
      <c r="W694" s="96" t="str">
        <f>IF(T694=1,INDEX('ITENS_MTR'!$AU$6:$AU$1005,S694)&amp;"","")</f>
        <v/>
      </c>
      <c r="X694" s="96">
        <f>IF(AND(Q694=1,T694=1,I694&lt;&gt;"",W694&lt;&gt;""),IF(I694&lt;&gt;W694,1,0),0)</f>
        <v>0</v>
      </c>
      <c r="Y694" s="96">
        <f>IF(N694=0,0,IF(OR(Q694=0,T694=0,V694=0,AND(X694=1,J694&lt;&gt;"Sim")),1,0))</f>
        <v>0</v>
      </c>
      <c r="Z694" s="96">
        <f>IF(Q694=1,INDEX('CDFs'!$W$6:$W$505,P694),0)</f>
        <v>0</v>
      </c>
      <c r="AA694" s="96">
        <f>IF(AND(N694=1,Y694=0,Z694=1,J694="Sim"),1,0)</f>
        <v>0</v>
      </c>
      <c r="AB694" s="96">
        <f>IF(AND(N694=1,O694&lt;&gt;"",D694&lt;&gt;""),IF(COUNTIFS($O$6:O694,O694,$D$6:D694,D694)=1,1,0),0)</f>
        <v>0</v>
      </c>
      <c r="AC694" s="96">
        <f>IF(T694=1,INDEX('ITENS_MTR'!$AL$6:$AL$1005,S694),0)</f>
        <v>0</v>
      </c>
    </row>
    <row r="695">
      <c r="A695" s="89" t="inlineStr">
        <is>
          <t>VIN-000690</t>
        </is>
      </c>
      <c r="B695" s="91" t="n"/>
      <c r="C695" s="91" t="n"/>
      <c r="D695" s="94" t="str">
        <f>IF(T695=1,INDEX('ITENS_MTR'!$S$6:$S$1005,S695)&amp;"","")</f>
        <v/>
      </c>
      <c r="E695" s="94" t="str">
        <f>IF(T695=1,INDEX('ITENS_MTR'!$C$6:$C$1005,S695)&amp;"","")</f>
        <v/>
      </c>
      <c r="F695" s="98" t="n"/>
      <c r="G695" s="91" t="n"/>
      <c r="H695" s="93" t="str">
        <f>IF(N695=0,"",IF(NOT(ISNUMBER(F695)),"",IF(ISNUMBER(U695),F695*U695,"UNIDADE A CONFERIR")))</f>
        <v/>
      </c>
      <c r="I695" s="94" t="str">
        <f>IF(Q695=1,INDEX('CDFs'!$F$6:$F$505,P695)&amp;"","")</f>
        <v/>
      </c>
      <c r="J695" s="91" t="n"/>
      <c r="K695" s="91" t="n"/>
      <c r="L695" s="94" t="str">
        <f>IF(N695=0,"",IF(NOT(ISNUMBER(F695)),"Quantidade não informada",IF(F695&lt;=0,"Quantidade não positiva",IF(G695="","Unidade não informada",IF(NOT(ISNUMBER(H695)),"Unidade a conferir",IF(AC695=1,"REVISAR VÍNCULO: soma vinculada maior que a referência do item","OK"))))))</f>
        <v/>
      </c>
      <c r="M695" s="94" t="str">
        <f>IF(N695=0,"",IF(B695="","CDF não informado",IF(Q695=0,"REVISAR VÍNCULO: CDF inexistente",IF(C695="","Item não informado",IF(T695=0,"REVISAR VÍNCULO: item inexistente",IF(AND(X695=1,J695&lt;&gt;"Sim"),"REVISAR VÍNCULO: destinador diferente do MTR",IF(X695=1,"Destinador diferente do MTR (analisado)","OK")))))))</f>
        <v/>
      </c>
      <c r="N695" s="96">
        <f>IF(COUNTA(B695:C695,F695:G695,J695:K695)&gt;0,1,0)</f>
        <v>0</v>
      </c>
      <c r="O695" s="96" t="str">
        <f>IF(B695="","",TRIM(LEFT(B695,FIND(" |",B695&amp;" |")-1)))</f>
        <v/>
      </c>
      <c r="P695" s="96" t="str">
        <f>IF(O695="","",IFERROR(MATCH(O695,'CDFs'!$A$6:$A$505,0),""))</f>
        <v/>
      </c>
      <c r="Q695" s="96">
        <f>IF(P695="",0,IF(INDEX('CDFs'!$S$6:$S$505,P695)=1,1,0))</f>
        <v>0</v>
      </c>
      <c r="R695" s="96" t="str">
        <f>IF(C695="","",TRIM(LEFT(C695,FIND(" |",C695&amp;" |")-1)))</f>
        <v/>
      </c>
      <c r="S695" s="96" t="str">
        <f>IF(R695="","",IFERROR(MATCH(R695,'ITENS_MTR'!$A$6:$A$1005,0),""))</f>
        <v/>
      </c>
      <c r="T695" s="96">
        <f>IF(S695="",0,IF(INDEX('ITENS_MTR'!$R$6:$R$1005,S695)=1,1,0))</f>
        <v>0</v>
      </c>
      <c r="U695" s="96" t="str">
        <f>IF(G695="","",IFERROR(IF(ISNUMBER(INDEX(cfg_fac,MATCH(G695,cfg_units,0))),IF(INDEX(cfg_fac,MATCH(G695,cfg_units,0))&gt;0,INDEX(cfg_fac,MATCH(G695,cfg_units,0)),""),""),""))</f>
        <v/>
      </c>
      <c r="V695" s="96">
        <f>IF(AND(ISNUMBER(F695),ISNUMBER(H695)),IF(H695&gt;0,1,0),0)</f>
        <v>0</v>
      </c>
      <c r="W695" s="96" t="str">
        <f>IF(T695=1,INDEX('ITENS_MTR'!$AU$6:$AU$1005,S695)&amp;"","")</f>
        <v/>
      </c>
      <c r="X695" s="96">
        <f>IF(AND(Q695=1,T695=1,I695&lt;&gt;"",W695&lt;&gt;""),IF(I695&lt;&gt;W695,1,0),0)</f>
        <v>0</v>
      </c>
      <c r="Y695" s="96">
        <f>IF(N695=0,0,IF(OR(Q695=0,T695=0,V695=0,AND(X695=1,J695&lt;&gt;"Sim")),1,0))</f>
        <v>0</v>
      </c>
      <c r="Z695" s="96">
        <f>IF(Q695=1,INDEX('CDFs'!$W$6:$W$505,P695),0)</f>
        <v>0</v>
      </c>
      <c r="AA695" s="96">
        <f>IF(AND(N695=1,Y695=0,Z695=1,J695="Sim"),1,0)</f>
        <v>0</v>
      </c>
      <c r="AB695" s="96">
        <f>IF(AND(N695=1,O695&lt;&gt;"",D695&lt;&gt;""),IF(COUNTIFS($O$6:O695,O695,$D$6:D695,D695)=1,1,0),0)</f>
        <v>0</v>
      </c>
      <c r="AC695" s="96">
        <f>IF(T695=1,INDEX('ITENS_MTR'!$AL$6:$AL$1005,S695),0)</f>
        <v>0</v>
      </c>
    </row>
    <row r="696">
      <c r="A696" s="89" t="inlineStr">
        <is>
          <t>VIN-000691</t>
        </is>
      </c>
      <c r="B696" s="91" t="n"/>
      <c r="C696" s="91" t="n"/>
      <c r="D696" s="94" t="str">
        <f>IF(T696=1,INDEX('ITENS_MTR'!$S$6:$S$1005,S696)&amp;"","")</f>
        <v/>
      </c>
      <c r="E696" s="94" t="str">
        <f>IF(T696=1,INDEX('ITENS_MTR'!$C$6:$C$1005,S696)&amp;"","")</f>
        <v/>
      </c>
      <c r="F696" s="98" t="n"/>
      <c r="G696" s="91" t="n"/>
      <c r="H696" s="93" t="str">
        <f>IF(N696=0,"",IF(NOT(ISNUMBER(F696)),"",IF(ISNUMBER(U696),F696*U696,"UNIDADE A CONFERIR")))</f>
        <v/>
      </c>
      <c r="I696" s="94" t="str">
        <f>IF(Q696=1,INDEX('CDFs'!$F$6:$F$505,P696)&amp;"","")</f>
        <v/>
      </c>
      <c r="J696" s="91" t="n"/>
      <c r="K696" s="91" t="n"/>
      <c r="L696" s="94" t="str">
        <f>IF(N696=0,"",IF(NOT(ISNUMBER(F696)),"Quantidade não informada",IF(F696&lt;=0,"Quantidade não positiva",IF(G696="","Unidade não informada",IF(NOT(ISNUMBER(H696)),"Unidade a conferir",IF(AC696=1,"REVISAR VÍNCULO: soma vinculada maior que a referência do item","OK"))))))</f>
        <v/>
      </c>
      <c r="M696" s="94" t="str">
        <f>IF(N696=0,"",IF(B696="","CDF não informado",IF(Q696=0,"REVISAR VÍNCULO: CDF inexistente",IF(C696="","Item não informado",IF(T696=0,"REVISAR VÍNCULO: item inexistente",IF(AND(X696=1,J696&lt;&gt;"Sim"),"REVISAR VÍNCULO: destinador diferente do MTR",IF(X696=1,"Destinador diferente do MTR (analisado)","OK")))))))</f>
        <v/>
      </c>
      <c r="N696" s="96">
        <f>IF(COUNTA(B696:C696,F696:G696,J696:K696)&gt;0,1,0)</f>
        <v>0</v>
      </c>
      <c r="O696" s="96" t="str">
        <f>IF(B696="","",TRIM(LEFT(B696,FIND(" |",B696&amp;" |")-1)))</f>
        <v/>
      </c>
      <c r="P696" s="96" t="str">
        <f>IF(O696="","",IFERROR(MATCH(O696,'CDFs'!$A$6:$A$505,0),""))</f>
        <v/>
      </c>
      <c r="Q696" s="96">
        <f>IF(P696="",0,IF(INDEX('CDFs'!$S$6:$S$505,P696)=1,1,0))</f>
        <v>0</v>
      </c>
      <c r="R696" s="96" t="str">
        <f>IF(C696="","",TRIM(LEFT(C696,FIND(" |",C696&amp;" |")-1)))</f>
        <v/>
      </c>
      <c r="S696" s="96" t="str">
        <f>IF(R696="","",IFERROR(MATCH(R696,'ITENS_MTR'!$A$6:$A$1005,0),""))</f>
        <v/>
      </c>
      <c r="T696" s="96">
        <f>IF(S696="",0,IF(INDEX('ITENS_MTR'!$R$6:$R$1005,S696)=1,1,0))</f>
        <v>0</v>
      </c>
      <c r="U696" s="96" t="str">
        <f>IF(G696="","",IFERROR(IF(ISNUMBER(INDEX(cfg_fac,MATCH(G696,cfg_units,0))),IF(INDEX(cfg_fac,MATCH(G696,cfg_units,0))&gt;0,INDEX(cfg_fac,MATCH(G696,cfg_units,0)),""),""),""))</f>
        <v/>
      </c>
      <c r="V696" s="96">
        <f>IF(AND(ISNUMBER(F696),ISNUMBER(H696)),IF(H696&gt;0,1,0),0)</f>
        <v>0</v>
      </c>
      <c r="W696" s="96" t="str">
        <f>IF(T696=1,INDEX('ITENS_MTR'!$AU$6:$AU$1005,S696)&amp;"","")</f>
        <v/>
      </c>
      <c r="X696" s="96">
        <f>IF(AND(Q696=1,T696=1,I696&lt;&gt;"",W696&lt;&gt;""),IF(I696&lt;&gt;W696,1,0),0)</f>
        <v>0</v>
      </c>
      <c r="Y696" s="96">
        <f>IF(N696=0,0,IF(OR(Q696=0,T696=0,V696=0,AND(X696=1,J696&lt;&gt;"Sim")),1,0))</f>
        <v>0</v>
      </c>
      <c r="Z696" s="96">
        <f>IF(Q696=1,INDEX('CDFs'!$W$6:$W$505,P696),0)</f>
        <v>0</v>
      </c>
      <c r="AA696" s="96">
        <f>IF(AND(N696=1,Y696=0,Z696=1,J696="Sim"),1,0)</f>
        <v>0</v>
      </c>
      <c r="AB696" s="96">
        <f>IF(AND(N696=1,O696&lt;&gt;"",D696&lt;&gt;""),IF(COUNTIFS($O$6:O696,O696,$D$6:D696,D696)=1,1,0),0)</f>
        <v>0</v>
      </c>
      <c r="AC696" s="96">
        <f>IF(T696=1,INDEX('ITENS_MTR'!$AL$6:$AL$1005,S696),0)</f>
        <v>0</v>
      </c>
    </row>
    <row r="697">
      <c r="A697" s="89" t="inlineStr">
        <is>
          <t>VIN-000692</t>
        </is>
      </c>
      <c r="B697" s="91" t="n"/>
      <c r="C697" s="91" t="n"/>
      <c r="D697" s="94" t="str">
        <f>IF(T697=1,INDEX('ITENS_MTR'!$S$6:$S$1005,S697)&amp;"","")</f>
        <v/>
      </c>
      <c r="E697" s="94" t="str">
        <f>IF(T697=1,INDEX('ITENS_MTR'!$C$6:$C$1005,S697)&amp;"","")</f>
        <v/>
      </c>
      <c r="F697" s="98" t="n"/>
      <c r="G697" s="91" t="n"/>
      <c r="H697" s="93" t="str">
        <f>IF(N697=0,"",IF(NOT(ISNUMBER(F697)),"",IF(ISNUMBER(U697),F697*U697,"UNIDADE A CONFERIR")))</f>
        <v/>
      </c>
      <c r="I697" s="94" t="str">
        <f>IF(Q697=1,INDEX('CDFs'!$F$6:$F$505,P697)&amp;"","")</f>
        <v/>
      </c>
      <c r="J697" s="91" t="n"/>
      <c r="K697" s="91" t="n"/>
      <c r="L697" s="94" t="str">
        <f>IF(N697=0,"",IF(NOT(ISNUMBER(F697)),"Quantidade não informada",IF(F697&lt;=0,"Quantidade não positiva",IF(G697="","Unidade não informada",IF(NOT(ISNUMBER(H697)),"Unidade a conferir",IF(AC697=1,"REVISAR VÍNCULO: soma vinculada maior que a referência do item","OK"))))))</f>
        <v/>
      </c>
      <c r="M697" s="94" t="str">
        <f>IF(N697=0,"",IF(B697="","CDF não informado",IF(Q697=0,"REVISAR VÍNCULO: CDF inexistente",IF(C697="","Item não informado",IF(T697=0,"REVISAR VÍNCULO: item inexistente",IF(AND(X697=1,J697&lt;&gt;"Sim"),"REVISAR VÍNCULO: destinador diferente do MTR",IF(X697=1,"Destinador diferente do MTR (analisado)","OK")))))))</f>
        <v/>
      </c>
      <c r="N697" s="96">
        <f>IF(COUNTA(B697:C697,F697:G697,J697:K697)&gt;0,1,0)</f>
        <v>0</v>
      </c>
      <c r="O697" s="96" t="str">
        <f>IF(B697="","",TRIM(LEFT(B697,FIND(" |",B697&amp;" |")-1)))</f>
        <v/>
      </c>
      <c r="P697" s="96" t="str">
        <f>IF(O697="","",IFERROR(MATCH(O697,'CDFs'!$A$6:$A$505,0),""))</f>
        <v/>
      </c>
      <c r="Q697" s="96">
        <f>IF(P697="",0,IF(INDEX('CDFs'!$S$6:$S$505,P697)=1,1,0))</f>
        <v>0</v>
      </c>
      <c r="R697" s="96" t="str">
        <f>IF(C697="","",TRIM(LEFT(C697,FIND(" |",C697&amp;" |")-1)))</f>
        <v/>
      </c>
      <c r="S697" s="96" t="str">
        <f>IF(R697="","",IFERROR(MATCH(R697,'ITENS_MTR'!$A$6:$A$1005,0),""))</f>
        <v/>
      </c>
      <c r="T697" s="96">
        <f>IF(S697="",0,IF(INDEX('ITENS_MTR'!$R$6:$R$1005,S697)=1,1,0))</f>
        <v>0</v>
      </c>
      <c r="U697" s="96" t="str">
        <f>IF(G697="","",IFERROR(IF(ISNUMBER(INDEX(cfg_fac,MATCH(G697,cfg_units,0))),IF(INDEX(cfg_fac,MATCH(G697,cfg_units,0))&gt;0,INDEX(cfg_fac,MATCH(G697,cfg_units,0)),""),""),""))</f>
        <v/>
      </c>
      <c r="V697" s="96">
        <f>IF(AND(ISNUMBER(F697),ISNUMBER(H697)),IF(H697&gt;0,1,0),0)</f>
        <v>0</v>
      </c>
      <c r="W697" s="96" t="str">
        <f>IF(T697=1,INDEX('ITENS_MTR'!$AU$6:$AU$1005,S697)&amp;"","")</f>
        <v/>
      </c>
      <c r="X697" s="96">
        <f>IF(AND(Q697=1,T697=1,I697&lt;&gt;"",W697&lt;&gt;""),IF(I697&lt;&gt;W697,1,0),0)</f>
        <v>0</v>
      </c>
      <c r="Y697" s="96">
        <f>IF(N697=0,0,IF(OR(Q697=0,T697=0,V697=0,AND(X697=1,J697&lt;&gt;"Sim")),1,0))</f>
        <v>0</v>
      </c>
      <c r="Z697" s="96">
        <f>IF(Q697=1,INDEX('CDFs'!$W$6:$W$505,P697),0)</f>
        <v>0</v>
      </c>
      <c r="AA697" s="96">
        <f>IF(AND(N697=1,Y697=0,Z697=1,J697="Sim"),1,0)</f>
        <v>0</v>
      </c>
      <c r="AB697" s="96">
        <f>IF(AND(N697=1,O697&lt;&gt;"",D697&lt;&gt;""),IF(COUNTIFS($O$6:O697,O697,$D$6:D697,D697)=1,1,0),0)</f>
        <v>0</v>
      </c>
      <c r="AC697" s="96">
        <f>IF(T697=1,INDEX('ITENS_MTR'!$AL$6:$AL$1005,S697),0)</f>
        <v>0</v>
      </c>
    </row>
    <row r="698">
      <c r="A698" s="89" t="inlineStr">
        <is>
          <t>VIN-000693</t>
        </is>
      </c>
      <c r="B698" s="91" t="n"/>
      <c r="C698" s="91" t="n"/>
      <c r="D698" s="94" t="str">
        <f>IF(T698=1,INDEX('ITENS_MTR'!$S$6:$S$1005,S698)&amp;"","")</f>
        <v/>
      </c>
      <c r="E698" s="94" t="str">
        <f>IF(T698=1,INDEX('ITENS_MTR'!$C$6:$C$1005,S698)&amp;"","")</f>
        <v/>
      </c>
      <c r="F698" s="98" t="n"/>
      <c r="G698" s="91" t="n"/>
      <c r="H698" s="93" t="str">
        <f>IF(N698=0,"",IF(NOT(ISNUMBER(F698)),"",IF(ISNUMBER(U698),F698*U698,"UNIDADE A CONFERIR")))</f>
        <v/>
      </c>
      <c r="I698" s="94" t="str">
        <f>IF(Q698=1,INDEX('CDFs'!$F$6:$F$505,P698)&amp;"","")</f>
        <v/>
      </c>
      <c r="J698" s="91" t="n"/>
      <c r="K698" s="91" t="n"/>
      <c r="L698" s="94" t="str">
        <f>IF(N698=0,"",IF(NOT(ISNUMBER(F698)),"Quantidade não informada",IF(F698&lt;=0,"Quantidade não positiva",IF(G698="","Unidade não informada",IF(NOT(ISNUMBER(H698)),"Unidade a conferir",IF(AC698=1,"REVISAR VÍNCULO: soma vinculada maior que a referência do item","OK"))))))</f>
        <v/>
      </c>
      <c r="M698" s="94" t="str">
        <f>IF(N698=0,"",IF(B698="","CDF não informado",IF(Q698=0,"REVISAR VÍNCULO: CDF inexistente",IF(C698="","Item não informado",IF(T698=0,"REVISAR VÍNCULO: item inexistente",IF(AND(X698=1,J698&lt;&gt;"Sim"),"REVISAR VÍNCULO: destinador diferente do MTR",IF(X698=1,"Destinador diferente do MTR (analisado)","OK")))))))</f>
        <v/>
      </c>
      <c r="N698" s="96">
        <f>IF(COUNTA(B698:C698,F698:G698,J698:K698)&gt;0,1,0)</f>
        <v>0</v>
      </c>
      <c r="O698" s="96" t="str">
        <f>IF(B698="","",TRIM(LEFT(B698,FIND(" |",B698&amp;" |")-1)))</f>
        <v/>
      </c>
      <c r="P698" s="96" t="str">
        <f>IF(O698="","",IFERROR(MATCH(O698,'CDFs'!$A$6:$A$505,0),""))</f>
        <v/>
      </c>
      <c r="Q698" s="96">
        <f>IF(P698="",0,IF(INDEX('CDFs'!$S$6:$S$505,P698)=1,1,0))</f>
        <v>0</v>
      </c>
      <c r="R698" s="96" t="str">
        <f>IF(C698="","",TRIM(LEFT(C698,FIND(" |",C698&amp;" |")-1)))</f>
        <v/>
      </c>
      <c r="S698" s="96" t="str">
        <f>IF(R698="","",IFERROR(MATCH(R698,'ITENS_MTR'!$A$6:$A$1005,0),""))</f>
        <v/>
      </c>
      <c r="T698" s="96">
        <f>IF(S698="",0,IF(INDEX('ITENS_MTR'!$R$6:$R$1005,S698)=1,1,0))</f>
        <v>0</v>
      </c>
      <c r="U698" s="96" t="str">
        <f>IF(G698="","",IFERROR(IF(ISNUMBER(INDEX(cfg_fac,MATCH(G698,cfg_units,0))),IF(INDEX(cfg_fac,MATCH(G698,cfg_units,0))&gt;0,INDEX(cfg_fac,MATCH(G698,cfg_units,0)),""),""),""))</f>
        <v/>
      </c>
      <c r="V698" s="96">
        <f>IF(AND(ISNUMBER(F698),ISNUMBER(H698)),IF(H698&gt;0,1,0),0)</f>
        <v>0</v>
      </c>
      <c r="W698" s="96" t="str">
        <f>IF(T698=1,INDEX('ITENS_MTR'!$AU$6:$AU$1005,S698)&amp;"","")</f>
        <v/>
      </c>
      <c r="X698" s="96">
        <f>IF(AND(Q698=1,T698=1,I698&lt;&gt;"",W698&lt;&gt;""),IF(I698&lt;&gt;W698,1,0),0)</f>
        <v>0</v>
      </c>
      <c r="Y698" s="96">
        <f>IF(N698=0,0,IF(OR(Q698=0,T698=0,V698=0,AND(X698=1,J698&lt;&gt;"Sim")),1,0))</f>
        <v>0</v>
      </c>
      <c r="Z698" s="96">
        <f>IF(Q698=1,INDEX('CDFs'!$W$6:$W$505,P698),0)</f>
        <v>0</v>
      </c>
      <c r="AA698" s="96">
        <f>IF(AND(N698=1,Y698=0,Z698=1,J698="Sim"),1,0)</f>
        <v>0</v>
      </c>
      <c r="AB698" s="96">
        <f>IF(AND(N698=1,O698&lt;&gt;"",D698&lt;&gt;""),IF(COUNTIFS($O$6:O698,O698,$D$6:D698,D698)=1,1,0),0)</f>
        <v>0</v>
      </c>
      <c r="AC698" s="96">
        <f>IF(T698=1,INDEX('ITENS_MTR'!$AL$6:$AL$1005,S698),0)</f>
        <v>0</v>
      </c>
    </row>
    <row r="699">
      <c r="A699" s="89" t="inlineStr">
        <is>
          <t>VIN-000694</t>
        </is>
      </c>
      <c r="B699" s="91" t="n"/>
      <c r="C699" s="91" t="n"/>
      <c r="D699" s="94" t="str">
        <f>IF(T699=1,INDEX('ITENS_MTR'!$S$6:$S$1005,S699)&amp;"","")</f>
        <v/>
      </c>
      <c r="E699" s="94" t="str">
        <f>IF(T699=1,INDEX('ITENS_MTR'!$C$6:$C$1005,S699)&amp;"","")</f>
        <v/>
      </c>
      <c r="F699" s="98" t="n"/>
      <c r="G699" s="91" t="n"/>
      <c r="H699" s="93" t="str">
        <f>IF(N699=0,"",IF(NOT(ISNUMBER(F699)),"",IF(ISNUMBER(U699),F699*U699,"UNIDADE A CONFERIR")))</f>
        <v/>
      </c>
      <c r="I699" s="94" t="str">
        <f>IF(Q699=1,INDEX('CDFs'!$F$6:$F$505,P699)&amp;"","")</f>
        <v/>
      </c>
      <c r="J699" s="91" t="n"/>
      <c r="K699" s="91" t="n"/>
      <c r="L699" s="94" t="str">
        <f>IF(N699=0,"",IF(NOT(ISNUMBER(F699)),"Quantidade não informada",IF(F699&lt;=0,"Quantidade não positiva",IF(G699="","Unidade não informada",IF(NOT(ISNUMBER(H699)),"Unidade a conferir",IF(AC699=1,"REVISAR VÍNCULO: soma vinculada maior que a referência do item","OK"))))))</f>
        <v/>
      </c>
      <c r="M699" s="94" t="str">
        <f>IF(N699=0,"",IF(B699="","CDF não informado",IF(Q699=0,"REVISAR VÍNCULO: CDF inexistente",IF(C699="","Item não informado",IF(T699=0,"REVISAR VÍNCULO: item inexistente",IF(AND(X699=1,J699&lt;&gt;"Sim"),"REVISAR VÍNCULO: destinador diferente do MTR",IF(X699=1,"Destinador diferente do MTR (analisado)","OK")))))))</f>
        <v/>
      </c>
      <c r="N699" s="96">
        <f>IF(COUNTA(B699:C699,F699:G699,J699:K699)&gt;0,1,0)</f>
        <v>0</v>
      </c>
      <c r="O699" s="96" t="str">
        <f>IF(B699="","",TRIM(LEFT(B699,FIND(" |",B699&amp;" |")-1)))</f>
        <v/>
      </c>
      <c r="P699" s="96" t="str">
        <f>IF(O699="","",IFERROR(MATCH(O699,'CDFs'!$A$6:$A$505,0),""))</f>
        <v/>
      </c>
      <c r="Q699" s="96">
        <f>IF(P699="",0,IF(INDEX('CDFs'!$S$6:$S$505,P699)=1,1,0))</f>
        <v>0</v>
      </c>
      <c r="R699" s="96" t="str">
        <f>IF(C699="","",TRIM(LEFT(C699,FIND(" |",C699&amp;" |")-1)))</f>
        <v/>
      </c>
      <c r="S699" s="96" t="str">
        <f>IF(R699="","",IFERROR(MATCH(R699,'ITENS_MTR'!$A$6:$A$1005,0),""))</f>
        <v/>
      </c>
      <c r="T699" s="96">
        <f>IF(S699="",0,IF(INDEX('ITENS_MTR'!$R$6:$R$1005,S699)=1,1,0))</f>
        <v>0</v>
      </c>
      <c r="U699" s="96" t="str">
        <f>IF(G699="","",IFERROR(IF(ISNUMBER(INDEX(cfg_fac,MATCH(G699,cfg_units,0))),IF(INDEX(cfg_fac,MATCH(G699,cfg_units,0))&gt;0,INDEX(cfg_fac,MATCH(G699,cfg_units,0)),""),""),""))</f>
        <v/>
      </c>
      <c r="V699" s="96">
        <f>IF(AND(ISNUMBER(F699),ISNUMBER(H699)),IF(H699&gt;0,1,0),0)</f>
        <v>0</v>
      </c>
      <c r="W699" s="96" t="str">
        <f>IF(T699=1,INDEX('ITENS_MTR'!$AU$6:$AU$1005,S699)&amp;"","")</f>
        <v/>
      </c>
      <c r="X699" s="96">
        <f>IF(AND(Q699=1,T699=1,I699&lt;&gt;"",W699&lt;&gt;""),IF(I699&lt;&gt;W699,1,0),0)</f>
        <v>0</v>
      </c>
      <c r="Y699" s="96">
        <f>IF(N699=0,0,IF(OR(Q699=0,T699=0,V699=0,AND(X699=1,J699&lt;&gt;"Sim")),1,0))</f>
        <v>0</v>
      </c>
      <c r="Z699" s="96">
        <f>IF(Q699=1,INDEX('CDFs'!$W$6:$W$505,P699),0)</f>
        <v>0</v>
      </c>
      <c r="AA699" s="96">
        <f>IF(AND(N699=1,Y699=0,Z699=1,J699="Sim"),1,0)</f>
        <v>0</v>
      </c>
      <c r="AB699" s="96">
        <f>IF(AND(N699=1,O699&lt;&gt;"",D699&lt;&gt;""),IF(COUNTIFS($O$6:O699,O699,$D$6:D699,D699)=1,1,0),0)</f>
        <v>0</v>
      </c>
      <c r="AC699" s="96">
        <f>IF(T699=1,INDEX('ITENS_MTR'!$AL$6:$AL$1005,S699),0)</f>
        <v>0</v>
      </c>
    </row>
    <row r="700">
      <c r="A700" s="89" t="inlineStr">
        <is>
          <t>VIN-000695</t>
        </is>
      </c>
      <c r="B700" s="91" t="n"/>
      <c r="C700" s="91" t="n"/>
      <c r="D700" s="94" t="str">
        <f>IF(T700=1,INDEX('ITENS_MTR'!$S$6:$S$1005,S700)&amp;"","")</f>
        <v/>
      </c>
      <c r="E700" s="94" t="str">
        <f>IF(T700=1,INDEX('ITENS_MTR'!$C$6:$C$1005,S700)&amp;"","")</f>
        <v/>
      </c>
      <c r="F700" s="98" t="n"/>
      <c r="G700" s="91" t="n"/>
      <c r="H700" s="93" t="str">
        <f>IF(N700=0,"",IF(NOT(ISNUMBER(F700)),"",IF(ISNUMBER(U700),F700*U700,"UNIDADE A CONFERIR")))</f>
        <v/>
      </c>
      <c r="I700" s="94" t="str">
        <f>IF(Q700=1,INDEX('CDFs'!$F$6:$F$505,P700)&amp;"","")</f>
        <v/>
      </c>
      <c r="J700" s="91" t="n"/>
      <c r="K700" s="91" t="n"/>
      <c r="L700" s="94" t="str">
        <f>IF(N700=0,"",IF(NOT(ISNUMBER(F700)),"Quantidade não informada",IF(F700&lt;=0,"Quantidade não positiva",IF(G700="","Unidade não informada",IF(NOT(ISNUMBER(H700)),"Unidade a conferir",IF(AC700=1,"REVISAR VÍNCULO: soma vinculada maior que a referência do item","OK"))))))</f>
        <v/>
      </c>
      <c r="M700" s="94" t="str">
        <f>IF(N700=0,"",IF(B700="","CDF não informado",IF(Q700=0,"REVISAR VÍNCULO: CDF inexistente",IF(C700="","Item não informado",IF(T700=0,"REVISAR VÍNCULO: item inexistente",IF(AND(X700=1,J700&lt;&gt;"Sim"),"REVISAR VÍNCULO: destinador diferente do MTR",IF(X700=1,"Destinador diferente do MTR (analisado)","OK")))))))</f>
        <v/>
      </c>
      <c r="N700" s="96">
        <f>IF(COUNTA(B700:C700,F700:G700,J700:K700)&gt;0,1,0)</f>
        <v>0</v>
      </c>
      <c r="O700" s="96" t="str">
        <f>IF(B700="","",TRIM(LEFT(B700,FIND(" |",B700&amp;" |")-1)))</f>
        <v/>
      </c>
      <c r="P700" s="96" t="str">
        <f>IF(O700="","",IFERROR(MATCH(O700,'CDFs'!$A$6:$A$505,0),""))</f>
        <v/>
      </c>
      <c r="Q700" s="96">
        <f>IF(P700="",0,IF(INDEX('CDFs'!$S$6:$S$505,P700)=1,1,0))</f>
        <v>0</v>
      </c>
      <c r="R700" s="96" t="str">
        <f>IF(C700="","",TRIM(LEFT(C700,FIND(" |",C700&amp;" |")-1)))</f>
        <v/>
      </c>
      <c r="S700" s="96" t="str">
        <f>IF(R700="","",IFERROR(MATCH(R700,'ITENS_MTR'!$A$6:$A$1005,0),""))</f>
        <v/>
      </c>
      <c r="T700" s="96">
        <f>IF(S700="",0,IF(INDEX('ITENS_MTR'!$R$6:$R$1005,S700)=1,1,0))</f>
        <v>0</v>
      </c>
      <c r="U700" s="96" t="str">
        <f>IF(G700="","",IFERROR(IF(ISNUMBER(INDEX(cfg_fac,MATCH(G700,cfg_units,0))),IF(INDEX(cfg_fac,MATCH(G700,cfg_units,0))&gt;0,INDEX(cfg_fac,MATCH(G700,cfg_units,0)),""),""),""))</f>
        <v/>
      </c>
      <c r="V700" s="96">
        <f>IF(AND(ISNUMBER(F700),ISNUMBER(H700)),IF(H700&gt;0,1,0),0)</f>
        <v>0</v>
      </c>
      <c r="W700" s="96" t="str">
        <f>IF(T700=1,INDEX('ITENS_MTR'!$AU$6:$AU$1005,S700)&amp;"","")</f>
        <v/>
      </c>
      <c r="X700" s="96">
        <f>IF(AND(Q700=1,T700=1,I700&lt;&gt;"",W700&lt;&gt;""),IF(I700&lt;&gt;W700,1,0),0)</f>
        <v>0</v>
      </c>
      <c r="Y700" s="96">
        <f>IF(N700=0,0,IF(OR(Q700=0,T700=0,V700=0,AND(X700=1,J700&lt;&gt;"Sim")),1,0))</f>
        <v>0</v>
      </c>
      <c r="Z700" s="96">
        <f>IF(Q700=1,INDEX('CDFs'!$W$6:$W$505,P700),0)</f>
        <v>0</v>
      </c>
      <c r="AA700" s="96">
        <f>IF(AND(N700=1,Y700=0,Z700=1,J700="Sim"),1,0)</f>
        <v>0</v>
      </c>
      <c r="AB700" s="96">
        <f>IF(AND(N700=1,O700&lt;&gt;"",D700&lt;&gt;""),IF(COUNTIFS($O$6:O700,O700,$D$6:D700,D700)=1,1,0),0)</f>
        <v>0</v>
      </c>
      <c r="AC700" s="96">
        <f>IF(T700=1,INDEX('ITENS_MTR'!$AL$6:$AL$1005,S700),0)</f>
        <v>0</v>
      </c>
    </row>
    <row r="701">
      <c r="A701" s="89" t="inlineStr">
        <is>
          <t>VIN-000696</t>
        </is>
      </c>
      <c r="B701" s="91" t="n"/>
      <c r="C701" s="91" t="n"/>
      <c r="D701" s="94" t="str">
        <f>IF(T701=1,INDEX('ITENS_MTR'!$S$6:$S$1005,S701)&amp;"","")</f>
        <v/>
      </c>
      <c r="E701" s="94" t="str">
        <f>IF(T701=1,INDEX('ITENS_MTR'!$C$6:$C$1005,S701)&amp;"","")</f>
        <v/>
      </c>
      <c r="F701" s="98" t="n"/>
      <c r="G701" s="91" t="n"/>
      <c r="H701" s="93" t="str">
        <f>IF(N701=0,"",IF(NOT(ISNUMBER(F701)),"",IF(ISNUMBER(U701),F701*U701,"UNIDADE A CONFERIR")))</f>
        <v/>
      </c>
      <c r="I701" s="94" t="str">
        <f>IF(Q701=1,INDEX('CDFs'!$F$6:$F$505,P701)&amp;"","")</f>
        <v/>
      </c>
      <c r="J701" s="91" t="n"/>
      <c r="K701" s="91" t="n"/>
      <c r="L701" s="94" t="str">
        <f>IF(N701=0,"",IF(NOT(ISNUMBER(F701)),"Quantidade não informada",IF(F701&lt;=0,"Quantidade não positiva",IF(G701="","Unidade não informada",IF(NOT(ISNUMBER(H701)),"Unidade a conferir",IF(AC701=1,"REVISAR VÍNCULO: soma vinculada maior que a referência do item","OK"))))))</f>
        <v/>
      </c>
      <c r="M701" s="94" t="str">
        <f>IF(N701=0,"",IF(B701="","CDF não informado",IF(Q701=0,"REVISAR VÍNCULO: CDF inexistente",IF(C701="","Item não informado",IF(T701=0,"REVISAR VÍNCULO: item inexistente",IF(AND(X701=1,J701&lt;&gt;"Sim"),"REVISAR VÍNCULO: destinador diferente do MTR",IF(X701=1,"Destinador diferente do MTR (analisado)","OK")))))))</f>
        <v/>
      </c>
      <c r="N701" s="96">
        <f>IF(COUNTA(B701:C701,F701:G701,J701:K701)&gt;0,1,0)</f>
        <v>0</v>
      </c>
      <c r="O701" s="96" t="str">
        <f>IF(B701="","",TRIM(LEFT(B701,FIND(" |",B701&amp;" |")-1)))</f>
        <v/>
      </c>
      <c r="P701" s="96" t="str">
        <f>IF(O701="","",IFERROR(MATCH(O701,'CDFs'!$A$6:$A$505,0),""))</f>
        <v/>
      </c>
      <c r="Q701" s="96">
        <f>IF(P701="",0,IF(INDEX('CDFs'!$S$6:$S$505,P701)=1,1,0))</f>
        <v>0</v>
      </c>
      <c r="R701" s="96" t="str">
        <f>IF(C701="","",TRIM(LEFT(C701,FIND(" |",C701&amp;" |")-1)))</f>
        <v/>
      </c>
      <c r="S701" s="96" t="str">
        <f>IF(R701="","",IFERROR(MATCH(R701,'ITENS_MTR'!$A$6:$A$1005,0),""))</f>
        <v/>
      </c>
      <c r="T701" s="96">
        <f>IF(S701="",0,IF(INDEX('ITENS_MTR'!$R$6:$R$1005,S701)=1,1,0))</f>
        <v>0</v>
      </c>
      <c r="U701" s="96" t="str">
        <f>IF(G701="","",IFERROR(IF(ISNUMBER(INDEX(cfg_fac,MATCH(G701,cfg_units,0))),IF(INDEX(cfg_fac,MATCH(G701,cfg_units,0))&gt;0,INDEX(cfg_fac,MATCH(G701,cfg_units,0)),""),""),""))</f>
        <v/>
      </c>
      <c r="V701" s="96">
        <f>IF(AND(ISNUMBER(F701),ISNUMBER(H701)),IF(H701&gt;0,1,0),0)</f>
        <v>0</v>
      </c>
      <c r="W701" s="96" t="str">
        <f>IF(T701=1,INDEX('ITENS_MTR'!$AU$6:$AU$1005,S701)&amp;"","")</f>
        <v/>
      </c>
      <c r="X701" s="96">
        <f>IF(AND(Q701=1,T701=1,I701&lt;&gt;"",W701&lt;&gt;""),IF(I701&lt;&gt;W701,1,0),0)</f>
        <v>0</v>
      </c>
      <c r="Y701" s="96">
        <f>IF(N701=0,0,IF(OR(Q701=0,T701=0,V701=0,AND(X701=1,J701&lt;&gt;"Sim")),1,0))</f>
        <v>0</v>
      </c>
      <c r="Z701" s="96">
        <f>IF(Q701=1,INDEX('CDFs'!$W$6:$W$505,P701),0)</f>
        <v>0</v>
      </c>
      <c r="AA701" s="96">
        <f>IF(AND(N701=1,Y701=0,Z701=1,J701="Sim"),1,0)</f>
        <v>0</v>
      </c>
      <c r="AB701" s="96">
        <f>IF(AND(N701=1,O701&lt;&gt;"",D701&lt;&gt;""),IF(COUNTIFS($O$6:O701,O701,$D$6:D701,D701)=1,1,0),0)</f>
        <v>0</v>
      </c>
      <c r="AC701" s="96">
        <f>IF(T701=1,INDEX('ITENS_MTR'!$AL$6:$AL$1005,S701),0)</f>
        <v>0</v>
      </c>
    </row>
    <row r="702">
      <c r="A702" s="89" t="inlineStr">
        <is>
          <t>VIN-000697</t>
        </is>
      </c>
      <c r="B702" s="91" t="n"/>
      <c r="C702" s="91" t="n"/>
      <c r="D702" s="94" t="str">
        <f>IF(T702=1,INDEX('ITENS_MTR'!$S$6:$S$1005,S702)&amp;"","")</f>
        <v/>
      </c>
      <c r="E702" s="94" t="str">
        <f>IF(T702=1,INDEX('ITENS_MTR'!$C$6:$C$1005,S702)&amp;"","")</f>
        <v/>
      </c>
      <c r="F702" s="98" t="n"/>
      <c r="G702" s="91" t="n"/>
      <c r="H702" s="93" t="str">
        <f>IF(N702=0,"",IF(NOT(ISNUMBER(F702)),"",IF(ISNUMBER(U702),F702*U702,"UNIDADE A CONFERIR")))</f>
        <v/>
      </c>
      <c r="I702" s="94" t="str">
        <f>IF(Q702=1,INDEX('CDFs'!$F$6:$F$505,P702)&amp;"","")</f>
        <v/>
      </c>
      <c r="J702" s="91" t="n"/>
      <c r="K702" s="91" t="n"/>
      <c r="L702" s="94" t="str">
        <f>IF(N702=0,"",IF(NOT(ISNUMBER(F702)),"Quantidade não informada",IF(F702&lt;=0,"Quantidade não positiva",IF(G702="","Unidade não informada",IF(NOT(ISNUMBER(H702)),"Unidade a conferir",IF(AC702=1,"REVISAR VÍNCULO: soma vinculada maior que a referência do item","OK"))))))</f>
        <v/>
      </c>
      <c r="M702" s="94" t="str">
        <f>IF(N702=0,"",IF(B702="","CDF não informado",IF(Q702=0,"REVISAR VÍNCULO: CDF inexistente",IF(C702="","Item não informado",IF(T702=0,"REVISAR VÍNCULO: item inexistente",IF(AND(X702=1,J702&lt;&gt;"Sim"),"REVISAR VÍNCULO: destinador diferente do MTR",IF(X702=1,"Destinador diferente do MTR (analisado)","OK")))))))</f>
        <v/>
      </c>
      <c r="N702" s="96">
        <f>IF(COUNTA(B702:C702,F702:G702,J702:K702)&gt;0,1,0)</f>
        <v>0</v>
      </c>
      <c r="O702" s="96" t="str">
        <f>IF(B702="","",TRIM(LEFT(B702,FIND(" |",B702&amp;" |")-1)))</f>
        <v/>
      </c>
      <c r="P702" s="96" t="str">
        <f>IF(O702="","",IFERROR(MATCH(O702,'CDFs'!$A$6:$A$505,0),""))</f>
        <v/>
      </c>
      <c r="Q702" s="96">
        <f>IF(P702="",0,IF(INDEX('CDFs'!$S$6:$S$505,P702)=1,1,0))</f>
        <v>0</v>
      </c>
      <c r="R702" s="96" t="str">
        <f>IF(C702="","",TRIM(LEFT(C702,FIND(" |",C702&amp;" |")-1)))</f>
        <v/>
      </c>
      <c r="S702" s="96" t="str">
        <f>IF(R702="","",IFERROR(MATCH(R702,'ITENS_MTR'!$A$6:$A$1005,0),""))</f>
        <v/>
      </c>
      <c r="T702" s="96">
        <f>IF(S702="",0,IF(INDEX('ITENS_MTR'!$R$6:$R$1005,S702)=1,1,0))</f>
        <v>0</v>
      </c>
      <c r="U702" s="96" t="str">
        <f>IF(G702="","",IFERROR(IF(ISNUMBER(INDEX(cfg_fac,MATCH(G702,cfg_units,0))),IF(INDEX(cfg_fac,MATCH(G702,cfg_units,0))&gt;0,INDEX(cfg_fac,MATCH(G702,cfg_units,0)),""),""),""))</f>
        <v/>
      </c>
      <c r="V702" s="96">
        <f>IF(AND(ISNUMBER(F702),ISNUMBER(H702)),IF(H702&gt;0,1,0),0)</f>
        <v>0</v>
      </c>
      <c r="W702" s="96" t="str">
        <f>IF(T702=1,INDEX('ITENS_MTR'!$AU$6:$AU$1005,S702)&amp;"","")</f>
        <v/>
      </c>
      <c r="X702" s="96">
        <f>IF(AND(Q702=1,T702=1,I702&lt;&gt;"",W702&lt;&gt;""),IF(I702&lt;&gt;W702,1,0),0)</f>
        <v>0</v>
      </c>
      <c r="Y702" s="96">
        <f>IF(N702=0,0,IF(OR(Q702=0,T702=0,V702=0,AND(X702=1,J702&lt;&gt;"Sim")),1,0))</f>
        <v>0</v>
      </c>
      <c r="Z702" s="96">
        <f>IF(Q702=1,INDEX('CDFs'!$W$6:$W$505,P702),0)</f>
        <v>0</v>
      </c>
      <c r="AA702" s="96">
        <f>IF(AND(N702=1,Y702=0,Z702=1,J702="Sim"),1,0)</f>
        <v>0</v>
      </c>
      <c r="AB702" s="96">
        <f>IF(AND(N702=1,O702&lt;&gt;"",D702&lt;&gt;""),IF(COUNTIFS($O$6:O702,O702,$D$6:D702,D702)=1,1,0),0)</f>
        <v>0</v>
      </c>
      <c r="AC702" s="96">
        <f>IF(T702=1,INDEX('ITENS_MTR'!$AL$6:$AL$1005,S702),0)</f>
        <v>0</v>
      </c>
    </row>
    <row r="703">
      <c r="A703" s="89" t="inlineStr">
        <is>
          <t>VIN-000698</t>
        </is>
      </c>
      <c r="B703" s="91" t="n"/>
      <c r="C703" s="91" t="n"/>
      <c r="D703" s="94" t="str">
        <f>IF(T703=1,INDEX('ITENS_MTR'!$S$6:$S$1005,S703)&amp;"","")</f>
        <v/>
      </c>
      <c r="E703" s="94" t="str">
        <f>IF(T703=1,INDEX('ITENS_MTR'!$C$6:$C$1005,S703)&amp;"","")</f>
        <v/>
      </c>
      <c r="F703" s="98" t="n"/>
      <c r="G703" s="91" t="n"/>
      <c r="H703" s="93" t="str">
        <f>IF(N703=0,"",IF(NOT(ISNUMBER(F703)),"",IF(ISNUMBER(U703),F703*U703,"UNIDADE A CONFERIR")))</f>
        <v/>
      </c>
      <c r="I703" s="94" t="str">
        <f>IF(Q703=1,INDEX('CDFs'!$F$6:$F$505,P703)&amp;"","")</f>
        <v/>
      </c>
      <c r="J703" s="91" t="n"/>
      <c r="K703" s="91" t="n"/>
      <c r="L703" s="94" t="str">
        <f>IF(N703=0,"",IF(NOT(ISNUMBER(F703)),"Quantidade não informada",IF(F703&lt;=0,"Quantidade não positiva",IF(G703="","Unidade não informada",IF(NOT(ISNUMBER(H703)),"Unidade a conferir",IF(AC703=1,"REVISAR VÍNCULO: soma vinculada maior que a referência do item","OK"))))))</f>
        <v/>
      </c>
      <c r="M703" s="94" t="str">
        <f>IF(N703=0,"",IF(B703="","CDF não informado",IF(Q703=0,"REVISAR VÍNCULO: CDF inexistente",IF(C703="","Item não informado",IF(T703=0,"REVISAR VÍNCULO: item inexistente",IF(AND(X703=1,J703&lt;&gt;"Sim"),"REVISAR VÍNCULO: destinador diferente do MTR",IF(X703=1,"Destinador diferente do MTR (analisado)","OK")))))))</f>
        <v/>
      </c>
      <c r="N703" s="96">
        <f>IF(COUNTA(B703:C703,F703:G703,J703:K703)&gt;0,1,0)</f>
        <v>0</v>
      </c>
      <c r="O703" s="96" t="str">
        <f>IF(B703="","",TRIM(LEFT(B703,FIND(" |",B703&amp;" |")-1)))</f>
        <v/>
      </c>
      <c r="P703" s="96" t="str">
        <f>IF(O703="","",IFERROR(MATCH(O703,'CDFs'!$A$6:$A$505,0),""))</f>
        <v/>
      </c>
      <c r="Q703" s="96">
        <f>IF(P703="",0,IF(INDEX('CDFs'!$S$6:$S$505,P703)=1,1,0))</f>
        <v>0</v>
      </c>
      <c r="R703" s="96" t="str">
        <f>IF(C703="","",TRIM(LEFT(C703,FIND(" |",C703&amp;" |")-1)))</f>
        <v/>
      </c>
      <c r="S703" s="96" t="str">
        <f>IF(R703="","",IFERROR(MATCH(R703,'ITENS_MTR'!$A$6:$A$1005,0),""))</f>
        <v/>
      </c>
      <c r="T703" s="96">
        <f>IF(S703="",0,IF(INDEX('ITENS_MTR'!$R$6:$R$1005,S703)=1,1,0))</f>
        <v>0</v>
      </c>
      <c r="U703" s="96" t="str">
        <f>IF(G703="","",IFERROR(IF(ISNUMBER(INDEX(cfg_fac,MATCH(G703,cfg_units,0))),IF(INDEX(cfg_fac,MATCH(G703,cfg_units,0))&gt;0,INDEX(cfg_fac,MATCH(G703,cfg_units,0)),""),""),""))</f>
        <v/>
      </c>
      <c r="V703" s="96">
        <f>IF(AND(ISNUMBER(F703),ISNUMBER(H703)),IF(H703&gt;0,1,0),0)</f>
        <v>0</v>
      </c>
      <c r="W703" s="96" t="str">
        <f>IF(T703=1,INDEX('ITENS_MTR'!$AU$6:$AU$1005,S703)&amp;"","")</f>
        <v/>
      </c>
      <c r="X703" s="96">
        <f>IF(AND(Q703=1,T703=1,I703&lt;&gt;"",W703&lt;&gt;""),IF(I703&lt;&gt;W703,1,0),0)</f>
        <v>0</v>
      </c>
      <c r="Y703" s="96">
        <f>IF(N703=0,0,IF(OR(Q703=0,T703=0,V703=0,AND(X703=1,J703&lt;&gt;"Sim")),1,0))</f>
        <v>0</v>
      </c>
      <c r="Z703" s="96">
        <f>IF(Q703=1,INDEX('CDFs'!$W$6:$W$505,P703),0)</f>
        <v>0</v>
      </c>
      <c r="AA703" s="96">
        <f>IF(AND(N703=1,Y703=0,Z703=1,J703="Sim"),1,0)</f>
        <v>0</v>
      </c>
      <c r="AB703" s="96">
        <f>IF(AND(N703=1,O703&lt;&gt;"",D703&lt;&gt;""),IF(COUNTIFS($O$6:O703,O703,$D$6:D703,D703)=1,1,0),0)</f>
        <v>0</v>
      </c>
      <c r="AC703" s="96">
        <f>IF(T703=1,INDEX('ITENS_MTR'!$AL$6:$AL$1005,S703),0)</f>
        <v>0</v>
      </c>
    </row>
    <row r="704">
      <c r="A704" s="89" t="inlineStr">
        <is>
          <t>VIN-000699</t>
        </is>
      </c>
      <c r="B704" s="91" t="n"/>
      <c r="C704" s="91" t="n"/>
      <c r="D704" s="94" t="str">
        <f>IF(T704=1,INDEX('ITENS_MTR'!$S$6:$S$1005,S704)&amp;"","")</f>
        <v/>
      </c>
      <c r="E704" s="94" t="str">
        <f>IF(T704=1,INDEX('ITENS_MTR'!$C$6:$C$1005,S704)&amp;"","")</f>
        <v/>
      </c>
      <c r="F704" s="98" t="n"/>
      <c r="G704" s="91" t="n"/>
      <c r="H704" s="93" t="str">
        <f>IF(N704=0,"",IF(NOT(ISNUMBER(F704)),"",IF(ISNUMBER(U704),F704*U704,"UNIDADE A CONFERIR")))</f>
        <v/>
      </c>
      <c r="I704" s="94" t="str">
        <f>IF(Q704=1,INDEX('CDFs'!$F$6:$F$505,P704)&amp;"","")</f>
        <v/>
      </c>
      <c r="J704" s="91" t="n"/>
      <c r="K704" s="91" t="n"/>
      <c r="L704" s="94" t="str">
        <f>IF(N704=0,"",IF(NOT(ISNUMBER(F704)),"Quantidade não informada",IF(F704&lt;=0,"Quantidade não positiva",IF(G704="","Unidade não informada",IF(NOT(ISNUMBER(H704)),"Unidade a conferir",IF(AC704=1,"REVISAR VÍNCULO: soma vinculada maior que a referência do item","OK"))))))</f>
        <v/>
      </c>
      <c r="M704" s="94" t="str">
        <f>IF(N704=0,"",IF(B704="","CDF não informado",IF(Q704=0,"REVISAR VÍNCULO: CDF inexistente",IF(C704="","Item não informado",IF(T704=0,"REVISAR VÍNCULO: item inexistente",IF(AND(X704=1,J704&lt;&gt;"Sim"),"REVISAR VÍNCULO: destinador diferente do MTR",IF(X704=1,"Destinador diferente do MTR (analisado)","OK")))))))</f>
        <v/>
      </c>
      <c r="N704" s="96">
        <f>IF(COUNTA(B704:C704,F704:G704,J704:K704)&gt;0,1,0)</f>
        <v>0</v>
      </c>
      <c r="O704" s="96" t="str">
        <f>IF(B704="","",TRIM(LEFT(B704,FIND(" |",B704&amp;" |")-1)))</f>
        <v/>
      </c>
      <c r="P704" s="96" t="str">
        <f>IF(O704="","",IFERROR(MATCH(O704,'CDFs'!$A$6:$A$505,0),""))</f>
        <v/>
      </c>
      <c r="Q704" s="96">
        <f>IF(P704="",0,IF(INDEX('CDFs'!$S$6:$S$505,P704)=1,1,0))</f>
        <v>0</v>
      </c>
      <c r="R704" s="96" t="str">
        <f>IF(C704="","",TRIM(LEFT(C704,FIND(" |",C704&amp;" |")-1)))</f>
        <v/>
      </c>
      <c r="S704" s="96" t="str">
        <f>IF(R704="","",IFERROR(MATCH(R704,'ITENS_MTR'!$A$6:$A$1005,0),""))</f>
        <v/>
      </c>
      <c r="T704" s="96">
        <f>IF(S704="",0,IF(INDEX('ITENS_MTR'!$R$6:$R$1005,S704)=1,1,0))</f>
        <v>0</v>
      </c>
      <c r="U704" s="96" t="str">
        <f>IF(G704="","",IFERROR(IF(ISNUMBER(INDEX(cfg_fac,MATCH(G704,cfg_units,0))),IF(INDEX(cfg_fac,MATCH(G704,cfg_units,0))&gt;0,INDEX(cfg_fac,MATCH(G704,cfg_units,0)),""),""),""))</f>
        <v/>
      </c>
      <c r="V704" s="96">
        <f>IF(AND(ISNUMBER(F704),ISNUMBER(H704)),IF(H704&gt;0,1,0),0)</f>
        <v>0</v>
      </c>
      <c r="W704" s="96" t="str">
        <f>IF(T704=1,INDEX('ITENS_MTR'!$AU$6:$AU$1005,S704)&amp;"","")</f>
        <v/>
      </c>
      <c r="X704" s="96">
        <f>IF(AND(Q704=1,T704=1,I704&lt;&gt;"",W704&lt;&gt;""),IF(I704&lt;&gt;W704,1,0),0)</f>
        <v>0</v>
      </c>
      <c r="Y704" s="96">
        <f>IF(N704=0,0,IF(OR(Q704=0,T704=0,V704=0,AND(X704=1,J704&lt;&gt;"Sim")),1,0))</f>
        <v>0</v>
      </c>
      <c r="Z704" s="96">
        <f>IF(Q704=1,INDEX('CDFs'!$W$6:$W$505,P704),0)</f>
        <v>0</v>
      </c>
      <c r="AA704" s="96">
        <f>IF(AND(N704=1,Y704=0,Z704=1,J704="Sim"),1,0)</f>
        <v>0</v>
      </c>
      <c r="AB704" s="96">
        <f>IF(AND(N704=1,O704&lt;&gt;"",D704&lt;&gt;""),IF(COUNTIFS($O$6:O704,O704,$D$6:D704,D704)=1,1,0),0)</f>
        <v>0</v>
      </c>
      <c r="AC704" s="96">
        <f>IF(T704=1,INDEX('ITENS_MTR'!$AL$6:$AL$1005,S704),0)</f>
        <v>0</v>
      </c>
    </row>
    <row r="705">
      <c r="A705" s="89" t="inlineStr">
        <is>
          <t>VIN-000700</t>
        </is>
      </c>
      <c r="B705" s="91" t="n"/>
      <c r="C705" s="91" t="n"/>
      <c r="D705" s="94" t="str">
        <f>IF(T705=1,INDEX('ITENS_MTR'!$S$6:$S$1005,S705)&amp;"","")</f>
        <v/>
      </c>
      <c r="E705" s="94" t="str">
        <f>IF(T705=1,INDEX('ITENS_MTR'!$C$6:$C$1005,S705)&amp;"","")</f>
        <v/>
      </c>
      <c r="F705" s="98" t="n"/>
      <c r="G705" s="91" t="n"/>
      <c r="H705" s="93" t="str">
        <f>IF(N705=0,"",IF(NOT(ISNUMBER(F705)),"",IF(ISNUMBER(U705),F705*U705,"UNIDADE A CONFERIR")))</f>
        <v/>
      </c>
      <c r="I705" s="94" t="str">
        <f>IF(Q705=1,INDEX('CDFs'!$F$6:$F$505,P705)&amp;"","")</f>
        <v/>
      </c>
      <c r="J705" s="91" t="n"/>
      <c r="K705" s="91" t="n"/>
      <c r="L705" s="94" t="str">
        <f>IF(N705=0,"",IF(NOT(ISNUMBER(F705)),"Quantidade não informada",IF(F705&lt;=0,"Quantidade não positiva",IF(G705="","Unidade não informada",IF(NOT(ISNUMBER(H705)),"Unidade a conferir",IF(AC705=1,"REVISAR VÍNCULO: soma vinculada maior que a referência do item","OK"))))))</f>
        <v/>
      </c>
      <c r="M705" s="94" t="str">
        <f>IF(N705=0,"",IF(B705="","CDF não informado",IF(Q705=0,"REVISAR VÍNCULO: CDF inexistente",IF(C705="","Item não informado",IF(T705=0,"REVISAR VÍNCULO: item inexistente",IF(AND(X705=1,J705&lt;&gt;"Sim"),"REVISAR VÍNCULO: destinador diferente do MTR",IF(X705=1,"Destinador diferente do MTR (analisado)","OK")))))))</f>
        <v/>
      </c>
      <c r="N705" s="96">
        <f>IF(COUNTA(B705:C705,F705:G705,J705:K705)&gt;0,1,0)</f>
        <v>0</v>
      </c>
      <c r="O705" s="96" t="str">
        <f>IF(B705="","",TRIM(LEFT(B705,FIND(" |",B705&amp;" |")-1)))</f>
        <v/>
      </c>
      <c r="P705" s="96" t="str">
        <f>IF(O705="","",IFERROR(MATCH(O705,'CDFs'!$A$6:$A$505,0),""))</f>
        <v/>
      </c>
      <c r="Q705" s="96">
        <f>IF(P705="",0,IF(INDEX('CDFs'!$S$6:$S$505,P705)=1,1,0))</f>
        <v>0</v>
      </c>
      <c r="R705" s="96" t="str">
        <f>IF(C705="","",TRIM(LEFT(C705,FIND(" |",C705&amp;" |")-1)))</f>
        <v/>
      </c>
      <c r="S705" s="96" t="str">
        <f>IF(R705="","",IFERROR(MATCH(R705,'ITENS_MTR'!$A$6:$A$1005,0),""))</f>
        <v/>
      </c>
      <c r="T705" s="96">
        <f>IF(S705="",0,IF(INDEX('ITENS_MTR'!$R$6:$R$1005,S705)=1,1,0))</f>
        <v>0</v>
      </c>
      <c r="U705" s="96" t="str">
        <f>IF(G705="","",IFERROR(IF(ISNUMBER(INDEX(cfg_fac,MATCH(G705,cfg_units,0))),IF(INDEX(cfg_fac,MATCH(G705,cfg_units,0))&gt;0,INDEX(cfg_fac,MATCH(G705,cfg_units,0)),""),""),""))</f>
        <v/>
      </c>
      <c r="V705" s="96">
        <f>IF(AND(ISNUMBER(F705),ISNUMBER(H705)),IF(H705&gt;0,1,0),0)</f>
        <v>0</v>
      </c>
      <c r="W705" s="96" t="str">
        <f>IF(T705=1,INDEX('ITENS_MTR'!$AU$6:$AU$1005,S705)&amp;"","")</f>
        <v/>
      </c>
      <c r="X705" s="96">
        <f>IF(AND(Q705=1,T705=1,I705&lt;&gt;"",W705&lt;&gt;""),IF(I705&lt;&gt;W705,1,0),0)</f>
        <v>0</v>
      </c>
      <c r="Y705" s="96">
        <f>IF(N705=0,0,IF(OR(Q705=0,T705=0,V705=0,AND(X705=1,J705&lt;&gt;"Sim")),1,0))</f>
        <v>0</v>
      </c>
      <c r="Z705" s="96">
        <f>IF(Q705=1,INDEX('CDFs'!$W$6:$W$505,P705),0)</f>
        <v>0</v>
      </c>
      <c r="AA705" s="96">
        <f>IF(AND(N705=1,Y705=0,Z705=1,J705="Sim"),1,0)</f>
        <v>0</v>
      </c>
      <c r="AB705" s="96">
        <f>IF(AND(N705=1,O705&lt;&gt;"",D705&lt;&gt;""),IF(COUNTIFS($O$6:O705,O705,$D$6:D705,D705)=1,1,0),0)</f>
        <v>0</v>
      </c>
      <c r="AC705" s="96">
        <f>IF(T705=1,INDEX('ITENS_MTR'!$AL$6:$AL$1005,S705),0)</f>
        <v>0</v>
      </c>
    </row>
    <row r="706">
      <c r="A706" s="89" t="inlineStr">
        <is>
          <t>VIN-000701</t>
        </is>
      </c>
      <c r="B706" s="91" t="n"/>
      <c r="C706" s="91" t="n"/>
      <c r="D706" s="94" t="str">
        <f>IF(T706=1,INDEX('ITENS_MTR'!$S$6:$S$1005,S706)&amp;"","")</f>
        <v/>
      </c>
      <c r="E706" s="94" t="str">
        <f>IF(T706=1,INDEX('ITENS_MTR'!$C$6:$C$1005,S706)&amp;"","")</f>
        <v/>
      </c>
      <c r="F706" s="98" t="n"/>
      <c r="G706" s="91" t="n"/>
      <c r="H706" s="93" t="str">
        <f>IF(N706=0,"",IF(NOT(ISNUMBER(F706)),"",IF(ISNUMBER(U706),F706*U706,"UNIDADE A CONFERIR")))</f>
        <v/>
      </c>
      <c r="I706" s="94" t="str">
        <f>IF(Q706=1,INDEX('CDFs'!$F$6:$F$505,P706)&amp;"","")</f>
        <v/>
      </c>
      <c r="J706" s="91" t="n"/>
      <c r="K706" s="91" t="n"/>
      <c r="L706" s="94" t="str">
        <f>IF(N706=0,"",IF(NOT(ISNUMBER(F706)),"Quantidade não informada",IF(F706&lt;=0,"Quantidade não positiva",IF(G706="","Unidade não informada",IF(NOT(ISNUMBER(H706)),"Unidade a conferir",IF(AC706=1,"REVISAR VÍNCULO: soma vinculada maior que a referência do item","OK"))))))</f>
        <v/>
      </c>
      <c r="M706" s="94" t="str">
        <f>IF(N706=0,"",IF(B706="","CDF não informado",IF(Q706=0,"REVISAR VÍNCULO: CDF inexistente",IF(C706="","Item não informado",IF(T706=0,"REVISAR VÍNCULO: item inexistente",IF(AND(X706=1,J706&lt;&gt;"Sim"),"REVISAR VÍNCULO: destinador diferente do MTR",IF(X706=1,"Destinador diferente do MTR (analisado)","OK")))))))</f>
        <v/>
      </c>
      <c r="N706" s="96">
        <f>IF(COUNTA(B706:C706,F706:G706,J706:K706)&gt;0,1,0)</f>
        <v>0</v>
      </c>
      <c r="O706" s="96" t="str">
        <f>IF(B706="","",TRIM(LEFT(B706,FIND(" |",B706&amp;" |")-1)))</f>
        <v/>
      </c>
      <c r="P706" s="96" t="str">
        <f>IF(O706="","",IFERROR(MATCH(O706,'CDFs'!$A$6:$A$505,0),""))</f>
        <v/>
      </c>
      <c r="Q706" s="96">
        <f>IF(P706="",0,IF(INDEX('CDFs'!$S$6:$S$505,P706)=1,1,0))</f>
        <v>0</v>
      </c>
      <c r="R706" s="96" t="str">
        <f>IF(C706="","",TRIM(LEFT(C706,FIND(" |",C706&amp;" |")-1)))</f>
        <v/>
      </c>
      <c r="S706" s="96" t="str">
        <f>IF(R706="","",IFERROR(MATCH(R706,'ITENS_MTR'!$A$6:$A$1005,0),""))</f>
        <v/>
      </c>
      <c r="T706" s="96">
        <f>IF(S706="",0,IF(INDEX('ITENS_MTR'!$R$6:$R$1005,S706)=1,1,0))</f>
        <v>0</v>
      </c>
      <c r="U706" s="96" t="str">
        <f>IF(G706="","",IFERROR(IF(ISNUMBER(INDEX(cfg_fac,MATCH(G706,cfg_units,0))),IF(INDEX(cfg_fac,MATCH(G706,cfg_units,0))&gt;0,INDEX(cfg_fac,MATCH(G706,cfg_units,0)),""),""),""))</f>
        <v/>
      </c>
      <c r="V706" s="96">
        <f>IF(AND(ISNUMBER(F706),ISNUMBER(H706)),IF(H706&gt;0,1,0),0)</f>
        <v>0</v>
      </c>
      <c r="W706" s="96" t="str">
        <f>IF(T706=1,INDEX('ITENS_MTR'!$AU$6:$AU$1005,S706)&amp;"","")</f>
        <v/>
      </c>
      <c r="X706" s="96">
        <f>IF(AND(Q706=1,T706=1,I706&lt;&gt;"",W706&lt;&gt;""),IF(I706&lt;&gt;W706,1,0),0)</f>
        <v>0</v>
      </c>
      <c r="Y706" s="96">
        <f>IF(N706=0,0,IF(OR(Q706=0,T706=0,V706=0,AND(X706=1,J706&lt;&gt;"Sim")),1,0))</f>
        <v>0</v>
      </c>
      <c r="Z706" s="96">
        <f>IF(Q706=1,INDEX('CDFs'!$W$6:$W$505,P706),0)</f>
        <v>0</v>
      </c>
      <c r="AA706" s="96">
        <f>IF(AND(N706=1,Y706=0,Z706=1,J706="Sim"),1,0)</f>
        <v>0</v>
      </c>
      <c r="AB706" s="96">
        <f>IF(AND(N706=1,O706&lt;&gt;"",D706&lt;&gt;""),IF(COUNTIFS($O$6:O706,O706,$D$6:D706,D706)=1,1,0),0)</f>
        <v>0</v>
      </c>
      <c r="AC706" s="96">
        <f>IF(T706=1,INDEX('ITENS_MTR'!$AL$6:$AL$1005,S706),0)</f>
        <v>0</v>
      </c>
    </row>
    <row r="707">
      <c r="A707" s="89" t="inlineStr">
        <is>
          <t>VIN-000702</t>
        </is>
      </c>
      <c r="B707" s="91" t="n"/>
      <c r="C707" s="91" t="n"/>
      <c r="D707" s="94" t="str">
        <f>IF(T707=1,INDEX('ITENS_MTR'!$S$6:$S$1005,S707)&amp;"","")</f>
        <v/>
      </c>
      <c r="E707" s="94" t="str">
        <f>IF(T707=1,INDEX('ITENS_MTR'!$C$6:$C$1005,S707)&amp;"","")</f>
        <v/>
      </c>
      <c r="F707" s="98" t="n"/>
      <c r="G707" s="91" t="n"/>
      <c r="H707" s="93" t="str">
        <f>IF(N707=0,"",IF(NOT(ISNUMBER(F707)),"",IF(ISNUMBER(U707),F707*U707,"UNIDADE A CONFERIR")))</f>
        <v/>
      </c>
      <c r="I707" s="94" t="str">
        <f>IF(Q707=1,INDEX('CDFs'!$F$6:$F$505,P707)&amp;"","")</f>
        <v/>
      </c>
      <c r="J707" s="91" t="n"/>
      <c r="K707" s="91" t="n"/>
      <c r="L707" s="94" t="str">
        <f>IF(N707=0,"",IF(NOT(ISNUMBER(F707)),"Quantidade não informada",IF(F707&lt;=0,"Quantidade não positiva",IF(G707="","Unidade não informada",IF(NOT(ISNUMBER(H707)),"Unidade a conferir",IF(AC707=1,"REVISAR VÍNCULO: soma vinculada maior que a referência do item","OK"))))))</f>
        <v/>
      </c>
      <c r="M707" s="94" t="str">
        <f>IF(N707=0,"",IF(B707="","CDF não informado",IF(Q707=0,"REVISAR VÍNCULO: CDF inexistente",IF(C707="","Item não informado",IF(T707=0,"REVISAR VÍNCULO: item inexistente",IF(AND(X707=1,J707&lt;&gt;"Sim"),"REVISAR VÍNCULO: destinador diferente do MTR",IF(X707=1,"Destinador diferente do MTR (analisado)","OK")))))))</f>
        <v/>
      </c>
      <c r="N707" s="96">
        <f>IF(COUNTA(B707:C707,F707:G707,J707:K707)&gt;0,1,0)</f>
        <v>0</v>
      </c>
      <c r="O707" s="96" t="str">
        <f>IF(B707="","",TRIM(LEFT(B707,FIND(" |",B707&amp;" |")-1)))</f>
        <v/>
      </c>
      <c r="P707" s="96" t="str">
        <f>IF(O707="","",IFERROR(MATCH(O707,'CDFs'!$A$6:$A$505,0),""))</f>
        <v/>
      </c>
      <c r="Q707" s="96">
        <f>IF(P707="",0,IF(INDEX('CDFs'!$S$6:$S$505,P707)=1,1,0))</f>
        <v>0</v>
      </c>
      <c r="R707" s="96" t="str">
        <f>IF(C707="","",TRIM(LEFT(C707,FIND(" |",C707&amp;" |")-1)))</f>
        <v/>
      </c>
      <c r="S707" s="96" t="str">
        <f>IF(R707="","",IFERROR(MATCH(R707,'ITENS_MTR'!$A$6:$A$1005,0),""))</f>
        <v/>
      </c>
      <c r="T707" s="96">
        <f>IF(S707="",0,IF(INDEX('ITENS_MTR'!$R$6:$R$1005,S707)=1,1,0))</f>
        <v>0</v>
      </c>
      <c r="U707" s="96" t="str">
        <f>IF(G707="","",IFERROR(IF(ISNUMBER(INDEX(cfg_fac,MATCH(G707,cfg_units,0))),IF(INDEX(cfg_fac,MATCH(G707,cfg_units,0))&gt;0,INDEX(cfg_fac,MATCH(G707,cfg_units,0)),""),""),""))</f>
        <v/>
      </c>
      <c r="V707" s="96">
        <f>IF(AND(ISNUMBER(F707),ISNUMBER(H707)),IF(H707&gt;0,1,0),0)</f>
        <v>0</v>
      </c>
      <c r="W707" s="96" t="str">
        <f>IF(T707=1,INDEX('ITENS_MTR'!$AU$6:$AU$1005,S707)&amp;"","")</f>
        <v/>
      </c>
      <c r="X707" s="96">
        <f>IF(AND(Q707=1,T707=1,I707&lt;&gt;"",W707&lt;&gt;""),IF(I707&lt;&gt;W707,1,0),0)</f>
        <v>0</v>
      </c>
      <c r="Y707" s="96">
        <f>IF(N707=0,0,IF(OR(Q707=0,T707=0,V707=0,AND(X707=1,J707&lt;&gt;"Sim")),1,0))</f>
        <v>0</v>
      </c>
      <c r="Z707" s="96">
        <f>IF(Q707=1,INDEX('CDFs'!$W$6:$W$505,P707),0)</f>
        <v>0</v>
      </c>
      <c r="AA707" s="96">
        <f>IF(AND(N707=1,Y707=0,Z707=1,J707="Sim"),1,0)</f>
        <v>0</v>
      </c>
      <c r="AB707" s="96">
        <f>IF(AND(N707=1,O707&lt;&gt;"",D707&lt;&gt;""),IF(COUNTIFS($O$6:O707,O707,$D$6:D707,D707)=1,1,0),0)</f>
        <v>0</v>
      </c>
      <c r="AC707" s="96">
        <f>IF(T707=1,INDEX('ITENS_MTR'!$AL$6:$AL$1005,S707),0)</f>
        <v>0</v>
      </c>
    </row>
    <row r="708">
      <c r="A708" s="89" t="inlineStr">
        <is>
          <t>VIN-000703</t>
        </is>
      </c>
      <c r="B708" s="91" t="n"/>
      <c r="C708" s="91" t="n"/>
      <c r="D708" s="94" t="str">
        <f>IF(T708=1,INDEX('ITENS_MTR'!$S$6:$S$1005,S708)&amp;"","")</f>
        <v/>
      </c>
      <c r="E708" s="94" t="str">
        <f>IF(T708=1,INDEX('ITENS_MTR'!$C$6:$C$1005,S708)&amp;"","")</f>
        <v/>
      </c>
      <c r="F708" s="98" t="n"/>
      <c r="G708" s="91" t="n"/>
      <c r="H708" s="93" t="str">
        <f>IF(N708=0,"",IF(NOT(ISNUMBER(F708)),"",IF(ISNUMBER(U708),F708*U708,"UNIDADE A CONFERIR")))</f>
        <v/>
      </c>
      <c r="I708" s="94" t="str">
        <f>IF(Q708=1,INDEX('CDFs'!$F$6:$F$505,P708)&amp;"","")</f>
        <v/>
      </c>
      <c r="J708" s="91" t="n"/>
      <c r="K708" s="91" t="n"/>
      <c r="L708" s="94" t="str">
        <f>IF(N708=0,"",IF(NOT(ISNUMBER(F708)),"Quantidade não informada",IF(F708&lt;=0,"Quantidade não positiva",IF(G708="","Unidade não informada",IF(NOT(ISNUMBER(H708)),"Unidade a conferir",IF(AC708=1,"REVISAR VÍNCULO: soma vinculada maior que a referência do item","OK"))))))</f>
        <v/>
      </c>
      <c r="M708" s="94" t="str">
        <f>IF(N708=0,"",IF(B708="","CDF não informado",IF(Q708=0,"REVISAR VÍNCULO: CDF inexistente",IF(C708="","Item não informado",IF(T708=0,"REVISAR VÍNCULO: item inexistente",IF(AND(X708=1,J708&lt;&gt;"Sim"),"REVISAR VÍNCULO: destinador diferente do MTR",IF(X708=1,"Destinador diferente do MTR (analisado)","OK")))))))</f>
        <v/>
      </c>
      <c r="N708" s="96">
        <f>IF(COUNTA(B708:C708,F708:G708,J708:K708)&gt;0,1,0)</f>
        <v>0</v>
      </c>
      <c r="O708" s="96" t="str">
        <f>IF(B708="","",TRIM(LEFT(B708,FIND(" |",B708&amp;" |")-1)))</f>
        <v/>
      </c>
      <c r="P708" s="96" t="str">
        <f>IF(O708="","",IFERROR(MATCH(O708,'CDFs'!$A$6:$A$505,0),""))</f>
        <v/>
      </c>
      <c r="Q708" s="96">
        <f>IF(P708="",0,IF(INDEX('CDFs'!$S$6:$S$505,P708)=1,1,0))</f>
        <v>0</v>
      </c>
      <c r="R708" s="96" t="str">
        <f>IF(C708="","",TRIM(LEFT(C708,FIND(" |",C708&amp;" |")-1)))</f>
        <v/>
      </c>
      <c r="S708" s="96" t="str">
        <f>IF(R708="","",IFERROR(MATCH(R708,'ITENS_MTR'!$A$6:$A$1005,0),""))</f>
        <v/>
      </c>
      <c r="T708" s="96">
        <f>IF(S708="",0,IF(INDEX('ITENS_MTR'!$R$6:$R$1005,S708)=1,1,0))</f>
        <v>0</v>
      </c>
      <c r="U708" s="96" t="str">
        <f>IF(G708="","",IFERROR(IF(ISNUMBER(INDEX(cfg_fac,MATCH(G708,cfg_units,0))),IF(INDEX(cfg_fac,MATCH(G708,cfg_units,0))&gt;0,INDEX(cfg_fac,MATCH(G708,cfg_units,0)),""),""),""))</f>
        <v/>
      </c>
      <c r="V708" s="96">
        <f>IF(AND(ISNUMBER(F708),ISNUMBER(H708)),IF(H708&gt;0,1,0),0)</f>
        <v>0</v>
      </c>
      <c r="W708" s="96" t="str">
        <f>IF(T708=1,INDEX('ITENS_MTR'!$AU$6:$AU$1005,S708)&amp;"","")</f>
        <v/>
      </c>
      <c r="X708" s="96">
        <f>IF(AND(Q708=1,T708=1,I708&lt;&gt;"",W708&lt;&gt;""),IF(I708&lt;&gt;W708,1,0),0)</f>
        <v>0</v>
      </c>
      <c r="Y708" s="96">
        <f>IF(N708=0,0,IF(OR(Q708=0,T708=0,V708=0,AND(X708=1,J708&lt;&gt;"Sim")),1,0))</f>
        <v>0</v>
      </c>
      <c r="Z708" s="96">
        <f>IF(Q708=1,INDEX('CDFs'!$W$6:$W$505,P708),0)</f>
        <v>0</v>
      </c>
      <c r="AA708" s="96">
        <f>IF(AND(N708=1,Y708=0,Z708=1,J708="Sim"),1,0)</f>
        <v>0</v>
      </c>
      <c r="AB708" s="96">
        <f>IF(AND(N708=1,O708&lt;&gt;"",D708&lt;&gt;""),IF(COUNTIFS($O$6:O708,O708,$D$6:D708,D708)=1,1,0),0)</f>
        <v>0</v>
      </c>
      <c r="AC708" s="96">
        <f>IF(T708=1,INDEX('ITENS_MTR'!$AL$6:$AL$1005,S708),0)</f>
        <v>0</v>
      </c>
    </row>
    <row r="709">
      <c r="A709" s="89" t="inlineStr">
        <is>
          <t>VIN-000704</t>
        </is>
      </c>
      <c r="B709" s="91" t="n"/>
      <c r="C709" s="91" t="n"/>
      <c r="D709" s="94" t="str">
        <f>IF(T709=1,INDEX('ITENS_MTR'!$S$6:$S$1005,S709)&amp;"","")</f>
        <v/>
      </c>
      <c r="E709" s="94" t="str">
        <f>IF(T709=1,INDEX('ITENS_MTR'!$C$6:$C$1005,S709)&amp;"","")</f>
        <v/>
      </c>
      <c r="F709" s="98" t="n"/>
      <c r="G709" s="91" t="n"/>
      <c r="H709" s="93" t="str">
        <f>IF(N709=0,"",IF(NOT(ISNUMBER(F709)),"",IF(ISNUMBER(U709),F709*U709,"UNIDADE A CONFERIR")))</f>
        <v/>
      </c>
      <c r="I709" s="94" t="str">
        <f>IF(Q709=1,INDEX('CDFs'!$F$6:$F$505,P709)&amp;"","")</f>
        <v/>
      </c>
      <c r="J709" s="91" t="n"/>
      <c r="K709" s="91" t="n"/>
      <c r="L709" s="94" t="str">
        <f>IF(N709=0,"",IF(NOT(ISNUMBER(F709)),"Quantidade não informada",IF(F709&lt;=0,"Quantidade não positiva",IF(G709="","Unidade não informada",IF(NOT(ISNUMBER(H709)),"Unidade a conferir",IF(AC709=1,"REVISAR VÍNCULO: soma vinculada maior que a referência do item","OK"))))))</f>
        <v/>
      </c>
      <c r="M709" s="94" t="str">
        <f>IF(N709=0,"",IF(B709="","CDF não informado",IF(Q709=0,"REVISAR VÍNCULO: CDF inexistente",IF(C709="","Item não informado",IF(T709=0,"REVISAR VÍNCULO: item inexistente",IF(AND(X709=1,J709&lt;&gt;"Sim"),"REVISAR VÍNCULO: destinador diferente do MTR",IF(X709=1,"Destinador diferente do MTR (analisado)","OK")))))))</f>
        <v/>
      </c>
      <c r="N709" s="96">
        <f>IF(COUNTA(B709:C709,F709:G709,J709:K709)&gt;0,1,0)</f>
        <v>0</v>
      </c>
      <c r="O709" s="96" t="str">
        <f>IF(B709="","",TRIM(LEFT(B709,FIND(" |",B709&amp;" |")-1)))</f>
        <v/>
      </c>
      <c r="P709" s="96" t="str">
        <f>IF(O709="","",IFERROR(MATCH(O709,'CDFs'!$A$6:$A$505,0),""))</f>
        <v/>
      </c>
      <c r="Q709" s="96">
        <f>IF(P709="",0,IF(INDEX('CDFs'!$S$6:$S$505,P709)=1,1,0))</f>
        <v>0</v>
      </c>
      <c r="R709" s="96" t="str">
        <f>IF(C709="","",TRIM(LEFT(C709,FIND(" |",C709&amp;" |")-1)))</f>
        <v/>
      </c>
      <c r="S709" s="96" t="str">
        <f>IF(R709="","",IFERROR(MATCH(R709,'ITENS_MTR'!$A$6:$A$1005,0),""))</f>
        <v/>
      </c>
      <c r="T709" s="96">
        <f>IF(S709="",0,IF(INDEX('ITENS_MTR'!$R$6:$R$1005,S709)=1,1,0))</f>
        <v>0</v>
      </c>
      <c r="U709" s="96" t="str">
        <f>IF(G709="","",IFERROR(IF(ISNUMBER(INDEX(cfg_fac,MATCH(G709,cfg_units,0))),IF(INDEX(cfg_fac,MATCH(G709,cfg_units,0))&gt;0,INDEX(cfg_fac,MATCH(G709,cfg_units,0)),""),""),""))</f>
        <v/>
      </c>
      <c r="V709" s="96">
        <f>IF(AND(ISNUMBER(F709),ISNUMBER(H709)),IF(H709&gt;0,1,0),0)</f>
        <v>0</v>
      </c>
      <c r="W709" s="96" t="str">
        <f>IF(T709=1,INDEX('ITENS_MTR'!$AU$6:$AU$1005,S709)&amp;"","")</f>
        <v/>
      </c>
      <c r="X709" s="96">
        <f>IF(AND(Q709=1,T709=1,I709&lt;&gt;"",W709&lt;&gt;""),IF(I709&lt;&gt;W709,1,0),0)</f>
        <v>0</v>
      </c>
      <c r="Y709" s="96">
        <f>IF(N709=0,0,IF(OR(Q709=0,T709=0,V709=0,AND(X709=1,J709&lt;&gt;"Sim")),1,0))</f>
        <v>0</v>
      </c>
      <c r="Z709" s="96">
        <f>IF(Q709=1,INDEX('CDFs'!$W$6:$W$505,P709),0)</f>
        <v>0</v>
      </c>
      <c r="AA709" s="96">
        <f>IF(AND(N709=1,Y709=0,Z709=1,J709="Sim"),1,0)</f>
        <v>0</v>
      </c>
      <c r="AB709" s="96">
        <f>IF(AND(N709=1,O709&lt;&gt;"",D709&lt;&gt;""),IF(COUNTIFS($O$6:O709,O709,$D$6:D709,D709)=1,1,0),0)</f>
        <v>0</v>
      </c>
      <c r="AC709" s="96">
        <f>IF(T709=1,INDEX('ITENS_MTR'!$AL$6:$AL$1005,S709),0)</f>
        <v>0</v>
      </c>
    </row>
    <row r="710">
      <c r="A710" s="89" t="inlineStr">
        <is>
          <t>VIN-000705</t>
        </is>
      </c>
      <c r="B710" s="91" t="n"/>
      <c r="C710" s="91" t="n"/>
      <c r="D710" s="94" t="str">
        <f>IF(T710=1,INDEX('ITENS_MTR'!$S$6:$S$1005,S710)&amp;"","")</f>
        <v/>
      </c>
      <c r="E710" s="94" t="str">
        <f>IF(T710=1,INDEX('ITENS_MTR'!$C$6:$C$1005,S710)&amp;"","")</f>
        <v/>
      </c>
      <c r="F710" s="98" t="n"/>
      <c r="G710" s="91" t="n"/>
      <c r="H710" s="93" t="str">
        <f>IF(N710=0,"",IF(NOT(ISNUMBER(F710)),"",IF(ISNUMBER(U710),F710*U710,"UNIDADE A CONFERIR")))</f>
        <v/>
      </c>
      <c r="I710" s="94" t="str">
        <f>IF(Q710=1,INDEX('CDFs'!$F$6:$F$505,P710)&amp;"","")</f>
        <v/>
      </c>
      <c r="J710" s="91" t="n"/>
      <c r="K710" s="91" t="n"/>
      <c r="L710" s="94" t="str">
        <f>IF(N710=0,"",IF(NOT(ISNUMBER(F710)),"Quantidade não informada",IF(F710&lt;=0,"Quantidade não positiva",IF(G710="","Unidade não informada",IF(NOT(ISNUMBER(H710)),"Unidade a conferir",IF(AC710=1,"REVISAR VÍNCULO: soma vinculada maior que a referência do item","OK"))))))</f>
        <v/>
      </c>
      <c r="M710" s="94" t="str">
        <f>IF(N710=0,"",IF(B710="","CDF não informado",IF(Q710=0,"REVISAR VÍNCULO: CDF inexistente",IF(C710="","Item não informado",IF(T710=0,"REVISAR VÍNCULO: item inexistente",IF(AND(X710=1,J710&lt;&gt;"Sim"),"REVISAR VÍNCULO: destinador diferente do MTR",IF(X710=1,"Destinador diferente do MTR (analisado)","OK")))))))</f>
        <v/>
      </c>
      <c r="N710" s="96">
        <f>IF(COUNTA(B710:C710,F710:G710,J710:K710)&gt;0,1,0)</f>
        <v>0</v>
      </c>
      <c r="O710" s="96" t="str">
        <f>IF(B710="","",TRIM(LEFT(B710,FIND(" |",B710&amp;" |")-1)))</f>
        <v/>
      </c>
      <c r="P710" s="96" t="str">
        <f>IF(O710="","",IFERROR(MATCH(O710,'CDFs'!$A$6:$A$505,0),""))</f>
        <v/>
      </c>
      <c r="Q710" s="96">
        <f>IF(P710="",0,IF(INDEX('CDFs'!$S$6:$S$505,P710)=1,1,0))</f>
        <v>0</v>
      </c>
      <c r="R710" s="96" t="str">
        <f>IF(C710="","",TRIM(LEFT(C710,FIND(" |",C710&amp;" |")-1)))</f>
        <v/>
      </c>
      <c r="S710" s="96" t="str">
        <f>IF(R710="","",IFERROR(MATCH(R710,'ITENS_MTR'!$A$6:$A$1005,0),""))</f>
        <v/>
      </c>
      <c r="T710" s="96">
        <f>IF(S710="",0,IF(INDEX('ITENS_MTR'!$R$6:$R$1005,S710)=1,1,0))</f>
        <v>0</v>
      </c>
      <c r="U710" s="96" t="str">
        <f>IF(G710="","",IFERROR(IF(ISNUMBER(INDEX(cfg_fac,MATCH(G710,cfg_units,0))),IF(INDEX(cfg_fac,MATCH(G710,cfg_units,0))&gt;0,INDEX(cfg_fac,MATCH(G710,cfg_units,0)),""),""),""))</f>
        <v/>
      </c>
      <c r="V710" s="96">
        <f>IF(AND(ISNUMBER(F710),ISNUMBER(H710)),IF(H710&gt;0,1,0),0)</f>
        <v>0</v>
      </c>
      <c r="W710" s="96" t="str">
        <f>IF(T710=1,INDEX('ITENS_MTR'!$AU$6:$AU$1005,S710)&amp;"","")</f>
        <v/>
      </c>
      <c r="X710" s="96">
        <f>IF(AND(Q710=1,T710=1,I710&lt;&gt;"",W710&lt;&gt;""),IF(I710&lt;&gt;W710,1,0),0)</f>
        <v>0</v>
      </c>
      <c r="Y710" s="96">
        <f>IF(N710=0,0,IF(OR(Q710=0,T710=0,V710=0,AND(X710=1,J710&lt;&gt;"Sim")),1,0))</f>
        <v>0</v>
      </c>
      <c r="Z710" s="96">
        <f>IF(Q710=1,INDEX('CDFs'!$W$6:$W$505,P710),0)</f>
        <v>0</v>
      </c>
      <c r="AA710" s="96">
        <f>IF(AND(N710=1,Y710=0,Z710=1,J710="Sim"),1,0)</f>
        <v>0</v>
      </c>
      <c r="AB710" s="96">
        <f>IF(AND(N710=1,O710&lt;&gt;"",D710&lt;&gt;""),IF(COUNTIFS($O$6:O710,O710,$D$6:D710,D710)=1,1,0),0)</f>
        <v>0</v>
      </c>
      <c r="AC710" s="96">
        <f>IF(T710=1,INDEX('ITENS_MTR'!$AL$6:$AL$1005,S710),0)</f>
        <v>0</v>
      </c>
    </row>
    <row r="711">
      <c r="A711" s="89" t="inlineStr">
        <is>
          <t>VIN-000706</t>
        </is>
      </c>
      <c r="B711" s="91" t="n"/>
      <c r="C711" s="91" t="n"/>
      <c r="D711" s="94" t="str">
        <f>IF(T711=1,INDEX('ITENS_MTR'!$S$6:$S$1005,S711)&amp;"","")</f>
        <v/>
      </c>
      <c r="E711" s="94" t="str">
        <f>IF(T711=1,INDEX('ITENS_MTR'!$C$6:$C$1005,S711)&amp;"","")</f>
        <v/>
      </c>
      <c r="F711" s="98" t="n"/>
      <c r="G711" s="91" t="n"/>
      <c r="H711" s="93" t="str">
        <f>IF(N711=0,"",IF(NOT(ISNUMBER(F711)),"",IF(ISNUMBER(U711),F711*U711,"UNIDADE A CONFERIR")))</f>
        <v/>
      </c>
      <c r="I711" s="94" t="str">
        <f>IF(Q711=1,INDEX('CDFs'!$F$6:$F$505,P711)&amp;"","")</f>
        <v/>
      </c>
      <c r="J711" s="91" t="n"/>
      <c r="K711" s="91" t="n"/>
      <c r="L711" s="94" t="str">
        <f>IF(N711=0,"",IF(NOT(ISNUMBER(F711)),"Quantidade não informada",IF(F711&lt;=0,"Quantidade não positiva",IF(G711="","Unidade não informada",IF(NOT(ISNUMBER(H711)),"Unidade a conferir",IF(AC711=1,"REVISAR VÍNCULO: soma vinculada maior que a referência do item","OK"))))))</f>
        <v/>
      </c>
      <c r="M711" s="94" t="str">
        <f>IF(N711=0,"",IF(B711="","CDF não informado",IF(Q711=0,"REVISAR VÍNCULO: CDF inexistente",IF(C711="","Item não informado",IF(T711=0,"REVISAR VÍNCULO: item inexistente",IF(AND(X711=1,J711&lt;&gt;"Sim"),"REVISAR VÍNCULO: destinador diferente do MTR",IF(X711=1,"Destinador diferente do MTR (analisado)","OK")))))))</f>
        <v/>
      </c>
      <c r="N711" s="96">
        <f>IF(COUNTA(B711:C711,F711:G711,J711:K711)&gt;0,1,0)</f>
        <v>0</v>
      </c>
      <c r="O711" s="96" t="str">
        <f>IF(B711="","",TRIM(LEFT(B711,FIND(" |",B711&amp;" |")-1)))</f>
        <v/>
      </c>
      <c r="P711" s="96" t="str">
        <f>IF(O711="","",IFERROR(MATCH(O711,'CDFs'!$A$6:$A$505,0),""))</f>
        <v/>
      </c>
      <c r="Q711" s="96">
        <f>IF(P711="",0,IF(INDEX('CDFs'!$S$6:$S$505,P711)=1,1,0))</f>
        <v>0</v>
      </c>
      <c r="R711" s="96" t="str">
        <f>IF(C711="","",TRIM(LEFT(C711,FIND(" |",C711&amp;" |")-1)))</f>
        <v/>
      </c>
      <c r="S711" s="96" t="str">
        <f>IF(R711="","",IFERROR(MATCH(R711,'ITENS_MTR'!$A$6:$A$1005,0),""))</f>
        <v/>
      </c>
      <c r="T711" s="96">
        <f>IF(S711="",0,IF(INDEX('ITENS_MTR'!$R$6:$R$1005,S711)=1,1,0))</f>
        <v>0</v>
      </c>
      <c r="U711" s="96" t="str">
        <f>IF(G711="","",IFERROR(IF(ISNUMBER(INDEX(cfg_fac,MATCH(G711,cfg_units,0))),IF(INDEX(cfg_fac,MATCH(G711,cfg_units,0))&gt;0,INDEX(cfg_fac,MATCH(G711,cfg_units,0)),""),""),""))</f>
        <v/>
      </c>
      <c r="V711" s="96">
        <f>IF(AND(ISNUMBER(F711),ISNUMBER(H711)),IF(H711&gt;0,1,0),0)</f>
        <v>0</v>
      </c>
      <c r="W711" s="96" t="str">
        <f>IF(T711=1,INDEX('ITENS_MTR'!$AU$6:$AU$1005,S711)&amp;"","")</f>
        <v/>
      </c>
      <c r="X711" s="96">
        <f>IF(AND(Q711=1,T711=1,I711&lt;&gt;"",W711&lt;&gt;""),IF(I711&lt;&gt;W711,1,0),0)</f>
        <v>0</v>
      </c>
      <c r="Y711" s="96">
        <f>IF(N711=0,0,IF(OR(Q711=0,T711=0,V711=0,AND(X711=1,J711&lt;&gt;"Sim")),1,0))</f>
        <v>0</v>
      </c>
      <c r="Z711" s="96">
        <f>IF(Q711=1,INDEX('CDFs'!$W$6:$W$505,P711),0)</f>
        <v>0</v>
      </c>
      <c r="AA711" s="96">
        <f>IF(AND(N711=1,Y711=0,Z711=1,J711="Sim"),1,0)</f>
        <v>0</v>
      </c>
      <c r="AB711" s="96">
        <f>IF(AND(N711=1,O711&lt;&gt;"",D711&lt;&gt;""),IF(COUNTIFS($O$6:O711,O711,$D$6:D711,D711)=1,1,0),0)</f>
        <v>0</v>
      </c>
      <c r="AC711" s="96">
        <f>IF(T711=1,INDEX('ITENS_MTR'!$AL$6:$AL$1005,S711),0)</f>
        <v>0</v>
      </c>
    </row>
    <row r="712">
      <c r="A712" s="89" t="inlineStr">
        <is>
          <t>VIN-000707</t>
        </is>
      </c>
      <c r="B712" s="91" t="n"/>
      <c r="C712" s="91" t="n"/>
      <c r="D712" s="94" t="str">
        <f>IF(T712=1,INDEX('ITENS_MTR'!$S$6:$S$1005,S712)&amp;"","")</f>
        <v/>
      </c>
      <c r="E712" s="94" t="str">
        <f>IF(T712=1,INDEX('ITENS_MTR'!$C$6:$C$1005,S712)&amp;"","")</f>
        <v/>
      </c>
      <c r="F712" s="98" t="n"/>
      <c r="G712" s="91" t="n"/>
      <c r="H712" s="93" t="str">
        <f>IF(N712=0,"",IF(NOT(ISNUMBER(F712)),"",IF(ISNUMBER(U712),F712*U712,"UNIDADE A CONFERIR")))</f>
        <v/>
      </c>
      <c r="I712" s="94" t="str">
        <f>IF(Q712=1,INDEX('CDFs'!$F$6:$F$505,P712)&amp;"","")</f>
        <v/>
      </c>
      <c r="J712" s="91" t="n"/>
      <c r="K712" s="91" t="n"/>
      <c r="L712" s="94" t="str">
        <f>IF(N712=0,"",IF(NOT(ISNUMBER(F712)),"Quantidade não informada",IF(F712&lt;=0,"Quantidade não positiva",IF(G712="","Unidade não informada",IF(NOT(ISNUMBER(H712)),"Unidade a conferir",IF(AC712=1,"REVISAR VÍNCULO: soma vinculada maior que a referência do item","OK"))))))</f>
        <v/>
      </c>
      <c r="M712" s="94" t="str">
        <f>IF(N712=0,"",IF(B712="","CDF não informado",IF(Q712=0,"REVISAR VÍNCULO: CDF inexistente",IF(C712="","Item não informado",IF(T712=0,"REVISAR VÍNCULO: item inexistente",IF(AND(X712=1,J712&lt;&gt;"Sim"),"REVISAR VÍNCULO: destinador diferente do MTR",IF(X712=1,"Destinador diferente do MTR (analisado)","OK")))))))</f>
        <v/>
      </c>
      <c r="N712" s="96">
        <f>IF(COUNTA(B712:C712,F712:G712,J712:K712)&gt;0,1,0)</f>
        <v>0</v>
      </c>
      <c r="O712" s="96" t="str">
        <f>IF(B712="","",TRIM(LEFT(B712,FIND(" |",B712&amp;" |")-1)))</f>
        <v/>
      </c>
      <c r="P712" s="96" t="str">
        <f>IF(O712="","",IFERROR(MATCH(O712,'CDFs'!$A$6:$A$505,0),""))</f>
        <v/>
      </c>
      <c r="Q712" s="96">
        <f>IF(P712="",0,IF(INDEX('CDFs'!$S$6:$S$505,P712)=1,1,0))</f>
        <v>0</v>
      </c>
      <c r="R712" s="96" t="str">
        <f>IF(C712="","",TRIM(LEFT(C712,FIND(" |",C712&amp;" |")-1)))</f>
        <v/>
      </c>
      <c r="S712" s="96" t="str">
        <f>IF(R712="","",IFERROR(MATCH(R712,'ITENS_MTR'!$A$6:$A$1005,0),""))</f>
        <v/>
      </c>
      <c r="T712" s="96">
        <f>IF(S712="",0,IF(INDEX('ITENS_MTR'!$R$6:$R$1005,S712)=1,1,0))</f>
        <v>0</v>
      </c>
      <c r="U712" s="96" t="str">
        <f>IF(G712="","",IFERROR(IF(ISNUMBER(INDEX(cfg_fac,MATCH(G712,cfg_units,0))),IF(INDEX(cfg_fac,MATCH(G712,cfg_units,0))&gt;0,INDEX(cfg_fac,MATCH(G712,cfg_units,0)),""),""),""))</f>
        <v/>
      </c>
      <c r="V712" s="96">
        <f>IF(AND(ISNUMBER(F712),ISNUMBER(H712)),IF(H712&gt;0,1,0),0)</f>
        <v>0</v>
      </c>
      <c r="W712" s="96" t="str">
        <f>IF(T712=1,INDEX('ITENS_MTR'!$AU$6:$AU$1005,S712)&amp;"","")</f>
        <v/>
      </c>
      <c r="X712" s="96">
        <f>IF(AND(Q712=1,T712=1,I712&lt;&gt;"",W712&lt;&gt;""),IF(I712&lt;&gt;W712,1,0),0)</f>
        <v>0</v>
      </c>
      <c r="Y712" s="96">
        <f>IF(N712=0,0,IF(OR(Q712=0,T712=0,V712=0,AND(X712=1,J712&lt;&gt;"Sim")),1,0))</f>
        <v>0</v>
      </c>
      <c r="Z712" s="96">
        <f>IF(Q712=1,INDEX('CDFs'!$W$6:$W$505,P712),0)</f>
        <v>0</v>
      </c>
      <c r="AA712" s="96">
        <f>IF(AND(N712=1,Y712=0,Z712=1,J712="Sim"),1,0)</f>
        <v>0</v>
      </c>
      <c r="AB712" s="96">
        <f>IF(AND(N712=1,O712&lt;&gt;"",D712&lt;&gt;""),IF(COUNTIFS($O$6:O712,O712,$D$6:D712,D712)=1,1,0),0)</f>
        <v>0</v>
      </c>
      <c r="AC712" s="96">
        <f>IF(T712=1,INDEX('ITENS_MTR'!$AL$6:$AL$1005,S712),0)</f>
        <v>0</v>
      </c>
    </row>
    <row r="713">
      <c r="A713" s="89" t="inlineStr">
        <is>
          <t>VIN-000708</t>
        </is>
      </c>
      <c r="B713" s="91" t="n"/>
      <c r="C713" s="91" t="n"/>
      <c r="D713" s="94" t="str">
        <f>IF(T713=1,INDEX('ITENS_MTR'!$S$6:$S$1005,S713)&amp;"","")</f>
        <v/>
      </c>
      <c r="E713" s="94" t="str">
        <f>IF(T713=1,INDEX('ITENS_MTR'!$C$6:$C$1005,S713)&amp;"","")</f>
        <v/>
      </c>
      <c r="F713" s="98" t="n"/>
      <c r="G713" s="91" t="n"/>
      <c r="H713" s="93" t="str">
        <f>IF(N713=0,"",IF(NOT(ISNUMBER(F713)),"",IF(ISNUMBER(U713),F713*U713,"UNIDADE A CONFERIR")))</f>
        <v/>
      </c>
      <c r="I713" s="94" t="str">
        <f>IF(Q713=1,INDEX('CDFs'!$F$6:$F$505,P713)&amp;"","")</f>
        <v/>
      </c>
      <c r="J713" s="91" t="n"/>
      <c r="K713" s="91" t="n"/>
      <c r="L713" s="94" t="str">
        <f>IF(N713=0,"",IF(NOT(ISNUMBER(F713)),"Quantidade não informada",IF(F713&lt;=0,"Quantidade não positiva",IF(G713="","Unidade não informada",IF(NOT(ISNUMBER(H713)),"Unidade a conferir",IF(AC713=1,"REVISAR VÍNCULO: soma vinculada maior que a referência do item","OK"))))))</f>
        <v/>
      </c>
      <c r="M713" s="94" t="str">
        <f>IF(N713=0,"",IF(B713="","CDF não informado",IF(Q713=0,"REVISAR VÍNCULO: CDF inexistente",IF(C713="","Item não informado",IF(T713=0,"REVISAR VÍNCULO: item inexistente",IF(AND(X713=1,J713&lt;&gt;"Sim"),"REVISAR VÍNCULO: destinador diferente do MTR",IF(X713=1,"Destinador diferente do MTR (analisado)","OK")))))))</f>
        <v/>
      </c>
      <c r="N713" s="96">
        <f>IF(COUNTA(B713:C713,F713:G713,J713:K713)&gt;0,1,0)</f>
        <v>0</v>
      </c>
      <c r="O713" s="96" t="str">
        <f>IF(B713="","",TRIM(LEFT(B713,FIND(" |",B713&amp;" |")-1)))</f>
        <v/>
      </c>
      <c r="P713" s="96" t="str">
        <f>IF(O713="","",IFERROR(MATCH(O713,'CDFs'!$A$6:$A$505,0),""))</f>
        <v/>
      </c>
      <c r="Q713" s="96">
        <f>IF(P713="",0,IF(INDEX('CDFs'!$S$6:$S$505,P713)=1,1,0))</f>
        <v>0</v>
      </c>
      <c r="R713" s="96" t="str">
        <f>IF(C713="","",TRIM(LEFT(C713,FIND(" |",C713&amp;" |")-1)))</f>
        <v/>
      </c>
      <c r="S713" s="96" t="str">
        <f>IF(R713="","",IFERROR(MATCH(R713,'ITENS_MTR'!$A$6:$A$1005,0),""))</f>
        <v/>
      </c>
      <c r="T713" s="96">
        <f>IF(S713="",0,IF(INDEX('ITENS_MTR'!$R$6:$R$1005,S713)=1,1,0))</f>
        <v>0</v>
      </c>
      <c r="U713" s="96" t="str">
        <f>IF(G713="","",IFERROR(IF(ISNUMBER(INDEX(cfg_fac,MATCH(G713,cfg_units,0))),IF(INDEX(cfg_fac,MATCH(G713,cfg_units,0))&gt;0,INDEX(cfg_fac,MATCH(G713,cfg_units,0)),""),""),""))</f>
        <v/>
      </c>
      <c r="V713" s="96">
        <f>IF(AND(ISNUMBER(F713),ISNUMBER(H713)),IF(H713&gt;0,1,0),0)</f>
        <v>0</v>
      </c>
      <c r="W713" s="96" t="str">
        <f>IF(T713=1,INDEX('ITENS_MTR'!$AU$6:$AU$1005,S713)&amp;"","")</f>
        <v/>
      </c>
      <c r="X713" s="96">
        <f>IF(AND(Q713=1,T713=1,I713&lt;&gt;"",W713&lt;&gt;""),IF(I713&lt;&gt;W713,1,0),0)</f>
        <v>0</v>
      </c>
      <c r="Y713" s="96">
        <f>IF(N713=0,0,IF(OR(Q713=0,T713=0,V713=0,AND(X713=1,J713&lt;&gt;"Sim")),1,0))</f>
        <v>0</v>
      </c>
      <c r="Z713" s="96">
        <f>IF(Q713=1,INDEX('CDFs'!$W$6:$W$505,P713),0)</f>
        <v>0</v>
      </c>
      <c r="AA713" s="96">
        <f>IF(AND(N713=1,Y713=0,Z713=1,J713="Sim"),1,0)</f>
        <v>0</v>
      </c>
      <c r="AB713" s="96">
        <f>IF(AND(N713=1,O713&lt;&gt;"",D713&lt;&gt;""),IF(COUNTIFS($O$6:O713,O713,$D$6:D713,D713)=1,1,0),0)</f>
        <v>0</v>
      </c>
      <c r="AC713" s="96">
        <f>IF(T713=1,INDEX('ITENS_MTR'!$AL$6:$AL$1005,S713),0)</f>
        <v>0</v>
      </c>
    </row>
    <row r="714">
      <c r="A714" s="89" t="inlineStr">
        <is>
          <t>VIN-000709</t>
        </is>
      </c>
      <c r="B714" s="91" t="n"/>
      <c r="C714" s="91" t="n"/>
      <c r="D714" s="94" t="str">
        <f>IF(T714=1,INDEX('ITENS_MTR'!$S$6:$S$1005,S714)&amp;"","")</f>
        <v/>
      </c>
      <c r="E714" s="94" t="str">
        <f>IF(T714=1,INDEX('ITENS_MTR'!$C$6:$C$1005,S714)&amp;"","")</f>
        <v/>
      </c>
      <c r="F714" s="98" t="n"/>
      <c r="G714" s="91" t="n"/>
      <c r="H714" s="93" t="str">
        <f>IF(N714=0,"",IF(NOT(ISNUMBER(F714)),"",IF(ISNUMBER(U714),F714*U714,"UNIDADE A CONFERIR")))</f>
        <v/>
      </c>
      <c r="I714" s="94" t="str">
        <f>IF(Q714=1,INDEX('CDFs'!$F$6:$F$505,P714)&amp;"","")</f>
        <v/>
      </c>
      <c r="J714" s="91" t="n"/>
      <c r="K714" s="91" t="n"/>
      <c r="L714" s="94" t="str">
        <f>IF(N714=0,"",IF(NOT(ISNUMBER(F714)),"Quantidade não informada",IF(F714&lt;=0,"Quantidade não positiva",IF(G714="","Unidade não informada",IF(NOT(ISNUMBER(H714)),"Unidade a conferir",IF(AC714=1,"REVISAR VÍNCULO: soma vinculada maior que a referência do item","OK"))))))</f>
        <v/>
      </c>
      <c r="M714" s="94" t="str">
        <f>IF(N714=0,"",IF(B714="","CDF não informado",IF(Q714=0,"REVISAR VÍNCULO: CDF inexistente",IF(C714="","Item não informado",IF(T714=0,"REVISAR VÍNCULO: item inexistente",IF(AND(X714=1,J714&lt;&gt;"Sim"),"REVISAR VÍNCULO: destinador diferente do MTR",IF(X714=1,"Destinador diferente do MTR (analisado)","OK")))))))</f>
        <v/>
      </c>
      <c r="N714" s="96">
        <f>IF(COUNTA(B714:C714,F714:G714,J714:K714)&gt;0,1,0)</f>
        <v>0</v>
      </c>
      <c r="O714" s="96" t="str">
        <f>IF(B714="","",TRIM(LEFT(B714,FIND(" |",B714&amp;" |")-1)))</f>
        <v/>
      </c>
      <c r="P714" s="96" t="str">
        <f>IF(O714="","",IFERROR(MATCH(O714,'CDFs'!$A$6:$A$505,0),""))</f>
        <v/>
      </c>
      <c r="Q714" s="96">
        <f>IF(P714="",0,IF(INDEX('CDFs'!$S$6:$S$505,P714)=1,1,0))</f>
        <v>0</v>
      </c>
      <c r="R714" s="96" t="str">
        <f>IF(C714="","",TRIM(LEFT(C714,FIND(" |",C714&amp;" |")-1)))</f>
        <v/>
      </c>
      <c r="S714" s="96" t="str">
        <f>IF(R714="","",IFERROR(MATCH(R714,'ITENS_MTR'!$A$6:$A$1005,0),""))</f>
        <v/>
      </c>
      <c r="T714" s="96">
        <f>IF(S714="",0,IF(INDEX('ITENS_MTR'!$R$6:$R$1005,S714)=1,1,0))</f>
        <v>0</v>
      </c>
      <c r="U714" s="96" t="str">
        <f>IF(G714="","",IFERROR(IF(ISNUMBER(INDEX(cfg_fac,MATCH(G714,cfg_units,0))),IF(INDEX(cfg_fac,MATCH(G714,cfg_units,0))&gt;0,INDEX(cfg_fac,MATCH(G714,cfg_units,0)),""),""),""))</f>
        <v/>
      </c>
      <c r="V714" s="96">
        <f>IF(AND(ISNUMBER(F714),ISNUMBER(H714)),IF(H714&gt;0,1,0),0)</f>
        <v>0</v>
      </c>
      <c r="W714" s="96" t="str">
        <f>IF(T714=1,INDEX('ITENS_MTR'!$AU$6:$AU$1005,S714)&amp;"","")</f>
        <v/>
      </c>
      <c r="X714" s="96">
        <f>IF(AND(Q714=1,T714=1,I714&lt;&gt;"",W714&lt;&gt;""),IF(I714&lt;&gt;W714,1,0),0)</f>
        <v>0</v>
      </c>
      <c r="Y714" s="96">
        <f>IF(N714=0,0,IF(OR(Q714=0,T714=0,V714=0,AND(X714=1,J714&lt;&gt;"Sim")),1,0))</f>
        <v>0</v>
      </c>
      <c r="Z714" s="96">
        <f>IF(Q714=1,INDEX('CDFs'!$W$6:$W$505,P714),0)</f>
        <v>0</v>
      </c>
      <c r="AA714" s="96">
        <f>IF(AND(N714=1,Y714=0,Z714=1,J714="Sim"),1,0)</f>
        <v>0</v>
      </c>
      <c r="AB714" s="96">
        <f>IF(AND(N714=1,O714&lt;&gt;"",D714&lt;&gt;""),IF(COUNTIFS($O$6:O714,O714,$D$6:D714,D714)=1,1,0),0)</f>
        <v>0</v>
      </c>
      <c r="AC714" s="96">
        <f>IF(T714=1,INDEX('ITENS_MTR'!$AL$6:$AL$1005,S714),0)</f>
        <v>0</v>
      </c>
    </row>
    <row r="715">
      <c r="A715" s="89" t="inlineStr">
        <is>
          <t>VIN-000710</t>
        </is>
      </c>
      <c r="B715" s="91" t="n"/>
      <c r="C715" s="91" t="n"/>
      <c r="D715" s="94" t="str">
        <f>IF(T715=1,INDEX('ITENS_MTR'!$S$6:$S$1005,S715)&amp;"","")</f>
        <v/>
      </c>
      <c r="E715" s="94" t="str">
        <f>IF(T715=1,INDEX('ITENS_MTR'!$C$6:$C$1005,S715)&amp;"","")</f>
        <v/>
      </c>
      <c r="F715" s="98" t="n"/>
      <c r="G715" s="91" t="n"/>
      <c r="H715" s="93" t="str">
        <f>IF(N715=0,"",IF(NOT(ISNUMBER(F715)),"",IF(ISNUMBER(U715),F715*U715,"UNIDADE A CONFERIR")))</f>
        <v/>
      </c>
      <c r="I715" s="94" t="str">
        <f>IF(Q715=1,INDEX('CDFs'!$F$6:$F$505,P715)&amp;"","")</f>
        <v/>
      </c>
      <c r="J715" s="91" t="n"/>
      <c r="K715" s="91" t="n"/>
      <c r="L715" s="94" t="str">
        <f>IF(N715=0,"",IF(NOT(ISNUMBER(F715)),"Quantidade não informada",IF(F715&lt;=0,"Quantidade não positiva",IF(G715="","Unidade não informada",IF(NOT(ISNUMBER(H715)),"Unidade a conferir",IF(AC715=1,"REVISAR VÍNCULO: soma vinculada maior que a referência do item","OK"))))))</f>
        <v/>
      </c>
      <c r="M715" s="94" t="str">
        <f>IF(N715=0,"",IF(B715="","CDF não informado",IF(Q715=0,"REVISAR VÍNCULO: CDF inexistente",IF(C715="","Item não informado",IF(T715=0,"REVISAR VÍNCULO: item inexistente",IF(AND(X715=1,J715&lt;&gt;"Sim"),"REVISAR VÍNCULO: destinador diferente do MTR",IF(X715=1,"Destinador diferente do MTR (analisado)","OK")))))))</f>
        <v/>
      </c>
      <c r="N715" s="96">
        <f>IF(COUNTA(B715:C715,F715:G715,J715:K715)&gt;0,1,0)</f>
        <v>0</v>
      </c>
      <c r="O715" s="96" t="str">
        <f>IF(B715="","",TRIM(LEFT(B715,FIND(" |",B715&amp;" |")-1)))</f>
        <v/>
      </c>
      <c r="P715" s="96" t="str">
        <f>IF(O715="","",IFERROR(MATCH(O715,'CDFs'!$A$6:$A$505,0),""))</f>
        <v/>
      </c>
      <c r="Q715" s="96">
        <f>IF(P715="",0,IF(INDEX('CDFs'!$S$6:$S$505,P715)=1,1,0))</f>
        <v>0</v>
      </c>
      <c r="R715" s="96" t="str">
        <f>IF(C715="","",TRIM(LEFT(C715,FIND(" |",C715&amp;" |")-1)))</f>
        <v/>
      </c>
      <c r="S715" s="96" t="str">
        <f>IF(R715="","",IFERROR(MATCH(R715,'ITENS_MTR'!$A$6:$A$1005,0),""))</f>
        <v/>
      </c>
      <c r="T715" s="96">
        <f>IF(S715="",0,IF(INDEX('ITENS_MTR'!$R$6:$R$1005,S715)=1,1,0))</f>
        <v>0</v>
      </c>
      <c r="U715" s="96" t="str">
        <f>IF(G715="","",IFERROR(IF(ISNUMBER(INDEX(cfg_fac,MATCH(G715,cfg_units,0))),IF(INDEX(cfg_fac,MATCH(G715,cfg_units,0))&gt;0,INDEX(cfg_fac,MATCH(G715,cfg_units,0)),""),""),""))</f>
        <v/>
      </c>
      <c r="V715" s="96">
        <f>IF(AND(ISNUMBER(F715),ISNUMBER(H715)),IF(H715&gt;0,1,0),0)</f>
        <v>0</v>
      </c>
      <c r="W715" s="96" t="str">
        <f>IF(T715=1,INDEX('ITENS_MTR'!$AU$6:$AU$1005,S715)&amp;"","")</f>
        <v/>
      </c>
      <c r="X715" s="96">
        <f>IF(AND(Q715=1,T715=1,I715&lt;&gt;"",W715&lt;&gt;""),IF(I715&lt;&gt;W715,1,0),0)</f>
        <v>0</v>
      </c>
      <c r="Y715" s="96">
        <f>IF(N715=0,0,IF(OR(Q715=0,T715=0,V715=0,AND(X715=1,J715&lt;&gt;"Sim")),1,0))</f>
        <v>0</v>
      </c>
      <c r="Z715" s="96">
        <f>IF(Q715=1,INDEX('CDFs'!$W$6:$W$505,P715),0)</f>
        <v>0</v>
      </c>
      <c r="AA715" s="96">
        <f>IF(AND(N715=1,Y715=0,Z715=1,J715="Sim"),1,0)</f>
        <v>0</v>
      </c>
      <c r="AB715" s="96">
        <f>IF(AND(N715=1,O715&lt;&gt;"",D715&lt;&gt;""),IF(COUNTIFS($O$6:O715,O715,$D$6:D715,D715)=1,1,0),0)</f>
        <v>0</v>
      </c>
      <c r="AC715" s="96">
        <f>IF(T715=1,INDEX('ITENS_MTR'!$AL$6:$AL$1005,S715),0)</f>
        <v>0</v>
      </c>
    </row>
    <row r="716">
      <c r="A716" s="89" t="inlineStr">
        <is>
          <t>VIN-000711</t>
        </is>
      </c>
      <c r="B716" s="91" t="n"/>
      <c r="C716" s="91" t="n"/>
      <c r="D716" s="94" t="str">
        <f>IF(T716=1,INDEX('ITENS_MTR'!$S$6:$S$1005,S716)&amp;"","")</f>
        <v/>
      </c>
      <c r="E716" s="94" t="str">
        <f>IF(T716=1,INDEX('ITENS_MTR'!$C$6:$C$1005,S716)&amp;"","")</f>
        <v/>
      </c>
      <c r="F716" s="98" t="n"/>
      <c r="G716" s="91" t="n"/>
      <c r="H716" s="93" t="str">
        <f>IF(N716=0,"",IF(NOT(ISNUMBER(F716)),"",IF(ISNUMBER(U716),F716*U716,"UNIDADE A CONFERIR")))</f>
        <v/>
      </c>
      <c r="I716" s="94" t="str">
        <f>IF(Q716=1,INDEX('CDFs'!$F$6:$F$505,P716)&amp;"","")</f>
        <v/>
      </c>
      <c r="J716" s="91" t="n"/>
      <c r="K716" s="91" t="n"/>
      <c r="L716" s="94" t="str">
        <f>IF(N716=0,"",IF(NOT(ISNUMBER(F716)),"Quantidade não informada",IF(F716&lt;=0,"Quantidade não positiva",IF(G716="","Unidade não informada",IF(NOT(ISNUMBER(H716)),"Unidade a conferir",IF(AC716=1,"REVISAR VÍNCULO: soma vinculada maior que a referência do item","OK"))))))</f>
        <v/>
      </c>
      <c r="M716" s="94" t="str">
        <f>IF(N716=0,"",IF(B716="","CDF não informado",IF(Q716=0,"REVISAR VÍNCULO: CDF inexistente",IF(C716="","Item não informado",IF(T716=0,"REVISAR VÍNCULO: item inexistente",IF(AND(X716=1,J716&lt;&gt;"Sim"),"REVISAR VÍNCULO: destinador diferente do MTR",IF(X716=1,"Destinador diferente do MTR (analisado)","OK")))))))</f>
        <v/>
      </c>
      <c r="N716" s="96">
        <f>IF(COUNTA(B716:C716,F716:G716,J716:K716)&gt;0,1,0)</f>
        <v>0</v>
      </c>
      <c r="O716" s="96" t="str">
        <f>IF(B716="","",TRIM(LEFT(B716,FIND(" |",B716&amp;" |")-1)))</f>
        <v/>
      </c>
      <c r="P716" s="96" t="str">
        <f>IF(O716="","",IFERROR(MATCH(O716,'CDFs'!$A$6:$A$505,0),""))</f>
        <v/>
      </c>
      <c r="Q716" s="96">
        <f>IF(P716="",0,IF(INDEX('CDFs'!$S$6:$S$505,P716)=1,1,0))</f>
        <v>0</v>
      </c>
      <c r="R716" s="96" t="str">
        <f>IF(C716="","",TRIM(LEFT(C716,FIND(" |",C716&amp;" |")-1)))</f>
        <v/>
      </c>
      <c r="S716" s="96" t="str">
        <f>IF(R716="","",IFERROR(MATCH(R716,'ITENS_MTR'!$A$6:$A$1005,0),""))</f>
        <v/>
      </c>
      <c r="T716" s="96">
        <f>IF(S716="",0,IF(INDEX('ITENS_MTR'!$R$6:$R$1005,S716)=1,1,0))</f>
        <v>0</v>
      </c>
      <c r="U716" s="96" t="str">
        <f>IF(G716="","",IFERROR(IF(ISNUMBER(INDEX(cfg_fac,MATCH(G716,cfg_units,0))),IF(INDEX(cfg_fac,MATCH(G716,cfg_units,0))&gt;0,INDEX(cfg_fac,MATCH(G716,cfg_units,0)),""),""),""))</f>
        <v/>
      </c>
      <c r="V716" s="96">
        <f>IF(AND(ISNUMBER(F716),ISNUMBER(H716)),IF(H716&gt;0,1,0),0)</f>
        <v>0</v>
      </c>
      <c r="W716" s="96" t="str">
        <f>IF(T716=1,INDEX('ITENS_MTR'!$AU$6:$AU$1005,S716)&amp;"","")</f>
        <v/>
      </c>
      <c r="X716" s="96">
        <f>IF(AND(Q716=1,T716=1,I716&lt;&gt;"",W716&lt;&gt;""),IF(I716&lt;&gt;W716,1,0),0)</f>
        <v>0</v>
      </c>
      <c r="Y716" s="96">
        <f>IF(N716=0,0,IF(OR(Q716=0,T716=0,V716=0,AND(X716=1,J716&lt;&gt;"Sim")),1,0))</f>
        <v>0</v>
      </c>
      <c r="Z716" s="96">
        <f>IF(Q716=1,INDEX('CDFs'!$W$6:$W$505,P716),0)</f>
        <v>0</v>
      </c>
      <c r="AA716" s="96">
        <f>IF(AND(N716=1,Y716=0,Z716=1,J716="Sim"),1,0)</f>
        <v>0</v>
      </c>
      <c r="AB716" s="96">
        <f>IF(AND(N716=1,O716&lt;&gt;"",D716&lt;&gt;""),IF(COUNTIFS($O$6:O716,O716,$D$6:D716,D716)=1,1,0),0)</f>
        <v>0</v>
      </c>
      <c r="AC716" s="96">
        <f>IF(T716=1,INDEX('ITENS_MTR'!$AL$6:$AL$1005,S716),0)</f>
        <v>0</v>
      </c>
    </row>
    <row r="717">
      <c r="A717" s="89" t="inlineStr">
        <is>
          <t>VIN-000712</t>
        </is>
      </c>
      <c r="B717" s="91" t="n"/>
      <c r="C717" s="91" t="n"/>
      <c r="D717" s="94" t="str">
        <f>IF(T717=1,INDEX('ITENS_MTR'!$S$6:$S$1005,S717)&amp;"","")</f>
        <v/>
      </c>
      <c r="E717" s="94" t="str">
        <f>IF(T717=1,INDEX('ITENS_MTR'!$C$6:$C$1005,S717)&amp;"","")</f>
        <v/>
      </c>
      <c r="F717" s="98" t="n"/>
      <c r="G717" s="91" t="n"/>
      <c r="H717" s="93" t="str">
        <f>IF(N717=0,"",IF(NOT(ISNUMBER(F717)),"",IF(ISNUMBER(U717),F717*U717,"UNIDADE A CONFERIR")))</f>
        <v/>
      </c>
      <c r="I717" s="94" t="str">
        <f>IF(Q717=1,INDEX('CDFs'!$F$6:$F$505,P717)&amp;"","")</f>
        <v/>
      </c>
      <c r="J717" s="91" t="n"/>
      <c r="K717" s="91" t="n"/>
      <c r="L717" s="94" t="str">
        <f>IF(N717=0,"",IF(NOT(ISNUMBER(F717)),"Quantidade não informada",IF(F717&lt;=0,"Quantidade não positiva",IF(G717="","Unidade não informada",IF(NOT(ISNUMBER(H717)),"Unidade a conferir",IF(AC717=1,"REVISAR VÍNCULO: soma vinculada maior que a referência do item","OK"))))))</f>
        <v/>
      </c>
      <c r="M717" s="94" t="str">
        <f>IF(N717=0,"",IF(B717="","CDF não informado",IF(Q717=0,"REVISAR VÍNCULO: CDF inexistente",IF(C717="","Item não informado",IF(T717=0,"REVISAR VÍNCULO: item inexistente",IF(AND(X717=1,J717&lt;&gt;"Sim"),"REVISAR VÍNCULO: destinador diferente do MTR",IF(X717=1,"Destinador diferente do MTR (analisado)","OK")))))))</f>
        <v/>
      </c>
      <c r="N717" s="96">
        <f>IF(COUNTA(B717:C717,F717:G717,J717:K717)&gt;0,1,0)</f>
        <v>0</v>
      </c>
      <c r="O717" s="96" t="str">
        <f>IF(B717="","",TRIM(LEFT(B717,FIND(" |",B717&amp;" |")-1)))</f>
        <v/>
      </c>
      <c r="P717" s="96" t="str">
        <f>IF(O717="","",IFERROR(MATCH(O717,'CDFs'!$A$6:$A$505,0),""))</f>
        <v/>
      </c>
      <c r="Q717" s="96">
        <f>IF(P717="",0,IF(INDEX('CDFs'!$S$6:$S$505,P717)=1,1,0))</f>
        <v>0</v>
      </c>
      <c r="R717" s="96" t="str">
        <f>IF(C717="","",TRIM(LEFT(C717,FIND(" |",C717&amp;" |")-1)))</f>
        <v/>
      </c>
      <c r="S717" s="96" t="str">
        <f>IF(R717="","",IFERROR(MATCH(R717,'ITENS_MTR'!$A$6:$A$1005,0),""))</f>
        <v/>
      </c>
      <c r="T717" s="96">
        <f>IF(S717="",0,IF(INDEX('ITENS_MTR'!$R$6:$R$1005,S717)=1,1,0))</f>
        <v>0</v>
      </c>
      <c r="U717" s="96" t="str">
        <f>IF(G717="","",IFERROR(IF(ISNUMBER(INDEX(cfg_fac,MATCH(G717,cfg_units,0))),IF(INDEX(cfg_fac,MATCH(G717,cfg_units,0))&gt;0,INDEX(cfg_fac,MATCH(G717,cfg_units,0)),""),""),""))</f>
        <v/>
      </c>
      <c r="V717" s="96">
        <f>IF(AND(ISNUMBER(F717),ISNUMBER(H717)),IF(H717&gt;0,1,0),0)</f>
        <v>0</v>
      </c>
      <c r="W717" s="96" t="str">
        <f>IF(T717=1,INDEX('ITENS_MTR'!$AU$6:$AU$1005,S717)&amp;"","")</f>
        <v/>
      </c>
      <c r="X717" s="96">
        <f>IF(AND(Q717=1,T717=1,I717&lt;&gt;"",W717&lt;&gt;""),IF(I717&lt;&gt;W717,1,0),0)</f>
        <v>0</v>
      </c>
      <c r="Y717" s="96">
        <f>IF(N717=0,0,IF(OR(Q717=0,T717=0,V717=0,AND(X717=1,J717&lt;&gt;"Sim")),1,0))</f>
        <v>0</v>
      </c>
      <c r="Z717" s="96">
        <f>IF(Q717=1,INDEX('CDFs'!$W$6:$W$505,P717),0)</f>
        <v>0</v>
      </c>
      <c r="AA717" s="96">
        <f>IF(AND(N717=1,Y717=0,Z717=1,J717="Sim"),1,0)</f>
        <v>0</v>
      </c>
      <c r="AB717" s="96">
        <f>IF(AND(N717=1,O717&lt;&gt;"",D717&lt;&gt;""),IF(COUNTIFS($O$6:O717,O717,$D$6:D717,D717)=1,1,0),0)</f>
        <v>0</v>
      </c>
      <c r="AC717" s="96">
        <f>IF(T717=1,INDEX('ITENS_MTR'!$AL$6:$AL$1005,S717),0)</f>
        <v>0</v>
      </c>
    </row>
    <row r="718">
      <c r="A718" s="89" t="inlineStr">
        <is>
          <t>VIN-000713</t>
        </is>
      </c>
      <c r="B718" s="91" t="n"/>
      <c r="C718" s="91" t="n"/>
      <c r="D718" s="94" t="str">
        <f>IF(T718=1,INDEX('ITENS_MTR'!$S$6:$S$1005,S718)&amp;"","")</f>
        <v/>
      </c>
      <c r="E718" s="94" t="str">
        <f>IF(T718=1,INDEX('ITENS_MTR'!$C$6:$C$1005,S718)&amp;"","")</f>
        <v/>
      </c>
      <c r="F718" s="98" t="n"/>
      <c r="G718" s="91" t="n"/>
      <c r="H718" s="93" t="str">
        <f>IF(N718=0,"",IF(NOT(ISNUMBER(F718)),"",IF(ISNUMBER(U718),F718*U718,"UNIDADE A CONFERIR")))</f>
        <v/>
      </c>
      <c r="I718" s="94" t="str">
        <f>IF(Q718=1,INDEX('CDFs'!$F$6:$F$505,P718)&amp;"","")</f>
        <v/>
      </c>
      <c r="J718" s="91" t="n"/>
      <c r="K718" s="91" t="n"/>
      <c r="L718" s="94" t="str">
        <f>IF(N718=0,"",IF(NOT(ISNUMBER(F718)),"Quantidade não informada",IF(F718&lt;=0,"Quantidade não positiva",IF(G718="","Unidade não informada",IF(NOT(ISNUMBER(H718)),"Unidade a conferir",IF(AC718=1,"REVISAR VÍNCULO: soma vinculada maior que a referência do item","OK"))))))</f>
        <v/>
      </c>
      <c r="M718" s="94" t="str">
        <f>IF(N718=0,"",IF(B718="","CDF não informado",IF(Q718=0,"REVISAR VÍNCULO: CDF inexistente",IF(C718="","Item não informado",IF(T718=0,"REVISAR VÍNCULO: item inexistente",IF(AND(X718=1,J718&lt;&gt;"Sim"),"REVISAR VÍNCULO: destinador diferente do MTR",IF(X718=1,"Destinador diferente do MTR (analisado)","OK")))))))</f>
        <v/>
      </c>
      <c r="N718" s="96">
        <f>IF(COUNTA(B718:C718,F718:G718,J718:K718)&gt;0,1,0)</f>
        <v>0</v>
      </c>
      <c r="O718" s="96" t="str">
        <f>IF(B718="","",TRIM(LEFT(B718,FIND(" |",B718&amp;" |")-1)))</f>
        <v/>
      </c>
      <c r="P718" s="96" t="str">
        <f>IF(O718="","",IFERROR(MATCH(O718,'CDFs'!$A$6:$A$505,0),""))</f>
        <v/>
      </c>
      <c r="Q718" s="96">
        <f>IF(P718="",0,IF(INDEX('CDFs'!$S$6:$S$505,P718)=1,1,0))</f>
        <v>0</v>
      </c>
      <c r="R718" s="96" t="str">
        <f>IF(C718="","",TRIM(LEFT(C718,FIND(" |",C718&amp;" |")-1)))</f>
        <v/>
      </c>
      <c r="S718" s="96" t="str">
        <f>IF(R718="","",IFERROR(MATCH(R718,'ITENS_MTR'!$A$6:$A$1005,0),""))</f>
        <v/>
      </c>
      <c r="T718" s="96">
        <f>IF(S718="",0,IF(INDEX('ITENS_MTR'!$R$6:$R$1005,S718)=1,1,0))</f>
        <v>0</v>
      </c>
      <c r="U718" s="96" t="str">
        <f>IF(G718="","",IFERROR(IF(ISNUMBER(INDEX(cfg_fac,MATCH(G718,cfg_units,0))),IF(INDEX(cfg_fac,MATCH(G718,cfg_units,0))&gt;0,INDEX(cfg_fac,MATCH(G718,cfg_units,0)),""),""),""))</f>
        <v/>
      </c>
      <c r="V718" s="96">
        <f>IF(AND(ISNUMBER(F718),ISNUMBER(H718)),IF(H718&gt;0,1,0),0)</f>
        <v>0</v>
      </c>
      <c r="W718" s="96" t="str">
        <f>IF(T718=1,INDEX('ITENS_MTR'!$AU$6:$AU$1005,S718)&amp;"","")</f>
        <v/>
      </c>
      <c r="X718" s="96">
        <f>IF(AND(Q718=1,T718=1,I718&lt;&gt;"",W718&lt;&gt;""),IF(I718&lt;&gt;W718,1,0),0)</f>
        <v>0</v>
      </c>
      <c r="Y718" s="96">
        <f>IF(N718=0,0,IF(OR(Q718=0,T718=0,V718=0,AND(X718=1,J718&lt;&gt;"Sim")),1,0))</f>
        <v>0</v>
      </c>
      <c r="Z718" s="96">
        <f>IF(Q718=1,INDEX('CDFs'!$W$6:$W$505,P718),0)</f>
        <v>0</v>
      </c>
      <c r="AA718" s="96">
        <f>IF(AND(N718=1,Y718=0,Z718=1,J718="Sim"),1,0)</f>
        <v>0</v>
      </c>
      <c r="AB718" s="96">
        <f>IF(AND(N718=1,O718&lt;&gt;"",D718&lt;&gt;""),IF(COUNTIFS($O$6:O718,O718,$D$6:D718,D718)=1,1,0),0)</f>
        <v>0</v>
      </c>
      <c r="AC718" s="96">
        <f>IF(T718=1,INDEX('ITENS_MTR'!$AL$6:$AL$1005,S718),0)</f>
        <v>0</v>
      </c>
    </row>
    <row r="719">
      <c r="A719" s="89" t="inlineStr">
        <is>
          <t>VIN-000714</t>
        </is>
      </c>
      <c r="B719" s="91" t="n"/>
      <c r="C719" s="91" t="n"/>
      <c r="D719" s="94" t="str">
        <f>IF(T719=1,INDEX('ITENS_MTR'!$S$6:$S$1005,S719)&amp;"","")</f>
        <v/>
      </c>
      <c r="E719" s="94" t="str">
        <f>IF(T719=1,INDEX('ITENS_MTR'!$C$6:$C$1005,S719)&amp;"","")</f>
        <v/>
      </c>
      <c r="F719" s="98" t="n"/>
      <c r="G719" s="91" t="n"/>
      <c r="H719" s="93" t="str">
        <f>IF(N719=0,"",IF(NOT(ISNUMBER(F719)),"",IF(ISNUMBER(U719),F719*U719,"UNIDADE A CONFERIR")))</f>
        <v/>
      </c>
      <c r="I719" s="94" t="str">
        <f>IF(Q719=1,INDEX('CDFs'!$F$6:$F$505,P719)&amp;"","")</f>
        <v/>
      </c>
      <c r="J719" s="91" t="n"/>
      <c r="K719" s="91" t="n"/>
      <c r="L719" s="94" t="str">
        <f>IF(N719=0,"",IF(NOT(ISNUMBER(F719)),"Quantidade não informada",IF(F719&lt;=0,"Quantidade não positiva",IF(G719="","Unidade não informada",IF(NOT(ISNUMBER(H719)),"Unidade a conferir",IF(AC719=1,"REVISAR VÍNCULO: soma vinculada maior que a referência do item","OK"))))))</f>
        <v/>
      </c>
      <c r="M719" s="94" t="str">
        <f>IF(N719=0,"",IF(B719="","CDF não informado",IF(Q719=0,"REVISAR VÍNCULO: CDF inexistente",IF(C719="","Item não informado",IF(T719=0,"REVISAR VÍNCULO: item inexistente",IF(AND(X719=1,J719&lt;&gt;"Sim"),"REVISAR VÍNCULO: destinador diferente do MTR",IF(X719=1,"Destinador diferente do MTR (analisado)","OK")))))))</f>
        <v/>
      </c>
      <c r="N719" s="96">
        <f>IF(COUNTA(B719:C719,F719:G719,J719:K719)&gt;0,1,0)</f>
        <v>0</v>
      </c>
      <c r="O719" s="96" t="str">
        <f>IF(B719="","",TRIM(LEFT(B719,FIND(" |",B719&amp;" |")-1)))</f>
        <v/>
      </c>
      <c r="P719" s="96" t="str">
        <f>IF(O719="","",IFERROR(MATCH(O719,'CDFs'!$A$6:$A$505,0),""))</f>
        <v/>
      </c>
      <c r="Q719" s="96">
        <f>IF(P719="",0,IF(INDEX('CDFs'!$S$6:$S$505,P719)=1,1,0))</f>
        <v>0</v>
      </c>
      <c r="R719" s="96" t="str">
        <f>IF(C719="","",TRIM(LEFT(C719,FIND(" |",C719&amp;" |")-1)))</f>
        <v/>
      </c>
      <c r="S719" s="96" t="str">
        <f>IF(R719="","",IFERROR(MATCH(R719,'ITENS_MTR'!$A$6:$A$1005,0),""))</f>
        <v/>
      </c>
      <c r="T719" s="96">
        <f>IF(S719="",0,IF(INDEX('ITENS_MTR'!$R$6:$R$1005,S719)=1,1,0))</f>
        <v>0</v>
      </c>
      <c r="U719" s="96" t="str">
        <f>IF(G719="","",IFERROR(IF(ISNUMBER(INDEX(cfg_fac,MATCH(G719,cfg_units,0))),IF(INDEX(cfg_fac,MATCH(G719,cfg_units,0))&gt;0,INDEX(cfg_fac,MATCH(G719,cfg_units,0)),""),""),""))</f>
        <v/>
      </c>
      <c r="V719" s="96">
        <f>IF(AND(ISNUMBER(F719),ISNUMBER(H719)),IF(H719&gt;0,1,0),0)</f>
        <v>0</v>
      </c>
      <c r="W719" s="96" t="str">
        <f>IF(T719=1,INDEX('ITENS_MTR'!$AU$6:$AU$1005,S719)&amp;"","")</f>
        <v/>
      </c>
      <c r="X719" s="96">
        <f>IF(AND(Q719=1,T719=1,I719&lt;&gt;"",W719&lt;&gt;""),IF(I719&lt;&gt;W719,1,0),0)</f>
        <v>0</v>
      </c>
      <c r="Y719" s="96">
        <f>IF(N719=0,0,IF(OR(Q719=0,T719=0,V719=0,AND(X719=1,J719&lt;&gt;"Sim")),1,0))</f>
        <v>0</v>
      </c>
      <c r="Z719" s="96">
        <f>IF(Q719=1,INDEX('CDFs'!$W$6:$W$505,P719),0)</f>
        <v>0</v>
      </c>
      <c r="AA719" s="96">
        <f>IF(AND(N719=1,Y719=0,Z719=1,J719="Sim"),1,0)</f>
        <v>0</v>
      </c>
      <c r="AB719" s="96">
        <f>IF(AND(N719=1,O719&lt;&gt;"",D719&lt;&gt;""),IF(COUNTIFS($O$6:O719,O719,$D$6:D719,D719)=1,1,0),0)</f>
        <v>0</v>
      </c>
      <c r="AC719" s="96">
        <f>IF(T719=1,INDEX('ITENS_MTR'!$AL$6:$AL$1005,S719),0)</f>
        <v>0</v>
      </c>
    </row>
    <row r="720">
      <c r="A720" s="89" t="inlineStr">
        <is>
          <t>VIN-000715</t>
        </is>
      </c>
      <c r="B720" s="91" t="n"/>
      <c r="C720" s="91" t="n"/>
      <c r="D720" s="94" t="str">
        <f>IF(T720=1,INDEX('ITENS_MTR'!$S$6:$S$1005,S720)&amp;"","")</f>
        <v/>
      </c>
      <c r="E720" s="94" t="str">
        <f>IF(T720=1,INDEX('ITENS_MTR'!$C$6:$C$1005,S720)&amp;"","")</f>
        <v/>
      </c>
      <c r="F720" s="98" t="n"/>
      <c r="G720" s="91" t="n"/>
      <c r="H720" s="93" t="str">
        <f>IF(N720=0,"",IF(NOT(ISNUMBER(F720)),"",IF(ISNUMBER(U720),F720*U720,"UNIDADE A CONFERIR")))</f>
        <v/>
      </c>
      <c r="I720" s="94" t="str">
        <f>IF(Q720=1,INDEX('CDFs'!$F$6:$F$505,P720)&amp;"","")</f>
        <v/>
      </c>
      <c r="J720" s="91" t="n"/>
      <c r="K720" s="91" t="n"/>
      <c r="L720" s="94" t="str">
        <f>IF(N720=0,"",IF(NOT(ISNUMBER(F720)),"Quantidade não informada",IF(F720&lt;=0,"Quantidade não positiva",IF(G720="","Unidade não informada",IF(NOT(ISNUMBER(H720)),"Unidade a conferir",IF(AC720=1,"REVISAR VÍNCULO: soma vinculada maior que a referência do item","OK"))))))</f>
        <v/>
      </c>
      <c r="M720" s="94" t="str">
        <f>IF(N720=0,"",IF(B720="","CDF não informado",IF(Q720=0,"REVISAR VÍNCULO: CDF inexistente",IF(C720="","Item não informado",IF(T720=0,"REVISAR VÍNCULO: item inexistente",IF(AND(X720=1,J720&lt;&gt;"Sim"),"REVISAR VÍNCULO: destinador diferente do MTR",IF(X720=1,"Destinador diferente do MTR (analisado)","OK")))))))</f>
        <v/>
      </c>
      <c r="N720" s="96">
        <f>IF(COUNTA(B720:C720,F720:G720,J720:K720)&gt;0,1,0)</f>
        <v>0</v>
      </c>
      <c r="O720" s="96" t="str">
        <f>IF(B720="","",TRIM(LEFT(B720,FIND(" |",B720&amp;" |")-1)))</f>
        <v/>
      </c>
      <c r="P720" s="96" t="str">
        <f>IF(O720="","",IFERROR(MATCH(O720,'CDFs'!$A$6:$A$505,0),""))</f>
        <v/>
      </c>
      <c r="Q720" s="96">
        <f>IF(P720="",0,IF(INDEX('CDFs'!$S$6:$S$505,P720)=1,1,0))</f>
        <v>0</v>
      </c>
      <c r="R720" s="96" t="str">
        <f>IF(C720="","",TRIM(LEFT(C720,FIND(" |",C720&amp;" |")-1)))</f>
        <v/>
      </c>
      <c r="S720" s="96" t="str">
        <f>IF(R720="","",IFERROR(MATCH(R720,'ITENS_MTR'!$A$6:$A$1005,0),""))</f>
        <v/>
      </c>
      <c r="T720" s="96">
        <f>IF(S720="",0,IF(INDEX('ITENS_MTR'!$R$6:$R$1005,S720)=1,1,0))</f>
        <v>0</v>
      </c>
      <c r="U720" s="96" t="str">
        <f>IF(G720="","",IFERROR(IF(ISNUMBER(INDEX(cfg_fac,MATCH(G720,cfg_units,0))),IF(INDEX(cfg_fac,MATCH(G720,cfg_units,0))&gt;0,INDEX(cfg_fac,MATCH(G720,cfg_units,0)),""),""),""))</f>
        <v/>
      </c>
      <c r="V720" s="96">
        <f>IF(AND(ISNUMBER(F720),ISNUMBER(H720)),IF(H720&gt;0,1,0),0)</f>
        <v>0</v>
      </c>
      <c r="W720" s="96" t="str">
        <f>IF(T720=1,INDEX('ITENS_MTR'!$AU$6:$AU$1005,S720)&amp;"","")</f>
        <v/>
      </c>
      <c r="X720" s="96">
        <f>IF(AND(Q720=1,T720=1,I720&lt;&gt;"",W720&lt;&gt;""),IF(I720&lt;&gt;W720,1,0),0)</f>
        <v>0</v>
      </c>
      <c r="Y720" s="96">
        <f>IF(N720=0,0,IF(OR(Q720=0,T720=0,V720=0,AND(X720=1,J720&lt;&gt;"Sim")),1,0))</f>
        <v>0</v>
      </c>
      <c r="Z720" s="96">
        <f>IF(Q720=1,INDEX('CDFs'!$W$6:$W$505,P720),0)</f>
        <v>0</v>
      </c>
      <c r="AA720" s="96">
        <f>IF(AND(N720=1,Y720=0,Z720=1,J720="Sim"),1,0)</f>
        <v>0</v>
      </c>
      <c r="AB720" s="96">
        <f>IF(AND(N720=1,O720&lt;&gt;"",D720&lt;&gt;""),IF(COUNTIFS($O$6:O720,O720,$D$6:D720,D720)=1,1,0),0)</f>
        <v>0</v>
      </c>
      <c r="AC720" s="96">
        <f>IF(T720=1,INDEX('ITENS_MTR'!$AL$6:$AL$1005,S720),0)</f>
        <v>0</v>
      </c>
    </row>
    <row r="721">
      <c r="A721" s="89" t="inlineStr">
        <is>
          <t>VIN-000716</t>
        </is>
      </c>
      <c r="B721" s="91" t="n"/>
      <c r="C721" s="91" t="n"/>
      <c r="D721" s="94" t="str">
        <f>IF(T721=1,INDEX('ITENS_MTR'!$S$6:$S$1005,S721)&amp;"","")</f>
        <v/>
      </c>
      <c r="E721" s="94" t="str">
        <f>IF(T721=1,INDEX('ITENS_MTR'!$C$6:$C$1005,S721)&amp;"","")</f>
        <v/>
      </c>
      <c r="F721" s="98" t="n"/>
      <c r="G721" s="91" t="n"/>
      <c r="H721" s="93" t="str">
        <f>IF(N721=0,"",IF(NOT(ISNUMBER(F721)),"",IF(ISNUMBER(U721),F721*U721,"UNIDADE A CONFERIR")))</f>
        <v/>
      </c>
      <c r="I721" s="94" t="str">
        <f>IF(Q721=1,INDEX('CDFs'!$F$6:$F$505,P721)&amp;"","")</f>
        <v/>
      </c>
      <c r="J721" s="91" t="n"/>
      <c r="K721" s="91" t="n"/>
      <c r="L721" s="94" t="str">
        <f>IF(N721=0,"",IF(NOT(ISNUMBER(F721)),"Quantidade não informada",IF(F721&lt;=0,"Quantidade não positiva",IF(G721="","Unidade não informada",IF(NOT(ISNUMBER(H721)),"Unidade a conferir",IF(AC721=1,"REVISAR VÍNCULO: soma vinculada maior que a referência do item","OK"))))))</f>
        <v/>
      </c>
      <c r="M721" s="94" t="str">
        <f>IF(N721=0,"",IF(B721="","CDF não informado",IF(Q721=0,"REVISAR VÍNCULO: CDF inexistente",IF(C721="","Item não informado",IF(T721=0,"REVISAR VÍNCULO: item inexistente",IF(AND(X721=1,J721&lt;&gt;"Sim"),"REVISAR VÍNCULO: destinador diferente do MTR",IF(X721=1,"Destinador diferente do MTR (analisado)","OK")))))))</f>
        <v/>
      </c>
      <c r="N721" s="96">
        <f>IF(COUNTA(B721:C721,F721:G721,J721:K721)&gt;0,1,0)</f>
        <v>0</v>
      </c>
      <c r="O721" s="96" t="str">
        <f>IF(B721="","",TRIM(LEFT(B721,FIND(" |",B721&amp;" |")-1)))</f>
        <v/>
      </c>
      <c r="P721" s="96" t="str">
        <f>IF(O721="","",IFERROR(MATCH(O721,'CDFs'!$A$6:$A$505,0),""))</f>
        <v/>
      </c>
      <c r="Q721" s="96">
        <f>IF(P721="",0,IF(INDEX('CDFs'!$S$6:$S$505,P721)=1,1,0))</f>
        <v>0</v>
      </c>
      <c r="R721" s="96" t="str">
        <f>IF(C721="","",TRIM(LEFT(C721,FIND(" |",C721&amp;" |")-1)))</f>
        <v/>
      </c>
      <c r="S721" s="96" t="str">
        <f>IF(R721="","",IFERROR(MATCH(R721,'ITENS_MTR'!$A$6:$A$1005,0),""))</f>
        <v/>
      </c>
      <c r="T721" s="96">
        <f>IF(S721="",0,IF(INDEX('ITENS_MTR'!$R$6:$R$1005,S721)=1,1,0))</f>
        <v>0</v>
      </c>
      <c r="U721" s="96" t="str">
        <f>IF(G721="","",IFERROR(IF(ISNUMBER(INDEX(cfg_fac,MATCH(G721,cfg_units,0))),IF(INDEX(cfg_fac,MATCH(G721,cfg_units,0))&gt;0,INDEX(cfg_fac,MATCH(G721,cfg_units,0)),""),""),""))</f>
        <v/>
      </c>
      <c r="V721" s="96">
        <f>IF(AND(ISNUMBER(F721),ISNUMBER(H721)),IF(H721&gt;0,1,0),0)</f>
        <v>0</v>
      </c>
      <c r="W721" s="96" t="str">
        <f>IF(T721=1,INDEX('ITENS_MTR'!$AU$6:$AU$1005,S721)&amp;"","")</f>
        <v/>
      </c>
      <c r="X721" s="96">
        <f>IF(AND(Q721=1,T721=1,I721&lt;&gt;"",W721&lt;&gt;""),IF(I721&lt;&gt;W721,1,0),0)</f>
        <v>0</v>
      </c>
      <c r="Y721" s="96">
        <f>IF(N721=0,0,IF(OR(Q721=0,T721=0,V721=0,AND(X721=1,J721&lt;&gt;"Sim")),1,0))</f>
        <v>0</v>
      </c>
      <c r="Z721" s="96">
        <f>IF(Q721=1,INDEX('CDFs'!$W$6:$W$505,P721),0)</f>
        <v>0</v>
      </c>
      <c r="AA721" s="96">
        <f>IF(AND(N721=1,Y721=0,Z721=1,J721="Sim"),1,0)</f>
        <v>0</v>
      </c>
      <c r="AB721" s="96">
        <f>IF(AND(N721=1,O721&lt;&gt;"",D721&lt;&gt;""),IF(COUNTIFS($O$6:O721,O721,$D$6:D721,D721)=1,1,0),0)</f>
        <v>0</v>
      </c>
      <c r="AC721" s="96">
        <f>IF(T721=1,INDEX('ITENS_MTR'!$AL$6:$AL$1005,S721),0)</f>
        <v>0</v>
      </c>
    </row>
    <row r="722">
      <c r="A722" s="89" t="inlineStr">
        <is>
          <t>VIN-000717</t>
        </is>
      </c>
      <c r="B722" s="91" t="n"/>
      <c r="C722" s="91" t="n"/>
      <c r="D722" s="94" t="str">
        <f>IF(T722=1,INDEX('ITENS_MTR'!$S$6:$S$1005,S722)&amp;"","")</f>
        <v/>
      </c>
      <c r="E722" s="94" t="str">
        <f>IF(T722=1,INDEX('ITENS_MTR'!$C$6:$C$1005,S722)&amp;"","")</f>
        <v/>
      </c>
      <c r="F722" s="98" t="n"/>
      <c r="G722" s="91" t="n"/>
      <c r="H722" s="93" t="str">
        <f>IF(N722=0,"",IF(NOT(ISNUMBER(F722)),"",IF(ISNUMBER(U722),F722*U722,"UNIDADE A CONFERIR")))</f>
        <v/>
      </c>
      <c r="I722" s="94" t="str">
        <f>IF(Q722=1,INDEX('CDFs'!$F$6:$F$505,P722)&amp;"","")</f>
        <v/>
      </c>
      <c r="J722" s="91" t="n"/>
      <c r="K722" s="91" t="n"/>
      <c r="L722" s="94" t="str">
        <f>IF(N722=0,"",IF(NOT(ISNUMBER(F722)),"Quantidade não informada",IF(F722&lt;=0,"Quantidade não positiva",IF(G722="","Unidade não informada",IF(NOT(ISNUMBER(H722)),"Unidade a conferir",IF(AC722=1,"REVISAR VÍNCULO: soma vinculada maior que a referência do item","OK"))))))</f>
        <v/>
      </c>
      <c r="M722" s="94" t="str">
        <f>IF(N722=0,"",IF(B722="","CDF não informado",IF(Q722=0,"REVISAR VÍNCULO: CDF inexistente",IF(C722="","Item não informado",IF(T722=0,"REVISAR VÍNCULO: item inexistente",IF(AND(X722=1,J722&lt;&gt;"Sim"),"REVISAR VÍNCULO: destinador diferente do MTR",IF(X722=1,"Destinador diferente do MTR (analisado)","OK")))))))</f>
        <v/>
      </c>
      <c r="N722" s="96">
        <f>IF(COUNTA(B722:C722,F722:G722,J722:K722)&gt;0,1,0)</f>
        <v>0</v>
      </c>
      <c r="O722" s="96" t="str">
        <f>IF(B722="","",TRIM(LEFT(B722,FIND(" |",B722&amp;" |")-1)))</f>
        <v/>
      </c>
      <c r="P722" s="96" t="str">
        <f>IF(O722="","",IFERROR(MATCH(O722,'CDFs'!$A$6:$A$505,0),""))</f>
        <v/>
      </c>
      <c r="Q722" s="96">
        <f>IF(P722="",0,IF(INDEX('CDFs'!$S$6:$S$505,P722)=1,1,0))</f>
        <v>0</v>
      </c>
      <c r="R722" s="96" t="str">
        <f>IF(C722="","",TRIM(LEFT(C722,FIND(" |",C722&amp;" |")-1)))</f>
        <v/>
      </c>
      <c r="S722" s="96" t="str">
        <f>IF(R722="","",IFERROR(MATCH(R722,'ITENS_MTR'!$A$6:$A$1005,0),""))</f>
        <v/>
      </c>
      <c r="T722" s="96">
        <f>IF(S722="",0,IF(INDEX('ITENS_MTR'!$R$6:$R$1005,S722)=1,1,0))</f>
        <v>0</v>
      </c>
      <c r="U722" s="96" t="str">
        <f>IF(G722="","",IFERROR(IF(ISNUMBER(INDEX(cfg_fac,MATCH(G722,cfg_units,0))),IF(INDEX(cfg_fac,MATCH(G722,cfg_units,0))&gt;0,INDEX(cfg_fac,MATCH(G722,cfg_units,0)),""),""),""))</f>
        <v/>
      </c>
      <c r="V722" s="96">
        <f>IF(AND(ISNUMBER(F722),ISNUMBER(H722)),IF(H722&gt;0,1,0),0)</f>
        <v>0</v>
      </c>
      <c r="W722" s="96" t="str">
        <f>IF(T722=1,INDEX('ITENS_MTR'!$AU$6:$AU$1005,S722)&amp;"","")</f>
        <v/>
      </c>
      <c r="X722" s="96">
        <f>IF(AND(Q722=1,T722=1,I722&lt;&gt;"",W722&lt;&gt;""),IF(I722&lt;&gt;W722,1,0),0)</f>
        <v>0</v>
      </c>
      <c r="Y722" s="96">
        <f>IF(N722=0,0,IF(OR(Q722=0,T722=0,V722=0,AND(X722=1,J722&lt;&gt;"Sim")),1,0))</f>
        <v>0</v>
      </c>
      <c r="Z722" s="96">
        <f>IF(Q722=1,INDEX('CDFs'!$W$6:$W$505,P722),0)</f>
        <v>0</v>
      </c>
      <c r="AA722" s="96">
        <f>IF(AND(N722=1,Y722=0,Z722=1,J722="Sim"),1,0)</f>
        <v>0</v>
      </c>
      <c r="AB722" s="96">
        <f>IF(AND(N722=1,O722&lt;&gt;"",D722&lt;&gt;""),IF(COUNTIFS($O$6:O722,O722,$D$6:D722,D722)=1,1,0),0)</f>
        <v>0</v>
      </c>
      <c r="AC722" s="96">
        <f>IF(T722=1,INDEX('ITENS_MTR'!$AL$6:$AL$1005,S722),0)</f>
        <v>0</v>
      </c>
    </row>
    <row r="723">
      <c r="A723" s="89" t="inlineStr">
        <is>
          <t>VIN-000718</t>
        </is>
      </c>
      <c r="B723" s="91" t="n"/>
      <c r="C723" s="91" t="n"/>
      <c r="D723" s="94" t="str">
        <f>IF(T723=1,INDEX('ITENS_MTR'!$S$6:$S$1005,S723)&amp;"","")</f>
        <v/>
      </c>
      <c r="E723" s="94" t="str">
        <f>IF(T723=1,INDEX('ITENS_MTR'!$C$6:$C$1005,S723)&amp;"","")</f>
        <v/>
      </c>
      <c r="F723" s="98" t="n"/>
      <c r="G723" s="91" t="n"/>
      <c r="H723" s="93" t="str">
        <f>IF(N723=0,"",IF(NOT(ISNUMBER(F723)),"",IF(ISNUMBER(U723),F723*U723,"UNIDADE A CONFERIR")))</f>
        <v/>
      </c>
      <c r="I723" s="94" t="str">
        <f>IF(Q723=1,INDEX('CDFs'!$F$6:$F$505,P723)&amp;"","")</f>
        <v/>
      </c>
      <c r="J723" s="91" t="n"/>
      <c r="K723" s="91" t="n"/>
      <c r="L723" s="94" t="str">
        <f>IF(N723=0,"",IF(NOT(ISNUMBER(F723)),"Quantidade não informada",IF(F723&lt;=0,"Quantidade não positiva",IF(G723="","Unidade não informada",IF(NOT(ISNUMBER(H723)),"Unidade a conferir",IF(AC723=1,"REVISAR VÍNCULO: soma vinculada maior que a referência do item","OK"))))))</f>
        <v/>
      </c>
      <c r="M723" s="94" t="str">
        <f>IF(N723=0,"",IF(B723="","CDF não informado",IF(Q723=0,"REVISAR VÍNCULO: CDF inexistente",IF(C723="","Item não informado",IF(T723=0,"REVISAR VÍNCULO: item inexistente",IF(AND(X723=1,J723&lt;&gt;"Sim"),"REVISAR VÍNCULO: destinador diferente do MTR",IF(X723=1,"Destinador diferente do MTR (analisado)","OK")))))))</f>
        <v/>
      </c>
      <c r="N723" s="96">
        <f>IF(COUNTA(B723:C723,F723:G723,J723:K723)&gt;0,1,0)</f>
        <v>0</v>
      </c>
      <c r="O723" s="96" t="str">
        <f>IF(B723="","",TRIM(LEFT(B723,FIND(" |",B723&amp;" |")-1)))</f>
        <v/>
      </c>
      <c r="P723" s="96" t="str">
        <f>IF(O723="","",IFERROR(MATCH(O723,'CDFs'!$A$6:$A$505,0),""))</f>
        <v/>
      </c>
      <c r="Q723" s="96">
        <f>IF(P723="",0,IF(INDEX('CDFs'!$S$6:$S$505,P723)=1,1,0))</f>
        <v>0</v>
      </c>
      <c r="R723" s="96" t="str">
        <f>IF(C723="","",TRIM(LEFT(C723,FIND(" |",C723&amp;" |")-1)))</f>
        <v/>
      </c>
      <c r="S723" s="96" t="str">
        <f>IF(R723="","",IFERROR(MATCH(R723,'ITENS_MTR'!$A$6:$A$1005,0),""))</f>
        <v/>
      </c>
      <c r="T723" s="96">
        <f>IF(S723="",0,IF(INDEX('ITENS_MTR'!$R$6:$R$1005,S723)=1,1,0))</f>
        <v>0</v>
      </c>
      <c r="U723" s="96" t="str">
        <f>IF(G723="","",IFERROR(IF(ISNUMBER(INDEX(cfg_fac,MATCH(G723,cfg_units,0))),IF(INDEX(cfg_fac,MATCH(G723,cfg_units,0))&gt;0,INDEX(cfg_fac,MATCH(G723,cfg_units,0)),""),""),""))</f>
        <v/>
      </c>
      <c r="V723" s="96">
        <f>IF(AND(ISNUMBER(F723),ISNUMBER(H723)),IF(H723&gt;0,1,0),0)</f>
        <v>0</v>
      </c>
      <c r="W723" s="96" t="str">
        <f>IF(T723=1,INDEX('ITENS_MTR'!$AU$6:$AU$1005,S723)&amp;"","")</f>
        <v/>
      </c>
      <c r="X723" s="96">
        <f>IF(AND(Q723=1,T723=1,I723&lt;&gt;"",W723&lt;&gt;""),IF(I723&lt;&gt;W723,1,0),0)</f>
        <v>0</v>
      </c>
      <c r="Y723" s="96">
        <f>IF(N723=0,0,IF(OR(Q723=0,T723=0,V723=0,AND(X723=1,J723&lt;&gt;"Sim")),1,0))</f>
        <v>0</v>
      </c>
      <c r="Z723" s="96">
        <f>IF(Q723=1,INDEX('CDFs'!$W$6:$W$505,P723),0)</f>
        <v>0</v>
      </c>
      <c r="AA723" s="96">
        <f>IF(AND(N723=1,Y723=0,Z723=1,J723="Sim"),1,0)</f>
        <v>0</v>
      </c>
      <c r="AB723" s="96">
        <f>IF(AND(N723=1,O723&lt;&gt;"",D723&lt;&gt;""),IF(COUNTIFS($O$6:O723,O723,$D$6:D723,D723)=1,1,0),0)</f>
        <v>0</v>
      </c>
      <c r="AC723" s="96">
        <f>IF(T723=1,INDEX('ITENS_MTR'!$AL$6:$AL$1005,S723),0)</f>
        <v>0</v>
      </c>
    </row>
    <row r="724">
      <c r="A724" s="89" t="inlineStr">
        <is>
          <t>VIN-000719</t>
        </is>
      </c>
      <c r="B724" s="91" t="n"/>
      <c r="C724" s="91" t="n"/>
      <c r="D724" s="94" t="str">
        <f>IF(T724=1,INDEX('ITENS_MTR'!$S$6:$S$1005,S724)&amp;"","")</f>
        <v/>
      </c>
      <c r="E724" s="94" t="str">
        <f>IF(T724=1,INDEX('ITENS_MTR'!$C$6:$C$1005,S724)&amp;"","")</f>
        <v/>
      </c>
      <c r="F724" s="98" t="n"/>
      <c r="G724" s="91" t="n"/>
      <c r="H724" s="93" t="str">
        <f>IF(N724=0,"",IF(NOT(ISNUMBER(F724)),"",IF(ISNUMBER(U724),F724*U724,"UNIDADE A CONFERIR")))</f>
        <v/>
      </c>
      <c r="I724" s="94" t="str">
        <f>IF(Q724=1,INDEX('CDFs'!$F$6:$F$505,P724)&amp;"","")</f>
        <v/>
      </c>
      <c r="J724" s="91" t="n"/>
      <c r="K724" s="91" t="n"/>
      <c r="L724" s="94" t="str">
        <f>IF(N724=0,"",IF(NOT(ISNUMBER(F724)),"Quantidade não informada",IF(F724&lt;=0,"Quantidade não positiva",IF(G724="","Unidade não informada",IF(NOT(ISNUMBER(H724)),"Unidade a conferir",IF(AC724=1,"REVISAR VÍNCULO: soma vinculada maior que a referência do item","OK"))))))</f>
        <v/>
      </c>
      <c r="M724" s="94" t="str">
        <f>IF(N724=0,"",IF(B724="","CDF não informado",IF(Q724=0,"REVISAR VÍNCULO: CDF inexistente",IF(C724="","Item não informado",IF(T724=0,"REVISAR VÍNCULO: item inexistente",IF(AND(X724=1,J724&lt;&gt;"Sim"),"REVISAR VÍNCULO: destinador diferente do MTR",IF(X724=1,"Destinador diferente do MTR (analisado)","OK")))))))</f>
        <v/>
      </c>
      <c r="N724" s="96">
        <f>IF(COUNTA(B724:C724,F724:G724,J724:K724)&gt;0,1,0)</f>
        <v>0</v>
      </c>
      <c r="O724" s="96" t="str">
        <f>IF(B724="","",TRIM(LEFT(B724,FIND(" |",B724&amp;" |")-1)))</f>
        <v/>
      </c>
      <c r="P724" s="96" t="str">
        <f>IF(O724="","",IFERROR(MATCH(O724,'CDFs'!$A$6:$A$505,0),""))</f>
        <v/>
      </c>
      <c r="Q724" s="96">
        <f>IF(P724="",0,IF(INDEX('CDFs'!$S$6:$S$505,P724)=1,1,0))</f>
        <v>0</v>
      </c>
      <c r="R724" s="96" t="str">
        <f>IF(C724="","",TRIM(LEFT(C724,FIND(" |",C724&amp;" |")-1)))</f>
        <v/>
      </c>
      <c r="S724" s="96" t="str">
        <f>IF(R724="","",IFERROR(MATCH(R724,'ITENS_MTR'!$A$6:$A$1005,0),""))</f>
        <v/>
      </c>
      <c r="T724" s="96">
        <f>IF(S724="",0,IF(INDEX('ITENS_MTR'!$R$6:$R$1005,S724)=1,1,0))</f>
        <v>0</v>
      </c>
      <c r="U724" s="96" t="str">
        <f>IF(G724="","",IFERROR(IF(ISNUMBER(INDEX(cfg_fac,MATCH(G724,cfg_units,0))),IF(INDEX(cfg_fac,MATCH(G724,cfg_units,0))&gt;0,INDEX(cfg_fac,MATCH(G724,cfg_units,0)),""),""),""))</f>
        <v/>
      </c>
      <c r="V724" s="96">
        <f>IF(AND(ISNUMBER(F724),ISNUMBER(H724)),IF(H724&gt;0,1,0),0)</f>
        <v>0</v>
      </c>
      <c r="W724" s="96" t="str">
        <f>IF(T724=1,INDEX('ITENS_MTR'!$AU$6:$AU$1005,S724)&amp;"","")</f>
        <v/>
      </c>
      <c r="X724" s="96">
        <f>IF(AND(Q724=1,T724=1,I724&lt;&gt;"",W724&lt;&gt;""),IF(I724&lt;&gt;W724,1,0),0)</f>
        <v>0</v>
      </c>
      <c r="Y724" s="96">
        <f>IF(N724=0,0,IF(OR(Q724=0,T724=0,V724=0,AND(X724=1,J724&lt;&gt;"Sim")),1,0))</f>
        <v>0</v>
      </c>
      <c r="Z724" s="96">
        <f>IF(Q724=1,INDEX('CDFs'!$W$6:$W$505,P724),0)</f>
        <v>0</v>
      </c>
      <c r="AA724" s="96">
        <f>IF(AND(N724=1,Y724=0,Z724=1,J724="Sim"),1,0)</f>
        <v>0</v>
      </c>
      <c r="AB724" s="96">
        <f>IF(AND(N724=1,O724&lt;&gt;"",D724&lt;&gt;""),IF(COUNTIFS($O$6:O724,O724,$D$6:D724,D724)=1,1,0),0)</f>
        <v>0</v>
      </c>
      <c r="AC724" s="96">
        <f>IF(T724=1,INDEX('ITENS_MTR'!$AL$6:$AL$1005,S724),0)</f>
        <v>0</v>
      </c>
    </row>
    <row r="725">
      <c r="A725" s="89" t="inlineStr">
        <is>
          <t>VIN-000720</t>
        </is>
      </c>
      <c r="B725" s="91" t="n"/>
      <c r="C725" s="91" t="n"/>
      <c r="D725" s="94" t="str">
        <f>IF(T725=1,INDEX('ITENS_MTR'!$S$6:$S$1005,S725)&amp;"","")</f>
        <v/>
      </c>
      <c r="E725" s="94" t="str">
        <f>IF(T725=1,INDEX('ITENS_MTR'!$C$6:$C$1005,S725)&amp;"","")</f>
        <v/>
      </c>
      <c r="F725" s="98" t="n"/>
      <c r="G725" s="91" t="n"/>
      <c r="H725" s="93" t="str">
        <f>IF(N725=0,"",IF(NOT(ISNUMBER(F725)),"",IF(ISNUMBER(U725),F725*U725,"UNIDADE A CONFERIR")))</f>
        <v/>
      </c>
      <c r="I725" s="94" t="str">
        <f>IF(Q725=1,INDEX('CDFs'!$F$6:$F$505,P725)&amp;"","")</f>
        <v/>
      </c>
      <c r="J725" s="91" t="n"/>
      <c r="K725" s="91" t="n"/>
      <c r="L725" s="94" t="str">
        <f>IF(N725=0,"",IF(NOT(ISNUMBER(F725)),"Quantidade não informada",IF(F725&lt;=0,"Quantidade não positiva",IF(G725="","Unidade não informada",IF(NOT(ISNUMBER(H725)),"Unidade a conferir",IF(AC725=1,"REVISAR VÍNCULO: soma vinculada maior que a referência do item","OK"))))))</f>
        <v/>
      </c>
      <c r="M725" s="94" t="str">
        <f>IF(N725=0,"",IF(B725="","CDF não informado",IF(Q725=0,"REVISAR VÍNCULO: CDF inexistente",IF(C725="","Item não informado",IF(T725=0,"REVISAR VÍNCULO: item inexistente",IF(AND(X725=1,J725&lt;&gt;"Sim"),"REVISAR VÍNCULO: destinador diferente do MTR",IF(X725=1,"Destinador diferente do MTR (analisado)","OK")))))))</f>
        <v/>
      </c>
      <c r="N725" s="96">
        <f>IF(COUNTA(B725:C725,F725:G725,J725:K725)&gt;0,1,0)</f>
        <v>0</v>
      </c>
      <c r="O725" s="96" t="str">
        <f>IF(B725="","",TRIM(LEFT(B725,FIND(" |",B725&amp;" |")-1)))</f>
        <v/>
      </c>
      <c r="P725" s="96" t="str">
        <f>IF(O725="","",IFERROR(MATCH(O725,'CDFs'!$A$6:$A$505,0),""))</f>
        <v/>
      </c>
      <c r="Q725" s="96">
        <f>IF(P725="",0,IF(INDEX('CDFs'!$S$6:$S$505,P725)=1,1,0))</f>
        <v>0</v>
      </c>
      <c r="R725" s="96" t="str">
        <f>IF(C725="","",TRIM(LEFT(C725,FIND(" |",C725&amp;" |")-1)))</f>
        <v/>
      </c>
      <c r="S725" s="96" t="str">
        <f>IF(R725="","",IFERROR(MATCH(R725,'ITENS_MTR'!$A$6:$A$1005,0),""))</f>
        <v/>
      </c>
      <c r="T725" s="96">
        <f>IF(S725="",0,IF(INDEX('ITENS_MTR'!$R$6:$R$1005,S725)=1,1,0))</f>
        <v>0</v>
      </c>
      <c r="U725" s="96" t="str">
        <f>IF(G725="","",IFERROR(IF(ISNUMBER(INDEX(cfg_fac,MATCH(G725,cfg_units,0))),IF(INDEX(cfg_fac,MATCH(G725,cfg_units,0))&gt;0,INDEX(cfg_fac,MATCH(G725,cfg_units,0)),""),""),""))</f>
        <v/>
      </c>
      <c r="V725" s="96">
        <f>IF(AND(ISNUMBER(F725),ISNUMBER(H725)),IF(H725&gt;0,1,0),0)</f>
        <v>0</v>
      </c>
      <c r="W725" s="96" t="str">
        <f>IF(T725=1,INDEX('ITENS_MTR'!$AU$6:$AU$1005,S725)&amp;"","")</f>
        <v/>
      </c>
      <c r="X725" s="96">
        <f>IF(AND(Q725=1,T725=1,I725&lt;&gt;"",W725&lt;&gt;""),IF(I725&lt;&gt;W725,1,0),0)</f>
        <v>0</v>
      </c>
      <c r="Y725" s="96">
        <f>IF(N725=0,0,IF(OR(Q725=0,T725=0,V725=0,AND(X725=1,J725&lt;&gt;"Sim")),1,0))</f>
        <v>0</v>
      </c>
      <c r="Z725" s="96">
        <f>IF(Q725=1,INDEX('CDFs'!$W$6:$W$505,P725),0)</f>
        <v>0</v>
      </c>
      <c r="AA725" s="96">
        <f>IF(AND(N725=1,Y725=0,Z725=1,J725="Sim"),1,0)</f>
        <v>0</v>
      </c>
      <c r="AB725" s="96">
        <f>IF(AND(N725=1,O725&lt;&gt;"",D725&lt;&gt;""),IF(COUNTIFS($O$6:O725,O725,$D$6:D725,D725)=1,1,0),0)</f>
        <v>0</v>
      </c>
      <c r="AC725" s="96">
        <f>IF(T725=1,INDEX('ITENS_MTR'!$AL$6:$AL$1005,S725),0)</f>
        <v>0</v>
      </c>
    </row>
    <row r="726">
      <c r="A726" s="89" t="inlineStr">
        <is>
          <t>VIN-000721</t>
        </is>
      </c>
      <c r="B726" s="91" t="n"/>
      <c r="C726" s="91" t="n"/>
      <c r="D726" s="94" t="str">
        <f>IF(T726=1,INDEX('ITENS_MTR'!$S$6:$S$1005,S726)&amp;"","")</f>
        <v/>
      </c>
      <c r="E726" s="94" t="str">
        <f>IF(T726=1,INDEX('ITENS_MTR'!$C$6:$C$1005,S726)&amp;"","")</f>
        <v/>
      </c>
      <c r="F726" s="98" t="n"/>
      <c r="G726" s="91" t="n"/>
      <c r="H726" s="93" t="str">
        <f>IF(N726=0,"",IF(NOT(ISNUMBER(F726)),"",IF(ISNUMBER(U726),F726*U726,"UNIDADE A CONFERIR")))</f>
        <v/>
      </c>
      <c r="I726" s="94" t="str">
        <f>IF(Q726=1,INDEX('CDFs'!$F$6:$F$505,P726)&amp;"","")</f>
        <v/>
      </c>
      <c r="J726" s="91" t="n"/>
      <c r="K726" s="91" t="n"/>
      <c r="L726" s="94" t="str">
        <f>IF(N726=0,"",IF(NOT(ISNUMBER(F726)),"Quantidade não informada",IF(F726&lt;=0,"Quantidade não positiva",IF(G726="","Unidade não informada",IF(NOT(ISNUMBER(H726)),"Unidade a conferir",IF(AC726=1,"REVISAR VÍNCULO: soma vinculada maior que a referência do item","OK"))))))</f>
        <v/>
      </c>
      <c r="M726" s="94" t="str">
        <f>IF(N726=0,"",IF(B726="","CDF não informado",IF(Q726=0,"REVISAR VÍNCULO: CDF inexistente",IF(C726="","Item não informado",IF(T726=0,"REVISAR VÍNCULO: item inexistente",IF(AND(X726=1,J726&lt;&gt;"Sim"),"REVISAR VÍNCULO: destinador diferente do MTR",IF(X726=1,"Destinador diferente do MTR (analisado)","OK")))))))</f>
        <v/>
      </c>
      <c r="N726" s="96">
        <f>IF(COUNTA(B726:C726,F726:G726,J726:K726)&gt;0,1,0)</f>
        <v>0</v>
      </c>
      <c r="O726" s="96" t="str">
        <f>IF(B726="","",TRIM(LEFT(B726,FIND(" |",B726&amp;" |")-1)))</f>
        <v/>
      </c>
      <c r="P726" s="96" t="str">
        <f>IF(O726="","",IFERROR(MATCH(O726,'CDFs'!$A$6:$A$505,0),""))</f>
        <v/>
      </c>
      <c r="Q726" s="96">
        <f>IF(P726="",0,IF(INDEX('CDFs'!$S$6:$S$505,P726)=1,1,0))</f>
        <v>0</v>
      </c>
      <c r="R726" s="96" t="str">
        <f>IF(C726="","",TRIM(LEFT(C726,FIND(" |",C726&amp;" |")-1)))</f>
        <v/>
      </c>
      <c r="S726" s="96" t="str">
        <f>IF(R726="","",IFERROR(MATCH(R726,'ITENS_MTR'!$A$6:$A$1005,0),""))</f>
        <v/>
      </c>
      <c r="T726" s="96">
        <f>IF(S726="",0,IF(INDEX('ITENS_MTR'!$R$6:$R$1005,S726)=1,1,0))</f>
        <v>0</v>
      </c>
      <c r="U726" s="96" t="str">
        <f>IF(G726="","",IFERROR(IF(ISNUMBER(INDEX(cfg_fac,MATCH(G726,cfg_units,0))),IF(INDEX(cfg_fac,MATCH(G726,cfg_units,0))&gt;0,INDEX(cfg_fac,MATCH(G726,cfg_units,0)),""),""),""))</f>
        <v/>
      </c>
      <c r="V726" s="96">
        <f>IF(AND(ISNUMBER(F726),ISNUMBER(H726)),IF(H726&gt;0,1,0),0)</f>
        <v>0</v>
      </c>
      <c r="W726" s="96" t="str">
        <f>IF(T726=1,INDEX('ITENS_MTR'!$AU$6:$AU$1005,S726)&amp;"","")</f>
        <v/>
      </c>
      <c r="X726" s="96">
        <f>IF(AND(Q726=1,T726=1,I726&lt;&gt;"",W726&lt;&gt;""),IF(I726&lt;&gt;W726,1,0),0)</f>
        <v>0</v>
      </c>
      <c r="Y726" s="96">
        <f>IF(N726=0,0,IF(OR(Q726=0,T726=0,V726=0,AND(X726=1,J726&lt;&gt;"Sim")),1,0))</f>
        <v>0</v>
      </c>
      <c r="Z726" s="96">
        <f>IF(Q726=1,INDEX('CDFs'!$W$6:$W$505,P726),0)</f>
        <v>0</v>
      </c>
      <c r="AA726" s="96">
        <f>IF(AND(N726=1,Y726=0,Z726=1,J726="Sim"),1,0)</f>
        <v>0</v>
      </c>
      <c r="AB726" s="96">
        <f>IF(AND(N726=1,O726&lt;&gt;"",D726&lt;&gt;""),IF(COUNTIFS($O$6:O726,O726,$D$6:D726,D726)=1,1,0),0)</f>
        <v>0</v>
      </c>
      <c r="AC726" s="96">
        <f>IF(T726=1,INDEX('ITENS_MTR'!$AL$6:$AL$1005,S726),0)</f>
        <v>0</v>
      </c>
    </row>
    <row r="727">
      <c r="A727" s="89" t="inlineStr">
        <is>
          <t>VIN-000722</t>
        </is>
      </c>
      <c r="B727" s="91" t="n"/>
      <c r="C727" s="91" t="n"/>
      <c r="D727" s="94" t="str">
        <f>IF(T727=1,INDEX('ITENS_MTR'!$S$6:$S$1005,S727)&amp;"","")</f>
        <v/>
      </c>
      <c r="E727" s="94" t="str">
        <f>IF(T727=1,INDEX('ITENS_MTR'!$C$6:$C$1005,S727)&amp;"","")</f>
        <v/>
      </c>
      <c r="F727" s="98" t="n"/>
      <c r="G727" s="91" t="n"/>
      <c r="H727" s="93" t="str">
        <f>IF(N727=0,"",IF(NOT(ISNUMBER(F727)),"",IF(ISNUMBER(U727),F727*U727,"UNIDADE A CONFERIR")))</f>
        <v/>
      </c>
      <c r="I727" s="94" t="str">
        <f>IF(Q727=1,INDEX('CDFs'!$F$6:$F$505,P727)&amp;"","")</f>
        <v/>
      </c>
      <c r="J727" s="91" t="n"/>
      <c r="K727" s="91" t="n"/>
      <c r="L727" s="94" t="str">
        <f>IF(N727=0,"",IF(NOT(ISNUMBER(F727)),"Quantidade não informada",IF(F727&lt;=0,"Quantidade não positiva",IF(G727="","Unidade não informada",IF(NOT(ISNUMBER(H727)),"Unidade a conferir",IF(AC727=1,"REVISAR VÍNCULO: soma vinculada maior que a referência do item","OK"))))))</f>
        <v/>
      </c>
      <c r="M727" s="94" t="str">
        <f>IF(N727=0,"",IF(B727="","CDF não informado",IF(Q727=0,"REVISAR VÍNCULO: CDF inexistente",IF(C727="","Item não informado",IF(T727=0,"REVISAR VÍNCULO: item inexistente",IF(AND(X727=1,J727&lt;&gt;"Sim"),"REVISAR VÍNCULO: destinador diferente do MTR",IF(X727=1,"Destinador diferente do MTR (analisado)","OK")))))))</f>
        <v/>
      </c>
      <c r="N727" s="96">
        <f>IF(COUNTA(B727:C727,F727:G727,J727:K727)&gt;0,1,0)</f>
        <v>0</v>
      </c>
      <c r="O727" s="96" t="str">
        <f>IF(B727="","",TRIM(LEFT(B727,FIND(" |",B727&amp;" |")-1)))</f>
        <v/>
      </c>
      <c r="P727" s="96" t="str">
        <f>IF(O727="","",IFERROR(MATCH(O727,'CDFs'!$A$6:$A$505,0),""))</f>
        <v/>
      </c>
      <c r="Q727" s="96">
        <f>IF(P727="",0,IF(INDEX('CDFs'!$S$6:$S$505,P727)=1,1,0))</f>
        <v>0</v>
      </c>
      <c r="R727" s="96" t="str">
        <f>IF(C727="","",TRIM(LEFT(C727,FIND(" |",C727&amp;" |")-1)))</f>
        <v/>
      </c>
      <c r="S727" s="96" t="str">
        <f>IF(R727="","",IFERROR(MATCH(R727,'ITENS_MTR'!$A$6:$A$1005,0),""))</f>
        <v/>
      </c>
      <c r="T727" s="96">
        <f>IF(S727="",0,IF(INDEX('ITENS_MTR'!$R$6:$R$1005,S727)=1,1,0))</f>
        <v>0</v>
      </c>
      <c r="U727" s="96" t="str">
        <f>IF(G727="","",IFERROR(IF(ISNUMBER(INDEX(cfg_fac,MATCH(G727,cfg_units,0))),IF(INDEX(cfg_fac,MATCH(G727,cfg_units,0))&gt;0,INDEX(cfg_fac,MATCH(G727,cfg_units,0)),""),""),""))</f>
        <v/>
      </c>
      <c r="V727" s="96">
        <f>IF(AND(ISNUMBER(F727),ISNUMBER(H727)),IF(H727&gt;0,1,0),0)</f>
        <v>0</v>
      </c>
      <c r="W727" s="96" t="str">
        <f>IF(T727=1,INDEX('ITENS_MTR'!$AU$6:$AU$1005,S727)&amp;"","")</f>
        <v/>
      </c>
      <c r="X727" s="96">
        <f>IF(AND(Q727=1,T727=1,I727&lt;&gt;"",W727&lt;&gt;""),IF(I727&lt;&gt;W727,1,0),0)</f>
        <v>0</v>
      </c>
      <c r="Y727" s="96">
        <f>IF(N727=0,0,IF(OR(Q727=0,T727=0,V727=0,AND(X727=1,J727&lt;&gt;"Sim")),1,0))</f>
        <v>0</v>
      </c>
      <c r="Z727" s="96">
        <f>IF(Q727=1,INDEX('CDFs'!$W$6:$W$505,P727),0)</f>
        <v>0</v>
      </c>
      <c r="AA727" s="96">
        <f>IF(AND(N727=1,Y727=0,Z727=1,J727="Sim"),1,0)</f>
        <v>0</v>
      </c>
      <c r="AB727" s="96">
        <f>IF(AND(N727=1,O727&lt;&gt;"",D727&lt;&gt;""),IF(COUNTIFS($O$6:O727,O727,$D$6:D727,D727)=1,1,0),0)</f>
        <v>0</v>
      </c>
      <c r="AC727" s="96">
        <f>IF(T727=1,INDEX('ITENS_MTR'!$AL$6:$AL$1005,S727),0)</f>
        <v>0</v>
      </c>
    </row>
    <row r="728">
      <c r="A728" s="89" t="inlineStr">
        <is>
          <t>VIN-000723</t>
        </is>
      </c>
      <c r="B728" s="91" t="n"/>
      <c r="C728" s="91" t="n"/>
      <c r="D728" s="94" t="str">
        <f>IF(T728=1,INDEX('ITENS_MTR'!$S$6:$S$1005,S728)&amp;"","")</f>
        <v/>
      </c>
      <c r="E728" s="94" t="str">
        <f>IF(T728=1,INDEX('ITENS_MTR'!$C$6:$C$1005,S728)&amp;"","")</f>
        <v/>
      </c>
      <c r="F728" s="98" t="n"/>
      <c r="G728" s="91" t="n"/>
      <c r="H728" s="93" t="str">
        <f>IF(N728=0,"",IF(NOT(ISNUMBER(F728)),"",IF(ISNUMBER(U728),F728*U728,"UNIDADE A CONFERIR")))</f>
        <v/>
      </c>
      <c r="I728" s="94" t="str">
        <f>IF(Q728=1,INDEX('CDFs'!$F$6:$F$505,P728)&amp;"","")</f>
        <v/>
      </c>
      <c r="J728" s="91" t="n"/>
      <c r="K728" s="91" t="n"/>
      <c r="L728" s="94" t="str">
        <f>IF(N728=0,"",IF(NOT(ISNUMBER(F728)),"Quantidade não informada",IF(F728&lt;=0,"Quantidade não positiva",IF(G728="","Unidade não informada",IF(NOT(ISNUMBER(H728)),"Unidade a conferir",IF(AC728=1,"REVISAR VÍNCULO: soma vinculada maior que a referência do item","OK"))))))</f>
        <v/>
      </c>
      <c r="M728" s="94" t="str">
        <f>IF(N728=0,"",IF(B728="","CDF não informado",IF(Q728=0,"REVISAR VÍNCULO: CDF inexistente",IF(C728="","Item não informado",IF(T728=0,"REVISAR VÍNCULO: item inexistente",IF(AND(X728=1,J728&lt;&gt;"Sim"),"REVISAR VÍNCULO: destinador diferente do MTR",IF(X728=1,"Destinador diferente do MTR (analisado)","OK")))))))</f>
        <v/>
      </c>
      <c r="N728" s="96">
        <f>IF(COUNTA(B728:C728,F728:G728,J728:K728)&gt;0,1,0)</f>
        <v>0</v>
      </c>
      <c r="O728" s="96" t="str">
        <f>IF(B728="","",TRIM(LEFT(B728,FIND(" |",B728&amp;" |")-1)))</f>
        <v/>
      </c>
      <c r="P728" s="96" t="str">
        <f>IF(O728="","",IFERROR(MATCH(O728,'CDFs'!$A$6:$A$505,0),""))</f>
        <v/>
      </c>
      <c r="Q728" s="96">
        <f>IF(P728="",0,IF(INDEX('CDFs'!$S$6:$S$505,P728)=1,1,0))</f>
        <v>0</v>
      </c>
      <c r="R728" s="96" t="str">
        <f>IF(C728="","",TRIM(LEFT(C728,FIND(" |",C728&amp;" |")-1)))</f>
        <v/>
      </c>
      <c r="S728" s="96" t="str">
        <f>IF(R728="","",IFERROR(MATCH(R728,'ITENS_MTR'!$A$6:$A$1005,0),""))</f>
        <v/>
      </c>
      <c r="T728" s="96">
        <f>IF(S728="",0,IF(INDEX('ITENS_MTR'!$R$6:$R$1005,S728)=1,1,0))</f>
        <v>0</v>
      </c>
      <c r="U728" s="96" t="str">
        <f>IF(G728="","",IFERROR(IF(ISNUMBER(INDEX(cfg_fac,MATCH(G728,cfg_units,0))),IF(INDEX(cfg_fac,MATCH(G728,cfg_units,0))&gt;0,INDEX(cfg_fac,MATCH(G728,cfg_units,0)),""),""),""))</f>
        <v/>
      </c>
      <c r="V728" s="96">
        <f>IF(AND(ISNUMBER(F728),ISNUMBER(H728)),IF(H728&gt;0,1,0),0)</f>
        <v>0</v>
      </c>
      <c r="W728" s="96" t="str">
        <f>IF(T728=1,INDEX('ITENS_MTR'!$AU$6:$AU$1005,S728)&amp;"","")</f>
        <v/>
      </c>
      <c r="X728" s="96">
        <f>IF(AND(Q728=1,T728=1,I728&lt;&gt;"",W728&lt;&gt;""),IF(I728&lt;&gt;W728,1,0),0)</f>
        <v>0</v>
      </c>
      <c r="Y728" s="96">
        <f>IF(N728=0,0,IF(OR(Q728=0,T728=0,V728=0,AND(X728=1,J728&lt;&gt;"Sim")),1,0))</f>
        <v>0</v>
      </c>
      <c r="Z728" s="96">
        <f>IF(Q728=1,INDEX('CDFs'!$W$6:$W$505,P728),0)</f>
        <v>0</v>
      </c>
      <c r="AA728" s="96">
        <f>IF(AND(N728=1,Y728=0,Z728=1,J728="Sim"),1,0)</f>
        <v>0</v>
      </c>
      <c r="AB728" s="96">
        <f>IF(AND(N728=1,O728&lt;&gt;"",D728&lt;&gt;""),IF(COUNTIFS($O$6:O728,O728,$D$6:D728,D728)=1,1,0),0)</f>
        <v>0</v>
      </c>
      <c r="AC728" s="96">
        <f>IF(T728=1,INDEX('ITENS_MTR'!$AL$6:$AL$1005,S728),0)</f>
        <v>0</v>
      </c>
    </row>
    <row r="729">
      <c r="A729" s="89" t="inlineStr">
        <is>
          <t>VIN-000724</t>
        </is>
      </c>
      <c r="B729" s="91" t="n"/>
      <c r="C729" s="91" t="n"/>
      <c r="D729" s="94" t="str">
        <f>IF(T729=1,INDEX('ITENS_MTR'!$S$6:$S$1005,S729)&amp;"","")</f>
        <v/>
      </c>
      <c r="E729" s="94" t="str">
        <f>IF(T729=1,INDEX('ITENS_MTR'!$C$6:$C$1005,S729)&amp;"","")</f>
        <v/>
      </c>
      <c r="F729" s="98" t="n"/>
      <c r="G729" s="91" t="n"/>
      <c r="H729" s="93" t="str">
        <f>IF(N729=0,"",IF(NOT(ISNUMBER(F729)),"",IF(ISNUMBER(U729),F729*U729,"UNIDADE A CONFERIR")))</f>
        <v/>
      </c>
      <c r="I729" s="94" t="str">
        <f>IF(Q729=1,INDEX('CDFs'!$F$6:$F$505,P729)&amp;"","")</f>
        <v/>
      </c>
      <c r="J729" s="91" t="n"/>
      <c r="K729" s="91" t="n"/>
      <c r="L729" s="94" t="str">
        <f>IF(N729=0,"",IF(NOT(ISNUMBER(F729)),"Quantidade não informada",IF(F729&lt;=0,"Quantidade não positiva",IF(G729="","Unidade não informada",IF(NOT(ISNUMBER(H729)),"Unidade a conferir",IF(AC729=1,"REVISAR VÍNCULO: soma vinculada maior que a referência do item","OK"))))))</f>
        <v/>
      </c>
      <c r="M729" s="94" t="str">
        <f>IF(N729=0,"",IF(B729="","CDF não informado",IF(Q729=0,"REVISAR VÍNCULO: CDF inexistente",IF(C729="","Item não informado",IF(T729=0,"REVISAR VÍNCULO: item inexistente",IF(AND(X729=1,J729&lt;&gt;"Sim"),"REVISAR VÍNCULO: destinador diferente do MTR",IF(X729=1,"Destinador diferente do MTR (analisado)","OK")))))))</f>
        <v/>
      </c>
      <c r="N729" s="96">
        <f>IF(COUNTA(B729:C729,F729:G729,J729:K729)&gt;0,1,0)</f>
        <v>0</v>
      </c>
      <c r="O729" s="96" t="str">
        <f>IF(B729="","",TRIM(LEFT(B729,FIND(" |",B729&amp;" |")-1)))</f>
        <v/>
      </c>
      <c r="P729" s="96" t="str">
        <f>IF(O729="","",IFERROR(MATCH(O729,'CDFs'!$A$6:$A$505,0),""))</f>
        <v/>
      </c>
      <c r="Q729" s="96">
        <f>IF(P729="",0,IF(INDEX('CDFs'!$S$6:$S$505,P729)=1,1,0))</f>
        <v>0</v>
      </c>
      <c r="R729" s="96" t="str">
        <f>IF(C729="","",TRIM(LEFT(C729,FIND(" |",C729&amp;" |")-1)))</f>
        <v/>
      </c>
      <c r="S729" s="96" t="str">
        <f>IF(R729="","",IFERROR(MATCH(R729,'ITENS_MTR'!$A$6:$A$1005,0),""))</f>
        <v/>
      </c>
      <c r="T729" s="96">
        <f>IF(S729="",0,IF(INDEX('ITENS_MTR'!$R$6:$R$1005,S729)=1,1,0))</f>
        <v>0</v>
      </c>
      <c r="U729" s="96" t="str">
        <f>IF(G729="","",IFERROR(IF(ISNUMBER(INDEX(cfg_fac,MATCH(G729,cfg_units,0))),IF(INDEX(cfg_fac,MATCH(G729,cfg_units,0))&gt;0,INDEX(cfg_fac,MATCH(G729,cfg_units,0)),""),""),""))</f>
        <v/>
      </c>
      <c r="V729" s="96">
        <f>IF(AND(ISNUMBER(F729),ISNUMBER(H729)),IF(H729&gt;0,1,0),0)</f>
        <v>0</v>
      </c>
      <c r="W729" s="96" t="str">
        <f>IF(T729=1,INDEX('ITENS_MTR'!$AU$6:$AU$1005,S729)&amp;"","")</f>
        <v/>
      </c>
      <c r="X729" s="96">
        <f>IF(AND(Q729=1,T729=1,I729&lt;&gt;"",W729&lt;&gt;""),IF(I729&lt;&gt;W729,1,0),0)</f>
        <v>0</v>
      </c>
      <c r="Y729" s="96">
        <f>IF(N729=0,0,IF(OR(Q729=0,T729=0,V729=0,AND(X729=1,J729&lt;&gt;"Sim")),1,0))</f>
        <v>0</v>
      </c>
      <c r="Z729" s="96">
        <f>IF(Q729=1,INDEX('CDFs'!$W$6:$W$505,P729),0)</f>
        <v>0</v>
      </c>
      <c r="AA729" s="96">
        <f>IF(AND(N729=1,Y729=0,Z729=1,J729="Sim"),1,0)</f>
        <v>0</v>
      </c>
      <c r="AB729" s="96">
        <f>IF(AND(N729=1,O729&lt;&gt;"",D729&lt;&gt;""),IF(COUNTIFS($O$6:O729,O729,$D$6:D729,D729)=1,1,0),0)</f>
        <v>0</v>
      </c>
      <c r="AC729" s="96">
        <f>IF(T729=1,INDEX('ITENS_MTR'!$AL$6:$AL$1005,S729),0)</f>
        <v>0</v>
      </c>
    </row>
    <row r="730">
      <c r="A730" s="89" t="inlineStr">
        <is>
          <t>VIN-000725</t>
        </is>
      </c>
      <c r="B730" s="91" t="n"/>
      <c r="C730" s="91" t="n"/>
      <c r="D730" s="94" t="str">
        <f>IF(T730=1,INDEX('ITENS_MTR'!$S$6:$S$1005,S730)&amp;"","")</f>
        <v/>
      </c>
      <c r="E730" s="94" t="str">
        <f>IF(T730=1,INDEX('ITENS_MTR'!$C$6:$C$1005,S730)&amp;"","")</f>
        <v/>
      </c>
      <c r="F730" s="98" t="n"/>
      <c r="G730" s="91" t="n"/>
      <c r="H730" s="93" t="str">
        <f>IF(N730=0,"",IF(NOT(ISNUMBER(F730)),"",IF(ISNUMBER(U730),F730*U730,"UNIDADE A CONFERIR")))</f>
        <v/>
      </c>
      <c r="I730" s="94" t="str">
        <f>IF(Q730=1,INDEX('CDFs'!$F$6:$F$505,P730)&amp;"","")</f>
        <v/>
      </c>
      <c r="J730" s="91" t="n"/>
      <c r="K730" s="91" t="n"/>
      <c r="L730" s="94" t="str">
        <f>IF(N730=0,"",IF(NOT(ISNUMBER(F730)),"Quantidade não informada",IF(F730&lt;=0,"Quantidade não positiva",IF(G730="","Unidade não informada",IF(NOT(ISNUMBER(H730)),"Unidade a conferir",IF(AC730=1,"REVISAR VÍNCULO: soma vinculada maior que a referência do item","OK"))))))</f>
        <v/>
      </c>
      <c r="M730" s="94" t="str">
        <f>IF(N730=0,"",IF(B730="","CDF não informado",IF(Q730=0,"REVISAR VÍNCULO: CDF inexistente",IF(C730="","Item não informado",IF(T730=0,"REVISAR VÍNCULO: item inexistente",IF(AND(X730=1,J730&lt;&gt;"Sim"),"REVISAR VÍNCULO: destinador diferente do MTR",IF(X730=1,"Destinador diferente do MTR (analisado)","OK")))))))</f>
        <v/>
      </c>
      <c r="N730" s="96">
        <f>IF(COUNTA(B730:C730,F730:G730,J730:K730)&gt;0,1,0)</f>
        <v>0</v>
      </c>
      <c r="O730" s="96" t="str">
        <f>IF(B730="","",TRIM(LEFT(B730,FIND(" |",B730&amp;" |")-1)))</f>
        <v/>
      </c>
      <c r="P730" s="96" t="str">
        <f>IF(O730="","",IFERROR(MATCH(O730,'CDFs'!$A$6:$A$505,0),""))</f>
        <v/>
      </c>
      <c r="Q730" s="96">
        <f>IF(P730="",0,IF(INDEX('CDFs'!$S$6:$S$505,P730)=1,1,0))</f>
        <v>0</v>
      </c>
      <c r="R730" s="96" t="str">
        <f>IF(C730="","",TRIM(LEFT(C730,FIND(" |",C730&amp;" |")-1)))</f>
        <v/>
      </c>
      <c r="S730" s="96" t="str">
        <f>IF(R730="","",IFERROR(MATCH(R730,'ITENS_MTR'!$A$6:$A$1005,0),""))</f>
        <v/>
      </c>
      <c r="T730" s="96">
        <f>IF(S730="",0,IF(INDEX('ITENS_MTR'!$R$6:$R$1005,S730)=1,1,0))</f>
        <v>0</v>
      </c>
      <c r="U730" s="96" t="str">
        <f>IF(G730="","",IFERROR(IF(ISNUMBER(INDEX(cfg_fac,MATCH(G730,cfg_units,0))),IF(INDEX(cfg_fac,MATCH(G730,cfg_units,0))&gt;0,INDEX(cfg_fac,MATCH(G730,cfg_units,0)),""),""),""))</f>
        <v/>
      </c>
      <c r="V730" s="96">
        <f>IF(AND(ISNUMBER(F730),ISNUMBER(H730)),IF(H730&gt;0,1,0),0)</f>
        <v>0</v>
      </c>
      <c r="W730" s="96" t="str">
        <f>IF(T730=1,INDEX('ITENS_MTR'!$AU$6:$AU$1005,S730)&amp;"","")</f>
        <v/>
      </c>
      <c r="X730" s="96">
        <f>IF(AND(Q730=1,T730=1,I730&lt;&gt;"",W730&lt;&gt;""),IF(I730&lt;&gt;W730,1,0),0)</f>
        <v>0</v>
      </c>
      <c r="Y730" s="96">
        <f>IF(N730=0,0,IF(OR(Q730=0,T730=0,V730=0,AND(X730=1,J730&lt;&gt;"Sim")),1,0))</f>
        <v>0</v>
      </c>
      <c r="Z730" s="96">
        <f>IF(Q730=1,INDEX('CDFs'!$W$6:$W$505,P730),0)</f>
        <v>0</v>
      </c>
      <c r="AA730" s="96">
        <f>IF(AND(N730=1,Y730=0,Z730=1,J730="Sim"),1,0)</f>
        <v>0</v>
      </c>
      <c r="AB730" s="96">
        <f>IF(AND(N730=1,O730&lt;&gt;"",D730&lt;&gt;""),IF(COUNTIFS($O$6:O730,O730,$D$6:D730,D730)=1,1,0),0)</f>
        <v>0</v>
      </c>
      <c r="AC730" s="96">
        <f>IF(T730=1,INDEX('ITENS_MTR'!$AL$6:$AL$1005,S730),0)</f>
        <v>0</v>
      </c>
    </row>
    <row r="731">
      <c r="A731" s="89" t="inlineStr">
        <is>
          <t>VIN-000726</t>
        </is>
      </c>
      <c r="B731" s="91" t="n"/>
      <c r="C731" s="91" t="n"/>
      <c r="D731" s="94" t="str">
        <f>IF(T731=1,INDEX('ITENS_MTR'!$S$6:$S$1005,S731)&amp;"","")</f>
        <v/>
      </c>
      <c r="E731" s="94" t="str">
        <f>IF(T731=1,INDEX('ITENS_MTR'!$C$6:$C$1005,S731)&amp;"","")</f>
        <v/>
      </c>
      <c r="F731" s="98" t="n"/>
      <c r="G731" s="91" t="n"/>
      <c r="H731" s="93" t="str">
        <f>IF(N731=0,"",IF(NOT(ISNUMBER(F731)),"",IF(ISNUMBER(U731),F731*U731,"UNIDADE A CONFERIR")))</f>
        <v/>
      </c>
      <c r="I731" s="94" t="str">
        <f>IF(Q731=1,INDEX('CDFs'!$F$6:$F$505,P731)&amp;"","")</f>
        <v/>
      </c>
      <c r="J731" s="91" t="n"/>
      <c r="K731" s="91" t="n"/>
      <c r="L731" s="94" t="str">
        <f>IF(N731=0,"",IF(NOT(ISNUMBER(F731)),"Quantidade não informada",IF(F731&lt;=0,"Quantidade não positiva",IF(G731="","Unidade não informada",IF(NOT(ISNUMBER(H731)),"Unidade a conferir",IF(AC731=1,"REVISAR VÍNCULO: soma vinculada maior que a referência do item","OK"))))))</f>
        <v/>
      </c>
      <c r="M731" s="94" t="str">
        <f>IF(N731=0,"",IF(B731="","CDF não informado",IF(Q731=0,"REVISAR VÍNCULO: CDF inexistente",IF(C731="","Item não informado",IF(T731=0,"REVISAR VÍNCULO: item inexistente",IF(AND(X731=1,J731&lt;&gt;"Sim"),"REVISAR VÍNCULO: destinador diferente do MTR",IF(X731=1,"Destinador diferente do MTR (analisado)","OK")))))))</f>
        <v/>
      </c>
      <c r="N731" s="96">
        <f>IF(COUNTA(B731:C731,F731:G731,J731:K731)&gt;0,1,0)</f>
        <v>0</v>
      </c>
      <c r="O731" s="96" t="str">
        <f>IF(B731="","",TRIM(LEFT(B731,FIND(" |",B731&amp;" |")-1)))</f>
        <v/>
      </c>
      <c r="P731" s="96" t="str">
        <f>IF(O731="","",IFERROR(MATCH(O731,'CDFs'!$A$6:$A$505,0),""))</f>
        <v/>
      </c>
      <c r="Q731" s="96">
        <f>IF(P731="",0,IF(INDEX('CDFs'!$S$6:$S$505,P731)=1,1,0))</f>
        <v>0</v>
      </c>
      <c r="R731" s="96" t="str">
        <f>IF(C731="","",TRIM(LEFT(C731,FIND(" |",C731&amp;" |")-1)))</f>
        <v/>
      </c>
      <c r="S731" s="96" t="str">
        <f>IF(R731="","",IFERROR(MATCH(R731,'ITENS_MTR'!$A$6:$A$1005,0),""))</f>
        <v/>
      </c>
      <c r="T731" s="96">
        <f>IF(S731="",0,IF(INDEX('ITENS_MTR'!$R$6:$R$1005,S731)=1,1,0))</f>
        <v>0</v>
      </c>
      <c r="U731" s="96" t="str">
        <f>IF(G731="","",IFERROR(IF(ISNUMBER(INDEX(cfg_fac,MATCH(G731,cfg_units,0))),IF(INDEX(cfg_fac,MATCH(G731,cfg_units,0))&gt;0,INDEX(cfg_fac,MATCH(G731,cfg_units,0)),""),""),""))</f>
        <v/>
      </c>
      <c r="V731" s="96">
        <f>IF(AND(ISNUMBER(F731),ISNUMBER(H731)),IF(H731&gt;0,1,0),0)</f>
        <v>0</v>
      </c>
      <c r="W731" s="96" t="str">
        <f>IF(T731=1,INDEX('ITENS_MTR'!$AU$6:$AU$1005,S731)&amp;"","")</f>
        <v/>
      </c>
      <c r="X731" s="96">
        <f>IF(AND(Q731=1,T731=1,I731&lt;&gt;"",W731&lt;&gt;""),IF(I731&lt;&gt;W731,1,0),0)</f>
        <v>0</v>
      </c>
      <c r="Y731" s="96">
        <f>IF(N731=0,0,IF(OR(Q731=0,T731=0,V731=0,AND(X731=1,J731&lt;&gt;"Sim")),1,0))</f>
        <v>0</v>
      </c>
      <c r="Z731" s="96">
        <f>IF(Q731=1,INDEX('CDFs'!$W$6:$W$505,P731),0)</f>
        <v>0</v>
      </c>
      <c r="AA731" s="96">
        <f>IF(AND(N731=1,Y731=0,Z731=1,J731="Sim"),1,0)</f>
        <v>0</v>
      </c>
      <c r="AB731" s="96">
        <f>IF(AND(N731=1,O731&lt;&gt;"",D731&lt;&gt;""),IF(COUNTIFS($O$6:O731,O731,$D$6:D731,D731)=1,1,0),0)</f>
        <v>0</v>
      </c>
      <c r="AC731" s="96">
        <f>IF(T731=1,INDEX('ITENS_MTR'!$AL$6:$AL$1005,S731),0)</f>
        <v>0</v>
      </c>
    </row>
    <row r="732">
      <c r="A732" s="89" t="inlineStr">
        <is>
          <t>VIN-000727</t>
        </is>
      </c>
      <c r="B732" s="91" t="n"/>
      <c r="C732" s="91" t="n"/>
      <c r="D732" s="94" t="str">
        <f>IF(T732=1,INDEX('ITENS_MTR'!$S$6:$S$1005,S732)&amp;"","")</f>
        <v/>
      </c>
      <c r="E732" s="94" t="str">
        <f>IF(T732=1,INDEX('ITENS_MTR'!$C$6:$C$1005,S732)&amp;"","")</f>
        <v/>
      </c>
      <c r="F732" s="98" t="n"/>
      <c r="G732" s="91" t="n"/>
      <c r="H732" s="93" t="str">
        <f>IF(N732=0,"",IF(NOT(ISNUMBER(F732)),"",IF(ISNUMBER(U732),F732*U732,"UNIDADE A CONFERIR")))</f>
        <v/>
      </c>
      <c r="I732" s="94" t="str">
        <f>IF(Q732=1,INDEX('CDFs'!$F$6:$F$505,P732)&amp;"","")</f>
        <v/>
      </c>
      <c r="J732" s="91" t="n"/>
      <c r="K732" s="91" t="n"/>
      <c r="L732" s="94" t="str">
        <f>IF(N732=0,"",IF(NOT(ISNUMBER(F732)),"Quantidade não informada",IF(F732&lt;=0,"Quantidade não positiva",IF(G732="","Unidade não informada",IF(NOT(ISNUMBER(H732)),"Unidade a conferir",IF(AC732=1,"REVISAR VÍNCULO: soma vinculada maior que a referência do item","OK"))))))</f>
        <v/>
      </c>
      <c r="M732" s="94" t="str">
        <f>IF(N732=0,"",IF(B732="","CDF não informado",IF(Q732=0,"REVISAR VÍNCULO: CDF inexistente",IF(C732="","Item não informado",IF(T732=0,"REVISAR VÍNCULO: item inexistente",IF(AND(X732=1,J732&lt;&gt;"Sim"),"REVISAR VÍNCULO: destinador diferente do MTR",IF(X732=1,"Destinador diferente do MTR (analisado)","OK")))))))</f>
        <v/>
      </c>
      <c r="N732" s="96">
        <f>IF(COUNTA(B732:C732,F732:G732,J732:K732)&gt;0,1,0)</f>
        <v>0</v>
      </c>
      <c r="O732" s="96" t="str">
        <f>IF(B732="","",TRIM(LEFT(B732,FIND(" |",B732&amp;" |")-1)))</f>
        <v/>
      </c>
      <c r="P732" s="96" t="str">
        <f>IF(O732="","",IFERROR(MATCH(O732,'CDFs'!$A$6:$A$505,0),""))</f>
        <v/>
      </c>
      <c r="Q732" s="96">
        <f>IF(P732="",0,IF(INDEX('CDFs'!$S$6:$S$505,P732)=1,1,0))</f>
        <v>0</v>
      </c>
      <c r="R732" s="96" t="str">
        <f>IF(C732="","",TRIM(LEFT(C732,FIND(" |",C732&amp;" |")-1)))</f>
        <v/>
      </c>
      <c r="S732" s="96" t="str">
        <f>IF(R732="","",IFERROR(MATCH(R732,'ITENS_MTR'!$A$6:$A$1005,0),""))</f>
        <v/>
      </c>
      <c r="T732" s="96">
        <f>IF(S732="",0,IF(INDEX('ITENS_MTR'!$R$6:$R$1005,S732)=1,1,0))</f>
        <v>0</v>
      </c>
      <c r="U732" s="96" t="str">
        <f>IF(G732="","",IFERROR(IF(ISNUMBER(INDEX(cfg_fac,MATCH(G732,cfg_units,0))),IF(INDEX(cfg_fac,MATCH(G732,cfg_units,0))&gt;0,INDEX(cfg_fac,MATCH(G732,cfg_units,0)),""),""),""))</f>
        <v/>
      </c>
      <c r="V732" s="96">
        <f>IF(AND(ISNUMBER(F732),ISNUMBER(H732)),IF(H732&gt;0,1,0),0)</f>
        <v>0</v>
      </c>
      <c r="W732" s="96" t="str">
        <f>IF(T732=1,INDEX('ITENS_MTR'!$AU$6:$AU$1005,S732)&amp;"","")</f>
        <v/>
      </c>
      <c r="X732" s="96">
        <f>IF(AND(Q732=1,T732=1,I732&lt;&gt;"",W732&lt;&gt;""),IF(I732&lt;&gt;W732,1,0),0)</f>
        <v>0</v>
      </c>
      <c r="Y732" s="96">
        <f>IF(N732=0,0,IF(OR(Q732=0,T732=0,V732=0,AND(X732=1,J732&lt;&gt;"Sim")),1,0))</f>
        <v>0</v>
      </c>
      <c r="Z732" s="96">
        <f>IF(Q732=1,INDEX('CDFs'!$W$6:$W$505,P732),0)</f>
        <v>0</v>
      </c>
      <c r="AA732" s="96">
        <f>IF(AND(N732=1,Y732=0,Z732=1,J732="Sim"),1,0)</f>
        <v>0</v>
      </c>
      <c r="AB732" s="96">
        <f>IF(AND(N732=1,O732&lt;&gt;"",D732&lt;&gt;""),IF(COUNTIFS($O$6:O732,O732,$D$6:D732,D732)=1,1,0),0)</f>
        <v>0</v>
      </c>
      <c r="AC732" s="96">
        <f>IF(T732=1,INDEX('ITENS_MTR'!$AL$6:$AL$1005,S732),0)</f>
        <v>0</v>
      </c>
    </row>
    <row r="733">
      <c r="A733" s="89" t="inlineStr">
        <is>
          <t>VIN-000728</t>
        </is>
      </c>
      <c r="B733" s="91" t="n"/>
      <c r="C733" s="91" t="n"/>
      <c r="D733" s="94" t="str">
        <f>IF(T733=1,INDEX('ITENS_MTR'!$S$6:$S$1005,S733)&amp;"","")</f>
        <v/>
      </c>
      <c r="E733" s="94" t="str">
        <f>IF(T733=1,INDEX('ITENS_MTR'!$C$6:$C$1005,S733)&amp;"","")</f>
        <v/>
      </c>
      <c r="F733" s="98" t="n"/>
      <c r="G733" s="91" t="n"/>
      <c r="H733" s="93" t="str">
        <f>IF(N733=0,"",IF(NOT(ISNUMBER(F733)),"",IF(ISNUMBER(U733),F733*U733,"UNIDADE A CONFERIR")))</f>
        <v/>
      </c>
      <c r="I733" s="94" t="str">
        <f>IF(Q733=1,INDEX('CDFs'!$F$6:$F$505,P733)&amp;"","")</f>
        <v/>
      </c>
      <c r="J733" s="91" t="n"/>
      <c r="K733" s="91" t="n"/>
      <c r="L733" s="94" t="str">
        <f>IF(N733=0,"",IF(NOT(ISNUMBER(F733)),"Quantidade não informada",IF(F733&lt;=0,"Quantidade não positiva",IF(G733="","Unidade não informada",IF(NOT(ISNUMBER(H733)),"Unidade a conferir",IF(AC733=1,"REVISAR VÍNCULO: soma vinculada maior que a referência do item","OK"))))))</f>
        <v/>
      </c>
      <c r="M733" s="94" t="str">
        <f>IF(N733=0,"",IF(B733="","CDF não informado",IF(Q733=0,"REVISAR VÍNCULO: CDF inexistente",IF(C733="","Item não informado",IF(T733=0,"REVISAR VÍNCULO: item inexistente",IF(AND(X733=1,J733&lt;&gt;"Sim"),"REVISAR VÍNCULO: destinador diferente do MTR",IF(X733=1,"Destinador diferente do MTR (analisado)","OK")))))))</f>
        <v/>
      </c>
      <c r="N733" s="96">
        <f>IF(COUNTA(B733:C733,F733:G733,J733:K733)&gt;0,1,0)</f>
        <v>0</v>
      </c>
      <c r="O733" s="96" t="str">
        <f>IF(B733="","",TRIM(LEFT(B733,FIND(" |",B733&amp;" |")-1)))</f>
        <v/>
      </c>
      <c r="P733" s="96" t="str">
        <f>IF(O733="","",IFERROR(MATCH(O733,'CDFs'!$A$6:$A$505,0),""))</f>
        <v/>
      </c>
      <c r="Q733" s="96">
        <f>IF(P733="",0,IF(INDEX('CDFs'!$S$6:$S$505,P733)=1,1,0))</f>
        <v>0</v>
      </c>
      <c r="R733" s="96" t="str">
        <f>IF(C733="","",TRIM(LEFT(C733,FIND(" |",C733&amp;" |")-1)))</f>
        <v/>
      </c>
      <c r="S733" s="96" t="str">
        <f>IF(R733="","",IFERROR(MATCH(R733,'ITENS_MTR'!$A$6:$A$1005,0),""))</f>
        <v/>
      </c>
      <c r="T733" s="96">
        <f>IF(S733="",0,IF(INDEX('ITENS_MTR'!$R$6:$R$1005,S733)=1,1,0))</f>
        <v>0</v>
      </c>
      <c r="U733" s="96" t="str">
        <f>IF(G733="","",IFERROR(IF(ISNUMBER(INDEX(cfg_fac,MATCH(G733,cfg_units,0))),IF(INDEX(cfg_fac,MATCH(G733,cfg_units,0))&gt;0,INDEX(cfg_fac,MATCH(G733,cfg_units,0)),""),""),""))</f>
        <v/>
      </c>
      <c r="V733" s="96">
        <f>IF(AND(ISNUMBER(F733),ISNUMBER(H733)),IF(H733&gt;0,1,0),0)</f>
        <v>0</v>
      </c>
      <c r="W733" s="96" t="str">
        <f>IF(T733=1,INDEX('ITENS_MTR'!$AU$6:$AU$1005,S733)&amp;"","")</f>
        <v/>
      </c>
      <c r="X733" s="96">
        <f>IF(AND(Q733=1,T733=1,I733&lt;&gt;"",W733&lt;&gt;""),IF(I733&lt;&gt;W733,1,0),0)</f>
        <v>0</v>
      </c>
      <c r="Y733" s="96">
        <f>IF(N733=0,0,IF(OR(Q733=0,T733=0,V733=0,AND(X733=1,J733&lt;&gt;"Sim")),1,0))</f>
        <v>0</v>
      </c>
      <c r="Z733" s="96">
        <f>IF(Q733=1,INDEX('CDFs'!$W$6:$W$505,P733),0)</f>
        <v>0</v>
      </c>
      <c r="AA733" s="96">
        <f>IF(AND(N733=1,Y733=0,Z733=1,J733="Sim"),1,0)</f>
        <v>0</v>
      </c>
      <c r="AB733" s="96">
        <f>IF(AND(N733=1,O733&lt;&gt;"",D733&lt;&gt;""),IF(COUNTIFS($O$6:O733,O733,$D$6:D733,D733)=1,1,0),0)</f>
        <v>0</v>
      </c>
      <c r="AC733" s="96">
        <f>IF(T733=1,INDEX('ITENS_MTR'!$AL$6:$AL$1005,S733),0)</f>
        <v>0</v>
      </c>
    </row>
    <row r="734">
      <c r="A734" s="89" t="inlineStr">
        <is>
          <t>VIN-000729</t>
        </is>
      </c>
      <c r="B734" s="91" t="n"/>
      <c r="C734" s="91" t="n"/>
      <c r="D734" s="94" t="str">
        <f>IF(T734=1,INDEX('ITENS_MTR'!$S$6:$S$1005,S734)&amp;"","")</f>
        <v/>
      </c>
      <c r="E734" s="94" t="str">
        <f>IF(T734=1,INDEX('ITENS_MTR'!$C$6:$C$1005,S734)&amp;"","")</f>
        <v/>
      </c>
      <c r="F734" s="98" t="n"/>
      <c r="G734" s="91" t="n"/>
      <c r="H734" s="93" t="str">
        <f>IF(N734=0,"",IF(NOT(ISNUMBER(F734)),"",IF(ISNUMBER(U734),F734*U734,"UNIDADE A CONFERIR")))</f>
        <v/>
      </c>
      <c r="I734" s="94" t="str">
        <f>IF(Q734=1,INDEX('CDFs'!$F$6:$F$505,P734)&amp;"","")</f>
        <v/>
      </c>
      <c r="J734" s="91" t="n"/>
      <c r="K734" s="91" t="n"/>
      <c r="L734" s="94" t="str">
        <f>IF(N734=0,"",IF(NOT(ISNUMBER(F734)),"Quantidade não informada",IF(F734&lt;=0,"Quantidade não positiva",IF(G734="","Unidade não informada",IF(NOT(ISNUMBER(H734)),"Unidade a conferir",IF(AC734=1,"REVISAR VÍNCULO: soma vinculada maior que a referência do item","OK"))))))</f>
        <v/>
      </c>
      <c r="M734" s="94" t="str">
        <f>IF(N734=0,"",IF(B734="","CDF não informado",IF(Q734=0,"REVISAR VÍNCULO: CDF inexistente",IF(C734="","Item não informado",IF(T734=0,"REVISAR VÍNCULO: item inexistente",IF(AND(X734=1,J734&lt;&gt;"Sim"),"REVISAR VÍNCULO: destinador diferente do MTR",IF(X734=1,"Destinador diferente do MTR (analisado)","OK")))))))</f>
        <v/>
      </c>
      <c r="N734" s="96">
        <f>IF(COUNTA(B734:C734,F734:G734,J734:K734)&gt;0,1,0)</f>
        <v>0</v>
      </c>
      <c r="O734" s="96" t="str">
        <f>IF(B734="","",TRIM(LEFT(B734,FIND(" |",B734&amp;" |")-1)))</f>
        <v/>
      </c>
      <c r="P734" s="96" t="str">
        <f>IF(O734="","",IFERROR(MATCH(O734,'CDFs'!$A$6:$A$505,0),""))</f>
        <v/>
      </c>
      <c r="Q734" s="96">
        <f>IF(P734="",0,IF(INDEX('CDFs'!$S$6:$S$505,P734)=1,1,0))</f>
        <v>0</v>
      </c>
      <c r="R734" s="96" t="str">
        <f>IF(C734="","",TRIM(LEFT(C734,FIND(" |",C734&amp;" |")-1)))</f>
        <v/>
      </c>
      <c r="S734" s="96" t="str">
        <f>IF(R734="","",IFERROR(MATCH(R734,'ITENS_MTR'!$A$6:$A$1005,0),""))</f>
        <v/>
      </c>
      <c r="T734" s="96">
        <f>IF(S734="",0,IF(INDEX('ITENS_MTR'!$R$6:$R$1005,S734)=1,1,0))</f>
        <v>0</v>
      </c>
      <c r="U734" s="96" t="str">
        <f>IF(G734="","",IFERROR(IF(ISNUMBER(INDEX(cfg_fac,MATCH(G734,cfg_units,0))),IF(INDEX(cfg_fac,MATCH(G734,cfg_units,0))&gt;0,INDEX(cfg_fac,MATCH(G734,cfg_units,0)),""),""),""))</f>
        <v/>
      </c>
      <c r="V734" s="96">
        <f>IF(AND(ISNUMBER(F734),ISNUMBER(H734)),IF(H734&gt;0,1,0),0)</f>
        <v>0</v>
      </c>
      <c r="W734" s="96" t="str">
        <f>IF(T734=1,INDEX('ITENS_MTR'!$AU$6:$AU$1005,S734)&amp;"","")</f>
        <v/>
      </c>
      <c r="X734" s="96">
        <f>IF(AND(Q734=1,T734=1,I734&lt;&gt;"",W734&lt;&gt;""),IF(I734&lt;&gt;W734,1,0),0)</f>
        <v>0</v>
      </c>
      <c r="Y734" s="96">
        <f>IF(N734=0,0,IF(OR(Q734=0,T734=0,V734=0,AND(X734=1,J734&lt;&gt;"Sim")),1,0))</f>
        <v>0</v>
      </c>
      <c r="Z734" s="96">
        <f>IF(Q734=1,INDEX('CDFs'!$W$6:$W$505,P734),0)</f>
        <v>0</v>
      </c>
      <c r="AA734" s="96">
        <f>IF(AND(N734=1,Y734=0,Z734=1,J734="Sim"),1,0)</f>
        <v>0</v>
      </c>
      <c r="AB734" s="96">
        <f>IF(AND(N734=1,O734&lt;&gt;"",D734&lt;&gt;""),IF(COUNTIFS($O$6:O734,O734,$D$6:D734,D734)=1,1,0),0)</f>
        <v>0</v>
      </c>
      <c r="AC734" s="96">
        <f>IF(T734=1,INDEX('ITENS_MTR'!$AL$6:$AL$1005,S734),0)</f>
        <v>0</v>
      </c>
    </row>
    <row r="735">
      <c r="A735" s="89" t="inlineStr">
        <is>
          <t>VIN-000730</t>
        </is>
      </c>
      <c r="B735" s="91" t="n"/>
      <c r="C735" s="91" t="n"/>
      <c r="D735" s="94" t="str">
        <f>IF(T735=1,INDEX('ITENS_MTR'!$S$6:$S$1005,S735)&amp;"","")</f>
        <v/>
      </c>
      <c r="E735" s="94" t="str">
        <f>IF(T735=1,INDEX('ITENS_MTR'!$C$6:$C$1005,S735)&amp;"","")</f>
        <v/>
      </c>
      <c r="F735" s="98" t="n"/>
      <c r="G735" s="91" t="n"/>
      <c r="H735" s="93" t="str">
        <f>IF(N735=0,"",IF(NOT(ISNUMBER(F735)),"",IF(ISNUMBER(U735),F735*U735,"UNIDADE A CONFERIR")))</f>
        <v/>
      </c>
      <c r="I735" s="94" t="str">
        <f>IF(Q735=1,INDEX('CDFs'!$F$6:$F$505,P735)&amp;"","")</f>
        <v/>
      </c>
      <c r="J735" s="91" t="n"/>
      <c r="K735" s="91" t="n"/>
      <c r="L735" s="94" t="str">
        <f>IF(N735=0,"",IF(NOT(ISNUMBER(F735)),"Quantidade não informada",IF(F735&lt;=0,"Quantidade não positiva",IF(G735="","Unidade não informada",IF(NOT(ISNUMBER(H735)),"Unidade a conferir",IF(AC735=1,"REVISAR VÍNCULO: soma vinculada maior que a referência do item","OK"))))))</f>
        <v/>
      </c>
      <c r="M735" s="94" t="str">
        <f>IF(N735=0,"",IF(B735="","CDF não informado",IF(Q735=0,"REVISAR VÍNCULO: CDF inexistente",IF(C735="","Item não informado",IF(T735=0,"REVISAR VÍNCULO: item inexistente",IF(AND(X735=1,J735&lt;&gt;"Sim"),"REVISAR VÍNCULO: destinador diferente do MTR",IF(X735=1,"Destinador diferente do MTR (analisado)","OK")))))))</f>
        <v/>
      </c>
      <c r="N735" s="96">
        <f>IF(COUNTA(B735:C735,F735:G735,J735:K735)&gt;0,1,0)</f>
        <v>0</v>
      </c>
      <c r="O735" s="96" t="str">
        <f>IF(B735="","",TRIM(LEFT(B735,FIND(" |",B735&amp;" |")-1)))</f>
        <v/>
      </c>
      <c r="P735" s="96" t="str">
        <f>IF(O735="","",IFERROR(MATCH(O735,'CDFs'!$A$6:$A$505,0),""))</f>
        <v/>
      </c>
      <c r="Q735" s="96">
        <f>IF(P735="",0,IF(INDEX('CDFs'!$S$6:$S$505,P735)=1,1,0))</f>
        <v>0</v>
      </c>
      <c r="R735" s="96" t="str">
        <f>IF(C735="","",TRIM(LEFT(C735,FIND(" |",C735&amp;" |")-1)))</f>
        <v/>
      </c>
      <c r="S735" s="96" t="str">
        <f>IF(R735="","",IFERROR(MATCH(R735,'ITENS_MTR'!$A$6:$A$1005,0),""))</f>
        <v/>
      </c>
      <c r="T735" s="96">
        <f>IF(S735="",0,IF(INDEX('ITENS_MTR'!$R$6:$R$1005,S735)=1,1,0))</f>
        <v>0</v>
      </c>
      <c r="U735" s="96" t="str">
        <f>IF(G735="","",IFERROR(IF(ISNUMBER(INDEX(cfg_fac,MATCH(G735,cfg_units,0))),IF(INDEX(cfg_fac,MATCH(G735,cfg_units,0))&gt;0,INDEX(cfg_fac,MATCH(G735,cfg_units,0)),""),""),""))</f>
        <v/>
      </c>
      <c r="V735" s="96">
        <f>IF(AND(ISNUMBER(F735),ISNUMBER(H735)),IF(H735&gt;0,1,0),0)</f>
        <v>0</v>
      </c>
      <c r="W735" s="96" t="str">
        <f>IF(T735=1,INDEX('ITENS_MTR'!$AU$6:$AU$1005,S735)&amp;"","")</f>
        <v/>
      </c>
      <c r="X735" s="96">
        <f>IF(AND(Q735=1,T735=1,I735&lt;&gt;"",W735&lt;&gt;""),IF(I735&lt;&gt;W735,1,0),0)</f>
        <v>0</v>
      </c>
      <c r="Y735" s="96">
        <f>IF(N735=0,0,IF(OR(Q735=0,T735=0,V735=0,AND(X735=1,J735&lt;&gt;"Sim")),1,0))</f>
        <v>0</v>
      </c>
      <c r="Z735" s="96">
        <f>IF(Q735=1,INDEX('CDFs'!$W$6:$W$505,P735),0)</f>
        <v>0</v>
      </c>
      <c r="AA735" s="96">
        <f>IF(AND(N735=1,Y735=0,Z735=1,J735="Sim"),1,0)</f>
        <v>0</v>
      </c>
      <c r="AB735" s="96">
        <f>IF(AND(N735=1,O735&lt;&gt;"",D735&lt;&gt;""),IF(COUNTIFS($O$6:O735,O735,$D$6:D735,D735)=1,1,0),0)</f>
        <v>0</v>
      </c>
      <c r="AC735" s="96">
        <f>IF(T735=1,INDEX('ITENS_MTR'!$AL$6:$AL$1005,S735),0)</f>
        <v>0</v>
      </c>
    </row>
    <row r="736">
      <c r="A736" s="89" t="inlineStr">
        <is>
          <t>VIN-000731</t>
        </is>
      </c>
      <c r="B736" s="91" t="n"/>
      <c r="C736" s="91" t="n"/>
      <c r="D736" s="94" t="str">
        <f>IF(T736=1,INDEX('ITENS_MTR'!$S$6:$S$1005,S736)&amp;"","")</f>
        <v/>
      </c>
      <c r="E736" s="94" t="str">
        <f>IF(T736=1,INDEX('ITENS_MTR'!$C$6:$C$1005,S736)&amp;"","")</f>
        <v/>
      </c>
      <c r="F736" s="98" t="n"/>
      <c r="G736" s="91" t="n"/>
      <c r="H736" s="93" t="str">
        <f>IF(N736=0,"",IF(NOT(ISNUMBER(F736)),"",IF(ISNUMBER(U736),F736*U736,"UNIDADE A CONFERIR")))</f>
        <v/>
      </c>
      <c r="I736" s="94" t="str">
        <f>IF(Q736=1,INDEX('CDFs'!$F$6:$F$505,P736)&amp;"","")</f>
        <v/>
      </c>
      <c r="J736" s="91" t="n"/>
      <c r="K736" s="91" t="n"/>
      <c r="L736" s="94" t="str">
        <f>IF(N736=0,"",IF(NOT(ISNUMBER(F736)),"Quantidade não informada",IF(F736&lt;=0,"Quantidade não positiva",IF(G736="","Unidade não informada",IF(NOT(ISNUMBER(H736)),"Unidade a conferir",IF(AC736=1,"REVISAR VÍNCULO: soma vinculada maior que a referência do item","OK"))))))</f>
        <v/>
      </c>
      <c r="M736" s="94" t="str">
        <f>IF(N736=0,"",IF(B736="","CDF não informado",IF(Q736=0,"REVISAR VÍNCULO: CDF inexistente",IF(C736="","Item não informado",IF(T736=0,"REVISAR VÍNCULO: item inexistente",IF(AND(X736=1,J736&lt;&gt;"Sim"),"REVISAR VÍNCULO: destinador diferente do MTR",IF(X736=1,"Destinador diferente do MTR (analisado)","OK")))))))</f>
        <v/>
      </c>
      <c r="N736" s="96">
        <f>IF(COUNTA(B736:C736,F736:G736,J736:K736)&gt;0,1,0)</f>
        <v>0</v>
      </c>
      <c r="O736" s="96" t="str">
        <f>IF(B736="","",TRIM(LEFT(B736,FIND(" |",B736&amp;" |")-1)))</f>
        <v/>
      </c>
      <c r="P736" s="96" t="str">
        <f>IF(O736="","",IFERROR(MATCH(O736,'CDFs'!$A$6:$A$505,0),""))</f>
        <v/>
      </c>
      <c r="Q736" s="96">
        <f>IF(P736="",0,IF(INDEX('CDFs'!$S$6:$S$505,P736)=1,1,0))</f>
        <v>0</v>
      </c>
      <c r="R736" s="96" t="str">
        <f>IF(C736="","",TRIM(LEFT(C736,FIND(" |",C736&amp;" |")-1)))</f>
        <v/>
      </c>
      <c r="S736" s="96" t="str">
        <f>IF(R736="","",IFERROR(MATCH(R736,'ITENS_MTR'!$A$6:$A$1005,0),""))</f>
        <v/>
      </c>
      <c r="T736" s="96">
        <f>IF(S736="",0,IF(INDEX('ITENS_MTR'!$R$6:$R$1005,S736)=1,1,0))</f>
        <v>0</v>
      </c>
      <c r="U736" s="96" t="str">
        <f>IF(G736="","",IFERROR(IF(ISNUMBER(INDEX(cfg_fac,MATCH(G736,cfg_units,0))),IF(INDEX(cfg_fac,MATCH(G736,cfg_units,0))&gt;0,INDEX(cfg_fac,MATCH(G736,cfg_units,0)),""),""),""))</f>
        <v/>
      </c>
      <c r="V736" s="96">
        <f>IF(AND(ISNUMBER(F736),ISNUMBER(H736)),IF(H736&gt;0,1,0),0)</f>
        <v>0</v>
      </c>
      <c r="W736" s="96" t="str">
        <f>IF(T736=1,INDEX('ITENS_MTR'!$AU$6:$AU$1005,S736)&amp;"","")</f>
        <v/>
      </c>
      <c r="X736" s="96">
        <f>IF(AND(Q736=1,T736=1,I736&lt;&gt;"",W736&lt;&gt;""),IF(I736&lt;&gt;W736,1,0),0)</f>
        <v>0</v>
      </c>
      <c r="Y736" s="96">
        <f>IF(N736=0,0,IF(OR(Q736=0,T736=0,V736=0,AND(X736=1,J736&lt;&gt;"Sim")),1,0))</f>
        <v>0</v>
      </c>
      <c r="Z736" s="96">
        <f>IF(Q736=1,INDEX('CDFs'!$W$6:$W$505,P736),0)</f>
        <v>0</v>
      </c>
      <c r="AA736" s="96">
        <f>IF(AND(N736=1,Y736=0,Z736=1,J736="Sim"),1,0)</f>
        <v>0</v>
      </c>
      <c r="AB736" s="96">
        <f>IF(AND(N736=1,O736&lt;&gt;"",D736&lt;&gt;""),IF(COUNTIFS($O$6:O736,O736,$D$6:D736,D736)=1,1,0),0)</f>
        <v>0</v>
      </c>
      <c r="AC736" s="96">
        <f>IF(T736=1,INDEX('ITENS_MTR'!$AL$6:$AL$1005,S736),0)</f>
        <v>0</v>
      </c>
    </row>
    <row r="737">
      <c r="A737" s="89" t="inlineStr">
        <is>
          <t>VIN-000732</t>
        </is>
      </c>
      <c r="B737" s="91" t="n"/>
      <c r="C737" s="91" t="n"/>
      <c r="D737" s="94" t="str">
        <f>IF(T737=1,INDEX('ITENS_MTR'!$S$6:$S$1005,S737)&amp;"","")</f>
        <v/>
      </c>
      <c r="E737" s="94" t="str">
        <f>IF(T737=1,INDEX('ITENS_MTR'!$C$6:$C$1005,S737)&amp;"","")</f>
        <v/>
      </c>
      <c r="F737" s="98" t="n"/>
      <c r="G737" s="91" t="n"/>
      <c r="H737" s="93" t="str">
        <f>IF(N737=0,"",IF(NOT(ISNUMBER(F737)),"",IF(ISNUMBER(U737),F737*U737,"UNIDADE A CONFERIR")))</f>
        <v/>
      </c>
      <c r="I737" s="94" t="str">
        <f>IF(Q737=1,INDEX('CDFs'!$F$6:$F$505,P737)&amp;"","")</f>
        <v/>
      </c>
      <c r="J737" s="91" t="n"/>
      <c r="K737" s="91" t="n"/>
      <c r="L737" s="94" t="str">
        <f>IF(N737=0,"",IF(NOT(ISNUMBER(F737)),"Quantidade não informada",IF(F737&lt;=0,"Quantidade não positiva",IF(G737="","Unidade não informada",IF(NOT(ISNUMBER(H737)),"Unidade a conferir",IF(AC737=1,"REVISAR VÍNCULO: soma vinculada maior que a referência do item","OK"))))))</f>
        <v/>
      </c>
      <c r="M737" s="94" t="str">
        <f>IF(N737=0,"",IF(B737="","CDF não informado",IF(Q737=0,"REVISAR VÍNCULO: CDF inexistente",IF(C737="","Item não informado",IF(T737=0,"REVISAR VÍNCULO: item inexistente",IF(AND(X737=1,J737&lt;&gt;"Sim"),"REVISAR VÍNCULO: destinador diferente do MTR",IF(X737=1,"Destinador diferente do MTR (analisado)","OK")))))))</f>
        <v/>
      </c>
      <c r="N737" s="96">
        <f>IF(COUNTA(B737:C737,F737:G737,J737:K737)&gt;0,1,0)</f>
        <v>0</v>
      </c>
      <c r="O737" s="96" t="str">
        <f>IF(B737="","",TRIM(LEFT(B737,FIND(" |",B737&amp;" |")-1)))</f>
        <v/>
      </c>
      <c r="P737" s="96" t="str">
        <f>IF(O737="","",IFERROR(MATCH(O737,'CDFs'!$A$6:$A$505,0),""))</f>
        <v/>
      </c>
      <c r="Q737" s="96">
        <f>IF(P737="",0,IF(INDEX('CDFs'!$S$6:$S$505,P737)=1,1,0))</f>
        <v>0</v>
      </c>
      <c r="R737" s="96" t="str">
        <f>IF(C737="","",TRIM(LEFT(C737,FIND(" |",C737&amp;" |")-1)))</f>
        <v/>
      </c>
      <c r="S737" s="96" t="str">
        <f>IF(R737="","",IFERROR(MATCH(R737,'ITENS_MTR'!$A$6:$A$1005,0),""))</f>
        <v/>
      </c>
      <c r="T737" s="96">
        <f>IF(S737="",0,IF(INDEX('ITENS_MTR'!$R$6:$R$1005,S737)=1,1,0))</f>
        <v>0</v>
      </c>
      <c r="U737" s="96" t="str">
        <f>IF(G737="","",IFERROR(IF(ISNUMBER(INDEX(cfg_fac,MATCH(G737,cfg_units,0))),IF(INDEX(cfg_fac,MATCH(G737,cfg_units,0))&gt;0,INDEX(cfg_fac,MATCH(G737,cfg_units,0)),""),""),""))</f>
        <v/>
      </c>
      <c r="V737" s="96">
        <f>IF(AND(ISNUMBER(F737),ISNUMBER(H737)),IF(H737&gt;0,1,0),0)</f>
        <v>0</v>
      </c>
      <c r="W737" s="96" t="str">
        <f>IF(T737=1,INDEX('ITENS_MTR'!$AU$6:$AU$1005,S737)&amp;"","")</f>
        <v/>
      </c>
      <c r="X737" s="96">
        <f>IF(AND(Q737=1,T737=1,I737&lt;&gt;"",W737&lt;&gt;""),IF(I737&lt;&gt;W737,1,0),0)</f>
        <v>0</v>
      </c>
      <c r="Y737" s="96">
        <f>IF(N737=0,0,IF(OR(Q737=0,T737=0,V737=0,AND(X737=1,J737&lt;&gt;"Sim")),1,0))</f>
        <v>0</v>
      </c>
      <c r="Z737" s="96">
        <f>IF(Q737=1,INDEX('CDFs'!$W$6:$W$505,P737),0)</f>
        <v>0</v>
      </c>
      <c r="AA737" s="96">
        <f>IF(AND(N737=1,Y737=0,Z737=1,J737="Sim"),1,0)</f>
        <v>0</v>
      </c>
      <c r="AB737" s="96">
        <f>IF(AND(N737=1,O737&lt;&gt;"",D737&lt;&gt;""),IF(COUNTIFS($O$6:O737,O737,$D$6:D737,D737)=1,1,0),0)</f>
        <v>0</v>
      </c>
      <c r="AC737" s="96">
        <f>IF(T737=1,INDEX('ITENS_MTR'!$AL$6:$AL$1005,S737),0)</f>
        <v>0</v>
      </c>
    </row>
    <row r="738">
      <c r="A738" s="89" t="inlineStr">
        <is>
          <t>VIN-000733</t>
        </is>
      </c>
      <c r="B738" s="91" t="n"/>
      <c r="C738" s="91" t="n"/>
      <c r="D738" s="94" t="str">
        <f>IF(T738=1,INDEX('ITENS_MTR'!$S$6:$S$1005,S738)&amp;"","")</f>
        <v/>
      </c>
      <c r="E738" s="94" t="str">
        <f>IF(T738=1,INDEX('ITENS_MTR'!$C$6:$C$1005,S738)&amp;"","")</f>
        <v/>
      </c>
      <c r="F738" s="98" t="n"/>
      <c r="G738" s="91" t="n"/>
      <c r="H738" s="93" t="str">
        <f>IF(N738=0,"",IF(NOT(ISNUMBER(F738)),"",IF(ISNUMBER(U738),F738*U738,"UNIDADE A CONFERIR")))</f>
        <v/>
      </c>
      <c r="I738" s="94" t="str">
        <f>IF(Q738=1,INDEX('CDFs'!$F$6:$F$505,P738)&amp;"","")</f>
        <v/>
      </c>
      <c r="J738" s="91" t="n"/>
      <c r="K738" s="91" t="n"/>
      <c r="L738" s="94" t="str">
        <f>IF(N738=0,"",IF(NOT(ISNUMBER(F738)),"Quantidade não informada",IF(F738&lt;=0,"Quantidade não positiva",IF(G738="","Unidade não informada",IF(NOT(ISNUMBER(H738)),"Unidade a conferir",IF(AC738=1,"REVISAR VÍNCULO: soma vinculada maior que a referência do item","OK"))))))</f>
        <v/>
      </c>
      <c r="M738" s="94" t="str">
        <f>IF(N738=0,"",IF(B738="","CDF não informado",IF(Q738=0,"REVISAR VÍNCULO: CDF inexistente",IF(C738="","Item não informado",IF(T738=0,"REVISAR VÍNCULO: item inexistente",IF(AND(X738=1,J738&lt;&gt;"Sim"),"REVISAR VÍNCULO: destinador diferente do MTR",IF(X738=1,"Destinador diferente do MTR (analisado)","OK")))))))</f>
        <v/>
      </c>
      <c r="N738" s="96">
        <f>IF(COUNTA(B738:C738,F738:G738,J738:K738)&gt;0,1,0)</f>
        <v>0</v>
      </c>
      <c r="O738" s="96" t="str">
        <f>IF(B738="","",TRIM(LEFT(B738,FIND(" |",B738&amp;" |")-1)))</f>
        <v/>
      </c>
      <c r="P738" s="96" t="str">
        <f>IF(O738="","",IFERROR(MATCH(O738,'CDFs'!$A$6:$A$505,0),""))</f>
        <v/>
      </c>
      <c r="Q738" s="96">
        <f>IF(P738="",0,IF(INDEX('CDFs'!$S$6:$S$505,P738)=1,1,0))</f>
        <v>0</v>
      </c>
      <c r="R738" s="96" t="str">
        <f>IF(C738="","",TRIM(LEFT(C738,FIND(" |",C738&amp;" |")-1)))</f>
        <v/>
      </c>
      <c r="S738" s="96" t="str">
        <f>IF(R738="","",IFERROR(MATCH(R738,'ITENS_MTR'!$A$6:$A$1005,0),""))</f>
        <v/>
      </c>
      <c r="T738" s="96">
        <f>IF(S738="",0,IF(INDEX('ITENS_MTR'!$R$6:$R$1005,S738)=1,1,0))</f>
        <v>0</v>
      </c>
      <c r="U738" s="96" t="str">
        <f>IF(G738="","",IFERROR(IF(ISNUMBER(INDEX(cfg_fac,MATCH(G738,cfg_units,0))),IF(INDEX(cfg_fac,MATCH(G738,cfg_units,0))&gt;0,INDEX(cfg_fac,MATCH(G738,cfg_units,0)),""),""),""))</f>
        <v/>
      </c>
      <c r="V738" s="96">
        <f>IF(AND(ISNUMBER(F738),ISNUMBER(H738)),IF(H738&gt;0,1,0),0)</f>
        <v>0</v>
      </c>
      <c r="W738" s="96" t="str">
        <f>IF(T738=1,INDEX('ITENS_MTR'!$AU$6:$AU$1005,S738)&amp;"","")</f>
        <v/>
      </c>
      <c r="X738" s="96">
        <f>IF(AND(Q738=1,T738=1,I738&lt;&gt;"",W738&lt;&gt;""),IF(I738&lt;&gt;W738,1,0),0)</f>
        <v>0</v>
      </c>
      <c r="Y738" s="96">
        <f>IF(N738=0,0,IF(OR(Q738=0,T738=0,V738=0,AND(X738=1,J738&lt;&gt;"Sim")),1,0))</f>
        <v>0</v>
      </c>
      <c r="Z738" s="96">
        <f>IF(Q738=1,INDEX('CDFs'!$W$6:$W$505,P738),0)</f>
        <v>0</v>
      </c>
      <c r="AA738" s="96">
        <f>IF(AND(N738=1,Y738=0,Z738=1,J738="Sim"),1,0)</f>
        <v>0</v>
      </c>
      <c r="AB738" s="96">
        <f>IF(AND(N738=1,O738&lt;&gt;"",D738&lt;&gt;""),IF(COUNTIFS($O$6:O738,O738,$D$6:D738,D738)=1,1,0),0)</f>
        <v>0</v>
      </c>
      <c r="AC738" s="96">
        <f>IF(T738=1,INDEX('ITENS_MTR'!$AL$6:$AL$1005,S738),0)</f>
        <v>0</v>
      </c>
    </row>
    <row r="739">
      <c r="A739" s="89" t="inlineStr">
        <is>
          <t>VIN-000734</t>
        </is>
      </c>
      <c r="B739" s="91" t="n"/>
      <c r="C739" s="91" t="n"/>
      <c r="D739" s="94" t="str">
        <f>IF(T739=1,INDEX('ITENS_MTR'!$S$6:$S$1005,S739)&amp;"","")</f>
        <v/>
      </c>
      <c r="E739" s="94" t="str">
        <f>IF(T739=1,INDEX('ITENS_MTR'!$C$6:$C$1005,S739)&amp;"","")</f>
        <v/>
      </c>
      <c r="F739" s="98" t="n"/>
      <c r="G739" s="91" t="n"/>
      <c r="H739" s="93" t="str">
        <f>IF(N739=0,"",IF(NOT(ISNUMBER(F739)),"",IF(ISNUMBER(U739),F739*U739,"UNIDADE A CONFERIR")))</f>
        <v/>
      </c>
      <c r="I739" s="94" t="str">
        <f>IF(Q739=1,INDEX('CDFs'!$F$6:$F$505,P739)&amp;"","")</f>
        <v/>
      </c>
      <c r="J739" s="91" t="n"/>
      <c r="K739" s="91" t="n"/>
      <c r="L739" s="94" t="str">
        <f>IF(N739=0,"",IF(NOT(ISNUMBER(F739)),"Quantidade não informada",IF(F739&lt;=0,"Quantidade não positiva",IF(G739="","Unidade não informada",IF(NOT(ISNUMBER(H739)),"Unidade a conferir",IF(AC739=1,"REVISAR VÍNCULO: soma vinculada maior que a referência do item","OK"))))))</f>
        <v/>
      </c>
      <c r="M739" s="94" t="str">
        <f>IF(N739=0,"",IF(B739="","CDF não informado",IF(Q739=0,"REVISAR VÍNCULO: CDF inexistente",IF(C739="","Item não informado",IF(T739=0,"REVISAR VÍNCULO: item inexistente",IF(AND(X739=1,J739&lt;&gt;"Sim"),"REVISAR VÍNCULO: destinador diferente do MTR",IF(X739=1,"Destinador diferente do MTR (analisado)","OK")))))))</f>
        <v/>
      </c>
      <c r="N739" s="96">
        <f>IF(COUNTA(B739:C739,F739:G739,J739:K739)&gt;0,1,0)</f>
        <v>0</v>
      </c>
      <c r="O739" s="96" t="str">
        <f>IF(B739="","",TRIM(LEFT(B739,FIND(" |",B739&amp;" |")-1)))</f>
        <v/>
      </c>
      <c r="P739" s="96" t="str">
        <f>IF(O739="","",IFERROR(MATCH(O739,'CDFs'!$A$6:$A$505,0),""))</f>
        <v/>
      </c>
      <c r="Q739" s="96">
        <f>IF(P739="",0,IF(INDEX('CDFs'!$S$6:$S$505,P739)=1,1,0))</f>
        <v>0</v>
      </c>
      <c r="R739" s="96" t="str">
        <f>IF(C739="","",TRIM(LEFT(C739,FIND(" |",C739&amp;" |")-1)))</f>
        <v/>
      </c>
      <c r="S739" s="96" t="str">
        <f>IF(R739="","",IFERROR(MATCH(R739,'ITENS_MTR'!$A$6:$A$1005,0),""))</f>
        <v/>
      </c>
      <c r="T739" s="96">
        <f>IF(S739="",0,IF(INDEX('ITENS_MTR'!$R$6:$R$1005,S739)=1,1,0))</f>
        <v>0</v>
      </c>
      <c r="U739" s="96" t="str">
        <f>IF(G739="","",IFERROR(IF(ISNUMBER(INDEX(cfg_fac,MATCH(G739,cfg_units,0))),IF(INDEX(cfg_fac,MATCH(G739,cfg_units,0))&gt;0,INDEX(cfg_fac,MATCH(G739,cfg_units,0)),""),""),""))</f>
        <v/>
      </c>
      <c r="V739" s="96">
        <f>IF(AND(ISNUMBER(F739),ISNUMBER(H739)),IF(H739&gt;0,1,0),0)</f>
        <v>0</v>
      </c>
      <c r="W739" s="96" t="str">
        <f>IF(T739=1,INDEX('ITENS_MTR'!$AU$6:$AU$1005,S739)&amp;"","")</f>
        <v/>
      </c>
      <c r="X739" s="96">
        <f>IF(AND(Q739=1,T739=1,I739&lt;&gt;"",W739&lt;&gt;""),IF(I739&lt;&gt;W739,1,0),0)</f>
        <v>0</v>
      </c>
      <c r="Y739" s="96">
        <f>IF(N739=0,0,IF(OR(Q739=0,T739=0,V739=0,AND(X739=1,J739&lt;&gt;"Sim")),1,0))</f>
        <v>0</v>
      </c>
      <c r="Z739" s="96">
        <f>IF(Q739=1,INDEX('CDFs'!$W$6:$W$505,P739),0)</f>
        <v>0</v>
      </c>
      <c r="AA739" s="96">
        <f>IF(AND(N739=1,Y739=0,Z739=1,J739="Sim"),1,0)</f>
        <v>0</v>
      </c>
      <c r="AB739" s="96">
        <f>IF(AND(N739=1,O739&lt;&gt;"",D739&lt;&gt;""),IF(COUNTIFS($O$6:O739,O739,$D$6:D739,D739)=1,1,0),0)</f>
        <v>0</v>
      </c>
      <c r="AC739" s="96">
        <f>IF(T739=1,INDEX('ITENS_MTR'!$AL$6:$AL$1005,S739),0)</f>
        <v>0</v>
      </c>
    </row>
    <row r="740">
      <c r="A740" s="89" t="inlineStr">
        <is>
          <t>VIN-000735</t>
        </is>
      </c>
      <c r="B740" s="91" t="n"/>
      <c r="C740" s="91" t="n"/>
      <c r="D740" s="94" t="str">
        <f>IF(T740=1,INDEX('ITENS_MTR'!$S$6:$S$1005,S740)&amp;"","")</f>
        <v/>
      </c>
      <c r="E740" s="94" t="str">
        <f>IF(T740=1,INDEX('ITENS_MTR'!$C$6:$C$1005,S740)&amp;"","")</f>
        <v/>
      </c>
      <c r="F740" s="98" t="n"/>
      <c r="G740" s="91" t="n"/>
      <c r="H740" s="93" t="str">
        <f>IF(N740=0,"",IF(NOT(ISNUMBER(F740)),"",IF(ISNUMBER(U740),F740*U740,"UNIDADE A CONFERIR")))</f>
        <v/>
      </c>
      <c r="I740" s="94" t="str">
        <f>IF(Q740=1,INDEX('CDFs'!$F$6:$F$505,P740)&amp;"","")</f>
        <v/>
      </c>
      <c r="J740" s="91" t="n"/>
      <c r="K740" s="91" t="n"/>
      <c r="L740" s="94" t="str">
        <f>IF(N740=0,"",IF(NOT(ISNUMBER(F740)),"Quantidade não informada",IF(F740&lt;=0,"Quantidade não positiva",IF(G740="","Unidade não informada",IF(NOT(ISNUMBER(H740)),"Unidade a conferir",IF(AC740=1,"REVISAR VÍNCULO: soma vinculada maior que a referência do item","OK"))))))</f>
        <v/>
      </c>
      <c r="M740" s="94" t="str">
        <f>IF(N740=0,"",IF(B740="","CDF não informado",IF(Q740=0,"REVISAR VÍNCULO: CDF inexistente",IF(C740="","Item não informado",IF(T740=0,"REVISAR VÍNCULO: item inexistente",IF(AND(X740=1,J740&lt;&gt;"Sim"),"REVISAR VÍNCULO: destinador diferente do MTR",IF(X740=1,"Destinador diferente do MTR (analisado)","OK")))))))</f>
        <v/>
      </c>
      <c r="N740" s="96">
        <f>IF(COUNTA(B740:C740,F740:G740,J740:K740)&gt;0,1,0)</f>
        <v>0</v>
      </c>
      <c r="O740" s="96" t="str">
        <f>IF(B740="","",TRIM(LEFT(B740,FIND(" |",B740&amp;" |")-1)))</f>
        <v/>
      </c>
      <c r="P740" s="96" t="str">
        <f>IF(O740="","",IFERROR(MATCH(O740,'CDFs'!$A$6:$A$505,0),""))</f>
        <v/>
      </c>
      <c r="Q740" s="96">
        <f>IF(P740="",0,IF(INDEX('CDFs'!$S$6:$S$505,P740)=1,1,0))</f>
        <v>0</v>
      </c>
      <c r="R740" s="96" t="str">
        <f>IF(C740="","",TRIM(LEFT(C740,FIND(" |",C740&amp;" |")-1)))</f>
        <v/>
      </c>
      <c r="S740" s="96" t="str">
        <f>IF(R740="","",IFERROR(MATCH(R740,'ITENS_MTR'!$A$6:$A$1005,0),""))</f>
        <v/>
      </c>
      <c r="T740" s="96">
        <f>IF(S740="",0,IF(INDEX('ITENS_MTR'!$R$6:$R$1005,S740)=1,1,0))</f>
        <v>0</v>
      </c>
      <c r="U740" s="96" t="str">
        <f>IF(G740="","",IFERROR(IF(ISNUMBER(INDEX(cfg_fac,MATCH(G740,cfg_units,0))),IF(INDEX(cfg_fac,MATCH(G740,cfg_units,0))&gt;0,INDEX(cfg_fac,MATCH(G740,cfg_units,0)),""),""),""))</f>
        <v/>
      </c>
      <c r="V740" s="96">
        <f>IF(AND(ISNUMBER(F740),ISNUMBER(H740)),IF(H740&gt;0,1,0),0)</f>
        <v>0</v>
      </c>
      <c r="W740" s="96" t="str">
        <f>IF(T740=1,INDEX('ITENS_MTR'!$AU$6:$AU$1005,S740)&amp;"","")</f>
        <v/>
      </c>
      <c r="X740" s="96">
        <f>IF(AND(Q740=1,T740=1,I740&lt;&gt;"",W740&lt;&gt;""),IF(I740&lt;&gt;W740,1,0),0)</f>
        <v>0</v>
      </c>
      <c r="Y740" s="96">
        <f>IF(N740=0,0,IF(OR(Q740=0,T740=0,V740=0,AND(X740=1,J740&lt;&gt;"Sim")),1,0))</f>
        <v>0</v>
      </c>
      <c r="Z740" s="96">
        <f>IF(Q740=1,INDEX('CDFs'!$W$6:$W$505,P740),0)</f>
        <v>0</v>
      </c>
      <c r="AA740" s="96">
        <f>IF(AND(N740=1,Y740=0,Z740=1,J740="Sim"),1,0)</f>
        <v>0</v>
      </c>
      <c r="AB740" s="96">
        <f>IF(AND(N740=1,O740&lt;&gt;"",D740&lt;&gt;""),IF(COUNTIFS($O$6:O740,O740,$D$6:D740,D740)=1,1,0),0)</f>
        <v>0</v>
      </c>
      <c r="AC740" s="96">
        <f>IF(T740=1,INDEX('ITENS_MTR'!$AL$6:$AL$1005,S740),0)</f>
        <v>0</v>
      </c>
    </row>
    <row r="741">
      <c r="A741" s="89" t="inlineStr">
        <is>
          <t>VIN-000736</t>
        </is>
      </c>
      <c r="B741" s="91" t="n"/>
      <c r="C741" s="91" t="n"/>
      <c r="D741" s="94" t="str">
        <f>IF(T741=1,INDEX('ITENS_MTR'!$S$6:$S$1005,S741)&amp;"","")</f>
        <v/>
      </c>
      <c r="E741" s="94" t="str">
        <f>IF(T741=1,INDEX('ITENS_MTR'!$C$6:$C$1005,S741)&amp;"","")</f>
        <v/>
      </c>
      <c r="F741" s="98" t="n"/>
      <c r="G741" s="91" t="n"/>
      <c r="H741" s="93" t="str">
        <f>IF(N741=0,"",IF(NOT(ISNUMBER(F741)),"",IF(ISNUMBER(U741),F741*U741,"UNIDADE A CONFERIR")))</f>
        <v/>
      </c>
      <c r="I741" s="94" t="str">
        <f>IF(Q741=1,INDEX('CDFs'!$F$6:$F$505,P741)&amp;"","")</f>
        <v/>
      </c>
      <c r="J741" s="91" t="n"/>
      <c r="K741" s="91" t="n"/>
      <c r="L741" s="94" t="str">
        <f>IF(N741=0,"",IF(NOT(ISNUMBER(F741)),"Quantidade não informada",IF(F741&lt;=0,"Quantidade não positiva",IF(G741="","Unidade não informada",IF(NOT(ISNUMBER(H741)),"Unidade a conferir",IF(AC741=1,"REVISAR VÍNCULO: soma vinculada maior que a referência do item","OK"))))))</f>
        <v/>
      </c>
      <c r="M741" s="94" t="str">
        <f>IF(N741=0,"",IF(B741="","CDF não informado",IF(Q741=0,"REVISAR VÍNCULO: CDF inexistente",IF(C741="","Item não informado",IF(T741=0,"REVISAR VÍNCULO: item inexistente",IF(AND(X741=1,J741&lt;&gt;"Sim"),"REVISAR VÍNCULO: destinador diferente do MTR",IF(X741=1,"Destinador diferente do MTR (analisado)","OK")))))))</f>
        <v/>
      </c>
      <c r="N741" s="96">
        <f>IF(COUNTA(B741:C741,F741:G741,J741:K741)&gt;0,1,0)</f>
        <v>0</v>
      </c>
      <c r="O741" s="96" t="str">
        <f>IF(B741="","",TRIM(LEFT(B741,FIND(" |",B741&amp;" |")-1)))</f>
        <v/>
      </c>
      <c r="P741" s="96" t="str">
        <f>IF(O741="","",IFERROR(MATCH(O741,'CDFs'!$A$6:$A$505,0),""))</f>
        <v/>
      </c>
      <c r="Q741" s="96">
        <f>IF(P741="",0,IF(INDEX('CDFs'!$S$6:$S$505,P741)=1,1,0))</f>
        <v>0</v>
      </c>
      <c r="R741" s="96" t="str">
        <f>IF(C741="","",TRIM(LEFT(C741,FIND(" |",C741&amp;" |")-1)))</f>
        <v/>
      </c>
      <c r="S741" s="96" t="str">
        <f>IF(R741="","",IFERROR(MATCH(R741,'ITENS_MTR'!$A$6:$A$1005,0),""))</f>
        <v/>
      </c>
      <c r="T741" s="96">
        <f>IF(S741="",0,IF(INDEX('ITENS_MTR'!$R$6:$R$1005,S741)=1,1,0))</f>
        <v>0</v>
      </c>
      <c r="U741" s="96" t="str">
        <f>IF(G741="","",IFERROR(IF(ISNUMBER(INDEX(cfg_fac,MATCH(G741,cfg_units,0))),IF(INDEX(cfg_fac,MATCH(G741,cfg_units,0))&gt;0,INDEX(cfg_fac,MATCH(G741,cfg_units,0)),""),""),""))</f>
        <v/>
      </c>
      <c r="V741" s="96">
        <f>IF(AND(ISNUMBER(F741),ISNUMBER(H741)),IF(H741&gt;0,1,0),0)</f>
        <v>0</v>
      </c>
      <c r="W741" s="96" t="str">
        <f>IF(T741=1,INDEX('ITENS_MTR'!$AU$6:$AU$1005,S741)&amp;"","")</f>
        <v/>
      </c>
      <c r="X741" s="96">
        <f>IF(AND(Q741=1,T741=1,I741&lt;&gt;"",W741&lt;&gt;""),IF(I741&lt;&gt;W741,1,0),0)</f>
        <v>0</v>
      </c>
      <c r="Y741" s="96">
        <f>IF(N741=0,0,IF(OR(Q741=0,T741=0,V741=0,AND(X741=1,J741&lt;&gt;"Sim")),1,0))</f>
        <v>0</v>
      </c>
      <c r="Z741" s="96">
        <f>IF(Q741=1,INDEX('CDFs'!$W$6:$W$505,P741),0)</f>
        <v>0</v>
      </c>
      <c r="AA741" s="96">
        <f>IF(AND(N741=1,Y741=0,Z741=1,J741="Sim"),1,0)</f>
        <v>0</v>
      </c>
      <c r="AB741" s="96">
        <f>IF(AND(N741=1,O741&lt;&gt;"",D741&lt;&gt;""),IF(COUNTIFS($O$6:O741,O741,$D$6:D741,D741)=1,1,0),0)</f>
        <v>0</v>
      </c>
      <c r="AC741" s="96">
        <f>IF(T741=1,INDEX('ITENS_MTR'!$AL$6:$AL$1005,S741),0)</f>
        <v>0</v>
      </c>
    </row>
    <row r="742">
      <c r="A742" s="89" t="inlineStr">
        <is>
          <t>VIN-000737</t>
        </is>
      </c>
      <c r="B742" s="91" t="n"/>
      <c r="C742" s="91" t="n"/>
      <c r="D742" s="94" t="str">
        <f>IF(T742=1,INDEX('ITENS_MTR'!$S$6:$S$1005,S742)&amp;"","")</f>
        <v/>
      </c>
      <c r="E742" s="94" t="str">
        <f>IF(T742=1,INDEX('ITENS_MTR'!$C$6:$C$1005,S742)&amp;"","")</f>
        <v/>
      </c>
      <c r="F742" s="98" t="n"/>
      <c r="G742" s="91" t="n"/>
      <c r="H742" s="93" t="str">
        <f>IF(N742=0,"",IF(NOT(ISNUMBER(F742)),"",IF(ISNUMBER(U742),F742*U742,"UNIDADE A CONFERIR")))</f>
        <v/>
      </c>
      <c r="I742" s="94" t="str">
        <f>IF(Q742=1,INDEX('CDFs'!$F$6:$F$505,P742)&amp;"","")</f>
        <v/>
      </c>
      <c r="J742" s="91" t="n"/>
      <c r="K742" s="91" t="n"/>
      <c r="L742" s="94" t="str">
        <f>IF(N742=0,"",IF(NOT(ISNUMBER(F742)),"Quantidade não informada",IF(F742&lt;=0,"Quantidade não positiva",IF(G742="","Unidade não informada",IF(NOT(ISNUMBER(H742)),"Unidade a conferir",IF(AC742=1,"REVISAR VÍNCULO: soma vinculada maior que a referência do item","OK"))))))</f>
        <v/>
      </c>
      <c r="M742" s="94" t="str">
        <f>IF(N742=0,"",IF(B742="","CDF não informado",IF(Q742=0,"REVISAR VÍNCULO: CDF inexistente",IF(C742="","Item não informado",IF(T742=0,"REVISAR VÍNCULO: item inexistente",IF(AND(X742=1,J742&lt;&gt;"Sim"),"REVISAR VÍNCULO: destinador diferente do MTR",IF(X742=1,"Destinador diferente do MTR (analisado)","OK")))))))</f>
        <v/>
      </c>
      <c r="N742" s="96">
        <f>IF(COUNTA(B742:C742,F742:G742,J742:K742)&gt;0,1,0)</f>
        <v>0</v>
      </c>
      <c r="O742" s="96" t="str">
        <f>IF(B742="","",TRIM(LEFT(B742,FIND(" |",B742&amp;" |")-1)))</f>
        <v/>
      </c>
      <c r="P742" s="96" t="str">
        <f>IF(O742="","",IFERROR(MATCH(O742,'CDFs'!$A$6:$A$505,0),""))</f>
        <v/>
      </c>
      <c r="Q742" s="96">
        <f>IF(P742="",0,IF(INDEX('CDFs'!$S$6:$S$505,P742)=1,1,0))</f>
        <v>0</v>
      </c>
      <c r="R742" s="96" t="str">
        <f>IF(C742="","",TRIM(LEFT(C742,FIND(" |",C742&amp;" |")-1)))</f>
        <v/>
      </c>
      <c r="S742" s="96" t="str">
        <f>IF(R742="","",IFERROR(MATCH(R742,'ITENS_MTR'!$A$6:$A$1005,0),""))</f>
        <v/>
      </c>
      <c r="T742" s="96">
        <f>IF(S742="",0,IF(INDEX('ITENS_MTR'!$R$6:$R$1005,S742)=1,1,0))</f>
        <v>0</v>
      </c>
      <c r="U742" s="96" t="str">
        <f>IF(G742="","",IFERROR(IF(ISNUMBER(INDEX(cfg_fac,MATCH(G742,cfg_units,0))),IF(INDEX(cfg_fac,MATCH(G742,cfg_units,0))&gt;0,INDEX(cfg_fac,MATCH(G742,cfg_units,0)),""),""),""))</f>
        <v/>
      </c>
      <c r="V742" s="96">
        <f>IF(AND(ISNUMBER(F742),ISNUMBER(H742)),IF(H742&gt;0,1,0),0)</f>
        <v>0</v>
      </c>
      <c r="W742" s="96" t="str">
        <f>IF(T742=1,INDEX('ITENS_MTR'!$AU$6:$AU$1005,S742)&amp;"","")</f>
        <v/>
      </c>
      <c r="X742" s="96">
        <f>IF(AND(Q742=1,T742=1,I742&lt;&gt;"",W742&lt;&gt;""),IF(I742&lt;&gt;W742,1,0),0)</f>
        <v>0</v>
      </c>
      <c r="Y742" s="96">
        <f>IF(N742=0,0,IF(OR(Q742=0,T742=0,V742=0,AND(X742=1,J742&lt;&gt;"Sim")),1,0))</f>
        <v>0</v>
      </c>
      <c r="Z742" s="96">
        <f>IF(Q742=1,INDEX('CDFs'!$W$6:$W$505,P742),0)</f>
        <v>0</v>
      </c>
      <c r="AA742" s="96">
        <f>IF(AND(N742=1,Y742=0,Z742=1,J742="Sim"),1,0)</f>
        <v>0</v>
      </c>
      <c r="AB742" s="96">
        <f>IF(AND(N742=1,O742&lt;&gt;"",D742&lt;&gt;""),IF(COUNTIFS($O$6:O742,O742,$D$6:D742,D742)=1,1,0),0)</f>
        <v>0</v>
      </c>
      <c r="AC742" s="96">
        <f>IF(T742=1,INDEX('ITENS_MTR'!$AL$6:$AL$1005,S742),0)</f>
        <v>0</v>
      </c>
    </row>
    <row r="743">
      <c r="A743" s="89" t="inlineStr">
        <is>
          <t>VIN-000738</t>
        </is>
      </c>
      <c r="B743" s="91" t="n"/>
      <c r="C743" s="91" t="n"/>
      <c r="D743" s="94" t="str">
        <f>IF(T743=1,INDEX('ITENS_MTR'!$S$6:$S$1005,S743)&amp;"","")</f>
        <v/>
      </c>
      <c r="E743" s="94" t="str">
        <f>IF(T743=1,INDEX('ITENS_MTR'!$C$6:$C$1005,S743)&amp;"","")</f>
        <v/>
      </c>
      <c r="F743" s="98" t="n"/>
      <c r="G743" s="91" t="n"/>
      <c r="H743" s="93" t="str">
        <f>IF(N743=0,"",IF(NOT(ISNUMBER(F743)),"",IF(ISNUMBER(U743),F743*U743,"UNIDADE A CONFERIR")))</f>
        <v/>
      </c>
      <c r="I743" s="94" t="str">
        <f>IF(Q743=1,INDEX('CDFs'!$F$6:$F$505,P743)&amp;"","")</f>
        <v/>
      </c>
      <c r="J743" s="91" t="n"/>
      <c r="K743" s="91" t="n"/>
      <c r="L743" s="94" t="str">
        <f>IF(N743=0,"",IF(NOT(ISNUMBER(F743)),"Quantidade não informada",IF(F743&lt;=0,"Quantidade não positiva",IF(G743="","Unidade não informada",IF(NOT(ISNUMBER(H743)),"Unidade a conferir",IF(AC743=1,"REVISAR VÍNCULO: soma vinculada maior que a referência do item","OK"))))))</f>
        <v/>
      </c>
      <c r="M743" s="94" t="str">
        <f>IF(N743=0,"",IF(B743="","CDF não informado",IF(Q743=0,"REVISAR VÍNCULO: CDF inexistente",IF(C743="","Item não informado",IF(T743=0,"REVISAR VÍNCULO: item inexistente",IF(AND(X743=1,J743&lt;&gt;"Sim"),"REVISAR VÍNCULO: destinador diferente do MTR",IF(X743=1,"Destinador diferente do MTR (analisado)","OK")))))))</f>
        <v/>
      </c>
      <c r="N743" s="96">
        <f>IF(COUNTA(B743:C743,F743:G743,J743:K743)&gt;0,1,0)</f>
        <v>0</v>
      </c>
      <c r="O743" s="96" t="str">
        <f>IF(B743="","",TRIM(LEFT(B743,FIND(" |",B743&amp;" |")-1)))</f>
        <v/>
      </c>
      <c r="P743" s="96" t="str">
        <f>IF(O743="","",IFERROR(MATCH(O743,'CDFs'!$A$6:$A$505,0),""))</f>
        <v/>
      </c>
      <c r="Q743" s="96">
        <f>IF(P743="",0,IF(INDEX('CDFs'!$S$6:$S$505,P743)=1,1,0))</f>
        <v>0</v>
      </c>
      <c r="R743" s="96" t="str">
        <f>IF(C743="","",TRIM(LEFT(C743,FIND(" |",C743&amp;" |")-1)))</f>
        <v/>
      </c>
      <c r="S743" s="96" t="str">
        <f>IF(R743="","",IFERROR(MATCH(R743,'ITENS_MTR'!$A$6:$A$1005,0),""))</f>
        <v/>
      </c>
      <c r="T743" s="96">
        <f>IF(S743="",0,IF(INDEX('ITENS_MTR'!$R$6:$R$1005,S743)=1,1,0))</f>
        <v>0</v>
      </c>
      <c r="U743" s="96" t="str">
        <f>IF(G743="","",IFERROR(IF(ISNUMBER(INDEX(cfg_fac,MATCH(G743,cfg_units,0))),IF(INDEX(cfg_fac,MATCH(G743,cfg_units,0))&gt;0,INDEX(cfg_fac,MATCH(G743,cfg_units,0)),""),""),""))</f>
        <v/>
      </c>
      <c r="V743" s="96">
        <f>IF(AND(ISNUMBER(F743),ISNUMBER(H743)),IF(H743&gt;0,1,0),0)</f>
        <v>0</v>
      </c>
      <c r="W743" s="96" t="str">
        <f>IF(T743=1,INDEX('ITENS_MTR'!$AU$6:$AU$1005,S743)&amp;"","")</f>
        <v/>
      </c>
      <c r="X743" s="96">
        <f>IF(AND(Q743=1,T743=1,I743&lt;&gt;"",W743&lt;&gt;""),IF(I743&lt;&gt;W743,1,0),0)</f>
        <v>0</v>
      </c>
      <c r="Y743" s="96">
        <f>IF(N743=0,0,IF(OR(Q743=0,T743=0,V743=0,AND(X743=1,J743&lt;&gt;"Sim")),1,0))</f>
        <v>0</v>
      </c>
      <c r="Z743" s="96">
        <f>IF(Q743=1,INDEX('CDFs'!$W$6:$W$505,P743),0)</f>
        <v>0</v>
      </c>
      <c r="AA743" s="96">
        <f>IF(AND(N743=1,Y743=0,Z743=1,J743="Sim"),1,0)</f>
        <v>0</v>
      </c>
      <c r="AB743" s="96">
        <f>IF(AND(N743=1,O743&lt;&gt;"",D743&lt;&gt;""),IF(COUNTIFS($O$6:O743,O743,$D$6:D743,D743)=1,1,0),0)</f>
        <v>0</v>
      </c>
      <c r="AC743" s="96">
        <f>IF(T743=1,INDEX('ITENS_MTR'!$AL$6:$AL$1005,S743),0)</f>
        <v>0</v>
      </c>
    </row>
    <row r="744">
      <c r="A744" s="89" t="inlineStr">
        <is>
          <t>VIN-000739</t>
        </is>
      </c>
      <c r="B744" s="91" t="n"/>
      <c r="C744" s="91" t="n"/>
      <c r="D744" s="94" t="str">
        <f>IF(T744=1,INDEX('ITENS_MTR'!$S$6:$S$1005,S744)&amp;"","")</f>
        <v/>
      </c>
      <c r="E744" s="94" t="str">
        <f>IF(T744=1,INDEX('ITENS_MTR'!$C$6:$C$1005,S744)&amp;"","")</f>
        <v/>
      </c>
      <c r="F744" s="98" t="n"/>
      <c r="G744" s="91" t="n"/>
      <c r="H744" s="93" t="str">
        <f>IF(N744=0,"",IF(NOT(ISNUMBER(F744)),"",IF(ISNUMBER(U744),F744*U744,"UNIDADE A CONFERIR")))</f>
        <v/>
      </c>
      <c r="I744" s="94" t="str">
        <f>IF(Q744=1,INDEX('CDFs'!$F$6:$F$505,P744)&amp;"","")</f>
        <v/>
      </c>
      <c r="J744" s="91" t="n"/>
      <c r="K744" s="91" t="n"/>
      <c r="L744" s="94" t="str">
        <f>IF(N744=0,"",IF(NOT(ISNUMBER(F744)),"Quantidade não informada",IF(F744&lt;=0,"Quantidade não positiva",IF(G744="","Unidade não informada",IF(NOT(ISNUMBER(H744)),"Unidade a conferir",IF(AC744=1,"REVISAR VÍNCULO: soma vinculada maior que a referência do item","OK"))))))</f>
        <v/>
      </c>
      <c r="M744" s="94" t="str">
        <f>IF(N744=0,"",IF(B744="","CDF não informado",IF(Q744=0,"REVISAR VÍNCULO: CDF inexistente",IF(C744="","Item não informado",IF(T744=0,"REVISAR VÍNCULO: item inexistente",IF(AND(X744=1,J744&lt;&gt;"Sim"),"REVISAR VÍNCULO: destinador diferente do MTR",IF(X744=1,"Destinador diferente do MTR (analisado)","OK")))))))</f>
        <v/>
      </c>
      <c r="N744" s="96">
        <f>IF(COUNTA(B744:C744,F744:G744,J744:K744)&gt;0,1,0)</f>
        <v>0</v>
      </c>
      <c r="O744" s="96" t="str">
        <f>IF(B744="","",TRIM(LEFT(B744,FIND(" |",B744&amp;" |")-1)))</f>
        <v/>
      </c>
      <c r="P744" s="96" t="str">
        <f>IF(O744="","",IFERROR(MATCH(O744,'CDFs'!$A$6:$A$505,0),""))</f>
        <v/>
      </c>
      <c r="Q744" s="96">
        <f>IF(P744="",0,IF(INDEX('CDFs'!$S$6:$S$505,P744)=1,1,0))</f>
        <v>0</v>
      </c>
      <c r="R744" s="96" t="str">
        <f>IF(C744="","",TRIM(LEFT(C744,FIND(" |",C744&amp;" |")-1)))</f>
        <v/>
      </c>
      <c r="S744" s="96" t="str">
        <f>IF(R744="","",IFERROR(MATCH(R744,'ITENS_MTR'!$A$6:$A$1005,0),""))</f>
        <v/>
      </c>
      <c r="T744" s="96">
        <f>IF(S744="",0,IF(INDEX('ITENS_MTR'!$R$6:$R$1005,S744)=1,1,0))</f>
        <v>0</v>
      </c>
      <c r="U744" s="96" t="str">
        <f>IF(G744="","",IFERROR(IF(ISNUMBER(INDEX(cfg_fac,MATCH(G744,cfg_units,0))),IF(INDEX(cfg_fac,MATCH(G744,cfg_units,0))&gt;0,INDEX(cfg_fac,MATCH(G744,cfg_units,0)),""),""),""))</f>
        <v/>
      </c>
      <c r="V744" s="96">
        <f>IF(AND(ISNUMBER(F744),ISNUMBER(H744)),IF(H744&gt;0,1,0),0)</f>
        <v>0</v>
      </c>
      <c r="W744" s="96" t="str">
        <f>IF(T744=1,INDEX('ITENS_MTR'!$AU$6:$AU$1005,S744)&amp;"","")</f>
        <v/>
      </c>
      <c r="X744" s="96">
        <f>IF(AND(Q744=1,T744=1,I744&lt;&gt;"",W744&lt;&gt;""),IF(I744&lt;&gt;W744,1,0),0)</f>
        <v>0</v>
      </c>
      <c r="Y744" s="96">
        <f>IF(N744=0,0,IF(OR(Q744=0,T744=0,V744=0,AND(X744=1,J744&lt;&gt;"Sim")),1,0))</f>
        <v>0</v>
      </c>
      <c r="Z744" s="96">
        <f>IF(Q744=1,INDEX('CDFs'!$W$6:$W$505,P744),0)</f>
        <v>0</v>
      </c>
      <c r="AA744" s="96">
        <f>IF(AND(N744=1,Y744=0,Z744=1,J744="Sim"),1,0)</f>
        <v>0</v>
      </c>
      <c r="AB744" s="96">
        <f>IF(AND(N744=1,O744&lt;&gt;"",D744&lt;&gt;""),IF(COUNTIFS($O$6:O744,O744,$D$6:D744,D744)=1,1,0),0)</f>
        <v>0</v>
      </c>
      <c r="AC744" s="96">
        <f>IF(T744=1,INDEX('ITENS_MTR'!$AL$6:$AL$1005,S744),0)</f>
        <v>0</v>
      </c>
    </row>
    <row r="745">
      <c r="A745" s="89" t="inlineStr">
        <is>
          <t>VIN-000740</t>
        </is>
      </c>
      <c r="B745" s="91" t="n"/>
      <c r="C745" s="91" t="n"/>
      <c r="D745" s="94" t="str">
        <f>IF(T745=1,INDEX('ITENS_MTR'!$S$6:$S$1005,S745)&amp;"","")</f>
        <v/>
      </c>
      <c r="E745" s="94" t="str">
        <f>IF(T745=1,INDEX('ITENS_MTR'!$C$6:$C$1005,S745)&amp;"","")</f>
        <v/>
      </c>
      <c r="F745" s="98" t="n"/>
      <c r="G745" s="91" t="n"/>
      <c r="H745" s="93" t="str">
        <f>IF(N745=0,"",IF(NOT(ISNUMBER(F745)),"",IF(ISNUMBER(U745),F745*U745,"UNIDADE A CONFERIR")))</f>
        <v/>
      </c>
      <c r="I745" s="94" t="str">
        <f>IF(Q745=1,INDEX('CDFs'!$F$6:$F$505,P745)&amp;"","")</f>
        <v/>
      </c>
      <c r="J745" s="91" t="n"/>
      <c r="K745" s="91" t="n"/>
      <c r="L745" s="94" t="str">
        <f>IF(N745=0,"",IF(NOT(ISNUMBER(F745)),"Quantidade não informada",IF(F745&lt;=0,"Quantidade não positiva",IF(G745="","Unidade não informada",IF(NOT(ISNUMBER(H745)),"Unidade a conferir",IF(AC745=1,"REVISAR VÍNCULO: soma vinculada maior que a referência do item","OK"))))))</f>
        <v/>
      </c>
      <c r="M745" s="94" t="str">
        <f>IF(N745=0,"",IF(B745="","CDF não informado",IF(Q745=0,"REVISAR VÍNCULO: CDF inexistente",IF(C745="","Item não informado",IF(T745=0,"REVISAR VÍNCULO: item inexistente",IF(AND(X745=1,J745&lt;&gt;"Sim"),"REVISAR VÍNCULO: destinador diferente do MTR",IF(X745=1,"Destinador diferente do MTR (analisado)","OK")))))))</f>
        <v/>
      </c>
      <c r="N745" s="96">
        <f>IF(COUNTA(B745:C745,F745:G745,J745:K745)&gt;0,1,0)</f>
        <v>0</v>
      </c>
      <c r="O745" s="96" t="str">
        <f>IF(B745="","",TRIM(LEFT(B745,FIND(" |",B745&amp;" |")-1)))</f>
        <v/>
      </c>
      <c r="P745" s="96" t="str">
        <f>IF(O745="","",IFERROR(MATCH(O745,'CDFs'!$A$6:$A$505,0),""))</f>
        <v/>
      </c>
      <c r="Q745" s="96">
        <f>IF(P745="",0,IF(INDEX('CDFs'!$S$6:$S$505,P745)=1,1,0))</f>
        <v>0</v>
      </c>
      <c r="R745" s="96" t="str">
        <f>IF(C745="","",TRIM(LEFT(C745,FIND(" |",C745&amp;" |")-1)))</f>
        <v/>
      </c>
      <c r="S745" s="96" t="str">
        <f>IF(R745="","",IFERROR(MATCH(R745,'ITENS_MTR'!$A$6:$A$1005,0),""))</f>
        <v/>
      </c>
      <c r="T745" s="96">
        <f>IF(S745="",0,IF(INDEX('ITENS_MTR'!$R$6:$R$1005,S745)=1,1,0))</f>
        <v>0</v>
      </c>
      <c r="U745" s="96" t="str">
        <f>IF(G745="","",IFERROR(IF(ISNUMBER(INDEX(cfg_fac,MATCH(G745,cfg_units,0))),IF(INDEX(cfg_fac,MATCH(G745,cfg_units,0))&gt;0,INDEX(cfg_fac,MATCH(G745,cfg_units,0)),""),""),""))</f>
        <v/>
      </c>
      <c r="V745" s="96">
        <f>IF(AND(ISNUMBER(F745),ISNUMBER(H745)),IF(H745&gt;0,1,0),0)</f>
        <v>0</v>
      </c>
      <c r="W745" s="96" t="str">
        <f>IF(T745=1,INDEX('ITENS_MTR'!$AU$6:$AU$1005,S745)&amp;"","")</f>
        <v/>
      </c>
      <c r="X745" s="96">
        <f>IF(AND(Q745=1,T745=1,I745&lt;&gt;"",W745&lt;&gt;""),IF(I745&lt;&gt;W745,1,0),0)</f>
        <v>0</v>
      </c>
      <c r="Y745" s="96">
        <f>IF(N745=0,0,IF(OR(Q745=0,T745=0,V745=0,AND(X745=1,J745&lt;&gt;"Sim")),1,0))</f>
        <v>0</v>
      </c>
      <c r="Z745" s="96">
        <f>IF(Q745=1,INDEX('CDFs'!$W$6:$W$505,P745),0)</f>
        <v>0</v>
      </c>
      <c r="AA745" s="96">
        <f>IF(AND(N745=1,Y745=0,Z745=1,J745="Sim"),1,0)</f>
        <v>0</v>
      </c>
      <c r="AB745" s="96">
        <f>IF(AND(N745=1,O745&lt;&gt;"",D745&lt;&gt;""),IF(COUNTIFS($O$6:O745,O745,$D$6:D745,D745)=1,1,0),0)</f>
        <v>0</v>
      </c>
      <c r="AC745" s="96">
        <f>IF(T745=1,INDEX('ITENS_MTR'!$AL$6:$AL$1005,S745),0)</f>
        <v>0</v>
      </c>
    </row>
    <row r="746">
      <c r="A746" s="89" t="inlineStr">
        <is>
          <t>VIN-000741</t>
        </is>
      </c>
      <c r="B746" s="91" t="n"/>
      <c r="C746" s="91" t="n"/>
      <c r="D746" s="94" t="str">
        <f>IF(T746=1,INDEX('ITENS_MTR'!$S$6:$S$1005,S746)&amp;"","")</f>
        <v/>
      </c>
      <c r="E746" s="94" t="str">
        <f>IF(T746=1,INDEX('ITENS_MTR'!$C$6:$C$1005,S746)&amp;"","")</f>
        <v/>
      </c>
      <c r="F746" s="98" t="n"/>
      <c r="G746" s="91" t="n"/>
      <c r="H746" s="93" t="str">
        <f>IF(N746=0,"",IF(NOT(ISNUMBER(F746)),"",IF(ISNUMBER(U746),F746*U746,"UNIDADE A CONFERIR")))</f>
        <v/>
      </c>
      <c r="I746" s="94" t="str">
        <f>IF(Q746=1,INDEX('CDFs'!$F$6:$F$505,P746)&amp;"","")</f>
        <v/>
      </c>
      <c r="J746" s="91" t="n"/>
      <c r="K746" s="91" t="n"/>
      <c r="L746" s="94" t="str">
        <f>IF(N746=0,"",IF(NOT(ISNUMBER(F746)),"Quantidade não informada",IF(F746&lt;=0,"Quantidade não positiva",IF(G746="","Unidade não informada",IF(NOT(ISNUMBER(H746)),"Unidade a conferir",IF(AC746=1,"REVISAR VÍNCULO: soma vinculada maior que a referência do item","OK"))))))</f>
        <v/>
      </c>
      <c r="M746" s="94" t="str">
        <f>IF(N746=0,"",IF(B746="","CDF não informado",IF(Q746=0,"REVISAR VÍNCULO: CDF inexistente",IF(C746="","Item não informado",IF(T746=0,"REVISAR VÍNCULO: item inexistente",IF(AND(X746=1,J746&lt;&gt;"Sim"),"REVISAR VÍNCULO: destinador diferente do MTR",IF(X746=1,"Destinador diferente do MTR (analisado)","OK")))))))</f>
        <v/>
      </c>
      <c r="N746" s="96">
        <f>IF(COUNTA(B746:C746,F746:G746,J746:K746)&gt;0,1,0)</f>
        <v>0</v>
      </c>
      <c r="O746" s="96" t="str">
        <f>IF(B746="","",TRIM(LEFT(B746,FIND(" |",B746&amp;" |")-1)))</f>
        <v/>
      </c>
      <c r="P746" s="96" t="str">
        <f>IF(O746="","",IFERROR(MATCH(O746,'CDFs'!$A$6:$A$505,0),""))</f>
        <v/>
      </c>
      <c r="Q746" s="96">
        <f>IF(P746="",0,IF(INDEX('CDFs'!$S$6:$S$505,P746)=1,1,0))</f>
        <v>0</v>
      </c>
      <c r="R746" s="96" t="str">
        <f>IF(C746="","",TRIM(LEFT(C746,FIND(" |",C746&amp;" |")-1)))</f>
        <v/>
      </c>
      <c r="S746" s="96" t="str">
        <f>IF(R746="","",IFERROR(MATCH(R746,'ITENS_MTR'!$A$6:$A$1005,0),""))</f>
        <v/>
      </c>
      <c r="T746" s="96">
        <f>IF(S746="",0,IF(INDEX('ITENS_MTR'!$R$6:$R$1005,S746)=1,1,0))</f>
        <v>0</v>
      </c>
      <c r="U746" s="96" t="str">
        <f>IF(G746="","",IFERROR(IF(ISNUMBER(INDEX(cfg_fac,MATCH(G746,cfg_units,0))),IF(INDEX(cfg_fac,MATCH(G746,cfg_units,0))&gt;0,INDEX(cfg_fac,MATCH(G746,cfg_units,0)),""),""),""))</f>
        <v/>
      </c>
      <c r="V746" s="96">
        <f>IF(AND(ISNUMBER(F746),ISNUMBER(H746)),IF(H746&gt;0,1,0),0)</f>
        <v>0</v>
      </c>
      <c r="W746" s="96" t="str">
        <f>IF(T746=1,INDEX('ITENS_MTR'!$AU$6:$AU$1005,S746)&amp;"","")</f>
        <v/>
      </c>
      <c r="X746" s="96">
        <f>IF(AND(Q746=1,T746=1,I746&lt;&gt;"",W746&lt;&gt;""),IF(I746&lt;&gt;W746,1,0),0)</f>
        <v>0</v>
      </c>
      <c r="Y746" s="96">
        <f>IF(N746=0,0,IF(OR(Q746=0,T746=0,V746=0,AND(X746=1,J746&lt;&gt;"Sim")),1,0))</f>
        <v>0</v>
      </c>
      <c r="Z746" s="96">
        <f>IF(Q746=1,INDEX('CDFs'!$W$6:$W$505,P746),0)</f>
        <v>0</v>
      </c>
      <c r="AA746" s="96">
        <f>IF(AND(N746=1,Y746=0,Z746=1,J746="Sim"),1,0)</f>
        <v>0</v>
      </c>
      <c r="AB746" s="96">
        <f>IF(AND(N746=1,O746&lt;&gt;"",D746&lt;&gt;""),IF(COUNTIFS($O$6:O746,O746,$D$6:D746,D746)=1,1,0),0)</f>
        <v>0</v>
      </c>
      <c r="AC746" s="96">
        <f>IF(T746=1,INDEX('ITENS_MTR'!$AL$6:$AL$1005,S746),0)</f>
        <v>0</v>
      </c>
    </row>
    <row r="747">
      <c r="A747" s="89" t="inlineStr">
        <is>
          <t>VIN-000742</t>
        </is>
      </c>
      <c r="B747" s="91" t="n"/>
      <c r="C747" s="91" t="n"/>
      <c r="D747" s="94" t="str">
        <f>IF(T747=1,INDEX('ITENS_MTR'!$S$6:$S$1005,S747)&amp;"","")</f>
        <v/>
      </c>
      <c r="E747" s="94" t="str">
        <f>IF(T747=1,INDEX('ITENS_MTR'!$C$6:$C$1005,S747)&amp;"","")</f>
        <v/>
      </c>
      <c r="F747" s="98" t="n"/>
      <c r="G747" s="91" t="n"/>
      <c r="H747" s="93" t="str">
        <f>IF(N747=0,"",IF(NOT(ISNUMBER(F747)),"",IF(ISNUMBER(U747),F747*U747,"UNIDADE A CONFERIR")))</f>
        <v/>
      </c>
      <c r="I747" s="94" t="str">
        <f>IF(Q747=1,INDEX('CDFs'!$F$6:$F$505,P747)&amp;"","")</f>
        <v/>
      </c>
      <c r="J747" s="91" t="n"/>
      <c r="K747" s="91" t="n"/>
      <c r="L747" s="94" t="str">
        <f>IF(N747=0,"",IF(NOT(ISNUMBER(F747)),"Quantidade não informada",IF(F747&lt;=0,"Quantidade não positiva",IF(G747="","Unidade não informada",IF(NOT(ISNUMBER(H747)),"Unidade a conferir",IF(AC747=1,"REVISAR VÍNCULO: soma vinculada maior que a referência do item","OK"))))))</f>
        <v/>
      </c>
      <c r="M747" s="94" t="str">
        <f>IF(N747=0,"",IF(B747="","CDF não informado",IF(Q747=0,"REVISAR VÍNCULO: CDF inexistente",IF(C747="","Item não informado",IF(T747=0,"REVISAR VÍNCULO: item inexistente",IF(AND(X747=1,J747&lt;&gt;"Sim"),"REVISAR VÍNCULO: destinador diferente do MTR",IF(X747=1,"Destinador diferente do MTR (analisado)","OK")))))))</f>
        <v/>
      </c>
      <c r="N747" s="96">
        <f>IF(COUNTA(B747:C747,F747:G747,J747:K747)&gt;0,1,0)</f>
        <v>0</v>
      </c>
      <c r="O747" s="96" t="str">
        <f>IF(B747="","",TRIM(LEFT(B747,FIND(" |",B747&amp;" |")-1)))</f>
        <v/>
      </c>
      <c r="P747" s="96" t="str">
        <f>IF(O747="","",IFERROR(MATCH(O747,'CDFs'!$A$6:$A$505,0),""))</f>
        <v/>
      </c>
      <c r="Q747" s="96">
        <f>IF(P747="",0,IF(INDEX('CDFs'!$S$6:$S$505,P747)=1,1,0))</f>
        <v>0</v>
      </c>
      <c r="R747" s="96" t="str">
        <f>IF(C747="","",TRIM(LEFT(C747,FIND(" |",C747&amp;" |")-1)))</f>
        <v/>
      </c>
      <c r="S747" s="96" t="str">
        <f>IF(R747="","",IFERROR(MATCH(R747,'ITENS_MTR'!$A$6:$A$1005,0),""))</f>
        <v/>
      </c>
      <c r="T747" s="96">
        <f>IF(S747="",0,IF(INDEX('ITENS_MTR'!$R$6:$R$1005,S747)=1,1,0))</f>
        <v>0</v>
      </c>
      <c r="U747" s="96" t="str">
        <f>IF(G747="","",IFERROR(IF(ISNUMBER(INDEX(cfg_fac,MATCH(G747,cfg_units,0))),IF(INDEX(cfg_fac,MATCH(G747,cfg_units,0))&gt;0,INDEX(cfg_fac,MATCH(G747,cfg_units,0)),""),""),""))</f>
        <v/>
      </c>
      <c r="V747" s="96">
        <f>IF(AND(ISNUMBER(F747),ISNUMBER(H747)),IF(H747&gt;0,1,0),0)</f>
        <v>0</v>
      </c>
      <c r="W747" s="96" t="str">
        <f>IF(T747=1,INDEX('ITENS_MTR'!$AU$6:$AU$1005,S747)&amp;"","")</f>
        <v/>
      </c>
      <c r="X747" s="96">
        <f>IF(AND(Q747=1,T747=1,I747&lt;&gt;"",W747&lt;&gt;""),IF(I747&lt;&gt;W747,1,0),0)</f>
        <v>0</v>
      </c>
      <c r="Y747" s="96">
        <f>IF(N747=0,0,IF(OR(Q747=0,T747=0,V747=0,AND(X747=1,J747&lt;&gt;"Sim")),1,0))</f>
        <v>0</v>
      </c>
      <c r="Z747" s="96">
        <f>IF(Q747=1,INDEX('CDFs'!$W$6:$W$505,P747),0)</f>
        <v>0</v>
      </c>
      <c r="AA747" s="96">
        <f>IF(AND(N747=1,Y747=0,Z747=1,J747="Sim"),1,0)</f>
        <v>0</v>
      </c>
      <c r="AB747" s="96">
        <f>IF(AND(N747=1,O747&lt;&gt;"",D747&lt;&gt;""),IF(COUNTIFS($O$6:O747,O747,$D$6:D747,D747)=1,1,0),0)</f>
        <v>0</v>
      </c>
      <c r="AC747" s="96">
        <f>IF(T747=1,INDEX('ITENS_MTR'!$AL$6:$AL$1005,S747),0)</f>
        <v>0</v>
      </c>
    </row>
    <row r="748">
      <c r="A748" s="89" t="inlineStr">
        <is>
          <t>VIN-000743</t>
        </is>
      </c>
      <c r="B748" s="91" t="n"/>
      <c r="C748" s="91" t="n"/>
      <c r="D748" s="94" t="str">
        <f>IF(T748=1,INDEX('ITENS_MTR'!$S$6:$S$1005,S748)&amp;"","")</f>
        <v/>
      </c>
      <c r="E748" s="94" t="str">
        <f>IF(T748=1,INDEX('ITENS_MTR'!$C$6:$C$1005,S748)&amp;"","")</f>
        <v/>
      </c>
      <c r="F748" s="98" t="n"/>
      <c r="G748" s="91" t="n"/>
      <c r="H748" s="93" t="str">
        <f>IF(N748=0,"",IF(NOT(ISNUMBER(F748)),"",IF(ISNUMBER(U748),F748*U748,"UNIDADE A CONFERIR")))</f>
        <v/>
      </c>
      <c r="I748" s="94" t="str">
        <f>IF(Q748=1,INDEX('CDFs'!$F$6:$F$505,P748)&amp;"","")</f>
        <v/>
      </c>
      <c r="J748" s="91" t="n"/>
      <c r="K748" s="91" t="n"/>
      <c r="L748" s="94" t="str">
        <f>IF(N748=0,"",IF(NOT(ISNUMBER(F748)),"Quantidade não informada",IF(F748&lt;=0,"Quantidade não positiva",IF(G748="","Unidade não informada",IF(NOT(ISNUMBER(H748)),"Unidade a conferir",IF(AC748=1,"REVISAR VÍNCULO: soma vinculada maior que a referência do item","OK"))))))</f>
        <v/>
      </c>
      <c r="M748" s="94" t="str">
        <f>IF(N748=0,"",IF(B748="","CDF não informado",IF(Q748=0,"REVISAR VÍNCULO: CDF inexistente",IF(C748="","Item não informado",IF(T748=0,"REVISAR VÍNCULO: item inexistente",IF(AND(X748=1,J748&lt;&gt;"Sim"),"REVISAR VÍNCULO: destinador diferente do MTR",IF(X748=1,"Destinador diferente do MTR (analisado)","OK")))))))</f>
        <v/>
      </c>
      <c r="N748" s="96">
        <f>IF(COUNTA(B748:C748,F748:G748,J748:K748)&gt;0,1,0)</f>
        <v>0</v>
      </c>
      <c r="O748" s="96" t="str">
        <f>IF(B748="","",TRIM(LEFT(B748,FIND(" |",B748&amp;" |")-1)))</f>
        <v/>
      </c>
      <c r="P748" s="96" t="str">
        <f>IF(O748="","",IFERROR(MATCH(O748,'CDFs'!$A$6:$A$505,0),""))</f>
        <v/>
      </c>
      <c r="Q748" s="96">
        <f>IF(P748="",0,IF(INDEX('CDFs'!$S$6:$S$505,P748)=1,1,0))</f>
        <v>0</v>
      </c>
      <c r="R748" s="96" t="str">
        <f>IF(C748="","",TRIM(LEFT(C748,FIND(" |",C748&amp;" |")-1)))</f>
        <v/>
      </c>
      <c r="S748" s="96" t="str">
        <f>IF(R748="","",IFERROR(MATCH(R748,'ITENS_MTR'!$A$6:$A$1005,0),""))</f>
        <v/>
      </c>
      <c r="T748" s="96">
        <f>IF(S748="",0,IF(INDEX('ITENS_MTR'!$R$6:$R$1005,S748)=1,1,0))</f>
        <v>0</v>
      </c>
      <c r="U748" s="96" t="str">
        <f>IF(G748="","",IFERROR(IF(ISNUMBER(INDEX(cfg_fac,MATCH(G748,cfg_units,0))),IF(INDEX(cfg_fac,MATCH(G748,cfg_units,0))&gt;0,INDEX(cfg_fac,MATCH(G748,cfg_units,0)),""),""),""))</f>
        <v/>
      </c>
      <c r="V748" s="96">
        <f>IF(AND(ISNUMBER(F748),ISNUMBER(H748)),IF(H748&gt;0,1,0),0)</f>
        <v>0</v>
      </c>
      <c r="W748" s="96" t="str">
        <f>IF(T748=1,INDEX('ITENS_MTR'!$AU$6:$AU$1005,S748)&amp;"","")</f>
        <v/>
      </c>
      <c r="X748" s="96">
        <f>IF(AND(Q748=1,T748=1,I748&lt;&gt;"",W748&lt;&gt;""),IF(I748&lt;&gt;W748,1,0),0)</f>
        <v>0</v>
      </c>
      <c r="Y748" s="96">
        <f>IF(N748=0,0,IF(OR(Q748=0,T748=0,V748=0,AND(X748=1,J748&lt;&gt;"Sim")),1,0))</f>
        <v>0</v>
      </c>
      <c r="Z748" s="96">
        <f>IF(Q748=1,INDEX('CDFs'!$W$6:$W$505,P748),0)</f>
        <v>0</v>
      </c>
      <c r="AA748" s="96">
        <f>IF(AND(N748=1,Y748=0,Z748=1,J748="Sim"),1,0)</f>
        <v>0</v>
      </c>
      <c r="AB748" s="96">
        <f>IF(AND(N748=1,O748&lt;&gt;"",D748&lt;&gt;""),IF(COUNTIFS($O$6:O748,O748,$D$6:D748,D748)=1,1,0),0)</f>
        <v>0</v>
      </c>
      <c r="AC748" s="96">
        <f>IF(T748=1,INDEX('ITENS_MTR'!$AL$6:$AL$1005,S748),0)</f>
        <v>0</v>
      </c>
    </row>
    <row r="749">
      <c r="A749" s="89" t="inlineStr">
        <is>
          <t>VIN-000744</t>
        </is>
      </c>
      <c r="B749" s="91" t="n"/>
      <c r="C749" s="91" t="n"/>
      <c r="D749" s="94" t="str">
        <f>IF(T749=1,INDEX('ITENS_MTR'!$S$6:$S$1005,S749)&amp;"","")</f>
        <v/>
      </c>
      <c r="E749" s="94" t="str">
        <f>IF(T749=1,INDEX('ITENS_MTR'!$C$6:$C$1005,S749)&amp;"","")</f>
        <v/>
      </c>
      <c r="F749" s="98" t="n"/>
      <c r="G749" s="91" t="n"/>
      <c r="H749" s="93" t="str">
        <f>IF(N749=0,"",IF(NOT(ISNUMBER(F749)),"",IF(ISNUMBER(U749),F749*U749,"UNIDADE A CONFERIR")))</f>
        <v/>
      </c>
      <c r="I749" s="94" t="str">
        <f>IF(Q749=1,INDEX('CDFs'!$F$6:$F$505,P749)&amp;"","")</f>
        <v/>
      </c>
      <c r="J749" s="91" t="n"/>
      <c r="K749" s="91" t="n"/>
      <c r="L749" s="94" t="str">
        <f>IF(N749=0,"",IF(NOT(ISNUMBER(F749)),"Quantidade não informada",IF(F749&lt;=0,"Quantidade não positiva",IF(G749="","Unidade não informada",IF(NOT(ISNUMBER(H749)),"Unidade a conferir",IF(AC749=1,"REVISAR VÍNCULO: soma vinculada maior que a referência do item","OK"))))))</f>
        <v/>
      </c>
      <c r="M749" s="94" t="str">
        <f>IF(N749=0,"",IF(B749="","CDF não informado",IF(Q749=0,"REVISAR VÍNCULO: CDF inexistente",IF(C749="","Item não informado",IF(T749=0,"REVISAR VÍNCULO: item inexistente",IF(AND(X749=1,J749&lt;&gt;"Sim"),"REVISAR VÍNCULO: destinador diferente do MTR",IF(X749=1,"Destinador diferente do MTR (analisado)","OK")))))))</f>
        <v/>
      </c>
      <c r="N749" s="96">
        <f>IF(COUNTA(B749:C749,F749:G749,J749:K749)&gt;0,1,0)</f>
        <v>0</v>
      </c>
      <c r="O749" s="96" t="str">
        <f>IF(B749="","",TRIM(LEFT(B749,FIND(" |",B749&amp;" |")-1)))</f>
        <v/>
      </c>
      <c r="P749" s="96" t="str">
        <f>IF(O749="","",IFERROR(MATCH(O749,'CDFs'!$A$6:$A$505,0),""))</f>
        <v/>
      </c>
      <c r="Q749" s="96">
        <f>IF(P749="",0,IF(INDEX('CDFs'!$S$6:$S$505,P749)=1,1,0))</f>
        <v>0</v>
      </c>
      <c r="R749" s="96" t="str">
        <f>IF(C749="","",TRIM(LEFT(C749,FIND(" |",C749&amp;" |")-1)))</f>
        <v/>
      </c>
      <c r="S749" s="96" t="str">
        <f>IF(R749="","",IFERROR(MATCH(R749,'ITENS_MTR'!$A$6:$A$1005,0),""))</f>
        <v/>
      </c>
      <c r="T749" s="96">
        <f>IF(S749="",0,IF(INDEX('ITENS_MTR'!$R$6:$R$1005,S749)=1,1,0))</f>
        <v>0</v>
      </c>
      <c r="U749" s="96" t="str">
        <f>IF(G749="","",IFERROR(IF(ISNUMBER(INDEX(cfg_fac,MATCH(G749,cfg_units,0))),IF(INDEX(cfg_fac,MATCH(G749,cfg_units,0))&gt;0,INDEX(cfg_fac,MATCH(G749,cfg_units,0)),""),""),""))</f>
        <v/>
      </c>
      <c r="V749" s="96">
        <f>IF(AND(ISNUMBER(F749),ISNUMBER(H749)),IF(H749&gt;0,1,0),0)</f>
        <v>0</v>
      </c>
      <c r="W749" s="96" t="str">
        <f>IF(T749=1,INDEX('ITENS_MTR'!$AU$6:$AU$1005,S749)&amp;"","")</f>
        <v/>
      </c>
      <c r="X749" s="96">
        <f>IF(AND(Q749=1,T749=1,I749&lt;&gt;"",W749&lt;&gt;""),IF(I749&lt;&gt;W749,1,0),0)</f>
        <v>0</v>
      </c>
      <c r="Y749" s="96">
        <f>IF(N749=0,0,IF(OR(Q749=0,T749=0,V749=0,AND(X749=1,J749&lt;&gt;"Sim")),1,0))</f>
        <v>0</v>
      </c>
      <c r="Z749" s="96">
        <f>IF(Q749=1,INDEX('CDFs'!$W$6:$W$505,P749),0)</f>
        <v>0</v>
      </c>
      <c r="AA749" s="96">
        <f>IF(AND(N749=1,Y749=0,Z749=1,J749="Sim"),1,0)</f>
        <v>0</v>
      </c>
      <c r="AB749" s="96">
        <f>IF(AND(N749=1,O749&lt;&gt;"",D749&lt;&gt;""),IF(COUNTIFS($O$6:O749,O749,$D$6:D749,D749)=1,1,0),0)</f>
        <v>0</v>
      </c>
      <c r="AC749" s="96">
        <f>IF(T749=1,INDEX('ITENS_MTR'!$AL$6:$AL$1005,S749),0)</f>
        <v>0</v>
      </c>
    </row>
    <row r="750">
      <c r="A750" s="89" t="inlineStr">
        <is>
          <t>VIN-000745</t>
        </is>
      </c>
      <c r="B750" s="91" t="n"/>
      <c r="C750" s="91" t="n"/>
      <c r="D750" s="94" t="str">
        <f>IF(T750=1,INDEX('ITENS_MTR'!$S$6:$S$1005,S750)&amp;"","")</f>
        <v/>
      </c>
      <c r="E750" s="94" t="str">
        <f>IF(T750=1,INDEX('ITENS_MTR'!$C$6:$C$1005,S750)&amp;"","")</f>
        <v/>
      </c>
      <c r="F750" s="98" t="n"/>
      <c r="G750" s="91" t="n"/>
      <c r="H750" s="93" t="str">
        <f>IF(N750=0,"",IF(NOT(ISNUMBER(F750)),"",IF(ISNUMBER(U750),F750*U750,"UNIDADE A CONFERIR")))</f>
        <v/>
      </c>
      <c r="I750" s="94" t="str">
        <f>IF(Q750=1,INDEX('CDFs'!$F$6:$F$505,P750)&amp;"","")</f>
        <v/>
      </c>
      <c r="J750" s="91" t="n"/>
      <c r="K750" s="91" t="n"/>
      <c r="L750" s="94" t="str">
        <f>IF(N750=0,"",IF(NOT(ISNUMBER(F750)),"Quantidade não informada",IF(F750&lt;=0,"Quantidade não positiva",IF(G750="","Unidade não informada",IF(NOT(ISNUMBER(H750)),"Unidade a conferir",IF(AC750=1,"REVISAR VÍNCULO: soma vinculada maior que a referência do item","OK"))))))</f>
        <v/>
      </c>
      <c r="M750" s="94" t="str">
        <f>IF(N750=0,"",IF(B750="","CDF não informado",IF(Q750=0,"REVISAR VÍNCULO: CDF inexistente",IF(C750="","Item não informado",IF(T750=0,"REVISAR VÍNCULO: item inexistente",IF(AND(X750=1,J750&lt;&gt;"Sim"),"REVISAR VÍNCULO: destinador diferente do MTR",IF(X750=1,"Destinador diferente do MTR (analisado)","OK")))))))</f>
        <v/>
      </c>
      <c r="N750" s="96">
        <f>IF(COUNTA(B750:C750,F750:G750,J750:K750)&gt;0,1,0)</f>
        <v>0</v>
      </c>
      <c r="O750" s="96" t="str">
        <f>IF(B750="","",TRIM(LEFT(B750,FIND(" |",B750&amp;" |")-1)))</f>
        <v/>
      </c>
      <c r="P750" s="96" t="str">
        <f>IF(O750="","",IFERROR(MATCH(O750,'CDFs'!$A$6:$A$505,0),""))</f>
        <v/>
      </c>
      <c r="Q750" s="96">
        <f>IF(P750="",0,IF(INDEX('CDFs'!$S$6:$S$505,P750)=1,1,0))</f>
        <v>0</v>
      </c>
      <c r="R750" s="96" t="str">
        <f>IF(C750="","",TRIM(LEFT(C750,FIND(" |",C750&amp;" |")-1)))</f>
        <v/>
      </c>
      <c r="S750" s="96" t="str">
        <f>IF(R750="","",IFERROR(MATCH(R750,'ITENS_MTR'!$A$6:$A$1005,0),""))</f>
        <v/>
      </c>
      <c r="T750" s="96">
        <f>IF(S750="",0,IF(INDEX('ITENS_MTR'!$R$6:$R$1005,S750)=1,1,0))</f>
        <v>0</v>
      </c>
      <c r="U750" s="96" t="str">
        <f>IF(G750="","",IFERROR(IF(ISNUMBER(INDEX(cfg_fac,MATCH(G750,cfg_units,0))),IF(INDEX(cfg_fac,MATCH(G750,cfg_units,0))&gt;0,INDEX(cfg_fac,MATCH(G750,cfg_units,0)),""),""),""))</f>
        <v/>
      </c>
      <c r="V750" s="96">
        <f>IF(AND(ISNUMBER(F750),ISNUMBER(H750)),IF(H750&gt;0,1,0),0)</f>
        <v>0</v>
      </c>
      <c r="W750" s="96" t="str">
        <f>IF(T750=1,INDEX('ITENS_MTR'!$AU$6:$AU$1005,S750)&amp;"","")</f>
        <v/>
      </c>
      <c r="X750" s="96">
        <f>IF(AND(Q750=1,T750=1,I750&lt;&gt;"",W750&lt;&gt;""),IF(I750&lt;&gt;W750,1,0),0)</f>
        <v>0</v>
      </c>
      <c r="Y750" s="96">
        <f>IF(N750=0,0,IF(OR(Q750=0,T750=0,V750=0,AND(X750=1,J750&lt;&gt;"Sim")),1,0))</f>
        <v>0</v>
      </c>
      <c r="Z750" s="96">
        <f>IF(Q750=1,INDEX('CDFs'!$W$6:$W$505,P750),0)</f>
        <v>0</v>
      </c>
      <c r="AA750" s="96">
        <f>IF(AND(N750=1,Y750=0,Z750=1,J750="Sim"),1,0)</f>
        <v>0</v>
      </c>
      <c r="AB750" s="96">
        <f>IF(AND(N750=1,O750&lt;&gt;"",D750&lt;&gt;""),IF(COUNTIFS($O$6:O750,O750,$D$6:D750,D750)=1,1,0),0)</f>
        <v>0</v>
      </c>
      <c r="AC750" s="96">
        <f>IF(T750=1,INDEX('ITENS_MTR'!$AL$6:$AL$1005,S750),0)</f>
        <v>0</v>
      </c>
    </row>
    <row r="751">
      <c r="A751" s="89" t="inlineStr">
        <is>
          <t>VIN-000746</t>
        </is>
      </c>
      <c r="B751" s="91" t="n"/>
      <c r="C751" s="91" t="n"/>
      <c r="D751" s="94" t="str">
        <f>IF(T751=1,INDEX('ITENS_MTR'!$S$6:$S$1005,S751)&amp;"","")</f>
        <v/>
      </c>
      <c r="E751" s="94" t="str">
        <f>IF(T751=1,INDEX('ITENS_MTR'!$C$6:$C$1005,S751)&amp;"","")</f>
        <v/>
      </c>
      <c r="F751" s="98" t="n"/>
      <c r="G751" s="91" t="n"/>
      <c r="H751" s="93" t="str">
        <f>IF(N751=0,"",IF(NOT(ISNUMBER(F751)),"",IF(ISNUMBER(U751),F751*U751,"UNIDADE A CONFERIR")))</f>
        <v/>
      </c>
      <c r="I751" s="94" t="str">
        <f>IF(Q751=1,INDEX('CDFs'!$F$6:$F$505,P751)&amp;"","")</f>
        <v/>
      </c>
      <c r="J751" s="91" t="n"/>
      <c r="K751" s="91" t="n"/>
      <c r="L751" s="94" t="str">
        <f>IF(N751=0,"",IF(NOT(ISNUMBER(F751)),"Quantidade não informada",IF(F751&lt;=0,"Quantidade não positiva",IF(G751="","Unidade não informada",IF(NOT(ISNUMBER(H751)),"Unidade a conferir",IF(AC751=1,"REVISAR VÍNCULO: soma vinculada maior que a referência do item","OK"))))))</f>
        <v/>
      </c>
      <c r="M751" s="94" t="str">
        <f>IF(N751=0,"",IF(B751="","CDF não informado",IF(Q751=0,"REVISAR VÍNCULO: CDF inexistente",IF(C751="","Item não informado",IF(T751=0,"REVISAR VÍNCULO: item inexistente",IF(AND(X751=1,J751&lt;&gt;"Sim"),"REVISAR VÍNCULO: destinador diferente do MTR",IF(X751=1,"Destinador diferente do MTR (analisado)","OK")))))))</f>
        <v/>
      </c>
      <c r="N751" s="96">
        <f>IF(COUNTA(B751:C751,F751:G751,J751:K751)&gt;0,1,0)</f>
        <v>0</v>
      </c>
      <c r="O751" s="96" t="str">
        <f>IF(B751="","",TRIM(LEFT(B751,FIND(" |",B751&amp;" |")-1)))</f>
        <v/>
      </c>
      <c r="P751" s="96" t="str">
        <f>IF(O751="","",IFERROR(MATCH(O751,'CDFs'!$A$6:$A$505,0),""))</f>
        <v/>
      </c>
      <c r="Q751" s="96">
        <f>IF(P751="",0,IF(INDEX('CDFs'!$S$6:$S$505,P751)=1,1,0))</f>
        <v>0</v>
      </c>
      <c r="R751" s="96" t="str">
        <f>IF(C751="","",TRIM(LEFT(C751,FIND(" |",C751&amp;" |")-1)))</f>
        <v/>
      </c>
      <c r="S751" s="96" t="str">
        <f>IF(R751="","",IFERROR(MATCH(R751,'ITENS_MTR'!$A$6:$A$1005,0),""))</f>
        <v/>
      </c>
      <c r="T751" s="96">
        <f>IF(S751="",0,IF(INDEX('ITENS_MTR'!$R$6:$R$1005,S751)=1,1,0))</f>
        <v>0</v>
      </c>
      <c r="U751" s="96" t="str">
        <f>IF(G751="","",IFERROR(IF(ISNUMBER(INDEX(cfg_fac,MATCH(G751,cfg_units,0))),IF(INDEX(cfg_fac,MATCH(G751,cfg_units,0))&gt;0,INDEX(cfg_fac,MATCH(G751,cfg_units,0)),""),""),""))</f>
        <v/>
      </c>
      <c r="V751" s="96">
        <f>IF(AND(ISNUMBER(F751),ISNUMBER(H751)),IF(H751&gt;0,1,0),0)</f>
        <v>0</v>
      </c>
      <c r="W751" s="96" t="str">
        <f>IF(T751=1,INDEX('ITENS_MTR'!$AU$6:$AU$1005,S751)&amp;"","")</f>
        <v/>
      </c>
      <c r="X751" s="96">
        <f>IF(AND(Q751=1,T751=1,I751&lt;&gt;"",W751&lt;&gt;""),IF(I751&lt;&gt;W751,1,0),0)</f>
        <v>0</v>
      </c>
      <c r="Y751" s="96">
        <f>IF(N751=0,0,IF(OR(Q751=0,T751=0,V751=0,AND(X751=1,J751&lt;&gt;"Sim")),1,0))</f>
        <v>0</v>
      </c>
      <c r="Z751" s="96">
        <f>IF(Q751=1,INDEX('CDFs'!$W$6:$W$505,P751),0)</f>
        <v>0</v>
      </c>
      <c r="AA751" s="96">
        <f>IF(AND(N751=1,Y751=0,Z751=1,J751="Sim"),1,0)</f>
        <v>0</v>
      </c>
      <c r="AB751" s="96">
        <f>IF(AND(N751=1,O751&lt;&gt;"",D751&lt;&gt;""),IF(COUNTIFS($O$6:O751,O751,$D$6:D751,D751)=1,1,0),0)</f>
        <v>0</v>
      </c>
      <c r="AC751" s="96">
        <f>IF(T751=1,INDEX('ITENS_MTR'!$AL$6:$AL$1005,S751),0)</f>
        <v>0</v>
      </c>
    </row>
    <row r="752">
      <c r="A752" s="89" t="inlineStr">
        <is>
          <t>VIN-000747</t>
        </is>
      </c>
      <c r="B752" s="91" t="n"/>
      <c r="C752" s="91" t="n"/>
      <c r="D752" s="94" t="str">
        <f>IF(T752=1,INDEX('ITENS_MTR'!$S$6:$S$1005,S752)&amp;"","")</f>
        <v/>
      </c>
      <c r="E752" s="94" t="str">
        <f>IF(T752=1,INDEX('ITENS_MTR'!$C$6:$C$1005,S752)&amp;"","")</f>
        <v/>
      </c>
      <c r="F752" s="98" t="n"/>
      <c r="G752" s="91" t="n"/>
      <c r="H752" s="93" t="str">
        <f>IF(N752=0,"",IF(NOT(ISNUMBER(F752)),"",IF(ISNUMBER(U752),F752*U752,"UNIDADE A CONFERIR")))</f>
        <v/>
      </c>
      <c r="I752" s="94" t="str">
        <f>IF(Q752=1,INDEX('CDFs'!$F$6:$F$505,P752)&amp;"","")</f>
        <v/>
      </c>
      <c r="J752" s="91" t="n"/>
      <c r="K752" s="91" t="n"/>
      <c r="L752" s="94" t="str">
        <f>IF(N752=0,"",IF(NOT(ISNUMBER(F752)),"Quantidade não informada",IF(F752&lt;=0,"Quantidade não positiva",IF(G752="","Unidade não informada",IF(NOT(ISNUMBER(H752)),"Unidade a conferir",IF(AC752=1,"REVISAR VÍNCULO: soma vinculada maior que a referência do item","OK"))))))</f>
        <v/>
      </c>
      <c r="M752" s="94" t="str">
        <f>IF(N752=0,"",IF(B752="","CDF não informado",IF(Q752=0,"REVISAR VÍNCULO: CDF inexistente",IF(C752="","Item não informado",IF(T752=0,"REVISAR VÍNCULO: item inexistente",IF(AND(X752=1,J752&lt;&gt;"Sim"),"REVISAR VÍNCULO: destinador diferente do MTR",IF(X752=1,"Destinador diferente do MTR (analisado)","OK")))))))</f>
        <v/>
      </c>
      <c r="N752" s="96">
        <f>IF(COUNTA(B752:C752,F752:G752,J752:K752)&gt;0,1,0)</f>
        <v>0</v>
      </c>
      <c r="O752" s="96" t="str">
        <f>IF(B752="","",TRIM(LEFT(B752,FIND(" |",B752&amp;" |")-1)))</f>
        <v/>
      </c>
      <c r="P752" s="96" t="str">
        <f>IF(O752="","",IFERROR(MATCH(O752,'CDFs'!$A$6:$A$505,0),""))</f>
        <v/>
      </c>
      <c r="Q752" s="96">
        <f>IF(P752="",0,IF(INDEX('CDFs'!$S$6:$S$505,P752)=1,1,0))</f>
        <v>0</v>
      </c>
      <c r="R752" s="96" t="str">
        <f>IF(C752="","",TRIM(LEFT(C752,FIND(" |",C752&amp;" |")-1)))</f>
        <v/>
      </c>
      <c r="S752" s="96" t="str">
        <f>IF(R752="","",IFERROR(MATCH(R752,'ITENS_MTR'!$A$6:$A$1005,0),""))</f>
        <v/>
      </c>
      <c r="T752" s="96">
        <f>IF(S752="",0,IF(INDEX('ITENS_MTR'!$R$6:$R$1005,S752)=1,1,0))</f>
        <v>0</v>
      </c>
      <c r="U752" s="96" t="str">
        <f>IF(G752="","",IFERROR(IF(ISNUMBER(INDEX(cfg_fac,MATCH(G752,cfg_units,0))),IF(INDEX(cfg_fac,MATCH(G752,cfg_units,0))&gt;0,INDEX(cfg_fac,MATCH(G752,cfg_units,0)),""),""),""))</f>
        <v/>
      </c>
      <c r="V752" s="96">
        <f>IF(AND(ISNUMBER(F752),ISNUMBER(H752)),IF(H752&gt;0,1,0),0)</f>
        <v>0</v>
      </c>
      <c r="W752" s="96" t="str">
        <f>IF(T752=1,INDEX('ITENS_MTR'!$AU$6:$AU$1005,S752)&amp;"","")</f>
        <v/>
      </c>
      <c r="X752" s="96">
        <f>IF(AND(Q752=1,T752=1,I752&lt;&gt;"",W752&lt;&gt;""),IF(I752&lt;&gt;W752,1,0),0)</f>
        <v>0</v>
      </c>
      <c r="Y752" s="96">
        <f>IF(N752=0,0,IF(OR(Q752=0,T752=0,V752=0,AND(X752=1,J752&lt;&gt;"Sim")),1,0))</f>
        <v>0</v>
      </c>
      <c r="Z752" s="96">
        <f>IF(Q752=1,INDEX('CDFs'!$W$6:$W$505,P752),0)</f>
        <v>0</v>
      </c>
      <c r="AA752" s="96">
        <f>IF(AND(N752=1,Y752=0,Z752=1,J752="Sim"),1,0)</f>
        <v>0</v>
      </c>
      <c r="AB752" s="96">
        <f>IF(AND(N752=1,O752&lt;&gt;"",D752&lt;&gt;""),IF(COUNTIFS($O$6:O752,O752,$D$6:D752,D752)=1,1,0),0)</f>
        <v>0</v>
      </c>
      <c r="AC752" s="96">
        <f>IF(T752=1,INDEX('ITENS_MTR'!$AL$6:$AL$1005,S752),0)</f>
        <v>0</v>
      </c>
    </row>
    <row r="753">
      <c r="A753" s="89" t="inlineStr">
        <is>
          <t>VIN-000748</t>
        </is>
      </c>
      <c r="B753" s="91" t="n"/>
      <c r="C753" s="91" t="n"/>
      <c r="D753" s="94" t="str">
        <f>IF(T753=1,INDEX('ITENS_MTR'!$S$6:$S$1005,S753)&amp;"","")</f>
        <v/>
      </c>
      <c r="E753" s="94" t="str">
        <f>IF(T753=1,INDEX('ITENS_MTR'!$C$6:$C$1005,S753)&amp;"","")</f>
        <v/>
      </c>
      <c r="F753" s="98" t="n"/>
      <c r="G753" s="91" t="n"/>
      <c r="H753" s="93" t="str">
        <f>IF(N753=0,"",IF(NOT(ISNUMBER(F753)),"",IF(ISNUMBER(U753),F753*U753,"UNIDADE A CONFERIR")))</f>
        <v/>
      </c>
      <c r="I753" s="94" t="str">
        <f>IF(Q753=1,INDEX('CDFs'!$F$6:$F$505,P753)&amp;"","")</f>
        <v/>
      </c>
      <c r="J753" s="91" t="n"/>
      <c r="K753" s="91" t="n"/>
      <c r="L753" s="94" t="str">
        <f>IF(N753=0,"",IF(NOT(ISNUMBER(F753)),"Quantidade não informada",IF(F753&lt;=0,"Quantidade não positiva",IF(G753="","Unidade não informada",IF(NOT(ISNUMBER(H753)),"Unidade a conferir",IF(AC753=1,"REVISAR VÍNCULO: soma vinculada maior que a referência do item","OK"))))))</f>
        <v/>
      </c>
      <c r="M753" s="94" t="str">
        <f>IF(N753=0,"",IF(B753="","CDF não informado",IF(Q753=0,"REVISAR VÍNCULO: CDF inexistente",IF(C753="","Item não informado",IF(T753=0,"REVISAR VÍNCULO: item inexistente",IF(AND(X753=1,J753&lt;&gt;"Sim"),"REVISAR VÍNCULO: destinador diferente do MTR",IF(X753=1,"Destinador diferente do MTR (analisado)","OK")))))))</f>
        <v/>
      </c>
      <c r="N753" s="96">
        <f>IF(COUNTA(B753:C753,F753:G753,J753:K753)&gt;0,1,0)</f>
        <v>0</v>
      </c>
      <c r="O753" s="96" t="str">
        <f>IF(B753="","",TRIM(LEFT(B753,FIND(" |",B753&amp;" |")-1)))</f>
        <v/>
      </c>
      <c r="P753" s="96" t="str">
        <f>IF(O753="","",IFERROR(MATCH(O753,'CDFs'!$A$6:$A$505,0),""))</f>
        <v/>
      </c>
      <c r="Q753" s="96">
        <f>IF(P753="",0,IF(INDEX('CDFs'!$S$6:$S$505,P753)=1,1,0))</f>
        <v>0</v>
      </c>
      <c r="R753" s="96" t="str">
        <f>IF(C753="","",TRIM(LEFT(C753,FIND(" |",C753&amp;" |")-1)))</f>
        <v/>
      </c>
      <c r="S753" s="96" t="str">
        <f>IF(R753="","",IFERROR(MATCH(R753,'ITENS_MTR'!$A$6:$A$1005,0),""))</f>
        <v/>
      </c>
      <c r="T753" s="96">
        <f>IF(S753="",0,IF(INDEX('ITENS_MTR'!$R$6:$R$1005,S753)=1,1,0))</f>
        <v>0</v>
      </c>
      <c r="U753" s="96" t="str">
        <f>IF(G753="","",IFERROR(IF(ISNUMBER(INDEX(cfg_fac,MATCH(G753,cfg_units,0))),IF(INDEX(cfg_fac,MATCH(G753,cfg_units,0))&gt;0,INDEX(cfg_fac,MATCH(G753,cfg_units,0)),""),""),""))</f>
        <v/>
      </c>
      <c r="V753" s="96">
        <f>IF(AND(ISNUMBER(F753),ISNUMBER(H753)),IF(H753&gt;0,1,0),0)</f>
        <v>0</v>
      </c>
      <c r="W753" s="96" t="str">
        <f>IF(T753=1,INDEX('ITENS_MTR'!$AU$6:$AU$1005,S753)&amp;"","")</f>
        <v/>
      </c>
      <c r="X753" s="96">
        <f>IF(AND(Q753=1,T753=1,I753&lt;&gt;"",W753&lt;&gt;""),IF(I753&lt;&gt;W753,1,0),0)</f>
        <v>0</v>
      </c>
      <c r="Y753" s="96">
        <f>IF(N753=0,0,IF(OR(Q753=0,T753=0,V753=0,AND(X753=1,J753&lt;&gt;"Sim")),1,0))</f>
        <v>0</v>
      </c>
      <c r="Z753" s="96">
        <f>IF(Q753=1,INDEX('CDFs'!$W$6:$W$505,P753),0)</f>
        <v>0</v>
      </c>
      <c r="AA753" s="96">
        <f>IF(AND(N753=1,Y753=0,Z753=1,J753="Sim"),1,0)</f>
        <v>0</v>
      </c>
      <c r="AB753" s="96">
        <f>IF(AND(N753=1,O753&lt;&gt;"",D753&lt;&gt;""),IF(COUNTIFS($O$6:O753,O753,$D$6:D753,D753)=1,1,0),0)</f>
        <v>0</v>
      </c>
      <c r="AC753" s="96">
        <f>IF(T753=1,INDEX('ITENS_MTR'!$AL$6:$AL$1005,S753),0)</f>
        <v>0</v>
      </c>
    </row>
    <row r="754">
      <c r="A754" s="89" t="inlineStr">
        <is>
          <t>VIN-000749</t>
        </is>
      </c>
      <c r="B754" s="91" t="n"/>
      <c r="C754" s="91" t="n"/>
      <c r="D754" s="94" t="str">
        <f>IF(T754=1,INDEX('ITENS_MTR'!$S$6:$S$1005,S754)&amp;"","")</f>
        <v/>
      </c>
      <c r="E754" s="94" t="str">
        <f>IF(T754=1,INDEX('ITENS_MTR'!$C$6:$C$1005,S754)&amp;"","")</f>
        <v/>
      </c>
      <c r="F754" s="98" t="n"/>
      <c r="G754" s="91" t="n"/>
      <c r="H754" s="93" t="str">
        <f>IF(N754=0,"",IF(NOT(ISNUMBER(F754)),"",IF(ISNUMBER(U754),F754*U754,"UNIDADE A CONFERIR")))</f>
        <v/>
      </c>
      <c r="I754" s="94" t="str">
        <f>IF(Q754=1,INDEX('CDFs'!$F$6:$F$505,P754)&amp;"","")</f>
        <v/>
      </c>
      <c r="J754" s="91" t="n"/>
      <c r="K754" s="91" t="n"/>
      <c r="L754" s="94" t="str">
        <f>IF(N754=0,"",IF(NOT(ISNUMBER(F754)),"Quantidade não informada",IF(F754&lt;=0,"Quantidade não positiva",IF(G754="","Unidade não informada",IF(NOT(ISNUMBER(H754)),"Unidade a conferir",IF(AC754=1,"REVISAR VÍNCULO: soma vinculada maior que a referência do item","OK"))))))</f>
        <v/>
      </c>
      <c r="M754" s="94" t="str">
        <f>IF(N754=0,"",IF(B754="","CDF não informado",IF(Q754=0,"REVISAR VÍNCULO: CDF inexistente",IF(C754="","Item não informado",IF(T754=0,"REVISAR VÍNCULO: item inexistente",IF(AND(X754=1,J754&lt;&gt;"Sim"),"REVISAR VÍNCULO: destinador diferente do MTR",IF(X754=1,"Destinador diferente do MTR (analisado)","OK")))))))</f>
        <v/>
      </c>
      <c r="N754" s="96">
        <f>IF(COUNTA(B754:C754,F754:G754,J754:K754)&gt;0,1,0)</f>
        <v>0</v>
      </c>
      <c r="O754" s="96" t="str">
        <f>IF(B754="","",TRIM(LEFT(B754,FIND(" |",B754&amp;" |")-1)))</f>
        <v/>
      </c>
      <c r="P754" s="96" t="str">
        <f>IF(O754="","",IFERROR(MATCH(O754,'CDFs'!$A$6:$A$505,0),""))</f>
        <v/>
      </c>
      <c r="Q754" s="96">
        <f>IF(P754="",0,IF(INDEX('CDFs'!$S$6:$S$505,P754)=1,1,0))</f>
        <v>0</v>
      </c>
      <c r="R754" s="96" t="str">
        <f>IF(C754="","",TRIM(LEFT(C754,FIND(" |",C754&amp;" |")-1)))</f>
        <v/>
      </c>
      <c r="S754" s="96" t="str">
        <f>IF(R754="","",IFERROR(MATCH(R754,'ITENS_MTR'!$A$6:$A$1005,0),""))</f>
        <v/>
      </c>
      <c r="T754" s="96">
        <f>IF(S754="",0,IF(INDEX('ITENS_MTR'!$R$6:$R$1005,S754)=1,1,0))</f>
        <v>0</v>
      </c>
      <c r="U754" s="96" t="str">
        <f>IF(G754="","",IFERROR(IF(ISNUMBER(INDEX(cfg_fac,MATCH(G754,cfg_units,0))),IF(INDEX(cfg_fac,MATCH(G754,cfg_units,0))&gt;0,INDEX(cfg_fac,MATCH(G754,cfg_units,0)),""),""),""))</f>
        <v/>
      </c>
      <c r="V754" s="96">
        <f>IF(AND(ISNUMBER(F754),ISNUMBER(H754)),IF(H754&gt;0,1,0),0)</f>
        <v>0</v>
      </c>
      <c r="W754" s="96" t="str">
        <f>IF(T754=1,INDEX('ITENS_MTR'!$AU$6:$AU$1005,S754)&amp;"","")</f>
        <v/>
      </c>
      <c r="X754" s="96">
        <f>IF(AND(Q754=1,T754=1,I754&lt;&gt;"",W754&lt;&gt;""),IF(I754&lt;&gt;W754,1,0),0)</f>
        <v>0</v>
      </c>
      <c r="Y754" s="96">
        <f>IF(N754=0,0,IF(OR(Q754=0,T754=0,V754=0,AND(X754=1,J754&lt;&gt;"Sim")),1,0))</f>
        <v>0</v>
      </c>
      <c r="Z754" s="96">
        <f>IF(Q754=1,INDEX('CDFs'!$W$6:$W$505,P754),0)</f>
        <v>0</v>
      </c>
      <c r="AA754" s="96">
        <f>IF(AND(N754=1,Y754=0,Z754=1,J754="Sim"),1,0)</f>
        <v>0</v>
      </c>
      <c r="AB754" s="96">
        <f>IF(AND(N754=1,O754&lt;&gt;"",D754&lt;&gt;""),IF(COUNTIFS($O$6:O754,O754,$D$6:D754,D754)=1,1,0),0)</f>
        <v>0</v>
      </c>
      <c r="AC754" s="96">
        <f>IF(T754=1,INDEX('ITENS_MTR'!$AL$6:$AL$1005,S754),0)</f>
        <v>0</v>
      </c>
    </row>
    <row r="755">
      <c r="A755" s="89" t="inlineStr">
        <is>
          <t>VIN-000750</t>
        </is>
      </c>
      <c r="B755" s="91" t="n"/>
      <c r="C755" s="91" t="n"/>
      <c r="D755" s="94" t="str">
        <f>IF(T755=1,INDEX('ITENS_MTR'!$S$6:$S$1005,S755)&amp;"","")</f>
        <v/>
      </c>
      <c r="E755" s="94" t="str">
        <f>IF(T755=1,INDEX('ITENS_MTR'!$C$6:$C$1005,S755)&amp;"","")</f>
        <v/>
      </c>
      <c r="F755" s="98" t="n"/>
      <c r="G755" s="91" t="n"/>
      <c r="H755" s="93" t="str">
        <f>IF(N755=0,"",IF(NOT(ISNUMBER(F755)),"",IF(ISNUMBER(U755),F755*U755,"UNIDADE A CONFERIR")))</f>
        <v/>
      </c>
      <c r="I755" s="94" t="str">
        <f>IF(Q755=1,INDEX('CDFs'!$F$6:$F$505,P755)&amp;"","")</f>
        <v/>
      </c>
      <c r="J755" s="91" t="n"/>
      <c r="K755" s="91" t="n"/>
      <c r="L755" s="94" t="str">
        <f>IF(N755=0,"",IF(NOT(ISNUMBER(F755)),"Quantidade não informada",IF(F755&lt;=0,"Quantidade não positiva",IF(G755="","Unidade não informada",IF(NOT(ISNUMBER(H755)),"Unidade a conferir",IF(AC755=1,"REVISAR VÍNCULO: soma vinculada maior que a referência do item","OK"))))))</f>
        <v/>
      </c>
      <c r="M755" s="94" t="str">
        <f>IF(N755=0,"",IF(B755="","CDF não informado",IF(Q755=0,"REVISAR VÍNCULO: CDF inexistente",IF(C755="","Item não informado",IF(T755=0,"REVISAR VÍNCULO: item inexistente",IF(AND(X755=1,J755&lt;&gt;"Sim"),"REVISAR VÍNCULO: destinador diferente do MTR",IF(X755=1,"Destinador diferente do MTR (analisado)","OK")))))))</f>
        <v/>
      </c>
      <c r="N755" s="96">
        <f>IF(COUNTA(B755:C755,F755:G755,J755:K755)&gt;0,1,0)</f>
        <v>0</v>
      </c>
      <c r="O755" s="96" t="str">
        <f>IF(B755="","",TRIM(LEFT(B755,FIND(" |",B755&amp;" |")-1)))</f>
        <v/>
      </c>
      <c r="P755" s="96" t="str">
        <f>IF(O755="","",IFERROR(MATCH(O755,'CDFs'!$A$6:$A$505,0),""))</f>
        <v/>
      </c>
      <c r="Q755" s="96">
        <f>IF(P755="",0,IF(INDEX('CDFs'!$S$6:$S$505,P755)=1,1,0))</f>
        <v>0</v>
      </c>
      <c r="R755" s="96" t="str">
        <f>IF(C755="","",TRIM(LEFT(C755,FIND(" |",C755&amp;" |")-1)))</f>
        <v/>
      </c>
      <c r="S755" s="96" t="str">
        <f>IF(R755="","",IFERROR(MATCH(R755,'ITENS_MTR'!$A$6:$A$1005,0),""))</f>
        <v/>
      </c>
      <c r="T755" s="96">
        <f>IF(S755="",0,IF(INDEX('ITENS_MTR'!$R$6:$R$1005,S755)=1,1,0))</f>
        <v>0</v>
      </c>
      <c r="U755" s="96" t="str">
        <f>IF(G755="","",IFERROR(IF(ISNUMBER(INDEX(cfg_fac,MATCH(G755,cfg_units,0))),IF(INDEX(cfg_fac,MATCH(G755,cfg_units,0))&gt;0,INDEX(cfg_fac,MATCH(G755,cfg_units,0)),""),""),""))</f>
        <v/>
      </c>
      <c r="V755" s="96">
        <f>IF(AND(ISNUMBER(F755),ISNUMBER(H755)),IF(H755&gt;0,1,0),0)</f>
        <v>0</v>
      </c>
      <c r="W755" s="96" t="str">
        <f>IF(T755=1,INDEX('ITENS_MTR'!$AU$6:$AU$1005,S755)&amp;"","")</f>
        <v/>
      </c>
      <c r="X755" s="96">
        <f>IF(AND(Q755=1,T755=1,I755&lt;&gt;"",W755&lt;&gt;""),IF(I755&lt;&gt;W755,1,0),0)</f>
        <v>0</v>
      </c>
      <c r="Y755" s="96">
        <f>IF(N755=0,0,IF(OR(Q755=0,T755=0,V755=0,AND(X755=1,J755&lt;&gt;"Sim")),1,0))</f>
        <v>0</v>
      </c>
      <c r="Z755" s="96">
        <f>IF(Q755=1,INDEX('CDFs'!$W$6:$W$505,P755),0)</f>
        <v>0</v>
      </c>
      <c r="AA755" s="96">
        <f>IF(AND(N755=1,Y755=0,Z755=1,J755="Sim"),1,0)</f>
        <v>0</v>
      </c>
      <c r="AB755" s="96">
        <f>IF(AND(N755=1,O755&lt;&gt;"",D755&lt;&gt;""),IF(COUNTIFS($O$6:O755,O755,$D$6:D755,D755)=1,1,0),0)</f>
        <v>0</v>
      </c>
      <c r="AC755" s="96">
        <f>IF(T755=1,INDEX('ITENS_MTR'!$AL$6:$AL$1005,S755),0)</f>
        <v>0</v>
      </c>
    </row>
    <row r="756">
      <c r="A756" s="89" t="inlineStr">
        <is>
          <t>VIN-000751</t>
        </is>
      </c>
      <c r="B756" s="91" t="n"/>
      <c r="C756" s="91" t="n"/>
      <c r="D756" s="94" t="str">
        <f>IF(T756=1,INDEX('ITENS_MTR'!$S$6:$S$1005,S756)&amp;"","")</f>
        <v/>
      </c>
      <c r="E756" s="94" t="str">
        <f>IF(T756=1,INDEX('ITENS_MTR'!$C$6:$C$1005,S756)&amp;"","")</f>
        <v/>
      </c>
      <c r="F756" s="98" t="n"/>
      <c r="G756" s="91" t="n"/>
      <c r="H756" s="93" t="str">
        <f>IF(N756=0,"",IF(NOT(ISNUMBER(F756)),"",IF(ISNUMBER(U756),F756*U756,"UNIDADE A CONFERIR")))</f>
        <v/>
      </c>
      <c r="I756" s="94" t="str">
        <f>IF(Q756=1,INDEX('CDFs'!$F$6:$F$505,P756)&amp;"","")</f>
        <v/>
      </c>
      <c r="J756" s="91" t="n"/>
      <c r="K756" s="91" t="n"/>
      <c r="L756" s="94" t="str">
        <f>IF(N756=0,"",IF(NOT(ISNUMBER(F756)),"Quantidade não informada",IF(F756&lt;=0,"Quantidade não positiva",IF(G756="","Unidade não informada",IF(NOT(ISNUMBER(H756)),"Unidade a conferir",IF(AC756=1,"REVISAR VÍNCULO: soma vinculada maior que a referência do item","OK"))))))</f>
        <v/>
      </c>
      <c r="M756" s="94" t="str">
        <f>IF(N756=0,"",IF(B756="","CDF não informado",IF(Q756=0,"REVISAR VÍNCULO: CDF inexistente",IF(C756="","Item não informado",IF(T756=0,"REVISAR VÍNCULO: item inexistente",IF(AND(X756=1,J756&lt;&gt;"Sim"),"REVISAR VÍNCULO: destinador diferente do MTR",IF(X756=1,"Destinador diferente do MTR (analisado)","OK")))))))</f>
        <v/>
      </c>
      <c r="N756" s="96">
        <f>IF(COUNTA(B756:C756,F756:G756,J756:K756)&gt;0,1,0)</f>
        <v>0</v>
      </c>
      <c r="O756" s="96" t="str">
        <f>IF(B756="","",TRIM(LEFT(B756,FIND(" |",B756&amp;" |")-1)))</f>
        <v/>
      </c>
      <c r="P756" s="96" t="str">
        <f>IF(O756="","",IFERROR(MATCH(O756,'CDFs'!$A$6:$A$505,0),""))</f>
        <v/>
      </c>
      <c r="Q756" s="96">
        <f>IF(P756="",0,IF(INDEX('CDFs'!$S$6:$S$505,P756)=1,1,0))</f>
        <v>0</v>
      </c>
      <c r="R756" s="96" t="str">
        <f>IF(C756="","",TRIM(LEFT(C756,FIND(" |",C756&amp;" |")-1)))</f>
        <v/>
      </c>
      <c r="S756" s="96" t="str">
        <f>IF(R756="","",IFERROR(MATCH(R756,'ITENS_MTR'!$A$6:$A$1005,0),""))</f>
        <v/>
      </c>
      <c r="T756" s="96">
        <f>IF(S756="",0,IF(INDEX('ITENS_MTR'!$R$6:$R$1005,S756)=1,1,0))</f>
        <v>0</v>
      </c>
      <c r="U756" s="96" t="str">
        <f>IF(G756="","",IFERROR(IF(ISNUMBER(INDEX(cfg_fac,MATCH(G756,cfg_units,0))),IF(INDEX(cfg_fac,MATCH(G756,cfg_units,0))&gt;0,INDEX(cfg_fac,MATCH(G756,cfg_units,0)),""),""),""))</f>
        <v/>
      </c>
      <c r="V756" s="96">
        <f>IF(AND(ISNUMBER(F756),ISNUMBER(H756)),IF(H756&gt;0,1,0),0)</f>
        <v>0</v>
      </c>
      <c r="W756" s="96" t="str">
        <f>IF(T756=1,INDEX('ITENS_MTR'!$AU$6:$AU$1005,S756)&amp;"","")</f>
        <v/>
      </c>
      <c r="X756" s="96">
        <f>IF(AND(Q756=1,T756=1,I756&lt;&gt;"",W756&lt;&gt;""),IF(I756&lt;&gt;W756,1,0),0)</f>
        <v>0</v>
      </c>
      <c r="Y756" s="96">
        <f>IF(N756=0,0,IF(OR(Q756=0,T756=0,V756=0,AND(X756=1,J756&lt;&gt;"Sim")),1,0))</f>
        <v>0</v>
      </c>
      <c r="Z756" s="96">
        <f>IF(Q756=1,INDEX('CDFs'!$W$6:$W$505,P756),0)</f>
        <v>0</v>
      </c>
      <c r="AA756" s="96">
        <f>IF(AND(N756=1,Y756=0,Z756=1,J756="Sim"),1,0)</f>
        <v>0</v>
      </c>
      <c r="AB756" s="96">
        <f>IF(AND(N756=1,O756&lt;&gt;"",D756&lt;&gt;""),IF(COUNTIFS($O$6:O756,O756,$D$6:D756,D756)=1,1,0),0)</f>
        <v>0</v>
      </c>
      <c r="AC756" s="96">
        <f>IF(T756=1,INDEX('ITENS_MTR'!$AL$6:$AL$1005,S756),0)</f>
        <v>0</v>
      </c>
    </row>
    <row r="757">
      <c r="A757" s="89" t="inlineStr">
        <is>
          <t>VIN-000752</t>
        </is>
      </c>
      <c r="B757" s="91" t="n"/>
      <c r="C757" s="91" t="n"/>
      <c r="D757" s="94" t="str">
        <f>IF(T757=1,INDEX('ITENS_MTR'!$S$6:$S$1005,S757)&amp;"","")</f>
        <v/>
      </c>
      <c r="E757" s="94" t="str">
        <f>IF(T757=1,INDEX('ITENS_MTR'!$C$6:$C$1005,S757)&amp;"","")</f>
        <v/>
      </c>
      <c r="F757" s="98" t="n"/>
      <c r="G757" s="91" t="n"/>
      <c r="H757" s="93" t="str">
        <f>IF(N757=0,"",IF(NOT(ISNUMBER(F757)),"",IF(ISNUMBER(U757),F757*U757,"UNIDADE A CONFERIR")))</f>
        <v/>
      </c>
      <c r="I757" s="94" t="str">
        <f>IF(Q757=1,INDEX('CDFs'!$F$6:$F$505,P757)&amp;"","")</f>
        <v/>
      </c>
      <c r="J757" s="91" t="n"/>
      <c r="K757" s="91" t="n"/>
      <c r="L757" s="94" t="str">
        <f>IF(N757=0,"",IF(NOT(ISNUMBER(F757)),"Quantidade não informada",IF(F757&lt;=0,"Quantidade não positiva",IF(G757="","Unidade não informada",IF(NOT(ISNUMBER(H757)),"Unidade a conferir",IF(AC757=1,"REVISAR VÍNCULO: soma vinculada maior que a referência do item","OK"))))))</f>
        <v/>
      </c>
      <c r="M757" s="94" t="str">
        <f>IF(N757=0,"",IF(B757="","CDF não informado",IF(Q757=0,"REVISAR VÍNCULO: CDF inexistente",IF(C757="","Item não informado",IF(T757=0,"REVISAR VÍNCULO: item inexistente",IF(AND(X757=1,J757&lt;&gt;"Sim"),"REVISAR VÍNCULO: destinador diferente do MTR",IF(X757=1,"Destinador diferente do MTR (analisado)","OK")))))))</f>
        <v/>
      </c>
      <c r="N757" s="96">
        <f>IF(COUNTA(B757:C757,F757:G757,J757:K757)&gt;0,1,0)</f>
        <v>0</v>
      </c>
      <c r="O757" s="96" t="str">
        <f>IF(B757="","",TRIM(LEFT(B757,FIND(" |",B757&amp;" |")-1)))</f>
        <v/>
      </c>
      <c r="P757" s="96" t="str">
        <f>IF(O757="","",IFERROR(MATCH(O757,'CDFs'!$A$6:$A$505,0),""))</f>
        <v/>
      </c>
      <c r="Q757" s="96">
        <f>IF(P757="",0,IF(INDEX('CDFs'!$S$6:$S$505,P757)=1,1,0))</f>
        <v>0</v>
      </c>
      <c r="R757" s="96" t="str">
        <f>IF(C757="","",TRIM(LEFT(C757,FIND(" |",C757&amp;" |")-1)))</f>
        <v/>
      </c>
      <c r="S757" s="96" t="str">
        <f>IF(R757="","",IFERROR(MATCH(R757,'ITENS_MTR'!$A$6:$A$1005,0),""))</f>
        <v/>
      </c>
      <c r="T757" s="96">
        <f>IF(S757="",0,IF(INDEX('ITENS_MTR'!$R$6:$R$1005,S757)=1,1,0))</f>
        <v>0</v>
      </c>
      <c r="U757" s="96" t="str">
        <f>IF(G757="","",IFERROR(IF(ISNUMBER(INDEX(cfg_fac,MATCH(G757,cfg_units,0))),IF(INDEX(cfg_fac,MATCH(G757,cfg_units,0))&gt;0,INDEX(cfg_fac,MATCH(G757,cfg_units,0)),""),""),""))</f>
        <v/>
      </c>
      <c r="V757" s="96">
        <f>IF(AND(ISNUMBER(F757),ISNUMBER(H757)),IF(H757&gt;0,1,0),0)</f>
        <v>0</v>
      </c>
      <c r="W757" s="96" t="str">
        <f>IF(T757=1,INDEX('ITENS_MTR'!$AU$6:$AU$1005,S757)&amp;"","")</f>
        <v/>
      </c>
      <c r="X757" s="96">
        <f>IF(AND(Q757=1,T757=1,I757&lt;&gt;"",W757&lt;&gt;""),IF(I757&lt;&gt;W757,1,0),0)</f>
        <v>0</v>
      </c>
      <c r="Y757" s="96">
        <f>IF(N757=0,0,IF(OR(Q757=0,T757=0,V757=0,AND(X757=1,J757&lt;&gt;"Sim")),1,0))</f>
        <v>0</v>
      </c>
      <c r="Z757" s="96">
        <f>IF(Q757=1,INDEX('CDFs'!$W$6:$W$505,P757),0)</f>
        <v>0</v>
      </c>
      <c r="AA757" s="96">
        <f>IF(AND(N757=1,Y757=0,Z757=1,J757="Sim"),1,0)</f>
        <v>0</v>
      </c>
      <c r="AB757" s="96">
        <f>IF(AND(N757=1,O757&lt;&gt;"",D757&lt;&gt;""),IF(COUNTIFS($O$6:O757,O757,$D$6:D757,D757)=1,1,0),0)</f>
        <v>0</v>
      </c>
      <c r="AC757" s="96">
        <f>IF(T757=1,INDEX('ITENS_MTR'!$AL$6:$AL$1005,S757),0)</f>
        <v>0</v>
      </c>
    </row>
    <row r="758">
      <c r="A758" s="89" t="inlineStr">
        <is>
          <t>VIN-000753</t>
        </is>
      </c>
      <c r="B758" s="91" t="n"/>
      <c r="C758" s="91" t="n"/>
      <c r="D758" s="94" t="str">
        <f>IF(T758=1,INDEX('ITENS_MTR'!$S$6:$S$1005,S758)&amp;"","")</f>
        <v/>
      </c>
      <c r="E758" s="94" t="str">
        <f>IF(T758=1,INDEX('ITENS_MTR'!$C$6:$C$1005,S758)&amp;"","")</f>
        <v/>
      </c>
      <c r="F758" s="98" t="n"/>
      <c r="G758" s="91" t="n"/>
      <c r="H758" s="93" t="str">
        <f>IF(N758=0,"",IF(NOT(ISNUMBER(F758)),"",IF(ISNUMBER(U758),F758*U758,"UNIDADE A CONFERIR")))</f>
        <v/>
      </c>
      <c r="I758" s="94" t="str">
        <f>IF(Q758=1,INDEX('CDFs'!$F$6:$F$505,P758)&amp;"","")</f>
        <v/>
      </c>
      <c r="J758" s="91" t="n"/>
      <c r="K758" s="91" t="n"/>
      <c r="L758" s="94" t="str">
        <f>IF(N758=0,"",IF(NOT(ISNUMBER(F758)),"Quantidade não informada",IF(F758&lt;=0,"Quantidade não positiva",IF(G758="","Unidade não informada",IF(NOT(ISNUMBER(H758)),"Unidade a conferir",IF(AC758=1,"REVISAR VÍNCULO: soma vinculada maior que a referência do item","OK"))))))</f>
        <v/>
      </c>
      <c r="M758" s="94" t="str">
        <f>IF(N758=0,"",IF(B758="","CDF não informado",IF(Q758=0,"REVISAR VÍNCULO: CDF inexistente",IF(C758="","Item não informado",IF(T758=0,"REVISAR VÍNCULO: item inexistente",IF(AND(X758=1,J758&lt;&gt;"Sim"),"REVISAR VÍNCULO: destinador diferente do MTR",IF(X758=1,"Destinador diferente do MTR (analisado)","OK")))))))</f>
        <v/>
      </c>
      <c r="N758" s="96">
        <f>IF(COUNTA(B758:C758,F758:G758,J758:K758)&gt;0,1,0)</f>
        <v>0</v>
      </c>
      <c r="O758" s="96" t="str">
        <f>IF(B758="","",TRIM(LEFT(B758,FIND(" |",B758&amp;" |")-1)))</f>
        <v/>
      </c>
      <c r="P758" s="96" t="str">
        <f>IF(O758="","",IFERROR(MATCH(O758,'CDFs'!$A$6:$A$505,0),""))</f>
        <v/>
      </c>
      <c r="Q758" s="96">
        <f>IF(P758="",0,IF(INDEX('CDFs'!$S$6:$S$505,P758)=1,1,0))</f>
        <v>0</v>
      </c>
      <c r="R758" s="96" t="str">
        <f>IF(C758="","",TRIM(LEFT(C758,FIND(" |",C758&amp;" |")-1)))</f>
        <v/>
      </c>
      <c r="S758" s="96" t="str">
        <f>IF(R758="","",IFERROR(MATCH(R758,'ITENS_MTR'!$A$6:$A$1005,0),""))</f>
        <v/>
      </c>
      <c r="T758" s="96">
        <f>IF(S758="",0,IF(INDEX('ITENS_MTR'!$R$6:$R$1005,S758)=1,1,0))</f>
        <v>0</v>
      </c>
      <c r="U758" s="96" t="str">
        <f>IF(G758="","",IFERROR(IF(ISNUMBER(INDEX(cfg_fac,MATCH(G758,cfg_units,0))),IF(INDEX(cfg_fac,MATCH(G758,cfg_units,0))&gt;0,INDEX(cfg_fac,MATCH(G758,cfg_units,0)),""),""),""))</f>
        <v/>
      </c>
      <c r="V758" s="96">
        <f>IF(AND(ISNUMBER(F758),ISNUMBER(H758)),IF(H758&gt;0,1,0),0)</f>
        <v>0</v>
      </c>
      <c r="W758" s="96" t="str">
        <f>IF(T758=1,INDEX('ITENS_MTR'!$AU$6:$AU$1005,S758)&amp;"","")</f>
        <v/>
      </c>
      <c r="X758" s="96">
        <f>IF(AND(Q758=1,T758=1,I758&lt;&gt;"",W758&lt;&gt;""),IF(I758&lt;&gt;W758,1,0),0)</f>
        <v>0</v>
      </c>
      <c r="Y758" s="96">
        <f>IF(N758=0,0,IF(OR(Q758=0,T758=0,V758=0,AND(X758=1,J758&lt;&gt;"Sim")),1,0))</f>
        <v>0</v>
      </c>
      <c r="Z758" s="96">
        <f>IF(Q758=1,INDEX('CDFs'!$W$6:$W$505,P758),0)</f>
        <v>0</v>
      </c>
      <c r="AA758" s="96">
        <f>IF(AND(N758=1,Y758=0,Z758=1,J758="Sim"),1,0)</f>
        <v>0</v>
      </c>
      <c r="AB758" s="96">
        <f>IF(AND(N758=1,O758&lt;&gt;"",D758&lt;&gt;""),IF(COUNTIFS($O$6:O758,O758,$D$6:D758,D758)=1,1,0),0)</f>
        <v>0</v>
      </c>
      <c r="AC758" s="96">
        <f>IF(T758=1,INDEX('ITENS_MTR'!$AL$6:$AL$1005,S758),0)</f>
        <v>0</v>
      </c>
    </row>
    <row r="759">
      <c r="A759" s="89" t="inlineStr">
        <is>
          <t>VIN-000754</t>
        </is>
      </c>
      <c r="B759" s="91" t="n"/>
      <c r="C759" s="91" t="n"/>
      <c r="D759" s="94" t="str">
        <f>IF(T759=1,INDEX('ITENS_MTR'!$S$6:$S$1005,S759)&amp;"","")</f>
        <v/>
      </c>
      <c r="E759" s="94" t="str">
        <f>IF(T759=1,INDEX('ITENS_MTR'!$C$6:$C$1005,S759)&amp;"","")</f>
        <v/>
      </c>
      <c r="F759" s="98" t="n"/>
      <c r="G759" s="91" t="n"/>
      <c r="H759" s="93" t="str">
        <f>IF(N759=0,"",IF(NOT(ISNUMBER(F759)),"",IF(ISNUMBER(U759),F759*U759,"UNIDADE A CONFERIR")))</f>
        <v/>
      </c>
      <c r="I759" s="94" t="str">
        <f>IF(Q759=1,INDEX('CDFs'!$F$6:$F$505,P759)&amp;"","")</f>
        <v/>
      </c>
      <c r="J759" s="91" t="n"/>
      <c r="K759" s="91" t="n"/>
      <c r="L759" s="94" t="str">
        <f>IF(N759=0,"",IF(NOT(ISNUMBER(F759)),"Quantidade não informada",IF(F759&lt;=0,"Quantidade não positiva",IF(G759="","Unidade não informada",IF(NOT(ISNUMBER(H759)),"Unidade a conferir",IF(AC759=1,"REVISAR VÍNCULO: soma vinculada maior que a referência do item","OK"))))))</f>
        <v/>
      </c>
      <c r="M759" s="94" t="str">
        <f>IF(N759=0,"",IF(B759="","CDF não informado",IF(Q759=0,"REVISAR VÍNCULO: CDF inexistente",IF(C759="","Item não informado",IF(T759=0,"REVISAR VÍNCULO: item inexistente",IF(AND(X759=1,J759&lt;&gt;"Sim"),"REVISAR VÍNCULO: destinador diferente do MTR",IF(X759=1,"Destinador diferente do MTR (analisado)","OK")))))))</f>
        <v/>
      </c>
      <c r="N759" s="96">
        <f>IF(COUNTA(B759:C759,F759:G759,J759:K759)&gt;0,1,0)</f>
        <v>0</v>
      </c>
      <c r="O759" s="96" t="str">
        <f>IF(B759="","",TRIM(LEFT(B759,FIND(" |",B759&amp;" |")-1)))</f>
        <v/>
      </c>
      <c r="P759" s="96" t="str">
        <f>IF(O759="","",IFERROR(MATCH(O759,'CDFs'!$A$6:$A$505,0),""))</f>
        <v/>
      </c>
      <c r="Q759" s="96">
        <f>IF(P759="",0,IF(INDEX('CDFs'!$S$6:$S$505,P759)=1,1,0))</f>
        <v>0</v>
      </c>
      <c r="R759" s="96" t="str">
        <f>IF(C759="","",TRIM(LEFT(C759,FIND(" |",C759&amp;" |")-1)))</f>
        <v/>
      </c>
      <c r="S759" s="96" t="str">
        <f>IF(R759="","",IFERROR(MATCH(R759,'ITENS_MTR'!$A$6:$A$1005,0),""))</f>
        <v/>
      </c>
      <c r="T759" s="96">
        <f>IF(S759="",0,IF(INDEX('ITENS_MTR'!$R$6:$R$1005,S759)=1,1,0))</f>
        <v>0</v>
      </c>
      <c r="U759" s="96" t="str">
        <f>IF(G759="","",IFERROR(IF(ISNUMBER(INDEX(cfg_fac,MATCH(G759,cfg_units,0))),IF(INDEX(cfg_fac,MATCH(G759,cfg_units,0))&gt;0,INDEX(cfg_fac,MATCH(G759,cfg_units,0)),""),""),""))</f>
        <v/>
      </c>
      <c r="V759" s="96">
        <f>IF(AND(ISNUMBER(F759),ISNUMBER(H759)),IF(H759&gt;0,1,0),0)</f>
        <v>0</v>
      </c>
      <c r="W759" s="96" t="str">
        <f>IF(T759=1,INDEX('ITENS_MTR'!$AU$6:$AU$1005,S759)&amp;"","")</f>
        <v/>
      </c>
      <c r="X759" s="96">
        <f>IF(AND(Q759=1,T759=1,I759&lt;&gt;"",W759&lt;&gt;""),IF(I759&lt;&gt;W759,1,0),0)</f>
        <v>0</v>
      </c>
      <c r="Y759" s="96">
        <f>IF(N759=0,0,IF(OR(Q759=0,T759=0,V759=0,AND(X759=1,J759&lt;&gt;"Sim")),1,0))</f>
        <v>0</v>
      </c>
      <c r="Z759" s="96">
        <f>IF(Q759=1,INDEX('CDFs'!$W$6:$W$505,P759),0)</f>
        <v>0</v>
      </c>
      <c r="AA759" s="96">
        <f>IF(AND(N759=1,Y759=0,Z759=1,J759="Sim"),1,0)</f>
        <v>0</v>
      </c>
      <c r="AB759" s="96">
        <f>IF(AND(N759=1,O759&lt;&gt;"",D759&lt;&gt;""),IF(COUNTIFS($O$6:O759,O759,$D$6:D759,D759)=1,1,0),0)</f>
        <v>0</v>
      </c>
      <c r="AC759" s="96">
        <f>IF(T759=1,INDEX('ITENS_MTR'!$AL$6:$AL$1005,S759),0)</f>
        <v>0</v>
      </c>
    </row>
    <row r="760">
      <c r="A760" s="89" t="inlineStr">
        <is>
          <t>VIN-000755</t>
        </is>
      </c>
      <c r="B760" s="91" t="n"/>
      <c r="C760" s="91" t="n"/>
      <c r="D760" s="94" t="str">
        <f>IF(T760=1,INDEX('ITENS_MTR'!$S$6:$S$1005,S760)&amp;"","")</f>
        <v/>
      </c>
      <c r="E760" s="94" t="str">
        <f>IF(T760=1,INDEX('ITENS_MTR'!$C$6:$C$1005,S760)&amp;"","")</f>
        <v/>
      </c>
      <c r="F760" s="98" t="n"/>
      <c r="G760" s="91" t="n"/>
      <c r="H760" s="93" t="str">
        <f>IF(N760=0,"",IF(NOT(ISNUMBER(F760)),"",IF(ISNUMBER(U760),F760*U760,"UNIDADE A CONFERIR")))</f>
        <v/>
      </c>
      <c r="I760" s="94" t="str">
        <f>IF(Q760=1,INDEX('CDFs'!$F$6:$F$505,P760)&amp;"","")</f>
        <v/>
      </c>
      <c r="J760" s="91" t="n"/>
      <c r="K760" s="91" t="n"/>
      <c r="L760" s="94" t="str">
        <f>IF(N760=0,"",IF(NOT(ISNUMBER(F760)),"Quantidade não informada",IF(F760&lt;=0,"Quantidade não positiva",IF(G760="","Unidade não informada",IF(NOT(ISNUMBER(H760)),"Unidade a conferir",IF(AC760=1,"REVISAR VÍNCULO: soma vinculada maior que a referência do item","OK"))))))</f>
        <v/>
      </c>
      <c r="M760" s="94" t="str">
        <f>IF(N760=0,"",IF(B760="","CDF não informado",IF(Q760=0,"REVISAR VÍNCULO: CDF inexistente",IF(C760="","Item não informado",IF(T760=0,"REVISAR VÍNCULO: item inexistente",IF(AND(X760=1,J760&lt;&gt;"Sim"),"REVISAR VÍNCULO: destinador diferente do MTR",IF(X760=1,"Destinador diferente do MTR (analisado)","OK")))))))</f>
        <v/>
      </c>
      <c r="N760" s="96">
        <f>IF(COUNTA(B760:C760,F760:G760,J760:K760)&gt;0,1,0)</f>
        <v>0</v>
      </c>
      <c r="O760" s="96" t="str">
        <f>IF(B760="","",TRIM(LEFT(B760,FIND(" |",B760&amp;" |")-1)))</f>
        <v/>
      </c>
      <c r="P760" s="96" t="str">
        <f>IF(O760="","",IFERROR(MATCH(O760,'CDFs'!$A$6:$A$505,0),""))</f>
        <v/>
      </c>
      <c r="Q760" s="96">
        <f>IF(P760="",0,IF(INDEX('CDFs'!$S$6:$S$505,P760)=1,1,0))</f>
        <v>0</v>
      </c>
      <c r="R760" s="96" t="str">
        <f>IF(C760="","",TRIM(LEFT(C760,FIND(" |",C760&amp;" |")-1)))</f>
        <v/>
      </c>
      <c r="S760" s="96" t="str">
        <f>IF(R760="","",IFERROR(MATCH(R760,'ITENS_MTR'!$A$6:$A$1005,0),""))</f>
        <v/>
      </c>
      <c r="T760" s="96">
        <f>IF(S760="",0,IF(INDEX('ITENS_MTR'!$R$6:$R$1005,S760)=1,1,0))</f>
        <v>0</v>
      </c>
      <c r="U760" s="96" t="str">
        <f>IF(G760="","",IFERROR(IF(ISNUMBER(INDEX(cfg_fac,MATCH(G760,cfg_units,0))),IF(INDEX(cfg_fac,MATCH(G760,cfg_units,0))&gt;0,INDEX(cfg_fac,MATCH(G760,cfg_units,0)),""),""),""))</f>
        <v/>
      </c>
      <c r="V760" s="96">
        <f>IF(AND(ISNUMBER(F760),ISNUMBER(H760)),IF(H760&gt;0,1,0),0)</f>
        <v>0</v>
      </c>
      <c r="W760" s="96" t="str">
        <f>IF(T760=1,INDEX('ITENS_MTR'!$AU$6:$AU$1005,S760)&amp;"","")</f>
        <v/>
      </c>
      <c r="X760" s="96">
        <f>IF(AND(Q760=1,T760=1,I760&lt;&gt;"",W760&lt;&gt;""),IF(I760&lt;&gt;W760,1,0),0)</f>
        <v>0</v>
      </c>
      <c r="Y760" s="96">
        <f>IF(N760=0,0,IF(OR(Q760=0,T760=0,V760=0,AND(X760=1,J760&lt;&gt;"Sim")),1,0))</f>
        <v>0</v>
      </c>
      <c r="Z760" s="96">
        <f>IF(Q760=1,INDEX('CDFs'!$W$6:$W$505,P760),0)</f>
        <v>0</v>
      </c>
      <c r="AA760" s="96">
        <f>IF(AND(N760=1,Y760=0,Z760=1,J760="Sim"),1,0)</f>
        <v>0</v>
      </c>
      <c r="AB760" s="96">
        <f>IF(AND(N760=1,O760&lt;&gt;"",D760&lt;&gt;""),IF(COUNTIFS($O$6:O760,O760,$D$6:D760,D760)=1,1,0),0)</f>
        <v>0</v>
      </c>
      <c r="AC760" s="96">
        <f>IF(T760=1,INDEX('ITENS_MTR'!$AL$6:$AL$1005,S760),0)</f>
        <v>0</v>
      </c>
    </row>
    <row r="761">
      <c r="A761" s="89" t="inlineStr">
        <is>
          <t>VIN-000756</t>
        </is>
      </c>
      <c r="B761" s="91" t="n"/>
      <c r="C761" s="91" t="n"/>
      <c r="D761" s="94" t="str">
        <f>IF(T761=1,INDEX('ITENS_MTR'!$S$6:$S$1005,S761)&amp;"","")</f>
        <v/>
      </c>
      <c r="E761" s="94" t="str">
        <f>IF(T761=1,INDEX('ITENS_MTR'!$C$6:$C$1005,S761)&amp;"","")</f>
        <v/>
      </c>
      <c r="F761" s="98" t="n"/>
      <c r="G761" s="91" t="n"/>
      <c r="H761" s="93" t="str">
        <f>IF(N761=0,"",IF(NOT(ISNUMBER(F761)),"",IF(ISNUMBER(U761),F761*U761,"UNIDADE A CONFERIR")))</f>
        <v/>
      </c>
      <c r="I761" s="94" t="str">
        <f>IF(Q761=1,INDEX('CDFs'!$F$6:$F$505,P761)&amp;"","")</f>
        <v/>
      </c>
      <c r="J761" s="91" t="n"/>
      <c r="K761" s="91" t="n"/>
      <c r="L761" s="94" t="str">
        <f>IF(N761=0,"",IF(NOT(ISNUMBER(F761)),"Quantidade não informada",IF(F761&lt;=0,"Quantidade não positiva",IF(G761="","Unidade não informada",IF(NOT(ISNUMBER(H761)),"Unidade a conferir",IF(AC761=1,"REVISAR VÍNCULO: soma vinculada maior que a referência do item","OK"))))))</f>
        <v/>
      </c>
      <c r="M761" s="94" t="str">
        <f>IF(N761=0,"",IF(B761="","CDF não informado",IF(Q761=0,"REVISAR VÍNCULO: CDF inexistente",IF(C761="","Item não informado",IF(T761=0,"REVISAR VÍNCULO: item inexistente",IF(AND(X761=1,J761&lt;&gt;"Sim"),"REVISAR VÍNCULO: destinador diferente do MTR",IF(X761=1,"Destinador diferente do MTR (analisado)","OK")))))))</f>
        <v/>
      </c>
      <c r="N761" s="96">
        <f>IF(COUNTA(B761:C761,F761:G761,J761:K761)&gt;0,1,0)</f>
        <v>0</v>
      </c>
      <c r="O761" s="96" t="str">
        <f>IF(B761="","",TRIM(LEFT(B761,FIND(" |",B761&amp;" |")-1)))</f>
        <v/>
      </c>
      <c r="P761" s="96" t="str">
        <f>IF(O761="","",IFERROR(MATCH(O761,'CDFs'!$A$6:$A$505,0),""))</f>
        <v/>
      </c>
      <c r="Q761" s="96">
        <f>IF(P761="",0,IF(INDEX('CDFs'!$S$6:$S$505,P761)=1,1,0))</f>
        <v>0</v>
      </c>
      <c r="R761" s="96" t="str">
        <f>IF(C761="","",TRIM(LEFT(C761,FIND(" |",C761&amp;" |")-1)))</f>
        <v/>
      </c>
      <c r="S761" s="96" t="str">
        <f>IF(R761="","",IFERROR(MATCH(R761,'ITENS_MTR'!$A$6:$A$1005,0),""))</f>
        <v/>
      </c>
      <c r="T761" s="96">
        <f>IF(S761="",0,IF(INDEX('ITENS_MTR'!$R$6:$R$1005,S761)=1,1,0))</f>
        <v>0</v>
      </c>
      <c r="U761" s="96" t="str">
        <f>IF(G761="","",IFERROR(IF(ISNUMBER(INDEX(cfg_fac,MATCH(G761,cfg_units,0))),IF(INDEX(cfg_fac,MATCH(G761,cfg_units,0))&gt;0,INDEX(cfg_fac,MATCH(G761,cfg_units,0)),""),""),""))</f>
        <v/>
      </c>
      <c r="V761" s="96">
        <f>IF(AND(ISNUMBER(F761),ISNUMBER(H761)),IF(H761&gt;0,1,0),0)</f>
        <v>0</v>
      </c>
      <c r="W761" s="96" t="str">
        <f>IF(T761=1,INDEX('ITENS_MTR'!$AU$6:$AU$1005,S761)&amp;"","")</f>
        <v/>
      </c>
      <c r="X761" s="96">
        <f>IF(AND(Q761=1,T761=1,I761&lt;&gt;"",W761&lt;&gt;""),IF(I761&lt;&gt;W761,1,0),0)</f>
        <v>0</v>
      </c>
      <c r="Y761" s="96">
        <f>IF(N761=0,0,IF(OR(Q761=0,T761=0,V761=0,AND(X761=1,J761&lt;&gt;"Sim")),1,0))</f>
        <v>0</v>
      </c>
      <c r="Z761" s="96">
        <f>IF(Q761=1,INDEX('CDFs'!$W$6:$W$505,P761),0)</f>
        <v>0</v>
      </c>
      <c r="AA761" s="96">
        <f>IF(AND(N761=1,Y761=0,Z761=1,J761="Sim"),1,0)</f>
        <v>0</v>
      </c>
      <c r="AB761" s="96">
        <f>IF(AND(N761=1,O761&lt;&gt;"",D761&lt;&gt;""),IF(COUNTIFS($O$6:O761,O761,$D$6:D761,D761)=1,1,0),0)</f>
        <v>0</v>
      </c>
      <c r="AC761" s="96">
        <f>IF(T761=1,INDEX('ITENS_MTR'!$AL$6:$AL$1005,S761),0)</f>
        <v>0</v>
      </c>
    </row>
    <row r="762">
      <c r="A762" s="89" t="inlineStr">
        <is>
          <t>VIN-000757</t>
        </is>
      </c>
      <c r="B762" s="91" t="n"/>
      <c r="C762" s="91" t="n"/>
      <c r="D762" s="94" t="str">
        <f>IF(T762=1,INDEX('ITENS_MTR'!$S$6:$S$1005,S762)&amp;"","")</f>
        <v/>
      </c>
      <c r="E762" s="94" t="str">
        <f>IF(T762=1,INDEX('ITENS_MTR'!$C$6:$C$1005,S762)&amp;"","")</f>
        <v/>
      </c>
      <c r="F762" s="98" t="n"/>
      <c r="G762" s="91" t="n"/>
      <c r="H762" s="93" t="str">
        <f>IF(N762=0,"",IF(NOT(ISNUMBER(F762)),"",IF(ISNUMBER(U762),F762*U762,"UNIDADE A CONFERIR")))</f>
        <v/>
      </c>
      <c r="I762" s="94" t="str">
        <f>IF(Q762=1,INDEX('CDFs'!$F$6:$F$505,P762)&amp;"","")</f>
        <v/>
      </c>
      <c r="J762" s="91" t="n"/>
      <c r="K762" s="91" t="n"/>
      <c r="L762" s="94" t="str">
        <f>IF(N762=0,"",IF(NOT(ISNUMBER(F762)),"Quantidade não informada",IF(F762&lt;=0,"Quantidade não positiva",IF(G762="","Unidade não informada",IF(NOT(ISNUMBER(H762)),"Unidade a conferir",IF(AC762=1,"REVISAR VÍNCULO: soma vinculada maior que a referência do item","OK"))))))</f>
        <v/>
      </c>
      <c r="M762" s="94" t="str">
        <f>IF(N762=0,"",IF(B762="","CDF não informado",IF(Q762=0,"REVISAR VÍNCULO: CDF inexistente",IF(C762="","Item não informado",IF(T762=0,"REVISAR VÍNCULO: item inexistente",IF(AND(X762=1,J762&lt;&gt;"Sim"),"REVISAR VÍNCULO: destinador diferente do MTR",IF(X762=1,"Destinador diferente do MTR (analisado)","OK")))))))</f>
        <v/>
      </c>
      <c r="N762" s="96">
        <f>IF(COUNTA(B762:C762,F762:G762,J762:K762)&gt;0,1,0)</f>
        <v>0</v>
      </c>
      <c r="O762" s="96" t="str">
        <f>IF(B762="","",TRIM(LEFT(B762,FIND(" |",B762&amp;" |")-1)))</f>
        <v/>
      </c>
      <c r="P762" s="96" t="str">
        <f>IF(O762="","",IFERROR(MATCH(O762,'CDFs'!$A$6:$A$505,0),""))</f>
        <v/>
      </c>
      <c r="Q762" s="96">
        <f>IF(P762="",0,IF(INDEX('CDFs'!$S$6:$S$505,P762)=1,1,0))</f>
        <v>0</v>
      </c>
      <c r="R762" s="96" t="str">
        <f>IF(C762="","",TRIM(LEFT(C762,FIND(" |",C762&amp;" |")-1)))</f>
        <v/>
      </c>
      <c r="S762" s="96" t="str">
        <f>IF(R762="","",IFERROR(MATCH(R762,'ITENS_MTR'!$A$6:$A$1005,0),""))</f>
        <v/>
      </c>
      <c r="T762" s="96">
        <f>IF(S762="",0,IF(INDEX('ITENS_MTR'!$R$6:$R$1005,S762)=1,1,0))</f>
        <v>0</v>
      </c>
      <c r="U762" s="96" t="str">
        <f>IF(G762="","",IFERROR(IF(ISNUMBER(INDEX(cfg_fac,MATCH(G762,cfg_units,0))),IF(INDEX(cfg_fac,MATCH(G762,cfg_units,0))&gt;0,INDEX(cfg_fac,MATCH(G762,cfg_units,0)),""),""),""))</f>
        <v/>
      </c>
      <c r="V762" s="96">
        <f>IF(AND(ISNUMBER(F762),ISNUMBER(H762)),IF(H762&gt;0,1,0),0)</f>
        <v>0</v>
      </c>
      <c r="W762" s="96" t="str">
        <f>IF(T762=1,INDEX('ITENS_MTR'!$AU$6:$AU$1005,S762)&amp;"","")</f>
        <v/>
      </c>
      <c r="X762" s="96">
        <f>IF(AND(Q762=1,T762=1,I762&lt;&gt;"",W762&lt;&gt;""),IF(I762&lt;&gt;W762,1,0),0)</f>
        <v>0</v>
      </c>
      <c r="Y762" s="96">
        <f>IF(N762=0,0,IF(OR(Q762=0,T762=0,V762=0,AND(X762=1,J762&lt;&gt;"Sim")),1,0))</f>
        <v>0</v>
      </c>
      <c r="Z762" s="96">
        <f>IF(Q762=1,INDEX('CDFs'!$W$6:$W$505,P762),0)</f>
        <v>0</v>
      </c>
      <c r="AA762" s="96">
        <f>IF(AND(N762=1,Y762=0,Z762=1,J762="Sim"),1,0)</f>
        <v>0</v>
      </c>
      <c r="AB762" s="96">
        <f>IF(AND(N762=1,O762&lt;&gt;"",D762&lt;&gt;""),IF(COUNTIFS($O$6:O762,O762,$D$6:D762,D762)=1,1,0),0)</f>
        <v>0</v>
      </c>
      <c r="AC762" s="96">
        <f>IF(T762=1,INDEX('ITENS_MTR'!$AL$6:$AL$1005,S762),0)</f>
        <v>0</v>
      </c>
    </row>
    <row r="763">
      <c r="A763" s="89" t="inlineStr">
        <is>
          <t>VIN-000758</t>
        </is>
      </c>
      <c r="B763" s="91" t="n"/>
      <c r="C763" s="91" t="n"/>
      <c r="D763" s="94" t="str">
        <f>IF(T763=1,INDEX('ITENS_MTR'!$S$6:$S$1005,S763)&amp;"","")</f>
        <v/>
      </c>
      <c r="E763" s="94" t="str">
        <f>IF(T763=1,INDEX('ITENS_MTR'!$C$6:$C$1005,S763)&amp;"","")</f>
        <v/>
      </c>
      <c r="F763" s="98" t="n"/>
      <c r="G763" s="91" t="n"/>
      <c r="H763" s="93" t="str">
        <f>IF(N763=0,"",IF(NOT(ISNUMBER(F763)),"",IF(ISNUMBER(U763),F763*U763,"UNIDADE A CONFERIR")))</f>
        <v/>
      </c>
      <c r="I763" s="94" t="str">
        <f>IF(Q763=1,INDEX('CDFs'!$F$6:$F$505,P763)&amp;"","")</f>
        <v/>
      </c>
      <c r="J763" s="91" t="n"/>
      <c r="K763" s="91" t="n"/>
      <c r="L763" s="94" t="str">
        <f>IF(N763=0,"",IF(NOT(ISNUMBER(F763)),"Quantidade não informada",IF(F763&lt;=0,"Quantidade não positiva",IF(G763="","Unidade não informada",IF(NOT(ISNUMBER(H763)),"Unidade a conferir",IF(AC763=1,"REVISAR VÍNCULO: soma vinculada maior que a referência do item","OK"))))))</f>
        <v/>
      </c>
      <c r="M763" s="94" t="str">
        <f>IF(N763=0,"",IF(B763="","CDF não informado",IF(Q763=0,"REVISAR VÍNCULO: CDF inexistente",IF(C763="","Item não informado",IF(T763=0,"REVISAR VÍNCULO: item inexistente",IF(AND(X763=1,J763&lt;&gt;"Sim"),"REVISAR VÍNCULO: destinador diferente do MTR",IF(X763=1,"Destinador diferente do MTR (analisado)","OK")))))))</f>
        <v/>
      </c>
      <c r="N763" s="96">
        <f>IF(COUNTA(B763:C763,F763:G763,J763:K763)&gt;0,1,0)</f>
        <v>0</v>
      </c>
      <c r="O763" s="96" t="str">
        <f>IF(B763="","",TRIM(LEFT(B763,FIND(" |",B763&amp;" |")-1)))</f>
        <v/>
      </c>
      <c r="P763" s="96" t="str">
        <f>IF(O763="","",IFERROR(MATCH(O763,'CDFs'!$A$6:$A$505,0),""))</f>
        <v/>
      </c>
      <c r="Q763" s="96">
        <f>IF(P763="",0,IF(INDEX('CDFs'!$S$6:$S$505,P763)=1,1,0))</f>
        <v>0</v>
      </c>
      <c r="R763" s="96" t="str">
        <f>IF(C763="","",TRIM(LEFT(C763,FIND(" |",C763&amp;" |")-1)))</f>
        <v/>
      </c>
      <c r="S763" s="96" t="str">
        <f>IF(R763="","",IFERROR(MATCH(R763,'ITENS_MTR'!$A$6:$A$1005,0),""))</f>
        <v/>
      </c>
      <c r="T763" s="96">
        <f>IF(S763="",0,IF(INDEX('ITENS_MTR'!$R$6:$R$1005,S763)=1,1,0))</f>
        <v>0</v>
      </c>
      <c r="U763" s="96" t="str">
        <f>IF(G763="","",IFERROR(IF(ISNUMBER(INDEX(cfg_fac,MATCH(G763,cfg_units,0))),IF(INDEX(cfg_fac,MATCH(G763,cfg_units,0))&gt;0,INDEX(cfg_fac,MATCH(G763,cfg_units,0)),""),""),""))</f>
        <v/>
      </c>
      <c r="V763" s="96">
        <f>IF(AND(ISNUMBER(F763),ISNUMBER(H763)),IF(H763&gt;0,1,0),0)</f>
        <v>0</v>
      </c>
      <c r="W763" s="96" t="str">
        <f>IF(T763=1,INDEX('ITENS_MTR'!$AU$6:$AU$1005,S763)&amp;"","")</f>
        <v/>
      </c>
      <c r="X763" s="96">
        <f>IF(AND(Q763=1,T763=1,I763&lt;&gt;"",W763&lt;&gt;""),IF(I763&lt;&gt;W763,1,0),0)</f>
        <v>0</v>
      </c>
      <c r="Y763" s="96">
        <f>IF(N763=0,0,IF(OR(Q763=0,T763=0,V763=0,AND(X763=1,J763&lt;&gt;"Sim")),1,0))</f>
        <v>0</v>
      </c>
      <c r="Z763" s="96">
        <f>IF(Q763=1,INDEX('CDFs'!$W$6:$W$505,P763),0)</f>
        <v>0</v>
      </c>
      <c r="AA763" s="96">
        <f>IF(AND(N763=1,Y763=0,Z763=1,J763="Sim"),1,0)</f>
        <v>0</v>
      </c>
      <c r="AB763" s="96">
        <f>IF(AND(N763=1,O763&lt;&gt;"",D763&lt;&gt;""),IF(COUNTIFS($O$6:O763,O763,$D$6:D763,D763)=1,1,0),0)</f>
        <v>0</v>
      </c>
      <c r="AC763" s="96">
        <f>IF(T763=1,INDEX('ITENS_MTR'!$AL$6:$AL$1005,S763),0)</f>
        <v>0</v>
      </c>
    </row>
    <row r="764">
      <c r="A764" s="89" t="inlineStr">
        <is>
          <t>VIN-000759</t>
        </is>
      </c>
      <c r="B764" s="91" t="n"/>
      <c r="C764" s="91" t="n"/>
      <c r="D764" s="94" t="str">
        <f>IF(T764=1,INDEX('ITENS_MTR'!$S$6:$S$1005,S764)&amp;"","")</f>
        <v/>
      </c>
      <c r="E764" s="94" t="str">
        <f>IF(T764=1,INDEX('ITENS_MTR'!$C$6:$C$1005,S764)&amp;"","")</f>
        <v/>
      </c>
      <c r="F764" s="98" t="n"/>
      <c r="G764" s="91" t="n"/>
      <c r="H764" s="93" t="str">
        <f>IF(N764=0,"",IF(NOT(ISNUMBER(F764)),"",IF(ISNUMBER(U764),F764*U764,"UNIDADE A CONFERIR")))</f>
        <v/>
      </c>
      <c r="I764" s="94" t="str">
        <f>IF(Q764=1,INDEX('CDFs'!$F$6:$F$505,P764)&amp;"","")</f>
        <v/>
      </c>
      <c r="J764" s="91" t="n"/>
      <c r="K764" s="91" t="n"/>
      <c r="L764" s="94" t="str">
        <f>IF(N764=0,"",IF(NOT(ISNUMBER(F764)),"Quantidade não informada",IF(F764&lt;=0,"Quantidade não positiva",IF(G764="","Unidade não informada",IF(NOT(ISNUMBER(H764)),"Unidade a conferir",IF(AC764=1,"REVISAR VÍNCULO: soma vinculada maior que a referência do item","OK"))))))</f>
        <v/>
      </c>
      <c r="M764" s="94" t="str">
        <f>IF(N764=0,"",IF(B764="","CDF não informado",IF(Q764=0,"REVISAR VÍNCULO: CDF inexistente",IF(C764="","Item não informado",IF(T764=0,"REVISAR VÍNCULO: item inexistente",IF(AND(X764=1,J764&lt;&gt;"Sim"),"REVISAR VÍNCULO: destinador diferente do MTR",IF(X764=1,"Destinador diferente do MTR (analisado)","OK")))))))</f>
        <v/>
      </c>
      <c r="N764" s="96">
        <f>IF(COUNTA(B764:C764,F764:G764,J764:K764)&gt;0,1,0)</f>
        <v>0</v>
      </c>
      <c r="O764" s="96" t="str">
        <f>IF(B764="","",TRIM(LEFT(B764,FIND(" |",B764&amp;" |")-1)))</f>
        <v/>
      </c>
      <c r="P764" s="96" t="str">
        <f>IF(O764="","",IFERROR(MATCH(O764,'CDFs'!$A$6:$A$505,0),""))</f>
        <v/>
      </c>
      <c r="Q764" s="96">
        <f>IF(P764="",0,IF(INDEX('CDFs'!$S$6:$S$505,P764)=1,1,0))</f>
        <v>0</v>
      </c>
      <c r="R764" s="96" t="str">
        <f>IF(C764="","",TRIM(LEFT(C764,FIND(" |",C764&amp;" |")-1)))</f>
        <v/>
      </c>
      <c r="S764" s="96" t="str">
        <f>IF(R764="","",IFERROR(MATCH(R764,'ITENS_MTR'!$A$6:$A$1005,0),""))</f>
        <v/>
      </c>
      <c r="T764" s="96">
        <f>IF(S764="",0,IF(INDEX('ITENS_MTR'!$R$6:$R$1005,S764)=1,1,0))</f>
        <v>0</v>
      </c>
      <c r="U764" s="96" t="str">
        <f>IF(G764="","",IFERROR(IF(ISNUMBER(INDEX(cfg_fac,MATCH(G764,cfg_units,0))),IF(INDEX(cfg_fac,MATCH(G764,cfg_units,0))&gt;0,INDEX(cfg_fac,MATCH(G764,cfg_units,0)),""),""),""))</f>
        <v/>
      </c>
      <c r="V764" s="96">
        <f>IF(AND(ISNUMBER(F764),ISNUMBER(H764)),IF(H764&gt;0,1,0),0)</f>
        <v>0</v>
      </c>
      <c r="W764" s="96" t="str">
        <f>IF(T764=1,INDEX('ITENS_MTR'!$AU$6:$AU$1005,S764)&amp;"","")</f>
        <v/>
      </c>
      <c r="X764" s="96">
        <f>IF(AND(Q764=1,T764=1,I764&lt;&gt;"",W764&lt;&gt;""),IF(I764&lt;&gt;W764,1,0),0)</f>
        <v>0</v>
      </c>
      <c r="Y764" s="96">
        <f>IF(N764=0,0,IF(OR(Q764=0,T764=0,V764=0,AND(X764=1,J764&lt;&gt;"Sim")),1,0))</f>
        <v>0</v>
      </c>
      <c r="Z764" s="96">
        <f>IF(Q764=1,INDEX('CDFs'!$W$6:$W$505,P764),0)</f>
        <v>0</v>
      </c>
      <c r="AA764" s="96">
        <f>IF(AND(N764=1,Y764=0,Z764=1,J764="Sim"),1,0)</f>
        <v>0</v>
      </c>
      <c r="AB764" s="96">
        <f>IF(AND(N764=1,O764&lt;&gt;"",D764&lt;&gt;""),IF(COUNTIFS($O$6:O764,O764,$D$6:D764,D764)=1,1,0),0)</f>
        <v>0</v>
      </c>
      <c r="AC764" s="96">
        <f>IF(T764=1,INDEX('ITENS_MTR'!$AL$6:$AL$1005,S764),0)</f>
        <v>0</v>
      </c>
    </row>
    <row r="765">
      <c r="A765" s="89" t="inlineStr">
        <is>
          <t>VIN-000760</t>
        </is>
      </c>
      <c r="B765" s="91" t="n"/>
      <c r="C765" s="91" t="n"/>
      <c r="D765" s="94" t="str">
        <f>IF(T765=1,INDEX('ITENS_MTR'!$S$6:$S$1005,S765)&amp;"","")</f>
        <v/>
      </c>
      <c r="E765" s="94" t="str">
        <f>IF(T765=1,INDEX('ITENS_MTR'!$C$6:$C$1005,S765)&amp;"","")</f>
        <v/>
      </c>
      <c r="F765" s="98" t="n"/>
      <c r="G765" s="91" t="n"/>
      <c r="H765" s="93" t="str">
        <f>IF(N765=0,"",IF(NOT(ISNUMBER(F765)),"",IF(ISNUMBER(U765),F765*U765,"UNIDADE A CONFERIR")))</f>
        <v/>
      </c>
      <c r="I765" s="94" t="str">
        <f>IF(Q765=1,INDEX('CDFs'!$F$6:$F$505,P765)&amp;"","")</f>
        <v/>
      </c>
      <c r="J765" s="91" t="n"/>
      <c r="K765" s="91" t="n"/>
      <c r="L765" s="94" t="str">
        <f>IF(N765=0,"",IF(NOT(ISNUMBER(F765)),"Quantidade não informada",IF(F765&lt;=0,"Quantidade não positiva",IF(G765="","Unidade não informada",IF(NOT(ISNUMBER(H765)),"Unidade a conferir",IF(AC765=1,"REVISAR VÍNCULO: soma vinculada maior que a referência do item","OK"))))))</f>
        <v/>
      </c>
      <c r="M765" s="94" t="str">
        <f>IF(N765=0,"",IF(B765="","CDF não informado",IF(Q765=0,"REVISAR VÍNCULO: CDF inexistente",IF(C765="","Item não informado",IF(T765=0,"REVISAR VÍNCULO: item inexistente",IF(AND(X765=1,J765&lt;&gt;"Sim"),"REVISAR VÍNCULO: destinador diferente do MTR",IF(X765=1,"Destinador diferente do MTR (analisado)","OK")))))))</f>
        <v/>
      </c>
      <c r="N765" s="96">
        <f>IF(COUNTA(B765:C765,F765:G765,J765:K765)&gt;0,1,0)</f>
        <v>0</v>
      </c>
      <c r="O765" s="96" t="str">
        <f>IF(B765="","",TRIM(LEFT(B765,FIND(" |",B765&amp;" |")-1)))</f>
        <v/>
      </c>
      <c r="P765" s="96" t="str">
        <f>IF(O765="","",IFERROR(MATCH(O765,'CDFs'!$A$6:$A$505,0),""))</f>
        <v/>
      </c>
      <c r="Q765" s="96">
        <f>IF(P765="",0,IF(INDEX('CDFs'!$S$6:$S$505,P765)=1,1,0))</f>
        <v>0</v>
      </c>
      <c r="R765" s="96" t="str">
        <f>IF(C765="","",TRIM(LEFT(C765,FIND(" |",C765&amp;" |")-1)))</f>
        <v/>
      </c>
      <c r="S765" s="96" t="str">
        <f>IF(R765="","",IFERROR(MATCH(R765,'ITENS_MTR'!$A$6:$A$1005,0),""))</f>
        <v/>
      </c>
      <c r="T765" s="96">
        <f>IF(S765="",0,IF(INDEX('ITENS_MTR'!$R$6:$R$1005,S765)=1,1,0))</f>
        <v>0</v>
      </c>
      <c r="U765" s="96" t="str">
        <f>IF(G765="","",IFERROR(IF(ISNUMBER(INDEX(cfg_fac,MATCH(G765,cfg_units,0))),IF(INDEX(cfg_fac,MATCH(G765,cfg_units,0))&gt;0,INDEX(cfg_fac,MATCH(G765,cfg_units,0)),""),""),""))</f>
        <v/>
      </c>
      <c r="V765" s="96">
        <f>IF(AND(ISNUMBER(F765),ISNUMBER(H765)),IF(H765&gt;0,1,0),0)</f>
        <v>0</v>
      </c>
      <c r="W765" s="96" t="str">
        <f>IF(T765=1,INDEX('ITENS_MTR'!$AU$6:$AU$1005,S765)&amp;"","")</f>
        <v/>
      </c>
      <c r="X765" s="96">
        <f>IF(AND(Q765=1,T765=1,I765&lt;&gt;"",W765&lt;&gt;""),IF(I765&lt;&gt;W765,1,0),0)</f>
        <v>0</v>
      </c>
      <c r="Y765" s="96">
        <f>IF(N765=0,0,IF(OR(Q765=0,T765=0,V765=0,AND(X765=1,J765&lt;&gt;"Sim")),1,0))</f>
        <v>0</v>
      </c>
      <c r="Z765" s="96">
        <f>IF(Q765=1,INDEX('CDFs'!$W$6:$W$505,P765),0)</f>
        <v>0</v>
      </c>
      <c r="AA765" s="96">
        <f>IF(AND(N765=1,Y765=0,Z765=1,J765="Sim"),1,0)</f>
        <v>0</v>
      </c>
      <c r="AB765" s="96">
        <f>IF(AND(N765=1,O765&lt;&gt;"",D765&lt;&gt;""),IF(COUNTIFS($O$6:O765,O765,$D$6:D765,D765)=1,1,0),0)</f>
        <v>0</v>
      </c>
      <c r="AC765" s="96">
        <f>IF(T765=1,INDEX('ITENS_MTR'!$AL$6:$AL$1005,S765),0)</f>
        <v>0</v>
      </c>
    </row>
    <row r="766">
      <c r="A766" s="89" t="inlineStr">
        <is>
          <t>VIN-000761</t>
        </is>
      </c>
      <c r="B766" s="91" t="n"/>
      <c r="C766" s="91" t="n"/>
      <c r="D766" s="94" t="str">
        <f>IF(T766=1,INDEX('ITENS_MTR'!$S$6:$S$1005,S766)&amp;"","")</f>
        <v/>
      </c>
      <c r="E766" s="94" t="str">
        <f>IF(T766=1,INDEX('ITENS_MTR'!$C$6:$C$1005,S766)&amp;"","")</f>
        <v/>
      </c>
      <c r="F766" s="98" t="n"/>
      <c r="G766" s="91" t="n"/>
      <c r="H766" s="93" t="str">
        <f>IF(N766=0,"",IF(NOT(ISNUMBER(F766)),"",IF(ISNUMBER(U766),F766*U766,"UNIDADE A CONFERIR")))</f>
        <v/>
      </c>
      <c r="I766" s="94" t="str">
        <f>IF(Q766=1,INDEX('CDFs'!$F$6:$F$505,P766)&amp;"","")</f>
        <v/>
      </c>
      <c r="J766" s="91" t="n"/>
      <c r="K766" s="91" t="n"/>
      <c r="L766" s="94" t="str">
        <f>IF(N766=0,"",IF(NOT(ISNUMBER(F766)),"Quantidade não informada",IF(F766&lt;=0,"Quantidade não positiva",IF(G766="","Unidade não informada",IF(NOT(ISNUMBER(H766)),"Unidade a conferir",IF(AC766=1,"REVISAR VÍNCULO: soma vinculada maior que a referência do item","OK"))))))</f>
        <v/>
      </c>
      <c r="M766" s="94" t="str">
        <f>IF(N766=0,"",IF(B766="","CDF não informado",IF(Q766=0,"REVISAR VÍNCULO: CDF inexistente",IF(C766="","Item não informado",IF(T766=0,"REVISAR VÍNCULO: item inexistente",IF(AND(X766=1,J766&lt;&gt;"Sim"),"REVISAR VÍNCULO: destinador diferente do MTR",IF(X766=1,"Destinador diferente do MTR (analisado)","OK")))))))</f>
        <v/>
      </c>
      <c r="N766" s="96">
        <f>IF(COUNTA(B766:C766,F766:G766,J766:K766)&gt;0,1,0)</f>
        <v>0</v>
      </c>
      <c r="O766" s="96" t="str">
        <f>IF(B766="","",TRIM(LEFT(B766,FIND(" |",B766&amp;" |")-1)))</f>
        <v/>
      </c>
      <c r="P766" s="96" t="str">
        <f>IF(O766="","",IFERROR(MATCH(O766,'CDFs'!$A$6:$A$505,0),""))</f>
        <v/>
      </c>
      <c r="Q766" s="96">
        <f>IF(P766="",0,IF(INDEX('CDFs'!$S$6:$S$505,P766)=1,1,0))</f>
        <v>0</v>
      </c>
      <c r="R766" s="96" t="str">
        <f>IF(C766="","",TRIM(LEFT(C766,FIND(" |",C766&amp;" |")-1)))</f>
        <v/>
      </c>
      <c r="S766" s="96" t="str">
        <f>IF(R766="","",IFERROR(MATCH(R766,'ITENS_MTR'!$A$6:$A$1005,0),""))</f>
        <v/>
      </c>
      <c r="T766" s="96">
        <f>IF(S766="",0,IF(INDEX('ITENS_MTR'!$R$6:$R$1005,S766)=1,1,0))</f>
        <v>0</v>
      </c>
      <c r="U766" s="96" t="str">
        <f>IF(G766="","",IFERROR(IF(ISNUMBER(INDEX(cfg_fac,MATCH(G766,cfg_units,0))),IF(INDEX(cfg_fac,MATCH(G766,cfg_units,0))&gt;0,INDEX(cfg_fac,MATCH(G766,cfg_units,0)),""),""),""))</f>
        <v/>
      </c>
      <c r="V766" s="96">
        <f>IF(AND(ISNUMBER(F766),ISNUMBER(H766)),IF(H766&gt;0,1,0),0)</f>
        <v>0</v>
      </c>
      <c r="W766" s="96" t="str">
        <f>IF(T766=1,INDEX('ITENS_MTR'!$AU$6:$AU$1005,S766)&amp;"","")</f>
        <v/>
      </c>
      <c r="X766" s="96">
        <f>IF(AND(Q766=1,T766=1,I766&lt;&gt;"",W766&lt;&gt;""),IF(I766&lt;&gt;W766,1,0),0)</f>
        <v>0</v>
      </c>
      <c r="Y766" s="96">
        <f>IF(N766=0,0,IF(OR(Q766=0,T766=0,V766=0,AND(X766=1,J766&lt;&gt;"Sim")),1,0))</f>
        <v>0</v>
      </c>
      <c r="Z766" s="96">
        <f>IF(Q766=1,INDEX('CDFs'!$W$6:$W$505,P766),0)</f>
        <v>0</v>
      </c>
      <c r="AA766" s="96">
        <f>IF(AND(N766=1,Y766=0,Z766=1,J766="Sim"),1,0)</f>
        <v>0</v>
      </c>
      <c r="AB766" s="96">
        <f>IF(AND(N766=1,O766&lt;&gt;"",D766&lt;&gt;""),IF(COUNTIFS($O$6:O766,O766,$D$6:D766,D766)=1,1,0),0)</f>
        <v>0</v>
      </c>
      <c r="AC766" s="96">
        <f>IF(T766=1,INDEX('ITENS_MTR'!$AL$6:$AL$1005,S766),0)</f>
        <v>0</v>
      </c>
    </row>
    <row r="767">
      <c r="A767" s="89" t="inlineStr">
        <is>
          <t>VIN-000762</t>
        </is>
      </c>
      <c r="B767" s="91" t="n"/>
      <c r="C767" s="91" t="n"/>
      <c r="D767" s="94" t="str">
        <f>IF(T767=1,INDEX('ITENS_MTR'!$S$6:$S$1005,S767)&amp;"","")</f>
        <v/>
      </c>
      <c r="E767" s="94" t="str">
        <f>IF(T767=1,INDEX('ITENS_MTR'!$C$6:$C$1005,S767)&amp;"","")</f>
        <v/>
      </c>
      <c r="F767" s="98" t="n"/>
      <c r="G767" s="91" t="n"/>
      <c r="H767" s="93" t="str">
        <f>IF(N767=0,"",IF(NOT(ISNUMBER(F767)),"",IF(ISNUMBER(U767),F767*U767,"UNIDADE A CONFERIR")))</f>
        <v/>
      </c>
      <c r="I767" s="94" t="str">
        <f>IF(Q767=1,INDEX('CDFs'!$F$6:$F$505,P767)&amp;"","")</f>
        <v/>
      </c>
      <c r="J767" s="91" t="n"/>
      <c r="K767" s="91" t="n"/>
      <c r="L767" s="94" t="str">
        <f>IF(N767=0,"",IF(NOT(ISNUMBER(F767)),"Quantidade não informada",IF(F767&lt;=0,"Quantidade não positiva",IF(G767="","Unidade não informada",IF(NOT(ISNUMBER(H767)),"Unidade a conferir",IF(AC767=1,"REVISAR VÍNCULO: soma vinculada maior que a referência do item","OK"))))))</f>
        <v/>
      </c>
      <c r="M767" s="94" t="str">
        <f>IF(N767=0,"",IF(B767="","CDF não informado",IF(Q767=0,"REVISAR VÍNCULO: CDF inexistente",IF(C767="","Item não informado",IF(T767=0,"REVISAR VÍNCULO: item inexistente",IF(AND(X767=1,J767&lt;&gt;"Sim"),"REVISAR VÍNCULO: destinador diferente do MTR",IF(X767=1,"Destinador diferente do MTR (analisado)","OK")))))))</f>
        <v/>
      </c>
      <c r="N767" s="96">
        <f>IF(COUNTA(B767:C767,F767:G767,J767:K767)&gt;0,1,0)</f>
        <v>0</v>
      </c>
      <c r="O767" s="96" t="str">
        <f>IF(B767="","",TRIM(LEFT(B767,FIND(" |",B767&amp;" |")-1)))</f>
        <v/>
      </c>
      <c r="P767" s="96" t="str">
        <f>IF(O767="","",IFERROR(MATCH(O767,'CDFs'!$A$6:$A$505,0),""))</f>
        <v/>
      </c>
      <c r="Q767" s="96">
        <f>IF(P767="",0,IF(INDEX('CDFs'!$S$6:$S$505,P767)=1,1,0))</f>
        <v>0</v>
      </c>
      <c r="R767" s="96" t="str">
        <f>IF(C767="","",TRIM(LEFT(C767,FIND(" |",C767&amp;" |")-1)))</f>
        <v/>
      </c>
      <c r="S767" s="96" t="str">
        <f>IF(R767="","",IFERROR(MATCH(R767,'ITENS_MTR'!$A$6:$A$1005,0),""))</f>
        <v/>
      </c>
      <c r="T767" s="96">
        <f>IF(S767="",0,IF(INDEX('ITENS_MTR'!$R$6:$R$1005,S767)=1,1,0))</f>
        <v>0</v>
      </c>
      <c r="U767" s="96" t="str">
        <f>IF(G767="","",IFERROR(IF(ISNUMBER(INDEX(cfg_fac,MATCH(G767,cfg_units,0))),IF(INDEX(cfg_fac,MATCH(G767,cfg_units,0))&gt;0,INDEX(cfg_fac,MATCH(G767,cfg_units,0)),""),""),""))</f>
        <v/>
      </c>
      <c r="V767" s="96">
        <f>IF(AND(ISNUMBER(F767),ISNUMBER(H767)),IF(H767&gt;0,1,0),0)</f>
        <v>0</v>
      </c>
      <c r="W767" s="96" t="str">
        <f>IF(T767=1,INDEX('ITENS_MTR'!$AU$6:$AU$1005,S767)&amp;"","")</f>
        <v/>
      </c>
      <c r="X767" s="96">
        <f>IF(AND(Q767=1,T767=1,I767&lt;&gt;"",W767&lt;&gt;""),IF(I767&lt;&gt;W767,1,0),0)</f>
        <v>0</v>
      </c>
      <c r="Y767" s="96">
        <f>IF(N767=0,0,IF(OR(Q767=0,T767=0,V767=0,AND(X767=1,J767&lt;&gt;"Sim")),1,0))</f>
        <v>0</v>
      </c>
      <c r="Z767" s="96">
        <f>IF(Q767=1,INDEX('CDFs'!$W$6:$W$505,P767),0)</f>
        <v>0</v>
      </c>
      <c r="AA767" s="96">
        <f>IF(AND(N767=1,Y767=0,Z767=1,J767="Sim"),1,0)</f>
        <v>0</v>
      </c>
      <c r="AB767" s="96">
        <f>IF(AND(N767=1,O767&lt;&gt;"",D767&lt;&gt;""),IF(COUNTIFS($O$6:O767,O767,$D$6:D767,D767)=1,1,0),0)</f>
        <v>0</v>
      </c>
      <c r="AC767" s="96">
        <f>IF(T767=1,INDEX('ITENS_MTR'!$AL$6:$AL$1005,S767),0)</f>
        <v>0</v>
      </c>
    </row>
    <row r="768">
      <c r="A768" s="89" t="inlineStr">
        <is>
          <t>VIN-000763</t>
        </is>
      </c>
      <c r="B768" s="91" t="n"/>
      <c r="C768" s="91" t="n"/>
      <c r="D768" s="94" t="str">
        <f>IF(T768=1,INDEX('ITENS_MTR'!$S$6:$S$1005,S768)&amp;"","")</f>
        <v/>
      </c>
      <c r="E768" s="94" t="str">
        <f>IF(T768=1,INDEX('ITENS_MTR'!$C$6:$C$1005,S768)&amp;"","")</f>
        <v/>
      </c>
      <c r="F768" s="98" t="n"/>
      <c r="G768" s="91" t="n"/>
      <c r="H768" s="93" t="str">
        <f>IF(N768=0,"",IF(NOT(ISNUMBER(F768)),"",IF(ISNUMBER(U768),F768*U768,"UNIDADE A CONFERIR")))</f>
        <v/>
      </c>
      <c r="I768" s="94" t="str">
        <f>IF(Q768=1,INDEX('CDFs'!$F$6:$F$505,P768)&amp;"","")</f>
        <v/>
      </c>
      <c r="J768" s="91" t="n"/>
      <c r="K768" s="91" t="n"/>
      <c r="L768" s="94" t="str">
        <f>IF(N768=0,"",IF(NOT(ISNUMBER(F768)),"Quantidade não informada",IF(F768&lt;=0,"Quantidade não positiva",IF(G768="","Unidade não informada",IF(NOT(ISNUMBER(H768)),"Unidade a conferir",IF(AC768=1,"REVISAR VÍNCULO: soma vinculada maior que a referência do item","OK"))))))</f>
        <v/>
      </c>
      <c r="M768" s="94" t="str">
        <f>IF(N768=0,"",IF(B768="","CDF não informado",IF(Q768=0,"REVISAR VÍNCULO: CDF inexistente",IF(C768="","Item não informado",IF(T768=0,"REVISAR VÍNCULO: item inexistente",IF(AND(X768=1,J768&lt;&gt;"Sim"),"REVISAR VÍNCULO: destinador diferente do MTR",IF(X768=1,"Destinador diferente do MTR (analisado)","OK")))))))</f>
        <v/>
      </c>
      <c r="N768" s="96">
        <f>IF(COUNTA(B768:C768,F768:G768,J768:K768)&gt;0,1,0)</f>
        <v>0</v>
      </c>
      <c r="O768" s="96" t="str">
        <f>IF(B768="","",TRIM(LEFT(B768,FIND(" |",B768&amp;" |")-1)))</f>
        <v/>
      </c>
      <c r="P768" s="96" t="str">
        <f>IF(O768="","",IFERROR(MATCH(O768,'CDFs'!$A$6:$A$505,0),""))</f>
        <v/>
      </c>
      <c r="Q768" s="96">
        <f>IF(P768="",0,IF(INDEX('CDFs'!$S$6:$S$505,P768)=1,1,0))</f>
        <v>0</v>
      </c>
      <c r="R768" s="96" t="str">
        <f>IF(C768="","",TRIM(LEFT(C768,FIND(" |",C768&amp;" |")-1)))</f>
        <v/>
      </c>
      <c r="S768" s="96" t="str">
        <f>IF(R768="","",IFERROR(MATCH(R768,'ITENS_MTR'!$A$6:$A$1005,0),""))</f>
        <v/>
      </c>
      <c r="T768" s="96">
        <f>IF(S768="",0,IF(INDEX('ITENS_MTR'!$R$6:$R$1005,S768)=1,1,0))</f>
        <v>0</v>
      </c>
      <c r="U768" s="96" t="str">
        <f>IF(G768="","",IFERROR(IF(ISNUMBER(INDEX(cfg_fac,MATCH(G768,cfg_units,0))),IF(INDEX(cfg_fac,MATCH(G768,cfg_units,0))&gt;0,INDEX(cfg_fac,MATCH(G768,cfg_units,0)),""),""),""))</f>
        <v/>
      </c>
      <c r="V768" s="96">
        <f>IF(AND(ISNUMBER(F768),ISNUMBER(H768)),IF(H768&gt;0,1,0),0)</f>
        <v>0</v>
      </c>
      <c r="W768" s="96" t="str">
        <f>IF(T768=1,INDEX('ITENS_MTR'!$AU$6:$AU$1005,S768)&amp;"","")</f>
        <v/>
      </c>
      <c r="X768" s="96">
        <f>IF(AND(Q768=1,T768=1,I768&lt;&gt;"",W768&lt;&gt;""),IF(I768&lt;&gt;W768,1,0),0)</f>
        <v>0</v>
      </c>
      <c r="Y768" s="96">
        <f>IF(N768=0,0,IF(OR(Q768=0,T768=0,V768=0,AND(X768=1,J768&lt;&gt;"Sim")),1,0))</f>
        <v>0</v>
      </c>
      <c r="Z768" s="96">
        <f>IF(Q768=1,INDEX('CDFs'!$W$6:$W$505,P768),0)</f>
        <v>0</v>
      </c>
      <c r="AA768" s="96">
        <f>IF(AND(N768=1,Y768=0,Z768=1,J768="Sim"),1,0)</f>
        <v>0</v>
      </c>
      <c r="AB768" s="96">
        <f>IF(AND(N768=1,O768&lt;&gt;"",D768&lt;&gt;""),IF(COUNTIFS($O$6:O768,O768,$D$6:D768,D768)=1,1,0),0)</f>
        <v>0</v>
      </c>
      <c r="AC768" s="96">
        <f>IF(T768=1,INDEX('ITENS_MTR'!$AL$6:$AL$1005,S768),0)</f>
        <v>0</v>
      </c>
    </row>
    <row r="769">
      <c r="A769" s="89" t="inlineStr">
        <is>
          <t>VIN-000764</t>
        </is>
      </c>
      <c r="B769" s="91" t="n"/>
      <c r="C769" s="91" t="n"/>
      <c r="D769" s="94" t="str">
        <f>IF(T769=1,INDEX('ITENS_MTR'!$S$6:$S$1005,S769)&amp;"","")</f>
        <v/>
      </c>
      <c r="E769" s="94" t="str">
        <f>IF(T769=1,INDEX('ITENS_MTR'!$C$6:$C$1005,S769)&amp;"","")</f>
        <v/>
      </c>
      <c r="F769" s="98" t="n"/>
      <c r="G769" s="91" t="n"/>
      <c r="H769" s="93" t="str">
        <f>IF(N769=0,"",IF(NOT(ISNUMBER(F769)),"",IF(ISNUMBER(U769),F769*U769,"UNIDADE A CONFERIR")))</f>
        <v/>
      </c>
      <c r="I769" s="94" t="str">
        <f>IF(Q769=1,INDEX('CDFs'!$F$6:$F$505,P769)&amp;"","")</f>
        <v/>
      </c>
      <c r="J769" s="91" t="n"/>
      <c r="K769" s="91" t="n"/>
      <c r="L769" s="94" t="str">
        <f>IF(N769=0,"",IF(NOT(ISNUMBER(F769)),"Quantidade não informada",IF(F769&lt;=0,"Quantidade não positiva",IF(G769="","Unidade não informada",IF(NOT(ISNUMBER(H769)),"Unidade a conferir",IF(AC769=1,"REVISAR VÍNCULO: soma vinculada maior que a referência do item","OK"))))))</f>
        <v/>
      </c>
      <c r="M769" s="94" t="str">
        <f>IF(N769=0,"",IF(B769="","CDF não informado",IF(Q769=0,"REVISAR VÍNCULO: CDF inexistente",IF(C769="","Item não informado",IF(T769=0,"REVISAR VÍNCULO: item inexistente",IF(AND(X769=1,J769&lt;&gt;"Sim"),"REVISAR VÍNCULO: destinador diferente do MTR",IF(X769=1,"Destinador diferente do MTR (analisado)","OK")))))))</f>
        <v/>
      </c>
      <c r="N769" s="96">
        <f>IF(COUNTA(B769:C769,F769:G769,J769:K769)&gt;0,1,0)</f>
        <v>0</v>
      </c>
      <c r="O769" s="96" t="str">
        <f>IF(B769="","",TRIM(LEFT(B769,FIND(" |",B769&amp;" |")-1)))</f>
        <v/>
      </c>
      <c r="P769" s="96" t="str">
        <f>IF(O769="","",IFERROR(MATCH(O769,'CDFs'!$A$6:$A$505,0),""))</f>
        <v/>
      </c>
      <c r="Q769" s="96">
        <f>IF(P769="",0,IF(INDEX('CDFs'!$S$6:$S$505,P769)=1,1,0))</f>
        <v>0</v>
      </c>
      <c r="R769" s="96" t="str">
        <f>IF(C769="","",TRIM(LEFT(C769,FIND(" |",C769&amp;" |")-1)))</f>
        <v/>
      </c>
      <c r="S769" s="96" t="str">
        <f>IF(R769="","",IFERROR(MATCH(R769,'ITENS_MTR'!$A$6:$A$1005,0),""))</f>
        <v/>
      </c>
      <c r="T769" s="96">
        <f>IF(S769="",0,IF(INDEX('ITENS_MTR'!$R$6:$R$1005,S769)=1,1,0))</f>
        <v>0</v>
      </c>
      <c r="U769" s="96" t="str">
        <f>IF(G769="","",IFERROR(IF(ISNUMBER(INDEX(cfg_fac,MATCH(G769,cfg_units,0))),IF(INDEX(cfg_fac,MATCH(G769,cfg_units,0))&gt;0,INDEX(cfg_fac,MATCH(G769,cfg_units,0)),""),""),""))</f>
        <v/>
      </c>
      <c r="V769" s="96">
        <f>IF(AND(ISNUMBER(F769),ISNUMBER(H769)),IF(H769&gt;0,1,0),0)</f>
        <v>0</v>
      </c>
      <c r="W769" s="96" t="str">
        <f>IF(T769=1,INDEX('ITENS_MTR'!$AU$6:$AU$1005,S769)&amp;"","")</f>
        <v/>
      </c>
      <c r="X769" s="96">
        <f>IF(AND(Q769=1,T769=1,I769&lt;&gt;"",W769&lt;&gt;""),IF(I769&lt;&gt;W769,1,0),0)</f>
        <v>0</v>
      </c>
      <c r="Y769" s="96">
        <f>IF(N769=0,0,IF(OR(Q769=0,T769=0,V769=0,AND(X769=1,J769&lt;&gt;"Sim")),1,0))</f>
        <v>0</v>
      </c>
      <c r="Z769" s="96">
        <f>IF(Q769=1,INDEX('CDFs'!$W$6:$W$505,P769),0)</f>
        <v>0</v>
      </c>
      <c r="AA769" s="96">
        <f>IF(AND(N769=1,Y769=0,Z769=1,J769="Sim"),1,0)</f>
        <v>0</v>
      </c>
      <c r="AB769" s="96">
        <f>IF(AND(N769=1,O769&lt;&gt;"",D769&lt;&gt;""),IF(COUNTIFS($O$6:O769,O769,$D$6:D769,D769)=1,1,0),0)</f>
        <v>0</v>
      </c>
      <c r="AC769" s="96">
        <f>IF(T769=1,INDEX('ITENS_MTR'!$AL$6:$AL$1005,S769),0)</f>
        <v>0</v>
      </c>
    </row>
    <row r="770">
      <c r="A770" s="89" t="inlineStr">
        <is>
          <t>VIN-000765</t>
        </is>
      </c>
      <c r="B770" s="91" t="n"/>
      <c r="C770" s="91" t="n"/>
      <c r="D770" s="94" t="str">
        <f>IF(T770=1,INDEX('ITENS_MTR'!$S$6:$S$1005,S770)&amp;"","")</f>
        <v/>
      </c>
      <c r="E770" s="94" t="str">
        <f>IF(T770=1,INDEX('ITENS_MTR'!$C$6:$C$1005,S770)&amp;"","")</f>
        <v/>
      </c>
      <c r="F770" s="98" t="n"/>
      <c r="G770" s="91" t="n"/>
      <c r="H770" s="93" t="str">
        <f>IF(N770=0,"",IF(NOT(ISNUMBER(F770)),"",IF(ISNUMBER(U770),F770*U770,"UNIDADE A CONFERIR")))</f>
        <v/>
      </c>
      <c r="I770" s="94" t="str">
        <f>IF(Q770=1,INDEX('CDFs'!$F$6:$F$505,P770)&amp;"","")</f>
        <v/>
      </c>
      <c r="J770" s="91" t="n"/>
      <c r="K770" s="91" t="n"/>
      <c r="L770" s="94" t="str">
        <f>IF(N770=0,"",IF(NOT(ISNUMBER(F770)),"Quantidade não informada",IF(F770&lt;=0,"Quantidade não positiva",IF(G770="","Unidade não informada",IF(NOT(ISNUMBER(H770)),"Unidade a conferir",IF(AC770=1,"REVISAR VÍNCULO: soma vinculada maior que a referência do item","OK"))))))</f>
        <v/>
      </c>
      <c r="M770" s="94" t="str">
        <f>IF(N770=0,"",IF(B770="","CDF não informado",IF(Q770=0,"REVISAR VÍNCULO: CDF inexistente",IF(C770="","Item não informado",IF(T770=0,"REVISAR VÍNCULO: item inexistente",IF(AND(X770=1,J770&lt;&gt;"Sim"),"REVISAR VÍNCULO: destinador diferente do MTR",IF(X770=1,"Destinador diferente do MTR (analisado)","OK")))))))</f>
        <v/>
      </c>
      <c r="N770" s="96">
        <f>IF(COUNTA(B770:C770,F770:G770,J770:K770)&gt;0,1,0)</f>
        <v>0</v>
      </c>
      <c r="O770" s="96" t="str">
        <f>IF(B770="","",TRIM(LEFT(B770,FIND(" |",B770&amp;" |")-1)))</f>
        <v/>
      </c>
      <c r="P770" s="96" t="str">
        <f>IF(O770="","",IFERROR(MATCH(O770,'CDFs'!$A$6:$A$505,0),""))</f>
        <v/>
      </c>
      <c r="Q770" s="96">
        <f>IF(P770="",0,IF(INDEX('CDFs'!$S$6:$S$505,P770)=1,1,0))</f>
        <v>0</v>
      </c>
      <c r="R770" s="96" t="str">
        <f>IF(C770="","",TRIM(LEFT(C770,FIND(" |",C770&amp;" |")-1)))</f>
        <v/>
      </c>
      <c r="S770" s="96" t="str">
        <f>IF(R770="","",IFERROR(MATCH(R770,'ITENS_MTR'!$A$6:$A$1005,0),""))</f>
        <v/>
      </c>
      <c r="T770" s="96">
        <f>IF(S770="",0,IF(INDEX('ITENS_MTR'!$R$6:$R$1005,S770)=1,1,0))</f>
        <v>0</v>
      </c>
      <c r="U770" s="96" t="str">
        <f>IF(G770="","",IFERROR(IF(ISNUMBER(INDEX(cfg_fac,MATCH(G770,cfg_units,0))),IF(INDEX(cfg_fac,MATCH(G770,cfg_units,0))&gt;0,INDEX(cfg_fac,MATCH(G770,cfg_units,0)),""),""),""))</f>
        <v/>
      </c>
      <c r="V770" s="96">
        <f>IF(AND(ISNUMBER(F770),ISNUMBER(H770)),IF(H770&gt;0,1,0),0)</f>
        <v>0</v>
      </c>
      <c r="W770" s="96" t="str">
        <f>IF(T770=1,INDEX('ITENS_MTR'!$AU$6:$AU$1005,S770)&amp;"","")</f>
        <v/>
      </c>
      <c r="X770" s="96">
        <f>IF(AND(Q770=1,T770=1,I770&lt;&gt;"",W770&lt;&gt;""),IF(I770&lt;&gt;W770,1,0),0)</f>
        <v>0</v>
      </c>
      <c r="Y770" s="96">
        <f>IF(N770=0,0,IF(OR(Q770=0,T770=0,V770=0,AND(X770=1,J770&lt;&gt;"Sim")),1,0))</f>
        <v>0</v>
      </c>
      <c r="Z770" s="96">
        <f>IF(Q770=1,INDEX('CDFs'!$W$6:$W$505,P770),0)</f>
        <v>0</v>
      </c>
      <c r="AA770" s="96">
        <f>IF(AND(N770=1,Y770=0,Z770=1,J770="Sim"),1,0)</f>
        <v>0</v>
      </c>
      <c r="AB770" s="96">
        <f>IF(AND(N770=1,O770&lt;&gt;"",D770&lt;&gt;""),IF(COUNTIFS($O$6:O770,O770,$D$6:D770,D770)=1,1,0),0)</f>
        <v>0</v>
      </c>
      <c r="AC770" s="96">
        <f>IF(T770=1,INDEX('ITENS_MTR'!$AL$6:$AL$1005,S770),0)</f>
        <v>0</v>
      </c>
    </row>
    <row r="771">
      <c r="A771" s="89" t="inlineStr">
        <is>
          <t>VIN-000766</t>
        </is>
      </c>
      <c r="B771" s="91" t="n"/>
      <c r="C771" s="91" t="n"/>
      <c r="D771" s="94" t="str">
        <f>IF(T771=1,INDEX('ITENS_MTR'!$S$6:$S$1005,S771)&amp;"","")</f>
        <v/>
      </c>
      <c r="E771" s="94" t="str">
        <f>IF(T771=1,INDEX('ITENS_MTR'!$C$6:$C$1005,S771)&amp;"","")</f>
        <v/>
      </c>
      <c r="F771" s="98" t="n"/>
      <c r="G771" s="91" t="n"/>
      <c r="H771" s="93" t="str">
        <f>IF(N771=0,"",IF(NOT(ISNUMBER(F771)),"",IF(ISNUMBER(U771),F771*U771,"UNIDADE A CONFERIR")))</f>
        <v/>
      </c>
      <c r="I771" s="94" t="str">
        <f>IF(Q771=1,INDEX('CDFs'!$F$6:$F$505,P771)&amp;"","")</f>
        <v/>
      </c>
      <c r="J771" s="91" t="n"/>
      <c r="K771" s="91" t="n"/>
      <c r="L771" s="94" t="str">
        <f>IF(N771=0,"",IF(NOT(ISNUMBER(F771)),"Quantidade não informada",IF(F771&lt;=0,"Quantidade não positiva",IF(G771="","Unidade não informada",IF(NOT(ISNUMBER(H771)),"Unidade a conferir",IF(AC771=1,"REVISAR VÍNCULO: soma vinculada maior que a referência do item","OK"))))))</f>
        <v/>
      </c>
      <c r="M771" s="94" t="str">
        <f>IF(N771=0,"",IF(B771="","CDF não informado",IF(Q771=0,"REVISAR VÍNCULO: CDF inexistente",IF(C771="","Item não informado",IF(T771=0,"REVISAR VÍNCULO: item inexistente",IF(AND(X771=1,J771&lt;&gt;"Sim"),"REVISAR VÍNCULO: destinador diferente do MTR",IF(X771=1,"Destinador diferente do MTR (analisado)","OK")))))))</f>
        <v/>
      </c>
      <c r="N771" s="96">
        <f>IF(COUNTA(B771:C771,F771:G771,J771:K771)&gt;0,1,0)</f>
        <v>0</v>
      </c>
      <c r="O771" s="96" t="str">
        <f>IF(B771="","",TRIM(LEFT(B771,FIND(" |",B771&amp;" |")-1)))</f>
        <v/>
      </c>
      <c r="P771" s="96" t="str">
        <f>IF(O771="","",IFERROR(MATCH(O771,'CDFs'!$A$6:$A$505,0),""))</f>
        <v/>
      </c>
      <c r="Q771" s="96">
        <f>IF(P771="",0,IF(INDEX('CDFs'!$S$6:$S$505,P771)=1,1,0))</f>
        <v>0</v>
      </c>
      <c r="R771" s="96" t="str">
        <f>IF(C771="","",TRIM(LEFT(C771,FIND(" |",C771&amp;" |")-1)))</f>
        <v/>
      </c>
      <c r="S771" s="96" t="str">
        <f>IF(R771="","",IFERROR(MATCH(R771,'ITENS_MTR'!$A$6:$A$1005,0),""))</f>
        <v/>
      </c>
      <c r="T771" s="96">
        <f>IF(S771="",0,IF(INDEX('ITENS_MTR'!$R$6:$R$1005,S771)=1,1,0))</f>
        <v>0</v>
      </c>
      <c r="U771" s="96" t="str">
        <f>IF(G771="","",IFERROR(IF(ISNUMBER(INDEX(cfg_fac,MATCH(G771,cfg_units,0))),IF(INDEX(cfg_fac,MATCH(G771,cfg_units,0))&gt;0,INDEX(cfg_fac,MATCH(G771,cfg_units,0)),""),""),""))</f>
        <v/>
      </c>
      <c r="V771" s="96">
        <f>IF(AND(ISNUMBER(F771),ISNUMBER(H771)),IF(H771&gt;0,1,0),0)</f>
        <v>0</v>
      </c>
      <c r="W771" s="96" t="str">
        <f>IF(T771=1,INDEX('ITENS_MTR'!$AU$6:$AU$1005,S771)&amp;"","")</f>
        <v/>
      </c>
      <c r="X771" s="96">
        <f>IF(AND(Q771=1,T771=1,I771&lt;&gt;"",W771&lt;&gt;""),IF(I771&lt;&gt;W771,1,0),0)</f>
        <v>0</v>
      </c>
      <c r="Y771" s="96">
        <f>IF(N771=0,0,IF(OR(Q771=0,T771=0,V771=0,AND(X771=1,J771&lt;&gt;"Sim")),1,0))</f>
        <v>0</v>
      </c>
      <c r="Z771" s="96">
        <f>IF(Q771=1,INDEX('CDFs'!$W$6:$W$505,P771),0)</f>
        <v>0</v>
      </c>
      <c r="AA771" s="96">
        <f>IF(AND(N771=1,Y771=0,Z771=1,J771="Sim"),1,0)</f>
        <v>0</v>
      </c>
      <c r="AB771" s="96">
        <f>IF(AND(N771=1,O771&lt;&gt;"",D771&lt;&gt;""),IF(COUNTIFS($O$6:O771,O771,$D$6:D771,D771)=1,1,0),0)</f>
        <v>0</v>
      </c>
      <c r="AC771" s="96">
        <f>IF(T771=1,INDEX('ITENS_MTR'!$AL$6:$AL$1005,S771),0)</f>
        <v>0</v>
      </c>
    </row>
    <row r="772">
      <c r="A772" s="89" t="inlineStr">
        <is>
          <t>VIN-000767</t>
        </is>
      </c>
      <c r="B772" s="91" t="n"/>
      <c r="C772" s="91" t="n"/>
      <c r="D772" s="94" t="str">
        <f>IF(T772=1,INDEX('ITENS_MTR'!$S$6:$S$1005,S772)&amp;"","")</f>
        <v/>
      </c>
      <c r="E772" s="94" t="str">
        <f>IF(T772=1,INDEX('ITENS_MTR'!$C$6:$C$1005,S772)&amp;"","")</f>
        <v/>
      </c>
      <c r="F772" s="98" t="n"/>
      <c r="G772" s="91" t="n"/>
      <c r="H772" s="93" t="str">
        <f>IF(N772=0,"",IF(NOT(ISNUMBER(F772)),"",IF(ISNUMBER(U772),F772*U772,"UNIDADE A CONFERIR")))</f>
        <v/>
      </c>
      <c r="I772" s="94" t="str">
        <f>IF(Q772=1,INDEX('CDFs'!$F$6:$F$505,P772)&amp;"","")</f>
        <v/>
      </c>
      <c r="J772" s="91" t="n"/>
      <c r="K772" s="91" t="n"/>
      <c r="L772" s="94" t="str">
        <f>IF(N772=0,"",IF(NOT(ISNUMBER(F772)),"Quantidade não informada",IF(F772&lt;=0,"Quantidade não positiva",IF(G772="","Unidade não informada",IF(NOT(ISNUMBER(H772)),"Unidade a conferir",IF(AC772=1,"REVISAR VÍNCULO: soma vinculada maior que a referência do item","OK"))))))</f>
        <v/>
      </c>
      <c r="M772" s="94" t="str">
        <f>IF(N772=0,"",IF(B772="","CDF não informado",IF(Q772=0,"REVISAR VÍNCULO: CDF inexistente",IF(C772="","Item não informado",IF(T772=0,"REVISAR VÍNCULO: item inexistente",IF(AND(X772=1,J772&lt;&gt;"Sim"),"REVISAR VÍNCULO: destinador diferente do MTR",IF(X772=1,"Destinador diferente do MTR (analisado)","OK")))))))</f>
        <v/>
      </c>
      <c r="N772" s="96">
        <f>IF(COUNTA(B772:C772,F772:G772,J772:K772)&gt;0,1,0)</f>
        <v>0</v>
      </c>
      <c r="O772" s="96" t="str">
        <f>IF(B772="","",TRIM(LEFT(B772,FIND(" |",B772&amp;" |")-1)))</f>
        <v/>
      </c>
      <c r="P772" s="96" t="str">
        <f>IF(O772="","",IFERROR(MATCH(O772,'CDFs'!$A$6:$A$505,0),""))</f>
        <v/>
      </c>
      <c r="Q772" s="96">
        <f>IF(P772="",0,IF(INDEX('CDFs'!$S$6:$S$505,P772)=1,1,0))</f>
        <v>0</v>
      </c>
      <c r="R772" s="96" t="str">
        <f>IF(C772="","",TRIM(LEFT(C772,FIND(" |",C772&amp;" |")-1)))</f>
        <v/>
      </c>
      <c r="S772" s="96" t="str">
        <f>IF(R772="","",IFERROR(MATCH(R772,'ITENS_MTR'!$A$6:$A$1005,0),""))</f>
        <v/>
      </c>
      <c r="T772" s="96">
        <f>IF(S772="",0,IF(INDEX('ITENS_MTR'!$R$6:$R$1005,S772)=1,1,0))</f>
        <v>0</v>
      </c>
      <c r="U772" s="96" t="str">
        <f>IF(G772="","",IFERROR(IF(ISNUMBER(INDEX(cfg_fac,MATCH(G772,cfg_units,0))),IF(INDEX(cfg_fac,MATCH(G772,cfg_units,0))&gt;0,INDEX(cfg_fac,MATCH(G772,cfg_units,0)),""),""),""))</f>
        <v/>
      </c>
      <c r="V772" s="96">
        <f>IF(AND(ISNUMBER(F772),ISNUMBER(H772)),IF(H772&gt;0,1,0),0)</f>
        <v>0</v>
      </c>
      <c r="W772" s="96" t="str">
        <f>IF(T772=1,INDEX('ITENS_MTR'!$AU$6:$AU$1005,S772)&amp;"","")</f>
        <v/>
      </c>
      <c r="X772" s="96">
        <f>IF(AND(Q772=1,T772=1,I772&lt;&gt;"",W772&lt;&gt;""),IF(I772&lt;&gt;W772,1,0),0)</f>
        <v>0</v>
      </c>
      <c r="Y772" s="96">
        <f>IF(N772=0,0,IF(OR(Q772=0,T772=0,V772=0,AND(X772=1,J772&lt;&gt;"Sim")),1,0))</f>
        <v>0</v>
      </c>
      <c r="Z772" s="96">
        <f>IF(Q772=1,INDEX('CDFs'!$W$6:$W$505,P772),0)</f>
        <v>0</v>
      </c>
      <c r="AA772" s="96">
        <f>IF(AND(N772=1,Y772=0,Z772=1,J772="Sim"),1,0)</f>
        <v>0</v>
      </c>
      <c r="AB772" s="96">
        <f>IF(AND(N772=1,O772&lt;&gt;"",D772&lt;&gt;""),IF(COUNTIFS($O$6:O772,O772,$D$6:D772,D772)=1,1,0),0)</f>
        <v>0</v>
      </c>
      <c r="AC772" s="96">
        <f>IF(T772=1,INDEX('ITENS_MTR'!$AL$6:$AL$1005,S772),0)</f>
        <v>0</v>
      </c>
    </row>
    <row r="773">
      <c r="A773" s="89" t="inlineStr">
        <is>
          <t>VIN-000768</t>
        </is>
      </c>
      <c r="B773" s="91" t="n"/>
      <c r="C773" s="91" t="n"/>
      <c r="D773" s="94" t="str">
        <f>IF(T773=1,INDEX('ITENS_MTR'!$S$6:$S$1005,S773)&amp;"","")</f>
        <v/>
      </c>
      <c r="E773" s="94" t="str">
        <f>IF(T773=1,INDEX('ITENS_MTR'!$C$6:$C$1005,S773)&amp;"","")</f>
        <v/>
      </c>
      <c r="F773" s="98" t="n"/>
      <c r="G773" s="91" t="n"/>
      <c r="H773" s="93" t="str">
        <f>IF(N773=0,"",IF(NOT(ISNUMBER(F773)),"",IF(ISNUMBER(U773),F773*U773,"UNIDADE A CONFERIR")))</f>
        <v/>
      </c>
      <c r="I773" s="94" t="str">
        <f>IF(Q773=1,INDEX('CDFs'!$F$6:$F$505,P773)&amp;"","")</f>
        <v/>
      </c>
      <c r="J773" s="91" t="n"/>
      <c r="K773" s="91" t="n"/>
      <c r="L773" s="94" t="str">
        <f>IF(N773=0,"",IF(NOT(ISNUMBER(F773)),"Quantidade não informada",IF(F773&lt;=0,"Quantidade não positiva",IF(G773="","Unidade não informada",IF(NOT(ISNUMBER(H773)),"Unidade a conferir",IF(AC773=1,"REVISAR VÍNCULO: soma vinculada maior que a referência do item","OK"))))))</f>
        <v/>
      </c>
      <c r="M773" s="94" t="str">
        <f>IF(N773=0,"",IF(B773="","CDF não informado",IF(Q773=0,"REVISAR VÍNCULO: CDF inexistente",IF(C773="","Item não informado",IF(T773=0,"REVISAR VÍNCULO: item inexistente",IF(AND(X773=1,J773&lt;&gt;"Sim"),"REVISAR VÍNCULO: destinador diferente do MTR",IF(X773=1,"Destinador diferente do MTR (analisado)","OK")))))))</f>
        <v/>
      </c>
      <c r="N773" s="96">
        <f>IF(COUNTA(B773:C773,F773:G773,J773:K773)&gt;0,1,0)</f>
        <v>0</v>
      </c>
      <c r="O773" s="96" t="str">
        <f>IF(B773="","",TRIM(LEFT(B773,FIND(" |",B773&amp;" |")-1)))</f>
        <v/>
      </c>
      <c r="P773" s="96" t="str">
        <f>IF(O773="","",IFERROR(MATCH(O773,'CDFs'!$A$6:$A$505,0),""))</f>
        <v/>
      </c>
      <c r="Q773" s="96">
        <f>IF(P773="",0,IF(INDEX('CDFs'!$S$6:$S$505,P773)=1,1,0))</f>
        <v>0</v>
      </c>
      <c r="R773" s="96" t="str">
        <f>IF(C773="","",TRIM(LEFT(C773,FIND(" |",C773&amp;" |")-1)))</f>
        <v/>
      </c>
      <c r="S773" s="96" t="str">
        <f>IF(R773="","",IFERROR(MATCH(R773,'ITENS_MTR'!$A$6:$A$1005,0),""))</f>
        <v/>
      </c>
      <c r="T773" s="96">
        <f>IF(S773="",0,IF(INDEX('ITENS_MTR'!$R$6:$R$1005,S773)=1,1,0))</f>
        <v>0</v>
      </c>
      <c r="U773" s="96" t="str">
        <f>IF(G773="","",IFERROR(IF(ISNUMBER(INDEX(cfg_fac,MATCH(G773,cfg_units,0))),IF(INDEX(cfg_fac,MATCH(G773,cfg_units,0))&gt;0,INDEX(cfg_fac,MATCH(G773,cfg_units,0)),""),""),""))</f>
        <v/>
      </c>
      <c r="V773" s="96">
        <f>IF(AND(ISNUMBER(F773),ISNUMBER(H773)),IF(H773&gt;0,1,0),0)</f>
        <v>0</v>
      </c>
      <c r="W773" s="96" t="str">
        <f>IF(T773=1,INDEX('ITENS_MTR'!$AU$6:$AU$1005,S773)&amp;"","")</f>
        <v/>
      </c>
      <c r="X773" s="96">
        <f>IF(AND(Q773=1,T773=1,I773&lt;&gt;"",W773&lt;&gt;""),IF(I773&lt;&gt;W773,1,0),0)</f>
        <v>0</v>
      </c>
      <c r="Y773" s="96">
        <f>IF(N773=0,0,IF(OR(Q773=0,T773=0,V773=0,AND(X773=1,J773&lt;&gt;"Sim")),1,0))</f>
        <v>0</v>
      </c>
      <c r="Z773" s="96">
        <f>IF(Q773=1,INDEX('CDFs'!$W$6:$W$505,P773),0)</f>
        <v>0</v>
      </c>
      <c r="AA773" s="96">
        <f>IF(AND(N773=1,Y773=0,Z773=1,J773="Sim"),1,0)</f>
        <v>0</v>
      </c>
      <c r="AB773" s="96">
        <f>IF(AND(N773=1,O773&lt;&gt;"",D773&lt;&gt;""),IF(COUNTIFS($O$6:O773,O773,$D$6:D773,D773)=1,1,0),0)</f>
        <v>0</v>
      </c>
      <c r="AC773" s="96">
        <f>IF(T773=1,INDEX('ITENS_MTR'!$AL$6:$AL$1005,S773),0)</f>
        <v>0</v>
      </c>
    </row>
    <row r="774">
      <c r="A774" s="89" t="inlineStr">
        <is>
          <t>VIN-000769</t>
        </is>
      </c>
      <c r="B774" s="91" t="n"/>
      <c r="C774" s="91" t="n"/>
      <c r="D774" s="94" t="str">
        <f>IF(T774=1,INDEX('ITENS_MTR'!$S$6:$S$1005,S774)&amp;"","")</f>
        <v/>
      </c>
      <c r="E774" s="94" t="str">
        <f>IF(T774=1,INDEX('ITENS_MTR'!$C$6:$C$1005,S774)&amp;"","")</f>
        <v/>
      </c>
      <c r="F774" s="98" t="n"/>
      <c r="G774" s="91" t="n"/>
      <c r="H774" s="93" t="str">
        <f>IF(N774=0,"",IF(NOT(ISNUMBER(F774)),"",IF(ISNUMBER(U774),F774*U774,"UNIDADE A CONFERIR")))</f>
        <v/>
      </c>
      <c r="I774" s="94" t="str">
        <f>IF(Q774=1,INDEX('CDFs'!$F$6:$F$505,P774)&amp;"","")</f>
        <v/>
      </c>
      <c r="J774" s="91" t="n"/>
      <c r="K774" s="91" t="n"/>
      <c r="L774" s="94" t="str">
        <f>IF(N774=0,"",IF(NOT(ISNUMBER(F774)),"Quantidade não informada",IF(F774&lt;=0,"Quantidade não positiva",IF(G774="","Unidade não informada",IF(NOT(ISNUMBER(H774)),"Unidade a conferir",IF(AC774=1,"REVISAR VÍNCULO: soma vinculada maior que a referência do item","OK"))))))</f>
        <v/>
      </c>
      <c r="M774" s="94" t="str">
        <f>IF(N774=0,"",IF(B774="","CDF não informado",IF(Q774=0,"REVISAR VÍNCULO: CDF inexistente",IF(C774="","Item não informado",IF(T774=0,"REVISAR VÍNCULO: item inexistente",IF(AND(X774=1,J774&lt;&gt;"Sim"),"REVISAR VÍNCULO: destinador diferente do MTR",IF(X774=1,"Destinador diferente do MTR (analisado)","OK")))))))</f>
        <v/>
      </c>
      <c r="N774" s="96">
        <f>IF(COUNTA(B774:C774,F774:G774,J774:K774)&gt;0,1,0)</f>
        <v>0</v>
      </c>
      <c r="O774" s="96" t="str">
        <f>IF(B774="","",TRIM(LEFT(B774,FIND(" |",B774&amp;" |")-1)))</f>
        <v/>
      </c>
      <c r="P774" s="96" t="str">
        <f>IF(O774="","",IFERROR(MATCH(O774,'CDFs'!$A$6:$A$505,0),""))</f>
        <v/>
      </c>
      <c r="Q774" s="96">
        <f>IF(P774="",0,IF(INDEX('CDFs'!$S$6:$S$505,P774)=1,1,0))</f>
        <v>0</v>
      </c>
      <c r="R774" s="96" t="str">
        <f>IF(C774="","",TRIM(LEFT(C774,FIND(" |",C774&amp;" |")-1)))</f>
        <v/>
      </c>
      <c r="S774" s="96" t="str">
        <f>IF(R774="","",IFERROR(MATCH(R774,'ITENS_MTR'!$A$6:$A$1005,0),""))</f>
        <v/>
      </c>
      <c r="T774" s="96">
        <f>IF(S774="",0,IF(INDEX('ITENS_MTR'!$R$6:$R$1005,S774)=1,1,0))</f>
        <v>0</v>
      </c>
      <c r="U774" s="96" t="str">
        <f>IF(G774="","",IFERROR(IF(ISNUMBER(INDEX(cfg_fac,MATCH(G774,cfg_units,0))),IF(INDEX(cfg_fac,MATCH(G774,cfg_units,0))&gt;0,INDEX(cfg_fac,MATCH(G774,cfg_units,0)),""),""),""))</f>
        <v/>
      </c>
      <c r="V774" s="96">
        <f>IF(AND(ISNUMBER(F774),ISNUMBER(H774)),IF(H774&gt;0,1,0),0)</f>
        <v>0</v>
      </c>
      <c r="W774" s="96" t="str">
        <f>IF(T774=1,INDEX('ITENS_MTR'!$AU$6:$AU$1005,S774)&amp;"","")</f>
        <v/>
      </c>
      <c r="X774" s="96">
        <f>IF(AND(Q774=1,T774=1,I774&lt;&gt;"",W774&lt;&gt;""),IF(I774&lt;&gt;W774,1,0),0)</f>
        <v>0</v>
      </c>
      <c r="Y774" s="96">
        <f>IF(N774=0,0,IF(OR(Q774=0,T774=0,V774=0,AND(X774=1,J774&lt;&gt;"Sim")),1,0))</f>
        <v>0</v>
      </c>
      <c r="Z774" s="96">
        <f>IF(Q774=1,INDEX('CDFs'!$W$6:$W$505,P774),0)</f>
        <v>0</v>
      </c>
      <c r="AA774" s="96">
        <f>IF(AND(N774=1,Y774=0,Z774=1,J774="Sim"),1,0)</f>
        <v>0</v>
      </c>
      <c r="AB774" s="96">
        <f>IF(AND(N774=1,O774&lt;&gt;"",D774&lt;&gt;""),IF(COUNTIFS($O$6:O774,O774,$D$6:D774,D774)=1,1,0),0)</f>
        <v>0</v>
      </c>
      <c r="AC774" s="96">
        <f>IF(T774=1,INDEX('ITENS_MTR'!$AL$6:$AL$1005,S774),0)</f>
        <v>0</v>
      </c>
    </row>
    <row r="775">
      <c r="A775" s="89" t="inlineStr">
        <is>
          <t>VIN-000770</t>
        </is>
      </c>
      <c r="B775" s="91" t="n"/>
      <c r="C775" s="91" t="n"/>
      <c r="D775" s="94" t="str">
        <f>IF(T775=1,INDEX('ITENS_MTR'!$S$6:$S$1005,S775)&amp;"","")</f>
        <v/>
      </c>
      <c r="E775" s="94" t="str">
        <f>IF(T775=1,INDEX('ITENS_MTR'!$C$6:$C$1005,S775)&amp;"","")</f>
        <v/>
      </c>
      <c r="F775" s="98" t="n"/>
      <c r="G775" s="91" t="n"/>
      <c r="H775" s="93" t="str">
        <f>IF(N775=0,"",IF(NOT(ISNUMBER(F775)),"",IF(ISNUMBER(U775),F775*U775,"UNIDADE A CONFERIR")))</f>
        <v/>
      </c>
      <c r="I775" s="94" t="str">
        <f>IF(Q775=1,INDEX('CDFs'!$F$6:$F$505,P775)&amp;"","")</f>
        <v/>
      </c>
      <c r="J775" s="91" t="n"/>
      <c r="K775" s="91" t="n"/>
      <c r="L775" s="94" t="str">
        <f>IF(N775=0,"",IF(NOT(ISNUMBER(F775)),"Quantidade não informada",IF(F775&lt;=0,"Quantidade não positiva",IF(G775="","Unidade não informada",IF(NOT(ISNUMBER(H775)),"Unidade a conferir",IF(AC775=1,"REVISAR VÍNCULO: soma vinculada maior que a referência do item","OK"))))))</f>
        <v/>
      </c>
      <c r="M775" s="94" t="str">
        <f>IF(N775=0,"",IF(B775="","CDF não informado",IF(Q775=0,"REVISAR VÍNCULO: CDF inexistente",IF(C775="","Item não informado",IF(T775=0,"REVISAR VÍNCULO: item inexistente",IF(AND(X775=1,J775&lt;&gt;"Sim"),"REVISAR VÍNCULO: destinador diferente do MTR",IF(X775=1,"Destinador diferente do MTR (analisado)","OK")))))))</f>
        <v/>
      </c>
      <c r="N775" s="96">
        <f>IF(COUNTA(B775:C775,F775:G775,J775:K775)&gt;0,1,0)</f>
        <v>0</v>
      </c>
      <c r="O775" s="96" t="str">
        <f>IF(B775="","",TRIM(LEFT(B775,FIND(" |",B775&amp;" |")-1)))</f>
        <v/>
      </c>
      <c r="P775" s="96" t="str">
        <f>IF(O775="","",IFERROR(MATCH(O775,'CDFs'!$A$6:$A$505,0),""))</f>
        <v/>
      </c>
      <c r="Q775" s="96">
        <f>IF(P775="",0,IF(INDEX('CDFs'!$S$6:$S$505,P775)=1,1,0))</f>
        <v>0</v>
      </c>
      <c r="R775" s="96" t="str">
        <f>IF(C775="","",TRIM(LEFT(C775,FIND(" |",C775&amp;" |")-1)))</f>
        <v/>
      </c>
      <c r="S775" s="96" t="str">
        <f>IF(R775="","",IFERROR(MATCH(R775,'ITENS_MTR'!$A$6:$A$1005,0),""))</f>
        <v/>
      </c>
      <c r="T775" s="96">
        <f>IF(S775="",0,IF(INDEX('ITENS_MTR'!$R$6:$R$1005,S775)=1,1,0))</f>
        <v>0</v>
      </c>
      <c r="U775" s="96" t="str">
        <f>IF(G775="","",IFERROR(IF(ISNUMBER(INDEX(cfg_fac,MATCH(G775,cfg_units,0))),IF(INDEX(cfg_fac,MATCH(G775,cfg_units,0))&gt;0,INDEX(cfg_fac,MATCH(G775,cfg_units,0)),""),""),""))</f>
        <v/>
      </c>
      <c r="V775" s="96">
        <f>IF(AND(ISNUMBER(F775),ISNUMBER(H775)),IF(H775&gt;0,1,0),0)</f>
        <v>0</v>
      </c>
      <c r="W775" s="96" t="str">
        <f>IF(T775=1,INDEX('ITENS_MTR'!$AU$6:$AU$1005,S775)&amp;"","")</f>
        <v/>
      </c>
      <c r="X775" s="96">
        <f>IF(AND(Q775=1,T775=1,I775&lt;&gt;"",W775&lt;&gt;""),IF(I775&lt;&gt;W775,1,0),0)</f>
        <v>0</v>
      </c>
      <c r="Y775" s="96">
        <f>IF(N775=0,0,IF(OR(Q775=0,T775=0,V775=0,AND(X775=1,J775&lt;&gt;"Sim")),1,0))</f>
        <v>0</v>
      </c>
      <c r="Z775" s="96">
        <f>IF(Q775=1,INDEX('CDFs'!$W$6:$W$505,P775),0)</f>
        <v>0</v>
      </c>
      <c r="AA775" s="96">
        <f>IF(AND(N775=1,Y775=0,Z775=1,J775="Sim"),1,0)</f>
        <v>0</v>
      </c>
      <c r="AB775" s="96">
        <f>IF(AND(N775=1,O775&lt;&gt;"",D775&lt;&gt;""),IF(COUNTIFS($O$6:O775,O775,$D$6:D775,D775)=1,1,0),0)</f>
        <v>0</v>
      </c>
      <c r="AC775" s="96">
        <f>IF(T775=1,INDEX('ITENS_MTR'!$AL$6:$AL$1005,S775),0)</f>
        <v>0</v>
      </c>
    </row>
    <row r="776">
      <c r="A776" s="89" t="inlineStr">
        <is>
          <t>VIN-000771</t>
        </is>
      </c>
      <c r="B776" s="91" t="n"/>
      <c r="C776" s="91" t="n"/>
      <c r="D776" s="94" t="str">
        <f>IF(T776=1,INDEX('ITENS_MTR'!$S$6:$S$1005,S776)&amp;"","")</f>
        <v/>
      </c>
      <c r="E776" s="94" t="str">
        <f>IF(T776=1,INDEX('ITENS_MTR'!$C$6:$C$1005,S776)&amp;"","")</f>
        <v/>
      </c>
      <c r="F776" s="98" t="n"/>
      <c r="G776" s="91" t="n"/>
      <c r="H776" s="93" t="str">
        <f>IF(N776=0,"",IF(NOT(ISNUMBER(F776)),"",IF(ISNUMBER(U776),F776*U776,"UNIDADE A CONFERIR")))</f>
        <v/>
      </c>
      <c r="I776" s="94" t="str">
        <f>IF(Q776=1,INDEX('CDFs'!$F$6:$F$505,P776)&amp;"","")</f>
        <v/>
      </c>
      <c r="J776" s="91" t="n"/>
      <c r="K776" s="91" t="n"/>
      <c r="L776" s="94" t="str">
        <f>IF(N776=0,"",IF(NOT(ISNUMBER(F776)),"Quantidade não informada",IF(F776&lt;=0,"Quantidade não positiva",IF(G776="","Unidade não informada",IF(NOT(ISNUMBER(H776)),"Unidade a conferir",IF(AC776=1,"REVISAR VÍNCULO: soma vinculada maior que a referência do item","OK"))))))</f>
        <v/>
      </c>
      <c r="M776" s="94" t="str">
        <f>IF(N776=0,"",IF(B776="","CDF não informado",IF(Q776=0,"REVISAR VÍNCULO: CDF inexistente",IF(C776="","Item não informado",IF(T776=0,"REVISAR VÍNCULO: item inexistente",IF(AND(X776=1,J776&lt;&gt;"Sim"),"REVISAR VÍNCULO: destinador diferente do MTR",IF(X776=1,"Destinador diferente do MTR (analisado)","OK")))))))</f>
        <v/>
      </c>
      <c r="N776" s="96">
        <f>IF(COUNTA(B776:C776,F776:G776,J776:K776)&gt;0,1,0)</f>
        <v>0</v>
      </c>
      <c r="O776" s="96" t="str">
        <f>IF(B776="","",TRIM(LEFT(B776,FIND(" |",B776&amp;" |")-1)))</f>
        <v/>
      </c>
      <c r="P776" s="96" t="str">
        <f>IF(O776="","",IFERROR(MATCH(O776,'CDFs'!$A$6:$A$505,0),""))</f>
        <v/>
      </c>
      <c r="Q776" s="96">
        <f>IF(P776="",0,IF(INDEX('CDFs'!$S$6:$S$505,P776)=1,1,0))</f>
        <v>0</v>
      </c>
      <c r="R776" s="96" t="str">
        <f>IF(C776="","",TRIM(LEFT(C776,FIND(" |",C776&amp;" |")-1)))</f>
        <v/>
      </c>
      <c r="S776" s="96" t="str">
        <f>IF(R776="","",IFERROR(MATCH(R776,'ITENS_MTR'!$A$6:$A$1005,0),""))</f>
        <v/>
      </c>
      <c r="T776" s="96">
        <f>IF(S776="",0,IF(INDEX('ITENS_MTR'!$R$6:$R$1005,S776)=1,1,0))</f>
        <v>0</v>
      </c>
      <c r="U776" s="96" t="str">
        <f>IF(G776="","",IFERROR(IF(ISNUMBER(INDEX(cfg_fac,MATCH(G776,cfg_units,0))),IF(INDEX(cfg_fac,MATCH(G776,cfg_units,0))&gt;0,INDEX(cfg_fac,MATCH(G776,cfg_units,0)),""),""),""))</f>
        <v/>
      </c>
      <c r="V776" s="96">
        <f>IF(AND(ISNUMBER(F776),ISNUMBER(H776)),IF(H776&gt;0,1,0),0)</f>
        <v>0</v>
      </c>
      <c r="W776" s="96" t="str">
        <f>IF(T776=1,INDEX('ITENS_MTR'!$AU$6:$AU$1005,S776)&amp;"","")</f>
        <v/>
      </c>
      <c r="X776" s="96">
        <f>IF(AND(Q776=1,T776=1,I776&lt;&gt;"",W776&lt;&gt;""),IF(I776&lt;&gt;W776,1,0),0)</f>
        <v>0</v>
      </c>
      <c r="Y776" s="96">
        <f>IF(N776=0,0,IF(OR(Q776=0,T776=0,V776=0,AND(X776=1,J776&lt;&gt;"Sim")),1,0))</f>
        <v>0</v>
      </c>
      <c r="Z776" s="96">
        <f>IF(Q776=1,INDEX('CDFs'!$W$6:$W$505,P776),0)</f>
        <v>0</v>
      </c>
      <c r="AA776" s="96">
        <f>IF(AND(N776=1,Y776=0,Z776=1,J776="Sim"),1,0)</f>
        <v>0</v>
      </c>
      <c r="AB776" s="96">
        <f>IF(AND(N776=1,O776&lt;&gt;"",D776&lt;&gt;""),IF(COUNTIFS($O$6:O776,O776,$D$6:D776,D776)=1,1,0),0)</f>
        <v>0</v>
      </c>
      <c r="AC776" s="96">
        <f>IF(T776=1,INDEX('ITENS_MTR'!$AL$6:$AL$1005,S776),0)</f>
        <v>0</v>
      </c>
    </row>
    <row r="777">
      <c r="A777" s="89" t="inlineStr">
        <is>
          <t>VIN-000772</t>
        </is>
      </c>
      <c r="B777" s="91" t="n"/>
      <c r="C777" s="91" t="n"/>
      <c r="D777" s="94" t="str">
        <f>IF(T777=1,INDEX('ITENS_MTR'!$S$6:$S$1005,S777)&amp;"","")</f>
        <v/>
      </c>
      <c r="E777" s="94" t="str">
        <f>IF(T777=1,INDEX('ITENS_MTR'!$C$6:$C$1005,S777)&amp;"","")</f>
        <v/>
      </c>
      <c r="F777" s="98" t="n"/>
      <c r="G777" s="91" t="n"/>
      <c r="H777" s="93" t="str">
        <f>IF(N777=0,"",IF(NOT(ISNUMBER(F777)),"",IF(ISNUMBER(U777),F777*U777,"UNIDADE A CONFERIR")))</f>
        <v/>
      </c>
      <c r="I777" s="94" t="str">
        <f>IF(Q777=1,INDEX('CDFs'!$F$6:$F$505,P777)&amp;"","")</f>
        <v/>
      </c>
      <c r="J777" s="91" t="n"/>
      <c r="K777" s="91" t="n"/>
      <c r="L777" s="94" t="str">
        <f>IF(N777=0,"",IF(NOT(ISNUMBER(F777)),"Quantidade não informada",IF(F777&lt;=0,"Quantidade não positiva",IF(G777="","Unidade não informada",IF(NOT(ISNUMBER(H777)),"Unidade a conferir",IF(AC777=1,"REVISAR VÍNCULO: soma vinculada maior que a referência do item","OK"))))))</f>
        <v/>
      </c>
      <c r="M777" s="94" t="str">
        <f>IF(N777=0,"",IF(B777="","CDF não informado",IF(Q777=0,"REVISAR VÍNCULO: CDF inexistente",IF(C777="","Item não informado",IF(T777=0,"REVISAR VÍNCULO: item inexistente",IF(AND(X777=1,J777&lt;&gt;"Sim"),"REVISAR VÍNCULO: destinador diferente do MTR",IF(X777=1,"Destinador diferente do MTR (analisado)","OK")))))))</f>
        <v/>
      </c>
      <c r="N777" s="96">
        <f>IF(COUNTA(B777:C777,F777:G777,J777:K777)&gt;0,1,0)</f>
        <v>0</v>
      </c>
      <c r="O777" s="96" t="str">
        <f>IF(B777="","",TRIM(LEFT(B777,FIND(" |",B777&amp;" |")-1)))</f>
        <v/>
      </c>
      <c r="P777" s="96" t="str">
        <f>IF(O777="","",IFERROR(MATCH(O777,'CDFs'!$A$6:$A$505,0),""))</f>
        <v/>
      </c>
      <c r="Q777" s="96">
        <f>IF(P777="",0,IF(INDEX('CDFs'!$S$6:$S$505,P777)=1,1,0))</f>
        <v>0</v>
      </c>
      <c r="R777" s="96" t="str">
        <f>IF(C777="","",TRIM(LEFT(C777,FIND(" |",C777&amp;" |")-1)))</f>
        <v/>
      </c>
      <c r="S777" s="96" t="str">
        <f>IF(R777="","",IFERROR(MATCH(R777,'ITENS_MTR'!$A$6:$A$1005,0),""))</f>
        <v/>
      </c>
      <c r="T777" s="96">
        <f>IF(S777="",0,IF(INDEX('ITENS_MTR'!$R$6:$R$1005,S777)=1,1,0))</f>
        <v>0</v>
      </c>
      <c r="U777" s="96" t="str">
        <f>IF(G777="","",IFERROR(IF(ISNUMBER(INDEX(cfg_fac,MATCH(G777,cfg_units,0))),IF(INDEX(cfg_fac,MATCH(G777,cfg_units,0))&gt;0,INDEX(cfg_fac,MATCH(G777,cfg_units,0)),""),""),""))</f>
        <v/>
      </c>
      <c r="V777" s="96">
        <f>IF(AND(ISNUMBER(F777),ISNUMBER(H777)),IF(H777&gt;0,1,0),0)</f>
        <v>0</v>
      </c>
      <c r="W777" s="96" t="str">
        <f>IF(T777=1,INDEX('ITENS_MTR'!$AU$6:$AU$1005,S777)&amp;"","")</f>
        <v/>
      </c>
      <c r="X777" s="96">
        <f>IF(AND(Q777=1,T777=1,I777&lt;&gt;"",W777&lt;&gt;""),IF(I777&lt;&gt;W777,1,0),0)</f>
        <v>0</v>
      </c>
      <c r="Y777" s="96">
        <f>IF(N777=0,0,IF(OR(Q777=0,T777=0,V777=0,AND(X777=1,J777&lt;&gt;"Sim")),1,0))</f>
        <v>0</v>
      </c>
      <c r="Z777" s="96">
        <f>IF(Q777=1,INDEX('CDFs'!$W$6:$W$505,P777),0)</f>
        <v>0</v>
      </c>
      <c r="AA777" s="96">
        <f>IF(AND(N777=1,Y777=0,Z777=1,J777="Sim"),1,0)</f>
        <v>0</v>
      </c>
      <c r="AB777" s="96">
        <f>IF(AND(N777=1,O777&lt;&gt;"",D777&lt;&gt;""),IF(COUNTIFS($O$6:O777,O777,$D$6:D777,D777)=1,1,0),0)</f>
        <v>0</v>
      </c>
      <c r="AC777" s="96">
        <f>IF(T777=1,INDEX('ITENS_MTR'!$AL$6:$AL$1005,S777),0)</f>
        <v>0</v>
      </c>
    </row>
    <row r="778">
      <c r="A778" s="89" t="inlineStr">
        <is>
          <t>VIN-000773</t>
        </is>
      </c>
      <c r="B778" s="91" t="n"/>
      <c r="C778" s="91" t="n"/>
      <c r="D778" s="94" t="str">
        <f>IF(T778=1,INDEX('ITENS_MTR'!$S$6:$S$1005,S778)&amp;"","")</f>
        <v/>
      </c>
      <c r="E778" s="94" t="str">
        <f>IF(T778=1,INDEX('ITENS_MTR'!$C$6:$C$1005,S778)&amp;"","")</f>
        <v/>
      </c>
      <c r="F778" s="98" t="n"/>
      <c r="G778" s="91" t="n"/>
      <c r="H778" s="93" t="str">
        <f>IF(N778=0,"",IF(NOT(ISNUMBER(F778)),"",IF(ISNUMBER(U778),F778*U778,"UNIDADE A CONFERIR")))</f>
        <v/>
      </c>
      <c r="I778" s="94" t="str">
        <f>IF(Q778=1,INDEX('CDFs'!$F$6:$F$505,P778)&amp;"","")</f>
        <v/>
      </c>
      <c r="J778" s="91" t="n"/>
      <c r="K778" s="91" t="n"/>
      <c r="L778" s="94" t="str">
        <f>IF(N778=0,"",IF(NOT(ISNUMBER(F778)),"Quantidade não informada",IF(F778&lt;=0,"Quantidade não positiva",IF(G778="","Unidade não informada",IF(NOT(ISNUMBER(H778)),"Unidade a conferir",IF(AC778=1,"REVISAR VÍNCULO: soma vinculada maior que a referência do item","OK"))))))</f>
        <v/>
      </c>
      <c r="M778" s="94" t="str">
        <f>IF(N778=0,"",IF(B778="","CDF não informado",IF(Q778=0,"REVISAR VÍNCULO: CDF inexistente",IF(C778="","Item não informado",IF(T778=0,"REVISAR VÍNCULO: item inexistente",IF(AND(X778=1,J778&lt;&gt;"Sim"),"REVISAR VÍNCULO: destinador diferente do MTR",IF(X778=1,"Destinador diferente do MTR (analisado)","OK")))))))</f>
        <v/>
      </c>
      <c r="N778" s="96">
        <f>IF(COUNTA(B778:C778,F778:G778,J778:K778)&gt;0,1,0)</f>
        <v>0</v>
      </c>
      <c r="O778" s="96" t="str">
        <f>IF(B778="","",TRIM(LEFT(B778,FIND(" |",B778&amp;" |")-1)))</f>
        <v/>
      </c>
      <c r="P778" s="96" t="str">
        <f>IF(O778="","",IFERROR(MATCH(O778,'CDFs'!$A$6:$A$505,0),""))</f>
        <v/>
      </c>
      <c r="Q778" s="96">
        <f>IF(P778="",0,IF(INDEX('CDFs'!$S$6:$S$505,P778)=1,1,0))</f>
        <v>0</v>
      </c>
      <c r="R778" s="96" t="str">
        <f>IF(C778="","",TRIM(LEFT(C778,FIND(" |",C778&amp;" |")-1)))</f>
        <v/>
      </c>
      <c r="S778" s="96" t="str">
        <f>IF(R778="","",IFERROR(MATCH(R778,'ITENS_MTR'!$A$6:$A$1005,0),""))</f>
        <v/>
      </c>
      <c r="T778" s="96">
        <f>IF(S778="",0,IF(INDEX('ITENS_MTR'!$R$6:$R$1005,S778)=1,1,0))</f>
        <v>0</v>
      </c>
      <c r="U778" s="96" t="str">
        <f>IF(G778="","",IFERROR(IF(ISNUMBER(INDEX(cfg_fac,MATCH(G778,cfg_units,0))),IF(INDEX(cfg_fac,MATCH(G778,cfg_units,0))&gt;0,INDEX(cfg_fac,MATCH(G778,cfg_units,0)),""),""),""))</f>
        <v/>
      </c>
      <c r="V778" s="96">
        <f>IF(AND(ISNUMBER(F778),ISNUMBER(H778)),IF(H778&gt;0,1,0),0)</f>
        <v>0</v>
      </c>
      <c r="W778" s="96" t="str">
        <f>IF(T778=1,INDEX('ITENS_MTR'!$AU$6:$AU$1005,S778)&amp;"","")</f>
        <v/>
      </c>
      <c r="X778" s="96">
        <f>IF(AND(Q778=1,T778=1,I778&lt;&gt;"",W778&lt;&gt;""),IF(I778&lt;&gt;W778,1,0),0)</f>
        <v>0</v>
      </c>
      <c r="Y778" s="96">
        <f>IF(N778=0,0,IF(OR(Q778=0,T778=0,V778=0,AND(X778=1,J778&lt;&gt;"Sim")),1,0))</f>
        <v>0</v>
      </c>
      <c r="Z778" s="96">
        <f>IF(Q778=1,INDEX('CDFs'!$W$6:$W$505,P778),0)</f>
        <v>0</v>
      </c>
      <c r="AA778" s="96">
        <f>IF(AND(N778=1,Y778=0,Z778=1,J778="Sim"),1,0)</f>
        <v>0</v>
      </c>
      <c r="AB778" s="96">
        <f>IF(AND(N778=1,O778&lt;&gt;"",D778&lt;&gt;""),IF(COUNTIFS($O$6:O778,O778,$D$6:D778,D778)=1,1,0),0)</f>
        <v>0</v>
      </c>
      <c r="AC778" s="96">
        <f>IF(T778=1,INDEX('ITENS_MTR'!$AL$6:$AL$1005,S778),0)</f>
        <v>0</v>
      </c>
    </row>
    <row r="779">
      <c r="A779" s="89" t="inlineStr">
        <is>
          <t>VIN-000774</t>
        </is>
      </c>
      <c r="B779" s="91" t="n"/>
      <c r="C779" s="91" t="n"/>
      <c r="D779" s="94" t="str">
        <f>IF(T779=1,INDEX('ITENS_MTR'!$S$6:$S$1005,S779)&amp;"","")</f>
        <v/>
      </c>
      <c r="E779" s="94" t="str">
        <f>IF(T779=1,INDEX('ITENS_MTR'!$C$6:$C$1005,S779)&amp;"","")</f>
        <v/>
      </c>
      <c r="F779" s="98" t="n"/>
      <c r="G779" s="91" t="n"/>
      <c r="H779" s="93" t="str">
        <f>IF(N779=0,"",IF(NOT(ISNUMBER(F779)),"",IF(ISNUMBER(U779),F779*U779,"UNIDADE A CONFERIR")))</f>
        <v/>
      </c>
      <c r="I779" s="94" t="str">
        <f>IF(Q779=1,INDEX('CDFs'!$F$6:$F$505,P779)&amp;"","")</f>
        <v/>
      </c>
      <c r="J779" s="91" t="n"/>
      <c r="K779" s="91" t="n"/>
      <c r="L779" s="94" t="str">
        <f>IF(N779=0,"",IF(NOT(ISNUMBER(F779)),"Quantidade não informada",IF(F779&lt;=0,"Quantidade não positiva",IF(G779="","Unidade não informada",IF(NOT(ISNUMBER(H779)),"Unidade a conferir",IF(AC779=1,"REVISAR VÍNCULO: soma vinculada maior que a referência do item","OK"))))))</f>
        <v/>
      </c>
      <c r="M779" s="94" t="str">
        <f>IF(N779=0,"",IF(B779="","CDF não informado",IF(Q779=0,"REVISAR VÍNCULO: CDF inexistente",IF(C779="","Item não informado",IF(T779=0,"REVISAR VÍNCULO: item inexistente",IF(AND(X779=1,J779&lt;&gt;"Sim"),"REVISAR VÍNCULO: destinador diferente do MTR",IF(X779=1,"Destinador diferente do MTR (analisado)","OK")))))))</f>
        <v/>
      </c>
      <c r="N779" s="96">
        <f>IF(COUNTA(B779:C779,F779:G779,J779:K779)&gt;0,1,0)</f>
        <v>0</v>
      </c>
      <c r="O779" s="96" t="str">
        <f>IF(B779="","",TRIM(LEFT(B779,FIND(" |",B779&amp;" |")-1)))</f>
        <v/>
      </c>
      <c r="P779" s="96" t="str">
        <f>IF(O779="","",IFERROR(MATCH(O779,'CDFs'!$A$6:$A$505,0),""))</f>
        <v/>
      </c>
      <c r="Q779" s="96">
        <f>IF(P779="",0,IF(INDEX('CDFs'!$S$6:$S$505,P779)=1,1,0))</f>
        <v>0</v>
      </c>
      <c r="R779" s="96" t="str">
        <f>IF(C779="","",TRIM(LEFT(C779,FIND(" |",C779&amp;" |")-1)))</f>
        <v/>
      </c>
      <c r="S779" s="96" t="str">
        <f>IF(R779="","",IFERROR(MATCH(R779,'ITENS_MTR'!$A$6:$A$1005,0),""))</f>
        <v/>
      </c>
      <c r="T779" s="96">
        <f>IF(S779="",0,IF(INDEX('ITENS_MTR'!$R$6:$R$1005,S779)=1,1,0))</f>
        <v>0</v>
      </c>
      <c r="U779" s="96" t="str">
        <f>IF(G779="","",IFERROR(IF(ISNUMBER(INDEX(cfg_fac,MATCH(G779,cfg_units,0))),IF(INDEX(cfg_fac,MATCH(G779,cfg_units,0))&gt;0,INDEX(cfg_fac,MATCH(G779,cfg_units,0)),""),""),""))</f>
        <v/>
      </c>
      <c r="V779" s="96">
        <f>IF(AND(ISNUMBER(F779),ISNUMBER(H779)),IF(H779&gt;0,1,0),0)</f>
        <v>0</v>
      </c>
      <c r="W779" s="96" t="str">
        <f>IF(T779=1,INDEX('ITENS_MTR'!$AU$6:$AU$1005,S779)&amp;"","")</f>
        <v/>
      </c>
      <c r="X779" s="96">
        <f>IF(AND(Q779=1,T779=1,I779&lt;&gt;"",W779&lt;&gt;""),IF(I779&lt;&gt;W779,1,0),0)</f>
        <v>0</v>
      </c>
      <c r="Y779" s="96">
        <f>IF(N779=0,0,IF(OR(Q779=0,T779=0,V779=0,AND(X779=1,J779&lt;&gt;"Sim")),1,0))</f>
        <v>0</v>
      </c>
      <c r="Z779" s="96">
        <f>IF(Q779=1,INDEX('CDFs'!$W$6:$W$505,P779),0)</f>
        <v>0</v>
      </c>
      <c r="AA779" s="96">
        <f>IF(AND(N779=1,Y779=0,Z779=1,J779="Sim"),1,0)</f>
        <v>0</v>
      </c>
      <c r="AB779" s="96">
        <f>IF(AND(N779=1,O779&lt;&gt;"",D779&lt;&gt;""),IF(COUNTIFS($O$6:O779,O779,$D$6:D779,D779)=1,1,0),0)</f>
        <v>0</v>
      </c>
      <c r="AC779" s="96">
        <f>IF(T779=1,INDEX('ITENS_MTR'!$AL$6:$AL$1005,S779),0)</f>
        <v>0</v>
      </c>
    </row>
    <row r="780">
      <c r="A780" s="89" t="inlineStr">
        <is>
          <t>VIN-000775</t>
        </is>
      </c>
      <c r="B780" s="91" t="n"/>
      <c r="C780" s="91" t="n"/>
      <c r="D780" s="94" t="str">
        <f>IF(T780=1,INDEX('ITENS_MTR'!$S$6:$S$1005,S780)&amp;"","")</f>
        <v/>
      </c>
      <c r="E780" s="94" t="str">
        <f>IF(T780=1,INDEX('ITENS_MTR'!$C$6:$C$1005,S780)&amp;"","")</f>
        <v/>
      </c>
      <c r="F780" s="98" t="n"/>
      <c r="G780" s="91" t="n"/>
      <c r="H780" s="93" t="str">
        <f>IF(N780=0,"",IF(NOT(ISNUMBER(F780)),"",IF(ISNUMBER(U780),F780*U780,"UNIDADE A CONFERIR")))</f>
        <v/>
      </c>
      <c r="I780" s="94" t="str">
        <f>IF(Q780=1,INDEX('CDFs'!$F$6:$F$505,P780)&amp;"","")</f>
        <v/>
      </c>
      <c r="J780" s="91" t="n"/>
      <c r="K780" s="91" t="n"/>
      <c r="L780" s="94" t="str">
        <f>IF(N780=0,"",IF(NOT(ISNUMBER(F780)),"Quantidade não informada",IF(F780&lt;=0,"Quantidade não positiva",IF(G780="","Unidade não informada",IF(NOT(ISNUMBER(H780)),"Unidade a conferir",IF(AC780=1,"REVISAR VÍNCULO: soma vinculada maior que a referência do item","OK"))))))</f>
        <v/>
      </c>
      <c r="M780" s="94" t="str">
        <f>IF(N780=0,"",IF(B780="","CDF não informado",IF(Q780=0,"REVISAR VÍNCULO: CDF inexistente",IF(C780="","Item não informado",IF(T780=0,"REVISAR VÍNCULO: item inexistente",IF(AND(X780=1,J780&lt;&gt;"Sim"),"REVISAR VÍNCULO: destinador diferente do MTR",IF(X780=1,"Destinador diferente do MTR (analisado)","OK")))))))</f>
        <v/>
      </c>
      <c r="N780" s="96">
        <f>IF(COUNTA(B780:C780,F780:G780,J780:K780)&gt;0,1,0)</f>
        <v>0</v>
      </c>
      <c r="O780" s="96" t="str">
        <f>IF(B780="","",TRIM(LEFT(B780,FIND(" |",B780&amp;" |")-1)))</f>
        <v/>
      </c>
      <c r="P780" s="96" t="str">
        <f>IF(O780="","",IFERROR(MATCH(O780,'CDFs'!$A$6:$A$505,0),""))</f>
        <v/>
      </c>
      <c r="Q780" s="96">
        <f>IF(P780="",0,IF(INDEX('CDFs'!$S$6:$S$505,P780)=1,1,0))</f>
        <v>0</v>
      </c>
      <c r="R780" s="96" t="str">
        <f>IF(C780="","",TRIM(LEFT(C780,FIND(" |",C780&amp;" |")-1)))</f>
        <v/>
      </c>
      <c r="S780" s="96" t="str">
        <f>IF(R780="","",IFERROR(MATCH(R780,'ITENS_MTR'!$A$6:$A$1005,0),""))</f>
        <v/>
      </c>
      <c r="T780" s="96">
        <f>IF(S780="",0,IF(INDEX('ITENS_MTR'!$R$6:$R$1005,S780)=1,1,0))</f>
        <v>0</v>
      </c>
      <c r="U780" s="96" t="str">
        <f>IF(G780="","",IFERROR(IF(ISNUMBER(INDEX(cfg_fac,MATCH(G780,cfg_units,0))),IF(INDEX(cfg_fac,MATCH(G780,cfg_units,0))&gt;0,INDEX(cfg_fac,MATCH(G780,cfg_units,0)),""),""),""))</f>
        <v/>
      </c>
      <c r="V780" s="96">
        <f>IF(AND(ISNUMBER(F780),ISNUMBER(H780)),IF(H780&gt;0,1,0),0)</f>
        <v>0</v>
      </c>
      <c r="W780" s="96" t="str">
        <f>IF(T780=1,INDEX('ITENS_MTR'!$AU$6:$AU$1005,S780)&amp;"","")</f>
        <v/>
      </c>
      <c r="X780" s="96">
        <f>IF(AND(Q780=1,T780=1,I780&lt;&gt;"",W780&lt;&gt;""),IF(I780&lt;&gt;W780,1,0),0)</f>
        <v>0</v>
      </c>
      <c r="Y780" s="96">
        <f>IF(N780=0,0,IF(OR(Q780=0,T780=0,V780=0,AND(X780=1,J780&lt;&gt;"Sim")),1,0))</f>
        <v>0</v>
      </c>
      <c r="Z780" s="96">
        <f>IF(Q780=1,INDEX('CDFs'!$W$6:$W$505,P780),0)</f>
        <v>0</v>
      </c>
      <c r="AA780" s="96">
        <f>IF(AND(N780=1,Y780=0,Z780=1,J780="Sim"),1,0)</f>
        <v>0</v>
      </c>
      <c r="AB780" s="96">
        <f>IF(AND(N780=1,O780&lt;&gt;"",D780&lt;&gt;""),IF(COUNTIFS($O$6:O780,O780,$D$6:D780,D780)=1,1,0),0)</f>
        <v>0</v>
      </c>
      <c r="AC780" s="96">
        <f>IF(T780=1,INDEX('ITENS_MTR'!$AL$6:$AL$1005,S780),0)</f>
        <v>0</v>
      </c>
    </row>
    <row r="781">
      <c r="A781" s="89" t="inlineStr">
        <is>
          <t>VIN-000776</t>
        </is>
      </c>
      <c r="B781" s="91" t="n"/>
      <c r="C781" s="91" t="n"/>
      <c r="D781" s="94" t="str">
        <f>IF(T781=1,INDEX('ITENS_MTR'!$S$6:$S$1005,S781)&amp;"","")</f>
        <v/>
      </c>
      <c r="E781" s="94" t="str">
        <f>IF(T781=1,INDEX('ITENS_MTR'!$C$6:$C$1005,S781)&amp;"","")</f>
        <v/>
      </c>
      <c r="F781" s="98" t="n"/>
      <c r="G781" s="91" t="n"/>
      <c r="H781" s="93" t="str">
        <f>IF(N781=0,"",IF(NOT(ISNUMBER(F781)),"",IF(ISNUMBER(U781),F781*U781,"UNIDADE A CONFERIR")))</f>
        <v/>
      </c>
      <c r="I781" s="94" t="str">
        <f>IF(Q781=1,INDEX('CDFs'!$F$6:$F$505,P781)&amp;"","")</f>
        <v/>
      </c>
      <c r="J781" s="91" t="n"/>
      <c r="K781" s="91" t="n"/>
      <c r="L781" s="94" t="str">
        <f>IF(N781=0,"",IF(NOT(ISNUMBER(F781)),"Quantidade não informada",IF(F781&lt;=0,"Quantidade não positiva",IF(G781="","Unidade não informada",IF(NOT(ISNUMBER(H781)),"Unidade a conferir",IF(AC781=1,"REVISAR VÍNCULO: soma vinculada maior que a referência do item","OK"))))))</f>
        <v/>
      </c>
      <c r="M781" s="94" t="str">
        <f>IF(N781=0,"",IF(B781="","CDF não informado",IF(Q781=0,"REVISAR VÍNCULO: CDF inexistente",IF(C781="","Item não informado",IF(T781=0,"REVISAR VÍNCULO: item inexistente",IF(AND(X781=1,J781&lt;&gt;"Sim"),"REVISAR VÍNCULO: destinador diferente do MTR",IF(X781=1,"Destinador diferente do MTR (analisado)","OK")))))))</f>
        <v/>
      </c>
      <c r="N781" s="96">
        <f>IF(COUNTA(B781:C781,F781:G781,J781:K781)&gt;0,1,0)</f>
        <v>0</v>
      </c>
      <c r="O781" s="96" t="str">
        <f>IF(B781="","",TRIM(LEFT(B781,FIND(" |",B781&amp;" |")-1)))</f>
        <v/>
      </c>
      <c r="P781" s="96" t="str">
        <f>IF(O781="","",IFERROR(MATCH(O781,'CDFs'!$A$6:$A$505,0),""))</f>
        <v/>
      </c>
      <c r="Q781" s="96">
        <f>IF(P781="",0,IF(INDEX('CDFs'!$S$6:$S$505,P781)=1,1,0))</f>
        <v>0</v>
      </c>
      <c r="R781" s="96" t="str">
        <f>IF(C781="","",TRIM(LEFT(C781,FIND(" |",C781&amp;" |")-1)))</f>
        <v/>
      </c>
      <c r="S781" s="96" t="str">
        <f>IF(R781="","",IFERROR(MATCH(R781,'ITENS_MTR'!$A$6:$A$1005,0),""))</f>
        <v/>
      </c>
      <c r="T781" s="96">
        <f>IF(S781="",0,IF(INDEX('ITENS_MTR'!$R$6:$R$1005,S781)=1,1,0))</f>
        <v>0</v>
      </c>
      <c r="U781" s="96" t="str">
        <f>IF(G781="","",IFERROR(IF(ISNUMBER(INDEX(cfg_fac,MATCH(G781,cfg_units,0))),IF(INDEX(cfg_fac,MATCH(G781,cfg_units,0))&gt;0,INDEX(cfg_fac,MATCH(G781,cfg_units,0)),""),""),""))</f>
        <v/>
      </c>
      <c r="V781" s="96">
        <f>IF(AND(ISNUMBER(F781),ISNUMBER(H781)),IF(H781&gt;0,1,0),0)</f>
        <v>0</v>
      </c>
      <c r="W781" s="96" t="str">
        <f>IF(T781=1,INDEX('ITENS_MTR'!$AU$6:$AU$1005,S781)&amp;"","")</f>
        <v/>
      </c>
      <c r="X781" s="96">
        <f>IF(AND(Q781=1,T781=1,I781&lt;&gt;"",W781&lt;&gt;""),IF(I781&lt;&gt;W781,1,0),0)</f>
        <v>0</v>
      </c>
      <c r="Y781" s="96">
        <f>IF(N781=0,0,IF(OR(Q781=0,T781=0,V781=0,AND(X781=1,J781&lt;&gt;"Sim")),1,0))</f>
        <v>0</v>
      </c>
      <c r="Z781" s="96">
        <f>IF(Q781=1,INDEX('CDFs'!$W$6:$W$505,P781),0)</f>
        <v>0</v>
      </c>
      <c r="AA781" s="96">
        <f>IF(AND(N781=1,Y781=0,Z781=1,J781="Sim"),1,0)</f>
        <v>0</v>
      </c>
      <c r="AB781" s="96">
        <f>IF(AND(N781=1,O781&lt;&gt;"",D781&lt;&gt;""),IF(COUNTIFS($O$6:O781,O781,$D$6:D781,D781)=1,1,0),0)</f>
        <v>0</v>
      </c>
      <c r="AC781" s="96">
        <f>IF(T781=1,INDEX('ITENS_MTR'!$AL$6:$AL$1005,S781),0)</f>
        <v>0</v>
      </c>
    </row>
    <row r="782">
      <c r="A782" s="89" t="inlineStr">
        <is>
          <t>VIN-000777</t>
        </is>
      </c>
      <c r="B782" s="91" t="n"/>
      <c r="C782" s="91" t="n"/>
      <c r="D782" s="94" t="str">
        <f>IF(T782=1,INDEX('ITENS_MTR'!$S$6:$S$1005,S782)&amp;"","")</f>
        <v/>
      </c>
      <c r="E782" s="94" t="str">
        <f>IF(T782=1,INDEX('ITENS_MTR'!$C$6:$C$1005,S782)&amp;"","")</f>
        <v/>
      </c>
      <c r="F782" s="98" t="n"/>
      <c r="G782" s="91" t="n"/>
      <c r="H782" s="93" t="str">
        <f>IF(N782=0,"",IF(NOT(ISNUMBER(F782)),"",IF(ISNUMBER(U782),F782*U782,"UNIDADE A CONFERIR")))</f>
        <v/>
      </c>
      <c r="I782" s="94" t="str">
        <f>IF(Q782=1,INDEX('CDFs'!$F$6:$F$505,P782)&amp;"","")</f>
        <v/>
      </c>
      <c r="J782" s="91" t="n"/>
      <c r="K782" s="91" t="n"/>
      <c r="L782" s="94" t="str">
        <f>IF(N782=0,"",IF(NOT(ISNUMBER(F782)),"Quantidade não informada",IF(F782&lt;=0,"Quantidade não positiva",IF(G782="","Unidade não informada",IF(NOT(ISNUMBER(H782)),"Unidade a conferir",IF(AC782=1,"REVISAR VÍNCULO: soma vinculada maior que a referência do item","OK"))))))</f>
        <v/>
      </c>
      <c r="M782" s="94" t="str">
        <f>IF(N782=0,"",IF(B782="","CDF não informado",IF(Q782=0,"REVISAR VÍNCULO: CDF inexistente",IF(C782="","Item não informado",IF(T782=0,"REVISAR VÍNCULO: item inexistente",IF(AND(X782=1,J782&lt;&gt;"Sim"),"REVISAR VÍNCULO: destinador diferente do MTR",IF(X782=1,"Destinador diferente do MTR (analisado)","OK")))))))</f>
        <v/>
      </c>
      <c r="N782" s="96">
        <f>IF(COUNTA(B782:C782,F782:G782,J782:K782)&gt;0,1,0)</f>
        <v>0</v>
      </c>
      <c r="O782" s="96" t="str">
        <f>IF(B782="","",TRIM(LEFT(B782,FIND(" |",B782&amp;" |")-1)))</f>
        <v/>
      </c>
      <c r="P782" s="96" t="str">
        <f>IF(O782="","",IFERROR(MATCH(O782,'CDFs'!$A$6:$A$505,0),""))</f>
        <v/>
      </c>
      <c r="Q782" s="96">
        <f>IF(P782="",0,IF(INDEX('CDFs'!$S$6:$S$505,P782)=1,1,0))</f>
        <v>0</v>
      </c>
      <c r="R782" s="96" t="str">
        <f>IF(C782="","",TRIM(LEFT(C782,FIND(" |",C782&amp;" |")-1)))</f>
        <v/>
      </c>
      <c r="S782" s="96" t="str">
        <f>IF(R782="","",IFERROR(MATCH(R782,'ITENS_MTR'!$A$6:$A$1005,0),""))</f>
        <v/>
      </c>
      <c r="T782" s="96">
        <f>IF(S782="",0,IF(INDEX('ITENS_MTR'!$R$6:$R$1005,S782)=1,1,0))</f>
        <v>0</v>
      </c>
      <c r="U782" s="96" t="str">
        <f>IF(G782="","",IFERROR(IF(ISNUMBER(INDEX(cfg_fac,MATCH(G782,cfg_units,0))),IF(INDEX(cfg_fac,MATCH(G782,cfg_units,0))&gt;0,INDEX(cfg_fac,MATCH(G782,cfg_units,0)),""),""),""))</f>
        <v/>
      </c>
      <c r="V782" s="96">
        <f>IF(AND(ISNUMBER(F782),ISNUMBER(H782)),IF(H782&gt;0,1,0),0)</f>
        <v>0</v>
      </c>
      <c r="W782" s="96" t="str">
        <f>IF(T782=1,INDEX('ITENS_MTR'!$AU$6:$AU$1005,S782)&amp;"","")</f>
        <v/>
      </c>
      <c r="X782" s="96">
        <f>IF(AND(Q782=1,T782=1,I782&lt;&gt;"",W782&lt;&gt;""),IF(I782&lt;&gt;W782,1,0),0)</f>
        <v>0</v>
      </c>
      <c r="Y782" s="96">
        <f>IF(N782=0,0,IF(OR(Q782=0,T782=0,V782=0,AND(X782=1,J782&lt;&gt;"Sim")),1,0))</f>
        <v>0</v>
      </c>
      <c r="Z782" s="96">
        <f>IF(Q782=1,INDEX('CDFs'!$W$6:$W$505,P782),0)</f>
        <v>0</v>
      </c>
      <c r="AA782" s="96">
        <f>IF(AND(N782=1,Y782=0,Z782=1,J782="Sim"),1,0)</f>
        <v>0</v>
      </c>
      <c r="AB782" s="96">
        <f>IF(AND(N782=1,O782&lt;&gt;"",D782&lt;&gt;""),IF(COUNTIFS($O$6:O782,O782,$D$6:D782,D782)=1,1,0),0)</f>
        <v>0</v>
      </c>
      <c r="AC782" s="96">
        <f>IF(T782=1,INDEX('ITENS_MTR'!$AL$6:$AL$1005,S782),0)</f>
        <v>0</v>
      </c>
    </row>
    <row r="783">
      <c r="A783" s="89" t="inlineStr">
        <is>
          <t>VIN-000778</t>
        </is>
      </c>
      <c r="B783" s="91" t="n"/>
      <c r="C783" s="91" t="n"/>
      <c r="D783" s="94" t="str">
        <f>IF(T783=1,INDEX('ITENS_MTR'!$S$6:$S$1005,S783)&amp;"","")</f>
        <v/>
      </c>
      <c r="E783" s="94" t="str">
        <f>IF(T783=1,INDEX('ITENS_MTR'!$C$6:$C$1005,S783)&amp;"","")</f>
        <v/>
      </c>
      <c r="F783" s="98" t="n"/>
      <c r="G783" s="91" t="n"/>
      <c r="H783" s="93" t="str">
        <f>IF(N783=0,"",IF(NOT(ISNUMBER(F783)),"",IF(ISNUMBER(U783),F783*U783,"UNIDADE A CONFERIR")))</f>
        <v/>
      </c>
      <c r="I783" s="94" t="str">
        <f>IF(Q783=1,INDEX('CDFs'!$F$6:$F$505,P783)&amp;"","")</f>
        <v/>
      </c>
      <c r="J783" s="91" t="n"/>
      <c r="K783" s="91" t="n"/>
      <c r="L783" s="94" t="str">
        <f>IF(N783=0,"",IF(NOT(ISNUMBER(F783)),"Quantidade não informada",IF(F783&lt;=0,"Quantidade não positiva",IF(G783="","Unidade não informada",IF(NOT(ISNUMBER(H783)),"Unidade a conferir",IF(AC783=1,"REVISAR VÍNCULO: soma vinculada maior que a referência do item","OK"))))))</f>
        <v/>
      </c>
      <c r="M783" s="94" t="str">
        <f>IF(N783=0,"",IF(B783="","CDF não informado",IF(Q783=0,"REVISAR VÍNCULO: CDF inexistente",IF(C783="","Item não informado",IF(T783=0,"REVISAR VÍNCULO: item inexistente",IF(AND(X783=1,J783&lt;&gt;"Sim"),"REVISAR VÍNCULO: destinador diferente do MTR",IF(X783=1,"Destinador diferente do MTR (analisado)","OK")))))))</f>
        <v/>
      </c>
      <c r="N783" s="96">
        <f>IF(COUNTA(B783:C783,F783:G783,J783:K783)&gt;0,1,0)</f>
        <v>0</v>
      </c>
      <c r="O783" s="96" t="str">
        <f>IF(B783="","",TRIM(LEFT(B783,FIND(" |",B783&amp;" |")-1)))</f>
        <v/>
      </c>
      <c r="P783" s="96" t="str">
        <f>IF(O783="","",IFERROR(MATCH(O783,'CDFs'!$A$6:$A$505,0),""))</f>
        <v/>
      </c>
      <c r="Q783" s="96">
        <f>IF(P783="",0,IF(INDEX('CDFs'!$S$6:$S$505,P783)=1,1,0))</f>
        <v>0</v>
      </c>
      <c r="R783" s="96" t="str">
        <f>IF(C783="","",TRIM(LEFT(C783,FIND(" |",C783&amp;" |")-1)))</f>
        <v/>
      </c>
      <c r="S783" s="96" t="str">
        <f>IF(R783="","",IFERROR(MATCH(R783,'ITENS_MTR'!$A$6:$A$1005,0),""))</f>
        <v/>
      </c>
      <c r="T783" s="96">
        <f>IF(S783="",0,IF(INDEX('ITENS_MTR'!$R$6:$R$1005,S783)=1,1,0))</f>
        <v>0</v>
      </c>
      <c r="U783" s="96" t="str">
        <f>IF(G783="","",IFERROR(IF(ISNUMBER(INDEX(cfg_fac,MATCH(G783,cfg_units,0))),IF(INDEX(cfg_fac,MATCH(G783,cfg_units,0))&gt;0,INDEX(cfg_fac,MATCH(G783,cfg_units,0)),""),""),""))</f>
        <v/>
      </c>
      <c r="V783" s="96">
        <f>IF(AND(ISNUMBER(F783),ISNUMBER(H783)),IF(H783&gt;0,1,0),0)</f>
        <v>0</v>
      </c>
      <c r="W783" s="96" t="str">
        <f>IF(T783=1,INDEX('ITENS_MTR'!$AU$6:$AU$1005,S783)&amp;"","")</f>
        <v/>
      </c>
      <c r="X783" s="96">
        <f>IF(AND(Q783=1,T783=1,I783&lt;&gt;"",W783&lt;&gt;""),IF(I783&lt;&gt;W783,1,0),0)</f>
        <v>0</v>
      </c>
      <c r="Y783" s="96">
        <f>IF(N783=0,0,IF(OR(Q783=0,T783=0,V783=0,AND(X783=1,J783&lt;&gt;"Sim")),1,0))</f>
        <v>0</v>
      </c>
      <c r="Z783" s="96">
        <f>IF(Q783=1,INDEX('CDFs'!$W$6:$W$505,P783),0)</f>
        <v>0</v>
      </c>
      <c r="AA783" s="96">
        <f>IF(AND(N783=1,Y783=0,Z783=1,J783="Sim"),1,0)</f>
        <v>0</v>
      </c>
      <c r="AB783" s="96">
        <f>IF(AND(N783=1,O783&lt;&gt;"",D783&lt;&gt;""),IF(COUNTIFS($O$6:O783,O783,$D$6:D783,D783)=1,1,0),0)</f>
        <v>0</v>
      </c>
      <c r="AC783" s="96">
        <f>IF(T783=1,INDEX('ITENS_MTR'!$AL$6:$AL$1005,S783),0)</f>
        <v>0</v>
      </c>
    </row>
    <row r="784">
      <c r="A784" s="89" t="inlineStr">
        <is>
          <t>VIN-000779</t>
        </is>
      </c>
      <c r="B784" s="91" t="n"/>
      <c r="C784" s="91" t="n"/>
      <c r="D784" s="94" t="str">
        <f>IF(T784=1,INDEX('ITENS_MTR'!$S$6:$S$1005,S784)&amp;"","")</f>
        <v/>
      </c>
      <c r="E784" s="94" t="str">
        <f>IF(T784=1,INDEX('ITENS_MTR'!$C$6:$C$1005,S784)&amp;"","")</f>
        <v/>
      </c>
      <c r="F784" s="98" t="n"/>
      <c r="G784" s="91" t="n"/>
      <c r="H784" s="93" t="str">
        <f>IF(N784=0,"",IF(NOT(ISNUMBER(F784)),"",IF(ISNUMBER(U784),F784*U784,"UNIDADE A CONFERIR")))</f>
        <v/>
      </c>
      <c r="I784" s="94" t="str">
        <f>IF(Q784=1,INDEX('CDFs'!$F$6:$F$505,P784)&amp;"","")</f>
        <v/>
      </c>
      <c r="J784" s="91" t="n"/>
      <c r="K784" s="91" t="n"/>
      <c r="L784" s="94" t="str">
        <f>IF(N784=0,"",IF(NOT(ISNUMBER(F784)),"Quantidade não informada",IF(F784&lt;=0,"Quantidade não positiva",IF(G784="","Unidade não informada",IF(NOT(ISNUMBER(H784)),"Unidade a conferir",IF(AC784=1,"REVISAR VÍNCULO: soma vinculada maior que a referência do item","OK"))))))</f>
        <v/>
      </c>
      <c r="M784" s="94" t="str">
        <f>IF(N784=0,"",IF(B784="","CDF não informado",IF(Q784=0,"REVISAR VÍNCULO: CDF inexistente",IF(C784="","Item não informado",IF(T784=0,"REVISAR VÍNCULO: item inexistente",IF(AND(X784=1,J784&lt;&gt;"Sim"),"REVISAR VÍNCULO: destinador diferente do MTR",IF(X784=1,"Destinador diferente do MTR (analisado)","OK")))))))</f>
        <v/>
      </c>
      <c r="N784" s="96">
        <f>IF(COUNTA(B784:C784,F784:G784,J784:K784)&gt;0,1,0)</f>
        <v>0</v>
      </c>
      <c r="O784" s="96" t="str">
        <f>IF(B784="","",TRIM(LEFT(B784,FIND(" |",B784&amp;" |")-1)))</f>
        <v/>
      </c>
      <c r="P784" s="96" t="str">
        <f>IF(O784="","",IFERROR(MATCH(O784,'CDFs'!$A$6:$A$505,0),""))</f>
        <v/>
      </c>
      <c r="Q784" s="96">
        <f>IF(P784="",0,IF(INDEX('CDFs'!$S$6:$S$505,P784)=1,1,0))</f>
        <v>0</v>
      </c>
      <c r="R784" s="96" t="str">
        <f>IF(C784="","",TRIM(LEFT(C784,FIND(" |",C784&amp;" |")-1)))</f>
        <v/>
      </c>
      <c r="S784" s="96" t="str">
        <f>IF(R784="","",IFERROR(MATCH(R784,'ITENS_MTR'!$A$6:$A$1005,0),""))</f>
        <v/>
      </c>
      <c r="T784" s="96">
        <f>IF(S784="",0,IF(INDEX('ITENS_MTR'!$R$6:$R$1005,S784)=1,1,0))</f>
        <v>0</v>
      </c>
      <c r="U784" s="96" t="str">
        <f>IF(G784="","",IFERROR(IF(ISNUMBER(INDEX(cfg_fac,MATCH(G784,cfg_units,0))),IF(INDEX(cfg_fac,MATCH(G784,cfg_units,0))&gt;0,INDEX(cfg_fac,MATCH(G784,cfg_units,0)),""),""),""))</f>
        <v/>
      </c>
      <c r="V784" s="96">
        <f>IF(AND(ISNUMBER(F784),ISNUMBER(H784)),IF(H784&gt;0,1,0),0)</f>
        <v>0</v>
      </c>
      <c r="W784" s="96" t="str">
        <f>IF(T784=1,INDEX('ITENS_MTR'!$AU$6:$AU$1005,S784)&amp;"","")</f>
        <v/>
      </c>
      <c r="X784" s="96">
        <f>IF(AND(Q784=1,T784=1,I784&lt;&gt;"",W784&lt;&gt;""),IF(I784&lt;&gt;W784,1,0),0)</f>
        <v>0</v>
      </c>
      <c r="Y784" s="96">
        <f>IF(N784=0,0,IF(OR(Q784=0,T784=0,V784=0,AND(X784=1,J784&lt;&gt;"Sim")),1,0))</f>
        <v>0</v>
      </c>
      <c r="Z784" s="96">
        <f>IF(Q784=1,INDEX('CDFs'!$W$6:$W$505,P784),0)</f>
        <v>0</v>
      </c>
      <c r="AA784" s="96">
        <f>IF(AND(N784=1,Y784=0,Z784=1,J784="Sim"),1,0)</f>
        <v>0</v>
      </c>
      <c r="AB784" s="96">
        <f>IF(AND(N784=1,O784&lt;&gt;"",D784&lt;&gt;""),IF(COUNTIFS($O$6:O784,O784,$D$6:D784,D784)=1,1,0),0)</f>
        <v>0</v>
      </c>
      <c r="AC784" s="96">
        <f>IF(T784=1,INDEX('ITENS_MTR'!$AL$6:$AL$1005,S784),0)</f>
        <v>0</v>
      </c>
    </row>
    <row r="785">
      <c r="A785" s="89" t="inlineStr">
        <is>
          <t>VIN-000780</t>
        </is>
      </c>
      <c r="B785" s="91" t="n"/>
      <c r="C785" s="91" t="n"/>
      <c r="D785" s="94" t="str">
        <f>IF(T785=1,INDEX('ITENS_MTR'!$S$6:$S$1005,S785)&amp;"","")</f>
        <v/>
      </c>
      <c r="E785" s="94" t="str">
        <f>IF(T785=1,INDEX('ITENS_MTR'!$C$6:$C$1005,S785)&amp;"","")</f>
        <v/>
      </c>
      <c r="F785" s="98" t="n"/>
      <c r="G785" s="91" t="n"/>
      <c r="H785" s="93" t="str">
        <f>IF(N785=0,"",IF(NOT(ISNUMBER(F785)),"",IF(ISNUMBER(U785),F785*U785,"UNIDADE A CONFERIR")))</f>
        <v/>
      </c>
      <c r="I785" s="94" t="str">
        <f>IF(Q785=1,INDEX('CDFs'!$F$6:$F$505,P785)&amp;"","")</f>
        <v/>
      </c>
      <c r="J785" s="91" t="n"/>
      <c r="K785" s="91" t="n"/>
      <c r="L785" s="94" t="str">
        <f>IF(N785=0,"",IF(NOT(ISNUMBER(F785)),"Quantidade não informada",IF(F785&lt;=0,"Quantidade não positiva",IF(G785="","Unidade não informada",IF(NOT(ISNUMBER(H785)),"Unidade a conferir",IF(AC785=1,"REVISAR VÍNCULO: soma vinculada maior que a referência do item","OK"))))))</f>
        <v/>
      </c>
      <c r="M785" s="94" t="str">
        <f>IF(N785=0,"",IF(B785="","CDF não informado",IF(Q785=0,"REVISAR VÍNCULO: CDF inexistente",IF(C785="","Item não informado",IF(T785=0,"REVISAR VÍNCULO: item inexistente",IF(AND(X785=1,J785&lt;&gt;"Sim"),"REVISAR VÍNCULO: destinador diferente do MTR",IF(X785=1,"Destinador diferente do MTR (analisado)","OK")))))))</f>
        <v/>
      </c>
      <c r="N785" s="96">
        <f>IF(COUNTA(B785:C785,F785:G785,J785:K785)&gt;0,1,0)</f>
        <v>0</v>
      </c>
      <c r="O785" s="96" t="str">
        <f>IF(B785="","",TRIM(LEFT(B785,FIND(" |",B785&amp;" |")-1)))</f>
        <v/>
      </c>
      <c r="P785" s="96" t="str">
        <f>IF(O785="","",IFERROR(MATCH(O785,'CDFs'!$A$6:$A$505,0),""))</f>
        <v/>
      </c>
      <c r="Q785" s="96">
        <f>IF(P785="",0,IF(INDEX('CDFs'!$S$6:$S$505,P785)=1,1,0))</f>
        <v>0</v>
      </c>
      <c r="R785" s="96" t="str">
        <f>IF(C785="","",TRIM(LEFT(C785,FIND(" |",C785&amp;" |")-1)))</f>
        <v/>
      </c>
      <c r="S785" s="96" t="str">
        <f>IF(R785="","",IFERROR(MATCH(R785,'ITENS_MTR'!$A$6:$A$1005,0),""))</f>
        <v/>
      </c>
      <c r="T785" s="96">
        <f>IF(S785="",0,IF(INDEX('ITENS_MTR'!$R$6:$R$1005,S785)=1,1,0))</f>
        <v>0</v>
      </c>
      <c r="U785" s="96" t="str">
        <f>IF(G785="","",IFERROR(IF(ISNUMBER(INDEX(cfg_fac,MATCH(G785,cfg_units,0))),IF(INDEX(cfg_fac,MATCH(G785,cfg_units,0))&gt;0,INDEX(cfg_fac,MATCH(G785,cfg_units,0)),""),""),""))</f>
        <v/>
      </c>
      <c r="V785" s="96">
        <f>IF(AND(ISNUMBER(F785),ISNUMBER(H785)),IF(H785&gt;0,1,0),0)</f>
        <v>0</v>
      </c>
      <c r="W785" s="96" t="str">
        <f>IF(T785=1,INDEX('ITENS_MTR'!$AU$6:$AU$1005,S785)&amp;"","")</f>
        <v/>
      </c>
      <c r="X785" s="96">
        <f>IF(AND(Q785=1,T785=1,I785&lt;&gt;"",W785&lt;&gt;""),IF(I785&lt;&gt;W785,1,0),0)</f>
        <v>0</v>
      </c>
      <c r="Y785" s="96">
        <f>IF(N785=0,0,IF(OR(Q785=0,T785=0,V785=0,AND(X785=1,J785&lt;&gt;"Sim")),1,0))</f>
        <v>0</v>
      </c>
      <c r="Z785" s="96">
        <f>IF(Q785=1,INDEX('CDFs'!$W$6:$W$505,P785),0)</f>
        <v>0</v>
      </c>
      <c r="AA785" s="96">
        <f>IF(AND(N785=1,Y785=0,Z785=1,J785="Sim"),1,0)</f>
        <v>0</v>
      </c>
      <c r="AB785" s="96">
        <f>IF(AND(N785=1,O785&lt;&gt;"",D785&lt;&gt;""),IF(COUNTIFS($O$6:O785,O785,$D$6:D785,D785)=1,1,0),0)</f>
        <v>0</v>
      </c>
      <c r="AC785" s="96">
        <f>IF(T785=1,INDEX('ITENS_MTR'!$AL$6:$AL$1005,S785),0)</f>
        <v>0</v>
      </c>
    </row>
    <row r="786">
      <c r="A786" s="89" t="inlineStr">
        <is>
          <t>VIN-000781</t>
        </is>
      </c>
      <c r="B786" s="91" t="n"/>
      <c r="C786" s="91" t="n"/>
      <c r="D786" s="94" t="str">
        <f>IF(T786=1,INDEX('ITENS_MTR'!$S$6:$S$1005,S786)&amp;"","")</f>
        <v/>
      </c>
      <c r="E786" s="94" t="str">
        <f>IF(T786=1,INDEX('ITENS_MTR'!$C$6:$C$1005,S786)&amp;"","")</f>
        <v/>
      </c>
      <c r="F786" s="98" t="n"/>
      <c r="G786" s="91" t="n"/>
      <c r="H786" s="93" t="str">
        <f>IF(N786=0,"",IF(NOT(ISNUMBER(F786)),"",IF(ISNUMBER(U786),F786*U786,"UNIDADE A CONFERIR")))</f>
        <v/>
      </c>
      <c r="I786" s="94" t="str">
        <f>IF(Q786=1,INDEX('CDFs'!$F$6:$F$505,P786)&amp;"","")</f>
        <v/>
      </c>
      <c r="J786" s="91" t="n"/>
      <c r="K786" s="91" t="n"/>
      <c r="L786" s="94" t="str">
        <f>IF(N786=0,"",IF(NOT(ISNUMBER(F786)),"Quantidade não informada",IF(F786&lt;=0,"Quantidade não positiva",IF(G786="","Unidade não informada",IF(NOT(ISNUMBER(H786)),"Unidade a conferir",IF(AC786=1,"REVISAR VÍNCULO: soma vinculada maior que a referência do item","OK"))))))</f>
        <v/>
      </c>
      <c r="M786" s="94" t="str">
        <f>IF(N786=0,"",IF(B786="","CDF não informado",IF(Q786=0,"REVISAR VÍNCULO: CDF inexistente",IF(C786="","Item não informado",IF(T786=0,"REVISAR VÍNCULO: item inexistente",IF(AND(X786=1,J786&lt;&gt;"Sim"),"REVISAR VÍNCULO: destinador diferente do MTR",IF(X786=1,"Destinador diferente do MTR (analisado)","OK")))))))</f>
        <v/>
      </c>
      <c r="N786" s="96">
        <f>IF(COUNTA(B786:C786,F786:G786,J786:K786)&gt;0,1,0)</f>
        <v>0</v>
      </c>
      <c r="O786" s="96" t="str">
        <f>IF(B786="","",TRIM(LEFT(B786,FIND(" |",B786&amp;" |")-1)))</f>
        <v/>
      </c>
      <c r="P786" s="96" t="str">
        <f>IF(O786="","",IFERROR(MATCH(O786,'CDFs'!$A$6:$A$505,0),""))</f>
        <v/>
      </c>
      <c r="Q786" s="96">
        <f>IF(P786="",0,IF(INDEX('CDFs'!$S$6:$S$505,P786)=1,1,0))</f>
        <v>0</v>
      </c>
      <c r="R786" s="96" t="str">
        <f>IF(C786="","",TRIM(LEFT(C786,FIND(" |",C786&amp;" |")-1)))</f>
        <v/>
      </c>
      <c r="S786" s="96" t="str">
        <f>IF(R786="","",IFERROR(MATCH(R786,'ITENS_MTR'!$A$6:$A$1005,0),""))</f>
        <v/>
      </c>
      <c r="T786" s="96">
        <f>IF(S786="",0,IF(INDEX('ITENS_MTR'!$R$6:$R$1005,S786)=1,1,0))</f>
        <v>0</v>
      </c>
      <c r="U786" s="96" t="str">
        <f>IF(G786="","",IFERROR(IF(ISNUMBER(INDEX(cfg_fac,MATCH(G786,cfg_units,0))),IF(INDEX(cfg_fac,MATCH(G786,cfg_units,0))&gt;0,INDEX(cfg_fac,MATCH(G786,cfg_units,0)),""),""),""))</f>
        <v/>
      </c>
      <c r="V786" s="96">
        <f>IF(AND(ISNUMBER(F786),ISNUMBER(H786)),IF(H786&gt;0,1,0),0)</f>
        <v>0</v>
      </c>
      <c r="W786" s="96" t="str">
        <f>IF(T786=1,INDEX('ITENS_MTR'!$AU$6:$AU$1005,S786)&amp;"","")</f>
        <v/>
      </c>
      <c r="X786" s="96">
        <f>IF(AND(Q786=1,T786=1,I786&lt;&gt;"",W786&lt;&gt;""),IF(I786&lt;&gt;W786,1,0),0)</f>
        <v>0</v>
      </c>
      <c r="Y786" s="96">
        <f>IF(N786=0,0,IF(OR(Q786=0,T786=0,V786=0,AND(X786=1,J786&lt;&gt;"Sim")),1,0))</f>
        <v>0</v>
      </c>
      <c r="Z786" s="96">
        <f>IF(Q786=1,INDEX('CDFs'!$W$6:$W$505,P786),0)</f>
        <v>0</v>
      </c>
      <c r="AA786" s="96">
        <f>IF(AND(N786=1,Y786=0,Z786=1,J786="Sim"),1,0)</f>
        <v>0</v>
      </c>
      <c r="AB786" s="96">
        <f>IF(AND(N786=1,O786&lt;&gt;"",D786&lt;&gt;""),IF(COUNTIFS($O$6:O786,O786,$D$6:D786,D786)=1,1,0),0)</f>
        <v>0</v>
      </c>
      <c r="AC786" s="96">
        <f>IF(T786=1,INDEX('ITENS_MTR'!$AL$6:$AL$1005,S786),0)</f>
        <v>0</v>
      </c>
    </row>
    <row r="787">
      <c r="A787" s="89" t="inlineStr">
        <is>
          <t>VIN-000782</t>
        </is>
      </c>
      <c r="B787" s="91" t="n"/>
      <c r="C787" s="91" t="n"/>
      <c r="D787" s="94" t="str">
        <f>IF(T787=1,INDEX('ITENS_MTR'!$S$6:$S$1005,S787)&amp;"","")</f>
        <v/>
      </c>
      <c r="E787" s="94" t="str">
        <f>IF(T787=1,INDEX('ITENS_MTR'!$C$6:$C$1005,S787)&amp;"","")</f>
        <v/>
      </c>
      <c r="F787" s="98" t="n"/>
      <c r="G787" s="91" t="n"/>
      <c r="H787" s="93" t="str">
        <f>IF(N787=0,"",IF(NOT(ISNUMBER(F787)),"",IF(ISNUMBER(U787),F787*U787,"UNIDADE A CONFERIR")))</f>
        <v/>
      </c>
      <c r="I787" s="94" t="str">
        <f>IF(Q787=1,INDEX('CDFs'!$F$6:$F$505,P787)&amp;"","")</f>
        <v/>
      </c>
      <c r="J787" s="91" t="n"/>
      <c r="K787" s="91" t="n"/>
      <c r="L787" s="94" t="str">
        <f>IF(N787=0,"",IF(NOT(ISNUMBER(F787)),"Quantidade não informada",IF(F787&lt;=0,"Quantidade não positiva",IF(G787="","Unidade não informada",IF(NOT(ISNUMBER(H787)),"Unidade a conferir",IF(AC787=1,"REVISAR VÍNCULO: soma vinculada maior que a referência do item","OK"))))))</f>
        <v/>
      </c>
      <c r="M787" s="94" t="str">
        <f>IF(N787=0,"",IF(B787="","CDF não informado",IF(Q787=0,"REVISAR VÍNCULO: CDF inexistente",IF(C787="","Item não informado",IF(T787=0,"REVISAR VÍNCULO: item inexistente",IF(AND(X787=1,J787&lt;&gt;"Sim"),"REVISAR VÍNCULO: destinador diferente do MTR",IF(X787=1,"Destinador diferente do MTR (analisado)","OK")))))))</f>
        <v/>
      </c>
      <c r="N787" s="96">
        <f>IF(COUNTA(B787:C787,F787:G787,J787:K787)&gt;0,1,0)</f>
        <v>0</v>
      </c>
      <c r="O787" s="96" t="str">
        <f>IF(B787="","",TRIM(LEFT(B787,FIND(" |",B787&amp;" |")-1)))</f>
        <v/>
      </c>
      <c r="P787" s="96" t="str">
        <f>IF(O787="","",IFERROR(MATCH(O787,'CDFs'!$A$6:$A$505,0),""))</f>
        <v/>
      </c>
      <c r="Q787" s="96">
        <f>IF(P787="",0,IF(INDEX('CDFs'!$S$6:$S$505,P787)=1,1,0))</f>
        <v>0</v>
      </c>
      <c r="R787" s="96" t="str">
        <f>IF(C787="","",TRIM(LEFT(C787,FIND(" |",C787&amp;" |")-1)))</f>
        <v/>
      </c>
      <c r="S787" s="96" t="str">
        <f>IF(R787="","",IFERROR(MATCH(R787,'ITENS_MTR'!$A$6:$A$1005,0),""))</f>
        <v/>
      </c>
      <c r="T787" s="96">
        <f>IF(S787="",0,IF(INDEX('ITENS_MTR'!$R$6:$R$1005,S787)=1,1,0))</f>
        <v>0</v>
      </c>
      <c r="U787" s="96" t="str">
        <f>IF(G787="","",IFERROR(IF(ISNUMBER(INDEX(cfg_fac,MATCH(G787,cfg_units,0))),IF(INDEX(cfg_fac,MATCH(G787,cfg_units,0))&gt;0,INDEX(cfg_fac,MATCH(G787,cfg_units,0)),""),""),""))</f>
        <v/>
      </c>
      <c r="V787" s="96">
        <f>IF(AND(ISNUMBER(F787),ISNUMBER(H787)),IF(H787&gt;0,1,0),0)</f>
        <v>0</v>
      </c>
      <c r="W787" s="96" t="str">
        <f>IF(T787=1,INDEX('ITENS_MTR'!$AU$6:$AU$1005,S787)&amp;"","")</f>
        <v/>
      </c>
      <c r="X787" s="96">
        <f>IF(AND(Q787=1,T787=1,I787&lt;&gt;"",W787&lt;&gt;""),IF(I787&lt;&gt;W787,1,0),0)</f>
        <v>0</v>
      </c>
      <c r="Y787" s="96">
        <f>IF(N787=0,0,IF(OR(Q787=0,T787=0,V787=0,AND(X787=1,J787&lt;&gt;"Sim")),1,0))</f>
        <v>0</v>
      </c>
      <c r="Z787" s="96">
        <f>IF(Q787=1,INDEX('CDFs'!$W$6:$W$505,P787),0)</f>
        <v>0</v>
      </c>
      <c r="AA787" s="96">
        <f>IF(AND(N787=1,Y787=0,Z787=1,J787="Sim"),1,0)</f>
        <v>0</v>
      </c>
      <c r="AB787" s="96">
        <f>IF(AND(N787=1,O787&lt;&gt;"",D787&lt;&gt;""),IF(COUNTIFS($O$6:O787,O787,$D$6:D787,D787)=1,1,0),0)</f>
        <v>0</v>
      </c>
      <c r="AC787" s="96">
        <f>IF(T787=1,INDEX('ITENS_MTR'!$AL$6:$AL$1005,S787),0)</f>
        <v>0</v>
      </c>
    </row>
    <row r="788">
      <c r="A788" s="89" t="inlineStr">
        <is>
          <t>VIN-000783</t>
        </is>
      </c>
      <c r="B788" s="91" t="n"/>
      <c r="C788" s="91" t="n"/>
      <c r="D788" s="94" t="str">
        <f>IF(T788=1,INDEX('ITENS_MTR'!$S$6:$S$1005,S788)&amp;"","")</f>
        <v/>
      </c>
      <c r="E788" s="94" t="str">
        <f>IF(T788=1,INDEX('ITENS_MTR'!$C$6:$C$1005,S788)&amp;"","")</f>
        <v/>
      </c>
      <c r="F788" s="98" t="n"/>
      <c r="G788" s="91" t="n"/>
      <c r="H788" s="93" t="str">
        <f>IF(N788=0,"",IF(NOT(ISNUMBER(F788)),"",IF(ISNUMBER(U788),F788*U788,"UNIDADE A CONFERIR")))</f>
        <v/>
      </c>
      <c r="I788" s="94" t="str">
        <f>IF(Q788=1,INDEX('CDFs'!$F$6:$F$505,P788)&amp;"","")</f>
        <v/>
      </c>
      <c r="J788" s="91" t="n"/>
      <c r="K788" s="91" t="n"/>
      <c r="L788" s="94" t="str">
        <f>IF(N788=0,"",IF(NOT(ISNUMBER(F788)),"Quantidade não informada",IF(F788&lt;=0,"Quantidade não positiva",IF(G788="","Unidade não informada",IF(NOT(ISNUMBER(H788)),"Unidade a conferir",IF(AC788=1,"REVISAR VÍNCULO: soma vinculada maior que a referência do item","OK"))))))</f>
        <v/>
      </c>
      <c r="M788" s="94" t="str">
        <f>IF(N788=0,"",IF(B788="","CDF não informado",IF(Q788=0,"REVISAR VÍNCULO: CDF inexistente",IF(C788="","Item não informado",IF(T788=0,"REVISAR VÍNCULO: item inexistente",IF(AND(X788=1,J788&lt;&gt;"Sim"),"REVISAR VÍNCULO: destinador diferente do MTR",IF(X788=1,"Destinador diferente do MTR (analisado)","OK")))))))</f>
        <v/>
      </c>
      <c r="N788" s="96">
        <f>IF(COUNTA(B788:C788,F788:G788,J788:K788)&gt;0,1,0)</f>
        <v>0</v>
      </c>
      <c r="O788" s="96" t="str">
        <f>IF(B788="","",TRIM(LEFT(B788,FIND(" |",B788&amp;" |")-1)))</f>
        <v/>
      </c>
      <c r="P788" s="96" t="str">
        <f>IF(O788="","",IFERROR(MATCH(O788,'CDFs'!$A$6:$A$505,0),""))</f>
        <v/>
      </c>
      <c r="Q788" s="96">
        <f>IF(P788="",0,IF(INDEX('CDFs'!$S$6:$S$505,P788)=1,1,0))</f>
        <v>0</v>
      </c>
      <c r="R788" s="96" t="str">
        <f>IF(C788="","",TRIM(LEFT(C788,FIND(" |",C788&amp;" |")-1)))</f>
        <v/>
      </c>
      <c r="S788" s="96" t="str">
        <f>IF(R788="","",IFERROR(MATCH(R788,'ITENS_MTR'!$A$6:$A$1005,0),""))</f>
        <v/>
      </c>
      <c r="T788" s="96">
        <f>IF(S788="",0,IF(INDEX('ITENS_MTR'!$R$6:$R$1005,S788)=1,1,0))</f>
        <v>0</v>
      </c>
      <c r="U788" s="96" t="str">
        <f>IF(G788="","",IFERROR(IF(ISNUMBER(INDEX(cfg_fac,MATCH(G788,cfg_units,0))),IF(INDEX(cfg_fac,MATCH(G788,cfg_units,0))&gt;0,INDEX(cfg_fac,MATCH(G788,cfg_units,0)),""),""),""))</f>
        <v/>
      </c>
      <c r="V788" s="96">
        <f>IF(AND(ISNUMBER(F788),ISNUMBER(H788)),IF(H788&gt;0,1,0),0)</f>
        <v>0</v>
      </c>
      <c r="W788" s="96" t="str">
        <f>IF(T788=1,INDEX('ITENS_MTR'!$AU$6:$AU$1005,S788)&amp;"","")</f>
        <v/>
      </c>
      <c r="X788" s="96">
        <f>IF(AND(Q788=1,T788=1,I788&lt;&gt;"",W788&lt;&gt;""),IF(I788&lt;&gt;W788,1,0),0)</f>
        <v>0</v>
      </c>
      <c r="Y788" s="96">
        <f>IF(N788=0,0,IF(OR(Q788=0,T788=0,V788=0,AND(X788=1,J788&lt;&gt;"Sim")),1,0))</f>
        <v>0</v>
      </c>
      <c r="Z788" s="96">
        <f>IF(Q788=1,INDEX('CDFs'!$W$6:$W$505,P788),0)</f>
        <v>0</v>
      </c>
      <c r="AA788" s="96">
        <f>IF(AND(N788=1,Y788=0,Z788=1,J788="Sim"),1,0)</f>
        <v>0</v>
      </c>
      <c r="AB788" s="96">
        <f>IF(AND(N788=1,O788&lt;&gt;"",D788&lt;&gt;""),IF(COUNTIFS($O$6:O788,O788,$D$6:D788,D788)=1,1,0),0)</f>
        <v>0</v>
      </c>
      <c r="AC788" s="96">
        <f>IF(T788=1,INDEX('ITENS_MTR'!$AL$6:$AL$1005,S788),0)</f>
        <v>0</v>
      </c>
    </row>
    <row r="789">
      <c r="A789" s="89" t="inlineStr">
        <is>
          <t>VIN-000784</t>
        </is>
      </c>
      <c r="B789" s="91" t="n"/>
      <c r="C789" s="91" t="n"/>
      <c r="D789" s="94" t="str">
        <f>IF(T789=1,INDEX('ITENS_MTR'!$S$6:$S$1005,S789)&amp;"","")</f>
        <v/>
      </c>
      <c r="E789" s="94" t="str">
        <f>IF(T789=1,INDEX('ITENS_MTR'!$C$6:$C$1005,S789)&amp;"","")</f>
        <v/>
      </c>
      <c r="F789" s="98" t="n"/>
      <c r="G789" s="91" t="n"/>
      <c r="H789" s="93" t="str">
        <f>IF(N789=0,"",IF(NOT(ISNUMBER(F789)),"",IF(ISNUMBER(U789),F789*U789,"UNIDADE A CONFERIR")))</f>
        <v/>
      </c>
      <c r="I789" s="94" t="str">
        <f>IF(Q789=1,INDEX('CDFs'!$F$6:$F$505,P789)&amp;"","")</f>
        <v/>
      </c>
      <c r="J789" s="91" t="n"/>
      <c r="K789" s="91" t="n"/>
      <c r="L789" s="94" t="str">
        <f>IF(N789=0,"",IF(NOT(ISNUMBER(F789)),"Quantidade não informada",IF(F789&lt;=0,"Quantidade não positiva",IF(G789="","Unidade não informada",IF(NOT(ISNUMBER(H789)),"Unidade a conferir",IF(AC789=1,"REVISAR VÍNCULO: soma vinculada maior que a referência do item","OK"))))))</f>
        <v/>
      </c>
      <c r="M789" s="94" t="str">
        <f>IF(N789=0,"",IF(B789="","CDF não informado",IF(Q789=0,"REVISAR VÍNCULO: CDF inexistente",IF(C789="","Item não informado",IF(T789=0,"REVISAR VÍNCULO: item inexistente",IF(AND(X789=1,J789&lt;&gt;"Sim"),"REVISAR VÍNCULO: destinador diferente do MTR",IF(X789=1,"Destinador diferente do MTR (analisado)","OK")))))))</f>
        <v/>
      </c>
      <c r="N789" s="96">
        <f>IF(COUNTA(B789:C789,F789:G789,J789:K789)&gt;0,1,0)</f>
        <v>0</v>
      </c>
      <c r="O789" s="96" t="str">
        <f>IF(B789="","",TRIM(LEFT(B789,FIND(" |",B789&amp;" |")-1)))</f>
        <v/>
      </c>
      <c r="P789" s="96" t="str">
        <f>IF(O789="","",IFERROR(MATCH(O789,'CDFs'!$A$6:$A$505,0),""))</f>
        <v/>
      </c>
      <c r="Q789" s="96">
        <f>IF(P789="",0,IF(INDEX('CDFs'!$S$6:$S$505,P789)=1,1,0))</f>
        <v>0</v>
      </c>
      <c r="R789" s="96" t="str">
        <f>IF(C789="","",TRIM(LEFT(C789,FIND(" |",C789&amp;" |")-1)))</f>
        <v/>
      </c>
      <c r="S789" s="96" t="str">
        <f>IF(R789="","",IFERROR(MATCH(R789,'ITENS_MTR'!$A$6:$A$1005,0),""))</f>
        <v/>
      </c>
      <c r="T789" s="96">
        <f>IF(S789="",0,IF(INDEX('ITENS_MTR'!$R$6:$R$1005,S789)=1,1,0))</f>
        <v>0</v>
      </c>
      <c r="U789" s="96" t="str">
        <f>IF(G789="","",IFERROR(IF(ISNUMBER(INDEX(cfg_fac,MATCH(G789,cfg_units,0))),IF(INDEX(cfg_fac,MATCH(G789,cfg_units,0))&gt;0,INDEX(cfg_fac,MATCH(G789,cfg_units,0)),""),""),""))</f>
        <v/>
      </c>
      <c r="V789" s="96">
        <f>IF(AND(ISNUMBER(F789),ISNUMBER(H789)),IF(H789&gt;0,1,0),0)</f>
        <v>0</v>
      </c>
      <c r="W789" s="96" t="str">
        <f>IF(T789=1,INDEX('ITENS_MTR'!$AU$6:$AU$1005,S789)&amp;"","")</f>
        <v/>
      </c>
      <c r="X789" s="96">
        <f>IF(AND(Q789=1,T789=1,I789&lt;&gt;"",W789&lt;&gt;""),IF(I789&lt;&gt;W789,1,0),0)</f>
        <v>0</v>
      </c>
      <c r="Y789" s="96">
        <f>IF(N789=0,0,IF(OR(Q789=0,T789=0,V789=0,AND(X789=1,J789&lt;&gt;"Sim")),1,0))</f>
        <v>0</v>
      </c>
      <c r="Z789" s="96">
        <f>IF(Q789=1,INDEX('CDFs'!$W$6:$W$505,P789),0)</f>
        <v>0</v>
      </c>
      <c r="AA789" s="96">
        <f>IF(AND(N789=1,Y789=0,Z789=1,J789="Sim"),1,0)</f>
        <v>0</v>
      </c>
      <c r="AB789" s="96">
        <f>IF(AND(N789=1,O789&lt;&gt;"",D789&lt;&gt;""),IF(COUNTIFS($O$6:O789,O789,$D$6:D789,D789)=1,1,0),0)</f>
        <v>0</v>
      </c>
      <c r="AC789" s="96">
        <f>IF(T789=1,INDEX('ITENS_MTR'!$AL$6:$AL$1005,S789),0)</f>
        <v>0</v>
      </c>
    </row>
    <row r="790">
      <c r="A790" s="89" t="inlineStr">
        <is>
          <t>VIN-000785</t>
        </is>
      </c>
      <c r="B790" s="91" t="n"/>
      <c r="C790" s="91" t="n"/>
      <c r="D790" s="94" t="str">
        <f>IF(T790=1,INDEX('ITENS_MTR'!$S$6:$S$1005,S790)&amp;"","")</f>
        <v/>
      </c>
      <c r="E790" s="94" t="str">
        <f>IF(T790=1,INDEX('ITENS_MTR'!$C$6:$C$1005,S790)&amp;"","")</f>
        <v/>
      </c>
      <c r="F790" s="98" t="n"/>
      <c r="G790" s="91" t="n"/>
      <c r="H790" s="93" t="str">
        <f>IF(N790=0,"",IF(NOT(ISNUMBER(F790)),"",IF(ISNUMBER(U790),F790*U790,"UNIDADE A CONFERIR")))</f>
        <v/>
      </c>
      <c r="I790" s="94" t="str">
        <f>IF(Q790=1,INDEX('CDFs'!$F$6:$F$505,P790)&amp;"","")</f>
        <v/>
      </c>
      <c r="J790" s="91" t="n"/>
      <c r="K790" s="91" t="n"/>
      <c r="L790" s="94" t="str">
        <f>IF(N790=0,"",IF(NOT(ISNUMBER(F790)),"Quantidade não informada",IF(F790&lt;=0,"Quantidade não positiva",IF(G790="","Unidade não informada",IF(NOT(ISNUMBER(H790)),"Unidade a conferir",IF(AC790=1,"REVISAR VÍNCULO: soma vinculada maior que a referência do item","OK"))))))</f>
        <v/>
      </c>
      <c r="M790" s="94" t="str">
        <f>IF(N790=0,"",IF(B790="","CDF não informado",IF(Q790=0,"REVISAR VÍNCULO: CDF inexistente",IF(C790="","Item não informado",IF(T790=0,"REVISAR VÍNCULO: item inexistente",IF(AND(X790=1,J790&lt;&gt;"Sim"),"REVISAR VÍNCULO: destinador diferente do MTR",IF(X790=1,"Destinador diferente do MTR (analisado)","OK")))))))</f>
        <v/>
      </c>
      <c r="N790" s="96">
        <f>IF(COUNTA(B790:C790,F790:G790,J790:K790)&gt;0,1,0)</f>
        <v>0</v>
      </c>
      <c r="O790" s="96" t="str">
        <f>IF(B790="","",TRIM(LEFT(B790,FIND(" |",B790&amp;" |")-1)))</f>
        <v/>
      </c>
      <c r="P790" s="96" t="str">
        <f>IF(O790="","",IFERROR(MATCH(O790,'CDFs'!$A$6:$A$505,0),""))</f>
        <v/>
      </c>
      <c r="Q790" s="96">
        <f>IF(P790="",0,IF(INDEX('CDFs'!$S$6:$S$505,P790)=1,1,0))</f>
        <v>0</v>
      </c>
      <c r="R790" s="96" t="str">
        <f>IF(C790="","",TRIM(LEFT(C790,FIND(" |",C790&amp;" |")-1)))</f>
        <v/>
      </c>
      <c r="S790" s="96" t="str">
        <f>IF(R790="","",IFERROR(MATCH(R790,'ITENS_MTR'!$A$6:$A$1005,0),""))</f>
        <v/>
      </c>
      <c r="T790" s="96">
        <f>IF(S790="",0,IF(INDEX('ITENS_MTR'!$R$6:$R$1005,S790)=1,1,0))</f>
        <v>0</v>
      </c>
      <c r="U790" s="96" t="str">
        <f>IF(G790="","",IFERROR(IF(ISNUMBER(INDEX(cfg_fac,MATCH(G790,cfg_units,0))),IF(INDEX(cfg_fac,MATCH(G790,cfg_units,0))&gt;0,INDEX(cfg_fac,MATCH(G790,cfg_units,0)),""),""),""))</f>
        <v/>
      </c>
      <c r="V790" s="96">
        <f>IF(AND(ISNUMBER(F790),ISNUMBER(H790)),IF(H790&gt;0,1,0),0)</f>
        <v>0</v>
      </c>
      <c r="W790" s="96" t="str">
        <f>IF(T790=1,INDEX('ITENS_MTR'!$AU$6:$AU$1005,S790)&amp;"","")</f>
        <v/>
      </c>
      <c r="X790" s="96">
        <f>IF(AND(Q790=1,T790=1,I790&lt;&gt;"",W790&lt;&gt;""),IF(I790&lt;&gt;W790,1,0),0)</f>
        <v>0</v>
      </c>
      <c r="Y790" s="96">
        <f>IF(N790=0,0,IF(OR(Q790=0,T790=0,V790=0,AND(X790=1,J790&lt;&gt;"Sim")),1,0))</f>
        <v>0</v>
      </c>
      <c r="Z790" s="96">
        <f>IF(Q790=1,INDEX('CDFs'!$W$6:$W$505,P790),0)</f>
        <v>0</v>
      </c>
      <c r="AA790" s="96">
        <f>IF(AND(N790=1,Y790=0,Z790=1,J790="Sim"),1,0)</f>
        <v>0</v>
      </c>
      <c r="AB790" s="96">
        <f>IF(AND(N790=1,O790&lt;&gt;"",D790&lt;&gt;""),IF(COUNTIFS($O$6:O790,O790,$D$6:D790,D790)=1,1,0),0)</f>
        <v>0</v>
      </c>
      <c r="AC790" s="96">
        <f>IF(T790=1,INDEX('ITENS_MTR'!$AL$6:$AL$1005,S790),0)</f>
        <v>0</v>
      </c>
    </row>
    <row r="791">
      <c r="A791" s="89" t="inlineStr">
        <is>
          <t>VIN-000786</t>
        </is>
      </c>
      <c r="B791" s="91" t="n"/>
      <c r="C791" s="91" t="n"/>
      <c r="D791" s="94" t="str">
        <f>IF(T791=1,INDEX('ITENS_MTR'!$S$6:$S$1005,S791)&amp;"","")</f>
        <v/>
      </c>
      <c r="E791" s="94" t="str">
        <f>IF(T791=1,INDEX('ITENS_MTR'!$C$6:$C$1005,S791)&amp;"","")</f>
        <v/>
      </c>
      <c r="F791" s="98" t="n"/>
      <c r="G791" s="91" t="n"/>
      <c r="H791" s="93" t="str">
        <f>IF(N791=0,"",IF(NOT(ISNUMBER(F791)),"",IF(ISNUMBER(U791),F791*U791,"UNIDADE A CONFERIR")))</f>
        <v/>
      </c>
      <c r="I791" s="94" t="str">
        <f>IF(Q791=1,INDEX('CDFs'!$F$6:$F$505,P791)&amp;"","")</f>
        <v/>
      </c>
      <c r="J791" s="91" t="n"/>
      <c r="K791" s="91" t="n"/>
      <c r="L791" s="94" t="str">
        <f>IF(N791=0,"",IF(NOT(ISNUMBER(F791)),"Quantidade não informada",IF(F791&lt;=0,"Quantidade não positiva",IF(G791="","Unidade não informada",IF(NOT(ISNUMBER(H791)),"Unidade a conferir",IF(AC791=1,"REVISAR VÍNCULO: soma vinculada maior que a referência do item","OK"))))))</f>
        <v/>
      </c>
      <c r="M791" s="94" t="str">
        <f>IF(N791=0,"",IF(B791="","CDF não informado",IF(Q791=0,"REVISAR VÍNCULO: CDF inexistente",IF(C791="","Item não informado",IF(T791=0,"REVISAR VÍNCULO: item inexistente",IF(AND(X791=1,J791&lt;&gt;"Sim"),"REVISAR VÍNCULO: destinador diferente do MTR",IF(X791=1,"Destinador diferente do MTR (analisado)","OK")))))))</f>
        <v/>
      </c>
      <c r="N791" s="96">
        <f>IF(COUNTA(B791:C791,F791:G791,J791:K791)&gt;0,1,0)</f>
        <v>0</v>
      </c>
      <c r="O791" s="96" t="str">
        <f>IF(B791="","",TRIM(LEFT(B791,FIND(" |",B791&amp;" |")-1)))</f>
        <v/>
      </c>
      <c r="P791" s="96" t="str">
        <f>IF(O791="","",IFERROR(MATCH(O791,'CDFs'!$A$6:$A$505,0),""))</f>
        <v/>
      </c>
      <c r="Q791" s="96">
        <f>IF(P791="",0,IF(INDEX('CDFs'!$S$6:$S$505,P791)=1,1,0))</f>
        <v>0</v>
      </c>
      <c r="R791" s="96" t="str">
        <f>IF(C791="","",TRIM(LEFT(C791,FIND(" |",C791&amp;" |")-1)))</f>
        <v/>
      </c>
      <c r="S791" s="96" t="str">
        <f>IF(R791="","",IFERROR(MATCH(R791,'ITENS_MTR'!$A$6:$A$1005,0),""))</f>
        <v/>
      </c>
      <c r="T791" s="96">
        <f>IF(S791="",0,IF(INDEX('ITENS_MTR'!$R$6:$R$1005,S791)=1,1,0))</f>
        <v>0</v>
      </c>
      <c r="U791" s="96" t="str">
        <f>IF(G791="","",IFERROR(IF(ISNUMBER(INDEX(cfg_fac,MATCH(G791,cfg_units,0))),IF(INDEX(cfg_fac,MATCH(G791,cfg_units,0))&gt;0,INDEX(cfg_fac,MATCH(G791,cfg_units,0)),""),""),""))</f>
        <v/>
      </c>
      <c r="V791" s="96">
        <f>IF(AND(ISNUMBER(F791),ISNUMBER(H791)),IF(H791&gt;0,1,0),0)</f>
        <v>0</v>
      </c>
      <c r="W791" s="96" t="str">
        <f>IF(T791=1,INDEX('ITENS_MTR'!$AU$6:$AU$1005,S791)&amp;"","")</f>
        <v/>
      </c>
      <c r="X791" s="96">
        <f>IF(AND(Q791=1,T791=1,I791&lt;&gt;"",W791&lt;&gt;""),IF(I791&lt;&gt;W791,1,0),0)</f>
        <v>0</v>
      </c>
      <c r="Y791" s="96">
        <f>IF(N791=0,0,IF(OR(Q791=0,T791=0,V791=0,AND(X791=1,J791&lt;&gt;"Sim")),1,0))</f>
        <v>0</v>
      </c>
      <c r="Z791" s="96">
        <f>IF(Q791=1,INDEX('CDFs'!$W$6:$W$505,P791),0)</f>
        <v>0</v>
      </c>
      <c r="AA791" s="96">
        <f>IF(AND(N791=1,Y791=0,Z791=1,J791="Sim"),1,0)</f>
        <v>0</v>
      </c>
      <c r="AB791" s="96">
        <f>IF(AND(N791=1,O791&lt;&gt;"",D791&lt;&gt;""),IF(COUNTIFS($O$6:O791,O791,$D$6:D791,D791)=1,1,0),0)</f>
        <v>0</v>
      </c>
      <c r="AC791" s="96">
        <f>IF(T791=1,INDEX('ITENS_MTR'!$AL$6:$AL$1005,S791),0)</f>
        <v>0</v>
      </c>
    </row>
    <row r="792">
      <c r="A792" s="89" t="inlineStr">
        <is>
          <t>VIN-000787</t>
        </is>
      </c>
      <c r="B792" s="91" t="n"/>
      <c r="C792" s="91" t="n"/>
      <c r="D792" s="94" t="str">
        <f>IF(T792=1,INDEX('ITENS_MTR'!$S$6:$S$1005,S792)&amp;"","")</f>
        <v/>
      </c>
      <c r="E792" s="94" t="str">
        <f>IF(T792=1,INDEX('ITENS_MTR'!$C$6:$C$1005,S792)&amp;"","")</f>
        <v/>
      </c>
      <c r="F792" s="98" t="n"/>
      <c r="G792" s="91" t="n"/>
      <c r="H792" s="93" t="str">
        <f>IF(N792=0,"",IF(NOT(ISNUMBER(F792)),"",IF(ISNUMBER(U792),F792*U792,"UNIDADE A CONFERIR")))</f>
        <v/>
      </c>
      <c r="I792" s="94" t="str">
        <f>IF(Q792=1,INDEX('CDFs'!$F$6:$F$505,P792)&amp;"","")</f>
        <v/>
      </c>
      <c r="J792" s="91" t="n"/>
      <c r="K792" s="91" t="n"/>
      <c r="L792" s="94" t="str">
        <f>IF(N792=0,"",IF(NOT(ISNUMBER(F792)),"Quantidade não informada",IF(F792&lt;=0,"Quantidade não positiva",IF(G792="","Unidade não informada",IF(NOT(ISNUMBER(H792)),"Unidade a conferir",IF(AC792=1,"REVISAR VÍNCULO: soma vinculada maior que a referência do item","OK"))))))</f>
        <v/>
      </c>
      <c r="M792" s="94" t="str">
        <f>IF(N792=0,"",IF(B792="","CDF não informado",IF(Q792=0,"REVISAR VÍNCULO: CDF inexistente",IF(C792="","Item não informado",IF(T792=0,"REVISAR VÍNCULO: item inexistente",IF(AND(X792=1,J792&lt;&gt;"Sim"),"REVISAR VÍNCULO: destinador diferente do MTR",IF(X792=1,"Destinador diferente do MTR (analisado)","OK")))))))</f>
        <v/>
      </c>
      <c r="N792" s="96">
        <f>IF(COUNTA(B792:C792,F792:G792,J792:K792)&gt;0,1,0)</f>
        <v>0</v>
      </c>
      <c r="O792" s="96" t="str">
        <f>IF(B792="","",TRIM(LEFT(B792,FIND(" |",B792&amp;" |")-1)))</f>
        <v/>
      </c>
      <c r="P792" s="96" t="str">
        <f>IF(O792="","",IFERROR(MATCH(O792,'CDFs'!$A$6:$A$505,0),""))</f>
        <v/>
      </c>
      <c r="Q792" s="96">
        <f>IF(P792="",0,IF(INDEX('CDFs'!$S$6:$S$505,P792)=1,1,0))</f>
        <v>0</v>
      </c>
      <c r="R792" s="96" t="str">
        <f>IF(C792="","",TRIM(LEFT(C792,FIND(" |",C792&amp;" |")-1)))</f>
        <v/>
      </c>
      <c r="S792" s="96" t="str">
        <f>IF(R792="","",IFERROR(MATCH(R792,'ITENS_MTR'!$A$6:$A$1005,0),""))</f>
        <v/>
      </c>
      <c r="T792" s="96">
        <f>IF(S792="",0,IF(INDEX('ITENS_MTR'!$R$6:$R$1005,S792)=1,1,0))</f>
        <v>0</v>
      </c>
      <c r="U792" s="96" t="str">
        <f>IF(G792="","",IFERROR(IF(ISNUMBER(INDEX(cfg_fac,MATCH(G792,cfg_units,0))),IF(INDEX(cfg_fac,MATCH(G792,cfg_units,0))&gt;0,INDEX(cfg_fac,MATCH(G792,cfg_units,0)),""),""),""))</f>
        <v/>
      </c>
      <c r="V792" s="96">
        <f>IF(AND(ISNUMBER(F792),ISNUMBER(H792)),IF(H792&gt;0,1,0),0)</f>
        <v>0</v>
      </c>
      <c r="W792" s="96" t="str">
        <f>IF(T792=1,INDEX('ITENS_MTR'!$AU$6:$AU$1005,S792)&amp;"","")</f>
        <v/>
      </c>
      <c r="X792" s="96">
        <f>IF(AND(Q792=1,T792=1,I792&lt;&gt;"",W792&lt;&gt;""),IF(I792&lt;&gt;W792,1,0),0)</f>
        <v>0</v>
      </c>
      <c r="Y792" s="96">
        <f>IF(N792=0,0,IF(OR(Q792=0,T792=0,V792=0,AND(X792=1,J792&lt;&gt;"Sim")),1,0))</f>
        <v>0</v>
      </c>
      <c r="Z792" s="96">
        <f>IF(Q792=1,INDEX('CDFs'!$W$6:$W$505,P792),0)</f>
        <v>0</v>
      </c>
      <c r="AA792" s="96">
        <f>IF(AND(N792=1,Y792=0,Z792=1,J792="Sim"),1,0)</f>
        <v>0</v>
      </c>
      <c r="AB792" s="96">
        <f>IF(AND(N792=1,O792&lt;&gt;"",D792&lt;&gt;""),IF(COUNTIFS($O$6:O792,O792,$D$6:D792,D792)=1,1,0),0)</f>
        <v>0</v>
      </c>
      <c r="AC792" s="96">
        <f>IF(T792=1,INDEX('ITENS_MTR'!$AL$6:$AL$1005,S792),0)</f>
        <v>0</v>
      </c>
    </row>
    <row r="793">
      <c r="A793" s="89" t="inlineStr">
        <is>
          <t>VIN-000788</t>
        </is>
      </c>
      <c r="B793" s="91" t="n"/>
      <c r="C793" s="91" t="n"/>
      <c r="D793" s="94" t="str">
        <f>IF(T793=1,INDEX('ITENS_MTR'!$S$6:$S$1005,S793)&amp;"","")</f>
        <v/>
      </c>
      <c r="E793" s="94" t="str">
        <f>IF(T793=1,INDEX('ITENS_MTR'!$C$6:$C$1005,S793)&amp;"","")</f>
        <v/>
      </c>
      <c r="F793" s="98" t="n"/>
      <c r="G793" s="91" t="n"/>
      <c r="H793" s="93" t="str">
        <f>IF(N793=0,"",IF(NOT(ISNUMBER(F793)),"",IF(ISNUMBER(U793),F793*U793,"UNIDADE A CONFERIR")))</f>
        <v/>
      </c>
      <c r="I793" s="94" t="str">
        <f>IF(Q793=1,INDEX('CDFs'!$F$6:$F$505,P793)&amp;"","")</f>
        <v/>
      </c>
      <c r="J793" s="91" t="n"/>
      <c r="K793" s="91" t="n"/>
      <c r="L793" s="94" t="str">
        <f>IF(N793=0,"",IF(NOT(ISNUMBER(F793)),"Quantidade não informada",IF(F793&lt;=0,"Quantidade não positiva",IF(G793="","Unidade não informada",IF(NOT(ISNUMBER(H793)),"Unidade a conferir",IF(AC793=1,"REVISAR VÍNCULO: soma vinculada maior que a referência do item","OK"))))))</f>
        <v/>
      </c>
      <c r="M793" s="94" t="str">
        <f>IF(N793=0,"",IF(B793="","CDF não informado",IF(Q793=0,"REVISAR VÍNCULO: CDF inexistente",IF(C793="","Item não informado",IF(T793=0,"REVISAR VÍNCULO: item inexistente",IF(AND(X793=1,J793&lt;&gt;"Sim"),"REVISAR VÍNCULO: destinador diferente do MTR",IF(X793=1,"Destinador diferente do MTR (analisado)","OK")))))))</f>
        <v/>
      </c>
      <c r="N793" s="96">
        <f>IF(COUNTA(B793:C793,F793:G793,J793:K793)&gt;0,1,0)</f>
        <v>0</v>
      </c>
      <c r="O793" s="96" t="str">
        <f>IF(B793="","",TRIM(LEFT(B793,FIND(" |",B793&amp;" |")-1)))</f>
        <v/>
      </c>
      <c r="P793" s="96" t="str">
        <f>IF(O793="","",IFERROR(MATCH(O793,'CDFs'!$A$6:$A$505,0),""))</f>
        <v/>
      </c>
      <c r="Q793" s="96">
        <f>IF(P793="",0,IF(INDEX('CDFs'!$S$6:$S$505,P793)=1,1,0))</f>
        <v>0</v>
      </c>
      <c r="R793" s="96" t="str">
        <f>IF(C793="","",TRIM(LEFT(C793,FIND(" |",C793&amp;" |")-1)))</f>
        <v/>
      </c>
      <c r="S793" s="96" t="str">
        <f>IF(R793="","",IFERROR(MATCH(R793,'ITENS_MTR'!$A$6:$A$1005,0),""))</f>
        <v/>
      </c>
      <c r="T793" s="96">
        <f>IF(S793="",0,IF(INDEX('ITENS_MTR'!$R$6:$R$1005,S793)=1,1,0))</f>
        <v>0</v>
      </c>
      <c r="U793" s="96" t="str">
        <f>IF(G793="","",IFERROR(IF(ISNUMBER(INDEX(cfg_fac,MATCH(G793,cfg_units,0))),IF(INDEX(cfg_fac,MATCH(G793,cfg_units,0))&gt;0,INDEX(cfg_fac,MATCH(G793,cfg_units,0)),""),""),""))</f>
        <v/>
      </c>
      <c r="V793" s="96">
        <f>IF(AND(ISNUMBER(F793),ISNUMBER(H793)),IF(H793&gt;0,1,0),0)</f>
        <v>0</v>
      </c>
      <c r="W793" s="96" t="str">
        <f>IF(T793=1,INDEX('ITENS_MTR'!$AU$6:$AU$1005,S793)&amp;"","")</f>
        <v/>
      </c>
      <c r="X793" s="96">
        <f>IF(AND(Q793=1,T793=1,I793&lt;&gt;"",W793&lt;&gt;""),IF(I793&lt;&gt;W793,1,0),0)</f>
        <v>0</v>
      </c>
      <c r="Y793" s="96">
        <f>IF(N793=0,0,IF(OR(Q793=0,T793=0,V793=0,AND(X793=1,J793&lt;&gt;"Sim")),1,0))</f>
        <v>0</v>
      </c>
      <c r="Z793" s="96">
        <f>IF(Q793=1,INDEX('CDFs'!$W$6:$W$505,P793),0)</f>
        <v>0</v>
      </c>
      <c r="AA793" s="96">
        <f>IF(AND(N793=1,Y793=0,Z793=1,J793="Sim"),1,0)</f>
        <v>0</v>
      </c>
      <c r="AB793" s="96">
        <f>IF(AND(N793=1,O793&lt;&gt;"",D793&lt;&gt;""),IF(COUNTIFS($O$6:O793,O793,$D$6:D793,D793)=1,1,0),0)</f>
        <v>0</v>
      </c>
      <c r="AC793" s="96">
        <f>IF(T793=1,INDEX('ITENS_MTR'!$AL$6:$AL$1005,S793),0)</f>
        <v>0</v>
      </c>
    </row>
    <row r="794">
      <c r="A794" s="89" t="inlineStr">
        <is>
          <t>VIN-000789</t>
        </is>
      </c>
      <c r="B794" s="91" t="n"/>
      <c r="C794" s="91" t="n"/>
      <c r="D794" s="94" t="str">
        <f>IF(T794=1,INDEX('ITENS_MTR'!$S$6:$S$1005,S794)&amp;"","")</f>
        <v/>
      </c>
      <c r="E794" s="94" t="str">
        <f>IF(T794=1,INDEX('ITENS_MTR'!$C$6:$C$1005,S794)&amp;"","")</f>
        <v/>
      </c>
      <c r="F794" s="98" t="n"/>
      <c r="G794" s="91" t="n"/>
      <c r="H794" s="93" t="str">
        <f>IF(N794=0,"",IF(NOT(ISNUMBER(F794)),"",IF(ISNUMBER(U794),F794*U794,"UNIDADE A CONFERIR")))</f>
        <v/>
      </c>
      <c r="I794" s="94" t="str">
        <f>IF(Q794=1,INDEX('CDFs'!$F$6:$F$505,P794)&amp;"","")</f>
        <v/>
      </c>
      <c r="J794" s="91" t="n"/>
      <c r="K794" s="91" t="n"/>
      <c r="L794" s="94" t="str">
        <f>IF(N794=0,"",IF(NOT(ISNUMBER(F794)),"Quantidade não informada",IF(F794&lt;=0,"Quantidade não positiva",IF(G794="","Unidade não informada",IF(NOT(ISNUMBER(H794)),"Unidade a conferir",IF(AC794=1,"REVISAR VÍNCULO: soma vinculada maior que a referência do item","OK"))))))</f>
        <v/>
      </c>
      <c r="M794" s="94" t="str">
        <f>IF(N794=0,"",IF(B794="","CDF não informado",IF(Q794=0,"REVISAR VÍNCULO: CDF inexistente",IF(C794="","Item não informado",IF(T794=0,"REVISAR VÍNCULO: item inexistente",IF(AND(X794=1,J794&lt;&gt;"Sim"),"REVISAR VÍNCULO: destinador diferente do MTR",IF(X794=1,"Destinador diferente do MTR (analisado)","OK")))))))</f>
        <v/>
      </c>
      <c r="N794" s="96">
        <f>IF(COUNTA(B794:C794,F794:G794,J794:K794)&gt;0,1,0)</f>
        <v>0</v>
      </c>
      <c r="O794" s="96" t="str">
        <f>IF(B794="","",TRIM(LEFT(B794,FIND(" |",B794&amp;" |")-1)))</f>
        <v/>
      </c>
      <c r="P794" s="96" t="str">
        <f>IF(O794="","",IFERROR(MATCH(O794,'CDFs'!$A$6:$A$505,0),""))</f>
        <v/>
      </c>
      <c r="Q794" s="96">
        <f>IF(P794="",0,IF(INDEX('CDFs'!$S$6:$S$505,P794)=1,1,0))</f>
        <v>0</v>
      </c>
      <c r="R794" s="96" t="str">
        <f>IF(C794="","",TRIM(LEFT(C794,FIND(" |",C794&amp;" |")-1)))</f>
        <v/>
      </c>
      <c r="S794" s="96" t="str">
        <f>IF(R794="","",IFERROR(MATCH(R794,'ITENS_MTR'!$A$6:$A$1005,0),""))</f>
        <v/>
      </c>
      <c r="T794" s="96">
        <f>IF(S794="",0,IF(INDEX('ITENS_MTR'!$R$6:$R$1005,S794)=1,1,0))</f>
        <v>0</v>
      </c>
      <c r="U794" s="96" t="str">
        <f>IF(G794="","",IFERROR(IF(ISNUMBER(INDEX(cfg_fac,MATCH(G794,cfg_units,0))),IF(INDEX(cfg_fac,MATCH(G794,cfg_units,0))&gt;0,INDEX(cfg_fac,MATCH(G794,cfg_units,0)),""),""),""))</f>
        <v/>
      </c>
      <c r="V794" s="96">
        <f>IF(AND(ISNUMBER(F794),ISNUMBER(H794)),IF(H794&gt;0,1,0),0)</f>
        <v>0</v>
      </c>
      <c r="W794" s="96" t="str">
        <f>IF(T794=1,INDEX('ITENS_MTR'!$AU$6:$AU$1005,S794)&amp;"","")</f>
        <v/>
      </c>
      <c r="X794" s="96">
        <f>IF(AND(Q794=1,T794=1,I794&lt;&gt;"",W794&lt;&gt;""),IF(I794&lt;&gt;W794,1,0),0)</f>
        <v>0</v>
      </c>
      <c r="Y794" s="96">
        <f>IF(N794=0,0,IF(OR(Q794=0,T794=0,V794=0,AND(X794=1,J794&lt;&gt;"Sim")),1,0))</f>
        <v>0</v>
      </c>
      <c r="Z794" s="96">
        <f>IF(Q794=1,INDEX('CDFs'!$W$6:$W$505,P794),0)</f>
        <v>0</v>
      </c>
      <c r="AA794" s="96">
        <f>IF(AND(N794=1,Y794=0,Z794=1,J794="Sim"),1,0)</f>
        <v>0</v>
      </c>
      <c r="AB794" s="96">
        <f>IF(AND(N794=1,O794&lt;&gt;"",D794&lt;&gt;""),IF(COUNTIFS($O$6:O794,O794,$D$6:D794,D794)=1,1,0),0)</f>
        <v>0</v>
      </c>
      <c r="AC794" s="96">
        <f>IF(T794=1,INDEX('ITENS_MTR'!$AL$6:$AL$1005,S794),0)</f>
        <v>0</v>
      </c>
    </row>
    <row r="795">
      <c r="A795" s="89" t="inlineStr">
        <is>
          <t>VIN-000790</t>
        </is>
      </c>
      <c r="B795" s="91" t="n"/>
      <c r="C795" s="91" t="n"/>
      <c r="D795" s="94" t="str">
        <f>IF(T795=1,INDEX('ITENS_MTR'!$S$6:$S$1005,S795)&amp;"","")</f>
        <v/>
      </c>
      <c r="E795" s="94" t="str">
        <f>IF(T795=1,INDEX('ITENS_MTR'!$C$6:$C$1005,S795)&amp;"","")</f>
        <v/>
      </c>
      <c r="F795" s="98" t="n"/>
      <c r="G795" s="91" t="n"/>
      <c r="H795" s="93" t="str">
        <f>IF(N795=0,"",IF(NOT(ISNUMBER(F795)),"",IF(ISNUMBER(U795),F795*U795,"UNIDADE A CONFERIR")))</f>
        <v/>
      </c>
      <c r="I795" s="94" t="str">
        <f>IF(Q795=1,INDEX('CDFs'!$F$6:$F$505,P795)&amp;"","")</f>
        <v/>
      </c>
      <c r="J795" s="91" t="n"/>
      <c r="K795" s="91" t="n"/>
      <c r="L795" s="94" t="str">
        <f>IF(N795=0,"",IF(NOT(ISNUMBER(F795)),"Quantidade não informada",IF(F795&lt;=0,"Quantidade não positiva",IF(G795="","Unidade não informada",IF(NOT(ISNUMBER(H795)),"Unidade a conferir",IF(AC795=1,"REVISAR VÍNCULO: soma vinculada maior que a referência do item","OK"))))))</f>
        <v/>
      </c>
      <c r="M795" s="94" t="str">
        <f>IF(N795=0,"",IF(B795="","CDF não informado",IF(Q795=0,"REVISAR VÍNCULO: CDF inexistente",IF(C795="","Item não informado",IF(T795=0,"REVISAR VÍNCULO: item inexistente",IF(AND(X795=1,J795&lt;&gt;"Sim"),"REVISAR VÍNCULO: destinador diferente do MTR",IF(X795=1,"Destinador diferente do MTR (analisado)","OK")))))))</f>
        <v/>
      </c>
      <c r="N795" s="96">
        <f>IF(COUNTA(B795:C795,F795:G795,J795:K795)&gt;0,1,0)</f>
        <v>0</v>
      </c>
      <c r="O795" s="96" t="str">
        <f>IF(B795="","",TRIM(LEFT(B795,FIND(" |",B795&amp;" |")-1)))</f>
        <v/>
      </c>
      <c r="P795" s="96" t="str">
        <f>IF(O795="","",IFERROR(MATCH(O795,'CDFs'!$A$6:$A$505,0),""))</f>
        <v/>
      </c>
      <c r="Q795" s="96">
        <f>IF(P795="",0,IF(INDEX('CDFs'!$S$6:$S$505,P795)=1,1,0))</f>
        <v>0</v>
      </c>
      <c r="R795" s="96" t="str">
        <f>IF(C795="","",TRIM(LEFT(C795,FIND(" |",C795&amp;" |")-1)))</f>
        <v/>
      </c>
      <c r="S795" s="96" t="str">
        <f>IF(R795="","",IFERROR(MATCH(R795,'ITENS_MTR'!$A$6:$A$1005,0),""))</f>
        <v/>
      </c>
      <c r="T795" s="96">
        <f>IF(S795="",0,IF(INDEX('ITENS_MTR'!$R$6:$R$1005,S795)=1,1,0))</f>
        <v>0</v>
      </c>
      <c r="U795" s="96" t="str">
        <f>IF(G795="","",IFERROR(IF(ISNUMBER(INDEX(cfg_fac,MATCH(G795,cfg_units,0))),IF(INDEX(cfg_fac,MATCH(G795,cfg_units,0))&gt;0,INDEX(cfg_fac,MATCH(G795,cfg_units,0)),""),""),""))</f>
        <v/>
      </c>
      <c r="V795" s="96">
        <f>IF(AND(ISNUMBER(F795),ISNUMBER(H795)),IF(H795&gt;0,1,0),0)</f>
        <v>0</v>
      </c>
      <c r="W795" s="96" t="str">
        <f>IF(T795=1,INDEX('ITENS_MTR'!$AU$6:$AU$1005,S795)&amp;"","")</f>
        <v/>
      </c>
      <c r="X795" s="96">
        <f>IF(AND(Q795=1,T795=1,I795&lt;&gt;"",W795&lt;&gt;""),IF(I795&lt;&gt;W795,1,0),0)</f>
        <v>0</v>
      </c>
      <c r="Y795" s="96">
        <f>IF(N795=0,0,IF(OR(Q795=0,T795=0,V795=0,AND(X795=1,J795&lt;&gt;"Sim")),1,0))</f>
        <v>0</v>
      </c>
      <c r="Z795" s="96">
        <f>IF(Q795=1,INDEX('CDFs'!$W$6:$W$505,P795),0)</f>
        <v>0</v>
      </c>
      <c r="AA795" s="96">
        <f>IF(AND(N795=1,Y795=0,Z795=1,J795="Sim"),1,0)</f>
        <v>0</v>
      </c>
      <c r="AB795" s="96">
        <f>IF(AND(N795=1,O795&lt;&gt;"",D795&lt;&gt;""),IF(COUNTIFS($O$6:O795,O795,$D$6:D795,D795)=1,1,0),0)</f>
        <v>0</v>
      </c>
      <c r="AC795" s="96">
        <f>IF(T795=1,INDEX('ITENS_MTR'!$AL$6:$AL$1005,S795),0)</f>
        <v>0</v>
      </c>
    </row>
    <row r="796">
      <c r="A796" s="89" t="inlineStr">
        <is>
          <t>VIN-000791</t>
        </is>
      </c>
      <c r="B796" s="91" t="n"/>
      <c r="C796" s="91" t="n"/>
      <c r="D796" s="94" t="str">
        <f>IF(T796=1,INDEX('ITENS_MTR'!$S$6:$S$1005,S796)&amp;"","")</f>
        <v/>
      </c>
      <c r="E796" s="94" t="str">
        <f>IF(T796=1,INDEX('ITENS_MTR'!$C$6:$C$1005,S796)&amp;"","")</f>
        <v/>
      </c>
      <c r="F796" s="98" t="n"/>
      <c r="G796" s="91" t="n"/>
      <c r="H796" s="93" t="str">
        <f>IF(N796=0,"",IF(NOT(ISNUMBER(F796)),"",IF(ISNUMBER(U796),F796*U796,"UNIDADE A CONFERIR")))</f>
        <v/>
      </c>
      <c r="I796" s="94" t="str">
        <f>IF(Q796=1,INDEX('CDFs'!$F$6:$F$505,P796)&amp;"","")</f>
        <v/>
      </c>
      <c r="J796" s="91" t="n"/>
      <c r="K796" s="91" t="n"/>
      <c r="L796" s="94" t="str">
        <f>IF(N796=0,"",IF(NOT(ISNUMBER(F796)),"Quantidade não informada",IF(F796&lt;=0,"Quantidade não positiva",IF(G796="","Unidade não informada",IF(NOT(ISNUMBER(H796)),"Unidade a conferir",IF(AC796=1,"REVISAR VÍNCULO: soma vinculada maior que a referência do item","OK"))))))</f>
        <v/>
      </c>
      <c r="M796" s="94" t="str">
        <f>IF(N796=0,"",IF(B796="","CDF não informado",IF(Q796=0,"REVISAR VÍNCULO: CDF inexistente",IF(C796="","Item não informado",IF(T796=0,"REVISAR VÍNCULO: item inexistente",IF(AND(X796=1,J796&lt;&gt;"Sim"),"REVISAR VÍNCULO: destinador diferente do MTR",IF(X796=1,"Destinador diferente do MTR (analisado)","OK")))))))</f>
        <v/>
      </c>
      <c r="N796" s="96">
        <f>IF(COUNTA(B796:C796,F796:G796,J796:K796)&gt;0,1,0)</f>
        <v>0</v>
      </c>
      <c r="O796" s="96" t="str">
        <f>IF(B796="","",TRIM(LEFT(B796,FIND(" |",B796&amp;" |")-1)))</f>
        <v/>
      </c>
      <c r="P796" s="96" t="str">
        <f>IF(O796="","",IFERROR(MATCH(O796,'CDFs'!$A$6:$A$505,0),""))</f>
        <v/>
      </c>
      <c r="Q796" s="96">
        <f>IF(P796="",0,IF(INDEX('CDFs'!$S$6:$S$505,P796)=1,1,0))</f>
        <v>0</v>
      </c>
      <c r="R796" s="96" t="str">
        <f>IF(C796="","",TRIM(LEFT(C796,FIND(" |",C796&amp;" |")-1)))</f>
        <v/>
      </c>
      <c r="S796" s="96" t="str">
        <f>IF(R796="","",IFERROR(MATCH(R796,'ITENS_MTR'!$A$6:$A$1005,0),""))</f>
        <v/>
      </c>
      <c r="T796" s="96">
        <f>IF(S796="",0,IF(INDEX('ITENS_MTR'!$R$6:$R$1005,S796)=1,1,0))</f>
        <v>0</v>
      </c>
      <c r="U796" s="96" t="str">
        <f>IF(G796="","",IFERROR(IF(ISNUMBER(INDEX(cfg_fac,MATCH(G796,cfg_units,0))),IF(INDEX(cfg_fac,MATCH(G796,cfg_units,0))&gt;0,INDEX(cfg_fac,MATCH(G796,cfg_units,0)),""),""),""))</f>
        <v/>
      </c>
      <c r="V796" s="96">
        <f>IF(AND(ISNUMBER(F796),ISNUMBER(H796)),IF(H796&gt;0,1,0),0)</f>
        <v>0</v>
      </c>
      <c r="W796" s="96" t="str">
        <f>IF(T796=1,INDEX('ITENS_MTR'!$AU$6:$AU$1005,S796)&amp;"","")</f>
        <v/>
      </c>
      <c r="X796" s="96">
        <f>IF(AND(Q796=1,T796=1,I796&lt;&gt;"",W796&lt;&gt;""),IF(I796&lt;&gt;W796,1,0),0)</f>
        <v>0</v>
      </c>
      <c r="Y796" s="96">
        <f>IF(N796=0,0,IF(OR(Q796=0,T796=0,V796=0,AND(X796=1,J796&lt;&gt;"Sim")),1,0))</f>
        <v>0</v>
      </c>
      <c r="Z796" s="96">
        <f>IF(Q796=1,INDEX('CDFs'!$W$6:$W$505,P796),0)</f>
        <v>0</v>
      </c>
      <c r="AA796" s="96">
        <f>IF(AND(N796=1,Y796=0,Z796=1,J796="Sim"),1,0)</f>
        <v>0</v>
      </c>
      <c r="AB796" s="96">
        <f>IF(AND(N796=1,O796&lt;&gt;"",D796&lt;&gt;""),IF(COUNTIFS($O$6:O796,O796,$D$6:D796,D796)=1,1,0),0)</f>
        <v>0</v>
      </c>
      <c r="AC796" s="96">
        <f>IF(T796=1,INDEX('ITENS_MTR'!$AL$6:$AL$1005,S796),0)</f>
        <v>0</v>
      </c>
    </row>
    <row r="797">
      <c r="A797" s="89" t="inlineStr">
        <is>
          <t>VIN-000792</t>
        </is>
      </c>
      <c r="B797" s="91" t="n"/>
      <c r="C797" s="91" t="n"/>
      <c r="D797" s="94" t="str">
        <f>IF(T797=1,INDEX('ITENS_MTR'!$S$6:$S$1005,S797)&amp;"","")</f>
        <v/>
      </c>
      <c r="E797" s="94" t="str">
        <f>IF(T797=1,INDEX('ITENS_MTR'!$C$6:$C$1005,S797)&amp;"","")</f>
        <v/>
      </c>
      <c r="F797" s="98" t="n"/>
      <c r="G797" s="91" t="n"/>
      <c r="H797" s="93" t="str">
        <f>IF(N797=0,"",IF(NOT(ISNUMBER(F797)),"",IF(ISNUMBER(U797),F797*U797,"UNIDADE A CONFERIR")))</f>
        <v/>
      </c>
      <c r="I797" s="94" t="str">
        <f>IF(Q797=1,INDEX('CDFs'!$F$6:$F$505,P797)&amp;"","")</f>
        <v/>
      </c>
      <c r="J797" s="91" t="n"/>
      <c r="K797" s="91" t="n"/>
      <c r="L797" s="94" t="str">
        <f>IF(N797=0,"",IF(NOT(ISNUMBER(F797)),"Quantidade não informada",IF(F797&lt;=0,"Quantidade não positiva",IF(G797="","Unidade não informada",IF(NOT(ISNUMBER(H797)),"Unidade a conferir",IF(AC797=1,"REVISAR VÍNCULO: soma vinculada maior que a referência do item","OK"))))))</f>
        <v/>
      </c>
      <c r="M797" s="94" t="str">
        <f>IF(N797=0,"",IF(B797="","CDF não informado",IF(Q797=0,"REVISAR VÍNCULO: CDF inexistente",IF(C797="","Item não informado",IF(T797=0,"REVISAR VÍNCULO: item inexistente",IF(AND(X797=1,J797&lt;&gt;"Sim"),"REVISAR VÍNCULO: destinador diferente do MTR",IF(X797=1,"Destinador diferente do MTR (analisado)","OK")))))))</f>
        <v/>
      </c>
      <c r="N797" s="96">
        <f>IF(COUNTA(B797:C797,F797:G797,J797:K797)&gt;0,1,0)</f>
        <v>0</v>
      </c>
      <c r="O797" s="96" t="str">
        <f>IF(B797="","",TRIM(LEFT(B797,FIND(" |",B797&amp;" |")-1)))</f>
        <v/>
      </c>
      <c r="P797" s="96" t="str">
        <f>IF(O797="","",IFERROR(MATCH(O797,'CDFs'!$A$6:$A$505,0),""))</f>
        <v/>
      </c>
      <c r="Q797" s="96">
        <f>IF(P797="",0,IF(INDEX('CDFs'!$S$6:$S$505,P797)=1,1,0))</f>
        <v>0</v>
      </c>
      <c r="R797" s="96" t="str">
        <f>IF(C797="","",TRIM(LEFT(C797,FIND(" |",C797&amp;" |")-1)))</f>
        <v/>
      </c>
      <c r="S797" s="96" t="str">
        <f>IF(R797="","",IFERROR(MATCH(R797,'ITENS_MTR'!$A$6:$A$1005,0),""))</f>
        <v/>
      </c>
      <c r="T797" s="96">
        <f>IF(S797="",0,IF(INDEX('ITENS_MTR'!$R$6:$R$1005,S797)=1,1,0))</f>
        <v>0</v>
      </c>
      <c r="U797" s="96" t="str">
        <f>IF(G797="","",IFERROR(IF(ISNUMBER(INDEX(cfg_fac,MATCH(G797,cfg_units,0))),IF(INDEX(cfg_fac,MATCH(G797,cfg_units,0))&gt;0,INDEX(cfg_fac,MATCH(G797,cfg_units,0)),""),""),""))</f>
        <v/>
      </c>
      <c r="V797" s="96">
        <f>IF(AND(ISNUMBER(F797),ISNUMBER(H797)),IF(H797&gt;0,1,0),0)</f>
        <v>0</v>
      </c>
      <c r="W797" s="96" t="str">
        <f>IF(T797=1,INDEX('ITENS_MTR'!$AU$6:$AU$1005,S797)&amp;"","")</f>
        <v/>
      </c>
      <c r="X797" s="96">
        <f>IF(AND(Q797=1,T797=1,I797&lt;&gt;"",W797&lt;&gt;""),IF(I797&lt;&gt;W797,1,0),0)</f>
        <v>0</v>
      </c>
      <c r="Y797" s="96">
        <f>IF(N797=0,0,IF(OR(Q797=0,T797=0,V797=0,AND(X797=1,J797&lt;&gt;"Sim")),1,0))</f>
        <v>0</v>
      </c>
      <c r="Z797" s="96">
        <f>IF(Q797=1,INDEX('CDFs'!$W$6:$W$505,P797),0)</f>
        <v>0</v>
      </c>
      <c r="AA797" s="96">
        <f>IF(AND(N797=1,Y797=0,Z797=1,J797="Sim"),1,0)</f>
        <v>0</v>
      </c>
      <c r="AB797" s="96">
        <f>IF(AND(N797=1,O797&lt;&gt;"",D797&lt;&gt;""),IF(COUNTIFS($O$6:O797,O797,$D$6:D797,D797)=1,1,0),0)</f>
        <v>0</v>
      </c>
      <c r="AC797" s="96">
        <f>IF(T797=1,INDEX('ITENS_MTR'!$AL$6:$AL$1005,S797),0)</f>
        <v>0</v>
      </c>
    </row>
    <row r="798">
      <c r="A798" s="89" t="inlineStr">
        <is>
          <t>VIN-000793</t>
        </is>
      </c>
      <c r="B798" s="91" t="n"/>
      <c r="C798" s="91" t="n"/>
      <c r="D798" s="94" t="str">
        <f>IF(T798=1,INDEX('ITENS_MTR'!$S$6:$S$1005,S798)&amp;"","")</f>
        <v/>
      </c>
      <c r="E798" s="94" t="str">
        <f>IF(T798=1,INDEX('ITENS_MTR'!$C$6:$C$1005,S798)&amp;"","")</f>
        <v/>
      </c>
      <c r="F798" s="98" t="n"/>
      <c r="G798" s="91" t="n"/>
      <c r="H798" s="93" t="str">
        <f>IF(N798=0,"",IF(NOT(ISNUMBER(F798)),"",IF(ISNUMBER(U798),F798*U798,"UNIDADE A CONFERIR")))</f>
        <v/>
      </c>
      <c r="I798" s="94" t="str">
        <f>IF(Q798=1,INDEX('CDFs'!$F$6:$F$505,P798)&amp;"","")</f>
        <v/>
      </c>
      <c r="J798" s="91" t="n"/>
      <c r="K798" s="91" t="n"/>
      <c r="L798" s="94" t="str">
        <f>IF(N798=0,"",IF(NOT(ISNUMBER(F798)),"Quantidade não informada",IF(F798&lt;=0,"Quantidade não positiva",IF(G798="","Unidade não informada",IF(NOT(ISNUMBER(H798)),"Unidade a conferir",IF(AC798=1,"REVISAR VÍNCULO: soma vinculada maior que a referência do item","OK"))))))</f>
        <v/>
      </c>
      <c r="M798" s="94" t="str">
        <f>IF(N798=0,"",IF(B798="","CDF não informado",IF(Q798=0,"REVISAR VÍNCULO: CDF inexistente",IF(C798="","Item não informado",IF(T798=0,"REVISAR VÍNCULO: item inexistente",IF(AND(X798=1,J798&lt;&gt;"Sim"),"REVISAR VÍNCULO: destinador diferente do MTR",IF(X798=1,"Destinador diferente do MTR (analisado)","OK")))))))</f>
        <v/>
      </c>
      <c r="N798" s="96">
        <f>IF(COUNTA(B798:C798,F798:G798,J798:K798)&gt;0,1,0)</f>
        <v>0</v>
      </c>
      <c r="O798" s="96" t="str">
        <f>IF(B798="","",TRIM(LEFT(B798,FIND(" |",B798&amp;" |")-1)))</f>
        <v/>
      </c>
      <c r="P798" s="96" t="str">
        <f>IF(O798="","",IFERROR(MATCH(O798,'CDFs'!$A$6:$A$505,0),""))</f>
        <v/>
      </c>
      <c r="Q798" s="96">
        <f>IF(P798="",0,IF(INDEX('CDFs'!$S$6:$S$505,P798)=1,1,0))</f>
        <v>0</v>
      </c>
      <c r="R798" s="96" t="str">
        <f>IF(C798="","",TRIM(LEFT(C798,FIND(" |",C798&amp;" |")-1)))</f>
        <v/>
      </c>
      <c r="S798" s="96" t="str">
        <f>IF(R798="","",IFERROR(MATCH(R798,'ITENS_MTR'!$A$6:$A$1005,0),""))</f>
        <v/>
      </c>
      <c r="T798" s="96">
        <f>IF(S798="",0,IF(INDEX('ITENS_MTR'!$R$6:$R$1005,S798)=1,1,0))</f>
        <v>0</v>
      </c>
      <c r="U798" s="96" t="str">
        <f>IF(G798="","",IFERROR(IF(ISNUMBER(INDEX(cfg_fac,MATCH(G798,cfg_units,0))),IF(INDEX(cfg_fac,MATCH(G798,cfg_units,0))&gt;0,INDEX(cfg_fac,MATCH(G798,cfg_units,0)),""),""),""))</f>
        <v/>
      </c>
      <c r="V798" s="96">
        <f>IF(AND(ISNUMBER(F798),ISNUMBER(H798)),IF(H798&gt;0,1,0),0)</f>
        <v>0</v>
      </c>
      <c r="W798" s="96" t="str">
        <f>IF(T798=1,INDEX('ITENS_MTR'!$AU$6:$AU$1005,S798)&amp;"","")</f>
        <v/>
      </c>
      <c r="X798" s="96">
        <f>IF(AND(Q798=1,T798=1,I798&lt;&gt;"",W798&lt;&gt;""),IF(I798&lt;&gt;W798,1,0),0)</f>
        <v>0</v>
      </c>
      <c r="Y798" s="96">
        <f>IF(N798=0,0,IF(OR(Q798=0,T798=0,V798=0,AND(X798=1,J798&lt;&gt;"Sim")),1,0))</f>
        <v>0</v>
      </c>
      <c r="Z798" s="96">
        <f>IF(Q798=1,INDEX('CDFs'!$W$6:$W$505,P798),0)</f>
        <v>0</v>
      </c>
      <c r="AA798" s="96">
        <f>IF(AND(N798=1,Y798=0,Z798=1,J798="Sim"),1,0)</f>
        <v>0</v>
      </c>
      <c r="AB798" s="96">
        <f>IF(AND(N798=1,O798&lt;&gt;"",D798&lt;&gt;""),IF(COUNTIFS($O$6:O798,O798,$D$6:D798,D798)=1,1,0),0)</f>
        <v>0</v>
      </c>
      <c r="AC798" s="96">
        <f>IF(T798=1,INDEX('ITENS_MTR'!$AL$6:$AL$1005,S798),0)</f>
        <v>0</v>
      </c>
    </row>
    <row r="799">
      <c r="A799" s="89" t="inlineStr">
        <is>
          <t>VIN-000794</t>
        </is>
      </c>
      <c r="B799" s="91" t="n"/>
      <c r="C799" s="91" t="n"/>
      <c r="D799" s="94" t="str">
        <f>IF(T799=1,INDEX('ITENS_MTR'!$S$6:$S$1005,S799)&amp;"","")</f>
        <v/>
      </c>
      <c r="E799" s="94" t="str">
        <f>IF(T799=1,INDEX('ITENS_MTR'!$C$6:$C$1005,S799)&amp;"","")</f>
        <v/>
      </c>
      <c r="F799" s="98" t="n"/>
      <c r="G799" s="91" t="n"/>
      <c r="H799" s="93" t="str">
        <f>IF(N799=0,"",IF(NOT(ISNUMBER(F799)),"",IF(ISNUMBER(U799),F799*U799,"UNIDADE A CONFERIR")))</f>
        <v/>
      </c>
      <c r="I799" s="94" t="str">
        <f>IF(Q799=1,INDEX('CDFs'!$F$6:$F$505,P799)&amp;"","")</f>
        <v/>
      </c>
      <c r="J799" s="91" t="n"/>
      <c r="K799" s="91" t="n"/>
      <c r="L799" s="94" t="str">
        <f>IF(N799=0,"",IF(NOT(ISNUMBER(F799)),"Quantidade não informada",IF(F799&lt;=0,"Quantidade não positiva",IF(G799="","Unidade não informada",IF(NOT(ISNUMBER(H799)),"Unidade a conferir",IF(AC799=1,"REVISAR VÍNCULO: soma vinculada maior que a referência do item","OK"))))))</f>
        <v/>
      </c>
      <c r="M799" s="94" t="str">
        <f>IF(N799=0,"",IF(B799="","CDF não informado",IF(Q799=0,"REVISAR VÍNCULO: CDF inexistente",IF(C799="","Item não informado",IF(T799=0,"REVISAR VÍNCULO: item inexistente",IF(AND(X799=1,J799&lt;&gt;"Sim"),"REVISAR VÍNCULO: destinador diferente do MTR",IF(X799=1,"Destinador diferente do MTR (analisado)","OK")))))))</f>
        <v/>
      </c>
      <c r="N799" s="96">
        <f>IF(COUNTA(B799:C799,F799:G799,J799:K799)&gt;0,1,0)</f>
        <v>0</v>
      </c>
      <c r="O799" s="96" t="str">
        <f>IF(B799="","",TRIM(LEFT(B799,FIND(" |",B799&amp;" |")-1)))</f>
        <v/>
      </c>
      <c r="P799" s="96" t="str">
        <f>IF(O799="","",IFERROR(MATCH(O799,'CDFs'!$A$6:$A$505,0),""))</f>
        <v/>
      </c>
      <c r="Q799" s="96">
        <f>IF(P799="",0,IF(INDEX('CDFs'!$S$6:$S$505,P799)=1,1,0))</f>
        <v>0</v>
      </c>
      <c r="R799" s="96" t="str">
        <f>IF(C799="","",TRIM(LEFT(C799,FIND(" |",C799&amp;" |")-1)))</f>
        <v/>
      </c>
      <c r="S799" s="96" t="str">
        <f>IF(R799="","",IFERROR(MATCH(R799,'ITENS_MTR'!$A$6:$A$1005,0),""))</f>
        <v/>
      </c>
      <c r="T799" s="96">
        <f>IF(S799="",0,IF(INDEX('ITENS_MTR'!$R$6:$R$1005,S799)=1,1,0))</f>
        <v>0</v>
      </c>
      <c r="U799" s="96" t="str">
        <f>IF(G799="","",IFERROR(IF(ISNUMBER(INDEX(cfg_fac,MATCH(G799,cfg_units,0))),IF(INDEX(cfg_fac,MATCH(G799,cfg_units,0))&gt;0,INDEX(cfg_fac,MATCH(G799,cfg_units,0)),""),""),""))</f>
        <v/>
      </c>
      <c r="V799" s="96">
        <f>IF(AND(ISNUMBER(F799),ISNUMBER(H799)),IF(H799&gt;0,1,0),0)</f>
        <v>0</v>
      </c>
      <c r="W799" s="96" t="str">
        <f>IF(T799=1,INDEX('ITENS_MTR'!$AU$6:$AU$1005,S799)&amp;"","")</f>
        <v/>
      </c>
      <c r="X799" s="96">
        <f>IF(AND(Q799=1,T799=1,I799&lt;&gt;"",W799&lt;&gt;""),IF(I799&lt;&gt;W799,1,0),0)</f>
        <v>0</v>
      </c>
      <c r="Y799" s="96">
        <f>IF(N799=0,0,IF(OR(Q799=0,T799=0,V799=0,AND(X799=1,J799&lt;&gt;"Sim")),1,0))</f>
        <v>0</v>
      </c>
      <c r="Z799" s="96">
        <f>IF(Q799=1,INDEX('CDFs'!$W$6:$W$505,P799),0)</f>
        <v>0</v>
      </c>
      <c r="AA799" s="96">
        <f>IF(AND(N799=1,Y799=0,Z799=1,J799="Sim"),1,0)</f>
        <v>0</v>
      </c>
      <c r="AB799" s="96">
        <f>IF(AND(N799=1,O799&lt;&gt;"",D799&lt;&gt;""),IF(COUNTIFS($O$6:O799,O799,$D$6:D799,D799)=1,1,0),0)</f>
        <v>0</v>
      </c>
      <c r="AC799" s="96">
        <f>IF(T799=1,INDEX('ITENS_MTR'!$AL$6:$AL$1005,S799),0)</f>
        <v>0</v>
      </c>
    </row>
    <row r="800">
      <c r="A800" s="89" t="inlineStr">
        <is>
          <t>VIN-000795</t>
        </is>
      </c>
      <c r="B800" s="91" t="n"/>
      <c r="C800" s="91" t="n"/>
      <c r="D800" s="94" t="str">
        <f>IF(T800=1,INDEX('ITENS_MTR'!$S$6:$S$1005,S800)&amp;"","")</f>
        <v/>
      </c>
      <c r="E800" s="94" t="str">
        <f>IF(T800=1,INDEX('ITENS_MTR'!$C$6:$C$1005,S800)&amp;"","")</f>
        <v/>
      </c>
      <c r="F800" s="98" t="n"/>
      <c r="G800" s="91" t="n"/>
      <c r="H800" s="93" t="str">
        <f>IF(N800=0,"",IF(NOT(ISNUMBER(F800)),"",IF(ISNUMBER(U800),F800*U800,"UNIDADE A CONFERIR")))</f>
        <v/>
      </c>
      <c r="I800" s="94" t="str">
        <f>IF(Q800=1,INDEX('CDFs'!$F$6:$F$505,P800)&amp;"","")</f>
        <v/>
      </c>
      <c r="J800" s="91" t="n"/>
      <c r="K800" s="91" t="n"/>
      <c r="L800" s="94" t="str">
        <f>IF(N800=0,"",IF(NOT(ISNUMBER(F800)),"Quantidade não informada",IF(F800&lt;=0,"Quantidade não positiva",IF(G800="","Unidade não informada",IF(NOT(ISNUMBER(H800)),"Unidade a conferir",IF(AC800=1,"REVISAR VÍNCULO: soma vinculada maior que a referência do item","OK"))))))</f>
        <v/>
      </c>
      <c r="M800" s="94" t="str">
        <f>IF(N800=0,"",IF(B800="","CDF não informado",IF(Q800=0,"REVISAR VÍNCULO: CDF inexistente",IF(C800="","Item não informado",IF(T800=0,"REVISAR VÍNCULO: item inexistente",IF(AND(X800=1,J800&lt;&gt;"Sim"),"REVISAR VÍNCULO: destinador diferente do MTR",IF(X800=1,"Destinador diferente do MTR (analisado)","OK")))))))</f>
        <v/>
      </c>
      <c r="N800" s="96">
        <f>IF(COUNTA(B800:C800,F800:G800,J800:K800)&gt;0,1,0)</f>
        <v>0</v>
      </c>
      <c r="O800" s="96" t="str">
        <f>IF(B800="","",TRIM(LEFT(B800,FIND(" |",B800&amp;" |")-1)))</f>
        <v/>
      </c>
      <c r="P800" s="96" t="str">
        <f>IF(O800="","",IFERROR(MATCH(O800,'CDFs'!$A$6:$A$505,0),""))</f>
        <v/>
      </c>
      <c r="Q800" s="96">
        <f>IF(P800="",0,IF(INDEX('CDFs'!$S$6:$S$505,P800)=1,1,0))</f>
        <v>0</v>
      </c>
      <c r="R800" s="96" t="str">
        <f>IF(C800="","",TRIM(LEFT(C800,FIND(" |",C800&amp;" |")-1)))</f>
        <v/>
      </c>
      <c r="S800" s="96" t="str">
        <f>IF(R800="","",IFERROR(MATCH(R800,'ITENS_MTR'!$A$6:$A$1005,0),""))</f>
        <v/>
      </c>
      <c r="T800" s="96">
        <f>IF(S800="",0,IF(INDEX('ITENS_MTR'!$R$6:$R$1005,S800)=1,1,0))</f>
        <v>0</v>
      </c>
      <c r="U800" s="96" t="str">
        <f>IF(G800="","",IFERROR(IF(ISNUMBER(INDEX(cfg_fac,MATCH(G800,cfg_units,0))),IF(INDEX(cfg_fac,MATCH(G800,cfg_units,0))&gt;0,INDEX(cfg_fac,MATCH(G800,cfg_units,0)),""),""),""))</f>
        <v/>
      </c>
      <c r="V800" s="96">
        <f>IF(AND(ISNUMBER(F800),ISNUMBER(H800)),IF(H800&gt;0,1,0),0)</f>
        <v>0</v>
      </c>
      <c r="W800" s="96" t="str">
        <f>IF(T800=1,INDEX('ITENS_MTR'!$AU$6:$AU$1005,S800)&amp;"","")</f>
        <v/>
      </c>
      <c r="X800" s="96">
        <f>IF(AND(Q800=1,T800=1,I800&lt;&gt;"",W800&lt;&gt;""),IF(I800&lt;&gt;W800,1,0),0)</f>
        <v>0</v>
      </c>
      <c r="Y800" s="96">
        <f>IF(N800=0,0,IF(OR(Q800=0,T800=0,V800=0,AND(X800=1,J800&lt;&gt;"Sim")),1,0))</f>
        <v>0</v>
      </c>
      <c r="Z800" s="96">
        <f>IF(Q800=1,INDEX('CDFs'!$W$6:$W$505,P800),0)</f>
        <v>0</v>
      </c>
      <c r="AA800" s="96">
        <f>IF(AND(N800=1,Y800=0,Z800=1,J800="Sim"),1,0)</f>
        <v>0</v>
      </c>
      <c r="AB800" s="96">
        <f>IF(AND(N800=1,O800&lt;&gt;"",D800&lt;&gt;""),IF(COUNTIFS($O$6:O800,O800,$D$6:D800,D800)=1,1,0),0)</f>
        <v>0</v>
      </c>
      <c r="AC800" s="96">
        <f>IF(T800=1,INDEX('ITENS_MTR'!$AL$6:$AL$1005,S800),0)</f>
        <v>0</v>
      </c>
    </row>
    <row r="801">
      <c r="A801" s="89" t="inlineStr">
        <is>
          <t>VIN-000796</t>
        </is>
      </c>
      <c r="B801" s="91" t="n"/>
      <c r="C801" s="91" t="n"/>
      <c r="D801" s="94" t="str">
        <f>IF(T801=1,INDEX('ITENS_MTR'!$S$6:$S$1005,S801)&amp;"","")</f>
        <v/>
      </c>
      <c r="E801" s="94" t="str">
        <f>IF(T801=1,INDEX('ITENS_MTR'!$C$6:$C$1005,S801)&amp;"","")</f>
        <v/>
      </c>
      <c r="F801" s="98" t="n"/>
      <c r="G801" s="91" t="n"/>
      <c r="H801" s="93" t="str">
        <f>IF(N801=0,"",IF(NOT(ISNUMBER(F801)),"",IF(ISNUMBER(U801),F801*U801,"UNIDADE A CONFERIR")))</f>
        <v/>
      </c>
      <c r="I801" s="94" t="str">
        <f>IF(Q801=1,INDEX('CDFs'!$F$6:$F$505,P801)&amp;"","")</f>
        <v/>
      </c>
      <c r="J801" s="91" t="n"/>
      <c r="K801" s="91" t="n"/>
      <c r="L801" s="94" t="str">
        <f>IF(N801=0,"",IF(NOT(ISNUMBER(F801)),"Quantidade não informada",IF(F801&lt;=0,"Quantidade não positiva",IF(G801="","Unidade não informada",IF(NOT(ISNUMBER(H801)),"Unidade a conferir",IF(AC801=1,"REVISAR VÍNCULO: soma vinculada maior que a referência do item","OK"))))))</f>
        <v/>
      </c>
      <c r="M801" s="94" t="str">
        <f>IF(N801=0,"",IF(B801="","CDF não informado",IF(Q801=0,"REVISAR VÍNCULO: CDF inexistente",IF(C801="","Item não informado",IF(T801=0,"REVISAR VÍNCULO: item inexistente",IF(AND(X801=1,J801&lt;&gt;"Sim"),"REVISAR VÍNCULO: destinador diferente do MTR",IF(X801=1,"Destinador diferente do MTR (analisado)","OK")))))))</f>
        <v/>
      </c>
      <c r="N801" s="96">
        <f>IF(COUNTA(B801:C801,F801:G801,J801:K801)&gt;0,1,0)</f>
        <v>0</v>
      </c>
      <c r="O801" s="96" t="str">
        <f>IF(B801="","",TRIM(LEFT(B801,FIND(" |",B801&amp;" |")-1)))</f>
        <v/>
      </c>
      <c r="P801" s="96" t="str">
        <f>IF(O801="","",IFERROR(MATCH(O801,'CDFs'!$A$6:$A$505,0),""))</f>
        <v/>
      </c>
      <c r="Q801" s="96">
        <f>IF(P801="",0,IF(INDEX('CDFs'!$S$6:$S$505,P801)=1,1,0))</f>
        <v>0</v>
      </c>
      <c r="R801" s="96" t="str">
        <f>IF(C801="","",TRIM(LEFT(C801,FIND(" |",C801&amp;" |")-1)))</f>
        <v/>
      </c>
      <c r="S801" s="96" t="str">
        <f>IF(R801="","",IFERROR(MATCH(R801,'ITENS_MTR'!$A$6:$A$1005,0),""))</f>
        <v/>
      </c>
      <c r="T801" s="96">
        <f>IF(S801="",0,IF(INDEX('ITENS_MTR'!$R$6:$R$1005,S801)=1,1,0))</f>
        <v>0</v>
      </c>
      <c r="U801" s="96" t="str">
        <f>IF(G801="","",IFERROR(IF(ISNUMBER(INDEX(cfg_fac,MATCH(G801,cfg_units,0))),IF(INDEX(cfg_fac,MATCH(G801,cfg_units,0))&gt;0,INDEX(cfg_fac,MATCH(G801,cfg_units,0)),""),""),""))</f>
        <v/>
      </c>
      <c r="V801" s="96">
        <f>IF(AND(ISNUMBER(F801),ISNUMBER(H801)),IF(H801&gt;0,1,0),0)</f>
        <v>0</v>
      </c>
      <c r="W801" s="96" t="str">
        <f>IF(T801=1,INDEX('ITENS_MTR'!$AU$6:$AU$1005,S801)&amp;"","")</f>
        <v/>
      </c>
      <c r="X801" s="96">
        <f>IF(AND(Q801=1,T801=1,I801&lt;&gt;"",W801&lt;&gt;""),IF(I801&lt;&gt;W801,1,0),0)</f>
        <v>0</v>
      </c>
      <c r="Y801" s="96">
        <f>IF(N801=0,0,IF(OR(Q801=0,T801=0,V801=0,AND(X801=1,J801&lt;&gt;"Sim")),1,0))</f>
        <v>0</v>
      </c>
      <c r="Z801" s="96">
        <f>IF(Q801=1,INDEX('CDFs'!$W$6:$W$505,P801),0)</f>
        <v>0</v>
      </c>
      <c r="AA801" s="96">
        <f>IF(AND(N801=1,Y801=0,Z801=1,J801="Sim"),1,0)</f>
        <v>0</v>
      </c>
      <c r="AB801" s="96">
        <f>IF(AND(N801=1,O801&lt;&gt;"",D801&lt;&gt;""),IF(COUNTIFS($O$6:O801,O801,$D$6:D801,D801)=1,1,0),0)</f>
        <v>0</v>
      </c>
      <c r="AC801" s="96">
        <f>IF(T801=1,INDEX('ITENS_MTR'!$AL$6:$AL$1005,S801),0)</f>
        <v>0</v>
      </c>
    </row>
    <row r="802">
      <c r="A802" s="89" t="inlineStr">
        <is>
          <t>VIN-000797</t>
        </is>
      </c>
      <c r="B802" s="91" t="n"/>
      <c r="C802" s="91" t="n"/>
      <c r="D802" s="94" t="str">
        <f>IF(T802=1,INDEX('ITENS_MTR'!$S$6:$S$1005,S802)&amp;"","")</f>
        <v/>
      </c>
      <c r="E802" s="94" t="str">
        <f>IF(T802=1,INDEX('ITENS_MTR'!$C$6:$C$1005,S802)&amp;"","")</f>
        <v/>
      </c>
      <c r="F802" s="98" t="n"/>
      <c r="G802" s="91" t="n"/>
      <c r="H802" s="93" t="str">
        <f>IF(N802=0,"",IF(NOT(ISNUMBER(F802)),"",IF(ISNUMBER(U802),F802*U802,"UNIDADE A CONFERIR")))</f>
        <v/>
      </c>
      <c r="I802" s="94" t="str">
        <f>IF(Q802=1,INDEX('CDFs'!$F$6:$F$505,P802)&amp;"","")</f>
        <v/>
      </c>
      <c r="J802" s="91" t="n"/>
      <c r="K802" s="91" t="n"/>
      <c r="L802" s="94" t="str">
        <f>IF(N802=0,"",IF(NOT(ISNUMBER(F802)),"Quantidade não informada",IF(F802&lt;=0,"Quantidade não positiva",IF(G802="","Unidade não informada",IF(NOT(ISNUMBER(H802)),"Unidade a conferir",IF(AC802=1,"REVISAR VÍNCULO: soma vinculada maior que a referência do item","OK"))))))</f>
        <v/>
      </c>
      <c r="M802" s="94" t="str">
        <f>IF(N802=0,"",IF(B802="","CDF não informado",IF(Q802=0,"REVISAR VÍNCULO: CDF inexistente",IF(C802="","Item não informado",IF(T802=0,"REVISAR VÍNCULO: item inexistente",IF(AND(X802=1,J802&lt;&gt;"Sim"),"REVISAR VÍNCULO: destinador diferente do MTR",IF(X802=1,"Destinador diferente do MTR (analisado)","OK")))))))</f>
        <v/>
      </c>
      <c r="N802" s="96">
        <f>IF(COUNTA(B802:C802,F802:G802,J802:K802)&gt;0,1,0)</f>
        <v>0</v>
      </c>
      <c r="O802" s="96" t="str">
        <f>IF(B802="","",TRIM(LEFT(B802,FIND(" |",B802&amp;" |")-1)))</f>
        <v/>
      </c>
      <c r="P802" s="96" t="str">
        <f>IF(O802="","",IFERROR(MATCH(O802,'CDFs'!$A$6:$A$505,0),""))</f>
        <v/>
      </c>
      <c r="Q802" s="96">
        <f>IF(P802="",0,IF(INDEX('CDFs'!$S$6:$S$505,P802)=1,1,0))</f>
        <v>0</v>
      </c>
      <c r="R802" s="96" t="str">
        <f>IF(C802="","",TRIM(LEFT(C802,FIND(" |",C802&amp;" |")-1)))</f>
        <v/>
      </c>
      <c r="S802" s="96" t="str">
        <f>IF(R802="","",IFERROR(MATCH(R802,'ITENS_MTR'!$A$6:$A$1005,0),""))</f>
        <v/>
      </c>
      <c r="T802" s="96">
        <f>IF(S802="",0,IF(INDEX('ITENS_MTR'!$R$6:$R$1005,S802)=1,1,0))</f>
        <v>0</v>
      </c>
      <c r="U802" s="96" t="str">
        <f>IF(G802="","",IFERROR(IF(ISNUMBER(INDEX(cfg_fac,MATCH(G802,cfg_units,0))),IF(INDEX(cfg_fac,MATCH(G802,cfg_units,0))&gt;0,INDEX(cfg_fac,MATCH(G802,cfg_units,0)),""),""),""))</f>
        <v/>
      </c>
      <c r="V802" s="96">
        <f>IF(AND(ISNUMBER(F802),ISNUMBER(H802)),IF(H802&gt;0,1,0),0)</f>
        <v>0</v>
      </c>
      <c r="W802" s="96" t="str">
        <f>IF(T802=1,INDEX('ITENS_MTR'!$AU$6:$AU$1005,S802)&amp;"","")</f>
        <v/>
      </c>
      <c r="X802" s="96">
        <f>IF(AND(Q802=1,T802=1,I802&lt;&gt;"",W802&lt;&gt;""),IF(I802&lt;&gt;W802,1,0),0)</f>
        <v>0</v>
      </c>
      <c r="Y802" s="96">
        <f>IF(N802=0,0,IF(OR(Q802=0,T802=0,V802=0,AND(X802=1,J802&lt;&gt;"Sim")),1,0))</f>
        <v>0</v>
      </c>
      <c r="Z802" s="96">
        <f>IF(Q802=1,INDEX('CDFs'!$W$6:$W$505,P802),0)</f>
        <v>0</v>
      </c>
      <c r="AA802" s="96">
        <f>IF(AND(N802=1,Y802=0,Z802=1,J802="Sim"),1,0)</f>
        <v>0</v>
      </c>
      <c r="AB802" s="96">
        <f>IF(AND(N802=1,O802&lt;&gt;"",D802&lt;&gt;""),IF(COUNTIFS($O$6:O802,O802,$D$6:D802,D802)=1,1,0),0)</f>
        <v>0</v>
      </c>
      <c r="AC802" s="96">
        <f>IF(T802=1,INDEX('ITENS_MTR'!$AL$6:$AL$1005,S802),0)</f>
        <v>0</v>
      </c>
    </row>
    <row r="803">
      <c r="A803" s="89" t="inlineStr">
        <is>
          <t>VIN-000798</t>
        </is>
      </c>
      <c r="B803" s="91" t="n"/>
      <c r="C803" s="91" t="n"/>
      <c r="D803" s="94" t="str">
        <f>IF(T803=1,INDEX('ITENS_MTR'!$S$6:$S$1005,S803)&amp;"","")</f>
        <v/>
      </c>
      <c r="E803" s="94" t="str">
        <f>IF(T803=1,INDEX('ITENS_MTR'!$C$6:$C$1005,S803)&amp;"","")</f>
        <v/>
      </c>
      <c r="F803" s="98" t="n"/>
      <c r="G803" s="91" t="n"/>
      <c r="H803" s="93" t="str">
        <f>IF(N803=0,"",IF(NOT(ISNUMBER(F803)),"",IF(ISNUMBER(U803),F803*U803,"UNIDADE A CONFERIR")))</f>
        <v/>
      </c>
      <c r="I803" s="94" t="str">
        <f>IF(Q803=1,INDEX('CDFs'!$F$6:$F$505,P803)&amp;"","")</f>
        <v/>
      </c>
      <c r="J803" s="91" t="n"/>
      <c r="K803" s="91" t="n"/>
      <c r="L803" s="94" t="str">
        <f>IF(N803=0,"",IF(NOT(ISNUMBER(F803)),"Quantidade não informada",IF(F803&lt;=0,"Quantidade não positiva",IF(G803="","Unidade não informada",IF(NOT(ISNUMBER(H803)),"Unidade a conferir",IF(AC803=1,"REVISAR VÍNCULO: soma vinculada maior que a referência do item","OK"))))))</f>
        <v/>
      </c>
      <c r="M803" s="94" t="str">
        <f>IF(N803=0,"",IF(B803="","CDF não informado",IF(Q803=0,"REVISAR VÍNCULO: CDF inexistente",IF(C803="","Item não informado",IF(T803=0,"REVISAR VÍNCULO: item inexistente",IF(AND(X803=1,J803&lt;&gt;"Sim"),"REVISAR VÍNCULO: destinador diferente do MTR",IF(X803=1,"Destinador diferente do MTR (analisado)","OK")))))))</f>
        <v/>
      </c>
      <c r="N803" s="96">
        <f>IF(COUNTA(B803:C803,F803:G803,J803:K803)&gt;0,1,0)</f>
        <v>0</v>
      </c>
      <c r="O803" s="96" t="str">
        <f>IF(B803="","",TRIM(LEFT(B803,FIND(" |",B803&amp;" |")-1)))</f>
        <v/>
      </c>
      <c r="P803" s="96" t="str">
        <f>IF(O803="","",IFERROR(MATCH(O803,'CDFs'!$A$6:$A$505,0),""))</f>
        <v/>
      </c>
      <c r="Q803" s="96">
        <f>IF(P803="",0,IF(INDEX('CDFs'!$S$6:$S$505,P803)=1,1,0))</f>
        <v>0</v>
      </c>
      <c r="R803" s="96" t="str">
        <f>IF(C803="","",TRIM(LEFT(C803,FIND(" |",C803&amp;" |")-1)))</f>
        <v/>
      </c>
      <c r="S803" s="96" t="str">
        <f>IF(R803="","",IFERROR(MATCH(R803,'ITENS_MTR'!$A$6:$A$1005,0),""))</f>
        <v/>
      </c>
      <c r="T803" s="96">
        <f>IF(S803="",0,IF(INDEX('ITENS_MTR'!$R$6:$R$1005,S803)=1,1,0))</f>
        <v>0</v>
      </c>
      <c r="U803" s="96" t="str">
        <f>IF(G803="","",IFERROR(IF(ISNUMBER(INDEX(cfg_fac,MATCH(G803,cfg_units,0))),IF(INDEX(cfg_fac,MATCH(G803,cfg_units,0))&gt;0,INDEX(cfg_fac,MATCH(G803,cfg_units,0)),""),""),""))</f>
        <v/>
      </c>
      <c r="V803" s="96">
        <f>IF(AND(ISNUMBER(F803),ISNUMBER(H803)),IF(H803&gt;0,1,0),0)</f>
        <v>0</v>
      </c>
      <c r="W803" s="96" t="str">
        <f>IF(T803=1,INDEX('ITENS_MTR'!$AU$6:$AU$1005,S803)&amp;"","")</f>
        <v/>
      </c>
      <c r="X803" s="96">
        <f>IF(AND(Q803=1,T803=1,I803&lt;&gt;"",W803&lt;&gt;""),IF(I803&lt;&gt;W803,1,0),0)</f>
        <v>0</v>
      </c>
      <c r="Y803" s="96">
        <f>IF(N803=0,0,IF(OR(Q803=0,T803=0,V803=0,AND(X803=1,J803&lt;&gt;"Sim")),1,0))</f>
        <v>0</v>
      </c>
      <c r="Z803" s="96">
        <f>IF(Q803=1,INDEX('CDFs'!$W$6:$W$505,P803),0)</f>
        <v>0</v>
      </c>
      <c r="AA803" s="96">
        <f>IF(AND(N803=1,Y803=0,Z803=1,J803="Sim"),1,0)</f>
        <v>0</v>
      </c>
      <c r="AB803" s="96">
        <f>IF(AND(N803=1,O803&lt;&gt;"",D803&lt;&gt;""),IF(COUNTIFS($O$6:O803,O803,$D$6:D803,D803)=1,1,0),0)</f>
        <v>0</v>
      </c>
      <c r="AC803" s="96">
        <f>IF(T803=1,INDEX('ITENS_MTR'!$AL$6:$AL$1005,S803),0)</f>
        <v>0</v>
      </c>
    </row>
    <row r="804">
      <c r="A804" s="89" t="inlineStr">
        <is>
          <t>VIN-000799</t>
        </is>
      </c>
      <c r="B804" s="91" t="n"/>
      <c r="C804" s="91" t="n"/>
      <c r="D804" s="94" t="str">
        <f>IF(T804=1,INDEX('ITENS_MTR'!$S$6:$S$1005,S804)&amp;"","")</f>
        <v/>
      </c>
      <c r="E804" s="94" t="str">
        <f>IF(T804=1,INDEX('ITENS_MTR'!$C$6:$C$1005,S804)&amp;"","")</f>
        <v/>
      </c>
      <c r="F804" s="98" t="n"/>
      <c r="G804" s="91" t="n"/>
      <c r="H804" s="93" t="str">
        <f>IF(N804=0,"",IF(NOT(ISNUMBER(F804)),"",IF(ISNUMBER(U804),F804*U804,"UNIDADE A CONFERIR")))</f>
        <v/>
      </c>
      <c r="I804" s="94" t="str">
        <f>IF(Q804=1,INDEX('CDFs'!$F$6:$F$505,P804)&amp;"","")</f>
        <v/>
      </c>
      <c r="J804" s="91" t="n"/>
      <c r="K804" s="91" t="n"/>
      <c r="L804" s="94" t="str">
        <f>IF(N804=0,"",IF(NOT(ISNUMBER(F804)),"Quantidade não informada",IF(F804&lt;=0,"Quantidade não positiva",IF(G804="","Unidade não informada",IF(NOT(ISNUMBER(H804)),"Unidade a conferir",IF(AC804=1,"REVISAR VÍNCULO: soma vinculada maior que a referência do item","OK"))))))</f>
        <v/>
      </c>
      <c r="M804" s="94" t="str">
        <f>IF(N804=0,"",IF(B804="","CDF não informado",IF(Q804=0,"REVISAR VÍNCULO: CDF inexistente",IF(C804="","Item não informado",IF(T804=0,"REVISAR VÍNCULO: item inexistente",IF(AND(X804=1,J804&lt;&gt;"Sim"),"REVISAR VÍNCULO: destinador diferente do MTR",IF(X804=1,"Destinador diferente do MTR (analisado)","OK")))))))</f>
        <v/>
      </c>
      <c r="N804" s="96">
        <f>IF(COUNTA(B804:C804,F804:G804,J804:K804)&gt;0,1,0)</f>
        <v>0</v>
      </c>
      <c r="O804" s="96" t="str">
        <f>IF(B804="","",TRIM(LEFT(B804,FIND(" |",B804&amp;" |")-1)))</f>
        <v/>
      </c>
      <c r="P804" s="96" t="str">
        <f>IF(O804="","",IFERROR(MATCH(O804,'CDFs'!$A$6:$A$505,0),""))</f>
        <v/>
      </c>
      <c r="Q804" s="96">
        <f>IF(P804="",0,IF(INDEX('CDFs'!$S$6:$S$505,P804)=1,1,0))</f>
        <v>0</v>
      </c>
      <c r="R804" s="96" t="str">
        <f>IF(C804="","",TRIM(LEFT(C804,FIND(" |",C804&amp;" |")-1)))</f>
        <v/>
      </c>
      <c r="S804" s="96" t="str">
        <f>IF(R804="","",IFERROR(MATCH(R804,'ITENS_MTR'!$A$6:$A$1005,0),""))</f>
        <v/>
      </c>
      <c r="T804" s="96">
        <f>IF(S804="",0,IF(INDEX('ITENS_MTR'!$R$6:$R$1005,S804)=1,1,0))</f>
        <v>0</v>
      </c>
      <c r="U804" s="96" t="str">
        <f>IF(G804="","",IFERROR(IF(ISNUMBER(INDEX(cfg_fac,MATCH(G804,cfg_units,0))),IF(INDEX(cfg_fac,MATCH(G804,cfg_units,0))&gt;0,INDEX(cfg_fac,MATCH(G804,cfg_units,0)),""),""),""))</f>
        <v/>
      </c>
      <c r="V804" s="96">
        <f>IF(AND(ISNUMBER(F804),ISNUMBER(H804)),IF(H804&gt;0,1,0),0)</f>
        <v>0</v>
      </c>
      <c r="W804" s="96" t="str">
        <f>IF(T804=1,INDEX('ITENS_MTR'!$AU$6:$AU$1005,S804)&amp;"","")</f>
        <v/>
      </c>
      <c r="X804" s="96">
        <f>IF(AND(Q804=1,T804=1,I804&lt;&gt;"",W804&lt;&gt;""),IF(I804&lt;&gt;W804,1,0),0)</f>
        <v>0</v>
      </c>
      <c r="Y804" s="96">
        <f>IF(N804=0,0,IF(OR(Q804=0,T804=0,V804=0,AND(X804=1,J804&lt;&gt;"Sim")),1,0))</f>
        <v>0</v>
      </c>
      <c r="Z804" s="96">
        <f>IF(Q804=1,INDEX('CDFs'!$W$6:$W$505,P804),0)</f>
        <v>0</v>
      </c>
      <c r="AA804" s="96">
        <f>IF(AND(N804=1,Y804=0,Z804=1,J804="Sim"),1,0)</f>
        <v>0</v>
      </c>
      <c r="AB804" s="96">
        <f>IF(AND(N804=1,O804&lt;&gt;"",D804&lt;&gt;""),IF(COUNTIFS($O$6:O804,O804,$D$6:D804,D804)=1,1,0),0)</f>
        <v>0</v>
      </c>
      <c r="AC804" s="96">
        <f>IF(T804=1,INDEX('ITENS_MTR'!$AL$6:$AL$1005,S804),0)</f>
        <v>0</v>
      </c>
    </row>
    <row r="805">
      <c r="A805" s="89" t="inlineStr">
        <is>
          <t>VIN-000800</t>
        </is>
      </c>
      <c r="B805" s="91" t="n"/>
      <c r="C805" s="91" t="n"/>
      <c r="D805" s="94" t="str">
        <f>IF(T805=1,INDEX('ITENS_MTR'!$S$6:$S$1005,S805)&amp;"","")</f>
        <v/>
      </c>
      <c r="E805" s="94" t="str">
        <f>IF(T805=1,INDEX('ITENS_MTR'!$C$6:$C$1005,S805)&amp;"","")</f>
        <v/>
      </c>
      <c r="F805" s="98" t="n"/>
      <c r="G805" s="91" t="n"/>
      <c r="H805" s="93" t="str">
        <f>IF(N805=0,"",IF(NOT(ISNUMBER(F805)),"",IF(ISNUMBER(U805),F805*U805,"UNIDADE A CONFERIR")))</f>
        <v/>
      </c>
      <c r="I805" s="94" t="str">
        <f>IF(Q805=1,INDEX('CDFs'!$F$6:$F$505,P805)&amp;"","")</f>
        <v/>
      </c>
      <c r="J805" s="91" t="n"/>
      <c r="K805" s="91" t="n"/>
      <c r="L805" s="94" t="str">
        <f>IF(N805=0,"",IF(NOT(ISNUMBER(F805)),"Quantidade não informada",IF(F805&lt;=0,"Quantidade não positiva",IF(G805="","Unidade não informada",IF(NOT(ISNUMBER(H805)),"Unidade a conferir",IF(AC805=1,"REVISAR VÍNCULO: soma vinculada maior que a referência do item","OK"))))))</f>
        <v/>
      </c>
      <c r="M805" s="94" t="str">
        <f>IF(N805=0,"",IF(B805="","CDF não informado",IF(Q805=0,"REVISAR VÍNCULO: CDF inexistente",IF(C805="","Item não informado",IF(T805=0,"REVISAR VÍNCULO: item inexistente",IF(AND(X805=1,J805&lt;&gt;"Sim"),"REVISAR VÍNCULO: destinador diferente do MTR",IF(X805=1,"Destinador diferente do MTR (analisado)","OK")))))))</f>
        <v/>
      </c>
      <c r="N805" s="96">
        <f>IF(COUNTA(B805:C805,F805:G805,J805:K805)&gt;0,1,0)</f>
        <v>0</v>
      </c>
      <c r="O805" s="96" t="str">
        <f>IF(B805="","",TRIM(LEFT(B805,FIND(" |",B805&amp;" |")-1)))</f>
        <v/>
      </c>
      <c r="P805" s="96" t="str">
        <f>IF(O805="","",IFERROR(MATCH(O805,'CDFs'!$A$6:$A$505,0),""))</f>
        <v/>
      </c>
      <c r="Q805" s="96">
        <f>IF(P805="",0,IF(INDEX('CDFs'!$S$6:$S$505,P805)=1,1,0))</f>
        <v>0</v>
      </c>
      <c r="R805" s="96" t="str">
        <f>IF(C805="","",TRIM(LEFT(C805,FIND(" |",C805&amp;" |")-1)))</f>
        <v/>
      </c>
      <c r="S805" s="96" t="str">
        <f>IF(R805="","",IFERROR(MATCH(R805,'ITENS_MTR'!$A$6:$A$1005,0),""))</f>
        <v/>
      </c>
      <c r="T805" s="96">
        <f>IF(S805="",0,IF(INDEX('ITENS_MTR'!$R$6:$R$1005,S805)=1,1,0))</f>
        <v>0</v>
      </c>
      <c r="U805" s="96" t="str">
        <f>IF(G805="","",IFERROR(IF(ISNUMBER(INDEX(cfg_fac,MATCH(G805,cfg_units,0))),IF(INDEX(cfg_fac,MATCH(G805,cfg_units,0))&gt;0,INDEX(cfg_fac,MATCH(G805,cfg_units,0)),""),""),""))</f>
        <v/>
      </c>
      <c r="V805" s="96">
        <f>IF(AND(ISNUMBER(F805),ISNUMBER(H805)),IF(H805&gt;0,1,0),0)</f>
        <v>0</v>
      </c>
      <c r="W805" s="96" t="str">
        <f>IF(T805=1,INDEX('ITENS_MTR'!$AU$6:$AU$1005,S805)&amp;"","")</f>
        <v/>
      </c>
      <c r="X805" s="96">
        <f>IF(AND(Q805=1,T805=1,I805&lt;&gt;"",W805&lt;&gt;""),IF(I805&lt;&gt;W805,1,0),0)</f>
        <v>0</v>
      </c>
      <c r="Y805" s="96">
        <f>IF(N805=0,0,IF(OR(Q805=0,T805=0,V805=0,AND(X805=1,J805&lt;&gt;"Sim")),1,0))</f>
        <v>0</v>
      </c>
      <c r="Z805" s="96">
        <f>IF(Q805=1,INDEX('CDFs'!$W$6:$W$505,P805),0)</f>
        <v>0</v>
      </c>
      <c r="AA805" s="96">
        <f>IF(AND(N805=1,Y805=0,Z805=1,J805="Sim"),1,0)</f>
        <v>0</v>
      </c>
      <c r="AB805" s="96">
        <f>IF(AND(N805=1,O805&lt;&gt;"",D805&lt;&gt;""),IF(COUNTIFS($O$6:O805,O805,$D$6:D805,D805)=1,1,0),0)</f>
        <v>0</v>
      </c>
      <c r="AC805" s="96">
        <f>IF(T805=1,INDEX('ITENS_MTR'!$AL$6:$AL$1005,S805),0)</f>
        <v>0</v>
      </c>
    </row>
    <row r="806">
      <c r="A806" s="89" t="inlineStr">
        <is>
          <t>VIN-000801</t>
        </is>
      </c>
      <c r="B806" s="91" t="n"/>
      <c r="C806" s="91" t="n"/>
      <c r="D806" s="94" t="str">
        <f>IF(T806=1,INDEX('ITENS_MTR'!$S$6:$S$1005,S806)&amp;"","")</f>
        <v/>
      </c>
      <c r="E806" s="94" t="str">
        <f>IF(T806=1,INDEX('ITENS_MTR'!$C$6:$C$1005,S806)&amp;"","")</f>
        <v/>
      </c>
      <c r="F806" s="98" t="n"/>
      <c r="G806" s="91" t="n"/>
      <c r="H806" s="93" t="str">
        <f>IF(N806=0,"",IF(NOT(ISNUMBER(F806)),"",IF(ISNUMBER(U806),F806*U806,"UNIDADE A CONFERIR")))</f>
        <v/>
      </c>
      <c r="I806" s="94" t="str">
        <f>IF(Q806=1,INDEX('CDFs'!$F$6:$F$505,P806)&amp;"","")</f>
        <v/>
      </c>
      <c r="J806" s="91" t="n"/>
      <c r="K806" s="91" t="n"/>
      <c r="L806" s="94" t="str">
        <f>IF(N806=0,"",IF(NOT(ISNUMBER(F806)),"Quantidade não informada",IF(F806&lt;=0,"Quantidade não positiva",IF(G806="","Unidade não informada",IF(NOT(ISNUMBER(H806)),"Unidade a conferir",IF(AC806=1,"REVISAR VÍNCULO: soma vinculada maior que a referência do item","OK"))))))</f>
        <v/>
      </c>
      <c r="M806" s="94" t="str">
        <f>IF(N806=0,"",IF(B806="","CDF não informado",IF(Q806=0,"REVISAR VÍNCULO: CDF inexistente",IF(C806="","Item não informado",IF(T806=0,"REVISAR VÍNCULO: item inexistente",IF(AND(X806=1,J806&lt;&gt;"Sim"),"REVISAR VÍNCULO: destinador diferente do MTR",IF(X806=1,"Destinador diferente do MTR (analisado)","OK")))))))</f>
        <v/>
      </c>
      <c r="N806" s="96">
        <f>IF(COUNTA(B806:C806,F806:G806,J806:K806)&gt;0,1,0)</f>
        <v>0</v>
      </c>
      <c r="O806" s="96" t="str">
        <f>IF(B806="","",TRIM(LEFT(B806,FIND(" |",B806&amp;" |")-1)))</f>
        <v/>
      </c>
      <c r="P806" s="96" t="str">
        <f>IF(O806="","",IFERROR(MATCH(O806,'CDFs'!$A$6:$A$505,0),""))</f>
        <v/>
      </c>
      <c r="Q806" s="96">
        <f>IF(P806="",0,IF(INDEX('CDFs'!$S$6:$S$505,P806)=1,1,0))</f>
        <v>0</v>
      </c>
      <c r="R806" s="96" t="str">
        <f>IF(C806="","",TRIM(LEFT(C806,FIND(" |",C806&amp;" |")-1)))</f>
        <v/>
      </c>
      <c r="S806" s="96" t="str">
        <f>IF(R806="","",IFERROR(MATCH(R806,'ITENS_MTR'!$A$6:$A$1005,0),""))</f>
        <v/>
      </c>
      <c r="T806" s="96">
        <f>IF(S806="",0,IF(INDEX('ITENS_MTR'!$R$6:$R$1005,S806)=1,1,0))</f>
        <v>0</v>
      </c>
      <c r="U806" s="96" t="str">
        <f>IF(G806="","",IFERROR(IF(ISNUMBER(INDEX(cfg_fac,MATCH(G806,cfg_units,0))),IF(INDEX(cfg_fac,MATCH(G806,cfg_units,0))&gt;0,INDEX(cfg_fac,MATCH(G806,cfg_units,0)),""),""),""))</f>
        <v/>
      </c>
      <c r="V806" s="96">
        <f>IF(AND(ISNUMBER(F806),ISNUMBER(H806)),IF(H806&gt;0,1,0),0)</f>
        <v>0</v>
      </c>
      <c r="W806" s="96" t="str">
        <f>IF(T806=1,INDEX('ITENS_MTR'!$AU$6:$AU$1005,S806)&amp;"","")</f>
        <v/>
      </c>
      <c r="X806" s="96">
        <f>IF(AND(Q806=1,T806=1,I806&lt;&gt;"",W806&lt;&gt;""),IF(I806&lt;&gt;W806,1,0),0)</f>
        <v>0</v>
      </c>
      <c r="Y806" s="96">
        <f>IF(N806=0,0,IF(OR(Q806=0,T806=0,V806=0,AND(X806=1,J806&lt;&gt;"Sim")),1,0))</f>
        <v>0</v>
      </c>
      <c r="Z806" s="96">
        <f>IF(Q806=1,INDEX('CDFs'!$W$6:$W$505,P806),0)</f>
        <v>0</v>
      </c>
      <c r="AA806" s="96">
        <f>IF(AND(N806=1,Y806=0,Z806=1,J806="Sim"),1,0)</f>
        <v>0</v>
      </c>
      <c r="AB806" s="96">
        <f>IF(AND(N806=1,O806&lt;&gt;"",D806&lt;&gt;""),IF(COUNTIFS($O$6:O806,O806,$D$6:D806,D806)=1,1,0),0)</f>
        <v>0</v>
      </c>
      <c r="AC806" s="96">
        <f>IF(T806=1,INDEX('ITENS_MTR'!$AL$6:$AL$1005,S806),0)</f>
        <v>0</v>
      </c>
    </row>
    <row r="807">
      <c r="A807" s="89" t="inlineStr">
        <is>
          <t>VIN-000802</t>
        </is>
      </c>
      <c r="B807" s="91" t="n"/>
      <c r="C807" s="91" t="n"/>
      <c r="D807" s="94" t="str">
        <f>IF(T807=1,INDEX('ITENS_MTR'!$S$6:$S$1005,S807)&amp;"","")</f>
        <v/>
      </c>
      <c r="E807" s="94" t="str">
        <f>IF(T807=1,INDEX('ITENS_MTR'!$C$6:$C$1005,S807)&amp;"","")</f>
        <v/>
      </c>
      <c r="F807" s="98" t="n"/>
      <c r="G807" s="91" t="n"/>
      <c r="H807" s="93" t="str">
        <f>IF(N807=0,"",IF(NOT(ISNUMBER(F807)),"",IF(ISNUMBER(U807),F807*U807,"UNIDADE A CONFERIR")))</f>
        <v/>
      </c>
      <c r="I807" s="94" t="str">
        <f>IF(Q807=1,INDEX('CDFs'!$F$6:$F$505,P807)&amp;"","")</f>
        <v/>
      </c>
      <c r="J807" s="91" t="n"/>
      <c r="K807" s="91" t="n"/>
      <c r="L807" s="94" t="str">
        <f>IF(N807=0,"",IF(NOT(ISNUMBER(F807)),"Quantidade não informada",IF(F807&lt;=0,"Quantidade não positiva",IF(G807="","Unidade não informada",IF(NOT(ISNUMBER(H807)),"Unidade a conferir",IF(AC807=1,"REVISAR VÍNCULO: soma vinculada maior que a referência do item","OK"))))))</f>
        <v/>
      </c>
      <c r="M807" s="94" t="str">
        <f>IF(N807=0,"",IF(B807="","CDF não informado",IF(Q807=0,"REVISAR VÍNCULO: CDF inexistente",IF(C807="","Item não informado",IF(T807=0,"REVISAR VÍNCULO: item inexistente",IF(AND(X807=1,J807&lt;&gt;"Sim"),"REVISAR VÍNCULO: destinador diferente do MTR",IF(X807=1,"Destinador diferente do MTR (analisado)","OK")))))))</f>
        <v/>
      </c>
      <c r="N807" s="96">
        <f>IF(COUNTA(B807:C807,F807:G807,J807:K807)&gt;0,1,0)</f>
        <v>0</v>
      </c>
      <c r="O807" s="96" t="str">
        <f>IF(B807="","",TRIM(LEFT(B807,FIND(" |",B807&amp;" |")-1)))</f>
        <v/>
      </c>
      <c r="P807" s="96" t="str">
        <f>IF(O807="","",IFERROR(MATCH(O807,'CDFs'!$A$6:$A$505,0),""))</f>
        <v/>
      </c>
      <c r="Q807" s="96">
        <f>IF(P807="",0,IF(INDEX('CDFs'!$S$6:$S$505,P807)=1,1,0))</f>
        <v>0</v>
      </c>
      <c r="R807" s="96" t="str">
        <f>IF(C807="","",TRIM(LEFT(C807,FIND(" |",C807&amp;" |")-1)))</f>
        <v/>
      </c>
      <c r="S807" s="96" t="str">
        <f>IF(R807="","",IFERROR(MATCH(R807,'ITENS_MTR'!$A$6:$A$1005,0),""))</f>
        <v/>
      </c>
      <c r="T807" s="96">
        <f>IF(S807="",0,IF(INDEX('ITENS_MTR'!$R$6:$R$1005,S807)=1,1,0))</f>
        <v>0</v>
      </c>
      <c r="U807" s="96" t="str">
        <f>IF(G807="","",IFERROR(IF(ISNUMBER(INDEX(cfg_fac,MATCH(G807,cfg_units,0))),IF(INDEX(cfg_fac,MATCH(G807,cfg_units,0))&gt;0,INDEX(cfg_fac,MATCH(G807,cfg_units,0)),""),""),""))</f>
        <v/>
      </c>
      <c r="V807" s="96">
        <f>IF(AND(ISNUMBER(F807),ISNUMBER(H807)),IF(H807&gt;0,1,0),0)</f>
        <v>0</v>
      </c>
      <c r="W807" s="96" t="str">
        <f>IF(T807=1,INDEX('ITENS_MTR'!$AU$6:$AU$1005,S807)&amp;"","")</f>
        <v/>
      </c>
      <c r="X807" s="96">
        <f>IF(AND(Q807=1,T807=1,I807&lt;&gt;"",W807&lt;&gt;""),IF(I807&lt;&gt;W807,1,0),0)</f>
        <v>0</v>
      </c>
      <c r="Y807" s="96">
        <f>IF(N807=0,0,IF(OR(Q807=0,T807=0,V807=0,AND(X807=1,J807&lt;&gt;"Sim")),1,0))</f>
        <v>0</v>
      </c>
      <c r="Z807" s="96">
        <f>IF(Q807=1,INDEX('CDFs'!$W$6:$W$505,P807),0)</f>
        <v>0</v>
      </c>
      <c r="AA807" s="96">
        <f>IF(AND(N807=1,Y807=0,Z807=1,J807="Sim"),1,0)</f>
        <v>0</v>
      </c>
      <c r="AB807" s="96">
        <f>IF(AND(N807=1,O807&lt;&gt;"",D807&lt;&gt;""),IF(COUNTIFS($O$6:O807,O807,$D$6:D807,D807)=1,1,0),0)</f>
        <v>0</v>
      </c>
      <c r="AC807" s="96">
        <f>IF(T807=1,INDEX('ITENS_MTR'!$AL$6:$AL$1005,S807),0)</f>
        <v>0</v>
      </c>
    </row>
    <row r="808">
      <c r="A808" s="89" t="inlineStr">
        <is>
          <t>VIN-000803</t>
        </is>
      </c>
      <c r="B808" s="91" t="n"/>
      <c r="C808" s="91" t="n"/>
      <c r="D808" s="94" t="str">
        <f>IF(T808=1,INDEX('ITENS_MTR'!$S$6:$S$1005,S808)&amp;"","")</f>
        <v/>
      </c>
      <c r="E808" s="94" t="str">
        <f>IF(T808=1,INDEX('ITENS_MTR'!$C$6:$C$1005,S808)&amp;"","")</f>
        <v/>
      </c>
      <c r="F808" s="98" t="n"/>
      <c r="G808" s="91" t="n"/>
      <c r="H808" s="93" t="str">
        <f>IF(N808=0,"",IF(NOT(ISNUMBER(F808)),"",IF(ISNUMBER(U808),F808*U808,"UNIDADE A CONFERIR")))</f>
        <v/>
      </c>
      <c r="I808" s="94" t="str">
        <f>IF(Q808=1,INDEX('CDFs'!$F$6:$F$505,P808)&amp;"","")</f>
        <v/>
      </c>
      <c r="J808" s="91" t="n"/>
      <c r="K808" s="91" t="n"/>
      <c r="L808" s="94" t="str">
        <f>IF(N808=0,"",IF(NOT(ISNUMBER(F808)),"Quantidade não informada",IF(F808&lt;=0,"Quantidade não positiva",IF(G808="","Unidade não informada",IF(NOT(ISNUMBER(H808)),"Unidade a conferir",IF(AC808=1,"REVISAR VÍNCULO: soma vinculada maior que a referência do item","OK"))))))</f>
        <v/>
      </c>
      <c r="M808" s="94" t="str">
        <f>IF(N808=0,"",IF(B808="","CDF não informado",IF(Q808=0,"REVISAR VÍNCULO: CDF inexistente",IF(C808="","Item não informado",IF(T808=0,"REVISAR VÍNCULO: item inexistente",IF(AND(X808=1,J808&lt;&gt;"Sim"),"REVISAR VÍNCULO: destinador diferente do MTR",IF(X808=1,"Destinador diferente do MTR (analisado)","OK")))))))</f>
        <v/>
      </c>
      <c r="N808" s="96">
        <f>IF(COUNTA(B808:C808,F808:G808,J808:K808)&gt;0,1,0)</f>
        <v>0</v>
      </c>
      <c r="O808" s="96" t="str">
        <f>IF(B808="","",TRIM(LEFT(B808,FIND(" |",B808&amp;" |")-1)))</f>
        <v/>
      </c>
      <c r="P808" s="96" t="str">
        <f>IF(O808="","",IFERROR(MATCH(O808,'CDFs'!$A$6:$A$505,0),""))</f>
        <v/>
      </c>
      <c r="Q808" s="96">
        <f>IF(P808="",0,IF(INDEX('CDFs'!$S$6:$S$505,P808)=1,1,0))</f>
        <v>0</v>
      </c>
      <c r="R808" s="96" t="str">
        <f>IF(C808="","",TRIM(LEFT(C808,FIND(" |",C808&amp;" |")-1)))</f>
        <v/>
      </c>
      <c r="S808" s="96" t="str">
        <f>IF(R808="","",IFERROR(MATCH(R808,'ITENS_MTR'!$A$6:$A$1005,0),""))</f>
        <v/>
      </c>
      <c r="T808" s="96">
        <f>IF(S808="",0,IF(INDEX('ITENS_MTR'!$R$6:$R$1005,S808)=1,1,0))</f>
        <v>0</v>
      </c>
      <c r="U808" s="96" t="str">
        <f>IF(G808="","",IFERROR(IF(ISNUMBER(INDEX(cfg_fac,MATCH(G808,cfg_units,0))),IF(INDEX(cfg_fac,MATCH(G808,cfg_units,0))&gt;0,INDEX(cfg_fac,MATCH(G808,cfg_units,0)),""),""),""))</f>
        <v/>
      </c>
      <c r="V808" s="96">
        <f>IF(AND(ISNUMBER(F808),ISNUMBER(H808)),IF(H808&gt;0,1,0),0)</f>
        <v>0</v>
      </c>
      <c r="W808" s="96" t="str">
        <f>IF(T808=1,INDEX('ITENS_MTR'!$AU$6:$AU$1005,S808)&amp;"","")</f>
        <v/>
      </c>
      <c r="X808" s="96">
        <f>IF(AND(Q808=1,T808=1,I808&lt;&gt;"",W808&lt;&gt;""),IF(I808&lt;&gt;W808,1,0),0)</f>
        <v>0</v>
      </c>
      <c r="Y808" s="96">
        <f>IF(N808=0,0,IF(OR(Q808=0,T808=0,V808=0,AND(X808=1,J808&lt;&gt;"Sim")),1,0))</f>
        <v>0</v>
      </c>
      <c r="Z808" s="96">
        <f>IF(Q808=1,INDEX('CDFs'!$W$6:$W$505,P808),0)</f>
        <v>0</v>
      </c>
      <c r="AA808" s="96">
        <f>IF(AND(N808=1,Y808=0,Z808=1,J808="Sim"),1,0)</f>
        <v>0</v>
      </c>
      <c r="AB808" s="96">
        <f>IF(AND(N808=1,O808&lt;&gt;"",D808&lt;&gt;""),IF(COUNTIFS($O$6:O808,O808,$D$6:D808,D808)=1,1,0),0)</f>
        <v>0</v>
      </c>
      <c r="AC808" s="96">
        <f>IF(T808=1,INDEX('ITENS_MTR'!$AL$6:$AL$1005,S808),0)</f>
        <v>0</v>
      </c>
    </row>
    <row r="809">
      <c r="A809" s="89" t="inlineStr">
        <is>
          <t>VIN-000804</t>
        </is>
      </c>
      <c r="B809" s="91" t="n"/>
      <c r="C809" s="91" t="n"/>
      <c r="D809" s="94" t="str">
        <f>IF(T809=1,INDEX('ITENS_MTR'!$S$6:$S$1005,S809)&amp;"","")</f>
        <v/>
      </c>
      <c r="E809" s="94" t="str">
        <f>IF(T809=1,INDEX('ITENS_MTR'!$C$6:$C$1005,S809)&amp;"","")</f>
        <v/>
      </c>
      <c r="F809" s="98" t="n"/>
      <c r="G809" s="91" t="n"/>
      <c r="H809" s="93" t="str">
        <f>IF(N809=0,"",IF(NOT(ISNUMBER(F809)),"",IF(ISNUMBER(U809),F809*U809,"UNIDADE A CONFERIR")))</f>
        <v/>
      </c>
      <c r="I809" s="94" t="str">
        <f>IF(Q809=1,INDEX('CDFs'!$F$6:$F$505,P809)&amp;"","")</f>
        <v/>
      </c>
      <c r="J809" s="91" t="n"/>
      <c r="K809" s="91" t="n"/>
      <c r="L809" s="94" t="str">
        <f>IF(N809=0,"",IF(NOT(ISNUMBER(F809)),"Quantidade não informada",IF(F809&lt;=0,"Quantidade não positiva",IF(G809="","Unidade não informada",IF(NOT(ISNUMBER(H809)),"Unidade a conferir",IF(AC809=1,"REVISAR VÍNCULO: soma vinculada maior que a referência do item","OK"))))))</f>
        <v/>
      </c>
      <c r="M809" s="94" t="str">
        <f>IF(N809=0,"",IF(B809="","CDF não informado",IF(Q809=0,"REVISAR VÍNCULO: CDF inexistente",IF(C809="","Item não informado",IF(T809=0,"REVISAR VÍNCULO: item inexistente",IF(AND(X809=1,J809&lt;&gt;"Sim"),"REVISAR VÍNCULO: destinador diferente do MTR",IF(X809=1,"Destinador diferente do MTR (analisado)","OK")))))))</f>
        <v/>
      </c>
      <c r="N809" s="96">
        <f>IF(COUNTA(B809:C809,F809:G809,J809:K809)&gt;0,1,0)</f>
        <v>0</v>
      </c>
      <c r="O809" s="96" t="str">
        <f>IF(B809="","",TRIM(LEFT(B809,FIND(" |",B809&amp;" |")-1)))</f>
        <v/>
      </c>
      <c r="P809" s="96" t="str">
        <f>IF(O809="","",IFERROR(MATCH(O809,'CDFs'!$A$6:$A$505,0),""))</f>
        <v/>
      </c>
      <c r="Q809" s="96">
        <f>IF(P809="",0,IF(INDEX('CDFs'!$S$6:$S$505,P809)=1,1,0))</f>
        <v>0</v>
      </c>
      <c r="R809" s="96" t="str">
        <f>IF(C809="","",TRIM(LEFT(C809,FIND(" |",C809&amp;" |")-1)))</f>
        <v/>
      </c>
      <c r="S809" s="96" t="str">
        <f>IF(R809="","",IFERROR(MATCH(R809,'ITENS_MTR'!$A$6:$A$1005,0),""))</f>
        <v/>
      </c>
      <c r="T809" s="96">
        <f>IF(S809="",0,IF(INDEX('ITENS_MTR'!$R$6:$R$1005,S809)=1,1,0))</f>
        <v>0</v>
      </c>
      <c r="U809" s="96" t="str">
        <f>IF(G809="","",IFERROR(IF(ISNUMBER(INDEX(cfg_fac,MATCH(G809,cfg_units,0))),IF(INDEX(cfg_fac,MATCH(G809,cfg_units,0))&gt;0,INDEX(cfg_fac,MATCH(G809,cfg_units,0)),""),""),""))</f>
        <v/>
      </c>
      <c r="V809" s="96">
        <f>IF(AND(ISNUMBER(F809),ISNUMBER(H809)),IF(H809&gt;0,1,0),0)</f>
        <v>0</v>
      </c>
      <c r="W809" s="96" t="str">
        <f>IF(T809=1,INDEX('ITENS_MTR'!$AU$6:$AU$1005,S809)&amp;"","")</f>
        <v/>
      </c>
      <c r="X809" s="96">
        <f>IF(AND(Q809=1,T809=1,I809&lt;&gt;"",W809&lt;&gt;""),IF(I809&lt;&gt;W809,1,0),0)</f>
        <v>0</v>
      </c>
      <c r="Y809" s="96">
        <f>IF(N809=0,0,IF(OR(Q809=0,T809=0,V809=0,AND(X809=1,J809&lt;&gt;"Sim")),1,0))</f>
        <v>0</v>
      </c>
      <c r="Z809" s="96">
        <f>IF(Q809=1,INDEX('CDFs'!$W$6:$W$505,P809),0)</f>
        <v>0</v>
      </c>
      <c r="AA809" s="96">
        <f>IF(AND(N809=1,Y809=0,Z809=1,J809="Sim"),1,0)</f>
        <v>0</v>
      </c>
      <c r="AB809" s="96">
        <f>IF(AND(N809=1,O809&lt;&gt;"",D809&lt;&gt;""),IF(COUNTIFS($O$6:O809,O809,$D$6:D809,D809)=1,1,0),0)</f>
        <v>0</v>
      </c>
      <c r="AC809" s="96">
        <f>IF(T809=1,INDEX('ITENS_MTR'!$AL$6:$AL$1005,S809),0)</f>
        <v>0</v>
      </c>
    </row>
    <row r="810">
      <c r="A810" s="89" t="inlineStr">
        <is>
          <t>VIN-000805</t>
        </is>
      </c>
      <c r="B810" s="91" t="n"/>
      <c r="C810" s="91" t="n"/>
      <c r="D810" s="94" t="str">
        <f>IF(T810=1,INDEX('ITENS_MTR'!$S$6:$S$1005,S810)&amp;"","")</f>
        <v/>
      </c>
      <c r="E810" s="94" t="str">
        <f>IF(T810=1,INDEX('ITENS_MTR'!$C$6:$C$1005,S810)&amp;"","")</f>
        <v/>
      </c>
      <c r="F810" s="98" t="n"/>
      <c r="G810" s="91" t="n"/>
      <c r="H810" s="93" t="str">
        <f>IF(N810=0,"",IF(NOT(ISNUMBER(F810)),"",IF(ISNUMBER(U810),F810*U810,"UNIDADE A CONFERIR")))</f>
        <v/>
      </c>
      <c r="I810" s="94" t="str">
        <f>IF(Q810=1,INDEX('CDFs'!$F$6:$F$505,P810)&amp;"","")</f>
        <v/>
      </c>
      <c r="J810" s="91" t="n"/>
      <c r="K810" s="91" t="n"/>
      <c r="L810" s="94" t="str">
        <f>IF(N810=0,"",IF(NOT(ISNUMBER(F810)),"Quantidade não informada",IF(F810&lt;=0,"Quantidade não positiva",IF(G810="","Unidade não informada",IF(NOT(ISNUMBER(H810)),"Unidade a conferir",IF(AC810=1,"REVISAR VÍNCULO: soma vinculada maior que a referência do item","OK"))))))</f>
        <v/>
      </c>
      <c r="M810" s="94" t="str">
        <f>IF(N810=0,"",IF(B810="","CDF não informado",IF(Q810=0,"REVISAR VÍNCULO: CDF inexistente",IF(C810="","Item não informado",IF(T810=0,"REVISAR VÍNCULO: item inexistente",IF(AND(X810=1,J810&lt;&gt;"Sim"),"REVISAR VÍNCULO: destinador diferente do MTR",IF(X810=1,"Destinador diferente do MTR (analisado)","OK")))))))</f>
        <v/>
      </c>
      <c r="N810" s="96">
        <f>IF(COUNTA(B810:C810,F810:G810,J810:K810)&gt;0,1,0)</f>
        <v>0</v>
      </c>
      <c r="O810" s="96" t="str">
        <f>IF(B810="","",TRIM(LEFT(B810,FIND(" |",B810&amp;" |")-1)))</f>
        <v/>
      </c>
      <c r="P810" s="96" t="str">
        <f>IF(O810="","",IFERROR(MATCH(O810,'CDFs'!$A$6:$A$505,0),""))</f>
        <v/>
      </c>
      <c r="Q810" s="96">
        <f>IF(P810="",0,IF(INDEX('CDFs'!$S$6:$S$505,P810)=1,1,0))</f>
        <v>0</v>
      </c>
      <c r="R810" s="96" t="str">
        <f>IF(C810="","",TRIM(LEFT(C810,FIND(" |",C810&amp;" |")-1)))</f>
        <v/>
      </c>
      <c r="S810" s="96" t="str">
        <f>IF(R810="","",IFERROR(MATCH(R810,'ITENS_MTR'!$A$6:$A$1005,0),""))</f>
        <v/>
      </c>
      <c r="T810" s="96">
        <f>IF(S810="",0,IF(INDEX('ITENS_MTR'!$R$6:$R$1005,S810)=1,1,0))</f>
        <v>0</v>
      </c>
      <c r="U810" s="96" t="str">
        <f>IF(G810="","",IFERROR(IF(ISNUMBER(INDEX(cfg_fac,MATCH(G810,cfg_units,0))),IF(INDEX(cfg_fac,MATCH(G810,cfg_units,0))&gt;0,INDEX(cfg_fac,MATCH(G810,cfg_units,0)),""),""),""))</f>
        <v/>
      </c>
      <c r="V810" s="96">
        <f>IF(AND(ISNUMBER(F810),ISNUMBER(H810)),IF(H810&gt;0,1,0),0)</f>
        <v>0</v>
      </c>
      <c r="W810" s="96" t="str">
        <f>IF(T810=1,INDEX('ITENS_MTR'!$AU$6:$AU$1005,S810)&amp;"","")</f>
        <v/>
      </c>
      <c r="X810" s="96">
        <f>IF(AND(Q810=1,T810=1,I810&lt;&gt;"",W810&lt;&gt;""),IF(I810&lt;&gt;W810,1,0),0)</f>
        <v>0</v>
      </c>
      <c r="Y810" s="96">
        <f>IF(N810=0,0,IF(OR(Q810=0,T810=0,V810=0,AND(X810=1,J810&lt;&gt;"Sim")),1,0))</f>
        <v>0</v>
      </c>
      <c r="Z810" s="96">
        <f>IF(Q810=1,INDEX('CDFs'!$W$6:$W$505,P810),0)</f>
        <v>0</v>
      </c>
      <c r="AA810" s="96">
        <f>IF(AND(N810=1,Y810=0,Z810=1,J810="Sim"),1,0)</f>
        <v>0</v>
      </c>
      <c r="AB810" s="96">
        <f>IF(AND(N810=1,O810&lt;&gt;"",D810&lt;&gt;""),IF(COUNTIFS($O$6:O810,O810,$D$6:D810,D810)=1,1,0),0)</f>
        <v>0</v>
      </c>
      <c r="AC810" s="96">
        <f>IF(T810=1,INDEX('ITENS_MTR'!$AL$6:$AL$1005,S810),0)</f>
        <v>0</v>
      </c>
    </row>
    <row r="811">
      <c r="A811" s="89" t="inlineStr">
        <is>
          <t>VIN-000806</t>
        </is>
      </c>
      <c r="B811" s="91" t="n"/>
      <c r="C811" s="91" t="n"/>
      <c r="D811" s="94" t="str">
        <f>IF(T811=1,INDEX('ITENS_MTR'!$S$6:$S$1005,S811)&amp;"","")</f>
        <v/>
      </c>
      <c r="E811" s="94" t="str">
        <f>IF(T811=1,INDEX('ITENS_MTR'!$C$6:$C$1005,S811)&amp;"","")</f>
        <v/>
      </c>
      <c r="F811" s="98" t="n"/>
      <c r="G811" s="91" t="n"/>
      <c r="H811" s="93" t="str">
        <f>IF(N811=0,"",IF(NOT(ISNUMBER(F811)),"",IF(ISNUMBER(U811),F811*U811,"UNIDADE A CONFERIR")))</f>
        <v/>
      </c>
      <c r="I811" s="94" t="str">
        <f>IF(Q811=1,INDEX('CDFs'!$F$6:$F$505,P811)&amp;"","")</f>
        <v/>
      </c>
      <c r="J811" s="91" t="n"/>
      <c r="K811" s="91" t="n"/>
      <c r="L811" s="94" t="str">
        <f>IF(N811=0,"",IF(NOT(ISNUMBER(F811)),"Quantidade não informada",IF(F811&lt;=0,"Quantidade não positiva",IF(G811="","Unidade não informada",IF(NOT(ISNUMBER(H811)),"Unidade a conferir",IF(AC811=1,"REVISAR VÍNCULO: soma vinculada maior que a referência do item","OK"))))))</f>
        <v/>
      </c>
      <c r="M811" s="94" t="str">
        <f>IF(N811=0,"",IF(B811="","CDF não informado",IF(Q811=0,"REVISAR VÍNCULO: CDF inexistente",IF(C811="","Item não informado",IF(T811=0,"REVISAR VÍNCULO: item inexistente",IF(AND(X811=1,J811&lt;&gt;"Sim"),"REVISAR VÍNCULO: destinador diferente do MTR",IF(X811=1,"Destinador diferente do MTR (analisado)","OK")))))))</f>
        <v/>
      </c>
      <c r="N811" s="96">
        <f>IF(COUNTA(B811:C811,F811:G811,J811:K811)&gt;0,1,0)</f>
        <v>0</v>
      </c>
      <c r="O811" s="96" t="str">
        <f>IF(B811="","",TRIM(LEFT(B811,FIND(" |",B811&amp;" |")-1)))</f>
        <v/>
      </c>
      <c r="P811" s="96" t="str">
        <f>IF(O811="","",IFERROR(MATCH(O811,'CDFs'!$A$6:$A$505,0),""))</f>
        <v/>
      </c>
      <c r="Q811" s="96">
        <f>IF(P811="",0,IF(INDEX('CDFs'!$S$6:$S$505,P811)=1,1,0))</f>
        <v>0</v>
      </c>
      <c r="R811" s="96" t="str">
        <f>IF(C811="","",TRIM(LEFT(C811,FIND(" |",C811&amp;" |")-1)))</f>
        <v/>
      </c>
      <c r="S811" s="96" t="str">
        <f>IF(R811="","",IFERROR(MATCH(R811,'ITENS_MTR'!$A$6:$A$1005,0),""))</f>
        <v/>
      </c>
      <c r="T811" s="96">
        <f>IF(S811="",0,IF(INDEX('ITENS_MTR'!$R$6:$R$1005,S811)=1,1,0))</f>
        <v>0</v>
      </c>
      <c r="U811" s="96" t="str">
        <f>IF(G811="","",IFERROR(IF(ISNUMBER(INDEX(cfg_fac,MATCH(G811,cfg_units,0))),IF(INDEX(cfg_fac,MATCH(G811,cfg_units,0))&gt;0,INDEX(cfg_fac,MATCH(G811,cfg_units,0)),""),""),""))</f>
        <v/>
      </c>
      <c r="V811" s="96">
        <f>IF(AND(ISNUMBER(F811),ISNUMBER(H811)),IF(H811&gt;0,1,0),0)</f>
        <v>0</v>
      </c>
      <c r="W811" s="96" t="str">
        <f>IF(T811=1,INDEX('ITENS_MTR'!$AU$6:$AU$1005,S811)&amp;"","")</f>
        <v/>
      </c>
      <c r="X811" s="96">
        <f>IF(AND(Q811=1,T811=1,I811&lt;&gt;"",W811&lt;&gt;""),IF(I811&lt;&gt;W811,1,0),0)</f>
        <v>0</v>
      </c>
      <c r="Y811" s="96">
        <f>IF(N811=0,0,IF(OR(Q811=0,T811=0,V811=0,AND(X811=1,J811&lt;&gt;"Sim")),1,0))</f>
        <v>0</v>
      </c>
      <c r="Z811" s="96">
        <f>IF(Q811=1,INDEX('CDFs'!$W$6:$W$505,P811),0)</f>
        <v>0</v>
      </c>
      <c r="AA811" s="96">
        <f>IF(AND(N811=1,Y811=0,Z811=1,J811="Sim"),1,0)</f>
        <v>0</v>
      </c>
      <c r="AB811" s="96">
        <f>IF(AND(N811=1,O811&lt;&gt;"",D811&lt;&gt;""),IF(COUNTIFS($O$6:O811,O811,$D$6:D811,D811)=1,1,0),0)</f>
        <v>0</v>
      </c>
      <c r="AC811" s="96">
        <f>IF(T811=1,INDEX('ITENS_MTR'!$AL$6:$AL$1005,S811),0)</f>
        <v>0</v>
      </c>
    </row>
    <row r="812">
      <c r="A812" s="89" t="inlineStr">
        <is>
          <t>VIN-000807</t>
        </is>
      </c>
      <c r="B812" s="91" t="n"/>
      <c r="C812" s="91" t="n"/>
      <c r="D812" s="94" t="str">
        <f>IF(T812=1,INDEX('ITENS_MTR'!$S$6:$S$1005,S812)&amp;"","")</f>
        <v/>
      </c>
      <c r="E812" s="94" t="str">
        <f>IF(T812=1,INDEX('ITENS_MTR'!$C$6:$C$1005,S812)&amp;"","")</f>
        <v/>
      </c>
      <c r="F812" s="98" t="n"/>
      <c r="G812" s="91" t="n"/>
      <c r="H812" s="93" t="str">
        <f>IF(N812=0,"",IF(NOT(ISNUMBER(F812)),"",IF(ISNUMBER(U812),F812*U812,"UNIDADE A CONFERIR")))</f>
        <v/>
      </c>
      <c r="I812" s="94" t="str">
        <f>IF(Q812=1,INDEX('CDFs'!$F$6:$F$505,P812)&amp;"","")</f>
        <v/>
      </c>
      <c r="J812" s="91" t="n"/>
      <c r="K812" s="91" t="n"/>
      <c r="L812" s="94" t="str">
        <f>IF(N812=0,"",IF(NOT(ISNUMBER(F812)),"Quantidade não informada",IF(F812&lt;=0,"Quantidade não positiva",IF(G812="","Unidade não informada",IF(NOT(ISNUMBER(H812)),"Unidade a conferir",IF(AC812=1,"REVISAR VÍNCULO: soma vinculada maior que a referência do item","OK"))))))</f>
        <v/>
      </c>
      <c r="M812" s="94" t="str">
        <f>IF(N812=0,"",IF(B812="","CDF não informado",IF(Q812=0,"REVISAR VÍNCULO: CDF inexistente",IF(C812="","Item não informado",IF(T812=0,"REVISAR VÍNCULO: item inexistente",IF(AND(X812=1,J812&lt;&gt;"Sim"),"REVISAR VÍNCULO: destinador diferente do MTR",IF(X812=1,"Destinador diferente do MTR (analisado)","OK")))))))</f>
        <v/>
      </c>
      <c r="N812" s="96">
        <f>IF(COUNTA(B812:C812,F812:G812,J812:K812)&gt;0,1,0)</f>
        <v>0</v>
      </c>
      <c r="O812" s="96" t="str">
        <f>IF(B812="","",TRIM(LEFT(B812,FIND(" |",B812&amp;" |")-1)))</f>
        <v/>
      </c>
      <c r="P812" s="96" t="str">
        <f>IF(O812="","",IFERROR(MATCH(O812,'CDFs'!$A$6:$A$505,0),""))</f>
        <v/>
      </c>
      <c r="Q812" s="96">
        <f>IF(P812="",0,IF(INDEX('CDFs'!$S$6:$S$505,P812)=1,1,0))</f>
        <v>0</v>
      </c>
      <c r="R812" s="96" t="str">
        <f>IF(C812="","",TRIM(LEFT(C812,FIND(" |",C812&amp;" |")-1)))</f>
        <v/>
      </c>
      <c r="S812" s="96" t="str">
        <f>IF(R812="","",IFERROR(MATCH(R812,'ITENS_MTR'!$A$6:$A$1005,0),""))</f>
        <v/>
      </c>
      <c r="T812" s="96">
        <f>IF(S812="",0,IF(INDEX('ITENS_MTR'!$R$6:$R$1005,S812)=1,1,0))</f>
        <v>0</v>
      </c>
      <c r="U812" s="96" t="str">
        <f>IF(G812="","",IFERROR(IF(ISNUMBER(INDEX(cfg_fac,MATCH(G812,cfg_units,0))),IF(INDEX(cfg_fac,MATCH(G812,cfg_units,0))&gt;0,INDEX(cfg_fac,MATCH(G812,cfg_units,0)),""),""),""))</f>
        <v/>
      </c>
      <c r="V812" s="96">
        <f>IF(AND(ISNUMBER(F812),ISNUMBER(H812)),IF(H812&gt;0,1,0),0)</f>
        <v>0</v>
      </c>
      <c r="W812" s="96" t="str">
        <f>IF(T812=1,INDEX('ITENS_MTR'!$AU$6:$AU$1005,S812)&amp;"","")</f>
        <v/>
      </c>
      <c r="X812" s="96">
        <f>IF(AND(Q812=1,T812=1,I812&lt;&gt;"",W812&lt;&gt;""),IF(I812&lt;&gt;W812,1,0),0)</f>
        <v>0</v>
      </c>
      <c r="Y812" s="96">
        <f>IF(N812=0,0,IF(OR(Q812=0,T812=0,V812=0,AND(X812=1,J812&lt;&gt;"Sim")),1,0))</f>
        <v>0</v>
      </c>
      <c r="Z812" s="96">
        <f>IF(Q812=1,INDEX('CDFs'!$W$6:$W$505,P812),0)</f>
        <v>0</v>
      </c>
      <c r="AA812" s="96">
        <f>IF(AND(N812=1,Y812=0,Z812=1,J812="Sim"),1,0)</f>
        <v>0</v>
      </c>
      <c r="AB812" s="96">
        <f>IF(AND(N812=1,O812&lt;&gt;"",D812&lt;&gt;""),IF(COUNTIFS($O$6:O812,O812,$D$6:D812,D812)=1,1,0),0)</f>
        <v>0</v>
      </c>
      <c r="AC812" s="96">
        <f>IF(T812=1,INDEX('ITENS_MTR'!$AL$6:$AL$1005,S812),0)</f>
        <v>0</v>
      </c>
    </row>
    <row r="813">
      <c r="A813" s="89" t="inlineStr">
        <is>
          <t>VIN-000808</t>
        </is>
      </c>
      <c r="B813" s="91" t="n"/>
      <c r="C813" s="91" t="n"/>
      <c r="D813" s="94" t="str">
        <f>IF(T813=1,INDEX('ITENS_MTR'!$S$6:$S$1005,S813)&amp;"","")</f>
        <v/>
      </c>
      <c r="E813" s="94" t="str">
        <f>IF(T813=1,INDEX('ITENS_MTR'!$C$6:$C$1005,S813)&amp;"","")</f>
        <v/>
      </c>
      <c r="F813" s="98" t="n"/>
      <c r="G813" s="91" t="n"/>
      <c r="H813" s="93" t="str">
        <f>IF(N813=0,"",IF(NOT(ISNUMBER(F813)),"",IF(ISNUMBER(U813),F813*U813,"UNIDADE A CONFERIR")))</f>
        <v/>
      </c>
      <c r="I813" s="94" t="str">
        <f>IF(Q813=1,INDEX('CDFs'!$F$6:$F$505,P813)&amp;"","")</f>
        <v/>
      </c>
      <c r="J813" s="91" t="n"/>
      <c r="K813" s="91" t="n"/>
      <c r="L813" s="94" t="str">
        <f>IF(N813=0,"",IF(NOT(ISNUMBER(F813)),"Quantidade não informada",IF(F813&lt;=0,"Quantidade não positiva",IF(G813="","Unidade não informada",IF(NOT(ISNUMBER(H813)),"Unidade a conferir",IF(AC813=1,"REVISAR VÍNCULO: soma vinculada maior que a referência do item","OK"))))))</f>
        <v/>
      </c>
      <c r="M813" s="94" t="str">
        <f>IF(N813=0,"",IF(B813="","CDF não informado",IF(Q813=0,"REVISAR VÍNCULO: CDF inexistente",IF(C813="","Item não informado",IF(T813=0,"REVISAR VÍNCULO: item inexistente",IF(AND(X813=1,J813&lt;&gt;"Sim"),"REVISAR VÍNCULO: destinador diferente do MTR",IF(X813=1,"Destinador diferente do MTR (analisado)","OK")))))))</f>
        <v/>
      </c>
      <c r="N813" s="96">
        <f>IF(COUNTA(B813:C813,F813:G813,J813:K813)&gt;0,1,0)</f>
        <v>0</v>
      </c>
      <c r="O813" s="96" t="str">
        <f>IF(B813="","",TRIM(LEFT(B813,FIND(" |",B813&amp;" |")-1)))</f>
        <v/>
      </c>
      <c r="P813" s="96" t="str">
        <f>IF(O813="","",IFERROR(MATCH(O813,'CDFs'!$A$6:$A$505,0),""))</f>
        <v/>
      </c>
      <c r="Q813" s="96">
        <f>IF(P813="",0,IF(INDEX('CDFs'!$S$6:$S$505,P813)=1,1,0))</f>
        <v>0</v>
      </c>
      <c r="R813" s="96" t="str">
        <f>IF(C813="","",TRIM(LEFT(C813,FIND(" |",C813&amp;" |")-1)))</f>
        <v/>
      </c>
      <c r="S813" s="96" t="str">
        <f>IF(R813="","",IFERROR(MATCH(R813,'ITENS_MTR'!$A$6:$A$1005,0),""))</f>
        <v/>
      </c>
      <c r="T813" s="96">
        <f>IF(S813="",0,IF(INDEX('ITENS_MTR'!$R$6:$R$1005,S813)=1,1,0))</f>
        <v>0</v>
      </c>
      <c r="U813" s="96" t="str">
        <f>IF(G813="","",IFERROR(IF(ISNUMBER(INDEX(cfg_fac,MATCH(G813,cfg_units,0))),IF(INDEX(cfg_fac,MATCH(G813,cfg_units,0))&gt;0,INDEX(cfg_fac,MATCH(G813,cfg_units,0)),""),""),""))</f>
        <v/>
      </c>
      <c r="V813" s="96">
        <f>IF(AND(ISNUMBER(F813),ISNUMBER(H813)),IF(H813&gt;0,1,0),0)</f>
        <v>0</v>
      </c>
      <c r="W813" s="96" t="str">
        <f>IF(T813=1,INDEX('ITENS_MTR'!$AU$6:$AU$1005,S813)&amp;"","")</f>
        <v/>
      </c>
      <c r="X813" s="96">
        <f>IF(AND(Q813=1,T813=1,I813&lt;&gt;"",W813&lt;&gt;""),IF(I813&lt;&gt;W813,1,0),0)</f>
        <v>0</v>
      </c>
      <c r="Y813" s="96">
        <f>IF(N813=0,0,IF(OR(Q813=0,T813=0,V813=0,AND(X813=1,J813&lt;&gt;"Sim")),1,0))</f>
        <v>0</v>
      </c>
      <c r="Z813" s="96">
        <f>IF(Q813=1,INDEX('CDFs'!$W$6:$W$505,P813),0)</f>
        <v>0</v>
      </c>
      <c r="AA813" s="96">
        <f>IF(AND(N813=1,Y813=0,Z813=1,J813="Sim"),1,0)</f>
        <v>0</v>
      </c>
      <c r="AB813" s="96">
        <f>IF(AND(N813=1,O813&lt;&gt;"",D813&lt;&gt;""),IF(COUNTIFS($O$6:O813,O813,$D$6:D813,D813)=1,1,0),0)</f>
        <v>0</v>
      </c>
      <c r="AC813" s="96">
        <f>IF(T813=1,INDEX('ITENS_MTR'!$AL$6:$AL$1005,S813),0)</f>
        <v>0</v>
      </c>
    </row>
    <row r="814">
      <c r="A814" s="89" t="inlineStr">
        <is>
          <t>VIN-000809</t>
        </is>
      </c>
      <c r="B814" s="91" t="n"/>
      <c r="C814" s="91" t="n"/>
      <c r="D814" s="94" t="str">
        <f>IF(T814=1,INDEX('ITENS_MTR'!$S$6:$S$1005,S814)&amp;"","")</f>
        <v/>
      </c>
      <c r="E814" s="94" t="str">
        <f>IF(T814=1,INDEX('ITENS_MTR'!$C$6:$C$1005,S814)&amp;"","")</f>
        <v/>
      </c>
      <c r="F814" s="98" t="n"/>
      <c r="G814" s="91" t="n"/>
      <c r="H814" s="93" t="str">
        <f>IF(N814=0,"",IF(NOT(ISNUMBER(F814)),"",IF(ISNUMBER(U814),F814*U814,"UNIDADE A CONFERIR")))</f>
        <v/>
      </c>
      <c r="I814" s="94" t="str">
        <f>IF(Q814=1,INDEX('CDFs'!$F$6:$F$505,P814)&amp;"","")</f>
        <v/>
      </c>
      <c r="J814" s="91" t="n"/>
      <c r="K814" s="91" t="n"/>
      <c r="L814" s="94" t="str">
        <f>IF(N814=0,"",IF(NOT(ISNUMBER(F814)),"Quantidade não informada",IF(F814&lt;=0,"Quantidade não positiva",IF(G814="","Unidade não informada",IF(NOT(ISNUMBER(H814)),"Unidade a conferir",IF(AC814=1,"REVISAR VÍNCULO: soma vinculada maior que a referência do item","OK"))))))</f>
        <v/>
      </c>
      <c r="M814" s="94" t="str">
        <f>IF(N814=0,"",IF(B814="","CDF não informado",IF(Q814=0,"REVISAR VÍNCULO: CDF inexistente",IF(C814="","Item não informado",IF(T814=0,"REVISAR VÍNCULO: item inexistente",IF(AND(X814=1,J814&lt;&gt;"Sim"),"REVISAR VÍNCULO: destinador diferente do MTR",IF(X814=1,"Destinador diferente do MTR (analisado)","OK")))))))</f>
        <v/>
      </c>
      <c r="N814" s="96">
        <f>IF(COUNTA(B814:C814,F814:G814,J814:K814)&gt;0,1,0)</f>
        <v>0</v>
      </c>
      <c r="O814" s="96" t="str">
        <f>IF(B814="","",TRIM(LEFT(B814,FIND(" |",B814&amp;" |")-1)))</f>
        <v/>
      </c>
      <c r="P814" s="96" t="str">
        <f>IF(O814="","",IFERROR(MATCH(O814,'CDFs'!$A$6:$A$505,0),""))</f>
        <v/>
      </c>
      <c r="Q814" s="96">
        <f>IF(P814="",0,IF(INDEX('CDFs'!$S$6:$S$505,P814)=1,1,0))</f>
        <v>0</v>
      </c>
      <c r="R814" s="96" t="str">
        <f>IF(C814="","",TRIM(LEFT(C814,FIND(" |",C814&amp;" |")-1)))</f>
        <v/>
      </c>
      <c r="S814" s="96" t="str">
        <f>IF(R814="","",IFERROR(MATCH(R814,'ITENS_MTR'!$A$6:$A$1005,0),""))</f>
        <v/>
      </c>
      <c r="T814" s="96">
        <f>IF(S814="",0,IF(INDEX('ITENS_MTR'!$R$6:$R$1005,S814)=1,1,0))</f>
        <v>0</v>
      </c>
      <c r="U814" s="96" t="str">
        <f>IF(G814="","",IFERROR(IF(ISNUMBER(INDEX(cfg_fac,MATCH(G814,cfg_units,0))),IF(INDEX(cfg_fac,MATCH(G814,cfg_units,0))&gt;0,INDEX(cfg_fac,MATCH(G814,cfg_units,0)),""),""),""))</f>
        <v/>
      </c>
      <c r="V814" s="96">
        <f>IF(AND(ISNUMBER(F814),ISNUMBER(H814)),IF(H814&gt;0,1,0),0)</f>
        <v>0</v>
      </c>
      <c r="W814" s="96" t="str">
        <f>IF(T814=1,INDEX('ITENS_MTR'!$AU$6:$AU$1005,S814)&amp;"","")</f>
        <v/>
      </c>
      <c r="X814" s="96">
        <f>IF(AND(Q814=1,T814=1,I814&lt;&gt;"",W814&lt;&gt;""),IF(I814&lt;&gt;W814,1,0),0)</f>
        <v>0</v>
      </c>
      <c r="Y814" s="96">
        <f>IF(N814=0,0,IF(OR(Q814=0,T814=0,V814=0,AND(X814=1,J814&lt;&gt;"Sim")),1,0))</f>
        <v>0</v>
      </c>
      <c r="Z814" s="96">
        <f>IF(Q814=1,INDEX('CDFs'!$W$6:$W$505,P814),0)</f>
        <v>0</v>
      </c>
      <c r="AA814" s="96">
        <f>IF(AND(N814=1,Y814=0,Z814=1,J814="Sim"),1,0)</f>
        <v>0</v>
      </c>
      <c r="AB814" s="96">
        <f>IF(AND(N814=1,O814&lt;&gt;"",D814&lt;&gt;""),IF(COUNTIFS($O$6:O814,O814,$D$6:D814,D814)=1,1,0),0)</f>
        <v>0</v>
      </c>
      <c r="AC814" s="96">
        <f>IF(T814=1,INDEX('ITENS_MTR'!$AL$6:$AL$1005,S814),0)</f>
        <v>0</v>
      </c>
    </row>
    <row r="815">
      <c r="A815" s="89" t="inlineStr">
        <is>
          <t>VIN-000810</t>
        </is>
      </c>
      <c r="B815" s="91" t="n"/>
      <c r="C815" s="91" t="n"/>
      <c r="D815" s="94" t="str">
        <f>IF(T815=1,INDEX('ITENS_MTR'!$S$6:$S$1005,S815)&amp;"","")</f>
        <v/>
      </c>
      <c r="E815" s="94" t="str">
        <f>IF(T815=1,INDEX('ITENS_MTR'!$C$6:$C$1005,S815)&amp;"","")</f>
        <v/>
      </c>
      <c r="F815" s="98" t="n"/>
      <c r="G815" s="91" t="n"/>
      <c r="H815" s="93" t="str">
        <f>IF(N815=0,"",IF(NOT(ISNUMBER(F815)),"",IF(ISNUMBER(U815),F815*U815,"UNIDADE A CONFERIR")))</f>
        <v/>
      </c>
      <c r="I815" s="94" t="str">
        <f>IF(Q815=1,INDEX('CDFs'!$F$6:$F$505,P815)&amp;"","")</f>
        <v/>
      </c>
      <c r="J815" s="91" t="n"/>
      <c r="K815" s="91" t="n"/>
      <c r="L815" s="94" t="str">
        <f>IF(N815=0,"",IF(NOT(ISNUMBER(F815)),"Quantidade não informada",IF(F815&lt;=0,"Quantidade não positiva",IF(G815="","Unidade não informada",IF(NOT(ISNUMBER(H815)),"Unidade a conferir",IF(AC815=1,"REVISAR VÍNCULO: soma vinculada maior que a referência do item","OK"))))))</f>
        <v/>
      </c>
      <c r="M815" s="94" t="str">
        <f>IF(N815=0,"",IF(B815="","CDF não informado",IF(Q815=0,"REVISAR VÍNCULO: CDF inexistente",IF(C815="","Item não informado",IF(T815=0,"REVISAR VÍNCULO: item inexistente",IF(AND(X815=1,J815&lt;&gt;"Sim"),"REVISAR VÍNCULO: destinador diferente do MTR",IF(X815=1,"Destinador diferente do MTR (analisado)","OK")))))))</f>
        <v/>
      </c>
      <c r="N815" s="96">
        <f>IF(COUNTA(B815:C815,F815:G815,J815:K815)&gt;0,1,0)</f>
        <v>0</v>
      </c>
      <c r="O815" s="96" t="str">
        <f>IF(B815="","",TRIM(LEFT(B815,FIND(" |",B815&amp;" |")-1)))</f>
        <v/>
      </c>
      <c r="P815" s="96" t="str">
        <f>IF(O815="","",IFERROR(MATCH(O815,'CDFs'!$A$6:$A$505,0),""))</f>
        <v/>
      </c>
      <c r="Q815" s="96">
        <f>IF(P815="",0,IF(INDEX('CDFs'!$S$6:$S$505,P815)=1,1,0))</f>
        <v>0</v>
      </c>
      <c r="R815" s="96" t="str">
        <f>IF(C815="","",TRIM(LEFT(C815,FIND(" |",C815&amp;" |")-1)))</f>
        <v/>
      </c>
      <c r="S815" s="96" t="str">
        <f>IF(R815="","",IFERROR(MATCH(R815,'ITENS_MTR'!$A$6:$A$1005,0),""))</f>
        <v/>
      </c>
      <c r="T815" s="96">
        <f>IF(S815="",0,IF(INDEX('ITENS_MTR'!$R$6:$R$1005,S815)=1,1,0))</f>
        <v>0</v>
      </c>
      <c r="U815" s="96" t="str">
        <f>IF(G815="","",IFERROR(IF(ISNUMBER(INDEX(cfg_fac,MATCH(G815,cfg_units,0))),IF(INDEX(cfg_fac,MATCH(G815,cfg_units,0))&gt;0,INDEX(cfg_fac,MATCH(G815,cfg_units,0)),""),""),""))</f>
        <v/>
      </c>
      <c r="V815" s="96">
        <f>IF(AND(ISNUMBER(F815),ISNUMBER(H815)),IF(H815&gt;0,1,0),0)</f>
        <v>0</v>
      </c>
      <c r="W815" s="96" t="str">
        <f>IF(T815=1,INDEX('ITENS_MTR'!$AU$6:$AU$1005,S815)&amp;"","")</f>
        <v/>
      </c>
      <c r="X815" s="96">
        <f>IF(AND(Q815=1,T815=1,I815&lt;&gt;"",W815&lt;&gt;""),IF(I815&lt;&gt;W815,1,0),0)</f>
        <v>0</v>
      </c>
      <c r="Y815" s="96">
        <f>IF(N815=0,0,IF(OR(Q815=0,T815=0,V815=0,AND(X815=1,J815&lt;&gt;"Sim")),1,0))</f>
        <v>0</v>
      </c>
      <c r="Z815" s="96">
        <f>IF(Q815=1,INDEX('CDFs'!$W$6:$W$505,P815),0)</f>
        <v>0</v>
      </c>
      <c r="AA815" s="96">
        <f>IF(AND(N815=1,Y815=0,Z815=1,J815="Sim"),1,0)</f>
        <v>0</v>
      </c>
      <c r="AB815" s="96">
        <f>IF(AND(N815=1,O815&lt;&gt;"",D815&lt;&gt;""),IF(COUNTIFS($O$6:O815,O815,$D$6:D815,D815)=1,1,0),0)</f>
        <v>0</v>
      </c>
      <c r="AC815" s="96">
        <f>IF(T815=1,INDEX('ITENS_MTR'!$AL$6:$AL$1005,S815),0)</f>
        <v>0</v>
      </c>
    </row>
    <row r="816">
      <c r="A816" s="89" t="inlineStr">
        <is>
          <t>VIN-000811</t>
        </is>
      </c>
      <c r="B816" s="91" t="n"/>
      <c r="C816" s="91" t="n"/>
      <c r="D816" s="94" t="str">
        <f>IF(T816=1,INDEX('ITENS_MTR'!$S$6:$S$1005,S816)&amp;"","")</f>
        <v/>
      </c>
      <c r="E816" s="94" t="str">
        <f>IF(T816=1,INDEX('ITENS_MTR'!$C$6:$C$1005,S816)&amp;"","")</f>
        <v/>
      </c>
      <c r="F816" s="98" t="n"/>
      <c r="G816" s="91" t="n"/>
      <c r="H816" s="93" t="str">
        <f>IF(N816=0,"",IF(NOT(ISNUMBER(F816)),"",IF(ISNUMBER(U816),F816*U816,"UNIDADE A CONFERIR")))</f>
        <v/>
      </c>
      <c r="I816" s="94" t="str">
        <f>IF(Q816=1,INDEX('CDFs'!$F$6:$F$505,P816)&amp;"","")</f>
        <v/>
      </c>
      <c r="J816" s="91" t="n"/>
      <c r="K816" s="91" t="n"/>
      <c r="L816" s="94" t="str">
        <f>IF(N816=0,"",IF(NOT(ISNUMBER(F816)),"Quantidade não informada",IF(F816&lt;=0,"Quantidade não positiva",IF(G816="","Unidade não informada",IF(NOT(ISNUMBER(H816)),"Unidade a conferir",IF(AC816=1,"REVISAR VÍNCULO: soma vinculada maior que a referência do item","OK"))))))</f>
        <v/>
      </c>
      <c r="M816" s="94" t="str">
        <f>IF(N816=0,"",IF(B816="","CDF não informado",IF(Q816=0,"REVISAR VÍNCULO: CDF inexistente",IF(C816="","Item não informado",IF(T816=0,"REVISAR VÍNCULO: item inexistente",IF(AND(X816=1,J816&lt;&gt;"Sim"),"REVISAR VÍNCULO: destinador diferente do MTR",IF(X816=1,"Destinador diferente do MTR (analisado)","OK")))))))</f>
        <v/>
      </c>
      <c r="N816" s="96">
        <f>IF(COUNTA(B816:C816,F816:G816,J816:K816)&gt;0,1,0)</f>
        <v>0</v>
      </c>
      <c r="O816" s="96" t="str">
        <f>IF(B816="","",TRIM(LEFT(B816,FIND(" |",B816&amp;" |")-1)))</f>
        <v/>
      </c>
      <c r="P816" s="96" t="str">
        <f>IF(O816="","",IFERROR(MATCH(O816,'CDFs'!$A$6:$A$505,0),""))</f>
        <v/>
      </c>
      <c r="Q816" s="96">
        <f>IF(P816="",0,IF(INDEX('CDFs'!$S$6:$S$505,P816)=1,1,0))</f>
        <v>0</v>
      </c>
      <c r="R816" s="96" t="str">
        <f>IF(C816="","",TRIM(LEFT(C816,FIND(" |",C816&amp;" |")-1)))</f>
        <v/>
      </c>
      <c r="S816" s="96" t="str">
        <f>IF(R816="","",IFERROR(MATCH(R816,'ITENS_MTR'!$A$6:$A$1005,0),""))</f>
        <v/>
      </c>
      <c r="T816" s="96">
        <f>IF(S816="",0,IF(INDEX('ITENS_MTR'!$R$6:$R$1005,S816)=1,1,0))</f>
        <v>0</v>
      </c>
      <c r="U816" s="96" t="str">
        <f>IF(G816="","",IFERROR(IF(ISNUMBER(INDEX(cfg_fac,MATCH(G816,cfg_units,0))),IF(INDEX(cfg_fac,MATCH(G816,cfg_units,0))&gt;0,INDEX(cfg_fac,MATCH(G816,cfg_units,0)),""),""),""))</f>
        <v/>
      </c>
      <c r="V816" s="96">
        <f>IF(AND(ISNUMBER(F816),ISNUMBER(H816)),IF(H816&gt;0,1,0),0)</f>
        <v>0</v>
      </c>
      <c r="W816" s="96" t="str">
        <f>IF(T816=1,INDEX('ITENS_MTR'!$AU$6:$AU$1005,S816)&amp;"","")</f>
        <v/>
      </c>
      <c r="X816" s="96">
        <f>IF(AND(Q816=1,T816=1,I816&lt;&gt;"",W816&lt;&gt;""),IF(I816&lt;&gt;W816,1,0),0)</f>
        <v>0</v>
      </c>
      <c r="Y816" s="96">
        <f>IF(N816=0,0,IF(OR(Q816=0,T816=0,V816=0,AND(X816=1,J816&lt;&gt;"Sim")),1,0))</f>
        <v>0</v>
      </c>
      <c r="Z816" s="96">
        <f>IF(Q816=1,INDEX('CDFs'!$W$6:$W$505,P816),0)</f>
        <v>0</v>
      </c>
      <c r="AA816" s="96">
        <f>IF(AND(N816=1,Y816=0,Z816=1,J816="Sim"),1,0)</f>
        <v>0</v>
      </c>
      <c r="AB816" s="96">
        <f>IF(AND(N816=1,O816&lt;&gt;"",D816&lt;&gt;""),IF(COUNTIFS($O$6:O816,O816,$D$6:D816,D816)=1,1,0),0)</f>
        <v>0</v>
      </c>
      <c r="AC816" s="96">
        <f>IF(T816=1,INDEX('ITENS_MTR'!$AL$6:$AL$1005,S816),0)</f>
        <v>0</v>
      </c>
    </row>
    <row r="817">
      <c r="A817" s="89" t="inlineStr">
        <is>
          <t>VIN-000812</t>
        </is>
      </c>
      <c r="B817" s="91" t="n"/>
      <c r="C817" s="91" t="n"/>
      <c r="D817" s="94" t="str">
        <f>IF(T817=1,INDEX('ITENS_MTR'!$S$6:$S$1005,S817)&amp;"","")</f>
        <v/>
      </c>
      <c r="E817" s="94" t="str">
        <f>IF(T817=1,INDEX('ITENS_MTR'!$C$6:$C$1005,S817)&amp;"","")</f>
        <v/>
      </c>
      <c r="F817" s="98" t="n"/>
      <c r="G817" s="91" t="n"/>
      <c r="H817" s="93" t="str">
        <f>IF(N817=0,"",IF(NOT(ISNUMBER(F817)),"",IF(ISNUMBER(U817),F817*U817,"UNIDADE A CONFERIR")))</f>
        <v/>
      </c>
      <c r="I817" s="94" t="str">
        <f>IF(Q817=1,INDEX('CDFs'!$F$6:$F$505,P817)&amp;"","")</f>
        <v/>
      </c>
      <c r="J817" s="91" t="n"/>
      <c r="K817" s="91" t="n"/>
      <c r="L817" s="94" t="str">
        <f>IF(N817=0,"",IF(NOT(ISNUMBER(F817)),"Quantidade não informada",IF(F817&lt;=0,"Quantidade não positiva",IF(G817="","Unidade não informada",IF(NOT(ISNUMBER(H817)),"Unidade a conferir",IF(AC817=1,"REVISAR VÍNCULO: soma vinculada maior que a referência do item","OK"))))))</f>
        <v/>
      </c>
      <c r="M817" s="94" t="str">
        <f>IF(N817=0,"",IF(B817="","CDF não informado",IF(Q817=0,"REVISAR VÍNCULO: CDF inexistente",IF(C817="","Item não informado",IF(T817=0,"REVISAR VÍNCULO: item inexistente",IF(AND(X817=1,J817&lt;&gt;"Sim"),"REVISAR VÍNCULO: destinador diferente do MTR",IF(X817=1,"Destinador diferente do MTR (analisado)","OK")))))))</f>
        <v/>
      </c>
      <c r="N817" s="96">
        <f>IF(COUNTA(B817:C817,F817:G817,J817:K817)&gt;0,1,0)</f>
        <v>0</v>
      </c>
      <c r="O817" s="96" t="str">
        <f>IF(B817="","",TRIM(LEFT(B817,FIND(" |",B817&amp;" |")-1)))</f>
        <v/>
      </c>
      <c r="P817" s="96" t="str">
        <f>IF(O817="","",IFERROR(MATCH(O817,'CDFs'!$A$6:$A$505,0),""))</f>
        <v/>
      </c>
      <c r="Q817" s="96">
        <f>IF(P817="",0,IF(INDEX('CDFs'!$S$6:$S$505,P817)=1,1,0))</f>
        <v>0</v>
      </c>
      <c r="R817" s="96" t="str">
        <f>IF(C817="","",TRIM(LEFT(C817,FIND(" |",C817&amp;" |")-1)))</f>
        <v/>
      </c>
      <c r="S817" s="96" t="str">
        <f>IF(R817="","",IFERROR(MATCH(R817,'ITENS_MTR'!$A$6:$A$1005,0),""))</f>
        <v/>
      </c>
      <c r="T817" s="96">
        <f>IF(S817="",0,IF(INDEX('ITENS_MTR'!$R$6:$R$1005,S817)=1,1,0))</f>
        <v>0</v>
      </c>
      <c r="U817" s="96" t="str">
        <f>IF(G817="","",IFERROR(IF(ISNUMBER(INDEX(cfg_fac,MATCH(G817,cfg_units,0))),IF(INDEX(cfg_fac,MATCH(G817,cfg_units,0))&gt;0,INDEX(cfg_fac,MATCH(G817,cfg_units,0)),""),""),""))</f>
        <v/>
      </c>
      <c r="V817" s="96">
        <f>IF(AND(ISNUMBER(F817),ISNUMBER(H817)),IF(H817&gt;0,1,0),0)</f>
        <v>0</v>
      </c>
      <c r="W817" s="96" t="str">
        <f>IF(T817=1,INDEX('ITENS_MTR'!$AU$6:$AU$1005,S817)&amp;"","")</f>
        <v/>
      </c>
      <c r="X817" s="96">
        <f>IF(AND(Q817=1,T817=1,I817&lt;&gt;"",W817&lt;&gt;""),IF(I817&lt;&gt;W817,1,0),0)</f>
        <v>0</v>
      </c>
      <c r="Y817" s="96">
        <f>IF(N817=0,0,IF(OR(Q817=0,T817=0,V817=0,AND(X817=1,J817&lt;&gt;"Sim")),1,0))</f>
        <v>0</v>
      </c>
      <c r="Z817" s="96">
        <f>IF(Q817=1,INDEX('CDFs'!$W$6:$W$505,P817),0)</f>
        <v>0</v>
      </c>
      <c r="AA817" s="96">
        <f>IF(AND(N817=1,Y817=0,Z817=1,J817="Sim"),1,0)</f>
        <v>0</v>
      </c>
      <c r="AB817" s="96">
        <f>IF(AND(N817=1,O817&lt;&gt;"",D817&lt;&gt;""),IF(COUNTIFS($O$6:O817,O817,$D$6:D817,D817)=1,1,0),0)</f>
        <v>0</v>
      </c>
      <c r="AC817" s="96">
        <f>IF(T817=1,INDEX('ITENS_MTR'!$AL$6:$AL$1005,S817),0)</f>
        <v>0</v>
      </c>
    </row>
    <row r="818">
      <c r="A818" s="89" t="inlineStr">
        <is>
          <t>VIN-000813</t>
        </is>
      </c>
      <c r="B818" s="91" t="n"/>
      <c r="C818" s="91" t="n"/>
      <c r="D818" s="94" t="str">
        <f>IF(T818=1,INDEX('ITENS_MTR'!$S$6:$S$1005,S818)&amp;"","")</f>
        <v/>
      </c>
      <c r="E818" s="94" t="str">
        <f>IF(T818=1,INDEX('ITENS_MTR'!$C$6:$C$1005,S818)&amp;"","")</f>
        <v/>
      </c>
      <c r="F818" s="98" t="n"/>
      <c r="G818" s="91" t="n"/>
      <c r="H818" s="93" t="str">
        <f>IF(N818=0,"",IF(NOT(ISNUMBER(F818)),"",IF(ISNUMBER(U818),F818*U818,"UNIDADE A CONFERIR")))</f>
        <v/>
      </c>
      <c r="I818" s="94" t="str">
        <f>IF(Q818=1,INDEX('CDFs'!$F$6:$F$505,P818)&amp;"","")</f>
        <v/>
      </c>
      <c r="J818" s="91" t="n"/>
      <c r="K818" s="91" t="n"/>
      <c r="L818" s="94" t="str">
        <f>IF(N818=0,"",IF(NOT(ISNUMBER(F818)),"Quantidade não informada",IF(F818&lt;=0,"Quantidade não positiva",IF(G818="","Unidade não informada",IF(NOT(ISNUMBER(H818)),"Unidade a conferir",IF(AC818=1,"REVISAR VÍNCULO: soma vinculada maior que a referência do item","OK"))))))</f>
        <v/>
      </c>
      <c r="M818" s="94" t="str">
        <f>IF(N818=0,"",IF(B818="","CDF não informado",IF(Q818=0,"REVISAR VÍNCULO: CDF inexistente",IF(C818="","Item não informado",IF(T818=0,"REVISAR VÍNCULO: item inexistente",IF(AND(X818=1,J818&lt;&gt;"Sim"),"REVISAR VÍNCULO: destinador diferente do MTR",IF(X818=1,"Destinador diferente do MTR (analisado)","OK")))))))</f>
        <v/>
      </c>
      <c r="N818" s="96">
        <f>IF(COUNTA(B818:C818,F818:G818,J818:K818)&gt;0,1,0)</f>
        <v>0</v>
      </c>
      <c r="O818" s="96" t="str">
        <f>IF(B818="","",TRIM(LEFT(B818,FIND(" |",B818&amp;" |")-1)))</f>
        <v/>
      </c>
      <c r="P818" s="96" t="str">
        <f>IF(O818="","",IFERROR(MATCH(O818,'CDFs'!$A$6:$A$505,0),""))</f>
        <v/>
      </c>
      <c r="Q818" s="96">
        <f>IF(P818="",0,IF(INDEX('CDFs'!$S$6:$S$505,P818)=1,1,0))</f>
        <v>0</v>
      </c>
      <c r="R818" s="96" t="str">
        <f>IF(C818="","",TRIM(LEFT(C818,FIND(" |",C818&amp;" |")-1)))</f>
        <v/>
      </c>
      <c r="S818" s="96" t="str">
        <f>IF(R818="","",IFERROR(MATCH(R818,'ITENS_MTR'!$A$6:$A$1005,0),""))</f>
        <v/>
      </c>
      <c r="T818" s="96">
        <f>IF(S818="",0,IF(INDEX('ITENS_MTR'!$R$6:$R$1005,S818)=1,1,0))</f>
        <v>0</v>
      </c>
      <c r="U818" s="96" t="str">
        <f>IF(G818="","",IFERROR(IF(ISNUMBER(INDEX(cfg_fac,MATCH(G818,cfg_units,0))),IF(INDEX(cfg_fac,MATCH(G818,cfg_units,0))&gt;0,INDEX(cfg_fac,MATCH(G818,cfg_units,0)),""),""),""))</f>
        <v/>
      </c>
      <c r="V818" s="96">
        <f>IF(AND(ISNUMBER(F818),ISNUMBER(H818)),IF(H818&gt;0,1,0),0)</f>
        <v>0</v>
      </c>
      <c r="W818" s="96" t="str">
        <f>IF(T818=1,INDEX('ITENS_MTR'!$AU$6:$AU$1005,S818)&amp;"","")</f>
        <v/>
      </c>
      <c r="X818" s="96">
        <f>IF(AND(Q818=1,T818=1,I818&lt;&gt;"",W818&lt;&gt;""),IF(I818&lt;&gt;W818,1,0),0)</f>
        <v>0</v>
      </c>
      <c r="Y818" s="96">
        <f>IF(N818=0,0,IF(OR(Q818=0,T818=0,V818=0,AND(X818=1,J818&lt;&gt;"Sim")),1,0))</f>
        <v>0</v>
      </c>
      <c r="Z818" s="96">
        <f>IF(Q818=1,INDEX('CDFs'!$W$6:$W$505,P818),0)</f>
        <v>0</v>
      </c>
      <c r="AA818" s="96">
        <f>IF(AND(N818=1,Y818=0,Z818=1,J818="Sim"),1,0)</f>
        <v>0</v>
      </c>
      <c r="AB818" s="96">
        <f>IF(AND(N818=1,O818&lt;&gt;"",D818&lt;&gt;""),IF(COUNTIFS($O$6:O818,O818,$D$6:D818,D818)=1,1,0),0)</f>
        <v>0</v>
      </c>
      <c r="AC818" s="96">
        <f>IF(T818=1,INDEX('ITENS_MTR'!$AL$6:$AL$1005,S818),0)</f>
        <v>0</v>
      </c>
    </row>
    <row r="819">
      <c r="A819" s="89" t="inlineStr">
        <is>
          <t>VIN-000814</t>
        </is>
      </c>
      <c r="B819" s="91" t="n"/>
      <c r="C819" s="91" t="n"/>
      <c r="D819" s="94" t="str">
        <f>IF(T819=1,INDEX('ITENS_MTR'!$S$6:$S$1005,S819)&amp;"","")</f>
        <v/>
      </c>
      <c r="E819" s="94" t="str">
        <f>IF(T819=1,INDEX('ITENS_MTR'!$C$6:$C$1005,S819)&amp;"","")</f>
        <v/>
      </c>
      <c r="F819" s="98" t="n"/>
      <c r="G819" s="91" t="n"/>
      <c r="H819" s="93" t="str">
        <f>IF(N819=0,"",IF(NOT(ISNUMBER(F819)),"",IF(ISNUMBER(U819),F819*U819,"UNIDADE A CONFERIR")))</f>
        <v/>
      </c>
      <c r="I819" s="94" t="str">
        <f>IF(Q819=1,INDEX('CDFs'!$F$6:$F$505,P819)&amp;"","")</f>
        <v/>
      </c>
      <c r="J819" s="91" t="n"/>
      <c r="K819" s="91" t="n"/>
      <c r="L819" s="94" t="str">
        <f>IF(N819=0,"",IF(NOT(ISNUMBER(F819)),"Quantidade não informada",IF(F819&lt;=0,"Quantidade não positiva",IF(G819="","Unidade não informada",IF(NOT(ISNUMBER(H819)),"Unidade a conferir",IF(AC819=1,"REVISAR VÍNCULO: soma vinculada maior que a referência do item","OK"))))))</f>
        <v/>
      </c>
      <c r="M819" s="94" t="str">
        <f>IF(N819=0,"",IF(B819="","CDF não informado",IF(Q819=0,"REVISAR VÍNCULO: CDF inexistente",IF(C819="","Item não informado",IF(T819=0,"REVISAR VÍNCULO: item inexistente",IF(AND(X819=1,J819&lt;&gt;"Sim"),"REVISAR VÍNCULO: destinador diferente do MTR",IF(X819=1,"Destinador diferente do MTR (analisado)","OK")))))))</f>
        <v/>
      </c>
      <c r="N819" s="96">
        <f>IF(COUNTA(B819:C819,F819:G819,J819:K819)&gt;0,1,0)</f>
        <v>0</v>
      </c>
      <c r="O819" s="96" t="str">
        <f>IF(B819="","",TRIM(LEFT(B819,FIND(" |",B819&amp;" |")-1)))</f>
        <v/>
      </c>
      <c r="P819" s="96" t="str">
        <f>IF(O819="","",IFERROR(MATCH(O819,'CDFs'!$A$6:$A$505,0),""))</f>
        <v/>
      </c>
      <c r="Q819" s="96">
        <f>IF(P819="",0,IF(INDEX('CDFs'!$S$6:$S$505,P819)=1,1,0))</f>
        <v>0</v>
      </c>
      <c r="R819" s="96" t="str">
        <f>IF(C819="","",TRIM(LEFT(C819,FIND(" |",C819&amp;" |")-1)))</f>
        <v/>
      </c>
      <c r="S819" s="96" t="str">
        <f>IF(R819="","",IFERROR(MATCH(R819,'ITENS_MTR'!$A$6:$A$1005,0),""))</f>
        <v/>
      </c>
      <c r="T819" s="96">
        <f>IF(S819="",0,IF(INDEX('ITENS_MTR'!$R$6:$R$1005,S819)=1,1,0))</f>
        <v>0</v>
      </c>
      <c r="U819" s="96" t="str">
        <f>IF(G819="","",IFERROR(IF(ISNUMBER(INDEX(cfg_fac,MATCH(G819,cfg_units,0))),IF(INDEX(cfg_fac,MATCH(G819,cfg_units,0))&gt;0,INDEX(cfg_fac,MATCH(G819,cfg_units,0)),""),""),""))</f>
        <v/>
      </c>
      <c r="V819" s="96">
        <f>IF(AND(ISNUMBER(F819),ISNUMBER(H819)),IF(H819&gt;0,1,0),0)</f>
        <v>0</v>
      </c>
      <c r="W819" s="96" t="str">
        <f>IF(T819=1,INDEX('ITENS_MTR'!$AU$6:$AU$1005,S819)&amp;"","")</f>
        <v/>
      </c>
      <c r="X819" s="96">
        <f>IF(AND(Q819=1,T819=1,I819&lt;&gt;"",W819&lt;&gt;""),IF(I819&lt;&gt;W819,1,0),0)</f>
        <v>0</v>
      </c>
      <c r="Y819" s="96">
        <f>IF(N819=0,0,IF(OR(Q819=0,T819=0,V819=0,AND(X819=1,J819&lt;&gt;"Sim")),1,0))</f>
        <v>0</v>
      </c>
      <c r="Z819" s="96">
        <f>IF(Q819=1,INDEX('CDFs'!$W$6:$W$505,P819),0)</f>
        <v>0</v>
      </c>
      <c r="AA819" s="96">
        <f>IF(AND(N819=1,Y819=0,Z819=1,J819="Sim"),1,0)</f>
        <v>0</v>
      </c>
      <c r="AB819" s="96">
        <f>IF(AND(N819=1,O819&lt;&gt;"",D819&lt;&gt;""),IF(COUNTIFS($O$6:O819,O819,$D$6:D819,D819)=1,1,0),0)</f>
        <v>0</v>
      </c>
      <c r="AC819" s="96">
        <f>IF(T819=1,INDEX('ITENS_MTR'!$AL$6:$AL$1005,S819),0)</f>
        <v>0</v>
      </c>
    </row>
    <row r="820">
      <c r="A820" s="89" t="inlineStr">
        <is>
          <t>VIN-000815</t>
        </is>
      </c>
      <c r="B820" s="91" t="n"/>
      <c r="C820" s="91" t="n"/>
      <c r="D820" s="94" t="str">
        <f>IF(T820=1,INDEX('ITENS_MTR'!$S$6:$S$1005,S820)&amp;"","")</f>
        <v/>
      </c>
      <c r="E820" s="94" t="str">
        <f>IF(T820=1,INDEX('ITENS_MTR'!$C$6:$C$1005,S820)&amp;"","")</f>
        <v/>
      </c>
      <c r="F820" s="98" t="n"/>
      <c r="G820" s="91" t="n"/>
      <c r="H820" s="93" t="str">
        <f>IF(N820=0,"",IF(NOT(ISNUMBER(F820)),"",IF(ISNUMBER(U820),F820*U820,"UNIDADE A CONFERIR")))</f>
        <v/>
      </c>
      <c r="I820" s="94" t="str">
        <f>IF(Q820=1,INDEX('CDFs'!$F$6:$F$505,P820)&amp;"","")</f>
        <v/>
      </c>
      <c r="J820" s="91" t="n"/>
      <c r="K820" s="91" t="n"/>
      <c r="L820" s="94" t="str">
        <f>IF(N820=0,"",IF(NOT(ISNUMBER(F820)),"Quantidade não informada",IF(F820&lt;=0,"Quantidade não positiva",IF(G820="","Unidade não informada",IF(NOT(ISNUMBER(H820)),"Unidade a conferir",IF(AC820=1,"REVISAR VÍNCULO: soma vinculada maior que a referência do item","OK"))))))</f>
        <v/>
      </c>
      <c r="M820" s="94" t="str">
        <f>IF(N820=0,"",IF(B820="","CDF não informado",IF(Q820=0,"REVISAR VÍNCULO: CDF inexistente",IF(C820="","Item não informado",IF(T820=0,"REVISAR VÍNCULO: item inexistente",IF(AND(X820=1,J820&lt;&gt;"Sim"),"REVISAR VÍNCULO: destinador diferente do MTR",IF(X820=1,"Destinador diferente do MTR (analisado)","OK")))))))</f>
        <v/>
      </c>
      <c r="N820" s="96">
        <f>IF(COUNTA(B820:C820,F820:G820,J820:K820)&gt;0,1,0)</f>
        <v>0</v>
      </c>
      <c r="O820" s="96" t="str">
        <f>IF(B820="","",TRIM(LEFT(B820,FIND(" |",B820&amp;" |")-1)))</f>
        <v/>
      </c>
      <c r="P820" s="96" t="str">
        <f>IF(O820="","",IFERROR(MATCH(O820,'CDFs'!$A$6:$A$505,0),""))</f>
        <v/>
      </c>
      <c r="Q820" s="96">
        <f>IF(P820="",0,IF(INDEX('CDFs'!$S$6:$S$505,P820)=1,1,0))</f>
        <v>0</v>
      </c>
      <c r="R820" s="96" t="str">
        <f>IF(C820="","",TRIM(LEFT(C820,FIND(" |",C820&amp;" |")-1)))</f>
        <v/>
      </c>
      <c r="S820" s="96" t="str">
        <f>IF(R820="","",IFERROR(MATCH(R820,'ITENS_MTR'!$A$6:$A$1005,0),""))</f>
        <v/>
      </c>
      <c r="T820" s="96">
        <f>IF(S820="",0,IF(INDEX('ITENS_MTR'!$R$6:$R$1005,S820)=1,1,0))</f>
        <v>0</v>
      </c>
      <c r="U820" s="96" t="str">
        <f>IF(G820="","",IFERROR(IF(ISNUMBER(INDEX(cfg_fac,MATCH(G820,cfg_units,0))),IF(INDEX(cfg_fac,MATCH(G820,cfg_units,0))&gt;0,INDEX(cfg_fac,MATCH(G820,cfg_units,0)),""),""),""))</f>
        <v/>
      </c>
      <c r="V820" s="96">
        <f>IF(AND(ISNUMBER(F820),ISNUMBER(H820)),IF(H820&gt;0,1,0),0)</f>
        <v>0</v>
      </c>
      <c r="W820" s="96" t="str">
        <f>IF(T820=1,INDEX('ITENS_MTR'!$AU$6:$AU$1005,S820)&amp;"","")</f>
        <v/>
      </c>
      <c r="X820" s="96">
        <f>IF(AND(Q820=1,T820=1,I820&lt;&gt;"",W820&lt;&gt;""),IF(I820&lt;&gt;W820,1,0),0)</f>
        <v>0</v>
      </c>
      <c r="Y820" s="96">
        <f>IF(N820=0,0,IF(OR(Q820=0,T820=0,V820=0,AND(X820=1,J820&lt;&gt;"Sim")),1,0))</f>
        <v>0</v>
      </c>
      <c r="Z820" s="96">
        <f>IF(Q820=1,INDEX('CDFs'!$W$6:$W$505,P820),0)</f>
        <v>0</v>
      </c>
      <c r="AA820" s="96">
        <f>IF(AND(N820=1,Y820=0,Z820=1,J820="Sim"),1,0)</f>
        <v>0</v>
      </c>
      <c r="AB820" s="96">
        <f>IF(AND(N820=1,O820&lt;&gt;"",D820&lt;&gt;""),IF(COUNTIFS($O$6:O820,O820,$D$6:D820,D820)=1,1,0),0)</f>
        <v>0</v>
      </c>
      <c r="AC820" s="96">
        <f>IF(T820=1,INDEX('ITENS_MTR'!$AL$6:$AL$1005,S820),0)</f>
        <v>0</v>
      </c>
    </row>
    <row r="821">
      <c r="A821" s="89" t="inlineStr">
        <is>
          <t>VIN-000816</t>
        </is>
      </c>
      <c r="B821" s="91" t="n"/>
      <c r="C821" s="91" t="n"/>
      <c r="D821" s="94" t="str">
        <f>IF(T821=1,INDEX('ITENS_MTR'!$S$6:$S$1005,S821)&amp;"","")</f>
        <v/>
      </c>
      <c r="E821" s="94" t="str">
        <f>IF(T821=1,INDEX('ITENS_MTR'!$C$6:$C$1005,S821)&amp;"","")</f>
        <v/>
      </c>
      <c r="F821" s="98" t="n"/>
      <c r="G821" s="91" t="n"/>
      <c r="H821" s="93" t="str">
        <f>IF(N821=0,"",IF(NOT(ISNUMBER(F821)),"",IF(ISNUMBER(U821),F821*U821,"UNIDADE A CONFERIR")))</f>
        <v/>
      </c>
      <c r="I821" s="94" t="str">
        <f>IF(Q821=1,INDEX('CDFs'!$F$6:$F$505,P821)&amp;"","")</f>
        <v/>
      </c>
      <c r="J821" s="91" t="n"/>
      <c r="K821" s="91" t="n"/>
      <c r="L821" s="94" t="str">
        <f>IF(N821=0,"",IF(NOT(ISNUMBER(F821)),"Quantidade não informada",IF(F821&lt;=0,"Quantidade não positiva",IF(G821="","Unidade não informada",IF(NOT(ISNUMBER(H821)),"Unidade a conferir",IF(AC821=1,"REVISAR VÍNCULO: soma vinculada maior que a referência do item","OK"))))))</f>
        <v/>
      </c>
      <c r="M821" s="94" t="str">
        <f>IF(N821=0,"",IF(B821="","CDF não informado",IF(Q821=0,"REVISAR VÍNCULO: CDF inexistente",IF(C821="","Item não informado",IF(T821=0,"REVISAR VÍNCULO: item inexistente",IF(AND(X821=1,J821&lt;&gt;"Sim"),"REVISAR VÍNCULO: destinador diferente do MTR",IF(X821=1,"Destinador diferente do MTR (analisado)","OK")))))))</f>
        <v/>
      </c>
      <c r="N821" s="96">
        <f>IF(COUNTA(B821:C821,F821:G821,J821:K821)&gt;0,1,0)</f>
        <v>0</v>
      </c>
      <c r="O821" s="96" t="str">
        <f>IF(B821="","",TRIM(LEFT(B821,FIND(" |",B821&amp;" |")-1)))</f>
        <v/>
      </c>
      <c r="P821" s="96" t="str">
        <f>IF(O821="","",IFERROR(MATCH(O821,'CDFs'!$A$6:$A$505,0),""))</f>
        <v/>
      </c>
      <c r="Q821" s="96">
        <f>IF(P821="",0,IF(INDEX('CDFs'!$S$6:$S$505,P821)=1,1,0))</f>
        <v>0</v>
      </c>
      <c r="R821" s="96" t="str">
        <f>IF(C821="","",TRIM(LEFT(C821,FIND(" |",C821&amp;" |")-1)))</f>
        <v/>
      </c>
      <c r="S821" s="96" t="str">
        <f>IF(R821="","",IFERROR(MATCH(R821,'ITENS_MTR'!$A$6:$A$1005,0),""))</f>
        <v/>
      </c>
      <c r="T821" s="96">
        <f>IF(S821="",0,IF(INDEX('ITENS_MTR'!$R$6:$R$1005,S821)=1,1,0))</f>
        <v>0</v>
      </c>
      <c r="U821" s="96" t="str">
        <f>IF(G821="","",IFERROR(IF(ISNUMBER(INDEX(cfg_fac,MATCH(G821,cfg_units,0))),IF(INDEX(cfg_fac,MATCH(G821,cfg_units,0))&gt;0,INDEX(cfg_fac,MATCH(G821,cfg_units,0)),""),""),""))</f>
        <v/>
      </c>
      <c r="V821" s="96">
        <f>IF(AND(ISNUMBER(F821),ISNUMBER(H821)),IF(H821&gt;0,1,0),0)</f>
        <v>0</v>
      </c>
      <c r="W821" s="96" t="str">
        <f>IF(T821=1,INDEX('ITENS_MTR'!$AU$6:$AU$1005,S821)&amp;"","")</f>
        <v/>
      </c>
      <c r="X821" s="96">
        <f>IF(AND(Q821=1,T821=1,I821&lt;&gt;"",W821&lt;&gt;""),IF(I821&lt;&gt;W821,1,0),0)</f>
        <v>0</v>
      </c>
      <c r="Y821" s="96">
        <f>IF(N821=0,0,IF(OR(Q821=0,T821=0,V821=0,AND(X821=1,J821&lt;&gt;"Sim")),1,0))</f>
        <v>0</v>
      </c>
      <c r="Z821" s="96">
        <f>IF(Q821=1,INDEX('CDFs'!$W$6:$W$505,P821),0)</f>
        <v>0</v>
      </c>
      <c r="AA821" s="96">
        <f>IF(AND(N821=1,Y821=0,Z821=1,J821="Sim"),1,0)</f>
        <v>0</v>
      </c>
      <c r="AB821" s="96">
        <f>IF(AND(N821=1,O821&lt;&gt;"",D821&lt;&gt;""),IF(COUNTIFS($O$6:O821,O821,$D$6:D821,D821)=1,1,0),0)</f>
        <v>0</v>
      </c>
      <c r="AC821" s="96">
        <f>IF(T821=1,INDEX('ITENS_MTR'!$AL$6:$AL$1005,S821),0)</f>
        <v>0</v>
      </c>
    </row>
    <row r="822">
      <c r="A822" s="89" t="inlineStr">
        <is>
          <t>VIN-000817</t>
        </is>
      </c>
      <c r="B822" s="91" t="n"/>
      <c r="C822" s="91" t="n"/>
      <c r="D822" s="94" t="str">
        <f>IF(T822=1,INDEX('ITENS_MTR'!$S$6:$S$1005,S822)&amp;"","")</f>
        <v/>
      </c>
      <c r="E822" s="94" t="str">
        <f>IF(T822=1,INDEX('ITENS_MTR'!$C$6:$C$1005,S822)&amp;"","")</f>
        <v/>
      </c>
      <c r="F822" s="98" t="n"/>
      <c r="G822" s="91" t="n"/>
      <c r="H822" s="93" t="str">
        <f>IF(N822=0,"",IF(NOT(ISNUMBER(F822)),"",IF(ISNUMBER(U822),F822*U822,"UNIDADE A CONFERIR")))</f>
        <v/>
      </c>
      <c r="I822" s="94" t="str">
        <f>IF(Q822=1,INDEX('CDFs'!$F$6:$F$505,P822)&amp;"","")</f>
        <v/>
      </c>
      <c r="J822" s="91" t="n"/>
      <c r="K822" s="91" t="n"/>
      <c r="L822" s="94" t="str">
        <f>IF(N822=0,"",IF(NOT(ISNUMBER(F822)),"Quantidade não informada",IF(F822&lt;=0,"Quantidade não positiva",IF(G822="","Unidade não informada",IF(NOT(ISNUMBER(H822)),"Unidade a conferir",IF(AC822=1,"REVISAR VÍNCULO: soma vinculada maior que a referência do item","OK"))))))</f>
        <v/>
      </c>
      <c r="M822" s="94" t="str">
        <f>IF(N822=0,"",IF(B822="","CDF não informado",IF(Q822=0,"REVISAR VÍNCULO: CDF inexistente",IF(C822="","Item não informado",IF(T822=0,"REVISAR VÍNCULO: item inexistente",IF(AND(X822=1,J822&lt;&gt;"Sim"),"REVISAR VÍNCULO: destinador diferente do MTR",IF(X822=1,"Destinador diferente do MTR (analisado)","OK")))))))</f>
        <v/>
      </c>
      <c r="N822" s="96">
        <f>IF(COUNTA(B822:C822,F822:G822,J822:K822)&gt;0,1,0)</f>
        <v>0</v>
      </c>
      <c r="O822" s="96" t="str">
        <f>IF(B822="","",TRIM(LEFT(B822,FIND(" |",B822&amp;" |")-1)))</f>
        <v/>
      </c>
      <c r="P822" s="96" t="str">
        <f>IF(O822="","",IFERROR(MATCH(O822,'CDFs'!$A$6:$A$505,0),""))</f>
        <v/>
      </c>
      <c r="Q822" s="96">
        <f>IF(P822="",0,IF(INDEX('CDFs'!$S$6:$S$505,P822)=1,1,0))</f>
        <v>0</v>
      </c>
      <c r="R822" s="96" t="str">
        <f>IF(C822="","",TRIM(LEFT(C822,FIND(" |",C822&amp;" |")-1)))</f>
        <v/>
      </c>
      <c r="S822" s="96" t="str">
        <f>IF(R822="","",IFERROR(MATCH(R822,'ITENS_MTR'!$A$6:$A$1005,0),""))</f>
        <v/>
      </c>
      <c r="T822" s="96">
        <f>IF(S822="",0,IF(INDEX('ITENS_MTR'!$R$6:$R$1005,S822)=1,1,0))</f>
        <v>0</v>
      </c>
      <c r="U822" s="96" t="str">
        <f>IF(G822="","",IFERROR(IF(ISNUMBER(INDEX(cfg_fac,MATCH(G822,cfg_units,0))),IF(INDEX(cfg_fac,MATCH(G822,cfg_units,0))&gt;0,INDEX(cfg_fac,MATCH(G822,cfg_units,0)),""),""),""))</f>
        <v/>
      </c>
      <c r="V822" s="96">
        <f>IF(AND(ISNUMBER(F822),ISNUMBER(H822)),IF(H822&gt;0,1,0),0)</f>
        <v>0</v>
      </c>
      <c r="W822" s="96" t="str">
        <f>IF(T822=1,INDEX('ITENS_MTR'!$AU$6:$AU$1005,S822)&amp;"","")</f>
        <v/>
      </c>
      <c r="X822" s="96">
        <f>IF(AND(Q822=1,T822=1,I822&lt;&gt;"",W822&lt;&gt;""),IF(I822&lt;&gt;W822,1,0),0)</f>
        <v>0</v>
      </c>
      <c r="Y822" s="96">
        <f>IF(N822=0,0,IF(OR(Q822=0,T822=0,V822=0,AND(X822=1,J822&lt;&gt;"Sim")),1,0))</f>
        <v>0</v>
      </c>
      <c r="Z822" s="96">
        <f>IF(Q822=1,INDEX('CDFs'!$W$6:$W$505,P822),0)</f>
        <v>0</v>
      </c>
      <c r="AA822" s="96">
        <f>IF(AND(N822=1,Y822=0,Z822=1,J822="Sim"),1,0)</f>
        <v>0</v>
      </c>
      <c r="AB822" s="96">
        <f>IF(AND(N822=1,O822&lt;&gt;"",D822&lt;&gt;""),IF(COUNTIFS($O$6:O822,O822,$D$6:D822,D822)=1,1,0),0)</f>
        <v>0</v>
      </c>
      <c r="AC822" s="96">
        <f>IF(T822=1,INDEX('ITENS_MTR'!$AL$6:$AL$1005,S822),0)</f>
        <v>0</v>
      </c>
    </row>
    <row r="823">
      <c r="A823" s="89" t="inlineStr">
        <is>
          <t>VIN-000818</t>
        </is>
      </c>
      <c r="B823" s="91" t="n"/>
      <c r="C823" s="91" t="n"/>
      <c r="D823" s="94" t="str">
        <f>IF(T823=1,INDEX('ITENS_MTR'!$S$6:$S$1005,S823)&amp;"","")</f>
        <v/>
      </c>
      <c r="E823" s="94" t="str">
        <f>IF(T823=1,INDEX('ITENS_MTR'!$C$6:$C$1005,S823)&amp;"","")</f>
        <v/>
      </c>
      <c r="F823" s="98" t="n"/>
      <c r="G823" s="91" t="n"/>
      <c r="H823" s="93" t="str">
        <f>IF(N823=0,"",IF(NOT(ISNUMBER(F823)),"",IF(ISNUMBER(U823),F823*U823,"UNIDADE A CONFERIR")))</f>
        <v/>
      </c>
      <c r="I823" s="94" t="str">
        <f>IF(Q823=1,INDEX('CDFs'!$F$6:$F$505,P823)&amp;"","")</f>
        <v/>
      </c>
      <c r="J823" s="91" t="n"/>
      <c r="K823" s="91" t="n"/>
      <c r="L823" s="94" t="str">
        <f>IF(N823=0,"",IF(NOT(ISNUMBER(F823)),"Quantidade não informada",IF(F823&lt;=0,"Quantidade não positiva",IF(G823="","Unidade não informada",IF(NOT(ISNUMBER(H823)),"Unidade a conferir",IF(AC823=1,"REVISAR VÍNCULO: soma vinculada maior que a referência do item","OK"))))))</f>
        <v/>
      </c>
      <c r="M823" s="94" t="str">
        <f>IF(N823=0,"",IF(B823="","CDF não informado",IF(Q823=0,"REVISAR VÍNCULO: CDF inexistente",IF(C823="","Item não informado",IF(T823=0,"REVISAR VÍNCULO: item inexistente",IF(AND(X823=1,J823&lt;&gt;"Sim"),"REVISAR VÍNCULO: destinador diferente do MTR",IF(X823=1,"Destinador diferente do MTR (analisado)","OK")))))))</f>
        <v/>
      </c>
      <c r="N823" s="96">
        <f>IF(COUNTA(B823:C823,F823:G823,J823:K823)&gt;0,1,0)</f>
        <v>0</v>
      </c>
      <c r="O823" s="96" t="str">
        <f>IF(B823="","",TRIM(LEFT(B823,FIND(" |",B823&amp;" |")-1)))</f>
        <v/>
      </c>
      <c r="P823" s="96" t="str">
        <f>IF(O823="","",IFERROR(MATCH(O823,'CDFs'!$A$6:$A$505,0),""))</f>
        <v/>
      </c>
      <c r="Q823" s="96">
        <f>IF(P823="",0,IF(INDEX('CDFs'!$S$6:$S$505,P823)=1,1,0))</f>
        <v>0</v>
      </c>
      <c r="R823" s="96" t="str">
        <f>IF(C823="","",TRIM(LEFT(C823,FIND(" |",C823&amp;" |")-1)))</f>
        <v/>
      </c>
      <c r="S823" s="96" t="str">
        <f>IF(R823="","",IFERROR(MATCH(R823,'ITENS_MTR'!$A$6:$A$1005,0),""))</f>
        <v/>
      </c>
      <c r="T823" s="96">
        <f>IF(S823="",0,IF(INDEX('ITENS_MTR'!$R$6:$R$1005,S823)=1,1,0))</f>
        <v>0</v>
      </c>
      <c r="U823" s="96" t="str">
        <f>IF(G823="","",IFERROR(IF(ISNUMBER(INDEX(cfg_fac,MATCH(G823,cfg_units,0))),IF(INDEX(cfg_fac,MATCH(G823,cfg_units,0))&gt;0,INDEX(cfg_fac,MATCH(G823,cfg_units,0)),""),""),""))</f>
        <v/>
      </c>
      <c r="V823" s="96">
        <f>IF(AND(ISNUMBER(F823),ISNUMBER(H823)),IF(H823&gt;0,1,0),0)</f>
        <v>0</v>
      </c>
      <c r="W823" s="96" t="str">
        <f>IF(T823=1,INDEX('ITENS_MTR'!$AU$6:$AU$1005,S823)&amp;"","")</f>
        <v/>
      </c>
      <c r="X823" s="96">
        <f>IF(AND(Q823=1,T823=1,I823&lt;&gt;"",W823&lt;&gt;""),IF(I823&lt;&gt;W823,1,0),0)</f>
        <v>0</v>
      </c>
      <c r="Y823" s="96">
        <f>IF(N823=0,0,IF(OR(Q823=0,T823=0,V823=0,AND(X823=1,J823&lt;&gt;"Sim")),1,0))</f>
        <v>0</v>
      </c>
      <c r="Z823" s="96">
        <f>IF(Q823=1,INDEX('CDFs'!$W$6:$W$505,P823),0)</f>
        <v>0</v>
      </c>
      <c r="AA823" s="96">
        <f>IF(AND(N823=1,Y823=0,Z823=1,J823="Sim"),1,0)</f>
        <v>0</v>
      </c>
      <c r="AB823" s="96">
        <f>IF(AND(N823=1,O823&lt;&gt;"",D823&lt;&gt;""),IF(COUNTIFS($O$6:O823,O823,$D$6:D823,D823)=1,1,0),0)</f>
        <v>0</v>
      </c>
      <c r="AC823" s="96">
        <f>IF(T823=1,INDEX('ITENS_MTR'!$AL$6:$AL$1005,S823),0)</f>
        <v>0</v>
      </c>
    </row>
    <row r="824">
      <c r="A824" s="89" t="inlineStr">
        <is>
          <t>VIN-000819</t>
        </is>
      </c>
      <c r="B824" s="91" t="n"/>
      <c r="C824" s="91" t="n"/>
      <c r="D824" s="94" t="str">
        <f>IF(T824=1,INDEX('ITENS_MTR'!$S$6:$S$1005,S824)&amp;"","")</f>
        <v/>
      </c>
      <c r="E824" s="94" t="str">
        <f>IF(T824=1,INDEX('ITENS_MTR'!$C$6:$C$1005,S824)&amp;"","")</f>
        <v/>
      </c>
      <c r="F824" s="98" t="n"/>
      <c r="G824" s="91" t="n"/>
      <c r="H824" s="93" t="str">
        <f>IF(N824=0,"",IF(NOT(ISNUMBER(F824)),"",IF(ISNUMBER(U824),F824*U824,"UNIDADE A CONFERIR")))</f>
        <v/>
      </c>
      <c r="I824" s="94" t="str">
        <f>IF(Q824=1,INDEX('CDFs'!$F$6:$F$505,P824)&amp;"","")</f>
        <v/>
      </c>
      <c r="J824" s="91" t="n"/>
      <c r="K824" s="91" t="n"/>
      <c r="L824" s="94" t="str">
        <f>IF(N824=0,"",IF(NOT(ISNUMBER(F824)),"Quantidade não informada",IF(F824&lt;=0,"Quantidade não positiva",IF(G824="","Unidade não informada",IF(NOT(ISNUMBER(H824)),"Unidade a conferir",IF(AC824=1,"REVISAR VÍNCULO: soma vinculada maior que a referência do item","OK"))))))</f>
        <v/>
      </c>
      <c r="M824" s="94" t="str">
        <f>IF(N824=0,"",IF(B824="","CDF não informado",IF(Q824=0,"REVISAR VÍNCULO: CDF inexistente",IF(C824="","Item não informado",IF(T824=0,"REVISAR VÍNCULO: item inexistente",IF(AND(X824=1,J824&lt;&gt;"Sim"),"REVISAR VÍNCULO: destinador diferente do MTR",IF(X824=1,"Destinador diferente do MTR (analisado)","OK")))))))</f>
        <v/>
      </c>
      <c r="N824" s="96">
        <f>IF(COUNTA(B824:C824,F824:G824,J824:K824)&gt;0,1,0)</f>
        <v>0</v>
      </c>
      <c r="O824" s="96" t="str">
        <f>IF(B824="","",TRIM(LEFT(B824,FIND(" |",B824&amp;" |")-1)))</f>
        <v/>
      </c>
      <c r="P824" s="96" t="str">
        <f>IF(O824="","",IFERROR(MATCH(O824,'CDFs'!$A$6:$A$505,0),""))</f>
        <v/>
      </c>
      <c r="Q824" s="96">
        <f>IF(P824="",0,IF(INDEX('CDFs'!$S$6:$S$505,P824)=1,1,0))</f>
        <v>0</v>
      </c>
      <c r="R824" s="96" t="str">
        <f>IF(C824="","",TRIM(LEFT(C824,FIND(" |",C824&amp;" |")-1)))</f>
        <v/>
      </c>
      <c r="S824" s="96" t="str">
        <f>IF(R824="","",IFERROR(MATCH(R824,'ITENS_MTR'!$A$6:$A$1005,0),""))</f>
        <v/>
      </c>
      <c r="T824" s="96">
        <f>IF(S824="",0,IF(INDEX('ITENS_MTR'!$R$6:$R$1005,S824)=1,1,0))</f>
        <v>0</v>
      </c>
      <c r="U824" s="96" t="str">
        <f>IF(G824="","",IFERROR(IF(ISNUMBER(INDEX(cfg_fac,MATCH(G824,cfg_units,0))),IF(INDEX(cfg_fac,MATCH(G824,cfg_units,0))&gt;0,INDEX(cfg_fac,MATCH(G824,cfg_units,0)),""),""),""))</f>
        <v/>
      </c>
      <c r="V824" s="96">
        <f>IF(AND(ISNUMBER(F824),ISNUMBER(H824)),IF(H824&gt;0,1,0),0)</f>
        <v>0</v>
      </c>
      <c r="W824" s="96" t="str">
        <f>IF(T824=1,INDEX('ITENS_MTR'!$AU$6:$AU$1005,S824)&amp;"","")</f>
        <v/>
      </c>
      <c r="X824" s="96">
        <f>IF(AND(Q824=1,T824=1,I824&lt;&gt;"",W824&lt;&gt;""),IF(I824&lt;&gt;W824,1,0),0)</f>
        <v>0</v>
      </c>
      <c r="Y824" s="96">
        <f>IF(N824=0,0,IF(OR(Q824=0,T824=0,V824=0,AND(X824=1,J824&lt;&gt;"Sim")),1,0))</f>
        <v>0</v>
      </c>
      <c r="Z824" s="96">
        <f>IF(Q824=1,INDEX('CDFs'!$W$6:$W$505,P824),0)</f>
        <v>0</v>
      </c>
      <c r="AA824" s="96">
        <f>IF(AND(N824=1,Y824=0,Z824=1,J824="Sim"),1,0)</f>
        <v>0</v>
      </c>
      <c r="AB824" s="96">
        <f>IF(AND(N824=1,O824&lt;&gt;"",D824&lt;&gt;""),IF(COUNTIFS($O$6:O824,O824,$D$6:D824,D824)=1,1,0),0)</f>
        <v>0</v>
      </c>
      <c r="AC824" s="96">
        <f>IF(T824=1,INDEX('ITENS_MTR'!$AL$6:$AL$1005,S824),0)</f>
        <v>0</v>
      </c>
    </row>
    <row r="825">
      <c r="A825" s="89" t="inlineStr">
        <is>
          <t>VIN-000820</t>
        </is>
      </c>
      <c r="B825" s="91" t="n"/>
      <c r="C825" s="91" t="n"/>
      <c r="D825" s="94" t="str">
        <f>IF(T825=1,INDEX('ITENS_MTR'!$S$6:$S$1005,S825)&amp;"","")</f>
        <v/>
      </c>
      <c r="E825" s="94" t="str">
        <f>IF(T825=1,INDEX('ITENS_MTR'!$C$6:$C$1005,S825)&amp;"","")</f>
        <v/>
      </c>
      <c r="F825" s="98" t="n"/>
      <c r="G825" s="91" t="n"/>
      <c r="H825" s="93" t="str">
        <f>IF(N825=0,"",IF(NOT(ISNUMBER(F825)),"",IF(ISNUMBER(U825),F825*U825,"UNIDADE A CONFERIR")))</f>
        <v/>
      </c>
      <c r="I825" s="94" t="str">
        <f>IF(Q825=1,INDEX('CDFs'!$F$6:$F$505,P825)&amp;"","")</f>
        <v/>
      </c>
      <c r="J825" s="91" t="n"/>
      <c r="K825" s="91" t="n"/>
      <c r="L825" s="94" t="str">
        <f>IF(N825=0,"",IF(NOT(ISNUMBER(F825)),"Quantidade não informada",IF(F825&lt;=0,"Quantidade não positiva",IF(G825="","Unidade não informada",IF(NOT(ISNUMBER(H825)),"Unidade a conferir",IF(AC825=1,"REVISAR VÍNCULO: soma vinculada maior que a referência do item","OK"))))))</f>
        <v/>
      </c>
      <c r="M825" s="94" t="str">
        <f>IF(N825=0,"",IF(B825="","CDF não informado",IF(Q825=0,"REVISAR VÍNCULO: CDF inexistente",IF(C825="","Item não informado",IF(T825=0,"REVISAR VÍNCULO: item inexistente",IF(AND(X825=1,J825&lt;&gt;"Sim"),"REVISAR VÍNCULO: destinador diferente do MTR",IF(X825=1,"Destinador diferente do MTR (analisado)","OK")))))))</f>
        <v/>
      </c>
      <c r="N825" s="96">
        <f>IF(COUNTA(B825:C825,F825:G825,J825:K825)&gt;0,1,0)</f>
        <v>0</v>
      </c>
      <c r="O825" s="96" t="str">
        <f>IF(B825="","",TRIM(LEFT(B825,FIND(" |",B825&amp;" |")-1)))</f>
        <v/>
      </c>
      <c r="P825" s="96" t="str">
        <f>IF(O825="","",IFERROR(MATCH(O825,'CDFs'!$A$6:$A$505,0),""))</f>
        <v/>
      </c>
      <c r="Q825" s="96">
        <f>IF(P825="",0,IF(INDEX('CDFs'!$S$6:$S$505,P825)=1,1,0))</f>
        <v>0</v>
      </c>
      <c r="R825" s="96" t="str">
        <f>IF(C825="","",TRIM(LEFT(C825,FIND(" |",C825&amp;" |")-1)))</f>
        <v/>
      </c>
      <c r="S825" s="96" t="str">
        <f>IF(R825="","",IFERROR(MATCH(R825,'ITENS_MTR'!$A$6:$A$1005,0),""))</f>
        <v/>
      </c>
      <c r="T825" s="96">
        <f>IF(S825="",0,IF(INDEX('ITENS_MTR'!$R$6:$R$1005,S825)=1,1,0))</f>
        <v>0</v>
      </c>
      <c r="U825" s="96" t="str">
        <f>IF(G825="","",IFERROR(IF(ISNUMBER(INDEX(cfg_fac,MATCH(G825,cfg_units,0))),IF(INDEX(cfg_fac,MATCH(G825,cfg_units,0))&gt;0,INDEX(cfg_fac,MATCH(G825,cfg_units,0)),""),""),""))</f>
        <v/>
      </c>
      <c r="V825" s="96">
        <f>IF(AND(ISNUMBER(F825),ISNUMBER(H825)),IF(H825&gt;0,1,0),0)</f>
        <v>0</v>
      </c>
      <c r="W825" s="96" t="str">
        <f>IF(T825=1,INDEX('ITENS_MTR'!$AU$6:$AU$1005,S825)&amp;"","")</f>
        <v/>
      </c>
      <c r="X825" s="96">
        <f>IF(AND(Q825=1,T825=1,I825&lt;&gt;"",W825&lt;&gt;""),IF(I825&lt;&gt;W825,1,0),0)</f>
        <v>0</v>
      </c>
      <c r="Y825" s="96">
        <f>IF(N825=0,0,IF(OR(Q825=0,T825=0,V825=0,AND(X825=1,J825&lt;&gt;"Sim")),1,0))</f>
        <v>0</v>
      </c>
      <c r="Z825" s="96">
        <f>IF(Q825=1,INDEX('CDFs'!$W$6:$W$505,P825),0)</f>
        <v>0</v>
      </c>
      <c r="AA825" s="96">
        <f>IF(AND(N825=1,Y825=0,Z825=1,J825="Sim"),1,0)</f>
        <v>0</v>
      </c>
      <c r="AB825" s="96">
        <f>IF(AND(N825=1,O825&lt;&gt;"",D825&lt;&gt;""),IF(COUNTIFS($O$6:O825,O825,$D$6:D825,D825)=1,1,0),0)</f>
        <v>0</v>
      </c>
      <c r="AC825" s="96">
        <f>IF(T825=1,INDEX('ITENS_MTR'!$AL$6:$AL$1005,S825),0)</f>
        <v>0</v>
      </c>
    </row>
    <row r="826">
      <c r="A826" s="89" t="inlineStr">
        <is>
          <t>VIN-000821</t>
        </is>
      </c>
      <c r="B826" s="91" t="n"/>
      <c r="C826" s="91" t="n"/>
      <c r="D826" s="94" t="str">
        <f>IF(T826=1,INDEX('ITENS_MTR'!$S$6:$S$1005,S826)&amp;"","")</f>
        <v/>
      </c>
      <c r="E826" s="94" t="str">
        <f>IF(T826=1,INDEX('ITENS_MTR'!$C$6:$C$1005,S826)&amp;"","")</f>
        <v/>
      </c>
      <c r="F826" s="98" t="n"/>
      <c r="G826" s="91" t="n"/>
      <c r="H826" s="93" t="str">
        <f>IF(N826=0,"",IF(NOT(ISNUMBER(F826)),"",IF(ISNUMBER(U826),F826*U826,"UNIDADE A CONFERIR")))</f>
        <v/>
      </c>
      <c r="I826" s="94" t="str">
        <f>IF(Q826=1,INDEX('CDFs'!$F$6:$F$505,P826)&amp;"","")</f>
        <v/>
      </c>
      <c r="J826" s="91" t="n"/>
      <c r="K826" s="91" t="n"/>
      <c r="L826" s="94" t="str">
        <f>IF(N826=0,"",IF(NOT(ISNUMBER(F826)),"Quantidade não informada",IF(F826&lt;=0,"Quantidade não positiva",IF(G826="","Unidade não informada",IF(NOT(ISNUMBER(H826)),"Unidade a conferir",IF(AC826=1,"REVISAR VÍNCULO: soma vinculada maior que a referência do item","OK"))))))</f>
        <v/>
      </c>
      <c r="M826" s="94" t="str">
        <f>IF(N826=0,"",IF(B826="","CDF não informado",IF(Q826=0,"REVISAR VÍNCULO: CDF inexistente",IF(C826="","Item não informado",IF(T826=0,"REVISAR VÍNCULO: item inexistente",IF(AND(X826=1,J826&lt;&gt;"Sim"),"REVISAR VÍNCULO: destinador diferente do MTR",IF(X826=1,"Destinador diferente do MTR (analisado)","OK")))))))</f>
        <v/>
      </c>
      <c r="N826" s="96">
        <f>IF(COUNTA(B826:C826,F826:G826,J826:K826)&gt;0,1,0)</f>
        <v>0</v>
      </c>
      <c r="O826" s="96" t="str">
        <f>IF(B826="","",TRIM(LEFT(B826,FIND(" |",B826&amp;" |")-1)))</f>
        <v/>
      </c>
      <c r="P826" s="96" t="str">
        <f>IF(O826="","",IFERROR(MATCH(O826,'CDFs'!$A$6:$A$505,0),""))</f>
        <v/>
      </c>
      <c r="Q826" s="96">
        <f>IF(P826="",0,IF(INDEX('CDFs'!$S$6:$S$505,P826)=1,1,0))</f>
        <v>0</v>
      </c>
      <c r="R826" s="96" t="str">
        <f>IF(C826="","",TRIM(LEFT(C826,FIND(" |",C826&amp;" |")-1)))</f>
        <v/>
      </c>
      <c r="S826" s="96" t="str">
        <f>IF(R826="","",IFERROR(MATCH(R826,'ITENS_MTR'!$A$6:$A$1005,0),""))</f>
        <v/>
      </c>
      <c r="T826" s="96">
        <f>IF(S826="",0,IF(INDEX('ITENS_MTR'!$R$6:$R$1005,S826)=1,1,0))</f>
        <v>0</v>
      </c>
      <c r="U826" s="96" t="str">
        <f>IF(G826="","",IFERROR(IF(ISNUMBER(INDEX(cfg_fac,MATCH(G826,cfg_units,0))),IF(INDEX(cfg_fac,MATCH(G826,cfg_units,0))&gt;0,INDEX(cfg_fac,MATCH(G826,cfg_units,0)),""),""),""))</f>
        <v/>
      </c>
      <c r="V826" s="96">
        <f>IF(AND(ISNUMBER(F826),ISNUMBER(H826)),IF(H826&gt;0,1,0),0)</f>
        <v>0</v>
      </c>
      <c r="W826" s="96" t="str">
        <f>IF(T826=1,INDEX('ITENS_MTR'!$AU$6:$AU$1005,S826)&amp;"","")</f>
        <v/>
      </c>
      <c r="X826" s="96">
        <f>IF(AND(Q826=1,T826=1,I826&lt;&gt;"",W826&lt;&gt;""),IF(I826&lt;&gt;W826,1,0),0)</f>
        <v>0</v>
      </c>
      <c r="Y826" s="96">
        <f>IF(N826=0,0,IF(OR(Q826=0,T826=0,V826=0,AND(X826=1,J826&lt;&gt;"Sim")),1,0))</f>
        <v>0</v>
      </c>
      <c r="Z826" s="96">
        <f>IF(Q826=1,INDEX('CDFs'!$W$6:$W$505,P826),0)</f>
        <v>0</v>
      </c>
      <c r="AA826" s="96">
        <f>IF(AND(N826=1,Y826=0,Z826=1,J826="Sim"),1,0)</f>
        <v>0</v>
      </c>
      <c r="AB826" s="96">
        <f>IF(AND(N826=1,O826&lt;&gt;"",D826&lt;&gt;""),IF(COUNTIFS($O$6:O826,O826,$D$6:D826,D826)=1,1,0),0)</f>
        <v>0</v>
      </c>
      <c r="AC826" s="96">
        <f>IF(T826=1,INDEX('ITENS_MTR'!$AL$6:$AL$1005,S826),0)</f>
        <v>0</v>
      </c>
    </row>
    <row r="827">
      <c r="A827" s="89" t="inlineStr">
        <is>
          <t>VIN-000822</t>
        </is>
      </c>
      <c r="B827" s="91" t="n"/>
      <c r="C827" s="91" t="n"/>
      <c r="D827" s="94" t="str">
        <f>IF(T827=1,INDEX('ITENS_MTR'!$S$6:$S$1005,S827)&amp;"","")</f>
        <v/>
      </c>
      <c r="E827" s="94" t="str">
        <f>IF(T827=1,INDEX('ITENS_MTR'!$C$6:$C$1005,S827)&amp;"","")</f>
        <v/>
      </c>
      <c r="F827" s="98" t="n"/>
      <c r="G827" s="91" t="n"/>
      <c r="H827" s="93" t="str">
        <f>IF(N827=0,"",IF(NOT(ISNUMBER(F827)),"",IF(ISNUMBER(U827),F827*U827,"UNIDADE A CONFERIR")))</f>
        <v/>
      </c>
      <c r="I827" s="94" t="str">
        <f>IF(Q827=1,INDEX('CDFs'!$F$6:$F$505,P827)&amp;"","")</f>
        <v/>
      </c>
      <c r="J827" s="91" t="n"/>
      <c r="K827" s="91" t="n"/>
      <c r="L827" s="94" t="str">
        <f>IF(N827=0,"",IF(NOT(ISNUMBER(F827)),"Quantidade não informada",IF(F827&lt;=0,"Quantidade não positiva",IF(G827="","Unidade não informada",IF(NOT(ISNUMBER(H827)),"Unidade a conferir",IF(AC827=1,"REVISAR VÍNCULO: soma vinculada maior que a referência do item","OK"))))))</f>
        <v/>
      </c>
      <c r="M827" s="94" t="str">
        <f>IF(N827=0,"",IF(B827="","CDF não informado",IF(Q827=0,"REVISAR VÍNCULO: CDF inexistente",IF(C827="","Item não informado",IF(T827=0,"REVISAR VÍNCULO: item inexistente",IF(AND(X827=1,J827&lt;&gt;"Sim"),"REVISAR VÍNCULO: destinador diferente do MTR",IF(X827=1,"Destinador diferente do MTR (analisado)","OK")))))))</f>
        <v/>
      </c>
      <c r="N827" s="96">
        <f>IF(COUNTA(B827:C827,F827:G827,J827:K827)&gt;0,1,0)</f>
        <v>0</v>
      </c>
      <c r="O827" s="96" t="str">
        <f>IF(B827="","",TRIM(LEFT(B827,FIND(" |",B827&amp;" |")-1)))</f>
        <v/>
      </c>
      <c r="P827" s="96" t="str">
        <f>IF(O827="","",IFERROR(MATCH(O827,'CDFs'!$A$6:$A$505,0),""))</f>
        <v/>
      </c>
      <c r="Q827" s="96">
        <f>IF(P827="",0,IF(INDEX('CDFs'!$S$6:$S$505,P827)=1,1,0))</f>
        <v>0</v>
      </c>
      <c r="R827" s="96" t="str">
        <f>IF(C827="","",TRIM(LEFT(C827,FIND(" |",C827&amp;" |")-1)))</f>
        <v/>
      </c>
      <c r="S827" s="96" t="str">
        <f>IF(R827="","",IFERROR(MATCH(R827,'ITENS_MTR'!$A$6:$A$1005,0),""))</f>
        <v/>
      </c>
      <c r="T827" s="96">
        <f>IF(S827="",0,IF(INDEX('ITENS_MTR'!$R$6:$R$1005,S827)=1,1,0))</f>
        <v>0</v>
      </c>
      <c r="U827" s="96" t="str">
        <f>IF(G827="","",IFERROR(IF(ISNUMBER(INDEX(cfg_fac,MATCH(G827,cfg_units,0))),IF(INDEX(cfg_fac,MATCH(G827,cfg_units,0))&gt;0,INDEX(cfg_fac,MATCH(G827,cfg_units,0)),""),""),""))</f>
        <v/>
      </c>
      <c r="V827" s="96">
        <f>IF(AND(ISNUMBER(F827),ISNUMBER(H827)),IF(H827&gt;0,1,0),0)</f>
        <v>0</v>
      </c>
      <c r="W827" s="96" t="str">
        <f>IF(T827=1,INDEX('ITENS_MTR'!$AU$6:$AU$1005,S827)&amp;"","")</f>
        <v/>
      </c>
      <c r="X827" s="96">
        <f>IF(AND(Q827=1,T827=1,I827&lt;&gt;"",W827&lt;&gt;""),IF(I827&lt;&gt;W827,1,0),0)</f>
        <v>0</v>
      </c>
      <c r="Y827" s="96">
        <f>IF(N827=0,0,IF(OR(Q827=0,T827=0,V827=0,AND(X827=1,J827&lt;&gt;"Sim")),1,0))</f>
        <v>0</v>
      </c>
      <c r="Z827" s="96">
        <f>IF(Q827=1,INDEX('CDFs'!$W$6:$W$505,P827),0)</f>
        <v>0</v>
      </c>
      <c r="AA827" s="96">
        <f>IF(AND(N827=1,Y827=0,Z827=1,J827="Sim"),1,0)</f>
        <v>0</v>
      </c>
      <c r="AB827" s="96">
        <f>IF(AND(N827=1,O827&lt;&gt;"",D827&lt;&gt;""),IF(COUNTIFS($O$6:O827,O827,$D$6:D827,D827)=1,1,0),0)</f>
        <v>0</v>
      </c>
      <c r="AC827" s="96">
        <f>IF(T827=1,INDEX('ITENS_MTR'!$AL$6:$AL$1005,S827),0)</f>
        <v>0</v>
      </c>
    </row>
    <row r="828">
      <c r="A828" s="89" t="inlineStr">
        <is>
          <t>VIN-000823</t>
        </is>
      </c>
      <c r="B828" s="91" t="n"/>
      <c r="C828" s="91" t="n"/>
      <c r="D828" s="94" t="str">
        <f>IF(T828=1,INDEX('ITENS_MTR'!$S$6:$S$1005,S828)&amp;"","")</f>
        <v/>
      </c>
      <c r="E828" s="94" t="str">
        <f>IF(T828=1,INDEX('ITENS_MTR'!$C$6:$C$1005,S828)&amp;"","")</f>
        <v/>
      </c>
      <c r="F828" s="98" t="n"/>
      <c r="G828" s="91" t="n"/>
      <c r="H828" s="93" t="str">
        <f>IF(N828=0,"",IF(NOT(ISNUMBER(F828)),"",IF(ISNUMBER(U828),F828*U828,"UNIDADE A CONFERIR")))</f>
        <v/>
      </c>
      <c r="I828" s="94" t="str">
        <f>IF(Q828=1,INDEX('CDFs'!$F$6:$F$505,P828)&amp;"","")</f>
        <v/>
      </c>
      <c r="J828" s="91" t="n"/>
      <c r="K828" s="91" t="n"/>
      <c r="L828" s="94" t="str">
        <f>IF(N828=0,"",IF(NOT(ISNUMBER(F828)),"Quantidade não informada",IF(F828&lt;=0,"Quantidade não positiva",IF(G828="","Unidade não informada",IF(NOT(ISNUMBER(H828)),"Unidade a conferir",IF(AC828=1,"REVISAR VÍNCULO: soma vinculada maior que a referência do item","OK"))))))</f>
        <v/>
      </c>
      <c r="M828" s="94" t="str">
        <f>IF(N828=0,"",IF(B828="","CDF não informado",IF(Q828=0,"REVISAR VÍNCULO: CDF inexistente",IF(C828="","Item não informado",IF(T828=0,"REVISAR VÍNCULO: item inexistente",IF(AND(X828=1,J828&lt;&gt;"Sim"),"REVISAR VÍNCULO: destinador diferente do MTR",IF(X828=1,"Destinador diferente do MTR (analisado)","OK")))))))</f>
        <v/>
      </c>
      <c r="N828" s="96">
        <f>IF(COUNTA(B828:C828,F828:G828,J828:K828)&gt;0,1,0)</f>
        <v>0</v>
      </c>
      <c r="O828" s="96" t="str">
        <f>IF(B828="","",TRIM(LEFT(B828,FIND(" |",B828&amp;" |")-1)))</f>
        <v/>
      </c>
      <c r="P828" s="96" t="str">
        <f>IF(O828="","",IFERROR(MATCH(O828,'CDFs'!$A$6:$A$505,0),""))</f>
        <v/>
      </c>
      <c r="Q828" s="96">
        <f>IF(P828="",0,IF(INDEX('CDFs'!$S$6:$S$505,P828)=1,1,0))</f>
        <v>0</v>
      </c>
      <c r="R828" s="96" t="str">
        <f>IF(C828="","",TRIM(LEFT(C828,FIND(" |",C828&amp;" |")-1)))</f>
        <v/>
      </c>
      <c r="S828" s="96" t="str">
        <f>IF(R828="","",IFERROR(MATCH(R828,'ITENS_MTR'!$A$6:$A$1005,0),""))</f>
        <v/>
      </c>
      <c r="T828" s="96">
        <f>IF(S828="",0,IF(INDEX('ITENS_MTR'!$R$6:$R$1005,S828)=1,1,0))</f>
        <v>0</v>
      </c>
      <c r="U828" s="96" t="str">
        <f>IF(G828="","",IFERROR(IF(ISNUMBER(INDEX(cfg_fac,MATCH(G828,cfg_units,0))),IF(INDEX(cfg_fac,MATCH(G828,cfg_units,0))&gt;0,INDEX(cfg_fac,MATCH(G828,cfg_units,0)),""),""),""))</f>
        <v/>
      </c>
      <c r="V828" s="96">
        <f>IF(AND(ISNUMBER(F828),ISNUMBER(H828)),IF(H828&gt;0,1,0),0)</f>
        <v>0</v>
      </c>
      <c r="W828" s="96" t="str">
        <f>IF(T828=1,INDEX('ITENS_MTR'!$AU$6:$AU$1005,S828)&amp;"","")</f>
        <v/>
      </c>
      <c r="X828" s="96">
        <f>IF(AND(Q828=1,T828=1,I828&lt;&gt;"",W828&lt;&gt;""),IF(I828&lt;&gt;W828,1,0),0)</f>
        <v>0</v>
      </c>
      <c r="Y828" s="96">
        <f>IF(N828=0,0,IF(OR(Q828=0,T828=0,V828=0,AND(X828=1,J828&lt;&gt;"Sim")),1,0))</f>
        <v>0</v>
      </c>
      <c r="Z828" s="96">
        <f>IF(Q828=1,INDEX('CDFs'!$W$6:$W$505,P828),0)</f>
        <v>0</v>
      </c>
      <c r="AA828" s="96">
        <f>IF(AND(N828=1,Y828=0,Z828=1,J828="Sim"),1,0)</f>
        <v>0</v>
      </c>
      <c r="AB828" s="96">
        <f>IF(AND(N828=1,O828&lt;&gt;"",D828&lt;&gt;""),IF(COUNTIFS($O$6:O828,O828,$D$6:D828,D828)=1,1,0),0)</f>
        <v>0</v>
      </c>
      <c r="AC828" s="96">
        <f>IF(T828=1,INDEX('ITENS_MTR'!$AL$6:$AL$1005,S828),0)</f>
        <v>0</v>
      </c>
    </row>
    <row r="829">
      <c r="A829" s="89" t="inlineStr">
        <is>
          <t>VIN-000824</t>
        </is>
      </c>
      <c r="B829" s="91" t="n"/>
      <c r="C829" s="91" t="n"/>
      <c r="D829" s="94" t="str">
        <f>IF(T829=1,INDEX('ITENS_MTR'!$S$6:$S$1005,S829)&amp;"","")</f>
        <v/>
      </c>
      <c r="E829" s="94" t="str">
        <f>IF(T829=1,INDEX('ITENS_MTR'!$C$6:$C$1005,S829)&amp;"","")</f>
        <v/>
      </c>
      <c r="F829" s="98" t="n"/>
      <c r="G829" s="91" t="n"/>
      <c r="H829" s="93" t="str">
        <f>IF(N829=0,"",IF(NOT(ISNUMBER(F829)),"",IF(ISNUMBER(U829),F829*U829,"UNIDADE A CONFERIR")))</f>
        <v/>
      </c>
      <c r="I829" s="94" t="str">
        <f>IF(Q829=1,INDEX('CDFs'!$F$6:$F$505,P829)&amp;"","")</f>
        <v/>
      </c>
      <c r="J829" s="91" t="n"/>
      <c r="K829" s="91" t="n"/>
      <c r="L829" s="94" t="str">
        <f>IF(N829=0,"",IF(NOT(ISNUMBER(F829)),"Quantidade não informada",IF(F829&lt;=0,"Quantidade não positiva",IF(G829="","Unidade não informada",IF(NOT(ISNUMBER(H829)),"Unidade a conferir",IF(AC829=1,"REVISAR VÍNCULO: soma vinculada maior que a referência do item","OK"))))))</f>
        <v/>
      </c>
      <c r="M829" s="94" t="str">
        <f>IF(N829=0,"",IF(B829="","CDF não informado",IF(Q829=0,"REVISAR VÍNCULO: CDF inexistente",IF(C829="","Item não informado",IF(T829=0,"REVISAR VÍNCULO: item inexistente",IF(AND(X829=1,J829&lt;&gt;"Sim"),"REVISAR VÍNCULO: destinador diferente do MTR",IF(X829=1,"Destinador diferente do MTR (analisado)","OK")))))))</f>
        <v/>
      </c>
      <c r="N829" s="96">
        <f>IF(COUNTA(B829:C829,F829:G829,J829:K829)&gt;0,1,0)</f>
        <v>0</v>
      </c>
      <c r="O829" s="96" t="str">
        <f>IF(B829="","",TRIM(LEFT(B829,FIND(" |",B829&amp;" |")-1)))</f>
        <v/>
      </c>
      <c r="P829" s="96" t="str">
        <f>IF(O829="","",IFERROR(MATCH(O829,'CDFs'!$A$6:$A$505,0),""))</f>
        <v/>
      </c>
      <c r="Q829" s="96">
        <f>IF(P829="",0,IF(INDEX('CDFs'!$S$6:$S$505,P829)=1,1,0))</f>
        <v>0</v>
      </c>
      <c r="R829" s="96" t="str">
        <f>IF(C829="","",TRIM(LEFT(C829,FIND(" |",C829&amp;" |")-1)))</f>
        <v/>
      </c>
      <c r="S829" s="96" t="str">
        <f>IF(R829="","",IFERROR(MATCH(R829,'ITENS_MTR'!$A$6:$A$1005,0),""))</f>
        <v/>
      </c>
      <c r="T829" s="96">
        <f>IF(S829="",0,IF(INDEX('ITENS_MTR'!$R$6:$R$1005,S829)=1,1,0))</f>
        <v>0</v>
      </c>
      <c r="U829" s="96" t="str">
        <f>IF(G829="","",IFERROR(IF(ISNUMBER(INDEX(cfg_fac,MATCH(G829,cfg_units,0))),IF(INDEX(cfg_fac,MATCH(G829,cfg_units,0))&gt;0,INDEX(cfg_fac,MATCH(G829,cfg_units,0)),""),""),""))</f>
        <v/>
      </c>
      <c r="V829" s="96">
        <f>IF(AND(ISNUMBER(F829),ISNUMBER(H829)),IF(H829&gt;0,1,0),0)</f>
        <v>0</v>
      </c>
      <c r="W829" s="96" t="str">
        <f>IF(T829=1,INDEX('ITENS_MTR'!$AU$6:$AU$1005,S829)&amp;"","")</f>
        <v/>
      </c>
      <c r="X829" s="96">
        <f>IF(AND(Q829=1,T829=1,I829&lt;&gt;"",W829&lt;&gt;""),IF(I829&lt;&gt;W829,1,0),0)</f>
        <v>0</v>
      </c>
      <c r="Y829" s="96">
        <f>IF(N829=0,0,IF(OR(Q829=0,T829=0,V829=0,AND(X829=1,J829&lt;&gt;"Sim")),1,0))</f>
        <v>0</v>
      </c>
      <c r="Z829" s="96">
        <f>IF(Q829=1,INDEX('CDFs'!$W$6:$W$505,P829),0)</f>
        <v>0</v>
      </c>
      <c r="AA829" s="96">
        <f>IF(AND(N829=1,Y829=0,Z829=1,J829="Sim"),1,0)</f>
        <v>0</v>
      </c>
      <c r="AB829" s="96">
        <f>IF(AND(N829=1,O829&lt;&gt;"",D829&lt;&gt;""),IF(COUNTIFS($O$6:O829,O829,$D$6:D829,D829)=1,1,0),0)</f>
        <v>0</v>
      </c>
      <c r="AC829" s="96">
        <f>IF(T829=1,INDEX('ITENS_MTR'!$AL$6:$AL$1005,S829),0)</f>
        <v>0</v>
      </c>
    </row>
    <row r="830">
      <c r="A830" s="89" t="inlineStr">
        <is>
          <t>VIN-000825</t>
        </is>
      </c>
      <c r="B830" s="91" t="n"/>
      <c r="C830" s="91" t="n"/>
      <c r="D830" s="94" t="str">
        <f>IF(T830=1,INDEX('ITENS_MTR'!$S$6:$S$1005,S830)&amp;"","")</f>
        <v/>
      </c>
      <c r="E830" s="94" t="str">
        <f>IF(T830=1,INDEX('ITENS_MTR'!$C$6:$C$1005,S830)&amp;"","")</f>
        <v/>
      </c>
      <c r="F830" s="98" t="n"/>
      <c r="G830" s="91" t="n"/>
      <c r="H830" s="93" t="str">
        <f>IF(N830=0,"",IF(NOT(ISNUMBER(F830)),"",IF(ISNUMBER(U830),F830*U830,"UNIDADE A CONFERIR")))</f>
        <v/>
      </c>
      <c r="I830" s="94" t="str">
        <f>IF(Q830=1,INDEX('CDFs'!$F$6:$F$505,P830)&amp;"","")</f>
        <v/>
      </c>
      <c r="J830" s="91" t="n"/>
      <c r="K830" s="91" t="n"/>
      <c r="L830" s="94" t="str">
        <f>IF(N830=0,"",IF(NOT(ISNUMBER(F830)),"Quantidade não informada",IF(F830&lt;=0,"Quantidade não positiva",IF(G830="","Unidade não informada",IF(NOT(ISNUMBER(H830)),"Unidade a conferir",IF(AC830=1,"REVISAR VÍNCULO: soma vinculada maior que a referência do item","OK"))))))</f>
        <v/>
      </c>
      <c r="M830" s="94" t="str">
        <f>IF(N830=0,"",IF(B830="","CDF não informado",IF(Q830=0,"REVISAR VÍNCULO: CDF inexistente",IF(C830="","Item não informado",IF(T830=0,"REVISAR VÍNCULO: item inexistente",IF(AND(X830=1,J830&lt;&gt;"Sim"),"REVISAR VÍNCULO: destinador diferente do MTR",IF(X830=1,"Destinador diferente do MTR (analisado)","OK")))))))</f>
        <v/>
      </c>
      <c r="N830" s="96">
        <f>IF(COUNTA(B830:C830,F830:G830,J830:K830)&gt;0,1,0)</f>
        <v>0</v>
      </c>
      <c r="O830" s="96" t="str">
        <f>IF(B830="","",TRIM(LEFT(B830,FIND(" |",B830&amp;" |")-1)))</f>
        <v/>
      </c>
      <c r="P830" s="96" t="str">
        <f>IF(O830="","",IFERROR(MATCH(O830,'CDFs'!$A$6:$A$505,0),""))</f>
        <v/>
      </c>
      <c r="Q830" s="96">
        <f>IF(P830="",0,IF(INDEX('CDFs'!$S$6:$S$505,P830)=1,1,0))</f>
        <v>0</v>
      </c>
      <c r="R830" s="96" t="str">
        <f>IF(C830="","",TRIM(LEFT(C830,FIND(" |",C830&amp;" |")-1)))</f>
        <v/>
      </c>
      <c r="S830" s="96" t="str">
        <f>IF(R830="","",IFERROR(MATCH(R830,'ITENS_MTR'!$A$6:$A$1005,0),""))</f>
        <v/>
      </c>
      <c r="T830" s="96">
        <f>IF(S830="",0,IF(INDEX('ITENS_MTR'!$R$6:$R$1005,S830)=1,1,0))</f>
        <v>0</v>
      </c>
      <c r="U830" s="96" t="str">
        <f>IF(G830="","",IFERROR(IF(ISNUMBER(INDEX(cfg_fac,MATCH(G830,cfg_units,0))),IF(INDEX(cfg_fac,MATCH(G830,cfg_units,0))&gt;0,INDEX(cfg_fac,MATCH(G830,cfg_units,0)),""),""),""))</f>
        <v/>
      </c>
      <c r="V830" s="96">
        <f>IF(AND(ISNUMBER(F830),ISNUMBER(H830)),IF(H830&gt;0,1,0),0)</f>
        <v>0</v>
      </c>
      <c r="W830" s="96" t="str">
        <f>IF(T830=1,INDEX('ITENS_MTR'!$AU$6:$AU$1005,S830)&amp;"","")</f>
        <v/>
      </c>
      <c r="X830" s="96">
        <f>IF(AND(Q830=1,T830=1,I830&lt;&gt;"",W830&lt;&gt;""),IF(I830&lt;&gt;W830,1,0),0)</f>
        <v>0</v>
      </c>
      <c r="Y830" s="96">
        <f>IF(N830=0,0,IF(OR(Q830=0,T830=0,V830=0,AND(X830=1,J830&lt;&gt;"Sim")),1,0))</f>
        <v>0</v>
      </c>
      <c r="Z830" s="96">
        <f>IF(Q830=1,INDEX('CDFs'!$W$6:$W$505,P830),0)</f>
        <v>0</v>
      </c>
      <c r="AA830" s="96">
        <f>IF(AND(N830=1,Y830=0,Z830=1,J830="Sim"),1,0)</f>
        <v>0</v>
      </c>
      <c r="AB830" s="96">
        <f>IF(AND(N830=1,O830&lt;&gt;"",D830&lt;&gt;""),IF(COUNTIFS($O$6:O830,O830,$D$6:D830,D830)=1,1,0),0)</f>
        <v>0</v>
      </c>
      <c r="AC830" s="96">
        <f>IF(T830=1,INDEX('ITENS_MTR'!$AL$6:$AL$1005,S830),0)</f>
        <v>0</v>
      </c>
    </row>
    <row r="831">
      <c r="A831" s="89" t="inlineStr">
        <is>
          <t>VIN-000826</t>
        </is>
      </c>
      <c r="B831" s="91" t="n"/>
      <c r="C831" s="91" t="n"/>
      <c r="D831" s="94" t="str">
        <f>IF(T831=1,INDEX('ITENS_MTR'!$S$6:$S$1005,S831)&amp;"","")</f>
        <v/>
      </c>
      <c r="E831" s="94" t="str">
        <f>IF(T831=1,INDEX('ITENS_MTR'!$C$6:$C$1005,S831)&amp;"","")</f>
        <v/>
      </c>
      <c r="F831" s="98" t="n"/>
      <c r="G831" s="91" t="n"/>
      <c r="H831" s="93" t="str">
        <f>IF(N831=0,"",IF(NOT(ISNUMBER(F831)),"",IF(ISNUMBER(U831),F831*U831,"UNIDADE A CONFERIR")))</f>
        <v/>
      </c>
      <c r="I831" s="94" t="str">
        <f>IF(Q831=1,INDEX('CDFs'!$F$6:$F$505,P831)&amp;"","")</f>
        <v/>
      </c>
      <c r="J831" s="91" t="n"/>
      <c r="K831" s="91" t="n"/>
      <c r="L831" s="94" t="str">
        <f>IF(N831=0,"",IF(NOT(ISNUMBER(F831)),"Quantidade não informada",IF(F831&lt;=0,"Quantidade não positiva",IF(G831="","Unidade não informada",IF(NOT(ISNUMBER(H831)),"Unidade a conferir",IF(AC831=1,"REVISAR VÍNCULO: soma vinculada maior que a referência do item","OK"))))))</f>
        <v/>
      </c>
      <c r="M831" s="94" t="str">
        <f>IF(N831=0,"",IF(B831="","CDF não informado",IF(Q831=0,"REVISAR VÍNCULO: CDF inexistente",IF(C831="","Item não informado",IF(T831=0,"REVISAR VÍNCULO: item inexistente",IF(AND(X831=1,J831&lt;&gt;"Sim"),"REVISAR VÍNCULO: destinador diferente do MTR",IF(X831=1,"Destinador diferente do MTR (analisado)","OK")))))))</f>
        <v/>
      </c>
      <c r="N831" s="96">
        <f>IF(COUNTA(B831:C831,F831:G831,J831:K831)&gt;0,1,0)</f>
        <v>0</v>
      </c>
      <c r="O831" s="96" t="str">
        <f>IF(B831="","",TRIM(LEFT(B831,FIND(" |",B831&amp;" |")-1)))</f>
        <v/>
      </c>
      <c r="P831" s="96" t="str">
        <f>IF(O831="","",IFERROR(MATCH(O831,'CDFs'!$A$6:$A$505,0),""))</f>
        <v/>
      </c>
      <c r="Q831" s="96">
        <f>IF(P831="",0,IF(INDEX('CDFs'!$S$6:$S$505,P831)=1,1,0))</f>
        <v>0</v>
      </c>
      <c r="R831" s="96" t="str">
        <f>IF(C831="","",TRIM(LEFT(C831,FIND(" |",C831&amp;" |")-1)))</f>
        <v/>
      </c>
      <c r="S831" s="96" t="str">
        <f>IF(R831="","",IFERROR(MATCH(R831,'ITENS_MTR'!$A$6:$A$1005,0),""))</f>
        <v/>
      </c>
      <c r="T831" s="96">
        <f>IF(S831="",0,IF(INDEX('ITENS_MTR'!$R$6:$R$1005,S831)=1,1,0))</f>
        <v>0</v>
      </c>
      <c r="U831" s="96" t="str">
        <f>IF(G831="","",IFERROR(IF(ISNUMBER(INDEX(cfg_fac,MATCH(G831,cfg_units,0))),IF(INDEX(cfg_fac,MATCH(G831,cfg_units,0))&gt;0,INDEX(cfg_fac,MATCH(G831,cfg_units,0)),""),""),""))</f>
        <v/>
      </c>
      <c r="V831" s="96">
        <f>IF(AND(ISNUMBER(F831),ISNUMBER(H831)),IF(H831&gt;0,1,0),0)</f>
        <v>0</v>
      </c>
      <c r="W831" s="96" t="str">
        <f>IF(T831=1,INDEX('ITENS_MTR'!$AU$6:$AU$1005,S831)&amp;"","")</f>
        <v/>
      </c>
      <c r="X831" s="96">
        <f>IF(AND(Q831=1,T831=1,I831&lt;&gt;"",W831&lt;&gt;""),IF(I831&lt;&gt;W831,1,0),0)</f>
        <v>0</v>
      </c>
      <c r="Y831" s="96">
        <f>IF(N831=0,0,IF(OR(Q831=0,T831=0,V831=0,AND(X831=1,J831&lt;&gt;"Sim")),1,0))</f>
        <v>0</v>
      </c>
      <c r="Z831" s="96">
        <f>IF(Q831=1,INDEX('CDFs'!$W$6:$W$505,P831),0)</f>
        <v>0</v>
      </c>
      <c r="AA831" s="96">
        <f>IF(AND(N831=1,Y831=0,Z831=1,J831="Sim"),1,0)</f>
        <v>0</v>
      </c>
      <c r="AB831" s="96">
        <f>IF(AND(N831=1,O831&lt;&gt;"",D831&lt;&gt;""),IF(COUNTIFS($O$6:O831,O831,$D$6:D831,D831)=1,1,0),0)</f>
        <v>0</v>
      </c>
      <c r="AC831" s="96">
        <f>IF(T831=1,INDEX('ITENS_MTR'!$AL$6:$AL$1005,S831),0)</f>
        <v>0</v>
      </c>
    </row>
    <row r="832">
      <c r="A832" s="89" t="inlineStr">
        <is>
          <t>VIN-000827</t>
        </is>
      </c>
      <c r="B832" s="91" t="n"/>
      <c r="C832" s="91" t="n"/>
      <c r="D832" s="94" t="str">
        <f>IF(T832=1,INDEX('ITENS_MTR'!$S$6:$S$1005,S832)&amp;"","")</f>
        <v/>
      </c>
      <c r="E832" s="94" t="str">
        <f>IF(T832=1,INDEX('ITENS_MTR'!$C$6:$C$1005,S832)&amp;"","")</f>
        <v/>
      </c>
      <c r="F832" s="98" t="n"/>
      <c r="G832" s="91" t="n"/>
      <c r="H832" s="93" t="str">
        <f>IF(N832=0,"",IF(NOT(ISNUMBER(F832)),"",IF(ISNUMBER(U832),F832*U832,"UNIDADE A CONFERIR")))</f>
        <v/>
      </c>
      <c r="I832" s="94" t="str">
        <f>IF(Q832=1,INDEX('CDFs'!$F$6:$F$505,P832)&amp;"","")</f>
        <v/>
      </c>
      <c r="J832" s="91" t="n"/>
      <c r="K832" s="91" t="n"/>
      <c r="L832" s="94" t="str">
        <f>IF(N832=0,"",IF(NOT(ISNUMBER(F832)),"Quantidade não informada",IF(F832&lt;=0,"Quantidade não positiva",IF(G832="","Unidade não informada",IF(NOT(ISNUMBER(H832)),"Unidade a conferir",IF(AC832=1,"REVISAR VÍNCULO: soma vinculada maior que a referência do item","OK"))))))</f>
        <v/>
      </c>
      <c r="M832" s="94" t="str">
        <f>IF(N832=0,"",IF(B832="","CDF não informado",IF(Q832=0,"REVISAR VÍNCULO: CDF inexistente",IF(C832="","Item não informado",IF(T832=0,"REVISAR VÍNCULO: item inexistente",IF(AND(X832=1,J832&lt;&gt;"Sim"),"REVISAR VÍNCULO: destinador diferente do MTR",IF(X832=1,"Destinador diferente do MTR (analisado)","OK")))))))</f>
        <v/>
      </c>
      <c r="N832" s="96">
        <f>IF(COUNTA(B832:C832,F832:G832,J832:K832)&gt;0,1,0)</f>
        <v>0</v>
      </c>
      <c r="O832" s="96" t="str">
        <f>IF(B832="","",TRIM(LEFT(B832,FIND(" |",B832&amp;" |")-1)))</f>
        <v/>
      </c>
      <c r="P832" s="96" t="str">
        <f>IF(O832="","",IFERROR(MATCH(O832,'CDFs'!$A$6:$A$505,0),""))</f>
        <v/>
      </c>
      <c r="Q832" s="96">
        <f>IF(P832="",0,IF(INDEX('CDFs'!$S$6:$S$505,P832)=1,1,0))</f>
        <v>0</v>
      </c>
      <c r="R832" s="96" t="str">
        <f>IF(C832="","",TRIM(LEFT(C832,FIND(" |",C832&amp;" |")-1)))</f>
        <v/>
      </c>
      <c r="S832" s="96" t="str">
        <f>IF(R832="","",IFERROR(MATCH(R832,'ITENS_MTR'!$A$6:$A$1005,0),""))</f>
        <v/>
      </c>
      <c r="T832" s="96">
        <f>IF(S832="",0,IF(INDEX('ITENS_MTR'!$R$6:$R$1005,S832)=1,1,0))</f>
        <v>0</v>
      </c>
      <c r="U832" s="96" t="str">
        <f>IF(G832="","",IFERROR(IF(ISNUMBER(INDEX(cfg_fac,MATCH(G832,cfg_units,0))),IF(INDEX(cfg_fac,MATCH(G832,cfg_units,0))&gt;0,INDEX(cfg_fac,MATCH(G832,cfg_units,0)),""),""),""))</f>
        <v/>
      </c>
      <c r="V832" s="96">
        <f>IF(AND(ISNUMBER(F832),ISNUMBER(H832)),IF(H832&gt;0,1,0),0)</f>
        <v>0</v>
      </c>
      <c r="W832" s="96" t="str">
        <f>IF(T832=1,INDEX('ITENS_MTR'!$AU$6:$AU$1005,S832)&amp;"","")</f>
        <v/>
      </c>
      <c r="X832" s="96">
        <f>IF(AND(Q832=1,T832=1,I832&lt;&gt;"",W832&lt;&gt;""),IF(I832&lt;&gt;W832,1,0),0)</f>
        <v>0</v>
      </c>
      <c r="Y832" s="96">
        <f>IF(N832=0,0,IF(OR(Q832=0,T832=0,V832=0,AND(X832=1,J832&lt;&gt;"Sim")),1,0))</f>
        <v>0</v>
      </c>
      <c r="Z832" s="96">
        <f>IF(Q832=1,INDEX('CDFs'!$W$6:$W$505,P832),0)</f>
        <v>0</v>
      </c>
      <c r="AA832" s="96">
        <f>IF(AND(N832=1,Y832=0,Z832=1,J832="Sim"),1,0)</f>
        <v>0</v>
      </c>
      <c r="AB832" s="96">
        <f>IF(AND(N832=1,O832&lt;&gt;"",D832&lt;&gt;""),IF(COUNTIFS($O$6:O832,O832,$D$6:D832,D832)=1,1,0),0)</f>
        <v>0</v>
      </c>
      <c r="AC832" s="96">
        <f>IF(T832=1,INDEX('ITENS_MTR'!$AL$6:$AL$1005,S832),0)</f>
        <v>0</v>
      </c>
    </row>
    <row r="833">
      <c r="A833" s="89" t="inlineStr">
        <is>
          <t>VIN-000828</t>
        </is>
      </c>
      <c r="B833" s="91" t="n"/>
      <c r="C833" s="91" t="n"/>
      <c r="D833" s="94" t="str">
        <f>IF(T833=1,INDEX('ITENS_MTR'!$S$6:$S$1005,S833)&amp;"","")</f>
        <v/>
      </c>
      <c r="E833" s="94" t="str">
        <f>IF(T833=1,INDEX('ITENS_MTR'!$C$6:$C$1005,S833)&amp;"","")</f>
        <v/>
      </c>
      <c r="F833" s="98" t="n"/>
      <c r="G833" s="91" t="n"/>
      <c r="H833" s="93" t="str">
        <f>IF(N833=0,"",IF(NOT(ISNUMBER(F833)),"",IF(ISNUMBER(U833),F833*U833,"UNIDADE A CONFERIR")))</f>
        <v/>
      </c>
      <c r="I833" s="94" t="str">
        <f>IF(Q833=1,INDEX('CDFs'!$F$6:$F$505,P833)&amp;"","")</f>
        <v/>
      </c>
      <c r="J833" s="91" t="n"/>
      <c r="K833" s="91" t="n"/>
      <c r="L833" s="94" t="str">
        <f>IF(N833=0,"",IF(NOT(ISNUMBER(F833)),"Quantidade não informada",IF(F833&lt;=0,"Quantidade não positiva",IF(G833="","Unidade não informada",IF(NOT(ISNUMBER(H833)),"Unidade a conferir",IF(AC833=1,"REVISAR VÍNCULO: soma vinculada maior que a referência do item","OK"))))))</f>
        <v/>
      </c>
      <c r="M833" s="94" t="str">
        <f>IF(N833=0,"",IF(B833="","CDF não informado",IF(Q833=0,"REVISAR VÍNCULO: CDF inexistente",IF(C833="","Item não informado",IF(T833=0,"REVISAR VÍNCULO: item inexistente",IF(AND(X833=1,J833&lt;&gt;"Sim"),"REVISAR VÍNCULO: destinador diferente do MTR",IF(X833=1,"Destinador diferente do MTR (analisado)","OK")))))))</f>
        <v/>
      </c>
      <c r="N833" s="96">
        <f>IF(COUNTA(B833:C833,F833:G833,J833:K833)&gt;0,1,0)</f>
        <v>0</v>
      </c>
      <c r="O833" s="96" t="str">
        <f>IF(B833="","",TRIM(LEFT(B833,FIND(" |",B833&amp;" |")-1)))</f>
        <v/>
      </c>
      <c r="P833" s="96" t="str">
        <f>IF(O833="","",IFERROR(MATCH(O833,'CDFs'!$A$6:$A$505,0),""))</f>
        <v/>
      </c>
      <c r="Q833" s="96">
        <f>IF(P833="",0,IF(INDEX('CDFs'!$S$6:$S$505,P833)=1,1,0))</f>
        <v>0</v>
      </c>
      <c r="R833" s="96" t="str">
        <f>IF(C833="","",TRIM(LEFT(C833,FIND(" |",C833&amp;" |")-1)))</f>
        <v/>
      </c>
      <c r="S833" s="96" t="str">
        <f>IF(R833="","",IFERROR(MATCH(R833,'ITENS_MTR'!$A$6:$A$1005,0),""))</f>
        <v/>
      </c>
      <c r="T833" s="96">
        <f>IF(S833="",0,IF(INDEX('ITENS_MTR'!$R$6:$R$1005,S833)=1,1,0))</f>
        <v>0</v>
      </c>
      <c r="U833" s="96" t="str">
        <f>IF(G833="","",IFERROR(IF(ISNUMBER(INDEX(cfg_fac,MATCH(G833,cfg_units,0))),IF(INDEX(cfg_fac,MATCH(G833,cfg_units,0))&gt;0,INDEX(cfg_fac,MATCH(G833,cfg_units,0)),""),""),""))</f>
        <v/>
      </c>
      <c r="V833" s="96">
        <f>IF(AND(ISNUMBER(F833),ISNUMBER(H833)),IF(H833&gt;0,1,0),0)</f>
        <v>0</v>
      </c>
      <c r="W833" s="96" t="str">
        <f>IF(T833=1,INDEX('ITENS_MTR'!$AU$6:$AU$1005,S833)&amp;"","")</f>
        <v/>
      </c>
      <c r="X833" s="96">
        <f>IF(AND(Q833=1,T833=1,I833&lt;&gt;"",W833&lt;&gt;""),IF(I833&lt;&gt;W833,1,0),0)</f>
        <v>0</v>
      </c>
      <c r="Y833" s="96">
        <f>IF(N833=0,0,IF(OR(Q833=0,T833=0,V833=0,AND(X833=1,J833&lt;&gt;"Sim")),1,0))</f>
        <v>0</v>
      </c>
      <c r="Z833" s="96">
        <f>IF(Q833=1,INDEX('CDFs'!$W$6:$W$505,P833),0)</f>
        <v>0</v>
      </c>
      <c r="AA833" s="96">
        <f>IF(AND(N833=1,Y833=0,Z833=1,J833="Sim"),1,0)</f>
        <v>0</v>
      </c>
      <c r="AB833" s="96">
        <f>IF(AND(N833=1,O833&lt;&gt;"",D833&lt;&gt;""),IF(COUNTIFS($O$6:O833,O833,$D$6:D833,D833)=1,1,0),0)</f>
        <v>0</v>
      </c>
      <c r="AC833" s="96">
        <f>IF(T833=1,INDEX('ITENS_MTR'!$AL$6:$AL$1005,S833),0)</f>
        <v>0</v>
      </c>
    </row>
    <row r="834">
      <c r="A834" s="89" t="inlineStr">
        <is>
          <t>VIN-000829</t>
        </is>
      </c>
      <c r="B834" s="91" t="n"/>
      <c r="C834" s="91" t="n"/>
      <c r="D834" s="94" t="str">
        <f>IF(T834=1,INDEX('ITENS_MTR'!$S$6:$S$1005,S834)&amp;"","")</f>
        <v/>
      </c>
      <c r="E834" s="94" t="str">
        <f>IF(T834=1,INDEX('ITENS_MTR'!$C$6:$C$1005,S834)&amp;"","")</f>
        <v/>
      </c>
      <c r="F834" s="98" t="n"/>
      <c r="G834" s="91" t="n"/>
      <c r="H834" s="93" t="str">
        <f>IF(N834=0,"",IF(NOT(ISNUMBER(F834)),"",IF(ISNUMBER(U834),F834*U834,"UNIDADE A CONFERIR")))</f>
        <v/>
      </c>
      <c r="I834" s="94" t="str">
        <f>IF(Q834=1,INDEX('CDFs'!$F$6:$F$505,P834)&amp;"","")</f>
        <v/>
      </c>
      <c r="J834" s="91" t="n"/>
      <c r="K834" s="91" t="n"/>
      <c r="L834" s="94" t="str">
        <f>IF(N834=0,"",IF(NOT(ISNUMBER(F834)),"Quantidade não informada",IF(F834&lt;=0,"Quantidade não positiva",IF(G834="","Unidade não informada",IF(NOT(ISNUMBER(H834)),"Unidade a conferir",IF(AC834=1,"REVISAR VÍNCULO: soma vinculada maior que a referência do item","OK"))))))</f>
        <v/>
      </c>
      <c r="M834" s="94" t="str">
        <f>IF(N834=0,"",IF(B834="","CDF não informado",IF(Q834=0,"REVISAR VÍNCULO: CDF inexistente",IF(C834="","Item não informado",IF(T834=0,"REVISAR VÍNCULO: item inexistente",IF(AND(X834=1,J834&lt;&gt;"Sim"),"REVISAR VÍNCULO: destinador diferente do MTR",IF(X834=1,"Destinador diferente do MTR (analisado)","OK")))))))</f>
        <v/>
      </c>
      <c r="N834" s="96">
        <f>IF(COUNTA(B834:C834,F834:G834,J834:K834)&gt;0,1,0)</f>
        <v>0</v>
      </c>
      <c r="O834" s="96" t="str">
        <f>IF(B834="","",TRIM(LEFT(B834,FIND(" |",B834&amp;" |")-1)))</f>
        <v/>
      </c>
      <c r="P834" s="96" t="str">
        <f>IF(O834="","",IFERROR(MATCH(O834,'CDFs'!$A$6:$A$505,0),""))</f>
        <v/>
      </c>
      <c r="Q834" s="96">
        <f>IF(P834="",0,IF(INDEX('CDFs'!$S$6:$S$505,P834)=1,1,0))</f>
        <v>0</v>
      </c>
      <c r="R834" s="96" t="str">
        <f>IF(C834="","",TRIM(LEFT(C834,FIND(" |",C834&amp;" |")-1)))</f>
        <v/>
      </c>
      <c r="S834" s="96" t="str">
        <f>IF(R834="","",IFERROR(MATCH(R834,'ITENS_MTR'!$A$6:$A$1005,0),""))</f>
        <v/>
      </c>
      <c r="T834" s="96">
        <f>IF(S834="",0,IF(INDEX('ITENS_MTR'!$R$6:$R$1005,S834)=1,1,0))</f>
        <v>0</v>
      </c>
      <c r="U834" s="96" t="str">
        <f>IF(G834="","",IFERROR(IF(ISNUMBER(INDEX(cfg_fac,MATCH(G834,cfg_units,0))),IF(INDEX(cfg_fac,MATCH(G834,cfg_units,0))&gt;0,INDEX(cfg_fac,MATCH(G834,cfg_units,0)),""),""),""))</f>
        <v/>
      </c>
      <c r="V834" s="96">
        <f>IF(AND(ISNUMBER(F834),ISNUMBER(H834)),IF(H834&gt;0,1,0),0)</f>
        <v>0</v>
      </c>
      <c r="W834" s="96" t="str">
        <f>IF(T834=1,INDEX('ITENS_MTR'!$AU$6:$AU$1005,S834)&amp;"","")</f>
        <v/>
      </c>
      <c r="X834" s="96">
        <f>IF(AND(Q834=1,T834=1,I834&lt;&gt;"",W834&lt;&gt;""),IF(I834&lt;&gt;W834,1,0),0)</f>
        <v>0</v>
      </c>
      <c r="Y834" s="96">
        <f>IF(N834=0,0,IF(OR(Q834=0,T834=0,V834=0,AND(X834=1,J834&lt;&gt;"Sim")),1,0))</f>
        <v>0</v>
      </c>
      <c r="Z834" s="96">
        <f>IF(Q834=1,INDEX('CDFs'!$W$6:$W$505,P834),0)</f>
        <v>0</v>
      </c>
      <c r="AA834" s="96">
        <f>IF(AND(N834=1,Y834=0,Z834=1,J834="Sim"),1,0)</f>
        <v>0</v>
      </c>
      <c r="AB834" s="96">
        <f>IF(AND(N834=1,O834&lt;&gt;"",D834&lt;&gt;""),IF(COUNTIFS($O$6:O834,O834,$D$6:D834,D834)=1,1,0),0)</f>
        <v>0</v>
      </c>
      <c r="AC834" s="96">
        <f>IF(T834=1,INDEX('ITENS_MTR'!$AL$6:$AL$1005,S834),0)</f>
        <v>0</v>
      </c>
    </row>
    <row r="835">
      <c r="A835" s="89" t="inlineStr">
        <is>
          <t>VIN-000830</t>
        </is>
      </c>
      <c r="B835" s="91" t="n"/>
      <c r="C835" s="91" t="n"/>
      <c r="D835" s="94" t="str">
        <f>IF(T835=1,INDEX('ITENS_MTR'!$S$6:$S$1005,S835)&amp;"","")</f>
        <v/>
      </c>
      <c r="E835" s="94" t="str">
        <f>IF(T835=1,INDEX('ITENS_MTR'!$C$6:$C$1005,S835)&amp;"","")</f>
        <v/>
      </c>
      <c r="F835" s="98" t="n"/>
      <c r="G835" s="91" t="n"/>
      <c r="H835" s="93" t="str">
        <f>IF(N835=0,"",IF(NOT(ISNUMBER(F835)),"",IF(ISNUMBER(U835),F835*U835,"UNIDADE A CONFERIR")))</f>
        <v/>
      </c>
      <c r="I835" s="94" t="str">
        <f>IF(Q835=1,INDEX('CDFs'!$F$6:$F$505,P835)&amp;"","")</f>
        <v/>
      </c>
      <c r="J835" s="91" t="n"/>
      <c r="K835" s="91" t="n"/>
      <c r="L835" s="94" t="str">
        <f>IF(N835=0,"",IF(NOT(ISNUMBER(F835)),"Quantidade não informada",IF(F835&lt;=0,"Quantidade não positiva",IF(G835="","Unidade não informada",IF(NOT(ISNUMBER(H835)),"Unidade a conferir",IF(AC835=1,"REVISAR VÍNCULO: soma vinculada maior que a referência do item","OK"))))))</f>
        <v/>
      </c>
      <c r="M835" s="94" t="str">
        <f>IF(N835=0,"",IF(B835="","CDF não informado",IF(Q835=0,"REVISAR VÍNCULO: CDF inexistente",IF(C835="","Item não informado",IF(T835=0,"REVISAR VÍNCULO: item inexistente",IF(AND(X835=1,J835&lt;&gt;"Sim"),"REVISAR VÍNCULO: destinador diferente do MTR",IF(X835=1,"Destinador diferente do MTR (analisado)","OK")))))))</f>
        <v/>
      </c>
      <c r="N835" s="96">
        <f>IF(COUNTA(B835:C835,F835:G835,J835:K835)&gt;0,1,0)</f>
        <v>0</v>
      </c>
      <c r="O835" s="96" t="str">
        <f>IF(B835="","",TRIM(LEFT(B835,FIND(" |",B835&amp;" |")-1)))</f>
        <v/>
      </c>
      <c r="P835" s="96" t="str">
        <f>IF(O835="","",IFERROR(MATCH(O835,'CDFs'!$A$6:$A$505,0),""))</f>
        <v/>
      </c>
      <c r="Q835" s="96">
        <f>IF(P835="",0,IF(INDEX('CDFs'!$S$6:$S$505,P835)=1,1,0))</f>
        <v>0</v>
      </c>
      <c r="R835" s="96" t="str">
        <f>IF(C835="","",TRIM(LEFT(C835,FIND(" |",C835&amp;" |")-1)))</f>
        <v/>
      </c>
      <c r="S835" s="96" t="str">
        <f>IF(R835="","",IFERROR(MATCH(R835,'ITENS_MTR'!$A$6:$A$1005,0),""))</f>
        <v/>
      </c>
      <c r="T835" s="96">
        <f>IF(S835="",0,IF(INDEX('ITENS_MTR'!$R$6:$R$1005,S835)=1,1,0))</f>
        <v>0</v>
      </c>
      <c r="U835" s="96" t="str">
        <f>IF(G835="","",IFERROR(IF(ISNUMBER(INDEX(cfg_fac,MATCH(G835,cfg_units,0))),IF(INDEX(cfg_fac,MATCH(G835,cfg_units,0))&gt;0,INDEX(cfg_fac,MATCH(G835,cfg_units,0)),""),""),""))</f>
        <v/>
      </c>
      <c r="V835" s="96">
        <f>IF(AND(ISNUMBER(F835),ISNUMBER(H835)),IF(H835&gt;0,1,0),0)</f>
        <v>0</v>
      </c>
      <c r="W835" s="96" t="str">
        <f>IF(T835=1,INDEX('ITENS_MTR'!$AU$6:$AU$1005,S835)&amp;"","")</f>
        <v/>
      </c>
      <c r="X835" s="96">
        <f>IF(AND(Q835=1,T835=1,I835&lt;&gt;"",W835&lt;&gt;""),IF(I835&lt;&gt;W835,1,0),0)</f>
        <v>0</v>
      </c>
      <c r="Y835" s="96">
        <f>IF(N835=0,0,IF(OR(Q835=0,T835=0,V835=0,AND(X835=1,J835&lt;&gt;"Sim")),1,0))</f>
        <v>0</v>
      </c>
      <c r="Z835" s="96">
        <f>IF(Q835=1,INDEX('CDFs'!$W$6:$W$505,P835),0)</f>
        <v>0</v>
      </c>
      <c r="AA835" s="96">
        <f>IF(AND(N835=1,Y835=0,Z835=1,J835="Sim"),1,0)</f>
        <v>0</v>
      </c>
      <c r="AB835" s="96">
        <f>IF(AND(N835=1,O835&lt;&gt;"",D835&lt;&gt;""),IF(COUNTIFS($O$6:O835,O835,$D$6:D835,D835)=1,1,0),0)</f>
        <v>0</v>
      </c>
      <c r="AC835" s="96">
        <f>IF(T835=1,INDEX('ITENS_MTR'!$AL$6:$AL$1005,S835),0)</f>
        <v>0</v>
      </c>
    </row>
    <row r="836">
      <c r="A836" s="89" t="inlineStr">
        <is>
          <t>VIN-000831</t>
        </is>
      </c>
      <c r="B836" s="91" t="n"/>
      <c r="C836" s="91" t="n"/>
      <c r="D836" s="94" t="str">
        <f>IF(T836=1,INDEX('ITENS_MTR'!$S$6:$S$1005,S836)&amp;"","")</f>
        <v/>
      </c>
      <c r="E836" s="94" t="str">
        <f>IF(T836=1,INDEX('ITENS_MTR'!$C$6:$C$1005,S836)&amp;"","")</f>
        <v/>
      </c>
      <c r="F836" s="98" t="n"/>
      <c r="G836" s="91" t="n"/>
      <c r="H836" s="93" t="str">
        <f>IF(N836=0,"",IF(NOT(ISNUMBER(F836)),"",IF(ISNUMBER(U836),F836*U836,"UNIDADE A CONFERIR")))</f>
        <v/>
      </c>
      <c r="I836" s="94" t="str">
        <f>IF(Q836=1,INDEX('CDFs'!$F$6:$F$505,P836)&amp;"","")</f>
        <v/>
      </c>
      <c r="J836" s="91" t="n"/>
      <c r="K836" s="91" t="n"/>
      <c r="L836" s="94" t="str">
        <f>IF(N836=0,"",IF(NOT(ISNUMBER(F836)),"Quantidade não informada",IF(F836&lt;=0,"Quantidade não positiva",IF(G836="","Unidade não informada",IF(NOT(ISNUMBER(H836)),"Unidade a conferir",IF(AC836=1,"REVISAR VÍNCULO: soma vinculada maior que a referência do item","OK"))))))</f>
        <v/>
      </c>
      <c r="M836" s="94" t="str">
        <f>IF(N836=0,"",IF(B836="","CDF não informado",IF(Q836=0,"REVISAR VÍNCULO: CDF inexistente",IF(C836="","Item não informado",IF(T836=0,"REVISAR VÍNCULO: item inexistente",IF(AND(X836=1,J836&lt;&gt;"Sim"),"REVISAR VÍNCULO: destinador diferente do MTR",IF(X836=1,"Destinador diferente do MTR (analisado)","OK")))))))</f>
        <v/>
      </c>
      <c r="N836" s="96">
        <f>IF(COUNTA(B836:C836,F836:G836,J836:K836)&gt;0,1,0)</f>
        <v>0</v>
      </c>
      <c r="O836" s="96" t="str">
        <f>IF(B836="","",TRIM(LEFT(B836,FIND(" |",B836&amp;" |")-1)))</f>
        <v/>
      </c>
      <c r="P836" s="96" t="str">
        <f>IF(O836="","",IFERROR(MATCH(O836,'CDFs'!$A$6:$A$505,0),""))</f>
        <v/>
      </c>
      <c r="Q836" s="96">
        <f>IF(P836="",0,IF(INDEX('CDFs'!$S$6:$S$505,P836)=1,1,0))</f>
        <v>0</v>
      </c>
      <c r="R836" s="96" t="str">
        <f>IF(C836="","",TRIM(LEFT(C836,FIND(" |",C836&amp;" |")-1)))</f>
        <v/>
      </c>
      <c r="S836" s="96" t="str">
        <f>IF(R836="","",IFERROR(MATCH(R836,'ITENS_MTR'!$A$6:$A$1005,0),""))</f>
        <v/>
      </c>
      <c r="T836" s="96">
        <f>IF(S836="",0,IF(INDEX('ITENS_MTR'!$R$6:$R$1005,S836)=1,1,0))</f>
        <v>0</v>
      </c>
      <c r="U836" s="96" t="str">
        <f>IF(G836="","",IFERROR(IF(ISNUMBER(INDEX(cfg_fac,MATCH(G836,cfg_units,0))),IF(INDEX(cfg_fac,MATCH(G836,cfg_units,0))&gt;0,INDEX(cfg_fac,MATCH(G836,cfg_units,0)),""),""),""))</f>
        <v/>
      </c>
      <c r="V836" s="96">
        <f>IF(AND(ISNUMBER(F836),ISNUMBER(H836)),IF(H836&gt;0,1,0),0)</f>
        <v>0</v>
      </c>
      <c r="W836" s="96" t="str">
        <f>IF(T836=1,INDEX('ITENS_MTR'!$AU$6:$AU$1005,S836)&amp;"","")</f>
        <v/>
      </c>
      <c r="X836" s="96">
        <f>IF(AND(Q836=1,T836=1,I836&lt;&gt;"",W836&lt;&gt;""),IF(I836&lt;&gt;W836,1,0),0)</f>
        <v>0</v>
      </c>
      <c r="Y836" s="96">
        <f>IF(N836=0,0,IF(OR(Q836=0,T836=0,V836=0,AND(X836=1,J836&lt;&gt;"Sim")),1,0))</f>
        <v>0</v>
      </c>
      <c r="Z836" s="96">
        <f>IF(Q836=1,INDEX('CDFs'!$W$6:$W$505,P836),0)</f>
        <v>0</v>
      </c>
      <c r="AA836" s="96">
        <f>IF(AND(N836=1,Y836=0,Z836=1,J836="Sim"),1,0)</f>
        <v>0</v>
      </c>
      <c r="AB836" s="96">
        <f>IF(AND(N836=1,O836&lt;&gt;"",D836&lt;&gt;""),IF(COUNTIFS($O$6:O836,O836,$D$6:D836,D836)=1,1,0),0)</f>
        <v>0</v>
      </c>
      <c r="AC836" s="96">
        <f>IF(T836=1,INDEX('ITENS_MTR'!$AL$6:$AL$1005,S836),0)</f>
        <v>0</v>
      </c>
    </row>
    <row r="837">
      <c r="A837" s="89" t="inlineStr">
        <is>
          <t>VIN-000832</t>
        </is>
      </c>
      <c r="B837" s="91" t="n"/>
      <c r="C837" s="91" t="n"/>
      <c r="D837" s="94" t="str">
        <f>IF(T837=1,INDEX('ITENS_MTR'!$S$6:$S$1005,S837)&amp;"","")</f>
        <v/>
      </c>
      <c r="E837" s="94" t="str">
        <f>IF(T837=1,INDEX('ITENS_MTR'!$C$6:$C$1005,S837)&amp;"","")</f>
        <v/>
      </c>
      <c r="F837" s="98" t="n"/>
      <c r="G837" s="91" t="n"/>
      <c r="H837" s="93" t="str">
        <f>IF(N837=0,"",IF(NOT(ISNUMBER(F837)),"",IF(ISNUMBER(U837),F837*U837,"UNIDADE A CONFERIR")))</f>
        <v/>
      </c>
      <c r="I837" s="94" t="str">
        <f>IF(Q837=1,INDEX('CDFs'!$F$6:$F$505,P837)&amp;"","")</f>
        <v/>
      </c>
      <c r="J837" s="91" t="n"/>
      <c r="K837" s="91" t="n"/>
      <c r="L837" s="94" t="str">
        <f>IF(N837=0,"",IF(NOT(ISNUMBER(F837)),"Quantidade não informada",IF(F837&lt;=0,"Quantidade não positiva",IF(G837="","Unidade não informada",IF(NOT(ISNUMBER(H837)),"Unidade a conferir",IF(AC837=1,"REVISAR VÍNCULO: soma vinculada maior que a referência do item","OK"))))))</f>
        <v/>
      </c>
      <c r="M837" s="94" t="str">
        <f>IF(N837=0,"",IF(B837="","CDF não informado",IF(Q837=0,"REVISAR VÍNCULO: CDF inexistente",IF(C837="","Item não informado",IF(T837=0,"REVISAR VÍNCULO: item inexistente",IF(AND(X837=1,J837&lt;&gt;"Sim"),"REVISAR VÍNCULO: destinador diferente do MTR",IF(X837=1,"Destinador diferente do MTR (analisado)","OK")))))))</f>
        <v/>
      </c>
      <c r="N837" s="96">
        <f>IF(COUNTA(B837:C837,F837:G837,J837:K837)&gt;0,1,0)</f>
        <v>0</v>
      </c>
      <c r="O837" s="96" t="str">
        <f>IF(B837="","",TRIM(LEFT(B837,FIND(" |",B837&amp;" |")-1)))</f>
        <v/>
      </c>
      <c r="P837" s="96" t="str">
        <f>IF(O837="","",IFERROR(MATCH(O837,'CDFs'!$A$6:$A$505,0),""))</f>
        <v/>
      </c>
      <c r="Q837" s="96">
        <f>IF(P837="",0,IF(INDEX('CDFs'!$S$6:$S$505,P837)=1,1,0))</f>
        <v>0</v>
      </c>
      <c r="R837" s="96" t="str">
        <f>IF(C837="","",TRIM(LEFT(C837,FIND(" |",C837&amp;" |")-1)))</f>
        <v/>
      </c>
      <c r="S837" s="96" t="str">
        <f>IF(R837="","",IFERROR(MATCH(R837,'ITENS_MTR'!$A$6:$A$1005,0),""))</f>
        <v/>
      </c>
      <c r="T837" s="96">
        <f>IF(S837="",0,IF(INDEX('ITENS_MTR'!$R$6:$R$1005,S837)=1,1,0))</f>
        <v>0</v>
      </c>
      <c r="U837" s="96" t="str">
        <f>IF(G837="","",IFERROR(IF(ISNUMBER(INDEX(cfg_fac,MATCH(G837,cfg_units,0))),IF(INDEX(cfg_fac,MATCH(G837,cfg_units,0))&gt;0,INDEX(cfg_fac,MATCH(G837,cfg_units,0)),""),""),""))</f>
        <v/>
      </c>
      <c r="V837" s="96">
        <f>IF(AND(ISNUMBER(F837),ISNUMBER(H837)),IF(H837&gt;0,1,0),0)</f>
        <v>0</v>
      </c>
      <c r="W837" s="96" t="str">
        <f>IF(T837=1,INDEX('ITENS_MTR'!$AU$6:$AU$1005,S837)&amp;"","")</f>
        <v/>
      </c>
      <c r="X837" s="96">
        <f>IF(AND(Q837=1,T837=1,I837&lt;&gt;"",W837&lt;&gt;""),IF(I837&lt;&gt;W837,1,0),0)</f>
        <v>0</v>
      </c>
      <c r="Y837" s="96">
        <f>IF(N837=0,0,IF(OR(Q837=0,T837=0,V837=0,AND(X837=1,J837&lt;&gt;"Sim")),1,0))</f>
        <v>0</v>
      </c>
      <c r="Z837" s="96">
        <f>IF(Q837=1,INDEX('CDFs'!$W$6:$W$505,P837),0)</f>
        <v>0</v>
      </c>
      <c r="AA837" s="96">
        <f>IF(AND(N837=1,Y837=0,Z837=1,J837="Sim"),1,0)</f>
        <v>0</v>
      </c>
      <c r="AB837" s="96">
        <f>IF(AND(N837=1,O837&lt;&gt;"",D837&lt;&gt;""),IF(COUNTIFS($O$6:O837,O837,$D$6:D837,D837)=1,1,0),0)</f>
        <v>0</v>
      </c>
      <c r="AC837" s="96">
        <f>IF(T837=1,INDEX('ITENS_MTR'!$AL$6:$AL$1005,S837),0)</f>
        <v>0</v>
      </c>
    </row>
    <row r="838">
      <c r="A838" s="89" t="inlineStr">
        <is>
          <t>VIN-000833</t>
        </is>
      </c>
      <c r="B838" s="91" t="n"/>
      <c r="C838" s="91" t="n"/>
      <c r="D838" s="94" t="str">
        <f>IF(T838=1,INDEX('ITENS_MTR'!$S$6:$S$1005,S838)&amp;"","")</f>
        <v/>
      </c>
      <c r="E838" s="94" t="str">
        <f>IF(T838=1,INDEX('ITENS_MTR'!$C$6:$C$1005,S838)&amp;"","")</f>
        <v/>
      </c>
      <c r="F838" s="98" t="n"/>
      <c r="G838" s="91" t="n"/>
      <c r="H838" s="93" t="str">
        <f>IF(N838=0,"",IF(NOT(ISNUMBER(F838)),"",IF(ISNUMBER(U838),F838*U838,"UNIDADE A CONFERIR")))</f>
        <v/>
      </c>
      <c r="I838" s="94" t="str">
        <f>IF(Q838=1,INDEX('CDFs'!$F$6:$F$505,P838)&amp;"","")</f>
        <v/>
      </c>
      <c r="J838" s="91" t="n"/>
      <c r="K838" s="91" t="n"/>
      <c r="L838" s="94" t="str">
        <f>IF(N838=0,"",IF(NOT(ISNUMBER(F838)),"Quantidade não informada",IF(F838&lt;=0,"Quantidade não positiva",IF(G838="","Unidade não informada",IF(NOT(ISNUMBER(H838)),"Unidade a conferir",IF(AC838=1,"REVISAR VÍNCULO: soma vinculada maior que a referência do item","OK"))))))</f>
        <v/>
      </c>
      <c r="M838" s="94" t="str">
        <f>IF(N838=0,"",IF(B838="","CDF não informado",IF(Q838=0,"REVISAR VÍNCULO: CDF inexistente",IF(C838="","Item não informado",IF(T838=0,"REVISAR VÍNCULO: item inexistente",IF(AND(X838=1,J838&lt;&gt;"Sim"),"REVISAR VÍNCULO: destinador diferente do MTR",IF(X838=1,"Destinador diferente do MTR (analisado)","OK")))))))</f>
        <v/>
      </c>
      <c r="N838" s="96">
        <f>IF(COUNTA(B838:C838,F838:G838,J838:K838)&gt;0,1,0)</f>
        <v>0</v>
      </c>
      <c r="O838" s="96" t="str">
        <f>IF(B838="","",TRIM(LEFT(B838,FIND(" |",B838&amp;" |")-1)))</f>
        <v/>
      </c>
      <c r="P838" s="96" t="str">
        <f>IF(O838="","",IFERROR(MATCH(O838,'CDFs'!$A$6:$A$505,0),""))</f>
        <v/>
      </c>
      <c r="Q838" s="96">
        <f>IF(P838="",0,IF(INDEX('CDFs'!$S$6:$S$505,P838)=1,1,0))</f>
        <v>0</v>
      </c>
      <c r="R838" s="96" t="str">
        <f>IF(C838="","",TRIM(LEFT(C838,FIND(" |",C838&amp;" |")-1)))</f>
        <v/>
      </c>
      <c r="S838" s="96" t="str">
        <f>IF(R838="","",IFERROR(MATCH(R838,'ITENS_MTR'!$A$6:$A$1005,0),""))</f>
        <v/>
      </c>
      <c r="T838" s="96">
        <f>IF(S838="",0,IF(INDEX('ITENS_MTR'!$R$6:$R$1005,S838)=1,1,0))</f>
        <v>0</v>
      </c>
      <c r="U838" s="96" t="str">
        <f>IF(G838="","",IFERROR(IF(ISNUMBER(INDEX(cfg_fac,MATCH(G838,cfg_units,0))),IF(INDEX(cfg_fac,MATCH(G838,cfg_units,0))&gt;0,INDEX(cfg_fac,MATCH(G838,cfg_units,0)),""),""),""))</f>
        <v/>
      </c>
      <c r="V838" s="96">
        <f>IF(AND(ISNUMBER(F838),ISNUMBER(H838)),IF(H838&gt;0,1,0),0)</f>
        <v>0</v>
      </c>
      <c r="W838" s="96" t="str">
        <f>IF(T838=1,INDEX('ITENS_MTR'!$AU$6:$AU$1005,S838)&amp;"","")</f>
        <v/>
      </c>
      <c r="X838" s="96">
        <f>IF(AND(Q838=1,T838=1,I838&lt;&gt;"",W838&lt;&gt;""),IF(I838&lt;&gt;W838,1,0),0)</f>
        <v>0</v>
      </c>
      <c r="Y838" s="96">
        <f>IF(N838=0,0,IF(OR(Q838=0,T838=0,V838=0,AND(X838=1,J838&lt;&gt;"Sim")),1,0))</f>
        <v>0</v>
      </c>
      <c r="Z838" s="96">
        <f>IF(Q838=1,INDEX('CDFs'!$W$6:$W$505,P838),0)</f>
        <v>0</v>
      </c>
      <c r="AA838" s="96">
        <f>IF(AND(N838=1,Y838=0,Z838=1,J838="Sim"),1,0)</f>
        <v>0</v>
      </c>
      <c r="AB838" s="96">
        <f>IF(AND(N838=1,O838&lt;&gt;"",D838&lt;&gt;""),IF(COUNTIFS($O$6:O838,O838,$D$6:D838,D838)=1,1,0),0)</f>
        <v>0</v>
      </c>
      <c r="AC838" s="96">
        <f>IF(T838=1,INDEX('ITENS_MTR'!$AL$6:$AL$1005,S838),0)</f>
        <v>0</v>
      </c>
    </row>
    <row r="839">
      <c r="A839" s="89" t="inlineStr">
        <is>
          <t>VIN-000834</t>
        </is>
      </c>
      <c r="B839" s="91" t="n"/>
      <c r="C839" s="91" t="n"/>
      <c r="D839" s="94" t="str">
        <f>IF(T839=1,INDEX('ITENS_MTR'!$S$6:$S$1005,S839)&amp;"","")</f>
        <v/>
      </c>
      <c r="E839" s="94" t="str">
        <f>IF(T839=1,INDEX('ITENS_MTR'!$C$6:$C$1005,S839)&amp;"","")</f>
        <v/>
      </c>
      <c r="F839" s="98" t="n"/>
      <c r="G839" s="91" t="n"/>
      <c r="H839" s="93" t="str">
        <f>IF(N839=0,"",IF(NOT(ISNUMBER(F839)),"",IF(ISNUMBER(U839),F839*U839,"UNIDADE A CONFERIR")))</f>
        <v/>
      </c>
      <c r="I839" s="94" t="str">
        <f>IF(Q839=1,INDEX('CDFs'!$F$6:$F$505,P839)&amp;"","")</f>
        <v/>
      </c>
      <c r="J839" s="91" t="n"/>
      <c r="K839" s="91" t="n"/>
      <c r="L839" s="94" t="str">
        <f>IF(N839=0,"",IF(NOT(ISNUMBER(F839)),"Quantidade não informada",IF(F839&lt;=0,"Quantidade não positiva",IF(G839="","Unidade não informada",IF(NOT(ISNUMBER(H839)),"Unidade a conferir",IF(AC839=1,"REVISAR VÍNCULO: soma vinculada maior que a referência do item","OK"))))))</f>
        <v/>
      </c>
      <c r="M839" s="94" t="str">
        <f>IF(N839=0,"",IF(B839="","CDF não informado",IF(Q839=0,"REVISAR VÍNCULO: CDF inexistente",IF(C839="","Item não informado",IF(T839=0,"REVISAR VÍNCULO: item inexistente",IF(AND(X839=1,J839&lt;&gt;"Sim"),"REVISAR VÍNCULO: destinador diferente do MTR",IF(X839=1,"Destinador diferente do MTR (analisado)","OK")))))))</f>
        <v/>
      </c>
      <c r="N839" s="96">
        <f>IF(COUNTA(B839:C839,F839:G839,J839:K839)&gt;0,1,0)</f>
        <v>0</v>
      </c>
      <c r="O839" s="96" t="str">
        <f>IF(B839="","",TRIM(LEFT(B839,FIND(" |",B839&amp;" |")-1)))</f>
        <v/>
      </c>
      <c r="P839" s="96" t="str">
        <f>IF(O839="","",IFERROR(MATCH(O839,'CDFs'!$A$6:$A$505,0),""))</f>
        <v/>
      </c>
      <c r="Q839" s="96">
        <f>IF(P839="",0,IF(INDEX('CDFs'!$S$6:$S$505,P839)=1,1,0))</f>
        <v>0</v>
      </c>
      <c r="R839" s="96" t="str">
        <f>IF(C839="","",TRIM(LEFT(C839,FIND(" |",C839&amp;" |")-1)))</f>
        <v/>
      </c>
      <c r="S839" s="96" t="str">
        <f>IF(R839="","",IFERROR(MATCH(R839,'ITENS_MTR'!$A$6:$A$1005,0),""))</f>
        <v/>
      </c>
      <c r="T839" s="96">
        <f>IF(S839="",0,IF(INDEX('ITENS_MTR'!$R$6:$R$1005,S839)=1,1,0))</f>
        <v>0</v>
      </c>
      <c r="U839" s="96" t="str">
        <f>IF(G839="","",IFERROR(IF(ISNUMBER(INDEX(cfg_fac,MATCH(G839,cfg_units,0))),IF(INDEX(cfg_fac,MATCH(G839,cfg_units,0))&gt;0,INDEX(cfg_fac,MATCH(G839,cfg_units,0)),""),""),""))</f>
        <v/>
      </c>
      <c r="V839" s="96">
        <f>IF(AND(ISNUMBER(F839),ISNUMBER(H839)),IF(H839&gt;0,1,0),0)</f>
        <v>0</v>
      </c>
      <c r="W839" s="96" t="str">
        <f>IF(T839=1,INDEX('ITENS_MTR'!$AU$6:$AU$1005,S839)&amp;"","")</f>
        <v/>
      </c>
      <c r="X839" s="96">
        <f>IF(AND(Q839=1,T839=1,I839&lt;&gt;"",W839&lt;&gt;""),IF(I839&lt;&gt;W839,1,0),0)</f>
        <v>0</v>
      </c>
      <c r="Y839" s="96">
        <f>IF(N839=0,0,IF(OR(Q839=0,T839=0,V839=0,AND(X839=1,J839&lt;&gt;"Sim")),1,0))</f>
        <v>0</v>
      </c>
      <c r="Z839" s="96">
        <f>IF(Q839=1,INDEX('CDFs'!$W$6:$W$505,P839),0)</f>
        <v>0</v>
      </c>
      <c r="AA839" s="96">
        <f>IF(AND(N839=1,Y839=0,Z839=1,J839="Sim"),1,0)</f>
        <v>0</v>
      </c>
      <c r="AB839" s="96">
        <f>IF(AND(N839=1,O839&lt;&gt;"",D839&lt;&gt;""),IF(COUNTIFS($O$6:O839,O839,$D$6:D839,D839)=1,1,0),0)</f>
        <v>0</v>
      </c>
      <c r="AC839" s="96">
        <f>IF(T839=1,INDEX('ITENS_MTR'!$AL$6:$AL$1005,S839),0)</f>
        <v>0</v>
      </c>
    </row>
    <row r="840">
      <c r="A840" s="89" t="inlineStr">
        <is>
          <t>VIN-000835</t>
        </is>
      </c>
      <c r="B840" s="91" t="n"/>
      <c r="C840" s="91" t="n"/>
      <c r="D840" s="94" t="str">
        <f>IF(T840=1,INDEX('ITENS_MTR'!$S$6:$S$1005,S840)&amp;"","")</f>
        <v/>
      </c>
      <c r="E840" s="94" t="str">
        <f>IF(T840=1,INDEX('ITENS_MTR'!$C$6:$C$1005,S840)&amp;"","")</f>
        <v/>
      </c>
      <c r="F840" s="98" t="n"/>
      <c r="G840" s="91" t="n"/>
      <c r="H840" s="93" t="str">
        <f>IF(N840=0,"",IF(NOT(ISNUMBER(F840)),"",IF(ISNUMBER(U840),F840*U840,"UNIDADE A CONFERIR")))</f>
        <v/>
      </c>
      <c r="I840" s="94" t="str">
        <f>IF(Q840=1,INDEX('CDFs'!$F$6:$F$505,P840)&amp;"","")</f>
        <v/>
      </c>
      <c r="J840" s="91" t="n"/>
      <c r="K840" s="91" t="n"/>
      <c r="L840" s="94" t="str">
        <f>IF(N840=0,"",IF(NOT(ISNUMBER(F840)),"Quantidade não informada",IF(F840&lt;=0,"Quantidade não positiva",IF(G840="","Unidade não informada",IF(NOT(ISNUMBER(H840)),"Unidade a conferir",IF(AC840=1,"REVISAR VÍNCULO: soma vinculada maior que a referência do item","OK"))))))</f>
        <v/>
      </c>
      <c r="M840" s="94" t="str">
        <f>IF(N840=0,"",IF(B840="","CDF não informado",IF(Q840=0,"REVISAR VÍNCULO: CDF inexistente",IF(C840="","Item não informado",IF(T840=0,"REVISAR VÍNCULO: item inexistente",IF(AND(X840=1,J840&lt;&gt;"Sim"),"REVISAR VÍNCULO: destinador diferente do MTR",IF(X840=1,"Destinador diferente do MTR (analisado)","OK")))))))</f>
        <v/>
      </c>
      <c r="N840" s="96">
        <f>IF(COUNTA(B840:C840,F840:G840,J840:K840)&gt;0,1,0)</f>
        <v>0</v>
      </c>
      <c r="O840" s="96" t="str">
        <f>IF(B840="","",TRIM(LEFT(B840,FIND(" |",B840&amp;" |")-1)))</f>
        <v/>
      </c>
      <c r="P840" s="96" t="str">
        <f>IF(O840="","",IFERROR(MATCH(O840,'CDFs'!$A$6:$A$505,0),""))</f>
        <v/>
      </c>
      <c r="Q840" s="96">
        <f>IF(P840="",0,IF(INDEX('CDFs'!$S$6:$S$505,P840)=1,1,0))</f>
        <v>0</v>
      </c>
      <c r="R840" s="96" t="str">
        <f>IF(C840="","",TRIM(LEFT(C840,FIND(" |",C840&amp;" |")-1)))</f>
        <v/>
      </c>
      <c r="S840" s="96" t="str">
        <f>IF(R840="","",IFERROR(MATCH(R840,'ITENS_MTR'!$A$6:$A$1005,0),""))</f>
        <v/>
      </c>
      <c r="T840" s="96">
        <f>IF(S840="",0,IF(INDEX('ITENS_MTR'!$R$6:$R$1005,S840)=1,1,0))</f>
        <v>0</v>
      </c>
      <c r="U840" s="96" t="str">
        <f>IF(G840="","",IFERROR(IF(ISNUMBER(INDEX(cfg_fac,MATCH(G840,cfg_units,0))),IF(INDEX(cfg_fac,MATCH(G840,cfg_units,0))&gt;0,INDEX(cfg_fac,MATCH(G840,cfg_units,0)),""),""),""))</f>
        <v/>
      </c>
      <c r="V840" s="96">
        <f>IF(AND(ISNUMBER(F840),ISNUMBER(H840)),IF(H840&gt;0,1,0),0)</f>
        <v>0</v>
      </c>
      <c r="W840" s="96" t="str">
        <f>IF(T840=1,INDEX('ITENS_MTR'!$AU$6:$AU$1005,S840)&amp;"","")</f>
        <v/>
      </c>
      <c r="X840" s="96">
        <f>IF(AND(Q840=1,T840=1,I840&lt;&gt;"",W840&lt;&gt;""),IF(I840&lt;&gt;W840,1,0),0)</f>
        <v>0</v>
      </c>
      <c r="Y840" s="96">
        <f>IF(N840=0,0,IF(OR(Q840=0,T840=0,V840=0,AND(X840=1,J840&lt;&gt;"Sim")),1,0))</f>
        <v>0</v>
      </c>
      <c r="Z840" s="96">
        <f>IF(Q840=1,INDEX('CDFs'!$W$6:$W$505,P840),0)</f>
        <v>0</v>
      </c>
      <c r="AA840" s="96">
        <f>IF(AND(N840=1,Y840=0,Z840=1,J840="Sim"),1,0)</f>
        <v>0</v>
      </c>
      <c r="AB840" s="96">
        <f>IF(AND(N840=1,O840&lt;&gt;"",D840&lt;&gt;""),IF(COUNTIFS($O$6:O840,O840,$D$6:D840,D840)=1,1,0),0)</f>
        <v>0</v>
      </c>
      <c r="AC840" s="96">
        <f>IF(T840=1,INDEX('ITENS_MTR'!$AL$6:$AL$1005,S840),0)</f>
        <v>0</v>
      </c>
    </row>
    <row r="841">
      <c r="A841" s="89" t="inlineStr">
        <is>
          <t>VIN-000836</t>
        </is>
      </c>
      <c r="B841" s="91" t="n"/>
      <c r="C841" s="91" t="n"/>
      <c r="D841" s="94" t="str">
        <f>IF(T841=1,INDEX('ITENS_MTR'!$S$6:$S$1005,S841)&amp;"","")</f>
        <v/>
      </c>
      <c r="E841" s="94" t="str">
        <f>IF(T841=1,INDEX('ITENS_MTR'!$C$6:$C$1005,S841)&amp;"","")</f>
        <v/>
      </c>
      <c r="F841" s="98" t="n"/>
      <c r="G841" s="91" t="n"/>
      <c r="H841" s="93" t="str">
        <f>IF(N841=0,"",IF(NOT(ISNUMBER(F841)),"",IF(ISNUMBER(U841),F841*U841,"UNIDADE A CONFERIR")))</f>
        <v/>
      </c>
      <c r="I841" s="94" t="str">
        <f>IF(Q841=1,INDEX('CDFs'!$F$6:$F$505,P841)&amp;"","")</f>
        <v/>
      </c>
      <c r="J841" s="91" t="n"/>
      <c r="K841" s="91" t="n"/>
      <c r="L841" s="94" t="str">
        <f>IF(N841=0,"",IF(NOT(ISNUMBER(F841)),"Quantidade não informada",IF(F841&lt;=0,"Quantidade não positiva",IF(G841="","Unidade não informada",IF(NOT(ISNUMBER(H841)),"Unidade a conferir",IF(AC841=1,"REVISAR VÍNCULO: soma vinculada maior que a referência do item","OK"))))))</f>
        <v/>
      </c>
      <c r="M841" s="94" t="str">
        <f>IF(N841=0,"",IF(B841="","CDF não informado",IF(Q841=0,"REVISAR VÍNCULO: CDF inexistente",IF(C841="","Item não informado",IF(T841=0,"REVISAR VÍNCULO: item inexistente",IF(AND(X841=1,J841&lt;&gt;"Sim"),"REVISAR VÍNCULO: destinador diferente do MTR",IF(X841=1,"Destinador diferente do MTR (analisado)","OK")))))))</f>
        <v/>
      </c>
      <c r="N841" s="96">
        <f>IF(COUNTA(B841:C841,F841:G841,J841:K841)&gt;0,1,0)</f>
        <v>0</v>
      </c>
      <c r="O841" s="96" t="str">
        <f>IF(B841="","",TRIM(LEFT(B841,FIND(" |",B841&amp;" |")-1)))</f>
        <v/>
      </c>
      <c r="P841" s="96" t="str">
        <f>IF(O841="","",IFERROR(MATCH(O841,'CDFs'!$A$6:$A$505,0),""))</f>
        <v/>
      </c>
      <c r="Q841" s="96">
        <f>IF(P841="",0,IF(INDEX('CDFs'!$S$6:$S$505,P841)=1,1,0))</f>
        <v>0</v>
      </c>
      <c r="R841" s="96" t="str">
        <f>IF(C841="","",TRIM(LEFT(C841,FIND(" |",C841&amp;" |")-1)))</f>
        <v/>
      </c>
      <c r="S841" s="96" t="str">
        <f>IF(R841="","",IFERROR(MATCH(R841,'ITENS_MTR'!$A$6:$A$1005,0),""))</f>
        <v/>
      </c>
      <c r="T841" s="96">
        <f>IF(S841="",0,IF(INDEX('ITENS_MTR'!$R$6:$R$1005,S841)=1,1,0))</f>
        <v>0</v>
      </c>
      <c r="U841" s="96" t="str">
        <f>IF(G841="","",IFERROR(IF(ISNUMBER(INDEX(cfg_fac,MATCH(G841,cfg_units,0))),IF(INDEX(cfg_fac,MATCH(G841,cfg_units,0))&gt;0,INDEX(cfg_fac,MATCH(G841,cfg_units,0)),""),""),""))</f>
        <v/>
      </c>
      <c r="V841" s="96">
        <f>IF(AND(ISNUMBER(F841),ISNUMBER(H841)),IF(H841&gt;0,1,0),0)</f>
        <v>0</v>
      </c>
      <c r="W841" s="96" t="str">
        <f>IF(T841=1,INDEX('ITENS_MTR'!$AU$6:$AU$1005,S841)&amp;"","")</f>
        <v/>
      </c>
      <c r="X841" s="96">
        <f>IF(AND(Q841=1,T841=1,I841&lt;&gt;"",W841&lt;&gt;""),IF(I841&lt;&gt;W841,1,0),0)</f>
        <v>0</v>
      </c>
      <c r="Y841" s="96">
        <f>IF(N841=0,0,IF(OR(Q841=0,T841=0,V841=0,AND(X841=1,J841&lt;&gt;"Sim")),1,0))</f>
        <v>0</v>
      </c>
      <c r="Z841" s="96">
        <f>IF(Q841=1,INDEX('CDFs'!$W$6:$W$505,P841),0)</f>
        <v>0</v>
      </c>
      <c r="AA841" s="96">
        <f>IF(AND(N841=1,Y841=0,Z841=1,J841="Sim"),1,0)</f>
        <v>0</v>
      </c>
      <c r="AB841" s="96">
        <f>IF(AND(N841=1,O841&lt;&gt;"",D841&lt;&gt;""),IF(COUNTIFS($O$6:O841,O841,$D$6:D841,D841)=1,1,0),0)</f>
        <v>0</v>
      </c>
      <c r="AC841" s="96">
        <f>IF(T841=1,INDEX('ITENS_MTR'!$AL$6:$AL$1005,S841),0)</f>
        <v>0</v>
      </c>
    </row>
    <row r="842">
      <c r="A842" s="89" t="inlineStr">
        <is>
          <t>VIN-000837</t>
        </is>
      </c>
      <c r="B842" s="91" t="n"/>
      <c r="C842" s="91" t="n"/>
      <c r="D842" s="94" t="str">
        <f>IF(T842=1,INDEX('ITENS_MTR'!$S$6:$S$1005,S842)&amp;"","")</f>
        <v/>
      </c>
      <c r="E842" s="94" t="str">
        <f>IF(T842=1,INDEX('ITENS_MTR'!$C$6:$C$1005,S842)&amp;"","")</f>
        <v/>
      </c>
      <c r="F842" s="98" t="n"/>
      <c r="G842" s="91" t="n"/>
      <c r="H842" s="93" t="str">
        <f>IF(N842=0,"",IF(NOT(ISNUMBER(F842)),"",IF(ISNUMBER(U842),F842*U842,"UNIDADE A CONFERIR")))</f>
        <v/>
      </c>
      <c r="I842" s="94" t="str">
        <f>IF(Q842=1,INDEX('CDFs'!$F$6:$F$505,P842)&amp;"","")</f>
        <v/>
      </c>
      <c r="J842" s="91" t="n"/>
      <c r="K842" s="91" t="n"/>
      <c r="L842" s="94" t="str">
        <f>IF(N842=0,"",IF(NOT(ISNUMBER(F842)),"Quantidade não informada",IF(F842&lt;=0,"Quantidade não positiva",IF(G842="","Unidade não informada",IF(NOT(ISNUMBER(H842)),"Unidade a conferir",IF(AC842=1,"REVISAR VÍNCULO: soma vinculada maior que a referência do item","OK"))))))</f>
        <v/>
      </c>
      <c r="M842" s="94" t="str">
        <f>IF(N842=0,"",IF(B842="","CDF não informado",IF(Q842=0,"REVISAR VÍNCULO: CDF inexistente",IF(C842="","Item não informado",IF(T842=0,"REVISAR VÍNCULO: item inexistente",IF(AND(X842=1,J842&lt;&gt;"Sim"),"REVISAR VÍNCULO: destinador diferente do MTR",IF(X842=1,"Destinador diferente do MTR (analisado)","OK")))))))</f>
        <v/>
      </c>
      <c r="N842" s="96">
        <f>IF(COUNTA(B842:C842,F842:G842,J842:K842)&gt;0,1,0)</f>
        <v>0</v>
      </c>
      <c r="O842" s="96" t="str">
        <f>IF(B842="","",TRIM(LEFT(B842,FIND(" |",B842&amp;" |")-1)))</f>
        <v/>
      </c>
      <c r="P842" s="96" t="str">
        <f>IF(O842="","",IFERROR(MATCH(O842,'CDFs'!$A$6:$A$505,0),""))</f>
        <v/>
      </c>
      <c r="Q842" s="96">
        <f>IF(P842="",0,IF(INDEX('CDFs'!$S$6:$S$505,P842)=1,1,0))</f>
        <v>0</v>
      </c>
      <c r="R842" s="96" t="str">
        <f>IF(C842="","",TRIM(LEFT(C842,FIND(" |",C842&amp;" |")-1)))</f>
        <v/>
      </c>
      <c r="S842" s="96" t="str">
        <f>IF(R842="","",IFERROR(MATCH(R842,'ITENS_MTR'!$A$6:$A$1005,0),""))</f>
        <v/>
      </c>
      <c r="T842" s="96">
        <f>IF(S842="",0,IF(INDEX('ITENS_MTR'!$R$6:$R$1005,S842)=1,1,0))</f>
        <v>0</v>
      </c>
      <c r="U842" s="96" t="str">
        <f>IF(G842="","",IFERROR(IF(ISNUMBER(INDEX(cfg_fac,MATCH(G842,cfg_units,0))),IF(INDEX(cfg_fac,MATCH(G842,cfg_units,0))&gt;0,INDEX(cfg_fac,MATCH(G842,cfg_units,0)),""),""),""))</f>
        <v/>
      </c>
      <c r="V842" s="96">
        <f>IF(AND(ISNUMBER(F842),ISNUMBER(H842)),IF(H842&gt;0,1,0),0)</f>
        <v>0</v>
      </c>
      <c r="W842" s="96" t="str">
        <f>IF(T842=1,INDEX('ITENS_MTR'!$AU$6:$AU$1005,S842)&amp;"","")</f>
        <v/>
      </c>
      <c r="X842" s="96">
        <f>IF(AND(Q842=1,T842=1,I842&lt;&gt;"",W842&lt;&gt;""),IF(I842&lt;&gt;W842,1,0),0)</f>
        <v>0</v>
      </c>
      <c r="Y842" s="96">
        <f>IF(N842=0,0,IF(OR(Q842=0,T842=0,V842=0,AND(X842=1,J842&lt;&gt;"Sim")),1,0))</f>
        <v>0</v>
      </c>
      <c r="Z842" s="96">
        <f>IF(Q842=1,INDEX('CDFs'!$W$6:$W$505,P842),0)</f>
        <v>0</v>
      </c>
      <c r="AA842" s="96">
        <f>IF(AND(N842=1,Y842=0,Z842=1,J842="Sim"),1,0)</f>
        <v>0</v>
      </c>
      <c r="AB842" s="96">
        <f>IF(AND(N842=1,O842&lt;&gt;"",D842&lt;&gt;""),IF(COUNTIFS($O$6:O842,O842,$D$6:D842,D842)=1,1,0),0)</f>
        <v>0</v>
      </c>
      <c r="AC842" s="96">
        <f>IF(T842=1,INDEX('ITENS_MTR'!$AL$6:$AL$1005,S842),0)</f>
        <v>0</v>
      </c>
    </row>
    <row r="843">
      <c r="A843" s="89" t="inlineStr">
        <is>
          <t>VIN-000838</t>
        </is>
      </c>
      <c r="B843" s="91" t="n"/>
      <c r="C843" s="91" t="n"/>
      <c r="D843" s="94" t="str">
        <f>IF(T843=1,INDEX('ITENS_MTR'!$S$6:$S$1005,S843)&amp;"","")</f>
        <v/>
      </c>
      <c r="E843" s="94" t="str">
        <f>IF(T843=1,INDEX('ITENS_MTR'!$C$6:$C$1005,S843)&amp;"","")</f>
        <v/>
      </c>
      <c r="F843" s="98" t="n"/>
      <c r="G843" s="91" t="n"/>
      <c r="H843" s="93" t="str">
        <f>IF(N843=0,"",IF(NOT(ISNUMBER(F843)),"",IF(ISNUMBER(U843),F843*U843,"UNIDADE A CONFERIR")))</f>
        <v/>
      </c>
      <c r="I843" s="94" t="str">
        <f>IF(Q843=1,INDEX('CDFs'!$F$6:$F$505,P843)&amp;"","")</f>
        <v/>
      </c>
      <c r="J843" s="91" t="n"/>
      <c r="K843" s="91" t="n"/>
      <c r="L843" s="94" t="str">
        <f>IF(N843=0,"",IF(NOT(ISNUMBER(F843)),"Quantidade não informada",IF(F843&lt;=0,"Quantidade não positiva",IF(G843="","Unidade não informada",IF(NOT(ISNUMBER(H843)),"Unidade a conferir",IF(AC843=1,"REVISAR VÍNCULO: soma vinculada maior que a referência do item","OK"))))))</f>
        <v/>
      </c>
      <c r="M843" s="94" t="str">
        <f>IF(N843=0,"",IF(B843="","CDF não informado",IF(Q843=0,"REVISAR VÍNCULO: CDF inexistente",IF(C843="","Item não informado",IF(T843=0,"REVISAR VÍNCULO: item inexistente",IF(AND(X843=1,J843&lt;&gt;"Sim"),"REVISAR VÍNCULO: destinador diferente do MTR",IF(X843=1,"Destinador diferente do MTR (analisado)","OK")))))))</f>
        <v/>
      </c>
      <c r="N843" s="96">
        <f>IF(COUNTA(B843:C843,F843:G843,J843:K843)&gt;0,1,0)</f>
        <v>0</v>
      </c>
      <c r="O843" s="96" t="str">
        <f>IF(B843="","",TRIM(LEFT(B843,FIND(" |",B843&amp;" |")-1)))</f>
        <v/>
      </c>
      <c r="P843" s="96" t="str">
        <f>IF(O843="","",IFERROR(MATCH(O843,'CDFs'!$A$6:$A$505,0),""))</f>
        <v/>
      </c>
      <c r="Q843" s="96">
        <f>IF(P843="",0,IF(INDEX('CDFs'!$S$6:$S$505,P843)=1,1,0))</f>
        <v>0</v>
      </c>
      <c r="R843" s="96" t="str">
        <f>IF(C843="","",TRIM(LEFT(C843,FIND(" |",C843&amp;" |")-1)))</f>
        <v/>
      </c>
      <c r="S843" s="96" t="str">
        <f>IF(R843="","",IFERROR(MATCH(R843,'ITENS_MTR'!$A$6:$A$1005,0),""))</f>
        <v/>
      </c>
      <c r="T843" s="96">
        <f>IF(S843="",0,IF(INDEX('ITENS_MTR'!$R$6:$R$1005,S843)=1,1,0))</f>
        <v>0</v>
      </c>
      <c r="U843" s="96" t="str">
        <f>IF(G843="","",IFERROR(IF(ISNUMBER(INDEX(cfg_fac,MATCH(G843,cfg_units,0))),IF(INDEX(cfg_fac,MATCH(G843,cfg_units,0))&gt;0,INDEX(cfg_fac,MATCH(G843,cfg_units,0)),""),""),""))</f>
        <v/>
      </c>
      <c r="V843" s="96">
        <f>IF(AND(ISNUMBER(F843),ISNUMBER(H843)),IF(H843&gt;0,1,0),0)</f>
        <v>0</v>
      </c>
      <c r="W843" s="96" t="str">
        <f>IF(T843=1,INDEX('ITENS_MTR'!$AU$6:$AU$1005,S843)&amp;"","")</f>
        <v/>
      </c>
      <c r="X843" s="96">
        <f>IF(AND(Q843=1,T843=1,I843&lt;&gt;"",W843&lt;&gt;""),IF(I843&lt;&gt;W843,1,0),0)</f>
        <v>0</v>
      </c>
      <c r="Y843" s="96">
        <f>IF(N843=0,0,IF(OR(Q843=0,T843=0,V843=0,AND(X843=1,J843&lt;&gt;"Sim")),1,0))</f>
        <v>0</v>
      </c>
      <c r="Z843" s="96">
        <f>IF(Q843=1,INDEX('CDFs'!$W$6:$W$505,P843),0)</f>
        <v>0</v>
      </c>
      <c r="AA843" s="96">
        <f>IF(AND(N843=1,Y843=0,Z843=1,J843="Sim"),1,0)</f>
        <v>0</v>
      </c>
      <c r="AB843" s="96">
        <f>IF(AND(N843=1,O843&lt;&gt;"",D843&lt;&gt;""),IF(COUNTIFS($O$6:O843,O843,$D$6:D843,D843)=1,1,0),0)</f>
        <v>0</v>
      </c>
      <c r="AC843" s="96">
        <f>IF(T843=1,INDEX('ITENS_MTR'!$AL$6:$AL$1005,S843),0)</f>
        <v>0</v>
      </c>
    </row>
    <row r="844">
      <c r="A844" s="89" t="inlineStr">
        <is>
          <t>VIN-000839</t>
        </is>
      </c>
      <c r="B844" s="91" t="n"/>
      <c r="C844" s="91" t="n"/>
      <c r="D844" s="94" t="str">
        <f>IF(T844=1,INDEX('ITENS_MTR'!$S$6:$S$1005,S844)&amp;"","")</f>
        <v/>
      </c>
      <c r="E844" s="94" t="str">
        <f>IF(T844=1,INDEX('ITENS_MTR'!$C$6:$C$1005,S844)&amp;"","")</f>
        <v/>
      </c>
      <c r="F844" s="98" t="n"/>
      <c r="G844" s="91" t="n"/>
      <c r="H844" s="93" t="str">
        <f>IF(N844=0,"",IF(NOT(ISNUMBER(F844)),"",IF(ISNUMBER(U844),F844*U844,"UNIDADE A CONFERIR")))</f>
        <v/>
      </c>
      <c r="I844" s="94" t="str">
        <f>IF(Q844=1,INDEX('CDFs'!$F$6:$F$505,P844)&amp;"","")</f>
        <v/>
      </c>
      <c r="J844" s="91" t="n"/>
      <c r="K844" s="91" t="n"/>
      <c r="L844" s="94" t="str">
        <f>IF(N844=0,"",IF(NOT(ISNUMBER(F844)),"Quantidade não informada",IF(F844&lt;=0,"Quantidade não positiva",IF(G844="","Unidade não informada",IF(NOT(ISNUMBER(H844)),"Unidade a conferir",IF(AC844=1,"REVISAR VÍNCULO: soma vinculada maior que a referência do item","OK"))))))</f>
        <v/>
      </c>
      <c r="M844" s="94" t="str">
        <f>IF(N844=0,"",IF(B844="","CDF não informado",IF(Q844=0,"REVISAR VÍNCULO: CDF inexistente",IF(C844="","Item não informado",IF(T844=0,"REVISAR VÍNCULO: item inexistente",IF(AND(X844=1,J844&lt;&gt;"Sim"),"REVISAR VÍNCULO: destinador diferente do MTR",IF(X844=1,"Destinador diferente do MTR (analisado)","OK")))))))</f>
        <v/>
      </c>
      <c r="N844" s="96">
        <f>IF(COUNTA(B844:C844,F844:G844,J844:K844)&gt;0,1,0)</f>
        <v>0</v>
      </c>
      <c r="O844" s="96" t="str">
        <f>IF(B844="","",TRIM(LEFT(B844,FIND(" |",B844&amp;" |")-1)))</f>
        <v/>
      </c>
      <c r="P844" s="96" t="str">
        <f>IF(O844="","",IFERROR(MATCH(O844,'CDFs'!$A$6:$A$505,0),""))</f>
        <v/>
      </c>
      <c r="Q844" s="96">
        <f>IF(P844="",0,IF(INDEX('CDFs'!$S$6:$S$505,P844)=1,1,0))</f>
        <v>0</v>
      </c>
      <c r="R844" s="96" t="str">
        <f>IF(C844="","",TRIM(LEFT(C844,FIND(" |",C844&amp;" |")-1)))</f>
        <v/>
      </c>
      <c r="S844" s="96" t="str">
        <f>IF(R844="","",IFERROR(MATCH(R844,'ITENS_MTR'!$A$6:$A$1005,0),""))</f>
        <v/>
      </c>
      <c r="T844" s="96">
        <f>IF(S844="",0,IF(INDEX('ITENS_MTR'!$R$6:$R$1005,S844)=1,1,0))</f>
        <v>0</v>
      </c>
      <c r="U844" s="96" t="str">
        <f>IF(G844="","",IFERROR(IF(ISNUMBER(INDEX(cfg_fac,MATCH(G844,cfg_units,0))),IF(INDEX(cfg_fac,MATCH(G844,cfg_units,0))&gt;0,INDEX(cfg_fac,MATCH(G844,cfg_units,0)),""),""),""))</f>
        <v/>
      </c>
      <c r="V844" s="96">
        <f>IF(AND(ISNUMBER(F844),ISNUMBER(H844)),IF(H844&gt;0,1,0),0)</f>
        <v>0</v>
      </c>
      <c r="W844" s="96" t="str">
        <f>IF(T844=1,INDEX('ITENS_MTR'!$AU$6:$AU$1005,S844)&amp;"","")</f>
        <v/>
      </c>
      <c r="X844" s="96">
        <f>IF(AND(Q844=1,T844=1,I844&lt;&gt;"",W844&lt;&gt;""),IF(I844&lt;&gt;W844,1,0),0)</f>
        <v>0</v>
      </c>
      <c r="Y844" s="96">
        <f>IF(N844=0,0,IF(OR(Q844=0,T844=0,V844=0,AND(X844=1,J844&lt;&gt;"Sim")),1,0))</f>
        <v>0</v>
      </c>
      <c r="Z844" s="96">
        <f>IF(Q844=1,INDEX('CDFs'!$W$6:$W$505,P844),0)</f>
        <v>0</v>
      </c>
      <c r="AA844" s="96">
        <f>IF(AND(N844=1,Y844=0,Z844=1,J844="Sim"),1,0)</f>
        <v>0</v>
      </c>
      <c r="AB844" s="96">
        <f>IF(AND(N844=1,O844&lt;&gt;"",D844&lt;&gt;""),IF(COUNTIFS($O$6:O844,O844,$D$6:D844,D844)=1,1,0),0)</f>
        <v>0</v>
      </c>
      <c r="AC844" s="96">
        <f>IF(T844=1,INDEX('ITENS_MTR'!$AL$6:$AL$1005,S844),0)</f>
        <v>0</v>
      </c>
    </row>
    <row r="845">
      <c r="A845" s="89" t="inlineStr">
        <is>
          <t>VIN-000840</t>
        </is>
      </c>
      <c r="B845" s="91" t="n"/>
      <c r="C845" s="91" t="n"/>
      <c r="D845" s="94" t="str">
        <f>IF(T845=1,INDEX('ITENS_MTR'!$S$6:$S$1005,S845)&amp;"","")</f>
        <v/>
      </c>
      <c r="E845" s="94" t="str">
        <f>IF(T845=1,INDEX('ITENS_MTR'!$C$6:$C$1005,S845)&amp;"","")</f>
        <v/>
      </c>
      <c r="F845" s="98" t="n"/>
      <c r="G845" s="91" t="n"/>
      <c r="H845" s="93" t="str">
        <f>IF(N845=0,"",IF(NOT(ISNUMBER(F845)),"",IF(ISNUMBER(U845),F845*U845,"UNIDADE A CONFERIR")))</f>
        <v/>
      </c>
      <c r="I845" s="94" t="str">
        <f>IF(Q845=1,INDEX('CDFs'!$F$6:$F$505,P845)&amp;"","")</f>
        <v/>
      </c>
      <c r="J845" s="91" t="n"/>
      <c r="K845" s="91" t="n"/>
      <c r="L845" s="94" t="str">
        <f>IF(N845=0,"",IF(NOT(ISNUMBER(F845)),"Quantidade não informada",IF(F845&lt;=0,"Quantidade não positiva",IF(G845="","Unidade não informada",IF(NOT(ISNUMBER(H845)),"Unidade a conferir",IF(AC845=1,"REVISAR VÍNCULO: soma vinculada maior que a referência do item","OK"))))))</f>
        <v/>
      </c>
      <c r="M845" s="94" t="str">
        <f>IF(N845=0,"",IF(B845="","CDF não informado",IF(Q845=0,"REVISAR VÍNCULO: CDF inexistente",IF(C845="","Item não informado",IF(T845=0,"REVISAR VÍNCULO: item inexistente",IF(AND(X845=1,J845&lt;&gt;"Sim"),"REVISAR VÍNCULO: destinador diferente do MTR",IF(X845=1,"Destinador diferente do MTR (analisado)","OK")))))))</f>
        <v/>
      </c>
      <c r="N845" s="96">
        <f>IF(COUNTA(B845:C845,F845:G845,J845:K845)&gt;0,1,0)</f>
        <v>0</v>
      </c>
      <c r="O845" s="96" t="str">
        <f>IF(B845="","",TRIM(LEFT(B845,FIND(" |",B845&amp;" |")-1)))</f>
        <v/>
      </c>
      <c r="P845" s="96" t="str">
        <f>IF(O845="","",IFERROR(MATCH(O845,'CDFs'!$A$6:$A$505,0),""))</f>
        <v/>
      </c>
      <c r="Q845" s="96">
        <f>IF(P845="",0,IF(INDEX('CDFs'!$S$6:$S$505,P845)=1,1,0))</f>
        <v>0</v>
      </c>
      <c r="R845" s="96" t="str">
        <f>IF(C845="","",TRIM(LEFT(C845,FIND(" |",C845&amp;" |")-1)))</f>
        <v/>
      </c>
      <c r="S845" s="96" t="str">
        <f>IF(R845="","",IFERROR(MATCH(R845,'ITENS_MTR'!$A$6:$A$1005,0),""))</f>
        <v/>
      </c>
      <c r="T845" s="96">
        <f>IF(S845="",0,IF(INDEX('ITENS_MTR'!$R$6:$R$1005,S845)=1,1,0))</f>
        <v>0</v>
      </c>
      <c r="U845" s="96" t="str">
        <f>IF(G845="","",IFERROR(IF(ISNUMBER(INDEX(cfg_fac,MATCH(G845,cfg_units,0))),IF(INDEX(cfg_fac,MATCH(G845,cfg_units,0))&gt;0,INDEX(cfg_fac,MATCH(G845,cfg_units,0)),""),""),""))</f>
        <v/>
      </c>
      <c r="V845" s="96">
        <f>IF(AND(ISNUMBER(F845),ISNUMBER(H845)),IF(H845&gt;0,1,0),0)</f>
        <v>0</v>
      </c>
      <c r="W845" s="96" t="str">
        <f>IF(T845=1,INDEX('ITENS_MTR'!$AU$6:$AU$1005,S845)&amp;"","")</f>
        <v/>
      </c>
      <c r="X845" s="96">
        <f>IF(AND(Q845=1,T845=1,I845&lt;&gt;"",W845&lt;&gt;""),IF(I845&lt;&gt;W845,1,0),0)</f>
        <v>0</v>
      </c>
      <c r="Y845" s="96">
        <f>IF(N845=0,0,IF(OR(Q845=0,T845=0,V845=0,AND(X845=1,J845&lt;&gt;"Sim")),1,0))</f>
        <v>0</v>
      </c>
      <c r="Z845" s="96">
        <f>IF(Q845=1,INDEX('CDFs'!$W$6:$W$505,P845),0)</f>
        <v>0</v>
      </c>
      <c r="AA845" s="96">
        <f>IF(AND(N845=1,Y845=0,Z845=1,J845="Sim"),1,0)</f>
        <v>0</v>
      </c>
      <c r="AB845" s="96">
        <f>IF(AND(N845=1,O845&lt;&gt;"",D845&lt;&gt;""),IF(COUNTIFS($O$6:O845,O845,$D$6:D845,D845)=1,1,0),0)</f>
        <v>0</v>
      </c>
      <c r="AC845" s="96">
        <f>IF(T845=1,INDEX('ITENS_MTR'!$AL$6:$AL$1005,S845),0)</f>
        <v>0</v>
      </c>
    </row>
    <row r="846">
      <c r="A846" s="89" t="inlineStr">
        <is>
          <t>VIN-000841</t>
        </is>
      </c>
      <c r="B846" s="91" t="n"/>
      <c r="C846" s="91" t="n"/>
      <c r="D846" s="94" t="str">
        <f>IF(T846=1,INDEX('ITENS_MTR'!$S$6:$S$1005,S846)&amp;"","")</f>
        <v/>
      </c>
      <c r="E846" s="94" t="str">
        <f>IF(T846=1,INDEX('ITENS_MTR'!$C$6:$C$1005,S846)&amp;"","")</f>
        <v/>
      </c>
      <c r="F846" s="98" t="n"/>
      <c r="G846" s="91" t="n"/>
      <c r="H846" s="93" t="str">
        <f>IF(N846=0,"",IF(NOT(ISNUMBER(F846)),"",IF(ISNUMBER(U846),F846*U846,"UNIDADE A CONFERIR")))</f>
        <v/>
      </c>
      <c r="I846" s="94" t="str">
        <f>IF(Q846=1,INDEX('CDFs'!$F$6:$F$505,P846)&amp;"","")</f>
        <v/>
      </c>
      <c r="J846" s="91" t="n"/>
      <c r="K846" s="91" t="n"/>
      <c r="L846" s="94" t="str">
        <f>IF(N846=0,"",IF(NOT(ISNUMBER(F846)),"Quantidade não informada",IF(F846&lt;=0,"Quantidade não positiva",IF(G846="","Unidade não informada",IF(NOT(ISNUMBER(H846)),"Unidade a conferir",IF(AC846=1,"REVISAR VÍNCULO: soma vinculada maior que a referência do item","OK"))))))</f>
        <v/>
      </c>
      <c r="M846" s="94" t="str">
        <f>IF(N846=0,"",IF(B846="","CDF não informado",IF(Q846=0,"REVISAR VÍNCULO: CDF inexistente",IF(C846="","Item não informado",IF(T846=0,"REVISAR VÍNCULO: item inexistente",IF(AND(X846=1,J846&lt;&gt;"Sim"),"REVISAR VÍNCULO: destinador diferente do MTR",IF(X846=1,"Destinador diferente do MTR (analisado)","OK")))))))</f>
        <v/>
      </c>
      <c r="N846" s="96">
        <f>IF(COUNTA(B846:C846,F846:G846,J846:K846)&gt;0,1,0)</f>
        <v>0</v>
      </c>
      <c r="O846" s="96" t="str">
        <f>IF(B846="","",TRIM(LEFT(B846,FIND(" |",B846&amp;" |")-1)))</f>
        <v/>
      </c>
      <c r="P846" s="96" t="str">
        <f>IF(O846="","",IFERROR(MATCH(O846,'CDFs'!$A$6:$A$505,0),""))</f>
        <v/>
      </c>
      <c r="Q846" s="96">
        <f>IF(P846="",0,IF(INDEX('CDFs'!$S$6:$S$505,P846)=1,1,0))</f>
        <v>0</v>
      </c>
      <c r="R846" s="96" t="str">
        <f>IF(C846="","",TRIM(LEFT(C846,FIND(" |",C846&amp;" |")-1)))</f>
        <v/>
      </c>
      <c r="S846" s="96" t="str">
        <f>IF(R846="","",IFERROR(MATCH(R846,'ITENS_MTR'!$A$6:$A$1005,0),""))</f>
        <v/>
      </c>
      <c r="T846" s="96">
        <f>IF(S846="",0,IF(INDEX('ITENS_MTR'!$R$6:$R$1005,S846)=1,1,0))</f>
        <v>0</v>
      </c>
      <c r="U846" s="96" t="str">
        <f>IF(G846="","",IFERROR(IF(ISNUMBER(INDEX(cfg_fac,MATCH(G846,cfg_units,0))),IF(INDEX(cfg_fac,MATCH(G846,cfg_units,0))&gt;0,INDEX(cfg_fac,MATCH(G846,cfg_units,0)),""),""),""))</f>
        <v/>
      </c>
      <c r="V846" s="96">
        <f>IF(AND(ISNUMBER(F846),ISNUMBER(H846)),IF(H846&gt;0,1,0),0)</f>
        <v>0</v>
      </c>
      <c r="W846" s="96" t="str">
        <f>IF(T846=1,INDEX('ITENS_MTR'!$AU$6:$AU$1005,S846)&amp;"","")</f>
        <v/>
      </c>
      <c r="X846" s="96">
        <f>IF(AND(Q846=1,T846=1,I846&lt;&gt;"",W846&lt;&gt;""),IF(I846&lt;&gt;W846,1,0),0)</f>
        <v>0</v>
      </c>
      <c r="Y846" s="96">
        <f>IF(N846=0,0,IF(OR(Q846=0,T846=0,V846=0,AND(X846=1,J846&lt;&gt;"Sim")),1,0))</f>
        <v>0</v>
      </c>
      <c r="Z846" s="96">
        <f>IF(Q846=1,INDEX('CDFs'!$W$6:$W$505,P846),0)</f>
        <v>0</v>
      </c>
      <c r="AA846" s="96">
        <f>IF(AND(N846=1,Y846=0,Z846=1,J846="Sim"),1,0)</f>
        <v>0</v>
      </c>
      <c r="AB846" s="96">
        <f>IF(AND(N846=1,O846&lt;&gt;"",D846&lt;&gt;""),IF(COUNTIFS($O$6:O846,O846,$D$6:D846,D846)=1,1,0),0)</f>
        <v>0</v>
      </c>
      <c r="AC846" s="96">
        <f>IF(T846=1,INDEX('ITENS_MTR'!$AL$6:$AL$1005,S846),0)</f>
        <v>0</v>
      </c>
    </row>
    <row r="847">
      <c r="A847" s="89" t="inlineStr">
        <is>
          <t>VIN-000842</t>
        </is>
      </c>
      <c r="B847" s="91" t="n"/>
      <c r="C847" s="91" t="n"/>
      <c r="D847" s="94" t="str">
        <f>IF(T847=1,INDEX('ITENS_MTR'!$S$6:$S$1005,S847)&amp;"","")</f>
        <v/>
      </c>
      <c r="E847" s="94" t="str">
        <f>IF(T847=1,INDEX('ITENS_MTR'!$C$6:$C$1005,S847)&amp;"","")</f>
        <v/>
      </c>
      <c r="F847" s="98" t="n"/>
      <c r="G847" s="91" t="n"/>
      <c r="H847" s="93" t="str">
        <f>IF(N847=0,"",IF(NOT(ISNUMBER(F847)),"",IF(ISNUMBER(U847),F847*U847,"UNIDADE A CONFERIR")))</f>
        <v/>
      </c>
      <c r="I847" s="94" t="str">
        <f>IF(Q847=1,INDEX('CDFs'!$F$6:$F$505,P847)&amp;"","")</f>
        <v/>
      </c>
      <c r="J847" s="91" t="n"/>
      <c r="K847" s="91" t="n"/>
      <c r="L847" s="94" t="str">
        <f>IF(N847=0,"",IF(NOT(ISNUMBER(F847)),"Quantidade não informada",IF(F847&lt;=0,"Quantidade não positiva",IF(G847="","Unidade não informada",IF(NOT(ISNUMBER(H847)),"Unidade a conferir",IF(AC847=1,"REVISAR VÍNCULO: soma vinculada maior que a referência do item","OK"))))))</f>
        <v/>
      </c>
      <c r="M847" s="94" t="str">
        <f>IF(N847=0,"",IF(B847="","CDF não informado",IF(Q847=0,"REVISAR VÍNCULO: CDF inexistente",IF(C847="","Item não informado",IF(T847=0,"REVISAR VÍNCULO: item inexistente",IF(AND(X847=1,J847&lt;&gt;"Sim"),"REVISAR VÍNCULO: destinador diferente do MTR",IF(X847=1,"Destinador diferente do MTR (analisado)","OK")))))))</f>
        <v/>
      </c>
      <c r="N847" s="96">
        <f>IF(COUNTA(B847:C847,F847:G847,J847:K847)&gt;0,1,0)</f>
        <v>0</v>
      </c>
      <c r="O847" s="96" t="str">
        <f>IF(B847="","",TRIM(LEFT(B847,FIND(" |",B847&amp;" |")-1)))</f>
        <v/>
      </c>
      <c r="P847" s="96" t="str">
        <f>IF(O847="","",IFERROR(MATCH(O847,'CDFs'!$A$6:$A$505,0),""))</f>
        <v/>
      </c>
      <c r="Q847" s="96">
        <f>IF(P847="",0,IF(INDEX('CDFs'!$S$6:$S$505,P847)=1,1,0))</f>
        <v>0</v>
      </c>
      <c r="R847" s="96" t="str">
        <f>IF(C847="","",TRIM(LEFT(C847,FIND(" |",C847&amp;" |")-1)))</f>
        <v/>
      </c>
      <c r="S847" s="96" t="str">
        <f>IF(R847="","",IFERROR(MATCH(R847,'ITENS_MTR'!$A$6:$A$1005,0),""))</f>
        <v/>
      </c>
      <c r="T847" s="96">
        <f>IF(S847="",0,IF(INDEX('ITENS_MTR'!$R$6:$R$1005,S847)=1,1,0))</f>
        <v>0</v>
      </c>
      <c r="U847" s="96" t="str">
        <f>IF(G847="","",IFERROR(IF(ISNUMBER(INDEX(cfg_fac,MATCH(G847,cfg_units,0))),IF(INDEX(cfg_fac,MATCH(G847,cfg_units,0))&gt;0,INDEX(cfg_fac,MATCH(G847,cfg_units,0)),""),""),""))</f>
        <v/>
      </c>
      <c r="V847" s="96">
        <f>IF(AND(ISNUMBER(F847),ISNUMBER(H847)),IF(H847&gt;0,1,0),0)</f>
        <v>0</v>
      </c>
      <c r="W847" s="96" t="str">
        <f>IF(T847=1,INDEX('ITENS_MTR'!$AU$6:$AU$1005,S847)&amp;"","")</f>
        <v/>
      </c>
      <c r="X847" s="96">
        <f>IF(AND(Q847=1,T847=1,I847&lt;&gt;"",W847&lt;&gt;""),IF(I847&lt;&gt;W847,1,0),0)</f>
        <v>0</v>
      </c>
      <c r="Y847" s="96">
        <f>IF(N847=0,0,IF(OR(Q847=0,T847=0,V847=0,AND(X847=1,J847&lt;&gt;"Sim")),1,0))</f>
        <v>0</v>
      </c>
      <c r="Z847" s="96">
        <f>IF(Q847=1,INDEX('CDFs'!$W$6:$W$505,P847),0)</f>
        <v>0</v>
      </c>
      <c r="AA847" s="96">
        <f>IF(AND(N847=1,Y847=0,Z847=1,J847="Sim"),1,0)</f>
        <v>0</v>
      </c>
      <c r="AB847" s="96">
        <f>IF(AND(N847=1,O847&lt;&gt;"",D847&lt;&gt;""),IF(COUNTIFS($O$6:O847,O847,$D$6:D847,D847)=1,1,0),0)</f>
        <v>0</v>
      </c>
      <c r="AC847" s="96">
        <f>IF(T847=1,INDEX('ITENS_MTR'!$AL$6:$AL$1005,S847),0)</f>
        <v>0</v>
      </c>
    </row>
    <row r="848">
      <c r="A848" s="89" t="inlineStr">
        <is>
          <t>VIN-000843</t>
        </is>
      </c>
      <c r="B848" s="91" t="n"/>
      <c r="C848" s="91" t="n"/>
      <c r="D848" s="94" t="str">
        <f>IF(T848=1,INDEX('ITENS_MTR'!$S$6:$S$1005,S848)&amp;"","")</f>
        <v/>
      </c>
      <c r="E848" s="94" t="str">
        <f>IF(T848=1,INDEX('ITENS_MTR'!$C$6:$C$1005,S848)&amp;"","")</f>
        <v/>
      </c>
      <c r="F848" s="98" t="n"/>
      <c r="G848" s="91" t="n"/>
      <c r="H848" s="93" t="str">
        <f>IF(N848=0,"",IF(NOT(ISNUMBER(F848)),"",IF(ISNUMBER(U848),F848*U848,"UNIDADE A CONFERIR")))</f>
        <v/>
      </c>
      <c r="I848" s="94" t="str">
        <f>IF(Q848=1,INDEX('CDFs'!$F$6:$F$505,P848)&amp;"","")</f>
        <v/>
      </c>
      <c r="J848" s="91" t="n"/>
      <c r="K848" s="91" t="n"/>
      <c r="L848" s="94" t="str">
        <f>IF(N848=0,"",IF(NOT(ISNUMBER(F848)),"Quantidade não informada",IF(F848&lt;=0,"Quantidade não positiva",IF(G848="","Unidade não informada",IF(NOT(ISNUMBER(H848)),"Unidade a conferir",IF(AC848=1,"REVISAR VÍNCULO: soma vinculada maior que a referência do item","OK"))))))</f>
        <v/>
      </c>
      <c r="M848" s="94" t="str">
        <f>IF(N848=0,"",IF(B848="","CDF não informado",IF(Q848=0,"REVISAR VÍNCULO: CDF inexistente",IF(C848="","Item não informado",IF(T848=0,"REVISAR VÍNCULO: item inexistente",IF(AND(X848=1,J848&lt;&gt;"Sim"),"REVISAR VÍNCULO: destinador diferente do MTR",IF(X848=1,"Destinador diferente do MTR (analisado)","OK")))))))</f>
        <v/>
      </c>
      <c r="N848" s="96">
        <f>IF(COUNTA(B848:C848,F848:G848,J848:K848)&gt;0,1,0)</f>
        <v>0</v>
      </c>
      <c r="O848" s="96" t="str">
        <f>IF(B848="","",TRIM(LEFT(B848,FIND(" |",B848&amp;" |")-1)))</f>
        <v/>
      </c>
      <c r="P848" s="96" t="str">
        <f>IF(O848="","",IFERROR(MATCH(O848,'CDFs'!$A$6:$A$505,0),""))</f>
        <v/>
      </c>
      <c r="Q848" s="96">
        <f>IF(P848="",0,IF(INDEX('CDFs'!$S$6:$S$505,P848)=1,1,0))</f>
        <v>0</v>
      </c>
      <c r="R848" s="96" t="str">
        <f>IF(C848="","",TRIM(LEFT(C848,FIND(" |",C848&amp;" |")-1)))</f>
        <v/>
      </c>
      <c r="S848" s="96" t="str">
        <f>IF(R848="","",IFERROR(MATCH(R848,'ITENS_MTR'!$A$6:$A$1005,0),""))</f>
        <v/>
      </c>
      <c r="T848" s="96">
        <f>IF(S848="",0,IF(INDEX('ITENS_MTR'!$R$6:$R$1005,S848)=1,1,0))</f>
        <v>0</v>
      </c>
      <c r="U848" s="96" t="str">
        <f>IF(G848="","",IFERROR(IF(ISNUMBER(INDEX(cfg_fac,MATCH(G848,cfg_units,0))),IF(INDEX(cfg_fac,MATCH(G848,cfg_units,0))&gt;0,INDEX(cfg_fac,MATCH(G848,cfg_units,0)),""),""),""))</f>
        <v/>
      </c>
      <c r="V848" s="96">
        <f>IF(AND(ISNUMBER(F848),ISNUMBER(H848)),IF(H848&gt;0,1,0),0)</f>
        <v>0</v>
      </c>
      <c r="W848" s="96" t="str">
        <f>IF(T848=1,INDEX('ITENS_MTR'!$AU$6:$AU$1005,S848)&amp;"","")</f>
        <v/>
      </c>
      <c r="X848" s="96">
        <f>IF(AND(Q848=1,T848=1,I848&lt;&gt;"",W848&lt;&gt;""),IF(I848&lt;&gt;W848,1,0),0)</f>
        <v>0</v>
      </c>
      <c r="Y848" s="96">
        <f>IF(N848=0,0,IF(OR(Q848=0,T848=0,V848=0,AND(X848=1,J848&lt;&gt;"Sim")),1,0))</f>
        <v>0</v>
      </c>
      <c r="Z848" s="96">
        <f>IF(Q848=1,INDEX('CDFs'!$W$6:$W$505,P848),0)</f>
        <v>0</v>
      </c>
      <c r="AA848" s="96">
        <f>IF(AND(N848=1,Y848=0,Z848=1,J848="Sim"),1,0)</f>
        <v>0</v>
      </c>
      <c r="AB848" s="96">
        <f>IF(AND(N848=1,O848&lt;&gt;"",D848&lt;&gt;""),IF(COUNTIFS($O$6:O848,O848,$D$6:D848,D848)=1,1,0),0)</f>
        <v>0</v>
      </c>
      <c r="AC848" s="96">
        <f>IF(T848=1,INDEX('ITENS_MTR'!$AL$6:$AL$1005,S848),0)</f>
        <v>0</v>
      </c>
    </row>
    <row r="849">
      <c r="A849" s="89" t="inlineStr">
        <is>
          <t>VIN-000844</t>
        </is>
      </c>
      <c r="B849" s="91" t="n"/>
      <c r="C849" s="91" t="n"/>
      <c r="D849" s="94" t="str">
        <f>IF(T849=1,INDEX('ITENS_MTR'!$S$6:$S$1005,S849)&amp;"","")</f>
        <v/>
      </c>
      <c r="E849" s="94" t="str">
        <f>IF(T849=1,INDEX('ITENS_MTR'!$C$6:$C$1005,S849)&amp;"","")</f>
        <v/>
      </c>
      <c r="F849" s="98" t="n"/>
      <c r="G849" s="91" t="n"/>
      <c r="H849" s="93" t="str">
        <f>IF(N849=0,"",IF(NOT(ISNUMBER(F849)),"",IF(ISNUMBER(U849),F849*U849,"UNIDADE A CONFERIR")))</f>
        <v/>
      </c>
      <c r="I849" s="94" t="str">
        <f>IF(Q849=1,INDEX('CDFs'!$F$6:$F$505,P849)&amp;"","")</f>
        <v/>
      </c>
      <c r="J849" s="91" t="n"/>
      <c r="K849" s="91" t="n"/>
      <c r="L849" s="94" t="str">
        <f>IF(N849=0,"",IF(NOT(ISNUMBER(F849)),"Quantidade não informada",IF(F849&lt;=0,"Quantidade não positiva",IF(G849="","Unidade não informada",IF(NOT(ISNUMBER(H849)),"Unidade a conferir",IF(AC849=1,"REVISAR VÍNCULO: soma vinculada maior que a referência do item","OK"))))))</f>
        <v/>
      </c>
      <c r="M849" s="94" t="str">
        <f>IF(N849=0,"",IF(B849="","CDF não informado",IF(Q849=0,"REVISAR VÍNCULO: CDF inexistente",IF(C849="","Item não informado",IF(T849=0,"REVISAR VÍNCULO: item inexistente",IF(AND(X849=1,J849&lt;&gt;"Sim"),"REVISAR VÍNCULO: destinador diferente do MTR",IF(X849=1,"Destinador diferente do MTR (analisado)","OK")))))))</f>
        <v/>
      </c>
      <c r="N849" s="96">
        <f>IF(COUNTA(B849:C849,F849:G849,J849:K849)&gt;0,1,0)</f>
        <v>0</v>
      </c>
      <c r="O849" s="96" t="str">
        <f>IF(B849="","",TRIM(LEFT(B849,FIND(" |",B849&amp;" |")-1)))</f>
        <v/>
      </c>
      <c r="P849" s="96" t="str">
        <f>IF(O849="","",IFERROR(MATCH(O849,'CDFs'!$A$6:$A$505,0),""))</f>
        <v/>
      </c>
      <c r="Q849" s="96">
        <f>IF(P849="",0,IF(INDEX('CDFs'!$S$6:$S$505,P849)=1,1,0))</f>
        <v>0</v>
      </c>
      <c r="R849" s="96" t="str">
        <f>IF(C849="","",TRIM(LEFT(C849,FIND(" |",C849&amp;" |")-1)))</f>
        <v/>
      </c>
      <c r="S849" s="96" t="str">
        <f>IF(R849="","",IFERROR(MATCH(R849,'ITENS_MTR'!$A$6:$A$1005,0),""))</f>
        <v/>
      </c>
      <c r="T849" s="96">
        <f>IF(S849="",0,IF(INDEX('ITENS_MTR'!$R$6:$R$1005,S849)=1,1,0))</f>
        <v>0</v>
      </c>
      <c r="U849" s="96" t="str">
        <f>IF(G849="","",IFERROR(IF(ISNUMBER(INDEX(cfg_fac,MATCH(G849,cfg_units,0))),IF(INDEX(cfg_fac,MATCH(G849,cfg_units,0))&gt;0,INDEX(cfg_fac,MATCH(G849,cfg_units,0)),""),""),""))</f>
        <v/>
      </c>
      <c r="V849" s="96">
        <f>IF(AND(ISNUMBER(F849),ISNUMBER(H849)),IF(H849&gt;0,1,0),0)</f>
        <v>0</v>
      </c>
      <c r="W849" s="96" t="str">
        <f>IF(T849=1,INDEX('ITENS_MTR'!$AU$6:$AU$1005,S849)&amp;"","")</f>
        <v/>
      </c>
      <c r="X849" s="96">
        <f>IF(AND(Q849=1,T849=1,I849&lt;&gt;"",W849&lt;&gt;""),IF(I849&lt;&gt;W849,1,0),0)</f>
        <v>0</v>
      </c>
      <c r="Y849" s="96">
        <f>IF(N849=0,0,IF(OR(Q849=0,T849=0,V849=0,AND(X849=1,J849&lt;&gt;"Sim")),1,0))</f>
        <v>0</v>
      </c>
      <c r="Z849" s="96">
        <f>IF(Q849=1,INDEX('CDFs'!$W$6:$W$505,P849),0)</f>
        <v>0</v>
      </c>
      <c r="AA849" s="96">
        <f>IF(AND(N849=1,Y849=0,Z849=1,J849="Sim"),1,0)</f>
        <v>0</v>
      </c>
      <c r="AB849" s="96">
        <f>IF(AND(N849=1,O849&lt;&gt;"",D849&lt;&gt;""),IF(COUNTIFS($O$6:O849,O849,$D$6:D849,D849)=1,1,0),0)</f>
        <v>0</v>
      </c>
      <c r="AC849" s="96">
        <f>IF(T849=1,INDEX('ITENS_MTR'!$AL$6:$AL$1005,S849),0)</f>
        <v>0</v>
      </c>
    </row>
    <row r="850">
      <c r="A850" s="89" t="inlineStr">
        <is>
          <t>VIN-000845</t>
        </is>
      </c>
      <c r="B850" s="91" t="n"/>
      <c r="C850" s="91" t="n"/>
      <c r="D850" s="94" t="str">
        <f>IF(T850=1,INDEX('ITENS_MTR'!$S$6:$S$1005,S850)&amp;"","")</f>
        <v/>
      </c>
      <c r="E850" s="94" t="str">
        <f>IF(T850=1,INDEX('ITENS_MTR'!$C$6:$C$1005,S850)&amp;"","")</f>
        <v/>
      </c>
      <c r="F850" s="98" t="n"/>
      <c r="G850" s="91" t="n"/>
      <c r="H850" s="93" t="str">
        <f>IF(N850=0,"",IF(NOT(ISNUMBER(F850)),"",IF(ISNUMBER(U850),F850*U850,"UNIDADE A CONFERIR")))</f>
        <v/>
      </c>
      <c r="I850" s="94" t="str">
        <f>IF(Q850=1,INDEX('CDFs'!$F$6:$F$505,P850)&amp;"","")</f>
        <v/>
      </c>
      <c r="J850" s="91" t="n"/>
      <c r="K850" s="91" t="n"/>
      <c r="L850" s="94" t="str">
        <f>IF(N850=0,"",IF(NOT(ISNUMBER(F850)),"Quantidade não informada",IF(F850&lt;=0,"Quantidade não positiva",IF(G850="","Unidade não informada",IF(NOT(ISNUMBER(H850)),"Unidade a conferir",IF(AC850=1,"REVISAR VÍNCULO: soma vinculada maior que a referência do item","OK"))))))</f>
        <v/>
      </c>
      <c r="M850" s="94" t="str">
        <f>IF(N850=0,"",IF(B850="","CDF não informado",IF(Q850=0,"REVISAR VÍNCULO: CDF inexistente",IF(C850="","Item não informado",IF(T850=0,"REVISAR VÍNCULO: item inexistente",IF(AND(X850=1,J850&lt;&gt;"Sim"),"REVISAR VÍNCULO: destinador diferente do MTR",IF(X850=1,"Destinador diferente do MTR (analisado)","OK")))))))</f>
        <v/>
      </c>
      <c r="N850" s="96">
        <f>IF(COUNTA(B850:C850,F850:G850,J850:K850)&gt;0,1,0)</f>
        <v>0</v>
      </c>
      <c r="O850" s="96" t="str">
        <f>IF(B850="","",TRIM(LEFT(B850,FIND(" |",B850&amp;" |")-1)))</f>
        <v/>
      </c>
      <c r="P850" s="96" t="str">
        <f>IF(O850="","",IFERROR(MATCH(O850,'CDFs'!$A$6:$A$505,0),""))</f>
        <v/>
      </c>
      <c r="Q850" s="96">
        <f>IF(P850="",0,IF(INDEX('CDFs'!$S$6:$S$505,P850)=1,1,0))</f>
        <v>0</v>
      </c>
      <c r="R850" s="96" t="str">
        <f>IF(C850="","",TRIM(LEFT(C850,FIND(" |",C850&amp;" |")-1)))</f>
        <v/>
      </c>
      <c r="S850" s="96" t="str">
        <f>IF(R850="","",IFERROR(MATCH(R850,'ITENS_MTR'!$A$6:$A$1005,0),""))</f>
        <v/>
      </c>
      <c r="T850" s="96">
        <f>IF(S850="",0,IF(INDEX('ITENS_MTR'!$R$6:$R$1005,S850)=1,1,0))</f>
        <v>0</v>
      </c>
      <c r="U850" s="96" t="str">
        <f>IF(G850="","",IFERROR(IF(ISNUMBER(INDEX(cfg_fac,MATCH(G850,cfg_units,0))),IF(INDEX(cfg_fac,MATCH(G850,cfg_units,0))&gt;0,INDEX(cfg_fac,MATCH(G850,cfg_units,0)),""),""),""))</f>
        <v/>
      </c>
      <c r="V850" s="96">
        <f>IF(AND(ISNUMBER(F850),ISNUMBER(H850)),IF(H850&gt;0,1,0),0)</f>
        <v>0</v>
      </c>
      <c r="W850" s="96" t="str">
        <f>IF(T850=1,INDEX('ITENS_MTR'!$AU$6:$AU$1005,S850)&amp;"","")</f>
        <v/>
      </c>
      <c r="X850" s="96">
        <f>IF(AND(Q850=1,T850=1,I850&lt;&gt;"",W850&lt;&gt;""),IF(I850&lt;&gt;W850,1,0),0)</f>
        <v>0</v>
      </c>
      <c r="Y850" s="96">
        <f>IF(N850=0,0,IF(OR(Q850=0,T850=0,V850=0,AND(X850=1,J850&lt;&gt;"Sim")),1,0))</f>
        <v>0</v>
      </c>
      <c r="Z850" s="96">
        <f>IF(Q850=1,INDEX('CDFs'!$W$6:$W$505,P850),0)</f>
        <v>0</v>
      </c>
      <c r="AA850" s="96">
        <f>IF(AND(N850=1,Y850=0,Z850=1,J850="Sim"),1,0)</f>
        <v>0</v>
      </c>
      <c r="AB850" s="96">
        <f>IF(AND(N850=1,O850&lt;&gt;"",D850&lt;&gt;""),IF(COUNTIFS($O$6:O850,O850,$D$6:D850,D850)=1,1,0),0)</f>
        <v>0</v>
      </c>
      <c r="AC850" s="96">
        <f>IF(T850=1,INDEX('ITENS_MTR'!$AL$6:$AL$1005,S850),0)</f>
        <v>0</v>
      </c>
    </row>
    <row r="851">
      <c r="A851" s="89" t="inlineStr">
        <is>
          <t>VIN-000846</t>
        </is>
      </c>
      <c r="B851" s="91" t="n"/>
      <c r="C851" s="91" t="n"/>
      <c r="D851" s="94" t="str">
        <f>IF(T851=1,INDEX('ITENS_MTR'!$S$6:$S$1005,S851)&amp;"","")</f>
        <v/>
      </c>
      <c r="E851" s="94" t="str">
        <f>IF(T851=1,INDEX('ITENS_MTR'!$C$6:$C$1005,S851)&amp;"","")</f>
        <v/>
      </c>
      <c r="F851" s="98" t="n"/>
      <c r="G851" s="91" t="n"/>
      <c r="H851" s="93" t="str">
        <f>IF(N851=0,"",IF(NOT(ISNUMBER(F851)),"",IF(ISNUMBER(U851),F851*U851,"UNIDADE A CONFERIR")))</f>
        <v/>
      </c>
      <c r="I851" s="94" t="str">
        <f>IF(Q851=1,INDEX('CDFs'!$F$6:$F$505,P851)&amp;"","")</f>
        <v/>
      </c>
      <c r="J851" s="91" t="n"/>
      <c r="K851" s="91" t="n"/>
      <c r="L851" s="94" t="str">
        <f>IF(N851=0,"",IF(NOT(ISNUMBER(F851)),"Quantidade não informada",IF(F851&lt;=0,"Quantidade não positiva",IF(G851="","Unidade não informada",IF(NOT(ISNUMBER(H851)),"Unidade a conferir",IF(AC851=1,"REVISAR VÍNCULO: soma vinculada maior que a referência do item","OK"))))))</f>
        <v/>
      </c>
      <c r="M851" s="94" t="str">
        <f>IF(N851=0,"",IF(B851="","CDF não informado",IF(Q851=0,"REVISAR VÍNCULO: CDF inexistente",IF(C851="","Item não informado",IF(T851=0,"REVISAR VÍNCULO: item inexistente",IF(AND(X851=1,J851&lt;&gt;"Sim"),"REVISAR VÍNCULO: destinador diferente do MTR",IF(X851=1,"Destinador diferente do MTR (analisado)","OK")))))))</f>
        <v/>
      </c>
      <c r="N851" s="96">
        <f>IF(COUNTA(B851:C851,F851:G851,J851:K851)&gt;0,1,0)</f>
        <v>0</v>
      </c>
      <c r="O851" s="96" t="str">
        <f>IF(B851="","",TRIM(LEFT(B851,FIND(" |",B851&amp;" |")-1)))</f>
        <v/>
      </c>
      <c r="P851" s="96" t="str">
        <f>IF(O851="","",IFERROR(MATCH(O851,'CDFs'!$A$6:$A$505,0),""))</f>
        <v/>
      </c>
      <c r="Q851" s="96">
        <f>IF(P851="",0,IF(INDEX('CDFs'!$S$6:$S$505,P851)=1,1,0))</f>
        <v>0</v>
      </c>
      <c r="R851" s="96" t="str">
        <f>IF(C851="","",TRIM(LEFT(C851,FIND(" |",C851&amp;" |")-1)))</f>
        <v/>
      </c>
      <c r="S851" s="96" t="str">
        <f>IF(R851="","",IFERROR(MATCH(R851,'ITENS_MTR'!$A$6:$A$1005,0),""))</f>
        <v/>
      </c>
      <c r="T851" s="96">
        <f>IF(S851="",0,IF(INDEX('ITENS_MTR'!$R$6:$R$1005,S851)=1,1,0))</f>
        <v>0</v>
      </c>
      <c r="U851" s="96" t="str">
        <f>IF(G851="","",IFERROR(IF(ISNUMBER(INDEX(cfg_fac,MATCH(G851,cfg_units,0))),IF(INDEX(cfg_fac,MATCH(G851,cfg_units,0))&gt;0,INDEX(cfg_fac,MATCH(G851,cfg_units,0)),""),""),""))</f>
        <v/>
      </c>
      <c r="V851" s="96">
        <f>IF(AND(ISNUMBER(F851),ISNUMBER(H851)),IF(H851&gt;0,1,0),0)</f>
        <v>0</v>
      </c>
      <c r="W851" s="96" t="str">
        <f>IF(T851=1,INDEX('ITENS_MTR'!$AU$6:$AU$1005,S851)&amp;"","")</f>
        <v/>
      </c>
      <c r="X851" s="96">
        <f>IF(AND(Q851=1,T851=1,I851&lt;&gt;"",W851&lt;&gt;""),IF(I851&lt;&gt;W851,1,0),0)</f>
        <v>0</v>
      </c>
      <c r="Y851" s="96">
        <f>IF(N851=0,0,IF(OR(Q851=0,T851=0,V851=0,AND(X851=1,J851&lt;&gt;"Sim")),1,0))</f>
        <v>0</v>
      </c>
      <c r="Z851" s="96">
        <f>IF(Q851=1,INDEX('CDFs'!$W$6:$W$505,P851),0)</f>
        <v>0</v>
      </c>
      <c r="AA851" s="96">
        <f>IF(AND(N851=1,Y851=0,Z851=1,J851="Sim"),1,0)</f>
        <v>0</v>
      </c>
      <c r="AB851" s="96">
        <f>IF(AND(N851=1,O851&lt;&gt;"",D851&lt;&gt;""),IF(COUNTIFS($O$6:O851,O851,$D$6:D851,D851)=1,1,0),0)</f>
        <v>0</v>
      </c>
      <c r="AC851" s="96">
        <f>IF(T851=1,INDEX('ITENS_MTR'!$AL$6:$AL$1005,S851),0)</f>
        <v>0</v>
      </c>
    </row>
    <row r="852">
      <c r="A852" s="89" t="inlineStr">
        <is>
          <t>VIN-000847</t>
        </is>
      </c>
      <c r="B852" s="91" t="n"/>
      <c r="C852" s="91" t="n"/>
      <c r="D852" s="94" t="str">
        <f>IF(T852=1,INDEX('ITENS_MTR'!$S$6:$S$1005,S852)&amp;"","")</f>
        <v/>
      </c>
      <c r="E852" s="94" t="str">
        <f>IF(T852=1,INDEX('ITENS_MTR'!$C$6:$C$1005,S852)&amp;"","")</f>
        <v/>
      </c>
      <c r="F852" s="98" t="n"/>
      <c r="G852" s="91" t="n"/>
      <c r="H852" s="93" t="str">
        <f>IF(N852=0,"",IF(NOT(ISNUMBER(F852)),"",IF(ISNUMBER(U852),F852*U852,"UNIDADE A CONFERIR")))</f>
        <v/>
      </c>
      <c r="I852" s="94" t="str">
        <f>IF(Q852=1,INDEX('CDFs'!$F$6:$F$505,P852)&amp;"","")</f>
        <v/>
      </c>
      <c r="J852" s="91" t="n"/>
      <c r="K852" s="91" t="n"/>
      <c r="L852" s="94" t="str">
        <f>IF(N852=0,"",IF(NOT(ISNUMBER(F852)),"Quantidade não informada",IF(F852&lt;=0,"Quantidade não positiva",IF(G852="","Unidade não informada",IF(NOT(ISNUMBER(H852)),"Unidade a conferir",IF(AC852=1,"REVISAR VÍNCULO: soma vinculada maior que a referência do item","OK"))))))</f>
        <v/>
      </c>
      <c r="M852" s="94" t="str">
        <f>IF(N852=0,"",IF(B852="","CDF não informado",IF(Q852=0,"REVISAR VÍNCULO: CDF inexistente",IF(C852="","Item não informado",IF(T852=0,"REVISAR VÍNCULO: item inexistente",IF(AND(X852=1,J852&lt;&gt;"Sim"),"REVISAR VÍNCULO: destinador diferente do MTR",IF(X852=1,"Destinador diferente do MTR (analisado)","OK")))))))</f>
        <v/>
      </c>
      <c r="N852" s="96">
        <f>IF(COUNTA(B852:C852,F852:G852,J852:K852)&gt;0,1,0)</f>
        <v>0</v>
      </c>
      <c r="O852" s="96" t="str">
        <f>IF(B852="","",TRIM(LEFT(B852,FIND(" |",B852&amp;" |")-1)))</f>
        <v/>
      </c>
      <c r="P852" s="96" t="str">
        <f>IF(O852="","",IFERROR(MATCH(O852,'CDFs'!$A$6:$A$505,0),""))</f>
        <v/>
      </c>
      <c r="Q852" s="96">
        <f>IF(P852="",0,IF(INDEX('CDFs'!$S$6:$S$505,P852)=1,1,0))</f>
        <v>0</v>
      </c>
      <c r="R852" s="96" t="str">
        <f>IF(C852="","",TRIM(LEFT(C852,FIND(" |",C852&amp;" |")-1)))</f>
        <v/>
      </c>
      <c r="S852" s="96" t="str">
        <f>IF(R852="","",IFERROR(MATCH(R852,'ITENS_MTR'!$A$6:$A$1005,0),""))</f>
        <v/>
      </c>
      <c r="T852" s="96">
        <f>IF(S852="",0,IF(INDEX('ITENS_MTR'!$R$6:$R$1005,S852)=1,1,0))</f>
        <v>0</v>
      </c>
      <c r="U852" s="96" t="str">
        <f>IF(G852="","",IFERROR(IF(ISNUMBER(INDEX(cfg_fac,MATCH(G852,cfg_units,0))),IF(INDEX(cfg_fac,MATCH(G852,cfg_units,0))&gt;0,INDEX(cfg_fac,MATCH(G852,cfg_units,0)),""),""),""))</f>
        <v/>
      </c>
      <c r="V852" s="96">
        <f>IF(AND(ISNUMBER(F852),ISNUMBER(H852)),IF(H852&gt;0,1,0),0)</f>
        <v>0</v>
      </c>
      <c r="W852" s="96" t="str">
        <f>IF(T852=1,INDEX('ITENS_MTR'!$AU$6:$AU$1005,S852)&amp;"","")</f>
        <v/>
      </c>
      <c r="X852" s="96">
        <f>IF(AND(Q852=1,T852=1,I852&lt;&gt;"",W852&lt;&gt;""),IF(I852&lt;&gt;W852,1,0),0)</f>
        <v>0</v>
      </c>
      <c r="Y852" s="96">
        <f>IF(N852=0,0,IF(OR(Q852=0,T852=0,V852=0,AND(X852=1,J852&lt;&gt;"Sim")),1,0))</f>
        <v>0</v>
      </c>
      <c r="Z852" s="96">
        <f>IF(Q852=1,INDEX('CDFs'!$W$6:$W$505,P852),0)</f>
        <v>0</v>
      </c>
      <c r="AA852" s="96">
        <f>IF(AND(N852=1,Y852=0,Z852=1,J852="Sim"),1,0)</f>
        <v>0</v>
      </c>
      <c r="AB852" s="96">
        <f>IF(AND(N852=1,O852&lt;&gt;"",D852&lt;&gt;""),IF(COUNTIFS($O$6:O852,O852,$D$6:D852,D852)=1,1,0),0)</f>
        <v>0</v>
      </c>
      <c r="AC852" s="96">
        <f>IF(T852=1,INDEX('ITENS_MTR'!$AL$6:$AL$1005,S852),0)</f>
        <v>0</v>
      </c>
    </row>
    <row r="853">
      <c r="A853" s="89" t="inlineStr">
        <is>
          <t>VIN-000848</t>
        </is>
      </c>
      <c r="B853" s="91" t="n"/>
      <c r="C853" s="91" t="n"/>
      <c r="D853" s="94" t="str">
        <f>IF(T853=1,INDEX('ITENS_MTR'!$S$6:$S$1005,S853)&amp;"","")</f>
        <v/>
      </c>
      <c r="E853" s="94" t="str">
        <f>IF(T853=1,INDEX('ITENS_MTR'!$C$6:$C$1005,S853)&amp;"","")</f>
        <v/>
      </c>
      <c r="F853" s="98" t="n"/>
      <c r="G853" s="91" t="n"/>
      <c r="H853" s="93" t="str">
        <f>IF(N853=0,"",IF(NOT(ISNUMBER(F853)),"",IF(ISNUMBER(U853),F853*U853,"UNIDADE A CONFERIR")))</f>
        <v/>
      </c>
      <c r="I853" s="94" t="str">
        <f>IF(Q853=1,INDEX('CDFs'!$F$6:$F$505,P853)&amp;"","")</f>
        <v/>
      </c>
      <c r="J853" s="91" t="n"/>
      <c r="K853" s="91" t="n"/>
      <c r="L853" s="94" t="str">
        <f>IF(N853=0,"",IF(NOT(ISNUMBER(F853)),"Quantidade não informada",IF(F853&lt;=0,"Quantidade não positiva",IF(G853="","Unidade não informada",IF(NOT(ISNUMBER(H853)),"Unidade a conferir",IF(AC853=1,"REVISAR VÍNCULO: soma vinculada maior que a referência do item","OK"))))))</f>
        <v/>
      </c>
      <c r="M853" s="94" t="str">
        <f>IF(N853=0,"",IF(B853="","CDF não informado",IF(Q853=0,"REVISAR VÍNCULO: CDF inexistente",IF(C853="","Item não informado",IF(T853=0,"REVISAR VÍNCULO: item inexistente",IF(AND(X853=1,J853&lt;&gt;"Sim"),"REVISAR VÍNCULO: destinador diferente do MTR",IF(X853=1,"Destinador diferente do MTR (analisado)","OK")))))))</f>
        <v/>
      </c>
      <c r="N853" s="96">
        <f>IF(COUNTA(B853:C853,F853:G853,J853:K853)&gt;0,1,0)</f>
        <v>0</v>
      </c>
      <c r="O853" s="96" t="str">
        <f>IF(B853="","",TRIM(LEFT(B853,FIND(" |",B853&amp;" |")-1)))</f>
        <v/>
      </c>
      <c r="P853" s="96" t="str">
        <f>IF(O853="","",IFERROR(MATCH(O853,'CDFs'!$A$6:$A$505,0),""))</f>
        <v/>
      </c>
      <c r="Q853" s="96">
        <f>IF(P853="",0,IF(INDEX('CDFs'!$S$6:$S$505,P853)=1,1,0))</f>
        <v>0</v>
      </c>
      <c r="R853" s="96" t="str">
        <f>IF(C853="","",TRIM(LEFT(C853,FIND(" |",C853&amp;" |")-1)))</f>
        <v/>
      </c>
      <c r="S853" s="96" t="str">
        <f>IF(R853="","",IFERROR(MATCH(R853,'ITENS_MTR'!$A$6:$A$1005,0),""))</f>
        <v/>
      </c>
      <c r="T853" s="96">
        <f>IF(S853="",0,IF(INDEX('ITENS_MTR'!$R$6:$R$1005,S853)=1,1,0))</f>
        <v>0</v>
      </c>
      <c r="U853" s="96" t="str">
        <f>IF(G853="","",IFERROR(IF(ISNUMBER(INDEX(cfg_fac,MATCH(G853,cfg_units,0))),IF(INDEX(cfg_fac,MATCH(G853,cfg_units,0))&gt;0,INDEX(cfg_fac,MATCH(G853,cfg_units,0)),""),""),""))</f>
        <v/>
      </c>
      <c r="V853" s="96">
        <f>IF(AND(ISNUMBER(F853),ISNUMBER(H853)),IF(H853&gt;0,1,0),0)</f>
        <v>0</v>
      </c>
      <c r="W853" s="96" t="str">
        <f>IF(T853=1,INDEX('ITENS_MTR'!$AU$6:$AU$1005,S853)&amp;"","")</f>
        <v/>
      </c>
      <c r="X853" s="96">
        <f>IF(AND(Q853=1,T853=1,I853&lt;&gt;"",W853&lt;&gt;""),IF(I853&lt;&gt;W853,1,0),0)</f>
        <v>0</v>
      </c>
      <c r="Y853" s="96">
        <f>IF(N853=0,0,IF(OR(Q853=0,T853=0,V853=0,AND(X853=1,J853&lt;&gt;"Sim")),1,0))</f>
        <v>0</v>
      </c>
      <c r="Z853" s="96">
        <f>IF(Q853=1,INDEX('CDFs'!$W$6:$W$505,P853),0)</f>
        <v>0</v>
      </c>
      <c r="AA853" s="96">
        <f>IF(AND(N853=1,Y853=0,Z853=1,J853="Sim"),1,0)</f>
        <v>0</v>
      </c>
      <c r="AB853" s="96">
        <f>IF(AND(N853=1,O853&lt;&gt;"",D853&lt;&gt;""),IF(COUNTIFS($O$6:O853,O853,$D$6:D853,D853)=1,1,0),0)</f>
        <v>0</v>
      </c>
      <c r="AC853" s="96">
        <f>IF(T853=1,INDEX('ITENS_MTR'!$AL$6:$AL$1005,S853),0)</f>
        <v>0</v>
      </c>
    </row>
    <row r="854">
      <c r="A854" s="89" t="inlineStr">
        <is>
          <t>VIN-000849</t>
        </is>
      </c>
      <c r="B854" s="91" t="n"/>
      <c r="C854" s="91" t="n"/>
      <c r="D854" s="94" t="str">
        <f>IF(T854=1,INDEX('ITENS_MTR'!$S$6:$S$1005,S854)&amp;"","")</f>
        <v/>
      </c>
      <c r="E854" s="94" t="str">
        <f>IF(T854=1,INDEX('ITENS_MTR'!$C$6:$C$1005,S854)&amp;"","")</f>
        <v/>
      </c>
      <c r="F854" s="98" t="n"/>
      <c r="G854" s="91" t="n"/>
      <c r="H854" s="93" t="str">
        <f>IF(N854=0,"",IF(NOT(ISNUMBER(F854)),"",IF(ISNUMBER(U854),F854*U854,"UNIDADE A CONFERIR")))</f>
        <v/>
      </c>
      <c r="I854" s="94" t="str">
        <f>IF(Q854=1,INDEX('CDFs'!$F$6:$F$505,P854)&amp;"","")</f>
        <v/>
      </c>
      <c r="J854" s="91" t="n"/>
      <c r="K854" s="91" t="n"/>
      <c r="L854" s="94" t="str">
        <f>IF(N854=0,"",IF(NOT(ISNUMBER(F854)),"Quantidade não informada",IF(F854&lt;=0,"Quantidade não positiva",IF(G854="","Unidade não informada",IF(NOT(ISNUMBER(H854)),"Unidade a conferir",IF(AC854=1,"REVISAR VÍNCULO: soma vinculada maior que a referência do item","OK"))))))</f>
        <v/>
      </c>
      <c r="M854" s="94" t="str">
        <f>IF(N854=0,"",IF(B854="","CDF não informado",IF(Q854=0,"REVISAR VÍNCULO: CDF inexistente",IF(C854="","Item não informado",IF(T854=0,"REVISAR VÍNCULO: item inexistente",IF(AND(X854=1,J854&lt;&gt;"Sim"),"REVISAR VÍNCULO: destinador diferente do MTR",IF(X854=1,"Destinador diferente do MTR (analisado)","OK")))))))</f>
        <v/>
      </c>
      <c r="N854" s="96">
        <f>IF(COUNTA(B854:C854,F854:G854,J854:K854)&gt;0,1,0)</f>
        <v>0</v>
      </c>
      <c r="O854" s="96" t="str">
        <f>IF(B854="","",TRIM(LEFT(B854,FIND(" |",B854&amp;" |")-1)))</f>
        <v/>
      </c>
      <c r="P854" s="96" t="str">
        <f>IF(O854="","",IFERROR(MATCH(O854,'CDFs'!$A$6:$A$505,0),""))</f>
        <v/>
      </c>
      <c r="Q854" s="96">
        <f>IF(P854="",0,IF(INDEX('CDFs'!$S$6:$S$505,P854)=1,1,0))</f>
        <v>0</v>
      </c>
      <c r="R854" s="96" t="str">
        <f>IF(C854="","",TRIM(LEFT(C854,FIND(" |",C854&amp;" |")-1)))</f>
        <v/>
      </c>
      <c r="S854" s="96" t="str">
        <f>IF(R854="","",IFERROR(MATCH(R854,'ITENS_MTR'!$A$6:$A$1005,0),""))</f>
        <v/>
      </c>
      <c r="T854" s="96">
        <f>IF(S854="",0,IF(INDEX('ITENS_MTR'!$R$6:$R$1005,S854)=1,1,0))</f>
        <v>0</v>
      </c>
      <c r="U854" s="96" t="str">
        <f>IF(G854="","",IFERROR(IF(ISNUMBER(INDEX(cfg_fac,MATCH(G854,cfg_units,0))),IF(INDEX(cfg_fac,MATCH(G854,cfg_units,0))&gt;0,INDEX(cfg_fac,MATCH(G854,cfg_units,0)),""),""),""))</f>
        <v/>
      </c>
      <c r="V854" s="96">
        <f>IF(AND(ISNUMBER(F854),ISNUMBER(H854)),IF(H854&gt;0,1,0),0)</f>
        <v>0</v>
      </c>
      <c r="W854" s="96" t="str">
        <f>IF(T854=1,INDEX('ITENS_MTR'!$AU$6:$AU$1005,S854)&amp;"","")</f>
        <v/>
      </c>
      <c r="X854" s="96">
        <f>IF(AND(Q854=1,T854=1,I854&lt;&gt;"",W854&lt;&gt;""),IF(I854&lt;&gt;W854,1,0),0)</f>
        <v>0</v>
      </c>
      <c r="Y854" s="96">
        <f>IF(N854=0,0,IF(OR(Q854=0,T854=0,V854=0,AND(X854=1,J854&lt;&gt;"Sim")),1,0))</f>
        <v>0</v>
      </c>
      <c r="Z854" s="96">
        <f>IF(Q854=1,INDEX('CDFs'!$W$6:$W$505,P854),0)</f>
        <v>0</v>
      </c>
      <c r="AA854" s="96">
        <f>IF(AND(N854=1,Y854=0,Z854=1,J854="Sim"),1,0)</f>
        <v>0</v>
      </c>
      <c r="AB854" s="96">
        <f>IF(AND(N854=1,O854&lt;&gt;"",D854&lt;&gt;""),IF(COUNTIFS($O$6:O854,O854,$D$6:D854,D854)=1,1,0),0)</f>
        <v>0</v>
      </c>
      <c r="AC854" s="96">
        <f>IF(T854=1,INDEX('ITENS_MTR'!$AL$6:$AL$1005,S854),0)</f>
        <v>0</v>
      </c>
    </row>
    <row r="855">
      <c r="A855" s="89" t="inlineStr">
        <is>
          <t>VIN-000850</t>
        </is>
      </c>
      <c r="B855" s="91" t="n"/>
      <c r="C855" s="91" t="n"/>
      <c r="D855" s="94" t="str">
        <f>IF(T855=1,INDEX('ITENS_MTR'!$S$6:$S$1005,S855)&amp;"","")</f>
        <v/>
      </c>
      <c r="E855" s="94" t="str">
        <f>IF(T855=1,INDEX('ITENS_MTR'!$C$6:$C$1005,S855)&amp;"","")</f>
        <v/>
      </c>
      <c r="F855" s="98" t="n"/>
      <c r="G855" s="91" t="n"/>
      <c r="H855" s="93" t="str">
        <f>IF(N855=0,"",IF(NOT(ISNUMBER(F855)),"",IF(ISNUMBER(U855),F855*U855,"UNIDADE A CONFERIR")))</f>
        <v/>
      </c>
      <c r="I855" s="94" t="str">
        <f>IF(Q855=1,INDEX('CDFs'!$F$6:$F$505,P855)&amp;"","")</f>
        <v/>
      </c>
      <c r="J855" s="91" t="n"/>
      <c r="K855" s="91" t="n"/>
      <c r="L855" s="94" t="str">
        <f>IF(N855=0,"",IF(NOT(ISNUMBER(F855)),"Quantidade não informada",IF(F855&lt;=0,"Quantidade não positiva",IF(G855="","Unidade não informada",IF(NOT(ISNUMBER(H855)),"Unidade a conferir",IF(AC855=1,"REVISAR VÍNCULO: soma vinculada maior que a referência do item","OK"))))))</f>
        <v/>
      </c>
      <c r="M855" s="94" t="str">
        <f>IF(N855=0,"",IF(B855="","CDF não informado",IF(Q855=0,"REVISAR VÍNCULO: CDF inexistente",IF(C855="","Item não informado",IF(T855=0,"REVISAR VÍNCULO: item inexistente",IF(AND(X855=1,J855&lt;&gt;"Sim"),"REVISAR VÍNCULO: destinador diferente do MTR",IF(X855=1,"Destinador diferente do MTR (analisado)","OK")))))))</f>
        <v/>
      </c>
      <c r="N855" s="96">
        <f>IF(COUNTA(B855:C855,F855:G855,J855:K855)&gt;0,1,0)</f>
        <v>0</v>
      </c>
      <c r="O855" s="96" t="str">
        <f>IF(B855="","",TRIM(LEFT(B855,FIND(" |",B855&amp;" |")-1)))</f>
        <v/>
      </c>
      <c r="P855" s="96" t="str">
        <f>IF(O855="","",IFERROR(MATCH(O855,'CDFs'!$A$6:$A$505,0),""))</f>
        <v/>
      </c>
      <c r="Q855" s="96">
        <f>IF(P855="",0,IF(INDEX('CDFs'!$S$6:$S$505,P855)=1,1,0))</f>
        <v>0</v>
      </c>
      <c r="R855" s="96" t="str">
        <f>IF(C855="","",TRIM(LEFT(C855,FIND(" |",C855&amp;" |")-1)))</f>
        <v/>
      </c>
      <c r="S855" s="96" t="str">
        <f>IF(R855="","",IFERROR(MATCH(R855,'ITENS_MTR'!$A$6:$A$1005,0),""))</f>
        <v/>
      </c>
      <c r="T855" s="96">
        <f>IF(S855="",0,IF(INDEX('ITENS_MTR'!$R$6:$R$1005,S855)=1,1,0))</f>
        <v>0</v>
      </c>
      <c r="U855" s="96" t="str">
        <f>IF(G855="","",IFERROR(IF(ISNUMBER(INDEX(cfg_fac,MATCH(G855,cfg_units,0))),IF(INDEX(cfg_fac,MATCH(G855,cfg_units,0))&gt;0,INDEX(cfg_fac,MATCH(G855,cfg_units,0)),""),""),""))</f>
        <v/>
      </c>
      <c r="V855" s="96">
        <f>IF(AND(ISNUMBER(F855),ISNUMBER(H855)),IF(H855&gt;0,1,0),0)</f>
        <v>0</v>
      </c>
      <c r="W855" s="96" t="str">
        <f>IF(T855=1,INDEX('ITENS_MTR'!$AU$6:$AU$1005,S855)&amp;"","")</f>
        <v/>
      </c>
      <c r="X855" s="96">
        <f>IF(AND(Q855=1,T855=1,I855&lt;&gt;"",W855&lt;&gt;""),IF(I855&lt;&gt;W855,1,0),0)</f>
        <v>0</v>
      </c>
      <c r="Y855" s="96">
        <f>IF(N855=0,0,IF(OR(Q855=0,T855=0,V855=0,AND(X855=1,J855&lt;&gt;"Sim")),1,0))</f>
        <v>0</v>
      </c>
      <c r="Z855" s="96">
        <f>IF(Q855=1,INDEX('CDFs'!$W$6:$W$505,P855),0)</f>
        <v>0</v>
      </c>
      <c r="AA855" s="96">
        <f>IF(AND(N855=1,Y855=0,Z855=1,J855="Sim"),1,0)</f>
        <v>0</v>
      </c>
      <c r="AB855" s="96">
        <f>IF(AND(N855=1,O855&lt;&gt;"",D855&lt;&gt;""),IF(COUNTIFS($O$6:O855,O855,$D$6:D855,D855)=1,1,0),0)</f>
        <v>0</v>
      </c>
      <c r="AC855" s="96">
        <f>IF(T855=1,INDEX('ITENS_MTR'!$AL$6:$AL$1005,S855),0)</f>
        <v>0</v>
      </c>
    </row>
    <row r="856">
      <c r="A856" s="89" t="inlineStr">
        <is>
          <t>VIN-000851</t>
        </is>
      </c>
      <c r="B856" s="91" t="n"/>
      <c r="C856" s="91" t="n"/>
      <c r="D856" s="94" t="str">
        <f>IF(T856=1,INDEX('ITENS_MTR'!$S$6:$S$1005,S856)&amp;"","")</f>
        <v/>
      </c>
      <c r="E856" s="94" t="str">
        <f>IF(T856=1,INDEX('ITENS_MTR'!$C$6:$C$1005,S856)&amp;"","")</f>
        <v/>
      </c>
      <c r="F856" s="98" t="n"/>
      <c r="G856" s="91" t="n"/>
      <c r="H856" s="93" t="str">
        <f>IF(N856=0,"",IF(NOT(ISNUMBER(F856)),"",IF(ISNUMBER(U856),F856*U856,"UNIDADE A CONFERIR")))</f>
        <v/>
      </c>
      <c r="I856" s="94" t="str">
        <f>IF(Q856=1,INDEX('CDFs'!$F$6:$F$505,P856)&amp;"","")</f>
        <v/>
      </c>
      <c r="J856" s="91" t="n"/>
      <c r="K856" s="91" t="n"/>
      <c r="L856" s="94" t="str">
        <f>IF(N856=0,"",IF(NOT(ISNUMBER(F856)),"Quantidade não informada",IF(F856&lt;=0,"Quantidade não positiva",IF(G856="","Unidade não informada",IF(NOT(ISNUMBER(H856)),"Unidade a conferir",IF(AC856=1,"REVISAR VÍNCULO: soma vinculada maior que a referência do item","OK"))))))</f>
        <v/>
      </c>
      <c r="M856" s="94" t="str">
        <f>IF(N856=0,"",IF(B856="","CDF não informado",IF(Q856=0,"REVISAR VÍNCULO: CDF inexistente",IF(C856="","Item não informado",IF(T856=0,"REVISAR VÍNCULO: item inexistente",IF(AND(X856=1,J856&lt;&gt;"Sim"),"REVISAR VÍNCULO: destinador diferente do MTR",IF(X856=1,"Destinador diferente do MTR (analisado)","OK")))))))</f>
        <v/>
      </c>
      <c r="N856" s="96">
        <f>IF(COUNTA(B856:C856,F856:G856,J856:K856)&gt;0,1,0)</f>
        <v>0</v>
      </c>
      <c r="O856" s="96" t="str">
        <f>IF(B856="","",TRIM(LEFT(B856,FIND(" |",B856&amp;" |")-1)))</f>
        <v/>
      </c>
      <c r="P856" s="96" t="str">
        <f>IF(O856="","",IFERROR(MATCH(O856,'CDFs'!$A$6:$A$505,0),""))</f>
        <v/>
      </c>
      <c r="Q856" s="96">
        <f>IF(P856="",0,IF(INDEX('CDFs'!$S$6:$S$505,P856)=1,1,0))</f>
        <v>0</v>
      </c>
      <c r="R856" s="96" t="str">
        <f>IF(C856="","",TRIM(LEFT(C856,FIND(" |",C856&amp;" |")-1)))</f>
        <v/>
      </c>
      <c r="S856" s="96" t="str">
        <f>IF(R856="","",IFERROR(MATCH(R856,'ITENS_MTR'!$A$6:$A$1005,0),""))</f>
        <v/>
      </c>
      <c r="T856" s="96">
        <f>IF(S856="",0,IF(INDEX('ITENS_MTR'!$R$6:$R$1005,S856)=1,1,0))</f>
        <v>0</v>
      </c>
      <c r="U856" s="96" t="str">
        <f>IF(G856="","",IFERROR(IF(ISNUMBER(INDEX(cfg_fac,MATCH(G856,cfg_units,0))),IF(INDEX(cfg_fac,MATCH(G856,cfg_units,0))&gt;0,INDEX(cfg_fac,MATCH(G856,cfg_units,0)),""),""),""))</f>
        <v/>
      </c>
      <c r="V856" s="96">
        <f>IF(AND(ISNUMBER(F856),ISNUMBER(H856)),IF(H856&gt;0,1,0),0)</f>
        <v>0</v>
      </c>
      <c r="W856" s="96" t="str">
        <f>IF(T856=1,INDEX('ITENS_MTR'!$AU$6:$AU$1005,S856)&amp;"","")</f>
        <v/>
      </c>
      <c r="X856" s="96">
        <f>IF(AND(Q856=1,T856=1,I856&lt;&gt;"",W856&lt;&gt;""),IF(I856&lt;&gt;W856,1,0),0)</f>
        <v>0</v>
      </c>
      <c r="Y856" s="96">
        <f>IF(N856=0,0,IF(OR(Q856=0,T856=0,V856=0,AND(X856=1,J856&lt;&gt;"Sim")),1,0))</f>
        <v>0</v>
      </c>
      <c r="Z856" s="96">
        <f>IF(Q856=1,INDEX('CDFs'!$W$6:$W$505,P856),0)</f>
        <v>0</v>
      </c>
      <c r="AA856" s="96">
        <f>IF(AND(N856=1,Y856=0,Z856=1,J856="Sim"),1,0)</f>
        <v>0</v>
      </c>
      <c r="AB856" s="96">
        <f>IF(AND(N856=1,O856&lt;&gt;"",D856&lt;&gt;""),IF(COUNTIFS($O$6:O856,O856,$D$6:D856,D856)=1,1,0),0)</f>
        <v>0</v>
      </c>
      <c r="AC856" s="96">
        <f>IF(T856=1,INDEX('ITENS_MTR'!$AL$6:$AL$1005,S856),0)</f>
        <v>0</v>
      </c>
    </row>
    <row r="857">
      <c r="A857" s="89" t="inlineStr">
        <is>
          <t>VIN-000852</t>
        </is>
      </c>
      <c r="B857" s="91" t="n"/>
      <c r="C857" s="91" t="n"/>
      <c r="D857" s="94" t="str">
        <f>IF(T857=1,INDEX('ITENS_MTR'!$S$6:$S$1005,S857)&amp;"","")</f>
        <v/>
      </c>
      <c r="E857" s="94" t="str">
        <f>IF(T857=1,INDEX('ITENS_MTR'!$C$6:$C$1005,S857)&amp;"","")</f>
        <v/>
      </c>
      <c r="F857" s="98" t="n"/>
      <c r="G857" s="91" t="n"/>
      <c r="H857" s="93" t="str">
        <f>IF(N857=0,"",IF(NOT(ISNUMBER(F857)),"",IF(ISNUMBER(U857),F857*U857,"UNIDADE A CONFERIR")))</f>
        <v/>
      </c>
      <c r="I857" s="94" t="str">
        <f>IF(Q857=1,INDEX('CDFs'!$F$6:$F$505,P857)&amp;"","")</f>
        <v/>
      </c>
      <c r="J857" s="91" t="n"/>
      <c r="K857" s="91" t="n"/>
      <c r="L857" s="94" t="str">
        <f>IF(N857=0,"",IF(NOT(ISNUMBER(F857)),"Quantidade não informada",IF(F857&lt;=0,"Quantidade não positiva",IF(G857="","Unidade não informada",IF(NOT(ISNUMBER(H857)),"Unidade a conferir",IF(AC857=1,"REVISAR VÍNCULO: soma vinculada maior que a referência do item","OK"))))))</f>
        <v/>
      </c>
      <c r="M857" s="94" t="str">
        <f>IF(N857=0,"",IF(B857="","CDF não informado",IF(Q857=0,"REVISAR VÍNCULO: CDF inexistente",IF(C857="","Item não informado",IF(T857=0,"REVISAR VÍNCULO: item inexistente",IF(AND(X857=1,J857&lt;&gt;"Sim"),"REVISAR VÍNCULO: destinador diferente do MTR",IF(X857=1,"Destinador diferente do MTR (analisado)","OK")))))))</f>
        <v/>
      </c>
      <c r="N857" s="96">
        <f>IF(COUNTA(B857:C857,F857:G857,J857:K857)&gt;0,1,0)</f>
        <v>0</v>
      </c>
      <c r="O857" s="96" t="str">
        <f>IF(B857="","",TRIM(LEFT(B857,FIND(" |",B857&amp;" |")-1)))</f>
        <v/>
      </c>
      <c r="P857" s="96" t="str">
        <f>IF(O857="","",IFERROR(MATCH(O857,'CDFs'!$A$6:$A$505,0),""))</f>
        <v/>
      </c>
      <c r="Q857" s="96">
        <f>IF(P857="",0,IF(INDEX('CDFs'!$S$6:$S$505,P857)=1,1,0))</f>
        <v>0</v>
      </c>
      <c r="R857" s="96" t="str">
        <f>IF(C857="","",TRIM(LEFT(C857,FIND(" |",C857&amp;" |")-1)))</f>
        <v/>
      </c>
      <c r="S857" s="96" t="str">
        <f>IF(R857="","",IFERROR(MATCH(R857,'ITENS_MTR'!$A$6:$A$1005,0),""))</f>
        <v/>
      </c>
      <c r="T857" s="96">
        <f>IF(S857="",0,IF(INDEX('ITENS_MTR'!$R$6:$R$1005,S857)=1,1,0))</f>
        <v>0</v>
      </c>
      <c r="U857" s="96" t="str">
        <f>IF(G857="","",IFERROR(IF(ISNUMBER(INDEX(cfg_fac,MATCH(G857,cfg_units,0))),IF(INDEX(cfg_fac,MATCH(G857,cfg_units,0))&gt;0,INDEX(cfg_fac,MATCH(G857,cfg_units,0)),""),""),""))</f>
        <v/>
      </c>
      <c r="V857" s="96">
        <f>IF(AND(ISNUMBER(F857),ISNUMBER(H857)),IF(H857&gt;0,1,0),0)</f>
        <v>0</v>
      </c>
      <c r="W857" s="96" t="str">
        <f>IF(T857=1,INDEX('ITENS_MTR'!$AU$6:$AU$1005,S857)&amp;"","")</f>
        <v/>
      </c>
      <c r="X857" s="96">
        <f>IF(AND(Q857=1,T857=1,I857&lt;&gt;"",W857&lt;&gt;""),IF(I857&lt;&gt;W857,1,0),0)</f>
        <v>0</v>
      </c>
      <c r="Y857" s="96">
        <f>IF(N857=0,0,IF(OR(Q857=0,T857=0,V857=0,AND(X857=1,J857&lt;&gt;"Sim")),1,0))</f>
        <v>0</v>
      </c>
      <c r="Z857" s="96">
        <f>IF(Q857=1,INDEX('CDFs'!$W$6:$W$505,P857),0)</f>
        <v>0</v>
      </c>
      <c r="AA857" s="96">
        <f>IF(AND(N857=1,Y857=0,Z857=1,J857="Sim"),1,0)</f>
        <v>0</v>
      </c>
      <c r="AB857" s="96">
        <f>IF(AND(N857=1,O857&lt;&gt;"",D857&lt;&gt;""),IF(COUNTIFS($O$6:O857,O857,$D$6:D857,D857)=1,1,0),0)</f>
        <v>0</v>
      </c>
      <c r="AC857" s="96">
        <f>IF(T857=1,INDEX('ITENS_MTR'!$AL$6:$AL$1005,S857),0)</f>
        <v>0</v>
      </c>
    </row>
    <row r="858">
      <c r="A858" s="89" t="inlineStr">
        <is>
          <t>VIN-000853</t>
        </is>
      </c>
      <c r="B858" s="91" t="n"/>
      <c r="C858" s="91" t="n"/>
      <c r="D858" s="94" t="str">
        <f>IF(T858=1,INDEX('ITENS_MTR'!$S$6:$S$1005,S858)&amp;"","")</f>
        <v/>
      </c>
      <c r="E858" s="94" t="str">
        <f>IF(T858=1,INDEX('ITENS_MTR'!$C$6:$C$1005,S858)&amp;"","")</f>
        <v/>
      </c>
      <c r="F858" s="98" t="n"/>
      <c r="G858" s="91" t="n"/>
      <c r="H858" s="93" t="str">
        <f>IF(N858=0,"",IF(NOT(ISNUMBER(F858)),"",IF(ISNUMBER(U858),F858*U858,"UNIDADE A CONFERIR")))</f>
        <v/>
      </c>
      <c r="I858" s="94" t="str">
        <f>IF(Q858=1,INDEX('CDFs'!$F$6:$F$505,P858)&amp;"","")</f>
        <v/>
      </c>
      <c r="J858" s="91" t="n"/>
      <c r="K858" s="91" t="n"/>
      <c r="L858" s="94" t="str">
        <f>IF(N858=0,"",IF(NOT(ISNUMBER(F858)),"Quantidade não informada",IF(F858&lt;=0,"Quantidade não positiva",IF(G858="","Unidade não informada",IF(NOT(ISNUMBER(H858)),"Unidade a conferir",IF(AC858=1,"REVISAR VÍNCULO: soma vinculada maior que a referência do item","OK"))))))</f>
        <v/>
      </c>
      <c r="M858" s="94" t="str">
        <f>IF(N858=0,"",IF(B858="","CDF não informado",IF(Q858=0,"REVISAR VÍNCULO: CDF inexistente",IF(C858="","Item não informado",IF(T858=0,"REVISAR VÍNCULO: item inexistente",IF(AND(X858=1,J858&lt;&gt;"Sim"),"REVISAR VÍNCULO: destinador diferente do MTR",IF(X858=1,"Destinador diferente do MTR (analisado)","OK")))))))</f>
        <v/>
      </c>
      <c r="N858" s="96">
        <f>IF(COUNTA(B858:C858,F858:G858,J858:K858)&gt;0,1,0)</f>
        <v>0</v>
      </c>
      <c r="O858" s="96" t="str">
        <f>IF(B858="","",TRIM(LEFT(B858,FIND(" |",B858&amp;" |")-1)))</f>
        <v/>
      </c>
      <c r="P858" s="96" t="str">
        <f>IF(O858="","",IFERROR(MATCH(O858,'CDFs'!$A$6:$A$505,0),""))</f>
        <v/>
      </c>
      <c r="Q858" s="96">
        <f>IF(P858="",0,IF(INDEX('CDFs'!$S$6:$S$505,P858)=1,1,0))</f>
        <v>0</v>
      </c>
      <c r="R858" s="96" t="str">
        <f>IF(C858="","",TRIM(LEFT(C858,FIND(" |",C858&amp;" |")-1)))</f>
        <v/>
      </c>
      <c r="S858" s="96" t="str">
        <f>IF(R858="","",IFERROR(MATCH(R858,'ITENS_MTR'!$A$6:$A$1005,0),""))</f>
        <v/>
      </c>
      <c r="T858" s="96">
        <f>IF(S858="",0,IF(INDEX('ITENS_MTR'!$R$6:$R$1005,S858)=1,1,0))</f>
        <v>0</v>
      </c>
      <c r="U858" s="96" t="str">
        <f>IF(G858="","",IFERROR(IF(ISNUMBER(INDEX(cfg_fac,MATCH(G858,cfg_units,0))),IF(INDEX(cfg_fac,MATCH(G858,cfg_units,0))&gt;0,INDEX(cfg_fac,MATCH(G858,cfg_units,0)),""),""),""))</f>
        <v/>
      </c>
      <c r="V858" s="96">
        <f>IF(AND(ISNUMBER(F858),ISNUMBER(H858)),IF(H858&gt;0,1,0),0)</f>
        <v>0</v>
      </c>
      <c r="W858" s="96" t="str">
        <f>IF(T858=1,INDEX('ITENS_MTR'!$AU$6:$AU$1005,S858)&amp;"","")</f>
        <v/>
      </c>
      <c r="X858" s="96">
        <f>IF(AND(Q858=1,T858=1,I858&lt;&gt;"",W858&lt;&gt;""),IF(I858&lt;&gt;W858,1,0),0)</f>
        <v>0</v>
      </c>
      <c r="Y858" s="96">
        <f>IF(N858=0,0,IF(OR(Q858=0,T858=0,V858=0,AND(X858=1,J858&lt;&gt;"Sim")),1,0))</f>
        <v>0</v>
      </c>
      <c r="Z858" s="96">
        <f>IF(Q858=1,INDEX('CDFs'!$W$6:$W$505,P858),0)</f>
        <v>0</v>
      </c>
      <c r="AA858" s="96">
        <f>IF(AND(N858=1,Y858=0,Z858=1,J858="Sim"),1,0)</f>
        <v>0</v>
      </c>
      <c r="AB858" s="96">
        <f>IF(AND(N858=1,O858&lt;&gt;"",D858&lt;&gt;""),IF(COUNTIFS($O$6:O858,O858,$D$6:D858,D858)=1,1,0),0)</f>
        <v>0</v>
      </c>
      <c r="AC858" s="96">
        <f>IF(T858=1,INDEX('ITENS_MTR'!$AL$6:$AL$1005,S858),0)</f>
        <v>0</v>
      </c>
    </row>
    <row r="859">
      <c r="A859" s="89" t="inlineStr">
        <is>
          <t>VIN-000854</t>
        </is>
      </c>
      <c r="B859" s="91" t="n"/>
      <c r="C859" s="91" t="n"/>
      <c r="D859" s="94" t="str">
        <f>IF(T859=1,INDEX('ITENS_MTR'!$S$6:$S$1005,S859)&amp;"","")</f>
        <v/>
      </c>
      <c r="E859" s="94" t="str">
        <f>IF(T859=1,INDEX('ITENS_MTR'!$C$6:$C$1005,S859)&amp;"","")</f>
        <v/>
      </c>
      <c r="F859" s="98" t="n"/>
      <c r="G859" s="91" t="n"/>
      <c r="H859" s="93" t="str">
        <f>IF(N859=0,"",IF(NOT(ISNUMBER(F859)),"",IF(ISNUMBER(U859),F859*U859,"UNIDADE A CONFERIR")))</f>
        <v/>
      </c>
      <c r="I859" s="94" t="str">
        <f>IF(Q859=1,INDEX('CDFs'!$F$6:$F$505,P859)&amp;"","")</f>
        <v/>
      </c>
      <c r="J859" s="91" t="n"/>
      <c r="K859" s="91" t="n"/>
      <c r="L859" s="94" t="str">
        <f>IF(N859=0,"",IF(NOT(ISNUMBER(F859)),"Quantidade não informada",IF(F859&lt;=0,"Quantidade não positiva",IF(G859="","Unidade não informada",IF(NOT(ISNUMBER(H859)),"Unidade a conferir",IF(AC859=1,"REVISAR VÍNCULO: soma vinculada maior que a referência do item","OK"))))))</f>
        <v/>
      </c>
      <c r="M859" s="94" t="str">
        <f>IF(N859=0,"",IF(B859="","CDF não informado",IF(Q859=0,"REVISAR VÍNCULO: CDF inexistente",IF(C859="","Item não informado",IF(T859=0,"REVISAR VÍNCULO: item inexistente",IF(AND(X859=1,J859&lt;&gt;"Sim"),"REVISAR VÍNCULO: destinador diferente do MTR",IF(X859=1,"Destinador diferente do MTR (analisado)","OK")))))))</f>
        <v/>
      </c>
      <c r="N859" s="96">
        <f>IF(COUNTA(B859:C859,F859:G859,J859:K859)&gt;0,1,0)</f>
        <v>0</v>
      </c>
      <c r="O859" s="96" t="str">
        <f>IF(B859="","",TRIM(LEFT(B859,FIND(" |",B859&amp;" |")-1)))</f>
        <v/>
      </c>
      <c r="P859" s="96" t="str">
        <f>IF(O859="","",IFERROR(MATCH(O859,'CDFs'!$A$6:$A$505,0),""))</f>
        <v/>
      </c>
      <c r="Q859" s="96">
        <f>IF(P859="",0,IF(INDEX('CDFs'!$S$6:$S$505,P859)=1,1,0))</f>
        <v>0</v>
      </c>
      <c r="R859" s="96" t="str">
        <f>IF(C859="","",TRIM(LEFT(C859,FIND(" |",C859&amp;" |")-1)))</f>
        <v/>
      </c>
      <c r="S859" s="96" t="str">
        <f>IF(R859="","",IFERROR(MATCH(R859,'ITENS_MTR'!$A$6:$A$1005,0),""))</f>
        <v/>
      </c>
      <c r="T859" s="96">
        <f>IF(S859="",0,IF(INDEX('ITENS_MTR'!$R$6:$R$1005,S859)=1,1,0))</f>
        <v>0</v>
      </c>
      <c r="U859" s="96" t="str">
        <f>IF(G859="","",IFERROR(IF(ISNUMBER(INDEX(cfg_fac,MATCH(G859,cfg_units,0))),IF(INDEX(cfg_fac,MATCH(G859,cfg_units,0))&gt;0,INDEX(cfg_fac,MATCH(G859,cfg_units,0)),""),""),""))</f>
        <v/>
      </c>
      <c r="V859" s="96">
        <f>IF(AND(ISNUMBER(F859),ISNUMBER(H859)),IF(H859&gt;0,1,0),0)</f>
        <v>0</v>
      </c>
      <c r="W859" s="96" t="str">
        <f>IF(T859=1,INDEX('ITENS_MTR'!$AU$6:$AU$1005,S859)&amp;"","")</f>
        <v/>
      </c>
      <c r="X859" s="96">
        <f>IF(AND(Q859=1,T859=1,I859&lt;&gt;"",W859&lt;&gt;""),IF(I859&lt;&gt;W859,1,0),0)</f>
        <v>0</v>
      </c>
      <c r="Y859" s="96">
        <f>IF(N859=0,0,IF(OR(Q859=0,T859=0,V859=0,AND(X859=1,J859&lt;&gt;"Sim")),1,0))</f>
        <v>0</v>
      </c>
      <c r="Z859" s="96">
        <f>IF(Q859=1,INDEX('CDFs'!$W$6:$W$505,P859),0)</f>
        <v>0</v>
      </c>
      <c r="AA859" s="96">
        <f>IF(AND(N859=1,Y859=0,Z859=1,J859="Sim"),1,0)</f>
        <v>0</v>
      </c>
      <c r="AB859" s="96">
        <f>IF(AND(N859=1,O859&lt;&gt;"",D859&lt;&gt;""),IF(COUNTIFS($O$6:O859,O859,$D$6:D859,D859)=1,1,0),0)</f>
        <v>0</v>
      </c>
      <c r="AC859" s="96">
        <f>IF(T859=1,INDEX('ITENS_MTR'!$AL$6:$AL$1005,S859),0)</f>
        <v>0</v>
      </c>
    </row>
    <row r="860">
      <c r="A860" s="89" t="inlineStr">
        <is>
          <t>VIN-000855</t>
        </is>
      </c>
      <c r="B860" s="91" t="n"/>
      <c r="C860" s="91" t="n"/>
      <c r="D860" s="94" t="str">
        <f>IF(T860=1,INDEX('ITENS_MTR'!$S$6:$S$1005,S860)&amp;"","")</f>
        <v/>
      </c>
      <c r="E860" s="94" t="str">
        <f>IF(T860=1,INDEX('ITENS_MTR'!$C$6:$C$1005,S860)&amp;"","")</f>
        <v/>
      </c>
      <c r="F860" s="98" t="n"/>
      <c r="G860" s="91" t="n"/>
      <c r="H860" s="93" t="str">
        <f>IF(N860=0,"",IF(NOT(ISNUMBER(F860)),"",IF(ISNUMBER(U860),F860*U860,"UNIDADE A CONFERIR")))</f>
        <v/>
      </c>
      <c r="I860" s="94" t="str">
        <f>IF(Q860=1,INDEX('CDFs'!$F$6:$F$505,P860)&amp;"","")</f>
        <v/>
      </c>
      <c r="J860" s="91" t="n"/>
      <c r="K860" s="91" t="n"/>
      <c r="L860" s="94" t="str">
        <f>IF(N860=0,"",IF(NOT(ISNUMBER(F860)),"Quantidade não informada",IF(F860&lt;=0,"Quantidade não positiva",IF(G860="","Unidade não informada",IF(NOT(ISNUMBER(H860)),"Unidade a conferir",IF(AC860=1,"REVISAR VÍNCULO: soma vinculada maior que a referência do item","OK"))))))</f>
        <v/>
      </c>
      <c r="M860" s="94" t="str">
        <f>IF(N860=0,"",IF(B860="","CDF não informado",IF(Q860=0,"REVISAR VÍNCULO: CDF inexistente",IF(C860="","Item não informado",IF(T860=0,"REVISAR VÍNCULO: item inexistente",IF(AND(X860=1,J860&lt;&gt;"Sim"),"REVISAR VÍNCULO: destinador diferente do MTR",IF(X860=1,"Destinador diferente do MTR (analisado)","OK")))))))</f>
        <v/>
      </c>
      <c r="N860" s="96">
        <f>IF(COUNTA(B860:C860,F860:G860,J860:K860)&gt;0,1,0)</f>
        <v>0</v>
      </c>
      <c r="O860" s="96" t="str">
        <f>IF(B860="","",TRIM(LEFT(B860,FIND(" |",B860&amp;" |")-1)))</f>
        <v/>
      </c>
      <c r="P860" s="96" t="str">
        <f>IF(O860="","",IFERROR(MATCH(O860,'CDFs'!$A$6:$A$505,0),""))</f>
        <v/>
      </c>
      <c r="Q860" s="96">
        <f>IF(P860="",0,IF(INDEX('CDFs'!$S$6:$S$505,P860)=1,1,0))</f>
        <v>0</v>
      </c>
      <c r="R860" s="96" t="str">
        <f>IF(C860="","",TRIM(LEFT(C860,FIND(" |",C860&amp;" |")-1)))</f>
        <v/>
      </c>
      <c r="S860" s="96" t="str">
        <f>IF(R860="","",IFERROR(MATCH(R860,'ITENS_MTR'!$A$6:$A$1005,0),""))</f>
        <v/>
      </c>
      <c r="T860" s="96">
        <f>IF(S860="",0,IF(INDEX('ITENS_MTR'!$R$6:$R$1005,S860)=1,1,0))</f>
        <v>0</v>
      </c>
      <c r="U860" s="96" t="str">
        <f>IF(G860="","",IFERROR(IF(ISNUMBER(INDEX(cfg_fac,MATCH(G860,cfg_units,0))),IF(INDEX(cfg_fac,MATCH(G860,cfg_units,0))&gt;0,INDEX(cfg_fac,MATCH(G860,cfg_units,0)),""),""),""))</f>
        <v/>
      </c>
      <c r="V860" s="96">
        <f>IF(AND(ISNUMBER(F860),ISNUMBER(H860)),IF(H860&gt;0,1,0),0)</f>
        <v>0</v>
      </c>
      <c r="W860" s="96" t="str">
        <f>IF(T860=1,INDEX('ITENS_MTR'!$AU$6:$AU$1005,S860)&amp;"","")</f>
        <v/>
      </c>
      <c r="X860" s="96">
        <f>IF(AND(Q860=1,T860=1,I860&lt;&gt;"",W860&lt;&gt;""),IF(I860&lt;&gt;W860,1,0),0)</f>
        <v>0</v>
      </c>
      <c r="Y860" s="96">
        <f>IF(N860=0,0,IF(OR(Q860=0,T860=0,V860=0,AND(X860=1,J860&lt;&gt;"Sim")),1,0))</f>
        <v>0</v>
      </c>
      <c r="Z860" s="96">
        <f>IF(Q860=1,INDEX('CDFs'!$W$6:$W$505,P860),0)</f>
        <v>0</v>
      </c>
      <c r="AA860" s="96">
        <f>IF(AND(N860=1,Y860=0,Z860=1,J860="Sim"),1,0)</f>
        <v>0</v>
      </c>
      <c r="AB860" s="96">
        <f>IF(AND(N860=1,O860&lt;&gt;"",D860&lt;&gt;""),IF(COUNTIFS($O$6:O860,O860,$D$6:D860,D860)=1,1,0),0)</f>
        <v>0</v>
      </c>
      <c r="AC860" s="96">
        <f>IF(T860=1,INDEX('ITENS_MTR'!$AL$6:$AL$1005,S860),0)</f>
        <v>0</v>
      </c>
    </row>
    <row r="861">
      <c r="A861" s="89" t="inlineStr">
        <is>
          <t>VIN-000856</t>
        </is>
      </c>
      <c r="B861" s="91" t="n"/>
      <c r="C861" s="91" t="n"/>
      <c r="D861" s="94" t="str">
        <f>IF(T861=1,INDEX('ITENS_MTR'!$S$6:$S$1005,S861)&amp;"","")</f>
        <v/>
      </c>
      <c r="E861" s="94" t="str">
        <f>IF(T861=1,INDEX('ITENS_MTR'!$C$6:$C$1005,S861)&amp;"","")</f>
        <v/>
      </c>
      <c r="F861" s="98" t="n"/>
      <c r="G861" s="91" t="n"/>
      <c r="H861" s="93" t="str">
        <f>IF(N861=0,"",IF(NOT(ISNUMBER(F861)),"",IF(ISNUMBER(U861),F861*U861,"UNIDADE A CONFERIR")))</f>
        <v/>
      </c>
      <c r="I861" s="94" t="str">
        <f>IF(Q861=1,INDEX('CDFs'!$F$6:$F$505,P861)&amp;"","")</f>
        <v/>
      </c>
      <c r="J861" s="91" t="n"/>
      <c r="K861" s="91" t="n"/>
      <c r="L861" s="94" t="str">
        <f>IF(N861=0,"",IF(NOT(ISNUMBER(F861)),"Quantidade não informada",IF(F861&lt;=0,"Quantidade não positiva",IF(G861="","Unidade não informada",IF(NOT(ISNUMBER(H861)),"Unidade a conferir",IF(AC861=1,"REVISAR VÍNCULO: soma vinculada maior que a referência do item","OK"))))))</f>
        <v/>
      </c>
      <c r="M861" s="94" t="str">
        <f>IF(N861=0,"",IF(B861="","CDF não informado",IF(Q861=0,"REVISAR VÍNCULO: CDF inexistente",IF(C861="","Item não informado",IF(T861=0,"REVISAR VÍNCULO: item inexistente",IF(AND(X861=1,J861&lt;&gt;"Sim"),"REVISAR VÍNCULO: destinador diferente do MTR",IF(X861=1,"Destinador diferente do MTR (analisado)","OK")))))))</f>
        <v/>
      </c>
      <c r="N861" s="96">
        <f>IF(COUNTA(B861:C861,F861:G861,J861:K861)&gt;0,1,0)</f>
        <v>0</v>
      </c>
      <c r="O861" s="96" t="str">
        <f>IF(B861="","",TRIM(LEFT(B861,FIND(" |",B861&amp;" |")-1)))</f>
        <v/>
      </c>
      <c r="P861" s="96" t="str">
        <f>IF(O861="","",IFERROR(MATCH(O861,'CDFs'!$A$6:$A$505,0),""))</f>
        <v/>
      </c>
      <c r="Q861" s="96">
        <f>IF(P861="",0,IF(INDEX('CDFs'!$S$6:$S$505,P861)=1,1,0))</f>
        <v>0</v>
      </c>
      <c r="R861" s="96" t="str">
        <f>IF(C861="","",TRIM(LEFT(C861,FIND(" |",C861&amp;" |")-1)))</f>
        <v/>
      </c>
      <c r="S861" s="96" t="str">
        <f>IF(R861="","",IFERROR(MATCH(R861,'ITENS_MTR'!$A$6:$A$1005,0),""))</f>
        <v/>
      </c>
      <c r="T861" s="96">
        <f>IF(S861="",0,IF(INDEX('ITENS_MTR'!$R$6:$R$1005,S861)=1,1,0))</f>
        <v>0</v>
      </c>
      <c r="U861" s="96" t="str">
        <f>IF(G861="","",IFERROR(IF(ISNUMBER(INDEX(cfg_fac,MATCH(G861,cfg_units,0))),IF(INDEX(cfg_fac,MATCH(G861,cfg_units,0))&gt;0,INDEX(cfg_fac,MATCH(G861,cfg_units,0)),""),""),""))</f>
        <v/>
      </c>
      <c r="V861" s="96">
        <f>IF(AND(ISNUMBER(F861),ISNUMBER(H861)),IF(H861&gt;0,1,0),0)</f>
        <v>0</v>
      </c>
      <c r="W861" s="96" t="str">
        <f>IF(T861=1,INDEX('ITENS_MTR'!$AU$6:$AU$1005,S861)&amp;"","")</f>
        <v/>
      </c>
      <c r="X861" s="96">
        <f>IF(AND(Q861=1,T861=1,I861&lt;&gt;"",W861&lt;&gt;""),IF(I861&lt;&gt;W861,1,0),0)</f>
        <v>0</v>
      </c>
      <c r="Y861" s="96">
        <f>IF(N861=0,0,IF(OR(Q861=0,T861=0,V861=0,AND(X861=1,J861&lt;&gt;"Sim")),1,0))</f>
        <v>0</v>
      </c>
      <c r="Z861" s="96">
        <f>IF(Q861=1,INDEX('CDFs'!$W$6:$W$505,P861),0)</f>
        <v>0</v>
      </c>
      <c r="AA861" s="96">
        <f>IF(AND(N861=1,Y861=0,Z861=1,J861="Sim"),1,0)</f>
        <v>0</v>
      </c>
      <c r="AB861" s="96">
        <f>IF(AND(N861=1,O861&lt;&gt;"",D861&lt;&gt;""),IF(COUNTIFS($O$6:O861,O861,$D$6:D861,D861)=1,1,0),0)</f>
        <v>0</v>
      </c>
      <c r="AC861" s="96">
        <f>IF(T861=1,INDEX('ITENS_MTR'!$AL$6:$AL$1005,S861),0)</f>
        <v>0</v>
      </c>
    </row>
    <row r="862">
      <c r="A862" s="89" t="inlineStr">
        <is>
          <t>VIN-000857</t>
        </is>
      </c>
      <c r="B862" s="91" t="n"/>
      <c r="C862" s="91" t="n"/>
      <c r="D862" s="94" t="str">
        <f>IF(T862=1,INDEX('ITENS_MTR'!$S$6:$S$1005,S862)&amp;"","")</f>
        <v/>
      </c>
      <c r="E862" s="94" t="str">
        <f>IF(T862=1,INDEX('ITENS_MTR'!$C$6:$C$1005,S862)&amp;"","")</f>
        <v/>
      </c>
      <c r="F862" s="98" t="n"/>
      <c r="G862" s="91" t="n"/>
      <c r="H862" s="93" t="str">
        <f>IF(N862=0,"",IF(NOT(ISNUMBER(F862)),"",IF(ISNUMBER(U862),F862*U862,"UNIDADE A CONFERIR")))</f>
        <v/>
      </c>
      <c r="I862" s="94" t="str">
        <f>IF(Q862=1,INDEX('CDFs'!$F$6:$F$505,P862)&amp;"","")</f>
        <v/>
      </c>
      <c r="J862" s="91" t="n"/>
      <c r="K862" s="91" t="n"/>
      <c r="L862" s="94" t="str">
        <f>IF(N862=0,"",IF(NOT(ISNUMBER(F862)),"Quantidade não informada",IF(F862&lt;=0,"Quantidade não positiva",IF(G862="","Unidade não informada",IF(NOT(ISNUMBER(H862)),"Unidade a conferir",IF(AC862=1,"REVISAR VÍNCULO: soma vinculada maior que a referência do item","OK"))))))</f>
        <v/>
      </c>
      <c r="M862" s="94" t="str">
        <f>IF(N862=0,"",IF(B862="","CDF não informado",IF(Q862=0,"REVISAR VÍNCULO: CDF inexistente",IF(C862="","Item não informado",IF(T862=0,"REVISAR VÍNCULO: item inexistente",IF(AND(X862=1,J862&lt;&gt;"Sim"),"REVISAR VÍNCULO: destinador diferente do MTR",IF(X862=1,"Destinador diferente do MTR (analisado)","OK")))))))</f>
        <v/>
      </c>
      <c r="N862" s="96">
        <f>IF(COUNTA(B862:C862,F862:G862,J862:K862)&gt;0,1,0)</f>
        <v>0</v>
      </c>
      <c r="O862" s="96" t="str">
        <f>IF(B862="","",TRIM(LEFT(B862,FIND(" |",B862&amp;" |")-1)))</f>
        <v/>
      </c>
      <c r="P862" s="96" t="str">
        <f>IF(O862="","",IFERROR(MATCH(O862,'CDFs'!$A$6:$A$505,0),""))</f>
        <v/>
      </c>
      <c r="Q862" s="96">
        <f>IF(P862="",0,IF(INDEX('CDFs'!$S$6:$S$505,P862)=1,1,0))</f>
        <v>0</v>
      </c>
      <c r="R862" s="96" t="str">
        <f>IF(C862="","",TRIM(LEFT(C862,FIND(" |",C862&amp;" |")-1)))</f>
        <v/>
      </c>
      <c r="S862" s="96" t="str">
        <f>IF(R862="","",IFERROR(MATCH(R862,'ITENS_MTR'!$A$6:$A$1005,0),""))</f>
        <v/>
      </c>
      <c r="T862" s="96">
        <f>IF(S862="",0,IF(INDEX('ITENS_MTR'!$R$6:$R$1005,S862)=1,1,0))</f>
        <v>0</v>
      </c>
      <c r="U862" s="96" t="str">
        <f>IF(G862="","",IFERROR(IF(ISNUMBER(INDEX(cfg_fac,MATCH(G862,cfg_units,0))),IF(INDEX(cfg_fac,MATCH(G862,cfg_units,0))&gt;0,INDEX(cfg_fac,MATCH(G862,cfg_units,0)),""),""),""))</f>
        <v/>
      </c>
      <c r="V862" s="96">
        <f>IF(AND(ISNUMBER(F862),ISNUMBER(H862)),IF(H862&gt;0,1,0),0)</f>
        <v>0</v>
      </c>
      <c r="W862" s="96" t="str">
        <f>IF(T862=1,INDEX('ITENS_MTR'!$AU$6:$AU$1005,S862)&amp;"","")</f>
        <v/>
      </c>
      <c r="X862" s="96">
        <f>IF(AND(Q862=1,T862=1,I862&lt;&gt;"",W862&lt;&gt;""),IF(I862&lt;&gt;W862,1,0),0)</f>
        <v>0</v>
      </c>
      <c r="Y862" s="96">
        <f>IF(N862=0,0,IF(OR(Q862=0,T862=0,V862=0,AND(X862=1,J862&lt;&gt;"Sim")),1,0))</f>
        <v>0</v>
      </c>
      <c r="Z862" s="96">
        <f>IF(Q862=1,INDEX('CDFs'!$W$6:$W$505,P862),0)</f>
        <v>0</v>
      </c>
      <c r="AA862" s="96">
        <f>IF(AND(N862=1,Y862=0,Z862=1,J862="Sim"),1,0)</f>
        <v>0</v>
      </c>
      <c r="AB862" s="96">
        <f>IF(AND(N862=1,O862&lt;&gt;"",D862&lt;&gt;""),IF(COUNTIFS($O$6:O862,O862,$D$6:D862,D862)=1,1,0),0)</f>
        <v>0</v>
      </c>
      <c r="AC862" s="96">
        <f>IF(T862=1,INDEX('ITENS_MTR'!$AL$6:$AL$1005,S862),0)</f>
        <v>0</v>
      </c>
    </row>
    <row r="863">
      <c r="A863" s="89" t="inlineStr">
        <is>
          <t>VIN-000858</t>
        </is>
      </c>
      <c r="B863" s="91" t="n"/>
      <c r="C863" s="91" t="n"/>
      <c r="D863" s="94" t="str">
        <f>IF(T863=1,INDEX('ITENS_MTR'!$S$6:$S$1005,S863)&amp;"","")</f>
        <v/>
      </c>
      <c r="E863" s="94" t="str">
        <f>IF(T863=1,INDEX('ITENS_MTR'!$C$6:$C$1005,S863)&amp;"","")</f>
        <v/>
      </c>
      <c r="F863" s="98" t="n"/>
      <c r="G863" s="91" t="n"/>
      <c r="H863" s="93" t="str">
        <f>IF(N863=0,"",IF(NOT(ISNUMBER(F863)),"",IF(ISNUMBER(U863),F863*U863,"UNIDADE A CONFERIR")))</f>
        <v/>
      </c>
      <c r="I863" s="94" t="str">
        <f>IF(Q863=1,INDEX('CDFs'!$F$6:$F$505,P863)&amp;"","")</f>
        <v/>
      </c>
      <c r="J863" s="91" t="n"/>
      <c r="K863" s="91" t="n"/>
      <c r="L863" s="94" t="str">
        <f>IF(N863=0,"",IF(NOT(ISNUMBER(F863)),"Quantidade não informada",IF(F863&lt;=0,"Quantidade não positiva",IF(G863="","Unidade não informada",IF(NOT(ISNUMBER(H863)),"Unidade a conferir",IF(AC863=1,"REVISAR VÍNCULO: soma vinculada maior que a referência do item","OK"))))))</f>
        <v/>
      </c>
      <c r="M863" s="94" t="str">
        <f>IF(N863=0,"",IF(B863="","CDF não informado",IF(Q863=0,"REVISAR VÍNCULO: CDF inexistente",IF(C863="","Item não informado",IF(T863=0,"REVISAR VÍNCULO: item inexistente",IF(AND(X863=1,J863&lt;&gt;"Sim"),"REVISAR VÍNCULO: destinador diferente do MTR",IF(X863=1,"Destinador diferente do MTR (analisado)","OK")))))))</f>
        <v/>
      </c>
      <c r="N863" s="96">
        <f>IF(COUNTA(B863:C863,F863:G863,J863:K863)&gt;0,1,0)</f>
        <v>0</v>
      </c>
      <c r="O863" s="96" t="str">
        <f>IF(B863="","",TRIM(LEFT(B863,FIND(" |",B863&amp;" |")-1)))</f>
        <v/>
      </c>
      <c r="P863" s="96" t="str">
        <f>IF(O863="","",IFERROR(MATCH(O863,'CDFs'!$A$6:$A$505,0),""))</f>
        <v/>
      </c>
      <c r="Q863" s="96">
        <f>IF(P863="",0,IF(INDEX('CDFs'!$S$6:$S$505,P863)=1,1,0))</f>
        <v>0</v>
      </c>
      <c r="R863" s="96" t="str">
        <f>IF(C863="","",TRIM(LEFT(C863,FIND(" |",C863&amp;" |")-1)))</f>
        <v/>
      </c>
      <c r="S863" s="96" t="str">
        <f>IF(R863="","",IFERROR(MATCH(R863,'ITENS_MTR'!$A$6:$A$1005,0),""))</f>
        <v/>
      </c>
      <c r="T863" s="96">
        <f>IF(S863="",0,IF(INDEX('ITENS_MTR'!$R$6:$R$1005,S863)=1,1,0))</f>
        <v>0</v>
      </c>
      <c r="U863" s="96" t="str">
        <f>IF(G863="","",IFERROR(IF(ISNUMBER(INDEX(cfg_fac,MATCH(G863,cfg_units,0))),IF(INDEX(cfg_fac,MATCH(G863,cfg_units,0))&gt;0,INDEX(cfg_fac,MATCH(G863,cfg_units,0)),""),""),""))</f>
        <v/>
      </c>
      <c r="V863" s="96">
        <f>IF(AND(ISNUMBER(F863),ISNUMBER(H863)),IF(H863&gt;0,1,0),0)</f>
        <v>0</v>
      </c>
      <c r="W863" s="96" t="str">
        <f>IF(T863=1,INDEX('ITENS_MTR'!$AU$6:$AU$1005,S863)&amp;"","")</f>
        <v/>
      </c>
      <c r="X863" s="96">
        <f>IF(AND(Q863=1,T863=1,I863&lt;&gt;"",W863&lt;&gt;""),IF(I863&lt;&gt;W863,1,0),0)</f>
        <v>0</v>
      </c>
      <c r="Y863" s="96">
        <f>IF(N863=0,0,IF(OR(Q863=0,T863=0,V863=0,AND(X863=1,J863&lt;&gt;"Sim")),1,0))</f>
        <v>0</v>
      </c>
      <c r="Z863" s="96">
        <f>IF(Q863=1,INDEX('CDFs'!$W$6:$W$505,P863),0)</f>
        <v>0</v>
      </c>
      <c r="AA863" s="96">
        <f>IF(AND(N863=1,Y863=0,Z863=1,J863="Sim"),1,0)</f>
        <v>0</v>
      </c>
      <c r="AB863" s="96">
        <f>IF(AND(N863=1,O863&lt;&gt;"",D863&lt;&gt;""),IF(COUNTIFS($O$6:O863,O863,$D$6:D863,D863)=1,1,0),0)</f>
        <v>0</v>
      </c>
      <c r="AC863" s="96">
        <f>IF(T863=1,INDEX('ITENS_MTR'!$AL$6:$AL$1005,S863),0)</f>
        <v>0</v>
      </c>
    </row>
    <row r="864">
      <c r="A864" s="89" t="inlineStr">
        <is>
          <t>VIN-000859</t>
        </is>
      </c>
      <c r="B864" s="91" t="n"/>
      <c r="C864" s="91" t="n"/>
      <c r="D864" s="94" t="str">
        <f>IF(T864=1,INDEX('ITENS_MTR'!$S$6:$S$1005,S864)&amp;"","")</f>
        <v/>
      </c>
      <c r="E864" s="94" t="str">
        <f>IF(T864=1,INDEX('ITENS_MTR'!$C$6:$C$1005,S864)&amp;"","")</f>
        <v/>
      </c>
      <c r="F864" s="98" t="n"/>
      <c r="G864" s="91" t="n"/>
      <c r="H864" s="93" t="str">
        <f>IF(N864=0,"",IF(NOT(ISNUMBER(F864)),"",IF(ISNUMBER(U864),F864*U864,"UNIDADE A CONFERIR")))</f>
        <v/>
      </c>
      <c r="I864" s="94" t="str">
        <f>IF(Q864=1,INDEX('CDFs'!$F$6:$F$505,P864)&amp;"","")</f>
        <v/>
      </c>
      <c r="J864" s="91" t="n"/>
      <c r="K864" s="91" t="n"/>
      <c r="L864" s="94" t="str">
        <f>IF(N864=0,"",IF(NOT(ISNUMBER(F864)),"Quantidade não informada",IF(F864&lt;=0,"Quantidade não positiva",IF(G864="","Unidade não informada",IF(NOT(ISNUMBER(H864)),"Unidade a conferir",IF(AC864=1,"REVISAR VÍNCULO: soma vinculada maior que a referência do item","OK"))))))</f>
        <v/>
      </c>
      <c r="M864" s="94" t="str">
        <f>IF(N864=0,"",IF(B864="","CDF não informado",IF(Q864=0,"REVISAR VÍNCULO: CDF inexistente",IF(C864="","Item não informado",IF(T864=0,"REVISAR VÍNCULO: item inexistente",IF(AND(X864=1,J864&lt;&gt;"Sim"),"REVISAR VÍNCULO: destinador diferente do MTR",IF(X864=1,"Destinador diferente do MTR (analisado)","OK")))))))</f>
        <v/>
      </c>
      <c r="N864" s="96">
        <f>IF(COUNTA(B864:C864,F864:G864,J864:K864)&gt;0,1,0)</f>
        <v>0</v>
      </c>
      <c r="O864" s="96" t="str">
        <f>IF(B864="","",TRIM(LEFT(B864,FIND(" |",B864&amp;" |")-1)))</f>
        <v/>
      </c>
      <c r="P864" s="96" t="str">
        <f>IF(O864="","",IFERROR(MATCH(O864,'CDFs'!$A$6:$A$505,0),""))</f>
        <v/>
      </c>
      <c r="Q864" s="96">
        <f>IF(P864="",0,IF(INDEX('CDFs'!$S$6:$S$505,P864)=1,1,0))</f>
        <v>0</v>
      </c>
      <c r="R864" s="96" t="str">
        <f>IF(C864="","",TRIM(LEFT(C864,FIND(" |",C864&amp;" |")-1)))</f>
        <v/>
      </c>
      <c r="S864" s="96" t="str">
        <f>IF(R864="","",IFERROR(MATCH(R864,'ITENS_MTR'!$A$6:$A$1005,0),""))</f>
        <v/>
      </c>
      <c r="T864" s="96">
        <f>IF(S864="",0,IF(INDEX('ITENS_MTR'!$R$6:$R$1005,S864)=1,1,0))</f>
        <v>0</v>
      </c>
      <c r="U864" s="96" t="str">
        <f>IF(G864="","",IFERROR(IF(ISNUMBER(INDEX(cfg_fac,MATCH(G864,cfg_units,0))),IF(INDEX(cfg_fac,MATCH(G864,cfg_units,0))&gt;0,INDEX(cfg_fac,MATCH(G864,cfg_units,0)),""),""),""))</f>
        <v/>
      </c>
      <c r="V864" s="96">
        <f>IF(AND(ISNUMBER(F864),ISNUMBER(H864)),IF(H864&gt;0,1,0),0)</f>
        <v>0</v>
      </c>
      <c r="W864" s="96" t="str">
        <f>IF(T864=1,INDEX('ITENS_MTR'!$AU$6:$AU$1005,S864)&amp;"","")</f>
        <v/>
      </c>
      <c r="X864" s="96">
        <f>IF(AND(Q864=1,T864=1,I864&lt;&gt;"",W864&lt;&gt;""),IF(I864&lt;&gt;W864,1,0),0)</f>
        <v>0</v>
      </c>
      <c r="Y864" s="96">
        <f>IF(N864=0,0,IF(OR(Q864=0,T864=0,V864=0,AND(X864=1,J864&lt;&gt;"Sim")),1,0))</f>
        <v>0</v>
      </c>
      <c r="Z864" s="96">
        <f>IF(Q864=1,INDEX('CDFs'!$W$6:$W$505,P864),0)</f>
        <v>0</v>
      </c>
      <c r="AA864" s="96">
        <f>IF(AND(N864=1,Y864=0,Z864=1,J864="Sim"),1,0)</f>
        <v>0</v>
      </c>
      <c r="AB864" s="96">
        <f>IF(AND(N864=1,O864&lt;&gt;"",D864&lt;&gt;""),IF(COUNTIFS($O$6:O864,O864,$D$6:D864,D864)=1,1,0),0)</f>
        <v>0</v>
      </c>
      <c r="AC864" s="96">
        <f>IF(T864=1,INDEX('ITENS_MTR'!$AL$6:$AL$1005,S864),0)</f>
        <v>0</v>
      </c>
    </row>
    <row r="865">
      <c r="A865" s="89" t="inlineStr">
        <is>
          <t>VIN-000860</t>
        </is>
      </c>
      <c r="B865" s="91" t="n"/>
      <c r="C865" s="91" t="n"/>
      <c r="D865" s="94" t="str">
        <f>IF(T865=1,INDEX('ITENS_MTR'!$S$6:$S$1005,S865)&amp;"","")</f>
        <v/>
      </c>
      <c r="E865" s="94" t="str">
        <f>IF(T865=1,INDEX('ITENS_MTR'!$C$6:$C$1005,S865)&amp;"","")</f>
        <v/>
      </c>
      <c r="F865" s="98" t="n"/>
      <c r="G865" s="91" t="n"/>
      <c r="H865" s="93" t="str">
        <f>IF(N865=0,"",IF(NOT(ISNUMBER(F865)),"",IF(ISNUMBER(U865),F865*U865,"UNIDADE A CONFERIR")))</f>
        <v/>
      </c>
      <c r="I865" s="94" t="str">
        <f>IF(Q865=1,INDEX('CDFs'!$F$6:$F$505,P865)&amp;"","")</f>
        <v/>
      </c>
      <c r="J865" s="91" t="n"/>
      <c r="K865" s="91" t="n"/>
      <c r="L865" s="94" t="str">
        <f>IF(N865=0,"",IF(NOT(ISNUMBER(F865)),"Quantidade não informada",IF(F865&lt;=0,"Quantidade não positiva",IF(G865="","Unidade não informada",IF(NOT(ISNUMBER(H865)),"Unidade a conferir",IF(AC865=1,"REVISAR VÍNCULO: soma vinculada maior que a referência do item","OK"))))))</f>
        <v/>
      </c>
      <c r="M865" s="94" t="str">
        <f>IF(N865=0,"",IF(B865="","CDF não informado",IF(Q865=0,"REVISAR VÍNCULO: CDF inexistente",IF(C865="","Item não informado",IF(T865=0,"REVISAR VÍNCULO: item inexistente",IF(AND(X865=1,J865&lt;&gt;"Sim"),"REVISAR VÍNCULO: destinador diferente do MTR",IF(X865=1,"Destinador diferente do MTR (analisado)","OK")))))))</f>
        <v/>
      </c>
      <c r="N865" s="96">
        <f>IF(COUNTA(B865:C865,F865:G865,J865:K865)&gt;0,1,0)</f>
        <v>0</v>
      </c>
      <c r="O865" s="96" t="str">
        <f>IF(B865="","",TRIM(LEFT(B865,FIND(" |",B865&amp;" |")-1)))</f>
        <v/>
      </c>
      <c r="P865" s="96" t="str">
        <f>IF(O865="","",IFERROR(MATCH(O865,'CDFs'!$A$6:$A$505,0),""))</f>
        <v/>
      </c>
      <c r="Q865" s="96">
        <f>IF(P865="",0,IF(INDEX('CDFs'!$S$6:$S$505,P865)=1,1,0))</f>
        <v>0</v>
      </c>
      <c r="R865" s="96" t="str">
        <f>IF(C865="","",TRIM(LEFT(C865,FIND(" |",C865&amp;" |")-1)))</f>
        <v/>
      </c>
      <c r="S865" s="96" t="str">
        <f>IF(R865="","",IFERROR(MATCH(R865,'ITENS_MTR'!$A$6:$A$1005,0),""))</f>
        <v/>
      </c>
      <c r="T865" s="96">
        <f>IF(S865="",0,IF(INDEX('ITENS_MTR'!$R$6:$R$1005,S865)=1,1,0))</f>
        <v>0</v>
      </c>
      <c r="U865" s="96" t="str">
        <f>IF(G865="","",IFERROR(IF(ISNUMBER(INDEX(cfg_fac,MATCH(G865,cfg_units,0))),IF(INDEX(cfg_fac,MATCH(G865,cfg_units,0))&gt;0,INDEX(cfg_fac,MATCH(G865,cfg_units,0)),""),""),""))</f>
        <v/>
      </c>
      <c r="V865" s="96">
        <f>IF(AND(ISNUMBER(F865),ISNUMBER(H865)),IF(H865&gt;0,1,0),0)</f>
        <v>0</v>
      </c>
      <c r="W865" s="96" t="str">
        <f>IF(T865=1,INDEX('ITENS_MTR'!$AU$6:$AU$1005,S865)&amp;"","")</f>
        <v/>
      </c>
      <c r="X865" s="96">
        <f>IF(AND(Q865=1,T865=1,I865&lt;&gt;"",W865&lt;&gt;""),IF(I865&lt;&gt;W865,1,0),0)</f>
        <v>0</v>
      </c>
      <c r="Y865" s="96">
        <f>IF(N865=0,0,IF(OR(Q865=0,T865=0,V865=0,AND(X865=1,J865&lt;&gt;"Sim")),1,0))</f>
        <v>0</v>
      </c>
      <c r="Z865" s="96">
        <f>IF(Q865=1,INDEX('CDFs'!$W$6:$W$505,P865),0)</f>
        <v>0</v>
      </c>
      <c r="AA865" s="96">
        <f>IF(AND(N865=1,Y865=0,Z865=1,J865="Sim"),1,0)</f>
        <v>0</v>
      </c>
      <c r="AB865" s="96">
        <f>IF(AND(N865=1,O865&lt;&gt;"",D865&lt;&gt;""),IF(COUNTIFS($O$6:O865,O865,$D$6:D865,D865)=1,1,0),0)</f>
        <v>0</v>
      </c>
      <c r="AC865" s="96">
        <f>IF(T865=1,INDEX('ITENS_MTR'!$AL$6:$AL$1005,S865),0)</f>
        <v>0</v>
      </c>
    </row>
    <row r="866">
      <c r="A866" s="89" t="inlineStr">
        <is>
          <t>VIN-000861</t>
        </is>
      </c>
      <c r="B866" s="91" t="n"/>
      <c r="C866" s="91" t="n"/>
      <c r="D866" s="94" t="str">
        <f>IF(T866=1,INDEX('ITENS_MTR'!$S$6:$S$1005,S866)&amp;"","")</f>
        <v/>
      </c>
      <c r="E866" s="94" t="str">
        <f>IF(T866=1,INDEX('ITENS_MTR'!$C$6:$C$1005,S866)&amp;"","")</f>
        <v/>
      </c>
      <c r="F866" s="98" t="n"/>
      <c r="G866" s="91" t="n"/>
      <c r="H866" s="93" t="str">
        <f>IF(N866=0,"",IF(NOT(ISNUMBER(F866)),"",IF(ISNUMBER(U866),F866*U866,"UNIDADE A CONFERIR")))</f>
        <v/>
      </c>
      <c r="I866" s="94" t="str">
        <f>IF(Q866=1,INDEX('CDFs'!$F$6:$F$505,P866)&amp;"","")</f>
        <v/>
      </c>
      <c r="J866" s="91" t="n"/>
      <c r="K866" s="91" t="n"/>
      <c r="L866" s="94" t="str">
        <f>IF(N866=0,"",IF(NOT(ISNUMBER(F866)),"Quantidade não informada",IF(F866&lt;=0,"Quantidade não positiva",IF(G866="","Unidade não informada",IF(NOT(ISNUMBER(H866)),"Unidade a conferir",IF(AC866=1,"REVISAR VÍNCULO: soma vinculada maior que a referência do item","OK"))))))</f>
        <v/>
      </c>
      <c r="M866" s="94" t="str">
        <f>IF(N866=0,"",IF(B866="","CDF não informado",IF(Q866=0,"REVISAR VÍNCULO: CDF inexistente",IF(C866="","Item não informado",IF(T866=0,"REVISAR VÍNCULO: item inexistente",IF(AND(X866=1,J866&lt;&gt;"Sim"),"REVISAR VÍNCULO: destinador diferente do MTR",IF(X866=1,"Destinador diferente do MTR (analisado)","OK")))))))</f>
        <v/>
      </c>
      <c r="N866" s="96">
        <f>IF(COUNTA(B866:C866,F866:G866,J866:K866)&gt;0,1,0)</f>
        <v>0</v>
      </c>
      <c r="O866" s="96" t="str">
        <f>IF(B866="","",TRIM(LEFT(B866,FIND(" |",B866&amp;" |")-1)))</f>
        <v/>
      </c>
      <c r="P866" s="96" t="str">
        <f>IF(O866="","",IFERROR(MATCH(O866,'CDFs'!$A$6:$A$505,0),""))</f>
        <v/>
      </c>
      <c r="Q866" s="96">
        <f>IF(P866="",0,IF(INDEX('CDFs'!$S$6:$S$505,P866)=1,1,0))</f>
        <v>0</v>
      </c>
      <c r="R866" s="96" t="str">
        <f>IF(C866="","",TRIM(LEFT(C866,FIND(" |",C866&amp;" |")-1)))</f>
        <v/>
      </c>
      <c r="S866" s="96" t="str">
        <f>IF(R866="","",IFERROR(MATCH(R866,'ITENS_MTR'!$A$6:$A$1005,0),""))</f>
        <v/>
      </c>
      <c r="T866" s="96">
        <f>IF(S866="",0,IF(INDEX('ITENS_MTR'!$R$6:$R$1005,S866)=1,1,0))</f>
        <v>0</v>
      </c>
      <c r="U866" s="96" t="str">
        <f>IF(G866="","",IFERROR(IF(ISNUMBER(INDEX(cfg_fac,MATCH(G866,cfg_units,0))),IF(INDEX(cfg_fac,MATCH(G866,cfg_units,0))&gt;0,INDEX(cfg_fac,MATCH(G866,cfg_units,0)),""),""),""))</f>
        <v/>
      </c>
      <c r="V866" s="96">
        <f>IF(AND(ISNUMBER(F866),ISNUMBER(H866)),IF(H866&gt;0,1,0),0)</f>
        <v>0</v>
      </c>
      <c r="W866" s="96" t="str">
        <f>IF(T866=1,INDEX('ITENS_MTR'!$AU$6:$AU$1005,S866)&amp;"","")</f>
        <v/>
      </c>
      <c r="X866" s="96">
        <f>IF(AND(Q866=1,T866=1,I866&lt;&gt;"",W866&lt;&gt;""),IF(I866&lt;&gt;W866,1,0),0)</f>
        <v>0</v>
      </c>
      <c r="Y866" s="96">
        <f>IF(N866=0,0,IF(OR(Q866=0,T866=0,V866=0,AND(X866=1,J866&lt;&gt;"Sim")),1,0))</f>
        <v>0</v>
      </c>
      <c r="Z866" s="96">
        <f>IF(Q866=1,INDEX('CDFs'!$W$6:$W$505,P866),0)</f>
        <v>0</v>
      </c>
      <c r="AA866" s="96">
        <f>IF(AND(N866=1,Y866=0,Z866=1,J866="Sim"),1,0)</f>
        <v>0</v>
      </c>
      <c r="AB866" s="96">
        <f>IF(AND(N866=1,O866&lt;&gt;"",D866&lt;&gt;""),IF(COUNTIFS($O$6:O866,O866,$D$6:D866,D866)=1,1,0),0)</f>
        <v>0</v>
      </c>
      <c r="AC866" s="96">
        <f>IF(T866=1,INDEX('ITENS_MTR'!$AL$6:$AL$1005,S866),0)</f>
        <v>0</v>
      </c>
    </row>
    <row r="867">
      <c r="A867" s="89" t="inlineStr">
        <is>
          <t>VIN-000862</t>
        </is>
      </c>
      <c r="B867" s="91" t="n"/>
      <c r="C867" s="91" t="n"/>
      <c r="D867" s="94" t="str">
        <f>IF(T867=1,INDEX('ITENS_MTR'!$S$6:$S$1005,S867)&amp;"","")</f>
        <v/>
      </c>
      <c r="E867" s="94" t="str">
        <f>IF(T867=1,INDEX('ITENS_MTR'!$C$6:$C$1005,S867)&amp;"","")</f>
        <v/>
      </c>
      <c r="F867" s="98" t="n"/>
      <c r="G867" s="91" t="n"/>
      <c r="H867" s="93" t="str">
        <f>IF(N867=0,"",IF(NOT(ISNUMBER(F867)),"",IF(ISNUMBER(U867),F867*U867,"UNIDADE A CONFERIR")))</f>
        <v/>
      </c>
      <c r="I867" s="94" t="str">
        <f>IF(Q867=1,INDEX('CDFs'!$F$6:$F$505,P867)&amp;"","")</f>
        <v/>
      </c>
      <c r="J867" s="91" t="n"/>
      <c r="K867" s="91" t="n"/>
      <c r="L867" s="94" t="str">
        <f>IF(N867=0,"",IF(NOT(ISNUMBER(F867)),"Quantidade não informada",IF(F867&lt;=0,"Quantidade não positiva",IF(G867="","Unidade não informada",IF(NOT(ISNUMBER(H867)),"Unidade a conferir",IF(AC867=1,"REVISAR VÍNCULO: soma vinculada maior que a referência do item","OK"))))))</f>
        <v/>
      </c>
      <c r="M867" s="94" t="str">
        <f>IF(N867=0,"",IF(B867="","CDF não informado",IF(Q867=0,"REVISAR VÍNCULO: CDF inexistente",IF(C867="","Item não informado",IF(T867=0,"REVISAR VÍNCULO: item inexistente",IF(AND(X867=1,J867&lt;&gt;"Sim"),"REVISAR VÍNCULO: destinador diferente do MTR",IF(X867=1,"Destinador diferente do MTR (analisado)","OK")))))))</f>
        <v/>
      </c>
      <c r="N867" s="96">
        <f>IF(COUNTA(B867:C867,F867:G867,J867:K867)&gt;0,1,0)</f>
        <v>0</v>
      </c>
      <c r="O867" s="96" t="str">
        <f>IF(B867="","",TRIM(LEFT(B867,FIND(" |",B867&amp;" |")-1)))</f>
        <v/>
      </c>
      <c r="P867" s="96" t="str">
        <f>IF(O867="","",IFERROR(MATCH(O867,'CDFs'!$A$6:$A$505,0),""))</f>
        <v/>
      </c>
      <c r="Q867" s="96">
        <f>IF(P867="",0,IF(INDEX('CDFs'!$S$6:$S$505,P867)=1,1,0))</f>
        <v>0</v>
      </c>
      <c r="R867" s="96" t="str">
        <f>IF(C867="","",TRIM(LEFT(C867,FIND(" |",C867&amp;" |")-1)))</f>
        <v/>
      </c>
      <c r="S867" s="96" t="str">
        <f>IF(R867="","",IFERROR(MATCH(R867,'ITENS_MTR'!$A$6:$A$1005,0),""))</f>
        <v/>
      </c>
      <c r="T867" s="96">
        <f>IF(S867="",0,IF(INDEX('ITENS_MTR'!$R$6:$R$1005,S867)=1,1,0))</f>
        <v>0</v>
      </c>
      <c r="U867" s="96" t="str">
        <f>IF(G867="","",IFERROR(IF(ISNUMBER(INDEX(cfg_fac,MATCH(G867,cfg_units,0))),IF(INDEX(cfg_fac,MATCH(G867,cfg_units,0))&gt;0,INDEX(cfg_fac,MATCH(G867,cfg_units,0)),""),""),""))</f>
        <v/>
      </c>
      <c r="V867" s="96">
        <f>IF(AND(ISNUMBER(F867),ISNUMBER(H867)),IF(H867&gt;0,1,0),0)</f>
        <v>0</v>
      </c>
      <c r="W867" s="96" t="str">
        <f>IF(T867=1,INDEX('ITENS_MTR'!$AU$6:$AU$1005,S867)&amp;"","")</f>
        <v/>
      </c>
      <c r="X867" s="96">
        <f>IF(AND(Q867=1,T867=1,I867&lt;&gt;"",W867&lt;&gt;""),IF(I867&lt;&gt;W867,1,0),0)</f>
        <v>0</v>
      </c>
      <c r="Y867" s="96">
        <f>IF(N867=0,0,IF(OR(Q867=0,T867=0,V867=0,AND(X867=1,J867&lt;&gt;"Sim")),1,0))</f>
        <v>0</v>
      </c>
      <c r="Z867" s="96">
        <f>IF(Q867=1,INDEX('CDFs'!$W$6:$W$505,P867),0)</f>
        <v>0</v>
      </c>
      <c r="AA867" s="96">
        <f>IF(AND(N867=1,Y867=0,Z867=1,J867="Sim"),1,0)</f>
        <v>0</v>
      </c>
      <c r="AB867" s="96">
        <f>IF(AND(N867=1,O867&lt;&gt;"",D867&lt;&gt;""),IF(COUNTIFS($O$6:O867,O867,$D$6:D867,D867)=1,1,0),0)</f>
        <v>0</v>
      </c>
      <c r="AC867" s="96">
        <f>IF(T867=1,INDEX('ITENS_MTR'!$AL$6:$AL$1005,S867),0)</f>
        <v>0</v>
      </c>
    </row>
    <row r="868">
      <c r="A868" s="89" t="inlineStr">
        <is>
          <t>VIN-000863</t>
        </is>
      </c>
      <c r="B868" s="91" t="n"/>
      <c r="C868" s="91" t="n"/>
      <c r="D868" s="94" t="str">
        <f>IF(T868=1,INDEX('ITENS_MTR'!$S$6:$S$1005,S868)&amp;"","")</f>
        <v/>
      </c>
      <c r="E868" s="94" t="str">
        <f>IF(T868=1,INDEX('ITENS_MTR'!$C$6:$C$1005,S868)&amp;"","")</f>
        <v/>
      </c>
      <c r="F868" s="98" t="n"/>
      <c r="G868" s="91" t="n"/>
      <c r="H868" s="93" t="str">
        <f>IF(N868=0,"",IF(NOT(ISNUMBER(F868)),"",IF(ISNUMBER(U868),F868*U868,"UNIDADE A CONFERIR")))</f>
        <v/>
      </c>
      <c r="I868" s="94" t="str">
        <f>IF(Q868=1,INDEX('CDFs'!$F$6:$F$505,P868)&amp;"","")</f>
        <v/>
      </c>
      <c r="J868" s="91" t="n"/>
      <c r="K868" s="91" t="n"/>
      <c r="L868" s="94" t="str">
        <f>IF(N868=0,"",IF(NOT(ISNUMBER(F868)),"Quantidade não informada",IF(F868&lt;=0,"Quantidade não positiva",IF(G868="","Unidade não informada",IF(NOT(ISNUMBER(H868)),"Unidade a conferir",IF(AC868=1,"REVISAR VÍNCULO: soma vinculada maior que a referência do item","OK"))))))</f>
        <v/>
      </c>
      <c r="M868" s="94" t="str">
        <f>IF(N868=0,"",IF(B868="","CDF não informado",IF(Q868=0,"REVISAR VÍNCULO: CDF inexistente",IF(C868="","Item não informado",IF(T868=0,"REVISAR VÍNCULO: item inexistente",IF(AND(X868=1,J868&lt;&gt;"Sim"),"REVISAR VÍNCULO: destinador diferente do MTR",IF(X868=1,"Destinador diferente do MTR (analisado)","OK")))))))</f>
        <v/>
      </c>
      <c r="N868" s="96">
        <f>IF(COUNTA(B868:C868,F868:G868,J868:K868)&gt;0,1,0)</f>
        <v>0</v>
      </c>
      <c r="O868" s="96" t="str">
        <f>IF(B868="","",TRIM(LEFT(B868,FIND(" |",B868&amp;" |")-1)))</f>
        <v/>
      </c>
      <c r="P868" s="96" t="str">
        <f>IF(O868="","",IFERROR(MATCH(O868,'CDFs'!$A$6:$A$505,0),""))</f>
        <v/>
      </c>
      <c r="Q868" s="96">
        <f>IF(P868="",0,IF(INDEX('CDFs'!$S$6:$S$505,P868)=1,1,0))</f>
        <v>0</v>
      </c>
      <c r="R868" s="96" t="str">
        <f>IF(C868="","",TRIM(LEFT(C868,FIND(" |",C868&amp;" |")-1)))</f>
        <v/>
      </c>
      <c r="S868" s="96" t="str">
        <f>IF(R868="","",IFERROR(MATCH(R868,'ITENS_MTR'!$A$6:$A$1005,0),""))</f>
        <v/>
      </c>
      <c r="T868" s="96">
        <f>IF(S868="",0,IF(INDEX('ITENS_MTR'!$R$6:$R$1005,S868)=1,1,0))</f>
        <v>0</v>
      </c>
      <c r="U868" s="96" t="str">
        <f>IF(G868="","",IFERROR(IF(ISNUMBER(INDEX(cfg_fac,MATCH(G868,cfg_units,0))),IF(INDEX(cfg_fac,MATCH(G868,cfg_units,0))&gt;0,INDEX(cfg_fac,MATCH(G868,cfg_units,0)),""),""),""))</f>
        <v/>
      </c>
      <c r="V868" s="96">
        <f>IF(AND(ISNUMBER(F868),ISNUMBER(H868)),IF(H868&gt;0,1,0),0)</f>
        <v>0</v>
      </c>
      <c r="W868" s="96" t="str">
        <f>IF(T868=1,INDEX('ITENS_MTR'!$AU$6:$AU$1005,S868)&amp;"","")</f>
        <v/>
      </c>
      <c r="X868" s="96">
        <f>IF(AND(Q868=1,T868=1,I868&lt;&gt;"",W868&lt;&gt;""),IF(I868&lt;&gt;W868,1,0),0)</f>
        <v>0</v>
      </c>
      <c r="Y868" s="96">
        <f>IF(N868=0,0,IF(OR(Q868=0,T868=0,V868=0,AND(X868=1,J868&lt;&gt;"Sim")),1,0))</f>
        <v>0</v>
      </c>
      <c r="Z868" s="96">
        <f>IF(Q868=1,INDEX('CDFs'!$W$6:$W$505,P868),0)</f>
        <v>0</v>
      </c>
      <c r="AA868" s="96">
        <f>IF(AND(N868=1,Y868=0,Z868=1,J868="Sim"),1,0)</f>
        <v>0</v>
      </c>
      <c r="AB868" s="96">
        <f>IF(AND(N868=1,O868&lt;&gt;"",D868&lt;&gt;""),IF(COUNTIFS($O$6:O868,O868,$D$6:D868,D868)=1,1,0),0)</f>
        <v>0</v>
      </c>
      <c r="AC868" s="96">
        <f>IF(T868=1,INDEX('ITENS_MTR'!$AL$6:$AL$1005,S868),0)</f>
        <v>0</v>
      </c>
    </row>
    <row r="869">
      <c r="A869" s="89" t="inlineStr">
        <is>
          <t>VIN-000864</t>
        </is>
      </c>
      <c r="B869" s="91" t="n"/>
      <c r="C869" s="91" t="n"/>
      <c r="D869" s="94" t="str">
        <f>IF(T869=1,INDEX('ITENS_MTR'!$S$6:$S$1005,S869)&amp;"","")</f>
        <v/>
      </c>
      <c r="E869" s="94" t="str">
        <f>IF(T869=1,INDEX('ITENS_MTR'!$C$6:$C$1005,S869)&amp;"","")</f>
        <v/>
      </c>
      <c r="F869" s="98" t="n"/>
      <c r="G869" s="91" t="n"/>
      <c r="H869" s="93" t="str">
        <f>IF(N869=0,"",IF(NOT(ISNUMBER(F869)),"",IF(ISNUMBER(U869),F869*U869,"UNIDADE A CONFERIR")))</f>
        <v/>
      </c>
      <c r="I869" s="94" t="str">
        <f>IF(Q869=1,INDEX('CDFs'!$F$6:$F$505,P869)&amp;"","")</f>
        <v/>
      </c>
      <c r="J869" s="91" t="n"/>
      <c r="K869" s="91" t="n"/>
      <c r="L869" s="94" t="str">
        <f>IF(N869=0,"",IF(NOT(ISNUMBER(F869)),"Quantidade não informada",IF(F869&lt;=0,"Quantidade não positiva",IF(G869="","Unidade não informada",IF(NOT(ISNUMBER(H869)),"Unidade a conferir",IF(AC869=1,"REVISAR VÍNCULO: soma vinculada maior que a referência do item","OK"))))))</f>
        <v/>
      </c>
      <c r="M869" s="94" t="str">
        <f>IF(N869=0,"",IF(B869="","CDF não informado",IF(Q869=0,"REVISAR VÍNCULO: CDF inexistente",IF(C869="","Item não informado",IF(T869=0,"REVISAR VÍNCULO: item inexistente",IF(AND(X869=1,J869&lt;&gt;"Sim"),"REVISAR VÍNCULO: destinador diferente do MTR",IF(X869=1,"Destinador diferente do MTR (analisado)","OK")))))))</f>
        <v/>
      </c>
      <c r="N869" s="96">
        <f>IF(COUNTA(B869:C869,F869:G869,J869:K869)&gt;0,1,0)</f>
        <v>0</v>
      </c>
      <c r="O869" s="96" t="str">
        <f>IF(B869="","",TRIM(LEFT(B869,FIND(" |",B869&amp;" |")-1)))</f>
        <v/>
      </c>
      <c r="P869" s="96" t="str">
        <f>IF(O869="","",IFERROR(MATCH(O869,'CDFs'!$A$6:$A$505,0),""))</f>
        <v/>
      </c>
      <c r="Q869" s="96">
        <f>IF(P869="",0,IF(INDEX('CDFs'!$S$6:$S$505,P869)=1,1,0))</f>
        <v>0</v>
      </c>
      <c r="R869" s="96" t="str">
        <f>IF(C869="","",TRIM(LEFT(C869,FIND(" |",C869&amp;" |")-1)))</f>
        <v/>
      </c>
      <c r="S869" s="96" t="str">
        <f>IF(R869="","",IFERROR(MATCH(R869,'ITENS_MTR'!$A$6:$A$1005,0),""))</f>
        <v/>
      </c>
      <c r="T869" s="96">
        <f>IF(S869="",0,IF(INDEX('ITENS_MTR'!$R$6:$R$1005,S869)=1,1,0))</f>
        <v>0</v>
      </c>
      <c r="U869" s="96" t="str">
        <f>IF(G869="","",IFERROR(IF(ISNUMBER(INDEX(cfg_fac,MATCH(G869,cfg_units,0))),IF(INDEX(cfg_fac,MATCH(G869,cfg_units,0))&gt;0,INDEX(cfg_fac,MATCH(G869,cfg_units,0)),""),""),""))</f>
        <v/>
      </c>
      <c r="V869" s="96">
        <f>IF(AND(ISNUMBER(F869),ISNUMBER(H869)),IF(H869&gt;0,1,0),0)</f>
        <v>0</v>
      </c>
      <c r="W869" s="96" t="str">
        <f>IF(T869=1,INDEX('ITENS_MTR'!$AU$6:$AU$1005,S869)&amp;"","")</f>
        <v/>
      </c>
      <c r="X869" s="96">
        <f>IF(AND(Q869=1,T869=1,I869&lt;&gt;"",W869&lt;&gt;""),IF(I869&lt;&gt;W869,1,0),0)</f>
        <v>0</v>
      </c>
      <c r="Y869" s="96">
        <f>IF(N869=0,0,IF(OR(Q869=0,T869=0,V869=0,AND(X869=1,J869&lt;&gt;"Sim")),1,0))</f>
        <v>0</v>
      </c>
      <c r="Z869" s="96">
        <f>IF(Q869=1,INDEX('CDFs'!$W$6:$W$505,P869),0)</f>
        <v>0</v>
      </c>
      <c r="AA869" s="96">
        <f>IF(AND(N869=1,Y869=0,Z869=1,J869="Sim"),1,0)</f>
        <v>0</v>
      </c>
      <c r="AB869" s="96">
        <f>IF(AND(N869=1,O869&lt;&gt;"",D869&lt;&gt;""),IF(COUNTIFS($O$6:O869,O869,$D$6:D869,D869)=1,1,0),0)</f>
        <v>0</v>
      </c>
      <c r="AC869" s="96">
        <f>IF(T869=1,INDEX('ITENS_MTR'!$AL$6:$AL$1005,S869),0)</f>
        <v>0</v>
      </c>
    </row>
    <row r="870">
      <c r="A870" s="89" t="inlineStr">
        <is>
          <t>VIN-000865</t>
        </is>
      </c>
      <c r="B870" s="91" t="n"/>
      <c r="C870" s="91" t="n"/>
      <c r="D870" s="94" t="str">
        <f>IF(T870=1,INDEX('ITENS_MTR'!$S$6:$S$1005,S870)&amp;"","")</f>
        <v/>
      </c>
      <c r="E870" s="94" t="str">
        <f>IF(T870=1,INDEX('ITENS_MTR'!$C$6:$C$1005,S870)&amp;"","")</f>
        <v/>
      </c>
      <c r="F870" s="98" t="n"/>
      <c r="G870" s="91" t="n"/>
      <c r="H870" s="93" t="str">
        <f>IF(N870=0,"",IF(NOT(ISNUMBER(F870)),"",IF(ISNUMBER(U870),F870*U870,"UNIDADE A CONFERIR")))</f>
        <v/>
      </c>
      <c r="I870" s="94" t="str">
        <f>IF(Q870=1,INDEX('CDFs'!$F$6:$F$505,P870)&amp;"","")</f>
        <v/>
      </c>
      <c r="J870" s="91" t="n"/>
      <c r="K870" s="91" t="n"/>
      <c r="L870" s="94" t="str">
        <f>IF(N870=0,"",IF(NOT(ISNUMBER(F870)),"Quantidade não informada",IF(F870&lt;=0,"Quantidade não positiva",IF(G870="","Unidade não informada",IF(NOT(ISNUMBER(H870)),"Unidade a conferir",IF(AC870=1,"REVISAR VÍNCULO: soma vinculada maior que a referência do item","OK"))))))</f>
        <v/>
      </c>
      <c r="M870" s="94" t="str">
        <f>IF(N870=0,"",IF(B870="","CDF não informado",IF(Q870=0,"REVISAR VÍNCULO: CDF inexistente",IF(C870="","Item não informado",IF(T870=0,"REVISAR VÍNCULO: item inexistente",IF(AND(X870=1,J870&lt;&gt;"Sim"),"REVISAR VÍNCULO: destinador diferente do MTR",IF(X870=1,"Destinador diferente do MTR (analisado)","OK")))))))</f>
        <v/>
      </c>
      <c r="N870" s="96">
        <f>IF(COUNTA(B870:C870,F870:G870,J870:K870)&gt;0,1,0)</f>
        <v>0</v>
      </c>
      <c r="O870" s="96" t="str">
        <f>IF(B870="","",TRIM(LEFT(B870,FIND(" |",B870&amp;" |")-1)))</f>
        <v/>
      </c>
      <c r="P870" s="96" t="str">
        <f>IF(O870="","",IFERROR(MATCH(O870,'CDFs'!$A$6:$A$505,0),""))</f>
        <v/>
      </c>
      <c r="Q870" s="96">
        <f>IF(P870="",0,IF(INDEX('CDFs'!$S$6:$S$505,P870)=1,1,0))</f>
        <v>0</v>
      </c>
      <c r="R870" s="96" t="str">
        <f>IF(C870="","",TRIM(LEFT(C870,FIND(" |",C870&amp;" |")-1)))</f>
        <v/>
      </c>
      <c r="S870" s="96" t="str">
        <f>IF(R870="","",IFERROR(MATCH(R870,'ITENS_MTR'!$A$6:$A$1005,0),""))</f>
        <v/>
      </c>
      <c r="T870" s="96">
        <f>IF(S870="",0,IF(INDEX('ITENS_MTR'!$R$6:$R$1005,S870)=1,1,0))</f>
        <v>0</v>
      </c>
      <c r="U870" s="96" t="str">
        <f>IF(G870="","",IFERROR(IF(ISNUMBER(INDEX(cfg_fac,MATCH(G870,cfg_units,0))),IF(INDEX(cfg_fac,MATCH(G870,cfg_units,0))&gt;0,INDEX(cfg_fac,MATCH(G870,cfg_units,0)),""),""),""))</f>
        <v/>
      </c>
      <c r="V870" s="96">
        <f>IF(AND(ISNUMBER(F870),ISNUMBER(H870)),IF(H870&gt;0,1,0),0)</f>
        <v>0</v>
      </c>
      <c r="W870" s="96" t="str">
        <f>IF(T870=1,INDEX('ITENS_MTR'!$AU$6:$AU$1005,S870)&amp;"","")</f>
        <v/>
      </c>
      <c r="X870" s="96">
        <f>IF(AND(Q870=1,T870=1,I870&lt;&gt;"",W870&lt;&gt;""),IF(I870&lt;&gt;W870,1,0),0)</f>
        <v>0</v>
      </c>
      <c r="Y870" s="96">
        <f>IF(N870=0,0,IF(OR(Q870=0,T870=0,V870=0,AND(X870=1,J870&lt;&gt;"Sim")),1,0))</f>
        <v>0</v>
      </c>
      <c r="Z870" s="96">
        <f>IF(Q870=1,INDEX('CDFs'!$W$6:$W$505,P870),0)</f>
        <v>0</v>
      </c>
      <c r="AA870" s="96">
        <f>IF(AND(N870=1,Y870=0,Z870=1,J870="Sim"),1,0)</f>
        <v>0</v>
      </c>
      <c r="AB870" s="96">
        <f>IF(AND(N870=1,O870&lt;&gt;"",D870&lt;&gt;""),IF(COUNTIFS($O$6:O870,O870,$D$6:D870,D870)=1,1,0),0)</f>
        <v>0</v>
      </c>
      <c r="AC870" s="96">
        <f>IF(T870=1,INDEX('ITENS_MTR'!$AL$6:$AL$1005,S870),0)</f>
        <v>0</v>
      </c>
    </row>
    <row r="871">
      <c r="A871" s="89" t="inlineStr">
        <is>
          <t>VIN-000866</t>
        </is>
      </c>
      <c r="B871" s="91" t="n"/>
      <c r="C871" s="91" t="n"/>
      <c r="D871" s="94" t="str">
        <f>IF(T871=1,INDEX('ITENS_MTR'!$S$6:$S$1005,S871)&amp;"","")</f>
        <v/>
      </c>
      <c r="E871" s="94" t="str">
        <f>IF(T871=1,INDEX('ITENS_MTR'!$C$6:$C$1005,S871)&amp;"","")</f>
        <v/>
      </c>
      <c r="F871" s="98" t="n"/>
      <c r="G871" s="91" t="n"/>
      <c r="H871" s="93" t="str">
        <f>IF(N871=0,"",IF(NOT(ISNUMBER(F871)),"",IF(ISNUMBER(U871),F871*U871,"UNIDADE A CONFERIR")))</f>
        <v/>
      </c>
      <c r="I871" s="94" t="str">
        <f>IF(Q871=1,INDEX('CDFs'!$F$6:$F$505,P871)&amp;"","")</f>
        <v/>
      </c>
      <c r="J871" s="91" t="n"/>
      <c r="K871" s="91" t="n"/>
      <c r="L871" s="94" t="str">
        <f>IF(N871=0,"",IF(NOT(ISNUMBER(F871)),"Quantidade não informada",IF(F871&lt;=0,"Quantidade não positiva",IF(G871="","Unidade não informada",IF(NOT(ISNUMBER(H871)),"Unidade a conferir",IF(AC871=1,"REVISAR VÍNCULO: soma vinculada maior que a referência do item","OK"))))))</f>
        <v/>
      </c>
      <c r="M871" s="94" t="str">
        <f>IF(N871=0,"",IF(B871="","CDF não informado",IF(Q871=0,"REVISAR VÍNCULO: CDF inexistente",IF(C871="","Item não informado",IF(T871=0,"REVISAR VÍNCULO: item inexistente",IF(AND(X871=1,J871&lt;&gt;"Sim"),"REVISAR VÍNCULO: destinador diferente do MTR",IF(X871=1,"Destinador diferente do MTR (analisado)","OK")))))))</f>
        <v/>
      </c>
      <c r="N871" s="96">
        <f>IF(COUNTA(B871:C871,F871:G871,J871:K871)&gt;0,1,0)</f>
        <v>0</v>
      </c>
      <c r="O871" s="96" t="str">
        <f>IF(B871="","",TRIM(LEFT(B871,FIND(" |",B871&amp;" |")-1)))</f>
        <v/>
      </c>
      <c r="P871" s="96" t="str">
        <f>IF(O871="","",IFERROR(MATCH(O871,'CDFs'!$A$6:$A$505,0),""))</f>
        <v/>
      </c>
      <c r="Q871" s="96">
        <f>IF(P871="",0,IF(INDEX('CDFs'!$S$6:$S$505,P871)=1,1,0))</f>
        <v>0</v>
      </c>
      <c r="R871" s="96" t="str">
        <f>IF(C871="","",TRIM(LEFT(C871,FIND(" |",C871&amp;" |")-1)))</f>
        <v/>
      </c>
      <c r="S871" s="96" t="str">
        <f>IF(R871="","",IFERROR(MATCH(R871,'ITENS_MTR'!$A$6:$A$1005,0),""))</f>
        <v/>
      </c>
      <c r="T871" s="96">
        <f>IF(S871="",0,IF(INDEX('ITENS_MTR'!$R$6:$R$1005,S871)=1,1,0))</f>
        <v>0</v>
      </c>
      <c r="U871" s="96" t="str">
        <f>IF(G871="","",IFERROR(IF(ISNUMBER(INDEX(cfg_fac,MATCH(G871,cfg_units,0))),IF(INDEX(cfg_fac,MATCH(G871,cfg_units,0))&gt;0,INDEX(cfg_fac,MATCH(G871,cfg_units,0)),""),""),""))</f>
        <v/>
      </c>
      <c r="V871" s="96">
        <f>IF(AND(ISNUMBER(F871),ISNUMBER(H871)),IF(H871&gt;0,1,0),0)</f>
        <v>0</v>
      </c>
      <c r="W871" s="96" t="str">
        <f>IF(T871=1,INDEX('ITENS_MTR'!$AU$6:$AU$1005,S871)&amp;"","")</f>
        <v/>
      </c>
      <c r="X871" s="96">
        <f>IF(AND(Q871=1,T871=1,I871&lt;&gt;"",W871&lt;&gt;""),IF(I871&lt;&gt;W871,1,0),0)</f>
        <v>0</v>
      </c>
      <c r="Y871" s="96">
        <f>IF(N871=0,0,IF(OR(Q871=0,T871=0,V871=0,AND(X871=1,J871&lt;&gt;"Sim")),1,0))</f>
        <v>0</v>
      </c>
      <c r="Z871" s="96">
        <f>IF(Q871=1,INDEX('CDFs'!$W$6:$W$505,P871),0)</f>
        <v>0</v>
      </c>
      <c r="AA871" s="96">
        <f>IF(AND(N871=1,Y871=0,Z871=1,J871="Sim"),1,0)</f>
        <v>0</v>
      </c>
      <c r="AB871" s="96">
        <f>IF(AND(N871=1,O871&lt;&gt;"",D871&lt;&gt;""),IF(COUNTIFS($O$6:O871,O871,$D$6:D871,D871)=1,1,0),0)</f>
        <v>0</v>
      </c>
      <c r="AC871" s="96">
        <f>IF(T871=1,INDEX('ITENS_MTR'!$AL$6:$AL$1005,S871),0)</f>
        <v>0</v>
      </c>
    </row>
    <row r="872">
      <c r="A872" s="89" t="inlineStr">
        <is>
          <t>VIN-000867</t>
        </is>
      </c>
      <c r="B872" s="91" t="n"/>
      <c r="C872" s="91" t="n"/>
      <c r="D872" s="94" t="str">
        <f>IF(T872=1,INDEX('ITENS_MTR'!$S$6:$S$1005,S872)&amp;"","")</f>
        <v/>
      </c>
      <c r="E872" s="94" t="str">
        <f>IF(T872=1,INDEX('ITENS_MTR'!$C$6:$C$1005,S872)&amp;"","")</f>
        <v/>
      </c>
      <c r="F872" s="98" t="n"/>
      <c r="G872" s="91" t="n"/>
      <c r="H872" s="93" t="str">
        <f>IF(N872=0,"",IF(NOT(ISNUMBER(F872)),"",IF(ISNUMBER(U872),F872*U872,"UNIDADE A CONFERIR")))</f>
        <v/>
      </c>
      <c r="I872" s="94" t="str">
        <f>IF(Q872=1,INDEX('CDFs'!$F$6:$F$505,P872)&amp;"","")</f>
        <v/>
      </c>
      <c r="J872" s="91" t="n"/>
      <c r="K872" s="91" t="n"/>
      <c r="L872" s="94" t="str">
        <f>IF(N872=0,"",IF(NOT(ISNUMBER(F872)),"Quantidade não informada",IF(F872&lt;=0,"Quantidade não positiva",IF(G872="","Unidade não informada",IF(NOT(ISNUMBER(H872)),"Unidade a conferir",IF(AC872=1,"REVISAR VÍNCULO: soma vinculada maior que a referência do item","OK"))))))</f>
        <v/>
      </c>
      <c r="M872" s="94" t="str">
        <f>IF(N872=0,"",IF(B872="","CDF não informado",IF(Q872=0,"REVISAR VÍNCULO: CDF inexistente",IF(C872="","Item não informado",IF(T872=0,"REVISAR VÍNCULO: item inexistente",IF(AND(X872=1,J872&lt;&gt;"Sim"),"REVISAR VÍNCULO: destinador diferente do MTR",IF(X872=1,"Destinador diferente do MTR (analisado)","OK")))))))</f>
        <v/>
      </c>
      <c r="N872" s="96">
        <f>IF(COUNTA(B872:C872,F872:G872,J872:K872)&gt;0,1,0)</f>
        <v>0</v>
      </c>
      <c r="O872" s="96" t="str">
        <f>IF(B872="","",TRIM(LEFT(B872,FIND(" |",B872&amp;" |")-1)))</f>
        <v/>
      </c>
      <c r="P872" s="96" t="str">
        <f>IF(O872="","",IFERROR(MATCH(O872,'CDFs'!$A$6:$A$505,0),""))</f>
        <v/>
      </c>
      <c r="Q872" s="96">
        <f>IF(P872="",0,IF(INDEX('CDFs'!$S$6:$S$505,P872)=1,1,0))</f>
        <v>0</v>
      </c>
      <c r="R872" s="96" t="str">
        <f>IF(C872="","",TRIM(LEFT(C872,FIND(" |",C872&amp;" |")-1)))</f>
        <v/>
      </c>
      <c r="S872" s="96" t="str">
        <f>IF(R872="","",IFERROR(MATCH(R872,'ITENS_MTR'!$A$6:$A$1005,0),""))</f>
        <v/>
      </c>
      <c r="T872" s="96">
        <f>IF(S872="",0,IF(INDEX('ITENS_MTR'!$R$6:$R$1005,S872)=1,1,0))</f>
        <v>0</v>
      </c>
      <c r="U872" s="96" t="str">
        <f>IF(G872="","",IFERROR(IF(ISNUMBER(INDEX(cfg_fac,MATCH(G872,cfg_units,0))),IF(INDEX(cfg_fac,MATCH(G872,cfg_units,0))&gt;0,INDEX(cfg_fac,MATCH(G872,cfg_units,0)),""),""),""))</f>
        <v/>
      </c>
      <c r="V872" s="96">
        <f>IF(AND(ISNUMBER(F872),ISNUMBER(H872)),IF(H872&gt;0,1,0),0)</f>
        <v>0</v>
      </c>
      <c r="W872" s="96" t="str">
        <f>IF(T872=1,INDEX('ITENS_MTR'!$AU$6:$AU$1005,S872)&amp;"","")</f>
        <v/>
      </c>
      <c r="X872" s="96">
        <f>IF(AND(Q872=1,T872=1,I872&lt;&gt;"",W872&lt;&gt;""),IF(I872&lt;&gt;W872,1,0),0)</f>
        <v>0</v>
      </c>
      <c r="Y872" s="96">
        <f>IF(N872=0,0,IF(OR(Q872=0,T872=0,V872=0,AND(X872=1,J872&lt;&gt;"Sim")),1,0))</f>
        <v>0</v>
      </c>
      <c r="Z872" s="96">
        <f>IF(Q872=1,INDEX('CDFs'!$W$6:$W$505,P872),0)</f>
        <v>0</v>
      </c>
      <c r="AA872" s="96">
        <f>IF(AND(N872=1,Y872=0,Z872=1,J872="Sim"),1,0)</f>
        <v>0</v>
      </c>
      <c r="AB872" s="96">
        <f>IF(AND(N872=1,O872&lt;&gt;"",D872&lt;&gt;""),IF(COUNTIFS($O$6:O872,O872,$D$6:D872,D872)=1,1,0),0)</f>
        <v>0</v>
      </c>
      <c r="AC872" s="96">
        <f>IF(T872=1,INDEX('ITENS_MTR'!$AL$6:$AL$1005,S872),0)</f>
        <v>0</v>
      </c>
    </row>
    <row r="873">
      <c r="A873" s="89" t="inlineStr">
        <is>
          <t>VIN-000868</t>
        </is>
      </c>
      <c r="B873" s="91" t="n"/>
      <c r="C873" s="91" t="n"/>
      <c r="D873" s="94" t="str">
        <f>IF(T873=1,INDEX('ITENS_MTR'!$S$6:$S$1005,S873)&amp;"","")</f>
        <v/>
      </c>
      <c r="E873" s="94" t="str">
        <f>IF(T873=1,INDEX('ITENS_MTR'!$C$6:$C$1005,S873)&amp;"","")</f>
        <v/>
      </c>
      <c r="F873" s="98" t="n"/>
      <c r="G873" s="91" t="n"/>
      <c r="H873" s="93" t="str">
        <f>IF(N873=0,"",IF(NOT(ISNUMBER(F873)),"",IF(ISNUMBER(U873),F873*U873,"UNIDADE A CONFERIR")))</f>
        <v/>
      </c>
      <c r="I873" s="94" t="str">
        <f>IF(Q873=1,INDEX('CDFs'!$F$6:$F$505,P873)&amp;"","")</f>
        <v/>
      </c>
      <c r="J873" s="91" t="n"/>
      <c r="K873" s="91" t="n"/>
      <c r="L873" s="94" t="str">
        <f>IF(N873=0,"",IF(NOT(ISNUMBER(F873)),"Quantidade não informada",IF(F873&lt;=0,"Quantidade não positiva",IF(G873="","Unidade não informada",IF(NOT(ISNUMBER(H873)),"Unidade a conferir",IF(AC873=1,"REVISAR VÍNCULO: soma vinculada maior que a referência do item","OK"))))))</f>
        <v/>
      </c>
      <c r="M873" s="94" t="str">
        <f>IF(N873=0,"",IF(B873="","CDF não informado",IF(Q873=0,"REVISAR VÍNCULO: CDF inexistente",IF(C873="","Item não informado",IF(T873=0,"REVISAR VÍNCULO: item inexistente",IF(AND(X873=1,J873&lt;&gt;"Sim"),"REVISAR VÍNCULO: destinador diferente do MTR",IF(X873=1,"Destinador diferente do MTR (analisado)","OK")))))))</f>
        <v/>
      </c>
      <c r="N873" s="96">
        <f>IF(COUNTA(B873:C873,F873:G873,J873:K873)&gt;0,1,0)</f>
        <v>0</v>
      </c>
      <c r="O873" s="96" t="str">
        <f>IF(B873="","",TRIM(LEFT(B873,FIND(" |",B873&amp;" |")-1)))</f>
        <v/>
      </c>
      <c r="P873" s="96" t="str">
        <f>IF(O873="","",IFERROR(MATCH(O873,'CDFs'!$A$6:$A$505,0),""))</f>
        <v/>
      </c>
      <c r="Q873" s="96">
        <f>IF(P873="",0,IF(INDEX('CDFs'!$S$6:$S$505,P873)=1,1,0))</f>
        <v>0</v>
      </c>
      <c r="R873" s="96" t="str">
        <f>IF(C873="","",TRIM(LEFT(C873,FIND(" |",C873&amp;" |")-1)))</f>
        <v/>
      </c>
      <c r="S873" s="96" t="str">
        <f>IF(R873="","",IFERROR(MATCH(R873,'ITENS_MTR'!$A$6:$A$1005,0),""))</f>
        <v/>
      </c>
      <c r="T873" s="96">
        <f>IF(S873="",0,IF(INDEX('ITENS_MTR'!$R$6:$R$1005,S873)=1,1,0))</f>
        <v>0</v>
      </c>
      <c r="U873" s="96" t="str">
        <f>IF(G873="","",IFERROR(IF(ISNUMBER(INDEX(cfg_fac,MATCH(G873,cfg_units,0))),IF(INDEX(cfg_fac,MATCH(G873,cfg_units,0))&gt;0,INDEX(cfg_fac,MATCH(G873,cfg_units,0)),""),""),""))</f>
        <v/>
      </c>
      <c r="V873" s="96">
        <f>IF(AND(ISNUMBER(F873),ISNUMBER(H873)),IF(H873&gt;0,1,0),0)</f>
        <v>0</v>
      </c>
      <c r="W873" s="96" t="str">
        <f>IF(T873=1,INDEX('ITENS_MTR'!$AU$6:$AU$1005,S873)&amp;"","")</f>
        <v/>
      </c>
      <c r="X873" s="96">
        <f>IF(AND(Q873=1,T873=1,I873&lt;&gt;"",W873&lt;&gt;""),IF(I873&lt;&gt;W873,1,0),0)</f>
        <v>0</v>
      </c>
      <c r="Y873" s="96">
        <f>IF(N873=0,0,IF(OR(Q873=0,T873=0,V873=0,AND(X873=1,J873&lt;&gt;"Sim")),1,0))</f>
        <v>0</v>
      </c>
      <c r="Z873" s="96">
        <f>IF(Q873=1,INDEX('CDFs'!$W$6:$W$505,P873),0)</f>
        <v>0</v>
      </c>
      <c r="AA873" s="96">
        <f>IF(AND(N873=1,Y873=0,Z873=1,J873="Sim"),1,0)</f>
        <v>0</v>
      </c>
      <c r="AB873" s="96">
        <f>IF(AND(N873=1,O873&lt;&gt;"",D873&lt;&gt;""),IF(COUNTIFS($O$6:O873,O873,$D$6:D873,D873)=1,1,0),0)</f>
        <v>0</v>
      </c>
      <c r="AC873" s="96">
        <f>IF(T873=1,INDEX('ITENS_MTR'!$AL$6:$AL$1005,S873),0)</f>
        <v>0</v>
      </c>
    </row>
    <row r="874">
      <c r="A874" s="89" t="inlineStr">
        <is>
          <t>VIN-000869</t>
        </is>
      </c>
      <c r="B874" s="91" t="n"/>
      <c r="C874" s="91" t="n"/>
      <c r="D874" s="94" t="str">
        <f>IF(T874=1,INDEX('ITENS_MTR'!$S$6:$S$1005,S874)&amp;"","")</f>
        <v/>
      </c>
      <c r="E874" s="94" t="str">
        <f>IF(T874=1,INDEX('ITENS_MTR'!$C$6:$C$1005,S874)&amp;"","")</f>
        <v/>
      </c>
      <c r="F874" s="98" t="n"/>
      <c r="G874" s="91" t="n"/>
      <c r="H874" s="93" t="str">
        <f>IF(N874=0,"",IF(NOT(ISNUMBER(F874)),"",IF(ISNUMBER(U874),F874*U874,"UNIDADE A CONFERIR")))</f>
        <v/>
      </c>
      <c r="I874" s="94" t="str">
        <f>IF(Q874=1,INDEX('CDFs'!$F$6:$F$505,P874)&amp;"","")</f>
        <v/>
      </c>
      <c r="J874" s="91" t="n"/>
      <c r="K874" s="91" t="n"/>
      <c r="L874" s="94" t="str">
        <f>IF(N874=0,"",IF(NOT(ISNUMBER(F874)),"Quantidade não informada",IF(F874&lt;=0,"Quantidade não positiva",IF(G874="","Unidade não informada",IF(NOT(ISNUMBER(H874)),"Unidade a conferir",IF(AC874=1,"REVISAR VÍNCULO: soma vinculada maior que a referência do item","OK"))))))</f>
        <v/>
      </c>
      <c r="M874" s="94" t="str">
        <f>IF(N874=0,"",IF(B874="","CDF não informado",IF(Q874=0,"REVISAR VÍNCULO: CDF inexistente",IF(C874="","Item não informado",IF(T874=0,"REVISAR VÍNCULO: item inexistente",IF(AND(X874=1,J874&lt;&gt;"Sim"),"REVISAR VÍNCULO: destinador diferente do MTR",IF(X874=1,"Destinador diferente do MTR (analisado)","OK")))))))</f>
        <v/>
      </c>
      <c r="N874" s="96">
        <f>IF(COUNTA(B874:C874,F874:G874,J874:K874)&gt;0,1,0)</f>
        <v>0</v>
      </c>
      <c r="O874" s="96" t="str">
        <f>IF(B874="","",TRIM(LEFT(B874,FIND(" |",B874&amp;" |")-1)))</f>
        <v/>
      </c>
      <c r="P874" s="96" t="str">
        <f>IF(O874="","",IFERROR(MATCH(O874,'CDFs'!$A$6:$A$505,0),""))</f>
        <v/>
      </c>
      <c r="Q874" s="96">
        <f>IF(P874="",0,IF(INDEX('CDFs'!$S$6:$S$505,P874)=1,1,0))</f>
        <v>0</v>
      </c>
      <c r="R874" s="96" t="str">
        <f>IF(C874="","",TRIM(LEFT(C874,FIND(" |",C874&amp;" |")-1)))</f>
        <v/>
      </c>
      <c r="S874" s="96" t="str">
        <f>IF(R874="","",IFERROR(MATCH(R874,'ITENS_MTR'!$A$6:$A$1005,0),""))</f>
        <v/>
      </c>
      <c r="T874" s="96">
        <f>IF(S874="",0,IF(INDEX('ITENS_MTR'!$R$6:$R$1005,S874)=1,1,0))</f>
        <v>0</v>
      </c>
      <c r="U874" s="96" t="str">
        <f>IF(G874="","",IFERROR(IF(ISNUMBER(INDEX(cfg_fac,MATCH(G874,cfg_units,0))),IF(INDEX(cfg_fac,MATCH(G874,cfg_units,0))&gt;0,INDEX(cfg_fac,MATCH(G874,cfg_units,0)),""),""),""))</f>
        <v/>
      </c>
      <c r="V874" s="96">
        <f>IF(AND(ISNUMBER(F874),ISNUMBER(H874)),IF(H874&gt;0,1,0),0)</f>
        <v>0</v>
      </c>
      <c r="W874" s="96" t="str">
        <f>IF(T874=1,INDEX('ITENS_MTR'!$AU$6:$AU$1005,S874)&amp;"","")</f>
        <v/>
      </c>
      <c r="X874" s="96">
        <f>IF(AND(Q874=1,T874=1,I874&lt;&gt;"",W874&lt;&gt;""),IF(I874&lt;&gt;W874,1,0),0)</f>
        <v>0</v>
      </c>
      <c r="Y874" s="96">
        <f>IF(N874=0,0,IF(OR(Q874=0,T874=0,V874=0,AND(X874=1,J874&lt;&gt;"Sim")),1,0))</f>
        <v>0</v>
      </c>
      <c r="Z874" s="96">
        <f>IF(Q874=1,INDEX('CDFs'!$W$6:$W$505,P874),0)</f>
        <v>0</v>
      </c>
      <c r="AA874" s="96">
        <f>IF(AND(N874=1,Y874=0,Z874=1,J874="Sim"),1,0)</f>
        <v>0</v>
      </c>
      <c r="AB874" s="96">
        <f>IF(AND(N874=1,O874&lt;&gt;"",D874&lt;&gt;""),IF(COUNTIFS($O$6:O874,O874,$D$6:D874,D874)=1,1,0),0)</f>
        <v>0</v>
      </c>
      <c r="AC874" s="96">
        <f>IF(T874=1,INDEX('ITENS_MTR'!$AL$6:$AL$1005,S874),0)</f>
        <v>0</v>
      </c>
    </row>
    <row r="875">
      <c r="A875" s="89" t="inlineStr">
        <is>
          <t>VIN-000870</t>
        </is>
      </c>
      <c r="B875" s="91" t="n"/>
      <c r="C875" s="91" t="n"/>
      <c r="D875" s="94" t="str">
        <f>IF(T875=1,INDEX('ITENS_MTR'!$S$6:$S$1005,S875)&amp;"","")</f>
        <v/>
      </c>
      <c r="E875" s="94" t="str">
        <f>IF(T875=1,INDEX('ITENS_MTR'!$C$6:$C$1005,S875)&amp;"","")</f>
        <v/>
      </c>
      <c r="F875" s="98" t="n"/>
      <c r="G875" s="91" t="n"/>
      <c r="H875" s="93" t="str">
        <f>IF(N875=0,"",IF(NOT(ISNUMBER(F875)),"",IF(ISNUMBER(U875),F875*U875,"UNIDADE A CONFERIR")))</f>
        <v/>
      </c>
      <c r="I875" s="94" t="str">
        <f>IF(Q875=1,INDEX('CDFs'!$F$6:$F$505,P875)&amp;"","")</f>
        <v/>
      </c>
      <c r="J875" s="91" t="n"/>
      <c r="K875" s="91" t="n"/>
      <c r="L875" s="94" t="str">
        <f>IF(N875=0,"",IF(NOT(ISNUMBER(F875)),"Quantidade não informada",IF(F875&lt;=0,"Quantidade não positiva",IF(G875="","Unidade não informada",IF(NOT(ISNUMBER(H875)),"Unidade a conferir",IF(AC875=1,"REVISAR VÍNCULO: soma vinculada maior que a referência do item","OK"))))))</f>
        <v/>
      </c>
      <c r="M875" s="94" t="str">
        <f>IF(N875=0,"",IF(B875="","CDF não informado",IF(Q875=0,"REVISAR VÍNCULO: CDF inexistente",IF(C875="","Item não informado",IF(T875=0,"REVISAR VÍNCULO: item inexistente",IF(AND(X875=1,J875&lt;&gt;"Sim"),"REVISAR VÍNCULO: destinador diferente do MTR",IF(X875=1,"Destinador diferente do MTR (analisado)","OK")))))))</f>
        <v/>
      </c>
      <c r="N875" s="96">
        <f>IF(COUNTA(B875:C875,F875:G875,J875:K875)&gt;0,1,0)</f>
        <v>0</v>
      </c>
      <c r="O875" s="96" t="str">
        <f>IF(B875="","",TRIM(LEFT(B875,FIND(" |",B875&amp;" |")-1)))</f>
        <v/>
      </c>
      <c r="P875" s="96" t="str">
        <f>IF(O875="","",IFERROR(MATCH(O875,'CDFs'!$A$6:$A$505,0),""))</f>
        <v/>
      </c>
      <c r="Q875" s="96">
        <f>IF(P875="",0,IF(INDEX('CDFs'!$S$6:$S$505,P875)=1,1,0))</f>
        <v>0</v>
      </c>
      <c r="R875" s="96" t="str">
        <f>IF(C875="","",TRIM(LEFT(C875,FIND(" |",C875&amp;" |")-1)))</f>
        <v/>
      </c>
      <c r="S875" s="96" t="str">
        <f>IF(R875="","",IFERROR(MATCH(R875,'ITENS_MTR'!$A$6:$A$1005,0),""))</f>
        <v/>
      </c>
      <c r="T875" s="96">
        <f>IF(S875="",0,IF(INDEX('ITENS_MTR'!$R$6:$R$1005,S875)=1,1,0))</f>
        <v>0</v>
      </c>
      <c r="U875" s="96" t="str">
        <f>IF(G875="","",IFERROR(IF(ISNUMBER(INDEX(cfg_fac,MATCH(G875,cfg_units,0))),IF(INDEX(cfg_fac,MATCH(G875,cfg_units,0))&gt;0,INDEX(cfg_fac,MATCH(G875,cfg_units,0)),""),""),""))</f>
        <v/>
      </c>
      <c r="V875" s="96">
        <f>IF(AND(ISNUMBER(F875),ISNUMBER(H875)),IF(H875&gt;0,1,0),0)</f>
        <v>0</v>
      </c>
      <c r="W875" s="96" t="str">
        <f>IF(T875=1,INDEX('ITENS_MTR'!$AU$6:$AU$1005,S875)&amp;"","")</f>
        <v/>
      </c>
      <c r="X875" s="96">
        <f>IF(AND(Q875=1,T875=1,I875&lt;&gt;"",W875&lt;&gt;""),IF(I875&lt;&gt;W875,1,0),0)</f>
        <v>0</v>
      </c>
      <c r="Y875" s="96">
        <f>IF(N875=0,0,IF(OR(Q875=0,T875=0,V875=0,AND(X875=1,J875&lt;&gt;"Sim")),1,0))</f>
        <v>0</v>
      </c>
      <c r="Z875" s="96">
        <f>IF(Q875=1,INDEX('CDFs'!$W$6:$W$505,P875),0)</f>
        <v>0</v>
      </c>
      <c r="AA875" s="96">
        <f>IF(AND(N875=1,Y875=0,Z875=1,J875="Sim"),1,0)</f>
        <v>0</v>
      </c>
      <c r="AB875" s="96">
        <f>IF(AND(N875=1,O875&lt;&gt;"",D875&lt;&gt;""),IF(COUNTIFS($O$6:O875,O875,$D$6:D875,D875)=1,1,0),0)</f>
        <v>0</v>
      </c>
      <c r="AC875" s="96">
        <f>IF(T875=1,INDEX('ITENS_MTR'!$AL$6:$AL$1005,S875),0)</f>
        <v>0</v>
      </c>
    </row>
    <row r="876">
      <c r="A876" s="89" t="inlineStr">
        <is>
          <t>VIN-000871</t>
        </is>
      </c>
      <c r="B876" s="91" t="n"/>
      <c r="C876" s="91" t="n"/>
      <c r="D876" s="94" t="str">
        <f>IF(T876=1,INDEX('ITENS_MTR'!$S$6:$S$1005,S876)&amp;"","")</f>
        <v/>
      </c>
      <c r="E876" s="94" t="str">
        <f>IF(T876=1,INDEX('ITENS_MTR'!$C$6:$C$1005,S876)&amp;"","")</f>
        <v/>
      </c>
      <c r="F876" s="98" t="n"/>
      <c r="G876" s="91" t="n"/>
      <c r="H876" s="93" t="str">
        <f>IF(N876=0,"",IF(NOT(ISNUMBER(F876)),"",IF(ISNUMBER(U876),F876*U876,"UNIDADE A CONFERIR")))</f>
        <v/>
      </c>
      <c r="I876" s="94" t="str">
        <f>IF(Q876=1,INDEX('CDFs'!$F$6:$F$505,P876)&amp;"","")</f>
        <v/>
      </c>
      <c r="J876" s="91" t="n"/>
      <c r="K876" s="91" t="n"/>
      <c r="L876" s="94" t="str">
        <f>IF(N876=0,"",IF(NOT(ISNUMBER(F876)),"Quantidade não informada",IF(F876&lt;=0,"Quantidade não positiva",IF(G876="","Unidade não informada",IF(NOT(ISNUMBER(H876)),"Unidade a conferir",IF(AC876=1,"REVISAR VÍNCULO: soma vinculada maior que a referência do item","OK"))))))</f>
        <v/>
      </c>
      <c r="M876" s="94" t="str">
        <f>IF(N876=0,"",IF(B876="","CDF não informado",IF(Q876=0,"REVISAR VÍNCULO: CDF inexistente",IF(C876="","Item não informado",IF(T876=0,"REVISAR VÍNCULO: item inexistente",IF(AND(X876=1,J876&lt;&gt;"Sim"),"REVISAR VÍNCULO: destinador diferente do MTR",IF(X876=1,"Destinador diferente do MTR (analisado)","OK")))))))</f>
        <v/>
      </c>
      <c r="N876" s="96">
        <f>IF(COUNTA(B876:C876,F876:G876,J876:K876)&gt;0,1,0)</f>
        <v>0</v>
      </c>
      <c r="O876" s="96" t="str">
        <f>IF(B876="","",TRIM(LEFT(B876,FIND(" |",B876&amp;" |")-1)))</f>
        <v/>
      </c>
      <c r="P876" s="96" t="str">
        <f>IF(O876="","",IFERROR(MATCH(O876,'CDFs'!$A$6:$A$505,0),""))</f>
        <v/>
      </c>
      <c r="Q876" s="96">
        <f>IF(P876="",0,IF(INDEX('CDFs'!$S$6:$S$505,P876)=1,1,0))</f>
        <v>0</v>
      </c>
      <c r="R876" s="96" t="str">
        <f>IF(C876="","",TRIM(LEFT(C876,FIND(" |",C876&amp;" |")-1)))</f>
        <v/>
      </c>
      <c r="S876" s="96" t="str">
        <f>IF(R876="","",IFERROR(MATCH(R876,'ITENS_MTR'!$A$6:$A$1005,0),""))</f>
        <v/>
      </c>
      <c r="T876" s="96">
        <f>IF(S876="",0,IF(INDEX('ITENS_MTR'!$R$6:$R$1005,S876)=1,1,0))</f>
        <v>0</v>
      </c>
      <c r="U876" s="96" t="str">
        <f>IF(G876="","",IFERROR(IF(ISNUMBER(INDEX(cfg_fac,MATCH(G876,cfg_units,0))),IF(INDEX(cfg_fac,MATCH(G876,cfg_units,0))&gt;0,INDEX(cfg_fac,MATCH(G876,cfg_units,0)),""),""),""))</f>
        <v/>
      </c>
      <c r="V876" s="96">
        <f>IF(AND(ISNUMBER(F876),ISNUMBER(H876)),IF(H876&gt;0,1,0),0)</f>
        <v>0</v>
      </c>
      <c r="W876" s="96" t="str">
        <f>IF(T876=1,INDEX('ITENS_MTR'!$AU$6:$AU$1005,S876)&amp;"","")</f>
        <v/>
      </c>
      <c r="X876" s="96">
        <f>IF(AND(Q876=1,T876=1,I876&lt;&gt;"",W876&lt;&gt;""),IF(I876&lt;&gt;W876,1,0),0)</f>
        <v>0</v>
      </c>
      <c r="Y876" s="96">
        <f>IF(N876=0,0,IF(OR(Q876=0,T876=0,V876=0,AND(X876=1,J876&lt;&gt;"Sim")),1,0))</f>
        <v>0</v>
      </c>
      <c r="Z876" s="96">
        <f>IF(Q876=1,INDEX('CDFs'!$W$6:$W$505,P876),0)</f>
        <v>0</v>
      </c>
      <c r="AA876" s="96">
        <f>IF(AND(N876=1,Y876=0,Z876=1,J876="Sim"),1,0)</f>
        <v>0</v>
      </c>
      <c r="AB876" s="96">
        <f>IF(AND(N876=1,O876&lt;&gt;"",D876&lt;&gt;""),IF(COUNTIFS($O$6:O876,O876,$D$6:D876,D876)=1,1,0),0)</f>
        <v>0</v>
      </c>
      <c r="AC876" s="96">
        <f>IF(T876=1,INDEX('ITENS_MTR'!$AL$6:$AL$1005,S876),0)</f>
        <v>0</v>
      </c>
    </row>
    <row r="877">
      <c r="A877" s="89" t="inlineStr">
        <is>
          <t>VIN-000872</t>
        </is>
      </c>
      <c r="B877" s="91" t="n"/>
      <c r="C877" s="91" t="n"/>
      <c r="D877" s="94" t="str">
        <f>IF(T877=1,INDEX('ITENS_MTR'!$S$6:$S$1005,S877)&amp;"","")</f>
        <v/>
      </c>
      <c r="E877" s="94" t="str">
        <f>IF(T877=1,INDEX('ITENS_MTR'!$C$6:$C$1005,S877)&amp;"","")</f>
        <v/>
      </c>
      <c r="F877" s="98" t="n"/>
      <c r="G877" s="91" t="n"/>
      <c r="H877" s="93" t="str">
        <f>IF(N877=0,"",IF(NOT(ISNUMBER(F877)),"",IF(ISNUMBER(U877),F877*U877,"UNIDADE A CONFERIR")))</f>
        <v/>
      </c>
      <c r="I877" s="94" t="str">
        <f>IF(Q877=1,INDEX('CDFs'!$F$6:$F$505,P877)&amp;"","")</f>
        <v/>
      </c>
      <c r="J877" s="91" t="n"/>
      <c r="K877" s="91" t="n"/>
      <c r="L877" s="94" t="str">
        <f>IF(N877=0,"",IF(NOT(ISNUMBER(F877)),"Quantidade não informada",IF(F877&lt;=0,"Quantidade não positiva",IF(G877="","Unidade não informada",IF(NOT(ISNUMBER(H877)),"Unidade a conferir",IF(AC877=1,"REVISAR VÍNCULO: soma vinculada maior que a referência do item","OK"))))))</f>
        <v/>
      </c>
      <c r="M877" s="94" t="str">
        <f>IF(N877=0,"",IF(B877="","CDF não informado",IF(Q877=0,"REVISAR VÍNCULO: CDF inexistente",IF(C877="","Item não informado",IF(T877=0,"REVISAR VÍNCULO: item inexistente",IF(AND(X877=1,J877&lt;&gt;"Sim"),"REVISAR VÍNCULO: destinador diferente do MTR",IF(X877=1,"Destinador diferente do MTR (analisado)","OK")))))))</f>
        <v/>
      </c>
      <c r="N877" s="96">
        <f>IF(COUNTA(B877:C877,F877:G877,J877:K877)&gt;0,1,0)</f>
        <v>0</v>
      </c>
      <c r="O877" s="96" t="str">
        <f>IF(B877="","",TRIM(LEFT(B877,FIND(" |",B877&amp;" |")-1)))</f>
        <v/>
      </c>
      <c r="P877" s="96" t="str">
        <f>IF(O877="","",IFERROR(MATCH(O877,'CDFs'!$A$6:$A$505,0),""))</f>
        <v/>
      </c>
      <c r="Q877" s="96">
        <f>IF(P877="",0,IF(INDEX('CDFs'!$S$6:$S$505,P877)=1,1,0))</f>
        <v>0</v>
      </c>
      <c r="R877" s="96" t="str">
        <f>IF(C877="","",TRIM(LEFT(C877,FIND(" |",C877&amp;" |")-1)))</f>
        <v/>
      </c>
      <c r="S877" s="96" t="str">
        <f>IF(R877="","",IFERROR(MATCH(R877,'ITENS_MTR'!$A$6:$A$1005,0),""))</f>
        <v/>
      </c>
      <c r="T877" s="96">
        <f>IF(S877="",0,IF(INDEX('ITENS_MTR'!$R$6:$R$1005,S877)=1,1,0))</f>
        <v>0</v>
      </c>
      <c r="U877" s="96" t="str">
        <f>IF(G877="","",IFERROR(IF(ISNUMBER(INDEX(cfg_fac,MATCH(G877,cfg_units,0))),IF(INDEX(cfg_fac,MATCH(G877,cfg_units,0))&gt;0,INDEX(cfg_fac,MATCH(G877,cfg_units,0)),""),""),""))</f>
        <v/>
      </c>
      <c r="V877" s="96">
        <f>IF(AND(ISNUMBER(F877),ISNUMBER(H877)),IF(H877&gt;0,1,0),0)</f>
        <v>0</v>
      </c>
      <c r="W877" s="96" t="str">
        <f>IF(T877=1,INDEX('ITENS_MTR'!$AU$6:$AU$1005,S877)&amp;"","")</f>
        <v/>
      </c>
      <c r="X877" s="96">
        <f>IF(AND(Q877=1,T877=1,I877&lt;&gt;"",W877&lt;&gt;""),IF(I877&lt;&gt;W877,1,0),0)</f>
        <v>0</v>
      </c>
      <c r="Y877" s="96">
        <f>IF(N877=0,0,IF(OR(Q877=0,T877=0,V877=0,AND(X877=1,J877&lt;&gt;"Sim")),1,0))</f>
        <v>0</v>
      </c>
      <c r="Z877" s="96">
        <f>IF(Q877=1,INDEX('CDFs'!$W$6:$W$505,P877),0)</f>
        <v>0</v>
      </c>
      <c r="AA877" s="96">
        <f>IF(AND(N877=1,Y877=0,Z877=1,J877="Sim"),1,0)</f>
        <v>0</v>
      </c>
      <c r="AB877" s="96">
        <f>IF(AND(N877=1,O877&lt;&gt;"",D877&lt;&gt;""),IF(COUNTIFS($O$6:O877,O877,$D$6:D877,D877)=1,1,0),0)</f>
        <v>0</v>
      </c>
      <c r="AC877" s="96">
        <f>IF(T877=1,INDEX('ITENS_MTR'!$AL$6:$AL$1005,S877),0)</f>
        <v>0</v>
      </c>
    </row>
    <row r="878">
      <c r="A878" s="89" t="inlineStr">
        <is>
          <t>VIN-000873</t>
        </is>
      </c>
      <c r="B878" s="91" t="n"/>
      <c r="C878" s="91" t="n"/>
      <c r="D878" s="94" t="str">
        <f>IF(T878=1,INDEX('ITENS_MTR'!$S$6:$S$1005,S878)&amp;"","")</f>
        <v/>
      </c>
      <c r="E878" s="94" t="str">
        <f>IF(T878=1,INDEX('ITENS_MTR'!$C$6:$C$1005,S878)&amp;"","")</f>
        <v/>
      </c>
      <c r="F878" s="98" t="n"/>
      <c r="G878" s="91" t="n"/>
      <c r="H878" s="93" t="str">
        <f>IF(N878=0,"",IF(NOT(ISNUMBER(F878)),"",IF(ISNUMBER(U878),F878*U878,"UNIDADE A CONFERIR")))</f>
        <v/>
      </c>
      <c r="I878" s="94" t="str">
        <f>IF(Q878=1,INDEX('CDFs'!$F$6:$F$505,P878)&amp;"","")</f>
        <v/>
      </c>
      <c r="J878" s="91" t="n"/>
      <c r="K878" s="91" t="n"/>
      <c r="L878" s="94" t="str">
        <f>IF(N878=0,"",IF(NOT(ISNUMBER(F878)),"Quantidade não informada",IF(F878&lt;=0,"Quantidade não positiva",IF(G878="","Unidade não informada",IF(NOT(ISNUMBER(H878)),"Unidade a conferir",IF(AC878=1,"REVISAR VÍNCULO: soma vinculada maior que a referência do item","OK"))))))</f>
        <v/>
      </c>
      <c r="M878" s="94" t="str">
        <f>IF(N878=0,"",IF(B878="","CDF não informado",IF(Q878=0,"REVISAR VÍNCULO: CDF inexistente",IF(C878="","Item não informado",IF(T878=0,"REVISAR VÍNCULO: item inexistente",IF(AND(X878=1,J878&lt;&gt;"Sim"),"REVISAR VÍNCULO: destinador diferente do MTR",IF(X878=1,"Destinador diferente do MTR (analisado)","OK")))))))</f>
        <v/>
      </c>
      <c r="N878" s="96">
        <f>IF(COUNTA(B878:C878,F878:G878,J878:K878)&gt;0,1,0)</f>
        <v>0</v>
      </c>
      <c r="O878" s="96" t="str">
        <f>IF(B878="","",TRIM(LEFT(B878,FIND(" |",B878&amp;" |")-1)))</f>
        <v/>
      </c>
      <c r="P878" s="96" t="str">
        <f>IF(O878="","",IFERROR(MATCH(O878,'CDFs'!$A$6:$A$505,0),""))</f>
        <v/>
      </c>
      <c r="Q878" s="96">
        <f>IF(P878="",0,IF(INDEX('CDFs'!$S$6:$S$505,P878)=1,1,0))</f>
        <v>0</v>
      </c>
      <c r="R878" s="96" t="str">
        <f>IF(C878="","",TRIM(LEFT(C878,FIND(" |",C878&amp;" |")-1)))</f>
        <v/>
      </c>
      <c r="S878" s="96" t="str">
        <f>IF(R878="","",IFERROR(MATCH(R878,'ITENS_MTR'!$A$6:$A$1005,0),""))</f>
        <v/>
      </c>
      <c r="T878" s="96">
        <f>IF(S878="",0,IF(INDEX('ITENS_MTR'!$R$6:$R$1005,S878)=1,1,0))</f>
        <v>0</v>
      </c>
      <c r="U878" s="96" t="str">
        <f>IF(G878="","",IFERROR(IF(ISNUMBER(INDEX(cfg_fac,MATCH(G878,cfg_units,0))),IF(INDEX(cfg_fac,MATCH(G878,cfg_units,0))&gt;0,INDEX(cfg_fac,MATCH(G878,cfg_units,0)),""),""),""))</f>
        <v/>
      </c>
      <c r="V878" s="96">
        <f>IF(AND(ISNUMBER(F878),ISNUMBER(H878)),IF(H878&gt;0,1,0),0)</f>
        <v>0</v>
      </c>
      <c r="W878" s="96" t="str">
        <f>IF(T878=1,INDEX('ITENS_MTR'!$AU$6:$AU$1005,S878)&amp;"","")</f>
        <v/>
      </c>
      <c r="X878" s="96">
        <f>IF(AND(Q878=1,T878=1,I878&lt;&gt;"",W878&lt;&gt;""),IF(I878&lt;&gt;W878,1,0),0)</f>
        <v>0</v>
      </c>
      <c r="Y878" s="96">
        <f>IF(N878=0,0,IF(OR(Q878=0,T878=0,V878=0,AND(X878=1,J878&lt;&gt;"Sim")),1,0))</f>
        <v>0</v>
      </c>
      <c r="Z878" s="96">
        <f>IF(Q878=1,INDEX('CDFs'!$W$6:$W$505,P878),0)</f>
        <v>0</v>
      </c>
      <c r="AA878" s="96">
        <f>IF(AND(N878=1,Y878=0,Z878=1,J878="Sim"),1,0)</f>
        <v>0</v>
      </c>
      <c r="AB878" s="96">
        <f>IF(AND(N878=1,O878&lt;&gt;"",D878&lt;&gt;""),IF(COUNTIFS($O$6:O878,O878,$D$6:D878,D878)=1,1,0),0)</f>
        <v>0</v>
      </c>
      <c r="AC878" s="96">
        <f>IF(T878=1,INDEX('ITENS_MTR'!$AL$6:$AL$1005,S878),0)</f>
        <v>0</v>
      </c>
    </row>
    <row r="879">
      <c r="A879" s="89" t="inlineStr">
        <is>
          <t>VIN-000874</t>
        </is>
      </c>
      <c r="B879" s="91" t="n"/>
      <c r="C879" s="91" t="n"/>
      <c r="D879" s="94" t="str">
        <f>IF(T879=1,INDEX('ITENS_MTR'!$S$6:$S$1005,S879)&amp;"","")</f>
        <v/>
      </c>
      <c r="E879" s="94" t="str">
        <f>IF(T879=1,INDEX('ITENS_MTR'!$C$6:$C$1005,S879)&amp;"","")</f>
        <v/>
      </c>
      <c r="F879" s="98" t="n"/>
      <c r="G879" s="91" t="n"/>
      <c r="H879" s="93" t="str">
        <f>IF(N879=0,"",IF(NOT(ISNUMBER(F879)),"",IF(ISNUMBER(U879),F879*U879,"UNIDADE A CONFERIR")))</f>
        <v/>
      </c>
      <c r="I879" s="94" t="str">
        <f>IF(Q879=1,INDEX('CDFs'!$F$6:$F$505,P879)&amp;"","")</f>
        <v/>
      </c>
      <c r="J879" s="91" t="n"/>
      <c r="K879" s="91" t="n"/>
      <c r="L879" s="94" t="str">
        <f>IF(N879=0,"",IF(NOT(ISNUMBER(F879)),"Quantidade não informada",IF(F879&lt;=0,"Quantidade não positiva",IF(G879="","Unidade não informada",IF(NOT(ISNUMBER(H879)),"Unidade a conferir",IF(AC879=1,"REVISAR VÍNCULO: soma vinculada maior que a referência do item","OK"))))))</f>
        <v/>
      </c>
      <c r="M879" s="94" t="str">
        <f>IF(N879=0,"",IF(B879="","CDF não informado",IF(Q879=0,"REVISAR VÍNCULO: CDF inexistente",IF(C879="","Item não informado",IF(T879=0,"REVISAR VÍNCULO: item inexistente",IF(AND(X879=1,J879&lt;&gt;"Sim"),"REVISAR VÍNCULO: destinador diferente do MTR",IF(X879=1,"Destinador diferente do MTR (analisado)","OK")))))))</f>
        <v/>
      </c>
      <c r="N879" s="96">
        <f>IF(COUNTA(B879:C879,F879:G879,J879:K879)&gt;0,1,0)</f>
        <v>0</v>
      </c>
      <c r="O879" s="96" t="str">
        <f>IF(B879="","",TRIM(LEFT(B879,FIND(" |",B879&amp;" |")-1)))</f>
        <v/>
      </c>
      <c r="P879" s="96" t="str">
        <f>IF(O879="","",IFERROR(MATCH(O879,'CDFs'!$A$6:$A$505,0),""))</f>
        <v/>
      </c>
      <c r="Q879" s="96">
        <f>IF(P879="",0,IF(INDEX('CDFs'!$S$6:$S$505,P879)=1,1,0))</f>
        <v>0</v>
      </c>
      <c r="R879" s="96" t="str">
        <f>IF(C879="","",TRIM(LEFT(C879,FIND(" |",C879&amp;" |")-1)))</f>
        <v/>
      </c>
      <c r="S879" s="96" t="str">
        <f>IF(R879="","",IFERROR(MATCH(R879,'ITENS_MTR'!$A$6:$A$1005,0),""))</f>
        <v/>
      </c>
      <c r="T879" s="96">
        <f>IF(S879="",0,IF(INDEX('ITENS_MTR'!$R$6:$R$1005,S879)=1,1,0))</f>
        <v>0</v>
      </c>
      <c r="U879" s="96" t="str">
        <f>IF(G879="","",IFERROR(IF(ISNUMBER(INDEX(cfg_fac,MATCH(G879,cfg_units,0))),IF(INDEX(cfg_fac,MATCH(G879,cfg_units,0))&gt;0,INDEX(cfg_fac,MATCH(G879,cfg_units,0)),""),""),""))</f>
        <v/>
      </c>
      <c r="V879" s="96">
        <f>IF(AND(ISNUMBER(F879),ISNUMBER(H879)),IF(H879&gt;0,1,0),0)</f>
        <v>0</v>
      </c>
      <c r="W879" s="96" t="str">
        <f>IF(T879=1,INDEX('ITENS_MTR'!$AU$6:$AU$1005,S879)&amp;"","")</f>
        <v/>
      </c>
      <c r="X879" s="96">
        <f>IF(AND(Q879=1,T879=1,I879&lt;&gt;"",W879&lt;&gt;""),IF(I879&lt;&gt;W879,1,0),0)</f>
        <v>0</v>
      </c>
      <c r="Y879" s="96">
        <f>IF(N879=0,0,IF(OR(Q879=0,T879=0,V879=0,AND(X879=1,J879&lt;&gt;"Sim")),1,0))</f>
        <v>0</v>
      </c>
      <c r="Z879" s="96">
        <f>IF(Q879=1,INDEX('CDFs'!$W$6:$W$505,P879),0)</f>
        <v>0</v>
      </c>
      <c r="AA879" s="96">
        <f>IF(AND(N879=1,Y879=0,Z879=1,J879="Sim"),1,0)</f>
        <v>0</v>
      </c>
      <c r="AB879" s="96">
        <f>IF(AND(N879=1,O879&lt;&gt;"",D879&lt;&gt;""),IF(COUNTIFS($O$6:O879,O879,$D$6:D879,D879)=1,1,0),0)</f>
        <v>0</v>
      </c>
      <c r="AC879" s="96">
        <f>IF(T879=1,INDEX('ITENS_MTR'!$AL$6:$AL$1005,S879),0)</f>
        <v>0</v>
      </c>
    </row>
    <row r="880">
      <c r="A880" s="89" t="inlineStr">
        <is>
          <t>VIN-000875</t>
        </is>
      </c>
      <c r="B880" s="91" t="n"/>
      <c r="C880" s="91" t="n"/>
      <c r="D880" s="94" t="str">
        <f>IF(T880=1,INDEX('ITENS_MTR'!$S$6:$S$1005,S880)&amp;"","")</f>
        <v/>
      </c>
      <c r="E880" s="94" t="str">
        <f>IF(T880=1,INDEX('ITENS_MTR'!$C$6:$C$1005,S880)&amp;"","")</f>
        <v/>
      </c>
      <c r="F880" s="98" t="n"/>
      <c r="G880" s="91" t="n"/>
      <c r="H880" s="93" t="str">
        <f>IF(N880=0,"",IF(NOT(ISNUMBER(F880)),"",IF(ISNUMBER(U880),F880*U880,"UNIDADE A CONFERIR")))</f>
        <v/>
      </c>
      <c r="I880" s="94" t="str">
        <f>IF(Q880=1,INDEX('CDFs'!$F$6:$F$505,P880)&amp;"","")</f>
        <v/>
      </c>
      <c r="J880" s="91" t="n"/>
      <c r="K880" s="91" t="n"/>
      <c r="L880" s="94" t="str">
        <f>IF(N880=0,"",IF(NOT(ISNUMBER(F880)),"Quantidade não informada",IF(F880&lt;=0,"Quantidade não positiva",IF(G880="","Unidade não informada",IF(NOT(ISNUMBER(H880)),"Unidade a conferir",IF(AC880=1,"REVISAR VÍNCULO: soma vinculada maior que a referência do item","OK"))))))</f>
        <v/>
      </c>
      <c r="M880" s="94" t="str">
        <f>IF(N880=0,"",IF(B880="","CDF não informado",IF(Q880=0,"REVISAR VÍNCULO: CDF inexistente",IF(C880="","Item não informado",IF(T880=0,"REVISAR VÍNCULO: item inexistente",IF(AND(X880=1,J880&lt;&gt;"Sim"),"REVISAR VÍNCULO: destinador diferente do MTR",IF(X880=1,"Destinador diferente do MTR (analisado)","OK")))))))</f>
        <v/>
      </c>
      <c r="N880" s="96">
        <f>IF(COUNTA(B880:C880,F880:G880,J880:K880)&gt;0,1,0)</f>
        <v>0</v>
      </c>
      <c r="O880" s="96" t="str">
        <f>IF(B880="","",TRIM(LEFT(B880,FIND(" |",B880&amp;" |")-1)))</f>
        <v/>
      </c>
      <c r="P880" s="96" t="str">
        <f>IF(O880="","",IFERROR(MATCH(O880,'CDFs'!$A$6:$A$505,0),""))</f>
        <v/>
      </c>
      <c r="Q880" s="96">
        <f>IF(P880="",0,IF(INDEX('CDFs'!$S$6:$S$505,P880)=1,1,0))</f>
        <v>0</v>
      </c>
      <c r="R880" s="96" t="str">
        <f>IF(C880="","",TRIM(LEFT(C880,FIND(" |",C880&amp;" |")-1)))</f>
        <v/>
      </c>
      <c r="S880" s="96" t="str">
        <f>IF(R880="","",IFERROR(MATCH(R880,'ITENS_MTR'!$A$6:$A$1005,0),""))</f>
        <v/>
      </c>
      <c r="T880" s="96">
        <f>IF(S880="",0,IF(INDEX('ITENS_MTR'!$R$6:$R$1005,S880)=1,1,0))</f>
        <v>0</v>
      </c>
      <c r="U880" s="96" t="str">
        <f>IF(G880="","",IFERROR(IF(ISNUMBER(INDEX(cfg_fac,MATCH(G880,cfg_units,0))),IF(INDEX(cfg_fac,MATCH(G880,cfg_units,0))&gt;0,INDEX(cfg_fac,MATCH(G880,cfg_units,0)),""),""),""))</f>
        <v/>
      </c>
      <c r="V880" s="96">
        <f>IF(AND(ISNUMBER(F880),ISNUMBER(H880)),IF(H880&gt;0,1,0),0)</f>
        <v>0</v>
      </c>
      <c r="W880" s="96" t="str">
        <f>IF(T880=1,INDEX('ITENS_MTR'!$AU$6:$AU$1005,S880)&amp;"","")</f>
        <v/>
      </c>
      <c r="X880" s="96">
        <f>IF(AND(Q880=1,T880=1,I880&lt;&gt;"",W880&lt;&gt;""),IF(I880&lt;&gt;W880,1,0),0)</f>
        <v>0</v>
      </c>
      <c r="Y880" s="96">
        <f>IF(N880=0,0,IF(OR(Q880=0,T880=0,V880=0,AND(X880=1,J880&lt;&gt;"Sim")),1,0))</f>
        <v>0</v>
      </c>
      <c r="Z880" s="96">
        <f>IF(Q880=1,INDEX('CDFs'!$W$6:$W$505,P880),0)</f>
        <v>0</v>
      </c>
      <c r="AA880" s="96">
        <f>IF(AND(N880=1,Y880=0,Z880=1,J880="Sim"),1,0)</f>
        <v>0</v>
      </c>
      <c r="AB880" s="96">
        <f>IF(AND(N880=1,O880&lt;&gt;"",D880&lt;&gt;""),IF(COUNTIFS($O$6:O880,O880,$D$6:D880,D880)=1,1,0),0)</f>
        <v>0</v>
      </c>
      <c r="AC880" s="96">
        <f>IF(T880=1,INDEX('ITENS_MTR'!$AL$6:$AL$1005,S880),0)</f>
        <v>0</v>
      </c>
    </row>
    <row r="881">
      <c r="A881" s="89" t="inlineStr">
        <is>
          <t>VIN-000876</t>
        </is>
      </c>
      <c r="B881" s="91" t="n"/>
      <c r="C881" s="91" t="n"/>
      <c r="D881" s="94" t="str">
        <f>IF(T881=1,INDEX('ITENS_MTR'!$S$6:$S$1005,S881)&amp;"","")</f>
        <v/>
      </c>
      <c r="E881" s="94" t="str">
        <f>IF(T881=1,INDEX('ITENS_MTR'!$C$6:$C$1005,S881)&amp;"","")</f>
        <v/>
      </c>
      <c r="F881" s="98" t="n"/>
      <c r="G881" s="91" t="n"/>
      <c r="H881" s="93" t="str">
        <f>IF(N881=0,"",IF(NOT(ISNUMBER(F881)),"",IF(ISNUMBER(U881),F881*U881,"UNIDADE A CONFERIR")))</f>
        <v/>
      </c>
      <c r="I881" s="94" t="str">
        <f>IF(Q881=1,INDEX('CDFs'!$F$6:$F$505,P881)&amp;"","")</f>
        <v/>
      </c>
      <c r="J881" s="91" t="n"/>
      <c r="K881" s="91" t="n"/>
      <c r="L881" s="94" t="str">
        <f>IF(N881=0,"",IF(NOT(ISNUMBER(F881)),"Quantidade não informada",IF(F881&lt;=0,"Quantidade não positiva",IF(G881="","Unidade não informada",IF(NOT(ISNUMBER(H881)),"Unidade a conferir",IF(AC881=1,"REVISAR VÍNCULO: soma vinculada maior que a referência do item","OK"))))))</f>
        <v/>
      </c>
      <c r="M881" s="94" t="str">
        <f>IF(N881=0,"",IF(B881="","CDF não informado",IF(Q881=0,"REVISAR VÍNCULO: CDF inexistente",IF(C881="","Item não informado",IF(T881=0,"REVISAR VÍNCULO: item inexistente",IF(AND(X881=1,J881&lt;&gt;"Sim"),"REVISAR VÍNCULO: destinador diferente do MTR",IF(X881=1,"Destinador diferente do MTR (analisado)","OK")))))))</f>
        <v/>
      </c>
      <c r="N881" s="96">
        <f>IF(COUNTA(B881:C881,F881:G881,J881:K881)&gt;0,1,0)</f>
        <v>0</v>
      </c>
      <c r="O881" s="96" t="str">
        <f>IF(B881="","",TRIM(LEFT(B881,FIND(" |",B881&amp;" |")-1)))</f>
        <v/>
      </c>
      <c r="P881" s="96" t="str">
        <f>IF(O881="","",IFERROR(MATCH(O881,'CDFs'!$A$6:$A$505,0),""))</f>
        <v/>
      </c>
      <c r="Q881" s="96">
        <f>IF(P881="",0,IF(INDEX('CDFs'!$S$6:$S$505,P881)=1,1,0))</f>
        <v>0</v>
      </c>
      <c r="R881" s="96" t="str">
        <f>IF(C881="","",TRIM(LEFT(C881,FIND(" |",C881&amp;" |")-1)))</f>
        <v/>
      </c>
      <c r="S881" s="96" t="str">
        <f>IF(R881="","",IFERROR(MATCH(R881,'ITENS_MTR'!$A$6:$A$1005,0),""))</f>
        <v/>
      </c>
      <c r="T881" s="96">
        <f>IF(S881="",0,IF(INDEX('ITENS_MTR'!$R$6:$R$1005,S881)=1,1,0))</f>
        <v>0</v>
      </c>
      <c r="U881" s="96" t="str">
        <f>IF(G881="","",IFERROR(IF(ISNUMBER(INDEX(cfg_fac,MATCH(G881,cfg_units,0))),IF(INDEX(cfg_fac,MATCH(G881,cfg_units,0))&gt;0,INDEX(cfg_fac,MATCH(G881,cfg_units,0)),""),""),""))</f>
        <v/>
      </c>
      <c r="V881" s="96">
        <f>IF(AND(ISNUMBER(F881),ISNUMBER(H881)),IF(H881&gt;0,1,0),0)</f>
        <v>0</v>
      </c>
      <c r="W881" s="96" t="str">
        <f>IF(T881=1,INDEX('ITENS_MTR'!$AU$6:$AU$1005,S881)&amp;"","")</f>
        <v/>
      </c>
      <c r="X881" s="96">
        <f>IF(AND(Q881=1,T881=1,I881&lt;&gt;"",W881&lt;&gt;""),IF(I881&lt;&gt;W881,1,0),0)</f>
        <v>0</v>
      </c>
      <c r="Y881" s="96">
        <f>IF(N881=0,0,IF(OR(Q881=0,T881=0,V881=0,AND(X881=1,J881&lt;&gt;"Sim")),1,0))</f>
        <v>0</v>
      </c>
      <c r="Z881" s="96">
        <f>IF(Q881=1,INDEX('CDFs'!$W$6:$W$505,P881),0)</f>
        <v>0</v>
      </c>
      <c r="AA881" s="96">
        <f>IF(AND(N881=1,Y881=0,Z881=1,J881="Sim"),1,0)</f>
        <v>0</v>
      </c>
      <c r="AB881" s="96">
        <f>IF(AND(N881=1,O881&lt;&gt;"",D881&lt;&gt;""),IF(COUNTIFS($O$6:O881,O881,$D$6:D881,D881)=1,1,0),0)</f>
        <v>0</v>
      </c>
      <c r="AC881" s="96">
        <f>IF(T881=1,INDEX('ITENS_MTR'!$AL$6:$AL$1005,S881),0)</f>
        <v>0</v>
      </c>
    </row>
    <row r="882">
      <c r="A882" s="89" t="inlineStr">
        <is>
          <t>VIN-000877</t>
        </is>
      </c>
      <c r="B882" s="91" t="n"/>
      <c r="C882" s="91" t="n"/>
      <c r="D882" s="94" t="str">
        <f>IF(T882=1,INDEX('ITENS_MTR'!$S$6:$S$1005,S882)&amp;"","")</f>
        <v/>
      </c>
      <c r="E882" s="94" t="str">
        <f>IF(T882=1,INDEX('ITENS_MTR'!$C$6:$C$1005,S882)&amp;"","")</f>
        <v/>
      </c>
      <c r="F882" s="98" t="n"/>
      <c r="G882" s="91" t="n"/>
      <c r="H882" s="93" t="str">
        <f>IF(N882=0,"",IF(NOT(ISNUMBER(F882)),"",IF(ISNUMBER(U882),F882*U882,"UNIDADE A CONFERIR")))</f>
        <v/>
      </c>
      <c r="I882" s="94" t="str">
        <f>IF(Q882=1,INDEX('CDFs'!$F$6:$F$505,P882)&amp;"","")</f>
        <v/>
      </c>
      <c r="J882" s="91" t="n"/>
      <c r="K882" s="91" t="n"/>
      <c r="L882" s="94" t="str">
        <f>IF(N882=0,"",IF(NOT(ISNUMBER(F882)),"Quantidade não informada",IF(F882&lt;=0,"Quantidade não positiva",IF(G882="","Unidade não informada",IF(NOT(ISNUMBER(H882)),"Unidade a conferir",IF(AC882=1,"REVISAR VÍNCULO: soma vinculada maior que a referência do item","OK"))))))</f>
        <v/>
      </c>
      <c r="M882" s="94" t="str">
        <f>IF(N882=0,"",IF(B882="","CDF não informado",IF(Q882=0,"REVISAR VÍNCULO: CDF inexistente",IF(C882="","Item não informado",IF(T882=0,"REVISAR VÍNCULO: item inexistente",IF(AND(X882=1,J882&lt;&gt;"Sim"),"REVISAR VÍNCULO: destinador diferente do MTR",IF(X882=1,"Destinador diferente do MTR (analisado)","OK")))))))</f>
        <v/>
      </c>
      <c r="N882" s="96">
        <f>IF(COUNTA(B882:C882,F882:G882,J882:K882)&gt;0,1,0)</f>
        <v>0</v>
      </c>
      <c r="O882" s="96" t="str">
        <f>IF(B882="","",TRIM(LEFT(B882,FIND(" |",B882&amp;" |")-1)))</f>
        <v/>
      </c>
      <c r="P882" s="96" t="str">
        <f>IF(O882="","",IFERROR(MATCH(O882,'CDFs'!$A$6:$A$505,0),""))</f>
        <v/>
      </c>
      <c r="Q882" s="96">
        <f>IF(P882="",0,IF(INDEX('CDFs'!$S$6:$S$505,P882)=1,1,0))</f>
        <v>0</v>
      </c>
      <c r="R882" s="96" t="str">
        <f>IF(C882="","",TRIM(LEFT(C882,FIND(" |",C882&amp;" |")-1)))</f>
        <v/>
      </c>
      <c r="S882" s="96" t="str">
        <f>IF(R882="","",IFERROR(MATCH(R882,'ITENS_MTR'!$A$6:$A$1005,0),""))</f>
        <v/>
      </c>
      <c r="T882" s="96">
        <f>IF(S882="",0,IF(INDEX('ITENS_MTR'!$R$6:$R$1005,S882)=1,1,0))</f>
        <v>0</v>
      </c>
      <c r="U882" s="96" t="str">
        <f>IF(G882="","",IFERROR(IF(ISNUMBER(INDEX(cfg_fac,MATCH(G882,cfg_units,0))),IF(INDEX(cfg_fac,MATCH(G882,cfg_units,0))&gt;0,INDEX(cfg_fac,MATCH(G882,cfg_units,0)),""),""),""))</f>
        <v/>
      </c>
      <c r="V882" s="96">
        <f>IF(AND(ISNUMBER(F882),ISNUMBER(H882)),IF(H882&gt;0,1,0),0)</f>
        <v>0</v>
      </c>
      <c r="W882" s="96" t="str">
        <f>IF(T882=1,INDEX('ITENS_MTR'!$AU$6:$AU$1005,S882)&amp;"","")</f>
        <v/>
      </c>
      <c r="X882" s="96">
        <f>IF(AND(Q882=1,T882=1,I882&lt;&gt;"",W882&lt;&gt;""),IF(I882&lt;&gt;W882,1,0),0)</f>
        <v>0</v>
      </c>
      <c r="Y882" s="96">
        <f>IF(N882=0,0,IF(OR(Q882=0,T882=0,V882=0,AND(X882=1,J882&lt;&gt;"Sim")),1,0))</f>
        <v>0</v>
      </c>
      <c r="Z882" s="96">
        <f>IF(Q882=1,INDEX('CDFs'!$W$6:$W$505,P882),0)</f>
        <v>0</v>
      </c>
      <c r="AA882" s="96">
        <f>IF(AND(N882=1,Y882=0,Z882=1,J882="Sim"),1,0)</f>
        <v>0</v>
      </c>
      <c r="AB882" s="96">
        <f>IF(AND(N882=1,O882&lt;&gt;"",D882&lt;&gt;""),IF(COUNTIFS($O$6:O882,O882,$D$6:D882,D882)=1,1,0),0)</f>
        <v>0</v>
      </c>
      <c r="AC882" s="96">
        <f>IF(T882=1,INDEX('ITENS_MTR'!$AL$6:$AL$1005,S882),0)</f>
        <v>0</v>
      </c>
    </row>
    <row r="883">
      <c r="A883" s="89" t="inlineStr">
        <is>
          <t>VIN-000878</t>
        </is>
      </c>
      <c r="B883" s="91" t="n"/>
      <c r="C883" s="91" t="n"/>
      <c r="D883" s="94" t="str">
        <f>IF(T883=1,INDEX('ITENS_MTR'!$S$6:$S$1005,S883)&amp;"","")</f>
        <v/>
      </c>
      <c r="E883" s="94" t="str">
        <f>IF(T883=1,INDEX('ITENS_MTR'!$C$6:$C$1005,S883)&amp;"","")</f>
        <v/>
      </c>
      <c r="F883" s="98" t="n"/>
      <c r="G883" s="91" t="n"/>
      <c r="H883" s="93" t="str">
        <f>IF(N883=0,"",IF(NOT(ISNUMBER(F883)),"",IF(ISNUMBER(U883),F883*U883,"UNIDADE A CONFERIR")))</f>
        <v/>
      </c>
      <c r="I883" s="94" t="str">
        <f>IF(Q883=1,INDEX('CDFs'!$F$6:$F$505,P883)&amp;"","")</f>
        <v/>
      </c>
      <c r="J883" s="91" t="n"/>
      <c r="K883" s="91" t="n"/>
      <c r="L883" s="94" t="str">
        <f>IF(N883=0,"",IF(NOT(ISNUMBER(F883)),"Quantidade não informada",IF(F883&lt;=0,"Quantidade não positiva",IF(G883="","Unidade não informada",IF(NOT(ISNUMBER(H883)),"Unidade a conferir",IF(AC883=1,"REVISAR VÍNCULO: soma vinculada maior que a referência do item","OK"))))))</f>
        <v/>
      </c>
      <c r="M883" s="94" t="str">
        <f>IF(N883=0,"",IF(B883="","CDF não informado",IF(Q883=0,"REVISAR VÍNCULO: CDF inexistente",IF(C883="","Item não informado",IF(T883=0,"REVISAR VÍNCULO: item inexistente",IF(AND(X883=1,J883&lt;&gt;"Sim"),"REVISAR VÍNCULO: destinador diferente do MTR",IF(X883=1,"Destinador diferente do MTR (analisado)","OK")))))))</f>
        <v/>
      </c>
      <c r="N883" s="96">
        <f>IF(COUNTA(B883:C883,F883:G883,J883:K883)&gt;0,1,0)</f>
        <v>0</v>
      </c>
      <c r="O883" s="96" t="str">
        <f>IF(B883="","",TRIM(LEFT(B883,FIND(" |",B883&amp;" |")-1)))</f>
        <v/>
      </c>
      <c r="P883" s="96" t="str">
        <f>IF(O883="","",IFERROR(MATCH(O883,'CDFs'!$A$6:$A$505,0),""))</f>
        <v/>
      </c>
      <c r="Q883" s="96">
        <f>IF(P883="",0,IF(INDEX('CDFs'!$S$6:$S$505,P883)=1,1,0))</f>
        <v>0</v>
      </c>
      <c r="R883" s="96" t="str">
        <f>IF(C883="","",TRIM(LEFT(C883,FIND(" |",C883&amp;" |")-1)))</f>
        <v/>
      </c>
      <c r="S883" s="96" t="str">
        <f>IF(R883="","",IFERROR(MATCH(R883,'ITENS_MTR'!$A$6:$A$1005,0),""))</f>
        <v/>
      </c>
      <c r="T883" s="96">
        <f>IF(S883="",0,IF(INDEX('ITENS_MTR'!$R$6:$R$1005,S883)=1,1,0))</f>
        <v>0</v>
      </c>
      <c r="U883" s="96" t="str">
        <f>IF(G883="","",IFERROR(IF(ISNUMBER(INDEX(cfg_fac,MATCH(G883,cfg_units,0))),IF(INDEX(cfg_fac,MATCH(G883,cfg_units,0))&gt;0,INDEX(cfg_fac,MATCH(G883,cfg_units,0)),""),""),""))</f>
        <v/>
      </c>
      <c r="V883" s="96">
        <f>IF(AND(ISNUMBER(F883),ISNUMBER(H883)),IF(H883&gt;0,1,0),0)</f>
        <v>0</v>
      </c>
      <c r="W883" s="96" t="str">
        <f>IF(T883=1,INDEX('ITENS_MTR'!$AU$6:$AU$1005,S883)&amp;"","")</f>
        <v/>
      </c>
      <c r="X883" s="96">
        <f>IF(AND(Q883=1,T883=1,I883&lt;&gt;"",W883&lt;&gt;""),IF(I883&lt;&gt;W883,1,0),0)</f>
        <v>0</v>
      </c>
      <c r="Y883" s="96">
        <f>IF(N883=0,0,IF(OR(Q883=0,T883=0,V883=0,AND(X883=1,J883&lt;&gt;"Sim")),1,0))</f>
        <v>0</v>
      </c>
      <c r="Z883" s="96">
        <f>IF(Q883=1,INDEX('CDFs'!$W$6:$W$505,P883),0)</f>
        <v>0</v>
      </c>
      <c r="AA883" s="96">
        <f>IF(AND(N883=1,Y883=0,Z883=1,J883="Sim"),1,0)</f>
        <v>0</v>
      </c>
      <c r="AB883" s="96">
        <f>IF(AND(N883=1,O883&lt;&gt;"",D883&lt;&gt;""),IF(COUNTIFS($O$6:O883,O883,$D$6:D883,D883)=1,1,0),0)</f>
        <v>0</v>
      </c>
      <c r="AC883" s="96">
        <f>IF(T883=1,INDEX('ITENS_MTR'!$AL$6:$AL$1005,S883),0)</f>
        <v>0</v>
      </c>
    </row>
    <row r="884">
      <c r="A884" s="89" t="inlineStr">
        <is>
          <t>VIN-000879</t>
        </is>
      </c>
      <c r="B884" s="91" t="n"/>
      <c r="C884" s="91" t="n"/>
      <c r="D884" s="94" t="str">
        <f>IF(T884=1,INDEX('ITENS_MTR'!$S$6:$S$1005,S884)&amp;"","")</f>
        <v/>
      </c>
      <c r="E884" s="94" t="str">
        <f>IF(T884=1,INDEX('ITENS_MTR'!$C$6:$C$1005,S884)&amp;"","")</f>
        <v/>
      </c>
      <c r="F884" s="98" t="n"/>
      <c r="G884" s="91" t="n"/>
      <c r="H884" s="93" t="str">
        <f>IF(N884=0,"",IF(NOT(ISNUMBER(F884)),"",IF(ISNUMBER(U884),F884*U884,"UNIDADE A CONFERIR")))</f>
        <v/>
      </c>
      <c r="I884" s="94" t="str">
        <f>IF(Q884=1,INDEX('CDFs'!$F$6:$F$505,P884)&amp;"","")</f>
        <v/>
      </c>
      <c r="J884" s="91" t="n"/>
      <c r="K884" s="91" t="n"/>
      <c r="L884" s="94" t="str">
        <f>IF(N884=0,"",IF(NOT(ISNUMBER(F884)),"Quantidade não informada",IF(F884&lt;=0,"Quantidade não positiva",IF(G884="","Unidade não informada",IF(NOT(ISNUMBER(H884)),"Unidade a conferir",IF(AC884=1,"REVISAR VÍNCULO: soma vinculada maior que a referência do item","OK"))))))</f>
        <v/>
      </c>
      <c r="M884" s="94" t="str">
        <f>IF(N884=0,"",IF(B884="","CDF não informado",IF(Q884=0,"REVISAR VÍNCULO: CDF inexistente",IF(C884="","Item não informado",IF(T884=0,"REVISAR VÍNCULO: item inexistente",IF(AND(X884=1,J884&lt;&gt;"Sim"),"REVISAR VÍNCULO: destinador diferente do MTR",IF(X884=1,"Destinador diferente do MTR (analisado)","OK")))))))</f>
        <v/>
      </c>
      <c r="N884" s="96">
        <f>IF(COUNTA(B884:C884,F884:G884,J884:K884)&gt;0,1,0)</f>
        <v>0</v>
      </c>
      <c r="O884" s="96" t="str">
        <f>IF(B884="","",TRIM(LEFT(B884,FIND(" |",B884&amp;" |")-1)))</f>
        <v/>
      </c>
      <c r="P884" s="96" t="str">
        <f>IF(O884="","",IFERROR(MATCH(O884,'CDFs'!$A$6:$A$505,0),""))</f>
        <v/>
      </c>
      <c r="Q884" s="96">
        <f>IF(P884="",0,IF(INDEX('CDFs'!$S$6:$S$505,P884)=1,1,0))</f>
        <v>0</v>
      </c>
      <c r="R884" s="96" t="str">
        <f>IF(C884="","",TRIM(LEFT(C884,FIND(" |",C884&amp;" |")-1)))</f>
        <v/>
      </c>
      <c r="S884" s="96" t="str">
        <f>IF(R884="","",IFERROR(MATCH(R884,'ITENS_MTR'!$A$6:$A$1005,0),""))</f>
        <v/>
      </c>
      <c r="T884" s="96">
        <f>IF(S884="",0,IF(INDEX('ITENS_MTR'!$R$6:$R$1005,S884)=1,1,0))</f>
        <v>0</v>
      </c>
      <c r="U884" s="96" t="str">
        <f>IF(G884="","",IFERROR(IF(ISNUMBER(INDEX(cfg_fac,MATCH(G884,cfg_units,0))),IF(INDEX(cfg_fac,MATCH(G884,cfg_units,0))&gt;0,INDEX(cfg_fac,MATCH(G884,cfg_units,0)),""),""),""))</f>
        <v/>
      </c>
      <c r="V884" s="96">
        <f>IF(AND(ISNUMBER(F884),ISNUMBER(H884)),IF(H884&gt;0,1,0),0)</f>
        <v>0</v>
      </c>
      <c r="W884" s="96" t="str">
        <f>IF(T884=1,INDEX('ITENS_MTR'!$AU$6:$AU$1005,S884)&amp;"","")</f>
        <v/>
      </c>
      <c r="X884" s="96">
        <f>IF(AND(Q884=1,T884=1,I884&lt;&gt;"",W884&lt;&gt;""),IF(I884&lt;&gt;W884,1,0),0)</f>
        <v>0</v>
      </c>
      <c r="Y884" s="96">
        <f>IF(N884=0,0,IF(OR(Q884=0,T884=0,V884=0,AND(X884=1,J884&lt;&gt;"Sim")),1,0))</f>
        <v>0</v>
      </c>
      <c r="Z884" s="96">
        <f>IF(Q884=1,INDEX('CDFs'!$W$6:$W$505,P884),0)</f>
        <v>0</v>
      </c>
      <c r="AA884" s="96">
        <f>IF(AND(N884=1,Y884=0,Z884=1,J884="Sim"),1,0)</f>
        <v>0</v>
      </c>
      <c r="AB884" s="96">
        <f>IF(AND(N884=1,O884&lt;&gt;"",D884&lt;&gt;""),IF(COUNTIFS($O$6:O884,O884,$D$6:D884,D884)=1,1,0),0)</f>
        <v>0</v>
      </c>
      <c r="AC884" s="96">
        <f>IF(T884=1,INDEX('ITENS_MTR'!$AL$6:$AL$1005,S884),0)</f>
        <v>0</v>
      </c>
    </row>
    <row r="885">
      <c r="A885" s="89" t="inlineStr">
        <is>
          <t>VIN-000880</t>
        </is>
      </c>
      <c r="B885" s="91" t="n"/>
      <c r="C885" s="91" t="n"/>
      <c r="D885" s="94" t="str">
        <f>IF(T885=1,INDEX('ITENS_MTR'!$S$6:$S$1005,S885)&amp;"","")</f>
        <v/>
      </c>
      <c r="E885" s="94" t="str">
        <f>IF(T885=1,INDEX('ITENS_MTR'!$C$6:$C$1005,S885)&amp;"","")</f>
        <v/>
      </c>
      <c r="F885" s="98" t="n"/>
      <c r="G885" s="91" t="n"/>
      <c r="H885" s="93" t="str">
        <f>IF(N885=0,"",IF(NOT(ISNUMBER(F885)),"",IF(ISNUMBER(U885),F885*U885,"UNIDADE A CONFERIR")))</f>
        <v/>
      </c>
      <c r="I885" s="94" t="str">
        <f>IF(Q885=1,INDEX('CDFs'!$F$6:$F$505,P885)&amp;"","")</f>
        <v/>
      </c>
      <c r="J885" s="91" t="n"/>
      <c r="K885" s="91" t="n"/>
      <c r="L885" s="94" t="str">
        <f>IF(N885=0,"",IF(NOT(ISNUMBER(F885)),"Quantidade não informada",IF(F885&lt;=0,"Quantidade não positiva",IF(G885="","Unidade não informada",IF(NOT(ISNUMBER(H885)),"Unidade a conferir",IF(AC885=1,"REVISAR VÍNCULO: soma vinculada maior que a referência do item","OK"))))))</f>
        <v/>
      </c>
      <c r="M885" s="94" t="str">
        <f>IF(N885=0,"",IF(B885="","CDF não informado",IF(Q885=0,"REVISAR VÍNCULO: CDF inexistente",IF(C885="","Item não informado",IF(T885=0,"REVISAR VÍNCULO: item inexistente",IF(AND(X885=1,J885&lt;&gt;"Sim"),"REVISAR VÍNCULO: destinador diferente do MTR",IF(X885=1,"Destinador diferente do MTR (analisado)","OK")))))))</f>
        <v/>
      </c>
      <c r="N885" s="96">
        <f>IF(COUNTA(B885:C885,F885:G885,J885:K885)&gt;0,1,0)</f>
        <v>0</v>
      </c>
      <c r="O885" s="96" t="str">
        <f>IF(B885="","",TRIM(LEFT(B885,FIND(" |",B885&amp;" |")-1)))</f>
        <v/>
      </c>
      <c r="P885" s="96" t="str">
        <f>IF(O885="","",IFERROR(MATCH(O885,'CDFs'!$A$6:$A$505,0),""))</f>
        <v/>
      </c>
      <c r="Q885" s="96">
        <f>IF(P885="",0,IF(INDEX('CDFs'!$S$6:$S$505,P885)=1,1,0))</f>
        <v>0</v>
      </c>
      <c r="R885" s="96" t="str">
        <f>IF(C885="","",TRIM(LEFT(C885,FIND(" |",C885&amp;" |")-1)))</f>
        <v/>
      </c>
      <c r="S885" s="96" t="str">
        <f>IF(R885="","",IFERROR(MATCH(R885,'ITENS_MTR'!$A$6:$A$1005,0),""))</f>
        <v/>
      </c>
      <c r="T885" s="96">
        <f>IF(S885="",0,IF(INDEX('ITENS_MTR'!$R$6:$R$1005,S885)=1,1,0))</f>
        <v>0</v>
      </c>
      <c r="U885" s="96" t="str">
        <f>IF(G885="","",IFERROR(IF(ISNUMBER(INDEX(cfg_fac,MATCH(G885,cfg_units,0))),IF(INDEX(cfg_fac,MATCH(G885,cfg_units,0))&gt;0,INDEX(cfg_fac,MATCH(G885,cfg_units,0)),""),""),""))</f>
        <v/>
      </c>
      <c r="V885" s="96">
        <f>IF(AND(ISNUMBER(F885),ISNUMBER(H885)),IF(H885&gt;0,1,0),0)</f>
        <v>0</v>
      </c>
      <c r="W885" s="96" t="str">
        <f>IF(T885=1,INDEX('ITENS_MTR'!$AU$6:$AU$1005,S885)&amp;"","")</f>
        <v/>
      </c>
      <c r="X885" s="96">
        <f>IF(AND(Q885=1,T885=1,I885&lt;&gt;"",W885&lt;&gt;""),IF(I885&lt;&gt;W885,1,0),0)</f>
        <v>0</v>
      </c>
      <c r="Y885" s="96">
        <f>IF(N885=0,0,IF(OR(Q885=0,T885=0,V885=0,AND(X885=1,J885&lt;&gt;"Sim")),1,0))</f>
        <v>0</v>
      </c>
      <c r="Z885" s="96">
        <f>IF(Q885=1,INDEX('CDFs'!$W$6:$W$505,P885),0)</f>
        <v>0</v>
      </c>
      <c r="AA885" s="96">
        <f>IF(AND(N885=1,Y885=0,Z885=1,J885="Sim"),1,0)</f>
        <v>0</v>
      </c>
      <c r="AB885" s="96">
        <f>IF(AND(N885=1,O885&lt;&gt;"",D885&lt;&gt;""),IF(COUNTIFS($O$6:O885,O885,$D$6:D885,D885)=1,1,0),0)</f>
        <v>0</v>
      </c>
      <c r="AC885" s="96">
        <f>IF(T885=1,INDEX('ITENS_MTR'!$AL$6:$AL$1005,S885),0)</f>
        <v>0</v>
      </c>
    </row>
    <row r="886">
      <c r="A886" s="89" t="inlineStr">
        <is>
          <t>VIN-000881</t>
        </is>
      </c>
      <c r="B886" s="91" t="n"/>
      <c r="C886" s="91" t="n"/>
      <c r="D886" s="94" t="str">
        <f>IF(T886=1,INDEX('ITENS_MTR'!$S$6:$S$1005,S886)&amp;"","")</f>
        <v/>
      </c>
      <c r="E886" s="94" t="str">
        <f>IF(T886=1,INDEX('ITENS_MTR'!$C$6:$C$1005,S886)&amp;"","")</f>
        <v/>
      </c>
      <c r="F886" s="98" t="n"/>
      <c r="G886" s="91" t="n"/>
      <c r="H886" s="93" t="str">
        <f>IF(N886=0,"",IF(NOT(ISNUMBER(F886)),"",IF(ISNUMBER(U886),F886*U886,"UNIDADE A CONFERIR")))</f>
        <v/>
      </c>
      <c r="I886" s="94" t="str">
        <f>IF(Q886=1,INDEX('CDFs'!$F$6:$F$505,P886)&amp;"","")</f>
        <v/>
      </c>
      <c r="J886" s="91" t="n"/>
      <c r="K886" s="91" t="n"/>
      <c r="L886" s="94" t="str">
        <f>IF(N886=0,"",IF(NOT(ISNUMBER(F886)),"Quantidade não informada",IF(F886&lt;=0,"Quantidade não positiva",IF(G886="","Unidade não informada",IF(NOT(ISNUMBER(H886)),"Unidade a conferir",IF(AC886=1,"REVISAR VÍNCULO: soma vinculada maior que a referência do item","OK"))))))</f>
        <v/>
      </c>
      <c r="M886" s="94" t="str">
        <f>IF(N886=0,"",IF(B886="","CDF não informado",IF(Q886=0,"REVISAR VÍNCULO: CDF inexistente",IF(C886="","Item não informado",IF(T886=0,"REVISAR VÍNCULO: item inexistente",IF(AND(X886=1,J886&lt;&gt;"Sim"),"REVISAR VÍNCULO: destinador diferente do MTR",IF(X886=1,"Destinador diferente do MTR (analisado)","OK")))))))</f>
        <v/>
      </c>
      <c r="N886" s="96">
        <f>IF(COUNTA(B886:C886,F886:G886,J886:K886)&gt;0,1,0)</f>
        <v>0</v>
      </c>
      <c r="O886" s="96" t="str">
        <f>IF(B886="","",TRIM(LEFT(B886,FIND(" |",B886&amp;" |")-1)))</f>
        <v/>
      </c>
      <c r="P886" s="96" t="str">
        <f>IF(O886="","",IFERROR(MATCH(O886,'CDFs'!$A$6:$A$505,0),""))</f>
        <v/>
      </c>
      <c r="Q886" s="96">
        <f>IF(P886="",0,IF(INDEX('CDFs'!$S$6:$S$505,P886)=1,1,0))</f>
        <v>0</v>
      </c>
      <c r="R886" s="96" t="str">
        <f>IF(C886="","",TRIM(LEFT(C886,FIND(" |",C886&amp;" |")-1)))</f>
        <v/>
      </c>
      <c r="S886" s="96" t="str">
        <f>IF(R886="","",IFERROR(MATCH(R886,'ITENS_MTR'!$A$6:$A$1005,0),""))</f>
        <v/>
      </c>
      <c r="T886" s="96">
        <f>IF(S886="",0,IF(INDEX('ITENS_MTR'!$R$6:$R$1005,S886)=1,1,0))</f>
        <v>0</v>
      </c>
      <c r="U886" s="96" t="str">
        <f>IF(G886="","",IFERROR(IF(ISNUMBER(INDEX(cfg_fac,MATCH(G886,cfg_units,0))),IF(INDEX(cfg_fac,MATCH(G886,cfg_units,0))&gt;0,INDEX(cfg_fac,MATCH(G886,cfg_units,0)),""),""),""))</f>
        <v/>
      </c>
      <c r="V886" s="96">
        <f>IF(AND(ISNUMBER(F886),ISNUMBER(H886)),IF(H886&gt;0,1,0),0)</f>
        <v>0</v>
      </c>
      <c r="W886" s="96" t="str">
        <f>IF(T886=1,INDEX('ITENS_MTR'!$AU$6:$AU$1005,S886)&amp;"","")</f>
        <v/>
      </c>
      <c r="X886" s="96">
        <f>IF(AND(Q886=1,T886=1,I886&lt;&gt;"",W886&lt;&gt;""),IF(I886&lt;&gt;W886,1,0),0)</f>
        <v>0</v>
      </c>
      <c r="Y886" s="96">
        <f>IF(N886=0,0,IF(OR(Q886=0,T886=0,V886=0,AND(X886=1,J886&lt;&gt;"Sim")),1,0))</f>
        <v>0</v>
      </c>
      <c r="Z886" s="96">
        <f>IF(Q886=1,INDEX('CDFs'!$W$6:$W$505,P886),0)</f>
        <v>0</v>
      </c>
      <c r="AA886" s="96">
        <f>IF(AND(N886=1,Y886=0,Z886=1,J886="Sim"),1,0)</f>
        <v>0</v>
      </c>
      <c r="AB886" s="96">
        <f>IF(AND(N886=1,O886&lt;&gt;"",D886&lt;&gt;""),IF(COUNTIFS($O$6:O886,O886,$D$6:D886,D886)=1,1,0),0)</f>
        <v>0</v>
      </c>
      <c r="AC886" s="96">
        <f>IF(T886=1,INDEX('ITENS_MTR'!$AL$6:$AL$1005,S886),0)</f>
        <v>0</v>
      </c>
    </row>
    <row r="887">
      <c r="A887" s="89" t="inlineStr">
        <is>
          <t>VIN-000882</t>
        </is>
      </c>
      <c r="B887" s="91" t="n"/>
      <c r="C887" s="91" t="n"/>
      <c r="D887" s="94" t="str">
        <f>IF(T887=1,INDEX('ITENS_MTR'!$S$6:$S$1005,S887)&amp;"","")</f>
        <v/>
      </c>
      <c r="E887" s="94" t="str">
        <f>IF(T887=1,INDEX('ITENS_MTR'!$C$6:$C$1005,S887)&amp;"","")</f>
        <v/>
      </c>
      <c r="F887" s="98" t="n"/>
      <c r="G887" s="91" t="n"/>
      <c r="H887" s="93" t="str">
        <f>IF(N887=0,"",IF(NOT(ISNUMBER(F887)),"",IF(ISNUMBER(U887),F887*U887,"UNIDADE A CONFERIR")))</f>
        <v/>
      </c>
      <c r="I887" s="94" t="str">
        <f>IF(Q887=1,INDEX('CDFs'!$F$6:$F$505,P887)&amp;"","")</f>
        <v/>
      </c>
      <c r="J887" s="91" t="n"/>
      <c r="K887" s="91" t="n"/>
      <c r="L887" s="94" t="str">
        <f>IF(N887=0,"",IF(NOT(ISNUMBER(F887)),"Quantidade não informada",IF(F887&lt;=0,"Quantidade não positiva",IF(G887="","Unidade não informada",IF(NOT(ISNUMBER(H887)),"Unidade a conferir",IF(AC887=1,"REVISAR VÍNCULO: soma vinculada maior que a referência do item","OK"))))))</f>
        <v/>
      </c>
      <c r="M887" s="94" t="str">
        <f>IF(N887=0,"",IF(B887="","CDF não informado",IF(Q887=0,"REVISAR VÍNCULO: CDF inexistente",IF(C887="","Item não informado",IF(T887=0,"REVISAR VÍNCULO: item inexistente",IF(AND(X887=1,J887&lt;&gt;"Sim"),"REVISAR VÍNCULO: destinador diferente do MTR",IF(X887=1,"Destinador diferente do MTR (analisado)","OK")))))))</f>
        <v/>
      </c>
      <c r="N887" s="96">
        <f>IF(COUNTA(B887:C887,F887:G887,J887:K887)&gt;0,1,0)</f>
        <v>0</v>
      </c>
      <c r="O887" s="96" t="str">
        <f>IF(B887="","",TRIM(LEFT(B887,FIND(" |",B887&amp;" |")-1)))</f>
        <v/>
      </c>
      <c r="P887" s="96" t="str">
        <f>IF(O887="","",IFERROR(MATCH(O887,'CDFs'!$A$6:$A$505,0),""))</f>
        <v/>
      </c>
      <c r="Q887" s="96">
        <f>IF(P887="",0,IF(INDEX('CDFs'!$S$6:$S$505,P887)=1,1,0))</f>
        <v>0</v>
      </c>
      <c r="R887" s="96" t="str">
        <f>IF(C887="","",TRIM(LEFT(C887,FIND(" |",C887&amp;" |")-1)))</f>
        <v/>
      </c>
      <c r="S887" s="96" t="str">
        <f>IF(R887="","",IFERROR(MATCH(R887,'ITENS_MTR'!$A$6:$A$1005,0),""))</f>
        <v/>
      </c>
      <c r="T887" s="96">
        <f>IF(S887="",0,IF(INDEX('ITENS_MTR'!$R$6:$R$1005,S887)=1,1,0))</f>
        <v>0</v>
      </c>
      <c r="U887" s="96" t="str">
        <f>IF(G887="","",IFERROR(IF(ISNUMBER(INDEX(cfg_fac,MATCH(G887,cfg_units,0))),IF(INDEX(cfg_fac,MATCH(G887,cfg_units,0))&gt;0,INDEX(cfg_fac,MATCH(G887,cfg_units,0)),""),""),""))</f>
        <v/>
      </c>
      <c r="V887" s="96">
        <f>IF(AND(ISNUMBER(F887),ISNUMBER(H887)),IF(H887&gt;0,1,0),0)</f>
        <v>0</v>
      </c>
      <c r="W887" s="96" t="str">
        <f>IF(T887=1,INDEX('ITENS_MTR'!$AU$6:$AU$1005,S887)&amp;"","")</f>
        <v/>
      </c>
      <c r="X887" s="96">
        <f>IF(AND(Q887=1,T887=1,I887&lt;&gt;"",W887&lt;&gt;""),IF(I887&lt;&gt;W887,1,0),0)</f>
        <v>0</v>
      </c>
      <c r="Y887" s="96">
        <f>IF(N887=0,0,IF(OR(Q887=0,T887=0,V887=0,AND(X887=1,J887&lt;&gt;"Sim")),1,0))</f>
        <v>0</v>
      </c>
      <c r="Z887" s="96">
        <f>IF(Q887=1,INDEX('CDFs'!$W$6:$W$505,P887),0)</f>
        <v>0</v>
      </c>
      <c r="AA887" s="96">
        <f>IF(AND(N887=1,Y887=0,Z887=1,J887="Sim"),1,0)</f>
        <v>0</v>
      </c>
      <c r="AB887" s="96">
        <f>IF(AND(N887=1,O887&lt;&gt;"",D887&lt;&gt;""),IF(COUNTIFS($O$6:O887,O887,$D$6:D887,D887)=1,1,0),0)</f>
        <v>0</v>
      </c>
      <c r="AC887" s="96">
        <f>IF(T887=1,INDEX('ITENS_MTR'!$AL$6:$AL$1005,S887),0)</f>
        <v>0</v>
      </c>
    </row>
    <row r="888">
      <c r="A888" s="89" t="inlineStr">
        <is>
          <t>VIN-000883</t>
        </is>
      </c>
      <c r="B888" s="91" t="n"/>
      <c r="C888" s="91" t="n"/>
      <c r="D888" s="94" t="str">
        <f>IF(T888=1,INDEX('ITENS_MTR'!$S$6:$S$1005,S888)&amp;"","")</f>
        <v/>
      </c>
      <c r="E888" s="94" t="str">
        <f>IF(T888=1,INDEX('ITENS_MTR'!$C$6:$C$1005,S888)&amp;"","")</f>
        <v/>
      </c>
      <c r="F888" s="98" t="n"/>
      <c r="G888" s="91" t="n"/>
      <c r="H888" s="93" t="str">
        <f>IF(N888=0,"",IF(NOT(ISNUMBER(F888)),"",IF(ISNUMBER(U888),F888*U888,"UNIDADE A CONFERIR")))</f>
        <v/>
      </c>
      <c r="I888" s="94" t="str">
        <f>IF(Q888=1,INDEX('CDFs'!$F$6:$F$505,P888)&amp;"","")</f>
        <v/>
      </c>
      <c r="J888" s="91" t="n"/>
      <c r="K888" s="91" t="n"/>
      <c r="L888" s="94" t="str">
        <f>IF(N888=0,"",IF(NOT(ISNUMBER(F888)),"Quantidade não informada",IF(F888&lt;=0,"Quantidade não positiva",IF(G888="","Unidade não informada",IF(NOT(ISNUMBER(H888)),"Unidade a conferir",IF(AC888=1,"REVISAR VÍNCULO: soma vinculada maior que a referência do item","OK"))))))</f>
        <v/>
      </c>
      <c r="M888" s="94" t="str">
        <f>IF(N888=0,"",IF(B888="","CDF não informado",IF(Q888=0,"REVISAR VÍNCULO: CDF inexistente",IF(C888="","Item não informado",IF(T888=0,"REVISAR VÍNCULO: item inexistente",IF(AND(X888=1,J888&lt;&gt;"Sim"),"REVISAR VÍNCULO: destinador diferente do MTR",IF(X888=1,"Destinador diferente do MTR (analisado)","OK")))))))</f>
        <v/>
      </c>
      <c r="N888" s="96">
        <f>IF(COUNTA(B888:C888,F888:G888,J888:K888)&gt;0,1,0)</f>
        <v>0</v>
      </c>
      <c r="O888" s="96" t="str">
        <f>IF(B888="","",TRIM(LEFT(B888,FIND(" |",B888&amp;" |")-1)))</f>
        <v/>
      </c>
      <c r="P888" s="96" t="str">
        <f>IF(O888="","",IFERROR(MATCH(O888,'CDFs'!$A$6:$A$505,0),""))</f>
        <v/>
      </c>
      <c r="Q888" s="96">
        <f>IF(P888="",0,IF(INDEX('CDFs'!$S$6:$S$505,P888)=1,1,0))</f>
        <v>0</v>
      </c>
      <c r="R888" s="96" t="str">
        <f>IF(C888="","",TRIM(LEFT(C888,FIND(" |",C888&amp;" |")-1)))</f>
        <v/>
      </c>
      <c r="S888" s="96" t="str">
        <f>IF(R888="","",IFERROR(MATCH(R888,'ITENS_MTR'!$A$6:$A$1005,0),""))</f>
        <v/>
      </c>
      <c r="T888" s="96">
        <f>IF(S888="",0,IF(INDEX('ITENS_MTR'!$R$6:$R$1005,S888)=1,1,0))</f>
        <v>0</v>
      </c>
      <c r="U888" s="96" t="str">
        <f>IF(G888="","",IFERROR(IF(ISNUMBER(INDEX(cfg_fac,MATCH(G888,cfg_units,0))),IF(INDEX(cfg_fac,MATCH(G888,cfg_units,0))&gt;0,INDEX(cfg_fac,MATCH(G888,cfg_units,0)),""),""),""))</f>
        <v/>
      </c>
      <c r="V888" s="96">
        <f>IF(AND(ISNUMBER(F888),ISNUMBER(H888)),IF(H888&gt;0,1,0),0)</f>
        <v>0</v>
      </c>
      <c r="W888" s="96" t="str">
        <f>IF(T888=1,INDEX('ITENS_MTR'!$AU$6:$AU$1005,S888)&amp;"","")</f>
        <v/>
      </c>
      <c r="X888" s="96">
        <f>IF(AND(Q888=1,T888=1,I888&lt;&gt;"",W888&lt;&gt;""),IF(I888&lt;&gt;W888,1,0),0)</f>
        <v>0</v>
      </c>
      <c r="Y888" s="96">
        <f>IF(N888=0,0,IF(OR(Q888=0,T888=0,V888=0,AND(X888=1,J888&lt;&gt;"Sim")),1,0))</f>
        <v>0</v>
      </c>
      <c r="Z888" s="96">
        <f>IF(Q888=1,INDEX('CDFs'!$W$6:$W$505,P888),0)</f>
        <v>0</v>
      </c>
      <c r="AA888" s="96">
        <f>IF(AND(N888=1,Y888=0,Z888=1,J888="Sim"),1,0)</f>
        <v>0</v>
      </c>
      <c r="AB888" s="96">
        <f>IF(AND(N888=1,O888&lt;&gt;"",D888&lt;&gt;""),IF(COUNTIFS($O$6:O888,O888,$D$6:D888,D888)=1,1,0),0)</f>
        <v>0</v>
      </c>
      <c r="AC888" s="96">
        <f>IF(T888=1,INDEX('ITENS_MTR'!$AL$6:$AL$1005,S888),0)</f>
        <v>0</v>
      </c>
    </row>
    <row r="889">
      <c r="A889" s="89" t="inlineStr">
        <is>
          <t>VIN-000884</t>
        </is>
      </c>
      <c r="B889" s="91" t="n"/>
      <c r="C889" s="91" t="n"/>
      <c r="D889" s="94" t="str">
        <f>IF(T889=1,INDEX('ITENS_MTR'!$S$6:$S$1005,S889)&amp;"","")</f>
        <v/>
      </c>
      <c r="E889" s="94" t="str">
        <f>IF(T889=1,INDEX('ITENS_MTR'!$C$6:$C$1005,S889)&amp;"","")</f>
        <v/>
      </c>
      <c r="F889" s="98" t="n"/>
      <c r="G889" s="91" t="n"/>
      <c r="H889" s="93" t="str">
        <f>IF(N889=0,"",IF(NOT(ISNUMBER(F889)),"",IF(ISNUMBER(U889),F889*U889,"UNIDADE A CONFERIR")))</f>
        <v/>
      </c>
      <c r="I889" s="94" t="str">
        <f>IF(Q889=1,INDEX('CDFs'!$F$6:$F$505,P889)&amp;"","")</f>
        <v/>
      </c>
      <c r="J889" s="91" t="n"/>
      <c r="K889" s="91" t="n"/>
      <c r="L889" s="94" t="str">
        <f>IF(N889=0,"",IF(NOT(ISNUMBER(F889)),"Quantidade não informada",IF(F889&lt;=0,"Quantidade não positiva",IF(G889="","Unidade não informada",IF(NOT(ISNUMBER(H889)),"Unidade a conferir",IF(AC889=1,"REVISAR VÍNCULO: soma vinculada maior que a referência do item","OK"))))))</f>
        <v/>
      </c>
      <c r="M889" s="94" t="str">
        <f>IF(N889=0,"",IF(B889="","CDF não informado",IF(Q889=0,"REVISAR VÍNCULO: CDF inexistente",IF(C889="","Item não informado",IF(T889=0,"REVISAR VÍNCULO: item inexistente",IF(AND(X889=1,J889&lt;&gt;"Sim"),"REVISAR VÍNCULO: destinador diferente do MTR",IF(X889=1,"Destinador diferente do MTR (analisado)","OK")))))))</f>
        <v/>
      </c>
      <c r="N889" s="96">
        <f>IF(COUNTA(B889:C889,F889:G889,J889:K889)&gt;0,1,0)</f>
        <v>0</v>
      </c>
      <c r="O889" s="96" t="str">
        <f>IF(B889="","",TRIM(LEFT(B889,FIND(" |",B889&amp;" |")-1)))</f>
        <v/>
      </c>
      <c r="P889" s="96" t="str">
        <f>IF(O889="","",IFERROR(MATCH(O889,'CDFs'!$A$6:$A$505,0),""))</f>
        <v/>
      </c>
      <c r="Q889" s="96">
        <f>IF(P889="",0,IF(INDEX('CDFs'!$S$6:$S$505,P889)=1,1,0))</f>
        <v>0</v>
      </c>
      <c r="R889" s="96" t="str">
        <f>IF(C889="","",TRIM(LEFT(C889,FIND(" |",C889&amp;" |")-1)))</f>
        <v/>
      </c>
      <c r="S889" s="96" t="str">
        <f>IF(R889="","",IFERROR(MATCH(R889,'ITENS_MTR'!$A$6:$A$1005,0),""))</f>
        <v/>
      </c>
      <c r="T889" s="96">
        <f>IF(S889="",0,IF(INDEX('ITENS_MTR'!$R$6:$R$1005,S889)=1,1,0))</f>
        <v>0</v>
      </c>
      <c r="U889" s="96" t="str">
        <f>IF(G889="","",IFERROR(IF(ISNUMBER(INDEX(cfg_fac,MATCH(G889,cfg_units,0))),IF(INDEX(cfg_fac,MATCH(G889,cfg_units,0))&gt;0,INDEX(cfg_fac,MATCH(G889,cfg_units,0)),""),""),""))</f>
        <v/>
      </c>
      <c r="V889" s="96">
        <f>IF(AND(ISNUMBER(F889),ISNUMBER(H889)),IF(H889&gt;0,1,0),0)</f>
        <v>0</v>
      </c>
      <c r="W889" s="96" t="str">
        <f>IF(T889=1,INDEX('ITENS_MTR'!$AU$6:$AU$1005,S889)&amp;"","")</f>
        <v/>
      </c>
      <c r="X889" s="96">
        <f>IF(AND(Q889=1,T889=1,I889&lt;&gt;"",W889&lt;&gt;""),IF(I889&lt;&gt;W889,1,0),0)</f>
        <v>0</v>
      </c>
      <c r="Y889" s="96">
        <f>IF(N889=0,0,IF(OR(Q889=0,T889=0,V889=0,AND(X889=1,J889&lt;&gt;"Sim")),1,0))</f>
        <v>0</v>
      </c>
      <c r="Z889" s="96">
        <f>IF(Q889=1,INDEX('CDFs'!$W$6:$W$505,P889),0)</f>
        <v>0</v>
      </c>
      <c r="AA889" s="96">
        <f>IF(AND(N889=1,Y889=0,Z889=1,J889="Sim"),1,0)</f>
        <v>0</v>
      </c>
      <c r="AB889" s="96">
        <f>IF(AND(N889=1,O889&lt;&gt;"",D889&lt;&gt;""),IF(COUNTIFS($O$6:O889,O889,$D$6:D889,D889)=1,1,0),0)</f>
        <v>0</v>
      </c>
      <c r="AC889" s="96">
        <f>IF(T889=1,INDEX('ITENS_MTR'!$AL$6:$AL$1005,S889),0)</f>
        <v>0</v>
      </c>
    </row>
    <row r="890">
      <c r="A890" s="89" t="inlineStr">
        <is>
          <t>VIN-000885</t>
        </is>
      </c>
      <c r="B890" s="91" t="n"/>
      <c r="C890" s="91" t="n"/>
      <c r="D890" s="94" t="str">
        <f>IF(T890=1,INDEX('ITENS_MTR'!$S$6:$S$1005,S890)&amp;"","")</f>
        <v/>
      </c>
      <c r="E890" s="94" t="str">
        <f>IF(T890=1,INDEX('ITENS_MTR'!$C$6:$C$1005,S890)&amp;"","")</f>
        <v/>
      </c>
      <c r="F890" s="98" t="n"/>
      <c r="G890" s="91" t="n"/>
      <c r="H890" s="93" t="str">
        <f>IF(N890=0,"",IF(NOT(ISNUMBER(F890)),"",IF(ISNUMBER(U890),F890*U890,"UNIDADE A CONFERIR")))</f>
        <v/>
      </c>
      <c r="I890" s="94" t="str">
        <f>IF(Q890=1,INDEX('CDFs'!$F$6:$F$505,P890)&amp;"","")</f>
        <v/>
      </c>
      <c r="J890" s="91" t="n"/>
      <c r="K890" s="91" t="n"/>
      <c r="L890" s="94" t="str">
        <f>IF(N890=0,"",IF(NOT(ISNUMBER(F890)),"Quantidade não informada",IF(F890&lt;=0,"Quantidade não positiva",IF(G890="","Unidade não informada",IF(NOT(ISNUMBER(H890)),"Unidade a conferir",IF(AC890=1,"REVISAR VÍNCULO: soma vinculada maior que a referência do item","OK"))))))</f>
        <v/>
      </c>
      <c r="M890" s="94" t="str">
        <f>IF(N890=0,"",IF(B890="","CDF não informado",IF(Q890=0,"REVISAR VÍNCULO: CDF inexistente",IF(C890="","Item não informado",IF(T890=0,"REVISAR VÍNCULO: item inexistente",IF(AND(X890=1,J890&lt;&gt;"Sim"),"REVISAR VÍNCULO: destinador diferente do MTR",IF(X890=1,"Destinador diferente do MTR (analisado)","OK")))))))</f>
        <v/>
      </c>
      <c r="N890" s="96">
        <f>IF(COUNTA(B890:C890,F890:G890,J890:K890)&gt;0,1,0)</f>
        <v>0</v>
      </c>
      <c r="O890" s="96" t="str">
        <f>IF(B890="","",TRIM(LEFT(B890,FIND(" |",B890&amp;" |")-1)))</f>
        <v/>
      </c>
      <c r="P890" s="96" t="str">
        <f>IF(O890="","",IFERROR(MATCH(O890,'CDFs'!$A$6:$A$505,0),""))</f>
        <v/>
      </c>
      <c r="Q890" s="96">
        <f>IF(P890="",0,IF(INDEX('CDFs'!$S$6:$S$505,P890)=1,1,0))</f>
        <v>0</v>
      </c>
      <c r="R890" s="96" t="str">
        <f>IF(C890="","",TRIM(LEFT(C890,FIND(" |",C890&amp;" |")-1)))</f>
        <v/>
      </c>
      <c r="S890" s="96" t="str">
        <f>IF(R890="","",IFERROR(MATCH(R890,'ITENS_MTR'!$A$6:$A$1005,0),""))</f>
        <v/>
      </c>
      <c r="T890" s="96">
        <f>IF(S890="",0,IF(INDEX('ITENS_MTR'!$R$6:$R$1005,S890)=1,1,0))</f>
        <v>0</v>
      </c>
      <c r="U890" s="96" t="str">
        <f>IF(G890="","",IFERROR(IF(ISNUMBER(INDEX(cfg_fac,MATCH(G890,cfg_units,0))),IF(INDEX(cfg_fac,MATCH(G890,cfg_units,0))&gt;0,INDEX(cfg_fac,MATCH(G890,cfg_units,0)),""),""),""))</f>
        <v/>
      </c>
      <c r="V890" s="96">
        <f>IF(AND(ISNUMBER(F890),ISNUMBER(H890)),IF(H890&gt;0,1,0),0)</f>
        <v>0</v>
      </c>
      <c r="W890" s="96" t="str">
        <f>IF(T890=1,INDEX('ITENS_MTR'!$AU$6:$AU$1005,S890)&amp;"","")</f>
        <v/>
      </c>
      <c r="X890" s="96">
        <f>IF(AND(Q890=1,T890=1,I890&lt;&gt;"",W890&lt;&gt;""),IF(I890&lt;&gt;W890,1,0),0)</f>
        <v>0</v>
      </c>
      <c r="Y890" s="96">
        <f>IF(N890=0,0,IF(OR(Q890=0,T890=0,V890=0,AND(X890=1,J890&lt;&gt;"Sim")),1,0))</f>
        <v>0</v>
      </c>
      <c r="Z890" s="96">
        <f>IF(Q890=1,INDEX('CDFs'!$W$6:$W$505,P890),0)</f>
        <v>0</v>
      </c>
      <c r="AA890" s="96">
        <f>IF(AND(N890=1,Y890=0,Z890=1,J890="Sim"),1,0)</f>
        <v>0</v>
      </c>
      <c r="AB890" s="96">
        <f>IF(AND(N890=1,O890&lt;&gt;"",D890&lt;&gt;""),IF(COUNTIFS($O$6:O890,O890,$D$6:D890,D890)=1,1,0),0)</f>
        <v>0</v>
      </c>
      <c r="AC890" s="96">
        <f>IF(T890=1,INDEX('ITENS_MTR'!$AL$6:$AL$1005,S890),0)</f>
        <v>0</v>
      </c>
    </row>
    <row r="891">
      <c r="A891" s="89" t="inlineStr">
        <is>
          <t>VIN-000886</t>
        </is>
      </c>
      <c r="B891" s="91" t="n"/>
      <c r="C891" s="91" t="n"/>
      <c r="D891" s="94" t="str">
        <f>IF(T891=1,INDEX('ITENS_MTR'!$S$6:$S$1005,S891)&amp;"","")</f>
        <v/>
      </c>
      <c r="E891" s="94" t="str">
        <f>IF(T891=1,INDEX('ITENS_MTR'!$C$6:$C$1005,S891)&amp;"","")</f>
        <v/>
      </c>
      <c r="F891" s="98" t="n"/>
      <c r="G891" s="91" t="n"/>
      <c r="H891" s="93" t="str">
        <f>IF(N891=0,"",IF(NOT(ISNUMBER(F891)),"",IF(ISNUMBER(U891),F891*U891,"UNIDADE A CONFERIR")))</f>
        <v/>
      </c>
      <c r="I891" s="94" t="str">
        <f>IF(Q891=1,INDEX('CDFs'!$F$6:$F$505,P891)&amp;"","")</f>
        <v/>
      </c>
      <c r="J891" s="91" t="n"/>
      <c r="K891" s="91" t="n"/>
      <c r="L891" s="94" t="str">
        <f>IF(N891=0,"",IF(NOT(ISNUMBER(F891)),"Quantidade não informada",IF(F891&lt;=0,"Quantidade não positiva",IF(G891="","Unidade não informada",IF(NOT(ISNUMBER(H891)),"Unidade a conferir",IF(AC891=1,"REVISAR VÍNCULO: soma vinculada maior que a referência do item","OK"))))))</f>
        <v/>
      </c>
      <c r="M891" s="94" t="str">
        <f>IF(N891=0,"",IF(B891="","CDF não informado",IF(Q891=0,"REVISAR VÍNCULO: CDF inexistente",IF(C891="","Item não informado",IF(T891=0,"REVISAR VÍNCULO: item inexistente",IF(AND(X891=1,J891&lt;&gt;"Sim"),"REVISAR VÍNCULO: destinador diferente do MTR",IF(X891=1,"Destinador diferente do MTR (analisado)","OK")))))))</f>
        <v/>
      </c>
      <c r="N891" s="96">
        <f>IF(COUNTA(B891:C891,F891:G891,J891:K891)&gt;0,1,0)</f>
        <v>0</v>
      </c>
      <c r="O891" s="96" t="str">
        <f>IF(B891="","",TRIM(LEFT(B891,FIND(" |",B891&amp;" |")-1)))</f>
        <v/>
      </c>
      <c r="P891" s="96" t="str">
        <f>IF(O891="","",IFERROR(MATCH(O891,'CDFs'!$A$6:$A$505,0),""))</f>
        <v/>
      </c>
      <c r="Q891" s="96">
        <f>IF(P891="",0,IF(INDEX('CDFs'!$S$6:$S$505,P891)=1,1,0))</f>
        <v>0</v>
      </c>
      <c r="R891" s="96" t="str">
        <f>IF(C891="","",TRIM(LEFT(C891,FIND(" |",C891&amp;" |")-1)))</f>
        <v/>
      </c>
      <c r="S891" s="96" t="str">
        <f>IF(R891="","",IFERROR(MATCH(R891,'ITENS_MTR'!$A$6:$A$1005,0),""))</f>
        <v/>
      </c>
      <c r="T891" s="96">
        <f>IF(S891="",0,IF(INDEX('ITENS_MTR'!$R$6:$R$1005,S891)=1,1,0))</f>
        <v>0</v>
      </c>
      <c r="U891" s="96" t="str">
        <f>IF(G891="","",IFERROR(IF(ISNUMBER(INDEX(cfg_fac,MATCH(G891,cfg_units,0))),IF(INDEX(cfg_fac,MATCH(G891,cfg_units,0))&gt;0,INDEX(cfg_fac,MATCH(G891,cfg_units,0)),""),""),""))</f>
        <v/>
      </c>
      <c r="V891" s="96">
        <f>IF(AND(ISNUMBER(F891),ISNUMBER(H891)),IF(H891&gt;0,1,0),0)</f>
        <v>0</v>
      </c>
      <c r="W891" s="96" t="str">
        <f>IF(T891=1,INDEX('ITENS_MTR'!$AU$6:$AU$1005,S891)&amp;"","")</f>
        <v/>
      </c>
      <c r="X891" s="96">
        <f>IF(AND(Q891=1,T891=1,I891&lt;&gt;"",W891&lt;&gt;""),IF(I891&lt;&gt;W891,1,0),0)</f>
        <v>0</v>
      </c>
      <c r="Y891" s="96">
        <f>IF(N891=0,0,IF(OR(Q891=0,T891=0,V891=0,AND(X891=1,J891&lt;&gt;"Sim")),1,0))</f>
        <v>0</v>
      </c>
      <c r="Z891" s="96">
        <f>IF(Q891=1,INDEX('CDFs'!$W$6:$W$505,P891),0)</f>
        <v>0</v>
      </c>
      <c r="AA891" s="96">
        <f>IF(AND(N891=1,Y891=0,Z891=1,J891="Sim"),1,0)</f>
        <v>0</v>
      </c>
      <c r="AB891" s="96">
        <f>IF(AND(N891=1,O891&lt;&gt;"",D891&lt;&gt;""),IF(COUNTIFS($O$6:O891,O891,$D$6:D891,D891)=1,1,0),0)</f>
        <v>0</v>
      </c>
      <c r="AC891" s="96">
        <f>IF(T891=1,INDEX('ITENS_MTR'!$AL$6:$AL$1005,S891),0)</f>
        <v>0</v>
      </c>
    </row>
    <row r="892">
      <c r="A892" s="89" t="inlineStr">
        <is>
          <t>VIN-000887</t>
        </is>
      </c>
      <c r="B892" s="91" t="n"/>
      <c r="C892" s="91" t="n"/>
      <c r="D892" s="94" t="str">
        <f>IF(T892=1,INDEX('ITENS_MTR'!$S$6:$S$1005,S892)&amp;"","")</f>
        <v/>
      </c>
      <c r="E892" s="94" t="str">
        <f>IF(T892=1,INDEX('ITENS_MTR'!$C$6:$C$1005,S892)&amp;"","")</f>
        <v/>
      </c>
      <c r="F892" s="98" t="n"/>
      <c r="G892" s="91" t="n"/>
      <c r="H892" s="93" t="str">
        <f>IF(N892=0,"",IF(NOT(ISNUMBER(F892)),"",IF(ISNUMBER(U892),F892*U892,"UNIDADE A CONFERIR")))</f>
        <v/>
      </c>
      <c r="I892" s="94" t="str">
        <f>IF(Q892=1,INDEX('CDFs'!$F$6:$F$505,P892)&amp;"","")</f>
        <v/>
      </c>
      <c r="J892" s="91" t="n"/>
      <c r="K892" s="91" t="n"/>
      <c r="L892" s="94" t="str">
        <f>IF(N892=0,"",IF(NOT(ISNUMBER(F892)),"Quantidade não informada",IF(F892&lt;=0,"Quantidade não positiva",IF(G892="","Unidade não informada",IF(NOT(ISNUMBER(H892)),"Unidade a conferir",IF(AC892=1,"REVISAR VÍNCULO: soma vinculada maior que a referência do item","OK"))))))</f>
        <v/>
      </c>
      <c r="M892" s="94" t="str">
        <f>IF(N892=0,"",IF(B892="","CDF não informado",IF(Q892=0,"REVISAR VÍNCULO: CDF inexistente",IF(C892="","Item não informado",IF(T892=0,"REVISAR VÍNCULO: item inexistente",IF(AND(X892=1,J892&lt;&gt;"Sim"),"REVISAR VÍNCULO: destinador diferente do MTR",IF(X892=1,"Destinador diferente do MTR (analisado)","OK")))))))</f>
        <v/>
      </c>
      <c r="N892" s="96">
        <f>IF(COUNTA(B892:C892,F892:G892,J892:K892)&gt;0,1,0)</f>
        <v>0</v>
      </c>
      <c r="O892" s="96" t="str">
        <f>IF(B892="","",TRIM(LEFT(B892,FIND(" |",B892&amp;" |")-1)))</f>
        <v/>
      </c>
      <c r="P892" s="96" t="str">
        <f>IF(O892="","",IFERROR(MATCH(O892,'CDFs'!$A$6:$A$505,0),""))</f>
        <v/>
      </c>
      <c r="Q892" s="96">
        <f>IF(P892="",0,IF(INDEX('CDFs'!$S$6:$S$505,P892)=1,1,0))</f>
        <v>0</v>
      </c>
      <c r="R892" s="96" t="str">
        <f>IF(C892="","",TRIM(LEFT(C892,FIND(" |",C892&amp;" |")-1)))</f>
        <v/>
      </c>
      <c r="S892" s="96" t="str">
        <f>IF(R892="","",IFERROR(MATCH(R892,'ITENS_MTR'!$A$6:$A$1005,0),""))</f>
        <v/>
      </c>
      <c r="T892" s="96">
        <f>IF(S892="",0,IF(INDEX('ITENS_MTR'!$R$6:$R$1005,S892)=1,1,0))</f>
        <v>0</v>
      </c>
      <c r="U892" s="96" t="str">
        <f>IF(G892="","",IFERROR(IF(ISNUMBER(INDEX(cfg_fac,MATCH(G892,cfg_units,0))),IF(INDEX(cfg_fac,MATCH(G892,cfg_units,0))&gt;0,INDEX(cfg_fac,MATCH(G892,cfg_units,0)),""),""),""))</f>
        <v/>
      </c>
      <c r="V892" s="96">
        <f>IF(AND(ISNUMBER(F892),ISNUMBER(H892)),IF(H892&gt;0,1,0),0)</f>
        <v>0</v>
      </c>
      <c r="W892" s="96" t="str">
        <f>IF(T892=1,INDEX('ITENS_MTR'!$AU$6:$AU$1005,S892)&amp;"","")</f>
        <v/>
      </c>
      <c r="X892" s="96">
        <f>IF(AND(Q892=1,T892=1,I892&lt;&gt;"",W892&lt;&gt;""),IF(I892&lt;&gt;W892,1,0),0)</f>
        <v>0</v>
      </c>
      <c r="Y892" s="96">
        <f>IF(N892=0,0,IF(OR(Q892=0,T892=0,V892=0,AND(X892=1,J892&lt;&gt;"Sim")),1,0))</f>
        <v>0</v>
      </c>
      <c r="Z892" s="96">
        <f>IF(Q892=1,INDEX('CDFs'!$W$6:$W$505,P892),0)</f>
        <v>0</v>
      </c>
      <c r="AA892" s="96">
        <f>IF(AND(N892=1,Y892=0,Z892=1,J892="Sim"),1,0)</f>
        <v>0</v>
      </c>
      <c r="AB892" s="96">
        <f>IF(AND(N892=1,O892&lt;&gt;"",D892&lt;&gt;""),IF(COUNTIFS($O$6:O892,O892,$D$6:D892,D892)=1,1,0),0)</f>
        <v>0</v>
      </c>
      <c r="AC892" s="96">
        <f>IF(T892=1,INDEX('ITENS_MTR'!$AL$6:$AL$1005,S892),0)</f>
        <v>0</v>
      </c>
    </row>
    <row r="893">
      <c r="A893" s="89" t="inlineStr">
        <is>
          <t>VIN-000888</t>
        </is>
      </c>
      <c r="B893" s="91" t="n"/>
      <c r="C893" s="91" t="n"/>
      <c r="D893" s="94" t="str">
        <f>IF(T893=1,INDEX('ITENS_MTR'!$S$6:$S$1005,S893)&amp;"","")</f>
        <v/>
      </c>
      <c r="E893" s="94" t="str">
        <f>IF(T893=1,INDEX('ITENS_MTR'!$C$6:$C$1005,S893)&amp;"","")</f>
        <v/>
      </c>
      <c r="F893" s="98" t="n"/>
      <c r="G893" s="91" t="n"/>
      <c r="H893" s="93" t="str">
        <f>IF(N893=0,"",IF(NOT(ISNUMBER(F893)),"",IF(ISNUMBER(U893),F893*U893,"UNIDADE A CONFERIR")))</f>
        <v/>
      </c>
      <c r="I893" s="94" t="str">
        <f>IF(Q893=1,INDEX('CDFs'!$F$6:$F$505,P893)&amp;"","")</f>
        <v/>
      </c>
      <c r="J893" s="91" t="n"/>
      <c r="K893" s="91" t="n"/>
      <c r="L893" s="94" t="str">
        <f>IF(N893=0,"",IF(NOT(ISNUMBER(F893)),"Quantidade não informada",IF(F893&lt;=0,"Quantidade não positiva",IF(G893="","Unidade não informada",IF(NOT(ISNUMBER(H893)),"Unidade a conferir",IF(AC893=1,"REVISAR VÍNCULO: soma vinculada maior que a referência do item","OK"))))))</f>
        <v/>
      </c>
      <c r="M893" s="94" t="str">
        <f>IF(N893=0,"",IF(B893="","CDF não informado",IF(Q893=0,"REVISAR VÍNCULO: CDF inexistente",IF(C893="","Item não informado",IF(T893=0,"REVISAR VÍNCULO: item inexistente",IF(AND(X893=1,J893&lt;&gt;"Sim"),"REVISAR VÍNCULO: destinador diferente do MTR",IF(X893=1,"Destinador diferente do MTR (analisado)","OK")))))))</f>
        <v/>
      </c>
      <c r="N893" s="96">
        <f>IF(COUNTA(B893:C893,F893:G893,J893:K893)&gt;0,1,0)</f>
        <v>0</v>
      </c>
      <c r="O893" s="96" t="str">
        <f>IF(B893="","",TRIM(LEFT(B893,FIND(" |",B893&amp;" |")-1)))</f>
        <v/>
      </c>
      <c r="P893" s="96" t="str">
        <f>IF(O893="","",IFERROR(MATCH(O893,'CDFs'!$A$6:$A$505,0),""))</f>
        <v/>
      </c>
      <c r="Q893" s="96">
        <f>IF(P893="",0,IF(INDEX('CDFs'!$S$6:$S$505,P893)=1,1,0))</f>
        <v>0</v>
      </c>
      <c r="R893" s="96" t="str">
        <f>IF(C893="","",TRIM(LEFT(C893,FIND(" |",C893&amp;" |")-1)))</f>
        <v/>
      </c>
      <c r="S893" s="96" t="str">
        <f>IF(R893="","",IFERROR(MATCH(R893,'ITENS_MTR'!$A$6:$A$1005,0),""))</f>
        <v/>
      </c>
      <c r="T893" s="96">
        <f>IF(S893="",0,IF(INDEX('ITENS_MTR'!$R$6:$R$1005,S893)=1,1,0))</f>
        <v>0</v>
      </c>
      <c r="U893" s="96" t="str">
        <f>IF(G893="","",IFERROR(IF(ISNUMBER(INDEX(cfg_fac,MATCH(G893,cfg_units,0))),IF(INDEX(cfg_fac,MATCH(G893,cfg_units,0))&gt;0,INDEX(cfg_fac,MATCH(G893,cfg_units,0)),""),""),""))</f>
        <v/>
      </c>
      <c r="V893" s="96">
        <f>IF(AND(ISNUMBER(F893),ISNUMBER(H893)),IF(H893&gt;0,1,0),0)</f>
        <v>0</v>
      </c>
      <c r="W893" s="96" t="str">
        <f>IF(T893=1,INDEX('ITENS_MTR'!$AU$6:$AU$1005,S893)&amp;"","")</f>
        <v/>
      </c>
      <c r="X893" s="96">
        <f>IF(AND(Q893=1,T893=1,I893&lt;&gt;"",W893&lt;&gt;""),IF(I893&lt;&gt;W893,1,0),0)</f>
        <v>0</v>
      </c>
      <c r="Y893" s="96">
        <f>IF(N893=0,0,IF(OR(Q893=0,T893=0,V893=0,AND(X893=1,J893&lt;&gt;"Sim")),1,0))</f>
        <v>0</v>
      </c>
      <c r="Z893" s="96">
        <f>IF(Q893=1,INDEX('CDFs'!$W$6:$W$505,P893),0)</f>
        <v>0</v>
      </c>
      <c r="AA893" s="96">
        <f>IF(AND(N893=1,Y893=0,Z893=1,J893="Sim"),1,0)</f>
        <v>0</v>
      </c>
      <c r="AB893" s="96">
        <f>IF(AND(N893=1,O893&lt;&gt;"",D893&lt;&gt;""),IF(COUNTIFS($O$6:O893,O893,$D$6:D893,D893)=1,1,0),0)</f>
        <v>0</v>
      </c>
      <c r="AC893" s="96">
        <f>IF(T893=1,INDEX('ITENS_MTR'!$AL$6:$AL$1005,S893),0)</f>
        <v>0</v>
      </c>
    </row>
    <row r="894">
      <c r="A894" s="89" t="inlineStr">
        <is>
          <t>VIN-000889</t>
        </is>
      </c>
      <c r="B894" s="91" t="n"/>
      <c r="C894" s="91" t="n"/>
      <c r="D894" s="94" t="str">
        <f>IF(T894=1,INDEX('ITENS_MTR'!$S$6:$S$1005,S894)&amp;"","")</f>
        <v/>
      </c>
      <c r="E894" s="94" t="str">
        <f>IF(T894=1,INDEX('ITENS_MTR'!$C$6:$C$1005,S894)&amp;"","")</f>
        <v/>
      </c>
      <c r="F894" s="98" t="n"/>
      <c r="G894" s="91" t="n"/>
      <c r="H894" s="93" t="str">
        <f>IF(N894=0,"",IF(NOT(ISNUMBER(F894)),"",IF(ISNUMBER(U894),F894*U894,"UNIDADE A CONFERIR")))</f>
        <v/>
      </c>
      <c r="I894" s="94" t="str">
        <f>IF(Q894=1,INDEX('CDFs'!$F$6:$F$505,P894)&amp;"","")</f>
        <v/>
      </c>
      <c r="J894" s="91" t="n"/>
      <c r="K894" s="91" t="n"/>
      <c r="L894" s="94" t="str">
        <f>IF(N894=0,"",IF(NOT(ISNUMBER(F894)),"Quantidade não informada",IF(F894&lt;=0,"Quantidade não positiva",IF(G894="","Unidade não informada",IF(NOT(ISNUMBER(H894)),"Unidade a conferir",IF(AC894=1,"REVISAR VÍNCULO: soma vinculada maior que a referência do item","OK"))))))</f>
        <v/>
      </c>
      <c r="M894" s="94" t="str">
        <f>IF(N894=0,"",IF(B894="","CDF não informado",IF(Q894=0,"REVISAR VÍNCULO: CDF inexistente",IF(C894="","Item não informado",IF(T894=0,"REVISAR VÍNCULO: item inexistente",IF(AND(X894=1,J894&lt;&gt;"Sim"),"REVISAR VÍNCULO: destinador diferente do MTR",IF(X894=1,"Destinador diferente do MTR (analisado)","OK")))))))</f>
        <v/>
      </c>
      <c r="N894" s="96">
        <f>IF(COUNTA(B894:C894,F894:G894,J894:K894)&gt;0,1,0)</f>
        <v>0</v>
      </c>
      <c r="O894" s="96" t="str">
        <f>IF(B894="","",TRIM(LEFT(B894,FIND(" |",B894&amp;" |")-1)))</f>
        <v/>
      </c>
      <c r="P894" s="96" t="str">
        <f>IF(O894="","",IFERROR(MATCH(O894,'CDFs'!$A$6:$A$505,0),""))</f>
        <v/>
      </c>
      <c r="Q894" s="96">
        <f>IF(P894="",0,IF(INDEX('CDFs'!$S$6:$S$505,P894)=1,1,0))</f>
        <v>0</v>
      </c>
      <c r="R894" s="96" t="str">
        <f>IF(C894="","",TRIM(LEFT(C894,FIND(" |",C894&amp;" |")-1)))</f>
        <v/>
      </c>
      <c r="S894" s="96" t="str">
        <f>IF(R894="","",IFERROR(MATCH(R894,'ITENS_MTR'!$A$6:$A$1005,0),""))</f>
        <v/>
      </c>
      <c r="T894" s="96">
        <f>IF(S894="",0,IF(INDEX('ITENS_MTR'!$R$6:$R$1005,S894)=1,1,0))</f>
        <v>0</v>
      </c>
      <c r="U894" s="96" t="str">
        <f>IF(G894="","",IFERROR(IF(ISNUMBER(INDEX(cfg_fac,MATCH(G894,cfg_units,0))),IF(INDEX(cfg_fac,MATCH(G894,cfg_units,0))&gt;0,INDEX(cfg_fac,MATCH(G894,cfg_units,0)),""),""),""))</f>
        <v/>
      </c>
      <c r="V894" s="96">
        <f>IF(AND(ISNUMBER(F894),ISNUMBER(H894)),IF(H894&gt;0,1,0),0)</f>
        <v>0</v>
      </c>
      <c r="W894" s="96" t="str">
        <f>IF(T894=1,INDEX('ITENS_MTR'!$AU$6:$AU$1005,S894)&amp;"","")</f>
        <v/>
      </c>
      <c r="X894" s="96">
        <f>IF(AND(Q894=1,T894=1,I894&lt;&gt;"",W894&lt;&gt;""),IF(I894&lt;&gt;W894,1,0),0)</f>
        <v>0</v>
      </c>
      <c r="Y894" s="96">
        <f>IF(N894=0,0,IF(OR(Q894=0,T894=0,V894=0,AND(X894=1,J894&lt;&gt;"Sim")),1,0))</f>
        <v>0</v>
      </c>
      <c r="Z894" s="96">
        <f>IF(Q894=1,INDEX('CDFs'!$W$6:$W$505,P894),0)</f>
        <v>0</v>
      </c>
      <c r="AA894" s="96">
        <f>IF(AND(N894=1,Y894=0,Z894=1,J894="Sim"),1,0)</f>
        <v>0</v>
      </c>
      <c r="AB894" s="96">
        <f>IF(AND(N894=1,O894&lt;&gt;"",D894&lt;&gt;""),IF(COUNTIFS($O$6:O894,O894,$D$6:D894,D894)=1,1,0),0)</f>
        <v>0</v>
      </c>
      <c r="AC894" s="96">
        <f>IF(T894=1,INDEX('ITENS_MTR'!$AL$6:$AL$1005,S894),0)</f>
        <v>0</v>
      </c>
    </row>
    <row r="895">
      <c r="A895" s="89" t="inlineStr">
        <is>
          <t>VIN-000890</t>
        </is>
      </c>
      <c r="B895" s="91" t="n"/>
      <c r="C895" s="91" t="n"/>
      <c r="D895" s="94" t="str">
        <f>IF(T895=1,INDEX('ITENS_MTR'!$S$6:$S$1005,S895)&amp;"","")</f>
        <v/>
      </c>
      <c r="E895" s="94" t="str">
        <f>IF(T895=1,INDEX('ITENS_MTR'!$C$6:$C$1005,S895)&amp;"","")</f>
        <v/>
      </c>
      <c r="F895" s="98" t="n"/>
      <c r="G895" s="91" t="n"/>
      <c r="H895" s="93" t="str">
        <f>IF(N895=0,"",IF(NOT(ISNUMBER(F895)),"",IF(ISNUMBER(U895),F895*U895,"UNIDADE A CONFERIR")))</f>
        <v/>
      </c>
      <c r="I895" s="94" t="str">
        <f>IF(Q895=1,INDEX('CDFs'!$F$6:$F$505,P895)&amp;"","")</f>
        <v/>
      </c>
      <c r="J895" s="91" t="n"/>
      <c r="K895" s="91" t="n"/>
      <c r="L895" s="94" t="str">
        <f>IF(N895=0,"",IF(NOT(ISNUMBER(F895)),"Quantidade não informada",IF(F895&lt;=0,"Quantidade não positiva",IF(G895="","Unidade não informada",IF(NOT(ISNUMBER(H895)),"Unidade a conferir",IF(AC895=1,"REVISAR VÍNCULO: soma vinculada maior que a referência do item","OK"))))))</f>
        <v/>
      </c>
      <c r="M895" s="94" t="str">
        <f>IF(N895=0,"",IF(B895="","CDF não informado",IF(Q895=0,"REVISAR VÍNCULO: CDF inexistente",IF(C895="","Item não informado",IF(T895=0,"REVISAR VÍNCULO: item inexistente",IF(AND(X895=1,J895&lt;&gt;"Sim"),"REVISAR VÍNCULO: destinador diferente do MTR",IF(X895=1,"Destinador diferente do MTR (analisado)","OK")))))))</f>
        <v/>
      </c>
      <c r="N895" s="96">
        <f>IF(COUNTA(B895:C895,F895:G895,J895:K895)&gt;0,1,0)</f>
        <v>0</v>
      </c>
      <c r="O895" s="96" t="str">
        <f>IF(B895="","",TRIM(LEFT(B895,FIND(" |",B895&amp;" |")-1)))</f>
        <v/>
      </c>
      <c r="P895" s="96" t="str">
        <f>IF(O895="","",IFERROR(MATCH(O895,'CDFs'!$A$6:$A$505,0),""))</f>
        <v/>
      </c>
      <c r="Q895" s="96">
        <f>IF(P895="",0,IF(INDEX('CDFs'!$S$6:$S$505,P895)=1,1,0))</f>
        <v>0</v>
      </c>
      <c r="R895" s="96" t="str">
        <f>IF(C895="","",TRIM(LEFT(C895,FIND(" |",C895&amp;" |")-1)))</f>
        <v/>
      </c>
      <c r="S895" s="96" t="str">
        <f>IF(R895="","",IFERROR(MATCH(R895,'ITENS_MTR'!$A$6:$A$1005,0),""))</f>
        <v/>
      </c>
      <c r="T895" s="96">
        <f>IF(S895="",0,IF(INDEX('ITENS_MTR'!$R$6:$R$1005,S895)=1,1,0))</f>
        <v>0</v>
      </c>
      <c r="U895" s="96" t="str">
        <f>IF(G895="","",IFERROR(IF(ISNUMBER(INDEX(cfg_fac,MATCH(G895,cfg_units,0))),IF(INDEX(cfg_fac,MATCH(G895,cfg_units,0))&gt;0,INDEX(cfg_fac,MATCH(G895,cfg_units,0)),""),""),""))</f>
        <v/>
      </c>
      <c r="V895" s="96">
        <f>IF(AND(ISNUMBER(F895),ISNUMBER(H895)),IF(H895&gt;0,1,0),0)</f>
        <v>0</v>
      </c>
      <c r="W895" s="96" t="str">
        <f>IF(T895=1,INDEX('ITENS_MTR'!$AU$6:$AU$1005,S895)&amp;"","")</f>
        <v/>
      </c>
      <c r="X895" s="96">
        <f>IF(AND(Q895=1,T895=1,I895&lt;&gt;"",W895&lt;&gt;""),IF(I895&lt;&gt;W895,1,0),0)</f>
        <v>0</v>
      </c>
      <c r="Y895" s="96">
        <f>IF(N895=0,0,IF(OR(Q895=0,T895=0,V895=0,AND(X895=1,J895&lt;&gt;"Sim")),1,0))</f>
        <v>0</v>
      </c>
      <c r="Z895" s="96">
        <f>IF(Q895=1,INDEX('CDFs'!$W$6:$W$505,P895),0)</f>
        <v>0</v>
      </c>
      <c r="AA895" s="96">
        <f>IF(AND(N895=1,Y895=0,Z895=1,J895="Sim"),1,0)</f>
        <v>0</v>
      </c>
      <c r="AB895" s="96">
        <f>IF(AND(N895=1,O895&lt;&gt;"",D895&lt;&gt;""),IF(COUNTIFS($O$6:O895,O895,$D$6:D895,D895)=1,1,0),0)</f>
        <v>0</v>
      </c>
      <c r="AC895" s="96">
        <f>IF(T895=1,INDEX('ITENS_MTR'!$AL$6:$AL$1005,S895),0)</f>
        <v>0</v>
      </c>
    </row>
    <row r="896">
      <c r="A896" s="89" t="inlineStr">
        <is>
          <t>VIN-000891</t>
        </is>
      </c>
      <c r="B896" s="91" t="n"/>
      <c r="C896" s="91" t="n"/>
      <c r="D896" s="94" t="str">
        <f>IF(T896=1,INDEX('ITENS_MTR'!$S$6:$S$1005,S896)&amp;"","")</f>
        <v/>
      </c>
      <c r="E896" s="94" t="str">
        <f>IF(T896=1,INDEX('ITENS_MTR'!$C$6:$C$1005,S896)&amp;"","")</f>
        <v/>
      </c>
      <c r="F896" s="98" t="n"/>
      <c r="G896" s="91" t="n"/>
      <c r="H896" s="93" t="str">
        <f>IF(N896=0,"",IF(NOT(ISNUMBER(F896)),"",IF(ISNUMBER(U896),F896*U896,"UNIDADE A CONFERIR")))</f>
        <v/>
      </c>
      <c r="I896" s="94" t="str">
        <f>IF(Q896=1,INDEX('CDFs'!$F$6:$F$505,P896)&amp;"","")</f>
        <v/>
      </c>
      <c r="J896" s="91" t="n"/>
      <c r="K896" s="91" t="n"/>
      <c r="L896" s="94" t="str">
        <f>IF(N896=0,"",IF(NOT(ISNUMBER(F896)),"Quantidade não informada",IF(F896&lt;=0,"Quantidade não positiva",IF(G896="","Unidade não informada",IF(NOT(ISNUMBER(H896)),"Unidade a conferir",IF(AC896=1,"REVISAR VÍNCULO: soma vinculada maior que a referência do item","OK"))))))</f>
        <v/>
      </c>
      <c r="M896" s="94" t="str">
        <f>IF(N896=0,"",IF(B896="","CDF não informado",IF(Q896=0,"REVISAR VÍNCULO: CDF inexistente",IF(C896="","Item não informado",IF(T896=0,"REVISAR VÍNCULO: item inexistente",IF(AND(X896=1,J896&lt;&gt;"Sim"),"REVISAR VÍNCULO: destinador diferente do MTR",IF(X896=1,"Destinador diferente do MTR (analisado)","OK")))))))</f>
        <v/>
      </c>
      <c r="N896" s="96">
        <f>IF(COUNTA(B896:C896,F896:G896,J896:K896)&gt;0,1,0)</f>
        <v>0</v>
      </c>
      <c r="O896" s="96" t="str">
        <f>IF(B896="","",TRIM(LEFT(B896,FIND(" |",B896&amp;" |")-1)))</f>
        <v/>
      </c>
      <c r="P896" s="96" t="str">
        <f>IF(O896="","",IFERROR(MATCH(O896,'CDFs'!$A$6:$A$505,0),""))</f>
        <v/>
      </c>
      <c r="Q896" s="96">
        <f>IF(P896="",0,IF(INDEX('CDFs'!$S$6:$S$505,P896)=1,1,0))</f>
        <v>0</v>
      </c>
      <c r="R896" s="96" t="str">
        <f>IF(C896="","",TRIM(LEFT(C896,FIND(" |",C896&amp;" |")-1)))</f>
        <v/>
      </c>
      <c r="S896" s="96" t="str">
        <f>IF(R896="","",IFERROR(MATCH(R896,'ITENS_MTR'!$A$6:$A$1005,0),""))</f>
        <v/>
      </c>
      <c r="T896" s="96">
        <f>IF(S896="",0,IF(INDEX('ITENS_MTR'!$R$6:$R$1005,S896)=1,1,0))</f>
        <v>0</v>
      </c>
      <c r="U896" s="96" t="str">
        <f>IF(G896="","",IFERROR(IF(ISNUMBER(INDEX(cfg_fac,MATCH(G896,cfg_units,0))),IF(INDEX(cfg_fac,MATCH(G896,cfg_units,0))&gt;0,INDEX(cfg_fac,MATCH(G896,cfg_units,0)),""),""),""))</f>
        <v/>
      </c>
      <c r="V896" s="96">
        <f>IF(AND(ISNUMBER(F896),ISNUMBER(H896)),IF(H896&gt;0,1,0),0)</f>
        <v>0</v>
      </c>
      <c r="W896" s="96" t="str">
        <f>IF(T896=1,INDEX('ITENS_MTR'!$AU$6:$AU$1005,S896)&amp;"","")</f>
        <v/>
      </c>
      <c r="X896" s="96">
        <f>IF(AND(Q896=1,T896=1,I896&lt;&gt;"",W896&lt;&gt;""),IF(I896&lt;&gt;W896,1,0),0)</f>
        <v>0</v>
      </c>
      <c r="Y896" s="96">
        <f>IF(N896=0,0,IF(OR(Q896=0,T896=0,V896=0,AND(X896=1,J896&lt;&gt;"Sim")),1,0))</f>
        <v>0</v>
      </c>
      <c r="Z896" s="96">
        <f>IF(Q896=1,INDEX('CDFs'!$W$6:$W$505,P896),0)</f>
        <v>0</v>
      </c>
      <c r="AA896" s="96">
        <f>IF(AND(N896=1,Y896=0,Z896=1,J896="Sim"),1,0)</f>
        <v>0</v>
      </c>
      <c r="AB896" s="96">
        <f>IF(AND(N896=1,O896&lt;&gt;"",D896&lt;&gt;""),IF(COUNTIFS($O$6:O896,O896,$D$6:D896,D896)=1,1,0),0)</f>
        <v>0</v>
      </c>
      <c r="AC896" s="96">
        <f>IF(T896=1,INDEX('ITENS_MTR'!$AL$6:$AL$1005,S896),0)</f>
        <v>0</v>
      </c>
    </row>
    <row r="897">
      <c r="A897" s="89" t="inlineStr">
        <is>
          <t>VIN-000892</t>
        </is>
      </c>
      <c r="B897" s="91" t="n"/>
      <c r="C897" s="91" t="n"/>
      <c r="D897" s="94" t="str">
        <f>IF(T897=1,INDEX('ITENS_MTR'!$S$6:$S$1005,S897)&amp;"","")</f>
        <v/>
      </c>
      <c r="E897" s="94" t="str">
        <f>IF(T897=1,INDEX('ITENS_MTR'!$C$6:$C$1005,S897)&amp;"","")</f>
        <v/>
      </c>
      <c r="F897" s="98" t="n"/>
      <c r="G897" s="91" t="n"/>
      <c r="H897" s="93" t="str">
        <f>IF(N897=0,"",IF(NOT(ISNUMBER(F897)),"",IF(ISNUMBER(U897),F897*U897,"UNIDADE A CONFERIR")))</f>
        <v/>
      </c>
      <c r="I897" s="94" t="str">
        <f>IF(Q897=1,INDEX('CDFs'!$F$6:$F$505,P897)&amp;"","")</f>
        <v/>
      </c>
      <c r="J897" s="91" t="n"/>
      <c r="K897" s="91" t="n"/>
      <c r="L897" s="94" t="str">
        <f>IF(N897=0,"",IF(NOT(ISNUMBER(F897)),"Quantidade não informada",IF(F897&lt;=0,"Quantidade não positiva",IF(G897="","Unidade não informada",IF(NOT(ISNUMBER(H897)),"Unidade a conferir",IF(AC897=1,"REVISAR VÍNCULO: soma vinculada maior que a referência do item","OK"))))))</f>
        <v/>
      </c>
      <c r="M897" s="94" t="str">
        <f>IF(N897=0,"",IF(B897="","CDF não informado",IF(Q897=0,"REVISAR VÍNCULO: CDF inexistente",IF(C897="","Item não informado",IF(T897=0,"REVISAR VÍNCULO: item inexistente",IF(AND(X897=1,J897&lt;&gt;"Sim"),"REVISAR VÍNCULO: destinador diferente do MTR",IF(X897=1,"Destinador diferente do MTR (analisado)","OK")))))))</f>
        <v/>
      </c>
      <c r="N897" s="96">
        <f>IF(COUNTA(B897:C897,F897:G897,J897:K897)&gt;0,1,0)</f>
        <v>0</v>
      </c>
      <c r="O897" s="96" t="str">
        <f>IF(B897="","",TRIM(LEFT(B897,FIND(" |",B897&amp;" |")-1)))</f>
        <v/>
      </c>
      <c r="P897" s="96" t="str">
        <f>IF(O897="","",IFERROR(MATCH(O897,'CDFs'!$A$6:$A$505,0),""))</f>
        <v/>
      </c>
      <c r="Q897" s="96">
        <f>IF(P897="",0,IF(INDEX('CDFs'!$S$6:$S$505,P897)=1,1,0))</f>
        <v>0</v>
      </c>
      <c r="R897" s="96" t="str">
        <f>IF(C897="","",TRIM(LEFT(C897,FIND(" |",C897&amp;" |")-1)))</f>
        <v/>
      </c>
      <c r="S897" s="96" t="str">
        <f>IF(R897="","",IFERROR(MATCH(R897,'ITENS_MTR'!$A$6:$A$1005,0),""))</f>
        <v/>
      </c>
      <c r="T897" s="96">
        <f>IF(S897="",0,IF(INDEX('ITENS_MTR'!$R$6:$R$1005,S897)=1,1,0))</f>
        <v>0</v>
      </c>
      <c r="U897" s="96" t="str">
        <f>IF(G897="","",IFERROR(IF(ISNUMBER(INDEX(cfg_fac,MATCH(G897,cfg_units,0))),IF(INDEX(cfg_fac,MATCH(G897,cfg_units,0))&gt;0,INDEX(cfg_fac,MATCH(G897,cfg_units,0)),""),""),""))</f>
        <v/>
      </c>
      <c r="V897" s="96">
        <f>IF(AND(ISNUMBER(F897),ISNUMBER(H897)),IF(H897&gt;0,1,0),0)</f>
        <v>0</v>
      </c>
      <c r="W897" s="96" t="str">
        <f>IF(T897=1,INDEX('ITENS_MTR'!$AU$6:$AU$1005,S897)&amp;"","")</f>
        <v/>
      </c>
      <c r="X897" s="96">
        <f>IF(AND(Q897=1,T897=1,I897&lt;&gt;"",W897&lt;&gt;""),IF(I897&lt;&gt;W897,1,0),0)</f>
        <v>0</v>
      </c>
      <c r="Y897" s="96">
        <f>IF(N897=0,0,IF(OR(Q897=0,T897=0,V897=0,AND(X897=1,J897&lt;&gt;"Sim")),1,0))</f>
        <v>0</v>
      </c>
      <c r="Z897" s="96">
        <f>IF(Q897=1,INDEX('CDFs'!$W$6:$W$505,P897),0)</f>
        <v>0</v>
      </c>
      <c r="AA897" s="96">
        <f>IF(AND(N897=1,Y897=0,Z897=1,J897="Sim"),1,0)</f>
        <v>0</v>
      </c>
      <c r="AB897" s="96">
        <f>IF(AND(N897=1,O897&lt;&gt;"",D897&lt;&gt;""),IF(COUNTIFS($O$6:O897,O897,$D$6:D897,D897)=1,1,0),0)</f>
        <v>0</v>
      </c>
      <c r="AC897" s="96">
        <f>IF(T897=1,INDEX('ITENS_MTR'!$AL$6:$AL$1005,S897),0)</f>
        <v>0</v>
      </c>
    </row>
    <row r="898">
      <c r="A898" s="89" t="inlineStr">
        <is>
          <t>VIN-000893</t>
        </is>
      </c>
      <c r="B898" s="91" t="n"/>
      <c r="C898" s="91" t="n"/>
      <c r="D898" s="94" t="str">
        <f>IF(T898=1,INDEX('ITENS_MTR'!$S$6:$S$1005,S898)&amp;"","")</f>
        <v/>
      </c>
      <c r="E898" s="94" t="str">
        <f>IF(T898=1,INDEX('ITENS_MTR'!$C$6:$C$1005,S898)&amp;"","")</f>
        <v/>
      </c>
      <c r="F898" s="98" t="n"/>
      <c r="G898" s="91" t="n"/>
      <c r="H898" s="93" t="str">
        <f>IF(N898=0,"",IF(NOT(ISNUMBER(F898)),"",IF(ISNUMBER(U898),F898*U898,"UNIDADE A CONFERIR")))</f>
        <v/>
      </c>
      <c r="I898" s="94" t="str">
        <f>IF(Q898=1,INDEX('CDFs'!$F$6:$F$505,P898)&amp;"","")</f>
        <v/>
      </c>
      <c r="J898" s="91" t="n"/>
      <c r="K898" s="91" t="n"/>
      <c r="L898" s="94" t="str">
        <f>IF(N898=0,"",IF(NOT(ISNUMBER(F898)),"Quantidade não informada",IF(F898&lt;=0,"Quantidade não positiva",IF(G898="","Unidade não informada",IF(NOT(ISNUMBER(H898)),"Unidade a conferir",IF(AC898=1,"REVISAR VÍNCULO: soma vinculada maior que a referência do item","OK"))))))</f>
        <v/>
      </c>
      <c r="M898" s="94" t="str">
        <f>IF(N898=0,"",IF(B898="","CDF não informado",IF(Q898=0,"REVISAR VÍNCULO: CDF inexistente",IF(C898="","Item não informado",IF(T898=0,"REVISAR VÍNCULO: item inexistente",IF(AND(X898=1,J898&lt;&gt;"Sim"),"REVISAR VÍNCULO: destinador diferente do MTR",IF(X898=1,"Destinador diferente do MTR (analisado)","OK")))))))</f>
        <v/>
      </c>
      <c r="N898" s="96">
        <f>IF(COUNTA(B898:C898,F898:G898,J898:K898)&gt;0,1,0)</f>
        <v>0</v>
      </c>
      <c r="O898" s="96" t="str">
        <f>IF(B898="","",TRIM(LEFT(B898,FIND(" |",B898&amp;" |")-1)))</f>
        <v/>
      </c>
      <c r="P898" s="96" t="str">
        <f>IF(O898="","",IFERROR(MATCH(O898,'CDFs'!$A$6:$A$505,0),""))</f>
        <v/>
      </c>
      <c r="Q898" s="96">
        <f>IF(P898="",0,IF(INDEX('CDFs'!$S$6:$S$505,P898)=1,1,0))</f>
        <v>0</v>
      </c>
      <c r="R898" s="96" t="str">
        <f>IF(C898="","",TRIM(LEFT(C898,FIND(" |",C898&amp;" |")-1)))</f>
        <v/>
      </c>
      <c r="S898" s="96" t="str">
        <f>IF(R898="","",IFERROR(MATCH(R898,'ITENS_MTR'!$A$6:$A$1005,0),""))</f>
        <v/>
      </c>
      <c r="T898" s="96">
        <f>IF(S898="",0,IF(INDEX('ITENS_MTR'!$R$6:$R$1005,S898)=1,1,0))</f>
        <v>0</v>
      </c>
      <c r="U898" s="96" t="str">
        <f>IF(G898="","",IFERROR(IF(ISNUMBER(INDEX(cfg_fac,MATCH(G898,cfg_units,0))),IF(INDEX(cfg_fac,MATCH(G898,cfg_units,0))&gt;0,INDEX(cfg_fac,MATCH(G898,cfg_units,0)),""),""),""))</f>
        <v/>
      </c>
      <c r="V898" s="96">
        <f>IF(AND(ISNUMBER(F898),ISNUMBER(H898)),IF(H898&gt;0,1,0),0)</f>
        <v>0</v>
      </c>
      <c r="W898" s="96" t="str">
        <f>IF(T898=1,INDEX('ITENS_MTR'!$AU$6:$AU$1005,S898)&amp;"","")</f>
        <v/>
      </c>
      <c r="X898" s="96">
        <f>IF(AND(Q898=1,T898=1,I898&lt;&gt;"",W898&lt;&gt;""),IF(I898&lt;&gt;W898,1,0),0)</f>
        <v>0</v>
      </c>
      <c r="Y898" s="96">
        <f>IF(N898=0,0,IF(OR(Q898=0,T898=0,V898=0,AND(X898=1,J898&lt;&gt;"Sim")),1,0))</f>
        <v>0</v>
      </c>
      <c r="Z898" s="96">
        <f>IF(Q898=1,INDEX('CDFs'!$W$6:$W$505,P898),0)</f>
        <v>0</v>
      </c>
      <c r="AA898" s="96">
        <f>IF(AND(N898=1,Y898=0,Z898=1,J898="Sim"),1,0)</f>
        <v>0</v>
      </c>
      <c r="AB898" s="96">
        <f>IF(AND(N898=1,O898&lt;&gt;"",D898&lt;&gt;""),IF(COUNTIFS($O$6:O898,O898,$D$6:D898,D898)=1,1,0),0)</f>
        <v>0</v>
      </c>
      <c r="AC898" s="96">
        <f>IF(T898=1,INDEX('ITENS_MTR'!$AL$6:$AL$1005,S898),0)</f>
        <v>0</v>
      </c>
    </row>
    <row r="899">
      <c r="A899" s="89" t="inlineStr">
        <is>
          <t>VIN-000894</t>
        </is>
      </c>
      <c r="B899" s="91" t="n"/>
      <c r="C899" s="91" t="n"/>
      <c r="D899" s="94" t="str">
        <f>IF(T899=1,INDEX('ITENS_MTR'!$S$6:$S$1005,S899)&amp;"","")</f>
        <v/>
      </c>
      <c r="E899" s="94" t="str">
        <f>IF(T899=1,INDEX('ITENS_MTR'!$C$6:$C$1005,S899)&amp;"","")</f>
        <v/>
      </c>
      <c r="F899" s="98" t="n"/>
      <c r="G899" s="91" t="n"/>
      <c r="H899" s="93" t="str">
        <f>IF(N899=0,"",IF(NOT(ISNUMBER(F899)),"",IF(ISNUMBER(U899),F899*U899,"UNIDADE A CONFERIR")))</f>
        <v/>
      </c>
      <c r="I899" s="94" t="str">
        <f>IF(Q899=1,INDEX('CDFs'!$F$6:$F$505,P899)&amp;"","")</f>
        <v/>
      </c>
      <c r="J899" s="91" t="n"/>
      <c r="K899" s="91" t="n"/>
      <c r="L899" s="94" t="str">
        <f>IF(N899=0,"",IF(NOT(ISNUMBER(F899)),"Quantidade não informada",IF(F899&lt;=0,"Quantidade não positiva",IF(G899="","Unidade não informada",IF(NOT(ISNUMBER(H899)),"Unidade a conferir",IF(AC899=1,"REVISAR VÍNCULO: soma vinculada maior que a referência do item","OK"))))))</f>
        <v/>
      </c>
      <c r="M899" s="94" t="str">
        <f>IF(N899=0,"",IF(B899="","CDF não informado",IF(Q899=0,"REVISAR VÍNCULO: CDF inexistente",IF(C899="","Item não informado",IF(T899=0,"REVISAR VÍNCULO: item inexistente",IF(AND(X899=1,J899&lt;&gt;"Sim"),"REVISAR VÍNCULO: destinador diferente do MTR",IF(X899=1,"Destinador diferente do MTR (analisado)","OK")))))))</f>
        <v/>
      </c>
      <c r="N899" s="96">
        <f>IF(COUNTA(B899:C899,F899:G899,J899:K899)&gt;0,1,0)</f>
        <v>0</v>
      </c>
      <c r="O899" s="96" t="str">
        <f>IF(B899="","",TRIM(LEFT(B899,FIND(" |",B899&amp;" |")-1)))</f>
        <v/>
      </c>
      <c r="P899" s="96" t="str">
        <f>IF(O899="","",IFERROR(MATCH(O899,'CDFs'!$A$6:$A$505,0),""))</f>
        <v/>
      </c>
      <c r="Q899" s="96">
        <f>IF(P899="",0,IF(INDEX('CDFs'!$S$6:$S$505,P899)=1,1,0))</f>
        <v>0</v>
      </c>
      <c r="R899" s="96" t="str">
        <f>IF(C899="","",TRIM(LEFT(C899,FIND(" |",C899&amp;" |")-1)))</f>
        <v/>
      </c>
      <c r="S899" s="96" t="str">
        <f>IF(R899="","",IFERROR(MATCH(R899,'ITENS_MTR'!$A$6:$A$1005,0),""))</f>
        <v/>
      </c>
      <c r="T899" s="96">
        <f>IF(S899="",0,IF(INDEX('ITENS_MTR'!$R$6:$R$1005,S899)=1,1,0))</f>
        <v>0</v>
      </c>
      <c r="U899" s="96" t="str">
        <f>IF(G899="","",IFERROR(IF(ISNUMBER(INDEX(cfg_fac,MATCH(G899,cfg_units,0))),IF(INDEX(cfg_fac,MATCH(G899,cfg_units,0))&gt;0,INDEX(cfg_fac,MATCH(G899,cfg_units,0)),""),""),""))</f>
        <v/>
      </c>
      <c r="V899" s="96">
        <f>IF(AND(ISNUMBER(F899),ISNUMBER(H899)),IF(H899&gt;0,1,0),0)</f>
        <v>0</v>
      </c>
      <c r="W899" s="96" t="str">
        <f>IF(T899=1,INDEX('ITENS_MTR'!$AU$6:$AU$1005,S899)&amp;"","")</f>
        <v/>
      </c>
      <c r="X899" s="96">
        <f>IF(AND(Q899=1,T899=1,I899&lt;&gt;"",W899&lt;&gt;""),IF(I899&lt;&gt;W899,1,0),0)</f>
        <v>0</v>
      </c>
      <c r="Y899" s="96">
        <f>IF(N899=0,0,IF(OR(Q899=0,T899=0,V899=0,AND(X899=1,J899&lt;&gt;"Sim")),1,0))</f>
        <v>0</v>
      </c>
      <c r="Z899" s="96">
        <f>IF(Q899=1,INDEX('CDFs'!$W$6:$W$505,P899),0)</f>
        <v>0</v>
      </c>
      <c r="AA899" s="96">
        <f>IF(AND(N899=1,Y899=0,Z899=1,J899="Sim"),1,0)</f>
        <v>0</v>
      </c>
      <c r="AB899" s="96">
        <f>IF(AND(N899=1,O899&lt;&gt;"",D899&lt;&gt;""),IF(COUNTIFS($O$6:O899,O899,$D$6:D899,D899)=1,1,0),0)</f>
        <v>0</v>
      </c>
      <c r="AC899" s="96">
        <f>IF(T899=1,INDEX('ITENS_MTR'!$AL$6:$AL$1005,S899),0)</f>
        <v>0</v>
      </c>
    </row>
    <row r="900">
      <c r="A900" s="89" t="inlineStr">
        <is>
          <t>VIN-000895</t>
        </is>
      </c>
      <c r="B900" s="91" t="n"/>
      <c r="C900" s="91" t="n"/>
      <c r="D900" s="94" t="str">
        <f>IF(T900=1,INDEX('ITENS_MTR'!$S$6:$S$1005,S900)&amp;"","")</f>
        <v/>
      </c>
      <c r="E900" s="94" t="str">
        <f>IF(T900=1,INDEX('ITENS_MTR'!$C$6:$C$1005,S900)&amp;"","")</f>
        <v/>
      </c>
      <c r="F900" s="98" t="n"/>
      <c r="G900" s="91" t="n"/>
      <c r="H900" s="93" t="str">
        <f>IF(N900=0,"",IF(NOT(ISNUMBER(F900)),"",IF(ISNUMBER(U900),F900*U900,"UNIDADE A CONFERIR")))</f>
        <v/>
      </c>
      <c r="I900" s="94" t="str">
        <f>IF(Q900=1,INDEX('CDFs'!$F$6:$F$505,P900)&amp;"","")</f>
        <v/>
      </c>
      <c r="J900" s="91" t="n"/>
      <c r="K900" s="91" t="n"/>
      <c r="L900" s="94" t="str">
        <f>IF(N900=0,"",IF(NOT(ISNUMBER(F900)),"Quantidade não informada",IF(F900&lt;=0,"Quantidade não positiva",IF(G900="","Unidade não informada",IF(NOT(ISNUMBER(H900)),"Unidade a conferir",IF(AC900=1,"REVISAR VÍNCULO: soma vinculada maior que a referência do item","OK"))))))</f>
        <v/>
      </c>
      <c r="M900" s="94" t="str">
        <f>IF(N900=0,"",IF(B900="","CDF não informado",IF(Q900=0,"REVISAR VÍNCULO: CDF inexistente",IF(C900="","Item não informado",IF(T900=0,"REVISAR VÍNCULO: item inexistente",IF(AND(X900=1,J900&lt;&gt;"Sim"),"REVISAR VÍNCULO: destinador diferente do MTR",IF(X900=1,"Destinador diferente do MTR (analisado)","OK")))))))</f>
        <v/>
      </c>
      <c r="N900" s="96">
        <f>IF(COUNTA(B900:C900,F900:G900,J900:K900)&gt;0,1,0)</f>
        <v>0</v>
      </c>
      <c r="O900" s="96" t="str">
        <f>IF(B900="","",TRIM(LEFT(B900,FIND(" |",B900&amp;" |")-1)))</f>
        <v/>
      </c>
      <c r="P900" s="96" t="str">
        <f>IF(O900="","",IFERROR(MATCH(O900,'CDFs'!$A$6:$A$505,0),""))</f>
        <v/>
      </c>
      <c r="Q900" s="96">
        <f>IF(P900="",0,IF(INDEX('CDFs'!$S$6:$S$505,P900)=1,1,0))</f>
        <v>0</v>
      </c>
      <c r="R900" s="96" t="str">
        <f>IF(C900="","",TRIM(LEFT(C900,FIND(" |",C900&amp;" |")-1)))</f>
        <v/>
      </c>
      <c r="S900" s="96" t="str">
        <f>IF(R900="","",IFERROR(MATCH(R900,'ITENS_MTR'!$A$6:$A$1005,0),""))</f>
        <v/>
      </c>
      <c r="T900" s="96">
        <f>IF(S900="",0,IF(INDEX('ITENS_MTR'!$R$6:$R$1005,S900)=1,1,0))</f>
        <v>0</v>
      </c>
      <c r="U900" s="96" t="str">
        <f>IF(G900="","",IFERROR(IF(ISNUMBER(INDEX(cfg_fac,MATCH(G900,cfg_units,0))),IF(INDEX(cfg_fac,MATCH(G900,cfg_units,0))&gt;0,INDEX(cfg_fac,MATCH(G900,cfg_units,0)),""),""),""))</f>
        <v/>
      </c>
      <c r="V900" s="96">
        <f>IF(AND(ISNUMBER(F900),ISNUMBER(H900)),IF(H900&gt;0,1,0),0)</f>
        <v>0</v>
      </c>
      <c r="W900" s="96" t="str">
        <f>IF(T900=1,INDEX('ITENS_MTR'!$AU$6:$AU$1005,S900)&amp;"","")</f>
        <v/>
      </c>
      <c r="X900" s="96">
        <f>IF(AND(Q900=1,T900=1,I900&lt;&gt;"",W900&lt;&gt;""),IF(I900&lt;&gt;W900,1,0),0)</f>
        <v>0</v>
      </c>
      <c r="Y900" s="96">
        <f>IF(N900=0,0,IF(OR(Q900=0,T900=0,V900=0,AND(X900=1,J900&lt;&gt;"Sim")),1,0))</f>
        <v>0</v>
      </c>
      <c r="Z900" s="96">
        <f>IF(Q900=1,INDEX('CDFs'!$W$6:$W$505,P900),0)</f>
        <v>0</v>
      </c>
      <c r="AA900" s="96">
        <f>IF(AND(N900=1,Y900=0,Z900=1,J900="Sim"),1,0)</f>
        <v>0</v>
      </c>
      <c r="AB900" s="96">
        <f>IF(AND(N900=1,O900&lt;&gt;"",D900&lt;&gt;""),IF(COUNTIFS($O$6:O900,O900,$D$6:D900,D900)=1,1,0),0)</f>
        <v>0</v>
      </c>
      <c r="AC900" s="96">
        <f>IF(T900=1,INDEX('ITENS_MTR'!$AL$6:$AL$1005,S900),0)</f>
        <v>0</v>
      </c>
    </row>
    <row r="901">
      <c r="A901" s="89" t="inlineStr">
        <is>
          <t>VIN-000896</t>
        </is>
      </c>
      <c r="B901" s="91" t="n"/>
      <c r="C901" s="91" t="n"/>
      <c r="D901" s="94" t="str">
        <f>IF(T901=1,INDEX('ITENS_MTR'!$S$6:$S$1005,S901)&amp;"","")</f>
        <v/>
      </c>
      <c r="E901" s="94" t="str">
        <f>IF(T901=1,INDEX('ITENS_MTR'!$C$6:$C$1005,S901)&amp;"","")</f>
        <v/>
      </c>
      <c r="F901" s="98" t="n"/>
      <c r="G901" s="91" t="n"/>
      <c r="H901" s="93" t="str">
        <f>IF(N901=0,"",IF(NOT(ISNUMBER(F901)),"",IF(ISNUMBER(U901),F901*U901,"UNIDADE A CONFERIR")))</f>
        <v/>
      </c>
      <c r="I901" s="94" t="str">
        <f>IF(Q901=1,INDEX('CDFs'!$F$6:$F$505,P901)&amp;"","")</f>
        <v/>
      </c>
      <c r="J901" s="91" t="n"/>
      <c r="K901" s="91" t="n"/>
      <c r="L901" s="94" t="str">
        <f>IF(N901=0,"",IF(NOT(ISNUMBER(F901)),"Quantidade não informada",IF(F901&lt;=0,"Quantidade não positiva",IF(G901="","Unidade não informada",IF(NOT(ISNUMBER(H901)),"Unidade a conferir",IF(AC901=1,"REVISAR VÍNCULO: soma vinculada maior que a referência do item","OK"))))))</f>
        <v/>
      </c>
      <c r="M901" s="94" t="str">
        <f>IF(N901=0,"",IF(B901="","CDF não informado",IF(Q901=0,"REVISAR VÍNCULO: CDF inexistente",IF(C901="","Item não informado",IF(T901=0,"REVISAR VÍNCULO: item inexistente",IF(AND(X901=1,J901&lt;&gt;"Sim"),"REVISAR VÍNCULO: destinador diferente do MTR",IF(X901=1,"Destinador diferente do MTR (analisado)","OK")))))))</f>
        <v/>
      </c>
      <c r="N901" s="96">
        <f>IF(COUNTA(B901:C901,F901:G901,J901:K901)&gt;0,1,0)</f>
        <v>0</v>
      </c>
      <c r="O901" s="96" t="str">
        <f>IF(B901="","",TRIM(LEFT(B901,FIND(" |",B901&amp;" |")-1)))</f>
        <v/>
      </c>
      <c r="P901" s="96" t="str">
        <f>IF(O901="","",IFERROR(MATCH(O901,'CDFs'!$A$6:$A$505,0),""))</f>
        <v/>
      </c>
      <c r="Q901" s="96">
        <f>IF(P901="",0,IF(INDEX('CDFs'!$S$6:$S$505,P901)=1,1,0))</f>
        <v>0</v>
      </c>
      <c r="R901" s="96" t="str">
        <f>IF(C901="","",TRIM(LEFT(C901,FIND(" |",C901&amp;" |")-1)))</f>
        <v/>
      </c>
      <c r="S901" s="96" t="str">
        <f>IF(R901="","",IFERROR(MATCH(R901,'ITENS_MTR'!$A$6:$A$1005,0),""))</f>
        <v/>
      </c>
      <c r="T901" s="96">
        <f>IF(S901="",0,IF(INDEX('ITENS_MTR'!$R$6:$R$1005,S901)=1,1,0))</f>
        <v>0</v>
      </c>
      <c r="U901" s="96" t="str">
        <f>IF(G901="","",IFERROR(IF(ISNUMBER(INDEX(cfg_fac,MATCH(G901,cfg_units,0))),IF(INDEX(cfg_fac,MATCH(G901,cfg_units,0))&gt;0,INDEX(cfg_fac,MATCH(G901,cfg_units,0)),""),""),""))</f>
        <v/>
      </c>
      <c r="V901" s="96">
        <f>IF(AND(ISNUMBER(F901),ISNUMBER(H901)),IF(H901&gt;0,1,0),0)</f>
        <v>0</v>
      </c>
      <c r="W901" s="96" t="str">
        <f>IF(T901=1,INDEX('ITENS_MTR'!$AU$6:$AU$1005,S901)&amp;"","")</f>
        <v/>
      </c>
      <c r="X901" s="96">
        <f>IF(AND(Q901=1,T901=1,I901&lt;&gt;"",W901&lt;&gt;""),IF(I901&lt;&gt;W901,1,0),0)</f>
        <v>0</v>
      </c>
      <c r="Y901" s="96">
        <f>IF(N901=0,0,IF(OR(Q901=0,T901=0,V901=0,AND(X901=1,J901&lt;&gt;"Sim")),1,0))</f>
        <v>0</v>
      </c>
      <c r="Z901" s="96">
        <f>IF(Q901=1,INDEX('CDFs'!$W$6:$W$505,P901),0)</f>
        <v>0</v>
      </c>
      <c r="AA901" s="96">
        <f>IF(AND(N901=1,Y901=0,Z901=1,J901="Sim"),1,0)</f>
        <v>0</v>
      </c>
      <c r="AB901" s="96">
        <f>IF(AND(N901=1,O901&lt;&gt;"",D901&lt;&gt;""),IF(COUNTIFS($O$6:O901,O901,$D$6:D901,D901)=1,1,0),0)</f>
        <v>0</v>
      </c>
      <c r="AC901" s="96">
        <f>IF(T901=1,INDEX('ITENS_MTR'!$AL$6:$AL$1005,S901),0)</f>
        <v>0</v>
      </c>
    </row>
    <row r="902">
      <c r="A902" s="89" t="inlineStr">
        <is>
          <t>VIN-000897</t>
        </is>
      </c>
      <c r="B902" s="91" t="n"/>
      <c r="C902" s="91" t="n"/>
      <c r="D902" s="94" t="str">
        <f>IF(T902=1,INDEX('ITENS_MTR'!$S$6:$S$1005,S902)&amp;"","")</f>
        <v/>
      </c>
      <c r="E902" s="94" t="str">
        <f>IF(T902=1,INDEX('ITENS_MTR'!$C$6:$C$1005,S902)&amp;"","")</f>
        <v/>
      </c>
      <c r="F902" s="98" t="n"/>
      <c r="G902" s="91" t="n"/>
      <c r="H902" s="93" t="str">
        <f>IF(N902=0,"",IF(NOT(ISNUMBER(F902)),"",IF(ISNUMBER(U902),F902*U902,"UNIDADE A CONFERIR")))</f>
        <v/>
      </c>
      <c r="I902" s="94" t="str">
        <f>IF(Q902=1,INDEX('CDFs'!$F$6:$F$505,P902)&amp;"","")</f>
        <v/>
      </c>
      <c r="J902" s="91" t="n"/>
      <c r="K902" s="91" t="n"/>
      <c r="L902" s="94" t="str">
        <f>IF(N902=0,"",IF(NOT(ISNUMBER(F902)),"Quantidade não informada",IF(F902&lt;=0,"Quantidade não positiva",IF(G902="","Unidade não informada",IF(NOT(ISNUMBER(H902)),"Unidade a conferir",IF(AC902=1,"REVISAR VÍNCULO: soma vinculada maior que a referência do item","OK"))))))</f>
        <v/>
      </c>
      <c r="M902" s="94" t="str">
        <f>IF(N902=0,"",IF(B902="","CDF não informado",IF(Q902=0,"REVISAR VÍNCULO: CDF inexistente",IF(C902="","Item não informado",IF(T902=0,"REVISAR VÍNCULO: item inexistente",IF(AND(X902=1,J902&lt;&gt;"Sim"),"REVISAR VÍNCULO: destinador diferente do MTR",IF(X902=1,"Destinador diferente do MTR (analisado)","OK")))))))</f>
        <v/>
      </c>
      <c r="N902" s="96">
        <f>IF(COUNTA(B902:C902,F902:G902,J902:K902)&gt;0,1,0)</f>
        <v>0</v>
      </c>
      <c r="O902" s="96" t="str">
        <f>IF(B902="","",TRIM(LEFT(B902,FIND(" |",B902&amp;" |")-1)))</f>
        <v/>
      </c>
      <c r="P902" s="96" t="str">
        <f>IF(O902="","",IFERROR(MATCH(O902,'CDFs'!$A$6:$A$505,0),""))</f>
        <v/>
      </c>
      <c r="Q902" s="96">
        <f>IF(P902="",0,IF(INDEX('CDFs'!$S$6:$S$505,P902)=1,1,0))</f>
        <v>0</v>
      </c>
      <c r="R902" s="96" t="str">
        <f>IF(C902="","",TRIM(LEFT(C902,FIND(" |",C902&amp;" |")-1)))</f>
        <v/>
      </c>
      <c r="S902" s="96" t="str">
        <f>IF(R902="","",IFERROR(MATCH(R902,'ITENS_MTR'!$A$6:$A$1005,0),""))</f>
        <v/>
      </c>
      <c r="T902" s="96">
        <f>IF(S902="",0,IF(INDEX('ITENS_MTR'!$R$6:$R$1005,S902)=1,1,0))</f>
        <v>0</v>
      </c>
      <c r="U902" s="96" t="str">
        <f>IF(G902="","",IFERROR(IF(ISNUMBER(INDEX(cfg_fac,MATCH(G902,cfg_units,0))),IF(INDEX(cfg_fac,MATCH(G902,cfg_units,0))&gt;0,INDEX(cfg_fac,MATCH(G902,cfg_units,0)),""),""),""))</f>
        <v/>
      </c>
      <c r="V902" s="96">
        <f>IF(AND(ISNUMBER(F902),ISNUMBER(H902)),IF(H902&gt;0,1,0),0)</f>
        <v>0</v>
      </c>
      <c r="W902" s="96" t="str">
        <f>IF(T902=1,INDEX('ITENS_MTR'!$AU$6:$AU$1005,S902)&amp;"","")</f>
        <v/>
      </c>
      <c r="X902" s="96">
        <f>IF(AND(Q902=1,T902=1,I902&lt;&gt;"",W902&lt;&gt;""),IF(I902&lt;&gt;W902,1,0),0)</f>
        <v>0</v>
      </c>
      <c r="Y902" s="96">
        <f>IF(N902=0,0,IF(OR(Q902=0,T902=0,V902=0,AND(X902=1,J902&lt;&gt;"Sim")),1,0))</f>
        <v>0</v>
      </c>
      <c r="Z902" s="96">
        <f>IF(Q902=1,INDEX('CDFs'!$W$6:$W$505,P902),0)</f>
        <v>0</v>
      </c>
      <c r="AA902" s="96">
        <f>IF(AND(N902=1,Y902=0,Z902=1,J902="Sim"),1,0)</f>
        <v>0</v>
      </c>
      <c r="AB902" s="96">
        <f>IF(AND(N902=1,O902&lt;&gt;"",D902&lt;&gt;""),IF(COUNTIFS($O$6:O902,O902,$D$6:D902,D902)=1,1,0),0)</f>
        <v>0</v>
      </c>
      <c r="AC902" s="96">
        <f>IF(T902=1,INDEX('ITENS_MTR'!$AL$6:$AL$1005,S902),0)</f>
        <v>0</v>
      </c>
    </row>
    <row r="903">
      <c r="A903" s="89" t="inlineStr">
        <is>
          <t>VIN-000898</t>
        </is>
      </c>
      <c r="B903" s="91" t="n"/>
      <c r="C903" s="91" t="n"/>
      <c r="D903" s="94" t="str">
        <f>IF(T903=1,INDEX('ITENS_MTR'!$S$6:$S$1005,S903)&amp;"","")</f>
        <v/>
      </c>
      <c r="E903" s="94" t="str">
        <f>IF(T903=1,INDEX('ITENS_MTR'!$C$6:$C$1005,S903)&amp;"","")</f>
        <v/>
      </c>
      <c r="F903" s="98" t="n"/>
      <c r="G903" s="91" t="n"/>
      <c r="H903" s="93" t="str">
        <f>IF(N903=0,"",IF(NOT(ISNUMBER(F903)),"",IF(ISNUMBER(U903),F903*U903,"UNIDADE A CONFERIR")))</f>
        <v/>
      </c>
      <c r="I903" s="94" t="str">
        <f>IF(Q903=1,INDEX('CDFs'!$F$6:$F$505,P903)&amp;"","")</f>
        <v/>
      </c>
      <c r="J903" s="91" t="n"/>
      <c r="K903" s="91" t="n"/>
      <c r="L903" s="94" t="str">
        <f>IF(N903=0,"",IF(NOT(ISNUMBER(F903)),"Quantidade não informada",IF(F903&lt;=0,"Quantidade não positiva",IF(G903="","Unidade não informada",IF(NOT(ISNUMBER(H903)),"Unidade a conferir",IF(AC903=1,"REVISAR VÍNCULO: soma vinculada maior que a referência do item","OK"))))))</f>
        <v/>
      </c>
      <c r="M903" s="94" t="str">
        <f>IF(N903=0,"",IF(B903="","CDF não informado",IF(Q903=0,"REVISAR VÍNCULO: CDF inexistente",IF(C903="","Item não informado",IF(T903=0,"REVISAR VÍNCULO: item inexistente",IF(AND(X903=1,J903&lt;&gt;"Sim"),"REVISAR VÍNCULO: destinador diferente do MTR",IF(X903=1,"Destinador diferente do MTR (analisado)","OK")))))))</f>
        <v/>
      </c>
      <c r="N903" s="96">
        <f>IF(COUNTA(B903:C903,F903:G903,J903:K903)&gt;0,1,0)</f>
        <v>0</v>
      </c>
      <c r="O903" s="96" t="str">
        <f>IF(B903="","",TRIM(LEFT(B903,FIND(" |",B903&amp;" |")-1)))</f>
        <v/>
      </c>
      <c r="P903" s="96" t="str">
        <f>IF(O903="","",IFERROR(MATCH(O903,'CDFs'!$A$6:$A$505,0),""))</f>
        <v/>
      </c>
      <c r="Q903" s="96">
        <f>IF(P903="",0,IF(INDEX('CDFs'!$S$6:$S$505,P903)=1,1,0))</f>
        <v>0</v>
      </c>
      <c r="R903" s="96" t="str">
        <f>IF(C903="","",TRIM(LEFT(C903,FIND(" |",C903&amp;" |")-1)))</f>
        <v/>
      </c>
      <c r="S903" s="96" t="str">
        <f>IF(R903="","",IFERROR(MATCH(R903,'ITENS_MTR'!$A$6:$A$1005,0),""))</f>
        <v/>
      </c>
      <c r="T903" s="96">
        <f>IF(S903="",0,IF(INDEX('ITENS_MTR'!$R$6:$R$1005,S903)=1,1,0))</f>
        <v>0</v>
      </c>
      <c r="U903" s="96" t="str">
        <f>IF(G903="","",IFERROR(IF(ISNUMBER(INDEX(cfg_fac,MATCH(G903,cfg_units,0))),IF(INDEX(cfg_fac,MATCH(G903,cfg_units,0))&gt;0,INDEX(cfg_fac,MATCH(G903,cfg_units,0)),""),""),""))</f>
        <v/>
      </c>
      <c r="V903" s="96">
        <f>IF(AND(ISNUMBER(F903),ISNUMBER(H903)),IF(H903&gt;0,1,0),0)</f>
        <v>0</v>
      </c>
      <c r="W903" s="96" t="str">
        <f>IF(T903=1,INDEX('ITENS_MTR'!$AU$6:$AU$1005,S903)&amp;"","")</f>
        <v/>
      </c>
      <c r="X903" s="96">
        <f>IF(AND(Q903=1,T903=1,I903&lt;&gt;"",W903&lt;&gt;""),IF(I903&lt;&gt;W903,1,0),0)</f>
        <v>0</v>
      </c>
      <c r="Y903" s="96">
        <f>IF(N903=0,0,IF(OR(Q903=0,T903=0,V903=0,AND(X903=1,J903&lt;&gt;"Sim")),1,0))</f>
        <v>0</v>
      </c>
      <c r="Z903" s="96">
        <f>IF(Q903=1,INDEX('CDFs'!$W$6:$W$505,P903),0)</f>
        <v>0</v>
      </c>
      <c r="AA903" s="96">
        <f>IF(AND(N903=1,Y903=0,Z903=1,J903="Sim"),1,0)</f>
        <v>0</v>
      </c>
      <c r="AB903" s="96">
        <f>IF(AND(N903=1,O903&lt;&gt;"",D903&lt;&gt;""),IF(COUNTIFS($O$6:O903,O903,$D$6:D903,D903)=1,1,0),0)</f>
        <v>0</v>
      </c>
      <c r="AC903" s="96">
        <f>IF(T903=1,INDEX('ITENS_MTR'!$AL$6:$AL$1005,S903),0)</f>
        <v>0</v>
      </c>
    </row>
    <row r="904">
      <c r="A904" s="89" t="inlineStr">
        <is>
          <t>VIN-000899</t>
        </is>
      </c>
      <c r="B904" s="91" t="n"/>
      <c r="C904" s="91" t="n"/>
      <c r="D904" s="94" t="str">
        <f>IF(T904=1,INDEX('ITENS_MTR'!$S$6:$S$1005,S904)&amp;"","")</f>
        <v/>
      </c>
      <c r="E904" s="94" t="str">
        <f>IF(T904=1,INDEX('ITENS_MTR'!$C$6:$C$1005,S904)&amp;"","")</f>
        <v/>
      </c>
      <c r="F904" s="98" t="n"/>
      <c r="G904" s="91" t="n"/>
      <c r="H904" s="93" t="str">
        <f>IF(N904=0,"",IF(NOT(ISNUMBER(F904)),"",IF(ISNUMBER(U904),F904*U904,"UNIDADE A CONFERIR")))</f>
        <v/>
      </c>
      <c r="I904" s="94" t="str">
        <f>IF(Q904=1,INDEX('CDFs'!$F$6:$F$505,P904)&amp;"","")</f>
        <v/>
      </c>
      <c r="J904" s="91" t="n"/>
      <c r="K904" s="91" t="n"/>
      <c r="L904" s="94" t="str">
        <f>IF(N904=0,"",IF(NOT(ISNUMBER(F904)),"Quantidade não informada",IF(F904&lt;=0,"Quantidade não positiva",IF(G904="","Unidade não informada",IF(NOT(ISNUMBER(H904)),"Unidade a conferir",IF(AC904=1,"REVISAR VÍNCULO: soma vinculada maior que a referência do item","OK"))))))</f>
        <v/>
      </c>
      <c r="M904" s="94" t="str">
        <f>IF(N904=0,"",IF(B904="","CDF não informado",IF(Q904=0,"REVISAR VÍNCULO: CDF inexistente",IF(C904="","Item não informado",IF(T904=0,"REVISAR VÍNCULO: item inexistente",IF(AND(X904=1,J904&lt;&gt;"Sim"),"REVISAR VÍNCULO: destinador diferente do MTR",IF(X904=1,"Destinador diferente do MTR (analisado)","OK")))))))</f>
        <v/>
      </c>
      <c r="N904" s="96">
        <f>IF(COUNTA(B904:C904,F904:G904,J904:K904)&gt;0,1,0)</f>
        <v>0</v>
      </c>
      <c r="O904" s="96" t="str">
        <f>IF(B904="","",TRIM(LEFT(B904,FIND(" |",B904&amp;" |")-1)))</f>
        <v/>
      </c>
      <c r="P904" s="96" t="str">
        <f>IF(O904="","",IFERROR(MATCH(O904,'CDFs'!$A$6:$A$505,0),""))</f>
        <v/>
      </c>
      <c r="Q904" s="96">
        <f>IF(P904="",0,IF(INDEX('CDFs'!$S$6:$S$505,P904)=1,1,0))</f>
        <v>0</v>
      </c>
      <c r="R904" s="96" t="str">
        <f>IF(C904="","",TRIM(LEFT(C904,FIND(" |",C904&amp;" |")-1)))</f>
        <v/>
      </c>
      <c r="S904" s="96" t="str">
        <f>IF(R904="","",IFERROR(MATCH(R904,'ITENS_MTR'!$A$6:$A$1005,0),""))</f>
        <v/>
      </c>
      <c r="T904" s="96">
        <f>IF(S904="",0,IF(INDEX('ITENS_MTR'!$R$6:$R$1005,S904)=1,1,0))</f>
        <v>0</v>
      </c>
      <c r="U904" s="96" t="str">
        <f>IF(G904="","",IFERROR(IF(ISNUMBER(INDEX(cfg_fac,MATCH(G904,cfg_units,0))),IF(INDEX(cfg_fac,MATCH(G904,cfg_units,0))&gt;0,INDEX(cfg_fac,MATCH(G904,cfg_units,0)),""),""),""))</f>
        <v/>
      </c>
      <c r="V904" s="96">
        <f>IF(AND(ISNUMBER(F904),ISNUMBER(H904)),IF(H904&gt;0,1,0),0)</f>
        <v>0</v>
      </c>
      <c r="W904" s="96" t="str">
        <f>IF(T904=1,INDEX('ITENS_MTR'!$AU$6:$AU$1005,S904)&amp;"","")</f>
        <v/>
      </c>
      <c r="X904" s="96">
        <f>IF(AND(Q904=1,T904=1,I904&lt;&gt;"",W904&lt;&gt;""),IF(I904&lt;&gt;W904,1,0),0)</f>
        <v>0</v>
      </c>
      <c r="Y904" s="96">
        <f>IF(N904=0,0,IF(OR(Q904=0,T904=0,V904=0,AND(X904=1,J904&lt;&gt;"Sim")),1,0))</f>
        <v>0</v>
      </c>
      <c r="Z904" s="96">
        <f>IF(Q904=1,INDEX('CDFs'!$W$6:$W$505,P904),0)</f>
        <v>0</v>
      </c>
      <c r="AA904" s="96">
        <f>IF(AND(N904=1,Y904=0,Z904=1,J904="Sim"),1,0)</f>
        <v>0</v>
      </c>
      <c r="AB904" s="96">
        <f>IF(AND(N904=1,O904&lt;&gt;"",D904&lt;&gt;""),IF(COUNTIFS($O$6:O904,O904,$D$6:D904,D904)=1,1,0),0)</f>
        <v>0</v>
      </c>
      <c r="AC904" s="96">
        <f>IF(T904=1,INDEX('ITENS_MTR'!$AL$6:$AL$1005,S904),0)</f>
        <v>0</v>
      </c>
    </row>
    <row r="905">
      <c r="A905" s="89" t="inlineStr">
        <is>
          <t>VIN-000900</t>
        </is>
      </c>
      <c r="B905" s="91" t="n"/>
      <c r="C905" s="91" t="n"/>
      <c r="D905" s="94" t="str">
        <f>IF(T905=1,INDEX('ITENS_MTR'!$S$6:$S$1005,S905)&amp;"","")</f>
        <v/>
      </c>
      <c r="E905" s="94" t="str">
        <f>IF(T905=1,INDEX('ITENS_MTR'!$C$6:$C$1005,S905)&amp;"","")</f>
        <v/>
      </c>
      <c r="F905" s="98" t="n"/>
      <c r="G905" s="91" t="n"/>
      <c r="H905" s="93" t="str">
        <f>IF(N905=0,"",IF(NOT(ISNUMBER(F905)),"",IF(ISNUMBER(U905),F905*U905,"UNIDADE A CONFERIR")))</f>
        <v/>
      </c>
      <c r="I905" s="94" t="str">
        <f>IF(Q905=1,INDEX('CDFs'!$F$6:$F$505,P905)&amp;"","")</f>
        <v/>
      </c>
      <c r="J905" s="91" t="n"/>
      <c r="K905" s="91" t="n"/>
      <c r="L905" s="94" t="str">
        <f>IF(N905=0,"",IF(NOT(ISNUMBER(F905)),"Quantidade não informada",IF(F905&lt;=0,"Quantidade não positiva",IF(G905="","Unidade não informada",IF(NOT(ISNUMBER(H905)),"Unidade a conferir",IF(AC905=1,"REVISAR VÍNCULO: soma vinculada maior que a referência do item","OK"))))))</f>
        <v/>
      </c>
      <c r="M905" s="94" t="str">
        <f>IF(N905=0,"",IF(B905="","CDF não informado",IF(Q905=0,"REVISAR VÍNCULO: CDF inexistente",IF(C905="","Item não informado",IF(T905=0,"REVISAR VÍNCULO: item inexistente",IF(AND(X905=1,J905&lt;&gt;"Sim"),"REVISAR VÍNCULO: destinador diferente do MTR",IF(X905=1,"Destinador diferente do MTR (analisado)","OK")))))))</f>
        <v/>
      </c>
      <c r="N905" s="96">
        <f>IF(COUNTA(B905:C905,F905:G905,J905:K905)&gt;0,1,0)</f>
        <v>0</v>
      </c>
      <c r="O905" s="96" t="str">
        <f>IF(B905="","",TRIM(LEFT(B905,FIND(" |",B905&amp;" |")-1)))</f>
        <v/>
      </c>
      <c r="P905" s="96" t="str">
        <f>IF(O905="","",IFERROR(MATCH(O905,'CDFs'!$A$6:$A$505,0),""))</f>
        <v/>
      </c>
      <c r="Q905" s="96">
        <f>IF(P905="",0,IF(INDEX('CDFs'!$S$6:$S$505,P905)=1,1,0))</f>
        <v>0</v>
      </c>
      <c r="R905" s="96" t="str">
        <f>IF(C905="","",TRIM(LEFT(C905,FIND(" |",C905&amp;" |")-1)))</f>
        <v/>
      </c>
      <c r="S905" s="96" t="str">
        <f>IF(R905="","",IFERROR(MATCH(R905,'ITENS_MTR'!$A$6:$A$1005,0),""))</f>
        <v/>
      </c>
      <c r="T905" s="96">
        <f>IF(S905="",0,IF(INDEX('ITENS_MTR'!$R$6:$R$1005,S905)=1,1,0))</f>
        <v>0</v>
      </c>
      <c r="U905" s="96" t="str">
        <f>IF(G905="","",IFERROR(IF(ISNUMBER(INDEX(cfg_fac,MATCH(G905,cfg_units,0))),IF(INDEX(cfg_fac,MATCH(G905,cfg_units,0))&gt;0,INDEX(cfg_fac,MATCH(G905,cfg_units,0)),""),""),""))</f>
        <v/>
      </c>
      <c r="V905" s="96">
        <f>IF(AND(ISNUMBER(F905),ISNUMBER(H905)),IF(H905&gt;0,1,0),0)</f>
        <v>0</v>
      </c>
      <c r="W905" s="96" t="str">
        <f>IF(T905=1,INDEX('ITENS_MTR'!$AU$6:$AU$1005,S905)&amp;"","")</f>
        <v/>
      </c>
      <c r="X905" s="96">
        <f>IF(AND(Q905=1,T905=1,I905&lt;&gt;"",W905&lt;&gt;""),IF(I905&lt;&gt;W905,1,0),0)</f>
        <v>0</v>
      </c>
      <c r="Y905" s="96">
        <f>IF(N905=0,0,IF(OR(Q905=0,T905=0,V905=0,AND(X905=1,J905&lt;&gt;"Sim")),1,0))</f>
        <v>0</v>
      </c>
      <c r="Z905" s="96">
        <f>IF(Q905=1,INDEX('CDFs'!$W$6:$W$505,P905),0)</f>
        <v>0</v>
      </c>
      <c r="AA905" s="96">
        <f>IF(AND(N905=1,Y905=0,Z905=1,J905="Sim"),1,0)</f>
        <v>0</v>
      </c>
      <c r="AB905" s="96">
        <f>IF(AND(N905=1,O905&lt;&gt;"",D905&lt;&gt;""),IF(COUNTIFS($O$6:O905,O905,$D$6:D905,D905)=1,1,0),0)</f>
        <v>0</v>
      </c>
      <c r="AC905" s="96">
        <f>IF(T905=1,INDEX('ITENS_MTR'!$AL$6:$AL$1005,S905),0)</f>
        <v>0</v>
      </c>
    </row>
    <row r="906">
      <c r="A906" s="89" t="inlineStr">
        <is>
          <t>VIN-000901</t>
        </is>
      </c>
      <c r="B906" s="91" t="n"/>
      <c r="C906" s="91" t="n"/>
      <c r="D906" s="94" t="str">
        <f>IF(T906=1,INDEX('ITENS_MTR'!$S$6:$S$1005,S906)&amp;"","")</f>
        <v/>
      </c>
      <c r="E906" s="94" t="str">
        <f>IF(T906=1,INDEX('ITENS_MTR'!$C$6:$C$1005,S906)&amp;"","")</f>
        <v/>
      </c>
      <c r="F906" s="98" t="n"/>
      <c r="G906" s="91" t="n"/>
      <c r="H906" s="93" t="str">
        <f>IF(N906=0,"",IF(NOT(ISNUMBER(F906)),"",IF(ISNUMBER(U906),F906*U906,"UNIDADE A CONFERIR")))</f>
        <v/>
      </c>
      <c r="I906" s="94" t="str">
        <f>IF(Q906=1,INDEX('CDFs'!$F$6:$F$505,P906)&amp;"","")</f>
        <v/>
      </c>
      <c r="J906" s="91" t="n"/>
      <c r="K906" s="91" t="n"/>
      <c r="L906" s="94" t="str">
        <f>IF(N906=0,"",IF(NOT(ISNUMBER(F906)),"Quantidade não informada",IF(F906&lt;=0,"Quantidade não positiva",IF(G906="","Unidade não informada",IF(NOT(ISNUMBER(H906)),"Unidade a conferir",IF(AC906=1,"REVISAR VÍNCULO: soma vinculada maior que a referência do item","OK"))))))</f>
        <v/>
      </c>
      <c r="M906" s="94" t="str">
        <f>IF(N906=0,"",IF(B906="","CDF não informado",IF(Q906=0,"REVISAR VÍNCULO: CDF inexistente",IF(C906="","Item não informado",IF(T906=0,"REVISAR VÍNCULO: item inexistente",IF(AND(X906=1,J906&lt;&gt;"Sim"),"REVISAR VÍNCULO: destinador diferente do MTR",IF(X906=1,"Destinador diferente do MTR (analisado)","OK")))))))</f>
        <v/>
      </c>
      <c r="N906" s="96">
        <f>IF(COUNTA(B906:C906,F906:G906,J906:K906)&gt;0,1,0)</f>
        <v>0</v>
      </c>
      <c r="O906" s="96" t="str">
        <f>IF(B906="","",TRIM(LEFT(B906,FIND(" |",B906&amp;" |")-1)))</f>
        <v/>
      </c>
      <c r="P906" s="96" t="str">
        <f>IF(O906="","",IFERROR(MATCH(O906,'CDFs'!$A$6:$A$505,0),""))</f>
        <v/>
      </c>
      <c r="Q906" s="96">
        <f>IF(P906="",0,IF(INDEX('CDFs'!$S$6:$S$505,P906)=1,1,0))</f>
        <v>0</v>
      </c>
      <c r="R906" s="96" t="str">
        <f>IF(C906="","",TRIM(LEFT(C906,FIND(" |",C906&amp;" |")-1)))</f>
        <v/>
      </c>
      <c r="S906" s="96" t="str">
        <f>IF(R906="","",IFERROR(MATCH(R906,'ITENS_MTR'!$A$6:$A$1005,0),""))</f>
        <v/>
      </c>
      <c r="T906" s="96">
        <f>IF(S906="",0,IF(INDEX('ITENS_MTR'!$R$6:$R$1005,S906)=1,1,0))</f>
        <v>0</v>
      </c>
      <c r="U906" s="96" t="str">
        <f>IF(G906="","",IFERROR(IF(ISNUMBER(INDEX(cfg_fac,MATCH(G906,cfg_units,0))),IF(INDEX(cfg_fac,MATCH(G906,cfg_units,0))&gt;0,INDEX(cfg_fac,MATCH(G906,cfg_units,0)),""),""),""))</f>
        <v/>
      </c>
      <c r="V906" s="96">
        <f>IF(AND(ISNUMBER(F906),ISNUMBER(H906)),IF(H906&gt;0,1,0),0)</f>
        <v>0</v>
      </c>
      <c r="W906" s="96" t="str">
        <f>IF(T906=1,INDEX('ITENS_MTR'!$AU$6:$AU$1005,S906)&amp;"","")</f>
        <v/>
      </c>
      <c r="X906" s="96">
        <f>IF(AND(Q906=1,T906=1,I906&lt;&gt;"",W906&lt;&gt;""),IF(I906&lt;&gt;W906,1,0),0)</f>
        <v>0</v>
      </c>
      <c r="Y906" s="96">
        <f>IF(N906=0,0,IF(OR(Q906=0,T906=0,V906=0,AND(X906=1,J906&lt;&gt;"Sim")),1,0))</f>
        <v>0</v>
      </c>
      <c r="Z906" s="96">
        <f>IF(Q906=1,INDEX('CDFs'!$W$6:$W$505,P906),0)</f>
        <v>0</v>
      </c>
      <c r="AA906" s="96">
        <f>IF(AND(N906=1,Y906=0,Z906=1,J906="Sim"),1,0)</f>
        <v>0</v>
      </c>
      <c r="AB906" s="96">
        <f>IF(AND(N906=1,O906&lt;&gt;"",D906&lt;&gt;""),IF(COUNTIFS($O$6:O906,O906,$D$6:D906,D906)=1,1,0),0)</f>
        <v>0</v>
      </c>
      <c r="AC906" s="96">
        <f>IF(T906=1,INDEX('ITENS_MTR'!$AL$6:$AL$1005,S906),0)</f>
        <v>0</v>
      </c>
    </row>
    <row r="907">
      <c r="A907" s="89" t="inlineStr">
        <is>
          <t>VIN-000902</t>
        </is>
      </c>
      <c r="B907" s="91" t="n"/>
      <c r="C907" s="91" t="n"/>
      <c r="D907" s="94" t="str">
        <f>IF(T907=1,INDEX('ITENS_MTR'!$S$6:$S$1005,S907)&amp;"","")</f>
        <v/>
      </c>
      <c r="E907" s="94" t="str">
        <f>IF(T907=1,INDEX('ITENS_MTR'!$C$6:$C$1005,S907)&amp;"","")</f>
        <v/>
      </c>
      <c r="F907" s="98" t="n"/>
      <c r="G907" s="91" t="n"/>
      <c r="H907" s="93" t="str">
        <f>IF(N907=0,"",IF(NOT(ISNUMBER(F907)),"",IF(ISNUMBER(U907),F907*U907,"UNIDADE A CONFERIR")))</f>
        <v/>
      </c>
      <c r="I907" s="94" t="str">
        <f>IF(Q907=1,INDEX('CDFs'!$F$6:$F$505,P907)&amp;"","")</f>
        <v/>
      </c>
      <c r="J907" s="91" t="n"/>
      <c r="K907" s="91" t="n"/>
      <c r="L907" s="94" t="str">
        <f>IF(N907=0,"",IF(NOT(ISNUMBER(F907)),"Quantidade não informada",IF(F907&lt;=0,"Quantidade não positiva",IF(G907="","Unidade não informada",IF(NOT(ISNUMBER(H907)),"Unidade a conferir",IF(AC907=1,"REVISAR VÍNCULO: soma vinculada maior que a referência do item","OK"))))))</f>
        <v/>
      </c>
      <c r="M907" s="94" t="str">
        <f>IF(N907=0,"",IF(B907="","CDF não informado",IF(Q907=0,"REVISAR VÍNCULO: CDF inexistente",IF(C907="","Item não informado",IF(T907=0,"REVISAR VÍNCULO: item inexistente",IF(AND(X907=1,J907&lt;&gt;"Sim"),"REVISAR VÍNCULO: destinador diferente do MTR",IF(X907=1,"Destinador diferente do MTR (analisado)","OK")))))))</f>
        <v/>
      </c>
      <c r="N907" s="96">
        <f>IF(COUNTA(B907:C907,F907:G907,J907:K907)&gt;0,1,0)</f>
        <v>0</v>
      </c>
      <c r="O907" s="96" t="str">
        <f>IF(B907="","",TRIM(LEFT(B907,FIND(" |",B907&amp;" |")-1)))</f>
        <v/>
      </c>
      <c r="P907" s="96" t="str">
        <f>IF(O907="","",IFERROR(MATCH(O907,'CDFs'!$A$6:$A$505,0),""))</f>
        <v/>
      </c>
      <c r="Q907" s="96">
        <f>IF(P907="",0,IF(INDEX('CDFs'!$S$6:$S$505,P907)=1,1,0))</f>
        <v>0</v>
      </c>
      <c r="R907" s="96" t="str">
        <f>IF(C907="","",TRIM(LEFT(C907,FIND(" |",C907&amp;" |")-1)))</f>
        <v/>
      </c>
      <c r="S907" s="96" t="str">
        <f>IF(R907="","",IFERROR(MATCH(R907,'ITENS_MTR'!$A$6:$A$1005,0),""))</f>
        <v/>
      </c>
      <c r="T907" s="96">
        <f>IF(S907="",0,IF(INDEX('ITENS_MTR'!$R$6:$R$1005,S907)=1,1,0))</f>
        <v>0</v>
      </c>
      <c r="U907" s="96" t="str">
        <f>IF(G907="","",IFERROR(IF(ISNUMBER(INDEX(cfg_fac,MATCH(G907,cfg_units,0))),IF(INDEX(cfg_fac,MATCH(G907,cfg_units,0))&gt;0,INDEX(cfg_fac,MATCH(G907,cfg_units,0)),""),""),""))</f>
        <v/>
      </c>
      <c r="V907" s="96">
        <f>IF(AND(ISNUMBER(F907),ISNUMBER(H907)),IF(H907&gt;0,1,0),0)</f>
        <v>0</v>
      </c>
      <c r="W907" s="96" t="str">
        <f>IF(T907=1,INDEX('ITENS_MTR'!$AU$6:$AU$1005,S907)&amp;"","")</f>
        <v/>
      </c>
      <c r="X907" s="96">
        <f>IF(AND(Q907=1,T907=1,I907&lt;&gt;"",W907&lt;&gt;""),IF(I907&lt;&gt;W907,1,0),0)</f>
        <v>0</v>
      </c>
      <c r="Y907" s="96">
        <f>IF(N907=0,0,IF(OR(Q907=0,T907=0,V907=0,AND(X907=1,J907&lt;&gt;"Sim")),1,0))</f>
        <v>0</v>
      </c>
      <c r="Z907" s="96">
        <f>IF(Q907=1,INDEX('CDFs'!$W$6:$W$505,P907),0)</f>
        <v>0</v>
      </c>
      <c r="AA907" s="96">
        <f>IF(AND(N907=1,Y907=0,Z907=1,J907="Sim"),1,0)</f>
        <v>0</v>
      </c>
      <c r="AB907" s="96">
        <f>IF(AND(N907=1,O907&lt;&gt;"",D907&lt;&gt;""),IF(COUNTIFS($O$6:O907,O907,$D$6:D907,D907)=1,1,0),0)</f>
        <v>0</v>
      </c>
      <c r="AC907" s="96">
        <f>IF(T907=1,INDEX('ITENS_MTR'!$AL$6:$AL$1005,S907),0)</f>
        <v>0</v>
      </c>
    </row>
    <row r="908">
      <c r="A908" s="89" t="inlineStr">
        <is>
          <t>VIN-000903</t>
        </is>
      </c>
      <c r="B908" s="91" t="n"/>
      <c r="C908" s="91" t="n"/>
      <c r="D908" s="94" t="str">
        <f>IF(T908=1,INDEX('ITENS_MTR'!$S$6:$S$1005,S908)&amp;"","")</f>
        <v/>
      </c>
      <c r="E908" s="94" t="str">
        <f>IF(T908=1,INDEX('ITENS_MTR'!$C$6:$C$1005,S908)&amp;"","")</f>
        <v/>
      </c>
      <c r="F908" s="98" t="n"/>
      <c r="G908" s="91" t="n"/>
      <c r="H908" s="93" t="str">
        <f>IF(N908=0,"",IF(NOT(ISNUMBER(F908)),"",IF(ISNUMBER(U908),F908*U908,"UNIDADE A CONFERIR")))</f>
        <v/>
      </c>
      <c r="I908" s="94" t="str">
        <f>IF(Q908=1,INDEX('CDFs'!$F$6:$F$505,P908)&amp;"","")</f>
        <v/>
      </c>
      <c r="J908" s="91" t="n"/>
      <c r="K908" s="91" t="n"/>
      <c r="L908" s="94" t="str">
        <f>IF(N908=0,"",IF(NOT(ISNUMBER(F908)),"Quantidade não informada",IF(F908&lt;=0,"Quantidade não positiva",IF(G908="","Unidade não informada",IF(NOT(ISNUMBER(H908)),"Unidade a conferir",IF(AC908=1,"REVISAR VÍNCULO: soma vinculada maior que a referência do item","OK"))))))</f>
        <v/>
      </c>
      <c r="M908" s="94" t="str">
        <f>IF(N908=0,"",IF(B908="","CDF não informado",IF(Q908=0,"REVISAR VÍNCULO: CDF inexistente",IF(C908="","Item não informado",IF(T908=0,"REVISAR VÍNCULO: item inexistente",IF(AND(X908=1,J908&lt;&gt;"Sim"),"REVISAR VÍNCULO: destinador diferente do MTR",IF(X908=1,"Destinador diferente do MTR (analisado)","OK")))))))</f>
        <v/>
      </c>
      <c r="N908" s="96">
        <f>IF(COUNTA(B908:C908,F908:G908,J908:K908)&gt;0,1,0)</f>
        <v>0</v>
      </c>
      <c r="O908" s="96" t="str">
        <f>IF(B908="","",TRIM(LEFT(B908,FIND(" |",B908&amp;" |")-1)))</f>
        <v/>
      </c>
      <c r="P908" s="96" t="str">
        <f>IF(O908="","",IFERROR(MATCH(O908,'CDFs'!$A$6:$A$505,0),""))</f>
        <v/>
      </c>
      <c r="Q908" s="96">
        <f>IF(P908="",0,IF(INDEX('CDFs'!$S$6:$S$505,P908)=1,1,0))</f>
        <v>0</v>
      </c>
      <c r="R908" s="96" t="str">
        <f>IF(C908="","",TRIM(LEFT(C908,FIND(" |",C908&amp;" |")-1)))</f>
        <v/>
      </c>
      <c r="S908" s="96" t="str">
        <f>IF(R908="","",IFERROR(MATCH(R908,'ITENS_MTR'!$A$6:$A$1005,0),""))</f>
        <v/>
      </c>
      <c r="T908" s="96">
        <f>IF(S908="",0,IF(INDEX('ITENS_MTR'!$R$6:$R$1005,S908)=1,1,0))</f>
        <v>0</v>
      </c>
      <c r="U908" s="96" t="str">
        <f>IF(G908="","",IFERROR(IF(ISNUMBER(INDEX(cfg_fac,MATCH(G908,cfg_units,0))),IF(INDEX(cfg_fac,MATCH(G908,cfg_units,0))&gt;0,INDEX(cfg_fac,MATCH(G908,cfg_units,0)),""),""),""))</f>
        <v/>
      </c>
      <c r="V908" s="96">
        <f>IF(AND(ISNUMBER(F908),ISNUMBER(H908)),IF(H908&gt;0,1,0),0)</f>
        <v>0</v>
      </c>
      <c r="W908" s="96" t="str">
        <f>IF(T908=1,INDEX('ITENS_MTR'!$AU$6:$AU$1005,S908)&amp;"","")</f>
        <v/>
      </c>
      <c r="X908" s="96">
        <f>IF(AND(Q908=1,T908=1,I908&lt;&gt;"",W908&lt;&gt;""),IF(I908&lt;&gt;W908,1,0),0)</f>
        <v>0</v>
      </c>
      <c r="Y908" s="96">
        <f>IF(N908=0,0,IF(OR(Q908=0,T908=0,V908=0,AND(X908=1,J908&lt;&gt;"Sim")),1,0))</f>
        <v>0</v>
      </c>
      <c r="Z908" s="96">
        <f>IF(Q908=1,INDEX('CDFs'!$W$6:$W$505,P908),0)</f>
        <v>0</v>
      </c>
      <c r="AA908" s="96">
        <f>IF(AND(N908=1,Y908=0,Z908=1,J908="Sim"),1,0)</f>
        <v>0</v>
      </c>
      <c r="AB908" s="96">
        <f>IF(AND(N908=1,O908&lt;&gt;"",D908&lt;&gt;""),IF(COUNTIFS($O$6:O908,O908,$D$6:D908,D908)=1,1,0),0)</f>
        <v>0</v>
      </c>
      <c r="AC908" s="96">
        <f>IF(T908=1,INDEX('ITENS_MTR'!$AL$6:$AL$1005,S908),0)</f>
        <v>0</v>
      </c>
    </row>
    <row r="909">
      <c r="A909" s="89" t="inlineStr">
        <is>
          <t>VIN-000904</t>
        </is>
      </c>
      <c r="B909" s="91" t="n"/>
      <c r="C909" s="91" t="n"/>
      <c r="D909" s="94" t="str">
        <f>IF(T909=1,INDEX('ITENS_MTR'!$S$6:$S$1005,S909)&amp;"","")</f>
        <v/>
      </c>
      <c r="E909" s="94" t="str">
        <f>IF(T909=1,INDEX('ITENS_MTR'!$C$6:$C$1005,S909)&amp;"","")</f>
        <v/>
      </c>
      <c r="F909" s="98" t="n"/>
      <c r="G909" s="91" t="n"/>
      <c r="H909" s="93" t="str">
        <f>IF(N909=0,"",IF(NOT(ISNUMBER(F909)),"",IF(ISNUMBER(U909),F909*U909,"UNIDADE A CONFERIR")))</f>
        <v/>
      </c>
      <c r="I909" s="94" t="str">
        <f>IF(Q909=1,INDEX('CDFs'!$F$6:$F$505,P909)&amp;"","")</f>
        <v/>
      </c>
      <c r="J909" s="91" t="n"/>
      <c r="K909" s="91" t="n"/>
      <c r="L909" s="94" t="str">
        <f>IF(N909=0,"",IF(NOT(ISNUMBER(F909)),"Quantidade não informada",IF(F909&lt;=0,"Quantidade não positiva",IF(G909="","Unidade não informada",IF(NOT(ISNUMBER(H909)),"Unidade a conferir",IF(AC909=1,"REVISAR VÍNCULO: soma vinculada maior que a referência do item","OK"))))))</f>
        <v/>
      </c>
      <c r="M909" s="94" t="str">
        <f>IF(N909=0,"",IF(B909="","CDF não informado",IF(Q909=0,"REVISAR VÍNCULO: CDF inexistente",IF(C909="","Item não informado",IF(T909=0,"REVISAR VÍNCULO: item inexistente",IF(AND(X909=1,J909&lt;&gt;"Sim"),"REVISAR VÍNCULO: destinador diferente do MTR",IF(X909=1,"Destinador diferente do MTR (analisado)","OK")))))))</f>
        <v/>
      </c>
      <c r="N909" s="96">
        <f>IF(COUNTA(B909:C909,F909:G909,J909:K909)&gt;0,1,0)</f>
        <v>0</v>
      </c>
      <c r="O909" s="96" t="str">
        <f>IF(B909="","",TRIM(LEFT(B909,FIND(" |",B909&amp;" |")-1)))</f>
        <v/>
      </c>
      <c r="P909" s="96" t="str">
        <f>IF(O909="","",IFERROR(MATCH(O909,'CDFs'!$A$6:$A$505,0),""))</f>
        <v/>
      </c>
      <c r="Q909" s="96">
        <f>IF(P909="",0,IF(INDEX('CDFs'!$S$6:$S$505,P909)=1,1,0))</f>
        <v>0</v>
      </c>
      <c r="R909" s="96" t="str">
        <f>IF(C909="","",TRIM(LEFT(C909,FIND(" |",C909&amp;" |")-1)))</f>
        <v/>
      </c>
      <c r="S909" s="96" t="str">
        <f>IF(R909="","",IFERROR(MATCH(R909,'ITENS_MTR'!$A$6:$A$1005,0),""))</f>
        <v/>
      </c>
      <c r="T909" s="96">
        <f>IF(S909="",0,IF(INDEX('ITENS_MTR'!$R$6:$R$1005,S909)=1,1,0))</f>
        <v>0</v>
      </c>
      <c r="U909" s="96" t="str">
        <f>IF(G909="","",IFERROR(IF(ISNUMBER(INDEX(cfg_fac,MATCH(G909,cfg_units,0))),IF(INDEX(cfg_fac,MATCH(G909,cfg_units,0))&gt;0,INDEX(cfg_fac,MATCH(G909,cfg_units,0)),""),""),""))</f>
        <v/>
      </c>
      <c r="V909" s="96">
        <f>IF(AND(ISNUMBER(F909),ISNUMBER(H909)),IF(H909&gt;0,1,0),0)</f>
        <v>0</v>
      </c>
      <c r="W909" s="96" t="str">
        <f>IF(T909=1,INDEX('ITENS_MTR'!$AU$6:$AU$1005,S909)&amp;"","")</f>
        <v/>
      </c>
      <c r="X909" s="96">
        <f>IF(AND(Q909=1,T909=1,I909&lt;&gt;"",W909&lt;&gt;""),IF(I909&lt;&gt;W909,1,0),0)</f>
        <v>0</v>
      </c>
      <c r="Y909" s="96">
        <f>IF(N909=0,0,IF(OR(Q909=0,T909=0,V909=0,AND(X909=1,J909&lt;&gt;"Sim")),1,0))</f>
        <v>0</v>
      </c>
      <c r="Z909" s="96">
        <f>IF(Q909=1,INDEX('CDFs'!$W$6:$W$505,P909),0)</f>
        <v>0</v>
      </c>
      <c r="AA909" s="96">
        <f>IF(AND(N909=1,Y909=0,Z909=1,J909="Sim"),1,0)</f>
        <v>0</v>
      </c>
      <c r="AB909" s="96">
        <f>IF(AND(N909=1,O909&lt;&gt;"",D909&lt;&gt;""),IF(COUNTIFS($O$6:O909,O909,$D$6:D909,D909)=1,1,0),0)</f>
        <v>0</v>
      </c>
      <c r="AC909" s="96">
        <f>IF(T909=1,INDEX('ITENS_MTR'!$AL$6:$AL$1005,S909),0)</f>
        <v>0</v>
      </c>
    </row>
    <row r="910">
      <c r="A910" s="89" t="inlineStr">
        <is>
          <t>VIN-000905</t>
        </is>
      </c>
      <c r="B910" s="91" t="n"/>
      <c r="C910" s="91" t="n"/>
      <c r="D910" s="94" t="str">
        <f>IF(T910=1,INDEX('ITENS_MTR'!$S$6:$S$1005,S910)&amp;"","")</f>
        <v/>
      </c>
      <c r="E910" s="94" t="str">
        <f>IF(T910=1,INDEX('ITENS_MTR'!$C$6:$C$1005,S910)&amp;"","")</f>
        <v/>
      </c>
      <c r="F910" s="98" t="n"/>
      <c r="G910" s="91" t="n"/>
      <c r="H910" s="93" t="str">
        <f>IF(N910=0,"",IF(NOT(ISNUMBER(F910)),"",IF(ISNUMBER(U910),F910*U910,"UNIDADE A CONFERIR")))</f>
        <v/>
      </c>
      <c r="I910" s="94" t="str">
        <f>IF(Q910=1,INDEX('CDFs'!$F$6:$F$505,P910)&amp;"","")</f>
        <v/>
      </c>
      <c r="J910" s="91" t="n"/>
      <c r="K910" s="91" t="n"/>
      <c r="L910" s="94" t="str">
        <f>IF(N910=0,"",IF(NOT(ISNUMBER(F910)),"Quantidade não informada",IF(F910&lt;=0,"Quantidade não positiva",IF(G910="","Unidade não informada",IF(NOT(ISNUMBER(H910)),"Unidade a conferir",IF(AC910=1,"REVISAR VÍNCULO: soma vinculada maior que a referência do item","OK"))))))</f>
        <v/>
      </c>
      <c r="M910" s="94" t="str">
        <f>IF(N910=0,"",IF(B910="","CDF não informado",IF(Q910=0,"REVISAR VÍNCULO: CDF inexistente",IF(C910="","Item não informado",IF(T910=0,"REVISAR VÍNCULO: item inexistente",IF(AND(X910=1,J910&lt;&gt;"Sim"),"REVISAR VÍNCULO: destinador diferente do MTR",IF(X910=1,"Destinador diferente do MTR (analisado)","OK")))))))</f>
        <v/>
      </c>
      <c r="N910" s="96">
        <f>IF(COUNTA(B910:C910,F910:G910,J910:K910)&gt;0,1,0)</f>
        <v>0</v>
      </c>
      <c r="O910" s="96" t="str">
        <f>IF(B910="","",TRIM(LEFT(B910,FIND(" |",B910&amp;" |")-1)))</f>
        <v/>
      </c>
      <c r="P910" s="96" t="str">
        <f>IF(O910="","",IFERROR(MATCH(O910,'CDFs'!$A$6:$A$505,0),""))</f>
        <v/>
      </c>
      <c r="Q910" s="96">
        <f>IF(P910="",0,IF(INDEX('CDFs'!$S$6:$S$505,P910)=1,1,0))</f>
        <v>0</v>
      </c>
      <c r="R910" s="96" t="str">
        <f>IF(C910="","",TRIM(LEFT(C910,FIND(" |",C910&amp;" |")-1)))</f>
        <v/>
      </c>
      <c r="S910" s="96" t="str">
        <f>IF(R910="","",IFERROR(MATCH(R910,'ITENS_MTR'!$A$6:$A$1005,0),""))</f>
        <v/>
      </c>
      <c r="T910" s="96">
        <f>IF(S910="",0,IF(INDEX('ITENS_MTR'!$R$6:$R$1005,S910)=1,1,0))</f>
        <v>0</v>
      </c>
      <c r="U910" s="96" t="str">
        <f>IF(G910="","",IFERROR(IF(ISNUMBER(INDEX(cfg_fac,MATCH(G910,cfg_units,0))),IF(INDEX(cfg_fac,MATCH(G910,cfg_units,0))&gt;0,INDEX(cfg_fac,MATCH(G910,cfg_units,0)),""),""),""))</f>
        <v/>
      </c>
      <c r="V910" s="96">
        <f>IF(AND(ISNUMBER(F910),ISNUMBER(H910)),IF(H910&gt;0,1,0),0)</f>
        <v>0</v>
      </c>
      <c r="W910" s="96" t="str">
        <f>IF(T910=1,INDEX('ITENS_MTR'!$AU$6:$AU$1005,S910)&amp;"","")</f>
        <v/>
      </c>
      <c r="X910" s="96">
        <f>IF(AND(Q910=1,T910=1,I910&lt;&gt;"",W910&lt;&gt;""),IF(I910&lt;&gt;W910,1,0),0)</f>
        <v>0</v>
      </c>
      <c r="Y910" s="96">
        <f>IF(N910=0,0,IF(OR(Q910=0,T910=0,V910=0,AND(X910=1,J910&lt;&gt;"Sim")),1,0))</f>
        <v>0</v>
      </c>
      <c r="Z910" s="96">
        <f>IF(Q910=1,INDEX('CDFs'!$W$6:$W$505,P910),0)</f>
        <v>0</v>
      </c>
      <c r="AA910" s="96">
        <f>IF(AND(N910=1,Y910=0,Z910=1,J910="Sim"),1,0)</f>
        <v>0</v>
      </c>
      <c r="AB910" s="96">
        <f>IF(AND(N910=1,O910&lt;&gt;"",D910&lt;&gt;""),IF(COUNTIFS($O$6:O910,O910,$D$6:D910,D910)=1,1,0),0)</f>
        <v>0</v>
      </c>
      <c r="AC910" s="96">
        <f>IF(T910=1,INDEX('ITENS_MTR'!$AL$6:$AL$1005,S910),0)</f>
        <v>0</v>
      </c>
    </row>
    <row r="911">
      <c r="A911" s="89" t="inlineStr">
        <is>
          <t>VIN-000906</t>
        </is>
      </c>
      <c r="B911" s="91" t="n"/>
      <c r="C911" s="91" t="n"/>
      <c r="D911" s="94" t="str">
        <f>IF(T911=1,INDEX('ITENS_MTR'!$S$6:$S$1005,S911)&amp;"","")</f>
        <v/>
      </c>
      <c r="E911" s="94" t="str">
        <f>IF(T911=1,INDEX('ITENS_MTR'!$C$6:$C$1005,S911)&amp;"","")</f>
        <v/>
      </c>
      <c r="F911" s="98" t="n"/>
      <c r="G911" s="91" t="n"/>
      <c r="H911" s="93" t="str">
        <f>IF(N911=0,"",IF(NOT(ISNUMBER(F911)),"",IF(ISNUMBER(U911),F911*U911,"UNIDADE A CONFERIR")))</f>
        <v/>
      </c>
      <c r="I911" s="94" t="str">
        <f>IF(Q911=1,INDEX('CDFs'!$F$6:$F$505,P911)&amp;"","")</f>
        <v/>
      </c>
      <c r="J911" s="91" t="n"/>
      <c r="K911" s="91" t="n"/>
      <c r="L911" s="94" t="str">
        <f>IF(N911=0,"",IF(NOT(ISNUMBER(F911)),"Quantidade não informada",IF(F911&lt;=0,"Quantidade não positiva",IF(G911="","Unidade não informada",IF(NOT(ISNUMBER(H911)),"Unidade a conferir",IF(AC911=1,"REVISAR VÍNCULO: soma vinculada maior que a referência do item","OK"))))))</f>
        <v/>
      </c>
      <c r="M911" s="94" t="str">
        <f>IF(N911=0,"",IF(B911="","CDF não informado",IF(Q911=0,"REVISAR VÍNCULO: CDF inexistente",IF(C911="","Item não informado",IF(T911=0,"REVISAR VÍNCULO: item inexistente",IF(AND(X911=1,J911&lt;&gt;"Sim"),"REVISAR VÍNCULO: destinador diferente do MTR",IF(X911=1,"Destinador diferente do MTR (analisado)","OK")))))))</f>
        <v/>
      </c>
      <c r="N911" s="96">
        <f>IF(COUNTA(B911:C911,F911:G911,J911:K911)&gt;0,1,0)</f>
        <v>0</v>
      </c>
      <c r="O911" s="96" t="str">
        <f>IF(B911="","",TRIM(LEFT(B911,FIND(" |",B911&amp;" |")-1)))</f>
        <v/>
      </c>
      <c r="P911" s="96" t="str">
        <f>IF(O911="","",IFERROR(MATCH(O911,'CDFs'!$A$6:$A$505,0),""))</f>
        <v/>
      </c>
      <c r="Q911" s="96">
        <f>IF(P911="",0,IF(INDEX('CDFs'!$S$6:$S$505,P911)=1,1,0))</f>
        <v>0</v>
      </c>
      <c r="R911" s="96" t="str">
        <f>IF(C911="","",TRIM(LEFT(C911,FIND(" |",C911&amp;" |")-1)))</f>
        <v/>
      </c>
      <c r="S911" s="96" t="str">
        <f>IF(R911="","",IFERROR(MATCH(R911,'ITENS_MTR'!$A$6:$A$1005,0),""))</f>
        <v/>
      </c>
      <c r="T911" s="96">
        <f>IF(S911="",0,IF(INDEX('ITENS_MTR'!$R$6:$R$1005,S911)=1,1,0))</f>
        <v>0</v>
      </c>
      <c r="U911" s="96" t="str">
        <f>IF(G911="","",IFERROR(IF(ISNUMBER(INDEX(cfg_fac,MATCH(G911,cfg_units,0))),IF(INDEX(cfg_fac,MATCH(G911,cfg_units,0))&gt;0,INDEX(cfg_fac,MATCH(G911,cfg_units,0)),""),""),""))</f>
        <v/>
      </c>
      <c r="V911" s="96">
        <f>IF(AND(ISNUMBER(F911),ISNUMBER(H911)),IF(H911&gt;0,1,0),0)</f>
        <v>0</v>
      </c>
      <c r="W911" s="96" t="str">
        <f>IF(T911=1,INDEX('ITENS_MTR'!$AU$6:$AU$1005,S911)&amp;"","")</f>
        <v/>
      </c>
      <c r="X911" s="96">
        <f>IF(AND(Q911=1,T911=1,I911&lt;&gt;"",W911&lt;&gt;""),IF(I911&lt;&gt;W911,1,0),0)</f>
        <v>0</v>
      </c>
      <c r="Y911" s="96">
        <f>IF(N911=0,0,IF(OR(Q911=0,T911=0,V911=0,AND(X911=1,J911&lt;&gt;"Sim")),1,0))</f>
        <v>0</v>
      </c>
      <c r="Z911" s="96">
        <f>IF(Q911=1,INDEX('CDFs'!$W$6:$W$505,P911),0)</f>
        <v>0</v>
      </c>
      <c r="AA911" s="96">
        <f>IF(AND(N911=1,Y911=0,Z911=1,J911="Sim"),1,0)</f>
        <v>0</v>
      </c>
      <c r="AB911" s="96">
        <f>IF(AND(N911=1,O911&lt;&gt;"",D911&lt;&gt;""),IF(COUNTIFS($O$6:O911,O911,$D$6:D911,D911)=1,1,0),0)</f>
        <v>0</v>
      </c>
      <c r="AC911" s="96">
        <f>IF(T911=1,INDEX('ITENS_MTR'!$AL$6:$AL$1005,S911),0)</f>
        <v>0</v>
      </c>
    </row>
    <row r="912">
      <c r="A912" s="89" t="inlineStr">
        <is>
          <t>VIN-000907</t>
        </is>
      </c>
      <c r="B912" s="91" t="n"/>
      <c r="C912" s="91" t="n"/>
      <c r="D912" s="94" t="str">
        <f>IF(T912=1,INDEX('ITENS_MTR'!$S$6:$S$1005,S912)&amp;"","")</f>
        <v/>
      </c>
      <c r="E912" s="94" t="str">
        <f>IF(T912=1,INDEX('ITENS_MTR'!$C$6:$C$1005,S912)&amp;"","")</f>
        <v/>
      </c>
      <c r="F912" s="98" t="n"/>
      <c r="G912" s="91" t="n"/>
      <c r="H912" s="93" t="str">
        <f>IF(N912=0,"",IF(NOT(ISNUMBER(F912)),"",IF(ISNUMBER(U912),F912*U912,"UNIDADE A CONFERIR")))</f>
        <v/>
      </c>
      <c r="I912" s="94" t="str">
        <f>IF(Q912=1,INDEX('CDFs'!$F$6:$F$505,P912)&amp;"","")</f>
        <v/>
      </c>
      <c r="J912" s="91" t="n"/>
      <c r="K912" s="91" t="n"/>
      <c r="L912" s="94" t="str">
        <f>IF(N912=0,"",IF(NOT(ISNUMBER(F912)),"Quantidade não informada",IF(F912&lt;=0,"Quantidade não positiva",IF(G912="","Unidade não informada",IF(NOT(ISNUMBER(H912)),"Unidade a conferir",IF(AC912=1,"REVISAR VÍNCULO: soma vinculada maior que a referência do item","OK"))))))</f>
        <v/>
      </c>
      <c r="M912" s="94" t="str">
        <f>IF(N912=0,"",IF(B912="","CDF não informado",IF(Q912=0,"REVISAR VÍNCULO: CDF inexistente",IF(C912="","Item não informado",IF(T912=0,"REVISAR VÍNCULO: item inexistente",IF(AND(X912=1,J912&lt;&gt;"Sim"),"REVISAR VÍNCULO: destinador diferente do MTR",IF(X912=1,"Destinador diferente do MTR (analisado)","OK")))))))</f>
        <v/>
      </c>
      <c r="N912" s="96">
        <f>IF(COUNTA(B912:C912,F912:G912,J912:K912)&gt;0,1,0)</f>
        <v>0</v>
      </c>
      <c r="O912" s="96" t="str">
        <f>IF(B912="","",TRIM(LEFT(B912,FIND(" |",B912&amp;" |")-1)))</f>
        <v/>
      </c>
      <c r="P912" s="96" t="str">
        <f>IF(O912="","",IFERROR(MATCH(O912,'CDFs'!$A$6:$A$505,0),""))</f>
        <v/>
      </c>
      <c r="Q912" s="96">
        <f>IF(P912="",0,IF(INDEX('CDFs'!$S$6:$S$505,P912)=1,1,0))</f>
        <v>0</v>
      </c>
      <c r="R912" s="96" t="str">
        <f>IF(C912="","",TRIM(LEFT(C912,FIND(" |",C912&amp;" |")-1)))</f>
        <v/>
      </c>
      <c r="S912" s="96" t="str">
        <f>IF(R912="","",IFERROR(MATCH(R912,'ITENS_MTR'!$A$6:$A$1005,0),""))</f>
        <v/>
      </c>
      <c r="T912" s="96">
        <f>IF(S912="",0,IF(INDEX('ITENS_MTR'!$R$6:$R$1005,S912)=1,1,0))</f>
        <v>0</v>
      </c>
      <c r="U912" s="96" t="str">
        <f>IF(G912="","",IFERROR(IF(ISNUMBER(INDEX(cfg_fac,MATCH(G912,cfg_units,0))),IF(INDEX(cfg_fac,MATCH(G912,cfg_units,0))&gt;0,INDEX(cfg_fac,MATCH(G912,cfg_units,0)),""),""),""))</f>
        <v/>
      </c>
      <c r="V912" s="96">
        <f>IF(AND(ISNUMBER(F912),ISNUMBER(H912)),IF(H912&gt;0,1,0),0)</f>
        <v>0</v>
      </c>
      <c r="W912" s="96" t="str">
        <f>IF(T912=1,INDEX('ITENS_MTR'!$AU$6:$AU$1005,S912)&amp;"","")</f>
        <v/>
      </c>
      <c r="X912" s="96">
        <f>IF(AND(Q912=1,T912=1,I912&lt;&gt;"",W912&lt;&gt;""),IF(I912&lt;&gt;W912,1,0),0)</f>
        <v>0</v>
      </c>
      <c r="Y912" s="96">
        <f>IF(N912=0,0,IF(OR(Q912=0,T912=0,V912=0,AND(X912=1,J912&lt;&gt;"Sim")),1,0))</f>
        <v>0</v>
      </c>
      <c r="Z912" s="96">
        <f>IF(Q912=1,INDEX('CDFs'!$W$6:$W$505,P912),0)</f>
        <v>0</v>
      </c>
      <c r="AA912" s="96">
        <f>IF(AND(N912=1,Y912=0,Z912=1,J912="Sim"),1,0)</f>
        <v>0</v>
      </c>
      <c r="AB912" s="96">
        <f>IF(AND(N912=1,O912&lt;&gt;"",D912&lt;&gt;""),IF(COUNTIFS($O$6:O912,O912,$D$6:D912,D912)=1,1,0),0)</f>
        <v>0</v>
      </c>
      <c r="AC912" s="96">
        <f>IF(T912=1,INDEX('ITENS_MTR'!$AL$6:$AL$1005,S912),0)</f>
        <v>0</v>
      </c>
    </row>
    <row r="913">
      <c r="A913" s="89" t="inlineStr">
        <is>
          <t>VIN-000908</t>
        </is>
      </c>
      <c r="B913" s="91" t="n"/>
      <c r="C913" s="91" t="n"/>
      <c r="D913" s="94" t="str">
        <f>IF(T913=1,INDEX('ITENS_MTR'!$S$6:$S$1005,S913)&amp;"","")</f>
        <v/>
      </c>
      <c r="E913" s="94" t="str">
        <f>IF(T913=1,INDEX('ITENS_MTR'!$C$6:$C$1005,S913)&amp;"","")</f>
        <v/>
      </c>
      <c r="F913" s="98" t="n"/>
      <c r="G913" s="91" t="n"/>
      <c r="H913" s="93" t="str">
        <f>IF(N913=0,"",IF(NOT(ISNUMBER(F913)),"",IF(ISNUMBER(U913),F913*U913,"UNIDADE A CONFERIR")))</f>
        <v/>
      </c>
      <c r="I913" s="94" t="str">
        <f>IF(Q913=1,INDEX('CDFs'!$F$6:$F$505,P913)&amp;"","")</f>
        <v/>
      </c>
      <c r="J913" s="91" t="n"/>
      <c r="K913" s="91" t="n"/>
      <c r="L913" s="94" t="str">
        <f>IF(N913=0,"",IF(NOT(ISNUMBER(F913)),"Quantidade não informada",IF(F913&lt;=0,"Quantidade não positiva",IF(G913="","Unidade não informada",IF(NOT(ISNUMBER(H913)),"Unidade a conferir",IF(AC913=1,"REVISAR VÍNCULO: soma vinculada maior que a referência do item","OK"))))))</f>
        <v/>
      </c>
      <c r="M913" s="94" t="str">
        <f>IF(N913=0,"",IF(B913="","CDF não informado",IF(Q913=0,"REVISAR VÍNCULO: CDF inexistente",IF(C913="","Item não informado",IF(T913=0,"REVISAR VÍNCULO: item inexistente",IF(AND(X913=1,J913&lt;&gt;"Sim"),"REVISAR VÍNCULO: destinador diferente do MTR",IF(X913=1,"Destinador diferente do MTR (analisado)","OK")))))))</f>
        <v/>
      </c>
      <c r="N913" s="96">
        <f>IF(COUNTA(B913:C913,F913:G913,J913:K913)&gt;0,1,0)</f>
        <v>0</v>
      </c>
      <c r="O913" s="96" t="str">
        <f>IF(B913="","",TRIM(LEFT(B913,FIND(" |",B913&amp;" |")-1)))</f>
        <v/>
      </c>
      <c r="P913" s="96" t="str">
        <f>IF(O913="","",IFERROR(MATCH(O913,'CDFs'!$A$6:$A$505,0),""))</f>
        <v/>
      </c>
      <c r="Q913" s="96">
        <f>IF(P913="",0,IF(INDEX('CDFs'!$S$6:$S$505,P913)=1,1,0))</f>
        <v>0</v>
      </c>
      <c r="R913" s="96" t="str">
        <f>IF(C913="","",TRIM(LEFT(C913,FIND(" |",C913&amp;" |")-1)))</f>
        <v/>
      </c>
      <c r="S913" s="96" t="str">
        <f>IF(R913="","",IFERROR(MATCH(R913,'ITENS_MTR'!$A$6:$A$1005,0),""))</f>
        <v/>
      </c>
      <c r="T913" s="96">
        <f>IF(S913="",0,IF(INDEX('ITENS_MTR'!$R$6:$R$1005,S913)=1,1,0))</f>
        <v>0</v>
      </c>
      <c r="U913" s="96" t="str">
        <f>IF(G913="","",IFERROR(IF(ISNUMBER(INDEX(cfg_fac,MATCH(G913,cfg_units,0))),IF(INDEX(cfg_fac,MATCH(G913,cfg_units,0))&gt;0,INDEX(cfg_fac,MATCH(G913,cfg_units,0)),""),""),""))</f>
        <v/>
      </c>
      <c r="V913" s="96">
        <f>IF(AND(ISNUMBER(F913),ISNUMBER(H913)),IF(H913&gt;0,1,0),0)</f>
        <v>0</v>
      </c>
      <c r="W913" s="96" t="str">
        <f>IF(T913=1,INDEX('ITENS_MTR'!$AU$6:$AU$1005,S913)&amp;"","")</f>
        <v/>
      </c>
      <c r="X913" s="96">
        <f>IF(AND(Q913=1,T913=1,I913&lt;&gt;"",W913&lt;&gt;""),IF(I913&lt;&gt;W913,1,0),0)</f>
        <v>0</v>
      </c>
      <c r="Y913" s="96">
        <f>IF(N913=0,0,IF(OR(Q913=0,T913=0,V913=0,AND(X913=1,J913&lt;&gt;"Sim")),1,0))</f>
        <v>0</v>
      </c>
      <c r="Z913" s="96">
        <f>IF(Q913=1,INDEX('CDFs'!$W$6:$W$505,P913),0)</f>
        <v>0</v>
      </c>
      <c r="AA913" s="96">
        <f>IF(AND(N913=1,Y913=0,Z913=1,J913="Sim"),1,0)</f>
        <v>0</v>
      </c>
      <c r="AB913" s="96">
        <f>IF(AND(N913=1,O913&lt;&gt;"",D913&lt;&gt;""),IF(COUNTIFS($O$6:O913,O913,$D$6:D913,D913)=1,1,0),0)</f>
        <v>0</v>
      </c>
      <c r="AC913" s="96">
        <f>IF(T913=1,INDEX('ITENS_MTR'!$AL$6:$AL$1005,S913),0)</f>
        <v>0</v>
      </c>
    </row>
    <row r="914">
      <c r="A914" s="89" t="inlineStr">
        <is>
          <t>VIN-000909</t>
        </is>
      </c>
      <c r="B914" s="91" t="n"/>
      <c r="C914" s="91" t="n"/>
      <c r="D914" s="94" t="str">
        <f>IF(T914=1,INDEX('ITENS_MTR'!$S$6:$S$1005,S914)&amp;"","")</f>
        <v/>
      </c>
      <c r="E914" s="94" t="str">
        <f>IF(T914=1,INDEX('ITENS_MTR'!$C$6:$C$1005,S914)&amp;"","")</f>
        <v/>
      </c>
      <c r="F914" s="98" t="n"/>
      <c r="G914" s="91" t="n"/>
      <c r="H914" s="93" t="str">
        <f>IF(N914=0,"",IF(NOT(ISNUMBER(F914)),"",IF(ISNUMBER(U914),F914*U914,"UNIDADE A CONFERIR")))</f>
        <v/>
      </c>
      <c r="I914" s="94" t="str">
        <f>IF(Q914=1,INDEX('CDFs'!$F$6:$F$505,P914)&amp;"","")</f>
        <v/>
      </c>
      <c r="J914" s="91" t="n"/>
      <c r="K914" s="91" t="n"/>
      <c r="L914" s="94" t="str">
        <f>IF(N914=0,"",IF(NOT(ISNUMBER(F914)),"Quantidade não informada",IF(F914&lt;=0,"Quantidade não positiva",IF(G914="","Unidade não informada",IF(NOT(ISNUMBER(H914)),"Unidade a conferir",IF(AC914=1,"REVISAR VÍNCULO: soma vinculada maior que a referência do item","OK"))))))</f>
        <v/>
      </c>
      <c r="M914" s="94" t="str">
        <f>IF(N914=0,"",IF(B914="","CDF não informado",IF(Q914=0,"REVISAR VÍNCULO: CDF inexistente",IF(C914="","Item não informado",IF(T914=0,"REVISAR VÍNCULO: item inexistente",IF(AND(X914=1,J914&lt;&gt;"Sim"),"REVISAR VÍNCULO: destinador diferente do MTR",IF(X914=1,"Destinador diferente do MTR (analisado)","OK")))))))</f>
        <v/>
      </c>
      <c r="N914" s="96">
        <f>IF(COUNTA(B914:C914,F914:G914,J914:K914)&gt;0,1,0)</f>
        <v>0</v>
      </c>
      <c r="O914" s="96" t="str">
        <f>IF(B914="","",TRIM(LEFT(B914,FIND(" |",B914&amp;" |")-1)))</f>
        <v/>
      </c>
      <c r="P914" s="96" t="str">
        <f>IF(O914="","",IFERROR(MATCH(O914,'CDFs'!$A$6:$A$505,0),""))</f>
        <v/>
      </c>
      <c r="Q914" s="96">
        <f>IF(P914="",0,IF(INDEX('CDFs'!$S$6:$S$505,P914)=1,1,0))</f>
        <v>0</v>
      </c>
      <c r="R914" s="96" t="str">
        <f>IF(C914="","",TRIM(LEFT(C914,FIND(" |",C914&amp;" |")-1)))</f>
        <v/>
      </c>
      <c r="S914" s="96" t="str">
        <f>IF(R914="","",IFERROR(MATCH(R914,'ITENS_MTR'!$A$6:$A$1005,0),""))</f>
        <v/>
      </c>
      <c r="T914" s="96">
        <f>IF(S914="",0,IF(INDEX('ITENS_MTR'!$R$6:$R$1005,S914)=1,1,0))</f>
        <v>0</v>
      </c>
      <c r="U914" s="96" t="str">
        <f>IF(G914="","",IFERROR(IF(ISNUMBER(INDEX(cfg_fac,MATCH(G914,cfg_units,0))),IF(INDEX(cfg_fac,MATCH(G914,cfg_units,0))&gt;0,INDEX(cfg_fac,MATCH(G914,cfg_units,0)),""),""),""))</f>
        <v/>
      </c>
      <c r="V914" s="96">
        <f>IF(AND(ISNUMBER(F914),ISNUMBER(H914)),IF(H914&gt;0,1,0),0)</f>
        <v>0</v>
      </c>
      <c r="W914" s="96" t="str">
        <f>IF(T914=1,INDEX('ITENS_MTR'!$AU$6:$AU$1005,S914)&amp;"","")</f>
        <v/>
      </c>
      <c r="X914" s="96">
        <f>IF(AND(Q914=1,T914=1,I914&lt;&gt;"",W914&lt;&gt;""),IF(I914&lt;&gt;W914,1,0),0)</f>
        <v>0</v>
      </c>
      <c r="Y914" s="96">
        <f>IF(N914=0,0,IF(OR(Q914=0,T914=0,V914=0,AND(X914=1,J914&lt;&gt;"Sim")),1,0))</f>
        <v>0</v>
      </c>
      <c r="Z914" s="96">
        <f>IF(Q914=1,INDEX('CDFs'!$W$6:$W$505,P914),0)</f>
        <v>0</v>
      </c>
      <c r="AA914" s="96">
        <f>IF(AND(N914=1,Y914=0,Z914=1,J914="Sim"),1,0)</f>
        <v>0</v>
      </c>
      <c r="AB914" s="96">
        <f>IF(AND(N914=1,O914&lt;&gt;"",D914&lt;&gt;""),IF(COUNTIFS($O$6:O914,O914,$D$6:D914,D914)=1,1,0),0)</f>
        <v>0</v>
      </c>
      <c r="AC914" s="96">
        <f>IF(T914=1,INDEX('ITENS_MTR'!$AL$6:$AL$1005,S914),0)</f>
        <v>0</v>
      </c>
    </row>
    <row r="915">
      <c r="A915" s="89" t="inlineStr">
        <is>
          <t>VIN-000910</t>
        </is>
      </c>
      <c r="B915" s="91" t="n"/>
      <c r="C915" s="91" t="n"/>
      <c r="D915" s="94" t="str">
        <f>IF(T915=1,INDEX('ITENS_MTR'!$S$6:$S$1005,S915)&amp;"","")</f>
        <v/>
      </c>
      <c r="E915" s="94" t="str">
        <f>IF(T915=1,INDEX('ITENS_MTR'!$C$6:$C$1005,S915)&amp;"","")</f>
        <v/>
      </c>
      <c r="F915" s="98" t="n"/>
      <c r="G915" s="91" t="n"/>
      <c r="H915" s="93" t="str">
        <f>IF(N915=0,"",IF(NOT(ISNUMBER(F915)),"",IF(ISNUMBER(U915),F915*U915,"UNIDADE A CONFERIR")))</f>
        <v/>
      </c>
      <c r="I915" s="94" t="str">
        <f>IF(Q915=1,INDEX('CDFs'!$F$6:$F$505,P915)&amp;"","")</f>
        <v/>
      </c>
      <c r="J915" s="91" t="n"/>
      <c r="K915" s="91" t="n"/>
      <c r="L915" s="94" t="str">
        <f>IF(N915=0,"",IF(NOT(ISNUMBER(F915)),"Quantidade não informada",IF(F915&lt;=0,"Quantidade não positiva",IF(G915="","Unidade não informada",IF(NOT(ISNUMBER(H915)),"Unidade a conferir",IF(AC915=1,"REVISAR VÍNCULO: soma vinculada maior que a referência do item","OK"))))))</f>
        <v/>
      </c>
      <c r="M915" s="94" t="str">
        <f>IF(N915=0,"",IF(B915="","CDF não informado",IF(Q915=0,"REVISAR VÍNCULO: CDF inexistente",IF(C915="","Item não informado",IF(T915=0,"REVISAR VÍNCULO: item inexistente",IF(AND(X915=1,J915&lt;&gt;"Sim"),"REVISAR VÍNCULO: destinador diferente do MTR",IF(X915=1,"Destinador diferente do MTR (analisado)","OK")))))))</f>
        <v/>
      </c>
      <c r="N915" s="96">
        <f>IF(COUNTA(B915:C915,F915:G915,J915:K915)&gt;0,1,0)</f>
        <v>0</v>
      </c>
      <c r="O915" s="96" t="str">
        <f>IF(B915="","",TRIM(LEFT(B915,FIND(" |",B915&amp;" |")-1)))</f>
        <v/>
      </c>
      <c r="P915" s="96" t="str">
        <f>IF(O915="","",IFERROR(MATCH(O915,'CDFs'!$A$6:$A$505,0),""))</f>
        <v/>
      </c>
      <c r="Q915" s="96">
        <f>IF(P915="",0,IF(INDEX('CDFs'!$S$6:$S$505,P915)=1,1,0))</f>
        <v>0</v>
      </c>
      <c r="R915" s="96" t="str">
        <f>IF(C915="","",TRIM(LEFT(C915,FIND(" |",C915&amp;" |")-1)))</f>
        <v/>
      </c>
      <c r="S915" s="96" t="str">
        <f>IF(R915="","",IFERROR(MATCH(R915,'ITENS_MTR'!$A$6:$A$1005,0),""))</f>
        <v/>
      </c>
      <c r="T915" s="96">
        <f>IF(S915="",0,IF(INDEX('ITENS_MTR'!$R$6:$R$1005,S915)=1,1,0))</f>
        <v>0</v>
      </c>
      <c r="U915" s="96" t="str">
        <f>IF(G915="","",IFERROR(IF(ISNUMBER(INDEX(cfg_fac,MATCH(G915,cfg_units,0))),IF(INDEX(cfg_fac,MATCH(G915,cfg_units,0))&gt;0,INDEX(cfg_fac,MATCH(G915,cfg_units,0)),""),""),""))</f>
        <v/>
      </c>
      <c r="V915" s="96">
        <f>IF(AND(ISNUMBER(F915),ISNUMBER(H915)),IF(H915&gt;0,1,0),0)</f>
        <v>0</v>
      </c>
      <c r="W915" s="96" t="str">
        <f>IF(T915=1,INDEX('ITENS_MTR'!$AU$6:$AU$1005,S915)&amp;"","")</f>
        <v/>
      </c>
      <c r="X915" s="96">
        <f>IF(AND(Q915=1,T915=1,I915&lt;&gt;"",W915&lt;&gt;""),IF(I915&lt;&gt;W915,1,0),0)</f>
        <v>0</v>
      </c>
      <c r="Y915" s="96">
        <f>IF(N915=0,0,IF(OR(Q915=0,T915=0,V915=0,AND(X915=1,J915&lt;&gt;"Sim")),1,0))</f>
        <v>0</v>
      </c>
      <c r="Z915" s="96">
        <f>IF(Q915=1,INDEX('CDFs'!$W$6:$W$505,P915),0)</f>
        <v>0</v>
      </c>
      <c r="AA915" s="96">
        <f>IF(AND(N915=1,Y915=0,Z915=1,J915="Sim"),1,0)</f>
        <v>0</v>
      </c>
      <c r="AB915" s="96">
        <f>IF(AND(N915=1,O915&lt;&gt;"",D915&lt;&gt;""),IF(COUNTIFS($O$6:O915,O915,$D$6:D915,D915)=1,1,0),0)</f>
        <v>0</v>
      </c>
      <c r="AC915" s="96">
        <f>IF(T915=1,INDEX('ITENS_MTR'!$AL$6:$AL$1005,S915),0)</f>
        <v>0</v>
      </c>
    </row>
    <row r="916">
      <c r="A916" s="89" t="inlineStr">
        <is>
          <t>VIN-000911</t>
        </is>
      </c>
      <c r="B916" s="91" t="n"/>
      <c r="C916" s="91" t="n"/>
      <c r="D916" s="94" t="str">
        <f>IF(T916=1,INDEX('ITENS_MTR'!$S$6:$S$1005,S916)&amp;"","")</f>
        <v/>
      </c>
      <c r="E916" s="94" t="str">
        <f>IF(T916=1,INDEX('ITENS_MTR'!$C$6:$C$1005,S916)&amp;"","")</f>
        <v/>
      </c>
      <c r="F916" s="98" t="n"/>
      <c r="G916" s="91" t="n"/>
      <c r="H916" s="93" t="str">
        <f>IF(N916=0,"",IF(NOT(ISNUMBER(F916)),"",IF(ISNUMBER(U916),F916*U916,"UNIDADE A CONFERIR")))</f>
        <v/>
      </c>
      <c r="I916" s="94" t="str">
        <f>IF(Q916=1,INDEX('CDFs'!$F$6:$F$505,P916)&amp;"","")</f>
        <v/>
      </c>
      <c r="J916" s="91" t="n"/>
      <c r="K916" s="91" t="n"/>
      <c r="L916" s="94" t="str">
        <f>IF(N916=0,"",IF(NOT(ISNUMBER(F916)),"Quantidade não informada",IF(F916&lt;=0,"Quantidade não positiva",IF(G916="","Unidade não informada",IF(NOT(ISNUMBER(H916)),"Unidade a conferir",IF(AC916=1,"REVISAR VÍNCULO: soma vinculada maior que a referência do item","OK"))))))</f>
        <v/>
      </c>
      <c r="M916" s="94" t="str">
        <f>IF(N916=0,"",IF(B916="","CDF não informado",IF(Q916=0,"REVISAR VÍNCULO: CDF inexistente",IF(C916="","Item não informado",IF(T916=0,"REVISAR VÍNCULO: item inexistente",IF(AND(X916=1,J916&lt;&gt;"Sim"),"REVISAR VÍNCULO: destinador diferente do MTR",IF(X916=1,"Destinador diferente do MTR (analisado)","OK")))))))</f>
        <v/>
      </c>
      <c r="N916" s="96">
        <f>IF(COUNTA(B916:C916,F916:G916,J916:K916)&gt;0,1,0)</f>
        <v>0</v>
      </c>
      <c r="O916" s="96" t="str">
        <f>IF(B916="","",TRIM(LEFT(B916,FIND(" |",B916&amp;" |")-1)))</f>
        <v/>
      </c>
      <c r="P916" s="96" t="str">
        <f>IF(O916="","",IFERROR(MATCH(O916,'CDFs'!$A$6:$A$505,0),""))</f>
        <v/>
      </c>
      <c r="Q916" s="96">
        <f>IF(P916="",0,IF(INDEX('CDFs'!$S$6:$S$505,P916)=1,1,0))</f>
        <v>0</v>
      </c>
      <c r="R916" s="96" t="str">
        <f>IF(C916="","",TRIM(LEFT(C916,FIND(" |",C916&amp;" |")-1)))</f>
        <v/>
      </c>
      <c r="S916" s="96" t="str">
        <f>IF(R916="","",IFERROR(MATCH(R916,'ITENS_MTR'!$A$6:$A$1005,0),""))</f>
        <v/>
      </c>
      <c r="T916" s="96">
        <f>IF(S916="",0,IF(INDEX('ITENS_MTR'!$R$6:$R$1005,S916)=1,1,0))</f>
        <v>0</v>
      </c>
      <c r="U916" s="96" t="str">
        <f>IF(G916="","",IFERROR(IF(ISNUMBER(INDEX(cfg_fac,MATCH(G916,cfg_units,0))),IF(INDEX(cfg_fac,MATCH(G916,cfg_units,0))&gt;0,INDEX(cfg_fac,MATCH(G916,cfg_units,0)),""),""),""))</f>
        <v/>
      </c>
      <c r="V916" s="96">
        <f>IF(AND(ISNUMBER(F916),ISNUMBER(H916)),IF(H916&gt;0,1,0),0)</f>
        <v>0</v>
      </c>
      <c r="W916" s="96" t="str">
        <f>IF(T916=1,INDEX('ITENS_MTR'!$AU$6:$AU$1005,S916)&amp;"","")</f>
        <v/>
      </c>
      <c r="X916" s="96">
        <f>IF(AND(Q916=1,T916=1,I916&lt;&gt;"",W916&lt;&gt;""),IF(I916&lt;&gt;W916,1,0),0)</f>
        <v>0</v>
      </c>
      <c r="Y916" s="96">
        <f>IF(N916=0,0,IF(OR(Q916=0,T916=0,V916=0,AND(X916=1,J916&lt;&gt;"Sim")),1,0))</f>
        <v>0</v>
      </c>
      <c r="Z916" s="96">
        <f>IF(Q916=1,INDEX('CDFs'!$W$6:$W$505,P916),0)</f>
        <v>0</v>
      </c>
      <c r="AA916" s="96">
        <f>IF(AND(N916=1,Y916=0,Z916=1,J916="Sim"),1,0)</f>
        <v>0</v>
      </c>
      <c r="AB916" s="96">
        <f>IF(AND(N916=1,O916&lt;&gt;"",D916&lt;&gt;""),IF(COUNTIFS($O$6:O916,O916,$D$6:D916,D916)=1,1,0),0)</f>
        <v>0</v>
      </c>
      <c r="AC916" s="96">
        <f>IF(T916=1,INDEX('ITENS_MTR'!$AL$6:$AL$1005,S916),0)</f>
        <v>0</v>
      </c>
    </row>
    <row r="917">
      <c r="A917" s="89" t="inlineStr">
        <is>
          <t>VIN-000912</t>
        </is>
      </c>
      <c r="B917" s="91" t="n"/>
      <c r="C917" s="91" t="n"/>
      <c r="D917" s="94" t="str">
        <f>IF(T917=1,INDEX('ITENS_MTR'!$S$6:$S$1005,S917)&amp;"","")</f>
        <v/>
      </c>
      <c r="E917" s="94" t="str">
        <f>IF(T917=1,INDEX('ITENS_MTR'!$C$6:$C$1005,S917)&amp;"","")</f>
        <v/>
      </c>
      <c r="F917" s="98" t="n"/>
      <c r="G917" s="91" t="n"/>
      <c r="H917" s="93" t="str">
        <f>IF(N917=0,"",IF(NOT(ISNUMBER(F917)),"",IF(ISNUMBER(U917),F917*U917,"UNIDADE A CONFERIR")))</f>
        <v/>
      </c>
      <c r="I917" s="94" t="str">
        <f>IF(Q917=1,INDEX('CDFs'!$F$6:$F$505,P917)&amp;"","")</f>
        <v/>
      </c>
      <c r="J917" s="91" t="n"/>
      <c r="K917" s="91" t="n"/>
      <c r="L917" s="94" t="str">
        <f>IF(N917=0,"",IF(NOT(ISNUMBER(F917)),"Quantidade não informada",IF(F917&lt;=0,"Quantidade não positiva",IF(G917="","Unidade não informada",IF(NOT(ISNUMBER(H917)),"Unidade a conferir",IF(AC917=1,"REVISAR VÍNCULO: soma vinculada maior que a referência do item","OK"))))))</f>
        <v/>
      </c>
      <c r="M917" s="94" t="str">
        <f>IF(N917=0,"",IF(B917="","CDF não informado",IF(Q917=0,"REVISAR VÍNCULO: CDF inexistente",IF(C917="","Item não informado",IF(T917=0,"REVISAR VÍNCULO: item inexistente",IF(AND(X917=1,J917&lt;&gt;"Sim"),"REVISAR VÍNCULO: destinador diferente do MTR",IF(X917=1,"Destinador diferente do MTR (analisado)","OK")))))))</f>
        <v/>
      </c>
      <c r="N917" s="96">
        <f>IF(COUNTA(B917:C917,F917:G917,J917:K917)&gt;0,1,0)</f>
        <v>0</v>
      </c>
      <c r="O917" s="96" t="str">
        <f>IF(B917="","",TRIM(LEFT(B917,FIND(" |",B917&amp;" |")-1)))</f>
        <v/>
      </c>
      <c r="P917" s="96" t="str">
        <f>IF(O917="","",IFERROR(MATCH(O917,'CDFs'!$A$6:$A$505,0),""))</f>
        <v/>
      </c>
      <c r="Q917" s="96">
        <f>IF(P917="",0,IF(INDEX('CDFs'!$S$6:$S$505,P917)=1,1,0))</f>
        <v>0</v>
      </c>
      <c r="R917" s="96" t="str">
        <f>IF(C917="","",TRIM(LEFT(C917,FIND(" |",C917&amp;" |")-1)))</f>
        <v/>
      </c>
      <c r="S917" s="96" t="str">
        <f>IF(R917="","",IFERROR(MATCH(R917,'ITENS_MTR'!$A$6:$A$1005,0),""))</f>
        <v/>
      </c>
      <c r="T917" s="96">
        <f>IF(S917="",0,IF(INDEX('ITENS_MTR'!$R$6:$R$1005,S917)=1,1,0))</f>
        <v>0</v>
      </c>
      <c r="U917" s="96" t="str">
        <f>IF(G917="","",IFERROR(IF(ISNUMBER(INDEX(cfg_fac,MATCH(G917,cfg_units,0))),IF(INDEX(cfg_fac,MATCH(G917,cfg_units,0))&gt;0,INDEX(cfg_fac,MATCH(G917,cfg_units,0)),""),""),""))</f>
        <v/>
      </c>
      <c r="V917" s="96">
        <f>IF(AND(ISNUMBER(F917),ISNUMBER(H917)),IF(H917&gt;0,1,0),0)</f>
        <v>0</v>
      </c>
      <c r="W917" s="96" t="str">
        <f>IF(T917=1,INDEX('ITENS_MTR'!$AU$6:$AU$1005,S917)&amp;"","")</f>
        <v/>
      </c>
      <c r="X917" s="96">
        <f>IF(AND(Q917=1,T917=1,I917&lt;&gt;"",W917&lt;&gt;""),IF(I917&lt;&gt;W917,1,0),0)</f>
        <v>0</v>
      </c>
      <c r="Y917" s="96">
        <f>IF(N917=0,0,IF(OR(Q917=0,T917=0,V917=0,AND(X917=1,J917&lt;&gt;"Sim")),1,0))</f>
        <v>0</v>
      </c>
      <c r="Z917" s="96">
        <f>IF(Q917=1,INDEX('CDFs'!$W$6:$W$505,P917),0)</f>
        <v>0</v>
      </c>
      <c r="AA917" s="96">
        <f>IF(AND(N917=1,Y917=0,Z917=1,J917="Sim"),1,0)</f>
        <v>0</v>
      </c>
      <c r="AB917" s="96">
        <f>IF(AND(N917=1,O917&lt;&gt;"",D917&lt;&gt;""),IF(COUNTIFS($O$6:O917,O917,$D$6:D917,D917)=1,1,0),0)</f>
        <v>0</v>
      </c>
      <c r="AC917" s="96">
        <f>IF(T917=1,INDEX('ITENS_MTR'!$AL$6:$AL$1005,S917),0)</f>
        <v>0</v>
      </c>
    </row>
    <row r="918">
      <c r="A918" s="89" t="inlineStr">
        <is>
          <t>VIN-000913</t>
        </is>
      </c>
      <c r="B918" s="91" t="n"/>
      <c r="C918" s="91" t="n"/>
      <c r="D918" s="94" t="str">
        <f>IF(T918=1,INDEX('ITENS_MTR'!$S$6:$S$1005,S918)&amp;"","")</f>
        <v/>
      </c>
      <c r="E918" s="94" t="str">
        <f>IF(T918=1,INDEX('ITENS_MTR'!$C$6:$C$1005,S918)&amp;"","")</f>
        <v/>
      </c>
      <c r="F918" s="98" t="n"/>
      <c r="G918" s="91" t="n"/>
      <c r="H918" s="93" t="str">
        <f>IF(N918=0,"",IF(NOT(ISNUMBER(F918)),"",IF(ISNUMBER(U918),F918*U918,"UNIDADE A CONFERIR")))</f>
        <v/>
      </c>
      <c r="I918" s="94" t="str">
        <f>IF(Q918=1,INDEX('CDFs'!$F$6:$F$505,P918)&amp;"","")</f>
        <v/>
      </c>
      <c r="J918" s="91" t="n"/>
      <c r="K918" s="91" t="n"/>
      <c r="L918" s="94" t="str">
        <f>IF(N918=0,"",IF(NOT(ISNUMBER(F918)),"Quantidade não informada",IF(F918&lt;=0,"Quantidade não positiva",IF(G918="","Unidade não informada",IF(NOT(ISNUMBER(H918)),"Unidade a conferir",IF(AC918=1,"REVISAR VÍNCULO: soma vinculada maior que a referência do item","OK"))))))</f>
        <v/>
      </c>
      <c r="M918" s="94" t="str">
        <f>IF(N918=0,"",IF(B918="","CDF não informado",IF(Q918=0,"REVISAR VÍNCULO: CDF inexistente",IF(C918="","Item não informado",IF(T918=0,"REVISAR VÍNCULO: item inexistente",IF(AND(X918=1,J918&lt;&gt;"Sim"),"REVISAR VÍNCULO: destinador diferente do MTR",IF(X918=1,"Destinador diferente do MTR (analisado)","OK")))))))</f>
        <v/>
      </c>
      <c r="N918" s="96">
        <f>IF(COUNTA(B918:C918,F918:G918,J918:K918)&gt;0,1,0)</f>
        <v>0</v>
      </c>
      <c r="O918" s="96" t="str">
        <f>IF(B918="","",TRIM(LEFT(B918,FIND(" |",B918&amp;" |")-1)))</f>
        <v/>
      </c>
      <c r="P918" s="96" t="str">
        <f>IF(O918="","",IFERROR(MATCH(O918,'CDFs'!$A$6:$A$505,0),""))</f>
        <v/>
      </c>
      <c r="Q918" s="96">
        <f>IF(P918="",0,IF(INDEX('CDFs'!$S$6:$S$505,P918)=1,1,0))</f>
        <v>0</v>
      </c>
      <c r="R918" s="96" t="str">
        <f>IF(C918="","",TRIM(LEFT(C918,FIND(" |",C918&amp;" |")-1)))</f>
        <v/>
      </c>
      <c r="S918" s="96" t="str">
        <f>IF(R918="","",IFERROR(MATCH(R918,'ITENS_MTR'!$A$6:$A$1005,0),""))</f>
        <v/>
      </c>
      <c r="T918" s="96">
        <f>IF(S918="",0,IF(INDEX('ITENS_MTR'!$R$6:$R$1005,S918)=1,1,0))</f>
        <v>0</v>
      </c>
      <c r="U918" s="96" t="str">
        <f>IF(G918="","",IFERROR(IF(ISNUMBER(INDEX(cfg_fac,MATCH(G918,cfg_units,0))),IF(INDEX(cfg_fac,MATCH(G918,cfg_units,0))&gt;0,INDEX(cfg_fac,MATCH(G918,cfg_units,0)),""),""),""))</f>
        <v/>
      </c>
      <c r="V918" s="96">
        <f>IF(AND(ISNUMBER(F918),ISNUMBER(H918)),IF(H918&gt;0,1,0),0)</f>
        <v>0</v>
      </c>
      <c r="W918" s="96" t="str">
        <f>IF(T918=1,INDEX('ITENS_MTR'!$AU$6:$AU$1005,S918)&amp;"","")</f>
        <v/>
      </c>
      <c r="X918" s="96">
        <f>IF(AND(Q918=1,T918=1,I918&lt;&gt;"",W918&lt;&gt;""),IF(I918&lt;&gt;W918,1,0),0)</f>
        <v>0</v>
      </c>
      <c r="Y918" s="96">
        <f>IF(N918=0,0,IF(OR(Q918=0,T918=0,V918=0,AND(X918=1,J918&lt;&gt;"Sim")),1,0))</f>
        <v>0</v>
      </c>
      <c r="Z918" s="96">
        <f>IF(Q918=1,INDEX('CDFs'!$W$6:$W$505,P918),0)</f>
        <v>0</v>
      </c>
      <c r="AA918" s="96">
        <f>IF(AND(N918=1,Y918=0,Z918=1,J918="Sim"),1,0)</f>
        <v>0</v>
      </c>
      <c r="AB918" s="96">
        <f>IF(AND(N918=1,O918&lt;&gt;"",D918&lt;&gt;""),IF(COUNTIFS($O$6:O918,O918,$D$6:D918,D918)=1,1,0),0)</f>
        <v>0</v>
      </c>
      <c r="AC918" s="96">
        <f>IF(T918=1,INDEX('ITENS_MTR'!$AL$6:$AL$1005,S918),0)</f>
        <v>0</v>
      </c>
    </row>
    <row r="919">
      <c r="A919" s="89" t="inlineStr">
        <is>
          <t>VIN-000914</t>
        </is>
      </c>
      <c r="B919" s="91" t="n"/>
      <c r="C919" s="91" t="n"/>
      <c r="D919" s="94" t="str">
        <f>IF(T919=1,INDEX('ITENS_MTR'!$S$6:$S$1005,S919)&amp;"","")</f>
        <v/>
      </c>
      <c r="E919" s="94" t="str">
        <f>IF(T919=1,INDEX('ITENS_MTR'!$C$6:$C$1005,S919)&amp;"","")</f>
        <v/>
      </c>
      <c r="F919" s="98" t="n"/>
      <c r="G919" s="91" t="n"/>
      <c r="H919" s="93" t="str">
        <f>IF(N919=0,"",IF(NOT(ISNUMBER(F919)),"",IF(ISNUMBER(U919),F919*U919,"UNIDADE A CONFERIR")))</f>
        <v/>
      </c>
      <c r="I919" s="94" t="str">
        <f>IF(Q919=1,INDEX('CDFs'!$F$6:$F$505,P919)&amp;"","")</f>
        <v/>
      </c>
      <c r="J919" s="91" t="n"/>
      <c r="K919" s="91" t="n"/>
      <c r="L919" s="94" t="str">
        <f>IF(N919=0,"",IF(NOT(ISNUMBER(F919)),"Quantidade não informada",IF(F919&lt;=0,"Quantidade não positiva",IF(G919="","Unidade não informada",IF(NOT(ISNUMBER(H919)),"Unidade a conferir",IF(AC919=1,"REVISAR VÍNCULO: soma vinculada maior que a referência do item","OK"))))))</f>
        <v/>
      </c>
      <c r="M919" s="94" t="str">
        <f>IF(N919=0,"",IF(B919="","CDF não informado",IF(Q919=0,"REVISAR VÍNCULO: CDF inexistente",IF(C919="","Item não informado",IF(T919=0,"REVISAR VÍNCULO: item inexistente",IF(AND(X919=1,J919&lt;&gt;"Sim"),"REVISAR VÍNCULO: destinador diferente do MTR",IF(X919=1,"Destinador diferente do MTR (analisado)","OK")))))))</f>
        <v/>
      </c>
      <c r="N919" s="96">
        <f>IF(COUNTA(B919:C919,F919:G919,J919:K919)&gt;0,1,0)</f>
        <v>0</v>
      </c>
      <c r="O919" s="96" t="str">
        <f>IF(B919="","",TRIM(LEFT(B919,FIND(" |",B919&amp;" |")-1)))</f>
        <v/>
      </c>
      <c r="P919" s="96" t="str">
        <f>IF(O919="","",IFERROR(MATCH(O919,'CDFs'!$A$6:$A$505,0),""))</f>
        <v/>
      </c>
      <c r="Q919" s="96">
        <f>IF(P919="",0,IF(INDEX('CDFs'!$S$6:$S$505,P919)=1,1,0))</f>
        <v>0</v>
      </c>
      <c r="R919" s="96" t="str">
        <f>IF(C919="","",TRIM(LEFT(C919,FIND(" |",C919&amp;" |")-1)))</f>
        <v/>
      </c>
      <c r="S919" s="96" t="str">
        <f>IF(R919="","",IFERROR(MATCH(R919,'ITENS_MTR'!$A$6:$A$1005,0),""))</f>
        <v/>
      </c>
      <c r="T919" s="96">
        <f>IF(S919="",0,IF(INDEX('ITENS_MTR'!$R$6:$R$1005,S919)=1,1,0))</f>
        <v>0</v>
      </c>
      <c r="U919" s="96" t="str">
        <f>IF(G919="","",IFERROR(IF(ISNUMBER(INDEX(cfg_fac,MATCH(G919,cfg_units,0))),IF(INDEX(cfg_fac,MATCH(G919,cfg_units,0))&gt;0,INDEX(cfg_fac,MATCH(G919,cfg_units,0)),""),""),""))</f>
        <v/>
      </c>
      <c r="V919" s="96">
        <f>IF(AND(ISNUMBER(F919),ISNUMBER(H919)),IF(H919&gt;0,1,0),0)</f>
        <v>0</v>
      </c>
      <c r="W919" s="96" t="str">
        <f>IF(T919=1,INDEX('ITENS_MTR'!$AU$6:$AU$1005,S919)&amp;"","")</f>
        <v/>
      </c>
      <c r="X919" s="96">
        <f>IF(AND(Q919=1,T919=1,I919&lt;&gt;"",W919&lt;&gt;""),IF(I919&lt;&gt;W919,1,0),0)</f>
        <v>0</v>
      </c>
      <c r="Y919" s="96">
        <f>IF(N919=0,0,IF(OR(Q919=0,T919=0,V919=0,AND(X919=1,J919&lt;&gt;"Sim")),1,0))</f>
        <v>0</v>
      </c>
      <c r="Z919" s="96">
        <f>IF(Q919=1,INDEX('CDFs'!$W$6:$W$505,P919),0)</f>
        <v>0</v>
      </c>
      <c r="AA919" s="96">
        <f>IF(AND(N919=1,Y919=0,Z919=1,J919="Sim"),1,0)</f>
        <v>0</v>
      </c>
      <c r="AB919" s="96">
        <f>IF(AND(N919=1,O919&lt;&gt;"",D919&lt;&gt;""),IF(COUNTIFS($O$6:O919,O919,$D$6:D919,D919)=1,1,0),0)</f>
        <v>0</v>
      </c>
      <c r="AC919" s="96">
        <f>IF(T919=1,INDEX('ITENS_MTR'!$AL$6:$AL$1005,S919),0)</f>
        <v>0</v>
      </c>
    </row>
    <row r="920">
      <c r="A920" s="89" t="inlineStr">
        <is>
          <t>VIN-000915</t>
        </is>
      </c>
      <c r="B920" s="91" t="n"/>
      <c r="C920" s="91" t="n"/>
      <c r="D920" s="94" t="str">
        <f>IF(T920=1,INDEX('ITENS_MTR'!$S$6:$S$1005,S920)&amp;"","")</f>
        <v/>
      </c>
      <c r="E920" s="94" t="str">
        <f>IF(T920=1,INDEX('ITENS_MTR'!$C$6:$C$1005,S920)&amp;"","")</f>
        <v/>
      </c>
      <c r="F920" s="98" t="n"/>
      <c r="G920" s="91" t="n"/>
      <c r="H920" s="93" t="str">
        <f>IF(N920=0,"",IF(NOT(ISNUMBER(F920)),"",IF(ISNUMBER(U920),F920*U920,"UNIDADE A CONFERIR")))</f>
        <v/>
      </c>
      <c r="I920" s="94" t="str">
        <f>IF(Q920=1,INDEX('CDFs'!$F$6:$F$505,P920)&amp;"","")</f>
        <v/>
      </c>
      <c r="J920" s="91" t="n"/>
      <c r="K920" s="91" t="n"/>
      <c r="L920" s="94" t="str">
        <f>IF(N920=0,"",IF(NOT(ISNUMBER(F920)),"Quantidade não informada",IF(F920&lt;=0,"Quantidade não positiva",IF(G920="","Unidade não informada",IF(NOT(ISNUMBER(H920)),"Unidade a conferir",IF(AC920=1,"REVISAR VÍNCULO: soma vinculada maior que a referência do item","OK"))))))</f>
        <v/>
      </c>
      <c r="M920" s="94" t="str">
        <f>IF(N920=0,"",IF(B920="","CDF não informado",IF(Q920=0,"REVISAR VÍNCULO: CDF inexistente",IF(C920="","Item não informado",IF(T920=0,"REVISAR VÍNCULO: item inexistente",IF(AND(X920=1,J920&lt;&gt;"Sim"),"REVISAR VÍNCULO: destinador diferente do MTR",IF(X920=1,"Destinador diferente do MTR (analisado)","OK")))))))</f>
        <v/>
      </c>
      <c r="N920" s="96">
        <f>IF(COUNTA(B920:C920,F920:G920,J920:K920)&gt;0,1,0)</f>
        <v>0</v>
      </c>
      <c r="O920" s="96" t="str">
        <f>IF(B920="","",TRIM(LEFT(B920,FIND(" |",B920&amp;" |")-1)))</f>
        <v/>
      </c>
      <c r="P920" s="96" t="str">
        <f>IF(O920="","",IFERROR(MATCH(O920,'CDFs'!$A$6:$A$505,0),""))</f>
        <v/>
      </c>
      <c r="Q920" s="96">
        <f>IF(P920="",0,IF(INDEX('CDFs'!$S$6:$S$505,P920)=1,1,0))</f>
        <v>0</v>
      </c>
      <c r="R920" s="96" t="str">
        <f>IF(C920="","",TRIM(LEFT(C920,FIND(" |",C920&amp;" |")-1)))</f>
        <v/>
      </c>
      <c r="S920" s="96" t="str">
        <f>IF(R920="","",IFERROR(MATCH(R920,'ITENS_MTR'!$A$6:$A$1005,0),""))</f>
        <v/>
      </c>
      <c r="T920" s="96">
        <f>IF(S920="",0,IF(INDEX('ITENS_MTR'!$R$6:$R$1005,S920)=1,1,0))</f>
        <v>0</v>
      </c>
      <c r="U920" s="96" t="str">
        <f>IF(G920="","",IFERROR(IF(ISNUMBER(INDEX(cfg_fac,MATCH(G920,cfg_units,0))),IF(INDEX(cfg_fac,MATCH(G920,cfg_units,0))&gt;0,INDEX(cfg_fac,MATCH(G920,cfg_units,0)),""),""),""))</f>
        <v/>
      </c>
      <c r="V920" s="96">
        <f>IF(AND(ISNUMBER(F920),ISNUMBER(H920)),IF(H920&gt;0,1,0),0)</f>
        <v>0</v>
      </c>
      <c r="W920" s="96" t="str">
        <f>IF(T920=1,INDEX('ITENS_MTR'!$AU$6:$AU$1005,S920)&amp;"","")</f>
        <v/>
      </c>
      <c r="X920" s="96">
        <f>IF(AND(Q920=1,T920=1,I920&lt;&gt;"",W920&lt;&gt;""),IF(I920&lt;&gt;W920,1,0),0)</f>
        <v>0</v>
      </c>
      <c r="Y920" s="96">
        <f>IF(N920=0,0,IF(OR(Q920=0,T920=0,V920=0,AND(X920=1,J920&lt;&gt;"Sim")),1,0))</f>
        <v>0</v>
      </c>
      <c r="Z920" s="96">
        <f>IF(Q920=1,INDEX('CDFs'!$W$6:$W$505,P920),0)</f>
        <v>0</v>
      </c>
      <c r="AA920" s="96">
        <f>IF(AND(N920=1,Y920=0,Z920=1,J920="Sim"),1,0)</f>
        <v>0</v>
      </c>
      <c r="AB920" s="96">
        <f>IF(AND(N920=1,O920&lt;&gt;"",D920&lt;&gt;""),IF(COUNTIFS($O$6:O920,O920,$D$6:D920,D920)=1,1,0),0)</f>
        <v>0</v>
      </c>
      <c r="AC920" s="96">
        <f>IF(T920=1,INDEX('ITENS_MTR'!$AL$6:$AL$1005,S920),0)</f>
        <v>0</v>
      </c>
    </row>
    <row r="921">
      <c r="A921" s="89" t="inlineStr">
        <is>
          <t>VIN-000916</t>
        </is>
      </c>
      <c r="B921" s="91" t="n"/>
      <c r="C921" s="91" t="n"/>
      <c r="D921" s="94" t="str">
        <f>IF(T921=1,INDEX('ITENS_MTR'!$S$6:$S$1005,S921)&amp;"","")</f>
        <v/>
      </c>
      <c r="E921" s="94" t="str">
        <f>IF(T921=1,INDEX('ITENS_MTR'!$C$6:$C$1005,S921)&amp;"","")</f>
        <v/>
      </c>
      <c r="F921" s="98" t="n"/>
      <c r="G921" s="91" t="n"/>
      <c r="H921" s="93" t="str">
        <f>IF(N921=0,"",IF(NOT(ISNUMBER(F921)),"",IF(ISNUMBER(U921),F921*U921,"UNIDADE A CONFERIR")))</f>
        <v/>
      </c>
      <c r="I921" s="94" t="str">
        <f>IF(Q921=1,INDEX('CDFs'!$F$6:$F$505,P921)&amp;"","")</f>
        <v/>
      </c>
      <c r="J921" s="91" t="n"/>
      <c r="K921" s="91" t="n"/>
      <c r="L921" s="94" t="str">
        <f>IF(N921=0,"",IF(NOT(ISNUMBER(F921)),"Quantidade não informada",IF(F921&lt;=0,"Quantidade não positiva",IF(G921="","Unidade não informada",IF(NOT(ISNUMBER(H921)),"Unidade a conferir",IF(AC921=1,"REVISAR VÍNCULO: soma vinculada maior que a referência do item","OK"))))))</f>
        <v/>
      </c>
      <c r="M921" s="94" t="str">
        <f>IF(N921=0,"",IF(B921="","CDF não informado",IF(Q921=0,"REVISAR VÍNCULO: CDF inexistente",IF(C921="","Item não informado",IF(T921=0,"REVISAR VÍNCULO: item inexistente",IF(AND(X921=1,J921&lt;&gt;"Sim"),"REVISAR VÍNCULO: destinador diferente do MTR",IF(X921=1,"Destinador diferente do MTR (analisado)","OK")))))))</f>
        <v/>
      </c>
      <c r="N921" s="96">
        <f>IF(COUNTA(B921:C921,F921:G921,J921:K921)&gt;0,1,0)</f>
        <v>0</v>
      </c>
      <c r="O921" s="96" t="str">
        <f>IF(B921="","",TRIM(LEFT(B921,FIND(" |",B921&amp;" |")-1)))</f>
        <v/>
      </c>
      <c r="P921" s="96" t="str">
        <f>IF(O921="","",IFERROR(MATCH(O921,'CDFs'!$A$6:$A$505,0),""))</f>
        <v/>
      </c>
      <c r="Q921" s="96">
        <f>IF(P921="",0,IF(INDEX('CDFs'!$S$6:$S$505,P921)=1,1,0))</f>
        <v>0</v>
      </c>
      <c r="R921" s="96" t="str">
        <f>IF(C921="","",TRIM(LEFT(C921,FIND(" |",C921&amp;" |")-1)))</f>
        <v/>
      </c>
      <c r="S921" s="96" t="str">
        <f>IF(R921="","",IFERROR(MATCH(R921,'ITENS_MTR'!$A$6:$A$1005,0),""))</f>
        <v/>
      </c>
      <c r="T921" s="96">
        <f>IF(S921="",0,IF(INDEX('ITENS_MTR'!$R$6:$R$1005,S921)=1,1,0))</f>
        <v>0</v>
      </c>
      <c r="U921" s="96" t="str">
        <f>IF(G921="","",IFERROR(IF(ISNUMBER(INDEX(cfg_fac,MATCH(G921,cfg_units,0))),IF(INDEX(cfg_fac,MATCH(G921,cfg_units,0))&gt;0,INDEX(cfg_fac,MATCH(G921,cfg_units,0)),""),""),""))</f>
        <v/>
      </c>
      <c r="V921" s="96">
        <f>IF(AND(ISNUMBER(F921),ISNUMBER(H921)),IF(H921&gt;0,1,0),0)</f>
        <v>0</v>
      </c>
      <c r="W921" s="96" t="str">
        <f>IF(T921=1,INDEX('ITENS_MTR'!$AU$6:$AU$1005,S921)&amp;"","")</f>
        <v/>
      </c>
      <c r="X921" s="96">
        <f>IF(AND(Q921=1,T921=1,I921&lt;&gt;"",W921&lt;&gt;""),IF(I921&lt;&gt;W921,1,0),0)</f>
        <v>0</v>
      </c>
      <c r="Y921" s="96">
        <f>IF(N921=0,0,IF(OR(Q921=0,T921=0,V921=0,AND(X921=1,J921&lt;&gt;"Sim")),1,0))</f>
        <v>0</v>
      </c>
      <c r="Z921" s="96">
        <f>IF(Q921=1,INDEX('CDFs'!$W$6:$W$505,P921),0)</f>
        <v>0</v>
      </c>
      <c r="AA921" s="96">
        <f>IF(AND(N921=1,Y921=0,Z921=1,J921="Sim"),1,0)</f>
        <v>0</v>
      </c>
      <c r="AB921" s="96">
        <f>IF(AND(N921=1,O921&lt;&gt;"",D921&lt;&gt;""),IF(COUNTIFS($O$6:O921,O921,$D$6:D921,D921)=1,1,0),0)</f>
        <v>0</v>
      </c>
      <c r="AC921" s="96">
        <f>IF(T921=1,INDEX('ITENS_MTR'!$AL$6:$AL$1005,S921),0)</f>
        <v>0</v>
      </c>
    </row>
    <row r="922">
      <c r="A922" s="89" t="inlineStr">
        <is>
          <t>VIN-000917</t>
        </is>
      </c>
      <c r="B922" s="91" t="n"/>
      <c r="C922" s="91" t="n"/>
      <c r="D922" s="94" t="str">
        <f>IF(T922=1,INDEX('ITENS_MTR'!$S$6:$S$1005,S922)&amp;"","")</f>
        <v/>
      </c>
      <c r="E922" s="94" t="str">
        <f>IF(T922=1,INDEX('ITENS_MTR'!$C$6:$C$1005,S922)&amp;"","")</f>
        <v/>
      </c>
      <c r="F922" s="98" t="n"/>
      <c r="G922" s="91" t="n"/>
      <c r="H922" s="93" t="str">
        <f>IF(N922=0,"",IF(NOT(ISNUMBER(F922)),"",IF(ISNUMBER(U922),F922*U922,"UNIDADE A CONFERIR")))</f>
        <v/>
      </c>
      <c r="I922" s="94" t="str">
        <f>IF(Q922=1,INDEX('CDFs'!$F$6:$F$505,P922)&amp;"","")</f>
        <v/>
      </c>
      <c r="J922" s="91" t="n"/>
      <c r="K922" s="91" t="n"/>
      <c r="L922" s="94" t="str">
        <f>IF(N922=0,"",IF(NOT(ISNUMBER(F922)),"Quantidade não informada",IF(F922&lt;=0,"Quantidade não positiva",IF(G922="","Unidade não informada",IF(NOT(ISNUMBER(H922)),"Unidade a conferir",IF(AC922=1,"REVISAR VÍNCULO: soma vinculada maior que a referência do item","OK"))))))</f>
        <v/>
      </c>
      <c r="M922" s="94" t="str">
        <f>IF(N922=0,"",IF(B922="","CDF não informado",IF(Q922=0,"REVISAR VÍNCULO: CDF inexistente",IF(C922="","Item não informado",IF(T922=0,"REVISAR VÍNCULO: item inexistente",IF(AND(X922=1,J922&lt;&gt;"Sim"),"REVISAR VÍNCULO: destinador diferente do MTR",IF(X922=1,"Destinador diferente do MTR (analisado)","OK")))))))</f>
        <v/>
      </c>
      <c r="N922" s="96">
        <f>IF(COUNTA(B922:C922,F922:G922,J922:K922)&gt;0,1,0)</f>
        <v>0</v>
      </c>
      <c r="O922" s="96" t="str">
        <f>IF(B922="","",TRIM(LEFT(B922,FIND(" |",B922&amp;" |")-1)))</f>
        <v/>
      </c>
      <c r="P922" s="96" t="str">
        <f>IF(O922="","",IFERROR(MATCH(O922,'CDFs'!$A$6:$A$505,0),""))</f>
        <v/>
      </c>
      <c r="Q922" s="96">
        <f>IF(P922="",0,IF(INDEX('CDFs'!$S$6:$S$505,P922)=1,1,0))</f>
        <v>0</v>
      </c>
      <c r="R922" s="96" t="str">
        <f>IF(C922="","",TRIM(LEFT(C922,FIND(" |",C922&amp;" |")-1)))</f>
        <v/>
      </c>
      <c r="S922" s="96" t="str">
        <f>IF(R922="","",IFERROR(MATCH(R922,'ITENS_MTR'!$A$6:$A$1005,0),""))</f>
        <v/>
      </c>
      <c r="T922" s="96">
        <f>IF(S922="",0,IF(INDEX('ITENS_MTR'!$R$6:$R$1005,S922)=1,1,0))</f>
        <v>0</v>
      </c>
      <c r="U922" s="96" t="str">
        <f>IF(G922="","",IFERROR(IF(ISNUMBER(INDEX(cfg_fac,MATCH(G922,cfg_units,0))),IF(INDEX(cfg_fac,MATCH(G922,cfg_units,0))&gt;0,INDEX(cfg_fac,MATCH(G922,cfg_units,0)),""),""),""))</f>
        <v/>
      </c>
      <c r="V922" s="96">
        <f>IF(AND(ISNUMBER(F922),ISNUMBER(H922)),IF(H922&gt;0,1,0),0)</f>
        <v>0</v>
      </c>
      <c r="W922" s="96" t="str">
        <f>IF(T922=1,INDEX('ITENS_MTR'!$AU$6:$AU$1005,S922)&amp;"","")</f>
        <v/>
      </c>
      <c r="X922" s="96">
        <f>IF(AND(Q922=1,T922=1,I922&lt;&gt;"",W922&lt;&gt;""),IF(I922&lt;&gt;W922,1,0),0)</f>
        <v>0</v>
      </c>
      <c r="Y922" s="96">
        <f>IF(N922=0,0,IF(OR(Q922=0,T922=0,V922=0,AND(X922=1,J922&lt;&gt;"Sim")),1,0))</f>
        <v>0</v>
      </c>
      <c r="Z922" s="96">
        <f>IF(Q922=1,INDEX('CDFs'!$W$6:$W$505,P922),0)</f>
        <v>0</v>
      </c>
      <c r="AA922" s="96">
        <f>IF(AND(N922=1,Y922=0,Z922=1,J922="Sim"),1,0)</f>
        <v>0</v>
      </c>
      <c r="AB922" s="96">
        <f>IF(AND(N922=1,O922&lt;&gt;"",D922&lt;&gt;""),IF(COUNTIFS($O$6:O922,O922,$D$6:D922,D922)=1,1,0),0)</f>
        <v>0</v>
      </c>
      <c r="AC922" s="96">
        <f>IF(T922=1,INDEX('ITENS_MTR'!$AL$6:$AL$1005,S922),0)</f>
        <v>0</v>
      </c>
    </row>
    <row r="923">
      <c r="A923" s="89" t="inlineStr">
        <is>
          <t>VIN-000918</t>
        </is>
      </c>
      <c r="B923" s="91" t="n"/>
      <c r="C923" s="91" t="n"/>
      <c r="D923" s="94" t="str">
        <f>IF(T923=1,INDEX('ITENS_MTR'!$S$6:$S$1005,S923)&amp;"","")</f>
        <v/>
      </c>
      <c r="E923" s="94" t="str">
        <f>IF(T923=1,INDEX('ITENS_MTR'!$C$6:$C$1005,S923)&amp;"","")</f>
        <v/>
      </c>
      <c r="F923" s="98" t="n"/>
      <c r="G923" s="91" t="n"/>
      <c r="H923" s="93" t="str">
        <f>IF(N923=0,"",IF(NOT(ISNUMBER(F923)),"",IF(ISNUMBER(U923),F923*U923,"UNIDADE A CONFERIR")))</f>
        <v/>
      </c>
      <c r="I923" s="94" t="str">
        <f>IF(Q923=1,INDEX('CDFs'!$F$6:$F$505,P923)&amp;"","")</f>
        <v/>
      </c>
      <c r="J923" s="91" t="n"/>
      <c r="K923" s="91" t="n"/>
      <c r="L923" s="94" t="str">
        <f>IF(N923=0,"",IF(NOT(ISNUMBER(F923)),"Quantidade não informada",IF(F923&lt;=0,"Quantidade não positiva",IF(G923="","Unidade não informada",IF(NOT(ISNUMBER(H923)),"Unidade a conferir",IF(AC923=1,"REVISAR VÍNCULO: soma vinculada maior que a referência do item","OK"))))))</f>
        <v/>
      </c>
      <c r="M923" s="94" t="str">
        <f>IF(N923=0,"",IF(B923="","CDF não informado",IF(Q923=0,"REVISAR VÍNCULO: CDF inexistente",IF(C923="","Item não informado",IF(T923=0,"REVISAR VÍNCULO: item inexistente",IF(AND(X923=1,J923&lt;&gt;"Sim"),"REVISAR VÍNCULO: destinador diferente do MTR",IF(X923=1,"Destinador diferente do MTR (analisado)","OK")))))))</f>
        <v/>
      </c>
      <c r="N923" s="96">
        <f>IF(COUNTA(B923:C923,F923:G923,J923:K923)&gt;0,1,0)</f>
        <v>0</v>
      </c>
      <c r="O923" s="96" t="str">
        <f>IF(B923="","",TRIM(LEFT(B923,FIND(" |",B923&amp;" |")-1)))</f>
        <v/>
      </c>
      <c r="P923" s="96" t="str">
        <f>IF(O923="","",IFERROR(MATCH(O923,'CDFs'!$A$6:$A$505,0),""))</f>
        <v/>
      </c>
      <c r="Q923" s="96">
        <f>IF(P923="",0,IF(INDEX('CDFs'!$S$6:$S$505,P923)=1,1,0))</f>
        <v>0</v>
      </c>
      <c r="R923" s="96" t="str">
        <f>IF(C923="","",TRIM(LEFT(C923,FIND(" |",C923&amp;" |")-1)))</f>
        <v/>
      </c>
      <c r="S923" s="96" t="str">
        <f>IF(R923="","",IFERROR(MATCH(R923,'ITENS_MTR'!$A$6:$A$1005,0),""))</f>
        <v/>
      </c>
      <c r="T923" s="96">
        <f>IF(S923="",0,IF(INDEX('ITENS_MTR'!$R$6:$R$1005,S923)=1,1,0))</f>
        <v>0</v>
      </c>
      <c r="U923" s="96" t="str">
        <f>IF(G923="","",IFERROR(IF(ISNUMBER(INDEX(cfg_fac,MATCH(G923,cfg_units,0))),IF(INDEX(cfg_fac,MATCH(G923,cfg_units,0))&gt;0,INDEX(cfg_fac,MATCH(G923,cfg_units,0)),""),""),""))</f>
        <v/>
      </c>
      <c r="V923" s="96">
        <f>IF(AND(ISNUMBER(F923),ISNUMBER(H923)),IF(H923&gt;0,1,0),0)</f>
        <v>0</v>
      </c>
      <c r="W923" s="96" t="str">
        <f>IF(T923=1,INDEX('ITENS_MTR'!$AU$6:$AU$1005,S923)&amp;"","")</f>
        <v/>
      </c>
      <c r="X923" s="96">
        <f>IF(AND(Q923=1,T923=1,I923&lt;&gt;"",W923&lt;&gt;""),IF(I923&lt;&gt;W923,1,0),0)</f>
        <v>0</v>
      </c>
      <c r="Y923" s="96">
        <f>IF(N923=0,0,IF(OR(Q923=0,T923=0,V923=0,AND(X923=1,J923&lt;&gt;"Sim")),1,0))</f>
        <v>0</v>
      </c>
      <c r="Z923" s="96">
        <f>IF(Q923=1,INDEX('CDFs'!$W$6:$W$505,P923),0)</f>
        <v>0</v>
      </c>
      <c r="AA923" s="96">
        <f>IF(AND(N923=1,Y923=0,Z923=1,J923="Sim"),1,0)</f>
        <v>0</v>
      </c>
      <c r="AB923" s="96">
        <f>IF(AND(N923=1,O923&lt;&gt;"",D923&lt;&gt;""),IF(COUNTIFS($O$6:O923,O923,$D$6:D923,D923)=1,1,0),0)</f>
        <v>0</v>
      </c>
      <c r="AC923" s="96">
        <f>IF(T923=1,INDEX('ITENS_MTR'!$AL$6:$AL$1005,S923),0)</f>
        <v>0</v>
      </c>
    </row>
    <row r="924">
      <c r="A924" s="89" t="inlineStr">
        <is>
          <t>VIN-000919</t>
        </is>
      </c>
      <c r="B924" s="91" t="n"/>
      <c r="C924" s="91" t="n"/>
      <c r="D924" s="94" t="str">
        <f>IF(T924=1,INDEX('ITENS_MTR'!$S$6:$S$1005,S924)&amp;"","")</f>
        <v/>
      </c>
      <c r="E924" s="94" t="str">
        <f>IF(T924=1,INDEX('ITENS_MTR'!$C$6:$C$1005,S924)&amp;"","")</f>
        <v/>
      </c>
      <c r="F924" s="98" t="n"/>
      <c r="G924" s="91" t="n"/>
      <c r="H924" s="93" t="str">
        <f>IF(N924=0,"",IF(NOT(ISNUMBER(F924)),"",IF(ISNUMBER(U924),F924*U924,"UNIDADE A CONFERIR")))</f>
        <v/>
      </c>
      <c r="I924" s="94" t="str">
        <f>IF(Q924=1,INDEX('CDFs'!$F$6:$F$505,P924)&amp;"","")</f>
        <v/>
      </c>
      <c r="J924" s="91" t="n"/>
      <c r="K924" s="91" t="n"/>
      <c r="L924" s="94" t="str">
        <f>IF(N924=0,"",IF(NOT(ISNUMBER(F924)),"Quantidade não informada",IF(F924&lt;=0,"Quantidade não positiva",IF(G924="","Unidade não informada",IF(NOT(ISNUMBER(H924)),"Unidade a conferir",IF(AC924=1,"REVISAR VÍNCULO: soma vinculada maior que a referência do item","OK"))))))</f>
        <v/>
      </c>
      <c r="M924" s="94" t="str">
        <f>IF(N924=0,"",IF(B924="","CDF não informado",IF(Q924=0,"REVISAR VÍNCULO: CDF inexistente",IF(C924="","Item não informado",IF(T924=0,"REVISAR VÍNCULO: item inexistente",IF(AND(X924=1,J924&lt;&gt;"Sim"),"REVISAR VÍNCULO: destinador diferente do MTR",IF(X924=1,"Destinador diferente do MTR (analisado)","OK")))))))</f>
        <v/>
      </c>
      <c r="N924" s="96">
        <f>IF(COUNTA(B924:C924,F924:G924,J924:K924)&gt;0,1,0)</f>
        <v>0</v>
      </c>
      <c r="O924" s="96" t="str">
        <f>IF(B924="","",TRIM(LEFT(B924,FIND(" |",B924&amp;" |")-1)))</f>
        <v/>
      </c>
      <c r="P924" s="96" t="str">
        <f>IF(O924="","",IFERROR(MATCH(O924,'CDFs'!$A$6:$A$505,0),""))</f>
        <v/>
      </c>
      <c r="Q924" s="96">
        <f>IF(P924="",0,IF(INDEX('CDFs'!$S$6:$S$505,P924)=1,1,0))</f>
        <v>0</v>
      </c>
      <c r="R924" s="96" t="str">
        <f>IF(C924="","",TRIM(LEFT(C924,FIND(" |",C924&amp;" |")-1)))</f>
        <v/>
      </c>
      <c r="S924" s="96" t="str">
        <f>IF(R924="","",IFERROR(MATCH(R924,'ITENS_MTR'!$A$6:$A$1005,0),""))</f>
        <v/>
      </c>
      <c r="T924" s="96">
        <f>IF(S924="",0,IF(INDEX('ITENS_MTR'!$R$6:$R$1005,S924)=1,1,0))</f>
        <v>0</v>
      </c>
      <c r="U924" s="96" t="str">
        <f>IF(G924="","",IFERROR(IF(ISNUMBER(INDEX(cfg_fac,MATCH(G924,cfg_units,0))),IF(INDEX(cfg_fac,MATCH(G924,cfg_units,0))&gt;0,INDEX(cfg_fac,MATCH(G924,cfg_units,0)),""),""),""))</f>
        <v/>
      </c>
      <c r="V924" s="96">
        <f>IF(AND(ISNUMBER(F924),ISNUMBER(H924)),IF(H924&gt;0,1,0),0)</f>
        <v>0</v>
      </c>
      <c r="W924" s="96" t="str">
        <f>IF(T924=1,INDEX('ITENS_MTR'!$AU$6:$AU$1005,S924)&amp;"","")</f>
        <v/>
      </c>
      <c r="X924" s="96">
        <f>IF(AND(Q924=1,T924=1,I924&lt;&gt;"",W924&lt;&gt;""),IF(I924&lt;&gt;W924,1,0),0)</f>
        <v>0</v>
      </c>
      <c r="Y924" s="96">
        <f>IF(N924=0,0,IF(OR(Q924=0,T924=0,V924=0,AND(X924=1,J924&lt;&gt;"Sim")),1,0))</f>
        <v>0</v>
      </c>
      <c r="Z924" s="96">
        <f>IF(Q924=1,INDEX('CDFs'!$W$6:$W$505,P924),0)</f>
        <v>0</v>
      </c>
      <c r="AA924" s="96">
        <f>IF(AND(N924=1,Y924=0,Z924=1,J924="Sim"),1,0)</f>
        <v>0</v>
      </c>
      <c r="AB924" s="96">
        <f>IF(AND(N924=1,O924&lt;&gt;"",D924&lt;&gt;""),IF(COUNTIFS($O$6:O924,O924,$D$6:D924,D924)=1,1,0),0)</f>
        <v>0</v>
      </c>
      <c r="AC924" s="96">
        <f>IF(T924=1,INDEX('ITENS_MTR'!$AL$6:$AL$1005,S924),0)</f>
        <v>0</v>
      </c>
    </row>
    <row r="925">
      <c r="A925" s="89" t="inlineStr">
        <is>
          <t>VIN-000920</t>
        </is>
      </c>
      <c r="B925" s="91" t="n"/>
      <c r="C925" s="91" t="n"/>
      <c r="D925" s="94" t="str">
        <f>IF(T925=1,INDEX('ITENS_MTR'!$S$6:$S$1005,S925)&amp;"","")</f>
        <v/>
      </c>
      <c r="E925" s="94" t="str">
        <f>IF(T925=1,INDEX('ITENS_MTR'!$C$6:$C$1005,S925)&amp;"","")</f>
        <v/>
      </c>
      <c r="F925" s="98" t="n"/>
      <c r="G925" s="91" t="n"/>
      <c r="H925" s="93" t="str">
        <f>IF(N925=0,"",IF(NOT(ISNUMBER(F925)),"",IF(ISNUMBER(U925),F925*U925,"UNIDADE A CONFERIR")))</f>
        <v/>
      </c>
      <c r="I925" s="94" t="str">
        <f>IF(Q925=1,INDEX('CDFs'!$F$6:$F$505,P925)&amp;"","")</f>
        <v/>
      </c>
      <c r="J925" s="91" t="n"/>
      <c r="K925" s="91" t="n"/>
      <c r="L925" s="94" t="str">
        <f>IF(N925=0,"",IF(NOT(ISNUMBER(F925)),"Quantidade não informada",IF(F925&lt;=0,"Quantidade não positiva",IF(G925="","Unidade não informada",IF(NOT(ISNUMBER(H925)),"Unidade a conferir",IF(AC925=1,"REVISAR VÍNCULO: soma vinculada maior que a referência do item","OK"))))))</f>
        <v/>
      </c>
      <c r="M925" s="94" t="str">
        <f>IF(N925=0,"",IF(B925="","CDF não informado",IF(Q925=0,"REVISAR VÍNCULO: CDF inexistente",IF(C925="","Item não informado",IF(T925=0,"REVISAR VÍNCULO: item inexistente",IF(AND(X925=1,J925&lt;&gt;"Sim"),"REVISAR VÍNCULO: destinador diferente do MTR",IF(X925=1,"Destinador diferente do MTR (analisado)","OK")))))))</f>
        <v/>
      </c>
      <c r="N925" s="96">
        <f>IF(COUNTA(B925:C925,F925:G925,J925:K925)&gt;0,1,0)</f>
        <v>0</v>
      </c>
      <c r="O925" s="96" t="str">
        <f>IF(B925="","",TRIM(LEFT(B925,FIND(" |",B925&amp;" |")-1)))</f>
        <v/>
      </c>
      <c r="P925" s="96" t="str">
        <f>IF(O925="","",IFERROR(MATCH(O925,'CDFs'!$A$6:$A$505,0),""))</f>
        <v/>
      </c>
      <c r="Q925" s="96">
        <f>IF(P925="",0,IF(INDEX('CDFs'!$S$6:$S$505,P925)=1,1,0))</f>
        <v>0</v>
      </c>
      <c r="R925" s="96" t="str">
        <f>IF(C925="","",TRIM(LEFT(C925,FIND(" |",C925&amp;" |")-1)))</f>
        <v/>
      </c>
      <c r="S925" s="96" t="str">
        <f>IF(R925="","",IFERROR(MATCH(R925,'ITENS_MTR'!$A$6:$A$1005,0),""))</f>
        <v/>
      </c>
      <c r="T925" s="96">
        <f>IF(S925="",0,IF(INDEX('ITENS_MTR'!$R$6:$R$1005,S925)=1,1,0))</f>
        <v>0</v>
      </c>
      <c r="U925" s="96" t="str">
        <f>IF(G925="","",IFERROR(IF(ISNUMBER(INDEX(cfg_fac,MATCH(G925,cfg_units,0))),IF(INDEX(cfg_fac,MATCH(G925,cfg_units,0))&gt;0,INDEX(cfg_fac,MATCH(G925,cfg_units,0)),""),""),""))</f>
        <v/>
      </c>
      <c r="V925" s="96">
        <f>IF(AND(ISNUMBER(F925),ISNUMBER(H925)),IF(H925&gt;0,1,0),0)</f>
        <v>0</v>
      </c>
      <c r="W925" s="96" t="str">
        <f>IF(T925=1,INDEX('ITENS_MTR'!$AU$6:$AU$1005,S925)&amp;"","")</f>
        <v/>
      </c>
      <c r="X925" s="96">
        <f>IF(AND(Q925=1,T925=1,I925&lt;&gt;"",W925&lt;&gt;""),IF(I925&lt;&gt;W925,1,0),0)</f>
        <v>0</v>
      </c>
      <c r="Y925" s="96">
        <f>IF(N925=0,0,IF(OR(Q925=0,T925=0,V925=0,AND(X925=1,J925&lt;&gt;"Sim")),1,0))</f>
        <v>0</v>
      </c>
      <c r="Z925" s="96">
        <f>IF(Q925=1,INDEX('CDFs'!$W$6:$W$505,P925),0)</f>
        <v>0</v>
      </c>
      <c r="AA925" s="96">
        <f>IF(AND(N925=1,Y925=0,Z925=1,J925="Sim"),1,0)</f>
        <v>0</v>
      </c>
      <c r="AB925" s="96">
        <f>IF(AND(N925=1,O925&lt;&gt;"",D925&lt;&gt;""),IF(COUNTIFS($O$6:O925,O925,$D$6:D925,D925)=1,1,0),0)</f>
        <v>0</v>
      </c>
      <c r="AC925" s="96">
        <f>IF(T925=1,INDEX('ITENS_MTR'!$AL$6:$AL$1005,S925),0)</f>
        <v>0</v>
      </c>
    </row>
    <row r="926">
      <c r="A926" s="89" t="inlineStr">
        <is>
          <t>VIN-000921</t>
        </is>
      </c>
      <c r="B926" s="91" t="n"/>
      <c r="C926" s="91" t="n"/>
      <c r="D926" s="94" t="str">
        <f>IF(T926=1,INDEX('ITENS_MTR'!$S$6:$S$1005,S926)&amp;"","")</f>
        <v/>
      </c>
      <c r="E926" s="94" t="str">
        <f>IF(T926=1,INDEX('ITENS_MTR'!$C$6:$C$1005,S926)&amp;"","")</f>
        <v/>
      </c>
      <c r="F926" s="98" t="n"/>
      <c r="G926" s="91" t="n"/>
      <c r="H926" s="93" t="str">
        <f>IF(N926=0,"",IF(NOT(ISNUMBER(F926)),"",IF(ISNUMBER(U926),F926*U926,"UNIDADE A CONFERIR")))</f>
        <v/>
      </c>
      <c r="I926" s="94" t="str">
        <f>IF(Q926=1,INDEX('CDFs'!$F$6:$F$505,P926)&amp;"","")</f>
        <v/>
      </c>
      <c r="J926" s="91" t="n"/>
      <c r="K926" s="91" t="n"/>
      <c r="L926" s="94" t="str">
        <f>IF(N926=0,"",IF(NOT(ISNUMBER(F926)),"Quantidade não informada",IF(F926&lt;=0,"Quantidade não positiva",IF(G926="","Unidade não informada",IF(NOT(ISNUMBER(H926)),"Unidade a conferir",IF(AC926=1,"REVISAR VÍNCULO: soma vinculada maior que a referência do item","OK"))))))</f>
        <v/>
      </c>
      <c r="M926" s="94" t="str">
        <f>IF(N926=0,"",IF(B926="","CDF não informado",IF(Q926=0,"REVISAR VÍNCULO: CDF inexistente",IF(C926="","Item não informado",IF(T926=0,"REVISAR VÍNCULO: item inexistente",IF(AND(X926=1,J926&lt;&gt;"Sim"),"REVISAR VÍNCULO: destinador diferente do MTR",IF(X926=1,"Destinador diferente do MTR (analisado)","OK")))))))</f>
        <v/>
      </c>
      <c r="N926" s="96">
        <f>IF(COUNTA(B926:C926,F926:G926,J926:K926)&gt;0,1,0)</f>
        <v>0</v>
      </c>
      <c r="O926" s="96" t="str">
        <f>IF(B926="","",TRIM(LEFT(B926,FIND(" |",B926&amp;" |")-1)))</f>
        <v/>
      </c>
      <c r="P926" s="96" t="str">
        <f>IF(O926="","",IFERROR(MATCH(O926,'CDFs'!$A$6:$A$505,0),""))</f>
        <v/>
      </c>
      <c r="Q926" s="96">
        <f>IF(P926="",0,IF(INDEX('CDFs'!$S$6:$S$505,P926)=1,1,0))</f>
        <v>0</v>
      </c>
      <c r="R926" s="96" t="str">
        <f>IF(C926="","",TRIM(LEFT(C926,FIND(" |",C926&amp;" |")-1)))</f>
        <v/>
      </c>
      <c r="S926" s="96" t="str">
        <f>IF(R926="","",IFERROR(MATCH(R926,'ITENS_MTR'!$A$6:$A$1005,0),""))</f>
        <v/>
      </c>
      <c r="T926" s="96">
        <f>IF(S926="",0,IF(INDEX('ITENS_MTR'!$R$6:$R$1005,S926)=1,1,0))</f>
        <v>0</v>
      </c>
      <c r="U926" s="96" t="str">
        <f>IF(G926="","",IFERROR(IF(ISNUMBER(INDEX(cfg_fac,MATCH(G926,cfg_units,0))),IF(INDEX(cfg_fac,MATCH(G926,cfg_units,0))&gt;0,INDEX(cfg_fac,MATCH(G926,cfg_units,0)),""),""),""))</f>
        <v/>
      </c>
      <c r="V926" s="96">
        <f>IF(AND(ISNUMBER(F926),ISNUMBER(H926)),IF(H926&gt;0,1,0),0)</f>
        <v>0</v>
      </c>
      <c r="W926" s="96" t="str">
        <f>IF(T926=1,INDEX('ITENS_MTR'!$AU$6:$AU$1005,S926)&amp;"","")</f>
        <v/>
      </c>
      <c r="X926" s="96">
        <f>IF(AND(Q926=1,T926=1,I926&lt;&gt;"",W926&lt;&gt;""),IF(I926&lt;&gt;W926,1,0),0)</f>
        <v>0</v>
      </c>
      <c r="Y926" s="96">
        <f>IF(N926=0,0,IF(OR(Q926=0,T926=0,V926=0,AND(X926=1,J926&lt;&gt;"Sim")),1,0))</f>
        <v>0</v>
      </c>
      <c r="Z926" s="96">
        <f>IF(Q926=1,INDEX('CDFs'!$W$6:$W$505,P926),0)</f>
        <v>0</v>
      </c>
      <c r="AA926" s="96">
        <f>IF(AND(N926=1,Y926=0,Z926=1,J926="Sim"),1,0)</f>
        <v>0</v>
      </c>
      <c r="AB926" s="96">
        <f>IF(AND(N926=1,O926&lt;&gt;"",D926&lt;&gt;""),IF(COUNTIFS($O$6:O926,O926,$D$6:D926,D926)=1,1,0),0)</f>
        <v>0</v>
      </c>
      <c r="AC926" s="96">
        <f>IF(T926=1,INDEX('ITENS_MTR'!$AL$6:$AL$1005,S926),0)</f>
        <v>0</v>
      </c>
    </row>
    <row r="927">
      <c r="A927" s="89" t="inlineStr">
        <is>
          <t>VIN-000922</t>
        </is>
      </c>
      <c r="B927" s="91" t="n"/>
      <c r="C927" s="91" t="n"/>
      <c r="D927" s="94" t="str">
        <f>IF(T927=1,INDEX('ITENS_MTR'!$S$6:$S$1005,S927)&amp;"","")</f>
        <v/>
      </c>
      <c r="E927" s="94" t="str">
        <f>IF(T927=1,INDEX('ITENS_MTR'!$C$6:$C$1005,S927)&amp;"","")</f>
        <v/>
      </c>
      <c r="F927" s="98" t="n"/>
      <c r="G927" s="91" t="n"/>
      <c r="H927" s="93" t="str">
        <f>IF(N927=0,"",IF(NOT(ISNUMBER(F927)),"",IF(ISNUMBER(U927),F927*U927,"UNIDADE A CONFERIR")))</f>
        <v/>
      </c>
      <c r="I927" s="94" t="str">
        <f>IF(Q927=1,INDEX('CDFs'!$F$6:$F$505,P927)&amp;"","")</f>
        <v/>
      </c>
      <c r="J927" s="91" t="n"/>
      <c r="K927" s="91" t="n"/>
      <c r="L927" s="94" t="str">
        <f>IF(N927=0,"",IF(NOT(ISNUMBER(F927)),"Quantidade não informada",IF(F927&lt;=0,"Quantidade não positiva",IF(G927="","Unidade não informada",IF(NOT(ISNUMBER(H927)),"Unidade a conferir",IF(AC927=1,"REVISAR VÍNCULO: soma vinculada maior que a referência do item","OK"))))))</f>
        <v/>
      </c>
      <c r="M927" s="94" t="str">
        <f>IF(N927=0,"",IF(B927="","CDF não informado",IF(Q927=0,"REVISAR VÍNCULO: CDF inexistente",IF(C927="","Item não informado",IF(T927=0,"REVISAR VÍNCULO: item inexistente",IF(AND(X927=1,J927&lt;&gt;"Sim"),"REVISAR VÍNCULO: destinador diferente do MTR",IF(X927=1,"Destinador diferente do MTR (analisado)","OK")))))))</f>
        <v/>
      </c>
      <c r="N927" s="96">
        <f>IF(COUNTA(B927:C927,F927:G927,J927:K927)&gt;0,1,0)</f>
        <v>0</v>
      </c>
      <c r="O927" s="96" t="str">
        <f>IF(B927="","",TRIM(LEFT(B927,FIND(" |",B927&amp;" |")-1)))</f>
        <v/>
      </c>
      <c r="P927" s="96" t="str">
        <f>IF(O927="","",IFERROR(MATCH(O927,'CDFs'!$A$6:$A$505,0),""))</f>
        <v/>
      </c>
      <c r="Q927" s="96">
        <f>IF(P927="",0,IF(INDEX('CDFs'!$S$6:$S$505,P927)=1,1,0))</f>
        <v>0</v>
      </c>
      <c r="R927" s="96" t="str">
        <f>IF(C927="","",TRIM(LEFT(C927,FIND(" |",C927&amp;" |")-1)))</f>
        <v/>
      </c>
      <c r="S927" s="96" t="str">
        <f>IF(R927="","",IFERROR(MATCH(R927,'ITENS_MTR'!$A$6:$A$1005,0),""))</f>
        <v/>
      </c>
      <c r="T927" s="96">
        <f>IF(S927="",0,IF(INDEX('ITENS_MTR'!$R$6:$R$1005,S927)=1,1,0))</f>
        <v>0</v>
      </c>
      <c r="U927" s="96" t="str">
        <f>IF(G927="","",IFERROR(IF(ISNUMBER(INDEX(cfg_fac,MATCH(G927,cfg_units,0))),IF(INDEX(cfg_fac,MATCH(G927,cfg_units,0))&gt;0,INDEX(cfg_fac,MATCH(G927,cfg_units,0)),""),""),""))</f>
        <v/>
      </c>
      <c r="V927" s="96">
        <f>IF(AND(ISNUMBER(F927),ISNUMBER(H927)),IF(H927&gt;0,1,0),0)</f>
        <v>0</v>
      </c>
      <c r="W927" s="96" t="str">
        <f>IF(T927=1,INDEX('ITENS_MTR'!$AU$6:$AU$1005,S927)&amp;"","")</f>
        <v/>
      </c>
      <c r="X927" s="96">
        <f>IF(AND(Q927=1,T927=1,I927&lt;&gt;"",W927&lt;&gt;""),IF(I927&lt;&gt;W927,1,0),0)</f>
        <v>0</v>
      </c>
      <c r="Y927" s="96">
        <f>IF(N927=0,0,IF(OR(Q927=0,T927=0,V927=0,AND(X927=1,J927&lt;&gt;"Sim")),1,0))</f>
        <v>0</v>
      </c>
      <c r="Z927" s="96">
        <f>IF(Q927=1,INDEX('CDFs'!$W$6:$W$505,P927),0)</f>
        <v>0</v>
      </c>
      <c r="AA927" s="96">
        <f>IF(AND(N927=1,Y927=0,Z927=1,J927="Sim"),1,0)</f>
        <v>0</v>
      </c>
      <c r="AB927" s="96">
        <f>IF(AND(N927=1,O927&lt;&gt;"",D927&lt;&gt;""),IF(COUNTIFS($O$6:O927,O927,$D$6:D927,D927)=1,1,0),0)</f>
        <v>0</v>
      </c>
      <c r="AC927" s="96">
        <f>IF(T927=1,INDEX('ITENS_MTR'!$AL$6:$AL$1005,S927),0)</f>
        <v>0</v>
      </c>
    </row>
    <row r="928">
      <c r="A928" s="89" t="inlineStr">
        <is>
          <t>VIN-000923</t>
        </is>
      </c>
      <c r="B928" s="91" t="n"/>
      <c r="C928" s="91" t="n"/>
      <c r="D928" s="94" t="str">
        <f>IF(T928=1,INDEX('ITENS_MTR'!$S$6:$S$1005,S928)&amp;"","")</f>
        <v/>
      </c>
      <c r="E928" s="94" t="str">
        <f>IF(T928=1,INDEX('ITENS_MTR'!$C$6:$C$1005,S928)&amp;"","")</f>
        <v/>
      </c>
      <c r="F928" s="98" t="n"/>
      <c r="G928" s="91" t="n"/>
      <c r="H928" s="93" t="str">
        <f>IF(N928=0,"",IF(NOT(ISNUMBER(F928)),"",IF(ISNUMBER(U928),F928*U928,"UNIDADE A CONFERIR")))</f>
        <v/>
      </c>
      <c r="I928" s="94" t="str">
        <f>IF(Q928=1,INDEX('CDFs'!$F$6:$F$505,P928)&amp;"","")</f>
        <v/>
      </c>
      <c r="J928" s="91" t="n"/>
      <c r="K928" s="91" t="n"/>
      <c r="L928" s="94" t="str">
        <f>IF(N928=0,"",IF(NOT(ISNUMBER(F928)),"Quantidade não informada",IF(F928&lt;=0,"Quantidade não positiva",IF(G928="","Unidade não informada",IF(NOT(ISNUMBER(H928)),"Unidade a conferir",IF(AC928=1,"REVISAR VÍNCULO: soma vinculada maior que a referência do item","OK"))))))</f>
        <v/>
      </c>
      <c r="M928" s="94" t="str">
        <f>IF(N928=0,"",IF(B928="","CDF não informado",IF(Q928=0,"REVISAR VÍNCULO: CDF inexistente",IF(C928="","Item não informado",IF(T928=0,"REVISAR VÍNCULO: item inexistente",IF(AND(X928=1,J928&lt;&gt;"Sim"),"REVISAR VÍNCULO: destinador diferente do MTR",IF(X928=1,"Destinador diferente do MTR (analisado)","OK")))))))</f>
        <v/>
      </c>
      <c r="N928" s="96">
        <f>IF(COUNTA(B928:C928,F928:G928,J928:K928)&gt;0,1,0)</f>
        <v>0</v>
      </c>
      <c r="O928" s="96" t="str">
        <f>IF(B928="","",TRIM(LEFT(B928,FIND(" |",B928&amp;" |")-1)))</f>
        <v/>
      </c>
      <c r="P928" s="96" t="str">
        <f>IF(O928="","",IFERROR(MATCH(O928,'CDFs'!$A$6:$A$505,0),""))</f>
        <v/>
      </c>
      <c r="Q928" s="96">
        <f>IF(P928="",0,IF(INDEX('CDFs'!$S$6:$S$505,P928)=1,1,0))</f>
        <v>0</v>
      </c>
      <c r="R928" s="96" t="str">
        <f>IF(C928="","",TRIM(LEFT(C928,FIND(" |",C928&amp;" |")-1)))</f>
        <v/>
      </c>
      <c r="S928" s="96" t="str">
        <f>IF(R928="","",IFERROR(MATCH(R928,'ITENS_MTR'!$A$6:$A$1005,0),""))</f>
        <v/>
      </c>
      <c r="T928" s="96">
        <f>IF(S928="",0,IF(INDEX('ITENS_MTR'!$R$6:$R$1005,S928)=1,1,0))</f>
        <v>0</v>
      </c>
      <c r="U928" s="96" t="str">
        <f>IF(G928="","",IFERROR(IF(ISNUMBER(INDEX(cfg_fac,MATCH(G928,cfg_units,0))),IF(INDEX(cfg_fac,MATCH(G928,cfg_units,0))&gt;0,INDEX(cfg_fac,MATCH(G928,cfg_units,0)),""),""),""))</f>
        <v/>
      </c>
      <c r="V928" s="96">
        <f>IF(AND(ISNUMBER(F928),ISNUMBER(H928)),IF(H928&gt;0,1,0),0)</f>
        <v>0</v>
      </c>
      <c r="W928" s="96" t="str">
        <f>IF(T928=1,INDEX('ITENS_MTR'!$AU$6:$AU$1005,S928)&amp;"","")</f>
        <v/>
      </c>
      <c r="X928" s="96">
        <f>IF(AND(Q928=1,T928=1,I928&lt;&gt;"",W928&lt;&gt;""),IF(I928&lt;&gt;W928,1,0),0)</f>
        <v>0</v>
      </c>
      <c r="Y928" s="96">
        <f>IF(N928=0,0,IF(OR(Q928=0,T928=0,V928=0,AND(X928=1,J928&lt;&gt;"Sim")),1,0))</f>
        <v>0</v>
      </c>
      <c r="Z928" s="96">
        <f>IF(Q928=1,INDEX('CDFs'!$W$6:$W$505,P928),0)</f>
        <v>0</v>
      </c>
      <c r="AA928" s="96">
        <f>IF(AND(N928=1,Y928=0,Z928=1,J928="Sim"),1,0)</f>
        <v>0</v>
      </c>
      <c r="AB928" s="96">
        <f>IF(AND(N928=1,O928&lt;&gt;"",D928&lt;&gt;""),IF(COUNTIFS($O$6:O928,O928,$D$6:D928,D928)=1,1,0),0)</f>
        <v>0</v>
      </c>
      <c r="AC928" s="96">
        <f>IF(T928=1,INDEX('ITENS_MTR'!$AL$6:$AL$1005,S928),0)</f>
        <v>0</v>
      </c>
    </row>
    <row r="929">
      <c r="A929" s="89" t="inlineStr">
        <is>
          <t>VIN-000924</t>
        </is>
      </c>
      <c r="B929" s="91" t="n"/>
      <c r="C929" s="91" t="n"/>
      <c r="D929" s="94" t="str">
        <f>IF(T929=1,INDEX('ITENS_MTR'!$S$6:$S$1005,S929)&amp;"","")</f>
        <v/>
      </c>
      <c r="E929" s="94" t="str">
        <f>IF(T929=1,INDEX('ITENS_MTR'!$C$6:$C$1005,S929)&amp;"","")</f>
        <v/>
      </c>
      <c r="F929" s="98" t="n"/>
      <c r="G929" s="91" t="n"/>
      <c r="H929" s="93" t="str">
        <f>IF(N929=0,"",IF(NOT(ISNUMBER(F929)),"",IF(ISNUMBER(U929),F929*U929,"UNIDADE A CONFERIR")))</f>
        <v/>
      </c>
      <c r="I929" s="94" t="str">
        <f>IF(Q929=1,INDEX('CDFs'!$F$6:$F$505,P929)&amp;"","")</f>
        <v/>
      </c>
      <c r="J929" s="91" t="n"/>
      <c r="K929" s="91" t="n"/>
      <c r="L929" s="94" t="str">
        <f>IF(N929=0,"",IF(NOT(ISNUMBER(F929)),"Quantidade não informada",IF(F929&lt;=0,"Quantidade não positiva",IF(G929="","Unidade não informada",IF(NOT(ISNUMBER(H929)),"Unidade a conferir",IF(AC929=1,"REVISAR VÍNCULO: soma vinculada maior que a referência do item","OK"))))))</f>
        <v/>
      </c>
      <c r="M929" s="94" t="str">
        <f>IF(N929=0,"",IF(B929="","CDF não informado",IF(Q929=0,"REVISAR VÍNCULO: CDF inexistente",IF(C929="","Item não informado",IF(T929=0,"REVISAR VÍNCULO: item inexistente",IF(AND(X929=1,J929&lt;&gt;"Sim"),"REVISAR VÍNCULO: destinador diferente do MTR",IF(X929=1,"Destinador diferente do MTR (analisado)","OK")))))))</f>
        <v/>
      </c>
      <c r="N929" s="96">
        <f>IF(COUNTA(B929:C929,F929:G929,J929:K929)&gt;0,1,0)</f>
        <v>0</v>
      </c>
      <c r="O929" s="96" t="str">
        <f>IF(B929="","",TRIM(LEFT(B929,FIND(" |",B929&amp;" |")-1)))</f>
        <v/>
      </c>
      <c r="P929" s="96" t="str">
        <f>IF(O929="","",IFERROR(MATCH(O929,'CDFs'!$A$6:$A$505,0),""))</f>
        <v/>
      </c>
      <c r="Q929" s="96">
        <f>IF(P929="",0,IF(INDEX('CDFs'!$S$6:$S$505,P929)=1,1,0))</f>
        <v>0</v>
      </c>
      <c r="R929" s="96" t="str">
        <f>IF(C929="","",TRIM(LEFT(C929,FIND(" |",C929&amp;" |")-1)))</f>
        <v/>
      </c>
      <c r="S929" s="96" t="str">
        <f>IF(R929="","",IFERROR(MATCH(R929,'ITENS_MTR'!$A$6:$A$1005,0),""))</f>
        <v/>
      </c>
      <c r="T929" s="96">
        <f>IF(S929="",0,IF(INDEX('ITENS_MTR'!$R$6:$R$1005,S929)=1,1,0))</f>
        <v>0</v>
      </c>
      <c r="U929" s="96" t="str">
        <f>IF(G929="","",IFERROR(IF(ISNUMBER(INDEX(cfg_fac,MATCH(G929,cfg_units,0))),IF(INDEX(cfg_fac,MATCH(G929,cfg_units,0))&gt;0,INDEX(cfg_fac,MATCH(G929,cfg_units,0)),""),""),""))</f>
        <v/>
      </c>
      <c r="V929" s="96">
        <f>IF(AND(ISNUMBER(F929),ISNUMBER(H929)),IF(H929&gt;0,1,0),0)</f>
        <v>0</v>
      </c>
      <c r="W929" s="96" t="str">
        <f>IF(T929=1,INDEX('ITENS_MTR'!$AU$6:$AU$1005,S929)&amp;"","")</f>
        <v/>
      </c>
      <c r="X929" s="96">
        <f>IF(AND(Q929=1,T929=1,I929&lt;&gt;"",W929&lt;&gt;""),IF(I929&lt;&gt;W929,1,0),0)</f>
        <v>0</v>
      </c>
      <c r="Y929" s="96">
        <f>IF(N929=0,0,IF(OR(Q929=0,T929=0,V929=0,AND(X929=1,J929&lt;&gt;"Sim")),1,0))</f>
        <v>0</v>
      </c>
      <c r="Z929" s="96">
        <f>IF(Q929=1,INDEX('CDFs'!$W$6:$W$505,P929),0)</f>
        <v>0</v>
      </c>
      <c r="AA929" s="96">
        <f>IF(AND(N929=1,Y929=0,Z929=1,J929="Sim"),1,0)</f>
        <v>0</v>
      </c>
      <c r="AB929" s="96">
        <f>IF(AND(N929=1,O929&lt;&gt;"",D929&lt;&gt;""),IF(COUNTIFS($O$6:O929,O929,$D$6:D929,D929)=1,1,0),0)</f>
        <v>0</v>
      </c>
      <c r="AC929" s="96">
        <f>IF(T929=1,INDEX('ITENS_MTR'!$AL$6:$AL$1005,S929),0)</f>
        <v>0</v>
      </c>
    </row>
    <row r="930">
      <c r="A930" s="89" t="inlineStr">
        <is>
          <t>VIN-000925</t>
        </is>
      </c>
      <c r="B930" s="91" t="n"/>
      <c r="C930" s="91" t="n"/>
      <c r="D930" s="94" t="str">
        <f>IF(T930=1,INDEX('ITENS_MTR'!$S$6:$S$1005,S930)&amp;"","")</f>
        <v/>
      </c>
      <c r="E930" s="94" t="str">
        <f>IF(T930=1,INDEX('ITENS_MTR'!$C$6:$C$1005,S930)&amp;"","")</f>
        <v/>
      </c>
      <c r="F930" s="98" t="n"/>
      <c r="G930" s="91" t="n"/>
      <c r="H930" s="93" t="str">
        <f>IF(N930=0,"",IF(NOT(ISNUMBER(F930)),"",IF(ISNUMBER(U930),F930*U930,"UNIDADE A CONFERIR")))</f>
        <v/>
      </c>
      <c r="I930" s="94" t="str">
        <f>IF(Q930=1,INDEX('CDFs'!$F$6:$F$505,P930)&amp;"","")</f>
        <v/>
      </c>
      <c r="J930" s="91" t="n"/>
      <c r="K930" s="91" t="n"/>
      <c r="L930" s="94" t="str">
        <f>IF(N930=0,"",IF(NOT(ISNUMBER(F930)),"Quantidade não informada",IF(F930&lt;=0,"Quantidade não positiva",IF(G930="","Unidade não informada",IF(NOT(ISNUMBER(H930)),"Unidade a conferir",IF(AC930=1,"REVISAR VÍNCULO: soma vinculada maior que a referência do item","OK"))))))</f>
        <v/>
      </c>
      <c r="M930" s="94" t="str">
        <f>IF(N930=0,"",IF(B930="","CDF não informado",IF(Q930=0,"REVISAR VÍNCULO: CDF inexistente",IF(C930="","Item não informado",IF(T930=0,"REVISAR VÍNCULO: item inexistente",IF(AND(X930=1,J930&lt;&gt;"Sim"),"REVISAR VÍNCULO: destinador diferente do MTR",IF(X930=1,"Destinador diferente do MTR (analisado)","OK")))))))</f>
        <v/>
      </c>
      <c r="N930" s="96">
        <f>IF(COUNTA(B930:C930,F930:G930,J930:K930)&gt;0,1,0)</f>
        <v>0</v>
      </c>
      <c r="O930" s="96" t="str">
        <f>IF(B930="","",TRIM(LEFT(B930,FIND(" |",B930&amp;" |")-1)))</f>
        <v/>
      </c>
      <c r="P930" s="96" t="str">
        <f>IF(O930="","",IFERROR(MATCH(O930,'CDFs'!$A$6:$A$505,0),""))</f>
        <v/>
      </c>
      <c r="Q930" s="96">
        <f>IF(P930="",0,IF(INDEX('CDFs'!$S$6:$S$505,P930)=1,1,0))</f>
        <v>0</v>
      </c>
      <c r="R930" s="96" t="str">
        <f>IF(C930="","",TRIM(LEFT(C930,FIND(" |",C930&amp;" |")-1)))</f>
        <v/>
      </c>
      <c r="S930" s="96" t="str">
        <f>IF(R930="","",IFERROR(MATCH(R930,'ITENS_MTR'!$A$6:$A$1005,0),""))</f>
        <v/>
      </c>
      <c r="T930" s="96">
        <f>IF(S930="",0,IF(INDEX('ITENS_MTR'!$R$6:$R$1005,S930)=1,1,0))</f>
        <v>0</v>
      </c>
      <c r="U930" s="96" t="str">
        <f>IF(G930="","",IFERROR(IF(ISNUMBER(INDEX(cfg_fac,MATCH(G930,cfg_units,0))),IF(INDEX(cfg_fac,MATCH(G930,cfg_units,0))&gt;0,INDEX(cfg_fac,MATCH(G930,cfg_units,0)),""),""),""))</f>
        <v/>
      </c>
      <c r="V930" s="96">
        <f>IF(AND(ISNUMBER(F930),ISNUMBER(H930)),IF(H930&gt;0,1,0),0)</f>
        <v>0</v>
      </c>
      <c r="W930" s="96" t="str">
        <f>IF(T930=1,INDEX('ITENS_MTR'!$AU$6:$AU$1005,S930)&amp;"","")</f>
        <v/>
      </c>
      <c r="X930" s="96">
        <f>IF(AND(Q930=1,T930=1,I930&lt;&gt;"",W930&lt;&gt;""),IF(I930&lt;&gt;W930,1,0),0)</f>
        <v>0</v>
      </c>
      <c r="Y930" s="96">
        <f>IF(N930=0,0,IF(OR(Q930=0,T930=0,V930=0,AND(X930=1,J930&lt;&gt;"Sim")),1,0))</f>
        <v>0</v>
      </c>
      <c r="Z930" s="96">
        <f>IF(Q930=1,INDEX('CDFs'!$W$6:$W$505,P930),0)</f>
        <v>0</v>
      </c>
      <c r="AA930" s="96">
        <f>IF(AND(N930=1,Y930=0,Z930=1,J930="Sim"),1,0)</f>
        <v>0</v>
      </c>
      <c r="AB930" s="96">
        <f>IF(AND(N930=1,O930&lt;&gt;"",D930&lt;&gt;""),IF(COUNTIFS($O$6:O930,O930,$D$6:D930,D930)=1,1,0),0)</f>
        <v>0</v>
      </c>
      <c r="AC930" s="96">
        <f>IF(T930=1,INDEX('ITENS_MTR'!$AL$6:$AL$1005,S930),0)</f>
        <v>0</v>
      </c>
    </row>
    <row r="931">
      <c r="A931" s="89" t="inlineStr">
        <is>
          <t>VIN-000926</t>
        </is>
      </c>
      <c r="B931" s="91" t="n"/>
      <c r="C931" s="91" t="n"/>
      <c r="D931" s="94" t="str">
        <f>IF(T931=1,INDEX('ITENS_MTR'!$S$6:$S$1005,S931)&amp;"","")</f>
        <v/>
      </c>
      <c r="E931" s="94" t="str">
        <f>IF(T931=1,INDEX('ITENS_MTR'!$C$6:$C$1005,S931)&amp;"","")</f>
        <v/>
      </c>
      <c r="F931" s="98" t="n"/>
      <c r="G931" s="91" t="n"/>
      <c r="H931" s="93" t="str">
        <f>IF(N931=0,"",IF(NOT(ISNUMBER(F931)),"",IF(ISNUMBER(U931),F931*U931,"UNIDADE A CONFERIR")))</f>
        <v/>
      </c>
      <c r="I931" s="94" t="str">
        <f>IF(Q931=1,INDEX('CDFs'!$F$6:$F$505,P931)&amp;"","")</f>
        <v/>
      </c>
      <c r="J931" s="91" t="n"/>
      <c r="K931" s="91" t="n"/>
      <c r="L931" s="94" t="str">
        <f>IF(N931=0,"",IF(NOT(ISNUMBER(F931)),"Quantidade não informada",IF(F931&lt;=0,"Quantidade não positiva",IF(G931="","Unidade não informada",IF(NOT(ISNUMBER(H931)),"Unidade a conferir",IF(AC931=1,"REVISAR VÍNCULO: soma vinculada maior que a referência do item","OK"))))))</f>
        <v/>
      </c>
      <c r="M931" s="94" t="str">
        <f>IF(N931=0,"",IF(B931="","CDF não informado",IF(Q931=0,"REVISAR VÍNCULO: CDF inexistente",IF(C931="","Item não informado",IF(T931=0,"REVISAR VÍNCULO: item inexistente",IF(AND(X931=1,J931&lt;&gt;"Sim"),"REVISAR VÍNCULO: destinador diferente do MTR",IF(X931=1,"Destinador diferente do MTR (analisado)","OK")))))))</f>
        <v/>
      </c>
      <c r="N931" s="96">
        <f>IF(COUNTA(B931:C931,F931:G931,J931:K931)&gt;0,1,0)</f>
        <v>0</v>
      </c>
      <c r="O931" s="96" t="str">
        <f>IF(B931="","",TRIM(LEFT(B931,FIND(" |",B931&amp;" |")-1)))</f>
        <v/>
      </c>
      <c r="P931" s="96" t="str">
        <f>IF(O931="","",IFERROR(MATCH(O931,'CDFs'!$A$6:$A$505,0),""))</f>
        <v/>
      </c>
      <c r="Q931" s="96">
        <f>IF(P931="",0,IF(INDEX('CDFs'!$S$6:$S$505,P931)=1,1,0))</f>
        <v>0</v>
      </c>
      <c r="R931" s="96" t="str">
        <f>IF(C931="","",TRIM(LEFT(C931,FIND(" |",C931&amp;" |")-1)))</f>
        <v/>
      </c>
      <c r="S931" s="96" t="str">
        <f>IF(R931="","",IFERROR(MATCH(R931,'ITENS_MTR'!$A$6:$A$1005,0),""))</f>
        <v/>
      </c>
      <c r="T931" s="96">
        <f>IF(S931="",0,IF(INDEX('ITENS_MTR'!$R$6:$R$1005,S931)=1,1,0))</f>
        <v>0</v>
      </c>
      <c r="U931" s="96" t="str">
        <f>IF(G931="","",IFERROR(IF(ISNUMBER(INDEX(cfg_fac,MATCH(G931,cfg_units,0))),IF(INDEX(cfg_fac,MATCH(G931,cfg_units,0))&gt;0,INDEX(cfg_fac,MATCH(G931,cfg_units,0)),""),""),""))</f>
        <v/>
      </c>
      <c r="V931" s="96">
        <f>IF(AND(ISNUMBER(F931),ISNUMBER(H931)),IF(H931&gt;0,1,0),0)</f>
        <v>0</v>
      </c>
      <c r="W931" s="96" t="str">
        <f>IF(T931=1,INDEX('ITENS_MTR'!$AU$6:$AU$1005,S931)&amp;"","")</f>
        <v/>
      </c>
      <c r="X931" s="96">
        <f>IF(AND(Q931=1,T931=1,I931&lt;&gt;"",W931&lt;&gt;""),IF(I931&lt;&gt;W931,1,0),0)</f>
        <v>0</v>
      </c>
      <c r="Y931" s="96">
        <f>IF(N931=0,0,IF(OR(Q931=0,T931=0,V931=0,AND(X931=1,J931&lt;&gt;"Sim")),1,0))</f>
        <v>0</v>
      </c>
      <c r="Z931" s="96">
        <f>IF(Q931=1,INDEX('CDFs'!$W$6:$W$505,P931),0)</f>
        <v>0</v>
      </c>
      <c r="AA931" s="96">
        <f>IF(AND(N931=1,Y931=0,Z931=1,J931="Sim"),1,0)</f>
        <v>0</v>
      </c>
      <c r="AB931" s="96">
        <f>IF(AND(N931=1,O931&lt;&gt;"",D931&lt;&gt;""),IF(COUNTIFS($O$6:O931,O931,$D$6:D931,D931)=1,1,0),0)</f>
        <v>0</v>
      </c>
      <c r="AC931" s="96">
        <f>IF(T931=1,INDEX('ITENS_MTR'!$AL$6:$AL$1005,S931),0)</f>
        <v>0</v>
      </c>
    </row>
    <row r="932">
      <c r="A932" s="89" t="inlineStr">
        <is>
          <t>VIN-000927</t>
        </is>
      </c>
      <c r="B932" s="91" t="n"/>
      <c r="C932" s="91" t="n"/>
      <c r="D932" s="94" t="str">
        <f>IF(T932=1,INDEX('ITENS_MTR'!$S$6:$S$1005,S932)&amp;"","")</f>
        <v/>
      </c>
      <c r="E932" s="94" t="str">
        <f>IF(T932=1,INDEX('ITENS_MTR'!$C$6:$C$1005,S932)&amp;"","")</f>
        <v/>
      </c>
      <c r="F932" s="98" t="n"/>
      <c r="G932" s="91" t="n"/>
      <c r="H932" s="93" t="str">
        <f>IF(N932=0,"",IF(NOT(ISNUMBER(F932)),"",IF(ISNUMBER(U932),F932*U932,"UNIDADE A CONFERIR")))</f>
        <v/>
      </c>
      <c r="I932" s="94" t="str">
        <f>IF(Q932=1,INDEX('CDFs'!$F$6:$F$505,P932)&amp;"","")</f>
        <v/>
      </c>
      <c r="J932" s="91" t="n"/>
      <c r="K932" s="91" t="n"/>
      <c r="L932" s="94" t="str">
        <f>IF(N932=0,"",IF(NOT(ISNUMBER(F932)),"Quantidade não informada",IF(F932&lt;=0,"Quantidade não positiva",IF(G932="","Unidade não informada",IF(NOT(ISNUMBER(H932)),"Unidade a conferir",IF(AC932=1,"REVISAR VÍNCULO: soma vinculada maior que a referência do item","OK"))))))</f>
        <v/>
      </c>
      <c r="M932" s="94" t="str">
        <f>IF(N932=0,"",IF(B932="","CDF não informado",IF(Q932=0,"REVISAR VÍNCULO: CDF inexistente",IF(C932="","Item não informado",IF(T932=0,"REVISAR VÍNCULO: item inexistente",IF(AND(X932=1,J932&lt;&gt;"Sim"),"REVISAR VÍNCULO: destinador diferente do MTR",IF(X932=1,"Destinador diferente do MTR (analisado)","OK")))))))</f>
        <v/>
      </c>
      <c r="N932" s="96">
        <f>IF(COUNTA(B932:C932,F932:G932,J932:K932)&gt;0,1,0)</f>
        <v>0</v>
      </c>
      <c r="O932" s="96" t="str">
        <f>IF(B932="","",TRIM(LEFT(B932,FIND(" |",B932&amp;" |")-1)))</f>
        <v/>
      </c>
      <c r="P932" s="96" t="str">
        <f>IF(O932="","",IFERROR(MATCH(O932,'CDFs'!$A$6:$A$505,0),""))</f>
        <v/>
      </c>
      <c r="Q932" s="96">
        <f>IF(P932="",0,IF(INDEX('CDFs'!$S$6:$S$505,P932)=1,1,0))</f>
        <v>0</v>
      </c>
      <c r="R932" s="96" t="str">
        <f>IF(C932="","",TRIM(LEFT(C932,FIND(" |",C932&amp;" |")-1)))</f>
        <v/>
      </c>
      <c r="S932" s="96" t="str">
        <f>IF(R932="","",IFERROR(MATCH(R932,'ITENS_MTR'!$A$6:$A$1005,0),""))</f>
        <v/>
      </c>
      <c r="T932" s="96">
        <f>IF(S932="",0,IF(INDEX('ITENS_MTR'!$R$6:$R$1005,S932)=1,1,0))</f>
        <v>0</v>
      </c>
      <c r="U932" s="96" t="str">
        <f>IF(G932="","",IFERROR(IF(ISNUMBER(INDEX(cfg_fac,MATCH(G932,cfg_units,0))),IF(INDEX(cfg_fac,MATCH(G932,cfg_units,0))&gt;0,INDEX(cfg_fac,MATCH(G932,cfg_units,0)),""),""),""))</f>
        <v/>
      </c>
      <c r="V932" s="96">
        <f>IF(AND(ISNUMBER(F932),ISNUMBER(H932)),IF(H932&gt;0,1,0),0)</f>
        <v>0</v>
      </c>
      <c r="W932" s="96" t="str">
        <f>IF(T932=1,INDEX('ITENS_MTR'!$AU$6:$AU$1005,S932)&amp;"","")</f>
        <v/>
      </c>
      <c r="X932" s="96">
        <f>IF(AND(Q932=1,T932=1,I932&lt;&gt;"",W932&lt;&gt;""),IF(I932&lt;&gt;W932,1,0),0)</f>
        <v>0</v>
      </c>
      <c r="Y932" s="96">
        <f>IF(N932=0,0,IF(OR(Q932=0,T932=0,V932=0,AND(X932=1,J932&lt;&gt;"Sim")),1,0))</f>
        <v>0</v>
      </c>
      <c r="Z932" s="96">
        <f>IF(Q932=1,INDEX('CDFs'!$W$6:$W$505,P932),0)</f>
        <v>0</v>
      </c>
      <c r="AA932" s="96">
        <f>IF(AND(N932=1,Y932=0,Z932=1,J932="Sim"),1,0)</f>
        <v>0</v>
      </c>
      <c r="AB932" s="96">
        <f>IF(AND(N932=1,O932&lt;&gt;"",D932&lt;&gt;""),IF(COUNTIFS($O$6:O932,O932,$D$6:D932,D932)=1,1,0),0)</f>
        <v>0</v>
      </c>
      <c r="AC932" s="96">
        <f>IF(T932=1,INDEX('ITENS_MTR'!$AL$6:$AL$1005,S932),0)</f>
        <v>0</v>
      </c>
    </row>
    <row r="933">
      <c r="A933" s="89" t="inlineStr">
        <is>
          <t>VIN-000928</t>
        </is>
      </c>
      <c r="B933" s="91" t="n"/>
      <c r="C933" s="91" t="n"/>
      <c r="D933" s="94" t="str">
        <f>IF(T933=1,INDEX('ITENS_MTR'!$S$6:$S$1005,S933)&amp;"","")</f>
        <v/>
      </c>
      <c r="E933" s="94" t="str">
        <f>IF(T933=1,INDEX('ITENS_MTR'!$C$6:$C$1005,S933)&amp;"","")</f>
        <v/>
      </c>
      <c r="F933" s="98" t="n"/>
      <c r="G933" s="91" t="n"/>
      <c r="H933" s="93" t="str">
        <f>IF(N933=0,"",IF(NOT(ISNUMBER(F933)),"",IF(ISNUMBER(U933),F933*U933,"UNIDADE A CONFERIR")))</f>
        <v/>
      </c>
      <c r="I933" s="94" t="str">
        <f>IF(Q933=1,INDEX('CDFs'!$F$6:$F$505,P933)&amp;"","")</f>
        <v/>
      </c>
      <c r="J933" s="91" t="n"/>
      <c r="K933" s="91" t="n"/>
      <c r="L933" s="94" t="str">
        <f>IF(N933=0,"",IF(NOT(ISNUMBER(F933)),"Quantidade não informada",IF(F933&lt;=0,"Quantidade não positiva",IF(G933="","Unidade não informada",IF(NOT(ISNUMBER(H933)),"Unidade a conferir",IF(AC933=1,"REVISAR VÍNCULO: soma vinculada maior que a referência do item","OK"))))))</f>
        <v/>
      </c>
      <c r="M933" s="94" t="str">
        <f>IF(N933=0,"",IF(B933="","CDF não informado",IF(Q933=0,"REVISAR VÍNCULO: CDF inexistente",IF(C933="","Item não informado",IF(T933=0,"REVISAR VÍNCULO: item inexistente",IF(AND(X933=1,J933&lt;&gt;"Sim"),"REVISAR VÍNCULO: destinador diferente do MTR",IF(X933=1,"Destinador diferente do MTR (analisado)","OK")))))))</f>
        <v/>
      </c>
      <c r="N933" s="96">
        <f>IF(COUNTA(B933:C933,F933:G933,J933:K933)&gt;0,1,0)</f>
        <v>0</v>
      </c>
      <c r="O933" s="96" t="str">
        <f>IF(B933="","",TRIM(LEFT(B933,FIND(" |",B933&amp;" |")-1)))</f>
        <v/>
      </c>
      <c r="P933" s="96" t="str">
        <f>IF(O933="","",IFERROR(MATCH(O933,'CDFs'!$A$6:$A$505,0),""))</f>
        <v/>
      </c>
      <c r="Q933" s="96">
        <f>IF(P933="",0,IF(INDEX('CDFs'!$S$6:$S$505,P933)=1,1,0))</f>
        <v>0</v>
      </c>
      <c r="R933" s="96" t="str">
        <f>IF(C933="","",TRIM(LEFT(C933,FIND(" |",C933&amp;" |")-1)))</f>
        <v/>
      </c>
      <c r="S933" s="96" t="str">
        <f>IF(R933="","",IFERROR(MATCH(R933,'ITENS_MTR'!$A$6:$A$1005,0),""))</f>
        <v/>
      </c>
      <c r="T933" s="96">
        <f>IF(S933="",0,IF(INDEX('ITENS_MTR'!$R$6:$R$1005,S933)=1,1,0))</f>
        <v>0</v>
      </c>
      <c r="U933" s="96" t="str">
        <f>IF(G933="","",IFERROR(IF(ISNUMBER(INDEX(cfg_fac,MATCH(G933,cfg_units,0))),IF(INDEX(cfg_fac,MATCH(G933,cfg_units,0))&gt;0,INDEX(cfg_fac,MATCH(G933,cfg_units,0)),""),""),""))</f>
        <v/>
      </c>
      <c r="V933" s="96">
        <f>IF(AND(ISNUMBER(F933),ISNUMBER(H933)),IF(H933&gt;0,1,0),0)</f>
        <v>0</v>
      </c>
      <c r="W933" s="96" t="str">
        <f>IF(T933=1,INDEX('ITENS_MTR'!$AU$6:$AU$1005,S933)&amp;"","")</f>
        <v/>
      </c>
      <c r="X933" s="96">
        <f>IF(AND(Q933=1,T933=1,I933&lt;&gt;"",W933&lt;&gt;""),IF(I933&lt;&gt;W933,1,0),0)</f>
        <v>0</v>
      </c>
      <c r="Y933" s="96">
        <f>IF(N933=0,0,IF(OR(Q933=0,T933=0,V933=0,AND(X933=1,J933&lt;&gt;"Sim")),1,0))</f>
        <v>0</v>
      </c>
      <c r="Z933" s="96">
        <f>IF(Q933=1,INDEX('CDFs'!$W$6:$W$505,P933),0)</f>
        <v>0</v>
      </c>
      <c r="AA933" s="96">
        <f>IF(AND(N933=1,Y933=0,Z933=1,J933="Sim"),1,0)</f>
        <v>0</v>
      </c>
      <c r="AB933" s="96">
        <f>IF(AND(N933=1,O933&lt;&gt;"",D933&lt;&gt;""),IF(COUNTIFS($O$6:O933,O933,$D$6:D933,D933)=1,1,0),0)</f>
        <v>0</v>
      </c>
      <c r="AC933" s="96">
        <f>IF(T933=1,INDEX('ITENS_MTR'!$AL$6:$AL$1005,S933),0)</f>
        <v>0</v>
      </c>
    </row>
    <row r="934">
      <c r="A934" s="89" t="inlineStr">
        <is>
          <t>VIN-000929</t>
        </is>
      </c>
      <c r="B934" s="91" t="n"/>
      <c r="C934" s="91" t="n"/>
      <c r="D934" s="94" t="str">
        <f>IF(T934=1,INDEX('ITENS_MTR'!$S$6:$S$1005,S934)&amp;"","")</f>
        <v/>
      </c>
      <c r="E934" s="94" t="str">
        <f>IF(T934=1,INDEX('ITENS_MTR'!$C$6:$C$1005,S934)&amp;"","")</f>
        <v/>
      </c>
      <c r="F934" s="98" t="n"/>
      <c r="G934" s="91" t="n"/>
      <c r="H934" s="93" t="str">
        <f>IF(N934=0,"",IF(NOT(ISNUMBER(F934)),"",IF(ISNUMBER(U934),F934*U934,"UNIDADE A CONFERIR")))</f>
        <v/>
      </c>
      <c r="I934" s="94" t="str">
        <f>IF(Q934=1,INDEX('CDFs'!$F$6:$F$505,P934)&amp;"","")</f>
        <v/>
      </c>
      <c r="J934" s="91" t="n"/>
      <c r="K934" s="91" t="n"/>
      <c r="L934" s="94" t="str">
        <f>IF(N934=0,"",IF(NOT(ISNUMBER(F934)),"Quantidade não informada",IF(F934&lt;=0,"Quantidade não positiva",IF(G934="","Unidade não informada",IF(NOT(ISNUMBER(H934)),"Unidade a conferir",IF(AC934=1,"REVISAR VÍNCULO: soma vinculada maior que a referência do item","OK"))))))</f>
        <v/>
      </c>
      <c r="M934" s="94" t="str">
        <f>IF(N934=0,"",IF(B934="","CDF não informado",IF(Q934=0,"REVISAR VÍNCULO: CDF inexistente",IF(C934="","Item não informado",IF(T934=0,"REVISAR VÍNCULO: item inexistente",IF(AND(X934=1,J934&lt;&gt;"Sim"),"REVISAR VÍNCULO: destinador diferente do MTR",IF(X934=1,"Destinador diferente do MTR (analisado)","OK")))))))</f>
        <v/>
      </c>
      <c r="N934" s="96">
        <f>IF(COUNTA(B934:C934,F934:G934,J934:K934)&gt;0,1,0)</f>
        <v>0</v>
      </c>
      <c r="O934" s="96" t="str">
        <f>IF(B934="","",TRIM(LEFT(B934,FIND(" |",B934&amp;" |")-1)))</f>
        <v/>
      </c>
      <c r="P934" s="96" t="str">
        <f>IF(O934="","",IFERROR(MATCH(O934,'CDFs'!$A$6:$A$505,0),""))</f>
        <v/>
      </c>
      <c r="Q934" s="96">
        <f>IF(P934="",0,IF(INDEX('CDFs'!$S$6:$S$505,P934)=1,1,0))</f>
        <v>0</v>
      </c>
      <c r="R934" s="96" t="str">
        <f>IF(C934="","",TRIM(LEFT(C934,FIND(" |",C934&amp;" |")-1)))</f>
        <v/>
      </c>
      <c r="S934" s="96" t="str">
        <f>IF(R934="","",IFERROR(MATCH(R934,'ITENS_MTR'!$A$6:$A$1005,0),""))</f>
        <v/>
      </c>
      <c r="T934" s="96">
        <f>IF(S934="",0,IF(INDEX('ITENS_MTR'!$R$6:$R$1005,S934)=1,1,0))</f>
        <v>0</v>
      </c>
      <c r="U934" s="96" t="str">
        <f>IF(G934="","",IFERROR(IF(ISNUMBER(INDEX(cfg_fac,MATCH(G934,cfg_units,0))),IF(INDEX(cfg_fac,MATCH(G934,cfg_units,0))&gt;0,INDEX(cfg_fac,MATCH(G934,cfg_units,0)),""),""),""))</f>
        <v/>
      </c>
      <c r="V934" s="96">
        <f>IF(AND(ISNUMBER(F934),ISNUMBER(H934)),IF(H934&gt;0,1,0),0)</f>
        <v>0</v>
      </c>
      <c r="W934" s="96" t="str">
        <f>IF(T934=1,INDEX('ITENS_MTR'!$AU$6:$AU$1005,S934)&amp;"","")</f>
        <v/>
      </c>
      <c r="X934" s="96">
        <f>IF(AND(Q934=1,T934=1,I934&lt;&gt;"",W934&lt;&gt;""),IF(I934&lt;&gt;W934,1,0),0)</f>
        <v>0</v>
      </c>
      <c r="Y934" s="96">
        <f>IF(N934=0,0,IF(OR(Q934=0,T934=0,V934=0,AND(X934=1,J934&lt;&gt;"Sim")),1,0))</f>
        <v>0</v>
      </c>
      <c r="Z934" s="96">
        <f>IF(Q934=1,INDEX('CDFs'!$W$6:$W$505,P934),0)</f>
        <v>0</v>
      </c>
      <c r="AA934" s="96">
        <f>IF(AND(N934=1,Y934=0,Z934=1,J934="Sim"),1,0)</f>
        <v>0</v>
      </c>
      <c r="AB934" s="96">
        <f>IF(AND(N934=1,O934&lt;&gt;"",D934&lt;&gt;""),IF(COUNTIFS($O$6:O934,O934,$D$6:D934,D934)=1,1,0),0)</f>
        <v>0</v>
      </c>
      <c r="AC934" s="96">
        <f>IF(T934=1,INDEX('ITENS_MTR'!$AL$6:$AL$1005,S934),0)</f>
        <v>0</v>
      </c>
    </row>
    <row r="935">
      <c r="A935" s="89" t="inlineStr">
        <is>
          <t>VIN-000930</t>
        </is>
      </c>
      <c r="B935" s="91" t="n"/>
      <c r="C935" s="91" t="n"/>
      <c r="D935" s="94" t="str">
        <f>IF(T935=1,INDEX('ITENS_MTR'!$S$6:$S$1005,S935)&amp;"","")</f>
        <v/>
      </c>
      <c r="E935" s="94" t="str">
        <f>IF(T935=1,INDEX('ITENS_MTR'!$C$6:$C$1005,S935)&amp;"","")</f>
        <v/>
      </c>
      <c r="F935" s="98" t="n"/>
      <c r="G935" s="91" t="n"/>
      <c r="H935" s="93" t="str">
        <f>IF(N935=0,"",IF(NOT(ISNUMBER(F935)),"",IF(ISNUMBER(U935),F935*U935,"UNIDADE A CONFERIR")))</f>
        <v/>
      </c>
      <c r="I935" s="94" t="str">
        <f>IF(Q935=1,INDEX('CDFs'!$F$6:$F$505,P935)&amp;"","")</f>
        <v/>
      </c>
      <c r="J935" s="91" t="n"/>
      <c r="K935" s="91" t="n"/>
      <c r="L935" s="94" t="str">
        <f>IF(N935=0,"",IF(NOT(ISNUMBER(F935)),"Quantidade não informada",IF(F935&lt;=0,"Quantidade não positiva",IF(G935="","Unidade não informada",IF(NOT(ISNUMBER(H935)),"Unidade a conferir",IF(AC935=1,"REVISAR VÍNCULO: soma vinculada maior que a referência do item","OK"))))))</f>
        <v/>
      </c>
      <c r="M935" s="94" t="str">
        <f>IF(N935=0,"",IF(B935="","CDF não informado",IF(Q935=0,"REVISAR VÍNCULO: CDF inexistente",IF(C935="","Item não informado",IF(T935=0,"REVISAR VÍNCULO: item inexistente",IF(AND(X935=1,J935&lt;&gt;"Sim"),"REVISAR VÍNCULO: destinador diferente do MTR",IF(X935=1,"Destinador diferente do MTR (analisado)","OK")))))))</f>
        <v/>
      </c>
      <c r="N935" s="96">
        <f>IF(COUNTA(B935:C935,F935:G935,J935:K935)&gt;0,1,0)</f>
        <v>0</v>
      </c>
      <c r="O935" s="96" t="str">
        <f>IF(B935="","",TRIM(LEFT(B935,FIND(" |",B935&amp;" |")-1)))</f>
        <v/>
      </c>
      <c r="P935" s="96" t="str">
        <f>IF(O935="","",IFERROR(MATCH(O935,'CDFs'!$A$6:$A$505,0),""))</f>
        <v/>
      </c>
      <c r="Q935" s="96">
        <f>IF(P935="",0,IF(INDEX('CDFs'!$S$6:$S$505,P935)=1,1,0))</f>
        <v>0</v>
      </c>
      <c r="R935" s="96" t="str">
        <f>IF(C935="","",TRIM(LEFT(C935,FIND(" |",C935&amp;" |")-1)))</f>
        <v/>
      </c>
      <c r="S935" s="96" t="str">
        <f>IF(R935="","",IFERROR(MATCH(R935,'ITENS_MTR'!$A$6:$A$1005,0),""))</f>
        <v/>
      </c>
      <c r="T935" s="96">
        <f>IF(S935="",0,IF(INDEX('ITENS_MTR'!$R$6:$R$1005,S935)=1,1,0))</f>
        <v>0</v>
      </c>
      <c r="U935" s="96" t="str">
        <f>IF(G935="","",IFERROR(IF(ISNUMBER(INDEX(cfg_fac,MATCH(G935,cfg_units,0))),IF(INDEX(cfg_fac,MATCH(G935,cfg_units,0))&gt;0,INDEX(cfg_fac,MATCH(G935,cfg_units,0)),""),""),""))</f>
        <v/>
      </c>
      <c r="V935" s="96">
        <f>IF(AND(ISNUMBER(F935),ISNUMBER(H935)),IF(H935&gt;0,1,0),0)</f>
        <v>0</v>
      </c>
      <c r="W935" s="96" t="str">
        <f>IF(T935=1,INDEX('ITENS_MTR'!$AU$6:$AU$1005,S935)&amp;"","")</f>
        <v/>
      </c>
      <c r="X935" s="96">
        <f>IF(AND(Q935=1,T935=1,I935&lt;&gt;"",W935&lt;&gt;""),IF(I935&lt;&gt;W935,1,0),0)</f>
        <v>0</v>
      </c>
      <c r="Y935" s="96">
        <f>IF(N935=0,0,IF(OR(Q935=0,T935=0,V935=0,AND(X935=1,J935&lt;&gt;"Sim")),1,0))</f>
        <v>0</v>
      </c>
      <c r="Z935" s="96">
        <f>IF(Q935=1,INDEX('CDFs'!$W$6:$W$505,P935),0)</f>
        <v>0</v>
      </c>
      <c r="AA935" s="96">
        <f>IF(AND(N935=1,Y935=0,Z935=1,J935="Sim"),1,0)</f>
        <v>0</v>
      </c>
      <c r="AB935" s="96">
        <f>IF(AND(N935=1,O935&lt;&gt;"",D935&lt;&gt;""),IF(COUNTIFS($O$6:O935,O935,$D$6:D935,D935)=1,1,0),0)</f>
        <v>0</v>
      </c>
      <c r="AC935" s="96">
        <f>IF(T935=1,INDEX('ITENS_MTR'!$AL$6:$AL$1005,S935),0)</f>
        <v>0</v>
      </c>
    </row>
    <row r="936">
      <c r="A936" s="89" t="inlineStr">
        <is>
          <t>VIN-000931</t>
        </is>
      </c>
      <c r="B936" s="91" t="n"/>
      <c r="C936" s="91" t="n"/>
      <c r="D936" s="94" t="str">
        <f>IF(T936=1,INDEX('ITENS_MTR'!$S$6:$S$1005,S936)&amp;"","")</f>
        <v/>
      </c>
      <c r="E936" s="94" t="str">
        <f>IF(T936=1,INDEX('ITENS_MTR'!$C$6:$C$1005,S936)&amp;"","")</f>
        <v/>
      </c>
      <c r="F936" s="98" t="n"/>
      <c r="G936" s="91" t="n"/>
      <c r="H936" s="93" t="str">
        <f>IF(N936=0,"",IF(NOT(ISNUMBER(F936)),"",IF(ISNUMBER(U936),F936*U936,"UNIDADE A CONFERIR")))</f>
        <v/>
      </c>
      <c r="I936" s="94" t="str">
        <f>IF(Q936=1,INDEX('CDFs'!$F$6:$F$505,P936)&amp;"","")</f>
        <v/>
      </c>
      <c r="J936" s="91" t="n"/>
      <c r="K936" s="91" t="n"/>
      <c r="L936" s="94" t="str">
        <f>IF(N936=0,"",IF(NOT(ISNUMBER(F936)),"Quantidade não informada",IF(F936&lt;=0,"Quantidade não positiva",IF(G936="","Unidade não informada",IF(NOT(ISNUMBER(H936)),"Unidade a conferir",IF(AC936=1,"REVISAR VÍNCULO: soma vinculada maior que a referência do item","OK"))))))</f>
        <v/>
      </c>
      <c r="M936" s="94" t="str">
        <f>IF(N936=0,"",IF(B936="","CDF não informado",IF(Q936=0,"REVISAR VÍNCULO: CDF inexistente",IF(C936="","Item não informado",IF(T936=0,"REVISAR VÍNCULO: item inexistente",IF(AND(X936=1,J936&lt;&gt;"Sim"),"REVISAR VÍNCULO: destinador diferente do MTR",IF(X936=1,"Destinador diferente do MTR (analisado)","OK")))))))</f>
        <v/>
      </c>
      <c r="N936" s="96">
        <f>IF(COUNTA(B936:C936,F936:G936,J936:K936)&gt;0,1,0)</f>
        <v>0</v>
      </c>
      <c r="O936" s="96" t="str">
        <f>IF(B936="","",TRIM(LEFT(B936,FIND(" |",B936&amp;" |")-1)))</f>
        <v/>
      </c>
      <c r="P936" s="96" t="str">
        <f>IF(O936="","",IFERROR(MATCH(O936,'CDFs'!$A$6:$A$505,0),""))</f>
        <v/>
      </c>
      <c r="Q936" s="96">
        <f>IF(P936="",0,IF(INDEX('CDFs'!$S$6:$S$505,P936)=1,1,0))</f>
        <v>0</v>
      </c>
      <c r="R936" s="96" t="str">
        <f>IF(C936="","",TRIM(LEFT(C936,FIND(" |",C936&amp;" |")-1)))</f>
        <v/>
      </c>
      <c r="S936" s="96" t="str">
        <f>IF(R936="","",IFERROR(MATCH(R936,'ITENS_MTR'!$A$6:$A$1005,0),""))</f>
        <v/>
      </c>
      <c r="T936" s="96">
        <f>IF(S936="",0,IF(INDEX('ITENS_MTR'!$R$6:$R$1005,S936)=1,1,0))</f>
        <v>0</v>
      </c>
      <c r="U936" s="96" t="str">
        <f>IF(G936="","",IFERROR(IF(ISNUMBER(INDEX(cfg_fac,MATCH(G936,cfg_units,0))),IF(INDEX(cfg_fac,MATCH(G936,cfg_units,0))&gt;0,INDEX(cfg_fac,MATCH(G936,cfg_units,0)),""),""),""))</f>
        <v/>
      </c>
      <c r="V936" s="96">
        <f>IF(AND(ISNUMBER(F936),ISNUMBER(H936)),IF(H936&gt;0,1,0),0)</f>
        <v>0</v>
      </c>
      <c r="W936" s="96" t="str">
        <f>IF(T936=1,INDEX('ITENS_MTR'!$AU$6:$AU$1005,S936)&amp;"","")</f>
        <v/>
      </c>
      <c r="X936" s="96">
        <f>IF(AND(Q936=1,T936=1,I936&lt;&gt;"",W936&lt;&gt;""),IF(I936&lt;&gt;W936,1,0),0)</f>
        <v>0</v>
      </c>
      <c r="Y936" s="96">
        <f>IF(N936=0,0,IF(OR(Q936=0,T936=0,V936=0,AND(X936=1,J936&lt;&gt;"Sim")),1,0))</f>
        <v>0</v>
      </c>
      <c r="Z936" s="96">
        <f>IF(Q936=1,INDEX('CDFs'!$W$6:$W$505,P936),0)</f>
        <v>0</v>
      </c>
      <c r="AA936" s="96">
        <f>IF(AND(N936=1,Y936=0,Z936=1,J936="Sim"),1,0)</f>
        <v>0</v>
      </c>
      <c r="AB936" s="96">
        <f>IF(AND(N936=1,O936&lt;&gt;"",D936&lt;&gt;""),IF(COUNTIFS($O$6:O936,O936,$D$6:D936,D936)=1,1,0),0)</f>
        <v>0</v>
      </c>
      <c r="AC936" s="96">
        <f>IF(T936=1,INDEX('ITENS_MTR'!$AL$6:$AL$1005,S936),0)</f>
        <v>0</v>
      </c>
    </row>
    <row r="937">
      <c r="A937" s="89" t="inlineStr">
        <is>
          <t>VIN-000932</t>
        </is>
      </c>
      <c r="B937" s="91" t="n"/>
      <c r="C937" s="91" t="n"/>
      <c r="D937" s="94" t="str">
        <f>IF(T937=1,INDEX('ITENS_MTR'!$S$6:$S$1005,S937)&amp;"","")</f>
        <v/>
      </c>
      <c r="E937" s="94" t="str">
        <f>IF(T937=1,INDEX('ITENS_MTR'!$C$6:$C$1005,S937)&amp;"","")</f>
        <v/>
      </c>
      <c r="F937" s="98" t="n"/>
      <c r="G937" s="91" t="n"/>
      <c r="H937" s="93" t="str">
        <f>IF(N937=0,"",IF(NOT(ISNUMBER(F937)),"",IF(ISNUMBER(U937),F937*U937,"UNIDADE A CONFERIR")))</f>
        <v/>
      </c>
      <c r="I937" s="94" t="str">
        <f>IF(Q937=1,INDEX('CDFs'!$F$6:$F$505,P937)&amp;"","")</f>
        <v/>
      </c>
      <c r="J937" s="91" t="n"/>
      <c r="K937" s="91" t="n"/>
      <c r="L937" s="94" t="str">
        <f>IF(N937=0,"",IF(NOT(ISNUMBER(F937)),"Quantidade não informada",IF(F937&lt;=0,"Quantidade não positiva",IF(G937="","Unidade não informada",IF(NOT(ISNUMBER(H937)),"Unidade a conferir",IF(AC937=1,"REVISAR VÍNCULO: soma vinculada maior que a referência do item","OK"))))))</f>
        <v/>
      </c>
      <c r="M937" s="94" t="str">
        <f>IF(N937=0,"",IF(B937="","CDF não informado",IF(Q937=0,"REVISAR VÍNCULO: CDF inexistente",IF(C937="","Item não informado",IF(T937=0,"REVISAR VÍNCULO: item inexistente",IF(AND(X937=1,J937&lt;&gt;"Sim"),"REVISAR VÍNCULO: destinador diferente do MTR",IF(X937=1,"Destinador diferente do MTR (analisado)","OK")))))))</f>
        <v/>
      </c>
      <c r="N937" s="96">
        <f>IF(COUNTA(B937:C937,F937:G937,J937:K937)&gt;0,1,0)</f>
        <v>0</v>
      </c>
      <c r="O937" s="96" t="str">
        <f>IF(B937="","",TRIM(LEFT(B937,FIND(" |",B937&amp;" |")-1)))</f>
        <v/>
      </c>
      <c r="P937" s="96" t="str">
        <f>IF(O937="","",IFERROR(MATCH(O937,'CDFs'!$A$6:$A$505,0),""))</f>
        <v/>
      </c>
      <c r="Q937" s="96">
        <f>IF(P937="",0,IF(INDEX('CDFs'!$S$6:$S$505,P937)=1,1,0))</f>
        <v>0</v>
      </c>
      <c r="R937" s="96" t="str">
        <f>IF(C937="","",TRIM(LEFT(C937,FIND(" |",C937&amp;" |")-1)))</f>
        <v/>
      </c>
      <c r="S937" s="96" t="str">
        <f>IF(R937="","",IFERROR(MATCH(R937,'ITENS_MTR'!$A$6:$A$1005,0),""))</f>
        <v/>
      </c>
      <c r="T937" s="96">
        <f>IF(S937="",0,IF(INDEX('ITENS_MTR'!$R$6:$R$1005,S937)=1,1,0))</f>
        <v>0</v>
      </c>
      <c r="U937" s="96" t="str">
        <f>IF(G937="","",IFERROR(IF(ISNUMBER(INDEX(cfg_fac,MATCH(G937,cfg_units,0))),IF(INDEX(cfg_fac,MATCH(G937,cfg_units,0))&gt;0,INDEX(cfg_fac,MATCH(G937,cfg_units,0)),""),""),""))</f>
        <v/>
      </c>
      <c r="V937" s="96">
        <f>IF(AND(ISNUMBER(F937),ISNUMBER(H937)),IF(H937&gt;0,1,0),0)</f>
        <v>0</v>
      </c>
      <c r="W937" s="96" t="str">
        <f>IF(T937=1,INDEX('ITENS_MTR'!$AU$6:$AU$1005,S937)&amp;"","")</f>
        <v/>
      </c>
      <c r="X937" s="96">
        <f>IF(AND(Q937=1,T937=1,I937&lt;&gt;"",W937&lt;&gt;""),IF(I937&lt;&gt;W937,1,0),0)</f>
        <v>0</v>
      </c>
      <c r="Y937" s="96">
        <f>IF(N937=0,0,IF(OR(Q937=0,T937=0,V937=0,AND(X937=1,J937&lt;&gt;"Sim")),1,0))</f>
        <v>0</v>
      </c>
      <c r="Z937" s="96">
        <f>IF(Q937=1,INDEX('CDFs'!$W$6:$W$505,P937),0)</f>
        <v>0</v>
      </c>
      <c r="AA937" s="96">
        <f>IF(AND(N937=1,Y937=0,Z937=1,J937="Sim"),1,0)</f>
        <v>0</v>
      </c>
      <c r="AB937" s="96">
        <f>IF(AND(N937=1,O937&lt;&gt;"",D937&lt;&gt;""),IF(COUNTIFS($O$6:O937,O937,$D$6:D937,D937)=1,1,0),0)</f>
        <v>0</v>
      </c>
      <c r="AC937" s="96">
        <f>IF(T937=1,INDEX('ITENS_MTR'!$AL$6:$AL$1005,S937),0)</f>
        <v>0</v>
      </c>
    </row>
    <row r="938">
      <c r="A938" s="89" t="inlineStr">
        <is>
          <t>VIN-000933</t>
        </is>
      </c>
      <c r="B938" s="91" t="n"/>
      <c r="C938" s="91" t="n"/>
      <c r="D938" s="94" t="str">
        <f>IF(T938=1,INDEX('ITENS_MTR'!$S$6:$S$1005,S938)&amp;"","")</f>
        <v/>
      </c>
      <c r="E938" s="94" t="str">
        <f>IF(T938=1,INDEX('ITENS_MTR'!$C$6:$C$1005,S938)&amp;"","")</f>
        <v/>
      </c>
      <c r="F938" s="98" t="n"/>
      <c r="G938" s="91" t="n"/>
      <c r="H938" s="93" t="str">
        <f>IF(N938=0,"",IF(NOT(ISNUMBER(F938)),"",IF(ISNUMBER(U938),F938*U938,"UNIDADE A CONFERIR")))</f>
        <v/>
      </c>
      <c r="I938" s="94" t="str">
        <f>IF(Q938=1,INDEX('CDFs'!$F$6:$F$505,P938)&amp;"","")</f>
        <v/>
      </c>
      <c r="J938" s="91" t="n"/>
      <c r="K938" s="91" t="n"/>
      <c r="L938" s="94" t="str">
        <f>IF(N938=0,"",IF(NOT(ISNUMBER(F938)),"Quantidade não informada",IF(F938&lt;=0,"Quantidade não positiva",IF(G938="","Unidade não informada",IF(NOT(ISNUMBER(H938)),"Unidade a conferir",IF(AC938=1,"REVISAR VÍNCULO: soma vinculada maior que a referência do item","OK"))))))</f>
        <v/>
      </c>
      <c r="M938" s="94" t="str">
        <f>IF(N938=0,"",IF(B938="","CDF não informado",IF(Q938=0,"REVISAR VÍNCULO: CDF inexistente",IF(C938="","Item não informado",IF(T938=0,"REVISAR VÍNCULO: item inexistente",IF(AND(X938=1,J938&lt;&gt;"Sim"),"REVISAR VÍNCULO: destinador diferente do MTR",IF(X938=1,"Destinador diferente do MTR (analisado)","OK")))))))</f>
        <v/>
      </c>
      <c r="N938" s="96">
        <f>IF(COUNTA(B938:C938,F938:G938,J938:K938)&gt;0,1,0)</f>
        <v>0</v>
      </c>
      <c r="O938" s="96" t="str">
        <f>IF(B938="","",TRIM(LEFT(B938,FIND(" |",B938&amp;" |")-1)))</f>
        <v/>
      </c>
      <c r="P938" s="96" t="str">
        <f>IF(O938="","",IFERROR(MATCH(O938,'CDFs'!$A$6:$A$505,0),""))</f>
        <v/>
      </c>
      <c r="Q938" s="96">
        <f>IF(P938="",0,IF(INDEX('CDFs'!$S$6:$S$505,P938)=1,1,0))</f>
        <v>0</v>
      </c>
      <c r="R938" s="96" t="str">
        <f>IF(C938="","",TRIM(LEFT(C938,FIND(" |",C938&amp;" |")-1)))</f>
        <v/>
      </c>
      <c r="S938" s="96" t="str">
        <f>IF(R938="","",IFERROR(MATCH(R938,'ITENS_MTR'!$A$6:$A$1005,0),""))</f>
        <v/>
      </c>
      <c r="T938" s="96">
        <f>IF(S938="",0,IF(INDEX('ITENS_MTR'!$R$6:$R$1005,S938)=1,1,0))</f>
        <v>0</v>
      </c>
      <c r="U938" s="96" t="str">
        <f>IF(G938="","",IFERROR(IF(ISNUMBER(INDEX(cfg_fac,MATCH(G938,cfg_units,0))),IF(INDEX(cfg_fac,MATCH(G938,cfg_units,0))&gt;0,INDEX(cfg_fac,MATCH(G938,cfg_units,0)),""),""),""))</f>
        <v/>
      </c>
      <c r="V938" s="96">
        <f>IF(AND(ISNUMBER(F938),ISNUMBER(H938)),IF(H938&gt;0,1,0),0)</f>
        <v>0</v>
      </c>
      <c r="W938" s="96" t="str">
        <f>IF(T938=1,INDEX('ITENS_MTR'!$AU$6:$AU$1005,S938)&amp;"","")</f>
        <v/>
      </c>
      <c r="X938" s="96">
        <f>IF(AND(Q938=1,T938=1,I938&lt;&gt;"",W938&lt;&gt;""),IF(I938&lt;&gt;W938,1,0),0)</f>
        <v>0</v>
      </c>
      <c r="Y938" s="96">
        <f>IF(N938=0,0,IF(OR(Q938=0,T938=0,V938=0,AND(X938=1,J938&lt;&gt;"Sim")),1,0))</f>
        <v>0</v>
      </c>
      <c r="Z938" s="96">
        <f>IF(Q938=1,INDEX('CDFs'!$W$6:$W$505,P938),0)</f>
        <v>0</v>
      </c>
      <c r="AA938" s="96">
        <f>IF(AND(N938=1,Y938=0,Z938=1,J938="Sim"),1,0)</f>
        <v>0</v>
      </c>
      <c r="AB938" s="96">
        <f>IF(AND(N938=1,O938&lt;&gt;"",D938&lt;&gt;""),IF(COUNTIFS($O$6:O938,O938,$D$6:D938,D938)=1,1,0),0)</f>
        <v>0</v>
      </c>
      <c r="AC938" s="96">
        <f>IF(T938=1,INDEX('ITENS_MTR'!$AL$6:$AL$1005,S938),0)</f>
        <v>0</v>
      </c>
    </row>
    <row r="939">
      <c r="A939" s="89" t="inlineStr">
        <is>
          <t>VIN-000934</t>
        </is>
      </c>
      <c r="B939" s="91" t="n"/>
      <c r="C939" s="91" t="n"/>
      <c r="D939" s="94" t="str">
        <f>IF(T939=1,INDEX('ITENS_MTR'!$S$6:$S$1005,S939)&amp;"","")</f>
        <v/>
      </c>
      <c r="E939" s="94" t="str">
        <f>IF(T939=1,INDEX('ITENS_MTR'!$C$6:$C$1005,S939)&amp;"","")</f>
        <v/>
      </c>
      <c r="F939" s="98" t="n"/>
      <c r="G939" s="91" t="n"/>
      <c r="H939" s="93" t="str">
        <f>IF(N939=0,"",IF(NOT(ISNUMBER(F939)),"",IF(ISNUMBER(U939),F939*U939,"UNIDADE A CONFERIR")))</f>
        <v/>
      </c>
      <c r="I939" s="94" t="str">
        <f>IF(Q939=1,INDEX('CDFs'!$F$6:$F$505,P939)&amp;"","")</f>
        <v/>
      </c>
      <c r="J939" s="91" t="n"/>
      <c r="K939" s="91" t="n"/>
      <c r="L939" s="94" t="str">
        <f>IF(N939=0,"",IF(NOT(ISNUMBER(F939)),"Quantidade não informada",IF(F939&lt;=0,"Quantidade não positiva",IF(G939="","Unidade não informada",IF(NOT(ISNUMBER(H939)),"Unidade a conferir",IF(AC939=1,"REVISAR VÍNCULO: soma vinculada maior que a referência do item","OK"))))))</f>
        <v/>
      </c>
      <c r="M939" s="94" t="str">
        <f>IF(N939=0,"",IF(B939="","CDF não informado",IF(Q939=0,"REVISAR VÍNCULO: CDF inexistente",IF(C939="","Item não informado",IF(T939=0,"REVISAR VÍNCULO: item inexistente",IF(AND(X939=1,J939&lt;&gt;"Sim"),"REVISAR VÍNCULO: destinador diferente do MTR",IF(X939=1,"Destinador diferente do MTR (analisado)","OK")))))))</f>
        <v/>
      </c>
      <c r="N939" s="96">
        <f>IF(COUNTA(B939:C939,F939:G939,J939:K939)&gt;0,1,0)</f>
        <v>0</v>
      </c>
      <c r="O939" s="96" t="str">
        <f>IF(B939="","",TRIM(LEFT(B939,FIND(" |",B939&amp;" |")-1)))</f>
        <v/>
      </c>
      <c r="P939" s="96" t="str">
        <f>IF(O939="","",IFERROR(MATCH(O939,'CDFs'!$A$6:$A$505,0),""))</f>
        <v/>
      </c>
      <c r="Q939" s="96">
        <f>IF(P939="",0,IF(INDEX('CDFs'!$S$6:$S$505,P939)=1,1,0))</f>
        <v>0</v>
      </c>
      <c r="R939" s="96" t="str">
        <f>IF(C939="","",TRIM(LEFT(C939,FIND(" |",C939&amp;" |")-1)))</f>
        <v/>
      </c>
      <c r="S939" s="96" t="str">
        <f>IF(R939="","",IFERROR(MATCH(R939,'ITENS_MTR'!$A$6:$A$1005,0),""))</f>
        <v/>
      </c>
      <c r="T939" s="96">
        <f>IF(S939="",0,IF(INDEX('ITENS_MTR'!$R$6:$R$1005,S939)=1,1,0))</f>
        <v>0</v>
      </c>
      <c r="U939" s="96" t="str">
        <f>IF(G939="","",IFERROR(IF(ISNUMBER(INDEX(cfg_fac,MATCH(G939,cfg_units,0))),IF(INDEX(cfg_fac,MATCH(G939,cfg_units,0))&gt;0,INDEX(cfg_fac,MATCH(G939,cfg_units,0)),""),""),""))</f>
        <v/>
      </c>
      <c r="V939" s="96">
        <f>IF(AND(ISNUMBER(F939),ISNUMBER(H939)),IF(H939&gt;0,1,0),0)</f>
        <v>0</v>
      </c>
      <c r="W939" s="96" t="str">
        <f>IF(T939=1,INDEX('ITENS_MTR'!$AU$6:$AU$1005,S939)&amp;"","")</f>
        <v/>
      </c>
      <c r="X939" s="96">
        <f>IF(AND(Q939=1,T939=1,I939&lt;&gt;"",W939&lt;&gt;""),IF(I939&lt;&gt;W939,1,0),0)</f>
        <v>0</v>
      </c>
      <c r="Y939" s="96">
        <f>IF(N939=0,0,IF(OR(Q939=0,T939=0,V939=0,AND(X939=1,J939&lt;&gt;"Sim")),1,0))</f>
        <v>0</v>
      </c>
      <c r="Z939" s="96">
        <f>IF(Q939=1,INDEX('CDFs'!$W$6:$W$505,P939),0)</f>
        <v>0</v>
      </c>
      <c r="AA939" s="96">
        <f>IF(AND(N939=1,Y939=0,Z939=1,J939="Sim"),1,0)</f>
        <v>0</v>
      </c>
      <c r="AB939" s="96">
        <f>IF(AND(N939=1,O939&lt;&gt;"",D939&lt;&gt;""),IF(COUNTIFS($O$6:O939,O939,$D$6:D939,D939)=1,1,0),0)</f>
        <v>0</v>
      </c>
      <c r="AC939" s="96">
        <f>IF(T939=1,INDEX('ITENS_MTR'!$AL$6:$AL$1005,S939),0)</f>
        <v>0</v>
      </c>
    </row>
    <row r="940">
      <c r="A940" s="89" t="inlineStr">
        <is>
          <t>VIN-000935</t>
        </is>
      </c>
      <c r="B940" s="91" t="n"/>
      <c r="C940" s="91" t="n"/>
      <c r="D940" s="94" t="str">
        <f>IF(T940=1,INDEX('ITENS_MTR'!$S$6:$S$1005,S940)&amp;"","")</f>
        <v/>
      </c>
      <c r="E940" s="94" t="str">
        <f>IF(T940=1,INDEX('ITENS_MTR'!$C$6:$C$1005,S940)&amp;"","")</f>
        <v/>
      </c>
      <c r="F940" s="98" t="n"/>
      <c r="G940" s="91" t="n"/>
      <c r="H940" s="93" t="str">
        <f>IF(N940=0,"",IF(NOT(ISNUMBER(F940)),"",IF(ISNUMBER(U940),F940*U940,"UNIDADE A CONFERIR")))</f>
        <v/>
      </c>
      <c r="I940" s="94" t="str">
        <f>IF(Q940=1,INDEX('CDFs'!$F$6:$F$505,P940)&amp;"","")</f>
        <v/>
      </c>
      <c r="J940" s="91" t="n"/>
      <c r="K940" s="91" t="n"/>
      <c r="L940" s="94" t="str">
        <f>IF(N940=0,"",IF(NOT(ISNUMBER(F940)),"Quantidade não informada",IF(F940&lt;=0,"Quantidade não positiva",IF(G940="","Unidade não informada",IF(NOT(ISNUMBER(H940)),"Unidade a conferir",IF(AC940=1,"REVISAR VÍNCULO: soma vinculada maior que a referência do item","OK"))))))</f>
        <v/>
      </c>
      <c r="M940" s="94" t="str">
        <f>IF(N940=0,"",IF(B940="","CDF não informado",IF(Q940=0,"REVISAR VÍNCULO: CDF inexistente",IF(C940="","Item não informado",IF(T940=0,"REVISAR VÍNCULO: item inexistente",IF(AND(X940=1,J940&lt;&gt;"Sim"),"REVISAR VÍNCULO: destinador diferente do MTR",IF(X940=1,"Destinador diferente do MTR (analisado)","OK")))))))</f>
        <v/>
      </c>
      <c r="N940" s="96">
        <f>IF(COUNTA(B940:C940,F940:G940,J940:K940)&gt;0,1,0)</f>
        <v>0</v>
      </c>
      <c r="O940" s="96" t="str">
        <f>IF(B940="","",TRIM(LEFT(B940,FIND(" |",B940&amp;" |")-1)))</f>
        <v/>
      </c>
      <c r="P940" s="96" t="str">
        <f>IF(O940="","",IFERROR(MATCH(O940,'CDFs'!$A$6:$A$505,0),""))</f>
        <v/>
      </c>
      <c r="Q940" s="96">
        <f>IF(P940="",0,IF(INDEX('CDFs'!$S$6:$S$505,P940)=1,1,0))</f>
        <v>0</v>
      </c>
      <c r="R940" s="96" t="str">
        <f>IF(C940="","",TRIM(LEFT(C940,FIND(" |",C940&amp;" |")-1)))</f>
        <v/>
      </c>
      <c r="S940" s="96" t="str">
        <f>IF(R940="","",IFERROR(MATCH(R940,'ITENS_MTR'!$A$6:$A$1005,0),""))</f>
        <v/>
      </c>
      <c r="T940" s="96">
        <f>IF(S940="",0,IF(INDEX('ITENS_MTR'!$R$6:$R$1005,S940)=1,1,0))</f>
        <v>0</v>
      </c>
      <c r="U940" s="96" t="str">
        <f>IF(G940="","",IFERROR(IF(ISNUMBER(INDEX(cfg_fac,MATCH(G940,cfg_units,0))),IF(INDEX(cfg_fac,MATCH(G940,cfg_units,0))&gt;0,INDEX(cfg_fac,MATCH(G940,cfg_units,0)),""),""),""))</f>
        <v/>
      </c>
      <c r="V940" s="96">
        <f>IF(AND(ISNUMBER(F940),ISNUMBER(H940)),IF(H940&gt;0,1,0),0)</f>
        <v>0</v>
      </c>
      <c r="W940" s="96" t="str">
        <f>IF(T940=1,INDEX('ITENS_MTR'!$AU$6:$AU$1005,S940)&amp;"","")</f>
        <v/>
      </c>
      <c r="X940" s="96">
        <f>IF(AND(Q940=1,T940=1,I940&lt;&gt;"",W940&lt;&gt;""),IF(I940&lt;&gt;W940,1,0),0)</f>
        <v>0</v>
      </c>
      <c r="Y940" s="96">
        <f>IF(N940=0,0,IF(OR(Q940=0,T940=0,V940=0,AND(X940=1,J940&lt;&gt;"Sim")),1,0))</f>
        <v>0</v>
      </c>
      <c r="Z940" s="96">
        <f>IF(Q940=1,INDEX('CDFs'!$W$6:$W$505,P940),0)</f>
        <v>0</v>
      </c>
      <c r="AA940" s="96">
        <f>IF(AND(N940=1,Y940=0,Z940=1,J940="Sim"),1,0)</f>
        <v>0</v>
      </c>
      <c r="AB940" s="96">
        <f>IF(AND(N940=1,O940&lt;&gt;"",D940&lt;&gt;""),IF(COUNTIFS($O$6:O940,O940,$D$6:D940,D940)=1,1,0),0)</f>
        <v>0</v>
      </c>
      <c r="AC940" s="96">
        <f>IF(T940=1,INDEX('ITENS_MTR'!$AL$6:$AL$1005,S940),0)</f>
        <v>0</v>
      </c>
    </row>
    <row r="941">
      <c r="A941" s="89" t="inlineStr">
        <is>
          <t>VIN-000936</t>
        </is>
      </c>
      <c r="B941" s="91" t="n"/>
      <c r="C941" s="91" t="n"/>
      <c r="D941" s="94" t="str">
        <f>IF(T941=1,INDEX('ITENS_MTR'!$S$6:$S$1005,S941)&amp;"","")</f>
        <v/>
      </c>
      <c r="E941" s="94" t="str">
        <f>IF(T941=1,INDEX('ITENS_MTR'!$C$6:$C$1005,S941)&amp;"","")</f>
        <v/>
      </c>
      <c r="F941" s="98" t="n"/>
      <c r="G941" s="91" t="n"/>
      <c r="H941" s="93" t="str">
        <f>IF(N941=0,"",IF(NOT(ISNUMBER(F941)),"",IF(ISNUMBER(U941),F941*U941,"UNIDADE A CONFERIR")))</f>
        <v/>
      </c>
      <c r="I941" s="94" t="str">
        <f>IF(Q941=1,INDEX('CDFs'!$F$6:$F$505,P941)&amp;"","")</f>
        <v/>
      </c>
      <c r="J941" s="91" t="n"/>
      <c r="K941" s="91" t="n"/>
      <c r="L941" s="94" t="str">
        <f>IF(N941=0,"",IF(NOT(ISNUMBER(F941)),"Quantidade não informada",IF(F941&lt;=0,"Quantidade não positiva",IF(G941="","Unidade não informada",IF(NOT(ISNUMBER(H941)),"Unidade a conferir",IF(AC941=1,"REVISAR VÍNCULO: soma vinculada maior que a referência do item","OK"))))))</f>
        <v/>
      </c>
      <c r="M941" s="94" t="str">
        <f>IF(N941=0,"",IF(B941="","CDF não informado",IF(Q941=0,"REVISAR VÍNCULO: CDF inexistente",IF(C941="","Item não informado",IF(T941=0,"REVISAR VÍNCULO: item inexistente",IF(AND(X941=1,J941&lt;&gt;"Sim"),"REVISAR VÍNCULO: destinador diferente do MTR",IF(X941=1,"Destinador diferente do MTR (analisado)","OK")))))))</f>
        <v/>
      </c>
      <c r="N941" s="96">
        <f>IF(COUNTA(B941:C941,F941:G941,J941:K941)&gt;0,1,0)</f>
        <v>0</v>
      </c>
      <c r="O941" s="96" t="str">
        <f>IF(B941="","",TRIM(LEFT(B941,FIND(" |",B941&amp;" |")-1)))</f>
        <v/>
      </c>
      <c r="P941" s="96" t="str">
        <f>IF(O941="","",IFERROR(MATCH(O941,'CDFs'!$A$6:$A$505,0),""))</f>
        <v/>
      </c>
      <c r="Q941" s="96">
        <f>IF(P941="",0,IF(INDEX('CDFs'!$S$6:$S$505,P941)=1,1,0))</f>
        <v>0</v>
      </c>
      <c r="R941" s="96" t="str">
        <f>IF(C941="","",TRIM(LEFT(C941,FIND(" |",C941&amp;" |")-1)))</f>
        <v/>
      </c>
      <c r="S941" s="96" t="str">
        <f>IF(R941="","",IFERROR(MATCH(R941,'ITENS_MTR'!$A$6:$A$1005,0),""))</f>
        <v/>
      </c>
      <c r="T941" s="96">
        <f>IF(S941="",0,IF(INDEX('ITENS_MTR'!$R$6:$R$1005,S941)=1,1,0))</f>
        <v>0</v>
      </c>
      <c r="U941" s="96" t="str">
        <f>IF(G941="","",IFERROR(IF(ISNUMBER(INDEX(cfg_fac,MATCH(G941,cfg_units,0))),IF(INDEX(cfg_fac,MATCH(G941,cfg_units,0))&gt;0,INDEX(cfg_fac,MATCH(G941,cfg_units,0)),""),""),""))</f>
        <v/>
      </c>
      <c r="V941" s="96">
        <f>IF(AND(ISNUMBER(F941),ISNUMBER(H941)),IF(H941&gt;0,1,0),0)</f>
        <v>0</v>
      </c>
      <c r="W941" s="96" t="str">
        <f>IF(T941=1,INDEX('ITENS_MTR'!$AU$6:$AU$1005,S941)&amp;"","")</f>
        <v/>
      </c>
      <c r="X941" s="96">
        <f>IF(AND(Q941=1,T941=1,I941&lt;&gt;"",W941&lt;&gt;""),IF(I941&lt;&gt;W941,1,0),0)</f>
        <v>0</v>
      </c>
      <c r="Y941" s="96">
        <f>IF(N941=0,0,IF(OR(Q941=0,T941=0,V941=0,AND(X941=1,J941&lt;&gt;"Sim")),1,0))</f>
        <v>0</v>
      </c>
      <c r="Z941" s="96">
        <f>IF(Q941=1,INDEX('CDFs'!$W$6:$W$505,P941),0)</f>
        <v>0</v>
      </c>
      <c r="AA941" s="96">
        <f>IF(AND(N941=1,Y941=0,Z941=1,J941="Sim"),1,0)</f>
        <v>0</v>
      </c>
      <c r="AB941" s="96">
        <f>IF(AND(N941=1,O941&lt;&gt;"",D941&lt;&gt;""),IF(COUNTIFS($O$6:O941,O941,$D$6:D941,D941)=1,1,0),0)</f>
        <v>0</v>
      </c>
      <c r="AC941" s="96">
        <f>IF(T941=1,INDEX('ITENS_MTR'!$AL$6:$AL$1005,S941),0)</f>
        <v>0</v>
      </c>
    </row>
    <row r="942">
      <c r="A942" s="89" t="inlineStr">
        <is>
          <t>VIN-000937</t>
        </is>
      </c>
      <c r="B942" s="91" t="n"/>
      <c r="C942" s="91" t="n"/>
      <c r="D942" s="94" t="str">
        <f>IF(T942=1,INDEX('ITENS_MTR'!$S$6:$S$1005,S942)&amp;"","")</f>
        <v/>
      </c>
      <c r="E942" s="94" t="str">
        <f>IF(T942=1,INDEX('ITENS_MTR'!$C$6:$C$1005,S942)&amp;"","")</f>
        <v/>
      </c>
      <c r="F942" s="98" t="n"/>
      <c r="G942" s="91" t="n"/>
      <c r="H942" s="93" t="str">
        <f>IF(N942=0,"",IF(NOT(ISNUMBER(F942)),"",IF(ISNUMBER(U942),F942*U942,"UNIDADE A CONFERIR")))</f>
        <v/>
      </c>
      <c r="I942" s="94" t="str">
        <f>IF(Q942=1,INDEX('CDFs'!$F$6:$F$505,P942)&amp;"","")</f>
        <v/>
      </c>
      <c r="J942" s="91" t="n"/>
      <c r="K942" s="91" t="n"/>
      <c r="L942" s="94" t="str">
        <f>IF(N942=0,"",IF(NOT(ISNUMBER(F942)),"Quantidade não informada",IF(F942&lt;=0,"Quantidade não positiva",IF(G942="","Unidade não informada",IF(NOT(ISNUMBER(H942)),"Unidade a conferir",IF(AC942=1,"REVISAR VÍNCULO: soma vinculada maior que a referência do item","OK"))))))</f>
        <v/>
      </c>
      <c r="M942" s="94" t="str">
        <f>IF(N942=0,"",IF(B942="","CDF não informado",IF(Q942=0,"REVISAR VÍNCULO: CDF inexistente",IF(C942="","Item não informado",IF(T942=0,"REVISAR VÍNCULO: item inexistente",IF(AND(X942=1,J942&lt;&gt;"Sim"),"REVISAR VÍNCULO: destinador diferente do MTR",IF(X942=1,"Destinador diferente do MTR (analisado)","OK")))))))</f>
        <v/>
      </c>
      <c r="N942" s="96">
        <f>IF(COUNTA(B942:C942,F942:G942,J942:K942)&gt;0,1,0)</f>
        <v>0</v>
      </c>
      <c r="O942" s="96" t="str">
        <f>IF(B942="","",TRIM(LEFT(B942,FIND(" |",B942&amp;" |")-1)))</f>
        <v/>
      </c>
      <c r="P942" s="96" t="str">
        <f>IF(O942="","",IFERROR(MATCH(O942,'CDFs'!$A$6:$A$505,0),""))</f>
        <v/>
      </c>
      <c r="Q942" s="96">
        <f>IF(P942="",0,IF(INDEX('CDFs'!$S$6:$S$505,P942)=1,1,0))</f>
        <v>0</v>
      </c>
      <c r="R942" s="96" t="str">
        <f>IF(C942="","",TRIM(LEFT(C942,FIND(" |",C942&amp;" |")-1)))</f>
        <v/>
      </c>
      <c r="S942" s="96" t="str">
        <f>IF(R942="","",IFERROR(MATCH(R942,'ITENS_MTR'!$A$6:$A$1005,0),""))</f>
        <v/>
      </c>
      <c r="T942" s="96">
        <f>IF(S942="",0,IF(INDEX('ITENS_MTR'!$R$6:$R$1005,S942)=1,1,0))</f>
        <v>0</v>
      </c>
      <c r="U942" s="96" t="str">
        <f>IF(G942="","",IFERROR(IF(ISNUMBER(INDEX(cfg_fac,MATCH(G942,cfg_units,0))),IF(INDEX(cfg_fac,MATCH(G942,cfg_units,0))&gt;0,INDEX(cfg_fac,MATCH(G942,cfg_units,0)),""),""),""))</f>
        <v/>
      </c>
      <c r="V942" s="96">
        <f>IF(AND(ISNUMBER(F942),ISNUMBER(H942)),IF(H942&gt;0,1,0),0)</f>
        <v>0</v>
      </c>
      <c r="W942" s="96" t="str">
        <f>IF(T942=1,INDEX('ITENS_MTR'!$AU$6:$AU$1005,S942)&amp;"","")</f>
        <v/>
      </c>
      <c r="X942" s="96">
        <f>IF(AND(Q942=1,T942=1,I942&lt;&gt;"",W942&lt;&gt;""),IF(I942&lt;&gt;W942,1,0),0)</f>
        <v>0</v>
      </c>
      <c r="Y942" s="96">
        <f>IF(N942=0,0,IF(OR(Q942=0,T942=0,V942=0,AND(X942=1,J942&lt;&gt;"Sim")),1,0))</f>
        <v>0</v>
      </c>
      <c r="Z942" s="96">
        <f>IF(Q942=1,INDEX('CDFs'!$W$6:$W$505,P942),0)</f>
        <v>0</v>
      </c>
      <c r="AA942" s="96">
        <f>IF(AND(N942=1,Y942=0,Z942=1,J942="Sim"),1,0)</f>
        <v>0</v>
      </c>
      <c r="AB942" s="96">
        <f>IF(AND(N942=1,O942&lt;&gt;"",D942&lt;&gt;""),IF(COUNTIFS($O$6:O942,O942,$D$6:D942,D942)=1,1,0),0)</f>
        <v>0</v>
      </c>
      <c r="AC942" s="96">
        <f>IF(T942=1,INDEX('ITENS_MTR'!$AL$6:$AL$1005,S942),0)</f>
        <v>0</v>
      </c>
    </row>
    <row r="943">
      <c r="A943" s="89" t="inlineStr">
        <is>
          <t>VIN-000938</t>
        </is>
      </c>
      <c r="B943" s="91" t="n"/>
      <c r="C943" s="91" t="n"/>
      <c r="D943" s="94" t="str">
        <f>IF(T943=1,INDEX('ITENS_MTR'!$S$6:$S$1005,S943)&amp;"","")</f>
        <v/>
      </c>
      <c r="E943" s="94" t="str">
        <f>IF(T943=1,INDEX('ITENS_MTR'!$C$6:$C$1005,S943)&amp;"","")</f>
        <v/>
      </c>
      <c r="F943" s="98" t="n"/>
      <c r="G943" s="91" t="n"/>
      <c r="H943" s="93" t="str">
        <f>IF(N943=0,"",IF(NOT(ISNUMBER(F943)),"",IF(ISNUMBER(U943),F943*U943,"UNIDADE A CONFERIR")))</f>
        <v/>
      </c>
      <c r="I943" s="94" t="str">
        <f>IF(Q943=1,INDEX('CDFs'!$F$6:$F$505,P943)&amp;"","")</f>
        <v/>
      </c>
      <c r="J943" s="91" t="n"/>
      <c r="K943" s="91" t="n"/>
      <c r="L943" s="94" t="str">
        <f>IF(N943=0,"",IF(NOT(ISNUMBER(F943)),"Quantidade não informada",IF(F943&lt;=0,"Quantidade não positiva",IF(G943="","Unidade não informada",IF(NOT(ISNUMBER(H943)),"Unidade a conferir",IF(AC943=1,"REVISAR VÍNCULO: soma vinculada maior que a referência do item","OK"))))))</f>
        <v/>
      </c>
      <c r="M943" s="94" t="str">
        <f>IF(N943=0,"",IF(B943="","CDF não informado",IF(Q943=0,"REVISAR VÍNCULO: CDF inexistente",IF(C943="","Item não informado",IF(T943=0,"REVISAR VÍNCULO: item inexistente",IF(AND(X943=1,J943&lt;&gt;"Sim"),"REVISAR VÍNCULO: destinador diferente do MTR",IF(X943=1,"Destinador diferente do MTR (analisado)","OK")))))))</f>
        <v/>
      </c>
      <c r="N943" s="96">
        <f>IF(COUNTA(B943:C943,F943:G943,J943:K943)&gt;0,1,0)</f>
        <v>0</v>
      </c>
      <c r="O943" s="96" t="str">
        <f>IF(B943="","",TRIM(LEFT(B943,FIND(" |",B943&amp;" |")-1)))</f>
        <v/>
      </c>
      <c r="P943" s="96" t="str">
        <f>IF(O943="","",IFERROR(MATCH(O943,'CDFs'!$A$6:$A$505,0),""))</f>
        <v/>
      </c>
      <c r="Q943" s="96">
        <f>IF(P943="",0,IF(INDEX('CDFs'!$S$6:$S$505,P943)=1,1,0))</f>
        <v>0</v>
      </c>
      <c r="R943" s="96" t="str">
        <f>IF(C943="","",TRIM(LEFT(C943,FIND(" |",C943&amp;" |")-1)))</f>
        <v/>
      </c>
      <c r="S943" s="96" t="str">
        <f>IF(R943="","",IFERROR(MATCH(R943,'ITENS_MTR'!$A$6:$A$1005,0),""))</f>
        <v/>
      </c>
      <c r="T943" s="96">
        <f>IF(S943="",0,IF(INDEX('ITENS_MTR'!$R$6:$R$1005,S943)=1,1,0))</f>
        <v>0</v>
      </c>
      <c r="U943" s="96" t="str">
        <f>IF(G943="","",IFERROR(IF(ISNUMBER(INDEX(cfg_fac,MATCH(G943,cfg_units,0))),IF(INDEX(cfg_fac,MATCH(G943,cfg_units,0))&gt;0,INDEX(cfg_fac,MATCH(G943,cfg_units,0)),""),""),""))</f>
        <v/>
      </c>
      <c r="V943" s="96">
        <f>IF(AND(ISNUMBER(F943),ISNUMBER(H943)),IF(H943&gt;0,1,0),0)</f>
        <v>0</v>
      </c>
      <c r="W943" s="96" t="str">
        <f>IF(T943=1,INDEX('ITENS_MTR'!$AU$6:$AU$1005,S943)&amp;"","")</f>
        <v/>
      </c>
      <c r="X943" s="96">
        <f>IF(AND(Q943=1,T943=1,I943&lt;&gt;"",W943&lt;&gt;""),IF(I943&lt;&gt;W943,1,0),0)</f>
        <v>0</v>
      </c>
      <c r="Y943" s="96">
        <f>IF(N943=0,0,IF(OR(Q943=0,T943=0,V943=0,AND(X943=1,J943&lt;&gt;"Sim")),1,0))</f>
        <v>0</v>
      </c>
      <c r="Z943" s="96">
        <f>IF(Q943=1,INDEX('CDFs'!$W$6:$W$505,P943),0)</f>
        <v>0</v>
      </c>
      <c r="AA943" s="96">
        <f>IF(AND(N943=1,Y943=0,Z943=1,J943="Sim"),1,0)</f>
        <v>0</v>
      </c>
      <c r="AB943" s="96">
        <f>IF(AND(N943=1,O943&lt;&gt;"",D943&lt;&gt;""),IF(COUNTIFS($O$6:O943,O943,$D$6:D943,D943)=1,1,0),0)</f>
        <v>0</v>
      </c>
      <c r="AC943" s="96">
        <f>IF(T943=1,INDEX('ITENS_MTR'!$AL$6:$AL$1005,S943),0)</f>
        <v>0</v>
      </c>
    </row>
    <row r="944">
      <c r="A944" s="89" t="inlineStr">
        <is>
          <t>VIN-000939</t>
        </is>
      </c>
      <c r="B944" s="91" t="n"/>
      <c r="C944" s="91" t="n"/>
      <c r="D944" s="94" t="str">
        <f>IF(T944=1,INDEX('ITENS_MTR'!$S$6:$S$1005,S944)&amp;"","")</f>
        <v/>
      </c>
      <c r="E944" s="94" t="str">
        <f>IF(T944=1,INDEX('ITENS_MTR'!$C$6:$C$1005,S944)&amp;"","")</f>
        <v/>
      </c>
      <c r="F944" s="98" t="n"/>
      <c r="G944" s="91" t="n"/>
      <c r="H944" s="93" t="str">
        <f>IF(N944=0,"",IF(NOT(ISNUMBER(F944)),"",IF(ISNUMBER(U944),F944*U944,"UNIDADE A CONFERIR")))</f>
        <v/>
      </c>
      <c r="I944" s="94" t="str">
        <f>IF(Q944=1,INDEX('CDFs'!$F$6:$F$505,P944)&amp;"","")</f>
        <v/>
      </c>
      <c r="J944" s="91" t="n"/>
      <c r="K944" s="91" t="n"/>
      <c r="L944" s="94" t="str">
        <f>IF(N944=0,"",IF(NOT(ISNUMBER(F944)),"Quantidade não informada",IF(F944&lt;=0,"Quantidade não positiva",IF(G944="","Unidade não informada",IF(NOT(ISNUMBER(H944)),"Unidade a conferir",IF(AC944=1,"REVISAR VÍNCULO: soma vinculada maior que a referência do item","OK"))))))</f>
        <v/>
      </c>
      <c r="M944" s="94" t="str">
        <f>IF(N944=0,"",IF(B944="","CDF não informado",IF(Q944=0,"REVISAR VÍNCULO: CDF inexistente",IF(C944="","Item não informado",IF(T944=0,"REVISAR VÍNCULO: item inexistente",IF(AND(X944=1,J944&lt;&gt;"Sim"),"REVISAR VÍNCULO: destinador diferente do MTR",IF(X944=1,"Destinador diferente do MTR (analisado)","OK")))))))</f>
        <v/>
      </c>
      <c r="N944" s="96">
        <f>IF(COUNTA(B944:C944,F944:G944,J944:K944)&gt;0,1,0)</f>
        <v>0</v>
      </c>
      <c r="O944" s="96" t="str">
        <f>IF(B944="","",TRIM(LEFT(B944,FIND(" |",B944&amp;" |")-1)))</f>
        <v/>
      </c>
      <c r="P944" s="96" t="str">
        <f>IF(O944="","",IFERROR(MATCH(O944,'CDFs'!$A$6:$A$505,0),""))</f>
        <v/>
      </c>
      <c r="Q944" s="96">
        <f>IF(P944="",0,IF(INDEX('CDFs'!$S$6:$S$505,P944)=1,1,0))</f>
        <v>0</v>
      </c>
      <c r="R944" s="96" t="str">
        <f>IF(C944="","",TRIM(LEFT(C944,FIND(" |",C944&amp;" |")-1)))</f>
        <v/>
      </c>
      <c r="S944" s="96" t="str">
        <f>IF(R944="","",IFERROR(MATCH(R944,'ITENS_MTR'!$A$6:$A$1005,0),""))</f>
        <v/>
      </c>
      <c r="T944" s="96">
        <f>IF(S944="",0,IF(INDEX('ITENS_MTR'!$R$6:$R$1005,S944)=1,1,0))</f>
        <v>0</v>
      </c>
      <c r="U944" s="96" t="str">
        <f>IF(G944="","",IFERROR(IF(ISNUMBER(INDEX(cfg_fac,MATCH(G944,cfg_units,0))),IF(INDEX(cfg_fac,MATCH(G944,cfg_units,0))&gt;0,INDEX(cfg_fac,MATCH(G944,cfg_units,0)),""),""),""))</f>
        <v/>
      </c>
      <c r="V944" s="96">
        <f>IF(AND(ISNUMBER(F944),ISNUMBER(H944)),IF(H944&gt;0,1,0),0)</f>
        <v>0</v>
      </c>
      <c r="W944" s="96" t="str">
        <f>IF(T944=1,INDEX('ITENS_MTR'!$AU$6:$AU$1005,S944)&amp;"","")</f>
        <v/>
      </c>
      <c r="X944" s="96">
        <f>IF(AND(Q944=1,T944=1,I944&lt;&gt;"",W944&lt;&gt;""),IF(I944&lt;&gt;W944,1,0),0)</f>
        <v>0</v>
      </c>
      <c r="Y944" s="96">
        <f>IF(N944=0,0,IF(OR(Q944=0,T944=0,V944=0,AND(X944=1,J944&lt;&gt;"Sim")),1,0))</f>
        <v>0</v>
      </c>
      <c r="Z944" s="96">
        <f>IF(Q944=1,INDEX('CDFs'!$W$6:$W$505,P944),0)</f>
        <v>0</v>
      </c>
      <c r="AA944" s="96">
        <f>IF(AND(N944=1,Y944=0,Z944=1,J944="Sim"),1,0)</f>
        <v>0</v>
      </c>
      <c r="AB944" s="96">
        <f>IF(AND(N944=1,O944&lt;&gt;"",D944&lt;&gt;""),IF(COUNTIFS($O$6:O944,O944,$D$6:D944,D944)=1,1,0),0)</f>
        <v>0</v>
      </c>
      <c r="AC944" s="96">
        <f>IF(T944=1,INDEX('ITENS_MTR'!$AL$6:$AL$1005,S944),0)</f>
        <v>0</v>
      </c>
    </row>
    <row r="945">
      <c r="A945" s="89" t="inlineStr">
        <is>
          <t>VIN-000940</t>
        </is>
      </c>
      <c r="B945" s="91" t="n"/>
      <c r="C945" s="91" t="n"/>
      <c r="D945" s="94" t="str">
        <f>IF(T945=1,INDEX('ITENS_MTR'!$S$6:$S$1005,S945)&amp;"","")</f>
        <v/>
      </c>
      <c r="E945" s="94" t="str">
        <f>IF(T945=1,INDEX('ITENS_MTR'!$C$6:$C$1005,S945)&amp;"","")</f>
        <v/>
      </c>
      <c r="F945" s="98" t="n"/>
      <c r="G945" s="91" t="n"/>
      <c r="H945" s="93" t="str">
        <f>IF(N945=0,"",IF(NOT(ISNUMBER(F945)),"",IF(ISNUMBER(U945),F945*U945,"UNIDADE A CONFERIR")))</f>
        <v/>
      </c>
      <c r="I945" s="94" t="str">
        <f>IF(Q945=1,INDEX('CDFs'!$F$6:$F$505,P945)&amp;"","")</f>
        <v/>
      </c>
      <c r="J945" s="91" t="n"/>
      <c r="K945" s="91" t="n"/>
      <c r="L945" s="94" t="str">
        <f>IF(N945=0,"",IF(NOT(ISNUMBER(F945)),"Quantidade não informada",IF(F945&lt;=0,"Quantidade não positiva",IF(G945="","Unidade não informada",IF(NOT(ISNUMBER(H945)),"Unidade a conferir",IF(AC945=1,"REVISAR VÍNCULO: soma vinculada maior que a referência do item","OK"))))))</f>
        <v/>
      </c>
      <c r="M945" s="94" t="str">
        <f>IF(N945=0,"",IF(B945="","CDF não informado",IF(Q945=0,"REVISAR VÍNCULO: CDF inexistente",IF(C945="","Item não informado",IF(T945=0,"REVISAR VÍNCULO: item inexistente",IF(AND(X945=1,J945&lt;&gt;"Sim"),"REVISAR VÍNCULO: destinador diferente do MTR",IF(X945=1,"Destinador diferente do MTR (analisado)","OK")))))))</f>
        <v/>
      </c>
      <c r="N945" s="96">
        <f>IF(COUNTA(B945:C945,F945:G945,J945:K945)&gt;0,1,0)</f>
        <v>0</v>
      </c>
      <c r="O945" s="96" t="str">
        <f>IF(B945="","",TRIM(LEFT(B945,FIND(" |",B945&amp;" |")-1)))</f>
        <v/>
      </c>
      <c r="P945" s="96" t="str">
        <f>IF(O945="","",IFERROR(MATCH(O945,'CDFs'!$A$6:$A$505,0),""))</f>
        <v/>
      </c>
      <c r="Q945" s="96">
        <f>IF(P945="",0,IF(INDEX('CDFs'!$S$6:$S$505,P945)=1,1,0))</f>
        <v>0</v>
      </c>
      <c r="R945" s="96" t="str">
        <f>IF(C945="","",TRIM(LEFT(C945,FIND(" |",C945&amp;" |")-1)))</f>
        <v/>
      </c>
      <c r="S945" s="96" t="str">
        <f>IF(R945="","",IFERROR(MATCH(R945,'ITENS_MTR'!$A$6:$A$1005,0),""))</f>
        <v/>
      </c>
      <c r="T945" s="96">
        <f>IF(S945="",0,IF(INDEX('ITENS_MTR'!$R$6:$R$1005,S945)=1,1,0))</f>
        <v>0</v>
      </c>
      <c r="U945" s="96" t="str">
        <f>IF(G945="","",IFERROR(IF(ISNUMBER(INDEX(cfg_fac,MATCH(G945,cfg_units,0))),IF(INDEX(cfg_fac,MATCH(G945,cfg_units,0))&gt;0,INDEX(cfg_fac,MATCH(G945,cfg_units,0)),""),""),""))</f>
        <v/>
      </c>
      <c r="V945" s="96">
        <f>IF(AND(ISNUMBER(F945),ISNUMBER(H945)),IF(H945&gt;0,1,0),0)</f>
        <v>0</v>
      </c>
      <c r="W945" s="96" t="str">
        <f>IF(T945=1,INDEX('ITENS_MTR'!$AU$6:$AU$1005,S945)&amp;"","")</f>
        <v/>
      </c>
      <c r="X945" s="96">
        <f>IF(AND(Q945=1,T945=1,I945&lt;&gt;"",W945&lt;&gt;""),IF(I945&lt;&gt;W945,1,0),0)</f>
        <v>0</v>
      </c>
      <c r="Y945" s="96">
        <f>IF(N945=0,0,IF(OR(Q945=0,T945=0,V945=0,AND(X945=1,J945&lt;&gt;"Sim")),1,0))</f>
        <v>0</v>
      </c>
      <c r="Z945" s="96">
        <f>IF(Q945=1,INDEX('CDFs'!$W$6:$W$505,P945),0)</f>
        <v>0</v>
      </c>
      <c r="AA945" s="96">
        <f>IF(AND(N945=1,Y945=0,Z945=1,J945="Sim"),1,0)</f>
        <v>0</v>
      </c>
      <c r="AB945" s="96">
        <f>IF(AND(N945=1,O945&lt;&gt;"",D945&lt;&gt;""),IF(COUNTIFS($O$6:O945,O945,$D$6:D945,D945)=1,1,0),0)</f>
        <v>0</v>
      </c>
      <c r="AC945" s="96">
        <f>IF(T945=1,INDEX('ITENS_MTR'!$AL$6:$AL$1005,S945),0)</f>
        <v>0</v>
      </c>
    </row>
    <row r="946">
      <c r="A946" s="89" t="inlineStr">
        <is>
          <t>VIN-000941</t>
        </is>
      </c>
      <c r="B946" s="91" t="n"/>
      <c r="C946" s="91" t="n"/>
      <c r="D946" s="94" t="str">
        <f>IF(T946=1,INDEX('ITENS_MTR'!$S$6:$S$1005,S946)&amp;"","")</f>
        <v/>
      </c>
      <c r="E946" s="94" t="str">
        <f>IF(T946=1,INDEX('ITENS_MTR'!$C$6:$C$1005,S946)&amp;"","")</f>
        <v/>
      </c>
      <c r="F946" s="98" t="n"/>
      <c r="G946" s="91" t="n"/>
      <c r="H946" s="93" t="str">
        <f>IF(N946=0,"",IF(NOT(ISNUMBER(F946)),"",IF(ISNUMBER(U946),F946*U946,"UNIDADE A CONFERIR")))</f>
        <v/>
      </c>
      <c r="I946" s="94" t="str">
        <f>IF(Q946=1,INDEX('CDFs'!$F$6:$F$505,P946)&amp;"","")</f>
        <v/>
      </c>
      <c r="J946" s="91" t="n"/>
      <c r="K946" s="91" t="n"/>
      <c r="L946" s="94" t="str">
        <f>IF(N946=0,"",IF(NOT(ISNUMBER(F946)),"Quantidade não informada",IF(F946&lt;=0,"Quantidade não positiva",IF(G946="","Unidade não informada",IF(NOT(ISNUMBER(H946)),"Unidade a conferir",IF(AC946=1,"REVISAR VÍNCULO: soma vinculada maior que a referência do item","OK"))))))</f>
        <v/>
      </c>
      <c r="M946" s="94" t="str">
        <f>IF(N946=0,"",IF(B946="","CDF não informado",IF(Q946=0,"REVISAR VÍNCULO: CDF inexistente",IF(C946="","Item não informado",IF(T946=0,"REVISAR VÍNCULO: item inexistente",IF(AND(X946=1,J946&lt;&gt;"Sim"),"REVISAR VÍNCULO: destinador diferente do MTR",IF(X946=1,"Destinador diferente do MTR (analisado)","OK")))))))</f>
        <v/>
      </c>
      <c r="N946" s="96">
        <f>IF(COUNTA(B946:C946,F946:G946,J946:K946)&gt;0,1,0)</f>
        <v>0</v>
      </c>
      <c r="O946" s="96" t="str">
        <f>IF(B946="","",TRIM(LEFT(B946,FIND(" |",B946&amp;" |")-1)))</f>
        <v/>
      </c>
      <c r="P946" s="96" t="str">
        <f>IF(O946="","",IFERROR(MATCH(O946,'CDFs'!$A$6:$A$505,0),""))</f>
        <v/>
      </c>
      <c r="Q946" s="96">
        <f>IF(P946="",0,IF(INDEX('CDFs'!$S$6:$S$505,P946)=1,1,0))</f>
        <v>0</v>
      </c>
      <c r="R946" s="96" t="str">
        <f>IF(C946="","",TRIM(LEFT(C946,FIND(" |",C946&amp;" |")-1)))</f>
        <v/>
      </c>
      <c r="S946" s="96" t="str">
        <f>IF(R946="","",IFERROR(MATCH(R946,'ITENS_MTR'!$A$6:$A$1005,0),""))</f>
        <v/>
      </c>
      <c r="T946" s="96">
        <f>IF(S946="",0,IF(INDEX('ITENS_MTR'!$R$6:$R$1005,S946)=1,1,0))</f>
        <v>0</v>
      </c>
      <c r="U946" s="96" t="str">
        <f>IF(G946="","",IFERROR(IF(ISNUMBER(INDEX(cfg_fac,MATCH(G946,cfg_units,0))),IF(INDEX(cfg_fac,MATCH(G946,cfg_units,0))&gt;0,INDEX(cfg_fac,MATCH(G946,cfg_units,0)),""),""),""))</f>
        <v/>
      </c>
      <c r="V946" s="96">
        <f>IF(AND(ISNUMBER(F946),ISNUMBER(H946)),IF(H946&gt;0,1,0),0)</f>
        <v>0</v>
      </c>
      <c r="W946" s="96" t="str">
        <f>IF(T946=1,INDEX('ITENS_MTR'!$AU$6:$AU$1005,S946)&amp;"","")</f>
        <v/>
      </c>
      <c r="X946" s="96">
        <f>IF(AND(Q946=1,T946=1,I946&lt;&gt;"",W946&lt;&gt;""),IF(I946&lt;&gt;W946,1,0),0)</f>
        <v>0</v>
      </c>
      <c r="Y946" s="96">
        <f>IF(N946=0,0,IF(OR(Q946=0,T946=0,V946=0,AND(X946=1,J946&lt;&gt;"Sim")),1,0))</f>
        <v>0</v>
      </c>
      <c r="Z946" s="96">
        <f>IF(Q946=1,INDEX('CDFs'!$W$6:$W$505,P946),0)</f>
        <v>0</v>
      </c>
      <c r="AA946" s="96">
        <f>IF(AND(N946=1,Y946=0,Z946=1,J946="Sim"),1,0)</f>
        <v>0</v>
      </c>
      <c r="AB946" s="96">
        <f>IF(AND(N946=1,O946&lt;&gt;"",D946&lt;&gt;""),IF(COUNTIFS($O$6:O946,O946,$D$6:D946,D946)=1,1,0),0)</f>
        <v>0</v>
      </c>
      <c r="AC946" s="96">
        <f>IF(T946=1,INDEX('ITENS_MTR'!$AL$6:$AL$1005,S946),0)</f>
        <v>0</v>
      </c>
    </row>
    <row r="947">
      <c r="A947" s="89" t="inlineStr">
        <is>
          <t>VIN-000942</t>
        </is>
      </c>
      <c r="B947" s="91" t="n"/>
      <c r="C947" s="91" t="n"/>
      <c r="D947" s="94" t="str">
        <f>IF(T947=1,INDEX('ITENS_MTR'!$S$6:$S$1005,S947)&amp;"","")</f>
        <v/>
      </c>
      <c r="E947" s="94" t="str">
        <f>IF(T947=1,INDEX('ITENS_MTR'!$C$6:$C$1005,S947)&amp;"","")</f>
        <v/>
      </c>
      <c r="F947" s="98" t="n"/>
      <c r="G947" s="91" t="n"/>
      <c r="H947" s="93" t="str">
        <f>IF(N947=0,"",IF(NOT(ISNUMBER(F947)),"",IF(ISNUMBER(U947),F947*U947,"UNIDADE A CONFERIR")))</f>
        <v/>
      </c>
      <c r="I947" s="94" t="str">
        <f>IF(Q947=1,INDEX('CDFs'!$F$6:$F$505,P947)&amp;"","")</f>
        <v/>
      </c>
      <c r="J947" s="91" t="n"/>
      <c r="K947" s="91" t="n"/>
      <c r="L947" s="94" t="str">
        <f>IF(N947=0,"",IF(NOT(ISNUMBER(F947)),"Quantidade não informada",IF(F947&lt;=0,"Quantidade não positiva",IF(G947="","Unidade não informada",IF(NOT(ISNUMBER(H947)),"Unidade a conferir",IF(AC947=1,"REVISAR VÍNCULO: soma vinculada maior que a referência do item","OK"))))))</f>
        <v/>
      </c>
      <c r="M947" s="94" t="str">
        <f>IF(N947=0,"",IF(B947="","CDF não informado",IF(Q947=0,"REVISAR VÍNCULO: CDF inexistente",IF(C947="","Item não informado",IF(T947=0,"REVISAR VÍNCULO: item inexistente",IF(AND(X947=1,J947&lt;&gt;"Sim"),"REVISAR VÍNCULO: destinador diferente do MTR",IF(X947=1,"Destinador diferente do MTR (analisado)","OK")))))))</f>
        <v/>
      </c>
      <c r="N947" s="96">
        <f>IF(COUNTA(B947:C947,F947:G947,J947:K947)&gt;0,1,0)</f>
        <v>0</v>
      </c>
      <c r="O947" s="96" t="str">
        <f>IF(B947="","",TRIM(LEFT(B947,FIND(" |",B947&amp;" |")-1)))</f>
        <v/>
      </c>
      <c r="P947" s="96" t="str">
        <f>IF(O947="","",IFERROR(MATCH(O947,'CDFs'!$A$6:$A$505,0),""))</f>
        <v/>
      </c>
      <c r="Q947" s="96">
        <f>IF(P947="",0,IF(INDEX('CDFs'!$S$6:$S$505,P947)=1,1,0))</f>
        <v>0</v>
      </c>
      <c r="R947" s="96" t="str">
        <f>IF(C947="","",TRIM(LEFT(C947,FIND(" |",C947&amp;" |")-1)))</f>
        <v/>
      </c>
      <c r="S947" s="96" t="str">
        <f>IF(R947="","",IFERROR(MATCH(R947,'ITENS_MTR'!$A$6:$A$1005,0),""))</f>
        <v/>
      </c>
      <c r="T947" s="96">
        <f>IF(S947="",0,IF(INDEX('ITENS_MTR'!$R$6:$R$1005,S947)=1,1,0))</f>
        <v>0</v>
      </c>
      <c r="U947" s="96" t="str">
        <f>IF(G947="","",IFERROR(IF(ISNUMBER(INDEX(cfg_fac,MATCH(G947,cfg_units,0))),IF(INDEX(cfg_fac,MATCH(G947,cfg_units,0))&gt;0,INDEX(cfg_fac,MATCH(G947,cfg_units,0)),""),""),""))</f>
        <v/>
      </c>
      <c r="V947" s="96">
        <f>IF(AND(ISNUMBER(F947),ISNUMBER(H947)),IF(H947&gt;0,1,0),0)</f>
        <v>0</v>
      </c>
      <c r="W947" s="96" t="str">
        <f>IF(T947=1,INDEX('ITENS_MTR'!$AU$6:$AU$1005,S947)&amp;"","")</f>
        <v/>
      </c>
      <c r="X947" s="96">
        <f>IF(AND(Q947=1,T947=1,I947&lt;&gt;"",W947&lt;&gt;""),IF(I947&lt;&gt;W947,1,0),0)</f>
        <v>0</v>
      </c>
      <c r="Y947" s="96">
        <f>IF(N947=0,0,IF(OR(Q947=0,T947=0,V947=0,AND(X947=1,J947&lt;&gt;"Sim")),1,0))</f>
        <v>0</v>
      </c>
      <c r="Z947" s="96">
        <f>IF(Q947=1,INDEX('CDFs'!$W$6:$W$505,P947),0)</f>
        <v>0</v>
      </c>
      <c r="AA947" s="96">
        <f>IF(AND(N947=1,Y947=0,Z947=1,J947="Sim"),1,0)</f>
        <v>0</v>
      </c>
      <c r="AB947" s="96">
        <f>IF(AND(N947=1,O947&lt;&gt;"",D947&lt;&gt;""),IF(COUNTIFS($O$6:O947,O947,$D$6:D947,D947)=1,1,0),0)</f>
        <v>0</v>
      </c>
      <c r="AC947" s="96">
        <f>IF(T947=1,INDEX('ITENS_MTR'!$AL$6:$AL$1005,S947),0)</f>
        <v>0</v>
      </c>
    </row>
    <row r="948">
      <c r="A948" s="89" t="inlineStr">
        <is>
          <t>VIN-000943</t>
        </is>
      </c>
      <c r="B948" s="91" t="n"/>
      <c r="C948" s="91" t="n"/>
      <c r="D948" s="94" t="str">
        <f>IF(T948=1,INDEX('ITENS_MTR'!$S$6:$S$1005,S948)&amp;"","")</f>
        <v/>
      </c>
      <c r="E948" s="94" t="str">
        <f>IF(T948=1,INDEX('ITENS_MTR'!$C$6:$C$1005,S948)&amp;"","")</f>
        <v/>
      </c>
      <c r="F948" s="98" t="n"/>
      <c r="G948" s="91" t="n"/>
      <c r="H948" s="93" t="str">
        <f>IF(N948=0,"",IF(NOT(ISNUMBER(F948)),"",IF(ISNUMBER(U948),F948*U948,"UNIDADE A CONFERIR")))</f>
        <v/>
      </c>
      <c r="I948" s="94" t="str">
        <f>IF(Q948=1,INDEX('CDFs'!$F$6:$F$505,P948)&amp;"","")</f>
        <v/>
      </c>
      <c r="J948" s="91" t="n"/>
      <c r="K948" s="91" t="n"/>
      <c r="L948" s="94" t="str">
        <f>IF(N948=0,"",IF(NOT(ISNUMBER(F948)),"Quantidade não informada",IF(F948&lt;=0,"Quantidade não positiva",IF(G948="","Unidade não informada",IF(NOT(ISNUMBER(H948)),"Unidade a conferir",IF(AC948=1,"REVISAR VÍNCULO: soma vinculada maior que a referência do item","OK"))))))</f>
        <v/>
      </c>
      <c r="M948" s="94" t="str">
        <f>IF(N948=0,"",IF(B948="","CDF não informado",IF(Q948=0,"REVISAR VÍNCULO: CDF inexistente",IF(C948="","Item não informado",IF(T948=0,"REVISAR VÍNCULO: item inexistente",IF(AND(X948=1,J948&lt;&gt;"Sim"),"REVISAR VÍNCULO: destinador diferente do MTR",IF(X948=1,"Destinador diferente do MTR (analisado)","OK")))))))</f>
        <v/>
      </c>
      <c r="N948" s="96">
        <f>IF(COUNTA(B948:C948,F948:G948,J948:K948)&gt;0,1,0)</f>
        <v>0</v>
      </c>
      <c r="O948" s="96" t="str">
        <f>IF(B948="","",TRIM(LEFT(B948,FIND(" |",B948&amp;" |")-1)))</f>
        <v/>
      </c>
      <c r="P948" s="96" t="str">
        <f>IF(O948="","",IFERROR(MATCH(O948,'CDFs'!$A$6:$A$505,0),""))</f>
        <v/>
      </c>
      <c r="Q948" s="96">
        <f>IF(P948="",0,IF(INDEX('CDFs'!$S$6:$S$505,P948)=1,1,0))</f>
        <v>0</v>
      </c>
      <c r="R948" s="96" t="str">
        <f>IF(C948="","",TRIM(LEFT(C948,FIND(" |",C948&amp;" |")-1)))</f>
        <v/>
      </c>
      <c r="S948" s="96" t="str">
        <f>IF(R948="","",IFERROR(MATCH(R948,'ITENS_MTR'!$A$6:$A$1005,0),""))</f>
        <v/>
      </c>
      <c r="T948" s="96">
        <f>IF(S948="",0,IF(INDEX('ITENS_MTR'!$R$6:$R$1005,S948)=1,1,0))</f>
        <v>0</v>
      </c>
      <c r="U948" s="96" t="str">
        <f>IF(G948="","",IFERROR(IF(ISNUMBER(INDEX(cfg_fac,MATCH(G948,cfg_units,0))),IF(INDEX(cfg_fac,MATCH(G948,cfg_units,0))&gt;0,INDEX(cfg_fac,MATCH(G948,cfg_units,0)),""),""),""))</f>
        <v/>
      </c>
      <c r="V948" s="96">
        <f>IF(AND(ISNUMBER(F948),ISNUMBER(H948)),IF(H948&gt;0,1,0),0)</f>
        <v>0</v>
      </c>
      <c r="W948" s="96" t="str">
        <f>IF(T948=1,INDEX('ITENS_MTR'!$AU$6:$AU$1005,S948)&amp;"","")</f>
        <v/>
      </c>
      <c r="X948" s="96">
        <f>IF(AND(Q948=1,T948=1,I948&lt;&gt;"",W948&lt;&gt;""),IF(I948&lt;&gt;W948,1,0),0)</f>
        <v>0</v>
      </c>
      <c r="Y948" s="96">
        <f>IF(N948=0,0,IF(OR(Q948=0,T948=0,V948=0,AND(X948=1,J948&lt;&gt;"Sim")),1,0))</f>
        <v>0</v>
      </c>
      <c r="Z948" s="96">
        <f>IF(Q948=1,INDEX('CDFs'!$W$6:$W$505,P948),0)</f>
        <v>0</v>
      </c>
      <c r="AA948" s="96">
        <f>IF(AND(N948=1,Y948=0,Z948=1,J948="Sim"),1,0)</f>
        <v>0</v>
      </c>
      <c r="AB948" s="96">
        <f>IF(AND(N948=1,O948&lt;&gt;"",D948&lt;&gt;""),IF(COUNTIFS($O$6:O948,O948,$D$6:D948,D948)=1,1,0),0)</f>
        <v>0</v>
      </c>
      <c r="AC948" s="96">
        <f>IF(T948=1,INDEX('ITENS_MTR'!$AL$6:$AL$1005,S948),0)</f>
        <v>0</v>
      </c>
    </row>
    <row r="949">
      <c r="A949" s="89" t="inlineStr">
        <is>
          <t>VIN-000944</t>
        </is>
      </c>
      <c r="B949" s="91" t="n"/>
      <c r="C949" s="91" t="n"/>
      <c r="D949" s="94" t="str">
        <f>IF(T949=1,INDEX('ITENS_MTR'!$S$6:$S$1005,S949)&amp;"","")</f>
        <v/>
      </c>
      <c r="E949" s="94" t="str">
        <f>IF(T949=1,INDEX('ITENS_MTR'!$C$6:$C$1005,S949)&amp;"","")</f>
        <v/>
      </c>
      <c r="F949" s="98" t="n"/>
      <c r="G949" s="91" t="n"/>
      <c r="H949" s="93" t="str">
        <f>IF(N949=0,"",IF(NOT(ISNUMBER(F949)),"",IF(ISNUMBER(U949),F949*U949,"UNIDADE A CONFERIR")))</f>
        <v/>
      </c>
      <c r="I949" s="94" t="str">
        <f>IF(Q949=1,INDEX('CDFs'!$F$6:$F$505,P949)&amp;"","")</f>
        <v/>
      </c>
      <c r="J949" s="91" t="n"/>
      <c r="K949" s="91" t="n"/>
      <c r="L949" s="94" t="str">
        <f>IF(N949=0,"",IF(NOT(ISNUMBER(F949)),"Quantidade não informada",IF(F949&lt;=0,"Quantidade não positiva",IF(G949="","Unidade não informada",IF(NOT(ISNUMBER(H949)),"Unidade a conferir",IF(AC949=1,"REVISAR VÍNCULO: soma vinculada maior que a referência do item","OK"))))))</f>
        <v/>
      </c>
      <c r="M949" s="94" t="str">
        <f>IF(N949=0,"",IF(B949="","CDF não informado",IF(Q949=0,"REVISAR VÍNCULO: CDF inexistente",IF(C949="","Item não informado",IF(T949=0,"REVISAR VÍNCULO: item inexistente",IF(AND(X949=1,J949&lt;&gt;"Sim"),"REVISAR VÍNCULO: destinador diferente do MTR",IF(X949=1,"Destinador diferente do MTR (analisado)","OK")))))))</f>
        <v/>
      </c>
      <c r="N949" s="96">
        <f>IF(COUNTA(B949:C949,F949:G949,J949:K949)&gt;0,1,0)</f>
        <v>0</v>
      </c>
      <c r="O949" s="96" t="str">
        <f>IF(B949="","",TRIM(LEFT(B949,FIND(" |",B949&amp;" |")-1)))</f>
        <v/>
      </c>
      <c r="P949" s="96" t="str">
        <f>IF(O949="","",IFERROR(MATCH(O949,'CDFs'!$A$6:$A$505,0),""))</f>
        <v/>
      </c>
      <c r="Q949" s="96">
        <f>IF(P949="",0,IF(INDEX('CDFs'!$S$6:$S$505,P949)=1,1,0))</f>
        <v>0</v>
      </c>
      <c r="R949" s="96" t="str">
        <f>IF(C949="","",TRIM(LEFT(C949,FIND(" |",C949&amp;" |")-1)))</f>
        <v/>
      </c>
      <c r="S949" s="96" t="str">
        <f>IF(R949="","",IFERROR(MATCH(R949,'ITENS_MTR'!$A$6:$A$1005,0),""))</f>
        <v/>
      </c>
      <c r="T949" s="96">
        <f>IF(S949="",0,IF(INDEX('ITENS_MTR'!$R$6:$R$1005,S949)=1,1,0))</f>
        <v>0</v>
      </c>
      <c r="U949" s="96" t="str">
        <f>IF(G949="","",IFERROR(IF(ISNUMBER(INDEX(cfg_fac,MATCH(G949,cfg_units,0))),IF(INDEX(cfg_fac,MATCH(G949,cfg_units,0))&gt;0,INDEX(cfg_fac,MATCH(G949,cfg_units,0)),""),""),""))</f>
        <v/>
      </c>
      <c r="V949" s="96">
        <f>IF(AND(ISNUMBER(F949),ISNUMBER(H949)),IF(H949&gt;0,1,0),0)</f>
        <v>0</v>
      </c>
      <c r="W949" s="96" t="str">
        <f>IF(T949=1,INDEX('ITENS_MTR'!$AU$6:$AU$1005,S949)&amp;"","")</f>
        <v/>
      </c>
      <c r="X949" s="96">
        <f>IF(AND(Q949=1,T949=1,I949&lt;&gt;"",W949&lt;&gt;""),IF(I949&lt;&gt;W949,1,0),0)</f>
        <v>0</v>
      </c>
      <c r="Y949" s="96">
        <f>IF(N949=0,0,IF(OR(Q949=0,T949=0,V949=0,AND(X949=1,J949&lt;&gt;"Sim")),1,0))</f>
        <v>0</v>
      </c>
      <c r="Z949" s="96">
        <f>IF(Q949=1,INDEX('CDFs'!$W$6:$W$505,P949),0)</f>
        <v>0</v>
      </c>
      <c r="AA949" s="96">
        <f>IF(AND(N949=1,Y949=0,Z949=1,J949="Sim"),1,0)</f>
        <v>0</v>
      </c>
      <c r="AB949" s="96">
        <f>IF(AND(N949=1,O949&lt;&gt;"",D949&lt;&gt;""),IF(COUNTIFS($O$6:O949,O949,$D$6:D949,D949)=1,1,0),0)</f>
        <v>0</v>
      </c>
      <c r="AC949" s="96">
        <f>IF(T949=1,INDEX('ITENS_MTR'!$AL$6:$AL$1005,S949),0)</f>
        <v>0</v>
      </c>
    </row>
    <row r="950">
      <c r="A950" s="89" t="inlineStr">
        <is>
          <t>VIN-000945</t>
        </is>
      </c>
      <c r="B950" s="91" t="n"/>
      <c r="C950" s="91" t="n"/>
      <c r="D950" s="94" t="str">
        <f>IF(T950=1,INDEX('ITENS_MTR'!$S$6:$S$1005,S950)&amp;"","")</f>
        <v/>
      </c>
      <c r="E950" s="94" t="str">
        <f>IF(T950=1,INDEX('ITENS_MTR'!$C$6:$C$1005,S950)&amp;"","")</f>
        <v/>
      </c>
      <c r="F950" s="98" t="n"/>
      <c r="G950" s="91" t="n"/>
      <c r="H950" s="93" t="str">
        <f>IF(N950=0,"",IF(NOT(ISNUMBER(F950)),"",IF(ISNUMBER(U950),F950*U950,"UNIDADE A CONFERIR")))</f>
        <v/>
      </c>
      <c r="I950" s="94" t="str">
        <f>IF(Q950=1,INDEX('CDFs'!$F$6:$F$505,P950)&amp;"","")</f>
        <v/>
      </c>
      <c r="J950" s="91" t="n"/>
      <c r="K950" s="91" t="n"/>
      <c r="L950" s="94" t="str">
        <f>IF(N950=0,"",IF(NOT(ISNUMBER(F950)),"Quantidade não informada",IF(F950&lt;=0,"Quantidade não positiva",IF(G950="","Unidade não informada",IF(NOT(ISNUMBER(H950)),"Unidade a conferir",IF(AC950=1,"REVISAR VÍNCULO: soma vinculada maior que a referência do item","OK"))))))</f>
        <v/>
      </c>
      <c r="M950" s="94" t="str">
        <f>IF(N950=0,"",IF(B950="","CDF não informado",IF(Q950=0,"REVISAR VÍNCULO: CDF inexistente",IF(C950="","Item não informado",IF(T950=0,"REVISAR VÍNCULO: item inexistente",IF(AND(X950=1,J950&lt;&gt;"Sim"),"REVISAR VÍNCULO: destinador diferente do MTR",IF(X950=1,"Destinador diferente do MTR (analisado)","OK")))))))</f>
        <v/>
      </c>
      <c r="N950" s="96">
        <f>IF(COUNTA(B950:C950,F950:G950,J950:K950)&gt;0,1,0)</f>
        <v>0</v>
      </c>
      <c r="O950" s="96" t="str">
        <f>IF(B950="","",TRIM(LEFT(B950,FIND(" |",B950&amp;" |")-1)))</f>
        <v/>
      </c>
      <c r="P950" s="96" t="str">
        <f>IF(O950="","",IFERROR(MATCH(O950,'CDFs'!$A$6:$A$505,0),""))</f>
        <v/>
      </c>
      <c r="Q950" s="96">
        <f>IF(P950="",0,IF(INDEX('CDFs'!$S$6:$S$505,P950)=1,1,0))</f>
        <v>0</v>
      </c>
      <c r="R950" s="96" t="str">
        <f>IF(C950="","",TRIM(LEFT(C950,FIND(" |",C950&amp;" |")-1)))</f>
        <v/>
      </c>
      <c r="S950" s="96" t="str">
        <f>IF(R950="","",IFERROR(MATCH(R950,'ITENS_MTR'!$A$6:$A$1005,0),""))</f>
        <v/>
      </c>
      <c r="T950" s="96">
        <f>IF(S950="",0,IF(INDEX('ITENS_MTR'!$R$6:$R$1005,S950)=1,1,0))</f>
        <v>0</v>
      </c>
      <c r="U950" s="96" t="str">
        <f>IF(G950="","",IFERROR(IF(ISNUMBER(INDEX(cfg_fac,MATCH(G950,cfg_units,0))),IF(INDEX(cfg_fac,MATCH(G950,cfg_units,0))&gt;0,INDEX(cfg_fac,MATCH(G950,cfg_units,0)),""),""),""))</f>
        <v/>
      </c>
      <c r="V950" s="96">
        <f>IF(AND(ISNUMBER(F950),ISNUMBER(H950)),IF(H950&gt;0,1,0),0)</f>
        <v>0</v>
      </c>
      <c r="W950" s="96" t="str">
        <f>IF(T950=1,INDEX('ITENS_MTR'!$AU$6:$AU$1005,S950)&amp;"","")</f>
        <v/>
      </c>
      <c r="X950" s="96">
        <f>IF(AND(Q950=1,T950=1,I950&lt;&gt;"",W950&lt;&gt;""),IF(I950&lt;&gt;W950,1,0),0)</f>
        <v>0</v>
      </c>
      <c r="Y950" s="96">
        <f>IF(N950=0,0,IF(OR(Q950=0,T950=0,V950=0,AND(X950=1,J950&lt;&gt;"Sim")),1,0))</f>
        <v>0</v>
      </c>
      <c r="Z950" s="96">
        <f>IF(Q950=1,INDEX('CDFs'!$W$6:$W$505,P950),0)</f>
        <v>0</v>
      </c>
      <c r="AA950" s="96">
        <f>IF(AND(N950=1,Y950=0,Z950=1,J950="Sim"),1,0)</f>
        <v>0</v>
      </c>
      <c r="AB950" s="96">
        <f>IF(AND(N950=1,O950&lt;&gt;"",D950&lt;&gt;""),IF(COUNTIFS($O$6:O950,O950,$D$6:D950,D950)=1,1,0),0)</f>
        <v>0</v>
      </c>
      <c r="AC950" s="96">
        <f>IF(T950=1,INDEX('ITENS_MTR'!$AL$6:$AL$1005,S950),0)</f>
        <v>0</v>
      </c>
    </row>
    <row r="951">
      <c r="A951" s="89" t="inlineStr">
        <is>
          <t>VIN-000946</t>
        </is>
      </c>
      <c r="B951" s="91" t="n"/>
      <c r="C951" s="91" t="n"/>
      <c r="D951" s="94" t="str">
        <f>IF(T951=1,INDEX('ITENS_MTR'!$S$6:$S$1005,S951)&amp;"","")</f>
        <v/>
      </c>
      <c r="E951" s="94" t="str">
        <f>IF(T951=1,INDEX('ITENS_MTR'!$C$6:$C$1005,S951)&amp;"","")</f>
        <v/>
      </c>
      <c r="F951" s="98" t="n"/>
      <c r="G951" s="91" t="n"/>
      <c r="H951" s="93" t="str">
        <f>IF(N951=0,"",IF(NOT(ISNUMBER(F951)),"",IF(ISNUMBER(U951),F951*U951,"UNIDADE A CONFERIR")))</f>
        <v/>
      </c>
      <c r="I951" s="94" t="str">
        <f>IF(Q951=1,INDEX('CDFs'!$F$6:$F$505,P951)&amp;"","")</f>
        <v/>
      </c>
      <c r="J951" s="91" t="n"/>
      <c r="K951" s="91" t="n"/>
      <c r="L951" s="94" t="str">
        <f>IF(N951=0,"",IF(NOT(ISNUMBER(F951)),"Quantidade não informada",IF(F951&lt;=0,"Quantidade não positiva",IF(G951="","Unidade não informada",IF(NOT(ISNUMBER(H951)),"Unidade a conferir",IF(AC951=1,"REVISAR VÍNCULO: soma vinculada maior que a referência do item","OK"))))))</f>
        <v/>
      </c>
      <c r="M951" s="94" t="str">
        <f>IF(N951=0,"",IF(B951="","CDF não informado",IF(Q951=0,"REVISAR VÍNCULO: CDF inexistente",IF(C951="","Item não informado",IF(T951=0,"REVISAR VÍNCULO: item inexistente",IF(AND(X951=1,J951&lt;&gt;"Sim"),"REVISAR VÍNCULO: destinador diferente do MTR",IF(X951=1,"Destinador diferente do MTR (analisado)","OK")))))))</f>
        <v/>
      </c>
      <c r="N951" s="96">
        <f>IF(COUNTA(B951:C951,F951:G951,J951:K951)&gt;0,1,0)</f>
        <v>0</v>
      </c>
      <c r="O951" s="96" t="str">
        <f>IF(B951="","",TRIM(LEFT(B951,FIND(" |",B951&amp;" |")-1)))</f>
        <v/>
      </c>
      <c r="P951" s="96" t="str">
        <f>IF(O951="","",IFERROR(MATCH(O951,'CDFs'!$A$6:$A$505,0),""))</f>
        <v/>
      </c>
      <c r="Q951" s="96">
        <f>IF(P951="",0,IF(INDEX('CDFs'!$S$6:$S$505,P951)=1,1,0))</f>
        <v>0</v>
      </c>
      <c r="R951" s="96" t="str">
        <f>IF(C951="","",TRIM(LEFT(C951,FIND(" |",C951&amp;" |")-1)))</f>
        <v/>
      </c>
      <c r="S951" s="96" t="str">
        <f>IF(R951="","",IFERROR(MATCH(R951,'ITENS_MTR'!$A$6:$A$1005,0),""))</f>
        <v/>
      </c>
      <c r="T951" s="96">
        <f>IF(S951="",0,IF(INDEX('ITENS_MTR'!$R$6:$R$1005,S951)=1,1,0))</f>
        <v>0</v>
      </c>
      <c r="U951" s="96" t="str">
        <f>IF(G951="","",IFERROR(IF(ISNUMBER(INDEX(cfg_fac,MATCH(G951,cfg_units,0))),IF(INDEX(cfg_fac,MATCH(G951,cfg_units,0))&gt;0,INDEX(cfg_fac,MATCH(G951,cfg_units,0)),""),""),""))</f>
        <v/>
      </c>
      <c r="V951" s="96">
        <f>IF(AND(ISNUMBER(F951),ISNUMBER(H951)),IF(H951&gt;0,1,0),0)</f>
        <v>0</v>
      </c>
      <c r="W951" s="96" t="str">
        <f>IF(T951=1,INDEX('ITENS_MTR'!$AU$6:$AU$1005,S951)&amp;"","")</f>
        <v/>
      </c>
      <c r="X951" s="96">
        <f>IF(AND(Q951=1,T951=1,I951&lt;&gt;"",W951&lt;&gt;""),IF(I951&lt;&gt;W951,1,0),0)</f>
        <v>0</v>
      </c>
      <c r="Y951" s="96">
        <f>IF(N951=0,0,IF(OR(Q951=0,T951=0,V951=0,AND(X951=1,J951&lt;&gt;"Sim")),1,0))</f>
        <v>0</v>
      </c>
      <c r="Z951" s="96">
        <f>IF(Q951=1,INDEX('CDFs'!$W$6:$W$505,P951),0)</f>
        <v>0</v>
      </c>
      <c r="AA951" s="96">
        <f>IF(AND(N951=1,Y951=0,Z951=1,J951="Sim"),1,0)</f>
        <v>0</v>
      </c>
      <c r="AB951" s="96">
        <f>IF(AND(N951=1,O951&lt;&gt;"",D951&lt;&gt;""),IF(COUNTIFS($O$6:O951,O951,$D$6:D951,D951)=1,1,0),0)</f>
        <v>0</v>
      </c>
      <c r="AC951" s="96">
        <f>IF(T951=1,INDEX('ITENS_MTR'!$AL$6:$AL$1005,S951),0)</f>
        <v>0</v>
      </c>
    </row>
    <row r="952">
      <c r="A952" s="89" t="inlineStr">
        <is>
          <t>VIN-000947</t>
        </is>
      </c>
      <c r="B952" s="91" t="n"/>
      <c r="C952" s="91" t="n"/>
      <c r="D952" s="94" t="str">
        <f>IF(T952=1,INDEX('ITENS_MTR'!$S$6:$S$1005,S952)&amp;"","")</f>
        <v/>
      </c>
      <c r="E952" s="94" t="str">
        <f>IF(T952=1,INDEX('ITENS_MTR'!$C$6:$C$1005,S952)&amp;"","")</f>
        <v/>
      </c>
      <c r="F952" s="98" t="n"/>
      <c r="G952" s="91" t="n"/>
      <c r="H952" s="93" t="str">
        <f>IF(N952=0,"",IF(NOT(ISNUMBER(F952)),"",IF(ISNUMBER(U952),F952*U952,"UNIDADE A CONFERIR")))</f>
        <v/>
      </c>
      <c r="I952" s="94" t="str">
        <f>IF(Q952=1,INDEX('CDFs'!$F$6:$F$505,P952)&amp;"","")</f>
        <v/>
      </c>
      <c r="J952" s="91" t="n"/>
      <c r="K952" s="91" t="n"/>
      <c r="L952" s="94" t="str">
        <f>IF(N952=0,"",IF(NOT(ISNUMBER(F952)),"Quantidade não informada",IF(F952&lt;=0,"Quantidade não positiva",IF(G952="","Unidade não informada",IF(NOT(ISNUMBER(H952)),"Unidade a conferir",IF(AC952=1,"REVISAR VÍNCULO: soma vinculada maior que a referência do item","OK"))))))</f>
        <v/>
      </c>
      <c r="M952" s="94" t="str">
        <f>IF(N952=0,"",IF(B952="","CDF não informado",IF(Q952=0,"REVISAR VÍNCULO: CDF inexistente",IF(C952="","Item não informado",IF(T952=0,"REVISAR VÍNCULO: item inexistente",IF(AND(X952=1,J952&lt;&gt;"Sim"),"REVISAR VÍNCULO: destinador diferente do MTR",IF(X952=1,"Destinador diferente do MTR (analisado)","OK")))))))</f>
        <v/>
      </c>
      <c r="N952" s="96">
        <f>IF(COUNTA(B952:C952,F952:G952,J952:K952)&gt;0,1,0)</f>
        <v>0</v>
      </c>
      <c r="O952" s="96" t="str">
        <f>IF(B952="","",TRIM(LEFT(B952,FIND(" |",B952&amp;" |")-1)))</f>
        <v/>
      </c>
      <c r="P952" s="96" t="str">
        <f>IF(O952="","",IFERROR(MATCH(O952,'CDFs'!$A$6:$A$505,0),""))</f>
        <v/>
      </c>
      <c r="Q952" s="96">
        <f>IF(P952="",0,IF(INDEX('CDFs'!$S$6:$S$505,P952)=1,1,0))</f>
        <v>0</v>
      </c>
      <c r="R952" s="96" t="str">
        <f>IF(C952="","",TRIM(LEFT(C952,FIND(" |",C952&amp;" |")-1)))</f>
        <v/>
      </c>
      <c r="S952" s="96" t="str">
        <f>IF(R952="","",IFERROR(MATCH(R952,'ITENS_MTR'!$A$6:$A$1005,0),""))</f>
        <v/>
      </c>
      <c r="T952" s="96">
        <f>IF(S952="",0,IF(INDEX('ITENS_MTR'!$R$6:$R$1005,S952)=1,1,0))</f>
        <v>0</v>
      </c>
      <c r="U952" s="96" t="str">
        <f>IF(G952="","",IFERROR(IF(ISNUMBER(INDEX(cfg_fac,MATCH(G952,cfg_units,0))),IF(INDEX(cfg_fac,MATCH(G952,cfg_units,0))&gt;0,INDEX(cfg_fac,MATCH(G952,cfg_units,0)),""),""),""))</f>
        <v/>
      </c>
      <c r="V952" s="96">
        <f>IF(AND(ISNUMBER(F952),ISNUMBER(H952)),IF(H952&gt;0,1,0),0)</f>
        <v>0</v>
      </c>
      <c r="W952" s="96" t="str">
        <f>IF(T952=1,INDEX('ITENS_MTR'!$AU$6:$AU$1005,S952)&amp;"","")</f>
        <v/>
      </c>
      <c r="X952" s="96">
        <f>IF(AND(Q952=1,T952=1,I952&lt;&gt;"",W952&lt;&gt;""),IF(I952&lt;&gt;W952,1,0),0)</f>
        <v>0</v>
      </c>
      <c r="Y952" s="96">
        <f>IF(N952=0,0,IF(OR(Q952=0,T952=0,V952=0,AND(X952=1,J952&lt;&gt;"Sim")),1,0))</f>
        <v>0</v>
      </c>
      <c r="Z952" s="96">
        <f>IF(Q952=1,INDEX('CDFs'!$W$6:$W$505,P952),0)</f>
        <v>0</v>
      </c>
      <c r="AA952" s="96">
        <f>IF(AND(N952=1,Y952=0,Z952=1,J952="Sim"),1,0)</f>
        <v>0</v>
      </c>
      <c r="AB952" s="96">
        <f>IF(AND(N952=1,O952&lt;&gt;"",D952&lt;&gt;""),IF(COUNTIFS($O$6:O952,O952,$D$6:D952,D952)=1,1,0),0)</f>
        <v>0</v>
      </c>
      <c r="AC952" s="96">
        <f>IF(T952=1,INDEX('ITENS_MTR'!$AL$6:$AL$1005,S952),0)</f>
        <v>0</v>
      </c>
    </row>
    <row r="953">
      <c r="A953" s="89" t="inlineStr">
        <is>
          <t>VIN-000948</t>
        </is>
      </c>
      <c r="B953" s="91" t="n"/>
      <c r="C953" s="91" t="n"/>
      <c r="D953" s="94" t="str">
        <f>IF(T953=1,INDEX('ITENS_MTR'!$S$6:$S$1005,S953)&amp;"","")</f>
        <v/>
      </c>
      <c r="E953" s="94" t="str">
        <f>IF(T953=1,INDEX('ITENS_MTR'!$C$6:$C$1005,S953)&amp;"","")</f>
        <v/>
      </c>
      <c r="F953" s="98" t="n"/>
      <c r="G953" s="91" t="n"/>
      <c r="H953" s="93" t="str">
        <f>IF(N953=0,"",IF(NOT(ISNUMBER(F953)),"",IF(ISNUMBER(U953),F953*U953,"UNIDADE A CONFERIR")))</f>
        <v/>
      </c>
      <c r="I953" s="94" t="str">
        <f>IF(Q953=1,INDEX('CDFs'!$F$6:$F$505,P953)&amp;"","")</f>
        <v/>
      </c>
      <c r="J953" s="91" t="n"/>
      <c r="K953" s="91" t="n"/>
      <c r="L953" s="94" t="str">
        <f>IF(N953=0,"",IF(NOT(ISNUMBER(F953)),"Quantidade não informada",IF(F953&lt;=0,"Quantidade não positiva",IF(G953="","Unidade não informada",IF(NOT(ISNUMBER(H953)),"Unidade a conferir",IF(AC953=1,"REVISAR VÍNCULO: soma vinculada maior que a referência do item","OK"))))))</f>
        <v/>
      </c>
      <c r="M953" s="94" t="str">
        <f>IF(N953=0,"",IF(B953="","CDF não informado",IF(Q953=0,"REVISAR VÍNCULO: CDF inexistente",IF(C953="","Item não informado",IF(T953=0,"REVISAR VÍNCULO: item inexistente",IF(AND(X953=1,J953&lt;&gt;"Sim"),"REVISAR VÍNCULO: destinador diferente do MTR",IF(X953=1,"Destinador diferente do MTR (analisado)","OK")))))))</f>
        <v/>
      </c>
      <c r="N953" s="96">
        <f>IF(COUNTA(B953:C953,F953:G953,J953:K953)&gt;0,1,0)</f>
        <v>0</v>
      </c>
      <c r="O953" s="96" t="str">
        <f>IF(B953="","",TRIM(LEFT(B953,FIND(" |",B953&amp;" |")-1)))</f>
        <v/>
      </c>
      <c r="P953" s="96" t="str">
        <f>IF(O953="","",IFERROR(MATCH(O953,'CDFs'!$A$6:$A$505,0),""))</f>
        <v/>
      </c>
      <c r="Q953" s="96">
        <f>IF(P953="",0,IF(INDEX('CDFs'!$S$6:$S$505,P953)=1,1,0))</f>
        <v>0</v>
      </c>
      <c r="R953" s="96" t="str">
        <f>IF(C953="","",TRIM(LEFT(C953,FIND(" |",C953&amp;" |")-1)))</f>
        <v/>
      </c>
      <c r="S953" s="96" t="str">
        <f>IF(R953="","",IFERROR(MATCH(R953,'ITENS_MTR'!$A$6:$A$1005,0),""))</f>
        <v/>
      </c>
      <c r="T953" s="96">
        <f>IF(S953="",0,IF(INDEX('ITENS_MTR'!$R$6:$R$1005,S953)=1,1,0))</f>
        <v>0</v>
      </c>
      <c r="U953" s="96" t="str">
        <f>IF(G953="","",IFERROR(IF(ISNUMBER(INDEX(cfg_fac,MATCH(G953,cfg_units,0))),IF(INDEX(cfg_fac,MATCH(G953,cfg_units,0))&gt;0,INDEX(cfg_fac,MATCH(G953,cfg_units,0)),""),""),""))</f>
        <v/>
      </c>
      <c r="V953" s="96">
        <f>IF(AND(ISNUMBER(F953),ISNUMBER(H953)),IF(H953&gt;0,1,0),0)</f>
        <v>0</v>
      </c>
      <c r="W953" s="96" t="str">
        <f>IF(T953=1,INDEX('ITENS_MTR'!$AU$6:$AU$1005,S953)&amp;"","")</f>
        <v/>
      </c>
      <c r="X953" s="96">
        <f>IF(AND(Q953=1,T953=1,I953&lt;&gt;"",W953&lt;&gt;""),IF(I953&lt;&gt;W953,1,0),0)</f>
        <v>0</v>
      </c>
      <c r="Y953" s="96">
        <f>IF(N953=0,0,IF(OR(Q953=0,T953=0,V953=0,AND(X953=1,J953&lt;&gt;"Sim")),1,0))</f>
        <v>0</v>
      </c>
      <c r="Z953" s="96">
        <f>IF(Q953=1,INDEX('CDFs'!$W$6:$W$505,P953),0)</f>
        <v>0</v>
      </c>
      <c r="AA953" s="96">
        <f>IF(AND(N953=1,Y953=0,Z953=1,J953="Sim"),1,0)</f>
        <v>0</v>
      </c>
      <c r="AB953" s="96">
        <f>IF(AND(N953=1,O953&lt;&gt;"",D953&lt;&gt;""),IF(COUNTIFS($O$6:O953,O953,$D$6:D953,D953)=1,1,0),0)</f>
        <v>0</v>
      </c>
      <c r="AC953" s="96">
        <f>IF(T953=1,INDEX('ITENS_MTR'!$AL$6:$AL$1005,S953),0)</f>
        <v>0</v>
      </c>
    </row>
    <row r="954">
      <c r="A954" s="89" t="inlineStr">
        <is>
          <t>VIN-000949</t>
        </is>
      </c>
      <c r="B954" s="91" t="n"/>
      <c r="C954" s="91" t="n"/>
      <c r="D954" s="94" t="str">
        <f>IF(T954=1,INDEX('ITENS_MTR'!$S$6:$S$1005,S954)&amp;"","")</f>
        <v/>
      </c>
      <c r="E954" s="94" t="str">
        <f>IF(T954=1,INDEX('ITENS_MTR'!$C$6:$C$1005,S954)&amp;"","")</f>
        <v/>
      </c>
      <c r="F954" s="98" t="n"/>
      <c r="G954" s="91" t="n"/>
      <c r="H954" s="93" t="str">
        <f>IF(N954=0,"",IF(NOT(ISNUMBER(F954)),"",IF(ISNUMBER(U954),F954*U954,"UNIDADE A CONFERIR")))</f>
        <v/>
      </c>
      <c r="I954" s="94" t="str">
        <f>IF(Q954=1,INDEX('CDFs'!$F$6:$F$505,P954)&amp;"","")</f>
        <v/>
      </c>
      <c r="J954" s="91" t="n"/>
      <c r="K954" s="91" t="n"/>
      <c r="L954" s="94" t="str">
        <f>IF(N954=0,"",IF(NOT(ISNUMBER(F954)),"Quantidade não informada",IF(F954&lt;=0,"Quantidade não positiva",IF(G954="","Unidade não informada",IF(NOT(ISNUMBER(H954)),"Unidade a conferir",IF(AC954=1,"REVISAR VÍNCULO: soma vinculada maior que a referência do item","OK"))))))</f>
        <v/>
      </c>
      <c r="M954" s="94" t="str">
        <f>IF(N954=0,"",IF(B954="","CDF não informado",IF(Q954=0,"REVISAR VÍNCULO: CDF inexistente",IF(C954="","Item não informado",IF(T954=0,"REVISAR VÍNCULO: item inexistente",IF(AND(X954=1,J954&lt;&gt;"Sim"),"REVISAR VÍNCULO: destinador diferente do MTR",IF(X954=1,"Destinador diferente do MTR (analisado)","OK")))))))</f>
        <v/>
      </c>
      <c r="N954" s="96">
        <f>IF(COUNTA(B954:C954,F954:G954,J954:K954)&gt;0,1,0)</f>
        <v>0</v>
      </c>
      <c r="O954" s="96" t="str">
        <f>IF(B954="","",TRIM(LEFT(B954,FIND(" |",B954&amp;" |")-1)))</f>
        <v/>
      </c>
      <c r="P954" s="96" t="str">
        <f>IF(O954="","",IFERROR(MATCH(O954,'CDFs'!$A$6:$A$505,0),""))</f>
        <v/>
      </c>
      <c r="Q954" s="96">
        <f>IF(P954="",0,IF(INDEX('CDFs'!$S$6:$S$505,P954)=1,1,0))</f>
        <v>0</v>
      </c>
      <c r="R954" s="96" t="str">
        <f>IF(C954="","",TRIM(LEFT(C954,FIND(" |",C954&amp;" |")-1)))</f>
        <v/>
      </c>
      <c r="S954" s="96" t="str">
        <f>IF(R954="","",IFERROR(MATCH(R954,'ITENS_MTR'!$A$6:$A$1005,0),""))</f>
        <v/>
      </c>
      <c r="T954" s="96">
        <f>IF(S954="",0,IF(INDEX('ITENS_MTR'!$R$6:$R$1005,S954)=1,1,0))</f>
        <v>0</v>
      </c>
      <c r="U954" s="96" t="str">
        <f>IF(G954="","",IFERROR(IF(ISNUMBER(INDEX(cfg_fac,MATCH(G954,cfg_units,0))),IF(INDEX(cfg_fac,MATCH(G954,cfg_units,0))&gt;0,INDEX(cfg_fac,MATCH(G954,cfg_units,0)),""),""),""))</f>
        <v/>
      </c>
      <c r="V954" s="96">
        <f>IF(AND(ISNUMBER(F954),ISNUMBER(H954)),IF(H954&gt;0,1,0),0)</f>
        <v>0</v>
      </c>
      <c r="W954" s="96" t="str">
        <f>IF(T954=1,INDEX('ITENS_MTR'!$AU$6:$AU$1005,S954)&amp;"","")</f>
        <v/>
      </c>
      <c r="X954" s="96">
        <f>IF(AND(Q954=1,T954=1,I954&lt;&gt;"",W954&lt;&gt;""),IF(I954&lt;&gt;W954,1,0),0)</f>
        <v>0</v>
      </c>
      <c r="Y954" s="96">
        <f>IF(N954=0,0,IF(OR(Q954=0,T954=0,V954=0,AND(X954=1,J954&lt;&gt;"Sim")),1,0))</f>
        <v>0</v>
      </c>
      <c r="Z954" s="96">
        <f>IF(Q954=1,INDEX('CDFs'!$W$6:$W$505,P954),0)</f>
        <v>0</v>
      </c>
      <c r="AA954" s="96">
        <f>IF(AND(N954=1,Y954=0,Z954=1,J954="Sim"),1,0)</f>
        <v>0</v>
      </c>
      <c r="AB954" s="96">
        <f>IF(AND(N954=1,O954&lt;&gt;"",D954&lt;&gt;""),IF(COUNTIFS($O$6:O954,O954,$D$6:D954,D954)=1,1,0),0)</f>
        <v>0</v>
      </c>
      <c r="AC954" s="96">
        <f>IF(T954=1,INDEX('ITENS_MTR'!$AL$6:$AL$1005,S954),0)</f>
        <v>0</v>
      </c>
    </row>
    <row r="955">
      <c r="A955" s="89" t="inlineStr">
        <is>
          <t>VIN-000950</t>
        </is>
      </c>
      <c r="B955" s="91" t="n"/>
      <c r="C955" s="91" t="n"/>
      <c r="D955" s="94" t="str">
        <f>IF(T955=1,INDEX('ITENS_MTR'!$S$6:$S$1005,S955)&amp;"","")</f>
        <v/>
      </c>
      <c r="E955" s="94" t="str">
        <f>IF(T955=1,INDEX('ITENS_MTR'!$C$6:$C$1005,S955)&amp;"","")</f>
        <v/>
      </c>
      <c r="F955" s="98" t="n"/>
      <c r="G955" s="91" t="n"/>
      <c r="H955" s="93" t="str">
        <f>IF(N955=0,"",IF(NOT(ISNUMBER(F955)),"",IF(ISNUMBER(U955),F955*U955,"UNIDADE A CONFERIR")))</f>
        <v/>
      </c>
      <c r="I955" s="94" t="str">
        <f>IF(Q955=1,INDEX('CDFs'!$F$6:$F$505,P955)&amp;"","")</f>
        <v/>
      </c>
      <c r="J955" s="91" t="n"/>
      <c r="K955" s="91" t="n"/>
      <c r="L955" s="94" t="str">
        <f>IF(N955=0,"",IF(NOT(ISNUMBER(F955)),"Quantidade não informada",IF(F955&lt;=0,"Quantidade não positiva",IF(G955="","Unidade não informada",IF(NOT(ISNUMBER(H955)),"Unidade a conferir",IF(AC955=1,"REVISAR VÍNCULO: soma vinculada maior que a referência do item","OK"))))))</f>
        <v/>
      </c>
      <c r="M955" s="94" t="str">
        <f>IF(N955=0,"",IF(B955="","CDF não informado",IF(Q955=0,"REVISAR VÍNCULO: CDF inexistente",IF(C955="","Item não informado",IF(T955=0,"REVISAR VÍNCULO: item inexistente",IF(AND(X955=1,J955&lt;&gt;"Sim"),"REVISAR VÍNCULO: destinador diferente do MTR",IF(X955=1,"Destinador diferente do MTR (analisado)","OK")))))))</f>
        <v/>
      </c>
      <c r="N955" s="96">
        <f>IF(COUNTA(B955:C955,F955:G955,J955:K955)&gt;0,1,0)</f>
        <v>0</v>
      </c>
      <c r="O955" s="96" t="str">
        <f>IF(B955="","",TRIM(LEFT(B955,FIND(" |",B955&amp;" |")-1)))</f>
        <v/>
      </c>
      <c r="P955" s="96" t="str">
        <f>IF(O955="","",IFERROR(MATCH(O955,'CDFs'!$A$6:$A$505,0),""))</f>
        <v/>
      </c>
      <c r="Q955" s="96">
        <f>IF(P955="",0,IF(INDEX('CDFs'!$S$6:$S$505,P955)=1,1,0))</f>
        <v>0</v>
      </c>
      <c r="R955" s="96" t="str">
        <f>IF(C955="","",TRIM(LEFT(C955,FIND(" |",C955&amp;" |")-1)))</f>
        <v/>
      </c>
      <c r="S955" s="96" t="str">
        <f>IF(R955="","",IFERROR(MATCH(R955,'ITENS_MTR'!$A$6:$A$1005,0),""))</f>
        <v/>
      </c>
      <c r="T955" s="96">
        <f>IF(S955="",0,IF(INDEX('ITENS_MTR'!$R$6:$R$1005,S955)=1,1,0))</f>
        <v>0</v>
      </c>
      <c r="U955" s="96" t="str">
        <f>IF(G955="","",IFERROR(IF(ISNUMBER(INDEX(cfg_fac,MATCH(G955,cfg_units,0))),IF(INDEX(cfg_fac,MATCH(G955,cfg_units,0))&gt;0,INDEX(cfg_fac,MATCH(G955,cfg_units,0)),""),""),""))</f>
        <v/>
      </c>
      <c r="V955" s="96">
        <f>IF(AND(ISNUMBER(F955),ISNUMBER(H955)),IF(H955&gt;0,1,0),0)</f>
        <v>0</v>
      </c>
      <c r="W955" s="96" t="str">
        <f>IF(T955=1,INDEX('ITENS_MTR'!$AU$6:$AU$1005,S955)&amp;"","")</f>
        <v/>
      </c>
      <c r="X955" s="96">
        <f>IF(AND(Q955=1,T955=1,I955&lt;&gt;"",W955&lt;&gt;""),IF(I955&lt;&gt;W955,1,0),0)</f>
        <v>0</v>
      </c>
      <c r="Y955" s="96">
        <f>IF(N955=0,0,IF(OR(Q955=0,T955=0,V955=0,AND(X955=1,J955&lt;&gt;"Sim")),1,0))</f>
        <v>0</v>
      </c>
      <c r="Z955" s="96">
        <f>IF(Q955=1,INDEX('CDFs'!$W$6:$W$505,P955),0)</f>
        <v>0</v>
      </c>
      <c r="AA955" s="96">
        <f>IF(AND(N955=1,Y955=0,Z955=1,J955="Sim"),1,0)</f>
        <v>0</v>
      </c>
      <c r="AB955" s="96">
        <f>IF(AND(N955=1,O955&lt;&gt;"",D955&lt;&gt;""),IF(COUNTIFS($O$6:O955,O955,$D$6:D955,D955)=1,1,0),0)</f>
        <v>0</v>
      </c>
      <c r="AC955" s="96">
        <f>IF(T955=1,INDEX('ITENS_MTR'!$AL$6:$AL$1005,S955),0)</f>
        <v>0</v>
      </c>
    </row>
    <row r="956">
      <c r="A956" s="89" t="inlineStr">
        <is>
          <t>VIN-000951</t>
        </is>
      </c>
      <c r="B956" s="91" t="n"/>
      <c r="C956" s="91" t="n"/>
      <c r="D956" s="94" t="str">
        <f>IF(T956=1,INDEX('ITENS_MTR'!$S$6:$S$1005,S956)&amp;"","")</f>
        <v/>
      </c>
      <c r="E956" s="94" t="str">
        <f>IF(T956=1,INDEX('ITENS_MTR'!$C$6:$C$1005,S956)&amp;"","")</f>
        <v/>
      </c>
      <c r="F956" s="98" t="n"/>
      <c r="G956" s="91" t="n"/>
      <c r="H956" s="93" t="str">
        <f>IF(N956=0,"",IF(NOT(ISNUMBER(F956)),"",IF(ISNUMBER(U956),F956*U956,"UNIDADE A CONFERIR")))</f>
        <v/>
      </c>
      <c r="I956" s="94" t="str">
        <f>IF(Q956=1,INDEX('CDFs'!$F$6:$F$505,P956)&amp;"","")</f>
        <v/>
      </c>
      <c r="J956" s="91" t="n"/>
      <c r="K956" s="91" t="n"/>
      <c r="L956" s="94" t="str">
        <f>IF(N956=0,"",IF(NOT(ISNUMBER(F956)),"Quantidade não informada",IF(F956&lt;=0,"Quantidade não positiva",IF(G956="","Unidade não informada",IF(NOT(ISNUMBER(H956)),"Unidade a conferir",IF(AC956=1,"REVISAR VÍNCULO: soma vinculada maior que a referência do item","OK"))))))</f>
        <v/>
      </c>
      <c r="M956" s="94" t="str">
        <f>IF(N956=0,"",IF(B956="","CDF não informado",IF(Q956=0,"REVISAR VÍNCULO: CDF inexistente",IF(C956="","Item não informado",IF(T956=0,"REVISAR VÍNCULO: item inexistente",IF(AND(X956=1,J956&lt;&gt;"Sim"),"REVISAR VÍNCULO: destinador diferente do MTR",IF(X956=1,"Destinador diferente do MTR (analisado)","OK")))))))</f>
        <v/>
      </c>
      <c r="N956" s="96">
        <f>IF(COUNTA(B956:C956,F956:G956,J956:K956)&gt;0,1,0)</f>
        <v>0</v>
      </c>
      <c r="O956" s="96" t="str">
        <f>IF(B956="","",TRIM(LEFT(B956,FIND(" |",B956&amp;" |")-1)))</f>
        <v/>
      </c>
      <c r="P956" s="96" t="str">
        <f>IF(O956="","",IFERROR(MATCH(O956,'CDFs'!$A$6:$A$505,0),""))</f>
        <v/>
      </c>
      <c r="Q956" s="96">
        <f>IF(P956="",0,IF(INDEX('CDFs'!$S$6:$S$505,P956)=1,1,0))</f>
        <v>0</v>
      </c>
      <c r="R956" s="96" t="str">
        <f>IF(C956="","",TRIM(LEFT(C956,FIND(" |",C956&amp;" |")-1)))</f>
        <v/>
      </c>
      <c r="S956" s="96" t="str">
        <f>IF(R956="","",IFERROR(MATCH(R956,'ITENS_MTR'!$A$6:$A$1005,0),""))</f>
        <v/>
      </c>
      <c r="T956" s="96">
        <f>IF(S956="",0,IF(INDEX('ITENS_MTR'!$R$6:$R$1005,S956)=1,1,0))</f>
        <v>0</v>
      </c>
      <c r="U956" s="96" t="str">
        <f>IF(G956="","",IFERROR(IF(ISNUMBER(INDEX(cfg_fac,MATCH(G956,cfg_units,0))),IF(INDEX(cfg_fac,MATCH(G956,cfg_units,0))&gt;0,INDEX(cfg_fac,MATCH(G956,cfg_units,0)),""),""),""))</f>
        <v/>
      </c>
      <c r="V956" s="96">
        <f>IF(AND(ISNUMBER(F956),ISNUMBER(H956)),IF(H956&gt;0,1,0),0)</f>
        <v>0</v>
      </c>
      <c r="W956" s="96" t="str">
        <f>IF(T956=1,INDEX('ITENS_MTR'!$AU$6:$AU$1005,S956)&amp;"","")</f>
        <v/>
      </c>
      <c r="X956" s="96">
        <f>IF(AND(Q956=1,T956=1,I956&lt;&gt;"",W956&lt;&gt;""),IF(I956&lt;&gt;W956,1,0),0)</f>
        <v>0</v>
      </c>
      <c r="Y956" s="96">
        <f>IF(N956=0,0,IF(OR(Q956=0,T956=0,V956=0,AND(X956=1,J956&lt;&gt;"Sim")),1,0))</f>
        <v>0</v>
      </c>
      <c r="Z956" s="96">
        <f>IF(Q956=1,INDEX('CDFs'!$W$6:$W$505,P956),0)</f>
        <v>0</v>
      </c>
      <c r="AA956" s="96">
        <f>IF(AND(N956=1,Y956=0,Z956=1,J956="Sim"),1,0)</f>
        <v>0</v>
      </c>
      <c r="AB956" s="96">
        <f>IF(AND(N956=1,O956&lt;&gt;"",D956&lt;&gt;""),IF(COUNTIFS($O$6:O956,O956,$D$6:D956,D956)=1,1,0),0)</f>
        <v>0</v>
      </c>
      <c r="AC956" s="96">
        <f>IF(T956=1,INDEX('ITENS_MTR'!$AL$6:$AL$1005,S956),0)</f>
        <v>0</v>
      </c>
    </row>
    <row r="957">
      <c r="A957" s="89" t="inlineStr">
        <is>
          <t>VIN-000952</t>
        </is>
      </c>
      <c r="B957" s="91" t="n"/>
      <c r="C957" s="91" t="n"/>
      <c r="D957" s="94" t="str">
        <f>IF(T957=1,INDEX('ITENS_MTR'!$S$6:$S$1005,S957)&amp;"","")</f>
        <v/>
      </c>
      <c r="E957" s="94" t="str">
        <f>IF(T957=1,INDEX('ITENS_MTR'!$C$6:$C$1005,S957)&amp;"","")</f>
        <v/>
      </c>
      <c r="F957" s="98" t="n"/>
      <c r="G957" s="91" t="n"/>
      <c r="H957" s="93" t="str">
        <f>IF(N957=0,"",IF(NOT(ISNUMBER(F957)),"",IF(ISNUMBER(U957),F957*U957,"UNIDADE A CONFERIR")))</f>
        <v/>
      </c>
      <c r="I957" s="94" t="str">
        <f>IF(Q957=1,INDEX('CDFs'!$F$6:$F$505,P957)&amp;"","")</f>
        <v/>
      </c>
      <c r="J957" s="91" t="n"/>
      <c r="K957" s="91" t="n"/>
      <c r="L957" s="94" t="str">
        <f>IF(N957=0,"",IF(NOT(ISNUMBER(F957)),"Quantidade não informada",IF(F957&lt;=0,"Quantidade não positiva",IF(G957="","Unidade não informada",IF(NOT(ISNUMBER(H957)),"Unidade a conferir",IF(AC957=1,"REVISAR VÍNCULO: soma vinculada maior que a referência do item","OK"))))))</f>
        <v/>
      </c>
      <c r="M957" s="94" t="str">
        <f>IF(N957=0,"",IF(B957="","CDF não informado",IF(Q957=0,"REVISAR VÍNCULO: CDF inexistente",IF(C957="","Item não informado",IF(T957=0,"REVISAR VÍNCULO: item inexistente",IF(AND(X957=1,J957&lt;&gt;"Sim"),"REVISAR VÍNCULO: destinador diferente do MTR",IF(X957=1,"Destinador diferente do MTR (analisado)","OK")))))))</f>
        <v/>
      </c>
      <c r="N957" s="96">
        <f>IF(COUNTA(B957:C957,F957:G957,J957:K957)&gt;0,1,0)</f>
        <v>0</v>
      </c>
      <c r="O957" s="96" t="str">
        <f>IF(B957="","",TRIM(LEFT(B957,FIND(" |",B957&amp;" |")-1)))</f>
        <v/>
      </c>
      <c r="P957" s="96" t="str">
        <f>IF(O957="","",IFERROR(MATCH(O957,'CDFs'!$A$6:$A$505,0),""))</f>
        <v/>
      </c>
      <c r="Q957" s="96">
        <f>IF(P957="",0,IF(INDEX('CDFs'!$S$6:$S$505,P957)=1,1,0))</f>
        <v>0</v>
      </c>
      <c r="R957" s="96" t="str">
        <f>IF(C957="","",TRIM(LEFT(C957,FIND(" |",C957&amp;" |")-1)))</f>
        <v/>
      </c>
      <c r="S957" s="96" t="str">
        <f>IF(R957="","",IFERROR(MATCH(R957,'ITENS_MTR'!$A$6:$A$1005,0),""))</f>
        <v/>
      </c>
      <c r="T957" s="96">
        <f>IF(S957="",0,IF(INDEX('ITENS_MTR'!$R$6:$R$1005,S957)=1,1,0))</f>
        <v>0</v>
      </c>
      <c r="U957" s="96" t="str">
        <f>IF(G957="","",IFERROR(IF(ISNUMBER(INDEX(cfg_fac,MATCH(G957,cfg_units,0))),IF(INDEX(cfg_fac,MATCH(G957,cfg_units,0))&gt;0,INDEX(cfg_fac,MATCH(G957,cfg_units,0)),""),""),""))</f>
        <v/>
      </c>
      <c r="V957" s="96">
        <f>IF(AND(ISNUMBER(F957),ISNUMBER(H957)),IF(H957&gt;0,1,0),0)</f>
        <v>0</v>
      </c>
      <c r="W957" s="96" t="str">
        <f>IF(T957=1,INDEX('ITENS_MTR'!$AU$6:$AU$1005,S957)&amp;"","")</f>
        <v/>
      </c>
      <c r="X957" s="96">
        <f>IF(AND(Q957=1,T957=1,I957&lt;&gt;"",W957&lt;&gt;""),IF(I957&lt;&gt;W957,1,0),0)</f>
        <v>0</v>
      </c>
      <c r="Y957" s="96">
        <f>IF(N957=0,0,IF(OR(Q957=0,T957=0,V957=0,AND(X957=1,J957&lt;&gt;"Sim")),1,0))</f>
        <v>0</v>
      </c>
      <c r="Z957" s="96">
        <f>IF(Q957=1,INDEX('CDFs'!$W$6:$W$505,P957),0)</f>
        <v>0</v>
      </c>
      <c r="AA957" s="96">
        <f>IF(AND(N957=1,Y957=0,Z957=1,J957="Sim"),1,0)</f>
        <v>0</v>
      </c>
      <c r="AB957" s="96">
        <f>IF(AND(N957=1,O957&lt;&gt;"",D957&lt;&gt;""),IF(COUNTIFS($O$6:O957,O957,$D$6:D957,D957)=1,1,0),0)</f>
        <v>0</v>
      </c>
      <c r="AC957" s="96">
        <f>IF(T957=1,INDEX('ITENS_MTR'!$AL$6:$AL$1005,S957),0)</f>
        <v>0</v>
      </c>
    </row>
    <row r="958">
      <c r="A958" s="89" t="inlineStr">
        <is>
          <t>VIN-000953</t>
        </is>
      </c>
      <c r="B958" s="91" t="n"/>
      <c r="C958" s="91" t="n"/>
      <c r="D958" s="94" t="str">
        <f>IF(T958=1,INDEX('ITENS_MTR'!$S$6:$S$1005,S958)&amp;"","")</f>
        <v/>
      </c>
      <c r="E958" s="94" t="str">
        <f>IF(T958=1,INDEX('ITENS_MTR'!$C$6:$C$1005,S958)&amp;"","")</f>
        <v/>
      </c>
      <c r="F958" s="98" t="n"/>
      <c r="G958" s="91" t="n"/>
      <c r="H958" s="93" t="str">
        <f>IF(N958=0,"",IF(NOT(ISNUMBER(F958)),"",IF(ISNUMBER(U958),F958*U958,"UNIDADE A CONFERIR")))</f>
        <v/>
      </c>
      <c r="I958" s="94" t="str">
        <f>IF(Q958=1,INDEX('CDFs'!$F$6:$F$505,P958)&amp;"","")</f>
        <v/>
      </c>
      <c r="J958" s="91" t="n"/>
      <c r="K958" s="91" t="n"/>
      <c r="L958" s="94" t="str">
        <f>IF(N958=0,"",IF(NOT(ISNUMBER(F958)),"Quantidade não informada",IF(F958&lt;=0,"Quantidade não positiva",IF(G958="","Unidade não informada",IF(NOT(ISNUMBER(H958)),"Unidade a conferir",IF(AC958=1,"REVISAR VÍNCULO: soma vinculada maior que a referência do item","OK"))))))</f>
        <v/>
      </c>
      <c r="M958" s="94" t="str">
        <f>IF(N958=0,"",IF(B958="","CDF não informado",IF(Q958=0,"REVISAR VÍNCULO: CDF inexistente",IF(C958="","Item não informado",IF(T958=0,"REVISAR VÍNCULO: item inexistente",IF(AND(X958=1,J958&lt;&gt;"Sim"),"REVISAR VÍNCULO: destinador diferente do MTR",IF(X958=1,"Destinador diferente do MTR (analisado)","OK")))))))</f>
        <v/>
      </c>
      <c r="N958" s="96">
        <f>IF(COUNTA(B958:C958,F958:G958,J958:K958)&gt;0,1,0)</f>
        <v>0</v>
      </c>
      <c r="O958" s="96" t="str">
        <f>IF(B958="","",TRIM(LEFT(B958,FIND(" |",B958&amp;" |")-1)))</f>
        <v/>
      </c>
      <c r="P958" s="96" t="str">
        <f>IF(O958="","",IFERROR(MATCH(O958,'CDFs'!$A$6:$A$505,0),""))</f>
        <v/>
      </c>
      <c r="Q958" s="96">
        <f>IF(P958="",0,IF(INDEX('CDFs'!$S$6:$S$505,P958)=1,1,0))</f>
        <v>0</v>
      </c>
      <c r="R958" s="96" t="str">
        <f>IF(C958="","",TRIM(LEFT(C958,FIND(" |",C958&amp;" |")-1)))</f>
        <v/>
      </c>
      <c r="S958" s="96" t="str">
        <f>IF(R958="","",IFERROR(MATCH(R958,'ITENS_MTR'!$A$6:$A$1005,0),""))</f>
        <v/>
      </c>
      <c r="T958" s="96">
        <f>IF(S958="",0,IF(INDEX('ITENS_MTR'!$R$6:$R$1005,S958)=1,1,0))</f>
        <v>0</v>
      </c>
      <c r="U958" s="96" t="str">
        <f>IF(G958="","",IFERROR(IF(ISNUMBER(INDEX(cfg_fac,MATCH(G958,cfg_units,0))),IF(INDEX(cfg_fac,MATCH(G958,cfg_units,0))&gt;0,INDEX(cfg_fac,MATCH(G958,cfg_units,0)),""),""),""))</f>
        <v/>
      </c>
      <c r="V958" s="96">
        <f>IF(AND(ISNUMBER(F958),ISNUMBER(H958)),IF(H958&gt;0,1,0),0)</f>
        <v>0</v>
      </c>
      <c r="W958" s="96" t="str">
        <f>IF(T958=1,INDEX('ITENS_MTR'!$AU$6:$AU$1005,S958)&amp;"","")</f>
        <v/>
      </c>
      <c r="X958" s="96">
        <f>IF(AND(Q958=1,T958=1,I958&lt;&gt;"",W958&lt;&gt;""),IF(I958&lt;&gt;W958,1,0),0)</f>
        <v>0</v>
      </c>
      <c r="Y958" s="96">
        <f>IF(N958=0,0,IF(OR(Q958=0,T958=0,V958=0,AND(X958=1,J958&lt;&gt;"Sim")),1,0))</f>
        <v>0</v>
      </c>
      <c r="Z958" s="96">
        <f>IF(Q958=1,INDEX('CDFs'!$W$6:$W$505,P958),0)</f>
        <v>0</v>
      </c>
      <c r="AA958" s="96">
        <f>IF(AND(N958=1,Y958=0,Z958=1,J958="Sim"),1,0)</f>
        <v>0</v>
      </c>
      <c r="AB958" s="96">
        <f>IF(AND(N958=1,O958&lt;&gt;"",D958&lt;&gt;""),IF(COUNTIFS($O$6:O958,O958,$D$6:D958,D958)=1,1,0),0)</f>
        <v>0</v>
      </c>
      <c r="AC958" s="96">
        <f>IF(T958=1,INDEX('ITENS_MTR'!$AL$6:$AL$1005,S958),0)</f>
        <v>0</v>
      </c>
    </row>
    <row r="959">
      <c r="A959" s="89" t="inlineStr">
        <is>
          <t>VIN-000954</t>
        </is>
      </c>
      <c r="B959" s="91" t="n"/>
      <c r="C959" s="91" t="n"/>
      <c r="D959" s="94" t="str">
        <f>IF(T959=1,INDEX('ITENS_MTR'!$S$6:$S$1005,S959)&amp;"","")</f>
        <v/>
      </c>
      <c r="E959" s="94" t="str">
        <f>IF(T959=1,INDEX('ITENS_MTR'!$C$6:$C$1005,S959)&amp;"","")</f>
        <v/>
      </c>
      <c r="F959" s="98" t="n"/>
      <c r="G959" s="91" t="n"/>
      <c r="H959" s="93" t="str">
        <f>IF(N959=0,"",IF(NOT(ISNUMBER(F959)),"",IF(ISNUMBER(U959),F959*U959,"UNIDADE A CONFERIR")))</f>
        <v/>
      </c>
      <c r="I959" s="94" t="str">
        <f>IF(Q959=1,INDEX('CDFs'!$F$6:$F$505,P959)&amp;"","")</f>
        <v/>
      </c>
      <c r="J959" s="91" t="n"/>
      <c r="K959" s="91" t="n"/>
      <c r="L959" s="94" t="str">
        <f>IF(N959=0,"",IF(NOT(ISNUMBER(F959)),"Quantidade não informada",IF(F959&lt;=0,"Quantidade não positiva",IF(G959="","Unidade não informada",IF(NOT(ISNUMBER(H959)),"Unidade a conferir",IF(AC959=1,"REVISAR VÍNCULO: soma vinculada maior que a referência do item","OK"))))))</f>
        <v/>
      </c>
      <c r="M959" s="94" t="str">
        <f>IF(N959=0,"",IF(B959="","CDF não informado",IF(Q959=0,"REVISAR VÍNCULO: CDF inexistente",IF(C959="","Item não informado",IF(T959=0,"REVISAR VÍNCULO: item inexistente",IF(AND(X959=1,J959&lt;&gt;"Sim"),"REVISAR VÍNCULO: destinador diferente do MTR",IF(X959=1,"Destinador diferente do MTR (analisado)","OK")))))))</f>
        <v/>
      </c>
      <c r="N959" s="96">
        <f>IF(COUNTA(B959:C959,F959:G959,J959:K959)&gt;0,1,0)</f>
        <v>0</v>
      </c>
      <c r="O959" s="96" t="str">
        <f>IF(B959="","",TRIM(LEFT(B959,FIND(" |",B959&amp;" |")-1)))</f>
        <v/>
      </c>
      <c r="P959" s="96" t="str">
        <f>IF(O959="","",IFERROR(MATCH(O959,'CDFs'!$A$6:$A$505,0),""))</f>
        <v/>
      </c>
      <c r="Q959" s="96">
        <f>IF(P959="",0,IF(INDEX('CDFs'!$S$6:$S$505,P959)=1,1,0))</f>
        <v>0</v>
      </c>
      <c r="R959" s="96" t="str">
        <f>IF(C959="","",TRIM(LEFT(C959,FIND(" |",C959&amp;" |")-1)))</f>
        <v/>
      </c>
      <c r="S959" s="96" t="str">
        <f>IF(R959="","",IFERROR(MATCH(R959,'ITENS_MTR'!$A$6:$A$1005,0),""))</f>
        <v/>
      </c>
      <c r="T959" s="96">
        <f>IF(S959="",0,IF(INDEX('ITENS_MTR'!$R$6:$R$1005,S959)=1,1,0))</f>
        <v>0</v>
      </c>
      <c r="U959" s="96" t="str">
        <f>IF(G959="","",IFERROR(IF(ISNUMBER(INDEX(cfg_fac,MATCH(G959,cfg_units,0))),IF(INDEX(cfg_fac,MATCH(G959,cfg_units,0))&gt;0,INDEX(cfg_fac,MATCH(G959,cfg_units,0)),""),""),""))</f>
        <v/>
      </c>
      <c r="V959" s="96">
        <f>IF(AND(ISNUMBER(F959),ISNUMBER(H959)),IF(H959&gt;0,1,0),0)</f>
        <v>0</v>
      </c>
      <c r="W959" s="96" t="str">
        <f>IF(T959=1,INDEX('ITENS_MTR'!$AU$6:$AU$1005,S959)&amp;"","")</f>
        <v/>
      </c>
      <c r="X959" s="96">
        <f>IF(AND(Q959=1,T959=1,I959&lt;&gt;"",W959&lt;&gt;""),IF(I959&lt;&gt;W959,1,0),0)</f>
        <v>0</v>
      </c>
      <c r="Y959" s="96">
        <f>IF(N959=0,0,IF(OR(Q959=0,T959=0,V959=0,AND(X959=1,J959&lt;&gt;"Sim")),1,0))</f>
        <v>0</v>
      </c>
      <c r="Z959" s="96">
        <f>IF(Q959=1,INDEX('CDFs'!$W$6:$W$505,P959),0)</f>
        <v>0</v>
      </c>
      <c r="AA959" s="96">
        <f>IF(AND(N959=1,Y959=0,Z959=1,J959="Sim"),1,0)</f>
        <v>0</v>
      </c>
      <c r="AB959" s="96">
        <f>IF(AND(N959=1,O959&lt;&gt;"",D959&lt;&gt;""),IF(COUNTIFS($O$6:O959,O959,$D$6:D959,D959)=1,1,0),0)</f>
        <v>0</v>
      </c>
      <c r="AC959" s="96">
        <f>IF(T959=1,INDEX('ITENS_MTR'!$AL$6:$AL$1005,S959),0)</f>
        <v>0</v>
      </c>
    </row>
    <row r="960">
      <c r="A960" s="89" t="inlineStr">
        <is>
          <t>VIN-000955</t>
        </is>
      </c>
      <c r="B960" s="91" t="n"/>
      <c r="C960" s="91" t="n"/>
      <c r="D960" s="94" t="str">
        <f>IF(T960=1,INDEX('ITENS_MTR'!$S$6:$S$1005,S960)&amp;"","")</f>
        <v/>
      </c>
      <c r="E960" s="94" t="str">
        <f>IF(T960=1,INDEX('ITENS_MTR'!$C$6:$C$1005,S960)&amp;"","")</f>
        <v/>
      </c>
      <c r="F960" s="98" t="n"/>
      <c r="G960" s="91" t="n"/>
      <c r="H960" s="93" t="str">
        <f>IF(N960=0,"",IF(NOT(ISNUMBER(F960)),"",IF(ISNUMBER(U960),F960*U960,"UNIDADE A CONFERIR")))</f>
        <v/>
      </c>
      <c r="I960" s="94" t="str">
        <f>IF(Q960=1,INDEX('CDFs'!$F$6:$F$505,P960)&amp;"","")</f>
        <v/>
      </c>
      <c r="J960" s="91" t="n"/>
      <c r="K960" s="91" t="n"/>
      <c r="L960" s="94" t="str">
        <f>IF(N960=0,"",IF(NOT(ISNUMBER(F960)),"Quantidade não informada",IF(F960&lt;=0,"Quantidade não positiva",IF(G960="","Unidade não informada",IF(NOT(ISNUMBER(H960)),"Unidade a conferir",IF(AC960=1,"REVISAR VÍNCULO: soma vinculada maior que a referência do item","OK"))))))</f>
        <v/>
      </c>
      <c r="M960" s="94" t="str">
        <f>IF(N960=0,"",IF(B960="","CDF não informado",IF(Q960=0,"REVISAR VÍNCULO: CDF inexistente",IF(C960="","Item não informado",IF(T960=0,"REVISAR VÍNCULO: item inexistente",IF(AND(X960=1,J960&lt;&gt;"Sim"),"REVISAR VÍNCULO: destinador diferente do MTR",IF(X960=1,"Destinador diferente do MTR (analisado)","OK")))))))</f>
        <v/>
      </c>
      <c r="N960" s="96">
        <f>IF(COUNTA(B960:C960,F960:G960,J960:K960)&gt;0,1,0)</f>
        <v>0</v>
      </c>
      <c r="O960" s="96" t="str">
        <f>IF(B960="","",TRIM(LEFT(B960,FIND(" |",B960&amp;" |")-1)))</f>
        <v/>
      </c>
      <c r="P960" s="96" t="str">
        <f>IF(O960="","",IFERROR(MATCH(O960,'CDFs'!$A$6:$A$505,0),""))</f>
        <v/>
      </c>
      <c r="Q960" s="96">
        <f>IF(P960="",0,IF(INDEX('CDFs'!$S$6:$S$505,P960)=1,1,0))</f>
        <v>0</v>
      </c>
      <c r="R960" s="96" t="str">
        <f>IF(C960="","",TRIM(LEFT(C960,FIND(" |",C960&amp;" |")-1)))</f>
        <v/>
      </c>
      <c r="S960" s="96" t="str">
        <f>IF(R960="","",IFERROR(MATCH(R960,'ITENS_MTR'!$A$6:$A$1005,0),""))</f>
        <v/>
      </c>
      <c r="T960" s="96">
        <f>IF(S960="",0,IF(INDEX('ITENS_MTR'!$R$6:$R$1005,S960)=1,1,0))</f>
        <v>0</v>
      </c>
      <c r="U960" s="96" t="str">
        <f>IF(G960="","",IFERROR(IF(ISNUMBER(INDEX(cfg_fac,MATCH(G960,cfg_units,0))),IF(INDEX(cfg_fac,MATCH(G960,cfg_units,0))&gt;0,INDEX(cfg_fac,MATCH(G960,cfg_units,0)),""),""),""))</f>
        <v/>
      </c>
      <c r="V960" s="96">
        <f>IF(AND(ISNUMBER(F960),ISNUMBER(H960)),IF(H960&gt;0,1,0),0)</f>
        <v>0</v>
      </c>
      <c r="W960" s="96" t="str">
        <f>IF(T960=1,INDEX('ITENS_MTR'!$AU$6:$AU$1005,S960)&amp;"","")</f>
        <v/>
      </c>
      <c r="X960" s="96">
        <f>IF(AND(Q960=1,T960=1,I960&lt;&gt;"",W960&lt;&gt;""),IF(I960&lt;&gt;W960,1,0),0)</f>
        <v>0</v>
      </c>
      <c r="Y960" s="96">
        <f>IF(N960=0,0,IF(OR(Q960=0,T960=0,V960=0,AND(X960=1,J960&lt;&gt;"Sim")),1,0))</f>
        <v>0</v>
      </c>
      <c r="Z960" s="96">
        <f>IF(Q960=1,INDEX('CDFs'!$W$6:$W$505,P960),0)</f>
        <v>0</v>
      </c>
      <c r="AA960" s="96">
        <f>IF(AND(N960=1,Y960=0,Z960=1,J960="Sim"),1,0)</f>
        <v>0</v>
      </c>
      <c r="AB960" s="96">
        <f>IF(AND(N960=1,O960&lt;&gt;"",D960&lt;&gt;""),IF(COUNTIFS($O$6:O960,O960,$D$6:D960,D960)=1,1,0),0)</f>
        <v>0</v>
      </c>
      <c r="AC960" s="96">
        <f>IF(T960=1,INDEX('ITENS_MTR'!$AL$6:$AL$1005,S960),0)</f>
        <v>0</v>
      </c>
    </row>
    <row r="961">
      <c r="A961" s="89" t="inlineStr">
        <is>
          <t>VIN-000956</t>
        </is>
      </c>
      <c r="B961" s="91" t="n"/>
      <c r="C961" s="91" t="n"/>
      <c r="D961" s="94" t="str">
        <f>IF(T961=1,INDEX('ITENS_MTR'!$S$6:$S$1005,S961)&amp;"","")</f>
        <v/>
      </c>
      <c r="E961" s="94" t="str">
        <f>IF(T961=1,INDEX('ITENS_MTR'!$C$6:$C$1005,S961)&amp;"","")</f>
        <v/>
      </c>
      <c r="F961" s="98" t="n"/>
      <c r="G961" s="91" t="n"/>
      <c r="H961" s="93" t="str">
        <f>IF(N961=0,"",IF(NOT(ISNUMBER(F961)),"",IF(ISNUMBER(U961),F961*U961,"UNIDADE A CONFERIR")))</f>
        <v/>
      </c>
      <c r="I961" s="94" t="str">
        <f>IF(Q961=1,INDEX('CDFs'!$F$6:$F$505,P961)&amp;"","")</f>
        <v/>
      </c>
      <c r="J961" s="91" t="n"/>
      <c r="K961" s="91" t="n"/>
      <c r="L961" s="94" t="str">
        <f>IF(N961=0,"",IF(NOT(ISNUMBER(F961)),"Quantidade não informada",IF(F961&lt;=0,"Quantidade não positiva",IF(G961="","Unidade não informada",IF(NOT(ISNUMBER(H961)),"Unidade a conferir",IF(AC961=1,"REVISAR VÍNCULO: soma vinculada maior que a referência do item","OK"))))))</f>
        <v/>
      </c>
      <c r="M961" s="94" t="str">
        <f>IF(N961=0,"",IF(B961="","CDF não informado",IF(Q961=0,"REVISAR VÍNCULO: CDF inexistente",IF(C961="","Item não informado",IF(T961=0,"REVISAR VÍNCULO: item inexistente",IF(AND(X961=1,J961&lt;&gt;"Sim"),"REVISAR VÍNCULO: destinador diferente do MTR",IF(X961=1,"Destinador diferente do MTR (analisado)","OK")))))))</f>
        <v/>
      </c>
      <c r="N961" s="96">
        <f>IF(COUNTA(B961:C961,F961:G961,J961:K961)&gt;0,1,0)</f>
        <v>0</v>
      </c>
      <c r="O961" s="96" t="str">
        <f>IF(B961="","",TRIM(LEFT(B961,FIND(" |",B961&amp;" |")-1)))</f>
        <v/>
      </c>
      <c r="P961" s="96" t="str">
        <f>IF(O961="","",IFERROR(MATCH(O961,'CDFs'!$A$6:$A$505,0),""))</f>
        <v/>
      </c>
      <c r="Q961" s="96">
        <f>IF(P961="",0,IF(INDEX('CDFs'!$S$6:$S$505,P961)=1,1,0))</f>
        <v>0</v>
      </c>
      <c r="R961" s="96" t="str">
        <f>IF(C961="","",TRIM(LEFT(C961,FIND(" |",C961&amp;" |")-1)))</f>
        <v/>
      </c>
      <c r="S961" s="96" t="str">
        <f>IF(R961="","",IFERROR(MATCH(R961,'ITENS_MTR'!$A$6:$A$1005,0),""))</f>
        <v/>
      </c>
      <c r="T961" s="96">
        <f>IF(S961="",0,IF(INDEX('ITENS_MTR'!$R$6:$R$1005,S961)=1,1,0))</f>
        <v>0</v>
      </c>
      <c r="U961" s="96" t="str">
        <f>IF(G961="","",IFERROR(IF(ISNUMBER(INDEX(cfg_fac,MATCH(G961,cfg_units,0))),IF(INDEX(cfg_fac,MATCH(G961,cfg_units,0))&gt;0,INDEX(cfg_fac,MATCH(G961,cfg_units,0)),""),""),""))</f>
        <v/>
      </c>
      <c r="V961" s="96">
        <f>IF(AND(ISNUMBER(F961),ISNUMBER(H961)),IF(H961&gt;0,1,0),0)</f>
        <v>0</v>
      </c>
      <c r="W961" s="96" t="str">
        <f>IF(T961=1,INDEX('ITENS_MTR'!$AU$6:$AU$1005,S961)&amp;"","")</f>
        <v/>
      </c>
      <c r="X961" s="96">
        <f>IF(AND(Q961=1,T961=1,I961&lt;&gt;"",W961&lt;&gt;""),IF(I961&lt;&gt;W961,1,0),0)</f>
        <v>0</v>
      </c>
      <c r="Y961" s="96">
        <f>IF(N961=0,0,IF(OR(Q961=0,T961=0,V961=0,AND(X961=1,J961&lt;&gt;"Sim")),1,0))</f>
        <v>0</v>
      </c>
      <c r="Z961" s="96">
        <f>IF(Q961=1,INDEX('CDFs'!$W$6:$W$505,P961),0)</f>
        <v>0</v>
      </c>
      <c r="AA961" s="96">
        <f>IF(AND(N961=1,Y961=0,Z961=1,J961="Sim"),1,0)</f>
        <v>0</v>
      </c>
      <c r="AB961" s="96">
        <f>IF(AND(N961=1,O961&lt;&gt;"",D961&lt;&gt;""),IF(COUNTIFS($O$6:O961,O961,$D$6:D961,D961)=1,1,0),0)</f>
        <v>0</v>
      </c>
      <c r="AC961" s="96">
        <f>IF(T961=1,INDEX('ITENS_MTR'!$AL$6:$AL$1005,S961),0)</f>
        <v>0</v>
      </c>
    </row>
    <row r="962">
      <c r="A962" s="89" t="inlineStr">
        <is>
          <t>VIN-000957</t>
        </is>
      </c>
      <c r="B962" s="91" t="n"/>
      <c r="C962" s="91" t="n"/>
      <c r="D962" s="94" t="str">
        <f>IF(T962=1,INDEX('ITENS_MTR'!$S$6:$S$1005,S962)&amp;"","")</f>
        <v/>
      </c>
      <c r="E962" s="94" t="str">
        <f>IF(T962=1,INDEX('ITENS_MTR'!$C$6:$C$1005,S962)&amp;"","")</f>
        <v/>
      </c>
      <c r="F962" s="98" t="n"/>
      <c r="G962" s="91" t="n"/>
      <c r="H962" s="93" t="str">
        <f>IF(N962=0,"",IF(NOT(ISNUMBER(F962)),"",IF(ISNUMBER(U962),F962*U962,"UNIDADE A CONFERIR")))</f>
        <v/>
      </c>
      <c r="I962" s="94" t="str">
        <f>IF(Q962=1,INDEX('CDFs'!$F$6:$F$505,P962)&amp;"","")</f>
        <v/>
      </c>
      <c r="J962" s="91" t="n"/>
      <c r="K962" s="91" t="n"/>
      <c r="L962" s="94" t="str">
        <f>IF(N962=0,"",IF(NOT(ISNUMBER(F962)),"Quantidade não informada",IF(F962&lt;=0,"Quantidade não positiva",IF(G962="","Unidade não informada",IF(NOT(ISNUMBER(H962)),"Unidade a conferir",IF(AC962=1,"REVISAR VÍNCULO: soma vinculada maior que a referência do item","OK"))))))</f>
        <v/>
      </c>
      <c r="M962" s="94" t="str">
        <f>IF(N962=0,"",IF(B962="","CDF não informado",IF(Q962=0,"REVISAR VÍNCULO: CDF inexistente",IF(C962="","Item não informado",IF(T962=0,"REVISAR VÍNCULO: item inexistente",IF(AND(X962=1,J962&lt;&gt;"Sim"),"REVISAR VÍNCULO: destinador diferente do MTR",IF(X962=1,"Destinador diferente do MTR (analisado)","OK")))))))</f>
        <v/>
      </c>
      <c r="N962" s="96">
        <f>IF(COUNTA(B962:C962,F962:G962,J962:K962)&gt;0,1,0)</f>
        <v>0</v>
      </c>
      <c r="O962" s="96" t="str">
        <f>IF(B962="","",TRIM(LEFT(B962,FIND(" |",B962&amp;" |")-1)))</f>
        <v/>
      </c>
      <c r="P962" s="96" t="str">
        <f>IF(O962="","",IFERROR(MATCH(O962,'CDFs'!$A$6:$A$505,0),""))</f>
        <v/>
      </c>
      <c r="Q962" s="96">
        <f>IF(P962="",0,IF(INDEX('CDFs'!$S$6:$S$505,P962)=1,1,0))</f>
        <v>0</v>
      </c>
      <c r="R962" s="96" t="str">
        <f>IF(C962="","",TRIM(LEFT(C962,FIND(" |",C962&amp;" |")-1)))</f>
        <v/>
      </c>
      <c r="S962" s="96" t="str">
        <f>IF(R962="","",IFERROR(MATCH(R962,'ITENS_MTR'!$A$6:$A$1005,0),""))</f>
        <v/>
      </c>
      <c r="T962" s="96">
        <f>IF(S962="",0,IF(INDEX('ITENS_MTR'!$R$6:$R$1005,S962)=1,1,0))</f>
        <v>0</v>
      </c>
      <c r="U962" s="96" t="str">
        <f>IF(G962="","",IFERROR(IF(ISNUMBER(INDEX(cfg_fac,MATCH(G962,cfg_units,0))),IF(INDEX(cfg_fac,MATCH(G962,cfg_units,0))&gt;0,INDEX(cfg_fac,MATCH(G962,cfg_units,0)),""),""),""))</f>
        <v/>
      </c>
      <c r="V962" s="96">
        <f>IF(AND(ISNUMBER(F962),ISNUMBER(H962)),IF(H962&gt;0,1,0),0)</f>
        <v>0</v>
      </c>
      <c r="W962" s="96" t="str">
        <f>IF(T962=1,INDEX('ITENS_MTR'!$AU$6:$AU$1005,S962)&amp;"","")</f>
        <v/>
      </c>
      <c r="X962" s="96">
        <f>IF(AND(Q962=1,T962=1,I962&lt;&gt;"",W962&lt;&gt;""),IF(I962&lt;&gt;W962,1,0),0)</f>
        <v>0</v>
      </c>
      <c r="Y962" s="96">
        <f>IF(N962=0,0,IF(OR(Q962=0,T962=0,V962=0,AND(X962=1,J962&lt;&gt;"Sim")),1,0))</f>
        <v>0</v>
      </c>
      <c r="Z962" s="96">
        <f>IF(Q962=1,INDEX('CDFs'!$W$6:$W$505,P962),0)</f>
        <v>0</v>
      </c>
      <c r="AA962" s="96">
        <f>IF(AND(N962=1,Y962=0,Z962=1,J962="Sim"),1,0)</f>
        <v>0</v>
      </c>
      <c r="AB962" s="96">
        <f>IF(AND(N962=1,O962&lt;&gt;"",D962&lt;&gt;""),IF(COUNTIFS($O$6:O962,O962,$D$6:D962,D962)=1,1,0),0)</f>
        <v>0</v>
      </c>
      <c r="AC962" s="96">
        <f>IF(T962=1,INDEX('ITENS_MTR'!$AL$6:$AL$1005,S962),0)</f>
        <v>0</v>
      </c>
    </row>
    <row r="963">
      <c r="A963" s="89" t="inlineStr">
        <is>
          <t>VIN-000958</t>
        </is>
      </c>
      <c r="B963" s="91" t="n"/>
      <c r="C963" s="91" t="n"/>
      <c r="D963" s="94" t="str">
        <f>IF(T963=1,INDEX('ITENS_MTR'!$S$6:$S$1005,S963)&amp;"","")</f>
        <v/>
      </c>
      <c r="E963" s="94" t="str">
        <f>IF(T963=1,INDEX('ITENS_MTR'!$C$6:$C$1005,S963)&amp;"","")</f>
        <v/>
      </c>
      <c r="F963" s="98" t="n"/>
      <c r="G963" s="91" t="n"/>
      <c r="H963" s="93" t="str">
        <f>IF(N963=0,"",IF(NOT(ISNUMBER(F963)),"",IF(ISNUMBER(U963),F963*U963,"UNIDADE A CONFERIR")))</f>
        <v/>
      </c>
      <c r="I963" s="94" t="str">
        <f>IF(Q963=1,INDEX('CDFs'!$F$6:$F$505,P963)&amp;"","")</f>
        <v/>
      </c>
      <c r="J963" s="91" t="n"/>
      <c r="K963" s="91" t="n"/>
      <c r="L963" s="94" t="str">
        <f>IF(N963=0,"",IF(NOT(ISNUMBER(F963)),"Quantidade não informada",IF(F963&lt;=0,"Quantidade não positiva",IF(G963="","Unidade não informada",IF(NOT(ISNUMBER(H963)),"Unidade a conferir",IF(AC963=1,"REVISAR VÍNCULO: soma vinculada maior que a referência do item","OK"))))))</f>
        <v/>
      </c>
      <c r="M963" s="94" t="str">
        <f>IF(N963=0,"",IF(B963="","CDF não informado",IF(Q963=0,"REVISAR VÍNCULO: CDF inexistente",IF(C963="","Item não informado",IF(T963=0,"REVISAR VÍNCULO: item inexistente",IF(AND(X963=1,J963&lt;&gt;"Sim"),"REVISAR VÍNCULO: destinador diferente do MTR",IF(X963=1,"Destinador diferente do MTR (analisado)","OK")))))))</f>
        <v/>
      </c>
      <c r="N963" s="96">
        <f>IF(COUNTA(B963:C963,F963:G963,J963:K963)&gt;0,1,0)</f>
        <v>0</v>
      </c>
      <c r="O963" s="96" t="str">
        <f>IF(B963="","",TRIM(LEFT(B963,FIND(" |",B963&amp;" |")-1)))</f>
        <v/>
      </c>
      <c r="P963" s="96" t="str">
        <f>IF(O963="","",IFERROR(MATCH(O963,'CDFs'!$A$6:$A$505,0),""))</f>
        <v/>
      </c>
      <c r="Q963" s="96">
        <f>IF(P963="",0,IF(INDEX('CDFs'!$S$6:$S$505,P963)=1,1,0))</f>
        <v>0</v>
      </c>
      <c r="R963" s="96" t="str">
        <f>IF(C963="","",TRIM(LEFT(C963,FIND(" |",C963&amp;" |")-1)))</f>
        <v/>
      </c>
      <c r="S963" s="96" t="str">
        <f>IF(R963="","",IFERROR(MATCH(R963,'ITENS_MTR'!$A$6:$A$1005,0),""))</f>
        <v/>
      </c>
      <c r="T963" s="96">
        <f>IF(S963="",0,IF(INDEX('ITENS_MTR'!$R$6:$R$1005,S963)=1,1,0))</f>
        <v>0</v>
      </c>
      <c r="U963" s="96" t="str">
        <f>IF(G963="","",IFERROR(IF(ISNUMBER(INDEX(cfg_fac,MATCH(G963,cfg_units,0))),IF(INDEX(cfg_fac,MATCH(G963,cfg_units,0))&gt;0,INDEX(cfg_fac,MATCH(G963,cfg_units,0)),""),""),""))</f>
        <v/>
      </c>
      <c r="V963" s="96">
        <f>IF(AND(ISNUMBER(F963),ISNUMBER(H963)),IF(H963&gt;0,1,0),0)</f>
        <v>0</v>
      </c>
      <c r="W963" s="96" t="str">
        <f>IF(T963=1,INDEX('ITENS_MTR'!$AU$6:$AU$1005,S963)&amp;"","")</f>
        <v/>
      </c>
      <c r="X963" s="96">
        <f>IF(AND(Q963=1,T963=1,I963&lt;&gt;"",W963&lt;&gt;""),IF(I963&lt;&gt;W963,1,0),0)</f>
        <v>0</v>
      </c>
      <c r="Y963" s="96">
        <f>IF(N963=0,0,IF(OR(Q963=0,T963=0,V963=0,AND(X963=1,J963&lt;&gt;"Sim")),1,0))</f>
        <v>0</v>
      </c>
      <c r="Z963" s="96">
        <f>IF(Q963=1,INDEX('CDFs'!$W$6:$W$505,P963),0)</f>
        <v>0</v>
      </c>
      <c r="AA963" s="96">
        <f>IF(AND(N963=1,Y963=0,Z963=1,J963="Sim"),1,0)</f>
        <v>0</v>
      </c>
      <c r="AB963" s="96">
        <f>IF(AND(N963=1,O963&lt;&gt;"",D963&lt;&gt;""),IF(COUNTIFS($O$6:O963,O963,$D$6:D963,D963)=1,1,0),0)</f>
        <v>0</v>
      </c>
      <c r="AC963" s="96">
        <f>IF(T963=1,INDEX('ITENS_MTR'!$AL$6:$AL$1005,S963),0)</f>
        <v>0</v>
      </c>
    </row>
    <row r="964">
      <c r="A964" s="89" t="inlineStr">
        <is>
          <t>VIN-000959</t>
        </is>
      </c>
      <c r="B964" s="91" t="n"/>
      <c r="C964" s="91" t="n"/>
      <c r="D964" s="94" t="str">
        <f>IF(T964=1,INDEX('ITENS_MTR'!$S$6:$S$1005,S964)&amp;"","")</f>
        <v/>
      </c>
      <c r="E964" s="94" t="str">
        <f>IF(T964=1,INDEX('ITENS_MTR'!$C$6:$C$1005,S964)&amp;"","")</f>
        <v/>
      </c>
      <c r="F964" s="98" t="n"/>
      <c r="G964" s="91" t="n"/>
      <c r="H964" s="93" t="str">
        <f>IF(N964=0,"",IF(NOT(ISNUMBER(F964)),"",IF(ISNUMBER(U964),F964*U964,"UNIDADE A CONFERIR")))</f>
        <v/>
      </c>
      <c r="I964" s="94" t="str">
        <f>IF(Q964=1,INDEX('CDFs'!$F$6:$F$505,P964)&amp;"","")</f>
        <v/>
      </c>
      <c r="J964" s="91" t="n"/>
      <c r="K964" s="91" t="n"/>
      <c r="L964" s="94" t="str">
        <f>IF(N964=0,"",IF(NOT(ISNUMBER(F964)),"Quantidade não informada",IF(F964&lt;=0,"Quantidade não positiva",IF(G964="","Unidade não informada",IF(NOT(ISNUMBER(H964)),"Unidade a conferir",IF(AC964=1,"REVISAR VÍNCULO: soma vinculada maior que a referência do item","OK"))))))</f>
        <v/>
      </c>
      <c r="M964" s="94" t="str">
        <f>IF(N964=0,"",IF(B964="","CDF não informado",IF(Q964=0,"REVISAR VÍNCULO: CDF inexistente",IF(C964="","Item não informado",IF(T964=0,"REVISAR VÍNCULO: item inexistente",IF(AND(X964=1,J964&lt;&gt;"Sim"),"REVISAR VÍNCULO: destinador diferente do MTR",IF(X964=1,"Destinador diferente do MTR (analisado)","OK")))))))</f>
        <v/>
      </c>
      <c r="N964" s="96">
        <f>IF(COUNTA(B964:C964,F964:G964,J964:K964)&gt;0,1,0)</f>
        <v>0</v>
      </c>
      <c r="O964" s="96" t="str">
        <f>IF(B964="","",TRIM(LEFT(B964,FIND(" |",B964&amp;" |")-1)))</f>
        <v/>
      </c>
      <c r="P964" s="96" t="str">
        <f>IF(O964="","",IFERROR(MATCH(O964,'CDFs'!$A$6:$A$505,0),""))</f>
        <v/>
      </c>
      <c r="Q964" s="96">
        <f>IF(P964="",0,IF(INDEX('CDFs'!$S$6:$S$505,P964)=1,1,0))</f>
        <v>0</v>
      </c>
      <c r="R964" s="96" t="str">
        <f>IF(C964="","",TRIM(LEFT(C964,FIND(" |",C964&amp;" |")-1)))</f>
        <v/>
      </c>
      <c r="S964" s="96" t="str">
        <f>IF(R964="","",IFERROR(MATCH(R964,'ITENS_MTR'!$A$6:$A$1005,0),""))</f>
        <v/>
      </c>
      <c r="T964" s="96">
        <f>IF(S964="",0,IF(INDEX('ITENS_MTR'!$R$6:$R$1005,S964)=1,1,0))</f>
        <v>0</v>
      </c>
      <c r="U964" s="96" t="str">
        <f>IF(G964="","",IFERROR(IF(ISNUMBER(INDEX(cfg_fac,MATCH(G964,cfg_units,0))),IF(INDEX(cfg_fac,MATCH(G964,cfg_units,0))&gt;0,INDEX(cfg_fac,MATCH(G964,cfg_units,0)),""),""),""))</f>
        <v/>
      </c>
      <c r="V964" s="96">
        <f>IF(AND(ISNUMBER(F964),ISNUMBER(H964)),IF(H964&gt;0,1,0),0)</f>
        <v>0</v>
      </c>
      <c r="W964" s="96" t="str">
        <f>IF(T964=1,INDEX('ITENS_MTR'!$AU$6:$AU$1005,S964)&amp;"","")</f>
        <v/>
      </c>
      <c r="X964" s="96">
        <f>IF(AND(Q964=1,T964=1,I964&lt;&gt;"",W964&lt;&gt;""),IF(I964&lt;&gt;W964,1,0),0)</f>
        <v>0</v>
      </c>
      <c r="Y964" s="96">
        <f>IF(N964=0,0,IF(OR(Q964=0,T964=0,V964=0,AND(X964=1,J964&lt;&gt;"Sim")),1,0))</f>
        <v>0</v>
      </c>
      <c r="Z964" s="96">
        <f>IF(Q964=1,INDEX('CDFs'!$W$6:$W$505,P964),0)</f>
        <v>0</v>
      </c>
      <c r="AA964" s="96">
        <f>IF(AND(N964=1,Y964=0,Z964=1,J964="Sim"),1,0)</f>
        <v>0</v>
      </c>
      <c r="AB964" s="96">
        <f>IF(AND(N964=1,O964&lt;&gt;"",D964&lt;&gt;""),IF(COUNTIFS($O$6:O964,O964,$D$6:D964,D964)=1,1,0),0)</f>
        <v>0</v>
      </c>
      <c r="AC964" s="96">
        <f>IF(T964=1,INDEX('ITENS_MTR'!$AL$6:$AL$1005,S964),0)</f>
        <v>0</v>
      </c>
    </row>
    <row r="965">
      <c r="A965" s="89" t="inlineStr">
        <is>
          <t>VIN-000960</t>
        </is>
      </c>
      <c r="B965" s="91" t="n"/>
      <c r="C965" s="91" t="n"/>
      <c r="D965" s="94" t="str">
        <f>IF(T965=1,INDEX('ITENS_MTR'!$S$6:$S$1005,S965)&amp;"","")</f>
        <v/>
      </c>
      <c r="E965" s="94" t="str">
        <f>IF(T965=1,INDEX('ITENS_MTR'!$C$6:$C$1005,S965)&amp;"","")</f>
        <v/>
      </c>
      <c r="F965" s="98" t="n"/>
      <c r="G965" s="91" t="n"/>
      <c r="H965" s="93" t="str">
        <f>IF(N965=0,"",IF(NOT(ISNUMBER(F965)),"",IF(ISNUMBER(U965),F965*U965,"UNIDADE A CONFERIR")))</f>
        <v/>
      </c>
      <c r="I965" s="94" t="str">
        <f>IF(Q965=1,INDEX('CDFs'!$F$6:$F$505,P965)&amp;"","")</f>
        <v/>
      </c>
      <c r="J965" s="91" t="n"/>
      <c r="K965" s="91" t="n"/>
      <c r="L965" s="94" t="str">
        <f>IF(N965=0,"",IF(NOT(ISNUMBER(F965)),"Quantidade não informada",IF(F965&lt;=0,"Quantidade não positiva",IF(G965="","Unidade não informada",IF(NOT(ISNUMBER(H965)),"Unidade a conferir",IF(AC965=1,"REVISAR VÍNCULO: soma vinculada maior que a referência do item","OK"))))))</f>
        <v/>
      </c>
      <c r="M965" s="94" t="str">
        <f>IF(N965=0,"",IF(B965="","CDF não informado",IF(Q965=0,"REVISAR VÍNCULO: CDF inexistente",IF(C965="","Item não informado",IF(T965=0,"REVISAR VÍNCULO: item inexistente",IF(AND(X965=1,J965&lt;&gt;"Sim"),"REVISAR VÍNCULO: destinador diferente do MTR",IF(X965=1,"Destinador diferente do MTR (analisado)","OK")))))))</f>
        <v/>
      </c>
      <c r="N965" s="96">
        <f>IF(COUNTA(B965:C965,F965:G965,J965:K965)&gt;0,1,0)</f>
        <v>0</v>
      </c>
      <c r="O965" s="96" t="str">
        <f>IF(B965="","",TRIM(LEFT(B965,FIND(" |",B965&amp;" |")-1)))</f>
        <v/>
      </c>
      <c r="P965" s="96" t="str">
        <f>IF(O965="","",IFERROR(MATCH(O965,'CDFs'!$A$6:$A$505,0),""))</f>
        <v/>
      </c>
      <c r="Q965" s="96">
        <f>IF(P965="",0,IF(INDEX('CDFs'!$S$6:$S$505,P965)=1,1,0))</f>
        <v>0</v>
      </c>
      <c r="R965" s="96" t="str">
        <f>IF(C965="","",TRIM(LEFT(C965,FIND(" |",C965&amp;" |")-1)))</f>
        <v/>
      </c>
      <c r="S965" s="96" t="str">
        <f>IF(R965="","",IFERROR(MATCH(R965,'ITENS_MTR'!$A$6:$A$1005,0),""))</f>
        <v/>
      </c>
      <c r="T965" s="96">
        <f>IF(S965="",0,IF(INDEX('ITENS_MTR'!$R$6:$R$1005,S965)=1,1,0))</f>
        <v>0</v>
      </c>
      <c r="U965" s="96" t="str">
        <f>IF(G965="","",IFERROR(IF(ISNUMBER(INDEX(cfg_fac,MATCH(G965,cfg_units,0))),IF(INDEX(cfg_fac,MATCH(G965,cfg_units,0))&gt;0,INDEX(cfg_fac,MATCH(G965,cfg_units,0)),""),""),""))</f>
        <v/>
      </c>
      <c r="V965" s="96">
        <f>IF(AND(ISNUMBER(F965),ISNUMBER(H965)),IF(H965&gt;0,1,0),0)</f>
        <v>0</v>
      </c>
      <c r="W965" s="96" t="str">
        <f>IF(T965=1,INDEX('ITENS_MTR'!$AU$6:$AU$1005,S965)&amp;"","")</f>
        <v/>
      </c>
      <c r="X965" s="96">
        <f>IF(AND(Q965=1,T965=1,I965&lt;&gt;"",W965&lt;&gt;""),IF(I965&lt;&gt;W965,1,0),0)</f>
        <v>0</v>
      </c>
      <c r="Y965" s="96">
        <f>IF(N965=0,0,IF(OR(Q965=0,T965=0,V965=0,AND(X965=1,J965&lt;&gt;"Sim")),1,0))</f>
        <v>0</v>
      </c>
      <c r="Z965" s="96">
        <f>IF(Q965=1,INDEX('CDFs'!$W$6:$W$505,P965),0)</f>
        <v>0</v>
      </c>
      <c r="AA965" s="96">
        <f>IF(AND(N965=1,Y965=0,Z965=1,J965="Sim"),1,0)</f>
        <v>0</v>
      </c>
      <c r="AB965" s="96">
        <f>IF(AND(N965=1,O965&lt;&gt;"",D965&lt;&gt;""),IF(COUNTIFS($O$6:O965,O965,$D$6:D965,D965)=1,1,0),0)</f>
        <v>0</v>
      </c>
      <c r="AC965" s="96">
        <f>IF(T965=1,INDEX('ITENS_MTR'!$AL$6:$AL$1005,S965),0)</f>
        <v>0</v>
      </c>
    </row>
    <row r="966">
      <c r="A966" s="89" t="inlineStr">
        <is>
          <t>VIN-000961</t>
        </is>
      </c>
      <c r="B966" s="91" t="n"/>
      <c r="C966" s="91" t="n"/>
      <c r="D966" s="94" t="str">
        <f>IF(T966=1,INDEX('ITENS_MTR'!$S$6:$S$1005,S966)&amp;"","")</f>
        <v/>
      </c>
      <c r="E966" s="94" t="str">
        <f>IF(T966=1,INDEX('ITENS_MTR'!$C$6:$C$1005,S966)&amp;"","")</f>
        <v/>
      </c>
      <c r="F966" s="98" t="n"/>
      <c r="G966" s="91" t="n"/>
      <c r="H966" s="93" t="str">
        <f>IF(N966=0,"",IF(NOT(ISNUMBER(F966)),"",IF(ISNUMBER(U966),F966*U966,"UNIDADE A CONFERIR")))</f>
        <v/>
      </c>
      <c r="I966" s="94" t="str">
        <f>IF(Q966=1,INDEX('CDFs'!$F$6:$F$505,P966)&amp;"","")</f>
        <v/>
      </c>
      <c r="J966" s="91" t="n"/>
      <c r="K966" s="91" t="n"/>
      <c r="L966" s="94" t="str">
        <f>IF(N966=0,"",IF(NOT(ISNUMBER(F966)),"Quantidade não informada",IF(F966&lt;=0,"Quantidade não positiva",IF(G966="","Unidade não informada",IF(NOT(ISNUMBER(H966)),"Unidade a conferir",IF(AC966=1,"REVISAR VÍNCULO: soma vinculada maior que a referência do item","OK"))))))</f>
        <v/>
      </c>
      <c r="M966" s="94" t="str">
        <f>IF(N966=0,"",IF(B966="","CDF não informado",IF(Q966=0,"REVISAR VÍNCULO: CDF inexistente",IF(C966="","Item não informado",IF(T966=0,"REVISAR VÍNCULO: item inexistente",IF(AND(X966=1,J966&lt;&gt;"Sim"),"REVISAR VÍNCULO: destinador diferente do MTR",IF(X966=1,"Destinador diferente do MTR (analisado)","OK")))))))</f>
        <v/>
      </c>
      <c r="N966" s="96">
        <f>IF(COUNTA(B966:C966,F966:G966,J966:K966)&gt;0,1,0)</f>
        <v>0</v>
      </c>
      <c r="O966" s="96" t="str">
        <f>IF(B966="","",TRIM(LEFT(B966,FIND(" |",B966&amp;" |")-1)))</f>
        <v/>
      </c>
      <c r="P966" s="96" t="str">
        <f>IF(O966="","",IFERROR(MATCH(O966,'CDFs'!$A$6:$A$505,0),""))</f>
        <v/>
      </c>
      <c r="Q966" s="96">
        <f>IF(P966="",0,IF(INDEX('CDFs'!$S$6:$S$505,P966)=1,1,0))</f>
        <v>0</v>
      </c>
      <c r="R966" s="96" t="str">
        <f>IF(C966="","",TRIM(LEFT(C966,FIND(" |",C966&amp;" |")-1)))</f>
        <v/>
      </c>
      <c r="S966" s="96" t="str">
        <f>IF(R966="","",IFERROR(MATCH(R966,'ITENS_MTR'!$A$6:$A$1005,0),""))</f>
        <v/>
      </c>
      <c r="T966" s="96">
        <f>IF(S966="",0,IF(INDEX('ITENS_MTR'!$R$6:$R$1005,S966)=1,1,0))</f>
        <v>0</v>
      </c>
      <c r="U966" s="96" t="str">
        <f>IF(G966="","",IFERROR(IF(ISNUMBER(INDEX(cfg_fac,MATCH(G966,cfg_units,0))),IF(INDEX(cfg_fac,MATCH(G966,cfg_units,0))&gt;0,INDEX(cfg_fac,MATCH(G966,cfg_units,0)),""),""),""))</f>
        <v/>
      </c>
      <c r="V966" s="96">
        <f>IF(AND(ISNUMBER(F966),ISNUMBER(H966)),IF(H966&gt;0,1,0),0)</f>
        <v>0</v>
      </c>
      <c r="W966" s="96" t="str">
        <f>IF(T966=1,INDEX('ITENS_MTR'!$AU$6:$AU$1005,S966)&amp;"","")</f>
        <v/>
      </c>
      <c r="X966" s="96">
        <f>IF(AND(Q966=1,T966=1,I966&lt;&gt;"",W966&lt;&gt;""),IF(I966&lt;&gt;W966,1,0),0)</f>
        <v>0</v>
      </c>
      <c r="Y966" s="96">
        <f>IF(N966=0,0,IF(OR(Q966=0,T966=0,V966=0,AND(X966=1,J966&lt;&gt;"Sim")),1,0))</f>
        <v>0</v>
      </c>
      <c r="Z966" s="96">
        <f>IF(Q966=1,INDEX('CDFs'!$W$6:$W$505,P966),0)</f>
        <v>0</v>
      </c>
      <c r="AA966" s="96">
        <f>IF(AND(N966=1,Y966=0,Z966=1,J966="Sim"),1,0)</f>
        <v>0</v>
      </c>
      <c r="AB966" s="96">
        <f>IF(AND(N966=1,O966&lt;&gt;"",D966&lt;&gt;""),IF(COUNTIFS($O$6:O966,O966,$D$6:D966,D966)=1,1,0),0)</f>
        <v>0</v>
      </c>
      <c r="AC966" s="96">
        <f>IF(T966=1,INDEX('ITENS_MTR'!$AL$6:$AL$1005,S966),0)</f>
        <v>0</v>
      </c>
    </row>
    <row r="967">
      <c r="A967" s="89" t="inlineStr">
        <is>
          <t>VIN-000962</t>
        </is>
      </c>
      <c r="B967" s="91" t="n"/>
      <c r="C967" s="91" t="n"/>
      <c r="D967" s="94" t="str">
        <f>IF(T967=1,INDEX('ITENS_MTR'!$S$6:$S$1005,S967)&amp;"","")</f>
        <v/>
      </c>
      <c r="E967" s="94" t="str">
        <f>IF(T967=1,INDEX('ITENS_MTR'!$C$6:$C$1005,S967)&amp;"","")</f>
        <v/>
      </c>
      <c r="F967" s="98" t="n"/>
      <c r="G967" s="91" t="n"/>
      <c r="H967" s="93" t="str">
        <f>IF(N967=0,"",IF(NOT(ISNUMBER(F967)),"",IF(ISNUMBER(U967),F967*U967,"UNIDADE A CONFERIR")))</f>
        <v/>
      </c>
      <c r="I967" s="94" t="str">
        <f>IF(Q967=1,INDEX('CDFs'!$F$6:$F$505,P967)&amp;"","")</f>
        <v/>
      </c>
      <c r="J967" s="91" t="n"/>
      <c r="K967" s="91" t="n"/>
      <c r="L967" s="94" t="str">
        <f>IF(N967=0,"",IF(NOT(ISNUMBER(F967)),"Quantidade não informada",IF(F967&lt;=0,"Quantidade não positiva",IF(G967="","Unidade não informada",IF(NOT(ISNUMBER(H967)),"Unidade a conferir",IF(AC967=1,"REVISAR VÍNCULO: soma vinculada maior que a referência do item","OK"))))))</f>
        <v/>
      </c>
      <c r="M967" s="94" t="str">
        <f>IF(N967=0,"",IF(B967="","CDF não informado",IF(Q967=0,"REVISAR VÍNCULO: CDF inexistente",IF(C967="","Item não informado",IF(T967=0,"REVISAR VÍNCULO: item inexistente",IF(AND(X967=1,J967&lt;&gt;"Sim"),"REVISAR VÍNCULO: destinador diferente do MTR",IF(X967=1,"Destinador diferente do MTR (analisado)","OK")))))))</f>
        <v/>
      </c>
      <c r="N967" s="96">
        <f>IF(COUNTA(B967:C967,F967:G967,J967:K967)&gt;0,1,0)</f>
        <v>0</v>
      </c>
      <c r="O967" s="96" t="str">
        <f>IF(B967="","",TRIM(LEFT(B967,FIND(" |",B967&amp;" |")-1)))</f>
        <v/>
      </c>
      <c r="P967" s="96" t="str">
        <f>IF(O967="","",IFERROR(MATCH(O967,'CDFs'!$A$6:$A$505,0),""))</f>
        <v/>
      </c>
      <c r="Q967" s="96">
        <f>IF(P967="",0,IF(INDEX('CDFs'!$S$6:$S$505,P967)=1,1,0))</f>
        <v>0</v>
      </c>
      <c r="R967" s="96" t="str">
        <f>IF(C967="","",TRIM(LEFT(C967,FIND(" |",C967&amp;" |")-1)))</f>
        <v/>
      </c>
      <c r="S967" s="96" t="str">
        <f>IF(R967="","",IFERROR(MATCH(R967,'ITENS_MTR'!$A$6:$A$1005,0),""))</f>
        <v/>
      </c>
      <c r="T967" s="96">
        <f>IF(S967="",0,IF(INDEX('ITENS_MTR'!$R$6:$R$1005,S967)=1,1,0))</f>
        <v>0</v>
      </c>
      <c r="U967" s="96" t="str">
        <f>IF(G967="","",IFERROR(IF(ISNUMBER(INDEX(cfg_fac,MATCH(G967,cfg_units,0))),IF(INDEX(cfg_fac,MATCH(G967,cfg_units,0))&gt;0,INDEX(cfg_fac,MATCH(G967,cfg_units,0)),""),""),""))</f>
        <v/>
      </c>
      <c r="V967" s="96">
        <f>IF(AND(ISNUMBER(F967),ISNUMBER(H967)),IF(H967&gt;0,1,0),0)</f>
        <v>0</v>
      </c>
      <c r="W967" s="96" t="str">
        <f>IF(T967=1,INDEX('ITENS_MTR'!$AU$6:$AU$1005,S967)&amp;"","")</f>
        <v/>
      </c>
      <c r="X967" s="96">
        <f>IF(AND(Q967=1,T967=1,I967&lt;&gt;"",W967&lt;&gt;""),IF(I967&lt;&gt;W967,1,0),0)</f>
        <v>0</v>
      </c>
      <c r="Y967" s="96">
        <f>IF(N967=0,0,IF(OR(Q967=0,T967=0,V967=0,AND(X967=1,J967&lt;&gt;"Sim")),1,0))</f>
        <v>0</v>
      </c>
      <c r="Z967" s="96">
        <f>IF(Q967=1,INDEX('CDFs'!$W$6:$W$505,P967),0)</f>
        <v>0</v>
      </c>
      <c r="AA967" s="96">
        <f>IF(AND(N967=1,Y967=0,Z967=1,J967="Sim"),1,0)</f>
        <v>0</v>
      </c>
      <c r="AB967" s="96">
        <f>IF(AND(N967=1,O967&lt;&gt;"",D967&lt;&gt;""),IF(COUNTIFS($O$6:O967,O967,$D$6:D967,D967)=1,1,0),0)</f>
        <v>0</v>
      </c>
      <c r="AC967" s="96">
        <f>IF(T967=1,INDEX('ITENS_MTR'!$AL$6:$AL$1005,S967),0)</f>
        <v>0</v>
      </c>
    </row>
    <row r="968">
      <c r="A968" s="89" t="inlineStr">
        <is>
          <t>VIN-000963</t>
        </is>
      </c>
      <c r="B968" s="91" t="n"/>
      <c r="C968" s="91" t="n"/>
      <c r="D968" s="94" t="str">
        <f>IF(T968=1,INDEX('ITENS_MTR'!$S$6:$S$1005,S968)&amp;"","")</f>
        <v/>
      </c>
      <c r="E968" s="94" t="str">
        <f>IF(T968=1,INDEX('ITENS_MTR'!$C$6:$C$1005,S968)&amp;"","")</f>
        <v/>
      </c>
      <c r="F968" s="98" t="n"/>
      <c r="G968" s="91" t="n"/>
      <c r="H968" s="93" t="str">
        <f>IF(N968=0,"",IF(NOT(ISNUMBER(F968)),"",IF(ISNUMBER(U968),F968*U968,"UNIDADE A CONFERIR")))</f>
        <v/>
      </c>
      <c r="I968" s="94" t="str">
        <f>IF(Q968=1,INDEX('CDFs'!$F$6:$F$505,P968)&amp;"","")</f>
        <v/>
      </c>
      <c r="J968" s="91" t="n"/>
      <c r="K968" s="91" t="n"/>
      <c r="L968" s="94" t="str">
        <f>IF(N968=0,"",IF(NOT(ISNUMBER(F968)),"Quantidade não informada",IF(F968&lt;=0,"Quantidade não positiva",IF(G968="","Unidade não informada",IF(NOT(ISNUMBER(H968)),"Unidade a conferir",IF(AC968=1,"REVISAR VÍNCULO: soma vinculada maior que a referência do item","OK"))))))</f>
        <v/>
      </c>
      <c r="M968" s="94" t="str">
        <f>IF(N968=0,"",IF(B968="","CDF não informado",IF(Q968=0,"REVISAR VÍNCULO: CDF inexistente",IF(C968="","Item não informado",IF(T968=0,"REVISAR VÍNCULO: item inexistente",IF(AND(X968=1,J968&lt;&gt;"Sim"),"REVISAR VÍNCULO: destinador diferente do MTR",IF(X968=1,"Destinador diferente do MTR (analisado)","OK")))))))</f>
        <v/>
      </c>
      <c r="N968" s="96">
        <f>IF(COUNTA(B968:C968,F968:G968,J968:K968)&gt;0,1,0)</f>
        <v>0</v>
      </c>
      <c r="O968" s="96" t="str">
        <f>IF(B968="","",TRIM(LEFT(B968,FIND(" |",B968&amp;" |")-1)))</f>
        <v/>
      </c>
      <c r="P968" s="96" t="str">
        <f>IF(O968="","",IFERROR(MATCH(O968,'CDFs'!$A$6:$A$505,0),""))</f>
        <v/>
      </c>
      <c r="Q968" s="96">
        <f>IF(P968="",0,IF(INDEX('CDFs'!$S$6:$S$505,P968)=1,1,0))</f>
        <v>0</v>
      </c>
      <c r="R968" s="96" t="str">
        <f>IF(C968="","",TRIM(LEFT(C968,FIND(" |",C968&amp;" |")-1)))</f>
        <v/>
      </c>
      <c r="S968" s="96" t="str">
        <f>IF(R968="","",IFERROR(MATCH(R968,'ITENS_MTR'!$A$6:$A$1005,0),""))</f>
        <v/>
      </c>
      <c r="T968" s="96">
        <f>IF(S968="",0,IF(INDEX('ITENS_MTR'!$R$6:$R$1005,S968)=1,1,0))</f>
        <v>0</v>
      </c>
      <c r="U968" s="96" t="str">
        <f>IF(G968="","",IFERROR(IF(ISNUMBER(INDEX(cfg_fac,MATCH(G968,cfg_units,0))),IF(INDEX(cfg_fac,MATCH(G968,cfg_units,0))&gt;0,INDEX(cfg_fac,MATCH(G968,cfg_units,0)),""),""),""))</f>
        <v/>
      </c>
      <c r="V968" s="96">
        <f>IF(AND(ISNUMBER(F968),ISNUMBER(H968)),IF(H968&gt;0,1,0),0)</f>
        <v>0</v>
      </c>
      <c r="W968" s="96" t="str">
        <f>IF(T968=1,INDEX('ITENS_MTR'!$AU$6:$AU$1005,S968)&amp;"","")</f>
        <v/>
      </c>
      <c r="X968" s="96">
        <f>IF(AND(Q968=1,T968=1,I968&lt;&gt;"",W968&lt;&gt;""),IF(I968&lt;&gt;W968,1,0),0)</f>
        <v>0</v>
      </c>
      <c r="Y968" s="96">
        <f>IF(N968=0,0,IF(OR(Q968=0,T968=0,V968=0,AND(X968=1,J968&lt;&gt;"Sim")),1,0))</f>
        <v>0</v>
      </c>
      <c r="Z968" s="96">
        <f>IF(Q968=1,INDEX('CDFs'!$W$6:$W$505,P968),0)</f>
        <v>0</v>
      </c>
      <c r="AA968" s="96">
        <f>IF(AND(N968=1,Y968=0,Z968=1,J968="Sim"),1,0)</f>
        <v>0</v>
      </c>
      <c r="AB968" s="96">
        <f>IF(AND(N968=1,O968&lt;&gt;"",D968&lt;&gt;""),IF(COUNTIFS($O$6:O968,O968,$D$6:D968,D968)=1,1,0),0)</f>
        <v>0</v>
      </c>
      <c r="AC968" s="96">
        <f>IF(T968=1,INDEX('ITENS_MTR'!$AL$6:$AL$1005,S968),0)</f>
        <v>0</v>
      </c>
    </row>
    <row r="969">
      <c r="A969" s="89" t="inlineStr">
        <is>
          <t>VIN-000964</t>
        </is>
      </c>
      <c r="B969" s="91" t="n"/>
      <c r="C969" s="91" t="n"/>
      <c r="D969" s="94" t="str">
        <f>IF(T969=1,INDEX('ITENS_MTR'!$S$6:$S$1005,S969)&amp;"","")</f>
        <v/>
      </c>
      <c r="E969" s="94" t="str">
        <f>IF(T969=1,INDEX('ITENS_MTR'!$C$6:$C$1005,S969)&amp;"","")</f>
        <v/>
      </c>
      <c r="F969" s="98" t="n"/>
      <c r="G969" s="91" t="n"/>
      <c r="H969" s="93" t="str">
        <f>IF(N969=0,"",IF(NOT(ISNUMBER(F969)),"",IF(ISNUMBER(U969),F969*U969,"UNIDADE A CONFERIR")))</f>
        <v/>
      </c>
      <c r="I969" s="94" t="str">
        <f>IF(Q969=1,INDEX('CDFs'!$F$6:$F$505,P969)&amp;"","")</f>
        <v/>
      </c>
      <c r="J969" s="91" t="n"/>
      <c r="K969" s="91" t="n"/>
      <c r="L969" s="94" t="str">
        <f>IF(N969=0,"",IF(NOT(ISNUMBER(F969)),"Quantidade não informada",IF(F969&lt;=0,"Quantidade não positiva",IF(G969="","Unidade não informada",IF(NOT(ISNUMBER(H969)),"Unidade a conferir",IF(AC969=1,"REVISAR VÍNCULO: soma vinculada maior que a referência do item","OK"))))))</f>
        <v/>
      </c>
      <c r="M969" s="94" t="str">
        <f>IF(N969=0,"",IF(B969="","CDF não informado",IF(Q969=0,"REVISAR VÍNCULO: CDF inexistente",IF(C969="","Item não informado",IF(T969=0,"REVISAR VÍNCULO: item inexistente",IF(AND(X969=1,J969&lt;&gt;"Sim"),"REVISAR VÍNCULO: destinador diferente do MTR",IF(X969=1,"Destinador diferente do MTR (analisado)","OK")))))))</f>
        <v/>
      </c>
      <c r="N969" s="96">
        <f>IF(COUNTA(B969:C969,F969:G969,J969:K969)&gt;0,1,0)</f>
        <v>0</v>
      </c>
      <c r="O969" s="96" t="str">
        <f>IF(B969="","",TRIM(LEFT(B969,FIND(" |",B969&amp;" |")-1)))</f>
        <v/>
      </c>
      <c r="P969" s="96" t="str">
        <f>IF(O969="","",IFERROR(MATCH(O969,'CDFs'!$A$6:$A$505,0),""))</f>
        <v/>
      </c>
      <c r="Q969" s="96">
        <f>IF(P969="",0,IF(INDEX('CDFs'!$S$6:$S$505,P969)=1,1,0))</f>
        <v>0</v>
      </c>
      <c r="R969" s="96" t="str">
        <f>IF(C969="","",TRIM(LEFT(C969,FIND(" |",C969&amp;" |")-1)))</f>
        <v/>
      </c>
      <c r="S969" s="96" t="str">
        <f>IF(R969="","",IFERROR(MATCH(R969,'ITENS_MTR'!$A$6:$A$1005,0),""))</f>
        <v/>
      </c>
      <c r="T969" s="96">
        <f>IF(S969="",0,IF(INDEX('ITENS_MTR'!$R$6:$R$1005,S969)=1,1,0))</f>
        <v>0</v>
      </c>
      <c r="U969" s="96" t="str">
        <f>IF(G969="","",IFERROR(IF(ISNUMBER(INDEX(cfg_fac,MATCH(G969,cfg_units,0))),IF(INDEX(cfg_fac,MATCH(G969,cfg_units,0))&gt;0,INDEX(cfg_fac,MATCH(G969,cfg_units,0)),""),""),""))</f>
        <v/>
      </c>
      <c r="V969" s="96">
        <f>IF(AND(ISNUMBER(F969),ISNUMBER(H969)),IF(H969&gt;0,1,0),0)</f>
        <v>0</v>
      </c>
      <c r="W969" s="96" t="str">
        <f>IF(T969=1,INDEX('ITENS_MTR'!$AU$6:$AU$1005,S969)&amp;"","")</f>
        <v/>
      </c>
      <c r="X969" s="96">
        <f>IF(AND(Q969=1,T969=1,I969&lt;&gt;"",W969&lt;&gt;""),IF(I969&lt;&gt;W969,1,0),0)</f>
        <v>0</v>
      </c>
      <c r="Y969" s="96">
        <f>IF(N969=0,0,IF(OR(Q969=0,T969=0,V969=0,AND(X969=1,J969&lt;&gt;"Sim")),1,0))</f>
        <v>0</v>
      </c>
      <c r="Z969" s="96">
        <f>IF(Q969=1,INDEX('CDFs'!$W$6:$W$505,P969),0)</f>
        <v>0</v>
      </c>
      <c r="AA969" s="96">
        <f>IF(AND(N969=1,Y969=0,Z969=1,J969="Sim"),1,0)</f>
        <v>0</v>
      </c>
      <c r="AB969" s="96">
        <f>IF(AND(N969=1,O969&lt;&gt;"",D969&lt;&gt;""),IF(COUNTIFS($O$6:O969,O969,$D$6:D969,D969)=1,1,0),0)</f>
        <v>0</v>
      </c>
      <c r="AC969" s="96">
        <f>IF(T969=1,INDEX('ITENS_MTR'!$AL$6:$AL$1005,S969),0)</f>
        <v>0</v>
      </c>
    </row>
    <row r="970">
      <c r="A970" s="89" t="inlineStr">
        <is>
          <t>VIN-000965</t>
        </is>
      </c>
      <c r="B970" s="91" t="n"/>
      <c r="C970" s="91" t="n"/>
      <c r="D970" s="94" t="str">
        <f>IF(T970=1,INDEX('ITENS_MTR'!$S$6:$S$1005,S970)&amp;"","")</f>
        <v/>
      </c>
      <c r="E970" s="94" t="str">
        <f>IF(T970=1,INDEX('ITENS_MTR'!$C$6:$C$1005,S970)&amp;"","")</f>
        <v/>
      </c>
      <c r="F970" s="98" t="n"/>
      <c r="G970" s="91" t="n"/>
      <c r="H970" s="93" t="str">
        <f>IF(N970=0,"",IF(NOT(ISNUMBER(F970)),"",IF(ISNUMBER(U970),F970*U970,"UNIDADE A CONFERIR")))</f>
        <v/>
      </c>
      <c r="I970" s="94" t="str">
        <f>IF(Q970=1,INDEX('CDFs'!$F$6:$F$505,P970)&amp;"","")</f>
        <v/>
      </c>
      <c r="J970" s="91" t="n"/>
      <c r="K970" s="91" t="n"/>
      <c r="L970" s="94" t="str">
        <f>IF(N970=0,"",IF(NOT(ISNUMBER(F970)),"Quantidade não informada",IF(F970&lt;=0,"Quantidade não positiva",IF(G970="","Unidade não informada",IF(NOT(ISNUMBER(H970)),"Unidade a conferir",IF(AC970=1,"REVISAR VÍNCULO: soma vinculada maior que a referência do item","OK"))))))</f>
        <v/>
      </c>
      <c r="M970" s="94" t="str">
        <f>IF(N970=0,"",IF(B970="","CDF não informado",IF(Q970=0,"REVISAR VÍNCULO: CDF inexistente",IF(C970="","Item não informado",IF(T970=0,"REVISAR VÍNCULO: item inexistente",IF(AND(X970=1,J970&lt;&gt;"Sim"),"REVISAR VÍNCULO: destinador diferente do MTR",IF(X970=1,"Destinador diferente do MTR (analisado)","OK")))))))</f>
        <v/>
      </c>
      <c r="N970" s="96">
        <f>IF(COUNTA(B970:C970,F970:G970,J970:K970)&gt;0,1,0)</f>
        <v>0</v>
      </c>
      <c r="O970" s="96" t="str">
        <f>IF(B970="","",TRIM(LEFT(B970,FIND(" |",B970&amp;" |")-1)))</f>
        <v/>
      </c>
      <c r="P970" s="96" t="str">
        <f>IF(O970="","",IFERROR(MATCH(O970,'CDFs'!$A$6:$A$505,0),""))</f>
        <v/>
      </c>
      <c r="Q970" s="96">
        <f>IF(P970="",0,IF(INDEX('CDFs'!$S$6:$S$505,P970)=1,1,0))</f>
        <v>0</v>
      </c>
      <c r="R970" s="96" t="str">
        <f>IF(C970="","",TRIM(LEFT(C970,FIND(" |",C970&amp;" |")-1)))</f>
        <v/>
      </c>
      <c r="S970" s="96" t="str">
        <f>IF(R970="","",IFERROR(MATCH(R970,'ITENS_MTR'!$A$6:$A$1005,0),""))</f>
        <v/>
      </c>
      <c r="T970" s="96">
        <f>IF(S970="",0,IF(INDEX('ITENS_MTR'!$R$6:$R$1005,S970)=1,1,0))</f>
        <v>0</v>
      </c>
      <c r="U970" s="96" t="str">
        <f>IF(G970="","",IFERROR(IF(ISNUMBER(INDEX(cfg_fac,MATCH(G970,cfg_units,0))),IF(INDEX(cfg_fac,MATCH(G970,cfg_units,0))&gt;0,INDEX(cfg_fac,MATCH(G970,cfg_units,0)),""),""),""))</f>
        <v/>
      </c>
      <c r="V970" s="96">
        <f>IF(AND(ISNUMBER(F970),ISNUMBER(H970)),IF(H970&gt;0,1,0),0)</f>
        <v>0</v>
      </c>
      <c r="W970" s="96" t="str">
        <f>IF(T970=1,INDEX('ITENS_MTR'!$AU$6:$AU$1005,S970)&amp;"","")</f>
        <v/>
      </c>
      <c r="X970" s="96">
        <f>IF(AND(Q970=1,T970=1,I970&lt;&gt;"",W970&lt;&gt;""),IF(I970&lt;&gt;W970,1,0),0)</f>
        <v>0</v>
      </c>
      <c r="Y970" s="96">
        <f>IF(N970=0,0,IF(OR(Q970=0,T970=0,V970=0,AND(X970=1,J970&lt;&gt;"Sim")),1,0))</f>
        <v>0</v>
      </c>
      <c r="Z970" s="96">
        <f>IF(Q970=1,INDEX('CDFs'!$W$6:$W$505,P970),0)</f>
        <v>0</v>
      </c>
      <c r="AA970" s="96">
        <f>IF(AND(N970=1,Y970=0,Z970=1,J970="Sim"),1,0)</f>
        <v>0</v>
      </c>
      <c r="AB970" s="96">
        <f>IF(AND(N970=1,O970&lt;&gt;"",D970&lt;&gt;""),IF(COUNTIFS($O$6:O970,O970,$D$6:D970,D970)=1,1,0),0)</f>
        <v>0</v>
      </c>
      <c r="AC970" s="96">
        <f>IF(T970=1,INDEX('ITENS_MTR'!$AL$6:$AL$1005,S970),0)</f>
        <v>0</v>
      </c>
    </row>
    <row r="971">
      <c r="A971" s="89" t="inlineStr">
        <is>
          <t>VIN-000966</t>
        </is>
      </c>
      <c r="B971" s="91" t="n"/>
      <c r="C971" s="91" t="n"/>
      <c r="D971" s="94" t="str">
        <f>IF(T971=1,INDEX('ITENS_MTR'!$S$6:$S$1005,S971)&amp;"","")</f>
        <v/>
      </c>
      <c r="E971" s="94" t="str">
        <f>IF(T971=1,INDEX('ITENS_MTR'!$C$6:$C$1005,S971)&amp;"","")</f>
        <v/>
      </c>
      <c r="F971" s="98" t="n"/>
      <c r="G971" s="91" t="n"/>
      <c r="H971" s="93" t="str">
        <f>IF(N971=0,"",IF(NOT(ISNUMBER(F971)),"",IF(ISNUMBER(U971),F971*U971,"UNIDADE A CONFERIR")))</f>
        <v/>
      </c>
      <c r="I971" s="94" t="str">
        <f>IF(Q971=1,INDEX('CDFs'!$F$6:$F$505,P971)&amp;"","")</f>
        <v/>
      </c>
      <c r="J971" s="91" t="n"/>
      <c r="K971" s="91" t="n"/>
      <c r="L971" s="94" t="str">
        <f>IF(N971=0,"",IF(NOT(ISNUMBER(F971)),"Quantidade não informada",IF(F971&lt;=0,"Quantidade não positiva",IF(G971="","Unidade não informada",IF(NOT(ISNUMBER(H971)),"Unidade a conferir",IF(AC971=1,"REVISAR VÍNCULO: soma vinculada maior que a referência do item","OK"))))))</f>
        <v/>
      </c>
      <c r="M971" s="94" t="str">
        <f>IF(N971=0,"",IF(B971="","CDF não informado",IF(Q971=0,"REVISAR VÍNCULO: CDF inexistente",IF(C971="","Item não informado",IF(T971=0,"REVISAR VÍNCULO: item inexistente",IF(AND(X971=1,J971&lt;&gt;"Sim"),"REVISAR VÍNCULO: destinador diferente do MTR",IF(X971=1,"Destinador diferente do MTR (analisado)","OK")))))))</f>
        <v/>
      </c>
      <c r="N971" s="96">
        <f>IF(COUNTA(B971:C971,F971:G971,J971:K971)&gt;0,1,0)</f>
        <v>0</v>
      </c>
      <c r="O971" s="96" t="str">
        <f>IF(B971="","",TRIM(LEFT(B971,FIND(" |",B971&amp;" |")-1)))</f>
        <v/>
      </c>
      <c r="P971" s="96" t="str">
        <f>IF(O971="","",IFERROR(MATCH(O971,'CDFs'!$A$6:$A$505,0),""))</f>
        <v/>
      </c>
      <c r="Q971" s="96">
        <f>IF(P971="",0,IF(INDEX('CDFs'!$S$6:$S$505,P971)=1,1,0))</f>
        <v>0</v>
      </c>
      <c r="R971" s="96" t="str">
        <f>IF(C971="","",TRIM(LEFT(C971,FIND(" |",C971&amp;" |")-1)))</f>
        <v/>
      </c>
      <c r="S971" s="96" t="str">
        <f>IF(R971="","",IFERROR(MATCH(R971,'ITENS_MTR'!$A$6:$A$1005,0),""))</f>
        <v/>
      </c>
      <c r="T971" s="96">
        <f>IF(S971="",0,IF(INDEX('ITENS_MTR'!$R$6:$R$1005,S971)=1,1,0))</f>
        <v>0</v>
      </c>
      <c r="U971" s="96" t="str">
        <f>IF(G971="","",IFERROR(IF(ISNUMBER(INDEX(cfg_fac,MATCH(G971,cfg_units,0))),IF(INDEX(cfg_fac,MATCH(G971,cfg_units,0))&gt;0,INDEX(cfg_fac,MATCH(G971,cfg_units,0)),""),""),""))</f>
        <v/>
      </c>
      <c r="V971" s="96">
        <f>IF(AND(ISNUMBER(F971),ISNUMBER(H971)),IF(H971&gt;0,1,0),0)</f>
        <v>0</v>
      </c>
      <c r="W971" s="96" t="str">
        <f>IF(T971=1,INDEX('ITENS_MTR'!$AU$6:$AU$1005,S971)&amp;"","")</f>
        <v/>
      </c>
      <c r="X971" s="96">
        <f>IF(AND(Q971=1,T971=1,I971&lt;&gt;"",W971&lt;&gt;""),IF(I971&lt;&gt;W971,1,0),0)</f>
        <v>0</v>
      </c>
      <c r="Y971" s="96">
        <f>IF(N971=0,0,IF(OR(Q971=0,T971=0,V971=0,AND(X971=1,J971&lt;&gt;"Sim")),1,0))</f>
        <v>0</v>
      </c>
      <c r="Z971" s="96">
        <f>IF(Q971=1,INDEX('CDFs'!$W$6:$W$505,P971),0)</f>
        <v>0</v>
      </c>
      <c r="AA971" s="96">
        <f>IF(AND(N971=1,Y971=0,Z971=1,J971="Sim"),1,0)</f>
        <v>0</v>
      </c>
      <c r="AB971" s="96">
        <f>IF(AND(N971=1,O971&lt;&gt;"",D971&lt;&gt;""),IF(COUNTIFS($O$6:O971,O971,$D$6:D971,D971)=1,1,0),0)</f>
        <v>0</v>
      </c>
      <c r="AC971" s="96">
        <f>IF(T971=1,INDEX('ITENS_MTR'!$AL$6:$AL$1005,S971),0)</f>
        <v>0</v>
      </c>
    </row>
    <row r="972">
      <c r="A972" s="89" t="inlineStr">
        <is>
          <t>VIN-000967</t>
        </is>
      </c>
      <c r="B972" s="91" t="n"/>
      <c r="C972" s="91" t="n"/>
      <c r="D972" s="94" t="str">
        <f>IF(T972=1,INDEX('ITENS_MTR'!$S$6:$S$1005,S972)&amp;"","")</f>
        <v/>
      </c>
      <c r="E972" s="94" t="str">
        <f>IF(T972=1,INDEX('ITENS_MTR'!$C$6:$C$1005,S972)&amp;"","")</f>
        <v/>
      </c>
      <c r="F972" s="98" t="n"/>
      <c r="G972" s="91" t="n"/>
      <c r="H972" s="93" t="str">
        <f>IF(N972=0,"",IF(NOT(ISNUMBER(F972)),"",IF(ISNUMBER(U972),F972*U972,"UNIDADE A CONFERIR")))</f>
        <v/>
      </c>
      <c r="I972" s="94" t="str">
        <f>IF(Q972=1,INDEX('CDFs'!$F$6:$F$505,P972)&amp;"","")</f>
        <v/>
      </c>
      <c r="J972" s="91" t="n"/>
      <c r="K972" s="91" t="n"/>
      <c r="L972" s="94" t="str">
        <f>IF(N972=0,"",IF(NOT(ISNUMBER(F972)),"Quantidade não informada",IF(F972&lt;=0,"Quantidade não positiva",IF(G972="","Unidade não informada",IF(NOT(ISNUMBER(H972)),"Unidade a conferir",IF(AC972=1,"REVISAR VÍNCULO: soma vinculada maior que a referência do item","OK"))))))</f>
        <v/>
      </c>
      <c r="M972" s="94" t="str">
        <f>IF(N972=0,"",IF(B972="","CDF não informado",IF(Q972=0,"REVISAR VÍNCULO: CDF inexistente",IF(C972="","Item não informado",IF(T972=0,"REVISAR VÍNCULO: item inexistente",IF(AND(X972=1,J972&lt;&gt;"Sim"),"REVISAR VÍNCULO: destinador diferente do MTR",IF(X972=1,"Destinador diferente do MTR (analisado)","OK")))))))</f>
        <v/>
      </c>
      <c r="N972" s="96">
        <f>IF(COUNTA(B972:C972,F972:G972,J972:K972)&gt;0,1,0)</f>
        <v>0</v>
      </c>
      <c r="O972" s="96" t="str">
        <f>IF(B972="","",TRIM(LEFT(B972,FIND(" |",B972&amp;" |")-1)))</f>
        <v/>
      </c>
      <c r="P972" s="96" t="str">
        <f>IF(O972="","",IFERROR(MATCH(O972,'CDFs'!$A$6:$A$505,0),""))</f>
        <v/>
      </c>
      <c r="Q972" s="96">
        <f>IF(P972="",0,IF(INDEX('CDFs'!$S$6:$S$505,P972)=1,1,0))</f>
        <v>0</v>
      </c>
      <c r="R972" s="96" t="str">
        <f>IF(C972="","",TRIM(LEFT(C972,FIND(" |",C972&amp;" |")-1)))</f>
        <v/>
      </c>
      <c r="S972" s="96" t="str">
        <f>IF(R972="","",IFERROR(MATCH(R972,'ITENS_MTR'!$A$6:$A$1005,0),""))</f>
        <v/>
      </c>
      <c r="T972" s="96">
        <f>IF(S972="",0,IF(INDEX('ITENS_MTR'!$R$6:$R$1005,S972)=1,1,0))</f>
        <v>0</v>
      </c>
      <c r="U972" s="96" t="str">
        <f>IF(G972="","",IFERROR(IF(ISNUMBER(INDEX(cfg_fac,MATCH(G972,cfg_units,0))),IF(INDEX(cfg_fac,MATCH(G972,cfg_units,0))&gt;0,INDEX(cfg_fac,MATCH(G972,cfg_units,0)),""),""),""))</f>
        <v/>
      </c>
      <c r="V972" s="96">
        <f>IF(AND(ISNUMBER(F972),ISNUMBER(H972)),IF(H972&gt;0,1,0),0)</f>
        <v>0</v>
      </c>
      <c r="W972" s="96" t="str">
        <f>IF(T972=1,INDEX('ITENS_MTR'!$AU$6:$AU$1005,S972)&amp;"","")</f>
        <v/>
      </c>
      <c r="X972" s="96">
        <f>IF(AND(Q972=1,T972=1,I972&lt;&gt;"",W972&lt;&gt;""),IF(I972&lt;&gt;W972,1,0),0)</f>
        <v>0</v>
      </c>
      <c r="Y972" s="96">
        <f>IF(N972=0,0,IF(OR(Q972=0,T972=0,V972=0,AND(X972=1,J972&lt;&gt;"Sim")),1,0))</f>
        <v>0</v>
      </c>
      <c r="Z972" s="96">
        <f>IF(Q972=1,INDEX('CDFs'!$W$6:$W$505,P972),0)</f>
        <v>0</v>
      </c>
      <c r="AA972" s="96">
        <f>IF(AND(N972=1,Y972=0,Z972=1,J972="Sim"),1,0)</f>
        <v>0</v>
      </c>
      <c r="AB972" s="96">
        <f>IF(AND(N972=1,O972&lt;&gt;"",D972&lt;&gt;""),IF(COUNTIFS($O$6:O972,O972,$D$6:D972,D972)=1,1,0),0)</f>
        <v>0</v>
      </c>
      <c r="AC972" s="96">
        <f>IF(T972=1,INDEX('ITENS_MTR'!$AL$6:$AL$1005,S972),0)</f>
        <v>0</v>
      </c>
    </row>
    <row r="973">
      <c r="A973" s="89" t="inlineStr">
        <is>
          <t>VIN-000968</t>
        </is>
      </c>
      <c r="B973" s="91" t="n"/>
      <c r="C973" s="91" t="n"/>
      <c r="D973" s="94" t="str">
        <f>IF(T973=1,INDEX('ITENS_MTR'!$S$6:$S$1005,S973)&amp;"","")</f>
        <v/>
      </c>
      <c r="E973" s="94" t="str">
        <f>IF(T973=1,INDEX('ITENS_MTR'!$C$6:$C$1005,S973)&amp;"","")</f>
        <v/>
      </c>
      <c r="F973" s="98" t="n"/>
      <c r="G973" s="91" t="n"/>
      <c r="H973" s="93" t="str">
        <f>IF(N973=0,"",IF(NOT(ISNUMBER(F973)),"",IF(ISNUMBER(U973),F973*U973,"UNIDADE A CONFERIR")))</f>
        <v/>
      </c>
      <c r="I973" s="94" t="str">
        <f>IF(Q973=1,INDEX('CDFs'!$F$6:$F$505,P973)&amp;"","")</f>
        <v/>
      </c>
      <c r="J973" s="91" t="n"/>
      <c r="K973" s="91" t="n"/>
      <c r="L973" s="94" t="str">
        <f>IF(N973=0,"",IF(NOT(ISNUMBER(F973)),"Quantidade não informada",IF(F973&lt;=0,"Quantidade não positiva",IF(G973="","Unidade não informada",IF(NOT(ISNUMBER(H973)),"Unidade a conferir",IF(AC973=1,"REVISAR VÍNCULO: soma vinculada maior que a referência do item","OK"))))))</f>
        <v/>
      </c>
      <c r="M973" s="94" t="str">
        <f>IF(N973=0,"",IF(B973="","CDF não informado",IF(Q973=0,"REVISAR VÍNCULO: CDF inexistente",IF(C973="","Item não informado",IF(T973=0,"REVISAR VÍNCULO: item inexistente",IF(AND(X973=1,J973&lt;&gt;"Sim"),"REVISAR VÍNCULO: destinador diferente do MTR",IF(X973=1,"Destinador diferente do MTR (analisado)","OK")))))))</f>
        <v/>
      </c>
      <c r="N973" s="96">
        <f>IF(COUNTA(B973:C973,F973:G973,J973:K973)&gt;0,1,0)</f>
        <v>0</v>
      </c>
      <c r="O973" s="96" t="str">
        <f>IF(B973="","",TRIM(LEFT(B973,FIND(" |",B973&amp;" |")-1)))</f>
        <v/>
      </c>
      <c r="P973" s="96" t="str">
        <f>IF(O973="","",IFERROR(MATCH(O973,'CDFs'!$A$6:$A$505,0),""))</f>
        <v/>
      </c>
      <c r="Q973" s="96">
        <f>IF(P973="",0,IF(INDEX('CDFs'!$S$6:$S$505,P973)=1,1,0))</f>
        <v>0</v>
      </c>
      <c r="R973" s="96" t="str">
        <f>IF(C973="","",TRIM(LEFT(C973,FIND(" |",C973&amp;" |")-1)))</f>
        <v/>
      </c>
      <c r="S973" s="96" t="str">
        <f>IF(R973="","",IFERROR(MATCH(R973,'ITENS_MTR'!$A$6:$A$1005,0),""))</f>
        <v/>
      </c>
      <c r="T973" s="96">
        <f>IF(S973="",0,IF(INDEX('ITENS_MTR'!$R$6:$R$1005,S973)=1,1,0))</f>
        <v>0</v>
      </c>
      <c r="U973" s="96" t="str">
        <f>IF(G973="","",IFERROR(IF(ISNUMBER(INDEX(cfg_fac,MATCH(G973,cfg_units,0))),IF(INDEX(cfg_fac,MATCH(G973,cfg_units,0))&gt;0,INDEX(cfg_fac,MATCH(G973,cfg_units,0)),""),""),""))</f>
        <v/>
      </c>
      <c r="V973" s="96">
        <f>IF(AND(ISNUMBER(F973),ISNUMBER(H973)),IF(H973&gt;0,1,0),0)</f>
        <v>0</v>
      </c>
      <c r="W973" s="96" t="str">
        <f>IF(T973=1,INDEX('ITENS_MTR'!$AU$6:$AU$1005,S973)&amp;"","")</f>
        <v/>
      </c>
      <c r="X973" s="96">
        <f>IF(AND(Q973=1,T973=1,I973&lt;&gt;"",W973&lt;&gt;""),IF(I973&lt;&gt;W973,1,0),0)</f>
        <v>0</v>
      </c>
      <c r="Y973" s="96">
        <f>IF(N973=0,0,IF(OR(Q973=0,T973=0,V973=0,AND(X973=1,J973&lt;&gt;"Sim")),1,0))</f>
        <v>0</v>
      </c>
      <c r="Z973" s="96">
        <f>IF(Q973=1,INDEX('CDFs'!$W$6:$W$505,P973),0)</f>
        <v>0</v>
      </c>
      <c r="AA973" s="96">
        <f>IF(AND(N973=1,Y973=0,Z973=1,J973="Sim"),1,0)</f>
        <v>0</v>
      </c>
      <c r="AB973" s="96">
        <f>IF(AND(N973=1,O973&lt;&gt;"",D973&lt;&gt;""),IF(COUNTIFS($O$6:O973,O973,$D$6:D973,D973)=1,1,0),0)</f>
        <v>0</v>
      </c>
      <c r="AC973" s="96">
        <f>IF(T973=1,INDEX('ITENS_MTR'!$AL$6:$AL$1005,S973),0)</f>
        <v>0</v>
      </c>
    </row>
    <row r="974">
      <c r="A974" s="89" t="inlineStr">
        <is>
          <t>VIN-000969</t>
        </is>
      </c>
      <c r="B974" s="91" t="n"/>
      <c r="C974" s="91" t="n"/>
      <c r="D974" s="94" t="str">
        <f>IF(T974=1,INDEX('ITENS_MTR'!$S$6:$S$1005,S974)&amp;"","")</f>
        <v/>
      </c>
      <c r="E974" s="94" t="str">
        <f>IF(T974=1,INDEX('ITENS_MTR'!$C$6:$C$1005,S974)&amp;"","")</f>
        <v/>
      </c>
      <c r="F974" s="98" t="n"/>
      <c r="G974" s="91" t="n"/>
      <c r="H974" s="93" t="str">
        <f>IF(N974=0,"",IF(NOT(ISNUMBER(F974)),"",IF(ISNUMBER(U974),F974*U974,"UNIDADE A CONFERIR")))</f>
        <v/>
      </c>
      <c r="I974" s="94" t="str">
        <f>IF(Q974=1,INDEX('CDFs'!$F$6:$F$505,P974)&amp;"","")</f>
        <v/>
      </c>
      <c r="J974" s="91" t="n"/>
      <c r="K974" s="91" t="n"/>
      <c r="L974" s="94" t="str">
        <f>IF(N974=0,"",IF(NOT(ISNUMBER(F974)),"Quantidade não informada",IF(F974&lt;=0,"Quantidade não positiva",IF(G974="","Unidade não informada",IF(NOT(ISNUMBER(H974)),"Unidade a conferir",IF(AC974=1,"REVISAR VÍNCULO: soma vinculada maior que a referência do item","OK"))))))</f>
        <v/>
      </c>
      <c r="M974" s="94" t="str">
        <f>IF(N974=0,"",IF(B974="","CDF não informado",IF(Q974=0,"REVISAR VÍNCULO: CDF inexistente",IF(C974="","Item não informado",IF(T974=0,"REVISAR VÍNCULO: item inexistente",IF(AND(X974=1,J974&lt;&gt;"Sim"),"REVISAR VÍNCULO: destinador diferente do MTR",IF(X974=1,"Destinador diferente do MTR (analisado)","OK")))))))</f>
        <v/>
      </c>
      <c r="N974" s="96">
        <f>IF(COUNTA(B974:C974,F974:G974,J974:K974)&gt;0,1,0)</f>
        <v>0</v>
      </c>
      <c r="O974" s="96" t="str">
        <f>IF(B974="","",TRIM(LEFT(B974,FIND(" |",B974&amp;" |")-1)))</f>
        <v/>
      </c>
      <c r="P974" s="96" t="str">
        <f>IF(O974="","",IFERROR(MATCH(O974,'CDFs'!$A$6:$A$505,0),""))</f>
        <v/>
      </c>
      <c r="Q974" s="96">
        <f>IF(P974="",0,IF(INDEX('CDFs'!$S$6:$S$505,P974)=1,1,0))</f>
        <v>0</v>
      </c>
      <c r="R974" s="96" t="str">
        <f>IF(C974="","",TRIM(LEFT(C974,FIND(" |",C974&amp;" |")-1)))</f>
        <v/>
      </c>
      <c r="S974" s="96" t="str">
        <f>IF(R974="","",IFERROR(MATCH(R974,'ITENS_MTR'!$A$6:$A$1005,0),""))</f>
        <v/>
      </c>
      <c r="T974" s="96">
        <f>IF(S974="",0,IF(INDEX('ITENS_MTR'!$R$6:$R$1005,S974)=1,1,0))</f>
        <v>0</v>
      </c>
      <c r="U974" s="96" t="str">
        <f>IF(G974="","",IFERROR(IF(ISNUMBER(INDEX(cfg_fac,MATCH(G974,cfg_units,0))),IF(INDEX(cfg_fac,MATCH(G974,cfg_units,0))&gt;0,INDEX(cfg_fac,MATCH(G974,cfg_units,0)),""),""),""))</f>
        <v/>
      </c>
      <c r="V974" s="96">
        <f>IF(AND(ISNUMBER(F974),ISNUMBER(H974)),IF(H974&gt;0,1,0),0)</f>
        <v>0</v>
      </c>
      <c r="W974" s="96" t="str">
        <f>IF(T974=1,INDEX('ITENS_MTR'!$AU$6:$AU$1005,S974)&amp;"","")</f>
        <v/>
      </c>
      <c r="X974" s="96">
        <f>IF(AND(Q974=1,T974=1,I974&lt;&gt;"",W974&lt;&gt;""),IF(I974&lt;&gt;W974,1,0),0)</f>
        <v>0</v>
      </c>
      <c r="Y974" s="96">
        <f>IF(N974=0,0,IF(OR(Q974=0,T974=0,V974=0,AND(X974=1,J974&lt;&gt;"Sim")),1,0))</f>
        <v>0</v>
      </c>
      <c r="Z974" s="96">
        <f>IF(Q974=1,INDEX('CDFs'!$W$6:$W$505,P974),0)</f>
        <v>0</v>
      </c>
      <c r="AA974" s="96">
        <f>IF(AND(N974=1,Y974=0,Z974=1,J974="Sim"),1,0)</f>
        <v>0</v>
      </c>
      <c r="AB974" s="96">
        <f>IF(AND(N974=1,O974&lt;&gt;"",D974&lt;&gt;""),IF(COUNTIFS($O$6:O974,O974,$D$6:D974,D974)=1,1,0),0)</f>
        <v>0</v>
      </c>
      <c r="AC974" s="96">
        <f>IF(T974=1,INDEX('ITENS_MTR'!$AL$6:$AL$1005,S974),0)</f>
        <v>0</v>
      </c>
    </row>
    <row r="975">
      <c r="A975" s="89" t="inlineStr">
        <is>
          <t>VIN-000970</t>
        </is>
      </c>
      <c r="B975" s="91" t="n"/>
      <c r="C975" s="91" t="n"/>
      <c r="D975" s="94" t="str">
        <f>IF(T975=1,INDEX('ITENS_MTR'!$S$6:$S$1005,S975)&amp;"","")</f>
        <v/>
      </c>
      <c r="E975" s="94" t="str">
        <f>IF(T975=1,INDEX('ITENS_MTR'!$C$6:$C$1005,S975)&amp;"","")</f>
        <v/>
      </c>
      <c r="F975" s="98" t="n"/>
      <c r="G975" s="91" t="n"/>
      <c r="H975" s="93" t="str">
        <f>IF(N975=0,"",IF(NOT(ISNUMBER(F975)),"",IF(ISNUMBER(U975),F975*U975,"UNIDADE A CONFERIR")))</f>
        <v/>
      </c>
      <c r="I975" s="94" t="str">
        <f>IF(Q975=1,INDEX('CDFs'!$F$6:$F$505,P975)&amp;"","")</f>
        <v/>
      </c>
      <c r="J975" s="91" t="n"/>
      <c r="K975" s="91" t="n"/>
      <c r="L975" s="94" t="str">
        <f>IF(N975=0,"",IF(NOT(ISNUMBER(F975)),"Quantidade não informada",IF(F975&lt;=0,"Quantidade não positiva",IF(G975="","Unidade não informada",IF(NOT(ISNUMBER(H975)),"Unidade a conferir",IF(AC975=1,"REVISAR VÍNCULO: soma vinculada maior que a referência do item","OK"))))))</f>
        <v/>
      </c>
      <c r="M975" s="94" t="str">
        <f>IF(N975=0,"",IF(B975="","CDF não informado",IF(Q975=0,"REVISAR VÍNCULO: CDF inexistente",IF(C975="","Item não informado",IF(T975=0,"REVISAR VÍNCULO: item inexistente",IF(AND(X975=1,J975&lt;&gt;"Sim"),"REVISAR VÍNCULO: destinador diferente do MTR",IF(X975=1,"Destinador diferente do MTR (analisado)","OK")))))))</f>
        <v/>
      </c>
      <c r="N975" s="96">
        <f>IF(COUNTA(B975:C975,F975:G975,J975:K975)&gt;0,1,0)</f>
        <v>0</v>
      </c>
      <c r="O975" s="96" t="str">
        <f>IF(B975="","",TRIM(LEFT(B975,FIND(" |",B975&amp;" |")-1)))</f>
        <v/>
      </c>
      <c r="P975" s="96" t="str">
        <f>IF(O975="","",IFERROR(MATCH(O975,'CDFs'!$A$6:$A$505,0),""))</f>
        <v/>
      </c>
      <c r="Q975" s="96">
        <f>IF(P975="",0,IF(INDEX('CDFs'!$S$6:$S$505,P975)=1,1,0))</f>
        <v>0</v>
      </c>
      <c r="R975" s="96" t="str">
        <f>IF(C975="","",TRIM(LEFT(C975,FIND(" |",C975&amp;" |")-1)))</f>
        <v/>
      </c>
      <c r="S975" s="96" t="str">
        <f>IF(R975="","",IFERROR(MATCH(R975,'ITENS_MTR'!$A$6:$A$1005,0),""))</f>
        <v/>
      </c>
      <c r="T975" s="96">
        <f>IF(S975="",0,IF(INDEX('ITENS_MTR'!$R$6:$R$1005,S975)=1,1,0))</f>
        <v>0</v>
      </c>
      <c r="U975" s="96" t="str">
        <f>IF(G975="","",IFERROR(IF(ISNUMBER(INDEX(cfg_fac,MATCH(G975,cfg_units,0))),IF(INDEX(cfg_fac,MATCH(G975,cfg_units,0))&gt;0,INDEX(cfg_fac,MATCH(G975,cfg_units,0)),""),""),""))</f>
        <v/>
      </c>
      <c r="V975" s="96">
        <f>IF(AND(ISNUMBER(F975),ISNUMBER(H975)),IF(H975&gt;0,1,0),0)</f>
        <v>0</v>
      </c>
      <c r="W975" s="96" t="str">
        <f>IF(T975=1,INDEX('ITENS_MTR'!$AU$6:$AU$1005,S975)&amp;"","")</f>
        <v/>
      </c>
      <c r="X975" s="96">
        <f>IF(AND(Q975=1,T975=1,I975&lt;&gt;"",W975&lt;&gt;""),IF(I975&lt;&gt;W975,1,0),0)</f>
        <v>0</v>
      </c>
      <c r="Y975" s="96">
        <f>IF(N975=0,0,IF(OR(Q975=0,T975=0,V975=0,AND(X975=1,J975&lt;&gt;"Sim")),1,0))</f>
        <v>0</v>
      </c>
      <c r="Z975" s="96">
        <f>IF(Q975=1,INDEX('CDFs'!$W$6:$W$505,P975),0)</f>
        <v>0</v>
      </c>
      <c r="AA975" s="96">
        <f>IF(AND(N975=1,Y975=0,Z975=1,J975="Sim"),1,0)</f>
        <v>0</v>
      </c>
      <c r="AB975" s="96">
        <f>IF(AND(N975=1,O975&lt;&gt;"",D975&lt;&gt;""),IF(COUNTIFS($O$6:O975,O975,$D$6:D975,D975)=1,1,0),0)</f>
        <v>0</v>
      </c>
      <c r="AC975" s="96">
        <f>IF(T975=1,INDEX('ITENS_MTR'!$AL$6:$AL$1005,S975),0)</f>
        <v>0</v>
      </c>
    </row>
    <row r="976">
      <c r="A976" s="89" t="inlineStr">
        <is>
          <t>VIN-000971</t>
        </is>
      </c>
      <c r="B976" s="91" t="n"/>
      <c r="C976" s="91" t="n"/>
      <c r="D976" s="94" t="str">
        <f>IF(T976=1,INDEX('ITENS_MTR'!$S$6:$S$1005,S976)&amp;"","")</f>
        <v/>
      </c>
      <c r="E976" s="94" t="str">
        <f>IF(T976=1,INDEX('ITENS_MTR'!$C$6:$C$1005,S976)&amp;"","")</f>
        <v/>
      </c>
      <c r="F976" s="98" t="n"/>
      <c r="G976" s="91" t="n"/>
      <c r="H976" s="93" t="str">
        <f>IF(N976=0,"",IF(NOT(ISNUMBER(F976)),"",IF(ISNUMBER(U976),F976*U976,"UNIDADE A CONFERIR")))</f>
        <v/>
      </c>
      <c r="I976" s="94" t="str">
        <f>IF(Q976=1,INDEX('CDFs'!$F$6:$F$505,P976)&amp;"","")</f>
        <v/>
      </c>
      <c r="J976" s="91" t="n"/>
      <c r="K976" s="91" t="n"/>
      <c r="L976" s="94" t="str">
        <f>IF(N976=0,"",IF(NOT(ISNUMBER(F976)),"Quantidade não informada",IF(F976&lt;=0,"Quantidade não positiva",IF(G976="","Unidade não informada",IF(NOT(ISNUMBER(H976)),"Unidade a conferir",IF(AC976=1,"REVISAR VÍNCULO: soma vinculada maior que a referência do item","OK"))))))</f>
        <v/>
      </c>
      <c r="M976" s="94" t="str">
        <f>IF(N976=0,"",IF(B976="","CDF não informado",IF(Q976=0,"REVISAR VÍNCULO: CDF inexistente",IF(C976="","Item não informado",IF(T976=0,"REVISAR VÍNCULO: item inexistente",IF(AND(X976=1,J976&lt;&gt;"Sim"),"REVISAR VÍNCULO: destinador diferente do MTR",IF(X976=1,"Destinador diferente do MTR (analisado)","OK")))))))</f>
        <v/>
      </c>
      <c r="N976" s="96">
        <f>IF(COUNTA(B976:C976,F976:G976,J976:K976)&gt;0,1,0)</f>
        <v>0</v>
      </c>
      <c r="O976" s="96" t="str">
        <f>IF(B976="","",TRIM(LEFT(B976,FIND(" |",B976&amp;" |")-1)))</f>
        <v/>
      </c>
      <c r="P976" s="96" t="str">
        <f>IF(O976="","",IFERROR(MATCH(O976,'CDFs'!$A$6:$A$505,0),""))</f>
        <v/>
      </c>
      <c r="Q976" s="96">
        <f>IF(P976="",0,IF(INDEX('CDFs'!$S$6:$S$505,P976)=1,1,0))</f>
        <v>0</v>
      </c>
      <c r="R976" s="96" t="str">
        <f>IF(C976="","",TRIM(LEFT(C976,FIND(" |",C976&amp;" |")-1)))</f>
        <v/>
      </c>
      <c r="S976" s="96" t="str">
        <f>IF(R976="","",IFERROR(MATCH(R976,'ITENS_MTR'!$A$6:$A$1005,0),""))</f>
        <v/>
      </c>
      <c r="T976" s="96">
        <f>IF(S976="",0,IF(INDEX('ITENS_MTR'!$R$6:$R$1005,S976)=1,1,0))</f>
        <v>0</v>
      </c>
      <c r="U976" s="96" t="str">
        <f>IF(G976="","",IFERROR(IF(ISNUMBER(INDEX(cfg_fac,MATCH(G976,cfg_units,0))),IF(INDEX(cfg_fac,MATCH(G976,cfg_units,0))&gt;0,INDEX(cfg_fac,MATCH(G976,cfg_units,0)),""),""),""))</f>
        <v/>
      </c>
      <c r="V976" s="96">
        <f>IF(AND(ISNUMBER(F976),ISNUMBER(H976)),IF(H976&gt;0,1,0),0)</f>
        <v>0</v>
      </c>
      <c r="W976" s="96" t="str">
        <f>IF(T976=1,INDEX('ITENS_MTR'!$AU$6:$AU$1005,S976)&amp;"","")</f>
        <v/>
      </c>
      <c r="X976" s="96">
        <f>IF(AND(Q976=1,T976=1,I976&lt;&gt;"",W976&lt;&gt;""),IF(I976&lt;&gt;W976,1,0),0)</f>
        <v>0</v>
      </c>
      <c r="Y976" s="96">
        <f>IF(N976=0,0,IF(OR(Q976=0,T976=0,V976=0,AND(X976=1,J976&lt;&gt;"Sim")),1,0))</f>
        <v>0</v>
      </c>
      <c r="Z976" s="96">
        <f>IF(Q976=1,INDEX('CDFs'!$W$6:$W$505,P976),0)</f>
        <v>0</v>
      </c>
      <c r="AA976" s="96">
        <f>IF(AND(N976=1,Y976=0,Z976=1,J976="Sim"),1,0)</f>
        <v>0</v>
      </c>
      <c r="AB976" s="96">
        <f>IF(AND(N976=1,O976&lt;&gt;"",D976&lt;&gt;""),IF(COUNTIFS($O$6:O976,O976,$D$6:D976,D976)=1,1,0),0)</f>
        <v>0</v>
      </c>
      <c r="AC976" s="96">
        <f>IF(T976=1,INDEX('ITENS_MTR'!$AL$6:$AL$1005,S976),0)</f>
        <v>0</v>
      </c>
    </row>
    <row r="977">
      <c r="A977" s="89" t="inlineStr">
        <is>
          <t>VIN-000972</t>
        </is>
      </c>
      <c r="B977" s="91" t="n"/>
      <c r="C977" s="91" t="n"/>
      <c r="D977" s="94" t="str">
        <f>IF(T977=1,INDEX('ITENS_MTR'!$S$6:$S$1005,S977)&amp;"","")</f>
        <v/>
      </c>
      <c r="E977" s="94" t="str">
        <f>IF(T977=1,INDEX('ITENS_MTR'!$C$6:$C$1005,S977)&amp;"","")</f>
        <v/>
      </c>
      <c r="F977" s="98" t="n"/>
      <c r="G977" s="91" t="n"/>
      <c r="H977" s="93" t="str">
        <f>IF(N977=0,"",IF(NOT(ISNUMBER(F977)),"",IF(ISNUMBER(U977),F977*U977,"UNIDADE A CONFERIR")))</f>
        <v/>
      </c>
      <c r="I977" s="94" t="str">
        <f>IF(Q977=1,INDEX('CDFs'!$F$6:$F$505,P977)&amp;"","")</f>
        <v/>
      </c>
      <c r="J977" s="91" t="n"/>
      <c r="K977" s="91" t="n"/>
      <c r="L977" s="94" t="str">
        <f>IF(N977=0,"",IF(NOT(ISNUMBER(F977)),"Quantidade não informada",IF(F977&lt;=0,"Quantidade não positiva",IF(G977="","Unidade não informada",IF(NOT(ISNUMBER(H977)),"Unidade a conferir",IF(AC977=1,"REVISAR VÍNCULO: soma vinculada maior que a referência do item","OK"))))))</f>
        <v/>
      </c>
      <c r="M977" s="94" t="str">
        <f>IF(N977=0,"",IF(B977="","CDF não informado",IF(Q977=0,"REVISAR VÍNCULO: CDF inexistente",IF(C977="","Item não informado",IF(T977=0,"REVISAR VÍNCULO: item inexistente",IF(AND(X977=1,J977&lt;&gt;"Sim"),"REVISAR VÍNCULO: destinador diferente do MTR",IF(X977=1,"Destinador diferente do MTR (analisado)","OK")))))))</f>
        <v/>
      </c>
      <c r="N977" s="96">
        <f>IF(COUNTA(B977:C977,F977:G977,J977:K977)&gt;0,1,0)</f>
        <v>0</v>
      </c>
      <c r="O977" s="96" t="str">
        <f>IF(B977="","",TRIM(LEFT(B977,FIND(" |",B977&amp;" |")-1)))</f>
        <v/>
      </c>
      <c r="P977" s="96" t="str">
        <f>IF(O977="","",IFERROR(MATCH(O977,'CDFs'!$A$6:$A$505,0),""))</f>
        <v/>
      </c>
      <c r="Q977" s="96">
        <f>IF(P977="",0,IF(INDEX('CDFs'!$S$6:$S$505,P977)=1,1,0))</f>
        <v>0</v>
      </c>
      <c r="R977" s="96" t="str">
        <f>IF(C977="","",TRIM(LEFT(C977,FIND(" |",C977&amp;" |")-1)))</f>
        <v/>
      </c>
      <c r="S977" s="96" t="str">
        <f>IF(R977="","",IFERROR(MATCH(R977,'ITENS_MTR'!$A$6:$A$1005,0),""))</f>
        <v/>
      </c>
      <c r="T977" s="96">
        <f>IF(S977="",0,IF(INDEX('ITENS_MTR'!$R$6:$R$1005,S977)=1,1,0))</f>
        <v>0</v>
      </c>
      <c r="U977" s="96" t="str">
        <f>IF(G977="","",IFERROR(IF(ISNUMBER(INDEX(cfg_fac,MATCH(G977,cfg_units,0))),IF(INDEX(cfg_fac,MATCH(G977,cfg_units,0))&gt;0,INDEX(cfg_fac,MATCH(G977,cfg_units,0)),""),""),""))</f>
        <v/>
      </c>
      <c r="V977" s="96">
        <f>IF(AND(ISNUMBER(F977),ISNUMBER(H977)),IF(H977&gt;0,1,0),0)</f>
        <v>0</v>
      </c>
      <c r="W977" s="96" t="str">
        <f>IF(T977=1,INDEX('ITENS_MTR'!$AU$6:$AU$1005,S977)&amp;"","")</f>
        <v/>
      </c>
      <c r="X977" s="96">
        <f>IF(AND(Q977=1,T977=1,I977&lt;&gt;"",W977&lt;&gt;""),IF(I977&lt;&gt;W977,1,0),0)</f>
        <v>0</v>
      </c>
      <c r="Y977" s="96">
        <f>IF(N977=0,0,IF(OR(Q977=0,T977=0,V977=0,AND(X977=1,J977&lt;&gt;"Sim")),1,0))</f>
        <v>0</v>
      </c>
      <c r="Z977" s="96">
        <f>IF(Q977=1,INDEX('CDFs'!$W$6:$W$505,P977),0)</f>
        <v>0</v>
      </c>
      <c r="AA977" s="96">
        <f>IF(AND(N977=1,Y977=0,Z977=1,J977="Sim"),1,0)</f>
        <v>0</v>
      </c>
      <c r="AB977" s="96">
        <f>IF(AND(N977=1,O977&lt;&gt;"",D977&lt;&gt;""),IF(COUNTIFS($O$6:O977,O977,$D$6:D977,D977)=1,1,0),0)</f>
        <v>0</v>
      </c>
      <c r="AC977" s="96">
        <f>IF(T977=1,INDEX('ITENS_MTR'!$AL$6:$AL$1005,S977),0)</f>
        <v>0</v>
      </c>
    </row>
    <row r="978">
      <c r="A978" s="89" t="inlineStr">
        <is>
          <t>VIN-000973</t>
        </is>
      </c>
      <c r="B978" s="91" t="n"/>
      <c r="C978" s="91" t="n"/>
      <c r="D978" s="94" t="str">
        <f>IF(T978=1,INDEX('ITENS_MTR'!$S$6:$S$1005,S978)&amp;"","")</f>
        <v/>
      </c>
      <c r="E978" s="94" t="str">
        <f>IF(T978=1,INDEX('ITENS_MTR'!$C$6:$C$1005,S978)&amp;"","")</f>
        <v/>
      </c>
      <c r="F978" s="98" t="n"/>
      <c r="G978" s="91" t="n"/>
      <c r="H978" s="93" t="str">
        <f>IF(N978=0,"",IF(NOT(ISNUMBER(F978)),"",IF(ISNUMBER(U978),F978*U978,"UNIDADE A CONFERIR")))</f>
        <v/>
      </c>
      <c r="I978" s="94" t="str">
        <f>IF(Q978=1,INDEX('CDFs'!$F$6:$F$505,P978)&amp;"","")</f>
        <v/>
      </c>
      <c r="J978" s="91" t="n"/>
      <c r="K978" s="91" t="n"/>
      <c r="L978" s="94" t="str">
        <f>IF(N978=0,"",IF(NOT(ISNUMBER(F978)),"Quantidade não informada",IF(F978&lt;=0,"Quantidade não positiva",IF(G978="","Unidade não informada",IF(NOT(ISNUMBER(H978)),"Unidade a conferir",IF(AC978=1,"REVISAR VÍNCULO: soma vinculada maior que a referência do item","OK"))))))</f>
        <v/>
      </c>
      <c r="M978" s="94" t="str">
        <f>IF(N978=0,"",IF(B978="","CDF não informado",IF(Q978=0,"REVISAR VÍNCULO: CDF inexistente",IF(C978="","Item não informado",IF(T978=0,"REVISAR VÍNCULO: item inexistente",IF(AND(X978=1,J978&lt;&gt;"Sim"),"REVISAR VÍNCULO: destinador diferente do MTR",IF(X978=1,"Destinador diferente do MTR (analisado)","OK")))))))</f>
        <v/>
      </c>
      <c r="N978" s="96">
        <f>IF(COUNTA(B978:C978,F978:G978,J978:K978)&gt;0,1,0)</f>
        <v>0</v>
      </c>
      <c r="O978" s="96" t="str">
        <f>IF(B978="","",TRIM(LEFT(B978,FIND(" |",B978&amp;" |")-1)))</f>
        <v/>
      </c>
      <c r="P978" s="96" t="str">
        <f>IF(O978="","",IFERROR(MATCH(O978,'CDFs'!$A$6:$A$505,0),""))</f>
        <v/>
      </c>
      <c r="Q978" s="96">
        <f>IF(P978="",0,IF(INDEX('CDFs'!$S$6:$S$505,P978)=1,1,0))</f>
        <v>0</v>
      </c>
      <c r="R978" s="96" t="str">
        <f>IF(C978="","",TRIM(LEFT(C978,FIND(" |",C978&amp;" |")-1)))</f>
        <v/>
      </c>
      <c r="S978" s="96" t="str">
        <f>IF(R978="","",IFERROR(MATCH(R978,'ITENS_MTR'!$A$6:$A$1005,0),""))</f>
        <v/>
      </c>
      <c r="T978" s="96">
        <f>IF(S978="",0,IF(INDEX('ITENS_MTR'!$R$6:$R$1005,S978)=1,1,0))</f>
        <v>0</v>
      </c>
      <c r="U978" s="96" t="str">
        <f>IF(G978="","",IFERROR(IF(ISNUMBER(INDEX(cfg_fac,MATCH(G978,cfg_units,0))),IF(INDEX(cfg_fac,MATCH(G978,cfg_units,0))&gt;0,INDEX(cfg_fac,MATCH(G978,cfg_units,0)),""),""),""))</f>
        <v/>
      </c>
      <c r="V978" s="96">
        <f>IF(AND(ISNUMBER(F978),ISNUMBER(H978)),IF(H978&gt;0,1,0),0)</f>
        <v>0</v>
      </c>
      <c r="W978" s="96" t="str">
        <f>IF(T978=1,INDEX('ITENS_MTR'!$AU$6:$AU$1005,S978)&amp;"","")</f>
        <v/>
      </c>
      <c r="X978" s="96">
        <f>IF(AND(Q978=1,T978=1,I978&lt;&gt;"",W978&lt;&gt;""),IF(I978&lt;&gt;W978,1,0),0)</f>
        <v>0</v>
      </c>
      <c r="Y978" s="96">
        <f>IF(N978=0,0,IF(OR(Q978=0,T978=0,V978=0,AND(X978=1,J978&lt;&gt;"Sim")),1,0))</f>
        <v>0</v>
      </c>
      <c r="Z978" s="96">
        <f>IF(Q978=1,INDEX('CDFs'!$W$6:$W$505,P978),0)</f>
        <v>0</v>
      </c>
      <c r="AA978" s="96">
        <f>IF(AND(N978=1,Y978=0,Z978=1,J978="Sim"),1,0)</f>
        <v>0</v>
      </c>
      <c r="AB978" s="96">
        <f>IF(AND(N978=1,O978&lt;&gt;"",D978&lt;&gt;""),IF(COUNTIFS($O$6:O978,O978,$D$6:D978,D978)=1,1,0),0)</f>
        <v>0</v>
      </c>
      <c r="AC978" s="96">
        <f>IF(T978=1,INDEX('ITENS_MTR'!$AL$6:$AL$1005,S978),0)</f>
        <v>0</v>
      </c>
    </row>
    <row r="979">
      <c r="A979" s="89" t="inlineStr">
        <is>
          <t>VIN-000974</t>
        </is>
      </c>
      <c r="B979" s="91" t="n"/>
      <c r="C979" s="91" t="n"/>
      <c r="D979" s="94" t="str">
        <f>IF(T979=1,INDEX('ITENS_MTR'!$S$6:$S$1005,S979)&amp;"","")</f>
        <v/>
      </c>
      <c r="E979" s="94" t="str">
        <f>IF(T979=1,INDEX('ITENS_MTR'!$C$6:$C$1005,S979)&amp;"","")</f>
        <v/>
      </c>
      <c r="F979" s="98" t="n"/>
      <c r="G979" s="91" t="n"/>
      <c r="H979" s="93" t="str">
        <f>IF(N979=0,"",IF(NOT(ISNUMBER(F979)),"",IF(ISNUMBER(U979),F979*U979,"UNIDADE A CONFERIR")))</f>
        <v/>
      </c>
      <c r="I979" s="94" t="str">
        <f>IF(Q979=1,INDEX('CDFs'!$F$6:$F$505,P979)&amp;"","")</f>
        <v/>
      </c>
      <c r="J979" s="91" t="n"/>
      <c r="K979" s="91" t="n"/>
      <c r="L979" s="94" t="str">
        <f>IF(N979=0,"",IF(NOT(ISNUMBER(F979)),"Quantidade não informada",IF(F979&lt;=0,"Quantidade não positiva",IF(G979="","Unidade não informada",IF(NOT(ISNUMBER(H979)),"Unidade a conferir",IF(AC979=1,"REVISAR VÍNCULO: soma vinculada maior que a referência do item","OK"))))))</f>
        <v/>
      </c>
      <c r="M979" s="94" t="str">
        <f>IF(N979=0,"",IF(B979="","CDF não informado",IF(Q979=0,"REVISAR VÍNCULO: CDF inexistente",IF(C979="","Item não informado",IF(T979=0,"REVISAR VÍNCULO: item inexistente",IF(AND(X979=1,J979&lt;&gt;"Sim"),"REVISAR VÍNCULO: destinador diferente do MTR",IF(X979=1,"Destinador diferente do MTR (analisado)","OK")))))))</f>
        <v/>
      </c>
      <c r="N979" s="96">
        <f>IF(COUNTA(B979:C979,F979:G979,J979:K979)&gt;0,1,0)</f>
        <v>0</v>
      </c>
      <c r="O979" s="96" t="str">
        <f>IF(B979="","",TRIM(LEFT(B979,FIND(" |",B979&amp;" |")-1)))</f>
        <v/>
      </c>
      <c r="P979" s="96" t="str">
        <f>IF(O979="","",IFERROR(MATCH(O979,'CDFs'!$A$6:$A$505,0),""))</f>
        <v/>
      </c>
      <c r="Q979" s="96">
        <f>IF(P979="",0,IF(INDEX('CDFs'!$S$6:$S$505,P979)=1,1,0))</f>
        <v>0</v>
      </c>
      <c r="R979" s="96" t="str">
        <f>IF(C979="","",TRIM(LEFT(C979,FIND(" |",C979&amp;" |")-1)))</f>
        <v/>
      </c>
      <c r="S979" s="96" t="str">
        <f>IF(R979="","",IFERROR(MATCH(R979,'ITENS_MTR'!$A$6:$A$1005,0),""))</f>
        <v/>
      </c>
      <c r="T979" s="96">
        <f>IF(S979="",0,IF(INDEX('ITENS_MTR'!$R$6:$R$1005,S979)=1,1,0))</f>
        <v>0</v>
      </c>
      <c r="U979" s="96" t="str">
        <f>IF(G979="","",IFERROR(IF(ISNUMBER(INDEX(cfg_fac,MATCH(G979,cfg_units,0))),IF(INDEX(cfg_fac,MATCH(G979,cfg_units,0))&gt;0,INDEX(cfg_fac,MATCH(G979,cfg_units,0)),""),""),""))</f>
        <v/>
      </c>
      <c r="V979" s="96">
        <f>IF(AND(ISNUMBER(F979),ISNUMBER(H979)),IF(H979&gt;0,1,0),0)</f>
        <v>0</v>
      </c>
      <c r="W979" s="96" t="str">
        <f>IF(T979=1,INDEX('ITENS_MTR'!$AU$6:$AU$1005,S979)&amp;"","")</f>
        <v/>
      </c>
      <c r="X979" s="96">
        <f>IF(AND(Q979=1,T979=1,I979&lt;&gt;"",W979&lt;&gt;""),IF(I979&lt;&gt;W979,1,0),0)</f>
        <v>0</v>
      </c>
      <c r="Y979" s="96">
        <f>IF(N979=0,0,IF(OR(Q979=0,T979=0,V979=0,AND(X979=1,J979&lt;&gt;"Sim")),1,0))</f>
        <v>0</v>
      </c>
      <c r="Z979" s="96">
        <f>IF(Q979=1,INDEX('CDFs'!$W$6:$W$505,P979),0)</f>
        <v>0</v>
      </c>
      <c r="AA979" s="96">
        <f>IF(AND(N979=1,Y979=0,Z979=1,J979="Sim"),1,0)</f>
        <v>0</v>
      </c>
      <c r="AB979" s="96">
        <f>IF(AND(N979=1,O979&lt;&gt;"",D979&lt;&gt;""),IF(COUNTIFS($O$6:O979,O979,$D$6:D979,D979)=1,1,0),0)</f>
        <v>0</v>
      </c>
      <c r="AC979" s="96">
        <f>IF(T979=1,INDEX('ITENS_MTR'!$AL$6:$AL$1005,S979),0)</f>
        <v>0</v>
      </c>
    </row>
    <row r="980">
      <c r="A980" s="89" t="inlineStr">
        <is>
          <t>VIN-000975</t>
        </is>
      </c>
      <c r="B980" s="91" t="n"/>
      <c r="C980" s="91" t="n"/>
      <c r="D980" s="94" t="str">
        <f>IF(T980=1,INDEX('ITENS_MTR'!$S$6:$S$1005,S980)&amp;"","")</f>
        <v/>
      </c>
      <c r="E980" s="94" t="str">
        <f>IF(T980=1,INDEX('ITENS_MTR'!$C$6:$C$1005,S980)&amp;"","")</f>
        <v/>
      </c>
      <c r="F980" s="98" t="n"/>
      <c r="G980" s="91" t="n"/>
      <c r="H980" s="93" t="str">
        <f>IF(N980=0,"",IF(NOT(ISNUMBER(F980)),"",IF(ISNUMBER(U980),F980*U980,"UNIDADE A CONFERIR")))</f>
        <v/>
      </c>
      <c r="I980" s="94" t="str">
        <f>IF(Q980=1,INDEX('CDFs'!$F$6:$F$505,P980)&amp;"","")</f>
        <v/>
      </c>
      <c r="J980" s="91" t="n"/>
      <c r="K980" s="91" t="n"/>
      <c r="L980" s="94" t="str">
        <f>IF(N980=0,"",IF(NOT(ISNUMBER(F980)),"Quantidade não informada",IF(F980&lt;=0,"Quantidade não positiva",IF(G980="","Unidade não informada",IF(NOT(ISNUMBER(H980)),"Unidade a conferir",IF(AC980=1,"REVISAR VÍNCULO: soma vinculada maior que a referência do item","OK"))))))</f>
        <v/>
      </c>
      <c r="M980" s="94" t="str">
        <f>IF(N980=0,"",IF(B980="","CDF não informado",IF(Q980=0,"REVISAR VÍNCULO: CDF inexistente",IF(C980="","Item não informado",IF(T980=0,"REVISAR VÍNCULO: item inexistente",IF(AND(X980=1,J980&lt;&gt;"Sim"),"REVISAR VÍNCULO: destinador diferente do MTR",IF(X980=1,"Destinador diferente do MTR (analisado)","OK")))))))</f>
        <v/>
      </c>
      <c r="N980" s="96">
        <f>IF(COUNTA(B980:C980,F980:G980,J980:K980)&gt;0,1,0)</f>
        <v>0</v>
      </c>
      <c r="O980" s="96" t="str">
        <f>IF(B980="","",TRIM(LEFT(B980,FIND(" |",B980&amp;" |")-1)))</f>
        <v/>
      </c>
      <c r="P980" s="96" t="str">
        <f>IF(O980="","",IFERROR(MATCH(O980,'CDFs'!$A$6:$A$505,0),""))</f>
        <v/>
      </c>
      <c r="Q980" s="96">
        <f>IF(P980="",0,IF(INDEX('CDFs'!$S$6:$S$505,P980)=1,1,0))</f>
        <v>0</v>
      </c>
      <c r="R980" s="96" t="str">
        <f>IF(C980="","",TRIM(LEFT(C980,FIND(" |",C980&amp;" |")-1)))</f>
        <v/>
      </c>
      <c r="S980" s="96" t="str">
        <f>IF(R980="","",IFERROR(MATCH(R980,'ITENS_MTR'!$A$6:$A$1005,0),""))</f>
        <v/>
      </c>
      <c r="T980" s="96">
        <f>IF(S980="",0,IF(INDEX('ITENS_MTR'!$R$6:$R$1005,S980)=1,1,0))</f>
        <v>0</v>
      </c>
      <c r="U980" s="96" t="str">
        <f>IF(G980="","",IFERROR(IF(ISNUMBER(INDEX(cfg_fac,MATCH(G980,cfg_units,0))),IF(INDEX(cfg_fac,MATCH(G980,cfg_units,0))&gt;0,INDEX(cfg_fac,MATCH(G980,cfg_units,0)),""),""),""))</f>
        <v/>
      </c>
      <c r="V980" s="96">
        <f>IF(AND(ISNUMBER(F980),ISNUMBER(H980)),IF(H980&gt;0,1,0),0)</f>
        <v>0</v>
      </c>
      <c r="W980" s="96" t="str">
        <f>IF(T980=1,INDEX('ITENS_MTR'!$AU$6:$AU$1005,S980)&amp;"","")</f>
        <v/>
      </c>
      <c r="X980" s="96">
        <f>IF(AND(Q980=1,T980=1,I980&lt;&gt;"",W980&lt;&gt;""),IF(I980&lt;&gt;W980,1,0),0)</f>
        <v>0</v>
      </c>
      <c r="Y980" s="96">
        <f>IF(N980=0,0,IF(OR(Q980=0,T980=0,V980=0,AND(X980=1,J980&lt;&gt;"Sim")),1,0))</f>
        <v>0</v>
      </c>
      <c r="Z980" s="96">
        <f>IF(Q980=1,INDEX('CDFs'!$W$6:$W$505,P980),0)</f>
        <v>0</v>
      </c>
      <c r="AA980" s="96">
        <f>IF(AND(N980=1,Y980=0,Z980=1,J980="Sim"),1,0)</f>
        <v>0</v>
      </c>
      <c r="AB980" s="96">
        <f>IF(AND(N980=1,O980&lt;&gt;"",D980&lt;&gt;""),IF(COUNTIFS($O$6:O980,O980,$D$6:D980,D980)=1,1,0),0)</f>
        <v>0</v>
      </c>
      <c r="AC980" s="96">
        <f>IF(T980=1,INDEX('ITENS_MTR'!$AL$6:$AL$1005,S980),0)</f>
        <v>0</v>
      </c>
    </row>
    <row r="981">
      <c r="A981" s="89" t="inlineStr">
        <is>
          <t>VIN-000976</t>
        </is>
      </c>
      <c r="B981" s="91" t="n"/>
      <c r="C981" s="91" t="n"/>
      <c r="D981" s="94" t="str">
        <f>IF(T981=1,INDEX('ITENS_MTR'!$S$6:$S$1005,S981)&amp;"","")</f>
        <v/>
      </c>
      <c r="E981" s="94" t="str">
        <f>IF(T981=1,INDEX('ITENS_MTR'!$C$6:$C$1005,S981)&amp;"","")</f>
        <v/>
      </c>
      <c r="F981" s="98" t="n"/>
      <c r="G981" s="91" t="n"/>
      <c r="H981" s="93" t="str">
        <f>IF(N981=0,"",IF(NOT(ISNUMBER(F981)),"",IF(ISNUMBER(U981),F981*U981,"UNIDADE A CONFERIR")))</f>
        <v/>
      </c>
      <c r="I981" s="94" t="str">
        <f>IF(Q981=1,INDEX('CDFs'!$F$6:$F$505,P981)&amp;"","")</f>
        <v/>
      </c>
      <c r="J981" s="91" t="n"/>
      <c r="K981" s="91" t="n"/>
      <c r="L981" s="94" t="str">
        <f>IF(N981=0,"",IF(NOT(ISNUMBER(F981)),"Quantidade não informada",IF(F981&lt;=0,"Quantidade não positiva",IF(G981="","Unidade não informada",IF(NOT(ISNUMBER(H981)),"Unidade a conferir",IF(AC981=1,"REVISAR VÍNCULO: soma vinculada maior que a referência do item","OK"))))))</f>
        <v/>
      </c>
      <c r="M981" s="94" t="str">
        <f>IF(N981=0,"",IF(B981="","CDF não informado",IF(Q981=0,"REVISAR VÍNCULO: CDF inexistente",IF(C981="","Item não informado",IF(T981=0,"REVISAR VÍNCULO: item inexistente",IF(AND(X981=1,J981&lt;&gt;"Sim"),"REVISAR VÍNCULO: destinador diferente do MTR",IF(X981=1,"Destinador diferente do MTR (analisado)","OK")))))))</f>
        <v/>
      </c>
      <c r="N981" s="96">
        <f>IF(COUNTA(B981:C981,F981:G981,J981:K981)&gt;0,1,0)</f>
        <v>0</v>
      </c>
      <c r="O981" s="96" t="str">
        <f>IF(B981="","",TRIM(LEFT(B981,FIND(" |",B981&amp;" |")-1)))</f>
        <v/>
      </c>
      <c r="P981" s="96" t="str">
        <f>IF(O981="","",IFERROR(MATCH(O981,'CDFs'!$A$6:$A$505,0),""))</f>
        <v/>
      </c>
      <c r="Q981" s="96">
        <f>IF(P981="",0,IF(INDEX('CDFs'!$S$6:$S$505,P981)=1,1,0))</f>
        <v>0</v>
      </c>
      <c r="R981" s="96" t="str">
        <f>IF(C981="","",TRIM(LEFT(C981,FIND(" |",C981&amp;" |")-1)))</f>
        <v/>
      </c>
      <c r="S981" s="96" t="str">
        <f>IF(R981="","",IFERROR(MATCH(R981,'ITENS_MTR'!$A$6:$A$1005,0),""))</f>
        <v/>
      </c>
      <c r="T981" s="96">
        <f>IF(S981="",0,IF(INDEX('ITENS_MTR'!$R$6:$R$1005,S981)=1,1,0))</f>
        <v>0</v>
      </c>
      <c r="U981" s="96" t="str">
        <f>IF(G981="","",IFERROR(IF(ISNUMBER(INDEX(cfg_fac,MATCH(G981,cfg_units,0))),IF(INDEX(cfg_fac,MATCH(G981,cfg_units,0))&gt;0,INDEX(cfg_fac,MATCH(G981,cfg_units,0)),""),""),""))</f>
        <v/>
      </c>
      <c r="V981" s="96">
        <f>IF(AND(ISNUMBER(F981),ISNUMBER(H981)),IF(H981&gt;0,1,0),0)</f>
        <v>0</v>
      </c>
      <c r="W981" s="96" t="str">
        <f>IF(T981=1,INDEX('ITENS_MTR'!$AU$6:$AU$1005,S981)&amp;"","")</f>
        <v/>
      </c>
      <c r="X981" s="96">
        <f>IF(AND(Q981=1,T981=1,I981&lt;&gt;"",W981&lt;&gt;""),IF(I981&lt;&gt;W981,1,0),0)</f>
        <v>0</v>
      </c>
      <c r="Y981" s="96">
        <f>IF(N981=0,0,IF(OR(Q981=0,T981=0,V981=0,AND(X981=1,J981&lt;&gt;"Sim")),1,0))</f>
        <v>0</v>
      </c>
      <c r="Z981" s="96">
        <f>IF(Q981=1,INDEX('CDFs'!$W$6:$W$505,P981),0)</f>
        <v>0</v>
      </c>
      <c r="AA981" s="96">
        <f>IF(AND(N981=1,Y981=0,Z981=1,J981="Sim"),1,0)</f>
        <v>0</v>
      </c>
      <c r="AB981" s="96">
        <f>IF(AND(N981=1,O981&lt;&gt;"",D981&lt;&gt;""),IF(COUNTIFS($O$6:O981,O981,$D$6:D981,D981)=1,1,0),0)</f>
        <v>0</v>
      </c>
      <c r="AC981" s="96">
        <f>IF(T981=1,INDEX('ITENS_MTR'!$AL$6:$AL$1005,S981),0)</f>
        <v>0</v>
      </c>
    </row>
    <row r="982">
      <c r="A982" s="89" t="inlineStr">
        <is>
          <t>VIN-000977</t>
        </is>
      </c>
      <c r="B982" s="91" t="n"/>
      <c r="C982" s="91" t="n"/>
      <c r="D982" s="94" t="str">
        <f>IF(T982=1,INDEX('ITENS_MTR'!$S$6:$S$1005,S982)&amp;"","")</f>
        <v/>
      </c>
      <c r="E982" s="94" t="str">
        <f>IF(T982=1,INDEX('ITENS_MTR'!$C$6:$C$1005,S982)&amp;"","")</f>
        <v/>
      </c>
      <c r="F982" s="98" t="n"/>
      <c r="G982" s="91" t="n"/>
      <c r="H982" s="93" t="str">
        <f>IF(N982=0,"",IF(NOT(ISNUMBER(F982)),"",IF(ISNUMBER(U982),F982*U982,"UNIDADE A CONFERIR")))</f>
        <v/>
      </c>
      <c r="I982" s="94" t="str">
        <f>IF(Q982=1,INDEX('CDFs'!$F$6:$F$505,P982)&amp;"","")</f>
        <v/>
      </c>
      <c r="J982" s="91" t="n"/>
      <c r="K982" s="91" t="n"/>
      <c r="L982" s="94" t="str">
        <f>IF(N982=0,"",IF(NOT(ISNUMBER(F982)),"Quantidade não informada",IF(F982&lt;=0,"Quantidade não positiva",IF(G982="","Unidade não informada",IF(NOT(ISNUMBER(H982)),"Unidade a conferir",IF(AC982=1,"REVISAR VÍNCULO: soma vinculada maior que a referência do item","OK"))))))</f>
        <v/>
      </c>
      <c r="M982" s="94" t="str">
        <f>IF(N982=0,"",IF(B982="","CDF não informado",IF(Q982=0,"REVISAR VÍNCULO: CDF inexistente",IF(C982="","Item não informado",IF(T982=0,"REVISAR VÍNCULO: item inexistente",IF(AND(X982=1,J982&lt;&gt;"Sim"),"REVISAR VÍNCULO: destinador diferente do MTR",IF(X982=1,"Destinador diferente do MTR (analisado)","OK")))))))</f>
        <v/>
      </c>
      <c r="N982" s="96">
        <f>IF(COUNTA(B982:C982,F982:G982,J982:K982)&gt;0,1,0)</f>
        <v>0</v>
      </c>
      <c r="O982" s="96" t="str">
        <f>IF(B982="","",TRIM(LEFT(B982,FIND(" |",B982&amp;" |")-1)))</f>
        <v/>
      </c>
      <c r="P982" s="96" t="str">
        <f>IF(O982="","",IFERROR(MATCH(O982,'CDFs'!$A$6:$A$505,0),""))</f>
        <v/>
      </c>
      <c r="Q982" s="96">
        <f>IF(P982="",0,IF(INDEX('CDFs'!$S$6:$S$505,P982)=1,1,0))</f>
        <v>0</v>
      </c>
      <c r="R982" s="96" t="str">
        <f>IF(C982="","",TRIM(LEFT(C982,FIND(" |",C982&amp;" |")-1)))</f>
        <v/>
      </c>
      <c r="S982" s="96" t="str">
        <f>IF(R982="","",IFERROR(MATCH(R982,'ITENS_MTR'!$A$6:$A$1005,0),""))</f>
        <v/>
      </c>
      <c r="T982" s="96">
        <f>IF(S982="",0,IF(INDEX('ITENS_MTR'!$R$6:$R$1005,S982)=1,1,0))</f>
        <v>0</v>
      </c>
      <c r="U982" s="96" t="str">
        <f>IF(G982="","",IFERROR(IF(ISNUMBER(INDEX(cfg_fac,MATCH(G982,cfg_units,0))),IF(INDEX(cfg_fac,MATCH(G982,cfg_units,0))&gt;0,INDEX(cfg_fac,MATCH(G982,cfg_units,0)),""),""),""))</f>
        <v/>
      </c>
      <c r="V982" s="96">
        <f>IF(AND(ISNUMBER(F982),ISNUMBER(H982)),IF(H982&gt;0,1,0),0)</f>
        <v>0</v>
      </c>
      <c r="W982" s="96" t="str">
        <f>IF(T982=1,INDEX('ITENS_MTR'!$AU$6:$AU$1005,S982)&amp;"","")</f>
        <v/>
      </c>
      <c r="X982" s="96">
        <f>IF(AND(Q982=1,T982=1,I982&lt;&gt;"",W982&lt;&gt;""),IF(I982&lt;&gt;W982,1,0),0)</f>
        <v>0</v>
      </c>
      <c r="Y982" s="96">
        <f>IF(N982=0,0,IF(OR(Q982=0,T982=0,V982=0,AND(X982=1,J982&lt;&gt;"Sim")),1,0))</f>
        <v>0</v>
      </c>
      <c r="Z982" s="96">
        <f>IF(Q982=1,INDEX('CDFs'!$W$6:$W$505,P982),0)</f>
        <v>0</v>
      </c>
      <c r="AA982" s="96">
        <f>IF(AND(N982=1,Y982=0,Z982=1,J982="Sim"),1,0)</f>
        <v>0</v>
      </c>
      <c r="AB982" s="96">
        <f>IF(AND(N982=1,O982&lt;&gt;"",D982&lt;&gt;""),IF(COUNTIFS($O$6:O982,O982,$D$6:D982,D982)=1,1,0),0)</f>
        <v>0</v>
      </c>
      <c r="AC982" s="96">
        <f>IF(T982=1,INDEX('ITENS_MTR'!$AL$6:$AL$1005,S982),0)</f>
        <v>0</v>
      </c>
    </row>
    <row r="983">
      <c r="A983" s="89" t="inlineStr">
        <is>
          <t>VIN-000978</t>
        </is>
      </c>
      <c r="B983" s="91" t="n"/>
      <c r="C983" s="91" t="n"/>
      <c r="D983" s="94" t="str">
        <f>IF(T983=1,INDEX('ITENS_MTR'!$S$6:$S$1005,S983)&amp;"","")</f>
        <v/>
      </c>
      <c r="E983" s="94" t="str">
        <f>IF(T983=1,INDEX('ITENS_MTR'!$C$6:$C$1005,S983)&amp;"","")</f>
        <v/>
      </c>
      <c r="F983" s="98" t="n"/>
      <c r="G983" s="91" t="n"/>
      <c r="H983" s="93" t="str">
        <f>IF(N983=0,"",IF(NOT(ISNUMBER(F983)),"",IF(ISNUMBER(U983),F983*U983,"UNIDADE A CONFERIR")))</f>
        <v/>
      </c>
      <c r="I983" s="94" t="str">
        <f>IF(Q983=1,INDEX('CDFs'!$F$6:$F$505,P983)&amp;"","")</f>
        <v/>
      </c>
      <c r="J983" s="91" t="n"/>
      <c r="K983" s="91" t="n"/>
      <c r="L983" s="94" t="str">
        <f>IF(N983=0,"",IF(NOT(ISNUMBER(F983)),"Quantidade não informada",IF(F983&lt;=0,"Quantidade não positiva",IF(G983="","Unidade não informada",IF(NOT(ISNUMBER(H983)),"Unidade a conferir",IF(AC983=1,"REVISAR VÍNCULO: soma vinculada maior que a referência do item","OK"))))))</f>
        <v/>
      </c>
      <c r="M983" s="94" t="str">
        <f>IF(N983=0,"",IF(B983="","CDF não informado",IF(Q983=0,"REVISAR VÍNCULO: CDF inexistente",IF(C983="","Item não informado",IF(T983=0,"REVISAR VÍNCULO: item inexistente",IF(AND(X983=1,J983&lt;&gt;"Sim"),"REVISAR VÍNCULO: destinador diferente do MTR",IF(X983=1,"Destinador diferente do MTR (analisado)","OK")))))))</f>
        <v/>
      </c>
      <c r="N983" s="96">
        <f>IF(COUNTA(B983:C983,F983:G983,J983:K983)&gt;0,1,0)</f>
        <v>0</v>
      </c>
      <c r="O983" s="96" t="str">
        <f>IF(B983="","",TRIM(LEFT(B983,FIND(" |",B983&amp;" |")-1)))</f>
        <v/>
      </c>
      <c r="P983" s="96" t="str">
        <f>IF(O983="","",IFERROR(MATCH(O983,'CDFs'!$A$6:$A$505,0),""))</f>
        <v/>
      </c>
      <c r="Q983" s="96">
        <f>IF(P983="",0,IF(INDEX('CDFs'!$S$6:$S$505,P983)=1,1,0))</f>
        <v>0</v>
      </c>
      <c r="R983" s="96" t="str">
        <f>IF(C983="","",TRIM(LEFT(C983,FIND(" |",C983&amp;" |")-1)))</f>
        <v/>
      </c>
      <c r="S983" s="96" t="str">
        <f>IF(R983="","",IFERROR(MATCH(R983,'ITENS_MTR'!$A$6:$A$1005,0),""))</f>
        <v/>
      </c>
      <c r="T983" s="96">
        <f>IF(S983="",0,IF(INDEX('ITENS_MTR'!$R$6:$R$1005,S983)=1,1,0))</f>
        <v>0</v>
      </c>
      <c r="U983" s="96" t="str">
        <f>IF(G983="","",IFERROR(IF(ISNUMBER(INDEX(cfg_fac,MATCH(G983,cfg_units,0))),IF(INDEX(cfg_fac,MATCH(G983,cfg_units,0))&gt;0,INDEX(cfg_fac,MATCH(G983,cfg_units,0)),""),""),""))</f>
        <v/>
      </c>
      <c r="V983" s="96">
        <f>IF(AND(ISNUMBER(F983),ISNUMBER(H983)),IF(H983&gt;0,1,0),0)</f>
        <v>0</v>
      </c>
      <c r="W983" s="96" t="str">
        <f>IF(T983=1,INDEX('ITENS_MTR'!$AU$6:$AU$1005,S983)&amp;"","")</f>
        <v/>
      </c>
      <c r="X983" s="96">
        <f>IF(AND(Q983=1,T983=1,I983&lt;&gt;"",W983&lt;&gt;""),IF(I983&lt;&gt;W983,1,0),0)</f>
        <v>0</v>
      </c>
      <c r="Y983" s="96">
        <f>IF(N983=0,0,IF(OR(Q983=0,T983=0,V983=0,AND(X983=1,J983&lt;&gt;"Sim")),1,0))</f>
        <v>0</v>
      </c>
      <c r="Z983" s="96">
        <f>IF(Q983=1,INDEX('CDFs'!$W$6:$W$505,P983),0)</f>
        <v>0</v>
      </c>
      <c r="AA983" s="96">
        <f>IF(AND(N983=1,Y983=0,Z983=1,J983="Sim"),1,0)</f>
        <v>0</v>
      </c>
      <c r="AB983" s="96">
        <f>IF(AND(N983=1,O983&lt;&gt;"",D983&lt;&gt;""),IF(COUNTIFS($O$6:O983,O983,$D$6:D983,D983)=1,1,0),0)</f>
        <v>0</v>
      </c>
      <c r="AC983" s="96">
        <f>IF(T983=1,INDEX('ITENS_MTR'!$AL$6:$AL$1005,S983),0)</f>
        <v>0</v>
      </c>
    </row>
    <row r="984">
      <c r="A984" s="89" t="inlineStr">
        <is>
          <t>VIN-000979</t>
        </is>
      </c>
      <c r="B984" s="91" t="n"/>
      <c r="C984" s="91" t="n"/>
      <c r="D984" s="94" t="str">
        <f>IF(T984=1,INDEX('ITENS_MTR'!$S$6:$S$1005,S984)&amp;"","")</f>
        <v/>
      </c>
      <c r="E984" s="94" t="str">
        <f>IF(T984=1,INDEX('ITENS_MTR'!$C$6:$C$1005,S984)&amp;"","")</f>
        <v/>
      </c>
      <c r="F984" s="98" t="n"/>
      <c r="G984" s="91" t="n"/>
      <c r="H984" s="93" t="str">
        <f>IF(N984=0,"",IF(NOT(ISNUMBER(F984)),"",IF(ISNUMBER(U984),F984*U984,"UNIDADE A CONFERIR")))</f>
        <v/>
      </c>
      <c r="I984" s="94" t="str">
        <f>IF(Q984=1,INDEX('CDFs'!$F$6:$F$505,P984)&amp;"","")</f>
        <v/>
      </c>
      <c r="J984" s="91" t="n"/>
      <c r="K984" s="91" t="n"/>
      <c r="L984" s="94" t="str">
        <f>IF(N984=0,"",IF(NOT(ISNUMBER(F984)),"Quantidade não informada",IF(F984&lt;=0,"Quantidade não positiva",IF(G984="","Unidade não informada",IF(NOT(ISNUMBER(H984)),"Unidade a conferir",IF(AC984=1,"REVISAR VÍNCULO: soma vinculada maior que a referência do item","OK"))))))</f>
        <v/>
      </c>
      <c r="M984" s="94" t="str">
        <f>IF(N984=0,"",IF(B984="","CDF não informado",IF(Q984=0,"REVISAR VÍNCULO: CDF inexistente",IF(C984="","Item não informado",IF(T984=0,"REVISAR VÍNCULO: item inexistente",IF(AND(X984=1,J984&lt;&gt;"Sim"),"REVISAR VÍNCULO: destinador diferente do MTR",IF(X984=1,"Destinador diferente do MTR (analisado)","OK")))))))</f>
        <v/>
      </c>
      <c r="N984" s="96">
        <f>IF(COUNTA(B984:C984,F984:G984,J984:K984)&gt;0,1,0)</f>
        <v>0</v>
      </c>
      <c r="O984" s="96" t="str">
        <f>IF(B984="","",TRIM(LEFT(B984,FIND(" |",B984&amp;" |")-1)))</f>
        <v/>
      </c>
      <c r="P984" s="96" t="str">
        <f>IF(O984="","",IFERROR(MATCH(O984,'CDFs'!$A$6:$A$505,0),""))</f>
        <v/>
      </c>
      <c r="Q984" s="96">
        <f>IF(P984="",0,IF(INDEX('CDFs'!$S$6:$S$505,P984)=1,1,0))</f>
        <v>0</v>
      </c>
      <c r="R984" s="96" t="str">
        <f>IF(C984="","",TRIM(LEFT(C984,FIND(" |",C984&amp;" |")-1)))</f>
        <v/>
      </c>
      <c r="S984" s="96" t="str">
        <f>IF(R984="","",IFERROR(MATCH(R984,'ITENS_MTR'!$A$6:$A$1005,0),""))</f>
        <v/>
      </c>
      <c r="T984" s="96">
        <f>IF(S984="",0,IF(INDEX('ITENS_MTR'!$R$6:$R$1005,S984)=1,1,0))</f>
        <v>0</v>
      </c>
      <c r="U984" s="96" t="str">
        <f>IF(G984="","",IFERROR(IF(ISNUMBER(INDEX(cfg_fac,MATCH(G984,cfg_units,0))),IF(INDEX(cfg_fac,MATCH(G984,cfg_units,0))&gt;0,INDEX(cfg_fac,MATCH(G984,cfg_units,0)),""),""),""))</f>
        <v/>
      </c>
      <c r="V984" s="96">
        <f>IF(AND(ISNUMBER(F984),ISNUMBER(H984)),IF(H984&gt;0,1,0),0)</f>
        <v>0</v>
      </c>
      <c r="W984" s="96" t="str">
        <f>IF(T984=1,INDEX('ITENS_MTR'!$AU$6:$AU$1005,S984)&amp;"","")</f>
        <v/>
      </c>
      <c r="X984" s="96">
        <f>IF(AND(Q984=1,T984=1,I984&lt;&gt;"",W984&lt;&gt;""),IF(I984&lt;&gt;W984,1,0),0)</f>
        <v>0</v>
      </c>
      <c r="Y984" s="96">
        <f>IF(N984=0,0,IF(OR(Q984=0,T984=0,V984=0,AND(X984=1,J984&lt;&gt;"Sim")),1,0))</f>
        <v>0</v>
      </c>
      <c r="Z984" s="96">
        <f>IF(Q984=1,INDEX('CDFs'!$W$6:$W$505,P984),0)</f>
        <v>0</v>
      </c>
      <c r="AA984" s="96">
        <f>IF(AND(N984=1,Y984=0,Z984=1,J984="Sim"),1,0)</f>
        <v>0</v>
      </c>
      <c r="AB984" s="96">
        <f>IF(AND(N984=1,O984&lt;&gt;"",D984&lt;&gt;""),IF(COUNTIFS($O$6:O984,O984,$D$6:D984,D984)=1,1,0),0)</f>
        <v>0</v>
      </c>
      <c r="AC984" s="96">
        <f>IF(T984=1,INDEX('ITENS_MTR'!$AL$6:$AL$1005,S984),0)</f>
        <v>0</v>
      </c>
    </row>
    <row r="985">
      <c r="A985" s="89" t="inlineStr">
        <is>
          <t>VIN-000980</t>
        </is>
      </c>
      <c r="B985" s="91" t="n"/>
      <c r="C985" s="91" t="n"/>
      <c r="D985" s="94" t="str">
        <f>IF(T985=1,INDEX('ITENS_MTR'!$S$6:$S$1005,S985)&amp;"","")</f>
        <v/>
      </c>
      <c r="E985" s="94" t="str">
        <f>IF(T985=1,INDEX('ITENS_MTR'!$C$6:$C$1005,S985)&amp;"","")</f>
        <v/>
      </c>
      <c r="F985" s="98" t="n"/>
      <c r="G985" s="91" t="n"/>
      <c r="H985" s="93" t="str">
        <f>IF(N985=0,"",IF(NOT(ISNUMBER(F985)),"",IF(ISNUMBER(U985),F985*U985,"UNIDADE A CONFERIR")))</f>
        <v/>
      </c>
      <c r="I985" s="94" t="str">
        <f>IF(Q985=1,INDEX('CDFs'!$F$6:$F$505,P985)&amp;"","")</f>
        <v/>
      </c>
      <c r="J985" s="91" t="n"/>
      <c r="K985" s="91" t="n"/>
      <c r="L985" s="94" t="str">
        <f>IF(N985=0,"",IF(NOT(ISNUMBER(F985)),"Quantidade não informada",IF(F985&lt;=0,"Quantidade não positiva",IF(G985="","Unidade não informada",IF(NOT(ISNUMBER(H985)),"Unidade a conferir",IF(AC985=1,"REVISAR VÍNCULO: soma vinculada maior que a referência do item","OK"))))))</f>
        <v/>
      </c>
      <c r="M985" s="94" t="str">
        <f>IF(N985=0,"",IF(B985="","CDF não informado",IF(Q985=0,"REVISAR VÍNCULO: CDF inexistente",IF(C985="","Item não informado",IF(T985=0,"REVISAR VÍNCULO: item inexistente",IF(AND(X985=1,J985&lt;&gt;"Sim"),"REVISAR VÍNCULO: destinador diferente do MTR",IF(X985=1,"Destinador diferente do MTR (analisado)","OK")))))))</f>
        <v/>
      </c>
      <c r="N985" s="96">
        <f>IF(COUNTA(B985:C985,F985:G985,J985:K985)&gt;0,1,0)</f>
        <v>0</v>
      </c>
      <c r="O985" s="96" t="str">
        <f>IF(B985="","",TRIM(LEFT(B985,FIND(" |",B985&amp;" |")-1)))</f>
        <v/>
      </c>
      <c r="P985" s="96" t="str">
        <f>IF(O985="","",IFERROR(MATCH(O985,'CDFs'!$A$6:$A$505,0),""))</f>
        <v/>
      </c>
      <c r="Q985" s="96">
        <f>IF(P985="",0,IF(INDEX('CDFs'!$S$6:$S$505,P985)=1,1,0))</f>
        <v>0</v>
      </c>
      <c r="R985" s="96" t="str">
        <f>IF(C985="","",TRIM(LEFT(C985,FIND(" |",C985&amp;" |")-1)))</f>
        <v/>
      </c>
      <c r="S985" s="96" t="str">
        <f>IF(R985="","",IFERROR(MATCH(R985,'ITENS_MTR'!$A$6:$A$1005,0),""))</f>
        <v/>
      </c>
      <c r="T985" s="96">
        <f>IF(S985="",0,IF(INDEX('ITENS_MTR'!$R$6:$R$1005,S985)=1,1,0))</f>
        <v>0</v>
      </c>
      <c r="U985" s="96" t="str">
        <f>IF(G985="","",IFERROR(IF(ISNUMBER(INDEX(cfg_fac,MATCH(G985,cfg_units,0))),IF(INDEX(cfg_fac,MATCH(G985,cfg_units,0))&gt;0,INDEX(cfg_fac,MATCH(G985,cfg_units,0)),""),""),""))</f>
        <v/>
      </c>
      <c r="V985" s="96">
        <f>IF(AND(ISNUMBER(F985),ISNUMBER(H985)),IF(H985&gt;0,1,0),0)</f>
        <v>0</v>
      </c>
      <c r="W985" s="96" t="str">
        <f>IF(T985=1,INDEX('ITENS_MTR'!$AU$6:$AU$1005,S985)&amp;"","")</f>
        <v/>
      </c>
      <c r="X985" s="96">
        <f>IF(AND(Q985=1,T985=1,I985&lt;&gt;"",W985&lt;&gt;""),IF(I985&lt;&gt;W985,1,0),0)</f>
        <v>0</v>
      </c>
      <c r="Y985" s="96">
        <f>IF(N985=0,0,IF(OR(Q985=0,T985=0,V985=0,AND(X985=1,J985&lt;&gt;"Sim")),1,0))</f>
        <v>0</v>
      </c>
      <c r="Z985" s="96">
        <f>IF(Q985=1,INDEX('CDFs'!$W$6:$W$505,P985),0)</f>
        <v>0</v>
      </c>
      <c r="AA985" s="96">
        <f>IF(AND(N985=1,Y985=0,Z985=1,J985="Sim"),1,0)</f>
        <v>0</v>
      </c>
      <c r="AB985" s="96">
        <f>IF(AND(N985=1,O985&lt;&gt;"",D985&lt;&gt;""),IF(COUNTIFS($O$6:O985,O985,$D$6:D985,D985)=1,1,0),0)</f>
        <v>0</v>
      </c>
      <c r="AC985" s="96">
        <f>IF(T985=1,INDEX('ITENS_MTR'!$AL$6:$AL$1005,S985),0)</f>
        <v>0</v>
      </c>
    </row>
    <row r="986">
      <c r="A986" s="89" t="inlineStr">
        <is>
          <t>VIN-000981</t>
        </is>
      </c>
      <c r="B986" s="91" t="n"/>
      <c r="C986" s="91" t="n"/>
      <c r="D986" s="94" t="str">
        <f>IF(T986=1,INDEX('ITENS_MTR'!$S$6:$S$1005,S986)&amp;"","")</f>
        <v/>
      </c>
      <c r="E986" s="94" t="str">
        <f>IF(T986=1,INDEX('ITENS_MTR'!$C$6:$C$1005,S986)&amp;"","")</f>
        <v/>
      </c>
      <c r="F986" s="98" t="n"/>
      <c r="G986" s="91" t="n"/>
      <c r="H986" s="93" t="str">
        <f>IF(N986=0,"",IF(NOT(ISNUMBER(F986)),"",IF(ISNUMBER(U986),F986*U986,"UNIDADE A CONFERIR")))</f>
        <v/>
      </c>
      <c r="I986" s="94" t="str">
        <f>IF(Q986=1,INDEX('CDFs'!$F$6:$F$505,P986)&amp;"","")</f>
        <v/>
      </c>
      <c r="J986" s="91" t="n"/>
      <c r="K986" s="91" t="n"/>
      <c r="L986" s="94" t="str">
        <f>IF(N986=0,"",IF(NOT(ISNUMBER(F986)),"Quantidade não informada",IF(F986&lt;=0,"Quantidade não positiva",IF(G986="","Unidade não informada",IF(NOT(ISNUMBER(H986)),"Unidade a conferir",IF(AC986=1,"REVISAR VÍNCULO: soma vinculada maior que a referência do item","OK"))))))</f>
        <v/>
      </c>
      <c r="M986" s="94" t="str">
        <f>IF(N986=0,"",IF(B986="","CDF não informado",IF(Q986=0,"REVISAR VÍNCULO: CDF inexistente",IF(C986="","Item não informado",IF(T986=0,"REVISAR VÍNCULO: item inexistente",IF(AND(X986=1,J986&lt;&gt;"Sim"),"REVISAR VÍNCULO: destinador diferente do MTR",IF(X986=1,"Destinador diferente do MTR (analisado)","OK")))))))</f>
        <v/>
      </c>
      <c r="N986" s="96">
        <f>IF(COUNTA(B986:C986,F986:G986,J986:K986)&gt;0,1,0)</f>
        <v>0</v>
      </c>
      <c r="O986" s="96" t="str">
        <f>IF(B986="","",TRIM(LEFT(B986,FIND(" |",B986&amp;" |")-1)))</f>
        <v/>
      </c>
      <c r="P986" s="96" t="str">
        <f>IF(O986="","",IFERROR(MATCH(O986,'CDFs'!$A$6:$A$505,0),""))</f>
        <v/>
      </c>
      <c r="Q986" s="96">
        <f>IF(P986="",0,IF(INDEX('CDFs'!$S$6:$S$505,P986)=1,1,0))</f>
        <v>0</v>
      </c>
      <c r="R986" s="96" t="str">
        <f>IF(C986="","",TRIM(LEFT(C986,FIND(" |",C986&amp;" |")-1)))</f>
        <v/>
      </c>
      <c r="S986" s="96" t="str">
        <f>IF(R986="","",IFERROR(MATCH(R986,'ITENS_MTR'!$A$6:$A$1005,0),""))</f>
        <v/>
      </c>
      <c r="T986" s="96">
        <f>IF(S986="",0,IF(INDEX('ITENS_MTR'!$R$6:$R$1005,S986)=1,1,0))</f>
        <v>0</v>
      </c>
      <c r="U986" s="96" t="str">
        <f>IF(G986="","",IFERROR(IF(ISNUMBER(INDEX(cfg_fac,MATCH(G986,cfg_units,0))),IF(INDEX(cfg_fac,MATCH(G986,cfg_units,0))&gt;0,INDEX(cfg_fac,MATCH(G986,cfg_units,0)),""),""),""))</f>
        <v/>
      </c>
      <c r="V986" s="96">
        <f>IF(AND(ISNUMBER(F986),ISNUMBER(H986)),IF(H986&gt;0,1,0),0)</f>
        <v>0</v>
      </c>
      <c r="W986" s="96" t="str">
        <f>IF(T986=1,INDEX('ITENS_MTR'!$AU$6:$AU$1005,S986)&amp;"","")</f>
        <v/>
      </c>
      <c r="X986" s="96">
        <f>IF(AND(Q986=1,T986=1,I986&lt;&gt;"",W986&lt;&gt;""),IF(I986&lt;&gt;W986,1,0),0)</f>
        <v>0</v>
      </c>
      <c r="Y986" s="96">
        <f>IF(N986=0,0,IF(OR(Q986=0,T986=0,V986=0,AND(X986=1,J986&lt;&gt;"Sim")),1,0))</f>
        <v>0</v>
      </c>
      <c r="Z986" s="96">
        <f>IF(Q986=1,INDEX('CDFs'!$W$6:$W$505,P986),0)</f>
        <v>0</v>
      </c>
      <c r="AA986" s="96">
        <f>IF(AND(N986=1,Y986=0,Z986=1,J986="Sim"),1,0)</f>
        <v>0</v>
      </c>
      <c r="AB986" s="96">
        <f>IF(AND(N986=1,O986&lt;&gt;"",D986&lt;&gt;""),IF(COUNTIFS($O$6:O986,O986,$D$6:D986,D986)=1,1,0),0)</f>
        <v>0</v>
      </c>
      <c r="AC986" s="96">
        <f>IF(T986=1,INDEX('ITENS_MTR'!$AL$6:$AL$1005,S986),0)</f>
        <v>0</v>
      </c>
    </row>
    <row r="987">
      <c r="A987" s="89" t="inlineStr">
        <is>
          <t>VIN-000982</t>
        </is>
      </c>
      <c r="B987" s="91" t="n"/>
      <c r="C987" s="91" t="n"/>
      <c r="D987" s="94" t="str">
        <f>IF(T987=1,INDEX('ITENS_MTR'!$S$6:$S$1005,S987)&amp;"","")</f>
        <v/>
      </c>
      <c r="E987" s="94" t="str">
        <f>IF(T987=1,INDEX('ITENS_MTR'!$C$6:$C$1005,S987)&amp;"","")</f>
        <v/>
      </c>
      <c r="F987" s="98" t="n"/>
      <c r="G987" s="91" t="n"/>
      <c r="H987" s="93" t="str">
        <f>IF(N987=0,"",IF(NOT(ISNUMBER(F987)),"",IF(ISNUMBER(U987),F987*U987,"UNIDADE A CONFERIR")))</f>
        <v/>
      </c>
      <c r="I987" s="94" t="str">
        <f>IF(Q987=1,INDEX('CDFs'!$F$6:$F$505,P987)&amp;"","")</f>
        <v/>
      </c>
      <c r="J987" s="91" t="n"/>
      <c r="K987" s="91" t="n"/>
      <c r="L987" s="94" t="str">
        <f>IF(N987=0,"",IF(NOT(ISNUMBER(F987)),"Quantidade não informada",IF(F987&lt;=0,"Quantidade não positiva",IF(G987="","Unidade não informada",IF(NOT(ISNUMBER(H987)),"Unidade a conferir",IF(AC987=1,"REVISAR VÍNCULO: soma vinculada maior que a referência do item","OK"))))))</f>
        <v/>
      </c>
      <c r="M987" s="94" t="str">
        <f>IF(N987=0,"",IF(B987="","CDF não informado",IF(Q987=0,"REVISAR VÍNCULO: CDF inexistente",IF(C987="","Item não informado",IF(T987=0,"REVISAR VÍNCULO: item inexistente",IF(AND(X987=1,J987&lt;&gt;"Sim"),"REVISAR VÍNCULO: destinador diferente do MTR",IF(X987=1,"Destinador diferente do MTR (analisado)","OK")))))))</f>
        <v/>
      </c>
      <c r="N987" s="96">
        <f>IF(COUNTA(B987:C987,F987:G987,J987:K987)&gt;0,1,0)</f>
        <v>0</v>
      </c>
      <c r="O987" s="96" t="str">
        <f>IF(B987="","",TRIM(LEFT(B987,FIND(" |",B987&amp;" |")-1)))</f>
        <v/>
      </c>
      <c r="P987" s="96" t="str">
        <f>IF(O987="","",IFERROR(MATCH(O987,'CDFs'!$A$6:$A$505,0),""))</f>
        <v/>
      </c>
      <c r="Q987" s="96">
        <f>IF(P987="",0,IF(INDEX('CDFs'!$S$6:$S$505,P987)=1,1,0))</f>
        <v>0</v>
      </c>
      <c r="R987" s="96" t="str">
        <f>IF(C987="","",TRIM(LEFT(C987,FIND(" |",C987&amp;" |")-1)))</f>
        <v/>
      </c>
      <c r="S987" s="96" t="str">
        <f>IF(R987="","",IFERROR(MATCH(R987,'ITENS_MTR'!$A$6:$A$1005,0),""))</f>
        <v/>
      </c>
      <c r="T987" s="96">
        <f>IF(S987="",0,IF(INDEX('ITENS_MTR'!$R$6:$R$1005,S987)=1,1,0))</f>
        <v>0</v>
      </c>
      <c r="U987" s="96" t="str">
        <f>IF(G987="","",IFERROR(IF(ISNUMBER(INDEX(cfg_fac,MATCH(G987,cfg_units,0))),IF(INDEX(cfg_fac,MATCH(G987,cfg_units,0))&gt;0,INDEX(cfg_fac,MATCH(G987,cfg_units,0)),""),""),""))</f>
        <v/>
      </c>
      <c r="V987" s="96">
        <f>IF(AND(ISNUMBER(F987),ISNUMBER(H987)),IF(H987&gt;0,1,0),0)</f>
        <v>0</v>
      </c>
      <c r="W987" s="96" t="str">
        <f>IF(T987=1,INDEX('ITENS_MTR'!$AU$6:$AU$1005,S987)&amp;"","")</f>
        <v/>
      </c>
      <c r="X987" s="96">
        <f>IF(AND(Q987=1,T987=1,I987&lt;&gt;"",W987&lt;&gt;""),IF(I987&lt;&gt;W987,1,0),0)</f>
        <v>0</v>
      </c>
      <c r="Y987" s="96">
        <f>IF(N987=0,0,IF(OR(Q987=0,T987=0,V987=0,AND(X987=1,J987&lt;&gt;"Sim")),1,0))</f>
        <v>0</v>
      </c>
      <c r="Z987" s="96">
        <f>IF(Q987=1,INDEX('CDFs'!$W$6:$W$505,P987),0)</f>
        <v>0</v>
      </c>
      <c r="AA987" s="96">
        <f>IF(AND(N987=1,Y987=0,Z987=1,J987="Sim"),1,0)</f>
        <v>0</v>
      </c>
      <c r="AB987" s="96">
        <f>IF(AND(N987=1,O987&lt;&gt;"",D987&lt;&gt;""),IF(COUNTIFS($O$6:O987,O987,$D$6:D987,D987)=1,1,0),0)</f>
        <v>0</v>
      </c>
      <c r="AC987" s="96">
        <f>IF(T987=1,INDEX('ITENS_MTR'!$AL$6:$AL$1005,S987),0)</f>
        <v>0</v>
      </c>
    </row>
    <row r="988">
      <c r="A988" s="89" t="inlineStr">
        <is>
          <t>VIN-000983</t>
        </is>
      </c>
      <c r="B988" s="91" t="n"/>
      <c r="C988" s="91" t="n"/>
      <c r="D988" s="94" t="str">
        <f>IF(T988=1,INDEX('ITENS_MTR'!$S$6:$S$1005,S988)&amp;"","")</f>
        <v/>
      </c>
      <c r="E988" s="94" t="str">
        <f>IF(T988=1,INDEX('ITENS_MTR'!$C$6:$C$1005,S988)&amp;"","")</f>
        <v/>
      </c>
      <c r="F988" s="98" t="n"/>
      <c r="G988" s="91" t="n"/>
      <c r="H988" s="93" t="str">
        <f>IF(N988=0,"",IF(NOT(ISNUMBER(F988)),"",IF(ISNUMBER(U988),F988*U988,"UNIDADE A CONFERIR")))</f>
        <v/>
      </c>
      <c r="I988" s="94" t="str">
        <f>IF(Q988=1,INDEX('CDFs'!$F$6:$F$505,P988)&amp;"","")</f>
        <v/>
      </c>
      <c r="J988" s="91" t="n"/>
      <c r="K988" s="91" t="n"/>
      <c r="L988" s="94" t="str">
        <f>IF(N988=0,"",IF(NOT(ISNUMBER(F988)),"Quantidade não informada",IF(F988&lt;=0,"Quantidade não positiva",IF(G988="","Unidade não informada",IF(NOT(ISNUMBER(H988)),"Unidade a conferir",IF(AC988=1,"REVISAR VÍNCULO: soma vinculada maior que a referência do item","OK"))))))</f>
        <v/>
      </c>
      <c r="M988" s="94" t="str">
        <f>IF(N988=0,"",IF(B988="","CDF não informado",IF(Q988=0,"REVISAR VÍNCULO: CDF inexistente",IF(C988="","Item não informado",IF(T988=0,"REVISAR VÍNCULO: item inexistente",IF(AND(X988=1,J988&lt;&gt;"Sim"),"REVISAR VÍNCULO: destinador diferente do MTR",IF(X988=1,"Destinador diferente do MTR (analisado)","OK")))))))</f>
        <v/>
      </c>
      <c r="N988" s="96">
        <f>IF(COUNTA(B988:C988,F988:G988,J988:K988)&gt;0,1,0)</f>
        <v>0</v>
      </c>
      <c r="O988" s="96" t="str">
        <f>IF(B988="","",TRIM(LEFT(B988,FIND(" |",B988&amp;" |")-1)))</f>
        <v/>
      </c>
      <c r="P988" s="96" t="str">
        <f>IF(O988="","",IFERROR(MATCH(O988,'CDFs'!$A$6:$A$505,0),""))</f>
        <v/>
      </c>
      <c r="Q988" s="96">
        <f>IF(P988="",0,IF(INDEX('CDFs'!$S$6:$S$505,P988)=1,1,0))</f>
        <v>0</v>
      </c>
      <c r="R988" s="96" t="str">
        <f>IF(C988="","",TRIM(LEFT(C988,FIND(" |",C988&amp;" |")-1)))</f>
        <v/>
      </c>
      <c r="S988" s="96" t="str">
        <f>IF(R988="","",IFERROR(MATCH(R988,'ITENS_MTR'!$A$6:$A$1005,0),""))</f>
        <v/>
      </c>
      <c r="T988" s="96">
        <f>IF(S988="",0,IF(INDEX('ITENS_MTR'!$R$6:$R$1005,S988)=1,1,0))</f>
        <v>0</v>
      </c>
      <c r="U988" s="96" t="str">
        <f>IF(G988="","",IFERROR(IF(ISNUMBER(INDEX(cfg_fac,MATCH(G988,cfg_units,0))),IF(INDEX(cfg_fac,MATCH(G988,cfg_units,0))&gt;0,INDEX(cfg_fac,MATCH(G988,cfg_units,0)),""),""),""))</f>
        <v/>
      </c>
      <c r="V988" s="96">
        <f>IF(AND(ISNUMBER(F988),ISNUMBER(H988)),IF(H988&gt;0,1,0),0)</f>
        <v>0</v>
      </c>
      <c r="W988" s="96" t="str">
        <f>IF(T988=1,INDEX('ITENS_MTR'!$AU$6:$AU$1005,S988)&amp;"","")</f>
        <v/>
      </c>
      <c r="X988" s="96">
        <f>IF(AND(Q988=1,T988=1,I988&lt;&gt;"",W988&lt;&gt;""),IF(I988&lt;&gt;W988,1,0),0)</f>
        <v>0</v>
      </c>
      <c r="Y988" s="96">
        <f>IF(N988=0,0,IF(OR(Q988=0,T988=0,V988=0,AND(X988=1,J988&lt;&gt;"Sim")),1,0))</f>
        <v>0</v>
      </c>
      <c r="Z988" s="96">
        <f>IF(Q988=1,INDEX('CDFs'!$W$6:$W$505,P988),0)</f>
        <v>0</v>
      </c>
      <c r="AA988" s="96">
        <f>IF(AND(N988=1,Y988=0,Z988=1,J988="Sim"),1,0)</f>
        <v>0</v>
      </c>
      <c r="AB988" s="96">
        <f>IF(AND(N988=1,O988&lt;&gt;"",D988&lt;&gt;""),IF(COUNTIFS($O$6:O988,O988,$D$6:D988,D988)=1,1,0),0)</f>
        <v>0</v>
      </c>
      <c r="AC988" s="96">
        <f>IF(T988=1,INDEX('ITENS_MTR'!$AL$6:$AL$1005,S988),0)</f>
        <v>0</v>
      </c>
    </row>
    <row r="989">
      <c r="A989" s="89" t="inlineStr">
        <is>
          <t>VIN-000984</t>
        </is>
      </c>
      <c r="B989" s="91" t="n"/>
      <c r="C989" s="91" t="n"/>
      <c r="D989" s="94" t="str">
        <f>IF(T989=1,INDEX('ITENS_MTR'!$S$6:$S$1005,S989)&amp;"","")</f>
        <v/>
      </c>
      <c r="E989" s="94" t="str">
        <f>IF(T989=1,INDEX('ITENS_MTR'!$C$6:$C$1005,S989)&amp;"","")</f>
        <v/>
      </c>
      <c r="F989" s="98" t="n"/>
      <c r="G989" s="91" t="n"/>
      <c r="H989" s="93" t="str">
        <f>IF(N989=0,"",IF(NOT(ISNUMBER(F989)),"",IF(ISNUMBER(U989),F989*U989,"UNIDADE A CONFERIR")))</f>
        <v/>
      </c>
      <c r="I989" s="94" t="str">
        <f>IF(Q989=1,INDEX('CDFs'!$F$6:$F$505,P989)&amp;"","")</f>
        <v/>
      </c>
      <c r="J989" s="91" t="n"/>
      <c r="K989" s="91" t="n"/>
      <c r="L989" s="94" t="str">
        <f>IF(N989=0,"",IF(NOT(ISNUMBER(F989)),"Quantidade não informada",IF(F989&lt;=0,"Quantidade não positiva",IF(G989="","Unidade não informada",IF(NOT(ISNUMBER(H989)),"Unidade a conferir",IF(AC989=1,"REVISAR VÍNCULO: soma vinculada maior que a referência do item","OK"))))))</f>
        <v/>
      </c>
      <c r="M989" s="94" t="str">
        <f>IF(N989=0,"",IF(B989="","CDF não informado",IF(Q989=0,"REVISAR VÍNCULO: CDF inexistente",IF(C989="","Item não informado",IF(T989=0,"REVISAR VÍNCULO: item inexistente",IF(AND(X989=1,J989&lt;&gt;"Sim"),"REVISAR VÍNCULO: destinador diferente do MTR",IF(X989=1,"Destinador diferente do MTR (analisado)","OK")))))))</f>
        <v/>
      </c>
      <c r="N989" s="96">
        <f>IF(COUNTA(B989:C989,F989:G989,J989:K989)&gt;0,1,0)</f>
        <v>0</v>
      </c>
      <c r="O989" s="96" t="str">
        <f>IF(B989="","",TRIM(LEFT(B989,FIND(" |",B989&amp;" |")-1)))</f>
        <v/>
      </c>
      <c r="P989" s="96" t="str">
        <f>IF(O989="","",IFERROR(MATCH(O989,'CDFs'!$A$6:$A$505,0),""))</f>
        <v/>
      </c>
      <c r="Q989" s="96">
        <f>IF(P989="",0,IF(INDEX('CDFs'!$S$6:$S$505,P989)=1,1,0))</f>
        <v>0</v>
      </c>
      <c r="R989" s="96" t="str">
        <f>IF(C989="","",TRIM(LEFT(C989,FIND(" |",C989&amp;" |")-1)))</f>
        <v/>
      </c>
      <c r="S989" s="96" t="str">
        <f>IF(R989="","",IFERROR(MATCH(R989,'ITENS_MTR'!$A$6:$A$1005,0),""))</f>
        <v/>
      </c>
      <c r="T989" s="96">
        <f>IF(S989="",0,IF(INDEX('ITENS_MTR'!$R$6:$R$1005,S989)=1,1,0))</f>
        <v>0</v>
      </c>
      <c r="U989" s="96" t="str">
        <f>IF(G989="","",IFERROR(IF(ISNUMBER(INDEX(cfg_fac,MATCH(G989,cfg_units,0))),IF(INDEX(cfg_fac,MATCH(G989,cfg_units,0))&gt;0,INDEX(cfg_fac,MATCH(G989,cfg_units,0)),""),""),""))</f>
        <v/>
      </c>
      <c r="V989" s="96">
        <f>IF(AND(ISNUMBER(F989),ISNUMBER(H989)),IF(H989&gt;0,1,0),0)</f>
        <v>0</v>
      </c>
      <c r="W989" s="96" t="str">
        <f>IF(T989=1,INDEX('ITENS_MTR'!$AU$6:$AU$1005,S989)&amp;"","")</f>
        <v/>
      </c>
      <c r="X989" s="96">
        <f>IF(AND(Q989=1,T989=1,I989&lt;&gt;"",W989&lt;&gt;""),IF(I989&lt;&gt;W989,1,0),0)</f>
        <v>0</v>
      </c>
      <c r="Y989" s="96">
        <f>IF(N989=0,0,IF(OR(Q989=0,T989=0,V989=0,AND(X989=1,J989&lt;&gt;"Sim")),1,0))</f>
        <v>0</v>
      </c>
      <c r="Z989" s="96">
        <f>IF(Q989=1,INDEX('CDFs'!$W$6:$W$505,P989),0)</f>
        <v>0</v>
      </c>
      <c r="AA989" s="96">
        <f>IF(AND(N989=1,Y989=0,Z989=1,J989="Sim"),1,0)</f>
        <v>0</v>
      </c>
      <c r="AB989" s="96">
        <f>IF(AND(N989=1,O989&lt;&gt;"",D989&lt;&gt;""),IF(COUNTIFS($O$6:O989,O989,$D$6:D989,D989)=1,1,0),0)</f>
        <v>0</v>
      </c>
      <c r="AC989" s="96">
        <f>IF(T989=1,INDEX('ITENS_MTR'!$AL$6:$AL$1005,S989),0)</f>
        <v>0</v>
      </c>
    </row>
    <row r="990">
      <c r="A990" s="89" t="inlineStr">
        <is>
          <t>VIN-000985</t>
        </is>
      </c>
      <c r="B990" s="91" t="n"/>
      <c r="C990" s="91" t="n"/>
      <c r="D990" s="94" t="str">
        <f>IF(T990=1,INDEX('ITENS_MTR'!$S$6:$S$1005,S990)&amp;"","")</f>
        <v/>
      </c>
      <c r="E990" s="94" t="str">
        <f>IF(T990=1,INDEX('ITENS_MTR'!$C$6:$C$1005,S990)&amp;"","")</f>
        <v/>
      </c>
      <c r="F990" s="98" t="n"/>
      <c r="G990" s="91" t="n"/>
      <c r="H990" s="93" t="str">
        <f>IF(N990=0,"",IF(NOT(ISNUMBER(F990)),"",IF(ISNUMBER(U990),F990*U990,"UNIDADE A CONFERIR")))</f>
        <v/>
      </c>
      <c r="I990" s="94" t="str">
        <f>IF(Q990=1,INDEX('CDFs'!$F$6:$F$505,P990)&amp;"","")</f>
        <v/>
      </c>
      <c r="J990" s="91" t="n"/>
      <c r="K990" s="91" t="n"/>
      <c r="L990" s="94" t="str">
        <f>IF(N990=0,"",IF(NOT(ISNUMBER(F990)),"Quantidade não informada",IF(F990&lt;=0,"Quantidade não positiva",IF(G990="","Unidade não informada",IF(NOT(ISNUMBER(H990)),"Unidade a conferir",IF(AC990=1,"REVISAR VÍNCULO: soma vinculada maior que a referência do item","OK"))))))</f>
        <v/>
      </c>
      <c r="M990" s="94" t="str">
        <f>IF(N990=0,"",IF(B990="","CDF não informado",IF(Q990=0,"REVISAR VÍNCULO: CDF inexistente",IF(C990="","Item não informado",IF(T990=0,"REVISAR VÍNCULO: item inexistente",IF(AND(X990=1,J990&lt;&gt;"Sim"),"REVISAR VÍNCULO: destinador diferente do MTR",IF(X990=1,"Destinador diferente do MTR (analisado)","OK")))))))</f>
        <v/>
      </c>
      <c r="N990" s="96">
        <f>IF(COUNTA(B990:C990,F990:G990,J990:K990)&gt;0,1,0)</f>
        <v>0</v>
      </c>
      <c r="O990" s="96" t="str">
        <f>IF(B990="","",TRIM(LEFT(B990,FIND(" |",B990&amp;" |")-1)))</f>
        <v/>
      </c>
      <c r="P990" s="96" t="str">
        <f>IF(O990="","",IFERROR(MATCH(O990,'CDFs'!$A$6:$A$505,0),""))</f>
        <v/>
      </c>
      <c r="Q990" s="96">
        <f>IF(P990="",0,IF(INDEX('CDFs'!$S$6:$S$505,P990)=1,1,0))</f>
        <v>0</v>
      </c>
      <c r="R990" s="96" t="str">
        <f>IF(C990="","",TRIM(LEFT(C990,FIND(" |",C990&amp;" |")-1)))</f>
        <v/>
      </c>
      <c r="S990" s="96" t="str">
        <f>IF(R990="","",IFERROR(MATCH(R990,'ITENS_MTR'!$A$6:$A$1005,0),""))</f>
        <v/>
      </c>
      <c r="T990" s="96">
        <f>IF(S990="",0,IF(INDEX('ITENS_MTR'!$R$6:$R$1005,S990)=1,1,0))</f>
        <v>0</v>
      </c>
      <c r="U990" s="96" t="str">
        <f>IF(G990="","",IFERROR(IF(ISNUMBER(INDEX(cfg_fac,MATCH(G990,cfg_units,0))),IF(INDEX(cfg_fac,MATCH(G990,cfg_units,0))&gt;0,INDEX(cfg_fac,MATCH(G990,cfg_units,0)),""),""),""))</f>
        <v/>
      </c>
      <c r="V990" s="96">
        <f>IF(AND(ISNUMBER(F990),ISNUMBER(H990)),IF(H990&gt;0,1,0),0)</f>
        <v>0</v>
      </c>
      <c r="W990" s="96" t="str">
        <f>IF(T990=1,INDEX('ITENS_MTR'!$AU$6:$AU$1005,S990)&amp;"","")</f>
        <v/>
      </c>
      <c r="X990" s="96">
        <f>IF(AND(Q990=1,T990=1,I990&lt;&gt;"",W990&lt;&gt;""),IF(I990&lt;&gt;W990,1,0),0)</f>
        <v>0</v>
      </c>
      <c r="Y990" s="96">
        <f>IF(N990=0,0,IF(OR(Q990=0,T990=0,V990=0,AND(X990=1,J990&lt;&gt;"Sim")),1,0))</f>
        <v>0</v>
      </c>
      <c r="Z990" s="96">
        <f>IF(Q990=1,INDEX('CDFs'!$W$6:$W$505,P990),0)</f>
        <v>0</v>
      </c>
      <c r="AA990" s="96">
        <f>IF(AND(N990=1,Y990=0,Z990=1,J990="Sim"),1,0)</f>
        <v>0</v>
      </c>
      <c r="AB990" s="96">
        <f>IF(AND(N990=1,O990&lt;&gt;"",D990&lt;&gt;""),IF(COUNTIFS($O$6:O990,O990,$D$6:D990,D990)=1,1,0),0)</f>
        <v>0</v>
      </c>
      <c r="AC990" s="96">
        <f>IF(T990=1,INDEX('ITENS_MTR'!$AL$6:$AL$1005,S990),0)</f>
        <v>0</v>
      </c>
    </row>
    <row r="991">
      <c r="A991" s="89" t="inlineStr">
        <is>
          <t>VIN-000986</t>
        </is>
      </c>
      <c r="B991" s="91" t="n"/>
      <c r="C991" s="91" t="n"/>
      <c r="D991" s="94" t="str">
        <f>IF(T991=1,INDEX('ITENS_MTR'!$S$6:$S$1005,S991)&amp;"","")</f>
        <v/>
      </c>
      <c r="E991" s="94" t="str">
        <f>IF(T991=1,INDEX('ITENS_MTR'!$C$6:$C$1005,S991)&amp;"","")</f>
        <v/>
      </c>
      <c r="F991" s="98" t="n"/>
      <c r="G991" s="91" t="n"/>
      <c r="H991" s="93" t="str">
        <f>IF(N991=0,"",IF(NOT(ISNUMBER(F991)),"",IF(ISNUMBER(U991),F991*U991,"UNIDADE A CONFERIR")))</f>
        <v/>
      </c>
      <c r="I991" s="94" t="str">
        <f>IF(Q991=1,INDEX('CDFs'!$F$6:$F$505,P991)&amp;"","")</f>
        <v/>
      </c>
      <c r="J991" s="91" t="n"/>
      <c r="K991" s="91" t="n"/>
      <c r="L991" s="94" t="str">
        <f>IF(N991=0,"",IF(NOT(ISNUMBER(F991)),"Quantidade não informada",IF(F991&lt;=0,"Quantidade não positiva",IF(G991="","Unidade não informada",IF(NOT(ISNUMBER(H991)),"Unidade a conferir",IF(AC991=1,"REVISAR VÍNCULO: soma vinculada maior que a referência do item","OK"))))))</f>
        <v/>
      </c>
      <c r="M991" s="94" t="str">
        <f>IF(N991=0,"",IF(B991="","CDF não informado",IF(Q991=0,"REVISAR VÍNCULO: CDF inexistente",IF(C991="","Item não informado",IF(T991=0,"REVISAR VÍNCULO: item inexistente",IF(AND(X991=1,J991&lt;&gt;"Sim"),"REVISAR VÍNCULO: destinador diferente do MTR",IF(X991=1,"Destinador diferente do MTR (analisado)","OK")))))))</f>
        <v/>
      </c>
      <c r="N991" s="96">
        <f>IF(COUNTA(B991:C991,F991:G991,J991:K991)&gt;0,1,0)</f>
        <v>0</v>
      </c>
      <c r="O991" s="96" t="str">
        <f>IF(B991="","",TRIM(LEFT(B991,FIND(" |",B991&amp;" |")-1)))</f>
        <v/>
      </c>
      <c r="P991" s="96" t="str">
        <f>IF(O991="","",IFERROR(MATCH(O991,'CDFs'!$A$6:$A$505,0),""))</f>
        <v/>
      </c>
      <c r="Q991" s="96">
        <f>IF(P991="",0,IF(INDEX('CDFs'!$S$6:$S$505,P991)=1,1,0))</f>
        <v>0</v>
      </c>
      <c r="R991" s="96" t="str">
        <f>IF(C991="","",TRIM(LEFT(C991,FIND(" |",C991&amp;" |")-1)))</f>
        <v/>
      </c>
      <c r="S991" s="96" t="str">
        <f>IF(R991="","",IFERROR(MATCH(R991,'ITENS_MTR'!$A$6:$A$1005,0),""))</f>
        <v/>
      </c>
      <c r="T991" s="96">
        <f>IF(S991="",0,IF(INDEX('ITENS_MTR'!$R$6:$R$1005,S991)=1,1,0))</f>
        <v>0</v>
      </c>
      <c r="U991" s="96" t="str">
        <f>IF(G991="","",IFERROR(IF(ISNUMBER(INDEX(cfg_fac,MATCH(G991,cfg_units,0))),IF(INDEX(cfg_fac,MATCH(G991,cfg_units,0))&gt;0,INDEX(cfg_fac,MATCH(G991,cfg_units,0)),""),""),""))</f>
        <v/>
      </c>
      <c r="V991" s="96">
        <f>IF(AND(ISNUMBER(F991),ISNUMBER(H991)),IF(H991&gt;0,1,0),0)</f>
        <v>0</v>
      </c>
      <c r="W991" s="96" t="str">
        <f>IF(T991=1,INDEX('ITENS_MTR'!$AU$6:$AU$1005,S991)&amp;"","")</f>
        <v/>
      </c>
      <c r="X991" s="96">
        <f>IF(AND(Q991=1,T991=1,I991&lt;&gt;"",W991&lt;&gt;""),IF(I991&lt;&gt;W991,1,0),0)</f>
        <v>0</v>
      </c>
      <c r="Y991" s="96">
        <f>IF(N991=0,0,IF(OR(Q991=0,T991=0,V991=0,AND(X991=1,J991&lt;&gt;"Sim")),1,0))</f>
        <v>0</v>
      </c>
      <c r="Z991" s="96">
        <f>IF(Q991=1,INDEX('CDFs'!$W$6:$W$505,P991),0)</f>
        <v>0</v>
      </c>
      <c r="AA991" s="96">
        <f>IF(AND(N991=1,Y991=0,Z991=1,J991="Sim"),1,0)</f>
        <v>0</v>
      </c>
      <c r="AB991" s="96">
        <f>IF(AND(N991=1,O991&lt;&gt;"",D991&lt;&gt;""),IF(COUNTIFS($O$6:O991,O991,$D$6:D991,D991)=1,1,0),0)</f>
        <v>0</v>
      </c>
      <c r="AC991" s="96">
        <f>IF(T991=1,INDEX('ITENS_MTR'!$AL$6:$AL$1005,S991),0)</f>
        <v>0</v>
      </c>
    </row>
    <row r="992">
      <c r="A992" s="89" t="inlineStr">
        <is>
          <t>VIN-000987</t>
        </is>
      </c>
      <c r="B992" s="91" t="n"/>
      <c r="C992" s="91" t="n"/>
      <c r="D992" s="94" t="str">
        <f>IF(T992=1,INDEX('ITENS_MTR'!$S$6:$S$1005,S992)&amp;"","")</f>
        <v/>
      </c>
      <c r="E992" s="94" t="str">
        <f>IF(T992=1,INDEX('ITENS_MTR'!$C$6:$C$1005,S992)&amp;"","")</f>
        <v/>
      </c>
      <c r="F992" s="98" t="n"/>
      <c r="G992" s="91" t="n"/>
      <c r="H992" s="93" t="str">
        <f>IF(N992=0,"",IF(NOT(ISNUMBER(F992)),"",IF(ISNUMBER(U992),F992*U992,"UNIDADE A CONFERIR")))</f>
        <v/>
      </c>
      <c r="I992" s="94" t="str">
        <f>IF(Q992=1,INDEX('CDFs'!$F$6:$F$505,P992)&amp;"","")</f>
        <v/>
      </c>
      <c r="J992" s="91" t="n"/>
      <c r="K992" s="91" t="n"/>
      <c r="L992" s="94" t="str">
        <f>IF(N992=0,"",IF(NOT(ISNUMBER(F992)),"Quantidade não informada",IF(F992&lt;=0,"Quantidade não positiva",IF(G992="","Unidade não informada",IF(NOT(ISNUMBER(H992)),"Unidade a conferir",IF(AC992=1,"REVISAR VÍNCULO: soma vinculada maior que a referência do item","OK"))))))</f>
        <v/>
      </c>
      <c r="M992" s="94" t="str">
        <f>IF(N992=0,"",IF(B992="","CDF não informado",IF(Q992=0,"REVISAR VÍNCULO: CDF inexistente",IF(C992="","Item não informado",IF(T992=0,"REVISAR VÍNCULO: item inexistente",IF(AND(X992=1,J992&lt;&gt;"Sim"),"REVISAR VÍNCULO: destinador diferente do MTR",IF(X992=1,"Destinador diferente do MTR (analisado)","OK")))))))</f>
        <v/>
      </c>
      <c r="N992" s="96">
        <f>IF(COUNTA(B992:C992,F992:G992,J992:K992)&gt;0,1,0)</f>
        <v>0</v>
      </c>
      <c r="O992" s="96" t="str">
        <f>IF(B992="","",TRIM(LEFT(B992,FIND(" |",B992&amp;" |")-1)))</f>
        <v/>
      </c>
      <c r="P992" s="96" t="str">
        <f>IF(O992="","",IFERROR(MATCH(O992,'CDFs'!$A$6:$A$505,0),""))</f>
        <v/>
      </c>
      <c r="Q992" s="96">
        <f>IF(P992="",0,IF(INDEX('CDFs'!$S$6:$S$505,P992)=1,1,0))</f>
        <v>0</v>
      </c>
      <c r="R992" s="96" t="str">
        <f>IF(C992="","",TRIM(LEFT(C992,FIND(" |",C992&amp;" |")-1)))</f>
        <v/>
      </c>
      <c r="S992" s="96" t="str">
        <f>IF(R992="","",IFERROR(MATCH(R992,'ITENS_MTR'!$A$6:$A$1005,0),""))</f>
        <v/>
      </c>
      <c r="T992" s="96">
        <f>IF(S992="",0,IF(INDEX('ITENS_MTR'!$R$6:$R$1005,S992)=1,1,0))</f>
        <v>0</v>
      </c>
      <c r="U992" s="96" t="str">
        <f>IF(G992="","",IFERROR(IF(ISNUMBER(INDEX(cfg_fac,MATCH(G992,cfg_units,0))),IF(INDEX(cfg_fac,MATCH(G992,cfg_units,0))&gt;0,INDEX(cfg_fac,MATCH(G992,cfg_units,0)),""),""),""))</f>
        <v/>
      </c>
      <c r="V992" s="96">
        <f>IF(AND(ISNUMBER(F992),ISNUMBER(H992)),IF(H992&gt;0,1,0),0)</f>
        <v>0</v>
      </c>
      <c r="W992" s="96" t="str">
        <f>IF(T992=1,INDEX('ITENS_MTR'!$AU$6:$AU$1005,S992)&amp;"","")</f>
        <v/>
      </c>
      <c r="X992" s="96">
        <f>IF(AND(Q992=1,T992=1,I992&lt;&gt;"",W992&lt;&gt;""),IF(I992&lt;&gt;W992,1,0),0)</f>
        <v>0</v>
      </c>
      <c r="Y992" s="96">
        <f>IF(N992=0,0,IF(OR(Q992=0,T992=0,V992=0,AND(X992=1,J992&lt;&gt;"Sim")),1,0))</f>
        <v>0</v>
      </c>
      <c r="Z992" s="96">
        <f>IF(Q992=1,INDEX('CDFs'!$W$6:$W$505,P992),0)</f>
        <v>0</v>
      </c>
      <c r="AA992" s="96">
        <f>IF(AND(N992=1,Y992=0,Z992=1,J992="Sim"),1,0)</f>
        <v>0</v>
      </c>
      <c r="AB992" s="96">
        <f>IF(AND(N992=1,O992&lt;&gt;"",D992&lt;&gt;""),IF(COUNTIFS($O$6:O992,O992,$D$6:D992,D992)=1,1,0),0)</f>
        <v>0</v>
      </c>
      <c r="AC992" s="96">
        <f>IF(T992=1,INDEX('ITENS_MTR'!$AL$6:$AL$1005,S992),0)</f>
        <v>0</v>
      </c>
    </row>
    <row r="993">
      <c r="A993" s="89" t="inlineStr">
        <is>
          <t>VIN-000988</t>
        </is>
      </c>
      <c r="B993" s="91" t="n"/>
      <c r="C993" s="91" t="n"/>
      <c r="D993" s="94" t="str">
        <f>IF(T993=1,INDEX('ITENS_MTR'!$S$6:$S$1005,S993)&amp;"","")</f>
        <v/>
      </c>
      <c r="E993" s="94" t="str">
        <f>IF(T993=1,INDEX('ITENS_MTR'!$C$6:$C$1005,S993)&amp;"","")</f>
        <v/>
      </c>
      <c r="F993" s="98" t="n"/>
      <c r="G993" s="91" t="n"/>
      <c r="H993" s="93" t="str">
        <f>IF(N993=0,"",IF(NOT(ISNUMBER(F993)),"",IF(ISNUMBER(U993),F993*U993,"UNIDADE A CONFERIR")))</f>
        <v/>
      </c>
      <c r="I993" s="94" t="str">
        <f>IF(Q993=1,INDEX('CDFs'!$F$6:$F$505,P993)&amp;"","")</f>
        <v/>
      </c>
      <c r="J993" s="91" t="n"/>
      <c r="K993" s="91" t="n"/>
      <c r="L993" s="94" t="str">
        <f>IF(N993=0,"",IF(NOT(ISNUMBER(F993)),"Quantidade não informada",IF(F993&lt;=0,"Quantidade não positiva",IF(G993="","Unidade não informada",IF(NOT(ISNUMBER(H993)),"Unidade a conferir",IF(AC993=1,"REVISAR VÍNCULO: soma vinculada maior que a referência do item","OK"))))))</f>
        <v/>
      </c>
      <c r="M993" s="94" t="str">
        <f>IF(N993=0,"",IF(B993="","CDF não informado",IF(Q993=0,"REVISAR VÍNCULO: CDF inexistente",IF(C993="","Item não informado",IF(T993=0,"REVISAR VÍNCULO: item inexistente",IF(AND(X993=1,J993&lt;&gt;"Sim"),"REVISAR VÍNCULO: destinador diferente do MTR",IF(X993=1,"Destinador diferente do MTR (analisado)","OK")))))))</f>
        <v/>
      </c>
      <c r="N993" s="96">
        <f>IF(COUNTA(B993:C993,F993:G993,J993:K993)&gt;0,1,0)</f>
        <v>0</v>
      </c>
      <c r="O993" s="96" t="str">
        <f>IF(B993="","",TRIM(LEFT(B993,FIND(" |",B993&amp;" |")-1)))</f>
        <v/>
      </c>
      <c r="P993" s="96" t="str">
        <f>IF(O993="","",IFERROR(MATCH(O993,'CDFs'!$A$6:$A$505,0),""))</f>
        <v/>
      </c>
      <c r="Q993" s="96">
        <f>IF(P993="",0,IF(INDEX('CDFs'!$S$6:$S$505,P993)=1,1,0))</f>
        <v>0</v>
      </c>
      <c r="R993" s="96" t="str">
        <f>IF(C993="","",TRIM(LEFT(C993,FIND(" |",C993&amp;" |")-1)))</f>
        <v/>
      </c>
      <c r="S993" s="96" t="str">
        <f>IF(R993="","",IFERROR(MATCH(R993,'ITENS_MTR'!$A$6:$A$1005,0),""))</f>
        <v/>
      </c>
      <c r="T993" s="96">
        <f>IF(S993="",0,IF(INDEX('ITENS_MTR'!$R$6:$R$1005,S993)=1,1,0))</f>
        <v>0</v>
      </c>
      <c r="U993" s="96" t="str">
        <f>IF(G993="","",IFERROR(IF(ISNUMBER(INDEX(cfg_fac,MATCH(G993,cfg_units,0))),IF(INDEX(cfg_fac,MATCH(G993,cfg_units,0))&gt;0,INDEX(cfg_fac,MATCH(G993,cfg_units,0)),""),""),""))</f>
        <v/>
      </c>
      <c r="V993" s="96">
        <f>IF(AND(ISNUMBER(F993),ISNUMBER(H993)),IF(H993&gt;0,1,0),0)</f>
        <v>0</v>
      </c>
      <c r="W993" s="96" t="str">
        <f>IF(T993=1,INDEX('ITENS_MTR'!$AU$6:$AU$1005,S993)&amp;"","")</f>
        <v/>
      </c>
      <c r="X993" s="96">
        <f>IF(AND(Q993=1,T993=1,I993&lt;&gt;"",W993&lt;&gt;""),IF(I993&lt;&gt;W993,1,0),0)</f>
        <v>0</v>
      </c>
      <c r="Y993" s="96">
        <f>IF(N993=0,0,IF(OR(Q993=0,T993=0,V993=0,AND(X993=1,J993&lt;&gt;"Sim")),1,0))</f>
        <v>0</v>
      </c>
      <c r="Z993" s="96">
        <f>IF(Q993=1,INDEX('CDFs'!$W$6:$W$505,P993),0)</f>
        <v>0</v>
      </c>
      <c r="AA993" s="96">
        <f>IF(AND(N993=1,Y993=0,Z993=1,J993="Sim"),1,0)</f>
        <v>0</v>
      </c>
      <c r="AB993" s="96">
        <f>IF(AND(N993=1,O993&lt;&gt;"",D993&lt;&gt;""),IF(COUNTIFS($O$6:O993,O993,$D$6:D993,D993)=1,1,0),0)</f>
        <v>0</v>
      </c>
      <c r="AC993" s="96">
        <f>IF(T993=1,INDEX('ITENS_MTR'!$AL$6:$AL$1005,S993),0)</f>
        <v>0</v>
      </c>
    </row>
    <row r="994">
      <c r="A994" s="89" t="inlineStr">
        <is>
          <t>VIN-000989</t>
        </is>
      </c>
      <c r="B994" s="91" t="n"/>
      <c r="C994" s="91" t="n"/>
      <c r="D994" s="94" t="str">
        <f>IF(T994=1,INDEX('ITENS_MTR'!$S$6:$S$1005,S994)&amp;"","")</f>
        <v/>
      </c>
      <c r="E994" s="94" t="str">
        <f>IF(T994=1,INDEX('ITENS_MTR'!$C$6:$C$1005,S994)&amp;"","")</f>
        <v/>
      </c>
      <c r="F994" s="98" t="n"/>
      <c r="G994" s="91" t="n"/>
      <c r="H994" s="93" t="str">
        <f>IF(N994=0,"",IF(NOT(ISNUMBER(F994)),"",IF(ISNUMBER(U994),F994*U994,"UNIDADE A CONFERIR")))</f>
        <v/>
      </c>
      <c r="I994" s="94" t="str">
        <f>IF(Q994=1,INDEX('CDFs'!$F$6:$F$505,P994)&amp;"","")</f>
        <v/>
      </c>
      <c r="J994" s="91" t="n"/>
      <c r="K994" s="91" t="n"/>
      <c r="L994" s="94" t="str">
        <f>IF(N994=0,"",IF(NOT(ISNUMBER(F994)),"Quantidade não informada",IF(F994&lt;=0,"Quantidade não positiva",IF(G994="","Unidade não informada",IF(NOT(ISNUMBER(H994)),"Unidade a conferir",IF(AC994=1,"REVISAR VÍNCULO: soma vinculada maior que a referência do item","OK"))))))</f>
        <v/>
      </c>
      <c r="M994" s="94" t="str">
        <f>IF(N994=0,"",IF(B994="","CDF não informado",IF(Q994=0,"REVISAR VÍNCULO: CDF inexistente",IF(C994="","Item não informado",IF(T994=0,"REVISAR VÍNCULO: item inexistente",IF(AND(X994=1,J994&lt;&gt;"Sim"),"REVISAR VÍNCULO: destinador diferente do MTR",IF(X994=1,"Destinador diferente do MTR (analisado)","OK")))))))</f>
        <v/>
      </c>
      <c r="N994" s="96">
        <f>IF(COUNTA(B994:C994,F994:G994,J994:K994)&gt;0,1,0)</f>
        <v>0</v>
      </c>
      <c r="O994" s="96" t="str">
        <f>IF(B994="","",TRIM(LEFT(B994,FIND(" |",B994&amp;" |")-1)))</f>
        <v/>
      </c>
      <c r="P994" s="96" t="str">
        <f>IF(O994="","",IFERROR(MATCH(O994,'CDFs'!$A$6:$A$505,0),""))</f>
        <v/>
      </c>
      <c r="Q994" s="96">
        <f>IF(P994="",0,IF(INDEX('CDFs'!$S$6:$S$505,P994)=1,1,0))</f>
        <v>0</v>
      </c>
      <c r="R994" s="96" t="str">
        <f>IF(C994="","",TRIM(LEFT(C994,FIND(" |",C994&amp;" |")-1)))</f>
        <v/>
      </c>
      <c r="S994" s="96" t="str">
        <f>IF(R994="","",IFERROR(MATCH(R994,'ITENS_MTR'!$A$6:$A$1005,0),""))</f>
        <v/>
      </c>
      <c r="T994" s="96">
        <f>IF(S994="",0,IF(INDEX('ITENS_MTR'!$R$6:$R$1005,S994)=1,1,0))</f>
        <v>0</v>
      </c>
      <c r="U994" s="96" t="str">
        <f>IF(G994="","",IFERROR(IF(ISNUMBER(INDEX(cfg_fac,MATCH(G994,cfg_units,0))),IF(INDEX(cfg_fac,MATCH(G994,cfg_units,0))&gt;0,INDEX(cfg_fac,MATCH(G994,cfg_units,0)),""),""),""))</f>
        <v/>
      </c>
      <c r="V994" s="96">
        <f>IF(AND(ISNUMBER(F994),ISNUMBER(H994)),IF(H994&gt;0,1,0),0)</f>
        <v>0</v>
      </c>
      <c r="W994" s="96" t="str">
        <f>IF(T994=1,INDEX('ITENS_MTR'!$AU$6:$AU$1005,S994)&amp;"","")</f>
        <v/>
      </c>
      <c r="X994" s="96">
        <f>IF(AND(Q994=1,T994=1,I994&lt;&gt;"",W994&lt;&gt;""),IF(I994&lt;&gt;W994,1,0),0)</f>
        <v>0</v>
      </c>
      <c r="Y994" s="96">
        <f>IF(N994=0,0,IF(OR(Q994=0,T994=0,V994=0,AND(X994=1,J994&lt;&gt;"Sim")),1,0))</f>
        <v>0</v>
      </c>
      <c r="Z994" s="96">
        <f>IF(Q994=1,INDEX('CDFs'!$W$6:$W$505,P994),0)</f>
        <v>0</v>
      </c>
      <c r="AA994" s="96">
        <f>IF(AND(N994=1,Y994=0,Z994=1,J994="Sim"),1,0)</f>
        <v>0</v>
      </c>
      <c r="AB994" s="96">
        <f>IF(AND(N994=1,O994&lt;&gt;"",D994&lt;&gt;""),IF(COUNTIFS($O$6:O994,O994,$D$6:D994,D994)=1,1,0),0)</f>
        <v>0</v>
      </c>
      <c r="AC994" s="96">
        <f>IF(T994=1,INDEX('ITENS_MTR'!$AL$6:$AL$1005,S994),0)</f>
        <v>0</v>
      </c>
    </row>
    <row r="995">
      <c r="A995" s="89" t="inlineStr">
        <is>
          <t>VIN-000990</t>
        </is>
      </c>
      <c r="B995" s="91" t="n"/>
      <c r="C995" s="91" t="n"/>
      <c r="D995" s="94" t="str">
        <f>IF(T995=1,INDEX('ITENS_MTR'!$S$6:$S$1005,S995)&amp;"","")</f>
        <v/>
      </c>
      <c r="E995" s="94" t="str">
        <f>IF(T995=1,INDEX('ITENS_MTR'!$C$6:$C$1005,S995)&amp;"","")</f>
        <v/>
      </c>
      <c r="F995" s="98" t="n"/>
      <c r="G995" s="91" t="n"/>
      <c r="H995" s="93" t="str">
        <f>IF(N995=0,"",IF(NOT(ISNUMBER(F995)),"",IF(ISNUMBER(U995),F995*U995,"UNIDADE A CONFERIR")))</f>
        <v/>
      </c>
      <c r="I995" s="94" t="str">
        <f>IF(Q995=1,INDEX('CDFs'!$F$6:$F$505,P995)&amp;"","")</f>
        <v/>
      </c>
      <c r="J995" s="91" t="n"/>
      <c r="K995" s="91" t="n"/>
      <c r="L995" s="94" t="str">
        <f>IF(N995=0,"",IF(NOT(ISNUMBER(F995)),"Quantidade não informada",IF(F995&lt;=0,"Quantidade não positiva",IF(G995="","Unidade não informada",IF(NOT(ISNUMBER(H995)),"Unidade a conferir",IF(AC995=1,"REVISAR VÍNCULO: soma vinculada maior que a referência do item","OK"))))))</f>
        <v/>
      </c>
      <c r="M995" s="94" t="str">
        <f>IF(N995=0,"",IF(B995="","CDF não informado",IF(Q995=0,"REVISAR VÍNCULO: CDF inexistente",IF(C995="","Item não informado",IF(T995=0,"REVISAR VÍNCULO: item inexistente",IF(AND(X995=1,J995&lt;&gt;"Sim"),"REVISAR VÍNCULO: destinador diferente do MTR",IF(X995=1,"Destinador diferente do MTR (analisado)","OK")))))))</f>
        <v/>
      </c>
      <c r="N995" s="96">
        <f>IF(COUNTA(B995:C995,F995:G995,J995:K995)&gt;0,1,0)</f>
        <v>0</v>
      </c>
      <c r="O995" s="96" t="str">
        <f>IF(B995="","",TRIM(LEFT(B995,FIND(" |",B995&amp;" |")-1)))</f>
        <v/>
      </c>
      <c r="P995" s="96" t="str">
        <f>IF(O995="","",IFERROR(MATCH(O995,'CDFs'!$A$6:$A$505,0),""))</f>
        <v/>
      </c>
      <c r="Q995" s="96">
        <f>IF(P995="",0,IF(INDEX('CDFs'!$S$6:$S$505,P995)=1,1,0))</f>
        <v>0</v>
      </c>
      <c r="R995" s="96" t="str">
        <f>IF(C995="","",TRIM(LEFT(C995,FIND(" |",C995&amp;" |")-1)))</f>
        <v/>
      </c>
      <c r="S995" s="96" t="str">
        <f>IF(R995="","",IFERROR(MATCH(R995,'ITENS_MTR'!$A$6:$A$1005,0),""))</f>
        <v/>
      </c>
      <c r="T995" s="96">
        <f>IF(S995="",0,IF(INDEX('ITENS_MTR'!$R$6:$R$1005,S995)=1,1,0))</f>
        <v>0</v>
      </c>
      <c r="U995" s="96" t="str">
        <f>IF(G995="","",IFERROR(IF(ISNUMBER(INDEX(cfg_fac,MATCH(G995,cfg_units,0))),IF(INDEX(cfg_fac,MATCH(G995,cfg_units,0))&gt;0,INDEX(cfg_fac,MATCH(G995,cfg_units,0)),""),""),""))</f>
        <v/>
      </c>
      <c r="V995" s="96">
        <f>IF(AND(ISNUMBER(F995),ISNUMBER(H995)),IF(H995&gt;0,1,0),0)</f>
        <v>0</v>
      </c>
      <c r="W995" s="96" t="str">
        <f>IF(T995=1,INDEX('ITENS_MTR'!$AU$6:$AU$1005,S995)&amp;"","")</f>
        <v/>
      </c>
      <c r="X995" s="96">
        <f>IF(AND(Q995=1,T995=1,I995&lt;&gt;"",W995&lt;&gt;""),IF(I995&lt;&gt;W995,1,0),0)</f>
        <v>0</v>
      </c>
      <c r="Y995" s="96">
        <f>IF(N995=0,0,IF(OR(Q995=0,T995=0,V995=0,AND(X995=1,J995&lt;&gt;"Sim")),1,0))</f>
        <v>0</v>
      </c>
      <c r="Z995" s="96">
        <f>IF(Q995=1,INDEX('CDFs'!$W$6:$W$505,P995),0)</f>
        <v>0</v>
      </c>
      <c r="AA995" s="96">
        <f>IF(AND(N995=1,Y995=0,Z995=1,J995="Sim"),1,0)</f>
        <v>0</v>
      </c>
      <c r="AB995" s="96">
        <f>IF(AND(N995=1,O995&lt;&gt;"",D995&lt;&gt;""),IF(COUNTIFS($O$6:O995,O995,$D$6:D995,D995)=1,1,0),0)</f>
        <v>0</v>
      </c>
      <c r="AC995" s="96">
        <f>IF(T995=1,INDEX('ITENS_MTR'!$AL$6:$AL$1005,S995),0)</f>
        <v>0</v>
      </c>
    </row>
    <row r="996">
      <c r="A996" s="89" t="inlineStr">
        <is>
          <t>VIN-000991</t>
        </is>
      </c>
      <c r="B996" s="91" t="n"/>
      <c r="C996" s="91" t="n"/>
      <c r="D996" s="94" t="str">
        <f>IF(T996=1,INDEX('ITENS_MTR'!$S$6:$S$1005,S996)&amp;"","")</f>
        <v/>
      </c>
      <c r="E996" s="94" t="str">
        <f>IF(T996=1,INDEX('ITENS_MTR'!$C$6:$C$1005,S996)&amp;"","")</f>
        <v/>
      </c>
      <c r="F996" s="98" t="n"/>
      <c r="G996" s="91" t="n"/>
      <c r="H996" s="93" t="str">
        <f>IF(N996=0,"",IF(NOT(ISNUMBER(F996)),"",IF(ISNUMBER(U996),F996*U996,"UNIDADE A CONFERIR")))</f>
        <v/>
      </c>
      <c r="I996" s="94" t="str">
        <f>IF(Q996=1,INDEX('CDFs'!$F$6:$F$505,P996)&amp;"","")</f>
        <v/>
      </c>
      <c r="J996" s="91" t="n"/>
      <c r="K996" s="91" t="n"/>
      <c r="L996" s="94" t="str">
        <f>IF(N996=0,"",IF(NOT(ISNUMBER(F996)),"Quantidade não informada",IF(F996&lt;=0,"Quantidade não positiva",IF(G996="","Unidade não informada",IF(NOT(ISNUMBER(H996)),"Unidade a conferir",IF(AC996=1,"REVISAR VÍNCULO: soma vinculada maior que a referência do item","OK"))))))</f>
        <v/>
      </c>
      <c r="M996" s="94" t="str">
        <f>IF(N996=0,"",IF(B996="","CDF não informado",IF(Q996=0,"REVISAR VÍNCULO: CDF inexistente",IF(C996="","Item não informado",IF(T996=0,"REVISAR VÍNCULO: item inexistente",IF(AND(X996=1,J996&lt;&gt;"Sim"),"REVISAR VÍNCULO: destinador diferente do MTR",IF(X996=1,"Destinador diferente do MTR (analisado)","OK")))))))</f>
        <v/>
      </c>
      <c r="N996" s="96">
        <f>IF(COUNTA(B996:C996,F996:G996,J996:K996)&gt;0,1,0)</f>
        <v>0</v>
      </c>
      <c r="O996" s="96" t="str">
        <f>IF(B996="","",TRIM(LEFT(B996,FIND(" |",B996&amp;" |")-1)))</f>
        <v/>
      </c>
      <c r="P996" s="96" t="str">
        <f>IF(O996="","",IFERROR(MATCH(O996,'CDFs'!$A$6:$A$505,0),""))</f>
        <v/>
      </c>
      <c r="Q996" s="96">
        <f>IF(P996="",0,IF(INDEX('CDFs'!$S$6:$S$505,P996)=1,1,0))</f>
        <v>0</v>
      </c>
      <c r="R996" s="96" t="str">
        <f>IF(C996="","",TRIM(LEFT(C996,FIND(" |",C996&amp;" |")-1)))</f>
        <v/>
      </c>
      <c r="S996" s="96" t="str">
        <f>IF(R996="","",IFERROR(MATCH(R996,'ITENS_MTR'!$A$6:$A$1005,0),""))</f>
        <v/>
      </c>
      <c r="T996" s="96">
        <f>IF(S996="",0,IF(INDEX('ITENS_MTR'!$R$6:$R$1005,S996)=1,1,0))</f>
        <v>0</v>
      </c>
      <c r="U996" s="96" t="str">
        <f>IF(G996="","",IFERROR(IF(ISNUMBER(INDEX(cfg_fac,MATCH(G996,cfg_units,0))),IF(INDEX(cfg_fac,MATCH(G996,cfg_units,0))&gt;0,INDEX(cfg_fac,MATCH(G996,cfg_units,0)),""),""),""))</f>
        <v/>
      </c>
      <c r="V996" s="96">
        <f>IF(AND(ISNUMBER(F996),ISNUMBER(H996)),IF(H996&gt;0,1,0),0)</f>
        <v>0</v>
      </c>
      <c r="W996" s="96" t="str">
        <f>IF(T996=1,INDEX('ITENS_MTR'!$AU$6:$AU$1005,S996)&amp;"","")</f>
        <v/>
      </c>
      <c r="X996" s="96">
        <f>IF(AND(Q996=1,T996=1,I996&lt;&gt;"",W996&lt;&gt;""),IF(I996&lt;&gt;W996,1,0),0)</f>
        <v>0</v>
      </c>
      <c r="Y996" s="96">
        <f>IF(N996=0,0,IF(OR(Q996=0,T996=0,V996=0,AND(X996=1,J996&lt;&gt;"Sim")),1,0))</f>
        <v>0</v>
      </c>
      <c r="Z996" s="96">
        <f>IF(Q996=1,INDEX('CDFs'!$W$6:$W$505,P996),0)</f>
        <v>0</v>
      </c>
      <c r="AA996" s="96">
        <f>IF(AND(N996=1,Y996=0,Z996=1,J996="Sim"),1,0)</f>
        <v>0</v>
      </c>
      <c r="AB996" s="96">
        <f>IF(AND(N996=1,O996&lt;&gt;"",D996&lt;&gt;""),IF(COUNTIFS($O$6:O996,O996,$D$6:D996,D996)=1,1,0),0)</f>
        <v>0</v>
      </c>
      <c r="AC996" s="96">
        <f>IF(T996=1,INDEX('ITENS_MTR'!$AL$6:$AL$1005,S996),0)</f>
        <v>0</v>
      </c>
    </row>
    <row r="997">
      <c r="A997" s="89" t="inlineStr">
        <is>
          <t>VIN-000992</t>
        </is>
      </c>
      <c r="B997" s="91" t="n"/>
      <c r="C997" s="91" t="n"/>
      <c r="D997" s="94" t="str">
        <f>IF(T997=1,INDEX('ITENS_MTR'!$S$6:$S$1005,S997)&amp;"","")</f>
        <v/>
      </c>
      <c r="E997" s="94" t="str">
        <f>IF(T997=1,INDEX('ITENS_MTR'!$C$6:$C$1005,S997)&amp;"","")</f>
        <v/>
      </c>
      <c r="F997" s="98" t="n"/>
      <c r="G997" s="91" t="n"/>
      <c r="H997" s="93" t="str">
        <f>IF(N997=0,"",IF(NOT(ISNUMBER(F997)),"",IF(ISNUMBER(U997),F997*U997,"UNIDADE A CONFERIR")))</f>
        <v/>
      </c>
      <c r="I997" s="94" t="str">
        <f>IF(Q997=1,INDEX('CDFs'!$F$6:$F$505,P997)&amp;"","")</f>
        <v/>
      </c>
      <c r="J997" s="91" t="n"/>
      <c r="K997" s="91" t="n"/>
      <c r="L997" s="94" t="str">
        <f>IF(N997=0,"",IF(NOT(ISNUMBER(F997)),"Quantidade não informada",IF(F997&lt;=0,"Quantidade não positiva",IF(G997="","Unidade não informada",IF(NOT(ISNUMBER(H997)),"Unidade a conferir",IF(AC997=1,"REVISAR VÍNCULO: soma vinculada maior que a referência do item","OK"))))))</f>
        <v/>
      </c>
      <c r="M997" s="94" t="str">
        <f>IF(N997=0,"",IF(B997="","CDF não informado",IF(Q997=0,"REVISAR VÍNCULO: CDF inexistente",IF(C997="","Item não informado",IF(T997=0,"REVISAR VÍNCULO: item inexistente",IF(AND(X997=1,J997&lt;&gt;"Sim"),"REVISAR VÍNCULO: destinador diferente do MTR",IF(X997=1,"Destinador diferente do MTR (analisado)","OK")))))))</f>
        <v/>
      </c>
      <c r="N997" s="96">
        <f>IF(COUNTA(B997:C997,F997:G997,J997:K997)&gt;0,1,0)</f>
        <v>0</v>
      </c>
      <c r="O997" s="96" t="str">
        <f>IF(B997="","",TRIM(LEFT(B997,FIND(" |",B997&amp;" |")-1)))</f>
        <v/>
      </c>
      <c r="P997" s="96" t="str">
        <f>IF(O997="","",IFERROR(MATCH(O997,'CDFs'!$A$6:$A$505,0),""))</f>
        <v/>
      </c>
      <c r="Q997" s="96">
        <f>IF(P997="",0,IF(INDEX('CDFs'!$S$6:$S$505,P997)=1,1,0))</f>
        <v>0</v>
      </c>
      <c r="R997" s="96" t="str">
        <f>IF(C997="","",TRIM(LEFT(C997,FIND(" |",C997&amp;" |")-1)))</f>
        <v/>
      </c>
      <c r="S997" s="96" t="str">
        <f>IF(R997="","",IFERROR(MATCH(R997,'ITENS_MTR'!$A$6:$A$1005,0),""))</f>
        <v/>
      </c>
      <c r="T997" s="96">
        <f>IF(S997="",0,IF(INDEX('ITENS_MTR'!$R$6:$R$1005,S997)=1,1,0))</f>
        <v>0</v>
      </c>
      <c r="U997" s="96" t="str">
        <f>IF(G997="","",IFERROR(IF(ISNUMBER(INDEX(cfg_fac,MATCH(G997,cfg_units,0))),IF(INDEX(cfg_fac,MATCH(G997,cfg_units,0))&gt;0,INDEX(cfg_fac,MATCH(G997,cfg_units,0)),""),""),""))</f>
        <v/>
      </c>
      <c r="V997" s="96">
        <f>IF(AND(ISNUMBER(F997),ISNUMBER(H997)),IF(H997&gt;0,1,0),0)</f>
        <v>0</v>
      </c>
      <c r="W997" s="96" t="str">
        <f>IF(T997=1,INDEX('ITENS_MTR'!$AU$6:$AU$1005,S997)&amp;"","")</f>
        <v/>
      </c>
      <c r="X997" s="96">
        <f>IF(AND(Q997=1,T997=1,I997&lt;&gt;"",W997&lt;&gt;""),IF(I997&lt;&gt;W997,1,0),0)</f>
        <v>0</v>
      </c>
      <c r="Y997" s="96">
        <f>IF(N997=0,0,IF(OR(Q997=0,T997=0,V997=0,AND(X997=1,J997&lt;&gt;"Sim")),1,0))</f>
        <v>0</v>
      </c>
      <c r="Z997" s="96">
        <f>IF(Q997=1,INDEX('CDFs'!$W$6:$W$505,P997),0)</f>
        <v>0</v>
      </c>
      <c r="AA997" s="96">
        <f>IF(AND(N997=1,Y997=0,Z997=1,J997="Sim"),1,0)</f>
        <v>0</v>
      </c>
      <c r="AB997" s="96">
        <f>IF(AND(N997=1,O997&lt;&gt;"",D997&lt;&gt;""),IF(COUNTIFS($O$6:O997,O997,$D$6:D997,D997)=1,1,0),0)</f>
        <v>0</v>
      </c>
      <c r="AC997" s="96">
        <f>IF(T997=1,INDEX('ITENS_MTR'!$AL$6:$AL$1005,S997),0)</f>
        <v>0</v>
      </c>
    </row>
    <row r="998">
      <c r="A998" s="89" t="inlineStr">
        <is>
          <t>VIN-000993</t>
        </is>
      </c>
      <c r="B998" s="91" t="n"/>
      <c r="C998" s="91" t="n"/>
      <c r="D998" s="94" t="str">
        <f>IF(T998=1,INDEX('ITENS_MTR'!$S$6:$S$1005,S998)&amp;"","")</f>
        <v/>
      </c>
      <c r="E998" s="94" t="str">
        <f>IF(T998=1,INDEX('ITENS_MTR'!$C$6:$C$1005,S998)&amp;"","")</f>
        <v/>
      </c>
      <c r="F998" s="98" t="n"/>
      <c r="G998" s="91" t="n"/>
      <c r="H998" s="93" t="str">
        <f>IF(N998=0,"",IF(NOT(ISNUMBER(F998)),"",IF(ISNUMBER(U998),F998*U998,"UNIDADE A CONFERIR")))</f>
        <v/>
      </c>
      <c r="I998" s="94" t="str">
        <f>IF(Q998=1,INDEX('CDFs'!$F$6:$F$505,P998)&amp;"","")</f>
        <v/>
      </c>
      <c r="J998" s="91" t="n"/>
      <c r="K998" s="91" t="n"/>
      <c r="L998" s="94" t="str">
        <f>IF(N998=0,"",IF(NOT(ISNUMBER(F998)),"Quantidade não informada",IF(F998&lt;=0,"Quantidade não positiva",IF(G998="","Unidade não informada",IF(NOT(ISNUMBER(H998)),"Unidade a conferir",IF(AC998=1,"REVISAR VÍNCULO: soma vinculada maior que a referência do item","OK"))))))</f>
        <v/>
      </c>
      <c r="M998" s="94" t="str">
        <f>IF(N998=0,"",IF(B998="","CDF não informado",IF(Q998=0,"REVISAR VÍNCULO: CDF inexistente",IF(C998="","Item não informado",IF(T998=0,"REVISAR VÍNCULO: item inexistente",IF(AND(X998=1,J998&lt;&gt;"Sim"),"REVISAR VÍNCULO: destinador diferente do MTR",IF(X998=1,"Destinador diferente do MTR (analisado)","OK")))))))</f>
        <v/>
      </c>
      <c r="N998" s="96">
        <f>IF(COUNTA(B998:C998,F998:G998,J998:K998)&gt;0,1,0)</f>
        <v>0</v>
      </c>
      <c r="O998" s="96" t="str">
        <f>IF(B998="","",TRIM(LEFT(B998,FIND(" |",B998&amp;" |")-1)))</f>
        <v/>
      </c>
      <c r="P998" s="96" t="str">
        <f>IF(O998="","",IFERROR(MATCH(O998,'CDFs'!$A$6:$A$505,0),""))</f>
        <v/>
      </c>
      <c r="Q998" s="96">
        <f>IF(P998="",0,IF(INDEX('CDFs'!$S$6:$S$505,P998)=1,1,0))</f>
        <v>0</v>
      </c>
      <c r="R998" s="96" t="str">
        <f>IF(C998="","",TRIM(LEFT(C998,FIND(" |",C998&amp;" |")-1)))</f>
        <v/>
      </c>
      <c r="S998" s="96" t="str">
        <f>IF(R998="","",IFERROR(MATCH(R998,'ITENS_MTR'!$A$6:$A$1005,0),""))</f>
        <v/>
      </c>
      <c r="T998" s="96">
        <f>IF(S998="",0,IF(INDEX('ITENS_MTR'!$R$6:$R$1005,S998)=1,1,0))</f>
        <v>0</v>
      </c>
      <c r="U998" s="96" t="str">
        <f>IF(G998="","",IFERROR(IF(ISNUMBER(INDEX(cfg_fac,MATCH(G998,cfg_units,0))),IF(INDEX(cfg_fac,MATCH(G998,cfg_units,0))&gt;0,INDEX(cfg_fac,MATCH(G998,cfg_units,0)),""),""),""))</f>
        <v/>
      </c>
      <c r="V998" s="96">
        <f>IF(AND(ISNUMBER(F998),ISNUMBER(H998)),IF(H998&gt;0,1,0),0)</f>
        <v>0</v>
      </c>
      <c r="W998" s="96" t="str">
        <f>IF(T998=1,INDEX('ITENS_MTR'!$AU$6:$AU$1005,S998)&amp;"","")</f>
        <v/>
      </c>
      <c r="X998" s="96">
        <f>IF(AND(Q998=1,T998=1,I998&lt;&gt;"",W998&lt;&gt;""),IF(I998&lt;&gt;W998,1,0),0)</f>
        <v>0</v>
      </c>
      <c r="Y998" s="96">
        <f>IF(N998=0,0,IF(OR(Q998=0,T998=0,V998=0,AND(X998=1,J998&lt;&gt;"Sim")),1,0))</f>
        <v>0</v>
      </c>
      <c r="Z998" s="96">
        <f>IF(Q998=1,INDEX('CDFs'!$W$6:$W$505,P998),0)</f>
        <v>0</v>
      </c>
      <c r="AA998" s="96">
        <f>IF(AND(N998=1,Y998=0,Z998=1,J998="Sim"),1,0)</f>
        <v>0</v>
      </c>
      <c r="AB998" s="96">
        <f>IF(AND(N998=1,O998&lt;&gt;"",D998&lt;&gt;""),IF(COUNTIFS($O$6:O998,O998,$D$6:D998,D998)=1,1,0),0)</f>
        <v>0</v>
      </c>
      <c r="AC998" s="96">
        <f>IF(T998=1,INDEX('ITENS_MTR'!$AL$6:$AL$1005,S998),0)</f>
        <v>0</v>
      </c>
    </row>
    <row r="999">
      <c r="A999" s="89" t="inlineStr">
        <is>
          <t>VIN-000994</t>
        </is>
      </c>
      <c r="B999" s="91" t="n"/>
      <c r="C999" s="91" t="n"/>
      <c r="D999" s="94" t="str">
        <f>IF(T999=1,INDEX('ITENS_MTR'!$S$6:$S$1005,S999)&amp;"","")</f>
        <v/>
      </c>
      <c r="E999" s="94" t="str">
        <f>IF(T999=1,INDEX('ITENS_MTR'!$C$6:$C$1005,S999)&amp;"","")</f>
        <v/>
      </c>
      <c r="F999" s="98" t="n"/>
      <c r="G999" s="91" t="n"/>
      <c r="H999" s="93" t="str">
        <f>IF(N999=0,"",IF(NOT(ISNUMBER(F999)),"",IF(ISNUMBER(U999),F999*U999,"UNIDADE A CONFERIR")))</f>
        <v/>
      </c>
      <c r="I999" s="94" t="str">
        <f>IF(Q999=1,INDEX('CDFs'!$F$6:$F$505,P999)&amp;"","")</f>
        <v/>
      </c>
      <c r="J999" s="91" t="n"/>
      <c r="K999" s="91" t="n"/>
      <c r="L999" s="94" t="str">
        <f>IF(N999=0,"",IF(NOT(ISNUMBER(F999)),"Quantidade não informada",IF(F999&lt;=0,"Quantidade não positiva",IF(G999="","Unidade não informada",IF(NOT(ISNUMBER(H999)),"Unidade a conferir",IF(AC999=1,"REVISAR VÍNCULO: soma vinculada maior que a referência do item","OK"))))))</f>
        <v/>
      </c>
      <c r="M999" s="94" t="str">
        <f>IF(N999=0,"",IF(B999="","CDF não informado",IF(Q999=0,"REVISAR VÍNCULO: CDF inexistente",IF(C999="","Item não informado",IF(T999=0,"REVISAR VÍNCULO: item inexistente",IF(AND(X999=1,J999&lt;&gt;"Sim"),"REVISAR VÍNCULO: destinador diferente do MTR",IF(X999=1,"Destinador diferente do MTR (analisado)","OK")))))))</f>
        <v/>
      </c>
      <c r="N999" s="96">
        <f>IF(COUNTA(B999:C999,F999:G999,J999:K999)&gt;0,1,0)</f>
        <v>0</v>
      </c>
      <c r="O999" s="96" t="str">
        <f>IF(B999="","",TRIM(LEFT(B999,FIND(" |",B999&amp;" |")-1)))</f>
        <v/>
      </c>
      <c r="P999" s="96" t="str">
        <f>IF(O999="","",IFERROR(MATCH(O999,'CDFs'!$A$6:$A$505,0),""))</f>
        <v/>
      </c>
      <c r="Q999" s="96">
        <f>IF(P999="",0,IF(INDEX('CDFs'!$S$6:$S$505,P999)=1,1,0))</f>
        <v>0</v>
      </c>
      <c r="R999" s="96" t="str">
        <f>IF(C999="","",TRIM(LEFT(C999,FIND(" |",C999&amp;" |")-1)))</f>
        <v/>
      </c>
      <c r="S999" s="96" t="str">
        <f>IF(R999="","",IFERROR(MATCH(R999,'ITENS_MTR'!$A$6:$A$1005,0),""))</f>
        <v/>
      </c>
      <c r="T999" s="96">
        <f>IF(S999="",0,IF(INDEX('ITENS_MTR'!$R$6:$R$1005,S999)=1,1,0))</f>
        <v>0</v>
      </c>
      <c r="U999" s="96" t="str">
        <f>IF(G999="","",IFERROR(IF(ISNUMBER(INDEX(cfg_fac,MATCH(G999,cfg_units,0))),IF(INDEX(cfg_fac,MATCH(G999,cfg_units,0))&gt;0,INDEX(cfg_fac,MATCH(G999,cfg_units,0)),""),""),""))</f>
        <v/>
      </c>
      <c r="V999" s="96">
        <f>IF(AND(ISNUMBER(F999),ISNUMBER(H999)),IF(H999&gt;0,1,0),0)</f>
        <v>0</v>
      </c>
      <c r="W999" s="96" t="str">
        <f>IF(T999=1,INDEX('ITENS_MTR'!$AU$6:$AU$1005,S999)&amp;"","")</f>
        <v/>
      </c>
      <c r="X999" s="96">
        <f>IF(AND(Q999=1,T999=1,I999&lt;&gt;"",W999&lt;&gt;""),IF(I999&lt;&gt;W999,1,0),0)</f>
        <v>0</v>
      </c>
      <c r="Y999" s="96">
        <f>IF(N999=0,0,IF(OR(Q999=0,T999=0,V999=0,AND(X999=1,J999&lt;&gt;"Sim")),1,0))</f>
        <v>0</v>
      </c>
      <c r="Z999" s="96">
        <f>IF(Q999=1,INDEX('CDFs'!$W$6:$W$505,P999),0)</f>
        <v>0</v>
      </c>
      <c r="AA999" s="96">
        <f>IF(AND(N999=1,Y999=0,Z999=1,J999="Sim"),1,0)</f>
        <v>0</v>
      </c>
      <c r="AB999" s="96">
        <f>IF(AND(N999=1,O999&lt;&gt;"",D999&lt;&gt;""),IF(COUNTIFS($O$6:O999,O999,$D$6:D999,D999)=1,1,0),0)</f>
        <v>0</v>
      </c>
      <c r="AC999" s="96">
        <f>IF(T999=1,INDEX('ITENS_MTR'!$AL$6:$AL$1005,S999),0)</f>
        <v>0</v>
      </c>
    </row>
    <row r="1000">
      <c r="A1000" s="89" t="inlineStr">
        <is>
          <t>VIN-000995</t>
        </is>
      </c>
      <c r="B1000" s="91" t="n"/>
      <c r="C1000" s="91" t="n"/>
      <c r="D1000" s="94" t="str">
        <f>IF(T1000=1,INDEX('ITENS_MTR'!$S$6:$S$1005,S1000)&amp;"","")</f>
        <v/>
      </c>
      <c r="E1000" s="94" t="str">
        <f>IF(T1000=1,INDEX('ITENS_MTR'!$C$6:$C$1005,S1000)&amp;"","")</f>
        <v/>
      </c>
      <c r="F1000" s="98" t="n"/>
      <c r="G1000" s="91" t="n"/>
      <c r="H1000" s="93" t="str">
        <f>IF(N1000=0,"",IF(NOT(ISNUMBER(F1000)),"",IF(ISNUMBER(U1000),F1000*U1000,"UNIDADE A CONFERIR")))</f>
        <v/>
      </c>
      <c r="I1000" s="94" t="str">
        <f>IF(Q1000=1,INDEX('CDFs'!$F$6:$F$505,P1000)&amp;"","")</f>
        <v/>
      </c>
      <c r="J1000" s="91" t="n"/>
      <c r="K1000" s="91" t="n"/>
      <c r="L1000" s="94" t="str">
        <f>IF(N1000=0,"",IF(NOT(ISNUMBER(F1000)),"Quantidade não informada",IF(F1000&lt;=0,"Quantidade não positiva",IF(G1000="","Unidade não informada",IF(NOT(ISNUMBER(H1000)),"Unidade a conferir",IF(AC1000=1,"REVISAR VÍNCULO: soma vinculada maior que a referência do item","OK"))))))</f>
        <v/>
      </c>
      <c r="M1000" s="94" t="str">
        <f>IF(N1000=0,"",IF(B1000="","CDF não informado",IF(Q1000=0,"REVISAR VÍNCULO: CDF inexistente",IF(C1000="","Item não informado",IF(T1000=0,"REVISAR VÍNCULO: item inexistente",IF(AND(X1000=1,J1000&lt;&gt;"Sim"),"REVISAR VÍNCULO: destinador diferente do MTR",IF(X1000=1,"Destinador diferente do MTR (analisado)","OK")))))))</f>
        <v/>
      </c>
      <c r="N1000" s="96">
        <f>IF(COUNTA(B1000:C1000,F1000:G1000,J1000:K1000)&gt;0,1,0)</f>
        <v>0</v>
      </c>
      <c r="O1000" s="96" t="str">
        <f>IF(B1000="","",TRIM(LEFT(B1000,FIND(" |",B1000&amp;" |")-1)))</f>
        <v/>
      </c>
      <c r="P1000" s="96" t="str">
        <f>IF(O1000="","",IFERROR(MATCH(O1000,'CDFs'!$A$6:$A$505,0),""))</f>
        <v/>
      </c>
      <c r="Q1000" s="96">
        <f>IF(P1000="",0,IF(INDEX('CDFs'!$S$6:$S$505,P1000)=1,1,0))</f>
        <v>0</v>
      </c>
      <c r="R1000" s="96" t="str">
        <f>IF(C1000="","",TRIM(LEFT(C1000,FIND(" |",C1000&amp;" |")-1)))</f>
        <v/>
      </c>
      <c r="S1000" s="96" t="str">
        <f>IF(R1000="","",IFERROR(MATCH(R1000,'ITENS_MTR'!$A$6:$A$1005,0),""))</f>
        <v/>
      </c>
      <c r="T1000" s="96">
        <f>IF(S1000="",0,IF(INDEX('ITENS_MTR'!$R$6:$R$1005,S1000)=1,1,0))</f>
        <v>0</v>
      </c>
      <c r="U1000" s="96" t="str">
        <f>IF(G1000="","",IFERROR(IF(ISNUMBER(INDEX(cfg_fac,MATCH(G1000,cfg_units,0))),IF(INDEX(cfg_fac,MATCH(G1000,cfg_units,0))&gt;0,INDEX(cfg_fac,MATCH(G1000,cfg_units,0)),""),""),""))</f>
        <v/>
      </c>
      <c r="V1000" s="96">
        <f>IF(AND(ISNUMBER(F1000),ISNUMBER(H1000)),IF(H1000&gt;0,1,0),0)</f>
        <v>0</v>
      </c>
      <c r="W1000" s="96" t="str">
        <f>IF(T1000=1,INDEX('ITENS_MTR'!$AU$6:$AU$1005,S1000)&amp;"","")</f>
        <v/>
      </c>
      <c r="X1000" s="96">
        <f>IF(AND(Q1000=1,T1000=1,I1000&lt;&gt;"",W1000&lt;&gt;""),IF(I1000&lt;&gt;W1000,1,0),0)</f>
        <v>0</v>
      </c>
      <c r="Y1000" s="96">
        <f>IF(N1000=0,0,IF(OR(Q1000=0,T1000=0,V1000=0,AND(X1000=1,J1000&lt;&gt;"Sim")),1,0))</f>
        <v>0</v>
      </c>
      <c r="Z1000" s="96">
        <f>IF(Q1000=1,INDEX('CDFs'!$W$6:$W$505,P1000),0)</f>
        <v>0</v>
      </c>
      <c r="AA1000" s="96">
        <f>IF(AND(N1000=1,Y1000=0,Z1000=1,J1000="Sim"),1,0)</f>
        <v>0</v>
      </c>
      <c r="AB1000" s="96">
        <f>IF(AND(N1000=1,O1000&lt;&gt;"",D1000&lt;&gt;""),IF(COUNTIFS($O$6:O1000,O1000,$D$6:D1000,D1000)=1,1,0),0)</f>
        <v>0</v>
      </c>
      <c r="AC1000" s="96">
        <f>IF(T1000=1,INDEX('ITENS_MTR'!$AL$6:$AL$1005,S1000),0)</f>
        <v>0</v>
      </c>
    </row>
    <row r="1001">
      <c r="A1001" s="89" t="inlineStr">
        <is>
          <t>VIN-000996</t>
        </is>
      </c>
      <c r="B1001" s="91" t="n"/>
      <c r="C1001" s="91" t="n"/>
      <c r="D1001" s="94" t="str">
        <f>IF(T1001=1,INDEX('ITENS_MTR'!$S$6:$S$1005,S1001)&amp;"","")</f>
        <v/>
      </c>
      <c r="E1001" s="94" t="str">
        <f>IF(T1001=1,INDEX('ITENS_MTR'!$C$6:$C$1005,S1001)&amp;"","")</f>
        <v/>
      </c>
      <c r="F1001" s="98" t="n"/>
      <c r="G1001" s="91" t="n"/>
      <c r="H1001" s="93" t="str">
        <f>IF(N1001=0,"",IF(NOT(ISNUMBER(F1001)),"",IF(ISNUMBER(U1001),F1001*U1001,"UNIDADE A CONFERIR")))</f>
        <v/>
      </c>
      <c r="I1001" s="94" t="str">
        <f>IF(Q1001=1,INDEX('CDFs'!$F$6:$F$505,P1001)&amp;"","")</f>
        <v/>
      </c>
      <c r="J1001" s="91" t="n"/>
      <c r="K1001" s="91" t="n"/>
      <c r="L1001" s="94" t="str">
        <f>IF(N1001=0,"",IF(NOT(ISNUMBER(F1001)),"Quantidade não informada",IF(F1001&lt;=0,"Quantidade não positiva",IF(G1001="","Unidade não informada",IF(NOT(ISNUMBER(H1001)),"Unidade a conferir",IF(AC1001=1,"REVISAR VÍNCULO: soma vinculada maior que a referência do item","OK"))))))</f>
        <v/>
      </c>
      <c r="M1001" s="94" t="str">
        <f>IF(N1001=0,"",IF(B1001="","CDF não informado",IF(Q1001=0,"REVISAR VÍNCULO: CDF inexistente",IF(C1001="","Item não informado",IF(T1001=0,"REVISAR VÍNCULO: item inexistente",IF(AND(X1001=1,J1001&lt;&gt;"Sim"),"REVISAR VÍNCULO: destinador diferente do MTR",IF(X1001=1,"Destinador diferente do MTR (analisado)","OK")))))))</f>
        <v/>
      </c>
      <c r="N1001" s="96">
        <f>IF(COUNTA(B1001:C1001,F1001:G1001,J1001:K1001)&gt;0,1,0)</f>
        <v>0</v>
      </c>
      <c r="O1001" s="96" t="str">
        <f>IF(B1001="","",TRIM(LEFT(B1001,FIND(" |",B1001&amp;" |")-1)))</f>
        <v/>
      </c>
      <c r="P1001" s="96" t="str">
        <f>IF(O1001="","",IFERROR(MATCH(O1001,'CDFs'!$A$6:$A$505,0),""))</f>
        <v/>
      </c>
      <c r="Q1001" s="96">
        <f>IF(P1001="",0,IF(INDEX('CDFs'!$S$6:$S$505,P1001)=1,1,0))</f>
        <v>0</v>
      </c>
      <c r="R1001" s="96" t="str">
        <f>IF(C1001="","",TRIM(LEFT(C1001,FIND(" |",C1001&amp;" |")-1)))</f>
        <v/>
      </c>
      <c r="S1001" s="96" t="str">
        <f>IF(R1001="","",IFERROR(MATCH(R1001,'ITENS_MTR'!$A$6:$A$1005,0),""))</f>
        <v/>
      </c>
      <c r="T1001" s="96">
        <f>IF(S1001="",0,IF(INDEX('ITENS_MTR'!$R$6:$R$1005,S1001)=1,1,0))</f>
        <v>0</v>
      </c>
      <c r="U1001" s="96" t="str">
        <f>IF(G1001="","",IFERROR(IF(ISNUMBER(INDEX(cfg_fac,MATCH(G1001,cfg_units,0))),IF(INDEX(cfg_fac,MATCH(G1001,cfg_units,0))&gt;0,INDEX(cfg_fac,MATCH(G1001,cfg_units,0)),""),""),""))</f>
        <v/>
      </c>
      <c r="V1001" s="96">
        <f>IF(AND(ISNUMBER(F1001),ISNUMBER(H1001)),IF(H1001&gt;0,1,0),0)</f>
        <v>0</v>
      </c>
      <c r="W1001" s="96" t="str">
        <f>IF(T1001=1,INDEX('ITENS_MTR'!$AU$6:$AU$1005,S1001)&amp;"","")</f>
        <v/>
      </c>
      <c r="X1001" s="96">
        <f>IF(AND(Q1001=1,T1001=1,I1001&lt;&gt;"",W1001&lt;&gt;""),IF(I1001&lt;&gt;W1001,1,0),0)</f>
        <v>0</v>
      </c>
      <c r="Y1001" s="96">
        <f>IF(N1001=0,0,IF(OR(Q1001=0,T1001=0,V1001=0,AND(X1001=1,J1001&lt;&gt;"Sim")),1,0))</f>
        <v>0</v>
      </c>
      <c r="Z1001" s="96">
        <f>IF(Q1001=1,INDEX('CDFs'!$W$6:$W$505,P1001),0)</f>
        <v>0</v>
      </c>
      <c r="AA1001" s="96">
        <f>IF(AND(N1001=1,Y1001=0,Z1001=1,J1001="Sim"),1,0)</f>
        <v>0</v>
      </c>
      <c r="AB1001" s="96">
        <f>IF(AND(N1001=1,O1001&lt;&gt;"",D1001&lt;&gt;""),IF(COUNTIFS($O$6:O1001,O1001,$D$6:D1001,D1001)=1,1,0),0)</f>
        <v>0</v>
      </c>
      <c r="AC1001" s="96">
        <f>IF(T1001=1,INDEX('ITENS_MTR'!$AL$6:$AL$1005,S1001),0)</f>
        <v>0</v>
      </c>
    </row>
    <row r="1002">
      <c r="A1002" s="89" t="inlineStr">
        <is>
          <t>VIN-000997</t>
        </is>
      </c>
      <c r="B1002" s="91" t="n"/>
      <c r="C1002" s="91" t="n"/>
      <c r="D1002" s="94" t="str">
        <f>IF(T1002=1,INDEX('ITENS_MTR'!$S$6:$S$1005,S1002)&amp;"","")</f>
        <v/>
      </c>
      <c r="E1002" s="94" t="str">
        <f>IF(T1002=1,INDEX('ITENS_MTR'!$C$6:$C$1005,S1002)&amp;"","")</f>
        <v/>
      </c>
      <c r="F1002" s="98" t="n"/>
      <c r="G1002" s="91" t="n"/>
      <c r="H1002" s="93" t="str">
        <f>IF(N1002=0,"",IF(NOT(ISNUMBER(F1002)),"",IF(ISNUMBER(U1002),F1002*U1002,"UNIDADE A CONFERIR")))</f>
        <v/>
      </c>
      <c r="I1002" s="94" t="str">
        <f>IF(Q1002=1,INDEX('CDFs'!$F$6:$F$505,P1002)&amp;"","")</f>
        <v/>
      </c>
      <c r="J1002" s="91" t="n"/>
      <c r="K1002" s="91" t="n"/>
      <c r="L1002" s="94" t="str">
        <f>IF(N1002=0,"",IF(NOT(ISNUMBER(F1002)),"Quantidade não informada",IF(F1002&lt;=0,"Quantidade não positiva",IF(G1002="","Unidade não informada",IF(NOT(ISNUMBER(H1002)),"Unidade a conferir",IF(AC1002=1,"REVISAR VÍNCULO: soma vinculada maior que a referência do item","OK"))))))</f>
        <v/>
      </c>
      <c r="M1002" s="94" t="str">
        <f>IF(N1002=0,"",IF(B1002="","CDF não informado",IF(Q1002=0,"REVISAR VÍNCULO: CDF inexistente",IF(C1002="","Item não informado",IF(T1002=0,"REVISAR VÍNCULO: item inexistente",IF(AND(X1002=1,J1002&lt;&gt;"Sim"),"REVISAR VÍNCULO: destinador diferente do MTR",IF(X1002=1,"Destinador diferente do MTR (analisado)","OK")))))))</f>
        <v/>
      </c>
      <c r="N1002" s="96">
        <f>IF(COUNTA(B1002:C1002,F1002:G1002,J1002:K1002)&gt;0,1,0)</f>
        <v>0</v>
      </c>
      <c r="O1002" s="96" t="str">
        <f>IF(B1002="","",TRIM(LEFT(B1002,FIND(" |",B1002&amp;" |")-1)))</f>
        <v/>
      </c>
      <c r="P1002" s="96" t="str">
        <f>IF(O1002="","",IFERROR(MATCH(O1002,'CDFs'!$A$6:$A$505,0),""))</f>
        <v/>
      </c>
      <c r="Q1002" s="96">
        <f>IF(P1002="",0,IF(INDEX('CDFs'!$S$6:$S$505,P1002)=1,1,0))</f>
        <v>0</v>
      </c>
      <c r="R1002" s="96" t="str">
        <f>IF(C1002="","",TRIM(LEFT(C1002,FIND(" |",C1002&amp;" |")-1)))</f>
        <v/>
      </c>
      <c r="S1002" s="96" t="str">
        <f>IF(R1002="","",IFERROR(MATCH(R1002,'ITENS_MTR'!$A$6:$A$1005,0),""))</f>
        <v/>
      </c>
      <c r="T1002" s="96">
        <f>IF(S1002="",0,IF(INDEX('ITENS_MTR'!$R$6:$R$1005,S1002)=1,1,0))</f>
        <v>0</v>
      </c>
      <c r="U1002" s="96" t="str">
        <f>IF(G1002="","",IFERROR(IF(ISNUMBER(INDEX(cfg_fac,MATCH(G1002,cfg_units,0))),IF(INDEX(cfg_fac,MATCH(G1002,cfg_units,0))&gt;0,INDEX(cfg_fac,MATCH(G1002,cfg_units,0)),""),""),""))</f>
        <v/>
      </c>
      <c r="V1002" s="96">
        <f>IF(AND(ISNUMBER(F1002),ISNUMBER(H1002)),IF(H1002&gt;0,1,0),0)</f>
        <v>0</v>
      </c>
      <c r="W1002" s="96" t="str">
        <f>IF(T1002=1,INDEX('ITENS_MTR'!$AU$6:$AU$1005,S1002)&amp;"","")</f>
        <v/>
      </c>
      <c r="X1002" s="96">
        <f>IF(AND(Q1002=1,T1002=1,I1002&lt;&gt;"",W1002&lt;&gt;""),IF(I1002&lt;&gt;W1002,1,0),0)</f>
        <v>0</v>
      </c>
      <c r="Y1002" s="96">
        <f>IF(N1002=0,0,IF(OR(Q1002=0,T1002=0,V1002=0,AND(X1002=1,J1002&lt;&gt;"Sim")),1,0))</f>
        <v>0</v>
      </c>
      <c r="Z1002" s="96">
        <f>IF(Q1002=1,INDEX('CDFs'!$W$6:$W$505,P1002),0)</f>
        <v>0</v>
      </c>
      <c r="AA1002" s="96">
        <f>IF(AND(N1002=1,Y1002=0,Z1002=1,J1002="Sim"),1,0)</f>
        <v>0</v>
      </c>
      <c r="AB1002" s="96">
        <f>IF(AND(N1002=1,O1002&lt;&gt;"",D1002&lt;&gt;""),IF(COUNTIFS($O$6:O1002,O1002,$D$6:D1002,D1002)=1,1,0),0)</f>
        <v>0</v>
      </c>
      <c r="AC1002" s="96">
        <f>IF(T1002=1,INDEX('ITENS_MTR'!$AL$6:$AL$1005,S1002),0)</f>
        <v>0</v>
      </c>
    </row>
    <row r="1003">
      <c r="A1003" s="89" t="inlineStr">
        <is>
          <t>VIN-000998</t>
        </is>
      </c>
      <c r="B1003" s="91" t="n"/>
      <c r="C1003" s="91" t="n"/>
      <c r="D1003" s="94" t="str">
        <f>IF(T1003=1,INDEX('ITENS_MTR'!$S$6:$S$1005,S1003)&amp;"","")</f>
        <v/>
      </c>
      <c r="E1003" s="94" t="str">
        <f>IF(T1003=1,INDEX('ITENS_MTR'!$C$6:$C$1005,S1003)&amp;"","")</f>
        <v/>
      </c>
      <c r="F1003" s="98" t="n"/>
      <c r="G1003" s="91" t="n"/>
      <c r="H1003" s="93" t="str">
        <f>IF(N1003=0,"",IF(NOT(ISNUMBER(F1003)),"",IF(ISNUMBER(U1003),F1003*U1003,"UNIDADE A CONFERIR")))</f>
        <v/>
      </c>
      <c r="I1003" s="94" t="str">
        <f>IF(Q1003=1,INDEX('CDFs'!$F$6:$F$505,P1003)&amp;"","")</f>
        <v/>
      </c>
      <c r="J1003" s="91" t="n"/>
      <c r="K1003" s="91" t="n"/>
      <c r="L1003" s="94" t="str">
        <f>IF(N1003=0,"",IF(NOT(ISNUMBER(F1003)),"Quantidade não informada",IF(F1003&lt;=0,"Quantidade não positiva",IF(G1003="","Unidade não informada",IF(NOT(ISNUMBER(H1003)),"Unidade a conferir",IF(AC1003=1,"REVISAR VÍNCULO: soma vinculada maior que a referência do item","OK"))))))</f>
        <v/>
      </c>
      <c r="M1003" s="94" t="str">
        <f>IF(N1003=0,"",IF(B1003="","CDF não informado",IF(Q1003=0,"REVISAR VÍNCULO: CDF inexistente",IF(C1003="","Item não informado",IF(T1003=0,"REVISAR VÍNCULO: item inexistente",IF(AND(X1003=1,J1003&lt;&gt;"Sim"),"REVISAR VÍNCULO: destinador diferente do MTR",IF(X1003=1,"Destinador diferente do MTR (analisado)","OK")))))))</f>
        <v/>
      </c>
      <c r="N1003" s="96">
        <f>IF(COUNTA(B1003:C1003,F1003:G1003,J1003:K1003)&gt;0,1,0)</f>
        <v>0</v>
      </c>
      <c r="O1003" s="96" t="str">
        <f>IF(B1003="","",TRIM(LEFT(B1003,FIND(" |",B1003&amp;" |")-1)))</f>
        <v/>
      </c>
      <c r="P1003" s="96" t="str">
        <f>IF(O1003="","",IFERROR(MATCH(O1003,'CDFs'!$A$6:$A$505,0),""))</f>
        <v/>
      </c>
      <c r="Q1003" s="96">
        <f>IF(P1003="",0,IF(INDEX('CDFs'!$S$6:$S$505,P1003)=1,1,0))</f>
        <v>0</v>
      </c>
      <c r="R1003" s="96" t="str">
        <f>IF(C1003="","",TRIM(LEFT(C1003,FIND(" |",C1003&amp;" |")-1)))</f>
        <v/>
      </c>
      <c r="S1003" s="96" t="str">
        <f>IF(R1003="","",IFERROR(MATCH(R1003,'ITENS_MTR'!$A$6:$A$1005,0),""))</f>
        <v/>
      </c>
      <c r="T1003" s="96">
        <f>IF(S1003="",0,IF(INDEX('ITENS_MTR'!$R$6:$R$1005,S1003)=1,1,0))</f>
        <v>0</v>
      </c>
      <c r="U1003" s="96" t="str">
        <f>IF(G1003="","",IFERROR(IF(ISNUMBER(INDEX(cfg_fac,MATCH(G1003,cfg_units,0))),IF(INDEX(cfg_fac,MATCH(G1003,cfg_units,0))&gt;0,INDEX(cfg_fac,MATCH(G1003,cfg_units,0)),""),""),""))</f>
        <v/>
      </c>
      <c r="V1003" s="96">
        <f>IF(AND(ISNUMBER(F1003),ISNUMBER(H1003)),IF(H1003&gt;0,1,0),0)</f>
        <v>0</v>
      </c>
      <c r="W1003" s="96" t="str">
        <f>IF(T1003=1,INDEX('ITENS_MTR'!$AU$6:$AU$1005,S1003)&amp;"","")</f>
        <v/>
      </c>
      <c r="X1003" s="96">
        <f>IF(AND(Q1003=1,T1003=1,I1003&lt;&gt;"",W1003&lt;&gt;""),IF(I1003&lt;&gt;W1003,1,0),0)</f>
        <v>0</v>
      </c>
      <c r="Y1003" s="96">
        <f>IF(N1003=0,0,IF(OR(Q1003=0,T1003=0,V1003=0,AND(X1003=1,J1003&lt;&gt;"Sim")),1,0))</f>
        <v>0</v>
      </c>
      <c r="Z1003" s="96">
        <f>IF(Q1003=1,INDEX('CDFs'!$W$6:$W$505,P1003),0)</f>
        <v>0</v>
      </c>
      <c r="AA1003" s="96">
        <f>IF(AND(N1003=1,Y1003=0,Z1003=1,J1003="Sim"),1,0)</f>
        <v>0</v>
      </c>
      <c r="AB1003" s="96">
        <f>IF(AND(N1003=1,O1003&lt;&gt;"",D1003&lt;&gt;""),IF(COUNTIFS($O$6:O1003,O1003,$D$6:D1003,D1003)=1,1,0),0)</f>
        <v>0</v>
      </c>
      <c r="AC1003" s="96">
        <f>IF(T1003=1,INDEX('ITENS_MTR'!$AL$6:$AL$1005,S1003),0)</f>
        <v>0</v>
      </c>
    </row>
    <row r="1004">
      <c r="A1004" s="89" t="inlineStr">
        <is>
          <t>VIN-000999</t>
        </is>
      </c>
      <c r="B1004" s="91" t="n"/>
      <c r="C1004" s="91" t="n"/>
      <c r="D1004" s="94" t="str">
        <f>IF(T1004=1,INDEX('ITENS_MTR'!$S$6:$S$1005,S1004)&amp;"","")</f>
        <v/>
      </c>
      <c r="E1004" s="94" t="str">
        <f>IF(T1004=1,INDEX('ITENS_MTR'!$C$6:$C$1005,S1004)&amp;"","")</f>
        <v/>
      </c>
      <c r="F1004" s="98" t="n"/>
      <c r="G1004" s="91" t="n"/>
      <c r="H1004" s="93" t="str">
        <f>IF(N1004=0,"",IF(NOT(ISNUMBER(F1004)),"",IF(ISNUMBER(U1004),F1004*U1004,"UNIDADE A CONFERIR")))</f>
        <v/>
      </c>
      <c r="I1004" s="94" t="str">
        <f>IF(Q1004=1,INDEX('CDFs'!$F$6:$F$505,P1004)&amp;"","")</f>
        <v/>
      </c>
      <c r="J1004" s="91" t="n"/>
      <c r="K1004" s="91" t="n"/>
      <c r="L1004" s="94" t="str">
        <f>IF(N1004=0,"",IF(NOT(ISNUMBER(F1004)),"Quantidade não informada",IF(F1004&lt;=0,"Quantidade não positiva",IF(G1004="","Unidade não informada",IF(NOT(ISNUMBER(H1004)),"Unidade a conferir",IF(AC1004=1,"REVISAR VÍNCULO: soma vinculada maior que a referência do item","OK"))))))</f>
        <v/>
      </c>
      <c r="M1004" s="94" t="str">
        <f>IF(N1004=0,"",IF(B1004="","CDF não informado",IF(Q1004=0,"REVISAR VÍNCULO: CDF inexistente",IF(C1004="","Item não informado",IF(T1004=0,"REVISAR VÍNCULO: item inexistente",IF(AND(X1004=1,J1004&lt;&gt;"Sim"),"REVISAR VÍNCULO: destinador diferente do MTR",IF(X1004=1,"Destinador diferente do MTR (analisado)","OK")))))))</f>
        <v/>
      </c>
      <c r="N1004" s="96">
        <f>IF(COUNTA(B1004:C1004,F1004:G1004,J1004:K1004)&gt;0,1,0)</f>
        <v>0</v>
      </c>
      <c r="O1004" s="96" t="str">
        <f>IF(B1004="","",TRIM(LEFT(B1004,FIND(" |",B1004&amp;" |")-1)))</f>
        <v/>
      </c>
      <c r="P1004" s="96" t="str">
        <f>IF(O1004="","",IFERROR(MATCH(O1004,'CDFs'!$A$6:$A$505,0),""))</f>
        <v/>
      </c>
      <c r="Q1004" s="96">
        <f>IF(P1004="",0,IF(INDEX('CDFs'!$S$6:$S$505,P1004)=1,1,0))</f>
        <v>0</v>
      </c>
      <c r="R1004" s="96" t="str">
        <f>IF(C1004="","",TRIM(LEFT(C1004,FIND(" |",C1004&amp;" |")-1)))</f>
        <v/>
      </c>
      <c r="S1004" s="96" t="str">
        <f>IF(R1004="","",IFERROR(MATCH(R1004,'ITENS_MTR'!$A$6:$A$1005,0),""))</f>
        <v/>
      </c>
      <c r="T1004" s="96">
        <f>IF(S1004="",0,IF(INDEX('ITENS_MTR'!$R$6:$R$1005,S1004)=1,1,0))</f>
        <v>0</v>
      </c>
      <c r="U1004" s="96" t="str">
        <f>IF(G1004="","",IFERROR(IF(ISNUMBER(INDEX(cfg_fac,MATCH(G1004,cfg_units,0))),IF(INDEX(cfg_fac,MATCH(G1004,cfg_units,0))&gt;0,INDEX(cfg_fac,MATCH(G1004,cfg_units,0)),""),""),""))</f>
        <v/>
      </c>
      <c r="V1004" s="96">
        <f>IF(AND(ISNUMBER(F1004),ISNUMBER(H1004)),IF(H1004&gt;0,1,0),0)</f>
        <v>0</v>
      </c>
      <c r="W1004" s="96" t="str">
        <f>IF(T1004=1,INDEX('ITENS_MTR'!$AU$6:$AU$1005,S1004)&amp;"","")</f>
        <v/>
      </c>
      <c r="X1004" s="96">
        <f>IF(AND(Q1004=1,T1004=1,I1004&lt;&gt;"",W1004&lt;&gt;""),IF(I1004&lt;&gt;W1004,1,0),0)</f>
        <v>0</v>
      </c>
      <c r="Y1004" s="96">
        <f>IF(N1004=0,0,IF(OR(Q1004=0,T1004=0,V1004=0,AND(X1004=1,J1004&lt;&gt;"Sim")),1,0))</f>
        <v>0</v>
      </c>
      <c r="Z1004" s="96">
        <f>IF(Q1004=1,INDEX('CDFs'!$W$6:$W$505,P1004),0)</f>
        <v>0</v>
      </c>
      <c r="AA1004" s="96">
        <f>IF(AND(N1004=1,Y1004=0,Z1004=1,J1004="Sim"),1,0)</f>
        <v>0</v>
      </c>
      <c r="AB1004" s="96">
        <f>IF(AND(N1004=1,O1004&lt;&gt;"",D1004&lt;&gt;""),IF(COUNTIFS($O$6:O1004,O1004,$D$6:D1004,D1004)=1,1,0),0)</f>
        <v>0</v>
      </c>
      <c r="AC1004" s="96">
        <f>IF(T1004=1,INDEX('ITENS_MTR'!$AL$6:$AL$1005,S1004),0)</f>
        <v>0</v>
      </c>
    </row>
    <row r="1005">
      <c r="A1005" s="89" t="inlineStr">
        <is>
          <t>VIN-001000</t>
        </is>
      </c>
      <c r="B1005" s="91" t="n"/>
      <c r="C1005" s="91" t="n"/>
      <c r="D1005" s="94" t="str">
        <f>IF(T1005=1,INDEX('ITENS_MTR'!$S$6:$S$1005,S1005)&amp;"","")</f>
        <v/>
      </c>
      <c r="E1005" s="94" t="str">
        <f>IF(T1005=1,INDEX('ITENS_MTR'!$C$6:$C$1005,S1005)&amp;"","")</f>
        <v/>
      </c>
      <c r="F1005" s="98" t="n"/>
      <c r="G1005" s="91" t="n"/>
      <c r="H1005" s="93" t="str">
        <f>IF(N1005=0,"",IF(NOT(ISNUMBER(F1005)),"",IF(ISNUMBER(U1005),F1005*U1005,"UNIDADE A CONFERIR")))</f>
        <v/>
      </c>
      <c r="I1005" s="94" t="str">
        <f>IF(Q1005=1,INDEX('CDFs'!$F$6:$F$505,P1005)&amp;"","")</f>
        <v/>
      </c>
      <c r="J1005" s="91" t="n"/>
      <c r="K1005" s="91" t="n"/>
      <c r="L1005" s="94" t="str">
        <f>IF(N1005=0,"",IF(NOT(ISNUMBER(F1005)),"Quantidade não informada",IF(F1005&lt;=0,"Quantidade não positiva",IF(G1005="","Unidade não informada",IF(NOT(ISNUMBER(H1005)),"Unidade a conferir",IF(AC1005=1,"REVISAR VÍNCULO: soma vinculada maior que a referência do item","OK"))))))</f>
        <v/>
      </c>
      <c r="M1005" s="94" t="str">
        <f>IF(N1005=0,"",IF(B1005="","CDF não informado",IF(Q1005=0,"REVISAR VÍNCULO: CDF inexistente",IF(C1005="","Item não informado",IF(T1005=0,"REVISAR VÍNCULO: item inexistente",IF(AND(X1005=1,J1005&lt;&gt;"Sim"),"REVISAR VÍNCULO: destinador diferente do MTR",IF(X1005=1,"Destinador diferente do MTR (analisado)","OK")))))))</f>
        <v/>
      </c>
      <c r="N1005" s="96">
        <f>IF(COUNTA(B1005:C1005,F1005:G1005,J1005:K1005)&gt;0,1,0)</f>
        <v>0</v>
      </c>
      <c r="O1005" s="96" t="str">
        <f>IF(B1005="","",TRIM(LEFT(B1005,FIND(" |",B1005&amp;" |")-1)))</f>
        <v/>
      </c>
      <c r="P1005" s="96" t="str">
        <f>IF(O1005="","",IFERROR(MATCH(O1005,'CDFs'!$A$6:$A$505,0),""))</f>
        <v/>
      </c>
      <c r="Q1005" s="96">
        <f>IF(P1005="",0,IF(INDEX('CDFs'!$S$6:$S$505,P1005)=1,1,0))</f>
        <v>0</v>
      </c>
      <c r="R1005" s="96" t="str">
        <f>IF(C1005="","",TRIM(LEFT(C1005,FIND(" |",C1005&amp;" |")-1)))</f>
        <v/>
      </c>
      <c r="S1005" s="96" t="str">
        <f>IF(R1005="","",IFERROR(MATCH(R1005,'ITENS_MTR'!$A$6:$A$1005,0),""))</f>
        <v/>
      </c>
      <c r="T1005" s="96">
        <f>IF(S1005="",0,IF(INDEX('ITENS_MTR'!$R$6:$R$1005,S1005)=1,1,0))</f>
        <v>0</v>
      </c>
      <c r="U1005" s="96" t="str">
        <f>IF(G1005="","",IFERROR(IF(ISNUMBER(INDEX(cfg_fac,MATCH(G1005,cfg_units,0))),IF(INDEX(cfg_fac,MATCH(G1005,cfg_units,0))&gt;0,INDEX(cfg_fac,MATCH(G1005,cfg_units,0)),""),""),""))</f>
        <v/>
      </c>
      <c r="V1005" s="96">
        <f>IF(AND(ISNUMBER(F1005),ISNUMBER(H1005)),IF(H1005&gt;0,1,0),0)</f>
        <v>0</v>
      </c>
      <c r="W1005" s="96" t="str">
        <f>IF(T1005=1,INDEX('ITENS_MTR'!$AU$6:$AU$1005,S1005)&amp;"","")</f>
        <v/>
      </c>
      <c r="X1005" s="96">
        <f>IF(AND(Q1005=1,T1005=1,I1005&lt;&gt;"",W1005&lt;&gt;""),IF(I1005&lt;&gt;W1005,1,0),0)</f>
        <v>0</v>
      </c>
      <c r="Y1005" s="96">
        <f>IF(N1005=0,0,IF(OR(Q1005=0,T1005=0,V1005=0,AND(X1005=1,J1005&lt;&gt;"Sim")),1,0))</f>
        <v>0</v>
      </c>
      <c r="Z1005" s="96">
        <f>IF(Q1005=1,INDEX('CDFs'!$W$6:$W$505,P1005),0)</f>
        <v>0</v>
      </c>
      <c r="AA1005" s="96">
        <f>IF(AND(N1005=1,Y1005=0,Z1005=1,J1005="Sim"),1,0)</f>
        <v>0</v>
      </c>
      <c r="AB1005" s="96">
        <f>IF(AND(N1005=1,O1005&lt;&gt;"",D1005&lt;&gt;""),IF(COUNTIFS($O$6:O1005,O1005,$D$6:D1005,D1005)=1,1,0),0)</f>
        <v>0</v>
      </c>
      <c r="AC1005" s="96">
        <f>IF(T1005=1,INDEX('ITENS_MTR'!$AL$6:$AL$1005,S1005),0)</f>
        <v>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M2"/>
    <mergeCell ref="A1:M1"/>
  </mergeCells>
  <conditionalFormatting sqref="L6:L1005">
    <cfRule type="expression" priority="1" dxfId="0" stopIfTrue="1">
      <formula>OR(ISNUMBER(SEARCH("Cancelado",L6)),ISNUMBER(SEARCH("cancelado",L6)))</formula>
    </cfRule>
    <cfRule type="expression" priority="2" dxfId="1" stopIfTrue="1">
      <formula>OR(ISNUMBER(SEARCH("revisar",L6)),ISNUMBER(SEARCH("REVISAR",L6)),ISNUMBER(SEARCH("incompleto",L6)),ISNUMBER(SEARCH("INCOMPLETO",L6)),ISNUMBER(SEARCH("inexistente",L6)),ISNUMBER(SEARCH("inválid",L6)),ISNUMBER(SEARCH("não informad",L6)),ISNUMBER(SEARCH("fora do cadastro",L6)),ISNUMBER(SEARCH("duplicidade",L6)),ISNUMBER(SEARCH("DUPLICIDADE",L6)),ISNUMBER(SEARCH("UNIDADE A CONFERIR",L6)),ISNUMBER(SEARCH("Unidade a conferir",L6)),ISNUMBER(SEARCH("sem evidência",L6)),ISNUMBER(SEARCH("anterior à emissão",L6)),ISNUMBER(SEARCH("não positiva",L6)),ISNUMBER(SEARCH("não identificado",L6)),ISNUMBER(SEARCH("Sem MTR",L6)),ISNUMBER(SEARCH("Necessita",L6)),ISNUMBER(SEARCH("incompletas",L6)),ISNUMBER(SEARCH("Nome repetido",L6)),ISNUMBER(SEARCH("Informe",L6)),ISNUMBER(SEARCH("vencida",L6)))</formula>
    </cfRule>
    <cfRule type="expression" priority="3" dxfId="2" stopIfTrue="1">
      <formula>OR(ISNUMBER(SEARCH("a conferir",L6)),ISNUMBER(SEARCH("A CONFERIR",L6)),ISNUMBER(SEARCH("Aguardando conferência",L6)),ISNUMBER(SEARCH("Localizado",L6)),ISNUMBER(SEARCH("ver diferença",L6)),ISNUMBER(SEARCH("analisado",L6)),ISNUMBER(SEARCH("Data futura",L6)),ISNUMBER(SEARCH("Não calculável",L6)))</formula>
    </cfRule>
    <cfRule type="expression" priority="4" dxfId="3" stopIfTrue="1">
      <formula>OR(ISNUMBER(SEARCH("Aguardando",L6)),ISNUMBER(SEARCH("parcial",L6)),ISNUMBER(SEARCH("Cadastrado",L6)),ISNUMBER(SEARCH("NÃO CONFIRMADO",L6)),ISNUMBER(SEARCH("NÃO LOCALIZADO",L6)),ISNUMBER(SEARCH("VÍNCULO INCOMPLETO",L6)))</formula>
    </cfRule>
    <cfRule type="expression" priority="5" dxfId="4" stopIfTrue="1">
      <formula>OR(EXACT(L6,"OK"),ISNUMBER(SEARCH("conferida",L6)),ISNUMBER(SEARCH("Conferido",L6)),ISNUMBER(SEARCH("Nenhuma",L6)))</formula>
    </cfRule>
  </conditionalFormatting>
  <conditionalFormatting sqref="M6:M1005">
    <cfRule type="expression" priority="6" dxfId="0" stopIfTrue="1">
      <formula>OR(ISNUMBER(SEARCH("Cancelado",M6)),ISNUMBER(SEARCH("cancelado",M6)))</formula>
    </cfRule>
    <cfRule type="expression" priority="7" dxfId="1" stopIfTrue="1">
      <formula>OR(ISNUMBER(SEARCH("revisar",M6)),ISNUMBER(SEARCH("REVISAR",M6)),ISNUMBER(SEARCH("incompleto",M6)),ISNUMBER(SEARCH("INCOMPLETO",M6)),ISNUMBER(SEARCH("inexistente",M6)),ISNUMBER(SEARCH("inválid",M6)),ISNUMBER(SEARCH("não informad",M6)),ISNUMBER(SEARCH("fora do cadastro",M6)),ISNUMBER(SEARCH("duplicidade",M6)),ISNUMBER(SEARCH("DUPLICIDADE",M6)),ISNUMBER(SEARCH("UNIDADE A CONFERIR",M6)),ISNUMBER(SEARCH("Unidade a conferir",M6)),ISNUMBER(SEARCH("sem evidência",M6)),ISNUMBER(SEARCH("anterior à emissão",M6)),ISNUMBER(SEARCH("não positiva",M6)),ISNUMBER(SEARCH("não identificado",M6)),ISNUMBER(SEARCH("Sem MTR",M6)),ISNUMBER(SEARCH("Necessita",M6)),ISNUMBER(SEARCH("incompletas",M6)),ISNUMBER(SEARCH("Nome repetido",M6)),ISNUMBER(SEARCH("Informe",M6)),ISNUMBER(SEARCH("vencida",M6)))</formula>
    </cfRule>
    <cfRule type="expression" priority="8" dxfId="2" stopIfTrue="1">
      <formula>OR(ISNUMBER(SEARCH("a conferir",M6)),ISNUMBER(SEARCH("A CONFERIR",M6)),ISNUMBER(SEARCH("Aguardando conferência",M6)),ISNUMBER(SEARCH("Localizado",M6)),ISNUMBER(SEARCH("ver diferença",M6)),ISNUMBER(SEARCH("analisado",M6)),ISNUMBER(SEARCH("Data futura",M6)),ISNUMBER(SEARCH("Não calculável",M6)))</formula>
    </cfRule>
    <cfRule type="expression" priority="9" dxfId="3" stopIfTrue="1">
      <formula>OR(ISNUMBER(SEARCH("Aguardando",M6)),ISNUMBER(SEARCH("parcial",M6)),ISNUMBER(SEARCH("Cadastrado",M6)),ISNUMBER(SEARCH("NÃO CONFIRMADO",M6)),ISNUMBER(SEARCH("NÃO LOCALIZADO",M6)),ISNUMBER(SEARCH("VÍNCULO INCOMPLETO",M6)))</formula>
    </cfRule>
    <cfRule type="expression" priority="10" dxfId="4" stopIfTrue="1">
      <formula>OR(EXACT(M6,"OK"),ISNUMBER(SEARCH("conferida",M6)),ISNUMBER(SEARCH("Conferido",M6)),ISNUMBER(SEARCH("Nenhuma",M6)))</formula>
    </cfRule>
  </conditionalFormatting>
  <conditionalFormatting sqref="B6:B1005 C6:C1005 F6:F1005 G6:G1005 J6:J1005 K6:K1005">
    <cfRule type="expression" priority="11" dxfId="5">
      <formula>MOD(ROW(),2)=0</formula>
    </cfRule>
  </conditionalFormatting>
  <conditionalFormatting sqref="D6:D1005 E6:E1005 H6:H1005 I6:I1005 L6:L1005 M6:M1005">
    <cfRule type="expression" priority="12" dxfId="6">
      <formula>MOD(ROW(),2)=0</formula>
    </cfRule>
  </conditionalFormatting>
  <dataValidations count="5">
    <dataValidation sqref="B6:B1005" showDropDown="0" showInputMessage="0" showErrorMessage="1" allowBlank="1" errorTitle="Valor fora da lista" error="Valor fora da lista. Confira o cadastro ou ajuste a lista em CONFIGURAÇÕES." type="list" errorStyle="warning">
      <formula1>=lst_cdf</formula1>
    </dataValidation>
    <dataValidation sqref="C6:C1005" showDropDown="0" showInputMessage="0" showErrorMessage="1" allowBlank="1" errorTitle="Valor fora da lista" error="Valor fora da lista. Confira o cadastro ou ajuste a lista em CONFIGURAÇÕES." type="list" errorStyle="warning">
      <formula1>=lst_itens</formula1>
    </dataValidation>
    <dataValidation sqref="F6:F1005" showDropDown="0" showInputMessage="0" showErrorMessage="1" allowBlank="1" errorTitle="Quantidade" error="A quantidade deve ser um número maior que zero." type="decimal" errorStyle="warning" operator="greaterThan">
      <formula1>0</formula1>
    </dataValidation>
    <dataValidation sqref="G6:G1005" showDropDown="0" showInputMessage="0" showErrorMessage="1" allowBlank="1" errorTitle="Valor fora da lista" error="Valor fora da lista. Confira o cadastro ou ajuste a lista em CONFIGURAÇÕES." type="list" errorStyle="warning">
      <formula1>=lst_un</formula1>
    </dataValidation>
    <dataValidation sqref="J6:J1005" showDropDown="0" showInputMessage="0" showErrorMessage="1" allowBlank="1" errorTitle="Valor fora da lista" error="Valor fora da lista. Confira o cadastro ou ajuste a lista em CONFIGURAÇÕES." type="list" errorStyle="warning">
      <formula1>=lst_simnao</formula1>
    </dataValidation>
  </dataValidations>
  <hyperlinks>
    <hyperlink ref="A3" location="'INÍCIO'!A1"/>
    <hyperlink ref="B3" location="'PAINEL'!A1"/>
    <hyperlink ref="C3" location="'PENDÊNCIAS'!A1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E8892B"/>
    <outlinePr summaryBelow="1" summaryRight="1"/>
    <pageSetUpPr fitToPage="1"/>
  </sheetPr>
  <dimension ref="B1:M510"/>
  <sheetViews>
    <sheetView showGridLines="0" zoomScale="90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17" customWidth="1" min="3" max="3"/>
    <col width="22" customWidth="1" min="4" max="4"/>
    <col width="24" customWidth="1" min="5" max="5"/>
    <col width="24" customWidth="1" min="6" max="6"/>
    <col width="26" customWidth="1" min="7" max="7"/>
    <col width="13" customWidth="1" min="8" max="8"/>
    <col width="12" customWidth="1" min="9" max="9"/>
    <col width="11" customWidth="1" min="10" max="10"/>
    <col width="46" customWidth="1" min="11" max="11"/>
    <col width="46" customWidth="1" min="12" max="12"/>
    <col hidden="1" width="6" customWidth="1" min="13" max="13"/>
  </cols>
  <sheetData>
    <row r="1" ht="36" customHeight="1">
      <c r="B1" s="101" t="inlineStr">
        <is>
          <t>CENTRAL DE PENDÊNCIAS DOCUMENTAIS</t>
        </is>
      </c>
      <c r="C1" s="101" t="n"/>
      <c r="D1" s="101" t="n"/>
      <c r="E1" s="101" t="n"/>
      <c r="F1" s="101" t="n"/>
      <c r="G1" s="101" t="n"/>
      <c r="H1" s="101" t="n"/>
      <c r="I1" s="101" t="n"/>
      <c r="J1" s="101" t="n"/>
      <c r="K1" s="101" t="n"/>
      <c r="L1" s="101" t="n"/>
    </row>
    <row r="2">
      <c r="B2" s="33" t="inlineStr">
        <is>
          <t>Identifique rapidamente os registros que precisam de atenção.</t>
        </is>
      </c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</row>
    <row r="3">
      <c r="B3" s="35" t="inlineStr">
        <is>
          <t>◀ INÍCIO</t>
        </is>
      </c>
      <c r="C3" s="35" t="inlineStr">
        <is>
          <t>PAINEL</t>
        </is>
      </c>
      <c r="D3" s="35" t="inlineStr">
        <is>
          <t>MTRs</t>
        </is>
      </c>
    </row>
    <row r="5" ht="30" customHeight="1">
      <c r="B5" s="44" t="inlineStr">
        <is>
          <t>Aguardando recebimento</t>
        </is>
      </c>
      <c r="C5" s="44" t="n"/>
      <c r="D5" s="46" t="inlineStr">
        <is>
          <t>Aguardando CDF</t>
        </is>
      </c>
      <c r="E5" s="47" t="inlineStr">
        <is>
          <t>Informações incompletas</t>
        </is>
      </c>
      <c r="F5" s="47" t="inlineStr">
        <is>
          <t>Divergências a investigar</t>
        </is>
      </c>
      <c r="G5" s="43" t="inlineStr">
        <is>
          <t>Acima do período interno</t>
        </is>
      </c>
      <c r="H5" s="102" t="str">
        <f>"Registros sem referência válida (não entram na lista abaixo): itens sem MTR válido "&amp;COUNTIFS('ITENS_MTR'!$R$6:$R$1005,1,'ITENS_MTR'!$U$6:$U$1005,0)&amp;" | recebimentos "&amp;COUNTIFS('RECEBIMENTOS'!$Q$6:$Q$1005,1,'RECEBIMENTOS'!$T$6:$T$1005,0)&amp;" | vínculos "&amp;(COUNTIFS('VÍNCULOS_CDF'!$N$6:$N$1005,1,'VÍNCULOS_CDF'!$Q$6:$Q$1005,0)+COUNTIFS('VÍNCULOS_CDF'!$N$6:$N$1005,1,'VÍNCULOS_CDF'!$Q$6:$Q$1005,1,'VÍNCULOS_CDF'!$T$6:$T$1005,0))&amp;". Confira as colunas de alerta nas abas ITENS_MTR, RECEBIMENTOS e VÍNCULOS_CDF."</f>
        <v>Registros sem referência válida (não entram na lista abaixo): itens sem MTR válido 0 | recebimentos 0 | vínculos 0. Confira as colunas de alerta nas abas ITENS_MTR, RECEBIMENTOS e VÍNCULOS_CDF.</v>
      </c>
      <c r="I5" s="102" t="n"/>
      <c r="J5" s="102" t="n"/>
      <c r="K5" s="102" t="n"/>
      <c r="L5" s="102" t="n"/>
    </row>
    <row r="6" ht="36" customHeight="1">
      <c r="B6" s="103">
        <f>COUNTIF('MTRs'!$T$6:$T$505,"RECEBIMENTO NÃO CONFIRMADO")</f>
        <v>0</v>
      </c>
      <c r="C6" s="103" t="n"/>
      <c r="D6" s="104">
        <f>COUNTIF('MTRs'!$T$6:$T$505,"CDF NÃO LOCALIZADO")+COUNTIF('MTRs'!$T$6:$T$505,"VÍNCULO INCOMPLETO")+COUNTIF('MTRs'!$T$6:$T$505,"CDF A CONFERIR")</f>
        <v>0</v>
      </c>
      <c r="E6" s="105">
        <f>COUNTIF('MTRs'!$T$6:$T$505,"MTR INCOMPLETO")</f>
        <v>0</v>
      </c>
      <c r="F6" s="105">
        <f>COUNTIF('MTRs'!$T$6:$T$505,"QUANTIDADE A REVISAR")+COUNTIF('MTRs'!$T$6:$T$505,"IDENTIFICAÇÃO A REVISAR")</f>
        <v>0</v>
      </c>
      <c r="G6" s="106">
        <f>COUNTIF('MTRs'!$AR$6:$AR$505,1)</f>
        <v>0</v>
      </c>
      <c r="H6" s="102" t="n"/>
      <c r="I6" s="102" t="n"/>
      <c r="J6" s="102" t="n"/>
      <c r="K6" s="102" t="n"/>
      <c r="L6" s="102" t="n"/>
    </row>
    <row r="8">
      <c r="B8" s="25" t="inlineStr">
        <is>
          <t>Prioridade é um critério operacional interno. Pendências e diferenças internas não constituem, por si só, infrações. Use a lista para decidir o que conferir primeiro.</t>
        </is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</row>
    <row r="10" ht="40" customHeight="1">
      <c r="B10" s="107" t="inlineStr">
        <is>
          <t>ID do MTR</t>
        </is>
      </c>
      <c r="C10" s="107" t="inlineStr">
        <is>
          <t>Número oficial do MTR</t>
        </is>
      </c>
      <c r="D10" s="107" t="inlineStr">
        <is>
          <t>Unidade geradora</t>
        </is>
      </c>
      <c r="E10" s="107" t="inlineStr">
        <is>
          <t>Transportador</t>
        </is>
      </c>
      <c r="F10" s="107" t="inlineStr">
        <is>
          <t>Destinador</t>
        </is>
      </c>
      <c r="G10" s="107" t="inlineStr">
        <is>
          <t>Tipo de pendência</t>
        </is>
      </c>
      <c r="H10" s="107" t="inlineStr">
        <is>
          <t>Data de referência</t>
        </is>
      </c>
      <c r="I10" s="107" t="inlineStr">
        <is>
          <t>Dias em acompanhamento</t>
        </is>
      </c>
      <c r="J10" s="107" t="inlineStr">
        <is>
          <t>Prioridade interna</t>
        </is>
      </c>
      <c r="K10" s="107" t="inlineStr">
        <is>
          <t>Próxima providência sugerida</t>
        </is>
      </c>
      <c r="L10" s="107" t="inlineStr">
        <is>
          <t>Observações (todas as pendências do MTR)</t>
        </is>
      </c>
      <c r="M10" t="inlineStr">
        <is>
          <t>aux linha</t>
        </is>
      </c>
    </row>
    <row r="11" ht="30" customHeight="1">
      <c r="B11" s="108" t="str">
        <f>IF($M11="","",INDEX('MTRs'!$A$6:$A$505,$M11)&amp;"")</f>
        <v/>
      </c>
      <c r="C11" s="109" t="str">
        <f>IF($M11="","",INDEX('MTRs'!$B$6:$B$505,$M11)&amp;"")</f>
        <v/>
      </c>
      <c r="D11" s="110" t="str">
        <f>IF($M11="","",INDEX('MTRs'!$G$6:$G$505,$M11)&amp;"")</f>
        <v/>
      </c>
      <c r="E11" s="110" t="str">
        <f>IF($M11="","",INDEX('MTRs'!$H$6:$H$505,$M11)&amp;"")</f>
        <v/>
      </c>
      <c r="F11" s="110" t="str">
        <f>IF($M11="","",INDEX('MTRs'!$I$6:$I$505,$M11)&amp;"")</f>
        <v/>
      </c>
      <c r="G11" s="110" t="str">
        <f>IF($M11="","",INDEX('MTRs'!$T$6:$T$505,$M11)&amp;"")</f>
        <v/>
      </c>
      <c r="H11" s="111" t="str">
        <f>IF($M11="","",INDEX('MTRs'!$AQ$6:$AQ$505,$M11))</f>
        <v/>
      </c>
      <c r="I11" s="112" t="str">
        <f>IF($M11="","",INDEX('MTRs'!$U$6:$U$505,$M11))</f>
        <v/>
      </c>
      <c r="J11" s="113" t="str">
        <f>IF($M11="","",INDEX('MTRs'!$AS$6:$AS$505,$M11)&amp;"")</f>
        <v/>
      </c>
      <c r="K11" s="110" t="str">
        <f>IF($M11="","",INDEX('MTRs'!$AT$6:$AT$505,$M11)&amp;"")</f>
        <v/>
      </c>
      <c r="L11" s="110" t="str">
        <f>IF($M11="","",INDEX('MTRs'!$Y$6:$Y$505,$M11)&amp;"")</f>
        <v/>
      </c>
      <c r="M11" t="str">
        <f>IFERROR(MATCH(SMALL('MTRs'!$AU$6:$AU$505,1),'MTRs'!$AU$6:$AU$505,0),"")</f>
        <v/>
      </c>
    </row>
    <row r="12" ht="30" customHeight="1">
      <c r="B12" s="108" t="str">
        <f>IF($M12="","",INDEX('MTRs'!$A$6:$A$505,$M12)&amp;"")</f>
        <v/>
      </c>
      <c r="C12" s="109" t="str">
        <f>IF($M12="","",INDEX('MTRs'!$B$6:$B$505,$M12)&amp;"")</f>
        <v/>
      </c>
      <c r="D12" s="110" t="str">
        <f>IF($M12="","",INDEX('MTRs'!$G$6:$G$505,$M12)&amp;"")</f>
        <v/>
      </c>
      <c r="E12" s="110" t="str">
        <f>IF($M12="","",INDEX('MTRs'!$H$6:$H$505,$M12)&amp;"")</f>
        <v/>
      </c>
      <c r="F12" s="110" t="str">
        <f>IF($M12="","",INDEX('MTRs'!$I$6:$I$505,$M12)&amp;"")</f>
        <v/>
      </c>
      <c r="G12" s="110" t="str">
        <f>IF($M12="","",INDEX('MTRs'!$T$6:$T$505,$M12)&amp;"")</f>
        <v/>
      </c>
      <c r="H12" s="111" t="str">
        <f>IF($M12="","",INDEX('MTRs'!$AQ$6:$AQ$505,$M12))</f>
        <v/>
      </c>
      <c r="I12" s="112" t="str">
        <f>IF($M12="","",INDEX('MTRs'!$U$6:$U$505,$M12))</f>
        <v/>
      </c>
      <c r="J12" s="113" t="str">
        <f>IF($M12="","",INDEX('MTRs'!$AS$6:$AS$505,$M12)&amp;"")</f>
        <v/>
      </c>
      <c r="K12" s="110" t="str">
        <f>IF($M12="","",INDEX('MTRs'!$AT$6:$AT$505,$M12)&amp;"")</f>
        <v/>
      </c>
      <c r="L12" s="110" t="str">
        <f>IF($M12="","",INDEX('MTRs'!$Y$6:$Y$505,$M12)&amp;"")</f>
        <v/>
      </c>
      <c r="M12" t="str">
        <f>IFERROR(MATCH(SMALL('MTRs'!$AU$6:$AU$505,2),'MTRs'!$AU$6:$AU$505,0),"")</f>
        <v/>
      </c>
    </row>
    <row r="13" ht="30" customHeight="1">
      <c r="B13" s="108" t="str">
        <f>IF($M13="","",INDEX('MTRs'!$A$6:$A$505,$M13)&amp;"")</f>
        <v/>
      </c>
      <c r="C13" s="109" t="str">
        <f>IF($M13="","",INDEX('MTRs'!$B$6:$B$505,$M13)&amp;"")</f>
        <v/>
      </c>
      <c r="D13" s="110" t="str">
        <f>IF($M13="","",INDEX('MTRs'!$G$6:$G$505,$M13)&amp;"")</f>
        <v/>
      </c>
      <c r="E13" s="110" t="str">
        <f>IF($M13="","",INDEX('MTRs'!$H$6:$H$505,$M13)&amp;"")</f>
        <v/>
      </c>
      <c r="F13" s="110" t="str">
        <f>IF($M13="","",INDEX('MTRs'!$I$6:$I$505,$M13)&amp;"")</f>
        <v/>
      </c>
      <c r="G13" s="110" t="str">
        <f>IF($M13="","",INDEX('MTRs'!$T$6:$T$505,$M13)&amp;"")</f>
        <v/>
      </c>
      <c r="H13" s="111" t="str">
        <f>IF($M13="","",INDEX('MTRs'!$AQ$6:$AQ$505,$M13))</f>
        <v/>
      </c>
      <c r="I13" s="112" t="str">
        <f>IF($M13="","",INDEX('MTRs'!$U$6:$U$505,$M13))</f>
        <v/>
      </c>
      <c r="J13" s="113" t="str">
        <f>IF($M13="","",INDEX('MTRs'!$AS$6:$AS$505,$M13)&amp;"")</f>
        <v/>
      </c>
      <c r="K13" s="110" t="str">
        <f>IF($M13="","",INDEX('MTRs'!$AT$6:$AT$505,$M13)&amp;"")</f>
        <v/>
      </c>
      <c r="L13" s="110" t="str">
        <f>IF($M13="","",INDEX('MTRs'!$Y$6:$Y$505,$M13)&amp;"")</f>
        <v/>
      </c>
      <c r="M13" t="str">
        <f>IFERROR(MATCH(SMALL('MTRs'!$AU$6:$AU$505,3),'MTRs'!$AU$6:$AU$505,0),"")</f>
        <v/>
      </c>
    </row>
    <row r="14" ht="30" customHeight="1">
      <c r="B14" s="108" t="str">
        <f>IF($M14="","",INDEX('MTRs'!$A$6:$A$505,$M14)&amp;"")</f>
        <v/>
      </c>
      <c r="C14" s="109" t="str">
        <f>IF($M14="","",INDEX('MTRs'!$B$6:$B$505,$M14)&amp;"")</f>
        <v/>
      </c>
      <c r="D14" s="110" t="str">
        <f>IF($M14="","",INDEX('MTRs'!$G$6:$G$505,$M14)&amp;"")</f>
        <v/>
      </c>
      <c r="E14" s="110" t="str">
        <f>IF($M14="","",INDEX('MTRs'!$H$6:$H$505,$M14)&amp;"")</f>
        <v/>
      </c>
      <c r="F14" s="110" t="str">
        <f>IF($M14="","",INDEX('MTRs'!$I$6:$I$505,$M14)&amp;"")</f>
        <v/>
      </c>
      <c r="G14" s="110" t="str">
        <f>IF($M14="","",INDEX('MTRs'!$T$6:$T$505,$M14)&amp;"")</f>
        <v/>
      </c>
      <c r="H14" s="111" t="str">
        <f>IF($M14="","",INDEX('MTRs'!$AQ$6:$AQ$505,$M14))</f>
        <v/>
      </c>
      <c r="I14" s="112" t="str">
        <f>IF($M14="","",INDEX('MTRs'!$U$6:$U$505,$M14))</f>
        <v/>
      </c>
      <c r="J14" s="113" t="str">
        <f>IF($M14="","",INDEX('MTRs'!$AS$6:$AS$505,$M14)&amp;"")</f>
        <v/>
      </c>
      <c r="K14" s="110" t="str">
        <f>IF($M14="","",INDEX('MTRs'!$AT$6:$AT$505,$M14)&amp;"")</f>
        <v/>
      </c>
      <c r="L14" s="110" t="str">
        <f>IF($M14="","",INDEX('MTRs'!$Y$6:$Y$505,$M14)&amp;"")</f>
        <v/>
      </c>
      <c r="M14" t="str">
        <f>IFERROR(MATCH(SMALL('MTRs'!$AU$6:$AU$505,4),'MTRs'!$AU$6:$AU$505,0),"")</f>
        <v/>
      </c>
    </row>
    <row r="15" ht="30" customHeight="1">
      <c r="B15" s="108" t="str">
        <f>IF($M15="","",INDEX('MTRs'!$A$6:$A$505,$M15)&amp;"")</f>
        <v/>
      </c>
      <c r="C15" s="109" t="str">
        <f>IF($M15="","",INDEX('MTRs'!$B$6:$B$505,$M15)&amp;"")</f>
        <v/>
      </c>
      <c r="D15" s="110" t="str">
        <f>IF($M15="","",INDEX('MTRs'!$G$6:$G$505,$M15)&amp;"")</f>
        <v/>
      </c>
      <c r="E15" s="110" t="str">
        <f>IF($M15="","",INDEX('MTRs'!$H$6:$H$505,$M15)&amp;"")</f>
        <v/>
      </c>
      <c r="F15" s="110" t="str">
        <f>IF($M15="","",INDEX('MTRs'!$I$6:$I$505,$M15)&amp;"")</f>
        <v/>
      </c>
      <c r="G15" s="110" t="str">
        <f>IF($M15="","",INDEX('MTRs'!$T$6:$T$505,$M15)&amp;"")</f>
        <v/>
      </c>
      <c r="H15" s="111" t="str">
        <f>IF($M15="","",INDEX('MTRs'!$AQ$6:$AQ$505,$M15))</f>
        <v/>
      </c>
      <c r="I15" s="112" t="str">
        <f>IF($M15="","",INDEX('MTRs'!$U$6:$U$505,$M15))</f>
        <v/>
      </c>
      <c r="J15" s="113" t="str">
        <f>IF($M15="","",INDEX('MTRs'!$AS$6:$AS$505,$M15)&amp;"")</f>
        <v/>
      </c>
      <c r="K15" s="110" t="str">
        <f>IF($M15="","",INDEX('MTRs'!$AT$6:$AT$505,$M15)&amp;"")</f>
        <v/>
      </c>
      <c r="L15" s="110" t="str">
        <f>IF($M15="","",INDEX('MTRs'!$Y$6:$Y$505,$M15)&amp;"")</f>
        <v/>
      </c>
      <c r="M15" t="str">
        <f>IFERROR(MATCH(SMALL('MTRs'!$AU$6:$AU$505,5),'MTRs'!$AU$6:$AU$505,0),"")</f>
        <v/>
      </c>
    </row>
    <row r="16" ht="30" customHeight="1">
      <c r="B16" s="108" t="str">
        <f>IF($M16="","",INDEX('MTRs'!$A$6:$A$505,$M16)&amp;"")</f>
        <v/>
      </c>
      <c r="C16" s="109" t="str">
        <f>IF($M16="","",INDEX('MTRs'!$B$6:$B$505,$M16)&amp;"")</f>
        <v/>
      </c>
      <c r="D16" s="110" t="str">
        <f>IF($M16="","",INDEX('MTRs'!$G$6:$G$505,$M16)&amp;"")</f>
        <v/>
      </c>
      <c r="E16" s="110" t="str">
        <f>IF($M16="","",INDEX('MTRs'!$H$6:$H$505,$M16)&amp;"")</f>
        <v/>
      </c>
      <c r="F16" s="110" t="str">
        <f>IF($M16="","",INDEX('MTRs'!$I$6:$I$505,$M16)&amp;"")</f>
        <v/>
      </c>
      <c r="G16" s="110" t="str">
        <f>IF($M16="","",INDEX('MTRs'!$T$6:$T$505,$M16)&amp;"")</f>
        <v/>
      </c>
      <c r="H16" s="111" t="str">
        <f>IF($M16="","",INDEX('MTRs'!$AQ$6:$AQ$505,$M16))</f>
        <v/>
      </c>
      <c r="I16" s="112" t="str">
        <f>IF($M16="","",INDEX('MTRs'!$U$6:$U$505,$M16))</f>
        <v/>
      </c>
      <c r="J16" s="113" t="str">
        <f>IF($M16="","",INDEX('MTRs'!$AS$6:$AS$505,$M16)&amp;"")</f>
        <v/>
      </c>
      <c r="K16" s="110" t="str">
        <f>IF($M16="","",INDEX('MTRs'!$AT$6:$AT$505,$M16)&amp;"")</f>
        <v/>
      </c>
      <c r="L16" s="110" t="str">
        <f>IF($M16="","",INDEX('MTRs'!$Y$6:$Y$505,$M16)&amp;"")</f>
        <v/>
      </c>
      <c r="M16" t="str">
        <f>IFERROR(MATCH(SMALL('MTRs'!$AU$6:$AU$505,6),'MTRs'!$AU$6:$AU$505,0),"")</f>
        <v/>
      </c>
    </row>
    <row r="17" ht="30" customHeight="1">
      <c r="B17" s="108" t="str">
        <f>IF($M17="","",INDEX('MTRs'!$A$6:$A$505,$M17)&amp;"")</f>
        <v/>
      </c>
      <c r="C17" s="109" t="str">
        <f>IF($M17="","",INDEX('MTRs'!$B$6:$B$505,$M17)&amp;"")</f>
        <v/>
      </c>
      <c r="D17" s="110" t="str">
        <f>IF($M17="","",INDEX('MTRs'!$G$6:$G$505,$M17)&amp;"")</f>
        <v/>
      </c>
      <c r="E17" s="110" t="str">
        <f>IF($M17="","",INDEX('MTRs'!$H$6:$H$505,$M17)&amp;"")</f>
        <v/>
      </c>
      <c r="F17" s="110" t="str">
        <f>IF($M17="","",INDEX('MTRs'!$I$6:$I$505,$M17)&amp;"")</f>
        <v/>
      </c>
      <c r="G17" s="110" t="str">
        <f>IF($M17="","",INDEX('MTRs'!$T$6:$T$505,$M17)&amp;"")</f>
        <v/>
      </c>
      <c r="H17" s="111" t="str">
        <f>IF($M17="","",INDEX('MTRs'!$AQ$6:$AQ$505,$M17))</f>
        <v/>
      </c>
      <c r="I17" s="112" t="str">
        <f>IF($M17="","",INDEX('MTRs'!$U$6:$U$505,$M17))</f>
        <v/>
      </c>
      <c r="J17" s="113" t="str">
        <f>IF($M17="","",INDEX('MTRs'!$AS$6:$AS$505,$M17)&amp;"")</f>
        <v/>
      </c>
      <c r="K17" s="110" t="str">
        <f>IF($M17="","",INDEX('MTRs'!$AT$6:$AT$505,$M17)&amp;"")</f>
        <v/>
      </c>
      <c r="L17" s="110" t="str">
        <f>IF($M17="","",INDEX('MTRs'!$Y$6:$Y$505,$M17)&amp;"")</f>
        <v/>
      </c>
      <c r="M17" t="str">
        <f>IFERROR(MATCH(SMALL('MTRs'!$AU$6:$AU$505,7),'MTRs'!$AU$6:$AU$505,0),"")</f>
        <v/>
      </c>
    </row>
    <row r="18" ht="30" customHeight="1">
      <c r="B18" s="108" t="str">
        <f>IF($M18="","",INDEX('MTRs'!$A$6:$A$505,$M18)&amp;"")</f>
        <v/>
      </c>
      <c r="C18" s="109" t="str">
        <f>IF($M18="","",INDEX('MTRs'!$B$6:$B$505,$M18)&amp;"")</f>
        <v/>
      </c>
      <c r="D18" s="110" t="str">
        <f>IF($M18="","",INDEX('MTRs'!$G$6:$G$505,$M18)&amp;"")</f>
        <v/>
      </c>
      <c r="E18" s="110" t="str">
        <f>IF($M18="","",INDEX('MTRs'!$H$6:$H$505,$M18)&amp;"")</f>
        <v/>
      </c>
      <c r="F18" s="110" t="str">
        <f>IF($M18="","",INDEX('MTRs'!$I$6:$I$505,$M18)&amp;"")</f>
        <v/>
      </c>
      <c r="G18" s="110" t="str">
        <f>IF($M18="","",INDEX('MTRs'!$T$6:$T$505,$M18)&amp;"")</f>
        <v/>
      </c>
      <c r="H18" s="111" t="str">
        <f>IF($M18="","",INDEX('MTRs'!$AQ$6:$AQ$505,$M18))</f>
        <v/>
      </c>
      <c r="I18" s="112" t="str">
        <f>IF($M18="","",INDEX('MTRs'!$U$6:$U$505,$M18))</f>
        <v/>
      </c>
      <c r="J18" s="113" t="str">
        <f>IF($M18="","",INDEX('MTRs'!$AS$6:$AS$505,$M18)&amp;"")</f>
        <v/>
      </c>
      <c r="K18" s="110" t="str">
        <f>IF($M18="","",INDEX('MTRs'!$AT$6:$AT$505,$M18)&amp;"")</f>
        <v/>
      </c>
      <c r="L18" s="110" t="str">
        <f>IF($M18="","",INDEX('MTRs'!$Y$6:$Y$505,$M18)&amp;"")</f>
        <v/>
      </c>
      <c r="M18" t="str">
        <f>IFERROR(MATCH(SMALL('MTRs'!$AU$6:$AU$505,8),'MTRs'!$AU$6:$AU$505,0),"")</f>
        <v/>
      </c>
    </row>
    <row r="19" ht="30" customHeight="1">
      <c r="B19" s="108" t="str">
        <f>IF($M19="","",INDEX('MTRs'!$A$6:$A$505,$M19)&amp;"")</f>
        <v/>
      </c>
      <c r="C19" s="109" t="str">
        <f>IF($M19="","",INDEX('MTRs'!$B$6:$B$505,$M19)&amp;"")</f>
        <v/>
      </c>
      <c r="D19" s="110" t="str">
        <f>IF($M19="","",INDEX('MTRs'!$G$6:$G$505,$M19)&amp;"")</f>
        <v/>
      </c>
      <c r="E19" s="110" t="str">
        <f>IF($M19="","",INDEX('MTRs'!$H$6:$H$505,$M19)&amp;"")</f>
        <v/>
      </c>
      <c r="F19" s="110" t="str">
        <f>IF($M19="","",INDEX('MTRs'!$I$6:$I$505,$M19)&amp;"")</f>
        <v/>
      </c>
      <c r="G19" s="110" t="str">
        <f>IF($M19="","",INDEX('MTRs'!$T$6:$T$505,$M19)&amp;"")</f>
        <v/>
      </c>
      <c r="H19" s="111" t="str">
        <f>IF($M19="","",INDEX('MTRs'!$AQ$6:$AQ$505,$M19))</f>
        <v/>
      </c>
      <c r="I19" s="112" t="str">
        <f>IF($M19="","",INDEX('MTRs'!$U$6:$U$505,$M19))</f>
        <v/>
      </c>
      <c r="J19" s="113" t="str">
        <f>IF($M19="","",INDEX('MTRs'!$AS$6:$AS$505,$M19)&amp;"")</f>
        <v/>
      </c>
      <c r="K19" s="110" t="str">
        <f>IF($M19="","",INDEX('MTRs'!$AT$6:$AT$505,$M19)&amp;"")</f>
        <v/>
      </c>
      <c r="L19" s="110" t="str">
        <f>IF($M19="","",INDEX('MTRs'!$Y$6:$Y$505,$M19)&amp;"")</f>
        <v/>
      </c>
      <c r="M19" t="str">
        <f>IFERROR(MATCH(SMALL('MTRs'!$AU$6:$AU$505,9),'MTRs'!$AU$6:$AU$505,0),"")</f>
        <v/>
      </c>
    </row>
    <row r="20" ht="30" customHeight="1">
      <c r="B20" s="108" t="str">
        <f>IF($M20="","",INDEX('MTRs'!$A$6:$A$505,$M20)&amp;"")</f>
        <v/>
      </c>
      <c r="C20" s="109" t="str">
        <f>IF($M20="","",INDEX('MTRs'!$B$6:$B$505,$M20)&amp;"")</f>
        <v/>
      </c>
      <c r="D20" s="110" t="str">
        <f>IF($M20="","",INDEX('MTRs'!$G$6:$G$505,$M20)&amp;"")</f>
        <v/>
      </c>
      <c r="E20" s="110" t="str">
        <f>IF($M20="","",INDEX('MTRs'!$H$6:$H$505,$M20)&amp;"")</f>
        <v/>
      </c>
      <c r="F20" s="110" t="str">
        <f>IF($M20="","",INDEX('MTRs'!$I$6:$I$505,$M20)&amp;"")</f>
        <v/>
      </c>
      <c r="G20" s="110" t="str">
        <f>IF($M20="","",INDEX('MTRs'!$T$6:$T$505,$M20)&amp;"")</f>
        <v/>
      </c>
      <c r="H20" s="111" t="str">
        <f>IF($M20="","",INDEX('MTRs'!$AQ$6:$AQ$505,$M20))</f>
        <v/>
      </c>
      <c r="I20" s="112" t="str">
        <f>IF($M20="","",INDEX('MTRs'!$U$6:$U$505,$M20))</f>
        <v/>
      </c>
      <c r="J20" s="113" t="str">
        <f>IF($M20="","",INDEX('MTRs'!$AS$6:$AS$505,$M20)&amp;"")</f>
        <v/>
      </c>
      <c r="K20" s="110" t="str">
        <f>IF($M20="","",INDEX('MTRs'!$AT$6:$AT$505,$M20)&amp;"")</f>
        <v/>
      </c>
      <c r="L20" s="110" t="str">
        <f>IF($M20="","",INDEX('MTRs'!$Y$6:$Y$505,$M20)&amp;"")</f>
        <v/>
      </c>
      <c r="M20" t="str">
        <f>IFERROR(MATCH(SMALL('MTRs'!$AU$6:$AU$505,10),'MTRs'!$AU$6:$AU$505,0),"")</f>
        <v/>
      </c>
    </row>
    <row r="21" ht="30" customHeight="1">
      <c r="B21" s="108" t="str">
        <f>IF($M21="","",INDEX('MTRs'!$A$6:$A$505,$M21)&amp;"")</f>
        <v/>
      </c>
      <c r="C21" s="109" t="str">
        <f>IF($M21="","",INDEX('MTRs'!$B$6:$B$505,$M21)&amp;"")</f>
        <v/>
      </c>
      <c r="D21" s="110" t="str">
        <f>IF($M21="","",INDEX('MTRs'!$G$6:$G$505,$M21)&amp;"")</f>
        <v/>
      </c>
      <c r="E21" s="110" t="str">
        <f>IF($M21="","",INDEX('MTRs'!$H$6:$H$505,$M21)&amp;"")</f>
        <v/>
      </c>
      <c r="F21" s="110" t="str">
        <f>IF($M21="","",INDEX('MTRs'!$I$6:$I$505,$M21)&amp;"")</f>
        <v/>
      </c>
      <c r="G21" s="110" t="str">
        <f>IF($M21="","",INDEX('MTRs'!$T$6:$T$505,$M21)&amp;"")</f>
        <v/>
      </c>
      <c r="H21" s="111" t="str">
        <f>IF($M21="","",INDEX('MTRs'!$AQ$6:$AQ$505,$M21))</f>
        <v/>
      </c>
      <c r="I21" s="112" t="str">
        <f>IF($M21="","",INDEX('MTRs'!$U$6:$U$505,$M21))</f>
        <v/>
      </c>
      <c r="J21" s="113" t="str">
        <f>IF($M21="","",INDEX('MTRs'!$AS$6:$AS$505,$M21)&amp;"")</f>
        <v/>
      </c>
      <c r="K21" s="110" t="str">
        <f>IF($M21="","",INDEX('MTRs'!$AT$6:$AT$505,$M21)&amp;"")</f>
        <v/>
      </c>
      <c r="L21" s="110" t="str">
        <f>IF($M21="","",INDEX('MTRs'!$Y$6:$Y$505,$M21)&amp;"")</f>
        <v/>
      </c>
      <c r="M21" t="str">
        <f>IFERROR(MATCH(SMALL('MTRs'!$AU$6:$AU$505,11),'MTRs'!$AU$6:$AU$505,0),"")</f>
        <v/>
      </c>
    </row>
    <row r="22" ht="30" customHeight="1">
      <c r="B22" s="108" t="str">
        <f>IF($M22="","",INDEX('MTRs'!$A$6:$A$505,$M22)&amp;"")</f>
        <v/>
      </c>
      <c r="C22" s="109" t="str">
        <f>IF($M22="","",INDEX('MTRs'!$B$6:$B$505,$M22)&amp;"")</f>
        <v/>
      </c>
      <c r="D22" s="110" t="str">
        <f>IF($M22="","",INDEX('MTRs'!$G$6:$G$505,$M22)&amp;"")</f>
        <v/>
      </c>
      <c r="E22" s="110" t="str">
        <f>IF($M22="","",INDEX('MTRs'!$H$6:$H$505,$M22)&amp;"")</f>
        <v/>
      </c>
      <c r="F22" s="110" t="str">
        <f>IF($M22="","",INDEX('MTRs'!$I$6:$I$505,$M22)&amp;"")</f>
        <v/>
      </c>
      <c r="G22" s="110" t="str">
        <f>IF($M22="","",INDEX('MTRs'!$T$6:$T$505,$M22)&amp;"")</f>
        <v/>
      </c>
      <c r="H22" s="111" t="str">
        <f>IF($M22="","",INDEX('MTRs'!$AQ$6:$AQ$505,$M22))</f>
        <v/>
      </c>
      <c r="I22" s="112" t="str">
        <f>IF($M22="","",INDEX('MTRs'!$U$6:$U$505,$M22))</f>
        <v/>
      </c>
      <c r="J22" s="113" t="str">
        <f>IF($M22="","",INDEX('MTRs'!$AS$6:$AS$505,$M22)&amp;"")</f>
        <v/>
      </c>
      <c r="K22" s="110" t="str">
        <f>IF($M22="","",INDEX('MTRs'!$AT$6:$AT$505,$M22)&amp;"")</f>
        <v/>
      </c>
      <c r="L22" s="110" t="str">
        <f>IF($M22="","",INDEX('MTRs'!$Y$6:$Y$505,$M22)&amp;"")</f>
        <v/>
      </c>
      <c r="M22" t="str">
        <f>IFERROR(MATCH(SMALL('MTRs'!$AU$6:$AU$505,12),'MTRs'!$AU$6:$AU$505,0),"")</f>
        <v/>
      </c>
    </row>
    <row r="23" ht="30" customHeight="1">
      <c r="B23" s="108" t="str">
        <f>IF($M23="","",INDEX('MTRs'!$A$6:$A$505,$M23)&amp;"")</f>
        <v/>
      </c>
      <c r="C23" s="109" t="str">
        <f>IF($M23="","",INDEX('MTRs'!$B$6:$B$505,$M23)&amp;"")</f>
        <v/>
      </c>
      <c r="D23" s="110" t="str">
        <f>IF($M23="","",INDEX('MTRs'!$G$6:$G$505,$M23)&amp;"")</f>
        <v/>
      </c>
      <c r="E23" s="110" t="str">
        <f>IF($M23="","",INDEX('MTRs'!$H$6:$H$505,$M23)&amp;"")</f>
        <v/>
      </c>
      <c r="F23" s="110" t="str">
        <f>IF($M23="","",INDEX('MTRs'!$I$6:$I$505,$M23)&amp;"")</f>
        <v/>
      </c>
      <c r="G23" s="110" t="str">
        <f>IF($M23="","",INDEX('MTRs'!$T$6:$T$505,$M23)&amp;"")</f>
        <v/>
      </c>
      <c r="H23" s="111" t="str">
        <f>IF($M23="","",INDEX('MTRs'!$AQ$6:$AQ$505,$M23))</f>
        <v/>
      </c>
      <c r="I23" s="112" t="str">
        <f>IF($M23="","",INDEX('MTRs'!$U$6:$U$505,$M23))</f>
        <v/>
      </c>
      <c r="J23" s="113" t="str">
        <f>IF($M23="","",INDEX('MTRs'!$AS$6:$AS$505,$M23)&amp;"")</f>
        <v/>
      </c>
      <c r="K23" s="110" t="str">
        <f>IF($M23="","",INDEX('MTRs'!$AT$6:$AT$505,$M23)&amp;"")</f>
        <v/>
      </c>
      <c r="L23" s="110" t="str">
        <f>IF($M23="","",INDEX('MTRs'!$Y$6:$Y$505,$M23)&amp;"")</f>
        <v/>
      </c>
      <c r="M23" t="str">
        <f>IFERROR(MATCH(SMALL('MTRs'!$AU$6:$AU$505,13),'MTRs'!$AU$6:$AU$505,0),"")</f>
        <v/>
      </c>
    </row>
    <row r="24" ht="30" customHeight="1">
      <c r="B24" s="108" t="str">
        <f>IF($M24="","",INDEX('MTRs'!$A$6:$A$505,$M24)&amp;"")</f>
        <v/>
      </c>
      <c r="C24" s="109" t="str">
        <f>IF($M24="","",INDEX('MTRs'!$B$6:$B$505,$M24)&amp;"")</f>
        <v/>
      </c>
      <c r="D24" s="110" t="str">
        <f>IF($M24="","",INDEX('MTRs'!$G$6:$G$505,$M24)&amp;"")</f>
        <v/>
      </c>
      <c r="E24" s="110" t="str">
        <f>IF($M24="","",INDEX('MTRs'!$H$6:$H$505,$M24)&amp;"")</f>
        <v/>
      </c>
      <c r="F24" s="110" t="str">
        <f>IF($M24="","",INDEX('MTRs'!$I$6:$I$505,$M24)&amp;"")</f>
        <v/>
      </c>
      <c r="G24" s="110" t="str">
        <f>IF($M24="","",INDEX('MTRs'!$T$6:$T$505,$M24)&amp;"")</f>
        <v/>
      </c>
      <c r="H24" s="111" t="str">
        <f>IF($M24="","",INDEX('MTRs'!$AQ$6:$AQ$505,$M24))</f>
        <v/>
      </c>
      <c r="I24" s="112" t="str">
        <f>IF($M24="","",INDEX('MTRs'!$U$6:$U$505,$M24))</f>
        <v/>
      </c>
      <c r="J24" s="113" t="str">
        <f>IF($M24="","",INDEX('MTRs'!$AS$6:$AS$505,$M24)&amp;"")</f>
        <v/>
      </c>
      <c r="K24" s="110" t="str">
        <f>IF($M24="","",INDEX('MTRs'!$AT$6:$AT$505,$M24)&amp;"")</f>
        <v/>
      </c>
      <c r="L24" s="110" t="str">
        <f>IF($M24="","",INDEX('MTRs'!$Y$6:$Y$505,$M24)&amp;"")</f>
        <v/>
      </c>
      <c r="M24" t="str">
        <f>IFERROR(MATCH(SMALL('MTRs'!$AU$6:$AU$505,14),'MTRs'!$AU$6:$AU$505,0),"")</f>
        <v/>
      </c>
    </row>
    <row r="25" ht="30" customHeight="1">
      <c r="B25" s="108" t="str">
        <f>IF($M25="","",INDEX('MTRs'!$A$6:$A$505,$M25)&amp;"")</f>
        <v/>
      </c>
      <c r="C25" s="109" t="str">
        <f>IF($M25="","",INDEX('MTRs'!$B$6:$B$505,$M25)&amp;"")</f>
        <v/>
      </c>
      <c r="D25" s="110" t="str">
        <f>IF($M25="","",INDEX('MTRs'!$G$6:$G$505,$M25)&amp;"")</f>
        <v/>
      </c>
      <c r="E25" s="110" t="str">
        <f>IF($M25="","",INDEX('MTRs'!$H$6:$H$505,$M25)&amp;"")</f>
        <v/>
      </c>
      <c r="F25" s="110" t="str">
        <f>IF($M25="","",INDEX('MTRs'!$I$6:$I$505,$M25)&amp;"")</f>
        <v/>
      </c>
      <c r="G25" s="110" t="str">
        <f>IF($M25="","",INDEX('MTRs'!$T$6:$T$505,$M25)&amp;"")</f>
        <v/>
      </c>
      <c r="H25" s="111" t="str">
        <f>IF($M25="","",INDEX('MTRs'!$AQ$6:$AQ$505,$M25))</f>
        <v/>
      </c>
      <c r="I25" s="112" t="str">
        <f>IF($M25="","",INDEX('MTRs'!$U$6:$U$505,$M25))</f>
        <v/>
      </c>
      <c r="J25" s="113" t="str">
        <f>IF($M25="","",INDEX('MTRs'!$AS$6:$AS$505,$M25)&amp;"")</f>
        <v/>
      </c>
      <c r="K25" s="110" t="str">
        <f>IF($M25="","",INDEX('MTRs'!$AT$6:$AT$505,$M25)&amp;"")</f>
        <v/>
      </c>
      <c r="L25" s="110" t="str">
        <f>IF($M25="","",INDEX('MTRs'!$Y$6:$Y$505,$M25)&amp;"")</f>
        <v/>
      </c>
      <c r="M25" t="str">
        <f>IFERROR(MATCH(SMALL('MTRs'!$AU$6:$AU$505,15),'MTRs'!$AU$6:$AU$505,0),"")</f>
        <v/>
      </c>
    </row>
    <row r="26" ht="30" customHeight="1">
      <c r="B26" s="108" t="str">
        <f>IF($M26="","",INDEX('MTRs'!$A$6:$A$505,$M26)&amp;"")</f>
        <v/>
      </c>
      <c r="C26" s="109" t="str">
        <f>IF($M26="","",INDEX('MTRs'!$B$6:$B$505,$M26)&amp;"")</f>
        <v/>
      </c>
      <c r="D26" s="110" t="str">
        <f>IF($M26="","",INDEX('MTRs'!$G$6:$G$505,$M26)&amp;"")</f>
        <v/>
      </c>
      <c r="E26" s="110" t="str">
        <f>IF($M26="","",INDEX('MTRs'!$H$6:$H$505,$M26)&amp;"")</f>
        <v/>
      </c>
      <c r="F26" s="110" t="str">
        <f>IF($M26="","",INDEX('MTRs'!$I$6:$I$505,$M26)&amp;"")</f>
        <v/>
      </c>
      <c r="G26" s="110" t="str">
        <f>IF($M26="","",INDEX('MTRs'!$T$6:$T$505,$M26)&amp;"")</f>
        <v/>
      </c>
      <c r="H26" s="111" t="str">
        <f>IF($M26="","",INDEX('MTRs'!$AQ$6:$AQ$505,$M26))</f>
        <v/>
      </c>
      <c r="I26" s="112" t="str">
        <f>IF($M26="","",INDEX('MTRs'!$U$6:$U$505,$M26))</f>
        <v/>
      </c>
      <c r="J26" s="113" t="str">
        <f>IF($M26="","",INDEX('MTRs'!$AS$6:$AS$505,$M26)&amp;"")</f>
        <v/>
      </c>
      <c r="K26" s="110" t="str">
        <f>IF($M26="","",INDEX('MTRs'!$AT$6:$AT$505,$M26)&amp;"")</f>
        <v/>
      </c>
      <c r="L26" s="110" t="str">
        <f>IF($M26="","",INDEX('MTRs'!$Y$6:$Y$505,$M26)&amp;"")</f>
        <v/>
      </c>
      <c r="M26" t="str">
        <f>IFERROR(MATCH(SMALL('MTRs'!$AU$6:$AU$505,16),'MTRs'!$AU$6:$AU$505,0),"")</f>
        <v/>
      </c>
    </row>
    <row r="27" ht="30" customHeight="1">
      <c r="B27" s="108" t="str">
        <f>IF($M27="","",INDEX('MTRs'!$A$6:$A$505,$M27)&amp;"")</f>
        <v/>
      </c>
      <c r="C27" s="109" t="str">
        <f>IF($M27="","",INDEX('MTRs'!$B$6:$B$505,$M27)&amp;"")</f>
        <v/>
      </c>
      <c r="D27" s="110" t="str">
        <f>IF($M27="","",INDEX('MTRs'!$G$6:$G$505,$M27)&amp;"")</f>
        <v/>
      </c>
      <c r="E27" s="110" t="str">
        <f>IF($M27="","",INDEX('MTRs'!$H$6:$H$505,$M27)&amp;"")</f>
        <v/>
      </c>
      <c r="F27" s="110" t="str">
        <f>IF($M27="","",INDEX('MTRs'!$I$6:$I$505,$M27)&amp;"")</f>
        <v/>
      </c>
      <c r="G27" s="110" t="str">
        <f>IF($M27="","",INDEX('MTRs'!$T$6:$T$505,$M27)&amp;"")</f>
        <v/>
      </c>
      <c r="H27" s="111" t="str">
        <f>IF($M27="","",INDEX('MTRs'!$AQ$6:$AQ$505,$M27))</f>
        <v/>
      </c>
      <c r="I27" s="112" t="str">
        <f>IF($M27="","",INDEX('MTRs'!$U$6:$U$505,$M27))</f>
        <v/>
      </c>
      <c r="J27" s="113" t="str">
        <f>IF($M27="","",INDEX('MTRs'!$AS$6:$AS$505,$M27)&amp;"")</f>
        <v/>
      </c>
      <c r="K27" s="110" t="str">
        <f>IF($M27="","",INDEX('MTRs'!$AT$6:$AT$505,$M27)&amp;"")</f>
        <v/>
      </c>
      <c r="L27" s="110" t="str">
        <f>IF($M27="","",INDEX('MTRs'!$Y$6:$Y$505,$M27)&amp;"")</f>
        <v/>
      </c>
      <c r="M27" t="str">
        <f>IFERROR(MATCH(SMALL('MTRs'!$AU$6:$AU$505,17),'MTRs'!$AU$6:$AU$505,0),"")</f>
        <v/>
      </c>
    </row>
    <row r="28" ht="30" customHeight="1">
      <c r="B28" s="108" t="str">
        <f>IF($M28="","",INDEX('MTRs'!$A$6:$A$505,$M28)&amp;"")</f>
        <v/>
      </c>
      <c r="C28" s="109" t="str">
        <f>IF($M28="","",INDEX('MTRs'!$B$6:$B$505,$M28)&amp;"")</f>
        <v/>
      </c>
      <c r="D28" s="110" t="str">
        <f>IF($M28="","",INDEX('MTRs'!$G$6:$G$505,$M28)&amp;"")</f>
        <v/>
      </c>
      <c r="E28" s="110" t="str">
        <f>IF($M28="","",INDEX('MTRs'!$H$6:$H$505,$M28)&amp;"")</f>
        <v/>
      </c>
      <c r="F28" s="110" t="str">
        <f>IF($M28="","",INDEX('MTRs'!$I$6:$I$505,$M28)&amp;"")</f>
        <v/>
      </c>
      <c r="G28" s="110" t="str">
        <f>IF($M28="","",INDEX('MTRs'!$T$6:$T$505,$M28)&amp;"")</f>
        <v/>
      </c>
      <c r="H28" s="111" t="str">
        <f>IF($M28="","",INDEX('MTRs'!$AQ$6:$AQ$505,$M28))</f>
        <v/>
      </c>
      <c r="I28" s="112" t="str">
        <f>IF($M28="","",INDEX('MTRs'!$U$6:$U$505,$M28))</f>
        <v/>
      </c>
      <c r="J28" s="113" t="str">
        <f>IF($M28="","",INDEX('MTRs'!$AS$6:$AS$505,$M28)&amp;"")</f>
        <v/>
      </c>
      <c r="K28" s="110" t="str">
        <f>IF($M28="","",INDEX('MTRs'!$AT$6:$AT$505,$M28)&amp;"")</f>
        <v/>
      </c>
      <c r="L28" s="110" t="str">
        <f>IF($M28="","",INDEX('MTRs'!$Y$6:$Y$505,$M28)&amp;"")</f>
        <v/>
      </c>
      <c r="M28" t="str">
        <f>IFERROR(MATCH(SMALL('MTRs'!$AU$6:$AU$505,18),'MTRs'!$AU$6:$AU$505,0),"")</f>
        <v/>
      </c>
    </row>
    <row r="29" ht="30" customHeight="1">
      <c r="B29" s="108" t="str">
        <f>IF($M29="","",INDEX('MTRs'!$A$6:$A$505,$M29)&amp;"")</f>
        <v/>
      </c>
      <c r="C29" s="109" t="str">
        <f>IF($M29="","",INDEX('MTRs'!$B$6:$B$505,$M29)&amp;"")</f>
        <v/>
      </c>
      <c r="D29" s="110" t="str">
        <f>IF($M29="","",INDEX('MTRs'!$G$6:$G$505,$M29)&amp;"")</f>
        <v/>
      </c>
      <c r="E29" s="110" t="str">
        <f>IF($M29="","",INDEX('MTRs'!$H$6:$H$505,$M29)&amp;"")</f>
        <v/>
      </c>
      <c r="F29" s="110" t="str">
        <f>IF($M29="","",INDEX('MTRs'!$I$6:$I$505,$M29)&amp;"")</f>
        <v/>
      </c>
      <c r="G29" s="110" t="str">
        <f>IF($M29="","",INDEX('MTRs'!$T$6:$T$505,$M29)&amp;"")</f>
        <v/>
      </c>
      <c r="H29" s="111" t="str">
        <f>IF($M29="","",INDEX('MTRs'!$AQ$6:$AQ$505,$M29))</f>
        <v/>
      </c>
      <c r="I29" s="112" t="str">
        <f>IF($M29="","",INDEX('MTRs'!$U$6:$U$505,$M29))</f>
        <v/>
      </c>
      <c r="J29" s="113" t="str">
        <f>IF($M29="","",INDEX('MTRs'!$AS$6:$AS$505,$M29)&amp;"")</f>
        <v/>
      </c>
      <c r="K29" s="110" t="str">
        <f>IF($M29="","",INDEX('MTRs'!$AT$6:$AT$505,$M29)&amp;"")</f>
        <v/>
      </c>
      <c r="L29" s="110" t="str">
        <f>IF($M29="","",INDEX('MTRs'!$Y$6:$Y$505,$M29)&amp;"")</f>
        <v/>
      </c>
      <c r="M29" t="str">
        <f>IFERROR(MATCH(SMALL('MTRs'!$AU$6:$AU$505,19),'MTRs'!$AU$6:$AU$505,0),"")</f>
        <v/>
      </c>
    </row>
    <row r="30" ht="30" customHeight="1">
      <c r="B30" s="108" t="str">
        <f>IF($M30="","",INDEX('MTRs'!$A$6:$A$505,$M30)&amp;"")</f>
        <v/>
      </c>
      <c r="C30" s="109" t="str">
        <f>IF($M30="","",INDEX('MTRs'!$B$6:$B$505,$M30)&amp;"")</f>
        <v/>
      </c>
      <c r="D30" s="110" t="str">
        <f>IF($M30="","",INDEX('MTRs'!$G$6:$G$505,$M30)&amp;"")</f>
        <v/>
      </c>
      <c r="E30" s="110" t="str">
        <f>IF($M30="","",INDEX('MTRs'!$H$6:$H$505,$M30)&amp;"")</f>
        <v/>
      </c>
      <c r="F30" s="110" t="str">
        <f>IF($M30="","",INDEX('MTRs'!$I$6:$I$505,$M30)&amp;"")</f>
        <v/>
      </c>
      <c r="G30" s="110" t="str">
        <f>IF($M30="","",INDEX('MTRs'!$T$6:$T$505,$M30)&amp;"")</f>
        <v/>
      </c>
      <c r="H30" s="111" t="str">
        <f>IF($M30="","",INDEX('MTRs'!$AQ$6:$AQ$505,$M30))</f>
        <v/>
      </c>
      <c r="I30" s="112" t="str">
        <f>IF($M30="","",INDEX('MTRs'!$U$6:$U$505,$M30))</f>
        <v/>
      </c>
      <c r="J30" s="113" t="str">
        <f>IF($M30="","",INDEX('MTRs'!$AS$6:$AS$505,$M30)&amp;"")</f>
        <v/>
      </c>
      <c r="K30" s="110" t="str">
        <f>IF($M30="","",INDEX('MTRs'!$AT$6:$AT$505,$M30)&amp;"")</f>
        <v/>
      </c>
      <c r="L30" s="110" t="str">
        <f>IF($M30="","",INDEX('MTRs'!$Y$6:$Y$505,$M30)&amp;"")</f>
        <v/>
      </c>
      <c r="M30" t="str">
        <f>IFERROR(MATCH(SMALL('MTRs'!$AU$6:$AU$505,20),'MTRs'!$AU$6:$AU$505,0),"")</f>
        <v/>
      </c>
    </row>
    <row r="31" ht="30" customHeight="1">
      <c r="B31" s="108" t="str">
        <f>IF($M31="","",INDEX('MTRs'!$A$6:$A$505,$M31)&amp;"")</f>
        <v/>
      </c>
      <c r="C31" s="109" t="str">
        <f>IF($M31="","",INDEX('MTRs'!$B$6:$B$505,$M31)&amp;"")</f>
        <v/>
      </c>
      <c r="D31" s="110" t="str">
        <f>IF($M31="","",INDEX('MTRs'!$G$6:$G$505,$M31)&amp;"")</f>
        <v/>
      </c>
      <c r="E31" s="110" t="str">
        <f>IF($M31="","",INDEX('MTRs'!$H$6:$H$505,$M31)&amp;"")</f>
        <v/>
      </c>
      <c r="F31" s="110" t="str">
        <f>IF($M31="","",INDEX('MTRs'!$I$6:$I$505,$M31)&amp;"")</f>
        <v/>
      </c>
      <c r="G31" s="110" t="str">
        <f>IF($M31="","",INDEX('MTRs'!$T$6:$T$505,$M31)&amp;"")</f>
        <v/>
      </c>
      <c r="H31" s="111" t="str">
        <f>IF($M31="","",INDEX('MTRs'!$AQ$6:$AQ$505,$M31))</f>
        <v/>
      </c>
      <c r="I31" s="112" t="str">
        <f>IF($M31="","",INDEX('MTRs'!$U$6:$U$505,$M31))</f>
        <v/>
      </c>
      <c r="J31" s="113" t="str">
        <f>IF($M31="","",INDEX('MTRs'!$AS$6:$AS$505,$M31)&amp;"")</f>
        <v/>
      </c>
      <c r="K31" s="110" t="str">
        <f>IF($M31="","",INDEX('MTRs'!$AT$6:$AT$505,$M31)&amp;"")</f>
        <v/>
      </c>
      <c r="L31" s="110" t="str">
        <f>IF($M31="","",INDEX('MTRs'!$Y$6:$Y$505,$M31)&amp;"")</f>
        <v/>
      </c>
      <c r="M31" t="str">
        <f>IFERROR(MATCH(SMALL('MTRs'!$AU$6:$AU$505,21),'MTRs'!$AU$6:$AU$505,0),"")</f>
        <v/>
      </c>
    </row>
    <row r="32" ht="30" customHeight="1">
      <c r="B32" s="108" t="str">
        <f>IF($M32="","",INDEX('MTRs'!$A$6:$A$505,$M32)&amp;"")</f>
        <v/>
      </c>
      <c r="C32" s="109" t="str">
        <f>IF($M32="","",INDEX('MTRs'!$B$6:$B$505,$M32)&amp;"")</f>
        <v/>
      </c>
      <c r="D32" s="110" t="str">
        <f>IF($M32="","",INDEX('MTRs'!$G$6:$G$505,$M32)&amp;"")</f>
        <v/>
      </c>
      <c r="E32" s="110" t="str">
        <f>IF($M32="","",INDEX('MTRs'!$H$6:$H$505,$M32)&amp;"")</f>
        <v/>
      </c>
      <c r="F32" s="110" t="str">
        <f>IF($M32="","",INDEX('MTRs'!$I$6:$I$505,$M32)&amp;"")</f>
        <v/>
      </c>
      <c r="G32" s="110" t="str">
        <f>IF($M32="","",INDEX('MTRs'!$T$6:$T$505,$M32)&amp;"")</f>
        <v/>
      </c>
      <c r="H32" s="111" t="str">
        <f>IF($M32="","",INDEX('MTRs'!$AQ$6:$AQ$505,$M32))</f>
        <v/>
      </c>
      <c r="I32" s="112" t="str">
        <f>IF($M32="","",INDEX('MTRs'!$U$6:$U$505,$M32))</f>
        <v/>
      </c>
      <c r="J32" s="113" t="str">
        <f>IF($M32="","",INDEX('MTRs'!$AS$6:$AS$505,$M32)&amp;"")</f>
        <v/>
      </c>
      <c r="K32" s="110" t="str">
        <f>IF($M32="","",INDEX('MTRs'!$AT$6:$AT$505,$M32)&amp;"")</f>
        <v/>
      </c>
      <c r="L32" s="110" t="str">
        <f>IF($M32="","",INDEX('MTRs'!$Y$6:$Y$505,$M32)&amp;"")</f>
        <v/>
      </c>
      <c r="M32" t="str">
        <f>IFERROR(MATCH(SMALL('MTRs'!$AU$6:$AU$505,22),'MTRs'!$AU$6:$AU$505,0),"")</f>
        <v/>
      </c>
    </row>
    <row r="33" ht="30" customHeight="1">
      <c r="B33" s="108" t="str">
        <f>IF($M33="","",INDEX('MTRs'!$A$6:$A$505,$M33)&amp;"")</f>
        <v/>
      </c>
      <c r="C33" s="109" t="str">
        <f>IF($M33="","",INDEX('MTRs'!$B$6:$B$505,$M33)&amp;"")</f>
        <v/>
      </c>
      <c r="D33" s="110" t="str">
        <f>IF($M33="","",INDEX('MTRs'!$G$6:$G$505,$M33)&amp;"")</f>
        <v/>
      </c>
      <c r="E33" s="110" t="str">
        <f>IF($M33="","",INDEX('MTRs'!$H$6:$H$505,$M33)&amp;"")</f>
        <v/>
      </c>
      <c r="F33" s="110" t="str">
        <f>IF($M33="","",INDEX('MTRs'!$I$6:$I$505,$M33)&amp;"")</f>
        <v/>
      </c>
      <c r="G33" s="110" t="str">
        <f>IF($M33="","",INDEX('MTRs'!$T$6:$T$505,$M33)&amp;"")</f>
        <v/>
      </c>
      <c r="H33" s="111" t="str">
        <f>IF($M33="","",INDEX('MTRs'!$AQ$6:$AQ$505,$M33))</f>
        <v/>
      </c>
      <c r="I33" s="112" t="str">
        <f>IF($M33="","",INDEX('MTRs'!$U$6:$U$505,$M33))</f>
        <v/>
      </c>
      <c r="J33" s="113" t="str">
        <f>IF($M33="","",INDEX('MTRs'!$AS$6:$AS$505,$M33)&amp;"")</f>
        <v/>
      </c>
      <c r="K33" s="110" t="str">
        <f>IF($M33="","",INDEX('MTRs'!$AT$6:$AT$505,$M33)&amp;"")</f>
        <v/>
      </c>
      <c r="L33" s="110" t="str">
        <f>IF($M33="","",INDEX('MTRs'!$Y$6:$Y$505,$M33)&amp;"")</f>
        <v/>
      </c>
      <c r="M33" t="str">
        <f>IFERROR(MATCH(SMALL('MTRs'!$AU$6:$AU$505,23),'MTRs'!$AU$6:$AU$505,0),"")</f>
        <v/>
      </c>
    </row>
    <row r="34" ht="30" customHeight="1">
      <c r="B34" s="108" t="str">
        <f>IF($M34="","",INDEX('MTRs'!$A$6:$A$505,$M34)&amp;"")</f>
        <v/>
      </c>
      <c r="C34" s="109" t="str">
        <f>IF($M34="","",INDEX('MTRs'!$B$6:$B$505,$M34)&amp;"")</f>
        <v/>
      </c>
      <c r="D34" s="110" t="str">
        <f>IF($M34="","",INDEX('MTRs'!$G$6:$G$505,$M34)&amp;"")</f>
        <v/>
      </c>
      <c r="E34" s="110" t="str">
        <f>IF($M34="","",INDEX('MTRs'!$H$6:$H$505,$M34)&amp;"")</f>
        <v/>
      </c>
      <c r="F34" s="110" t="str">
        <f>IF($M34="","",INDEX('MTRs'!$I$6:$I$505,$M34)&amp;"")</f>
        <v/>
      </c>
      <c r="G34" s="110" t="str">
        <f>IF($M34="","",INDEX('MTRs'!$T$6:$T$505,$M34)&amp;"")</f>
        <v/>
      </c>
      <c r="H34" s="111" t="str">
        <f>IF($M34="","",INDEX('MTRs'!$AQ$6:$AQ$505,$M34))</f>
        <v/>
      </c>
      <c r="I34" s="112" t="str">
        <f>IF($M34="","",INDEX('MTRs'!$U$6:$U$505,$M34))</f>
        <v/>
      </c>
      <c r="J34" s="113" t="str">
        <f>IF($M34="","",INDEX('MTRs'!$AS$6:$AS$505,$M34)&amp;"")</f>
        <v/>
      </c>
      <c r="K34" s="110" t="str">
        <f>IF($M34="","",INDEX('MTRs'!$AT$6:$AT$505,$M34)&amp;"")</f>
        <v/>
      </c>
      <c r="L34" s="110" t="str">
        <f>IF($M34="","",INDEX('MTRs'!$Y$6:$Y$505,$M34)&amp;"")</f>
        <v/>
      </c>
      <c r="M34" t="str">
        <f>IFERROR(MATCH(SMALL('MTRs'!$AU$6:$AU$505,24),'MTRs'!$AU$6:$AU$505,0),"")</f>
        <v/>
      </c>
    </row>
    <row r="35" ht="30" customHeight="1">
      <c r="B35" s="108" t="str">
        <f>IF($M35="","",INDEX('MTRs'!$A$6:$A$505,$M35)&amp;"")</f>
        <v/>
      </c>
      <c r="C35" s="109" t="str">
        <f>IF($M35="","",INDEX('MTRs'!$B$6:$B$505,$M35)&amp;"")</f>
        <v/>
      </c>
      <c r="D35" s="110" t="str">
        <f>IF($M35="","",INDEX('MTRs'!$G$6:$G$505,$M35)&amp;"")</f>
        <v/>
      </c>
      <c r="E35" s="110" t="str">
        <f>IF($M35="","",INDEX('MTRs'!$H$6:$H$505,$M35)&amp;"")</f>
        <v/>
      </c>
      <c r="F35" s="110" t="str">
        <f>IF($M35="","",INDEX('MTRs'!$I$6:$I$505,$M35)&amp;"")</f>
        <v/>
      </c>
      <c r="G35" s="110" t="str">
        <f>IF($M35="","",INDEX('MTRs'!$T$6:$T$505,$M35)&amp;"")</f>
        <v/>
      </c>
      <c r="H35" s="111" t="str">
        <f>IF($M35="","",INDEX('MTRs'!$AQ$6:$AQ$505,$M35))</f>
        <v/>
      </c>
      <c r="I35" s="112" t="str">
        <f>IF($M35="","",INDEX('MTRs'!$U$6:$U$505,$M35))</f>
        <v/>
      </c>
      <c r="J35" s="113" t="str">
        <f>IF($M35="","",INDEX('MTRs'!$AS$6:$AS$505,$M35)&amp;"")</f>
        <v/>
      </c>
      <c r="K35" s="110" t="str">
        <f>IF($M35="","",INDEX('MTRs'!$AT$6:$AT$505,$M35)&amp;"")</f>
        <v/>
      </c>
      <c r="L35" s="110" t="str">
        <f>IF($M35="","",INDEX('MTRs'!$Y$6:$Y$505,$M35)&amp;"")</f>
        <v/>
      </c>
      <c r="M35" t="str">
        <f>IFERROR(MATCH(SMALL('MTRs'!$AU$6:$AU$505,25),'MTRs'!$AU$6:$AU$505,0),"")</f>
        <v/>
      </c>
    </row>
    <row r="36" ht="30" customHeight="1">
      <c r="B36" s="108" t="str">
        <f>IF($M36="","",INDEX('MTRs'!$A$6:$A$505,$M36)&amp;"")</f>
        <v/>
      </c>
      <c r="C36" s="109" t="str">
        <f>IF($M36="","",INDEX('MTRs'!$B$6:$B$505,$M36)&amp;"")</f>
        <v/>
      </c>
      <c r="D36" s="110" t="str">
        <f>IF($M36="","",INDEX('MTRs'!$G$6:$G$505,$M36)&amp;"")</f>
        <v/>
      </c>
      <c r="E36" s="110" t="str">
        <f>IF($M36="","",INDEX('MTRs'!$H$6:$H$505,$M36)&amp;"")</f>
        <v/>
      </c>
      <c r="F36" s="110" t="str">
        <f>IF($M36="","",INDEX('MTRs'!$I$6:$I$505,$M36)&amp;"")</f>
        <v/>
      </c>
      <c r="G36" s="110" t="str">
        <f>IF($M36="","",INDEX('MTRs'!$T$6:$T$505,$M36)&amp;"")</f>
        <v/>
      </c>
      <c r="H36" s="111" t="str">
        <f>IF($M36="","",INDEX('MTRs'!$AQ$6:$AQ$505,$M36))</f>
        <v/>
      </c>
      <c r="I36" s="112" t="str">
        <f>IF($M36="","",INDEX('MTRs'!$U$6:$U$505,$M36))</f>
        <v/>
      </c>
      <c r="J36" s="113" t="str">
        <f>IF($M36="","",INDEX('MTRs'!$AS$6:$AS$505,$M36)&amp;"")</f>
        <v/>
      </c>
      <c r="K36" s="110" t="str">
        <f>IF($M36="","",INDEX('MTRs'!$AT$6:$AT$505,$M36)&amp;"")</f>
        <v/>
      </c>
      <c r="L36" s="110" t="str">
        <f>IF($M36="","",INDEX('MTRs'!$Y$6:$Y$505,$M36)&amp;"")</f>
        <v/>
      </c>
      <c r="M36" t="str">
        <f>IFERROR(MATCH(SMALL('MTRs'!$AU$6:$AU$505,26),'MTRs'!$AU$6:$AU$505,0),"")</f>
        <v/>
      </c>
    </row>
    <row r="37" ht="30" customHeight="1">
      <c r="B37" s="108" t="str">
        <f>IF($M37="","",INDEX('MTRs'!$A$6:$A$505,$M37)&amp;"")</f>
        <v/>
      </c>
      <c r="C37" s="109" t="str">
        <f>IF($M37="","",INDEX('MTRs'!$B$6:$B$505,$M37)&amp;"")</f>
        <v/>
      </c>
      <c r="D37" s="110" t="str">
        <f>IF($M37="","",INDEX('MTRs'!$G$6:$G$505,$M37)&amp;"")</f>
        <v/>
      </c>
      <c r="E37" s="110" t="str">
        <f>IF($M37="","",INDEX('MTRs'!$H$6:$H$505,$M37)&amp;"")</f>
        <v/>
      </c>
      <c r="F37" s="110" t="str">
        <f>IF($M37="","",INDEX('MTRs'!$I$6:$I$505,$M37)&amp;"")</f>
        <v/>
      </c>
      <c r="G37" s="110" t="str">
        <f>IF($M37="","",INDEX('MTRs'!$T$6:$T$505,$M37)&amp;"")</f>
        <v/>
      </c>
      <c r="H37" s="111" t="str">
        <f>IF($M37="","",INDEX('MTRs'!$AQ$6:$AQ$505,$M37))</f>
        <v/>
      </c>
      <c r="I37" s="112" t="str">
        <f>IF($M37="","",INDEX('MTRs'!$U$6:$U$505,$M37))</f>
        <v/>
      </c>
      <c r="J37" s="113" t="str">
        <f>IF($M37="","",INDEX('MTRs'!$AS$6:$AS$505,$M37)&amp;"")</f>
        <v/>
      </c>
      <c r="K37" s="110" t="str">
        <f>IF($M37="","",INDEX('MTRs'!$AT$6:$AT$505,$M37)&amp;"")</f>
        <v/>
      </c>
      <c r="L37" s="110" t="str">
        <f>IF($M37="","",INDEX('MTRs'!$Y$6:$Y$505,$M37)&amp;"")</f>
        <v/>
      </c>
      <c r="M37" t="str">
        <f>IFERROR(MATCH(SMALL('MTRs'!$AU$6:$AU$505,27),'MTRs'!$AU$6:$AU$505,0),"")</f>
        <v/>
      </c>
    </row>
    <row r="38" ht="30" customHeight="1">
      <c r="B38" s="108" t="str">
        <f>IF($M38="","",INDEX('MTRs'!$A$6:$A$505,$M38)&amp;"")</f>
        <v/>
      </c>
      <c r="C38" s="109" t="str">
        <f>IF($M38="","",INDEX('MTRs'!$B$6:$B$505,$M38)&amp;"")</f>
        <v/>
      </c>
      <c r="D38" s="110" t="str">
        <f>IF($M38="","",INDEX('MTRs'!$G$6:$G$505,$M38)&amp;"")</f>
        <v/>
      </c>
      <c r="E38" s="110" t="str">
        <f>IF($M38="","",INDEX('MTRs'!$H$6:$H$505,$M38)&amp;"")</f>
        <v/>
      </c>
      <c r="F38" s="110" t="str">
        <f>IF($M38="","",INDEX('MTRs'!$I$6:$I$505,$M38)&amp;"")</f>
        <v/>
      </c>
      <c r="G38" s="110" t="str">
        <f>IF($M38="","",INDEX('MTRs'!$T$6:$T$505,$M38)&amp;"")</f>
        <v/>
      </c>
      <c r="H38" s="111" t="str">
        <f>IF($M38="","",INDEX('MTRs'!$AQ$6:$AQ$505,$M38))</f>
        <v/>
      </c>
      <c r="I38" s="112" t="str">
        <f>IF($M38="","",INDEX('MTRs'!$U$6:$U$505,$M38))</f>
        <v/>
      </c>
      <c r="J38" s="113" t="str">
        <f>IF($M38="","",INDEX('MTRs'!$AS$6:$AS$505,$M38)&amp;"")</f>
        <v/>
      </c>
      <c r="K38" s="110" t="str">
        <f>IF($M38="","",INDEX('MTRs'!$AT$6:$AT$505,$M38)&amp;"")</f>
        <v/>
      </c>
      <c r="L38" s="110" t="str">
        <f>IF($M38="","",INDEX('MTRs'!$Y$6:$Y$505,$M38)&amp;"")</f>
        <v/>
      </c>
      <c r="M38" t="str">
        <f>IFERROR(MATCH(SMALL('MTRs'!$AU$6:$AU$505,28),'MTRs'!$AU$6:$AU$505,0),"")</f>
        <v/>
      </c>
    </row>
    <row r="39" ht="30" customHeight="1">
      <c r="B39" s="108" t="str">
        <f>IF($M39="","",INDEX('MTRs'!$A$6:$A$505,$M39)&amp;"")</f>
        <v/>
      </c>
      <c r="C39" s="109" t="str">
        <f>IF($M39="","",INDEX('MTRs'!$B$6:$B$505,$M39)&amp;"")</f>
        <v/>
      </c>
      <c r="D39" s="110" t="str">
        <f>IF($M39="","",INDEX('MTRs'!$G$6:$G$505,$M39)&amp;"")</f>
        <v/>
      </c>
      <c r="E39" s="110" t="str">
        <f>IF($M39="","",INDEX('MTRs'!$H$6:$H$505,$M39)&amp;"")</f>
        <v/>
      </c>
      <c r="F39" s="110" t="str">
        <f>IF($M39="","",INDEX('MTRs'!$I$6:$I$505,$M39)&amp;"")</f>
        <v/>
      </c>
      <c r="G39" s="110" t="str">
        <f>IF($M39="","",INDEX('MTRs'!$T$6:$T$505,$M39)&amp;"")</f>
        <v/>
      </c>
      <c r="H39" s="111" t="str">
        <f>IF($M39="","",INDEX('MTRs'!$AQ$6:$AQ$505,$M39))</f>
        <v/>
      </c>
      <c r="I39" s="112" t="str">
        <f>IF($M39="","",INDEX('MTRs'!$U$6:$U$505,$M39))</f>
        <v/>
      </c>
      <c r="J39" s="113" t="str">
        <f>IF($M39="","",INDEX('MTRs'!$AS$6:$AS$505,$M39)&amp;"")</f>
        <v/>
      </c>
      <c r="K39" s="110" t="str">
        <f>IF($M39="","",INDEX('MTRs'!$AT$6:$AT$505,$M39)&amp;"")</f>
        <v/>
      </c>
      <c r="L39" s="110" t="str">
        <f>IF($M39="","",INDEX('MTRs'!$Y$6:$Y$505,$M39)&amp;"")</f>
        <v/>
      </c>
      <c r="M39" t="str">
        <f>IFERROR(MATCH(SMALL('MTRs'!$AU$6:$AU$505,29),'MTRs'!$AU$6:$AU$505,0),"")</f>
        <v/>
      </c>
    </row>
    <row r="40" ht="30" customHeight="1">
      <c r="B40" s="108" t="str">
        <f>IF($M40="","",INDEX('MTRs'!$A$6:$A$505,$M40)&amp;"")</f>
        <v/>
      </c>
      <c r="C40" s="109" t="str">
        <f>IF($M40="","",INDEX('MTRs'!$B$6:$B$505,$M40)&amp;"")</f>
        <v/>
      </c>
      <c r="D40" s="110" t="str">
        <f>IF($M40="","",INDEX('MTRs'!$G$6:$G$505,$M40)&amp;"")</f>
        <v/>
      </c>
      <c r="E40" s="110" t="str">
        <f>IF($M40="","",INDEX('MTRs'!$H$6:$H$505,$M40)&amp;"")</f>
        <v/>
      </c>
      <c r="F40" s="110" t="str">
        <f>IF($M40="","",INDEX('MTRs'!$I$6:$I$505,$M40)&amp;"")</f>
        <v/>
      </c>
      <c r="G40" s="110" t="str">
        <f>IF($M40="","",INDEX('MTRs'!$T$6:$T$505,$M40)&amp;"")</f>
        <v/>
      </c>
      <c r="H40" s="111" t="str">
        <f>IF($M40="","",INDEX('MTRs'!$AQ$6:$AQ$505,$M40))</f>
        <v/>
      </c>
      <c r="I40" s="112" t="str">
        <f>IF($M40="","",INDEX('MTRs'!$U$6:$U$505,$M40))</f>
        <v/>
      </c>
      <c r="J40" s="113" t="str">
        <f>IF($M40="","",INDEX('MTRs'!$AS$6:$AS$505,$M40)&amp;"")</f>
        <v/>
      </c>
      <c r="K40" s="110" t="str">
        <f>IF($M40="","",INDEX('MTRs'!$AT$6:$AT$505,$M40)&amp;"")</f>
        <v/>
      </c>
      <c r="L40" s="110" t="str">
        <f>IF($M40="","",INDEX('MTRs'!$Y$6:$Y$505,$M40)&amp;"")</f>
        <v/>
      </c>
      <c r="M40" t="str">
        <f>IFERROR(MATCH(SMALL('MTRs'!$AU$6:$AU$505,30),'MTRs'!$AU$6:$AU$505,0),"")</f>
        <v/>
      </c>
    </row>
    <row r="41" ht="30" customHeight="1">
      <c r="B41" s="108" t="str">
        <f>IF($M41="","",INDEX('MTRs'!$A$6:$A$505,$M41)&amp;"")</f>
        <v/>
      </c>
      <c r="C41" s="109" t="str">
        <f>IF($M41="","",INDEX('MTRs'!$B$6:$B$505,$M41)&amp;"")</f>
        <v/>
      </c>
      <c r="D41" s="110" t="str">
        <f>IF($M41="","",INDEX('MTRs'!$G$6:$G$505,$M41)&amp;"")</f>
        <v/>
      </c>
      <c r="E41" s="110" t="str">
        <f>IF($M41="","",INDEX('MTRs'!$H$6:$H$505,$M41)&amp;"")</f>
        <v/>
      </c>
      <c r="F41" s="110" t="str">
        <f>IF($M41="","",INDEX('MTRs'!$I$6:$I$505,$M41)&amp;"")</f>
        <v/>
      </c>
      <c r="G41" s="110" t="str">
        <f>IF($M41="","",INDEX('MTRs'!$T$6:$T$505,$M41)&amp;"")</f>
        <v/>
      </c>
      <c r="H41" s="111" t="str">
        <f>IF($M41="","",INDEX('MTRs'!$AQ$6:$AQ$505,$M41))</f>
        <v/>
      </c>
      <c r="I41" s="112" t="str">
        <f>IF($M41="","",INDEX('MTRs'!$U$6:$U$505,$M41))</f>
        <v/>
      </c>
      <c r="J41" s="113" t="str">
        <f>IF($M41="","",INDEX('MTRs'!$AS$6:$AS$505,$M41)&amp;"")</f>
        <v/>
      </c>
      <c r="K41" s="110" t="str">
        <f>IF($M41="","",INDEX('MTRs'!$AT$6:$AT$505,$M41)&amp;"")</f>
        <v/>
      </c>
      <c r="L41" s="110" t="str">
        <f>IF($M41="","",INDEX('MTRs'!$Y$6:$Y$505,$M41)&amp;"")</f>
        <v/>
      </c>
      <c r="M41" t="str">
        <f>IFERROR(MATCH(SMALL('MTRs'!$AU$6:$AU$505,31),'MTRs'!$AU$6:$AU$505,0),"")</f>
        <v/>
      </c>
    </row>
    <row r="42" ht="30" customHeight="1">
      <c r="B42" s="108" t="str">
        <f>IF($M42="","",INDEX('MTRs'!$A$6:$A$505,$M42)&amp;"")</f>
        <v/>
      </c>
      <c r="C42" s="109" t="str">
        <f>IF($M42="","",INDEX('MTRs'!$B$6:$B$505,$M42)&amp;"")</f>
        <v/>
      </c>
      <c r="D42" s="110" t="str">
        <f>IF($M42="","",INDEX('MTRs'!$G$6:$G$505,$M42)&amp;"")</f>
        <v/>
      </c>
      <c r="E42" s="110" t="str">
        <f>IF($M42="","",INDEX('MTRs'!$H$6:$H$505,$M42)&amp;"")</f>
        <v/>
      </c>
      <c r="F42" s="110" t="str">
        <f>IF($M42="","",INDEX('MTRs'!$I$6:$I$505,$M42)&amp;"")</f>
        <v/>
      </c>
      <c r="G42" s="110" t="str">
        <f>IF($M42="","",INDEX('MTRs'!$T$6:$T$505,$M42)&amp;"")</f>
        <v/>
      </c>
      <c r="H42" s="111" t="str">
        <f>IF($M42="","",INDEX('MTRs'!$AQ$6:$AQ$505,$M42))</f>
        <v/>
      </c>
      <c r="I42" s="112" t="str">
        <f>IF($M42="","",INDEX('MTRs'!$U$6:$U$505,$M42))</f>
        <v/>
      </c>
      <c r="J42" s="113" t="str">
        <f>IF($M42="","",INDEX('MTRs'!$AS$6:$AS$505,$M42)&amp;"")</f>
        <v/>
      </c>
      <c r="K42" s="110" t="str">
        <f>IF($M42="","",INDEX('MTRs'!$AT$6:$AT$505,$M42)&amp;"")</f>
        <v/>
      </c>
      <c r="L42" s="110" t="str">
        <f>IF($M42="","",INDEX('MTRs'!$Y$6:$Y$505,$M42)&amp;"")</f>
        <v/>
      </c>
      <c r="M42" t="str">
        <f>IFERROR(MATCH(SMALL('MTRs'!$AU$6:$AU$505,32),'MTRs'!$AU$6:$AU$505,0),"")</f>
        <v/>
      </c>
    </row>
    <row r="43" ht="30" customHeight="1">
      <c r="B43" s="108" t="str">
        <f>IF($M43="","",INDEX('MTRs'!$A$6:$A$505,$M43)&amp;"")</f>
        <v/>
      </c>
      <c r="C43" s="109" t="str">
        <f>IF($M43="","",INDEX('MTRs'!$B$6:$B$505,$M43)&amp;"")</f>
        <v/>
      </c>
      <c r="D43" s="110" t="str">
        <f>IF($M43="","",INDEX('MTRs'!$G$6:$G$505,$M43)&amp;"")</f>
        <v/>
      </c>
      <c r="E43" s="110" t="str">
        <f>IF($M43="","",INDEX('MTRs'!$H$6:$H$505,$M43)&amp;"")</f>
        <v/>
      </c>
      <c r="F43" s="110" t="str">
        <f>IF($M43="","",INDEX('MTRs'!$I$6:$I$505,$M43)&amp;"")</f>
        <v/>
      </c>
      <c r="G43" s="110" t="str">
        <f>IF($M43="","",INDEX('MTRs'!$T$6:$T$505,$M43)&amp;"")</f>
        <v/>
      </c>
      <c r="H43" s="111" t="str">
        <f>IF($M43="","",INDEX('MTRs'!$AQ$6:$AQ$505,$M43))</f>
        <v/>
      </c>
      <c r="I43" s="112" t="str">
        <f>IF($M43="","",INDEX('MTRs'!$U$6:$U$505,$M43))</f>
        <v/>
      </c>
      <c r="J43" s="113" t="str">
        <f>IF($M43="","",INDEX('MTRs'!$AS$6:$AS$505,$M43)&amp;"")</f>
        <v/>
      </c>
      <c r="K43" s="110" t="str">
        <f>IF($M43="","",INDEX('MTRs'!$AT$6:$AT$505,$M43)&amp;"")</f>
        <v/>
      </c>
      <c r="L43" s="110" t="str">
        <f>IF($M43="","",INDEX('MTRs'!$Y$6:$Y$505,$M43)&amp;"")</f>
        <v/>
      </c>
      <c r="M43" t="str">
        <f>IFERROR(MATCH(SMALL('MTRs'!$AU$6:$AU$505,33),'MTRs'!$AU$6:$AU$505,0),"")</f>
        <v/>
      </c>
    </row>
    <row r="44" ht="30" customHeight="1">
      <c r="B44" s="108" t="str">
        <f>IF($M44="","",INDEX('MTRs'!$A$6:$A$505,$M44)&amp;"")</f>
        <v/>
      </c>
      <c r="C44" s="109" t="str">
        <f>IF($M44="","",INDEX('MTRs'!$B$6:$B$505,$M44)&amp;"")</f>
        <v/>
      </c>
      <c r="D44" s="110" t="str">
        <f>IF($M44="","",INDEX('MTRs'!$G$6:$G$505,$M44)&amp;"")</f>
        <v/>
      </c>
      <c r="E44" s="110" t="str">
        <f>IF($M44="","",INDEX('MTRs'!$H$6:$H$505,$M44)&amp;"")</f>
        <v/>
      </c>
      <c r="F44" s="110" t="str">
        <f>IF($M44="","",INDEX('MTRs'!$I$6:$I$505,$M44)&amp;"")</f>
        <v/>
      </c>
      <c r="G44" s="110" t="str">
        <f>IF($M44="","",INDEX('MTRs'!$T$6:$T$505,$M44)&amp;"")</f>
        <v/>
      </c>
      <c r="H44" s="111" t="str">
        <f>IF($M44="","",INDEX('MTRs'!$AQ$6:$AQ$505,$M44))</f>
        <v/>
      </c>
      <c r="I44" s="112" t="str">
        <f>IF($M44="","",INDEX('MTRs'!$U$6:$U$505,$M44))</f>
        <v/>
      </c>
      <c r="J44" s="113" t="str">
        <f>IF($M44="","",INDEX('MTRs'!$AS$6:$AS$505,$M44)&amp;"")</f>
        <v/>
      </c>
      <c r="K44" s="110" t="str">
        <f>IF($M44="","",INDEX('MTRs'!$AT$6:$AT$505,$M44)&amp;"")</f>
        <v/>
      </c>
      <c r="L44" s="110" t="str">
        <f>IF($M44="","",INDEX('MTRs'!$Y$6:$Y$505,$M44)&amp;"")</f>
        <v/>
      </c>
      <c r="M44" t="str">
        <f>IFERROR(MATCH(SMALL('MTRs'!$AU$6:$AU$505,34),'MTRs'!$AU$6:$AU$505,0),"")</f>
        <v/>
      </c>
    </row>
    <row r="45" ht="30" customHeight="1">
      <c r="B45" s="108" t="str">
        <f>IF($M45="","",INDEX('MTRs'!$A$6:$A$505,$M45)&amp;"")</f>
        <v/>
      </c>
      <c r="C45" s="109" t="str">
        <f>IF($M45="","",INDEX('MTRs'!$B$6:$B$505,$M45)&amp;"")</f>
        <v/>
      </c>
      <c r="D45" s="110" t="str">
        <f>IF($M45="","",INDEX('MTRs'!$G$6:$G$505,$M45)&amp;"")</f>
        <v/>
      </c>
      <c r="E45" s="110" t="str">
        <f>IF($M45="","",INDEX('MTRs'!$H$6:$H$505,$M45)&amp;"")</f>
        <v/>
      </c>
      <c r="F45" s="110" t="str">
        <f>IF($M45="","",INDEX('MTRs'!$I$6:$I$505,$M45)&amp;"")</f>
        <v/>
      </c>
      <c r="G45" s="110" t="str">
        <f>IF($M45="","",INDEX('MTRs'!$T$6:$T$505,$M45)&amp;"")</f>
        <v/>
      </c>
      <c r="H45" s="111" t="str">
        <f>IF($M45="","",INDEX('MTRs'!$AQ$6:$AQ$505,$M45))</f>
        <v/>
      </c>
      <c r="I45" s="112" t="str">
        <f>IF($M45="","",INDEX('MTRs'!$U$6:$U$505,$M45))</f>
        <v/>
      </c>
      <c r="J45" s="113" t="str">
        <f>IF($M45="","",INDEX('MTRs'!$AS$6:$AS$505,$M45)&amp;"")</f>
        <v/>
      </c>
      <c r="K45" s="110" t="str">
        <f>IF($M45="","",INDEX('MTRs'!$AT$6:$AT$505,$M45)&amp;"")</f>
        <v/>
      </c>
      <c r="L45" s="110" t="str">
        <f>IF($M45="","",INDEX('MTRs'!$Y$6:$Y$505,$M45)&amp;"")</f>
        <v/>
      </c>
      <c r="M45" t="str">
        <f>IFERROR(MATCH(SMALL('MTRs'!$AU$6:$AU$505,35),'MTRs'!$AU$6:$AU$505,0),"")</f>
        <v/>
      </c>
    </row>
    <row r="46" ht="30" customHeight="1">
      <c r="B46" s="108" t="str">
        <f>IF($M46="","",INDEX('MTRs'!$A$6:$A$505,$M46)&amp;"")</f>
        <v/>
      </c>
      <c r="C46" s="109" t="str">
        <f>IF($M46="","",INDEX('MTRs'!$B$6:$B$505,$M46)&amp;"")</f>
        <v/>
      </c>
      <c r="D46" s="110" t="str">
        <f>IF($M46="","",INDEX('MTRs'!$G$6:$G$505,$M46)&amp;"")</f>
        <v/>
      </c>
      <c r="E46" s="110" t="str">
        <f>IF($M46="","",INDEX('MTRs'!$H$6:$H$505,$M46)&amp;"")</f>
        <v/>
      </c>
      <c r="F46" s="110" t="str">
        <f>IF($M46="","",INDEX('MTRs'!$I$6:$I$505,$M46)&amp;"")</f>
        <v/>
      </c>
      <c r="G46" s="110" t="str">
        <f>IF($M46="","",INDEX('MTRs'!$T$6:$T$505,$M46)&amp;"")</f>
        <v/>
      </c>
      <c r="H46" s="111" t="str">
        <f>IF($M46="","",INDEX('MTRs'!$AQ$6:$AQ$505,$M46))</f>
        <v/>
      </c>
      <c r="I46" s="112" t="str">
        <f>IF($M46="","",INDEX('MTRs'!$U$6:$U$505,$M46))</f>
        <v/>
      </c>
      <c r="J46" s="113" t="str">
        <f>IF($M46="","",INDEX('MTRs'!$AS$6:$AS$505,$M46)&amp;"")</f>
        <v/>
      </c>
      <c r="K46" s="110" t="str">
        <f>IF($M46="","",INDEX('MTRs'!$AT$6:$AT$505,$M46)&amp;"")</f>
        <v/>
      </c>
      <c r="L46" s="110" t="str">
        <f>IF($M46="","",INDEX('MTRs'!$Y$6:$Y$505,$M46)&amp;"")</f>
        <v/>
      </c>
      <c r="M46" t="str">
        <f>IFERROR(MATCH(SMALL('MTRs'!$AU$6:$AU$505,36),'MTRs'!$AU$6:$AU$505,0),"")</f>
        <v/>
      </c>
    </row>
    <row r="47" ht="30" customHeight="1">
      <c r="B47" s="108" t="str">
        <f>IF($M47="","",INDEX('MTRs'!$A$6:$A$505,$M47)&amp;"")</f>
        <v/>
      </c>
      <c r="C47" s="109" t="str">
        <f>IF($M47="","",INDEX('MTRs'!$B$6:$B$505,$M47)&amp;"")</f>
        <v/>
      </c>
      <c r="D47" s="110" t="str">
        <f>IF($M47="","",INDEX('MTRs'!$G$6:$G$505,$M47)&amp;"")</f>
        <v/>
      </c>
      <c r="E47" s="110" t="str">
        <f>IF($M47="","",INDEX('MTRs'!$H$6:$H$505,$M47)&amp;"")</f>
        <v/>
      </c>
      <c r="F47" s="110" t="str">
        <f>IF($M47="","",INDEX('MTRs'!$I$6:$I$505,$M47)&amp;"")</f>
        <v/>
      </c>
      <c r="G47" s="110" t="str">
        <f>IF($M47="","",INDEX('MTRs'!$T$6:$T$505,$M47)&amp;"")</f>
        <v/>
      </c>
      <c r="H47" s="111" t="str">
        <f>IF($M47="","",INDEX('MTRs'!$AQ$6:$AQ$505,$M47))</f>
        <v/>
      </c>
      <c r="I47" s="112" t="str">
        <f>IF($M47="","",INDEX('MTRs'!$U$6:$U$505,$M47))</f>
        <v/>
      </c>
      <c r="J47" s="113" t="str">
        <f>IF($M47="","",INDEX('MTRs'!$AS$6:$AS$505,$M47)&amp;"")</f>
        <v/>
      </c>
      <c r="K47" s="110" t="str">
        <f>IF($M47="","",INDEX('MTRs'!$AT$6:$AT$505,$M47)&amp;"")</f>
        <v/>
      </c>
      <c r="L47" s="110" t="str">
        <f>IF($M47="","",INDEX('MTRs'!$Y$6:$Y$505,$M47)&amp;"")</f>
        <v/>
      </c>
      <c r="M47" t="str">
        <f>IFERROR(MATCH(SMALL('MTRs'!$AU$6:$AU$505,37),'MTRs'!$AU$6:$AU$505,0),"")</f>
        <v/>
      </c>
    </row>
    <row r="48" ht="30" customHeight="1">
      <c r="B48" s="108" t="str">
        <f>IF($M48="","",INDEX('MTRs'!$A$6:$A$505,$M48)&amp;"")</f>
        <v/>
      </c>
      <c r="C48" s="109" t="str">
        <f>IF($M48="","",INDEX('MTRs'!$B$6:$B$505,$M48)&amp;"")</f>
        <v/>
      </c>
      <c r="D48" s="110" t="str">
        <f>IF($M48="","",INDEX('MTRs'!$G$6:$G$505,$M48)&amp;"")</f>
        <v/>
      </c>
      <c r="E48" s="110" t="str">
        <f>IF($M48="","",INDEX('MTRs'!$H$6:$H$505,$M48)&amp;"")</f>
        <v/>
      </c>
      <c r="F48" s="110" t="str">
        <f>IF($M48="","",INDEX('MTRs'!$I$6:$I$505,$M48)&amp;"")</f>
        <v/>
      </c>
      <c r="G48" s="110" t="str">
        <f>IF($M48="","",INDEX('MTRs'!$T$6:$T$505,$M48)&amp;"")</f>
        <v/>
      </c>
      <c r="H48" s="111" t="str">
        <f>IF($M48="","",INDEX('MTRs'!$AQ$6:$AQ$505,$M48))</f>
        <v/>
      </c>
      <c r="I48" s="112" t="str">
        <f>IF($M48="","",INDEX('MTRs'!$U$6:$U$505,$M48))</f>
        <v/>
      </c>
      <c r="J48" s="113" t="str">
        <f>IF($M48="","",INDEX('MTRs'!$AS$6:$AS$505,$M48)&amp;"")</f>
        <v/>
      </c>
      <c r="K48" s="110" t="str">
        <f>IF($M48="","",INDEX('MTRs'!$AT$6:$AT$505,$M48)&amp;"")</f>
        <v/>
      </c>
      <c r="L48" s="110" t="str">
        <f>IF($M48="","",INDEX('MTRs'!$Y$6:$Y$505,$M48)&amp;"")</f>
        <v/>
      </c>
      <c r="M48" t="str">
        <f>IFERROR(MATCH(SMALL('MTRs'!$AU$6:$AU$505,38),'MTRs'!$AU$6:$AU$505,0),"")</f>
        <v/>
      </c>
    </row>
    <row r="49" ht="30" customHeight="1">
      <c r="B49" s="108" t="str">
        <f>IF($M49="","",INDEX('MTRs'!$A$6:$A$505,$M49)&amp;"")</f>
        <v/>
      </c>
      <c r="C49" s="109" t="str">
        <f>IF($M49="","",INDEX('MTRs'!$B$6:$B$505,$M49)&amp;"")</f>
        <v/>
      </c>
      <c r="D49" s="110" t="str">
        <f>IF($M49="","",INDEX('MTRs'!$G$6:$G$505,$M49)&amp;"")</f>
        <v/>
      </c>
      <c r="E49" s="110" t="str">
        <f>IF($M49="","",INDEX('MTRs'!$H$6:$H$505,$M49)&amp;"")</f>
        <v/>
      </c>
      <c r="F49" s="110" t="str">
        <f>IF($M49="","",INDEX('MTRs'!$I$6:$I$505,$M49)&amp;"")</f>
        <v/>
      </c>
      <c r="G49" s="110" t="str">
        <f>IF($M49="","",INDEX('MTRs'!$T$6:$T$505,$M49)&amp;"")</f>
        <v/>
      </c>
      <c r="H49" s="111" t="str">
        <f>IF($M49="","",INDEX('MTRs'!$AQ$6:$AQ$505,$M49))</f>
        <v/>
      </c>
      <c r="I49" s="112" t="str">
        <f>IF($M49="","",INDEX('MTRs'!$U$6:$U$505,$M49))</f>
        <v/>
      </c>
      <c r="J49" s="113" t="str">
        <f>IF($M49="","",INDEX('MTRs'!$AS$6:$AS$505,$M49)&amp;"")</f>
        <v/>
      </c>
      <c r="K49" s="110" t="str">
        <f>IF($M49="","",INDEX('MTRs'!$AT$6:$AT$505,$M49)&amp;"")</f>
        <v/>
      </c>
      <c r="L49" s="110" t="str">
        <f>IF($M49="","",INDEX('MTRs'!$Y$6:$Y$505,$M49)&amp;"")</f>
        <v/>
      </c>
      <c r="M49" t="str">
        <f>IFERROR(MATCH(SMALL('MTRs'!$AU$6:$AU$505,39),'MTRs'!$AU$6:$AU$505,0),"")</f>
        <v/>
      </c>
    </row>
    <row r="50" ht="30" customHeight="1">
      <c r="B50" s="108" t="str">
        <f>IF($M50="","",INDEX('MTRs'!$A$6:$A$505,$M50)&amp;"")</f>
        <v/>
      </c>
      <c r="C50" s="109" t="str">
        <f>IF($M50="","",INDEX('MTRs'!$B$6:$B$505,$M50)&amp;"")</f>
        <v/>
      </c>
      <c r="D50" s="110" t="str">
        <f>IF($M50="","",INDEX('MTRs'!$G$6:$G$505,$M50)&amp;"")</f>
        <v/>
      </c>
      <c r="E50" s="110" t="str">
        <f>IF($M50="","",INDEX('MTRs'!$H$6:$H$505,$M50)&amp;"")</f>
        <v/>
      </c>
      <c r="F50" s="110" t="str">
        <f>IF($M50="","",INDEX('MTRs'!$I$6:$I$505,$M50)&amp;"")</f>
        <v/>
      </c>
      <c r="G50" s="110" t="str">
        <f>IF($M50="","",INDEX('MTRs'!$T$6:$T$505,$M50)&amp;"")</f>
        <v/>
      </c>
      <c r="H50" s="111" t="str">
        <f>IF($M50="","",INDEX('MTRs'!$AQ$6:$AQ$505,$M50))</f>
        <v/>
      </c>
      <c r="I50" s="112" t="str">
        <f>IF($M50="","",INDEX('MTRs'!$U$6:$U$505,$M50))</f>
        <v/>
      </c>
      <c r="J50" s="113" t="str">
        <f>IF($M50="","",INDEX('MTRs'!$AS$6:$AS$505,$M50)&amp;"")</f>
        <v/>
      </c>
      <c r="K50" s="110" t="str">
        <f>IF($M50="","",INDEX('MTRs'!$AT$6:$AT$505,$M50)&amp;"")</f>
        <v/>
      </c>
      <c r="L50" s="110" t="str">
        <f>IF($M50="","",INDEX('MTRs'!$Y$6:$Y$505,$M50)&amp;"")</f>
        <v/>
      </c>
      <c r="M50" t="str">
        <f>IFERROR(MATCH(SMALL('MTRs'!$AU$6:$AU$505,40),'MTRs'!$AU$6:$AU$505,0),"")</f>
        <v/>
      </c>
    </row>
    <row r="51" ht="30" customHeight="1">
      <c r="B51" s="108" t="str">
        <f>IF($M51="","",INDEX('MTRs'!$A$6:$A$505,$M51)&amp;"")</f>
        <v/>
      </c>
      <c r="C51" s="109" t="str">
        <f>IF($M51="","",INDEX('MTRs'!$B$6:$B$505,$M51)&amp;"")</f>
        <v/>
      </c>
      <c r="D51" s="110" t="str">
        <f>IF($M51="","",INDEX('MTRs'!$G$6:$G$505,$M51)&amp;"")</f>
        <v/>
      </c>
      <c r="E51" s="110" t="str">
        <f>IF($M51="","",INDEX('MTRs'!$H$6:$H$505,$M51)&amp;"")</f>
        <v/>
      </c>
      <c r="F51" s="110" t="str">
        <f>IF($M51="","",INDEX('MTRs'!$I$6:$I$505,$M51)&amp;"")</f>
        <v/>
      </c>
      <c r="G51" s="110" t="str">
        <f>IF($M51="","",INDEX('MTRs'!$T$6:$T$505,$M51)&amp;"")</f>
        <v/>
      </c>
      <c r="H51" s="111" t="str">
        <f>IF($M51="","",INDEX('MTRs'!$AQ$6:$AQ$505,$M51))</f>
        <v/>
      </c>
      <c r="I51" s="112" t="str">
        <f>IF($M51="","",INDEX('MTRs'!$U$6:$U$505,$M51))</f>
        <v/>
      </c>
      <c r="J51" s="113" t="str">
        <f>IF($M51="","",INDEX('MTRs'!$AS$6:$AS$505,$M51)&amp;"")</f>
        <v/>
      </c>
      <c r="K51" s="110" t="str">
        <f>IF($M51="","",INDEX('MTRs'!$AT$6:$AT$505,$M51)&amp;"")</f>
        <v/>
      </c>
      <c r="L51" s="110" t="str">
        <f>IF($M51="","",INDEX('MTRs'!$Y$6:$Y$505,$M51)&amp;"")</f>
        <v/>
      </c>
      <c r="M51" t="str">
        <f>IFERROR(MATCH(SMALL('MTRs'!$AU$6:$AU$505,41),'MTRs'!$AU$6:$AU$505,0),"")</f>
        <v/>
      </c>
    </row>
    <row r="52" ht="30" customHeight="1">
      <c r="B52" s="108" t="str">
        <f>IF($M52="","",INDEX('MTRs'!$A$6:$A$505,$M52)&amp;"")</f>
        <v/>
      </c>
      <c r="C52" s="109" t="str">
        <f>IF($M52="","",INDEX('MTRs'!$B$6:$B$505,$M52)&amp;"")</f>
        <v/>
      </c>
      <c r="D52" s="110" t="str">
        <f>IF($M52="","",INDEX('MTRs'!$G$6:$G$505,$M52)&amp;"")</f>
        <v/>
      </c>
      <c r="E52" s="110" t="str">
        <f>IF($M52="","",INDEX('MTRs'!$H$6:$H$505,$M52)&amp;"")</f>
        <v/>
      </c>
      <c r="F52" s="110" t="str">
        <f>IF($M52="","",INDEX('MTRs'!$I$6:$I$505,$M52)&amp;"")</f>
        <v/>
      </c>
      <c r="G52" s="110" t="str">
        <f>IF($M52="","",INDEX('MTRs'!$T$6:$T$505,$M52)&amp;"")</f>
        <v/>
      </c>
      <c r="H52" s="111" t="str">
        <f>IF($M52="","",INDEX('MTRs'!$AQ$6:$AQ$505,$M52))</f>
        <v/>
      </c>
      <c r="I52" s="112" t="str">
        <f>IF($M52="","",INDEX('MTRs'!$U$6:$U$505,$M52))</f>
        <v/>
      </c>
      <c r="J52" s="113" t="str">
        <f>IF($M52="","",INDEX('MTRs'!$AS$6:$AS$505,$M52)&amp;"")</f>
        <v/>
      </c>
      <c r="K52" s="110" t="str">
        <f>IF($M52="","",INDEX('MTRs'!$AT$6:$AT$505,$M52)&amp;"")</f>
        <v/>
      </c>
      <c r="L52" s="110" t="str">
        <f>IF($M52="","",INDEX('MTRs'!$Y$6:$Y$505,$M52)&amp;"")</f>
        <v/>
      </c>
      <c r="M52" t="str">
        <f>IFERROR(MATCH(SMALL('MTRs'!$AU$6:$AU$505,42),'MTRs'!$AU$6:$AU$505,0),"")</f>
        <v/>
      </c>
    </row>
    <row r="53" ht="30" customHeight="1">
      <c r="B53" s="108" t="str">
        <f>IF($M53="","",INDEX('MTRs'!$A$6:$A$505,$M53)&amp;"")</f>
        <v/>
      </c>
      <c r="C53" s="109" t="str">
        <f>IF($M53="","",INDEX('MTRs'!$B$6:$B$505,$M53)&amp;"")</f>
        <v/>
      </c>
      <c r="D53" s="110" t="str">
        <f>IF($M53="","",INDEX('MTRs'!$G$6:$G$505,$M53)&amp;"")</f>
        <v/>
      </c>
      <c r="E53" s="110" t="str">
        <f>IF($M53="","",INDEX('MTRs'!$H$6:$H$505,$M53)&amp;"")</f>
        <v/>
      </c>
      <c r="F53" s="110" t="str">
        <f>IF($M53="","",INDEX('MTRs'!$I$6:$I$505,$M53)&amp;"")</f>
        <v/>
      </c>
      <c r="G53" s="110" t="str">
        <f>IF($M53="","",INDEX('MTRs'!$T$6:$T$505,$M53)&amp;"")</f>
        <v/>
      </c>
      <c r="H53" s="111" t="str">
        <f>IF($M53="","",INDEX('MTRs'!$AQ$6:$AQ$505,$M53))</f>
        <v/>
      </c>
      <c r="I53" s="112" t="str">
        <f>IF($M53="","",INDEX('MTRs'!$U$6:$U$505,$M53))</f>
        <v/>
      </c>
      <c r="J53" s="113" t="str">
        <f>IF($M53="","",INDEX('MTRs'!$AS$6:$AS$505,$M53)&amp;"")</f>
        <v/>
      </c>
      <c r="K53" s="110" t="str">
        <f>IF($M53="","",INDEX('MTRs'!$AT$6:$AT$505,$M53)&amp;"")</f>
        <v/>
      </c>
      <c r="L53" s="110" t="str">
        <f>IF($M53="","",INDEX('MTRs'!$Y$6:$Y$505,$M53)&amp;"")</f>
        <v/>
      </c>
      <c r="M53" t="str">
        <f>IFERROR(MATCH(SMALL('MTRs'!$AU$6:$AU$505,43),'MTRs'!$AU$6:$AU$505,0),"")</f>
        <v/>
      </c>
    </row>
    <row r="54" ht="30" customHeight="1">
      <c r="B54" s="108" t="str">
        <f>IF($M54="","",INDEX('MTRs'!$A$6:$A$505,$M54)&amp;"")</f>
        <v/>
      </c>
      <c r="C54" s="109" t="str">
        <f>IF($M54="","",INDEX('MTRs'!$B$6:$B$505,$M54)&amp;"")</f>
        <v/>
      </c>
      <c r="D54" s="110" t="str">
        <f>IF($M54="","",INDEX('MTRs'!$G$6:$G$505,$M54)&amp;"")</f>
        <v/>
      </c>
      <c r="E54" s="110" t="str">
        <f>IF($M54="","",INDEX('MTRs'!$H$6:$H$505,$M54)&amp;"")</f>
        <v/>
      </c>
      <c r="F54" s="110" t="str">
        <f>IF($M54="","",INDEX('MTRs'!$I$6:$I$505,$M54)&amp;"")</f>
        <v/>
      </c>
      <c r="G54" s="110" t="str">
        <f>IF($M54="","",INDEX('MTRs'!$T$6:$T$505,$M54)&amp;"")</f>
        <v/>
      </c>
      <c r="H54" s="111" t="str">
        <f>IF($M54="","",INDEX('MTRs'!$AQ$6:$AQ$505,$M54))</f>
        <v/>
      </c>
      <c r="I54" s="112" t="str">
        <f>IF($M54="","",INDEX('MTRs'!$U$6:$U$505,$M54))</f>
        <v/>
      </c>
      <c r="J54" s="113" t="str">
        <f>IF($M54="","",INDEX('MTRs'!$AS$6:$AS$505,$M54)&amp;"")</f>
        <v/>
      </c>
      <c r="K54" s="110" t="str">
        <f>IF($M54="","",INDEX('MTRs'!$AT$6:$AT$505,$M54)&amp;"")</f>
        <v/>
      </c>
      <c r="L54" s="110" t="str">
        <f>IF($M54="","",INDEX('MTRs'!$Y$6:$Y$505,$M54)&amp;"")</f>
        <v/>
      </c>
      <c r="M54" t="str">
        <f>IFERROR(MATCH(SMALL('MTRs'!$AU$6:$AU$505,44),'MTRs'!$AU$6:$AU$505,0),"")</f>
        <v/>
      </c>
    </row>
    <row r="55" ht="30" customHeight="1">
      <c r="B55" s="108" t="str">
        <f>IF($M55="","",INDEX('MTRs'!$A$6:$A$505,$M55)&amp;"")</f>
        <v/>
      </c>
      <c r="C55" s="109" t="str">
        <f>IF($M55="","",INDEX('MTRs'!$B$6:$B$505,$M55)&amp;"")</f>
        <v/>
      </c>
      <c r="D55" s="110" t="str">
        <f>IF($M55="","",INDEX('MTRs'!$G$6:$G$505,$M55)&amp;"")</f>
        <v/>
      </c>
      <c r="E55" s="110" t="str">
        <f>IF($M55="","",INDEX('MTRs'!$H$6:$H$505,$M55)&amp;"")</f>
        <v/>
      </c>
      <c r="F55" s="110" t="str">
        <f>IF($M55="","",INDEX('MTRs'!$I$6:$I$505,$M55)&amp;"")</f>
        <v/>
      </c>
      <c r="G55" s="110" t="str">
        <f>IF($M55="","",INDEX('MTRs'!$T$6:$T$505,$M55)&amp;"")</f>
        <v/>
      </c>
      <c r="H55" s="111" t="str">
        <f>IF($M55="","",INDEX('MTRs'!$AQ$6:$AQ$505,$M55))</f>
        <v/>
      </c>
      <c r="I55" s="112" t="str">
        <f>IF($M55="","",INDEX('MTRs'!$U$6:$U$505,$M55))</f>
        <v/>
      </c>
      <c r="J55" s="113" t="str">
        <f>IF($M55="","",INDEX('MTRs'!$AS$6:$AS$505,$M55)&amp;"")</f>
        <v/>
      </c>
      <c r="K55" s="110" t="str">
        <f>IF($M55="","",INDEX('MTRs'!$AT$6:$AT$505,$M55)&amp;"")</f>
        <v/>
      </c>
      <c r="L55" s="110" t="str">
        <f>IF($M55="","",INDEX('MTRs'!$Y$6:$Y$505,$M55)&amp;"")</f>
        <v/>
      </c>
      <c r="M55" t="str">
        <f>IFERROR(MATCH(SMALL('MTRs'!$AU$6:$AU$505,45),'MTRs'!$AU$6:$AU$505,0),"")</f>
        <v/>
      </c>
    </row>
    <row r="56" ht="30" customHeight="1">
      <c r="B56" s="108" t="str">
        <f>IF($M56="","",INDEX('MTRs'!$A$6:$A$505,$M56)&amp;"")</f>
        <v/>
      </c>
      <c r="C56" s="109" t="str">
        <f>IF($M56="","",INDEX('MTRs'!$B$6:$B$505,$M56)&amp;"")</f>
        <v/>
      </c>
      <c r="D56" s="110" t="str">
        <f>IF($M56="","",INDEX('MTRs'!$G$6:$G$505,$M56)&amp;"")</f>
        <v/>
      </c>
      <c r="E56" s="110" t="str">
        <f>IF($M56="","",INDEX('MTRs'!$H$6:$H$505,$M56)&amp;"")</f>
        <v/>
      </c>
      <c r="F56" s="110" t="str">
        <f>IF($M56="","",INDEX('MTRs'!$I$6:$I$505,$M56)&amp;"")</f>
        <v/>
      </c>
      <c r="G56" s="110" t="str">
        <f>IF($M56="","",INDEX('MTRs'!$T$6:$T$505,$M56)&amp;"")</f>
        <v/>
      </c>
      <c r="H56" s="111" t="str">
        <f>IF($M56="","",INDEX('MTRs'!$AQ$6:$AQ$505,$M56))</f>
        <v/>
      </c>
      <c r="I56" s="112" t="str">
        <f>IF($M56="","",INDEX('MTRs'!$U$6:$U$505,$M56))</f>
        <v/>
      </c>
      <c r="J56" s="113" t="str">
        <f>IF($M56="","",INDEX('MTRs'!$AS$6:$AS$505,$M56)&amp;"")</f>
        <v/>
      </c>
      <c r="K56" s="110" t="str">
        <f>IF($M56="","",INDEX('MTRs'!$AT$6:$AT$505,$M56)&amp;"")</f>
        <v/>
      </c>
      <c r="L56" s="110" t="str">
        <f>IF($M56="","",INDEX('MTRs'!$Y$6:$Y$505,$M56)&amp;"")</f>
        <v/>
      </c>
      <c r="M56" t="str">
        <f>IFERROR(MATCH(SMALL('MTRs'!$AU$6:$AU$505,46),'MTRs'!$AU$6:$AU$505,0),"")</f>
        <v/>
      </c>
    </row>
    <row r="57" ht="30" customHeight="1">
      <c r="B57" s="108" t="str">
        <f>IF($M57="","",INDEX('MTRs'!$A$6:$A$505,$M57)&amp;"")</f>
        <v/>
      </c>
      <c r="C57" s="109" t="str">
        <f>IF($M57="","",INDEX('MTRs'!$B$6:$B$505,$M57)&amp;"")</f>
        <v/>
      </c>
      <c r="D57" s="110" t="str">
        <f>IF($M57="","",INDEX('MTRs'!$G$6:$G$505,$M57)&amp;"")</f>
        <v/>
      </c>
      <c r="E57" s="110" t="str">
        <f>IF($M57="","",INDEX('MTRs'!$H$6:$H$505,$M57)&amp;"")</f>
        <v/>
      </c>
      <c r="F57" s="110" t="str">
        <f>IF($M57="","",INDEX('MTRs'!$I$6:$I$505,$M57)&amp;"")</f>
        <v/>
      </c>
      <c r="G57" s="110" t="str">
        <f>IF($M57="","",INDEX('MTRs'!$T$6:$T$505,$M57)&amp;"")</f>
        <v/>
      </c>
      <c r="H57" s="111" t="str">
        <f>IF($M57="","",INDEX('MTRs'!$AQ$6:$AQ$505,$M57))</f>
        <v/>
      </c>
      <c r="I57" s="112" t="str">
        <f>IF($M57="","",INDEX('MTRs'!$U$6:$U$505,$M57))</f>
        <v/>
      </c>
      <c r="J57" s="113" t="str">
        <f>IF($M57="","",INDEX('MTRs'!$AS$6:$AS$505,$M57)&amp;"")</f>
        <v/>
      </c>
      <c r="K57" s="110" t="str">
        <f>IF($M57="","",INDEX('MTRs'!$AT$6:$AT$505,$M57)&amp;"")</f>
        <v/>
      </c>
      <c r="L57" s="110" t="str">
        <f>IF($M57="","",INDEX('MTRs'!$Y$6:$Y$505,$M57)&amp;"")</f>
        <v/>
      </c>
      <c r="M57" t="str">
        <f>IFERROR(MATCH(SMALL('MTRs'!$AU$6:$AU$505,47),'MTRs'!$AU$6:$AU$505,0),"")</f>
        <v/>
      </c>
    </row>
    <row r="58" ht="30" customHeight="1">
      <c r="B58" s="108" t="str">
        <f>IF($M58="","",INDEX('MTRs'!$A$6:$A$505,$M58)&amp;"")</f>
        <v/>
      </c>
      <c r="C58" s="109" t="str">
        <f>IF($M58="","",INDEX('MTRs'!$B$6:$B$505,$M58)&amp;"")</f>
        <v/>
      </c>
      <c r="D58" s="110" t="str">
        <f>IF($M58="","",INDEX('MTRs'!$G$6:$G$505,$M58)&amp;"")</f>
        <v/>
      </c>
      <c r="E58" s="110" t="str">
        <f>IF($M58="","",INDEX('MTRs'!$H$6:$H$505,$M58)&amp;"")</f>
        <v/>
      </c>
      <c r="F58" s="110" t="str">
        <f>IF($M58="","",INDEX('MTRs'!$I$6:$I$505,$M58)&amp;"")</f>
        <v/>
      </c>
      <c r="G58" s="110" t="str">
        <f>IF($M58="","",INDEX('MTRs'!$T$6:$T$505,$M58)&amp;"")</f>
        <v/>
      </c>
      <c r="H58" s="111" t="str">
        <f>IF($M58="","",INDEX('MTRs'!$AQ$6:$AQ$505,$M58))</f>
        <v/>
      </c>
      <c r="I58" s="112" t="str">
        <f>IF($M58="","",INDEX('MTRs'!$U$6:$U$505,$M58))</f>
        <v/>
      </c>
      <c r="J58" s="113" t="str">
        <f>IF($M58="","",INDEX('MTRs'!$AS$6:$AS$505,$M58)&amp;"")</f>
        <v/>
      </c>
      <c r="K58" s="110" t="str">
        <f>IF($M58="","",INDEX('MTRs'!$AT$6:$AT$505,$M58)&amp;"")</f>
        <v/>
      </c>
      <c r="L58" s="110" t="str">
        <f>IF($M58="","",INDEX('MTRs'!$Y$6:$Y$505,$M58)&amp;"")</f>
        <v/>
      </c>
      <c r="M58" t="str">
        <f>IFERROR(MATCH(SMALL('MTRs'!$AU$6:$AU$505,48),'MTRs'!$AU$6:$AU$505,0),"")</f>
        <v/>
      </c>
    </row>
    <row r="59" ht="30" customHeight="1">
      <c r="B59" s="108" t="str">
        <f>IF($M59="","",INDEX('MTRs'!$A$6:$A$505,$M59)&amp;"")</f>
        <v/>
      </c>
      <c r="C59" s="109" t="str">
        <f>IF($M59="","",INDEX('MTRs'!$B$6:$B$505,$M59)&amp;"")</f>
        <v/>
      </c>
      <c r="D59" s="110" t="str">
        <f>IF($M59="","",INDEX('MTRs'!$G$6:$G$505,$M59)&amp;"")</f>
        <v/>
      </c>
      <c r="E59" s="110" t="str">
        <f>IF($M59="","",INDEX('MTRs'!$H$6:$H$505,$M59)&amp;"")</f>
        <v/>
      </c>
      <c r="F59" s="110" t="str">
        <f>IF($M59="","",INDEX('MTRs'!$I$6:$I$505,$M59)&amp;"")</f>
        <v/>
      </c>
      <c r="G59" s="110" t="str">
        <f>IF($M59="","",INDEX('MTRs'!$T$6:$T$505,$M59)&amp;"")</f>
        <v/>
      </c>
      <c r="H59" s="111" t="str">
        <f>IF($M59="","",INDEX('MTRs'!$AQ$6:$AQ$505,$M59))</f>
        <v/>
      </c>
      <c r="I59" s="112" t="str">
        <f>IF($M59="","",INDEX('MTRs'!$U$6:$U$505,$M59))</f>
        <v/>
      </c>
      <c r="J59" s="113" t="str">
        <f>IF($M59="","",INDEX('MTRs'!$AS$6:$AS$505,$M59)&amp;"")</f>
        <v/>
      </c>
      <c r="K59" s="110" t="str">
        <f>IF($M59="","",INDEX('MTRs'!$AT$6:$AT$505,$M59)&amp;"")</f>
        <v/>
      </c>
      <c r="L59" s="110" t="str">
        <f>IF($M59="","",INDEX('MTRs'!$Y$6:$Y$505,$M59)&amp;"")</f>
        <v/>
      </c>
      <c r="M59" t="str">
        <f>IFERROR(MATCH(SMALL('MTRs'!$AU$6:$AU$505,49),'MTRs'!$AU$6:$AU$505,0),"")</f>
        <v/>
      </c>
    </row>
    <row r="60" ht="30" customHeight="1">
      <c r="B60" s="108" t="str">
        <f>IF($M60="","",INDEX('MTRs'!$A$6:$A$505,$M60)&amp;"")</f>
        <v/>
      </c>
      <c r="C60" s="109" t="str">
        <f>IF($M60="","",INDEX('MTRs'!$B$6:$B$505,$M60)&amp;"")</f>
        <v/>
      </c>
      <c r="D60" s="110" t="str">
        <f>IF($M60="","",INDEX('MTRs'!$G$6:$G$505,$M60)&amp;"")</f>
        <v/>
      </c>
      <c r="E60" s="110" t="str">
        <f>IF($M60="","",INDEX('MTRs'!$H$6:$H$505,$M60)&amp;"")</f>
        <v/>
      </c>
      <c r="F60" s="110" t="str">
        <f>IF($M60="","",INDEX('MTRs'!$I$6:$I$505,$M60)&amp;"")</f>
        <v/>
      </c>
      <c r="G60" s="110" t="str">
        <f>IF($M60="","",INDEX('MTRs'!$T$6:$T$505,$M60)&amp;"")</f>
        <v/>
      </c>
      <c r="H60" s="111" t="str">
        <f>IF($M60="","",INDEX('MTRs'!$AQ$6:$AQ$505,$M60))</f>
        <v/>
      </c>
      <c r="I60" s="112" t="str">
        <f>IF($M60="","",INDEX('MTRs'!$U$6:$U$505,$M60))</f>
        <v/>
      </c>
      <c r="J60" s="113" t="str">
        <f>IF($M60="","",INDEX('MTRs'!$AS$6:$AS$505,$M60)&amp;"")</f>
        <v/>
      </c>
      <c r="K60" s="110" t="str">
        <f>IF($M60="","",INDEX('MTRs'!$AT$6:$AT$505,$M60)&amp;"")</f>
        <v/>
      </c>
      <c r="L60" s="110" t="str">
        <f>IF($M60="","",INDEX('MTRs'!$Y$6:$Y$505,$M60)&amp;"")</f>
        <v/>
      </c>
      <c r="M60" t="str">
        <f>IFERROR(MATCH(SMALL('MTRs'!$AU$6:$AU$505,50),'MTRs'!$AU$6:$AU$505,0),"")</f>
        <v/>
      </c>
    </row>
    <row r="61" ht="30" customHeight="1">
      <c r="B61" s="108" t="str">
        <f>IF($M61="","",INDEX('MTRs'!$A$6:$A$505,$M61)&amp;"")</f>
        <v/>
      </c>
      <c r="C61" s="109" t="str">
        <f>IF($M61="","",INDEX('MTRs'!$B$6:$B$505,$M61)&amp;"")</f>
        <v/>
      </c>
      <c r="D61" s="110" t="str">
        <f>IF($M61="","",INDEX('MTRs'!$G$6:$G$505,$M61)&amp;"")</f>
        <v/>
      </c>
      <c r="E61" s="110" t="str">
        <f>IF($M61="","",INDEX('MTRs'!$H$6:$H$505,$M61)&amp;"")</f>
        <v/>
      </c>
      <c r="F61" s="110" t="str">
        <f>IF($M61="","",INDEX('MTRs'!$I$6:$I$505,$M61)&amp;"")</f>
        <v/>
      </c>
      <c r="G61" s="110" t="str">
        <f>IF($M61="","",INDEX('MTRs'!$T$6:$T$505,$M61)&amp;"")</f>
        <v/>
      </c>
      <c r="H61" s="111" t="str">
        <f>IF($M61="","",INDEX('MTRs'!$AQ$6:$AQ$505,$M61))</f>
        <v/>
      </c>
      <c r="I61" s="112" t="str">
        <f>IF($M61="","",INDEX('MTRs'!$U$6:$U$505,$M61))</f>
        <v/>
      </c>
      <c r="J61" s="113" t="str">
        <f>IF($M61="","",INDEX('MTRs'!$AS$6:$AS$505,$M61)&amp;"")</f>
        <v/>
      </c>
      <c r="K61" s="110" t="str">
        <f>IF($M61="","",INDEX('MTRs'!$AT$6:$AT$505,$M61)&amp;"")</f>
        <v/>
      </c>
      <c r="L61" s="110" t="str">
        <f>IF($M61="","",INDEX('MTRs'!$Y$6:$Y$505,$M61)&amp;"")</f>
        <v/>
      </c>
      <c r="M61" t="str">
        <f>IFERROR(MATCH(SMALL('MTRs'!$AU$6:$AU$505,51),'MTRs'!$AU$6:$AU$505,0),"")</f>
        <v/>
      </c>
    </row>
    <row r="62" ht="30" customHeight="1">
      <c r="B62" s="108" t="str">
        <f>IF($M62="","",INDEX('MTRs'!$A$6:$A$505,$M62)&amp;"")</f>
        <v/>
      </c>
      <c r="C62" s="109" t="str">
        <f>IF($M62="","",INDEX('MTRs'!$B$6:$B$505,$M62)&amp;"")</f>
        <v/>
      </c>
      <c r="D62" s="110" t="str">
        <f>IF($M62="","",INDEX('MTRs'!$G$6:$G$505,$M62)&amp;"")</f>
        <v/>
      </c>
      <c r="E62" s="110" t="str">
        <f>IF($M62="","",INDEX('MTRs'!$H$6:$H$505,$M62)&amp;"")</f>
        <v/>
      </c>
      <c r="F62" s="110" t="str">
        <f>IF($M62="","",INDEX('MTRs'!$I$6:$I$505,$M62)&amp;"")</f>
        <v/>
      </c>
      <c r="G62" s="110" t="str">
        <f>IF($M62="","",INDEX('MTRs'!$T$6:$T$505,$M62)&amp;"")</f>
        <v/>
      </c>
      <c r="H62" s="111" t="str">
        <f>IF($M62="","",INDEX('MTRs'!$AQ$6:$AQ$505,$M62))</f>
        <v/>
      </c>
      <c r="I62" s="112" t="str">
        <f>IF($M62="","",INDEX('MTRs'!$U$6:$U$505,$M62))</f>
        <v/>
      </c>
      <c r="J62" s="113" t="str">
        <f>IF($M62="","",INDEX('MTRs'!$AS$6:$AS$505,$M62)&amp;"")</f>
        <v/>
      </c>
      <c r="K62" s="110" t="str">
        <f>IF($M62="","",INDEX('MTRs'!$AT$6:$AT$505,$M62)&amp;"")</f>
        <v/>
      </c>
      <c r="L62" s="110" t="str">
        <f>IF($M62="","",INDEX('MTRs'!$Y$6:$Y$505,$M62)&amp;"")</f>
        <v/>
      </c>
      <c r="M62" t="str">
        <f>IFERROR(MATCH(SMALL('MTRs'!$AU$6:$AU$505,52),'MTRs'!$AU$6:$AU$505,0),"")</f>
        <v/>
      </c>
    </row>
    <row r="63" ht="30" customHeight="1">
      <c r="B63" s="108" t="str">
        <f>IF($M63="","",INDEX('MTRs'!$A$6:$A$505,$M63)&amp;"")</f>
        <v/>
      </c>
      <c r="C63" s="109" t="str">
        <f>IF($M63="","",INDEX('MTRs'!$B$6:$B$505,$M63)&amp;"")</f>
        <v/>
      </c>
      <c r="D63" s="110" t="str">
        <f>IF($M63="","",INDEX('MTRs'!$G$6:$G$505,$M63)&amp;"")</f>
        <v/>
      </c>
      <c r="E63" s="110" t="str">
        <f>IF($M63="","",INDEX('MTRs'!$H$6:$H$505,$M63)&amp;"")</f>
        <v/>
      </c>
      <c r="F63" s="110" t="str">
        <f>IF($M63="","",INDEX('MTRs'!$I$6:$I$505,$M63)&amp;"")</f>
        <v/>
      </c>
      <c r="G63" s="110" t="str">
        <f>IF($M63="","",INDEX('MTRs'!$T$6:$T$505,$M63)&amp;"")</f>
        <v/>
      </c>
      <c r="H63" s="111" t="str">
        <f>IF($M63="","",INDEX('MTRs'!$AQ$6:$AQ$505,$M63))</f>
        <v/>
      </c>
      <c r="I63" s="112" t="str">
        <f>IF($M63="","",INDEX('MTRs'!$U$6:$U$505,$M63))</f>
        <v/>
      </c>
      <c r="J63" s="113" t="str">
        <f>IF($M63="","",INDEX('MTRs'!$AS$6:$AS$505,$M63)&amp;"")</f>
        <v/>
      </c>
      <c r="K63" s="110" t="str">
        <f>IF($M63="","",INDEX('MTRs'!$AT$6:$AT$505,$M63)&amp;"")</f>
        <v/>
      </c>
      <c r="L63" s="110" t="str">
        <f>IF($M63="","",INDEX('MTRs'!$Y$6:$Y$505,$M63)&amp;"")</f>
        <v/>
      </c>
      <c r="M63" t="str">
        <f>IFERROR(MATCH(SMALL('MTRs'!$AU$6:$AU$505,53),'MTRs'!$AU$6:$AU$505,0),"")</f>
        <v/>
      </c>
    </row>
    <row r="64" ht="30" customHeight="1">
      <c r="B64" s="108" t="str">
        <f>IF($M64="","",INDEX('MTRs'!$A$6:$A$505,$M64)&amp;"")</f>
        <v/>
      </c>
      <c r="C64" s="109" t="str">
        <f>IF($M64="","",INDEX('MTRs'!$B$6:$B$505,$M64)&amp;"")</f>
        <v/>
      </c>
      <c r="D64" s="110" t="str">
        <f>IF($M64="","",INDEX('MTRs'!$G$6:$G$505,$M64)&amp;"")</f>
        <v/>
      </c>
      <c r="E64" s="110" t="str">
        <f>IF($M64="","",INDEX('MTRs'!$H$6:$H$505,$M64)&amp;"")</f>
        <v/>
      </c>
      <c r="F64" s="110" t="str">
        <f>IF($M64="","",INDEX('MTRs'!$I$6:$I$505,$M64)&amp;"")</f>
        <v/>
      </c>
      <c r="G64" s="110" t="str">
        <f>IF($M64="","",INDEX('MTRs'!$T$6:$T$505,$M64)&amp;"")</f>
        <v/>
      </c>
      <c r="H64" s="111" t="str">
        <f>IF($M64="","",INDEX('MTRs'!$AQ$6:$AQ$505,$M64))</f>
        <v/>
      </c>
      <c r="I64" s="112" t="str">
        <f>IF($M64="","",INDEX('MTRs'!$U$6:$U$505,$M64))</f>
        <v/>
      </c>
      <c r="J64" s="113" t="str">
        <f>IF($M64="","",INDEX('MTRs'!$AS$6:$AS$505,$M64)&amp;"")</f>
        <v/>
      </c>
      <c r="K64" s="110" t="str">
        <f>IF($M64="","",INDEX('MTRs'!$AT$6:$AT$505,$M64)&amp;"")</f>
        <v/>
      </c>
      <c r="L64" s="110" t="str">
        <f>IF($M64="","",INDEX('MTRs'!$Y$6:$Y$505,$M64)&amp;"")</f>
        <v/>
      </c>
      <c r="M64" t="str">
        <f>IFERROR(MATCH(SMALL('MTRs'!$AU$6:$AU$505,54),'MTRs'!$AU$6:$AU$505,0),"")</f>
        <v/>
      </c>
    </row>
    <row r="65" ht="30" customHeight="1">
      <c r="B65" s="108" t="str">
        <f>IF($M65="","",INDEX('MTRs'!$A$6:$A$505,$M65)&amp;"")</f>
        <v/>
      </c>
      <c r="C65" s="109" t="str">
        <f>IF($M65="","",INDEX('MTRs'!$B$6:$B$505,$M65)&amp;"")</f>
        <v/>
      </c>
      <c r="D65" s="110" t="str">
        <f>IF($M65="","",INDEX('MTRs'!$G$6:$G$505,$M65)&amp;"")</f>
        <v/>
      </c>
      <c r="E65" s="110" t="str">
        <f>IF($M65="","",INDEX('MTRs'!$H$6:$H$505,$M65)&amp;"")</f>
        <v/>
      </c>
      <c r="F65" s="110" t="str">
        <f>IF($M65="","",INDEX('MTRs'!$I$6:$I$505,$M65)&amp;"")</f>
        <v/>
      </c>
      <c r="G65" s="110" t="str">
        <f>IF($M65="","",INDEX('MTRs'!$T$6:$T$505,$M65)&amp;"")</f>
        <v/>
      </c>
      <c r="H65" s="111" t="str">
        <f>IF($M65="","",INDEX('MTRs'!$AQ$6:$AQ$505,$M65))</f>
        <v/>
      </c>
      <c r="I65" s="112" t="str">
        <f>IF($M65="","",INDEX('MTRs'!$U$6:$U$505,$M65))</f>
        <v/>
      </c>
      <c r="J65" s="113" t="str">
        <f>IF($M65="","",INDEX('MTRs'!$AS$6:$AS$505,$M65)&amp;"")</f>
        <v/>
      </c>
      <c r="K65" s="110" t="str">
        <f>IF($M65="","",INDEX('MTRs'!$AT$6:$AT$505,$M65)&amp;"")</f>
        <v/>
      </c>
      <c r="L65" s="110" t="str">
        <f>IF($M65="","",INDEX('MTRs'!$Y$6:$Y$505,$M65)&amp;"")</f>
        <v/>
      </c>
      <c r="M65" t="str">
        <f>IFERROR(MATCH(SMALL('MTRs'!$AU$6:$AU$505,55),'MTRs'!$AU$6:$AU$505,0),"")</f>
        <v/>
      </c>
    </row>
    <row r="66" ht="30" customHeight="1">
      <c r="B66" s="108" t="str">
        <f>IF($M66="","",INDEX('MTRs'!$A$6:$A$505,$M66)&amp;"")</f>
        <v/>
      </c>
      <c r="C66" s="109" t="str">
        <f>IF($M66="","",INDEX('MTRs'!$B$6:$B$505,$M66)&amp;"")</f>
        <v/>
      </c>
      <c r="D66" s="110" t="str">
        <f>IF($M66="","",INDEX('MTRs'!$G$6:$G$505,$M66)&amp;"")</f>
        <v/>
      </c>
      <c r="E66" s="110" t="str">
        <f>IF($M66="","",INDEX('MTRs'!$H$6:$H$505,$M66)&amp;"")</f>
        <v/>
      </c>
      <c r="F66" s="110" t="str">
        <f>IF($M66="","",INDEX('MTRs'!$I$6:$I$505,$M66)&amp;"")</f>
        <v/>
      </c>
      <c r="G66" s="110" t="str">
        <f>IF($M66="","",INDEX('MTRs'!$T$6:$T$505,$M66)&amp;"")</f>
        <v/>
      </c>
      <c r="H66" s="111" t="str">
        <f>IF($M66="","",INDEX('MTRs'!$AQ$6:$AQ$505,$M66))</f>
        <v/>
      </c>
      <c r="I66" s="112" t="str">
        <f>IF($M66="","",INDEX('MTRs'!$U$6:$U$505,$M66))</f>
        <v/>
      </c>
      <c r="J66" s="113" t="str">
        <f>IF($M66="","",INDEX('MTRs'!$AS$6:$AS$505,$M66)&amp;"")</f>
        <v/>
      </c>
      <c r="K66" s="110" t="str">
        <f>IF($M66="","",INDEX('MTRs'!$AT$6:$AT$505,$M66)&amp;"")</f>
        <v/>
      </c>
      <c r="L66" s="110" t="str">
        <f>IF($M66="","",INDEX('MTRs'!$Y$6:$Y$505,$M66)&amp;"")</f>
        <v/>
      </c>
      <c r="M66" t="str">
        <f>IFERROR(MATCH(SMALL('MTRs'!$AU$6:$AU$505,56),'MTRs'!$AU$6:$AU$505,0),"")</f>
        <v/>
      </c>
    </row>
    <row r="67" ht="30" customHeight="1">
      <c r="B67" s="108" t="str">
        <f>IF($M67="","",INDEX('MTRs'!$A$6:$A$505,$M67)&amp;"")</f>
        <v/>
      </c>
      <c r="C67" s="109" t="str">
        <f>IF($M67="","",INDEX('MTRs'!$B$6:$B$505,$M67)&amp;"")</f>
        <v/>
      </c>
      <c r="D67" s="110" t="str">
        <f>IF($M67="","",INDEX('MTRs'!$G$6:$G$505,$M67)&amp;"")</f>
        <v/>
      </c>
      <c r="E67" s="110" t="str">
        <f>IF($M67="","",INDEX('MTRs'!$H$6:$H$505,$M67)&amp;"")</f>
        <v/>
      </c>
      <c r="F67" s="110" t="str">
        <f>IF($M67="","",INDEX('MTRs'!$I$6:$I$505,$M67)&amp;"")</f>
        <v/>
      </c>
      <c r="G67" s="110" t="str">
        <f>IF($M67="","",INDEX('MTRs'!$T$6:$T$505,$M67)&amp;"")</f>
        <v/>
      </c>
      <c r="H67" s="111" t="str">
        <f>IF($M67="","",INDEX('MTRs'!$AQ$6:$AQ$505,$M67))</f>
        <v/>
      </c>
      <c r="I67" s="112" t="str">
        <f>IF($M67="","",INDEX('MTRs'!$U$6:$U$505,$M67))</f>
        <v/>
      </c>
      <c r="J67" s="113" t="str">
        <f>IF($M67="","",INDEX('MTRs'!$AS$6:$AS$505,$M67)&amp;"")</f>
        <v/>
      </c>
      <c r="K67" s="110" t="str">
        <f>IF($M67="","",INDEX('MTRs'!$AT$6:$AT$505,$M67)&amp;"")</f>
        <v/>
      </c>
      <c r="L67" s="110" t="str">
        <f>IF($M67="","",INDEX('MTRs'!$Y$6:$Y$505,$M67)&amp;"")</f>
        <v/>
      </c>
      <c r="M67" t="str">
        <f>IFERROR(MATCH(SMALL('MTRs'!$AU$6:$AU$505,57),'MTRs'!$AU$6:$AU$505,0),"")</f>
        <v/>
      </c>
    </row>
    <row r="68" ht="30" customHeight="1">
      <c r="B68" s="108" t="str">
        <f>IF($M68="","",INDEX('MTRs'!$A$6:$A$505,$M68)&amp;"")</f>
        <v/>
      </c>
      <c r="C68" s="109" t="str">
        <f>IF($M68="","",INDEX('MTRs'!$B$6:$B$505,$M68)&amp;"")</f>
        <v/>
      </c>
      <c r="D68" s="110" t="str">
        <f>IF($M68="","",INDEX('MTRs'!$G$6:$G$505,$M68)&amp;"")</f>
        <v/>
      </c>
      <c r="E68" s="110" t="str">
        <f>IF($M68="","",INDEX('MTRs'!$H$6:$H$505,$M68)&amp;"")</f>
        <v/>
      </c>
      <c r="F68" s="110" t="str">
        <f>IF($M68="","",INDEX('MTRs'!$I$6:$I$505,$M68)&amp;"")</f>
        <v/>
      </c>
      <c r="G68" s="110" t="str">
        <f>IF($M68="","",INDEX('MTRs'!$T$6:$T$505,$M68)&amp;"")</f>
        <v/>
      </c>
      <c r="H68" s="111" t="str">
        <f>IF($M68="","",INDEX('MTRs'!$AQ$6:$AQ$505,$M68))</f>
        <v/>
      </c>
      <c r="I68" s="112" t="str">
        <f>IF($M68="","",INDEX('MTRs'!$U$6:$U$505,$M68))</f>
        <v/>
      </c>
      <c r="J68" s="113" t="str">
        <f>IF($M68="","",INDEX('MTRs'!$AS$6:$AS$505,$M68)&amp;"")</f>
        <v/>
      </c>
      <c r="K68" s="110" t="str">
        <f>IF($M68="","",INDEX('MTRs'!$AT$6:$AT$505,$M68)&amp;"")</f>
        <v/>
      </c>
      <c r="L68" s="110" t="str">
        <f>IF($M68="","",INDEX('MTRs'!$Y$6:$Y$505,$M68)&amp;"")</f>
        <v/>
      </c>
      <c r="M68" t="str">
        <f>IFERROR(MATCH(SMALL('MTRs'!$AU$6:$AU$505,58),'MTRs'!$AU$6:$AU$505,0),"")</f>
        <v/>
      </c>
    </row>
    <row r="69" ht="30" customHeight="1">
      <c r="B69" s="108" t="str">
        <f>IF($M69="","",INDEX('MTRs'!$A$6:$A$505,$M69)&amp;"")</f>
        <v/>
      </c>
      <c r="C69" s="109" t="str">
        <f>IF($M69="","",INDEX('MTRs'!$B$6:$B$505,$M69)&amp;"")</f>
        <v/>
      </c>
      <c r="D69" s="110" t="str">
        <f>IF($M69="","",INDEX('MTRs'!$G$6:$G$505,$M69)&amp;"")</f>
        <v/>
      </c>
      <c r="E69" s="110" t="str">
        <f>IF($M69="","",INDEX('MTRs'!$H$6:$H$505,$M69)&amp;"")</f>
        <v/>
      </c>
      <c r="F69" s="110" t="str">
        <f>IF($M69="","",INDEX('MTRs'!$I$6:$I$505,$M69)&amp;"")</f>
        <v/>
      </c>
      <c r="G69" s="110" t="str">
        <f>IF($M69="","",INDEX('MTRs'!$T$6:$T$505,$M69)&amp;"")</f>
        <v/>
      </c>
      <c r="H69" s="111" t="str">
        <f>IF($M69="","",INDEX('MTRs'!$AQ$6:$AQ$505,$M69))</f>
        <v/>
      </c>
      <c r="I69" s="112" t="str">
        <f>IF($M69="","",INDEX('MTRs'!$U$6:$U$505,$M69))</f>
        <v/>
      </c>
      <c r="J69" s="113" t="str">
        <f>IF($M69="","",INDEX('MTRs'!$AS$6:$AS$505,$M69)&amp;"")</f>
        <v/>
      </c>
      <c r="K69" s="110" t="str">
        <f>IF($M69="","",INDEX('MTRs'!$AT$6:$AT$505,$M69)&amp;"")</f>
        <v/>
      </c>
      <c r="L69" s="110" t="str">
        <f>IF($M69="","",INDEX('MTRs'!$Y$6:$Y$505,$M69)&amp;"")</f>
        <v/>
      </c>
      <c r="M69" t="str">
        <f>IFERROR(MATCH(SMALL('MTRs'!$AU$6:$AU$505,59),'MTRs'!$AU$6:$AU$505,0),"")</f>
        <v/>
      </c>
    </row>
    <row r="70" ht="30" customHeight="1">
      <c r="B70" s="108" t="str">
        <f>IF($M70="","",INDEX('MTRs'!$A$6:$A$505,$M70)&amp;"")</f>
        <v/>
      </c>
      <c r="C70" s="109" t="str">
        <f>IF($M70="","",INDEX('MTRs'!$B$6:$B$505,$M70)&amp;"")</f>
        <v/>
      </c>
      <c r="D70" s="110" t="str">
        <f>IF($M70="","",INDEX('MTRs'!$G$6:$G$505,$M70)&amp;"")</f>
        <v/>
      </c>
      <c r="E70" s="110" t="str">
        <f>IF($M70="","",INDEX('MTRs'!$H$6:$H$505,$M70)&amp;"")</f>
        <v/>
      </c>
      <c r="F70" s="110" t="str">
        <f>IF($M70="","",INDEX('MTRs'!$I$6:$I$505,$M70)&amp;"")</f>
        <v/>
      </c>
      <c r="G70" s="110" t="str">
        <f>IF($M70="","",INDEX('MTRs'!$T$6:$T$505,$M70)&amp;"")</f>
        <v/>
      </c>
      <c r="H70" s="111" t="str">
        <f>IF($M70="","",INDEX('MTRs'!$AQ$6:$AQ$505,$M70))</f>
        <v/>
      </c>
      <c r="I70" s="112" t="str">
        <f>IF($M70="","",INDEX('MTRs'!$U$6:$U$505,$M70))</f>
        <v/>
      </c>
      <c r="J70" s="113" t="str">
        <f>IF($M70="","",INDEX('MTRs'!$AS$6:$AS$505,$M70)&amp;"")</f>
        <v/>
      </c>
      <c r="K70" s="110" t="str">
        <f>IF($M70="","",INDEX('MTRs'!$AT$6:$AT$505,$M70)&amp;"")</f>
        <v/>
      </c>
      <c r="L70" s="110" t="str">
        <f>IF($M70="","",INDEX('MTRs'!$Y$6:$Y$505,$M70)&amp;"")</f>
        <v/>
      </c>
      <c r="M70" t="str">
        <f>IFERROR(MATCH(SMALL('MTRs'!$AU$6:$AU$505,60),'MTRs'!$AU$6:$AU$505,0),"")</f>
        <v/>
      </c>
    </row>
    <row r="71" ht="30" customHeight="1">
      <c r="B71" s="108" t="str">
        <f>IF($M71="","",INDEX('MTRs'!$A$6:$A$505,$M71)&amp;"")</f>
        <v/>
      </c>
      <c r="C71" s="109" t="str">
        <f>IF($M71="","",INDEX('MTRs'!$B$6:$B$505,$M71)&amp;"")</f>
        <v/>
      </c>
      <c r="D71" s="110" t="str">
        <f>IF($M71="","",INDEX('MTRs'!$G$6:$G$505,$M71)&amp;"")</f>
        <v/>
      </c>
      <c r="E71" s="110" t="str">
        <f>IF($M71="","",INDEX('MTRs'!$H$6:$H$505,$M71)&amp;"")</f>
        <v/>
      </c>
      <c r="F71" s="110" t="str">
        <f>IF($M71="","",INDEX('MTRs'!$I$6:$I$505,$M71)&amp;"")</f>
        <v/>
      </c>
      <c r="G71" s="110" t="str">
        <f>IF($M71="","",INDEX('MTRs'!$T$6:$T$505,$M71)&amp;"")</f>
        <v/>
      </c>
      <c r="H71" s="111" t="str">
        <f>IF($M71="","",INDEX('MTRs'!$AQ$6:$AQ$505,$M71))</f>
        <v/>
      </c>
      <c r="I71" s="112" t="str">
        <f>IF($M71="","",INDEX('MTRs'!$U$6:$U$505,$M71))</f>
        <v/>
      </c>
      <c r="J71" s="113" t="str">
        <f>IF($M71="","",INDEX('MTRs'!$AS$6:$AS$505,$M71)&amp;"")</f>
        <v/>
      </c>
      <c r="K71" s="110" t="str">
        <f>IF($M71="","",INDEX('MTRs'!$AT$6:$AT$505,$M71)&amp;"")</f>
        <v/>
      </c>
      <c r="L71" s="110" t="str">
        <f>IF($M71="","",INDEX('MTRs'!$Y$6:$Y$505,$M71)&amp;"")</f>
        <v/>
      </c>
      <c r="M71" t="str">
        <f>IFERROR(MATCH(SMALL('MTRs'!$AU$6:$AU$505,61),'MTRs'!$AU$6:$AU$505,0),"")</f>
        <v/>
      </c>
    </row>
    <row r="72" ht="30" customHeight="1">
      <c r="B72" s="108" t="str">
        <f>IF($M72="","",INDEX('MTRs'!$A$6:$A$505,$M72)&amp;"")</f>
        <v/>
      </c>
      <c r="C72" s="109" t="str">
        <f>IF($M72="","",INDEX('MTRs'!$B$6:$B$505,$M72)&amp;"")</f>
        <v/>
      </c>
      <c r="D72" s="110" t="str">
        <f>IF($M72="","",INDEX('MTRs'!$G$6:$G$505,$M72)&amp;"")</f>
        <v/>
      </c>
      <c r="E72" s="110" t="str">
        <f>IF($M72="","",INDEX('MTRs'!$H$6:$H$505,$M72)&amp;"")</f>
        <v/>
      </c>
      <c r="F72" s="110" t="str">
        <f>IF($M72="","",INDEX('MTRs'!$I$6:$I$505,$M72)&amp;"")</f>
        <v/>
      </c>
      <c r="G72" s="110" t="str">
        <f>IF($M72="","",INDEX('MTRs'!$T$6:$T$505,$M72)&amp;"")</f>
        <v/>
      </c>
      <c r="H72" s="111" t="str">
        <f>IF($M72="","",INDEX('MTRs'!$AQ$6:$AQ$505,$M72))</f>
        <v/>
      </c>
      <c r="I72" s="112" t="str">
        <f>IF($M72="","",INDEX('MTRs'!$U$6:$U$505,$M72))</f>
        <v/>
      </c>
      <c r="J72" s="113" t="str">
        <f>IF($M72="","",INDEX('MTRs'!$AS$6:$AS$505,$M72)&amp;"")</f>
        <v/>
      </c>
      <c r="K72" s="110" t="str">
        <f>IF($M72="","",INDEX('MTRs'!$AT$6:$AT$505,$M72)&amp;"")</f>
        <v/>
      </c>
      <c r="L72" s="110" t="str">
        <f>IF($M72="","",INDEX('MTRs'!$Y$6:$Y$505,$M72)&amp;"")</f>
        <v/>
      </c>
      <c r="M72" t="str">
        <f>IFERROR(MATCH(SMALL('MTRs'!$AU$6:$AU$505,62),'MTRs'!$AU$6:$AU$505,0),"")</f>
        <v/>
      </c>
    </row>
    <row r="73" ht="30" customHeight="1">
      <c r="B73" s="108" t="str">
        <f>IF($M73="","",INDEX('MTRs'!$A$6:$A$505,$M73)&amp;"")</f>
        <v/>
      </c>
      <c r="C73" s="109" t="str">
        <f>IF($M73="","",INDEX('MTRs'!$B$6:$B$505,$M73)&amp;"")</f>
        <v/>
      </c>
      <c r="D73" s="110" t="str">
        <f>IF($M73="","",INDEX('MTRs'!$G$6:$G$505,$M73)&amp;"")</f>
        <v/>
      </c>
      <c r="E73" s="110" t="str">
        <f>IF($M73="","",INDEX('MTRs'!$H$6:$H$505,$M73)&amp;"")</f>
        <v/>
      </c>
      <c r="F73" s="110" t="str">
        <f>IF($M73="","",INDEX('MTRs'!$I$6:$I$505,$M73)&amp;"")</f>
        <v/>
      </c>
      <c r="G73" s="110" t="str">
        <f>IF($M73="","",INDEX('MTRs'!$T$6:$T$505,$M73)&amp;"")</f>
        <v/>
      </c>
      <c r="H73" s="111" t="str">
        <f>IF($M73="","",INDEX('MTRs'!$AQ$6:$AQ$505,$M73))</f>
        <v/>
      </c>
      <c r="I73" s="112" t="str">
        <f>IF($M73="","",INDEX('MTRs'!$U$6:$U$505,$M73))</f>
        <v/>
      </c>
      <c r="J73" s="113" t="str">
        <f>IF($M73="","",INDEX('MTRs'!$AS$6:$AS$505,$M73)&amp;"")</f>
        <v/>
      </c>
      <c r="K73" s="110" t="str">
        <f>IF($M73="","",INDEX('MTRs'!$AT$6:$AT$505,$M73)&amp;"")</f>
        <v/>
      </c>
      <c r="L73" s="110" t="str">
        <f>IF($M73="","",INDEX('MTRs'!$Y$6:$Y$505,$M73)&amp;"")</f>
        <v/>
      </c>
      <c r="M73" t="str">
        <f>IFERROR(MATCH(SMALL('MTRs'!$AU$6:$AU$505,63),'MTRs'!$AU$6:$AU$505,0),"")</f>
        <v/>
      </c>
    </row>
    <row r="74" ht="30" customHeight="1">
      <c r="B74" s="108" t="str">
        <f>IF($M74="","",INDEX('MTRs'!$A$6:$A$505,$M74)&amp;"")</f>
        <v/>
      </c>
      <c r="C74" s="109" t="str">
        <f>IF($M74="","",INDEX('MTRs'!$B$6:$B$505,$M74)&amp;"")</f>
        <v/>
      </c>
      <c r="D74" s="110" t="str">
        <f>IF($M74="","",INDEX('MTRs'!$G$6:$G$505,$M74)&amp;"")</f>
        <v/>
      </c>
      <c r="E74" s="110" t="str">
        <f>IF($M74="","",INDEX('MTRs'!$H$6:$H$505,$M74)&amp;"")</f>
        <v/>
      </c>
      <c r="F74" s="110" t="str">
        <f>IF($M74="","",INDEX('MTRs'!$I$6:$I$505,$M74)&amp;"")</f>
        <v/>
      </c>
      <c r="G74" s="110" t="str">
        <f>IF($M74="","",INDEX('MTRs'!$T$6:$T$505,$M74)&amp;"")</f>
        <v/>
      </c>
      <c r="H74" s="111" t="str">
        <f>IF($M74="","",INDEX('MTRs'!$AQ$6:$AQ$505,$M74))</f>
        <v/>
      </c>
      <c r="I74" s="112" t="str">
        <f>IF($M74="","",INDEX('MTRs'!$U$6:$U$505,$M74))</f>
        <v/>
      </c>
      <c r="J74" s="113" t="str">
        <f>IF($M74="","",INDEX('MTRs'!$AS$6:$AS$505,$M74)&amp;"")</f>
        <v/>
      </c>
      <c r="K74" s="110" t="str">
        <f>IF($M74="","",INDEX('MTRs'!$AT$6:$AT$505,$M74)&amp;"")</f>
        <v/>
      </c>
      <c r="L74" s="110" t="str">
        <f>IF($M74="","",INDEX('MTRs'!$Y$6:$Y$505,$M74)&amp;"")</f>
        <v/>
      </c>
      <c r="M74" t="str">
        <f>IFERROR(MATCH(SMALL('MTRs'!$AU$6:$AU$505,64),'MTRs'!$AU$6:$AU$505,0),"")</f>
        <v/>
      </c>
    </row>
    <row r="75" ht="30" customHeight="1">
      <c r="B75" s="108" t="str">
        <f>IF($M75="","",INDEX('MTRs'!$A$6:$A$505,$M75)&amp;"")</f>
        <v/>
      </c>
      <c r="C75" s="109" t="str">
        <f>IF($M75="","",INDEX('MTRs'!$B$6:$B$505,$M75)&amp;"")</f>
        <v/>
      </c>
      <c r="D75" s="110" t="str">
        <f>IF($M75="","",INDEX('MTRs'!$G$6:$G$505,$M75)&amp;"")</f>
        <v/>
      </c>
      <c r="E75" s="110" t="str">
        <f>IF($M75="","",INDEX('MTRs'!$H$6:$H$505,$M75)&amp;"")</f>
        <v/>
      </c>
      <c r="F75" s="110" t="str">
        <f>IF($M75="","",INDEX('MTRs'!$I$6:$I$505,$M75)&amp;"")</f>
        <v/>
      </c>
      <c r="G75" s="110" t="str">
        <f>IF($M75="","",INDEX('MTRs'!$T$6:$T$505,$M75)&amp;"")</f>
        <v/>
      </c>
      <c r="H75" s="111" t="str">
        <f>IF($M75="","",INDEX('MTRs'!$AQ$6:$AQ$505,$M75))</f>
        <v/>
      </c>
      <c r="I75" s="112" t="str">
        <f>IF($M75="","",INDEX('MTRs'!$U$6:$U$505,$M75))</f>
        <v/>
      </c>
      <c r="J75" s="113" t="str">
        <f>IF($M75="","",INDEX('MTRs'!$AS$6:$AS$505,$M75)&amp;"")</f>
        <v/>
      </c>
      <c r="K75" s="110" t="str">
        <f>IF($M75="","",INDEX('MTRs'!$AT$6:$AT$505,$M75)&amp;"")</f>
        <v/>
      </c>
      <c r="L75" s="110" t="str">
        <f>IF($M75="","",INDEX('MTRs'!$Y$6:$Y$505,$M75)&amp;"")</f>
        <v/>
      </c>
      <c r="M75" t="str">
        <f>IFERROR(MATCH(SMALL('MTRs'!$AU$6:$AU$505,65),'MTRs'!$AU$6:$AU$505,0),"")</f>
        <v/>
      </c>
    </row>
    <row r="76" ht="30" customHeight="1">
      <c r="B76" s="108" t="str">
        <f>IF($M76="","",INDEX('MTRs'!$A$6:$A$505,$M76)&amp;"")</f>
        <v/>
      </c>
      <c r="C76" s="109" t="str">
        <f>IF($M76="","",INDEX('MTRs'!$B$6:$B$505,$M76)&amp;"")</f>
        <v/>
      </c>
      <c r="D76" s="110" t="str">
        <f>IF($M76="","",INDEX('MTRs'!$G$6:$G$505,$M76)&amp;"")</f>
        <v/>
      </c>
      <c r="E76" s="110" t="str">
        <f>IF($M76="","",INDEX('MTRs'!$H$6:$H$505,$M76)&amp;"")</f>
        <v/>
      </c>
      <c r="F76" s="110" t="str">
        <f>IF($M76="","",INDEX('MTRs'!$I$6:$I$505,$M76)&amp;"")</f>
        <v/>
      </c>
      <c r="G76" s="110" t="str">
        <f>IF($M76="","",INDEX('MTRs'!$T$6:$T$505,$M76)&amp;"")</f>
        <v/>
      </c>
      <c r="H76" s="111" t="str">
        <f>IF($M76="","",INDEX('MTRs'!$AQ$6:$AQ$505,$M76))</f>
        <v/>
      </c>
      <c r="I76" s="112" t="str">
        <f>IF($M76="","",INDEX('MTRs'!$U$6:$U$505,$M76))</f>
        <v/>
      </c>
      <c r="J76" s="113" t="str">
        <f>IF($M76="","",INDEX('MTRs'!$AS$6:$AS$505,$M76)&amp;"")</f>
        <v/>
      </c>
      <c r="K76" s="110" t="str">
        <f>IF($M76="","",INDEX('MTRs'!$AT$6:$AT$505,$M76)&amp;"")</f>
        <v/>
      </c>
      <c r="L76" s="110" t="str">
        <f>IF($M76="","",INDEX('MTRs'!$Y$6:$Y$505,$M76)&amp;"")</f>
        <v/>
      </c>
      <c r="M76" t="str">
        <f>IFERROR(MATCH(SMALL('MTRs'!$AU$6:$AU$505,66),'MTRs'!$AU$6:$AU$505,0),"")</f>
        <v/>
      </c>
    </row>
    <row r="77" ht="30" customHeight="1">
      <c r="B77" s="108" t="str">
        <f>IF($M77="","",INDEX('MTRs'!$A$6:$A$505,$M77)&amp;"")</f>
        <v/>
      </c>
      <c r="C77" s="109" t="str">
        <f>IF($M77="","",INDEX('MTRs'!$B$6:$B$505,$M77)&amp;"")</f>
        <v/>
      </c>
      <c r="D77" s="110" t="str">
        <f>IF($M77="","",INDEX('MTRs'!$G$6:$G$505,$M77)&amp;"")</f>
        <v/>
      </c>
      <c r="E77" s="110" t="str">
        <f>IF($M77="","",INDEX('MTRs'!$H$6:$H$505,$M77)&amp;"")</f>
        <v/>
      </c>
      <c r="F77" s="110" t="str">
        <f>IF($M77="","",INDEX('MTRs'!$I$6:$I$505,$M77)&amp;"")</f>
        <v/>
      </c>
      <c r="G77" s="110" t="str">
        <f>IF($M77="","",INDEX('MTRs'!$T$6:$T$505,$M77)&amp;"")</f>
        <v/>
      </c>
      <c r="H77" s="111" t="str">
        <f>IF($M77="","",INDEX('MTRs'!$AQ$6:$AQ$505,$M77))</f>
        <v/>
      </c>
      <c r="I77" s="112" t="str">
        <f>IF($M77="","",INDEX('MTRs'!$U$6:$U$505,$M77))</f>
        <v/>
      </c>
      <c r="J77" s="113" t="str">
        <f>IF($M77="","",INDEX('MTRs'!$AS$6:$AS$505,$M77)&amp;"")</f>
        <v/>
      </c>
      <c r="K77" s="110" t="str">
        <f>IF($M77="","",INDEX('MTRs'!$AT$6:$AT$505,$M77)&amp;"")</f>
        <v/>
      </c>
      <c r="L77" s="110" t="str">
        <f>IF($M77="","",INDEX('MTRs'!$Y$6:$Y$505,$M77)&amp;"")</f>
        <v/>
      </c>
      <c r="M77" t="str">
        <f>IFERROR(MATCH(SMALL('MTRs'!$AU$6:$AU$505,67),'MTRs'!$AU$6:$AU$505,0),"")</f>
        <v/>
      </c>
    </row>
    <row r="78" ht="30" customHeight="1">
      <c r="B78" s="108" t="str">
        <f>IF($M78="","",INDEX('MTRs'!$A$6:$A$505,$M78)&amp;"")</f>
        <v/>
      </c>
      <c r="C78" s="109" t="str">
        <f>IF($M78="","",INDEX('MTRs'!$B$6:$B$505,$M78)&amp;"")</f>
        <v/>
      </c>
      <c r="D78" s="110" t="str">
        <f>IF($M78="","",INDEX('MTRs'!$G$6:$G$505,$M78)&amp;"")</f>
        <v/>
      </c>
      <c r="E78" s="110" t="str">
        <f>IF($M78="","",INDEX('MTRs'!$H$6:$H$505,$M78)&amp;"")</f>
        <v/>
      </c>
      <c r="F78" s="110" t="str">
        <f>IF($M78="","",INDEX('MTRs'!$I$6:$I$505,$M78)&amp;"")</f>
        <v/>
      </c>
      <c r="G78" s="110" t="str">
        <f>IF($M78="","",INDEX('MTRs'!$T$6:$T$505,$M78)&amp;"")</f>
        <v/>
      </c>
      <c r="H78" s="111" t="str">
        <f>IF($M78="","",INDEX('MTRs'!$AQ$6:$AQ$505,$M78))</f>
        <v/>
      </c>
      <c r="I78" s="112" t="str">
        <f>IF($M78="","",INDEX('MTRs'!$U$6:$U$505,$M78))</f>
        <v/>
      </c>
      <c r="J78" s="113" t="str">
        <f>IF($M78="","",INDEX('MTRs'!$AS$6:$AS$505,$M78)&amp;"")</f>
        <v/>
      </c>
      <c r="K78" s="110" t="str">
        <f>IF($M78="","",INDEX('MTRs'!$AT$6:$AT$505,$M78)&amp;"")</f>
        <v/>
      </c>
      <c r="L78" s="110" t="str">
        <f>IF($M78="","",INDEX('MTRs'!$Y$6:$Y$505,$M78)&amp;"")</f>
        <v/>
      </c>
      <c r="M78" t="str">
        <f>IFERROR(MATCH(SMALL('MTRs'!$AU$6:$AU$505,68),'MTRs'!$AU$6:$AU$505,0),"")</f>
        <v/>
      </c>
    </row>
    <row r="79" ht="30" customHeight="1">
      <c r="B79" s="108" t="str">
        <f>IF($M79="","",INDEX('MTRs'!$A$6:$A$505,$M79)&amp;"")</f>
        <v/>
      </c>
      <c r="C79" s="109" t="str">
        <f>IF($M79="","",INDEX('MTRs'!$B$6:$B$505,$M79)&amp;"")</f>
        <v/>
      </c>
      <c r="D79" s="110" t="str">
        <f>IF($M79="","",INDEX('MTRs'!$G$6:$G$505,$M79)&amp;"")</f>
        <v/>
      </c>
      <c r="E79" s="110" t="str">
        <f>IF($M79="","",INDEX('MTRs'!$H$6:$H$505,$M79)&amp;"")</f>
        <v/>
      </c>
      <c r="F79" s="110" t="str">
        <f>IF($M79="","",INDEX('MTRs'!$I$6:$I$505,$M79)&amp;"")</f>
        <v/>
      </c>
      <c r="G79" s="110" t="str">
        <f>IF($M79="","",INDEX('MTRs'!$T$6:$T$505,$M79)&amp;"")</f>
        <v/>
      </c>
      <c r="H79" s="111" t="str">
        <f>IF($M79="","",INDEX('MTRs'!$AQ$6:$AQ$505,$M79))</f>
        <v/>
      </c>
      <c r="I79" s="112" t="str">
        <f>IF($M79="","",INDEX('MTRs'!$U$6:$U$505,$M79))</f>
        <v/>
      </c>
      <c r="J79" s="113" t="str">
        <f>IF($M79="","",INDEX('MTRs'!$AS$6:$AS$505,$M79)&amp;"")</f>
        <v/>
      </c>
      <c r="K79" s="110" t="str">
        <f>IF($M79="","",INDEX('MTRs'!$AT$6:$AT$505,$M79)&amp;"")</f>
        <v/>
      </c>
      <c r="L79" s="110" t="str">
        <f>IF($M79="","",INDEX('MTRs'!$Y$6:$Y$505,$M79)&amp;"")</f>
        <v/>
      </c>
      <c r="M79" t="str">
        <f>IFERROR(MATCH(SMALL('MTRs'!$AU$6:$AU$505,69),'MTRs'!$AU$6:$AU$505,0),"")</f>
        <v/>
      </c>
    </row>
    <row r="80" ht="30" customHeight="1">
      <c r="B80" s="108" t="str">
        <f>IF($M80="","",INDEX('MTRs'!$A$6:$A$505,$M80)&amp;"")</f>
        <v/>
      </c>
      <c r="C80" s="109" t="str">
        <f>IF($M80="","",INDEX('MTRs'!$B$6:$B$505,$M80)&amp;"")</f>
        <v/>
      </c>
      <c r="D80" s="110" t="str">
        <f>IF($M80="","",INDEX('MTRs'!$G$6:$G$505,$M80)&amp;"")</f>
        <v/>
      </c>
      <c r="E80" s="110" t="str">
        <f>IF($M80="","",INDEX('MTRs'!$H$6:$H$505,$M80)&amp;"")</f>
        <v/>
      </c>
      <c r="F80" s="110" t="str">
        <f>IF($M80="","",INDEX('MTRs'!$I$6:$I$505,$M80)&amp;"")</f>
        <v/>
      </c>
      <c r="G80" s="110" t="str">
        <f>IF($M80="","",INDEX('MTRs'!$T$6:$T$505,$M80)&amp;"")</f>
        <v/>
      </c>
      <c r="H80" s="111" t="str">
        <f>IF($M80="","",INDEX('MTRs'!$AQ$6:$AQ$505,$M80))</f>
        <v/>
      </c>
      <c r="I80" s="112" t="str">
        <f>IF($M80="","",INDEX('MTRs'!$U$6:$U$505,$M80))</f>
        <v/>
      </c>
      <c r="J80" s="113" t="str">
        <f>IF($M80="","",INDEX('MTRs'!$AS$6:$AS$505,$M80)&amp;"")</f>
        <v/>
      </c>
      <c r="K80" s="110" t="str">
        <f>IF($M80="","",INDEX('MTRs'!$AT$6:$AT$505,$M80)&amp;"")</f>
        <v/>
      </c>
      <c r="L80" s="110" t="str">
        <f>IF($M80="","",INDEX('MTRs'!$Y$6:$Y$505,$M80)&amp;"")</f>
        <v/>
      </c>
      <c r="M80" t="str">
        <f>IFERROR(MATCH(SMALL('MTRs'!$AU$6:$AU$505,70),'MTRs'!$AU$6:$AU$505,0),"")</f>
        <v/>
      </c>
    </row>
    <row r="81" ht="30" customHeight="1">
      <c r="B81" s="108" t="str">
        <f>IF($M81="","",INDEX('MTRs'!$A$6:$A$505,$M81)&amp;"")</f>
        <v/>
      </c>
      <c r="C81" s="109" t="str">
        <f>IF($M81="","",INDEX('MTRs'!$B$6:$B$505,$M81)&amp;"")</f>
        <v/>
      </c>
      <c r="D81" s="110" t="str">
        <f>IF($M81="","",INDEX('MTRs'!$G$6:$G$505,$M81)&amp;"")</f>
        <v/>
      </c>
      <c r="E81" s="110" t="str">
        <f>IF($M81="","",INDEX('MTRs'!$H$6:$H$505,$M81)&amp;"")</f>
        <v/>
      </c>
      <c r="F81" s="110" t="str">
        <f>IF($M81="","",INDEX('MTRs'!$I$6:$I$505,$M81)&amp;"")</f>
        <v/>
      </c>
      <c r="G81" s="110" t="str">
        <f>IF($M81="","",INDEX('MTRs'!$T$6:$T$505,$M81)&amp;"")</f>
        <v/>
      </c>
      <c r="H81" s="111" t="str">
        <f>IF($M81="","",INDEX('MTRs'!$AQ$6:$AQ$505,$M81))</f>
        <v/>
      </c>
      <c r="I81" s="112" t="str">
        <f>IF($M81="","",INDEX('MTRs'!$U$6:$U$505,$M81))</f>
        <v/>
      </c>
      <c r="J81" s="113" t="str">
        <f>IF($M81="","",INDEX('MTRs'!$AS$6:$AS$505,$M81)&amp;"")</f>
        <v/>
      </c>
      <c r="K81" s="110" t="str">
        <f>IF($M81="","",INDEX('MTRs'!$AT$6:$AT$505,$M81)&amp;"")</f>
        <v/>
      </c>
      <c r="L81" s="110" t="str">
        <f>IF($M81="","",INDEX('MTRs'!$Y$6:$Y$505,$M81)&amp;"")</f>
        <v/>
      </c>
      <c r="M81" t="str">
        <f>IFERROR(MATCH(SMALL('MTRs'!$AU$6:$AU$505,71),'MTRs'!$AU$6:$AU$505,0),"")</f>
        <v/>
      </c>
    </row>
    <row r="82" ht="30" customHeight="1">
      <c r="B82" s="108" t="str">
        <f>IF($M82="","",INDEX('MTRs'!$A$6:$A$505,$M82)&amp;"")</f>
        <v/>
      </c>
      <c r="C82" s="109" t="str">
        <f>IF($M82="","",INDEX('MTRs'!$B$6:$B$505,$M82)&amp;"")</f>
        <v/>
      </c>
      <c r="D82" s="110" t="str">
        <f>IF($M82="","",INDEX('MTRs'!$G$6:$G$505,$M82)&amp;"")</f>
        <v/>
      </c>
      <c r="E82" s="110" t="str">
        <f>IF($M82="","",INDEX('MTRs'!$H$6:$H$505,$M82)&amp;"")</f>
        <v/>
      </c>
      <c r="F82" s="110" t="str">
        <f>IF($M82="","",INDEX('MTRs'!$I$6:$I$505,$M82)&amp;"")</f>
        <v/>
      </c>
      <c r="G82" s="110" t="str">
        <f>IF($M82="","",INDEX('MTRs'!$T$6:$T$505,$M82)&amp;"")</f>
        <v/>
      </c>
      <c r="H82" s="111" t="str">
        <f>IF($M82="","",INDEX('MTRs'!$AQ$6:$AQ$505,$M82))</f>
        <v/>
      </c>
      <c r="I82" s="112" t="str">
        <f>IF($M82="","",INDEX('MTRs'!$U$6:$U$505,$M82))</f>
        <v/>
      </c>
      <c r="J82" s="113" t="str">
        <f>IF($M82="","",INDEX('MTRs'!$AS$6:$AS$505,$M82)&amp;"")</f>
        <v/>
      </c>
      <c r="K82" s="110" t="str">
        <f>IF($M82="","",INDEX('MTRs'!$AT$6:$AT$505,$M82)&amp;"")</f>
        <v/>
      </c>
      <c r="L82" s="110" t="str">
        <f>IF($M82="","",INDEX('MTRs'!$Y$6:$Y$505,$M82)&amp;"")</f>
        <v/>
      </c>
      <c r="M82" t="str">
        <f>IFERROR(MATCH(SMALL('MTRs'!$AU$6:$AU$505,72),'MTRs'!$AU$6:$AU$505,0),"")</f>
        <v/>
      </c>
    </row>
    <row r="83" ht="30" customHeight="1">
      <c r="B83" s="108" t="str">
        <f>IF($M83="","",INDEX('MTRs'!$A$6:$A$505,$M83)&amp;"")</f>
        <v/>
      </c>
      <c r="C83" s="109" t="str">
        <f>IF($M83="","",INDEX('MTRs'!$B$6:$B$505,$M83)&amp;"")</f>
        <v/>
      </c>
      <c r="D83" s="110" t="str">
        <f>IF($M83="","",INDEX('MTRs'!$G$6:$G$505,$M83)&amp;"")</f>
        <v/>
      </c>
      <c r="E83" s="110" t="str">
        <f>IF($M83="","",INDEX('MTRs'!$H$6:$H$505,$M83)&amp;"")</f>
        <v/>
      </c>
      <c r="F83" s="110" t="str">
        <f>IF($M83="","",INDEX('MTRs'!$I$6:$I$505,$M83)&amp;"")</f>
        <v/>
      </c>
      <c r="G83" s="110" t="str">
        <f>IF($M83="","",INDEX('MTRs'!$T$6:$T$505,$M83)&amp;"")</f>
        <v/>
      </c>
      <c r="H83" s="111" t="str">
        <f>IF($M83="","",INDEX('MTRs'!$AQ$6:$AQ$505,$M83))</f>
        <v/>
      </c>
      <c r="I83" s="112" t="str">
        <f>IF($M83="","",INDEX('MTRs'!$U$6:$U$505,$M83))</f>
        <v/>
      </c>
      <c r="J83" s="113" t="str">
        <f>IF($M83="","",INDEX('MTRs'!$AS$6:$AS$505,$M83)&amp;"")</f>
        <v/>
      </c>
      <c r="K83" s="110" t="str">
        <f>IF($M83="","",INDEX('MTRs'!$AT$6:$AT$505,$M83)&amp;"")</f>
        <v/>
      </c>
      <c r="L83" s="110" t="str">
        <f>IF($M83="","",INDEX('MTRs'!$Y$6:$Y$505,$M83)&amp;"")</f>
        <v/>
      </c>
      <c r="M83" t="str">
        <f>IFERROR(MATCH(SMALL('MTRs'!$AU$6:$AU$505,73),'MTRs'!$AU$6:$AU$505,0),"")</f>
        <v/>
      </c>
    </row>
    <row r="84" ht="30" customHeight="1">
      <c r="B84" s="108" t="str">
        <f>IF($M84="","",INDEX('MTRs'!$A$6:$A$505,$M84)&amp;"")</f>
        <v/>
      </c>
      <c r="C84" s="109" t="str">
        <f>IF($M84="","",INDEX('MTRs'!$B$6:$B$505,$M84)&amp;"")</f>
        <v/>
      </c>
      <c r="D84" s="110" t="str">
        <f>IF($M84="","",INDEX('MTRs'!$G$6:$G$505,$M84)&amp;"")</f>
        <v/>
      </c>
      <c r="E84" s="110" t="str">
        <f>IF($M84="","",INDEX('MTRs'!$H$6:$H$505,$M84)&amp;"")</f>
        <v/>
      </c>
      <c r="F84" s="110" t="str">
        <f>IF($M84="","",INDEX('MTRs'!$I$6:$I$505,$M84)&amp;"")</f>
        <v/>
      </c>
      <c r="G84" s="110" t="str">
        <f>IF($M84="","",INDEX('MTRs'!$T$6:$T$505,$M84)&amp;"")</f>
        <v/>
      </c>
      <c r="H84" s="111" t="str">
        <f>IF($M84="","",INDEX('MTRs'!$AQ$6:$AQ$505,$M84))</f>
        <v/>
      </c>
      <c r="I84" s="112" t="str">
        <f>IF($M84="","",INDEX('MTRs'!$U$6:$U$505,$M84))</f>
        <v/>
      </c>
      <c r="J84" s="113" t="str">
        <f>IF($M84="","",INDEX('MTRs'!$AS$6:$AS$505,$M84)&amp;"")</f>
        <v/>
      </c>
      <c r="K84" s="110" t="str">
        <f>IF($M84="","",INDEX('MTRs'!$AT$6:$AT$505,$M84)&amp;"")</f>
        <v/>
      </c>
      <c r="L84" s="110" t="str">
        <f>IF($M84="","",INDEX('MTRs'!$Y$6:$Y$505,$M84)&amp;"")</f>
        <v/>
      </c>
      <c r="M84" t="str">
        <f>IFERROR(MATCH(SMALL('MTRs'!$AU$6:$AU$505,74),'MTRs'!$AU$6:$AU$505,0),"")</f>
        <v/>
      </c>
    </row>
    <row r="85" ht="30" customHeight="1">
      <c r="B85" s="108" t="str">
        <f>IF($M85="","",INDEX('MTRs'!$A$6:$A$505,$M85)&amp;"")</f>
        <v/>
      </c>
      <c r="C85" s="109" t="str">
        <f>IF($M85="","",INDEX('MTRs'!$B$6:$B$505,$M85)&amp;"")</f>
        <v/>
      </c>
      <c r="D85" s="110" t="str">
        <f>IF($M85="","",INDEX('MTRs'!$G$6:$G$505,$M85)&amp;"")</f>
        <v/>
      </c>
      <c r="E85" s="110" t="str">
        <f>IF($M85="","",INDEX('MTRs'!$H$6:$H$505,$M85)&amp;"")</f>
        <v/>
      </c>
      <c r="F85" s="110" t="str">
        <f>IF($M85="","",INDEX('MTRs'!$I$6:$I$505,$M85)&amp;"")</f>
        <v/>
      </c>
      <c r="G85" s="110" t="str">
        <f>IF($M85="","",INDEX('MTRs'!$T$6:$T$505,$M85)&amp;"")</f>
        <v/>
      </c>
      <c r="H85" s="111" t="str">
        <f>IF($M85="","",INDEX('MTRs'!$AQ$6:$AQ$505,$M85))</f>
        <v/>
      </c>
      <c r="I85" s="112" t="str">
        <f>IF($M85="","",INDEX('MTRs'!$U$6:$U$505,$M85))</f>
        <v/>
      </c>
      <c r="J85" s="113" t="str">
        <f>IF($M85="","",INDEX('MTRs'!$AS$6:$AS$505,$M85)&amp;"")</f>
        <v/>
      </c>
      <c r="K85" s="110" t="str">
        <f>IF($M85="","",INDEX('MTRs'!$AT$6:$AT$505,$M85)&amp;"")</f>
        <v/>
      </c>
      <c r="L85" s="110" t="str">
        <f>IF($M85="","",INDEX('MTRs'!$Y$6:$Y$505,$M85)&amp;"")</f>
        <v/>
      </c>
      <c r="M85" t="str">
        <f>IFERROR(MATCH(SMALL('MTRs'!$AU$6:$AU$505,75),'MTRs'!$AU$6:$AU$505,0),"")</f>
        <v/>
      </c>
    </row>
    <row r="86" ht="30" customHeight="1">
      <c r="B86" s="108" t="str">
        <f>IF($M86="","",INDEX('MTRs'!$A$6:$A$505,$M86)&amp;"")</f>
        <v/>
      </c>
      <c r="C86" s="109" t="str">
        <f>IF($M86="","",INDEX('MTRs'!$B$6:$B$505,$M86)&amp;"")</f>
        <v/>
      </c>
      <c r="D86" s="110" t="str">
        <f>IF($M86="","",INDEX('MTRs'!$G$6:$G$505,$M86)&amp;"")</f>
        <v/>
      </c>
      <c r="E86" s="110" t="str">
        <f>IF($M86="","",INDEX('MTRs'!$H$6:$H$505,$M86)&amp;"")</f>
        <v/>
      </c>
      <c r="F86" s="110" t="str">
        <f>IF($M86="","",INDEX('MTRs'!$I$6:$I$505,$M86)&amp;"")</f>
        <v/>
      </c>
      <c r="G86" s="110" t="str">
        <f>IF($M86="","",INDEX('MTRs'!$T$6:$T$505,$M86)&amp;"")</f>
        <v/>
      </c>
      <c r="H86" s="111" t="str">
        <f>IF($M86="","",INDEX('MTRs'!$AQ$6:$AQ$505,$M86))</f>
        <v/>
      </c>
      <c r="I86" s="112" t="str">
        <f>IF($M86="","",INDEX('MTRs'!$U$6:$U$505,$M86))</f>
        <v/>
      </c>
      <c r="J86" s="113" t="str">
        <f>IF($M86="","",INDEX('MTRs'!$AS$6:$AS$505,$M86)&amp;"")</f>
        <v/>
      </c>
      <c r="K86" s="110" t="str">
        <f>IF($M86="","",INDEX('MTRs'!$AT$6:$AT$505,$M86)&amp;"")</f>
        <v/>
      </c>
      <c r="L86" s="110" t="str">
        <f>IF($M86="","",INDEX('MTRs'!$Y$6:$Y$505,$M86)&amp;"")</f>
        <v/>
      </c>
      <c r="M86" t="str">
        <f>IFERROR(MATCH(SMALL('MTRs'!$AU$6:$AU$505,76),'MTRs'!$AU$6:$AU$505,0),"")</f>
        <v/>
      </c>
    </row>
    <row r="87" ht="30" customHeight="1">
      <c r="B87" s="108" t="str">
        <f>IF($M87="","",INDEX('MTRs'!$A$6:$A$505,$M87)&amp;"")</f>
        <v/>
      </c>
      <c r="C87" s="109" t="str">
        <f>IF($M87="","",INDEX('MTRs'!$B$6:$B$505,$M87)&amp;"")</f>
        <v/>
      </c>
      <c r="D87" s="110" t="str">
        <f>IF($M87="","",INDEX('MTRs'!$G$6:$G$505,$M87)&amp;"")</f>
        <v/>
      </c>
      <c r="E87" s="110" t="str">
        <f>IF($M87="","",INDEX('MTRs'!$H$6:$H$505,$M87)&amp;"")</f>
        <v/>
      </c>
      <c r="F87" s="110" t="str">
        <f>IF($M87="","",INDEX('MTRs'!$I$6:$I$505,$M87)&amp;"")</f>
        <v/>
      </c>
      <c r="G87" s="110" t="str">
        <f>IF($M87="","",INDEX('MTRs'!$T$6:$T$505,$M87)&amp;"")</f>
        <v/>
      </c>
      <c r="H87" s="111" t="str">
        <f>IF($M87="","",INDEX('MTRs'!$AQ$6:$AQ$505,$M87))</f>
        <v/>
      </c>
      <c r="I87" s="112" t="str">
        <f>IF($M87="","",INDEX('MTRs'!$U$6:$U$505,$M87))</f>
        <v/>
      </c>
      <c r="J87" s="113" t="str">
        <f>IF($M87="","",INDEX('MTRs'!$AS$6:$AS$505,$M87)&amp;"")</f>
        <v/>
      </c>
      <c r="K87" s="110" t="str">
        <f>IF($M87="","",INDEX('MTRs'!$AT$6:$AT$505,$M87)&amp;"")</f>
        <v/>
      </c>
      <c r="L87" s="110" t="str">
        <f>IF($M87="","",INDEX('MTRs'!$Y$6:$Y$505,$M87)&amp;"")</f>
        <v/>
      </c>
      <c r="M87" t="str">
        <f>IFERROR(MATCH(SMALL('MTRs'!$AU$6:$AU$505,77),'MTRs'!$AU$6:$AU$505,0),"")</f>
        <v/>
      </c>
    </row>
    <row r="88" ht="30" customHeight="1">
      <c r="B88" s="108" t="str">
        <f>IF($M88="","",INDEX('MTRs'!$A$6:$A$505,$M88)&amp;"")</f>
        <v/>
      </c>
      <c r="C88" s="109" t="str">
        <f>IF($M88="","",INDEX('MTRs'!$B$6:$B$505,$M88)&amp;"")</f>
        <v/>
      </c>
      <c r="D88" s="110" t="str">
        <f>IF($M88="","",INDEX('MTRs'!$G$6:$G$505,$M88)&amp;"")</f>
        <v/>
      </c>
      <c r="E88" s="110" t="str">
        <f>IF($M88="","",INDEX('MTRs'!$H$6:$H$505,$M88)&amp;"")</f>
        <v/>
      </c>
      <c r="F88" s="110" t="str">
        <f>IF($M88="","",INDEX('MTRs'!$I$6:$I$505,$M88)&amp;"")</f>
        <v/>
      </c>
      <c r="G88" s="110" t="str">
        <f>IF($M88="","",INDEX('MTRs'!$T$6:$T$505,$M88)&amp;"")</f>
        <v/>
      </c>
      <c r="H88" s="111" t="str">
        <f>IF($M88="","",INDEX('MTRs'!$AQ$6:$AQ$505,$M88))</f>
        <v/>
      </c>
      <c r="I88" s="112" t="str">
        <f>IF($M88="","",INDEX('MTRs'!$U$6:$U$505,$M88))</f>
        <v/>
      </c>
      <c r="J88" s="113" t="str">
        <f>IF($M88="","",INDEX('MTRs'!$AS$6:$AS$505,$M88)&amp;"")</f>
        <v/>
      </c>
      <c r="K88" s="110" t="str">
        <f>IF($M88="","",INDEX('MTRs'!$AT$6:$AT$505,$M88)&amp;"")</f>
        <v/>
      </c>
      <c r="L88" s="110" t="str">
        <f>IF($M88="","",INDEX('MTRs'!$Y$6:$Y$505,$M88)&amp;"")</f>
        <v/>
      </c>
      <c r="M88" t="str">
        <f>IFERROR(MATCH(SMALL('MTRs'!$AU$6:$AU$505,78),'MTRs'!$AU$6:$AU$505,0),"")</f>
        <v/>
      </c>
    </row>
    <row r="89" ht="30" customHeight="1">
      <c r="B89" s="108" t="str">
        <f>IF($M89="","",INDEX('MTRs'!$A$6:$A$505,$M89)&amp;"")</f>
        <v/>
      </c>
      <c r="C89" s="109" t="str">
        <f>IF($M89="","",INDEX('MTRs'!$B$6:$B$505,$M89)&amp;"")</f>
        <v/>
      </c>
      <c r="D89" s="110" t="str">
        <f>IF($M89="","",INDEX('MTRs'!$G$6:$G$505,$M89)&amp;"")</f>
        <v/>
      </c>
      <c r="E89" s="110" t="str">
        <f>IF($M89="","",INDEX('MTRs'!$H$6:$H$505,$M89)&amp;"")</f>
        <v/>
      </c>
      <c r="F89" s="110" t="str">
        <f>IF($M89="","",INDEX('MTRs'!$I$6:$I$505,$M89)&amp;"")</f>
        <v/>
      </c>
      <c r="G89" s="110" t="str">
        <f>IF($M89="","",INDEX('MTRs'!$T$6:$T$505,$M89)&amp;"")</f>
        <v/>
      </c>
      <c r="H89" s="111" t="str">
        <f>IF($M89="","",INDEX('MTRs'!$AQ$6:$AQ$505,$M89))</f>
        <v/>
      </c>
      <c r="I89" s="112" t="str">
        <f>IF($M89="","",INDEX('MTRs'!$U$6:$U$505,$M89))</f>
        <v/>
      </c>
      <c r="J89" s="113" t="str">
        <f>IF($M89="","",INDEX('MTRs'!$AS$6:$AS$505,$M89)&amp;"")</f>
        <v/>
      </c>
      <c r="K89" s="110" t="str">
        <f>IF($M89="","",INDEX('MTRs'!$AT$6:$AT$505,$M89)&amp;"")</f>
        <v/>
      </c>
      <c r="L89" s="110" t="str">
        <f>IF($M89="","",INDEX('MTRs'!$Y$6:$Y$505,$M89)&amp;"")</f>
        <v/>
      </c>
      <c r="M89" t="str">
        <f>IFERROR(MATCH(SMALL('MTRs'!$AU$6:$AU$505,79),'MTRs'!$AU$6:$AU$505,0),"")</f>
        <v/>
      </c>
    </row>
    <row r="90" ht="30" customHeight="1">
      <c r="B90" s="108" t="str">
        <f>IF($M90="","",INDEX('MTRs'!$A$6:$A$505,$M90)&amp;"")</f>
        <v/>
      </c>
      <c r="C90" s="109" t="str">
        <f>IF($M90="","",INDEX('MTRs'!$B$6:$B$505,$M90)&amp;"")</f>
        <v/>
      </c>
      <c r="D90" s="110" t="str">
        <f>IF($M90="","",INDEX('MTRs'!$G$6:$G$505,$M90)&amp;"")</f>
        <v/>
      </c>
      <c r="E90" s="110" t="str">
        <f>IF($M90="","",INDEX('MTRs'!$H$6:$H$505,$M90)&amp;"")</f>
        <v/>
      </c>
      <c r="F90" s="110" t="str">
        <f>IF($M90="","",INDEX('MTRs'!$I$6:$I$505,$M90)&amp;"")</f>
        <v/>
      </c>
      <c r="G90" s="110" t="str">
        <f>IF($M90="","",INDEX('MTRs'!$T$6:$T$505,$M90)&amp;"")</f>
        <v/>
      </c>
      <c r="H90" s="111" t="str">
        <f>IF($M90="","",INDEX('MTRs'!$AQ$6:$AQ$505,$M90))</f>
        <v/>
      </c>
      <c r="I90" s="112" t="str">
        <f>IF($M90="","",INDEX('MTRs'!$U$6:$U$505,$M90))</f>
        <v/>
      </c>
      <c r="J90" s="113" t="str">
        <f>IF($M90="","",INDEX('MTRs'!$AS$6:$AS$505,$M90)&amp;"")</f>
        <v/>
      </c>
      <c r="K90" s="110" t="str">
        <f>IF($M90="","",INDEX('MTRs'!$AT$6:$AT$505,$M90)&amp;"")</f>
        <v/>
      </c>
      <c r="L90" s="110" t="str">
        <f>IF($M90="","",INDEX('MTRs'!$Y$6:$Y$505,$M90)&amp;"")</f>
        <v/>
      </c>
      <c r="M90" t="str">
        <f>IFERROR(MATCH(SMALL('MTRs'!$AU$6:$AU$505,80),'MTRs'!$AU$6:$AU$505,0),"")</f>
        <v/>
      </c>
    </row>
    <row r="91" ht="30" customHeight="1">
      <c r="B91" s="108" t="str">
        <f>IF($M91="","",INDEX('MTRs'!$A$6:$A$505,$M91)&amp;"")</f>
        <v/>
      </c>
      <c r="C91" s="109" t="str">
        <f>IF($M91="","",INDEX('MTRs'!$B$6:$B$505,$M91)&amp;"")</f>
        <v/>
      </c>
      <c r="D91" s="110" t="str">
        <f>IF($M91="","",INDEX('MTRs'!$G$6:$G$505,$M91)&amp;"")</f>
        <v/>
      </c>
      <c r="E91" s="110" t="str">
        <f>IF($M91="","",INDEX('MTRs'!$H$6:$H$505,$M91)&amp;"")</f>
        <v/>
      </c>
      <c r="F91" s="110" t="str">
        <f>IF($M91="","",INDEX('MTRs'!$I$6:$I$505,$M91)&amp;"")</f>
        <v/>
      </c>
      <c r="G91" s="110" t="str">
        <f>IF($M91="","",INDEX('MTRs'!$T$6:$T$505,$M91)&amp;"")</f>
        <v/>
      </c>
      <c r="H91" s="111" t="str">
        <f>IF($M91="","",INDEX('MTRs'!$AQ$6:$AQ$505,$M91))</f>
        <v/>
      </c>
      <c r="I91" s="112" t="str">
        <f>IF($M91="","",INDEX('MTRs'!$U$6:$U$505,$M91))</f>
        <v/>
      </c>
      <c r="J91" s="113" t="str">
        <f>IF($M91="","",INDEX('MTRs'!$AS$6:$AS$505,$M91)&amp;"")</f>
        <v/>
      </c>
      <c r="K91" s="110" t="str">
        <f>IF($M91="","",INDEX('MTRs'!$AT$6:$AT$505,$M91)&amp;"")</f>
        <v/>
      </c>
      <c r="L91" s="110" t="str">
        <f>IF($M91="","",INDEX('MTRs'!$Y$6:$Y$505,$M91)&amp;"")</f>
        <v/>
      </c>
      <c r="M91" t="str">
        <f>IFERROR(MATCH(SMALL('MTRs'!$AU$6:$AU$505,81),'MTRs'!$AU$6:$AU$505,0),"")</f>
        <v/>
      </c>
    </row>
    <row r="92" ht="30" customHeight="1">
      <c r="B92" s="108" t="str">
        <f>IF($M92="","",INDEX('MTRs'!$A$6:$A$505,$M92)&amp;"")</f>
        <v/>
      </c>
      <c r="C92" s="109" t="str">
        <f>IF($M92="","",INDEX('MTRs'!$B$6:$B$505,$M92)&amp;"")</f>
        <v/>
      </c>
      <c r="D92" s="110" t="str">
        <f>IF($M92="","",INDEX('MTRs'!$G$6:$G$505,$M92)&amp;"")</f>
        <v/>
      </c>
      <c r="E92" s="110" t="str">
        <f>IF($M92="","",INDEX('MTRs'!$H$6:$H$505,$M92)&amp;"")</f>
        <v/>
      </c>
      <c r="F92" s="110" t="str">
        <f>IF($M92="","",INDEX('MTRs'!$I$6:$I$505,$M92)&amp;"")</f>
        <v/>
      </c>
      <c r="G92" s="110" t="str">
        <f>IF($M92="","",INDEX('MTRs'!$T$6:$T$505,$M92)&amp;"")</f>
        <v/>
      </c>
      <c r="H92" s="111" t="str">
        <f>IF($M92="","",INDEX('MTRs'!$AQ$6:$AQ$505,$M92))</f>
        <v/>
      </c>
      <c r="I92" s="112" t="str">
        <f>IF($M92="","",INDEX('MTRs'!$U$6:$U$505,$M92))</f>
        <v/>
      </c>
      <c r="J92" s="113" t="str">
        <f>IF($M92="","",INDEX('MTRs'!$AS$6:$AS$505,$M92)&amp;"")</f>
        <v/>
      </c>
      <c r="K92" s="110" t="str">
        <f>IF($M92="","",INDEX('MTRs'!$AT$6:$AT$505,$M92)&amp;"")</f>
        <v/>
      </c>
      <c r="L92" s="110" t="str">
        <f>IF($M92="","",INDEX('MTRs'!$Y$6:$Y$505,$M92)&amp;"")</f>
        <v/>
      </c>
      <c r="M92" t="str">
        <f>IFERROR(MATCH(SMALL('MTRs'!$AU$6:$AU$505,82),'MTRs'!$AU$6:$AU$505,0),"")</f>
        <v/>
      </c>
    </row>
    <row r="93" ht="30" customHeight="1">
      <c r="B93" s="108" t="str">
        <f>IF($M93="","",INDEX('MTRs'!$A$6:$A$505,$M93)&amp;"")</f>
        <v/>
      </c>
      <c r="C93" s="109" t="str">
        <f>IF($M93="","",INDEX('MTRs'!$B$6:$B$505,$M93)&amp;"")</f>
        <v/>
      </c>
      <c r="D93" s="110" t="str">
        <f>IF($M93="","",INDEX('MTRs'!$G$6:$G$505,$M93)&amp;"")</f>
        <v/>
      </c>
      <c r="E93" s="110" t="str">
        <f>IF($M93="","",INDEX('MTRs'!$H$6:$H$505,$M93)&amp;"")</f>
        <v/>
      </c>
      <c r="F93" s="110" t="str">
        <f>IF($M93="","",INDEX('MTRs'!$I$6:$I$505,$M93)&amp;"")</f>
        <v/>
      </c>
      <c r="G93" s="110" t="str">
        <f>IF($M93="","",INDEX('MTRs'!$T$6:$T$505,$M93)&amp;"")</f>
        <v/>
      </c>
      <c r="H93" s="111" t="str">
        <f>IF($M93="","",INDEX('MTRs'!$AQ$6:$AQ$505,$M93))</f>
        <v/>
      </c>
      <c r="I93" s="112" t="str">
        <f>IF($M93="","",INDEX('MTRs'!$U$6:$U$505,$M93))</f>
        <v/>
      </c>
      <c r="J93" s="113" t="str">
        <f>IF($M93="","",INDEX('MTRs'!$AS$6:$AS$505,$M93)&amp;"")</f>
        <v/>
      </c>
      <c r="K93" s="110" t="str">
        <f>IF($M93="","",INDEX('MTRs'!$AT$6:$AT$505,$M93)&amp;"")</f>
        <v/>
      </c>
      <c r="L93" s="110" t="str">
        <f>IF($M93="","",INDEX('MTRs'!$Y$6:$Y$505,$M93)&amp;"")</f>
        <v/>
      </c>
      <c r="M93" t="str">
        <f>IFERROR(MATCH(SMALL('MTRs'!$AU$6:$AU$505,83),'MTRs'!$AU$6:$AU$505,0),"")</f>
        <v/>
      </c>
    </row>
    <row r="94" ht="30" customHeight="1">
      <c r="B94" s="108" t="str">
        <f>IF($M94="","",INDEX('MTRs'!$A$6:$A$505,$M94)&amp;"")</f>
        <v/>
      </c>
      <c r="C94" s="109" t="str">
        <f>IF($M94="","",INDEX('MTRs'!$B$6:$B$505,$M94)&amp;"")</f>
        <v/>
      </c>
      <c r="D94" s="110" t="str">
        <f>IF($M94="","",INDEX('MTRs'!$G$6:$G$505,$M94)&amp;"")</f>
        <v/>
      </c>
      <c r="E94" s="110" t="str">
        <f>IF($M94="","",INDEX('MTRs'!$H$6:$H$505,$M94)&amp;"")</f>
        <v/>
      </c>
      <c r="F94" s="110" t="str">
        <f>IF($M94="","",INDEX('MTRs'!$I$6:$I$505,$M94)&amp;"")</f>
        <v/>
      </c>
      <c r="G94" s="110" t="str">
        <f>IF($M94="","",INDEX('MTRs'!$T$6:$T$505,$M94)&amp;"")</f>
        <v/>
      </c>
      <c r="H94" s="111" t="str">
        <f>IF($M94="","",INDEX('MTRs'!$AQ$6:$AQ$505,$M94))</f>
        <v/>
      </c>
      <c r="I94" s="112" t="str">
        <f>IF($M94="","",INDEX('MTRs'!$U$6:$U$505,$M94))</f>
        <v/>
      </c>
      <c r="J94" s="113" t="str">
        <f>IF($M94="","",INDEX('MTRs'!$AS$6:$AS$505,$M94)&amp;"")</f>
        <v/>
      </c>
      <c r="K94" s="110" t="str">
        <f>IF($M94="","",INDEX('MTRs'!$AT$6:$AT$505,$M94)&amp;"")</f>
        <v/>
      </c>
      <c r="L94" s="110" t="str">
        <f>IF($M94="","",INDEX('MTRs'!$Y$6:$Y$505,$M94)&amp;"")</f>
        <v/>
      </c>
      <c r="M94" t="str">
        <f>IFERROR(MATCH(SMALL('MTRs'!$AU$6:$AU$505,84),'MTRs'!$AU$6:$AU$505,0),"")</f>
        <v/>
      </c>
    </row>
    <row r="95" ht="30" customHeight="1">
      <c r="B95" s="108" t="str">
        <f>IF($M95="","",INDEX('MTRs'!$A$6:$A$505,$M95)&amp;"")</f>
        <v/>
      </c>
      <c r="C95" s="109" t="str">
        <f>IF($M95="","",INDEX('MTRs'!$B$6:$B$505,$M95)&amp;"")</f>
        <v/>
      </c>
      <c r="D95" s="110" t="str">
        <f>IF($M95="","",INDEX('MTRs'!$G$6:$G$505,$M95)&amp;"")</f>
        <v/>
      </c>
      <c r="E95" s="110" t="str">
        <f>IF($M95="","",INDEX('MTRs'!$H$6:$H$505,$M95)&amp;"")</f>
        <v/>
      </c>
      <c r="F95" s="110" t="str">
        <f>IF($M95="","",INDEX('MTRs'!$I$6:$I$505,$M95)&amp;"")</f>
        <v/>
      </c>
      <c r="G95" s="110" t="str">
        <f>IF($M95="","",INDEX('MTRs'!$T$6:$T$505,$M95)&amp;"")</f>
        <v/>
      </c>
      <c r="H95" s="111" t="str">
        <f>IF($M95="","",INDEX('MTRs'!$AQ$6:$AQ$505,$M95))</f>
        <v/>
      </c>
      <c r="I95" s="112" t="str">
        <f>IF($M95="","",INDEX('MTRs'!$U$6:$U$505,$M95))</f>
        <v/>
      </c>
      <c r="J95" s="113" t="str">
        <f>IF($M95="","",INDEX('MTRs'!$AS$6:$AS$505,$M95)&amp;"")</f>
        <v/>
      </c>
      <c r="K95" s="110" t="str">
        <f>IF($M95="","",INDEX('MTRs'!$AT$6:$AT$505,$M95)&amp;"")</f>
        <v/>
      </c>
      <c r="L95" s="110" t="str">
        <f>IF($M95="","",INDEX('MTRs'!$Y$6:$Y$505,$M95)&amp;"")</f>
        <v/>
      </c>
      <c r="M95" t="str">
        <f>IFERROR(MATCH(SMALL('MTRs'!$AU$6:$AU$505,85),'MTRs'!$AU$6:$AU$505,0),"")</f>
        <v/>
      </c>
    </row>
    <row r="96" ht="30" customHeight="1">
      <c r="B96" s="108" t="str">
        <f>IF($M96="","",INDEX('MTRs'!$A$6:$A$505,$M96)&amp;"")</f>
        <v/>
      </c>
      <c r="C96" s="109" t="str">
        <f>IF($M96="","",INDEX('MTRs'!$B$6:$B$505,$M96)&amp;"")</f>
        <v/>
      </c>
      <c r="D96" s="110" t="str">
        <f>IF($M96="","",INDEX('MTRs'!$G$6:$G$505,$M96)&amp;"")</f>
        <v/>
      </c>
      <c r="E96" s="110" t="str">
        <f>IF($M96="","",INDEX('MTRs'!$H$6:$H$505,$M96)&amp;"")</f>
        <v/>
      </c>
      <c r="F96" s="110" t="str">
        <f>IF($M96="","",INDEX('MTRs'!$I$6:$I$505,$M96)&amp;"")</f>
        <v/>
      </c>
      <c r="G96" s="110" t="str">
        <f>IF($M96="","",INDEX('MTRs'!$T$6:$T$505,$M96)&amp;"")</f>
        <v/>
      </c>
      <c r="H96" s="111" t="str">
        <f>IF($M96="","",INDEX('MTRs'!$AQ$6:$AQ$505,$M96))</f>
        <v/>
      </c>
      <c r="I96" s="112" t="str">
        <f>IF($M96="","",INDEX('MTRs'!$U$6:$U$505,$M96))</f>
        <v/>
      </c>
      <c r="J96" s="113" t="str">
        <f>IF($M96="","",INDEX('MTRs'!$AS$6:$AS$505,$M96)&amp;"")</f>
        <v/>
      </c>
      <c r="K96" s="110" t="str">
        <f>IF($M96="","",INDEX('MTRs'!$AT$6:$AT$505,$M96)&amp;"")</f>
        <v/>
      </c>
      <c r="L96" s="110" t="str">
        <f>IF($M96="","",INDEX('MTRs'!$Y$6:$Y$505,$M96)&amp;"")</f>
        <v/>
      </c>
      <c r="M96" t="str">
        <f>IFERROR(MATCH(SMALL('MTRs'!$AU$6:$AU$505,86),'MTRs'!$AU$6:$AU$505,0),"")</f>
        <v/>
      </c>
    </row>
    <row r="97" ht="30" customHeight="1">
      <c r="B97" s="108" t="str">
        <f>IF($M97="","",INDEX('MTRs'!$A$6:$A$505,$M97)&amp;"")</f>
        <v/>
      </c>
      <c r="C97" s="109" t="str">
        <f>IF($M97="","",INDEX('MTRs'!$B$6:$B$505,$M97)&amp;"")</f>
        <v/>
      </c>
      <c r="D97" s="110" t="str">
        <f>IF($M97="","",INDEX('MTRs'!$G$6:$G$505,$M97)&amp;"")</f>
        <v/>
      </c>
      <c r="E97" s="110" t="str">
        <f>IF($M97="","",INDEX('MTRs'!$H$6:$H$505,$M97)&amp;"")</f>
        <v/>
      </c>
      <c r="F97" s="110" t="str">
        <f>IF($M97="","",INDEX('MTRs'!$I$6:$I$505,$M97)&amp;"")</f>
        <v/>
      </c>
      <c r="G97" s="110" t="str">
        <f>IF($M97="","",INDEX('MTRs'!$T$6:$T$505,$M97)&amp;"")</f>
        <v/>
      </c>
      <c r="H97" s="111" t="str">
        <f>IF($M97="","",INDEX('MTRs'!$AQ$6:$AQ$505,$M97))</f>
        <v/>
      </c>
      <c r="I97" s="112" t="str">
        <f>IF($M97="","",INDEX('MTRs'!$U$6:$U$505,$M97))</f>
        <v/>
      </c>
      <c r="J97" s="113" t="str">
        <f>IF($M97="","",INDEX('MTRs'!$AS$6:$AS$505,$M97)&amp;"")</f>
        <v/>
      </c>
      <c r="K97" s="110" t="str">
        <f>IF($M97="","",INDEX('MTRs'!$AT$6:$AT$505,$M97)&amp;"")</f>
        <v/>
      </c>
      <c r="L97" s="110" t="str">
        <f>IF($M97="","",INDEX('MTRs'!$Y$6:$Y$505,$M97)&amp;"")</f>
        <v/>
      </c>
      <c r="M97" t="str">
        <f>IFERROR(MATCH(SMALL('MTRs'!$AU$6:$AU$505,87),'MTRs'!$AU$6:$AU$505,0),"")</f>
        <v/>
      </c>
    </row>
    <row r="98" ht="30" customHeight="1">
      <c r="B98" s="108" t="str">
        <f>IF($M98="","",INDEX('MTRs'!$A$6:$A$505,$M98)&amp;"")</f>
        <v/>
      </c>
      <c r="C98" s="109" t="str">
        <f>IF($M98="","",INDEX('MTRs'!$B$6:$B$505,$M98)&amp;"")</f>
        <v/>
      </c>
      <c r="D98" s="110" t="str">
        <f>IF($M98="","",INDEX('MTRs'!$G$6:$G$505,$M98)&amp;"")</f>
        <v/>
      </c>
      <c r="E98" s="110" t="str">
        <f>IF($M98="","",INDEX('MTRs'!$H$6:$H$505,$M98)&amp;"")</f>
        <v/>
      </c>
      <c r="F98" s="110" t="str">
        <f>IF($M98="","",INDEX('MTRs'!$I$6:$I$505,$M98)&amp;"")</f>
        <v/>
      </c>
      <c r="G98" s="110" t="str">
        <f>IF($M98="","",INDEX('MTRs'!$T$6:$T$505,$M98)&amp;"")</f>
        <v/>
      </c>
      <c r="H98" s="111" t="str">
        <f>IF($M98="","",INDEX('MTRs'!$AQ$6:$AQ$505,$M98))</f>
        <v/>
      </c>
      <c r="I98" s="112" t="str">
        <f>IF($M98="","",INDEX('MTRs'!$U$6:$U$505,$M98))</f>
        <v/>
      </c>
      <c r="J98" s="113" t="str">
        <f>IF($M98="","",INDEX('MTRs'!$AS$6:$AS$505,$M98)&amp;"")</f>
        <v/>
      </c>
      <c r="K98" s="110" t="str">
        <f>IF($M98="","",INDEX('MTRs'!$AT$6:$AT$505,$M98)&amp;"")</f>
        <v/>
      </c>
      <c r="L98" s="110" t="str">
        <f>IF($M98="","",INDEX('MTRs'!$Y$6:$Y$505,$M98)&amp;"")</f>
        <v/>
      </c>
      <c r="M98" t="str">
        <f>IFERROR(MATCH(SMALL('MTRs'!$AU$6:$AU$505,88),'MTRs'!$AU$6:$AU$505,0),"")</f>
        <v/>
      </c>
    </row>
    <row r="99" ht="30" customHeight="1">
      <c r="B99" s="108" t="str">
        <f>IF($M99="","",INDEX('MTRs'!$A$6:$A$505,$M99)&amp;"")</f>
        <v/>
      </c>
      <c r="C99" s="109" t="str">
        <f>IF($M99="","",INDEX('MTRs'!$B$6:$B$505,$M99)&amp;"")</f>
        <v/>
      </c>
      <c r="D99" s="110" t="str">
        <f>IF($M99="","",INDEX('MTRs'!$G$6:$G$505,$M99)&amp;"")</f>
        <v/>
      </c>
      <c r="E99" s="110" t="str">
        <f>IF($M99="","",INDEX('MTRs'!$H$6:$H$505,$M99)&amp;"")</f>
        <v/>
      </c>
      <c r="F99" s="110" t="str">
        <f>IF($M99="","",INDEX('MTRs'!$I$6:$I$505,$M99)&amp;"")</f>
        <v/>
      </c>
      <c r="G99" s="110" t="str">
        <f>IF($M99="","",INDEX('MTRs'!$T$6:$T$505,$M99)&amp;"")</f>
        <v/>
      </c>
      <c r="H99" s="111" t="str">
        <f>IF($M99="","",INDEX('MTRs'!$AQ$6:$AQ$505,$M99))</f>
        <v/>
      </c>
      <c r="I99" s="112" t="str">
        <f>IF($M99="","",INDEX('MTRs'!$U$6:$U$505,$M99))</f>
        <v/>
      </c>
      <c r="J99" s="113" t="str">
        <f>IF($M99="","",INDEX('MTRs'!$AS$6:$AS$505,$M99)&amp;"")</f>
        <v/>
      </c>
      <c r="K99" s="110" t="str">
        <f>IF($M99="","",INDEX('MTRs'!$AT$6:$AT$505,$M99)&amp;"")</f>
        <v/>
      </c>
      <c r="L99" s="110" t="str">
        <f>IF($M99="","",INDEX('MTRs'!$Y$6:$Y$505,$M99)&amp;"")</f>
        <v/>
      </c>
      <c r="M99" t="str">
        <f>IFERROR(MATCH(SMALL('MTRs'!$AU$6:$AU$505,89),'MTRs'!$AU$6:$AU$505,0),"")</f>
        <v/>
      </c>
    </row>
    <row r="100" ht="30" customHeight="1">
      <c r="B100" s="108" t="str">
        <f>IF($M100="","",INDEX('MTRs'!$A$6:$A$505,$M100)&amp;"")</f>
        <v/>
      </c>
      <c r="C100" s="109" t="str">
        <f>IF($M100="","",INDEX('MTRs'!$B$6:$B$505,$M100)&amp;"")</f>
        <v/>
      </c>
      <c r="D100" s="110" t="str">
        <f>IF($M100="","",INDEX('MTRs'!$G$6:$G$505,$M100)&amp;"")</f>
        <v/>
      </c>
      <c r="E100" s="110" t="str">
        <f>IF($M100="","",INDEX('MTRs'!$H$6:$H$505,$M100)&amp;"")</f>
        <v/>
      </c>
      <c r="F100" s="110" t="str">
        <f>IF($M100="","",INDEX('MTRs'!$I$6:$I$505,$M100)&amp;"")</f>
        <v/>
      </c>
      <c r="G100" s="110" t="str">
        <f>IF($M100="","",INDEX('MTRs'!$T$6:$T$505,$M100)&amp;"")</f>
        <v/>
      </c>
      <c r="H100" s="111" t="str">
        <f>IF($M100="","",INDEX('MTRs'!$AQ$6:$AQ$505,$M100))</f>
        <v/>
      </c>
      <c r="I100" s="112" t="str">
        <f>IF($M100="","",INDEX('MTRs'!$U$6:$U$505,$M100))</f>
        <v/>
      </c>
      <c r="J100" s="113" t="str">
        <f>IF($M100="","",INDEX('MTRs'!$AS$6:$AS$505,$M100)&amp;"")</f>
        <v/>
      </c>
      <c r="K100" s="110" t="str">
        <f>IF($M100="","",INDEX('MTRs'!$AT$6:$AT$505,$M100)&amp;"")</f>
        <v/>
      </c>
      <c r="L100" s="110" t="str">
        <f>IF($M100="","",INDEX('MTRs'!$Y$6:$Y$505,$M100)&amp;"")</f>
        <v/>
      </c>
      <c r="M100" t="str">
        <f>IFERROR(MATCH(SMALL('MTRs'!$AU$6:$AU$505,90),'MTRs'!$AU$6:$AU$505,0),"")</f>
        <v/>
      </c>
    </row>
    <row r="101" ht="30" customHeight="1">
      <c r="B101" s="108" t="str">
        <f>IF($M101="","",INDEX('MTRs'!$A$6:$A$505,$M101)&amp;"")</f>
        <v/>
      </c>
      <c r="C101" s="109" t="str">
        <f>IF($M101="","",INDEX('MTRs'!$B$6:$B$505,$M101)&amp;"")</f>
        <v/>
      </c>
      <c r="D101" s="110" t="str">
        <f>IF($M101="","",INDEX('MTRs'!$G$6:$G$505,$M101)&amp;"")</f>
        <v/>
      </c>
      <c r="E101" s="110" t="str">
        <f>IF($M101="","",INDEX('MTRs'!$H$6:$H$505,$M101)&amp;"")</f>
        <v/>
      </c>
      <c r="F101" s="110" t="str">
        <f>IF($M101="","",INDEX('MTRs'!$I$6:$I$505,$M101)&amp;"")</f>
        <v/>
      </c>
      <c r="G101" s="110" t="str">
        <f>IF($M101="","",INDEX('MTRs'!$T$6:$T$505,$M101)&amp;"")</f>
        <v/>
      </c>
      <c r="H101" s="111" t="str">
        <f>IF($M101="","",INDEX('MTRs'!$AQ$6:$AQ$505,$M101))</f>
        <v/>
      </c>
      <c r="I101" s="112" t="str">
        <f>IF($M101="","",INDEX('MTRs'!$U$6:$U$505,$M101))</f>
        <v/>
      </c>
      <c r="J101" s="113" t="str">
        <f>IF($M101="","",INDEX('MTRs'!$AS$6:$AS$505,$M101)&amp;"")</f>
        <v/>
      </c>
      <c r="K101" s="110" t="str">
        <f>IF($M101="","",INDEX('MTRs'!$AT$6:$AT$505,$M101)&amp;"")</f>
        <v/>
      </c>
      <c r="L101" s="110" t="str">
        <f>IF($M101="","",INDEX('MTRs'!$Y$6:$Y$505,$M101)&amp;"")</f>
        <v/>
      </c>
      <c r="M101" t="str">
        <f>IFERROR(MATCH(SMALL('MTRs'!$AU$6:$AU$505,91),'MTRs'!$AU$6:$AU$505,0),"")</f>
        <v/>
      </c>
    </row>
    <row r="102" ht="30" customHeight="1">
      <c r="B102" s="108" t="str">
        <f>IF($M102="","",INDEX('MTRs'!$A$6:$A$505,$M102)&amp;"")</f>
        <v/>
      </c>
      <c r="C102" s="109" t="str">
        <f>IF($M102="","",INDEX('MTRs'!$B$6:$B$505,$M102)&amp;"")</f>
        <v/>
      </c>
      <c r="D102" s="110" t="str">
        <f>IF($M102="","",INDEX('MTRs'!$G$6:$G$505,$M102)&amp;"")</f>
        <v/>
      </c>
      <c r="E102" s="110" t="str">
        <f>IF($M102="","",INDEX('MTRs'!$H$6:$H$505,$M102)&amp;"")</f>
        <v/>
      </c>
      <c r="F102" s="110" t="str">
        <f>IF($M102="","",INDEX('MTRs'!$I$6:$I$505,$M102)&amp;"")</f>
        <v/>
      </c>
      <c r="G102" s="110" t="str">
        <f>IF($M102="","",INDEX('MTRs'!$T$6:$T$505,$M102)&amp;"")</f>
        <v/>
      </c>
      <c r="H102" s="111" t="str">
        <f>IF($M102="","",INDEX('MTRs'!$AQ$6:$AQ$505,$M102))</f>
        <v/>
      </c>
      <c r="I102" s="112" t="str">
        <f>IF($M102="","",INDEX('MTRs'!$U$6:$U$505,$M102))</f>
        <v/>
      </c>
      <c r="J102" s="113" t="str">
        <f>IF($M102="","",INDEX('MTRs'!$AS$6:$AS$505,$M102)&amp;"")</f>
        <v/>
      </c>
      <c r="K102" s="110" t="str">
        <f>IF($M102="","",INDEX('MTRs'!$AT$6:$AT$505,$M102)&amp;"")</f>
        <v/>
      </c>
      <c r="L102" s="110" t="str">
        <f>IF($M102="","",INDEX('MTRs'!$Y$6:$Y$505,$M102)&amp;"")</f>
        <v/>
      </c>
      <c r="M102" t="str">
        <f>IFERROR(MATCH(SMALL('MTRs'!$AU$6:$AU$505,92),'MTRs'!$AU$6:$AU$505,0),"")</f>
        <v/>
      </c>
    </row>
    <row r="103" ht="30" customHeight="1">
      <c r="B103" s="108" t="str">
        <f>IF($M103="","",INDEX('MTRs'!$A$6:$A$505,$M103)&amp;"")</f>
        <v/>
      </c>
      <c r="C103" s="109" t="str">
        <f>IF($M103="","",INDEX('MTRs'!$B$6:$B$505,$M103)&amp;"")</f>
        <v/>
      </c>
      <c r="D103" s="110" t="str">
        <f>IF($M103="","",INDEX('MTRs'!$G$6:$G$505,$M103)&amp;"")</f>
        <v/>
      </c>
      <c r="E103" s="110" t="str">
        <f>IF($M103="","",INDEX('MTRs'!$H$6:$H$505,$M103)&amp;"")</f>
        <v/>
      </c>
      <c r="F103" s="110" t="str">
        <f>IF($M103="","",INDEX('MTRs'!$I$6:$I$505,$M103)&amp;"")</f>
        <v/>
      </c>
      <c r="G103" s="110" t="str">
        <f>IF($M103="","",INDEX('MTRs'!$T$6:$T$505,$M103)&amp;"")</f>
        <v/>
      </c>
      <c r="H103" s="111" t="str">
        <f>IF($M103="","",INDEX('MTRs'!$AQ$6:$AQ$505,$M103))</f>
        <v/>
      </c>
      <c r="I103" s="112" t="str">
        <f>IF($M103="","",INDEX('MTRs'!$U$6:$U$505,$M103))</f>
        <v/>
      </c>
      <c r="J103" s="113" t="str">
        <f>IF($M103="","",INDEX('MTRs'!$AS$6:$AS$505,$M103)&amp;"")</f>
        <v/>
      </c>
      <c r="K103" s="110" t="str">
        <f>IF($M103="","",INDEX('MTRs'!$AT$6:$AT$505,$M103)&amp;"")</f>
        <v/>
      </c>
      <c r="L103" s="110" t="str">
        <f>IF($M103="","",INDEX('MTRs'!$Y$6:$Y$505,$M103)&amp;"")</f>
        <v/>
      </c>
      <c r="M103" t="str">
        <f>IFERROR(MATCH(SMALL('MTRs'!$AU$6:$AU$505,93),'MTRs'!$AU$6:$AU$505,0),"")</f>
        <v/>
      </c>
    </row>
    <row r="104" ht="30" customHeight="1">
      <c r="B104" s="108" t="str">
        <f>IF($M104="","",INDEX('MTRs'!$A$6:$A$505,$M104)&amp;"")</f>
        <v/>
      </c>
      <c r="C104" s="109" t="str">
        <f>IF($M104="","",INDEX('MTRs'!$B$6:$B$505,$M104)&amp;"")</f>
        <v/>
      </c>
      <c r="D104" s="110" t="str">
        <f>IF($M104="","",INDEX('MTRs'!$G$6:$G$505,$M104)&amp;"")</f>
        <v/>
      </c>
      <c r="E104" s="110" t="str">
        <f>IF($M104="","",INDEX('MTRs'!$H$6:$H$505,$M104)&amp;"")</f>
        <v/>
      </c>
      <c r="F104" s="110" t="str">
        <f>IF($M104="","",INDEX('MTRs'!$I$6:$I$505,$M104)&amp;"")</f>
        <v/>
      </c>
      <c r="G104" s="110" t="str">
        <f>IF($M104="","",INDEX('MTRs'!$T$6:$T$505,$M104)&amp;"")</f>
        <v/>
      </c>
      <c r="H104" s="111" t="str">
        <f>IF($M104="","",INDEX('MTRs'!$AQ$6:$AQ$505,$M104))</f>
        <v/>
      </c>
      <c r="I104" s="112" t="str">
        <f>IF($M104="","",INDEX('MTRs'!$U$6:$U$505,$M104))</f>
        <v/>
      </c>
      <c r="J104" s="113" t="str">
        <f>IF($M104="","",INDEX('MTRs'!$AS$6:$AS$505,$M104)&amp;"")</f>
        <v/>
      </c>
      <c r="K104" s="110" t="str">
        <f>IF($M104="","",INDEX('MTRs'!$AT$6:$AT$505,$M104)&amp;"")</f>
        <v/>
      </c>
      <c r="L104" s="110" t="str">
        <f>IF($M104="","",INDEX('MTRs'!$Y$6:$Y$505,$M104)&amp;"")</f>
        <v/>
      </c>
      <c r="M104" t="str">
        <f>IFERROR(MATCH(SMALL('MTRs'!$AU$6:$AU$505,94),'MTRs'!$AU$6:$AU$505,0),"")</f>
        <v/>
      </c>
    </row>
    <row r="105" ht="30" customHeight="1">
      <c r="B105" s="108" t="str">
        <f>IF($M105="","",INDEX('MTRs'!$A$6:$A$505,$M105)&amp;"")</f>
        <v/>
      </c>
      <c r="C105" s="109" t="str">
        <f>IF($M105="","",INDEX('MTRs'!$B$6:$B$505,$M105)&amp;"")</f>
        <v/>
      </c>
      <c r="D105" s="110" t="str">
        <f>IF($M105="","",INDEX('MTRs'!$G$6:$G$505,$M105)&amp;"")</f>
        <v/>
      </c>
      <c r="E105" s="110" t="str">
        <f>IF($M105="","",INDEX('MTRs'!$H$6:$H$505,$M105)&amp;"")</f>
        <v/>
      </c>
      <c r="F105" s="110" t="str">
        <f>IF($M105="","",INDEX('MTRs'!$I$6:$I$505,$M105)&amp;"")</f>
        <v/>
      </c>
      <c r="G105" s="110" t="str">
        <f>IF($M105="","",INDEX('MTRs'!$T$6:$T$505,$M105)&amp;"")</f>
        <v/>
      </c>
      <c r="H105" s="111" t="str">
        <f>IF($M105="","",INDEX('MTRs'!$AQ$6:$AQ$505,$M105))</f>
        <v/>
      </c>
      <c r="I105" s="112" t="str">
        <f>IF($M105="","",INDEX('MTRs'!$U$6:$U$505,$M105))</f>
        <v/>
      </c>
      <c r="J105" s="113" t="str">
        <f>IF($M105="","",INDEX('MTRs'!$AS$6:$AS$505,$M105)&amp;"")</f>
        <v/>
      </c>
      <c r="K105" s="110" t="str">
        <f>IF($M105="","",INDEX('MTRs'!$AT$6:$AT$505,$M105)&amp;"")</f>
        <v/>
      </c>
      <c r="L105" s="110" t="str">
        <f>IF($M105="","",INDEX('MTRs'!$Y$6:$Y$505,$M105)&amp;"")</f>
        <v/>
      </c>
      <c r="M105" t="str">
        <f>IFERROR(MATCH(SMALL('MTRs'!$AU$6:$AU$505,95),'MTRs'!$AU$6:$AU$505,0),"")</f>
        <v/>
      </c>
    </row>
    <row r="106" ht="30" customHeight="1">
      <c r="B106" s="108" t="str">
        <f>IF($M106="","",INDEX('MTRs'!$A$6:$A$505,$M106)&amp;"")</f>
        <v/>
      </c>
      <c r="C106" s="109" t="str">
        <f>IF($M106="","",INDEX('MTRs'!$B$6:$B$505,$M106)&amp;"")</f>
        <v/>
      </c>
      <c r="D106" s="110" t="str">
        <f>IF($M106="","",INDEX('MTRs'!$G$6:$G$505,$M106)&amp;"")</f>
        <v/>
      </c>
      <c r="E106" s="110" t="str">
        <f>IF($M106="","",INDEX('MTRs'!$H$6:$H$505,$M106)&amp;"")</f>
        <v/>
      </c>
      <c r="F106" s="110" t="str">
        <f>IF($M106="","",INDEX('MTRs'!$I$6:$I$505,$M106)&amp;"")</f>
        <v/>
      </c>
      <c r="G106" s="110" t="str">
        <f>IF($M106="","",INDEX('MTRs'!$T$6:$T$505,$M106)&amp;"")</f>
        <v/>
      </c>
      <c r="H106" s="111" t="str">
        <f>IF($M106="","",INDEX('MTRs'!$AQ$6:$AQ$505,$M106))</f>
        <v/>
      </c>
      <c r="I106" s="112" t="str">
        <f>IF($M106="","",INDEX('MTRs'!$U$6:$U$505,$M106))</f>
        <v/>
      </c>
      <c r="J106" s="113" t="str">
        <f>IF($M106="","",INDEX('MTRs'!$AS$6:$AS$505,$M106)&amp;"")</f>
        <v/>
      </c>
      <c r="K106" s="110" t="str">
        <f>IF($M106="","",INDEX('MTRs'!$AT$6:$AT$505,$M106)&amp;"")</f>
        <v/>
      </c>
      <c r="L106" s="110" t="str">
        <f>IF($M106="","",INDEX('MTRs'!$Y$6:$Y$505,$M106)&amp;"")</f>
        <v/>
      </c>
      <c r="M106" t="str">
        <f>IFERROR(MATCH(SMALL('MTRs'!$AU$6:$AU$505,96),'MTRs'!$AU$6:$AU$505,0),"")</f>
        <v/>
      </c>
    </row>
    <row r="107" ht="30" customHeight="1">
      <c r="B107" s="108" t="str">
        <f>IF($M107="","",INDEX('MTRs'!$A$6:$A$505,$M107)&amp;"")</f>
        <v/>
      </c>
      <c r="C107" s="109" t="str">
        <f>IF($M107="","",INDEX('MTRs'!$B$6:$B$505,$M107)&amp;"")</f>
        <v/>
      </c>
      <c r="D107" s="110" t="str">
        <f>IF($M107="","",INDEX('MTRs'!$G$6:$G$505,$M107)&amp;"")</f>
        <v/>
      </c>
      <c r="E107" s="110" t="str">
        <f>IF($M107="","",INDEX('MTRs'!$H$6:$H$505,$M107)&amp;"")</f>
        <v/>
      </c>
      <c r="F107" s="110" t="str">
        <f>IF($M107="","",INDEX('MTRs'!$I$6:$I$505,$M107)&amp;"")</f>
        <v/>
      </c>
      <c r="G107" s="110" t="str">
        <f>IF($M107="","",INDEX('MTRs'!$T$6:$T$505,$M107)&amp;"")</f>
        <v/>
      </c>
      <c r="H107" s="111" t="str">
        <f>IF($M107="","",INDEX('MTRs'!$AQ$6:$AQ$505,$M107))</f>
        <v/>
      </c>
      <c r="I107" s="112" t="str">
        <f>IF($M107="","",INDEX('MTRs'!$U$6:$U$505,$M107))</f>
        <v/>
      </c>
      <c r="J107" s="113" t="str">
        <f>IF($M107="","",INDEX('MTRs'!$AS$6:$AS$505,$M107)&amp;"")</f>
        <v/>
      </c>
      <c r="K107" s="110" t="str">
        <f>IF($M107="","",INDEX('MTRs'!$AT$6:$AT$505,$M107)&amp;"")</f>
        <v/>
      </c>
      <c r="L107" s="110" t="str">
        <f>IF($M107="","",INDEX('MTRs'!$Y$6:$Y$505,$M107)&amp;"")</f>
        <v/>
      </c>
      <c r="M107" t="str">
        <f>IFERROR(MATCH(SMALL('MTRs'!$AU$6:$AU$505,97),'MTRs'!$AU$6:$AU$505,0),"")</f>
        <v/>
      </c>
    </row>
    <row r="108" ht="30" customHeight="1">
      <c r="B108" s="108" t="str">
        <f>IF($M108="","",INDEX('MTRs'!$A$6:$A$505,$M108)&amp;"")</f>
        <v/>
      </c>
      <c r="C108" s="109" t="str">
        <f>IF($M108="","",INDEX('MTRs'!$B$6:$B$505,$M108)&amp;"")</f>
        <v/>
      </c>
      <c r="D108" s="110" t="str">
        <f>IF($M108="","",INDEX('MTRs'!$G$6:$G$505,$M108)&amp;"")</f>
        <v/>
      </c>
      <c r="E108" s="110" t="str">
        <f>IF($M108="","",INDEX('MTRs'!$H$6:$H$505,$M108)&amp;"")</f>
        <v/>
      </c>
      <c r="F108" s="110" t="str">
        <f>IF($M108="","",INDEX('MTRs'!$I$6:$I$505,$M108)&amp;"")</f>
        <v/>
      </c>
      <c r="G108" s="110" t="str">
        <f>IF($M108="","",INDEX('MTRs'!$T$6:$T$505,$M108)&amp;"")</f>
        <v/>
      </c>
      <c r="H108" s="111" t="str">
        <f>IF($M108="","",INDEX('MTRs'!$AQ$6:$AQ$505,$M108))</f>
        <v/>
      </c>
      <c r="I108" s="112" t="str">
        <f>IF($M108="","",INDEX('MTRs'!$U$6:$U$505,$M108))</f>
        <v/>
      </c>
      <c r="J108" s="113" t="str">
        <f>IF($M108="","",INDEX('MTRs'!$AS$6:$AS$505,$M108)&amp;"")</f>
        <v/>
      </c>
      <c r="K108" s="110" t="str">
        <f>IF($M108="","",INDEX('MTRs'!$AT$6:$AT$505,$M108)&amp;"")</f>
        <v/>
      </c>
      <c r="L108" s="110" t="str">
        <f>IF($M108="","",INDEX('MTRs'!$Y$6:$Y$505,$M108)&amp;"")</f>
        <v/>
      </c>
      <c r="M108" t="str">
        <f>IFERROR(MATCH(SMALL('MTRs'!$AU$6:$AU$505,98),'MTRs'!$AU$6:$AU$505,0),"")</f>
        <v/>
      </c>
    </row>
    <row r="109" ht="30" customHeight="1">
      <c r="B109" s="108" t="str">
        <f>IF($M109="","",INDEX('MTRs'!$A$6:$A$505,$M109)&amp;"")</f>
        <v/>
      </c>
      <c r="C109" s="109" t="str">
        <f>IF($M109="","",INDEX('MTRs'!$B$6:$B$505,$M109)&amp;"")</f>
        <v/>
      </c>
      <c r="D109" s="110" t="str">
        <f>IF($M109="","",INDEX('MTRs'!$G$6:$G$505,$M109)&amp;"")</f>
        <v/>
      </c>
      <c r="E109" s="110" t="str">
        <f>IF($M109="","",INDEX('MTRs'!$H$6:$H$505,$M109)&amp;"")</f>
        <v/>
      </c>
      <c r="F109" s="110" t="str">
        <f>IF($M109="","",INDEX('MTRs'!$I$6:$I$505,$M109)&amp;"")</f>
        <v/>
      </c>
      <c r="G109" s="110" t="str">
        <f>IF($M109="","",INDEX('MTRs'!$T$6:$T$505,$M109)&amp;"")</f>
        <v/>
      </c>
      <c r="H109" s="111" t="str">
        <f>IF($M109="","",INDEX('MTRs'!$AQ$6:$AQ$505,$M109))</f>
        <v/>
      </c>
      <c r="I109" s="112" t="str">
        <f>IF($M109="","",INDEX('MTRs'!$U$6:$U$505,$M109))</f>
        <v/>
      </c>
      <c r="J109" s="113" t="str">
        <f>IF($M109="","",INDEX('MTRs'!$AS$6:$AS$505,$M109)&amp;"")</f>
        <v/>
      </c>
      <c r="K109" s="110" t="str">
        <f>IF($M109="","",INDEX('MTRs'!$AT$6:$AT$505,$M109)&amp;"")</f>
        <v/>
      </c>
      <c r="L109" s="110" t="str">
        <f>IF($M109="","",INDEX('MTRs'!$Y$6:$Y$505,$M109)&amp;"")</f>
        <v/>
      </c>
      <c r="M109" t="str">
        <f>IFERROR(MATCH(SMALL('MTRs'!$AU$6:$AU$505,99),'MTRs'!$AU$6:$AU$505,0),"")</f>
        <v/>
      </c>
    </row>
    <row r="110" ht="30" customHeight="1">
      <c r="B110" s="108" t="str">
        <f>IF($M110="","",INDEX('MTRs'!$A$6:$A$505,$M110)&amp;"")</f>
        <v/>
      </c>
      <c r="C110" s="109" t="str">
        <f>IF($M110="","",INDEX('MTRs'!$B$6:$B$505,$M110)&amp;"")</f>
        <v/>
      </c>
      <c r="D110" s="110" t="str">
        <f>IF($M110="","",INDEX('MTRs'!$G$6:$G$505,$M110)&amp;"")</f>
        <v/>
      </c>
      <c r="E110" s="110" t="str">
        <f>IF($M110="","",INDEX('MTRs'!$H$6:$H$505,$M110)&amp;"")</f>
        <v/>
      </c>
      <c r="F110" s="110" t="str">
        <f>IF($M110="","",INDEX('MTRs'!$I$6:$I$505,$M110)&amp;"")</f>
        <v/>
      </c>
      <c r="G110" s="110" t="str">
        <f>IF($M110="","",INDEX('MTRs'!$T$6:$T$505,$M110)&amp;"")</f>
        <v/>
      </c>
      <c r="H110" s="111" t="str">
        <f>IF($M110="","",INDEX('MTRs'!$AQ$6:$AQ$505,$M110))</f>
        <v/>
      </c>
      <c r="I110" s="112" t="str">
        <f>IF($M110="","",INDEX('MTRs'!$U$6:$U$505,$M110))</f>
        <v/>
      </c>
      <c r="J110" s="113" t="str">
        <f>IF($M110="","",INDEX('MTRs'!$AS$6:$AS$505,$M110)&amp;"")</f>
        <v/>
      </c>
      <c r="K110" s="110" t="str">
        <f>IF($M110="","",INDEX('MTRs'!$AT$6:$AT$505,$M110)&amp;"")</f>
        <v/>
      </c>
      <c r="L110" s="110" t="str">
        <f>IF($M110="","",INDEX('MTRs'!$Y$6:$Y$505,$M110)&amp;"")</f>
        <v/>
      </c>
      <c r="M110" t="str">
        <f>IFERROR(MATCH(SMALL('MTRs'!$AU$6:$AU$505,100),'MTRs'!$AU$6:$AU$505,0),"")</f>
        <v/>
      </c>
    </row>
    <row r="111" ht="30" customHeight="1">
      <c r="B111" s="108" t="str">
        <f>IF($M111="","",INDEX('MTRs'!$A$6:$A$505,$M111)&amp;"")</f>
        <v/>
      </c>
      <c r="C111" s="109" t="str">
        <f>IF($M111="","",INDEX('MTRs'!$B$6:$B$505,$M111)&amp;"")</f>
        <v/>
      </c>
      <c r="D111" s="110" t="str">
        <f>IF($M111="","",INDEX('MTRs'!$G$6:$G$505,$M111)&amp;"")</f>
        <v/>
      </c>
      <c r="E111" s="110" t="str">
        <f>IF($M111="","",INDEX('MTRs'!$H$6:$H$505,$M111)&amp;"")</f>
        <v/>
      </c>
      <c r="F111" s="110" t="str">
        <f>IF($M111="","",INDEX('MTRs'!$I$6:$I$505,$M111)&amp;"")</f>
        <v/>
      </c>
      <c r="G111" s="110" t="str">
        <f>IF($M111="","",INDEX('MTRs'!$T$6:$T$505,$M111)&amp;"")</f>
        <v/>
      </c>
      <c r="H111" s="111" t="str">
        <f>IF($M111="","",INDEX('MTRs'!$AQ$6:$AQ$505,$M111))</f>
        <v/>
      </c>
      <c r="I111" s="112" t="str">
        <f>IF($M111="","",INDEX('MTRs'!$U$6:$U$505,$M111))</f>
        <v/>
      </c>
      <c r="J111" s="113" t="str">
        <f>IF($M111="","",INDEX('MTRs'!$AS$6:$AS$505,$M111)&amp;"")</f>
        <v/>
      </c>
      <c r="K111" s="110" t="str">
        <f>IF($M111="","",INDEX('MTRs'!$AT$6:$AT$505,$M111)&amp;"")</f>
        <v/>
      </c>
      <c r="L111" s="110" t="str">
        <f>IF($M111="","",INDEX('MTRs'!$Y$6:$Y$505,$M111)&amp;"")</f>
        <v/>
      </c>
      <c r="M111" t="str">
        <f>IFERROR(MATCH(SMALL('MTRs'!$AU$6:$AU$505,101),'MTRs'!$AU$6:$AU$505,0),"")</f>
        <v/>
      </c>
    </row>
    <row r="112" ht="30" customHeight="1">
      <c r="B112" s="108" t="str">
        <f>IF($M112="","",INDEX('MTRs'!$A$6:$A$505,$M112)&amp;"")</f>
        <v/>
      </c>
      <c r="C112" s="109" t="str">
        <f>IF($M112="","",INDEX('MTRs'!$B$6:$B$505,$M112)&amp;"")</f>
        <v/>
      </c>
      <c r="D112" s="110" t="str">
        <f>IF($M112="","",INDEX('MTRs'!$G$6:$G$505,$M112)&amp;"")</f>
        <v/>
      </c>
      <c r="E112" s="110" t="str">
        <f>IF($M112="","",INDEX('MTRs'!$H$6:$H$505,$M112)&amp;"")</f>
        <v/>
      </c>
      <c r="F112" s="110" t="str">
        <f>IF($M112="","",INDEX('MTRs'!$I$6:$I$505,$M112)&amp;"")</f>
        <v/>
      </c>
      <c r="G112" s="110" t="str">
        <f>IF($M112="","",INDEX('MTRs'!$T$6:$T$505,$M112)&amp;"")</f>
        <v/>
      </c>
      <c r="H112" s="111" t="str">
        <f>IF($M112="","",INDEX('MTRs'!$AQ$6:$AQ$505,$M112))</f>
        <v/>
      </c>
      <c r="I112" s="112" t="str">
        <f>IF($M112="","",INDEX('MTRs'!$U$6:$U$505,$M112))</f>
        <v/>
      </c>
      <c r="J112" s="113" t="str">
        <f>IF($M112="","",INDEX('MTRs'!$AS$6:$AS$505,$M112)&amp;"")</f>
        <v/>
      </c>
      <c r="K112" s="110" t="str">
        <f>IF($M112="","",INDEX('MTRs'!$AT$6:$AT$505,$M112)&amp;"")</f>
        <v/>
      </c>
      <c r="L112" s="110" t="str">
        <f>IF($M112="","",INDEX('MTRs'!$Y$6:$Y$505,$M112)&amp;"")</f>
        <v/>
      </c>
      <c r="M112" t="str">
        <f>IFERROR(MATCH(SMALL('MTRs'!$AU$6:$AU$505,102),'MTRs'!$AU$6:$AU$505,0),"")</f>
        <v/>
      </c>
    </row>
    <row r="113" ht="30" customHeight="1">
      <c r="B113" s="108" t="str">
        <f>IF($M113="","",INDEX('MTRs'!$A$6:$A$505,$M113)&amp;"")</f>
        <v/>
      </c>
      <c r="C113" s="109" t="str">
        <f>IF($M113="","",INDEX('MTRs'!$B$6:$B$505,$M113)&amp;"")</f>
        <v/>
      </c>
      <c r="D113" s="110" t="str">
        <f>IF($M113="","",INDEX('MTRs'!$G$6:$G$505,$M113)&amp;"")</f>
        <v/>
      </c>
      <c r="E113" s="110" t="str">
        <f>IF($M113="","",INDEX('MTRs'!$H$6:$H$505,$M113)&amp;"")</f>
        <v/>
      </c>
      <c r="F113" s="110" t="str">
        <f>IF($M113="","",INDEX('MTRs'!$I$6:$I$505,$M113)&amp;"")</f>
        <v/>
      </c>
      <c r="G113" s="110" t="str">
        <f>IF($M113="","",INDEX('MTRs'!$T$6:$T$505,$M113)&amp;"")</f>
        <v/>
      </c>
      <c r="H113" s="111" t="str">
        <f>IF($M113="","",INDEX('MTRs'!$AQ$6:$AQ$505,$M113))</f>
        <v/>
      </c>
      <c r="I113" s="112" t="str">
        <f>IF($M113="","",INDEX('MTRs'!$U$6:$U$505,$M113))</f>
        <v/>
      </c>
      <c r="J113" s="113" t="str">
        <f>IF($M113="","",INDEX('MTRs'!$AS$6:$AS$505,$M113)&amp;"")</f>
        <v/>
      </c>
      <c r="K113" s="110" t="str">
        <f>IF($M113="","",INDEX('MTRs'!$AT$6:$AT$505,$M113)&amp;"")</f>
        <v/>
      </c>
      <c r="L113" s="110" t="str">
        <f>IF($M113="","",INDEX('MTRs'!$Y$6:$Y$505,$M113)&amp;"")</f>
        <v/>
      </c>
      <c r="M113" t="str">
        <f>IFERROR(MATCH(SMALL('MTRs'!$AU$6:$AU$505,103),'MTRs'!$AU$6:$AU$505,0),"")</f>
        <v/>
      </c>
    </row>
    <row r="114" ht="30" customHeight="1">
      <c r="B114" s="108" t="str">
        <f>IF($M114="","",INDEX('MTRs'!$A$6:$A$505,$M114)&amp;"")</f>
        <v/>
      </c>
      <c r="C114" s="109" t="str">
        <f>IF($M114="","",INDEX('MTRs'!$B$6:$B$505,$M114)&amp;"")</f>
        <v/>
      </c>
      <c r="D114" s="110" t="str">
        <f>IF($M114="","",INDEX('MTRs'!$G$6:$G$505,$M114)&amp;"")</f>
        <v/>
      </c>
      <c r="E114" s="110" t="str">
        <f>IF($M114="","",INDEX('MTRs'!$H$6:$H$505,$M114)&amp;"")</f>
        <v/>
      </c>
      <c r="F114" s="110" t="str">
        <f>IF($M114="","",INDEX('MTRs'!$I$6:$I$505,$M114)&amp;"")</f>
        <v/>
      </c>
      <c r="G114" s="110" t="str">
        <f>IF($M114="","",INDEX('MTRs'!$T$6:$T$505,$M114)&amp;"")</f>
        <v/>
      </c>
      <c r="H114" s="111" t="str">
        <f>IF($M114="","",INDEX('MTRs'!$AQ$6:$AQ$505,$M114))</f>
        <v/>
      </c>
      <c r="I114" s="112" t="str">
        <f>IF($M114="","",INDEX('MTRs'!$U$6:$U$505,$M114))</f>
        <v/>
      </c>
      <c r="J114" s="113" t="str">
        <f>IF($M114="","",INDEX('MTRs'!$AS$6:$AS$505,$M114)&amp;"")</f>
        <v/>
      </c>
      <c r="K114" s="110" t="str">
        <f>IF($M114="","",INDEX('MTRs'!$AT$6:$AT$505,$M114)&amp;"")</f>
        <v/>
      </c>
      <c r="L114" s="110" t="str">
        <f>IF($M114="","",INDEX('MTRs'!$Y$6:$Y$505,$M114)&amp;"")</f>
        <v/>
      </c>
      <c r="M114" t="str">
        <f>IFERROR(MATCH(SMALL('MTRs'!$AU$6:$AU$505,104),'MTRs'!$AU$6:$AU$505,0),"")</f>
        <v/>
      </c>
    </row>
    <row r="115" ht="30" customHeight="1">
      <c r="B115" s="108" t="str">
        <f>IF($M115="","",INDEX('MTRs'!$A$6:$A$505,$M115)&amp;"")</f>
        <v/>
      </c>
      <c r="C115" s="109" t="str">
        <f>IF($M115="","",INDEX('MTRs'!$B$6:$B$505,$M115)&amp;"")</f>
        <v/>
      </c>
      <c r="D115" s="110" t="str">
        <f>IF($M115="","",INDEX('MTRs'!$G$6:$G$505,$M115)&amp;"")</f>
        <v/>
      </c>
      <c r="E115" s="110" t="str">
        <f>IF($M115="","",INDEX('MTRs'!$H$6:$H$505,$M115)&amp;"")</f>
        <v/>
      </c>
      <c r="F115" s="110" t="str">
        <f>IF($M115="","",INDEX('MTRs'!$I$6:$I$505,$M115)&amp;"")</f>
        <v/>
      </c>
      <c r="G115" s="110" t="str">
        <f>IF($M115="","",INDEX('MTRs'!$T$6:$T$505,$M115)&amp;"")</f>
        <v/>
      </c>
      <c r="H115" s="111" t="str">
        <f>IF($M115="","",INDEX('MTRs'!$AQ$6:$AQ$505,$M115))</f>
        <v/>
      </c>
      <c r="I115" s="112" t="str">
        <f>IF($M115="","",INDEX('MTRs'!$U$6:$U$505,$M115))</f>
        <v/>
      </c>
      <c r="J115" s="113" t="str">
        <f>IF($M115="","",INDEX('MTRs'!$AS$6:$AS$505,$M115)&amp;"")</f>
        <v/>
      </c>
      <c r="K115" s="110" t="str">
        <f>IF($M115="","",INDEX('MTRs'!$AT$6:$AT$505,$M115)&amp;"")</f>
        <v/>
      </c>
      <c r="L115" s="110" t="str">
        <f>IF($M115="","",INDEX('MTRs'!$Y$6:$Y$505,$M115)&amp;"")</f>
        <v/>
      </c>
      <c r="M115" t="str">
        <f>IFERROR(MATCH(SMALL('MTRs'!$AU$6:$AU$505,105),'MTRs'!$AU$6:$AU$505,0),"")</f>
        <v/>
      </c>
    </row>
    <row r="116" ht="30" customHeight="1">
      <c r="B116" s="108" t="str">
        <f>IF($M116="","",INDEX('MTRs'!$A$6:$A$505,$M116)&amp;"")</f>
        <v/>
      </c>
      <c r="C116" s="109" t="str">
        <f>IF($M116="","",INDEX('MTRs'!$B$6:$B$505,$M116)&amp;"")</f>
        <v/>
      </c>
      <c r="D116" s="110" t="str">
        <f>IF($M116="","",INDEX('MTRs'!$G$6:$G$505,$M116)&amp;"")</f>
        <v/>
      </c>
      <c r="E116" s="110" t="str">
        <f>IF($M116="","",INDEX('MTRs'!$H$6:$H$505,$M116)&amp;"")</f>
        <v/>
      </c>
      <c r="F116" s="110" t="str">
        <f>IF($M116="","",INDEX('MTRs'!$I$6:$I$505,$M116)&amp;"")</f>
        <v/>
      </c>
      <c r="G116" s="110" t="str">
        <f>IF($M116="","",INDEX('MTRs'!$T$6:$T$505,$M116)&amp;"")</f>
        <v/>
      </c>
      <c r="H116" s="111" t="str">
        <f>IF($M116="","",INDEX('MTRs'!$AQ$6:$AQ$505,$M116))</f>
        <v/>
      </c>
      <c r="I116" s="112" t="str">
        <f>IF($M116="","",INDEX('MTRs'!$U$6:$U$505,$M116))</f>
        <v/>
      </c>
      <c r="J116" s="113" t="str">
        <f>IF($M116="","",INDEX('MTRs'!$AS$6:$AS$505,$M116)&amp;"")</f>
        <v/>
      </c>
      <c r="K116" s="110" t="str">
        <f>IF($M116="","",INDEX('MTRs'!$AT$6:$AT$505,$M116)&amp;"")</f>
        <v/>
      </c>
      <c r="L116" s="110" t="str">
        <f>IF($M116="","",INDEX('MTRs'!$Y$6:$Y$505,$M116)&amp;"")</f>
        <v/>
      </c>
      <c r="M116" t="str">
        <f>IFERROR(MATCH(SMALL('MTRs'!$AU$6:$AU$505,106),'MTRs'!$AU$6:$AU$505,0),"")</f>
        <v/>
      </c>
    </row>
    <row r="117" ht="30" customHeight="1">
      <c r="B117" s="108" t="str">
        <f>IF($M117="","",INDEX('MTRs'!$A$6:$A$505,$M117)&amp;"")</f>
        <v/>
      </c>
      <c r="C117" s="109" t="str">
        <f>IF($M117="","",INDEX('MTRs'!$B$6:$B$505,$M117)&amp;"")</f>
        <v/>
      </c>
      <c r="D117" s="110" t="str">
        <f>IF($M117="","",INDEX('MTRs'!$G$6:$G$505,$M117)&amp;"")</f>
        <v/>
      </c>
      <c r="E117" s="110" t="str">
        <f>IF($M117="","",INDEX('MTRs'!$H$6:$H$505,$M117)&amp;"")</f>
        <v/>
      </c>
      <c r="F117" s="110" t="str">
        <f>IF($M117="","",INDEX('MTRs'!$I$6:$I$505,$M117)&amp;"")</f>
        <v/>
      </c>
      <c r="G117" s="110" t="str">
        <f>IF($M117="","",INDEX('MTRs'!$T$6:$T$505,$M117)&amp;"")</f>
        <v/>
      </c>
      <c r="H117" s="111" t="str">
        <f>IF($M117="","",INDEX('MTRs'!$AQ$6:$AQ$505,$M117))</f>
        <v/>
      </c>
      <c r="I117" s="112" t="str">
        <f>IF($M117="","",INDEX('MTRs'!$U$6:$U$505,$M117))</f>
        <v/>
      </c>
      <c r="J117" s="113" t="str">
        <f>IF($M117="","",INDEX('MTRs'!$AS$6:$AS$505,$M117)&amp;"")</f>
        <v/>
      </c>
      <c r="K117" s="110" t="str">
        <f>IF($M117="","",INDEX('MTRs'!$AT$6:$AT$505,$M117)&amp;"")</f>
        <v/>
      </c>
      <c r="L117" s="110" t="str">
        <f>IF($M117="","",INDEX('MTRs'!$Y$6:$Y$505,$M117)&amp;"")</f>
        <v/>
      </c>
      <c r="M117" t="str">
        <f>IFERROR(MATCH(SMALL('MTRs'!$AU$6:$AU$505,107),'MTRs'!$AU$6:$AU$505,0),"")</f>
        <v/>
      </c>
    </row>
    <row r="118" ht="30" customHeight="1">
      <c r="B118" s="108" t="str">
        <f>IF($M118="","",INDEX('MTRs'!$A$6:$A$505,$M118)&amp;"")</f>
        <v/>
      </c>
      <c r="C118" s="109" t="str">
        <f>IF($M118="","",INDEX('MTRs'!$B$6:$B$505,$M118)&amp;"")</f>
        <v/>
      </c>
      <c r="D118" s="110" t="str">
        <f>IF($M118="","",INDEX('MTRs'!$G$6:$G$505,$M118)&amp;"")</f>
        <v/>
      </c>
      <c r="E118" s="110" t="str">
        <f>IF($M118="","",INDEX('MTRs'!$H$6:$H$505,$M118)&amp;"")</f>
        <v/>
      </c>
      <c r="F118" s="110" t="str">
        <f>IF($M118="","",INDEX('MTRs'!$I$6:$I$505,$M118)&amp;"")</f>
        <v/>
      </c>
      <c r="G118" s="110" t="str">
        <f>IF($M118="","",INDEX('MTRs'!$T$6:$T$505,$M118)&amp;"")</f>
        <v/>
      </c>
      <c r="H118" s="111" t="str">
        <f>IF($M118="","",INDEX('MTRs'!$AQ$6:$AQ$505,$M118))</f>
        <v/>
      </c>
      <c r="I118" s="112" t="str">
        <f>IF($M118="","",INDEX('MTRs'!$U$6:$U$505,$M118))</f>
        <v/>
      </c>
      <c r="J118" s="113" t="str">
        <f>IF($M118="","",INDEX('MTRs'!$AS$6:$AS$505,$M118)&amp;"")</f>
        <v/>
      </c>
      <c r="K118" s="110" t="str">
        <f>IF($M118="","",INDEX('MTRs'!$AT$6:$AT$505,$M118)&amp;"")</f>
        <v/>
      </c>
      <c r="L118" s="110" t="str">
        <f>IF($M118="","",INDEX('MTRs'!$Y$6:$Y$505,$M118)&amp;"")</f>
        <v/>
      </c>
      <c r="M118" t="str">
        <f>IFERROR(MATCH(SMALL('MTRs'!$AU$6:$AU$505,108),'MTRs'!$AU$6:$AU$505,0),"")</f>
        <v/>
      </c>
    </row>
    <row r="119" ht="30" customHeight="1">
      <c r="B119" s="108" t="str">
        <f>IF($M119="","",INDEX('MTRs'!$A$6:$A$505,$M119)&amp;"")</f>
        <v/>
      </c>
      <c r="C119" s="109" t="str">
        <f>IF($M119="","",INDEX('MTRs'!$B$6:$B$505,$M119)&amp;"")</f>
        <v/>
      </c>
      <c r="D119" s="110" t="str">
        <f>IF($M119="","",INDEX('MTRs'!$G$6:$G$505,$M119)&amp;"")</f>
        <v/>
      </c>
      <c r="E119" s="110" t="str">
        <f>IF($M119="","",INDEX('MTRs'!$H$6:$H$505,$M119)&amp;"")</f>
        <v/>
      </c>
      <c r="F119" s="110" t="str">
        <f>IF($M119="","",INDEX('MTRs'!$I$6:$I$505,$M119)&amp;"")</f>
        <v/>
      </c>
      <c r="G119" s="110" t="str">
        <f>IF($M119="","",INDEX('MTRs'!$T$6:$T$505,$M119)&amp;"")</f>
        <v/>
      </c>
      <c r="H119" s="111" t="str">
        <f>IF($M119="","",INDEX('MTRs'!$AQ$6:$AQ$505,$M119))</f>
        <v/>
      </c>
      <c r="I119" s="112" t="str">
        <f>IF($M119="","",INDEX('MTRs'!$U$6:$U$505,$M119))</f>
        <v/>
      </c>
      <c r="J119" s="113" t="str">
        <f>IF($M119="","",INDEX('MTRs'!$AS$6:$AS$505,$M119)&amp;"")</f>
        <v/>
      </c>
      <c r="K119" s="110" t="str">
        <f>IF($M119="","",INDEX('MTRs'!$AT$6:$AT$505,$M119)&amp;"")</f>
        <v/>
      </c>
      <c r="L119" s="110" t="str">
        <f>IF($M119="","",INDEX('MTRs'!$Y$6:$Y$505,$M119)&amp;"")</f>
        <v/>
      </c>
      <c r="M119" t="str">
        <f>IFERROR(MATCH(SMALL('MTRs'!$AU$6:$AU$505,109),'MTRs'!$AU$6:$AU$505,0),"")</f>
        <v/>
      </c>
    </row>
    <row r="120" ht="30" customHeight="1">
      <c r="B120" s="108" t="str">
        <f>IF($M120="","",INDEX('MTRs'!$A$6:$A$505,$M120)&amp;"")</f>
        <v/>
      </c>
      <c r="C120" s="109" t="str">
        <f>IF($M120="","",INDEX('MTRs'!$B$6:$B$505,$M120)&amp;"")</f>
        <v/>
      </c>
      <c r="D120" s="110" t="str">
        <f>IF($M120="","",INDEX('MTRs'!$G$6:$G$505,$M120)&amp;"")</f>
        <v/>
      </c>
      <c r="E120" s="110" t="str">
        <f>IF($M120="","",INDEX('MTRs'!$H$6:$H$505,$M120)&amp;"")</f>
        <v/>
      </c>
      <c r="F120" s="110" t="str">
        <f>IF($M120="","",INDEX('MTRs'!$I$6:$I$505,$M120)&amp;"")</f>
        <v/>
      </c>
      <c r="G120" s="110" t="str">
        <f>IF($M120="","",INDEX('MTRs'!$T$6:$T$505,$M120)&amp;"")</f>
        <v/>
      </c>
      <c r="H120" s="111" t="str">
        <f>IF($M120="","",INDEX('MTRs'!$AQ$6:$AQ$505,$M120))</f>
        <v/>
      </c>
      <c r="I120" s="112" t="str">
        <f>IF($M120="","",INDEX('MTRs'!$U$6:$U$505,$M120))</f>
        <v/>
      </c>
      <c r="J120" s="113" t="str">
        <f>IF($M120="","",INDEX('MTRs'!$AS$6:$AS$505,$M120)&amp;"")</f>
        <v/>
      </c>
      <c r="K120" s="110" t="str">
        <f>IF($M120="","",INDEX('MTRs'!$AT$6:$AT$505,$M120)&amp;"")</f>
        <v/>
      </c>
      <c r="L120" s="110" t="str">
        <f>IF($M120="","",INDEX('MTRs'!$Y$6:$Y$505,$M120)&amp;"")</f>
        <v/>
      </c>
      <c r="M120" t="str">
        <f>IFERROR(MATCH(SMALL('MTRs'!$AU$6:$AU$505,110),'MTRs'!$AU$6:$AU$505,0),"")</f>
        <v/>
      </c>
    </row>
    <row r="121" ht="30" customHeight="1">
      <c r="B121" s="108" t="str">
        <f>IF($M121="","",INDEX('MTRs'!$A$6:$A$505,$M121)&amp;"")</f>
        <v/>
      </c>
      <c r="C121" s="109" t="str">
        <f>IF($M121="","",INDEX('MTRs'!$B$6:$B$505,$M121)&amp;"")</f>
        <v/>
      </c>
      <c r="D121" s="110" t="str">
        <f>IF($M121="","",INDEX('MTRs'!$G$6:$G$505,$M121)&amp;"")</f>
        <v/>
      </c>
      <c r="E121" s="110" t="str">
        <f>IF($M121="","",INDEX('MTRs'!$H$6:$H$505,$M121)&amp;"")</f>
        <v/>
      </c>
      <c r="F121" s="110" t="str">
        <f>IF($M121="","",INDEX('MTRs'!$I$6:$I$505,$M121)&amp;"")</f>
        <v/>
      </c>
      <c r="G121" s="110" t="str">
        <f>IF($M121="","",INDEX('MTRs'!$T$6:$T$505,$M121)&amp;"")</f>
        <v/>
      </c>
      <c r="H121" s="111" t="str">
        <f>IF($M121="","",INDEX('MTRs'!$AQ$6:$AQ$505,$M121))</f>
        <v/>
      </c>
      <c r="I121" s="112" t="str">
        <f>IF($M121="","",INDEX('MTRs'!$U$6:$U$505,$M121))</f>
        <v/>
      </c>
      <c r="J121" s="113" t="str">
        <f>IF($M121="","",INDEX('MTRs'!$AS$6:$AS$505,$M121)&amp;"")</f>
        <v/>
      </c>
      <c r="K121" s="110" t="str">
        <f>IF($M121="","",INDEX('MTRs'!$AT$6:$AT$505,$M121)&amp;"")</f>
        <v/>
      </c>
      <c r="L121" s="110" t="str">
        <f>IF($M121="","",INDEX('MTRs'!$Y$6:$Y$505,$M121)&amp;"")</f>
        <v/>
      </c>
      <c r="M121" t="str">
        <f>IFERROR(MATCH(SMALL('MTRs'!$AU$6:$AU$505,111),'MTRs'!$AU$6:$AU$505,0),"")</f>
        <v/>
      </c>
    </row>
    <row r="122" ht="30" customHeight="1">
      <c r="B122" s="108" t="str">
        <f>IF($M122="","",INDEX('MTRs'!$A$6:$A$505,$M122)&amp;"")</f>
        <v/>
      </c>
      <c r="C122" s="109" t="str">
        <f>IF($M122="","",INDEX('MTRs'!$B$6:$B$505,$M122)&amp;"")</f>
        <v/>
      </c>
      <c r="D122" s="110" t="str">
        <f>IF($M122="","",INDEX('MTRs'!$G$6:$G$505,$M122)&amp;"")</f>
        <v/>
      </c>
      <c r="E122" s="110" t="str">
        <f>IF($M122="","",INDEX('MTRs'!$H$6:$H$505,$M122)&amp;"")</f>
        <v/>
      </c>
      <c r="F122" s="110" t="str">
        <f>IF($M122="","",INDEX('MTRs'!$I$6:$I$505,$M122)&amp;"")</f>
        <v/>
      </c>
      <c r="G122" s="110" t="str">
        <f>IF($M122="","",INDEX('MTRs'!$T$6:$T$505,$M122)&amp;"")</f>
        <v/>
      </c>
      <c r="H122" s="111" t="str">
        <f>IF($M122="","",INDEX('MTRs'!$AQ$6:$AQ$505,$M122))</f>
        <v/>
      </c>
      <c r="I122" s="112" t="str">
        <f>IF($M122="","",INDEX('MTRs'!$U$6:$U$505,$M122))</f>
        <v/>
      </c>
      <c r="J122" s="113" t="str">
        <f>IF($M122="","",INDEX('MTRs'!$AS$6:$AS$505,$M122)&amp;"")</f>
        <v/>
      </c>
      <c r="K122" s="110" t="str">
        <f>IF($M122="","",INDEX('MTRs'!$AT$6:$AT$505,$M122)&amp;"")</f>
        <v/>
      </c>
      <c r="L122" s="110" t="str">
        <f>IF($M122="","",INDEX('MTRs'!$Y$6:$Y$505,$M122)&amp;"")</f>
        <v/>
      </c>
      <c r="M122" t="str">
        <f>IFERROR(MATCH(SMALL('MTRs'!$AU$6:$AU$505,112),'MTRs'!$AU$6:$AU$505,0),"")</f>
        <v/>
      </c>
    </row>
    <row r="123" ht="30" customHeight="1">
      <c r="B123" s="108" t="str">
        <f>IF($M123="","",INDEX('MTRs'!$A$6:$A$505,$M123)&amp;"")</f>
        <v/>
      </c>
      <c r="C123" s="109" t="str">
        <f>IF($M123="","",INDEX('MTRs'!$B$6:$B$505,$M123)&amp;"")</f>
        <v/>
      </c>
      <c r="D123" s="110" t="str">
        <f>IF($M123="","",INDEX('MTRs'!$G$6:$G$505,$M123)&amp;"")</f>
        <v/>
      </c>
      <c r="E123" s="110" t="str">
        <f>IF($M123="","",INDEX('MTRs'!$H$6:$H$505,$M123)&amp;"")</f>
        <v/>
      </c>
      <c r="F123" s="110" t="str">
        <f>IF($M123="","",INDEX('MTRs'!$I$6:$I$505,$M123)&amp;"")</f>
        <v/>
      </c>
      <c r="G123" s="110" t="str">
        <f>IF($M123="","",INDEX('MTRs'!$T$6:$T$505,$M123)&amp;"")</f>
        <v/>
      </c>
      <c r="H123" s="111" t="str">
        <f>IF($M123="","",INDEX('MTRs'!$AQ$6:$AQ$505,$M123))</f>
        <v/>
      </c>
      <c r="I123" s="112" t="str">
        <f>IF($M123="","",INDEX('MTRs'!$U$6:$U$505,$M123))</f>
        <v/>
      </c>
      <c r="J123" s="113" t="str">
        <f>IF($M123="","",INDEX('MTRs'!$AS$6:$AS$505,$M123)&amp;"")</f>
        <v/>
      </c>
      <c r="K123" s="110" t="str">
        <f>IF($M123="","",INDEX('MTRs'!$AT$6:$AT$505,$M123)&amp;"")</f>
        <v/>
      </c>
      <c r="L123" s="110" t="str">
        <f>IF($M123="","",INDEX('MTRs'!$Y$6:$Y$505,$M123)&amp;"")</f>
        <v/>
      </c>
      <c r="M123" t="str">
        <f>IFERROR(MATCH(SMALL('MTRs'!$AU$6:$AU$505,113),'MTRs'!$AU$6:$AU$505,0),"")</f>
        <v/>
      </c>
    </row>
    <row r="124" ht="30" customHeight="1">
      <c r="B124" s="108" t="str">
        <f>IF($M124="","",INDEX('MTRs'!$A$6:$A$505,$M124)&amp;"")</f>
        <v/>
      </c>
      <c r="C124" s="109" t="str">
        <f>IF($M124="","",INDEX('MTRs'!$B$6:$B$505,$M124)&amp;"")</f>
        <v/>
      </c>
      <c r="D124" s="110" t="str">
        <f>IF($M124="","",INDEX('MTRs'!$G$6:$G$505,$M124)&amp;"")</f>
        <v/>
      </c>
      <c r="E124" s="110" t="str">
        <f>IF($M124="","",INDEX('MTRs'!$H$6:$H$505,$M124)&amp;"")</f>
        <v/>
      </c>
      <c r="F124" s="110" t="str">
        <f>IF($M124="","",INDEX('MTRs'!$I$6:$I$505,$M124)&amp;"")</f>
        <v/>
      </c>
      <c r="G124" s="110" t="str">
        <f>IF($M124="","",INDEX('MTRs'!$T$6:$T$505,$M124)&amp;"")</f>
        <v/>
      </c>
      <c r="H124" s="111" t="str">
        <f>IF($M124="","",INDEX('MTRs'!$AQ$6:$AQ$505,$M124))</f>
        <v/>
      </c>
      <c r="I124" s="112" t="str">
        <f>IF($M124="","",INDEX('MTRs'!$U$6:$U$505,$M124))</f>
        <v/>
      </c>
      <c r="J124" s="113" t="str">
        <f>IF($M124="","",INDEX('MTRs'!$AS$6:$AS$505,$M124)&amp;"")</f>
        <v/>
      </c>
      <c r="K124" s="110" t="str">
        <f>IF($M124="","",INDEX('MTRs'!$AT$6:$AT$505,$M124)&amp;"")</f>
        <v/>
      </c>
      <c r="L124" s="110" t="str">
        <f>IF($M124="","",INDEX('MTRs'!$Y$6:$Y$505,$M124)&amp;"")</f>
        <v/>
      </c>
      <c r="M124" t="str">
        <f>IFERROR(MATCH(SMALL('MTRs'!$AU$6:$AU$505,114),'MTRs'!$AU$6:$AU$505,0),"")</f>
        <v/>
      </c>
    </row>
    <row r="125" ht="30" customHeight="1">
      <c r="B125" s="108" t="str">
        <f>IF($M125="","",INDEX('MTRs'!$A$6:$A$505,$M125)&amp;"")</f>
        <v/>
      </c>
      <c r="C125" s="109" t="str">
        <f>IF($M125="","",INDEX('MTRs'!$B$6:$B$505,$M125)&amp;"")</f>
        <v/>
      </c>
      <c r="D125" s="110" t="str">
        <f>IF($M125="","",INDEX('MTRs'!$G$6:$G$505,$M125)&amp;"")</f>
        <v/>
      </c>
      <c r="E125" s="110" t="str">
        <f>IF($M125="","",INDEX('MTRs'!$H$6:$H$505,$M125)&amp;"")</f>
        <v/>
      </c>
      <c r="F125" s="110" t="str">
        <f>IF($M125="","",INDEX('MTRs'!$I$6:$I$505,$M125)&amp;"")</f>
        <v/>
      </c>
      <c r="G125" s="110" t="str">
        <f>IF($M125="","",INDEX('MTRs'!$T$6:$T$505,$M125)&amp;"")</f>
        <v/>
      </c>
      <c r="H125" s="111" t="str">
        <f>IF($M125="","",INDEX('MTRs'!$AQ$6:$AQ$505,$M125))</f>
        <v/>
      </c>
      <c r="I125" s="112" t="str">
        <f>IF($M125="","",INDEX('MTRs'!$U$6:$U$505,$M125))</f>
        <v/>
      </c>
      <c r="J125" s="113" t="str">
        <f>IF($M125="","",INDEX('MTRs'!$AS$6:$AS$505,$M125)&amp;"")</f>
        <v/>
      </c>
      <c r="K125" s="110" t="str">
        <f>IF($M125="","",INDEX('MTRs'!$AT$6:$AT$505,$M125)&amp;"")</f>
        <v/>
      </c>
      <c r="L125" s="110" t="str">
        <f>IF($M125="","",INDEX('MTRs'!$Y$6:$Y$505,$M125)&amp;"")</f>
        <v/>
      </c>
      <c r="M125" t="str">
        <f>IFERROR(MATCH(SMALL('MTRs'!$AU$6:$AU$505,115),'MTRs'!$AU$6:$AU$505,0),"")</f>
        <v/>
      </c>
    </row>
    <row r="126" ht="30" customHeight="1">
      <c r="B126" s="108" t="str">
        <f>IF($M126="","",INDEX('MTRs'!$A$6:$A$505,$M126)&amp;"")</f>
        <v/>
      </c>
      <c r="C126" s="109" t="str">
        <f>IF($M126="","",INDEX('MTRs'!$B$6:$B$505,$M126)&amp;"")</f>
        <v/>
      </c>
      <c r="D126" s="110" t="str">
        <f>IF($M126="","",INDEX('MTRs'!$G$6:$G$505,$M126)&amp;"")</f>
        <v/>
      </c>
      <c r="E126" s="110" t="str">
        <f>IF($M126="","",INDEX('MTRs'!$H$6:$H$505,$M126)&amp;"")</f>
        <v/>
      </c>
      <c r="F126" s="110" t="str">
        <f>IF($M126="","",INDEX('MTRs'!$I$6:$I$505,$M126)&amp;"")</f>
        <v/>
      </c>
      <c r="G126" s="110" t="str">
        <f>IF($M126="","",INDEX('MTRs'!$T$6:$T$505,$M126)&amp;"")</f>
        <v/>
      </c>
      <c r="H126" s="111" t="str">
        <f>IF($M126="","",INDEX('MTRs'!$AQ$6:$AQ$505,$M126))</f>
        <v/>
      </c>
      <c r="I126" s="112" t="str">
        <f>IF($M126="","",INDEX('MTRs'!$U$6:$U$505,$M126))</f>
        <v/>
      </c>
      <c r="J126" s="113" t="str">
        <f>IF($M126="","",INDEX('MTRs'!$AS$6:$AS$505,$M126)&amp;"")</f>
        <v/>
      </c>
      <c r="K126" s="110" t="str">
        <f>IF($M126="","",INDEX('MTRs'!$AT$6:$AT$505,$M126)&amp;"")</f>
        <v/>
      </c>
      <c r="L126" s="110" t="str">
        <f>IF($M126="","",INDEX('MTRs'!$Y$6:$Y$505,$M126)&amp;"")</f>
        <v/>
      </c>
      <c r="M126" t="str">
        <f>IFERROR(MATCH(SMALL('MTRs'!$AU$6:$AU$505,116),'MTRs'!$AU$6:$AU$505,0),"")</f>
        <v/>
      </c>
    </row>
    <row r="127" ht="30" customHeight="1">
      <c r="B127" s="108" t="str">
        <f>IF($M127="","",INDEX('MTRs'!$A$6:$A$505,$M127)&amp;"")</f>
        <v/>
      </c>
      <c r="C127" s="109" t="str">
        <f>IF($M127="","",INDEX('MTRs'!$B$6:$B$505,$M127)&amp;"")</f>
        <v/>
      </c>
      <c r="D127" s="110" t="str">
        <f>IF($M127="","",INDEX('MTRs'!$G$6:$G$505,$M127)&amp;"")</f>
        <v/>
      </c>
      <c r="E127" s="110" t="str">
        <f>IF($M127="","",INDEX('MTRs'!$H$6:$H$505,$M127)&amp;"")</f>
        <v/>
      </c>
      <c r="F127" s="110" t="str">
        <f>IF($M127="","",INDEX('MTRs'!$I$6:$I$505,$M127)&amp;"")</f>
        <v/>
      </c>
      <c r="G127" s="110" t="str">
        <f>IF($M127="","",INDEX('MTRs'!$T$6:$T$505,$M127)&amp;"")</f>
        <v/>
      </c>
      <c r="H127" s="111" t="str">
        <f>IF($M127="","",INDEX('MTRs'!$AQ$6:$AQ$505,$M127))</f>
        <v/>
      </c>
      <c r="I127" s="112" t="str">
        <f>IF($M127="","",INDEX('MTRs'!$U$6:$U$505,$M127))</f>
        <v/>
      </c>
      <c r="J127" s="113" t="str">
        <f>IF($M127="","",INDEX('MTRs'!$AS$6:$AS$505,$M127)&amp;"")</f>
        <v/>
      </c>
      <c r="K127" s="110" t="str">
        <f>IF($M127="","",INDEX('MTRs'!$AT$6:$AT$505,$M127)&amp;"")</f>
        <v/>
      </c>
      <c r="L127" s="110" t="str">
        <f>IF($M127="","",INDEX('MTRs'!$Y$6:$Y$505,$M127)&amp;"")</f>
        <v/>
      </c>
      <c r="M127" t="str">
        <f>IFERROR(MATCH(SMALL('MTRs'!$AU$6:$AU$505,117),'MTRs'!$AU$6:$AU$505,0),"")</f>
        <v/>
      </c>
    </row>
    <row r="128" ht="30" customHeight="1">
      <c r="B128" s="108" t="str">
        <f>IF($M128="","",INDEX('MTRs'!$A$6:$A$505,$M128)&amp;"")</f>
        <v/>
      </c>
      <c r="C128" s="109" t="str">
        <f>IF($M128="","",INDEX('MTRs'!$B$6:$B$505,$M128)&amp;"")</f>
        <v/>
      </c>
      <c r="D128" s="110" t="str">
        <f>IF($M128="","",INDEX('MTRs'!$G$6:$G$505,$M128)&amp;"")</f>
        <v/>
      </c>
      <c r="E128" s="110" t="str">
        <f>IF($M128="","",INDEX('MTRs'!$H$6:$H$505,$M128)&amp;"")</f>
        <v/>
      </c>
      <c r="F128" s="110" t="str">
        <f>IF($M128="","",INDEX('MTRs'!$I$6:$I$505,$M128)&amp;"")</f>
        <v/>
      </c>
      <c r="G128" s="110" t="str">
        <f>IF($M128="","",INDEX('MTRs'!$T$6:$T$505,$M128)&amp;"")</f>
        <v/>
      </c>
      <c r="H128" s="111" t="str">
        <f>IF($M128="","",INDEX('MTRs'!$AQ$6:$AQ$505,$M128))</f>
        <v/>
      </c>
      <c r="I128" s="112" t="str">
        <f>IF($M128="","",INDEX('MTRs'!$U$6:$U$505,$M128))</f>
        <v/>
      </c>
      <c r="J128" s="113" t="str">
        <f>IF($M128="","",INDEX('MTRs'!$AS$6:$AS$505,$M128)&amp;"")</f>
        <v/>
      </c>
      <c r="K128" s="110" t="str">
        <f>IF($M128="","",INDEX('MTRs'!$AT$6:$AT$505,$M128)&amp;"")</f>
        <v/>
      </c>
      <c r="L128" s="110" t="str">
        <f>IF($M128="","",INDEX('MTRs'!$Y$6:$Y$505,$M128)&amp;"")</f>
        <v/>
      </c>
      <c r="M128" t="str">
        <f>IFERROR(MATCH(SMALL('MTRs'!$AU$6:$AU$505,118),'MTRs'!$AU$6:$AU$505,0),"")</f>
        <v/>
      </c>
    </row>
    <row r="129" ht="30" customHeight="1">
      <c r="B129" s="108" t="str">
        <f>IF($M129="","",INDEX('MTRs'!$A$6:$A$505,$M129)&amp;"")</f>
        <v/>
      </c>
      <c r="C129" s="109" t="str">
        <f>IF($M129="","",INDEX('MTRs'!$B$6:$B$505,$M129)&amp;"")</f>
        <v/>
      </c>
      <c r="D129" s="110" t="str">
        <f>IF($M129="","",INDEX('MTRs'!$G$6:$G$505,$M129)&amp;"")</f>
        <v/>
      </c>
      <c r="E129" s="110" t="str">
        <f>IF($M129="","",INDEX('MTRs'!$H$6:$H$505,$M129)&amp;"")</f>
        <v/>
      </c>
      <c r="F129" s="110" t="str">
        <f>IF($M129="","",INDEX('MTRs'!$I$6:$I$505,$M129)&amp;"")</f>
        <v/>
      </c>
      <c r="G129" s="110" t="str">
        <f>IF($M129="","",INDEX('MTRs'!$T$6:$T$505,$M129)&amp;"")</f>
        <v/>
      </c>
      <c r="H129" s="111" t="str">
        <f>IF($M129="","",INDEX('MTRs'!$AQ$6:$AQ$505,$M129))</f>
        <v/>
      </c>
      <c r="I129" s="112" t="str">
        <f>IF($M129="","",INDEX('MTRs'!$U$6:$U$505,$M129))</f>
        <v/>
      </c>
      <c r="J129" s="113" t="str">
        <f>IF($M129="","",INDEX('MTRs'!$AS$6:$AS$505,$M129)&amp;"")</f>
        <v/>
      </c>
      <c r="K129" s="110" t="str">
        <f>IF($M129="","",INDEX('MTRs'!$AT$6:$AT$505,$M129)&amp;"")</f>
        <v/>
      </c>
      <c r="L129" s="110" t="str">
        <f>IF($M129="","",INDEX('MTRs'!$Y$6:$Y$505,$M129)&amp;"")</f>
        <v/>
      </c>
      <c r="M129" t="str">
        <f>IFERROR(MATCH(SMALL('MTRs'!$AU$6:$AU$505,119),'MTRs'!$AU$6:$AU$505,0),"")</f>
        <v/>
      </c>
    </row>
    <row r="130" ht="30" customHeight="1">
      <c r="B130" s="108" t="str">
        <f>IF($M130="","",INDEX('MTRs'!$A$6:$A$505,$M130)&amp;"")</f>
        <v/>
      </c>
      <c r="C130" s="109" t="str">
        <f>IF($M130="","",INDEX('MTRs'!$B$6:$B$505,$M130)&amp;"")</f>
        <v/>
      </c>
      <c r="D130" s="110" t="str">
        <f>IF($M130="","",INDEX('MTRs'!$G$6:$G$505,$M130)&amp;"")</f>
        <v/>
      </c>
      <c r="E130" s="110" t="str">
        <f>IF($M130="","",INDEX('MTRs'!$H$6:$H$505,$M130)&amp;"")</f>
        <v/>
      </c>
      <c r="F130" s="110" t="str">
        <f>IF($M130="","",INDEX('MTRs'!$I$6:$I$505,$M130)&amp;"")</f>
        <v/>
      </c>
      <c r="G130" s="110" t="str">
        <f>IF($M130="","",INDEX('MTRs'!$T$6:$T$505,$M130)&amp;"")</f>
        <v/>
      </c>
      <c r="H130" s="111" t="str">
        <f>IF($M130="","",INDEX('MTRs'!$AQ$6:$AQ$505,$M130))</f>
        <v/>
      </c>
      <c r="I130" s="112" t="str">
        <f>IF($M130="","",INDEX('MTRs'!$U$6:$U$505,$M130))</f>
        <v/>
      </c>
      <c r="J130" s="113" t="str">
        <f>IF($M130="","",INDEX('MTRs'!$AS$6:$AS$505,$M130)&amp;"")</f>
        <v/>
      </c>
      <c r="K130" s="110" t="str">
        <f>IF($M130="","",INDEX('MTRs'!$AT$6:$AT$505,$M130)&amp;"")</f>
        <v/>
      </c>
      <c r="L130" s="110" t="str">
        <f>IF($M130="","",INDEX('MTRs'!$Y$6:$Y$505,$M130)&amp;"")</f>
        <v/>
      </c>
      <c r="M130" t="str">
        <f>IFERROR(MATCH(SMALL('MTRs'!$AU$6:$AU$505,120),'MTRs'!$AU$6:$AU$505,0),"")</f>
        <v/>
      </c>
    </row>
    <row r="131" ht="30" customHeight="1">
      <c r="B131" s="108" t="str">
        <f>IF($M131="","",INDEX('MTRs'!$A$6:$A$505,$M131)&amp;"")</f>
        <v/>
      </c>
      <c r="C131" s="109" t="str">
        <f>IF($M131="","",INDEX('MTRs'!$B$6:$B$505,$M131)&amp;"")</f>
        <v/>
      </c>
      <c r="D131" s="110" t="str">
        <f>IF($M131="","",INDEX('MTRs'!$G$6:$G$505,$M131)&amp;"")</f>
        <v/>
      </c>
      <c r="E131" s="110" t="str">
        <f>IF($M131="","",INDEX('MTRs'!$H$6:$H$505,$M131)&amp;"")</f>
        <v/>
      </c>
      <c r="F131" s="110" t="str">
        <f>IF($M131="","",INDEX('MTRs'!$I$6:$I$505,$M131)&amp;"")</f>
        <v/>
      </c>
      <c r="G131" s="110" t="str">
        <f>IF($M131="","",INDEX('MTRs'!$T$6:$T$505,$M131)&amp;"")</f>
        <v/>
      </c>
      <c r="H131" s="111" t="str">
        <f>IF($M131="","",INDEX('MTRs'!$AQ$6:$AQ$505,$M131))</f>
        <v/>
      </c>
      <c r="I131" s="112" t="str">
        <f>IF($M131="","",INDEX('MTRs'!$U$6:$U$505,$M131))</f>
        <v/>
      </c>
      <c r="J131" s="113" t="str">
        <f>IF($M131="","",INDEX('MTRs'!$AS$6:$AS$505,$M131)&amp;"")</f>
        <v/>
      </c>
      <c r="K131" s="110" t="str">
        <f>IF($M131="","",INDEX('MTRs'!$AT$6:$AT$505,$M131)&amp;"")</f>
        <v/>
      </c>
      <c r="L131" s="110" t="str">
        <f>IF($M131="","",INDEX('MTRs'!$Y$6:$Y$505,$M131)&amp;"")</f>
        <v/>
      </c>
      <c r="M131" t="str">
        <f>IFERROR(MATCH(SMALL('MTRs'!$AU$6:$AU$505,121),'MTRs'!$AU$6:$AU$505,0),"")</f>
        <v/>
      </c>
    </row>
    <row r="132" ht="30" customHeight="1">
      <c r="B132" s="108" t="str">
        <f>IF($M132="","",INDEX('MTRs'!$A$6:$A$505,$M132)&amp;"")</f>
        <v/>
      </c>
      <c r="C132" s="109" t="str">
        <f>IF($M132="","",INDEX('MTRs'!$B$6:$B$505,$M132)&amp;"")</f>
        <v/>
      </c>
      <c r="D132" s="110" t="str">
        <f>IF($M132="","",INDEX('MTRs'!$G$6:$G$505,$M132)&amp;"")</f>
        <v/>
      </c>
      <c r="E132" s="110" t="str">
        <f>IF($M132="","",INDEX('MTRs'!$H$6:$H$505,$M132)&amp;"")</f>
        <v/>
      </c>
      <c r="F132" s="110" t="str">
        <f>IF($M132="","",INDEX('MTRs'!$I$6:$I$505,$M132)&amp;"")</f>
        <v/>
      </c>
      <c r="G132" s="110" t="str">
        <f>IF($M132="","",INDEX('MTRs'!$T$6:$T$505,$M132)&amp;"")</f>
        <v/>
      </c>
      <c r="H132" s="111" t="str">
        <f>IF($M132="","",INDEX('MTRs'!$AQ$6:$AQ$505,$M132))</f>
        <v/>
      </c>
      <c r="I132" s="112" t="str">
        <f>IF($M132="","",INDEX('MTRs'!$U$6:$U$505,$M132))</f>
        <v/>
      </c>
      <c r="J132" s="113" t="str">
        <f>IF($M132="","",INDEX('MTRs'!$AS$6:$AS$505,$M132)&amp;"")</f>
        <v/>
      </c>
      <c r="K132" s="110" t="str">
        <f>IF($M132="","",INDEX('MTRs'!$AT$6:$AT$505,$M132)&amp;"")</f>
        <v/>
      </c>
      <c r="L132" s="110" t="str">
        <f>IF($M132="","",INDEX('MTRs'!$Y$6:$Y$505,$M132)&amp;"")</f>
        <v/>
      </c>
      <c r="M132" t="str">
        <f>IFERROR(MATCH(SMALL('MTRs'!$AU$6:$AU$505,122),'MTRs'!$AU$6:$AU$505,0),"")</f>
        <v/>
      </c>
    </row>
    <row r="133" ht="30" customHeight="1">
      <c r="B133" s="108" t="str">
        <f>IF($M133="","",INDEX('MTRs'!$A$6:$A$505,$M133)&amp;"")</f>
        <v/>
      </c>
      <c r="C133" s="109" t="str">
        <f>IF($M133="","",INDEX('MTRs'!$B$6:$B$505,$M133)&amp;"")</f>
        <v/>
      </c>
      <c r="D133" s="110" t="str">
        <f>IF($M133="","",INDEX('MTRs'!$G$6:$G$505,$M133)&amp;"")</f>
        <v/>
      </c>
      <c r="E133" s="110" t="str">
        <f>IF($M133="","",INDEX('MTRs'!$H$6:$H$505,$M133)&amp;"")</f>
        <v/>
      </c>
      <c r="F133" s="110" t="str">
        <f>IF($M133="","",INDEX('MTRs'!$I$6:$I$505,$M133)&amp;"")</f>
        <v/>
      </c>
      <c r="G133" s="110" t="str">
        <f>IF($M133="","",INDEX('MTRs'!$T$6:$T$505,$M133)&amp;"")</f>
        <v/>
      </c>
      <c r="H133" s="111" t="str">
        <f>IF($M133="","",INDEX('MTRs'!$AQ$6:$AQ$505,$M133))</f>
        <v/>
      </c>
      <c r="I133" s="112" t="str">
        <f>IF($M133="","",INDEX('MTRs'!$U$6:$U$505,$M133))</f>
        <v/>
      </c>
      <c r="J133" s="113" t="str">
        <f>IF($M133="","",INDEX('MTRs'!$AS$6:$AS$505,$M133)&amp;"")</f>
        <v/>
      </c>
      <c r="K133" s="110" t="str">
        <f>IF($M133="","",INDEX('MTRs'!$AT$6:$AT$505,$M133)&amp;"")</f>
        <v/>
      </c>
      <c r="L133" s="110" t="str">
        <f>IF($M133="","",INDEX('MTRs'!$Y$6:$Y$505,$M133)&amp;"")</f>
        <v/>
      </c>
      <c r="M133" t="str">
        <f>IFERROR(MATCH(SMALL('MTRs'!$AU$6:$AU$505,123),'MTRs'!$AU$6:$AU$505,0),"")</f>
        <v/>
      </c>
    </row>
    <row r="134" ht="30" customHeight="1">
      <c r="B134" s="108" t="str">
        <f>IF($M134="","",INDEX('MTRs'!$A$6:$A$505,$M134)&amp;"")</f>
        <v/>
      </c>
      <c r="C134" s="109" t="str">
        <f>IF($M134="","",INDEX('MTRs'!$B$6:$B$505,$M134)&amp;"")</f>
        <v/>
      </c>
      <c r="D134" s="110" t="str">
        <f>IF($M134="","",INDEX('MTRs'!$G$6:$G$505,$M134)&amp;"")</f>
        <v/>
      </c>
      <c r="E134" s="110" t="str">
        <f>IF($M134="","",INDEX('MTRs'!$H$6:$H$505,$M134)&amp;"")</f>
        <v/>
      </c>
      <c r="F134" s="110" t="str">
        <f>IF($M134="","",INDEX('MTRs'!$I$6:$I$505,$M134)&amp;"")</f>
        <v/>
      </c>
      <c r="G134" s="110" t="str">
        <f>IF($M134="","",INDEX('MTRs'!$T$6:$T$505,$M134)&amp;"")</f>
        <v/>
      </c>
      <c r="H134" s="111" t="str">
        <f>IF($M134="","",INDEX('MTRs'!$AQ$6:$AQ$505,$M134))</f>
        <v/>
      </c>
      <c r="I134" s="112" t="str">
        <f>IF($M134="","",INDEX('MTRs'!$U$6:$U$505,$M134))</f>
        <v/>
      </c>
      <c r="J134" s="113" t="str">
        <f>IF($M134="","",INDEX('MTRs'!$AS$6:$AS$505,$M134)&amp;"")</f>
        <v/>
      </c>
      <c r="K134" s="110" t="str">
        <f>IF($M134="","",INDEX('MTRs'!$AT$6:$AT$505,$M134)&amp;"")</f>
        <v/>
      </c>
      <c r="L134" s="110" t="str">
        <f>IF($M134="","",INDEX('MTRs'!$Y$6:$Y$505,$M134)&amp;"")</f>
        <v/>
      </c>
      <c r="M134" t="str">
        <f>IFERROR(MATCH(SMALL('MTRs'!$AU$6:$AU$505,124),'MTRs'!$AU$6:$AU$505,0),"")</f>
        <v/>
      </c>
    </row>
    <row r="135" ht="30" customHeight="1">
      <c r="B135" s="108" t="str">
        <f>IF($M135="","",INDEX('MTRs'!$A$6:$A$505,$M135)&amp;"")</f>
        <v/>
      </c>
      <c r="C135" s="109" t="str">
        <f>IF($M135="","",INDEX('MTRs'!$B$6:$B$505,$M135)&amp;"")</f>
        <v/>
      </c>
      <c r="D135" s="110" t="str">
        <f>IF($M135="","",INDEX('MTRs'!$G$6:$G$505,$M135)&amp;"")</f>
        <v/>
      </c>
      <c r="E135" s="110" t="str">
        <f>IF($M135="","",INDEX('MTRs'!$H$6:$H$505,$M135)&amp;"")</f>
        <v/>
      </c>
      <c r="F135" s="110" t="str">
        <f>IF($M135="","",INDEX('MTRs'!$I$6:$I$505,$M135)&amp;"")</f>
        <v/>
      </c>
      <c r="G135" s="110" t="str">
        <f>IF($M135="","",INDEX('MTRs'!$T$6:$T$505,$M135)&amp;"")</f>
        <v/>
      </c>
      <c r="H135" s="111" t="str">
        <f>IF($M135="","",INDEX('MTRs'!$AQ$6:$AQ$505,$M135))</f>
        <v/>
      </c>
      <c r="I135" s="112" t="str">
        <f>IF($M135="","",INDEX('MTRs'!$U$6:$U$505,$M135))</f>
        <v/>
      </c>
      <c r="J135" s="113" t="str">
        <f>IF($M135="","",INDEX('MTRs'!$AS$6:$AS$505,$M135)&amp;"")</f>
        <v/>
      </c>
      <c r="K135" s="110" t="str">
        <f>IF($M135="","",INDEX('MTRs'!$AT$6:$AT$505,$M135)&amp;"")</f>
        <v/>
      </c>
      <c r="L135" s="110" t="str">
        <f>IF($M135="","",INDEX('MTRs'!$Y$6:$Y$505,$M135)&amp;"")</f>
        <v/>
      </c>
      <c r="M135" t="str">
        <f>IFERROR(MATCH(SMALL('MTRs'!$AU$6:$AU$505,125),'MTRs'!$AU$6:$AU$505,0),"")</f>
        <v/>
      </c>
    </row>
    <row r="136" ht="30" customHeight="1">
      <c r="B136" s="108" t="str">
        <f>IF($M136="","",INDEX('MTRs'!$A$6:$A$505,$M136)&amp;"")</f>
        <v/>
      </c>
      <c r="C136" s="109" t="str">
        <f>IF($M136="","",INDEX('MTRs'!$B$6:$B$505,$M136)&amp;"")</f>
        <v/>
      </c>
      <c r="D136" s="110" t="str">
        <f>IF($M136="","",INDEX('MTRs'!$G$6:$G$505,$M136)&amp;"")</f>
        <v/>
      </c>
      <c r="E136" s="110" t="str">
        <f>IF($M136="","",INDEX('MTRs'!$H$6:$H$505,$M136)&amp;"")</f>
        <v/>
      </c>
      <c r="F136" s="110" t="str">
        <f>IF($M136="","",INDEX('MTRs'!$I$6:$I$505,$M136)&amp;"")</f>
        <v/>
      </c>
      <c r="G136" s="110" t="str">
        <f>IF($M136="","",INDEX('MTRs'!$T$6:$T$505,$M136)&amp;"")</f>
        <v/>
      </c>
      <c r="H136" s="111" t="str">
        <f>IF($M136="","",INDEX('MTRs'!$AQ$6:$AQ$505,$M136))</f>
        <v/>
      </c>
      <c r="I136" s="112" t="str">
        <f>IF($M136="","",INDEX('MTRs'!$U$6:$U$505,$M136))</f>
        <v/>
      </c>
      <c r="J136" s="113" t="str">
        <f>IF($M136="","",INDEX('MTRs'!$AS$6:$AS$505,$M136)&amp;"")</f>
        <v/>
      </c>
      <c r="K136" s="110" t="str">
        <f>IF($M136="","",INDEX('MTRs'!$AT$6:$AT$505,$M136)&amp;"")</f>
        <v/>
      </c>
      <c r="L136" s="110" t="str">
        <f>IF($M136="","",INDEX('MTRs'!$Y$6:$Y$505,$M136)&amp;"")</f>
        <v/>
      </c>
      <c r="M136" t="str">
        <f>IFERROR(MATCH(SMALL('MTRs'!$AU$6:$AU$505,126),'MTRs'!$AU$6:$AU$505,0),"")</f>
        <v/>
      </c>
    </row>
    <row r="137" ht="30" customHeight="1">
      <c r="B137" s="108" t="str">
        <f>IF($M137="","",INDEX('MTRs'!$A$6:$A$505,$M137)&amp;"")</f>
        <v/>
      </c>
      <c r="C137" s="109" t="str">
        <f>IF($M137="","",INDEX('MTRs'!$B$6:$B$505,$M137)&amp;"")</f>
        <v/>
      </c>
      <c r="D137" s="110" t="str">
        <f>IF($M137="","",INDEX('MTRs'!$G$6:$G$505,$M137)&amp;"")</f>
        <v/>
      </c>
      <c r="E137" s="110" t="str">
        <f>IF($M137="","",INDEX('MTRs'!$H$6:$H$505,$M137)&amp;"")</f>
        <v/>
      </c>
      <c r="F137" s="110" t="str">
        <f>IF($M137="","",INDEX('MTRs'!$I$6:$I$505,$M137)&amp;"")</f>
        <v/>
      </c>
      <c r="G137" s="110" t="str">
        <f>IF($M137="","",INDEX('MTRs'!$T$6:$T$505,$M137)&amp;"")</f>
        <v/>
      </c>
      <c r="H137" s="111" t="str">
        <f>IF($M137="","",INDEX('MTRs'!$AQ$6:$AQ$505,$M137))</f>
        <v/>
      </c>
      <c r="I137" s="112" t="str">
        <f>IF($M137="","",INDEX('MTRs'!$U$6:$U$505,$M137))</f>
        <v/>
      </c>
      <c r="J137" s="113" t="str">
        <f>IF($M137="","",INDEX('MTRs'!$AS$6:$AS$505,$M137)&amp;"")</f>
        <v/>
      </c>
      <c r="K137" s="110" t="str">
        <f>IF($M137="","",INDEX('MTRs'!$AT$6:$AT$505,$M137)&amp;"")</f>
        <v/>
      </c>
      <c r="L137" s="110" t="str">
        <f>IF($M137="","",INDEX('MTRs'!$Y$6:$Y$505,$M137)&amp;"")</f>
        <v/>
      </c>
      <c r="M137" t="str">
        <f>IFERROR(MATCH(SMALL('MTRs'!$AU$6:$AU$505,127),'MTRs'!$AU$6:$AU$505,0),"")</f>
        <v/>
      </c>
    </row>
    <row r="138" ht="30" customHeight="1">
      <c r="B138" s="108" t="str">
        <f>IF($M138="","",INDEX('MTRs'!$A$6:$A$505,$M138)&amp;"")</f>
        <v/>
      </c>
      <c r="C138" s="109" t="str">
        <f>IF($M138="","",INDEX('MTRs'!$B$6:$B$505,$M138)&amp;"")</f>
        <v/>
      </c>
      <c r="D138" s="110" t="str">
        <f>IF($M138="","",INDEX('MTRs'!$G$6:$G$505,$M138)&amp;"")</f>
        <v/>
      </c>
      <c r="E138" s="110" t="str">
        <f>IF($M138="","",INDEX('MTRs'!$H$6:$H$505,$M138)&amp;"")</f>
        <v/>
      </c>
      <c r="F138" s="110" t="str">
        <f>IF($M138="","",INDEX('MTRs'!$I$6:$I$505,$M138)&amp;"")</f>
        <v/>
      </c>
      <c r="G138" s="110" t="str">
        <f>IF($M138="","",INDEX('MTRs'!$T$6:$T$505,$M138)&amp;"")</f>
        <v/>
      </c>
      <c r="H138" s="111" t="str">
        <f>IF($M138="","",INDEX('MTRs'!$AQ$6:$AQ$505,$M138))</f>
        <v/>
      </c>
      <c r="I138" s="112" t="str">
        <f>IF($M138="","",INDEX('MTRs'!$U$6:$U$505,$M138))</f>
        <v/>
      </c>
      <c r="J138" s="113" t="str">
        <f>IF($M138="","",INDEX('MTRs'!$AS$6:$AS$505,$M138)&amp;"")</f>
        <v/>
      </c>
      <c r="K138" s="110" t="str">
        <f>IF($M138="","",INDEX('MTRs'!$AT$6:$AT$505,$M138)&amp;"")</f>
        <v/>
      </c>
      <c r="L138" s="110" t="str">
        <f>IF($M138="","",INDEX('MTRs'!$Y$6:$Y$505,$M138)&amp;"")</f>
        <v/>
      </c>
      <c r="M138" t="str">
        <f>IFERROR(MATCH(SMALL('MTRs'!$AU$6:$AU$505,128),'MTRs'!$AU$6:$AU$505,0),"")</f>
        <v/>
      </c>
    </row>
    <row r="139" ht="30" customHeight="1">
      <c r="B139" s="108" t="str">
        <f>IF($M139="","",INDEX('MTRs'!$A$6:$A$505,$M139)&amp;"")</f>
        <v/>
      </c>
      <c r="C139" s="109" t="str">
        <f>IF($M139="","",INDEX('MTRs'!$B$6:$B$505,$M139)&amp;"")</f>
        <v/>
      </c>
      <c r="D139" s="110" t="str">
        <f>IF($M139="","",INDEX('MTRs'!$G$6:$G$505,$M139)&amp;"")</f>
        <v/>
      </c>
      <c r="E139" s="110" t="str">
        <f>IF($M139="","",INDEX('MTRs'!$H$6:$H$505,$M139)&amp;"")</f>
        <v/>
      </c>
      <c r="F139" s="110" t="str">
        <f>IF($M139="","",INDEX('MTRs'!$I$6:$I$505,$M139)&amp;"")</f>
        <v/>
      </c>
      <c r="G139" s="110" t="str">
        <f>IF($M139="","",INDEX('MTRs'!$T$6:$T$505,$M139)&amp;"")</f>
        <v/>
      </c>
      <c r="H139" s="111" t="str">
        <f>IF($M139="","",INDEX('MTRs'!$AQ$6:$AQ$505,$M139))</f>
        <v/>
      </c>
      <c r="I139" s="112" t="str">
        <f>IF($M139="","",INDEX('MTRs'!$U$6:$U$505,$M139))</f>
        <v/>
      </c>
      <c r="J139" s="113" t="str">
        <f>IF($M139="","",INDEX('MTRs'!$AS$6:$AS$505,$M139)&amp;"")</f>
        <v/>
      </c>
      <c r="K139" s="110" t="str">
        <f>IF($M139="","",INDEX('MTRs'!$AT$6:$AT$505,$M139)&amp;"")</f>
        <v/>
      </c>
      <c r="L139" s="110" t="str">
        <f>IF($M139="","",INDEX('MTRs'!$Y$6:$Y$505,$M139)&amp;"")</f>
        <v/>
      </c>
      <c r="M139" t="str">
        <f>IFERROR(MATCH(SMALL('MTRs'!$AU$6:$AU$505,129),'MTRs'!$AU$6:$AU$505,0),"")</f>
        <v/>
      </c>
    </row>
    <row r="140" ht="30" customHeight="1">
      <c r="B140" s="108" t="str">
        <f>IF($M140="","",INDEX('MTRs'!$A$6:$A$505,$M140)&amp;"")</f>
        <v/>
      </c>
      <c r="C140" s="109" t="str">
        <f>IF($M140="","",INDEX('MTRs'!$B$6:$B$505,$M140)&amp;"")</f>
        <v/>
      </c>
      <c r="D140" s="110" t="str">
        <f>IF($M140="","",INDEX('MTRs'!$G$6:$G$505,$M140)&amp;"")</f>
        <v/>
      </c>
      <c r="E140" s="110" t="str">
        <f>IF($M140="","",INDEX('MTRs'!$H$6:$H$505,$M140)&amp;"")</f>
        <v/>
      </c>
      <c r="F140" s="110" t="str">
        <f>IF($M140="","",INDEX('MTRs'!$I$6:$I$505,$M140)&amp;"")</f>
        <v/>
      </c>
      <c r="G140" s="110" t="str">
        <f>IF($M140="","",INDEX('MTRs'!$T$6:$T$505,$M140)&amp;"")</f>
        <v/>
      </c>
      <c r="H140" s="111" t="str">
        <f>IF($M140="","",INDEX('MTRs'!$AQ$6:$AQ$505,$M140))</f>
        <v/>
      </c>
      <c r="I140" s="112" t="str">
        <f>IF($M140="","",INDEX('MTRs'!$U$6:$U$505,$M140))</f>
        <v/>
      </c>
      <c r="J140" s="113" t="str">
        <f>IF($M140="","",INDEX('MTRs'!$AS$6:$AS$505,$M140)&amp;"")</f>
        <v/>
      </c>
      <c r="K140" s="110" t="str">
        <f>IF($M140="","",INDEX('MTRs'!$AT$6:$AT$505,$M140)&amp;"")</f>
        <v/>
      </c>
      <c r="L140" s="110" t="str">
        <f>IF($M140="","",INDEX('MTRs'!$Y$6:$Y$505,$M140)&amp;"")</f>
        <v/>
      </c>
      <c r="M140" t="str">
        <f>IFERROR(MATCH(SMALL('MTRs'!$AU$6:$AU$505,130),'MTRs'!$AU$6:$AU$505,0),"")</f>
        <v/>
      </c>
    </row>
    <row r="141" ht="30" customHeight="1">
      <c r="B141" s="108" t="str">
        <f>IF($M141="","",INDEX('MTRs'!$A$6:$A$505,$M141)&amp;"")</f>
        <v/>
      </c>
      <c r="C141" s="109" t="str">
        <f>IF($M141="","",INDEX('MTRs'!$B$6:$B$505,$M141)&amp;"")</f>
        <v/>
      </c>
      <c r="D141" s="110" t="str">
        <f>IF($M141="","",INDEX('MTRs'!$G$6:$G$505,$M141)&amp;"")</f>
        <v/>
      </c>
      <c r="E141" s="110" t="str">
        <f>IF($M141="","",INDEX('MTRs'!$H$6:$H$505,$M141)&amp;"")</f>
        <v/>
      </c>
      <c r="F141" s="110" t="str">
        <f>IF($M141="","",INDEX('MTRs'!$I$6:$I$505,$M141)&amp;"")</f>
        <v/>
      </c>
      <c r="G141" s="110" t="str">
        <f>IF($M141="","",INDEX('MTRs'!$T$6:$T$505,$M141)&amp;"")</f>
        <v/>
      </c>
      <c r="H141" s="111" t="str">
        <f>IF($M141="","",INDEX('MTRs'!$AQ$6:$AQ$505,$M141))</f>
        <v/>
      </c>
      <c r="I141" s="112" t="str">
        <f>IF($M141="","",INDEX('MTRs'!$U$6:$U$505,$M141))</f>
        <v/>
      </c>
      <c r="J141" s="113" t="str">
        <f>IF($M141="","",INDEX('MTRs'!$AS$6:$AS$505,$M141)&amp;"")</f>
        <v/>
      </c>
      <c r="K141" s="110" t="str">
        <f>IF($M141="","",INDEX('MTRs'!$AT$6:$AT$505,$M141)&amp;"")</f>
        <v/>
      </c>
      <c r="L141" s="110" t="str">
        <f>IF($M141="","",INDEX('MTRs'!$Y$6:$Y$505,$M141)&amp;"")</f>
        <v/>
      </c>
      <c r="M141" t="str">
        <f>IFERROR(MATCH(SMALL('MTRs'!$AU$6:$AU$505,131),'MTRs'!$AU$6:$AU$505,0),"")</f>
        <v/>
      </c>
    </row>
    <row r="142" ht="30" customHeight="1">
      <c r="B142" s="108" t="str">
        <f>IF($M142="","",INDEX('MTRs'!$A$6:$A$505,$M142)&amp;"")</f>
        <v/>
      </c>
      <c r="C142" s="109" t="str">
        <f>IF($M142="","",INDEX('MTRs'!$B$6:$B$505,$M142)&amp;"")</f>
        <v/>
      </c>
      <c r="D142" s="110" t="str">
        <f>IF($M142="","",INDEX('MTRs'!$G$6:$G$505,$M142)&amp;"")</f>
        <v/>
      </c>
      <c r="E142" s="110" t="str">
        <f>IF($M142="","",INDEX('MTRs'!$H$6:$H$505,$M142)&amp;"")</f>
        <v/>
      </c>
      <c r="F142" s="110" t="str">
        <f>IF($M142="","",INDEX('MTRs'!$I$6:$I$505,$M142)&amp;"")</f>
        <v/>
      </c>
      <c r="G142" s="110" t="str">
        <f>IF($M142="","",INDEX('MTRs'!$T$6:$T$505,$M142)&amp;"")</f>
        <v/>
      </c>
      <c r="H142" s="111" t="str">
        <f>IF($M142="","",INDEX('MTRs'!$AQ$6:$AQ$505,$M142))</f>
        <v/>
      </c>
      <c r="I142" s="112" t="str">
        <f>IF($M142="","",INDEX('MTRs'!$U$6:$U$505,$M142))</f>
        <v/>
      </c>
      <c r="J142" s="113" t="str">
        <f>IF($M142="","",INDEX('MTRs'!$AS$6:$AS$505,$M142)&amp;"")</f>
        <v/>
      </c>
      <c r="K142" s="110" t="str">
        <f>IF($M142="","",INDEX('MTRs'!$AT$6:$AT$505,$M142)&amp;"")</f>
        <v/>
      </c>
      <c r="L142" s="110" t="str">
        <f>IF($M142="","",INDEX('MTRs'!$Y$6:$Y$505,$M142)&amp;"")</f>
        <v/>
      </c>
      <c r="M142" t="str">
        <f>IFERROR(MATCH(SMALL('MTRs'!$AU$6:$AU$505,132),'MTRs'!$AU$6:$AU$505,0),"")</f>
        <v/>
      </c>
    </row>
    <row r="143" ht="30" customHeight="1">
      <c r="B143" s="108" t="str">
        <f>IF($M143="","",INDEX('MTRs'!$A$6:$A$505,$M143)&amp;"")</f>
        <v/>
      </c>
      <c r="C143" s="109" t="str">
        <f>IF($M143="","",INDEX('MTRs'!$B$6:$B$505,$M143)&amp;"")</f>
        <v/>
      </c>
      <c r="D143" s="110" t="str">
        <f>IF($M143="","",INDEX('MTRs'!$G$6:$G$505,$M143)&amp;"")</f>
        <v/>
      </c>
      <c r="E143" s="110" t="str">
        <f>IF($M143="","",INDEX('MTRs'!$H$6:$H$505,$M143)&amp;"")</f>
        <v/>
      </c>
      <c r="F143" s="110" t="str">
        <f>IF($M143="","",INDEX('MTRs'!$I$6:$I$505,$M143)&amp;"")</f>
        <v/>
      </c>
      <c r="G143" s="110" t="str">
        <f>IF($M143="","",INDEX('MTRs'!$T$6:$T$505,$M143)&amp;"")</f>
        <v/>
      </c>
      <c r="H143" s="111" t="str">
        <f>IF($M143="","",INDEX('MTRs'!$AQ$6:$AQ$505,$M143))</f>
        <v/>
      </c>
      <c r="I143" s="112" t="str">
        <f>IF($M143="","",INDEX('MTRs'!$U$6:$U$505,$M143))</f>
        <v/>
      </c>
      <c r="J143" s="113" t="str">
        <f>IF($M143="","",INDEX('MTRs'!$AS$6:$AS$505,$M143)&amp;"")</f>
        <v/>
      </c>
      <c r="K143" s="110" t="str">
        <f>IF($M143="","",INDEX('MTRs'!$AT$6:$AT$505,$M143)&amp;"")</f>
        <v/>
      </c>
      <c r="L143" s="110" t="str">
        <f>IF($M143="","",INDEX('MTRs'!$Y$6:$Y$505,$M143)&amp;"")</f>
        <v/>
      </c>
      <c r="M143" t="str">
        <f>IFERROR(MATCH(SMALL('MTRs'!$AU$6:$AU$505,133),'MTRs'!$AU$6:$AU$505,0),"")</f>
        <v/>
      </c>
    </row>
    <row r="144" ht="30" customHeight="1">
      <c r="B144" s="108" t="str">
        <f>IF($M144="","",INDEX('MTRs'!$A$6:$A$505,$M144)&amp;"")</f>
        <v/>
      </c>
      <c r="C144" s="109" t="str">
        <f>IF($M144="","",INDEX('MTRs'!$B$6:$B$505,$M144)&amp;"")</f>
        <v/>
      </c>
      <c r="D144" s="110" t="str">
        <f>IF($M144="","",INDEX('MTRs'!$G$6:$G$505,$M144)&amp;"")</f>
        <v/>
      </c>
      <c r="E144" s="110" t="str">
        <f>IF($M144="","",INDEX('MTRs'!$H$6:$H$505,$M144)&amp;"")</f>
        <v/>
      </c>
      <c r="F144" s="110" t="str">
        <f>IF($M144="","",INDEX('MTRs'!$I$6:$I$505,$M144)&amp;"")</f>
        <v/>
      </c>
      <c r="G144" s="110" t="str">
        <f>IF($M144="","",INDEX('MTRs'!$T$6:$T$505,$M144)&amp;"")</f>
        <v/>
      </c>
      <c r="H144" s="111" t="str">
        <f>IF($M144="","",INDEX('MTRs'!$AQ$6:$AQ$505,$M144))</f>
        <v/>
      </c>
      <c r="I144" s="112" t="str">
        <f>IF($M144="","",INDEX('MTRs'!$U$6:$U$505,$M144))</f>
        <v/>
      </c>
      <c r="J144" s="113" t="str">
        <f>IF($M144="","",INDEX('MTRs'!$AS$6:$AS$505,$M144)&amp;"")</f>
        <v/>
      </c>
      <c r="K144" s="110" t="str">
        <f>IF($M144="","",INDEX('MTRs'!$AT$6:$AT$505,$M144)&amp;"")</f>
        <v/>
      </c>
      <c r="L144" s="110" t="str">
        <f>IF($M144="","",INDEX('MTRs'!$Y$6:$Y$505,$M144)&amp;"")</f>
        <v/>
      </c>
      <c r="M144" t="str">
        <f>IFERROR(MATCH(SMALL('MTRs'!$AU$6:$AU$505,134),'MTRs'!$AU$6:$AU$505,0),"")</f>
        <v/>
      </c>
    </row>
    <row r="145" ht="30" customHeight="1">
      <c r="B145" s="108" t="str">
        <f>IF($M145="","",INDEX('MTRs'!$A$6:$A$505,$M145)&amp;"")</f>
        <v/>
      </c>
      <c r="C145" s="109" t="str">
        <f>IF($M145="","",INDEX('MTRs'!$B$6:$B$505,$M145)&amp;"")</f>
        <v/>
      </c>
      <c r="D145" s="110" t="str">
        <f>IF($M145="","",INDEX('MTRs'!$G$6:$G$505,$M145)&amp;"")</f>
        <v/>
      </c>
      <c r="E145" s="110" t="str">
        <f>IF($M145="","",INDEX('MTRs'!$H$6:$H$505,$M145)&amp;"")</f>
        <v/>
      </c>
      <c r="F145" s="110" t="str">
        <f>IF($M145="","",INDEX('MTRs'!$I$6:$I$505,$M145)&amp;"")</f>
        <v/>
      </c>
      <c r="G145" s="110" t="str">
        <f>IF($M145="","",INDEX('MTRs'!$T$6:$T$505,$M145)&amp;"")</f>
        <v/>
      </c>
      <c r="H145" s="111" t="str">
        <f>IF($M145="","",INDEX('MTRs'!$AQ$6:$AQ$505,$M145))</f>
        <v/>
      </c>
      <c r="I145" s="112" t="str">
        <f>IF($M145="","",INDEX('MTRs'!$U$6:$U$505,$M145))</f>
        <v/>
      </c>
      <c r="J145" s="113" t="str">
        <f>IF($M145="","",INDEX('MTRs'!$AS$6:$AS$505,$M145)&amp;"")</f>
        <v/>
      </c>
      <c r="K145" s="110" t="str">
        <f>IF($M145="","",INDEX('MTRs'!$AT$6:$AT$505,$M145)&amp;"")</f>
        <v/>
      </c>
      <c r="L145" s="110" t="str">
        <f>IF($M145="","",INDEX('MTRs'!$Y$6:$Y$505,$M145)&amp;"")</f>
        <v/>
      </c>
      <c r="M145" t="str">
        <f>IFERROR(MATCH(SMALL('MTRs'!$AU$6:$AU$505,135),'MTRs'!$AU$6:$AU$505,0),"")</f>
        <v/>
      </c>
    </row>
    <row r="146" ht="30" customHeight="1">
      <c r="B146" s="108" t="str">
        <f>IF($M146="","",INDEX('MTRs'!$A$6:$A$505,$M146)&amp;"")</f>
        <v/>
      </c>
      <c r="C146" s="109" t="str">
        <f>IF($M146="","",INDEX('MTRs'!$B$6:$B$505,$M146)&amp;"")</f>
        <v/>
      </c>
      <c r="D146" s="110" t="str">
        <f>IF($M146="","",INDEX('MTRs'!$G$6:$G$505,$M146)&amp;"")</f>
        <v/>
      </c>
      <c r="E146" s="110" t="str">
        <f>IF($M146="","",INDEX('MTRs'!$H$6:$H$505,$M146)&amp;"")</f>
        <v/>
      </c>
      <c r="F146" s="110" t="str">
        <f>IF($M146="","",INDEX('MTRs'!$I$6:$I$505,$M146)&amp;"")</f>
        <v/>
      </c>
      <c r="G146" s="110" t="str">
        <f>IF($M146="","",INDEX('MTRs'!$T$6:$T$505,$M146)&amp;"")</f>
        <v/>
      </c>
      <c r="H146" s="111" t="str">
        <f>IF($M146="","",INDEX('MTRs'!$AQ$6:$AQ$505,$M146))</f>
        <v/>
      </c>
      <c r="I146" s="112" t="str">
        <f>IF($M146="","",INDEX('MTRs'!$U$6:$U$505,$M146))</f>
        <v/>
      </c>
      <c r="J146" s="113" t="str">
        <f>IF($M146="","",INDEX('MTRs'!$AS$6:$AS$505,$M146)&amp;"")</f>
        <v/>
      </c>
      <c r="K146" s="110" t="str">
        <f>IF($M146="","",INDEX('MTRs'!$AT$6:$AT$505,$M146)&amp;"")</f>
        <v/>
      </c>
      <c r="L146" s="110" t="str">
        <f>IF($M146="","",INDEX('MTRs'!$Y$6:$Y$505,$M146)&amp;"")</f>
        <v/>
      </c>
      <c r="M146" t="str">
        <f>IFERROR(MATCH(SMALL('MTRs'!$AU$6:$AU$505,136),'MTRs'!$AU$6:$AU$505,0),"")</f>
        <v/>
      </c>
    </row>
    <row r="147" ht="30" customHeight="1">
      <c r="B147" s="108" t="str">
        <f>IF($M147="","",INDEX('MTRs'!$A$6:$A$505,$M147)&amp;"")</f>
        <v/>
      </c>
      <c r="C147" s="109" t="str">
        <f>IF($M147="","",INDEX('MTRs'!$B$6:$B$505,$M147)&amp;"")</f>
        <v/>
      </c>
      <c r="D147" s="110" t="str">
        <f>IF($M147="","",INDEX('MTRs'!$G$6:$G$505,$M147)&amp;"")</f>
        <v/>
      </c>
      <c r="E147" s="110" t="str">
        <f>IF($M147="","",INDEX('MTRs'!$H$6:$H$505,$M147)&amp;"")</f>
        <v/>
      </c>
      <c r="F147" s="110" t="str">
        <f>IF($M147="","",INDEX('MTRs'!$I$6:$I$505,$M147)&amp;"")</f>
        <v/>
      </c>
      <c r="G147" s="110" t="str">
        <f>IF($M147="","",INDEX('MTRs'!$T$6:$T$505,$M147)&amp;"")</f>
        <v/>
      </c>
      <c r="H147" s="111" t="str">
        <f>IF($M147="","",INDEX('MTRs'!$AQ$6:$AQ$505,$M147))</f>
        <v/>
      </c>
      <c r="I147" s="112" t="str">
        <f>IF($M147="","",INDEX('MTRs'!$U$6:$U$505,$M147))</f>
        <v/>
      </c>
      <c r="J147" s="113" t="str">
        <f>IF($M147="","",INDEX('MTRs'!$AS$6:$AS$505,$M147)&amp;"")</f>
        <v/>
      </c>
      <c r="K147" s="110" t="str">
        <f>IF($M147="","",INDEX('MTRs'!$AT$6:$AT$505,$M147)&amp;"")</f>
        <v/>
      </c>
      <c r="L147" s="110" t="str">
        <f>IF($M147="","",INDEX('MTRs'!$Y$6:$Y$505,$M147)&amp;"")</f>
        <v/>
      </c>
      <c r="M147" t="str">
        <f>IFERROR(MATCH(SMALL('MTRs'!$AU$6:$AU$505,137),'MTRs'!$AU$6:$AU$505,0),"")</f>
        <v/>
      </c>
    </row>
    <row r="148" ht="30" customHeight="1">
      <c r="B148" s="108" t="str">
        <f>IF($M148="","",INDEX('MTRs'!$A$6:$A$505,$M148)&amp;"")</f>
        <v/>
      </c>
      <c r="C148" s="109" t="str">
        <f>IF($M148="","",INDEX('MTRs'!$B$6:$B$505,$M148)&amp;"")</f>
        <v/>
      </c>
      <c r="D148" s="110" t="str">
        <f>IF($M148="","",INDEX('MTRs'!$G$6:$G$505,$M148)&amp;"")</f>
        <v/>
      </c>
      <c r="E148" s="110" t="str">
        <f>IF($M148="","",INDEX('MTRs'!$H$6:$H$505,$M148)&amp;"")</f>
        <v/>
      </c>
      <c r="F148" s="110" t="str">
        <f>IF($M148="","",INDEX('MTRs'!$I$6:$I$505,$M148)&amp;"")</f>
        <v/>
      </c>
      <c r="G148" s="110" t="str">
        <f>IF($M148="","",INDEX('MTRs'!$T$6:$T$505,$M148)&amp;"")</f>
        <v/>
      </c>
      <c r="H148" s="111" t="str">
        <f>IF($M148="","",INDEX('MTRs'!$AQ$6:$AQ$505,$M148))</f>
        <v/>
      </c>
      <c r="I148" s="112" t="str">
        <f>IF($M148="","",INDEX('MTRs'!$U$6:$U$505,$M148))</f>
        <v/>
      </c>
      <c r="J148" s="113" t="str">
        <f>IF($M148="","",INDEX('MTRs'!$AS$6:$AS$505,$M148)&amp;"")</f>
        <v/>
      </c>
      <c r="K148" s="110" t="str">
        <f>IF($M148="","",INDEX('MTRs'!$AT$6:$AT$505,$M148)&amp;"")</f>
        <v/>
      </c>
      <c r="L148" s="110" t="str">
        <f>IF($M148="","",INDEX('MTRs'!$Y$6:$Y$505,$M148)&amp;"")</f>
        <v/>
      </c>
      <c r="M148" t="str">
        <f>IFERROR(MATCH(SMALL('MTRs'!$AU$6:$AU$505,138),'MTRs'!$AU$6:$AU$505,0),"")</f>
        <v/>
      </c>
    </row>
    <row r="149" ht="30" customHeight="1">
      <c r="B149" s="108" t="str">
        <f>IF($M149="","",INDEX('MTRs'!$A$6:$A$505,$M149)&amp;"")</f>
        <v/>
      </c>
      <c r="C149" s="109" t="str">
        <f>IF($M149="","",INDEX('MTRs'!$B$6:$B$505,$M149)&amp;"")</f>
        <v/>
      </c>
      <c r="D149" s="110" t="str">
        <f>IF($M149="","",INDEX('MTRs'!$G$6:$G$505,$M149)&amp;"")</f>
        <v/>
      </c>
      <c r="E149" s="110" t="str">
        <f>IF($M149="","",INDEX('MTRs'!$H$6:$H$505,$M149)&amp;"")</f>
        <v/>
      </c>
      <c r="F149" s="110" t="str">
        <f>IF($M149="","",INDEX('MTRs'!$I$6:$I$505,$M149)&amp;"")</f>
        <v/>
      </c>
      <c r="G149" s="110" t="str">
        <f>IF($M149="","",INDEX('MTRs'!$T$6:$T$505,$M149)&amp;"")</f>
        <v/>
      </c>
      <c r="H149" s="111" t="str">
        <f>IF($M149="","",INDEX('MTRs'!$AQ$6:$AQ$505,$M149))</f>
        <v/>
      </c>
      <c r="I149" s="112" t="str">
        <f>IF($M149="","",INDEX('MTRs'!$U$6:$U$505,$M149))</f>
        <v/>
      </c>
      <c r="J149" s="113" t="str">
        <f>IF($M149="","",INDEX('MTRs'!$AS$6:$AS$505,$M149)&amp;"")</f>
        <v/>
      </c>
      <c r="K149" s="110" t="str">
        <f>IF($M149="","",INDEX('MTRs'!$AT$6:$AT$505,$M149)&amp;"")</f>
        <v/>
      </c>
      <c r="L149" s="110" t="str">
        <f>IF($M149="","",INDEX('MTRs'!$Y$6:$Y$505,$M149)&amp;"")</f>
        <v/>
      </c>
      <c r="M149" t="str">
        <f>IFERROR(MATCH(SMALL('MTRs'!$AU$6:$AU$505,139),'MTRs'!$AU$6:$AU$505,0),"")</f>
        <v/>
      </c>
    </row>
    <row r="150" ht="30" customHeight="1">
      <c r="B150" s="108" t="str">
        <f>IF($M150="","",INDEX('MTRs'!$A$6:$A$505,$M150)&amp;"")</f>
        <v/>
      </c>
      <c r="C150" s="109" t="str">
        <f>IF($M150="","",INDEX('MTRs'!$B$6:$B$505,$M150)&amp;"")</f>
        <v/>
      </c>
      <c r="D150" s="110" t="str">
        <f>IF($M150="","",INDEX('MTRs'!$G$6:$G$505,$M150)&amp;"")</f>
        <v/>
      </c>
      <c r="E150" s="110" t="str">
        <f>IF($M150="","",INDEX('MTRs'!$H$6:$H$505,$M150)&amp;"")</f>
        <v/>
      </c>
      <c r="F150" s="110" t="str">
        <f>IF($M150="","",INDEX('MTRs'!$I$6:$I$505,$M150)&amp;"")</f>
        <v/>
      </c>
      <c r="G150" s="110" t="str">
        <f>IF($M150="","",INDEX('MTRs'!$T$6:$T$505,$M150)&amp;"")</f>
        <v/>
      </c>
      <c r="H150" s="111" t="str">
        <f>IF($M150="","",INDEX('MTRs'!$AQ$6:$AQ$505,$M150))</f>
        <v/>
      </c>
      <c r="I150" s="112" t="str">
        <f>IF($M150="","",INDEX('MTRs'!$U$6:$U$505,$M150))</f>
        <v/>
      </c>
      <c r="J150" s="113" t="str">
        <f>IF($M150="","",INDEX('MTRs'!$AS$6:$AS$505,$M150)&amp;"")</f>
        <v/>
      </c>
      <c r="K150" s="110" t="str">
        <f>IF($M150="","",INDEX('MTRs'!$AT$6:$AT$505,$M150)&amp;"")</f>
        <v/>
      </c>
      <c r="L150" s="110" t="str">
        <f>IF($M150="","",INDEX('MTRs'!$Y$6:$Y$505,$M150)&amp;"")</f>
        <v/>
      </c>
      <c r="M150" t="str">
        <f>IFERROR(MATCH(SMALL('MTRs'!$AU$6:$AU$505,140),'MTRs'!$AU$6:$AU$505,0),"")</f>
        <v/>
      </c>
    </row>
    <row r="151" ht="30" customHeight="1">
      <c r="B151" s="108" t="str">
        <f>IF($M151="","",INDEX('MTRs'!$A$6:$A$505,$M151)&amp;"")</f>
        <v/>
      </c>
      <c r="C151" s="109" t="str">
        <f>IF($M151="","",INDEX('MTRs'!$B$6:$B$505,$M151)&amp;"")</f>
        <v/>
      </c>
      <c r="D151" s="110" t="str">
        <f>IF($M151="","",INDEX('MTRs'!$G$6:$G$505,$M151)&amp;"")</f>
        <v/>
      </c>
      <c r="E151" s="110" t="str">
        <f>IF($M151="","",INDEX('MTRs'!$H$6:$H$505,$M151)&amp;"")</f>
        <v/>
      </c>
      <c r="F151" s="110" t="str">
        <f>IF($M151="","",INDEX('MTRs'!$I$6:$I$505,$M151)&amp;"")</f>
        <v/>
      </c>
      <c r="G151" s="110" t="str">
        <f>IF($M151="","",INDEX('MTRs'!$T$6:$T$505,$M151)&amp;"")</f>
        <v/>
      </c>
      <c r="H151" s="111" t="str">
        <f>IF($M151="","",INDEX('MTRs'!$AQ$6:$AQ$505,$M151))</f>
        <v/>
      </c>
      <c r="I151" s="112" t="str">
        <f>IF($M151="","",INDEX('MTRs'!$U$6:$U$505,$M151))</f>
        <v/>
      </c>
      <c r="J151" s="113" t="str">
        <f>IF($M151="","",INDEX('MTRs'!$AS$6:$AS$505,$M151)&amp;"")</f>
        <v/>
      </c>
      <c r="K151" s="110" t="str">
        <f>IF($M151="","",INDEX('MTRs'!$AT$6:$AT$505,$M151)&amp;"")</f>
        <v/>
      </c>
      <c r="L151" s="110" t="str">
        <f>IF($M151="","",INDEX('MTRs'!$Y$6:$Y$505,$M151)&amp;"")</f>
        <v/>
      </c>
      <c r="M151" t="str">
        <f>IFERROR(MATCH(SMALL('MTRs'!$AU$6:$AU$505,141),'MTRs'!$AU$6:$AU$505,0),"")</f>
        <v/>
      </c>
    </row>
    <row r="152" ht="30" customHeight="1">
      <c r="B152" s="108" t="str">
        <f>IF($M152="","",INDEX('MTRs'!$A$6:$A$505,$M152)&amp;"")</f>
        <v/>
      </c>
      <c r="C152" s="109" t="str">
        <f>IF($M152="","",INDEX('MTRs'!$B$6:$B$505,$M152)&amp;"")</f>
        <v/>
      </c>
      <c r="D152" s="110" t="str">
        <f>IF($M152="","",INDEX('MTRs'!$G$6:$G$505,$M152)&amp;"")</f>
        <v/>
      </c>
      <c r="E152" s="110" t="str">
        <f>IF($M152="","",INDEX('MTRs'!$H$6:$H$505,$M152)&amp;"")</f>
        <v/>
      </c>
      <c r="F152" s="110" t="str">
        <f>IF($M152="","",INDEX('MTRs'!$I$6:$I$505,$M152)&amp;"")</f>
        <v/>
      </c>
      <c r="G152" s="110" t="str">
        <f>IF($M152="","",INDEX('MTRs'!$T$6:$T$505,$M152)&amp;"")</f>
        <v/>
      </c>
      <c r="H152" s="111" t="str">
        <f>IF($M152="","",INDEX('MTRs'!$AQ$6:$AQ$505,$M152))</f>
        <v/>
      </c>
      <c r="I152" s="112" t="str">
        <f>IF($M152="","",INDEX('MTRs'!$U$6:$U$505,$M152))</f>
        <v/>
      </c>
      <c r="J152" s="113" t="str">
        <f>IF($M152="","",INDEX('MTRs'!$AS$6:$AS$505,$M152)&amp;"")</f>
        <v/>
      </c>
      <c r="K152" s="110" t="str">
        <f>IF($M152="","",INDEX('MTRs'!$AT$6:$AT$505,$M152)&amp;"")</f>
        <v/>
      </c>
      <c r="L152" s="110" t="str">
        <f>IF($M152="","",INDEX('MTRs'!$Y$6:$Y$505,$M152)&amp;"")</f>
        <v/>
      </c>
      <c r="M152" t="str">
        <f>IFERROR(MATCH(SMALL('MTRs'!$AU$6:$AU$505,142),'MTRs'!$AU$6:$AU$505,0),"")</f>
        <v/>
      </c>
    </row>
    <row r="153" ht="30" customHeight="1">
      <c r="B153" s="108" t="str">
        <f>IF($M153="","",INDEX('MTRs'!$A$6:$A$505,$M153)&amp;"")</f>
        <v/>
      </c>
      <c r="C153" s="109" t="str">
        <f>IF($M153="","",INDEX('MTRs'!$B$6:$B$505,$M153)&amp;"")</f>
        <v/>
      </c>
      <c r="D153" s="110" t="str">
        <f>IF($M153="","",INDEX('MTRs'!$G$6:$G$505,$M153)&amp;"")</f>
        <v/>
      </c>
      <c r="E153" s="110" t="str">
        <f>IF($M153="","",INDEX('MTRs'!$H$6:$H$505,$M153)&amp;"")</f>
        <v/>
      </c>
      <c r="F153" s="110" t="str">
        <f>IF($M153="","",INDEX('MTRs'!$I$6:$I$505,$M153)&amp;"")</f>
        <v/>
      </c>
      <c r="G153" s="110" t="str">
        <f>IF($M153="","",INDEX('MTRs'!$T$6:$T$505,$M153)&amp;"")</f>
        <v/>
      </c>
      <c r="H153" s="111" t="str">
        <f>IF($M153="","",INDEX('MTRs'!$AQ$6:$AQ$505,$M153))</f>
        <v/>
      </c>
      <c r="I153" s="112" t="str">
        <f>IF($M153="","",INDEX('MTRs'!$U$6:$U$505,$M153))</f>
        <v/>
      </c>
      <c r="J153" s="113" t="str">
        <f>IF($M153="","",INDEX('MTRs'!$AS$6:$AS$505,$M153)&amp;"")</f>
        <v/>
      </c>
      <c r="K153" s="110" t="str">
        <f>IF($M153="","",INDEX('MTRs'!$AT$6:$AT$505,$M153)&amp;"")</f>
        <v/>
      </c>
      <c r="L153" s="110" t="str">
        <f>IF($M153="","",INDEX('MTRs'!$Y$6:$Y$505,$M153)&amp;"")</f>
        <v/>
      </c>
      <c r="M153" t="str">
        <f>IFERROR(MATCH(SMALL('MTRs'!$AU$6:$AU$505,143),'MTRs'!$AU$6:$AU$505,0),"")</f>
        <v/>
      </c>
    </row>
    <row r="154" ht="30" customHeight="1">
      <c r="B154" s="108" t="str">
        <f>IF($M154="","",INDEX('MTRs'!$A$6:$A$505,$M154)&amp;"")</f>
        <v/>
      </c>
      <c r="C154" s="109" t="str">
        <f>IF($M154="","",INDEX('MTRs'!$B$6:$B$505,$M154)&amp;"")</f>
        <v/>
      </c>
      <c r="D154" s="110" t="str">
        <f>IF($M154="","",INDEX('MTRs'!$G$6:$G$505,$M154)&amp;"")</f>
        <v/>
      </c>
      <c r="E154" s="110" t="str">
        <f>IF($M154="","",INDEX('MTRs'!$H$6:$H$505,$M154)&amp;"")</f>
        <v/>
      </c>
      <c r="F154" s="110" t="str">
        <f>IF($M154="","",INDEX('MTRs'!$I$6:$I$505,$M154)&amp;"")</f>
        <v/>
      </c>
      <c r="G154" s="110" t="str">
        <f>IF($M154="","",INDEX('MTRs'!$T$6:$T$505,$M154)&amp;"")</f>
        <v/>
      </c>
      <c r="H154" s="111" t="str">
        <f>IF($M154="","",INDEX('MTRs'!$AQ$6:$AQ$505,$M154))</f>
        <v/>
      </c>
      <c r="I154" s="112" t="str">
        <f>IF($M154="","",INDEX('MTRs'!$U$6:$U$505,$M154))</f>
        <v/>
      </c>
      <c r="J154" s="113" t="str">
        <f>IF($M154="","",INDEX('MTRs'!$AS$6:$AS$505,$M154)&amp;"")</f>
        <v/>
      </c>
      <c r="K154" s="110" t="str">
        <f>IF($M154="","",INDEX('MTRs'!$AT$6:$AT$505,$M154)&amp;"")</f>
        <v/>
      </c>
      <c r="L154" s="110" t="str">
        <f>IF($M154="","",INDEX('MTRs'!$Y$6:$Y$505,$M154)&amp;"")</f>
        <v/>
      </c>
      <c r="M154" t="str">
        <f>IFERROR(MATCH(SMALL('MTRs'!$AU$6:$AU$505,144),'MTRs'!$AU$6:$AU$505,0),"")</f>
        <v/>
      </c>
    </row>
    <row r="155" ht="30" customHeight="1">
      <c r="B155" s="108" t="str">
        <f>IF($M155="","",INDEX('MTRs'!$A$6:$A$505,$M155)&amp;"")</f>
        <v/>
      </c>
      <c r="C155" s="109" t="str">
        <f>IF($M155="","",INDEX('MTRs'!$B$6:$B$505,$M155)&amp;"")</f>
        <v/>
      </c>
      <c r="D155" s="110" t="str">
        <f>IF($M155="","",INDEX('MTRs'!$G$6:$G$505,$M155)&amp;"")</f>
        <v/>
      </c>
      <c r="E155" s="110" t="str">
        <f>IF($M155="","",INDEX('MTRs'!$H$6:$H$505,$M155)&amp;"")</f>
        <v/>
      </c>
      <c r="F155" s="110" t="str">
        <f>IF($M155="","",INDEX('MTRs'!$I$6:$I$505,$M155)&amp;"")</f>
        <v/>
      </c>
      <c r="G155" s="110" t="str">
        <f>IF($M155="","",INDEX('MTRs'!$T$6:$T$505,$M155)&amp;"")</f>
        <v/>
      </c>
      <c r="H155" s="111" t="str">
        <f>IF($M155="","",INDEX('MTRs'!$AQ$6:$AQ$505,$M155))</f>
        <v/>
      </c>
      <c r="I155" s="112" t="str">
        <f>IF($M155="","",INDEX('MTRs'!$U$6:$U$505,$M155))</f>
        <v/>
      </c>
      <c r="J155" s="113" t="str">
        <f>IF($M155="","",INDEX('MTRs'!$AS$6:$AS$505,$M155)&amp;"")</f>
        <v/>
      </c>
      <c r="K155" s="110" t="str">
        <f>IF($M155="","",INDEX('MTRs'!$AT$6:$AT$505,$M155)&amp;"")</f>
        <v/>
      </c>
      <c r="L155" s="110" t="str">
        <f>IF($M155="","",INDEX('MTRs'!$Y$6:$Y$505,$M155)&amp;"")</f>
        <v/>
      </c>
      <c r="M155" t="str">
        <f>IFERROR(MATCH(SMALL('MTRs'!$AU$6:$AU$505,145),'MTRs'!$AU$6:$AU$505,0),"")</f>
        <v/>
      </c>
    </row>
    <row r="156" ht="30" customHeight="1">
      <c r="B156" s="108" t="str">
        <f>IF($M156="","",INDEX('MTRs'!$A$6:$A$505,$M156)&amp;"")</f>
        <v/>
      </c>
      <c r="C156" s="109" t="str">
        <f>IF($M156="","",INDEX('MTRs'!$B$6:$B$505,$M156)&amp;"")</f>
        <v/>
      </c>
      <c r="D156" s="110" t="str">
        <f>IF($M156="","",INDEX('MTRs'!$G$6:$G$505,$M156)&amp;"")</f>
        <v/>
      </c>
      <c r="E156" s="110" t="str">
        <f>IF($M156="","",INDEX('MTRs'!$H$6:$H$505,$M156)&amp;"")</f>
        <v/>
      </c>
      <c r="F156" s="110" t="str">
        <f>IF($M156="","",INDEX('MTRs'!$I$6:$I$505,$M156)&amp;"")</f>
        <v/>
      </c>
      <c r="G156" s="110" t="str">
        <f>IF($M156="","",INDEX('MTRs'!$T$6:$T$505,$M156)&amp;"")</f>
        <v/>
      </c>
      <c r="H156" s="111" t="str">
        <f>IF($M156="","",INDEX('MTRs'!$AQ$6:$AQ$505,$M156))</f>
        <v/>
      </c>
      <c r="I156" s="112" t="str">
        <f>IF($M156="","",INDEX('MTRs'!$U$6:$U$505,$M156))</f>
        <v/>
      </c>
      <c r="J156" s="113" t="str">
        <f>IF($M156="","",INDEX('MTRs'!$AS$6:$AS$505,$M156)&amp;"")</f>
        <v/>
      </c>
      <c r="K156" s="110" t="str">
        <f>IF($M156="","",INDEX('MTRs'!$AT$6:$AT$505,$M156)&amp;"")</f>
        <v/>
      </c>
      <c r="L156" s="110" t="str">
        <f>IF($M156="","",INDEX('MTRs'!$Y$6:$Y$505,$M156)&amp;"")</f>
        <v/>
      </c>
      <c r="M156" t="str">
        <f>IFERROR(MATCH(SMALL('MTRs'!$AU$6:$AU$505,146),'MTRs'!$AU$6:$AU$505,0),"")</f>
        <v/>
      </c>
    </row>
    <row r="157" ht="30" customHeight="1">
      <c r="B157" s="108" t="str">
        <f>IF($M157="","",INDEX('MTRs'!$A$6:$A$505,$M157)&amp;"")</f>
        <v/>
      </c>
      <c r="C157" s="109" t="str">
        <f>IF($M157="","",INDEX('MTRs'!$B$6:$B$505,$M157)&amp;"")</f>
        <v/>
      </c>
      <c r="D157" s="110" t="str">
        <f>IF($M157="","",INDEX('MTRs'!$G$6:$G$505,$M157)&amp;"")</f>
        <v/>
      </c>
      <c r="E157" s="110" t="str">
        <f>IF($M157="","",INDEX('MTRs'!$H$6:$H$505,$M157)&amp;"")</f>
        <v/>
      </c>
      <c r="F157" s="110" t="str">
        <f>IF($M157="","",INDEX('MTRs'!$I$6:$I$505,$M157)&amp;"")</f>
        <v/>
      </c>
      <c r="G157" s="110" t="str">
        <f>IF($M157="","",INDEX('MTRs'!$T$6:$T$505,$M157)&amp;"")</f>
        <v/>
      </c>
      <c r="H157" s="111" t="str">
        <f>IF($M157="","",INDEX('MTRs'!$AQ$6:$AQ$505,$M157))</f>
        <v/>
      </c>
      <c r="I157" s="112" t="str">
        <f>IF($M157="","",INDEX('MTRs'!$U$6:$U$505,$M157))</f>
        <v/>
      </c>
      <c r="J157" s="113" t="str">
        <f>IF($M157="","",INDEX('MTRs'!$AS$6:$AS$505,$M157)&amp;"")</f>
        <v/>
      </c>
      <c r="K157" s="110" t="str">
        <f>IF($M157="","",INDEX('MTRs'!$AT$6:$AT$505,$M157)&amp;"")</f>
        <v/>
      </c>
      <c r="L157" s="110" t="str">
        <f>IF($M157="","",INDEX('MTRs'!$Y$6:$Y$505,$M157)&amp;"")</f>
        <v/>
      </c>
      <c r="M157" t="str">
        <f>IFERROR(MATCH(SMALL('MTRs'!$AU$6:$AU$505,147),'MTRs'!$AU$6:$AU$505,0),"")</f>
        <v/>
      </c>
    </row>
    <row r="158" ht="30" customHeight="1">
      <c r="B158" s="108" t="str">
        <f>IF($M158="","",INDEX('MTRs'!$A$6:$A$505,$M158)&amp;"")</f>
        <v/>
      </c>
      <c r="C158" s="109" t="str">
        <f>IF($M158="","",INDEX('MTRs'!$B$6:$B$505,$M158)&amp;"")</f>
        <v/>
      </c>
      <c r="D158" s="110" t="str">
        <f>IF($M158="","",INDEX('MTRs'!$G$6:$G$505,$M158)&amp;"")</f>
        <v/>
      </c>
      <c r="E158" s="110" t="str">
        <f>IF($M158="","",INDEX('MTRs'!$H$6:$H$505,$M158)&amp;"")</f>
        <v/>
      </c>
      <c r="F158" s="110" t="str">
        <f>IF($M158="","",INDEX('MTRs'!$I$6:$I$505,$M158)&amp;"")</f>
        <v/>
      </c>
      <c r="G158" s="110" t="str">
        <f>IF($M158="","",INDEX('MTRs'!$T$6:$T$505,$M158)&amp;"")</f>
        <v/>
      </c>
      <c r="H158" s="111" t="str">
        <f>IF($M158="","",INDEX('MTRs'!$AQ$6:$AQ$505,$M158))</f>
        <v/>
      </c>
      <c r="I158" s="112" t="str">
        <f>IF($M158="","",INDEX('MTRs'!$U$6:$U$505,$M158))</f>
        <v/>
      </c>
      <c r="J158" s="113" t="str">
        <f>IF($M158="","",INDEX('MTRs'!$AS$6:$AS$505,$M158)&amp;"")</f>
        <v/>
      </c>
      <c r="K158" s="110" t="str">
        <f>IF($M158="","",INDEX('MTRs'!$AT$6:$AT$505,$M158)&amp;"")</f>
        <v/>
      </c>
      <c r="L158" s="110" t="str">
        <f>IF($M158="","",INDEX('MTRs'!$Y$6:$Y$505,$M158)&amp;"")</f>
        <v/>
      </c>
      <c r="M158" t="str">
        <f>IFERROR(MATCH(SMALL('MTRs'!$AU$6:$AU$505,148),'MTRs'!$AU$6:$AU$505,0),"")</f>
        <v/>
      </c>
    </row>
    <row r="159" ht="30" customHeight="1">
      <c r="B159" s="108" t="str">
        <f>IF($M159="","",INDEX('MTRs'!$A$6:$A$505,$M159)&amp;"")</f>
        <v/>
      </c>
      <c r="C159" s="109" t="str">
        <f>IF($M159="","",INDEX('MTRs'!$B$6:$B$505,$M159)&amp;"")</f>
        <v/>
      </c>
      <c r="D159" s="110" t="str">
        <f>IF($M159="","",INDEX('MTRs'!$G$6:$G$505,$M159)&amp;"")</f>
        <v/>
      </c>
      <c r="E159" s="110" t="str">
        <f>IF($M159="","",INDEX('MTRs'!$H$6:$H$505,$M159)&amp;"")</f>
        <v/>
      </c>
      <c r="F159" s="110" t="str">
        <f>IF($M159="","",INDEX('MTRs'!$I$6:$I$505,$M159)&amp;"")</f>
        <v/>
      </c>
      <c r="G159" s="110" t="str">
        <f>IF($M159="","",INDEX('MTRs'!$T$6:$T$505,$M159)&amp;"")</f>
        <v/>
      </c>
      <c r="H159" s="111" t="str">
        <f>IF($M159="","",INDEX('MTRs'!$AQ$6:$AQ$505,$M159))</f>
        <v/>
      </c>
      <c r="I159" s="112" t="str">
        <f>IF($M159="","",INDEX('MTRs'!$U$6:$U$505,$M159))</f>
        <v/>
      </c>
      <c r="J159" s="113" t="str">
        <f>IF($M159="","",INDEX('MTRs'!$AS$6:$AS$505,$M159)&amp;"")</f>
        <v/>
      </c>
      <c r="K159" s="110" t="str">
        <f>IF($M159="","",INDEX('MTRs'!$AT$6:$AT$505,$M159)&amp;"")</f>
        <v/>
      </c>
      <c r="L159" s="110" t="str">
        <f>IF($M159="","",INDEX('MTRs'!$Y$6:$Y$505,$M159)&amp;"")</f>
        <v/>
      </c>
      <c r="M159" t="str">
        <f>IFERROR(MATCH(SMALL('MTRs'!$AU$6:$AU$505,149),'MTRs'!$AU$6:$AU$505,0),"")</f>
        <v/>
      </c>
    </row>
    <row r="160" ht="30" customHeight="1">
      <c r="B160" s="108" t="str">
        <f>IF($M160="","",INDEX('MTRs'!$A$6:$A$505,$M160)&amp;"")</f>
        <v/>
      </c>
      <c r="C160" s="109" t="str">
        <f>IF($M160="","",INDEX('MTRs'!$B$6:$B$505,$M160)&amp;"")</f>
        <v/>
      </c>
      <c r="D160" s="110" t="str">
        <f>IF($M160="","",INDEX('MTRs'!$G$6:$G$505,$M160)&amp;"")</f>
        <v/>
      </c>
      <c r="E160" s="110" t="str">
        <f>IF($M160="","",INDEX('MTRs'!$H$6:$H$505,$M160)&amp;"")</f>
        <v/>
      </c>
      <c r="F160" s="110" t="str">
        <f>IF($M160="","",INDEX('MTRs'!$I$6:$I$505,$M160)&amp;"")</f>
        <v/>
      </c>
      <c r="G160" s="110" t="str">
        <f>IF($M160="","",INDEX('MTRs'!$T$6:$T$505,$M160)&amp;"")</f>
        <v/>
      </c>
      <c r="H160" s="111" t="str">
        <f>IF($M160="","",INDEX('MTRs'!$AQ$6:$AQ$505,$M160))</f>
        <v/>
      </c>
      <c r="I160" s="112" t="str">
        <f>IF($M160="","",INDEX('MTRs'!$U$6:$U$505,$M160))</f>
        <v/>
      </c>
      <c r="J160" s="113" t="str">
        <f>IF($M160="","",INDEX('MTRs'!$AS$6:$AS$505,$M160)&amp;"")</f>
        <v/>
      </c>
      <c r="K160" s="110" t="str">
        <f>IF($M160="","",INDEX('MTRs'!$AT$6:$AT$505,$M160)&amp;"")</f>
        <v/>
      </c>
      <c r="L160" s="110" t="str">
        <f>IF($M160="","",INDEX('MTRs'!$Y$6:$Y$505,$M160)&amp;"")</f>
        <v/>
      </c>
      <c r="M160" t="str">
        <f>IFERROR(MATCH(SMALL('MTRs'!$AU$6:$AU$505,150),'MTRs'!$AU$6:$AU$505,0),"")</f>
        <v/>
      </c>
    </row>
    <row r="161" ht="30" customHeight="1">
      <c r="B161" s="108" t="str">
        <f>IF($M161="","",INDEX('MTRs'!$A$6:$A$505,$M161)&amp;"")</f>
        <v/>
      </c>
      <c r="C161" s="109" t="str">
        <f>IF($M161="","",INDEX('MTRs'!$B$6:$B$505,$M161)&amp;"")</f>
        <v/>
      </c>
      <c r="D161" s="110" t="str">
        <f>IF($M161="","",INDEX('MTRs'!$G$6:$G$505,$M161)&amp;"")</f>
        <v/>
      </c>
      <c r="E161" s="110" t="str">
        <f>IF($M161="","",INDEX('MTRs'!$H$6:$H$505,$M161)&amp;"")</f>
        <v/>
      </c>
      <c r="F161" s="110" t="str">
        <f>IF($M161="","",INDEX('MTRs'!$I$6:$I$505,$M161)&amp;"")</f>
        <v/>
      </c>
      <c r="G161" s="110" t="str">
        <f>IF($M161="","",INDEX('MTRs'!$T$6:$T$505,$M161)&amp;"")</f>
        <v/>
      </c>
      <c r="H161" s="111" t="str">
        <f>IF($M161="","",INDEX('MTRs'!$AQ$6:$AQ$505,$M161))</f>
        <v/>
      </c>
      <c r="I161" s="112" t="str">
        <f>IF($M161="","",INDEX('MTRs'!$U$6:$U$505,$M161))</f>
        <v/>
      </c>
      <c r="J161" s="113" t="str">
        <f>IF($M161="","",INDEX('MTRs'!$AS$6:$AS$505,$M161)&amp;"")</f>
        <v/>
      </c>
      <c r="K161" s="110" t="str">
        <f>IF($M161="","",INDEX('MTRs'!$AT$6:$AT$505,$M161)&amp;"")</f>
        <v/>
      </c>
      <c r="L161" s="110" t="str">
        <f>IF($M161="","",INDEX('MTRs'!$Y$6:$Y$505,$M161)&amp;"")</f>
        <v/>
      </c>
      <c r="M161" t="str">
        <f>IFERROR(MATCH(SMALL('MTRs'!$AU$6:$AU$505,151),'MTRs'!$AU$6:$AU$505,0),"")</f>
        <v/>
      </c>
    </row>
    <row r="162" ht="30" customHeight="1">
      <c r="B162" s="108" t="str">
        <f>IF($M162="","",INDEX('MTRs'!$A$6:$A$505,$M162)&amp;"")</f>
        <v/>
      </c>
      <c r="C162" s="109" t="str">
        <f>IF($M162="","",INDEX('MTRs'!$B$6:$B$505,$M162)&amp;"")</f>
        <v/>
      </c>
      <c r="D162" s="110" t="str">
        <f>IF($M162="","",INDEX('MTRs'!$G$6:$G$505,$M162)&amp;"")</f>
        <v/>
      </c>
      <c r="E162" s="110" t="str">
        <f>IF($M162="","",INDEX('MTRs'!$H$6:$H$505,$M162)&amp;"")</f>
        <v/>
      </c>
      <c r="F162" s="110" t="str">
        <f>IF($M162="","",INDEX('MTRs'!$I$6:$I$505,$M162)&amp;"")</f>
        <v/>
      </c>
      <c r="G162" s="110" t="str">
        <f>IF($M162="","",INDEX('MTRs'!$T$6:$T$505,$M162)&amp;"")</f>
        <v/>
      </c>
      <c r="H162" s="111" t="str">
        <f>IF($M162="","",INDEX('MTRs'!$AQ$6:$AQ$505,$M162))</f>
        <v/>
      </c>
      <c r="I162" s="112" t="str">
        <f>IF($M162="","",INDEX('MTRs'!$U$6:$U$505,$M162))</f>
        <v/>
      </c>
      <c r="J162" s="113" t="str">
        <f>IF($M162="","",INDEX('MTRs'!$AS$6:$AS$505,$M162)&amp;"")</f>
        <v/>
      </c>
      <c r="K162" s="110" t="str">
        <f>IF($M162="","",INDEX('MTRs'!$AT$6:$AT$505,$M162)&amp;"")</f>
        <v/>
      </c>
      <c r="L162" s="110" t="str">
        <f>IF($M162="","",INDEX('MTRs'!$Y$6:$Y$505,$M162)&amp;"")</f>
        <v/>
      </c>
      <c r="M162" t="str">
        <f>IFERROR(MATCH(SMALL('MTRs'!$AU$6:$AU$505,152),'MTRs'!$AU$6:$AU$505,0),"")</f>
        <v/>
      </c>
    </row>
    <row r="163" ht="30" customHeight="1">
      <c r="B163" s="108" t="str">
        <f>IF($M163="","",INDEX('MTRs'!$A$6:$A$505,$M163)&amp;"")</f>
        <v/>
      </c>
      <c r="C163" s="109" t="str">
        <f>IF($M163="","",INDEX('MTRs'!$B$6:$B$505,$M163)&amp;"")</f>
        <v/>
      </c>
      <c r="D163" s="110" t="str">
        <f>IF($M163="","",INDEX('MTRs'!$G$6:$G$505,$M163)&amp;"")</f>
        <v/>
      </c>
      <c r="E163" s="110" t="str">
        <f>IF($M163="","",INDEX('MTRs'!$H$6:$H$505,$M163)&amp;"")</f>
        <v/>
      </c>
      <c r="F163" s="110" t="str">
        <f>IF($M163="","",INDEX('MTRs'!$I$6:$I$505,$M163)&amp;"")</f>
        <v/>
      </c>
      <c r="G163" s="110" t="str">
        <f>IF($M163="","",INDEX('MTRs'!$T$6:$T$505,$M163)&amp;"")</f>
        <v/>
      </c>
      <c r="H163" s="111" t="str">
        <f>IF($M163="","",INDEX('MTRs'!$AQ$6:$AQ$505,$M163))</f>
        <v/>
      </c>
      <c r="I163" s="112" t="str">
        <f>IF($M163="","",INDEX('MTRs'!$U$6:$U$505,$M163))</f>
        <v/>
      </c>
      <c r="J163" s="113" t="str">
        <f>IF($M163="","",INDEX('MTRs'!$AS$6:$AS$505,$M163)&amp;"")</f>
        <v/>
      </c>
      <c r="K163" s="110" t="str">
        <f>IF($M163="","",INDEX('MTRs'!$AT$6:$AT$505,$M163)&amp;"")</f>
        <v/>
      </c>
      <c r="L163" s="110" t="str">
        <f>IF($M163="","",INDEX('MTRs'!$Y$6:$Y$505,$M163)&amp;"")</f>
        <v/>
      </c>
      <c r="M163" t="str">
        <f>IFERROR(MATCH(SMALL('MTRs'!$AU$6:$AU$505,153),'MTRs'!$AU$6:$AU$505,0),"")</f>
        <v/>
      </c>
    </row>
    <row r="164" ht="30" customHeight="1">
      <c r="B164" s="108" t="str">
        <f>IF($M164="","",INDEX('MTRs'!$A$6:$A$505,$M164)&amp;"")</f>
        <v/>
      </c>
      <c r="C164" s="109" t="str">
        <f>IF($M164="","",INDEX('MTRs'!$B$6:$B$505,$M164)&amp;"")</f>
        <v/>
      </c>
      <c r="D164" s="110" t="str">
        <f>IF($M164="","",INDEX('MTRs'!$G$6:$G$505,$M164)&amp;"")</f>
        <v/>
      </c>
      <c r="E164" s="110" t="str">
        <f>IF($M164="","",INDEX('MTRs'!$H$6:$H$505,$M164)&amp;"")</f>
        <v/>
      </c>
      <c r="F164" s="110" t="str">
        <f>IF($M164="","",INDEX('MTRs'!$I$6:$I$505,$M164)&amp;"")</f>
        <v/>
      </c>
      <c r="G164" s="110" t="str">
        <f>IF($M164="","",INDEX('MTRs'!$T$6:$T$505,$M164)&amp;"")</f>
        <v/>
      </c>
      <c r="H164" s="111" t="str">
        <f>IF($M164="","",INDEX('MTRs'!$AQ$6:$AQ$505,$M164))</f>
        <v/>
      </c>
      <c r="I164" s="112" t="str">
        <f>IF($M164="","",INDEX('MTRs'!$U$6:$U$505,$M164))</f>
        <v/>
      </c>
      <c r="J164" s="113" t="str">
        <f>IF($M164="","",INDEX('MTRs'!$AS$6:$AS$505,$M164)&amp;"")</f>
        <v/>
      </c>
      <c r="K164" s="110" t="str">
        <f>IF($M164="","",INDEX('MTRs'!$AT$6:$AT$505,$M164)&amp;"")</f>
        <v/>
      </c>
      <c r="L164" s="110" t="str">
        <f>IF($M164="","",INDEX('MTRs'!$Y$6:$Y$505,$M164)&amp;"")</f>
        <v/>
      </c>
      <c r="M164" t="str">
        <f>IFERROR(MATCH(SMALL('MTRs'!$AU$6:$AU$505,154),'MTRs'!$AU$6:$AU$505,0),"")</f>
        <v/>
      </c>
    </row>
    <row r="165" ht="30" customHeight="1">
      <c r="B165" s="108" t="str">
        <f>IF($M165="","",INDEX('MTRs'!$A$6:$A$505,$M165)&amp;"")</f>
        <v/>
      </c>
      <c r="C165" s="109" t="str">
        <f>IF($M165="","",INDEX('MTRs'!$B$6:$B$505,$M165)&amp;"")</f>
        <v/>
      </c>
      <c r="D165" s="110" t="str">
        <f>IF($M165="","",INDEX('MTRs'!$G$6:$G$505,$M165)&amp;"")</f>
        <v/>
      </c>
      <c r="E165" s="110" t="str">
        <f>IF($M165="","",INDEX('MTRs'!$H$6:$H$505,$M165)&amp;"")</f>
        <v/>
      </c>
      <c r="F165" s="110" t="str">
        <f>IF($M165="","",INDEX('MTRs'!$I$6:$I$505,$M165)&amp;"")</f>
        <v/>
      </c>
      <c r="G165" s="110" t="str">
        <f>IF($M165="","",INDEX('MTRs'!$T$6:$T$505,$M165)&amp;"")</f>
        <v/>
      </c>
      <c r="H165" s="111" t="str">
        <f>IF($M165="","",INDEX('MTRs'!$AQ$6:$AQ$505,$M165))</f>
        <v/>
      </c>
      <c r="I165" s="112" t="str">
        <f>IF($M165="","",INDEX('MTRs'!$U$6:$U$505,$M165))</f>
        <v/>
      </c>
      <c r="J165" s="113" t="str">
        <f>IF($M165="","",INDEX('MTRs'!$AS$6:$AS$505,$M165)&amp;"")</f>
        <v/>
      </c>
      <c r="K165" s="110" t="str">
        <f>IF($M165="","",INDEX('MTRs'!$AT$6:$AT$505,$M165)&amp;"")</f>
        <v/>
      </c>
      <c r="L165" s="110" t="str">
        <f>IF($M165="","",INDEX('MTRs'!$Y$6:$Y$505,$M165)&amp;"")</f>
        <v/>
      </c>
      <c r="M165" t="str">
        <f>IFERROR(MATCH(SMALL('MTRs'!$AU$6:$AU$505,155),'MTRs'!$AU$6:$AU$505,0),"")</f>
        <v/>
      </c>
    </row>
    <row r="166" ht="30" customHeight="1">
      <c r="B166" s="108" t="str">
        <f>IF($M166="","",INDEX('MTRs'!$A$6:$A$505,$M166)&amp;"")</f>
        <v/>
      </c>
      <c r="C166" s="109" t="str">
        <f>IF($M166="","",INDEX('MTRs'!$B$6:$B$505,$M166)&amp;"")</f>
        <v/>
      </c>
      <c r="D166" s="110" t="str">
        <f>IF($M166="","",INDEX('MTRs'!$G$6:$G$505,$M166)&amp;"")</f>
        <v/>
      </c>
      <c r="E166" s="110" t="str">
        <f>IF($M166="","",INDEX('MTRs'!$H$6:$H$505,$M166)&amp;"")</f>
        <v/>
      </c>
      <c r="F166" s="110" t="str">
        <f>IF($M166="","",INDEX('MTRs'!$I$6:$I$505,$M166)&amp;"")</f>
        <v/>
      </c>
      <c r="G166" s="110" t="str">
        <f>IF($M166="","",INDEX('MTRs'!$T$6:$T$505,$M166)&amp;"")</f>
        <v/>
      </c>
      <c r="H166" s="111" t="str">
        <f>IF($M166="","",INDEX('MTRs'!$AQ$6:$AQ$505,$M166))</f>
        <v/>
      </c>
      <c r="I166" s="112" t="str">
        <f>IF($M166="","",INDEX('MTRs'!$U$6:$U$505,$M166))</f>
        <v/>
      </c>
      <c r="J166" s="113" t="str">
        <f>IF($M166="","",INDEX('MTRs'!$AS$6:$AS$505,$M166)&amp;"")</f>
        <v/>
      </c>
      <c r="K166" s="110" t="str">
        <f>IF($M166="","",INDEX('MTRs'!$AT$6:$AT$505,$M166)&amp;"")</f>
        <v/>
      </c>
      <c r="L166" s="110" t="str">
        <f>IF($M166="","",INDEX('MTRs'!$Y$6:$Y$505,$M166)&amp;"")</f>
        <v/>
      </c>
      <c r="M166" t="str">
        <f>IFERROR(MATCH(SMALL('MTRs'!$AU$6:$AU$505,156),'MTRs'!$AU$6:$AU$505,0),"")</f>
        <v/>
      </c>
    </row>
    <row r="167" ht="30" customHeight="1">
      <c r="B167" s="108" t="str">
        <f>IF($M167="","",INDEX('MTRs'!$A$6:$A$505,$M167)&amp;"")</f>
        <v/>
      </c>
      <c r="C167" s="109" t="str">
        <f>IF($M167="","",INDEX('MTRs'!$B$6:$B$505,$M167)&amp;"")</f>
        <v/>
      </c>
      <c r="D167" s="110" t="str">
        <f>IF($M167="","",INDEX('MTRs'!$G$6:$G$505,$M167)&amp;"")</f>
        <v/>
      </c>
      <c r="E167" s="110" t="str">
        <f>IF($M167="","",INDEX('MTRs'!$H$6:$H$505,$M167)&amp;"")</f>
        <v/>
      </c>
      <c r="F167" s="110" t="str">
        <f>IF($M167="","",INDEX('MTRs'!$I$6:$I$505,$M167)&amp;"")</f>
        <v/>
      </c>
      <c r="G167" s="110" t="str">
        <f>IF($M167="","",INDEX('MTRs'!$T$6:$T$505,$M167)&amp;"")</f>
        <v/>
      </c>
      <c r="H167" s="111" t="str">
        <f>IF($M167="","",INDEX('MTRs'!$AQ$6:$AQ$505,$M167))</f>
        <v/>
      </c>
      <c r="I167" s="112" t="str">
        <f>IF($M167="","",INDEX('MTRs'!$U$6:$U$505,$M167))</f>
        <v/>
      </c>
      <c r="J167" s="113" t="str">
        <f>IF($M167="","",INDEX('MTRs'!$AS$6:$AS$505,$M167)&amp;"")</f>
        <v/>
      </c>
      <c r="K167" s="110" t="str">
        <f>IF($M167="","",INDEX('MTRs'!$AT$6:$AT$505,$M167)&amp;"")</f>
        <v/>
      </c>
      <c r="L167" s="110" t="str">
        <f>IF($M167="","",INDEX('MTRs'!$Y$6:$Y$505,$M167)&amp;"")</f>
        <v/>
      </c>
      <c r="M167" t="str">
        <f>IFERROR(MATCH(SMALL('MTRs'!$AU$6:$AU$505,157),'MTRs'!$AU$6:$AU$505,0),"")</f>
        <v/>
      </c>
    </row>
    <row r="168" ht="30" customHeight="1">
      <c r="B168" s="108" t="str">
        <f>IF($M168="","",INDEX('MTRs'!$A$6:$A$505,$M168)&amp;"")</f>
        <v/>
      </c>
      <c r="C168" s="109" t="str">
        <f>IF($M168="","",INDEX('MTRs'!$B$6:$B$505,$M168)&amp;"")</f>
        <v/>
      </c>
      <c r="D168" s="110" t="str">
        <f>IF($M168="","",INDEX('MTRs'!$G$6:$G$505,$M168)&amp;"")</f>
        <v/>
      </c>
      <c r="E168" s="110" t="str">
        <f>IF($M168="","",INDEX('MTRs'!$H$6:$H$505,$M168)&amp;"")</f>
        <v/>
      </c>
      <c r="F168" s="110" t="str">
        <f>IF($M168="","",INDEX('MTRs'!$I$6:$I$505,$M168)&amp;"")</f>
        <v/>
      </c>
      <c r="G168" s="110" t="str">
        <f>IF($M168="","",INDEX('MTRs'!$T$6:$T$505,$M168)&amp;"")</f>
        <v/>
      </c>
      <c r="H168" s="111" t="str">
        <f>IF($M168="","",INDEX('MTRs'!$AQ$6:$AQ$505,$M168))</f>
        <v/>
      </c>
      <c r="I168" s="112" t="str">
        <f>IF($M168="","",INDEX('MTRs'!$U$6:$U$505,$M168))</f>
        <v/>
      </c>
      <c r="J168" s="113" t="str">
        <f>IF($M168="","",INDEX('MTRs'!$AS$6:$AS$505,$M168)&amp;"")</f>
        <v/>
      </c>
      <c r="K168" s="110" t="str">
        <f>IF($M168="","",INDEX('MTRs'!$AT$6:$AT$505,$M168)&amp;"")</f>
        <v/>
      </c>
      <c r="L168" s="110" t="str">
        <f>IF($M168="","",INDEX('MTRs'!$Y$6:$Y$505,$M168)&amp;"")</f>
        <v/>
      </c>
      <c r="M168" t="str">
        <f>IFERROR(MATCH(SMALL('MTRs'!$AU$6:$AU$505,158),'MTRs'!$AU$6:$AU$505,0),"")</f>
        <v/>
      </c>
    </row>
    <row r="169" ht="30" customHeight="1">
      <c r="B169" s="108" t="str">
        <f>IF($M169="","",INDEX('MTRs'!$A$6:$A$505,$M169)&amp;"")</f>
        <v/>
      </c>
      <c r="C169" s="109" t="str">
        <f>IF($M169="","",INDEX('MTRs'!$B$6:$B$505,$M169)&amp;"")</f>
        <v/>
      </c>
      <c r="D169" s="110" t="str">
        <f>IF($M169="","",INDEX('MTRs'!$G$6:$G$505,$M169)&amp;"")</f>
        <v/>
      </c>
      <c r="E169" s="110" t="str">
        <f>IF($M169="","",INDEX('MTRs'!$H$6:$H$505,$M169)&amp;"")</f>
        <v/>
      </c>
      <c r="F169" s="110" t="str">
        <f>IF($M169="","",INDEX('MTRs'!$I$6:$I$505,$M169)&amp;"")</f>
        <v/>
      </c>
      <c r="G169" s="110" t="str">
        <f>IF($M169="","",INDEX('MTRs'!$T$6:$T$505,$M169)&amp;"")</f>
        <v/>
      </c>
      <c r="H169" s="111" t="str">
        <f>IF($M169="","",INDEX('MTRs'!$AQ$6:$AQ$505,$M169))</f>
        <v/>
      </c>
      <c r="I169" s="112" t="str">
        <f>IF($M169="","",INDEX('MTRs'!$U$6:$U$505,$M169))</f>
        <v/>
      </c>
      <c r="J169" s="113" t="str">
        <f>IF($M169="","",INDEX('MTRs'!$AS$6:$AS$505,$M169)&amp;"")</f>
        <v/>
      </c>
      <c r="K169" s="110" t="str">
        <f>IF($M169="","",INDEX('MTRs'!$AT$6:$AT$505,$M169)&amp;"")</f>
        <v/>
      </c>
      <c r="L169" s="110" t="str">
        <f>IF($M169="","",INDEX('MTRs'!$Y$6:$Y$505,$M169)&amp;"")</f>
        <v/>
      </c>
      <c r="M169" t="str">
        <f>IFERROR(MATCH(SMALL('MTRs'!$AU$6:$AU$505,159),'MTRs'!$AU$6:$AU$505,0),"")</f>
        <v/>
      </c>
    </row>
    <row r="170" ht="30" customHeight="1">
      <c r="B170" s="108" t="str">
        <f>IF($M170="","",INDEX('MTRs'!$A$6:$A$505,$M170)&amp;"")</f>
        <v/>
      </c>
      <c r="C170" s="109" t="str">
        <f>IF($M170="","",INDEX('MTRs'!$B$6:$B$505,$M170)&amp;"")</f>
        <v/>
      </c>
      <c r="D170" s="110" t="str">
        <f>IF($M170="","",INDEX('MTRs'!$G$6:$G$505,$M170)&amp;"")</f>
        <v/>
      </c>
      <c r="E170" s="110" t="str">
        <f>IF($M170="","",INDEX('MTRs'!$H$6:$H$505,$M170)&amp;"")</f>
        <v/>
      </c>
      <c r="F170" s="110" t="str">
        <f>IF($M170="","",INDEX('MTRs'!$I$6:$I$505,$M170)&amp;"")</f>
        <v/>
      </c>
      <c r="G170" s="110" t="str">
        <f>IF($M170="","",INDEX('MTRs'!$T$6:$T$505,$M170)&amp;"")</f>
        <v/>
      </c>
      <c r="H170" s="111" t="str">
        <f>IF($M170="","",INDEX('MTRs'!$AQ$6:$AQ$505,$M170))</f>
        <v/>
      </c>
      <c r="I170" s="112" t="str">
        <f>IF($M170="","",INDEX('MTRs'!$U$6:$U$505,$M170))</f>
        <v/>
      </c>
      <c r="J170" s="113" t="str">
        <f>IF($M170="","",INDEX('MTRs'!$AS$6:$AS$505,$M170)&amp;"")</f>
        <v/>
      </c>
      <c r="K170" s="110" t="str">
        <f>IF($M170="","",INDEX('MTRs'!$AT$6:$AT$505,$M170)&amp;"")</f>
        <v/>
      </c>
      <c r="L170" s="110" t="str">
        <f>IF($M170="","",INDEX('MTRs'!$Y$6:$Y$505,$M170)&amp;"")</f>
        <v/>
      </c>
      <c r="M170" t="str">
        <f>IFERROR(MATCH(SMALL('MTRs'!$AU$6:$AU$505,160),'MTRs'!$AU$6:$AU$505,0),"")</f>
        <v/>
      </c>
    </row>
    <row r="171" ht="30" customHeight="1">
      <c r="B171" s="108" t="str">
        <f>IF($M171="","",INDEX('MTRs'!$A$6:$A$505,$M171)&amp;"")</f>
        <v/>
      </c>
      <c r="C171" s="109" t="str">
        <f>IF($M171="","",INDEX('MTRs'!$B$6:$B$505,$M171)&amp;"")</f>
        <v/>
      </c>
      <c r="D171" s="110" t="str">
        <f>IF($M171="","",INDEX('MTRs'!$G$6:$G$505,$M171)&amp;"")</f>
        <v/>
      </c>
      <c r="E171" s="110" t="str">
        <f>IF($M171="","",INDEX('MTRs'!$H$6:$H$505,$M171)&amp;"")</f>
        <v/>
      </c>
      <c r="F171" s="110" t="str">
        <f>IF($M171="","",INDEX('MTRs'!$I$6:$I$505,$M171)&amp;"")</f>
        <v/>
      </c>
      <c r="G171" s="110" t="str">
        <f>IF($M171="","",INDEX('MTRs'!$T$6:$T$505,$M171)&amp;"")</f>
        <v/>
      </c>
      <c r="H171" s="111" t="str">
        <f>IF($M171="","",INDEX('MTRs'!$AQ$6:$AQ$505,$M171))</f>
        <v/>
      </c>
      <c r="I171" s="112" t="str">
        <f>IF($M171="","",INDEX('MTRs'!$U$6:$U$505,$M171))</f>
        <v/>
      </c>
      <c r="J171" s="113" t="str">
        <f>IF($M171="","",INDEX('MTRs'!$AS$6:$AS$505,$M171)&amp;"")</f>
        <v/>
      </c>
      <c r="K171" s="110" t="str">
        <f>IF($M171="","",INDEX('MTRs'!$AT$6:$AT$505,$M171)&amp;"")</f>
        <v/>
      </c>
      <c r="L171" s="110" t="str">
        <f>IF($M171="","",INDEX('MTRs'!$Y$6:$Y$505,$M171)&amp;"")</f>
        <v/>
      </c>
      <c r="M171" t="str">
        <f>IFERROR(MATCH(SMALL('MTRs'!$AU$6:$AU$505,161),'MTRs'!$AU$6:$AU$505,0),"")</f>
        <v/>
      </c>
    </row>
    <row r="172" ht="30" customHeight="1">
      <c r="B172" s="108" t="str">
        <f>IF($M172="","",INDEX('MTRs'!$A$6:$A$505,$M172)&amp;"")</f>
        <v/>
      </c>
      <c r="C172" s="109" t="str">
        <f>IF($M172="","",INDEX('MTRs'!$B$6:$B$505,$M172)&amp;"")</f>
        <v/>
      </c>
      <c r="D172" s="110" t="str">
        <f>IF($M172="","",INDEX('MTRs'!$G$6:$G$505,$M172)&amp;"")</f>
        <v/>
      </c>
      <c r="E172" s="110" t="str">
        <f>IF($M172="","",INDEX('MTRs'!$H$6:$H$505,$M172)&amp;"")</f>
        <v/>
      </c>
      <c r="F172" s="110" t="str">
        <f>IF($M172="","",INDEX('MTRs'!$I$6:$I$505,$M172)&amp;"")</f>
        <v/>
      </c>
      <c r="G172" s="110" t="str">
        <f>IF($M172="","",INDEX('MTRs'!$T$6:$T$505,$M172)&amp;"")</f>
        <v/>
      </c>
      <c r="H172" s="111" t="str">
        <f>IF($M172="","",INDEX('MTRs'!$AQ$6:$AQ$505,$M172))</f>
        <v/>
      </c>
      <c r="I172" s="112" t="str">
        <f>IF($M172="","",INDEX('MTRs'!$U$6:$U$505,$M172))</f>
        <v/>
      </c>
      <c r="J172" s="113" t="str">
        <f>IF($M172="","",INDEX('MTRs'!$AS$6:$AS$505,$M172)&amp;"")</f>
        <v/>
      </c>
      <c r="K172" s="110" t="str">
        <f>IF($M172="","",INDEX('MTRs'!$AT$6:$AT$505,$M172)&amp;"")</f>
        <v/>
      </c>
      <c r="L172" s="110" t="str">
        <f>IF($M172="","",INDEX('MTRs'!$Y$6:$Y$505,$M172)&amp;"")</f>
        <v/>
      </c>
      <c r="M172" t="str">
        <f>IFERROR(MATCH(SMALL('MTRs'!$AU$6:$AU$505,162),'MTRs'!$AU$6:$AU$505,0),"")</f>
        <v/>
      </c>
    </row>
    <row r="173" ht="30" customHeight="1">
      <c r="B173" s="108" t="str">
        <f>IF($M173="","",INDEX('MTRs'!$A$6:$A$505,$M173)&amp;"")</f>
        <v/>
      </c>
      <c r="C173" s="109" t="str">
        <f>IF($M173="","",INDEX('MTRs'!$B$6:$B$505,$M173)&amp;"")</f>
        <v/>
      </c>
      <c r="D173" s="110" t="str">
        <f>IF($M173="","",INDEX('MTRs'!$G$6:$G$505,$M173)&amp;"")</f>
        <v/>
      </c>
      <c r="E173" s="110" t="str">
        <f>IF($M173="","",INDEX('MTRs'!$H$6:$H$505,$M173)&amp;"")</f>
        <v/>
      </c>
      <c r="F173" s="110" t="str">
        <f>IF($M173="","",INDEX('MTRs'!$I$6:$I$505,$M173)&amp;"")</f>
        <v/>
      </c>
      <c r="G173" s="110" t="str">
        <f>IF($M173="","",INDEX('MTRs'!$T$6:$T$505,$M173)&amp;"")</f>
        <v/>
      </c>
      <c r="H173" s="111" t="str">
        <f>IF($M173="","",INDEX('MTRs'!$AQ$6:$AQ$505,$M173))</f>
        <v/>
      </c>
      <c r="I173" s="112" t="str">
        <f>IF($M173="","",INDEX('MTRs'!$U$6:$U$505,$M173))</f>
        <v/>
      </c>
      <c r="J173" s="113" t="str">
        <f>IF($M173="","",INDEX('MTRs'!$AS$6:$AS$505,$M173)&amp;"")</f>
        <v/>
      </c>
      <c r="K173" s="110" t="str">
        <f>IF($M173="","",INDEX('MTRs'!$AT$6:$AT$505,$M173)&amp;"")</f>
        <v/>
      </c>
      <c r="L173" s="110" t="str">
        <f>IF($M173="","",INDEX('MTRs'!$Y$6:$Y$505,$M173)&amp;"")</f>
        <v/>
      </c>
      <c r="M173" t="str">
        <f>IFERROR(MATCH(SMALL('MTRs'!$AU$6:$AU$505,163),'MTRs'!$AU$6:$AU$505,0),"")</f>
        <v/>
      </c>
    </row>
    <row r="174" ht="30" customHeight="1">
      <c r="B174" s="108" t="str">
        <f>IF($M174="","",INDEX('MTRs'!$A$6:$A$505,$M174)&amp;"")</f>
        <v/>
      </c>
      <c r="C174" s="109" t="str">
        <f>IF($M174="","",INDEX('MTRs'!$B$6:$B$505,$M174)&amp;"")</f>
        <v/>
      </c>
      <c r="D174" s="110" t="str">
        <f>IF($M174="","",INDEX('MTRs'!$G$6:$G$505,$M174)&amp;"")</f>
        <v/>
      </c>
      <c r="E174" s="110" t="str">
        <f>IF($M174="","",INDEX('MTRs'!$H$6:$H$505,$M174)&amp;"")</f>
        <v/>
      </c>
      <c r="F174" s="110" t="str">
        <f>IF($M174="","",INDEX('MTRs'!$I$6:$I$505,$M174)&amp;"")</f>
        <v/>
      </c>
      <c r="G174" s="110" t="str">
        <f>IF($M174="","",INDEX('MTRs'!$T$6:$T$505,$M174)&amp;"")</f>
        <v/>
      </c>
      <c r="H174" s="111" t="str">
        <f>IF($M174="","",INDEX('MTRs'!$AQ$6:$AQ$505,$M174))</f>
        <v/>
      </c>
      <c r="I174" s="112" t="str">
        <f>IF($M174="","",INDEX('MTRs'!$U$6:$U$505,$M174))</f>
        <v/>
      </c>
      <c r="J174" s="113" t="str">
        <f>IF($M174="","",INDEX('MTRs'!$AS$6:$AS$505,$M174)&amp;"")</f>
        <v/>
      </c>
      <c r="K174" s="110" t="str">
        <f>IF($M174="","",INDEX('MTRs'!$AT$6:$AT$505,$M174)&amp;"")</f>
        <v/>
      </c>
      <c r="L174" s="110" t="str">
        <f>IF($M174="","",INDEX('MTRs'!$Y$6:$Y$505,$M174)&amp;"")</f>
        <v/>
      </c>
      <c r="M174" t="str">
        <f>IFERROR(MATCH(SMALL('MTRs'!$AU$6:$AU$505,164),'MTRs'!$AU$6:$AU$505,0),"")</f>
        <v/>
      </c>
    </row>
    <row r="175" ht="30" customHeight="1">
      <c r="B175" s="108" t="str">
        <f>IF($M175="","",INDEX('MTRs'!$A$6:$A$505,$M175)&amp;"")</f>
        <v/>
      </c>
      <c r="C175" s="109" t="str">
        <f>IF($M175="","",INDEX('MTRs'!$B$6:$B$505,$M175)&amp;"")</f>
        <v/>
      </c>
      <c r="D175" s="110" t="str">
        <f>IF($M175="","",INDEX('MTRs'!$G$6:$G$505,$M175)&amp;"")</f>
        <v/>
      </c>
      <c r="E175" s="110" t="str">
        <f>IF($M175="","",INDEX('MTRs'!$H$6:$H$505,$M175)&amp;"")</f>
        <v/>
      </c>
      <c r="F175" s="110" t="str">
        <f>IF($M175="","",INDEX('MTRs'!$I$6:$I$505,$M175)&amp;"")</f>
        <v/>
      </c>
      <c r="G175" s="110" t="str">
        <f>IF($M175="","",INDEX('MTRs'!$T$6:$T$505,$M175)&amp;"")</f>
        <v/>
      </c>
      <c r="H175" s="111" t="str">
        <f>IF($M175="","",INDEX('MTRs'!$AQ$6:$AQ$505,$M175))</f>
        <v/>
      </c>
      <c r="I175" s="112" t="str">
        <f>IF($M175="","",INDEX('MTRs'!$U$6:$U$505,$M175))</f>
        <v/>
      </c>
      <c r="J175" s="113" t="str">
        <f>IF($M175="","",INDEX('MTRs'!$AS$6:$AS$505,$M175)&amp;"")</f>
        <v/>
      </c>
      <c r="K175" s="110" t="str">
        <f>IF($M175="","",INDEX('MTRs'!$AT$6:$AT$505,$M175)&amp;"")</f>
        <v/>
      </c>
      <c r="L175" s="110" t="str">
        <f>IF($M175="","",INDEX('MTRs'!$Y$6:$Y$505,$M175)&amp;"")</f>
        <v/>
      </c>
      <c r="M175" t="str">
        <f>IFERROR(MATCH(SMALL('MTRs'!$AU$6:$AU$505,165),'MTRs'!$AU$6:$AU$505,0),"")</f>
        <v/>
      </c>
    </row>
    <row r="176" ht="30" customHeight="1">
      <c r="B176" s="108" t="str">
        <f>IF($M176="","",INDEX('MTRs'!$A$6:$A$505,$M176)&amp;"")</f>
        <v/>
      </c>
      <c r="C176" s="109" t="str">
        <f>IF($M176="","",INDEX('MTRs'!$B$6:$B$505,$M176)&amp;"")</f>
        <v/>
      </c>
      <c r="D176" s="110" t="str">
        <f>IF($M176="","",INDEX('MTRs'!$G$6:$G$505,$M176)&amp;"")</f>
        <v/>
      </c>
      <c r="E176" s="110" t="str">
        <f>IF($M176="","",INDEX('MTRs'!$H$6:$H$505,$M176)&amp;"")</f>
        <v/>
      </c>
      <c r="F176" s="110" t="str">
        <f>IF($M176="","",INDEX('MTRs'!$I$6:$I$505,$M176)&amp;"")</f>
        <v/>
      </c>
      <c r="G176" s="110" t="str">
        <f>IF($M176="","",INDEX('MTRs'!$T$6:$T$505,$M176)&amp;"")</f>
        <v/>
      </c>
      <c r="H176" s="111" t="str">
        <f>IF($M176="","",INDEX('MTRs'!$AQ$6:$AQ$505,$M176))</f>
        <v/>
      </c>
      <c r="I176" s="112" t="str">
        <f>IF($M176="","",INDEX('MTRs'!$U$6:$U$505,$M176))</f>
        <v/>
      </c>
      <c r="J176" s="113" t="str">
        <f>IF($M176="","",INDEX('MTRs'!$AS$6:$AS$505,$M176)&amp;"")</f>
        <v/>
      </c>
      <c r="K176" s="110" t="str">
        <f>IF($M176="","",INDEX('MTRs'!$AT$6:$AT$505,$M176)&amp;"")</f>
        <v/>
      </c>
      <c r="L176" s="110" t="str">
        <f>IF($M176="","",INDEX('MTRs'!$Y$6:$Y$505,$M176)&amp;"")</f>
        <v/>
      </c>
      <c r="M176" t="str">
        <f>IFERROR(MATCH(SMALL('MTRs'!$AU$6:$AU$505,166),'MTRs'!$AU$6:$AU$505,0),"")</f>
        <v/>
      </c>
    </row>
    <row r="177" ht="30" customHeight="1">
      <c r="B177" s="108" t="str">
        <f>IF($M177="","",INDEX('MTRs'!$A$6:$A$505,$M177)&amp;"")</f>
        <v/>
      </c>
      <c r="C177" s="109" t="str">
        <f>IF($M177="","",INDEX('MTRs'!$B$6:$B$505,$M177)&amp;"")</f>
        <v/>
      </c>
      <c r="D177" s="110" t="str">
        <f>IF($M177="","",INDEX('MTRs'!$G$6:$G$505,$M177)&amp;"")</f>
        <v/>
      </c>
      <c r="E177" s="110" t="str">
        <f>IF($M177="","",INDEX('MTRs'!$H$6:$H$505,$M177)&amp;"")</f>
        <v/>
      </c>
      <c r="F177" s="110" t="str">
        <f>IF($M177="","",INDEX('MTRs'!$I$6:$I$505,$M177)&amp;"")</f>
        <v/>
      </c>
      <c r="G177" s="110" t="str">
        <f>IF($M177="","",INDEX('MTRs'!$T$6:$T$505,$M177)&amp;"")</f>
        <v/>
      </c>
      <c r="H177" s="111" t="str">
        <f>IF($M177="","",INDEX('MTRs'!$AQ$6:$AQ$505,$M177))</f>
        <v/>
      </c>
      <c r="I177" s="112" t="str">
        <f>IF($M177="","",INDEX('MTRs'!$U$6:$U$505,$M177))</f>
        <v/>
      </c>
      <c r="J177" s="113" t="str">
        <f>IF($M177="","",INDEX('MTRs'!$AS$6:$AS$505,$M177)&amp;"")</f>
        <v/>
      </c>
      <c r="K177" s="110" t="str">
        <f>IF($M177="","",INDEX('MTRs'!$AT$6:$AT$505,$M177)&amp;"")</f>
        <v/>
      </c>
      <c r="L177" s="110" t="str">
        <f>IF($M177="","",INDEX('MTRs'!$Y$6:$Y$505,$M177)&amp;"")</f>
        <v/>
      </c>
      <c r="M177" t="str">
        <f>IFERROR(MATCH(SMALL('MTRs'!$AU$6:$AU$505,167),'MTRs'!$AU$6:$AU$505,0),"")</f>
        <v/>
      </c>
    </row>
    <row r="178" ht="30" customHeight="1">
      <c r="B178" s="108" t="str">
        <f>IF($M178="","",INDEX('MTRs'!$A$6:$A$505,$M178)&amp;"")</f>
        <v/>
      </c>
      <c r="C178" s="109" t="str">
        <f>IF($M178="","",INDEX('MTRs'!$B$6:$B$505,$M178)&amp;"")</f>
        <v/>
      </c>
      <c r="D178" s="110" t="str">
        <f>IF($M178="","",INDEX('MTRs'!$G$6:$G$505,$M178)&amp;"")</f>
        <v/>
      </c>
      <c r="E178" s="110" t="str">
        <f>IF($M178="","",INDEX('MTRs'!$H$6:$H$505,$M178)&amp;"")</f>
        <v/>
      </c>
      <c r="F178" s="110" t="str">
        <f>IF($M178="","",INDEX('MTRs'!$I$6:$I$505,$M178)&amp;"")</f>
        <v/>
      </c>
      <c r="G178" s="110" t="str">
        <f>IF($M178="","",INDEX('MTRs'!$T$6:$T$505,$M178)&amp;"")</f>
        <v/>
      </c>
      <c r="H178" s="111" t="str">
        <f>IF($M178="","",INDEX('MTRs'!$AQ$6:$AQ$505,$M178))</f>
        <v/>
      </c>
      <c r="I178" s="112" t="str">
        <f>IF($M178="","",INDEX('MTRs'!$U$6:$U$505,$M178))</f>
        <v/>
      </c>
      <c r="J178" s="113" t="str">
        <f>IF($M178="","",INDEX('MTRs'!$AS$6:$AS$505,$M178)&amp;"")</f>
        <v/>
      </c>
      <c r="K178" s="110" t="str">
        <f>IF($M178="","",INDEX('MTRs'!$AT$6:$AT$505,$M178)&amp;"")</f>
        <v/>
      </c>
      <c r="L178" s="110" t="str">
        <f>IF($M178="","",INDEX('MTRs'!$Y$6:$Y$505,$M178)&amp;"")</f>
        <v/>
      </c>
      <c r="M178" t="str">
        <f>IFERROR(MATCH(SMALL('MTRs'!$AU$6:$AU$505,168),'MTRs'!$AU$6:$AU$505,0),"")</f>
        <v/>
      </c>
    </row>
    <row r="179" ht="30" customHeight="1">
      <c r="B179" s="108" t="str">
        <f>IF($M179="","",INDEX('MTRs'!$A$6:$A$505,$M179)&amp;"")</f>
        <v/>
      </c>
      <c r="C179" s="109" t="str">
        <f>IF($M179="","",INDEX('MTRs'!$B$6:$B$505,$M179)&amp;"")</f>
        <v/>
      </c>
      <c r="D179" s="110" t="str">
        <f>IF($M179="","",INDEX('MTRs'!$G$6:$G$505,$M179)&amp;"")</f>
        <v/>
      </c>
      <c r="E179" s="110" t="str">
        <f>IF($M179="","",INDEX('MTRs'!$H$6:$H$505,$M179)&amp;"")</f>
        <v/>
      </c>
      <c r="F179" s="110" t="str">
        <f>IF($M179="","",INDEX('MTRs'!$I$6:$I$505,$M179)&amp;"")</f>
        <v/>
      </c>
      <c r="G179" s="110" t="str">
        <f>IF($M179="","",INDEX('MTRs'!$T$6:$T$505,$M179)&amp;"")</f>
        <v/>
      </c>
      <c r="H179" s="111" t="str">
        <f>IF($M179="","",INDEX('MTRs'!$AQ$6:$AQ$505,$M179))</f>
        <v/>
      </c>
      <c r="I179" s="112" t="str">
        <f>IF($M179="","",INDEX('MTRs'!$U$6:$U$505,$M179))</f>
        <v/>
      </c>
      <c r="J179" s="113" t="str">
        <f>IF($M179="","",INDEX('MTRs'!$AS$6:$AS$505,$M179)&amp;"")</f>
        <v/>
      </c>
      <c r="K179" s="110" t="str">
        <f>IF($M179="","",INDEX('MTRs'!$AT$6:$AT$505,$M179)&amp;"")</f>
        <v/>
      </c>
      <c r="L179" s="110" t="str">
        <f>IF($M179="","",INDEX('MTRs'!$Y$6:$Y$505,$M179)&amp;"")</f>
        <v/>
      </c>
      <c r="M179" t="str">
        <f>IFERROR(MATCH(SMALL('MTRs'!$AU$6:$AU$505,169),'MTRs'!$AU$6:$AU$505,0),"")</f>
        <v/>
      </c>
    </row>
    <row r="180" ht="30" customHeight="1">
      <c r="B180" s="108" t="str">
        <f>IF($M180="","",INDEX('MTRs'!$A$6:$A$505,$M180)&amp;"")</f>
        <v/>
      </c>
      <c r="C180" s="109" t="str">
        <f>IF($M180="","",INDEX('MTRs'!$B$6:$B$505,$M180)&amp;"")</f>
        <v/>
      </c>
      <c r="D180" s="110" t="str">
        <f>IF($M180="","",INDEX('MTRs'!$G$6:$G$505,$M180)&amp;"")</f>
        <v/>
      </c>
      <c r="E180" s="110" t="str">
        <f>IF($M180="","",INDEX('MTRs'!$H$6:$H$505,$M180)&amp;"")</f>
        <v/>
      </c>
      <c r="F180" s="110" t="str">
        <f>IF($M180="","",INDEX('MTRs'!$I$6:$I$505,$M180)&amp;"")</f>
        <v/>
      </c>
      <c r="G180" s="110" t="str">
        <f>IF($M180="","",INDEX('MTRs'!$T$6:$T$505,$M180)&amp;"")</f>
        <v/>
      </c>
      <c r="H180" s="111" t="str">
        <f>IF($M180="","",INDEX('MTRs'!$AQ$6:$AQ$505,$M180))</f>
        <v/>
      </c>
      <c r="I180" s="112" t="str">
        <f>IF($M180="","",INDEX('MTRs'!$U$6:$U$505,$M180))</f>
        <v/>
      </c>
      <c r="J180" s="113" t="str">
        <f>IF($M180="","",INDEX('MTRs'!$AS$6:$AS$505,$M180)&amp;"")</f>
        <v/>
      </c>
      <c r="K180" s="110" t="str">
        <f>IF($M180="","",INDEX('MTRs'!$AT$6:$AT$505,$M180)&amp;"")</f>
        <v/>
      </c>
      <c r="L180" s="110" t="str">
        <f>IF($M180="","",INDEX('MTRs'!$Y$6:$Y$505,$M180)&amp;"")</f>
        <v/>
      </c>
      <c r="M180" t="str">
        <f>IFERROR(MATCH(SMALL('MTRs'!$AU$6:$AU$505,170),'MTRs'!$AU$6:$AU$505,0),"")</f>
        <v/>
      </c>
    </row>
    <row r="181" ht="30" customHeight="1">
      <c r="B181" s="108" t="str">
        <f>IF($M181="","",INDEX('MTRs'!$A$6:$A$505,$M181)&amp;"")</f>
        <v/>
      </c>
      <c r="C181" s="109" t="str">
        <f>IF($M181="","",INDEX('MTRs'!$B$6:$B$505,$M181)&amp;"")</f>
        <v/>
      </c>
      <c r="D181" s="110" t="str">
        <f>IF($M181="","",INDEX('MTRs'!$G$6:$G$505,$M181)&amp;"")</f>
        <v/>
      </c>
      <c r="E181" s="110" t="str">
        <f>IF($M181="","",INDEX('MTRs'!$H$6:$H$505,$M181)&amp;"")</f>
        <v/>
      </c>
      <c r="F181" s="110" t="str">
        <f>IF($M181="","",INDEX('MTRs'!$I$6:$I$505,$M181)&amp;"")</f>
        <v/>
      </c>
      <c r="G181" s="110" t="str">
        <f>IF($M181="","",INDEX('MTRs'!$T$6:$T$505,$M181)&amp;"")</f>
        <v/>
      </c>
      <c r="H181" s="111" t="str">
        <f>IF($M181="","",INDEX('MTRs'!$AQ$6:$AQ$505,$M181))</f>
        <v/>
      </c>
      <c r="I181" s="112" t="str">
        <f>IF($M181="","",INDEX('MTRs'!$U$6:$U$505,$M181))</f>
        <v/>
      </c>
      <c r="J181" s="113" t="str">
        <f>IF($M181="","",INDEX('MTRs'!$AS$6:$AS$505,$M181)&amp;"")</f>
        <v/>
      </c>
      <c r="K181" s="110" t="str">
        <f>IF($M181="","",INDEX('MTRs'!$AT$6:$AT$505,$M181)&amp;"")</f>
        <v/>
      </c>
      <c r="L181" s="110" t="str">
        <f>IF($M181="","",INDEX('MTRs'!$Y$6:$Y$505,$M181)&amp;"")</f>
        <v/>
      </c>
      <c r="M181" t="str">
        <f>IFERROR(MATCH(SMALL('MTRs'!$AU$6:$AU$505,171),'MTRs'!$AU$6:$AU$505,0),"")</f>
        <v/>
      </c>
    </row>
    <row r="182" ht="30" customHeight="1">
      <c r="B182" s="108" t="str">
        <f>IF($M182="","",INDEX('MTRs'!$A$6:$A$505,$M182)&amp;"")</f>
        <v/>
      </c>
      <c r="C182" s="109" t="str">
        <f>IF($M182="","",INDEX('MTRs'!$B$6:$B$505,$M182)&amp;"")</f>
        <v/>
      </c>
      <c r="D182" s="110" t="str">
        <f>IF($M182="","",INDEX('MTRs'!$G$6:$G$505,$M182)&amp;"")</f>
        <v/>
      </c>
      <c r="E182" s="110" t="str">
        <f>IF($M182="","",INDEX('MTRs'!$H$6:$H$505,$M182)&amp;"")</f>
        <v/>
      </c>
      <c r="F182" s="110" t="str">
        <f>IF($M182="","",INDEX('MTRs'!$I$6:$I$505,$M182)&amp;"")</f>
        <v/>
      </c>
      <c r="G182" s="110" t="str">
        <f>IF($M182="","",INDEX('MTRs'!$T$6:$T$505,$M182)&amp;"")</f>
        <v/>
      </c>
      <c r="H182" s="111" t="str">
        <f>IF($M182="","",INDEX('MTRs'!$AQ$6:$AQ$505,$M182))</f>
        <v/>
      </c>
      <c r="I182" s="112" t="str">
        <f>IF($M182="","",INDEX('MTRs'!$U$6:$U$505,$M182))</f>
        <v/>
      </c>
      <c r="J182" s="113" t="str">
        <f>IF($M182="","",INDEX('MTRs'!$AS$6:$AS$505,$M182)&amp;"")</f>
        <v/>
      </c>
      <c r="K182" s="110" t="str">
        <f>IF($M182="","",INDEX('MTRs'!$AT$6:$AT$505,$M182)&amp;"")</f>
        <v/>
      </c>
      <c r="L182" s="110" t="str">
        <f>IF($M182="","",INDEX('MTRs'!$Y$6:$Y$505,$M182)&amp;"")</f>
        <v/>
      </c>
      <c r="M182" t="str">
        <f>IFERROR(MATCH(SMALL('MTRs'!$AU$6:$AU$505,172),'MTRs'!$AU$6:$AU$505,0),"")</f>
        <v/>
      </c>
    </row>
    <row r="183" ht="30" customHeight="1">
      <c r="B183" s="108" t="str">
        <f>IF($M183="","",INDEX('MTRs'!$A$6:$A$505,$M183)&amp;"")</f>
        <v/>
      </c>
      <c r="C183" s="109" t="str">
        <f>IF($M183="","",INDEX('MTRs'!$B$6:$B$505,$M183)&amp;"")</f>
        <v/>
      </c>
      <c r="D183" s="110" t="str">
        <f>IF($M183="","",INDEX('MTRs'!$G$6:$G$505,$M183)&amp;"")</f>
        <v/>
      </c>
      <c r="E183" s="110" t="str">
        <f>IF($M183="","",INDEX('MTRs'!$H$6:$H$505,$M183)&amp;"")</f>
        <v/>
      </c>
      <c r="F183" s="110" t="str">
        <f>IF($M183="","",INDEX('MTRs'!$I$6:$I$505,$M183)&amp;"")</f>
        <v/>
      </c>
      <c r="G183" s="110" t="str">
        <f>IF($M183="","",INDEX('MTRs'!$T$6:$T$505,$M183)&amp;"")</f>
        <v/>
      </c>
      <c r="H183" s="111" t="str">
        <f>IF($M183="","",INDEX('MTRs'!$AQ$6:$AQ$505,$M183))</f>
        <v/>
      </c>
      <c r="I183" s="112" t="str">
        <f>IF($M183="","",INDEX('MTRs'!$U$6:$U$505,$M183))</f>
        <v/>
      </c>
      <c r="J183" s="113" t="str">
        <f>IF($M183="","",INDEX('MTRs'!$AS$6:$AS$505,$M183)&amp;"")</f>
        <v/>
      </c>
      <c r="K183" s="110" t="str">
        <f>IF($M183="","",INDEX('MTRs'!$AT$6:$AT$505,$M183)&amp;"")</f>
        <v/>
      </c>
      <c r="L183" s="110" t="str">
        <f>IF($M183="","",INDEX('MTRs'!$Y$6:$Y$505,$M183)&amp;"")</f>
        <v/>
      </c>
      <c r="M183" t="str">
        <f>IFERROR(MATCH(SMALL('MTRs'!$AU$6:$AU$505,173),'MTRs'!$AU$6:$AU$505,0),"")</f>
        <v/>
      </c>
    </row>
    <row r="184" ht="30" customHeight="1">
      <c r="B184" s="108" t="str">
        <f>IF($M184="","",INDEX('MTRs'!$A$6:$A$505,$M184)&amp;"")</f>
        <v/>
      </c>
      <c r="C184" s="109" t="str">
        <f>IF($M184="","",INDEX('MTRs'!$B$6:$B$505,$M184)&amp;"")</f>
        <v/>
      </c>
      <c r="D184" s="110" t="str">
        <f>IF($M184="","",INDEX('MTRs'!$G$6:$G$505,$M184)&amp;"")</f>
        <v/>
      </c>
      <c r="E184" s="110" t="str">
        <f>IF($M184="","",INDEX('MTRs'!$H$6:$H$505,$M184)&amp;"")</f>
        <v/>
      </c>
      <c r="F184" s="110" t="str">
        <f>IF($M184="","",INDEX('MTRs'!$I$6:$I$505,$M184)&amp;"")</f>
        <v/>
      </c>
      <c r="G184" s="110" t="str">
        <f>IF($M184="","",INDEX('MTRs'!$T$6:$T$505,$M184)&amp;"")</f>
        <v/>
      </c>
      <c r="H184" s="111" t="str">
        <f>IF($M184="","",INDEX('MTRs'!$AQ$6:$AQ$505,$M184))</f>
        <v/>
      </c>
      <c r="I184" s="112" t="str">
        <f>IF($M184="","",INDEX('MTRs'!$U$6:$U$505,$M184))</f>
        <v/>
      </c>
      <c r="J184" s="113" t="str">
        <f>IF($M184="","",INDEX('MTRs'!$AS$6:$AS$505,$M184)&amp;"")</f>
        <v/>
      </c>
      <c r="K184" s="110" t="str">
        <f>IF($M184="","",INDEX('MTRs'!$AT$6:$AT$505,$M184)&amp;"")</f>
        <v/>
      </c>
      <c r="L184" s="110" t="str">
        <f>IF($M184="","",INDEX('MTRs'!$Y$6:$Y$505,$M184)&amp;"")</f>
        <v/>
      </c>
      <c r="M184" t="str">
        <f>IFERROR(MATCH(SMALL('MTRs'!$AU$6:$AU$505,174),'MTRs'!$AU$6:$AU$505,0),"")</f>
        <v/>
      </c>
    </row>
    <row r="185" ht="30" customHeight="1">
      <c r="B185" s="108" t="str">
        <f>IF($M185="","",INDEX('MTRs'!$A$6:$A$505,$M185)&amp;"")</f>
        <v/>
      </c>
      <c r="C185" s="109" t="str">
        <f>IF($M185="","",INDEX('MTRs'!$B$6:$B$505,$M185)&amp;"")</f>
        <v/>
      </c>
      <c r="D185" s="110" t="str">
        <f>IF($M185="","",INDEX('MTRs'!$G$6:$G$505,$M185)&amp;"")</f>
        <v/>
      </c>
      <c r="E185" s="110" t="str">
        <f>IF($M185="","",INDEX('MTRs'!$H$6:$H$505,$M185)&amp;"")</f>
        <v/>
      </c>
      <c r="F185" s="110" t="str">
        <f>IF($M185="","",INDEX('MTRs'!$I$6:$I$505,$M185)&amp;"")</f>
        <v/>
      </c>
      <c r="G185" s="110" t="str">
        <f>IF($M185="","",INDEX('MTRs'!$T$6:$T$505,$M185)&amp;"")</f>
        <v/>
      </c>
      <c r="H185" s="111" t="str">
        <f>IF($M185="","",INDEX('MTRs'!$AQ$6:$AQ$505,$M185))</f>
        <v/>
      </c>
      <c r="I185" s="112" t="str">
        <f>IF($M185="","",INDEX('MTRs'!$U$6:$U$505,$M185))</f>
        <v/>
      </c>
      <c r="J185" s="113" t="str">
        <f>IF($M185="","",INDEX('MTRs'!$AS$6:$AS$505,$M185)&amp;"")</f>
        <v/>
      </c>
      <c r="K185" s="110" t="str">
        <f>IF($M185="","",INDEX('MTRs'!$AT$6:$AT$505,$M185)&amp;"")</f>
        <v/>
      </c>
      <c r="L185" s="110" t="str">
        <f>IF($M185="","",INDEX('MTRs'!$Y$6:$Y$505,$M185)&amp;"")</f>
        <v/>
      </c>
      <c r="M185" t="str">
        <f>IFERROR(MATCH(SMALL('MTRs'!$AU$6:$AU$505,175),'MTRs'!$AU$6:$AU$505,0),"")</f>
        <v/>
      </c>
    </row>
    <row r="186" ht="30" customHeight="1">
      <c r="B186" s="108" t="str">
        <f>IF($M186="","",INDEX('MTRs'!$A$6:$A$505,$M186)&amp;"")</f>
        <v/>
      </c>
      <c r="C186" s="109" t="str">
        <f>IF($M186="","",INDEX('MTRs'!$B$6:$B$505,$M186)&amp;"")</f>
        <v/>
      </c>
      <c r="D186" s="110" t="str">
        <f>IF($M186="","",INDEX('MTRs'!$G$6:$G$505,$M186)&amp;"")</f>
        <v/>
      </c>
      <c r="E186" s="110" t="str">
        <f>IF($M186="","",INDEX('MTRs'!$H$6:$H$505,$M186)&amp;"")</f>
        <v/>
      </c>
      <c r="F186" s="110" t="str">
        <f>IF($M186="","",INDEX('MTRs'!$I$6:$I$505,$M186)&amp;"")</f>
        <v/>
      </c>
      <c r="G186" s="110" t="str">
        <f>IF($M186="","",INDEX('MTRs'!$T$6:$T$505,$M186)&amp;"")</f>
        <v/>
      </c>
      <c r="H186" s="111" t="str">
        <f>IF($M186="","",INDEX('MTRs'!$AQ$6:$AQ$505,$M186))</f>
        <v/>
      </c>
      <c r="I186" s="112" t="str">
        <f>IF($M186="","",INDEX('MTRs'!$U$6:$U$505,$M186))</f>
        <v/>
      </c>
      <c r="J186" s="113" t="str">
        <f>IF($M186="","",INDEX('MTRs'!$AS$6:$AS$505,$M186)&amp;"")</f>
        <v/>
      </c>
      <c r="K186" s="110" t="str">
        <f>IF($M186="","",INDEX('MTRs'!$AT$6:$AT$505,$M186)&amp;"")</f>
        <v/>
      </c>
      <c r="L186" s="110" t="str">
        <f>IF($M186="","",INDEX('MTRs'!$Y$6:$Y$505,$M186)&amp;"")</f>
        <v/>
      </c>
      <c r="M186" t="str">
        <f>IFERROR(MATCH(SMALL('MTRs'!$AU$6:$AU$505,176),'MTRs'!$AU$6:$AU$505,0),"")</f>
        <v/>
      </c>
    </row>
    <row r="187" ht="30" customHeight="1">
      <c r="B187" s="108" t="str">
        <f>IF($M187="","",INDEX('MTRs'!$A$6:$A$505,$M187)&amp;"")</f>
        <v/>
      </c>
      <c r="C187" s="109" t="str">
        <f>IF($M187="","",INDEX('MTRs'!$B$6:$B$505,$M187)&amp;"")</f>
        <v/>
      </c>
      <c r="D187" s="110" t="str">
        <f>IF($M187="","",INDEX('MTRs'!$G$6:$G$505,$M187)&amp;"")</f>
        <v/>
      </c>
      <c r="E187" s="110" t="str">
        <f>IF($M187="","",INDEX('MTRs'!$H$6:$H$505,$M187)&amp;"")</f>
        <v/>
      </c>
      <c r="F187" s="110" t="str">
        <f>IF($M187="","",INDEX('MTRs'!$I$6:$I$505,$M187)&amp;"")</f>
        <v/>
      </c>
      <c r="G187" s="110" t="str">
        <f>IF($M187="","",INDEX('MTRs'!$T$6:$T$505,$M187)&amp;"")</f>
        <v/>
      </c>
      <c r="H187" s="111" t="str">
        <f>IF($M187="","",INDEX('MTRs'!$AQ$6:$AQ$505,$M187))</f>
        <v/>
      </c>
      <c r="I187" s="112" t="str">
        <f>IF($M187="","",INDEX('MTRs'!$U$6:$U$505,$M187))</f>
        <v/>
      </c>
      <c r="J187" s="113" t="str">
        <f>IF($M187="","",INDEX('MTRs'!$AS$6:$AS$505,$M187)&amp;"")</f>
        <v/>
      </c>
      <c r="K187" s="110" t="str">
        <f>IF($M187="","",INDEX('MTRs'!$AT$6:$AT$505,$M187)&amp;"")</f>
        <v/>
      </c>
      <c r="L187" s="110" t="str">
        <f>IF($M187="","",INDEX('MTRs'!$Y$6:$Y$505,$M187)&amp;"")</f>
        <v/>
      </c>
      <c r="M187" t="str">
        <f>IFERROR(MATCH(SMALL('MTRs'!$AU$6:$AU$505,177),'MTRs'!$AU$6:$AU$505,0),"")</f>
        <v/>
      </c>
    </row>
    <row r="188" ht="30" customHeight="1">
      <c r="B188" s="108" t="str">
        <f>IF($M188="","",INDEX('MTRs'!$A$6:$A$505,$M188)&amp;"")</f>
        <v/>
      </c>
      <c r="C188" s="109" t="str">
        <f>IF($M188="","",INDEX('MTRs'!$B$6:$B$505,$M188)&amp;"")</f>
        <v/>
      </c>
      <c r="D188" s="110" t="str">
        <f>IF($M188="","",INDEX('MTRs'!$G$6:$G$505,$M188)&amp;"")</f>
        <v/>
      </c>
      <c r="E188" s="110" t="str">
        <f>IF($M188="","",INDEX('MTRs'!$H$6:$H$505,$M188)&amp;"")</f>
        <v/>
      </c>
      <c r="F188" s="110" t="str">
        <f>IF($M188="","",INDEX('MTRs'!$I$6:$I$505,$M188)&amp;"")</f>
        <v/>
      </c>
      <c r="G188" s="110" t="str">
        <f>IF($M188="","",INDEX('MTRs'!$T$6:$T$505,$M188)&amp;"")</f>
        <v/>
      </c>
      <c r="H188" s="111" t="str">
        <f>IF($M188="","",INDEX('MTRs'!$AQ$6:$AQ$505,$M188))</f>
        <v/>
      </c>
      <c r="I188" s="112" t="str">
        <f>IF($M188="","",INDEX('MTRs'!$U$6:$U$505,$M188))</f>
        <v/>
      </c>
      <c r="J188" s="113" t="str">
        <f>IF($M188="","",INDEX('MTRs'!$AS$6:$AS$505,$M188)&amp;"")</f>
        <v/>
      </c>
      <c r="K188" s="110" t="str">
        <f>IF($M188="","",INDEX('MTRs'!$AT$6:$AT$505,$M188)&amp;"")</f>
        <v/>
      </c>
      <c r="L188" s="110" t="str">
        <f>IF($M188="","",INDEX('MTRs'!$Y$6:$Y$505,$M188)&amp;"")</f>
        <v/>
      </c>
      <c r="M188" t="str">
        <f>IFERROR(MATCH(SMALL('MTRs'!$AU$6:$AU$505,178),'MTRs'!$AU$6:$AU$505,0),"")</f>
        <v/>
      </c>
    </row>
    <row r="189" ht="30" customHeight="1">
      <c r="B189" s="108" t="str">
        <f>IF($M189="","",INDEX('MTRs'!$A$6:$A$505,$M189)&amp;"")</f>
        <v/>
      </c>
      <c r="C189" s="109" t="str">
        <f>IF($M189="","",INDEX('MTRs'!$B$6:$B$505,$M189)&amp;"")</f>
        <v/>
      </c>
      <c r="D189" s="110" t="str">
        <f>IF($M189="","",INDEX('MTRs'!$G$6:$G$505,$M189)&amp;"")</f>
        <v/>
      </c>
      <c r="E189" s="110" t="str">
        <f>IF($M189="","",INDEX('MTRs'!$H$6:$H$505,$M189)&amp;"")</f>
        <v/>
      </c>
      <c r="F189" s="110" t="str">
        <f>IF($M189="","",INDEX('MTRs'!$I$6:$I$505,$M189)&amp;"")</f>
        <v/>
      </c>
      <c r="G189" s="110" t="str">
        <f>IF($M189="","",INDEX('MTRs'!$T$6:$T$505,$M189)&amp;"")</f>
        <v/>
      </c>
      <c r="H189" s="111" t="str">
        <f>IF($M189="","",INDEX('MTRs'!$AQ$6:$AQ$505,$M189))</f>
        <v/>
      </c>
      <c r="I189" s="112" t="str">
        <f>IF($M189="","",INDEX('MTRs'!$U$6:$U$505,$M189))</f>
        <v/>
      </c>
      <c r="J189" s="113" t="str">
        <f>IF($M189="","",INDEX('MTRs'!$AS$6:$AS$505,$M189)&amp;"")</f>
        <v/>
      </c>
      <c r="K189" s="110" t="str">
        <f>IF($M189="","",INDEX('MTRs'!$AT$6:$AT$505,$M189)&amp;"")</f>
        <v/>
      </c>
      <c r="L189" s="110" t="str">
        <f>IF($M189="","",INDEX('MTRs'!$Y$6:$Y$505,$M189)&amp;"")</f>
        <v/>
      </c>
      <c r="M189" t="str">
        <f>IFERROR(MATCH(SMALL('MTRs'!$AU$6:$AU$505,179),'MTRs'!$AU$6:$AU$505,0),"")</f>
        <v/>
      </c>
    </row>
    <row r="190" ht="30" customHeight="1">
      <c r="B190" s="108" t="str">
        <f>IF($M190="","",INDEX('MTRs'!$A$6:$A$505,$M190)&amp;"")</f>
        <v/>
      </c>
      <c r="C190" s="109" t="str">
        <f>IF($M190="","",INDEX('MTRs'!$B$6:$B$505,$M190)&amp;"")</f>
        <v/>
      </c>
      <c r="D190" s="110" t="str">
        <f>IF($M190="","",INDEX('MTRs'!$G$6:$G$505,$M190)&amp;"")</f>
        <v/>
      </c>
      <c r="E190" s="110" t="str">
        <f>IF($M190="","",INDEX('MTRs'!$H$6:$H$505,$M190)&amp;"")</f>
        <v/>
      </c>
      <c r="F190" s="110" t="str">
        <f>IF($M190="","",INDEX('MTRs'!$I$6:$I$505,$M190)&amp;"")</f>
        <v/>
      </c>
      <c r="G190" s="110" t="str">
        <f>IF($M190="","",INDEX('MTRs'!$T$6:$T$505,$M190)&amp;"")</f>
        <v/>
      </c>
      <c r="H190" s="111" t="str">
        <f>IF($M190="","",INDEX('MTRs'!$AQ$6:$AQ$505,$M190))</f>
        <v/>
      </c>
      <c r="I190" s="112" t="str">
        <f>IF($M190="","",INDEX('MTRs'!$U$6:$U$505,$M190))</f>
        <v/>
      </c>
      <c r="J190" s="113" t="str">
        <f>IF($M190="","",INDEX('MTRs'!$AS$6:$AS$505,$M190)&amp;"")</f>
        <v/>
      </c>
      <c r="K190" s="110" t="str">
        <f>IF($M190="","",INDEX('MTRs'!$AT$6:$AT$505,$M190)&amp;"")</f>
        <v/>
      </c>
      <c r="L190" s="110" t="str">
        <f>IF($M190="","",INDEX('MTRs'!$Y$6:$Y$505,$M190)&amp;"")</f>
        <v/>
      </c>
      <c r="M190" t="str">
        <f>IFERROR(MATCH(SMALL('MTRs'!$AU$6:$AU$505,180),'MTRs'!$AU$6:$AU$505,0),"")</f>
        <v/>
      </c>
    </row>
    <row r="191" ht="30" customHeight="1">
      <c r="B191" s="108" t="str">
        <f>IF($M191="","",INDEX('MTRs'!$A$6:$A$505,$M191)&amp;"")</f>
        <v/>
      </c>
      <c r="C191" s="109" t="str">
        <f>IF($M191="","",INDEX('MTRs'!$B$6:$B$505,$M191)&amp;"")</f>
        <v/>
      </c>
      <c r="D191" s="110" t="str">
        <f>IF($M191="","",INDEX('MTRs'!$G$6:$G$505,$M191)&amp;"")</f>
        <v/>
      </c>
      <c r="E191" s="110" t="str">
        <f>IF($M191="","",INDEX('MTRs'!$H$6:$H$505,$M191)&amp;"")</f>
        <v/>
      </c>
      <c r="F191" s="110" t="str">
        <f>IF($M191="","",INDEX('MTRs'!$I$6:$I$505,$M191)&amp;"")</f>
        <v/>
      </c>
      <c r="G191" s="110" t="str">
        <f>IF($M191="","",INDEX('MTRs'!$T$6:$T$505,$M191)&amp;"")</f>
        <v/>
      </c>
      <c r="H191" s="111" t="str">
        <f>IF($M191="","",INDEX('MTRs'!$AQ$6:$AQ$505,$M191))</f>
        <v/>
      </c>
      <c r="I191" s="112" t="str">
        <f>IF($M191="","",INDEX('MTRs'!$U$6:$U$505,$M191))</f>
        <v/>
      </c>
      <c r="J191" s="113" t="str">
        <f>IF($M191="","",INDEX('MTRs'!$AS$6:$AS$505,$M191)&amp;"")</f>
        <v/>
      </c>
      <c r="K191" s="110" t="str">
        <f>IF($M191="","",INDEX('MTRs'!$AT$6:$AT$505,$M191)&amp;"")</f>
        <v/>
      </c>
      <c r="L191" s="110" t="str">
        <f>IF($M191="","",INDEX('MTRs'!$Y$6:$Y$505,$M191)&amp;"")</f>
        <v/>
      </c>
      <c r="M191" t="str">
        <f>IFERROR(MATCH(SMALL('MTRs'!$AU$6:$AU$505,181),'MTRs'!$AU$6:$AU$505,0),"")</f>
        <v/>
      </c>
    </row>
    <row r="192" ht="30" customHeight="1">
      <c r="B192" s="108" t="str">
        <f>IF($M192="","",INDEX('MTRs'!$A$6:$A$505,$M192)&amp;"")</f>
        <v/>
      </c>
      <c r="C192" s="109" t="str">
        <f>IF($M192="","",INDEX('MTRs'!$B$6:$B$505,$M192)&amp;"")</f>
        <v/>
      </c>
      <c r="D192" s="110" t="str">
        <f>IF($M192="","",INDEX('MTRs'!$G$6:$G$505,$M192)&amp;"")</f>
        <v/>
      </c>
      <c r="E192" s="110" t="str">
        <f>IF($M192="","",INDEX('MTRs'!$H$6:$H$505,$M192)&amp;"")</f>
        <v/>
      </c>
      <c r="F192" s="110" t="str">
        <f>IF($M192="","",INDEX('MTRs'!$I$6:$I$505,$M192)&amp;"")</f>
        <v/>
      </c>
      <c r="G192" s="110" t="str">
        <f>IF($M192="","",INDEX('MTRs'!$T$6:$T$505,$M192)&amp;"")</f>
        <v/>
      </c>
      <c r="H192" s="111" t="str">
        <f>IF($M192="","",INDEX('MTRs'!$AQ$6:$AQ$505,$M192))</f>
        <v/>
      </c>
      <c r="I192" s="112" t="str">
        <f>IF($M192="","",INDEX('MTRs'!$U$6:$U$505,$M192))</f>
        <v/>
      </c>
      <c r="J192" s="113" t="str">
        <f>IF($M192="","",INDEX('MTRs'!$AS$6:$AS$505,$M192)&amp;"")</f>
        <v/>
      </c>
      <c r="K192" s="110" t="str">
        <f>IF($M192="","",INDEX('MTRs'!$AT$6:$AT$505,$M192)&amp;"")</f>
        <v/>
      </c>
      <c r="L192" s="110" t="str">
        <f>IF($M192="","",INDEX('MTRs'!$Y$6:$Y$505,$M192)&amp;"")</f>
        <v/>
      </c>
      <c r="M192" t="str">
        <f>IFERROR(MATCH(SMALL('MTRs'!$AU$6:$AU$505,182),'MTRs'!$AU$6:$AU$505,0),"")</f>
        <v/>
      </c>
    </row>
    <row r="193" ht="30" customHeight="1">
      <c r="B193" s="108" t="str">
        <f>IF($M193="","",INDEX('MTRs'!$A$6:$A$505,$M193)&amp;"")</f>
        <v/>
      </c>
      <c r="C193" s="109" t="str">
        <f>IF($M193="","",INDEX('MTRs'!$B$6:$B$505,$M193)&amp;"")</f>
        <v/>
      </c>
      <c r="D193" s="110" t="str">
        <f>IF($M193="","",INDEX('MTRs'!$G$6:$G$505,$M193)&amp;"")</f>
        <v/>
      </c>
      <c r="E193" s="110" t="str">
        <f>IF($M193="","",INDEX('MTRs'!$H$6:$H$505,$M193)&amp;"")</f>
        <v/>
      </c>
      <c r="F193" s="110" t="str">
        <f>IF($M193="","",INDEX('MTRs'!$I$6:$I$505,$M193)&amp;"")</f>
        <v/>
      </c>
      <c r="G193" s="110" t="str">
        <f>IF($M193="","",INDEX('MTRs'!$T$6:$T$505,$M193)&amp;"")</f>
        <v/>
      </c>
      <c r="H193" s="111" t="str">
        <f>IF($M193="","",INDEX('MTRs'!$AQ$6:$AQ$505,$M193))</f>
        <v/>
      </c>
      <c r="I193" s="112" t="str">
        <f>IF($M193="","",INDEX('MTRs'!$U$6:$U$505,$M193))</f>
        <v/>
      </c>
      <c r="J193" s="113" t="str">
        <f>IF($M193="","",INDEX('MTRs'!$AS$6:$AS$505,$M193)&amp;"")</f>
        <v/>
      </c>
      <c r="K193" s="110" t="str">
        <f>IF($M193="","",INDEX('MTRs'!$AT$6:$AT$505,$M193)&amp;"")</f>
        <v/>
      </c>
      <c r="L193" s="110" t="str">
        <f>IF($M193="","",INDEX('MTRs'!$Y$6:$Y$505,$M193)&amp;"")</f>
        <v/>
      </c>
      <c r="M193" t="str">
        <f>IFERROR(MATCH(SMALL('MTRs'!$AU$6:$AU$505,183),'MTRs'!$AU$6:$AU$505,0),"")</f>
        <v/>
      </c>
    </row>
    <row r="194" ht="30" customHeight="1">
      <c r="B194" s="108" t="str">
        <f>IF($M194="","",INDEX('MTRs'!$A$6:$A$505,$M194)&amp;"")</f>
        <v/>
      </c>
      <c r="C194" s="109" t="str">
        <f>IF($M194="","",INDEX('MTRs'!$B$6:$B$505,$M194)&amp;"")</f>
        <v/>
      </c>
      <c r="D194" s="110" t="str">
        <f>IF($M194="","",INDEX('MTRs'!$G$6:$G$505,$M194)&amp;"")</f>
        <v/>
      </c>
      <c r="E194" s="110" t="str">
        <f>IF($M194="","",INDEX('MTRs'!$H$6:$H$505,$M194)&amp;"")</f>
        <v/>
      </c>
      <c r="F194" s="110" t="str">
        <f>IF($M194="","",INDEX('MTRs'!$I$6:$I$505,$M194)&amp;"")</f>
        <v/>
      </c>
      <c r="G194" s="110" t="str">
        <f>IF($M194="","",INDEX('MTRs'!$T$6:$T$505,$M194)&amp;"")</f>
        <v/>
      </c>
      <c r="H194" s="111" t="str">
        <f>IF($M194="","",INDEX('MTRs'!$AQ$6:$AQ$505,$M194))</f>
        <v/>
      </c>
      <c r="I194" s="112" t="str">
        <f>IF($M194="","",INDEX('MTRs'!$U$6:$U$505,$M194))</f>
        <v/>
      </c>
      <c r="J194" s="113" t="str">
        <f>IF($M194="","",INDEX('MTRs'!$AS$6:$AS$505,$M194)&amp;"")</f>
        <v/>
      </c>
      <c r="K194" s="110" t="str">
        <f>IF($M194="","",INDEX('MTRs'!$AT$6:$AT$505,$M194)&amp;"")</f>
        <v/>
      </c>
      <c r="L194" s="110" t="str">
        <f>IF($M194="","",INDEX('MTRs'!$Y$6:$Y$505,$M194)&amp;"")</f>
        <v/>
      </c>
      <c r="M194" t="str">
        <f>IFERROR(MATCH(SMALL('MTRs'!$AU$6:$AU$505,184),'MTRs'!$AU$6:$AU$505,0),"")</f>
        <v/>
      </c>
    </row>
    <row r="195" ht="30" customHeight="1">
      <c r="B195" s="108" t="str">
        <f>IF($M195="","",INDEX('MTRs'!$A$6:$A$505,$M195)&amp;"")</f>
        <v/>
      </c>
      <c r="C195" s="109" t="str">
        <f>IF($M195="","",INDEX('MTRs'!$B$6:$B$505,$M195)&amp;"")</f>
        <v/>
      </c>
      <c r="D195" s="110" t="str">
        <f>IF($M195="","",INDEX('MTRs'!$G$6:$G$505,$M195)&amp;"")</f>
        <v/>
      </c>
      <c r="E195" s="110" t="str">
        <f>IF($M195="","",INDEX('MTRs'!$H$6:$H$505,$M195)&amp;"")</f>
        <v/>
      </c>
      <c r="F195" s="110" t="str">
        <f>IF($M195="","",INDEX('MTRs'!$I$6:$I$505,$M195)&amp;"")</f>
        <v/>
      </c>
      <c r="G195" s="110" t="str">
        <f>IF($M195="","",INDEX('MTRs'!$T$6:$T$505,$M195)&amp;"")</f>
        <v/>
      </c>
      <c r="H195" s="111" t="str">
        <f>IF($M195="","",INDEX('MTRs'!$AQ$6:$AQ$505,$M195))</f>
        <v/>
      </c>
      <c r="I195" s="112" t="str">
        <f>IF($M195="","",INDEX('MTRs'!$U$6:$U$505,$M195))</f>
        <v/>
      </c>
      <c r="J195" s="113" t="str">
        <f>IF($M195="","",INDEX('MTRs'!$AS$6:$AS$505,$M195)&amp;"")</f>
        <v/>
      </c>
      <c r="K195" s="110" t="str">
        <f>IF($M195="","",INDEX('MTRs'!$AT$6:$AT$505,$M195)&amp;"")</f>
        <v/>
      </c>
      <c r="L195" s="110" t="str">
        <f>IF($M195="","",INDEX('MTRs'!$Y$6:$Y$505,$M195)&amp;"")</f>
        <v/>
      </c>
      <c r="M195" t="str">
        <f>IFERROR(MATCH(SMALL('MTRs'!$AU$6:$AU$505,185),'MTRs'!$AU$6:$AU$505,0),"")</f>
        <v/>
      </c>
    </row>
    <row r="196" ht="30" customHeight="1">
      <c r="B196" s="108" t="str">
        <f>IF($M196="","",INDEX('MTRs'!$A$6:$A$505,$M196)&amp;"")</f>
        <v/>
      </c>
      <c r="C196" s="109" t="str">
        <f>IF($M196="","",INDEX('MTRs'!$B$6:$B$505,$M196)&amp;"")</f>
        <v/>
      </c>
      <c r="D196" s="110" t="str">
        <f>IF($M196="","",INDEX('MTRs'!$G$6:$G$505,$M196)&amp;"")</f>
        <v/>
      </c>
      <c r="E196" s="110" t="str">
        <f>IF($M196="","",INDEX('MTRs'!$H$6:$H$505,$M196)&amp;"")</f>
        <v/>
      </c>
      <c r="F196" s="110" t="str">
        <f>IF($M196="","",INDEX('MTRs'!$I$6:$I$505,$M196)&amp;"")</f>
        <v/>
      </c>
      <c r="G196" s="110" t="str">
        <f>IF($M196="","",INDEX('MTRs'!$T$6:$T$505,$M196)&amp;"")</f>
        <v/>
      </c>
      <c r="H196" s="111" t="str">
        <f>IF($M196="","",INDEX('MTRs'!$AQ$6:$AQ$505,$M196))</f>
        <v/>
      </c>
      <c r="I196" s="112" t="str">
        <f>IF($M196="","",INDEX('MTRs'!$U$6:$U$505,$M196))</f>
        <v/>
      </c>
      <c r="J196" s="113" t="str">
        <f>IF($M196="","",INDEX('MTRs'!$AS$6:$AS$505,$M196)&amp;"")</f>
        <v/>
      </c>
      <c r="K196" s="110" t="str">
        <f>IF($M196="","",INDEX('MTRs'!$AT$6:$AT$505,$M196)&amp;"")</f>
        <v/>
      </c>
      <c r="L196" s="110" t="str">
        <f>IF($M196="","",INDEX('MTRs'!$Y$6:$Y$505,$M196)&amp;"")</f>
        <v/>
      </c>
      <c r="M196" t="str">
        <f>IFERROR(MATCH(SMALL('MTRs'!$AU$6:$AU$505,186),'MTRs'!$AU$6:$AU$505,0),"")</f>
        <v/>
      </c>
    </row>
    <row r="197" ht="30" customHeight="1">
      <c r="B197" s="108" t="str">
        <f>IF($M197="","",INDEX('MTRs'!$A$6:$A$505,$M197)&amp;"")</f>
        <v/>
      </c>
      <c r="C197" s="109" t="str">
        <f>IF($M197="","",INDEX('MTRs'!$B$6:$B$505,$M197)&amp;"")</f>
        <v/>
      </c>
      <c r="D197" s="110" t="str">
        <f>IF($M197="","",INDEX('MTRs'!$G$6:$G$505,$M197)&amp;"")</f>
        <v/>
      </c>
      <c r="E197" s="110" t="str">
        <f>IF($M197="","",INDEX('MTRs'!$H$6:$H$505,$M197)&amp;"")</f>
        <v/>
      </c>
      <c r="F197" s="110" t="str">
        <f>IF($M197="","",INDEX('MTRs'!$I$6:$I$505,$M197)&amp;"")</f>
        <v/>
      </c>
      <c r="G197" s="110" t="str">
        <f>IF($M197="","",INDEX('MTRs'!$T$6:$T$505,$M197)&amp;"")</f>
        <v/>
      </c>
      <c r="H197" s="111" t="str">
        <f>IF($M197="","",INDEX('MTRs'!$AQ$6:$AQ$505,$M197))</f>
        <v/>
      </c>
      <c r="I197" s="112" t="str">
        <f>IF($M197="","",INDEX('MTRs'!$U$6:$U$505,$M197))</f>
        <v/>
      </c>
      <c r="J197" s="113" t="str">
        <f>IF($M197="","",INDEX('MTRs'!$AS$6:$AS$505,$M197)&amp;"")</f>
        <v/>
      </c>
      <c r="K197" s="110" t="str">
        <f>IF($M197="","",INDEX('MTRs'!$AT$6:$AT$505,$M197)&amp;"")</f>
        <v/>
      </c>
      <c r="L197" s="110" t="str">
        <f>IF($M197="","",INDEX('MTRs'!$Y$6:$Y$505,$M197)&amp;"")</f>
        <v/>
      </c>
      <c r="M197" t="str">
        <f>IFERROR(MATCH(SMALL('MTRs'!$AU$6:$AU$505,187),'MTRs'!$AU$6:$AU$505,0),"")</f>
        <v/>
      </c>
    </row>
    <row r="198" ht="30" customHeight="1">
      <c r="B198" s="108" t="str">
        <f>IF($M198="","",INDEX('MTRs'!$A$6:$A$505,$M198)&amp;"")</f>
        <v/>
      </c>
      <c r="C198" s="109" t="str">
        <f>IF($M198="","",INDEX('MTRs'!$B$6:$B$505,$M198)&amp;"")</f>
        <v/>
      </c>
      <c r="D198" s="110" t="str">
        <f>IF($M198="","",INDEX('MTRs'!$G$6:$G$505,$M198)&amp;"")</f>
        <v/>
      </c>
      <c r="E198" s="110" t="str">
        <f>IF($M198="","",INDEX('MTRs'!$H$6:$H$505,$M198)&amp;"")</f>
        <v/>
      </c>
      <c r="F198" s="110" t="str">
        <f>IF($M198="","",INDEX('MTRs'!$I$6:$I$505,$M198)&amp;"")</f>
        <v/>
      </c>
      <c r="G198" s="110" t="str">
        <f>IF($M198="","",INDEX('MTRs'!$T$6:$T$505,$M198)&amp;"")</f>
        <v/>
      </c>
      <c r="H198" s="111" t="str">
        <f>IF($M198="","",INDEX('MTRs'!$AQ$6:$AQ$505,$M198))</f>
        <v/>
      </c>
      <c r="I198" s="112" t="str">
        <f>IF($M198="","",INDEX('MTRs'!$U$6:$U$505,$M198))</f>
        <v/>
      </c>
      <c r="J198" s="113" t="str">
        <f>IF($M198="","",INDEX('MTRs'!$AS$6:$AS$505,$M198)&amp;"")</f>
        <v/>
      </c>
      <c r="K198" s="110" t="str">
        <f>IF($M198="","",INDEX('MTRs'!$AT$6:$AT$505,$M198)&amp;"")</f>
        <v/>
      </c>
      <c r="L198" s="110" t="str">
        <f>IF($M198="","",INDEX('MTRs'!$Y$6:$Y$505,$M198)&amp;"")</f>
        <v/>
      </c>
      <c r="M198" t="str">
        <f>IFERROR(MATCH(SMALL('MTRs'!$AU$6:$AU$505,188),'MTRs'!$AU$6:$AU$505,0),"")</f>
        <v/>
      </c>
    </row>
    <row r="199" ht="30" customHeight="1">
      <c r="B199" s="108" t="str">
        <f>IF($M199="","",INDEX('MTRs'!$A$6:$A$505,$M199)&amp;"")</f>
        <v/>
      </c>
      <c r="C199" s="109" t="str">
        <f>IF($M199="","",INDEX('MTRs'!$B$6:$B$505,$M199)&amp;"")</f>
        <v/>
      </c>
      <c r="D199" s="110" t="str">
        <f>IF($M199="","",INDEX('MTRs'!$G$6:$G$505,$M199)&amp;"")</f>
        <v/>
      </c>
      <c r="E199" s="110" t="str">
        <f>IF($M199="","",INDEX('MTRs'!$H$6:$H$505,$M199)&amp;"")</f>
        <v/>
      </c>
      <c r="F199" s="110" t="str">
        <f>IF($M199="","",INDEX('MTRs'!$I$6:$I$505,$M199)&amp;"")</f>
        <v/>
      </c>
      <c r="G199" s="110" t="str">
        <f>IF($M199="","",INDEX('MTRs'!$T$6:$T$505,$M199)&amp;"")</f>
        <v/>
      </c>
      <c r="H199" s="111" t="str">
        <f>IF($M199="","",INDEX('MTRs'!$AQ$6:$AQ$505,$M199))</f>
        <v/>
      </c>
      <c r="I199" s="112" t="str">
        <f>IF($M199="","",INDEX('MTRs'!$U$6:$U$505,$M199))</f>
        <v/>
      </c>
      <c r="J199" s="113" t="str">
        <f>IF($M199="","",INDEX('MTRs'!$AS$6:$AS$505,$M199)&amp;"")</f>
        <v/>
      </c>
      <c r="K199" s="110" t="str">
        <f>IF($M199="","",INDEX('MTRs'!$AT$6:$AT$505,$M199)&amp;"")</f>
        <v/>
      </c>
      <c r="L199" s="110" t="str">
        <f>IF($M199="","",INDEX('MTRs'!$Y$6:$Y$505,$M199)&amp;"")</f>
        <v/>
      </c>
      <c r="M199" t="str">
        <f>IFERROR(MATCH(SMALL('MTRs'!$AU$6:$AU$505,189),'MTRs'!$AU$6:$AU$505,0),"")</f>
        <v/>
      </c>
    </row>
    <row r="200" ht="30" customHeight="1">
      <c r="B200" s="108" t="str">
        <f>IF($M200="","",INDEX('MTRs'!$A$6:$A$505,$M200)&amp;"")</f>
        <v/>
      </c>
      <c r="C200" s="109" t="str">
        <f>IF($M200="","",INDEX('MTRs'!$B$6:$B$505,$M200)&amp;"")</f>
        <v/>
      </c>
      <c r="D200" s="110" t="str">
        <f>IF($M200="","",INDEX('MTRs'!$G$6:$G$505,$M200)&amp;"")</f>
        <v/>
      </c>
      <c r="E200" s="110" t="str">
        <f>IF($M200="","",INDEX('MTRs'!$H$6:$H$505,$M200)&amp;"")</f>
        <v/>
      </c>
      <c r="F200" s="110" t="str">
        <f>IF($M200="","",INDEX('MTRs'!$I$6:$I$505,$M200)&amp;"")</f>
        <v/>
      </c>
      <c r="G200" s="110" t="str">
        <f>IF($M200="","",INDEX('MTRs'!$T$6:$T$505,$M200)&amp;"")</f>
        <v/>
      </c>
      <c r="H200" s="111" t="str">
        <f>IF($M200="","",INDEX('MTRs'!$AQ$6:$AQ$505,$M200))</f>
        <v/>
      </c>
      <c r="I200" s="112" t="str">
        <f>IF($M200="","",INDEX('MTRs'!$U$6:$U$505,$M200))</f>
        <v/>
      </c>
      <c r="J200" s="113" t="str">
        <f>IF($M200="","",INDEX('MTRs'!$AS$6:$AS$505,$M200)&amp;"")</f>
        <v/>
      </c>
      <c r="K200" s="110" t="str">
        <f>IF($M200="","",INDEX('MTRs'!$AT$6:$AT$505,$M200)&amp;"")</f>
        <v/>
      </c>
      <c r="L200" s="110" t="str">
        <f>IF($M200="","",INDEX('MTRs'!$Y$6:$Y$505,$M200)&amp;"")</f>
        <v/>
      </c>
      <c r="M200" t="str">
        <f>IFERROR(MATCH(SMALL('MTRs'!$AU$6:$AU$505,190),'MTRs'!$AU$6:$AU$505,0),"")</f>
        <v/>
      </c>
    </row>
    <row r="201" ht="30" customHeight="1">
      <c r="B201" s="108" t="str">
        <f>IF($M201="","",INDEX('MTRs'!$A$6:$A$505,$M201)&amp;"")</f>
        <v/>
      </c>
      <c r="C201" s="109" t="str">
        <f>IF($M201="","",INDEX('MTRs'!$B$6:$B$505,$M201)&amp;"")</f>
        <v/>
      </c>
      <c r="D201" s="110" t="str">
        <f>IF($M201="","",INDEX('MTRs'!$G$6:$G$505,$M201)&amp;"")</f>
        <v/>
      </c>
      <c r="E201" s="110" t="str">
        <f>IF($M201="","",INDEX('MTRs'!$H$6:$H$505,$M201)&amp;"")</f>
        <v/>
      </c>
      <c r="F201" s="110" t="str">
        <f>IF($M201="","",INDEX('MTRs'!$I$6:$I$505,$M201)&amp;"")</f>
        <v/>
      </c>
      <c r="G201" s="110" t="str">
        <f>IF($M201="","",INDEX('MTRs'!$T$6:$T$505,$M201)&amp;"")</f>
        <v/>
      </c>
      <c r="H201" s="111" t="str">
        <f>IF($M201="","",INDEX('MTRs'!$AQ$6:$AQ$505,$M201))</f>
        <v/>
      </c>
      <c r="I201" s="112" t="str">
        <f>IF($M201="","",INDEX('MTRs'!$U$6:$U$505,$M201))</f>
        <v/>
      </c>
      <c r="J201" s="113" t="str">
        <f>IF($M201="","",INDEX('MTRs'!$AS$6:$AS$505,$M201)&amp;"")</f>
        <v/>
      </c>
      <c r="K201" s="110" t="str">
        <f>IF($M201="","",INDEX('MTRs'!$AT$6:$AT$505,$M201)&amp;"")</f>
        <v/>
      </c>
      <c r="L201" s="110" t="str">
        <f>IF($M201="","",INDEX('MTRs'!$Y$6:$Y$505,$M201)&amp;"")</f>
        <v/>
      </c>
      <c r="M201" t="str">
        <f>IFERROR(MATCH(SMALL('MTRs'!$AU$6:$AU$505,191),'MTRs'!$AU$6:$AU$505,0),"")</f>
        <v/>
      </c>
    </row>
    <row r="202" ht="30" customHeight="1">
      <c r="B202" s="108" t="str">
        <f>IF($M202="","",INDEX('MTRs'!$A$6:$A$505,$M202)&amp;"")</f>
        <v/>
      </c>
      <c r="C202" s="109" t="str">
        <f>IF($M202="","",INDEX('MTRs'!$B$6:$B$505,$M202)&amp;"")</f>
        <v/>
      </c>
      <c r="D202" s="110" t="str">
        <f>IF($M202="","",INDEX('MTRs'!$G$6:$G$505,$M202)&amp;"")</f>
        <v/>
      </c>
      <c r="E202" s="110" t="str">
        <f>IF($M202="","",INDEX('MTRs'!$H$6:$H$505,$M202)&amp;"")</f>
        <v/>
      </c>
      <c r="F202" s="110" t="str">
        <f>IF($M202="","",INDEX('MTRs'!$I$6:$I$505,$M202)&amp;"")</f>
        <v/>
      </c>
      <c r="G202" s="110" t="str">
        <f>IF($M202="","",INDEX('MTRs'!$T$6:$T$505,$M202)&amp;"")</f>
        <v/>
      </c>
      <c r="H202" s="111" t="str">
        <f>IF($M202="","",INDEX('MTRs'!$AQ$6:$AQ$505,$M202))</f>
        <v/>
      </c>
      <c r="I202" s="112" t="str">
        <f>IF($M202="","",INDEX('MTRs'!$U$6:$U$505,$M202))</f>
        <v/>
      </c>
      <c r="J202" s="113" t="str">
        <f>IF($M202="","",INDEX('MTRs'!$AS$6:$AS$505,$M202)&amp;"")</f>
        <v/>
      </c>
      <c r="K202" s="110" t="str">
        <f>IF($M202="","",INDEX('MTRs'!$AT$6:$AT$505,$M202)&amp;"")</f>
        <v/>
      </c>
      <c r="L202" s="110" t="str">
        <f>IF($M202="","",INDEX('MTRs'!$Y$6:$Y$505,$M202)&amp;"")</f>
        <v/>
      </c>
      <c r="M202" t="str">
        <f>IFERROR(MATCH(SMALL('MTRs'!$AU$6:$AU$505,192),'MTRs'!$AU$6:$AU$505,0),"")</f>
        <v/>
      </c>
    </row>
    <row r="203" ht="30" customHeight="1">
      <c r="B203" s="108" t="str">
        <f>IF($M203="","",INDEX('MTRs'!$A$6:$A$505,$M203)&amp;"")</f>
        <v/>
      </c>
      <c r="C203" s="109" t="str">
        <f>IF($M203="","",INDEX('MTRs'!$B$6:$B$505,$M203)&amp;"")</f>
        <v/>
      </c>
      <c r="D203" s="110" t="str">
        <f>IF($M203="","",INDEX('MTRs'!$G$6:$G$505,$M203)&amp;"")</f>
        <v/>
      </c>
      <c r="E203" s="110" t="str">
        <f>IF($M203="","",INDEX('MTRs'!$H$6:$H$505,$M203)&amp;"")</f>
        <v/>
      </c>
      <c r="F203" s="110" t="str">
        <f>IF($M203="","",INDEX('MTRs'!$I$6:$I$505,$M203)&amp;"")</f>
        <v/>
      </c>
      <c r="G203" s="110" t="str">
        <f>IF($M203="","",INDEX('MTRs'!$T$6:$T$505,$M203)&amp;"")</f>
        <v/>
      </c>
      <c r="H203" s="111" t="str">
        <f>IF($M203="","",INDEX('MTRs'!$AQ$6:$AQ$505,$M203))</f>
        <v/>
      </c>
      <c r="I203" s="112" t="str">
        <f>IF($M203="","",INDEX('MTRs'!$U$6:$U$505,$M203))</f>
        <v/>
      </c>
      <c r="J203" s="113" t="str">
        <f>IF($M203="","",INDEX('MTRs'!$AS$6:$AS$505,$M203)&amp;"")</f>
        <v/>
      </c>
      <c r="K203" s="110" t="str">
        <f>IF($M203="","",INDEX('MTRs'!$AT$6:$AT$505,$M203)&amp;"")</f>
        <v/>
      </c>
      <c r="L203" s="110" t="str">
        <f>IF($M203="","",INDEX('MTRs'!$Y$6:$Y$505,$M203)&amp;"")</f>
        <v/>
      </c>
      <c r="M203" t="str">
        <f>IFERROR(MATCH(SMALL('MTRs'!$AU$6:$AU$505,193),'MTRs'!$AU$6:$AU$505,0),"")</f>
        <v/>
      </c>
    </row>
    <row r="204" ht="30" customHeight="1">
      <c r="B204" s="108" t="str">
        <f>IF($M204="","",INDEX('MTRs'!$A$6:$A$505,$M204)&amp;"")</f>
        <v/>
      </c>
      <c r="C204" s="109" t="str">
        <f>IF($M204="","",INDEX('MTRs'!$B$6:$B$505,$M204)&amp;"")</f>
        <v/>
      </c>
      <c r="D204" s="110" t="str">
        <f>IF($M204="","",INDEX('MTRs'!$G$6:$G$505,$M204)&amp;"")</f>
        <v/>
      </c>
      <c r="E204" s="110" t="str">
        <f>IF($M204="","",INDEX('MTRs'!$H$6:$H$505,$M204)&amp;"")</f>
        <v/>
      </c>
      <c r="F204" s="110" t="str">
        <f>IF($M204="","",INDEX('MTRs'!$I$6:$I$505,$M204)&amp;"")</f>
        <v/>
      </c>
      <c r="G204" s="110" t="str">
        <f>IF($M204="","",INDEX('MTRs'!$T$6:$T$505,$M204)&amp;"")</f>
        <v/>
      </c>
      <c r="H204" s="111" t="str">
        <f>IF($M204="","",INDEX('MTRs'!$AQ$6:$AQ$505,$M204))</f>
        <v/>
      </c>
      <c r="I204" s="112" t="str">
        <f>IF($M204="","",INDEX('MTRs'!$U$6:$U$505,$M204))</f>
        <v/>
      </c>
      <c r="J204" s="113" t="str">
        <f>IF($M204="","",INDEX('MTRs'!$AS$6:$AS$505,$M204)&amp;"")</f>
        <v/>
      </c>
      <c r="K204" s="110" t="str">
        <f>IF($M204="","",INDEX('MTRs'!$AT$6:$AT$505,$M204)&amp;"")</f>
        <v/>
      </c>
      <c r="L204" s="110" t="str">
        <f>IF($M204="","",INDEX('MTRs'!$Y$6:$Y$505,$M204)&amp;"")</f>
        <v/>
      </c>
      <c r="M204" t="str">
        <f>IFERROR(MATCH(SMALL('MTRs'!$AU$6:$AU$505,194),'MTRs'!$AU$6:$AU$505,0),"")</f>
        <v/>
      </c>
    </row>
    <row r="205" ht="30" customHeight="1">
      <c r="B205" s="108" t="str">
        <f>IF($M205="","",INDEX('MTRs'!$A$6:$A$505,$M205)&amp;"")</f>
        <v/>
      </c>
      <c r="C205" s="109" t="str">
        <f>IF($M205="","",INDEX('MTRs'!$B$6:$B$505,$M205)&amp;"")</f>
        <v/>
      </c>
      <c r="D205" s="110" t="str">
        <f>IF($M205="","",INDEX('MTRs'!$G$6:$G$505,$M205)&amp;"")</f>
        <v/>
      </c>
      <c r="E205" s="110" t="str">
        <f>IF($M205="","",INDEX('MTRs'!$H$6:$H$505,$M205)&amp;"")</f>
        <v/>
      </c>
      <c r="F205" s="110" t="str">
        <f>IF($M205="","",INDEX('MTRs'!$I$6:$I$505,$M205)&amp;"")</f>
        <v/>
      </c>
      <c r="G205" s="110" t="str">
        <f>IF($M205="","",INDEX('MTRs'!$T$6:$T$505,$M205)&amp;"")</f>
        <v/>
      </c>
      <c r="H205" s="111" t="str">
        <f>IF($M205="","",INDEX('MTRs'!$AQ$6:$AQ$505,$M205))</f>
        <v/>
      </c>
      <c r="I205" s="112" t="str">
        <f>IF($M205="","",INDEX('MTRs'!$U$6:$U$505,$M205))</f>
        <v/>
      </c>
      <c r="J205" s="113" t="str">
        <f>IF($M205="","",INDEX('MTRs'!$AS$6:$AS$505,$M205)&amp;"")</f>
        <v/>
      </c>
      <c r="K205" s="110" t="str">
        <f>IF($M205="","",INDEX('MTRs'!$AT$6:$AT$505,$M205)&amp;"")</f>
        <v/>
      </c>
      <c r="L205" s="110" t="str">
        <f>IF($M205="","",INDEX('MTRs'!$Y$6:$Y$505,$M205)&amp;"")</f>
        <v/>
      </c>
      <c r="M205" t="str">
        <f>IFERROR(MATCH(SMALL('MTRs'!$AU$6:$AU$505,195),'MTRs'!$AU$6:$AU$505,0),"")</f>
        <v/>
      </c>
    </row>
    <row r="206" ht="30" customHeight="1">
      <c r="B206" s="108" t="str">
        <f>IF($M206="","",INDEX('MTRs'!$A$6:$A$505,$M206)&amp;"")</f>
        <v/>
      </c>
      <c r="C206" s="109" t="str">
        <f>IF($M206="","",INDEX('MTRs'!$B$6:$B$505,$M206)&amp;"")</f>
        <v/>
      </c>
      <c r="D206" s="110" t="str">
        <f>IF($M206="","",INDEX('MTRs'!$G$6:$G$505,$M206)&amp;"")</f>
        <v/>
      </c>
      <c r="E206" s="110" t="str">
        <f>IF($M206="","",INDEX('MTRs'!$H$6:$H$505,$M206)&amp;"")</f>
        <v/>
      </c>
      <c r="F206" s="110" t="str">
        <f>IF($M206="","",INDEX('MTRs'!$I$6:$I$505,$M206)&amp;"")</f>
        <v/>
      </c>
      <c r="G206" s="110" t="str">
        <f>IF($M206="","",INDEX('MTRs'!$T$6:$T$505,$M206)&amp;"")</f>
        <v/>
      </c>
      <c r="H206" s="111" t="str">
        <f>IF($M206="","",INDEX('MTRs'!$AQ$6:$AQ$505,$M206))</f>
        <v/>
      </c>
      <c r="I206" s="112" t="str">
        <f>IF($M206="","",INDEX('MTRs'!$U$6:$U$505,$M206))</f>
        <v/>
      </c>
      <c r="J206" s="113" t="str">
        <f>IF($M206="","",INDEX('MTRs'!$AS$6:$AS$505,$M206)&amp;"")</f>
        <v/>
      </c>
      <c r="K206" s="110" t="str">
        <f>IF($M206="","",INDEX('MTRs'!$AT$6:$AT$505,$M206)&amp;"")</f>
        <v/>
      </c>
      <c r="L206" s="110" t="str">
        <f>IF($M206="","",INDEX('MTRs'!$Y$6:$Y$505,$M206)&amp;"")</f>
        <v/>
      </c>
      <c r="M206" t="str">
        <f>IFERROR(MATCH(SMALL('MTRs'!$AU$6:$AU$505,196),'MTRs'!$AU$6:$AU$505,0),"")</f>
        <v/>
      </c>
    </row>
    <row r="207" ht="30" customHeight="1">
      <c r="B207" s="108" t="str">
        <f>IF($M207="","",INDEX('MTRs'!$A$6:$A$505,$M207)&amp;"")</f>
        <v/>
      </c>
      <c r="C207" s="109" t="str">
        <f>IF($M207="","",INDEX('MTRs'!$B$6:$B$505,$M207)&amp;"")</f>
        <v/>
      </c>
      <c r="D207" s="110" t="str">
        <f>IF($M207="","",INDEX('MTRs'!$G$6:$G$505,$M207)&amp;"")</f>
        <v/>
      </c>
      <c r="E207" s="110" t="str">
        <f>IF($M207="","",INDEX('MTRs'!$H$6:$H$505,$M207)&amp;"")</f>
        <v/>
      </c>
      <c r="F207" s="110" t="str">
        <f>IF($M207="","",INDEX('MTRs'!$I$6:$I$505,$M207)&amp;"")</f>
        <v/>
      </c>
      <c r="G207" s="110" t="str">
        <f>IF($M207="","",INDEX('MTRs'!$T$6:$T$505,$M207)&amp;"")</f>
        <v/>
      </c>
      <c r="H207" s="111" t="str">
        <f>IF($M207="","",INDEX('MTRs'!$AQ$6:$AQ$505,$M207))</f>
        <v/>
      </c>
      <c r="I207" s="112" t="str">
        <f>IF($M207="","",INDEX('MTRs'!$U$6:$U$505,$M207))</f>
        <v/>
      </c>
      <c r="J207" s="113" t="str">
        <f>IF($M207="","",INDEX('MTRs'!$AS$6:$AS$505,$M207)&amp;"")</f>
        <v/>
      </c>
      <c r="K207" s="110" t="str">
        <f>IF($M207="","",INDEX('MTRs'!$AT$6:$AT$505,$M207)&amp;"")</f>
        <v/>
      </c>
      <c r="L207" s="110" t="str">
        <f>IF($M207="","",INDEX('MTRs'!$Y$6:$Y$505,$M207)&amp;"")</f>
        <v/>
      </c>
      <c r="M207" t="str">
        <f>IFERROR(MATCH(SMALL('MTRs'!$AU$6:$AU$505,197),'MTRs'!$AU$6:$AU$505,0),"")</f>
        <v/>
      </c>
    </row>
    <row r="208" ht="30" customHeight="1">
      <c r="B208" s="108" t="str">
        <f>IF($M208="","",INDEX('MTRs'!$A$6:$A$505,$M208)&amp;"")</f>
        <v/>
      </c>
      <c r="C208" s="109" t="str">
        <f>IF($M208="","",INDEX('MTRs'!$B$6:$B$505,$M208)&amp;"")</f>
        <v/>
      </c>
      <c r="D208" s="110" t="str">
        <f>IF($M208="","",INDEX('MTRs'!$G$6:$G$505,$M208)&amp;"")</f>
        <v/>
      </c>
      <c r="E208" s="110" t="str">
        <f>IF($M208="","",INDEX('MTRs'!$H$6:$H$505,$M208)&amp;"")</f>
        <v/>
      </c>
      <c r="F208" s="110" t="str">
        <f>IF($M208="","",INDEX('MTRs'!$I$6:$I$505,$M208)&amp;"")</f>
        <v/>
      </c>
      <c r="G208" s="110" t="str">
        <f>IF($M208="","",INDEX('MTRs'!$T$6:$T$505,$M208)&amp;"")</f>
        <v/>
      </c>
      <c r="H208" s="111" t="str">
        <f>IF($M208="","",INDEX('MTRs'!$AQ$6:$AQ$505,$M208))</f>
        <v/>
      </c>
      <c r="I208" s="112" t="str">
        <f>IF($M208="","",INDEX('MTRs'!$U$6:$U$505,$M208))</f>
        <v/>
      </c>
      <c r="J208" s="113" t="str">
        <f>IF($M208="","",INDEX('MTRs'!$AS$6:$AS$505,$M208)&amp;"")</f>
        <v/>
      </c>
      <c r="K208" s="110" t="str">
        <f>IF($M208="","",INDEX('MTRs'!$AT$6:$AT$505,$M208)&amp;"")</f>
        <v/>
      </c>
      <c r="L208" s="110" t="str">
        <f>IF($M208="","",INDEX('MTRs'!$Y$6:$Y$505,$M208)&amp;"")</f>
        <v/>
      </c>
      <c r="M208" t="str">
        <f>IFERROR(MATCH(SMALL('MTRs'!$AU$6:$AU$505,198),'MTRs'!$AU$6:$AU$505,0),"")</f>
        <v/>
      </c>
    </row>
    <row r="209" ht="30" customHeight="1">
      <c r="B209" s="108" t="str">
        <f>IF($M209="","",INDEX('MTRs'!$A$6:$A$505,$M209)&amp;"")</f>
        <v/>
      </c>
      <c r="C209" s="109" t="str">
        <f>IF($M209="","",INDEX('MTRs'!$B$6:$B$505,$M209)&amp;"")</f>
        <v/>
      </c>
      <c r="D209" s="110" t="str">
        <f>IF($M209="","",INDEX('MTRs'!$G$6:$G$505,$M209)&amp;"")</f>
        <v/>
      </c>
      <c r="E209" s="110" t="str">
        <f>IF($M209="","",INDEX('MTRs'!$H$6:$H$505,$M209)&amp;"")</f>
        <v/>
      </c>
      <c r="F209" s="110" t="str">
        <f>IF($M209="","",INDEX('MTRs'!$I$6:$I$505,$M209)&amp;"")</f>
        <v/>
      </c>
      <c r="G209" s="110" t="str">
        <f>IF($M209="","",INDEX('MTRs'!$T$6:$T$505,$M209)&amp;"")</f>
        <v/>
      </c>
      <c r="H209" s="111" t="str">
        <f>IF($M209="","",INDEX('MTRs'!$AQ$6:$AQ$505,$M209))</f>
        <v/>
      </c>
      <c r="I209" s="112" t="str">
        <f>IF($M209="","",INDEX('MTRs'!$U$6:$U$505,$M209))</f>
        <v/>
      </c>
      <c r="J209" s="113" t="str">
        <f>IF($M209="","",INDEX('MTRs'!$AS$6:$AS$505,$M209)&amp;"")</f>
        <v/>
      </c>
      <c r="K209" s="110" t="str">
        <f>IF($M209="","",INDEX('MTRs'!$AT$6:$AT$505,$M209)&amp;"")</f>
        <v/>
      </c>
      <c r="L209" s="110" t="str">
        <f>IF($M209="","",INDEX('MTRs'!$Y$6:$Y$505,$M209)&amp;"")</f>
        <v/>
      </c>
      <c r="M209" t="str">
        <f>IFERROR(MATCH(SMALL('MTRs'!$AU$6:$AU$505,199),'MTRs'!$AU$6:$AU$505,0),"")</f>
        <v/>
      </c>
    </row>
    <row r="210" ht="30" customHeight="1">
      <c r="B210" s="108" t="str">
        <f>IF($M210="","",INDEX('MTRs'!$A$6:$A$505,$M210)&amp;"")</f>
        <v/>
      </c>
      <c r="C210" s="109" t="str">
        <f>IF($M210="","",INDEX('MTRs'!$B$6:$B$505,$M210)&amp;"")</f>
        <v/>
      </c>
      <c r="D210" s="110" t="str">
        <f>IF($M210="","",INDEX('MTRs'!$G$6:$G$505,$M210)&amp;"")</f>
        <v/>
      </c>
      <c r="E210" s="110" t="str">
        <f>IF($M210="","",INDEX('MTRs'!$H$6:$H$505,$M210)&amp;"")</f>
        <v/>
      </c>
      <c r="F210" s="110" t="str">
        <f>IF($M210="","",INDEX('MTRs'!$I$6:$I$505,$M210)&amp;"")</f>
        <v/>
      </c>
      <c r="G210" s="110" t="str">
        <f>IF($M210="","",INDEX('MTRs'!$T$6:$T$505,$M210)&amp;"")</f>
        <v/>
      </c>
      <c r="H210" s="111" t="str">
        <f>IF($M210="","",INDEX('MTRs'!$AQ$6:$AQ$505,$M210))</f>
        <v/>
      </c>
      <c r="I210" s="112" t="str">
        <f>IF($M210="","",INDEX('MTRs'!$U$6:$U$505,$M210))</f>
        <v/>
      </c>
      <c r="J210" s="113" t="str">
        <f>IF($M210="","",INDEX('MTRs'!$AS$6:$AS$505,$M210)&amp;"")</f>
        <v/>
      </c>
      <c r="K210" s="110" t="str">
        <f>IF($M210="","",INDEX('MTRs'!$AT$6:$AT$505,$M210)&amp;"")</f>
        <v/>
      </c>
      <c r="L210" s="110" t="str">
        <f>IF($M210="","",INDEX('MTRs'!$Y$6:$Y$505,$M210)&amp;"")</f>
        <v/>
      </c>
      <c r="M210" t="str">
        <f>IFERROR(MATCH(SMALL('MTRs'!$AU$6:$AU$505,200),'MTRs'!$AU$6:$AU$505,0),"")</f>
        <v/>
      </c>
    </row>
    <row r="211" ht="30" customHeight="1">
      <c r="B211" s="108" t="str">
        <f>IF($M211="","",INDEX('MTRs'!$A$6:$A$505,$M211)&amp;"")</f>
        <v/>
      </c>
      <c r="C211" s="109" t="str">
        <f>IF($M211="","",INDEX('MTRs'!$B$6:$B$505,$M211)&amp;"")</f>
        <v/>
      </c>
      <c r="D211" s="110" t="str">
        <f>IF($M211="","",INDEX('MTRs'!$G$6:$G$505,$M211)&amp;"")</f>
        <v/>
      </c>
      <c r="E211" s="110" t="str">
        <f>IF($M211="","",INDEX('MTRs'!$H$6:$H$505,$M211)&amp;"")</f>
        <v/>
      </c>
      <c r="F211" s="110" t="str">
        <f>IF($M211="","",INDEX('MTRs'!$I$6:$I$505,$M211)&amp;"")</f>
        <v/>
      </c>
      <c r="G211" s="110" t="str">
        <f>IF($M211="","",INDEX('MTRs'!$T$6:$T$505,$M211)&amp;"")</f>
        <v/>
      </c>
      <c r="H211" s="111" t="str">
        <f>IF($M211="","",INDEX('MTRs'!$AQ$6:$AQ$505,$M211))</f>
        <v/>
      </c>
      <c r="I211" s="112" t="str">
        <f>IF($M211="","",INDEX('MTRs'!$U$6:$U$505,$M211))</f>
        <v/>
      </c>
      <c r="J211" s="113" t="str">
        <f>IF($M211="","",INDEX('MTRs'!$AS$6:$AS$505,$M211)&amp;"")</f>
        <v/>
      </c>
      <c r="K211" s="110" t="str">
        <f>IF($M211="","",INDEX('MTRs'!$AT$6:$AT$505,$M211)&amp;"")</f>
        <v/>
      </c>
      <c r="L211" s="110" t="str">
        <f>IF($M211="","",INDEX('MTRs'!$Y$6:$Y$505,$M211)&amp;"")</f>
        <v/>
      </c>
      <c r="M211" t="str">
        <f>IFERROR(MATCH(SMALL('MTRs'!$AU$6:$AU$505,201),'MTRs'!$AU$6:$AU$505,0),"")</f>
        <v/>
      </c>
    </row>
    <row r="212" ht="30" customHeight="1">
      <c r="B212" s="108" t="str">
        <f>IF($M212="","",INDEX('MTRs'!$A$6:$A$505,$M212)&amp;"")</f>
        <v/>
      </c>
      <c r="C212" s="109" t="str">
        <f>IF($M212="","",INDEX('MTRs'!$B$6:$B$505,$M212)&amp;"")</f>
        <v/>
      </c>
      <c r="D212" s="110" t="str">
        <f>IF($M212="","",INDEX('MTRs'!$G$6:$G$505,$M212)&amp;"")</f>
        <v/>
      </c>
      <c r="E212" s="110" t="str">
        <f>IF($M212="","",INDEX('MTRs'!$H$6:$H$505,$M212)&amp;"")</f>
        <v/>
      </c>
      <c r="F212" s="110" t="str">
        <f>IF($M212="","",INDEX('MTRs'!$I$6:$I$505,$M212)&amp;"")</f>
        <v/>
      </c>
      <c r="G212" s="110" t="str">
        <f>IF($M212="","",INDEX('MTRs'!$T$6:$T$505,$M212)&amp;"")</f>
        <v/>
      </c>
      <c r="H212" s="111" t="str">
        <f>IF($M212="","",INDEX('MTRs'!$AQ$6:$AQ$505,$M212))</f>
        <v/>
      </c>
      <c r="I212" s="112" t="str">
        <f>IF($M212="","",INDEX('MTRs'!$U$6:$U$505,$M212))</f>
        <v/>
      </c>
      <c r="J212" s="113" t="str">
        <f>IF($M212="","",INDEX('MTRs'!$AS$6:$AS$505,$M212)&amp;"")</f>
        <v/>
      </c>
      <c r="K212" s="110" t="str">
        <f>IF($M212="","",INDEX('MTRs'!$AT$6:$AT$505,$M212)&amp;"")</f>
        <v/>
      </c>
      <c r="L212" s="110" t="str">
        <f>IF($M212="","",INDEX('MTRs'!$Y$6:$Y$505,$M212)&amp;"")</f>
        <v/>
      </c>
      <c r="M212" t="str">
        <f>IFERROR(MATCH(SMALL('MTRs'!$AU$6:$AU$505,202),'MTRs'!$AU$6:$AU$505,0),"")</f>
        <v/>
      </c>
    </row>
    <row r="213" ht="30" customHeight="1">
      <c r="B213" s="108" t="str">
        <f>IF($M213="","",INDEX('MTRs'!$A$6:$A$505,$M213)&amp;"")</f>
        <v/>
      </c>
      <c r="C213" s="109" t="str">
        <f>IF($M213="","",INDEX('MTRs'!$B$6:$B$505,$M213)&amp;"")</f>
        <v/>
      </c>
      <c r="D213" s="110" t="str">
        <f>IF($M213="","",INDEX('MTRs'!$G$6:$G$505,$M213)&amp;"")</f>
        <v/>
      </c>
      <c r="E213" s="110" t="str">
        <f>IF($M213="","",INDEX('MTRs'!$H$6:$H$505,$M213)&amp;"")</f>
        <v/>
      </c>
      <c r="F213" s="110" t="str">
        <f>IF($M213="","",INDEX('MTRs'!$I$6:$I$505,$M213)&amp;"")</f>
        <v/>
      </c>
      <c r="G213" s="110" t="str">
        <f>IF($M213="","",INDEX('MTRs'!$T$6:$T$505,$M213)&amp;"")</f>
        <v/>
      </c>
      <c r="H213" s="111" t="str">
        <f>IF($M213="","",INDEX('MTRs'!$AQ$6:$AQ$505,$M213))</f>
        <v/>
      </c>
      <c r="I213" s="112" t="str">
        <f>IF($M213="","",INDEX('MTRs'!$U$6:$U$505,$M213))</f>
        <v/>
      </c>
      <c r="J213" s="113" t="str">
        <f>IF($M213="","",INDEX('MTRs'!$AS$6:$AS$505,$M213)&amp;"")</f>
        <v/>
      </c>
      <c r="K213" s="110" t="str">
        <f>IF($M213="","",INDEX('MTRs'!$AT$6:$AT$505,$M213)&amp;"")</f>
        <v/>
      </c>
      <c r="L213" s="110" t="str">
        <f>IF($M213="","",INDEX('MTRs'!$Y$6:$Y$505,$M213)&amp;"")</f>
        <v/>
      </c>
      <c r="M213" t="str">
        <f>IFERROR(MATCH(SMALL('MTRs'!$AU$6:$AU$505,203),'MTRs'!$AU$6:$AU$505,0),"")</f>
        <v/>
      </c>
    </row>
    <row r="214" ht="30" customHeight="1">
      <c r="B214" s="108" t="str">
        <f>IF($M214="","",INDEX('MTRs'!$A$6:$A$505,$M214)&amp;"")</f>
        <v/>
      </c>
      <c r="C214" s="109" t="str">
        <f>IF($M214="","",INDEX('MTRs'!$B$6:$B$505,$M214)&amp;"")</f>
        <v/>
      </c>
      <c r="D214" s="110" t="str">
        <f>IF($M214="","",INDEX('MTRs'!$G$6:$G$505,$M214)&amp;"")</f>
        <v/>
      </c>
      <c r="E214" s="110" t="str">
        <f>IF($M214="","",INDEX('MTRs'!$H$6:$H$505,$M214)&amp;"")</f>
        <v/>
      </c>
      <c r="F214" s="110" t="str">
        <f>IF($M214="","",INDEX('MTRs'!$I$6:$I$505,$M214)&amp;"")</f>
        <v/>
      </c>
      <c r="G214" s="110" t="str">
        <f>IF($M214="","",INDEX('MTRs'!$T$6:$T$505,$M214)&amp;"")</f>
        <v/>
      </c>
      <c r="H214" s="111" t="str">
        <f>IF($M214="","",INDEX('MTRs'!$AQ$6:$AQ$505,$M214))</f>
        <v/>
      </c>
      <c r="I214" s="112" t="str">
        <f>IF($M214="","",INDEX('MTRs'!$U$6:$U$505,$M214))</f>
        <v/>
      </c>
      <c r="J214" s="113" t="str">
        <f>IF($M214="","",INDEX('MTRs'!$AS$6:$AS$505,$M214)&amp;"")</f>
        <v/>
      </c>
      <c r="K214" s="110" t="str">
        <f>IF($M214="","",INDEX('MTRs'!$AT$6:$AT$505,$M214)&amp;"")</f>
        <v/>
      </c>
      <c r="L214" s="110" t="str">
        <f>IF($M214="","",INDEX('MTRs'!$Y$6:$Y$505,$M214)&amp;"")</f>
        <v/>
      </c>
      <c r="M214" t="str">
        <f>IFERROR(MATCH(SMALL('MTRs'!$AU$6:$AU$505,204),'MTRs'!$AU$6:$AU$505,0),"")</f>
        <v/>
      </c>
    </row>
    <row r="215" ht="30" customHeight="1">
      <c r="B215" s="108" t="str">
        <f>IF($M215="","",INDEX('MTRs'!$A$6:$A$505,$M215)&amp;"")</f>
        <v/>
      </c>
      <c r="C215" s="109" t="str">
        <f>IF($M215="","",INDEX('MTRs'!$B$6:$B$505,$M215)&amp;"")</f>
        <v/>
      </c>
      <c r="D215" s="110" t="str">
        <f>IF($M215="","",INDEX('MTRs'!$G$6:$G$505,$M215)&amp;"")</f>
        <v/>
      </c>
      <c r="E215" s="110" t="str">
        <f>IF($M215="","",INDEX('MTRs'!$H$6:$H$505,$M215)&amp;"")</f>
        <v/>
      </c>
      <c r="F215" s="110" t="str">
        <f>IF($M215="","",INDEX('MTRs'!$I$6:$I$505,$M215)&amp;"")</f>
        <v/>
      </c>
      <c r="G215" s="110" t="str">
        <f>IF($M215="","",INDEX('MTRs'!$T$6:$T$505,$M215)&amp;"")</f>
        <v/>
      </c>
      <c r="H215" s="111" t="str">
        <f>IF($M215="","",INDEX('MTRs'!$AQ$6:$AQ$505,$M215))</f>
        <v/>
      </c>
      <c r="I215" s="112" t="str">
        <f>IF($M215="","",INDEX('MTRs'!$U$6:$U$505,$M215))</f>
        <v/>
      </c>
      <c r="J215" s="113" t="str">
        <f>IF($M215="","",INDEX('MTRs'!$AS$6:$AS$505,$M215)&amp;"")</f>
        <v/>
      </c>
      <c r="K215" s="110" t="str">
        <f>IF($M215="","",INDEX('MTRs'!$AT$6:$AT$505,$M215)&amp;"")</f>
        <v/>
      </c>
      <c r="L215" s="110" t="str">
        <f>IF($M215="","",INDEX('MTRs'!$Y$6:$Y$505,$M215)&amp;"")</f>
        <v/>
      </c>
      <c r="M215" t="str">
        <f>IFERROR(MATCH(SMALL('MTRs'!$AU$6:$AU$505,205),'MTRs'!$AU$6:$AU$505,0),"")</f>
        <v/>
      </c>
    </row>
    <row r="216" ht="30" customHeight="1">
      <c r="B216" s="108" t="str">
        <f>IF($M216="","",INDEX('MTRs'!$A$6:$A$505,$M216)&amp;"")</f>
        <v/>
      </c>
      <c r="C216" s="109" t="str">
        <f>IF($M216="","",INDEX('MTRs'!$B$6:$B$505,$M216)&amp;"")</f>
        <v/>
      </c>
      <c r="D216" s="110" t="str">
        <f>IF($M216="","",INDEX('MTRs'!$G$6:$G$505,$M216)&amp;"")</f>
        <v/>
      </c>
      <c r="E216" s="110" t="str">
        <f>IF($M216="","",INDEX('MTRs'!$H$6:$H$505,$M216)&amp;"")</f>
        <v/>
      </c>
      <c r="F216" s="110" t="str">
        <f>IF($M216="","",INDEX('MTRs'!$I$6:$I$505,$M216)&amp;"")</f>
        <v/>
      </c>
      <c r="G216" s="110" t="str">
        <f>IF($M216="","",INDEX('MTRs'!$T$6:$T$505,$M216)&amp;"")</f>
        <v/>
      </c>
      <c r="H216" s="111" t="str">
        <f>IF($M216="","",INDEX('MTRs'!$AQ$6:$AQ$505,$M216))</f>
        <v/>
      </c>
      <c r="I216" s="112" t="str">
        <f>IF($M216="","",INDEX('MTRs'!$U$6:$U$505,$M216))</f>
        <v/>
      </c>
      <c r="J216" s="113" t="str">
        <f>IF($M216="","",INDEX('MTRs'!$AS$6:$AS$505,$M216)&amp;"")</f>
        <v/>
      </c>
      <c r="K216" s="110" t="str">
        <f>IF($M216="","",INDEX('MTRs'!$AT$6:$AT$505,$M216)&amp;"")</f>
        <v/>
      </c>
      <c r="L216" s="110" t="str">
        <f>IF($M216="","",INDEX('MTRs'!$Y$6:$Y$505,$M216)&amp;"")</f>
        <v/>
      </c>
      <c r="M216" t="str">
        <f>IFERROR(MATCH(SMALL('MTRs'!$AU$6:$AU$505,206),'MTRs'!$AU$6:$AU$505,0),"")</f>
        <v/>
      </c>
    </row>
    <row r="217" ht="30" customHeight="1">
      <c r="B217" s="108" t="str">
        <f>IF($M217="","",INDEX('MTRs'!$A$6:$A$505,$M217)&amp;"")</f>
        <v/>
      </c>
      <c r="C217" s="109" t="str">
        <f>IF($M217="","",INDEX('MTRs'!$B$6:$B$505,$M217)&amp;"")</f>
        <v/>
      </c>
      <c r="D217" s="110" t="str">
        <f>IF($M217="","",INDEX('MTRs'!$G$6:$G$505,$M217)&amp;"")</f>
        <v/>
      </c>
      <c r="E217" s="110" t="str">
        <f>IF($M217="","",INDEX('MTRs'!$H$6:$H$505,$M217)&amp;"")</f>
        <v/>
      </c>
      <c r="F217" s="110" t="str">
        <f>IF($M217="","",INDEX('MTRs'!$I$6:$I$505,$M217)&amp;"")</f>
        <v/>
      </c>
      <c r="G217" s="110" t="str">
        <f>IF($M217="","",INDEX('MTRs'!$T$6:$T$505,$M217)&amp;"")</f>
        <v/>
      </c>
      <c r="H217" s="111" t="str">
        <f>IF($M217="","",INDEX('MTRs'!$AQ$6:$AQ$505,$M217))</f>
        <v/>
      </c>
      <c r="I217" s="112" t="str">
        <f>IF($M217="","",INDEX('MTRs'!$U$6:$U$505,$M217))</f>
        <v/>
      </c>
      <c r="J217" s="113" t="str">
        <f>IF($M217="","",INDEX('MTRs'!$AS$6:$AS$505,$M217)&amp;"")</f>
        <v/>
      </c>
      <c r="K217" s="110" t="str">
        <f>IF($M217="","",INDEX('MTRs'!$AT$6:$AT$505,$M217)&amp;"")</f>
        <v/>
      </c>
      <c r="L217" s="110" t="str">
        <f>IF($M217="","",INDEX('MTRs'!$Y$6:$Y$505,$M217)&amp;"")</f>
        <v/>
      </c>
      <c r="M217" t="str">
        <f>IFERROR(MATCH(SMALL('MTRs'!$AU$6:$AU$505,207),'MTRs'!$AU$6:$AU$505,0),"")</f>
        <v/>
      </c>
    </row>
    <row r="218" ht="30" customHeight="1">
      <c r="B218" s="108" t="str">
        <f>IF($M218="","",INDEX('MTRs'!$A$6:$A$505,$M218)&amp;"")</f>
        <v/>
      </c>
      <c r="C218" s="109" t="str">
        <f>IF($M218="","",INDEX('MTRs'!$B$6:$B$505,$M218)&amp;"")</f>
        <v/>
      </c>
      <c r="D218" s="110" t="str">
        <f>IF($M218="","",INDEX('MTRs'!$G$6:$G$505,$M218)&amp;"")</f>
        <v/>
      </c>
      <c r="E218" s="110" t="str">
        <f>IF($M218="","",INDEX('MTRs'!$H$6:$H$505,$M218)&amp;"")</f>
        <v/>
      </c>
      <c r="F218" s="110" t="str">
        <f>IF($M218="","",INDEX('MTRs'!$I$6:$I$505,$M218)&amp;"")</f>
        <v/>
      </c>
      <c r="G218" s="110" t="str">
        <f>IF($M218="","",INDEX('MTRs'!$T$6:$T$505,$M218)&amp;"")</f>
        <v/>
      </c>
      <c r="H218" s="111" t="str">
        <f>IF($M218="","",INDEX('MTRs'!$AQ$6:$AQ$505,$M218))</f>
        <v/>
      </c>
      <c r="I218" s="112" t="str">
        <f>IF($M218="","",INDEX('MTRs'!$U$6:$U$505,$M218))</f>
        <v/>
      </c>
      <c r="J218" s="113" t="str">
        <f>IF($M218="","",INDEX('MTRs'!$AS$6:$AS$505,$M218)&amp;"")</f>
        <v/>
      </c>
      <c r="K218" s="110" t="str">
        <f>IF($M218="","",INDEX('MTRs'!$AT$6:$AT$505,$M218)&amp;"")</f>
        <v/>
      </c>
      <c r="L218" s="110" t="str">
        <f>IF($M218="","",INDEX('MTRs'!$Y$6:$Y$505,$M218)&amp;"")</f>
        <v/>
      </c>
      <c r="M218" t="str">
        <f>IFERROR(MATCH(SMALL('MTRs'!$AU$6:$AU$505,208),'MTRs'!$AU$6:$AU$505,0),"")</f>
        <v/>
      </c>
    </row>
    <row r="219" ht="30" customHeight="1">
      <c r="B219" s="108" t="str">
        <f>IF($M219="","",INDEX('MTRs'!$A$6:$A$505,$M219)&amp;"")</f>
        <v/>
      </c>
      <c r="C219" s="109" t="str">
        <f>IF($M219="","",INDEX('MTRs'!$B$6:$B$505,$M219)&amp;"")</f>
        <v/>
      </c>
      <c r="D219" s="110" t="str">
        <f>IF($M219="","",INDEX('MTRs'!$G$6:$G$505,$M219)&amp;"")</f>
        <v/>
      </c>
      <c r="E219" s="110" t="str">
        <f>IF($M219="","",INDEX('MTRs'!$H$6:$H$505,$M219)&amp;"")</f>
        <v/>
      </c>
      <c r="F219" s="110" t="str">
        <f>IF($M219="","",INDEX('MTRs'!$I$6:$I$505,$M219)&amp;"")</f>
        <v/>
      </c>
      <c r="G219" s="110" t="str">
        <f>IF($M219="","",INDEX('MTRs'!$T$6:$T$505,$M219)&amp;"")</f>
        <v/>
      </c>
      <c r="H219" s="111" t="str">
        <f>IF($M219="","",INDEX('MTRs'!$AQ$6:$AQ$505,$M219))</f>
        <v/>
      </c>
      <c r="I219" s="112" t="str">
        <f>IF($M219="","",INDEX('MTRs'!$U$6:$U$505,$M219))</f>
        <v/>
      </c>
      <c r="J219" s="113" t="str">
        <f>IF($M219="","",INDEX('MTRs'!$AS$6:$AS$505,$M219)&amp;"")</f>
        <v/>
      </c>
      <c r="K219" s="110" t="str">
        <f>IF($M219="","",INDEX('MTRs'!$AT$6:$AT$505,$M219)&amp;"")</f>
        <v/>
      </c>
      <c r="L219" s="110" t="str">
        <f>IF($M219="","",INDEX('MTRs'!$Y$6:$Y$505,$M219)&amp;"")</f>
        <v/>
      </c>
      <c r="M219" t="str">
        <f>IFERROR(MATCH(SMALL('MTRs'!$AU$6:$AU$505,209),'MTRs'!$AU$6:$AU$505,0),"")</f>
        <v/>
      </c>
    </row>
    <row r="220" ht="30" customHeight="1">
      <c r="B220" s="108" t="str">
        <f>IF($M220="","",INDEX('MTRs'!$A$6:$A$505,$M220)&amp;"")</f>
        <v/>
      </c>
      <c r="C220" s="109" t="str">
        <f>IF($M220="","",INDEX('MTRs'!$B$6:$B$505,$M220)&amp;"")</f>
        <v/>
      </c>
      <c r="D220" s="110" t="str">
        <f>IF($M220="","",INDEX('MTRs'!$G$6:$G$505,$M220)&amp;"")</f>
        <v/>
      </c>
      <c r="E220" s="110" t="str">
        <f>IF($M220="","",INDEX('MTRs'!$H$6:$H$505,$M220)&amp;"")</f>
        <v/>
      </c>
      <c r="F220" s="110" t="str">
        <f>IF($M220="","",INDEX('MTRs'!$I$6:$I$505,$M220)&amp;"")</f>
        <v/>
      </c>
      <c r="G220" s="110" t="str">
        <f>IF($M220="","",INDEX('MTRs'!$T$6:$T$505,$M220)&amp;"")</f>
        <v/>
      </c>
      <c r="H220" s="111" t="str">
        <f>IF($M220="","",INDEX('MTRs'!$AQ$6:$AQ$505,$M220))</f>
        <v/>
      </c>
      <c r="I220" s="112" t="str">
        <f>IF($M220="","",INDEX('MTRs'!$U$6:$U$505,$M220))</f>
        <v/>
      </c>
      <c r="J220" s="113" t="str">
        <f>IF($M220="","",INDEX('MTRs'!$AS$6:$AS$505,$M220)&amp;"")</f>
        <v/>
      </c>
      <c r="K220" s="110" t="str">
        <f>IF($M220="","",INDEX('MTRs'!$AT$6:$AT$505,$M220)&amp;"")</f>
        <v/>
      </c>
      <c r="L220" s="110" t="str">
        <f>IF($M220="","",INDEX('MTRs'!$Y$6:$Y$505,$M220)&amp;"")</f>
        <v/>
      </c>
      <c r="M220" t="str">
        <f>IFERROR(MATCH(SMALL('MTRs'!$AU$6:$AU$505,210),'MTRs'!$AU$6:$AU$505,0),"")</f>
        <v/>
      </c>
    </row>
    <row r="221" ht="30" customHeight="1">
      <c r="B221" s="108" t="str">
        <f>IF($M221="","",INDEX('MTRs'!$A$6:$A$505,$M221)&amp;"")</f>
        <v/>
      </c>
      <c r="C221" s="109" t="str">
        <f>IF($M221="","",INDEX('MTRs'!$B$6:$B$505,$M221)&amp;"")</f>
        <v/>
      </c>
      <c r="D221" s="110" t="str">
        <f>IF($M221="","",INDEX('MTRs'!$G$6:$G$505,$M221)&amp;"")</f>
        <v/>
      </c>
      <c r="E221" s="110" t="str">
        <f>IF($M221="","",INDEX('MTRs'!$H$6:$H$505,$M221)&amp;"")</f>
        <v/>
      </c>
      <c r="F221" s="110" t="str">
        <f>IF($M221="","",INDEX('MTRs'!$I$6:$I$505,$M221)&amp;"")</f>
        <v/>
      </c>
      <c r="G221" s="110" t="str">
        <f>IF($M221="","",INDEX('MTRs'!$T$6:$T$505,$M221)&amp;"")</f>
        <v/>
      </c>
      <c r="H221" s="111" t="str">
        <f>IF($M221="","",INDEX('MTRs'!$AQ$6:$AQ$505,$M221))</f>
        <v/>
      </c>
      <c r="I221" s="112" t="str">
        <f>IF($M221="","",INDEX('MTRs'!$U$6:$U$505,$M221))</f>
        <v/>
      </c>
      <c r="J221" s="113" t="str">
        <f>IF($M221="","",INDEX('MTRs'!$AS$6:$AS$505,$M221)&amp;"")</f>
        <v/>
      </c>
      <c r="K221" s="110" t="str">
        <f>IF($M221="","",INDEX('MTRs'!$AT$6:$AT$505,$M221)&amp;"")</f>
        <v/>
      </c>
      <c r="L221" s="110" t="str">
        <f>IF($M221="","",INDEX('MTRs'!$Y$6:$Y$505,$M221)&amp;"")</f>
        <v/>
      </c>
      <c r="M221" t="str">
        <f>IFERROR(MATCH(SMALL('MTRs'!$AU$6:$AU$505,211),'MTRs'!$AU$6:$AU$505,0),"")</f>
        <v/>
      </c>
    </row>
    <row r="222" ht="30" customHeight="1">
      <c r="B222" s="108" t="str">
        <f>IF($M222="","",INDEX('MTRs'!$A$6:$A$505,$M222)&amp;"")</f>
        <v/>
      </c>
      <c r="C222" s="109" t="str">
        <f>IF($M222="","",INDEX('MTRs'!$B$6:$B$505,$M222)&amp;"")</f>
        <v/>
      </c>
      <c r="D222" s="110" t="str">
        <f>IF($M222="","",INDEX('MTRs'!$G$6:$G$505,$M222)&amp;"")</f>
        <v/>
      </c>
      <c r="E222" s="110" t="str">
        <f>IF($M222="","",INDEX('MTRs'!$H$6:$H$505,$M222)&amp;"")</f>
        <v/>
      </c>
      <c r="F222" s="110" t="str">
        <f>IF($M222="","",INDEX('MTRs'!$I$6:$I$505,$M222)&amp;"")</f>
        <v/>
      </c>
      <c r="G222" s="110" t="str">
        <f>IF($M222="","",INDEX('MTRs'!$T$6:$T$505,$M222)&amp;"")</f>
        <v/>
      </c>
      <c r="H222" s="111" t="str">
        <f>IF($M222="","",INDEX('MTRs'!$AQ$6:$AQ$505,$M222))</f>
        <v/>
      </c>
      <c r="I222" s="112" t="str">
        <f>IF($M222="","",INDEX('MTRs'!$U$6:$U$505,$M222))</f>
        <v/>
      </c>
      <c r="J222" s="113" t="str">
        <f>IF($M222="","",INDEX('MTRs'!$AS$6:$AS$505,$M222)&amp;"")</f>
        <v/>
      </c>
      <c r="K222" s="110" t="str">
        <f>IF($M222="","",INDEX('MTRs'!$AT$6:$AT$505,$M222)&amp;"")</f>
        <v/>
      </c>
      <c r="L222" s="110" t="str">
        <f>IF($M222="","",INDEX('MTRs'!$Y$6:$Y$505,$M222)&amp;"")</f>
        <v/>
      </c>
      <c r="M222" t="str">
        <f>IFERROR(MATCH(SMALL('MTRs'!$AU$6:$AU$505,212),'MTRs'!$AU$6:$AU$505,0),"")</f>
        <v/>
      </c>
    </row>
    <row r="223" ht="30" customHeight="1">
      <c r="B223" s="108" t="str">
        <f>IF($M223="","",INDEX('MTRs'!$A$6:$A$505,$M223)&amp;"")</f>
        <v/>
      </c>
      <c r="C223" s="109" t="str">
        <f>IF($M223="","",INDEX('MTRs'!$B$6:$B$505,$M223)&amp;"")</f>
        <v/>
      </c>
      <c r="D223" s="110" t="str">
        <f>IF($M223="","",INDEX('MTRs'!$G$6:$G$505,$M223)&amp;"")</f>
        <v/>
      </c>
      <c r="E223" s="110" t="str">
        <f>IF($M223="","",INDEX('MTRs'!$H$6:$H$505,$M223)&amp;"")</f>
        <v/>
      </c>
      <c r="F223" s="110" t="str">
        <f>IF($M223="","",INDEX('MTRs'!$I$6:$I$505,$M223)&amp;"")</f>
        <v/>
      </c>
      <c r="G223" s="110" t="str">
        <f>IF($M223="","",INDEX('MTRs'!$T$6:$T$505,$M223)&amp;"")</f>
        <v/>
      </c>
      <c r="H223" s="111" t="str">
        <f>IF($M223="","",INDEX('MTRs'!$AQ$6:$AQ$505,$M223))</f>
        <v/>
      </c>
      <c r="I223" s="112" t="str">
        <f>IF($M223="","",INDEX('MTRs'!$U$6:$U$505,$M223))</f>
        <v/>
      </c>
      <c r="J223" s="113" t="str">
        <f>IF($M223="","",INDEX('MTRs'!$AS$6:$AS$505,$M223)&amp;"")</f>
        <v/>
      </c>
      <c r="K223" s="110" t="str">
        <f>IF($M223="","",INDEX('MTRs'!$AT$6:$AT$505,$M223)&amp;"")</f>
        <v/>
      </c>
      <c r="L223" s="110" t="str">
        <f>IF($M223="","",INDEX('MTRs'!$Y$6:$Y$505,$M223)&amp;"")</f>
        <v/>
      </c>
      <c r="M223" t="str">
        <f>IFERROR(MATCH(SMALL('MTRs'!$AU$6:$AU$505,213),'MTRs'!$AU$6:$AU$505,0),"")</f>
        <v/>
      </c>
    </row>
    <row r="224" ht="30" customHeight="1">
      <c r="B224" s="108" t="str">
        <f>IF($M224="","",INDEX('MTRs'!$A$6:$A$505,$M224)&amp;"")</f>
        <v/>
      </c>
      <c r="C224" s="109" t="str">
        <f>IF($M224="","",INDEX('MTRs'!$B$6:$B$505,$M224)&amp;"")</f>
        <v/>
      </c>
      <c r="D224" s="110" t="str">
        <f>IF($M224="","",INDEX('MTRs'!$G$6:$G$505,$M224)&amp;"")</f>
        <v/>
      </c>
      <c r="E224" s="110" t="str">
        <f>IF($M224="","",INDEX('MTRs'!$H$6:$H$505,$M224)&amp;"")</f>
        <v/>
      </c>
      <c r="F224" s="110" t="str">
        <f>IF($M224="","",INDEX('MTRs'!$I$6:$I$505,$M224)&amp;"")</f>
        <v/>
      </c>
      <c r="G224" s="110" t="str">
        <f>IF($M224="","",INDEX('MTRs'!$T$6:$T$505,$M224)&amp;"")</f>
        <v/>
      </c>
      <c r="H224" s="111" t="str">
        <f>IF($M224="","",INDEX('MTRs'!$AQ$6:$AQ$505,$M224))</f>
        <v/>
      </c>
      <c r="I224" s="112" t="str">
        <f>IF($M224="","",INDEX('MTRs'!$U$6:$U$505,$M224))</f>
        <v/>
      </c>
      <c r="J224" s="113" t="str">
        <f>IF($M224="","",INDEX('MTRs'!$AS$6:$AS$505,$M224)&amp;"")</f>
        <v/>
      </c>
      <c r="K224" s="110" t="str">
        <f>IF($M224="","",INDEX('MTRs'!$AT$6:$AT$505,$M224)&amp;"")</f>
        <v/>
      </c>
      <c r="L224" s="110" t="str">
        <f>IF($M224="","",INDEX('MTRs'!$Y$6:$Y$505,$M224)&amp;"")</f>
        <v/>
      </c>
      <c r="M224" t="str">
        <f>IFERROR(MATCH(SMALL('MTRs'!$AU$6:$AU$505,214),'MTRs'!$AU$6:$AU$505,0),"")</f>
        <v/>
      </c>
    </row>
    <row r="225" ht="30" customHeight="1">
      <c r="B225" s="108" t="str">
        <f>IF($M225="","",INDEX('MTRs'!$A$6:$A$505,$M225)&amp;"")</f>
        <v/>
      </c>
      <c r="C225" s="109" t="str">
        <f>IF($M225="","",INDEX('MTRs'!$B$6:$B$505,$M225)&amp;"")</f>
        <v/>
      </c>
      <c r="D225" s="110" t="str">
        <f>IF($M225="","",INDEX('MTRs'!$G$6:$G$505,$M225)&amp;"")</f>
        <v/>
      </c>
      <c r="E225" s="110" t="str">
        <f>IF($M225="","",INDEX('MTRs'!$H$6:$H$505,$M225)&amp;"")</f>
        <v/>
      </c>
      <c r="F225" s="110" t="str">
        <f>IF($M225="","",INDEX('MTRs'!$I$6:$I$505,$M225)&amp;"")</f>
        <v/>
      </c>
      <c r="G225" s="110" t="str">
        <f>IF($M225="","",INDEX('MTRs'!$T$6:$T$505,$M225)&amp;"")</f>
        <v/>
      </c>
      <c r="H225" s="111" t="str">
        <f>IF($M225="","",INDEX('MTRs'!$AQ$6:$AQ$505,$M225))</f>
        <v/>
      </c>
      <c r="I225" s="112" t="str">
        <f>IF($M225="","",INDEX('MTRs'!$U$6:$U$505,$M225))</f>
        <v/>
      </c>
      <c r="J225" s="113" t="str">
        <f>IF($M225="","",INDEX('MTRs'!$AS$6:$AS$505,$M225)&amp;"")</f>
        <v/>
      </c>
      <c r="K225" s="110" t="str">
        <f>IF($M225="","",INDEX('MTRs'!$AT$6:$AT$505,$M225)&amp;"")</f>
        <v/>
      </c>
      <c r="L225" s="110" t="str">
        <f>IF($M225="","",INDEX('MTRs'!$Y$6:$Y$505,$M225)&amp;"")</f>
        <v/>
      </c>
      <c r="M225" t="str">
        <f>IFERROR(MATCH(SMALL('MTRs'!$AU$6:$AU$505,215),'MTRs'!$AU$6:$AU$505,0),"")</f>
        <v/>
      </c>
    </row>
    <row r="226" ht="30" customHeight="1">
      <c r="B226" s="108" t="str">
        <f>IF($M226="","",INDEX('MTRs'!$A$6:$A$505,$M226)&amp;"")</f>
        <v/>
      </c>
      <c r="C226" s="109" t="str">
        <f>IF($M226="","",INDEX('MTRs'!$B$6:$B$505,$M226)&amp;"")</f>
        <v/>
      </c>
      <c r="D226" s="110" t="str">
        <f>IF($M226="","",INDEX('MTRs'!$G$6:$G$505,$M226)&amp;"")</f>
        <v/>
      </c>
      <c r="E226" s="110" t="str">
        <f>IF($M226="","",INDEX('MTRs'!$H$6:$H$505,$M226)&amp;"")</f>
        <v/>
      </c>
      <c r="F226" s="110" t="str">
        <f>IF($M226="","",INDEX('MTRs'!$I$6:$I$505,$M226)&amp;"")</f>
        <v/>
      </c>
      <c r="G226" s="110" t="str">
        <f>IF($M226="","",INDEX('MTRs'!$T$6:$T$505,$M226)&amp;"")</f>
        <v/>
      </c>
      <c r="H226" s="111" t="str">
        <f>IF($M226="","",INDEX('MTRs'!$AQ$6:$AQ$505,$M226))</f>
        <v/>
      </c>
      <c r="I226" s="112" t="str">
        <f>IF($M226="","",INDEX('MTRs'!$U$6:$U$505,$M226))</f>
        <v/>
      </c>
      <c r="J226" s="113" t="str">
        <f>IF($M226="","",INDEX('MTRs'!$AS$6:$AS$505,$M226)&amp;"")</f>
        <v/>
      </c>
      <c r="K226" s="110" t="str">
        <f>IF($M226="","",INDEX('MTRs'!$AT$6:$AT$505,$M226)&amp;"")</f>
        <v/>
      </c>
      <c r="L226" s="110" t="str">
        <f>IF($M226="","",INDEX('MTRs'!$Y$6:$Y$505,$M226)&amp;"")</f>
        <v/>
      </c>
      <c r="M226" t="str">
        <f>IFERROR(MATCH(SMALL('MTRs'!$AU$6:$AU$505,216),'MTRs'!$AU$6:$AU$505,0),"")</f>
        <v/>
      </c>
    </row>
    <row r="227" ht="30" customHeight="1">
      <c r="B227" s="108" t="str">
        <f>IF($M227="","",INDEX('MTRs'!$A$6:$A$505,$M227)&amp;"")</f>
        <v/>
      </c>
      <c r="C227" s="109" t="str">
        <f>IF($M227="","",INDEX('MTRs'!$B$6:$B$505,$M227)&amp;"")</f>
        <v/>
      </c>
      <c r="D227" s="110" t="str">
        <f>IF($M227="","",INDEX('MTRs'!$G$6:$G$505,$M227)&amp;"")</f>
        <v/>
      </c>
      <c r="E227" s="110" t="str">
        <f>IF($M227="","",INDEX('MTRs'!$H$6:$H$505,$M227)&amp;"")</f>
        <v/>
      </c>
      <c r="F227" s="110" t="str">
        <f>IF($M227="","",INDEX('MTRs'!$I$6:$I$505,$M227)&amp;"")</f>
        <v/>
      </c>
      <c r="G227" s="110" t="str">
        <f>IF($M227="","",INDEX('MTRs'!$T$6:$T$505,$M227)&amp;"")</f>
        <v/>
      </c>
      <c r="H227" s="111" t="str">
        <f>IF($M227="","",INDEX('MTRs'!$AQ$6:$AQ$505,$M227))</f>
        <v/>
      </c>
      <c r="I227" s="112" t="str">
        <f>IF($M227="","",INDEX('MTRs'!$U$6:$U$505,$M227))</f>
        <v/>
      </c>
      <c r="J227" s="113" t="str">
        <f>IF($M227="","",INDEX('MTRs'!$AS$6:$AS$505,$M227)&amp;"")</f>
        <v/>
      </c>
      <c r="K227" s="110" t="str">
        <f>IF($M227="","",INDEX('MTRs'!$AT$6:$AT$505,$M227)&amp;"")</f>
        <v/>
      </c>
      <c r="L227" s="110" t="str">
        <f>IF($M227="","",INDEX('MTRs'!$Y$6:$Y$505,$M227)&amp;"")</f>
        <v/>
      </c>
      <c r="M227" t="str">
        <f>IFERROR(MATCH(SMALL('MTRs'!$AU$6:$AU$505,217),'MTRs'!$AU$6:$AU$505,0),"")</f>
        <v/>
      </c>
    </row>
    <row r="228" ht="30" customHeight="1">
      <c r="B228" s="108" t="str">
        <f>IF($M228="","",INDEX('MTRs'!$A$6:$A$505,$M228)&amp;"")</f>
        <v/>
      </c>
      <c r="C228" s="109" t="str">
        <f>IF($M228="","",INDEX('MTRs'!$B$6:$B$505,$M228)&amp;"")</f>
        <v/>
      </c>
      <c r="D228" s="110" t="str">
        <f>IF($M228="","",INDEX('MTRs'!$G$6:$G$505,$M228)&amp;"")</f>
        <v/>
      </c>
      <c r="E228" s="110" t="str">
        <f>IF($M228="","",INDEX('MTRs'!$H$6:$H$505,$M228)&amp;"")</f>
        <v/>
      </c>
      <c r="F228" s="110" t="str">
        <f>IF($M228="","",INDEX('MTRs'!$I$6:$I$505,$M228)&amp;"")</f>
        <v/>
      </c>
      <c r="G228" s="110" t="str">
        <f>IF($M228="","",INDEX('MTRs'!$T$6:$T$505,$M228)&amp;"")</f>
        <v/>
      </c>
      <c r="H228" s="111" t="str">
        <f>IF($M228="","",INDEX('MTRs'!$AQ$6:$AQ$505,$M228))</f>
        <v/>
      </c>
      <c r="I228" s="112" t="str">
        <f>IF($M228="","",INDEX('MTRs'!$U$6:$U$505,$M228))</f>
        <v/>
      </c>
      <c r="J228" s="113" t="str">
        <f>IF($M228="","",INDEX('MTRs'!$AS$6:$AS$505,$M228)&amp;"")</f>
        <v/>
      </c>
      <c r="K228" s="110" t="str">
        <f>IF($M228="","",INDEX('MTRs'!$AT$6:$AT$505,$M228)&amp;"")</f>
        <v/>
      </c>
      <c r="L228" s="110" t="str">
        <f>IF($M228="","",INDEX('MTRs'!$Y$6:$Y$505,$M228)&amp;"")</f>
        <v/>
      </c>
      <c r="M228" t="str">
        <f>IFERROR(MATCH(SMALL('MTRs'!$AU$6:$AU$505,218),'MTRs'!$AU$6:$AU$505,0),"")</f>
        <v/>
      </c>
    </row>
    <row r="229" ht="30" customHeight="1">
      <c r="B229" s="108" t="str">
        <f>IF($M229="","",INDEX('MTRs'!$A$6:$A$505,$M229)&amp;"")</f>
        <v/>
      </c>
      <c r="C229" s="109" t="str">
        <f>IF($M229="","",INDEX('MTRs'!$B$6:$B$505,$M229)&amp;"")</f>
        <v/>
      </c>
      <c r="D229" s="110" t="str">
        <f>IF($M229="","",INDEX('MTRs'!$G$6:$G$505,$M229)&amp;"")</f>
        <v/>
      </c>
      <c r="E229" s="110" t="str">
        <f>IF($M229="","",INDEX('MTRs'!$H$6:$H$505,$M229)&amp;"")</f>
        <v/>
      </c>
      <c r="F229" s="110" t="str">
        <f>IF($M229="","",INDEX('MTRs'!$I$6:$I$505,$M229)&amp;"")</f>
        <v/>
      </c>
      <c r="G229" s="110" t="str">
        <f>IF($M229="","",INDEX('MTRs'!$T$6:$T$505,$M229)&amp;"")</f>
        <v/>
      </c>
      <c r="H229" s="111" t="str">
        <f>IF($M229="","",INDEX('MTRs'!$AQ$6:$AQ$505,$M229))</f>
        <v/>
      </c>
      <c r="I229" s="112" t="str">
        <f>IF($M229="","",INDEX('MTRs'!$U$6:$U$505,$M229))</f>
        <v/>
      </c>
      <c r="J229" s="113" t="str">
        <f>IF($M229="","",INDEX('MTRs'!$AS$6:$AS$505,$M229)&amp;"")</f>
        <v/>
      </c>
      <c r="K229" s="110" t="str">
        <f>IF($M229="","",INDEX('MTRs'!$AT$6:$AT$505,$M229)&amp;"")</f>
        <v/>
      </c>
      <c r="L229" s="110" t="str">
        <f>IF($M229="","",INDEX('MTRs'!$Y$6:$Y$505,$M229)&amp;"")</f>
        <v/>
      </c>
      <c r="M229" t="str">
        <f>IFERROR(MATCH(SMALL('MTRs'!$AU$6:$AU$505,219),'MTRs'!$AU$6:$AU$505,0),"")</f>
        <v/>
      </c>
    </row>
    <row r="230" ht="30" customHeight="1">
      <c r="B230" s="108" t="str">
        <f>IF($M230="","",INDEX('MTRs'!$A$6:$A$505,$M230)&amp;"")</f>
        <v/>
      </c>
      <c r="C230" s="109" t="str">
        <f>IF($M230="","",INDEX('MTRs'!$B$6:$B$505,$M230)&amp;"")</f>
        <v/>
      </c>
      <c r="D230" s="110" t="str">
        <f>IF($M230="","",INDEX('MTRs'!$G$6:$G$505,$M230)&amp;"")</f>
        <v/>
      </c>
      <c r="E230" s="110" t="str">
        <f>IF($M230="","",INDEX('MTRs'!$H$6:$H$505,$M230)&amp;"")</f>
        <v/>
      </c>
      <c r="F230" s="110" t="str">
        <f>IF($M230="","",INDEX('MTRs'!$I$6:$I$505,$M230)&amp;"")</f>
        <v/>
      </c>
      <c r="G230" s="110" t="str">
        <f>IF($M230="","",INDEX('MTRs'!$T$6:$T$505,$M230)&amp;"")</f>
        <v/>
      </c>
      <c r="H230" s="111" t="str">
        <f>IF($M230="","",INDEX('MTRs'!$AQ$6:$AQ$505,$M230))</f>
        <v/>
      </c>
      <c r="I230" s="112" t="str">
        <f>IF($M230="","",INDEX('MTRs'!$U$6:$U$505,$M230))</f>
        <v/>
      </c>
      <c r="J230" s="113" t="str">
        <f>IF($M230="","",INDEX('MTRs'!$AS$6:$AS$505,$M230)&amp;"")</f>
        <v/>
      </c>
      <c r="K230" s="110" t="str">
        <f>IF($M230="","",INDEX('MTRs'!$AT$6:$AT$505,$M230)&amp;"")</f>
        <v/>
      </c>
      <c r="L230" s="110" t="str">
        <f>IF($M230="","",INDEX('MTRs'!$Y$6:$Y$505,$M230)&amp;"")</f>
        <v/>
      </c>
      <c r="M230" t="str">
        <f>IFERROR(MATCH(SMALL('MTRs'!$AU$6:$AU$505,220),'MTRs'!$AU$6:$AU$505,0),"")</f>
        <v/>
      </c>
    </row>
    <row r="231" ht="30" customHeight="1">
      <c r="B231" s="108" t="str">
        <f>IF($M231="","",INDEX('MTRs'!$A$6:$A$505,$M231)&amp;"")</f>
        <v/>
      </c>
      <c r="C231" s="109" t="str">
        <f>IF($M231="","",INDEX('MTRs'!$B$6:$B$505,$M231)&amp;"")</f>
        <v/>
      </c>
      <c r="D231" s="110" t="str">
        <f>IF($M231="","",INDEX('MTRs'!$G$6:$G$505,$M231)&amp;"")</f>
        <v/>
      </c>
      <c r="E231" s="110" t="str">
        <f>IF($M231="","",INDEX('MTRs'!$H$6:$H$505,$M231)&amp;"")</f>
        <v/>
      </c>
      <c r="F231" s="110" t="str">
        <f>IF($M231="","",INDEX('MTRs'!$I$6:$I$505,$M231)&amp;"")</f>
        <v/>
      </c>
      <c r="G231" s="110" t="str">
        <f>IF($M231="","",INDEX('MTRs'!$T$6:$T$505,$M231)&amp;"")</f>
        <v/>
      </c>
      <c r="H231" s="111" t="str">
        <f>IF($M231="","",INDEX('MTRs'!$AQ$6:$AQ$505,$M231))</f>
        <v/>
      </c>
      <c r="I231" s="112" t="str">
        <f>IF($M231="","",INDEX('MTRs'!$U$6:$U$505,$M231))</f>
        <v/>
      </c>
      <c r="J231" s="113" t="str">
        <f>IF($M231="","",INDEX('MTRs'!$AS$6:$AS$505,$M231)&amp;"")</f>
        <v/>
      </c>
      <c r="K231" s="110" t="str">
        <f>IF($M231="","",INDEX('MTRs'!$AT$6:$AT$505,$M231)&amp;"")</f>
        <v/>
      </c>
      <c r="L231" s="110" t="str">
        <f>IF($M231="","",INDEX('MTRs'!$Y$6:$Y$505,$M231)&amp;"")</f>
        <v/>
      </c>
      <c r="M231" t="str">
        <f>IFERROR(MATCH(SMALL('MTRs'!$AU$6:$AU$505,221),'MTRs'!$AU$6:$AU$505,0),"")</f>
        <v/>
      </c>
    </row>
    <row r="232" ht="30" customHeight="1">
      <c r="B232" s="108" t="str">
        <f>IF($M232="","",INDEX('MTRs'!$A$6:$A$505,$M232)&amp;"")</f>
        <v/>
      </c>
      <c r="C232" s="109" t="str">
        <f>IF($M232="","",INDEX('MTRs'!$B$6:$B$505,$M232)&amp;"")</f>
        <v/>
      </c>
      <c r="D232" s="110" t="str">
        <f>IF($M232="","",INDEX('MTRs'!$G$6:$G$505,$M232)&amp;"")</f>
        <v/>
      </c>
      <c r="E232" s="110" t="str">
        <f>IF($M232="","",INDEX('MTRs'!$H$6:$H$505,$M232)&amp;"")</f>
        <v/>
      </c>
      <c r="F232" s="110" t="str">
        <f>IF($M232="","",INDEX('MTRs'!$I$6:$I$505,$M232)&amp;"")</f>
        <v/>
      </c>
      <c r="G232" s="110" t="str">
        <f>IF($M232="","",INDEX('MTRs'!$T$6:$T$505,$M232)&amp;"")</f>
        <v/>
      </c>
      <c r="H232" s="111" t="str">
        <f>IF($M232="","",INDEX('MTRs'!$AQ$6:$AQ$505,$M232))</f>
        <v/>
      </c>
      <c r="I232" s="112" t="str">
        <f>IF($M232="","",INDEX('MTRs'!$U$6:$U$505,$M232))</f>
        <v/>
      </c>
      <c r="J232" s="113" t="str">
        <f>IF($M232="","",INDEX('MTRs'!$AS$6:$AS$505,$M232)&amp;"")</f>
        <v/>
      </c>
      <c r="K232" s="110" t="str">
        <f>IF($M232="","",INDEX('MTRs'!$AT$6:$AT$505,$M232)&amp;"")</f>
        <v/>
      </c>
      <c r="L232" s="110" t="str">
        <f>IF($M232="","",INDEX('MTRs'!$Y$6:$Y$505,$M232)&amp;"")</f>
        <v/>
      </c>
      <c r="M232" t="str">
        <f>IFERROR(MATCH(SMALL('MTRs'!$AU$6:$AU$505,222),'MTRs'!$AU$6:$AU$505,0),"")</f>
        <v/>
      </c>
    </row>
    <row r="233" ht="30" customHeight="1">
      <c r="B233" s="108" t="str">
        <f>IF($M233="","",INDEX('MTRs'!$A$6:$A$505,$M233)&amp;"")</f>
        <v/>
      </c>
      <c r="C233" s="109" t="str">
        <f>IF($M233="","",INDEX('MTRs'!$B$6:$B$505,$M233)&amp;"")</f>
        <v/>
      </c>
      <c r="D233" s="110" t="str">
        <f>IF($M233="","",INDEX('MTRs'!$G$6:$G$505,$M233)&amp;"")</f>
        <v/>
      </c>
      <c r="E233" s="110" t="str">
        <f>IF($M233="","",INDEX('MTRs'!$H$6:$H$505,$M233)&amp;"")</f>
        <v/>
      </c>
      <c r="F233" s="110" t="str">
        <f>IF($M233="","",INDEX('MTRs'!$I$6:$I$505,$M233)&amp;"")</f>
        <v/>
      </c>
      <c r="G233" s="110" t="str">
        <f>IF($M233="","",INDEX('MTRs'!$T$6:$T$505,$M233)&amp;"")</f>
        <v/>
      </c>
      <c r="H233" s="111" t="str">
        <f>IF($M233="","",INDEX('MTRs'!$AQ$6:$AQ$505,$M233))</f>
        <v/>
      </c>
      <c r="I233" s="112" t="str">
        <f>IF($M233="","",INDEX('MTRs'!$U$6:$U$505,$M233))</f>
        <v/>
      </c>
      <c r="J233" s="113" t="str">
        <f>IF($M233="","",INDEX('MTRs'!$AS$6:$AS$505,$M233)&amp;"")</f>
        <v/>
      </c>
      <c r="K233" s="110" t="str">
        <f>IF($M233="","",INDEX('MTRs'!$AT$6:$AT$505,$M233)&amp;"")</f>
        <v/>
      </c>
      <c r="L233" s="110" t="str">
        <f>IF($M233="","",INDEX('MTRs'!$Y$6:$Y$505,$M233)&amp;"")</f>
        <v/>
      </c>
      <c r="M233" t="str">
        <f>IFERROR(MATCH(SMALL('MTRs'!$AU$6:$AU$505,223),'MTRs'!$AU$6:$AU$505,0),"")</f>
        <v/>
      </c>
    </row>
    <row r="234" ht="30" customHeight="1">
      <c r="B234" s="108" t="str">
        <f>IF($M234="","",INDEX('MTRs'!$A$6:$A$505,$M234)&amp;"")</f>
        <v/>
      </c>
      <c r="C234" s="109" t="str">
        <f>IF($M234="","",INDEX('MTRs'!$B$6:$B$505,$M234)&amp;"")</f>
        <v/>
      </c>
      <c r="D234" s="110" t="str">
        <f>IF($M234="","",INDEX('MTRs'!$G$6:$G$505,$M234)&amp;"")</f>
        <v/>
      </c>
      <c r="E234" s="110" t="str">
        <f>IF($M234="","",INDEX('MTRs'!$H$6:$H$505,$M234)&amp;"")</f>
        <v/>
      </c>
      <c r="F234" s="110" t="str">
        <f>IF($M234="","",INDEX('MTRs'!$I$6:$I$505,$M234)&amp;"")</f>
        <v/>
      </c>
      <c r="G234" s="110" t="str">
        <f>IF($M234="","",INDEX('MTRs'!$T$6:$T$505,$M234)&amp;"")</f>
        <v/>
      </c>
      <c r="H234" s="111" t="str">
        <f>IF($M234="","",INDEX('MTRs'!$AQ$6:$AQ$505,$M234))</f>
        <v/>
      </c>
      <c r="I234" s="112" t="str">
        <f>IF($M234="","",INDEX('MTRs'!$U$6:$U$505,$M234))</f>
        <v/>
      </c>
      <c r="J234" s="113" t="str">
        <f>IF($M234="","",INDEX('MTRs'!$AS$6:$AS$505,$M234)&amp;"")</f>
        <v/>
      </c>
      <c r="K234" s="110" t="str">
        <f>IF($M234="","",INDEX('MTRs'!$AT$6:$AT$505,$M234)&amp;"")</f>
        <v/>
      </c>
      <c r="L234" s="110" t="str">
        <f>IF($M234="","",INDEX('MTRs'!$Y$6:$Y$505,$M234)&amp;"")</f>
        <v/>
      </c>
      <c r="M234" t="str">
        <f>IFERROR(MATCH(SMALL('MTRs'!$AU$6:$AU$505,224),'MTRs'!$AU$6:$AU$505,0),"")</f>
        <v/>
      </c>
    </row>
    <row r="235" ht="30" customHeight="1">
      <c r="B235" s="108" t="str">
        <f>IF($M235="","",INDEX('MTRs'!$A$6:$A$505,$M235)&amp;"")</f>
        <v/>
      </c>
      <c r="C235" s="109" t="str">
        <f>IF($M235="","",INDEX('MTRs'!$B$6:$B$505,$M235)&amp;"")</f>
        <v/>
      </c>
      <c r="D235" s="110" t="str">
        <f>IF($M235="","",INDEX('MTRs'!$G$6:$G$505,$M235)&amp;"")</f>
        <v/>
      </c>
      <c r="E235" s="110" t="str">
        <f>IF($M235="","",INDEX('MTRs'!$H$6:$H$505,$M235)&amp;"")</f>
        <v/>
      </c>
      <c r="F235" s="110" t="str">
        <f>IF($M235="","",INDEX('MTRs'!$I$6:$I$505,$M235)&amp;"")</f>
        <v/>
      </c>
      <c r="G235" s="110" t="str">
        <f>IF($M235="","",INDEX('MTRs'!$T$6:$T$505,$M235)&amp;"")</f>
        <v/>
      </c>
      <c r="H235" s="111" t="str">
        <f>IF($M235="","",INDEX('MTRs'!$AQ$6:$AQ$505,$M235))</f>
        <v/>
      </c>
      <c r="I235" s="112" t="str">
        <f>IF($M235="","",INDEX('MTRs'!$U$6:$U$505,$M235))</f>
        <v/>
      </c>
      <c r="J235" s="113" t="str">
        <f>IF($M235="","",INDEX('MTRs'!$AS$6:$AS$505,$M235)&amp;"")</f>
        <v/>
      </c>
      <c r="K235" s="110" t="str">
        <f>IF($M235="","",INDEX('MTRs'!$AT$6:$AT$505,$M235)&amp;"")</f>
        <v/>
      </c>
      <c r="L235" s="110" t="str">
        <f>IF($M235="","",INDEX('MTRs'!$Y$6:$Y$505,$M235)&amp;"")</f>
        <v/>
      </c>
      <c r="M235" t="str">
        <f>IFERROR(MATCH(SMALL('MTRs'!$AU$6:$AU$505,225),'MTRs'!$AU$6:$AU$505,0),"")</f>
        <v/>
      </c>
    </row>
    <row r="236" ht="30" customHeight="1">
      <c r="B236" s="108" t="str">
        <f>IF($M236="","",INDEX('MTRs'!$A$6:$A$505,$M236)&amp;"")</f>
        <v/>
      </c>
      <c r="C236" s="109" t="str">
        <f>IF($M236="","",INDEX('MTRs'!$B$6:$B$505,$M236)&amp;"")</f>
        <v/>
      </c>
      <c r="D236" s="110" t="str">
        <f>IF($M236="","",INDEX('MTRs'!$G$6:$G$505,$M236)&amp;"")</f>
        <v/>
      </c>
      <c r="E236" s="110" t="str">
        <f>IF($M236="","",INDEX('MTRs'!$H$6:$H$505,$M236)&amp;"")</f>
        <v/>
      </c>
      <c r="F236" s="110" t="str">
        <f>IF($M236="","",INDEX('MTRs'!$I$6:$I$505,$M236)&amp;"")</f>
        <v/>
      </c>
      <c r="G236" s="110" t="str">
        <f>IF($M236="","",INDEX('MTRs'!$T$6:$T$505,$M236)&amp;"")</f>
        <v/>
      </c>
      <c r="H236" s="111" t="str">
        <f>IF($M236="","",INDEX('MTRs'!$AQ$6:$AQ$505,$M236))</f>
        <v/>
      </c>
      <c r="I236" s="112" t="str">
        <f>IF($M236="","",INDEX('MTRs'!$U$6:$U$505,$M236))</f>
        <v/>
      </c>
      <c r="J236" s="113" t="str">
        <f>IF($M236="","",INDEX('MTRs'!$AS$6:$AS$505,$M236)&amp;"")</f>
        <v/>
      </c>
      <c r="K236" s="110" t="str">
        <f>IF($M236="","",INDEX('MTRs'!$AT$6:$AT$505,$M236)&amp;"")</f>
        <v/>
      </c>
      <c r="L236" s="110" t="str">
        <f>IF($M236="","",INDEX('MTRs'!$Y$6:$Y$505,$M236)&amp;"")</f>
        <v/>
      </c>
      <c r="M236" t="str">
        <f>IFERROR(MATCH(SMALL('MTRs'!$AU$6:$AU$505,226),'MTRs'!$AU$6:$AU$505,0),"")</f>
        <v/>
      </c>
    </row>
    <row r="237" ht="30" customHeight="1">
      <c r="B237" s="108" t="str">
        <f>IF($M237="","",INDEX('MTRs'!$A$6:$A$505,$M237)&amp;"")</f>
        <v/>
      </c>
      <c r="C237" s="109" t="str">
        <f>IF($M237="","",INDEX('MTRs'!$B$6:$B$505,$M237)&amp;"")</f>
        <v/>
      </c>
      <c r="D237" s="110" t="str">
        <f>IF($M237="","",INDEX('MTRs'!$G$6:$G$505,$M237)&amp;"")</f>
        <v/>
      </c>
      <c r="E237" s="110" t="str">
        <f>IF($M237="","",INDEX('MTRs'!$H$6:$H$505,$M237)&amp;"")</f>
        <v/>
      </c>
      <c r="F237" s="110" t="str">
        <f>IF($M237="","",INDEX('MTRs'!$I$6:$I$505,$M237)&amp;"")</f>
        <v/>
      </c>
      <c r="G237" s="110" t="str">
        <f>IF($M237="","",INDEX('MTRs'!$T$6:$T$505,$M237)&amp;"")</f>
        <v/>
      </c>
      <c r="H237" s="111" t="str">
        <f>IF($M237="","",INDEX('MTRs'!$AQ$6:$AQ$505,$M237))</f>
        <v/>
      </c>
      <c r="I237" s="112" t="str">
        <f>IF($M237="","",INDEX('MTRs'!$U$6:$U$505,$M237))</f>
        <v/>
      </c>
      <c r="J237" s="113" t="str">
        <f>IF($M237="","",INDEX('MTRs'!$AS$6:$AS$505,$M237)&amp;"")</f>
        <v/>
      </c>
      <c r="K237" s="110" t="str">
        <f>IF($M237="","",INDEX('MTRs'!$AT$6:$AT$505,$M237)&amp;"")</f>
        <v/>
      </c>
      <c r="L237" s="110" t="str">
        <f>IF($M237="","",INDEX('MTRs'!$Y$6:$Y$505,$M237)&amp;"")</f>
        <v/>
      </c>
      <c r="M237" t="str">
        <f>IFERROR(MATCH(SMALL('MTRs'!$AU$6:$AU$505,227),'MTRs'!$AU$6:$AU$505,0),"")</f>
        <v/>
      </c>
    </row>
    <row r="238" ht="30" customHeight="1">
      <c r="B238" s="108" t="str">
        <f>IF($M238="","",INDEX('MTRs'!$A$6:$A$505,$M238)&amp;"")</f>
        <v/>
      </c>
      <c r="C238" s="109" t="str">
        <f>IF($M238="","",INDEX('MTRs'!$B$6:$B$505,$M238)&amp;"")</f>
        <v/>
      </c>
      <c r="D238" s="110" t="str">
        <f>IF($M238="","",INDEX('MTRs'!$G$6:$G$505,$M238)&amp;"")</f>
        <v/>
      </c>
      <c r="E238" s="110" t="str">
        <f>IF($M238="","",INDEX('MTRs'!$H$6:$H$505,$M238)&amp;"")</f>
        <v/>
      </c>
      <c r="F238" s="110" t="str">
        <f>IF($M238="","",INDEX('MTRs'!$I$6:$I$505,$M238)&amp;"")</f>
        <v/>
      </c>
      <c r="G238" s="110" t="str">
        <f>IF($M238="","",INDEX('MTRs'!$T$6:$T$505,$M238)&amp;"")</f>
        <v/>
      </c>
      <c r="H238" s="111" t="str">
        <f>IF($M238="","",INDEX('MTRs'!$AQ$6:$AQ$505,$M238))</f>
        <v/>
      </c>
      <c r="I238" s="112" t="str">
        <f>IF($M238="","",INDEX('MTRs'!$U$6:$U$505,$M238))</f>
        <v/>
      </c>
      <c r="J238" s="113" t="str">
        <f>IF($M238="","",INDEX('MTRs'!$AS$6:$AS$505,$M238)&amp;"")</f>
        <v/>
      </c>
      <c r="K238" s="110" t="str">
        <f>IF($M238="","",INDEX('MTRs'!$AT$6:$AT$505,$M238)&amp;"")</f>
        <v/>
      </c>
      <c r="L238" s="110" t="str">
        <f>IF($M238="","",INDEX('MTRs'!$Y$6:$Y$505,$M238)&amp;"")</f>
        <v/>
      </c>
      <c r="M238" t="str">
        <f>IFERROR(MATCH(SMALL('MTRs'!$AU$6:$AU$505,228),'MTRs'!$AU$6:$AU$505,0),"")</f>
        <v/>
      </c>
    </row>
    <row r="239" ht="30" customHeight="1">
      <c r="B239" s="108" t="str">
        <f>IF($M239="","",INDEX('MTRs'!$A$6:$A$505,$M239)&amp;"")</f>
        <v/>
      </c>
      <c r="C239" s="109" t="str">
        <f>IF($M239="","",INDEX('MTRs'!$B$6:$B$505,$M239)&amp;"")</f>
        <v/>
      </c>
      <c r="D239" s="110" t="str">
        <f>IF($M239="","",INDEX('MTRs'!$G$6:$G$505,$M239)&amp;"")</f>
        <v/>
      </c>
      <c r="E239" s="110" t="str">
        <f>IF($M239="","",INDEX('MTRs'!$H$6:$H$505,$M239)&amp;"")</f>
        <v/>
      </c>
      <c r="F239" s="110" t="str">
        <f>IF($M239="","",INDEX('MTRs'!$I$6:$I$505,$M239)&amp;"")</f>
        <v/>
      </c>
      <c r="G239" s="110" t="str">
        <f>IF($M239="","",INDEX('MTRs'!$T$6:$T$505,$M239)&amp;"")</f>
        <v/>
      </c>
      <c r="H239" s="111" t="str">
        <f>IF($M239="","",INDEX('MTRs'!$AQ$6:$AQ$505,$M239))</f>
        <v/>
      </c>
      <c r="I239" s="112" t="str">
        <f>IF($M239="","",INDEX('MTRs'!$U$6:$U$505,$M239))</f>
        <v/>
      </c>
      <c r="J239" s="113" t="str">
        <f>IF($M239="","",INDEX('MTRs'!$AS$6:$AS$505,$M239)&amp;"")</f>
        <v/>
      </c>
      <c r="K239" s="110" t="str">
        <f>IF($M239="","",INDEX('MTRs'!$AT$6:$AT$505,$M239)&amp;"")</f>
        <v/>
      </c>
      <c r="L239" s="110" t="str">
        <f>IF($M239="","",INDEX('MTRs'!$Y$6:$Y$505,$M239)&amp;"")</f>
        <v/>
      </c>
      <c r="M239" t="str">
        <f>IFERROR(MATCH(SMALL('MTRs'!$AU$6:$AU$505,229),'MTRs'!$AU$6:$AU$505,0),"")</f>
        <v/>
      </c>
    </row>
    <row r="240" ht="30" customHeight="1">
      <c r="B240" s="108" t="str">
        <f>IF($M240="","",INDEX('MTRs'!$A$6:$A$505,$M240)&amp;"")</f>
        <v/>
      </c>
      <c r="C240" s="109" t="str">
        <f>IF($M240="","",INDEX('MTRs'!$B$6:$B$505,$M240)&amp;"")</f>
        <v/>
      </c>
      <c r="D240" s="110" t="str">
        <f>IF($M240="","",INDEX('MTRs'!$G$6:$G$505,$M240)&amp;"")</f>
        <v/>
      </c>
      <c r="E240" s="110" t="str">
        <f>IF($M240="","",INDEX('MTRs'!$H$6:$H$505,$M240)&amp;"")</f>
        <v/>
      </c>
      <c r="F240" s="110" t="str">
        <f>IF($M240="","",INDEX('MTRs'!$I$6:$I$505,$M240)&amp;"")</f>
        <v/>
      </c>
      <c r="G240" s="110" t="str">
        <f>IF($M240="","",INDEX('MTRs'!$T$6:$T$505,$M240)&amp;"")</f>
        <v/>
      </c>
      <c r="H240" s="111" t="str">
        <f>IF($M240="","",INDEX('MTRs'!$AQ$6:$AQ$505,$M240))</f>
        <v/>
      </c>
      <c r="I240" s="112" t="str">
        <f>IF($M240="","",INDEX('MTRs'!$U$6:$U$505,$M240))</f>
        <v/>
      </c>
      <c r="J240" s="113" t="str">
        <f>IF($M240="","",INDEX('MTRs'!$AS$6:$AS$505,$M240)&amp;"")</f>
        <v/>
      </c>
      <c r="K240" s="110" t="str">
        <f>IF($M240="","",INDEX('MTRs'!$AT$6:$AT$505,$M240)&amp;"")</f>
        <v/>
      </c>
      <c r="L240" s="110" t="str">
        <f>IF($M240="","",INDEX('MTRs'!$Y$6:$Y$505,$M240)&amp;"")</f>
        <v/>
      </c>
      <c r="M240" t="str">
        <f>IFERROR(MATCH(SMALL('MTRs'!$AU$6:$AU$505,230),'MTRs'!$AU$6:$AU$505,0),"")</f>
        <v/>
      </c>
    </row>
    <row r="241" ht="30" customHeight="1">
      <c r="B241" s="108" t="str">
        <f>IF($M241="","",INDEX('MTRs'!$A$6:$A$505,$M241)&amp;"")</f>
        <v/>
      </c>
      <c r="C241" s="109" t="str">
        <f>IF($M241="","",INDEX('MTRs'!$B$6:$B$505,$M241)&amp;"")</f>
        <v/>
      </c>
      <c r="D241" s="110" t="str">
        <f>IF($M241="","",INDEX('MTRs'!$G$6:$G$505,$M241)&amp;"")</f>
        <v/>
      </c>
      <c r="E241" s="110" t="str">
        <f>IF($M241="","",INDEX('MTRs'!$H$6:$H$505,$M241)&amp;"")</f>
        <v/>
      </c>
      <c r="F241" s="110" t="str">
        <f>IF($M241="","",INDEX('MTRs'!$I$6:$I$505,$M241)&amp;"")</f>
        <v/>
      </c>
      <c r="G241" s="110" t="str">
        <f>IF($M241="","",INDEX('MTRs'!$T$6:$T$505,$M241)&amp;"")</f>
        <v/>
      </c>
      <c r="H241" s="111" t="str">
        <f>IF($M241="","",INDEX('MTRs'!$AQ$6:$AQ$505,$M241))</f>
        <v/>
      </c>
      <c r="I241" s="112" t="str">
        <f>IF($M241="","",INDEX('MTRs'!$U$6:$U$505,$M241))</f>
        <v/>
      </c>
      <c r="J241" s="113" t="str">
        <f>IF($M241="","",INDEX('MTRs'!$AS$6:$AS$505,$M241)&amp;"")</f>
        <v/>
      </c>
      <c r="K241" s="110" t="str">
        <f>IF($M241="","",INDEX('MTRs'!$AT$6:$AT$505,$M241)&amp;"")</f>
        <v/>
      </c>
      <c r="L241" s="110" t="str">
        <f>IF($M241="","",INDEX('MTRs'!$Y$6:$Y$505,$M241)&amp;"")</f>
        <v/>
      </c>
      <c r="M241" t="str">
        <f>IFERROR(MATCH(SMALL('MTRs'!$AU$6:$AU$505,231),'MTRs'!$AU$6:$AU$505,0),"")</f>
        <v/>
      </c>
    </row>
    <row r="242" ht="30" customHeight="1">
      <c r="B242" s="108" t="str">
        <f>IF($M242="","",INDEX('MTRs'!$A$6:$A$505,$M242)&amp;"")</f>
        <v/>
      </c>
      <c r="C242" s="109" t="str">
        <f>IF($M242="","",INDEX('MTRs'!$B$6:$B$505,$M242)&amp;"")</f>
        <v/>
      </c>
      <c r="D242" s="110" t="str">
        <f>IF($M242="","",INDEX('MTRs'!$G$6:$G$505,$M242)&amp;"")</f>
        <v/>
      </c>
      <c r="E242" s="110" t="str">
        <f>IF($M242="","",INDEX('MTRs'!$H$6:$H$505,$M242)&amp;"")</f>
        <v/>
      </c>
      <c r="F242" s="110" t="str">
        <f>IF($M242="","",INDEX('MTRs'!$I$6:$I$505,$M242)&amp;"")</f>
        <v/>
      </c>
      <c r="G242" s="110" t="str">
        <f>IF($M242="","",INDEX('MTRs'!$T$6:$T$505,$M242)&amp;"")</f>
        <v/>
      </c>
      <c r="H242" s="111" t="str">
        <f>IF($M242="","",INDEX('MTRs'!$AQ$6:$AQ$505,$M242))</f>
        <v/>
      </c>
      <c r="I242" s="112" t="str">
        <f>IF($M242="","",INDEX('MTRs'!$U$6:$U$505,$M242))</f>
        <v/>
      </c>
      <c r="J242" s="113" t="str">
        <f>IF($M242="","",INDEX('MTRs'!$AS$6:$AS$505,$M242)&amp;"")</f>
        <v/>
      </c>
      <c r="K242" s="110" t="str">
        <f>IF($M242="","",INDEX('MTRs'!$AT$6:$AT$505,$M242)&amp;"")</f>
        <v/>
      </c>
      <c r="L242" s="110" t="str">
        <f>IF($M242="","",INDEX('MTRs'!$Y$6:$Y$505,$M242)&amp;"")</f>
        <v/>
      </c>
      <c r="M242" t="str">
        <f>IFERROR(MATCH(SMALL('MTRs'!$AU$6:$AU$505,232),'MTRs'!$AU$6:$AU$505,0),"")</f>
        <v/>
      </c>
    </row>
    <row r="243" ht="30" customHeight="1">
      <c r="B243" s="108" t="str">
        <f>IF($M243="","",INDEX('MTRs'!$A$6:$A$505,$M243)&amp;"")</f>
        <v/>
      </c>
      <c r="C243" s="109" t="str">
        <f>IF($M243="","",INDEX('MTRs'!$B$6:$B$505,$M243)&amp;"")</f>
        <v/>
      </c>
      <c r="D243" s="110" t="str">
        <f>IF($M243="","",INDEX('MTRs'!$G$6:$G$505,$M243)&amp;"")</f>
        <v/>
      </c>
      <c r="E243" s="110" t="str">
        <f>IF($M243="","",INDEX('MTRs'!$H$6:$H$505,$M243)&amp;"")</f>
        <v/>
      </c>
      <c r="F243" s="110" t="str">
        <f>IF($M243="","",INDEX('MTRs'!$I$6:$I$505,$M243)&amp;"")</f>
        <v/>
      </c>
      <c r="G243" s="110" t="str">
        <f>IF($M243="","",INDEX('MTRs'!$T$6:$T$505,$M243)&amp;"")</f>
        <v/>
      </c>
      <c r="H243" s="111" t="str">
        <f>IF($M243="","",INDEX('MTRs'!$AQ$6:$AQ$505,$M243))</f>
        <v/>
      </c>
      <c r="I243" s="112" t="str">
        <f>IF($M243="","",INDEX('MTRs'!$U$6:$U$505,$M243))</f>
        <v/>
      </c>
      <c r="J243" s="113" t="str">
        <f>IF($M243="","",INDEX('MTRs'!$AS$6:$AS$505,$M243)&amp;"")</f>
        <v/>
      </c>
      <c r="K243" s="110" t="str">
        <f>IF($M243="","",INDEX('MTRs'!$AT$6:$AT$505,$M243)&amp;"")</f>
        <v/>
      </c>
      <c r="L243" s="110" t="str">
        <f>IF($M243="","",INDEX('MTRs'!$Y$6:$Y$505,$M243)&amp;"")</f>
        <v/>
      </c>
      <c r="M243" t="str">
        <f>IFERROR(MATCH(SMALL('MTRs'!$AU$6:$AU$505,233),'MTRs'!$AU$6:$AU$505,0),"")</f>
        <v/>
      </c>
    </row>
    <row r="244" ht="30" customHeight="1">
      <c r="B244" s="108" t="str">
        <f>IF($M244="","",INDEX('MTRs'!$A$6:$A$505,$M244)&amp;"")</f>
        <v/>
      </c>
      <c r="C244" s="109" t="str">
        <f>IF($M244="","",INDEX('MTRs'!$B$6:$B$505,$M244)&amp;"")</f>
        <v/>
      </c>
      <c r="D244" s="110" t="str">
        <f>IF($M244="","",INDEX('MTRs'!$G$6:$G$505,$M244)&amp;"")</f>
        <v/>
      </c>
      <c r="E244" s="110" t="str">
        <f>IF($M244="","",INDEX('MTRs'!$H$6:$H$505,$M244)&amp;"")</f>
        <v/>
      </c>
      <c r="F244" s="110" t="str">
        <f>IF($M244="","",INDEX('MTRs'!$I$6:$I$505,$M244)&amp;"")</f>
        <v/>
      </c>
      <c r="G244" s="110" t="str">
        <f>IF($M244="","",INDEX('MTRs'!$T$6:$T$505,$M244)&amp;"")</f>
        <v/>
      </c>
      <c r="H244" s="111" t="str">
        <f>IF($M244="","",INDEX('MTRs'!$AQ$6:$AQ$505,$M244))</f>
        <v/>
      </c>
      <c r="I244" s="112" t="str">
        <f>IF($M244="","",INDEX('MTRs'!$U$6:$U$505,$M244))</f>
        <v/>
      </c>
      <c r="J244" s="113" t="str">
        <f>IF($M244="","",INDEX('MTRs'!$AS$6:$AS$505,$M244)&amp;"")</f>
        <v/>
      </c>
      <c r="K244" s="110" t="str">
        <f>IF($M244="","",INDEX('MTRs'!$AT$6:$AT$505,$M244)&amp;"")</f>
        <v/>
      </c>
      <c r="L244" s="110" t="str">
        <f>IF($M244="","",INDEX('MTRs'!$Y$6:$Y$505,$M244)&amp;"")</f>
        <v/>
      </c>
      <c r="M244" t="str">
        <f>IFERROR(MATCH(SMALL('MTRs'!$AU$6:$AU$505,234),'MTRs'!$AU$6:$AU$505,0),"")</f>
        <v/>
      </c>
    </row>
    <row r="245" ht="30" customHeight="1">
      <c r="B245" s="108" t="str">
        <f>IF($M245="","",INDEX('MTRs'!$A$6:$A$505,$M245)&amp;"")</f>
        <v/>
      </c>
      <c r="C245" s="109" t="str">
        <f>IF($M245="","",INDEX('MTRs'!$B$6:$B$505,$M245)&amp;"")</f>
        <v/>
      </c>
      <c r="D245" s="110" t="str">
        <f>IF($M245="","",INDEX('MTRs'!$G$6:$G$505,$M245)&amp;"")</f>
        <v/>
      </c>
      <c r="E245" s="110" t="str">
        <f>IF($M245="","",INDEX('MTRs'!$H$6:$H$505,$M245)&amp;"")</f>
        <v/>
      </c>
      <c r="F245" s="110" t="str">
        <f>IF($M245="","",INDEX('MTRs'!$I$6:$I$505,$M245)&amp;"")</f>
        <v/>
      </c>
      <c r="G245" s="110" t="str">
        <f>IF($M245="","",INDEX('MTRs'!$T$6:$T$505,$M245)&amp;"")</f>
        <v/>
      </c>
      <c r="H245" s="111" t="str">
        <f>IF($M245="","",INDEX('MTRs'!$AQ$6:$AQ$505,$M245))</f>
        <v/>
      </c>
      <c r="I245" s="112" t="str">
        <f>IF($M245="","",INDEX('MTRs'!$U$6:$U$505,$M245))</f>
        <v/>
      </c>
      <c r="J245" s="113" t="str">
        <f>IF($M245="","",INDEX('MTRs'!$AS$6:$AS$505,$M245)&amp;"")</f>
        <v/>
      </c>
      <c r="K245" s="110" t="str">
        <f>IF($M245="","",INDEX('MTRs'!$AT$6:$AT$505,$M245)&amp;"")</f>
        <v/>
      </c>
      <c r="L245" s="110" t="str">
        <f>IF($M245="","",INDEX('MTRs'!$Y$6:$Y$505,$M245)&amp;"")</f>
        <v/>
      </c>
      <c r="M245" t="str">
        <f>IFERROR(MATCH(SMALL('MTRs'!$AU$6:$AU$505,235),'MTRs'!$AU$6:$AU$505,0),"")</f>
        <v/>
      </c>
    </row>
    <row r="246" ht="30" customHeight="1">
      <c r="B246" s="108" t="str">
        <f>IF($M246="","",INDEX('MTRs'!$A$6:$A$505,$M246)&amp;"")</f>
        <v/>
      </c>
      <c r="C246" s="109" t="str">
        <f>IF($M246="","",INDEX('MTRs'!$B$6:$B$505,$M246)&amp;"")</f>
        <v/>
      </c>
      <c r="D246" s="110" t="str">
        <f>IF($M246="","",INDEX('MTRs'!$G$6:$G$505,$M246)&amp;"")</f>
        <v/>
      </c>
      <c r="E246" s="110" t="str">
        <f>IF($M246="","",INDEX('MTRs'!$H$6:$H$505,$M246)&amp;"")</f>
        <v/>
      </c>
      <c r="F246" s="110" t="str">
        <f>IF($M246="","",INDEX('MTRs'!$I$6:$I$505,$M246)&amp;"")</f>
        <v/>
      </c>
      <c r="G246" s="110" t="str">
        <f>IF($M246="","",INDEX('MTRs'!$T$6:$T$505,$M246)&amp;"")</f>
        <v/>
      </c>
      <c r="H246" s="111" t="str">
        <f>IF($M246="","",INDEX('MTRs'!$AQ$6:$AQ$505,$M246))</f>
        <v/>
      </c>
      <c r="I246" s="112" t="str">
        <f>IF($M246="","",INDEX('MTRs'!$U$6:$U$505,$M246))</f>
        <v/>
      </c>
      <c r="J246" s="113" t="str">
        <f>IF($M246="","",INDEX('MTRs'!$AS$6:$AS$505,$M246)&amp;"")</f>
        <v/>
      </c>
      <c r="K246" s="110" t="str">
        <f>IF($M246="","",INDEX('MTRs'!$AT$6:$AT$505,$M246)&amp;"")</f>
        <v/>
      </c>
      <c r="L246" s="110" t="str">
        <f>IF($M246="","",INDEX('MTRs'!$Y$6:$Y$505,$M246)&amp;"")</f>
        <v/>
      </c>
      <c r="M246" t="str">
        <f>IFERROR(MATCH(SMALL('MTRs'!$AU$6:$AU$505,236),'MTRs'!$AU$6:$AU$505,0),"")</f>
        <v/>
      </c>
    </row>
    <row r="247" ht="30" customHeight="1">
      <c r="B247" s="108" t="str">
        <f>IF($M247="","",INDEX('MTRs'!$A$6:$A$505,$M247)&amp;"")</f>
        <v/>
      </c>
      <c r="C247" s="109" t="str">
        <f>IF($M247="","",INDEX('MTRs'!$B$6:$B$505,$M247)&amp;"")</f>
        <v/>
      </c>
      <c r="D247" s="110" t="str">
        <f>IF($M247="","",INDEX('MTRs'!$G$6:$G$505,$M247)&amp;"")</f>
        <v/>
      </c>
      <c r="E247" s="110" t="str">
        <f>IF($M247="","",INDEX('MTRs'!$H$6:$H$505,$M247)&amp;"")</f>
        <v/>
      </c>
      <c r="F247" s="110" t="str">
        <f>IF($M247="","",INDEX('MTRs'!$I$6:$I$505,$M247)&amp;"")</f>
        <v/>
      </c>
      <c r="G247" s="110" t="str">
        <f>IF($M247="","",INDEX('MTRs'!$T$6:$T$505,$M247)&amp;"")</f>
        <v/>
      </c>
      <c r="H247" s="111" t="str">
        <f>IF($M247="","",INDEX('MTRs'!$AQ$6:$AQ$505,$M247))</f>
        <v/>
      </c>
      <c r="I247" s="112" t="str">
        <f>IF($M247="","",INDEX('MTRs'!$U$6:$U$505,$M247))</f>
        <v/>
      </c>
      <c r="J247" s="113" t="str">
        <f>IF($M247="","",INDEX('MTRs'!$AS$6:$AS$505,$M247)&amp;"")</f>
        <v/>
      </c>
      <c r="K247" s="110" t="str">
        <f>IF($M247="","",INDEX('MTRs'!$AT$6:$AT$505,$M247)&amp;"")</f>
        <v/>
      </c>
      <c r="L247" s="110" t="str">
        <f>IF($M247="","",INDEX('MTRs'!$Y$6:$Y$505,$M247)&amp;"")</f>
        <v/>
      </c>
      <c r="M247" t="str">
        <f>IFERROR(MATCH(SMALL('MTRs'!$AU$6:$AU$505,237),'MTRs'!$AU$6:$AU$505,0),"")</f>
        <v/>
      </c>
    </row>
    <row r="248" ht="30" customHeight="1">
      <c r="B248" s="108" t="str">
        <f>IF($M248="","",INDEX('MTRs'!$A$6:$A$505,$M248)&amp;"")</f>
        <v/>
      </c>
      <c r="C248" s="109" t="str">
        <f>IF($M248="","",INDEX('MTRs'!$B$6:$B$505,$M248)&amp;"")</f>
        <v/>
      </c>
      <c r="D248" s="110" t="str">
        <f>IF($M248="","",INDEX('MTRs'!$G$6:$G$505,$M248)&amp;"")</f>
        <v/>
      </c>
      <c r="E248" s="110" t="str">
        <f>IF($M248="","",INDEX('MTRs'!$H$6:$H$505,$M248)&amp;"")</f>
        <v/>
      </c>
      <c r="F248" s="110" t="str">
        <f>IF($M248="","",INDEX('MTRs'!$I$6:$I$505,$M248)&amp;"")</f>
        <v/>
      </c>
      <c r="G248" s="110" t="str">
        <f>IF($M248="","",INDEX('MTRs'!$T$6:$T$505,$M248)&amp;"")</f>
        <v/>
      </c>
      <c r="H248" s="111" t="str">
        <f>IF($M248="","",INDEX('MTRs'!$AQ$6:$AQ$505,$M248))</f>
        <v/>
      </c>
      <c r="I248" s="112" t="str">
        <f>IF($M248="","",INDEX('MTRs'!$U$6:$U$505,$M248))</f>
        <v/>
      </c>
      <c r="J248" s="113" t="str">
        <f>IF($M248="","",INDEX('MTRs'!$AS$6:$AS$505,$M248)&amp;"")</f>
        <v/>
      </c>
      <c r="K248" s="110" t="str">
        <f>IF($M248="","",INDEX('MTRs'!$AT$6:$AT$505,$M248)&amp;"")</f>
        <v/>
      </c>
      <c r="L248" s="110" t="str">
        <f>IF($M248="","",INDEX('MTRs'!$Y$6:$Y$505,$M248)&amp;"")</f>
        <v/>
      </c>
      <c r="M248" t="str">
        <f>IFERROR(MATCH(SMALL('MTRs'!$AU$6:$AU$505,238),'MTRs'!$AU$6:$AU$505,0),"")</f>
        <v/>
      </c>
    </row>
    <row r="249" ht="30" customHeight="1">
      <c r="B249" s="108" t="str">
        <f>IF($M249="","",INDEX('MTRs'!$A$6:$A$505,$M249)&amp;"")</f>
        <v/>
      </c>
      <c r="C249" s="109" t="str">
        <f>IF($M249="","",INDEX('MTRs'!$B$6:$B$505,$M249)&amp;"")</f>
        <v/>
      </c>
      <c r="D249" s="110" t="str">
        <f>IF($M249="","",INDEX('MTRs'!$G$6:$G$505,$M249)&amp;"")</f>
        <v/>
      </c>
      <c r="E249" s="110" t="str">
        <f>IF($M249="","",INDEX('MTRs'!$H$6:$H$505,$M249)&amp;"")</f>
        <v/>
      </c>
      <c r="F249" s="110" t="str">
        <f>IF($M249="","",INDEX('MTRs'!$I$6:$I$505,$M249)&amp;"")</f>
        <v/>
      </c>
      <c r="G249" s="110" t="str">
        <f>IF($M249="","",INDEX('MTRs'!$T$6:$T$505,$M249)&amp;"")</f>
        <v/>
      </c>
      <c r="H249" s="111" t="str">
        <f>IF($M249="","",INDEX('MTRs'!$AQ$6:$AQ$505,$M249))</f>
        <v/>
      </c>
      <c r="I249" s="112" t="str">
        <f>IF($M249="","",INDEX('MTRs'!$U$6:$U$505,$M249))</f>
        <v/>
      </c>
      <c r="J249" s="113" t="str">
        <f>IF($M249="","",INDEX('MTRs'!$AS$6:$AS$505,$M249)&amp;"")</f>
        <v/>
      </c>
      <c r="K249" s="110" t="str">
        <f>IF($M249="","",INDEX('MTRs'!$AT$6:$AT$505,$M249)&amp;"")</f>
        <v/>
      </c>
      <c r="L249" s="110" t="str">
        <f>IF($M249="","",INDEX('MTRs'!$Y$6:$Y$505,$M249)&amp;"")</f>
        <v/>
      </c>
      <c r="M249" t="str">
        <f>IFERROR(MATCH(SMALL('MTRs'!$AU$6:$AU$505,239),'MTRs'!$AU$6:$AU$505,0),"")</f>
        <v/>
      </c>
    </row>
    <row r="250" ht="30" customHeight="1">
      <c r="B250" s="108" t="str">
        <f>IF($M250="","",INDEX('MTRs'!$A$6:$A$505,$M250)&amp;"")</f>
        <v/>
      </c>
      <c r="C250" s="109" t="str">
        <f>IF($M250="","",INDEX('MTRs'!$B$6:$B$505,$M250)&amp;"")</f>
        <v/>
      </c>
      <c r="D250" s="110" t="str">
        <f>IF($M250="","",INDEX('MTRs'!$G$6:$G$505,$M250)&amp;"")</f>
        <v/>
      </c>
      <c r="E250" s="110" t="str">
        <f>IF($M250="","",INDEX('MTRs'!$H$6:$H$505,$M250)&amp;"")</f>
        <v/>
      </c>
      <c r="F250" s="110" t="str">
        <f>IF($M250="","",INDEX('MTRs'!$I$6:$I$505,$M250)&amp;"")</f>
        <v/>
      </c>
      <c r="G250" s="110" t="str">
        <f>IF($M250="","",INDEX('MTRs'!$T$6:$T$505,$M250)&amp;"")</f>
        <v/>
      </c>
      <c r="H250" s="111" t="str">
        <f>IF($M250="","",INDEX('MTRs'!$AQ$6:$AQ$505,$M250))</f>
        <v/>
      </c>
      <c r="I250" s="112" t="str">
        <f>IF($M250="","",INDEX('MTRs'!$U$6:$U$505,$M250))</f>
        <v/>
      </c>
      <c r="J250" s="113" t="str">
        <f>IF($M250="","",INDEX('MTRs'!$AS$6:$AS$505,$M250)&amp;"")</f>
        <v/>
      </c>
      <c r="K250" s="110" t="str">
        <f>IF($M250="","",INDEX('MTRs'!$AT$6:$AT$505,$M250)&amp;"")</f>
        <v/>
      </c>
      <c r="L250" s="110" t="str">
        <f>IF($M250="","",INDEX('MTRs'!$Y$6:$Y$505,$M250)&amp;"")</f>
        <v/>
      </c>
      <c r="M250" t="str">
        <f>IFERROR(MATCH(SMALL('MTRs'!$AU$6:$AU$505,240),'MTRs'!$AU$6:$AU$505,0),"")</f>
        <v/>
      </c>
    </row>
    <row r="251" ht="30" customHeight="1">
      <c r="B251" s="108" t="str">
        <f>IF($M251="","",INDEX('MTRs'!$A$6:$A$505,$M251)&amp;"")</f>
        <v/>
      </c>
      <c r="C251" s="109" t="str">
        <f>IF($M251="","",INDEX('MTRs'!$B$6:$B$505,$M251)&amp;"")</f>
        <v/>
      </c>
      <c r="D251" s="110" t="str">
        <f>IF($M251="","",INDEX('MTRs'!$G$6:$G$505,$M251)&amp;"")</f>
        <v/>
      </c>
      <c r="E251" s="110" t="str">
        <f>IF($M251="","",INDEX('MTRs'!$H$6:$H$505,$M251)&amp;"")</f>
        <v/>
      </c>
      <c r="F251" s="110" t="str">
        <f>IF($M251="","",INDEX('MTRs'!$I$6:$I$505,$M251)&amp;"")</f>
        <v/>
      </c>
      <c r="G251" s="110" t="str">
        <f>IF($M251="","",INDEX('MTRs'!$T$6:$T$505,$M251)&amp;"")</f>
        <v/>
      </c>
      <c r="H251" s="111" t="str">
        <f>IF($M251="","",INDEX('MTRs'!$AQ$6:$AQ$505,$M251))</f>
        <v/>
      </c>
      <c r="I251" s="112" t="str">
        <f>IF($M251="","",INDEX('MTRs'!$U$6:$U$505,$M251))</f>
        <v/>
      </c>
      <c r="J251" s="113" t="str">
        <f>IF($M251="","",INDEX('MTRs'!$AS$6:$AS$505,$M251)&amp;"")</f>
        <v/>
      </c>
      <c r="K251" s="110" t="str">
        <f>IF($M251="","",INDEX('MTRs'!$AT$6:$AT$505,$M251)&amp;"")</f>
        <v/>
      </c>
      <c r="L251" s="110" t="str">
        <f>IF($M251="","",INDEX('MTRs'!$Y$6:$Y$505,$M251)&amp;"")</f>
        <v/>
      </c>
      <c r="M251" t="str">
        <f>IFERROR(MATCH(SMALL('MTRs'!$AU$6:$AU$505,241),'MTRs'!$AU$6:$AU$505,0),"")</f>
        <v/>
      </c>
    </row>
    <row r="252" ht="30" customHeight="1">
      <c r="B252" s="108" t="str">
        <f>IF($M252="","",INDEX('MTRs'!$A$6:$A$505,$M252)&amp;"")</f>
        <v/>
      </c>
      <c r="C252" s="109" t="str">
        <f>IF($M252="","",INDEX('MTRs'!$B$6:$B$505,$M252)&amp;"")</f>
        <v/>
      </c>
      <c r="D252" s="110" t="str">
        <f>IF($M252="","",INDEX('MTRs'!$G$6:$G$505,$M252)&amp;"")</f>
        <v/>
      </c>
      <c r="E252" s="110" t="str">
        <f>IF($M252="","",INDEX('MTRs'!$H$6:$H$505,$M252)&amp;"")</f>
        <v/>
      </c>
      <c r="F252" s="110" t="str">
        <f>IF($M252="","",INDEX('MTRs'!$I$6:$I$505,$M252)&amp;"")</f>
        <v/>
      </c>
      <c r="G252" s="110" t="str">
        <f>IF($M252="","",INDEX('MTRs'!$T$6:$T$505,$M252)&amp;"")</f>
        <v/>
      </c>
      <c r="H252" s="111" t="str">
        <f>IF($M252="","",INDEX('MTRs'!$AQ$6:$AQ$505,$M252))</f>
        <v/>
      </c>
      <c r="I252" s="112" t="str">
        <f>IF($M252="","",INDEX('MTRs'!$U$6:$U$505,$M252))</f>
        <v/>
      </c>
      <c r="J252" s="113" t="str">
        <f>IF($M252="","",INDEX('MTRs'!$AS$6:$AS$505,$M252)&amp;"")</f>
        <v/>
      </c>
      <c r="K252" s="110" t="str">
        <f>IF($M252="","",INDEX('MTRs'!$AT$6:$AT$505,$M252)&amp;"")</f>
        <v/>
      </c>
      <c r="L252" s="110" t="str">
        <f>IF($M252="","",INDEX('MTRs'!$Y$6:$Y$505,$M252)&amp;"")</f>
        <v/>
      </c>
      <c r="M252" t="str">
        <f>IFERROR(MATCH(SMALL('MTRs'!$AU$6:$AU$505,242),'MTRs'!$AU$6:$AU$505,0),"")</f>
        <v/>
      </c>
    </row>
    <row r="253" ht="30" customHeight="1">
      <c r="B253" s="108" t="str">
        <f>IF($M253="","",INDEX('MTRs'!$A$6:$A$505,$M253)&amp;"")</f>
        <v/>
      </c>
      <c r="C253" s="109" t="str">
        <f>IF($M253="","",INDEX('MTRs'!$B$6:$B$505,$M253)&amp;"")</f>
        <v/>
      </c>
      <c r="D253" s="110" t="str">
        <f>IF($M253="","",INDEX('MTRs'!$G$6:$G$505,$M253)&amp;"")</f>
        <v/>
      </c>
      <c r="E253" s="110" t="str">
        <f>IF($M253="","",INDEX('MTRs'!$H$6:$H$505,$M253)&amp;"")</f>
        <v/>
      </c>
      <c r="F253" s="110" t="str">
        <f>IF($M253="","",INDEX('MTRs'!$I$6:$I$505,$M253)&amp;"")</f>
        <v/>
      </c>
      <c r="G253" s="110" t="str">
        <f>IF($M253="","",INDEX('MTRs'!$T$6:$T$505,$M253)&amp;"")</f>
        <v/>
      </c>
      <c r="H253" s="111" t="str">
        <f>IF($M253="","",INDEX('MTRs'!$AQ$6:$AQ$505,$M253))</f>
        <v/>
      </c>
      <c r="I253" s="112" t="str">
        <f>IF($M253="","",INDEX('MTRs'!$U$6:$U$505,$M253))</f>
        <v/>
      </c>
      <c r="J253" s="113" t="str">
        <f>IF($M253="","",INDEX('MTRs'!$AS$6:$AS$505,$M253)&amp;"")</f>
        <v/>
      </c>
      <c r="K253" s="110" t="str">
        <f>IF($M253="","",INDEX('MTRs'!$AT$6:$AT$505,$M253)&amp;"")</f>
        <v/>
      </c>
      <c r="L253" s="110" t="str">
        <f>IF($M253="","",INDEX('MTRs'!$Y$6:$Y$505,$M253)&amp;"")</f>
        <v/>
      </c>
      <c r="M253" t="str">
        <f>IFERROR(MATCH(SMALL('MTRs'!$AU$6:$AU$505,243),'MTRs'!$AU$6:$AU$505,0),"")</f>
        <v/>
      </c>
    </row>
    <row r="254" ht="30" customHeight="1">
      <c r="B254" s="108" t="str">
        <f>IF($M254="","",INDEX('MTRs'!$A$6:$A$505,$M254)&amp;"")</f>
        <v/>
      </c>
      <c r="C254" s="109" t="str">
        <f>IF($M254="","",INDEX('MTRs'!$B$6:$B$505,$M254)&amp;"")</f>
        <v/>
      </c>
      <c r="D254" s="110" t="str">
        <f>IF($M254="","",INDEX('MTRs'!$G$6:$G$505,$M254)&amp;"")</f>
        <v/>
      </c>
      <c r="E254" s="110" t="str">
        <f>IF($M254="","",INDEX('MTRs'!$H$6:$H$505,$M254)&amp;"")</f>
        <v/>
      </c>
      <c r="F254" s="110" t="str">
        <f>IF($M254="","",INDEX('MTRs'!$I$6:$I$505,$M254)&amp;"")</f>
        <v/>
      </c>
      <c r="G254" s="110" t="str">
        <f>IF($M254="","",INDEX('MTRs'!$T$6:$T$505,$M254)&amp;"")</f>
        <v/>
      </c>
      <c r="H254" s="111" t="str">
        <f>IF($M254="","",INDEX('MTRs'!$AQ$6:$AQ$505,$M254))</f>
        <v/>
      </c>
      <c r="I254" s="112" t="str">
        <f>IF($M254="","",INDEX('MTRs'!$U$6:$U$505,$M254))</f>
        <v/>
      </c>
      <c r="J254" s="113" t="str">
        <f>IF($M254="","",INDEX('MTRs'!$AS$6:$AS$505,$M254)&amp;"")</f>
        <v/>
      </c>
      <c r="K254" s="110" t="str">
        <f>IF($M254="","",INDEX('MTRs'!$AT$6:$AT$505,$M254)&amp;"")</f>
        <v/>
      </c>
      <c r="L254" s="110" t="str">
        <f>IF($M254="","",INDEX('MTRs'!$Y$6:$Y$505,$M254)&amp;"")</f>
        <v/>
      </c>
      <c r="M254" t="str">
        <f>IFERROR(MATCH(SMALL('MTRs'!$AU$6:$AU$505,244),'MTRs'!$AU$6:$AU$505,0),"")</f>
        <v/>
      </c>
    </row>
    <row r="255" ht="30" customHeight="1">
      <c r="B255" s="108" t="str">
        <f>IF($M255="","",INDEX('MTRs'!$A$6:$A$505,$M255)&amp;"")</f>
        <v/>
      </c>
      <c r="C255" s="109" t="str">
        <f>IF($M255="","",INDEX('MTRs'!$B$6:$B$505,$M255)&amp;"")</f>
        <v/>
      </c>
      <c r="D255" s="110" t="str">
        <f>IF($M255="","",INDEX('MTRs'!$G$6:$G$505,$M255)&amp;"")</f>
        <v/>
      </c>
      <c r="E255" s="110" t="str">
        <f>IF($M255="","",INDEX('MTRs'!$H$6:$H$505,$M255)&amp;"")</f>
        <v/>
      </c>
      <c r="F255" s="110" t="str">
        <f>IF($M255="","",INDEX('MTRs'!$I$6:$I$505,$M255)&amp;"")</f>
        <v/>
      </c>
      <c r="G255" s="110" t="str">
        <f>IF($M255="","",INDEX('MTRs'!$T$6:$T$505,$M255)&amp;"")</f>
        <v/>
      </c>
      <c r="H255" s="111" t="str">
        <f>IF($M255="","",INDEX('MTRs'!$AQ$6:$AQ$505,$M255))</f>
        <v/>
      </c>
      <c r="I255" s="112" t="str">
        <f>IF($M255="","",INDEX('MTRs'!$U$6:$U$505,$M255))</f>
        <v/>
      </c>
      <c r="J255" s="113" t="str">
        <f>IF($M255="","",INDEX('MTRs'!$AS$6:$AS$505,$M255)&amp;"")</f>
        <v/>
      </c>
      <c r="K255" s="110" t="str">
        <f>IF($M255="","",INDEX('MTRs'!$AT$6:$AT$505,$M255)&amp;"")</f>
        <v/>
      </c>
      <c r="L255" s="110" t="str">
        <f>IF($M255="","",INDEX('MTRs'!$Y$6:$Y$505,$M255)&amp;"")</f>
        <v/>
      </c>
      <c r="M255" t="str">
        <f>IFERROR(MATCH(SMALL('MTRs'!$AU$6:$AU$505,245),'MTRs'!$AU$6:$AU$505,0),"")</f>
        <v/>
      </c>
    </row>
    <row r="256" ht="30" customHeight="1">
      <c r="B256" s="108" t="str">
        <f>IF($M256="","",INDEX('MTRs'!$A$6:$A$505,$M256)&amp;"")</f>
        <v/>
      </c>
      <c r="C256" s="109" t="str">
        <f>IF($M256="","",INDEX('MTRs'!$B$6:$B$505,$M256)&amp;"")</f>
        <v/>
      </c>
      <c r="D256" s="110" t="str">
        <f>IF($M256="","",INDEX('MTRs'!$G$6:$G$505,$M256)&amp;"")</f>
        <v/>
      </c>
      <c r="E256" s="110" t="str">
        <f>IF($M256="","",INDEX('MTRs'!$H$6:$H$505,$M256)&amp;"")</f>
        <v/>
      </c>
      <c r="F256" s="110" t="str">
        <f>IF($M256="","",INDEX('MTRs'!$I$6:$I$505,$M256)&amp;"")</f>
        <v/>
      </c>
      <c r="G256" s="110" t="str">
        <f>IF($M256="","",INDEX('MTRs'!$T$6:$T$505,$M256)&amp;"")</f>
        <v/>
      </c>
      <c r="H256" s="111" t="str">
        <f>IF($M256="","",INDEX('MTRs'!$AQ$6:$AQ$505,$M256))</f>
        <v/>
      </c>
      <c r="I256" s="112" t="str">
        <f>IF($M256="","",INDEX('MTRs'!$U$6:$U$505,$M256))</f>
        <v/>
      </c>
      <c r="J256" s="113" t="str">
        <f>IF($M256="","",INDEX('MTRs'!$AS$6:$AS$505,$M256)&amp;"")</f>
        <v/>
      </c>
      <c r="K256" s="110" t="str">
        <f>IF($M256="","",INDEX('MTRs'!$AT$6:$AT$505,$M256)&amp;"")</f>
        <v/>
      </c>
      <c r="L256" s="110" t="str">
        <f>IF($M256="","",INDEX('MTRs'!$Y$6:$Y$505,$M256)&amp;"")</f>
        <v/>
      </c>
      <c r="M256" t="str">
        <f>IFERROR(MATCH(SMALL('MTRs'!$AU$6:$AU$505,246),'MTRs'!$AU$6:$AU$505,0),"")</f>
        <v/>
      </c>
    </row>
    <row r="257" ht="30" customHeight="1">
      <c r="B257" s="108" t="str">
        <f>IF($M257="","",INDEX('MTRs'!$A$6:$A$505,$M257)&amp;"")</f>
        <v/>
      </c>
      <c r="C257" s="109" t="str">
        <f>IF($M257="","",INDEX('MTRs'!$B$6:$B$505,$M257)&amp;"")</f>
        <v/>
      </c>
      <c r="D257" s="110" t="str">
        <f>IF($M257="","",INDEX('MTRs'!$G$6:$G$505,$M257)&amp;"")</f>
        <v/>
      </c>
      <c r="E257" s="110" t="str">
        <f>IF($M257="","",INDEX('MTRs'!$H$6:$H$505,$M257)&amp;"")</f>
        <v/>
      </c>
      <c r="F257" s="110" t="str">
        <f>IF($M257="","",INDEX('MTRs'!$I$6:$I$505,$M257)&amp;"")</f>
        <v/>
      </c>
      <c r="G257" s="110" t="str">
        <f>IF($M257="","",INDEX('MTRs'!$T$6:$T$505,$M257)&amp;"")</f>
        <v/>
      </c>
      <c r="H257" s="111" t="str">
        <f>IF($M257="","",INDEX('MTRs'!$AQ$6:$AQ$505,$M257))</f>
        <v/>
      </c>
      <c r="I257" s="112" t="str">
        <f>IF($M257="","",INDEX('MTRs'!$U$6:$U$505,$M257))</f>
        <v/>
      </c>
      <c r="J257" s="113" t="str">
        <f>IF($M257="","",INDEX('MTRs'!$AS$6:$AS$505,$M257)&amp;"")</f>
        <v/>
      </c>
      <c r="K257" s="110" t="str">
        <f>IF($M257="","",INDEX('MTRs'!$AT$6:$AT$505,$M257)&amp;"")</f>
        <v/>
      </c>
      <c r="L257" s="110" t="str">
        <f>IF($M257="","",INDEX('MTRs'!$Y$6:$Y$505,$M257)&amp;"")</f>
        <v/>
      </c>
      <c r="M257" t="str">
        <f>IFERROR(MATCH(SMALL('MTRs'!$AU$6:$AU$505,247),'MTRs'!$AU$6:$AU$505,0),"")</f>
        <v/>
      </c>
    </row>
    <row r="258" ht="30" customHeight="1">
      <c r="B258" s="108" t="str">
        <f>IF($M258="","",INDEX('MTRs'!$A$6:$A$505,$M258)&amp;"")</f>
        <v/>
      </c>
      <c r="C258" s="109" t="str">
        <f>IF($M258="","",INDEX('MTRs'!$B$6:$B$505,$M258)&amp;"")</f>
        <v/>
      </c>
      <c r="D258" s="110" t="str">
        <f>IF($M258="","",INDEX('MTRs'!$G$6:$G$505,$M258)&amp;"")</f>
        <v/>
      </c>
      <c r="E258" s="110" t="str">
        <f>IF($M258="","",INDEX('MTRs'!$H$6:$H$505,$M258)&amp;"")</f>
        <v/>
      </c>
      <c r="F258" s="110" t="str">
        <f>IF($M258="","",INDEX('MTRs'!$I$6:$I$505,$M258)&amp;"")</f>
        <v/>
      </c>
      <c r="G258" s="110" t="str">
        <f>IF($M258="","",INDEX('MTRs'!$T$6:$T$505,$M258)&amp;"")</f>
        <v/>
      </c>
      <c r="H258" s="111" t="str">
        <f>IF($M258="","",INDEX('MTRs'!$AQ$6:$AQ$505,$M258))</f>
        <v/>
      </c>
      <c r="I258" s="112" t="str">
        <f>IF($M258="","",INDEX('MTRs'!$U$6:$U$505,$M258))</f>
        <v/>
      </c>
      <c r="J258" s="113" t="str">
        <f>IF($M258="","",INDEX('MTRs'!$AS$6:$AS$505,$M258)&amp;"")</f>
        <v/>
      </c>
      <c r="K258" s="110" t="str">
        <f>IF($M258="","",INDEX('MTRs'!$AT$6:$AT$505,$M258)&amp;"")</f>
        <v/>
      </c>
      <c r="L258" s="110" t="str">
        <f>IF($M258="","",INDEX('MTRs'!$Y$6:$Y$505,$M258)&amp;"")</f>
        <v/>
      </c>
      <c r="M258" t="str">
        <f>IFERROR(MATCH(SMALL('MTRs'!$AU$6:$AU$505,248),'MTRs'!$AU$6:$AU$505,0),"")</f>
        <v/>
      </c>
    </row>
    <row r="259" ht="30" customHeight="1">
      <c r="B259" s="108" t="str">
        <f>IF($M259="","",INDEX('MTRs'!$A$6:$A$505,$M259)&amp;"")</f>
        <v/>
      </c>
      <c r="C259" s="109" t="str">
        <f>IF($M259="","",INDEX('MTRs'!$B$6:$B$505,$M259)&amp;"")</f>
        <v/>
      </c>
      <c r="D259" s="110" t="str">
        <f>IF($M259="","",INDEX('MTRs'!$G$6:$G$505,$M259)&amp;"")</f>
        <v/>
      </c>
      <c r="E259" s="110" t="str">
        <f>IF($M259="","",INDEX('MTRs'!$H$6:$H$505,$M259)&amp;"")</f>
        <v/>
      </c>
      <c r="F259" s="110" t="str">
        <f>IF($M259="","",INDEX('MTRs'!$I$6:$I$505,$M259)&amp;"")</f>
        <v/>
      </c>
      <c r="G259" s="110" t="str">
        <f>IF($M259="","",INDEX('MTRs'!$T$6:$T$505,$M259)&amp;"")</f>
        <v/>
      </c>
      <c r="H259" s="111" t="str">
        <f>IF($M259="","",INDEX('MTRs'!$AQ$6:$AQ$505,$M259))</f>
        <v/>
      </c>
      <c r="I259" s="112" t="str">
        <f>IF($M259="","",INDEX('MTRs'!$U$6:$U$505,$M259))</f>
        <v/>
      </c>
      <c r="J259" s="113" t="str">
        <f>IF($M259="","",INDEX('MTRs'!$AS$6:$AS$505,$M259)&amp;"")</f>
        <v/>
      </c>
      <c r="K259" s="110" t="str">
        <f>IF($M259="","",INDEX('MTRs'!$AT$6:$AT$505,$M259)&amp;"")</f>
        <v/>
      </c>
      <c r="L259" s="110" t="str">
        <f>IF($M259="","",INDEX('MTRs'!$Y$6:$Y$505,$M259)&amp;"")</f>
        <v/>
      </c>
      <c r="M259" t="str">
        <f>IFERROR(MATCH(SMALL('MTRs'!$AU$6:$AU$505,249),'MTRs'!$AU$6:$AU$505,0),"")</f>
        <v/>
      </c>
    </row>
    <row r="260" ht="30" customHeight="1">
      <c r="B260" s="108" t="str">
        <f>IF($M260="","",INDEX('MTRs'!$A$6:$A$505,$M260)&amp;"")</f>
        <v/>
      </c>
      <c r="C260" s="109" t="str">
        <f>IF($M260="","",INDEX('MTRs'!$B$6:$B$505,$M260)&amp;"")</f>
        <v/>
      </c>
      <c r="D260" s="110" t="str">
        <f>IF($M260="","",INDEX('MTRs'!$G$6:$G$505,$M260)&amp;"")</f>
        <v/>
      </c>
      <c r="E260" s="110" t="str">
        <f>IF($M260="","",INDEX('MTRs'!$H$6:$H$505,$M260)&amp;"")</f>
        <v/>
      </c>
      <c r="F260" s="110" t="str">
        <f>IF($M260="","",INDEX('MTRs'!$I$6:$I$505,$M260)&amp;"")</f>
        <v/>
      </c>
      <c r="G260" s="110" t="str">
        <f>IF($M260="","",INDEX('MTRs'!$T$6:$T$505,$M260)&amp;"")</f>
        <v/>
      </c>
      <c r="H260" s="111" t="str">
        <f>IF($M260="","",INDEX('MTRs'!$AQ$6:$AQ$505,$M260))</f>
        <v/>
      </c>
      <c r="I260" s="112" t="str">
        <f>IF($M260="","",INDEX('MTRs'!$U$6:$U$505,$M260))</f>
        <v/>
      </c>
      <c r="J260" s="113" t="str">
        <f>IF($M260="","",INDEX('MTRs'!$AS$6:$AS$505,$M260)&amp;"")</f>
        <v/>
      </c>
      <c r="K260" s="110" t="str">
        <f>IF($M260="","",INDEX('MTRs'!$AT$6:$AT$505,$M260)&amp;"")</f>
        <v/>
      </c>
      <c r="L260" s="110" t="str">
        <f>IF($M260="","",INDEX('MTRs'!$Y$6:$Y$505,$M260)&amp;"")</f>
        <v/>
      </c>
      <c r="M260" t="str">
        <f>IFERROR(MATCH(SMALL('MTRs'!$AU$6:$AU$505,250),'MTRs'!$AU$6:$AU$505,0),"")</f>
        <v/>
      </c>
    </row>
    <row r="261" ht="30" customHeight="1">
      <c r="B261" s="108" t="str">
        <f>IF($M261="","",INDEX('MTRs'!$A$6:$A$505,$M261)&amp;"")</f>
        <v/>
      </c>
      <c r="C261" s="109" t="str">
        <f>IF($M261="","",INDEX('MTRs'!$B$6:$B$505,$M261)&amp;"")</f>
        <v/>
      </c>
      <c r="D261" s="110" t="str">
        <f>IF($M261="","",INDEX('MTRs'!$G$6:$G$505,$M261)&amp;"")</f>
        <v/>
      </c>
      <c r="E261" s="110" t="str">
        <f>IF($M261="","",INDEX('MTRs'!$H$6:$H$505,$M261)&amp;"")</f>
        <v/>
      </c>
      <c r="F261" s="110" t="str">
        <f>IF($M261="","",INDEX('MTRs'!$I$6:$I$505,$M261)&amp;"")</f>
        <v/>
      </c>
      <c r="G261" s="110" t="str">
        <f>IF($M261="","",INDEX('MTRs'!$T$6:$T$505,$M261)&amp;"")</f>
        <v/>
      </c>
      <c r="H261" s="111" t="str">
        <f>IF($M261="","",INDEX('MTRs'!$AQ$6:$AQ$505,$M261))</f>
        <v/>
      </c>
      <c r="I261" s="112" t="str">
        <f>IF($M261="","",INDEX('MTRs'!$U$6:$U$505,$M261))</f>
        <v/>
      </c>
      <c r="J261" s="113" t="str">
        <f>IF($M261="","",INDEX('MTRs'!$AS$6:$AS$505,$M261)&amp;"")</f>
        <v/>
      </c>
      <c r="K261" s="110" t="str">
        <f>IF($M261="","",INDEX('MTRs'!$AT$6:$AT$505,$M261)&amp;"")</f>
        <v/>
      </c>
      <c r="L261" s="110" t="str">
        <f>IF($M261="","",INDEX('MTRs'!$Y$6:$Y$505,$M261)&amp;"")</f>
        <v/>
      </c>
      <c r="M261" t="str">
        <f>IFERROR(MATCH(SMALL('MTRs'!$AU$6:$AU$505,251),'MTRs'!$AU$6:$AU$505,0),"")</f>
        <v/>
      </c>
    </row>
    <row r="262" ht="30" customHeight="1">
      <c r="B262" s="108" t="str">
        <f>IF($M262="","",INDEX('MTRs'!$A$6:$A$505,$M262)&amp;"")</f>
        <v/>
      </c>
      <c r="C262" s="109" t="str">
        <f>IF($M262="","",INDEX('MTRs'!$B$6:$B$505,$M262)&amp;"")</f>
        <v/>
      </c>
      <c r="D262" s="110" t="str">
        <f>IF($M262="","",INDEX('MTRs'!$G$6:$G$505,$M262)&amp;"")</f>
        <v/>
      </c>
      <c r="E262" s="110" t="str">
        <f>IF($M262="","",INDEX('MTRs'!$H$6:$H$505,$M262)&amp;"")</f>
        <v/>
      </c>
      <c r="F262" s="110" t="str">
        <f>IF($M262="","",INDEX('MTRs'!$I$6:$I$505,$M262)&amp;"")</f>
        <v/>
      </c>
      <c r="G262" s="110" t="str">
        <f>IF($M262="","",INDEX('MTRs'!$T$6:$T$505,$M262)&amp;"")</f>
        <v/>
      </c>
      <c r="H262" s="111" t="str">
        <f>IF($M262="","",INDEX('MTRs'!$AQ$6:$AQ$505,$M262))</f>
        <v/>
      </c>
      <c r="I262" s="112" t="str">
        <f>IF($M262="","",INDEX('MTRs'!$U$6:$U$505,$M262))</f>
        <v/>
      </c>
      <c r="J262" s="113" t="str">
        <f>IF($M262="","",INDEX('MTRs'!$AS$6:$AS$505,$M262)&amp;"")</f>
        <v/>
      </c>
      <c r="K262" s="110" t="str">
        <f>IF($M262="","",INDEX('MTRs'!$AT$6:$AT$505,$M262)&amp;"")</f>
        <v/>
      </c>
      <c r="L262" s="110" t="str">
        <f>IF($M262="","",INDEX('MTRs'!$Y$6:$Y$505,$M262)&amp;"")</f>
        <v/>
      </c>
      <c r="M262" t="str">
        <f>IFERROR(MATCH(SMALL('MTRs'!$AU$6:$AU$505,252),'MTRs'!$AU$6:$AU$505,0),"")</f>
        <v/>
      </c>
    </row>
    <row r="263" ht="30" customHeight="1">
      <c r="B263" s="108" t="str">
        <f>IF($M263="","",INDEX('MTRs'!$A$6:$A$505,$M263)&amp;"")</f>
        <v/>
      </c>
      <c r="C263" s="109" t="str">
        <f>IF($M263="","",INDEX('MTRs'!$B$6:$B$505,$M263)&amp;"")</f>
        <v/>
      </c>
      <c r="D263" s="110" t="str">
        <f>IF($M263="","",INDEX('MTRs'!$G$6:$G$505,$M263)&amp;"")</f>
        <v/>
      </c>
      <c r="E263" s="110" t="str">
        <f>IF($M263="","",INDEX('MTRs'!$H$6:$H$505,$M263)&amp;"")</f>
        <v/>
      </c>
      <c r="F263" s="110" t="str">
        <f>IF($M263="","",INDEX('MTRs'!$I$6:$I$505,$M263)&amp;"")</f>
        <v/>
      </c>
      <c r="G263" s="110" t="str">
        <f>IF($M263="","",INDEX('MTRs'!$T$6:$T$505,$M263)&amp;"")</f>
        <v/>
      </c>
      <c r="H263" s="111" t="str">
        <f>IF($M263="","",INDEX('MTRs'!$AQ$6:$AQ$505,$M263))</f>
        <v/>
      </c>
      <c r="I263" s="112" t="str">
        <f>IF($M263="","",INDEX('MTRs'!$U$6:$U$505,$M263))</f>
        <v/>
      </c>
      <c r="J263" s="113" t="str">
        <f>IF($M263="","",INDEX('MTRs'!$AS$6:$AS$505,$M263)&amp;"")</f>
        <v/>
      </c>
      <c r="K263" s="110" t="str">
        <f>IF($M263="","",INDEX('MTRs'!$AT$6:$AT$505,$M263)&amp;"")</f>
        <v/>
      </c>
      <c r="L263" s="110" t="str">
        <f>IF($M263="","",INDEX('MTRs'!$Y$6:$Y$505,$M263)&amp;"")</f>
        <v/>
      </c>
      <c r="M263" t="str">
        <f>IFERROR(MATCH(SMALL('MTRs'!$AU$6:$AU$505,253),'MTRs'!$AU$6:$AU$505,0),"")</f>
        <v/>
      </c>
    </row>
    <row r="264" ht="30" customHeight="1">
      <c r="B264" s="108" t="str">
        <f>IF($M264="","",INDEX('MTRs'!$A$6:$A$505,$M264)&amp;"")</f>
        <v/>
      </c>
      <c r="C264" s="109" t="str">
        <f>IF($M264="","",INDEX('MTRs'!$B$6:$B$505,$M264)&amp;"")</f>
        <v/>
      </c>
      <c r="D264" s="110" t="str">
        <f>IF($M264="","",INDEX('MTRs'!$G$6:$G$505,$M264)&amp;"")</f>
        <v/>
      </c>
      <c r="E264" s="110" t="str">
        <f>IF($M264="","",INDEX('MTRs'!$H$6:$H$505,$M264)&amp;"")</f>
        <v/>
      </c>
      <c r="F264" s="110" t="str">
        <f>IF($M264="","",INDEX('MTRs'!$I$6:$I$505,$M264)&amp;"")</f>
        <v/>
      </c>
      <c r="G264" s="110" t="str">
        <f>IF($M264="","",INDEX('MTRs'!$T$6:$T$505,$M264)&amp;"")</f>
        <v/>
      </c>
      <c r="H264" s="111" t="str">
        <f>IF($M264="","",INDEX('MTRs'!$AQ$6:$AQ$505,$M264))</f>
        <v/>
      </c>
      <c r="I264" s="112" t="str">
        <f>IF($M264="","",INDEX('MTRs'!$U$6:$U$505,$M264))</f>
        <v/>
      </c>
      <c r="J264" s="113" t="str">
        <f>IF($M264="","",INDEX('MTRs'!$AS$6:$AS$505,$M264)&amp;"")</f>
        <v/>
      </c>
      <c r="K264" s="110" t="str">
        <f>IF($M264="","",INDEX('MTRs'!$AT$6:$AT$505,$M264)&amp;"")</f>
        <v/>
      </c>
      <c r="L264" s="110" t="str">
        <f>IF($M264="","",INDEX('MTRs'!$Y$6:$Y$505,$M264)&amp;"")</f>
        <v/>
      </c>
      <c r="M264" t="str">
        <f>IFERROR(MATCH(SMALL('MTRs'!$AU$6:$AU$505,254),'MTRs'!$AU$6:$AU$505,0),"")</f>
        <v/>
      </c>
    </row>
    <row r="265" ht="30" customHeight="1">
      <c r="B265" s="108" t="str">
        <f>IF($M265="","",INDEX('MTRs'!$A$6:$A$505,$M265)&amp;"")</f>
        <v/>
      </c>
      <c r="C265" s="109" t="str">
        <f>IF($M265="","",INDEX('MTRs'!$B$6:$B$505,$M265)&amp;"")</f>
        <v/>
      </c>
      <c r="D265" s="110" t="str">
        <f>IF($M265="","",INDEX('MTRs'!$G$6:$G$505,$M265)&amp;"")</f>
        <v/>
      </c>
      <c r="E265" s="110" t="str">
        <f>IF($M265="","",INDEX('MTRs'!$H$6:$H$505,$M265)&amp;"")</f>
        <v/>
      </c>
      <c r="F265" s="110" t="str">
        <f>IF($M265="","",INDEX('MTRs'!$I$6:$I$505,$M265)&amp;"")</f>
        <v/>
      </c>
      <c r="G265" s="110" t="str">
        <f>IF($M265="","",INDEX('MTRs'!$T$6:$T$505,$M265)&amp;"")</f>
        <v/>
      </c>
      <c r="H265" s="111" t="str">
        <f>IF($M265="","",INDEX('MTRs'!$AQ$6:$AQ$505,$M265))</f>
        <v/>
      </c>
      <c r="I265" s="112" t="str">
        <f>IF($M265="","",INDEX('MTRs'!$U$6:$U$505,$M265))</f>
        <v/>
      </c>
      <c r="J265" s="113" t="str">
        <f>IF($M265="","",INDEX('MTRs'!$AS$6:$AS$505,$M265)&amp;"")</f>
        <v/>
      </c>
      <c r="K265" s="110" t="str">
        <f>IF($M265="","",INDEX('MTRs'!$AT$6:$AT$505,$M265)&amp;"")</f>
        <v/>
      </c>
      <c r="L265" s="110" t="str">
        <f>IF($M265="","",INDEX('MTRs'!$Y$6:$Y$505,$M265)&amp;"")</f>
        <v/>
      </c>
      <c r="M265" t="str">
        <f>IFERROR(MATCH(SMALL('MTRs'!$AU$6:$AU$505,255),'MTRs'!$AU$6:$AU$505,0),"")</f>
        <v/>
      </c>
    </row>
    <row r="266" ht="30" customHeight="1">
      <c r="B266" s="108" t="str">
        <f>IF($M266="","",INDEX('MTRs'!$A$6:$A$505,$M266)&amp;"")</f>
        <v/>
      </c>
      <c r="C266" s="109" t="str">
        <f>IF($M266="","",INDEX('MTRs'!$B$6:$B$505,$M266)&amp;"")</f>
        <v/>
      </c>
      <c r="D266" s="110" t="str">
        <f>IF($M266="","",INDEX('MTRs'!$G$6:$G$505,$M266)&amp;"")</f>
        <v/>
      </c>
      <c r="E266" s="110" t="str">
        <f>IF($M266="","",INDEX('MTRs'!$H$6:$H$505,$M266)&amp;"")</f>
        <v/>
      </c>
      <c r="F266" s="110" t="str">
        <f>IF($M266="","",INDEX('MTRs'!$I$6:$I$505,$M266)&amp;"")</f>
        <v/>
      </c>
      <c r="G266" s="110" t="str">
        <f>IF($M266="","",INDEX('MTRs'!$T$6:$T$505,$M266)&amp;"")</f>
        <v/>
      </c>
      <c r="H266" s="111" t="str">
        <f>IF($M266="","",INDEX('MTRs'!$AQ$6:$AQ$505,$M266))</f>
        <v/>
      </c>
      <c r="I266" s="112" t="str">
        <f>IF($M266="","",INDEX('MTRs'!$U$6:$U$505,$M266))</f>
        <v/>
      </c>
      <c r="J266" s="113" t="str">
        <f>IF($M266="","",INDEX('MTRs'!$AS$6:$AS$505,$M266)&amp;"")</f>
        <v/>
      </c>
      <c r="K266" s="110" t="str">
        <f>IF($M266="","",INDEX('MTRs'!$AT$6:$AT$505,$M266)&amp;"")</f>
        <v/>
      </c>
      <c r="L266" s="110" t="str">
        <f>IF($M266="","",INDEX('MTRs'!$Y$6:$Y$505,$M266)&amp;"")</f>
        <v/>
      </c>
      <c r="M266" t="str">
        <f>IFERROR(MATCH(SMALL('MTRs'!$AU$6:$AU$505,256),'MTRs'!$AU$6:$AU$505,0),"")</f>
        <v/>
      </c>
    </row>
    <row r="267" ht="30" customHeight="1">
      <c r="B267" s="108" t="str">
        <f>IF($M267="","",INDEX('MTRs'!$A$6:$A$505,$M267)&amp;"")</f>
        <v/>
      </c>
      <c r="C267" s="109" t="str">
        <f>IF($M267="","",INDEX('MTRs'!$B$6:$B$505,$M267)&amp;"")</f>
        <v/>
      </c>
      <c r="D267" s="110" t="str">
        <f>IF($M267="","",INDEX('MTRs'!$G$6:$G$505,$M267)&amp;"")</f>
        <v/>
      </c>
      <c r="E267" s="110" t="str">
        <f>IF($M267="","",INDEX('MTRs'!$H$6:$H$505,$M267)&amp;"")</f>
        <v/>
      </c>
      <c r="F267" s="110" t="str">
        <f>IF($M267="","",INDEX('MTRs'!$I$6:$I$505,$M267)&amp;"")</f>
        <v/>
      </c>
      <c r="G267" s="110" t="str">
        <f>IF($M267="","",INDEX('MTRs'!$T$6:$T$505,$M267)&amp;"")</f>
        <v/>
      </c>
      <c r="H267" s="111" t="str">
        <f>IF($M267="","",INDEX('MTRs'!$AQ$6:$AQ$505,$M267))</f>
        <v/>
      </c>
      <c r="I267" s="112" t="str">
        <f>IF($M267="","",INDEX('MTRs'!$U$6:$U$505,$M267))</f>
        <v/>
      </c>
      <c r="J267" s="113" t="str">
        <f>IF($M267="","",INDEX('MTRs'!$AS$6:$AS$505,$M267)&amp;"")</f>
        <v/>
      </c>
      <c r="K267" s="110" t="str">
        <f>IF($M267="","",INDEX('MTRs'!$AT$6:$AT$505,$M267)&amp;"")</f>
        <v/>
      </c>
      <c r="L267" s="110" t="str">
        <f>IF($M267="","",INDEX('MTRs'!$Y$6:$Y$505,$M267)&amp;"")</f>
        <v/>
      </c>
      <c r="M267" t="str">
        <f>IFERROR(MATCH(SMALL('MTRs'!$AU$6:$AU$505,257),'MTRs'!$AU$6:$AU$505,0),"")</f>
        <v/>
      </c>
    </row>
    <row r="268" ht="30" customHeight="1">
      <c r="B268" s="108" t="str">
        <f>IF($M268="","",INDEX('MTRs'!$A$6:$A$505,$M268)&amp;"")</f>
        <v/>
      </c>
      <c r="C268" s="109" t="str">
        <f>IF($M268="","",INDEX('MTRs'!$B$6:$B$505,$M268)&amp;"")</f>
        <v/>
      </c>
      <c r="D268" s="110" t="str">
        <f>IF($M268="","",INDEX('MTRs'!$G$6:$G$505,$M268)&amp;"")</f>
        <v/>
      </c>
      <c r="E268" s="110" t="str">
        <f>IF($M268="","",INDEX('MTRs'!$H$6:$H$505,$M268)&amp;"")</f>
        <v/>
      </c>
      <c r="F268" s="110" t="str">
        <f>IF($M268="","",INDEX('MTRs'!$I$6:$I$505,$M268)&amp;"")</f>
        <v/>
      </c>
      <c r="G268" s="110" t="str">
        <f>IF($M268="","",INDEX('MTRs'!$T$6:$T$505,$M268)&amp;"")</f>
        <v/>
      </c>
      <c r="H268" s="111" t="str">
        <f>IF($M268="","",INDEX('MTRs'!$AQ$6:$AQ$505,$M268))</f>
        <v/>
      </c>
      <c r="I268" s="112" t="str">
        <f>IF($M268="","",INDEX('MTRs'!$U$6:$U$505,$M268))</f>
        <v/>
      </c>
      <c r="J268" s="113" t="str">
        <f>IF($M268="","",INDEX('MTRs'!$AS$6:$AS$505,$M268)&amp;"")</f>
        <v/>
      </c>
      <c r="K268" s="110" t="str">
        <f>IF($M268="","",INDEX('MTRs'!$AT$6:$AT$505,$M268)&amp;"")</f>
        <v/>
      </c>
      <c r="L268" s="110" t="str">
        <f>IF($M268="","",INDEX('MTRs'!$Y$6:$Y$505,$M268)&amp;"")</f>
        <v/>
      </c>
      <c r="M268" t="str">
        <f>IFERROR(MATCH(SMALL('MTRs'!$AU$6:$AU$505,258),'MTRs'!$AU$6:$AU$505,0),"")</f>
        <v/>
      </c>
    </row>
    <row r="269" ht="30" customHeight="1">
      <c r="B269" s="108" t="str">
        <f>IF($M269="","",INDEX('MTRs'!$A$6:$A$505,$M269)&amp;"")</f>
        <v/>
      </c>
      <c r="C269" s="109" t="str">
        <f>IF($M269="","",INDEX('MTRs'!$B$6:$B$505,$M269)&amp;"")</f>
        <v/>
      </c>
      <c r="D269" s="110" t="str">
        <f>IF($M269="","",INDEX('MTRs'!$G$6:$G$505,$M269)&amp;"")</f>
        <v/>
      </c>
      <c r="E269" s="110" t="str">
        <f>IF($M269="","",INDEX('MTRs'!$H$6:$H$505,$M269)&amp;"")</f>
        <v/>
      </c>
      <c r="F269" s="110" t="str">
        <f>IF($M269="","",INDEX('MTRs'!$I$6:$I$505,$M269)&amp;"")</f>
        <v/>
      </c>
      <c r="G269" s="110" t="str">
        <f>IF($M269="","",INDEX('MTRs'!$T$6:$T$505,$M269)&amp;"")</f>
        <v/>
      </c>
      <c r="H269" s="111" t="str">
        <f>IF($M269="","",INDEX('MTRs'!$AQ$6:$AQ$505,$M269))</f>
        <v/>
      </c>
      <c r="I269" s="112" t="str">
        <f>IF($M269="","",INDEX('MTRs'!$U$6:$U$505,$M269))</f>
        <v/>
      </c>
      <c r="J269" s="113" t="str">
        <f>IF($M269="","",INDEX('MTRs'!$AS$6:$AS$505,$M269)&amp;"")</f>
        <v/>
      </c>
      <c r="K269" s="110" t="str">
        <f>IF($M269="","",INDEX('MTRs'!$AT$6:$AT$505,$M269)&amp;"")</f>
        <v/>
      </c>
      <c r="L269" s="110" t="str">
        <f>IF($M269="","",INDEX('MTRs'!$Y$6:$Y$505,$M269)&amp;"")</f>
        <v/>
      </c>
      <c r="M269" t="str">
        <f>IFERROR(MATCH(SMALL('MTRs'!$AU$6:$AU$505,259),'MTRs'!$AU$6:$AU$505,0),"")</f>
        <v/>
      </c>
    </row>
    <row r="270" ht="30" customHeight="1">
      <c r="B270" s="108" t="str">
        <f>IF($M270="","",INDEX('MTRs'!$A$6:$A$505,$M270)&amp;"")</f>
        <v/>
      </c>
      <c r="C270" s="109" t="str">
        <f>IF($M270="","",INDEX('MTRs'!$B$6:$B$505,$M270)&amp;"")</f>
        <v/>
      </c>
      <c r="D270" s="110" t="str">
        <f>IF($M270="","",INDEX('MTRs'!$G$6:$G$505,$M270)&amp;"")</f>
        <v/>
      </c>
      <c r="E270" s="110" t="str">
        <f>IF($M270="","",INDEX('MTRs'!$H$6:$H$505,$M270)&amp;"")</f>
        <v/>
      </c>
      <c r="F270" s="110" t="str">
        <f>IF($M270="","",INDEX('MTRs'!$I$6:$I$505,$M270)&amp;"")</f>
        <v/>
      </c>
      <c r="G270" s="110" t="str">
        <f>IF($M270="","",INDEX('MTRs'!$T$6:$T$505,$M270)&amp;"")</f>
        <v/>
      </c>
      <c r="H270" s="111" t="str">
        <f>IF($M270="","",INDEX('MTRs'!$AQ$6:$AQ$505,$M270))</f>
        <v/>
      </c>
      <c r="I270" s="112" t="str">
        <f>IF($M270="","",INDEX('MTRs'!$U$6:$U$505,$M270))</f>
        <v/>
      </c>
      <c r="J270" s="113" t="str">
        <f>IF($M270="","",INDEX('MTRs'!$AS$6:$AS$505,$M270)&amp;"")</f>
        <v/>
      </c>
      <c r="K270" s="110" t="str">
        <f>IF($M270="","",INDEX('MTRs'!$AT$6:$AT$505,$M270)&amp;"")</f>
        <v/>
      </c>
      <c r="L270" s="110" t="str">
        <f>IF($M270="","",INDEX('MTRs'!$Y$6:$Y$505,$M270)&amp;"")</f>
        <v/>
      </c>
      <c r="M270" t="str">
        <f>IFERROR(MATCH(SMALL('MTRs'!$AU$6:$AU$505,260),'MTRs'!$AU$6:$AU$505,0),"")</f>
        <v/>
      </c>
    </row>
    <row r="271" ht="30" customHeight="1">
      <c r="B271" s="108" t="str">
        <f>IF($M271="","",INDEX('MTRs'!$A$6:$A$505,$M271)&amp;"")</f>
        <v/>
      </c>
      <c r="C271" s="109" t="str">
        <f>IF($M271="","",INDEX('MTRs'!$B$6:$B$505,$M271)&amp;"")</f>
        <v/>
      </c>
      <c r="D271" s="110" t="str">
        <f>IF($M271="","",INDEX('MTRs'!$G$6:$G$505,$M271)&amp;"")</f>
        <v/>
      </c>
      <c r="E271" s="110" t="str">
        <f>IF($M271="","",INDEX('MTRs'!$H$6:$H$505,$M271)&amp;"")</f>
        <v/>
      </c>
      <c r="F271" s="110" t="str">
        <f>IF($M271="","",INDEX('MTRs'!$I$6:$I$505,$M271)&amp;"")</f>
        <v/>
      </c>
      <c r="G271" s="110" t="str">
        <f>IF($M271="","",INDEX('MTRs'!$T$6:$T$505,$M271)&amp;"")</f>
        <v/>
      </c>
      <c r="H271" s="111" t="str">
        <f>IF($M271="","",INDEX('MTRs'!$AQ$6:$AQ$505,$M271))</f>
        <v/>
      </c>
      <c r="I271" s="112" t="str">
        <f>IF($M271="","",INDEX('MTRs'!$U$6:$U$505,$M271))</f>
        <v/>
      </c>
      <c r="J271" s="113" t="str">
        <f>IF($M271="","",INDEX('MTRs'!$AS$6:$AS$505,$M271)&amp;"")</f>
        <v/>
      </c>
      <c r="K271" s="110" t="str">
        <f>IF($M271="","",INDEX('MTRs'!$AT$6:$AT$505,$M271)&amp;"")</f>
        <v/>
      </c>
      <c r="L271" s="110" t="str">
        <f>IF($M271="","",INDEX('MTRs'!$Y$6:$Y$505,$M271)&amp;"")</f>
        <v/>
      </c>
      <c r="M271" t="str">
        <f>IFERROR(MATCH(SMALL('MTRs'!$AU$6:$AU$505,261),'MTRs'!$AU$6:$AU$505,0),"")</f>
        <v/>
      </c>
    </row>
    <row r="272" ht="30" customHeight="1">
      <c r="B272" s="108" t="str">
        <f>IF($M272="","",INDEX('MTRs'!$A$6:$A$505,$M272)&amp;"")</f>
        <v/>
      </c>
      <c r="C272" s="109" t="str">
        <f>IF($M272="","",INDEX('MTRs'!$B$6:$B$505,$M272)&amp;"")</f>
        <v/>
      </c>
      <c r="D272" s="110" t="str">
        <f>IF($M272="","",INDEX('MTRs'!$G$6:$G$505,$M272)&amp;"")</f>
        <v/>
      </c>
      <c r="E272" s="110" t="str">
        <f>IF($M272="","",INDEX('MTRs'!$H$6:$H$505,$M272)&amp;"")</f>
        <v/>
      </c>
      <c r="F272" s="110" t="str">
        <f>IF($M272="","",INDEX('MTRs'!$I$6:$I$505,$M272)&amp;"")</f>
        <v/>
      </c>
      <c r="G272" s="110" t="str">
        <f>IF($M272="","",INDEX('MTRs'!$T$6:$T$505,$M272)&amp;"")</f>
        <v/>
      </c>
      <c r="H272" s="111" t="str">
        <f>IF($M272="","",INDEX('MTRs'!$AQ$6:$AQ$505,$M272))</f>
        <v/>
      </c>
      <c r="I272" s="112" t="str">
        <f>IF($M272="","",INDEX('MTRs'!$U$6:$U$505,$M272))</f>
        <v/>
      </c>
      <c r="J272" s="113" t="str">
        <f>IF($M272="","",INDEX('MTRs'!$AS$6:$AS$505,$M272)&amp;"")</f>
        <v/>
      </c>
      <c r="K272" s="110" t="str">
        <f>IF($M272="","",INDEX('MTRs'!$AT$6:$AT$505,$M272)&amp;"")</f>
        <v/>
      </c>
      <c r="L272" s="110" t="str">
        <f>IF($M272="","",INDEX('MTRs'!$Y$6:$Y$505,$M272)&amp;"")</f>
        <v/>
      </c>
      <c r="M272" t="str">
        <f>IFERROR(MATCH(SMALL('MTRs'!$AU$6:$AU$505,262),'MTRs'!$AU$6:$AU$505,0),"")</f>
        <v/>
      </c>
    </row>
    <row r="273" ht="30" customHeight="1">
      <c r="B273" s="108" t="str">
        <f>IF($M273="","",INDEX('MTRs'!$A$6:$A$505,$M273)&amp;"")</f>
        <v/>
      </c>
      <c r="C273" s="109" t="str">
        <f>IF($M273="","",INDEX('MTRs'!$B$6:$B$505,$M273)&amp;"")</f>
        <v/>
      </c>
      <c r="D273" s="110" t="str">
        <f>IF($M273="","",INDEX('MTRs'!$G$6:$G$505,$M273)&amp;"")</f>
        <v/>
      </c>
      <c r="E273" s="110" t="str">
        <f>IF($M273="","",INDEX('MTRs'!$H$6:$H$505,$M273)&amp;"")</f>
        <v/>
      </c>
      <c r="F273" s="110" t="str">
        <f>IF($M273="","",INDEX('MTRs'!$I$6:$I$505,$M273)&amp;"")</f>
        <v/>
      </c>
      <c r="G273" s="110" t="str">
        <f>IF($M273="","",INDEX('MTRs'!$T$6:$T$505,$M273)&amp;"")</f>
        <v/>
      </c>
      <c r="H273" s="111" t="str">
        <f>IF($M273="","",INDEX('MTRs'!$AQ$6:$AQ$505,$M273))</f>
        <v/>
      </c>
      <c r="I273" s="112" t="str">
        <f>IF($M273="","",INDEX('MTRs'!$U$6:$U$505,$M273))</f>
        <v/>
      </c>
      <c r="J273" s="113" t="str">
        <f>IF($M273="","",INDEX('MTRs'!$AS$6:$AS$505,$M273)&amp;"")</f>
        <v/>
      </c>
      <c r="K273" s="110" t="str">
        <f>IF($M273="","",INDEX('MTRs'!$AT$6:$AT$505,$M273)&amp;"")</f>
        <v/>
      </c>
      <c r="L273" s="110" t="str">
        <f>IF($M273="","",INDEX('MTRs'!$Y$6:$Y$505,$M273)&amp;"")</f>
        <v/>
      </c>
      <c r="M273" t="str">
        <f>IFERROR(MATCH(SMALL('MTRs'!$AU$6:$AU$505,263),'MTRs'!$AU$6:$AU$505,0),"")</f>
        <v/>
      </c>
    </row>
    <row r="274" ht="30" customHeight="1">
      <c r="B274" s="108" t="str">
        <f>IF($M274="","",INDEX('MTRs'!$A$6:$A$505,$M274)&amp;"")</f>
        <v/>
      </c>
      <c r="C274" s="109" t="str">
        <f>IF($M274="","",INDEX('MTRs'!$B$6:$B$505,$M274)&amp;"")</f>
        <v/>
      </c>
      <c r="D274" s="110" t="str">
        <f>IF($M274="","",INDEX('MTRs'!$G$6:$G$505,$M274)&amp;"")</f>
        <v/>
      </c>
      <c r="E274" s="110" t="str">
        <f>IF($M274="","",INDEX('MTRs'!$H$6:$H$505,$M274)&amp;"")</f>
        <v/>
      </c>
      <c r="F274" s="110" t="str">
        <f>IF($M274="","",INDEX('MTRs'!$I$6:$I$505,$M274)&amp;"")</f>
        <v/>
      </c>
      <c r="G274" s="110" t="str">
        <f>IF($M274="","",INDEX('MTRs'!$T$6:$T$505,$M274)&amp;"")</f>
        <v/>
      </c>
      <c r="H274" s="111" t="str">
        <f>IF($M274="","",INDEX('MTRs'!$AQ$6:$AQ$505,$M274))</f>
        <v/>
      </c>
      <c r="I274" s="112" t="str">
        <f>IF($M274="","",INDEX('MTRs'!$U$6:$U$505,$M274))</f>
        <v/>
      </c>
      <c r="J274" s="113" t="str">
        <f>IF($M274="","",INDEX('MTRs'!$AS$6:$AS$505,$M274)&amp;"")</f>
        <v/>
      </c>
      <c r="K274" s="110" t="str">
        <f>IF($M274="","",INDEX('MTRs'!$AT$6:$AT$505,$M274)&amp;"")</f>
        <v/>
      </c>
      <c r="L274" s="110" t="str">
        <f>IF($M274="","",INDEX('MTRs'!$Y$6:$Y$505,$M274)&amp;"")</f>
        <v/>
      </c>
      <c r="M274" t="str">
        <f>IFERROR(MATCH(SMALL('MTRs'!$AU$6:$AU$505,264),'MTRs'!$AU$6:$AU$505,0),"")</f>
        <v/>
      </c>
    </row>
    <row r="275" ht="30" customHeight="1">
      <c r="B275" s="108" t="str">
        <f>IF($M275="","",INDEX('MTRs'!$A$6:$A$505,$M275)&amp;"")</f>
        <v/>
      </c>
      <c r="C275" s="109" t="str">
        <f>IF($M275="","",INDEX('MTRs'!$B$6:$B$505,$M275)&amp;"")</f>
        <v/>
      </c>
      <c r="D275" s="110" t="str">
        <f>IF($M275="","",INDEX('MTRs'!$G$6:$G$505,$M275)&amp;"")</f>
        <v/>
      </c>
      <c r="E275" s="110" t="str">
        <f>IF($M275="","",INDEX('MTRs'!$H$6:$H$505,$M275)&amp;"")</f>
        <v/>
      </c>
      <c r="F275" s="110" t="str">
        <f>IF($M275="","",INDEX('MTRs'!$I$6:$I$505,$M275)&amp;"")</f>
        <v/>
      </c>
      <c r="G275" s="110" t="str">
        <f>IF($M275="","",INDEX('MTRs'!$T$6:$T$505,$M275)&amp;"")</f>
        <v/>
      </c>
      <c r="H275" s="111" t="str">
        <f>IF($M275="","",INDEX('MTRs'!$AQ$6:$AQ$505,$M275))</f>
        <v/>
      </c>
      <c r="I275" s="112" t="str">
        <f>IF($M275="","",INDEX('MTRs'!$U$6:$U$505,$M275))</f>
        <v/>
      </c>
      <c r="J275" s="113" t="str">
        <f>IF($M275="","",INDEX('MTRs'!$AS$6:$AS$505,$M275)&amp;"")</f>
        <v/>
      </c>
      <c r="K275" s="110" t="str">
        <f>IF($M275="","",INDEX('MTRs'!$AT$6:$AT$505,$M275)&amp;"")</f>
        <v/>
      </c>
      <c r="L275" s="110" t="str">
        <f>IF($M275="","",INDEX('MTRs'!$Y$6:$Y$505,$M275)&amp;"")</f>
        <v/>
      </c>
      <c r="M275" t="str">
        <f>IFERROR(MATCH(SMALL('MTRs'!$AU$6:$AU$505,265),'MTRs'!$AU$6:$AU$505,0),"")</f>
        <v/>
      </c>
    </row>
    <row r="276" ht="30" customHeight="1">
      <c r="B276" s="108" t="str">
        <f>IF($M276="","",INDEX('MTRs'!$A$6:$A$505,$M276)&amp;"")</f>
        <v/>
      </c>
      <c r="C276" s="109" t="str">
        <f>IF($M276="","",INDEX('MTRs'!$B$6:$B$505,$M276)&amp;"")</f>
        <v/>
      </c>
      <c r="D276" s="110" t="str">
        <f>IF($M276="","",INDEX('MTRs'!$G$6:$G$505,$M276)&amp;"")</f>
        <v/>
      </c>
      <c r="E276" s="110" t="str">
        <f>IF($M276="","",INDEX('MTRs'!$H$6:$H$505,$M276)&amp;"")</f>
        <v/>
      </c>
      <c r="F276" s="110" t="str">
        <f>IF($M276="","",INDEX('MTRs'!$I$6:$I$505,$M276)&amp;"")</f>
        <v/>
      </c>
      <c r="G276" s="110" t="str">
        <f>IF($M276="","",INDEX('MTRs'!$T$6:$T$505,$M276)&amp;"")</f>
        <v/>
      </c>
      <c r="H276" s="111" t="str">
        <f>IF($M276="","",INDEX('MTRs'!$AQ$6:$AQ$505,$M276))</f>
        <v/>
      </c>
      <c r="I276" s="112" t="str">
        <f>IF($M276="","",INDEX('MTRs'!$U$6:$U$505,$M276))</f>
        <v/>
      </c>
      <c r="J276" s="113" t="str">
        <f>IF($M276="","",INDEX('MTRs'!$AS$6:$AS$505,$M276)&amp;"")</f>
        <v/>
      </c>
      <c r="K276" s="110" t="str">
        <f>IF($M276="","",INDEX('MTRs'!$AT$6:$AT$505,$M276)&amp;"")</f>
        <v/>
      </c>
      <c r="L276" s="110" t="str">
        <f>IF($M276="","",INDEX('MTRs'!$Y$6:$Y$505,$M276)&amp;"")</f>
        <v/>
      </c>
      <c r="M276" t="str">
        <f>IFERROR(MATCH(SMALL('MTRs'!$AU$6:$AU$505,266),'MTRs'!$AU$6:$AU$505,0),"")</f>
        <v/>
      </c>
    </row>
    <row r="277" ht="30" customHeight="1">
      <c r="B277" s="108" t="str">
        <f>IF($M277="","",INDEX('MTRs'!$A$6:$A$505,$M277)&amp;"")</f>
        <v/>
      </c>
      <c r="C277" s="109" t="str">
        <f>IF($M277="","",INDEX('MTRs'!$B$6:$B$505,$M277)&amp;"")</f>
        <v/>
      </c>
      <c r="D277" s="110" t="str">
        <f>IF($M277="","",INDEX('MTRs'!$G$6:$G$505,$M277)&amp;"")</f>
        <v/>
      </c>
      <c r="E277" s="110" t="str">
        <f>IF($M277="","",INDEX('MTRs'!$H$6:$H$505,$M277)&amp;"")</f>
        <v/>
      </c>
      <c r="F277" s="110" t="str">
        <f>IF($M277="","",INDEX('MTRs'!$I$6:$I$505,$M277)&amp;"")</f>
        <v/>
      </c>
      <c r="G277" s="110" t="str">
        <f>IF($M277="","",INDEX('MTRs'!$T$6:$T$505,$M277)&amp;"")</f>
        <v/>
      </c>
      <c r="H277" s="111" t="str">
        <f>IF($M277="","",INDEX('MTRs'!$AQ$6:$AQ$505,$M277))</f>
        <v/>
      </c>
      <c r="I277" s="112" t="str">
        <f>IF($M277="","",INDEX('MTRs'!$U$6:$U$505,$M277))</f>
        <v/>
      </c>
      <c r="J277" s="113" t="str">
        <f>IF($M277="","",INDEX('MTRs'!$AS$6:$AS$505,$M277)&amp;"")</f>
        <v/>
      </c>
      <c r="K277" s="110" t="str">
        <f>IF($M277="","",INDEX('MTRs'!$AT$6:$AT$505,$M277)&amp;"")</f>
        <v/>
      </c>
      <c r="L277" s="110" t="str">
        <f>IF($M277="","",INDEX('MTRs'!$Y$6:$Y$505,$M277)&amp;"")</f>
        <v/>
      </c>
      <c r="M277" t="str">
        <f>IFERROR(MATCH(SMALL('MTRs'!$AU$6:$AU$505,267),'MTRs'!$AU$6:$AU$505,0),"")</f>
        <v/>
      </c>
    </row>
    <row r="278" ht="30" customHeight="1">
      <c r="B278" s="108" t="str">
        <f>IF($M278="","",INDEX('MTRs'!$A$6:$A$505,$M278)&amp;"")</f>
        <v/>
      </c>
      <c r="C278" s="109" t="str">
        <f>IF($M278="","",INDEX('MTRs'!$B$6:$B$505,$M278)&amp;"")</f>
        <v/>
      </c>
      <c r="D278" s="110" t="str">
        <f>IF($M278="","",INDEX('MTRs'!$G$6:$G$505,$M278)&amp;"")</f>
        <v/>
      </c>
      <c r="E278" s="110" t="str">
        <f>IF($M278="","",INDEX('MTRs'!$H$6:$H$505,$M278)&amp;"")</f>
        <v/>
      </c>
      <c r="F278" s="110" t="str">
        <f>IF($M278="","",INDEX('MTRs'!$I$6:$I$505,$M278)&amp;"")</f>
        <v/>
      </c>
      <c r="G278" s="110" t="str">
        <f>IF($M278="","",INDEX('MTRs'!$T$6:$T$505,$M278)&amp;"")</f>
        <v/>
      </c>
      <c r="H278" s="111" t="str">
        <f>IF($M278="","",INDEX('MTRs'!$AQ$6:$AQ$505,$M278))</f>
        <v/>
      </c>
      <c r="I278" s="112" t="str">
        <f>IF($M278="","",INDEX('MTRs'!$U$6:$U$505,$M278))</f>
        <v/>
      </c>
      <c r="J278" s="113" t="str">
        <f>IF($M278="","",INDEX('MTRs'!$AS$6:$AS$505,$M278)&amp;"")</f>
        <v/>
      </c>
      <c r="K278" s="110" t="str">
        <f>IF($M278="","",INDEX('MTRs'!$AT$6:$AT$505,$M278)&amp;"")</f>
        <v/>
      </c>
      <c r="L278" s="110" t="str">
        <f>IF($M278="","",INDEX('MTRs'!$Y$6:$Y$505,$M278)&amp;"")</f>
        <v/>
      </c>
      <c r="M278" t="str">
        <f>IFERROR(MATCH(SMALL('MTRs'!$AU$6:$AU$505,268),'MTRs'!$AU$6:$AU$505,0),"")</f>
        <v/>
      </c>
    </row>
    <row r="279" ht="30" customHeight="1">
      <c r="B279" s="108" t="str">
        <f>IF($M279="","",INDEX('MTRs'!$A$6:$A$505,$M279)&amp;"")</f>
        <v/>
      </c>
      <c r="C279" s="109" t="str">
        <f>IF($M279="","",INDEX('MTRs'!$B$6:$B$505,$M279)&amp;"")</f>
        <v/>
      </c>
      <c r="D279" s="110" t="str">
        <f>IF($M279="","",INDEX('MTRs'!$G$6:$G$505,$M279)&amp;"")</f>
        <v/>
      </c>
      <c r="E279" s="110" t="str">
        <f>IF($M279="","",INDEX('MTRs'!$H$6:$H$505,$M279)&amp;"")</f>
        <v/>
      </c>
      <c r="F279" s="110" t="str">
        <f>IF($M279="","",INDEX('MTRs'!$I$6:$I$505,$M279)&amp;"")</f>
        <v/>
      </c>
      <c r="G279" s="110" t="str">
        <f>IF($M279="","",INDEX('MTRs'!$T$6:$T$505,$M279)&amp;"")</f>
        <v/>
      </c>
      <c r="H279" s="111" t="str">
        <f>IF($M279="","",INDEX('MTRs'!$AQ$6:$AQ$505,$M279))</f>
        <v/>
      </c>
      <c r="I279" s="112" t="str">
        <f>IF($M279="","",INDEX('MTRs'!$U$6:$U$505,$M279))</f>
        <v/>
      </c>
      <c r="J279" s="113" t="str">
        <f>IF($M279="","",INDEX('MTRs'!$AS$6:$AS$505,$M279)&amp;"")</f>
        <v/>
      </c>
      <c r="K279" s="110" t="str">
        <f>IF($M279="","",INDEX('MTRs'!$AT$6:$AT$505,$M279)&amp;"")</f>
        <v/>
      </c>
      <c r="L279" s="110" t="str">
        <f>IF($M279="","",INDEX('MTRs'!$Y$6:$Y$505,$M279)&amp;"")</f>
        <v/>
      </c>
      <c r="M279" t="str">
        <f>IFERROR(MATCH(SMALL('MTRs'!$AU$6:$AU$505,269),'MTRs'!$AU$6:$AU$505,0),"")</f>
        <v/>
      </c>
    </row>
    <row r="280" ht="30" customHeight="1">
      <c r="B280" s="108" t="str">
        <f>IF($M280="","",INDEX('MTRs'!$A$6:$A$505,$M280)&amp;"")</f>
        <v/>
      </c>
      <c r="C280" s="109" t="str">
        <f>IF($M280="","",INDEX('MTRs'!$B$6:$B$505,$M280)&amp;"")</f>
        <v/>
      </c>
      <c r="D280" s="110" t="str">
        <f>IF($M280="","",INDEX('MTRs'!$G$6:$G$505,$M280)&amp;"")</f>
        <v/>
      </c>
      <c r="E280" s="110" t="str">
        <f>IF($M280="","",INDEX('MTRs'!$H$6:$H$505,$M280)&amp;"")</f>
        <v/>
      </c>
      <c r="F280" s="110" t="str">
        <f>IF($M280="","",INDEX('MTRs'!$I$6:$I$505,$M280)&amp;"")</f>
        <v/>
      </c>
      <c r="G280" s="110" t="str">
        <f>IF($M280="","",INDEX('MTRs'!$T$6:$T$505,$M280)&amp;"")</f>
        <v/>
      </c>
      <c r="H280" s="111" t="str">
        <f>IF($M280="","",INDEX('MTRs'!$AQ$6:$AQ$505,$M280))</f>
        <v/>
      </c>
      <c r="I280" s="112" t="str">
        <f>IF($M280="","",INDEX('MTRs'!$U$6:$U$505,$M280))</f>
        <v/>
      </c>
      <c r="J280" s="113" t="str">
        <f>IF($M280="","",INDEX('MTRs'!$AS$6:$AS$505,$M280)&amp;"")</f>
        <v/>
      </c>
      <c r="K280" s="110" t="str">
        <f>IF($M280="","",INDEX('MTRs'!$AT$6:$AT$505,$M280)&amp;"")</f>
        <v/>
      </c>
      <c r="L280" s="110" t="str">
        <f>IF($M280="","",INDEX('MTRs'!$Y$6:$Y$505,$M280)&amp;"")</f>
        <v/>
      </c>
      <c r="M280" t="str">
        <f>IFERROR(MATCH(SMALL('MTRs'!$AU$6:$AU$505,270),'MTRs'!$AU$6:$AU$505,0),"")</f>
        <v/>
      </c>
    </row>
    <row r="281" ht="30" customHeight="1">
      <c r="B281" s="108" t="str">
        <f>IF($M281="","",INDEX('MTRs'!$A$6:$A$505,$M281)&amp;"")</f>
        <v/>
      </c>
      <c r="C281" s="109" t="str">
        <f>IF($M281="","",INDEX('MTRs'!$B$6:$B$505,$M281)&amp;"")</f>
        <v/>
      </c>
      <c r="D281" s="110" t="str">
        <f>IF($M281="","",INDEX('MTRs'!$G$6:$G$505,$M281)&amp;"")</f>
        <v/>
      </c>
      <c r="E281" s="110" t="str">
        <f>IF($M281="","",INDEX('MTRs'!$H$6:$H$505,$M281)&amp;"")</f>
        <v/>
      </c>
      <c r="F281" s="110" t="str">
        <f>IF($M281="","",INDEX('MTRs'!$I$6:$I$505,$M281)&amp;"")</f>
        <v/>
      </c>
      <c r="G281" s="110" t="str">
        <f>IF($M281="","",INDEX('MTRs'!$T$6:$T$505,$M281)&amp;"")</f>
        <v/>
      </c>
      <c r="H281" s="111" t="str">
        <f>IF($M281="","",INDEX('MTRs'!$AQ$6:$AQ$505,$M281))</f>
        <v/>
      </c>
      <c r="I281" s="112" t="str">
        <f>IF($M281="","",INDEX('MTRs'!$U$6:$U$505,$M281))</f>
        <v/>
      </c>
      <c r="J281" s="113" t="str">
        <f>IF($M281="","",INDEX('MTRs'!$AS$6:$AS$505,$M281)&amp;"")</f>
        <v/>
      </c>
      <c r="K281" s="110" t="str">
        <f>IF($M281="","",INDEX('MTRs'!$AT$6:$AT$505,$M281)&amp;"")</f>
        <v/>
      </c>
      <c r="L281" s="110" t="str">
        <f>IF($M281="","",INDEX('MTRs'!$Y$6:$Y$505,$M281)&amp;"")</f>
        <v/>
      </c>
      <c r="M281" t="str">
        <f>IFERROR(MATCH(SMALL('MTRs'!$AU$6:$AU$505,271),'MTRs'!$AU$6:$AU$505,0),"")</f>
        <v/>
      </c>
    </row>
    <row r="282" ht="30" customHeight="1">
      <c r="B282" s="108" t="str">
        <f>IF($M282="","",INDEX('MTRs'!$A$6:$A$505,$M282)&amp;"")</f>
        <v/>
      </c>
      <c r="C282" s="109" t="str">
        <f>IF($M282="","",INDEX('MTRs'!$B$6:$B$505,$M282)&amp;"")</f>
        <v/>
      </c>
      <c r="D282" s="110" t="str">
        <f>IF($M282="","",INDEX('MTRs'!$G$6:$G$505,$M282)&amp;"")</f>
        <v/>
      </c>
      <c r="E282" s="110" t="str">
        <f>IF($M282="","",INDEX('MTRs'!$H$6:$H$505,$M282)&amp;"")</f>
        <v/>
      </c>
      <c r="F282" s="110" t="str">
        <f>IF($M282="","",INDEX('MTRs'!$I$6:$I$505,$M282)&amp;"")</f>
        <v/>
      </c>
      <c r="G282" s="110" t="str">
        <f>IF($M282="","",INDEX('MTRs'!$T$6:$T$505,$M282)&amp;"")</f>
        <v/>
      </c>
      <c r="H282" s="111" t="str">
        <f>IF($M282="","",INDEX('MTRs'!$AQ$6:$AQ$505,$M282))</f>
        <v/>
      </c>
      <c r="I282" s="112" t="str">
        <f>IF($M282="","",INDEX('MTRs'!$U$6:$U$505,$M282))</f>
        <v/>
      </c>
      <c r="J282" s="113" t="str">
        <f>IF($M282="","",INDEX('MTRs'!$AS$6:$AS$505,$M282)&amp;"")</f>
        <v/>
      </c>
      <c r="K282" s="110" t="str">
        <f>IF($M282="","",INDEX('MTRs'!$AT$6:$AT$505,$M282)&amp;"")</f>
        <v/>
      </c>
      <c r="L282" s="110" t="str">
        <f>IF($M282="","",INDEX('MTRs'!$Y$6:$Y$505,$M282)&amp;"")</f>
        <v/>
      </c>
      <c r="M282" t="str">
        <f>IFERROR(MATCH(SMALL('MTRs'!$AU$6:$AU$505,272),'MTRs'!$AU$6:$AU$505,0),"")</f>
        <v/>
      </c>
    </row>
    <row r="283" ht="30" customHeight="1">
      <c r="B283" s="108" t="str">
        <f>IF($M283="","",INDEX('MTRs'!$A$6:$A$505,$M283)&amp;"")</f>
        <v/>
      </c>
      <c r="C283" s="109" t="str">
        <f>IF($M283="","",INDEX('MTRs'!$B$6:$B$505,$M283)&amp;"")</f>
        <v/>
      </c>
      <c r="D283" s="110" t="str">
        <f>IF($M283="","",INDEX('MTRs'!$G$6:$G$505,$M283)&amp;"")</f>
        <v/>
      </c>
      <c r="E283" s="110" t="str">
        <f>IF($M283="","",INDEX('MTRs'!$H$6:$H$505,$M283)&amp;"")</f>
        <v/>
      </c>
      <c r="F283" s="110" t="str">
        <f>IF($M283="","",INDEX('MTRs'!$I$6:$I$505,$M283)&amp;"")</f>
        <v/>
      </c>
      <c r="G283" s="110" t="str">
        <f>IF($M283="","",INDEX('MTRs'!$T$6:$T$505,$M283)&amp;"")</f>
        <v/>
      </c>
      <c r="H283" s="111" t="str">
        <f>IF($M283="","",INDEX('MTRs'!$AQ$6:$AQ$505,$M283))</f>
        <v/>
      </c>
      <c r="I283" s="112" t="str">
        <f>IF($M283="","",INDEX('MTRs'!$U$6:$U$505,$M283))</f>
        <v/>
      </c>
      <c r="J283" s="113" t="str">
        <f>IF($M283="","",INDEX('MTRs'!$AS$6:$AS$505,$M283)&amp;"")</f>
        <v/>
      </c>
      <c r="K283" s="110" t="str">
        <f>IF($M283="","",INDEX('MTRs'!$AT$6:$AT$505,$M283)&amp;"")</f>
        <v/>
      </c>
      <c r="L283" s="110" t="str">
        <f>IF($M283="","",INDEX('MTRs'!$Y$6:$Y$505,$M283)&amp;"")</f>
        <v/>
      </c>
      <c r="M283" t="str">
        <f>IFERROR(MATCH(SMALL('MTRs'!$AU$6:$AU$505,273),'MTRs'!$AU$6:$AU$505,0),"")</f>
        <v/>
      </c>
    </row>
    <row r="284" ht="30" customHeight="1">
      <c r="B284" s="108" t="str">
        <f>IF($M284="","",INDEX('MTRs'!$A$6:$A$505,$M284)&amp;"")</f>
        <v/>
      </c>
      <c r="C284" s="109" t="str">
        <f>IF($M284="","",INDEX('MTRs'!$B$6:$B$505,$M284)&amp;"")</f>
        <v/>
      </c>
      <c r="D284" s="110" t="str">
        <f>IF($M284="","",INDEX('MTRs'!$G$6:$G$505,$M284)&amp;"")</f>
        <v/>
      </c>
      <c r="E284" s="110" t="str">
        <f>IF($M284="","",INDEX('MTRs'!$H$6:$H$505,$M284)&amp;"")</f>
        <v/>
      </c>
      <c r="F284" s="110" t="str">
        <f>IF($M284="","",INDEX('MTRs'!$I$6:$I$505,$M284)&amp;"")</f>
        <v/>
      </c>
      <c r="G284" s="110" t="str">
        <f>IF($M284="","",INDEX('MTRs'!$T$6:$T$505,$M284)&amp;"")</f>
        <v/>
      </c>
      <c r="H284" s="111" t="str">
        <f>IF($M284="","",INDEX('MTRs'!$AQ$6:$AQ$505,$M284))</f>
        <v/>
      </c>
      <c r="I284" s="112" t="str">
        <f>IF($M284="","",INDEX('MTRs'!$U$6:$U$505,$M284))</f>
        <v/>
      </c>
      <c r="J284" s="113" t="str">
        <f>IF($M284="","",INDEX('MTRs'!$AS$6:$AS$505,$M284)&amp;"")</f>
        <v/>
      </c>
      <c r="K284" s="110" t="str">
        <f>IF($M284="","",INDEX('MTRs'!$AT$6:$AT$505,$M284)&amp;"")</f>
        <v/>
      </c>
      <c r="L284" s="110" t="str">
        <f>IF($M284="","",INDEX('MTRs'!$Y$6:$Y$505,$M284)&amp;"")</f>
        <v/>
      </c>
      <c r="M284" t="str">
        <f>IFERROR(MATCH(SMALL('MTRs'!$AU$6:$AU$505,274),'MTRs'!$AU$6:$AU$505,0),"")</f>
        <v/>
      </c>
    </row>
    <row r="285" ht="30" customHeight="1">
      <c r="B285" s="108" t="str">
        <f>IF($M285="","",INDEX('MTRs'!$A$6:$A$505,$M285)&amp;"")</f>
        <v/>
      </c>
      <c r="C285" s="109" t="str">
        <f>IF($M285="","",INDEX('MTRs'!$B$6:$B$505,$M285)&amp;"")</f>
        <v/>
      </c>
      <c r="D285" s="110" t="str">
        <f>IF($M285="","",INDEX('MTRs'!$G$6:$G$505,$M285)&amp;"")</f>
        <v/>
      </c>
      <c r="E285" s="110" t="str">
        <f>IF($M285="","",INDEX('MTRs'!$H$6:$H$505,$M285)&amp;"")</f>
        <v/>
      </c>
      <c r="F285" s="110" t="str">
        <f>IF($M285="","",INDEX('MTRs'!$I$6:$I$505,$M285)&amp;"")</f>
        <v/>
      </c>
      <c r="G285" s="110" t="str">
        <f>IF($M285="","",INDEX('MTRs'!$T$6:$T$505,$M285)&amp;"")</f>
        <v/>
      </c>
      <c r="H285" s="111" t="str">
        <f>IF($M285="","",INDEX('MTRs'!$AQ$6:$AQ$505,$M285))</f>
        <v/>
      </c>
      <c r="I285" s="112" t="str">
        <f>IF($M285="","",INDEX('MTRs'!$U$6:$U$505,$M285))</f>
        <v/>
      </c>
      <c r="J285" s="113" t="str">
        <f>IF($M285="","",INDEX('MTRs'!$AS$6:$AS$505,$M285)&amp;"")</f>
        <v/>
      </c>
      <c r="K285" s="110" t="str">
        <f>IF($M285="","",INDEX('MTRs'!$AT$6:$AT$505,$M285)&amp;"")</f>
        <v/>
      </c>
      <c r="L285" s="110" t="str">
        <f>IF($M285="","",INDEX('MTRs'!$Y$6:$Y$505,$M285)&amp;"")</f>
        <v/>
      </c>
      <c r="M285" t="str">
        <f>IFERROR(MATCH(SMALL('MTRs'!$AU$6:$AU$505,275),'MTRs'!$AU$6:$AU$505,0),"")</f>
        <v/>
      </c>
    </row>
    <row r="286" ht="30" customHeight="1">
      <c r="B286" s="108" t="str">
        <f>IF($M286="","",INDEX('MTRs'!$A$6:$A$505,$M286)&amp;"")</f>
        <v/>
      </c>
      <c r="C286" s="109" t="str">
        <f>IF($M286="","",INDEX('MTRs'!$B$6:$B$505,$M286)&amp;"")</f>
        <v/>
      </c>
      <c r="D286" s="110" t="str">
        <f>IF($M286="","",INDEX('MTRs'!$G$6:$G$505,$M286)&amp;"")</f>
        <v/>
      </c>
      <c r="E286" s="110" t="str">
        <f>IF($M286="","",INDEX('MTRs'!$H$6:$H$505,$M286)&amp;"")</f>
        <v/>
      </c>
      <c r="F286" s="110" t="str">
        <f>IF($M286="","",INDEX('MTRs'!$I$6:$I$505,$M286)&amp;"")</f>
        <v/>
      </c>
      <c r="G286" s="110" t="str">
        <f>IF($M286="","",INDEX('MTRs'!$T$6:$T$505,$M286)&amp;"")</f>
        <v/>
      </c>
      <c r="H286" s="111" t="str">
        <f>IF($M286="","",INDEX('MTRs'!$AQ$6:$AQ$505,$M286))</f>
        <v/>
      </c>
      <c r="I286" s="112" t="str">
        <f>IF($M286="","",INDEX('MTRs'!$U$6:$U$505,$M286))</f>
        <v/>
      </c>
      <c r="J286" s="113" t="str">
        <f>IF($M286="","",INDEX('MTRs'!$AS$6:$AS$505,$M286)&amp;"")</f>
        <v/>
      </c>
      <c r="K286" s="110" t="str">
        <f>IF($M286="","",INDEX('MTRs'!$AT$6:$AT$505,$M286)&amp;"")</f>
        <v/>
      </c>
      <c r="L286" s="110" t="str">
        <f>IF($M286="","",INDEX('MTRs'!$Y$6:$Y$505,$M286)&amp;"")</f>
        <v/>
      </c>
      <c r="M286" t="str">
        <f>IFERROR(MATCH(SMALL('MTRs'!$AU$6:$AU$505,276),'MTRs'!$AU$6:$AU$505,0),"")</f>
        <v/>
      </c>
    </row>
    <row r="287" ht="30" customHeight="1">
      <c r="B287" s="108" t="str">
        <f>IF($M287="","",INDEX('MTRs'!$A$6:$A$505,$M287)&amp;"")</f>
        <v/>
      </c>
      <c r="C287" s="109" t="str">
        <f>IF($M287="","",INDEX('MTRs'!$B$6:$B$505,$M287)&amp;"")</f>
        <v/>
      </c>
      <c r="D287" s="110" t="str">
        <f>IF($M287="","",INDEX('MTRs'!$G$6:$G$505,$M287)&amp;"")</f>
        <v/>
      </c>
      <c r="E287" s="110" t="str">
        <f>IF($M287="","",INDEX('MTRs'!$H$6:$H$505,$M287)&amp;"")</f>
        <v/>
      </c>
      <c r="F287" s="110" t="str">
        <f>IF($M287="","",INDEX('MTRs'!$I$6:$I$505,$M287)&amp;"")</f>
        <v/>
      </c>
      <c r="G287" s="110" t="str">
        <f>IF($M287="","",INDEX('MTRs'!$T$6:$T$505,$M287)&amp;"")</f>
        <v/>
      </c>
      <c r="H287" s="111" t="str">
        <f>IF($M287="","",INDEX('MTRs'!$AQ$6:$AQ$505,$M287))</f>
        <v/>
      </c>
      <c r="I287" s="112" t="str">
        <f>IF($M287="","",INDEX('MTRs'!$U$6:$U$505,$M287))</f>
        <v/>
      </c>
      <c r="J287" s="113" t="str">
        <f>IF($M287="","",INDEX('MTRs'!$AS$6:$AS$505,$M287)&amp;"")</f>
        <v/>
      </c>
      <c r="K287" s="110" t="str">
        <f>IF($M287="","",INDEX('MTRs'!$AT$6:$AT$505,$M287)&amp;"")</f>
        <v/>
      </c>
      <c r="L287" s="110" t="str">
        <f>IF($M287="","",INDEX('MTRs'!$Y$6:$Y$505,$M287)&amp;"")</f>
        <v/>
      </c>
      <c r="M287" t="str">
        <f>IFERROR(MATCH(SMALL('MTRs'!$AU$6:$AU$505,277),'MTRs'!$AU$6:$AU$505,0),"")</f>
        <v/>
      </c>
    </row>
    <row r="288" ht="30" customHeight="1">
      <c r="B288" s="108" t="str">
        <f>IF($M288="","",INDEX('MTRs'!$A$6:$A$505,$M288)&amp;"")</f>
        <v/>
      </c>
      <c r="C288" s="109" t="str">
        <f>IF($M288="","",INDEX('MTRs'!$B$6:$B$505,$M288)&amp;"")</f>
        <v/>
      </c>
      <c r="D288" s="110" t="str">
        <f>IF($M288="","",INDEX('MTRs'!$G$6:$G$505,$M288)&amp;"")</f>
        <v/>
      </c>
      <c r="E288" s="110" t="str">
        <f>IF($M288="","",INDEX('MTRs'!$H$6:$H$505,$M288)&amp;"")</f>
        <v/>
      </c>
      <c r="F288" s="110" t="str">
        <f>IF($M288="","",INDEX('MTRs'!$I$6:$I$505,$M288)&amp;"")</f>
        <v/>
      </c>
      <c r="G288" s="110" t="str">
        <f>IF($M288="","",INDEX('MTRs'!$T$6:$T$505,$M288)&amp;"")</f>
        <v/>
      </c>
      <c r="H288" s="111" t="str">
        <f>IF($M288="","",INDEX('MTRs'!$AQ$6:$AQ$505,$M288))</f>
        <v/>
      </c>
      <c r="I288" s="112" t="str">
        <f>IF($M288="","",INDEX('MTRs'!$U$6:$U$505,$M288))</f>
        <v/>
      </c>
      <c r="J288" s="113" t="str">
        <f>IF($M288="","",INDEX('MTRs'!$AS$6:$AS$505,$M288)&amp;"")</f>
        <v/>
      </c>
      <c r="K288" s="110" t="str">
        <f>IF($M288="","",INDEX('MTRs'!$AT$6:$AT$505,$M288)&amp;"")</f>
        <v/>
      </c>
      <c r="L288" s="110" t="str">
        <f>IF($M288="","",INDEX('MTRs'!$Y$6:$Y$505,$M288)&amp;"")</f>
        <v/>
      </c>
      <c r="M288" t="str">
        <f>IFERROR(MATCH(SMALL('MTRs'!$AU$6:$AU$505,278),'MTRs'!$AU$6:$AU$505,0),"")</f>
        <v/>
      </c>
    </row>
    <row r="289" ht="30" customHeight="1">
      <c r="B289" s="108" t="str">
        <f>IF($M289="","",INDEX('MTRs'!$A$6:$A$505,$M289)&amp;"")</f>
        <v/>
      </c>
      <c r="C289" s="109" t="str">
        <f>IF($M289="","",INDEX('MTRs'!$B$6:$B$505,$M289)&amp;"")</f>
        <v/>
      </c>
      <c r="D289" s="110" t="str">
        <f>IF($M289="","",INDEX('MTRs'!$G$6:$G$505,$M289)&amp;"")</f>
        <v/>
      </c>
      <c r="E289" s="110" t="str">
        <f>IF($M289="","",INDEX('MTRs'!$H$6:$H$505,$M289)&amp;"")</f>
        <v/>
      </c>
      <c r="F289" s="110" t="str">
        <f>IF($M289="","",INDEX('MTRs'!$I$6:$I$505,$M289)&amp;"")</f>
        <v/>
      </c>
      <c r="G289" s="110" t="str">
        <f>IF($M289="","",INDEX('MTRs'!$T$6:$T$505,$M289)&amp;"")</f>
        <v/>
      </c>
      <c r="H289" s="111" t="str">
        <f>IF($M289="","",INDEX('MTRs'!$AQ$6:$AQ$505,$M289))</f>
        <v/>
      </c>
      <c r="I289" s="112" t="str">
        <f>IF($M289="","",INDEX('MTRs'!$U$6:$U$505,$M289))</f>
        <v/>
      </c>
      <c r="J289" s="113" t="str">
        <f>IF($M289="","",INDEX('MTRs'!$AS$6:$AS$505,$M289)&amp;"")</f>
        <v/>
      </c>
      <c r="K289" s="110" t="str">
        <f>IF($M289="","",INDEX('MTRs'!$AT$6:$AT$505,$M289)&amp;"")</f>
        <v/>
      </c>
      <c r="L289" s="110" t="str">
        <f>IF($M289="","",INDEX('MTRs'!$Y$6:$Y$505,$M289)&amp;"")</f>
        <v/>
      </c>
      <c r="M289" t="str">
        <f>IFERROR(MATCH(SMALL('MTRs'!$AU$6:$AU$505,279),'MTRs'!$AU$6:$AU$505,0),"")</f>
        <v/>
      </c>
    </row>
    <row r="290" ht="30" customHeight="1">
      <c r="B290" s="108" t="str">
        <f>IF($M290="","",INDEX('MTRs'!$A$6:$A$505,$M290)&amp;"")</f>
        <v/>
      </c>
      <c r="C290" s="109" t="str">
        <f>IF($M290="","",INDEX('MTRs'!$B$6:$B$505,$M290)&amp;"")</f>
        <v/>
      </c>
      <c r="D290" s="110" t="str">
        <f>IF($M290="","",INDEX('MTRs'!$G$6:$G$505,$M290)&amp;"")</f>
        <v/>
      </c>
      <c r="E290" s="110" t="str">
        <f>IF($M290="","",INDEX('MTRs'!$H$6:$H$505,$M290)&amp;"")</f>
        <v/>
      </c>
      <c r="F290" s="110" t="str">
        <f>IF($M290="","",INDEX('MTRs'!$I$6:$I$505,$M290)&amp;"")</f>
        <v/>
      </c>
      <c r="G290" s="110" t="str">
        <f>IF($M290="","",INDEX('MTRs'!$T$6:$T$505,$M290)&amp;"")</f>
        <v/>
      </c>
      <c r="H290" s="111" t="str">
        <f>IF($M290="","",INDEX('MTRs'!$AQ$6:$AQ$505,$M290))</f>
        <v/>
      </c>
      <c r="I290" s="112" t="str">
        <f>IF($M290="","",INDEX('MTRs'!$U$6:$U$505,$M290))</f>
        <v/>
      </c>
      <c r="J290" s="113" t="str">
        <f>IF($M290="","",INDEX('MTRs'!$AS$6:$AS$505,$M290)&amp;"")</f>
        <v/>
      </c>
      <c r="K290" s="110" t="str">
        <f>IF($M290="","",INDEX('MTRs'!$AT$6:$AT$505,$M290)&amp;"")</f>
        <v/>
      </c>
      <c r="L290" s="110" t="str">
        <f>IF($M290="","",INDEX('MTRs'!$Y$6:$Y$505,$M290)&amp;"")</f>
        <v/>
      </c>
      <c r="M290" t="str">
        <f>IFERROR(MATCH(SMALL('MTRs'!$AU$6:$AU$505,280),'MTRs'!$AU$6:$AU$505,0),"")</f>
        <v/>
      </c>
    </row>
    <row r="291" ht="30" customHeight="1">
      <c r="B291" s="108" t="str">
        <f>IF($M291="","",INDEX('MTRs'!$A$6:$A$505,$M291)&amp;"")</f>
        <v/>
      </c>
      <c r="C291" s="109" t="str">
        <f>IF($M291="","",INDEX('MTRs'!$B$6:$B$505,$M291)&amp;"")</f>
        <v/>
      </c>
      <c r="D291" s="110" t="str">
        <f>IF($M291="","",INDEX('MTRs'!$G$6:$G$505,$M291)&amp;"")</f>
        <v/>
      </c>
      <c r="E291" s="110" t="str">
        <f>IF($M291="","",INDEX('MTRs'!$H$6:$H$505,$M291)&amp;"")</f>
        <v/>
      </c>
      <c r="F291" s="110" t="str">
        <f>IF($M291="","",INDEX('MTRs'!$I$6:$I$505,$M291)&amp;"")</f>
        <v/>
      </c>
      <c r="G291" s="110" t="str">
        <f>IF($M291="","",INDEX('MTRs'!$T$6:$T$505,$M291)&amp;"")</f>
        <v/>
      </c>
      <c r="H291" s="111" t="str">
        <f>IF($M291="","",INDEX('MTRs'!$AQ$6:$AQ$505,$M291))</f>
        <v/>
      </c>
      <c r="I291" s="112" t="str">
        <f>IF($M291="","",INDEX('MTRs'!$U$6:$U$505,$M291))</f>
        <v/>
      </c>
      <c r="J291" s="113" t="str">
        <f>IF($M291="","",INDEX('MTRs'!$AS$6:$AS$505,$M291)&amp;"")</f>
        <v/>
      </c>
      <c r="K291" s="110" t="str">
        <f>IF($M291="","",INDEX('MTRs'!$AT$6:$AT$505,$M291)&amp;"")</f>
        <v/>
      </c>
      <c r="L291" s="110" t="str">
        <f>IF($M291="","",INDEX('MTRs'!$Y$6:$Y$505,$M291)&amp;"")</f>
        <v/>
      </c>
      <c r="M291" t="str">
        <f>IFERROR(MATCH(SMALL('MTRs'!$AU$6:$AU$505,281),'MTRs'!$AU$6:$AU$505,0),"")</f>
        <v/>
      </c>
    </row>
    <row r="292" ht="30" customHeight="1">
      <c r="B292" s="108" t="str">
        <f>IF($M292="","",INDEX('MTRs'!$A$6:$A$505,$M292)&amp;"")</f>
        <v/>
      </c>
      <c r="C292" s="109" t="str">
        <f>IF($M292="","",INDEX('MTRs'!$B$6:$B$505,$M292)&amp;"")</f>
        <v/>
      </c>
      <c r="D292" s="110" t="str">
        <f>IF($M292="","",INDEX('MTRs'!$G$6:$G$505,$M292)&amp;"")</f>
        <v/>
      </c>
      <c r="E292" s="110" t="str">
        <f>IF($M292="","",INDEX('MTRs'!$H$6:$H$505,$M292)&amp;"")</f>
        <v/>
      </c>
      <c r="F292" s="110" t="str">
        <f>IF($M292="","",INDEX('MTRs'!$I$6:$I$505,$M292)&amp;"")</f>
        <v/>
      </c>
      <c r="G292" s="110" t="str">
        <f>IF($M292="","",INDEX('MTRs'!$T$6:$T$505,$M292)&amp;"")</f>
        <v/>
      </c>
      <c r="H292" s="111" t="str">
        <f>IF($M292="","",INDEX('MTRs'!$AQ$6:$AQ$505,$M292))</f>
        <v/>
      </c>
      <c r="I292" s="112" t="str">
        <f>IF($M292="","",INDEX('MTRs'!$U$6:$U$505,$M292))</f>
        <v/>
      </c>
      <c r="J292" s="113" t="str">
        <f>IF($M292="","",INDEX('MTRs'!$AS$6:$AS$505,$M292)&amp;"")</f>
        <v/>
      </c>
      <c r="K292" s="110" t="str">
        <f>IF($M292="","",INDEX('MTRs'!$AT$6:$AT$505,$M292)&amp;"")</f>
        <v/>
      </c>
      <c r="L292" s="110" t="str">
        <f>IF($M292="","",INDEX('MTRs'!$Y$6:$Y$505,$M292)&amp;"")</f>
        <v/>
      </c>
      <c r="M292" t="str">
        <f>IFERROR(MATCH(SMALL('MTRs'!$AU$6:$AU$505,282),'MTRs'!$AU$6:$AU$505,0),"")</f>
        <v/>
      </c>
    </row>
    <row r="293" ht="30" customHeight="1">
      <c r="B293" s="108" t="str">
        <f>IF($M293="","",INDEX('MTRs'!$A$6:$A$505,$M293)&amp;"")</f>
        <v/>
      </c>
      <c r="C293" s="109" t="str">
        <f>IF($M293="","",INDEX('MTRs'!$B$6:$B$505,$M293)&amp;"")</f>
        <v/>
      </c>
      <c r="D293" s="110" t="str">
        <f>IF($M293="","",INDEX('MTRs'!$G$6:$G$505,$M293)&amp;"")</f>
        <v/>
      </c>
      <c r="E293" s="110" t="str">
        <f>IF($M293="","",INDEX('MTRs'!$H$6:$H$505,$M293)&amp;"")</f>
        <v/>
      </c>
      <c r="F293" s="110" t="str">
        <f>IF($M293="","",INDEX('MTRs'!$I$6:$I$505,$M293)&amp;"")</f>
        <v/>
      </c>
      <c r="G293" s="110" t="str">
        <f>IF($M293="","",INDEX('MTRs'!$T$6:$T$505,$M293)&amp;"")</f>
        <v/>
      </c>
      <c r="H293" s="111" t="str">
        <f>IF($M293="","",INDEX('MTRs'!$AQ$6:$AQ$505,$M293))</f>
        <v/>
      </c>
      <c r="I293" s="112" t="str">
        <f>IF($M293="","",INDEX('MTRs'!$U$6:$U$505,$M293))</f>
        <v/>
      </c>
      <c r="J293" s="113" t="str">
        <f>IF($M293="","",INDEX('MTRs'!$AS$6:$AS$505,$M293)&amp;"")</f>
        <v/>
      </c>
      <c r="K293" s="110" t="str">
        <f>IF($M293="","",INDEX('MTRs'!$AT$6:$AT$505,$M293)&amp;"")</f>
        <v/>
      </c>
      <c r="L293" s="110" t="str">
        <f>IF($M293="","",INDEX('MTRs'!$Y$6:$Y$505,$M293)&amp;"")</f>
        <v/>
      </c>
      <c r="M293" t="str">
        <f>IFERROR(MATCH(SMALL('MTRs'!$AU$6:$AU$505,283),'MTRs'!$AU$6:$AU$505,0),"")</f>
        <v/>
      </c>
    </row>
    <row r="294" ht="30" customHeight="1">
      <c r="B294" s="108" t="str">
        <f>IF($M294="","",INDEX('MTRs'!$A$6:$A$505,$M294)&amp;"")</f>
        <v/>
      </c>
      <c r="C294" s="109" t="str">
        <f>IF($M294="","",INDEX('MTRs'!$B$6:$B$505,$M294)&amp;"")</f>
        <v/>
      </c>
      <c r="D294" s="110" t="str">
        <f>IF($M294="","",INDEX('MTRs'!$G$6:$G$505,$M294)&amp;"")</f>
        <v/>
      </c>
      <c r="E294" s="110" t="str">
        <f>IF($M294="","",INDEX('MTRs'!$H$6:$H$505,$M294)&amp;"")</f>
        <v/>
      </c>
      <c r="F294" s="110" t="str">
        <f>IF($M294="","",INDEX('MTRs'!$I$6:$I$505,$M294)&amp;"")</f>
        <v/>
      </c>
      <c r="G294" s="110" t="str">
        <f>IF($M294="","",INDEX('MTRs'!$T$6:$T$505,$M294)&amp;"")</f>
        <v/>
      </c>
      <c r="H294" s="111" t="str">
        <f>IF($M294="","",INDEX('MTRs'!$AQ$6:$AQ$505,$M294))</f>
        <v/>
      </c>
      <c r="I294" s="112" t="str">
        <f>IF($M294="","",INDEX('MTRs'!$U$6:$U$505,$M294))</f>
        <v/>
      </c>
      <c r="J294" s="113" t="str">
        <f>IF($M294="","",INDEX('MTRs'!$AS$6:$AS$505,$M294)&amp;"")</f>
        <v/>
      </c>
      <c r="K294" s="110" t="str">
        <f>IF($M294="","",INDEX('MTRs'!$AT$6:$AT$505,$M294)&amp;"")</f>
        <v/>
      </c>
      <c r="L294" s="110" t="str">
        <f>IF($M294="","",INDEX('MTRs'!$Y$6:$Y$505,$M294)&amp;"")</f>
        <v/>
      </c>
      <c r="M294" t="str">
        <f>IFERROR(MATCH(SMALL('MTRs'!$AU$6:$AU$505,284),'MTRs'!$AU$6:$AU$505,0),"")</f>
        <v/>
      </c>
    </row>
    <row r="295" ht="30" customHeight="1">
      <c r="B295" s="108" t="str">
        <f>IF($M295="","",INDEX('MTRs'!$A$6:$A$505,$M295)&amp;"")</f>
        <v/>
      </c>
      <c r="C295" s="109" t="str">
        <f>IF($M295="","",INDEX('MTRs'!$B$6:$B$505,$M295)&amp;"")</f>
        <v/>
      </c>
      <c r="D295" s="110" t="str">
        <f>IF($M295="","",INDEX('MTRs'!$G$6:$G$505,$M295)&amp;"")</f>
        <v/>
      </c>
      <c r="E295" s="110" t="str">
        <f>IF($M295="","",INDEX('MTRs'!$H$6:$H$505,$M295)&amp;"")</f>
        <v/>
      </c>
      <c r="F295" s="110" t="str">
        <f>IF($M295="","",INDEX('MTRs'!$I$6:$I$505,$M295)&amp;"")</f>
        <v/>
      </c>
      <c r="G295" s="110" t="str">
        <f>IF($M295="","",INDEX('MTRs'!$T$6:$T$505,$M295)&amp;"")</f>
        <v/>
      </c>
      <c r="H295" s="111" t="str">
        <f>IF($M295="","",INDEX('MTRs'!$AQ$6:$AQ$505,$M295))</f>
        <v/>
      </c>
      <c r="I295" s="112" t="str">
        <f>IF($M295="","",INDEX('MTRs'!$U$6:$U$505,$M295))</f>
        <v/>
      </c>
      <c r="J295" s="113" t="str">
        <f>IF($M295="","",INDEX('MTRs'!$AS$6:$AS$505,$M295)&amp;"")</f>
        <v/>
      </c>
      <c r="K295" s="110" t="str">
        <f>IF($M295="","",INDEX('MTRs'!$AT$6:$AT$505,$M295)&amp;"")</f>
        <v/>
      </c>
      <c r="L295" s="110" t="str">
        <f>IF($M295="","",INDEX('MTRs'!$Y$6:$Y$505,$M295)&amp;"")</f>
        <v/>
      </c>
      <c r="M295" t="str">
        <f>IFERROR(MATCH(SMALL('MTRs'!$AU$6:$AU$505,285),'MTRs'!$AU$6:$AU$505,0),"")</f>
        <v/>
      </c>
    </row>
    <row r="296" ht="30" customHeight="1">
      <c r="B296" s="108" t="str">
        <f>IF($M296="","",INDEX('MTRs'!$A$6:$A$505,$M296)&amp;"")</f>
        <v/>
      </c>
      <c r="C296" s="109" t="str">
        <f>IF($M296="","",INDEX('MTRs'!$B$6:$B$505,$M296)&amp;"")</f>
        <v/>
      </c>
      <c r="D296" s="110" t="str">
        <f>IF($M296="","",INDEX('MTRs'!$G$6:$G$505,$M296)&amp;"")</f>
        <v/>
      </c>
      <c r="E296" s="110" t="str">
        <f>IF($M296="","",INDEX('MTRs'!$H$6:$H$505,$M296)&amp;"")</f>
        <v/>
      </c>
      <c r="F296" s="110" t="str">
        <f>IF($M296="","",INDEX('MTRs'!$I$6:$I$505,$M296)&amp;"")</f>
        <v/>
      </c>
      <c r="G296" s="110" t="str">
        <f>IF($M296="","",INDEX('MTRs'!$T$6:$T$505,$M296)&amp;"")</f>
        <v/>
      </c>
      <c r="H296" s="111" t="str">
        <f>IF($M296="","",INDEX('MTRs'!$AQ$6:$AQ$505,$M296))</f>
        <v/>
      </c>
      <c r="I296" s="112" t="str">
        <f>IF($M296="","",INDEX('MTRs'!$U$6:$U$505,$M296))</f>
        <v/>
      </c>
      <c r="J296" s="113" t="str">
        <f>IF($M296="","",INDEX('MTRs'!$AS$6:$AS$505,$M296)&amp;"")</f>
        <v/>
      </c>
      <c r="K296" s="110" t="str">
        <f>IF($M296="","",INDEX('MTRs'!$AT$6:$AT$505,$M296)&amp;"")</f>
        <v/>
      </c>
      <c r="L296" s="110" t="str">
        <f>IF($M296="","",INDEX('MTRs'!$Y$6:$Y$505,$M296)&amp;"")</f>
        <v/>
      </c>
      <c r="M296" t="str">
        <f>IFERROR(MATCH(SMALL('MTRs'!$AU$6:$AU$505,286),'MTRs'!$AU$6:$AU$505,0),"")</f>
        <v/>
      </c>
    </row>
    <row r="297" ht="30" customHeight="1">
      <c r="B297" s="108" t="str">
        <f>IF($M297="","",INDEX('MTRs'!$A$6:$A$505,$M297)&amp;"")</f>
        <v/>
      </c>
      <c r="C297" s="109" t="str">
        <f>IF($M297="","",INDEX('MTRs'!$B$6:$B$505,$M297)&amp;"")</f>
        <v/>
      </c>
      <c r="D297" s="110" t="str">
        <f>IF($M297="","",INDEX('MTRs'!$G$6:$G$505,$M297)&amp;"")</f>
        <v/>
      </c>
      <c r="E297" s="110" t="str">
        <f>IF($M297="","",INDEX('MTRs'!$H$6:$H$505,$M297)&amp;"")</f>
        <v/>
      </c>
      <c r="F297" s="110" t="str">
        <f>IF($M297="","",INDEX('MTRs'!$I$6:$I$505,$M297)&amp;"")</f>
        <v/>
      </c>
      <c r="G297" s="110" t="str">
        <f>IF($M297="","",INDEX('MTRs'!$T$6:$T$505,$M297)&amp;"")</f>
        <v/>
      </c>
      <c r="H297" s="111" t="str">
        <f>IF($M297="","",INDEX('MTRs'!$AQ$6:$AQ$505,$M297))</f>
        <v/>
      </c>
      <c r="I297" s="112" t="str">
        <f>IF($M297="","",INDEX('MTRs'!$U$6:$U$505,$M297))</f>
        <v/>
      </c>
      <c r="J297" s="113" t="str">
        <f>IF($M297="","",INDEX('MTRs'!$AS$6:$AS$505,$M297)&amp;"")</f>
        <v/>
      </c>
      <c r="K297" s="110" t="str">
        <f>IF($M297="","",INDEX('MTRs'!$AT$6:$AT$505,$M297)&amp;"")</f>
        <v/>
      </c>
      <c r="L297" s="110" t="str">
        <f>IF($M297="","",INDEX('MTRs'!$Y$6:$Y$505,$M297)&amp;"")</f>
        <v/>
      </c>
      <c r="M297" t="str">
        <f>IFERROR(MATCH(SMALL('MTRs'!$AU$6:$AU$505,287),'MTRs'!$AU$6:$AU$505,0),"")</f>
        <v/>
      </c>
    </row>
    <row r="298" ht="30" customHeight="1">
      <c r="B298" s="108" t="str">
        <f>IF($M298="","",INDEX('MTRs'!$A$6:$A$505,$M298)&amp;"")</f>
        <v/>
      </c>
      <c r="C298" s="109" t="str">
        <f>IF($M298="","",INDEX('MTRs'!$B$6:$B$505,$M298)&amp;"")</f>
        <v/>
      </c>
      <c r="D298" s="110" t="str">
        <f>IF($M298="","",INDEX('MTRs'!$G$6:$G$505,$M298)&amp;"")</f>
        <v/>
      </c>
      <c r="E298" s="110" t="str">
        <f>IF($M298="","",INDEX('MTRs'!$H$6:$H$505,$M298)&amp;"")</f>
        <v/>
      </c>
      <c r="F298" s="110" t="str">
        <f>IF($M298="","",INDEX('MTRs'!$I$6:$I$505,$M298)&amp;"")</f>
        <v/>
      </c>
      <c r="G298" s="110" t="str">
        <f>IF($M298="","",INDEX('MTRs'!$T$6:$T$505,$M298)&amp;"")</f>
        <v/>
      </c>
      <c r="H298" s="111" t="str">
        <f>IF($M298="","",INDEX('MTRs'!$AQ$6:$AQ$505,$M298))</f>
        <v/>
      </c>
      <c r="I298" s="112" t="str">
        <f>IF($M298="","",INDEX('MTRs'!$U$6:$U$505,$M298))</f>
        <v/>
      </c>
      <c r="J298" s="113" t="str">
        <f>IF($M298="","",INDEX('MTRs'!$AS$6:$AS$505,$M298)&amp;"")</f>
        <v/>
      </c>
      <c r="K298" s="110" t="str">
        <f>IF($M298="","",INDEX('MTRs'!$AT$6:$AT$505,$M298)&amp;"")</f>
        <v/>
      </c>
      <c r="L298" s="110" t="str">
        <f>IF($M298="","",INDEX('MTRs'!$Y$6:$Y$505,$M298)&amp;"")</f>
        <v/>
      </c>
      <c r="M298" t="str">
        <f>IFERROR(MATCH(SMALL('MTRs'!$AU$6:$AU$505,288),'MTRs'!$AU$6:$AU$505,0),"")</f>
        <v/>
      </c>
    </row>
    <row r="299" ht="30" customHeight="1">
      <c r="B299" s="108" t="str">
        <f>IF($M299="","",INDEX('MTRs'!$A$6:$A$505,$M299)&amp;"")</f>
        <v/>
      </c>
      <c r="C299" s="109" t="str">
        <f>IF($M299="","",INDEX('MTRs'!$B$6:$B$505,$M299)&amp;"")</f>
        <v/>
      </c>
      <c r="D299" s="110" t="str">
        <f>IF($M299="","",INDEX('MTRs'!$G$6:$G$505,$M299)&amp;"")</f>
        <v/>
      </c>
      <c r="E299" s="110" t="str">
        <f>IF($M299="","",INDEX('MTRs'!$H$6:$H$505,$M299)&amp;"")</f>
        <v/>
      </c>
      <c r="F299" s="110" t="str">
        <f>IF($M299="","",INDEX('MTRs'!$I$6:$I$505,$M299)&amp;"")</f>
        <v/>
      </c>
      <c r="G299" s="110" t="str">
        <f>IF($M299="","",INDEX('MTRs'!$T$6:$T$505,$M299)&amp;"")</f>
        <v/>
      </c>
      <c r="H299" s="111" t="str">
        <f>IF($M299="","",INDEX('MTRs'!$AQ$6:$AQ$505,$M299))</f>
        <v/>
      </c>
      <c r="I299" s="112" t="str">
        <f>IF($M299="","",INDEX('MTRs'!$U$6:$U$505,$M299))</f>
        <v/>
      </c>
      <c r="J299" s="113" t="str">
        <f>IF($M299="","",INDEX('MTRs'!$AS$6:$AS$505,$M299)&amp;"")</f>
        <v/>
      </c>
      <c r="K299" s="110" t="str">
        <f>IF($M299="","",INDEX('MTRs'!$AT$6:$AT$505,$M299)&amp;"")</f>
        <v/>
      </c>
      <c r="L299" s="110" t="str">
        <f>IF($M299="","",INDEX('MTRs'!$Y$6:$Y$505,$M299)&amp;"")</f>
        <v/>
      </c>
      <c r="M299" t="str">
        <f>IFERROR(MATCH(SMALL('MTRs'!$AU$6:$AU$505,289),'MTRs'!$AU$6:$AU$505,0),"")</f>
        <v/>
      </c>
    </row>
    <row r="300" ht="30" customHeight="1">
      <c r="B300" s="108" t="str">
        <f>IF($M300="","",INDEX('MTRs'!$A$6:$A$505,$M300)&amp;"")</f>
        <v/>
      </c>
      <c r="C300" s="109" t="str">
        <f>IF($M300="","",INDEX('MTRs'!$B$6:$B$505,$M300)&amp;"")</f>
        <v/>
      </c>
      <c r="D300" s="110" t="str">
        <f>IF($M300="","",INDEX('MTRs'!$G$6:$G$505,$M300)&amp;"")</f>
        <v/>
      </c>
      <c r="E300" s="110" t="str">
        <f>IF($M300="","",INDEX('MTRs'!$H$6:$H$505,$M300)&amp;"")</f>
        <v/>
      </c>
      <c r="F300" s="110" t="str">
        <f>IF($M300="","",INDEX('MTRs'!$I$6:$I$505,$M300)&amp;"")</f>
        <v/>
      </c>
      <c r="G300" s="110" t="str">
        <f>IF($M300="","",INDEX('MTRs'!$T$6:$T$505,$M300)&amp;"")</f>
        <v/>
      </c>
      <c r="H300" s="111" t="str">
        <f>IF($M300="","",INDEX('MTRs'!$AQ$6:$AQ$505,$M300))</f>
        <v/>
      </c>
      <c r="I300" s="112" t="str">
        <f>IF($M300="","",INDEX('MTRs'!$U$6:$U$505,$M300))</f>
        <v/>
      </c>
      <c r="J300" s="113" t="str">
        <f>IF($M300="","",INDEX('MTRs'!$AS$6:$AS$505,$M300)&amp;"")</f>
        <v/>
      </c>
      <c r="K300" s="110" t="str">
        <f>IF($M300="","",INDEX('MTRs'!$AT$6:$AT$505,$M300)&amp;"")</f>
        <v/>
      </c>
      <c r="L300" s="110" t="str">
        <f>IF($M300="","",INDEX('MTRs'!$Y$6:$Y$505,$M300)&amp;"")</f>
        <v/>
      </c>
      <c r="M300" t="str">
        <f>IFERROR(MATCH(SMALL('MTRs'!$AU$6:$AU$505,290),'MTRs'!$AU$6:$AU$505,0),"")</f>
        <v/>
      </c>
    </row>
    <row r="301" ht="30" customHeight="1">
      <c r="B301" s="108" t="str">
        <f>IF($M301="","",INDEX('MTRs'!$A$6:$A$505,$M301)&amp;"")</f>
        <v/>
      </c>
      <c r="C301" s="109" t="str">
        <f>IF($M301="","",INDEX('MTRs'!$B$6:$B$505,$M301)&amp;"")</f>
        <v/>
      </c>
      <c r="D301" s="110" t="str">
        <f>IF($M301="","",INDEX('MTRs'!$G$6:$G$505,$M301)&amp;"")</f>
        <v/>
      </c>
      <c r="E301" s="110" t="str">
        <f>IF($M301="","",INDEX('MTRs'!$H$6:$H$505,$M301)&amp;"")</f>
        <v/>
      </c>
      <c r="F301" s="110" t="str">
        <f>IF($M301="","",INDEX('MTRs'!$I$6:$I$505,$M301)&amp;"")</f>
        <v/>
      </c>
      <c r="G301" s="110" t="str">
        <f>IF($M301="","",INDEX('MTRs'!$T$6:$T$505,$M301)&amp;"")</f>
        <v/>
      </c>
      <c r="H301" s="111" t="str">
        <f>IF($M301="","",INDEX('MTRs'!$AQ$6:$AQ$505,$M301))</f>
        <v/>
      </c>
      <c r="I301" s="112" t="str">
        <f>IF($M301="","",INDEX('MTRs'!$U$6:$U$505,$M301))</f>
        <v/>
      </c>
      <c r="J301" s="113" t="str">
        <f>IF($M301="","",INDEX('MTRs'!$AS$6:$AS$505,$M301)&amp;"")</f>
        <v/>
      </c>
      <c r="K301" s="110" t="str">
        <f>IF($M301="","",INDEX('MTRs'!$AT$6:$AT$505,$M301)&amp;"")</f>
        <v/>
      </c>
      <c r="L301" s="110" t="str">
        <f>IF($M301="","",INDEX('MTRs'!$Y$6:$Y$505,$M301)&amp;"")</f>
        <v/>
      </c>
      <c r="M301" t="str">
        <f>IFERROR(MATCH(SMALL('MTRs'!$AU$6:$AU$505,291),'MTRs'!$AU$6:$AU$505,0),"")</f>
        <v/>
      </c>
    </row>
    <row r="302" ht="30" customHeight="1">
      <c r="B302" s="108" t="str">
        <f>IF($M302="","",INDEX('MTRs'!$A$6:$A$505,$M302)&amp;"")</f>
        <v/>
      </c>
      <c r="C302" s="109" t="str">
        <f>IF($M302="","",INDEX('MTRs'!$B$6:$B$505,$M302)&amp;"")</f>
        <v/>
      </c>
      <c r="D302" s="110" t="str">
        <f>IF($M302="","",INDEX('MTRs'!$G$6:$G$505,$M302)&amp;"")</f>
        <v/>
      </c>
      <c r="E302" s="110" t="str">
        <f>IF($M302="","",INDEX('MTRs'!$H$6:$H$505,$M302)&amp;"")</f>
        <v/>
      </c>
      <c r="F302" s="110" t="str">
        <f>IF($M302="","",INDEX('MTRs'!$I$6:$I$505,$M302)&amp;"")</f>
        <v/>
      </c>
      <c r="G302" s="110" t="str">
        <f>IF($M302="","",INDEX('MTRs'!$T$6:$T$505,$M302)&amp;"")</f>
        <v/>
      </c>
      <c r="H302" s="111" t="str">
        <f>IF($M302="","",INDEX('MTRs'!$AQ$6:$AQ$505,$M302))</f>
        <v/>
      </c>
      <c r="I302" s="112" t="str">
        <f>IF($M302="","",INDEX('MTRs'!$U$6:$U$505,$M302))</f>
        <v/>
      </c>
      <c r="J302" s="113" t="str">
        <f>IF($M302="","",INDEX('MTRs'!$AS$6:$AS$505,$M302)&amp;"")</f>
        <v/>
      </c>
      <c r="K302" s="110" t="str">
        <f>IF($M302="","",INDEX('MTRs'!$AT$6:$AT$505,$M302)&amp;"")</f>
        <v/>
      </c>
      <c r="L302" s="110" t="str">
        <f>IF($M302="","",INDEX('MTRs'!$Y$6:$Y$505,$M302)&amp;"")</f>
        <v/>
      </c>
      <c r="M302" t="str">
        <f>IFERROR(MATCH(SMALL('MTRs'!$AU$6:$AU$505,292),'MTRs'!$AU$6:$AU$505,0),"")</f>
        <v/>
      </c>
    </row>
    <row r="303" ht="30" customHeight="1">
      <c r="B303" s="108" t="str">
        <f>IF($M303="","",INDEX('MTRs'!$A$6:$A$505,$M303)&amp;"")</f>
        <v/>
      </c>
      <c r="C303" s="109" t="str">
        <f>IF($M303="","",INDEX('MTRs'!$B$6:$B$505,$M303)&amp;"")</f>
        <v/>
      </c>
      <c r="D303" s="110" t="str">
        <f>IF($M303="","",INDEX('MTRs'!$G$6:$G$505,$M303)&amp;"")</f>
        <v/>
      </c>
      <c r="E303" s="110" t="str">
        <f>IF($M303="","",INDEX('MTRs'!$H$6:$H$505,$M303)&amp;"")</f>
        <v/>
      </c>
      <c r="F303" s="110" t="str">
        <f>IF($M303="","",INDEX('MTRs'!$I$6:$I$505,$M303)&amp;"")</f>
        <v/>
      </c>
      <c r="G303" s="110" t="str">
        <f>IF($M303="","",INDEX('MTRs'!$T$6:$T$505,$M303)&amp;"")</f>
        <v/>
      </c>
      <c r="H303" s="111" t="str">
        <f>IF($M303="","",INDEX('MTRs'!$AQ$6:$AQ$505,$M303))</f>
        <v/>
      </c>
      <c r="I303" s="112" t="str">
        <f>IF($M303="","",INDEX('MTRs'!$U$6:$U$505,$M303))</f>
        <v/>
      </c>
      <c r="J303" s="113" t="str">
        <f>IF($M303="","",INDEX('MTRs'!$AS$6:$AS$505,$M303)&amp;"")</f>
        <v/>
      </c>
      <c r="K303" s="110" t="str">
        <f>IF($M303="","",INDEX('MTRs'!$AT$6:$AT$505,$M303)&amp;"")</f>
        <v/>
      </c>
      <c r="L303" s="110" t="str">
        <f>IF($M303="","",INDEX('MTRs'!$Y$6:$Y$505,$M303)&amp;"")</f>
        <v/>
      </c>
      <c r="M303" t="str">
        <f>IFERROR(MATCH(SMALL('MTRs'!$AU$6:$AU$505,293),'MTRs'!$AU$6:$AU$505,0),"")</f>
        <v/>
      </c>
    </row>
    <row r="304" ht="30" customHeight="1">
      <c r="B304" s="108" t="str">
        <f>IF($M304="","",INDEX('MTRs'!$A$6:$A$505,$M304)&amp;"")</f>
        <v/>
      </c>
      <c r="C304" s="109" t="str">
        <f>IF($M304="","",INDEX('MTRs'!$B$6:$B$505,$M304)&amp;"")</f>
        <v/>
      </c>
      <c r="D304" s="110" t="str">
        <f>IF($M304="","",INDEX('MTRs'!$G$6:$G$505,$M304)&amp;"")</f>
        <v/>
      </c>
      <c r="E304" s="110" t="str">
        <f>IF($M304="","",INDEX('MTRs'!$H$6:$H$505,$M304)&amp;"")</f>
        <v/>
      </c>
      <c r="F304" s="110" t="str">
        <f>IF($M304="","",INDEX('MTRs'!$I$6:$I$505,$M304)&amp;"")</f>
        <v/>
      </c>
      <c r="G304" s="110" t="str">
        <f>IF($M304="","",INDEX('MTRs'!$T$6:$T$505,$M304)&amp;"")</f>
        <v/>
      </c>
      <c r="H304" s="111" t="str">
        <f>IF($M304="","",INDEX('MTRs'!$AQ$6:$AQ$505,$M304))</f>
        <v/>
      </c>
      <c r="I304" s="112" t="str">
        <f>IF($M304="","",INDEX('MTRs'!$U$6:$U$505,$M304))</f>
        <v/>
      </c>
      <c r="J304" s="113" t="str">
        <f>IF($M304="","",INDEX('MTRs'!$AS$6:$AS$505,$M304)&amp;"")</f>
        <v/>
      </c>
      <c r="K304" s="110" t="str">
        <f>IF($M304="","",INDEX('MTRs'!$AT$6:$AT$505,$M304)&amp;"")</f>
        <v/>
      </c>
      <c r="L304" s="110" t="str">
        <f>IF($M304="","",INDEX('MTRs'!$Y$6:$Y$505,$M304)&amp;"")</f>
        <v/>
      </c>
      <c r="M304" t="str">
        <f>IFERROR(MATCH(SMALL('MTRs'!$AU$6:$AU$505,294),'MTRs'!$AU$6:$AU$505,0),"")</f>
        <v/>
      </c>
    </row>
    <row r="305" ht="30" customHeight="1">
      <c r="B305" s="108" t="str">
        <f>IF($M305="","",INDEX('MTRs'!$A$6:$A$505,$M305)&amp;"")</f>
        <v/>
      </c>
      <c r="C305" s="109" t="str">
        <f>IF($M305="","",INDEX('MTRs'!$B$6:$B$505,$M305)&amp;"")</f>
        <v/>
      </c>
      <c r="D305" s="110" t="str">
        <f>IF($M305="","",INDEX('MTRs'!$G$6:$G$505,$M305)&amp;"")</f>
        <v/>
      </c>
      <c r="E305" s="110" t="str">
        <f>IF($M305="","",INDEX('MTRs'!$H$6:$H$505,$M305)&amp;"")</f>
        <v/>
      </c>
      <c r="F305" s="110" t="str">
        <f>IF($M305="","",INDEX('MTRs'!$I$6:$I$505,$M305)&amp;"")</f>
        <v/>
      </c>
      <c r="G305" s="110" t="str">
        <f>IF($M305="","",INDEX('MTRs'!$T$6:$T$505,$M305)&amp;"")</f>
        <v/>
      </c>
      <c r="H305" s="111" t="str">
        <f>IF($M305="","",INDEX('MTRs'!$AQ$6:$AQ$505,$M305))</f>
        <v/>
      </c>
      <c r="I305" s="112" t="str">
        <f>IF($M305="","",INDEX('MTRs'!$U$6:$U$505,$M305))</f>
        <v/>
      </c>
      <c r="J305" s="113" t="str">
        <f>IF($M305="","",INDEX('MTRs'!$AS$6:$AS$505,$M305)&amp;"")</f>
        <v/>
      </c>
      <c r="K305" s="110" t="str">
        <f>IF($M305="","",INDEX('MTRs'!$AT$6:$AT$505,$M305)&amp;"")</f>
        <v/>
      </c>
      <c r="L305" s="110" t="str">
        <f>IF($M305="","",INDEX('MTRs'!$Y$6:$Y$505,$M305)&amp;"")</f>
        <v/>
      </c>
      <c r="M305" t="str">
        <f>IFERROR(MATCH(SMALL('MTRs'!$AU$6:$AU$505,295),'MTRs'!$AU$6:$AU$505,0),"")</f>
        <v/>
      </c>
    </row>
    <row r="306" ht="30" customHeight="1">
      <c r="B306" s="108" t="str">
        <f>IF($M306="","",INDEX('MTRs'!$A$6:$A$505,$M306)&amp;"")</f>
        <v/>
      </c>
      <c r="C306" s="109" t="str">
        <f>IF($M306="","",INDEX('MTRs'!$B$6:$B$505,$M306)&amp;"")</f>
        <v/>
      </c>
      <c r="D306" s="110" t="str">
        <f>IF($M306="","",INDEX('MTRs'!$G$6:$G$505,$M306)&amp;"")</f>
        <v/>
      </c>
      <c r="E306" s="110" t="str">
        <f>IF($M306="","",INDEX('MTRs'!$H$6:$H$505,$M306)&amp;"")</f>
        <v/>
      </c>
      <c r="F306" s="110" t="str">
        <f>IF($M306="","",INDEX('MTRs'!$I$6:$I$505,$M306)&amp;"")</f>
        <v/>
      </c>
      <c r="G306" s="110" t="str">
        <f>IF($M306="","",INDEX('MTRs'!$T$6:$T$505,$M306)&amp;"")</f>
        <v/>
      </c>
      <c r="H306" s="111" t="str">
        <f>IF($M306="","",INDEX('MTRs'!$AQ$6:$AQ$505,$M306))</f>
        <v/>
      </c>
      <c r="I306" s="112" t="str">
        <f>IF($M306="","",INDEX('MTRs'!$U$6:$U$505,$M306))</f>
        <v/>
      </c>
      <c r="J306" s="113" t="str">
        <f>IF($M306="","",INDEX('MTRs'!$AS$6:$AS$505,$M306)&amp;"")</f>
        <v/>
      </c>
      <c r="K306" s="110" t="str">
        <f>IF($M306="","",INDEX('MTRs'!$AT$6:$AT$505,$M306)&amp;"")</f>
        <v/>
      </c>
      <c r="L306" s="110" t="str">
        <f>IF($M306="","",INDEX('MTRs'!$Y$6:$Y$505,$M306)&amp;"")</f>
        <v/>
      </c>
      <c r="M306" t="str">
        <f>IFERROR(MATCH(SMALL('MTRs'!$AU$6:$AU$505,296),'MTRs'!$AU$6:$AU$505,0),"")</f>
        <v/>
      </c>
    </row>
    <row r="307" ht="30" customHeight="1">
      <c r="B307" s="108" t="str">
        <f>IF($M307="","",INDEX('MTRs'!$A$6:$A$505,$M307)&amp;"")</f>
        <v/>
      </c>
      <c r="C307" s="109" t="str">
        <f>IF($M307="","",INDEX('MTRs'!$B$6:$B$505,$M307)&amp;"")</f>
        <v/>
      </c>
      <c r="D307" s="110" t="str">
        <f>IF($M307="","",INDEX('MTRs'!$G$6:$G$505,$M307)&amp;"")</f>
        <v/>
      </c>
      <c r="E307" s="110" t="str">
        <f>IF($M307="","",INDEX('MTRs'!$H$6:$H$505,$M307)&amp;"")</f>
        <v/>
      </c>
      <c r="F307" s="110" t="str">
        <f>IF($M307="","",INDEX('MTRs'!$I$6:$I$505,$M307)&amp;"")</f>
        <v/>
      </c>
      <c r="G307" s="110" t="str">
        <f>IF($M307="","",INDEX('MTRs'!$T$6:$T$505,$M307)&amp;"")</f>
        <v/>
      </c>
      <c r="H307" s="111" t="str">
        <f>IF($M307="","",INDEX('MTRs'!$AQ$6:$AQ$505,$M307))</f>
        <v/>
      </c>
      <c r="I307" s="112" t="str">
        <f>IF($M307="","",INDEX('MTRs'!$U$6:$U$505,$M307))</f>
        <v/>
      </c>
      <c r="J307" s="113" t="str">
        <f>IF($M307="","",INDEX('MTRs'!$AS$6:$AS$505,$M307)&amp;"")</f>
        <v/>
      </c>
      <c r="K307" s="110" t="str">
        <f>IF($M307="","",INDEX('MTRs'!$AT$6:$AT$505,$M307)&amp;"")</f>
        <v/>
      </c>
      <c r="L307" s="110" t="str">
        <f>IF($M307="","",INDEX('MTRs'!$Y$6:$Y$505,$M307)&amp;"")</f>
        <v/>
      </c>
      <c r="M307" t="str">
        <f>IFERROR(MATCH(SMALL('MTRs'!$AU$6:$AU$505,297),'MTRs'!$AU$6:$AU$505,0),"")</f>
        <v/>
      </c>
    </row>
    <row r="308" ht="30" customHeight="1">
      <c r="B308" s="108" t="str">
        <f>IF($M308="","",INDEX('MTRs'!$A$6:$A$505,$M308)&amp;"")</f>
        <v/>
      </c>
      <c r="C308" s="109" t="str">
        <f>IF($M308="","",INDEX('MTRs'!$B$6:$B$505,$M308)&amp;"")</f>
        <v/>
      </c>
      <c r="D308" s="110" t="str">
        <f>IF($M308="","",INDEX('MTRs'!$G$6:$G$505,$M308)&amp;"")</f>
        <v/>
      </c>
      <c r="E308" s="110" t="str">
        <f>IF($M308="","",INDEX('MTRs'!$H$6:$H$505,$M308)&amp;"")</f>
        <v/>
      </c>
      <c r="F308" s="110" t="str">
        <f>IF($M308="","",INDEX('MTRs'!$I$6:$I$505,$M308)&amp;"")</f>
        <v/>
      </c>
      <c r="G308" s="110" t="str">
        <f>IF($M308="","",INDEX('MTRs'!$T$6:$T$505,$M308)&amp;"")</f>
        <v/>
      </c>
      <c r="H308" s="111" t="str">
        <f>IF($M308="","",INDEX('MTRs'!$AQ$6:$AQ$505,$M308))</f>
        <v/>
      </c>
      <c r="I308" s="112" t="str">
        <f>IF($M308="","",INDEX('MTRs'!$U$6:$U$505,$M308))</f>
        <v/>
      </c>
      <c r="J308" s="113" t="str">
        <f>IF($M308="","",INDEX('MTRs'!$AS$6:$AS$505,$M308)&amp;"")</f>
        <v/>
      </c>
      <c r="K308" s="110" t="str">
        <f>IF($M308="","",INDEX('MTRs'!$AT$6:$AT$505,$M308)&amp;"")</f>
        <v/>
      </c>
      <c r="L308" s="110" t="str">
        <f>IF($M308="","",INDEX('MTRs'!$Y$6:$Y$505,$M308)&amp;"")</f>
        <v/>
      </c>
      <c r="M308" t="str">
        <f>IFERROR(MATCH(SMALL('MTRs'!$AU$6:$AU$505,298),'MTRs'!$AU$6:$AU$505,0),"")</f>
        <v/>
      </c>
    </row>
    <row r="309" ht="30" customHeight="1">
      <c r="B309" s="108" t="str">
        <f>IF($M309="","",INDEX('MTRs'!$A$6:$A$505,$M309)&amp;"")</f>
        <v/>
      </c>
      <c r="C309" s="109" t="str">
        <f>IF($M309="","",INDEX('MTRs'!$B$6:$B$505,$M309)&amp;"")</f>
        <v/>
      </c>
      <c r="D309" s="110" t="str">
        <f>IF($M309="","",INDEX('MTRs'!$G$6:$G$505,$M309)&amp;"")</f>
        <v/>
      </c>
      <c r="E309" s="110" t="str">
        <f>IF($M309="","",INDEX('MTRs'!$H$6:$H$505,$M309)&amp;"")</f>
        <v/>
      </c>
      <c r="F309" s="110" t="str">
        <f>IF($M309="","",INDEX('MTRs'!$I$6:$I$505,$M309)&amp;"")</f>
        <v/>
      </c>
      <c r="G309" s="110" t="str">
        <f>IF($M309="","",INDEX('MTRs'!$T$6:$T$505,$M309)&amp;"")</f>
        <v/>
      </c>
      <c r="H309" s="111" t="str">
        <f>IF($M309="","",INDEX('MTRs'!$AQ$6:$AQ$505,$M309))</f>
        <v/>
      </c>
      <c r="I309" s="112" t="str">
        <f>IF($M309="","",INDEX('MTRs'!$U$6:$U$505,$M309))</f>
        <v/>
      </c>
      <c r="J309" s="113" t="str">
        <f>IF($M309="","",INDEX('MTRs'!$AS$6:$AS$505,$M309)&amp;"")</f>
        <v/>
      </c>
      <c r="K309" s="110" t="str">
        <f>IF($M309="","",INDEX('MTRs'!$AT$6:$AT$505,$M309)&amp;"")</f>
        <v/>
      </c>
      <c r="L309" s="110" t="str">
        <f>IF($M309="","",INDEX('MTRs'!$Y$6:$Y$505,$M309)&amp;"")</f>
        <v/>
      </c>
      <c r="M309" t="str">
        <f>IFERROR(MATCH(SMALL('MTRs'!$AU$6:$AU$505,299),'MTRs'!$AU$6:$AU$505,0),"")</f>
        <v/>
      </c>
    </row>
    <row r="310" ht="30" customHeight="1">
      <c r="B310" s="108" t="str">
        <f>IF($M310="","",INDEX('MTRs'!$A$6:$A$505,$M310)&amp;"")</f>
        <v/>
      </c>
      <c r="C310" s="109" t="str">
        <f>IF($M310="","",INDEX('MTRs'!$B$6:$B$505,$M310)&amp;"")</f>
        <v/>
      </c>
      <c r="D310" s="110" t="str">
        <f>IF($M310="","",INDEX('MTRs'!$G$6:$G$505,$M310)&amp;"")</f>
        <v/>
      </c>
      <c r="E310" s="110" t="str">
        <f>IF($M310="","",INDEX('MTRs'!$H$6:$H$505,$M310)&amp;"")</f>
        <v/>
      </c>
      <c r="F310" s="110" t="str">
        <f>IF($M310="","",INDEX('MTRs'!$I$6:$I$505,$M310)&amp;"")</f>
        <v/>
      </c>
      <c r="G310" s="110" t="str">
        <f>IF($M310="","",INDEX('MTRs'!$T$6:$T$505,$M310)&amp;"")</f>
        <v/>
      </c>
      <c r="H310" s="111" t="str">
        <f>IF($M310="","",INDEX('MTRs'!$AQ$6:$AQ$505,$M310))</f>
        <v/>
      </c>
      <c r="I310" s="112" t="str">
        <f>IF($M310="","",INDEX('MTRs'!$U$6:$U$505,$M310))</f>
        <v/>
      </c>
      <c r="J310" s="113" t="str">
        <f>IF($M310="","",INDEX('MTRs'!$AS$6:$AS$505,$M310)&amp;"")</f>
        <v/>
      </c>
      <c r="K310" s="110" t="str">
        <f>IF($M310="","",INDEX('MTRs'!$AT$6:$AT$505,$M310)&amp;"")</f>
        <v/>
      </c>
      <c r="L310" s="110" t="str">
        <f>IF($M310="","",INDEX('MTRs'!$Y$6:$Y$505,$M310)&amp;"")</f>
        <v/>
      </c>
      <c r="M310" t="str">
        <f>IFERROR(MATCH(SMALL('MTRs'!$AU$6:$AU$505,300),'MTRs'!$AU$6:$AU$505,0),"")</f>
        <v/>
      </c>
    </row>
    <row r="311" ht="30" customHeight="1">
      <c r="B311" s="108" t="str">
        <f>IF($M311="","",INDEX('MTRs'!$A$6:$A$505,$M311)&amp;"")</f>
        <v/>
      </c>
      <c r="C311" s="109" t="str">
        <f>IF($M311="","",INDEX('MTRs'!$B$6:$B$505,$M311)&amp;"")</f>
        <v/>
      </c>
      <c r="D311" s="110" t="str">
        <f>IF($M311="","",INDEX('MTRs'!$G$6:$G$505,$M311)&amp;"")</f>
        <v/>
      </c>
      <c r="E311" s="110" t="str">
        <f>IF($M311="","",INDEX('MTRs'!$H$6:$H$505,$M311)&amp;"")</f>
        <v/>
      </c>
      <c r="F311" s="110" t="str">
        <f>IF($M311="","",INDEX('MTRs'!$I$6:$I$505,$M311)&amp;"")</f>
        <v/>
      </c>
      <c r="G311" s="110" t="str">
        <f>IF($M311="","",INDEX('MTRs'!$T$6:$T$505,$M311)&amp;"")</f>
        <v/>
      </c>
      <c r="H311" s="111" t="str">
        <f>IF($M311="","",INDEX('MTRs'!$AQ$6:$AQ$505,$M311))</f>
        <v/>
      </c>
      <c r="I311" s="112" t="str">
        <f>IF($M311="","",INDEX('MTRs'!$U$6:$U$505,$M311))</f>
        <v/>
      </c>
      <c r="J311" s="113" t="str">
        <f>IF($M311="","",INDEX('MTRs'!$AS$6:$AS$505,$M311)&amp;"")</f>
        <v/>
      </c>
      <c r="K311" s="110" t="str">
        <f>IF($M311="","",INDEX('MTRs'!$AT$6:$AT$505,$M311)&amp;"")</f>
        <v/>
      </c>
      <c r="L311" s="110" t="str">
        <f>IF($M311="","",INDEX('MTRs'!$Y$6:$Y$505,$M311)&amp;"")</f>
        <v/>
      </c>
      <c r="M311" t="str">
        <f>IFERROR(MATCH(SMALL('MTRs'!$AU$6:$AU$505,301),'MTRs'!$AU$6:$AU$505,0),"")</f>
        <v/>
      </c>
    </row>
    <row r="312" ht="30" customHeight="1">
      <c r="B312" s="108" t="str">
        <f>IF($M312="","",INDEX('MTRs'!$A$6:$A$505,$M312)&amp;"")</f>
        <v/>
      </c>
      <c r="C312" s="109" t="str">
        <f>IF($M312="","",INDEX('MTRs'!$B$6:$B$505,$M312)&amp;"")</f>
        <v/>
      </c>
      <c r="D312" s="110" t="str">
        <f>IF($M312="","",INDEX('MTRs'!$G$6:$G$505,$M312)&amp;"")</f>
        <v/>
      </c>
      <c r="E312" s="110" t="str">
        <f>IF($M312="","",INDEX('MTRs'!$H$6:$H$505,$M312)&amp;"")</f>
        <v/>
      </c>
      <c r="F312" s="110" t="str">
        <f>IF($M312="","",INDEX('MTRs'!$I$6:$I$505,$M312)&amp;"")</f>
        <v/>
      </c>
      <c r="G312" s="110" t="str">
        <f>IF($M312="","",INDEX('MTRs'!$T$6:$T$505,$M312)&amp;"")</f>
        <v/>
      </c>
      <c r="H312" s="111" t="str">
        <f>IF($M312="","",INDEX('MTRs'!$AQ$6:$AQ$505,$M312))</f>
        <v/>
      </c>
      <c r="I312" s="112" t="str">
        <f>IF($M312="","",INDEX('MTRs'!$U$6:$U$505,$M312))</f>
        <v/>
      </c>
      <c r="J312" s="113" t="str">
        <f>IF($M312="","",INDEX('MTRs'!$AS$6:$AS$505,$M312)&amp;"")</f>
        <v/>
      </c>
      <c r="K312" s="110" t="str">
        <f>IF($M312="","",INDEX('MTRs'!$AT$6:$AT$505,$M312)&amp;"")</f>
        <v/>
      </c>
      <c r="L312" s="110" t="str">
        <f>IF($M312="","",INDEX('MTRs'!$Y$6:$Y$505,$M312)&amp;"")</f>
        <v/>
      </c>
      <c r="M312" t="str">
        <f>IFERROR(MATCH(SMALL('MTRs'!$AU$6:$AU$505,302),'MTRs'!$AU$6:$AU$505,0),"")</f>
        <v/>
      </c>
    </row>
    <row r="313" ht="30" customHeight="1">
      <c r="B313" s="108" t="str">
        <f>IF($M313="","",INDEX('MTRs'!$A$6:$A$505,$M313)&amp;"")</f>
        <v/>
      </c>
      <c r="C313" s="109" t="str">
        <f>IF($M313="","",INDEX('MTRs'!$B$6:$B$505,$M313)&amp;"")</f>
        <v/>
      </c>
      <c r="D313" s="110" t="str">
        <f>IF($M313="","",INDEX('MTRs'!$G$6:$G$505,$M313)&amp;"")</f>
        <v/>
      </c>
      <c r="E313" s="110" t="str">
        <f>IF($M313="","",INDEX('MTRs'!$H$6:$H$505,$M313)&amp;"")</f>
        <v/>
      </c>
      <c r="F313" s="110" t="str">
        <f>IF($M313="","",INDEX('MTRs'!$I$6:$I$505,$M313)&amp;"")</f>
        <v/>
      </c>
      <c r="G313" s="110" t="str">
        <f>IF($M313="","",INDEX('MTRs'!$T$6:$T$505,$M313)&amp;"")</f>
        <v/>
      </c>
      <c r="H313" s="111" t="str">
        <f>IF($M313="","",INDEX('MTRs'!$AQ$6:$AQ$505,$M313))</f>
        <v/>
      </c>
      <c r="I313" s="112" t="str">
        <f>IF($M313="","",INDEX('MTRs'!$U$6:$U$505,$M313))</f>
        <v/>
      </c>
      <c r="J313" s="113" t="str">
        <f>IF($M313="","",INDEX('MTRs'!$AS$6:$AS$505,$M313)&amp;"")</f>
        <v/>
      </c>
      <c r="K313" s="110" t="str">
        <f>IF($M313="","",INDEX('MTRs'!$AT$6:$AT$505,$M313)&amp;"")</f>
        <v/>
      </c>
      <c r="L313" s="110" t="str">
        <f>IF($M313="","",INDEX('MTRs'!$Y$6:$Y$505,$M313)&amp;"")</f>
        <v/>
      </c>
      <c r="M313" t="str">
        <f>IFERROR(MATCH(SMALL('MTRs'!$AU$6:$AU$505,303),'MTRs'!$AU$6:$AU$505,0),"")</f>
        <v/>
      </c>
    </row>
    <row r="314" ht="30" customHeight="1">
      <c r="B314" s="108" t="str">
        <f>IF($M314="","",INDEX('MTRs'!$A$6:$A$505,$M314)&amp;"")</f>
        <v/>
      </c>
      <c r="C314" s="109" t="str">
        <f>IF($M314="","",INDEX('MTRs'!$B$6:$B$505,$M314)&amp;"")</f>
        <v/>
      </c>
      <c r="D314" s="110" t="str">
        <f>IF($M314="","",INDEX('MTRs'!$G$6:$G$505,$M314)&amp;"")</f>
        <v/>
      </c>
      <c r="E314" s="110" t="str">
        <f>IF($M314="","",INDEX('MTRs'!$H$6:$H$505,$M314)&amp;"")</f>
        <v/>
      </c>
      <c r="F314" s="110" t="str">
        <f>IF($M314="","",INDEX('MTRs'!$I$6:$I$505,$M314)&amp;"")</f>
        <v/>
      </c>
      <c r="G314" s="110" t="str">
        <f>IF($M314="","",INDEX('MTRs'!$T$6:$T$505,$M314)&amp;"")</f>
        <v/>
      </c>
      <c r="H314" s="111" t="str">
        <f>IF($M314="","",INDEX('MTRs'!$AQ$6:$AQ$505,$M314))</f>
        <v/>
      </c>
      <c r="I314" s="112" t="str">
        <f>IF($M314="","",INDEX('MTRs'!$U$6:$U$505,$M314))</f>
        <v/>
      </c>
      <c r="J314" s="113" t="str">
        <f>IF($M314="","",INDEX('MTRs'!$AS$6:$AS$505,$M314)&amp;"")</f>
        <v/>
      </c>
      <c r="K314" s="110" t="str">
        <f>IF($M314="","",INDEX('MTRs'!$AT$6:$AT$505,$M314)&amp;"")</f>
        <v/>
      </c>
      <c r="L314" s="110" t="str">
        <f>IF($M314="","",INDEX('MTRs'!$Y$6:$Y$505,$M314)&amp;"")</f>
        <v/>
      </c>
      <c r="M314" t="str">
        <f>IFERROR(MATCH(SMALL('MTRs'!$AU$6:$AU$505,304),'MTRs'!$AU$6:$AU$505,0),"")</f>
        <v/>
      </c>
    </row>
    <row r="315" ht="30" customHeight="1">
      <c r="B315" s="108" t="str">
        <f>IF($M315="","",INDEX('MTRs'!$A$6:$A$505,$M315)&amp;"")</f>
        <v/>
      </c>
      <c r="C315" s="109" t="str">
        <f>IF($M315="","",INDEX('MTRs'!$B$6:$B$505,$M315)&amp;"")</f>
        <v/>
      </c>
      <c r="D315" s="110" t="str">
        <f>IF($M315="","",INDEX('MTRs'!$G$6:$G$505,$M315)&amp;"")</f>
        <v/>
      </c>
      <c r="E315" s="110" t="str">
        <f>IF($M315="","",INDEX('MTRs'!$H$6:$H$505,$M315)&amp;"")</f>
        <v/>
      </c>
      <c r="F315" s="110" t="str">
        <f>IF($M315="","",INDEX('MTRs'!$I$6:$I$505,$M315)&amp;"")</f>
        <v/>
      </c>
      <c r="G315" s="110" t="str">
        <f>IF($M315="","",INDEX('MTRs'!$T$6:$T$505,$M315)&amp;"")</f>
        <v/>
      </c>
      <c r="H315" s="111" t="str">
        <f>IF($M315="","",INDEX('MTRs'!$AQ$6:$AQ$505,$M315))</f>
        <v/>
      </c>
      <c r="I315" s="112" t="str">
        <f>IF($M315="","",INDEX('MTRs'!$U$6:$U$505,$M315))</f>
        <v/>
      </c>
      <c r="J315" s="113" t="str">
        <f>IF($M315="","",INDEX('MTRs'!$AS$6:$AS$505,$M315)&amp;"")</f>
        <v/>
      </c>
      <c r="K315" s="110" t="str">
        <f>IF($M315="","",INDEX('MTRs'!$AT$6:$AT$505,$M315)&amp;"")</f>
        <v/>
      </c>
      <c r="L315" s="110" t="str">
        <f>IF($M315="","",INDEX('MTRs'!$Y$6:$Y$505,$M315)&amp;"")</f>
        <v/>
      </c>
      <c r="M315" t="str">
        <f>IFERROR(MATCH(SMALL('MTRs'!$AU$6:$AU$505,305),'MTRs'!$AU$6:$AU$505,0),"")</f>
        <v/>
      </c>
    </row>
    <row r="316" ht="30" customHeight="1">
      <c r="B316" s="108" t="str">
        <f>IF($M316="","",INDEX('MTRs'!$A$6:$A$505,$M316)&amp;"")</f>
        <v/>
      </c>
      <c r="C316" s="109" t="str">
        <f>IF($M316="","",INDEX('MTRs'!$B$6:$B$505,$M316)&amp;"")</f>
        <v/>
      </c>
      <c r="D316" s="110" t="str">
        <f>IF($M316="","",INDEX('MTRs'!$G$6:$G$505,$M316)&amp;"")</f>
        <v/>
      </c>
      <c r="E316" s="110" t="str">
        <f>IF($M316="","",INDEX('MTRs'!$H$6:$H$505,$M316)&amp;"")</f>
        <v/>
      </c>
      <c r="F316" s="110" t="str">
        <f>IF($M316="","",INDEX('MTRs'!$I$6:$I$505,$M316)&amp;"")</f>
        <v/>
      </c>
      <c r="G316" s="110" t="str">
        <f>IF($M316="","",INDEX('MTRs'!$T$6:$T$505,$M316)&amp;"")</f>
        <v/>
      </c>
      <c r="H316" s="111" t="str">
        <f>IF($M316="","",INDEX('MTRs'!$AQ$6:$AQ$505,$M316))</f>
        <v/>
      </c>
      <c r="I316" s="112" t="str">
        <f>IF($M316="","",INDEX('MTRs'!$U$6:$U$505,$M316))</f>
        <v/>
      </c>
      <c r="J316" s="113" t="str">
        <f>IF($M316="","",INDEX('MTRs'!$AS$6:$AS$505,$M316)&amp;"")</f>
        <v/>
      </c>
      <c r="K316" s="110" t="str">
        <f>IF($M316="","",INDEX('MTRs'!$AT$6:$AT$505,$M316)&amp;"")</f>
        <v/>
      </c>
      <c r="L316" s="110" t="str">
        <f>IF($M316="","",INDEX('MTRs'!$Y$6:$Y$505,$M316)&amp;"")</f>
        <v/>
      </c>
      <c r="M316" t="str">
        <f>IFERROR(MATCH(SMALL('MTRs'!$AU$6:$AU$505,306),'MTRs'!$AU$6:$AU$505,0),"")</f>
        <v/>
      </c>
    </row>
    <row r="317" ht="30" customHeight="1">
      <c r="B317" s="108" t="str">
        <f>IF($M317="","",INDEX('MTRs'!$A$6:$A$505,$M317)&amp;"")</f>
        <v/>
      </c>
      <c r="C317" s="109" t="str">
        <f>IF($M317="","",INDEX('MTRs'!$B$6:$B$505,$M317)&amp;"")</f>
        <v/>
      </c>
      <c r="D317" s="110" t="str">
        <f>IF($M317="","",INDEX('MTRs'!$G$6:$G$505,$M317)&amp;"")</f>
        <v/>
      </c>
      <c r="E317" s="110" t="str">
        <f>IF($M317="","",INDEX('MTRs'!$H$6:$H$505,$M317)&amp;"")</f>
        <v/>
      </c>
      <c r="F317" s="110" t="str">
        <f>IF($M317="","",INDEX('MTRs'!$I$6:$I$505,$M317)&amp;"")</f>
        <v/>
      </c>
      <c r="G317" s="110" t="str">
        <f>IF($M317="","",INDEX('MTRs'!$T$6:$T$505,$M317)&amp;"")</f>
        <v/>
      </c>
      <c r="H317" s="111" t="str">
        <f>IF($M317="","",INDEX('MTRs'!$AQ$6:$AQ$505,$M317))</f>
        <v/>
      </c>
      <c r="I317" s="112" t="str">
        <f>IF($M317="","",INDEX('MTRs'!$U$6:$U$505,$M317))</f>
        <v/>
      </c>
      <c r="J317" s="113" t="str">
        <f>IF($M317="","",INDEX('MTRs'!$AS$6:$AS$505,$M317)&amp;"")</f>
        <v/>
      </c>
      <c r="K317" s="110" t="str">
        <f>IF($M317="","",INDEX('MTRs'!$AT$6:$AT$505,$M317)&amp;"")</f>
        <v/>
      </c>
      <c r="L317" s="110" t="str">
        <f>IF($M317="","",INDEX('MTRs'!$Y$6:$Y$505,$M317)&amp;"")</f>
        <v/>
      </c>
      <c r="M317" t="str">
        <f>IFERROR(MATCH(SMALL('MTRs'!$AU$6:$AU$505,307),'MTRs'!$AU$6:$AU$505,0),"")</f>
        <v/>
      </c>
    </row>
    <row r="318" ht="30" customHeight="1">
      <c r="B318" s="108" t="str">
        <f>IF($M318="","",INDEX('MTRs'!$A$6:$A$505,$M318)&amp;"")</f>
        <v/>
      </c>
      <c r="C318" s="109" t="str">
        <f>IF($M318="","",INDEX('MTRs'!$B$6:$B$505,$M318)&amp;"")</f>
        <v/>
      </c>
      <c r="D318" s="110" t="str">
        <f>IF($M318="","",INDEX('MTRs'!$G$6:$G$505,$M318)&amp;"")</f>
        <v/>
      </c>
      <c r="E318" s="110" t="str">
        <f>IF($M318="","",INDEX('MTRs'!$H$6:$H$505,$M318)&amp;"")</f>
        <v/>
      </c>
      <c r="F318" s="110" t="str">
        <f>IF($M318="","",INDEX('MTRs'!$I$6:$I$505,$M318)&amp;"")</f>
        <v/>
      </c>
      <c r="G318" s="110" t="str">
        <f>IF($M318="","",INDEX('MTRs'!$T$6:$T$505,$M318)&amp;"")</f>
        <v/>
      </c>
      <c r="H318" s="111" t="str">
        <f>IF($M318="","",INDEX('MTRs'!$AQ$6:$AQ$505,$M318))</f>
        <v/>
      </c>
      <c r="I318" s="112" t="str">
        <f>IF($M318="","",INDEX('MTRs'!$U$6:$U$505,$M318))</f>
        <v/>
      </c>
      <c r="J318" s="113" t="str">
        <f>IF($M318="","",INDEX('MTRs'!$AS$6:$AS$505,$M318)&amp;"")</f>
        <v/>
      </c>
      <c r="K318" s="110" t="str">
        <f>IF($M318="","",INDEX('MTRs'!$AT$6:$AT$505,$M318)&amp;"")</f>
        <v/>
      </c>
      <c r="L318" s="110" t="str">
        <f>IF($M318="","",INDEX('MTRs'!$Y$6:$Y$505,$M318)&amp;"")</f>
        <v/>
      </c>
      <c r="M318" t="str">
        <f>IFERROR(MATCH(SMALL('MTRs'!$AU$6:$AU$505,308),'MTRs'!$AU$6:$AU$505,0),"")</f>
        <v/>
      </c>
    </row>
    <row r="319" ht="30" customHeight="1">
      <c r="B319" s="108" t="str">
        <f>IF($M319="","",INDEX('MTRs'!$A$6:$A$505,$M319)&amp;"")</f>
        <v/>
      </c>
      <c r="C319" s="109" t="str">
        <f>IF($M319="","",INDEX('MTRs'!$B$6:$B$505,$M319)&amp;"")</f>
        <v/>
      </c>
      <c r="D319" s="110" t="str">
        <f>IF($M319="","",INDEX('MTRs'!$G$6:$G$505,$M319)&amp;"")</f>
        <v/>
      </c>
      <c r="E319" s="110" t="str">
        <f>IF($M319="","",INDEX('MTRs'!$H$6:$H$505,$M319)&amp;"")</f>
        <v/>
      </c>
      <c r="F319" s="110" t="str">
        <f>IF($M319="","",INDEX('MTRs'!$I$6:$I$505,$M319)&amp;"")</f>
        <v/>
      </c>
      <c r="G319" s="110" t="str">
        <f>IF($M319="","",INDEX('MTRs'!$T$6:$T$505,$M319)&amp;"")</f>
        <v/>
      </c>
      <c r="H319" s="111" t="str">
        <f>IF($M319="","",INDEX('MTRs'!$AQ$6:$AQ$505,$M319))</f>
        <v/>
      </c>
      <c r="I319" s="112" t="str">
        <f>IF($M319="","",INDEX('MTRs'!$U$6:$U$505,$M319))</f>
        <v/>
      </c>
      <c r="J319" s="113" t="str">
        <f>IF($M319="","",INDEX('MTRs'!$AS$6:$AS$505,$M319)&amp;"")</f>
        <v/>
      </c>
      <c r="K319" s="110" t="str">
        <f>IF($M319="","",INDEX('MTRs'!$AT$6:$AT$505,$M319)&amp;"")</f>
        <v/>
      </c>
      <c r="L319" s="110" t="str">
        <f>IF($M319="","",INDEX('MTRs'!$Y$6:$Y$505,$M319)&amp;"")</f>
        <v/>
      </c>
      <c r="M319" t="str">
        <f>IFERROR(MATCH(SMALL('MTRs'!$AU$6:$AU$505,309),'MTRs'!$AU$6:$AU$505,0),"")</f>
        <v/>
      </c>
    </row>
    <row r="320" ht="30" customHeight="1">
      <c r="B320" s="108" t="str">
        <f>IF($M320="","",INDEX('MTRs'!$A$6:$A$505,$M320)&amp;"")</f>
        <v/>
      </c>
      <c r="C320" s="109" t="str">
        <f>IF($M320="","",INDEX('MTRs'!$B$6:$B$505,$M320)&amp;"")</f>
        <v/>
      </c>
      <c r="D320" s="110" t="str">
        <f>IF($M320="","",INDEX('MTRs'!$G$6:$G$505,$M320)&amp;"")</f>
        <v/>
      </c>
      <c r="E320" s="110" t="str">
        <f>IF($M320="","",INDEX('MTRs'!$H$6:$H$505,$M320)&amp;"")</f>
        <v/>
      </c>
      <c r="F320" s="110" t="str">
        <f>IF($M320="","",INDEX('MTRs'!$I$6:$I$505,$M320)&amp;"")</f>
        <v/>
      </c>
      <c r="G320" s="110" t="str">
        <f>IF($M320="","",INDEX('MTRs'!$T$6:$T$505,$M320)&amp;"")</f>
        <v/>
      </c>
      <c r="H320" s="111" t="str">
        <f>IF($M320="","",INDEX('MTRs'!$AQ$6:$AQ$505,$M320))</f>
        <v/>
      </c>
      <c r="I320" s="112" t="str">
        <f>IF($M320="","",INDEX('MTRs'!$U$6:$U$505,$M320))</f>
        <v/>
      </c>
      <c r="J320" s="113" t="str">
        <f>IF($M320="","",INDEX('MTRs'!$AS$6:$AS$505,$M320)&amp;"")</f>
        <v/>
      </c>
      <c r="K320" s="110" t="str">
        <f>IF($M320="","",INDEX('MTRs'!$AT$6:$AT$505,$M320)&amp;"")</f>
        <v/>
      </c>
      <c r="L320" s="110" t="str">
        <f>IF($M320="","",INDEX('MTRs'!$Y$6:$Y$505,$M320)&amp;"")</f>
        <v/>
      </c>
      <c r="M320" t="str">
        <f>IFERROR(MATCH(SMALL('MTRs'!$AU$6:$AU$505,310),'MTRs'!$AU$6:$AU$505,0),"")</f>
        <v/>
      </c>
    </row>
    <row r="321" ht="30" customHeight="1">
      <c r="B321" s="108" t="str">
        <f>IF($M321="","",INDEX('MTRs'!$A$6:$A$505,$M321)&amp;"")</f>
        <v/>
      </c>
      <c r="C321" s="109" t="str">
        <f>IF($M321="","",INDEX('MTRs'!$B$6:$B$505,$M321)&amp;"")</f>
        <v/>
      </c>
      <c r="D321" s="110" t="str">
        <f>IF($M321="","",INDEX('MTRs'!$G$6:$G$505,$M321)&amp;"")</f>
        <v/>
      </c>
      <c r="E321" s="110" t="str">
        <f>IF($M321="","",INDEX('MTRs'!$H$6:$H$505,$M321)&amp;"")</f>
        <v/>
      </c>
      <c r="F321" s="110" t="str">
        <f>IF($M321="","",INDEX('MTRs'!$I$6:$I$505,$M321)&amp;"")</f>
        <v/>
      </c>
      <c r="G321" s="110" t="str">
        <f>IF($M321="","",INDEX('MTRs'!$T$6:$T$505,$M321)&amp;"")</f>
        <v/>
      </c>
      <c r="H321" s="111" t="str">
        <f>IF($M321="","",INDEX('MTRs'!$AQ$6:$AQ$505,$M321))</f>
        <v/>
      </c>
      <c r="I321" s="112" t="str">
        <f>IF($M321="","",INDEX('MTRs'!$U$6:$U$505,$M321))</f>
        <v/>
      </c>
      <c r="J321" s="113" t="str">
        <f>IF($M321="","",INDEX('MTRs'!$AS$6:$AS$505,$M321)&amp;"")</f>
        <v/>
      </c>
      <c r="K321" s="110" t="str">
        <f>IF($M321="","",INDEX('MTRs'!$AT$6:$AT$505,$M321)&amp;"")</f>
        <v/>
      </c>
      <c r="L321" s="110" t="str">
        <f>IF($M321="","",INDEX('MTRs'!$Y$6:$Y$505,$M321)&amp;"")</f>
        <v/>
      </c>
      <c r="M321" t="str">
        <f>IFERROR(MATCH(SMALL('MTRs'!$AU$6:$AU$505,311),'MTRs'!$AU$6:$AU$505,0),"")</f>
        <v/>
      </c>
    </row>
    <row r="322" ht="30" customHeight="1">
      <c r="B322" s="108" t="str">
        <f>IF($M322="","",INDEX('MTRs'!$A$6:$A$505,$M322)&amp;"")</f>
        <v/>
      </c>
      <c r="C322" s="109" t="str">
        <f>IF($M322="","",INDEX('MTRs'!$B$6:$B$505,$M322)&amp;"")</f>
        <v/>
      </c>
      <c r="D322" s="110" t="str">
        <f>IF($M322="","",INDEX('MTRs'!$G$6:$G$505,$M322)&amp;"")</f>
        <v/>
      </c>
      <c r="E322" s="110" t="str">
        <f>IF($M322="","",INDEX('MTRs'!$H$6:$H$505,$M322)&amp;"")</f>
        <v/>
      </c>
      <c r="F322" s="110" t="str">
        <f>IF($M322="","",INDEX('MTRs'!$I$6:$I$505,$M322)&amp;"")</f>
        <v/>
      </c>
      <c r="G322" s="110" t="str">
        <f>IF($M322="","",INDEX('MTRs'!$T$6:$T$505,$M322)&amp;"")</f>
        <v/>
      </c>
      <c r="H322" s="111" t="str">
        <f>IF($M322="","",INDEX('MTRs'!$AQ$6:$AQ$505,$M322))</f>
        <v/>
      </c>
      <c r="I322" s="112" t="str">
        <f>IF($M322="","",INDEX('MTRs'!$U$6:$U$505,$M322))</f>
        <v/>
      </c>
      <c r="J322" s="113" t="str">
        <f>IF($M322="","",INDEX('MTRs'!$AS$6:$AS$505,$M322)&amp;"")</f>
        <v/>
      </c>
      <c r="K322" s="110" t="str">
        <f>IF($M322="","",INDEX('MTRs'!$AT$6:$AT$505,$M322)&amp;"")</f>
        <v/>
      </c>
      <c r="L322" s="110" t="str">
        <f>IF($M322="","",INDEX('MTRs'!$Y$6:$Y$505,$M322)&amp;"")</f>
        <v/>
      </c>
      <c r="M322" t="str">
        <f>IFERROR(MATCH(SMALL('MTRs'!$AU$6:$AU$505,312),'MTRs'!$AU$6:$AU$505,0),"")</f>
        <v/>
      </c>
    </row>
    <row r="323" ht="30" customHeight="1">
      <c r="B323" s="108" t="str">
        <f>IF($M323="","",INDEX('MTRs'!$A$6:$A$505,$M323)&amp;"")</f>
        <v/>
      </c>
      <c r="C323" s="109" t="str">
        <f>IF($M323="","",INDEX('MTRs'!$B$6:$B$505,$M323)&amp;"")</f>
        <v/>
      </c>
      <c r="D323" s="110" t="str">
        <f>IF($M323="","",INDEX('MTRs'!$G$6:$G$505,$M323)&amp;"")</f>
        <v/>
      </c>
      <c r="E323" s="110" t="str">
        <f>IF($M323="","",INDEX('MTRs'!$H$6:$H$505,$M323)&amp;"")</f>
        <v/>
      </c>
      <c r="F323" s="110" t="str">
        <f>IF($M323="","",INDEX('MTRs'!$I$6:$I$505,$M323)&amp;"")</f>
        <v/>
      </c>
      <c r="G323" s="110" t="str">
        <f>IF($M323="","",INDEX('MTRs'!$T$6:$T$505,$M323)&amp;"")</f>
        <v/>
      </c>
      <c r="H323" s="111" t="str">
        <f>IF($M323="","",INDEX('MTRs'!$AQ$6:$AQ$505,$M323))</f>
        <v/>
      </c>
      <c r="I323" s="112" t="str">
        <f>IF($M323="","",INDEX('MTRs'!$U$6:$U$505,$M323))</f>
        <v/>
      </c>
      <c r="J323" s="113" t="str">
        <f>IF($M323="","",INDEX('MTRs'!$AS$6:$AS$505,$M323)&amp;"")</f>
        <v/>
      </c>
      <c r="K323" s="110" t="str">
        <f>IF($M323="","",INDEX('MTRs'!$AT$6:$AT$505,$M323)&amp;"")</f>
        <v/>
      </c>
      <c r="L323" s="110" t="str">
        <f>IF($M323="","",INDEX('MTRs'!$Y$6:$Y$505,$M323)&amp;"")</f>
        <v/>
      </c>
      <c r="M323" t="str">
        <f>IFERROR(MATCH(SMALL('MTRs'!$AU$6:$AU$505,313),'MTRs'!$AU$6:$AU$505,0),"")</f>
        <v/>
      </c>
    </row>
    <row r="324" ht="30" customHeight="1">
      <c r="B324" s="108" t="str">
        <f>IF($M324="","",INDEX('MTRs'!$A$6:$A$505,$M324)&amp;"")</f>
        <v/>
      </c>
      <c r="C324" s="109" t="str">
        <f>IF($M324="","",INDEX('MTRs'!$B$6:$B$505,$M324)&amp;"")</f>
        <v/>
      </c>
      <c r="D324" s="110" t="str">
        <f>IF($M324="","",INDEX('MTRs'!$G$6:$G$505,$M324)&amp;"")</f>
        <v/>
      </c>
      <c r="E324" s="110" t="str">
        <f>IF($M324="","",INDEX('MTRs'!$H$6:$H$505,$M324)&amp;"")</f>
        <v/>
      </c>
      <c r="F324" s="110" t="str">
        <f>IF($M324="","",INDEX('MTRs'!$I$6:$I$505,$M324)&amp;"")</f>
        <v/>
      </c>
      <c r="G324" s="110" t="str">
        <f>IF($M324="","",INDEX('MTRs'!$T$6:$T$505,$M324)&amp;"")</f>
        <v/>
      </c>
      <c r="H324" s="111" t="str">
        <f>IF($M324="","",INDEX('MTRs'!$AQ$6:$AQ$505,$M324))</f>
        <v/>
      </c>
      <c r="I324" s="112" t="str">
        <f>IF($M324="","",INDEX('MTRs'!$U$6:$U$505,$M324))</f>
        <v/>
      </c>
      <c r="J324" s="113" t="str">
        <f>IF($M324="","",INDEX('MTRs'!$AS$6:$AS$505,$M324)&amp;"")</f>
        <v/>
      </c>
      <c r="K324" s="110" t="str">
        <f>IF($M324="","",INDEX('MTRs'!$AT$6:$AT$505,$M324)&amp;"")</f>
        <v/>
      </c>
      <c r="L324" s="110" t="str">
        <f>IF($M324="","",INDEX('MTRs'!$Y$6:$Y$505,$M324)&amp;"")</f>
        <v/>
      </c>
      <c r="M324" t="str">
        <f>IFERROR(MATCH(SMALL('MTRs'!$AU$6:$AU$505,314),'MTRs'!$AU$6:$AU$505,0),"")</f>
        <v/>
      </c>
    </row>
    <row r="325" ht="30" customHeight="1">
      <c r="B325" s="108" t="str">
        <f>IF($M325="","",INDEX('MTRs'!$A$6:$A$505,$M325)&amp;"")</f>
        <v/>
      </c>
      <c r="C325" s="109" t="str">
        <f>IF($M325="","",INDEX('MTRs'!$B$6:$B$505,$M325)&amp;"")</f>
        <v/>
      </c>
      <c r="D325" s="110" t="str">
        <f>IF($M325="","",INDEX('MTRs'!$G$6:$G$505,$M325)&amp;"")</f>
        <v/>
      </c>
      <c r="E325" s="110" t="str">
        <f>IF($M325="","",INDEX('MTRs'!$H$6:$H$505,$M325)&amp;"")</f>
        <v/>
      </c>
      <c r="F325" s="110" t="str">
        <f>IF($M325="","",INDEX('MTRs'!$I$6:$I$505,$M325)&amp;"")</f>
        <v/>
      </c>
      <c r="G325" s="110" t="str">
        <f>IF($M325="","",INDEX('MTRs'!$T$6:$T$505,$M325)&amp;"")</f>
        <v/>
      </c>
      <c r="H325" s="111" t="str">
        <f>IF($M325="","",INDEX('MTRs'!$AQ$6:$AQ$505,$M325))</f>
        <v/>
      </c>
      <c r="I325" s="112" t="str">
        <f>IF($M325="","",INDEX('MTRs'!$U$6:$U$505,$M325))</f>
        <v/>
      </c>
      <c r="J325" s="113" t="str">
        <f>IF($M325="","",INDEX('MTRs'!$AS$6:$AS$505,$M325)&amp;"")</f>
        <v/>
      </c>
      <c r="K325" s="110" t="str">
        <f>IF($M325="","",INDEX('MTRs'!$AT$6:$AT$505,$M325)&amp;"")</f>
        <v/>
      </c>
      <c r="L325" s="110" t="str">
        <f>IF($M325="","",INDEX('MTRs'!$Y$6:$Y$505,$M325)&amp;"")</f>
        <v/>
      </c>
      <c r="M325" t="str">
        <f>IFERROR(MATCH(SMALL('MTRs'!$AU$6:$AU$505,315),'MTRs'!$AU$6:$AU$505,0),"")</f>
        <v/>
      </c>
    </row>
    <row r="326" ht="30" customHeight="1">
      <c r="B326" s="108" t="str">
        <f>IF($M326="","",INDEX('MTRs'!$A$6:$A$505,$M326)&amp;"")</f>
        <v/>
      </c>
      <c r="C326" s="109" t="str">
        <f>IF($M326="","",INDEX('MTRs'!$B$6:$B$505,$M326)&amp;"")</f>
        <v/>
      </c>
      <c r="D326" s="110" t="str">
        <f>IF($M326="","",INDEX('MTRs'!$G$6:$G$505,$M326)&amp;"")</f>
        <v/>
      </c>
      <c r="E326" s="110" t="str">
        <f>IF($M326="","",INDEX('MTRs'!$H$6:$H$505,$M326)&amp;"")</f>
        <v/>
      </c>
      <c r="F326" s="110" t="str">
        <f>IF($M326="","",INDEX('MTRs'!$I$6:$I$505,$M326)&amp;"")</f>
        <v/>
      </c>
      <c r="G326" s="110" t="str">
        <f>IF($M326="","",INDEX('MTRs'!$T$6:$T$505,$M326)&amp;"")</f>
        <v/>
      </c>
      <c r="H326" s="111" t="str">
        <f>IF($M326="","",INDEX('MTRs'!$AQ$6:$AQ$505,$M326))</f>
        <v/>
      </c>
      <c r="I326" s="112" t="str">
        <f>IF($M326="","",INDEX('MTRs'!$U$6:$U$505,$M326))</f>
        <v/>
      </c>
      <c r="J326" s="113" t="str">
        <f>IF($M326="","",INDEX('MTRs'!$AS$6:$AS$505,$M326)&amp;"")</f>
        <v/>
      </c>
      <c r="K326" s="110" t="str">
        <f>IF($M326="","",INDEX('MTRs'!$AT$6:$AT$505,$M326)&amp;"")</f>
        <v/>
      </c>
      <c r="L326" s="110" t="str">
        <f>IF($M326="","",INDEX('MTRs'!$Y$6:$Y$505,$M326)&amp;"")</f>
        <v/>
      </c>
      <c r="M326" t="str">
        <f>IFERROR(MATCH(SMALL('MTRs'!$AU$6:$AU$505,316),'MTRs'!$AU$6:$AU$505,0),"")</f>
        <v/>
      </c>
    </row>
    <row r="327" ht="30" customHeight="1">
      <c r="B327" s="108" t="str">
        <f>IF($M327="","",INDEX('MTRs'!$A$6:$A$505,$M327)&amp;"")</f>
        <v/>
      </c>
      <c r="C327" s="109" t="str">
        <f>IF($M327="","",INDEX('MTRs'!$B$6:$B$505,$M327)&amp;"")</f>
        <v/>
      </c>
      <c r="D327" s="110" t="str">
        <f>IF($M327="","",INDEX('MTRs'!$G$6:$G$505,$M327)&amp;"")</f>
        <v/>
      </c>
      <c r="E327" s="110" t="str">
        <f>IF($M327="","",INDEX('MTRs'!$H$6:$H$505,$M327)&amp;"")</f>
        <v/>
      </c>
      <c r="F327" s="110" t="str">
        <f>IF($M327="","",INDEX('MTRs'!$I$6:$I$505,$M327)&amp;"")</f>
        <v/>
      </c>
      <c r="G327" s="110" t="str">
        <f>IF($M327="","",INDEX('MTRs'!$T$6:$T$505,$M327)&amp;"")</f>
        <v/>
      </c>
      <c r="H327" s="111" t="str">
        <f>IF($M327="","",INDEX('MTRs'!$AQ$6:$AQ$505,$M327))</f>
        <v/>
      </c>
      <c r="I327" s="112" t="str">
        <f>IF($M327="","",INDEX('MTRs'!$U$6:$U$505,$M327))</f>
        <v/>
      </c>
      <c r="J327" s="113" t="str">
        <f>IF($M327="","",INDEX('MTRs'!$AS$6:$AS$505,$M327)&amp;"")</f>
        <v/>
      </c>
      <c r="K327" s="110" t="str">
        <f>IF($M327="","",INDEX('MTRs'!$AT$6:$AT$505,$M327)&amp;"")</f>
        <v/>
      </c>
      <c r="L327" s="110" t="str">
        <f>IF($M327="","",INDEX('MTRs'!$Y$6:$Y$505,$M327)&amp;"")</f>
        <v/>
      </c>
      <c r="M327" t="str">
        <f>IFERROR(MATCH(SMALL('MTRs'!$AU$6:$AU$505,317),'MTRs'!$AU$6:$AU$505,0),"")</f>
        <v/>
      </c>
    </row>
    <row r="328" ht="30" customHeight="1">
      <c r="B328" s="108" t="str">
        <f>IF($M328="","",INDEX('MTRs'!$A$6:$A$505,$M328)&amp;"")</f>
        <v/>
      </c>
      <c r="C328" s="109" t="str">
        <f>IF($M328="","",INDEX('MTRs'!$B$6:$B$505,$M328)&amp;"")</f>
        <v/>
      </c>
      <c r="D328" s="110" t="str">
        <f>IF($M328="","",INDEX('MTRs'!$G$6:$G$505,$M328)&amp;"")</f>
        <v/>
      </c>
      <c r="E328" s="110" t="str">
        <f>IF($M328="","",INDEX('MTRs'!$H$6:$H$505,$M328)&amp;"")</f>
        <v/>
      </c>
      <c r="F328" s="110" t="str">
        <f>IF($M328="","",INDEX('MTRs'!$I$6:$I$505,$M328)&amp;"")</f>
        <v/>
      </c>
      <c r="G328" s="110" t="str">
        <f>IF($M328="","",INDEX('MTRs'!$T$6:$T$505,$M328)&amp;"")</f>
        <v/>
      </c>
      <c r="H328" s="111" t="str">
        <f>IF($M328="","",INDEX('MTRs'!$AQ$6:$AQ$505,$M328))</f>
        <v/>
      </c>
      <c r="I328" s="112" t="str">
        <f>IF($M328="","",INDEX('MTRs'!$U$6:$U$505,$M328))</f>
        <v/>
      </c>
      <c r="J328" s="113" t="str">
        <f>IF($M328="","",INDEX('MTRs'!$AS$6:$AS$505,$M328)&amp;"")</f>
        <v/>
      </c>
      <c r="K328" s="110" t="str">
        <f>IF($M328="","",INDEX('MTRs'!$AT$6:$AT$505,$M328)&amp;"")</f>
        <v/>
      </c>
      <c r="L328" s="110" t="str">
        <f>IF($M328="","",INDEX('MTRs'!$Y$6:$Y$505,$M328)&amp;"")</f>
        <v/>
      </c>
      <c r="M328" t="str">
        <f>IFERROR(MATCH(SMALL('MTRs'!$AU$6:$AU$505,318),'MTRs'!$AU$6:$AU$505,0),"")</f>
        <v/>
      </c>
    </row>
    <row r="329" ht="30" customHeight="1">
      <c r="B329" s="108" t="str">
        <f>IF($M329="","",INDEX('MTRs'!$A$6:$A$505,$M329)&amp;"")</f>
        <v/>
      </c>
      <c r="C329" s="109" t="str">
        <f>IF($M329="","",INDEX('MTRs'!$B$6:$B$505,$M329)&amp;"")</f>
        <v/>
      </c>
      <c r="D329" s="110" t="str">
        <f>IF($M329="","",INDEX('MTRs'!$G$6:$G$505,$M329)&amp;"")</f>
        <v/>
      </c>
      <c r="E329" s="110" t="str">
        <f>IF($M329="","",INDEX('MTRs'!$H$6:$H$505,$M329)&amp;"")</f>
        <v/>
      </c>
      <c r="F329" s="110" t="str">
        <f>IF($M329="","",INDEX('MTRs'!$I$6:$I$505,$M329)&amp;"")</f>
        <v/>
      </c>
      <c r="G329" s="110" t="str">
        <f>IF($M329="","",INDEX('MTRs'!$T$6:$T$505,$M329)&amp;"")</f>
        <v/>
      </c>
      <c r="H329" s="111" t="str">
        <f>IF($M329="","",INDEX('MTRs'!$AQ$6:$AQ$505,$M329))</f>
        <v/>
      </c>
      <c r="I329" s="112" t="str">
        <f>IF($M329="","",INDEX('MTRs'!$U$6:$U$505,$M329))</f>
        <v/>
      </c>
      <c r="J329" s="113" t="str">
        <f>IF($M329="","",INDEX('MTRs'!$AS$6:$AS$505,$M329)&amp;"")</f>
        <v/>
      </c>
      <c r="K329" s="110" t="str">
        <f>IF($M329="","",INDEX('MTRs'!$AT$6:$AT$505,$M329)&amp;"")</f>
        <v/>
      </c>
      <c r="L329" s="110" t="str">
        <f>IF($M329="","",INDEX('MTRs'!$Y$6:$Y$505,$M329)&amp;"")</f>
        <v/>
      </c>
      <c r="M329" t="str">
        <f>IFERROR(MATCH(SMALL('MTRs'!$AU$6:$AU$505,319),'MTRs'!$AU$6:$AU$505,0),"")</f>
        <v/>
      </c>
    </row>
    <row r="330" ht="30" customHeight="1">
      <c r="B330" s="108" t="str">
        <f>IF($M330="","",INDEX('MTRs'!$A$6:$A$505,$M330)&amp;"")</f>
        <v/>
      </c>
      <c r="C330" s="109" t="str">
        <f>IF($M330="","",INDEX('MTRs'!$B$6:$B$505,$M330)&amp;"")</f>
        <v/>
      </c>
      <c r="D330" s="110" t="str">
        <f>IF($M330="","",INDEX('MTRs'!$G$6:$G$505,$M330)&amp;"")</f>
        <v/>
      </c>
      <c r="E330" s="110" t="str">
        <f>IF($M330="","",INDEX('MTRs'!$H$6:$H$505,$M330)&amp;"")</f>
        <v/>
      </c>
      <c r="F330" s="110" t="str">
        <f>IF($M330="","",INDEX('MTRs'!$I$6:$I$505,$M330)&amp;"")</f>
        <v/>
      </c>
      <c r="G330" s="110" t="str">
        <f>IF($M330="","",INDEX('MTRs'!$T$6:$T$505,$M330)&amp;"")</f>
        <v/>
      </c>
      <c r="H330" s="111" t="str">
        <f>IF($M330="","",INDEX('MTRs'!$AQ$6:$AQ$505,$M330))</f>
        <v/>
      </c>
      <c r="I330" s="112" t="str">
        <f>IF($M330="","",INDEX('MTRs'!$U$6:$U$505,$M330))</f>
        <v/>
      </c>
      <c r="J330" s="113" t="str">
        <f>IF($M330="","",INDEX('MTRs'!$AS$6:$AS$505,$M330)&amp;"")</f>
        <v/>
      </c>
      <c r="K330" s="110" t="str">
        <f>IF($M330="","",INDEX('MTRs'!$AT$6:$AT$505,$M330)&amp;"")</f>
        <v/>
      </c>
      <c r="L330" s="110" t="str">
        <f>IF($M330="","",INDEX('MTRs'!$Y$6:$Y$505,$M330)&amp;"")</f>
        <v/>
      </c>
      <c r="M330" t="str">
        <f>IFERROR(MATCH(SMALL('MTRs'!$AU$6:$AU$505,320),'MTRs'!$AU$6:$AU$505,0),"")</f>
        <v/>
      </c>
    </row>
    <row r="331" ht="30" customHeight="1">
      <c r="B331" s="108" t="str">
        <f>IF($M331="","",INDEX('MTRs'!$A$6:$A$505,$M331)&amp;"")</f>
        <v/>
      </c>
      <c r="C331" s="109" t="str">
        <f>IF($M331="","",INDEX('MTRs'!$B$6:$B$505,$M331)&amp;"")</f>
        <v/>
      </c>
      <c r="D331" s="110" t="str">
        <f>IF($M331="","",INDEX('MTRs'!$G$6:$G$505,$M331)&amp;"")</f>
        <v/>
      </c>
      <c r="E331" s="110" t="str">
        <f>IF($M331="","",INDEX('MTRs'!$H$6:$H$505,$M331)&amp;"")</f>
        <v/>
      </c>
      <c r="F331" s="110" t="str">
        <f>IF($M331="","",INDEX('MTRs'!$I$6:$I$505,$M331)&amp;"")</f>
        <v/>
      </c>
      <c r="G331" s="110" t="str">
        <f>IF($M331="","",INDEX('MTRs'!$T$6:$T$505,$M331)&amp;"")</f>
        <v/>
      </c>
      <c r="H331" s="111" t="str">
        <f>IF($M331="","",INDEX('MTRs'!$AQ$6:$AQ$505,$M331))</f>
        <v/>
      </c>
      <c r="I331" s="112" t="str">
        <f>IF($M331="","",INDEX('MTRs'!$U$6:$U$505,$M331))</f>
        <v/>
      </c>
      <c r="J331" s="113" t="str">
        <f>IF($M331="","",INDEX('MTRs'!$AS$6:$AS$505,$M331)&amp;"")</f>
        <v/>
      </c>
      <c r="K331" s="110" t="str">
        <f>IF($M331="","",INDEX('MTRs'!$AT$6:$AT$505,$M331)&amp;"")</f>
        <v/>
      </c>
      <c r="L331" s="110" t="str">
        <f>IF($M331="","",INDEX('MTRs'!$Y$6:$Y$505,$M331)&amp;"")</f>
        <v/>
      </c>
      <c r="M331" t="str">
        <f>IFERROR(MATCH(SMALL('MTRs'!$AU$6:$AU$505,321),'MTRs'!$AU$6:$AU$505,0),"")</f>
        <v/>
      </c>
    </row>
    <row r="332" ht="30" customHeight="1">
      <c r="B332" s="108" t="str">
        <f>IF($M332="","",INDEX('MTRs'!$A$6:$A$505,$M332)&amp;"")</f>
        <v/>
      </c>
      <c r="C332" s="109" t="str">
        <f>IF($M332="","",INDEX('MTRs'!$B$6:$B$505,$M332)&amp;"")</f>
        <v/>
      </c>
      <c r="D332" s="110" t="str">
        <f>IF($M332="","",INDEX('MTRs'!$G$6:$G$505,$M332)&amp;"")</f>
        <v/>
      </c>
      <c r="E332" s="110" t="str">
        <f>IF($M332="","",INDEX('MTRs'!$H$6:$H$505,$M332)&amp;"")</f>
        <v/>
      </c>
      <c r="F332" s="110" t="str">
        <f>IF($M332="","",INDEX('MTRs'!$I$6:$I$505,$M332)&amp;"")</f>
        <v/>
      </c>
      <c r="G332" s="110" t="str">
        <f>IF($M332="","",INDEX('MTRs'!$T$6:$T$505,$M332)&amp;"")</f>
        <v/>
      </c>
      <c r="H332" s="111" t="str">
        <f>IF($M332="","",INDEX('MTRs'!$AQ$6:$AQ$505,$M332))</f>
        <v/>
      </c>
      <c r="I332" s="112" t="str">
        <f>IF($M332="","",INDEX('MTRs'!$U$6:$U$505,$M332))</f>
        <v/>
      </c>
      <c r="J332" s="113" t="str">
        <f>IF($M332="","",INDEX('MTRs'!$AS$6:$AS$505,$M332)&amp;"")</f>
        <v/>
      </c>
      <c r="K332" s="110" t="str">
        <f>IF($M332="","",INDEX('MTRs'!$AT$6:$AT$505,$M332)&amp;"")</f>
        <v/>
      </c>
      <c r="L332" s="110" t="str">
        <f>IF($M332="","",INDEX('MTRs'!$Y$6:$Y$505,$M332)&amp;"")</f>
        <v/>
      </c>
      <c r="M332" t="str">
        <f>IFERROR(MATCH(SMALL('MTRs'!$AU$6:$AU$505,322),'MTRs'!$AU$6:$AU$505,0),"")</f>
        <v/>
      </c>
    </row>
    <row r="333" ht="30" customHeight="1">
      <c r="B333" s="108" t="str">
        <f>IF($M333="","",INDEX('MTRs'!$A$6:$A$505,$M333)&amp;"")</f>
        <v/>
      </c>
      <c r="C333" s="109" t="str">
        <f>IF($M333="","",INDEX('MTRs'!$B$6:$B$505,$M333)&amp;"")</f>
        <v/>
      </c>
      <c r="D333" s="110" t="str">
        <f>IF($M333="","",INDEX('MTRs'!$G$6:$G$505,$M333)&amp;"")</f>
        <v/>
      </c>
      <c r="E333" s="110" t="str">
        <f>IF($M333="","",INDEX('MTRs'!$H$6:$H$505,$M333)&amp;"")</f>
        <v/>
      </c>
      <c r="F333" s="110" t="str">
        <f>IF($M333="","",INDEX('MTRs'!$I$6:$I$505,$M333)&amp;"")</f>
        <v/>
      </c>
      <c r="G333" s="110" t="str">
        <f>IF($M333="","",INDEX('MTRs'!$T$6:$T$505,$M333)&amp;"")</f>
        <v/>
      </c>
      <c r="H333" s="111" t="str">
        <f>IF($M333="","",INDEX('MTRs'!$AQ$6:$AQ$505,$M333))</f>
        <v/>
      </c>
      <c r="I333" s="112" t="str">
        <f>IF($M333="","",INDEX('MTRs'!$U$6:$U$505,$M333))</f>
        <v/>
      </c>
      <c r="J333" s="113" t="str">
        <f>IF($M333="","",INDEX('MTRs'!$AS$6:$AS$505,$M333)&amp;"")</f>
        <v/>
      </c>
      <c r="K333" s="110" t="str">
        <f>IF($M333="","",INDEX('MTRs'!$AT$6:$AT$505,$M333)&amp;"")</f>
        <v/>
      </c>
      <c r="L333" s="110" t="str">
        <f>IF($M333="","",INDEX('MTRs'!$Y$6:$Y$505,$M333)&amp;"")</f>
        <v/>
      </c>
      <c r="M333" t="str">
        <f>IFERROR(MATCH(SMALL('MTRs'!$AU$6:$AU$505,323),'MTRs'!$AU$6:$AU$505,0),"")</f>
        <v/>
      </c>
    </row>
    <row r="334" ht="30" customHeight="1">
      <c r="B334" s="108" t="str">
        <f>IF($M334="","",INDEX('MTRs'!$A$6:$A$505,$M334)&amp;"")</f>
        <v/>
      </c>
      <c r="C334" s="109" t="str">
        <f>IF($M334="","",INDEX('MTRs'!$B$6:$B$505,$M334)&amp;"")</f>
        <v/>
      </c>
      <c r="D334" s="110" t="str">
        <f>IF($M334="","",INDEX('MTRs'!$G$6:$G$505,$M334)&amp;"")</f>
        <v/>
      </c>
      <c r="E334" s="110" t="str">
        <f>IF($M334="","",INDEX('MTRs'!$H$6:$H$505,$M334)&amp;"")</f>
        <v/>
      </c>
      <c r="F334" s="110" t="str">
        <f>IF($M334="","",INDEX('MTRs'!$I$6:$I$505,$M334)&amp;"")</f>
        <v/>
      </c>
      <c r="G334" s="110" t="str">
        <f>IF($M334="","",INDEX('MTRs'!$T$6:$T$505,$M334)&amp;"")</f>
        <v/>
      </c>
      <c r="H334" s="111" t="str">
        <f>IF($M334="","",INDEX('MTRs'!$AQ$6:$AQ$505,$M334))</f>
        <v/>
      </c>
      <c r="I334" s="112" t="str">
        <f>IF($M334="","",INDEX('MTRs'!$U$6:$U$505,$M334))</f>
        <v/>
      </c>
      <c r="J334" s="113" t="str">
        <f>IF($M334="","",INDEX('MTRs'!$AS$6:$AS$505,$M334)&amp;"")</f>
        <v/>
      </c>
      <c r="K334" s="110" t="str">
        <f>IF($M334="","",INDEX('MTRs'!$AT$6:$AT$505,$M334)&amp;"")</f>
        <v/>
      </c>
      <c r="L334" s="110" t="str">
        <f>IF($M334="","",INDEX('MTRs'!$Y$6:$Y$505,$M334)&amp;"")</f>
        <v/>
      </c>
      <c r="M334" t="str">
        <f>IFERROR(MATCH(SMALL('MTRs'!$AU$6:$AU$505,324),'MTRs'!$AU$6:$AU$505,0),"")</f>
        <v/>
      </c>
    </row>
    <row r="335" ht="30" customHeight="1">
      <c r="B335" s="108" t="str">
        <f>IF($M335="","",INDEX('MTRs'!$A$6:$A$505,$M335)&amp;"")</f>
        <v/>
      </c>
      <c r="C335" s="109" t="str">
        <f>IF($M335="","",INDEX('MTRs'!$B$6:$B$505,$M335)&amp;"")</f>
        <v/>
      </c>
      <c r="D335" s="110" t="str">
        <f>IF($M335="","",INDEX('MTRs'!$G$6:$G$505,$M335)&amp;"")</f>
        <v/>
      </c>
      <c r="E335" s="110" t="str">
        <f>IF($M335="","",INDEX('MTRs'!$H$6:$H$505,$M335)&amp;"")</f>
        <v/>
      </c>
      <c r="F335" s="110" t="str">
        <f>IF($M335="","",INDEX('MTRs'!$I$6:$I$505,$M335)&amp;"")</f>
        <v/>
      </c>
      <c r="G335" s="110" t="str">
        <f>IF($M335="","",INDEX('MTRs'!$T$6:$T$505,$M335)&amp;"")</f>
        <v/>
      </c>
      <c r="H335" s="111" t="str">
        <f>IF($M335="","",INDEX('MTRs'!$AQ$6:$AQ$505,$M335))</f>
        <v/>
      </c>
      <c r="I335" s="112" t="str">
        <f>IF($M335="","",INDEX('MTRs'!$U$6:$U$505,$M335))</f>
        <v/>
      </c>
      <c r="J335" s="113" t="str">
        <f>IF($M335="","",INDEX('MTRs'!$AS$6:$AS$505,$M335)&amp;"")</f>
        <v/>
      </c>
      <c r="K335" s="110" t="str">
        <f>IF($M335="","",INDEX('MTRs'!$AT$6:$AT$505,$M335)&amp;"")</f>
        <v/>
      </c>
      <c r="L335" s="110" t="str">
        <f>IF($M335="","",INDEX('MTRs'!$Y$6:$Y$505,$M335)&amp;"")</f>
        <v/>
      </c>
      <c r="M335" t="str">
        <f>IFERROR(MATCH(SMALL('MTRs'!$AU$6:$AU$505,325),'MTRs'!$AU$6:$AU$505,0),"")</f>
        <v/>
      </c>
    </row>
    <row r="336" ht="30" customHeight="1">
      <c r="B336" s="108" t="str">
        <f>IF($M336="","",INDEX('MTRs'!$A$6:$A$505,$M336)&amp;"")</f>
        <v/>
      </c>
      <c r="C336" s="109" t="str">
        <f>IF($M336="","",INDEX('MTRs'!$B$6:$B$505,$M336)&amp;"")</f>
        <v/>
      </c>
      <c r="D336" s="110" t="str">
        <f>IF($M336="","",INDEX('MTRs'!$G$6:$G$505,$M336)&amp;"")</f>
        <v/>
      </c>
      <c r="E336" s="110" t="str">
        <f>IF($M336="","",INDEX('MTRs'!$H$6:$H$505,$M336)&amp;"")</f>
        <v/>
      </c>
      <c r="F336" s="110" t="str">
        <f>IF($M336="","",INDEX('MTRs'!$I$6:$I$505,$M336)&amp;"")</f>
        <v/>
      </c>
      <c r="G336" s="110" t="str">
        <f>IF($M336="","",INDEX('MTRs'!$T$6:$T$505,$M336)&amp;"")</f>
        <v/>
      </c>
      <c r="H336" s="111" t="str">
        <f>IF($M336="","",INDEX('MTRs'!$AQ$6:$AQ$505,$M336))</f>
        <v/>
      </c>
      <c r="I336" s="112" t="str">
        <f>IF($M336="","",INDEX('MTRs'!$U$6:$U$505,$M336))</f>
        <v/>
      </c>
      <c r="J336" s="113" t="str">
        <f>IF($M336="","",INDEX('MTRs'!$AS$6:$AS$505,$M336)&amp;"")</f>
        <v/>
      </c>
      <c r="K336" s="110" t="str">
        <f>IF($M336="","",INDEX('MTRs'!$AT$6:$AT$505,$M336)&amp;"")</f>
        <v/>
      </c>
      <c r="L336" s="110" t="str">
        <f>IF($M336="","",INDEX('MTRs'!$Y$6:$Y$505,$M336)&amp;"")</f>
        <v/>
      </c>
      <c r="M336" t="str">
        <f>IFERROR(MATCH(SMALL('MTRs'!$AU$6:$AU$505,326),'MTRs'!$AU$6:$AU$505,0),"")</f>
        <v/>
      </c>
    </row>
    <row r="337" ht="30" customHeight="1">
      <c r="B337" s="108" t="str">
        <f>IF($M337="","",INDEX('MTRs'!$A$6:$A$505,$M337)&amp;"")</f>
        <v/>
      </c>
      <c r="C337" s="109" t="str">
        <f>IF($M337="","",INDEX('MTRs'!$B$6:$B$505,$M337)&amp;"")</f>
        <v/>
      </c>
      <c r="D337" s="110" t="str">
        <f>IF($M337="","",INDEX('MTRs'!$G$6:$G$505,$M337)&amp;"")</f>
        <v/>
      </c>
      <c r="E337" s="110" t="str">
        <f>IF($M337="","",INDEX('MTRs'!$H$6:$H$505,$M337)&amp;"")</f>
        <v/>
      </c>
      <c r="F337" s="110" t="str">
        <f>IF($M337="","",INDEX('MTRs'!$I$6:$I$505,$M337)&amp;"")</f>
        <v/>
      </c>
      <c r="G337" s="110" t="str">
        <f>IF($M337="","",INDEX('MTRs'!$T$6:$T$505,$M337)&amp;"")</f>
        <v/>
      </c>
      <c r="H337" s="111" t="str">
        <f>IF($M337="","",INDEX('MTRs'!$AQ$6:$AQ$505,$M337))</f>
        <v/>
      </c>
      <c r="I337" s="112" t="str">
        <f>IF($M337="","",INDEX('MTRs'!$U$6:$U$505,$M337))</f>
        <v/>
      </c>
      <c r="J337" s="113" t="str">
        <f>IF($M337="","",INDEX('MTRs'!$AS$6:$AS$505,$M337)&amp;"")</f>
        <v/>
      </c>
      <c r="K337" s="110" t="str">
        <f>IF($M337="","",INDEX('MTRs'!$AT$6:$AT$505,$M337)&amp;"")</f>
        <v/>
      </c>
      <c r="L337" s="110" t="str">
        <f>IF($M337="","",INDEX('MTRs'!$Y$6:$Y$505,$M337)&amp;"")</f>
        <v/>
      </c>
      <c r="M337" t="str">
        <f>IFERROR(MATCH(SMALL('MTRs'!$AU$6:$AU$505,327),'MTRs'!$AU$6:$AU$505,0),"")</f>
        <v/>
      </c>
    </row>
    <row r="338" ht="30" customHeight="1">
      <c r="B338" s="108" t="str">
        <f>IF($M338="","",INDEX('MTRs'!$A$6:$A$505,$M338)&amp;"")</f>
        <v/>
      </c>
      <c r="C338" s="109" t="str">
        <f>IF($M338="","",INDEX('MTRs'!$B$6:$B$505,$M338)&amp;"")</f>
        <v/>
      </c>
      <c r="D338" s="110" t="str">
        <f>IF($M338="","",INDEX('MTRs'!$G$6:$G$505,$M338)&amp;"")</f>
        <v/>
      </c>
      <c r="E338" s="110" t="str">
        <f>IF($M338="","",INDEX('MTRs'!$H$6:$H$505,$M338)&amp;"")</f>
        <v/>
      </c>
      <c r="F338" s="110" t="str">
        <f>IF($M338="","",INDEX('MTRs'!$I$6:$I$505,$M338)&amp;"")</f>
        <v/>
      </c>
      <c r="G338" s="110" t="str">
        <f>IF($M338="","",INDEX('MTRs'!$T$6:$T$505,$M338)&amp;"")</f>
        <v/>
      </c>
      <c r="H338" s="111" t="str">
        <f>IF($M338="","",INDEX('MTRs'!$AQ$6:$AQ$505,$M338))</f>
        <v/>
      </c>
      <c r="I338" s="112" t="str">
        <f>IF($M338="","",INDEX('MTRs'!$U$6:$U$505,$M338))</f>
        <v/>
      </c>
      <c r="J338" s="113" t="str">
        <f>IF($M338="","",INDEX('MTRs'!$AS$6:$AS$505,$M338)&amp;"")</f>
        <v/>
      </c>
      <c r="K338" s="110" t="str">
        <f>IF($M338="","",INDEX('MTRs'!$AT$6:$AT$505,$M338)&amp;"")</f>
        <v/>
      </c>
      <c r="L338" s="110" t="str">
        <f>IF($M338="","",INDEX('MTRs'!$Y$6:$Y$505,$M338)&amp;"")</f>
        <v/>
      </c>
      <c r="M338" t="str">
        <f>IFERROR(MATCH(SMALL('MTRs'!$AU$6:$AU$505,328),'MTRs'!$AU$6:$AU$505,0),"")</f>
        <v/>
      </c>
    </row>
    <row r="339" ht="30" customHeight="1">
      <c r="B339" s="108" t="str">
        <f>IF($M339="","",INDEX('MTRs'!$A$6:$A$505,$M339)&amp;"")</f>
        <v/>
      </c>
      <c r="C339" s="109" t="str">
        <f>IF($M339="","",INDEX('MTRs'!$B$6:$B$505,$M339)&amp;"")</f>
        <v/>
      </c>
      <c r="D339" s="110" t="str">
        <f>IF($M339="","",INDEX('MTRs'!$G$6:$G$505,$M339)&amp;"")</f>
        <v/>
      </c>
      <c r="E339" s="110" t="str">
        <f>IF($M339="","",INDEX('MTRs'!$H$6:$H$505,$M339)&amp;"")</f>
        <v/>
      </c>
      <c r="F339" s="110" t="str">
        <f>IF($M339="","",INDEX('MTRs'!$I$6:$I$505,$M339)&amp;"")</f>
        <v/>
      </c>
      <c r="G339" s="110" t="str">
        <f>IF($M339="","",INDEX('MTRs'!$T$6:$T$505,$M339)&amp;"")</f>
        <v/>
      </c>
      <c r="H339" s="111" t="str">
        <f>IF($M339="","",INDEX('MTRs'!$AQ$6:$AQ$505,$M339))</f>
        <v/>
      </c>
      <c r="I339" s="112" t="str">
        <f>IF($M339="","",INDEX('MTRs'!$U$6:$U$505,$M339))</f>
        <v/>
      </c>
      <c r="J339" s="113" t="str">
        <f>IF($M339="","",INDEX('MTRs'!$AS$6:$AS$505,$M339)&amp;"")</f>
        <v/>
      </c>
      <c r="K339" s="110" t="str">
        <f>IF($M339="","",INDEX('MTRs'!$AT$6:$AT$505,$M339)&amp;"")</f>
        <v/>
      </c>
      <c r="L339" s="110" t="str">
        <f>IF($M339="","",INDEX('MTRs'!$Y$6:$Y$505,$M339)&amp;"")</f>
        <v/>
      </c>
      <c r="M339" t="str">
        <f>IFERROR(MATCH(SMALL('MTRs'!$AU$6:$AU$505,329),'MTRs'!$AU$6:$AU$505,0),"")</f>
        <v/>
      </c>
    </row>
    <row r="340" ht="30" customHeight="1">
      <c r="B340" s="108" t="str">
        <f>IF($M340="","",INDEX('MTRs'!$A$6:$A$505,$M340)&amp;"")</f>
        <v/>
      </c>
      <c r="C340" s="109" t="str">
        <f>IF($M340="","",INDEX('MTRs'!$B$6:$B$505,$M340)&amp;"")</f>
        <v/>
      </c>
      <c r="D340" s="110" t="str">
        <f>IF($M340="","",INDEX('MTRs'!$G$6:$G$505,$M340)&amp;"")</f>
        <v/>
      </c>
      <c r="E340" s="110" t="str">
        <f>IF($M340="","",INDEX('MTRs'!$H$6:$H$505,$M340)&amp;"")</f>
        <v/>
      </c>
      <c r="F340" s="110" t="str">
        <f>IF($M340="","",INDEX('MTRs'!$I$6:$I$505,$M340)&amp;"")</f>
        <v/>
      </c>
      <c r="G340" s="110" t="str">
        <f>IF($M340="","",INDEX('MTRs'!$T$6:$T$505,$M340)&amp;"")</f>
        <v/>
      </c>
      <c r="H340" s="111" t="str">
        <f>IF($M340="","",INDEX('MTRs'!$AQ$6:$AQ$505,$M340))</f>
        <v/>
      </c>
      <c r="I340" s="112" t="str">
        <f>IF($M340="","",INDEX('MTRs'!$U$6:$U$505,$M340))</f>
        <v/>
      </c>
      <c r="J340" s="113" t="str">
        <f>IF($M340="","",INDEX('MTRs'!$AS$6:$AS$505,$M340)&amp;"")</f>
        <v/>
      </c>
      <c r="K340" s="110" t="str">
        <f>IF($M340="","",INDEX('MTRs'!$AT$6:$AT$505,$M340)&amp;"")</f>
        <v/>
      </c>
      <c r="L340" s="110" t="str">
        <f>IF($M340="","",INDEX('MTRs'!$Y$6:$Y$505,$M340)&amp;"")</f>
        <v/>
      </c>
      <c r="M340" t="str">
        <f>IFERROR(MATCH(SMALL('MTRs'!$AU$6:$AU$505,330),'MTRs'!$AU$6:$AU$505,0),"")</f>
        <v/>
      </c>
    </row>
    <row r="341" ht="30" customHeight="1">
      <c r="B341" s="108" t="str">
        <f>IF($M341="","",INDEX('MTRs'!$A$6:$A$505,$M341)&amp;"")</f>
        <v/>
      </c>
      <c r="C341" s="109" t="str">
        <f>IF($M341="","",INDEX('MTRs'!$B$6:$B$505,$M341)&amp;"")</f>
        <v/>
      </c>
      <c r="D341" s="110" t="str">
        <f>IF($M341="","",INDEX('MTRs'!$G$6:$G$505,$M341)&amp;"")</f>
        <v/>
      </c>
      <c r="E341" s="110" t="str">
        <f>IF($M341="","",INDEX('MTRs'!$H$6:$H$505,$M341)&amp;"")</f>
        <v/>
      </c>
      <c r="F341" s="110" t="str">
        <f>IF($M341="","",INDEX('MTRs'!$I$6:$I$505,$M341)&amp;"")</f>
        <v/>
      </c>
      <c r="G341" s="110" t="str">
        <f>IF($M341="","",INDEX('MTRs'!$T$6:$T$505,$M341)&amp;"")</f>
        <v/>
      </c>
      <c r="H341" s="111" t="str">
        <f>IF($M341="","",INDEX('MTRs'!$AQ$6:$AQ$505,$M341))</f>
        <v/>
      </c>
      <c r="I341" s="112" t="str">
        <f>IF($M341="","",INDEX('MTRs'!$U$6:$U$505,$M341))</f>
        <v/>
      </c>
      <c r="J341" s="113" t="str">
        <f>IF($M341="","",INDEX('MTRs'!$AS$6:$AS$505,$M341)&amp;"")</f>
        <v/>
      </c>
      <c r="K341" s="110" t="str">
        <f>IF($M341="","",INDEX('MTRs'!$AT$6:$AT$505,$M341)&amp;"")</f>
        <v/>
      </c>
      <c r="L341" s="110" t="str">
        <f>IF($M341="","",INDEX('MTRs'!$Y$6:$Y$505,$M341)&amp;"")</f>
        <v/>
      </c>
      <c r="M341" t="str">
        <f>IFERROR(MATCH(SMALL('MTRs'!$AU$6:$AU$505,331),'MTRs'!$AU$6:$AU$505,0),"")</f>
        <v/>
      </c>
    </row>
    <row r="342" ht="30" customHeight="1">
      <c r="B342" s="108" t="str">
        <f>IF($M342="","",INDEX('MTRs'!$A$6:$A$505,$M342)&amp;"")</f>
        <v/>
      </c>
      <c r="C342" s="109" t="str">
        <f>IF($M342="","",INDEX('MTRs'!$B$6:$B$505,$M342)&amp;"")</f>
        <v/>
      </c>
      <c r="D342" s="110" t="str">
        <f>IF($M342="","",INDEX('MTRs'!$G$6:$G$505,$M342)&amp;"")</f>
        <v/>
      </c>
      <c r="E342" s="110" t="str">
        <f>IF($M342="","",INDEX('MTRs'!$H$6:$H$505,$M342)&amp;"")</f>
        <v/>
      </c>
      <c r="F342" s="110" t="str">
        <f>IF($M342="","",INDEX('MTRs'!$I$6:$I$505,$M342)&amp;"")</f>
        <v/>
      </c>
      <c r="G342" s="110" t="str">
        <f>IF($M342="","",INDEX('MTRs'!$T$6:$T$505,$M342)&amp;"")</f>
        <v/>
      </c>
      <c r="H342" s="111" t="str">
        <f>IF($M342="","",INDEX('MTRs'!$AQ$6:$AQ$505,$M342))</f>
        <v/>
      </c>
      <c r="I342" s="112" t="str">
        <f>IF($M342="","",INDEX('MTRs'!$U$6:$U$505,$M342))</f>
        <v/>
      </c>
      <c r="J342" s="113" t="str">
        <f>IF($M342="","",INDEX('MTRs'!$AS$6:$AS$505,$M342)&amp;"")</f>
        <v/>
      </c>
      <c r="K342" s="110" t="str">
        <f>IF($M342="","",INDEX('MTRs'!$AT$6:$AT$505,$M342)&amp;"")</f>
        <v/>
      </c>
      <c r="L342" s="110" t="str">
        <f>IF($M342="","",INDEX('MTRs'!$Y$6:$Y$505,$M342)&amp;"")</f>
        <v/>
      </c>
      <c r="M342" t="str">
        <f>IFERROR(MATCH(SMALL('MTRs'!$AU$6:$AU$505,332),'MTRs'!$AU$6:$AU$505,0),"")</f>
        <v/>
      </c>
    </row>
    <row r="343" ht="30" customHeight="1">
      <c r="B343" s="108" t="str">
        <f>IF($M343="","",INDEX('MTRs'!$A$6:$A$505,$M343)&amp;"")</f>
        <v/>
      </c>
      <c r="C343" s="109" t="str">
        <f>IF($M343="","",INDEX('MTRs'!$B$6:$B$505,$M343)&amp;"")</f>
        <v/>
      </c>
      <c r="D343" s="110" t="str">
        <f>IF($M343="","",INDEX('MTRs'!$G$6:$G$505,$M343)&amp;"")</f>
        <v/>
      </c>
      <c r="E343" s="110" t="str">
        <f>IF($M343="","",INDEX('MTRs'!$H$6:$H$505,$M343)&amp;"")</f>
        <v/>
      </c>
      <c r="F343" s="110" t="str">
        <f>IF($M343="","",INDEX('MTRs'!$I$6:$I$505,$M343)&amp;"")</f>
        <v/>
      </c>
      <c r="G343" s="110" t="str">
        <f>IF($M343="","",INDEX('MTRs'!$T$6:$T$505,$M343)&amp;"")</f>
        <v/>
      </c>
      <c r="H343" s="111" t="str">
        <f>IF($M343="","",INDEX('MTRs'!$AQ$6:$AQ$505,$M343))</f>
        <v/>
      </c>
      <c r="I343" s="112" t="str">
        <f>IF($M343="","",INDEX('MTRs'!$U$6:$U$505,$M343))</f>
        <v/>
      </c>
      <c r="J343" s="113" t="str">
        <f>IF($M343="","",INDEX('MTRs'!$AS$6:$AS$505,$M343)&amp;"")</f>
        <v/>
      </c>
      <c r="K343" s="110" t="str">
        <f>IF($M343="","",INDEX('MTRs'!$AT$6:$AT$505,$M343)&amp;"")</f>
        <v/>
      </c>
      <c r="L343" s="110" t="str">
        <f>IF($M343="","",INDEX('MTRs'!$Y$6:$Y$505,$M343)&amp;"")</f>
        <v/>
      </c>
      <c r="M343" t="str">
        <f>IFERROR(MATCH(SMALL('MTRs'!$AU$6:$AU$505,333),'MTRs'!$AU$6:$AU$505,0),"")</f>
        <v/>
      </c>
    </row>
    <row r="344" ht="30" customHeight="1">
      <c r="B344" s="108" t="str">
        <f>IF($M344="","",INDEX('MTRs'!$A$6:$A$505,$M344)&amp;"")</f>
        <v/>
      </c>
      <c r="C344" s="109" t="str">
        <f>IF($M344="","",INDEX('MTRs'!$B$6:$B$505,$M344)&amp;"")</f>
        <v/>
      </c>
      <c r="D344" s="110" t="str">
        <f>IF($M344="","",INDEX('MTRs'!$G$6:$G$505,$M344)&amp;"")</f>
        <v/>
      </c>
      <c r="E344" s="110" t="str">
        <f>IF($M344="","",INDEX('MTRs'!$H$6:$H$505,$M344)&amp;"")</f>
        <v/>
      </c>
      <c r="F344" s="110" t="str">
        <f>IF($M344="","",INDEX('MTRs'!$I$6:$I$505,$M344)&amp;"")</f>
        <v/>
      </c>
      <c r="G344" s="110" t="str">
        <f>IF($M344="","",INDEX('MTRs'!$T$6:$T$505,$M344)&amp;"")</f>
        <v/>
      </c>
      <c r="H344" s="111" t="str">
        <f>IF($M344="","",INDEX('MTRs'!$AQ$6:$AQ$505,$M344))</f>
        <v/>
      </c>
      <c r="I344" s="112" t="str">
        <f>IF($M344="","",INDEX('MTRs'!$U$6:$U$505,$M344))</f>
        <v/>
      </c>
      <c r="J344" s="113" t="str">
        <f>IF($M344="","",INDEX('MTRs'!$AS$6:$AS$505,$M344)&amp;"")</f>
        <v/>
      </c>
      <c r="K344" s="110" t="str">
        <f>IF($M344="","",INDEX('MTRs'!$AT$6:$AT$505,$M344)&amp;"")</f>
        <v/>
      </c>
      <c r="L344" s="110" t="str">
        <f>IF($M344="","",INDEX('MTRs'!$Y$6:$Y$505,$M344)&amp;"")</f>
        <v/>
      </c>
      <c r="M344" t="str">
        <f>IFERROR(MATCH(SMALL('MTRs'!$AU$6:$AU$505,334),'MTRs'!$AU$6:$AU$505,0),"")</f>
        <v/>
      </c>
    </row>
    <row r="345" ht="30" customHeight="1">
      <c r="B345" s="108" t="str">
        <f>IF($M345="","",INDEX('MTRs'!$A$6:$A$505,$M345)&amp;"")</f>
        <v/>
      </c>
      <c r="C345" s="109" t="str">
        <f>IF($M345="","",INDEX('MTRs'!$B$6:$B$505,$M345)&amp;"")</f>
        <v/>
      </c>
      <c r="D345" s="110" t="str">
        <f>IF($M345="","",INDEX('MTRs'!$G$6:$G$505,$M345)&amp;"")</f>
        <v/>
      </c>
      <c r="E345" s="110" t="str">
        <f>IF($M345="","",INDEX('MTRs'!$H$6:$H$505,$M345)&amp;"")</f>
        <v/>
      </c>
      <c r="F345" s="110" t="str">
        <f>IF($M345="","",INDEX('MTRs'!$I$6:$I$505,$M345)&amp;"")</f>
        <v/>
      </c>
      <c r="G345" s="110" t="str">
        <f>IF($M345="","",INDEX('MTRs'!$T$6:$T$505,$M345)&amp;"")</f>
        <v/>
      </c>
      <c r="H345" s="111" t="str">
        <f>IF($M345="","",INDEX('MTRs'!$AQ$6:$AQ$505,$M345))</f>
        <v/>
      </c>
      <c r="I345" s="112" t="str">
        <f>IF($M345="","",INDEX('MTRs'!$U$6:$U$505,$M345))</f>
        <v/>
      </c>
      <c r="J345" s="113" t="str">
        <f>IF($M345="","",INDEX('MTRs'!$AS$6:$AS$505,$M345)&amp;"")</f>
        <v/>
      </c>
      <c r="K345" s="110" t="str">
        <f>IF($M345="","",INDEX('MTRs'!$AT$6:$AT$505,$M345)&amp;"")</f>
        <v/>
      </c>
      <c r="L345" s="110" t="str">
        <f>IF($M345="","",INDEX('MTRs'!$Y$6:$Y$505,$M345)&amp;"")</f>
        <v/>
      </c>
      <c r="M345" t="str">
        <f>IFERROR(MATCH(SMALL('MTRs'!$AU$6:$AU$505,335),'MTRs'!$AU$6:$AU$505,0),"")</f>
        <v/>
      </c>
    </row>
    <row r="346" ht="30" customHeight="1">
      <c r="B346" s="108" t="str">
        <f>IF($M346="","",INDEX('MTRs'!$A$6:$A$505,$M346)&amp;"")</f>
        <v/>
      </c>
      <c r="C346" s="109" t="str">
        <f>IF($M346="","",INDEX('MTRs'!$B$6:$B$505,$M346)&amp;"")</f>
        <v/>
      </c>
      <c r="D346" s="110" t="str">
        <f>IF($M346="","",INDEX('MTRs'!$G$6:$G$505,$M346)&amp;"")</f>
        <v/>
      </c>
      <c r="E346" s="110" t="str">
        <f>IF($M346="","",INDEX('MTRs'!$H$6:$H$505,$M346)&amp;"")</f>
        <v/>
      </c>
      <c r="F346" s="110" t="str">
        <f>IF($M346="","",INDEX('MTRs'!$I$6:$I$505,$M346)&amp;"")</f>
        <v/>
      </c>
      <c r="G346" s="110" t="str">
        <f>IF($M346="","",INDEX('MTRs'!$T$6:$T$505,$M346)&amp;"")</f>
        <v/>
      </c>
      <c r="H346" s="111" t="str">
        <f>IF($M346="","",INDEX('MTRs'!$AQ$6:$AQ$505,$M346))</f>
        <v/>
      </c>
      <c r="I346" s="112" t="str">
        <f>IF($M346="","",INDEX('MTRs'!$U$6:$U$505,$M346))</f>
        <v/>
      </c>
      <c r="J346" s="113" t="str">
        <f>IF($M346="","",INDEX('MTRs'!$AS$6:$AS$505,$M346)&amp;"")</f>
        <v/>
      </c>
      <c r="K346" s="110" t="str">
        <f>IF($M346="","",INDEX('MTRs'!$AT$6:$AT$505,$M346)&amp;"")</f>
        <v/>
      </c>
      <c r="L346" s="110" t="str">
        <f>IF($M346="","",INDEX('MTRs'!$Y$6:$Y$505,$M346)&amp;"")</f>
        <v/>
      </c>
      <c r="M346" t="str">
        <f>IFERROR(MATCH(SMALL('MTRs'!$AU$6:$AU$505,336),'MTRs'!$AU$6:$AU$505,0),"")</f>
        <v/>
      </c>
    </row>
    <row r="347" ht="30" customHeight="1">
      <c r="B347" s="108" t="str">
        <f>IF($M347="","",INDEX('MTRs'!$A$6:$A$505,$M347)&amp;"")</f>
        <v/>
      </c>
      <c r="C347" s="109" t="str">
        <f>IF($M347="","",INDEX('MTRs'!$B$6:$B$505,$M347)&amp;"")</f>
        <v/>
      </c>
      <c r="D347" s="110" t="str">
        <f>IF($M347="","",INDEX('MTRs'!$G$6:$G$505,$M347)&amp;"")</f>
        <v/>
      </c>
      <c r="E347" s="110" t="str">
        <f>IF($M347="","",INDEX('MTRs'!$H$6:$H$505,$M347)&amp;"")</f>
        <v/>
      </c>
      <c r="F347" s="110" t="str">
        <f>IF($M347="","",INDEX('MTRs'!$I$6:$I$505,$M347)&amp;"")</f>
        <v/>
      </c>
      <c r="G347" s="110" t="str">
        <f>IF($M347="","",INDEX('MTRs'!$T$6:$T$505,$M347)&amp;"")</f>
        <v/>
      </c>
      <c r="H347" s="111" t="str">
        <f>IF($M347="","",INDEX('MTRs'!$AQ$6:$AQ$505,$M347))</f>
        <v/>
      </c>
      <c r="I347" s="112" t="str">
        <f>IF($M347="","",INDEX('MTRs'!$U$6:$U$505,$M347))</f>
        <v/>
      </c>
      <c r="J347" s="113" t="str">
        <f>IF($M347="","",INDEX('MTRs'!$AS$6:$AS$505,$M347)&amp;"")</f>
        <v/>
      </c>
      <c r="K347" s="110" t="str">
        <f>IF($M347="","",INDEX('MTRs'!$AT$6:$AT$505,$M347)&amp;"")</f>
        <v/>
      </c>
      <c r="L347" s="110" t="str">
        <f>IF($M347="","",INDEX('MTRs'!$Y$6:$Y$505,$M347)&amp;"")</f>
        <v/>
      </c>
      <c r="M347" t="str">
        <f>IFERROR(MATCH(SMALL('MTRs'!$AU$6:$AU$505,337),'MTRs'!$AU$6:$AU$505,0),"")</f>
        <v/>
      </c>
    </row>
    <row r="348" ht="30" customHeight="1">
      <c r="B348" s="108" t="str">
        <f>IF($M348="","",INDEX('MTRs'!$A$6:$A$505,$M348)&amp;"")</f>
        <v/>
      </c>
      <c r="C348" s="109" t="str">
        <f>IF($M348="","",INDEX('MTRs'!$B$6:$B$505,$M348)&amp;"")</f>
        <v/>
      </c>
      <c r="D348" s="110" t="str">
        <f>IF($M348="","",INDEX('MTRs'!$G$6:$G$505,$M348)&amp;"")</f>
        <v/>
      </c>
      <c r="E348" s="110" t="str">
        <f>IF($M348="","",INDEX('MTRs'!$H$6:$H$505,$M348)&amp;"")</f>
        <v/>
      </c>
      <c r="F348" s="110" t="str">
        <f>IF($M348="","",INDEX('MTRs'!$I$6:$I$505,$M348)&amp;"")</f>
        <v/>
      </c>
      <c r="G348" s="110" t="str">
        <f>IF($M348="","",INDEX('MTRs'!$T$6:$T$505,$M348)&amp;"")</f>
        <v/>
      </c>
      <c r="H348" s="111" t="str">
        <f>IF($M348="","",INDEX('MTRs'!$AQ$6:$AQ$505,$M348))</f>
        <v/>
      </c>
      <c r="I348" s="112" t="str">
        <f>IF($M348="","",INDEX('MTRs'!$U$6:$U$505,$M348))</f>
        <v/>
      </c>
      <c r="J348" s="113" t="str">
        <f>IF($M348="","",INDEX('MTRs'!$AS$6:$AS$505,$M348)&amp;"")</f>
        <v/>
      </c>
      <c r="K348" s="110" t="str">
        <f>IF($M348="","",INDEX('MTRs'!$AT$6:$AT$505,$M348)&amp;"")</f>
        <v/>
      </c>
      <c r="L348" s="110" t="str">
        <f>IF($M348="","",INDEX('MTRs'!$Y$6:$Y$505,$M348)&amp;"")</f>
        <v/>
      </c>
      <c r="M348" t="str">
        <f>IFERROR(MATCH(SMALL('MTRs'!$AU$6:$AU$505,338),'MTRs'!$AU$6:$AU$505,0),"")</f>
        <v/>
      </c>
    </row>
    <row r="349" ht="30" customHeight="1">
      <c r="B349" s="108" t="str">
        <f>IF($M349="","",INDEX('MTRs'!$A$6:$A$505,$M349)&amp;"")</f>
        <v/>
      </c>
      <c r="C349" s="109" t="str">
        <f>IF($M349="","",INDEX('MTRs'!$B$6:$B$505,$M349)&amp;"")</f>
        <v/>
      </c>
      <c r="D349" s="110" t="str">
        <f>IF($M349="","",INDEX('MTRs'!$G$6:$G$505,$M349)&amp;"")</f>
        <v/>
      </c>
      <c r="E349" s="110" t="str">
        <f>IF($M349="","",INDEX('MTRs'!$H$6:$H$505,$M349)&amp;"")</f>
        <v/>
      </c>
      <c r="F349" s="110" t="str">
        <f>IF($M349="","",INDEX('MTRs'!$I$6:$I$505,$M349)&amp;"")</f>
        <v/>
      </c>
      <c r="G349" s="110" t="str">
        <f>IF($M349="","",INDEX('MTRs'!$T$6:$T$505,$M349)&amp;"")</f>
        <v/>
      </c>
      <c r="H349" s="111" t="str">
        <f>IF($M349="","",INDEX('MTRs'!$AQ$6:$AQ$505,$M349))</f>
        <v/>
      </c>
      <c r="I349" s="112" t="str">
        <f>IF($M349="","",INDEX('MTRs'!$U$6:$U$505,$M349))</f>
        <v/>
      </c>
      <c r="J349" s="113" t="str">
        <f>IF($M349="","",INDEX('MTRs'!$AS$6:$AS$505,$M349)&amp;"")</f>
        <v/>
      </c>
      <c r="K349" s="110" t="str">
        <f>IF($M349="","",INDEX('MTRs'!$AT$6:$AT$505,$M349)&amp;"")</f>
        <v/>
      </c>
      <c r="L349" s="110" t="str">
        <f>IF($M349="","",INDEX('MTRs'!$Y$6:$Y$505,$M349)&amp;"")</f>
        <v/>
      </c>
      <c r="M349" t="str">
        <f>IFERROR(MATCH(SMALL('MTRs'!$AU$6:$AU$505,339),'MTRs'!$AU$6:$AU$505,0),"")</f>
        <v/>
      </c>
    </row>
    <row r="350" ht="30" customHeight="1">
      <c r="B350" s="108" t="str">
        <f>IF($M350="","",INDEX('MTRs'!$A$6:$A$505,$M350)&amp;"")</f>
        <v/>
      </c>
      <c r="C350" s="109" t="str">
        <f>IF($M350="","",INDEX('MTRs'!$B$6:$B$505,$M350)&amp;"")</f>
        <v/>
      </c>
      <c r="D350" s="110" t="str">
        <f>IF($M350="","",INDEX('MTRs'!$G$6:$G$505,$M350)&amp;"")</f>
        <v/>
      </c>
      <c r="E350" s="110" t="str">
        <f>IF($M350="","",INDEX('MTRs'!$H$6:$H$505,$M350)&amp;"")</f>
        <v/>
      </c>
      <c r="F350" s="110" t="str">
        <f>IF($M350="","",INDEX('MTRs'!$I$6:$I$505,$M350)&amp;"")</f>
        <v/>
      </c>
      <c r="G350" s="110" t="str">
        <f>IF($M350="","",INDEX('MTRs'!$T$6:$T$505,$M350)&amp;"")</f>
        <v/>
      </c>
      <c r="H350" s="111" t="str">
        <f>IF($M350="","",INDEX('MTRs'!$AQ$6:$AQ$505,$M350))</f>
        <v/>
      </c>
      <c r="I350" s="112" t="str">
        <f>IF($M350="","",INDEX('MTRs'!$U$6:$U$505,$M350))</f>
        <v/>
      </c>
      <c r="J350" s="113" t="str">
        <f>IF($M350="","",INDEX('MTRs'!$AS$6:$AS$505,$M350)&amp;"")</f>
        <v/>
      </c>
      <c r="K350" s="110" t="str">
        <f>IF($M350="","",INDEX('MTRs'!$AT$6:$AT$505,$M350)&amp;"")</f>
        <v/>
      </c>
      <c r="L350" s="110" t="str">
        <f>IF($M350="","",INDEX('MTRs'!$Y$6:$Y$505,$M350)&amp;"")</f>
        <v/>
      </c>
      <c r="M350" t="str">
        <f>IFERROR(MATCH(SMALL('MTRs'!$AU$6:$AU$505,340),'MTRs'!$AU$6:$AU$505,0),"")</f>
        <v/>
      </c>
    </row>
    <row r="351" ht="30" customHeight="1">
      <c r="B351" s="108" t="str">
        <f>IF($M351="","",INDEX('MTRs'!$A$6:$A$505,$M351)&amp;"")</f>
        <v/>
      </c>
      <c r="C351" s="109" t="str">
        <f>IF($M351="","",INDEX('MTRs'!$B$6:$B$505,$M351)&amp;"")</f>
        <v/>
      </c>
      <c r="D351" s="110" t="str">
        <f>IF($M351="","",INDEX('MTRs'!$G$6:$G$505,$M351)&amp;"")</f>
        <v/>
      </c>
      <c r="E351" s="110" t="str">
        <f>IF($M351="","",INDEX('MTRs'!$H$6:$H$505,$M351)&amp;"")</f>
        <v/>
      </c>
      <c r="F351" s="110" t="str">
        <f>IF($M351="","",INDEX('MTRs'!$I$6:$I$505,$M351)&amp;"")</f>
        <v/>
      </c>
      <c r="G351" s="110" t="str">
        <f>IF($M351="","",INDEX('MTRs'!$T$6:$T$505,$M351)&amp;"")</f>
        <v/>
      </c>
      <c r="H351" s="111" t="str">
        <f>IF($M351="","",INDEX('MTRs'!$AQ$6:$AQ$505,$M351))</f>
        <v/>
      </c>
      <c r="I351" s="112" t="str">
        <f>IF($M351="","",INDEX('MTRs'!$U$6:$U$505,$M351))</f>
        <v/>
      </c>
      <c r="J351" s="113" t="str">
        <f>IF($M351="","",INDEX('MTRs'!$AS$6:$AS$505,$M351)&amp;"")</f>
        <v/>
      </c>
      <c r="K351" s="110" t="str">
        <f>IF($M351="","",INDEX('MTRs'!$AT$6:$AT$505,$M351)&amp;"")</f>
        <v/>
      </c>
      <c r="L351" s="110" t="str">
        <f>IF($M351="","",INDEX('MTRs'!$Y$6:$Y$505,$M351)&amp;"")</f>
        <v/>
      </c>
      <c r="M351" t="str">
        <f>IFERROR(MATCH(SMALL('MTRs'!$AU$6:$AU$505,341),'MTRs'!$AU$6:$AU$505,0),"")</f>
        <v/>
      </c>
    </row>
    <row r="352" ht="30" customHeight="1">
      <c r="B352" s="108" t="str">
        <f>IF($M352="","",INDEX('MTRs'!$A$6:$A$505,$M352)&amp;"")</f>
        <v/>
      </c>
      <c r="C352" s="109" t="str">
        <f>IF($M352="","",INDEX('MTRs'!$B$6:$B$505,$M352)&amp;"")</f>
        <v/>
      </c>
      <c r="D352" s="110" t="str">
        <f>IF($M352="","",INDEX('MTRs'!$G$6:$G$505,$M352)&amp;"")</f>
        <v/>
      </c>
      <c r="E352" s="110" t="str">
        <f>IF($M352="","",INDEX('MTRs'!$H$6:$H$505,$M352)&amp;"")</f>
        <v/>
      </c>
      <c r="F352" s="110" t="str">
        <f>IF($M352="","",INDEX('MTRs'!$I$6:$I$505,$M352)&amp;"")</f>
        <v/>
      </c>
      <c r="G352" s="110" t="str">
        <f>IF($M352="","",INDEX('MTRs'!$T$6:$T$505,$M352)&amp;"")</f>
        <v/>
      </c>
      <c r="H352" s="111" t="str">
        <f>IF($M352="","",INDEX('MTRs'!$AQ$6:$AQ$505,$M352))</f>
        <v/>
      </c>
      <c r="I352" s="112" t="str">
        <f>IF($M352="","",INDEX('MTRs'!$U$6:$U$505,$M352))</f>
        <v/>
      </c>
      <c r="J352" s="113" t="str">
        <f>IF($M352="","",INDEX('MTRs'!$AS$6:$AS$505,$M352)&amp;"")</f>
        <v/>
      </c>
      <c r="K352" s="110" t="str">
        <f>IF($M352="","",INDEX('MTRs'!$AT$6:$AT$505,$M352)&amp;"")</f>
        <v/>
      </c>
      <c r="L352" s="110" t="str">
        <f>IF($M352="","",INDEX('MTRs'!$Y$6:$Y$505,$M352)&amp;"")</f>
        <v/>
      </c>
      <c r="M352" t="str">
        <f>IFERROR(MATCH(SMALL('MTRs'!$AU$6:$AU$505,342),'MTRs'!$AU$6:$AU$505,0),"")</f>
        <v/>
      </c>
    </row>
    <row r="353" ht="30" customHeight="1">
      <c r="B353" s="108" t="str">
        <f>IF($M353="","",INDEX('MTRs'!$A$6:$A$505,$M353)&amp;"")</f>
        <v/>
      </c>
      <c r="C353" s="109" t="str">
        <f>IF($M353="","",INDEX('MTRs'!$B$6:$B$505,$M353)&amp;"")</f>
        <v/>
      </c>
      <c r="D353" s="110" t="str">
        <f>IF($M353="","",INDEX('MTRs'!$G$6:$G$505,$M353)&amp;"")</f>
        <v/>
      </c>
      <c r="E353" s="110" t="str">
        <f>IF($M353="","",INDEX('MTRs'!$H$6:$H$505,$M353)&amp;"")</f>
        <v/>
      </c>
      <c r="F353" s="110" t="str">
        <f>IF($M353="","",INDEX('MTRs'!$I$6:$I$505,$M353)&amp;"")</f>
        <v/>
      </c>
      <c r="G353" s="110" t="str">
        <f>IF($M353="","",INDEX('MTRs'!$T$6:$T$505,$M353)&amp;"")</f>
        <v/>
      </c>
      <c r="H353" s="111" t="str">
        <f>IF($M353="","",INDEX('MTRs'!$AQ$6:$AQ$505,$M353))</f>
        <v/>
      </c>
      <c r="I353" s="112" t="str">
        <f>IF($M353="","",INDEX('MTRs'!$U$6:$U$505,$M353))</f>
        <v/>
      </c>
      <c r="J353" s="113" t="str">
        <f>IF($M353="","",INDEX('MTRs'!$AS$6:$AS$505,$M353)&amp;"")</f>
        <v/>
      </c>
      <c r="K353" s="110" t="str">
        <f>IF($M353="","",INDEX('MTRs'!$AT$6:$AT$505,$M353)&amp;"")</f>
        <v/>
      </c>
      <c r="L353" s="110" t="str">
        <f>IF($M353="","",INDEX('MTRs'!$Y$6:$Y$505,$M353)&amp;"")</f>
        <v/>
      </c>
      <c r="M353" t="str">
        <f>IFERROR(MATCH(SMALL('MTRs'!$AU$6:$AU$505,343),'MTRs'!$AU$6:$AU$505,0),"")</f>
        <v/>
      </c>
    </row>
    <row r="354" ht="30" customHeight="1">
      <c r="B354" s="108" t="str">
        <f>IF($M354="","",INDEX('MTRs'!$A$6:$A$505,$M354)&amp;"")</f>
        <v/>
      </c>
      <c r="C354" s="109" t="str">
        <f>IF($M354="","",INDEX('MTRs'!$B$6:$B$505,$M354)&amp;"")</f>
        <v/>
      </c>
      <c r="D354" s="110" t="str">
        <f>IF($M354="","",INDEX('MTRs'!$G$6:$G$505,$M354)&amp;"")</f>
        <v/>
      </c>
      <c r="E354" s="110" t="str">
        <f>IF($M354="","",INDEX('MTRs'!$H$6:$H$505,$M354)&amp;"")</f>
        <v/>
      </c>
      <c r="F354" s="110" t="str">
        <f>IF($M354="","",INDEX('MTRs'!$I$6:$I$505,$M354)&amp;"")</f>
        <v/>
      </c>
      <c r="G354" s="110" t="str">
        <f>IF($M354="","",INDEX('MTRs'!$T$6:$T$505,$M354)&amp;"")</f>
        <v/>
      </c>
      <c r="H354" s="111" t="str">
        <f>IF($M354="","",INDEX('MTRs'!$AQ$6:$AQ$505,$M354))</f>
        <v/>
      </c>
      <c r="I354" s="112" t="str">
        <f>IF($M354="","",INDEX('MTRs'!$U$6:$U$505,$M354))</f>
        <v/>
      </c>
      <c r="J354" s="113" t="str">
        <f>IF($M354="","",INDEX('MTRs'!$AS$6:$AS$505,$M354)&amp;"")</f>
        <v/>
      </c>
      <c r="K354" s="110" t="str">
        <f>IF($M354="","",INDEX('MTRs'!$AT$6:$AT$505,$M354)&amp;"")</f>
        <v/>
      </c>
      <c r="L354" s="110" t="str">
        <f>IF($M354="","",INDEX('MTRs'!$Y$6:$Y$505,$M354)&amp;"")</f>
        <v/>
      </c>
      <c r="M354" t="str">
        <f>IFERROR(MATCH(SMALL('MTRs'!$AU$6:$AU$505,344),'MTRs'!$AU$6:$AU$505,0),"")</f>
        <v/>
      </c>
    </row>
    <row r="355" ht="30" customHeight="1">
      <c r="B355" s="108" t="str">
        <f>IF($M355="","",INDEX('MTRs'!$A$6:$A$505,$M355)&amp;"")</f>
        <v/>
      </c>
      <c r="C355" s="109" t="str">
        <f>IF($M355="","",INDEX('MTRs'!$B$6:$B$505,$M355)&amp;"")</f>
        <v/>
      </c>
      <c r="D355" s="110" t="str">
        <f>IF($M355="","",INDEX('MTRs'!$G$6:$G$505,$M355)&amp;"")</f>
        <v/>
      </c>
      <c r="E355" s="110" t="str">
        <f>IF($M355="","",INDEX('MTRs'!$H$6:$H$505,$M355)&amp;"")</f>
        <v/>
      </c>
      <c r="F355" s="110" t="str">
        <f>IF($M355="","",INDEX('MTRs'!$I$6:$I$505,$M355)&amp;"")</f>
        <v/>
      </c>
      <c r="G355" s="110" t="str">
        <f>IF($M355="","",INDEX('MTRs'!$T$6:$T$505,$M355)&amp;"")</f>
        <v/>
      </c>
      <c r="H355" s="111" t="str">
        <f>IF($M355="","",INDEX('MTRs'!$AQ$6:$AQ$505,$M355))</f>
        <v/>
      </c>
      <c r="I355" s="112" t="str">
        <f>IF($M355="","",INDEX('MTRs'!$U$6:$U$505,$M355))</f>
        <v/>
      </c>
      <c r="J355" s="113" t="str">
        <f>IF($M355="","",INDEX('MTRs'!$AS$6:$AS$505,$M355)&amp;"")</f>
        <v/>
      </c>
      <c r="K355" s="110" t="str">
        <f>IF($M355="","",INDEX('MTRs'!$AT$6:$AT$505,$M355)&amp;"")</f>
        <v/>
      </c>
      <c r="L355" s="110" t="str">
        <f>IF($M355="","",INDEX('MTRs'!$Y$6:$Y$505,$M355)&amp;"")</f>
        <v/>
      </c>
      <c r="M355" t="str">
        <f>IFERROR(MATCH(SMALL('MTRs'!$AU$6:$AU$505,345),'MTRs'!$AU$6:$AU$505,0),"")</f>
        <v/>
      </c>
    </row>
    <row r="356" ht="30" customHeight="1">
      <c r="B356" s="108" t="str">
        <f>IF($M356="","",INDEX('MTRs'!$A$6:$A$505,$M356)&amp;"")</f>
        <v/>
      </c>
      <c r="C356" s="109" t="str">
        <f>IF($M356="","",INDEX('MTRs'!$B$6:$B$505,$M356)&amp;"")</f>
        <v/>
      </c>
      <c r="D356" s="110" t="str">
        <f>IF($M356="","",INDEX('MTRs'!$G$6:$G$505,$M356)&amp;"")</f>
        <v/>
      </c>
      <c r="E356" s="110" t="str">
        <f>IF($M356="","",INDEX('MTRs'!$H$6:$H$505,$M356)&amp;"")</f>
        <v/>
      </c>
      <c r="F356" s="110" t="str">
        <f>IF($M356="","",INDEX('MTRs'!$I$6:$I$505,$M356)&amp;"")</f>
        <v/>
      </c>
      <c r="G356" s="110" t="str">
        <f>IF($M356="","",INDEX('MTRs'!$T$6:$T$505,$M356)&amp;"")</f>
        <v/>
      </c>
      <c r="H356" s="111" t="str">
        <f>IF($M356="","",INDEX('MTRs'!$AQ$6:$AQ$505,$M356))</f>
        <v/>
      </c>
      <c r="I356" s="112" t="str">
        <f>IF($M356="","",INDEX('MTRs'!$U$6:$U$505,$M356))</f>
        <v/>
      </c>
      <c r="J356" s="113" t="str">
        <f>IF($M356="","",INDEX('MTRs'!$AS$6:$AS$505,$M356)&amp;"")</f>
        <v/>
      </c>
      <c r="K356" s="110" t="str">
        <f>IF($M356="","",INDEX('MTRs'!$AT$6:$AT$505,$M356)&amp;"")</f>
        <v/>
      </c>
      <c r="L356" s="110" t="str">
        <f>IF($M356="","",INDEX('MTRs'!$Y$6:$Y$505,$M356)&amp;"")</f>
        <v/>
      </c>
      <c r="M356" t="str">
        <f>IFERROR(MATCH(SMALL('MTRs'!$AU$6:$AU$505,346),'MTRs'!$AU$6:$AU$505,0),"")</f>
        <v/>
      </c>
    </row>
    <row r="357" ht="30" customHeight="1">
      <c r="B357" s="108" t="str">
        <f>IF($M357="","",INDEX('MTRs'!$A$6:$A$505,$M357)&amp;"")</f>
        <v/>
      </c>
      <c r="C357" s="109" t="str">
        <f>IF($M357="","",INDEX('MTRs'!$B$6:$B$505,$M357)&amp;"")</f>
        <v/>
      </c>
      <c r="D357" s="110" t="str">
        <f>IF($M357="","",INDEX('MTRs'!$G$6:$G$505,$M357)&amp;"")</f>
        <v/>
      </c>
      <c r="E357" s="110" t="str">
        <f>IF($M357="","",INDEX('MTRs'!$H$6:$H$505,$M357)&amp;"")</f>
        <v/>
      </c>
      <c r="F357" s="110" t="str">
        <f>IF($M357="","",INDEX('MTRs'!$I$6:$I$505,$M357)&amp;"")</f>
        <v/>
      </c>
      <c r="G357" s="110" t="str">
        <f>IF($M357="","",INDEX('MTRs'!$T$6:$T$505,$M357)&amp;"")</f>
        <v/>
      </c>
      <c r="H357" s="111" t="str">
        <f>IF($M357="","",INDEX('MTRs'!$AQ$6:$AQ$505,$M357))</f>
        <v/>
      </c>
      <c r="I357" s="112" t="str">
        <f>IF($M357="","",INDEX('MTRs'!$U$6:$U$505,$M357))</f>
        <v/>
      </c>
      <c r="J357" s="113" t="str">
        <f>IF($M357="","",INDEX('MTRs'!$AS$6:$AS$505,$M357)&amp;"")</f>
        <v/>
      </c>
      <c r="K357" s="110" t="str">
        <f>IF($M357="","",INDEX('MTRs'!$AT$6:$AT$505,$M357)&amp;"")</f>
        <v/>
      </c>
      <c r="L357" s="110" t="str">
        <f>IF($M357="","",INDEX('MTRs'!$Y$6:$Y$505,$M357)&amp;"")</f>
        <v/>
      </c>
      <c r="M357" t="str">
        <f>IFERROR(MATCH(SMALL('MTRs'!$AU$6:$AU$505,347),'MTRs'!$AU$6:$AU$505,0),"")</f>
        <v/>
      </c>
    </row>
    <row r="358" ht="30" customHeight="1">
      <c r="B358" s="108" t="str">
        <f>IF($M358="","",INDEX('MTRs'!$A$6:$A$505,$M358)&amp;"")</f>
        <v/>
      </c>
      <c r="C358" s="109" t="str">
        <f>IF($M358="","",INDEX('MTRs'!$B$6:$B$505,$M358)&amp;"")</f>
        <v/>
      </c>
      <c r="D358" s="110" t="str">
        <f>IF($M358="","",INDEX('MTRs'!$G$6:$G$505,$M358)&amp;"")</f>
        <v/>
      </c>
      <c r="E358" s="110" t="str">
        <f>IF($M358="","",INDEX('MTRs'!$H$6:$H$505,$M358)&amp;"")</f>
        <v/>
      </c>
      <c r="F358" s="110" t="str">
        <f>IF($M358="","",INDEX('MTRs'!$I$6:$I$505,$M358)&amp;"")</f>
        <v/>
      </c>
      <c r="G358" s="110" t="str">
        <f>IF($M358="","",INDEX('MTRs'!$T$6:$T$505,$M358)&amp;"")</f>
        <v/>
      </c>
      <c r="H358" s="111" t="str">
        <f>IF($M358="","",INDEX('MTRs'!$AQ$6:$AQ$505,$M358))</f>
        <v/>
      </c>
      <c r="I358" s="112" t="str">
        <f>IF($M358="","",INDEX('MTRs'!$U$6:$U$505,$M358))</f>
        <v/>
      </c>
      <c r="J358" s="113" t="str">
        <f>IF($M358="","",INDEX('MTRs'!$AS$6:$AS$505,$M358)&amp;"")</f>
        <v/>
      </c>
      <c r="K358" s="110" t="str">
        <f>IF($M358="","",INDEX('MTRs'!$AT$6:$AT$505,$M358)&amp;"")</f>
        <v/>
      </c>
      <c r="L358" s="110" t="str">
        <f>IF($M358="","",INDEX('MTRs'!$Y$6:$Y$505,$M358)&amp;"")</f>
        <v/>
      </c>
      <c r="M358" t="str">
        <f>IFERROR(MATCH(SMALL('MTRs'!$AU$6:$AU$505,348),'MTRs'!$AU$6:$AU$505,0),"")</f>
        <v/>
      </c>
    </row>
    <row r="359" ht="30" customHeight="1">
      <c r="B359" s="108" t="str">
        <f>IF($M359="","",INDEX('MTRs'!$A$6:$A$505,$M359)&amp;"")</f>
        <v/>
      </c>
      <c r="C359" s="109" t="str">
        <f>IF($M359="","",INDEX('MTRs'!$B$6:$B$505,$M359)&amp;"")</f>
        <v/>
      </c>
      <c r="D359" s="110" t="str">
        <f>IF($M359="","",INDEX('MTRs'!$G$6:$G$505,$M359)&amp;"")</f>
        <v/>
      </c>
      <c r="E359" s="110" t="str">
        <f>IF($M359="","",INDEX('MTRs'!$H$6:$H$505,$M359)&amp;"")</f>
        <v/>
      </c>
      <c r="F359" s="110" t="str">
        <f>IF($M359="","",INDEX('MTRs'!$I$6:$I$505,$M359)&amp;"")</f>
        <v/>
      </c>
      <c r="G359" s="110" t="str">
        <f>IF($M359="","",INDEX('MTRs'!$T$6:$T$505,$M359)&amp;"")</f>
        <v/>
      </c>
      <c r="H359" s="111" t="str">
        <f>IF($M359="","",INDEX('MTRs'!$AQ$6:$AQ$505,$M359))</f>
        <v/>
      </c>
      <c r="I359" s="112" t="str">
        <f>IF($M359="","",INDEX('MTRs'!$U$6:$U$505,$M359))</f>
        <v/>
      </c>
      <c r="J359" s="113" t="str">
        <f>IF($M359="","",INDEX('MTRs'!$AS$6:$AS$505,$M359)&amp;"")</f>
        <v/>
      </c>
      <c r="K359" s="110" t="str">
        <f>IF($M359="","",INDEX('MTRs'!$AT$6:$AT$505,$M359)&amp;"")</f>
        <v/>
      </c>
      <c r="L359" s="110" t="str">
        <f>IF($M359="","",INDEX('MTRs'!$Y$6:$Y$505,$M359)&amp;"")</f>
        <v/>
      </c>
      <c r="M359" t="str">
        <f>IFERROR(MATCH(SMALL('MTRs'!$AU$6:$AU$505,349),'MTRs'!$AU$6:$AU$505,0),"")</f>
        <v/>
      </c>
    </row>
    <row r="360" ht="30" customHeight="1">
      <c r="B360" s="108" t="str">
        <f>IF($M360="","",INDEX('MTRs'!$A$6:$A$505,$M360)&amp;"")</f>
        <v/>
      </c>
      <c r="C360" s="109" t="str">
        <f>IF($M360="","",INDEX('MTRs'!$B$6:$B$505,$M360)&amp;"")</f>
        <v/>
      </c>
      <c r="D360" s="110" t="str">
        <f>IF($M360="","",INDEX('MTRs'!$G$6:$G$505,$M360)&amp;"")</f>
        <v/>
      </c>
      <c r="E360" s="110" t="str">
        <f>IF($M360="","",INDEX('MTRs'!$H$6:$H$505,$M360)&amp;"")</f>
        <v/>
      </c>
      <c r="F360" s="110" t="str">
        <f>IF($M360="","",INDEX('MTRs'!$I$6:$I$505,$M360)&amp;"")</f>
        <v/>
      </c>
      <c r="G360" s="110" t="str">
        <f>IF($M360="","",INDEX('MTRs'!$T$6:$T$505,$M360)&amp;"")</f>
        <v/>
      </c>
      <c r="H360" s="111" t="str">
        <f>IF($M360="","",INDEX('MTRs'!$AQ$6:$AQ$505,$M360))</f>
        <v/>
      </c>
      <c r="I360" s="112" t="str">
        <f>IF($M360="","",INDEX('MTRs'!$U$6:$U$505,$M360))</f>
        <v/>
      </c>
      <c r="J360" s="113" t="str">
        <f>IF($M360="","",INDEX('MTRs'!$AS$6:$AS$505,$M360)&amp;"")</f>
        <v/>
      </c>
      <c r="K360" s="110" t="str">
        <f>IF($M360="","",INDEX('MTRs'!$AT$6:$AT$505,$M360)&amp;"")</f>
        <v/>
      </c>
      <c r="L360" s="110" t="str">
        <f>IF($M360="","",INDEX('MTRs'!$Y$6:$Y$505,$M360)&amp;"")</f>
        <v/>
      </c>
      <c r="M360" t="str">
        <f>IFERROR(MATCH(SMALL('MTRs'!$AU$6:$AU$505,350),'MTRs'!$AU$6:$AU$505,0),"")</f>
        <v/>
      </c>
    </row>
    <row r="361" ht="30" customHeight="1">
      <c r="B361" s="108" t="str">
        <f>IF($M361="","",INDEX('MTRs'!$A$6:$A$505,$M361)&amp;"")</f>
        <v/>
      </c>
      <c r="C361" s="109" t="str">
        <f>IF($M361="","",INDEX('MTRs'!$B$6:$B$505,$M361)&amp;"")</f>
        <v/>
      </c>
      <c r="D361" s="110" t="str">
        <f>IF($M361="","",INDEX('MTRs'!$G$6:$G$505,$M361)&amp;"")</f>
        <v/>
      </c>
      <c r="E361" s="110" t="str">
        <f>IF($M361="","",INDEX('MTRs'!$H$6:$H$505,$M361)&amp;"")</f>
        <v/>
      </c>
      <c r="F361" s="110" t="str">
        <f>IF($M361="","",INDEX('MTRs'!$I$6:$I$505,$M361)&amp;"")</f>
        <v/>
      </c>
      <c r="G361" s="110" t="str">
        <f>IF($M361="","",INDEX('MTRs'!$T$6:$T$505,$M361)&amp;"")</f>
        <v/>
      </c>
      <c r="H361" s="111" t="str">
        <f>IF($M361="","",INDEX('MTRs'!$AQ$6:$AQ$505,$M361))</f>
        <v/>
      </c>
      <c r="I361" s="112" t="str">
        <f>IF($M361="","",INDEX('MTRs'!$U$6:$U$505,$M361))</f>
        <v/>
      </c>
      <c r="J361" s="113" t="str">
        <f>IF($M361="","",INDEX('MTRs'!$AS$6:$AS$505,$M361)&amp;"")</f>
        <v/>
      </c>
      <c r="K361" s="110" t="str">
        <f>IF($M361="","",INDEX('MTRs'!$AT$6:$AT$505,$M361)&amp;"")</f>
        <v/>
      </c>
      <c r="L361" s="110" t="str">
        <f>IF($M361="","",INDEX('MTRs'!$Y$6:$Y$505,$M361)&amp;"")</f>
        <v/>
      </c>
      <c r="M361" t="str">
        <f>IFERROR(MATCH(SMALL('MTRs'!$AU$6:$AU$505,351),'MTRs'!$AU$6:$AU$505,0),"")</f>
        <v/>
      </c>
    </row>
    <row r="362" ht="30" customHeight="1">
      <c r="B362" s="108" t="str">
        <f>IF($M362="","",INDEX('MTRs'!$A$6:$A$505,$M362)&amp;"")</f>
        <v/>
      </c>
      <c r="C362" s="109" t="str">
        <f>IF($M362="","",INDEX('MTRs'!$B$6:$B$505,$M362)&amp;"")</f>
        <v/>
      </c>
      <c r="D362" s="110" t="str">
        <f>IF($M362="","",INDEX('MTRs'!$G$6:$G$505,$M362)&amp;"")</f>
        <v/>
      </c>
      <c r="E362" s="110" t="str">
        <f>IF($M362="","",INDEX('MTRs'!$H$6:$H$505,$M362)&amp;"")</f>
        <v/>
      </c>
      <c r="F362" s="110" t="str">
        <f>IF($M362="","",INDEX('MTRs'!$I$6:$I$505,$M362)&amp;"")</f>
        <v/>
      </c>
      <c r="G362" s="110" t="str">
        <f>IF($M362="","",INDEX('MTRs'!$T$6:$T$505,$M362)&amp;"")</f>
        <v/>
      </c>
      <c r="H362" s="111" t="str">
        <f>IF($M362="","",INDEX('MTRs'!$AQ$6:$AQ$505,$M362))</f>
        <v/>
      </c>
      <c r="I362" s="112" t="str">
        <f>IF($M362="","",INDEX('MTRs'!$U$6:$U$505,$M362))</f>
        <v/>
      </c>
      <c r="J362" s="113" t="str">
        <f>IF($M362="","",INDEX('MTRs'!$AS$6:$AS$505,$M362)&amp;"")</f>
        <v/>
      </c>
      <c r="K362" s="110" t="str">
        <f>IF($M362="","",INDEX('MTRs'!$AT$6:$AT$505,$M362)&amp;"")</f>
        <v/>
      </c>
      <c r="L362" s="110" t="str">
        <f>IF($M362="","",INDEX('MTRs'!$Y$6:$Y$505,$M362)&amp;"")</f>
        <v/>
      </c>
      <c r="M362" t="str">
        <f>IFERROR(MATCH(SMALL('MTRs'!$AU$6:$AU$505,352),'MTRs'!$AU$6:$AU$505,0),"")</f>
        <v/>
      </c>
    </row>
    <row r="363" ht="30" customHeight="1">
      <c r="B363" s="108" t="str">
        <f>IF($M363="","",INDEX('MTRs'!$A$6:$A$505,$M363)&amp;"")</f>
        <v/>
      </c>
      <c r="C363" s="109" t="str">
        <f>IF($M363="","",INDEX('MTRs'!$B$6:$B$505,$M363)&amp;"")</f>
        <v/>
      </c>
      <c r="D363" s="110" t="str">
        <f>IF($M363="","",INDEX('MTRs'!$G$6:$G$505,$M363)&amp;"")</f>
        <v/>
      </c>
      <c r="E363" s="110" t="str">
        <f>IF($M363="","",INDEX('MTRs'!$H$6:$H$505,$M363)&amp;"")</f>
        <v/>
      </c>
      <c r="F363" s="110" t="str">
        <f>IF($M363="","",INDEX('MTRs'!$I$6:$I$505,$M363)&amp;"")</f>
        <v/>
      </c>
      <c r="G363" s="110" t="str">
        <f>IF($M363="","",INDEX('MTRs'!$T$6:$T$505,$M363)&amp;"")</f>
        <v/>
      </c>
      <c r="H363" s="111" t="str">
        <f>IF($M363="","",INDEX('MTRs'!$AQ$6:$AQ$505,$M363))</f>
        <v/>
      </c>
      <c r="I363" s="112" t="str">
        <f>IF($M363="","",INDEX('MTRs'!$U$6:$U$505,$M363))</f>
        <v/>
      </c>
      <c r="J363" s="113" t="str">
        <f>IF($M363="","",INDEX('MTRs'!$AS$6:$AS$505,$M363)&amp;"")</f>
        <v/>
      </c>
      <c r="K363" s="110" t="str">
        <f>IF($M363="","",INDEX('MTRs'!$AT$6:$AT$505,$M363)&amp;"")</f>
        <v/>
      </c>
      <c r="L363" s="110" t="str">
        <f>IF($M363="","",INDEX('MTRs'!$Y$6:$Y$505,$M363)&amp;"")</f>
        <v/>
      </c>
      <c r="M363" t="str">
        <f>IFERROR(MATCH(SMALL('MTRs'!$AU$6:$AU$505,353),'MTRs'!$AU$6:$AU$505,0),"")</f>
        <v/>
      </c>
    </row>
    <row r="364" ht="30" customHeight="1">
      <c r="B364" s="108" t="str">
        <f>IF($M364="","",INDEX('MTRs'!$A$6:$A$505,$M364)&amp;"")</f>
        <v/>
      </c>
      <c r="C364" s="109" t="str">
        <f>IF($M364="","",INDEX('MTRs'!$B$6:$B$505,$M364)&amp;"")</f>
        <v/>
      </c>
      <c r="D364" s="110" t="str">
        <f>IF($M364="","",INDEX('MTRs'!$G$6:$G$505,$M364)&amp;"")</f>
        <v/>
      </c>
      <c r="E364" s="110" t="str">
        <f>IF($M364="","",INDEX('MTRs'!$H$6:$H$505,$M364)&amp;"")</f>
        <v/>
      </c>
      <c r="F364" s="110" t="str">
        <f>IF($M364="","",INDEX('MTRs'!$I$6:$I$505,$M364)&amp;"")</f>
        <v/>
      </c>
      <c r="G364" s="110" t="str">
        <f>IF($M364="","",INDEX('MTRs'!$T$6:$T$505,$M364)&amp;"")</f>
        <v/>
      </c>
      <c r="H364" s="111" t="str">
        <f>IF($M364="","",INDEX('MTRs'!$AQ$6:$AQ$505,$M364))</f>
        <v/>
      </c>
      <c r="I364" s="112" t="str">
        <f>IF($M364="","",INDEX('MTRs'!$U$6:$U$505,$M364))</f>
        <v/>
      </c>
      <c r="J364" s="113" t="str">
        <f>IF($M364="","",INDEX('MTRs'!$AS$6:$AS$505,$M364)&amp;"")</f>
        <v/>
      </c>
      <c r="K364" s="110" t="str">
        <f>IF($M364="","",INDEX('MTRs'!$AT$6:$AT$505,$M364)&amp;"")</f>
        <v/>
      </c>
      <c r="L364" s="110" t="str">
        <f>IF($M364="","",INDEX('MTRs'!$Y$6:$Y$505,$M364)&amp;"")</f>
        <v/>
      </c>
      <c r="M364" t="str">
        <f>IFERROR(MATCH(SMALL('MTRs'!$AU$6:$AU$505,354),'MTRs'!$AU$6:$AU$505,0),"")</f>
        <v/>
      </c>
    </row>
    <row r="365" ht="30" customHeight="1">
      <c r="B365" s="108" t="str">
        <f>IF($M365="","",INDEX('MTRs'!$A$6:$A$505,$M365)&amp;"")</f>
        <v/>
      </c>
      <c r="C365" s="109" t="str">
        <f>IF($M365="","",INDEX('MTRs'!$B$6:$B$505,$M365)&amp;"")</f>
        <v/>
      </c>
      <c r="D365" s="110" t="str">
        <f>IF($M365="","",INDEX('MTRs'!$G$6:$G$505,$M365)&amp;"")</f>
        <v/>
      </c>
      <c r="E365" s="110" t="str">
        <f>IF($M365="","",INDEX('MTRs'!$H$6:$H$505,$M365)&amp;"")</f>
        <v/>
      </c>
      <c r="F365" s="110" t="str">
        <f>IF($M365="","",INDEX('MTRs'!$I$6:$I$505,$M365)&amp;"")</f>
        <v/>
      </c>
      <c r="G365" s="110" t="str">
        <f>IF($M365="","",INDEX('MTRs'!$T$6:$T$505,$M365)&amp;"")</f>
        <v/>
      </c>
      <c r="H365" s="111" t="str">
        <f>IF($M365="","",INDEX('MTRs'!$AQ$6:$AQ$505,$M365))</f>
        <v/>
      </c>
      <c r="I365" s="112" t="str">
        <f>IF($M365="","",INDEX('MTRs'!$U$6:$U$505,$M365))</f>
        <v/>
      </c>
      <c r="J365" s="113" t="str">
        <f>IF($M365="","",INDEX('MTRs'!$AS$6:$AS$505,$M365)&amp;"")</f>
        <v/>
      </c>
      <c r="K365" s="110" t="str">
        <f>IF($M365="","",INDEX('MTRs'!$AT$6:$AT$505,$M365)&amp;"")</f>
        <v/>
      </c>
      <c r="L365" s="110" t="str">
        <f>IF($M365="","",INDEX('MTRs'!$Y$6:$Y$505,$M365)&amp;"")</f>
        <v/>
      </c>
      <c r="M365" t="str">
        <f>IFERROR(MATCH(SMALL('MTRs'!$AU$6:$AU$505,355),'MTRs'!$AU$6:$AU$505,0),"")</f>
        <v/>
      </c>
    </row>
    <row r="366" ht="30" customHeight="1">
      <c r="B366" s="108" t="str">
        <f>IF($M366="","",INDEX('MTRs'!$A$6:$A$505,$M366)&amp;"")</f>
        <v/>
      </c>
      <c r="C366" s="109" t="str">
        <f>IF($M366="","",INDEX('MTRs'!$B$6:$B$505,$M366)&amp;"")</f>
        <v/>
      </c>
      <c r="D366" s="110" t="str">
        <f>IF($M366="","",INDEX('MTRs'!$G$6:$G$505,$M366)&amp;"")</f>
        <v/>
      </c>
      <c r="E366" s="110" t="str">
        <f>IF($M366="","",INDEX('MTRs'!$H$6:$H$505,$M366)&amp;"")</f>
        <v/>
      </c>
      <c r="F366" s="110" t="str">
        <f>IF($M366="","",INDEX('MTRs'!$I$6:$I$505,$M366)&amp;"")</f>
        <v/>
      </c>
      <c r="G366" s="110" t="str">
        <f>IF($M366="","",INDEX('MTRs'!$T$6:$T$505,$M366)&amp;"")</f>
        <v/>
      </c>
      <c r="H366" s="111" t="str">
        <f>IF($M366="","",INDEX('MTRs'!$AQ$6:$AQ$505,$M366))</f>
        <v/>
      </c>
      <c r="I366" s="112" t="str">
        <f>IF($M366="","",INDEX('MTRs'!$U$6:$U$505,$M366))</f>
        <v/>
      </c>
      <c r="J366" s="113" t="str">
        <f>IF($M366="","",INDEX('MTRs'!$AS$6:$AS$505,$M366)&amp;"")</f>
        <v/>
      </c>
      <c r="K366" s="110" t="str">
        <f>IF($M366="","",INDEX('MTRs'!$AT$6:$AT$505,$M366)&amp;"")</f>
        <v/>
      </c>
      <c r="L366" s="110" t="str">
        <f>IF($M366="","",INDEX('MTRs'!$Y$6:$Y$505,$M366)&amp;"")</f>
        <v/>
      </c>
      <c r="M366" t="str">
        <f>IFERROR(MATCH(SMALL('MTRs'!$AU$6:$AU$505,356),'MTRs'!$AU$6:$AU$505,0),"")</f>
        <v/>
      </c>
    </row>
    <row r="367" ht="30" customHeight="1">
      <c r="B367" s="108" t="str">
        <f>IF($M367="","",INDEX('MTRs'!$A$6:$A$505,$M367)&amp;"")</f>
        <v/>
      </c>
      <c r="C367" s="109" t="str">
        <f>IF($M367="","",INDEX('MTRs'!$B$6:$B$505,$M367)&amp;"")</f>
        <v/>
      </c>
      <c r="D367" s="110" t="str">
        <f>IF($M367="","",INDEX('MTRs'!$G$6:$G$505,$M367)&amp;"")</f>
        <v/>
      </c>
      <c r="E367" s="110" t="str">
        <f>IF($M367="","",INDEX('MTRs'!$H$6:$H$505,$M367)&amp;"")</f>
        <v/>
      </c>
      <c r="F367" s="110" t="str">
        <f>IF($M367="","",INDEX('MTRs'!$I$6:$I$505,$M367)&amp;"")</f>
        <v/>
      </c>
      <c r="G367" s="110" t="str">
        <f>IF($M367="","",INDEX('MTRs'!$T$6:$T$505,$M367)&amp;"")</f>
        <v/>
      </c>
      <c r="H367" s="111" t="str">
        <f>IF($M367="","",INDEX('MTRs'!$AQ$6:$AQ$505,$M367))</f>
        <v/>
      </c>
      <c r="I367" s="112" t="str">
        <f>IF($M367="","",INDEX('MTRs'!$U$6:$U$505,$M367))</f>
        <v/>
      </c>
      <c r="J367" s="113" t="str">
        <f>IF($M367="","",INDEX('MTRs'!$AS$6:$AS$505,$M367)&amp;"")</f>
        <v/>
      </c>
      <c r="K367" s="110" t="str">
        <f>IF($M367="","",INDEX('MTRs'!$AT$6:$AT$505,$M367)&amp;"")</f>
        <v/>
      </c>
      <c r="L367" s="110" t="str">
        <f>IF($M367="","",INDEX('MTRs'!$Y$6:$Y$505,$M367)&amp;"")</f>
        <v/>
      </c>
      <c r="M367" t="str">
        <f>IFERROR(MATCH(SMALL('MTRs'!$AU$6:$AU$505,357),'MTRs'!$AU$6:$AU$505,0),"")</f>
        <v/>
      </c>
    </row>
    <row r="368" ht="30" customHeight="1">
      <c r="B368" s="108" t="str">
        <f>IF($M368="","",INDEX('MTRs'!$A$6:$A$505,$M368)&amp;"")</f>
        <v/>
      </c>
      <c r="C368" s="109" t="str">
        <f>IF($M368="","",INDEX('MTRs'!$B$6:$B$505,$M368)&amp;"")</f>
        <v/>
      </c>
      <c r="D368" s="110" t="str">
        <f>IF($M368="","",INDEX('MTRs'!$G$6:$G$505,$M368)&amp;"")</f>
        <v/>
      </c>
      <c r="E368" s="110" t="str">
        <f>IF($M368="","",INDEX('MTRs'!$H$6:$H$505,$M368)&amp;"")</f>
        <v/>
      </c>
      <c r="F368" s="110" t="str">
        <f>IF($M368="","",INDEX('MTRs'!$I$6:$I$505,$M368)&amp;"")</f>
        <v/>
      </c>
      <c r="G368" s="110" t="str">
        <f>IF($M368="","",INDEX('MTRs'!$T$6:$T$505,$M368)&amp;"")</f>
        <v/>
      </c>
      <c r="H368" s="111" t="str">
        <f>IF($M368="","",INDEX('MTRs'!$AQ$6:$AQ$505,$M368))</f>
        <v/>
      </c>
      <c r="I368" s="112" t="str">
        <f>IF($M368="","",INDEX('MTRs'!$U$6:$U$505,$M368))</f>
        <v/>
      </c>
      <c r="J368" s="113" t="str">
        <f>IF($M368="","",INDEX('MTRs'!$AS$6:$AS$505,$M368)&amp;"")</f>
        <v/>
      </c>
      <c r="K368" s="110" t="str">
        <f>IF($M368="","",INDEX('MTRs'!$AT$6:$AT$505,$M368)&amp;"")</f>
        <v/>
      </c>
      <c r="L368" s="110" t="str">
        <f>IF($M368="","",INDEX('MTRs'!$Y$6:$Y$505,$M368)&amp;"")</f>
        <v/>
      </c>
      <c r="M368" t="str">
        <f>IFERROR(MATCH(SMALL('MTRs'!$AU$6:$AU$505,358),'MTRs'!$AU$6:$AU$505,0),"")</f>
        <v/>
      </c>
    </row>
    <row r="369" ht="30" customHeight="1">
      <c r="B369" s="108" t="str">
        <f>IF($M369="","",INDEX('MTRs'!$A$6:$A$505,$M369)&amp;"")</f>
        <v/>
      </c>
      <c r="C369" s="109" t="str">
        <f>IF($M369="","",INDEX('MTRs'!$B$6:$B$505,$M369)&amp;"")</f>
        <v/>
      </c>
      <c r="D369" s="110" t="str">
        <f>IF($M369="","",INDEX('MTRs'!$G$6:$G$505,$M369)&amp;"")</f>
        <v/>
      </c>
      <c r="E369" s="110" t="str">
        <f>IF($M369="","",INDEX('MTRs'!$H$6:$H$505,$M369)&amp;"")</f>
        <v/>
      </c>
      <c r="F369" s="110" t="str">
        <f>IF($M369="","",INDEX('MTRs'!$I$6:$I$505,$M369)&amp;"")</f>
        <v/>
      </c>
      <c r="G369" s="110" t="str">
        <f>IF($M369="","",INDEX('MTRs'!$T$6:$T$505,$M369)&amp;"")</f>
        <v/>
      </c>
      <c r="H369" s="111" t="str">
        <f>IF($M369="","",INDEX('MTRs'!$AQ$6:$AQ$505,$M369))</f>
        <v/>
      </c>
      <c r="I369" s="112" t="str">
        <f>IF($M369="","",INDEX('MTRs'!$U$6:$U$505,$M369))</f>
        <v/>
      </c>
      <c r="J369" s="113" t="str">
        <f>IF($M369="","",INDEX('MTRs'!$AS$6:$AS$505,$M369)&amp;"")</f>
        <v/>
      </c>
      <c r="K369" s="110" t="str">
        <f>IF($M369="","",INDEX('MTRs'!$AT$6:$AT$505,$M369)&amp;"")</f>
        <v/>
      </c>
      <c r="L369" s="110" t="str">
        <f>IF($M369="","",INDEX('MTRs'!$Y$6:$Y$505,$M369)&amp;"")</f>
        <v/>
      </c>
      <c r="M369" t="str">
        <f>IFERROR(MATCH(SMALL('MTRs'!$AU$6:$AU$505,359),'MTRs'!$AU$6:$AU$505,0),"")</f>
        <v/>
      </c>
    </row>
    <row r="370" ht="30" customHeight="1">
      <c r="B370" s="108" t="str">
        <f>IF($M370="","",INDEX('MTRs'!$A$6:$A$505,$M370)&amp;"")</f>
        <v/>
      </c>
      <c r="C370" s="109" t="str">
        <f>IF($M370="","",INDEX('MTRs'!$B$6:$B$505,$M370)&amp;"")</f>
        <v/>
      </c>
      <c r="D370" s="110" t="str">
        <f>IF($M370="","",INDEX('MTRs'!$G$6:$G$505,$M370)&amp;"")</f>
        <v/>
      </c>
      <c r="E370" s="110" t="str">
        <f>IF($M370="","",INDEX('MTRs'!$H$6:$H$505,$M370)&amp;"")</f>
        <v/>
      </c>
      <c r="F370" s="110" t="str">
        <f>IF($M370="","",INDEX('MTRs'!$I$6:$I$505,$M370)&amp;"")</f>
        <v/>
      </c>
      <c r="G370" s="110" t="str">
        <f>IF($M370="","",INDEX('MTRs'!$T$6:$T$505,$M370)&amp;"")</f>
        <v/>
      </c>
      <c r="H370" s="111" t="str">
        <f>IF($M370="","",INDEX('MTRs'!$AQ$6:$AQ$505,$M370))</f>
        <v/>
      </c>
      <c r="I370" s="112" t="str">
        <f>IF($M370="","",INDEX('MTRs'!$U$6:$U$505,$M370))</f>
        <v/>
      </c>
      <c r="J370" s="113" t="str">
        <f>IF($M370="","",INDEX('MTRs'!$AS$6:$AS$505,$M370)&amp;"")</f>
        <v/>
      </c>
      <c r="K370" s="110" t="str">
        <f>IF($M370="","",INDEX('MTRs'!$AT$6:$AT$505,$M370)&amp;"")</f>
        <v/>
      </c>
      <c r="L370" s="110" t="str">
        <f>IF($M370="","",INDEX('MTRs'!$Y$6:$Y$505,$M370)&amp;"")</f>
        <v/>
      </c>
      <c r="M370" t="str">
        <f>IFERROR(MATCH(SMALL('MTRs'!$AU$6:$AU$505,360),'MTRs'!$AU$6:$AU$505,0),"")</f>
        <v/>
      </c>
    </row>
    <row r="371" ht="30" customHeight="1">
      <c r="B371" s="108" t="str">
        <f>IF($M371="","",INDEX('MTRs'!$A$6:$A$505,$M371)&amp;"")</f>
        <v/>
      </c>
      <c r="C371" s="109" t="str">
        <f>IF($M371="","",INDEX('MTRs'!$B$6:$B$505,$M371)&amp;"")</f>
        <v/>
      </c>
      <c r="D371" s="110" t="str">
        <f>IF($M371="","",INDEX('MTRs'!$G$6:$G$505,$M371)&amp;"")</f>
        <v/>
      </c>
      <c r="E371" s="110" t="str">
        <f>IF($M371="","",INDEX('MTRs'!$H$6:$H$505,$M371)&amp;"")</f>
        <v/>
      </c>
      <c r="F371" s="110" t="str">
        <f>IF($M371="","",INDEX('MTRs'!$I$6:$I$505,$M371)&amp;"")</f>
        <v/>
      </c>
      <c r="G371" s="110" t="str">
        <f>IF($M371="","",INDEX('MTRs'!$T$6:$T$505,$M371)&amp;"")</f>
        <v/>
      </c>
      <c r="H371" s="111" t="str">
        <f>IF($M371="","",INDEX('MTRs'!$AQ$6:$AQ$505,$M371))</f>
        <v/>
      </c>
      <c r="I371" s="112" t="str">
        <f>IF($M371="","",INDEX('MTRs'!$U$6:$U$505,$M371))</f>
        <v/>
      </c>
      <c r="J371" s="113" t="str">
        <f>IF($M371="","",INDEX('MTRs'!$AS$6:$AS$505,$M371)&amp;"")</f>
        <v/>
      </c>
      <c r="K371" s="110" t="str">
        <f>IF($M371="","",INDEX('MTRs'!$AT$6:$AT$505,$M371)&amp;"")</f>
        <v/>
      </c>
      <c r="L371" s="110" t="str">
        <f>IF($M371="","",INDEX('MTRs'!$Y$6:$Y$505,$M371)&amp;"")</f>
        <v/>
      </c>
      <c r="M371" t="str">
        <f>IFERROR(MATCH(SMALL('MTRs'!$AU$6:$AU$505,361),'MTRs'!$AU$6:$AU$505,0),"")</f>
        <v/>
      </c>
    </row>
    <row r="372" ht="30" customHeight="1">
      <c r="B372" s="108" t="str">
        <f>IF($M372="","",INDEX('MTRs'!$A$6:$A$505,$M372)&amp;"")</f>
        <v/>
      </c>
      <c r="C372" s="109" t="str">
        <f>IF($M372="","",INDEX('MTRs'!$B$6:$B$505,$M372)&amp;"")</f>
        <v/>
      </c>
      <c r="D372" s="110" t="str">
        <f>IF($M372="","",INDEX('MTRs'!$G$6:$G$505,$M372)&amp;"")</f>
        <v/>
      </c>
      <c r="E372" s="110" t="str">
        <f>IF($M372="","",INDEX('MTRs'!$H$6:$H$505,$M372)&amp;"")</f>
        <v/>
      </c>
      <c r="F372" s="110" t="str">
        <f>IF($M372="","",INDEX('MTRs'!$I$6:$I$505,$M372)&amp;"")</f>
        <v/>
      </c>
      <c r="G372" s="110" t="str">
        <f>IF($M372="","",INDEX('MTRs'!$T$6:$T$505,$M372)&amp;"")</f>
        <v/>
      </c>
      <c r="H372" s="111" t="str">
        <f>IF($M372="","",INDEX('MTRs'!$AQ$6:$AQ$505,$M372))</f>
        <v/>
      </c>
      <c r="I372" s="112" t="str">
        <f>IF($M372="","",INDEX('MTRs'!$U$6:$U$505,$M372))</f>
        <v/>
      </c>
      <c r="J372" s="113" t="str">
        <f>IF($M372="","",INDEX('MTRs'!$AS$6:$AS$505,$M372)&amp;"")</f>
        <v/>
      </c>
      <c r="K372" s="110" t="str">
        <f>IF($M372="","",INDEX('MTRs'!$AT$6:$AT$505,$M372)&amp;"")</f>
        <v/>
      </c>
      <c r="L372" s="110" t="str">
        <f>IF($M372="","",INDEX('MTRs'!$Y$6:$Y$505,$M372)&amp;"")</f>
        <v/>
      </c>
      <c r="M372" t="str">
        <f>IFERROR(MATCH(SMALL('MTRs'!$AU$6:$AU$505,362),'MTRs'!$AU$6:$AU$505,0),"")</f>
        <v/>
      </c>
    </row>
    <row r="373" ht="30" customHeight="1">
      <c r="B373" s="108" t="str">
        <f>IF($M373="","",INDEX('MTRs'!$A$6:$A$505,$M373)&amp;"")</f>
        <v/>
      </c>
      <c r="C373" s="109" t="str">
        <f>IF($M373="","",INDEX('MTRs'!$B$6:$B$505,$M373)&amp;"")</f>
        <v/>
      </c>
      <c r="D373" s="110" t="str">
        <f>IF($M373="","",INDEX('MTRs'!$G$6:$G$505,$M373)&amp;"")</f>
        <v/>
      </c>
      <c r="E373" s="110" t="str">
        <f>IF($M373="","",INDEX('MTRs'!$H$6:$H$505,$M373)&amp;"")</f>
        <v/>
      </c>
      <c r="F373" s="110" t="str">
        <f>IF($M373="","",INDEX('MTRs'!$I$6:$I$505,$M373)&amp;"")</f>
        <v/>
      </c>
      <c r="G373" s="110" t="str">
        <f>IF($M373="","",INDEX('MTRs'!$T$6:$T$505,$M373)&amp;"")</f>
        <v/>
      </c>
      <c r="H373" s="111" t="str">
        <f>IF($M373="","",INDEX('MTRs'!$AQ$6:$AQ$505,$M373))</f>
        <v/>
      </c>
      <c r="I373" s="112" t="str">
        <f>IF($M373="","",INDEX('MTRs'!$U$6:$U$505,$M373))</f>
        <v/>
      </c>
      <c r="J373" s="113" t="str">
        <f>IF($M373="","",INDEX('MTRs'!$AS$6:$AS$505,$M373)&amp;"")</f>
        <v/>
      </c>
      <c r="K373" s="110" t="str">
        <f>IF($M373="","",INDEX('MTRs'!$AT$6:$AT$505,$M373)&amp;"")</f>
        <v/>
      </c>
      <c r="L373" s="110" t="str">
        <f>IF($M373="","",INDEX('MTRs'!$Y$6:$Y$505,$M373)&amp;"")</f>
        <v/>
      </c>
      <c r="M373" t="str">
        <f>IFERROR(MATCH(SMALL('MTRs'!$AU$6:$AU$505,363),'MTRs'!$AU$6:$AU$505,0),"")</f>
        <v/>
      </c>
    </row>
    <row r="374" ht="30" customHeight="1">
      <c r="B374" s="108" t="str">
        <f>IF($M374="","",INDEX('MTRs'!$A$6:$A$505,$M374)&amp;"")</f>
        <v/>
      </c>
      <c r="C374" s="109" t="str">
        <f>IF($M374="","",INDEX('MTRs'!$B$6:$B$505,$M374)&amp;"")</f>
        <v/>
      </c>
      <c r="D374" s="110" t="str">
        <f>IF($M374="","",INDEX('MTRs'!$G$6:$G$505,$M374)&amp;"")</f>
        <v/>
      </c>
      <c r="E374" s="110" t="str">
        <f>IF($M374="","",INDEX('MTRs'!$H$6:$H$505,$M374)&amp;"")</f>
        <v/>
      </c>
      <c r="F374" s="110" t="str">
        <f>IF($M374="","",INDEX('MTRs'!$I$6:$I$505,$M374)&amp;"")</f>
        <v/>
      </c>
      <c r="G374" s="110" t="str">
        <f>IF($M374="","",INDEX('MTRs'!$T$6:$T$505,$M374)&amp;"")</f>
        <v/>
      </c>
      <c r="H374" s="111" t="str">
        <f>IF($M374="","",INDEX('MTRs'!$AQ$6:$AQ$505,$M374))</f>
        <v/>
      </c>
      <c r="I374" s="112" t="str">
        <f>IF($M374="","",INDEX('MTRs'!$U$6:$U$505,$M374))</f>
        <v/>
      </c>
      <c r="J374" s="113" t="str">
        <f>IF($M374="","",INDEX('MTRs'!$AS$6:$AS$505,$M374)&amp;"")</f>
        <v/>
      </c>
      <c r="K374" s="110" t="str">
        <f>IF($M374="","",INDEX('MTRs'!$AT$6:$AT$505,$M374)&amp;"")</f>
        <v/>
      </c>
      <c r="L374" s="110" t="str">
        <f>IF($M374="","",INDEX('MTRs'!$Y$6:$Y$505,$M374)&amp;"")</f>
        <v/>
      </c>
      <c r="M374" t="str">
        <f>IFERROR(MATCH(SMALL('MTRs'!$AU$6:$AU$505,364),'MTRs'!$AU$6:$AU$505,0),"")</f>
        <v/>
      </c>
    </row>
    <row r="375" ht="30" customHeight="1">
      <c r="B375" s="108" t="str">
        <f>IF($M375="","",INDEX('MTRs'!$A$6:$A$505,$M375)&amp;"")</f>
        <v/>
      </c>
      <c r="C375" s="109" t="str">
        <f>IF($M375="","",INDEX('MTRs'!$B$6:$B$505,$M375)&amp;"")</f>
        <v/>
      </c>
      <c r="D375" s="110" t="str">
        <f>IF($M375="","",INDEX('MTRs'!$G$6:$G$505,$M375)&amp;"")</f>
        <v/>
      </c>
      <c r="E375" s="110" t="str">
        <f>IF($M375="","",INDEX('MTRs'!$H$6:$H$505,$M375)&amp;"")</f>
        <v/>
      </c>
      <c r="F375" s="110" t="str">
        <f>IF($M375="","",INDEX('MTRs'!$I$6:$I$505,$M375)&amp;"")</f>
        <v/>
      </c>
      <c r="G375" s="110" t="str">
        <f>IF($M375="","",INDEX('MTRs'!$T$6:$T$505,$M375)&amp;"")</f>
        <v/>
      </c>
      <c r="H375" s="111" t="str">
        <f>IF($M375="","",INDEX('MTRs'!$AQ$6:$AQ$505,$M375))</f>
        <v/>
      </c>
      <c r="I375" s="112" t="str">
        <f>IF($M375="","",INDEX('MTRs'!$U$6:$U$505,$M375))</f>
        <v/>
      </c>
      <c r="J375" s="113" t="str">
        <f>IF($M375="","",INDEX('MTRs'!$AS$6:$AS$505,$M375)&amp;"")</f>
        <v/>
      </c>
      <c r="K375" s="110" t="str">
        <f>IF($M375="","",INDEX('MTRs'!$AT$6:$AT$505,$M375)&amp;"")</f>
        <v/>
      </c>
      <c r="L375" s="110" t="str">
        <f>IF($M375="","",INDEX('MTRs'!$Y$6:$Y$505,$M375)&amp;"")</f>
        <v/>
      </c>
      <c r="M375" t="str">
        <f>IFERROR(MATCH(SMALL('MTRs'!$AU$6:$AU$505,365),'MTRs'!$AU$6:$AU$505,0),"")</f>
        <v/>
      </c>
    </row>
    <row r="376" ht="30" customHeight="1">
      <c r="B376" s="108" t="str">
        <f>IF($M376="","",INDEX('MTRs'!$A$6:$A$505,$M376)&amp;"")</f>
        <v/>
      </c>
      <c r="C376" s="109" t="str">
        <f>IF($M376="","",INDEX('MTRs'!$B$6:$B$505,$M376)&amp;"")</f>
        <v/>
      </c>
      <c r="D376" s="110" t="str">
        <f>IF($M376="","",INDEX('MTRs'!$G$6:$G$505,$M376)&amp;"")</f>
        <v/>
      </c>
      <c r="E376" s="110" t="str">
        <f>IF($M376="","",INDEX('MTRs'!$H$6:$H$505,$M376)&amp;"")</f>
        <v/>
      </c>
      <c r="F376" s="110" t="str">
        <f>IF($M376="","",INDEX('MTRs'!$I$6:$I$505,$M376)&amp;"")</f>
        <v/>
      </c>
      <c r="G376" s="110" t="str">
        <f>IF($M376="","",INDEX('MTRs'!$T$6:$T$505,$M376)&amp;"")</f>
        <v/>
      </c>
      <c r="H376" s="111" t="str">
        <f>IF($M376="","",INDEX('MTRs'!$AQ$6:$AQ$505,$M376))</f>
        <v/>
      </c>
      <c r="I376" s="112" t="str">
        <f>IF($M376="","",INDEX('MTRs'!$U$6:$U$505,$M376))</f>
        <v/>
      </c>
      <c r="J376" s="113" t="str">
        <f>IF($M376="","",INDEX('MTRs'!$AS$6:$AS$505,$M376)&amp;"")</f>
        <v/>
      </c>
      <c r="K376" s="110" t="str">
        <f>IF($M376="","",INDEX('MTRs'!$AT$6:$AT$505,$M376)&amp;"")</f>
        <v/>
      </c>
      <c r="L376" s="110" t="str">
        <f>IF($M376="","",INDEX('MTRs'!$Y$6:$Y$505,$M376)&amp;"")</f>
        <v/>
      </c>
      <c r="M376" t="str">
        <f>IFERROR(MATCH(SMALL('MTRs'!$AU$6:$AU$505,366),'MTRs'!$AU$6:$AU$505,0),"")</f>
        <v/>
      </c>
    </row>
    <row r="377" ht="30" customHeight="1">
      <c r="B377" s="108" t="str">
        <f>IF($M377="","",INDEX('MTRs'!$A$6:$A$505,$M377)&amp;"")</f>
        <v/>
      </c>
      <c r="C377" s="109" t="str">
        <f>IF($M377="","",INDEX('MTRs'!$B$6:$B$505,$M377)&amp;"")</f>
        <v/>
      </c>
      <c r="D377" s="110" t="str">
        <f>IF($M377="","",INDEX('MTRs'!$G$6:$G$505,$M377)&amp;"")</f>
        <v/>
      </c>
      <c r="E377" s="110" t="str">
        <f>IF($M377="","",INDEX('MTRs'!$H$6:$H$505,$M377)&amp;"")</f>
        <v/>
      </c>
      <c r="F377" s="110" t="str">
        <f>IF($M377="","",INDEX('MTRs'!$I$6:$I$505,$M377)&amp;"")</f>
        <v/>
      </c>
      <c r="G377" s="110" t="str">
        <f>IF($M377="","",INDEX('MTRs'!$T$6:$T$505,$M377)&amp;"")</f>
        <v/>
      </c>
      <c r="H377" s="111" t="str">
        <f>IF($M377="","",INDEX('MTRs'!$AQ$6:$AQ$505,$M377))</f>
        <v/>
      </c>
      <c r="I377" s="112" t="str">
        <f>IF($M377="","",INDEX('MTRs'!$U$6:$U$505,$M377))</f>
        <v/>
      </c>
      <c r="J377" s="113" t="str">
        <f>IF($M377="","",INDEX('MTRs'!$AS$6:$AS$505,$M377)&amp;"")</f>
        <v/>
      </c>
      <c r="K377" s="110" t="str">
        <f>IF($M377="","",INDEX('MTRs'!$AT$6:$AT$505,$M377)&amp;"")</f>
        <v/>
      </c>
      <c r="L377" s="110" t="str">
        <f>IF($M377="","",INDEX('MTRs'!$Y$6:$Y$505,$M377)&amp;"")</f>
        <v/>
      </c>
      <c r="M377" t="str">
        <f>IFERROR(MATCH(SMALL('MTRs'!$AU$6:$AU$505,367),'MTRs'!$AU$6:$AU$505,0),"")</f>
        <v/>
      </c>
    </row>
    <row r="378" ht="30" customHeight="1">
      <c r="B378" s="108" t="str">
        <f>IF($M378="","",INDEX('MTRs'!$A$6:$A$505,$M378)&amp;"")</f>
        <v/>
      </c>
      <c r="C378" s="109" t="str">
        <f>IF($M378="","",INDEX('MTRs'!$B$6:$B$505,$M378)&amp;"")</f>
        <v/>
      </c>
      <c r="D378" s="110" t="str">
        <f>IF($M378="","",INDEX('MTRs'!$G$6:$G$505,$M378)&amp;"")</f>
        <v/>
      </c>
      <c r="E378" s="110" t="str">
        <f>IF($M378="","",INDEX('MTRs'!$H$6:$H$505,$M378)&amp;"")</f>
        <v/>
      </c>
      <c r="F378" s="110" t="str">
        <f>IF($M378="","",INDEX('MTRs'!$I$6:$I$505,$M378)&amp;"")</f>
        <v/>
      </c>
      <c r="G378" s="110" t="str">
        <f>IF($M378="","",INDEX('MTRs'!$T$6:$T$505,$M378)&amp;"")</f>
        <v/>
      </c>
      <c r="H378" s="111" t="str">
        <f>IF($M378="","",INDEX('MTRs'!$AQ$6:$AQ$505,$M378))</f>
        <v/>
      </c>
      <c r="I378" s="112" t="str">
        <f>IF($M378="","",INDEX('MTRs'!$U$6:$U$505,$M378))</f>
        <v/>
      </c>
      <c r="J378" s="113" t="str">
        <f>IF($M378="","",INDEX('MTRs'!$AS$6:$AS$505,$M378)&amp;"")</f>
        <v/>
      </c>
      <c r="K378" s="110" t="str">
        <f>IF($M378="","",INDEX('MTRs'!$AT$6:$AT$505,$M378)&amp;"")</f>
        <v/>
      </c>
      <c r="L378" s="110" t="str">
        <f>IF($M378="","",INDEX('MTRs'!$Y$6:$Y$505,$M378)&amp;"")</f>
        <v/>
      </c>
      <c r="M378" t="str">
        <f>IFERROR(MATCH(SMALL('MTRs'!$AU$6:$AU$505,368),'MTRs'!$AU$6:$AU$505,0),"")</f>
        <v/>
      </c>
    </row>
    <row r="379" ht="30" customHeight="1">
      <c r="B379" s="108" t="str">
        <f>IF($M379="","",INDEX('MTRs'!$A$6:$A$505,$M379)&amp;"")</f>
        <v/>
      </c>
      <c r="C379" s="109" t="str">
        <f>IF($M379="","",INDEX('MTRs'!$B$6:$B$505,$M379)&amp;"")</f>
        <v/>
      </c>
      <c r="D379" s="110" t="str">
        <f>IF($M379="","",INDEX('MTRs'!$G$6:$G$505,$M379)&amp;"")</f>
        <v/>
      </c>
      <c r="E379" s="110" t="str">
        <f>IF($M379="","",INDEX('MTRs'!$H$6:$H$505,$M379)&amp;"")</f>
        <v/>
      </c>
      <c r="F379" s="110" t="str">
        <f>IF($M379="","",INDEX('MTRs'!$I$6:$I$505,$M379)&amp;"")</f>
        <v/>
      </c>
      <c r="G379" s="110" t="str">
        <f>IF($M379="","",INDEX('MTRs'!$T$6:$T$505,$M379)&amp;"")</f>
        <v/>
      </c>
      <c r="H379" s="111" t="str">
        <f>IF($M379="","",INDEX('MTRs'!$AQ$6:$AQ$505,$M379))</f>
        <v/>
      </c>
      <c r="I379" s="112" t="str">
        <f>IF($M379="","",INDEX('MTRs'!$U$6:$U$505,$M379))</f>
        <v/>
      </c>
      <c r="J379" s="113" t="str">
        <f>IF($M379="","",INDEX('MTRs'!$AS$6:$AS$505,$M379)&amp;"")</f>
        <v/>
      </c>
      <c r="K379" s="110" t="str">
        <f>IF($M379="","",INDEX('MTRs'!$AT$6:$AT$505,$M379)&amp;"")</f>
        <v/>
      </c>
      <c r="L379" s="110" t="str">
        <f>IF($M379="","",INDEX('MTRs'!$Y$6:$Y$505,$M379)&amp;"")</f>
        <v/>
      </c>
      <c r="M379" t="str">
        <f>IFERROR(MATCH(SMALL('MTRs'!$AU$6:$AU$505,369),'MTRs'!$AU$6:$AU$505,0),"")</f>
        <v/>
      </c>
    </row>
    <row r="380" ht="30" customHeight="1">
      <c r="B380" s="108" t="str">
        <f>IF($M380="","",INDEX('MTRs'!$A$6:$A$505,$M380)&amp;"")</f>
        <v/>
      </c>
      <c r="C380" s="109" t="str">
        <f>IF($M380="","",INDEX('MTRs'!$B$6:$B$505,$M380)&amp;"")</f>
        <v/>
      </c>
      <c r="D380" s="110" t="str">
        <f>IF($M380="","",INDEX('MTRs'!$G$6:$G$505,$M380)&amp;"")</f>
        <v/>
      </c>
      <c r="E380" s="110" t="str">
        <f>IF($M380="","",INDEX('MTRs'!$H$6:$H$505,$M380)&amp;"")</f>
        <v/>
      </c>
      <c r="F380" s="110" t="str">
        <f>IF($M380="","",INDEX('MTRs'!$I$6:$I$505,$M380)&amp;"")</f>
        <v/>
      </c>
      <c r="G380" s="110" t="str">
        <f>IF($M380="","",INDEX('MTRs'!$T$6:$T$505,$M380)&amp;"")</f>
        <v/>
      </c>
      <c r="H380" s="111" t="str">
        <f>IF($M380="","",INDEX('MTRs'!$AQ$6:$AQ$505,$M380))</f>
        <v/>
      </c>
      <c r="I380" s="112" t="str">
        <f>IF($M380="","",INDEX('MTRs'!$U$6:$U$505,$M380))</f>
        <v/>
      </c>
      <c r="J380" s="113" t="str">
        <f>IF($M380="","",INDEX('MTRs'!$AS$6:$AS$505,$M380)&amp;"")</f>
        <v/>
      </c>
      <c r="K380" s="110" t="str">
        <f>IF($M380="","",INDEX('MTRs'!$AT$6:$AT$505,$M380)&amp;"")</f>
        <v/>
      </c>
      <c r="L380" s="110" t="str">
        <f>IF($M380="","",INDEX('MTRs'!$Y$6:$Y$505,$M380)&amp;"")</f>
        <v/>
      </c>
      <c r="M380" t="str">
        <f>IFERROR(MATCH(SMALL('MTRs'!$AU$6:$AU$505,370),'MTRs'!$AU$6:$AU$505,0),"")</f>
        <v/>
      </c>
    </row>
    <row r="381" ht="30" customHeight="1">
      <c r="B381" s="108" t="str">
        <f>IF($M381="","",INDEX('MTRs'!$A$6:$A$505,$M381)&amp;"")</f>
        <v/>
      </c>
      <c r="C381" s="109" t="str">
        <f>IF($M381="","",INDEX('MTRs'!$B$6:$B$505,$M381)&amp;"")</f>
        <v/>
      </c>
      <c r="D381" s="110" t="str">
        <f>IF($M381="","",INDEX('MTRs'!$G$6:$G$505,$M381)&amp;"")</f>
        <v/>
      </c>
      <c r="E381" s="110" t="str">
        <f>IF($M381="","",INDEX('MTRs'!$H$6:$H$505,$M381)&amp;"")</f>
        <v/>
      </c>
      <c r="F381" s="110" t="str">
        <f>IF($M381="","",INDEX('MTRs'!$I$6:$I$505,$M381)&amp;"")</f>
        <v/>
      </c>
      <c r="G381" s="110" t="str">
        <f>IF($M381="","",INDEX('MTRs'!$T$6:$T$505,$M381)&amp;"")</f>
        <v/>
      </c>
      <c r="H381" s="111" t="str">
        <f>IF($M381="","",INDEX('MTRs'!$AQ$6:$AQ$505,$M381))</f>
        <v/>
      </c>
      <c r="I381" s="112" t="str">
        <f>IF($M381="","",INDEX('MTRs'!$U$6:$U$505,$M381))</f>
        <v/>
      </c>
      <c r="J381" s="113" t="str">
        <f>IF($M381="","",INDEX('MTRs'!$AS$6:$AS$505,$M381)&amp;"")</f>
        <v/>
      </c>
      <c r="K381" s="110" t="str">
        <f>IF($M381="","",INDEX('MTRs'!$AT$6:$AT$505,$M381)&amp;"")</f>
        <v/>
      </c>
      <c r="L381" s="110" t="str">
        <f>IF($M381="","",INDEX('MTRs'!$Y$6:$Y$505,$M381)&amp;"")</f>
        <v/>
      </c>
      <c r="M381" t="str">
        <f>IFERROR(MATCH(SMALL('MTRs'!$AU$6:$AU$505,371),'MTRs'!$AU$6:$AU$505,0),"")</f>
        <v/>
      </c>
    </row>
    <row r="382" ht="30" customHeight="1">
      <c r="B382" s="108" t="str">
        <f>IF($M382="","",INDEX('MTRs'!$A$6:$A$505,$M382)&amp;"")</f>
        <v/>
      </c>
      <c r="C382" s="109" t="str">
        <f>IF($M382="","",INDEX('MTRs'!$B$6:$B$505,$M382)&amp;"")</f>
        <v/>
      </c>
      <c r="D382" s="110" t="str">
        <f>IF($M382="","",INDEX('MTRs'!$G$6:$G$505,$M382)&amp;"")</f>
        <v/>
      </c>
      <c r="E382" s="110" t="str">
        <f>IF($M382="","",INDEX('MTRs'!$H$6:$H$505,$M382)&amp;"")</f>
        <v/>
      </c>
      <c r="F382" s="110" t="str">
        <f>IF($M382="","",INDEX('MTRs'!$I$6:$I$505,$M382)&amp;"")</f>
        <v/>
      </c>
      <c r="G382" s="110" t="str">
        <f>IF($M382="","",INDEX('MTRs'!$T$6:$T$505,$M382)&amp;"")</f>
        <v/>
      </c>
      <c r="H382" s="111" t="str">
        <f>IF($M382="","",INDEX('MTRs'!$AQ$6:$AQ$505,$M382))</f>
        <v/>
      </c>
      <c r="I382" s="112" t="str">
        <f>IF($M382="","",INDEX('MTRs'!$U$6:$U$505,$M382))</f>
        <v/>
      </c>
      <c r="J382" s="113" t="str">
        <f>IF($M382="","",INDEX('MTRs'!$AS$6:$AS$505,$M382)&amp;"")</f>
        <v/>
      </c>
      <c r="K382" s="110" t="str">
        <f>IF($M382="","",INDEX('MTRs'!$AT$6:$AT$505,$M382)&amp;"")</f>
        <v/>
      </c>
      <c r="L382" s="110" t="str">
        <f>IF($M382="","",INDEX('MTRs'!$Y$6:$Y$505,$M382)&amp;"")</f>
        <v/>
      </c>
      <c r="M382" t="str">
        <f>IFERROR(MATCH(SMALL('MTRs'!$AU$6:$AU$505,372),'MTRs'!$AU$6:$AU$505,0),"")</f>
        <v/>
      </c>
    </row>
    <row r="383" ht="30" customHeight="1">
      <c r="B383" s="108" t="str">
        <f>IF($M383="","",INDEX('MTRs'!$A$6:$A$505,$M383)&amp;"")</f>
        <v/>
      </c>
      <c r="C383" s="109" t="str">
        <f>IF($M383="","",INDEX('MTRs'!$B$6:$B$505,$M383)&amp;"")</f>
        <v/>
      </c>
      <c r="D383" s="110" t="str">
        <f>IF($M383="","",INDEX('MTRs'!$G$6:$G$505,$M383)&amp;"")</f>
        <v/>
      </c>
      <c r="E383" s="110" t="str">
        <f>IF($M383="","",INDEX('MTRs'!$H$6:$H$505,$M383)&amp;"")</f>
        <v/>
      </c>
      <c r="F383" s="110" t="str">
        <f>IF($M383="","",INDEX('MTRs'!$I$6:$I$505,$M383)&amp;"")</f>
        <v/>
      </c>
      <c r="G383" s="110" t="str">
        <f>IF($M383="","",INDEX('MTRs'!$T$6:$T$505,$M383)&amp;"")</f>
        <v/>
      </c>
      <c r="H383" s="111" t="str">
        <f>IF($M383="","",INDEX('MTRs'!$AQ$6:$AQ$505,$M383))</f>
        <v/>
      </c>
      <c r="I383" s="112" t="str">
        <f>IF($M383="","",INDEX('MTRs'!$U$6:$U$505,$M383))</f>
        <v/>
      </c>
      <c r="J383" s="113" t="str">
        <f>IF($M383="","",INDEX('MTRs'!$AS$6:$AS$505,$M383)&amp;"")</f>
        <v/>
      </c>
      <c r="K383" s="110" t="str">
        <f>IF($M383="","",INDEX('MTRs'!$AT$6:$AT$505,$M383)&amp;"")</f>
        <v/>
      </c>
      <c r="L383" s="110" t="str">
        <f>IF($M383="","",INDEX('MTRs'!$Y$6:$Y$505,$M383)&amp;"")</f>
        <v/>
      </c>
      <c r="M383" t="str">
        <f>IFERROR(MATCH(SMALL('MTRs'!$AU$6:$AU$505,373),'MTRs'!$AU$6:$AU$505,0),"")</f>
        <v/>
      </c>
    </row>
    <row r="384" ht="30" customHeight="1">
      <c r="B384" s="108" t="str">
        <f>IF($M384="","",INDEX('MTRs'!$A$6:$A$505,$M384)&amp;"")</f>
        <v/>
      </c>
      <c r="C384" s="109" t="str">
        <f>IF($M384="","",INDEX('MTRs'!$B$6:$B$505,$M384)&amp;"")</f>
        <v/>
      </c>
      <c r="D384" s="110" t="str">
        <f>IF($M384="","",INDEX('MTRs'!$G$6:$G$505,$M384)&amp;"")</f>
        <v/>
      </c>
      <c r="E384" s="110" t="str">
        <f>IF($M384="","",INDEX('MTRs'!$H$6:$H$505,$M384)&amp;"")</f>
        <v/>
      </c>
      <c r="F384" s="110" t="str">
        <f>IF($M384="","",INDEX('MTRs'!$I$6:$I$505,$M384)&amp;"")</f>
        <v/>
      </c>
      <c r="G384" s="110" t="str">
        <f>IF($M384="","",INDEX('MTRs'!$T$6:$T$505,$M384)&amp;"")</f>
        <v/>
      </c>
      <c r="H384" s="111" t="str">
        <f>IF($M384="","",INDEX('MTRs'!$AQ$6:$AQ$505,$M384))</f>
        <v/>
      </c>
      <c r="I384" s="112" t="str">
        <f>IF($M384="","",INDEX('MTRs'!$U$6:$U$505,$M384))</f>
        <v/>
      </c>
      <c r="J384" s="113" t="str">
        <f>IF($M384="","",INDEX('MTRs'!$AS$6:$AS$505,$M384)&amp;"")</f>
        <v/>
      </c>
      <c r="K384" s="110" t="str">
        <f>IF($M384="","",INDEX('MTRs'!$AT$6:$AT$505,$M384)&amp;"")</f>
        <v/>
      </c>
      <c r="L384" s="110" t="str">
        <f>IF($M384="","",INDEX('MTRs'!$Y$6:$Y$505,$M384)&amp;"")</f>
        <v/>
      </c>
      <c r="M384" t="str">
        <f>IFERROR(MATCH(SMALL('MTRs'!$AU$6:$AU$505,374),'MTRs'!$AU$6:$AU$505,0),"")</f>
        <v/>
      </c>
    </row>
    <row r="385" ht="30" customHeight="1">
      <c r="B385" s="108" t="str">
        <f>IF($M385="","",INDEX('MTRs'!$A$6:$A$505,$M385)&amp;"")</f>
        <v/>
      </c>
      <c r="C385" s="109" t="str">
        <f>IF($M385="","",INDEX('MTRs'!$B$6:$B$505,$M385)&amp;"")</f>
        <v/>
      </c>
      <c r="D385" s="110" t="str">
        <f>IF($M385="","",INDEX('MTRs'!$G$6:$G$505,$M385)&amp;"")</f>
        <v/>
      </c>
      <c r="E385" s="110" t="str">
        <f>IF($M385="","",INDEX('MTRs'!$H$6:$H$505,$M385)&amp;"")</f>
        <v/>
      </c>
      <c r="F385" s="110" t="str">
        <f>IF($M385="","",INDEX('MTRs'!$I$6:$I$505,$M385)&amp;"")</f>
        <v/>
      </c>
      <c r="G385" s="110" t="str">
        <f>IF($M385="","",INDEX('MTRs'!$T$6:$T$505,$M385)&amp;"")</f>
        <v/>
      </c>
      <c r="H385" s="111" t="str">
        <f>IF($M385="","",INDEX('MTRs'!$AQ$6:$AQ$505,$M385))</f>
        <v/>
      </c>
      <c r="I385" s="112" t="str">
        <f>IF($M385="","",INDEX('MTRs'!$U$6:$U$505,$M385))</f>
        <v/>
      </c>
      <c r="J385" s="113" t="str">
        <f>IF($M385="","",INDEX('MTRs'!$AS$6:$AS$505,$M385)&amp;"")</f>
        <v/>
      </c>
      <c r="K385" s="110" t="str">
        <f>IF($M385="","",INDEX('MTRs'!$AT$6:$AT$505,$M385)&amp;"")</f>
        <v/>
      </c>
      <c r="L385" s="110" t="str">
        <f>IF($M385="","",INDEX('MTRs'!$Y$6:$Y$505,$M385)&amp;"")</f>
        <v/>
      </c>
      <c r="M385" t="str">
        <f>IFERROR(MATCH(SMALL('MTRs'!$AU$6:$AU$505,375),'MTRs'!$AU$6:$AU$505,0),"")</f>
        <v/>
      </c>
    </row>
    <row r="386" ht="30" customHeight="1">
      <c r="B386" s="108" t="str">
        <f>IF($M386="","",INDEX('MTRs'!$A$6:$A$505,$M386)&amp;"")</f>
        <v/>
      </c>
      <c r="C386" s="109" t="str">
        <f>IF($M386="","",INDEX('MTRs'!$B$6:$B$505,$M386)&amp;"")</f>
        <v/>
      </c>
      <c r="D386" s="110" t="str">
        <f>IF($M386="","",INDEX('MTRs'!$G$6:$G$505,$M386)&amp;"")</f>
        <v/>
      </c>
      <c r="E386" s="110" t="str">
        <f>IF($M386="","",INDEX('MTRs'!$H$6:$H$505,$M386)&amp;"")</f>
        <v/>
      </c>
      <c r="F386" s="110" t="str">
        <f>IF($M386="","",INDEX('MTRs'!$I$6:$I$505,$M386)&amp;"")</f>
        <v/>
      </c>
      <c r="G386" s="110" t="str">
        <f>IF($M386="","",INDEX('MTRs'!$T$6:$T$505,$M386)&amp;"")</f>
        <v/>
      </c>
      <c r="H386" s="111" t="str">
        <f>IF($M386="","",INDEX('MTRs'!$AQ$6:$AQ$505,$M386))</f>
        <v/>
      </c>
      <c r="I386" s="112" t="str">
        <f>IF($M386="","",INDEX('MTRs'!$U$6:$U$505,$M386))</f>
        <v/>
      </c>
      <c r="J386" s="113" t="str">
        <f>IF($M386="","",INDEX('MTRs'!$AS$6:$AS$505,$M386)&amp;"")</f>
        <v/>
      </c>
      <c r="K386" s="110" t="str">
        <f>IF($M386="","",INDEX('MTRs'!$AT$6:$AT$505,$M386)&amp;"")</f>
        <v/>
      </c>
      <c r="L386" s="110" t="str">
        <f>IF($M386="","",INDEX('MTRs'!$Y$6:$Y$505,$M386)&amp;"")</f>
        <v/>
      </c>
      <c r="M386" t="str">
        <f>IFERROR(MATCH(SMALL('MTRs'!$AU$6:$AU$505,376),'MTRs'!$AU$6:$AU$505,0),"")</f>
        <v/>
      </c>
    </row>
    <row r="387" ht="30" customHeight="1">
      <c r="B387" s="108" t="str">
        <f>IF($M387="","",INDEX('MTRs'!$A$6:$A$505,$M387)&amp;"")</f>
        <v/>
      </c>
      <c r="C387" s="109" t="str">
        <f>IF($M387="","",INDEX('MTRs'!$B$6:$B$505,$M387)&amp;"")</f>
        <v/>
      </c>
      <c r="D387" s="110" t="str">
        <f>IF($M387="","",INDEX('MTRs'!$G$6:$G$505,$M387)&amp;"")</f>
        <v/>
      </c>
      <c r="E387" s="110" t="str">
        <f>IF($M387="","",INDEX('MTRs'!$H$6:$H$505,$M387)&amp;"")</f>
        <v/>
      </c>
      <c r="F387" s="110" t="str">
        <f>IF($M387="","",INDEX('MTRs'!$I$6:$I$505,$M387)&amp;"")</f>
        <v/>
      </c>
      <c r="G387" s="110" t="str">
        <f>IF($M387="","",INDEX('MTRs'!$T$6:$T$505,$M387)&amp;"")</f>
        <v/>
      </c>
      <c r="H387" s="111" t="str">
        <f>IF($M387="","",INDEX('MTRs'!$AQ$6:$AQ$505,$M387))</f>
        <v/>
      </c>
      <c r="I387" s="112" t="str">
        <f>IF($M387="","",INDEX('MTRs'!$U$6:$U$505,$M387))</f>
        <v/>
      </c>
      <c r="J387" s="113" t="str">
        <f>IF($M387="","",INDEX('MTRs'!$AS$6:$AS$505,$M387)&amp;"")</f>
        <v/>
      </c>
      <c r="K387" s="110" t="str">
        <f>IF($M387="","",INDEX('MTRs'!$AT$6:$AT$505,$M387)&amp;"")</f>
        <v/>
      </c>
      <c r="L387" s="110" t="str">
        <f>IF($M387="","",INDEX('MTRs'!$Y$6:$Y$505,$M387)&amp;"")</f>
        <v/>
      </c>
      <c r="M387" t="str">
        <f>IFERROR(MATCH(SMALL('MTRs'!$AU$6:$AU$505,377),'MTRs'!$AU$6:$AU$505,0),"")</f>
        <v/>
      </c>
    </row>
    <row r="388" ht="30" customHeight="1">
      <c r="B388" s="108" t="str">
        <f>IF($M388="","",INDEX('MTRs'!$A$6:$A$505,$M388)&amp;"")</f>
        <v/>
      </c>
      <c r="C388" s="109" t="str">
        <f>IF($M388="","",INDEX('MTRs'!$B$6:$B$505,$M388)&amp;"")</f>
        <v/>
      </c>
      <c r="D388" s="110" t="str">
        <f>IF($M388="","",INDEX('MTRs'!$G$6:$G$505,$M388)&amp;"")</f>
        <v/>
      </c>
      <c r="E388" s="110" t="str">
        <f>IF($M388="","",INDEX('MTRs'!$H$6:$H$505,$M388)&amp;"")</f>
        <v/>
      </c>
      <c r="F388" s="110" t="str">
        <f>IF($M388="","",INDEX('MTRs'!$I$6:$I$505,$M388)&amp;"")</f>
        <v/>
      </c>
      <c r="G388" s="110" t="str">
        <f>IF($M388="","",INDEX('MTRs'!$T$6:$T$505,$M388)&amp;"")</f>
        <v/>
      </c>
      <c r="H388" s="111" t="str">
        <f>IF($M388="","",INDEX('MTRs'!$AQ$6:$AQ$505,$M388))</f>
        <v/>
      </c>
      <c r="I388" s="112" t="str">
        <f>IF($M388="","",INDEX('MTRs'!$U$6:$U$505,$M388))</f>
        <v/>
      </c>
      <c r="J388" s="113" t="str">
        <f>IF($M388="","",INDEX('MTRs'!$AS$6:$AS$505,$M388)&amp;"")</f>
        <v/>
      </c>
      <c r="K388" s="110" t="str">
        <f>IF($M388="","",INDEX('MTRs'!$AT$6:$AT$505,$M388)&amp;"")</f>
        <v/>
      </c>
      <c r="L388" s="110" t="str">
        <f>IF($M388="","",INDEX('MTRs'!$Y$6:$Y$505,$M388)&amp;"")</f>
        <v/>
      </c>
      <c r="M388" t="str">
        <f>IFERROR(MATCH(SMALL('MTRs'!$AU$6:$AU$505,378),'MTRs'!$AU$6:$AU$505,0),"")</f>
        <v/>
      </c>
    </row>
    <row r="389" ht="30" customHeight="1">
      <c r="B389" s="108" t="str">
        <f>IF($M389="","",INDEX('MTRs'!$A$6:$A$505,$M389)&amp;"")</f>
        <v/>
      </c>
      <c r="C389" s="109" t="str">
        <f>IF($M389="","",INDEX('MTRs'!$B$6:$B$505,$M389)&amp;"")</f>
        <v/>
      </c>
      <c r="D389" s="110" t="str">
        <f>IF($M389="","",INDEX('MTRs'!$G$6:$G$505,$M389)&amp;"")</f>
        <v/>
      </c>
      <c r="E389" s="110" t="str">
        <f>IF($M389="","",INDEX('MTRs'!$H$6:$H$505,$M389)&amp;"")</f>
        <v/>
      </c>
      <c r="F389" s="110" t="str">
        <f>IF($M389="","",INDEX('MTRs'!$I$6:$I$505,$M389)&amp;"")</f>
        <v/>
      </c>
      <c r="G389" s="110" t="str">
        <f>IF($M389="","",INDEX('MTRs'!$T$6:$T$505,$M389)&amp;"")</f>
        <v/>
      </c>
      <c r="H389" s="111" t="str">
        <f>IF($M389="","",INDEX('MTRs'!$AQ$6:$AQ$505,$M389))</f>
        <v/>
      </c>
      <c r="I389" s="112" t="str">
        <f>IF($M389="","",INDEX('MTRs'!$U$6:$U$505,$M389))</f>
        <v/>
      </c>
      <c r="J389" s="113" t="str">
        <f>IF($M389="","",INDEX('MTRs'!$AS$6:$AS$505,$M389)&amp;"")</f>
        <v/>
      </c>
      <c r="K389" s="110" t="str">
        <f>IF($M389="","",INDEX('MTRs'!$AT$6:$AT$505,$M389)&amp;"")</f>
        <v/>
      </c>
      <c r="L389" s="110" t="str">
        <f>IF($M389="","",INDEX('MTRs'!$Y$6:$Y$505,$M389)&amp;"")</f>
        <v/>
      </c>
      <c r="M389" t="str">
        <f>IFERROR(MATCH(SMALL('MTRs'!$AU$6:$AU$505,379),'MTRs'!$AU$6:$AU$505,0),"")</f>
        <v/>
      </c>
    </row>
    <row r="390" ht="30" customHeight="1">
      <c r="B390" s="108" t="str">
        <f>IF($M390="","",INDEX('MTRs'!$A$6:$A$505,$M390)&amp;"")</f>
        <v/>
      </c>
      <c r="C390" s="109" t="str">
        <f>IF($M390="","",INDEX('MTRs'!$B$6:$B$505,$M390)&amp;"")</f>
        <v/>
      </c>
      <c r="D390" s="110" t="str">
        <f>IF($M390="","",INDEX('MTRs'!$G$6:$G$505,$M390)&amp;"")</f>
        <v/>
      </c>
      <c r="E390" s="110" t="str">
        <f>IF($M390="","",INDEX('MTRs'!$H$6:$H$505,$M390)&amp;"")</f>
        <v/>
      </c>
      <c r="F390" s="110" t="str">
        <f>IF($M390="","",INDEX('MTRs'!$I$6:$I$505,$M390)&amp;"")</f>
        <v/>
      </c>
      <c r="G390" s="110" t="str">
        <f>IF($M390="","",INDEX('MTRs'!$T$6:$T$505,$M390)&amp;"")</f>
        <v/>
      </c>
      <c r="H390" s="111" t="str">
        <f>IF($M390="","",INDEX('MTRs'!$AQ$6:$AQ$505,$M390))</f>
        <v/>
      </c>
      <c r="I390" s="112" t="str">
        <f>IF($M390="","",INDEX('MTRs'!$U$6:$U$505,$M390))</f>
        <v/>
      </c>
      <c r="J390" s="113" t="str">
        <f>IF($M390="","",INDEX('MTRs'!$AS$6:$AS$505,$M390)&amp;"")</f>
        <v/>
      </c>
      <c r="K390" s="110" t="str">
        <f>IF($M390="","",INDEX('MTRs'!$AT$6:$AT$505,$M390)&amp;"")</f>
        <v/>
      </c>
      <c r="L390" s="110" t="str">
        <f>IF($M390="","",INDEX('MTRs'!$Y$6:$Y$505,$M390)&amp;"")</f>
        <v/>
      </c>
      <c r="M390" t="str">
        <f>IFERROR(MATCH(SMALL('MTRs'!$AU$6:$AU$505,380),'MTRs'!$AU$6:$AU$505,0),"")</f>
        <v/>
      </c>
    </row>
    <row r="391" ht="30" customHeight="1">
      <c r="B391" s="108" t="str">
        <f>IF($M391="","",INDEX('MTRs'!$A$6:$A$505,$M391)&amp;"")</f>
        <v/>
      </c>
      <c r="C391" s="109" t="str">
        <f>IF($M391="","",INDEX('MTRs'!$B$6:$B$505,$M391)&amp;"")</f>
        <v/>
      </c>
      <c r="D391" s="110" t="str">
        <f>IF($M391="","",INDEX('MTRs'!$G$6:$G$505,$M391)&amp;"")</f>
        <v/>
      </c>
      <c r="E391" s="110" t="str">
        <f>IF($M391="","",INDEX('MTRs'!$H$6:$H$505,$M391)&amp;"")</f>
        <v/>
      </c>
      <c r="F391" s="110" t="str">
        <f>IF($M391="","",INDEX('MTRs'!$I$6:$I$505,$M391)&amp;"")</f>
        <v/>
      </c>
      <c r="G391" s="110" t="str">
        <f>IF($M391="","",INDEX('MTRs'!$T$6:$T$505,$M391)&amp;"")</f>
        <v/>
      </c>
      <c r="H391" s="111" t="str">
        <f>IF($M391="","",INDEX('MTRs'!$AQ$6:$AQ$505,$M391))</f>
        <v/>
      </c>
      <c r="I391" s="112" t="str">
        <f>IF($M391="","",INDEX('MTRs'!$U$6:$U$505,$M391))</f>
        <v/>
      </c>
      <c r="J391" s="113" t="str">
        <f>IF($M391="","",INDEX('MTRs'!$AS$6:$AS$505,$M391)&amp;"")</f>
        <v/>
      </c>
      <c r="K391" s="110" t="str">
        <f>IF($M391="","",INDEX('MTRs'!$AT$6:$AT$505,$M391)&amp;"")</f>
        <v/>
      </c>
      <c r="L391" s="110" t="str">
        <f>IF($M391="","",INDEX('MTRs'!$Y$6:$Y$505,$M391)&amp;"")</f>
        <v/>
      </c>
      <c r="M391" t="str">
        <f>IFERROR(MATCH(SMALL('MTRs'!$AU$6:$AU$505,381),'MTRs'!$AU$6:$AU$505,0),"")</f>
        <v/>
      </c>
    </row>
    <row r="392" ht="30" customHeight="1">
      <c r="B392" s="108" t="str">
        <f>IF($M392="","",INDEX('MTRs'!$A$6:$A$505,$M392)&amp;"")</f>
        <v/>
      </c>
      <c r="C392" s="109" t="str">
        <f>IF($M392="","",INDEX('MTRs'!$B$6:$B$505,$M392)&amp;"")</f>
        <v/>
      </c>
      <c r="D392" s="110" t="str">
        <f>IF($M392="","",INDEX('MTRs'!$G$6:$G$505,$M392)&amp;"")</f>
        <v/>
      </c>
      <c r="E392" s="110" t="str">
        <f>IF($M392="","",INDEX('MTRs'!$H$6:$H$505,$M392)&amp;"")</f>
        <v/>
      </c>
      <c r="F392" s="110" t="str">
        <f>IF($M392="","",INDEX('MTRs'!$I$6:$I$505,$M392)&amp;"")</f>
        <v/>
      </c>
      <c r="G392" s="110" t="str">
        <f>IF($M392="","",INDEX('MTRs'!$T$6:$T$505,$M392)&amp;"")</f>
        <v/>
      </c>
      <c r="H392" s="111" t="str">
        <f>IF($M392="","",INDEX('MTRs'!$AQ$6:$AQ$505,$M392))</f>
        <v/>
      </c>
      <c r="I392" s="112" t="str">
        <f>IF($M392="","",INDEX('MTRs'!$U$6:$U$505,$M392))</f>
        <v/>
      </c>
      <c r="J392" s="113" t="str">
        <f>IF($M392="","",INDEX('MTRs'!$AS$6:$AS$505,$M392)&amp;"")</f>
        <v/>
      </c>
      <c r="K392" s="110" t="str">
        <f>IF($M392="","",INDEX('MTRs'!$AT$6:$AT$505,$M392)&amp;"")</f>
        <v/>
      </c>
      <c r="L392" s="110" t="str">
        <f>IF($M392="","",INDEX('MTRs'!$Y$6:$Y$505,$M392)&amp;"")</f>
        <v/>
      </c>
      <c r="M392" t="str">
        <f>IFERROR(MATCH(SMALL('MTRs'!$AU$6:$AU$505,382),'MTRs'!$AU$6:$AU$505,0),"")</f>
        <v/>
      </c>
    </row>
    <row r="393" ht="30" customHeight="1">
      <c r="B393" s="108" t="str">
        <f>IF($M393="","",INDEX('MTRs'!$A$6:$A$505,$M393)&amp;"")</f>
        <v/>
      </c>
      <c r="C393" s="109" t="str">
        <f>IF($M393="","",INDEX('MTRs'!$B$6:$B$505,$M393)&amp;"")</f>
        <v/>
      </c>
      <c r="D393" s="110" t="str">
        <f>IF($M393="","",INDEX('MTRs'!$G$6:$G$505,$M393)&amp;"")</f>
        <v/>
      </c>
      <c r="E393" s="110" t="str">
        <f>IF($M393="","",INDEX('MTRs'!$H$6:$H$505,$M393)&amp;"")</f>
        <v/>
      </c>
      <c r="F393" s="110" t="str">
        <f>IF($M393="","",INDEX('MTRs'!$I$6:$I$505,$M393)&amp;"")</f>
        <v/>
      </c>
      <c r="G393" s="110" t="str">
        <f>IF($M393="","",INDEX('MTRs'!$T$6:$T$505,$M393)&amp;"")</f>
        <v/>
      </c>
      <c r="H393" s="111" t="str">
        <f>IF($M393="","",INDEX('MTRs'!$AQ$6:$AQ$505,$M393))</f>
        <v/>
      </c>
      <c r="I393" s="112" t="str">
        <f>IF($M393="","",INDEX('MTRs'!$U$6:$U$505,$M393))</f>
        <v/>
      </c>
      <c r="J393" s="113" t="str">
        <f>IF($M393="","",INDEX('MTRs'!$AS$6:$AS$505,$M393)&amp;"")</f>
        <v/>
      </c>
      <c r="K393" s="110" t="str">
        <f>IF($M393="","",INDEX('MTRs'!$AT$6:$AT$505,$M393)&amp;"")</f>
        <v/>
      </c>
      <c r="L393" s="110" t="str">
        <f>IF($M393="","",INDEX('MTRs'!$Y$6:$Y$505,$M393)&amp;"")</f>
        <v/>
      </c>
      <c r="M393" t="str">
        <f>IFERROR(MATCH(SMALL('MTRs'!$AU$6:$AU$505,383),'MTRs'!$AU$6:$AU$505,0),"")</f>
        <v/>
      </c>
    </row>
    <row r="394" ht="30" customHeight="1">
      <c r="B394" s="108" t="str">
        <f>IF($M394="","",INDEX('MTRs'!$A$6:$A$505,$M394)&amp;"")</f>
        <v/>
      </c>
      <c r="C394" s="109" t="str">
        <f>IF($M394="","",INDEX('MTRs'!$B$6:$B$505,$M394)&amp;"")</f>
        <v/>
      </c>
      <c r="D394" s="110" t="str">
        <f>IF($M394="","",INDEX('MTRs'!$G$6:$G$505,$M394)&amp;"")</f>
        <v/>
      </c>
      <c r="E394" s="110" t="str">
        <f>IF($M394="","",INDEX('MTRs'!$H$6:$H$505,$M394)&amp;"")</f>
        <v/>
      </c>
      <c r="F394" s="110" t="str">
        <f>IF($M394="","",INDEX('MTRs'!$I$6:$I$505,$M394)&amp;"")</f>
        <v/>
      </c>
      <c r="G394" s="110" t="str">
        <f>IF($M394="","",INDEX('MTRs'!$T$6:$T$505,$M394)&amp;"")</f>
        <v/>
      </c>
      <c r="H394" s="111" t="str">
        <f>IF($M394="","",INDEX('MTRs'!$AQ$6:$AQ$505,$M394))</f>
        <v/>
      </c>
      <c r="I394" s="112" t="str">
        <f>IF($M394="","",INDEX('MTRs'!$U$6:$U$505,$M394))</f>
        <v/>
      </c>
      <c r="J394" s="113" t="str">
        <f>IF($M394="","",INDEX('MTRs'!$AS$6:$AS$505,$M394)&amp;"")</f>
        <v/>
      </c>
      <c r="K394" s="110" t="str">
        <f>IF($M394="","",INDEX('MTRs'!$AT$6:$AT$505,$M394)&amp;"")</f>
        <v/>
      </c>
      <c r="L394" s="110" t="str">
        <f>IF($M394="","",INDEX('MTRs'!$Y$6:$Y$505,$M394)&amp;"")</f>
        <v/>
      </c>
      <c r="M394" t="str">
        <f>IFERROR(MATCH(SMALL('MTRs'!$AU$6:$AU$505,384),'MTRs'!$AU$6:$AU$505,0),"")</f>
        <v/>
      </c>
    </row>
    <row r="395" ht="30" customHeight="1">
      <c r="B395" s="108" t="str">
        <f>IF($M395="","",INDEX('MTRs'!$A$6:$A$505,$M395)&amp;"")</f>
        <v/>
      </c>
      <c r="C395" s="109" t="str">
        <f>IF($M395="","",INDEX('MTRs'!$B$6:$B$505,$M395)&amp;"")</f>
        <v/>
      </c>
      <c r="D395" s="110" t="str">
        <f>IF($M395="","",INDEX('MTRs'!$G$6:$G$505,$M395)&amp;"")</f>
        <v/>
      </c>
      <c r="E395" s="110" t="str">
        <f>IF($M395="","",INDEX('MTRs'!$H$6:$H$505,$M395)&amp;"")</f>
        <v/>
      </c>
      <c r="F395" s="110" t="str">
        <f>IF($M395="","",INDEX('MTRs'!$I$6:$I$505,$M395)&amp;"")</f>
        <v/>
      </c>
      <c r="G395" s="110" t="str">
        <f>IF($M395="","",INDEX('MTRs'!$T$6:$T$505,$M395)&amp;"")</f>
        <v/>
      </c>
      <c r="H395" s="111" t="str">
        <f>IF($M395="","",INDEX('MTRs'!$AQ$6:$AQ$505,$M395))</f>
        <v/>
      </c>
      <c r="I395" s="112" t="str">
        <f>IF($M395="","",INDEX('MTRs'!$U$6:$U$505,$M395))</f>
        <v/>
      </c>
      <c r="J395" s="113" t="str">
        <f>IF($M395="","",INDEX('MTRs'!$AS$6:$AS$505,$M395)&amp;"")</f>
        <v/>
      </c>
      <c r="K395" s="110" t="str">
        <f>IF($M395="","",INDEX('MTRs'!$AT$6:$AT$505,$M395)&amp;"")</f>
        <v/>
      </c>
      <c r="L395" s="110" t="str">
        <f>IF($M395="","",INDEX('MTRs'!$Y$6:$Y$505,$M395)&amp;"")</f>
        <v/>
      </c>
      <c r="M395" t="str">
        <f>IFERROR(MATCH(SMALL('MTRs'!$AU$6:$AU$505,385),'MTRs'!$AU$6:$AU$505,0),"")</f>
        <v/>
      </c>
    </row>
    <row r="396" ht="30" customHeight="1">
      <c r="B396" s="108" t="str">
        <f>IF($M396="","",INDEX('MTRs'!$A$6:$A$505,$M396)&amp;"")</f>
        <v/>
      </c>
      <c r="C396" s="109" t="str">
        <f>IF($M396="","",INDEX('MTRs'!$B$6:$B$505,$M396)&amp;"")</f>
        <v/>
      </c>
      <c r="D396" s="110" t="str">
        <f>IF($M396="","",INDEX('MTRs'!$G$6:$G$505,$M396)&amp;"")</f>
        <v/>
      </c>
      <c r="E396" s="110" t="str">
        <f>IF($M396="","",INDEX('MTRs'!$H$6:$H$505,$M396)&amp;"")</f>
        <v/>
      </c>
      <c r="F396" s="110" t="str">
        <f>IF($M396="","",INDEX('MTRs'!$I$6:$I$505,$M396)&amp;"")</f>
        <v/>
      </c>
      <c r="G396" s="110" t="str">
        <f>IF($M396="","",INDEX('MTRs'!$T$6:$T$505,$M396)&amp;"")</f>
        <v/>
      </c>
      <c r="H396" s="111" t="str">
        <f>IF($M396="","",INDEX('MTRs'!$AQ$6:$AQ$505,$M396))</f>
        <v/>
      </c>
      <c r="I396" s="112" t="str">
        <f>IF($M396="","",INDEX('MTRs'!$U$6:$U$505,$M396))</f>
        <v/>
      </c>
      <c r="J396" s="113" t="str">
        <f>IF($M396="","",INDEX('MTRs'!$AS$6:$AS$505,$M396)&amp;"")</f>
        <v/>
      </c>
      <c r="K396" s="110" t="str">
        <f>IF($M396="","",INDEX('MTRs'!$AT$6:$AT$505,$M396)&amp;"")</f>
        <v/>
      </c>
      <c r="L396" s="110" t="str">
        <f>IF($M396="","",INDEX('MTRs'!$Y$6:$Y$505,$M396)&amp;"")</f>
        <v/>
      </c>
      <c r="M396" t="str">
        <f>IFERROR(MATCH(SMALL('MTRs'!$AU$6:$AU$505,386),'MTRs'!$AU$6:$AU$505,0),"")</f>
        <v/>
      </c>
    </row>
    <row r="397" ht="30" customHeight="1">
      <c r="B397" s="108" t="str">
        <f>IF($M397="","",INDEX('MTRs'!$A$6:$A$505,$M397)&amp;"")</f>
        <v/>
      </c>
      <c r="C397" s="109" t="str">
        <f>IF($M397="","",INDEX('MTRs'!$B$6:$B$505,$M397)&amp;"")</f>
        <v/>
      </c>
      <c r="D397" s="110" t="str">
        <f>IF($M397="","",INDEX('MTRs'!$G$6:$G$505,$M397)&amp;"")</f>
        <v/>
      </c>
      <c r="E397" s="110" t="str">
        <f>IF($M397="","",INDEX('MTRs'!$H$6:$H$505,$M397)&amp;"")</f>
        <v/>
      </c>
      <c r="F397" s="110" t="str">
        <f>IF($M397="","",INDEX('MTRs'!$I$6:$I$505,$M397)&amp;"")</f>
        <v/>
      </c>
      <c r="G397" s="110" t="str">
        <f>IF($M397="","",INDEX('MTRs'!$T$6:$T$505,$M397)&amp;"")</f>
        <v/>
      </c>
      <c r="H397" s="111" t="str">
        <f>IF($M397="","",INDEX('MTRs'!$AQ$6:$AQ$505,$M397))</f>
        <v/>
      </c>
      <c r="I397" s="112" t="str">
        <f>IF($M397="","",INDEX('MTRs'!$U$6:$U$505,$M397))</f>
        <v/>
      </c>
      <c r="J397" s="113" t="str">
        <f>IF($M397="","",INDEX('MTRs'!$AS$6:$AS$505,$M397)&amp;"")</f>
        <v/>
      </c>
      <c r="K397" s="110" t="str">
        <f>IF($M397="","",INDEX('MTRs'!$AT$6:$AT$505,$M397)&amp;"")</f>
        <v/>
      </c>
      <c r="L397" s="110" t="str">
        <f>IF($M397="","",INDEX('MTRs'!$Y$6:$Y$505,$M397)&amp;"")</f>
        <v/>
      </c>
      <c r="M397" t="str">
        <f>IFERROR(MATCH(SMALL('MTRs'!$AU$6:$AU$505,387),'MTRs'!$AU$6:$AU$505,0),"")</f>
        <v/>
      </c>
    </row>
    <row r="398" ht="30" customHeight="1">
      <c r="B398" s="108" t="str">
        <f>IF($M398="","",INDEX('MTRs'!$A$6:$A$505,$M398)&amp;"")</f>
        <v/>
      </c>
      <c r="C398" s="109" t="str">
        <f>IF($M398="","",INDEX('MTRs'!$B$6:$B$505,$M398)&amp;"")</f>
        <v/>
      </c>
      <c r="D398" s="110" t="str">
        <f>IF($M398="","",INDEX('MTRs'!$G$6:$G$505,$M398)&amp;"")</f>
        <v/>
      </c>
      <c r="E398" s="110" t="str">
        <f>IF($M398="","",INDEX('MTRs'!$H$6:$H$505,$M398)&amp;"")</f>
        <v/>
      </c>
      <c r="F398" s="110" t="str">
        <f>IF($M398="","",INDEX('MTRs'!$I$6:$I$505,$M398)&amp;"")</f>
        <v/>
      </c>
      <c r="G398" s="110" t="str">
        <f>IF($M398="","",INDEX('MTRs'!$T$6:$T$505,$M398)&amp;"")</f>
        <v/>
      </c>
      <c r="H398" s="111" t="str">
        <f>IF($M398="","",INDEX('MTRs'!$AQ$6:$AQ$505,$M398))</f>
        <v/>
      </c>
      <c r="I398" s="112" t="str">
        <f>IF($M398="","",INDEX('MTRs'!$U$6:$U$505,$M398))</f>
        <v/>
      </c>
      <c r="J398" s="113" t="str">
        <f>IF($M398="","",INDEX('MTRs'!$AS$6:$AS$505,$M398)&amp;"")</f>
        <v/>
      </c>
      <c r="K398" s="110" t="str">
        <f>IF($M398="","",INDEX('MTRs'!$AT$6:$AT$505,$M398)&amp;"")</f>
        <v/>
      </c>
      <c r="L398" s="110" t="str">
        <f>IF($M398="","",INDEX('MTRs'!$Y$6:$Y$505,$M398)&amp;"")</f>
        <v/>
      </c>
      <c r="M398" t="str">
        <f>IFERROR(MATCH(SMALL('MTRs'!$AU$6:$AU$505,388),'MTRs'!$AU$6:$AU$505,0),"")</f>
        <v/>
      </c>
    </row>
    <row r="399" ht="30" customHeight="1">
      <c r="B399" s="108" t="str">
        <f>IF($M399="","",INDEX('MTRs'!$A$6:$A$505,$M399)&amp;"")</f>
        <v/>
      </c>
      <c r="C399" s="109" t="str">
        <f>IF($M399="","",INDEX('MTRs'!$B$6:$B$505,$M399)&amp;"")</f>
        <v/>
      </c>
      <c r="D399" s="110" t="str">
        <f>IF($M399="","",INDEX('MTRs'!$G$6:$G$505,$M399)&amp;"")</f>
        <v/>
      </c>
      <c r="E399" s="110" t="str">
        <f>IF($M399="","",INDEX('MTRs'!$H$6:$H$505,$M399)&amp;"")</f>
        <v/>
      </c>
      <c r="F399" s="110" t="str">
        <f>IF($M399="","",INDEX('MTRs'!$I$6:$I$505,$M399)&amp;"")</f>
        <v/>
      </c>
      <c r="G399" s="110" t="str">
        <f>IF($M399="","",INDEX('MTRs'!$T$6:$T$505,$M399)&amp;"")</f>
        <v/>
      </c>
      <c r="H399" s="111" t="str">
        <f>IF($M399="","",INDEX('MTRs'!$AQ$6:$AQ$505,$M399))</f>
        <v/>
      </c>
      <c r="I399" s="112" t="str">
        <f>IF($M399="","",INDEX('MTRs'!$U$6:$U$505,$M399))</f>
        <v/>
      </c>
      <c r="J399" s="113" t="str">
        <f>IF($M399="","",INDEX('MTRs'!$AS$6:$AS$505,$M399)&amp;"")</f>
        <v/>
      </c>
      <c r="K399" s="110" t="str">
        <f>IF($M399="","",INDEX('MTRs'!$AT$6:$AT$505,$M399)&amp;"")</f>
        <v/>
      </c>
      <c r="L399" s="110" t="str">
        <f>IF($M399="","",INDEX('MTRs'!$Y$6:$Y$505,$M399)&amp;"")</f>
        <v/>
      </c>
      <c r="M399" t="str">
        <f>IFERROR(MATCH(SMALL('MTRs'!$AU$6:$AU$505,389),'MTRs'!$AU$6:$AU$505,0),"")</f>
        <v/>
      </c>
    </row>
    <row r="400" ht="30" customHeight="1">
      <c r="B400" s="108" t="str">
        <f>IF($M400="","",INDEX('MTRs'!$A$6:$A$505,$M400)&amp;"")</f>
        <v/>
      </c>
      <c r="C400" s="109" t="str">
        <f>IF($M400="","",INDEX('MTRs'!$B$6:$B$505,$M400)&amp;"")</f>
        <v/>
      </c>
      <c r="D400" s="110" t="str">
        <f>IF($M400="","",INDEX('MTRs'!$G$6:$G$505,$M400)&amp;"")</f>
        <v/>
      </c>
      <c r="E400" s="110" t="str">
        <f>IF($M400="","",INDEX('MTRs'!$H$6:$H$505,$M400)&amp;"")</f>
        <v/>
      </c>
      <c r="F400" s="110" t="str">
        <f>IF($M400="","",INDEX('MTRs'!$I$6:$I$505,$M400)&amp;"")</f>
        <v/>
      </c>
      <c r="G400" s="110" t="str">
        <f>IF($M400="","",INDEX('MTRs'!$T$6:$T$505,$M400)&amp;"")</f>
        <v/>
      </c>
      <c r="H400" s="111" t="str">
        <f>IF($M400="","",INDEX('MTRs'!$AQ$6:$AQ$505,$M400))</f>
        <v/>
      </c>
      <c r="I400" s="112" t="str">
        <f>IF($M400="","",INDEX('MTRs'!$U$6:$U$505,$M400))</f>
        <v/>
      </c>
      <c r="J400" s="113" t="str">
        <f>IF($M400="","",INDEX('MTRs'!$AS$6:$AS$505,$M400)&amp;"")</f>
        <v/>
      </c>
      <c r="K400" s="110" t="str">
        <f>IF($M400="","",INDEX('MTRs'!$AT$6:$AT$505,$M400)&amp;"")</f>
        <v/>
      </c>
      <c r="L400" s="110" t="str">
        <f>IF($M400="","",INDEX('MTRs'!$Y$6:$Y$505,$M400)&amp;"")</f>
        <v/>
      </c>
      <c r="M400" t="str">
        <f>IFERROR(MATCH(SMALL('MTRs'!$AU$6:$AU$505,390),'MTRs'!$AU$6:$AU$505,0),"")</f>
        <v/>
      </c>
    </row>
    <row r="401" ht="30" customHeight="1">
      <c r="B401" s="108" t="str">
        <f>IF($M401="","",INDEX('MTRs'!$A$6:$A$505,$M401)&amp;"")</f>
        <v/>
      </c>
      <c r="C401" s="109" t="str">
        <f>IF($M401="","",INDEX('MTRs'!$B$6:$B$505,$M401)&amp;"")</f>
        <v/>
      </c>
      <c r="D401" s="110" t="str">
        <f>IF($M401="","",INDEX('MTRs'!$G$6:$G$505,$M401)&amp;"")</f>
        <v/>
      </c>
      <c r="E401" s="110" t="str">
        <f>IF($M401="","",INDEX('MTRs'!$H$6:$H$505,$M401)&amp;"")</f>
        <v/>
      </c>
      <c r="F401" s="110" t="str">
        <f>IF($M401="","",INDEX('MTRs'!$I$6:$I$505,$M401)&amp;"")</f>
        <v/>
      </c>
      <c r="G401" s="110" t="str">
        <f>IF($M401="","",INDEX('MTRs'!$T$6:$T$505,$M401)&amp;"")</f>
        <v/>
      </c>
      <c r="H401" s="111" t="str">
        <f>IF($M401="","",INDEX('MTRs'!$AQ$6:$AQ$505,$M401))</f>
        <v/>
      </c>
      <c r="I401" s="112" t="str">
        <f>IF($M401="","",INDEX('MTRs'!$U$6:$U$505,$M401))</f>
        <v/>
      </c>
      <c r="J401" s="113" t="str">
        <f>IF($M401="","",INDEX('MTRs'!$AS$6:$AS$505,$M401)&amp;"")</f>
        <v/>
      </c>
      <c r="K401" s="110" t="str">
        <f>IF($M401="","",INDEX('MTRs'!$AT$6:$AT$505,$M401)&amp;"")</f>
        <v/>
      </c>
      <c r="L401" s="110" t="str">
        <f>IF($M401="","",INDEX('MTRs'!$Y$6:$Y$505,$M401)&amp;"")</f>
        <v/>
      </c>
      <c r="M401" t="str">
        <f>IFERROR(MATCH(SMALL('MTRs'!$AU$6:$AU$505,391),'MTRs'!$AU$6:$AU$505,0),"")</f>
        <v/>
      </c>
    </row>
    <row r="402" ht="30" customHeight="1">
      <c r="B402" s="108" t="str">
        <f>IF($M402="","",INDEX('MTRs'!$A$6:$A$505,$M402)&amp;"")</f>
        <v/>
      </c>
      <c r="C402" s="109" t="str">
        <f>IF($M402="","",INDEX('MTRs'!$B$6:$B$505,$M402)&amp;"")</f>
        <v/>
      </c>
      <c r="D402" s="110" t="str">
        <f>IF($M402="","",INDEX('MTRs'!$G$6:$G$505,$M402)&amp;"")</f>
        <v/>
      </c>
      <c r="E402" s="110" t="str">
        <f>IF($M402="","",INDEX('MTRs'!$H$6:$H$505,$M402)&amp;"")</f>
        <v/>
      </c>
      <c r="F402" s="110" t="str">
        <f>IF($M402="","",INDEX('MTRs'!$I$6:$I$505,$M402)&amp;"")</f>
        <v/>
      </c>
      <c r="G402" s="110" t="str">
        <f>IF($M402="","",INDEX('MTRs'!$T$6:$T$505,$M402)&amp;"")</f>
        <v/>
      </c>
      <c r="H402" s="111" t="str">
        <f>IF($M402="","",INDEX('MTRs'!$AQ$6:$AQ$505,$M402))</f>
        <v/>
      </c>
      <c r="I402" s="112" t="str">
        <f>IF($M402="","",INDEX('MTRs'!$U$6:$U$505,$M402))</f>
        <v/>
      </c>
      <c r="J402" s="113" t="str">
        <f>IF($M402="","",INDEX('MTRs'!$AS$6:$AS$505,$M402)&amp;"")</f>
        <v/>
      </c>
      <c r="K402" s="110" t="str">
        <f>IF($M402="","",INDEX('MTRs'!$AT$6:$AT$505,$M402)&amp;"")</f>
        <v/>
      </c>
      <c r="L402" s="110" t="str">
        <f>IF($M402="","",INDEX('MTRs'!$Y$6:$Y$505,$M402)&amp;"")</f>
        <v/>
      </c>
      <c r="M402" t="str">
        <f>IFERROR(MATCH(SMALL('MTRs'!$AU$6:$AU$505,392),'MTRs'!$AU$6:$AU$505,0),"")</f>
        <v/>
      </c>
    </row>
    <row r="403" ht="30" customHeight="1">
      <c r="B403" s="108" t="str">
        <f>IF($M403="","",INDEX('MTRs'!$A$6:$A$505,$M403)&amp;"")</f>
        <v/>
      </c>
      <c r="C403" s="109" t="str">
        <f>IF($M403="","",INDEX('MTRs'!$B$6:$B$505,$M403)&amp;"")</f>
        <v/>
      </c>
      <c r="D403" s="110" t="str">
        <f>IF($M403="","",INDEX('MTRs'!$G$6:$G$505,$M403)&amp;"")</f>
        <v/>
      </c>
      <c r="E403" s="110" t="str">
        <f>IF($M403="","",INDEX('MTRs'!$H$6:$H$505,$M403)&amp;"")</f>
        <v/>
      </c>
      <c r="F403" s="110" t="str">
        <f>IF($M403="","",INDEX('MTRs'!$I$6:$I$505,$M403)&amp;"")</f>
        <v/>
      </c>
      <c r="G403" s="110" t="str">
        <f>IF($M403="","",INDEX('MTRs'!$T$6:$T$505,$M403)&amp;"")</f>
        <v/>
      </c>
      <c r="H403" s="111" t="str">
        <f>IF($M403="","",INDEX('MTRs'!$AQ$6:$AQ$505,$M403))</f>
        <v/>
      </c>
      <c r="I403" s="112" t="str">
        <f>IF($M403="","",INDEX('MTRs'!$U$6:$U$505,$M403))</f>
        <v/>
      </c>
      <c r="J403" s="113" t="str">
        <f>IF($M403="","",INDEX('MTRs'!$AS$6:$AS$505,$M403)&amp;"")</f>
        <v/>
      </c>
      <c r="K403" s="110" t="str">
        <f>IF($M403="","",INDEX('MTRs'!$AT$6:$AT$505,$M403)&amp;"")</f>
        <v/>
      </c>
      <c r="L403" s="110" t="str">
        <f>IF($M403="","",INDEX('MTRs'!$Y$6:$Y$505,$M403)&amp;"")</f>
        <v/>
      </c>
      <c r="M403" t="str">
        <f>IFERROR(MATCH(SMALL('MTRs'!$AU$6:$AU$505,393),'MTRs'!$AU$6:$AU$505,0),"")</f>
        <v/>
      </c>
    </row>
    <row r="404" ht="30" customHeight="1">
      <c r="B404" s="108" t="str">
        <f>IF($M404="","",INDEX('MTRs'!$A$6:$A$505,$M404)&amp;"")</f>
        <v/>
      </c>
      <c r="C404" s="109" t="str">
        <f>IF($M404="","",INDEX('MTRs'!$B$6:$B$505,$M404)&amp;"")</f>
        <v/>
      </c>
      <c r="D404" s="110" t="str">
        <f>IF($M404="","",INDEX('MTRs'!$G$6:$G$505,$M404)&amp;"")</f>
        <v/>
      </c>
      <c r="E404" s="110" t="str">
        <f>IF($M404="","",INDEX('MTRs'!$H$6:$H$505,$M404)&amp;"")</f>
        <v/>
      </c>
      <c r="F404" s="110" t="str">
        <f>IF($M404="","",INDEX('MTRs'!$I$6:$I$505,$M404)&amp;"")</f>
        <v/>
      </c>
      <c r="G404" s="110" t="str">
        <f>IF($M404="","",INDEX('MTRs'!$T$6:$T$505,$M404)&amp;"")</f>
        <v/>
      </c>
      <c r="H404" s="111" t="str">
        <f>IF($M404="","",INDEX('MTRs'!$AQ$6:$AQ$505,$M404))</f>
        <v/>
      </c>
      <c r="I404" s="112" t="str">
        <f>IF($M404="","",INDEX('MTRs'!$U$6:$U$505,$M404))</f>
        <v/>
      </c>
      <c r="J404" s="113" t="str">
        <f>IF($M404="","",INDEX('MTRs'!$AS$6:$AS$505,$M404)&amp;"")</f>
        <v/>
      </c>
      <c r="K404" s="110" t="str">
        <f>IF($M404="","",INDEX('MTRs'!$AT$6:$AT$505,$M404)&amp;"")</f>
        <v/>
      </c>
      <c r="L404" s="110" t="str">
        <f>IF($M404="","",INDEX('MTRs'!$Y$6:$Y$505,$M404)&amp;"")</f>
        <v/>
      </c>
      <c r="M404" t="str">
        <f>IFERROR(MATCH(SMALL('MTRs'!$AU$6:$AU$505,394),'MTRs'!$AU$6:$AU$505,0),"")</f>
        <v/>
      </c>
    </row>
    <row r="405" ht="30" customHeight="1">
      <c r="B405" s="108" t="str">
        <f>IF($M405="","",INDEX('MTRs'!$A$6:$A$505,$M405)&amp;"")</f>
        <v/>
      </c>
      <c r="C405" s="109" t="str">
        <f>IF($M405="","",INDEX('MTRs'!$B$6:$B$505,$M405)&amp;"")</f>
        <v/>
      </c>
      <c r="D405" s="110" t="str">
        <f>IF($M405="","",INDEX('MTRs'!$G$6:$G$505,$M405)&amp;"")</f>
        <v/>
      </c>
      <c r="E405" s="110" t="str">
        <f>IF($M405="","",INDEX('MTRs'!$H$6:$H$505,$M405)&amp;"")</f>
        <v/>
      </c>
      <c r="F405" s="110" t="str">
        <f>IF($M405="","",INDEX('MTRs'!$I$6:$I$505,$M405)&amp;"")</f>
        <v/>
      </c>
      <c r="G405" s="110" t="str">
        <f>IF($M405="","",INDEX('MTRs'!$T$6:$T$505,$M405)&amp;"")</f>
        <v/>
      </c>
      <c r="H405" s="111" t="str">
        <f>IF($M405="","",INDEX('MTRs'!$AQ$6:$AQ$505,$M405))</f>
        <v/>
      </c>
      <c r="I405" s="112" t="str">
        <f>IF($M405="","",INDEX('MTRs'!$U$6:$U$505,$M405))</f>
        <v/>
      </c>
      <c r="J405" s="113" t="str">
        <f>IF($M405="","",INDEX('MTRs'!$AS$6:$AS$505,$M405)&amp;"")</f>
        <v/>
      </c>
      <c r="K405" s="110" t="str">
        <f>IF($M405="","",INDEX('MTRs'!$AT$6:$AT$505,$M405)&amp;"")</f>
        <v/>
      </c>
      <c r="L405" s="110" t="str">
        <f>IF($M405="","",INDEX('MTRs'!$Y$6:$Y$505,$M405)&amp;"")</f>
        <v/>
      </c>
      <c r="M405" t="str">
        <f>IFERROR(MATCH(SMALL('MTRs'!$AU$6:$AU$505,395),'MTRs'!$AU$6:$AU$505,0),"")</f>
        <v/>
      </c>
    </row>
    <row r="406" ht="30" customHeight="1">
      <c r="B406" s="108" t="str">
        <f>IF($M406="","",INDEX('MTRs'!$A$6:$A$505,$M406)&amp;"")</f>
        <v/>
      </c>
      <c r="C406" s="109" t="str">
        <f>IF($M406="","",INDEX('MTRs'!$B$6:$B$505,$M406)&amp;"")</f>
        <v/>
      </c>
      <c r="D406" s="110" t="str">
        <f>IF($M406="","",INDEX('MTRs'!$G$6:$G$505,$M406)&amp;"")</f>
        <v/>
      </c>
      <c r="E406" s="110" t="str">
        <f>IF($M406="","",INDEX('MTRs'!$H$6:$H$505,$M406)&amp;"")</f>
        <v/>
      </c>
      <c r="F406" s="110" t="str">
        <f>IF($M406="","",INDEX('MTRs'!$I$6:$I$505,$M406)&amp;"")</f>
        <v/>
      </c>
      <c r="G406" s="110" t="str">
        <f>IF($M406="","",INDEX('MTRs'!$T$6:$T$505,$M406)&amp;"")</f>
        <v/>
      </c>
      <c r="H406" s="111" t="str">
        <f>IF($M406="","",INDEX('MTRs'!$AQ$6:$AQ$505,$M406))</f>
        <v/>
      </c>
      <c r="I406" s="112" t="str">
        <f>IF($M406="","",INDEX('MTRs'!$U$6:$U$505,$M406))</f>
        <v/>
      </c>
      <c r="J406" s="113" t="str">
        <f>IF($M406="","",INDEX('MTRs'!$AS$6:$AS$505,$M406)&amp;"")</f>
        <v/>
      </c>
      <c r="K406" s="110" t="str">
        <f>IF($M406="","",INDEX('MTRs'!$AT$6:$AT$505,$M406)&amp;"")</f>
        <v/>
      </c>
      <c r="L406" s="110" t="str">
        <f>IF($M406="","",INDEX('MTRs'!$Y$6:$Y$505,$M406)&amp;"")</f>
        <v/>
      </c>
      <c r="M406" t="str">
        <f>IFERROR(MATCH(SMALL('MTRs'!$AU$6:$AU$505,396),'MTRs'!$AU$6:$AU$505,0),"")</f>
        <v/>
      </c>
    </row>
    <row r="407" ht="30" customHeight="1">
      <c r="B407" s="108" t="str">
        <f>IF($M407="","",INDEX('MTRs'!$A$6:$A$505,$M407)&amp;"")</f>
        <v/>
      </c>
      <c r="C407" s="109" t="str">
        <f>IF($M407="","",INDEX('MTRs'!$B$6:$B$505,$M407)&amp;"")</f>
        <v/>
      </c>
      <c r="D407" s="110" t="str">
        <f>IF($M407="","",INDEX('MTRs'!$G$6:$G$505,$M407)&amp;"")</f>
        <v/>
      </c>
      <c r="E407" s="110" t="str">
        <f>IF($M407="","",INDEX('MTRs'!$H$6:$H$505,$M407)&amp;"")</f>
        <v/>
      </c>
      <c r="F407" s="110" t="str">
        <f>IF($M407="","",INDEX('MTRs'!$I$6:$I$505,$M407)&amp;"")</f>
        <v/>
      </c>
      <c r="G407" s="110" t="str">
        <f>IF($M407="","",INDEX('MTRs'!$T$6:$T$505,$M407)&amp;"")</f>
        <v/>
      </c>
      <c r="H407" s="111" t="str">
        <f>IF($M407="","",INDEX('MTRs'!$AQ$6:$AQ$505,$M407))</f>
        <v/>
      </c>
      <c r="I407" s="112" t="str">
        <f>IF($M407="","",INDEX('MTRs'!$U$6:$U$505,$M407))</f>
        <v/>
      </c>
      <c r="J407" s="113" t="str">
        <f>IF($M407="","",INDEX('MTRs'!$AS$6:$AS$505,$M407)&amp;"")</f>
        <v/>
      </c>
      <c r="K407" s="110" t="str">
        <f>IF($M407="","",INDEX('MTRs'!$AT$6:$AT$505,$M407)&amp;"")</f>
        <v/>
      </c>
      <c r="L407" s="110" t="str">
        <f>IF($M407="","",INDEX('MTRs'!$Y$6:$Y$505,$M407)&amp;"")</f>
        <v/>
      </c>
      <c r="M407" t="str">
        <f>IFERROR(MATCH(SMALL('MTRs'!$AU$6:$AU$505,397),'MTRs'!$AU$6:$AU$505,0),"")</f>
        <v/>
      </c>
    </row>
    <row r="408" ht="30" customHeight="1">
      <c r="B408" s="108" t="str">
        <f>IF($M408="","",INDEX('MTRs'!$A$6:$A$505,$M408)&amp;"")</f>
        <v/>
      </c>
      <c r="C408" s="109" t="str">
        <f>IF($M408="","",INDEX('MTRs'!$B$6:$B$505,$M408)&amp;"")</f>
        <v/>
      </c>
      <c r="D408" s="110" t="str">
        <f>IF($M408="","",INDEX('MTRs'!$G$6:$G$505,$M408)&amp;"")</f>
        <v/>
      </c>
      <c r="E408" s="110" t="str">
        <f>IF($M408="","",INDEX('MTRs'!$H$6:$H$505,$M408)&amp;"")</f>
        <v/>
      </c>
      <c r="F408" s="110" t="str">
        <f>IF($M408="","",INDEX('MTRs'!$I$6:$I$505,$M408)&amp;"")</f>
        <v/>
      </c>
      <c r="G408" s="110" t="str">
        <f>IF($M408="","",INDEX('MTRs'!$T$6:$T$505,$M408)&amp;"")</f>
        <v/>
      </c>
      <c r="H408" s="111" t="str">
        <f>IF($M408="","",INDEX('MTRs'!$AQ$6:$AQ$505,$M408))</f>
        <v/>
      </c>
      <c r="I408" s="112" t="str">
        <f>IF($M408="","",INDEX('MTRs'!$U$6:$U$505,$M408))</f>
        <v/>
      </c>
      <c r="J408" s="113" t="str">
        <f>IF($M408="","",INDEX('MTRs'!$AS$6:$AS$505,$M408)&amp;"")</f>
        <v/>
      </c>
      <c r="K408" s="110" t="str">
        <f>IF($M408="","",INDEX('MTRs'!$AT$6:$AT$505,$M408)&amp;"")</f>
        <v/>
      </c>
      <c r="L408" s="110" t="str">
        <f>IF($M408="","",INDEX('MTRs'!$Y$6:$Y$505,$M408)&amp;"")</f>
        <v/>
      </c>
      <c r="M408" t="str">
        <f>IFERROR(MATCH(SMALL('MTRs'!$AU$6:$AU$505,398),'MTRs'!$AU$6:$AU$505,0),"")</f>
        <v/>
      </c>
    </row>
    <row r="409" ht="30" customHeight="1">
      <c r="B409" s="108" t="str">
        <f>IF($M409="","",INDEX('MTRs'!$A$6:$A$505,$M409)&amp;"")</f>
        <v/>
      </c>
      <c r="C409" s="109" t="str">
        <f>IF($M409="","",INDEX('MTRs'!$B$6:$B$505,$M409)&amp;"")</f>
        <v/>
      </c>
      <c r="D409" s="110" t="str">
        <f>IF($M409="","",INDEX('MTRs'!$G$6:$G$505,$M409)&amp;"")</f>
        <v/>
      </c>
      <c r="E409" s="110" t="str">
        <f>IF($M409="","",INDEX('MTRs'!$H$6:$H$505,$M409)&amp;"")</f>
        <v/>
      </c>
      <c r="F409" s="110" t="str">
        <f>IF($M409="","",INDEX('MTRs'!$I$6:$I$505,$M409)&amp;"")</f>
        <v/>
      </c>
      <c r="G409" s="110" t="str">
        <f>IF($M409="","",INDEX('MTRs'!$T$6:$T$505,$M409)&amp;"")</f>
        <v/>
      </c>
      <c r="H409" s="111" t="str">
        <f>IF($M409="","",INDEX('MTRs'!$AQ$6:$AQ$505,$M409))</f>
        <v/>
      </c>
      <c r="I409" s="112" t="str">
        <f>IF($M409="","",INDEX('MTRs'!$U$6:$U$505,$M409))</f>
        <v/>
      </c>
      <c r="J409" s="113" t="str">
        <f>IF($M409="","",INDEX('MTRs'!$AS$6:$AS$505,$M409)&amp;"")</f>
        <v/>
      </c>
      <c r="K409" s="110" t="str">
        <f>IF($M409="","",INDEX('MTRs'!$AT$6:$AT$505,$M409)&amp;"")</f>
        <v/>
      </c>
      <c r="L409" s="110" t="str">
        <f>IF($M409="","",INDEX('MTRs'!$Y$6:$Y$505,$M409)&amp;"")</f>
        <v/>
      </c>
      <c r="M409" t="str">
        <f>IFERROR(MATCH(SMALL('MTRs'!$AU$6:$AU$505,399),'MTRs'!$AU$6:$AU$505,0),"")</f>
        <v/>
      </c>
    </row>
    <row r="410" ht="30" customHeight="1">
      <c r="B410" s="108" t="str">
        <f>IF($M410="","",INDEX('MTRs'!$A$6:$A$505,$M410)&amp;"")</f>
        <v/>
      </c>
      <c r="C410" s="109" t="str">
        <f>IF($M410="","",INDEX('MTRs'!$B$6:$B$505,$M410)&amp;"")</f>
        <v/>
      </c>
      <c r="D410" s="110" t="str">
        <f>IF($M410="","",INDEX('MTRs'!$G$6:$G$505,$M410)&amp;"")</f>
        <v/>
      </c>
      <c r="E410" s="110" t="str">
        <f>IF($M410="","",INDEX('MTRs'!$H$6:$H$505,$M410)&amp;"")</f>
        <v/>
      </c>
      <c r="F410" s="110" t="str">
        <f>IF($M410="","",INDEX('MTRs'!$I$6:$I$505,$M410)&amp;"")</f>
        <v/>
      </c>
      <c r="G410" s="110" t="str">
        <f>IF($M410="","",INDEX('MTRs'!$T$6:$T$505,$M410)&amp;"")</f>
        <v/>
      </c>
      <c r="H410" s="111" t="str">
        <f>IF($M410="","",INDEX('MTRs'!$AQ$6:$AQ$505,$M410))</f>
        <v/>
      </c>
      <c r="I410" s="112" t="str">
        <f>IF($M410="","",INDEX('MTRs'!$U$6:$U$505,$M410))</f>
        <v/>
      </c>
      <c r="J410" s="113" t="str">
        <f>IF($M410="","",INDEX('MTRs'!$AS$6:$AS$505,$M410)&amp;"")</f>
        <v/>
      </c>
      <c r="K410" s="110" t="str">
        <f>IF($M410="","",INDEX('MTRs'!$AT$6:$AT$505,$M410)&amp;"")</f>
        <v/>
      </c>
      <c r="L410" s="110" t="str">
        <f>IF($M410="","",INDEX('MTRs'!$Y$6:$Y$505,$M410)&amp;"")</f>
        <v/>
      </c>
      <c r="M410" t="str">
        <f>IFERROR(MATCH(SMALL('MTRs'!$AU$6:$AU$505,400),'MTRs'!$AU$6:$AU$505,0),"")</f>
        <v/>
      </c>
    </row>
    <row r="411" ht="30" customHeight="1">
      <c r="B411" s="108" t="str">
        <f>IF($M411="","",INDEX('MTRs'!$A$6:$A$505,$M411)&amp;"")</f>
        <v/>
      </c>
      <c r="C411" s="109" t="str">
        <f>IF($M411="","",INDEX('MTRs'!$B$6:$B$505,$M411)&amp;"")</f>
        <v/>
      </c>
      <c r="D411" s="110" t="str">
        <f>IF($M411="","",INDEX('MTRs'!$G$6:$G$505,$M411)&amp;"")</f>
        <v/>
      </c>
      <c r="E411" s="110" t="str">
        <f>IF($M411="","",INDEX('MTRs'!$H$6:$H$505,$M411)&amp;"")</f>
        <v/>
      </c>
      <c r="F411" s="110" t="str">
        <f>IF($M411="","",INDEX('MTRs'!$I$6:$I$505,$M411)&amp;"")</f>
        <v/>
      </c>
      <c r="G411" s="110" t="str">
        <f>IF($M411="","",INDEX('MTRs'!$T$6:$T$505,$M411)&amp;"")</f>
        <v/>
      </c>
      <c r="H411" s="111" t="str">
        <f>IF($M411="","",INDEX('MTRs'!$AQ$6:$AQ$505,$M411))</f>
        <v/>
      </c>
      <c r="I411" s="112" t="str">
        <f>IF($M411="","",INDEX('MTRs'!$U$6:$U$505,$M411))</f>
        <v/>
      </c>
      <c r="J411" s="113" t="str">
        <f>IF($M411="","",INDEX('MTRs'!$AS$6:$AS$505,$M411)&amp;"")</f>
        <v/>
      </c>
      <c r="K411" s="110" t="str">
        <f>IF($M411="","",INDEX('MTRs'!$AT$6:$AT$505,$M411)&amp;"")</f>
        <v/>
      </c>
      <c r="L411" s="110" t="str">
        <f>IF($M411="","",INDEX('MTRs'!$Y$6:$Y$505,$M411)&amp;"")</f>
        <v/>
      </c>
      <c r="M411" t="str">
        <f>IFERROR(MATCH(SMALL('MTRs'!$AU$6:$AU$505,401),'MTRs'!$AU$6:$AU$505,0),"")</f>
        <v/>
      </c>
    </row>
    <row r="412" ht="30" customHeight="1">
      <c r="B412" s="108" t="str">
        <f>IF($M412="","",INDEX('MTRs'!$A$6:$A$505,$M412)&amp;"")</f>
        <v/>
      </c>
      <c r="C412" s="109" t="str">
        <f>IF($M412="","",INDEX('MTRs'!$B$6:$B$505,$M412)&amp;"")</f>
        <v/>
      </c>
      <c r="D412" s="110" t="str">
        <f>IF($M412="","",INDEX('MTRs'!$G$6:$G$505,$M412)&amp;"")</f>
        <v/>
      </c>
      <c r="E412" s="110" t="str">
        <f>IF($M412="","",INDEX('MTRs'!$H$6:$H$505,$M412)&amp;"")</f>
        <v/>
      </c>
      <c r="F412" s="110" t="str">
        <f>IF($M412="","",INDEX('MTRs'!$I$6:$I$505,$M412)&amp;"")</f>
        <v/>
      </c>
      <c r="G412" s="110" t="str">
        <f>IF($M412="","",INDEX('MTRs'!$T$6:$T$505,$M412)&amp;"")</f>
        <v/>
      </c>
      <c r="H412" s="111" t="str">
        <f>IF($M412="","",INDEX('MTRs'!$AQ$6:$AQ$505,$M412))</f>
        <v/>
      </c>
      <c r="I412" s="112" t="str">
        <f>IF($M412="","",INDEX('MTRs'!$U$6:$U$505,$M412))</f>
        <v/>
      </c>
      <c r="J412" s="113" t="str">
        <f>IF($M412="","",INDEX('MTRs'!$AS$6:$AS$505,$M412)&amp;"")</f>
        <v/>
      </c>
      <c r="K412" s="110" t="str">
        <f>IF($M412="","",INDEX('MTRs'!$AT$6:$AT$505,$M412)&amp;"")</f>
        <v/>
      </c>
      <c r="L412" s="110" t="str">
        <f>IF($M412="","",INDEX('MTRs'!$Y$6:$Y$505,$M412)&amp;"")</f>
        <v/>
      </c>
      <c r="M412" t="str">
        <f>IFERROR(MATCH(SMALL('MTRs'!$AU$6:$AU$505,402),'MTRs'!$AU$6:$AU$505,0),"")</f>
        <v/>
      </c>
    </row>
    <row r="413" ht="30" customHeight="1">
      <c r="B413" s="108" t="str">
        <f>IF($M413="","",INDEX('MTRs'!$A$6:$A$505,$M413)&amp;"")</f>
        <v/>
      </c>
      <c r="C413" s="109" t="str">
        <f>IF($M413="","",INDEX('MTRs'!$B$6:$B$505,$M413)&amp;"")</f>
        <v/>
      </c>
      <c r="D413" s="110" t="str">
        <f>IF($M413="","",INDEX('MTRs'!$G$6:$G$505,$M413)&amp;"")</f>
        <v/>
      </c>
      <c r="E413" s="110" t="str">
        <f>IF($M413="","",INDEX('MTRs'!$H$6:$H$505,$M413)&amp;"")</f>
        <v/>
      </c>
      <c r="F413" s="110" t="str">
        <f>IF($M413="","",INDEX('MTRs'!$I$6:$I$505,$M413)&amp;"")</f>
        <v/>
      </c>
      <c r="G413" s="110" t="str">
        <f>IF($M413="","",INDEX('MTRs'!$T$6:$T$505,$M413)&amp;"")</f>
        <v/>
      </c>
      <c r="H413" s="111" t="str">
        <f>IF($M413="","",INDEX('MTRs'!$AQ$6:$AQ$505,$M413))</f>
        <v/>
      </c>
      <c r="I413" s="112" t="str">
        <f>IF($M413="","",INDEX('MTRs'!$U$6:$U$505,$M413))</f>
        <v/>
      </c>
      <c r="J413" s="113" t="str">
        <f>IF($M413="","",INDEX('MTRs'!$AS$6:$AS$505,$M413)&amp;"")</f>
        <v/>
      </c>
      <c r="K413" s="110" t="str">
        <f>IF($M413="","",INDEX('MTRs'!$AT$6:$AT$505,$M413)&amp;"")</f>
        <v/>
      </c>
      <c r="L413" s="110" t="str">
        <f>IF($M413="","",INDEX('MTRs'!$Y$6:$Y$505,$M413)&amp;"")</f>
        <v/>
      </c>
      <c r="M413" t="str">
        <f>IFERROR(MATCH(SMALL('MTRs'!$AU$6:$AU$505,403),'MTRs'!$AU$6:$AU$505,0),"")</f>
        <v/>
      </c>
    </row>
    <row r="414" ht="30" customHeight="1">
      <c r="B414" s="108" t="str">
        <f>IF($M414="","",INDEX('MTRs'!$A$6:$A$505,$M414)&amp;"")</f>
        <v/>
      </c>
      <c r="C414" s="109" t="str">
        <f>IF($M414="","",INDEX('MTRs'!$B$6:$B$505,$M414)&amp;"")</f>
        <v/>
      </c>
      <c r="D414" s="110" t="str">
        <f>IF($M414="","",INDEX('MTRs'!$G$6:$G$505,$M414)&amp;"")</f>
        <v/>
      </c>
      <c r="E414" s="110" t="str">
        <f>IF($M414="","",INDEX('MTRs'!$H$6:$H$505,$M414)&amp;"")</f>
        <v/>
      </c>
      <c r="F414" s="110" t="str">
        <f>IF($M414="","",INDEX('MTRs'!$I$6:$I$505,$M414)&amp;"")</f>
        <v/>
      </c>
      <c r="G414" s="110" t="str">
        <f>IF($M414="","",INDEX('MTRs'!$T$6:$T$505,$M414)&amp;"")</f>
        <v/>
      </c>
      <c r="H414" s="111" t="str">
        <f>IF($M414="","",INDEX('MTRs'!$AQ$6:$AQ$505,$M414))</f>
        <v/>
      </c>
      <c r="I414" s="112" t="str">
        <f>IF($M414="","",INDEX('MTRs'!$U$6:$U$505,$M414))</f>
        <v/>
      </c>
      <c r="J414" s="113" t="str">
        <f>IF($M414="","",INDEX('MTRs'!$AS$6:$AS$505,$M414)&amp;"")</f>
        <v/>
      </c>
      <c r="K414" s="110" t="str">
        <f>IF($M414="","",INDEX('MTRs'!$AT$6:$AT$505,$M414)&amp;"")</f>
        <v/>
      </c>
      <c r="L414" s="110" t="str">
        <f>IF($M414="","",INDEX('MTRs'!$Y$6:$Y$505,$M414)&amp;"")</f>
        <v/>
      </c>
      <c r="M414" t="str">
        <f>IFERROR(MATCH(SMALL('MTRs'!$AU$6:$AU$505,404),'MTRs'!$AU$6:$AU$505,0),"")</f>
        <v/>
      </c>
    </row>
    <row r="415" ht="30" customHeight="1">
      <c r="B415" s="108" t="str">
        <f>IF($M415="","",INDEX('MTRs'!$A$6:$A$505,$M415)&amp;"")</f>
        <v/>
      </c>
      <c r="C415" s="109" t="str">
        <f>IF($M415="","",INDEX('MTRs'!$B$6:$B$505,$M415)&amp;"")</f>
        <v/>
      </c>
      <c r="D415" s="110" t="str">
        <f>IF($M415="","",INDEX('MTRs'!$G$6:$G$505,$M415)&amp;"")</f>
        <v/>
      </c>
      <c r="E415" s="110" t="str">
        <f>IF($M415="","",INDEX('MTRs'!$H$6:$H$505,$M415)&amp;"")</f>
        <v/>
      </c>
      <c r="F415" s="110" t="str">
        <f>IF($M415="","",INDEX('MTRs'!$I$6:$I$505,$M415)&amp;"")</f>
        <v/>
      </c>
      <c r="G415" s="110" t="str">
        <f>IF($M415="","",INDEX('MTRs'!$T$6:$T$505,$M415)&amp;"")</f>
        <v/>
      </c>
      <c r="H415" s="111" t="str">
        <f>IF($M415="","",INDEX('MTRs'!$AQ$6:$AQ$505,$M415))</f>
        <v/>
      </c>
      <c r="I415" s="112" t="str">
        <f>IF($M415="","",INDEX('MTRs'!$U$6:$U$505,$M415))</f>
        <v/>
      </c>
      <c r="J415" s="113" t="str">
        <f>IF($M415="","",INDEX('MTRs'!$AS$6:$AS$505,$M415)&amp;"")</f>
        <v/>
      </c>
      <c r="K415" s="110" t="str">
        <f>IF($M415="","",INDEX('MTRs'!$AT$6:$AT$505,$M415)&amp;"")</f>
        <v/>
      </c>
      <c r="L415" s="110" t="str">
        <f>IF($M415="","",INDEX('MTRs'!$Y$6:$Y$505,$M415)&amp;"")</f>
        <v/>
      </c>
      <c r="M415" t="str">
        <f>IFERROR(MATCH(SMALL('MTRs'!$AU$6:$AU$505,405),'MTRs'!$AU$6:$AU$505,0),"")</f>
        <v/>
      </c>
    </row>
    <row r="416" ht="30" customHeight="1">
      <c r="B416" s="108" t="str">
        <f>IF($M416="","",INDEX('MTRs'!$A$6:$A$505,$M416)&amp;"")</f>
        <v/>
      </c>
      <c r="C416" s="109" t="str">
        <f>IF($M416="","",INDEX('MTRs'!$B$6:$B$505,$M416)&amp;"")</f>
        <v/>
      </c>
      <c r="D416" s="110" t="str">
        <f>IF($M416="","",INDEX('MTRs'!$G$6:$G$505,$M416)&amp;"")</f>
        <v/>
      </c>
      <c r="E416" s="110" t="str">
        <f>IF($M416="","",INDEX('MTRs'!$H$6:$H$505,$M416)&amp;"")</f>
        <v/>
      </c>
      <c r="F416" s="110" t="str">
        <f>IF($M416="","",INDEX('MTRs'!$I$6:$I$505,$M416)&amp;"")</f>
        <v/>
      </c>
      <c r="G416" s="110" t="str">
        <f>IF($M416="","",INDEX('MTRs'!$T$6:$T$505,$M416)&amp;"")</f>
        <v/>
      </c>
      <c r="H416" s="111" t="str">
        <f>IF($M416="","",INDEX('MTRs'!$AQ$6:$AQ$505,$M416))</f>
        <v/>
      </c>
      <c r="I416" s="112" t="str">
        <f>IF($M416="","",INDEX('MTRs'!$U$6:$U$505,$M416))</f>
        <v/>
      </c>
      <c r="J416" s="113" t="str">
        <f>IF($M416="","",INDEX('MTRs'!$AS$6:$AS$505,$M416)&amp;"")</f>
        <v/>
      </c>
      <c r="K416" s="110" t="str">
        <f>IF($M416="","",INDEX('MTRs'!$AT$6:$AT$505,$M416)&amp;"")</f>
        <v/>
      </c>
      <c r="L416" s="110" t="str">
        <f>IF($M416="","",INDEX('MTRs'!$Y$6:$Y$505,$M416)&amp;"")</f>
        <v/>
      </c>
      <c r="M416" t="str">
        <f>IFERROR(MATCH(SMALL('MTRs'!$AU$6:$AU$505,406),'MTRs'!$AU$6:$AU$505,0),"")</f>
        <v/>
      </c>
    </row>
    <row r="417" ht="30" customHeight="1">
      <c r="B417" s="108" t="str">
        <f>IF($M417="","",INDEX('MTRs'!$A$6:$A$505,$M417)&amp;"")</f>
        <v/>
      </c>
      <c r="C417" s="109" t="str">
        <f>IF($M417="","",INDEX('MTRs'!$B$6:$B$505,$M417)&amp;"")</f>
        <v/>
      </c>
      <c r="D417" s="110" t="str">
        <f>IF($M417="","",INDEX('MTRs'!$G$6:$G$505,$M417)&amp;"")</f>
        <v/>
      </c>
      <c r="E417" s="110" t="str">
        <f>IF($M417="","",INDEX('MTRs'!$H$6:$H$505,$M417)&amp;"")</f>
        <v/>
      </c>
      <c r="F417" s="110" t="str">
        <f>IF($M417="","",INDEX('MTRs'!$I$6:$I$505,$M417)&amp;"")</f>
        <v/>
      </c>
      <c r="G417" s="110" t="str">
        <f>IF($M417="","",INDEX('MTRs'!$T$6:$T$505,$M417)&amp;"")</f>
        <v/>
      </c>
      <c r="H417" s="111" t="str">
        <f>IF($M417="","",INDEX('MTRs'!$AQ$6:$AQ$505,$M417))</f>
        <v/>
      </c>
      <c r="I417" s="112" t="str">
        <f>IF($M417="","",INDEX('MTRs'!$U$6:$U$505,$M417))</f>
        <v/>
      </c>
      <c r="J417" s="113" t="str">
        <f>IF($M417="","",INDEX('MTRs'!$AS$6:$AS$505,$M417)&amp;"")</f>
        <v/>
      </c>
      <c r="K417" s="110" t="str">
        <f>IF($M417="","",INDEX('MTRs'!$AT$6:$AT$505,$M417)&amp;"")</f>
        <v/>
      </c>
      <c r="L417" s="110" t="str">
        <f>IF($M417="","",INDEX('MTRs'!$Y$6:$Y$505,$M417)&amp;"")</f>
        <v/>
      </c>
      <c r="M417" t="str">
        <f>IFERROR(MATCH(SMALL('MTRs'!$AU$6:$AU$505,407),'MTRs'!$AU$6:$AU$505,0),"")</f>
        <v/>
      </c>
    </row>
    <row r="418" ht="30" customHeight="1">
      <c r="B418" s="108" t="str">
        <f>IF($M418="","",INDEX('MTRs'!$A$6:$A$505,$M418)&amp;"")</f>
        <v/>
      </c>
      <c r="C418" s="109" t="str">
        <f>IF($M418="","",INDEX('MTRs'!$B$6:$B$505,$M418)&amp;"")</f>
        <v/>
      </c>
      <c r="D418" s="110" t="str">
        <f>IF($M418="","",INDEX('MTRs'!$G$6:$G$505,$M418)&amp;"")</f>
        <v/>
      </c>
      <c r="E418" s="110" t="str">
        <f>IF($M418="","",INDEX('MTRs'!$H$6:$H$505,$M418)&amp;"")</f>
        <v/>
      </c>
      <c r="F418" s="110" t="str">
        <f>IF($M418="","",INDEX('MTRs'!$I$6:$I$505,$M418)&amp;"")</f>
        <v/>
      </c>
      <c r="G418" s="110" t="str">
        <f>IF($M418="","",INDEX('MTRs'!$T$6:$T$505,$M418)&amp;"")</f>
        <v/>
      </c>
      <c r="H418" s="111" t="str">
        <f>IF($M418="","",INDEX('MTRs'!$AQ$6:$AQ$505,$M418))</f>
        <v/>
      </c>
      <c r="I418" s="112" t="str">
        <f>IF($M418="","",INDEX('MTRs'!$U$6:$U$505,$M418))</f>
        <v/>
      </c>
      <c r="J418" s="113" t="str">
        <f>IF($M418="","",INDEX('MTRs'!$AS$6:$AS$505,$M418)&amp;"")</f>
        <v/>
      </c>
      <c r="K418" s="110" t="str">
        <f>IF($M418="","",INDEX('MTRs'!$AT$6:$AT$505,$M418)&amp;"")</f>
        <v/>
      </c>
      <c r="L418" s="110" t="str">
        <f>IF($M418="","",INDEX('MTRs'!$Y$6:$Y$505,$M418)&amp;"")</f>
        <v/>
      </c>
      <c r="M418" t="str">
        <f>IFERROR(MATCH(SMALL('MTRs'!$AU$6:$AU$505,408),'MTRs'!$AU$6:$AU$505,0),"")</f>
        <v/>
      </c>
    </row>
    <row r="419" ht="30" customHeight="1">
      <c r="B419" s="108" t="str">
        <f>IF($M419="","",INDEX('MTRs'!$A$6:$A$505,$M419)&amp;"")</f>
        <v/>
      </c>
      <c r="C419" s="109" t="str">
        <f>IF($M419="","",INDEX('MTRs'!$B$6:$B$505,$M419)&amp;"")</f>
        <v/>
      </c>
      <c r="D419" s="110" t="str">
        <f>IF($M419="","",INDEX('MTRs'!$G$6:$G$505,$M419)&amp;"")</f>
        <v/>
      </c>
      <c r="E419" s="110" t="str">
        <f>IF($M419="","",INDEX('MTRs'!$H$6:$H$505,$M419)&amp;"")</f>
        <v/>
      </c>
      <c r="F419" s="110" t="str">
        <f>IF($M419="","",INDEX('MTRs'!$I$6:$I$505,$M419)&amp;"")</f>
        <v/>
      </c>
      <c r="G419" s="110" t="str">
        <f>IF($M419="","",INDEX('MTRs'!$T$6:$T$505,$M419)&amp;"")</f>
        <v/>
      </c>
      <c r="H419" s="111" t="str">
        <f>IF($M419="","",INDEX('MTRs'!$AQ$6:$AQ$505,$M419))</f>
        <v/>
      </c>
      <c r="I419" s="112" t="str">
        <f>IF($M419="","",INDEX('MTRs'!$U$6:$U$505,$M419))</f>
        <v/>
      </c>
      <c r="J419" s="113" t="str">
        <f>IF($M419="","",INDEX('MTRs'!$AS$6:$AS$505,$M419)&amp;"")</f>
        <v/>
      </c>
      <c r="K419" s="110" t="str">
        <f>IF($M419="","",INDEX('MTRs'!$AT$6:$AT$505,$M419)&amp;"")</f>
        <v/>
      </c>
      <c r="L419" s="110" t="str">
        <f>IF($M419="","",INDEX('MTRs'!$Y$6:$Y$505,$M419)&amp;"")</f>
        <v/>
      </c>
      <c r="M419" t="str">
        <f>IFERROR(MATCH(SMALL('MTRs'!$AU$6:$AU$505,409),'MTRs'!$AU$6:$AU$505,0),"")</f>
        <v/>
      </c>
    </row>
    <row r="420" ht="30" customHeight="1">
      <c r="B420" s="108" t="str">
        <f>IF($M420="","",INDEX('MTRs'!$A$6:$A$505,$M420)&amp;"")</f>
        <v/>
      </c>
      <c r="C420" s="109" t="str">
        <f>IF($M420="","",INDEX('MTRs'!$B$6:$B$505,$M420)&amp;"")</f>
        <v/>
      </c>
      <c r="D420" s="110" t="str">
        <f>IF($M420="","",INDEX('MTRs'!$G$6:$G$505,$M420)&amp;"")</f>
        <v/>
      </c>
      <c r="E420" s="110" t="str">
        <f>IF($M420="","",INDEX('MTRs'!$H$6:$H$505,$M420)&amp;"")</f>
        <v/>
      </c>
      <c r="F420" s="110" t="str">
        <f>IF($M420="","",INDEX('MTRs'!$I$6:$I$505,$M420)&amp;"")</f>
        <v/>
      </c>
      <c r="G420" s="110" t="str">
        <f>IF($M420="","",INDEX('MTRs'!$T$6:$T$505,$M420)&amp;"")</f>
        <v/>
      </c>
      <c r="H420" s="111" t="str">
        <f>IF($M420="","",INDEX('MTRs'!$AQ$6:$AQ$505,$M420))</f>
        <v/>
      </c>
      <c r="I420" s="112" t="str">
        <f>IF($M420="","",INDEX('MTRs'!$U$6:$U$505,$M420))</f>
        <v/>
      </c>
      <c r="J420" s="113" t="str">
        <f>IF($M420="","",INDEX('MTRs'!$AS$6:$AS$505,$M420)&amp;"")</f>
        <v/>
      </c>
      <c r="K420" s="110" t="str">
        <f>IF($M420="","",INDEX('MTRs'!$AT$6:$AT$505,$M420)&amp;"")</f>
        <v/>
      </c>
      <c r="L420" s="110" t="str">
        <f>IF($M420="","",INDEX('MTRs'!$Y$6:$Y$505,$M420)&amp;"")</f>
        <v/>
      </c>
      <c r="M420" t="str">
        <f>IFERROR(MATCH(SMALL('MTRs'!$AU$6:$AU$505,410),'MTRs'!$AU$6:$AU$505,0),"")</f>
        <v/>
      </c>
    </row>
    <row r="421" ht="30" customHeight="1">
      <c r="B421" s="108" t="str">
        <f>IF($M421="","",INDEX('MTRs'!$A$6:$A$505,$M421)&amp;"")</f>
        <v/>
      </c>
      <c r="C421" s="109" t="str">
        <f>IF($M421="","",INDEX('MTRs'!$B$6:$B$505,$M421)&amp;"")</f>
        <v/>
      </c>
      <c r="D421" s="110" t="str">
        <f>IF($M421="","",INDEX('MTRs'!$G$6:$G$505,$M421)&amp;"")</f>
        <v/>
      </c>
      <c r="E421" s="110" t="str">
        <f>IF($M421="","",INDEX('MTRs'!$H$6:$H$505,$M421)&amp;"")</f>
        <v/>
      </c>
      <c r="F421" s="110" t="str">
        <f>IF($M421="","",INDEX('MTRs'!$I$6:$I$505,$M421)&amp;"")</f>
        <v/>
      </c>
      <c r="G421" s="110" t="str">
        <f>IF($M421="","",INDEX('MTRs'!$T$6:$T$505,$M421)&amp;"")</f>
        <v/>
      </c>
      <c r="H421" s="111" t="str">
        <f>IF($M421="","",INDEX('MTRs'!$AQ$6:$AQ$505,$M421))</f>
        <v/>
      </c>
      <c r="I421" s="112" t="str">
        <f>IF($M421="","",INDEX('MTRs'!$U$6:$U$505,$M421))</f>
        <v/>
      </c>
      <c r="J421" s="113" t="str">
        <f>IF($M421="","",INDEX('MTRs'!$AS$6:$AS$505,$M421)&amp;"")</f>
        <v/>
      </c>
      <c r="K421" s="110" t="str">
        <f>IF($M421="","",INDEX('MTRs'!$AT$6:$AT$505,$M421)&amp;"")</f>
        <v/>
      </c>
      <c r="L421" s="110" t="str">
        <f>IF($M421="","",INDEX('MTRs'!$Y$6:$Y$505,$M421)&amp;"")</f>
        <v/>
      </c>
      <c r="M421" t="str">
        <f>IFERROR(MATCH(SMALL('MTRs'!$AU$6:$AU$505,411),'MTRs'!$AU$6:$AU$505,0),"")</f>
        <v/>
      </c>
    </row>
    <row r="422" ht="30" customHeight="1">
      <c r="B422" s="108" t="str">
        <f>IF($M422="","",INDEX('MTRs'!$A$6:$A$505,$M422)&amp;"")</f>
        <v/>
      </c>
      <c r="C422" s="109" t="str">
        <f>IF($M422="","",INDEX('MTRs'!$B$6:$B$505,$M422)&amp;"")</f>
        <v/>
      </c>
      <c r="D422" s="110" t="str">
        <f>IF($M422="","",INDEX('MTRs'!$G$6:$G$505,$M422)&amp;"")</f>
        <v/>
      </c>
      <c r="E422" s="110" t="str">
        <f>IF($M422="","",INDEX('MTRs'!$H$6:$H$505,$M422)&amp;"")</f>
        <v/>
      </c>
      <c r="F422" s="110" t="str">
        <f>IF($M422="","",INDEX('MTRs'!$I$6:$I$505,$M422)&amp;"")</f>
        <v/>
      </c>
      <c r="G422" s="110" t="str">
        <f>IF($M422="","",INDEX('MTRs'!$T$6:$T$505,$M422)&amp;"")</f>
        <v/>
      </c>
      <c r="H422" s="111" t="str">
        <f>IF($M422="","",INDEX('MTRs'!$AQ$6:$AQ$505,$M422))</f>
        <v/>
      </c>
      <c r="I422" s="112" t="str">
        <f>IF($M422="","",INDEX('MTRs'!$U$6:$U$505,$M422))</f>
        <v/>
      </c>
      <c r="J422" s="113" t="str">
        <f>IF($M422="","",INDEX('MTRs'!$AS$6:$AS$505,$M422)&amp;"")</f>
        <v/>
      </c>
      <c r="K422" s="110" t="str">
        <f>IF($M422="","",INDEX('MTRs'!$AT$6:$AT$505,$M422)&amp;"")</f>
        <v/>
      </c>
      <c r="L422" s="110" t="str">
        <f>IF($M422="","",INDEX('MTRs'!$Y$6:$Y$505,$M422)&amp;"")</f>
        <v/>
      </c>
      <c r="M422" t="str">
        <f>IFERROR(MATCH(SMALL('MTRs'!$AU$6:$AU$505,412),'MTRs'!$AU$6:$AU$505,0),"")</f>
        <v/>
      </c>
    </row>
    <row r="423" ht="30" customHeight="1">
      <c r="B423" s="108" t="str">
        <f>IF($M423="","",INDEX('MTRs'!$A$6:$A$505,$M423)&amp;"")</f>
        <v/>
      </c>
      <c r="C423" s="109" t="str">
        <f>IF($M423="","",INDEX('MTRs'!$B$6:$B$505,$M423)&amp;"")</f>
        <v/>
      </c>
      <c r="D423" s="110" t="str">
        <f>IF($M423="","",INDEX('MTRs'!$G$6:$G$505,$M423)&amp;"")</f>
        <v/>
      </c>
      <c r="E423" s="110" t="str">
        <f>IF($M423="","",INDEX('MTRs'!$H$6:$H$505,$M423)&amp;"")</f>
        <v/>
      </c>
      <c r="F423" s="110" t="str">
        <f>IF($M423="","",INDEX('MTRs'!$I$6:$I$505,$M423)&amp;"")</f>
        <v/>
      </c>
      <c r="G423" s="110" t="str">
        <f>IF($M423="","",INDEX('MTRs'!$T$6:$T$505,$M423)&amp;"")</f>
        <v/>
      </c>
      <c r="H423" s="111" t="str">
        <f>IF($M423="","",INDEX('MTRs'!$AQ$6:$AQ$505,$M423))</f>
        <v/>
      </c>
      <c r="I423" s="112" t="str">
        <f>IF($M423="","",INDEX('MTRs'!$U$6:$U$505,$M423))</f>
        <v/>
      </c>
      <c r="J423" s="113" t="str">
        <f>IF($M423="","",INDEX('MTRs'!$AS$6:$AS$505,$M423)&amp;"")</f>
        <v/>
      </c>
      <c r="K423" s="110" t="str">
        <f>IF($M423="","",INDEX('MTRs'!$AT$6:$AT$505,$M423)&amp;"")</f>
        <v/>
      </c>
      <c r="L423" s="110" t="str">
        <f>IF($M423="","",INDEX('MTRs'!$Y$6:$Y$505,$M423)&amp;"")</f>
        <v/>
      </c>
      <c r="M423" t="str">
        <f>IFERROR(MATCH(SMALL('MTRs'!$AU$6:$AU$505,413),'MTRs'!$AU$6:$AU$505,0),"")</f>
        <v/>
      </c>
    </row>
    <row r="424" ht="30" customHeight="1">
      <c r="B424" s="108" t="str">
        <f>IF($M424="","",INDEX('MTRs'!$A$6:$A$505,$M424)&amp;"")</f>
        <v/>
      </c>
      <c r="C424" s="109" t="str">
        <f>IF($M424="","",INDEX('MTRs'!$B$6:$B$505,$M424)&amp;"")</f>
        <v/>
      </c>
      <c r="D424" s="110" t="str">
        <f>IF($M424="","",INDEX('MTRs'!$G$6:$G$505,$M424)&amp;"")</f>
        <v/>
      </c>
      <c r="E424" s="110" t="str">
        <f>IF($M424="","",INDEX('MTRs'!$H$6:$H$505,$M424)&amp;"")</f>
        <v/>
      </c>
      <c r="F424" s="110" t="str">
        <f>IF($M424="","",INDEX('MTRs'!$I$6:$I$505,$M424)&amp;"")</f>
        <v/>
      </c>
      <c r="G424" s="110" t="str">
        <f>IF($M424="","",INDEX('MTRs'!$T$6:$T$505,$M424)&amp;"")</f>
        <v/>
      </c>
      <c r="H424" s="111" t="str">
        <f>IF($M424="","",INDEX('MTRs'!$AQ$6:$AQ$505,$M424))</f>
        <v/>
      </c>
      <c r="I424" s="112" t="str">
        <f>IF($M424="","",INDEX('MTRs'!$U$6:$U$505,$M424))</f>
        <v/>
      </c>
      <c r="J424" s="113" t="str">
        <f>IF($M424="","",INDEX('MTRs'!$AS$6:$AS$505,$M424)&amp;"")</f>
        <v/>
      </c>
      <c r="K424" s="110" t="str">
        <f>IF($M424="","",INDEX('MTRs'!$AT$6:$AT$505,$M424)&amp;"")</f>
        <v/>
      </c>
      <c r="L424" s="110" t="str">
        <f>IF($M424="","",INDEX('MTRs'!$Y$6:$Y$505,$M424)&amp;"")</f>
        <v/>
      </c>
      <c r="M424" t="str">
        <f>IFERROR(MATCH(SMALL('MTRs'!$AU$6:$AU$505,414),'MTRs'!$AU$6:$AU$505,0),"")</f>
        <v/>
      </c>
    </row>
    <row r="425" ht="30" customHeight="1">
      <c r="B425" s="108" t="str">
        <f>IF($M425="","",INDEX('MTRs'!$A$6:$A$505,$M425)&amp;"")</f>
        <v/>
      </c>
      <c r="C425" s="109" t="str">
        <f>IF($M425="","",INDEX('MTRs'!$B$6:$B$505,$M425)&amp;"")</f>
        <v/>
      </c>
      <c r="D425" s="110" t="str">
        <f>IF($M425="","",INDEX('MTRs'!$G$6:$G$505,$M425)&amp;"")</f>
        <v/>
      </c>
      <c r="E425" s="110" t="str">
        <f>IF($M425="","",INDEX('MTRs'!$H$6:$H$505,$M425)&amp;"")</f>
        <v/>
      </c>
      <c r="F425" s="110" t="str">
        <f>IF($M425="","",INDEX('MTRs'!$I$6:$I$505,$M425)&amp;"")</f>
        <v/>
      </c>
      <c r="G425" s="110" t="str">
        <f>IF($M425="","",INDEX('MTRs'!$T$6:$T$505,$M425)&amp;"")</f>
        <v/>
      </c>
      <c r="H425" s="111" t="str">
        <f>IF($M425="","",INDEX('MTRs'!$AQ$6:$AQ$505,$M425))</f>
        <v/>
      </c>
      <c r="I425" s="112" t="str">
        <f>IF($M425="","",INDEX('MTRs'!$U$6:$U$505,$M425))</f>
        <v/>
      </c>
      <c r="J425" s="113" t="str">
        <f>IF($M425="","",INDEX('MTRs'!$AS$6:$AS$505,$M425)&amp;"")</f>
        <v/>
      </c>
      <c r="K425" s="110" t="str">
        <f>IF($M425="","",INDEX('MTRs'!$AT$6:$AT$505,$M425)&amp;"")</f>
        <v/>
      </c>
      <c r="L425" s="110" t="str">
        <f>IF($M425="","",INDEX('MTRs'!$Y$6:$Y$505,$M425)&amp;"")</f>
        <v/>
      </c>
      <c r="M425" t="str">
        <f>IFERROR(MATCH(SMALL('MTRs'!$AU$6:$AU$505,415),'MTRs'!$AU$6:$AU$505,0),"")</f>
        <v/>
      </c>
    </row>
    <row r="426" ht="30" customHeight="1">
      <c r="B426" s="108" t="str">
        <f>IF($M426="","",INDEX('MTRs'!$A$6:$A$505,$M426)&amp;"")</f>
        <v/>
      </c>
      <c r="C426" s="109" t="str">
        <f>IF($M426="","",INDEX('MTRs'!$B$6:$B$505,$M426)&amp;"")</f>
        <v/>
      </c>
      <c r="D426" s="110" t="str">
        <f>IF($M426="","",INDEX('MTRs'!$G$6:$G$505,$M426)&amp;"")</f>
        <v/>
      </c>
      <c r="E426" s="110" t="str">
        <f>IF($M426="","",INDEX('MTRs'!$H$6:$H$505,$M426)&amp;"")</f>
        <v/>
      </c>
      <c r="F426" s="110" t="str">
        <f>IF($M426="","",INDEX('MTRs'!$I$6:$I$505,$M426)&amp;"")</f>
        <v/>
      </c>
      <c r="G426" s="110" t="str">
        <f>IF($M426="","",INDEX('MTRs'!$T$6:$T$505,$M426)&amp;"")</f>
        <v/>
      </c>
      <c r="H426" s="111" t="str">
        <f>IF($M426="","",INDEX('MTRs'!$AQ$6:$AQ$505,$M426))</f>
        <v/>
      </c>
      <c r="I426" s="112" t="str">
        <f>IF($M426="","",INDEX('MTRs'!$U$6:$U$505,$M426))</f>
        <v/>
      </c>
      <c r="J426" s="113" t="str">
        <f>IF($M426="","",INDEX('MTRs'!$AS$6:$AS$505,$M426)&amp;"")</f>
        <v/>
      </c>
      <c r="K426" s="110" t="str">
        <f>IF($M426="","",INDEX('MTRs'!$AT$6:$AT$505,$M426)&amp;"")</f>
        <v/>
      </c>
      <c r="L426" s="110" t="str">
        <f>IF($M426="","",INDEX('MTRs'!$Y$6:$Y$505,$M426)&amp;"")</f>
        <v/>
      </c>
      <c r="M426" t="str">
        <f>IFERROR(MATCH(SMALL('MTRs'!$AU$6:$AU$505,416),'MTRs'!$AU$6:$AU$505,0),"")</f>
        <v/>
      </c>
    </row>
    <row r="427" ht="30" customHeight="1">
      <c r="B427" s="108" t="str">
        <f>IF($M427="","",INDEX('MTRs'!$A$6:$A$505,$M427)&amp;"")</f>
        <v/>
      </c>
      <c r="C427" s="109" t="str">
        <f>IF($M427="","",INDEX('MTRs'!$B$6:$B$505,$M427)&amp;"")</f>
        <v/>
      </c>
      <c r="D427" s="110" t="str">
        <f>IF($M427="","",INDEX('MTRs'!$G$6:$G$505,$M427)&amp;"")</f>
        <v/>
      </c>
      <c r="E427" s="110" t="str">
        <f>IF($M427="","",INDEX('MTRs'!$H$6:$H$505,$M427)&amp;"")</f>
        <v/>
      </c>
      <c r="F427" s="110" t="str">
        <f>IF($M427="","",INDEX('MTRs'!$I$6:$I$505,$M427)&amp;"")</f>
        <v/>
      </c>
      <c r="G427" s="110" t="str">
        <f>IF($M427="","",INDEX('MTRs'!$T$6:$T$505,$M427)&amp;"")</f>
        <v/>
      </c>
      <c r="H427" s="111" t="str">
        <f>IF($M427="","",INDEX('MTRs'!$AQ$6:$AQ$505,$M427))</f>
        <v/>
      </c>
      <c r="I427" s="112" t="str">
        <f>IF($M427="","",INDEX('MTRs'!$U$6:$U$505,$M427))</f>
        <v/>
      </c>
      <c r="J427" s="113" t="str">
        <f>IF($M427="","",INDEX('MTRs'!$AS$6:$AS$505,$M427)&amp;"")</f>
        <v/>
      </c>
      <c r="K427" s="110" t="str">
        <f>IF($M427="","",INDEX('MTRs'!$AT$6:$AT$505,$M427)&amp;"")</f>
        <v/>
      </c>
      <c r="L427" s="110" t="str">
        <f>IF($M427="","",INDEX('MTRs'!$Y$6:$Y$505,$M427)&amp;"")</f>
        <v/>
      </c>
      <c r="M427" t="str">
        <f>IFERROR(MATCH(SMALL('MTRs'!$AU$6:$AU$505,417),'MTRs'!$AU$6:$AU$505,0),"")</f>
        <v/>
      </c>
    </row>
    <row r="428" ht="30" customHeight="1">
      <c r="B428" s="108" t="str">
        <f>IF($M428="","",INDEX('MTRs'!$A$6:$A$505,$M428)&amp;"")</f>
        <v/>
      </c>
      <c r="C428" s="109" t="str">
        <f>IF($M428="","",INDEX('MTRs'!$B$6:$B$505,$M428)&amp;"")</f>
        <v/>
      </c>
      <c r="D428" s="110" t="str">
        <f>IF($M428="","",INDEX('MTRs'!$G$6:$G$505,$M428)&amp;"")</f>
        <v/>
      </c>
      <c r="E428" s="110" t="str">
        <f>IF($M428="","",INDEX('MTRs'!$H$6:$H$505,$M428)&amp;"")</f>
        <v/>
      </c>
      <c r="F428" s="110" t="str">
        <f>IF($M428="","",INDEX('MTRs'!$I$6:$I$505,$M428)&amp;"")</f>
        <v/>
      </c>
      <c r="G428" s="110" t="str">
        <f>IF($M428="","",INDEX('MTRs'!$T$6:$T$505,$M428)&amp;"")</f>
        <v/>
      </c>
      <c r="H428" s="111" t="str">
        <f>IF($M428="","",INDEX('MTRs'!$AQ$6:$AQ$505,$M428))</f>
        <v/>
      </c>
      <c r="I428" s="112" t="str">
        <f>IF($M428="","",INDEX('MTRs'!$U$6:$U$505,$M428))</f>
        <v/>
      </c>
      <c r="J428" s="113" t="str">
        <f>IF($M428="","",INDEX('MTRs'!$AS$6:$AS$505,$M428)&amp;"")</f>
        <v/>
      </c>
      <c r="K428" s="110" t="str">
        <f>IF($M428="","",INDEX('MTRs'!$AT$6:$AT$505,$M428)&amp;"")</f>
        <v/>
      </c>
      <c r="L428" s="110" t="str">
        <f>IF($M428="","",INDEX('MTRs'!$Y$6:$Y$505,$M428)&amp;"")</f>
        <v/>
      </c>
      <c r="M428" t="str">
        <f>IFERROR(MATCH(SMALL('MTRs'!$AU$6:$AU$505,418),'MTRs'!$AU$6:$AU$505,0),"")</f>
        <v/>
      </c>
    </row>
    <row r="429" ht="30" customHeight="1">
      <c r="B429" s="108" t="str">
        <f>IF($M429="","",INDEX('MTRs'!$A$6:$A$505,$M429)&amp;"")</f>
        <v/>
      </c>
      <c r="C429" s="109" t="str">
        <f>IF($M429="","",INDEX('MTRs'!$B$6:$B$505,$M429)&amp;"")</f>
        <v/>
      </c>
      <c r="D429" s="110" t="str">
        <f>IF($M429="","",INDEX('MTRs'!$G$6:$G$505,$M429)&amp;"")</f>
        <v/>
      </c>
      <c r="E429" s="110" t="str">
        <f>IF($M429="","",INDEX('MTRs'!$H$6:$H$505,$M429)&amp;"")</f>
        <v/>
      </c>
      <c r="F429" s="110" t="str">
        <f>IF($M429="","",INDEX('MTRs'!$I$6:$I$505,$M429)&amp;"")</f>
        <v/>
      </c>
      <c r="G429" s="110" t="str">
        <f>IF($M429="","",INDEX('MTRs'!$T$6:$T$505,$M429)&amp;"")</f>
        <v/>
      </c>
      <c r="H429" s="111" t="str">
        <f>IF($M429="","",INDEX('MTRs'!$AQ$6:$AQ$505,$M429))</f>
        <v/>
      </c>
      <c r="I429" s="112" t="str">
        <f>IF($M429="","",INDEX('MTRs'!$U$6:$U$505,$M429))</f>
        <v/>
      </c>
      <c r="J429" s="113" t="str">
        <f>IF($M429="","",INDEX('MTRs'!$AS$6:$AS$505,$M429)&amp;"")</f>
        <v/>
      </c>
      <c r="K429" s="110" t="str">
        <f>IF($M429="","",INDEX('MTRs'!$AT$6:$AT$505,$M429)&amp;"")</f>
        <v/>
      </c>
      <c r="L429" s="110" t="str">
        <f>IF($M429="","",INDEX('MTRs'!$Y$6:$Y$505,$M429)&amp;"")</f>
        <v/>
      </c>
      <c r="M429" t="str">
        <f>IFERROR(MATCH(SMALL('MTRs'!$AU$6:$AU$505,419),'MTRs'!$AU$6:$AU$505,0),"")</f>
        <v/>
      </c>
    </row>
    <row r="430" ht="30" customHeight="1">
      <c r="B430" s="108" t="str">
        <f>IF($M430="","",INDEX('MTRs'!$A$6:$A$505,$M430)&amp;"")</f>
        <v/>
      </c>
      <c r="C430" s="109" t="str">
        <f>IF($M430="","",INDEX('MTRs'!$B$6:$B$505,$M430)&amp;"")</f>
        <v/>
      </c>
      <c r="D430" s="110" t="str">
        <f>IF($M430="","",INDEX('MTRs'!$G$6:$G$505,$M430)&amp;"")</f>
        <v/>
      </c>
      <c r="E430" s="110" t="str">
        <f>IF($M430="","",INDEX('MTRs'!$H$6:$H$505,$M430)&amp;"")</f>
        <v/>
      </c>
      <c r="F430" s="110" t="str">
        <f>IF($M430="","",INDEX('MTRs'!$I$6:$I$505,$M430)&amp;"")</f>
        <v/>
      </c>
      <c r="G430" s="110" t="str">
        <f>IF($M430="","",INDEX('MTRs'!$T$6:$T$505,$M430)&amp;"")</f>
        <v/>
      </c>
      <c r="H430" s="111" t="str">
        <f>IF($M430="","",INDEX('MTRs'!$AQ$6:$AQ$505,$M430))</f>
        <v/>
      </c>
      <c r="I430" s="112" t="str">
        <f>IF($M430="","",INDEX('MTRs'!$U$6:$U$505,$M430))</f>
        <v/>
      </c>
      <c r="J430" s="113" t="str">
        <f>IF($M430="","",INDEX('MTRs'!$AS$6:$AS$505,$M430)&amp;"")</f>
        <v/>
      </c>
      <c r="K430" s="110" t="str">
        <f>IF($M430="","",INDEX('MTRs'!$AT$6:$AT$505,$M430)&amp;"")</f>
        <v/>
      </c>
      <c r="L430" s="110" t="str">
        <f>IF($M430="","",INDEX('MTRs'!$Y$6:$Y$505,$M430)&amp;"")</f>
        <v/>
      </c>
      <c r="M430" t="str">
        <f>IFERROR(MATCH(SMALL('MTRs'!$AU$6:$AU$505,420),'MTRs'!$AU$6:$AU$505,0),"")</f>
        <v/>
      </c>
    </row>
    <row r="431" ht="30" customHeight="1">
      <c r="B431" s="108" t="str">
        <f>IF($M431="","",INDEX('MTRs'!$A$6:$A$505,$M431)&amp;"")</f>
        <v/>
      </c>
      <c r="C431" s="109" t="str">
        <f>IF($M431="","",INDEX('MTRs'!$B$6:$B$505,$M431)&amp;"")</f>
        <v/>
      </c>
      <c r="D431" s="110" t="str">
        <f>IF($M431="","",INDEX('MTRs'!$G$6:$G$505,$M431)&amp;"")</f>
        <v/>
      </c>
      <c r="E431" s="110" t="str">
        <f>IF($M431="","",INDEX('MTRs'!$H$6:$H$505,$M431)&amp;"")</f>
        <v/>
      </c>
      <c r="F431" s="110" t="str">
        <f>IF($M431="","",INDEX('MTRs'!$I$6:$I$505,$M431)&amp;"")</f>
        <v/>
      </c>
      <c r="G431" s="110" t="str">
        <f>IF($M431="","",INDEX('MTRs'!$T$6:$T$505,$M431)&amp;"")</f>
        <v/>
      </c>
      <c r="H431" s="111" t="str">
        <f>IF($M431="","",INDEX('MTRs'!$AQ$6:$AQ$505,$M431))</f>
        <v/>
      </c>
      <c r="I431" s="112" t="str">
        <f>IF($M431="","",INDEX('MTRs'!$U$6:$U$505,$M431))</f>
        <v/>
      </c>
      <c r="J431" s="113" t="str">
        <f>IF($M431="","",INDEX('MTRs'!$AS$6:$AS$505,$M431)&amp;"")</f>
        <v/>
      </c>
      <c r="K431" s="110" t="str">
        <f>IF($M431="","",INDEX('MTRs'!$AT$6:$AT$505,$M431)&amp;"")</f>
        <v/>
      </c>
      <c r="L431" s="110" t="str">
        <f>IF($M431="","",INDEX('MTRs'!$Y$6:$Y$505,$M431)&amp;"")</f>
        <v/>
      </c>
      <c r="M431" t="str">
        <f>IFERROR(MATCH(SMALL('MTRs'!$AU$6:$AU$505,421),'MTRs'!$AU$6:$AU$505,0),"")</f>
        <v/>
      </c>
    </row>
    <row r="432" ht="30" customHeight="1">
      <c r="B432" s="108" t="str">
        <f>IF($M432="","",INDEX('MTRs'!$A$6:$A$505,$M432)&amp;"")</f>
        <v/>
      </c>
      <c r="C432" s="109" t="str">
        <f>IF($M432="","",INDEX('MTRs'!$B$6:$B$505,$M432)&amp;"")</f>
        <v/>
      </c>
      <c r="D432" s="110" t="str">
        <f>IF($M432="","",INDEX('MTRs'!$G$6:$G$505,$M432)&amp;"")</f>
        <v/>
      </c>
      <c r="E432" s="110" t="str">
        <f>IF($M432="","",INDEX('MTRs'!$H$6:$H$505,$M432)&amp;"")</f>
        <v/>
      </c>
      <c r="F432" s="110" t="str">
        <f>IF($M432="","",INDEX('MTRs'!$I$6:$I$505,$M432)&amp;"")</f>
        <v/>
      </c>
      <c r="G432" s="110" t="str">
        <f>IF($M432="","",INDEX('MTRs'!$T$6:$T$505,$M432)&amp;"")</f>
        <v/>
      </c>
      <c r="H432" s="111" t="str">
        <f>IF($M432="","",INDEX('MTRs'!$AQ$6:$AQ$505,$M432))</f>
        <v/>
      </c>
      <c r="I432" s="112" t="str">
        <f>IF($M432="","",INDEX('MTRs'!$U$6:$U$505,$M432))</f>
        <v/>
      </c>
      <c r="J432" s="113" t="str">
        <f>IF($M432="","",INDEX('MTRs'!$AS$6:$AS$505,$M432)&amp;"")</f>
        <v/>
      </c>
      <c r="K432" s="110" t="str">
        <f>IF($M432="","",INDEX('MTRs'!$AT$6:$AT$505,$M432)&amp;"")</f>
        <v/>
      </c>
      <c r="L432" s="110" t="str">
        <f>IF($M432="","",INDEX('MTRs'!$Y$6:$Y$505,$M432)&amp;"")</f>
        <v/>
      </c>
      <c r="M432" t="str">
        <f>IFERROR(MATCH(SMALL('MTRs'!$AU$6:$AU$505,422),'MTRs'!$AU$6:$AU$505,0),"")</f>
        <v/>
      </c>
    </row>
    <row r="433" ht="30" customHeight="1">
      <c r="B433" s="108" t="str">
        <f>IF($M433="","",INDEX('MTRs'!$A$6:$A$505,$M433)&amp;"")</f>
        <v/>
      </c>
      <c r="C433" s="109" t="str">
        <f>IF($M433="","",INDEX('MTRs'!$B$6:$B$505,$M433)&amp;"")</f>
        <v/>
      </c>
      <c r="D433" s="110" t="str">
        <f>IF($M433="","",INDEX('MTRs'!$G$6:$G$505,$M433)&amp;"")</f>
        <v/>
      </c>
      <c r="E433" s="110" t="str">
        <f>IF($M433="","",INDEX('MTRs'!$H$6:$H$505,$M433)&amp;"")</f>
        <v/>
      </c>
      <c r="F433" s="110" t="str">
        <f>IF($M433="","",INDEX('MTRs'!$I$6:$I$505,$M433)&amp;"")</f>
        <v/>
      </c>
      <c r="G433" s="110" t="str">
        <f>IF($M433="","",INDEX('MTRs'!$T$6:$T$505,$M433)&amp;"")</f>
        <v/>
      </c>
      <c r="H433" s="111" t="str">
        <f>IF($M433="","",INDEX('MTRs'!$AQ$6:$AQ$505,$M433))</f>
        <v/>
      </c>
      <c r="I433" s="112" t="str">
        <f>IF($M433="","",INDEX('MTRs'!$U$6:$U$505,$M433))</f>
        <v/>
      </c>
      <c r="J433" s="113" t="str">
        <f>IF($M433="","",INDEX('MTRs'!$AS$6:$AS$505,$M433)&amp;"")</f>
        <v/>
      </c>
      <c r="K433" s="110" t="str">
        <f>IF($M433="","",INDEX('MTRs'!$AT$6:$AT$505,$M433)&amp;"")</f>
        <v/>
      </c>
      <c r="L433" s="110" t="str">
        <f>IF($M433="","",INDEX('MTRs'!$Y$6:$Y$505,$M433)&amp;"")</f>
        <v/>
      </c>
      <c r="M433" t="str">
        <f>IFERROR(MATCH(SMALL('MTRs'!$AU$6:$AU$505,423),'MTRs'!$AU$6:$AU$505,0),"")</f>
        <v/>
      </c>
    </row>
    <row r="434" ht="30" customHeight="1">
      <c r="B434" s="108" t="str">
        <f>IF($M434="","",INDEX('MTRs'!$A$6:$A$505,$M434)&amp;"")</f>
        <v/>
      </c>
      <c r="C434" s="109" t="str">
        <f>IF($M434="","",INDEX('MTRs'!$B$6:$B$505,$M434)&amp;"")</f>
        <v/>
      </c>
      <c r="D434" s="110" t="str">
        <f>IF($M434="","",INDEX('MTRs'!$G$6:$G$505,$M434)&amp;"")</f>
        <v/>
      </c>
      <c r="E434" s="110" t="str">
        <f>IF($M434="","",INDEX('MTRs'!$H$6:$H$505,$M434)&amp;"")</f>
        <v/>
      </c>
      <c r="F434" s="110" t="str">
        <f>IF($M434="","",INDEX('MTRs'!$I$6:$I$505,$M434)&amp;"")</f>
        <v/>
      </c>
      <c r="G434" s="110" t="str">
        <f>IF($M434="","",INDEX('MTRs'!$T$6:$T$505,$M434)&amp;"")</f>
        <v/>
      </c>
      <c r="H434" s="111" t="str">
        <f>IF($M434="","",INDEX('MTRs'!$AQ$6:$AQ$505,$M434))</f>
        <v/>
      </c>
      <c r="I434" s="112" t="str">
        <f>IF($M434="","",INDEX('MTRs'!$U$6:$U$505,$M434))</f>
        <v/>
      </c>
      <c r="J434" s="113" t="str">
        <f>IF($M434="","",INDEX('MTRs'!$AS$6:$AS$505,$M434)&amp;"")</f>
        <v/>
      </c>
      <c r="K434" s="110" t="str">
        <f>IF($M434="","",INDEX('MTRs'!$AT$6:$AT$505,$M434)&amp;"")</f>
        <v/>
      </c>
      <c r="L434" s="110" t="str">
        <f>IF($M434="","",INDEX('MTRs'!$Y$6:$Y$505,$M434)&amp;"")</f>
        <v/>
      </c>
      <c r="M434" t="str">
        <f>IFERROR(MATCH(SMALL('MTRs'!$AU$6:$AU$505,424),'MTRs'!$AU$6:$AU$505,0),"")</f>
        <v/>
      </c>
    </row>
    <row r="435" ht="30" customHeight="1">
      <c r="B435" s="108" t="str">
        <f>IF($M435="","",INDEX('MTRs'!$A$6:$A$505,$M435)&amp;"")</f>
        <v/>
      </c>
      <c r="C435" s="109" t="str">
        <f>IF($M435="","",INDEX('MTRs'!$B$6:$B$505,$M435)&amp;"")</f>
        <v/>
      </c>
      <c r="D435" s="110" t="str">
        <f>IF($M435="","",INDEX('MTRs'!$G$6:$G$505,$M435)&amp;"")</f>
        <v/>
      </c>
      <c r="E435" s="110" t="str">
        <f>IF($M435="","",INDEX('MTRs'!$H$6:$H$505,$M435)&amp;"")</f>
        <v/>
      </c>
      <c r="F435" s="110" t="str">
        <f>IF($M435="","",INDEX('MTRs'!$I$6:$I$505,$M435)&amp;"")</f>
        <v/>
      </c>
      <c r="G435" s="110" t="str">
        <f>IF($M435="","",INDEX('MTRs'!$T$6:$T$505,$M435)&amp;"")</f>
        <v/>
      </c>
      <c r="H435" s="111" t="str">
        <f>IF($M435="","",INDEX('MTRs'!$AQ$6:$AQ$505,$M435))</f>
        <v/>
      </c>
      <c r="I435" s="112" t="str">
        <f>IF($M435="","",INDEX('MTRs'!$U$6:$U$505,$M435))</f>
        <v/>
      </c>
      <c r="J435" s="113" t="str">
        <f>IF($M435="","",INDEX('MTRs'!$AS$6:$AS$505,$M435)&amp;"")</f>
        <v/>
      </c>
      <c r="K435" s="110" t="str">
        <f>IF($M435="","",INDEX('MTRs'!$AT$6:$AT$505,$M435)&amp;"")</f>
        <v/>
      </c>
      <c r="L435" s="110" t="str">
        <f>IF($M435="","",INDEX('MTRs'!$Y$6:$Y$505,$M435)&amp;"")</f>
        <v/>
      </c>
      <c r="M435" t="str">
        <f>IFERROR(MATCH(SMALL('MTRs'!$AU$6:$AU$505,425),'MTRs'!$AU$6:$AU$505,0),"")</f>
        <v/>
      </c>
    </row>
    <row r="436" ht="30" customHeight="1">
      <c r="B436" s="108" t="str">
        <f>IF($M436="","",INDEX('MTRs'!$A$6:$A$505,$M436)&amp;"")</f>
        <v/>
      </c>
      <c r="C436" s="109" t="str">
        <f>IF($M436="","",INDEX('MTRs'!$B$6:$B$505,$M436)&amp;"")</f>
        <v/>
      </c>
      <c r="D436" s="110" t="str">
        <f>IF($M436="","",INDEX('MTRs'!$G$6:$G$505,$M436)&amp;"")</f>
        <v/>
      </c>
      <c r="E436" s="110" t="str">
        <f>IF($M436="","",INDEX('MTRs'!$H$6:$H$505,$M436)&amp;"")</f>
        <v/>
      </c>
      <c r="F436" s="110" t="str">
        <f>IF($M436="","",INDEX('MTRs'!$I$6:$I$505,$M436)&amp;"")</f>
        <v/>
      </c>
      <c r="G436" s="110" t="str">
        <f>IF($M436="","",INDEX('MTRs'!$T$6:$T$505,$M436)&amp;"")</f>
        <v/>
      </c>
      <c r="H436" s="111" t="str">
        <f>IF($M436="","",INDEX('MTRs'!$AQ$6:$AQ$505,$M436))</f>
        <v/>
      </c>
      <c r="I436" s="112" t="str">
        <f>IF($M436="","",INDEX('MTRs'!$U$6:$U$505,$M436))</f>
        <v/>
      </c>
      <c r="J436" s="113" t="str">
        <f>IF($M436="","",INDEX('MTRs'!$AS$6:$AS$505,$M436)&amp;"")</f>
        <v/>
      </c>
      <c r="K436" s="110" t="str">
        <f>IF($M436="","",INDEX('MTRs'!$AT$6:$AT$505,$M436)&amp;"")</f>
        <v/>
      </c>
      <c r="L436" s="110" t="str">
        <f>IF($M436="","",INDEX('MTRs'!$Y$6:$Y$505,$M436)&amp;"")</f>
        <v/>
      </c>
      <c r="M436" t="str">
        <f>IFERROR(MATCH(SMALL('MTRs'!$AU$6:$AU$505,426),'MTRs'!$AU$6:$AU$505,0),"")</f>
        <v/>
      </c>
    </row>
    <row r="437" ht="30" customHeight="1">
      <c r="B437" s="108" t="str">
        <f>IF($M437="","",INDEX('MTRs'!$A$6:$A$505,$M437)&amp;"")</f>
        <v/>
      </c>
      <c r="C437" s="109" t="str">
        <f>IF($M437="","",INDEX('MTRs'!$B$6:$B$505,$M437)&amp;"")</f>
        <v/>
      </c>
      <c r="D437" s="110" t="str">
        <f>IF($M437="","",INDEX('MTRs'!$G$6:$G$505,$M437)&amp;"")</f>
        <v/>
      </c>
      <c r="E437" s="110" t="str">
        <f>IF($M437="","",INDEX('MTRs'!$H$6:$H$505,$M437)&amp;"")</f>
        <v/>
      </c>
      <c r="F437" s="110" t="str">
        <f>IF($M437="","",INDEX('MTRs'!$I$6:$I$505,$M437)&amp;"")</f>
        <v/>
      </c>
      <c r="G437" s="110" t="str">
        <f>IF($M437="","",INDEX('MTRs'!$T$6:$T$505,$M437)&amp;"")</f>
        <v/>
      </c>
      <c r="H437" s="111" t="str">
        <f>IF($M437="","",INDEX('MTRs'!$AQ$6:$AQ$505,$M437))</f>
        <v/>
      </c>
      <c r="I437" s="112" t="str">
        <f>IF($M437="","",INDEX('MTRs'!$U$6:$U$505,$M437))</f>
        <v/>
      </c>
      <c r="J437" s="113" t="str">
        <f>IF($M437="","",INDEX('MTRs'!$AS$6:$AS$505,$M437)&amp;"")</f>
        <v/>
      </c>
      <c r="K437" s="110" t="str">
        <f>IF($M437="","",INDEX('MTRs'!$AT$6:$AT$505,$M437)&amp;"")</f>
        <v/>
      </c>
      <c r="L437" s="110" t="str">
        <f>IF($M437="","",INDEX('MTRs'!$Y$6:$Y$505,$M437)&amp;"")</f>
        <v/>
      </c>
      <c r="M437" t="str">
        <f>IFERROR(MATCH(SMALL('MTRs'!$AU$6:$AU$505,427),'MTRs'!$AU$6:$AU$505,0),"")</f>
        <v/>
      </c>
    </row>
    <row r="438" ht="30" customHeight="1">
      <c r="B438" s="108" t="str">
        <f>IF($M438="","",INDEX('MTRs'!$A$6:$A$505,$M438)&amp;"")</f>
        <v/>
      </c>
      <c r="C438" s="109" t="str">
        <f>IF($M438="","",INDEX('MTRs'!$B$6:$B$505,$M438)&amp;"")</f>
        <v/>
      </c>
      <c r="D438" s="110" t="str">
        <f>IF($M438="","",INDEX('MTRs'!$G$6:$G$505,$M438)&amp;"")</f>
        <v/>
      </c>
      <c r="E438" s="110" t="str">
        <f>IF($M438="","",INDEX('MTRs'!$H$6:$H$505,$M438)&amp;"")</f>
        <v/>
      </c>
      <c r="F438" s="110" t="str">
        <f>IF($M438="","",INDEX('MTRs'!$I$6:$I$505,$M438)&amp;"")</f>
        <v/>
      </c>
      <c r="G438" s="110" t="str">
        <f>IF($M438="","",INDEX('MTRs'!$T$6:$T$505,$M438)&amp;"")</f>
        <v/>
      </c>
      <c r="H438" s="111" t="str">
        <f>IF($M438="","",INDEX('MTRs'!$AQ$6:$AQ$505,$M438))</f>
        <v/>
      </c>
      <c r="I438" s="112" t="str">
        <f>IF($M438="","",INDEX('MTRs'!$U$6:$U$505,$M438))</f>
        <v/>
      </c>
      <c r="J438" s="113" t="str">
        <f>IF($M438="","",INDEX('MTRs'!$AS$6:$AS$505,$M438)&amp;"")</f>
        <v/>
      </c>
      <c r="K438" s="110" t="str">
        <f>IF($M438="","",INDEX('MTRs'!$AT$6:$AT$505,$M438)&amp;"")</f>
        <v/>
      </c>
      <c r="L438" s="110" t="str">
        <f>IF($M438="","",INDEX('MTRs'!$Y$6:$Y$505,$M438)&amp;"")</f>
        <v/>
      </c>
      <c r="M438" t="str">
        <f>IFERROR(MATCH(SMALL('MTRs'!$AU$6:$AU$505,428),'MTRs'!$AU$6:$AU$505,0),"")</f>
        <v/>
      </c>
    </row>
    <row r="439" ht="30" customHeight="1">
      <c r="B439" s="108" t="str">
        <f>IF($M439="","",INDEX('MTRs'!$A$6:$A$505,$M439)&amp;"")</f>
        <v/>
      </c>
      <c r="C439" s="109" t="str">
        <f>IF($M439="","",INDEX('MTRs'!$B$6:$B$505,$M439)&amp;"")</f>
        <v/>
      </c>
      <c r="D439" s="110" t="str">
        <f>IF($M439="","",INDEX('MTRs'!$G$6:$G$505,$M439)&amp;"")</f>
        <v/>
      </c>
      <c r="E439" s="110" t="str">
        <f>IF($M439="","",INDEX('MTRs'!$H$6:$H$505,$M439)&amp;"")</f>
        <v/>
      </c>
      <c r="F439" s="110" t="str">
        <f>IF($M439="","",INDEX('MTRs'!$I$6:$I$505,$M439)&amp;"")</f>
        <v/>
      </c>
      <c r="G439" s="110" t="str">
        <f>IF($M439="","",INDEX('MTRs'!$T$6:$T$505,$M439)&amp;"")</f>
        <v/>
      </c>
      <c r="H439" s="111" t="str">
        <f>IF($M439="","",INDEX('MTRs'!$AQ$6:$AQ$505,$M439))</f>
        <v/>
      </c>
      <c r="I439" s="112" t="str">
        <f>IF($M439="","",INDEX('MTRs'!$U$6:$U$505,$M439))</f>
        <v/>
      </c>
      <c r="J439" s="113" t="str">
        <f>IF($M439="","",INDEX('MTRs'!$AS$6:$AS$505,$M439)&amp;"")</f>
        <v/>
      </c>
      <c r="K439" s="110" t="str">
        <f>IF($M439="","",INDEX('MTRs'!$AT$6:$AT$505,$M439)&amp;"")</f>
        <v/>
      </c>
      <c r="L439" s="110" t="str">
        <f>IF($M439="","",INDEX('MTRs'!$Y$6:$Y$505,$M439)&amp;"")</f>
        <v/>
      </c>
      <c r="M439" t="str">
        <f>IFERROR(MATCH(SMALL('MTRs'!$AU$6:$AU$505,429),'MTRs'!$AU$6:$AU$505,0),"")</f>
        <v/>
      </c>
    </row>
    <row r="440" ht="30" customHeight="1">
      <c r="B440" s="108" t="str">
        <f>IF($M440="","",INDEX('MTRs'!$A$6:$A$505,$M440)&amp;"")</f>
        <v/>
      </c>
      <c r="C440" s="109" t="str">
        <f>IF($M440="","",INDEX('MTRs'!$B$6:$B$505,$M440)&amp;"")</f>
        <v/>
      </c>
      <c r="D440" s="110" t="str">
        <f>IF($M440="","",INDEX('MTRs'!$G$6:$G$505,$M440)&amp;"")</f>
        <v/>
      </c>
      <c r="E440" s="110" t="str">
        <f>IF($M440="","",INDEX('MTRs'!$H$6:$H$505,$M440)&amp;"")</f>
        <v/>
      </c>
      <c r="F440" s="110" t="str">
        <f>IF($M440="","",INDEX('MTRs'!$I$6:$I$505,$M440)&amp;"")</f>
        <v/>
      </c>
      <c r="G440" s="110" t="str">
        <f>IF($M440="","",INDEX('MTRs'!$T$6:$T$505,$M440)&amp;"")</f>
        <v/>
      </c>
      <c r="H440" s="111" t="str">
        <f>IF($M440="","",INDEX('MTRs'!$AQ$6:$AQ$505,$M440))</f>
        <v/>
      </c>
      <c r="I440" s="112" t="str">
        <f>IF($M440="","",INDEX('MTRs'!$U$6:$U$505,$M440))</f>
        <v/>
      </c>
      <c r="J440" s="113" t="str">
        <f>IF($M440="","",INDEX('MTRs'!$AS$6:$AS$505,$M440)&amp;"")</f>
        <v/>
      </c>
      <c r="K440" s="110" t="str">
        <f>IF($M440="","",INDEX('MTRs'!$AT$6:$AT$505,$M440)&amp;"")</f>
        <v/>
      </c>
      <c r="L440" s="110" t="str">
        <f>IF($M440="","",INDEX('MTRs'!$Y$6:$Y$505,$M440)&amp;"")</f>
        <v/>
      </c>
      <c r="M440" t="str">
        <f>IFERROR(MATCH(SMALL('MTRs'!$AU$6:$AU$505,430),'MTRs'!$AU$6:$AU$505,0),"")</f>
        <v/>
      </c>
    </row>
    <row r="441" ht="30" customHeight="1">
      <c r="B441" s="108" t="str">
        <f>IF($M441="","",INDEX('MTRs'!$A$6:$A$505,$M441)&amp;"")</f>
        <v/>
      </c>
      <c r="C441" s="109" t="str">
        <f>IF($M441="","",INDEX('MTRs'!$B$6:$B$505,$M441)&amp;"")</f>
        <v/>
      </c>
      <c r="D441" s="110" t="str">
        <f>IF($M441="","",INDEX('MTRs'!$G$6:$G$505,$M441)&amp;"")</f>
        <v/>
      </c>
      <c r="E441" s="110" t="str">
        <f>IF($M441="","",INDEX('MTRs'!$H$6:$H$505,$M441)&amp;"")</f>
        <v/>
      </c>
      <c r="F441" s="110" t="str">
        <f>IF($M441="","",INDEX('MTRs'!$I$6:$I$505,$M441)&amp;"")</f>
        <v/>
      </c>
      <c r="G441" s="110" t="str">
        <f>IF($M441="","",INDEX('MTRs'!$T$6:$T$505,$M441)&amp;"")</f>
        <v/>
      </c>
      <c r="H441" s="111" t="str">
        <f>IF($M441="","",INDEX('MTRs'!$AQ$6:$AQ$505,$M441))</f>
        <v/>
      </c>
      <c r="I441" s="112" t="str">
        <f>IF($M441="","",INDEX('MTRs'!$U$6:$U$505,$M441))</f>
        <v/>
      </c>
      <c r="J441" s="113" t="str">
        <f>IF($M441="","",INDEX('MTRs'!$AS$6:$AS$505,$M441)&amp;"")</f>
        <v/>
      </c>
      <c r="K441" s="110" t="str">
        <f>IF($M441="","",INDEX('MTRs'!$AT$6:$AT$505,$M441)&amp;"")</f>
        <v/>
      </c>
      <c r="L441" s="110" t="str">
        <f>IF($M441="","",INDEX('MTRs'!$Y$6:$Y$505,$M441)&amp;"")</f>
        <v/>
      </c>
      <c r="M441" t="str">
        <f>IFERROR(MATCH(SMALL('MTRs'!$AU$6:$AU$505,431),'MTRs'!$AU$6:$AU$505,0),"")</f>
        <v/>
      </c>
    </row>
    <row r="442" ht="30" customHeight="1">
      <c r="B442" s="108" t="str">
        <f>IF($M442="","",INDEX('MTRs'!$A$6:$A$505,$M442)&amp;"")</f>
        <v/>
      </c>
      <c r="C442" s="109" t="str">
        <f>IF($M442="","",INDEX('MTRs'!$B$6:$B$505,$M442)&amp;"")</f>
        <v/>
      </c>
      <c r="D442" s="110" t="str">
        <f>IF($M442="","",INDEX('MTRs'!$G$6:$G$505,$M442)&amp;"")</f>
        <v/>
      </c>
      <c r="E442" s="110" t="str">
        <f>IF($M442="","",INDEX('MTRs'!$H$6:$H$505,$M442)&amp;"")</f>
        <v/>
      </c>
      <c r="F442" s="110" t="str">
        <f>IF($M442="","",INDEX('MTRs'!$I$6:$I$505,$M442)&amp;"")</f>
        <v/>
      </c>
      <c r="G442" s="110" t="str">
        <f>IF($M442="","",INDEX('MTRs'!$T$6:$T$505,$M442)&amp;"")</f>
        <v/>
      </c>
      <c r="H442" s="111" t="str">
        <f>IF($M442="","",INDEX('MTRs'!$AQ$6:$AQ$505,$M442))</f>
        <v/>
      </c>
      <c r="I442" s="112" t="str">
        <f>IF($M442="","",INDEX('MTRs'!$U$6:$U$505,$M442))</f>
        <v/>
      </c>
      <c r="J442" s="113" t="str">
        <f>IF($M442="","",INDEX('MTRs'!$AS$6:$AS$505,$M442)&amp;"")</f>
        <v/>
      </c>
      <c r="K442" s="110" t="str">
        <f>IF($M442="","",INDEX('MTRs'!$AT$6:$AT$505,$M442)&amp;"")</f>
        <v/>
      </c>
      <c r="L442" s="110" t="str">
        <f>IF($M442="","",INDEX('MTRs'!$Y$6:$Y$505,$M442)&amp;"")</f>
        <v/>
      </c>
      <c r="M442" t="str">
        <f>IFERROR(MATCH(SMALL('MTRs'!$AU$6:$AU$505,432),'MTRs'!$AU$6:$AU$505,0),"")</f>
        <v/>
      </c>
    </row>
    <row r="443" ht="30" customHeight="1">
      <c r="B443" s="108" t="str">
        <f>IF($M443="","",INDEX('MTRs'!$A$6:$A$505,$M443)&amp;"")</f>
        <v/>
      </c>
      <c r="C443" s="109" t="str">
        <f>IF($M443="","",INDEX('MTRs'!$B$6:$B$505,$M443)&amp;"")</f>
        <v/>
      </c>
      <c r="D443" s="110" t="str">
        <f>IF($M443="","",INDEX('MTRs'!$G$6:$G$505,$M443)&amp;"")</f>
        <v/>
      </c>
      <c r="E443" s="110" t="str">
        <f>IF($M443="","",INDEX('MTRs'!$H$6:$H$505,$M443)&amp;"")</f>
        <v/>
      </c>
      <c r="F443" s="110" t="str">
        <f>IF($M443="","",INDEX('MTRs'!$I$6:$I$505,$M443)&amp;"")</f>
        <v/>
      </c>
      <c r="G443" s="110" t="str">
        <f>IF($M443="","",INDEX('MTRs'!$T$6:$T$505,$M443)&amp;"")</f>
        <v/>
      </c>
      <c r="H443" s="111" t="str">
        <f>IF($M443="","",INDEX('MTRs'!$AQ$6:$AQ$505,$M443))</f>
        <v/>
      </c>
      <c r="I443" s="112" t="str">
        <f>IF($M443="","",INDEX('MTRs'!$U$6:$U$505,$M443))</f>
        <v/>
      </c>
      <c r="J443" s="113" t="str">
        <f>IF($M443="","",INDEX('MTRs'!$AS$6:$AS$505,$M443)&amp;"")</f>
        <v/>
      </c>
      <c r="K443" s="110" t="str">
        <f>IF($M443="","",INDEX('MTRs'!$AT$6:$AT$505,$M443)&amp;"")</f>
        <v/>
      </c>
      <c r="L443" s="110" t="str">
        <f>IF($M443="","",INDEX('MTRs'!$Y$6:$Y$505,$M443)&amp;"")</f>
        <v/>
      </c>
      <c r="M443" t="str">
        <f>IFERROR(MATCH(SMALL('MTRs'!$AU$6:$AU$505,433),'MTRs'!$AU$6:$AU$505,0),"")</f>
        <v/>
      </c>
    </row>
    <row r="444" ht="30" customHeight="1">
      <c r="B444" s="108" t="str">
        <f>IF($M444="","",INDEX('MTRs'!$A$6:$A$505,$M444)&amp;"")</f>
        <v/>
      </c>
      <c r="C444" s="109" t="str">
        <f>IF($M444="","",INDEX('MTRs'!$B$6:$B$505,$M444)&amp;"")</f>
        <v/>
      </c>
      <c r="D444" s="110" t="str">
        <f>IF($M444="","",INDEX('MTRs'!$G$6:$G$505,$M444)&amp;"")</f>
        <v/>
      </c>
      <c r="E444" s="110" t="str">
        <f>IF($M444="","",INDEX('MTRs'!$H$6:$H$505,$M444)&amp;"")</f>
        <v/>
      </c>
      <c r="F444" s="110" t="str">
        <f>IF($M444="","",INDEX('MTRs'!$I$6:$I$505,$M444)&amp;"")</f>
        <v/>
      </c>
      <c r="G444" s="110" t="str">
        <f>IF($M444="","",INDEX('MTRs'!$T$6:$T$505,$M444)&amp;"")</f>
        <v/>
      </c>
      <c r="H444" s="111" t="str">
        <f>IF($M444="","",INDEX('MTRs'!$AQ$6:$AQ$505,$M444))</f>
        <v/>
      </c>
      <c r="I444" s="112" t="str">
        <f>IF($M444="","",INDEX('MTRs'!$U$6:$U$505,$M444))</f>
        <v/>
      </c>
      <c r="J444" s="113" t="str">
        <f>IF($M444="","",INDEX('MTRs'!$AS$6:$AS$505,$M444)&amp;"")</f>
        <v/>
      </c>
      <c r="K444" s="110" t="str">
        <f>IF($M444="","",INDEX('MTRs'!$AT$6:$AT$505,$M444)&amp;"")</f>
        <v/>
      </c>
      <c r="L444" s="110" t="str">
        <f>IF($M444="","",INDEX('MTRs'!$Y$6:$Y$505,$M444)&amp;"")</f>
        <v/>
      </c>
      <c r="M444" t="str">
        <f>IFERROR(MATCH(SMALL('MTRs'!$AU$6:$AU$505,434),'MTRs'!$AU$6:$AU$505,0),"")</f>
        <v/>
      </c>
    </row>
    <row r="445" ht="30" customHeight="1">
      <c r="B445" s="108" t="str">
        <f>IF($M445="","",INDEX('MTRs'!$A$6:$A$505,$M445)&amp;"")</f>
        <v/>
      </c>
      <c r="C445" s="109" t="str">
        <f>IF($M445="","",INDEX('MTRs'!$B$6:$B$505,$M445)&amp;"")</f>
        <v/>
      </c>
      <c r="D445" s="110" t="str">
        <f>IF($M445="","",INDEX('MTRs'!$G$6:$G$505,$M445)&amp;"")</f>
        <v/>
      </c>
      <c r="E445" s="110" t="str">
        <f>IF($M445="","",INDEX('MTRs'!$H$6:$H$505,$M445)&amp;"")</f>
        <v/>
      </c>
      <c r="F445" s="110" t="str">
        <f>IF($M445="","",INDEX('MTRs'!$I$6:$I$505,$M445)&amp;"")</f>
        <v/>
      </c>
      <c r="G445" s="110" t="str">
        <f>IF($M445="","",INDEX('MTRs'!$T$6:$T$505,$M445)&amp;"")</f>
        <v/>
      </c>
      <c r="H445" s="111" t="str">
        <f>IF($M445="","",INDEX('MTRs'!$AQ$6:$AQ$505,$M445))</f>
        <v/>
      </c>
      <c r="I445" s="112" t="str">
        <f>IF($M445="","",INDEX('MTRs'!$U$6:$U$505,$M445))</f>
        <v/>
      </c>
      <c r="J445" s="113" t="str">
        <f>IF($M445="","",INDEX('MTRs'!$AS$6:$AS$505,$M445)&amp;"")</f>
        <v/>
      </c>
      <c r="K445" s="110" t="str">
        <f>IF($M445="","",INDEX('MTRs'!$AT$6:$AT$505,$M445)&amp;"")</f>
        <v/>
      </c>
      <c r="L445" s="110" t="str">
        <f>IF($M445="","",INDEX('MTRs'!$Y$6:$Y$505,$M445)&amp;"")</f>
        <v/>
      </c>
      <c r="M445" t="str">
        <f>IFERROR(MATCH(SMALL('MTRs'!$AU$6:$AU$505,435),'MTRs'!$AU$6:$AU$505,0),"")</f>
        <v/>
      </c>
    </row>
    <row r="446" ht="30" customHeight="1">
      <c r="B446" s="108" t="str">
        <f>IF($M446="","",INDEX('MTRs'!$A$6:$A$505,$M446)&amp;"")</f>
        <v/>
      </c>
      <c r="C446" s="109" t="str">
        <f>IF($M446="","",INDEX('MTRs'!$B$6:$B$505,$M446)&amp;"")</f>
        <v/>
      </c>
      <c r="D446" s="110" t="str">
        <f>IF($M446="","",INDEX('MTRs'!$G$6:$G$505,$M446)&amp;"")</f>
        <v/>
      </c>
      <c r="E446" s="110" t="str">
        <f>IF($M446="","",INDEX('MTRs'!$H$6:$H$505,$M446)&amp;"")</f>
        <v/>
      </c>
      <c r="F446" s="110" t="str">
        <f>IF($M446="","",INDEX('MTRs'!$I$6:$I$505,$M446)&amp;"")</f>
        <v/>
      </c>
      <c r="G446" s="110" t="str">
        <f>IF($M446="","",INDEX('MTRs'!$T$6:$T$505,$M446)&amp;"")</f>
        <v/>
      </c>
      <c r="H446" s="111" t="str">
        <f>IF($M446="","",INDEX('MTRs'!$AQ$6:$AQ$505,$M446))</f>
        <v/>
      </c>
      <c r="I446" s="112" t="str">
        <f>IF($M446="","",INDEX('MTRs'!$U$6:$U$505,$M446))</f>
        <v/>
      </c>
      <c r="J446" s="113" t="str">
        <f>IF($M446="","",INDEX('MTRs'!$AS$6:$AS$505,$M446)&amp;"")</f>
        <v/>
      </c>
      <c r="K446" s="110" t="str">
        <f>IF($M446="","",INDEX('MTRs'!$AT$6:$AT$505,$M446)&amp;"")</f>
        <v/>
      </c>
      <c r="L446" s="110" t="str">
        <f>IF($M446="","",INDEX('MTRs'!$Y$6:$Y$505,$M446)&amp;"")</f>
        <v/>
      </c>
      <c r="M446" t="str">
        <f>IFERROR(MATCH(SMALL('MTRs'!$AU$6:$AU$505,436),'MTRs'!$AU$6:$AU$505,0),"")</f>
        <v/>
      </c>
    </row>
    <row r="447" ht="30" customHeight="1">
      <c r="B447" s="108" t="str">
        <f>IF($M447="","",INDEX('MTRs'!$A$6:$A$505,$M447)&amp;"")</f>
        <v/>
      </c>
      <c r="C447" s="109" t="str">
        <f>IF($M447="","",INDEX('MTRs'!$B$6:$B$505,$M447)&amp;"")</f>
        <v/>
      </c>
      <c r="D447" s="110" t="str">
        <f>IF($M447="","",INDEX('MTRs'!$G$6:$G$505,$M447)&amp;"")</f>
        <v/>
      </c>
      <c r="E447" s="110" t="str">
        <f>IF($M447="","",INDEX('MTRs'!$H$6:$H$505,$M447)&amp;"")</f>
        <v/>
      </c>
      <c r="F447" s="110" t="str">
        <f>IF($M447="","",INDEX('MTRs'!$I$6:$I$505,$M447)&amp;"")</f>
        <v/>
      </c>
      <c r="G447" s="110" t="str">
        <f>IF($M447="","",INDEX('MTRs'!$T$6:$T$505,$M447)&amp;"")</f>
        <v/>
      </c>
      <c r="H447" s="111" t="str">
        <f>IF($M447="","",INDEX('MTRs'!$AQ$6:$AQ$505,$M447))</f>
        <v/>
      </c>
      <c r="I447" s="112" t="str">
        <f>IF($M447="","",INDEX('MTRs'!$U$6:$U$505,$M447))</f>
        <v/>
      </c>
      <c r="J447" s="113" t="str">
        <f>IF($M447="","",INDEX('MTRs'!$AS$6:$AS$505,$M447)&amp;"")</f>
        <v/>
      </c>
      <c r="K447" s="110" t="str">
        <f>IF($M447="","",INDEX('MTRs'!$AT$6:$AT$505,$M447)&amp;"")</f>
        <v/>
      </c>
      <c r="L447" s="110" t="str">
        <f>IF($M447="","",INDEX('MTRs'!$Y$6:$Y$505,$M447)&amp;"")</f>
        <v/>
      </c>
      <c r="M447" t="str">
        <f>IFERROR(MATCH(SMALL('MTRs'!$AU$6:$AU$505,437),'MTRs'!$AU$6:$AU$505,0),"")</f>
        <v/>
      </c>
    </row>
    <row r="448" ht="30" customHeight="1">
      <c r="B448" s="108" t="str">
        <f>IF($M448="","",INDEX('MTRs'!$A$6:$A$505,$M448)&amp;"")</f>
        <v/>
      </c>
      <c r="C448" s="109" t="str">
        <f>IF($M448="","",INDEX('MTRs'!$B$6:$B$505,$M448)&amp;"")</f>
        <v/>
      </c>
      <c r="D448" s="110" t="str">
        <f>IF($M448="","",INDEX('MTRs'!$G$6:$G$505,$M448)&amp;"")</f>
        <v/>
      </c>
      <c r="E448" s="110" t="str">
        <f>IF($M448="","",INDEX('MTRs'!$H$6:$H$505,$M448)&amp;"")</f>
        <v/>
      </c>
      <c r="F448" s="110" t="str">
        <f>IF($M448="","",INDEX('MTRs'!$I$6:$I$505,$M448)&amp;"")</f>
        <v/>
      </c>
      <c r="G448" s="110" t="str">
        <f>IF($M448="","",INDEX('MTRs'!$T$6:$T$505,$M448)&amp;"")</f>
        <v/>
      </c>
      <c r="H448" s="111" t="str">
        <f>IF($M448="","",INDEX('MTRs'!$AQ$6:$AQ$505,$M448))</f>
        <v/>
      </c>
      <c r="I448" s="112" t="str">
        <f>IF($M448="","",INDEX('MTRs'!$U$6:$U$505,$M448))</f>
        <v/>
      </c>
      <c r="J448" s="113" t="str">
        <f>IF($M448="","",INDEX('MTRs'!$AS$6:$AS$505,$M448)&amp;"")</f>
        <v/>
      </c>
      <c r="K448" s="110" t="str">
        <f>IF($M448="","",INDEX('MTRs'!$AT$6:$AT$505,$M448)&amp;"")</f>
        <v/>
      </c>
      <c r="L448" s="110" t="str">
        <f>IF($M448="","",INDEX('MTRs'!$Y$6:$Y$505,$M448)&amp;"")</f>
        <v/>
      </c>
      <c r="M448" t="str">
        <f>IFERROR(MATCH(SMALL('MTRs'!$AU$6:$AU$505,438),'MTRs'!$AU$6:$AU$505,0),"")</f>
        <v/>
      </c>
    </row>
    <row r="449" ht="30" customHeight="1">
      <c r="B449" s="108" t="str">
        <f>IF($M449="","",INDEX('MTRs'!$A$6:$A$505,$M449)&amp;"")</f>
        <v/>
      </c>
      <c r="C449" s="109" t="str">
        <f>IF($M449="","",INDEX('MTRs'!$B$6:$B$505,$M449)&amp;"")</f>
        <v/>
      </c>
      <c r="D449" s="110" t="str">
        <f>IF($M449="","",INDEX('MTRs'!$G$6:$G$505,$M449)&amp;"")</f>
        <v/>
      </c>
      <c r="E449" s="110" t="str">
        <f>IF($M449="","",INDEX('MTRs'!$H$6:$H$505,$M449)&amp;"")</f>
        <v/>
      </c>
      <c r="F449" s="110" t="str">
        <f>IF($M449="","",INDEX('MTRs'!$I$6:$I$505,$M449)&amp;"")</f>
        <v/>
      </c>
      <c r="G449" s="110" t="str">
        <f>IF($M449="","",INDEX('MTRs'!$T$6:$T$505,$M449)&amp;"")</f>
        <v/>
      </c>
      <c r="H449" s="111" t="str">
        <f>IF($M449="","",INDEX('MTRs'!$AQ$6:$AQ$505,$M449))</f>
        <v/>
      </c>
      <c r="I449" s="112" t="str">
        <f>IF($M449="","",INDEX('MTRs'!$U$6:$U$505,$M449))</f>
        <v/>
      </c>
      <c r="J449" s="113" t="str">
        <f>IF($M449="","",INDEX('MTRs'!$AS$6:$AS$505,$M449)&amp;"")</f>
        <v/>
      </c>
      <c r="K449" s="110" t="str">
        <f>IF($M449="","",INDEX('MTRs'!$AT$6:$AT$505,$M449)&amp;"")</f>
        <v/>
      </c>
      <c r="L449" s="110" t="str">
        <f>IF($M449="","",INDEX('MTRs'!$Y$6:$Y$505,$M449)&amp;"")</f>
        <v/>
      </c>
      <c r="M449" t="str">
        <f>IFERROR(MATCH(SMALL('MTRs'!$AU$6:$AU$505,439),'MTRs'!$AU$6:$AU$505,0),"")</f>
        <v/>
      </c>
    </row>
    <row r="450" ht="30" customHeight="1">
      <c r="B450" s="108" t="str">
        <f>IF($M450="","",INDEX('MTRs'!$A$6:$A$505,$M450)&amp;"")</f>
        <v/>
      </c>
      <c r="C450" s="109" t="str">
        <f>IF($M450="","",INDEX('MTRs'!$B$6:$B$505,$M450)&amp;"")</f>
        <v/>
      </c>
      <c r="D450" s="110" t="str">
        <f>IF($M450="","",INDEX('MTRs'!$G$6:$G$505,$M450)&amp;"")</f>
        <v/>
      </c>
      <c r="E450" s="110" t="str">
        <f>IF($M450="","",INDEX('MTRs'!$H$6:$H$505,$M450)&amp;"")</f>
        <v/>
      </c>
      <c r="F450" s="110" t="str">
        <f>IF($M450="","",INDEX('MTRs'!$I$6:$I$505,$M450)&amp;"")</f>
        <v/>
      </c>
      <c r="G450" s="110" t="str">
        <f>IF($M450="","",INDEX('MTRs'!$T$6:$T$505,$M450)&amp;"")</f>
        <v/>
      </c>
      <c r="H450" s="111" t="str">
        <f>IF($M450="","",INDEX('MTRs'!$AQ$6:$AQ$505,$M450))</f>
        <v/>
      </c>
      <c r="I450" s="112" t="str">
        <f>IF($M450="","",INDEX('MTRs'!$U$6:$U$505,$M450))</f>
        <v/>
      </c>
      <c r="J450" s="113" t="str">
        <f>IF($M450="","",INDEX('MTRs'!$AS$6:$AS$505,$M450)&amp;"")</f>
        <v/>
      </c>
      <c r="K450" s="110" t="str">
        <f>IF($M450="","",INDEX('MTRs'!$AT$6:$AT$505,$M450)&amp;"")</f>
        <v/>
      </c>
      <c r="L450" s="110" t="str">
        <f>IF($M450="","",INDEX('MTRs'!$Y$6:$Y$505,$M450)&amp;"")</f>
        <v/>
      </c>
      <c r="M450" t="str">
        <f>IFERROR(MATCH(SMALL('MTRs'!$AU$6:$AU$505,440),'MTRs'!$AU$6:$AU$505,0),"")</f>
        <v/>
      </c>
    </row>
    <row r="451" ht="30" customHeight="1">
      <c r="B451" s="108" t="str">
        <f>IF($M451="","",INDEX('MTRs'!$A$6:$A$505,$M451)&amp;"")</f>
        <v/>
      </c>
      <c r="C451" s="109" t="str">
        <f>IF($M451="","",INDEX('MTRs'!$B$6:$B$505,$M451)&amp;"")</f>
        <v/>
      </c>
      <c r="D451" s="110" t="str">
        <f>IF($M451="","",INDEX('MTRs'!$G$6:$G$505,$M451)&amp;"")</f>
        <v/>
      </c>
      <c r="E451" s="110" t="str">
        <f>IF($M451="","",INDEX('MTRs'!$H$6:$H$505,$M451)&amp;"")</f>
        <v/>
      </c>
      <c r="F451" s="110" t="str">
        <f>IF($M451="","",INDEX('MTRs'!$I$6:$I$505,$M451)&amp;"")</f>
        <v/>
      </c>
      <c r="G451" s="110" t="str">
        <f>IF($M451="","",INDEX('MTRs'!$T$6:$T$505,$M451)&amp;"")</f>
        <v/>
      </c>
      <c r="H451" s="111" t="str">
        <f>IF($M451="","",INDEX('MTRs'!$AQ$6:$AQ$505,$M451))</f>
        <v/>
      </c>
      <c r="I451" s="112" t="str">
        <f>IF($M451="","",INDEX('MTRs'!$U$6:$U$505,$M451))</f>
        <v/>
      </c>
      <c r="J451" s="113" t="str">
        <f>IF($M451="","",INDEX('MTRs'!$AS$6:$AS$505,$M451)&amp;"")</f>
        <v/>
      </c>
      <c r="K451" s="110" t="str">
        <f>IF($M451="","",INDEX('MTRs'!$AT$6:$AT$505,$M451)&amp;"")</f>
        <v/>
      </c>
      <c r="L451" s="110" t="str">
        <f>IF($M451="","",INDEX('MTRs'!$Y$6:$Y$505,$M451)&amp;"")</f>
        <v/>
      </c>
      <c r="M451" t="str">
        <f>IFERROR(MATCH(SMALL('MTRs'!$AU$6:$AU$505,441),'MTRs'!$AU$6:$AU$505,0),"")</f>
        <v/>
      </c>
    </row>
    <row r="452" ht="30" customHeight="1">
      <c r="B452" s="108" t="str">
        <f>IF($M452="","",INDEX('MTRs'!$A$6:$A$505,$M452)&amp;"")</f>
        <v/>
      </c>
      <c r="C452" s="109" t="str">
        <f>IF($M452="","",INDEX('MTRs'!$B$6:$B$505,$M452)&amp;"")</f>
        <v/>
      </c>
      <c r="D452" s="110" t="str">
        <f>IF($M452="","",INDEX('MTRs'!$G$6:$G$505,$M452)&amp;"")</f>
        <v/>
      </c>
      <c r="E452" s="110" t="str">
        <f>IF($M452="","",INDEX('MTRs'!$H$6:$H$505,$M452)&amp;"")</f>
        <v/>
      </c>
      <c r="F452" s="110" t="str">
        <f>IF($M452="","",INDEX('MTRs'!$I$6:$I$505,$M452)&amp;"")</f>
        <v/>
      </c>
      <c r="G452" s="110" t="str">
        <f>IF($M452="","",INDEX('MTRs'!$T$6:$T$505,$M452)&amp;"")</f>
        <v/>
      </c>
      <c r="H452" s="111" t="str">
        <f>IF($M452="","",INDEX('MTRs'!$AQ$6:$AQ$505,$M452))</f>
        <v/>
      </c>
      <c r="I452" s="112" t="str">
        <f>IF($M452="","",INDEX('MTRs'!$U$6:$U$505,$M452))</f>
        <v/>
      </c>
      <c r="J452" s="113" t="str">
        <f>IF($M452="","",INDEX('MTRs'!$AS$6:$AS$505,$M452)&amp;"")</f>
        <v/>
      </c>
      <c r="K452" s="110" t="str">
        <f>IF($M452="","",INDEX('MTRs'!$AT$6:$AT$505,$M452)&amp;"")</f>
        <v/>
      </c>
      <c r="L452" s="110" t="str">
        <f>IF($M452="","",INDEX('MTRs'!$Y$6:$Y$505,$M452)&amp;"")</f>
        <v/>
      </c>
      <c r="M452" t="str">
        <f>IFERROR(MATCH(SMALL('MTRs'!$AU$6:$AU$505,442),'MTRs'!$AU$6:$AU$505,0),"")</f>
        <v/>
      </c>
    </row>
    <row r="453" ht="30" customHeight="1">
      <c r="B453" s="108" t="str">
        <f>IF($M453="","",INDEX('MTRs'!$A$6:$A$505,$M453)&amp;"")</f>
        <v/>
      </c>
      <c r="C453" s="109" t="str">
        <f>IF($M453="","",INDEX('MTRs'!$B$6:$B$505,$M453)&amp;"")</f>
        <v/>
      </c>
      <c r="D453" s="110" t="str">
        <f>IF($M453="","",INDEX('MTRs'!$G$6:$G$505,$M453)&amp;"")</f>
        <v/>
      </c>
      <c r="E453" s="110" t="str">
        <f>IF($M453="","",INDEX('MTRs'!$H$6:$H$505,$M453)&amp;"")</f>
        <v/>
      </c>
      <c r="F453" s="110" t="str">
        <f>IF($M453="","",INDEX('MTRs'!$I$6:$I$505,$M453)&amp;"")</f>
        <v/>
      </c>
      <c r="G453" s="110" t="str">
        <f>IF($M453="","",INDEX('MTRs'!$T$6:$T$505,$M453)&amp;"")</f>
        <v/>
      </c>
      <c r="H453" s="111" t="str">
        <f>IF($M453="","",INDEX('MTRs'!$AQ$6:$AQ$505,$M453))</f>
        <v/>
      </c>
      <c r="I453" s="112" t="str">
        <f>IF($M453="","",INDEX('MTRs'!$U$6:$U$505,$M453))</f>
        <v/>
      </c>
      <c r="J453" s="113" t="str">
        <f>IF($M453="","",INDEX('MTRs'!$AS$6:$AS$505,$M453)&amp;"")</f>
        <v/>
      </c>
      <c r="K453" s="110" t="str">
        <f>IF($M453="","",INDEX('MTRs'!$AT$6:$AT$505,$M453)&amp;"")</f>
        <v/>
      </c>
      <c r="L453" s="110" t="str">
        <f>IF($M453="","",INDEX('MTRs'!$Y$6:$Y$505,$M453)&amp;"")</f>
        <v/>
      </c>
      <c r="M453" t="str">
        <f>IFERROR(MATCH(SMALL('MTRs'!$AU$6:$AU$505,443),'MTRs'!$AU$6:$AU$505,0),"")</f>
        <v/>
      </c>
    </row>
    <row r="454" ht="30" customHeight="1">
      <c r="B454" s="108" t="str">
        <f>IF($M454="","",INDEX('MTRs'!$A$6:$A$505,$M454)&amp;"")</f>
        <v/>
      </c>
      <c r="C454" s="109" t="str">
        <f>IF($M454="","",INDEX('MTRs'!$B$6:$B$505,$M454)&amp;"")</f>
        <v/>
      </c>
      <c r="D454" s="110" t="str">
        <f>IF($M454="","",INDEX('MTRs'!$G$6:$G$505,$M454)&amp;"")</f>
        <v/>
      </c>
      <c r="E454" s="110" t="str">
        <f>IF($M454="","",INDEX('MTRs'!$H$6:$H$505,$M454)&amp;"")</f>
        <v/>
      </c>
      <c r="F454" s="110" t="str">
        <f>IF($M454="","",INDEX('MTRs'!$I$6:$I$505,$M454)&amp;"")</f>
        <v/>
      </c>
      <c r="G454" s="110" t="str">
        <f>IF($M454="","",INDEX('MTRs'!$T$6:$T$505,$M454)&amp;"")</f>
        <v/>
      </c>
      <c r="H454" s="111" t="str">
        <f>IF($M454="","",INDEX('MTRs'!$AQ$6:$AQ$505,$M454))</f>
        <v/>
      </c>
      <c r="I454" s="112" t="str">
        <f>IF($M454="","",INDEX('MTRs'!$U$6:$U$505,$M454))</f>
        <v/>
      </c>
      <c r="J454" s="113" t="str">
        <f>IF($M454="","",INDEX('MTRs'!$AS$6:$AS$505,$M454)&amp;"")</f>
        <v/>
      </c>
      <c r="K454" s="110" t="str">
        <f>IF($M454="","",INDEX('MTRs'!$AT$6:$AT$505,$M454)&amp;"")</f>
        <v/>
      </c>
      <c r="L454" s="110" t="str">
        <f>IF($M454="","",INDEX('MTRs'!$Y$6:$Y$505,$M454)&amp;"")</f>
        <v/>
      </c>
      <c r="M454" t="str">
        <f>IFERROR(MATCH(SMALL('MTRs'!$AU$6:$AU$505,444),'MTRs'!$AU$6:$AU$505,0),"")</f>
        <v/>
      </c>
    </row>
    <row r="455" ht="30" customHeight="1">
      <c r="B455" s="108" t="str">
        <f>IF($M455="","",INDEX('MTRs'!$A$6:$A$505,$M455)&amp;"")</f>
        <v/>
      </c>
      <c r="C455" s="109" t="str">
        <f>IF($M455="","",INDEX('MTRs'!$B$6:$B$505,$M455)&amp;"")</f>
        <v/>
      </c>
      <c r="D455" s="110" t="str">
        <f>IF($M455="","",INDEX('MTRs'!$G$6:$G$505,$M455)&amp;"")</f>
        <v/>
      </c>
      <c r="E455" s="110" t="str">
        <f>IF($M455="","",INDEX('MTRs'!$H$6:$H$505,$M455)&amp;"")</f>
        <v/>
      </c>
      <c r="F455" s="110" t="str">
        <f>IF($M455="","",INDEX('MTRs'!$I$6:$I$505,$M455)&amp;"")</f>
        <v/>
      </c>
      <c r="G455" s="110" t="str">
        <f>IF($M455="","",INDEX('MTRs'!$T$6:$T$505,$M455)&amp;"")</f>
        <v/>
      </c>
      <c r="H455" s="111" t="str">
        <f>IF($M455="","",INDEX('MTRs'!$AQ$6:$AQ$505,$M455))</f>
        <v/>
      </c>
      <c r="I455" s="112" t="str">
        <f>IF($M455="","",INDEX('MTRs'!$U$6:$U$505,$M455))</f>
        <v/>
      </c>
      <c r="J455" s="113" t="str">
        <f>IF($M455="","",INDEX('MTRs'!$AS$6:$AS$505,$M455)&amp;"")</f>
        <v/>
      </c>
      <c r="K455" s="110" t="str">
        <f>IF($M455="","",INDEX('MTRs'!$AT$6:$AT$505,$M455)&amp;"")</f>
        <v/>
      </c>
      <c r="L455" s="110" t="str">
        <f>IF($M455="","",INDEX('MTRs'!$Y$6:$Y$505,$M455)&amp;"")</f>
        <v/>
      </c>
      <c r="M455" t="str">
        <f>IFERROR(MATCH(SMALL('MTRs'!$AU$6:$AU$505,445),'MTRs'!$AU$6:$AU$505,0),"")</f>
        <v/>
      </c>
    </row>
    <row r="456" ht="30" customHeight="1">
      <c r="B456" s="108" t="str">
        <f>IF($M456="","",INDEX('MTRs'!$A$6:$A$505,$M456)&amp;"")</f>
        <v/>
      </c>
      <c r="C456" s="109" t="str">
        <f>IF($M456="","",INDEX('MTRs'!$B$6:$B$505,$M456)&amp;"")</f>
        <v/>
      </c>
      <c r="D456" s="110" t="str">
        <f>IF($M456="","",INDEX('MTRs'!$G$6:$G$505,$M456)&amp;"")</f>
        <v/>
      </c>
      <c r="E456" s="110" t="str">
        <f>IF($M456="","",INDEX('MTRs'!$H$6:$H$505,$M456)&amp;"")</f>
        <v/>
      </c>
      <c r="F456" s="110" t="str">
        <f>IF($M456="","",INDEX('MTRs'!$I$6:$I$505,$M456)&amp;"")</f>
        <v/>
      </c>
      <c r="G456" s="110" t="str">
        <f>IF($M456="","",INDEX('MTRs'!$T$6:$T$505,$M456)&amp;"")</f>
        <v/>
      </c>
      <c r="H456" s="111" t="str">
        <f>IF($M456="","",INDEX('MTRs'!$AQ$6:$AQ$505,$M456))</f>
        <v/>
      </c>
      <c r="I456" s="112" t="str">
        <f>IF($M456="","",INDEX('MTRs'!$U$6:$U$505,$M456))</f>
        <v/>
      </c>
      <c r="J456" s="113" t="str">
        <f>IF($M456="","",INDEX('MTRs'!$AS$6:$AS$505,$M456)&amp;"")</f>
        <v/>
      </c>
      <c r="K456" s="110" t="str">
        <f>IF($M456="","",INDEX('MTRs'!$AT$6:$AT$505,$M456)&amp;"")</f>
        <v/>
      </c>
      <c r="L456" s="110" t="str">
        <f>IF($M456="","",INDEX('MTRs'!$Y$6:$Y$505,$M456)&amp;"")</f>
        <v/>
      </c>
      <c r="M456" t="str">
        <f>IFERROR(MATCH(SMALL('MTRs'!$AU$6:$AU$505,446),'MTRs'!$AU$6:$AU$505,0),"")</f>
        <v/>
      </c>
    </row>
    <row r="457" ht="30" customHeight="1">
      <c r="B457" s="108" t="str">
        <f>IF($M457="","",INDEX('MTRs'!$A$6:$A$505,$M457)&amp;"")</f>
        <v/>
      </c>
      <c r="C457" s="109" t="str">
        <f>IF($M457="","",INDEX('MTRs'!$B$6:$B$505,$M457)&amp;"")</f>
        <v/>
      </c>
      <c r="D457" s="110" t="str">
        <f>IF($M457="","",INDEX('MTRs'!$G$6:$G$505,$M457)&amp;"")</f>
        <v/>
      </c>
      <c r="E457" s="110" t="str">
        <f>IF($M457="","",INDEX('MTRs'!$H$6:$H$505,$M457)&amp;"")</f>
        <v/>
      </c>
      <c r="F457" s="110" t="str">
        <f>IF($M457="","",INDEX('MTRs'!$I$6:$I$505,$M457)&amp;"")</f>
        <v/>
      </c>
      <c r="G457" s="110" t="str">
        <f>IF($M457="","",INDEX('MTRs'!$T$6:$T$505,$M457)&amp;"")</f>
        <v/>
      </c>
      <c r="H457" s="111" t="str">
        <f>IF($M457="","",INDEX('MTRs'!$AQ$6:$AQ$505,$M457))</f>
        <v/>
      </c>
      <c r="I457" s="112" t="str">
        <f>IF($M457="","",INDEX('MTRs'!$U$6:$U$505,$M457))</f>
        <v/>
      </c>
      <c r="J457" s="113" t="str">
        <f>IF($M457="","",INDEX('MTRs'!$AS$6:$AS$505,$M457)&amp;"")</f>
        <v/>
      </c>
      <c r="K457" s="110" t="str">
        <f>IF($M457="","",INDEX('MTRs'!$AT$6:$AT$505,$M457)&amp;"")</f>
        <v/>
      </c>
      <c r="L457" s="110" t="str">
        <f>IF($M457="","",INDEX('MTRs'!$Y$6:$Y$505,$M457)&amp;"")</f>
        <v/>
      </c>
      <c r="M457" t="str">
        <f>IFERROR(MATCH(SMALL('MTRs'!$AU$6:$AU$505,447),'MTRs'!$AU$6:$AU$505,0),"")</f>
        <v/>
      </c>
    </row>
    <row r="458" ht="30" customHeight="1">
      <c r="B458" s="108" t="str">
        <f>IF($M458="","",INDEX('MTRs'!$A$6:$A$505,$M458)&amp;"")</f>
        <v/>
      </c>
      <c r="C458" s="109" t="str">
        <f>IF($M458="","",INDEX('MTRs'!$B$6:$B$505,$M458)&amp;"")</f>
        <v/>
      </c>
      <c r="D458" s="110" t="str">
        <f>IF($M458="","",INDEX('MTRs'!$G$6:$G$505,$M458)&amp;"")</f>
        <v/>
      </c>
      <c r="E458" s="110" t="str">
        <f>IF($M458="","",INDEX('MTRs'!$H$6:$H$505,$M458)&amp;"")</f>
        <v/>
      </c>
      <c r="F458" s="110" t="str">
        <f>IF($M458="","",INDEX('MTRs'!$I$6:$I$505,$M458)&amp;"")</f>
        <v/>
      </c>
      <c r="G458" s="110" t="str">
        <f>IF($M458="","",INDEX('MTRs'!$T$6:$T$505,$M458)&amp;"")</f>
        <v/>
      </c>
      <c r="H458" s="111" t="str">
        <f>IF($M458="","",INDEX('MTRs'!$AQ$6:$AQ$505,$M458))</f>
        <v/>
      </c>
      <c r="I458" s="112" t="str">
        <f>IF($M458="","",INDEX('MTRs'!$U$6:$U$505,$M458))</f>
        <v/>
      </c>
      <c r="J458" s="113" t="str">
        <f>IF($M458="","",INDEX('MTRs'!$AS$6:$AS$505,$M458)&amp;"")</f>
        <v/>
      </c>
      <c r="K458" s="110" t="str">
        <f>IF($M458="","",INDEX('MTRs'!$AT$6:$AT$505,$M458)&amp;"")</f>
        <v/>
      </c>
      <c r="L458" s="110" t="str">
        <f>IF($M458="","",INDEX('MTRs'!$Y$6:$Y$505,$M458)&amp;"")</f>
        <v/>
      </c>
      <c r="M458" t="str">
        <f>IFERROR(MATCH(SMALL('MTRs'!$AU$6:$AU$505,448),'MTRs'!$AU$6:$AU$505,0),"")</f>
        <v/>
      </c>
    </row>
    <row r="459" ht="30" customHeight="1">
      <c r="B459" s="108" t="str">
        <f>IF($M459="","",INDEX('MTRs'!$A$6:$A$505,$M459)&amp;"")</f>
        <v/>
      </c>
      <c r="C459" s="109" t="str">
        <f>IF($M459="","",INDEX('MTRs'!$B$6:$B$505,$M459)&amp;"")</f>
        <v/>
      </c>
      <c r="D459" s="110" t="str">
        <f>IF($M459="","",INDEX('MTRs'!$G$6:$G$505,$M459)&amp;"")</f>
        <v/>
      </c>
      <c r="E459" s="110" t="str">
        <f>IF($M459="","",INDEX('MTRs'!$H$6:$H$505,$M459)&amp;"")</f>
        <v/>
      </c>
      <c r="F459" s="110" t="str">
        <f>IF($M459="","",INDEX('MTRs'!$I$6:$I$505,$M459)&amp;"")</f>
        <v/>
      </c>
      <c r="G459" s="110" t="str">
        <f>IF($M459="","",INDEX('MTRs'!$T$6:$T$505,$M459)&amp;"")</f>
        <v/>
      </c>
      <c r="H459" s="111" t="str">
        <f>IF($M459="","",INDEX('MTRs'!$AQ$6:$AQ$505,$M459))</f>
        <v/>
      </c>
      <c r="I459" s="112" t="str">
        <f>IF($M459="","",INDEX('MTRs'!$U$6:$U$505,$M459))</f>
        <v/>
      </c>
      <c r="J459" s="113" t="str">
        <f>IF($M459="","",INDEX('MTRs'!$AS$6:$AS$505,$M459)&amp;"")</f>
        <v/>
      </c>
      <c r="K459" s="110" t="str">
        <f>IF($M459="","",INDEX('MTRs'!$AT$6:$AT$505,$M459)&amp;"")</f>
        <v/>
      </c>
      <c r="L459" s="110" t="str">
        <f>IF($M459="","",INDEX('MTRs'!$Y$6:$Y$505,$M459)&amp;"")</f>
        <v/>
      </c>
      <c r="M459" t="str">
        <f>IFERROR(MATCH(SMALL('MTRs'!$AU$6:$AU$505,449),'MTRs'!$AU$6:$AU$505,0),"")</f>
        <v/>
      </c>
    </row>
    <row r="460" ht="30" customHeight="1">
      <c r="B460" s="108" t="str">
        <f>IF($M460="","",INDEX('MTRs'!$A$6:$A$505,$M460)&amp;"")</f>
        <v/>
      </c>
      <c r="C460" s="109" t="str">
        <f>IF($M460="","",INDEX('MTRs'!$B$6:$B$505,$M460)&amp;"")</f>
        <v/>
      </c>
      <c r="D460" s="110" t="str">
        <f>IF($M460="","",INDEX('MTRs'!$G$6:$G$505,$M460)&amp;"")</f>
        <v/>
      </c>
      <c r="E460" s="110" t="str">
        <f>IF($M460="","",INDEX('MTRs'!$H$6:$H$505,$M460)&amp;"")</f>
        <v/>
      </c>
      <c r="F460" s="110" t="str">
        <f>IF($M460="","",INDEX('MTRs'!$I$6:$I$505,$M460)&amp;"")</f>
        <v/>
      </c>
      <c r="G460" s="110" t="str">
        <f>IF($M460="","",INDEX('MTRs'!$T$6:$T$505,$M460)&amp;"")</f>
        <v/>
      </c>
      <c r="H460" s="111" t="str">
        <f>IF($M460="","",INDEX('MTRs'!$AQ$6:$AQ$505,$M460))</f>
        <v/>
      </c>
      <c r="I460" s="112" t="str">
        <f>IF($M460="","",INDEX('MTRs'!$U$6:$U$505,$M460))</f>
        <v/>
      </c>
      <c r="J460" s="113" t="str">
        <f>IF($M460="","",INDEX('MTRs'!$AS$6:$AS$505,$M460)&amp;"")</f>
        <v/>
      </c>
      <c r="K460" s="110" t="str">
        <f>IF($M460="","",INDEX('MTRs'!$AT$6:$AT$505,$M460)&amp;"")</f>
        <v/>
      </c>
      <c r="L460" s="110" t="str">
        <f>IF($M460="","",INDEX('MTRs'!$Y$6:$Y$505,$M460)&amp;"")</f>
        <v/>
      </c>
      <c r="M460" t="str">
        <f>IFERROR(MATCH(SMALL('MTRs'!$AU$6:$AU$505,450),'MTRs'!$AU$6:$AU$505,0),"")</f>
        <v/>
      </c>
    </row>
    <row r="461" ht="30" customHeight="1">
      <c r="B461" s="108" t="str">
        <f>IF($M461="","",INDEX('MTRs'!$A$6:$A$505,$M461)&amp;"")</f>
        <v/>
      </c>
      <c r="C461" s="109" t="str">
        <f>IF($M461="","",INDEX('MTRs'!$B$6:$B$505,$M461)&amp;"")</f>
        <v/>
      </c>
      <c r="D461" s="110" t="str">
        <f>IF($M461="","",INDEX('MTRs'!$G$6:$G$505,$M461)&amp;"")</f>
        <v/>
      </c>
      <c r="E461" s="110" t="str">
        <f>IF($M461="","",INDEX('MTRs'!$H$6:$H$505,$M461)&amp;"")</f>
        <v/>
      </c>
      <c r="F461" s="110" t="str">
        <f>IF($M461="","",INDEX('MTRs'!$I$6:$I$505,$M461)&amp;"")</f>
        <v/>
      </c>
      <c r="G461" s="110" t="str">
        <f>IF($M461="","",INDEX('MTRs'!$T$6:$T$505,$M461)&amp;"")</f>
        <v/>
      </c>
      <c r="H461" s="111" t="str">
        <f>IF($M461="","",INDEX('MTRs'!$AQ$6:$AQ$505,$M461))</f>
        <v/>
      </c>
      <c r="I461" s="112" t="str">
        <f>IF($M461="","",INDEX('MTRs'!$U$6:$U$505,$M461))</f>
        <v/>
      </c>
      <c r="J461" s="113" t="str">
        <f>IF($M461="","",INDEX('MTRs'!$AS$6:$AS$505,$M461)&amp;"")</f>
        <v/>
      </c>
      <c r="K461" s="110" t="str">
        <f>IF($M461="","",INDEX('MTRs'!$AT$6:$AT$505,$M461)&amp;"")</f>
        <v/>
      </c>
      <c r="L461" s="110" t="str">
        <f>IF($M461="","",INDEX('MTRs'!$Y$6:$Y$505,$M461)&amp;"")</f>
        <v/>
      </c>
      <c r="M461" t="str">
        <f>IFERROR(MATCH(SMALL('MTRs'!$AU$6:$AU$505,451),'MTRs'!$AU$6:$AU$505,0),"")</f>
        <v/>
      </c>
    </row>
    <row r="462" ht="30" customHeight="1">
      <c r="B462" s="108" t="str">
        <f>IF($M462="","",INDEX('MTRs'!$A$6:$A$505,$M462)&amp;"")</f>
        <v/>
      </c>
      <c r="C462" s="109" t="str">
        <f>IF($M462="","",INDEX('MTRs'!$B$6:$B$505,$M462)&amp;"")</f>
        <v/>
      </c>
      <c r="D462" s="110" t="str">
        <f>IF($M462="","",INDEX('MTRs'!$G$6:$G$505,$M462)&amp;"")</f>
        <v/>
      </c>
      <c r="E462" s="110" t="str">
        <f>IF($M462="","",INDEX('MTRs'!$H$6:$H$505,$M462)&amp;"")</f>
        <v/>
      </c>
      <c r="F462" s="110" t="str">
        <f>IF($M462="","",INDEX('MTRs'!$I$6:$I$505,$M462)&amp;"")</f>
        <v/>
      </c>
      <c r="G462" s="110" t="str">
        <f>IF($M462="","",INDEX('MTRs'!$T$6:$T$505,$M462)&amp;"")</f>
        <v/>
      </c>
      <c r="H462" s="111" t="str">
        <f>IF($M462="","",INDEX('MTRs'!$AQ$6:$AQ$505,$M462))</f>
        <v/>
      </c>
      <c r="I462" s="112" t="str">
        <f>IF($M462="","",INDEX('MTRs'!$U$6:$U$505,$M462))</f>
        <v/>
      </c>
      <c r="J462" s="113" t="str">
        <f>IF($M462="","",INDEX('MTRs'!$AS$6:$AS$505,$M462)&amp;"")</f>
        <v/>
      </c>
      <c r="K462" s="110" t="str">
        <f>IF($M462="","",INDEX('MTRs'!$AT$6:$AT$505,$M462)&amp;"")</f>
        <v/>
      </c>
      <c r="L462" s="110" t="str">
        <f>IF($M462="","",INDEX('MTRs'!$Y$6:$Y$505,$M462)&amp;"")</f>
        <v/>
      </c>
      <c r="M462" t="str">
        <f>IFERROR(MATCH(SMALL('MTRs'!$AU$6:$AU$505,452),'MTRs'!$AU$6:$AU$505,0),"")</f>
        <v/>
      </c>
    </row>
    <row r="463" ht="30" customHeight="1">
      <c r="B463" s="108" t="str">
        <f>IF($M463="","",INDEX('MTRs'!$A$6:$A$505,$M463)&amp;"")</f>
        <v/>
      </c>
      <c r="C463" s="109" t="str">
        <f>IF($M463="","",INDEX('MTRs'!$B$6:$B$505,$M463)&amp;"")</f>
        <v/>
      </c>
      <c r="D463" s="110" t="str">
        <f>IF($M463="","",INDEX('MTRs'!$G$6:$G$505,$M463)&amp;"")</f>
        <v/>
      </c>
      <c r="E463" s="110" t="str">
        <f>IF($M463="","",INDEX('MTRs'!$H$6:$H$505,$M463)&amp;"")</f>
        <v/>
      </c>
      <c r="F463" s="110" t="str">
        <f>IF($M463="","",INDEX('MTRs'!$I$6:$I$505,$M463)&amp;"")</f>
        <v/>
      </c>
      <c r="G463" s="110" t="str">
        <f>IF($M463="","",INDEX('MTRs'!$T$6:$T$505,$M463)&amp;"")</f>
        <v/>
      </c>
      <c r="H463" s="111" t="str">
        <f>IF($M463="","",INDEX('MTRs'!$AQ$6:$AQ$505,$M463))</f>
        <v/>
      </c>
      <c r="I463" s="112" t="str">
        <f>IF($M463="","",INDEX('MTRs'!$U$6:$U$505,$M463))</f>
        <v/>
      </c>
      <c r="J463" s="113" t="str">
        <f>IF($M463="","",INDEX('MTRs'!$AS$6:$AS$505,$M463)&amp;"")</f>
        <v/>
      </c>
      <c r="K463" s="110" t="str">
        <f>IF($M463="","",INDEX('MTRs'!$AT$6:$AT$505,$M463)&amp;"")</f>
        <v/>
      </c>
      <c r="L463" s="110" t="str">
        <f>IF($M463="","",INDEX('MTRs'!$Y$6:$Y$505,$M463)&amp;"")</f>
        <v/>
      </c>
      <c r="M463" t="str">
        <f>IFERROR(MATCH(SMALL('MTRs'!$AU$6:$AU$505,453),'MTRs'!$AU$6:$AU$505,0),"")</f>
        <v/>
      </c>
    </row>
    <row r="464" ht="30" customHeight="1">
      <c r="B464" s="108" t="str">
        <f>IF($M464="","",INDEX('MTRs'!$A$6:$A$505,$M464)&amp;"")</f>
        <v/>
      </c>
      <c r="C464" s="109" t="str">
        <f>IF($M464="","",INDEX('MTRs'!$B$6:$B$505,$M464)&amp;"")</f>
        <v/>
      </c>
      <c r="D464" s="110" t="str">
        <f>IF($M464="","",INDEX('MTRs'!$G$6:$G$505,$M464)&amp;"")</f>
        <v/>
      </c>
      <c r="E464" s="110" t="str">
        <f>IF($M464="","",INDEX('MTRs'!$H$6:$H$505,$M464)&amp;"")</f>
        <v/>
      </c>
      <c r="F464" s="110" t="str">
        <f>IF($M464="","",INDEX('MTRs'!$I$6:$I$505,$M464)&amp;"")</f>
        <v/>
      </c>
      <c r="G464" s="110" t="str">
        <f>IF($M464="","",INDEX('MTRs'!$T$6:$T$505,$M464)&amp;"")</f>
        <v/>
      </c>
      <c r="H464" s="111" t="str">
        <f>IF($M464="","",INDEX('MTRs'!$AQ$6:$AQ$505,$M464))</f>
        <v/>
      </c>
      <c r="I464" s="112" t="str">
        <f>IF($M464="","",INDEX('MTRs'!$U$6:$U$505,$M464))</f>
        <v/>
      </c>
      <c r="J464" s="113" t="str">
        <f>IF($M464="","",INDEX('MTRs'!$AS$6:$AS$505,$M464)&amp;"")</f>
        <v/>
      </c>
      <c r="K464" s="110" t="str">
        <f>IF($M464="","",INDEX('MTRs'!$AT$6:$AT$505,$M464)&amp;"")</f>
        <v/>
      </c>
      <c r="L464" s="110" t="str">
        <f>IF($M464="","",INDEX('MTRs'!$Y$6:$Y$505,$M464)&amp;"")</f>
        <v/>
      </c>
      <c r="M464" t="str">
        <f>IFERROR(MATCH(SMALL('MTRs'!$AU$6:$AU$505,454),'MTRs'!$AU$6:$AU$505,0),"")</f>
        <v/>
      </c>
    </row>
    <row r="465" ht="30" customHeight="1">
      <c r="B465" s="108" t="str">
        <f>IF($M465="","",INDEX('MTRs'!$A$6:$A$505,$M465)&amp;"")</f>
        <v/>
      </c>
      <c r="C465" s="109" t="str">
        <f>IF($M465="","",INDEX('MTRs'!$B$6:$B$505,$M465)&amp;"")</f>
        <v/>
      </c>
      <c r="D465" s="110" t="str">
        <f>IF($M465="","",INDEX('MTRs'!$G$6:$G$505,$M465)&amp;"")</f>
        <v/>
      </c>
      <c r="E465" s="110" t="str">
        <f>IF($M465="","",INDEX('MTRs'!$H$6:$H$505,$M465)&amp;"")</f>
        <v/>
      </c>
      <c r="F465" s="110" t="str">
        <f>IF($M465="","",INDEX('MTRs'!$I$6:$I$505,$M465)&amp;"")</f>
        <v/>
      </c>
      <c r="G465" s="110" t="str">
        <f>IF($M465="","",INDEX('MTRs'!$T$6:$T$505,$M465)&amp;"")</f>
        <v/>
      </c>
      <c r="H465" s="111" t="str">
        <f>IF($M465="","",INDEX('MTRs'!$AQ$6:$AQ$505,$M465))</f>
        <v/>
      </c>
      <c r="I465" s="112" t="str">
        <f>IF($M465="","",INDEX('MTRs'!$U$6:$U$505,$M465))</f>
        <v/>
      </c>
      <c r="J465" s="113" t="str">
        <f>IF($M465="","",INDEX('MTRs'!$AS$6:$AS$505,$M465)&amp;"")</f>
        <v/>
      </c>
      <c r="K465" s="110" t="str">
        <f>IF($M465="","",INDEX('MTRs'!$AT$6:$AT$505,$M465)&amp;"")</f>
        <v/>
      </c>
      <c r="L465" s="110" t="str">
        <f>IF($M465="","",INDEX('MTRs'!$Y$6:$Y$505,$M465)&amp;"")</f>
        <v/>
      </c>
      <c r="M465" t="str">
        <f>IFERROR(MATCH(SMALL('MTRs'!$AU$6:$AU$505,455),'MTRs'!$AU$6:$AU$505,0),"")</f>
        <v/>
      </c>
    </row>
    <row r="466" ht="30" customHeight="1">
      <c r="B466" s="108" t="str">
        <f>IF($M466="","",INDEX('MTRs'!$A$6:$A$505,$M466)&amp;"")</f>
        <v/>
      </c>
      <c r="C466" s="109" t="str">
        <f>IF($M466="","",INDEX('MTRs'!$B$6:$B$505,$M466)&amp;"")</f>
        <v/>
      </c>
      <c r="D466" s="110" t="str">
        <f>IF($M466="","",INDEX('MTRs'!$G$6:$G$505,$M466)&amp;"")</f>
        <v/>
      </c>
      <c r="E466" s="110" t="str">
        <f>IF($M466="","",INDEX('MTRs'!$H$6:$H$505,$M466)&amp;"")</f>
        <v/>
      </c>
      <c r="F466" s="110" t="str">
        <f>IF($M466="","",INDEX('MTRs'!$I$6:$I$505,$M466)&amp;"")</f>
        <v/>
      </c>
      <c r="G466" s="110" t="str">
        <f>IF($M466="","",INDEX('MTRs'!$T$6:$T$505,$M466)&amp;"")</f>
        <v/>
      </c>
      <c r="H466" s="111" t="str">
        <f>IF($M466="","",INDEX('MTRs'!$AQ$6:$AQ$505,$M466))</f>
        <v/>
      </c>
      <c r="I466" s="112" t="str">
        <f>IF($M466="","",INDEX('MTRs'!$U$6:$U$505,$M466))</f>
        <v/>
      </c>
      <c r="J466" s="113" t="str">
        <f>IF($M466="","",INDEX('MTRs'!$AS$6:$AS$505,$M466)&amp;"")</f>
        <v/>
      </c>
      <c r="K466" s="110" t="str">
        <f>IF($M466="","",INDEX('MTRs'!$AT$6:$AT$505,$M466)&amp;"")</f>
        <v/>
      </c>
      <c r="L466" s="110" t="str">
        <f>IF($M466="","",INDEX('MTRs'!$Y$6:$Y$505,$M466)&amp;"")</f>
        <v/>
      </c>
      <c r="M466" t="str">
        <f>IFERROR(MATCH(SMALL('MTRs'!$AU$6:$AU$505,456),'MTRs'!$AU$6:$AU$505,0),"")</f>
        <v/>
      </c>
    </row>
    <row r="467" ht="30" customHeight="1">
      <c r="B467" s="108" t="str">
        <f>IF($M467="","",INDEX('MTRs'!$A$6:$A$505,$M467)&amp;"")</f>
        <v/>
      </c>
      <c r="C467" s="109" t="str">
        <f>IF($M467="","",INDEX('MTRs'!$B$6:$B$505,$M467)&amp;"")</f>
        <v/>
      </c>
      <c r="D467" s="110" t="str">
        <f>IF($M467="","",INDEX('MTRs'!$G$6:$G$505,$M467)&amp;"")</f>
        <v/>
      </c>
      <c r="E467" s="110" t="str">
        <f>IF($M467="","",INDEX('MTRs'!$H$6:$H$505,$M467)&amp;"")</f>
        <v/>
      </c>
      <c r="F467" s="110" t="str">
        <f>IF($M467="","",INDEX('MTRs'!$I$6:$I$505,$M467)&amp;"")</f>
        <v/>
      </c>
      <c r="G467" s="110" t="str">
        <f>IF($M467="","",INDEX('MTRs'!$T$6:$T$505,$M467)&amp;"")</f>
        <v/>
      </c>
      <c r="H467" s="111" t="str">
        <f>IF($M467="","",INDEX('MTRs'!$AQ$6:$AQ$505,$M467))</f>
        <v/>
      </c>
      <c r="I467" s="112" t="str">
        <f>IF($M467="","",INDEX('MTRs'!$U$6:$U$505,$M467))</f>
        <v/>
      </c>
      <c r="J467" s="113" t="str">
        <f>IF($M467="","",INDEX('MTRs'!$AS$6:$AS$505,$M467)&amp;"")</f>
        <v/>
      </c>
      <c r="K467" s="110" t="str">
        <f>IF($M467="","",INDEX('MTRs'!$AT$6:$AT$505,$M467)&amp;"")</f>
        <v/>
      </c>
      <c r="L467" s="110" t="str">
        <f>IF($M467="","",INDEX('MTRs'!$Y$6:$Y$505,$M467)&amp;"")</f>
        <v/>
      </c>
      <c r="M467" t="str">
        <f>IFERROR(MATCH(SMALL('MTRs'!$AU$6:$AU$505,457),'MTRs'!$AU$6:$AU$505,0),"")</f>
        <v/>
      </c>
    </row>
    <row r="468" ht="30" customHeight="1">
      <c r="B468" s="108" t="str">
        <f>IF($M468="","",INDEX('MTRs'!$A$6:$A$505,$M468)&amp;"")</f>
        <v/>
      </c>
      <c r="C468" s="109" t="str">
        <f>IF($M468="","",INDEX('MTRs'!$B$6:$B$505,$M468)&amp;"")</f>
        <v/>
      </c>
      <c r="D468" s="110" t="str">
        <f>IF($M468="","",INDEX('MTRs'!$G$6:$G$505,$M468)&amp;"")</f>
        <v/>
      </c>
      <c r="E468" s="110" t="str">
        <f>IF($M468="","",INDEX('MTRs'!$H$6:$H$505,$M468)&amp;"")</f>
        <v/>
      </c>
      <c r="F468" s="110" t="str">
        <f>IF($M468="","",INDEX('MTRs'!$I$6:$I$505,$M468)&amp;"")</f>
        <v/>
      </c>
      <c r="G468" s="110" t="str">
        <f>IF($M468="","",INDEX('MTRs'!$T$6:$T$505,$M468)&amp;"")</f>
        <v/>
      </c>
      <c r="H468" s="111" t="str">
        <f>IF($M468="","",INDEX('MTRs'!$AQ$6:$AQ$505,$M468))</f>
        <v/>
      </c>
      <c r="I468" s="112" t="str">
        <f>IF($M468="","",INDEX('MTRs'!$U$6:$U$505,$M468))</f>
        <v/>
      </c>
      <c r="J468" s="113" t="str">
        <f>IF($M468="","",INDEX('MTRs'!$AS$6:$AS$505,$M468)&amp;"")</f>
        <v/>
      </c>
      <c r="K468" s="110" t="str">
        <f>IF($M468="","",INDEX('MTRs'!$AT$6:$AT$505,$M468)&amp;"")</f>
        <v/>
      </c>
      <c r="L468" s="110" t="str">
        <f>IF($M468="","",INDEX('MTRs'!$Y$6:$Y$505,$M468)&amp;"")</f>
        <v/>
      </c>
      <c r="M468" t="str">
        <f>IFERROR(MATCH(SMALL('MTRs'!$AU$6:$AU$505,458),'MTRs'!$AU$6:$AU$505,0),"")</f>
        <v/>
      </c>
    </row>
    <row r="469" ht="30" customHeight="1">
      <c r="B469" s="108" t="str">
        <f>IF($M469="","",INDEX('MTRs'!$A$6:$A$505,$M469)&amp;"")</f>
        <v/>
      </c>
      <c r="C469" s="109" t="str">
        <f>IF($M469="","",INDEX('MTRs'!$B$6:$B$505,$M469)&amp;"")</f>
        <v/>
      </c>
      <c r="D469" s="110" t="str">
        <f>IF($M469="","",INDEX('MTRs'!$G$6:$G$505,$M469)&amp;"")</f>
        <v/>
      </c>
      <c r="E469" s="110" t="str">
        <f>IF($M469="","",INDEX('MTRs'!$H$6:$H$505,$M469)&amp;"")</f>
        <v/>
      </c>
      <c r="F469" s="110" t="str">
        <f>IF($M469="","",INDEX('MTRs'!$I$6:$I$505,$M469)&amp;"")</f>
        <v/>
      </c>
      <c r="G469" s="110" t="str">
        <f>IF($M469="","",INDEX('MTRs'!$T$6:$T$505,$M469)&amp;"")</f>
        <v/>
      </c>
      <c r="H469" s="111" t="str">
        <f>IF($M469="","",INDEX('MTRs'!$AQ$6:$AQ$505,$M469))</f>
        <v/>
      </c>
      <c r="I469" s="112" t="str">
        <f>IF($M469="","",INDEX('MTRs'!$U$6:$U$505,$M469))</f>
        <v/>
      </c>
      <c r="J469" s="113" t="str">
        <f>IF($M469="","",INDEX('MTRs'!$AS$6:$AS$505,$M469)&amp;"")</f>
        <v/>
      </c>
      <c r="K469" s="110" t="str">
        <f>IF($M469="","",INDEX('MTRs'!$AT$6:$AT$505,$M469)&amp;"")</f>
        <v/>
      </c>
      <c r="L469" s="110" t="str">
        <f>IF($M469="","",INDEX('MTRs'!$Y$6:$Y$505,$M469)&amp;"")</f>
        <v/>
      </c>
      <c r="M469" t="str">
        <f>IFERROR(MATCH(SMALL('MTRs'!$AU$6:$AU$505,459),'MTRs'!$AU$6:$AU$505,0),"")</f>
        <v/>
      </c>
    </row>
    <row r="470" ht="30" customHeight="1">
      <c r="B470" s="108" t="str">
        <f>IF($M470="","",INDEX('MTRs'!$A$6:$A$505,$M470)&amp;"")</f>
        <v/>
      </c>
      <c r="C470" s="109" t="str">
        <f>IF($M470="","",INDEX('MTRs'!$B$6:$B$505,$M470)&amp;"")</f>
        <v/>
      </c>
      <c r="D470" s="110" t="str">
        <f>IF($M470="","",INDEX('MTRs'!$G$6:$G$505,$M470)&amp;"")</f>
        <v/>
      </c>
      <c r="E470" s="110" t="str">
        <f>IF($M470="","",INDEX('MTRs'!$H$6:$H$505,$M470)&amp;"")</f>
        <v/>
      </c>
      <c r="F470" s="110" t="str">
        <f>IF($M470="","",INDEX('MTRs'!$I$6:$I$505,$M470)&amp;"")</f>
        <v/>
      </c>
      <c r="G470" s="110" t="str">
        <f>IF($M470="","",INDEX('MTRs'!$T$6:$T$505,$M470)&amp;"")</f>
        <v/>
      </c>
      <c r="H470" s="111" t="str">
        <f>IF($M470="","",INDEX('MTRs'!$AQ$6:$AQ$505,$M470))</f>
        <v/>
      </c>
      <c r="I470" s="112" t="str">
        <f>IF($M470="","",INDEX('MTRs'!$U$6:$U$505,$M470))</f>
        <v/>
      </c>
      <c r="J470" s="113" t="str">
        <f>IF($M470="","",INDEX('MTRs'!$AS$6:$AS$505,$M470)&amp;"")</f>
        <v/>
      </c>
      <c r="K470" s="110" t="str">
        <f>IF($M470="","",INDEX('MTRs'!$AT$6:$AT$505,$M470)&amp;"")</f>
        <v/>
      </c>
      <c r="L470" s="110" t="str">
        <f>IF($M470="","",INDEX('MTRs'!$Y$6:$Y$505,$M470)&amp;"")</f>
        <v/>
      </c>
      <c r="M470" t="str">
        <f>IFERROR(MATCH(SMALL('MTRs'!$AU$6:$AU$505,460),'MTRs'!$AU$6:$AU$505,0),"")</f>
        <v/>
      </c>
    </row>
    <row r="471" ht="30" customHeight="1">
      <c r="B471" s="108" t="str">
        <f>IF($M471="","",INDEX('MTRs'!$A$6:$A$505,$M471)&amp;"")</f>
        <v/>
      </c>
      <c r="C471" s="109" t="str">
        <f>IF($M471="","",INDEX('MTRs'!$B$6:$B$505,$M471)&amp;"")</f>
        <v/>
      </c>
      <c r="D471" s="110" t="str">
        <f>IF($M471="","",INDEX('MTRs'!$G$6:$G$505,$M471)&amp;"")</f>
        <v/>
      </c>
      <c r="E471" s="110" t="str">
        <f>IF($M471="","",INDEX('MTRs'!$H$6:$H$505,$M471)&amp;"")</f>
        <v/>
      </c>
      <c r="F471" s="110" t="str">
        <f>IF($M471="","",INDEX('MTRs'!$I$6:$I$505,$M471)&amp;"")</f>
        <v/>
      </c>
      <c r="G471" s="110" t="str">
        <f>IF($M471="","",INDEX('MTRs'!$T$6:$T$505,$M471)&amp;"")</f>
        <v/>
      </c>
      <c r="H471" s="111" t="str">
        <f>IF($M471="","",INDEX('MTRs'!$AQ$6:$AQ$505,$M471))</f>
        <v/>
      </c>
      <c r="I471" s="112" t="str">
        <f>IF($M471="","",INDEX('MTRs'!$U$6:$U$505,$M471))</f>
        <v/>
      </c>
      <c r="J471" s="113" t="str">
        <f>IF($M471="","",INDEX('MTRs'!$AS$6:$AS$505,$M471)&amp;"")</f>
        <v/>
      </c>
      <c r="K471" s="110" t="str">
        <f>IF($M471="","",INDEX('MTRs'!$AT$6:$AT$505,$M471)&amp;"")</f>
        <v/>
      </c>
      <c r="L471" s="110" t="str">
        <f>IF($M471="","",INDEX('MTRs'!$Y$6:$Y$505,$M471)&amp;"")</f>
        <v/>
      </c>
      <c r="M471" t="str">
        <f>IFERROR(MATCH(SMALL('MTRs'!$AU$6:$AU$505,461),'MTRs'!$AU$6:$AU$505,0),"")</f>
        <v/>
      </c>
    </row>
    <row r="472" ht="30" customHeight="1">
      <c r="B472" s="108" t="str">
        <f>IF($M472="","",INDEX('MTRs'!$A$6:$A$505,$M472)&amp;"")</f>
        <v/>
      </c>
      <c r="C472" s="109" t="str">
        <f>IF($M472="","",INDEX('MTRs'!$B$6:$B$505,$M472)&amp;"")</f>
        <v/>
      </c>
      <c r="D472" s="110" t="str">
        <f>IF($M472="","",INDEX('MTRs'!$G$6:$G$505,$M472)&amp;"")</f>
        <v/>
      </c>
      <c r="E472" s="110" t="str">
        <f>IF($M472="","",INDEX('MTRs'!$H$6:$H$505,$M472)&amp;"")</f>
        <v/>
      </c>
      <c r="F472" s="110" t="str">
        <f>IF($M472="","",INDEX('MTRs'!$I$6:$I$505,$M472)&amp;"")</f>
        <v/>
      </c>
      <c r="G472" s="110" t="str">
        <f>IF($M472="","",INDEX('MTRs'!$T$6:$T$505,$M472)&amp;"")</f>
        <v/>
      </c>
      <c r="H472" s="111" t="str">
        <f>IF($M472="","",INDEX('MTRs'!$AQ$6:$AQ$505,$M472))</f>
        <v/>
      </c>
      <c r="I472" s="112" t="str">
        <f>IF($M472="","",INDEX('MTRs'!$U$6:$U$505,$M472))</f>
        <v/>
      </c>
      <c r="J472" s="113" t="str">
        <f>IF($M472="","",INDEX('MTRs'!$AS$6:$AS$505,$M472)&amp;"")</f>
        <v/>
      </c>
      <c r="K472" s="110" t="str">
        <f>IF($M472="","",INDEX('MTRs'!$AT$6:$AT$505,$M472)&amp;"")</f>
        <v/>
      </c>
      <c r="L472" s="110" t="str">
        <f>IF($M472="","",INDEX('MTRs'!$Y$6:$Y$505,$M472)&amp;"")</f>
        <v/>
      </c>
      <c r="M472" t="str">
        <f>IFERROR(MATCH(SMALL('MTRs'!$AU$6:$AU$505,462),'MTRs'!$AU$6:$AU$505,0),"")</f>
        <v/>
      </c>
    </row>
    <row r="473" ht="30" customHeight="1">
      <c r="B473" s="108" t="str">
        <f>IF($M473="","",INDEX('MTRs'!$A$6:$A$505,$M473)&amp;"")</f>
        <v/>
      </c>
      <c r="C473" s="109" t="str">
        <f>IF($M473="","",INDEX('MTRs'!$B$6:$B$505,$M473)&amp;"")</f>
        <v/>
      </c>
      <c r="D473" s="110" t="str">
        <f>IF($M473="","",INDEX('MTRs'!$G$6:$G$505,$M473)&amp;"")</f>
        <v/>
      </c>
      <c r="E473" s="110" t="str">
        <f>IF($M473="","",INDEX('MTRs'!$H$6:$H$505,$M473)&amp;"")</f>
        <v/>
      </c>
      <c r="F473" s="110" t="str">
        <f>IF($M473="","",INDEX('MTRs'!$I$6:$I$505,$M473)&amp;"")</f>
        <v/>
      </c>
      <c r="G473" s="110" t="str">
        <f>IF($M473="","",INDEX('MTRs'!$T$6:$T$505,$M473)&amp;"")</f>
        <v/>
      </c>
      <c r="H473" s="111" t="str">
        <f>IF($M473="","",INDEX('MTRs'!$AQ$6:$AQ$505,$M473))</f>
        <v/>
      </c>
      <c r="I473" s="112" t="str">
        <f>IF($M473="","",INDEX('MTRs'!$U$6:$U$505,$M473))</f>
        <v/>
      </c>
      <c r="J473" s="113" t="str">
        <f>IF($M473="","",INDEX('MTRs'!$AS$6:$AS$505,$M473)&amp;"")</f>
        <v/>
      </c>
      <c r="K473" s="110" t="str">
        <f>IF($M473="","",INDEX('MTRs'!$AT$6:$AT$505,$M473)&amp;"")</f>
        <v/>
      </c>
      <c r="L473" s="110" t="str">
        <f>IF($M473="","",INDEX('MTRs'!$Y$6:$Y$505,$M473)&amp;"")</f>
        <v/>
      </c>
      <c r="M473" t="str">
        <f>IFERROR(MATCH(SMALL('MTRs'!$AU$6:$AU$505,463),'MTRs'!$AU$6:$AU$505,0),"")</f>
        <v/>
      </c>
    </row>
    <row r="474" ht="30" customHeight="1">
      <c r="B474" s="108" t="str">
        <f>IF($M474="","",INDEX('MTRs'!$A$6:$A$505,$M474)&amp;"")</f>
        <v/>
      </c>
      <c r="C474" s="109" t="str">
        <f>IF($M474="","",INDEX('MTRs'!$B$6:$B$505,$M474)&amp;"")</f>
        <v/>
      </c>
      <c r="D474" s="110" t="str">
        <f>IF($M474="","",INDEX('MTRs'!$G$6:$G$505,$M474)&amp;"")</f>
        <v/>
      </c>
      <c r="E474" s="110" t="str">
        <f>IF($M474="","",INDEX('MTRs'!$H$6:$H$505,$M474)&amp;"")</f>
        <v/>
      </c>
      <c r="F474" s="110" t="str">
        <f>IF($M474="","",INDEX('MTRs'!$I$6:$I$505,$M474)&amp;"")</f>
        <v/>
      </c>
      <c r="G474" s="110" t="str">
        <f>IF($M474="","",INDEX('MTRs'!$T$6:$T$505,$M474)&amp;"")</f>
        <v/>
      </c>
      <c r="H474" s="111" t="str">
        <f>IF($M474="","",INDEX('MTRs'!$AQ$6:$AQ$505,$M474))</f>
        <v/>
      </c>
      <c r="I474" s="112" t="str">
        <f>IF($M474="","",INDEX('MTRs'!$U$6:$U$505,$M474))</f>
        <v/>
      </c>
      <c r="J474" s="113" t="str">
        <f>IF($M474="","",INDEX('MTRs'!$AS$6:$AS$505,$M474)&amp;"")</f>
        <v/>
      </c>
      <c r="K474" s="110" t="str">
        <f>IF($M474="","",INDEX('MTRs'!$AT$6:$AT$505,$M474)&amp;"")</f>
        <v/>
      </c>
      <c r="L474" s="110" t="str">
        <f>IF($M474="","",INDEX('MTRs'!$Y$6:$Y$505,$M474)&amp;"")</f>
        <v/>
      </c>
      <c r="M474" t="str">
        <f>IFERROR(MATCH(SMALL('MTRs'!$AU$6:$AU$505,464),'MTRs'!$AU$6:$AU$505,0),"")</f>
        <v/>
      </c>
    </row>
    <row r="475" ht="30" customHeight="1">
      <c r="B475" s="108" t="str">
        <f>IF($M475="","",INDEX('MTRs'!$A$6:$A$505,$M475)&amp;"")</f>
        <v/>
      </c>
      <c r="C475" s="109" t="str">
        <f>IF($M475="","",INDEX('MTRs'!$B$6:$B$505,$M475)&amp;"")</f>
        <v/>
      </c>
      <c r="D475" s="110" t="str">
        <f>IF($M475="","",INDEX('MTRs'!$G$6:$G$505,$M475)&amp;"")</f>
        <v/>
      </c>
      <c r="E475" s="110" t="str">
        <f>IF($M475="","",INDEX('MTRs'!$H$6:$H$505,$M475)&amp;"")</f>
        <v/>
      </c>
      <c r="F475" s="110" t="str">
        <f>IF($M475="","",INDEX('MTRs'!$I$6:$I$505,$M475)&amp;"")</f>
        <v/>
      </c>
      <c r="G475" s="110" t="str">
        <f>IF($M475="","",INDEX('MTRs'!$T$6:$T$505,$M475)&amp;"")</f>
        <v/>
      </c>
      <c r="H475" s="111" t="str">
        <f>IF($M475="","",INDEX('MTRs'!$AQ$6:$AQ$505,$M475))</f>
        <v/>
      </c>
      <c r="I475" s="112" t="str">
        <f>IF($M475="","",INDEX('MTRs'!$U$6:$U$505,$M475))</f>
        <v/>
      </c>
      <c r="J475" s="113" t="str">
        <f>IF($M475="","",INDEX('MTRs'!$AS$6:$AS$505,$M475)&amp;"")</f>
        <v/>
      </c>
      <c r="K475" s="110" t="str">
        <f>IF($M475="","",INDEX('MTRs'!$AT$6:$AT$505,$M475)&amp;"")</f>
        <v/>
      </c>
      <c r="L475" s="110" t="str">
        <f>IF($M475="","",INDEX('MTRs'!$Y$6:$Y$505,$M475)&amp;"")</f>
        <v/>
      </c>
      <c r="M475" t="str">
        <f>IFERROR(MATCH(SMALL('MTRs'!$AU$6:$AU$505,465),'MTRs'!$AU$6:$AU$505,0),"")</f>
        <v/>
      </c>
    </row>
    <row r="476" ht="30" customHeight="1">
      <c r="B476" s="108" t="str">
        <f>IF($M476="","",INDEX('MTRs'!$A$6:$A$505,$M476)&amp;"")</f>
        <v/>
      </c>
      <c r="C476" s="109" t="str">
        <f>IF($M476="","",INDEX('MTRs'!$B$6:$B$505,$M476)&amp;"")</f>
        <v/>
      </c>
      <c r="D476" s="110" t="str">
        <f>IF($M476="","",INDEX('MTRs'!$G$6:$G$505,$M476)&amp;"")</f>
        <v/>
      </c>
      <c r="E476" s="110" t="str">
        <f>IF($M476="","",INDEX('MTRs'!$H$6:$H$505,$M476)&amp;"")</f>
        <v/>
      </c>
      <c r="F476" s="110" t="str">
        <f>IF($M476="","",INDEX('MTRs'!$I$6:$I$505,$M476)&amp;"")</f>
        <v/>
      </c>
      <c r="G476" s="110" t="str">
        <f>IF($M476="","",INDEX('MTRs'!$T$6:$T$505,$M476)&amp;"")</f>
        <v/>
      </c>
      <c r="H476" s="111" t="str">
        <f>IF($M476="","",INDEX('MTRs'!$AQ$6:$AQ$505,$M476))</f>
        <v/>
      </c>
      <c r="I476" s="112" t="str">
        <f>IF($M476="","",INDEX('MTRs'!$U$6:$U$505,$M476))</f>
        <v/>
      </c>
      <c r="J476" s="113" t="str">
        <f>IF($M476="","",INDEX('MTRs'!$AS$6:$AS$505,$M476)&amp;"")</f>
        <v/>
      </c>
      <c r="K476" s="110" t="str">
        <f>IF($M476="","",INDEX('MTRs'!$AT$6:$AT$505,$M476)&amp;"")</f>
        <v/>
      </c>
      <c r="L476" s="110" t="str">
        <f>IF($M476="","",INDEX('MTRs'!$Y$6:$Y$505,$M476)&amp;"")</f>
        <v/>
      </c>
      <c r="M476" t="str">
        <f>IFERROR(MATCH(SMALL('MTRs'!$AU$6:$AU$505,466),'MTRs'!$AU$6:$AU$505,0),"")</f>
        <v/>
      </c>
    </row>
    <row r="477" ht="30" customHeight="1">
      <c r="B477" s="108" t="str">
        <f>IF($M477="","",INDEX('MTRs'!$A$6:$A$505,$M477)&amp;"")</f>
        <v/>
      </c>
      <c r="C477" s="109" t="str">
        <f>IF($M477="","",INDEX('MTRs'!$B$6:$B$505,$M477)&amp;"")</f>
        <v/>
      </c>
      <c r="D477" s="110" t="str">
        <f>IF($M477="","",INDEX('MTRs'!$G$6:$G$505,$M477)&amp;"")</f>
        <v/>
      </c>
      <c r="E477" s="110" t="str">
        <f>IF($M477="","",INDEX('MTRs'!$H$6:$H$505,$M477)&amp;"")</f>
        <v/>
      </c>
      <c r="F477" s="110" t="str">
        <f>IF($M477="","",INDEX('MTRs'!$I$6:$I$505,$M477)&amp;"")</f>
        <v/>
      </c>
      <c r="G477" s="110" t="str">
        <f>IF($M477="","",INDEX('MTRs'!$T$6:$T$505,$M477)&amp;"")</f>
        <v/>
      </c>
      <c r="H477" s="111" t="str">
        <f>IF($M477="","",INDEX('MTRs'!$AQ$6:$AQ$505,$M477))</f>
        <v/>
      </c>
      <c r="I477" s="112" t="str">
        <f>IF($M477="","",INDEX('MTRs'!$U$6:$U$505,$M477))</f>
        <v/>
      </c>
      <c r="J477" s="113" t="str">
        <f>IF($M477="","",INDEX('MTRs'!$AS$6:$AS$505,$M477)&amp;"")</f>
        <v/>
      </c>
      <c r="K477" s="110" t="str">
        <f>IF($M477="","",INDEX('MTRs'!$AT$6:$AT$505,$M477)&amp;"")</f>
        <v/>
      </c>
      <c r="L477" s="110" t="str">
        <f>IF($M477="","",INDEX('MTRs'!$Y$6:$Y$505,$M477)&amp;"")</f>
        <v/>
      </c>
      <c r="M477" t="str">
        <f>IFERROR(MATCH(SMALL('MTRs'!$AU$6:$AU$505,467),'MTRs'!$AU$6:$AU$505,0),"")</f>
        <v/>
      </c>
    </row>
    <row r="478" ht="30" customHeight="1">
      <c r="B478" s="108" t="str">
        <f>IF($M478="","",INDEX('MTRs'!$A$6:$A$505,$M478)&amp;"")</f>
        <v/>
      </c>
      <c r="C478" s="109" t="str">
        <f>IF($M478="","",INDEX('MTRs'!$B$6:$B$505,$M478)&amp;"")</f>
        <v/>
      </c>
      <c r="D478" s="110" t="str">
        <f>IF($M478="","",INDEX('MTRs'!$G$6:$G$505,$M478)&amp;"")</f>
        <v/>
      </c>
      <c r="E478" s="110" t="str">
        <f>IF($M478="","",INDEX('MTRs'!$H$6:$H$505,$M478)&amp;"")</f>
        <v/>
      </c>
      <c r="F478" s="110" t="str">
        <f>IF($M478="","",INDEX('MTRs'!$I$6:$I$505,$M478)&amp;"")</f>
        <v/>
      </c>
      <c r="G478" s="110" t="str">
        <f>IF($M478="","",INDEX('MTRs'!$T$6:$T$505,$M478)&amp;"")</f>
        <v/>
      </c>
      <c r="H478" s="111" t="str">
        <f>IF($M478="","",INDEX('MTRs'!$AQ$6:$AQ$505,$M478))</f>
        <v/>
      </c>
      <c r="I478" s="112" t="str">
        <f>IF($M478="","",INDEX('MTRs'!$U$6:$U$505,$M478))</f>
        <v/>
      </c>
      <c r="J478" s="113" t="str">
        <f>IF($M478="","",INDEX('MTRs'!$AS$6:$AS$505,$M478)&amp;"")</f>
        <v/>
      </c>
      <c r="K478" s="110" t="str">
        <f>IF($M478="","",INDEX('MTRs'!$AT$6:$AT$505,$M478)&amp;"")</f>
        <v/>
      </c>
      <c r="L478" s="110" t="str">
        <f>IF($M478="","",INDEX('MTRs'!$Y$6:$Y$505,$M478)&amp;"")</f>
        <v/>
      </c>
      <c r="M478" t="str">
        <f>IFERROR(MATCH(SMALL('MTRs'!$AU$6:$AU$505,468),'MTRs'!$AU$6:$AU$505,0),"")</f>
        <v/>
      </c>
    </row>
    <row r="479" ht="30" customHeight="1">
      <c r="B479" s="108" t="str">
        <f>IF($M479="","",INDEX('MTRs'!$A$6:$A$505,$M479)&amp;"")</f>
        <v/>
      </c>
      <c r="C479" s="109" t="str">
        <f>IF($M479="","",INDEX('MTRs'!$B$6:$B$505,$M479)&amp;"")</f>
        <v/>
      </c>
      <c r="D479" s="110" t="str">
        <f>IF($M479="","",INDEX('MTRs'!$G$6:$G$505,$M479)&amp;"")</f>
        <v/>
      </c>
      <c r="E479" s="110" t="str">
        <f>IF($M479="","",INDEX('MTRs'!$H$6:$H$505,$M479)&amp;"")</f>
        <v/>
      </c>
      <c r="F479" s="110" t="str">
        <f>IF($M479="","",INDEX('MTRs'!$I$6:$I$505,$M479)&amp;"")</f>
        <v/>
      </c>
      <c r="G479" s="110" t="str">
        <f>IF($M479="","",INDEX('MTRs'!$T$6:$T$505,$M479)&amp;"")</f>
        <v/>
      </c>
      <c r="H479" s="111" t="str">
        <f>IF($M479="","",INDEX('MTRs'!$AQ$6:$AQ$505,$M479))</f>
        <v/>
      </c>
      <c r="I479" s="112" t="str">
        <f>IF($M479="","",INDEX('MTRs'!$U$6:$U$505,$M479))</f>
        <v/>
      </c>
      <c r="J479" s="113" t="str">
        <f>IF($M479="","",INDEX('MTRs'!$AS$6:$AS$505,$M479)&amp;"")</f>
        <v/>
      </c>
      <c r="K479" s="110" t="str">
        <f>IF($M479="","",INDEX('MTRs'!$AT$6:$AT$505,$M479)&amp;"")</f>
        <v/>
      </c>
      <c r="L479" s="110" t="str">
        <f>IF($M479="","",INDEX('MTRs'!$Y$6:$Y$505,$M479)&amp;"")</f>
        <v/>
      </c>
      <c r="M479" t="str">
        <f>IFERROR(MATCH(SMALL('MTRs'!$AU$6:$AU$505,469),'MTRs'!$AU$6:$AU$505,0),"")</f>
        <v/>
      </c>
    </row>
    <row r="480" ht="30" customHeight="1">
      <c r="B480" s="108" t="str">
        <f>IF($M480="","",INDEX('MTRs'!$A$6:$A$505,$M480)&amp;"")</f>
        <v/>
      </c>
      <c r="C480" s="109" t="str">
        <f>IF($M480="","",INDEX('MTRs'!$B$6:$B$505,$M480)&amp;"")</f>
        <v/>
      </c>
      <c r="D480" s="110" t="str">
        <f>IF($M480="","",INDEX('MTRs'!$G$6:$G$505,$M480)&amp;"")</f>
        <v/>
      </c>
      <c r="E480" s="110" t="str">
        <f>IF($M480="","",INDEX('MTRs'!$H$6:$H$505,$M480)&amp;"")</f>
        <v/>
      </c>
      <c r="F480" s="110" t="str">
        <f>IF($M480="","",INDEX('MTRs'!$I$6:$I$505,$M480)&amp;"")</f>
        <v/>
      </c>
      <c r="G480" s="110" t="str">
        <f>IF($M480="","",INDEX('MTRs'!$T$6:$T$505,$M480)&amp;"")</f>
        <v/>
      </c>
      <c r="H480" s="111" t="str">
        <f>IF($M480="","",INDEX('MTRs'!$AQ$6:$AQ$505,$M480))</f>
        <v/>
      </c>
      <c r="I480" s="112" t="str">
        <f>IF($M480="","",INDEX('MTRs'!$U$6:$U$505,$M480))</f>
        <v/>
      </c>
      <c r="J480" s="113" t="str">
        <f>IF($M480="","",INDEX('MTRs'!$AS$6:$AS$505,$M480)&amp;"")</f>
        <v/>
      </c>
      <c r="K480" s="110" t="str">
        <f>IF($M480="","",INDEX('MTRs'!$AT$6:$AT$505,$M480)&amp;"")</f>
        <v/>
      </c>
      <c r="L480" s="110" t="str">
        <f>IF($M480="","",INDEX('MTRs'!$Y$6:$Y$505,$M480)&amp;"")</f>
        <v/>
      </c>
      <c r="M480" t="str">
        <f>IFERROR(MATCH(SMALL('MTRs'!$AU$6:$AU$505,470),'MTRs'!$AU$6:$AU$505,0),"")</f>
        <v/>
      </c>
    </row>
    <row r="481" ht="30" customHeight="1">
      <c r="B481" s="108" t="str">
        <f>IF($M481="","",INDEX('MTRs'!$A$6:$A$505,$M481)&amp;"")</f>
        <v/>
      </c>
      <c r="C481" s="109" t="str">
        <f>IF($M481="","",INDEX('MTRs'!$B$6:$B$505,$M481)&amp;"")</f>
        <v/>
      </c>
      <c r="D481" s="110" t="str">
        <f>IF($M481="","",INDEX('MTRs'!$G$6:$G$505,$M481)&amp;"")</f>
        <v/>
      </c>
      <c r="E481" s="110" t="str">
        <f>IF($M481="","",INDEX('MTRs'!$H$6:$H$505,$M481)&amp;"")</f>
        <v/>
      </c>
      <c r="F481" s="110" t="str">
        <f>IF($M481="","",INDEX('MTRs'!$I$6:$I$505,$M481)&amp;"")</f>
        <v/>
      </c>
      <c r="G481" s="110" t="str">
        <f>IF($M481="","",INDEX('MTRs'!$T$6:$T$505,$M481)&amp;"")</f>
        <v/>
      </c>
      <c r="H481" s="111" t="str">
        <f>IF($M481="","",INDEX('MTRs'!$AQ$6:$AQ$505,$M481))</f>
        <v/>
      </c>
      <c r="I481" s="112" t="str">
        <f>IF($M481="","",INDEX('MTRs'!$U$6:$U$505,$M481))</f>
        <v/>
      </c>
      <c r="J481" s="113" t="str">
        <f>IF($M481="","",INDEX('MTRs'!$AS$6:$AS$505,$M481)&amp;"")</f>
        <v/>
      </c>
      <c r="K481" s="110" t="str">
        <f>IF($M481="","",INDEX('MTRs'!$AT$6:$AT$505,$M481)&amp;"")</f>
        <v/>
      </c>
      <c r="L481" s="110" t="str">
        <f>IF($M481="","",INDEX('MTRs'!$Y$6:$Y$505,$M481)&amp;"")</f>
        <v/>
      </c>
      <c r="M481" t="str">
        <f>IFERROR(MATCH(SMALL('MTRs'!$AU$6:$AU$505,471),'MTRs'!$AU$6:$AU$505,0),"")</f>
        <v/>
      </c>
    </row>
    <row r="482" ht="30" customHeight="1">
      <c r="B482" s="108" t="str">
        <f>IF($M482="","",INDEX('MTRs'!$A$6:$A$505,$M482)&amp;"")</f>
        <v/>
      </c>
      <c r="C482" s="109" t="str">
        <f>IF($M482="","",INDEX('MTRs'!$B$6:$B$505,$M482)&amp;"")</f>
        <v/>
      </c>
      <c r="D482" s="110" t="str">
        <f>IF($M482="","",INDEX('MTRs'!$G$6:$G$505,$M482)&amp;"")</f>
        <v/>
      </c>
      <c r="E482" s="110" t="str">
        <f>IF($M482="","",INDEX('MTRs'!$H$6:$H$505,$M482)&amp;"")</f>
        <v/>
      </c>
      <c r="F482" s="110" t="str">
        <f>IF($M482="","",INDEX('MTRs'!$I$6:$I$505,$M482)&amp;"")</f>
        <v/>
      </c>
      <c r="G482" s="110" t="str">
        <f>IF($M482="","",INDEX('MTRs'!$T$6:$T$505,$M482)&amp;"")</f>
        <v/>
      </c>
      <c r="H482" s="111" t="str">
        <f>IF($M482="","",INDEX('MTRs'!$AQ$6:$AQ$505,$M482))</f>
        <v/>
      </c>
      <c r="I482" s="112" t="str">
        <f>IF($M482="","",INDEX('MTRs'!$U$6:$U$505,$M482))</f>
        <v/>
      </c>
      <c r="J482" s="113" t="str">
        <f>IF($M482="","",INDEX('MTRs'!$AS$6:$AS$505,$M482)&amp;"")</f>
        <v/>
      </c>
      <c r="K482" s="110" t="str">
        <f>IF($M482="","",INDEX('MTRs'!$AT$6:$AT$505,$M482)&amp;"")</f>
        <v/>
      </c>
      <c r="L482" s="110" t="str">
        <f>IF($M482="","",INDEX('MTRs'!$Y$6:$Y$505,$M482)&amp;"")</f>
        <v/>
      </c>
      <c r="M482" t="str">
        <f>IFERROR(MATCH(SMALL('MTRs'!$AU$6:$AU$505,472),'MTRs'!$AU$6:$AU$505,0),"")</f>
        <v/>
      </c>
    </row>
    <row r="483" ht="30" customHeight="1">
      <c r="B483" s="108" t="str">
        <f>IF($M483="","",INDEX('MTRs'!$A$6:$A$505,$M483)&amp;"")</f>
        <v/>
      </c>
      <c r="C483" s="109" t="str">
        <f>IF($M483="","",INDEX('MTRs'!$B$6:$B$505,$M483)&amp;"")</f>
        <v/>
      </c>
      <c r="D483" s="110" t="str">
        <f>IF($M483="","",INDEX('MTRs'!$G$6:$G$505,$M483)&amp;"")</f>
        <v/>
      </c>
      <c r="E483" s="110" t="str">
        <f>IF($M483="","",INDEX('MTRs'!$H$6:$H$505,$M483)&amp;"")</f>
        <v/>
      </c>
      <c r="F483" s="110" t="str">
        <f>IF($M483="","",INDEX('MTRs'!$I$6:$I$505,$M483)&amp;"")</f>
        <v/>
      </c>
      <c r="G483" s="110" t="str">
        <f>IF($M483="","",INDEX('MTRs'!$T$6:$T$505,$M483)&amp;"")</f>
        <v/>
      </c>
      <c r="H483" s="111" t="str">
        <f>IF($M483="","",INDEX('MTRs'!$AQ$6:$AQ$505,$M483))</f>
        <v/>
      </c>
      <c r="I483" s="112" t="str">
        <f>IF($M483="","",INDEX('MTRs'!$U$6:$U$505,$M483))</f>
        <v/>
      </c>
      <c r="J483" s="113" t="str">
        <f>IF($M483="","",INDEX('MTRs'!$AS$6:$AS$505,$M483)&amp;"")</f>
        <v/>
      </c>
      <c r="K483" s="110" t="str">
        <f>IF($M483="","",INDEX('MTRs'!$AT$6:$AT$505,$M483)&amp;"")</f>
        <v/>
      </c>
      <c r="L483" s="110" t="str">
        <f>IF($M483="","",INDEX('MTRs'!$Y$6:$Y$505,$M483)&amp;"")</f>
        <v/>
      </c>
      <c r="M483" t="str">
        <f>IFERROR(MATCH(SMALL('MTRs'!$AU$6:$AU$505,473),'MTRs'!$AU$6:$AU$505,0),"")</f>
        <v/>
      </c>
    </row>
    <row r="484" ht="30" customHeight="1">
      <c r="B484" s="108" t="str">
        <f>IF($M484="","",INDEX('MTRs'!$A$6:$A$505,$M484)&amp;"")</f>
        <v/>
      </c>
      <c r="C484" s="109" t="str">
        <f>IF($M484="","",INDEX('MTRs'!$B$6:$B$505,$M484)&amp;"")</f>
        <v/>
      </c>
      <c r="D484" s="110" t="str">
        <f>IF($M484="","",INDEX('MTRs'!$G$6:$G$505,$M484)&amp;"")</f>
        <v/>
      </c>
      <c r="E484" s="110" t="str">
        <f>IF($M484="","",INDEX('MTRs'!$H$6:$H$505,$M484)&amp;"")</f>
        <v/>
      </c>
      <c r="F484" s="110" t="str">
        <f>IF($M484="","",INDEX('MTRs'!$I$6:$I$505,$M484)&amp;"")</f>
        <v/>
      </c>
      <c r="G484" s="110" t="str">
        <f>IF($M484="","",INDEX('MTRs'!$T$6:$T$505,$M484)&amp;"")</f>
        <v/>
      </c>
      <c r="H484" s="111" t="str">
        <f>IF($M484="","",INDEX('MTRs'!$AQ$6:$AQ$505,$M484))</f>
        <v/>
      </c>
      <c r="I484" s="112" t="str">
        <f>IF($M484="","",INDEX('MTRs'!$U$6:$U$505,$M484))</f>
        <v/>
      </c>
      <c r="J484" s="113" t="str">
        <f>IF($M484="","",INDEX('MTRs'!$AS$6:$AS$505,$M484)&amp;"")</f>
        <v/>
      </c>
      <c r="K484" s="110" t="str">
        <f>IF($M484="","",INDEX('MTRs'!$AT$6:$AT$505,$M484)&amp;"")</f>
        <v/>
      </c>
      <c r="L484" s="110" t="str">
        <f>IF($M484="","",INDEX('MTRs'!$Y$6:$Y$505,$M484)&amp;"")</f>
        <v/>
      </c>
      <c r="M484" t="str">
        <f>IFERROR(MATCH(SMALL('MTRs'!$AU$6:$AU$505,474),'MTRs'!$AU$6:$AU$505,0),"")</f>
        <v/>
      </c>
    </row>
    <row r="485" ht="30" customHeight="1">
      <c r="B485" s="108" t="str">
        <f>IF($M485="","",INDEX('MTRs'!$A$6:$A$505,$M485)&amp;"")</f>
        <v/>
      </c>
      <c r="C485" s="109" t="str">
        <f>IF($M485="","",INDEX('MTRs'!$B$6:$B$505,$M485)&amp;"")</f>
        <v/>
      </c>
      <c r="D485" s="110" t="str">
        <f>IF($M485="","",INDEX('MTRs'!$G$6:$G$505,$M485)&amp;"")</f>
        <v/>
      </c>
      <c r="E485" s="110" t="str">
        <f>IF($M485="","",INDEX('MTRs'!$H$6:$H$505,$M485)&amp;"")</f>
        <v/>
      </c>
      <c r="F485" s="110" t="str">
        <f>IF($M485="","",INDEX('MTRs'!$I$6:$I$505,$M485)&amp;"")</f>
        <v/>
      </c>
      <c r="G485" s="110" t="str">
        <f>IF($M485="","",INDEX('MTRs'!$T$6:$T$505,$M485)&amp;"")</f>
        <v/>
      </c>
      <c r="H485" s="111" t="str">
        <f>IF($M485="","",INDEX('MTRs'!$AQ$6:$AQ$505,$M485))</f>
        <v/>
      </c>
      <c r="I485" s="112" t="str">
        <f>IF($M485="","",INDEX('MTRs'!$U$6:$U$505,$M485))</f>
        <v/>
      </c>
      <c r="J485" s="113" t="str">
        <f>IF($M485="","",INDEX('MTRs'!$AS$6:$AS$505,$M485)&amp;"")</f>
        <v/>
      </c>
      <c r="K485" s="110" t="str">
        <f>IF($M485="","",INDEX('MTRs'!$AT$6:$AT$505,$M485)&amp;"")</f>
        <v/>
      </c>
      <c r="L485" s="110" t="str">
        <f>IF($M485="","",INDEX('MTRs'!$Y$6:$Y$505,$M485)&amp;"")</f>
        <v/>
      </c>
      <c r="M485" t="str">
        <f>IFERROR(MATCH(SMALL('MTRs'!$AU$6:$AU$505,475),'MTRs'!$AU$6:$AU$505,0),"")</f>
        <v/>
      </c>
    </row>
    <row r="486" ht="30" customHeight="1">
      <c r="B486" s="108" t="str">
        <f>IF($M486="","",INDEX('MTRs'!$A$6:$A$505,$M486)&amp;"")</f>
        <v/>
      </c>
      <c r="C486" s="109" t="str">
        <f>IF($M486="","",INDEX('MTRs'!$B$6:$B$505,$M486)&amp;"")</f>
        <v/>
      </c>
      <c r="D486" s="110" t="str">
        <f>IF($M486="","",INDEX('MTRs'!$G$6:$G$505,$M486)&amp;"")</f>
        <v/>
      </c>
      <c r="E486" s="110" t="str">
        <f>IF($M486="","",INDEX('MTRs'!$H$6:$H$505,$M486)&amp;"")</f>
        <v/>
      </c>
      <c r="F486" s="110" t="str">
        <f>IF($M486="","",INDEX('MTRs'!$I$6:$I$505,$M486)&amp;"")</f>
        <v/>
      </c>
      <c r="G486" s="110" t="str">
        <f>IF($M486="","",INDEX('MTRs'!$T$6:$T$505,$M486)&amp;"")</f>
        <v/>
      </c>
      <c r="H486" s="111" t="str">
        <f>IF($M486="","",INDEX('MTRs'!$AQ$6:$AQ$505,$M486))</f>
        <v/>
      </c>
      <c r="I486" s="112" t="str">
        <f>IF($M486="","",INDEX('MTRs'!$U$6:$U$505,$M486))</f>
        <v/>
      </c>
      <c r="J486" s="113" t="str">
        <f>IF($M486="","",INDEX('MTRs'!$AS$6:$AS$505,$M486)&amp;"")</f>
        <v/>
      </c>
      <c r="K486" s="110" t="str">
        <f>IF($M486="","",INDEX('MTRs'!$AT$6:$AT$505,$M486)&amp;"")</f>
        <v/>
      </c>
      <c r="L486" s="110" t="str">
        <f>IF($M486="","",INDEX('MTRs'!$Y$6:$Y$505,$M486)&amp;"")</f>
        <v/>
      </c>
      <c r="M486" t="str">
        <f>IFERROR(MATCH(SMALL('MTRs'!$AU$6:$AU$505,476),'MTRs'!$AU$6:$AU$505,0),"")</f>
        <v/>
      </c>
    </row>
    <row r="487" ht="30" customHeight="1">
      <c r="B487" s="108" t="str">
        <f>IF($M487="","",INDEX('MTRs'!$A$6:$A$505,$M487)&amp;"")</f>
        <v/>
      </c>
      <c r="C487" s="109" t="str">
        <f>IF($M487="","",INDEX('MTRs'!$B$6:$B$505,$M487)&amp;"")</f>
        <v/>
      </c>
      <c r="D487" s="110" t="str">
        <f>IF($M487="","",INDEX('MTRs'!$G$6:$G$505,$M487)&amp;"")</f>
        <v/>
      </c>
      <c r="E487" s="110" t="str">
        <f>IF($M487="","",INDEX('MTRs'!$H$6:$H$505,$M487)&amp;"")</f>
        <v/>
      </c>
      <c r="F487" s="110" t="str">
        <f>IF($M487="","",INDEX('MTRs'!$I$6:$I$505,$M487)&amp;"")</f>
        <v/>
      </c>
      <c r="G487" s="110" t="str">
        <f>IF($M487="","",INDEX('MTRs'!$T$6:$T$505,$M487)&amp;"")</f>
        <v/>
      </c>
      <c r="H487" s="111" t="str">
        <f>IF($M487="","",INDEX('MTRs'!$AQ$6:$AQ$505,$M487))</f>
        <v/>
      </c>
      <c r="I487" s="112" t="str">
        <f>IF($M487="","",INDEX('MTRs'!$U$6:$U$505,$M487))</f>
        <v/>
      </c>
      <c r="J487" s="113" t="str">
        <f>IF($M487="","",INDEX('MTRs'!$AS$6:$AS$505,$M487)&amp;"")</f>
        <v/>
      </c>
      <c r="K487" s="110" t="str">
        <f>IF($M487="","",INDEX('MTRs'!$AT$6:$AT$505,$M487)&amp;"")</f>
        <v/>
      </c>
      <c r="L487" s="110" t="str">
        <f>IF($M487="","",INDEX('MTRs'!$Y$6:$Y$505,$M487)&amp;"")</f>
        <v/>
      </c>
      <c r="M487" t="str">
        <f>IFERROR(MATCH(SMALL('MTRs'!$AU$6:$AU$505,477),'MTRs'!$AU$6:$AU$505,0),"")</f>
        <v/>
      </c>
    </row>
    <row r="488" ht="30" customHeight="1">
      <c r="B488" s="108" t="str">
        <f>IF($M488="","",INDEX('MTRs'!$A$6:$A$505,$M488)&amp;"")</f>
        <v/>
      </c>
      <c r="C488" s="109" t="str">
        <f>IF($M488="","",INDEX('MTRs'!$B$6:$B$505,$M488)&amp;"")</f>
        <v/>
      </c>
      <c r="D488" s="110" t="str">
        <f>IF($M488="","",INDEX('MTRs'!$G$6:$G$505,$M488)&amp;"")</f>
        <v/>
      </c>
      <c r="E488" s="110" t="str">
        <f>IF($M488="","",INDEX('MTRs'!$H$6:$H$505,$M488)&amp;"")</f>
        <v/>
      </c>
      <c r="F488" s="110" t="str">
        <f>IF($M488="","",INDEX('MTRs'!$I$6:$I$505,$M488)&amp;"")</f>
        <v/>
      </c>
      <c r="G488" s="110" t="str">
        <f>IF($M488="","",INDEX('MTRs'!$T$6:$T$505,$M488)&amp;"")</f>
        <v/>
      </c>
      <c r="H488" s="111" t="str">
        <f>IF($M488="","",INDEX('MTRs'!$AQ$6:$AQ$505,$M488))</f>
        <v/>
      </c>
      <c r="I488" s="112" t="str">
        <f>IF($M488="","",INDEX('MTRs'!$U$6:$U$505,$M488))</f>
        <v/>
      </c>
      <c r="J488" s="113" t="str">
        <f>IF($M488="","",INDEX('MTRs'!$AS$6:$AS$505,$M488)&amp;"")</f>
        <v/>
      </c>
      <c r="K488" s="110" t="str">
        <f>IF($M488="","",INDEX('MTRs'!$AT$6:$AT$505,$M488)&amp;"")</f>
        <v/>
      </c>
      <c r="L488" s="110" t="str">
        <f>IF($M488="","",INDEX('MTRs'!$Y$6:$Y$505,$M488)&amp;"")</f>
        <v/>
      </c>
      <c r="M488" t="str">
        <f>IFERROR(MATCH(SMALL('MTRs'!$AU$6:$AU$505,478),'MTRs'!$AU$6:$AU$505,0),"")</f>
        <v/>
      </c>
    </row>
    <row r="489" ht="30" customHeight="1">
      <c r="B489" s="108" t="str">
        <f>IF($M489="","",INDEX('MTRs'!$A$6:$A$505,$M489)&amp;"")</f>
        <v/>
      </c>
      <c r="C489" s="109" t="str">
        <f>IF($M489="","",INDEX('MTRs'!$B$6:$B$505,$M489)&amp;"")</f>
        <v/>
      </c>
      <c r="D489" s="110" t="str">
        <f>IF($M489="","",INDEX('MTRs'!$G$6:$G$505,$M489)&amp;"")</f>
        <v/>
      </c>
      <c r="E489" s="110" t="str">
        <f>IF($M489="","",INDEX('MTRs'!$H$6:$H$505,$M489)&amp;"")</f>
        <v/>
      </c>
      <c r="F489" s="110" t="str">
        <f>IF($M489="","",INDEX('MTRs'!$I$6:$I$505,$M489)&amp;"")</f>
        <v/>
      </c>
      <c r="G489" s="110" t="str">
        <f>IF($M489="","",INDEX('MTRs'!$T$6:$T$505,$M489)&amp;"")</f>
        <v/>
      </c>
      <c r="H489" s="111" t="str">
        <f>IF($M489="","",INDEX('MTRs'!$AQ$6:$AQ$505,$M489))</f>
        <v/>
      </c>
      <c r="I489" s="112" t="str">
        <f>IF($M489="","",INDEX('MTRs'!$U$6:$U$505,$M489))</f>
        <v/>
      </c>
      <c r="J489" s="113" t="str">
        <f>IF($M489="","",INDEX('MTRs'!$AS$6:$AS$505,$M489)&amp;"")</f>
        <v/>
      </c>
      <c r="K489" s="110" t="str">
        <f>IF($M489="","",INDEX('MTRs'!$AT$6:$AT$505,$M489)&amp;"")</f>
        <v/>
      </c>
      <c r="L489" s="110" t="str">
        <f>IF($M489="","",INDEX('MTRs'!$Y$6:$Y$505,$M489)&amp;"")</f>
        <v/>
      </c>
      <c r="M489" t="str">
        <f>IFERROR(MATCH(SMALL('MTRs'!$AU$6:$AU$505,479),'MTRs'!$AU$6:$AU$505,0),"")</f>
        <v/>
      </c>
    </row>
    <row r="490" ht="30" customHeight="1">
      <c r="B490" s="108" t="str">
        <f>IF($M490="","",INDEX('MTRs'!$A$6:$A$505,$M490)&amp;"")</f>
        <v/>
      </c>
      <c r="C490" s="109" t="str">
        <f>IF($M490="","",INDEX('MTRs'!$B$6:$B$505,$M490)&amp;"")</f>
        <v/>
      </c>
      <c r="D490" s="110" t="str">
        <f>IF($M490="","",INDEX('MTRs'!$G$6:$G$505,$M490)&amp;"")</f>
        <v/>
      </c>
      <c r="E490" s="110" t="str">
        <f>IF($M490="","",INDEX('MTRs'!$H$6:$H$505,$M490)&amp;"")</f>
        <v/>
      </c>
      <c r="F490" s="110" t="str">
        <f>IF($M490="","",INDEX('MTRs'!$I$6:$I$505,$M490)&amp;"")</f>
        <v/>
      </c>
      <c r="G490" s="110" t="str">
        <f>IF($M490="","",INDEX('MTRs'!$T$6:$T$505,$M490)&amp;"")</f>
        <v/>
      </c>
      <c r="H490" s="111" t="str">
        <f>IF($M490="","",INDEX('MTRs'!$AQ$6:$AQ$505,$M490))</f>
        <v/>
      </c>
      <c r="I490" s="112" t="str">
        <f>IF($M490="","",INDEX('MTRs'!$U$6:$U$505,$M490))</f>
        <v/>
      </c>
      <c r="J490" s="113" t="str">
        <f>IF($M490="","",INDEX('MTRs'!$AS$6:$AS$505,$M490)&amp;"")</f>
        <v/>
      </c>
      <c r="K490" s="110" t="str">
        <f>IF($M490="","",INDEX('MTRs'!$AT$6:$AT$505,$M490)&amp;"")</f>
        <v/>
      </c>
      <c r="L490" s="110" t="str">
        <f>IF($M490="","",INDEX('MTRs'!$Y$6:$Y$505,$M490)&amp;"")</f>
        <v/>
      </c>
      <c r="M490" t="str">
        <f>IFERROR(MATCH(SMALL('MTRs'!$AU$6:$AU$505,480),'MTRs'!$AU$6:$AU$505,0),"")</f>
        <v/>
      </c>
    </row>
    <row r="491" ht="30" customHeight="1">
      <c r="B491" s="108" t="str">
        <f>IF($M491="","",INDEX('MTRs'!$A$6:$A$505,$M491)&amp;"")</f>
        <v/>
      </c>
      <c r="C491" s="109" t="str">
        <f>IF($M491="","",INDEX('MTRs'!$B$6:$B$505,$M491)&amp;"")</f>
        <v/>
      </c>
      <c r="D491" s="110" t="str">
        <f>IF($M491="","",INDEX('MTRs'!$G$6:$G$505,$M491)&amp;"")</f>
        <v/>
      </c>
      <c r="E491" s="110" t="str">
        <f>IF($M491="","",INDEX('MTRs'!$H$6:$H$505,$M491)&amp;"")</f>
        <v/>
      </c>
      <c r="F491" s="110" t="str">
        <f>IF($M491="","",INDEX('MTRs'!$I$6:$I$505,$M491)&amp;"")</f>
        <v/>
      </c>
      <c r="G491" s="110" t="str">
        <f>IF($M491="","",INDEX('MTRs'!$T$6:$T$505,$M491)&amp;"")</f>
        <v/>
      </c>
      <c r="H491" s="111" t="str">
        <f>IF($M491="","",INDEX('MTRs'!$AQ$6:$AQ$505,$M491))</f>
        <v/>
      </c>
      <c r="I491" s="112" t="str">
        <f>IF($M491="","",INDEX('MTRs'!$U$6:$U$505,$M491))</f>
        <v/>
      </c>
      <c r="J491" s="113" t="str">
        <f>IF($M491="","",INDEX('MTRs'!$AS$6:$AS$505,$M491)&amp;"")</f>
        <v/>
      </c>
      <c r="K491" s="110" t="str">
        <f>IF($M491="","",INDEX('MTRs'!$AT$6:$AT$505,$M491)&amp;"")</f>
        <v/>
      </c>
      <c r="L491" s="110" t="str">
        <f>IF($M491="","",INDEX('MTRs'!$Y$6:$Y$505,$M491)&amp;"")</f>
        <v/>
      </c>
      <c r="M491" t="str">
        <f>IFERROR(MATCH(SMALL('MTRs'!$AU$6:$AU$505,481),'MTRs'!$AU$6:$AU$505,0),"")</f>
        <v/>
      </c>
    </row>
    <row r="492" ht="30" customHeight="1">
      <c r="B492" s="108" t="str">
        <f>IF($M492="","",INDEX('MTRs'!$A$6:$A$505,$M492)&amp;"")</f>
        <v/>
      </c>
      <c r="C492" s="109" t="str">
        <f>IF($M492="","",INDEX('MTRs'!$B$6:$B$505,$M492)&amp;"")</f>
        <v/>
      </c>
      <c r="D492" s="110" t="str">
        <f>IF($M492="","",INDEX('MTRs'!$G$6:$G$505,$M492)&amp;"")</f>
        <v/>
      </c>
      <c r="E492" s="110" t="str">
        <f>IF($M492="","",INDEX('MTRs'!$H$6:$H$505,$M492)&amp;"")</f>
        <v/>
      </c>
      <c r="F492" s="110" t="str">
        <f>IF($M492="","",INDEX('MTRs'!$I$6:$I$505,$M492)&amp;"")</f>
        <v/>
      </c>
      <c r="G492" s="110" t="str">
        <f>IF($M492="","",INDEX('MTRs'!$T$6:$T$505,$M492)&amp;"")</f>
        <v/>
      </c>
      <c r="H492" s="111" t="str">
        <f>IF($M492="","",INDEX('MTRs'!$AQ$6:$AQ$505,$M492))</f>
        <v/>
      </c>
      <c r="I492" s="112" t="str">
        <f>IF($M492="","",INDEX('MTRs'!$U$6:$U$505,$M492))</f>
        <v/>
      </c>
      <c r="J492" s="113" t="str">
        <f>IF($M492="","",INDEX('MTRs'!$AS$6:$AS$505,$M492)&amp;"")</f>
        <v/>
      </c>
      <c r="K492" s="110" t="str">
        <f>IF($M492="","",INDEX('MTRs'!$AT$6:$AT$505,$M492)&amp;"")</f>
        <v/>
      </c>
      <c r="L492" s="110" t="str">
        <f>IF($M492="","",INDEX('MTRs'!$Y$6:$Y$505,$M492)&amp;"")</f>
        <v/>
      </c>
      <c r="M492" t="str">
        <f>IFERROR(MATCH(SMALL('MTRs'!$AU$6:$AU$505,482),'MTRs'!$AU$6:$AU$505,0),"")</f>
        <v/>
      </c>
    </row>
    <row r="493" ht="30" customHeight="1">
      <c r="B493" s="108" t="str">
        <f>IF($M493="","",INDEX('MTRs'!$A$6:$A$505,$M493)&amp;"")</f>
        <v/>
      </c>
      <c r="C493" s="109" t="str">
        <f>IF($M493="","",INDEX('MTRs'!$B$6:$B$505,$M493)&amp;"")</f>
        <v/>
      </c>
      <c r="D493" s="110" t="str">
        <f>IF($M493="","",INDEX('MTRs'!$G$6:$G$505,$M493)&amp;"")</f>
        <v/>
      </c>
      <c r="E493" s="110" t="str">
        <f>IF($M493="","",INDEX('MTRs'!$H$6:$H$505,$M493)&amp;"")</f>
        <v/>
      </c>
      <c r="F493" s="110" t="str">
        <f>IF($M493="","",INDEX('MTRs'!$I$6:$I$505,$M493)&amp;"")</f>
        <v/>
      </c>
      <c r="G493" s="110" t="str">
        <f>IF($M493="","",INDEX('MTRs'!$T$6:$T$505,$M493)&amp;"")</f>
        <v/>
      </c>
      <c r="H493" s="111" t="str">
        <f>IF($M493="","",INDEX('MTRs'!$AQ$6:$AQ$505,$M493))</f>
        <v/>
      </c>
      <c r="I493" s="112" t="str">
        <f>IF($M493="","",INDEX('MTRs'!$U$6:$U$505,$M493))</f>
        <v/>
      </c>
      <c r="J493" s="113" t="str">
        <f>IF($M493="","",INDEX('MTRs'!$AS$6:$AS$505,$M493)&amp;"")</f>
        <v/>
      </c>
      <c r="K493" s="110" t="str">
        <f>IF($M493="","",INDEX('MTRs'!$AT$6:$AT$505,$M493)&amp;"")</f>
        <v/>
      </c>
      <c r="L493" s="110" t="str">
        <f>IF($M493="","",INDEX('MTRs'!$Y$6:$Y$505,$M493)&amp;"")</f>
        <v/>
      </c>
      <c r="M493" t="str">
        <f>IFERROR(MATCH(SMALL('MTRs'!$AU$6:$AU$505,483),'MTRs'!$AU$6:$AU$505,0),"")</f>
        <v/>
      </c>
    </row>
    <row r="494" ht="30" customHeight="1">
      <c r="B494" s="108" t="str">
        <f>IF($M494="","",INDEX('MTRs'!$A$6:$A$505,$M494)&amp;"")</f>
        <v/>
      </c>
      <c r="C494" s="109" t="str">
        <f>IF($M494="","",INDEX('MTRs'!$B$6:$B$505,$M494)&amp;"")</f>
        <v/>
      </c>
      <c r="D494" s="110" t="str">
        <f>IF($M494="","",INDEX('MTRs'!$G$6:$G$505,$M494)&amp;"")</f>
        <v/>
      </c>
      <c r="E494" s="110" t="str">
        <f>IF($M494="","",INDEX('MTRs'!$H$6:$H$505,$M494)&amp;"")</f>
        <v/>
      </c>
      <c r="F494" s="110" t="str">
        <f>IF($M494="","",INDEX('MTRs'!$I$6:$I$505,$M494)&amp;"")</f>
        <v/>
      </c>
      <c r="G494" s="110" t="str">
        <f>IF($M494="","",INDEX('MTRs'!$T$6:$T$505,$M494)&amp;"")</f>
        <v/>
      </c>
      <c r="H494" s="111" t="str">
        <f>IF($M494="","",INDEX('MTRs'!$AQ$6:$AQ$505,$M494))</f>
        <v/>
      </c>
      <c r="I494" s="112" t="str">
        <f>IF($M494="","",INDEX('MTRs'!$U$6:$U$505,$M494))</f>
        <v/>
      </c>
      <c r="J494" s="113" t="str">
        <f>IF($M494="","",INDEX('MTRs'!$AS$6:$AS$505,$M494)&amp;"")</f>
        <v/>
      </c>
      <c r="K494" s="110" t="str">
        <f>IF($M494="","",INDEX('MTRs'!$AT$6:$AT$505,$M494)&amp;"")</f>
        <v/>
      </c>
      <c r="L494" s="110" t="str">
        <f>IF($M494="","",INDEX('MTRs'!$Y$6:$Y$505,$M494)&amp;"")</f>
        <v/>
      </c>
      <c r="M494" t="str">
        <f>IFERROR(MATCH(SMALL('MTRs'!$AU$6:$AU$505,484),'MTRs'!$AU$6:$AU$505,0),"")</f>
        <v/>
      </c>
    </row>
    <row r="495" ht="30" customHeight="1">
      <c r="B495" s="108" t="str">
        <f>IF($M495="","",INDEX('MTRs'!$A$6:$A$505,$M495)&amp;"")</f>
        <v/>
      </c>
      <c r="C495" s="109" t="str">
        <f>IF($M495="","",INDEX('MTRs'!$B$6:$B$505,$M495)&amp;"")</f>
        <v/>
      </c>
      <c r="D495" s="110" t="str">
        <f>IF($M495="","",INDEX('MTRs'!$G$6:$G$505,$M495)&amp;"")</f>
        <v/>
      </c>
      <c r="E495" s="110" t="str">
        <f>IF($M495="","",INDEX('MTRs'!$H$6:$H$505,$M495)&amp;"")</f>
        <v/>
      </c>
      <c r="F495" s="110" t="str">
        <f>IF($M495="","",INDEX('MTRs'!$I$6:$I$505,$M495)&amp;"")</f>
        <v/>
      </c>
      <c r="G495" s="110" t="str">
        <f>IF($M495="","",INDEX('MTRs'!$T$6:$T$505,$M495)&amp;"")</f>
        <v/>
      </c>
      <c r="H495" s="111" t="str">
        <f>IF($M495="","",INDEX('MTRs'!$AQ$6:$AQ$505,$M495))</f>
        <v/>
      </c>
      <c r="I495" s="112" t="str">
        <f>IF($M495="","",INDEX('MTRs'!$U$6:$U$505,$M495))</f>
        <v/>
      </c>
      <c r="J495" s="113" t="str">
        <f>IF($M495="","",INDEX('MTRs'!$AS$6:$AS$505,$M495)&amp;"")</f>
        <v/>
      </c>
      <c r="K495" s="110" t="str">
        <f>IF($M495="","",INDEX('MTRs'!$AT$6:$AT$505,$M495)&amp;"")</f>
        <v/>
      </c>
      <c r="L495" s="110" t="str">
        <f>IF($M495="","",INDEX('MTRs'!$Y$6:$Y$505,$M495)&amp;"")</f>
        <v/>
      </c>
      <c r="M495" t="str">
        <f>IFERROR(MATCH(SMALL('MTRs'!$AU$6:$AU$505,485),'MTRs'!$AU$6:$AU$505,0),"")</f>
        <v/>
      </c>
    </row>
    <row r="496" ht="30" customHeight="1">
      <c r="B496" s="108" t="str">
        <f>IF($M496="","",INDEX('MTRs'!$A$6:$A$505,$M496)&amp;"")</f>
        <v/>
      </c>
      <c r="C496" s="109" t="str">
        <f>IF($M496="","",INDEX('MTRs'!$B$6:$B$505,$M496)&amp;"")</f>
        <v/>
      </c>
      <c r="D496" s="110" t="str">
        <f>IF($M496="","",INDEX('MTRs'!$G$6:$G$505,$M496)&amp;"")</f>
        <v/>
      </c>
      <c r="E496" s="110" t="str">
        <f>IF($M496="","",INDEX('MTRs'!$H$6:$H$505,$M496)&amp;"")</f>
        <v/>
      </c>
      <c r="F496" s="110" t="str">
        <f>IF($M496="","",INDEX('MTRs'!$I$6:$I$505,$M496)&amp;"")</f>
        <v/>
      </c>
      <c r="G496" s="110" t="str">
        <f>IF($M496="","",INDEX('MTRs'!$T$6:$T$505,$M496)&amp;"")</f>
        <v/>
      </c>
      <c r="H496" s="111" t="str">
        <f>IF($M496="","",INDEX('MTRs'!$AQ$6:$AQ$505,$M496))</f>
        <v/>
      </c>
      <c r="I496" s="112" t="str">
        <f>IF($M496="","",INDEX('MTRs'!$U$6:$U$505,$M496))</f>
        <v/>
      </c>
      <c r="J496" s="113" t="str">
        <f>IF($M496="","",INDEX('MTRs'!$AS$6:$AS$505,$M496)&amp;"")</f>
        <v/>
      </c>
      <c r="K496" s="110" t="str">
        <f>IF($M496="","",INDEX('MTRs'!$AT$6:$AT$505,$M496)&amp;"")</f>
        <v/>
      </c>
      <c r="L496" s="110" t="str">
        <f>IF($M496="","",INDEX('MTRs'!$Y$6:$Y$505,$M496)&amp;"")</f>
        <v/>
      </c>
      <c r="M496" t="str">
        <f>IFERROR(MATCH(SMALL('MTRs'!$AU$6:$AU$505,486),'MTRs'!$AU$6:$AU$505,0),"")</f>
        <v/>
      </c>
    </row>
    <row r="497" ht="30" customHeight="1">
      <c r="B497" s="108" t="str">
        <f>IF($M497="","",INDEX('MTRs'!$A$6:$A$505,$M497)&amp;"")</f>
        <v/>
      </c>
      <c r="C497" s="109" t="str">
        <f>IF($M497="","",INDEX('MTRs'!$B$6:$B$505,$M497)&amp;"")</f>
        <v/>
      </c>
      <c r="D497" s="110" t="str">
        <f>IF($M497="","",INDEX('MTRs'!$G$6:$G$505,$M497)&amp;"")</f>
        <v/>
      </c>
      <c r="E497" s="110" t="str">
        <f>IF($M497="","",INDEX('MTRs'!$H$6:$H$505,$M497)&amp;"")</f>
        <v/>
      </c>
      <c r="F497" s="110" t="str">
        <f>IF($M497="","",INDEX('MTRs'!$I$6:$I$505,$M497)&amp;"")</f>
        <v/>
      </c>
      <c r="G497" s="110" t="str">
        <f>IF($M497="","",INDEX('MTRs'!$T$6:$T$505,$M497)&amp;"")</f>
        <v/>
      </c>
      <c r="H497" s="111" t="str">
        <f>IF($M497="","",INDEX('MTRs'!$AQ$6:$AQ$505,$M497))</f>
        <v/>
      </c>
      <c r="I497" s="112" t="str">
        <f>IF($M497="","",INDEX('MTRs'!$U$6:$U$505,$M497))</f>
        <v/>
      </c>
      <c r="J497" s="113" t="str">
        <f>IF($M497="","",INDEX('MTRs'!$AS$6:$AS$505,$M497)&amp;"")</f>
        <v/>
      </c>
      <c r="K497" s="110" t="str">
        <f>IF($M497="","",INDEX('MTRs'!$AT$6:$AT$505,$M497)&amp;"")</f>
        <v/>
      </c>
      <c r="L497" s="110" t="str">
        <f>IF($M497="","",INDEX('MTRs'!$Y$6:$Y$505,$M497)&amp;"")</f>
        <v/>
      </c>
      <c r="M497" t="str">
        <f>IFERROR(MATCH(SMALL('MTRs'!$AU$6:$AU$505,487),'MTRs'!$AU$6:$AU$505,0),"")</f>
        <v/>
      </c>
    </row>
    <row r="498" ht="30" customHeight="1">
      <c r="B498" s="108" t="str">
        <f>IF($M498="","",INDEX('MTRs'!$A$6:$A$505,$M498)&amp;"")</f>
        <v/>
      </c>
      <c r="C498" s="109" t="str">
        <f>IF($M498="","",INDEX('MTRs'!$B$6:$B$505,$M498)&amp;"")</f>
        <v/>
      </c>
      <c r="D498" s="110" t="str">
        <f>IF($M498="","",INDEX('MTRs'!$G$6:$G$505,$M498)&amp;"")</f>
        <v/>
      </c>
      <c r="E498" s="110" t="str">
        <f>IF($M498="","",INDEX('MTRs'!$H$6:$H$505,$M498)&amp;"")</f>
        <v/>
      </c>
      <c r="F498" s="110" t="str">
        <f>IF($M498="","",INDEX('MTRs'!$I$6:$I$505,$M498)&amp;"")</f>
        <v/>
      </c>
      <c r="G498" s="110" t="str">
        <f>IF($M498="","",INDEX('MTRs'!$T$6:$T$505,$M498)&amp;"")</f>
        <v/>
      </c>
      <c r="H498" s="111" t="str">
        <f>IF($M498="","",INDEX('MTRs'!$AQ$6:$AQ$505,$M498))</f>
        <v/>
      </c>
      <c r="I498" s="112" t="str">
        <f>IF($M498="","",INDEX('MTRs'!$U$6:$U$505,$M498))</f>
        <v/>
      </c>
      <c r="J498" s="113" t="str">
        <f>IF($M498="","",INDEX('MTRs'!$AS$6:$AS$505,$M498)&amp;"")</f>
        <v/>
      </c>
      <c r="K498" s="110" t="str">
        <f>IF($M498="","",INDEX('MTRs'!$AT$6:$AT$505,$M498)&amp;"")</f>
        <v/>
      </c>
      <c r="L498" s="110" t="str">
        <f>IF($M498="","",INDEX('MTRs'!$Y$6:$Y$505,$M498)&amp;"")</f>
        <v/>
      </c>
      <c r="M498" t="str">
        <f>IFERROR(MATCH(SMALL('MTRs'!$AU$6:$AU$505,488),'MTRs'!$AU$6:$AU$505,0),"")</f>
        <v/>
      </c>
    </row>
    <row r="499" ht="30" customHeight="1">
      <c r="B499" s="108" t="str">
        <f>IF($M499="","",INDEX('MTRs'!$A$6:$A$505,$M499)&amp;"")</f>
        <v/>
      </c>
      <c r="C499" s="109" t="str">
        <f>IF($M499="","",INDEX('MTRs'!$B$6:$B$505,$M499)&amp;"")</f>
        <v/>
      </c>
      <c r="D499" s="110" t="str">
        <f>IF($M499="","",INDEX('MTRs'!$G$6:$G$505,$M499)&amp;"")</f>
        <v/>
      </c>
      <c r="E499" s="110" t="str">
        <f>IF($M499="","",INDEX('MTRs'!$H$6:$H$505,$M499)&amp;"")</f>
        <v/>
      </c>
      <c r="F499" s="110" t="str">
        <f>IF($M499="","",INDEX('MTRs'!$I$6:$I$505,$M499)&amp;"")</f>
        <v/>
      </c>
      <c r="G499" s="110" t="str">
        <f>IF($M499="","",INDEX('MTRs'!$T$6:$T$505,$M499)&amp;"")</f>
        <v/>
      </c>
      <c r="H499" s="111" t="str">
        <f>IF($M499="","",INDEX('MTRs'!$AQ$6:$AQ$505,$M499))</f>
        <v/>
      </c>
      <c r="I499" s="112" t="str">
        <f>IF($M499="","",INDEX('MTRs'!$U$6:$U$505,$M499))</f>
        <v/>
      </c>
      <c r="J499" s="113" t="str">
        <f>IF($M499="","",INDEX('MTRs'!$AS$6:$AS$505,$M499)&amp;"")</f>
        <v/>
      </c>
      <c r="K499" s="110" t="str">
        <f>IF($M499="","",INDEX('MTRs'!$AT$6:$AT$505,$M499)&amp;"")</f>
        <v/>
      </c>
      <c r="L499" s="110" t="str">
        <f>IF($M499="","",INDEX('MTRs'!$Y$6:$Y$505,$M499)&amp;"")</f>
        <v/>
      </c>
      <c r="M499" t="str">
        <f>IFERROR(MATCH(SMALL('MTRs'!$AU$6:$AU$505,489),'MTRs'!$AU$6:$AU$505,0),"")</f>
        <v/>
      </c>
    </row>
    <row r="500" ht="30" customHeight="1">
      <c r="B500" s="108" t="str">
        <f>IF($M500="","",INDEX('MTRs'!$A$6:$A$505,$M500)&amp;"")</f>
        <v/>
      </c>
      <c r="C500" s="109" t="str">
        <f>IF($M500="","",INDEX('MTRs'!$B$6:$B$505,$M500)&amp;"")</f>
        <v/>
      </c>
      <c r="D500" s="110" t="str">
        <f>IF($M500="","",INDEX('MTRs'!$G$6:$G$505,$M500)&amp;"")</f>
        <v/>
      </c>
      <c r="E500" s="110" t="str">
        <f>IF($M500="","",INDEX('MTRs'!$H$6:$H$505,$M500)&amp;"")</f>
        <v/>
      </c>
      <c r="F500" s="110" t="str">
        <f>IF($M500="","",INDEX('MTRs'!$I$6:$I$505,$M500)&amp;"")</f>
        <v/>
      </c>
      <c r="G500" s="110" t="str">
        <f>IF($M500="","",INDEX('MTRs'!$T$6:$T$505,$M500)&amp;"")</f>
        <v/>
      </c>
      <c r="H500" s="111" t="str">
        <f>IF($M500="","",INDEX('MTRs'!$AQ$6:$AQ$505,$M500))</f>
        <v/>
      </c>
      <c r="I500" s="112" t="str">
        <f>IF($M500="","",INDEX('MTRs'!$U$6:$U$505,$M500))</f>
        <v/>
      </c>
      <c r="J500" s="113" t="str">
        <f>IF($M500="","",INDEX('MTRs'!$AS$6:$AS$505,$M500)&amp;"")</f>
        <v/>
      </c>
      <c r="K500" s="110" t="str">
        <f>IF($M500="","",INDEX('MTRs'!$AT$6:$AT$505,$M500)&amp;"")</f>
        <v/>
      </c>
      <c r="L500" s="110" t="str">
        <f>IF($M500="","",INDEX('MTRs'!$Y$6:$Y$505,$M500)&amp;"")</f>
        <v/>
      </c>
      <c r="M500" t="str">
        <f>IFERROR(MATCH(SMALL('MTRs'!$AU$6:$AU$505,490),'MTRs'!$AU$6:$AU$505,0),"")</f>
        <v/>
      </c>
    </row>
    <row r="501" ht="30" customHeight="1">
      <c r="B501" s="108" t="str">
        <f>IF($M501="","",INDEX('MTRs'!$A$6:$A$505,$M501)&amp;"")</f>
        <v/>
      </c>
      <c r="C501" s="109" t="str">
        <f>IF($M501="","",INDEX('MTRs'!$B$6:$B$505,$M501)&amp;"")</f>
        <v/>
      </c>
      <c r="D501" s="110" t="str">
        <f>IF($M501="","",INDEX('MTRs'!$G$6:$G$505,$M501)&amp;"")</f>
        <v/>
      </c>
      <c r="E501" s="110" t="str">
        <f>IF($M501="","",INDEX('MTRs'!$H$6:$H$505,$M501)&amp;"")</f>
        <v/>
      </c>
      <c r="F501" s="110" t="str">
        <f>IF($M501="","",INDEX('MTRs'!$I$6:$I$505,$M501)&amp;"")</f>
        <v/>
      </c>
      <c r="G501" s="110" t="str">
        <f>IF($M501="","",INDEX('MTRs'!$T$6:$T$505,$M501)&amp;"")</f>
        <v/>
      </c>
      <c r="H501" s="111" t="str">
        <f>IF($M501="","",INDEX('MTRs'!$AQ$6:$AQ$505,$M501))</f>
        <v/>
      </c>
      <c r="I501" s="112" t="str">
        <f>IF($M501="","",INDEX('MTRs'!$U$6:$U$505,$M501))</f>
        <v/>
      </c>
      <c r="J501" s="113" t="str">
        <f>IF($M501="","",INDEX('MTRs'!$AS$6:$AS$505,$M501)&amp;"")</f>
        <v/>
      </c>
      <c r="K501" s="110" t="str">
        <f>IF($M501="","",INDEX('MTRs'!$AT$6:$AT$505,$M501)&amp;"")</f>
        <v/>
      </c>
      <c r="L501" s="110" t="str">
        <f>IF($M501="","",INDEX('MTRs'!$Y$6:$Y$505,$M501)&amp;"")</f>
        <v/>
      </c>
      <c r="M501" t="str">
        <f>IFERROR(MATCH(SMALL('MTRs'!$AU$6:$AU$505,491),'MTRs'!$AU$6:$AU$505,0),"")</f>
        <v/>
      </c>
    </row>
    <row r="502" ht="30" customHeight="1">
      <c r="B502" s="108" t="str">
        <f>IF($M502="","",INDEX('MTRs'!$A$6:$A$505,$M502)&amp;"")</f>
        <v/>
      </c>
      <c r="C502" s="109" t="str">
        <f>IF($M502="","",INDEX('MTRs'!$B$6:$B$505,$M502)&amp;"")</f>
        <v/>
      </c>
      <c r="D502" s="110" t="str">
        <f>IF($M502="","",INDEX('MTRs'!$G$6:$G$505,$M502)&amp;"")</f>
        <v/>
      </c>
      <c r="E502" s="110" t="str">
        <f>IF($M502="","",INDEX('MTRs'!$H$6:$H$505,$M502)&amp;"")</f>
        <v/>
      </c>
      <c r="F502" s="110" t="str">
        <f>IF($M502="","",INDEX('MTRs'!$I$6:$I$505,$M502)&amp;"")</f>
        <v/>
      </c>
      <c r="G502" s="110" t="str">
        <f>IF($M502="","",INDEX('MTRs'!$T$6:$T$505,$M502)&amp;"")</f>
        <v/>
      </c>
      <c r="H502" s="111" t="str">
        <f>IF($M502="","",INDEX('MTRs'!$AQ$6:$AQ$505,$M502))</f>
        <v/>
      </c>
      <c r="I502" s="112" t="str">
        <f>IF($M502="","",INDEX('MTRs'!$U$6:$U$505,$M502))</f>
        <v/>
      </c>
      <c r="J502" s="113" t="str">
        <f>IF($M502="","",INDEX('MTRs'!$AS$6:$AS$505,$M502)&amp;"")</f>
        <v/>
      </c>
      <c r="K502" s="110" t="str">
        <f>IF($M502="","",INDEX('MTRs'!$AT$6:$AT$505,$M502)&amp;"")</f>
        <v/>
      </c>
      <c r="L502" s="110" t="str">
        <f>IF($M502="","",INDEX('MTRs'!$Y$6:$Y$505,$M502)&amp;"")</f>
        <v/>
      </c>
      <c r="M502" t="str">
        <f>IFERROR(MATCH(SMALL('MTRs'!$AU$6:$AU$505,492),'MTRs'!$AU$6:$AU$505,0),"")</f>
        <v/>
      </c>
    </row>
    <row r="503" ht="30" customHeight="1">
      <c r="B503" s="108" t="str">
        <f>IF($M503="","",INDEX('MTRs'!$A$6:$A$505,$M503)&amp;"")</f>
        <v/>
      </c>
      <c r="C503" s="109" t="str">
        <f>IF($M503="","",INDEX('MTRs'!$B$6:$B$505,$M503)&amp;"")</f>
        <v/>
      </c>
      <c r="D503" s="110" t="str">
        <f>IF($M503="","",INDEX('MTRs'!$G$6:$G$505,$M503)&amp;"")</f>
        <v/>
      </c>
      <c r="E503" s="110" t="str">
        <f>IF($M503="","",INDEX('MTRs'!$H$6:$H$505,$M503)&amp;"")</f>
        <v/>
      </c>
      <c r="F503" s="110" t="str">
        <f>IF($M503="","",INDEX('MTRs'!$I$6:$I$505,$M503)&amp;"")</f>
        <v/>
      </c>
      <c r="G503" s="110" t="str">
        <f>IF($M503="","",INDEX('MTRs'!$T$6:$T$505,$M503)&amp;"")</f>
        <v/>
      </c>
      <c r="H503" s="111" t="str">
        <f>IF($M503="","",INDEX('MTRs'!$AQ$6:$AQ$505,$M503))</f>
        <v/>
      </c>
      <c r="I503" s="112" t="str">
        <f>IF($M503="","",INDEX('MTRs'!$U$6:$U$505,$M503))</f>
        <v/>
      </c>
      <c r="J503" s="113" t="str">
        <f>IF($M503="","",INDEX('MTRs'!$AS$6:$AS$505,$M503)&amp;"")</f>
        <v/>
      </c>
      <c r="K503" s="110" t="str">
        <f>IF($M503="","",INDEX('MTRs'!$AT$6:$AT$505,$M503)&amp;"")</f>
        <v/>
      </c>
      <c r="L503" s="110" t="str">
        <f>IF($M503="","",INDEX('MTRs'!$Y$6:$Y$505,$M503)&amp;"")</f>
        <v/>
      </c>
      <c r="M503" t="str">
        <f>IFERROR(MATCH(SMALL('MTRs'!$AU$6:$AU$505,493),'MTRs'!$AU$6:$AU$505,0),"")</f>
        <v/>
      </c>
    </row>
    <row r="504" ht="30" customHeight="1">
      <c r="B504" s="108" t="str">
        <f>IF($M504="","",INDEX('MTRs'!$A$6:$A$505,$M504)&amp;"")</f>
        <v/>
      </c>
      <c r="C504" s="109" t="str">
        <f>IF($M504="","",INDEX('MTRs'!$B$6:$B$505,$M504)&amp;"")</f>
        <v/>
      </c>
      <c r="D504" s="110" t="str">
        <f>IF($M504="","",INDEX('MTRs'!$G$6:$G$505,$M504)&amp;"")</f>
        <v/>
      </c>
      <c r="E504" s="110" t="str">
        <f>IF($M504="","",INDEX('MTRs'!$H$6:$H$505,$M504)&amp;"")</f>
        <v/>
      </c>
      <c r="F504" s="110" t="str">
        <f>IF($M504="","",INDEX('MTRs'!$I$6:$I$505,$M504)&amp;"")</f>
        <v/>
      </c>
      <c r="G504" s="110" t="str">
        <f>IF($M504="","",INDEX('MTRs'!$T$6:$T$505,$M504)&amp;"")</f>
        <v/>
      </c>
      <c r="H504" s="111" t="str">
        <f>IF($M504="","",INDEX('MTRs'!$AQ$6:$AQ$505,$M504))</f>
        <v/>
      </c>
      <c r="I504" s="112" t="str">
        <f>IF($M504="","",INDEX('MTRs'!$U$6:$U$505,$M504))</f>
        <v/>
      </c>
      <c r="J504" s="113" t="str">
        <f>IF($M504="","",INDEX('MTRs'!$AS$6:$AS$505,$M504)&amp;"")</f>
        <v/>
      </c>
      <c r="K504" s="110" t="str">
        <f>IF($M504="","",INDEX('MTRs'!$AT$6:$AT$505,$M504)&amp;"")</f>
        <v/>
      </c>
      <c r="L504" s="110" t="str">
        <f>IF($M504="","",INDEX('MTRs'!$Y$6:$Y$505,$M504)&amp;"")</f>
        <v/>
      </c>
      <c r="M504" t="str">
        <f>IFERROR(MATCH(SMALL('MTRs'!$AU$6:$AU$505,494),'MTRs'!$AU$6:$AU$505,0),"")</f>
        <v/>
      </c>
    </row>
    <row r="505" ht="30" customHeight="1">
      <c r="B505" s="108" t="str">
        <f>IF($M505="","",INDEX('MTRs'!$A$6:$A$505,$M505)&amp;"")</f>
        <v/>
      </c>
      <c r="C505" s="109" t="str">
        <f>IF($M505="","",INDEX('MTRs'!$B$6:$B$505,$M505)&amp;"")</f>
        <v/>
      </c>
      <c r="D505" s="110" t="str">
        <f>IF($M505="","",INDEX('MTRs'!$G$6:$G$505,$M505)&amp;"")</f>
        <v/>
      </c>
      <c r="E505" s="110" t="str">
        <f>IF($M505="","",INDEX('MTRs'!$H$6:$H$505,$M505)&amp;"")</f>
        <v/>
      </c>
      <c r="F505" s="110" t="str">
        <f>IF($M505="","",INDEX('MTRs'!$I$6:$I$505,$M505)&amp;"")</f>
        <v/>
      </c>
      <c r="G505" s="110" t="str">
        <f>IF($M505="","",INDEX('MTRs'!$T$6:$T$505,$M505)&amp;"")</f>
        <v/>
      </c>
      <c r="H505" s="111" t="str">
        <f>IF($M505="","",INDEX('MTRs'!$AQ$6:$AQ$505,$M505))</f>
        <v/>
      </c>
      <c r="I505" s="112" t="str">
        <f>IF($M505="","",INDEX('MTRs'!$U$6:$U$505,$M505))</f>
        <v/>
      </c>
      <c r="J505" s="113" t="str">
        <f>IF($M505="","",INDEX('MTRs'!$AS$6:$AS$505,$M505)&amp;"")</f>
        <v/>
      </c>
      <c r="K505" s="110" t="str">
        <f>IF($M505="","",INDEX('MTRs'!$AT$6:$AT$505,$M505)&amp;"")</f>
        <v/>
      </c>
      <c r="L505" s="110" t="str">
        <f>IF($M505="","",INDEX('MTRs'!$Y$6:$Y$505,$M505)&amp;"")</f>
        <v/>
      </c>
      <c r="M505" t="str">
        <f>IFERROR(MATCH(SMALL('MTRs'!$AU$6:$AU$505,495),'MTRs'!$AU$6:$AU$505,0),"")</f>
        <v/>
      </c>
    </row>
    <row r="506" ht="30" customHeight="1">
      <c r="B506" s="108" t="str">
        <f>IF($M506="","",INDEX('MTRs'!$A$6:$A$505,$M506)&amp;"")</f>
        <v/>
      </c>
      <c r="C506" s="109" t="str">
        <f>IF($M506="","",INDEX('MTRs'!$B$6:$B$505,$M506)&amp;"")</f>
        <v/>
      </c>
      <c r="D506" s="110" t="str">
        <f>IF($M506="","",INDEX('MTRs'!$G$6:$G$505,$M506)&amp;"")</f>
        <v/>
      </c>
      <c r="E506" s="110" t="str">
        <f>IF($M506="","",INDEX('MTRs'!$H$6:$H$505,$M506)&amp;"")</f>
        <v/>
      </c>
      <c r="F506" s="110" t="str">
        <f>IF($M506="","",INDEX('MTRs'!$I$6:$I$505,$M506)&amp;"")</f>
        <v/>
      </c>
      <c r="G506" s="110" t="str">
        <f>IF($M506="","",INDEX('MTRs'!$T$6:$T$505,$M506)&amp;"")</f>
        <v/>
      </c>
      <c r="H506" s="111" t="str">
        <f>IF($M506="","",INDEX('MTRs'!$AQ$6:$AQ$505,$M506))</f>
        <v/>
      </c>
      <c r="I506" s="112" t="str">
        <f>IF($M506="","",INDEX('MTRs'!$U$6:$U$505,$M506))</f>
        <v/>
      </c>
      <c r="J506" s="113" t="str">
        <f>IF($M506="","",INDEX('MTRs'!$AS$6:$AS$505,$M506)&amp;"")</f>
        <v/>
      </c>
      <c r="K506" s="110" t="str">
        <f>IF($M506="","",INDEX('MTRs'!$AT$6:$AT$505,$M506)&amp;"")</f>
        <v/>
      </c>
      <c r="L506" s="110" t="str">
        <f>IF($M506="","",INDEX('MTRs'!$Y$6:$Y$505,$M506)&amp;"")</f>
        <v/>
      </c>
      <c r="M506" t="str">
        <f>IFERROR(MATCH(SMALL('MTRs'!$AU$6:$AU$505,496),'MTRs'!$AU$6:$AU$505,0),"")</f>
        <v/>
      </c>
    </row>
    <row r="507" ht="30" customHeight="1">
      <c r="B507" s="108" t="str">
        <f>IF($M507="","",INDEX('MTRs'!$A$6:$A$505,$M507)&amp;"")</f>
        <v/>
      </c>
      <c r="C507" s="109" t="str">
        <f>IF($M507="","",INDEX('MTRs'!$B$6:$B$505,$M507)&amp;"")</f>
        <v/>
      </c>
      <c r="D507" s="110" t="str">
        <f>IF($M507="","",INDEX('MTRs'!$G$6:$G$505,$M507)&amp;"")</f>
        <v/>
      </c>
      <c r="E507" s="110" t="str">
        <f>IF($M507="","",INDEX('MTRs'!$H$6:$H$505,$M507)&amp;"")</f>
        <v/>
      </c>
      <c r="F507" s="110" t="str">
        <f>IF($M507="","",INDEX('MTRs'!$I$6:$I$505,$M507)&amp;"")</f>
        <v/>
      </c>
      <c r="G507" s="110" t="str">
        <f>IF($M507="","",INDEX('MTRs'!$T$6:$T$505,$M507)&amp;"")</f>
        <v/>
      </c>
      <c r="H507" s="111" t="str">
        <f>IF($M507="","",INDEX('MTRs'!$AQ$6:$AQ$505,$M507))</f>
        <v/>
      </c>
      <c r="I507" s="112" t="str">
        <f>IF($M507="","",INDEX('MTRs'!$U$6:$U$505,$M507))</f>
        <v/>
      </c>
      <c r="J507" s="113" t="str">
        <f>IF($M507="","",INDEX('MTRs'!$AS$6:$AS$505,$M507)&amp;"")</f>
        <v/>
      </c>
      <c r="K507" s="110" t="str">
        <f>IF($M507="","",INDEX('MTRs'!$AT$6:$AT$505,$M507)&amp;"")</f>
        <v/>
      </c>
      <c r="L507" s="110" t="str">
        <f>IF($M507="","",INDEX('MTRs'!$Y$6:$Y$505,$M507)&amp;"")</f>
        <v/>
      </c>
      <c r="M507" t="str">
        <f>IFERROR(MATCH(SMALL('MTRs'!$AU$6:$AU$505,497),'MTRs'!$AU$6:$AU$505,0),"")</f>
        <v/>
      </c>
    </row>
    <row r="508" ht="30" customHeight="1">
      <c r="B508" s="108" t="str">
        <f>IF($M508="","",INDEX('MTRs'!$A$6:$A$505,$M508)&amp;"")</f>
        <v/>
      </c>
      <c r="C508" s="109" t="str">
        <f>IF($M508="","",INDEX('MTRs'!$B$6:$B$505,$M508)&amp;"")</f>
        <v/>
      </c>
      <c r="D508" s="110" t="str">
        <f>IF($M508="","",INDEX('MTRs'!$G$6:$G$505,$M508)&amp;"")</f>
        <v/>
      </c>
      <c r="E508" s="110" t="str">
        <f>IF($M508="","",INDEX('MTRs'!$H$6:$H$505,$M508)&amp;"")</f>
        <v/>
      </c>
      <c r="F508" s="110" t="str">
        <f>IF($M508="","",INDEX('MTRs'!$I$6:$I$505,$M508)&amp;"")</f>
        <v/>
      </c>
      <c r="G508" s="110" t="str">
        <f>IF($M508="","",INDEX('MTRs'!$T$6:$T$505,$M508)&amp;"")</f>
        <v/>
      </c>
      <c r="H508" s="111" t="str">
        <f>IF($M508="","",INDEX('MTRs'!$AQ$6:$AQ$505,$M508))</f>
        <v/>
      </c>
      <c r="I508" s="112" t="str">
        <f>IF($M508="","",INDEX('MTRs'!$U$6:$U$505,$M508))</f>
        <v/>
      </c>
      <c r="J508" s="113" t="str">
        <f>IF($M508="","",INDEX('MTRs'!$AS$6:$AS$505,$M508)&amp;"")</f>
        <v/>
      </c>
      <c r="K508" s="110" t="str">
        <f>IF($M508="","",INDEX('MTRs'!$AT$6:$AT$505,$M508)&amp;"")</f>
        <v/>
      </c>
      <c r="L508" s="110" t="str">
        <f>IF($M508="","",INDEX('MTRs'!$Y$6:$Y$505,$M508)&amp;"")</f>
        <v/>
      </c>
      <c r="M508" t="str">
        <f>IFERROR(MATCH(SMALL('MTRs'!$AU$6:$AU$505,498),'MTRs'!$AU$6:$AU$505,0),"")</f>
        <v/>
      </c>
    </row>
    <row r="509" ht="30" customHeight="1">
      <c r="B509" s="108" t="str">
        <f>IF($M509="","",INDEX('MTRs'!$A$6:$A$505,$M509)&amp;"")</f>
        <v/>
      </c>
      <c r="C509" s="109" t="str">
        <f>IF($M509="","",INDEX('MTRs'!$B$6:$B$505,$M509)&amp;"")</f>
        <v/>
      </c>
      <c r="D509" s="110" t="str">
        <f>IF($M509="","",INDEX('MTRs'!$G$6:$G$505,$M509)&amp;"")</f>
        <v/>
      </c>
      <c r="E509" s="110" t="str">
        <f>IF($M509="","",INDEX('MTRs'!$H$6:$H$505,$M509)&amp;"")</f>
        <v/>
      </c>
      <c r="F509" s="110" t="str">
        <f>IF($M509="","",INDEX('MTRs'!$I$6:$I$505,$M509)&amp;"")</f>
        <v/>
      </c>
      <c r="G509" s="110" t="str">
        <f>IF($M509="","",INDEX('MTRs'!$T$6:$T$505,$M509)&amp;"")</f>
        <v/>
      </c>
      <c r="H509" s="111" t="str">
        <f>IF($M509="","",INDEX('MTRs'!$AQ$6:$AQ$505,$M509))</f>
        <v/>
      </c>
      <c r="I509" s="112" t="str">
        <f>IF($M509="","",INDEX('MTRs'!$U$6:$U$505,$M509))</f>
        <v/>
      </c>
      <c r="J509" s="113" t="str">
        <f>IF($M509="","",INDEX('MTRs'!$AS$6:$AS$505,$M509)&amp;"")</f>
        <v/>
      </c>
      <c r="K509" s="110" t="str">
        <f>IF($M509="","",INDEX('MTRs'!$AT$6:$AT$505,$M509)&amp;"")</f>
        <v/>
      </c>
      <c r="L509" s="110" t="str">
        <f>IF($M509="","",INDEX('MTRs'!$Y$6:$Y$505,$M509)&amp;"")</f>
        <v/>
      </c>
      <c r="M509" t="str">
        <f>IFERROR(MATCH(SMALL('MTRs'!$AU$6:$AU$505,499),'MTRs'!$AU$6:$AU$505,0),"")</f>
        <v/>
      </c>
    </row>
    <row r="510" ht="30" customHeight="1">
      <c r="B510" s="108" t="str">
        <f>IF($M510="","",INDEX('MTRs'!$A$6:$A$505,$M510)&amp;"")</f>
        <v/>
      </c>
      <c r="C510" s="109" t="str">
        <f>IF($M510="","",INDEX('MTRs'!$B$6:$B$505,$M510)&amp;"")</f>
        <v/>
      </c>
      <c r="D510" s="110" t="str">
        <f>IF($M510="","",INDEX('MTRs'!$G$6:$G$505,$M510)&amp;"")</f>
        <v/>
      </c>
      <c r="E510" s="110" t="str">
        <f>IF($M510="","",INDEX('MTRs'!$H$6:$H$505,$M510)&amp;"")</f>
        <v/>
      </c>
      <c r="F510" s="110" t="str">
        <f>IF($M510="","",INDEX('MTRs'!$I$6:$I$505,$M510)&amp;"")</f>
        <v/>
      </c>
      <c r="G510" s="110" t="str">
        <f>IF($M510="","",INDEX('MTRs'!$T$6:$T$505,$M510)&amp;"")</f>
        <v/>
      </c>
      <c r="H510" s="111" t="str">
        <f>IF($M510="","",INDEX('MTRs'!$AQ$6:$AQ$505,$M510))</f>
        <v/>
      </c>
      <c r="I510" s="112" t="str">
        <f>IF($M510="","",INDEX('MTRs'!$U$6:$U$505,$M510))</f>
        <v/>
      </c>
      <c r="J510" s="113" t="str">
        <f>IF($M510="","",INDEX('MTRs'!$AS$6:$AS$505,$M510)&amp;"")</f>
        <v/>
      </c>
      <c r="K510" s="110" t="str">
        <f>IF($M510="","",INDEX('MTRs'!$AT$6:$AT$505,$M510)&amp;"")</f>
        <v/>
      </c>
      <c r="L510" s="110" t="str">
        <f>IF($M510="","",INDEX('MTRs'!$Y$6:$Y$505,$M510)&amp;"")</f>
        <v/>
      </c>
      <c r="M510" t="str">
        <f>IFERROR(MATCH(SMALL('MTRs'!$AU$6:$AU$505,500),'MTRs'!$AU$6:$AU$505,0),"")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B6:C6"/>
    <mergeCell ref="B5:C5"/>
    <mergeCell ref="B2:L2"/>
    <mergeCell ref="H5:L6"/>
    <mergeCell ref="B1:L1"/>
    <mergeCell ref="B8:L8"/>
  </mergeCells>
  <conditionalFormatting sqref="J11:J510">
    <cfRule type="expression" priority="1" dxfId="1" stopIfTrue="1">
      <formula>J11="Alta"</formula>
    </cfRule>
    <cfRule type="expression" priority="2" dxfId="3" stopIfTrue="1">
      <formula>J11="Média"</formula>
    </cfRule>
    <cfRule type="expression" priority="3" dxfId="2" stopIfTrue="1">
      <formula>J11="Baixa"</formula>
    </cfRule>
  </conditionalFormatting>
  <conditionalFormatting sqref="G11:G510">
    <cfRule type="expression" priority="4" dxfId="0" stopIfTrue="1">
      <formula>OR(ISNUMBER(SEARCH("Cancelado",G11)),ISNUMBER(SEARCH("cancelado",G11)))</formula>
    </cfRule>
    <cfRule type="expression" priority="5" dxfId="1" stopIfTrue="1">
      <formula>OR(ISNUMBER(SEARCH("revisar",G11)),ISNUMBER(SEARCH("REVISAR",G11)),ISNUMBER(SEARCH("incompleto",G11)),ISNUMBER(SEARCH("INCOMPLETO",G11)),ISNUMBER(SEARCH("inexistente",G11)),ISNUMBER(SEARCH("inválid",G11)),ISNUMBER(SEARCH("não informad",G11)),ISNUMBER(SEARCH("fora do cadastro",G11)),ISNUMBER(SEARCH("duplicidade",G11)),ISNUMBER(SEARCH("DUPLICIDADE",G11)),ISNUMBER(SEARCH("UNIDADE A CONFERIR",G11)),ISNUMBER(SEARCH("Unidade a conferir",G11)),ISNUMBER(SEARCH("sem evidência",G11)),ISNUMBER(SEARCH("anterior à emissão",G11)),ISNUMBER(SEARCH("não positiva",G11)),ISNUMBER(SEARCH("não identificado",G11)),ISNUMBER(SEARCH("Sem MTR",G11)),ISNUMBER(SEARCH("Necessita",G11)),ISNUMBER(SEARCH("incompletas",G11)),ISNUMBER(SEARCH("Nome repetido",G11)),ISNUMBER(SEARCH("Informe",G11)),ISNUMBER(SEARCH("vencida",G11)))</formula>
    </cfRule>
    <cfRule type="expression" priority="6" dxfId="2" stopIfTrue="1">
      <formula>OR(ISNUMBER(SEARCH("a conferir",G11)),ISNUMBER(SEARCH("A CONFERIR",G11)),ISNUMBER(SEARCH("Aguardando conferência",G11)),ISNUMBER(SEARCH("Localizado",G11)),ISNUMBER(SEARCH("ver diferença",G11)),ISNUMBER(SEARCH("analisado",G11)),ISNUMBER(SEARCH("Data futura",G11)),ISNUMBER(SEARCH("Não calculável",G11)))</formula>
    </cfRule>
    <cfRule type="expression" priority="7" dxfId="3" stopIfTrue="1">
      <formula>OR(ISNUMBER(SEARCH("Aguardando",G11)),ISNUMBER(SEARCH("parcial",G11)),ISNUMBER(SEARCH("Cadastrado",G11)),ISNUMBER(SEARCH("NÃO CONFIRMADO",G11)),ISNUMBER(SEARCH("NÃO LOCALIZADO",G11)),ISNUMBER(SEARCH("VÍNCULO INCOMPLETO",G11)))</formula>
    </cfRule>
    <cfRule type="expression" priority="8" dxfId="4" stopIfTrue="1">
      <formula>OR(EXACT(G11,"OK"),ISNUMBER(SEARCH("conferida",G11)),ISNUMBER(SEARCH("Conferido",G11)),ISNUMBER(SEARCH("Nenhuma",G11)))</formula>
    </cfRule>
  </conditionalFormatting>
  <conditionalFormatting sqref="B11:L510">
    <cfRule type="expression" priority="9" dxfId="8">
      <formula>AND($B11&lt;&gt;"",MOD(ROW(),2)=0)</formula>
    </cfRule>
  </conditionalFormatting>
  <hyperlinks>
    <hyperlink ref="B3" location="'INÍCIO'!A1"/>
    <hyperlink ref="C3" location="'PAINEL'!A1"/>
    <hyperlink ref="D3" location="'MTRs'!A1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1766A9"/>
    <outlinePr summaryBelow="1" summaryRight="1"/>
    <pageSetUpPr fitToPage="1"/>
  </sheetPr>
  <dimension ref="B1:L1104"/>
  <sheetViews>
    <sheetView showGridLines="0" zoomScale="9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20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18" customWidth="1" min="9" max="9"/>
    <col width="24" customWidth="1" min="10" max="10"/>
    <col width="3" customWidth="1" min="11" max="11"/>
    <col hidden="1" width="10" customWidth="1" min="12" max="12"/>
  </cols>
  <sheetData>
    <row r="1" ht="36" customHeight="1">
      <c r="B1" s="101" t="inlineStr">
        <is>
          <t>RELATÓRIOS AUTOMÁTICOS</t>
        </is>
      </c>
      <c r="C1" s="101" t="n"/>
      <c r="D1" s="101" t="n"/>
      <c r="E1" s="101" t="n"/>
      <c r="F1" s="101" t="n"/>
      <c r="G1" s="101" t="n"/>
      <c r="H1" s="101" t="n"/>
      <c r="I1" s="101" t="n"/>
      <c r="J1" s="101" t="n"/>
    </row>
    <row r="2">
      <c r="B2" s="114" t="inlineStr">
        <is>
          <t>Consultas e consolidações feitas com os dados cadastrados. Para imprimir ou gerar PDF, use Arquivo &gt; Imprimir ou Arquivo &gt; Exportar.</t>
        </is>
      </c>
      <c r="C2" s="114" t="n"/>
      <c r="D2" s="114" t="n"/>
      <c r="E2" s="114" t="n"/>
      <c r="F2" s="114" t="n"/>
      <c r="G2" s="114" t="n"/>
      <c r="H2" s="114" t="n"/>
      <c r="I2" s="114" t="n"/>
      <c r="J2" s="114" t="n"/>
    </row>
    <row r="3">
      <c r="B3" s="35" t="inlineStr">
        <is>
          <t>◀ INÍCIO</t>
        </is>
      </c>
      <c r="C3" s="35" t="inlineStr">
        <is>
          <t>PAINEL</t>
        </is>
      </c>
    </row>
    <row r="5">
      <c r="B5" s="58" t="inlineStr">
        <is>
          <t>FILTROS DOS RELATÓRIOS</t>
        </is>
      </c>
      <c r="C5" s="58" t="n"/>
      <c r="D5" s="58" t="n"/>
      <c r="E5" s="58" t="n"/>
      <c r="F5" s="58" t="n"/>
      <c r="G5" s="58" t="n"/>
      <c r="H5" s="58" t="n"/>
      <c r="I5" s="58" t="n"/>
      <c r="J5" s="58" t="n"/>
    </row>
    <row r="6">
      <c r="B6" s="38" t="inlineStr">
        <is>
          <t>▼ Período inicial</t>
        </is>
      </c>
      <c r="C6" s="38" t="inlineStr">
        <is>
          <t>▼ Período final</t>
        </is>
      </c>
      <c r="D6" s="38" t="inlineStr">
        <is>
          <t>▼ Unidade geradora</t>
        </is>
      </c>
      <c r="E6" s="38" t="n"/>
      <c r="F6" s="38" t="inlineStr">
        <is>
          <t>▼ Destinador</t>
        </is>
      </c>
      <c r="G6" s="38" t="n"/>
      <c r="H6" s="115" t="inlineStr">
        <is>
          <t>Cada relatório informa qual data o período considera. Deixe em branco ou em (Todas)/(Todos) para ver tudo.</t>
        </is>
      </c>
      <c r="I6" s="115" t="n"/>
      <c r="J6" s="115" t="n"/>
      <c r="L6" t="str">
        <f>IF(OR(r_un="",r_un="(Todas)"),"Todas",r_un)</f>
        <v>Todas</v>
      </c>
    </row>
    <row r="7" ht="24" customHeight="1">
      <c r="B7" s="40" t="n"/>
      <c r="C7" s="40" t="n"/>
      <c r="D7" s="41" t="inlineStr">
        <is>
          <t>(Todas)</t>
        </is>
      </c>
      <c r="E7" s="41" t="n"/>
      <c r="F7" s="41" t="inlineStr">
        <is>
          <t>(Todos)</t>
        </is>
      </c>
      <c r="G7" s="41" t="n"/>
      <c r="H7" s="115" t="n"/>
      <c r="I7" s="115" t="n"/>
      <c r="J7" s="115" t="n"/>
      <c r="L7" t="str">
        <f>IF(AND(r_ini="",r_fim=""),"Todo o período",IF(ISNUMBER(r_ini),TEXT(DAY(r_ini),"00")&amp;"/"&amp;TEXT(MONTH(r_ini),"00")&amp;"/"&amp;YEAR(r_ini),"início")&amp;" a "&amp;IF(ISNUMBER(r_fim),TEXT(DAY(r_fim),"00")&amp;"/"&amp;TEXT(MONTH(r_fim),"00")&amp;"/"&amp;YEAR(r_fim),"hoje"))</f>
        <v>Todo o período</v>
      </c>
    </row>
    <row r="10" ht="26" customHeight="1">
      <c r="B10" s="116" t="inlineStr">
        <is>
          <t>RELATÓRIO 01 | MTRs POR PERÍODO</t>
        </is>
      </c>
      <c r="C10" s="116" t="n"/>
      <c r="D10" s="116" t="n"/>
      <c r="E10" s="116" t="n"/>
      <c r="F10" s="116" t="n"/>
      <c r="G10" s="116" t="n"/>
      <c r="H10" s="116" t="n"/>
      <c r="I10" s="116" t="n"/>
      <c r="J10" s="116" t="n"/>
    </row>
    <row r="11" ht="28" customHeight="1">
      <c r="B11" s="117" t="inlineStr">
        <is>
          <t>Data considerada: data de emissão do MTR. Mostra 12 meses a partir do período inicial (ou os 12 meses até o período final ou o MTR mais recente). Filtros: período, unidade e destinador.</t>
        </is>
      </c>
      <c r="C11" s="117" t="n"/>
      <c r="D11" s="117" t="n"/>
      <c r="E11" s="117" t="n"/>
      <c r="F11" s="117" t="n"/>
      <c r="G11" s="117" t="n"/>
      <c r="L11" s="118">
        <f>IF(ISNUMBER(r_fim),r_fim,IF(MAX('MTRs'!$E$6:$E$505)&gt;0,MAX('MTRs'!$E$6:$E$505),TODAY()))</f>
        <v>46314</v>
      </c>
    </row>
    <row r="12" ht="34" customHeight="1">
      <c r="B12" s="43" t="inlineStr">
        <is>
          <t>Mês/ano</t>
        </is>
      </c>
      <c r="C12" s="43" t="inlineStr">
        <is>
          <t>Unidade</t>
        </is>
      </c>
      <c r="D12" s="43" t="inlineStr">
        <is>
          <t>Nº de MTRs</t>
        </is>
      </c>
      <c r="E12" s="43" t="inlineStr">
        <is>
          <t>Quantidade movimentada (kg)</t>
        </is>
      </c>
      <c r="F12" s="43" t="inlineStr">
        <is>
          <t>Documentação conferida</t>
        </is>
      </c>
      <c r="G12" s="43" t="inlineStr">
        <is>
          <t>Em acompanhamento</t>
        </is>
      </c>
      <c r="H12" s="43" t="inlineStr">
        <is>
          <t>A revisar ou incompletos</t>
        </is>
      </c>
      <c r="I12" s="43" t="inlineStr">
        <is>
          <t>Cancelados</t>
        </is>
      </c>
    </row>
    <row r="13">
      <c r="B13" s="119" t="str">
        <f>CHOOSE(MONTH(L13),"jan","fev","mar","abr","mai","jun","jul","ago","set","out","nov","dez")&amp;"/"&amp;RIGHT(YEAR(L13),2)</f>
        <v>nov/25</v>
      </c>
      <c r="C13" s="120" t="str">
        <f>$L$6</f>
        <v>Todas</v>
      </c>
      <c r="D13" s="121">
        <f>COUNTIFS('MTRs'!$BA$6:$BA$505,1,'MTRs'!$AZ$6:$AZ$505,$L13)</f>
        <v>0</v>
      </c>
      <c r="E13" s="122">
        <f>SUMIFS('ITENS_MTR'!$I$6:$I$1005,'ITENS_MTR'!$AR$6:$AR$1005,1,'ITENS_MTR'!$Y$6:$Y$1005,1,'ITENS_MTR'!$AQ$6:$AQ$1005,$L13)</f>
        <v>0</v>
      </c>
      <c r="F13" s="121">
        <f>COUNTIFS('MTRs'!$BA$6:$BA$505,1,'MTRs'!$AZ$6:$AZ$505,$L13,'MTRs'!$S$6:$S$505,"Documentação conferida")</f>
        <v>0</v>
      </c>
      <c r="G13" s="121">
        <f>COUNTIFS('MTRs'!$BA$6:$BA$505,1,'MTRs'!$AZ$6:$AZ$505,$L13,'MTRs'!$S$6:$S$505,"Aguardando recebimento")+COUNTIFS('MTRs'!$BA$6:$BA$505,1,'MTRs'!$AZ$6:$AZ$505,$L13,'MTRs'!$S$6:$S$505,"Aguardando CDF")+COUNTIFS('MTRs'!$BA$6:$BA$505,1,'MTRs'!$AZ$6:$AZ$505,$L13,'MTRs'!$S$6:$S$505,"Vínculo de CDF parcial")+COUNTIFS('MTRs'!$BA$6:$BA$505,1,'MTRs'!$AZ$6:$AZ$505,$L13,'MTRs'!$S$6:$S$505,"CDF localizado, a conferir")</f>
        <v>0</v>
      </c>
      <c r="H13" s="121">
        <f>COUNTIFS('MTRs'!$BA$6:$BA$505,1,'MTRs'!$AZ$6:$AZ$505,$L13,'MTRs'!$S$6:$S$505,"Informação a revisar")+COUNTIFS('MTRs'!$BA$6:$BA$505,1,'MTRs'!$AZ$6:$AZ$505,$L13,'MTRs'!$S$6:$S$505,"Cadastro incompleto")</f>
        <v>0</v>
      </c>
      <c r="I13" s="121">
        <f>COUNTIFS('MTRs'!$BA$6:$BA$505,1,'MTRs'!$AZ$6:$AZ$505,$L13,'MTRs'!$AA$6:$AA$505,1)</f>
        <v>0</v>
      </c>
      <c r="L13" s="118">
        <f>IF(ISNUMBER(r_ini),DATE(YEAR(r_ini),MONTH(r_ini),1),EDATE(DATE(YEAR(L11),MONTH(L11),1),-11))</f>
        <v>45962</v>
      </c>
    </row>
    <row r="14">
      <c r="B14" s="119" t="str">
        <f>CHOOSE(MONTH(L14),"jan","fev","mar","abr","mai","jun","jul","ago","set","out","nov","dez")&amp;"/"&amp;RIGHT(YEAR(L14),2)</f>
        <v>dez/25</v>
      </c>
      <c r="C14" s="120" t="str">
        <f>$L$6</f>
        <v>Todas</v>
      </c>
      <c r="D14" s="121">
        <f>COUNTIFS('MTRs'!$BA$6:$BA$505,1,'MTRs'!$AZ$6:$AZ$505,$L14)</f>
        <v>0</v>
      </c>
      <c r="E14" s="122">
        <f>SUMIFS('ITENS_MTR'!$I$6:$I$1005,'ITENS_MTR'!$AR$6:$AR$1005,1,'ITENS_MTR'!$Y$6:$Y$1005,1,'ITENS_MTR'!$AQ$6:$AQ$1005,$L14)</f>
        <v>0</v>
      </c>
      <c r="F14" s="121">
        <f>COUNTIFS('MTRs'!$BA$6:$BA$505,1,'MTRs'!$AZ$6:$AZ$505,$L14,'MTRs'!$S$6:$S$505,"Documentação conferida")</f>
        <v>0</v>
      </c>
      <c r="G14" s="121">
        <f>COUNTIFS('MTRs'!$BA$6:$BA$505,1,'MTRs'!$AZ$6:$AZ$505,$L14,'MTRs'!$S$6:$S$505,"Aguardando recebimento")+COUNTIFS('MTRs'!$BA$6:$BA$505,1,'MTRs'!$AZ$6:$AZ$505,$L14,'MTRs'!$S$6:$S$505,"Aguardando CDF")+COUNTIFS('MTRs'!$BA$6:$BA$505,1,'MTRs'!$AZ$6:$AZ$505,$L14,'MTRs'!$S$6:$S$505,"Vínculo de CDF parcial")+COUNTIFS('MTRs'!$BA$6:$BA$505,1,'MTRs'!$AZ$6:$AZ$505,$L14,'MTRs'!$S$6:$S$505,"CDF localizado, a conferir")</f>
        <v>0</v>
      </c>
      <c r="H14" s="121">
        <f>COUNTIFS('MTRs'!$BA$6:$BA$505,1,'MTRs'!$AZ$6:$AZ$505,$L14,'MTRs'!$S$6:$S$505,"Informação a revisar")+COUNTIFS('MTRs'!$BA$6:$BA$505,1,'MTRs'!$AZ$6:$AZ$505,$L14,'MTRs'!$S$6:$S$505,"Cadastro incompleto")</f>
        <v>0</v>
      </c>
      <c r="I14" s="121">
        <f>COUNTIFS('MTRs'!$BA$6:$BA$505,1,'MTRs'!$AZ$6:$AZ$505,$L14,'MTRs'!$AA$6:$AA$505,1)</f>
        <v>0</v>
      </c>
      <c r="L14" s="118">
        <f>EDATE(L13,1)</f>
        <v>45992</v>
      </c>
    </row>
    <row r="15">
      <c r="B15" s="119" t="str">
        <f>CHOOSE(MONTH(L15),"jan","fev","mar","abr","mai","jun","jul","ago","set","out","nov","dez")&amp;"/"&amp;RIGHT(YEAR(L15),2)</f>
        <v>jan/26</v>
      </c>
      <c r="C15" s="120" t="str">
        <f>$L$6</f>
        <v>Todas</v>
      </c>
      <c r="D15" s="121">
        <f>COUNTIFS('MTRs'!$BA$6:$BA$505,1,'MTRs'!$AZ$6:$AZ$505,$L15)</f>
        <v>0</v>
      </c>
      <c r="E15" s="122">
        <f>SUMIFS('ITENS_MTR'!$I$6:$I$1005,'ITENS_MTR'!$AR$6:$AR$1005,1,'ITENS_MTR'!$Y$6:$Y$1005,1,'ITENS_MTR'!$AQ$6:$AQ$1005,$L15)</f>
        <v>0</v>
      </c>
      <c r="F15" s="121">
        <f>COUNTIFS('MTRs'!$BA$6:$BA$505,1,'MTRs'!$AZ$6:$AZ$505,$L15,'MTRs'!$S$6:$S$505,"Documentação conferida")</f>
        <v>0</v>
      </c>
      <c r="G15" s="121">
        <f>COUNTIFS('MTRs'!$BA$6:$BA$505,1,'MTRs'!$AZ$6:$AZ$505,$L15,'MTRs'!$S$6:$S$505,"Aguardando recebimento")+COUNTIFS('MTRs'!$BA$6:$BA$505,1,'MTRs'!$AZ$6:$AZ$505,$L15,'MTRs'!$S$6:$S$505,"Aguardando CDF")+COUNTIFS('MTRs'!$BA$6:$BA$505,1,'MTRs'!$AZ$6:$AZ$505,$L15,'MTRs'!$S$6:$S$505,"Vínculo de CDF parcial")+COUNTIFS('MTRs'!$BA$6:$BA$505,1,'MTRs'!$AZ$6:$AZ$505,$L15,'MTRs'!$S$6:$S$505,"CDF localizado, a conferir")</f>
        <v>0</v>
      </c>
      <c r="H15" s="121">
        <f>COUNTIFS('MTRs'!$BA$6:$BA$505,1,'MTRs'!$AZ$6:$AZ$505,$L15,'MTRs'!$S$6:$S$505,"Informação a revisar")+COUNTIFS('MTRs'!$BA$6:$BA$505,1,'MTRs'!$AZ$6:$AZ$505,$L15,'MTRs'!$S$6:$S$505,"Cadastro incompleto")</f>
        <v>0</v>
      </c>
      <c r="I15" s="121">
        <f>COUNTIFS('MTRs'!$BA$6:$BA$505,1,'MTRs'!$AZ$6:$AZ$505,$L15,'MTRs'!$AA$6:$AA$505,1)</f>
        <v>0</v>
      </c>
      <c r="L15" s="118">
        <f>EDATE(L14,1)</f>
        <v>46023</v>
      </c>
    </row>
    <row r="16">
      <c r="B16" s="119" t="str">
        <f>CHOOSE(MONTH(L16),"jan","fev","mar","abr","mai","jun","jul","ago","set","out","nov","dez")&amp;"/"&amp;RIGHT(YEAR(L16),2)</f>
        <v>fev/26</v>
      </c>
      <c r="C16" s="120" t="str">
        <f>$L$6</f>
        <v>Todas</v>
      </c>
      <c r="D16" s="121">
        <f>COUNTIFS('MTRs'!$BA$6:$BA$505,1,'MTRs'!$AZ$6:$AZ$505,$L16)</f>
        <v>0</v>
      </c>
      <c r="E16" s="122">
        <f>SUMIFS('ITENS_MTR'!$I$6:$I$1005,'ITENS_MTR'!$AR$6:$AR$1005,1,'ITENS_MTR'!$Y$6:$Y$1005,1,'ITENS_MTR'!$AQ$6:$AQ$1005,$L16)</f>
        <v>0</v>
      </c>
      <c r="F16" s="121">
        <f>COUNTIFS('MTRs'!$BA$6:$BA$505,1,'MTRs'!$AZ$6:$AZ$505,$L16,'MTRs'!$S$6:$S$505,"Documentação conferida")</f>
        <v>0</v>
      </c>
      <c r="G16" s="121">
        <f>COUNTIFS('MTRs'!$BA$6:$BA$505,1,'MTRs'!$AZ$6:$AZ$505,$L16,'MTRs'!$S$6:$S$505,"Aguardando recebimento")+COUNTIFS('MTRs'!$BA$6:$BA$505,1,'MTRs'!$AZ$6:$AZ$505,$L16,'MTRs'!$S$6:$S$505,"Aguardando CDF")+COUNTIFS('MTRs'!$BA$6:$BA$505,1,'MTRs'!$AZ$6:$AZ$505,$L16,'MTRs'!$S$6:$S$505,"Vínculo de CDF parcial")+COUNTIFS('MTRs'!$BA$6:$BA$505,1,'MTRs'!$AZ$6:$AZ$505,$L16,'MTRs'!$S$6:$S$505,"CDF localizado, a conferir")</f>
        <v>0</v>
      </c>
      <c r="H16" s="121">
        <f>COUNTIFS('MTRs'!$BA$6:$BA$505,1,'MTRs'!$AZ$6:$AZ$505,$L16,'MTRs'!$S$6:$S$505,"Informação a revisar")+COUNTIFS('MTRs'!$BA$6:$BA$505,1,'MTRs'!$AZ$6:$AZ$505,$L16,'MTRs'!$S$6:$S$505,"Cadastro incompleto")</f>
        <v>0</v>
      </c>
      <c r="I16" s="121">
        <f>COUNTIFS('MTRs'!$BA$6:$BA$505,1,'MTRs'!$AZ$6:$AZ$505,$L16,'MTRs'!$AA$6:$AA$505,1)</f>
        <v>0</v>
      </c>
      <c r="L16" s="118">
        <f>EDATE(L15,1)</f>
        <v>46054</v>
      </c>
    </row>
    <row r="17">
      <c r="B17" s="119" t="str">
        <f>CHOOSE(MONTH(L17),"jan","fev","mar","abr","mai","jun","jul","ago","set","out","nov","dez")&amp;"/"&amp;RIGHT(YEAR(L17),2)</f>
        <v>mar/26</v>
      </c>
      <c r="C17" s="120" t="str">
        <f>$L$6</f>
        <v>Todas</v>
      </c>
      <c r="D17" s="121">
        <f>COUNTIFS('MTRs'!$BA$6:$BA$505,1,'MTRs'!$AZ$6:$AZ$505,$L17)</f>
        <v>0</v>
      </c>
      <c r="E17" s="122">
        <f>SUMIFS('ITENS_MTR'!$I$6:$I$1005,'ITENS_MTR'!$AR$6:$AR$1005,1,'ITENS_MTR'!$Y$6:$Y$1005,1,'ITENS_MTR'!$AQ$6:$AQ$1005,$L17)</f>
        <v>0</v>
      </c>
      <c r="F17" s="121">
        <f>COUNTIFS('MTRs'!$BA$6:$BA$505,1,'MTRs'!$AZ$6:$AZ$505,$L17,'MTRs'!$S$6:$S$505,"Documentação conferida")</f>
        <v>0</v>
      </c>
      <c r="G17" s="121">
        <f>COUNTIFS('MTRs'!$BA$6:$BA$505,1,'MTRs'!$AZ$6:$AZ$505,$L17,'MTRs'!$S$6:$S$505,"Aguardando recebimento")+COUNTIFS('MTRs'!$BA$6:$BA$505,1,'MTRs'!$AZ$6:$AZ$505,$L17,'MTRs'!$S$6:$S$505,"Aguardando CDF")+COUNTIFS('MTRs'!$BA$6:$BA$505,1,'MTRs'!$AZ$6:$AZ$505,$L17,'MTRs'!$S$6:$S$505,"Vínculo de CDF parcial")+COUNTIFS('MTRs'!$BA$6:$BA$505,1,'MTRs'!$AZ$6:$AZ$505,$L17,'MTRs'!$S$6:$S$505,"CDF localizado, a conferir")</f>
        <v>0</v>
      </c>
      <c r="H17" s="121">
        <f>COUNTIFS('MTRs'!$BA$6:$BA$505,1,'MTRs'!$AZ$6:$AZ$505,$L17,'MTRs'!$S$6:$S$505,"Informação a revisar")+COUNTIFS('MTRs'!$BA$6:$BA$505,1,'MTRs'!$AZ$6:$AZ$505,$L17,'MTRs'!$S$6:$S$505,"Cadastro incompleto")</f>
        <v>0</v>
      </c>
      <c r="I17" s="121">
        <f>COUNTIFS('MTRs'!$BA$6:$BA$505,1,'MTRs'!$AZ$6:$AZ$505,$L17,'MTRs'!$AA$6:$AA$505,1)</f>
        <v>0</v>
      </c>
      <c r="L17" s="118">
        <f>EDATE(L16,1)</f>
        <v>46082</v>
      </c>
    </row>
    <row r="18">
      <c r="B18" s="119" t="str">
        <f>CHOOSE(MONTH(L18),"jan","fev","mar","abr","mai","jun","jul","ago","set","out","nov","dez")&amp;"/"&amp;RIGHT(YEAR(L18),2)</f>
        <v>abr/26</v>
      </c>
      <c r="C18" s="120" t="str">
        <f>$L$6</f>
        <v>Todas</v>
      </c>
      <c r="D18" s="121">
        <f>COUNTIFS('MTRs'!$BA$6:$BA$505,1,'MTRs'!$AZ$6:$AZ$505,$L18)</f>
        <v>0</v>
      </c>
      <c r="E18" s="122">
        <f>SUMIFS('ITENS_MTR'!$I$6:$I$1005,'ITENS_MTR'!$AR$6:$AR$1005,1,'ITENS_MTR'!$Y$6:$Y$1005,1,'ITENS_MTR'!$AQ$6:$AQ$1005,$L18)</f>
        <v>0</v>
      </c>
      <c r="F18" s="121">
        <f>COUNTIFS('MTRs'!$BA$6:$BA$505,1,'MTRs'!$AZ$6:$AZ$505,$L18,'MTRs'!$S$6:$S$505,"Documentação conferida")</f>
        <v>0</v>
      </c>
      <c r="G18" s="121">
        <f>COUNTIFS('MTRs'!$BA$6:$BA$505,1,'MTRs'!$AZ$6:$AZ$505,$L18,'MTRs'!$S$6:$S$505,"Aguardando recebimento")+COUNTIFS('MTRs'!$BA$6:$BA$505,1,'MTRs'!$AZ$6:$AZ$505,$L18,'MTRs'!$S$6:$S$505,"Aguardando CDF")+COUNTIFS('MTRs'!$BA$6:$BA$505,1,'MTRs'!$AZ$6:$AZ$505,$L18,'MTRs'!$S$6:$S$505,"Vínculo de CDF parcial")+COUNTIFS('MTRs'!$BA$6:$BA$505,1,'MTRs'!$AZ$6:$AZ$505,$L18,'MTRs'!$S$6:$S$505,"CDF localizado, a conferir")</f>
        <v>0</v>
      </c>
      <c r="H18" s="121">
        <f>COUNTIFS('MTRs'!$BA$6:$BA$505,1,'MTRs'!$AZ$6:$AZ$505,$L18,'MTRs'!$S$6:$S$505,"Informação a revisar")+COUNTIFS('MTRs'!$BA$6:$BA$505,1,'MTRs'!$AZ$6:$AZ$505,$L18,'MTRs'!$S$6:$S$505,"Cadastro incompleto")</f>
        <v>0</v>
      </c>
      <c r="I18" s="121">
        <f>COUNTIFS('MTRs'!$BA$6:$BA$505,1,'MTRs'!$AZ$6:$AZ$505,$L18,'MTRs'!$AA$6:$AA$505,1)</f>
        <v>0</v>
      </c>
      <c r="L18" s="118">
        <f>EDATE(L17,1)</f>
        <v>46113</v>
      </c>
    </row>
    <row r="19">
      <c r="B19" s="119" t="str">
        <f>CHOOSE(MONTH(L19),"jan","fev","mar","abr","mai","jun","jul","ago","set","out","nov","dez")&amp;"/"&amp;RIGHT(YEAR(L19),2)</f>
        <v>mai/26</v>
      </c>
      <c r="C19" s="120" t="str">
        <f>$L$6</f>
        <v>Todas</v>
      </c>
      <c r="D19" s="121">
        <f>COUNTIFS('MTRs'!$BA$6:$BA$505,1,'MTRs'!$AZ$6:$AZ$505,$L19)</f>
        <v>0</v>
      </c>
      <c r="E19" s="122">
        <f>SUMIFS('ITENS_MTR'!$I$6:$I$1005,'ITENS_MTR'!$AR$6:$AR$1005,1,'ITENS_MTR'!$Y$6:$Y$1005,1,'ITENS_MTR'!$AQ$6:$AQ$1005,$L19)</f>
        <v>0</v>
      </c>
      <c r="F19" s="121">
        <f>COUNTIFS('MTRs'!$BA$6:$BA$505,1,'MTRs'!$AZ$6:$AZ$505,$L19,'MTRs'!$S$6:$S$505,"Documentação conferida")</f>
        <v>0</v>
      </c>
      <c r="G19" s="121">
        <f>COUNTIFS('MTRs'!$BA$6:$BA$505,1,'MTRs'!$AZ$6:$AZ$505,$L19,'MTRs'!$S$6:$S$505,"Aguardando recebimento")+COUNTIFS('MTRs'!$BA$6:$BA$505,1,'MTRs'!$AZ$6:$AZ$505,$L19,'MTRs'!$S$6:$S$505,"Aguardando CDF")+COUNTIFS('MTRs'!$BA$6:$BA$505,1,'MTRs'!$AZ$6:$AZ$505,$L19,'MTRs'!$S$6:$S$505,"Vínculo de CDF parcial")+COUNTIFS('MTRs'!$BA$6:$BA$505,1,'MTRs'!$AZ$6:$AZ$505,$L19,'MTRs'!$S$6:$S$505,"CDF localizado, a conferir")</f>
        <v>0</v>
      </c>
      <c r="H19" s="121">
        <f>COUNTIFS('MTRs'!$BA$6:$BA$505,1,'MTRs'!$AZ$6:$AZ$505,$L19,'MTRs'!$S$6:$S$505,"Informação a revisar")+COUNTIFS('MTRs'!$BA$6:$BA$505,1,'MTRs'!$AZ$6:$AZ$505,$L19,'MTRs'!$S$6:$S$505,"Cadastro incompleto")</f>
        <v>0</v>
      </c>
      <c r="I19" s="121">
        <f>COUNTIFS('MTRs'!$BA$6:$BA$505,1,'MTRs'!$AZ$6:$AZ$505,$L19,'MTRs'!$AA$6:$AA$505,1)</f>
        <v>0</v>
      </c>
      <c r="L19" s="118">
        <f>EDATE(L18,1)</f>
        <v>46143</v>
      </c>
    </row>
    <row r="20">
      <c r="B20" s="119" t="str">
        <f>CHOOSE(MONTH(L20),"jan","fev","mar","abr","mai","jun","jul","ago","set","out","nov","dez")&amp;"/"&amp;RIGHT(YEAR(L20),2)</f>
        <v>jun/26</v>
      </c>
      <c r="C20" s="120" t="str">
        <f>$L$6</f>
        <v>Todas</v>
      </c>
      <c r="D20" s="121">
        <f>COUNTIFS('MTRs'!$BA$6:$BA$505,1,'MTRs'!$AZ$6:$AZ$505,$L20)</f>
        <v>0</v>
      </c>
      <c r="E20" s="122">
        <f>SUMIFS('ITENS_MTR'!$I$6:$I$1005,'ITENS_MTR'!$AR$6:$AR$1005,1,'ITENS_MTR'!$Y$6:$Y$1005,1,'ITENS_MTR'!$AQ$6:$AQ$1005,$L20)</f>
        <v>0</v>
      </c>
      <c r="F20" s="121">
        <f>COUNTIFS('MTRs'!$BA$6:$BA$505,1,'MTRs'!$AZ$6:$AZ$505,$L20,'MTRs'!$S$6:$S$505,"Documentação conferida")</f>
        <v>0</v>
      </c>
      <c r="G20" s="121">
        <f>COUNTIFS('MTRs'!$BA$6:$BA$505,1,'MTRs'!$AZ$6:$AZ$505,$L20,'MTRs'!$S$6:$S$505,"Aguardando recebimento")+COUNTIFS('MTRs'!$BA$6:$BA$505,1,'MTRs'!$AZ$6:$AZ$505,$L20,'MTRs'!$S$6:$S$505,"Aguardando CDF")+COUNTIFS('MTRs'!$BA$6:$BA$505,1,'MTRs'!$AZ$6:$AZ$505,$L20,'MTRs'!$S$6:$S$505,"Vínculo de CDF parcial")+COUNTIFS('MTRs'!$BA$6:$BA$505,1,'MTRs'!$AZ$6:$AZ$505,$L20,'MTRs'!$S$6:$S$505,"CDF localizado, a conferir")</f>
        <v>0</v>
      </c>
      <c r="H20" s="121">
        <f>COUNTIFS('MTRs'!$BA$6:$BA$505,1,'MTRs'!$AZ$6:$AZ$505,$L20,'MTRs'!$S$6:$S$505,"Informação a revisar")+COUNTIFS('MTRs'!$BA$6:$BA$505,1,'MTRs'!$AZ$6:$AZ$505,$L20,'MTRs'!$S$6:$S$505,"Cadastro incompleto")</f>
        <v>0</v>
      </c>
      <c r="I20" s="121">
        <f>COUNTIFS('MTRs'!$BA$6:$BA$505,1,'MTRs'!$AZ$6:$AZ$505,$L20,'MTRs'!$AA$6:$AA$505,1)</f>
        <v>0</v>
      </c>
      <c r="L20" s="118">
        <f>EDATE(L19,1)</f>
        <v>46174</v>
      </c>
    </row>
    <row r="21">
      <c r="B21" s="119" t="str">
        <f>CHOOSE(MONTH(L21),"jan","fev","mar","abr","mai","jun","jul","ago","set","out","nov","dez")&amp;"/"&amp;RIGHT(YEAR(L21),2)</f>
        <v>jul/26</v>
      </c>
      <c r="C21" s="120" t="str">
        <f>$L$6</f>
        <v>Todas</v>
      </c>
      <c r="D21" s="121">
        <f>COUNTIFS('MTRs'!$BA$6:$BA$505,1,'MTRs'!$AZ$6:$AZ$505,$L21)</f>
        <v>0</v>
      </c>
      <c r="E21" s="122">
        <f>SUMIFS('ITENS_MTR'!$I$6:$I$1005,'ITENS_MTR'!$AR$6:$AR$1005,1,'ITENS_MTR'!$Y$6:$Y$1005,1,'ITENS_MTR'!$AQ$6:$AQ$1005,$L21)</f>
        <v>0</v>
      </c>
      <c r="F21" s="121">
        <f>COUNTIFS('MTRs'!$BA$6:$BA$505,1,'MTRs'!$AZ$6:$AZ$505,$L21,'MTRs'!$S$6:$S$505,"Documentação conferida")</f>
        <v>0</v>
      </c>
      <c r="G21" s="121">
        <f>COUNTIFS('MTRs'!$BA$6:$BA$505,1,'MTRs'!$AZ$6:$AZ$505,$L21,'MTRs'!$S$6:$S$505,"Aguardando recebimento")+COUNTIFS('MTRs'!$BA$6:$BA$505,1,'MTRs'!$AZ$6:$AZ$505,$L21,'MTRs'!$S$6:$S$505,"Aguardando CDF")+COUNTIFS('MTRs'!$BA$6:$BA$505,1,'MTRs'!$AZ$6:$AZ$505,$L21,'MTRs'!$S$6:$S$505,"Vínculo de CDF parcial")+COUNTIFS('MTRs'!$BA$6:$BA$505,1,'MTRs'!$AZ$6:$AZ$505,$L21,'MTRs'!$S$6:$S$505,"CDF localizado, a conferir")</f>
        <v>0</v>
      </c>
      <c r="H21" s="121">
        <f>COUNTIFS('MTRs'!$BA$6:$BA$505,1,'MTRs'!$AZ$6:$AZ$505,$L21,'MTRs'!$S$6:$S$505,"Informação a revisar")+COUNTIFS('MTRs'!$BA$6:$BA$505,1,'MTRs'!$AZ$6:$AZ$505,$L21,'MTRs'!$S$6:$S$505,"Cadastro incompleto")</f>
        <v>0</v>
      </c>
      <c r="I21" s="121">
        <f>COUNTIFS('MTRs'!$BA$6:$BA$505,1,'MTRs'!$AZ$6:$AZ$505,$L21,'MTRs'!$AA$6:$AA$505,1)</f>
        <v>0</v>
      </c>
      <c r="L21" s="118">
        <f>EDATE(L20,1)</f>
        <v>46204</v>
      </c>
    </row>
    <row r="22">
      <c r="B22" s="119" t="str">
        <f>CHOOSE(MONTH(L22),"jan","fev","mar","abr","mai","jun","jul","ago","set","out","nov","dez")&amp;"/"&amp;RIGHT(YEAR(L22),2)</f>
        <v>ago/26</v>
      </c>
      <c r="C22" s="120" t="str">
        <f>$L$6</f>
        <v>Todas</v>
      </c>
      <c r="D22" s="121">
        <f>COUNTIFS('MTRs'!$BA$6:$BA$505,1,'MTRs'!$AZ$6:$AZ$505,$L22)</f>
        <v>0</v>
      </c>
      <c r="E22" s="122">
        <f>SUMIFS('ITENS_MTR'!$I$6:$I$1005,'ITENS_MTR'!$AR$6:$AR$1005,1,'ITENS_MTR'!$Y$6:$Y$1005,1,'ITENS_MTR'!$AQ$6:$AQ$1005,$L22)</f>
        <v>0</v>
      </c>
      <c r="F22" s="121">
        <f>COUNTIFS('MTRs'!$BA$6:$BA$505,1,'MTRs'!$AZ$6:$AZ$505,$L22,'MTRs'!$S$6:$S$505,"Documentação conferida")</f>
        <v>0</v>
      </c>
      <c r="G22" s="121">
        <f>COUNTIFS('MTRs'!$BA$6:$BA$505,1,'MTRs'!$AZ$6:$AZ$505,$L22,'MTRs'!$S$6:$S$505,"Aguardando recebimento")+COUNTIFS('MTRs'!$BA$6:$BA$505,1,'MTRs'!$AZ$6:$AZ$505,$L22,'MTRs'!$S$6:$S$505,"Aguardando CDF")+COUNTIFS('MTRs'!$BA$6:$BA$505,1,'MTRs'!$AZ$6:$AZ$505,$L22,'MTRs'!$S$6:$S$505,"Vínculo de CDF parcial")+COUNTIFS('MTRs'!$BA$6:$BA$505,1,'MTRs'!$AZ$6:$AZ$505,$L22,'MTRs'!$S$6:$S$505,"CDF localizado, a conferir")</f>
        <v>0</v>
      </c>
      <c r="H22" s="121">
        <f>COUNTIFS('MTRs'!$BA$6:$BA$505,1,'MTRs'!$AZ$6:$AZ$505,$L22,'MTRs'!$S$6:$S$505,"Informação a revisar")+COUNTIFS('MTRs'!$BA$6:$BA$505,1,'MTRs'!$AZ$6:$AZ$505,$L22,'MTRs'!$S$6:$S$505,"Cadastro incompleto")</f>
        <v>0</v>
      </c>
      <c r="I22" s="121">
        <f>COUNTIFS('MTRs'!$BA$6:$BA$505,1,'MTRs'!$AZ$6:$AZ$505,$L22,'MTRs'!$AA$6:$AA$505,1)</f>
        <v>0</v>
      </c>
      <c r="L22" s="118">
        <f>EDATE(L21,1)</f>
        <v>46235</v>
      </c>
    </row>
    <row r="23">
      <c r="B23" s="119" t="str">
        <f>CHOOSE(MONTH(L23),"jan","fev","mar","abr","mai","jun","jul","ago","set","out","nov","dez")&amp;"/"&amp;RIGHT(YEAR(L23),2)</f>
        <v>set/26</v>
      </c>
      <c r="C23" s="120" t="str">
        <f>$L$6</f>
        <v>Todas</v>
      </c>
      <c r="D23" s="121">
        <f>COUNTIFS('MTRs'!$BA$6:$BA$505,1,'MTRs'!$AZ$6:$AZ$505,$L23)</f>
        <v>0</v>
      </c>
      <c r="E23" s="122">
        <f>SUMIFS('ITENS_MTR'!$I$6:$I$1005,'ITENS_MTR'!$AR$6:$AR$1005,1,'ITENS_MTR'!$Y$6:$Y$1005,1,'ITENS_MTR'!$AQ$6:$AQ$1005,$L23)</f>
        <v>0</v>
      </c>
      <c r="F23" s="121">
        <f>COUNTIFS('MTRs'!$BA$6:$BA$505,1,'MTRs'!$AZ$6:$AZ$505,$L23,'MTRs'!$S$6:$S$505,"Documentação conferida")</f>
        <v>0</v>
      </c>
      <c r="G23" s="121">
        <f>COUNTIFS('MTRs'!$BA$6:$BA$505,1,'MTRs'!$AZ$6:$AZ$505,$L23,'MTRs'!$S$6:$S$505,"Aguardando recebimento")+COUNTIFS('MTRs'!$BA$6:$BA$505,1,'MTRs'!$AZ$6:$AZ$505,$L23,'MTRs'!$S$6:$S$505,"Aguardando CDF")+COUNTIFS('MTRs'!$BA$6:$BA$505,1,'MTRs'!$AZ$6:$AZ$505,$L23,'MTRs'!$S$6:$S$505,"Vínculo de CDF parcial")+COUNTIFS('MTRs'!$BA$6:$BA$505,1,'MTRs'!$AZ$6:$AZ$505,$L23,'MTRs'!$S$6:$S$505,"CDF localizado, a conferir")</f>
        <v>0</v>
      </c>
      <c r="H23" s="121">
        <f>COUNTIFS('MTRs'!$BA$6:$BA$505,1,'MTRs'!$AZ$6:$AZ$505,$L23,'MTRs'!$S$6:$S$505,"Informação a revisar")+COUNTIFS('MTRs'!$BA$6:$BA$505,1,'MTRs'!$AZ$6:$AZ$505,$L23,'MTRs'!$S$6:$S$505,"Cadastro incompleto")</f>
        <v>0</v>
      </c>
      <c r="I23" s="121">
        <f>COUNTIFS('MTRs'!$BA$6:$BA$505,1,'MTRs'!$AZ$6:$AZ$505,$L23,'MTRs'!$AA$6:$AA$505,1)</f>
        <v>0</v>
      </c>
      <c r="L23" s="118">
        <f>EDATE(L22,1)</f>
        <v>46266</v>
      </c>
    </row>
    <row r="24">
      <c r="B24" s="119" t="str">
        <f>CHOOSE(MONTH(L24),"jan","fev","mar","abr","mai","jun","jul","ago","set","out","nov","dez")&amp;"/"&amp;RIGHT(YEAR(L24),2)</f>
        <v>out/26</v>
      </c>
      <c r="C24" s="120" t="str">
        <f>$L$6</f>
        <v>Todas</v>
      </c>
      <c r="D24" s="121">
        <f>COUNTIFS('MTRs'!$BA$6:$BA$505,1,'MTRs'!$AZ$6:$AZ$505,$L24)</f>
        <v>0</v>
      </c>
      <c r="E24" s="122">
        <f>SUMIFS('ITENS_MTR'!$I$6:$I$1005,'ITENS_MTR'!$AR$6:$AR$1005,1,'ITENS_MTR'!$Y$6:$Y$1005,1,'ITENS_MTR'!$AQ$6:$AQ$1005,$L24)</f>
        <v>0</v>
      </c>
      <c r="F24" s="121">
        <f>COUNTIFS('MTRs'!$BA$6:$BA$505,1,'MTRs'!$AZ$6:$AZ$505,$L24,'MTRs'!$S$6:$S$505,"Documentação conferida")</f>
        <v>0</v>
      </c>
      <c r="G24" s="121">
        <f>COUNTIFS('MTRs'!$BA$6:$BA$505,1,'MTRs'!$AZ$6:$AZ$505,$L24,'MTRs'!$S$6:$S$505,"Aguardando recebimento")+COUNTIFS('MTRs'!$BA$6:$BA$505,1,'MTRs'!$AZ$6:$AZ$505,$L24,'MTRs'!$S$6:$S$505,"Aguardando CDF")+COUNTIFS('MTRs'!$BA$6:$BA$505,1,'MTRs'!$AZ$6:$AZ$505,$L24,'MTRs'!$S$6:$S$505,"Vínculo de CDF parcial")+COUNTIFS('MTRs'!$BA$6:$BA$505,1,'MTRs'!$AZ$6:$AZ$505,$L24,'MTRs'!$S$6:$S$505,"CDF localizado, a conferir")</f>
        <v>0</v>
      </c>
      <c r="H24" s="121">
        <f>COUNTIFS('MTRs'!$BA$6:$BA$505,1,'MTRs'!$AZ$6:$AZ$505,$L24,'MTRs'!$S$6:$S$505,"Informação a revisar")+COUNTIFS('MTRs'!$BA$6:$BA$505,1,'MTRs'!$AZ$6:$AZ$505,$L24,'MTRs'!$S$6:$S$505,"Cadastro incompleto")</f>
        <v>0</v>
      </c>
      <c r="I24" s="121">
        <f>COUNTIFS('MTRs'!$BA$6:$BA$505,1,'MTRs'!$AZ$6:$AZ$505,$L24,'MTRs'!$AA$6:$AA$505,1)</f>
        <v>0</v>
      </c>
      <c r="L24" s="118">
        <f>EDATE(L23,1)</f>
        <v>46296</v>
      </c>
    </row>
    <row r="25">
      <c r="B25" s="123" t="inlineStr">
        <is>
          <t>TOTAL</t>
        </is>
      </c>
      <c r="C25" s="124" t="n"/>
      <c r="D25" s="125">
        <f>SUM(D13:D24)</f>
        <v>0</v>
      </c>
      <c r="E25" s="126">
        <f>SUM(E13:E24)</f>
        <v>0</v>
      </c>
      <c r="F25" s="125">
        <f>SUM(F13:F24)</f>
        <v>0</v>
      </c>
      <c r="G25" s="125">
        <f>SUM(G13:G24)</f>
        <v>0</v>
      </c>
      <c r="H25" s="125">
        <f>SUM(H13:H24)</f>
        <v>0</v>
      </c>
      <c r="I25" s="125">
        <f>SUM(I13:I24)</f>
        <v>0</v>
      </c>
    </row>
    <row r="26">
      <c r="B26" s="65" t="inlineStr">
        <is>
          <t>MTRs sem data de emissão não aparecem nesta tabela (eles ficam como Cadastro incompleto na Central de Pendências).</t>
        </is>
      </c>
      <c r="C26" s="65" t="n"/>
      <c r="D26" s="65" t="n"/>
      <c r="E26" s="65" t="n"/>
      <c r="F26" s="65" t="n"/>
      <c r="G26" s="65" t="n"/>
      <c r="H26" s="65" t="n"/>
      <c r="I26" s="65" t="n"/>
      <c r="J26" s="65" t="n"/>
    </row>
    <row r="29" ht="26" customHeight="1">
      <c r="B29" s="116" t="inlineStr">
        <is>
          <t>RELATÓRIO 02 | MOVIMENTAÇÃO POR RESÍDUO</t>
        </is>
      </c>
      <c r="C29" s="116" t="n"/>
      <c r="D29" s="116" t="n"/>
      <c r="E29" s="116" t="n"/>
      <c r="F29" s="116" t="n"/>
      <c r="G29" s="116" t="n"/>
      <c r="H29" s="116" t="n"/>
      <c r="I29" s="116" t="n"/>
      <c r="J29" s="116" t="n"/>
    </row>
    <row r="30" ht="28" customHeight="1">
      <c r="B30" s="117" t="inlineStr">
        <is>
          <t>Data considerada: data de emissão do MTR. Lista até 50 resíduos do cadastro. MTRs com cancelamento informado não entram na soma. Filtros: período, unidade e destinador.</t>
        </is>
      </c>
      <c r="C30" s="117" t="n"/>
      <c r="D30" s="117" t="n"/>
      <c r="E30" s="117" t="n"/>
      <c r="F30" s="117" t="n"/>
      <c r="G30" s="117" t="n"/>
    </row>
    <row r="31" ht="34" customHeight="1">
      <c r="B31" s="43" t="inlineStr">
        <is>
          <t>Resíduo</t>
        </is>
      </c>
      <c r="C31" s="43" t="inlineStr">
        <is>
          <t>Código cadastrado</t>
        </is>
      </c>
      <c r="D31" s="43" t="inlineStr">
        <is>
          <t>Nº de itens</t>
        </is>
      </c>
      <c r="E31" s="43" t="inlineStr">
        <is>
          <t>Quantidade movimentada (kg)</t>
        </is>
      </c>
      <c r="F31" s="43" t="inlineStr">
        <is>
          <t>Unidade geradora</t>
        </is>
      </c>
      <c r="G31" s="43" t="inlineStr">
        <is>
          <t>Período</t>
        </is>
      </c>
    </row>
    <row r="32">
      <c r="B32" s="119" t="str">
        <f>'CONFIGURAÇÕES'!AD6&amp;""</f>
        <v/>
      </c>
      <c r="C32" s="120" t="str">
        <f>IF(B32="","",INDEX('CAD_RESÍDUOS'!$E$6:$E$205,MATCH(B32,'CAD_RESÍDUOS'!$B$6:$B$205,0))&amp;"")</f>
        <v/>
      </c>
      <c r="D32" s="121" t="str">
        <f>IF(B32="","",COUNTIFS('ITENS_MTR'!$C$6:$C$1005,B32,'ITENS_MTR'!$AR$6:$AR$1005,1))</f>
        <v/>
      </c>
      <c r="E32" s="122" t="str">
        <f>IF(B32="","",SUMIFS('ITENS_MTR'!$I$6:$I$1005,'ITENS_MTR'!$C$6:$C$1005,B32,'ITENS_MTR'!$AR$6:$AR$1005,1,'ITENS_MTR'!$Y$6:$Y$1005,1))</f>
        <v/>
      </c>
      <c r="F32" s="120" t="str">
        <f>IF(B32="","",$L$6)</f>
        <v/>
      </c>
      <c r="G32" s="120" t="str">
        <f>IF(B32="","",$L$7)</f>
        <v/>
      </c>
    </row>
    <row r="33">
      <c r="B33" s="119" t="str">
        <f>'CONFIGURAÇÕES'!AD7&amp;""</f>
        <v/>
      </c>
      <c r="C33" s="120" t="str">
        <f>IF(B33="","",INDEX('CAD_RESÍDUOS'!$E$6:$E$205,MATCH(B33,'CAD_RESÍDUOS'!$B$6:$B$205,0))&amp;"")</f>
        <v/>
      </c>
      <c r="D33" s="121" t="str">
        <f>IF(B33="","",COUNTIFS('ITENS_MTR'!$C$6:$C$1005,B33,'ITENS_MTR'!$AR$6:$AR$1005,1))</f>
        <v/>
      </c>
      <c r="E33" s="122" t="str">
        <f>IF(B33="","",SUMIFS('ITENS_MTR'!$I$6:$I$1005,'ITENS_MTR'!$C$6:$C$1005,B33,'ITENS_MTR'!$AR$6:$AR$1005,1,'ITENS_MTR'!$Y$6:$Y$1005,1))</f>
        <v/>
      </c>
      <c r="F33" s="120" t="str">
        <f>IF(B33="","",$L$6)</f>
        <v/>
      </c>
      <c r="G33" s="120" t="str">
        <f>IF(B33="","",$L$7)</f>
        <v/>
      </c>
    </row>
    <row r="34">
      <c r="B34" s="119" t="str">
        <f>'CONFIGURAÇÕES'!AD8&amp;""</f>
        <v/>
      </c>
      <c r="C34" s="120" t="str">
        <f>IF(B34="","",INDEX('CAD_RESÍDUOS'!$E$6:$E$205,MATCH(B34,'CAD_RESÍDUOS'!$B$6:$B$205,0))&amp;"")</f>
        <v/>
      </c>
      <c r="D34" s="121" t="str">
        <f>IF(B34="","",COUNTIFS('ITENS_MTR'!$C$6:$C$1005,B34,'ITENS_MTR'!$AR$6:$AR$1005,1))</f>
        <v/>
      </c>
      <c r="E34" s="122" t="str">
        <f>IF(B34="","",SUMIFS('ITENS_MTR'!$I$6:$I$1005,'ITENS_MTR'!$C$6:$C$1005,B34,'ITENS_MTR'!$AR$6:$AR$1005,1,'ITENS_MTR'!$Y$6:$Y$1005,1))</f>
        <v/>
      </c>
      <c r="F34" s="120" t="str">
        <f>IF(B34="","",$L$6)</f>
        <v/>
      </c>
      <c r="G34" s="120" t="str">
        <f>IF(B34="","",$L$7)</f>
        <v/>
      </c>
    </row>
    <row r="35">
      <c r="B35" s="119" t="str">
        <f>'CONFIGURAÇÕES'!AD9&amp;""</f>
        <v/>
      </c>
      <c r="C35" s="120" t="str">
        <f>IF(B35="","",INDEX('CAD_RESÍDUOS'!$E$6:$E$205,MATCH(B35,'CAD_RESÍDUOS'!$B$6:$B$205,0))&amp;"")</f>
        <v/>
      </c>
      <c r="D35" s="121" t="str">
        <f>IF(B35="","",COUNTIFS('ITENS_MTR'!$C$6:$C$1005,B35,'ITENS_MTR'!$AR$6:$AR$1005,1))</f>
        <v/>
      </c>
      <c r="E35" s="122" t="str">
        <f>IF(B35="","",SUMIFS('ITENS_MTR'!$I$6:$I$1005,'ITENS_MTR'!$C$6:$C$1005,B35,'ITENS_MTR'!$AR$6:$AR$1005,1,'ITENS_MTR'!$Y$6:$Y$1005,1))</f>
        <v/>
      </c>
      <c r="F35" s="120" t="str">
        <f>IF(B35="","",$L$6)</f>
        <v/>
      </c>
      <c r="G35" s="120" t="str">
        <f>IF(B35="","",$L$7)</f>
        <v/>
      </c>
    </row>
    <row r="36">
      <c r="B36" s="119" t="str">
        <f>'CONFIGURAÇÕES'!AD10&amp;""</f>
        <v/>
      </c>
      <c r="C36" s="120" t="str">
        <f>IF(B36="","",INDEX('CAD_RESÍDUOS'!$E$6:$E$205,MATCH(B36,'CAD_RESÍDUOS'!$B$6:$B$205,0))&amp;"")</f>
        <v/>
      </c>
      <c r="D36" s="121" t="str">
        <f>IF(B36="","",COUNTIFS('ITENS_MTR'!$C$6:$C$1005,B36,'ITENS_MTR'!$AR$6:$AR$1005,1))</f>
        <v/>
      </c>
      <c r="E36" s="122" t="str">
        <f>IF(B36="","",SUMIFS('ITENS_MTR'!$I$6:$I$1005,'ITENS_MTR'!$C$6:$C$1005,B36,'ITENS_MTR'!$AR$6:$AR$1005,1,'ITENS_MTR'!$Y$6:$Y$1005,1))</f>
        <v/>
      </c>
      <c r="F36" s="120" t="str">
        <f>IF(B36="","",$L$6)</f>
        <v/>
      </c>
      <c r="G36" s="120" t="str">
        <f>IF(B36="","",$L$7)</f>
        <v/>
      </c>
    </row>
    <row r="37">
      <c r="B37" s="119" t="str">
        <f>'CONFIGURAÇÕES'!AD11&amp;""</f>
        <v/>
      </c>
      <c r="C37" s="120" t="str">
        <f>IF(B37="","",INDEX('CAD_RESÍDUOS'!$E$6:$E$205,MATCH(B37,'CAD_RESÍDUOS'!$B$6:$B$205,0))&amp;"")</f>
        <v/>
      </c>
      <c r="D37" s="121" t="str">
        <f>IF(B37="","",COUNTIFS('ITENS_MTR'!$C$6:$C$1005,B37,'ITENS_MTR'!$AR$6:$AR$1005,1))</f>
        <v/>
      </c>
      <c r="E37" s="122" t="str">
        <f>IF(B37="","",SUMIFS('ITENS_MTR'!$I$6:$I$1005,'ITENS_MTR'!$C$6:$C$1005,B37,'ITENS_MTR'!$AR$6:$AR$1005,1,'ITENS_MTR'!$Y$6:$Y$1005,1))</f>
        <v/>
      </c>
      <c r="F37" s="120" t="str">
        <f>IF(B37="","",$L$6)</f>
        <v/>
      </c>
      <c r="G37" s="120" t="str">
        <f>IF(B37="","",$L$7)</f>
        <v/>
      </c>
    </row>
    <row r="38">
      <c r="B38" s="119" t="str">
        <f>'CONFIGURAÇÕES'!AD12&amp;""</f>
        <v/>
      </c>
      <c r="C38" s="120" t="str">
        <f>IF(B38="","",INDEX('CAD_RESÍDUOS'!$E$6:$E$205,MATCH(B38,'CAD_RESÍDUOS'!$B$6:$B$205,0))&amp;"")</f>
        <v/>
      </c>
      <c r="D38" s="121" t="str">
        <f>IF(B38="","",COUNTIFS('ITENS_MTR'!$C$6:$C$1005,B38,'ITENS_MTR'!$AR$6:$AR$1005,1))</f>
        <v/>
      </c>
      <c r="E38" s="122" t="str">
        <f>IF(B38="","",SUMIFS('ITENS_MTR'!$I$6:$I$1005,'ITENS_MTR'!$C$6:$C$1005,B38,'ITENS_MTR'!$AR$6:$AR$1005,1,'ITENS_MTR'!$Y$6:$Y$1005,1))</f>
        <v/>
      </c>
      <c r="F38" s="120" t="str">
        <f>IF(B38="","",$L$6)</f>
        <v/>
      </c>
      <c r="G38" s="120" t="str">
        <f>IF(B38="","",$L$7)</f>
        <v/>
      </c>
    </row>
    <row r="39">
      <c r="B39" s="119" t="str">
        <f>'CONFIGURAÇÕES'!AD13&amp;""</f>
        <v/>
      </c>
      <c r="C39" s="120" t="str">
        <f>IF(B39="","",INDEX('CAD_RESÍDUOS'!$E$6:$E$205,MATCH(B39,'CAD_RESÍDUOS'!$B$6:$B$205,0))&amp;"")</f>
        <v/>
      </c>
      <c r="D39" s="121" t="str">
        <f>IF(B39="","",COUNTIFS('ITENS_MTR'!$C$6:$C$1005,B39,'ITENS_MTR'!$AR$6:$AR$1005,1))</f>
        <v/>
      </c>
      <c r="E39" s="122" t="str">
        <f>IF(B39="","",SUMIFS('ITENS_MTR'!$I$6:$I$1005,'ITENS_MTR'!$C$6:$C$1005,B39,'ITENS_MTR'!$AR$6:$AR$1005,1,'ITENS_MTR'!$Y$6:$Y$1005,1))</f>
        <v/>
      </c>
      <c r="F39" s="120" t="str">
        <f>IF(B39="","",$L$6)</f>
        <v/>
      </c>
      <c r="G39" s="120" t="str">
        <f>IF(B39="","",$L$7)</f>
        <v/>
      </c>
    </row>
    <row r="40">
      <c r="B40" s="119" t="str">
        <f>'CONFIGURAÇÕES'!AD14&amp;""</f>
        <v/>
      </c>
      <c r="C40" s="120" t="str">
        <f>IF(B40="","",INDEX('CAD_RESÍDUOS'!$E$6:$E$205,MATCH(B40,'CAD_RESÍDUOS'!$B$6:$B$205,0))&amp;"")</f>
        <v/>
      </c>
      <c r="D40" s="121" t="str">
        <f>IF(B40="","",COUNTIFS('ITENS_MTR'!$C$6:$C$1005,B40,'ITENS_MTR'!$AR$6:$AR$1005,1))</f>
        <v/>
      </c>
      <c r="E40" s="122" t="str">
        <f>IF(B40="","",SUMIFS('ITENS_MTR'!$I$6:$I$1005,'ITENS_MTR'!$C$6:$C$1005,B40,'ITENS_MTR'!$AR$6:$AR$1005,1,'ITENS_MTR'!$Y$6:$Y$1005,1))</f>
        <v/>
      </c>
      <c r="F40" s="120" t="str">
        <f>IF(B40="","",$L$6)</f>
        <v/>
      </c>
      <c r="G40" s="120" t="str">
        <f>IF(B40="","",$L$7)</f>
        <v/>
      </c>
    </row>
    <row r="41">
      <c r="B41" s="119" t="str">
        <f>'CONFIGURAÇÕES'!AD15&amp;""</f>
        <v/>
      </c>
      <c r="C41" s="120" t="str">
        <f>IF(B41="","",INDEX('CAD_RESÍDUOS'!$E$6:$E$205,MATCH(B41,'CAD_RESÍDUOS'!$B$6:$B$205,0))&amp;"")</f>
        <v/>
      </c>
      <c r="D41" s="121" t="str">
        <f>IF(B41="","",COUNTIFS('ITENS_MTR'!$C$6:$C$1005,B41,'ITENS_MTR'!$AR$6:$AR$1005,1))</f>
        <v/>
      </c>
      <c r="E41" s="122" t="str">
        <f>IF(B41="","",SUMIFS('ITENS_MTR'!$I$6:$I$1005,'ITENS_MTR'!$C$6:$C$1005,B41,'ITENS_MTR'!$AR$6:$AR$1005,1,'ITENS_MTR'!$Y$6:$Y$1005,1))</f>
        <v/>
      </c>
      <c r="F41" s="120" t="str">
        <f>IF(B41="","",$L$6)</f>
        <v/>
      </c>
      <c r="G41" s="120" t="str">
        <f>IF(B41="","",$L$7)</f>
        <v/>
      </c>
    </row>
    <row r="42">
      <c r="B42" s="119" t="str">
        <f>'CONFIGURAÇÕES'!AD16&amp;""</f>
        <v/>
      </c>
      <c r="C42" s="120" t="str">
        <f>IF(B42="","",INDEX('CAD_RESÍDUOS'!$E$6:$E$205,MATCH(B42,'CAD_RESÍDUOS'!$B$6:$B$205,0))&amp;"")</f>
        <v/>
      </c>
      <c r="D42" s="121" t="str">
        <f>IF(B42="","",COUNTIFS('ITENS_MTR'!$C$6:$C$1005,B42,'ITENS_MTR'!$AR$6:$AR$1005,1))</f>
        <v/>
      </c>
      <c r="E42" s="122" t="str">
        <f>IF(B42="","",SUMIFS('ITENS_MTR'!$I$6:$I$1005,'ITENS_MTR'!$C$6:$C$1005,B42,'ITENS_MTR'!$AR$6:$AR$1005,1,'ITENS_MTR'!$Y$6:$Y$1005,1))</f>
        <v/>
      </c>
      <c r="F42" s="120" t="str">
        <f>IF(B42="","",$L$6)</f>
        <v/>
      </c>
      <c r="G42" s="120" t="str">
        <f>IF(B42="","",$L$7)</f>
        <v/>
      </c>
    </row>
    <row r="43">
      <c r="B43" s="119" t="str">
        <f>'CONFIGURAÇÕES'!AD17&amp;""</f>
        <v/>
      </c>
      <c r="C43" s="120" t="str">
        <f>IF(B43="","",INDEX('CAD_RESÍDUOS'!$E$6:$E$205,MATCH(B43,'CAD_RESÍDUOS'!$B$6:$B$205,0))&amp;"")</f>
        <v/>
      </c>
      <c r="D43" s="121" t="str">
        <f>IF(B43="","",COUNTIFS('ITENS_MTR'!$C$6:$C$1005,B43,'ITENS_MTR'!$AR$6:$AR$1005,1))</f>
        <v/>
      </c>
      <c r="E43" s="122" t="str">
        <f>IF(B43="","",SUMIFS('ITENS_MTR'!$I$6:$I$1005,'ITENS_MTR'!$C$6:$C$1005,B43,'ITENS_MTR'!$AR$6:$AR$1005,1,'ITENS_MTR'!$Y$6:$Y$1005,1))</f>
        <v/>
      </c>
      <c r="F43" s="120" t="str">
        <f>IF(B43="","",$L$6)</f>
        <v/>
      </c>
      <c r="G43" s="120" t="str">
        <f>IF(B43="","",$L$7)</f>
        <v/>
      </c>
    </row>
    <row r="44">
      <c r="B44" s="119" t="str">
        <f>'CONFIGURAÇÕES'!AD18&amp;""</f>
        <v/>
      </c>
      <c r="C44" s="120" t="str">
        <f>IF(B44="","",INDEX('CAD_RESÍDUOS'!$E$6:$E$205,MATCH(B44,'CAD_RESÍDUOS'!$B$6:$B$205,0))&amp;"")</f>
        <v/>
      </c>
      <c r="D44" s="121" t="str">
        <f>IF(B44="","",COUNTIFS('ITENS_MTR'!$C$6:$C$1005,B44,'ITENS_MTR'!$AR$6:$AR$1005,1))</f>
        <v/>
      </c>
      <c r="E44" s="122" t="str">
        <f>IF(B44="","",SUMIFS('ITENS_MTR'!$I$6:$I$1005,'ITENS_MTR'!$C$6:$C$1005,B44,'ITENS_MTR'!$AR$6:$AR$1005,1,'ITENS_MTR'!$Y$6:$Y$1005,1))</f>
        <v/>
      </c>
      <c r="F44" s="120" t="str">
        <f>IF(B44="","",$L$6)</f>
        <v/>
      </c>
      <c r="G44" s="120" t="str">
        <f>IF(B44="","",$L$7)</f>
        <v/>
      </c>
    </row>
    <row r="45">
      <c r="B45" s="119" t="str">
        <f>'CONFIGURAÇÕES'!AD19&amp;""</f>
        <v/>
      </c>
      <c r="C45" s="120" t="str">
        <f>IF(B45="","",INDEX('CAD_RESÍDUOS'!$E$6:$E$205,MATCH(B45,'CAD_RESÍDUOS'!$B$6:$B$205,0))&amp;"")</f>
        <v/>
      </c>
      <c r="D45" s="121" t="str">
        <f>IF(B45="","",COUNTIFS('ITENS_MTR'!$C$6:$C$1005,B45,'ITENS_MTR'!$AR$6:$AR$1005,1))</f>
        <v/>
      </c>
      <c r="E45" s="122" t="str">
        <f>IF(B45="","",SUMIFS('ITENS_MTR'!$I$6:$I$1005,'ITENS_MTR'!$C$6:$C$1005,B45,'ITENS_MTR'!$AR$6:$AR$1005,1,'ITENS_MTR'!$Y$6:$Y$1005,1))</f>
        <v/>
      </c>
      <c r="F45" s="120" t="str">
        <f>IF(B45="","",$L$6)</f>
        <v/>
      </c>
      <c r="G45" s="120" t="str">
        <f>IF(B45="","",$L$7)</f>
        <v/>
      </c>
    </row>
    <row r="46">
      <c r="B46" s="119" t="str">
        <f>'CONFIGURAÇÕES'!AD20&amp;""</f>
        <v/>
      </c>
      <c r="C46" s="120" t="str">
        <f>IF(B46="","",INDEX('CAD_RESÍDUOS'!$E$6:$E$205,MATCH(B46,'CAD_RESÍDUOS'!$B$6:$B$205,0))&amp;"")</f>
        <v/>
      </c>
      <c r="D46" s="121" t="str">
        <f>IF(B46="","",COUNTIFS('ITENS_MTR'!$C$6:$C$1005,B46,'ITENS_MTR'!$AR$6:$AR$1005,1))</f>
        <v/>
      </c>
      <c r="E46" s="122" t="str">
        <f>IF(B46="","",SUMIFS('ITENS_MTR'!$I$6:$I$1005,'ITENS_MTR'!$C$6:$C$1005,B46,'ITENS_MTR'!$AR$6:$AR$1005,1,'ITENS_MTR'!$Y$6:$Y$1005,1))</f>
        <v/>
      </c>
      <c r="F46" s="120" t="str">
        <f>IF(B46="","",$L$6)</f>
        <v/>
      </c>
      <c r="G46" s="120" t="str">
        <f>IF(B46="","",$L$7)</f>
        <v/>
      </c>
    </row>
    <row r="47">
      <c r="B47" s="119" t="str">
        <f>'CONFIGURAÇÕES'!AD21&amp;""</f>
        <v/>
      </c>
      <c r="C47" s="120" t="str">
        <f>IF(B47="","",INDEX('CAD_RESÍDUOS'!$E$6:$E$205,MATCH(B47,'CAD_RESÍDUOS'!$B$6:$B$205,0))&amp;"")</f>
        <v/>
      </c>
      <c r="D47" s="121" t="str">
        <f>IF(B47="","",COUNTIFS('ITENS_MTR'!$C$6:$C$1005,B47,'ITENS_MTR'!$AR$6:$AR$1005,1))</f>
        <v/>
      </c>
      <c r="E47" s="122" t="str">
        <f>IF(B47="","",SUMIFS('ITENS_MTR'!$I$6:$I$1005,'ITENS_MTR'!$C$6:$C$1005,B47,'ITENS_MTR'!$AR$6:$AR$1005,1,'ITENS_MTR'!$Y$6:$Y$1005,1))</f>
        <v/>
      </c>
      <c r="F47" s="120" t="str">
        <f>IF(B47="","",$L$6)</f>
        <v/>
      </c>
      <c r="G47" s="120" t="str">
        <f>IF(B47="","",$L$7)</f>
        <v/>
      </c>
    </row>
    <row r="48">
      <c r="B48" s="119" t="str">
        <f>'CONFIGURAÇÕES'!AD22&amp;""</f>
        <v/>
      </c>
      <c r="C48" s="120" t="str">
        <f>IF(B48="","",INDEX('CAD_RESÍDUOS'!$E$6:$E$205,MATCH(B48,'CAD_RESÍDUOS'!$B$6:$B$205,0))&amp;"")</f>
        <v/>
      </c>
      <c r="D48" s="121" t="str">
        <f>IF(B48="","",COUNTIFS('ITENS_MTR'!$C$6:$C$1005,B48,'ITENS_MTR'!$AR$6:$AR$1005,1))</f>
        <v/>
      </c>
      <c r="E48" s="122" t="str">
        <f>IF(B48="","",SUMIFS('ITENS_MTR'!$I$6:$I$1005,'ITENS_MTR'!$C$6:$C$1005,B48,'ITENS_MTR'!$AR$6:$AR$1005,1,'ITENS_MTR'!$Y$6:$Y$1005,1))</f>
        <v/>
      </c>
      <c r="F48" s="120" t="str">
        <f>IF(B48="","",$L$6)</f>
        <v/>
      </c>
      <c r="G48" s="120" t="str">
        <f>IF(B48="","",$L$7)</f>
        <v/>
      </c>
    </row>
    <row r="49">
      <c r="B49" s="119" t="str">
        <f>'CONFIGURAÇÕES'!AD23&amp;""</f>
        <v/>
      </c>
      <c r="C49" s="120" t="str">
        <f>IF(B49="","",INDEX('CAD_RESÍDUOS'!$E$6:$E$205,MATCH(B49,'CAD_RESÍDUOS'!$B$6:$B$205,0))&amp;"")</f>
        <v/>
      </c>
      <c r="D49" s="121" t="str">
        <f>IF(B49="","",COUNTIFS('ITENS_MTR'!$C$6:$C$1005,B49,'ITENS_MTR'!$AR$6:$AR$1005,1))</f>
        <v/>
      </c>
      <c r="E49" s="122" t="str">
        <f>IF(B49="","",SUMIFS('ITENS_MTR'!$I$6:$I$1005,'ITENS_MTR'!$C$6:$C$1005,B49,'ITENS_MTR'!$AR$6:$AR$1005,1,'ITENS_MTR'!$Y$6:$Y$1005,1))</f>
        <v/>
      </c>
      <c r="F49" s="120" t="str">
        <f>IF(B49="","",$L$6)</f>
        <v/>
      </c>
      <c r="G49" s="120" t="str">
        <f>IF(B49="","",$L$7)</f>
        <v/>
      </c>
    </row>
    <row r="50">
      <c r="B50" s="119" t="str">
        <f>'CONFIGURAÇÕES'!AD24&amp;""</f>
        <v/>
      </c>
      <c r="C50" s="120" t="str">
        <f>IF(B50="","",INDEX('CAD_RESÍDUOS'!$E$6:$E$205,MATCH(B50,'CAD_RESÍDUOS'!$B$6:$B$205,0))&amp;"")</f>
        <v/>
      </c>
      <c r="D50" s="121" t="str">
        <f>IF(B50="","",COUNTIFS('ITENS_MTR'!$C$6:$C$1005,B50,'ITENS_MTR'!$AR$6:$AR$1005,1))</f>
        <v/>
      </c>
      <c r="E50" s="122" t="str">
        <f>IF(B50="","",SUMIFS('ITENS_MTR'!$I$6:$I$1005,'ITENS_MTR'!$C$6:$C$1005,B50,'ITENS_MTR'!$AR$6:$AR$1005,1,'ITENS_MTR'!$Y$6:$Y$1005,1))</f>
        <v/>
      </c>
      <c r="F50" s="120" t="str">
        <f>IF(B50="","",$L$6)</f>
        <v/>
      </c>
      <c r="G50" s="120" t="str">
        <f>IF(B50="","",$L$7)</f>
        <v/>
      </c>
    </row>
    <row r="51">
      <c r="B51" s="119" t="str">
        <f>'CONFIGURAÇÕES'!AD25&amp;""</f>
        <v/>
      </c>
      <c r="C51" s="120" t="str">
        <f>IF(B51="","",INDEX('CAD_RESÍDUOS'!$E$6:$E$205,MATCH(B51,'CAD_RESÍDUOS'!$B$6:$B$205,0))&amp;"")</f>
        <v/>
      </c>
      <c r="D51" s="121" t="str">
        <f>IF(B51="","",COUNTIFS('ITENS_MTR'!$C$6:$C$1005,B51,'ITENS_MTR'!$AR$6:$AR$1005,1))</f>
        <v/>
      </c>
      <c r="E51" s="122" t="str">
        <f>IF(B51="","",SUMIFS('ITENS_MTR'!$I$6:$I$1005,'ITENS_MTR'!$C$6:$C$1005,B51,'ITENS_MTR'!$AR$6:$AR$1005,1,'ITENS_MTR'!$Y$6:$Y$1005,1))</f>
        <v/>
      </c>
      <c r="F51" s="120" t="str">
        <f>IF(B51="","",$L$6)</f>
        <v/>
      </c>
      <c r="G51" s="120" t="str">
        <f>IF(B51="","",$L$7)</f>
        <v/>
      </c>
    </row>
    <row r="52">
      <c r="B52" s="119" t="str">
        <f>'CONFIGURAÇÕES'!AD26&amp;""</f>
        <v/>
      </c>
      <c r="C52" s="120" t="str">
        <f>IF(B52="","",INDEX('CAD_RESÍDUOS'!$E$6:$E$205,MATCH(B52,'CAD_RESÍDUOS'!$B$6:$B$205,0))&amp;"")</f>
        <v/>
      </c>
      <c r="D52" s="121" t="str">
        <f>IF(B52="","",COUNTIFS('ITENS_MTR'!$C$6:$C$1005,B52,'ITENS_MTR'!$AR$6:$AR$1005,1))</f>
        <v/>
      </c>
      <c r="E52" s="122" t="str">
        <f>IF(B52="","",SUMIFS('ITENS_MTR'!$I$6:$I$1005,'ITENS_MTR'!$C$6:$C$1005,B52,'ITENS_MTR'!$AR$6:$AR$1005,1,'ITENS_MTR'!$Y$6:$Y$1005,1))</f>
        <v/>
      </c>
      <c r="F52" s="120" t="str">
        <f>IF(B52="","",$L$6)</f>
        <v/>
      </c>
      <c r="G52" s="120" t="str">
        <f>IF(B52="","",$L$7)</f>
        <v/>
      </c>
    </row>
    <row r="53">
      <c r="B53" s="119" t="str">
        <f>'CONFIGURAÇÕES'!AD27&amp;""</f>
        <v/>
      </c>
      <c r="C53" s="120" t="str">
        <f>IF(B53="","",INDEX('CAD_RESÍDUOS'!$E$6:$E$205,MATCH(B53,'CAD_RESÍDUOS'!$B$6:$B$205,0))&amp;"")</f>
        <v/>
      </c>
      <c r="D53" s="121" t="str">
        <f>IF(B53="","",COUNTIFS('ITENS_MTR'!$C$6:$C$1005,B53,'ITENS_MTR'!$AR$6:$AR$1005,1))</f>
        <v/>
      </c>
      <c r="E53" s="122" t="str">
        <f>IF(B53="","",SUMIFS('ITENS_MTR'!$I$6:$I$1005,'ITENS_MTR'!$C$6:$C$1005,B53,'ITENS_MTR'!$AR$6:$AR$1005,1,'ITENS_MTR'!$Y$6:$Y$1005,1))</f>
        <v/>
      </c>
      <c r="F53" s="120" t="str">
        <f>IF(B53="","",$L$6)</f>
        <v/>
      </c>
      <c r="G53" s="120" t="str">
        <f>IF(B53="","",$L$7)</f>
        <v/>
      </c>
    </row>
    <row r="54">
      <c r="B54" s="119" t="str">
        <f>'CONFIGURAÇÕES'!AD28&amp;""</f>
        <v/>
      </c>
      <c r="C54" s="120" t="str">
        <f>IF(B54="","",INDEX('CAD_RESÍDUOS'!$E$6:$E$205,MATCH(B54,'CAD_RESÍDUOS'!$B$6:$B$205,0))&amp;"")</f>
        <v/>
      </c>
      <c r="D54" s="121" t="str">
        <f>IF(B54="","",COUNTIFS('ITENS_MTR'!$C$6:$C$1005,B54,'ITENS_MTR'!$AR$6:$AR$1005,1))</f>
        <v/>
      </c>
      <c r="E54" s="122" t="str">
        <f>IF(B54="","",SUMIFS('ITENS_MTR'!$I$6:$I$1005,'ITENS_MTR'!$C$6:$C$1005,B54,'ITENS_MTR'!$AR$6:$AR$1005,1,'ITENS_MTR'!$Y$6:$Y$1005,1))</f>
        <v/>
      </c>
      <c r="F54" s="120" t="str">
        <f>IF(B54="","",$L$6)</f>
        <v/>
      </c>
      <c r="G54" s="120" t="str">
        <f>IF(B54="","",$L$7)</f>
        <v/>
      </c>
    </row>
    <row r="55">
      <c r="B55" s="119" t="str">
        <f>'CONFIGURAÇÕES'!AD29&amp;""</f>
        <v/>
      </c>
      <c r="C55" s="120" t="str">
        <f>IF(B55="","",INDEX('CAD_RESÍDUOS'!$E$6:$E$205,MATCH(B55,'CAD_RESÍDUOS'!$B$6:$B$205,0))&amp;"")</f>
        <v/>
      </c>
      <c r="D55" s="121" t="str">
        <f>IF(B55="","",COUNTIFS('ITENS_MTR'!$C$6:$C$1005,B55,'ITENS_MTR'!$AR$6:$AR$1005,1))</f>
        <v/>
      </c>
      <c r="E55" s="122" t="str">
        <f>IF(B55="","",SUMIFS('ITENS_MTR'!$I$6:$I$1005,'ITENS_MTR'!$C$6:$C$1005,B55,'ITENS_MTR'!$AR$6:$AR$1005,1,'ITENS_MTR'!$Y$6:$Y$1005,1))</f>
        <v/>
      </c>
      <c r="F55" s="120" t="str">
        <f>IF(B55="","",$L$6)</f>
        <v/>
      </c>
      <c r="G55" s="120" t="str">
        <f>IF(B55="","",$L$7)</f>
        <v/>
      </c>
    </row>
    <row r="56">
      <c r="B56" s="119" t="str">
        <f>'CONFIGURAÇÕES'!AD30&amp;""</f>
        <v/>
      </c>
      <c r="C56" s="120" t="str">
        <f>IF(B56="","",INDEX('CAD_RESÍDUOS'!$E$6:$E$205,MATCH(B56,'CAD_RESÍDUOS'!$B$6:$B$205,0))&amp;"")</f>
        <v/>
      </c>
      <c r="D56" s="121" t="str">
        <f>IF(B56="","",COUNTIFS('ITENS_MTR'!$C$6:$C$1005,B56,'ITENS_MTR'!$AR$6:$AR$1005,1))</f>
        <v/>
      </c>
      <c r="E56" s="122" t="str">
        <f>IF(B56="","",SUMIFS('ITENS_MTR'!$I$6:$I$1005,'ITENS_MTR'!$C$6:$C$1005,B56,'ITENS_MTR'!$AR$6:$AR$1005,1,'ITENS_MTR'!$Y$6:$Y$1005,1))</f>
        <v/>
      </c>
      <c r="F56" s="120" t="str">
        <f>IF(B56="","",$L$6)</f>
        <v/>
      </c>
      <c r="G56" s="120" t="str">
        <f>IF(B56="","",$L$7)</f>
        <v/>
      </c>
    </row>
    <row r="57">
      <c r="B57" s="119" t="str">
        <f>'CONFIGURAÇÕES'!AD31&amp;""</f>
        <v/>
      </c>
      <c r="C57" s="120" t="str">
        <f>IF(B57="","",INDEX('CAD_RESÍDUOS'!$E$6:$E$205,MATCH(B57,'CAD_RESÍDUOS'!$B$6:$B$205,0))&amp;"")</f>
        <v/>
      </c>
      <c r="D57" s="121" t="str">
        <f>IF(B57="","",COUNTIFS('ITENS_MTR'!$C$6:$C$1005,B57,'ITENS_MTR'!$AR$6:$AR$1005,1))</f>
        <v/>
      </c>
      <c r="E57" s="122" t="str">
        <f>IF(B57="","",SUMIFS('ITENS_MTR'!$I$6:$I$1005,'ITENS_MTR'!$C$6:$C$1005,B57,'ITENS_MTR'!$AR$6:$AR$1005,1,'ITENS_MTR'!$Y$6:$Y$1005,1))</f>
        <v/>
      </c>
      <c r="F57" s="120" t="str">
        <f>IF(B57="","",$L$6)</f>
        <v/>
      </c>
      <c r="G57" s="120" t="str">
        <f>IF(B57="","",$L$7)</f>
        <v/>
      </c>
    </row>
    <row r="58">
      <c r="B58" s="119" t="str">
        <f>'CONFIGURAÇÕES'!AD32&amp;""</f>
        <v/>
      </c>
      <c r="C58" s="120" t="str">
        <f>IF(B58="","",INDEX('CAD_RESÍDUOS'!$E$6:$E$205,MATCH(B58,'CAD_RESÍDUOS'!$B$6:$B$205,0))&amp;"")</f>
        <v/>
      </c>
      <c r="D58" s="121" t="str">
        <f>IF(B58="","",COUNTIFS('ITENS_MTR'!$C$6:$C$1005,B58,'ITENS_MTR'!$AR$6:$AR$1005,1))</f>
        <v/>
      </c>
      <c r="E58" s="122" t="str">
        <f>IF(B58="","",SUMIFS('ITENS_MTR'!$I$6:$I$1005,'ITENS_MTR'!$C$6:$C$1005,B58,'ITENS_MTR'!$AR$6:$AR$1005,1,'ITENS_MTR'!$Y$6:$Y$1005,1))</f>
        <v/>
      </c>
      <c r="F58" s="120" t="str">
        <f>IF(B58="","",$L$6)</f>
        <v/>
      </c>
      <c r="G58" s="120" t="str">
        <f>IF(B58="","",$L$7)</f>
        <v/>
      </c>
    </row>
    <row r="59">
      <c r="B59" s="119" t="str">
        <f>'CONFIGURAÇÕES'!AD33&amp;""</f>
        <v/>
      </c>
      <c r="C59" s="120" t="str">
        <f>IF(B59="","",INDEX('CAD_RESÍDUOS'!$E$6:$E$205,MATCH(B59,'CAD_RESÍDUOS'!$B$6:$B$205,0))&amp;"")</f>
        <v/>
      </c>
      <c r="D59" s="121" t="str">
        <f>IF(B59="","",COUNTIFS('ITENS_MTR'!$C$6:$C$1005,B59,'ITENS_MTR'!$AR$6:$AR$1005,1))</f>
        <v/>
      </c>
      <c r="E59" s="122" t="str">
        <f>IF(B59="","",SUMIFS('ITENS_MTR'!$I$6:$I$1005,'ITENS_MTR'!$C$6:$C$1005,B59,'ITENS_MTR'!$AR$6:$AR$1005,1,'ITENS_MTR'!$Y$6:$Y$1005,1))</f>
        <v/>
      </c>
      <c r="F59" s="120" t="str">
        <f>IF(B59="","",$L$6)</f>
        <v/>
      </c>
      <c r="G59" s="120" t="str">
        <f>IF(B59="","",$L$7)</f>
        <v/>
      </c>
    </row>
    <row r="60">
      <c r="B60" s="119" t="str">
        <f>'CONFIGURAÇÕES'!AD34&amp;""</f>
        <v/>
      </c>
      <c r="C60" s="120" t="str">
        <f>IF(B60="","",INDEX('CAD_RESÍDUOS'!$E$6:$E$205,MATCH(B60,'CAD_RESÍDUOS'!$B$6:$B$205,0))&amp;"")</f>
        <v/>
      </c>
      <c r="D60" s="121" t="str">
        <f>IF(B60="","",COUNTIFS('ITENS_MTR'!$C$6:$C$1005,B60,'ITENS_MTR'!$AR$6:$AR$1005,1))</f>
        <v/>
      </c>
      <c r="E60" s="122" t="str">
        <f>IF(B60="","",SUMIFS('ITENS_MTR'!$I$6:$I$1005,'ITENS_MTR'!$C$6:$C$1005,B60,'ITENS_MTR'!$AR$6:$AR$1005,1,'ITENS_MTR'!$Y$6:$Y$1005,1))</f>
        <v/>
      </c>
      <c r="F60" s="120" t="str">
        <f>IF(B60="","",$L$6)</f>
        <v/>
      </c>
      <c r="G60" s="120" t="str">
        <f>IF(B60="","",$L$7)</f>
        <v/>
      </c>
    </row>
    <row r="61">
      <c r="B61" s="119" t="str">
        <f>'CONFIGURAÇÕES'!AD35&amp;""</f>
        <v/>
      </c>
      <c r="C61" s="120" t="str">
        <f>IF(B61="","",INDEX('CAD_RESÍDUOS'!$E$6:$E$205,MATCH(B61,'CAD_RESÍDUOS'!$B$6:$B$205,0))&amp;"")</f>
        <v/>
      </c>
      <c r="D61" s="121" t="str">
        <f>IF(B61="","",COUNTIFS('ITENS_MTR'!$C$6:$C$1005,B61,'ITENS_MTR'!$AR$6:$AR$1005,1))</f>
        <v/>
      </c>
      <c r="E61" s="122" t="str">
        <f>IF(B61="","",SUMIFS('ITENS_MTR'!$I$6:$I$1005,'ITENS_MTR'!$C$6:$C$1005,B61,'ITENS_MTR'!$AR$6:$AR$1005,1,'ITENS_MTR'!$Y$6:$Y$1005,1))</f>
        <v/>
      </c>
      <c r="F61" s="120" t="str">
        <f>IF(B61="","",$L$6)</f>
        <v/>
      </c>
      <c r="G61" s="120" t="str">
        <f>IF(B61="","",$L$7)</f>
        <v/>
      </c>
    </row>
    <row r="62">
      <c r="B62" s="119" t="str">
        <f>'CONFIGURAÇÕES'!AD36&amp;""</f>
        <v/>
      </c>
      <c r="C62" s="120" t="str">
        <f>IF(B62="","",INDEX('CAD_RESÍDUOS'!$E$6:$E$205,MATCH(B62,'CAD_RESÍDUOS'!$B$6:$B$205,0))&amp;"")</f>
        <v/>
      </c>
      <c r="D62" s="121" t="str">
        <f>IF(B62="","",COUNTIFS('ITENS_MTR'!$C$6:$C$1005,B62,'ITENS_MTR'!$AR$6:$AR$1005,1))</f>
        <v/>
      </c>
      <c r="E62" s="122" t="str">
        <f>IF(B62="","",SUMIFS('ITENS_MTR'!$I$6:$I$1005,'ITENS_MTR'!$C$6:$C$1005,B62,'ITENS_MTR'!$AR$6:$AR$1005,1,'ITENS_MTR'!$Y$6:$Y$1005,1))</f>
        <v/>
      </c>
      <c r="F62" s="120" t="str">
        <f>IF(B62="","",$L$6)</f>
        <v/>
      </c>
      <c r="G62" s="120" t="str">
        <f>IF(B62="","",$L$7)</f>
        <v/>
      </c>
    </row>
    <row r="63">
      <c r="B63" s="119" t="str">
        <f>'CONFIGURAÇÕES'!AD37&amp;""</f>
        <v/>
      </c>
      <c r="C63" s="120" t="str">
        <f>IF(B63="","",INDEX('CAD_RESÍDUOS'!$E$6:$E$205,MATCH(B63,'CAD_RESÍDUOS'!$B$6:$B$205,0))&amp;"")</f>
        <v/>
      </c>
      <c r="D63" s="121" t="str">
        <f>IF(B63="","",COUNTIFS('ITENS_MTR'!$C$6:$C$1005,B63,'ITENS_MTR'!$AR$6:$AR$1005,1))</f>
        <v/>
      </c>
      <c r="E63" s="122" t="str">
        <f>IF(B63="","",SUMIFS('ITENS_MTR'!$I$6:$I$1005,'ITENS_MTR'!$C$6:$C$1005,B63,'ITENS_MTR'!$AR$6:$AR$1005,1,'ITENS_MTR'!$Y$6:$Y$1005,1))</f>
        <v/>
      </c>
      <c r="F63" s="120" t="str">
        <f>IF(B63="","",$L$6)</f>
        <v/>
      </c>
      <c r="G63" s="120" t="str">
        <f>IF(B63="","",$L$7)</f>
        <v/>
      </c>
    </row>
    <row r="64">
      <c r="B64" s="119" t="str">
        <f>'CONFIGURAÇÕES'!AD38&amp;""</f>
        <v/>
      </c>
      <c r="C64" s="120" t="str">
        <f>IF(B64="","",INDEX('CAD_RESÍDUOS'!$E$6:$E$205,MATCH(B64,'CAD_RESÍDUOS'!$B$6:$B$205,0))&amp;"")</f>
        <v/>
      </c>
      <c r="D64" s="121" t="str">
        <f>IF(B64="","",COUNTIFS('ITENS_MTR'!$C$6:$C$1005,B64,'ITENS_MTR'!$AR$6:$AR$1005,1))</f>
        <v/>
      </c>
      <c r="E64" s="122" t="str">
        <f>IF(B64="","",SUMIFS('ITENS_MTR'!$I$6:$I$1005,'ITENS_MTR'!$C$6:$C$1005,B64,'ITENS_MTR'!$AR$6:$AR$1005,1,'ITENS_MTR'!$Y$6:$Y$1005,1))</f>
        <v/>
      </c>
      <c r="F64" s="120" t="str">
        <f>IF(B64="","",$L$6)</f>
        <v/>
      </c>
      <c r="G64" s="120" t="str">
        <f>IF(B64="","",$L$7)</f>
        <v/>
      </c>
    </row>
    <row r="65">
      <c r="B65" s="119" t="str">
        <f>'CONFIGURAÇÕES'!AD39&amp;""</f>
        <v/>
      </c>
      <c r="C65" s="120" t="str">
        <f>IF(B65="","",INDEX('CAD_RESÍDUOS'!$E$6:$E$205,MATCH(B65,'CAD_RESÍDUOS'!$B$6:$B$205,0))&amp;"")</f>
        <v/>
      </c>
      <c r="D65" s="121" t="str">
        <f>IF(B65="","",COUNTIFS('ITENS_MTR'!$C$6:$C$1005,B65,'ITENS_MTR'!$AR$6:$AR$1005,1))</f>
        <v/>
      </c>
      <c r="E65" s="122" t="str">
        <f>IF(B65="","",SUMIFS('ITENS_MTR'!$I$6:$I$1005,'ITENS_MTR'!$C$6:$C$1005,B65,'ITENS_MTR'!$AR$6:$AR$1005,1,'ITENS_MTR'!$Y$6:$Y$1005,1))</f>
        <v/>
      </c>
      <c r="F65" s="120" t="str">
        <f>IF(B65="","",$L$6)</f>
        <v/>
      </c>
      <c r="G65" s="120" t="str">
        <f>IF(B65="","",$L$7)</f>
        <v/>
      </c>
    </row>
    <row r="66">
      <c r="B66" s="119" t="str">
        <f>'CONFIGURAÇÕES'!AD40&amp;""</f>
        <v/>
      </c>
      <c r="C66" s="120" t="str">
        <f>IF(B66="","",INDEX('CAD_RESÍDUOS'!$E$6:$E$205,MATCH(B66,'CAD_RESÍDUOS'!$B$6:$B$205,0))&amp;"")</f>
        <v/>
      </c>
      <c r="D66" s="121" t="str">
        <f>IF(B66="","",COUNTIFS('ITENS_MTR'!$C$6:$C$1005,B66,'ITENS_MTR'!$AR$6:$AR$1005,1))</f>
        <v/>
      </c>
      <c r="E66" s="122" t="str">
        <f>IF(B66="","",SUMIFS('ITENS_MTR'!$I$6:$I$1005,'ITENS_MTR'!$C$6:$C$1005,B66,'ITENS_MTR'!$AR$6:$AR$1005,1,'ITENS_MTR'!$Y$6:$Y$1005,1))</f>
        <v/>
      </c>
      <c r="F66" s="120" t="str">
        <f>IF(B66="","",$L$6)</f>
        <v/>
      </c>
      <c r="G66" s="120" t="str">
        <f>IF(B66="","",$L$7)</f>
        <v/>
      </c>
    </row>
    <row r="67">
      <c r="B67" s="119" t="str">
        <f>'CONFIGURAÇÕES'!AD41&amp;""</f>
        <v/>
      </c>
      <c r="C67" s="120" t="str">
        <f>IF(B67="","",INDEX('CAD_RESÍDUOS'!$E$6:$E$205,MATCH(B67,'CAD_RESÍDUOS'!$B$6:$B$205,0))&amp;"")</f>
        <v/>
      </c>
      <c r="D67" s="121" t="str">
        <f>IF(B67="","",COUNTIFS('ITENS_MTR'!$C$6:$C$1005,B67,'ITENS_MTR'!$AR$6:$AR$1005,1))</f>
        <v/>
      </c>
      <c r="E67" s="122" t="str">
        <f>IF(B67="","",SUMIFS('ITENS_MTR'!$I$6:$I$1005,'ITENS_MTR'!$C$6:$C$1005,B67,'ITENS_MTR'!$AR$6:$AR$1005,1,'ITENS_MTR'!$Y$6:$Y$1005,1))</f>
        <v/>
      </c>
      <c r="F67" s="120" t="str">
        <f>IF(B67="","",$L$6)</f>
        <v/>
      </c>
      <c r="G67" s="120" t="str">
        <f>IF(B67="","",$L$7)</f>
        <v/>
      </c>
    </row>
    <row r="68">
      <c r="B68" s="119" t="str">
        <f>'CONFIGURAÇÕES'!AD42&amp;""</f>
        <v/>
      </c>
      <c r="C68" s="120" t="str">
        <f>IF(B68="","",INDEX('CAD_RESÍDUOS'!$E$6:$E$205,MATCH(B68,'CAD_RESÍDUOS'!$B$6:$B$205,0))&amp;"")</f>
        <v/>
      </c>
      <c r="D68" s="121" t="str">
        <f>IF(B68="","",COUNTIFS('ITENS_MTR'!$C$6:$C$1005,B68,'ITENS_MTR'!$AR$6:$AR$1005,1))</f>
        <v/>
      </c>
      <c r="E68" s="122" t="str">
        <f>IF(B68="","",SUMIFS('ITENS_MTR'!$I$6:$I$1005,'ITENS_MTR'!$C$6:$C$1005,B68,'ITENS_MTR'!$AR$6:$AR$1005,1,'ITENS_MTR'!$Y$6:$Y$1005,1))</f>
        <v/>
      </c>
      <c r="F68" s="120" t="str">
        <f>IF(B68="","",$L$6)</f>
        <v/>
      </c>
      <c r="G68" s="120" t="str">
        <f>IF(B68="","",$L$7)</f>
        <v/>
      </c>
    </row>
    <row r="69">
      <c r="B69" s="119" t="str">
        <f>'CONFIGURAÇÕES'!AD43&amp;""</f>
        <v/>
      </c>
      <c r="C69" s="120" t="str">
        <f>IF(B69="","",INDEX('CAD_RESÍDUOS'!$E$6:$E$205,MATCH(B69,'CAD_RESÍDUOS'!$B$6:$B$205,0))&amp;"")</f>
        <v/>
      </c>
      <c r="D69" s="121" t="str">
        <f>IF(B69="","",COUNTIFS('ITENS_MTR'!$C$6:$C$1005,B69,'ITENS_MTR'!$AR$6:$AR$1005,1))</f>
        <v/>
      </c>
      <c r="E69" s="122" t="str">
        <f>IF(B69="","",SUMIFS('ITENS_MTR'!$I$6:$I$1005,'ITENS_MTR'!$C$6:$C$1005,B69,'ITENS_MTR'!$AR$6:$AR$1005,1,'ITENS_MTR'!$Y$6:$Y$1005,1))</f>
        <v/>
      </c>
      <c r="F69" s="120" t="str">
        <f>IF(B69="","",$L$6)</f>
        <v/>
      </c>
      <c r="G69" s="120" t="str">
        <f>IF(B69="","",$L$7)</f>
        <v/>
      </c>
    </row>
    <row r="70">
      <c r="B70" s="119" t="str">
        <f>'CONFIGURAÇÕES'!AD44&amp;""</f>
        <v/>
      </c>
      <c r="C70" s="120" t="str">
        <f>IF(B70="","",INDEX('CAD_RESÍDUOS'!$E$6:$E$205,MATCH(B70,'CAD_RESÍDUOS'!$B$6:$B$205,0))&amp;"")</f>
        <v/>
      </c>
      <c r="D70" s="121" t="str">
        <f>IF(B70="","",COUNTIFS('ITENS_MTR'!$C$6:$C$1005,B70,'ITENS_MTR'!$AR$6:$AR$1005,1))</f>
        <v/>
      </c>
      <c r="E70" s="122" t="str">
        <f>IF(B70="","",SUMIFS('ITENS_MTR'!$I$6:$I$1005,'ITENS_MTR'!$C$6:$C$1005,B70,'ITENS_MTR'!$AR$6:$AR$1005,1,'ITENS_MTR'!$Y$6:$Y$1005,1))</f>
        <v/>
      </c>
      <c r="F70" s="120" t="str">
        <f>IF(B70="","",$L$6)</f>
        <v/>
      </c>
      <c r="G70" s="120" t="str">
        <f>IF(B70="","",$L$7)</f>
        <v/>
      </c>
    </row>
    <row r="71">
      <c r="B71" s="119" t="str">
        <f>'CONFIGURAÇÕES'!AD45&amp;""</f>
        <v/>
      </c>
      <c r="C71" s="120" t="str">
        <f>IF(B71="","",INDEX('CAD_RESÍDUOS'!$E$6:$E$205,MATCH(B71,'CAD_RESÍDUOS'!$B$6:$B$205,0))&amp;"")</f>
        <v/>
      </c>
      <c r="D71" s="121" t="str">
        <f>IF(B71="","",COUNTIFS('ITENS_MTR'!$C$6:$C$1005,B71,'ITENS_MTR'!$AR$6:$AR$1005,1))</f>
        <v/>
      </c>
      <c r="E71" s="122" t="str">
        <f>IF(B71="","",SUMIFS('ITENS_MTR'!$I$6:$I$1005,'ITENS_MTR'!$C$6:$C$1005,B71,'ITENS_MTR'!$AR$6:$AR$1005,1,'ITENS_MTR'!$Y$6:$Y$1005,1))</f>
        <v/>
      </c>
      <c r="F71" s="120" t="str">
        <f>IF(B71="","",$L$6)</f>
        <v/>
      </c>
      <c r="G71" s="120" t="str">
        <f>IF(B71="","",$L$7)</f>
        <v/>
      </c>
    </row>
    <row r="72">
      <c r="B72" s="119" t="str">
        <f>'CONFIGURAÇÕES'!AD46&amp;""</f>
        <v/>
      </c>
      <c r="C72" s="120" t="str">
        <f>IF(B72="","",INDEX('CAD_RESÍDUOS'!$E$6:$E$205,MATCH(B72,'CAD_RESÍDUOS'!$B$6:$B$205,0))&amp;"")</f>
        <v/>
      </c>
      <c r="D72" s="121" t="str">
        <f>IF(B72="","",COUNTIFS('ITENS_MTR'!$C$6:$C$1005,B72,'ITENS_MTR'!$AR$6:$AR$1005,1))</f>
        <v/>
      </c>
      <c r="E72" s="122" t="str">
        <f>IF(B72="","",SUMIFS('ITENS_MTR'!$I$6:$I$1005,'ITENS_MTR'!$C$6:$C$1005,B72,'ITENS_MTR'!$AR$6:$AR$1005,1,'ITENS_MTR'!$Y$6:$Y$1005,1))</f>
        <v/>
      </c>
      <c r="F72" s="120" t="str">
        <f>IF(B72="","",$L$6)</f>
        <v/>
      </c>
      <c r="G72" s="120" t="str">
        <f>IF(B72="","",$L$7)</f>
        <v/>
      </c>
    </row>
    <row r="73">
      <c r="B73" s="119" t="str">
        <f>'CONFIGURAÇÕES'!AD47&amp;""</f>
        <v/>
      </c>
      <c r="C73" s="120" t="str">
        <f>IF(B73="","",INDEX('CAD_RESÍDUOS'!$E$6:$E$205,MATCH(B73,'CAD_RESÍDUOS'!$B$6:$B$205,0))&amp;"")</f>
        <v/>
      </c>
      <c r="D73" s="121" t="str">
        <f>IF(B73="","",COUNTIFS('ITENS_MTR'!$C$6:$C$1005,B73,'ITENS_MTR'!$AR$6:$AR$1005,1))</f>
        <v/>
      </c>
      <c r="E73" s="122" t="str">
        <f>IF(B73="","",SUMIFS('ITENS_MTR'!$I$6:$I$1005,'ITENS_MTR'!$C$6:$C$1005,B73,'ITENS_MTR'!$AR$6:$AR$1005,1,'ITENS_MTR'!$Y$6:$Y$1005,1))</f>
        <v/>
      </c>
      <c r="F73" s="120" t="str">
        <f>IF(B73="","",$L$6)</f>
        <v/>
      </c>
      <c r="G73" s="120" t="str">
        <f>IF(B73="","",$L$7)</f>
        <v/>
      </c>
    </row>
    <row r="74">
      <c r="B74" s="119" t="str">
        <f>'CONFIGURAÇÕES'!AD48&amp;""</f>
        <v/>
      </c>
      <c r="C74" s="120" t="str">
        <f>IF(B74="","",INDEX('CAD_RESÍDUOS'!$E$6:$E$205,MATCH(B74,'CAD_RESÍDUOS'!$B$6:$B$205,0))&amp;"")</f>
        <v/>
      </c>
      <c r="D74" s="121" t="str">
        <f>IF(B74="","",COUNTIFS('ITENS_MTR'!$C$6:$C$1005,B74,'ITENS_MTR'!$AR$6:$AR$1005,1))</f>
        <v/>
      </c>
      <c r="E74" s="122" t="str">
        <f>IF(B74="","",SUMIFS('ITENS_MTR'!$I$6:$I$1005,'ITENS_MTR'!$C$6:$C$1005,B74,'ITENS_MTR'!$AR$6:$AR$1005,1,'ITENS_MTR'!$Y$6:$Y$1005,1))</f>
        <v/>
      </c>
      <c r="F74" s="120" t="str">
        <f>IF(B74="","",$L$6)</f>
        <v/>
      </c>
      <c r="G74" s="120" t="str">
        <f>IF(B74="","",$L$7)</f>
        <v/>
      </c>
    </row>
    <row r="75">
      <c r="B75" s="119" t="str">
        <f>'CONFIGURAÇÕES'!AD49&amp;""</f>
        <v/>
      </c>
      <c r="C75" s="120" t="str">
        <f>IF(B75="","",INDEX('CAD_RESÍDUOS'!$E$6:$E$205,MATCH(B75,'CAD_RESÍDUOS'!$B$6:$B$205,0))&amp;"")</f>
        <v/>
      </c>
      <c r="D75" s="121" t="str">
        <f>IF(B75="","",COUNTIFS('ITENS_MTR'!$C$6:$C$1005,B75,'ITENS_MTR'!$AR$6:$AR$1005,1))</f>
        <v/>
      </c>
      <c r="E75" s="122" t="str">
        <f>IF(B75="","",SUMIFS('ITENS_MTR'!$I$6:$I$1005,'ITENS_MTR'!$C$6:$C$1005,B75,'ITENS_MTR'!$AR$6:$AR$1005,1,'ITENS_MTR'!$Y$6:$Y$1005,1))</f>
        <v/>
      </c>
      <c r="F75" s="120" t="str">
        <f>IF(B75="","",$L$6)</f>
        <v/>
      </c>
      <c r="G75" s="120" t="str">
        <f>IF(B75="","",$L$7)</f>
        <v/>
      </c>
    </row>
    <row r="76">
      <c r="B76" s="119" t="str">
        <f>'CONFIGURAÇÕES'!AD50&amp;""</f>
        <v/>
      </c>
      <c r="C76" s="120" t="str">
        <f>IF(B76="","",INDEX('CAD_RESÍDUOS'!$E$6:$E$205,MATCH(B76,'CAD_RESÍDUOS'!$B$6:$B$205,0))&amp;"")</f>
        <v/>
      </c>
      <c r="D76" s="121" t="str">
        <f>IF(B76="","",COUNTIFS('ITENS_MTR'!$C$6:$C$1005,B76,'ITENS_MTR'!$AR$6:$AR$1005,1))</f>
        <v/>
      </c>
      <c r="E76" s="122" t="str">
        <f>IF(B76="","",SUMIFS('ITENS_MTR'!$I$6:$I$1005,'ITENS_MTR'!$C$6:$C$1005,B76,'ITENS_MTR'!$AR$6:$AR$1005,1,'ITENS_MTR'!$Y$6:$Y$1005,1))</f>
        <v/>
      </c>
      <c r="F76" s="120" t="str">
        <f>IF(B76="","",$L$6)</f>
        <v/>
      </c>
      <c r="G76" s="120" t="str">
        <f>IF(B76="","",$L$7)</f>
        <v/>
      </c>
    </row>
    <row r="77">
      <c r="B77" s="119" t="str">
        <f>'CONFIGURAÇÕES'!AD51&amp;""</f>
        <v/>
      </c>
      <c r="C77" s="120" t="str">
        <f>IF(B77="","",INDEX('CAD_RESÍDUOS'!$E$6:$E$205,MATCH(B77,'CAD_RESÍDUOS'!$B$6:$B$205,0))&amp;"")</f>
        <v/>
      </c>
      <c r="D77" s="121" t="str">
        <f>IF(B77="","",COUNTIFS('ITENS_MTR'!$C$6:$C$1005,B77,'ITENS_MTR'!$AR$6:$AR$1005,1))</f>
        <v/>
      </c>
      <c r="E77" s="122" t="str">
        <f>IF(B77="","",SUMIFS('ITENS_MTR'!$I$6:$I$1005,'ITENS_MTR'!$C$6:$C$1005,B77,'ITENS_MTR'!$AR$6:$AR$1005,1,'ITENS_MTR'!$Y$6:$Y$1005,1))</f>
        <v/>
      </c>
      <c r="F77" s="120" t="str">
        <f>IF(B77="","",$L$6)</f>
        <v/>
      </c>
      <c r="G77" s="120" t="str">
        <f>IF(B77="","",$L$7)</f>
        <v/>
      </c>
    </row>
    <row r="78">
      <c r="B78" s="119" t="str">
        <f>'CONFIGURAÇÕES'!AD52&amp;""</f>
        <v/>
      </c>
      <c r="C78" s="120" t="str">
        <f>IF(B78="","",INDEX('CAD_RESÍDUOS'!$E$6:$E$205,MATCH(B78,'CAD_RESÍDUOS'!$B$6:$B$205,0))&amp;"")</f>
        <v/>
      </c>
      <c r="D78" s="121" t="str">
        <f>IF(B78="","",COUNTIFS('ITENS_MTR'!$C$6:$C$1005,B78,'ITENS_MTR'!$AR$6:$AR$1005,1))</f>
        <v/>
      </c>
      <c r="E78" s="122" t="str">
        <f>IF(B78="","",SUMIFS('ITENS_MTR'!$I$6:$I$1005,'ITENS_MTR'!$C$6:$C$1005,B78,'ITENS_MTR'!$AR$6:$AR$1005,1,'ITENS_MTR'!$Y$6:$Y$1005,1))</f>
        <v/>
      </c>
      <c r="F78" s="120" t="str">
        <f>IF(B78="","",$L$6)</f>
        <v/>
      </c>
      <c r="G78" s="120" t="str">
        <f>IF(B78="","",$L$7)</f>
        <v/>
      </c>
    </row>
    <row r="79">
      <c r="B79" s="119" t="str">
        <f>'CONFIGURAÇÕES'!AD53&amp;""</f>
        <v/>
      </c>
      <c r="C79" s="120" t="str">
        <f>IF(B79="","",INDEX('CAD_RESÍDUOS'!$E$6:$E$205,MATCH(B79,'CAD_RESÍDUOS'!$B$6:$B$205,0))&amp;"")</f>
        <v/>
      </c>
      <c r="D79" s="121" t="str">
        <f>IF(B79="","",COUNTIFS('ITENS_MTR'!$C$6:$C$1005,B79,'ITENS_MTR'!$AR$6:$AR$1005,1))</f>
        <v/>
      </c>
      <c r="E79" s="122" t="str">
        <f>IF(B79="","",SUMIFS('ITENS_MTR'!$I$6:$I$1005,'ITENS_MTR'!$C$6:$C$1005,B79,'ITENS_MTR'!$AR$6:$AR$1005,1,'ITENS_MTR'!$Y$6:$Y$1005,1))</f>
        <v/>
      </c>
      <c r="F79" s="120" t="str">
        <f>IF(B79="","",$L$6)</f>
        <v/>
      </c>
      <c r="G79" s="120" t="str">
        <f>IF(B79="","",$L$7)</f>
        <v/>
      </c>
    </row>
    <row r="80">
      <c r="B80" s="119" t="str">
        <f>'CONFIGURAÇÕES'!AD54&amp;""</f>
        <v/>
      </c>
      <c r="C80" s="120" t="str">
        <f>IF(B80="","",INDEX('CAD_RESÍDUOS'!$E$6:$E$205,MATCH(B80,'CAD_RESÍDUOS'!$B$6:$B$205,0))&amp;"")</f>
        <v/>
      </c>
      <c r="D80" s="121" t="str">
        <f>IF(B80="","",COUNTIFS('ITENS_MTR'!$C$6:$C$1005,B80,'ITENS_MTR'!$AR$6:$AR$1005,1))</f>
        <v/>
      </c>
      <c r="E80" s="122" t="str">
        <f>IF(B80="","",SUMIFS('ITENS_MTR'!$I$6:$I$1005,'ITENS_MTR'!$C$6:$C$1005,B80,'ITENS_MTR'!$AR$6:$AR$1005,1,'ITENS_MTR'!$Y$6:$Y$1005,1))</f>
        <v/>
      </c>
      <c r="F80" s="120" t="str">
        <f>IF(B80="","",$L$6)</f>
        <v/>
      </c>
      <c r="G80" s="120" t="str">
        <f>IF(B80="","",$L$7)</f>
        <v/>
      </c>
    </row>
    <row r="81">
      <c r="B81" s="119" t="str">
        <f>'CONFIGURAÇÕES'!AD55&amp;""</f>
        <v/>
      </c>
      <c r="C81" s="120" t="str">
        <f>IF(B81="","",INDEX('CAD_RESÍDUOS'!$E$6:$E$205,MATCH(B81,'CAD_RESÍDUOS'!$B$6:$B$205,0))&amp;"")</f>
        <v/>
      </c>
      <c r="D81" s="121" t="str">
        <f>IF(B81="","",COUNTIFS('ITENS_MTR'!$C$6:$C$1005,B81,'ITENS_MTR'!$AR$6:$AR$1005,1))</f>
        <v/>
      </c>
      <c r="E81" s="122" t="str">
        <f>IF(B81="","",SUMIFS('ITENS_MTR'!$I$6:$I$1005,'ITENS_MTR'!$C$6:$C$1005,B81,'ITENS_MTR'!$AR$6:$AR$1005,1,'ITENS_MTR'!$Y$6:$Y$1005,1))</f>
        <v/>
      </c>
      <c r="F81" s="120" t="str">
        <f>IF(B81="","",$L$6)</f>
        <v/>
      </c>
      <c r="G81" s="120" t="str">
        <f>IF(B81="","",$L$7)</f>
        <v/>
      </c>
    </row>
    <row r="82">
      <c r="B82" s="123" t="inlineStr">
        <is>
          <t>TOTAL</t>
        </is>
      </c>
      <c r="C82" s="124" t="n"/>
      <c r="D82" s="125">
        <f>SUM(D32:D81)</f>
        <v>0</v>
      </c>
      <c r="E82" s="126">
        <f>SUM(E32:E81)</f>
        <v>0</v>
      </c>
      <c r="F82" s="124" t="n"/>
      <c r="G82" s="124" t="n"/>
    </row>
    <row r="85" ht="26" customHeight="1">
      <c r="B85" s="116" t="inlineStr">
        <is>
          <t>RELATÓRIO 03 | RECEBIMENTOS</t>
        </is>
      </c>
      <c r="C85" s="116" t="n"/>
      <c r="D85" s="116" t="n"/>
      <c r="E85" s="116" t="n"/>
      <c r="F85" s="116" t="n"/>
      <c r="G85" s="116" t="n"/>
      <c r="H85" s="116" t="n"/>
      <c r="I85" s="116" t="n"/>
      <c r="J85" s="116" t="n"/>
    </row>
    <row r="86" ht="28" customHeight="1">
      <c r="B86" s="117" t="inlineStr">
        <is>
          <t>Data considerada: data de recebimento informada. Filtros: período, unidade geradora do MTR e destinador. Mostra até 200 registros; para mais, use os filtros da aba RECEBIMENTOS.</t>
        </is>
      </c>
      <c r="C86" s="117" t="n"/>
      <c r="D86" s="117" t="n"/>
      <c r="E86" s="117" t="n"/>
      <c r="F86" s="117" t="n"/>
      <c r="G86" s="117" t="n"/>
      <c r="H86" s="127" t="str">
        <f>"Registros encontrados: "&amp;COUNTIF('RECEBIMENTOS'!$AA$6:$AA$1005,1)</f>
        <v>Registros encontrados: 0</v>
      </c>
      <c r="I86" s="127" t="n"/>
      <c r="J86" s="127" t="n"/>
    </row>
    <row r="87" ht="34" customHeight="1">
      <c r="B87" s="43" t="inlineStr">
        <is>
          <t>ID do MTR</t>
        </is>
      </c>
      <c r="C87" s="43" t="inlineStr">
        <is>
          <t>Número oficial do MTR</t>
        </is>
      </c>
      <c r="D87" s="43" t="inlineStr">
        <is>
          <t>Destinatário</t>
        </is>
      </c>
      <c r="E87" s="43" t="inlineStr">
        <is>
          <t>Data de chegada informada</t>
        </is>
      </c>
      <c r="F87" s="43" t="inlineStr">
        <is>
          <t>Quantidade registrada (kg)</t>
        </is>
      </c>
      <c r="G87" s="43" t="inlineStr">
        <is>
          <t>Situação de conferência</t>
        </is>
      </c>
      <c r="H87" s="43" t="inlineStr">
        <is>
          <t>ID do recebimento</t>
        </is>
      </c>
    </row>
    <row r="88">
      <c r="B88" s="119" t="str">
        <f>IF($L88="","",INDEX('RECEBIMENTOS'!$B$6:$B$1005,$L88)&amp;"")</f>
        <v/>
      </c>
      <c r="C88" s="120" t="str">
        <f>IF($L88="","",IFERROR(INDEX('MTRs'!$B$6:$B$505,INDEX('RECEBIMENTOS'!$U$6:$U$1005,$L88))&amp;"",""))</f>
        <v/>
      </c>
      <c r="D88" s="120" t="str">
        <f>IF($L88="","",INDEX('RECEBIMENTOS'!$D$6:$D$1005,$L88)&amp;"")</f>
        <v/>
      </c>
      <c r="E88" s="128" t="str">
        <f>IF($L88="","",INDEX('RECEBIMENTOS'!$E$6:$E$1005,$L88))</f>
        <v/>
      </c>
      <c r="F88" s="122" t="str">
        <f>IF($L88="","",INDEX('RECEBIMENTOS'!$H$6:$H$1005,$L88))</f>
        <v/>
      </c>
      <c r="G88" s="120" t="str">
        <f>IF($L88="","",INDEX('RECEBIMENTOS'!$P$6:$P$1005,$L88)&amp;"")</f>
        <v/>
      </c>
      <c r="H88" s="120" t="str">
        <f>IF($L88="","",INDEX('RECEBIMENTOS'!$A$6:$A$1005,$L88)&amp;"")</f>
        <v/>
      </c>
      <c r="L88" t="str">
        <f>IFERROR(MATCH(1,'RECEBIMENTOS'!$AB$6:$AB$1005,0),"")</f>
        <v/>
      </c>
    </row>
    <row r="89">
      <c r="B89" s="119" t="str">
        <f>IF($L89="","",INDEX('RECEBIMENTOS'!$B$6:$B$1005,$L89)&amp;"")</f>
        <v/>
      </c>
      <c r="C89" s="120" t="str">
        <f>IF($L89="","",IFERROR(INDEX('MTRs'!$B$6:$B$505,INDEX('RECEBIMENTOS'!$U$6:$U$1005,$L89))&amp;"",""))</f>
        <v/>
      </c>
      <c r="D89" s="120" t="str">
        <f>IF($L89="","",INDEX('RECEBIMENTOS'!$D$6:$D$1005,$L89)&amp;"")</f>
        <v/>
      </c>
      <c r="E89" s="128" t="str">
        <f>IF($L89="","",INDEX('RECEBIMENTOS'!$E$6:$E$1005,$L89))</f>
        <v/>
      </c>
      <c r="F89" s="122" t="str">
        <f>IF($L89="","",INDEX('RECEBIMENTOS'!$H$6:$H$1005,$L89))</f>
        <v/>
      </c>
      <c r="G89" s="120" t="str">
        <f>IF($L89="","",INDEX('RECEBIMENTOS'!$P$6:$P$1005,$L89)&amp;"")</f>
        <v/>
      </c>
      <c r="H89" s="120" t="str">
        <f>IF($L89="","",INDEX('RECEBIMENTOS'!$A$6:$A$1005,$L89)&amp;"")</f>
        <v/>
      </c>
      <c r="L89" t="str">
        <f>IFERROR(MATCH(2,'RECEBIMENTOS'!$AB$6:$AB$1005,0),"")</f>
        <v/>
      </c>
    </row>
    <row r="90">
      <c r="B90" s="119" t="str">
        <f>IF($L90="","",INDEX('RECEBIMENTOS'!$B$6:$B$1005,$L90)&amp;"")</f>
        <v/>
      </c>
      <c r="C90" s="120" t="str">
        <f>IF($L90="","",IFERROR(INDEX('MTRs'!$B$6:$B$505,INDEX('RECEBIMENTOS'!$U$6:$U$1005,$L90))&amp;"",""))</f>
        <v/>
      </c>
      <c r="D90" s="120" t="str">
        <f>IF($L90="","",INDEX('RECEBIMENTOS'!$D$6:$D$1005,$L90)&amp;"")</f>
        <v/>
      </c>
      <c r="E90" s="128" t="str">
        <f>IF($L90="","",INDEX('RECEBIMENTOS'!$E$6:$E$1005,$L90))</f>
        <v/>
      </c>
      <c r="F90" s="122" t="str">
        <f>IF($L90="","",INDEX('RECEBIMENTOS'!$H$6:$H$1005,$L90))</f>
        <v/>
      </c>
      <c r="G90" s="120" t="str">
        <f>IF($L90="","",INDEX('RECEBIMENTOS'!$P$6:$P$1005,$L90)&amp;"")</f>
        <v/>
      </c>
      <c r="H90" s="120" t="str">
        <f>IF($L90="","",INDEX('RECEBIMENTOS'!$A$6:$A$1005,$L90)&amp;"")</f>
        <v/>
      </c>
      <c r="L90" t="str">
        <f>IFERROR(MATCH(3,'RECEBIMENTOS'!$AB$6:$AB$1005,0),"")</f>
        <v/>
      </c>
    </row>
    <row r="91">
      <c r="B91" s="119" t="str">
        <f>IF($L91="","",INDEX('RECEBIMENTOS'!$B$6:$B$1005,$L91)&amp;"")</f>
        <v/>
      </c>
      <c r="C91" s="120" t="str">
        <f>IF($L91="","",IFERROR(INDEX('MTRs'!$B$6:$B$505,INDEX('RECEBIMENTOS'!$U$6:$U$1005,$L91))&amp;"",""))</f>
        <v/>
      </c>
      <c r="D91" s="120" t="str">
        <f>IF($L91="","",INDEX('RECEBIMENTOS'!$D$6:$D$1005,$L91)&amp;"")</f>
        <v/>
      </c>
      <c r="E91" s="128" t="str">
        <f>IF($L91="","",INDEX('RECEBIMENTOS'!$E$6:$E$1005,$L91))</f>
        <v/>
      </c>
      <c r="F91" s="122" t="str">
        <f>IF($L91="","",INDEX('RECEBIMENTOS'!$H$6:$H$1005,$L91))</f>
        <v/>
      </c>
      <c r="G91" s="120" t="str">
        <f>IF($L91="","",INDEX('RECEBIMENTOS'!$P$6:$P$1005,$L91)&amp;"")</f>
        <v/>
      </c>
      <c r="H91" s="120" t="str">
        <f>IF($L91="","",INDEX('RECEBIMENTOS'!$A$6:$A$1005,$L91)&amp;"")</f>
        <v/>
      </c>
      <c r="L91" t="str">
        <f>IFERROR(MATCH(4,'RECEBIMENTOS'!$AB$6:$AB$1005,0),"")</f>
        <v/>
      </c>
    </row>
    <row r="92">
      <c r="B92" s="119" t="str">
        <f>IF($L92="","",INDEX('RECEBIMENTOS'!$B$6:$B$1005,$L92)&amp;"")</f>
        <v/>
      </c>
      <c r="C92" s="120" t="str">
        <f>IF($L92="","",IFERROR(INDEX('MTRs'!$B$6:$B$505,INDEX('RECEBIMENTOS'!$U$6:$U$1005,$L92))&amp;"",""))</f>
        <v/>
      </c>
      <c r="D92" s="120" t="str">
        <f>IF($L92="","",INDEX('RECEBIMENTOS'!$D$6:$D$1005,$L92)&amp;"")</f>
        <v/>
      </c>
      <c r="E92" s="128" t="str">
        <f>IF($L92="","",INDEX('RECEBIMENTOS'!$E$6:$E$1005,$L92))</f>
        <v/>
      </c>
      <c r="F92" s="122" t="str">
        <f>IF($L92="","",INDEX('RECEBIMENTOS'!$H$6:$H$1005,$L92))</f>
        <v/>
      </c>
      <c r="G92" s="120" t="str">
        <f>IF($L92="","",INDEX('RECEBIMENTOS'!$P$6:$P$1005,$L92)&amp;"")</f>
        <v/>
      </c>
      <c r="H92" s="120" t="str">
        <f>IF($L92="","",INDEX('RECEBIMENTOS'!$A$6:$A$1005,$L92)&amp;"")</f>
        <v/>
      </c>
      <c r="L92" t="str">
        <f>IFERROR(MATCH(5,'RECEBIMENTOS'!$AB$6:$AB$1005,0),"")</f>
        <v/>
      </c>
    </row>
    <row r="93">
      <c r="B93" s="119" t="str">
        <f>IF($L93="","",INDEX('RECEBIMENTOS'!$B$6:$B$1005,$L93)&amp;"")</f>
        <v/>
      </c>
      <c r="C93" s="120" t="str">
        <f>IF($L93="","",IFERROR(INDEX('MTRs'!$B$6:$B$505,INDEX('RECEBIMENTOS'!$U$6:$U$1005,$L93))&amp;"",""))</f>
        <v/>
      </c>
      <c r="D93" s="120" t="str">
        <f>IF($L93="","",INDEX('RECEBIMENTOS'!$D$6:$D$1005,$L93)&amp;"")</f>
        <v/>
      </c>
      <c r="E93" s="128" t="str">
        <f>IF($L93="","",INDEX('RECEBIMENTOS'!$E$6:$E$1005,$L93))</f>
        <v/>
      </c>
      <c r="F93" s="122" t="str">
        <f>IF($L93="","",INDEX('RECEBIMENTOS'!$H$6:$H$1005,$L93))</f>
        <v/>
      </c>
      <c r="G93" s="120" t="str">
        <f>IF($L93="","",INDEX('RECEBIMENTOS'!$P$6:$P$1005,$L93)&amp;"")</f>
        <v/>
      </c>
      <c r="H93" s="120" t="str">
        <f>IF($L93="","",INDEX('RECEBIMENTOS'!$A$6:$A$1005,$L93)&amp;"")</f>
        <v/>
      </c>
      <c r="L93" t="str">
        <f>IFERROR(MATCH(6,'RECEBIMENTOS'!$AB$6:$AB$1005,0),"")</f>
        <v/>
      </c>
    </row>
    <row r="94">
      <c r="B94" s="119" t="str">
        <f>IF($L94="","",INDEX('RECEBIMENTOS'!$B$6:$B$1005,$L94)&amp;"")</f>
        <v/>
      </c>
      <c r="C94" s="120" t="str">
        <f>IF($L94="","",IFERROR(INDEX('MTRs'!$B$6:$B$505,INDEX('RECEBIMENTOS'!$U$6:$U$1005,$L94))&amp;"",""))</f>
        <v/>
      </c>
      <c r="D94" s="120" t="str">
        <f>IF($L94="","",INDEX('RECEBIMENTOS'!$D$6:$D$1005,$L94)&amp;"")</f>
        <v/>
      </c>
      <c r="E94" s="128" t="str">
        <f>IF($L94="","",INDEX('RECEBIMENTOS'!$E$6:$E$1005,$L94))</f>
        <v/>
      </c>
      <c r="F94" s="122" t="str">
        <f>IF($L94="","",INDEX('RECEBIMENTOS'!$H$6:$H$1005,$L94))</f>
        <v/>
      </c>
      <c r="G94" s="120" t="str">
        <f>IF($L94="","",INDEX('RECEBIMENTOS'!$P$6:$P$1005,$L94)&amp;"")</f>
        <v/>
      </c>
      <c r="H94" s="120" t="str">
        <f>IF($L94="","",INDEX('RECEBIMENTOS'!$A$6:$A$1005,$L94)&amp;"")</f>
        <v/>
      </c>
      <c r="L94" t="str">
        <f>IFERROR(MATCH(7,'RECEBIMENTOS'!$AB$6:$AB$1005,0),"")</f>
        <v/>
      </c>
    </row>
    <row r="95">
      <c r="B95" s="119" t="str">
        <f>IF($L95="","",INDEX('RECEBIMENTOS'!$B$6:$B$1005,$L95)&amp;"")</f>
        <v/>
      </c>
      <c r="C95" s="120" t="str">
        <f>IF($L95="","",IFERROR(INDEX('MTRs'!$B$6:$B$505,INDEX('RECEBIMENTOS'!$U$6:$U$1005,$L95))&amp;"",""))</f>
        <v/>
      </c>
      <c r="D95" s="120" t="str">
        <f>IF($L95="","",INDEX('RECEBIMENTOS'!$D$6:$D$1005,$L95)&amp;"")</f>
        <v/>
      </c>
      <c r="E95" s="128" t="str">
        <f>IF($L95="","",INDEX('RECEBIMENTOS'!$E$6:$E$1005,$L95))</f>
        <v/>
      </c>
      <c r="F95" s="122" t="str">
        <f>IF($L95="","",INDEX('RECEBIMENTOS'!$H$6:$H$1005,$L95))</f>
        <v/>
      </c>
      <c r="G95" s="120" t="str">
        <f>IF($L95="","",INDEX('RECEBIMENTOS'!$P$6:$P$1005,$L95)&amp;"")</f>
        <v/>
      </c>
      <c r="H95" s="120" t="str">
        <f>IF($L95="","",INDEX('RECEBIMENTOS'!$A$6:$A$1005,$L95)&amp;"")</f>
        <v/>
      </c>
      <c r="L95" t="str">
        <f>IFERROR(MATCH(8,'RECEBIMENTOS'!$AB$6:$AB$1005,0),"")</f>
        <v/>
      </c>
    </row>
    <row r="96">
      <c r="B96" s="119" t="str">
        <f>IF($L96="","",INDEX('RECEBIMENTOS'!$B$6:$B$1005,$L96)&amp;"")</f>
        <v/>
      </c>
      <c r="C96" s="120" t="str">
        <f>IF($L96="","",IFERROR(INDEX('MTRs'!$B$6:$B$505,INDEX('RECEBIMENTOS'!$U$6:$U$1005,$L96))&amp;"",""))</f>
        <v/>
      </c>
      <c r="D96" s="120" t="str">
        <f>IF($L96="","",INDEX('RECEBIMENTOS'!$D$6:$D$1005,$L96)&amp;"")</f>
        <v/>
      </c>
      <c r="E96" s="128" t="str">
        <f>IF($L96="","",INDEX('RECEBIMENTOS'!$E$6:$E$1005,$L96))</f>
        <v/>
      </c>
      <c r="F96" s="122" t="str">
        <f>IF($L96="","",INDEX('RECEBIMENTOS'!$H$6:$H$1005,$L96))</f>
        <v/>
      </c>
      <c r="G96" s="120" t="str">
        <f>IF($L96="","",INDEX('RECEBIMENTOS'!$P$6:$P$1005,$L96)&amp;"")</f>
        <v/>
      </c>
      <c r="H96" s="120" t="str">
        <f>IF($L96="","",INDEX('RECEBIMENTOS'!$A$6:$A$1005,$L96)&amp;"")</f>
        <v/>
      </c>
      <c r="L96" t="str">
        <f>IFERROR(MATCH(9,'RECEBIMENTOS'!$AB$6:$AB$1005,0),"")</f>
        <v/>
      </c>
    </row>
    <row r="97">
      <c r="B97" s="119" t="str">
        <f>IF($L97="","",INDEX('RECEBIMENTOS'!$B$6:$B$1005,$L97)&amp;"")</f>
        <v/>
      </c>
      <c r="C97" s="120" t="str">
        <f>IF($L97="","",IFERROR(INDEX('MTRs'!$B$6:$B$505,INDEX('RECEBIMENTOS'!$U$6:$U$1005,$L97))&amp;"",""))</f>
        <v/>
      </c>
      <c r="D97" s="120" t="str">
        <f>IF($L97="","",INDEX('RECEBIMENTOS'!$D$6:$D$1005,$L97)&amp;"")</f>
        <v/>
      </c>
      <c r="E97" s="128" t="str">
        <f>IF($L97="","",INDEX('RECEBIMENTOS'!$E$6:$E$1005,$L97))</f>
        <v/>
      </c>
      <c r="F97" s="122" t="str">
        <f>IF($L97="","",INDEX('RECEBIMENTOS'!$H$6:$H$1005,$L97))</f>
        <v/>
      </c>
      <c r="G97" s="120" t="str">
        <f>IF($L97="","",INDEX('RECEBIMENTOS'!$P$6:$P$1005,$L97)&amp;"")</f>
        <v/>
      </c>
      <c r="H97" s="120" t="str">
        <f>IF($L97="","",INDEX('RECEBIMENTOS'!$A$6:$A$1005,$L97)&amp;"")</f>
        <v/>
      </c>
      <c r="L97" t="str">
        <f>IFERROR(MATCH(10,'RECEBIMENTOS'!$AB$6:$AB$1005,0),"")</f>
        <v/>
      </c>
    </row>
    <row r="98">
      <c r="B98" s="119" t="str">
        <f>IF($L98="","",INDEX('RECEBIMENTOS'!$B$6:$B$1005,$L98)&amp;"")</f>
        <v/>
      </c>
      <c r="C98" s="120" t="str">
        <f>IF($L98="","",IFERROR(INDEX('MTRs'!$B$6:$B$505,INDEX('RECEBIMENTOS'!$U$6:$U$1005,$L98))&amp;"",""))</f>
        <v/>
      </c>
      <c r="D98" s="120" t="str">
        <f>IF($L98="","",INDEX('RECEBIMENTOS'!$D$6:$D$1005,$L98)&amp;"")</f>
        <v/>
      </c>
      <c r="E98" s="128" t="str">
        <f>IF($L98="","",INDEX('RECEBIMENTOS'!$E$6:$E$1005,$L98))</f>
        <v/>
      </c>
      <c r="F98" s="122" t="str">
        <f>IF($L98="","",INDEX('RECEBIMENTOS'!$H$6:$H$1005,$L98))</f>
        <v/>
      </c>
      <c r="G98" s="120" t="str">
        <f>IF($L98="","",INDEX('RECEBIMENTOS'!$P$6:$P$1005,$L98)&amp;"")</f>
        <v/>
      </c>
      <c r="H98" s="120" t="str">
        <f>IF($L98="","",INDEX('RECEBIMENTOS'!$A$6:$A$1005,$L98)&amp;"")</f>
        <v/>
      </c>
      <c r="L98" t="str">
        <f>IFERROR(MATCH(11,'RECEBIMENTOS'!$AB$6:$AB$1005,0),"")</f>
        <v/>
      </c>
    </row>
    <row r="99">
      <c r="B99" s="119" t="str">
        <f>IF($L99="","",INDEX('RECEBIMENTOS'!$B$6:$B$1005,$L99)&amp;"")</f>
        <v/>
      </c>
      <c r="C99" s="120" t="str">
        <f>IF($L99="","",IFERROR(INDEX('MTRs'!$B$6:$B$505,INDEX('RECEBIMENTOS'!$U$6:$U$1005,$L99))&amp;"",""))</f>
        <v/>
      </c>
      <c r="D99" s="120" t="str">
        <f>IF($L99="","",INDEX('RECEBIMENTOS'!$D$6:$D$1005,$L99)&amp;"")</f>
        <v/>
      </c>
      <c r="E99" s="128" t="str">
        <f>IF($L99="","",INDEX('RECEBIMENTOS'!$E$6:$E$1005,$L99))</f>
        <v/>
      </c>
      <c r="F99" s="122" t="str">
        <f>IF($L99="","",INDEX('RECEBIMENTOS'!$H$6:$H$1005,$L99))</f>
        <v/>
      </c>
      <c r="G99" s="120" t="str">
        <f>IF($L99="","",INDEX('RECEBIMENTOS'!$P$6:$P$1005,$L99)&amp;"")</f>
        <v/>
      </c>
      <c r="H99" s="120" t="str">
        <f>IF($L99="","",INDEX('RECEBIMENTOS'!$A$6:$A$1005,$L99)&amp;"")</f>
        <v/>
      </c>
      <c r="L99" t="str">
        <f>IFERROR(MATCH(12,'RECEBIMENTOS'!$AB$6:$AB$1005,0),"")</f>
        <v/>
      </c>
    </row>
    <row r="100">
      <c r="B100" s="119" t="str">
        <f>IF($L100="","",INDEX('RECEBIMENTOS'!$B$6:$B$1005,$L100)&amp;"")</f>
        <v/>
      </c>
      <c r="C100" s="120" t="str">
        <f>IF($L100="","",IFERROR(INDEX('MTRs'!$B$6:$B$505,INDEX('RECEBIMENTOS'!$U$6:$U$1005,$L100))&amp;"",""))</f>
        <v/>
      </c>
      <c r="D100" s="120" t="str">
        <f>IF($L100="","",INDEX('RECEBIMENTOS'!$D$6:$D$1005,$L100)&amp;"")</f>
        <v/>
      </c>
      <c r="E100" s="128" t="str">
        <f>IF($L100="","",INDEX('RECEBIMENTOS'!$E$6:$E$1005,$L100))</f>
        <v/>
      </c>
      <c r="F100" s="122" t="str">
        <f>IF($L100="","",INDEX('RECEBIMENTOS'!$H$6:$H$1005,$L100))</f>
        <v/>
      </c>
      <c r="G100" s="120" t="str">
        <f>IF($L100="","",INDEX('RECEBIMENTOS'!$P$6:$P$1005,$L100)&amp;"")</f>
        <v/>
      </c>
      <c r="H100" s="120" t="str">
        <f>IF($L100="","",INDEX('RECEBIMENTOS'!$A$6:$A$1005,$L100)&amp;"")</f>
        <v/>
      </c>
      <c r="L100" t="str">
        <f>IFERROR(MATCH(13,'RECEBIMENTOS'!$AB$6:$AB$1005,0),"")</f>
        <v/>
      </c>
    </row>
    <row r="101">
      <c r="B101" s="119" t="str">
        <f>IF($L101="","",INDEX('RECEBIMENTOS'!$B$6:$B$1005,$L101)&amp;"")</f>
        <v/>
      </c>
      <c r="C101" s="120" t="str">
        <f>IF($L101="","",IFERROR(INDEX('MTRs'!$B$6:$B$505,INDEX('RECEBIMENTOS'!$U$6:$U$1005,$L101))&amp;"",""))</f>
        <v/>
      </c>
      <c r="D101" s="120" t="str">
        <f>IF($L101="","",INDEX('RECEBIMENTOS'!$D$6:$D$1005,$L101)&amp;"")</f>
        <v/>
      </c>
      <c r="E101" s="128" t="str">
        <f>IF($L101="","",INDEX('RECEBIMENTOS'!$E$6:$E$1005,$L101))</f>
        <v/>
      </c>
      <c r="F101" s="122" t="str">
        <f>IF($L101="","",INDEX('RECEBIMENTOS'!$H$6:$H$1005,$L101))</f>
        <v/>
      </c>
      <c r="G101" s="120" t="str">
        <f>IF($L101="","",INDEX('RECEBIMENTOS'!$P$6:$P$1005,$L101)&amp;"")</f>
        <v/>
      </c>
      <c r="H101" s="120" t="str">
        <f>IF($L101="","",INDEX('RECEBIMENTOS'!$A$6:$A$1005,$L101)&amp;"")</f>
        <v/>
      </c>
      <c r="L101" t="str">
        <f>IFERROR(MATCH(14,'RECEBIMENTOS'!$AB$6:$AB$1005,0),"")</f>
        <v/>
      </c>
    </row>
    <row r="102">
      <c r="B102" s="119" t="str">
        <f>IF($L102="","",INDEX('RECEBIMENTOS'!$B$6:$B$1005,$L102)&amp;"")</f>
        <v/>
      </c>
      <c r="C102" s="120" t="str">
        <f>IF($L102="","",IFERROR(INDEX('MTRs'!$B$6:$B$505,INDEX('RECEBIMENTOS'!$U$6:$U$1005,$L102))&amp;"",""))</f>
        <v/>
      </c>
      <c r="D102" s="120" t="str">
        <f>IF($L102="","",INDEX('RECEBIMENTOS'!$D$6:$D$1005,$L102)&amp;"")</f>
        <v/>
      </c>
      <c r="E102" s="128" t="str">
        <f>IF($L102="","",INDEX('RECEBIMENTOS'!$E$6:$E$1005,$L102))</f>
        <v/>
      </c>
      <c r="F102" s="122" t="str">
        <f>IF($L102="","",INDEX('RECEBIMENTOS'!$H$6:$H$1005,$L102))</f>
        <v/>
      </c>
      <c r="G102" s="120" t="str">
        <f>IF($L102="","",INDEX('RECEBIMENTOS'!$P$6:$P$1005,$L102)&amp;"")</f>
        <v/>
      </c>
      <c r="H102" s="120" t="str">
        <f>IF($L102="","",INDEX('RECEBIMENTOS'!$A$6:$A$1005,$L102)&amp;"")</f>
        <v/>
      </c>
      <c r="L102" t="str">
        <f>IFERROR(MATCH(15,'RECEBIMENTOS'!$AB$6:$AB$1005,0),"")</f>
        <v/>
      </c>
    </row>
    <row r="103">
      <c r="B103" s="119" t="str">
        <f>IF($L103="","",INDEX('RECEBIMENTOS'!$B$6:$B$1005,$L103)&amp;"")</f>
        <v/>
      </c>
      <c r="C103" s="120" t="str">
        <f>IF($L103="","",IFERROR(INDEX('MTRs'!$B$6:$B$505,INDEX('RECEBIMENTOS'!$U$6:$U$1005,$L103))&amp;"",""))</f>
        <v/>
      </c>
      <c r="D103" s="120" t="str">
        <f>IF($L103="","",INDEX('RECEBIMENTOS'!$D$6:$D$1005,$L103)&amp;"")</f>
        <v/>
      </c>
      <c r="E103" s="128" t="str">
        <f>IF($L103="","",INDEX('RECEBIMENTOS'!$E$6:$E$1005,$L103))</f>
        <v/>
      </c>
      <c r="F103" s="122" t="str">
        <f>IF($L103="","",INDEX('RECEBIMENTOS'!$H$6:$H$1005,$L103))</f>
        <v/>
      </c>
      <c r="G103" s="120" t="str">
        <f>IF($L103="","",INDEX('RECEBIMENTOS'!$P$6:$P$1005,$L103)&amp;"")</f>
        <v/>
      </c>
      <c r="H103" s="120" t="str">
        <f>IF($L103="","",INDEX('RECEBIMENTOS'!$A$6:$A$1005,$L103)&amp;"")</f>
        <v/>
      </c>
      <c r="L103" t="str">
        <f>IFERROR(MATCH(16,'RECEBIMENTOS'!$AB$6:$AB$1005,0),"")</f>
        <v/>
      </c>
    </row>
    <row r="104">
      <c r="B104" s="119" t="str">
        <f>IF($L104="","",INDEX('RECEBIMENTOS'!$B$6:$B$1005,$L104)&amp;"")</f>
        <v/>
      </c>
      <c r="C104" s="120" t="str">
        <f>IF($L104="","",IFERROR(INDEX('MTRs'!$B$6:$B$505,INDEX('RECEBIMENTOS'!$U$6:$U$1005,$L104))&amp;"",""))</f>
        <v/>
      </c>
      <c r="D104" s="120" t="str">
        <f>IF($L104="","",INDEX('RECEBIMENTOS'!$D$6:$D$1005,$L104)&amp;"")</f>
        <v/>
      </c>
      <c r="E104" s="128" t="str">
        <f>IF($L104="","",INDEX('RECEBIMENTOS'!$E$6:$E$1005,$L104))</f>
        <v/>
      </c>
      <c r="F104" s="122" t="str">
        <f>IF($L104="","",INDEX('RECEBIMENTOS'!$H$6:$H$1005,$L104))</f>
        <v/>
      </c>
      <c r="G104" s="120" t="str">
        <f>IF($L104="","",INDEX('RECEBIMENTOS'!$P$6:$P$1005,$L104)&amp;"")</f>
        <v/>
      </c>
      <c r="H104" s="120" t="str">
        <f>IF($L104="","",INDEX('RECEBIMENTOS'!$A$6:$A$1005,$L104)&amp;"")</f>
        <v/>
      </c>
      <c r="L104" t="str">
        <f>IFERROR(MATCH(17,'RECEBIMENTOS'!$AB$6:$AB$1005,0),"")</f>
        <v/>
      </c>
    </row>
    <row r="105">
      <c r="B105" s="119" t="str">
        <f>IF($L105="","",INDEX('RECEBIMENTOS'!$B$6:$B$1005,$L105)&amp;"")</f>
        <v/>
      </c>
      <c r="C105" s="120" t="str">
        <f>IF($L105="","",IFERROR(INDEX('MTRs'!$B$6:$B$505,INDEX('RECEBIMENTOS'!$U$6:$U$1005,$L105))&amp;"",""))</f>
        <v/>
      </c>
      <c r="D105" s="120" t="str">
        <f>IF($L105="","",INDEX('RECEBIMENTOS'!$D$6:$D$1005,$L105)&amp;"")</f>
        <v/>
      </c>
      <c r="E105" s="128" t="str">
        <f>IF($L105="","",INDEX('RECEBIMENTOS'!$E$6:$E$1005,$L105))</f>
        <v/>
      </c>
      <c r="F105" s="122" t="str">
        <f>IF($L105="","",INDEX('RECEBIMENTOS'!$H$6:$H$1005,$L105))</f>
        <v/>
      </c>
      <c r="G105" s="120" t="str">
        <f>IF($L105="","",INDEX('RECEBIMENTOS'!$P$6:$P$1005,$L105)&amp;"")</f>
        <v/>
      </c>
      <c r="H105" s="120" t="str">
        <f>IF($L105="","",INDEX('RECEBIMENTOS'!$A$6:$A$1005,$L105)&amp;"")</f>
        <v/>
      </c>
      <c r="L105" t="str">
        <f>IFERROR(MATCH(18,'RECEBIMENTOS'!$AB$6:$AB$1005,0),"")</f>
        <v/>
      </c>
    </row>
    <row r="106">
      <c r="B106" s="119" t="str">
        <f>IF($L106="","",INDEX('RECEBIMENTOS'!$B$6:$B$1005,$L106)&amp;"")</f>
        <v/>
      </c>
      <c r="C106" s="120" t="str">
        <f>IF($L106="","",IFERROR(INDEX('MTRs'!$B$6:$B$505,INDEX('RECEBIMENTOS'!$U$6:$U$1005,$L106))&amp;"",""))</f>
        <v/>
      </c>
      <c r="D106" s="120" t="str">
        <f>IF($L106="","",INDEX('RECEBIMENTOS'!$D$6:$D$1005,$L106)&amp;"")</f>
        <v/>
      </c>
      <c r="E106" s="128" t="str">
        <f>IF($L106="","",INDEX('RECEBIMENTOS'!$E$6:$E$1005,$L106))</f>
        <v/>
      </c>
      <c r="F106" s="122" t="str">
        <f>IF($L106="","",INDEX('RECEBIMENTOS'!$H$6:$H$1005,$L106))</f>
        <v/>
      </c>
      <c r="G106" s="120" t="str">
        <f>IF($L106="","",INDEX('RECEBIMENTOS'!$P$6:$P$1005,$L106)&amp;"")</f>
        <v/>
      </c>
      <c r="H106" s="120" t="str">
        <f>IF($L106="","",INDEX('RECEBIMENTOS'!$A$6:$A$1005,$L106)&amp;"")</f>
        <v/>
      </c>
      <c r="L106" t="str">
        <f>IFERROR(MATCH(19,'RECEBIMENTOS'!$AB$6:$AB$1005,0),"")</f>
        <v/>
      </c>
    </row>
    <row r="107">
      <c r="B107" s="119" t="str">
        <f>IF($L107="","",INDEX('RECEBIMENTOS'!$B$6:$B$1005,$L107)&amp;"")</f>
        <v/>
      </c>
      <c r="C107" s="120" t="str">
        <f>IF($L107="","",IFERROR(INDEX('MTRs'!$B$6:$B$505,INDEX('RECEBIMENTOS'!$U$6:$U$1005,$L107))&amp;"",""))</f>
        <v/>
      </c>
      <c r="D107" s="120" t="str">
        <f>IF($L107="","",INDEX('RECEBIMENTOS'!$D$6:$D$1005,$L107)&amp;"")</f>
        <v/>
      </c>
      <c r="E107" s="128" t="str">
        <f>IF($L107="","",INDEX('RECEBIMENTOS'!$E$6:$E$1005,$L107))</f>
        <v/>
      </c>
      <c r="F107" s="122" t="str">
        <f>IF($L107="","",INDEX('RECEBIMENTOS'!$H$6:$H$1005,$L107))</f>
        <v/>
      </c>
      <c r="G107" s="120" t="str">
        <f>IF($L107="","",INDEX('RECEBIMENTOS'!$P$6:$P$1005,$L107)&amp;"")</f>
        <v/>
      </c>
      <c r="H107" s="120" t="str">
        <f>IF($L107="","",INDEX('RECEBIMENTOS'!$A$6:$A$1005,$L107)&amp;"")</f>
        <v/>
      </c>
      <c r="L107" t="str">
        <f>IFERROR(MATCH(20,'RECEBIMENTOS'!$AB$6:$AB$1005,0),"")</f>
        <v/>
      </c>
    </row>
    <row r="108">
      <c r="B108" s="119" t="str">
        <f>IF($L108="","",INDEX('RECEBIMENTOS'!$B$6:$B$1005,$L108)&amp;"")</f>
        <v/>
      </c>
      <c r="C108" s="120" t="str">
        <f>IF($L108="","",IFERROR(INDEX('MTRs'!$B$6:$B$505,INDEX('RECEBIMENTOS'!$U$6:$U$1005,$L108))&amp;"",""))</f>
        <v/>
      </c>
      <c r="D108" s="120" t="str">
        <f>IF($L108="","",INDEX('RECEBIMENTOS'!$D$6:$D$1005,$L108)&amp;"")</f>
        <v/>
      </c>
      <c r="E108" s="128" t="str">
        <f>IF($L108="","",INDEX('RECEBIMENTOS'!$E$6:$E$1005,$L108))</f>
        <v/>
      </c>
      <c r="F108" s="122" t="str">
        <f>IF($L108="","",INDEX('RECEBIMENTOS'!$H$6:$H$1005,$L108))</f>
        <v/>
      </c>
      <c r="G108" s="120" t="str">
        <f>IF($L108="","",INDEX('RECEBIMENTOS'!$P$6:$P$1005,$L108)&amp;"")</f>
        <v/>
      </c>
      <c r="H108" s="120" t="str">
        <f>IF($L108="","",INDEX('RECEBIMENTOS'!$A$6:$A$1005,$L108)&amp;"")</f>
        <v/>
      </c>
      <c r="L108" t="str">
        <f>IFERROR(MATCH(21,'RECEBIMENTOS'!$AB$6:$AB$1005,0),"")</f>
        <v/>
      </c>
    </row>
    <row r="109">
      <c r="B109" s="119" t="str">
        <f>IF($L109="","",INDEX('RECEBIMENTOS'!$B$6:$B$1005,$L109)&amp;"")</f>
        <v/>
      </c>
      <c r="C109" s="120" t="str">
        <f>IF($L109="","",IFERROR(INDEX('MTRs'!$B$6:$B$505,INDEX('RECEBIMENTOS'!$U$6:$U$1005,$L109))&amp;"",""))</f>
        <v/>
      </c>
      <c r="D109" s="120" t="str">
        <f>IF($L109="","",INDEX('RECEBIMENTOS'!$D$6:$D$1005,$L109)&amp;"")</f>
        <v/>
      </c>
      <c r="E109" s="128" t="str">
        <f>IF($L109="","",INDEX('RECEBIMENTOS'!$E$6:$E$1005,$L109))</f>
        <v/>
      </c>
      <c r="F109" s="122" t="str">
        <f>IF($L109="","",INDEX('RECEBIMENTOS'!$H$6:$H$1005,$L109))</f>
        <v/>
      </c>
      <c r="G109" s="120" t="str">
        <f>IF($L109="","",INDEX('RECEBIMENTOS'!$P$6:$P$1005,$L109)&amp;"")</f>
        <v/>
      </c>
      <c r="H109" s="120" t="str">
        <f>IF($L109="","",INDEX('RECEBIMENTOS'!$A$6:$A$1005,$L109)&amp;"")</f>
        <v/>
      </c>
      <c r="L109" t="str">
        <f>IFERROR(MATCH(22,'RECEBIMENTOS'!$AB$6:$AB$1005,0),"")</f>
        <v/>
      </c>
    </row>
    <row r="110">
      <c r="B110" s="119" t="str">
        <f>IF($L110="","",INDEX('RECEBIMENTOS'!$B$6:$B$1005,$L110)&amp;"")</f>
        <v/>
      </c>
      <c r="C110" s="120" t="str">
        <f>IF($L110="","",IFERROR(INDEX('MTRs'!$B$6:$B$505,INDEX('RECEBIMENTOS'!$U$6:$U$1005,$L110))&amp;"",""))</f>
        <v/>
      </c>
      <c r="D110" s="120" t="str">
        <f>IF($L110="","",INDEX('RECEBIMENTOS'!$D$6:$D$1005,$L110)&amp;"")</f>
        <v/>
      </c>
      <c r="E110" s="128" t="str">
        <f>IF($L110="","",INDEX('RECEBIMENTOS'!$E$6:$E$1005,$L110))</f>
        <v/>
      </c>
      <c r="F110" s="122" t="str">
        <f>IF($L110="","",INDEX('RECEBIMENTOS'!$H$6:$H$1005,$L110))</f>
        <v/>
      </c>
      <c r="G110" s="120" t="str">
        <f>IF($L110="","",INDEX('RECEBIMENTOS'!$P$6:$P$1005,$L110)&amp;"")</f>
        <v/>
      </c>
      <c r="H110" s="120" t="str">
        <f>IF($L110="","",INDEX('RECEBIMENTOS'!$A$6:$A$1005,$L110)&amp;"")</f>
        <v/>
      </c>
      <c r="L110" t="str">
        <f>IFERROR(MATCH(23,'RECEBIMENTOS'!$AB$6:$AB$1005,0),"")</f>
        <v/>
      </c>
    </row>
    <row r="111">
      <c r="B111" s="119" t="str">
        <f>IF($L111="","",INDEX('RECEBIMENTOS'!$B$6:$B$1005,$L111)&amp;"")</f>
        <v/>
      </c>
      <c r="C111" s="120" t="str">
        <f>IF($L111="","",IFERROR(INDEX('MTRs'!$B$6:$B$505,INDEX('RECEBIMENTOS'!$U$6:$U$1005,$L111))&amp;"",""))</f>
        <v/>
      </c>
      <c r="D111" s="120" t="str">
        <f>IF($L111="","",INDEX('RECEBIMENTOS'!$D$6:$D$1005,$L111)&amp;"")</f>
        <v/>
      </c>
      <c r="E111" s="128" t="str">
        <f>IF($L111="","",INDEX('RECEBIMENTOS'!$E$6:$E$1005,$L111))</f>
        <v/>
      </c>
      <c r="F111" s="122" t="str">
        <f>IF($L111="","",INDEX('RECEBIMENTOS'!$H$6:$H$1005,$L111))</f>
        <v/>
      </c>
      <c r="G111" s="120" t="str">
        <f>IF($L111="","",INDEX('RECEBIMENTOS'!$P$6:$P$1005,$L111)&amp;"")</f>
        <v/>
      </c>
      <c r="H111" s="120" t="str">
        <f>IF($L111="","",INDEX('RECEBIMENTOS'!$A$6:$A$1005,$L111)&amp;"")</f>
        <v/>
      </c>
      <c r="L111" t="str">
        <f>IFERROR(MATCH(24,'RECEBIMENTOS'!$AB$6:$AB$1005,0),"")</f>
        <v/>
      </c>
    </row>
    <row r="112">
      <c r="B112" s="119" t="str">
        <f>IF($L112="","",INDEX('RECEBIMENTOS'!$B$6:$B$1005,$L112)&amp;"")</f>
        <v/>
      </c>
      <c r="C112" s="120" t="str">
        <f>IF($L112="","",IFERROR(INDEX('MTRs'!$B$6:$B$505,INDEX('RECEBIMENTOS'!$U$6:$U$1005,$L112))&amp;"",""))</f>
        <v/>
      </c>
      <c r="D112" s="120" t="str">
        <f>IF($L112="","",INDEX('RECEBIMENTOS'!$D$6:$D$1005,$L112)&amp;"")</f>
        <v/>
      </c>
      <c r="E112" s="128" t="str">
        <f>IF($L112="","",INDEX('RECEBIMENTOS'!$E$6:$E$1005,$L112))</f>
        <v/>
      </c>
      <c r="F112" s="122" t="str">
        <f>IF($L112="","",INDEX('RECEBIMENTOS'!$H$6:$H$1005,$L112))</f>
        <v/>
      </c>
      <c r="G112" s="120" t="str">
        <f>IF($L112="","",INDEX('RECEBIMENTOS'!$P$6:$P$1005,$L112)&amp;"")</f>
        <v/>
      </c>
      <c r="H112" s="120" t="str">
        <f>IF($L112="","",INDEX('RECEBIMENTOS'!$A$6:$A$1005,$L112)&amp;"")</f>
        <v/>
      </c>
      <c r="L112" t="str">
        <f>IFERROR(MATCH(25,'RECEBIMENTOS'!$AB$6:$AB$1005,0),"")</f>
        <v/>
      </c>
    </row>
    <row r="113">
      <c r="B113" s="119" t="str">
        <f>IF($L113="","",INDEX('RECEBIMENTOS'!$B$6:$B$1005,$L113)&amp;"")</f>
        <v/>
      </c>
      <c r="C113" s="120" t="str">
        <f>IF($L113="","",IFERROR(INDEX('MTRs'!$B$6:$B$505,INDEX('RECEBIMENTOS'!$U$6:$U$1005,$L113))&amp;"",""))</f>
        <v/>
      </c>
      <c r="D113" s="120" t="str">
        <f>IF($L113="","",INDEX('RECEBIMENTOS'!$D$6:$D$1005,$L113)&amp;"")</f>
        <v/>
      </c>
      <c r="E113" s="128" t="str">
        <f>IF($L113="","",INDEX('RECEBIMENTOS'!$E$6:$E$1005,$L113))</f>
        <v/>
      </c>
      <c r="F113" s="122" t="str">
        <f>IF($L113="","",INDEX('RECEBIMENTOS'!$H$6:$H$1005,$L113))</f>
        <v/>
      </c>
      <c r="G113" s="120" t="str">
        <f>IF($L113="","",INDEX('RECEBIMENTOS'!$P$6:$P$1005,$L113)&amp;"")</f>
        <v/>
      </c>
      <c r="H113" s="120" t="str">
        <f>IF($L113="","",INDEX('RECEBIMENTOS'!$A$6:$A$1005,$L113)&amp;"")</f>
        <v/>
      </c>
      <c r="L113" t="str">
        <f>IFERROR(MATCH(26,'RECEBIMENTOS'!$AB$6:$AB$1005,0),"")</f>
        <v/>
      </c>
    </row>
    <row r="114">
      <c r="B114" s="119" t="str">
        <f>IF($L114="","",INDEX('RECEBIMENTOS'!$B$6:$B$1005,$L114)&amp;"")</f>
        <v/>
      </c>
      <c r="C114" s="120" t="str">
        <f>IF($L114="","",IFERROR(INDEX('MTRs'!$B$6:$B$505,INDEX('RECEBIMENTOS'!$U$6:$U$1005,$L114))&amp;"",""))</f>
        <v/>
      </c>
      <c r="D114" s="120" t="str">
        <f>IF($L114="","",INDEX('RECEBIMENTOS'!$D$6:$D$1005,$L114)&amp;"")</f>
        <v/>
      </c>
      <c r="E114" s="128" t="str">
        <f>IF($L114="","",INDEX('RECEBIMENTOS'!$E$6:$E$1005,$L114))</f>
        <v/>
      </c>
      <c r="F114" s="122" t="str">
        <f>IF($L114="","",INDEX('RECEBIMENTOS'!$H$6:$H$1005,$L114))</f>
        <v/>
      </c>
      <c r="G114" s="120" t="str">
        <f>IF($L114="","",INDEX('RECEBIMENTOS'!$P$6:$P$1005,$L114)&amp;"")</f>
        <v/>
      </c>
      <c r="H114" s="120" t="str">
        <f>IF($L114="","",INDEX('RECEBIMENTOS'!$A$6:$A$1005,$L114)&amp;"")</f>
        <v/>
      </c>
      <c r="L114" t="str">
        <f>IFERROR(MATCH(27,'RECEBIMENTOS'!$AB$6:$AB$1005,0),"")</f>
        <v/>
      </c>
    </row>
    <row r="115">
      <c r="B115" s="119" t="str">
        <f>IF($L115="","",INDEX('RECEBIMENTOS'!$B$6:$B$1005,$L115)&amp;"")</f>
        <v/>
      </c>
      <c r="C115" s="120" t="str">
        <f>IF($L115="","",IFERROR(INDEX('MTRs'!$B$6:$B$505,INDEX('RECEBIMENTOS'!$U$6:$U$1005,$L115))&amp;"",""))</f>
        <v/>
      </c>
      <c r="D115" s="120" t="str">
        <f>IF($L115="","",INDEX('RECEBIMENTOS'!$D$6:$D$1005,$L115)&amp;"")</f>
        <v/>
      </c>
      <c r="E115" s="128" t="str">
        <f>IF($L115="","",INDEX('RECEBIMENTOS'!$E$6:$E$1005,$L115))</f>
        <v/>
      </c>
      <c r="F115" s="122" t="str">
        <f>IF($L115="","",INDEX('RECEBIMENTOS'!$H$6:$H$1005,$L115))</f>
        <v/>
      </c>
      <c r="G115" s="120" t="str">
        <f>IF($L115="","",INDEX('RECEBIMENTOS'!$P$6:$P$1005,$L115)&amp;"")</f>
        <v/>
      </c>
      <c r="H115" s="120" t="str">
        <f>IF($L115="","",INDEX('RECEBIMENTOS'!$A$6:$A$1005,$L115)&amp;"")</f>
        <v/>
      </c>
      <c r="L115" t="str">
        <f>IFERROR(MATCH(28,'RECEBIMENTOS'!$AB$6:$AB$1005,0),"")</f>
        <v/>
      </c>
    </row>
    <row r="116">
      <c r="B116" s="119" t="str">
        <f>IF($L116="","",INDEX('RECEBIMENTOS'!$B$6:$B$1005,$L116)&amp;"")</f>
        <v/>
      </c>
      <c r="C116" s="120" t="str">
        <f>IF($L116="","",IFERROR(INDEX('MTRs'!$B$6:$B$505,INDEX('RECEBIMENTOS'!$U$6:$U$1005,$L116))&amp;"",""))</f>
        <v/>
      </c>
      <c r="D116" s="120" t="str">
        <f>IF($L116="","",INDEX('RECEBIMENTOS'!$D$6:$D$1005,$L116)&amp;"")</f>
        <v/>
      </c>
      <c r="E116" s="128" t="str">
        <f>IF($L116="","",INDEX('RECEBIMENTOS'!$E$6:$E$1005,$L116))</f>
        <v/>
      </c>
      <c r="F116" s="122" t="str">
        <f>IF($L116="","",INDEX('RECEBIMENTOS'!$H$6:$H$1005,$L116))</f>
        <v/>
      </c>
      <c r="G116" s="120" t="str">
        <f>IF($L116="","",INDEX('RECEBIMENTOS'!$P$6:$P$1005,$L116)&amp;"")</f>
        <v/>
      </c>
      <c r="H116" s="120" t="str">
        <f>IF($L116="","",INDEX('RECEBIMENTOS'!$A$6:$A$1005,$L116)&amp;"")</f>
        <v/>
      </c>
      <c r="L116" t="str">
        <f>IFERROR(MATCH(29,'RECEBIMENTOS'!$AB$6:$AB$1005,0),"")</f>
        <v/>
      </c>
    </row>
    <row r="117">
      <c r="B117" s="119" t="str">
        <f>IF($L117="","",INDEX('RECEBIMENTOS'!$B$6:$B$1005,$L117)&amp;"")</f>
        <v/>
      </c>
      <c r="C117" s="120" t="str">
        <f>IF($L117="","",IFERROR(INDEX('MTRs'!$B$6:$B$505,INDEX('RECEBIMENTOS'!$U$6:$U$1005,$L117))&amp;"",""))</f>
        <v/>
      </c>
      <c r="D117" s="120" t="str">
        <f>IF($L117="","",INDEX('RECEBIMENTOS'!$D$6:$D$1005,$L117)&amp;"")</f>
        <v/>
      </c>
      <c r="E117" s="128" t="str">
        <f>IF($L117="","",INDEX('RECEBIMENTOS'!$E$6:$E$1005,$L117))</f>
        <v/>
      </c>
      <c r="F117" s="122" t="str">
        <f>IF($L117="","",INDEX('RECEBIMENTOS'!$H$6:$H$1005,$L117))</f>
        <v/>
      </c>
      <c r="G117" s="120" t="str">
        <f>IF($L117="","",INDEX('RECEBIMENTOS'!$P$6:$P$1005,$L117)&amp;"")</f>
        <v/>
      </c>
      <c r="H117" s="120" t="str">
        <f>IF($L117="","",INDEX('RECEBIMENTOS'!$A$6:$A$1005,$L117)&amp;"")</f>
        <v/>
      </c>
      <c r="L117" t="str">
        <f>IFERROR(MATCH(30,'RECEBIMENTOS'!$AB$6:$AB$1005,0),"")</f>
        <v/>
      </c>
    </row>
    <row r="118">
      <c r="B118" s="119" t="str">
        <f>IF($L118="","",INDEX('RECEBIMENTOS'!$B$6:$B$1005,$L118)&amp;"")</f>
        <v/>
      </c>
      <c r="C118" s="120" t="str">
        <f>IF($L118="","",IFERROR(INDEX('MTRs'!$B$6:$B$505,INDEX('RECEBIMENTOS'!$U$6:$U$1005,$L118))&amp;"",""))</f>
        <v/>
      </c>
      <c r="D118" s="120" t="str">
        <f>IF($L118="","",INDEX('RECEBIMENTOS'!$D$6:$D$1005,$L118)&amp;"")</f>
        <v/>
      </c>
      <c r="E118" s="128" t="str">
        <f>IF($L118="","",INDEX('RECEBIMENTOS'!$E$6:$E$1005,$L118))</f>
        <v/>
      </c>
      <c r="F118" s="122" t="str">
        <f>IF($L118="","",INDEX('RECEBIMENTOS'!$H$6:$H$1005,$L118))</f>
        <v/>
      </c>
      <c r="G118" s="120" t="str">
        <f>IF($L118="","",INDEX('RECEBIMENTOS'!$P$6:$P$1005,$L118)&amp;"")</f>
        <v/>
      </c>
      <c r="H118" s="120" t="str">
        <f>IF($L118="","",INDEX('RECEBIMENTOS'!$A$6:$A$1005,$L118)&amp;"")</f>
        <v/>
      </c>
      <c r="L118" t="str">
        <f>IFERROR(MATCH(31,'RECEBIMENTOS'!$AB$6:$AB$1005,0),"")</f>
        <v/>
      </c>
    </row>
    <row r="119">
      <c r="B119" s="119" t="str">
        <f>IF($L119="","",INDEX('RECEBIMENTOS'!$B$6:$B$1005,$L119)&amp;"")</f>
        <v/>
      </c>
      <c r="C119" s="120" t="str">
        <f>IF($L119="","",IFERROR(INDEX('MTRs'!$B$6:$B$505,INDEX('RECEBIMENTOS'!$U$6:$U$1005,$L119))&amp;"",""))</f>
        <v/>
      </c>
      <c r="D119" s="120" t="str">
        <f>IF($L119="","",INDEX('RECEBIMENTOS'!$D$6:$D$1005,$L119)&amp;"")</f>
        <v/>
      </c>
      <c r="E119" s="128" t="str">
        <f>IF($L119="","",INDEX('RECEBIMENTOS'!$E$6:$E$1005,$L119))</f>
        <v/>
      </c>
      <c r="F119" s="122" t="str">
        <f>IF($L119="","",INDEX('RECEBIMENTOS'!$H$6:$H$1005,$L119))</f>
        <v/>
      </c>
      <c r="G119" s="120" t="str">
        <f>IF($L119="","",INDEX('RECEBIMENTOS'!$P$6:$P$1005,$L119)&amp;"")</f>
        <v/>
      </c>
      <c r="H119" s="120" t="str">
        <f>IF($L119="","",INDEX('RECEBIMENTOS'!$A$6:$A$1005,$L119)&amp;"")</f>
        <v/>
      </c>
      <c r="L119" t="str">
        <f>IFERROR(MATCH(32,'RECEBIMENTOS'!$AB$6:$AB$1005,0),"")</f>
        <v/>
      </c>
    </row>
    <row r="120">
      <c r="B120" s="119" t="str">
        <f>IF($L120="","",INDEX('RECEBIMENTOS'!$B$6:$B$1005,$L120)&amp;"")</f>
        <v/>
      </c>
      <c r="C120" s="120" t="str">
        <f>IF($L120="","",IFERROR(INDEX('MTRs'!$B$6:$B$505,INDEX('RECEBIMENTOS'!$U$6:$U$1005,$L120))&amp;"",""))</f>
        <v/>
      </c>
      <c r="D120" s="120" t="str">
        <f>IF($L120="","",INDEX('RECEBIMENTOS'!$D$6:$D$1005,$L120)&amp;"")</f>
        <v/>
      </c>
      <c r="E120" s="128" t="str">
        <f>IF($L120="","",INDEX('RECEBIMENTOS'!$E$6:$E$1005,$L120))</f>
        <v/>
      </c>
      <c r="F120" s="122" t="str">
        <f>IF($L120="","",INDEX('RECEBIMENTOS'!$H$6:$H$1005,$L120))</f>
        <v/>
      </c>
      <c r="G120" s="120" t="str">
        <f>IF($L120="","",INDEX('RECEBIMENTOS'!$P$6:$P$1005,$L120)&amp;"")</f>
        <v/>
      </c>
      <c r="H120" s="120" t="str">
        <f>IF($L120="","",INDEX('RECEBIMENTOS'!$A$6:$A$1005,$L120)&amp;"")</f>
        <v/>
      </c>
      <c r="L120" t="str">
        <f>IFERROR(MATCH(33,'RECEBIMENTOS'!$AB$6:$AB$1005,0),"")</f>
        <v/>
      </c>
    </row>
    <row r="121">
      <c r="B121" s="119" t="str">
        <f>IF($L121="","",INDEX('RECEBIMENTOS'!$B$6:$B$1005,$L121)&amp;"")</f>
        <v/>
      </c>
      <c r="C121" s="120" t="str">
        <f>IF($L121="","",IFERROR(INDEX('MTRs'!$B$6:$B$505,INDEX('RECEBIMENTOS'!$U$6:$U$1005,$L121))&amp;"",""))</f>
        <v/>
      </c>
      <c r="D121" s="120" t="str">
        <f>IF($L121="","",INDEX('RECEBIMENTOS'!$D$6:$D$1005,$L121)&amp;"")</f>
        <v/>
      </c>
      <c r="E121" s="128" t="str">
        <f>IF($L121="","",INDEX('RECEBIMENTOS'!$E$6:$E$1005,$L121))</f>
        <v/>
      </c>
      <c r="F121" s="122" t="str">
        <f>IF($L121="","",INDEX('RECEBIMENTOS'!$H$6:$H$1005,$L121))</f>
        <v/>
      </c>
      <c r="G121" s="120" t="str">
        <f>IF($L121="","",INDEX('RECEBIMENTOS'!$P$6:$P$1005,$L121)&amp;"")</f>
        <v/>
      </c>
      <c r="H121" s="120" t="str">
        <f>IF($L121="","",INDEX('RECEBIMENTOS'!$A$6:$A$1005,$L121)&amp;"")</f>
        <v/>
      </c>
      <c r="L121" t="str">
        <f>IFERROR(MATCH(34,'RECEBIMENTOS'!$AB$6:$AB$1005,0),"")</f>
        <v/>
      </c>
    </row>
    <row r="122">
      <c r="B122" s="119" t="str">
        <f>IF($L122="","",INDEX('RECEBIMENTOS'!$B$6:$B$1005,$L122)&amp;"")</f>
        <v/>
      </c>
      <c r="C122" s="120" t="str">
        <f>IF($L122="","",IFERROR(INDEX('MTRs'!$B$6:$B$505,INDEX('RECEBIMENTOS'!$U$6:$U$1005,$L122))&amp;"",""))</f>
        <v/>
      </c>
      <c r="D122" s="120" t="str">
        <f>IF($L122="","",INDEX('RECEBIMENTOS'!$D$6:$D$1005,$L122)&amp;"")</f>
        <v/>
      </c>
      <c r="E122" s="128" t="str">
        <f>IF($L122="","",INDEX('RECEBIMENTOS'!$E$6:$E$1005,$L122))</f>
        <v/>
      </c>
      <c r="F122" s="122" t="str">
        <f>IF($L122="","",INDEX('RECEBIMENTOS'!$H$6:$H$1005,$L122))</f>
        <v/>
      </c>
      <c r="G122" s="120" t="str">
        <f>IF($L122="","",INDEX('RECEBIMENTOS'!$P$6:$P$1005,$L122)&amp;"")</f>
        <v/>
      </c>
      <c r="H122" s="120" t="str">
        <f>IF($L122="","",INDEX('RECEBIMENTOS'!$A$6:$A$1005,$L122)&amp;"")</f>
        <v/>
      </c>
      <c r="L122" t="str">
        <f>IFERROR(MATCH(35,'RECEBIMENTOS'!$AB$6:$AB$1005,0),"")</f>
        <v/>
      </c>
    </row>
    <row r="123">
      <c r="B123" s="119" t="str">
        <f>IF($L123="","",INDEX('RECEBIMENTOS'!$B$6:$B$1005,$L123)&amp;"")</f>
        <v/>
      </c>
      <c r="C123" s="120" t="str">
        <f>IF($L123="","",IFERROR(INDEX('MTRs'!$B$6:$B$505,INDEX('RECEBIMENTOS'!$U$6:$U$1005,$L123))&amp;"",""))</f>
        <v/>
      </c>
      <c r="D123" s="120" t="str">
        <f>IF($L123="","",INDEX('RECEBIMENTOS'!$D$6:$D$1005,$L123)&amp;"")</f>
        <v/>
      </c>
      <c r="E123" s="128" t="str">
        <f>IF($L123="","",INDEX('RECEBIMENTOS'!$E$6:$E$1005,$L123))</f>
        <v/>
      </c>
      <c r="F123" s="122" t="str">
        <f>IF($L123="","",INDEX('RECEBIMENTOS'!$H$6:$H$1005,$L123))</f>
        <v/>
      </c>
      <c r="G123" s="120" t="str">
        <f>IF($L123="","",INDEX('RECEBIMENTOS'!$P$6:$P$1005,$L123)&amp;"")</f>
        <v/>
      </c>
      <c r="H123" s="120" t="str">
        <f>IF($L123="","",INDEX('RECEBIMENTOS'!$A$6:$A$1005,$L123)&amp;"")</f>
        <v/>
      </c>
      <c r="L123" t="str">
        <f>IFERROR(MATCH(36,'RECEBIMENTOS'!$AB$6:$AB$1005,0),"")</f>
        <v/>
      </c>
    </row>
    <row r="124">
      <c r="B124" s="119" t="str">
        <f>IF($L124="","",INDEX('RECEBIMENTOS'!$B$6:$B$1005,$L124)&amp;"")</f>
        <v/>
      </c>
      <c r="C124" s="120" t="str">
        <f>IF($L124="","",IFERROR(INDEX('MTRs'!$B$6:$B$505,INDEX('RECEBIMENTOS'!$U$6:$U$1005,$L124))&amp;"",""))</f>
        <v/>
      </c>
      <c r="D124" s="120" t="str">
        <f>IF($L124="","",INDEX('RECEBIMENTOS'!$D$6:$D$1005,$L124)&amp;"")</f>
        <v/>
      </c>
      <c r="E124" s="128" t="str">
        <f>IF($L124="","",INDEX('RECEBIMENTOS'!$E$6:$E$1005,$L124))</f>
        <v/>
      </c>
      <c r="F124" s="122" t="str">
        <f>IF($L124="","",INDEX('RECEBIMENTOS'!$H$6:$H$1005,$L124))</f>
        <v/>
      </c>
      <c r="G124" s="120" t="str">
        <f>IF($L124="","",INDEX('RECEBIMENTOS'!$P$6:$P$1005,$L124)&amp;"")</f>
        <v/>
      </c>
      <c r="H124" s="120" t="str">
        <f>IF($L124="","",INDEX('RECEBIMENTOS'!$A$6:$A$1005,$L124)&amp;"")</f>
        <v/>
      </c>
      <c r="L124" t="str">
        <f>IFERROR(MATCH(37,'RECEBIMENTOS'!$AB$6:$AB$1005,0),"")</f>
        <v/>
      </c>
    </row>
    <row r="125">
      <c r="B125" s="119" t="str">
        <f>IF($L125="","",INDEX('RECEBIMENTOS'!$B$6:$B$1005,$L125)&amp;"")</f>
        <v/>
      </c>
      <c r="C125" s="120" t="str">
        <f>IF($L125="","",IFERROR(INDEX('MTRs'!$B$6:$B$505,INDEX('RECEBIMENTOS'!$U$6:$U$1005,$L125))&amp;"",""))</f>
        <v/>
      </c>
      <c r="D125" s="120" t="str">
        <f>IF($L125="","",INDEX('RECEBIMENTOS'!$D$6:$D$1005,$L125)&amp;"")</f>
        <v/>
      </c>
      <c r="E125" s="128" t="str">
        <f>IF($L125="","",INDEX('RECEBIMENTOS'!$E$6:$E$1005,$L125))</f>
        <v/>
      </c>
      <c r="F125" s="122" t="str">
        <f>IF($L125="","",INDEX('RECEBIMENTOS'!$H$6:$H$1005,$L125))</f>
        <v/>
      </c>
      <c r="G125" s="120" t="str">
        <f>IF($L125="","",INDEX('RECEBIMENTOS'!$P$6:$P$1005,$L125)&amp;"")</f>
        <v/>
      </c>
      <c r="H125" s="120" t="str">
        <f>IF($L125="","",INDEX('RECEBIMENTOS'!$A$6:$A$1005,$L125)&amp;"")</f>
        <v/>
      </c>
      <c r="L125" t="str">
        <f>IFERROR(MATCH(38,'RECEBIMENTOS'!$AB$6:$AB$1005,0),"")</f>
        <v/>
      </c>
    </row>
    <row r="126">
      <c r="B126" s="119" t="str">
        <f>IF($L126="","",INDEX('RECEBIMENTOS'!$B$6:$B$1005,$L126)&amp;"")</f>
        <v/>
      </c>
      <c r="C126" s="120" t="str">
        <f>IF($L126="","",IFERROR(INDEX('MTRs'!$B$6:$B$505,INDEX('RECEBIMENTOS'!$U$6:$U$1005,$L126))&amp;"",""))</f>
        <v/>
      </c>
      <c r="D126" s="120" t="str">
        <f>IF($L126="","",INDEX('RECEBIMENTOS'!$D$6:$D$1005,$L126)&amp;"")</f>
        <v/>
      </c>
      <c r="E126" s="128" t="str">
        <f>IF($L126="","",INDEX('RECEBIMENTOS'!$E$6:$E$1005,$L126))</f>
        <v/>
      </c>
      <c r="F126" s="122" t="str">
        <f>IF($L126="","",INDEX('RECEBIMENTOS'!$H$6:$H$1005,$L126))</f>
        <v/>
      </c>
      <c r="G126" s="120" t="str">
        <f>IF($L126="","",INDEX('RECEBIMENTOS'!$P$6:$P$1005,$L126)&amp;"")</f>
        <v/>
      </c>
      <c r="H126" s="120" t="str">
        <f>IF($L126="","",INDEX('RECEBIMENTOS'!$A$6:$A$1005,$L126)&amp;"")</f>
        <v/>
      </c>
      <c r="L126" t="str">
        <f>IFERROR(MATCH(39,'RECEBIMENTOS'!$AB$6:$AB$1005,0),"")</f>
        <v/>
      </c>
    </row>
    <row r="127">
      <c r="B127" s="119" t="str">
        <f>IF($L127="","",INDEX('RECEBIMENTOS'!$B$6:$B$1005,$L127)&amp;"")</f>
        <v/>
      </c>
      <c r="C127" s="120" t="str">
        <f>IF($L127="","",IFERROR(INDEX('MTRs'!$B$6:$B$505,INDEX('RECEBIMENTOS'!$U$6:$U$1005,$L127))&amp;"",""))</f>
        <v/>
      </c>
      <c r="D127" s="120" t="str">
        <f>IF($L127="","",INDEX('RECEBIMENTOS'!$D$6:$D$1005,$L127)&amp;"")</f>
        <v/>
      </c>
      <c r="E127" s="128" t="str">
        <f>IF($L127="","",INDEX('RECEBIMENTOS'!$E$6:$E$1005,$L127))</f>
        <v/>
      </c>
      <c r="F127" s="122" t="str">
        <f>IF($L127="","",INDEX('RECEBIMENTOS'!$H$6:$H$1005,$L127))</f>
        <v/>
      </c>
      <c r="G127" s="120" t="str">
        <f>IF($L127="","",INDEX('RECEBIMENTOS'!$P$6:$P$1005,$L127)&amp;"")</f>
        <v/>
      </c>
      <c r="H127" s="120" t="str">
        <f>IF($L127="","",INDEX('RECEBIMENTOS'!$A$6:$A$1005,$L127)&amp;"")</f>
        <v/>
      </c>
      <c r="L127" t="str">
        <f>IFERROR(MATCH(40,'RECEBIMENTOS'!$AB$6:$AB$1005,0),"")</f>
        <v/>
      </c>
    </row>
    <row r="128">
      <c r="B128" s="119" t="str">
        <f>IF($L128="","",INDEX('RECEBIMENTOS'!$B$6:$B$1005,$L128)&amp;"")</f>
        <v/>
      </c>
      <c r="C128" s="120" t="str">
        <f>IF($L128="","",IFERROR(INDEX('MTRs'!$B$6:$B$505,INDEX('RECEBIMENTOS'!$U$6:$U$1005,$L128))&amp;"",""))</f>
        <v/>
      </c>
      <c r="D128" s="120" t="str">
        <f>IF($L128="","",INDEX('RECEBIMENTOS'!$D$6:$D$1005,$L128)&amp;"")</f>
        <v/>
      </c>
      <c r="E128" s="128" t="str">
        <f>IF($L128="","",INDEX('RECEBIMENTOS'!$E$6:$E$1005,$L128))</f>
        <v/>
      </c>
      <c r="F128" s="122" t="str">
        <f>IF($L128="","",INDEX('RECEBIMENTOS'!$H$6:$H$1005,$L128))</f>
        <v/>
      </c>
      <c r="G128" s="120" t="str">
        <f>IF($L128="","",INDEX('RECEBIMENTOS'!$P$6:$P$1005,$L128)&amp;"")</f>
        <v/>
      </c>
      <c r="H128" s="120" t="str">
        <f>IF($L128="","",INDEX('RECEBIMENTOS'!$A$6:$A$1005,$L128)&amp;"")</f>
        <v/>
      </c>
      <c r="L128" t="str">
        <f>IFERROR(MATCH(41,'RECEBIMENTOS'!$AB$6:$AB$1005,0),"")</f>
        <v/>
      </c>
    </row>
    <row r="129">
      <c r="B129" s="119" t="str">
        <f>IF($L129="","",INDEX('RECEBIMENTOS'!$B$6:$B$1005,$L129)&amp;"")</f>
        <v/>
      </c>
      <c r="C129" s="120" t="str">
        <f>IF($L129="","",IFERROR(INDEX('MTRs'!$B$6:$B$505,INDEX('RECEBIMENTOS'!$U$6:$U$1005,$L129))&amp;"",""))</f>
        <v/>
      </c>
      <c r="D129" s="120" t="str">
        <f>IF($L129="","",INDEX('RECEBIMENTOS'!$D$6:$D$1005,$L129)&amp;"")</f>
        <v/>
      </c>
      <c r="E129" s="128" t="str">
        <f>IF($L129="","",INDEX('RECEBIMENTOS'!$E$6:$E$1005,$L129))</f>
        <v/>
      </c>
      <c r="F129" s="122" t="str">
        <f>IF($L129="","",INDEX('RECEBIMENTOS'!$H$6:$H$1005,$L129))</f>
        <v/>
      </c>
      <c r="G129" s="120" t="str">
        <f>IF($L129="","",INDEX('RECEBIMENTOS'!$P$6:$P$1005,$L129)&amp;"")</f>
        <v/>
      </c>
      <c r="H129" s="120" t="str">
        <f>IF($L129="","",INDEX('RECEBIMENTOS'!$A$6:$A$1005,$L129)&amp;"")</f>
        <v/>
      </c>
      <c r="L129" t="str">
        <f>IFERROR(MATCH(42,'RECEBIMENTOS'!$AB$6:$AB$1005,0),"")</f>
        <v/>
      </c>
    </row>
    <row r="130">
      <c r="B130" s="119" t="str">
        <f>IF($L130="","",INDEX('RECEBIMENTOS'!$B$6:$B$1005,$L130)&amp;"")</f>
        <v/>
      </c>
      <c r="C130" s="120" t="str">
        <f>IF($L130="","",IFERROR(INDEX('MTRs'!$B$6:$B$505,INDEX('RECEBIMENTOS'!$U$6:$U$1005,$L130))&amp;"",""))</f>
        <v/>
      </c>
      <c r="D130" s="120" t="str">
        <f>IF($L130="","",INDEX('RECEBIMENTOS'!$D$6:$D$1005,$L130)&amp;"")</f>
        <v/>
      </c>
      <c r="E130" s="128" t="str">
        <f>IF($L130="","",INDEX('RECEBIMENTOS'!$E$6:$E$1005,$L130))</f>
        <v/>
      </c>
      <c r="F130" s="122" t="str">
        <f>IF($L130="","",INDEX('RECEBIMENTOS'!$H$6:$H$1005,$L130))</f>
        <v/>
      </c>
      <c r="G130" s="120" t="str">
        <f>IF($L130="","",INDEX('RECEBIMENTOS'!$P$6:$P$1005,$L130)&amp;"")</f>
        <v/>
      </c>
      <c r="H130" s="120" t="str">
        <f>IF($L130="","",INDEX('RECEBIMENTOS'!$A$6:$A$1005,$L130)&amp;"")</f>
        <v/>
      </c>
      <c r="L130" t="str">
        <f>IFERROR(MATCH(43,'RECEBIMENTOS'!$AB$6:$AB$1005,0),"")</f>
        <v/>
      </c>
    </row>
    <row r="131">
      <c r="B131" s="119" t="str">
        <f>IF($L131="","",INDEX('RECEBIMENTOS'!$B$6:$B$1005,$L131)&amp;"")</f>
        <v/>
      </c>
      <c r="C131" s="120" t="str">
        <f>IF($L131="","",IFERROR(INDEX('MTRs'!$B$6:$B$505,INDEX('RECEBIMENTOS'!$U$6:$U$1005,$L131))&amp;"",""))</f>
        <v/>
      </c>
      <c r="D131" s="120" t="str">
        <f>IF($L131="","",INDEX('RECEBIMENTOS'!$D$6:$D$1005,$L131)&amp;"")</f>
        <v/>
      </c>
      <c r="E131" s="128" t="str">
        <f>IF($L131="","",INDEX('RECEBIMENTOS'!$E$6:$E$1005,$L131))</f>
        <v/>
      </c>
      <c r="F131" s="122" t="str">
        <f>IF($L131="","",INDEX('RECEBIMENTOS'!$H$6:$H$1005,$L131))</f>
        <v/>
      </c>
      <c r="G131" s="120" t="str">
        <f>IF($L131="","",INDEX('RECEBIMENTOS'!$P$6:$P$1005,$L131)&amp;"")</f>
        <v/>
      </c>
      <c r="H131" s="120" t="str">
        <f>IF($L131="","",INDEX('RECEBIMENTOS'!$A$6:$A$1005,$L131)&amp;"")</f>
        <v/>
      </c>
      <c r="L131" t="str">
        <f>IFERROR(MATCH(44,'RECEBIMENTOS'!$AB$6:$AB$1005,0),"")</f>
        <v/>
      </c>
    </row>
    <row r="132">
      <c r="B132" s="119" t="str">
        <f>IF($L132="","",INDEX('RECEBIMENTOS'!$B$6:$B$1005,$L132)&amp;"")</f>
        <v/>
      </c>
      <c r="C132" s="120" t="str">
        <f>IF($L132="","",IFERROR(INDEX('MTRs'!$B$6:$B$505,INDEX('RECEBIMENTOS'!$U$6:$U$1005,$L132))&amp;"",""))</f>
        <v/>
      </c>
      <c r="D132" s="120" t="str">
        <f>IF($L132="","",INDEX('RECEBIMENTOS'!$D$6:$D$1005,$L132)&amp;"")</f>
        <v/>
      </c>
      <c r="E132" s="128" t="str">
        <f>IF($L132="","",INDEX('RECEBIMENTOS'!$E$6:$E$1005,$L132))</f>
        <v/>
      </c>
      <c r="F132" s="122" t="str">
        <f>IF($L132="","",INDEX('RECEBIMENTOS'!$H$6:$H$1005,$L132))</f>
        <v/>
      </c>
      <c r="G132" s="120" t="str">
        <f>IF($L132="","",INDEX('RECEBIMENTOS'!$P$6:$P$1005,$L132)&amp;"")</f>
        <v/>
      </c>
      <c r="H132" s="120" t="str">
        <f>IF($L132="","",INDEX('RECEBIMENTOS'!$A$6:$A$1005,$L132)&amp;"")</f>
        <v/>
      </c>
      <c r="L132" t="str">
        <f>IFERROR(MATCH(45,'RECEBIMENTOS'!$AB$6:$AB$1005,0),"")</f>
        <v/>
      </c>
    </row>
    <row r="133">
      <c r="B133" s="119" t="str">
        <f>IF($L133="","",INDEX('RECEBIMENTOS'!$B$6:$B$1005,$L133)&amp;"")</f>
        <v/>
      </c>
      <c r="C133" s="120" t="str">
        <f>IF($L133="","",IFERROR(INDEX('MTRs'!$B$6:$B$505,INDEX('RECEBIMENTOS'!$U$6:$U$1005,$L133))&amp;"",""))</f>
        <v/>
      </c>
      <c r="D133" s="120" t="str">
        <f>IF($L133="","",INDEX('RECEBIMENTOS'!$D$6:$D$1005,$L133)&amp;"")</f>
        <v/>
      </c>
      <c r="E133" s="128" t="str">
        <f>IF($L133="","",INDEX('RECEBIMENTOS'!$E$6:$E$1005,$L133))</f>
        <v/>
      </c>
      <c r="F133" s="122" t="str">
        <f>IF($L133="","",INDEX('RECEBIMENTOS'!$H$6:$H$1005,$L133))</f>
        <v/>
      </c>
      <c r="G133" s="120" t="str">
        <f>IF($L133="","",INDEX('RECEBIMENTOS'!$P$6:$P$1005,$L133)&amp;"")</f>
        <v/>
      </c>
      <c r="H133" s="120" t="str">
        <f>IF($L133="","",INDEX('RECEBIMENTOS'!$A$6:$A$1005,$L133)&amp;"")</f>
        <v/>
      </c>
      <c r="L133" t="str">
        <f>IFERROR(MATCH(46,'RECEBIMENTOS'!$AB$6:$AB$1005,0),"")</f>
        <v/>
      </c>
    </row>
    <row r="134">
      <c r="B134" s="119" t="str">
        <f>IF($L134="","",INDEX('RECEBIMENTOS'!$B$6:$B$1005,$L134)&amp;"")</f>
        <v/>
      </c>
      <c r="C134" s="120" t="str">
        <f>IF($L134="","",IFERROR(INDEX('MTRs'!$B$6:$B$505,INDEX('RECEBIMENTOS'!$U$6:$U$1005,$L134))&amp;"",""))</f>
        <v/>
      </c>
      <c r="D134" s="120" t="str">
        <f>IF($L134="","",INDEX('RECEBIMENTOS'!$D$6:$D$1005,$L134)&amp;"")</f>
        <v/>
      </c>
      <c r="E134" s="128" t="str">
        <f>IF($L134="","",INDEX('RECEBIMENTOS'!$E$6:$E$1005,$L134))</f>
        <v/>
      </c>
      <c r="F134" s="122" t="str">
        <f>IF($L134="","",INDEX('RECEBIMENTOS'!$H$6:$H$1005,$L134))</f>
        <v/>
      </c>
      <c r="G134" s="120" t="str">
        <f>IF($L134="","",INDEX('RECEBIMENTOS'!$P$6:$P$1005,$L134)&amp;"")</f>
        <v/>
      </c>
      <c r="H134" s="120" t="str">
        <f>IF($L134="","",INDEX('RECEBIMENTOS'!$A$6:$A$1005,$L134)&amp;"")</f>
        <v/>
      </c>
      <c r="L134" t="str">
        <f>IFERROR(MATCH(47,'RECEBIMENTOS'!$AB$6:$AB$1005,0),"")</f>
        <v/>
      </c>
    </row>
    <row r="135">
      <c r="B135" s="119" t="str">
        <f>IF($L135="","",INDEX('RECEBIMENTOS'!$B$6:$B$1005,$L135)&amp;"")</f>
        <v/>
      </c>
      <c r="C135" s="120" t="str">
        <f>IF($L135="","",IFERROR(INDEX('MTRs'!$B$6:$B$505,INDEX('RECEBIMENTOS'!$U$6:$U$1005,$L135))&amp;"",""))</f>
        <v/>
      </c>
      <c r="D135" s="120" t="str">
        <f>IF($L135="","",INDEX('RECEBIMENTOS'!$D$6:$D$1005,$L135)&amp;"")</f>
        <v/>
      </c>
      <c r="E135" s="128" t="str">
        <f>IF($L135="","",INDEX('RECEBIMENTOS'!$E$6:$E$1005,$L135))</f>
        <v/>
      </c>
      <c r="F135" s="122" t="str">
        <f>IF($L135="","",INDEX('RECEBIMENTOS'!$H$6:$H$1005,$L135))</f>
        <v/>
      </c>
      <c r="G135" s="120" t="str">
        <f>IF($L135="","",INDEX('RECEBIMENTOS'!$P$6:$P$1005,$L135)&amp;"")</f>
        <v/>
      </c>
      <c r="H135" s="120" t="str">
        <f>IF($L135="","",INDEX('RECEBIMENTOS'!$A$6:$A$1005,$L135)&amp;"")</f>
        <v/>
      </c>
      <c r="L135" t="str">
        <f>IFERROR(MATCH(48,'RECEBIMENTOS'!$AB$6:$AB$1005,0),"")</f>
        <v/>
      </c>
    </row>
    <row r="136">
      <c r="B136" s="119" t="str">
        <f>IF($L136="","",INDEX('RECEBIMENTOS'!$B$6:$B$1005,$L136)&amp;"")</f>
        <v/>
      </c>
      <c r="C136" s="120" t="str">
        <f>IF($L136="","",IFERROR(INDEX('MTRs'!$B$6:$B$505,INDEX('RECEBIMENTOS'!$U$6:$U$1005,$L136))&amp;"",""))</f>
        <v/>
      </c>
      <c r="D136" s="120" t="str">
        <f>IF($L136="","",INDEX('RECEBIMENTOS'!$D$6:$D$1005,$L136)&amp;"")</f>
        <v/>
      </c>
      <c r="E136" s="128" t="str">
        <f>IF($L136="","",INDEX('RECEBIMENTOS'!$E$6:$E$1005,$L136))</f>
        <v/>
      </c>
      <c r="F136" s="122" t="str">
        <f>IF($L136="","",INDEX('RECEBIMENTOS'!$H$6:$H$1005,$L136))</f>
        <v/>
      </c>
      <c r="G136" s="120" t="str">
        <f>IF($L136="","",INDEX('RECEBIMENTOS'!$P$6:$P$1005,$L136)&amp;"")</f>
        <v/>
      </c>
      <c r="H136" s="120" t="str">
        <f>IF($L136="","",INDEX('RECEBIMENTOS'!$A$6:$A$1005,$L136)&amp;"")</f>
        <v/>
      </c>
      <c r="L136" t="str">
        <f>IFERROR(MATCH(49,'RECEBIMENTOS'!$AB$6:$AB$1005,0),"")</f>
        <v/>
      </c>
    </row>
    <row r="137">
      <c r="B137" s="119" t="str">
        <f>IF($L137="","",INDEX('RECEBIMENTOS'!$B$6:$B$1005,$L137)&amp;"")</f>
        <v/>
      </c>
      <c r="C137" s="120" t="str">
        <f>IF($L137="","",IFERROR(INDEX('MTRs'!$B$6:$B$505,INDEX('RECEBIMENTOS'!$U$6:$U$1005,$L137))&amp;"",""))</f>
        <v/>
      </c>
      <c r="D137" s="120" t="str">
        <f>IF($L137="","",INDEX('RECEBIMENTOS'!$D$6:$D$1005,$L137)&amp;"")</f>
        <v/>
      </c>
      <c r="E137" s="128" t="str">
        <f>IF($L137="","",INDEX('RECEBIMENTOS'!$E$6:$E$1005,$L137))</f>
        <v/>
      </c>
      <c r="F137" s="122" t="str">
        <f>IF($L137="","",INDEX('RECEBIMENTOS'!$H$6:$H$1005,$L137))</f>
        <v/>
      </c>
      <c r="G137" s="120" t="str">
        <f>IF($L137="","",INDEX('RECEBIMENTOS'!$P$6:$P$1005,$L137)&amp;"")</f>
        <v/>
      </c>
      <c r="H137" s="120" t="str">
        <f>IF($L137="","",INDEX('RECEBIMENTOS'!$A$6:$A$1005,$L137)&amp;"")</f>
        <v/>
      </c>
      <c r="L137" t="str">
        <f>IFERROR(MATCH(50,'RECEBIMENTOS'!$AB$6:$AB$1005,0),"")</f>
        <v/>
      </c>
    </row>
    <row r="138">
      <c r="B138" s="119" t="str">
        <f>IF($L138="","",INDEX('RECEBIMENTOS'!$B$6:$B$1005,$L138)&amp;"")</f>
        <v/>
      </c>
      <c r="C138" s="120" t="str">
        <f>IF($L138="","",IFERROR(INDEX('MTRs'!$B$6:$B$505,INDEX('RECEBIMENTOS'!$U$6:$U$1005,$L138))&amp;"",""))</f>
        <v/>
      </c>
      <c r="D138" s="120" t="str">
        <f>IF($L138="","",INDEX('RECEBIMENTOS'!$D$6:$D$1005,$L138)&amp;"")</f>
        <v/>
      </c>
      <c r="E138" s="128" t="str">
        <f>IF($L138="","",INDEX('RECEBIMENTOS'!$E$6:$E$1005,$L138))</f>
        <v/>
      </c>
      <c r="F138" s="122" t="str">
        <f>IF($L138="","",INDEX('RECEBIMENTOS'!$H$6:$H$1005,$L138))</f>
        <v/>
      </c>
      <c r="G138" s="120" t="str">
        <f>IF($L138="","",INDEX('RECEBIMENTOS'!$P$6:$P$1005,$L138)&amp;"")</f>
        <v/>
      </c>
      <c r="H138" s="120" t="str">
        <f>IF($L138="","",INDEX('RECEBIMENTOS'!$A$6:$A$1005,$L138)&amp;"")</f>
        <v/>
      </c>
      <c r="L138" t="str">
        <f>IFERROR(MATCH(51,'RECEBIMENTOS'!$AB$6:$AB$1005,0),"")</f>
        <v/>
      </c>
    </row>
    <row r="139">
      <c r="B139" s="119" t="str">
        <f>IF($L139="","",INDEX('RECEBIMENTOS'!$B$6:$B$1005,$L139)&amp;"")</f>
        <v/>
      </c>
      <c r="C139" s="120" t="str">
        <f>IF($L139="","",IFERROR(INDEX('MTRs'!$B$6:$B$505,INDEX('RECEBIMENTOS'!$U$6:$U$1005,$L139))&amp;"",""))</f>
        <v/>
      </c>
      <c r="D139" s="120" t="str">
        <f>IF($L139="","",INDEX('RECEBIMENTOS'!$D$6:$D$1005,$L139)&amp;"")</f>
        <v/>
      </c>
      <c r="E139" s="128" t="str">
        <f>IF($L139="","",INDEX('RECEBIMENTOS'!$E$6:$E$1005,$L139))</f>
        <v/>
      </c>
      <c r="F139" s="122" t="str">
        <f>IF($L139="","",INDEX('RECEBIMENTOS'!$H$6:$H$1005,$L139))</f>
        <v/>
      </c>
      <c r="G139" s="120" t="str">
        <f>IF($L139="","",INDEX('RECEBIMENTOS'!$P$6:$P$1005,$L139)&amp;"")</f>
        <v/>
      </c>
      <c r="H139" s="120" t="str">
        <f>IF($L139="","",INDEX('RECEBIMENTOS'!$A$6:$A$1005,$L139)&amp;"")</f>
        <v/>
      </c>
      <c r="L139" t="str">
        <f>IFERROR(MATCH(52,'RECEBIMENTOS'!$AB$6:$AB$1005,0),"")</f>
        <v/>
      </c>
    </row>
    <row r="140">
      <c r="B140" s="119" t="str">
        <f>IF($L140="","",INDEX('RECEBIMENTOS'!$B$6:$B$1005,$L140)&amp;"")</f>
        <v/>
      </c>
      <c r="C140" s="120" t="str">
        <f>IF($L140="","",IFERROR(INDEX('MTRs'!$B$6:$B$505,INDEX('RECEBIMENTOS'!$U$6:$U$1005,$L140))&amp;"",""))</f>
        <v/>
      </c>
      <c r="D140" s="120" t="str">
        <f>IF($L140="","",INDEX('RECEBIMENTOS'!$D$6:$D$1005,$L140)&amp;"")</f>
        <v/>
      </c>
      <c r="E140" s="128" t="str">
        <f>IF($L140="","",INDEX('RECEBIMENTOS'!$E$6:$E$1005,$L140))</f>
        <v/>
      </c>
      <c r="F140" s="122" t="str">
        <f>IF($L140="","",INDEX('RECEBIMENTOS'!$H$6:$H$1005,$L140))</f>
        <v/>
      </c>
      <c r="G140" s="120" t="str">
        <f>IF($L140="","",INDEX('RECEBIMENTOS'!$P$6:$P$1005,$L140)&amp;"")</f>
        <v/>
      </c>
      <c r="H140" s="120" t="str">
        <f>IF($L140="","",INDEX('RECEBIMENTOS'!$A$6:$A$1005,$L140)&amp;"")</f>
        <v/>
      </c>
      <c r="L140" t="str">
        <f>IFERROR(MATCH(53,'RECEBIMENTOS'!$AB$6:$AB$1005,0),"")</f>
        <v/>
      </c>
    </row>
    <row r="141">
      <c r="B141" s="119" t="str">
        <f>IF($L141="","",INDEX('RECEBIMENTOS'!$B$6:$B$1005,$L141)&amp;"")</f>
        <v/>
      </c>
      <c r="C141" s="120" t="str">
        <f>IF($L141="","",IFERROR(INDEX('MTRs'!$B$6:$B$505,INDEX('RECEBIMENTOS'!$U$6:$U$1005,$L141))&amp;"",""))</f>
        <v/>
      </c>
      <c r="D141" s="120" t="str">
        <f>IF($L141="","",INDEX('RECEBIMENTOS'!$D$6:$D$1005,$L141)&amp;"")</f>
        <v/>
      </c>
      <c r="E141" s="128" t="str">
        <f>IF($L141="","",INDEX('RECEBIMENTOS'!$E$6:$E$1005,$L141))</f>
        <v/>
      </c>
      <c r="F141" s="122" t="str">
        <f>IF($L141="","",INDEX('RECEBIMENTOS'!$H$6:$H$1005,$L141))</f>
        <v/>
      </c>
      <c r="G141" s="120" t="str">
        <f>IF($L141="","",INDEX('RECEBIMENTOS'!$P$6:$P$1005,$L141)&amp;"")</f>
        <v/>
      </c>
      <c r="H141" s="120" t="str">
        <f>IF($L141="","",INDEX('RECEBIMENTOS'!$A$6:$A$1005,$L141)&amp;"")</f>
        <v/>
      </c>
      <c r="L141" t="str">
        <f>IFERROR(MATCH(54,'RECEBIMENTOS'!$AB$6:$AB$1005,0),"")</f>
        <v/>
      </c>
    </row>
    <row r="142">
      <c r="B142" s="119" t="str">
        <f>IF($L142="","",INDEX('RECEBIMENTOS'!$B$6:$B$1005,$L142)&amp;"")</f>
        <v/>
      </c>
      <c r="C142" s="120" t="str">
        <f>IF($L142="","",IFERROR(INDEX('MTRs'!$B$6:$B$505,INDEX('RECEBIMENTOS'!$U$6:$U$1005,$L142))&amp;"",""))</f>
        <v/>
      </c>
      <c r="D142" s="120" t="str">
        <f>IF($L142="","",INDEX('RECEBIMENTOS'!$D$6:$D$1005,$L142)&amp;"")</f>
        <v/>
      </c>
      <c r="E142" s="128" t="str">
        <f>IF($L142="","",INDEX('RECEBIMENTOS'!$E$6:$E$1005,$L142))</f>
        <v/>
      </c>
      <c r="F142" s="122" t="str">
        <f>IF($L142="","",INDEX('RECEBIMENTOS'!$H$6:$H$1005,$L142))</f>
        <v/>
      </c>
      <c r="G142" s="120" t="str">
        <f>IF($L142="","",INDEX('RECEBIMENTOS'!$P$6:$P$1005,$L142)&amp;"")</f>
        <v/>
      </c>
      <c r="H142" s="120" t="str">
        <f>IF($L142="","",INDEX('RECEBIMENTOS'!$A$6:$A$1005,$L142)&amp;"")</f>
        <v/>
      </c>
      <c r="L142" t="str">
        <f>IFERROR(MATCH(55,'RECEBIMENTOS'!$AB$6:$AB$1005,0),"")</f>
        <v/>
      </c>
    </row>
    <row r="143">
      <c r="B143" s="119" t="str">
        <f>IF($L143="","",INDEX('RECEBIMENTOS'!$B$6:$B$1005,$L143)&amp;"")</f>
        <v/>
      </c>
      <c r="C143" s="120" t="str">
        <f>IF($L143="","",IFERROR(INDEX('MTRs'!$B$6:$B$505,INDEX('RECEBIMENTOS'!$U$6:$U$1005,$L143))&amp;"",""))</f>
        <v/>
      </c>
      <c r="D143" s="120" t="str">
        <f>IF($L143="","",INDEX('RECEBIMENTOS'!$D$6:$D$1005,$L143)&amp;"")</f>
        <v/>
      </c>
      <c r="E143" s="128" t="str">
        <f>IF($L143="","",INDEX('RECEBIMENTOS'!$E$6:$E$1005,$L143))</f>
        <v/>
      </c>
      <c r="F143" s="122" t="str">
        <f>IF($L143="","",INDEX('RECEBIMENTOS'!$H$6:$H$1005,$L143))</f>
        <v/>
      </c>
      <c r="G143" s="120" t="str">
        <f>IF($L143="","",INDEX('RECEBIMENTOS'!$P$6:$P$1005,$L143)&amp;"")</f>
        <v/>
      </c>
      <c r="H143" s="120" t="str">
        <f>IF($L143="","",INDEX('RECEBIMENTOS'!$A$6:$A$1005,$L143)&amp;"")</f>
        <v/>
      </c>
      <c r="L143" t="str">
        <f>IFERROR(MATCH(56,'RECEBIMENTOS'!$AB$6:$AB$1005,0),"")</f>
        <v/>
      </c>
    </row>
    <row r="144">
      <c r="B144" s="119" t="str">
        <f>IF($L144="","",INDEX('RECEBIMENTOS'!$B$6:$B$1005,$L144)&amp;"")</f>
        <v/>
      </c>
      <c r="C144" s="120" t="str">
        <f>IF($L144="","",IFERROR(INDEX('MTRs'!$B$6:$B$505,INDEX('RECEBIMENTOS'!$U$6:$U$1005,$L144))&amp;"",""))</f>
        <v/>
      </c>
      <c r="D144" s="120" t="str">
        <f>IF($L144="","",INDEX('RECEBIMENTOS'!$D$6:$D$1005,$L144)&amp;"")</f>
        <v/>
      </c>
      <c r="E144" s="128" t="str">
        <f>IF($L144="","",INDEX('RECEBIMENTOS'!$E$6:$E$1005,$L144))</f>
        <v/>
      </c>
      <c r="F144" s="122" t="str">
        <f>IF($L144="","",INDEX('RECEBIMENTOS'!$H$6:$H$1005,$L144))</f>
        <v/>
      </c>
      <c r="G144" s="120" t="str">
        <f>IF($L144="","",INDEX('RECEBIMENTOS'!$P$6:$P$1005,$L144)&amp;"")</f>
        <v/>
      </c>
      <c r="H144" s="120" t="str">
        <f>IF($L144="","",INDEX('RECEBIMENTOS'!$A$6:$A$1005,$L144)&amp;"")</f>
        <v/>
      </c>
      <c r="L144" t="str">
        <f>IFERROR(MATCH(57,'RECEBIMENTOS'!$AB$6:$AB$1005,0),"")</f>
        <v/>
      </c>
    </row>
    <row r="145">
      <c r="B145" s="119" t="str">
        <f>IF($L145="","",INDEX('RECEBIMENTOS'!$B$6:$B$1005,$L145)&amp;"")</f>
        <v/>
      </c>
      <c r="C145" s="120" t="str">
        <f>IF($L145="","",IFERROR(INDEX('MTRs'!$B$6:$B$505,INDEX('RECEBIMENTOS'!$U$6:$U$1005,$L145))&amp;"",""))</f>
        <v/>
      </c>
      <c r="D145" s="120" t="str">
        <f>IF($L145="","",INDEX('RECEBIMENTOS'!$D$6:$D$1005,$L145)&amp;"")</f>
        <v/>
      </c>
      <c r="E145" s="128" t="str">
        <f>IF($L145="","",INDEX('RECEBIMENTOS'!$E$6:$E$1005,$L145))</f>
        <v/>
      </c>
      <c r="F145" s="122" t="str">
        <f>IF($L145="","",INDEX('RECEBIMENTOS'!$H$6:$H$1005,$L145))</f>
        <v/>
      </c>
      <c r="G145" s="120" t="str">
        <f>IF($L145="","",INDEX('RECEBIMENTOS'!$P$6:$P$1005,$L145)&amp;"")</f>
        <v/>
      </c>
      <c r="H145" s="120" t="str">
        <f>IF($L145="","",INDEX('RECEBIMENTOS'!$A$6:$A$1005,$L145)&amp;"")</f>
        <v/>
      </c>
      <c r="L145" t="str">
        <f>IFERROR(MATCH(58,'RECEBIMENTOS'!$AB$6:$AB$1005,0),"")</f>
        <v/>
      </c>
    </row>
    <row r="146">
      <c r="B146" s="119" t="str">
        <f>IF($L146="","",INDEX('RECEBIMENTOS'!$B$6:$B$1005,$L146)&amp;"")</f>
        <v/>
      </c>
      <c r="C146" s="120" t="str">
        <f>IF($L146="","",IFERROR(INDEX('MTRs'!$B$6:$B$505,INDEX('RECEBIMENTOS'!$U$6:$U$1005,$L146))&amp;"",""))</f>
        <v/>
      </c>
      <c r="D146" s="120" t="str">
        <f>IF($L146="","",INDEX('RECEBIMENTOS'!$D$6:$D$1005,$L146)&amp;"")</f>
        <v/>
      </c>
      <c r="E146" s="128" t="str">
        <f>IF($L146="","",INDEX('RECEBIMENTOS'!$E$6:$E$1005,$L146))</f>
        <v/>
      </c>
      <c r="F146" s="122" t="str">
        <f>IF($L146="","",INDEX('RECEBIMENTOS'!$H$6:$H$1005,$L146))</f>
        <v/>
      </c>
      <c r="G146" s="120" t="str">
        <f>IF($L146="","",INDEX('RECEBIMENTOS'!$P$6:$P$1005,$L146)&amp;"")</f>
        <v/>
      </c>
      <c r="H146" s="120" t="str">
        <f>IF($L146="","",INDEX('RECEBIMENTOS'!$A$6:$A$1005,$L146)&amp;"")</f>
        <v/>
      </c>
      <c r="L146" t="str">
        <f>IFERROR(MATCH(59,'RECEBIMENTOS'!$AB$6:$AB$1005,0),"")</f>
        <v/>
      </c>
    </row>
    <row r="147">
      <c r="B147" s="119" t="str">
        <f>IF($L147="","",INDEX('RECEBIMENTOS'!$B$6:$B$1005,$L147)&amp;"")</f>
        <v/>
      </c>
      <c r="C147" s="120" t="str">
        <f>IF($L147="","",IFERROR(INDEX('MTRs'!$B$6:$B$505,INDEX('RECEBIMENTOS'!$U$6:$U$1005,$L147))&amp;"",""))</f>
        <v/>
      </c>
      <c r="D147" s="120" t="str">
        <f>IF($L147="","",INDEX('RECEBIMENTOS'!$D$6:$D$1005,$L147)&amp;"")</f>
        <v/>
      </c>
      <c r="E147" s="128" t="str">
        <f>IF($L147="","",INDEX('RECEBIMENTOS'!$E$6:$E$1005,$L147))</f>
        <v/>
      </c>
      <c r="F147" s="122" t="str">
        <f>IF($L147="","",INDEX('RECEBIMENTOS'!$H$6:$H$1005,$L147))</f>
        <v/>
      </c>
      <c r="G147" s="120" t="str">
        <f>IF($L147="","",INDEX('RECEBIMENTOS'!$P$6:$P$1005,$L147)&amp;"")</f>
        <v/>
      </c>
      <c r="H147" s="120" t="str">
        <f>IF($L147="","",INDEX('RECEBIMENTOS'!$A$6:$A$1005,$L147)&amp;"")</f>
        <v/>
      </c>
      <c r="L147" t="str">
        <f>IFERROR(MATCH(60,'RECEBIMENTOS'!$AB$6:$AB$1005,0),"")</f>
        <v/>
      </c>
    </row>
    <row r="148">
      <c r="B148" s="119" t="str">
        <f>IF($L148="","",INDEX('RECEBIMENTOS'!$B$6:$B$1005,$L148)&amp;"")</f>
        <v/>
      </c>
      <c r="C148" s="120" t="str">
        <f>IF($L148="","",IFERROR(INDEX('MTRs'!$B$6:$B$505,INDEX('RECEBIMENTOS'!$U$6:$U$1005,$L148))&amp;"",""))</f>
        <v/>
      </c>
      <c r="D148" s="120" t="str">
        <f>IF($L148="","",INDEX('RECEBIMENTOS'!$D$6:$D$1005,$L148)&amp;"")</f>
        <v/>
      </c>
      <c r="E148" s="128" t="str">
        <f>IF($L148="","",INDEX('RECEBIMENTOS'!$E$6:$E$1005,$L148))</f>
        <v/>
      </c>
      <c r="F148" s="122" t="str">
        <f>IF($L148="","",INDEX('RECEBIMENTOS'!$H$6:$H$1005,$L148))</f>
        <v/>
      </c>
      <c r="G148" s="120" t="str">
        <f>IF($L148="","",INDEX('RECEBIMENTOS'!$P$6:$P$1005,$L148)&amp;"")</f>
        <v/>
      </c>
      <c r="H148" s="120" t="str">
        <f>IF($L148="","",INDEX('RECEBIMENTOS'!$A$6:$A$1005,$L148)&amp;"")</f>
        <v/>
      </c>
      <c r="L148" t="str">
        <f>IFERROR(MATCH(61,'RECEBIMENTOS'!$AB$6:$AB$1005,0),"")</f>
        <v/>
      </c>
    </row>
    <row r="149">
      <c r="B149" s="119" t="str">
        <f>IF($L149="","",INDEX('RECEBIMENTOS'!$B$6:$B$1005,$L149)&amp;"")</f>
        <v/>
      </c>
      <c r="C149" s="120" t="str">
        <f>IF($L149="","",IFERROR(INDEX('MTRs'!$B$6:$B$505,INDEX('RECEBIMENTOS'!$U$6:$U$1005,$L149))&amp;"",""))</f>
        <v/>
      </c>
      <c r="D149" s="120" t="str">
        <f>IF($L149="","",INDEX('RECEBIMENTOS'!$D$6:$D$1005,$L149)&amp;"")</f>
        <v/>
      </c>
      <c r="E149" s="128" t="str">
        <f>IF($L149="","",INDEX('RECEBIMENTOS'!$E$6:$E$1005,$L149))</f>
        <v/>
      </c>
      <c r="F149" s="122" t="str">
        <f>IF($L149="","",INDEX('RECEBIMENTOS'!$H$6:$H$1005,$L149))</f>
        <v/>
      </c>
      <c r="G149" s="120" t="str">
        <f>IF($L149="","",INDEX('RECEBIMENTOS'!$P$6:$P$1005,$L149)&amp;"")</f>
        <v/>
      </c>
      <c r="H149" s="120" t="str">
        <f>IF($L149="","",INDEX('RECEBIMENTOS'!$A$6:$A$1005,$L149)&amp;"")</f>
        <v/>
      </c>
      <c r="L149" t="str">
        <f>IFERROR(MATCH(62,'RECEBIMENTOS'!$AB$6:$AB$1005,0),"")</f>
        <v/>
      </c>
    </row>
    <row r="150">
      <c r="B150" s="119" t="str">
        <f>IF($L150="","",INDEX('RECEBIMENTOS'!$B$6:$B$1005,$L150)&amp;"")</f>
        <v/>
      </c>
      <c r="C150" s="120" t="str">
        <f>IF($L150="","",IFERROR(INDEX('MTRs'!$B$6:$B$505,INDEX('RECEBIMENTOS'!$U$6:$U$1005,$L150))&amp;"",""))</f>
        <v/>
      </c>
      <c r="D150" s="120" t="str">
        <f>IF($L150="","",INDEX('RECEBIMENTOS'!$D$6:$D$1005,$L150)&amp;"")</f>
        <v/>
      </c>
      <c r="E150" s="128" t="str">
        <f>IF($L150="","",INDEX('RECEBIMENTOS'!$E$6:$E$1005,$L150))</f>
        <v/>
      </c>
      <c r="F150" s="122" t="str">
        <f>IF($L150="","",INDEX('RECEBIMENTOS'!$H$6:$H$1005,$L150))</f>
        <v/>
      </c>
      <c r="G150" s="120" t="str">
        <f>IF($L150="","",INDEX('RECEBIMENTOS'!$P$6:$P$1005,$L150)&amp;"")</f>
        <v/>
      </c>
      <c r="H150" s="120" t="str">
        <f>IF($L150="","",INDEX('RECEBIMENTOS'!$A$6:$A$1005,$L150)&amp;"")</f>
        <v/>
      </c>
      <c r="L150" t="str">
        <f>IFERROR(MATCH(63,'RECEBIMENTOS'!$AB$6:$AB$1005,0),"")</f>
        <v/>
      </c>
    </row>
    <row r="151">
      <c r="B151" s="119" t="str">
        <f>IF($L151="","",INDEX('RECEBIMENTOS'!$B$6:$B$1005,$L151)&amp;"")</f>
        <v/>
      </c>
      <c r="C151" s="120" t="str">
        <f>IF($L151="","",IFERROR(INDEX('MTRs'!$B$6:$B$505,INDEX('RECEBIMENTOS'!$U$6:$U$1005,$L151))&amp;"",""))</f>
        <v/>
      </c>
      <c r="D151" s="120" t="str">
        <f>IF($L151="","",INDEX('RECEBIMENTOS'!$D$6:$D$1005,$L151)&amp;"")</f>
        <v/>
      </c>
      <c r="E151" s="128" t="str">
        <f>IF($L151="","",INDEX('RECEBIMENTOS'!$E$6:$E$1005,$L151))</f>
        <v/>
      </c>
      <c r="F151" s="122" t="str">
        <f>IF($L151="","",INDEX('RECEBIMENTOS'!$H$6:$H$1005,$L151))</f>
        <v/>
      </c>
      <c r="G151" s="120" t="str">
        <f>IF($L151="","",INDEX('RECEBIMENTOS'!$P$6:$P$1005,$L151)&amp;"")</f>
        <v/>
      </c>
      <c r="H151" s="120" t="str">
        <f>IF($L151="","",INDEX('RECEBIMENTOS'!$A$6:$A$1005,$L151)&amp;"")</f>
        <v/>
      </c>
      <c r="L151" t="str">
        <f>IFERROR(MATCH(64,'RECEBIMENTOS'!$AB$6:$AB$1005,0),"")</f>
        <v/>
      </c>
    </row>
    <row r="152">
      <c r="B152" s="119" t="str">
        <f>IF($L152="","",INDEX('RECEBIMENTOS'!$B$6:$B$1005,$L152)&amp;"")</f>
        <v/>
      </c>
      <c r="C152" s="120" t="str">
        <f>IF($L152="","",IFERROR(INDEX('MTRs'!$B$6:$B$505,INDEX('RECEBIMENTOS'!$U$6:$U$1005,$L152))&amp;"",""))</f>
        <v/>
      </c>
      <c r="D152" s="120" t="str">
        <f>IF($L152="","",INDEX('RECEBIMENTOS'!$D$6:$D$1005,$L152)&amp;"")</f>
        <v/>
      </c>
      <c r="E152" s="128" t="str">
        <f>IF($L152="","",INDEX('RECEBIMENTOS'!$E$6:$E$1005,$L152))</f>
        <v/>
      </c>
      <c r="F152" s="122" t="str">
        <f>IF($L152="","",INDEX('RECEBIMENTOS'!$H$6:$H$1005,$L152))</f>
        <v/>
      </c>
      <c r="G152" s="120" t="str">
        <f>IF($L152="","",INDEX('RECEBIMENTOS'!$P$6:$P$1005,$L152)&amp;"")</f>
        <v/>
      </c>
      <c r="H152" s="120" t="str">
        <f>IF($L152="","",INDEX('RECEBIMENTOS'!$A$6:$A$1005,$L152)&amp;"")</f>
        <v/>
      </c>
      <c r="L152" t="str">
        <f>IFERROR(MATCH(65,'RECEBIMENTOS'!$AB$6:$AB$1005,0),"")</f>
        <v/>
      </c>
    </row>
    <row r="153">
      <c r="B153" s="119" t="str">
        <f>IF($L153="","",INDEX('RECEBIMENTOS'!$B$6:$B$1005,$L153)&amp;"")</f>
        <v/>
      </c>
      <c r="C153" s="120" t="str">
        <f>IF($L153="","",IFERROR(INDEX('MTRs'!$B$6:$B$505,INDEX('RECEBIMENTOS'!$U$6:$U$1005,$L153))&amp;"",""))</f>
        <v/>
      </c>
      <c r="D153" s="120" t="str">
        <f>IF($L153="","",INDEX('RECEBIMENTOS'!$D$6:$D$1005,$L153)&amp;"")</f>
        <v/>
      </c>
      <c r="E153" s="128" t="str">
        <f>IF($L153="","",INDEX('RECEBIMENTOS'!$E$6:$E$1005,$L153))</f>
        <v/>
      </c>
      <c r="F153" s="122" t="str">
        <f>IF($L153="","",INDEX('RECEBIMENTOS'!$H$6:$H$1005,$L153))</f>
        <v/>
      </c>
      <c r="G153" s="120" t="str">
        <f>IF($L153="","",INDEX('RECEBIMENTOS'!$P$6:$P$1005,$L153)&amp;"")</f>
        <v/>
      </c>
      <c r="H153" s="120" t="str">
        <f>IF($L153="","",INDEX('RECEBIMENTOS'!$A$6:$A$1005,$L153)&amp;"")</f>
        <v/>
      </c>
      <c r="L153" t="str">
        <f>IFERROR(MATCH(66,'RECEBIMENTOS'!$AB$6:$AB$1005,0),"")</f>
        <v/>
      </c>
    </row>
    <row r="154">
      <c r="B154" s="119" t="str">
        <f>IF($L154="","",INDEX('RECEBIMENTOS'!$B$6:$B$1005,$L154)&amp;"")</f>
        <v/>
      </c>
      <c r="C154" s="120" t="str">
        <f>IF($L154="","",IFERROR(INDEX('MTRs'!$B$6:$B$505,INDEX('RECEBIMENTOS'!$U$6:$U$1005,$L154))&amp;"",""))</f>
        <v/>
      </c>
      <c r="D154" s="120" t="str">
        <f>IF($L154="","",INDEX('RECEBIMENTOS'!$D$6:$D$1005,$L154)&amp;"")</f>
        <v/>
      </c>
      <c r="E154" s="128" t="str">
        <f>IF($L154="","",INDEX('RECEBIMENTOS'!$E$6:$E$1005,$L154))</f>
        <v/>
      </c>
      <c r="F154" s="122" t="str">
        <f>IF($L154="","",INDEX('RECEBIMENTOS'!$H$6:$H$1005,$L154))</f>
        <v/>
      </c>
      <c r="G154" s="120" t="str">
        <f>IF($L154="","",INDEX('RECEBIMENTOS'!$P$6:$P$1005,$L154)&amp;"")</f>
        <v/>
      </c>
      <c r="H154" s="120" t="str">
        <f>IF($L154="","",INDEX('RECEBIMENTOS'!$A$6:$A$1005,$L154)&amp;"")</f>
        <v/>
      </c>
      <c r="L154" t="str">
        <f>IFERROR(MATCH(67,'RECEBIMENTOS'!$AB$6:$AB$1005,0),"")</f>
        <v/>
      </c>
    </row>
    <row r="155">
      <c r="B155" s="119" t="str">
        <f>IF($L155="","",INDEX('RECEBIMENTOS'!$B$6:$B$1005,$L155)&amp;"")</f>
        <v/>
      </c>
      <c r="C155" s="120" t="str">
        <f>IF($L155="","",IFERROR(INDEX('MTRs'!$B$6:$B$505,INDEX('RECEBIMENTOS'!$U$6:$U$1005,$L155))&amp;"",""))</f>
        <v/>
      </c>
      <c r="D155" s="120" t="str">
        <f>IF($L155="","",INDEX('RECEBIMENTOS'!$D$6:$D$1005,$L155)&amp;"")</f>
        <v/>
      </c>
      <c r="E155" s="128" t="str">
        <f>IF($L155="","",INDEX('RECEBIMENTOS'!$E$6:$E$1005,$L155))</f>
        <v/>
      </c>
      <c r="F155" s="122" t="str">
        <f>IF($L155="","",INDEX('RECEBIMENTOS'!$H$6:$H$1005,$L155))</f>
        <v/>
      </c>
      <c r="G155" s="120" t="str">
        <f>IF($L155="","",INDEX('RECEBIMENTOS'!$P$6:$P$1005,$L155)&amp;"")</f>
        <v/>
      </c>
      <c r="H155" s="120" t="str">
        <f>IF($L155="","",INDEX('RECEBIMENTOS'!$A$6:$A$1005,$L155)&amp;"")</f>
        <v/>
      </c>
      <c r="L155" t="str">
        <f>IFERROR(MATCH(68,'RECEBIMENTOS'!$AB$6:$AB$1005,0),"")</f>
        <v/>
      </c>
    </row>
    <row r="156">
      <c r="B156" s="119" t="str">
        <f>IF($L156="","",INDEX('RECEBIMENTOS'!$B$6:$B$1005,$L156)&amp;"")</f>
        <v/>
      </c>
      <c r="C156" s="120" t="str">
        <f>IF($L156="","",IFERROR(INDEX('MTRs'!$B$6:$B$505,INDEX('RECEBIMENTOS'!$U$6:$U$1005,$L156))&amp;"",""))</f>
        <v/>
      </c>
      <c r="D156" s="120" t="str">
        <f>IF($L156="","",INDEX('RECEBIMENTOS'!$D$6:$D$1005,$L156)&amp;"")</f>
        <v/>
      </c>
      <c r="E156" s="128" t="str">
        <f>IF($L156="","",INDEX('RECEBIMENTOS'!$E$6:$E$1005,$L156))</f>
        <v/>
      </c>
      <c r="F156" s="122" t="str">
        <f>IF($L156="","",INDEX('RECEBIMENTOS'!$H$6:$H$1005,$L156))</f>
        <v/>
      </c>
      <c r="G156" s="120" t="str">
        <f>IF($L156="","",INDEX('RECEBIMENTOS'!$P$6:$P$1005,$L156)&amp;"")</f>
        <v/>
      </c>
      <c r="H156" s="120" t="str">
        <f>IF($L156="","",INDEX('RECEBIMENTOS'!$A$6:$A$1005,$L156)&amp;"")</f>
        <v/>
      </c>
      <c r="L156" t="str">
        <f>IFERROR(MATCH(69,'RECEBIMENTOS'!$AB$6:$AB$1005,0),"")</f>
        <v/>
      </c>
    </row>
    <row r="157">
      <c r="B157" s="119" t="str">
        <f>IF($L157="","",INDEX('RECEBIMENTOS'!$B$6:$B$1005,$L157)&amp;"")</f>
        <v/>
      </c>
      <c r="C157" s="120" t="str">
        <f>IF($L157="","",IFERROR(INDEX('MTRs'!$B$6:$B$505,INDEX('RECEBIMENTOS'!$U$6:$U$1005,$L157))&amp;"",""))</f>
        <v/>
      </c>
      <c r="D157" s="120" t="str">
        <f>IF($L157="","",INDEX('RECEBIMENTOS'!$D$6:$D$1005,$L157)&amp;"")</f>
        <v/>
      </c>
      <c r="E157" s="128" t="str">
        <f>IF($L157="","",INDEX('RECEBIMENTOS'!$E$6:$E$1005,$L157))</f>
        <v/>
      </c>
      <c r="F157" s="122" t="str">
        <f>IF($L157="","",INDEX('RECEBIMENTOS'!$H$6:$H$1005,$L157))</f>
        <v/>
      </c>
      <c r="G157" s="120" t="str">
        <f>IF($L157="","",INDEX('RECEBIMENTOS'!$P$6:$P$1005,$L157)&amp;"")</f>
        <v/>
      </c>
      <c r="H157" s="120" t="str">
        <f>IF($L157="","",INDEX('RECEBIMENTOS'!$A$6:$A$1005,$L157)&amp;"")</f>
        <v/>
      </c>
      <c r="L157" t="str">
        <f>IFERROR(MATCH(70,'RECEBIMENTOS'!$AB$6:$AB$1005,0),"")</f>
        <v/>
      </c>
    </row>
    <row r="158">
      <c r="B158" s="119" t="str">
        <f>IF($L158="","",INDEX('RECEBIMENTOS'!$B$6:$B$1005,$L158)&amp;"")</f>
        <v/>
      </c>
      <c r="C158" s="120" t="str">
        <f>IF($L158="","",IFERROR(INDEX('MTRs'!$B$6:$B$505,INDEX('RECEBIMENTOS'!$U$6:$U$1005,$L158))&amp;"",""))</f>
        <v/>
      </c>
      <c r="D158" s="120" t="str">
        <f>IF($L158="","",INDEX('RECEBIMENTOS'!$D$6:$D$1005,$L158)&amp;"")</f>
        <v/>
      </c>
      <c r="E158" s="128" t="str">
        <f>IF($L158="","",INDEX('RECEBIMENTOS'!$E$6:$E$1005,$L158))</f>
        <v/>
      </c>
      <c r="F158" s="122" t="str">
        <f>IF($L158="","",INDEX('RECEBIMENTOS'!$H$6:$H$1005,$L158))</f>
        <v/>
      </c>
      <c r="G158" s="120" t="str">
        <f>IF($L158="","",INDEX('RECEBIMENTOS'!$P$6:$P$1005,$L158)&amp;"")</f>
        <v/>
      </c>
      <c r="H158" s="120" t="str">
        <f>IF($L158="","",INDEX('RECEBIMENTOS'!$A$6:$A$1005,$L158)&amp;"")</f>
        <v/>
      </c>
      <c r="L158" t="str">
        <f>IFERROR(MATCH(71,'RECEBIMENTOS'!$AB$6:$AB$1005,0),"")</f>
        <v/>
      </c>
    </row>
    <row r="159">
      <c r="B159" s="119" t="str">
        <f>IF($L159="","",INDEX('RECEBIMENTOS'!$B$6:$B$1005,$L159)&amp;"")</f>
        <v/>
      </c>
      <c r="C159" s="120" t="str">
        <f>IF($L159="","",IFERROR(INDEX('MTRs'!$B$6:$B$505,INDEX('RECEBIMENTOS'!$U$6:$U$1005,$L159))&amp;"",""))</f>
        <v/>
      </c>
      <c r="D159" s="120" t="str">
        <f>IF($L159="","",INDEX('RECEBIMENTOS'!$D$6:$D$1005,$L159)&amp;"")</f>
        <v/>
      </c>
      <c r="E159" s="128" t="str">
        <f>IF($L159="","",INDEX('RECEBIMENTOS'!$E$6:$E$1005,$L159))</f>
        <v/>
      </c>
      <c r="F159" s="122" t="str">
        <f>IF($L159="","",INDEX('RECEBIMENTOS'!$H$6:$H$1005,$L159))</f>
        <v/>
      </c>
      <c r="G159" s="120" t="str">
        <f>IF($L159="","",INDEX('RECEBIMENTOS'!$P$6:$P$1005,$L159)&amp;"")</f>
        <v/>
      </c>
      <c r="H159" s="120" t="str">
        <f>IF($L159="","",INDEX('RECEBIMENTOS'!$A$6:$A$1005,$L159)&amp;"")</f>
        <v/>
      </c>
      <c r="L159" t="str">
        <f>IFERROR(MATCH(72,'RECEBIMENTOS'!$AB$6:$AB$1005,0),"")</f>
        <v/>
      </c>
    </row>
    <row r="160">
      <c r="B160" s="119" t="str">
        <f>IF($L160="","",INDEX('RECEBIMENTOS'!$B$6:$B$1005,$L160)&amp;"")</f>
        <v/>
      </c>
      <c r="C160" s="120" t="str">
        <f>IF($L160="","",IFERROR(INDEX('MTRs'!$B$6:$B$505,INDEX('RECEBIMENTOS'!$U$6:$U$1005,$L160))&amp;"",""))</f>
        <v/>
      </c>
      <c r="D160" s="120" t="str">
        <f>IF($L160="","",INDEX('RECEBIMENTOS'!$D$6:$D$1005,$L160)&amp;"")</f>
        <v/>
      </c>
      <c r="E160" s="128" t="str">
        <f>IF($L160="","",INDEX('RECEBIMENTOS'!$E$6:$E$1005,$L160))</f>
        <v/>
      </c>
      <c r="F160" s="122" t="str">
        <f>IF($L160="","",INDEX('RECEBIMENTOS'!$H$6:$H$1005,$L160))</f>
        <v/>
      </c>
      <c r="G160" s="120" t="str">
        <f>IF($L160="","",INDEX('RECEBIMENTOS'!$P$6:$P$1005,$L160)&amp;"")</f>
        <v/>
      </c>
      <c r="H160" s="120" t="str">
        <f>IF($L160="","",INDEX('RECEBIMENTOS'!$A$6:$A$1005,$L160)&amp;"")</f>
        <v/>
      </c>
      <c r="L160" t="str">
        <f>IFERROR(MATCH(73,'RECEBIMENTOS'!$AB$6:$AB$1005,0),"")</f>
        <v/>
      </c>
    </row>
    <row r="161">
      <c r="B161" s="119" t="str">
        <f>IF($L161="","",INDEX('RECEBIMENTOS'!$B$6:$B$1005,$L161)&amp;"")</f>
        <v/>
      </c>
      <c r="C161" s="120" t="str">
        <f>IF($L161="","",IFERROR(INDEX('MTRs'!$B$6:$B$505,INDEX('RECEBIMENTOS'!$U$6:$U$1005,$L161))&amp;"",""))</f>
        <v/>
      </c>
      <c r="D161" s="120" t="str">
        <f>IF($L161="","",INDEX('RECEBIMENTOS'!$D$6:$D$1005,$L161)&amp;"")</f>
        <v/>
      </c>
      <c r="E161" s="128" t="str">
        <f>IF($L161="","",INDEX('RECEBIMENTOS'!$E$6:$E$1005,$L161))</f>
        <v/>
      </c>
      <c r="F161" s="122" t="str">
        <f>IF($L161="","",INDEX('RECEBIMENTOS'!$H$6:$H$1005,$L161))</f>
        <v/>
      </c>
      <c r="G161" s="120" t="str">
        <f>IF($L161="","",INDEX('RECEBIMENTOS'!$P$6:$P$1005,$L161)&amp;"")</f>
        <v/>
      </c>
      <c r="H161" s="120" t="str">
        <f>IF($L161="","",INDEX('RECEBIMENTOS'!$A$6:$A$1005,$L161)&amp;"")</f>
        <v/>
      </c>
      <c r="L161" t="str">
        <f>IFERROR(MATCH(74,'RECEBIMENTOS'!$AB$6:$AB$1005,0),"")</f>
        <v/>
      </c>
    </row>
    <row r="162">
      <c r="B162" s="119" t="str">
        <f>IF($L162="","",INDEX('RECEBIMENTOS'!$B$6:$B$1005,$L162)&amp;"")</f>
        <v/>
      </c>
      <c r="C162" s="120" t="str">
        <f>IF($L162="","",IFERROR(INDEX('MTRs'!$B$6:$B$505,INDEX('RECEBIMENTOS'!$U$6:$U$1005,$L162))&amp;"",""))</f>
        <v/>
      </c>
      <c r="D162" s="120" t="str">
        <f>IF($L162="","",INDEX('RECEBIMENTOS'!$D$6:$D$1005,$L162)&amp;"")</f>
        <v/>
      </c>
      <c r="E162" s="128" t="str">
        <f>IF($L162="","",INDEX('RECEBIMENTOS'!$E$6:$E$1005,$L162))</f>
        <v/>
      </c>
      <c r="F162" s="122" t="str">
        <f>IF($L162="","",INDEX('RECEBIMENTOS'!$H$6:$H$1005,$L162))</f>
        <v/>
      </c>
      <c r="G162" s="120" t="str">
        <f>IF($L162="","",INDEX('RECEBIMENTOS'!$P$6:$P$1005,$L162)&amp;"")</f>
        <v/>
      </c>
      <c r="H162" s="120" t="str">
        <f>IF($L162="","",INDEX('RECEBIMENTOS'!$A$6:$A$1005,$L162)&amp;"")</f>
        <v/>
      </c>
      <c r="L162" t="str">
        <f>IFERROR(MATCH(75,'RECEBIMENTOS'!$AB$6:$AB$1005,0),"")</f>
        <v/>
      </c>
    </row>
    <row r="163">
      <c r="B163" s="119" t="str">
        <f>IF($L163="","",INDEX('RECEBIMENTOS'!$B$6:$B$1005,$L163)&amp;"")</f>
        <v/>
      </c>
      <c r="C163" s="120" t="str">
        <f>IF($L163="","",IFERROR(INDEX('MTRs'!$B$6:$B$505,INDEX('RECEBIMENTOS'!$U$6:$U$1005,$L163))&amp;"",""))</f>
        <v/>
      </c>
      <c r="D163" s="120" t="str">
        <f>IF($L163="","",INDEX('RECEBIMENTOS'!$D$6:$D$1005,$L163)&amp;"")</f>
        <v/>
      </c>
      <c r="E163" s="128" t="str">
        <f>IF($L163="","",INDEX('RECEBIMENTOS'!$E$6:$E$1005,$L163))</f>
        <v/>
      </c>
      <c r="F163" s="122" t="str">
        <f>IF($L163="","",INDEX('RECEBIMENTOS'!$H$6:$H$1005,$L163))</f>
        <v/>
      </c>
      <c r="G163" s="120" t="str">
        <f>IF($L163="","",INDEX('RECEBIMENTOS'!$P$6:$P$1005,$L163)&amp;"")</f>
        <v/>
      </c>
      <c r="H163" s="120" t="str">
        <f>IF($L163="","",INDEX('RECEBIMENTOS'!$A$6:$A$1005,$L163)&amp;"")</f>
        <v/>
      </c>
      <c r="L163" t="str">
        <f>IFERROR(MATCH(76,'RECEBIMENTOS'!$AB$6:$AB$1005,0),"")</f>
        <v/>
      </c>
    </row>
    <row r="164">
      <c r="B164" s="119" t="str">
        <f>IF($L164="","",INDEX('RECEBIMENTOS'!$B$6:$B$1005,$L164)&amp;"")</f>
        <v/>
      </c>
      <c r="C164" s="120" t="str">
        <f>IF($L164="","",IFERROR(INDEX('MTRs'!$B$6:$B$505,INDEX('RECEBIMENTOS'!$U$6:$U$1005,$L164))&amp;"",""))</f>
        <v/>
      </c>
      <c r="D164" s="120" t="str">
        <f>IF($L164="","",INDEX('RECEBIMENTOS'!$D$6:$D$1005,$L164)&amp;"")</f>
        <v/>
      </c>
      <c r="E164" s="128" t="str">
        <f>IF($L164="","",INDEX('RECEBIMENTOS'!$E$6:$E$1005,$L164))</f>
        <v/>
      </c>
      <c r="F164" s="122" t="str">
        <f>IF($L164="","",INDEX('RECEBIMENTOS'!$H$6:$H$1005,$L164))</f>
        <v/>
      </c>
      <c r="G164" s="120" t="str">
        <f>IF($L164="","",INDEX('RECEBIMENTOS'!$P$6:$P$1005,$L164)&amp;"")</f>
        <v/>
      </c>
      <c r="H164" s="120" t="str">
        <f>IF($L164="","",INDEX('RECEBIMENTOS'!$A$6:$A$1005,$L164)&amp;"")</f>
        <v/>
      </c>
      <c r="L164" t="str">
        <f>IFERROR(MATCH(77,'RECEBIMENTOS'!$AB$6:$AB$1005,0),"")</f>
        <v/>
      </c>
    </row>
    <row r="165">
      <c r="B165" s="119" t="str">
        <f>IF($L165="","",INDEX('RECEBIMENTOS'!$B$6:$B$1005,$L165)&amp;"")</f>
        <v/>
      </c>
      <c r="C165" s="120" t="str">
        <f>IF($L165="","",IFERROR(INDEX('MTRs'!$B$6:$B$505,INDEX('RECEBIMENTOS'!$U$6:$U$1005,$L165))&amp;"",""))</f>
        <v/>
      </c>
      <c r="D165" s="120" t="str">
        <f>IF($L165="","",INDEX('RECEBIMENTOS'!$D$6:$D$1005,$L165)&amp;"")</f>
        <v/>
      </c>
      <c r="E165" s="128" t="str">
        <f>IF($L165="","",INDEX('RECEBIMENTOS'!$E$6:$E$1005,$L165))</f>
        <v/>
      </c>
      <c r="F165" s="122" t="str">
        <f>IF($L165="","",INDEX('RECEBIMENTOS'!$H$6:$H$1005,$L165))</f>
        <v/>
      </c>
      <c r="G165" s="120" t="str">
        <f>IF($L165="","",INDEX('RECEBIMENTOS'!$P$6:$P$1005,$L165)&amp;"")</f>
        <v/>
      </c>
      <c r="H165" s="120" t="str">
        <f>IF($L165="","",INDEX('RECEBIMENTOS'!$A$6:$A$1005,$L165)&amp;"")</f>
        <v/>
      </c>
      <c r="L165" t="str">
        <f>IFERROR(MATCH(78,'RECEBIMENTOS'!$AB$6:$AB$1005,0),"")</f>
        <v/>
      </c>
    </row>
    <row r="166">
      <c r="B166" s="119" t="str">
        <f>IF($L166="","",INDEX('RECEBIMENTOS'!$B$6:$B$1005,$L166)&amp;"")</f>
        <v/>
      </c>
      <c r="C166" s="120" t="str">
        <f>IF($L166="","",IFERROR(INDEX('MTRs'!$B$6:$B$505,INDEX('RECEBIMENTOS'!$U$6:$U$1005,$L166))&amp;"",""))</f>
        <v/>
      </c>
      <c r="D166" s="120" t="str">
        <f>IF($L166="","",INDEX('RECEBIMENTOS'!$D$6:$D$1005,$L166)&amp;"")</f>
        <v/>
      </c>
      <c r="E166" s="128" t="str">
        <f>IF($L166="","",INDEX('RECEBIMENTOS'!$E$6:$E$1005,$L166))</f>
        <v/>
      </c>
      <c r="F166" s="122" t="str">
        <f>IF($L166="","",INDEX('RECEBIMENTOS'!$H$6:$H$1005,$L166))</f>
        <v/>
      </c>
      <c r="G166" s="120" t="str">
        <f>IF($L166="","",INDEX('RECEBIMENTOS'!$P$6:$P$1005,$L166)&amp;"")</f>
        <v/>
      </c>
      <c r="H166" s="120" t="str">
        <f>IF($L166="","",INDEX('RECEBIMENTOS'!$A$6:$A$1005,$L166)&amp;"")</f>
        <v/>
      </c>
      <c r="L166" t="str">
        <f>IFERROR(MATCH(79,'RECEBIMENTOS'!$AB$6:$AB$1005,0),"")</f>
        <v/>
      </c>
    </row>
    <row r="167">
      <c r="B167" s="119" t="str">
        <f>IF($L167="","",INDEX('RECEBIMENTOS'!$B$6:$B$1005,$L167)&amp;"")</f>
        <v/>
      </c>
      <c r="C167" s="120" t="str">
        <f>IF($L167="","",IFERROR(INDEX('MTRs'!$B$6:$B$505,INDEX('RECEBIMENTOS'!$U$6:$U$1005,$L167))&amp;"",""))</f>
        <v/>
      </c>
      <c r="D167" s="120" t="str">
        <f>IF($L167="","",INDEX('RECEBIMENTOS'!$D$6:$D$1005,$L167)&amp;"")</f>
        <v/>
      </c>
      <c r="E167" s="128" t="str">
        <f>IF($L167="","",INDEX('RECEBIMENTOS'!$E$6:$E$1005,$L167))</f>
        <v/>
      </c>
      <c r="F167" s="122" t="str">
        <f>IF($L167="","",INDEX('RECEBIMENTOS'!$H$6:$H$1005,$L167))</f>
        <v/>
      </c>
      <c r="G167" s="120" t="str">
        <f>IF($L167="","",INDEX('RECEBIMENTOS'!$P$6:$P$1005,$L167)&amp;"")</f>
        <v/>
      </c>
      <c r="H167" s="120" t="str">
        <f>IF($L167="","",INDEX('RECEBIMENTOS'!$A$6:$A$1005,$L167)&amp;"")</f>
        <v/>
      </c>
      <c r="L167" t="str">
        <f>IFERROR(MATCH(80,'RECEBIMENTOS'!$AB$6:$AB$1005,0),"")</f>
        <v/>
      </c>
    </row>
    <row r="168">
      <c r="B168" s="119" t="str">
        <f>IF($L168="","",INDEX('RECEBIMENTOS'!$B$6:$B$1005,$L168)&amp;"")</f>
        <v/>
      </c>
      <c r="C168" s="120" t="str">
        <f>IF($L168="","",IFERROR(INDEX('MTRs'!$B$6:$B$505,INDEX('RECEBIMENTOS'!$U$6:$U$1005,$L168))&amp;"",""))</f>
        <v/>
      </c>
      <c r="D168" s="120" t="str">
        <f>IF($L168="","",INDEX('RECEBIMENTOS'!$D$6:$D$1005,$L168)&amp;"")</f>
        <v/>
      </c>
      <c r="E168" s="128" t="str">
        <f>IF($L168="","",INDEX('RECEBIMENTOS'!$E$6:$E$1005,$L168))</f>
        <v/>
      </c>
      <c r="F168" s="122" t="str">
        <f>IF($L168="","",INDEX('RECEBIMENTOS'!$H$6:$H$1005,$L168))</f>
        <v/>
      </c>
      <c r="G168" s="120" t="str">
        <f>IF($L168="","",INDEX('RECEBIMENTOS'!$P$6:$P$1005,$L168)&amp;"")</f>
        <v/>
      </c>
      <c r="H168" s="120" t="str">
        <f>IF($L168="","",INDEX('RECEBIMENTOS'!$A$6:$A$1005,$L168)&amp;"")</f>
        <v/>
      </c>
      <c r="L168" t="str">
        <f>IFERROR(MATCH(81,'RECEBIMENTOS'!$AB$6:$AB$1005,0),"")</f>
        <v/>
      </c>
    </row>
    <row r="169">
      <c r="B169" s="119" t="str">
        <f>IF($L169="","",INDEX('RECEBIMENTOS'!$B$6:$B$1005,$L169)&amp;"")</f>
        <v/>
      </c>
      <c r="C169" s="120" t="str">
        <f>IF($L169="","",IFERROR(INDEX('MTRs'!$B$6:$B$505,INDEX('RECEBIMENTOS'!$U$6:$U$1005,$L169))&amp;"",""))</f>
        <v/>
      </c>
      <c r="D169" s="120" t="str">
        <f>IF($L169="","",INDEX('RECEBIMENTOS'!$D$6:$D$1005,$L169)&amp;"")</f>
        <v/>
      </c>
      <c r="E169" s="128" t="str">
        <f>IF($L169="","",INDEX('RECEBIMENTOS'!$E$6:$E$1005,$L169))</f>
        <v/>
      </c>
      <c r="F169" s="122" t="str">
        <f>IF($L169="","",INDEX('RECEBIMENTOS'!$H$6:$H$1005,$L169))</f>
        <v/>
      </c>
      <c r="G169" s="120" t="str">
        <f>IF($L169="","",INDEX('RECEBIMENTOS'!$P$6:$P$1005,$L169)&amp;"")</f>
        <v/>
      </c>
      <c r="H169" s="120" t="str">
        <f>IF($L169="","",INDEX('RECEBIMENTOS'!$A$6:$A$1005,$L169)&amp;"")</f>
        <v/>
      </c>
      <c r="L169" t="str">
        <f>IFERROR(MATCH(82,'RECEBIMENTOS'!$AB$6:$AB$1005,0),"")</f>
        <v/>
      </c>
    </row>
    <row r="170">
      <c r="B170" s="119" t="str">
        <f>IF($L170="","",INDEX('RECEBIMENTOS'!$B$6:$B$1005,$L170)&amp;"")</f>
        <v/>
      </c>
      <c r="C170" s="120" t="str">
        <f>IF($L170="","",IFERROR(INDEX('MTRs'!$B$6:$B$505,INDEX('RECEBIMENTOS'!$U$6:$U$1005,$L170))&amp;"",""))</f>
        <v/>
      </c>
      <c r="D170" s="120" t="str">
        <f>IF($L170="","",INDEX('RECEBIMENTOS'!$D$6:$D$1005,$L170)&amp;"")</f>
        <v/>
      </c>
      <c r="E170" s="128" t="str">
        <f>IF($L170="","",INDEX('RECEBIMENTOS'!$E$6:$E$1005,$L170))</f>
        <v/>
      </c>
      <c r="F170" s="122" t="str">
        <f>IF($L170="","",INDEX('RECEBIMENTOS'!$H$6:$H$1005,$L170))</f>
        <v/>
      </c>
      <c r="G170" s="120" t="str">
        <f>IF($L170="","",INDEX('RECEBIMENTOS'!$P$6:$P$1005,$L170)&amp;"")</f>
        <v/>
      </c>
      <c r="H170" s="120" t="str">
        <f>IF($L170="","",INDEX('RECEBIMENTOS'!$A$6:$A$1005,$L170)&amp;"")</f>
        <v/>
      </c>
      <c r="L170" t="str">
        <f>IFERROR(MATCH(83,'RECEBIMENTOS'!$AB$6:$AB$1005,0),"")</f>
        <v/>
      </c>
    </row>
    <row r="171">
      <c r="B171" s="119" t="str">
        <f>IF($L171="","",INDEX('RECEBIMENTOS'!$B$6:$B$1005,$L171)&amp;"")</f>
        <v/>
      </c>
      <c r="C171" s="120" t="str">
        <f>IF($L171="","",IFERROR(INDEX('MTRs'!$B$6:$B$505,INDEX('RECEBIMENTOS'!$U$6:$U$1005,$L171))&amp;"",""))</f>
        <v/>
      </c>
      <c r="D171" s="120" t="str">
        <f>IF($L171="","",INDEX('RECEBIMENTOS'!$D$6:$D$1005,$L171)&amp;"")</f>
        <v/>
      </c>
      <c r="E171" s="128" t="str">
        <f>IF($L171="","",INDEX('RECEBIMENTOS'!$E$6:$E$1005,$L171))</f>
        <v/>
      </c>
      <c r="F171" s="122" t="str">
        <f>IF($L171="","",INDEX('RECEBIMENTOS'!$H$6:$H$1005,$L171))</f>
        <v/>
      </c>
      <c r="G171" s="120" t="str">
        <f>IF($L171="","",INDEX('RECEBIMENTOS'!$P$6:$P$1005,$L171)&amp;"")</f>
        <v/>
      </c>
      <c r="H171" s="120" t="str">
        <f>IF($L171="","",INDEX('RECEBIMENTOS'!$A$6:$A$1005,$L171)&amp;"")</f>
        <v/>
      </c>
      <c r="L171" t="str">
        <f>IFERROR(MATCH(84,'RECEBIMENTOS'!$AB$6:$AB$1005,0),"")</f>
        <v/>
      </c>
    </row>
    <row r="172">
      <c r="B172" s="119" t="str">
        <f>IF($L172="","",INDEX('RECEBIMENTOS'!$B$6:$B$1005,$L172)&amp;"")</f>
        <v/>
      </c>
      <c r="C172" s="120" t="str">
        <f>IF($L172="","",IFERROR(INDEX('MTRs'!$B$6:$B$505,INDEX('RECEBIMENTOS'!$U$6:$U$1005,$L172))&amp;"",""))</f>
        <v/>
      </c>
      <c r="D172" s="120" t="str">
        <f>IF($L172="","",INDEX('RECEBIMENTOS'!$D$6:$D$1005,$L172)&amp;"")</f>
        <v/>
      </c>
      <c r="E172" s="128" t="str">
        <f>IF($L172="","",INDEX('RECEBIMENTOS'!$E$6:$E$1005,$L172))</f>
        <v/>
      </c>
      <c r="F172" s="122" t="str">
        <f>IF($L172="","",INDEX('RECEBIMENTOS'!$H$6:$H$1005,$L172))</f>
        <v/>
      </c>
      <c r="G172" s="120" t="str">
        <f>IF($L172="","",INDEX('RECEBIMENTOS'!$P$6:$P$1005,$L172)&amp;"")</f>
        <v/>
      </c>
      <c r="H172" s="120" t="str">
        <f>IF($L172="","",INDEX('RECEBIMENTOS'!$A$6:$A$1005,$L172)&amp;"")</f>
        <v/>
      </c>
      <c r="L172" t="str">
        <f>IFERROR(MATCH(85,'RECEBIMENTOS'!$AB$6:$AB$1005,0),"")</f>
        <v/>
      </c>
    </row>
    <row r="173">
      <c r="B173" s="119" t="str">
        <f>IF($L173="","",INDEX('RECEBIMENTOS'!$B$6:$B$1005,$L173)&amp;"")</f>
        <v/>
      </c>
      <c r="C173" s="120" t="str">
        <f>IF($L173="","",IFERROR(INDEX('MTRs'!$B$6:$B$505,INDEX('RECEBIMENTOS'!$U$6:$U$1005,$L173))&amp;"",""))</f>
        <v/>
      </c>
      <c r="D173" s="120" t="str">
        <f>IF($L173="","",INDEX('RECEBIMENTOS'!$D$6:$D$1005,$L173)&amp;"")</f>
        <v/>
      </c>
      <c r="E173" s="128" t="str">
        <f>IF($L173="","",INDEX('RECEBIMENTOS'!$E$6:$E$1005,$L173))</f>
        <v/>
      </c>
      <c r="F173" s="122" t="str">
        <f>IF($L173="","",INDEX('RECEBIMENTOS'!$H$6:$H$1005,$L173))</f>
        <v/>
      </c>
      <c r="G173" s="120" t="str">
        <f>IF($L173="","",INDEX('RECEBIMENTOS'!$P$6:$P$1005,$L173)&amp;"")</f>
        <v/>
      </c>
      <c r="H173" s="120" t="str">
        <f>IF($L173="","",INDEX('RECEBIMENTOS'!$A$6:$A$1005,$L173)&amp;"")</f>
        <v/>
      </c>
      <c r="L173" t="str">
        <f>IFERROR(MATCH(86,'RECEBIMENTOS'!$AB$6:$AB$1005,0),"")</f>
        <v/>
      </c>
    </row>
    <row r="174">
      <c r="B174" s="119" t="str">
        <f>IF($L174="","",INDEX('RECEBIMENTOS'!$B$6:$B$1005,$L174)&amp;"")</f>
        <v/>
      </c>
      <c r="C174" s="120" t="str">
        <f>IF($L174="","",IFERROR(INDEX('MTRs'!$B$6:$B$505,INDEX('RECEBIMENTOS'!$U$6:$U$1005,$L174))&amp;"",""))</f>
        <v/>
      </c>
      <c r="D174" s="120" t="str">
        <f>IF($L174="","",INDEX('RECEBIMENTOS'!$D$6:$D$1005,$L174)&amp;"")</f>
        <v/>
      </c>
      <c r="E174" s="128" t="str">
        <f>IF($L174="","",INDEX('RECEBIMENTOS'!$E$6:$E$1005,$L174))</f>
        <v/>
      </c>
      <c r="F174" s="122" t="str">
        <f>IF($L174="","",INDEX('RECEBIMENTOS'!$H$6:$H$1005,$L174))</f>
        <v/>
      </c>
      <c r="G174" s="120" t="str">
        <f>IF($L174="","",INDEX('RECEBIMENTOS'!$P$6:$P$1005,$L174)&amp;"")</f>
        <v/>
      </c>
      <c r="H174" s="120" t="str">
        <f>IF($L174="","",INDEX('RECEBIMENTOS'!$A$6:$A$1005,$L174)&amp;"")</f>
        <v/>
      </c>
      <c r="L174" t="str">
        <f>IFERROR(MATCH(87,'RECEBIMENTOS'!$AB$6:$AB$1005,0),"")</f>
        <v/>
      </c>
    </row>
    <row r="175">
      <c r="B175" s="119" t="str">
        <f>IF($L175="","",INDEX('RECEBIMENTOS'!$B$6:$B$1005,$L175)&amp;"")</f>
        <v/>
      </c>
      <c r="C175" s="120" t="str">
        <f>IF($L175="","",IFERROR(INDEX('MTRs'!$B$6:$B$505,INDEX('RECEBIMENTOS'!$U$6:$U$1005,$L175))&amp;"",""))</f>
        <v/>
      </c>
      <c r="D175" s="120" t="str">
        <f>IF($L175="","",INDEX('RECEBIMENTOS'!$D$6:$D$1005,$L175)&amp;"")</f>
        <v/>
      </c>
      <c r="E175" s="128" t="str">
        <f>IF($L175="","",INDEX('RECEBIMENTOS'!$E$6:$E$1005,$L175))</f>
        <v/>
      </c>
      <c r="F175" s="122" t="str">
        <f>IF($L175="","",INDEX('RECEBIMENTOS'!$H$6:$H$1005,$L175))</f>
        <v/>
      </c>
      <c r="G175" s="120" t="str">
        <f>IF($L175="","",INDEX('RECEBIMENTOS'!$P$6:$P$1005,$L175)&amp;"")</f>
        <v/>
      </c>
      <c r="H175" s="120" t="str">
        <f>IF($L175="","",INDEX('RECEBIMENTOS'!$A$6:$A$1005,$L175)&amp;"")</f>
        <v/>
      </c>
      <c r="L175" t="str">
        <f>IFERROR(MATCH(88,'RECEBIMENTOS'!$AB$6:$AB$1005,0),"")</f>
        <v/>
      </c>
    </row>
    <row r="176">
      <c r="B176" s="119" t="str">
        <f>IF($L176="","",INDEX('RECEBIMENTOS'!$B$6:$B$1005,$L176)&amp;"")</f>
        <v/>
      </c>
      <c r="C176" s="120" t="str">
        <f>IF($L176="","",IFERROR(INDEX('MTRs'!$B$6:$B$505,INDEX('RECEBIMENTOS'!$U$6:$U$1005,$L176))&amp;"",""))</f>
        <v/>
      </c>
      <c r="D176" s="120" t="str">
        <f>IF($L176="","",INDEX('RECEBIMENTOS'!$D$6:$D$1005,$L176)&amp;"")</f>
        <v/>
      </c>
      <c r="E176" s="128" t="str">
        <f>IF($L176="","",INDEX('RECEBIMENTOS'!$E$6:$E$1005,$L176))</f>
        <v/>
      </c>
      <c r="F176" s="122" t="str">
        <f>IF($L176="","",INDEX('RECEBIMENTOS'!$H$6:$H$1005,$L176))</f>
        <v/>
      </c>
      <c r="G176" s="120" t="str">
        <f>IF($L176="","",INDEX('RECEBIMENTOS'!$P$6:$P$1005,$L176)&amp;"")</f>
        <v/>
      </c>
      <c r="H176" s="120" t="str">
        <f>IF($L176="","",INDEX('RECEBIMENTOS'!$A$6:$A$1005,$L176)&amp;"")</f>
        <v/>
      </c>
      <c r="L176" t="str">
        <f>IFERROR(MATCH(89,'RECEBIMENTOS'!$AB$6:$AB$1005,0),"")</f>
        <v/>
      </c>
    </row>
    <row r="177">
      <c r="B177" s="119" t="str">
        <f>IF($L177="","",INDEX('RECEBIMENTOS'!$B$6:$B$1005,$L177)&amp;"")</f>
        <v/>
      </c>
      <c r="C177" s="120" t="str">
        <f>IF($L177="","",IFERROR(INDEX('MTRs'!$B$6:$B$505,INDEX('RECEBIMENTOS'!$U$6:$U$1005,$L177))&amp;"",""))</f>
        <v/>
      </c>
      <c r="D177" s="120" t="str">
        <f>IF($L177="","",INDEX('RECEBIMENTOS'!$D$6:$D$1005,$L177)&amp;"")</f>
        <v/>
      </c>
      <c r="E177" s="128" t="str">
        <f>IF($L177="","",INDEX('RECEBIMENTOS'!$E$6:$E$1005,$L177))</f>
        <v/>
      </c>
      <c r="F177" s="122" t="str">
        <f>IF($L177="","",INDEX('RECEBIMENTOS'!$H$6:$H$1005,$L177))</f>
        <v/>
      </c>
      <c r="G177" s="120" t="str">
        <f>IF($L177="","",INDEX('RECEBIMENTOS'!$P$6:$P$1005,$L177)&amp;"")</f>
        <v/>
      </c>
      <c r="H177" s="120" t="str">
        <f>IF($L177="","",INDEX('RECEBIMENTOS'!$A$6:$A$1005,$L177)&amp;"")</f>
        <v/>
      </c>
      <c r="L177" t="str">
        <f>IFERROR(MATCH(90,'RECEBIMENTOS'!$AB$6:$AB$1005,0),"")</f>
        <v/>
      </c>
    </row>
    <row r="178">
      <c r="B178" s="119" t="str">
        <f>IF($L178="","",INDEX('RECEBIMENTOS'!$B$6:$B$1005,$L178)&amp;"")</f>
        <v/>
      </c>
      <c r="C178" s="120" t="str">
        <f>IF($L178="","",IFERROR(INDEX('MTRs'!$B$6:$B$505,INDEX('RECEBIMENTOS'!$U$6:$U$1005,$L178))&amp;"",""))</f>
        <v/>
      </c>
      <c r="D178" s="120" t="str">
        <f>IF($L178="","",INDEX('RECEBIMENTOS'!$D$6:$D$1005,$L178)&amp;"")</f>
        <v/>
      </c>
      <c r="E178" s="128" t="str">
        <f>IF($L178="","",INDEX('RECEBIMENTOS'!$E$6:$E$1005,$L178))</f>
        <v/>
      </c>
      <c r="F178" s="122" t="str">
        <f>IF($L178="","",INDEX('RECEBIMENTOS'!$H$6:$H$1005,$L178))</f>
        <v/>
      </c>
      <c r="G178" s="120" t="str">
        <f>IF($L178="","",INDEX('RECEBIMENTOS'!$P$6:$P$1005,$L178)&amp;"")</f>
        <v/>
      </c>
      <c r="H178" s="120" t="str">
        <f>IF($L178="","",INDEX('RECEBIMENTOS'!$A$6:$A$1005,$L178)&amp;"")</f>
        <v/>
      </c>
      <c r="L178" t="str">
        <f>IFERROR(MATCH(91,'RECEBIMENTOS'!$AB$6:$AB$1005,0),"")</f>
        <v/>
      </c>
    </row>
    <row r="179">
      <c r="B179" s="119" t="str">
        <f>IF($L179="","",INDEX('RECEBIMENTOS'!$B$6:$B$1005,$L179)&amp;"")</f>
        <v/>
      </c>
      <c r="C179" s="120" t="str">
        <f>IF($L179="","",IFERROR(INDEX('MTRs'!$B$6:$B$505,INDEX('RECEBIMENTOS'!$U$6:$U$1005,$L179))&amp;"",""))</f>
        <v/>
      </c>
      <c r="D179" s="120" t="str">
        <f>IF($L179="","",INDEX('RECEBIMENTOS'!$D$6:$D$1005,$L179)&amp;"")</f>
        <v/>
      </c>
      <c r="E179" s="128" t="str">
        <f>IF($L179="","",INDEX('RECEBIMENTOS'!$E$6:$E$1005,$L179))</f>
        <v/>
      </c>
      <c r="F179" s="122" t="str">
        <f>IF($L179="","",INDEX('RECEBIMENTOS'!$H$6:$H$1005,$L179))</f>
        <v/>
      </c>
      <c r="G179" s="120" t="str">
        <f>IF($L179="","",INDEX('RECEBIMENTOS'!$P$6:$P$1005,$L179)&amp;"")</f>
        <v/>
      </c>
      <c r="H179" s="120" t="str">
        <f>IF($L179="","",INDEX('RECEBIMENTOS'!$A$6:$A$1005,$L179)&amp;"")</f>
        <v/>
      </c>
      <c r="L179" t="str">
        <f>IFERROR(MATCH(92,'RECEBIMENTOS'!$AB$6:$AB$1005,0),"")</f>
        <v/>
      </c>
    </row>
    <row r="180">
      <c r="B180" s="119" t="str">
        <f>IF($L180="","",INDEX('RECEBIMENTOS'!$B$6:$B$1005,$L180)&amp;"")</f>
        <v/>
      </c>
      <c r="C180" s="120" t="str">
        <f>IF($L180="","",IFERROR(INDEX('MTRs'!$B$6:$B$505,INDEX('RECEBIMENTOS'!$U$6:$U$1005,$L180))&amp;"",""))</f>
        <v/>
      </c>
      <c r="D180" s="120" t="str">
        <f>IF($L180="","",INDEX('RECEBIMENTOS'!$D$6:$D$1005,$L180)&amp;"")</f>
        <v/>
      </c>
      <c r="E180" s="128" t="str">
        <f>IF($L180="","",INDEX('RECEBIMENTOS'!$E$6:$E$1005,$L180))</f>
        <v/>
      </c>
      <c r="F180" s="122" t="str">
        <f>IF($L180="","",INDEX('RECEBIMENTOS'!$H$6:$H$1005,$L180))</f>
        <v/>
      </c>
      <c r="G180" s="120" t="str">
        <f>IF($L180="","",INDEX('RECEBIMENTOS'!$P$6:$P$1005,$L180)&amp;"")</f>
        <v/>
      </c>
      <c r="H180" s="120" t="str">
        <f>IF($L180="","",INDEX('RECEBIMENTOS'!$A$6:$A$1005,$L180)&amp;"")</f>
        <v/>
      </c>
      <c r="L180" t="str">
        <f>IFERROR(MATCH(93,'RECEBIMENTOS'!$AB$6:$AB$1005,0),"")</f>
        <v/>
      </c>
    </row>
    <row r="181">
      <c r="B181" s="119" t="str">
        <f>IF($L181="","",INDEX('RECEBIMENTOS'!$B$6:$B$1005,$L181)&amp;"")</f>
        <v/>
      </c>
      <c r="C181" s="120" t="str">
        <f>IF($L181="","",IFERROR(INDEX('MTRs'!$B$6:$B$505,INDEX('RECEBIMENTOS'!$U$6:$U$1005,$L181))&amp;"",""))</f>
        <v/>
      </c>
      <c r="D181" s="120" t="str">
        <f>IF($L181="","",INDEX('RECEBIMENTOS'!$D$6:$D$1005,$L181)&amp;"")</f>
        <v/>
      </c>
      <c r="E181" s="128" t="str">
        <f>IF($L181="","",INDEX('RECEBIMENTOS'!$E$6:$E$1005,$L181))</f>
        <v/>
      </c>
      <c r="F181" s="122" t="str">
        <f>IF($L181="","",INDEX('RECEBIMENTOS'!$H$6:$H$1005,$L181))</f>
        <v/>
      </c>
      <c r="G181" s="120" t="str">
        <f>IF($L181="","",INDEX('RECEBIMENTOS'!$P$6:$P$1005,$L181)&amp;"")</f>
        <v/>
      </c>
      <c r="H181" s="120" t="str">
        <f>IF($L181="","",INDEX('RECEBIMENTOS'!$A$6:$A$1005,$L181)&amp;"")</f>
        <v/>
      </c>
      <c r="L181" t="str">
        <f>IFERROR(MATCH(94,'RECEBIMENTOS'!$AB$6:$AB$1005,0),"")</f>
        <v/>
      </c>
    </row>
    <row r="182">
      <c r="B182" s="119" t="str">
        <f>IF($L182="","",INDEX('RECEBIMENTOS'!$B$6:$B$1005,$L182)&amp;"")</f>
        <v/>
      </c>
      <c r="C182" s="120" t="str">
        <f>IF($L182="","",IFERROR(INDEX('MTRs'!$B$6:$B$505,INDEX('RECEBIMENTOS'!$U$6:$U$1005,$L182))&amp;"",""))</f>
        <v/>
      </c>
      <c r="D182" s="120" t="str">
        <f>IF($L182="","",INDEX('RECEBIMENTOS'!$D$6:$D$1005,$L182)&amp;"")</f>
        <v/>
      </c>
      <c r="E182" s="128" t="str">
        <f>IF($L182="","",INDEX('RECEBIMENTOS'!$E$6:$E$1005,$L182))</f>
        <v/>
      </c>
      <c r="F182" s="122" t="str">
        <f>IF($L182="","",INDEX('RECEBIMENTOS'!$H$6:$H$1005,$L182))</f>
        <v/>
      </c>
      <c r="G182" s="120" t="str">
        <f>IF($L182="","",INDEX('RECEBIMENTOS'!$P$6:$P$1005,$L182)&amp;"")</f>
        <v/>
      </c>
      <c r="H182" s="120" t="str">
        <f>IF($L182="","",INDEX('RECEBIMENTOS'!$A$6:$A$1005,$L182)&amp;"")</f>
        <v/>
      </c>
      <c r="L182" t="str">
        <f>IFERROR(MATCH(95,'RECEBIMENTOS'!$AB$6:$AB$1005,0),"")</f>
        <v/>
      </c>
    </row>
    <row r="183">
      <c r="B183" s="119" t="str">
        <f>IF($L183="","",INDEX('RECEBIMENTOS'!$B$6:$B$1005,$L183)&amp;"")</f>
        <v/>
      </c>
      <c r="C183" s="120" t="str">
        <f>IF($L183="","",IFERROR(INDEX('MTRs'!$B$6:$B$505,INDEX('RECEBIMENTOS'!$U$6:$U$1005,$L183))&amp;"",""))</f>
        <v/>
      </c>
      <c r="D183" s="120" t="str">
        <f>IF($L183="","",INDEX('RECEBIMENTOS'!$D$6:$D$1005,$L183)&amp;"")</f>
        <v/>
      </c>
      <c r="E183" s="128" t="str">
        <f>IF($L183="","",INDEX('RECEBIMENTOS'!$E$6:$E$1005,$L183))</f>
        <v/>
      </c>
      <c r="F183" s="122" t="str">
        <f>IF($L183="","",INDEX('RECEBIMENTOS'!$H$6:$H$1005,$L183))</f>
        <v/>
      </c>
      <c r="G183" s="120" t="str">
        <f>IF($L183="","",INDEX('RECEBIMENTOS'!$P$6:$P$1005,$L183)&amp;"")</f>
        <v/>
      </c>
      <c r="H183" s="120" t="str">
        <f>IF($L183="","",INDEX('RECEBIMENTOS'!$A$6:$A$1005,$L183)&amp;"")</f>
        <v/>
      </c>
      <c r="L183" t="str">
        <f>IFERROR(MATCH(96,'RECEBIMENTOS'!$AB$6:$AB$1005,0),"")</f>
        <v/>
      </c>
    </row>
    <row r="184">
      <c r="B184" s="119" t="str">
        <f>IF($L184="","",INDEX('RECEBIMENTOS'!$B$6:$B$1005,$L184)&amp;"")</f>
        <v/>
      </c>
      <c r="C184" s="120" t="str">
        <f>IF($L184="","",IFERROR(INDEX('MTRs'!$B$6:$B$505,INDEX('RECEBIMENTOS'!$U$6:$U$1005,$L184))&amp;"",""))</f>
        <v/>
      </c>
      <c r="D184" s="120" t="str">
        <f>IF($L184="","",INDEX('RECEBIMENTOS'!$D$6:$D$1005,$L184)&amp;"")</f>
        <v/>
      </c>
      <c r="E184" s="128" t="str">
        <f>IF($L184="","",INDEX('RECEBIMENTOS'!$E$6:$E$1005,$L184))</f>
        <v/>
      </c>
      <c r="F184" s="122" t="str">
        <f>IF($L184="","",INDEX('RECEBIMENTOS'!$H$6:$H$1005,$L184))</f>
        <v/>
      </c>
      <c r="G184" s="120" t="str">
        <f>IF($L184="","",INDEX('RECEBIMENTOS'!$P$6:$P$1005,$L184)&amp;"")</f>
        <v/>
      </c>
      <c r="H184" s="120" t="str">
        <f>IF($L184="","",INDEX('RECEBIMENTOS'!$A$6:$A$1005,$L184)&amp;"")</f>
        <v/>
      </c>
      <c r="L184" t="str">
        <f>IFERROR(MATCH(97,'RECEBIMENTOS'!$AB$6:$AB$1005,0),"")</f>
        <v/>
      </c>
    </row>
    <row r="185">
      <c r="B185" s="119" t="str">
        <f>IF($L185="","",INDEX('RECEBIMENTOS'!$B$6:$B$1005,$L185)&amp;"")</f>
        <v/>
      </c>
      <c r="C185" s="120" t="str">
        <f>IF($L185="","",IFERROR(INDEX('MTRs'!$B$6:$B$505,INDEX('RECEBIMENTOS'!$U$6:$U$1005,$L185))&amp;"",""))</f>
        <v/>
      </c>
      <c r="D185" s="120" t="str">
        <f>IF($L185="","",INDEX('RECEBIMENTOS'!$D$6:$D$1005,$L185)&amp;"")</f>
        <v/>
      </c>
      <c r="E185" s="128" t="str">
        <f>IF($L185="","",INDEX('RECEBIMENTOS'!$E$6:$E$1005,$L185))</f>
        <v/>
      </c>
      <c r="F185" s="122" t="str">
        <f>IF($L185="","",INDEX('RECEBIMENTOS'!$H$6:$H$1005,$L185))</f>
        <v/>
      </c>
      <c r="G185" s="120" t="str">
        <f>IF($L185="","",INDEX('RECEBIMENTOS'!$P$6:$P$1005,$L185)&amp;"")</f>
        <v/>
      </c>
      <c r="H185" s="120" t="str">
        <f>IF($L185="","",INDEX('RECEBIMENTOS'!$A$6:$A$1005,$L185)&amp;"")</f>
        <v/>
      </c>
      <c r="L185" t="str">
        <f>IFERROR(MATCH(98,'RECEBIMENTOS'!$AB$6:$AB$1005,0),"")</f>
        <v/>
      </c>
    </row>
    <row r="186">
      <c r="B186" s="119" t="str">
        <f>IF($L186="","",INDEX('RECEBIMENTOS'!$B$6:$B$1005,$L186)&amp;"")</f>
        <v/>
      </c>
      <c r="C186" s="120" t="str">
        <f>IF($L186="","",IFERROR(INDEX('MTRs'!$B$6:$B$505,INDEX('RECEBIMENTOS'!$U$6:$U$1005,$L186))&amp;"",""))</f>
        <v/>
      </c>
      <c r="D186" s="120" t="str">
        <f>IF($L186="","",INDEX('RECEBIMENTOS'!$D$6:$D$1005,$L186)&amp;"")</f>
        <v/>
      </c>
      <c r="E186" s="128" t="str">
        <f>IF($L186="","",INDEX('RECEBIMENTOS'!$E$6:$E$1005,$L186))</f>
        <v/>
      </c>
      <c r="F186" s="122" t="str">
        <f>IF($L186="","",INDEX('RECEBIMENTOS'!$H$6:$H$1005,$L186))</f>
        <v/>
      </c>
      <c r="G186" s="120" t="str">
        <f>IF($L186="","",INDEX('RECEBIMENTOS'!$P$6:$P$1005,$L186)&amp;"")</f>
        <v/>
      </c>
      <c r="H186" s="120" t="str">
        <f>IF($L186="","",INDEX('RECEBIMENTOS'!$A$6:$A$1005,$L186)&amp;"")</f>
        <v/>
      </c>
      <c r="L186" t="str">
        <f>IFERROR(MATCH(99,'RECEBIMENTOS'!$AB$6:$AB$1005,0),"")</f>
        <v/>
      </c>
    </row>
    <row r="187">
      <c r="B187" s="119" t="str">
        <f>IF($L187="","",INDEX('RECEBIMENTOS'!$B$6:$B$1005,$L187)&amp;"")</f>
        <v/>
      </c>
      <c r="C187" s="120" t="str">
        <f>IF($L187="","",IFERROR(INDEX('MTRs'!$B$6:$B$505,INDEX('RECEBIMENTOS'!$U$6:$U$1005,$L187))&amp;"",""))</f>
        <v/>
      </c>
      <c r="D187" s="120" t="str">
        <f>IF($L187="","",INDEX('RECEBIMENTOS'!$D$6:$D$1005,$L187)&amp;"")</f>
        <v/>
      </c>
      <c r="E187" s="128" t="str">
        <f>IF($L187="","",INDEX('RECEBIMENTOS'!$E$6:$E$1005,$L187))</f>
        <v/>
      </c>
      <c r="F187" s="122" t="str">
        <f>IF($L187="","",INDEX('RECEBIMENTOS'!$H$6:$H$1005,$L187))</f>
        <v/>
      </c>
      <c r="G187" s="120" t="str">
        <f>IF($L187="","",INDEX('RECEBIMENTOS'!$P$6:$P$1005,$L187)&amp;"")</f>
        <v/>
      </c>
      <c r="H187" s="120" t="str">
        <f>IF($L187="","",INDEX('RECEBIMENTOS'!$A$6:$A$1005,$L187)&amp;"")</f>
        <v/>
      </c>
      <c r="L187" t="str">
        <f>IFERROR(MATCH(100,'RECEBIMENTOS'!$AB$6:$AB$1005,0),"")</f>
        <v/>
      </c>
    </row>
    <row r="188">
      <c r="B188" s="119" t="str">
        <f>IF($L188="","",INDEX('RECEBIMENTOS'!$B$6:$B$1005,$L188)&amp;"")</f>
        <v/>
      </c>
      <c r="C188" s="120" t="str">
        <f>IF($L188="","",IFERROR(INDEX('MTRs'!$B$6:$B$505,INDEX('RECEBIMENTOS'!$U$6:$U$1005,$L188))&amp;"",""))</f>
        <v/>
      </c>
      <c r="D188" s="120" t="str">
        <f>IF($L188="","",INDEX('RECEBIMENTOS'!$D$6:$D$1005,$L188)&amp;"")</f>
        <v/>
      </c>
      <c r="E188" s="128" t="str">
        <f>IF($L188="","",INDEX('RECEBIMENTOS'!$E$6:$E$1005,$L188))</f>
        <v/>
      </c>
      <c r="F188" s="122" t="str">
        <f>IF($L188="","",INDEX('RECEBIMENTOS'!$H$6:$H$1005,$L188))</f>
        <v/>
      </c>
      <c r="G188" s="120" t="str">
        <f>IF($L188="","",INDEX('RECEBIMENTOS'!$P$6:$P$1005,$L188)&amp;"")</f>
        <v/>
      </c>
      <c r="H188" s="120" t="str">
        <f>IF($L188="","",INDEX('RECEBIMENTOS'!$A$6:$A$1005,$L188)&amp;"")</f>
        <v/>
      </c>
      <c r="L188" t="str">
        <f>IFERROR(MATCH(101,'RECEBIMENTOS'!$AB$6:$AB$1005,0),"")</f>
        <v/>
      </c>
    </row>
    <row r="189">
      <c r="B189" s="119" t="str">
        <f>IF($L189="","",INDEX('RECEBIMENTOS'!$B$6:$B$1005,$L189)&amp;"")</f>
        <v/>
      </c>
      <c r="C189" s="120" t="str">
        <f>IF($L189="","",IFERROR(INDEX('MTRs'!$B$6:$B$505,INDEX('RECEBIMENTOS'!$U$6:$U$1005,$L189))&amp;"",""))</f>
        <v/>
      </c>
      <c r="D189" s="120" t="str">
        <f>IF($L189="","",INDEX('RECEBIMENTOS'!$D$6:$D$1005,$L189)&amp;"")</f>
        <v/>
      </c>
      <c r="E189" s="128" t="str">
        <f>IF($L189="","",INDEX('RECEBIMENTOS'!$E$6:$E$1005,$L189))</f>
        <v/>
      </c>
      <c r="F189" s="122" t="str">
        <f>IF($L189="","",INDEX('RECEBIMENTOS'!$H$6:$H$1005,$L189))</f>
        <v/>
      </c>
      <c r="G189" s="120" t="str">
        <f>IF($L189="","",INDEX('RECEBIMENTOS'!$P$6:$P$1005,$L189)&amp;"")</f>
        <v/>
      </c>
      <c r="H189" s="120" t="str">
        <f>IF($L189="","",INDEX('RECEBIMENTOS'!$A$6:$A$1005,$L189)&amp;"")</f>
        <v/>
      </c>
      <c r="L189" t="str">
        <f>IFERROR(MATCH(102,'RECEBIMENTOS'!$AB$6:$AB$1005,0),"")</f>
        <v/>
      </c>
    </row>
    <row r="190">
      <c r="B190" s="119" t="str">
        <f>IF($L190="","",INDEX('RECEBIMENTOS'!$B$6:$B$1005,$L190)&amp;"")</f>
        <v/>
      </c>
      <c r="C190" s="120" t="str">
        <f>IF($L190="","",IFERROR(INDEX('MTRs'!$B$6:$B$505,INDEX('RECEBIMENTOS'!$U$6:$U$1005,$L190))&amp;"",""))</f>
        <v/>
      </c>
      <c r="D190" s="120" t="str">
        <f>IF($L190="","",INDEX('RECEBIMENTOS'!$D$6:$D$1005,$L190)&amp;"")</f>
        <v/>
      </c>
      <c r="E190" s="128" t="str">
        <f>IF($L190="","",INDEX('RECEBIMENTOS'!$E$6:$E$1005,$L190))</f>
        <v/>
      </c>
      <c r="F190" s="122" t="str">
        <f>IF($L190="","",INDEX('RECEBIMENTOS'!$H$6:$H$1005,$L190))</f>
        <v/>
      </c>
      <c r="G190" s="120" t="str">
        <f>IF($L190="","",INDEX('RECEBIMENTOS'!$P$6:$P$1005,$L190)&amp;"")</f>
        <v/>
      </c>
      <c r="H190" s="120" t="str">
        <f>IF($L190="","",INDEX('RECEBIMENTOS'!$A$6:$A$1005,$L190)&amp;"")</f>
        <v/>
      </c>
      <c r="L190" t="str">
        <f>IFERROR(MATCH(103,'RECEBIMENTOS'!$AB$6:$AB$1005,0),"")</f>
        <v/>
      </c>
    </row>
    <row r="191">
      <c r="B191" s="119" t="str">
        <f>IF($L191="","",INDEX('RECEBIMENTOS'!$B$6:$B$1005,$L191)&amp;"")</f>
        <v/>
      </c>
      <c r="C191" s="120" t="str">
        <f>IF($L191="","",IFERROR(INDEX('MTRs'!$B$6:$B$505,INDEX('RECEBIMENTOS'!$U$6:$U$1005,$L191))&amp;"",""))</f>
        <v/>
      </c>
      <c r="D191" s="120" t="str">
        <f>IF($L191="","",INDEX('RECEBIMENTOS'!$D$6:$D$1005,$L191)&amp;"")</f>
        <v/>
      </c>
      <c r="E191" s="128" t="str">
        <f>IF($L191="","",INDEX('RECEBIMENTOS'!$E$6:$E$1005,$L191))</f>
        <v/>
      </c>
      <c r="F191" s="122" t="str">
        <f>IF($L191="","",INDEX('RECEBIMENTOS'!$H$6:$H$1005,$L191))</f>
        <v/>
      </c>
      <c r="G191" s="120" t="str">
        <f>IF($L191="","",INDEX('RECEBIMENTOS'!$P$6:$P$1005,$L191)&amp;"")</f>
        <v/>
      </c>
      <c r="H191" s="120" t="str">
        <f>IF($L191="","",INDEX('RECEBIMENTOS'!$A$6:$A$1005,$L191)&amp;"")</f>
        <v/>
      </c>
      <c r="L191" t="str">
        <f>IFERROR(MATCH(104,'RECEBIMENTOS'!$AB$6:$AB$1005,0),"")</f>
        <v/>
      </c>
    </row>
    <row r="192">
      <c r="B192" s="119" t="str">
        <f>IF($L192="","",INDEX('RECEBIMENTOS'!$B$6:$B$1005,$L192)&amp;"")</f>
        <v/>
      </c>
      <c r="C192" s="120" t="str">
        <f>IF($L192="","",IFERROR(INDEX('MTRs'!$B$6:$B$505,INDEX('RECEBIMENTOS'!$U$6:$U$1005,$L192))&amp;"",""))</f>
        <v/>
      </c>
      <c r="D192" s="120" t="str">
        <f>IF($L192="","",INDEX('RECEBIMENTOS'!$D$6:$D$1005,$L192)&amp;"")</f>
        <v/>
      </c>
      <c r="E192" s="128" t="str">
        <f>IF($L192="","",INDEX('RECEBIMENTOS'!$E$6:$E$1005,$L192))</f>
        <v/>
      </c>
      <c r="F192" s="122" t="str">
        <f>IF($L192="","",INDEX('RECEBIMENTOS'!$H$6:$H$1005,$L192))</f>
        <v/>
      </c>
      <c r="G192" s="120" t="str">
        <f>IF($L192="","",INDEX('RECEBIMENTOS'!$P$6:$P$1005,$L192)&amp;"")</f>
        <v/>
      </c>
      <c r="H192" s="120" t="str">
        <f>IF($L192="","",INDEX('RECEBIMENTOS'!$A$6:$A$1005,$L192)&amp;"")</f>
        <v/>
      </c>
      <c r="L192" t="str">
        <f>IFERROR(MATCH(105,'RECEBIMENTOS'!$AB$6:$AB$1005,0),"")</f>
        <v/>
      </c>
    </row>
    <row r="193">
      <c r="B193" s="119" t="str">
        <f>IF($L193="","",INDEX('RECEBIMENTOS'!$B$6:$B$1005,$L193)&amp;"")</f>
        <v/>
      </c>
      <c r="C193" s="120" t="str">
        <f>IF($L193="","",IFERROR(INDEX('MTRs'!$B$6:$B$505,INDEX('RECEBIMENTOS'!$U$6:$U$1005,$L193))&amp;"",""))</f>
        <v/>
      </c>
      <c r="D193" s="120" t="str">
        <f>IF($L193="","",INDEX('RECEBIMENTOS'!$D$6:$D$1005,$L193)&amp;"")</f>
        <v/>
      </c>
      <c r="E193" s="128" t="str">
        <f>IF($L193="","",INDEX('RECEBIMENTOS'!$E$6:$E$1005,$L193))</f>
        <v/>
      </c>
      <c r="F193" s="122" t="str">
        <f>IF($L193="","",INDEX('RECEBIMENTOS'!$H$6:$H$1005,$L193))</f>
        <v/>
      </c>
      <c r="G193" s="120" t="str">
        <f>IF($L193="","",INDEX('RECEBIMENTOS'!$P$6:$P$1005,$L193)&amp;"")</f>
        <v/>
      </c>
      <c r="H193" s="120" t="str">
        <f>IF($L193="","",INDEX('RECEBIMENTOS'!$A$6:$A$1005,$L193)&amp;"")</f>
        <v/>
      </c>
      <c r="L193" t="str">
        <f>IFERROR(MATCH(106,'RECEBIMENTOS'!$AB$6:$AB$1005,0),"")</f>
        <v/>
      </c>
    </row>
    <row r="194">
      <c r="B194" s="119" t="str">
        <f>IF($L194="","",INDEX('RECEBIMENTOS'!$B$6:$B$1005,$L194)&amp;"")</f>
        <v/>
      </c>
      <c r="C194" s="120" t="str">
        <f>IF($L194="","",IFERROR(INDEX('MTRs'!$B$6:$B$505,INDEX('RECEBIMENTOS'!$U$6:$U$1005,$L194))&amp;"",""))</f>
        <v/>
      </c>
      <c r="D194" s="120" t="str">
        <f>IF($L194="","",INDEX('RECEBIMENTOS'!$D$6:$D$1005,$L194)&amp;"")</f>
        <v/>
      </c>
      <c r="E194" s="128" t="str">
        <f>IF($L194="","",INDEX('RECEBIMENTOS'!$E$6:$E$1005,$L194))</f>
        <v/>
      </c>
      <c r="F194" s="122" t="str">
        <f>IF($L194="","",INDEX('RECEBIMENTOS'!$H$6:$H$1005,$L194))</f>
        <v/>
      </c>
      <c r="G194" s="120" t="str">
        <f>IF($L194="","",INDEX('RECEBIMENTOS'!$P$6:$P$1005,$L194)&amp;"")</f>
        <v/>
      </c>
      <c r="H194" s="120" t="str">
        <f>IF($L194="","",INDEX('RECEBIMENTOS'!$A$6:$A$1005,$L194)&amp;"")</f>
        <v/>
      </c>
      <c r="L194" t="str">
        <f>IFERROR(MATCH(107,'RECEBIMENTOS'!$AB$6:$AB$1005,0),"")</f>
        <v/>
      </c>
    </row>
    <row r="195">
      <c r="B195" s="119" t="str">
        <f>IF($L195="","",INDEX('RECEBIMENTOS'!$B$6:$B$1005,$L195)&amp;"")</f>
        <v/>
      </c>
      <c r="C195" s="120" t="str">
        <f>IF($L195="","",IFERROR(INDEX('MTRs'!$B$6:$B$505,INDEX('RECEBIMENTOS'!$U$6:$U$1005,$L195))&amp;"",""))</f>
        <v/>
      </c>
      <c r="D195" s="120" t="str">
        <f>IF($L195="","",INDEX('RECEBIMENTOS'!$D$6:$D$1005,$L195)&amp;"")</f>
        <v/>
      </c>
      <c r="E195" s="128" t="str">
        <f>IF($L195="","",INDEX('RECEBIMENTOS'!$E$6:$E$1005,$L195))</f>
        <v/>
      </c>
      <c r="F195" s="122" t="str">
        <f>IF($L195="","",INDEX('RECEBIMENTOS'!$H$6:$H$1005,$L195))</f>
        <v/>
      </c>
      <c r="G195" s="120" t="str">
        <f>IF($L195="","",INDEX('RECEBIMENTOS'!$P$6:$P$1005,$L195)&amp;"")</f>
        <v/>
      </c>
      <c r="H195" s="120" t="str">
        <f>IF($L195="","",INDEX('RECEBIMENTOS'!$A$6:$A$1005,$L195)&amp;"")</f>
        <v/>
      </c>
      <c r="L195" t="str">
        <f>IFERROR(MATCH(108,'RECEBIMENTOS'!$AB$6:$AB$1005,0),"")</f>
        <v/>
      </c>
    </row>
    <row r="196">
      <c r="B196" s="119" t="str">
        <f>IF($L196="","",INDEX('RECEBIMENTOS'!$B$6:$B$1005,$L196)&amp;"")</f>
        <v/>
      </c>
      <c r="C196" s="120" t="str">
        <f>IF($L196="","",IFERROR(INDEX('MTRs'!$B$6:$B$505,INDEX('RECEBIMENTOS'!$U$6:$U$1005,$L196))&amp;"",""))</f>
        <v/>
      </c>
      <c r="D196" s="120" t="str">
        <f>IF($L196="","",INDEX('RECEBIMENTOS'!$D$6:$D$1005,$L196)&amp;"")</f>
        <v/>
      </c>
      <c r="E196" s="128" t="str">
        <f>IF($L196="","",INDEX('RECEBIMENTOS'!$E$6:$E$1005,$L196))</f>
        <v/>
      </c>
      <c r="F196" s="122" t="str">
        <f>IF($L196="","",INDEX('RECEBIMENTOS'!$H$6:$H$1005,$L196))</f>
        <v/>
      </c>
      <c r="G196" s="120" t="str">
        <f>IF($L196="","",INDEX('RECEBIMENTOS'!$P$6:$P$1005,$L196)&amp;"")</f>
        <v/>
      </c>
      <c r="H196" s="120" t="str">
        <f>IF($L196="","",INDEX('RECEBIMENTOS'!$A$6:$A$1005,$L196)&amp;"")</f>
        <v/>
      </c>
      <c r="L196" t="str">
        <f>IFERROR(MATCH(109,'RECEBIMENTOS'!$AB$6:$AB$1005,0),"")</f>
        <v/>
      </c>
    </row>
    <row r="197">
      <c r="B197" s="119" t="str">
        <f>IF($L197="","",INDEX('RECEBIMENTOS'!$B$6:$B$1005,$L197)&amp;"")</f>
        <v/>
      </c>
      <c r="C197" s="120" t="str">
        <f>IF($L197="","",IFERROR(INDEX('MTRs'!$B$6:$B$505,INDEX('RECEBIMENTOS'!$U$6:$U$1005,$L197))&amp;"",""))</f>
        <v/>
      </c>
      <c r="D197" s="120" t="str">
        <f>IF($L197="","",INDEX('RECEBIMENTOS'!$D$6:$D$1005,$L197)&amp;"")</f>
        <v/>
      </c>
      <c r="E197" s="128" t="str">
        <f>IF($L197="","",INDEX('RECEBIMENTOS'!$E$6:$E$1005,$L197))</f>
        <v/>
      </c>
      <c r="F197" s="122" t="str">
        <f>IF($L197="","",INDEX('RECEBIMENTOS'!$H$6:$H$1005,$L197))</f>
        <v/>
      </c>
      <c r="G197" s="120" t="str">
        <f>IF($L197="","",INDEX('RECEBIMENTOS'!$P$6:$P$1005,$L197)&amp;"")</f>
        <v/>
      </c>
      <c r="H197" s="120" t="str">
        <f>IF($L197="","",INDEX('RECEBIMENTOS'!$A$6:$A$1005,$L197)&amp;"")</f>
        <v/>
      </c>
      <c r="L197" t="str">
        <f>IFERROR(MATCH(110,'RECEBIMENTOS'!$AB$6:$AB$1005,0),"")</f>
        <v/>
      </c>
    </row>
    <row r="198">
      <c r="B198" s="119" t="str">
        <f>IF($L198="","",INDEX('RECEBIMENTOS'!$B$6:$B$1005,$L198)&amp;"")</f>
        <v/>
      </c>
      <c r="C198" s="120" t="str">
        <f>IF($L198="","",IFERROR(INDEX('MTRs'!$B$6:$B$505,INDEX('RECEBIMENTOS'!$U$6:$U$1005,$L198))&amp;"",""))</f>
        <v/>
      </c>
      <c r="D198" s="120" t="str">
        <f>IF($L198="","",INDEX('RECEBIMENTOS'!$D$6:$D$1005,$L198)&amp;"")</f>
        <v/>
      </c>
      <c r="E198" s="128" t="str">
        <f>IF($L198="","",INDEX('RECEBIMENTOS'!$E$6:$E$1005,$L198))</f>
        <v/>
      </c>
      <c r="F198" s="122" t="str">
        <f>IF($L198="","",INDEX('RECEBIMENTOS'!$H$6:$H$1005,$L198))</f>
        <v/>
      </c>
      <c r="G198" s="120" t="str">
        <f>IF($L198="","",INDEX('RECEBIMENTOS'!$P$6:$P$1005,$L198)&amp;"")</f>
        <v/>
      </c>
      <c r="H198" s="120" t="str">
        <f>IF($L198="","",INDEX('RECEBIMENTOS'!$A$6:$A$1005,$L198)&amp;"")</f>
        <v/>
      </c>
      <c r="L198" t="str">
        <f>IFERROR(MATCH(111,'RECEBIMENTOS'!$AB$6:$AB$1005,0),"")</f>
        <v/>
      </c>
    </row>
    <row r="199">
      <c r="B199" s="119" t="str">
        <f>IF($L199="","",INDEX('RECEBIMENTOS'!$B$6:$B$1005,$L199)&amp;"")</f>
        <v/>
      </c>
      <c r="C199" s="120" t="str">
        <f>IF($L199="","",IFERROR(INDEX('MTRs'!$B$6:$B$505,INDEX('RECEBIMENTOS'!$U$6:$U$1005,$L199))&amp;"",""))</f>
        <v/>
      </c>
      <c r="D199" s="120" t="str">
        <f>IF($L199="","",INDEX('RECEBIMENTOS'!$D$6:$D$1005,$L199)&amp;"")</f>
        <v/>
      </c>
      <c r="E199" s="128" t="str">
        <f>IF($L199="","",INDEX('RECEBIMENTOS'!$E$6:$E$1005,$L199))</f>
        <v/>
      </c>
      <c r="F199" s="122" t="str">
        <f>IF($L199="","",INDEX('RECEBIMENTOS'!$H$6:$H$1005,$L199))</f>
        <v/>
      </c>
      <c r="G199" s="120" t="str">
        <f>IF($L199="","",INDEX('RECEBIMENTOS'!$P$6:$P$1005,$L199)&amp;"")</f>
        <v/>
      </c>
      <c r="H199" s="120" t="str">
        <f>IF($L199="","",INDEX('RECEBIMENTOS'!$A$6:$A$1005,$L199)&amp;"")</f>
        <v/>
      </c>
      <c r="L199" t="str">
        <f>IFERROR(MATCH(112,'RECEBIMENTOS'!$AB$6:$AB$1005,0),"")</f>
        <v/>
      </c>
    </row>
    <row r="200">
      <c r="B200" s="119" t="str">
        <f>IF($L200="","",INDEX('RECEBIMENTOS'!$B$6:$B$1005,$L200)&amp;"")</f>
        <v/>
      </c>
      <c r="C200" s="120" t="str">
        <f>IF($L200="","",IFERROR(INDEX('MTRs'!$B$6:$B$505,INDEX('RECEBIMENTOS'!$U$6:$U$1005,$L200))&amp;"",""))</f>
        <v/>
      </c>
      <c r="D200" s="120" t="str">
        <f>IF($L200="","",INDEX('RECEBIMENTOS'!$D$6:$D$1005,$L200)&amp;"")</f>
        <v/>
      </c>
      <c r="E200" s="128" t="str">
        <f>IF($L200="","",INDEX('RECEBIMENTOS'!$E$6:$E$1005,$L200))</f>
        <v/>
      </c>
      <c r="F200" s="122" t="str">
        <f>IF($L200="","",INDEX('RECEBIMENTOS'!$H$6:$H$1005,$L200))</f>
        <v/>
      </c>
      <c r="G200" s="120" t="str">
        <f>IF($L200="","",INDEX('RECEBIMENTOS'!$P$6:$P$1005,$L200)&amp;"")</f>
        <v/>
      </c>
      <c r="H200" s="120" t="str">
        <f>IF($L200="","",INDEX('RECEBIMENTOS'!$A$6:$A$1005,$L200)&amp;"")</f>
        <v/>
      </c>
      <c r="L200" t="str">
        <f>IFERROR(MATCH(113,'RECEBIMENTOS'!$AB$6:$AB$1005,0),"")</f>
        <v/>
      </c>
    </row>
    <row r="201">
      <c r="B201" s="119" t="str">
        <f>IF($L201="","",INDEX('RECEBIMENTOS'!$B$6:$B$1005,$L201)&amp;"")</f>
        <v/>
      </c>
      <c r="C201" s="120" t="str">
        <f>IF($L201="","",IFERROR(INDEX('MTRs'!$B$6:$B$505,INDEX('RECEBIMENTOS'!$U$6:$U$1005,$L201))&amp;"",""))</f>
        <v/>
      </c>
      <c r="D201" s="120" t="str">
        <f>IF($L201="","",INDEX('RECEBIMENTOS'!$D$6:$D$1005,$L201)&amp;"")</f>
        <v/>
      </c>
      <c r="E201" s="128" t="str">
        <f>IF($L201="","",INDEX('RECEBIMENTOS'!$E$6:$E$1005,$L201))</f>
        <v/>
      </c>
      <c r="F201" s="122" t="str">
        <f>IF($L201="","",INDEX('RECEBIMENTOS'!$H$6:$H$1005,$L201))</f>
        <v/>
      </c>
      <c r="G201" s="120" t="str">
        <f>IF($L201="","",INDEX('RECEBIMENTOS'!$P$6:$P$1005,$L201)&amp;"")</f>
        <v/>
      </c>
      <c r="H201" s="120" t="str">
        <f>IF($L201="","",INDEX('RECEBIMENTOS'!$A$6:$A$1005,$L201)&amp;"")</f>
        <v/>
      </c>
      <c r="L201" t="str">
        <f>IFERROR(MATCH(114,'RECEBIMENTOS'!$AB$6:$AB$1005,0),"")</f>
        <v/>
      </c>
    </row>
    <row r="202">
      <c r="B202" s="119" t="str">
        <f>IF($L202="","",INDEX('RECEBIMENTOS'!$B$6:$B$1005,$L202)&amp;"")</f>
        <v/>
      </c>
      <c r="C202" s="120" t="str">
        <f>IF($L202="","",IFERROR(INDEX('MTRs'!$B$6:$B$505,INDEX('RECEBIMENTOS'!$U$6:$U$1005,$L202))&amp;"",""))</f>
        <v/>
      </c>
      <c r="D202" s="120" t="str">
        <f>IF($L202="","",INDEX('RECEBIMENTOS'!$D$6:$D$1005,$L202)&amp;"")</f>
        <v/>
      </c>
      <c r="E202" s="128" t="str">
        <f>IF($L202="","",INDEX('RECEBIMENTOS'!$E$6:$E$1005,$L202))</f>
        <v/>
      </c>
      <c r="F202" s="122" t="str">
        <f>IF($L202="","",INDEX('RECEBIMENTOS'!$H$6:$H$1005,$L202))</f>
        <v/>
      </c>
      <c r="G202" s="120" t="str">
        <f>IF($L202="","",INDEX('RECEBIMENTOS'!$P$6:$P$1005,$L202)&amp;"")</f>
        <v/>
      </c>
      <c r="H202" s="120" t="str">
        <f>IF($L202="","",INDEX('RECEBIMENTOS'!$A$6:$A$1005,$L202)&amp;"")</f>
        <v/>
      </c>
      <c r="L202" t="str">
        <f>IFERROR(MATCH(115,'RECEBIMENTOS'!$AB$6:$AB$1005,0),"")</f>
        <v/>
      </c>
    </row>
    <row r="203">
      <c r="B203" s="119" t="str">
        <f>IF($L203="","",INDEX('RECEBIMENTOS'!$B$6:$B$1005,$L203)&amp;"")</f>
        <v/>
      </c>
      <c r="C203" s="120" t="str">
        <f>IF($L203="","",IFERROR(INDEX('MTRs'!$B$6:$B$505,INDEX('RECEBIMENTOS'!$U$6:$U$1005,$L203))&amp;"",""))</f>
        <v/>
      </c>
      <c r="D203" s="120" t="str">
        <f>IF($L203="","",INDEX('RECEBIMENTOS'!$D$6:$D$1005,$L203)&amp;"")</f>
        <v/>
      </c>
      <c r="E203" s="128" t="str">
        <f>IF($L203="","",INDEX('RECEBIMENTOS'!$E$6:$E$1005,$L203))</f>
        <v/>
      </c>
      <c r="F203" s="122" t="str">
        <f>IF($L203="","",INDEX('RECEBIMENTOS'!$H$6:$H$1005,$L203))</f>
        <v/>
      </c>
      <c r="G203" s="120" t="str">
        <f>IF($L203="","",INDEX('RECEBIMENTOS'!$P$6:$P$1005,$L203)&amp;"")</f>
        <v/>
      </c>
      <c r="H203" s="120" t="str">
        <f>IF($L203="","",INDEX('RECEBIMENTOS'!$A$6:$A$1005,$L203)&amp;"")</f>
        <v/>
      </c>
      <c r="L203" t="str">
        <f>IFERROR(MATCH(116,'RECEBIMENTOS'!$AB$6:$AB$1005,0),"")</f>
        <v/>
      </c>
    </row>
    <row r="204">
      <c r="B204" s="119" t="str">
        <f>IF($L204="","",INDEX('RECEBIMENTOS'!$B$6:$B$1005,$L204)&amp;"")</f>
        <v/>
      </c>
      <c r="C204" s="120" t="str">
        <f>IF($L204="","",IFERROR(INDEX('MTRs'!$B$6:$B$505,INDEX('RECEBIMENTOS'!$U$6:$U$1005,$L204))&amp;"",""))</f>
        <v/>
      </c>
      <c r="D204" s="120" t="str">
        <f>IF($L204="","",INDEX('RECEBIMENTOS'!$D$6:$D$1005,$L204)&amp;"")</f>
        <v/>
      </c>
      <c r="E204" s="128" t="str">
        <f>IF($L204="","",INDEX('RECEBIMENTOS'!$E$6:$E$1005,$L204))</f>
        <v/>
      </c>
      <c r="F204" s="122" t="str">
        <f>IF($L204="","",INDEX('RECEBIMENTOS'!$H$6:$H$1005,$L204))</f>
        <v/>
      </c>
      <c r="G204" s="120" t="str">
        <f>IF($L204="","",INDEX('RECEBIMENTOS'!$P$6:$P$1005,$L204)&amp;"")</f>
        <v/>
      </c>
      <c r="H204" s="120" t="str">
        <f>IF($L204="","",INDEX('RECEBIMENTOS'!$A$6:$A$1005,$L204)&amp;"")</f>
        <v/>
      </c>
      <c r="L204" t="str">
        <f>IFERROR(MATCH(117,'RECEBIMENTOS'!$AB$6:$AB$1005,0),"")</f>
        <v/>
      </c>
    </row>
    <row r="205">
      <c r="B205" s="119" t="str">
        <f>IF($L205="","",INDEX('RECEBIMENTOS'!$B$6:$B$1005,$L205)&amp;"")</f>
        <v/>
      </c>
      <c r="C205" s="120" t="str">
        <f>IF($L205="","",IFERROR(INDEX('MTRs'!$B$6:$B$505,INDEX('RECEBIMENTOS'!$U$6:$U$1005,$L205))&amp;"",""))</f>
        <v/>
      </c>
      <c r="D205" s="120" t="str">
        <f>IF($L205="","",INDEX('RECEBIMENTOS'!$D$6:$D$1005,$L205)&amp;"")</f>
        <v/>
      </c>
      <c r="E205" s="128" t="str">
        <f>IF($L205="","",INDEX('RECEBIMENTOS'!$E$6:$E$1005,$L205))</f>
        <v/>
      </c>
      <c r="F205" s="122" t="str">
        <f>IF($L205="","",INDEX('RECEBIMENTOS'!$H$6:$H$1005,$L205))</f>
        <v/>
      </c>
      <c r="G205" s="120" t="str">
        <f>IF($L205="","",INDEX('RECEBIMENTOS'!$P$6:$P$1005,$L205)&amp;"")</f>
        <v/>
      </c>
      <c r="H205" s="120" t="str">
        <f>IF($L205="","",INDEX('RECEBIMENTOS'!$A$6:$A$1005,$L205)&amp;"")</f>
        <v/>
      </c>
      <c r="L205" t="str">
        <f>IFERROR(MATCH(118,'RECEBIMENTOS'!$AB$6:$AB$1005,0),"")</f>
        <v/>
      </c>
    </row>
    <row r="206">
      <c r="B206" s="119" t="str">
        <f>IF($L206="","",INDEX('RECEBIMENTOS'!$B$6:$B$1005,$L206)&amp;"")</f>
        <v/>
      </c>
      <c r="C206" s="120" t="str">
        <f>IF($L206="","",IFERROR(INDEX('MTRs'!$B$6:$B$505,INDEX('RECEBIMENTOS'!$U$6:$U$1005,$L206))&amp;"",""))</f>
        <v/>
      </c>
      <c r="D206" s="120" t="str">
        <f>IF($L206="","",INDEX('RECEBIMENTOS'!$D$6:$D$1005,$L206)&amp;"")</f>
        <v/>
      </c>
      <c r="E206" s="128" t="str">
        <f>IF($L206="","",INDEX('RECEBIMENTOS'!$E$6:$E$1005,$L206))</f>
        <v/>
      </c>
      <c r="F206" s="122" t="str">
        <f>IF($L206="","",INDEX('RECEBIMENTOS'!$H$6:$H$1005,$L206))</f>
        <v/>
      </c>
      <c r="G206" s="120" t="str">
        <f>IF($L206="","",INDEX('RECEBIMENTOS'!$P$6:$P$1005,$L206)&amp;"")</f>
        <v/>
      </c>
      <c r="H206" s="120" t="str">
        <f>IF($L206="","",INDEX('RECEBIMENTOS'!$A$6:$A$1005,$L206)&amp;"")</f>
        <v/>
      </c>
      <c r="L206" t="str">
        <f>IFERROR(MATCH(119,'RECEBIMENTOS'!$AB$6:$AB$1005,0),"")</f>
        <v/>
      </c>
    </row>
    <row r="207">
      <c r="B207" s="119" t="str">
        <f>IF($L207="","",INDEX('RECEBIMENTOS'!$B$6:$B$1005,$L207)&amp;"")</f>
        <v/>
      </c>
      <c r="C207" s="120" t="str">
        <f>IF($L207="","",IFERROR(INDEX('MTRs'!$B$6:$B$505,INDEX('RECEBIMENTOS'!$U$6:$U$1005,$L207))&amp;"",""))</f>
        <v/>
      </c>
      <c r="D207" s="120" t="str">
        <f>IF($L207="","",INDEX('RECEBIMENTOS'!$D$6:$D$1005,$L207)&amp;"")</f>
        <v/>
      </c>
      <c r="E207" s="128" t="str">
        <f>IF($L207="","",INDEX('RECEBIMENTOS'!$E$6:$E$1005,$L207))</f>
        <v/>
      </c>
      <c r="F207" s="122" t="str">
        <f>IF($L207="","",INDEX('RECEBIMENTOS'!$H$6:$H$1005,$L207))</f>
        <v/>
      </c>
      <c r="G207" s="120" t="str">
        <f>IF($L207="","",INDEX('RECEBIMENTOS'!$P$6:$P$1005,$L207)&amp;"")</f>
        <v/>
      </c>
      <c r="H207" s="120" t="str">
        <f>IF($L207="","",INDEX('RECEBIMENTOS'!$A$6:$A$1005,$L207)&amp;"")</f>
        <v/>
      </c>
      <c r="L207" t="str">
        <f>IFERROR(MATCH(120,'RECEBIMENTOS'!$AB$6:$AB$1005,0),"")</f>
        <v/>
      </c>
    </row>
    <row r="208">
      <c r="B208" s="119" t="str">
        <f>IF($L208="","",INDEX('RECEBIMENTOS'!$B$6:$B$1005,$L208)&amp;"")</f>
        <v/>
      </c>
      <c r="C208" s="120" t="str">
        <f>IF($L208="","",IFERROR(INDEX('MTRs'!$B$6:$B$505,INDEX('RECEBIMENTOS'!$U$6:$U$1005,$L208))&amp;"",""))</f>
        <v/>
      </c>
      <c r="D208" s="120" t="str">
        <f>IF($L208="","",INDEX('RECEBIMENTOS'!$D$6:$D$1005,$L208)&amp;"")</f>
        <v/>
      </c>
      <c r="E208" s="128" t="str">
        <f>IF($L208="","",INDEX('RECEBIMENTOS'!$E$6:$E$1005,$L208))</f>
        <v/>
      </c>
      <c r="F208" s="122" t="str">
        <f>IF($L208="","",INDEX('RECEBIMENTOS'!$H$6:$H$1005,$L208))</f>
        <v/>
      </c>
      <c r="G208" s="120" t="str">
        <f>IF($L208="","",INDEX('RECEBIMENTOS'!$P$6:$P$1005,$L208)&amp;"")</f>
        <v/>
      </c>
      <c r="H208" s="120" t="str">
        <f>IF($L208="","",INDEX('RECEBIMENTOS'!$A$6:$A$1005,$L208)&amp;"")</f>
        <v/>
      </c>
      <c r="L208" t="str">
        <f>IFERROR(MATCH(121,'RECEBIMENTOS'!$AB$6:$AB$1005,0),"")</f>
        <v/>
      </c>
    </row>
    <row r="209">
      <c r="B209" s="119" t="str">
        <f>IF($L209="","",INDEX('RECEBIMENTOS'!$B$6:$B$1005,$L209)&amp;"")</f>
        <v/>
      </c>
      <c r="C209" s="120" t="str">
        <f>IF($L209="","",IFERROR(INDEX('MTRs'!$B$6:$B$505,INDEX('RECEBIMENTOS'!$U$6:$U$1005,$L209))&amp;"",""))</f>
        <v/>
      </c>
      <c r="D209" s="120" t="str">
        <f>IF($L209="","",INDEX('RECEBIMENTOS'!$D$6:$D$1005,$L209)&amp;"")</f>
        <v/>
      </c>
      <c r="E209" s="128" t="str">
        <f>IF($L209="","",INDEX('RECEBIMENTOS'!$E$6:$E$1005,$L209))</f>
        <v/>
      </c>
      <c r="F209" s="122" t="str">
        <f>IF($L209="","",INDEX('RECEBIMENTOS'!$H$6:$H$1005,$L209))</f>
        <v/>
      </c>
      <c r="G209" s="120" t="str">
        <f>IF($L209="","",INDEX('RECEBIMENTOS'!$P$6:$P$1005,$L209)&amp;"")</f>
        <v/>
      </c>
      <c r="H209" s="120" t="str">
        <f>IF($L209="","",INDEX('RECEBIMENTOS'!$A$6:$A$1005,$L209)&amp;"")</f>
        <v/>
      </c>
      <c r="L209" t="str">
        <f>IFERROR(MATCH(122,'RECEBIMENTOS'!$AB$6:$AB$1005,0),"")</f>
        <v/>
      </c>
    </row>
    <row r="210">
      <c r="B210" s="119" t="str">
        <f>IF($L210="","",INDEX('RECEBIMENTOS'!$B$6:$B$1005,$L210)&amp;"")</f>
        <v/>
      </c>
      <c r="C210" s="120" t="str">
        <f>IF($L210="","",IFERROR(INDEX('MTRs'!$B$6:$B$505,INDEX('RECEBIMENTOS'!$U$6:$U$1005,$L210))&amp;"",""))</f>
        <v/>
      </c>
      <c r="D210" s="120" t="str">
        <f>IF($L210="","",INDEX('RECEBIMENTOS'!$D$6:$D$1005,$L210)&amp;"")</f>
        <v/>
      </c>
      <c r="E210" s="128" t="str">
        <f>IF($L210="","",INDEX('RECEBIMENTOS'!$E$6:$E$1005,$L210))</f>
        <v/>
      </c>
      <c r="F210" s="122" t="str">
        <f>IF($L210="","",INDEX('RECEBIMENTOS'!$H$6:$H$1005,$L210))</f>
        <v/>
      </c>
      <c r="G210" s="120" t="str">
        <f>IF($L210="","",INDEX('RECEBIMENTOS'!$P$6:$P$1005,$L210)&amp;"")</f>
        <v/>
      </c>
      <c r="H210" s="120" t="str">
        <f>IF($L210="","",INDEX('RECEBIMENTOS'!$A$6:$A$1005,$L210)&amp;"")</f>
        <v/>
      </c>
      <c r="L210" t="str">
        <f>IFERROR(MATCH(123,'RECEBIMENTOS'!$AB$6:$AB$1005,0),"")</f>
        <v/>
      </c>
    </row>
    <row r="211">
      <c r="B211" s="119" t="str">
        <f>IF($L211="","",INDEX('RECEBIMENTOS'!$B$6:$B$1005,$L211)&amp;"")</f>
        <v/>
      </c>
      <c r="C211" s="120" t="str">
        <f>IF($L211="","",IFERROR(INDEX('MTRs'!$B$6:$B$505,INDEX('RECEBIMENTOS'!$U$6:$U$1005,$L211))&amp;"",""))</f>
        <v/>
      </c>
      <c r="D211" s="120" t="str">
        <f>IF($L211="","",INDEX('RECEBIMENTOS'!$D$6:$D$1005,$L211)&amp;"")</f>
        <v/>
      </c>
      <c r="E211" s="128" t="str">
        <f>IF($L211="","",INDEX('RECEBIMENTOS'!$E$6:$E$1005,$L211))</f>
        <v/>
      </c>
      <c r="F211" s="122" t="str">
        <f>IF($L211="","",INDEX('RECEBIMENTOS'!$H$6:$H$1005,$L211))</f>
        <v/>
      </c>
      <c r="G211" s="120" t="str">
        <f>IF($L211="","",INDEX('RECEBIMENTOS'!$P$6:$P$1005,$L211)&amp;"")</f>
        <v/>
      </c>
      <c r="H211" s="120" t="str">
        <f>IF($L211="","",INDEX('RECEBIMENTOS'!$A$6:$A$1005,$L211)&amp;"")</f>
        <v/>
      </c>
      <c r="L211" t="str">
        <f>IFERROR(MATCH(124,'RECEBIMENTOS'!$AB$6:$AB$1005,0),"")</f>
        <v/>
      </c>
    </row>
    <row r="212">
      <c r="B212" s="119" t="str">
        <f>IF($L212="","",INDEX('RECEBIMENTOS'!$B$6:$B$1005,$L212)&amp;"")</f>
        <v/>
      </c>
      <c r="C212" s="120" t="str">
        <f>IF($L212="","",IFERROR(INDEX('MTRs'!$B$6:$B$505,INDEX('RECEBIMENTOS'!$U$6:$U$1005,$L212))&amp;"",""))</f>
        <v/>
      </c>
      <c r="D212" s="120" t="str">
        <f>IF($L212="","",INDEX('RECEBIMENTOS'!$D$6:$D$1005,$L212)&amp;"")</f>
        <v/>
      </c>
      <c r="E212" s="128" t="str">
        <f>IF($L212="","",INDEX('RECEBIMENTOS'!$E$6:$E$1005,$L212))</f>
        <v/>
      </c>
      <c r="F212" s="122" t="str">
        <f>IF($L212="","",INDEX('RECEBIMENTOS'!$H$6:$H$1005,$L212))</f>
        <v/>
      </c>
      <c r="G212" s="120" t="str">
        <f>IF($L212="","",INDEX('RECEBIMENTOS'!$P$6:$P$1005,$L212)&amp;"")</f>
        <v/>
      </c>
      <c r="H212" s="120" t="str">
        <f>IF($L212="","",INDEX('RECEBIMENTOS'!$A$6:$A$1005,$L212)&amp;"")</f>
        <v/>
      </c>
      <c r="L212" t="str">
        <f>IFERROR(MATCH(125,'RECEBIMENTOS'!$AB$6:$AB$1005,0),"")</f>
        <v/>
      </c>
    </row>
    <row r="213">
      <c r="B213" s="119" t="str">
        <f>IF($L213="","",INDEX('RECEBIMENTOS'!$B$6:$B$1005,$L213)&amp;"")</f>
        <v/>
      </c>
      <c r="C213" s="120" t="str">
        <f>IF($L213="","",IFERROR(INDEX('MTRs'!$B$6:$B$505,INDEX('RECEBIMENTOS'!$U$6:$U$1005,$L213))&amp;"",""))</f>
        <v/>
      </c>
      <c r="D213" s="120" t="str">
        <f>IF($L213="","",INDEX('RECEBIMENTOS'!$D$6:$D$1005,$L213)&amp;"")</f>
        <v/>
      </c>
      <c r="E213" s="128" t="str">
        <f>IF($L213="","",INDEX('RECEBIMENTOS'!$E$6:$E$1005,$L213))</f>
        <v/>
      </c>
      <c r="F213" s="122" t="str">
        <f>IF($L213="","",INDEX('RECEBIMENTOS'!$H$6:$H$1005,$L213))</f>
        <v/>
      </c>
      <c r="G213" s="120" t="str">
        <f>IF($L213="","",INDEX('RECEBIMENTOS'!$P$6:$P$1005,$L213)&amp;"")</f>
        <v/>
      </c>
      <c r="H213" s="120" t="str">
        <f>IF($L213="","",INDEX('RECEBIMENTOS'!$A$6:$A$1005,$L213)&amp;"")</f>
        <v/>
      </c>
      <c r="L213" t="str">
        <f>IFERROR(MATCH(126,'RECEBIMENTOS'!$AB$6:$AB$1005,0),"")</f>
        <v/>
      </c>
    </row>
    <row r="214">
      <c r="B214" s="119" t="str">
        <f>IF($L214="","",INDEX('RECEBIMENTOS'!$B$6:$B$1005,$L214)&amp;"")</f>
        <v/>
      </c>
      <c r="C214" s="120" t="str">
        <f>IF($L214="","",IFERROR(INDEX('MTRs'!$B$6:$B$505,INDEX('RECEBIMENTOS'!$U$6:$U$1005,$L214))&amp;"",""))</f>
        <v/>
      </c>
      <c r="D214" s="120" t="str">
        <f>IF($L214="","",INDEX('RECEBIMENTOS'!$D$6:$D$1005,$L214)&amp;"")</f>
        <v/>
      </c>
      <c r="E214" s="128" t="str">
        <f>IF($L214="","",INDEX('RECEBIMENTOS'!$E$6:$E$1005,$L214))</f>
        <v/>
      </c>
      <c r="F214" s="122" t="str">
        <f>IF($L214="","",INDEX('RECEBIMENTOS'!$H$6:$H$1005,$L214))</f>
        <v/>
      </c>
      <c r="G214" s="120" t="str">
        <f>IF($L214="","",INDEX('RECEBIMENTOS'!$P$6:$P$1005,$L214)&amp;"")</f>
        <v/>
      </c>
      <c r="H214" s="120" t="str">
        <f>IF($L214="","",INDEX('RECEBIMENTOS'!$A$6:$A$1005,$L214)&amp;"")</f>
        <v/>
      </c>
      <c r="L214" t="str">
        <f>IFERROR(MATCH(127,'RECEBIMENTOS'!$AB$6:$AB$1005,0),"")</f>
        <v/>
      </c>
    </row>
    <row r="215">
      <c r="B215" s="119" t="str">
        <f>IF($L215="","",INDEX('RECEBIMENTOS'!$B$6:$B$1005,$L215)&amp;"")</f>
        <v/>
      </c>
      <c r="C215" s="120" t="str">
        <f>IF($L215="","",IFERROR(INDEX('MTRs'!$B$6:$B$505,INDEX('RECEBIMENTOS'!$U$6:$U$1005,$L215))&amp;"",""))</f>
        <v/>
      </c>
      <c r="D215" s="120" t="str">
        <f>IF($L215="","",INDEX('RECEBIMENTOS'!$D$6:$D$1005,$L215)&amp;"")</f>
        <v/>
      </c>
      <c r="E215" s="128" t="str">
        <f>IF($L215="","",INDEX('RECEBIMENTOS'!$E$6:$E$1005,$L215))</f>
        <v/>
      </c>
      <c r="F215" s="122" t="str">
        <f>IF($L215="","",INDEX('RECEBIMENTOS'!$H$6:$H$1005,$L215))</f>
        <v/>
      </c>
      <c r="G215" s="120" t="str">
        <f>IF($L215="","",INDEX('RECEBIMENTOS'!$P$6:$P$1005,$L215)&amp;"")</f>
        <v/>
      </c>
      <c r="H215" s="120" t="str">
        <f>IF($L215="","",INDEX('RECEBIMENTOS'!$A$6:$A$1005,$L215)&amp;"")</f>
        <v/>
      </c>
      <c r="L215" t="str">
        <f>IFERROR(MATCH(128,'RECEBIMENTOS'!$AB$6:$AB$1005,0),"")</f>
        <v/>
      </c>
    </row>
    <row r="216">
      <c r="B216" s="119" t="str">
        <f>IF($L216="","",INDEX('RECEBIMENTOS'!$B$6:$B$1005,$L216)&amp;"")</f>
        <v/>
      </c>
      <c r="C216" s="120" t="str">
        <f>IF($L216="","",IFERROR(INDEX('MTRs'!$B$6:$B$505,INDEX('RECEBIMENTOS'!$U$6:$U$1005,$L216))&amp;"",""))</f>
        <v/>
      </c>
      <c r="D216" s="120" t="str">
        <f>IF($L216="","",INDEX('RECEBIMENTOS'!$D$6:$D$1005,$L216)&amp;"")</f>
        <v/>
      </c>
      <c r="E216" s="128" t="str">
        <f>IF($L216="","",INDEX('RECEBIMENTOS'!$E$6:$E$1005,$L216))</f>
        <v/>
      </c>
      <c r="F216" s="122" t="str">
        <f>IF($L216="","",INDEX('RECEBIMENTOS'!$H$6:$H$1005,$L216))</f>
        <v/>
      </c>
      <c r="G216" s="120" t="str">
        <f>IF($L216="","",INDEX('RECEBIMENTOS'!$P$6:$P$1005,$L216)&amp;"")</f>
        <v/>
      </c>
      <c r="H216" s="120" t="str">
        <f>IF($L216="","",INDEX('RECEBIMENTOS'!$A$6:$A$1005,$L216)&amp;"")</f>
        <v/>
      </c>
      <c r="L216" t="str">
        <f>IFERROR(MATCH(129,'RECEBIMENTOS'!$AB$6:$AB$1005,0),"")</f>
        <v/>
      </c>
    </row>
    <row r="217">
      <c r="B217" s="119" t="str">
        <f>IF($L217="","",INDEX('RECEBIMENTOS'!$B$6:$B$1005,$L217)&amp;"")</f>
        <v/>
      </c>
      <c r="C217" s="120" t="str">
        <f>IF($L217="","",IFERROR(INDEX('MTRs'!$B$6:$B$505,INDEX('RECEBIMENTOS'!$U$6:$U$1005,$L217))&amp;"",""))</f>
        <v/>
      </c>
      <c r="D217" s="120" t="str">
        <f>IF($L217="","",INDEX('RECEBIMENTOS'!$D$6:$D$1005,$L217)&amp;"")</f>
        <v/>
      </c>
      <c r="E217" s="128" t="str">
        <f>IF($L217="","",INDEX('RECEBIMENTOS'!$E$6:$E$1005,$L217))</f>
        <v/>
      </c>
      <c r="F217" s="122" t="str">
        <f>IF($L217="","",INDEX('RECEBIMENTOS'!$H$6:$H$1005,$L217))</f>
        <v/>
      </c>
      <c r="G217" s="120" t="str">
        <f>IF($L217="","",INDEX('RECEBIMENTOS'!$P$6:$P$1005,$L217)&amp;"")</f>
        <v/>
      </c>
      <c r="H217" s="120" t="str">
        <f>IF($L217="","",INDEX('RECEBIMENTOS'!$A$6:$A$1005,$L217)&amp;"")</f>
        <v/>
      </c>
      <c r="L217" t="str">
        <f>IFERROR(MATCH(130,'RECEBIMENTOS'!$AB$6:$AB$1005,0),"")</f>
        <v/>
      </c>
    </row>
    <row r="218">
      <c r="B218" s="119" t="str">
        <f>IF($L218="","",INDEX('RECEBIMENTOS'!$B$6:$B$1005,$L218)&amp;"")</f>
        <v/>
      </c>
      <c r="C218" s="120" t="str">
        <f>IF($L218="","",IFERROR(INDEX('MTRs'!$B$6:$B$505,INDEX('RECEBIMENTOS'!$U$6:$U$1005,$L218))&amp;"",""))</f>
        <v/>
      </c>
      <c r="D218" s="120" t="str">
        <f>IF($L218="","",INDEX('RECEBIMENTOS'!$D$6:$D$1005,$L218)&amp;"")</f>
        <v/>
      </c>
      <c r="E218" s="128" t="str">
        <f>IF($L218="","",INDEX('RECEBIMENTOS'!$E$6:$E$1005,$L218))</f>
        <v/>
      </c>
      <c r="F218" s="122" t="str">
        <f>IF($L218="","",INDEX('RECEBIMENTOS'!$H$6:$H$1005,$L218))</f>
        <v/>
      </c>
      <c r="G218" s="120" t="str">
        <f>IF($L218="","",INDEX('RECEBIMENTOS'!$P$6:$P$1005,$L218)&amp;"")</f>
        <v/>
      </c>
      <c r="H218" s="120" t="str">
        <f>IF($L218="","",INDEX('RECEBIMENTOS'!$A$6:$A$1005,$L218)&amp;"")</f>
        <v/>
      </c>
      <c r="L218" t="str">
        <f>IFERROR(MATCH(131,'RECEBIMENTOS'!$AB$6:$AB$1005,0),"")</f>
        <v/>
      </c>
    </row>
    <row r="219">
      <c r="B219" s="119" t="str">
        <f>IF($L219="","",INDEX('RECEBIMENTOS'!$B$6:$B$1005,$L219)&amp;"")</f>
        <v/>
      </c>
      <c r="C219" s="120" t="str">
        <f>IF($L219="","",IFERROR(INDEX('MTRs'!$B$6:$B$505,INDEX('RECEBIMENTOS'!$U$6:$U$1005,$L219))&amp;"",""))</f>
        <v/>
      </c>
      <c r="D219" s="120" t="str">
        <f>IF($L219="","",INDEX('RECEBIMENTOS'!$D$6:$D$1005,$L219)&amp;"")</f>
        <v/>
      </c>
      <c r="E219" s="128" t="str">
        <f>IF($L219="","",INDEX('RECEBIMENTOS'!$E$6:$E$1005,$L219))</f>
        <v/>
      </c>
      <c r="F219" s="122" t="str">
        <f>IF($L219="","",INDEX('RECEBIMENTOS'!$H$6:$H$1005,$L219))</f>
        <v/>
      </c>
      <c r="G219" s="120" t="str">
        <f>IF($L219="","",INDEX('RECEBIMENTOS'!$P$6:$P$1005,$L219)&amp;"")</f>
        <v/>
      </c>
      <c r="H219" s="120" t="str">
        <f>IF($L219="","",INDEX('RECEBIMENTOS'!$A$6:$A$1005,$L219)&amp;"")</f>
        <v/>
      </c>
      <c r="L219" t="str">
        <f>IFERROR(MATCH(132,'RECEBIMENTOS'!$AB$6:$AB$1005,0),"")</f>
        <v/>
      </c>
    </row>
    <row r="220">
      <c r="B220" s="119" t="str">
        <f>IF($L220="","",INDEX('RECEBIMENTOS'!$B$6:$B$1005,$L220)&amp;"")</f>
        <v/>
      </c>
      <c r="C220" s="120" t="str">
        <f>IF($L220="","",IFERROR(INDEX('MTRs'!$B$6:$B$505,INDEX('RECEBIMENTOS'!$U$6:$U$1005,$L220))&amp;"",""))</f>
        <v/>
      </c>
      <c r="D220" s="120" t="str">
        <f>IF($L220="","",INDEX('RECEBIMENTOS'!$D$6:$D$1005,$L220)&amp;"")</f>
        <v/>
      </c>
      <c r="E220" s="128" t="str">
        <f>IF($L220="","",INDEX('RECEBIMENTOS'!$E$6:$E$1005,$L220))</f>
        <v/>
      </c>
      <c r="F220" s="122" t="str">
        <f>IF($L220="","",INDEX('RECEBIMENTOS'!$H$6:$H$1005,$L220))</f>
        <v/>
      </c>
      <c r="G220" s="120" t="str">
        <f>IF($L220="","",INDEX('RECEBIMENTOS'!$P$6:$P$1005,$L220)&amp;"")</f>
        <v/>
      </c>
      <c r="H220" s="120" t="str">
        <f>IF($L220="","",INDEX('RECEBIMENTOS'!$A$6:$A$1005,$L220)&amp;"")</f>
        <v/>
      </c>
      <c r="L220" t="str">
        <f>IFERROR(MATCH(133,'RECEBIMENTOS'!$AB$6:$AB$1005,0),"")</f>
        <v/>
      </c>
    </row>
    <row r="221">
      <c r="B221" s="119" t="str">
        <f>IF($L221="","",INDEX('RECEBIMENTOS'!$B$6:$B$1005,$L221)&amp;"")</f>
        <v/>
      </c>
      <c r="C221" s="120" t="str">
        <f>IF($L221="","",IFERROR(INDEX('MTRs'!$B$6:$B$505,INDEX('RECEBIMENTOS'!$U$6:$U$1005,$L221))&amp;"",""))</f>
        <v/>
      </c>
      <c r="D221" s="120" t="str">
        <f>IF($L221="","",INDEX('RECEBIMENTOS'!$D$6:$D$1005,$L221)&amp;"")</f>
        <v/>
      </c>
      <c r="E221" s="128" t="str">
        <f>IF($L221="","",INDEX('RECEBIMENTOS'!$E$6:$E$1005,$L221))</f>
        <v/>
      </c>
      <c r="F221" s="122" t="str">
        <f>IF($L221="","",INDEX('RECEBIMENTOS'!$H$6:$H$1005,$L221))</f>
        <v/>
      </c>
      <c r="G221" s="120" t="str">
        <f>IF($L221="","",INDEX('RECEBIMENTOS'!$P$6:$P$1005,$L221)&amp;"")</f>
        <v/>
      </c>
      <c r="H221" s="120" t="str">
        <f>IF($L221="","",INDEX('RECEBIMENTOS'!$A$6:$A$1005,$L221)&amp;"")</f>
        <v/>
      </c>
      <c r="L221" t="str">
        <f>IFERROR(MATCH(134,'RECEBIMENTOS'!$AB$6:$AB$1005,0),"")</f>
        <v/>
      </c>
    </row>
    <row r="222">
      <c r="B222" s="119" t="str">
        <f>IF($L222="","",INDEX('RECEBIMENTOS'!$B$6:$B$1005,$L222)&amp;"")</f>
        <v/>
      </c>
      <c r="C222" s="120" t="str">
        <f>IF($L222="","",IFERROR(INDEX('MTRs'!$B$6:$B$505,INDEX('RECEBIMENTOS'!$U$6:$U$1005,$L222))&amp;"",""))</f>
        <v/>
      </c>
      <c r="D222" s="120" t="str">
        <f>IF($L222="","",INDEX('RECEBIMENTOS'!$D$6:$D$1005,$L222)&amp;"")</f>
        <v/>
      </c>
      <c r="E222" s="128" t="str">
        <f>IF($L222="","",INDEX('RECEBIMENTOS'!$E$6:$E$1005,$L222))</f>
        <v/>
      </c>
      <c r="F222" s="122" t="str">
        <f>IF($L222="","",INDEX('RECEBIMENTOS'!$H$6:$H$1005,$L222))</f>
        <v/>
      </c>
      <c r="G222" s="120" t="str">
        <f>IF($L222="","",INDEX('RECEBIMENTOS'!$P$6:$P$1005,$L222)&amp;"")</f>
        <v/>
      </c>
      <c r="H222" s="120" t="str">
        <f>IF($L222="","",INDEX('RECEBIMENTOS'!$A$6:$A$1005,$L222)&amp;"")</f>
        <v/>
      </c>
      <c r="L222" t="str">
        <f>IFERROR(MATCH(135,'RECEBIMENTOS'!$AB$6:$AB$1005,0),"")</f>
        <v/>
      </c>
    </row>
    <row r="223">
      <c r="B223" s="119" t="str">
        <f>IF($L223="","",INDEX('RECEBIMENTOS'!$B$6:$B$1005,$L223)&amp;"")</f>
        <v/>
      </c>
      <c r="C223" s="120" t="str">
        <f>IF($L223="","",IFERROR(INDEX('MTRs'!$B$6:$B$505,INDEX('RECEBIMENTOS'!$U$6:$U$1005,$L223))&amp;"",""))</f>
        <v/>
      </c>
      <c r="D223" s="120" t="str">
        <f>IF($L223="","",INDEX('RECEBIMENTOS'!$D$6:$D$1005,$L223)&amp;"")</f>
        <v/>
      </c>
      <c r="E223" s="128" t="str">
        <f>IF($L223="","",INDEX('RECEBIMENTOS'!$E$6:$E$1005,$L223))</f>
        <v/>
      </c>
      <c r="F223" s="122" t="str">
        <f>IF($L223="","",INDEX('RECEBIMENTOS'!$H$6:$H$1005,$L223))</f>
        <v/>
      </c>
      <c r="G223" s="120" t="str">
        <f>IF($L223="","",INDEX('RECEBIMENTOS'!$P$6:$P$1005,$L223)&amp;"")</f>
        <v/>
      </c>
      <c r="H223" s="120" t="str">
        <f>IF($L223="","",INDEX('RECEBIMENTOS'!$A$6:$A$1005,$L223)&amp;"")</f>
        <v/>
      </c>
      <c r="L223" t="str">
        <f>IFERROR(MATCH(136,'RECEBIMENTOS'!$AB$6:$AB$1005,0),"")</f>
        <v/>
      </c>
    </row>
    <row r="224">
      <c r="B224" s="119" t="str">
        <f>IF($L224="","",INDEX('RECEBIMENTOS'!$B$6:$B$1005,$L224)&amp;"")</f>
        <v/>
      </c>
      <c r="C224" s="120" t="str">
        <f>IF($L224="","",IFERROR(INDEX('MTRs'!$B$6:$B$505,INDEX('RECEBIMENTOS'!$U$6:$U$1005,$L224))&amp;"",""))</f>
        <v/>
      </c>
      <c r="D224" s="120" t="str">
        <f>IF($L224="","",INDEX('RECEBIMENTOS'!$D$6:$D$1005,$L224)&amp;"")</f>
        <v/>
      </c>
      <c r="E224" s="128" t="str">
        <f>IF($L224="","",INDEX('RECEBIMENTOS'!$E$6:$E$1005,$L224))</f>
        <v/>
      </c>
      <c r="F224" s="122" t="str">
        <f>IF($L224="","",INDEX('RECEBIMENTOS'!$H$6:$H$1005,$L224))</f>
        <v/>
      </c>
      <c r="G224" s="120" t="str">
        <f>IF($L224="","",INDEX('RECEBIMENTOS'!$P$6:$P$1005,$L224)&amp;"")</f>
        <v/>
      </c>
      <c r="H224" s="120" t="str">
        <f>IF($L224="","",INDEX('RECEBIMENTOS'!$A$6:$A$1005,$L224)&amp;"")</f>
        <v/>
      </c>
      <c r="L224" t="str">
        <f>IFERROR(MATCH(137,'RECEBIMENTOS'!$AB$6:$AB$1005,0),"")</f>
        <v/>
      </c>
    </row>
    <row r="225">
      <c r="B225" s="119" t="str">
        <f>IF($L225="","",INDEX('RECEBIMENTOS'!$B$6:$B$1005,$L225)&amp;"")</f>
        <v/>
      </c>
      <c r="C225" s="120" t="str">
        <f>IF($L225="","",IFERROR(INDEX('MTRs'!$B$6:$B$505,INDEX('RECEBIMENTOS'!$U$6:$U$1005,$L225))&amp;"",""))</f>
        <v/>
      </c>
      <c r="D225" s="120" t="str">
        <f>IF($L225="","",INDEX('RECEBIMENTOS'!$D$6:$D$1005,$L225)&amp;"")</f>
        <v/>
      </c>
      <c r="E225" s="128" t="str">
        <f>IF($L225="","",INDEX('RECEBIMENTOS'!$E$6:$E$1005,$L225))</f>
        <v/>
      </c>
      <c r="F225" s="122" t="str">
        <f>IF($L225="","",INDEX('RECEBIMENTOS'!$H$6:$H$1005,$L225))</f>
        <v/>
      </c>
      <c r="G225" s="120" t="str">
        <f>IF($L225="","",INDEX('RECEBIMENTOS'!$P$6:$P$1005,$L225)&amp;"")</f>
        <v/>
      </c>
      <c r="H225" s="120" t="str">
        <f>IF($L225="","",INDEX('RECEBIMENTOS'!$A$6:$A$1005,$L225)&amp;"")</f>
        <v/>
      </c>
      <c r="L225" t="str">
        <f>IFERROR(MATCH(138,'RECEBIMENTOS'!$AB$6:$AB$1005,0),"")</f>
        <v/>
      </c>
    </row>
    <row r="226">
      <c r="B226" s="119" t="str">
        <f>IF($L226="","",INDEX('RECEBIMENTOS'!$B$6:$B$1005,$L226)&amp;"")</f>
        <v/>
      </c>
      <c r="C226" s="120" t="str">
        <f>IF($L226="","",IFERROR(INDEX('MTRs'!$B$6:$B$505,INDEX('RECEBIMENTOS'!$U$6:$U$1005,$L226))&amp;"",""))</f>
        <v/>
      </c>
      <c r="D226" s="120" t="str">
        <f>IF($L226="","",INDEX('RECEBIMENTOS'!$D$6:$D$1005,$L226)&amp;"")</f>
        <v/>
      </c>
      <c r="E226" s="128" t="str">
        <f>IF($L226="","",INDEX('RECEBIMENTOS'!$E$6:$E$1005,$L226))</f>
        <v/>
      </c>
      <c r="F226" s="122" t="str">
        <f>IF($L226="","",INDEX('RECEBIMENTOS'!$H$6:$H$1005,$L226))</f>
        <v/>
      </c>
      <c r="G226" s="120" t="str">
        <f>IF($L226="","",INDEX('RECEBIMENTOS'!$P$6:$P$1005,$L226)&amp;"")</f>
        <v/>
      </c>
      <c r="H226" s="120" t="str">
        <f>IF($L226="","",INDEX('RECEBIMENTOS'!$A$6:$A$1005,$L226)&amp;"")</f>
        <v/>
      </c>
      <c r="L226" t="str">
        <f>IFERROR(MATCH(139,'RECEBIMENTOS'!$AB$6:$AB$1005,0),"")</f>
        <v/>
      </c>
    </row>
    <row r="227">
      <c r="B227" s="119" t="str">
        <f>IF($L227="","",INDEX('RECEBIMENTOS'!$B$6:$B$1005,$L227)&amp;"")</f>
        <v/>
      </c>
      <c r="C227" s="120" t="str">
        <f>IF($L227="","",IFERROR(INDEX('MTRs'!$B$6:$B$505,INDEX('RECEBIMENTOS'!$U$6:$U$1005,$L227))&amp;"",""))</f>
        <v/>
      </c>
      <c r="D227" s="120" t="str">
        <f>IF($L227="","",INDEX('RECEBIMENTOS'!$D$6:$D$1005,$L227)&amp;"")</f>
        <v/>
      </c>
      <c r="E227" s="128" t="str">
        <f>IF($L227="","",INDEX('RECEBIMENTOS'!$E$6:$E$1005,$L227))</f>
        <v/>
      </c>
      <c r="F227" s="122" t="str">
        <f>IF($L227="","",INDEX('RECEBIMENTOS'!$H$6:$H$1005,$L227))</f>
        <v/>
      </c>
      <c r="G227" s="120" t="str">
        <f>IF($L227="","",INDEX('RECEBIMENTOS'!$P$6:$P$1005,$L227)&amp;"")</f>
        <v/>
      </c>
      <c r="H227" s="120" t="str">
        <f>IF($L227="","",INDEX('RECEBIMENTOS'!$A$6:$A$1005,$L227)&amp;"")</f>
        <v/>
      </c>
      <c r="L227" t="str">
        <f>IFERROR(MATCH(140,'RECEBIMENTOS'!$AB$6:$AB$1005,0),"")</f>
        <v/>
      </c>
    </row>
    <row r="228">
      <c r="B228" s="119" t="str">
        <f>IF($L228="","",INDEX('RECEBIMENTOS'!$B$6:$B$1005,$L228)&amp;"")</f>
        <v/>
      </c>
      <c r="C228" s="120" t="str">
        <f>IF($L228="","",IFERROR(INDEX('MTRs'!$B$6:$B$505,INDEX('RECEBIMENTOS'!$U$6:$U$1005,$L228))&amp;"",""))</f>
        <v/>
      </c>
      <c r="D228" s="120" t="str">
        <f>IF($L228="","",INDEX('RECEBIMENTOS'!$D$6:$D$1005,$L228)&amp;"")</f>
        <v/>
      </c>
      <c r="E228" s="128" t="str">
        <f>IF($L228="","",INDEX('RECEBIMENTOS'!$E$6:$E$1005,$L228))</f>
        <v/>
      </c>
      <c r="F228" s="122" t="str">
        <f>IF($L228="","",INDEX('RECEBIMENTOS'!$H$6:$H$1005,$L228))</f>
        <v/>
      </c>
      <c r="G228" s="120" t="str">
        <f>IF($L228="","",INDEX('RECEBIMENTOS'!$P$6:$P$1005,$L228)&amp;"")</f>
        <v/>
      </c>
      <c r="H228" s="120" t="str">
        <f>IF($L228="","",INDEX('RECEBIMENTOS'!$A$6:$A$1005,$L228)&amp;"")</f>
        <v/>
      </c>
      <c r="L228" t="str">
        <f>IFERROR(MATCH(141,'RECEBIMENTOS'!$AB$6:$AB$1005,0),"")</f>
        <v/>
      </c>
    </row>
    <row r="229">
      <c r="B229" s="119" t="str">
        <f>IF($L229="","",INDEX('RECEBIMENTOS'!$B$6:$B$1005,$L229)&amp;"")</f>
        <v/>
      </c>
      <c r="C229" s="120" t="str">
        <f>IF($L229="","",IFERROR(INDEX('MTRs'!$B$6:$B$505,INDEX('RECEBIMENTOS'!$U$6:$U$1005,$L229))&amp;"",""))</f>
        <v/>
      </c>
      <c r="D229" s="120" t="str">
        <f>IF($L229="","",INDEX('RECEBIMENTOS'!$D$6:$D$1005,$L229)&amp;"")</f>
        <v/>
      </c>
      <c r="E229" s="128" t="str">
        <f>IF($L229="","",INDEX('RECEBIMENTOS'!$E$6:$E$1005,$L229))</f>
        <v/>
      </c>
      <c r="F229" s="122" t="str">
        <f>IF($L229="","",INDEX('RECEBIMENTOS'!$H$6:$H$1005,$L229))</f>
        <v/>
      </c>
      <c r="G229" s="120" t="str">
        <f>IF($L229="","",INDEX('RECEBIMENTOS'!$P$6:$P$1005,$L229)&amp;"")</f>
        <v/>
      </c>
      <c r="H229" s="120" t="str">
        <f>IF($L229="","",INDEX('RECEBIMENTOS'!$A$6:$A$1005,$L229)&amp;"")</f>
        <v/>
      </c>
      <c r="L229" t="str">
        <f>IFERROR(MATCH(142,'RECEBIMENTOS'!$AB$6:$AB$1005,0),"")</f>
        <v/>
      </c>
    </row>
    <row r="230">
      <c r="B230" s="119" t="str">
        <f>IF($L230="","",INDEX('RECEBIMENTOS'!$B$6:$B$1005,$L230)&amp;"")</f>
        <v/>
      </c>
      <c r="C230" s="120" t="str">
        <f>IF($L230="","",IFERROR(INDEX('MTRs'!$B$6:$B$505,INDEX('RECEBIMENTOS'!$U$6:$U$1005,$L230))&amp;"",""))</f>
        <v/>
      </c>
      <c r="D230" s="120" t="str">
        <f>IF($L230="","",INDEX('RECEBIMENTOS'!$D$6:$D$1005,$L230)&amp;"")</f>
        <v/>
      </c>
      <c r="E230" s="128" t="str">
        <f>IF($L230="","",INDEX('RECEBIMENTOS'!$E$6:$E$1005,$L230))</f>
        <v/>
      </c>
      <c r="F230" s="122" t="str">
        <f>IF($L230="","",INDEX('RECEBIMENTOS'!$H$6:$H$1005,$L230))</f>
        <v/>
      </c>
      <c r="G230" s="120" t="str">
        <f>IF($L230="","",INDEX('RECEBIMENTOS'!$P$6:$P$1005,$L230)&amp;"")</f>
        <v/>
      </c>
      <c r="H230" s="120" t="str">
        <f>IF($L230="","",INDEX('RECEBIMENTOS'!$A$6:$A$1005,$L230)&amp;"")</f>
        <v/>
      </c>
      <c r="L230" t="str">
        <f>IFERROR(MATCH(143,'RECEBIMENTOS'!$AB$6:$AB$1005,0),"")</f>
        <v/>
      </c>
    </row>
    <row r="231">
      <c r="B231" s="119" t="str">
        <f>IF($L231="","",INDEX('RECEBIMENTOS'!$B$6:$B$1005,$L231)&amp;"")</f>
        <v/>
      </c>
      <c r="C231" s="120" t="str">
        <f>IF($L231="","",IFERROR(INDEX('MTRs'!$B$6:$B$505,INDEX('RECEBIMENTOS'!$U$6:$U$1005,$L231))&amp;"",""))</f>
        <v/>
      </c>
      <c r="D231" s="120" t="str">
        <f>IF($L231="","",INDEX('RECEBIMENTOS'!$D$6:$D$1005,$L231)&amp;"")</f>
        <v/>
      </c>
      <c r="E231" s="128" t="str">
        <f>IF($L231="","",INDEX('RECEBIMENTOS'!$E$6:$E$1005,$L231))</f>
        <v/>
      </c>
      <c r="F231" s="122" t="str">
        <f>IF($L231="","",INDEX('RECEBIMENTOS'!$H$6:$H$1005,$L231))</f>
        <v/>
      </c>
      <c r="G231" s="120" t="str">
        <f>IF($L231="","",INDEX('RECEBIMENTOS'!$P$6:$P$1005,$L231)&amp;"")</f>
        <v/>
      </c>
      <c r="H231" s="120" t="str">
        <f>IF($L231="","",INDEX('RECEBIMENTOS'!$A$6:$A$1005,$L231)&amp;"")</f>
        <v/>
      </c>
      <c r="L231" t="str">
        <f>IFERROR(MATCH(144,'RECEBIMENTOS'!$AB$6:$AB$1005,0),"")</f>
        <v/>
      </c>
    </row>
    <row r="232">
      <c r="B232" s="119" t="str">
        <f>IF($L232="","",INDEX('RECEBIMENTOS'!$B$6:$B$1005,$L232)&amp;"")</f>
        <v/>
      </c>
      <c r="C232" s="120" t="str">
        <f>IF($L232="","",IFERROR(INDEX('MTRs'!$B$6:$B$505,INDEX('RECEBIMENTOS'!$U$6:$U$1005,$L232))&amp;"",""))</f>
        <v/>
      </c>
      <c r="D232" s="120" t="str">
        <f>IF($L232="","",INDEX('RECEBIMENTOS'!$D$6:$D$1005,$L232)&amp;"")</f>
        <v/>
      </c>
      <c r="E232" s="128" t="str">
        <f>IF($L232="","",INDEX('RECEBIMENTOS'!$E$6:$E$1005,$L232))</f>
        <v/>
      </c>
      <c r="F232" s="122" t="str">
        <f>IF($L232="","",INDEX('RECEBIMENTOS'!$H$6:$H$1005,$L232))</f>
        <v/>
      </c>
      <c r="G232" s="120" t="str">
        <f>IF($L232="","",INDEX('RECEBIMENTOS'!$P$6:$P$1005,$L232)&amp;"")</f>
        <v/>
      </c>
      <c r="H232" s="120" t="str">
        <f>IF($L232="","",INDEX('RECEBIMENTOS'!$A$6:$A$1005,$L232)&amp;"")</f>
        <v/>
      </c>
      <c r="L232" t="str">
        <f>IFERROR(MATCH(145,'RECEBIMENTOS'!$AB$6:$AB$1005,0),"")</f>
        <v/>
      </c>
    </row>
    <row r="233">
      <c r="B233" s="119" t="str">
        <f>IF($L233="","",INDEX('RECEBIMENTOS'!$B$6:$B$1005,$L233)&amp;"")</f>
        <v/>
      </c>
      <c r="C233" s="120" t="str">
        <f>IF($L233="","",IFERROR(INDEX('MTRs'!$B$6:$B$505,INDEX('RECEBIMENTOS'!$U$6:$U$1005,$L233))&amp;"",""))</f>
        <v/>
      </c>
      <c r="D233" s="120" t="str">
        <f>IF($L233="","",INDEX('RECEBIMENTOS'!$D$6:$D$1005,$L233)&amp;"")</f>
        <v/>
      </c>
      <c r="E233" s="128" t="str">
        <f>IF($L233="","",INDEX('RECEBIMENTOS'!$E$6:$E$1005,$L233))</f>
        <v/>
      </c>
      <c r="F233" s="122" t="str">
        <f>IF($L233="","",INDEX('RECEBIMENTOS'!$H$6:$H$1005,$L233))</f>
        <v/>
      </c>
      <c r="G233" s="120" t="str">
        <f>IF($L233="","",INDEX('RECEBIMENTOS'!$P$6:$P$1005,$L233)&amp;"")</f>
        <v/>
      </c>
      <c r="H233" s="120" t="str">
        <f>IF($L233="","",INDEX('RECEBIMENTOS'!$A$6:$A$1005,$L233)&amp;"")</f>
        <v/>
      </c>
      <c r="L233" t="str">
        <f>IFERROR(MATCH(146,'RECEBIMENTOS'!$AB$6:$AB$1005,0),"")</f>
        <v/>
      </c>
    </row>
    <row r="234">
      <c r="B234" s="119" t="str">
        <f>IF($L234="","",INDEX('RECEBIMENTOS'!$B$6:$B$1005,$L234)&amp;"")</f>
        <v/>
      </c>
      <c r="C234" s="120" t="str">
        <f>IF($L234="","",IFERROR(INDEX('MTRs'!$B$6:$B$505,INDEX('RECEBIMENTOS'!$U$6:$U$1005,$L234))&amp;"",""))</f>
        <v/>
      </c>
      <c r="D234" s="120" t="str">
        <f>IF($L234="","",INDEX('RECEBIMENTOS'!$D$6:$D$1005,$L234)&amp;"")</f>
        <v/>
      </c>
      <c r="E234" s="128" t="str">
        <f>IF($L234="","",INDEX('RECEBIMENTOS'!$E$6:$E$1005,$L234))</f>
        <v/>
      </c>
      <c r="F234" s="122" t="str">
        <f>IF($L234="","",INDEX('RECEBIMENTOS'!$H$6:$H$1005,$L234))</f>
        <v/>
      </c>
      <c r="G234" s="120" t="str">
        <f>IF($L234="","",INDEX('RECEBIMENTOS'!$P$6:$P$1005,$L234)&amp;"")</f>
        <v/>
      </c>
      <c r="H234" s="120" t="str">
        <f>IF($L234="","",INDEX('RECEBIMENTOS'!$A$6:$A$1005,$L234)&amp;"")</f>
        <v/>
      </c>
      <c r="L234" t="str">
        <f>IFERROR(MATCH(147,'RECEBIMENTOS'!$AB$6:$AB$1005,0),"")</f>
        <v/>
      </c>
    </row>
    <row r="235">
      <c r="B235" s="119" t="str">
        <f>IF($L235="","",INDEX('RECEBIMENTOS'!$B$6:$B$1005,$L235)&amp;"")</f>
        <v/>
      </c>
      <c r="C235" s="120" t="str">
        <f>IF($L235="","",IFERROR(INDEX('MTRs'!$B$6:$B$505,INDEX('RECEBIMENTOS'!$U$6:$U$1005,$L235))&amp;"",""))</f>
        <v/>
      </c>
      <c r="D235" s="120" t="str">
        <f>IF($L235="","",INDEX('RECEBIMENTOS'!$D$6:$D$1005,$L235)&amp;"")</f>
        <v/>
      </c>
      <c r="E235" s="128" t="str">
        <f>IF($L235="","",INDEX('RECEBIMENTOS'!$E$6:$E$1005,$L235))</f>
        <v/>
      </c>
      <c r="F235" s="122" t="str">
        <f>IF($L235="","",INDEX('RECEBIMENTOS'!$H$6:$H$1005,$L235))</f>
        <v/>
      </c>
      <c r="G235" s="120" t="str">
        <f>IF($L235="","",INDEX('RECEBIMENTOS'!$P$6:$P$1005,$L235)&amp;"")</f>
        <v/>
      </c>
      <c r="H235" s="120" t="str">
        <f>IF($L235="","",INDEX('RECEBIMENTOS'!$A$6:$A$1005,$L235)&amp;"")</f>
        <v/>
      </c>
      <c r="L235" t="str">
        <f>IFERROR(MATCH(148,'RECEBIMENTOS'!$AB$6:$AB$1005,0),"")</f>
        <v/>
      </c>
    </row>
    <row r="236">
      <c r="B236" s="119" t="str">
        <f>IF($L236="","",INDEX('RECEBIMENTOS'!$B$6:$B$1005,$L236)&amp;"")</f>
        <v/>
      </c>
      <c r="C236" s="120" t="str">
        <f>IF($L236="","",IFERROR(INDEX('MTRs'!$B$6:$B$505,INDEX('RECEBIMENTOS'!$U$6:$U$1005,$L236))&amp;"",""))</f>
        <v/>
      </c>
      <c r="D236" s="120" t="str">
        <f>IF($L236="","",INDEX('RECEBIMENTOS'!$D$6:$D$1005,$L236)&amp;"")</f>
        <v/>
      </c>
      <c r="E236" s="128" t="str">
        <f>IF($L236="","",INDEX('RECEBIMENTOS'!$E$6:$E$1005,$L236))</f>
        <v/>
      </c>
      <c r="F236" s="122" t="str">
        <f>IF($L236="","",INDEX('RECEBIMENTOS'!$H$6:$H$1005,$L236))</f>
        <v/>
      </c>
      <c r="G236" s="120" t="str">
        <f>IF($L236="","",INDEX('RECEBIMENTOS'!$P$6:$P$1005,$L236)&amp;"")</f>
        <v/>
      </c>
      <c r="H236" s="120" t="str">
        <f>IF($L236="","",INDEX('RECEBIMENTOS'!$A$6:$A$1005,$L236)&amp;"")</f>
        <v/>
      </c>
      <c r="L236" t="str">
        <f>IFERROR(MATCH(149,'RECEBIMENTOS'!$AB$6:$AB$1005,0),"")</f>
        <v/>
      </c>
    </row>
    <row r="237">
      <c r="B237" s="119" t="str">
        <f>IF($L237="","",INDEX('RECEBIMENTOS'!$B$6:$B$1005,$L237)&amp;"")</f>
        <v/>
      </c>
      <c r="C237" s="120" t="str">
        <f>IF($L237="","",IFERROR(INDEX('MTRs'!$B$6:$B$505,INDEX('RECEBIMENTOS'!$U$6:$U$1005,$L237))&amp;"",""))</f>
        <v/>
      </c>
      <c r="D237" s="120" t="str">
        <f>IF($L237="","",INDEX('RECEBIMENTOS'!$D$6:$D$1005,$L237)&amp;"")</f>
        <v/>
      </c>
      <c r="E237" s="128" t="str">
        <f>IF($L237="","",INDEX('RECEBIMENTOS'!$E$6:$E$1005,$L237))</f>
        <v/>
      </c>
      <c r="F237" s="122" t="str">
        <f>IF($L237="","",INDEX('RECEBIMENTOS'!$H$6:$H$1005,$L237))</f>
        <v/>
      </c>
      <c r="G237" s="120" t="str">
        <f>IF($L237="","",INDEX('RECEBIMENTOS'!$P$6:$P$1005,$L237)&amp;"")</f>
        <v/>
      </c>
      <c r="H237" s="120" t="str">
        <f>IF($L237="","",INDEX('RECEBIMENTOS'!$A$6:$A$1005,$L237)&amp;"")</f>
        <v/>
      </c>
      <c r="L237" t="str">
        <f>IFERROR(MATCH(150,'RECEBIMENTOS'!$AB$6:$AB$1005,0),"")</f>
        <v/>
      </c>
    </row>
    <row r="238">
      <c r="B238" s="119" t="str">
        <f>IF($L238="","",INDEX('RECEBIMENTOS'!$B$6:$B$1005,$L238)&amp;"")</f>
        <v/>
      </c>
      <c r="C238" s="120" t="str">
        <f>IF($L238="","",IFERROR(INDEX('MTRs'!$B$6:$B$505,INDEX('RECEBIMENTOS'!$U$6:$U$1005,$L238))&amp;"",""))</f>
        <v/>
      </c>
      <c r="D238" s="120" t="str">
        <f>IF($L238="","",INDEX('RECEBIMENTOS'!$D$6:$D$1005,$L238)&amp;"")</f>
        <v/>
      </c>
      <c r="E238" s="128" t="str">
        <f>IF($L238="","",INDEX('RECEBIMENTOS'!$E$6:$E$1005,$L238))</f>
        <v/>
      </c>
      <c r="F238" s="122" t="str">
        <f>IF($L238="","",INDEX('RECEBIMENTOS'!$H$6:$H$1005,$L238))</f>
        <v/>
      </c>
      <c r="G238" s="120" t="str">
        <f>IF($L238="","",INDEX('RECEBIMENTOS'!$P$6:$P$1005,$L238)&amp;"")</f>
        <v/>
      </c>
      <c r="H238" s="120" t="str">
        <f>IF($L238="","",INDEX('RECEBIMENTOS'!$A$6:$A$1005,$L238)&amp;"")</f>
        <v/>
      </c>
      <c r="L238" t="str">
        <f>IFERROR(MATCH(151,'RECEBIMENTOS'!$AB$6:$AB$1005,0),"")</f>
        <v/>
      </c>
    </row>
    <row r="239">
      <c r="B239" s="119" t="str">
        <f>IF($L239="","",INDEX('RECEBIMENTOS'!$B$6:$B$1005,$L239)&amp;"")</f>
        <v/>
      </c>
      <c r="C239" s="120" t="str">
        <f>IF($L239="","",IFERROR(INDEX('MTRs'!$B$6:$B$505,INDEX('RECEBIMENTOS'!$U$6:$U$1005,$L239))&amp;"",""))</f>
        <v/>
      </c>
      <c r="D239" s="120" t="str">
        <f>IF($L239="","",INDEX('RECEBIMENTOS'!$D$6:$D$1005,$L239)&amp;"")</f>
        <v/>
      </c>
      <c r="E239" s="128" t="str">
        <f>IF($L239="","",INDEX('RECEBIMENTOS'!$E$6:$E$1005,$L239))</f>
        <v/>
      </c>
      <c r="F239" s="122" t="str">
        <f>IF($L239="","",INDEX('RECEBIMENTOS'!$H$6:$H$1005,$L239))</f>
        <v/>
      </c>
      <c r="G239" s="120" t="str">
        <f>IF($L239="","",INDEX('RECEBIMENTOS'!$P$6:$P$1005,$L239)&amp;"")</f>
        <v/>
      </c>
      <c r="H239" s="120" t="str">
        <f>IF($L239="","",INDEX('RECEBIMENTOS'!$A$6:$A$1005,$L239)&amp;"")</f>
        <v/>
      </c>
      <c r="L239" t="str">
        <f>IFERROR(MATCH(152,'RECEBIMENTOS'!$AB$6:$AB$1005,0),"")</f>
        <v/>
      </c>
    </row>
    <row r="240">
      <c r="B240" s="119" t="str">
        <f>IF($L240="","",INDEX('RECEBIMENTOS'!$B$6:$B$1005,$L240)&amp;"")</f>
        <v/>
      </c>
      <c r="C240" s="120" t="str">
        <f>IF($L240="","",IFERROR(INDEX('MTRs'!$B$6:$B$505,INDEX('RECEBIMENTOS'!$U$6:$U$1005,$L240))&amp;"",""))</f>
        <v/>
      </c>
      <c r="D240" s="120" t="str">
        <f>IF($L240="","",INDEX('RECEBIMENTOS'!$D$6:$D$1005,$L240)&amp;"")</f>
        <v/>
      </c>
      <c r="E240" s="128" t="str">
        <f>IF($L240="","",INDEX('RECEBIMENTOS'!$E$6:$E$1005,$L240))</f>
        <v/>
      </c>
      <c r="F240" s="122" t="str">
        <f>IF($L240="","",INDEX('RECEBIMENTOS'!$H$6:$H$1005,$L240))</f>
        <v/>
      </c>
      <c r="G240" s="120" t="str">
        <f>IF($L240="","",INDEX('RECEBIMENTOS'!$P$6:$P$1005,$L240)&amp;"")</f>
        <v/>
      </c>
      <c r="H240" s="120" t="str">
        <f>IF($L240="","",INDEX('RECEBIMENTOS'!$A$6:$A$1005,$L240)&amp;"")</f>
        <v/>
      </c>
      <c r="L240" t="str">
        <f>IFERROR(MATCH(153,'RECEBIMENTOS'!$AB$6:$AB$1005,0),"")</f>
        <v/>
      </c>
    </row>
    <row r="241">
      <c r="B241" s="119" t="str">
        <f>IF($L241="","",INDEX('RECEBIMENTOS'!$B$6:$B$1005,$L241)&amp;"")</f>
        <v/>
      </c>
      <c r="C241" s="120" t="str">
        <f>IF($L241="","",IFERROR(INDEX('MTRs'!$B$6:$B$505,INDEX('RECEBIMENTOS'!$U$6:$U$1005,$L241))&amp;"",""))</f>
        <v/>
      </c>
      <c r="D241" s="120" t="str">
        <f>IF($L241="","",INDEX('RECEBIMENTOS'!$D$6:$D$1005,$L241)&amp;"")</f>
        <v/>
      </c>
      <c r="E241" s="128" t="str">
        <f>IF($L241="","",INDEX('RECEBIMENTOS'!$E$6:$E$1005,$L241))</f>
        <v/>
      </c>
      <c r="F241" s="122" t="str">
        <f>IF($L241="","",INDEX('RECEBIMENTOS'!$H$6:$H$1005,$L241))</f>
        <v/>
      </c>
      <c r="G241" s="120" t="str">
        <f>IF($L241="","",INDEX('RECEBIMENTOS'!$P$6:$P$1005,$L241)&amp;"")</f>
        <v/>
      </c>
      <c r="H241" s="120" t="str">
        <f>IF($L241="","",INDEX('RECEBIMENTOS'!$A$6:$A$1005,$L241)&amp;"")</f>
        <v/>
      </c>
      <c r="L241" t="str">
        <f>IFERROR(MATCH(154,'RECEBIMENTOS'!$AB$6:$AB$1005,0),"")</f>
        <v/>
      </c>
    </row>
    <row r="242">
      <c r="B242" s="119" t="str">
        <f>IF($L242="","",INDEX('RECEBIMENTOS'!$B$6:$B$1005,$L242)&amp;"")</f>
        <v/>
      </c>
      <c r="C242" s="120" t="str">
        <f>IF($L242="","",IFERROR(INDEX('MTRs'!$B$6:$B$505,INDEX('RECEBIMENTOS'!$U$6:$U$1005,$L242))&amp;"",""))</f>
        <v/>
      </c>
      <c r="D242" s="120" t="str">
        <f>IF($L242="","",INDEX('RECEBIMENTOS'!$D$6:$D$1005,$L242)&amp;"")</f>
        <v/>
      </c>
      <c r="E242" s="128" t="str">
        <f>IF($L242="","",INDEX('RECEBIMENTOS'!$E$6:$E$1005,$L242))</f>
        <v/>
      </c>
      <c r="F242" s="122" t="str">
        <f>IF($L242="","",INDEX('RECEBIMENTOS'!$H$6:$H$1005,$L242))</f>
        <v/>
      </c>
      <c r="G242" s="120" t="str">
        <f>IF($L242="","",INDEX('RECEBIMENTOS'!$P$6:$P$1005,$L242)&amp;"")</f>
        <v/>
      </c>
      <c r="H242" s="120" t="str">
        <f>IF($L242="","",INDEX('RECEBIMENTOS'!$A$6:$A$1005,$L242)&amp;"")</f>
        <v/>
      </c>
      <c r="L242" t="str">
        <f>IFERROR(MATCH(155,'RECEBIMENTOS'!$AB$6:$AB$1005,0),"")</f>
        <v/>
      </c>
    </row>
    <row r="243">
      <c r="B243" s="119" t="str">
        <f>IF($L243="","",INDEX('RECEBIMENTOS'!$B$6:$B$1005,$L243)&amp;"")</f>
        <v/>
      </c>
      <c r="C243" s="120" t="str">
        <f>IF($L243="","",IFERROR(INDEX('MTRs'!$B$6:$B$505,INDEX('RECEBIMENTOS'!$U$6:$U$1005,$L243))&amp;"",""))</f>
        <v/>
      </c>
      <c r="D243" s="120" t="str">
        <f>IF($L243="","",INDEX('RECEBIMENTOS'!$D$6:$D$1005,$L243)&amp;"")</f>
        <v/>
      </c>
      <c r="E243" s="128" t="str">
        <f>IF($L243="","",INDEX('RECEBIMENTOS'!$E$6:$E$1005,$L243))</f>
        <v/>
      </c>
      <c r="F243" s="122" t="str">
        <f>IF($L243="","",INDEX('RECEBIMENTOS'!$H$6:$H$1005,$L243))</f>
        <v/>
      </c>
      <c r="G243" s="120" t="str">
        <f>IF($L243="","",INDEX('RECEBIMENTOS'!$P$6:$P$1005,$L243)&amp;"")</f>
        <v/>
      </c>
      <c r="H243" s="120" t="str">
        <f>IF($L243="","",INDEX('RECEBIMENTOS'!$A$6:$A$1005,$L243)&amp;"")</f>
        <v/>
      </c>
      <c r="L243" t="str">
        <f>IFERROR(MATCH(156,'RECEBIMENTOS'!$AB$6:$AB$1005,0),"")</f>
        <v/>
      </c>
    </row>
    <row r="244">
      <c r="B244" s="119" t="str">
        <f>IF($L244="","",INDEX('RECEBIMENTOS'!$B$6:$B$1005,$L244)&amp;"")</f>
        <v/>
      </c>
      <c r="C244" s="120" t="str">
        <f>IF($L244="","",IFERROR(INDEX('MTRs'!$B$6:$B$505,INDEX('RECEBIMENTOS'!$U$6:$U$1005,$L244))&amp;"",""))</f>
        <v/>
      </c>
      <c r="D244" s="120" t="str">
        <f>IF($L244="","",INDEX('RECEBIMENTOS'!$D$6:$D$1005,$L244)&amp;"")</f>
        <v/>
      </c>
      <c r="E244" s="128" t="str">
        <f>IF($L244="","",INDEX('RECEBIMENTOS'!$E$6:$E$1005,$L244))</f>
        <v/>
      </c>
      <c r="F244" s="122" t="str">
        <f>IF($L244="","",INDEX('RECEBIMENTOS'!$H$6:$H$1005,$L244))</f>
        <v/>
      </c>
      <c r="G244" s="120" t="str">
        <f>IF($L244="","",INDEX('RECEBIMENTOS'!$P$6:$P$1005,$L244)&amp;"")</f>
        <v/>
      </c>
      <c r="H244" s="120" t="str">
        <f>IF($L244="","",INDEX('RECEBIMENTOS'!$A$6:$A$1005,$L244)&amp;"")</f>
        <v/>
      </c>
      <c r="L244" t="str">
        <f>IFERROR(MATCH(157,'RECEBIMENTOS'!$AB$6:$AB$1005,0),"")</f>
        <v/>
      </c>
    </row>
    <row r="245">
      <c r="B245" s="119" t="str">
        <f>IF($L245="","",INDEX('RECEBIMENTOS'!$B$6:$B$1005,$L245)&amp;"")</f>
        <v/>
      </c>
      <c r="C245" s="120" t="str">
        <f>IF($L245="","",IFERROR(INDEX('MTRs'!$B$6:$B$505,INDEX('RECEBIMENTOS'!$U$6:$U$1005,$L245))&amp;"",""))</f>
        <v/>
      </c>
      <c r="D245" s="120" t="str">
        <f>IF($L245="","",INDEX('RECEBIMENTOS'!$D$6:$D$1005,$L245)&amp;"")</f>
        <v/>
      </c>
      <c r="E245" s="128" t="str">
        <f>IF($L245="","",INDEX('RECEBIMENTOS'!$E$6:$E$1005,$L245))</f>
        <v/>
      </c>
      <c r="F245" s="122" t="str">
        <f>IF($L245="","",INDEX('RECEBIMENTOS'!$H$6:$H$1005,$L245))</f>
        <v/>
      </c>
      <c r="G245" s="120" t="str">
        <f>IF($L245="","",INDEX('RECEBIMENTOS'!$P$6:$P$1005,$L245)&amp;"")</f>
        <v/>
      </c>
      <c r="H245" s="120" t="str">
        <f>IF($L245="","",INDEX('RECEBIMENTOS'!$A$6:$A$1005,$L245)&amp;"")</f>
        <v/>
      </c>
      <c r="L245" t="str">
        <f>IFERROR(MATCH(158,'RECEBIMENTOS'!$AB$6:$AB$1005,0),"")</f>
        <v/>
      </c>
    </row>
    <row r="246">
      <c r="B246" s="119" t="str">
        <f>IF($L246="","",INDEX('RECEBIMENTOS'!$B$6:$B$1005,$L246)&amp;"")</f>
        <v/>
      </c>
      <c r="C246" s="120" t="str">
        <f>IF($L246="","",IFERROR(INDEX('MTRs'!$B$6:$B$505,INDEX('RECEBIMENTOS'!$U$6:$U$1005,$L246))&amp;"",""))</f>
        <v/>
      </c>
      <c r="D246" s="120" t="str">
        <f>IF($L246="","",INDEX('RECEBIMENTOS'!$D$6:$D$1005,$L246)&amp;"")</f>
        <v/>
      </c>
      <c r="E246" s="128" t="str">
        <f>IF($L246="","",INDEX('RECEBIMENTOS'!$E$6:$E$1005,$L246))</f>
        <v/>
      </c>
      <c r="F246" s="122" t="str">
        <f>IF($L246="","",INDEX('RECEBIMENTOS'!$H$6:$H$1005,$L246))</f>
        <v/>
      </c>
      <c r="G246" s="120" t="str">
        <f>IF($L246="","",INDEX('RECEBIMENTOS'!$P$6:$P$1005,$L246)&amp;"")</f>
        <v/>
      </c>
      <c r="H246" s="120" t="str">
        <f>IF($L246="","",INDEX('RECEBIMENTOS'!$A$6:$A$1005,$L246)&amp;"")</f>
        <v/>
      </c>
      <c r="L246" t="str">
        <f>IFERROR(MATCH(159,'RECEBIMENTOS'!$AB$6:$AB$1005,0),"")</f>
        <v/>
      </c>
    </row>
    <row r="247">
      <c r="B247" s="119" t="str">
        <f>IF($L247="","",INDEX('RECEBIMENTOS'!$B$6:$B$1005,$L247)&amp;"")</f>
        <v/>
      </c>
      <c r="C247" s="120" t="str">
        <f>IF($L247="","",IFERROR(INDEX('MTRs'!$B$6:$B$505,INDEX('RECEBIMENTOS'!$U$6:$U$1005,$L247))&amp;"",""))</f>
        <v/>
      </c>
      <c r="D247" s="120" t="str">
        <f>IF($L247="","",INDEX('RECEBIMENTOS'!$D$6:$D$1005,$L247)&amp;"")</f>
        <v/>
      </c>
      <c r="E247" s="128" t="str">
        <f>IF($L247="","",INDEX('RECEBIMENTOS'!$E$6:$E$1005,$L247))</f>
        <v/>
      </c>
      <c r="F247" s="122" t="str">
        <f>IF($L247="","",INDEX('RECEBIMENTOS'!$H$6:$H$1005,$L247))</f>
        <v/>
      </c>
      <c r="G247" s="120" t="str">
        <f>IF($L247="","",INDEX('RECEBIMENTOS'!$P$6:$P$1005,$L247)&amp;"")</f>
        <v/>
      </c>
      <c r="H247" s="120" t="str">
        <f>IF($L247="","",INDEX('RECEBIMENTOS'!$A$6:$A$1005,$L247)&amp;"")</f>
        <v/>
      </c>
      <c r="L247" t="str">
        <f>IFERROR(MATCH(160,'RECEBIMENTOS'!$AB$6:$AB$1005,0),"")</f>
        <v/>
      </c>
    </row>
    <row r="248">
      <c r="B248" s="119" t="str">
        <f>IF($L248="","",INDEX('RECEBIMENTOS'!$B$6:$B$1005,$L248)&amp;"")</f>
        <v/>
      </c>
      <c r="C248" s="120" t="str">
        <f>IF($L248="","",IFERROR(INDEX('MTRs'!$B$6:$B$505,INDEX('RECEBIMENTOS'!$U$6:$U$1005,$L248))&amp;"",""))</f>
        <v/>
      </c>
      <c r="D248" s="120" t="str">
        <f>IF($L248="","",INDEX('RECEBIMENTOS'!$D$6:$D$1005,$L248)&amp;"")</f>
        <v/>
      </c>
      <c r="E248" s="128" t="str">
        <f>IF($L248="","",INDEX('RECEBIMENTOS'!$E$6:$E$1005,$L248))</f>
        <v/>
      </c>
      <c r="F248" s="122" t="str">
        <f>IF($L248="","",INDEX('RECEBIMENTOS'!$H$6:$H$1005,$L248))</f>
        <v/>
      </c>
      <c r="G248" s="120" t="str">
        <f>IF($L248="","",INDEX('RECEBIMENTOS'!$P$6:$P$1005,$L248)&amp;"")</f>
        <v/>
      </c>
      <c r="H248" s="120" t="str">
        <f>IF($L248="","",INDEX('RECEBIMENTOS'!$A$6:$A$1005,$L248)&amp;"")</f>
        <v/>
      </c>
      <c r="L248" t="str">
        <f>IFERROR(MATCH(161,'RECEBIMENTOS'!$AB$6:$AB$1005,0),"")</f>
        <v/>
      </c>
    </row>
    <row r="249">
      <c r="B249" s="119" t="str">
        <f>IF($L249="","",INDEX('RECEBIMENTOS'!$B$6:$B$1005,$L249)&amp;"")</f>
        <v/>
      </c>
      <c r="C249" s="120" t="str">
        <f>IF($L249="","",IFERROR(INDEX('MTRs'!$B$6:$B$505,INDEX('RECEBIMENTOS'!$U$6:$U$1005,$L249))&amp;"",""))</f>
        <v/>
      </c>
      <c r="D249" s="120" t="str">
        <f>IF($L249="","",INDEX('RECEBIMENTOS'!$D$6:$D$1005,$L249)&amp;"")</f>
        <v/>
      </c>
      <c r="E249" s="128" t="str">
        <f>IF($L249="","",INDEX('RECEBIMENTOS'!$E$6:$E$1005,$L249))</f>
        <v/>
      </c>
      <c r="F249" s="122" t="str">
        <f>IF($L249="","",INDEX('RECEBIMENTOS'!$H$6:$H$1005,$L249))</f>
        <v/>
      </c>
      <c r="G249" s="120" t="str">
        <f>IF($L249="","",INDEX('RECEBIMENTOS'!$P$6:$P$1005,$L249)&amp;"")</f>
        <v/>
      </c>
      <c r="H249" s="120" t="str">
        <f>IF($L249="","",INDEX('RECEBIMENTOS'!$A$6:$A$1005,$L249)&amp;"")</f>
        <v/>
      </c>
      <c r="L249" t="str">
        <f>IFERROR(MATCH(162,'RECEBIMENTOS'!$AB$6:$AB$1005,0),"")</f>
        <v/>
      </c>
    </row>
    <row r="250">
      <c r="B250" s="119" t="str">
        <f>IF($L250="","",INDEX('RECEBIMENTOS'!$B$6:$B$1005,$L250)&amp;"")</f>
        <v/>
      </c>
      <c r="C250" s="120" t="str">
        <f>IF($L250="","",IFERROR(INDEX('MTRs'!$B$6:$B$505,INDEX('RECEBIMENTOS'!$U$6:$U$1005,$L250))&amp;"",""))</f>
        <v/>
      </c>
      <c r="D250" s="120" t="str">
        <f>IF($L250="","",INDEX('RECEBIMENTOS'!$D$6:$D$1005,$L250)&amp;"")</f>
        <v/>
      </c>
      <c r="E250" s="128" t="str">
        <f>IF($L250="","",INDEX('RECEBIMENTOS'!$E$6:$E$1005,$L250))</f>
        <v/>
      </c>
      <c r="F250" s="122" t="str">
        <f>IF($L250="","",INDEX('RECEBIMENTOS'!$H$6:$H$1005,$L250))</f>
        <v/>
      </c>
      <c r="G250" s="120" t="str">
        <f>IF($L250="","",INDEX('RECEBIMENTOS'!$P$6:$P$1005,$L250)&amp;"")</f>
        <v/>
      </c>
      <c r="H250" s="120" t="str">
        <f>IF($L250="","",INDEX('RECEBIMENTOS'!$A$6:$A$1005,$L250)&amp;"")</f>
        <v/>
      </c>
      <c r="L250" t="str">
        <f>IFERROR(MATCH(163,'RECEBIMENTOS'!$AB$6:$AB$1005,0),"")</f>
        <v/>
      </c>
    </row>
    <row r="251">
      <c r="B251" s="119" t="str">
        <f>IF($L251="","",INDEX('RECEBIMENTOS'!$B$6:$B$1005,$L251)&amp;"")</f>
        <v/>
      </c>
      <c r="C251" s="120" t="str">
        <f>IF($L251="","",IFERROR(INDEX('MTRs'!$B$6:$B$505,INDEX('RECEBIMENTOS'!$U$6:$U$1005,$L251))&amp;"",""))</f>
        <v/>
      </c>
      <c r="D251" s="120" t="str">
        <f>IF($L251="","",INDEX('RECEBIMENTOS'!$D$6:$D$1005,$L251)&amp;"")</f>
        <v/>
      </c>
      <c r="E251" s="128" t="str">
        <f>IF($L251="","",INDEX('RECEBIMENTOS'!$E$6:$E$1005,$L251))</f>
        <v/>
      </c>
      <c r="F251" s="122" t="str">
        <f>IF($L251="","",INDEX('RECEBIMENTOS'!$H$6:$H$1005,$L251))</f>
        <v/>
      </c>
      <c r="G251" s="120" t="str">
        <f>IF($L251="","",INDEX('RECEBIMENTOS'!$P$6:$P$1005,$L251)&amp;"")</f>
        <v/>
      </c>
      <c r="H251" s="120" t="str">
        <f>IF($L251="","",INDEX('RECEBIMENTOS'!$A$6:$A$1005,$L251)&amp;"")</f>
        <v/>
      </c>
      <c r="L251" t="str">
        <f>IFERROR(MATCH(164,'RECEBIMENTOS'!$AB$6:$AB$1005,0),"")</f>
        <v/>
      </c>
    </row>
    <row r="252">
      <c r="B252" s="119" t="str">
        <f>IF($L252="","",INDEX('RECEBIMENTOS'!$B$6:$B$1005,$L252)&amp;"")</f>
        <v/>
      </c>
      <c r="C252" s="120" t="str">
        <f>IF($L252="","",IFERROR(INDEX('MTRs'!$B$6:$B$505,INDEX('RECEBIMENTOS'!$U$6:$U$1005,$L252))&amp;"",""))</f>
        <v/>
      </c>
      <c r="D252" s="120" t="str">
        <f>IF($L252="","",INDEX('RECEBIMENTOS'!$D$6:$D$1005,$L252)&amp;"")</f>
        <v/>
      </c>
      <c r="E252" s="128" t="str">
        <f>IF($L252="","",INDEX('RECEBIMENTOS'!$E$6:$E$1005,$L252))</f>
        <v/>
      </c>
      <c r="F252" s="122" t="str">
        <f>IF($L252="","",INDEX('RECEBIMENTOS'!$H$6:$H$1005,$L252))</f>
        <v/>
      </c>
      <c r="G252" s="120" t="str">
        <f>IF($L252="","",INDEX('RECEBIMENTOS'!$P$6:$P$1005,$L252)&amp;"")</f>
        <v/>
      </c>
      <c r="H252" s="120" t="str">
        <f>IF($L252="","",INDEX('RECEBIMENTOS'!$A$6:$A$1005,$L252)&amp;"")</f>
        <v/>
      </c>
      <c r="L252" t="str">
        <f>IFERROR(MATCH(165,'RECEBIMENTOS'!$AB$6:$AB$1005,0),"")</f>
        <v/>
      </c>
    </row>
    <row r="253">
      <c r="B253" s="119" t="str">
        <f>IF($L253="","",INDEX('RECEBIMENTOS'!$B$6:$B$1005,$L253)&amp;"")</f>
        <v/>
      </c>
      <c r="C253" s="120" t="str">
        <f>IF($L253="","",IFERROR(INDEX('MTRs'!$B$6:$B$505,INDEX('RECEBIMENTOS'!$U$6:$U$1005,$L253))&amp;"",""))</f>
        <v/>
      </c>
      <c r="D253" s="120" t="str">
        <f>IF($L253="","",INDEX('RECEBIMENTOS'!$D$6:$D$1005,$L253)&amp;"")</f>
        <v/>
      </c>
      <c r="E253" s="128" t="str">
        <f>IF($L253="","",INDEX('RECEBIMENTOS'!$E$6:$E$1005,$L253))</f>
        <v/>
      </c>
      <c r="F253" s="122" t="str">
        <f>IF($L253="","",INDEX('RECEBIMENTOS'!$H$6:$H$1005,$L253))</f>
        <v/>
      </c>
      <c r="G253" s="120" t="str">
        <f>IF($L253="","",INDEX('RECEBIMENTOS'!$P$6:$P$1005,$L253)&amp;"")</f>
        <v/>
      </c>
      <c r="H253" s="120" t="str">
        <f>IF($L253="","",INDEX('RECEBIMENTOS'!$A$6:$A$1005,$L253)&amp;"")</f>
        <v/>
      </c>
      <c r="L253" t="str">
        <f>IFERROR(MATCH(166,'RECEBIMENTOS'!$AB$6:$AB$1005,0),"")</f>
        <v/>
      </c>
    </row>
    <row r="254">
      <c r="B254" s="119" t="str">
        <f>IF($L254="","",INDEX('RECEBIMENTOS'!$B$6:$B$1005,$L254)&amp;"")</f>
        <v/>
      </c>
      <c r="C254" s="120" t="str">
        <f>IF($L254="","",IFERROR(INDEX('MTRs'!$B$6:$B$505,INDEX('RECEBIMENTOS'!$U$6:$U$1005,$L254))&amp;"",""))</f>
        <v/>
      </c>
      <c r="D254" s="120" t="str">
        <f>IF($L254="","",INDEX('RECEBIMENTOS'!$D$6:$D$1005,$L254)&amp;"")</f>
        <v/>
      </c>
      <c r="E254" s="128" t="str">
        <f>IF($L254="","",INDEX('RECEBIMENTOS'!$E$6:$E$1005,$L254))</f>
        <v/>
      </c>
      <c r="F254" s="122" t="str">
        <f>IF($L254="","",INDEX('RECEBIMENTOS'!$H$6:$H$1005,$L254))</f>
        <v/>
      </c>
      <c r="G254" s="120" t="str">
        <f>IF($L254="","",INDEX('RECEBIMENTOS'!$P$6:$P$1005,$L254)&amp;"")</f>
        <v/>
      </c>
      <c r="H254" s="120" t="str">
        <f>IF($L254="","",INDEX('RECEBIMENTOS'!$A$6:$A$1005,$L254)&amp;"")</f>
        <v/>
      </c>
      <c r="L254" t="str">
        <f>IFERROR(MATCH(167,'RECEBIMENTOS'!$AB$6:$AB$1005,0),"")</f>
        <v/>
      </c>
    </row>
    <row r="255">
      <c r="B255" s="119" t="str">
        <f>IF($L255="","",INDEX('RECEBIMENTOS'!$B$6:$B$1005,$L255)&amp;"")</f>
        <v/>
      </c>
      <c r="C255" s="120" t="str">
        <f>IF($L255="","",IFERROR(INDEX('MTRs'!$B$6:$B$505,INDEX('RECEBIMENTOS'!$U$6:$U$1005,$L255))&amp;"",""))</f>
        <v/>
      </c>
      <c r="D255" s="120" t="str">
        <f>IF($L255="","",INDEX('RECEBIMENTOS'!$D$6:$D$1005,$L255)&amp;"")</f>
        <v/>
      </c>
      <c r="E255" s="128" t="str">
        <f>IF($L255="","",INDEX('RECEBIMENTOS'!$E$6:$E$1005,$L255))</f>
        <v/>
      </c>
      <c r="F255" s="122" t="str">
        <f>IF($L255="","",INDEX('RECEBIMENTOS'!$H$6:$H$1005,$L255))</f>
        <v/>
      </c>
      <c r="G255" s="120" t="str">
        <f>IF($L255="","",INDEX('RECEBIMENTOS'!$P$6:$P$1005,$L255)&amp;"")</f>
        <v/>
      </c>
      <c r="H255" s="120" t="str">
        <f>IF($L255="","",INDEX('RECEBIMENTOS'!$A$6:$A$1005,$L255)&amp;"")</f>
        <v/>
      </c>
      <c r="L255" t="str">
        <f>IFERROR(MATCH(168,'RECEBIMENTOS'!$AB$6:$AB$1005,0),"")</f>
        <v/>
      </c>
    </row>
    <row r="256">
      <c r="B256" s="119" t="str">
        <f>IF($L256="","",INDEX('RECEBIMENTOS'!$B$6:$B$1005,$L256)&amp;"")</f>
        <v/>
      </c>
      <c r="C256" s="120" t="str">
        <f>IF($L256="","",IFERROR(INDEX('MTRs'!$B$6:$B$505,INDEX('RECEBIMENTOS'!$U$6:$U$1005,$L256))&amp;"",""))</f>
        <v/>
      </c>
      <c r="D256" s="120" t="str">
        <f>IF($L256="","",INDEX('RECEBIMENTOS'!$D$6:$D$1005,$L256)&amp;"")</f>
        <v/>
      </c>
      <c r="E256" s="128" t="str">
        <f>IF($L256="","",INDEX('RECEBIMENTOS'!$E$6:$E$1005,$L256))</f>
        <v/>
      </c>
      <c r="F256" s="122" t="str">
        <f>IF($L256="","",INDEX('RECEBIMENTOS'!$H$6:$H$1005,$L256))</f>
        <v/>
      </c>
      <c r="G256" s="120" t="str">
        <f>IF($L256="","",INDEX('RECEBIMENTOS'!$P$6:$P$1005,$L256)&amp;"")</f>
        <v/>
      </c>
      <c r="H256" s="120" t="str">
        <f>IF($L256="","",INDEX('RECEBIMENTOS'!$A$6:$A$1005,$L256)&amp;"")</f>
        <v/>
      </c>
      <c r="L256" t="str">
        <f>IFERROR(MATCH(169,'RECEBIMENTOS'!$AB$6:$AB$1005,0),"")</f>
        <v/>
      </c>
    </row>
    <row r="257">
      <c r="B257" s="119" t="str">
        <f>IF($L257="","",INDEX('RECEBIMENTOS'!$B$6:$B$1005,$L257)&amp;"")</f>
        <v/>
      </c>
      <c r="C257" s="120" t="str">
        <f>IF($L257="","",IFERROR(INDEX('MTRs'!$B$6:$B$505,INDEX('RECEBIMENTOS'!$U$6:$U$1005,$L257))&amp;"",""))</f>
        <v/>
      </c>
      <c r="D257" s="120" t="str">
        <f>IF($L257="","",INDEX('RECEBIMENTOS'!$D$6:$D$1005,$L257)&amp;"")</f>
        <v/>
      </c>
      <c r="E257" s="128" t="str">
        <f>IF($L257="","",INDEX('RECEBIMENTOS'!$E$6:$E$1005,$L257))</f>
        <v/>
      </c>
      <c r="F257" s="122" t="str">
        <f>IF($L257="","",INDEX('RECEBIMENTOS'!$H$6:$H$1005,$L257))</f>
        <v/>
      </c>
      <c r="G257" s="120" t="str">
        <f>IF($L257="","",INDEX('RECEBIMENTOS'!$P$6:$P$1005,$L257)&amp;"")</f>
        <v/>
      </c>
      <c r="H257" s="120" t="str">
        <f>IF($L257="","",INDEX('RECEBIMENTOS'!$A$6:$A$1005,$L257)&amp;"")</f>
        <v/>
      </c>
      <c r="L257" t="str">
        <f>IFERROR(MATCH(170,'RECEBIMENTOS'!$AB$6:$AB$1005,0),"")</f>
        <v/>
      </c>
    </row>
    <row r="258">
      <c r="B258" s="119" t="str">
        <f>IF($L258="","",INDEX('RECEBIMENTOS'!$B$6:$B$1005,$L258)&amp;"")</f>
        <v/>
      </c>
      <c r="C258" s="120" t="str">
        <f>IF($L258="","",IFERROR(INDEX('MTRs'!$B$6:$B$505,INDEX('RECEBIMENTOS'!$U$6:$U$1005,$L258))&amp;"",""))</f>
        <v/>
      </c>
      <c r="D258" s="120" t="str">
        <f>IF($L258="","",INDEX('RECEBIMENTOS'!$D$6:$D$1005,$L258)&amp;"")</f>
        <v/>
      </c>
      <c r="E258" s="128" t="str">
        <f>IF($L258="","",INDEX('RECEBIMENTOS'!$E$6:$E$1005,$L258))</f>
        <v/>
      </c>
      <c r="F258" s="122" t="str">
        <f>IF($L258="","",INDEX('RECEBIMENTOS'!$H$6:$H$1005,$L258))</f>
        <v/>
      </c>
      <c r="G258" s="120" t="str">
        <f>IF($L258="","",INDEX('RECEBIMENTOS'!$P$6:$P$1005,$L258)&amp;"")</f>
        <v/>
      </c>
      <c r="H258" s="120" t="str">
        <f>IF($L258="","",INDEX('RECEBIMENTOS'!$A$6:$A$1005,$L258)&amp;"")</f>
        <v/>
      </c>
      <c r="L258" t="str">
        <f>IFERROR(MATCH(171,'RECEBIMENTOS'!$AB$6:$AB$1005,0),"")</f>
        <v/>
      </c>
    </row>
    <row r="259">
      <c r="B259" s="119" t="str">
        <f>IF($L259="","",INDEX('RECEBIMENTOS'!$B$6:$B$1005,$L259)&amp;"")</f>
        <v/>
      </c>
      <c r="C259" s="120" t="str">
        <f>IF($L259="","",IFERROR(INDEX('MTRs'!$B$6:$B$505,INDEX('RECEBIMENTOS'!$U$6:$U$1005,$L259))&amp;"",""))</f>
        <v/>
      </c>
      <c r="D259" s="120" t="str">
        <f>IF($L259="","",INDEX('RECEBIMENTOS'!$D$6:$D$1005,$L259)&amp;"")</f>
        <v/>
      </c>
      <c r="E259" s="128" t="str">
        <f>IF($L259="","",INDEX('RECEBIMENTOS'!$E$6:$E$1005,$L259))</f>
        <v/>
      </c>
      <c r="F259" s="122" t="str">
        <f>IF($L259="","",INDEX('RECEBIMENTOS'!$H$6:$H$1005,$L259))</f>
        <v/>
      </c>
      <c r="G259" s="120" t="str">
        <f>IF($L259="","",INDEX('RECEBIMENTOS'!$P$6:$P$1005,$L259)&amp;"")</f>
        <v/>
      </c>
      <c r="H259" s="120" t="str">
        <f>IF($L259="","",INDEX('RECEBIMENTOS'!$A$6:$A$1005,$L259)&amp;"")</f>
        <v/>
      </c>
      <c r="L259" t="str">
        <f>IFERROR(MATCH(172,'RECEBIMENTOS'!$AB$6:$AB$1005,0),"")</f>
        <v/>
      </c>
    </row>
    <row r="260">
      <c r="B260" s="119" t="str">
        <f>IF($L260="","",INDEX('RECEBIMENTOS'!$B$6:$B$1005,$L260)&amp;"")</f>
        <v/>
      </c>
      <c r="C260" s="120" t="str">
        <f>IF($L260="","",IFERROR(INDEX('MTRs'!$B$6:$B$505,INDEX('RECEBIMENTOS'!$U$6:$U$1005,$L260))&amp;"",""))</f>
        <v/>
      </c>
      <c r="D260" s="120" t="str">
        <f>IF($L260="","",INDEX('RECEBIMENTOS'!$D$6:$D$1005,$L260)&amp;"")</f>
        <v/>
      </c>
      <c r="E260" s="128" t="str">
        <f>IF($L260="","",INDEX('RECEBIMENTOS'!$E$6:$E$1005,$L260))</f>
        <v/>
      </c>
      <c r="F260" s="122" t="str">
        <f>IF($L260="","",INDEX('RECEBIMENTOS'!$H$6:$H$1005,$L260))</f>
        <v/>
      </c>
      <c r="G260" s="120" t="str">
        <f>IF($L260="","",INDEX('RECEBIMENTOS'!$P$6:$P$1005,$L260)&amp;"")</f>
        <v/>
      </c>
      <c r="H260" s="120" t="str">
        <f>IF($L260="","",INDEX('RECEBIMENTOS'!$A$6:$A$1005,$L260)&amp;"")</f>
        <v/>
      </c>
      <c r="L260" t="str">
        <f>IFERROR(MATCH(173,'RECEBIMENTOS'!$AB$6:$AB$1005,0),"")</f>
        <v/>
      </c>
    </row>
    <row r="261">
      <c r="B261" s="119" t="str">
        <f>IF($L261="","",INDEX('RECEBIMENTOS'!$B$6:$B$1005,$L261)&amp;"")</f>
        <v/>
      </c>
      <c r="C261" s="120" t="str">
        <f>IF($L261="","",IFERROR(INDEX('MTRs'!$B$6:$B$505,INDEX('RECEBIMENTOS'!$U$6:$U$1005,$L261))&amp;"",""))</f>
        <v/>
      </c>
      <c r="D261" s="120" t="str">
        <f>IF($L261="","",INDEX('RECEBIMENTOS'!$D$6:$D$1005,$L261)&amp;"")</f>
        <v/>
      </c>
      <c r="E261" s="128" t="str">
        <f>IF($L261="","",INDEX('RECEBIMENTOS'!$E$6:$E$1005,$L261))</f>
        <v/>
      </c>
      <c r="F261" s="122" t="str">
        <f>IF($L261="","",INDEX('RECEBIMENTOS'!$H$6:$H$1005,$L261))</f>
        <v/>
      </c>
      <c r="G261" s="120" t="str">
        <f>IF($L261="","",INDEX('RECEBIMENTOS'!$P$6:$P$1005,$L261)&amp;"")</f>
        <v/>
      </c>
      <c r="H261" s="120" t="str">
        <f>IF($L261="","",INDEX('RECEBIMENTOS'!$A$6:$A$1005,$L261)&amp;"")</f>
        <v/>
      </c>
      <c r="L261" t="str">
        <f>IFERROR(MATCH(174,'RECEBIMENTOS'!$AB$6:$AB$1005,0),"")</f>
        <v/>
      </c>
    </row>
    <row r="262">
      <c r="B262" s="119" t="str">
        <f>IF($L262="","",INDEX('RECEBIMENTOS'!$B$6:$B$1005,$L262)&amp;"")</f>
        <v/>
      </c>
      <c r="C262" s="120" t="str">
        <f>IF($L262="","",IFERROR(INDEX('MTRs'!$B$6:$B$505,INDEX('RECEBIMENTOS'!$U$6:$U$1005,$L262))&amp;"",""))</f>
        <v/>
      </c>
      <c r="D262" s="120" t="str">
        <f>IF($L262="","",INDEX('RECEBIMENTOS'!$D$6:$D$1005,$L262)&amp;"")</f>
        <v/>
      </c>
      <c r="E262" s="128" t="str">
        <f>IF($L262="","",INDEX('RECEBIMENTOS'!$E$6:$E$1005,$L262))</f>
        <v/>
      </c>
      <c r="F262" s="122" t="str">
        <f>IF($L262="","",INDEX('RECEBIMENTOS'!$H$6:$H$1005,$L262))</f>
        <v/>
      </c>
      <c r="G262" s="120" t="str">
        <f>IF($L262="","",INDEX('RECEBIMENTOS'!$P$6:$P$1005,$L262)&amp;"")</f>
        <v/>
      </c>
      <c r="H262" s="120" t="str">
        <f>IF($L262="","",INDEX('RECEBIMENTOS'!$A$6:$A$1005,$L262)&amp;"")</f>
        <v/>
      </c>
      <c r="L262" t="str">
        <f>IFERROR(MATCH(175,'RECEBIMENTOS'!$AB$6:$AB$1005,0),"")</f>
        <v/>
      </c>
    </row>
    <row r="263">
      <c r="B263" s="119" t="str">
        <f>IF($L263="","",INDEX('RECEBIMENTOS'!$B$6:$B$1005,$L263)&amp;"")</f>
        <v/>
      </c>
      <c r="C263" s="120" t="str">
        <f>IF($L263="","",IFERROR(INDEX('MTRs'!$B$6:$B$505,INDEX('RECEBIMENTOS'!$U$6:$U$1005,$L263))&amp;"",""))</f>
        <v/>
      </c>
      <c r="D263" s="120" t="str">
        <f>IF($L263="","",INDEX('RECEBIMENTOS'!$D$6:$D$1005,$L263)&amp;"")</f>
        <v/>
      </c>
      <c r="E263" s="128" t="str">
        <f>IF($L263="","",INDEX('RECEBIMENTOS'!$E$6:$E$1005,$L263))</f>
        <v/>
      </c>
      <c r="F263" s="122" t="str">
        <f>IF($L263="","",INDEX('RECEBIMENTOS'!$H$6:$H$1005,$L263))</f>
        <v/>
      </c>
      <c r="G263" s="120" t="str">
        <f>IF($L263="","",INDEX('RECEBIMENTOS'!$P$6:$P$1005,$L263)&amp;"")</f>
        <v/>
      </c>
      <c r="H263" s="120" t="str">
        <f>IF($L263="","",INDEX('RECEBIMENTOS'!$A$6:$A$1005,$L263)&amp;"")</f>
        <v/>
      </c>
      <c r="L263" t="str">
        <f>IFERROR(MATCH(176,'RECEBIMENTOS'!$AB$6:$AB$1005,0),"")</f>
        <v/>
      </c>
    </row>
    <row r="264">
      <c r="B264" s="119" t="str">
        <f>IF($L264="","",INDEX('RECEBIMENTOS'!$B$6:$B$1005,$L264)&amp;"")</f>
        <v/>
      </c>
      <c r="C264" s="120" t="str">
        <f>IF($L264="","",IFERROR(INDEX('MTRs'!$B$6:$B$505,INDEX('RECEBIMENTOS'!$U$6:$U$1005,$L264))&amp;"",""))</f>
        <v/>
      </c>
      <c r="D264" s="120" t="str">
        <f>IF($L264="","",INDEX('RECEBIMENTOS'!$D$6:$D$1005,$L264)&amp;"")</f>
        <v/>
      </c>
      <c r="E264" s="128" t="str">
        <f>IF($L264="","",INDEX('RECEBIMENTOS'!$E$6:$E$1005,$L264))</f>
        <v/>
      </c>
      <c r="F264" s="122" t="str">
        <f>IF($L264="","",INDEX('RECEBIMENTOS'!$H$6:$H$1005,$L264))</f>
        <v/>
      </c>
      <c r="G264" s="120" t="str">
        <f>IF($L264="","",INDEX('RECEBIMENTOS'!$P$6:$P$1005,$L264)&amp;"")</f>
        <v/>
      </c>
      <c r="H264" s="120" t="str">
        <f>IF($L264="","",INDEX('RECEBIMENTOS'!$A$6:$A$1005,$L264)&amp;"")</f>
        <v/>
      </c>
      <c r="L264" t="str">
        <f>IFERROR(MATCH(177,'RECEBIMENTOS'!$AB$6:$AB$1005,0),"")</f>
        <v/>
      </c>
    </row>
    <row r="265">
      <c r="B265" s="119" t="str">
        <f>IF($L265="","",INDEX('RECEBIMENTOS'!$B$6:$B$1005,$L265)&amp;"")</f>
        <v/>
      </c>
      <c r="C265" s="120" t="str">
        <f>IF($L265="","",IFERROR(INDEX('MTRs'!$B$6:$B$505,INDEX('RECEBIMENTOS'!$U$6:$U$1005,$L265))&amp;"",""))</f>
        <v/>
      </c>
      <c r="D265" s="120" t="str">
        <f>IF($L265="","",INDEX('RECEBIMENTOS'!$D$6:$D$1005,$L265)&amp;"")</f>
        <v/>
      </c>
      <c r="E265" s="128" t="str">
        <f>IF($L265="","",INDEX('RECEBIMENTOS'!$E$6:$E$1005,$L265))</f>
        <v/>
      </c>
      <c r="F265" s="122" t="str">
        <f>IF($L265="","",INDEX('RECEBIMENTOS'!$H$6:$H$1005,$L265))</f>
        <v/>
      </c>
      <c r="G265" s="120" t="str">
        <f>IF($L265="","",INDEX('RECEBIMENTOS'!$P$6:$P$1005,$L265)&amp;"")</f>
        <v/>
      </c>
      <c r="H265" s="120" t="str">
        <f>IF($L265="","",INDEX('RECEBIMENTOS'!$A$6:$A$1005,$L265)&amp;"")</f>
        <v/>
      </c>
      <c r="L265" t="str">
        <f>IFERROR(MATCH(178,'RECEBIMENTOS'!$AB$6:$AB$1005,0),"")</f>
        <v/>
      </c>
    </row>
    <row r="266">
      <c r="B266" s="119" t="str">
        <f>IF($L266="","",INDEX('RECEBIMENTOS'!$B$6:$B$1005,$L266)&amp;"")</f>
        <v/>
      </c>
      <c r="C266" s="120" t="str">
        <f>IF($L266="","",IFERROR(INDEX('MTRs'!$B$6:$B$505,INDEX('RECEBIMENTOS'!$U$6:$U$1005,$L266))&amp;"",""))</f>
        <v/>
      </c>
      <c r="D266" s="120" t="str">
        <f>IF($L266="","",INDEX('RECEBIMENTOS'!$D$6:$D$1005,$L266)&amp;"")</f>
        <v/>
      </c>
      <c r="E266" s="128" t="str">
        <f>IF($L266="","",INDEX('RECEBIMENTOS'!$E$6:$E$1005,$L266))</f>
        <v/>
      </c>
      <c r="F266" s="122" t="str">
        <f>IF($L266="","",INDEX('RECEBIMENTOS'!$H$6:$H$1005,$L266))</f>
        <v/>
      </c>
      <c r="G266" s="120" t="str">
        <f>IF($L266="","",INDEX('RECEBIMENTOS'!$P$6:$P$1005,$L266)&amp;"")</f>
        <v/>
      </c>
      <c r="H266" s="120" t="str">
        <f>IF($L266="","",INDEX('RECEBIMENTOS'!$A$6:$A$1005,$L266)&amp;"")</f>
        <v/>
      </c>
      <c r="L266" t="str">
        <f>IFERROR(MATCH(179,'RECEBIMENTOS'!$AB$6:$AB$1005,0),"")</f>
        <v/>
      </c>
    </row>
    <row r="267">
      <c r="B267" s="119" t="str">
        <f>IF($L267="","",INDEX('RECEBIMENTOS'!$B$6:$B$1005,$L267)&amp;"")</f>
        <v/>
      </c>
      <c r="C267" s="120" t="str">
        <f>IF($L267="","",IFERROR(INDEX('MTRs'!$B$6:$B$505,INDEX('RECEBIMENTOS'!$U$6:$U$1005,$L267))&amp;"",""))</f>
        <v/>
      </c>
      <c r="D267" s="120" t="str">
        <f>IF($L267="","",INDEX('RECEBIMENTOS'!$D$6:$D$1005,$L267)&amp;"")</f>
        <v/>
      </c>
      <c r="E267" s="128" t="str">
        <f>IF($L267="","",INDEX('RECEBIMENTOS'!$E$6:$E$1005,$L267))</f>
        <v/>
      </c>
      <c r="F267" s="122" t="str">
        <f>IF($L267="","",INDEX('RECEBIMENTOS'!$H$6:$H$1005,$L267))</f>
        <v/>
      </c>
      <c r="G267" s="120" t="str">
        <f>IF($L267="","",INDEX('RECEBIMENTOS'!$P$6:$P$1005,$L267)&amp;"")</f>
        <v/>
      </c>
      <c r="H267" s="120" t="str">
        <f>IF($L267="","",INDEX('RECEBIMENTOS'!$A$6:$A$1005,$L267)&amp;"")</f>
        <v/>
      </c>
      <c r="L267" t="str">
        <f>IFERROR(MATCH(180,'RECEBIMENTOS'!$AB$6:$AB$1005,0),"")</f>
        <v/>
      </c>
    </row>
    <row r="268">
      <c r="B268" s="119" t="str">
        <f>IF($L268="","",INDEX('RECEBIMENTOS'!$B$6:$B$1005,$L268)&amp;"")</f>
        <v/>
      </c>
      <c r="C268" s="120" t="str">
        <f>IF($L268="","",IFERROR(INDEX('MTRs'!$B$6:$B$505,INDEX('RECEBIMENTOS'!$U$6:$U$1005,$L268))&amp;"",""))</f>
        <v/>
      </c>
      <c r="D268" s="120" t="str">
        <f>IF($L268="","",INDEX('RECEBIMENTOS'!$D$6:$D$1005,$L268)&amp;"")</f>
        <v/>
      </c>
      <c r="E268" s="128" t="str">
        <f>IF($L268="","",INDEX('RECEBIMENTOS'!$E$6:$E$1005,$L268))</f>
        <v/>
      </c>
      <c r="F268" s="122" t="str">
        <f>IF($L268="","",INDEX('RECEBIMENTOS'!$H$6:$H$1005,$L268))</f>
        <v/>
      </c>
      <c r="G268" s="120" t="str">
        <f>IF($L268="","",INDEX('RECEBIMENTOS'!$P$6:$P$1005,$L268)&amp;"")</f>
        <v/>
      </c>
      <c r="H268" s="120" t="str">
        <f>IF($L268="","",INDEX('RECEBIMENTOS'!$A$6:$A$1005,$L268)&amp;"")</f>
        <v/>
      </c>
      <c r="L268" t="str">
        <f>IFERROR(MATCH(181,'RECEBIMENTOS'!$AB$6:$AB$1005,0),"")</f>
        <v/>
      </c>
    </row>
    <row r="269">
      <c r="B269" s="119" t="str">
        <f>IF($L269="","",INDEX('RECEBIMENTOS'!$B$6:$B$1005,$L269)&amp;"")</f>
        <v/>
      </c>
      <c r="C269" s="120" t="str">
        <f>IF($L269="","",IFERROR(INDEX('MTRs'!$B$6:$B$505,INDEX('RECEBIMENTOS'!$U$6:$U$1005,$L269))&amp;"",""))</f>
        <v/>
      </c>
      <c r="D269" s="120" t="str">
        <f>IF($L269="","",INDEX('RECEBIMENTOS'!$D$6:$D$1005,$L269)&amp;"")</f>
        <v/>
      </c>
      <c r="E269" s="128" t="str">
        <f>IF($L269="","",INDEX('RECEBIMENTOS'!$E$6:$E$1005,$L269))</f>
        <v/>
      </c>
      <c r="F269" s="122" t="str">
        <f>IF($L269="","",INDEX('RECEBIMENTOS'!$H$6:$H$1005,$L269))</f>
        <v/>
      </c>
      <c r="G269" s="120" t="str">
        <f>IF($L269="","",INDEX('RECEBIMENTOS'!$P$6:$P$1005,$L269)&amp;"")</f>
        <v/>
      </c>
      <c r="H269" s="120" t="str">
        <f>IF($L269="","",INDEX('RECEBIMENTOS'!$A$6:$A$1005,$L269)&amp;"")</f>
        <v/>
      </c>
      <c r="L269" t="str">
        <f>IFERROR(MATCH(182,'RECEBIMENTOS'!$AB$6:$AB$1005,0),"")</f>
        <v/>
      </c>
    </row>
    <row r="270">
      <c r="B270" s="119" t="str">
        <f>IF($L270="","",INDEX('RECEBIMENTOS'!$B$6:$B$1005,$L270)&amp;"")</f>
        <v/>
      </c>
      <c r="C270" s="120" t="str">
        <f>IF($L270="","",IFERROR(INDEX('MTRs'!$B$6:$B$505,INDEX('RECEBIMENTOS'!$U$6:$U$1005,$L270))&amp;"",""))</f>
        <v/>
      </c>
      <c r="D270" s="120" t="str">
        <f>IF($L270="","",INDEX('RECEBIMENTOS'!$D$6:$D$1005,$L270)&amp;"")</f>
        <v/>
      </c>
      <c r="E270" s="128" t="str">
        <f>IF($L270="","",INDEX('RECEBIMENTOS'!$E$6:$E$1005,$L270))</f>
        <v/>
      </c>
      <c r="F270" s="122" t="str">
        <f>IF($L270="","",INDEX('RECEBIMENTOS'!$H$6:$H$1005,$L270))</f>
        <v/>
      </c>
      <c r="G270" s="120" t="str">
        <f>IF($L270="","",INDEX('RECEBIMENTOS'!$P$6:$P$1005,$L270)&amp;"")</f>
        <v/>
      </c>
      <c r="H270" s="120" t="str">
        <f>IF($L270="","",INDEX('RECEBIMENTOS'!$A$6:$A$1005,$L270)&amp;"")</f>
        <v/>
      </c>
      <c r="L270" t="str">
        <f>IFERROR(MATCH(183,'RECEBIMENTOS'!$AB$6:$AB$1005,0),"")</f>
        <v/>
      </c>
    </row>
    <row r="271">
      <c r="B271" s="119" t="str">
        <f>IF($L271="","",INDEX('RECEBIMENTOS'!$B$6:$B$1005,$L271)&amp;"")</f>
        <v/>
      </c>
      <c r="C271" s="120" t="str">
        <f>IF($L271="","",IFERROR(INDEX('MTRs'!$B$6:$B$505,INDEX('RECEBIMENTOS'!$U$6:$U$1005,$L271))&amp;"",""))</f>
        <v/>
      </c>
      <c r="D271" s="120" t="str">
        <f>IF($L271="","",INDEX('RECEBIMENTOS'!$D$6:$D$1005,$L271)&amp;"")</f>
        <v/>
      </c>
      <c r="E271" s="128" t="str">
        <f>IF($L271="","",INDEX('RECEBIMENTOS'!$E$6:$E$1005,$L271))</f>
        <v/>
      </c>
      <c r="F271" s="122" t="str">
        <f>IF($L271="","",INDEX('RECEBIMENTOS'!$H$6:$H$1005,$L271))</f>
        <v/>
      </c>
      <c r="G271" s="120" t="str">
        <f>IF($L271="","",INDEX('RECEBIMENTOS'!$P$6:$P$1005,$L271)&amp;"")</f>
        <v/>
      </c>
      <c r="H271" s="120" t="str">
        <f>IF($L271="","",INDEX('RECEBIMENTOS'!$A$6:$A$1005,$L271)&amp;"")</f>
        <v/>
      </c>
      <c r="L271" t="str">
        <f>IFERROR(MATCH(184,'RECEBIMENTOS'!$AB$6:$AB$1005,0),"")</f>
        <v/>
      </c>
    </row>
    <row r="272">
      <c r="B272" s="119" t="str">
        <f>IF($L272="","",INDEX('RECEBIMENTOS'!$B$6:$B$1005,$L272)&amp;"")</f>
        <v/>
      </c>
      <c r="C272" s="120" t="str">
        <f>IF($L272="","",IFERROR(INDEX('MTRs'!$B$6:$B$505,INDEX('RECEBIMENTOS'!$U$6:$U$1005,$L272))&amp;"",""))</f>
        <v/>
      </c>
      <c r="D272" s="120" t="str">
        <f>IF($L272="","",INDEX('RECEBIMENTOS'!$D$6:$D$1005,$L272)&amp;"")</f>
        <v/>
      </c>
      <c r="E272" s="128" t="str">
        <f>IF($L272="","",INDEX('RECEBIMENTOS'!$E$6:$E$1005,$L272))</f>
        <v/>
      </c>
      <c r="F272" s="122" t="str">
        <f>IF($L272="","",INDEX('RECEBIMENTOS'!$H$6:$H$1005,$L272))</f>
        <v/>
      </c>
      <c r="G272" s="120" t="str">
        <f>IF($L272="","",INDEX('RECEBIMENTOS'!$P$6:$P$1005,$L272)&amp;"")</f>
        <v/>
      </c>
      <c r="H272" s="120" t="str">
        <f>IF($L272="","",INDEX('RECEBIMENTOS'!$A$6:$A$1005,$L272)&amp;"")</f>
        <v/>
      </c>
      <c r="L272" t="str">
        <f>IFERROR(MATCH(185,'RECEBIMENTOS'!$AB$6:$AB$1005,0),"")</f>
        <v/>
      </c>
    </row>
    <row r="273">
      <c r="B273" s="119" t="str">
        <f>IF($L273="","",INDEX('RECEBIMENTOS'!$B$6:$B$1005,$L273)&amp;"")</f>
        <v/>
      </c>
      <c r="C273" s="120" t="str">
        <f>IF($L273="","",IFERROR(INDEX('MTRs'!$B$6:$B$505,INDEX('RECEBIMENTOS'!$U$6:$U$1005,$L273))&amp;"",""))</f>
        <v/>
      </c>
      <c r="D273" s="120" t="str">
        <f>IF($L273="","",INDEX('RECEBIMENTOS'!$D$6:$D$1005,$L273)&amp;"")</f>
        <v/>
      </c>
      <c r="E273" s="128" t="str">
        <f>IF($L273="","",INDEX('RECEBIMENTOS'!$E$6:$E$1005,$L273))</f>
        <v/>
      </c>
      <c r="F273" s="122" t="str">
        <f>IF($L273="","",INDEX('RECEBIMENTOS'!$H$6:$H$1005,$L273))</f>
        <v/>
      </c>
      <c r="G273" s="120" t="str">
        <f>IF($L273="","",INDEX('RECEBIMENTOS'!$P$6:$P$1005,$L273)&amp;"")</f>
        <v/>
      </c>
      <c r="H273" s="120" t="str">
        <f>IF($L273="","",INDEX('RECEBIMENTOS'!$A$6:$A$1005,$L273)&amp;"")</f>
        <v/>
      </c>
      <c r="L273" t="str">
        <f>IFERROR(MATCH(186,'RECEBIMENTOS'!$AB$6:$AB$1005,0),"")</f>
        <v/>
      </c>
    </row>
    <row r="274">
      <c r="B274" s="119" t="str">
        <f>IF($L274="","",INDEX('RECEBIMENTOS'!$B$6:$B$1005,$L274)&amp;"")</f>
        <v/>
      </c>
      <c r="C274" s="120" t="str">
        <f>IF($L274="","",IFERROR(INDEX('MTRs'!$B$6:$B$505,INDEX('RECEBIMENTOS'!$U$6:$U$1005,$L274))&amp;"",""))</f>
        <v/>
      </c>
      <c r="D274" s="120" t="str">
        <f>IF($L274="","",INDEX('RECEBIMENTOS'!$D$6:$D$1005,$L274)&amp;"")</f>
        <v/>
      </c>
      <c r="E274" s="128" t="str">
        <f>IF($L274="","",INDEX('RECEBIMENTOS'!$E$6:$E$1005,$L274))</f>
        <v/>
      </c>
      <c r="F274" s="122" t="str">
        <f>IF($L274="","",INDEX('RECEBIMENTOS'!$H$6:$H$1005,$L274))</f>
        <v/>
      </c>
      <c r="G274" s="120" t="str">
        <f>IF($L274="","",INDEX('RECEBIMENTOS'!$P$6:$P$1005,$L274)&amp;"")</f>
        <v/>
      </c>
      <c r="H274" s="120" t="str">
        <f>IF($L274="","",INDEX('RECEBIMENTOS'!$A$6:$A$1005,$L274)&amp;"")</f>
        <v/>
      </c>
      <c r="L274" t="str">
        <f>IFERROR(MATCH(187,'RECEBIMENTOS'!$AB$6:$AB$1005,0),"")</f>
        <v/>
      </c>
    </row>
    <row r="275">
      <c r="B275" s="119" t="str">
        <f>IF($L275="","",INDEX('RECEBIMENTOS'!$B$6:$B$1005,$L275)&amp;"")</f>
        <v/>
      </c>
      <c r="C275" s="120" t="str">
        <f>IF($L275="","",IFERROR(INDEX('MTRs'!$B$6:$B$505,INDEX('RECEBIMENTOS'!$U$6:$U$1005,$L275))&amp;"",""))</f>
        <v/>
      </c>
      <c r="D275" s="120" t="str">
        <f>IF($L275="","",INDEX('RECEBIMENTOS'!$D$6:$D$1005,$L275)&amp;"")</f>
        <v/>
      </c>
      <c r="E275" s="128" t="str">
        <f>IF($L275="","",INDEX('RECEBIMENTOS'!$E$6:$E$1005,$L275))</f>
        <v/>
      </c>
      <c r="F275" s="122" t="str">
        <f>IF($L275="","",INDEX('RECEBIMENTOS'!$H$6:$H$1005,$L275))</f>
        <v/>
      </c>
      <c r="G275" s="120" t="str">
        <f>IF($L275="","",INDEX('RECEBIMENTOS'!$P$6:$P$1005,$L275)&amp;"")</f>
        <v/>
      </c>
      <c r="H275" s="120" t="str">
        <f>IF($L275="","",INDEX('RECEBIMENTOS'!$A$6:$A$1005,$L275)&amp;"")</f>
        <v/>
      </c>
      <c r="L275" t="str">
        <f>IFERROR(MATCH(188,'RECEBIMENTOS'!$AB$6:$AB$1005,0),"")</f>
        <v/>
      </c>
    </row>
    <row r="276">
      <c r="B276" s="119" t="str">
        <f>IF($L276="","",INDEX('RECEBIMENTOS'!$B$6:$B$1005,$L276)&amp;"")</f>
        <v/>
      </c>
      <c r="C276" s="120" t="str">
        <f>IF($L276="","",IFERROR(INDEX('MTRs'!$B$6:$B$505,INDEX('RECEBIMENTOS'!$U$6:$U$1005,$L276))&amp;"",""))</f>
        <v/>
      </c>
      <c r="D276" s="120" t="str">
        <f>IF($L276="","",INDEX('RECEBIMENTOS'!$D$6:$D$1005,$L276)&amp;"")</f>
        <v/>
      </c>
      <c r="E276" s="128" t="str">
        <f>IF($L276="","",INDEX('RECEBIMENTOS'!$E$6:$E$1005,$L276))</f>
        <v/>
      </c>
      <c r="F276" s="122" t="str">
        <f>IF($L276="","",INDEX('RECEBIMENTOS'!$H$6:$H$1005,$L276))</f>
        <v/>
      </c>
      <c r="G276" s="120" t="str">
        <f>IF($L276="","",INDEX('RECEBIMENTOS'!$P$6:$P$1005,$L276)&amp;"")</f>
        <v/>
      </c>
      <c r="H276" s="120" t="str">
        <f>IF($L276="","",INDEX('RECEBIMENTOS'!$A$6:$A$1005,$L276)&amp;"")</f>
        <v/>
      </c>
      <c r="L276" t="str">
        <f>IFERROR(MATCH(189,'RECEBIMENTOS'!$AB$6:$AB$1005,0),"")</f>
        <v/>
      </c>
    </row>
    <row r="277">
      <c r="B277" s="119" t="str">
        <f>IF($L277="","",INDEX('RECEBIMENTOS'!$B$6:$B$1005,$L277)&amp;"")</f>
        <v/>
      </c>
      <c r="C277" s="120" t="str">
        <f>IF($L277="","",IFERROR(INDEX('MTRs'!$B$6:$B$505,INDEX('RECEBIMENTOS'!$U$6:$U$1005,$L277))&amp;"",""))</f>
        <v/>
      </c>
      <c r="D277" s="120" t="str">
        <f>IF($L277="","",INDEX('RECEBIMENTOS'!$D$6:$D$1005,$L277)&amp;"")</f>
        <v/>
      </c>
      <c r="E277" s="128" t="str">
        <f>IF($L277="","",INDEX('RECEBIMENTOS'!$E$6:$E$1005,$L277))</f>
        <v/>
      </c>
      <c r="F277" s="122" t="str">
        <f>IF($L277="","",INDEX('RECEBIMENTOS'!$H$6:$H$1005,$L277))</f>
        <v/>
      </c>
      <c r="G277" s="120" t="str">
        <f>IF($L277="","",INDEX('RECEBIMENTOS'!$P$6:$P$1005,$L277)&amp;"")</f>
        <v/>
      </c>
      <c r="H277" s="120" t="str">
        <f>IF($L277="","",INDEX('RECEBIMENTOS'!$A$6:$A$1005,$L277)&amp;"")</f>
        <v/>
      </c>
      <c r="L277" t="str">
        <f>IFERROR(MATCH(190,'RECEBIMENTOS'!$AB$6:$AB$1005,0),"")</f>
        <v/>
      </c>
    </row>
    <row r="278">
      <c r="B278" s="119" t="str">
        <f>IF($L278="","",INDEX('RECEBIMENTOS'!$B$6:$B$1005,$L278)&amp;"")</f>
        <v/>
      </c>
      <c r="C278" s="120" t="str">
        <f>IF($L278="","",IFERROR(INDEX('MTRs'!$B$6:$B$505,INDEX('RECEBIMENTOS'!$U$6:$U$1005,$L278))&amp;"",""))</f>
        <v/>
      </c>
      <c r="D278" s="120" t="str">
        <f>IF($L278="","",INDEX('RECEBIMENTOS'!$D$6:$D$1005,$L278)&amp;"")</f>
        <v/>
      </c>
      <c r="E278" s="128" t="str">
        <f>IF($L278="","",INDEX('RECEBIMENTOS'!$E$6:$E$1005,$L278))</f>
        <v/>
      </c>
      <c r="F278" s="122" t="str">
        <f>IF($L278="","",INDEX('RECEBIMENTOS'!$H$6:$H$1005,$L278))</f>
        <v/>
      </c>
      <c r="G278" s="120" t="str">
        <f>IF($L278="","",INDEX('RECEBIMENTOS'!$P$6:$P$1005,$L278)&amp;"")</f>
        <v/>
      </c>
      <c r="H278" s="120" t="str">
        <f>IF($L278="","",INDEX('RECEBIMENTOS'!$A$6:$A$1005,$L278)&amp;"")</f>
        <v/>
      </c>
      <c r="L278" t="str">
        <f>IFERROR(MATCH(191,'RECEBIMENTOS'!$AB$6:$AB$1005,0),"")</f>
        <v/>
      </c>
    </row>
    <row r="279">
      <c r="B279" s="119" t="str">
        <f>IF($L279="","",INDEX('RECEBIMENTOS'!$B$6:$B$1005,$L279)&amp;"")</f>
        <v/>
      </c>
      <c r="C279" s="120" t="str">
        <f>IF($L279="","",IFERROR(INDEX('MTRs'!$B$6:$B$505,INDEX('RECEBIMENTOS'!$U$6:$U$1005,$L279))&amp;"",""))</f>
        <v/>
      </c>
      <c r="D279" s="120" t="str">
        <f>IF($L279="","",INDEX('RECEBIMENTOS'!$D$6:$D$1005,$L279)&amp;"")</f>
        <v/>
      </c>
      <c r="E279" s="128" t="str">
        <f>IF($L279="","",INDEX('RECEBIMENTOS'!$E$6:$E$1005,$L279))</f>
        <v/>
      </c>
      <c r="F279" s="122" t="str">
        <f>IF($L279="","",INDEX('RECEBIMENTOS'!$H$6:$H$1005,$L279))</f>
        <v/>
      </c>
      <c r="G279" s="120" t="str">
        <f>IF($L279="","",INDEX('RECEBIMENTOS'!$P$6:$P$1005,$L279)&amp;"")</f>
        <v/>
      </c>
      <c r="H279" s="120" t="str">
        <f>IF($L279="","",INDEX('RECEBIMENTOS'!$A$6:$A$1005,$L279)&amp;"")</f>
        <v/>
      </c>
      <c r="L279" t="str">
        <f>IFERROR(MATCH(192,'RECEBIMENTOS'!$AB$6:$AB$1005,0),"")</f>
        <v/>
      </c>
    </row>
    <row r="280">
      <c r="B280" s="119" t="str">
        <f>IF($L280="","",INDEX('RECEBIMENTOS'!$B$6:$B$1005,$L280)&amp;"")</f>
        <v/>
      </c>
      <c r="C280" s="120" t="str">
        <f>IF($L280="","",IFERROR(INDEX('MTRs'!$B$6:$B$505,INDEX('RECEBIMENTOS'!$U$6:$U$1005,$L280))&amp;"",""))</f>
        <v/>
      </c>
      <c r="D280" s="120" t="str">
        <f>IF($L280="","",INDEX('RECEBIMENTOS'!$D$6:$D$1005,$L280)&amp;"")</f>
        <v/>
      </c>
      <c r="E280" s="128" t="str">
        <f>IF($L280="","",INDEX('RECEBIMENTOS'!$E$6:$E$1005,$L280))</f>
        <v/>
      </c>
      <c r="F280" s="122" t="str">
        <f>IF($L280="","",INDEX('RECEBIMENTOS'!$H$6:$H$1005,$L280))</f>
        <v/>
      </c>
      <c r="G280" s="120" t="str">
        <f>IF($L280="","",INDEX('RECEBIMENTOS'!$P$6:$P$1005,$L280)&amp;"")</f>
        <v/>
      </c>
      <c r="H280" s="120" t="str">
        <f>IF($L280="","",INDEX('RECEBIMENTOS'!$A$6:$A$1005,$L280)&amp;"")</f>
        <v/>
      </c>
      <c r="L280" t="str">
        <f>IFERROR(MATCH(193,'RECEBIMENTOS'!$AB$6:$AB$1005,0),"")</f>
        <v/>
      </c>
    </row>
    <row r="281">
      <c r="B281" s="119" t="str">
        <f>IF($L281="","",INDEX('RECEBIMENTOS'!$B$6:$B$1005,$L281)&amp;"")</f>
        <v/>
      </c>
      <c r="C281" s="120" t="str">
        <f>IF($L281="","",IFERROR(INDEX('MTRs'!$B$6:$B$505,INDEX('RECEBIMENTOS'!$U$6:$U$1005,$L281))&amp;"",""))</f>
        <v/>
      </c>
      <c r="D281" s="120" t="str">
        <f>IF($L281="","",INDEX('RECEBIMENTOS'!$D$6:$D$1005,$L281)&amp;"")</f>
        <v/>
      </c>
      <c r="E281" s="128" t="str">
        <f>IF($L281="","",INDEX('RECEBIMENTOS'!$E$6:$E$1005,$L281))</f>
        <v/>
      </c>
      <c r="F281" s="122" t="str">
        <f>IF($L281="","",INDEX('RECEBIMENTOS'!$H$6:$H$1005,$L281))</f>
        <v/>
      </c>
      <c r="G281" s="120" t="str">
        <f>IF($L281="","",INDEX('RECEBIMENTOS'!$P$6:$P$1005,$L281)&amp;"")</f>
        <v/>
      </c>
      <c r="H281" s="120" t="str">
        <f>IF($L281="","",INDEX('RECEBIMENTOS'!$A$6:$A$1005,$L281)&amp;"")</f>
        <v/>
      </c>
      <c r="L281" t="str">
        <f>IFERROR(MATCH(194,'RECEBIMENTOS'!$AB$6:$AB$1005,0),"")</f>
        <v/>
      </c>
    </row>
    <row r="282">
      <c r="B282" s="119" t="str">
        <f>IF($L282="","",INDEX('RECEBIMENTOS'!$B$6:$B$1005,$L282)&amp;"")</f>
        <v/>
      </c>
      <c r="C282" s="120" t="str">
        <f>IF($L282="","",IFERROR(INDEX('MTRs'!$B$6:$B$505,INDEX('RECEBIMENTOS'!$U$6:$U$1005,$L282))&amp;"",""))</f>
        <v/>
      </c>
      <c r="D282" s="120" t="str">
        <f>IF($L282="","",INDEX('RECEBIMENTOS'!$D$6:$D$1005,$L282)&amp;"")</f>
        <v/>
      </c>
      <c r="E282" s="128" t="str">
        <f>IF($L282="","",INDEX('RECEBIMENTOS'!$E$6:$E$1005,$L282))</f>
        <v/>
      </c>
      <c r="F282" s="122" t="str">
        <f>IF($L282="","",INDEX('RECEBIMENTOS'!$H$6:$H$1005,$L282))</f>
        <v/>
      </c>
      <c r="G282" s="120" t="str">
        <f>IF($L282="","",INDEX('RECEBIMENTOS'!$P$6:$P$1005,$L282)&amp;"")</f>
        <v/>
      </c>
      <c r="H282" s="120" t="str">
        <f>IF($L282="","",INDEX('RECEBIMENTOS'!$A$6:$A$1005,$L282)&amp;"")</f>
        <v/>
      </c>
      <c r="L282" t="str">
        <f>IFERROR(MATCH(195,'RECEBIMENTOS'!$AB$6:$AB$1005,0),"")</f>
        <v/>
      </c>
    </row>
    <row r="283">
      <c r="B283" s="119" t="str">
        <f>IF($L283="","",INDEX('RECEBIMENTOS'!$B$6:$B$1005,$L283)&amp;"")</f>
        <v/>
      </c>
      <c r="C283" s="120" t="str">
        <f>IF($L283="","",IFERROR(INDEX('MTRs'!$B$6:$B$505,INDEX('RECEBIMENTOS'!$U$6:$U$1005,$L283))&amp;"",""))</f>
        <v/>
      </c>
      <c r="D283" s="120" t="str">
        <f>IF($L283="","",INDEX('RECEBIMENTOS'!$D$6:$D$1005,$L283)&amp;"")</f>
        <v/>
      </c>
      <c r="E283" s="128" t="str">
        <f>IF($L283="","",INDEX('RECEBIMENTOS'!$E$6:$E$1005,$L283))</f>
        <v/>
      </c>
      <c r="F283" s="122" t="str">
        <f>IF($L283="","",INDEX('RECEBIMENTOS'!$H$6:$H$1005,$L283))</f>
        <v/>
      </c>
      <c r="G283" s="120" t="str">
        <f>IF($L283="","",INDEX('RECEBIMENTOS'!$P$6:$P$1005,$L283)&amp;"")</f>
        <v/>
      </c>
      <c r="H283" s="120" t="str">
        <f>IF($L283="","",INDEX('RECEBIMENTOS'!$A$6:$A$1005,$L283)&amp;"")</f>
        <v/>
      </c>
      <c r="L283" t="str">
        <f>IFERROR(MATCH(196,'RECEBIMENTOS'!$AB$6:$AB$1005,0),"")</f>
        <v/>
      </c>
    </row>
    <row r="284">
      <c r="B284" s="119" t="str">
        <f>IF($L284="","",INDEX('RECEBIMENTOS'!$B$6:$B$1005,$L284)&amp;"")</f>
        <v/>
      </c>
      <c r="C284" s="120" t="str">
        <f>IF($L284="","",IFERROR(INDEX('MTRs'!$B$6:$B$505,INDEX('RECEBIMENTOS'!$U$6:$U$1005,$L284))&amp;"",""))</f>
        <v/>
      </c>
      <c r="D284" s="120" t="str">
        <f>IF($L284="","",INDEX('RECEBIMENTOS'!$D$6:$D$1005,$L284)&amp;"")</f>
        <v/>
      </c>
      <c r="E284" s="128" t="str">
        <f>IF($L284="","",INDEX('RECEBIMENTOS'!$E$6:$E$1005,$L284))</f>
        <v/>
      </c>
      <c r="F284" s="122" t="str">
        <f>IF($L284="","",INDEX('RECEBIMENTOS'!$H$6:$H$1005,$L284))</f>
        <v/>
      </c>
      <c r="G284" s="120" t="str">
        <f>IF($L284="","",INDEX('RECEBIMENTOS'!$P$6:$P$1005,$L284)&amp;"")</f>
        <v/>
      </c>
      <c r="H284" s="120" t="str">
        <f>IF($L284="","",INDEX('RECEBIMENTOS'!$A$6:$A$1005,$L284)&amp;"")</f>
        <v/>
      </c>
      <c r="L284" t="str">
        <f>IFERROR(MATCH(197,'RECEBIMENTOS'!$AB$6:$AB$1005,0),"")</f>
        <v/>
      </c>
    </row>
    <row r="285">
      <c r="B285" s="119" t="str">
        <f>IF($L285="","",INDEX('RECEBIMENTOS'!$B$6:$B$1005,$L285)&amp;"")</f>
        <v/>
      </c>
      <c r="C285" s="120" t="str">
        <f>IF($L285="","",IFERROR(INDEX('MTRs'!$B$6:$B$505,INDEX('RECEBIMENTOS'!$U$6:$U$1005,$L285))&amp;"",""))</f>
        <v/>
      </c>
      <c r="D285" s="120" t="str">
        <f>IF($L285="","",INDEX('RECEBIMENTOS'!$D$6:$D$1005,$L285)&amp;"")</f>
        <v/>
      </c>
      <c r="E285" s="128" t="str">
        <f>IF($L285="","",INDEX('RECEBIMENTOS'!$E$6:$E$1005,$L285))</f>
        <v/>
      </c>
      <c r="F285" s="122" t="str">
        <f>IF($L285="","",INDEX('RECEBIMENTOS'!$H$6:$H$1005,$L285))</f>
        <v/>
      </c>
      <c r="G285" s="120" t="str">
        <f>IF($L285="","",INDEX('RECEBIMENTOS'!$P$6:$P$1005,$L285)&amp;"")</f>
        <v/>
      </c>
      <c r="H285" s="120" t="str">
        <f>IF($L285="","",INDEX('RECEBIMENTOS'!$A$6:$A$1005,$L285)&amp;"")</f>
        <v/>
      </c>
      <c r="L285" t="str">
        <f>IFERROR(MATCH(198,'RECEBIMENTOS'!$AB$6:$AB$1005,0),"")</f>
        <v/>
      </c>
    </row>
    <row r="286">
      <c r="B286" s="119" t="str">
        <f>IF($L286="","",INDEX('RECEBIMENTOS'!$B$6:$B$1005,$L286)&amp;"")</f>
        <v/>
      </c>
      <c r="C286" s="120" t="str">
        <f>IF($L286="","",IFERROR(INDEX('MTRs'!$B$6:$B$505,INDEX('RECEBIMENTOS'!$U$6:$U$1005,$L286))&amp;"",""))</f>
        <v/>
      </c>
      <c r="D286" s="120" t="str">
        <f>IF($L286="","",INDEX('RECEBIMENTOS'!$D$6:$D$1005,$L286)&amp;"")</f>
        <v/>
      </c>
      <c r="E286" s="128" t="str">
        <f>IF($L286="","",INDEX('RECEBIMENTOS'!$E$6:$E$1005,$L286))</f>
        <v/>
      </c>
      <c r="F286" s="122" t="str">
        <f>IF($L286="","",INDEX('RECEBIMENTOS'!$H$6:$H$1005,$L286))</f>
        <v/>
      </c>
      <c r="G286" s="120" t="str">
        <f>IF($L286="","",INDEX('RECEBIMENTOS'!$P$6:$P$1005,$L286)&amp;"")</f>
        <v/>
      </c>
      <c r="H286" s="120" t="str">
        <f>IF($L286="","",INDEX('RECEBIMENTOS'!$A$6:$A$1005,$L286)&amp;"")</f>
        <v/>
      </c>
      <c r="L286" t="str">
        <f>IFERROR(MATCH(199,'RECEBIMENTOS'!$AB$6:$AB$1005,0),"")</f>
        <v/>
      </c>
    </row>
    <row r="287">
      <c r="B287" s="119" t="str">
        <f>IF($L287="","",INDEX('RECEBIMENTOS'!$B$6:$B$1005,$L287)&amp;"")</f>
        <v/>
      </c>
      <c r="C287" s="120" t="str">
        <f>IF($L287="","",IFERROR(INDEX('MTRs'!$B$6:$B$505,INDEX('RECEBIMENTOS'!$U$6:$U$1005,$L287))&amp;"",""))</f>
        <v/>
      </c>
      <c r="D287" s="120" t="str">
        <f>IF($L287="","",INDEX('RECEBIMENTOS'!$D$6:$D$1005,$L287)&amp;"")</f>
        <v/>
      </c>
      <c r="E287" s="128" t="str">
        <f>IF($L287="","",INDEX('RECEBIMENTOS'!$E$6:$E$1005,$L287))</f>
        <v/>
      </c>
      <c r="F287" s="122" t="str">
        <f>IF($L287="","",INDEX('RECEBIMENTOS'!$H$6:$H$1005,$L287))</f>
        <v/>
      </c>
      <c r="G287" s="120" t="str">
        <f>IF($L287="","",INDEX('RECEBIMENTOS'!$P$6:$P$1005,$L287)&amp;"")</f>
        <v/>
      </c>
      <c r="H287" s="120" t="str">
        <f>IF($L287="","",INDEX('RECEBIMENTOS'!$A$6:$A$1005,$L287)&amp;"")</f>
        <v/>
      </c>
      <c r="L287" t="str">
        <f>IFERROR(MATCH(200,'RECEBIMENTOS'!$AB$6:$AB$1005,0),"")</f>
        <v/>
      </c>
    </row>
    <row r="290" ht="26" customHeight="1">
      <c r="B290" s="116" t="inlineStr">
        <is>
          <t>RELATÓRIO 04 | CDFs POR DESTINADOR</t>
        </is>
      </c>
      <c r="C290" s="116" t="n"/>
      <c r="D290" s="116" t="n"/>
      <c r="E290" s="116" t="n"/>
      <c r="F290" s="116" t="n"/>
      <c r="G290" s="116" t="n"/>
      <c r="H290" s="116" t="n"/>
      <c r="I290" s="116" t="n"/>
      <c r="J290" s="116" t="n"/>
    </row>
    <row r="291" ht="28" customHeight="1">
      <c r="B291" s="117" t="inlineStr">
        <is>
          <t>Data considerada: data de emissão do CDF. Ordenado por destinador. Filtros: período e destinador. Mostra até 150 certificados.</t>
        </is>
      </c>
      <c r="C291" s="117" t="n"/>
      <c r="D291" s="117" t="n"/>
      <c r="E291" s="117" t="n"/>
      <c r="F291" s="117" t="n"/>
      <c r="G291" s="117" t="n"/>
      <c r="H291" s="127" t="str">
        <f>"CDFs encontrados: "&amp;COUNTIF('CDFs'!$AA$6:$AA$505,1)</f>
        <v>CDFs encontrados: 0</v>
      </c>
      <c r="I291" s="127" t="n"/>
      <c r="J291" s="127" t="n"/>
    </row>
    <row r="292" ht="34" customHeight="1">
      <c r="B292" s="43" t="inlineStr">
        <is>
          <t>Destinador</t>
        </is>
      </c>
      <c r="C292" s="43" t="inlineStr">
        <is>
          <t>Número do CDF</t>
        </is>
      </c>
      <c r="D292" s="43" t="inlineStr">
        <is>
          <t>ID interno do CDF</t>
        </is>
      </c>
      <c r="E292" s="43" t="inlineStr">
        <is>
          <t>Data de emissão</t>
        </is>
      </c>
      <c r="F292" s="43" t="inlineStr">
        <is>
          <t>Quantidade vinculada (kg)</t>
        </is>
      </c>
      <c r="G292" s="43" t="inlineStr">
        <is>
          <t>Nº de MTRs relacionados</t>
        </is>
      </c>
      <c r="H292" s="43" t="inlineStr">
        <is>
          <t>Situação interna de conferência</t>
        </is>
      </c>
    </row>
    <row r="293">
      <c r="B293" s="119" t="str">
        <f>IF($L293="","",INDEX('CDFs'!$F$6:$F$505,$L293)&amp;"")</f>
        <v/>
      </c>
      <c r="C293" s="120" t="str">
        <f>IF($L293="","",INDEX('CDFs'!$B$6:$B$505,$L293)&amp;"")</f>
        <v/>
      </c>
      <c r="D293" s="120" t="str">
        <f>IF($L293="","",INDEX('CDFs'!$A$6:$A$505,$L293)&amp;"")</f>
        <v/>
      </c>
      <c r="E293" s="128" t="str">
        <f>IF($L293="","",INDEX('CDFs'!$D$6:$D$505,$L293))</f>
        <v/>
      </c>
      <c r="F293" s="122" t="str">
        <f>IF($L293="","",INDEX('CDFs'!$O$6:$O$505,$L293))</f>
        <v/>
      </c>
      <c r="G293" s="121" t="str">
        <f>IF($L293="","",INDEX('CDFs'!$R$6:$R$505,$L293))</f>
        <v/>
      </c>
      <c r="H293" s="120" t="str">
        <f>IF($L293="","",INDEX('CDFs'!$Q$6:$Q$505,$L293)&amp;"")</f>
        <v/>
      </c>
      <c r="L293" t="str">
        <f>IFERROR(MATCH(SMALL('CDFs'!$AB$6:$AB$505,1),'CDFs'!$AB$6:$AB$505,0),"")</f>
        <v/>
      </c>
    </row>
    <row r="294">
      <c r="B294" s="119" t="str">
        <f>IF($L294="","",INDEX('CDFs'!$F$6:$F$505,$L294)&amp;"")</f>
        <v/>
      </c>
      <c r="C294" s="120" t="str">
        <f>IF($L294="","",INDEX('CDFs'!$B$6:$B$505,$L294)&amp;"")</f>
        <v/>
      </c>
      <c r="D294" s="120" t="str">
        <f>IF($L294="","",INDEX('CDFs'!$A$6:$A$505,$L294)&amp;"")</f>
        <v/>
      </c>
      <c r="E294" s="128" t="str">
        <f>IF($L294="","",INDEX('CDFs'!$D$6:$D$505,$L294))</f>
        <v/>
      </c>
      <c r="F294" s="122" t="str">
        <f>IF($L294="","",INDEX('CDFs'!$O$6:$O$505,$L294))</f>
        <v/>
      </c>
      <c r="G294" s="121" t="str">
        <f>IF($L294="","",INDEX('CDFs'!$R$6:$R$505,$L294))</f>
        <v/>
      </c>
      <c r="H294" s="120" t="str">
        <f>IF($L294="","",INDEX('CDFs'!$Q$6:$Q$505,$L294)&amp;"")</f>
        <v/>
      </c>
      <c r="L294" t="str">
        <f>IFERROR(MATCH(SMALL('CDFs'!$AB$6:$AB$505,2),'CDFs'!$AB$6:$AB$505,0),"")</f>
        <v/>
      </c>
    </row>
    <row r="295">
      <c r="B295" s="119" t="str">
        <f>IF($L295="","",INDEX('CDFs'!$F$6:$F$505,$L295)&amp;"")</f>
        <v/>
      </c>
      <c r="C295" s="120" t="str">
        <f>IF($L295="","",INDEX('CDFs'!$B$6:$B$505,$L295)&amp;"")</f>
        <v/>
      </c>
      <c r="D295" s="120" t="str">
        <f>IF($L295="","",INDEX('CDFs'!$A$6:$A$505,$L295)&amp;"")</f>
        <v/>
      </c>
      <c r="E295" s="128" t="str">
        <f>IF($L295="","",INDEX('CDFs'!$D$6:$D$505,$L295))</f>
        <v/>
      </c>
      <c r="F295" s="122" t="str">
        <f>IF($L295="","",INDEX('CDFs'!$O$6:$O$505,$L295))</f>
        <v/>
      </c>
      <c r="G295" s="121" t="str">
        <f>IF($L295="","",INDEX('CDFs'!$R$6:$R$505,$L295))</f>
        <v/>
      </c>
      <c r="H295" s="120" t="str">
        <f>IF($L295="","",INDEX('CDFs'!$Q$6:$Q$505,$L295)&amp;"")</f>
        <v/>
      </c>
      <c r="L295" t="str">
        <f>IFERROR(MATCH(SMALL('CDFs'!$AB$6:$AB$505,3),'CDFs'!$AB$6:$AB$505,0),"")</f>
        <v/>
      </c>
    </row>
    <row r="296">
      <c r="B296" s="119" t="str">
        <f>IF($L296="","",INDEX('CDFs'!$F$6:$F$505,$L296)&amp;"")</f>
        <v/>
      </c>
      <c r="C296" s="120" t="str">
        <f>IF($L296="","",INDEX('CDFs'!$B$6:$B$505,$L296)&amp;"")</f>
        <v/>
      </c>
      <c r="D296" s="120" t="str">
        <f>IF($L296="","",INDEX('CDFs'!$A$6:$A$505,$L296)&amp;"")</f>
        <v/>
      </c>
      <c r="E296" s="128" t="str">
        <f>IF($L296="","",INDEX('CDFs'!$D$6:$D$505,$L296))</f>
        <v/>
      </c>
      <c r="F296" s="122" t="str">
        <f>IF($L296="","",INDEX('CDFs'!$O$6:$O$505,$L296))</f>
        <v/>
      </c>
      <c r="G296" s="121" t="str">
        <f>IF($L296="","",INDEX('CDFs'!$R$6:$R$505,$L296))</f>
        <v/>
      </c>
      <c r="H296" s="120" t="str">
        <f>IF($L296="","",INDEX('CDFs'!$Q$6:$Q$505,$L296)&amp;"")</f>
        <v/>
      </c>
      <c r="L296" t="str">
        <f>IFERROR(MATCH(SMALL('CDFs'!$AB$6:$AB$505,4),'CDFs'!$AB$6:$AB$505,0),"")</f>
        <v/>
      </c>
    </row>
    <row r="297">
      <c r="B297" s="119" t="str">
        <f>IF($L297="","",INDEX('CDFs'!$F$6:$F$505,$L297)&amp;"")</f>
        <v/>
      </c>
      <c r="C297" s="120" t="str">
        <f>IF($L297="","",INDEX('CDFs'!$B$6:$B$505,$L297)&amp;"")</f>
        <v/>
      </c>
      <c r="D297" s="120" t="str">
        <f>IF($L297="","",INDEX('CDFs'!$A$6:$A$505,$L297)&amp;"")</f>
        <v/>
      </c>
      <c r="E297" s="128" t="str">
        <f>IF($L297="","",INDEX('CDFs'!$D$6:$D$505,$L297))</f>
        <v/>
      </c>
      <c r="F297" s="122" t="str">
        <f>IF($L297="","",INDEX('CDFs'!$O$6:$O$505,$L297))</f>
        <v/>
      </c>
      <c r="G297" s="121" t="str">
        <f>IF($L297="","",INDEX('CDFs'!$R$6:$R$505,$L297))</f>
        <v/>
      </c>
      <c r="H297" s="120" t="str">
        <f>IF($L297="","",INDEX('CDFs'!$Q$6:$Q$505,$L297)&amp;"")</f>
        <v/>
      </c>
      <c r="L297" t="str">
        <f>IFERROR(MATCH(SMALL('CDFs'!$AB$6:$AB$505,5),'CDFs'!$AB$6:$AB$505,0),"")</f>
        <v/>
      </c>
    </row>
    <row r="298">
      <c r="B298" s="119" t="str">
        <f>IF($L298="","",INDEX('CDFs'!$F$6:$F$505,$L298)&amp;"")</f>
        <v/>
      </c>
      <c r="C298" s="120" t="str">
        <f>IF($L298="","",INDEX('CDFs'!$B$6:$B$505,$L298)&amp;"")</f>
        <v/>
      </c>
      <c r="D298" s="120" t="str">
        <f>IF($L298="","",INDEX('CDFs'!$A$6:$A$505,$L298)&amp;"")</f>
        <v/>
      </c>
      <c r="E298" s="128" t="str">
        <f>IF($L298="","",INDEX('CDFs'!$D$6:$D$505,$L298))</f>
        <v/>
      </c>
      <c r="F298" s="122" t="str">
        <f>IF($L298="","",INDEX('CDFs'!$O$6:$O$505,$L298))</f>
        <v/>
      </c>
      <c r="G298" s="121" t="str">
        <f>IF($L298="","",INDEX('CDFs'!$R$6:$R$505,$L298))</f>
        <v/>
      </c>
      <c r="H298" s="120" t="str">
        <f>IF($L298="","",INDEX('CDFs'!$Q$6:$Q$505,$L298)&amp;"")</f>
        <v/>
      </c>
      <c r="L298" t="str">
        <f>IFERROR(MATCH(SMALL('CDFs'!$AB$6:$AB$505,6),'CDFs'!$AB$6:$AB$505,0),"")</f>
        <v/>
      </c>
    </row>
    <row r="299">
      <c r="B299" s="119" t="str">
        <f>IF($L299="","",INDEX('CDFs'!$F$6:$F$505,$L299)&amp;"")</f>
        <v/>
      </c>
      <c r="C299" s="120" t="str">
        <f>IF($L299="","",INDEX('CDFs'!$B$6:$B$505,$L299)&amp;"")</f>
        <v/>
      </c>
      <c r="D299" s="120" t="str">
        <f>IF($L299="","",INDEX('CDFs'!$A$6:$A$505,$L299)&amp;"")</f>
        <v/>
      </c>
      <c r="E299" s="128" t="str">
        <f>IF($L299="","",INDEX('CDFs'!$D$6:$D$505,$L299))</f>
        <v/>
      </c>
      <c r="F299" s="122" t="str">
        <f>IF($L299="","",INDEX('CDFs'!$O$6:$O$505,$L299))</f>
        <v/>
      </c>
      <c r="G299" s="121" t="str">
        <f>IF($L299="","",INDEX('CDFs'!$R$6:$R$505,$L299))</f>
        <v/>
      </c>
      <c r="H299" s="120" t="str">
        <f>IF($L299="","",INDEX('CDFs'!$Q$6:$Q$505,$L299)&amp;"")</f>
        <v/>
      </c>
      <c r="L299" t="str">
        <f>IFERROR(MATCH(SMALL('CDFs'!$AB$6:$AB$505,7),'CDFs'!$AB$6:$AB$505,0),"")</f>
        <v/>
      </c>
    </row>
    <row r="300">
      <c r="B300" s="119" t="str">
        <f>IF($L300="","",INDEX('CDFs'!$F$6:$F$505,$L300)&amp;"")</f>
        <v/>
      </c>
      <c r="C300" s="120" t="str">
        <f>IF($L300="","",INDEX('CDFs'!$B$6:$B$505,$L300)&amp;"")</f>
        <v/>
      </c>
      <c r="D300" s="120" t="str">
        <f>IF($L300="","",INDEX('CDFs'!$A$6:$A$505,$L300)&amp;"")</f>
        <v/>
      </c>
      <c r="E300" s="128" t="str">
        <f>IF($L300="","",INDEX('CDFs'!$D$6:$D$505,$L300))</f>
        <v/>
      </c>
      <c r="F300" s="122" t="str">
        <f>IF($L300="","",INDEX('CDFs'!$O$6:$O$505,$L300))</f>
        <v/>
      </c>
      <c r="G300" s="121" t="str">
        <f>IF($L300="","",INDEX('CDFs'!$R$6:$R$505,$L300))</f>
        <v/>
      </c>
      <c r="H300" s="120" t="str">
        <f>IF($L300="","",INDEX('CDFs'!$Q$6:$Q$505,$L300)&amp;"")</f>
        <v/>
      </c>
      <c r="L300" t="str">
        <f>IFERROR(MATCH(SMALL('CDFs'!$AB$6:$AB$505,8),'CDFs'!$AB$6:$AB$505,0),"")</f>
        <v/>
      </c>
    </row>
    <row r="301">
      <c r="B301" s="119" t="str">
        <f>IF($L301="","",INDEX('CDFs'!$F$6:$F$505,$L301)&amp;"")</f>
        <v/>
      </c>
      <c r="C301" s="120" t="str">
        <f>IF($L301="","",INDEX('CDFs'!$B$6:$B$505,$L301)&amp;"")</f>
        <v/>
      </c>
      <c r="D301" s="120" t="str">
        <f>IF($L301="","",INDEX('CDFs'!$A$6:$A$505,$L301)&amp;"")</f>
        <v/>
      </c>
      <c r="E301" s="128" t="str">
        <f>IF($L301="","",INDEX('CDFs'!$D$6:$D$505,$L301))</f>
        <v/>
      </c>
      <c r="F301" s="122" t="str">
        <f>IF($L301="","",INDEX('CDFs'!$O$6:$O$505,$L301))</f>
        <v/>
      </c>
      <c r="G301" s="121" t="str">
        <f>IF($L301="","",INDEX('CDFs'!$R$6:$R$505,$L301))</f>
        <v/>
      </c>
      <c r="H301" s="120" t="str">
        <f>IF($L301="","",INDEX('CDFs'!$Q$6:$Q$505,$L301)&amp;"")</f>
        <v/>
      </c>
      <c r="L301" t="str">
        <f>IFERROR(MATCH(SMALL('CDFs'!$AB$6:$AB$505,9),'CDFs'!$AB$6:$AB$505,0),"")</f>
        <v/>
      </c>
    </row>
    <row r="302">
      <c r="B302" s="119" t="str">
        <f>IF($L302="","",INDEX('CDFs'!$F$6:$F$505,$L302)&amp;"")</f>
        <v/>
      </c>
      <c r="C302" s="120" t="str">
        <f>IF($L302="","",INDEX('CDFs'!$B$6:$B$505,$L302)&amp;"")</f>
        <v/>
      </c>
      <c r="D302" s="120" t="str">
        <f>IF($L302="","",INDEX('CDFs'!$A$6:$A$505,$L302)&amp;"")</f>
        <v/>
      </c>
      <c r="E302" s="128" t="str">
        <f>IF($L302="","",INDEX('CDFs'!$D$6:$D$505,$L302))</f>
        <v/>
      </c>
      <c r="F302" s="122" t="str">
        <f>IF($L302="","",INDEX('CDFs'!$O$6:$O$505,$L302))</f>
        <v/>
      </c>
      <c r="G302" s="121" t="str">
        <f>IF($L302="","",INDEX('CDFs'!$R$6:$R$505,$L302))</f>
        <v/>
      </c>
      <c r="H302" s="120" t="str">
        <f>IF($L302="","",INDEX('CDFs'!$Q$6:$Q$505,$L302)&amp;"")</f>
        <v/>
      </c>
      <c r="L302" t="str">
        <f>IFERROR(MATCH(SMALL('CDFs'!$AB$6:$AB$505,10),'CDFs'!$AB$6:$AB$505,0),"")</f>
        <v/>
      </c>
    </row>
    <row r="303">
      <c r="B303" s="119" t="str">
        <f>IF($L303="","",INDEX('CDFs'!$F$6:$F$505,$L303)&amp;"")</f>
        <v/>
      </c>
      <c r="C303" s="120" t="str">
        <f>IF($L303="","",INDEX('CDFs'!$B$6:$B$505,$L303)&amp;"")</f>
        <v/>
      </c>
      <c r="D303" s="120" t="str">
        <f>IF($L303="","",INDEX('CDFs'!$A$6:$A$505,$L303)&amp;"")</f>
        <v/>
      </c>
      <c r="E303" s="128" t="str">
        <f>IF($L303="","",INDEX('CDFs'!$D$6:$D$505,$L303))</f>
        <v/>
      </c>
      <c r="F303" s="122" t="str">
        <f>IF($L303="","",INDEX('CDFs'!$O$6:$O$505,$L303))</f>
        <v/>
      </c>
      <c r="G303" s="121" t="str">
        <f>IF($L303="","",INDEX('CDFs'!$R$6:$R$505,$L303))</f>
        <v/>
      </c>
      <c r="H303" s="120" t="str">
        <f>IF($L303="","",INDEX('CDFs'!$Q$6:$Q$505,$L303)&amp;"")</f>
        <v/>
      </c>
      <c r="L303" t="str">
        <f>IFERROR(MATCH(SMALL('CDFs'!$AB$6:$AB$505,11),'CDFs'!$AB$6:$AB$505,0),"")</f>
        <v/>
      </c>
    </row>
    <row r="304">
      <c r="B304" s="119" t="str">
        <f>IF($L304="","",INDEX('CDFs'!$F$6:$F$505,$L304)&amp;"")</f>
        <v/>
      </c>
      <c r="C304" s="120" t="str">
        <f>IF($L304="","",INDEX('CDFs'!$B$6:$B$505,$L304)&amp;"")</f>
        <v/>
      </c>
      <c r="D304" s="120" t="str">
        <f>IF($L304="","",INDEX('CDFs'!$A$6:$A$505,$L304)&amp;"")</f>
        <v/>
      </c>
      <c r="E304" s="128" t="str">
        <f>IF($L304="","",INDEX('CDFs'!$D$6:$D$505,$L304))</f>
        <v/>
      </c>
      <c r="F304" s="122" t="str">
        <f>IF($L304="","",INDEX('CDFs'!$O$6:$O$505,$L304))</f>
        <v/>
      </c>
      <c r="G304" s="121" t="str">
        <f>IF($L304="","",INDEX('CDFs'!$R$6:$R$505,$L304))</f>
        <v/>
      </c>
      <c r="H304" s="120" t="str">
        <f>IF($L304="","",INDEX('CDFs'!$Q$6:$Q$505,$L304)&amp;"")</f>
        <v/>
      </c>
      <c r="L304" t="str">
        <f>IFERROR(MATCH(SMALL('CDFs'!$AB$6:$AB$505,12),'CDFs'!$AB$6:$AB$505,0),"")</f>
        <v/>
      </c>
    </row>
    <row r="305">
      <c r="B305" s="119" t="str">
        <f>IF($L305="","",INDEX('CDFs'!$F$6:$F$505,$L305)&amp;"")</f>
        <v/>
      </c>
      <c r="C305" s="120" t="str">
        <f>IF($L305="","",INDEX('CDFs'!$B$6:$B$505,$L305)&amp;"")</f>
        <v/>
      </c>
      <c r="D305" s="120" t="str">
        <f>IF($L305="","",INDEX('CDFs'!$A$6:$A$505,$L305)&amp;"")</f>
        <v/>
      </c>
      <c r="E305" s="128" t="str">
        <f>IF($L305="","",INDEX('CDFs'!$D$6:$D$505,$L305))</f>
        <v/>
      </c>
      <c r="F305" s="122" t="str">
        <f>IF($L305="","",INDEX('CDFs'!$O$6:$O$505,$L305))</f>
        <v/>
      </c>
      <c r="G305" s="121" t="str">
        <f>IF($L305="","",INDEX('CDFs'!$R$6:$R$505,$L305))</f>
        <v/>
      </c>
      <c r="H305" s="120" t="str">
        <f>IF($L305="","",INDEX('CDFs'!$Q$6:$Q$505,$L305)&amp;"")</f>
        <v/>
      </c>
      <c r="L305" t="str">
        <f>IFERROR(MATCH(SMALL('CDFs'!$AB$6:$AB$505,13),'CDFs'!$AB$6:$AB$505,0),"")</f>
        <v/>
      </c>
    </row>
    <row r="306">
      <c r="B306" s="119" t="str">
        <f>IF($L306="","",INDEX('CDFs'!$F$6:$F$505,$L306)&amp;"")</f>
        <v/>
      </c>
      <c r="C306" s="120" t="str">
        <f>IF($L306="","",INDEX('CDFs'!$B$6:$B$505,$L306)&amp;"")</f>
        <v/>
      </c>
      <c r="D306" s="120" t="str">
        <f>IF($L306="","",INDEX('CDFs'!$A$6:$A$505,$L306)&amp;"")</f>
        <v/>
      </c>
      <c r="E306" s="128" t="str">
        <f>IF($L306="","",INDEX('CDFs'!$D$6:$D$505,$L306))</f>
        <v/>
      </c>
      <c r="F306" s="122" t="str">
        <f>IF($L306="","",INDEX('CDFs'!$O$6:$O$505,$L306))</f>
        <v/>
      </c>
      <c r="G306" s="121" t="str">
        <f>IF($L306="","",INDEX('CDFs'!$R$6:$R$505,$L306))</f>
        <v/>
      </c>
      <c r="H306" s="120" t="str">
        <f>IF($L306="","",INDEX('CDFs'!$Q$6:$Q$505,$L306)&amp;"")</f>
        <v/>
      </c>
      <c r="L306" t="str">
        <f>IFERROR(MATCH(SMALL('CDFs'!$AB$6:$AB$505,14),'CDFs'!$AB$6:$AB$505,0),"")</f>
        <v/>
      </c>
    </row>
    <row r="307">
      <c r="B307" s="119" t="str">
        <f>IF($L307="","",INDEX('CDFs'!$F$6:$F$505,$L307)&amp;"")</f>
        <v/>
      </c>
      <c r="C307" s="120" t="str">
        <f>IF($L307="","",INDEX('CDFs'!$B$6:$B$505,$L307)&amp;"")</f>
        <v/>
      </c>
      <c r="D307" s="120" t="str">
        <f>IF($L307="","",INDEX('CDFs'!$A$6:$A$505,$L307)&amp;"")</f>
        <v/>
      </c>
      <c r="E307" s="128" t="str">
        <f>IF($L307="","",INDEX('CDFs'!$D$6:$D$505,$L307))</f>
        <v/>
      </c>
      <c r="F307" s="122" t="str">
        <f>IF($L307="","",INDEX('CDFs'!$O$6:$O$505,$L307))</f>
        <v/>
      </c>
      <c r="G307" s="121" t="str">
        <f>IF($L307="","",INDEX('CDFs'!$R$6:$R$505,$L307))</f>
        <v/>
      </c>
      <c r="H307" s="120" t="str">
        <f>IF($L307="","",INDEX('CDFs'!$Q$6:$Q$505,$L307)&amp;"")</f>
        <v/>
      </c>
      <c r="L307" t="str">
        <f>IFERROR(MATCH(SMALL('CDFs'!$AB$6:$AB$505,15),'CDFs'!$AB$6:$AB$505,0),"")</f>
        <v/>
      </c>
    </row>
    <row r="308">
      <c r="B308" s="119" t="str">
        <f>IF($L308="","",INDEX('CDFs'!$F$6:$F$505,$L308)&amp;"")</f>
        <v/>
      </c>
      <c r="C308" s="120" t="str">
        <f>IF($L308="","",INDEX('CDFs'!$B$6:$B$505,$L308)&amp;"")</f>
        <v/>
      </c>
      <c r="D308" s="120" t="str">
        <f>IF($L308="","",INDEX('CDFs'!$A$6:$A$505,$L308)&amp;"")</f>
        <v/>
      </c>
      <c r="E308" s="128" t="str">
        <f>IF($L308="","",INDEX('CDFs'!$D$6:$D$505,$L308))</f>
        <v/>
      </c>
      <c r="F308" s="122" t="str">
        <f>IF($L308="","",INDEX('CDFs'!$O$6:$O$505,$L308))</f>
        <v/>
      </c>
      <c r="G308" s="121" t="str">
        <f>IF($L308="","",INDEX('CDFs'!$R$6:$R$505,$L308))</f>
        <v/>
      </c>
      <c r="H308" s="120" t="str">
        <f>IF($L308="","",INDEX('CDFs'!$Q$6:$Q$505,$L308)&amp;"")</f>
        <v/>
      </c>
      <c r="L308" t="str">
        <f>IFERROR(MATCH(SMALL('CDFs'!$AB$6:$AB$505,16),'CDFs'!$AB$6:$AB$505,0),"")</f>
        <v/>
      </c>
    </row>
    <row r="309">
      <c r="B309" s="119" t="str">
        <f>IF($L309="","",INDEX('CDFs'!$F$6:$F$505,$L309)&amp;"")</f>
        <v/>
      </c>
      <c r="C309" s="120" t="str">
        <f>IF($L309="","",INDEX('CDFs'!$B$6:$B$505,$L309)&amp;"")</f>
        <v/>
      </c>
      <c r="D309" s="120" t="str">
        <f>IF($L309="","",INDEX('CDFs'!$A$6:$A$505,$L309)&amp;"")</f>
        <v/>
      </c>
      <c r="E309" s="128" t="str">
        <f>IF($L309="","",INDEX('CDFs'!$D$6:$D$505,$L309))</f>
        <v/>
      </c>
      <c r="F309" s="122" t="str">
        <f>IF($L309="","",INDEX('CDFs'!$O$6:$O$505,$L309))</f>
        <v/>
      </c>
      <c r="G309" s="121" t="str">
        <f>IF($L309="","",INDEX('CDFs'!$R$6:$R$505,$L309))</f>
        <v/>
      </c>
      <c r="H309" s="120" t="str">
        <f>IF($L309="","",INDEX('CDFs'!$Q$6:$Q$505,$L309)&amp;"")</f>
        <v/>
      </c>
      <c r="L309" t="str">
        <f>IFERROR(MATCH(SMALL('CDFs'!$AB$6:$AB$505,17),'CDFs'!$AB$6:$AB$505,0),"")</f>
        <v/>
      </c>
    </row>
    <row r="310">
      <c r="B310" s="119" t="str">
        <f>IF($L310="","",INDEX('CDFs'!$F$6:$F$505,$L310)&amp;"")</f>
        <v/>
      </c>
      <c r="C310" s="120" t="str">
        <f>IF($L310="","",INDEX('CDFs'!$B$6:$B$505,$L310)&amp;"")</f>
        <v/>
      </c>
      <c r="D310" s="120" t="str">
        <f>IF($L310="","",INDEX('CDFs'!$A$6:$A$505,$L310)&amp;"")</f>
        <v/>
      </c>
      <c r="E310" s="128" t="str">
        <f>IF($L310="","",INDEX('CDFs'!$D$6:$D$505,$L310))</f>
        <v/>
      </c>
      <c r="F310" s="122" t="str">
        <f>IF($L310="","",INDEX('CDFs'!$O$6:$O$505,$L310))</f>
        <v/>
      </c>
      <c r="G310" s="121" t="str">
        <f>IF($L310="","",INDEX('CDFs'!$R$6:$R$505,$L310))</f>
        <v/>
      </c>
      <c r="H310" s="120" t="str">
        <f>IF($L310="","",INDEX('CDFs'!$Q$6:$Q$505,$L310)&amp;"")</f>
        <v/>
      </c>
      <c r="L310" t="str">
        <f>IFERROR(MATCH(SMALL('CDFs'!$AB$6:$AB$505,18),'CDFs'!$AB$6:$AB$505,0),"")</f>
        <v/>
      </c>
    </row>
    <row r="311">
      <c r="B311" s="119" t="str">
        <f>IF($L311="","",INDEX('CDFs'!$F$6:$F$505,$L311)&amp;"")</f>
        <v/>
      </c>
      <c r="C311" s="120" t="str">
        <f>IF($L311="","",INDEX('CDFs'!$B$6:$B$505,$L311)&amp;"")</f>
        <v/>
      </c>
      <c r="D311" s="120" t="str">
        <f>IF($L311="","",INDEX('CDFs'!$A$6:$A$505,$L311)&amp;"")</f>
        <v/>
      </c>
      <c r="E311" s="128" t="str">
        <f>IF($L311="","",INDEX('CDFs'!$D$6:$D$505,$L311))</f>
        <v/>
      </c>
      <c r="F311" s="122" t="str">
        <f>IF($L311="","",INDEX('CDFs'!$O$6:$O$505,$L311))</f>
        <v/>
      </c>
      <c r="G311" s="121" t="str">
        <f>IF($L311="","",INDEX('CDFs'!$R$6:$R$505,$L311))</f>
        <v/>
      </c>
      <c r="H311" s="120" t="str">
        <f>IF($L311="","",INDEX('CDFs'!$Q$6:$Q$505,$L311)&amp;"")</f>
        <v/>
      </c>
      <c r="L311" t="str">
        <f>IFERROR(MATCH(SMALL('CDFs'!$AB$6:$AB$505,19),'CDFs'!$AB$6:$AB$505,0),"")</f>
        <v/>
      </c>
    </row>
    <row r="312">
      <c r="B312" s="119" t="str">
        <f>IF($L312="","",INDEX('CDFs'!$F$6:$F$505,$L312)&amp;"")</f>
        <v/>
      </c>
      <c r="C312" s="120" t="str">
        <f>IF($L312="","",INDEX('CDFs'!$B$6:$B$505,$L312)&amp;"")</f>
        <v/>
      </c>
      <c r="D312" s="120" t="str">
        <f>IF($L312="","",INDEX('CDFs'!$A$6:$A$505,$L312)&amp;"")</f>
        <v/>
      </c>
      <c r="E312" s="128" t="str">
        <f>IF($L312="","",INDEX('CDFs'!$D$6:$D$505,$L312))</f>
        <v/>
      </c>
      <c r="F312" s="122" t="str">
        <f>IF($L312="","",INDEX('CDFs'!$O$6:$O$505,$L312))</f>
        <v/>
      </c>
      <c r="G312" s="121" t="str">
        <f>IF($L312="","",INDEX('CDFs'!$R$6:$R$505,$L312))</f>
        <v/>
      </c>
      <c r="H312" s="120" t="str">
        <f>IF($L312="","",INDEX('CDFs'!$Q$6:$Q$505,$L312)&amp;"")</f>
        <v/>
      </c>
      <c r="L312" t="str">
        <f>IFERROR(MATCH(SMALL('CDFs'!$AB$6:$AB$505,20),'CDFs'!$AB$6:$AB$505,0),"")</f>
        <v/>
      </c>
    </row>
    <row r="313">
      <c r="B313" s="119" t="str">
        <f>IF($L313="","",INDEX('CDFs'!$F$6:$F$505,$L313)&amp;"")</f>
        <v/>
      </c>
      <c r="C313" s="120" t="str">
        <f>IF($L313="","",INDEX('CDFs'!$B$6:$B$505,$L313)&amp;"")</f>
        <v/>
      </c>
      <c r="D313" s="120" t="str">
        <f>IF($L313="","",INDEX('CDFs'!$A$6:$A$505,$L313)&amp;"")</f>
        <v/>
      </c>
      <c r="E313" s="128" t="str">
        <f>IF($L313="","",INDEX('CDFs'!$D$6:$D$505,$L313))</f>
        <v/>
      </c>
      <c r="F313" s="122" t="str">
        <f>IF($L313="","",INDEX('CDFs'!$O$6:$O$505,$L313))</f>
        <v/>
      </c>
      <c r="G313" s="121" t="str">
        <f>IF($L313="","",INDEX('CDFs'!$R$6:$R$505,$L313))</f>
        <v/>
      </c>
      <c r="H313" s="120" t="str">
        <f>IF($L313="","",INDEX('CDFs'!$Q$6:$Q$505,$L313)&amp;"")</f>
        <v/>
      </c>
      <c r="L313" t="str">
        <f>IFERROR(MATCH(SMALL('CDFs'!$AB$6:$AB$505,21),'CDFs'!$AB$6:$AB$505,0),"")</f>
        <v/>
      </c>
    </row>
    <row r="314">
      <c r="B314" s="119" t="str">
        <f>IF($L314="","",INDEX('CDFs'!$F$6:$F$505,$L314)&amp;"")</f>
        <v/>
      </c>
      <c r="C314" s="120" t="str">
        <f>IF($L314="","",INDEX('CDFs'!$B$6:$B$505,$L314)&amp;"")</f>
        <v/>
      </c>
      <c r="D314" s="120" t="str">
        <f>IF($L314="","",INDEX('CDFs'!$A$6:$A$505,$L314)&amp;"")</f>
        <v/>
      </c>
      <c r="E314" s="128" t="str">
        <f>IF($L314="","",INDEX('CDFs'!$D$6:$D$505,$L314))</f>
        <v/>
      </c>
      <c r="F314" s="122" t="str">
        <f>IF($L314="","",INDEX('CDFs'!$O$6:$O$505,$L314))</f>
        <v/>
      </c>
      <c r="G314" s="121" t="str">
        <f>IF($L314="","",INDEX('CDFs'!$R$6:$R$505,$L314))</f>
        <v/>
      </c>
      <c r="H314" s="120" t="str">
        <f>IF($L314="","",INDEX('CDFs'!$Q$6:$Q$505,$L314)&amp;"")</f>
        <v/>
      </c>
      <c r="L314" t="str">
        <f>IFERROR(MATCH(SMALL('CDFs'!$AB$6:$AB$505,22),'CDFs'!$AB$6:$AB$505,0),"")</f>
        <v/>
      </c>
    </row>
    <row r="315">
      <c r="B315" s="119" t="str">
        <f>IF($L315="","",INDEX('CDFs'!$F$6:$F$505,$L315)&amp;"")</f>
        <v/>
      </c>
      <c r="C315" s="120" t="str">
        <f>IF($L315="","",INDEX('CDFs'!$B$6:$B$505,$L315)&amp;"")</f>
        <v/>
      </c>
      <c r="D315" s="120" t="str">
        <f>IF($L315="","",INDEX('CDFs'!$A$6:$A$505,$L315)&amp;"")</f>
        <v/>
      </c>
      <c r="E315" s="128" t="str">
        <f>IF($L315="","",INDEX('CDFs'!$D$6:$D$505,$L315))</f>
        <v/>
      </c>
      <c r="F315" s="122" t="str">
        <f>IF($L315="","",INDEX('CDFs'!$O$6:$O$505,$L315))</f>
        <v/>
      </c>
      <c r="G315" s="121" t="str">
        <f>IF($L315="","",INDEX('CDFs'!$R$6:$R$505,$L315))</f>
        <v/>
      </c>
      <c r="H315" s="120" t="str">
        <f>IF($L315="","",INDEX('CDFs'!$Q$6:$Q$505,$L315)&amp;"")</f>
        <v/>
      </c>
      <c r="L315" t="str">
        <f>IFERROR(MATCH(SMALL('CDFs'!$AB$6:$AB$505,23),'CDFs'!$AB$6:$AB$505,0),"")</f>
        <v/>
      </c>
    </row>
    <row r="316">
      <c r="B316" s="119" t="str">
        <f>IF($L316="","",INDEX('CDFs'!$F$6:$F$505,$L316)&amp;"")</f>
        <v/>
      </c>
      <c r="C316" s="120" t="str">
        <f>IF($L316="","",INDEX('CDFs'!$B$6:$B$505,$L316)&amp;"")</f>
        <v/>
      </c>
      <c r="D316" s="120" t="str">
        <f>IF($L316="","",INDEX('CDFs'!$A$6:$A$505,$L316)&amp;"")</f>
        <v/>
      </c>
      <c r="E316" s="128" t="str">
        <f>IF($L316="","",INDEX('CDFs'!$D$6:$D$505,$L316))</f>
        <v/>
      </c>
      <c r="F316" s="122" t="str">
        <f>IF($L316="","",INDEX('CDFs'!$O$6:$O$505,$L316))</f>
        <v/>
      </c>
      <c r="G316" s="121" t="str">
        <f>IF($L316="","",INDEX('CDFs'!$R$6:$R$505,$L316))</f>
        <v/>
      </c>
      <c r="H316" s="120" t="str">
        <f>IF($L316="","",INDEX('CDFs'!$Q$6:$Q$505,$L316)&amp;"")</f>
        <v/>
      </c>
      <c r="L316" t="str">
        <f>IFERROR(MATCH(SMALL('CDFs'!$AB$6:$AB$505,24),'CDFs'!$AB$6:$AB$505,0),"")</f>
        <v/>
      </c>
    </row>
    <row r="317">
      <c r="B317" s="119" t="str">
        <f>IF($L317="","",INDEX('CDFs'!$F$6:$F$505,$L317)&amp;"")</f>
        <v/>
      </c>
      <c r="C317" s="120" t="str">
        <f>IF($L317="","",INDEX('CDFs'!$B$6:$B$505,$L317)&amp;"")</f>
        <v/>
      </c>
      <c r="D317" s="120" t="str">
        <f>IF($L317="","",INDEX('CDFs'!$A$6:$A$505,$L317)&amp;"")</f>
        <v/>
      </c>
      <c r="E317" s="128" t="str">
        <f>IF($L317="","",INDEX('CDFs'!$D$6:$D$505,$L317))</f>
        <v/>
      </c>
      <c r="F317" s="122" t="str">
        <f>IF($L317="","",INDEX('CDFs'!$O$6:$O$505,$L317))</f>
        <v/>
      </c>
      <c r="G317" s="121" t="str">
        <f>IF($L317="","",INDEX('CDFs'!$R$6:$R$505,$L317))</f>
        <v/>
      </c>
      <c r="H317" s="120" t="str">
        <f>IF($L317="","",INDEX('CDFs'!$Q$6:$Q$505,$L317)&amp;"")</f>
        <v/>
      </c>
      <c r="L317" t="str">
        <f>IFERROR(MATCH(SMALL('CDFs'!$AB$6:$AB$505,25),'CDFs'!$AB$6:$AB$505,0),"")</f>
        <v/>
      </c>
    </row>
    <row r="318">
      <c r="B318" s="119" t="str">
        <f>IF($L318="","",INDEX('CDFs'!$F$6:$F$505,$L318)&amp;"")</f>
        <v/>
      </c>
      <c r="C318" s="120" t="str">
        <f>IF($L318="","",INDEX('CDFs'!$B$6:$B$505,$L318)&amp;"")</f>
        <v/>
      </c>
      <c r="D318" s="120" t="str">
        <f>IF($L318="","",INDEX('CDFs'!$A$6:$A$505,$L318)&amp;"")</f>
        <v/>
      </c>
      <c r="E318" s="128" t="str">
        <f>IF($L318="","",INDEX('CDFs'!$D$6:$D$505,$L318))</f>
        <v/>
      </c>
      <c r="F318" s="122" t="str">
        <f>IF($L318="","",INDEX('CDFs'!$O$6:$O$505,$L318))</f>
        <v/>
      </c>
      <c r="G318" s="121" t="str">
        <f>IF($L318="","",INDEX('CDFs'!$R$6:$R$505,$L318))</f>
        <v/>
      </c>
      <c r="H318" s="120" t="str">
        <f>IF($L318="","",INDEX('CDFs'!$Q$6:$Q$505,$L318)&amp;"")</f>
        <v/>
      </c>
      <c r="L318" t="str">
        <f>IFERROR(MATCH(SMALL('CDFs'!$AB$6:$AB$505,26),'CDFs'!$AB$6:$AB$505,0),"")</f>
        <v/>
      </c>
    </row>
    <row r="319">
      <c r="B319" s="119" t="str">
        <f>IF($L319="","",INDEX('CDFs'!$F$6:$F$505,$L319)&amp;"")</f>
        <v/>
      </c>
      <c r="C319" s="120" t="str">
        <f>IF($L319="","",INDEX('CDFs'!$B$6:$B$505,$L319)&amp;"")</f>
        <v/>
      </c>
      <c r="D319" s="120" t="str">
        <f>IF($L319="","",INDEX('CDFs'!$A$6:$A$505,$L319)&amp;"")</f>
        <v/>
      </c>
      <c r="E319" s="128" t="str">
        <f>IF($L319="","",INDEX('CDFs'!$D$6:$D$505,$L319))</f>
        <v/>
      </c>
      <c r="F319" s="122" t="str">
        <f>IF($L319="","",INDEX('CDFs'!$O$6:$O$505,$L319))</f>
        <v/>
      </c>
      <c r="G319" s="121" t="str">
        <f>IF($L319="","",INDEX('CDFs'!$R$6:$R$505,$L319))</f>
        <v/>
      </c>
      <c r="H319" s="120" t="str">
        <f>IF($L319="","",INDEX('CDFs'!$Q$6:$Q$505,$L319)&amp;"")</f>
        <v/>
      </c>
      <c r="L319" t="str">
        <f>IFERROR(MATCH(SMALL('CDFs'!$AB$6:$AB$505,27),'CDFs'!$AB$6:$AB$505,0),"")</f>
        <v/>
      </c>
    </row>
    <row r="320">
      <c r="B320" s="119" t="str">
        <f>IF($L320="","",INDEX('CDFs'!$F$6:$F$505,$L320)&amp;"")</f>
        <v/>
      </c>
      <c r="C320" s="120" t="str">
        <f>IF($L320="","",INDEX('CDFs'!$B$6:$B$505,$L320)&amp;"")</f>
        <v/>
      </c>
      <c r="D320" s="120" t="str">
        <f>IF($L320="","",INDEX('CDFs'!$A$6:$A$505,$L320)&amp;"")</f>
        <v/>
      </c>
      <c r="E320" s="128" t="str">
        <f>IF($L320="","",INDEX('CDFs'!$D$6:$D$505,$L320))</f>
        <v/>
      </c>
      <c r="F320" s="122" t="str">
        <f>IF($L320="","",INDEX('CDFs'!$O$6:$O$505,$L320))</f>
        <v/>
      </c>
      <c r="G320" s="121" t="str">
        <f>IF($L320="","",INDEX('CDFs'!$R$6:$R$505,$L320))</f>
        <v/>
      </c>
      <c r="H320" s="120" t="str">
        <f>IF($L320="","",INDEX('CDFs'!$Q$6:$Q$505,$L320)&amp;"")</f>
        <v/>
      </c>
      <c r="L320" t="str">
        <f>IFERROR(MATCH(SMALL('CDFs'!$AB$6:$AB$505,28),'CDFs'!$AB$6:$AB$505,0),"")</f>
        <v/>
      </c>
    </row>
    <row r="321">
      <c r="B321" s="119" t="str">
        <f>IF($L321="","",INDEX('CDFs'!$F$6:$F$505,$L321)&amp;"")</f>
        <v/>
      </c>
      <c r="C321" s="120" t="str">
        <f>IF($L321="","",INDEX('CDFs'!$B$6:$B$505,$L321)&amp;"")</f>
        <v/>
      </c>
      <c r="D321" s="120" t="str">
        <f>IF($L321="","",INDEX('CDFs'!$A$6:$A$505,$L321)&amp;"")</f>
        <v/>
      </c>
      <c r="E321" s="128" t="str">
        <f>IF($L321="","",INDEX('CDFs'!$D$6:$D$505,$L321))</f>
        <v/>
      </c>
      <c r="F321" s="122" t="str">
        <f>IF($L321="","",INDEX('CDFs'!$O$6:$O$505,$L321))</f>
        <v/>
      </c>
      <c r="G321" s="121" t="str">
        <f>IF($L321="","",INDEX('CDFs'!$R$6:$R$505,$L321))</f>
        <v/>
      </c>
      <c r="H321" s="120" t="str">
        <f>IF($L321="","",INDEX('CDFs'!$Q$6:$Q$505,$L321)&amp;"")</f>
        <v/>
      </c>
      <c r="L321" t="str">
        <f>IFERROR(MATCH(SMALL('CDFs'!$AB$6:$AB$505,29),'CDFs'!$AB$6:$AB$505,0),"")</f>
        <v/>
      </c>
    </row>
    <row r="322">
      <c r="B322" s="119" t="str">
        <f>IF($L322="","",INDEX('CDFs'!$F$6:$F$505,$L322)&amp;"")</f>
        <v/>
      </c>
      <c r="C322" s="120" t="str">
        <f>IF($L322="","",INDEX('CDFs'!$B$6:$B$505,$L322)&amp;"")</f>
        <v/>
      </c>
      <c r="D322" s="120" t="str">
        <f>IF($L322="","",INDEX('CDFs'!$A$6:$A$505,$L322)&amp;"")</f>
        <v/>
      </c>
      <c r="E322" s="128" t="str">
        <f>IF($L322="","",INDEX('CDFs'!$D$6:$D$505,$L322))</f>
        <v/>
      </c>
      <c r="F322" s="122" t="str">
        <f>IF($L322="","",INDEX('CDFs'!$O$6:$O$505,$L322))</f>
        <v/>
      </c>
      <c r="G322" s="121" t="str">
        <f>IF($L322="","",INDEX('CDFs'!$R$6:$R$505,$L322))</f>
        <v/>
      </c>
      <c r="H322" s="120" t="str">
        <f>IF($L322="","",INDEX('CDFs'!$Q$6:$Q$505,$L322)&amp;"")</f>
        <v/>
      </c>
      <c r="L322" t="str">
        <f>IFERROR(MATCH(SMALL('CDFs'!$AB$6:$AB$505,30),'CDFs'!$AB$6:$AB$505,0),"")</f>
        <v/>
      </c>
    </row>
    <row r="323">
      <c r="B323" s="119" t="str">
        <f>IF($L323="","",INDEX('CDFs'!$F$6:$F$505,$L323)&amp;"")</f>
        <v/>
      </c>
      <c r="C323" s="120" t="str">
        <f>IF($L323="","",INDEX('CDFs'!$B$6:$B$505,$L323)&amp;"")</f>
        <v/>
      </c>
      <c r="D323" s="120" t="str">
        <f>IF($L323="","",INDEX('CDFs'!$A$6:$A$505,$L323)&amp;"")</f>
        <v/>
      </c>
      <c r="E323" s="128" t="str">
        <f>IF($L323="","",INDEX('CDFs'!$D$6:$D$505,$L323))</f>
        <v/>
      </c>
      <c r="F323" s="122" t="str">
        <f>IF($L323="","",INDEX('CDFs'!$O$6:$O$505,$L323))</f>
        <v/>
      </c>
      <c r="G323" s="121" t="str">
        <f>IF($L323="","",INDEX('CDFs'!$R$6:$R$505,$L323))</f>
        <v/>
      </c>
      <c r="H323" s="120" t="str">
        <f>IF($L323="","",INDEX('CDFs'!$Q$6:$Q$505,$L323)&amp;"")</f>
        <v/>
      </c>
      <c r="L323" t="str">
        <f>IFERROR(MATCH(SMALL('CDFs'!$AB$6:$AB$505,31),'CDFs'!$AB$6:$AB$505,0),"")</f>
        <v/>
      </c>
    </row>
    <row r="324">
      <c r="B324" s="119" t="str">
        <f>IF($L324="","",INDEX('CDFs'!$F$6:$F$505,$L324)&amp;"")</f>
        <v/>
      </c>
      <c r="C324" s="120" t="str">
        <f>IF($L324="","",INDEX('CDFs'!$B$6:$B$505,$L324)&amp;"")</f>
        <v/>
      </c>
      <c r="D324" s="120" t="str">
        <f>IF($L324="","",INDEX('CDFs'!$A$6:$A$505,$L324)&amp;"")</f>
        <v/>
      </c>
      <c r="E324" s="128" t="str">
        <f>IF($L324="","",INDEX('CDFs'!$D$6:$D$505,$L324))</f>
        <v/>
      </c>
      <c r="F324" s="122" t="str">
        <f>IF($L324="","",INDEX('CDFs'!$O$6:$O$505,$L324))</f>
        <v/>
      </c>
      <c r="G324" s="121" t="str">
        <f>IF($L324="","",INDEX('CDFs'!$R$6:$R$505,$L324))</f>
        <v/>
      </c>
      <c r="H324" s="120" t="str">
        <f>IF($L324="","",INDEX('CDFs'!$Q$6:$Q$505,$L324)&amp;"")</f>
        <v/>
      </c>
      <c r="L324" t="str">
        <f>IFERROR(MATCH(SMALL('CDFs'!$AB$6:$AB$505,32),'CDFs'!$AB$6:$AB$505,0),"")</f>
        <v/>
      </c>
    </row>
    <row r="325">
      <c r="B325" s="119" t="str">
        <f>IF($L325="","",INDEX('CDFs'!$F$6:$F$505,$L325)&amp;"")</f>
        <v/>
      </c>
      <c r="C325" s="120" t="str">
        <f>IF($L325="","",INDEX('CDFs'!$B$6:$B$505,$L325)&amp;"")</f>
        <v/>
      </c>
      <c r="D325" s="120" t="str">
        <f>IF($L325="","",INDEX('CDFs'!$A$6:$A$505,$L325)&amp;"")</f>
        <v/>
      </c>
      <c r="E325" s="128" t="str">
        <f>IF($L325="","",INDEX('CDFs'!$D$6:$D$505,$L325))</f>
        <v/>
      </c>
      <c r="F325" s="122" t="str">
        <f>IF($L325="","",INDEX('CDFs'!$O$6:$O$505,$L325))</f>
        <v/>
      </c>
      <c r="G325" s="121" t="str">
        <f>IF($L325="","",INDEX('CDFs'!$R$6:$R$505,$L325))</f>
        <v/>
      </c>
      <c r="H325" s="120" t="str">
        <f>IF($L325="","",INDEX('CDFs'!$Q$6:$Q$505,$L325)&amp;"")</f>
        <v/>
      </c>
      <c r="L325" t="str">
        <f>IFERROR(MATCH(SMALL('CDFs'!$AB$6:$AB$505,33),'CDFs'!$AB$6:$AB$505,0),"")</f>
        <v/>
      </c>
    </row>
    <row r="326">
      <c r="B326" s="119" t="str">
        <f>IF($L326="","",INDEX('CDFs'!$F$6:$F$505,$L326)&amp;"")</f>
        <v/>
      </c>
      <c r="C326" s="120" t="str">
        <f>IF($L326="","",INDEX('CDFs'!$B$6:$B$505,$L326)&amp;"")</f>
        <v/>
      </c>
      <c r="D326" s="120" t="str">
        <f>IF($L326="","",INDEX('CDFs'!$A$6:$A$505,$L326)&amp;"")</f>
        <v/>
      </c>
      <c r="E326" s="128" t="str">
        <f>IF($L326="","",INDEX('CDFs'!$D$6:$D$505,$L326))</f>
        <v/>
      </c>
      <c r="F326" s="122" t="str">
        <f>IF($L326="","",INDEX('CDFs'!$O$6:$O$505,$L326))</f>
        <v/>
      </c>
      <c r="G326" s="121" t="str">
        <f>IF($L326="","",INDEX('CDFs'!$R$6:$R$505,$L326))</f>
        <v/>
      </c>
      <c r="H326" s="120" t="str">
        <f>IF($L326="","",INDEX('CDFs'!$Q$6:$Q$505,$L326)&amp;"")</f>
        <v/>
      </c>
      <c r="L326" t="str">
        <f>IFERROR(MATCH(SMALL('CDFs'!$AB$6:$AB$505,34),'CDFs'!$AB$6:$AB$505,0),"")</f>
        <v/>
      </c>
    </row>
    <row r="327">
      <c r="B327" s="119" t="str">
        <f>IF($L327="","",INDEX('CDFs'!$F$6:$F$505,$L327)&amp;"")</f>
        <v/>
      </c>
      <c r="C327" s="120" t="str">
        <f>IF($L327="","",INDEX('CDFs'!$B$6:$B$505,$L327)&amp;"")</f>
        <v/>
      </c>
      <c r="D327" s="120" t="str">
        <f>IF($L327="","",INDEX('CDFs'!$A$6:$A$505,$L327)&amp;"")</f>
        <v/>
      </c>
      <c r="E327" s="128" t="str">
        <f>IF($L327="","",INDEX('CDFs'!$D$6:$D$505,$L327))</f>
        <v/>
      </c>
      <c r="F327" s="122" t="str">
        <f>IF($L327="","",INDEX('CDFs'!$O$6:$O$505,$L327))</f>
        <v/>
      </c>
      <c r="G327" s="121" t="str">
        <f>IF($L327="","",INDEX('CDFs'!$R$6:$R$505,$L327))</f>
        <v/>
      </c>
      <c r="H327" s="120" t="str">
        <f>IF($L327="","",INDEX('CDFs'!$Q$6:$Q$505,$L327)&amp;"")</f>
        <v/>
      </c>
      <c r="L327" t="str">
        <f>IFERROR(MATCH(SMALL('CDFs'!$AB$6:$AB$505,35),'CDFs'!$AB$6:$AB$505,0),"")</f>
        <v/>
      </c>
    </row>
    <row r="328">
      <c r="B328" s="119" t="str">
        <f>IF($L328="","",INDEX('CDFs'!$F$6:$F$505,$L328)&amp;"")</f>
        <v/>
      </c>
      <c r="C328" s="120" t="str">
        <f>IF($L328="","",INDEX('CDFs'!$B$6:$B$505,$L328)&amp;"")</f>
        <v/>
      </c>
      <c r="D328" s="120" t="str">
        <f>IF($L328="","",INDEX('CDFs'!$A$6:$A$505,$L328)&amp;"")</f>
        <v/>
      </c>
      <c r="E328" s="128" t="str">
        <f>IF($L328="","",INDEX('CDFs'!$D$6:$D$505,$L328))</f>
        <v/>
      </c>
      <c r="F328" s="122" t="str">
        <f>IF($L328="","",INDEX('CDFs'!$O$6:$O$505,$L328))</f>
        <v/>
      </c>
      <c r="G328" s="121" t="str">
        <f>IF($L328="","",INDEX('CDFs'!$R$6:$R$505,$L328))</f>
        <v/>
      </c>
      <c r="H328" s="120" t="str">
        <f>IF($L328="","",INDEX('CDFs'!$Q$6:$Q$505,$L328)&amp;"")</f>
        <v/>
      </c>
      <c r="L328" t="str">
        <f>IFERROR(MATCH(SMALL('CDFs'!$AB$6:$AB$505,36),'CDFs'!$AB$6:$AB$505,0),"")</f>
        <v/>
      </c>
    </row>
    <row r="329">
      <c r="B329" s="119" t="str">
        <f>IF($L329="","",INDEX('CDFs'!$F$6:$F$505,$L329)&amp;"")</f>
        <v/>
      </c>
      <c r="C329" s="120" t="str">
        <f>IF($L329="","",INDEX('CDFs'!$B$6:$B$505,$L329)&amp;"")</f>
        <v/>
      </c>
      <c r="D329" s="120" t="str">
        <f>IF($L329="","",INDEX('CDFs'!$A$6:$A$505,$L329)&amp;"")</f>
        <v/>
      </c>
      <c r="E329" s="128" t="str">
        <f>IF($L329="","",INDEX('CDFs'!$D$6:$D$505,$L329))</f>
        <v/>
      </c>
      <c r="F329" s="122" t="str">
        <f>IF($L329="","",INDEX('CDFs'!$O$6:$O$505,$L329))</f>
        <v/>
      </c>
      <c r="G329" s="121" t="str">
        <f>IF($L329="","",INDEX('CDFs'!$R$6:$R$505,$L329))</f>
        <v/>
      </c>
      <c r="H329" s="120" t="str">
        <f>IF($L329="","",INDEX('CDFs'!$Q$6:$Q$505,$L329)&amp;"")</f>
        <v/>
      </c>
      <c r="L329" t="str">
        <f>IFERROR(MATCH(SMALL('CDFs'!$AB$6:$AB$505,37),'CDFs'!$AB$6:$AB$505,0),"")</f>
        <v/>
      </c>
    </row>
    <row r="330">
      <c r="B330" s="119" t="str">
        <f>IF($L330="","",INDEX('CDFs'!$F$6:$F$505,$L330)&amp;"")</f>
        <v/>
      </c>
      <c r="C330" s="120" t="str">
        <f>IF($L330="","",INDEX('CDFs'!$B$6:$B$505,$L330)&amp;"")</f>
        <v/>
      </c>
      <c r="D330" s="120" t="str">
        <f>IF($L330="","",INDEX('CDFs'!$A$6:$A$505,$L330)&amp;"")</f>
        <v/>
      </c>
      <c r="E330" s="128" t="str">
        <f>IF($L330="","",INDEX('CDFs'!$D$6:$D$505,$L330))</f>
        <v/>
      </c>
      <c r="F330" s="122" t="str">
        <f>IF($L330="","",INDEX('CDFs'!$O$6:$O$505,$L330))</f>
        <v/>
      </c>
      <c r="G330" s="121" t="str">
        <f>IF($L330="","",INDEX('CDFs'!$R$6:$R$505,$L330))</f>
        <v/>
      </c>
      <c r="H330" s="120" t="str">
        <f>IF($L330="","",INDEX('CDFs'!$Q$6:$Q$505,$L330)&amp;"")</f>
        <v/>
      </c>
      <c r="L330" t="str">
        <f>IFERROR(MATCH(SMALL('CDFs'!$AB$6:$AB$505,38),'CDFs'!$AB$6:$AB$505,0),"")</f>
        <v/>
      </c>
    </row>
    <row r="331">
      <c r="B331" s="119" t="str">
        <f>IF($L331="","",INDEX('CDFs'!$F$6:$F$505,$L331)&amp;"")</f>
        <v/>
      </c>
      <c r="C331" s="120" t="str">
        <f>IF($L331="","",INDEX('CDFs'!$B$6:$B$505,$L331)&amp;"")</f>
        <v/>
      </c>
      <c r="D331" s="120" t="str">
        <f>IF($L331="","",INDEX('CDFs'!$A$6:$A$505,$L331)&amp;"")</f>
        <v/>
      </c>
      <c r="E331" s="128" t="str">
        <f>IF($L331="","",INDEX('CDFs'!$D$6:$D$505,$L331))</f>
        <v/>
      </c>
      <c r="F331" s="122" t="str">
        <f>IF($L331="","",INDEX('CDFs'!$O$6:$O$505,$L331))</f>
        <v/>
      </c>
      <c r="G331" s="121" t="str">
        <f>IF($L331="","",INDEX('CDFs'!$R$6:$R$505,$L331))</f>
        <v/>
      </c>
      <c r="H331" s="120" t="str">
        <f>IF($L331="","",INDEX('CDFs'!$Q$6:$Q$505,$L331)&amp;"")</f>
        <v/>
      </c>
      <c r="L331" t="str">
        <f>IFERROR(MATCH(SMALL('CDFs'!$AB$6:$AB$505,39),'CDFs'!$AB$6:$AB$505,0),"")</f>
        <v/>
      </c>
    </row>
    <row r="332">
      <c r="B332" s="119" t="str">
        <f>IF($L332="","",INDEX('CDFs'!$F$6:$F$505,$L332)&amp;"")</f>
        <v/>
      </c>
      <c r="C332" s="120" t="str">
        <f>IF($L332="","",INDEX('CDFs'!$B$6:$B$505,$L332)&amp;"")</f>
        <v/>
      </c>
      <c r="D332" s="120" t="str">
        <f>IF($L332="","",INDEX('CDFs'!$A$6:$A$505,$L332)&amp;"")</f>
        <v/>
      </c>
      <c r="E332" s="128" t="str">
        <f>IF($L332="","",INDEX('CDFs'!$D$6:$D$505,$L332))</f>
        <v/>
      </c>
      <c r="F332" s="122" t="str">
        <f>IF($L332="","",INDEX('CDFs'!$O$6:$O$505,$L332))</f>
        <v/>
      </c>
      <c r="G332" s="121" t="str">
        <f>IF($L332="","",INDEX('CDFs'!$R$6:$R$505,$L332))</f>
        <v/>
      </c>
      <c r="H332" s="120" t="str">
        <f>IF($L332="","",INDEX('CDFs'!$Q$6:$Q$505,$L332)&amp;"")</f>
        <v/>
      </c>
      <c r="L332" t="str">
        <f>IFERROR(MATCH(SMALL('CDFs'!$AB$6:$AB$505,40),'CDFs'!$AB$6:$AB$505,0),"")</f>
        <v/>
      </c>
    </row>
    <row r="333">
      <c r="B333" s="119" t="str">
        <f>IF($L333="","",INDEX('CDFs'!$F$6:$F$505,$L333)&amp;"")</f>
        <v/>
      </c>
      <c r="C333" s="120" t="str">
        <f>IF($L333="","",INDEX('CDFs'!$B$6:$B$505,$L333)&amp;"")</f>
        <v/>
      </c>
      <c r="D333" s="120" t="str">
        <f>IF($L333="","",INDEX('CDFs'!$A$6:$A$505,$L333)&amp;"")</f>
        <v/>
      </c>
      <c r="E333" s="128" t="str">
        <f>IF($L333="","",INDEX('CDFs'!$D$6:$D$505,$L333))</f>
        <v/>
      </c>
      <c r="F333" s="122" t="str">
        <f>IF($L333="","",INDEX('CDFs'!$O$6:$O$505,$L333))</f>
        <v/>
      </c>
      <c r="G333" s="121" t="str">
        <f>IF($L333="","",INDEX('CDFs'!$R$6:$R$505,$L333))</f>
        <v/>
      </c>
      <c r="H333" s="120" t="str">
        <f>IF($L333="","",INDEX('CDFs'!$Q$6:$Q$505,$L333)&amp;"")</f>
        <v/>
      </c>
      <c r="L333" t="str">
        <f>IFERROR(MATCH(SMALL('CDFs'!$AB$6:$AB$505,41),'CDFs'!$AB$6:$AB$505,0),"")</f>
        <v/>
      </c>
    </row>
    <row r="334">
      <c r="B334" s="119" t="str">
        <f>IF($L334="","",INDEX('CDFs'!$F$6:$F$505,$L334)&amp;"")</f>
        <v/>
      </c>
      <c r="C334" s="120" t="str">
        <f>IF($L334="","",INDEX('CDFs'!$B$6:$B$505,$L334)&amp;"")</f>
        <v/>
      </c>
      <c r="D334" s="120" t="str">
        <f>IF($L334="","",INDEX('CDFs'!$A$6:$A$505,$L334)&amp;"")</f>
        <v/>
      </c>
      <c r="E334" s="128" t="str">
        <f>IF($L334="","",INDEX('CDFs'!$D$6:$D$505,$L334))</f>
        <v/>
      </c>
      <c r="F334" s="122" t="str">
        <f>IF($L334="","",INDEX('CDFs'!$O$6:$O$505,$L334))</f>
        <v/>
      </c>
      <c r="G334" s="121" t="str">
        <f>IF($L334="","",INDEX('CDFs'!$R$6:$R$505,$L334))</f>
        <v/>
      </c>
      <c r="H334" s="120" t="str">
        <f>IF($L334="","",INDEX('CDFs'!$Q$6:$Q$505,$L334)&amp;"")</f>
        <v/>
      </c>
      <c r="L334" t="str">
        <f>IFERROR(MATCH(SMALL('CDFs'!$AB$6:$AB$505,42),'CDFs'!$AB$6:$AB$505,0),"")</f>
        <v/>
      </c>
    </row>
    <row r="335">
      <c r="B335" s="119" t="str">
        <f>IF($L335="","",INDEX('CDFs'!$F$6:$F$505,$L335)&amp;"")</f>
        <v/>
      </c>
      <c r="C335" s="120" t="str">
        <f>IF($L335="","",INDEX('CDFs'!$B$6:$B$505,$L335)&amp;"")</f>
        <v/>
      </c>
      <c r="D335" s="120" t="str">
        <f>IF($L335="","",INDEX('CDFs'!$A$6:$A$505,$L335)&amp;"")</f>
        <v/>
      </c>
      <c r="E335" s="128" t="str">
        <f>IF($L335="","",INDEX('CDFs'!$D$6:$D$505,$L335))</f>
        <v/>
      </c>
      <c r="F335" s="122" t="str">
        <f>IF($L335="","",INDEX('CDFs'!$O$6:$O$505,$L335))</f>
        <v/>
      </c>
      <c r="G335" s="121" t="str">
        <f>IF($L335="","",INDEX('CDFs'!$R$6:$R$505,$L335))</f>
        <v/>
      </c>
      <c r="H335" s="120" t="str">
        <f>IF($L335="","",INDEX('CDFs'!$Q$6:$Q$505,$L335)&amp;"")</f>
        <v/>
      </c>
      <c r="L335" t="str">
        <f>IFERROR(MATCH(SMALL('CDFs'!$AB$6:$AB$505,43),'CDFs'!$AB$6:$AB$505,0),"")</f>
        <v/>
      </c>
    </row>
    <row r="336">
      <c r="B336" s="119" t="str">
        <f>IF($L336="","",INDEX('CDFs'!$F$6:$F$505,$L336)&amp;"")</f>
        <v/>
      </c>
      <c r="C336" s="120" t="str">
        <f>IF($L336="","",INDEX('CDFs'!$B$6:$B$505,$L336)&amp;"")</f>
        <v/>
      </c>
      <c r="D336" s="120" t="str">
        <f>IF($L336="","",INDEX('CDFs'!$A$6:$A$505,$L336)&amp;"")</f>
        <v/>
      </c>
      <c r="E336" s="128" t="str">
        <f>IF($L336="","",INDEX('CDFs'!$D$6:$D$505,$L336))</f>
        <v/>
      </c>
      <c r="F336" s="122" t="str">
        <f>IF($L336="","",INDEX('CDFs'!$O$6:$O$505,$L336))</f>
        <v/>
      </c>
      <c r="G336" s="121" t="str">
        <f>IF($L336="","",INDEX('CDFs'!$R$6:$R$505,$L336))</f>
        <v/>
      </c>
      <c r="H336" s="120" t="str">
        <f>IF($L336="","",INDEX('CDFs'!$Q$6:$Q$505,$L336)&amp;"")</f>
        <v/>
      </c>
      <c r="L336" t="str">
        <f>IFERROR(MATCH(SMALL('CDFs'!$AB$6:$AB$505,44),'CDFs'!$AB$6:$AB$505,0),"")</f>
        <v/>
      </c>
    </row>
    <row r="337">
      <c r="B337" s="119" t="str">
        <f>IF($L337="","",INDEX('CDFs'!$F$6:$F$505,$L337)&amp;"")</f>
        <v/>
      </c>
      <c r="C337" s="120" t="str">
        <f>IF($L337="","",INDEX('CDFs'!$B$6:$B$505,$L337)&amp;"")</f>
        <v/>
      </c>
      <c r="D337" s="120" t="str">
        <f>IF($L337="","",INDEX('CDFs'!$A$6:$A$505,$L337)&amp;"")</f>
        <v/>
      </c>
      <c r="E337" s="128" t="str">
        <f>IF($L337="","",INDEX('CDFs'!$D$6:$D$505,$L337))</f>
        <v/>
      </c>
      <c r="F337" s="122" t="str">
        <f>IF($L337="","",INDEX('CDFs'!$O$6:$O$505,$L337))</f>
        <v/>
      </c>
      <c r="G337" s="121" t="str">
        <f>IF($L337="","",INDEX('CDFs'!$R$6:$R$505,$L337))</f>
        <v/>
      </c>
      <c r="H337" s="120" t="str">
        <f>IF($L337="","",INDEX('CDFs'!$Q$6:$Q$505,$L337)&amp;"")</f>
        <v/>
      </c>
      <c r="L337" t="str">
        <f>IFERROR(MATCH(SMALL('CDFs'!$AB$6:$AB$505,45),'CDFs'!$AB$6:$AB$505,0),"")</f>
        <v/>
      </c>
    </row>
    <row r="338">
      <c r="B338" s="119" t="str">
        <f>IF($L338="","",INDEX('CDFs'!$F$6:$F$505,$L338)&amp;"")</f>
        <v/>
      </c>
      <c r="C338" s="120" t="str">
        <f>IF($L338="","",INDEX('CDFs'!$B$6:$B$505,$L338)&amp;"")</f>
        <v/>
      </c>
      <c r="D338" s="120" t="str">
        <f>IF($L338="","",INDEX('CDFs'!$A$6:$A$505,$L338)&amp;"")</f>
        <v/>
      </c>
      <c r="E338" s="128" t="str">
        <f>IF($L338="","",INDEX('CDFs'!$D$6:$D$505,$L338))</f>
        <v/>
      </c>
      <c r="F338" s="122" t="str">
        <f>IF($L338="","",INDEX('CDFs'!$O$6:$O$505,$L338))</f>
        <v/>
      </c>
      <c r="G338" s="121" t="str">
        <f>IF($L338="","",INDEX('CDFs'!$R$6:$R$505,$L338))</f>
        <v/>
      </c>
      <c r="H338" s="120" t="str">
        <f>IF($L338="","",INDEX('CDFs'!$Q$6:$Q$505,$L338)&amp;"")</f>
        <v/>
      </c>
      <c r="L338" t="str">
        <f>IFERROR(MATCH(SMALL('CDFs'!$AB$6:$AB$505,46),'CDFs'!$AB$6:$AB$505,0),"")</f>
        <v/>
      </c>
    </row>
    <row r="339">
      <c r="B339" s="119" t="str">
        <f>IF($L339="","",INDEX('CDFs'!$F$6:$F$505,$L339)&amp;"")</f>
        <v/>
      </c>
      <c r="C339" s="120" t="str">
        <f>IF($L339="","",INDEX('CDFs'!$B$6:$B$505,$L339)&amp;"")</f>
        <v/>
      </c>
      <c r="D339" s="120" t="str">
        <f>IF($L339="","",INDEX('CDFs'!$A$6:$A$505,$L339)&amp;"")</f>
        <v/>
      </c>
      <c r="E339" s="128" t="str">
        <f>IF($L339="","",INDEX('CDFs'!$D$6:$D$505,$L339))</f>
        <v/>
      </c>
      <c r="F339" s="122" t="str">
        <f>IF($L339="","",INDEX('CDFs'!$O$6:$O$505,$L339))</f>
        <v/>
      </c>
      <c r="G339" s="121" t="str">
        <f>IF($L339="","",INDEX('CDFs'!$R$6:$R$505,$L339))</f>
        <v/>
      </c>
      <c r="H339" s="120" t="str">
        <f>IF($L339="","",INDEX('CDFs'!$Q$6:$Q$505,$L339)&amp;"")</f>
        <v/>
      </c>
      <c r="L339" t="str">
        <f>IFERROR(MATCH(SMALL('CDFs'!$AB$6:$AB$505,47),'CDFs'!$AB$6:$AB$505,0),"")</f>
        <v/>
      </c>
    </row>
    <row r="340">
      <c r="B340" s="119" t="str">
        <f>IF($L340="","",INDEX('CDFs'!$F$6:$F$505,$L340)&amp;"")</f>
        <v/>
      </c>
      <c r="C340" s="120" t="str">
        <f>IF($L340="","",INDEX('CDFs'!$B$6:$B$505,$L340)&amp;"")</f>
        <v/>
      </c>
      <c r="D340" s="120" t="str">
        <f>IF($L340="","",INDEX('CDFs'!$A$6:$A$505,$L340)&amp;"")</f>
        <v/>
      </c>
      <c r="E340" s="128" t="str">
        <f>IF($L340="","",INDEX('CDFs'!$D$6:$D$505,$L340))</f>
        <v/>
      </c>
      <c r="F340" s="122" t="str">
        <f>IF($L340="","",INDEX('CDFs'!$O$6:$O$505,$L340))</f>
        <v/>
      </c>
      <c r="G340" s="121" t="str">
        <f>IF($L340="","",INDEX('CDFs'!$R$6:$R$505,$L340))</f>
        <v/>
      </c>
      <c r="H340" s="120" t="str">
        <f>IF($L340="","",INDEX('CDFs'!$Q$6:$Q$505,$L340)&amp;"")</f>
        <v/>
      </c>
      <c r="L340" t="str">
        <f>IFERROR(MATCH(SMALL('CDFs'!$AB$6:$AB$505,48),'CDFs'!$AB$6:$AB$505,0),"")</f>
        <v/>
      </c>
    </row>
    <row r="341">
      <c r="B341" s="119" t="str">
        <f>IF($L341="","",INDEX('CDFs'!$F$6:$F$505,$L341)&amp;"")</f>
        <v/>
      </c>
      <c r="C341" s="120" t="str">
        <f>IF($L341="","",INDEX('CDFs'!$B$6:$B$505,$L341)&amp;"")</f>
        <v/>
      </c>
      <c r="D341" s="120" t="str">
        <f>IF($L341="","",INDEX('CDFs'!$A$6:$A$505,$L341)&amp;"")</f>
        <v/>
      </c>
      <c r="E341" s="128" t="str">
        <f>IF($L341="","",INDEX('CDFs'!$D$6:$D$505,$L341))</f>
        <v/>
      </c>
      <c r="F341" s="122" t="str">
        <f>IF($L341="","",INDEX('CDFs'!$O$6:$O$505,$L341))</f>
        <v/>
      </c>
      <c r="G341" s="121" t="str">
        <f>IF($L341="","",INDEX('CDFs'!$R$6:$R$505,$L341))</f>
        <v/>
      </c>
      <c r="H341" s="120" t="str">
        <f>IF($L341="","",INDEX('CDFs'!$Q$6:$Q$505,$L341)&amp;"")</f>
        <v/>
      </c>
      <c r="L341" t="str">
        <f>IFERROR(MATCH(SMALL('CDFs'!$AB$6:$AB$505,49),'CDFs'!$AB$6:$AB$505,0),"")</f>
        <v/>
      </c>
    </row>
    <row r="342">
      <c r="B342" s="119" t="str">
        <f>IF($L342="","",INDEX('CDFs'!$F$6:$F$505,$L342)&amp;"")</f>
        <v/>
      </c>
      <c r="C342" s="120" t="str">
        <f>IF($L342="","",INDEX('CDFs'!$B$6:$B$505,$L342)&amp;"")</f>
        <v/>
      </c>
      <c r="D342" s="120" t="str">
        <f>IF($L342="","",INDEX('CDFs'!$A$6:$A$505,$L342)&amp;"")</f>
        <v/>
      </c>
      <c r="E342" s="128" t="str">
        <f>IF($L342="","",INDEX('CDFs'!$D$6:$D$505,$L342))</f>
        <v/>
      </c>
      <c r="F342" s="122" t="str">
        <f>IF($L342="","",INDEX('CDFs'!$O$6:$O$505,$L342))</f>
        <v/>
      </c>
      <c r="G342" s="121" t="str">
        <f>IF($L342="","",INDEX('CDFs'!$R$6:$R$505,$L342))</f>
        <v/>
      </c>
      <c r="H342" s="120" t="str">
        <f>IF($L342="","",INDEX('CDFs'!$Q$6:$Q$505,$L342)&amp;"")</f>
        <v/>
      </c>
      <c r="L342" t="str">
        <f>IFERROR(MATCH(SMALL('CDFs'!$AB$6:$AB$505,50),'CDFs'!$AB$6:$AB$505,0),"")</f>
        <v/>
      </c>
    </row>
    <row r="343">
      <c r="B343" s="119" t="str">
        <f>IF($L343="","",INDEX('CDFs'!$F$6:$F$505,$L343)&amp;"")</f>
        <v/>
      </c>
      <c r="C343" s="120" t="str">
        <f>IF($L343="","",INDEX('CDFs'!$B$6:$B$505,$L343)&amp;"")</f>
        <v/>
      </c>
      <c r="D343" s="120" t="str">
        <f>IF($L343="","",INDEX('CDFs'!$A$6:$A$505,$L343)&amp;"")</f>
        <v/>
      </c>
      <c r="E343" s="128" t="str">
        <f>IF($L343="","",INDEX('CDFs'!$D$6:$D$505,$L343))</f>
        <v/>
      </c>
      <c r="F343" s="122" t="str">
        <f>IF($L343="","",INDEX('CDFs'!$O$6:$O$505,$L343))</f>
        <v/>
      </c>
      <c r="G343" s="121" t="str">
        <f>IF($L343="","",INDEX('CDFs'!$R$6:$R$505,$L343))</f>
        <v/>
      </c>
      <c r="H343" s="120" t="str">
        <f>IF($L343="","",INDEX('CDFs'!$Q$6:$Q$505,$L343)&amp;"")</f>
        <v/>
      </c>
      <c r="L343" t="str">
        <f>IFERROR(MATCH(SMALL('CDFs'!$AB$6:$AB$505,51),'CDFs'!$AB$6:$AB$505,0),"")</f>
        <v/>
      </c>
    </row>
    <row r="344">
      <c r="B344" s="119" t="str">
        <f>IF($L344="","",INDEX('CDFs'!$F$6:$F$505,$L344)&amp;"")</f>
        <v/>
      </c>
      <c r="C344" s="120" t="str">
        <f>IF($L344="","",INDEX('CDFs'!$B$6:$B$505,$L344)&amp;"")</f>
        <v/>
      </c>
      <c r="D344" s="120" t="str">
        <f>IF($L344="","",INDEX('CDFs'!$A$6:$A$505,$L344)&amp;"")</f>
        <v/>
      </c>
      <c r="E344" s="128" t="str">
        <f>IF($L344="","",INDEX('CDFs'!$D$6:$D$505,$L344))</f>
        <v/>
      </c>
      <c r="F344" s="122" t="str">
        <f>IF($L344="","",INDEX('CDFs'!$O$6:$O$505,$L344))</f>
        <v/>
      </c>
      <c r="G344" s="121" t="str">
        <f>IF($L344="","",INDEX('CDFs'!$R$6:$R$505,$L344))</f>
        <v/>
      </c>
      <c r="H344" s="120" t="str">
        <f>IF($L344="","",INDEX('CDFs'!$Q$6:$Q$505,$L344)&amp;"")</f>
        <v/>
      </c>
      <c r="L344" t="str">
        <f>IFERROR(MATCH(SMALL('CDFs'!$AB$6:$AB$505,52),'CDFs'!$AB$6:$AB$505,0),"")</f>
        <v/>
      </c>
    </row>
    <row r="345">
      <c r="B345" s="119" t="str">
        <f>IF($L345="","",INDEX('CDFs'!$F$6:$F$505,$L345)&amp;"")</f>
        <v/>
      </c>
      <c r="C345" s="120" t="str">
        <f>IF($L345="","",INDEX('CDFs'!$B$6:$B$505,$L345)&amp;"")</f>
        <v/>
      </c>
      <c r="D345" s="120" t="str">
        <f>IF($L345="","",INDEX('CDFs'!$A$6:$A$505,$L345)&amp;"")</f>
        <v/>
      </c>
      <c r="E345" s="128" t="str">
        <f>IF($L345="","",INDEX('CDFs'!$D$6:$D$505,$L345))</f>
        <v/>
      </c>
      <c r="F345" s="122" t="str">
        <f>IF($L345="","",INDEX('CDFs'!$O$6:$O$505,$L345))</f>
        <v/>
      </c>
      <c r="G345" s="121" t="str">
        <f>IF($L345="","",INDEX('CDFs'!$R$6:$R$505,$L345))</f>
        <v/>
      </c>
      <c r="H345" s="120" t="str">
        <f>IF($L345="","",INDEX('CDFs'!$Q$6:$Q$505,$L345)&amp;"")</f>
        <v/>
      </c>
      <c r="L345" t="str">
        <f>IFERROR(MATCH(SMALL('CDFs'!$AB$6:$AB$505,53),'CDFs'!$AB$6:$AB$505,0),"")</f>
        <v/>
      </c>
    </row>
    <row r="346">
      <c r="B346" s="119" t="str">
        <f>IF($L346="","",INDEX('CDFs'!$F$6:$F$505,$L346)&amp;"")</f>
        <v/>
      </c>
      <c r="C346" s="120" t="str">
        <f>IF($L346="","",INDEX('CDFs'!$B$6:$B$505,$L346)&amp;"")</f>
        <v/>
      </c>
      <c r="D346" s="120" t="str">
        <f>IF($L346="","",INDEX('CDFs'!$A$6:$A$505,$L346)&amp;"")</f>
        <v/>
      </c>
      <c r="E346" s="128" t="str">
        <f>IF($L346="","",INDEX('CDFs'!$D$6:$D$505,$L346))</f>
        <v/>
      </c>
      <c r="F346" s="122" t="str">
        <f>IF($L346="","",INDEX('CDFs'!$O$6:$O$505,$L346))</f>
        <v/>
      </c>
      <c r="G346" s="121" t="str">
        <f>IF($L346="","",INDEX('CDFs'!$R$6:$R$505,$L346))</f>
        <v/>
      </c>
      <c r="H346" s="120" t="str">
        <f>IF($L346="","",INDEX('CDFs'!$Q$6:$Q$505,$L346)&amp;"")</f>
        <v/>
      </c>
      <c r="L346" t="str">
        <f>IFERROR(MATCH(SMALL('CDFs'!$AB$6:$AB$505,54),'CDFs'!$AB$6:$AB$505,0),"")</f>
        <v/>
      </c>
    </row>
    <row r="347">
      <c r="B347" s="119" t="str">
        <f>IF($L347="","",INDEX('CDFs'!$F$6:$F$505,$L347)&amp;"")</f>
        <v/>
      </c>
      <c r="C347" s="120" t="str">
        <f>IF($L347="","",INDEX('CDFs'!$B$6:$B$505,$L347)&amp;"")</f>
        <v/>
      </c>
      <c r="D347" s="120" t="str">
        <f>IF($L347="","",INDEX('CDFs'!$A$6:$A$505,$L347)&amp;"")</f>
        <v/>
      </c>
      <c r="E347" s="128" t="str">
        <f>IF($L347="","",INDEX('CDFs'!$D$6:$D$505,$L347))</f>
        <v/>
      </c>
      <c r="F347" s="122" t="str">
        <f>IF($L347="","",INDEX('CDFs'!$O$6:$O$505,$L347))</f>
        <v/>
      </c>
      <c r="G347" s="121" t="str">
        <f>IF($L347="","",INDEX('CDFs'!$R$6:$R$505,$L347))</f>
        <v/>
      </c>
      <c r="H347" s="120" t="str">
        <f>IF($L347="","",INDEX('CDFs'!$Q$6:$Q$505,$L347)&amp;"")</f>
        <v/>
      </c>
      <c r="L347" t="str">
        <f>IFERROR(MATCH(SMALL('CDFs'!$AB$6:$AB$505,55),'CDFs'!$AB$6:$AB$505,0),"")</f>
        <v/>
      </c>
    </row>
    <row r="348">
      <c r="B348" s="119" t="str">
        <f>IF($L348="","",INDEX('CDFs'!$F$6:$F$505,$L348)&amp;"")</f>
        <v/>
      </c>
      <c r="C348" s="120" t="str">
        <f>IF($L348="","",INDEX('CDFs'!$B$6:$B$505,$L348)&amp;"")</f>
        <v/>
      </c>
      <c r="D348" s="120" t="str">
        <f>IF($L348="","",INDEX('CDFs'!$A$6:$A$505,$L348)&amp;"")</f>
        <v/>
      </c>
      <c r="E348" s="128" t="str">
        <f>IF($L348="","",INDEX('CDFs'!$D$6:$D$505,$L348))</f>
        <v/>
      </c>
      <c r="F348" s="122" t="str">
        <f>IF($L348="","",INDEX('CDFs'!$O$6:$O$505,$L348))</f>
        <v/>
      </c>
      <c r="G348" s="121" t="str">
        <f>IF($L348="","",INDEX('CDFs'!$R$6:$R$505,$L348))</f>
        <v/>
      </c>
      <c r="H348" s="120" t="str">
        <f>IF($L348="","",INDEX('CDFs'!$Q$6:$Q$505,$L348)&amp;"")</f>
        <v/>
      </c>
      <c r="L348" t="str">
        <f>IFERROR(MATCH(SMALL('CDFs'!$AB$6:$AB$505,56),'CDFs'!$AB$6:$AB$505,0),"")</f>
        <v/>
      </c>
    </row>
    <row r="349">
      <c r="B349" s="119" t="str">
        <f>IF($L349="","",INDEX('CDFs'!$F$6:$F$505,$L349)&amp;"")</f>
        <v/>
      </c>
      <c r="C349" s="120" t="str">
        <f>IF($L349="","",INDEX('CDFs'!$B$6:$B$505,$L349)&amp;"")</f>
        <v/>
      </c>
      <c r="D349" s="120" t="str">
        <f>IF($L349="","",INDEX('CDFs'!$A$6:$A$505,$L349)&amp;"")</f>
        <v/>
      </c>
      <c r="E349" s="128" t="str">
        <f>IF($L349="","",INDEX('CDFs'!$D$6:$D$505,$L349))</f>
        <v/>
      </c>
      <c r="F349" s="122" t="str">
        <f>IF($L349="","",INDEX('CDFs'!$O$6:$O$505,$L349))</f>
        <v/>
      </c>
      <c r="G349" s="121" t="str">
        <f>IF($L349="","",INDEX('CDFs'!$R$6:$R$505,$L349))</f>
        <v/>
      </c>
      <c r="H349" s="120" t="str">
        <f>IF($L349="","",INDEX('CDFs'!$Q$6:$Q$505,$L349)&amp;"")</f>
        <v/>
      </c>
      <c r="L349" t="str">
        <f>IFERROR(MATCH(SMALL('CDFs'!$AB$6:$AB$505,57),'CDFs'!$AB$6:$AB$505,0),"")</f>
        <v/>
      </c>
    </row>
    <row r="350">
      <c r="B350" s="119" t="str">
        <f>IF($L350="","",INDEX('CDFs'!$F$6:$F$505,$L350)&amp;"")</f>
        <v/>
      </c>
      <c r="C350" s="120" t="str">
        <f>IF($L350="","",INDEX('CDFs'!$B$6:$B$505,$L350)&amp;"")</f>
        <v/>
      </c>
      <c r="D350" s="120" t="str">
        <f>IF($L350="","",INDEX('CDFs'!$A$6:$A$505,$L350)&amp;"")</f>
        <v/>
      </c>
      <c r="E350" s="128" t="str">
        <f>IF($L350="","",INDEX('CDFs'!$D$6:$D$505,$L350))</f>
        <v/>
      </c>
      <c r="F350" s="122" t="str">
        <f>IF($L350="","",INDEX('CDFs'!$O$6:$O$505,$L350))</f>
        <v/>
      </c>
      <c r="G350" s="121" t="str">
        <f>IF($L350="","",INDEX('CDFs'!$R$6:$R$505,$L350))</f>
        <v/>
      </c>
      <c r="H350" s="120" t="str">
        <f>IF($L350="","",INDEX('CDFs'!$Q$6:$Q$505,$L350)&amp;"")</f>
        <v/>
      </c>
      <c r="L350" t="str">
        <f>IFERROR(MATCH(SMALL('CDFs'!$AB$6:$AB$505,58),'CDFs'!$AB$6:$AB$505,0),"")</f>
        <v/>
      </c>
    </row>
    <row r="351">
      <c r="B351" s="119" t="str">
        <f>IF($L351="","",INDEX('CDFs'!$F$6:$F$505,$L351)&amp;"")</f>
        <v/>
      </c>
      <c r="C351" s="120" t="str">
        <f>IF($L351="","",INDEX('CDFs'!$B$6:$B$505,$L351)&amp;"")</f>
        <v/>
      </c>
      <c r="D351" s="120" t="str">
        <f>IF($L351="","",INDEX('CDFs'!$A$6:$A$505,$L351)&amp;"")</f>
        <v/>
      </c>
      <c r="E351" s="128" t="str">
        <f>IF($L351="","",INDEX('CDFs'!$D$6:$D$505,$L351))</f>
        <v/>
      </c>
      <c r="F351" s="122" t="str">
        <f>IF($L351="","",INDEX('CDFs'!$O$6:$O$505,$L351))</f>
        <v/>
      </c>
      <c r="G351" s="121" t="str">
        <f>IF($L351="","",INDEX('CDFs'!$R$6:$R$505,$L351))</f>
        <v/>
      </c>
      <c r="H351" s="120" t="str">
        <f>IF($L351="","",INDEX('CDFs'!$Q$6:$Q$505,$L351)&amp;"")</f>
        <v/>
      </c>
      <c r="L351" t="str">
        <f>IFERROR(MATCH(SMALL('CDFs'!$AB$6:$AB$505,59),'CDFs'!$AB$6:$AB$505,0),"")</f>
        <v/>
      </c>
    </row>
    <row r="352">
      <c r="B352" s="119" t="str">
        <f>IF($L352="","",INDEX('CDFs'!$F$6:$F$505,$L352)&amp;"")</f>
        <v/>
      </c>
      <c r="C352" s="120" t="str">
        <f>IF($L352="","",INDEX('CDFs'!$B$6:$B$505,$L352)&amp;"")</f>
        <v/>
      </c>
      <c r="D352" s="120" t="str">
        <f>IF($L352="","",INDEX('CDFs'!$A$6:$A$505,$L352)&amp;"")</f>
        <v/>
      </c>
      <c r="E352" s="128" t="str">
        <f>IF($L352="","",INDEX('CDFs'!$D$6:$D$505,$L352))</f>
        <v/>
      </c>
      <c r="F352" s="122" t="str">
        <f>IF($L352="","",INDEX('CDFs'!$O$6:$O$505,$L352))</f>
        <v/>
      </c>
      <c r="G352" s="121" t="str">
        <f>IF($L352="","",INDEX('CDFs'!$R$6:$R$505,$L352))</f>
        <v/>
      </c>
      <c r="H352" s="120" t="str">
        <f>IF($L352="","",INDEX('CDFs'!$Q$6:$Q$505,$L352)&amp;"")</f>
        <v/>
      </c>
      <c r="L352" t="str">
        <f>IFERROR(MATCH(SMALL('CDFs'!$AB$6:$AB$505,60),'CDFs'!$AB$6:$AB$505,0),"")</f>
        <v/>
      </c>
    </row>
    <row r="353">
      <c r="B353" s="119" t="str">
        <f>IF($L353="","",INDEX('CDFs'!$F$6:$F$505,$L353)&amp;"")</f>
        <v/>
      </c>
      <c r="C353" s="120" t="str">
        <f>IF($L353="","",INDEX('CDFs'!$B$6:$B$505,$L353)&amp;"")</f>
        <v/>
      </c>
      <c r="D353" s="120" t="str">
        <f>IF($L353="","",INDEX('CDFs'!$A$6:$A$505,$L353)&amp;"")</f>
        <v/>
      </c>
      <c r="E353" s="128" t="str">
        <f>IF($L353="","",INDEX('CDFs'!$D$6:$D$505,$L353))</f>
        <v/>
      </c>
      <c r="F353" s="122" t="str">
        <f>IF($L353="","",INDEX('CDFs'!$O$6:$O$505,$L353))</f>
        <v/>
      </c>
      <c r="G353" s="121" t="str">
        <f>IF($L353="","",INDEX('CDFs'!$R$6:$R$505,$L353))</f>
        <v/>
      </c>
      <c r="H353" s="120" t="str">
        <f>IF($L353="","",INDEX('CDFs'!$Q$6:$Q$505,$L353)&amp;"")</f>
        <v/>
      </c>
      <c r="L353" t="str">
        <f>IFERROR(MATCH(SMALL('CDFs'!$AB$6:$AB$505,61),'CDFs'!$AB$6:$AB$505,0),"")</f>
        <v/>
      </c>
    </row>
    <row r="354">
      <c r="B354" s="119" t="str">
        <f>IF($L354="","",INDEX('CDFs'!$F$6:$F$505,$L354)&amp;"")</f>
        <v/>
      </c>
      <c r="C354" s="120" t="str">
        <f>IF($L354="","",INDEX('CDFs'!$B$6:$B$505,$L354)&amp;"")</f>
        <v/>
      </c>
      <c r="D354" s="120" t="str">
        <f>IF($L354="","",INDEX('CDFs'!$A$6:$A$505,$L354)&amp;"")</f>
        <v/>
      </c>
      <c r="E354" s="128" t="str">
        <f>IF($L354="","",INDEX('CDFs'!$D$6:$D$505,$L354))</f>
        <v/>
      </c>
      <c r="F354" s="122" t="str">
        <f>IF($L354="","",INDEX('CDFs'!$O$6:$O$505,$L354))</f>
        <v/>
      </c>
      <c r="G354" s="121" t="str">
        <f>IF($L354="","",INDEX('CDFs'!$R$6:$R$505,$L354))</f>
        <v/>
      </c>
      <c r="H354" s="120" t="str">
        <f>IF($L354="","",INDEX('CDFs'!$Q$6:$Q$505,$L354)&amp;"")</f>
        <v/>
      </c>
      <c r="L354" t="str">
        <f>IFERROR(MATCH(SMALL('CDFs'!$AB$6:$AB$505,62),'CDFs'!$AB$6:$AB$505,0),"")</f>
        <v/>
      </c>
    </row>
    <row r="355">
      <c r="B355" s="119" t="str">
        <f>IF($L355="","",INDEX('CDFs'!$F$6:$F$505,$L355)&amp;"")</f>
        <v/>
      </c>
      <c r="C355" s="120" t="str">
        <f>IF($L355="","",INDEX('CDFs'!$B$6:$B$505,$L355)&amp;"")</f>
        <v/>
      </c>
      <c r="D355" s="120" t="str">
        <f>IF($L355="","",INDEX('CDFs'!$A$6:$A$505,$L355)&amp;"")</f>
        <v/>
      </c>
      <c r="E355" s="128" t="str">
        <f>IF($L355="","",INDEX('CDFs'!$D$6:$D$505,$L355))</f>
        <v/>
      </c>
      <c r="F355" s="122" t="str">
        <f>IF($L355="","",INDEX('CDFs'!$O$6:$O$505,$L355))</f>
        <v/>
      </c>
      <c r="G355" s="121" t="str">
        <f>IF($L355="","",INDEX('CDFs'!$R$6:$R$505,$L355))</f>
        <v/>
      </c>
      <c r="H355" s="120" t="str">
        <f>IF($L355="","",INDEX('CDFs'!$Q$6:$Q$505,$L355)&amp;"")</f>
        <v/>
      </c>
      <c r="L355" t="str">
        <f>IFERROR(MATCH(SMALL('CDFs'!$AB$6:$AB$505,63),'CDFs'!$AB$6:$AB$505,0),"")</f>
        <v/>
      </c>
    </row>
    <row r="356">
      <c r="B356" s="119" t="str">
        <f>IF($L356="","",INDEX('CDFs'!$F$6:$F$505,$L356)&amp;"")</f>
        <v/>
      </c>
      <c r="C356" s="120" t="str">
        <f>IF($L356="","",INDEX('CDFs'!$B$6:$B$505,$L356)&amp;"")</f>
        <v/>
      </c>
      <c r="D356" s="120" t="str">
        <f>IF($L356="","",INDEX('CDFs'!$A$6:$A$505,$L356)&amp;"")</f>
        <v/>
      </c>
      <c r="E356" s="128" t="str">
        <f>IF($L356="","",INDEX('CDFs'!$D$6:$D$505,$L356))</f>
        <v/>
      </c>
      <c r="F356" s="122" t="str">
        <f>IF($L356="","",INDEX('CDFs'!$O$6:$O$505,$L356))</f>
        <v/>
      </c>
      <c r="G356" s="121" t="str">
        <f>IF($L356="","",INDEX('CDFs'!$R$6:$R$505,$L356))</f>
        <v/>
      </c>
      <c r="H356" s="120" t="str">
        <f>IF($L356="","",INDEX('CDFs'!$Q$6:$Q$505,$L356)&amp;"")</f>
        <v/>
      </c>
      <c r="L356" t="str">
        <f>IFERROR(MATCH(SMALL('CDFs'!$AB$6:$AB$505,64),'CDFs'!$AB$6:$AB$505,0),"")</f>
        <v/>
      </c>
    </row>
    <row r="357">
      <c r="B357" s="119" t="str">
        <f>IF($L357="","",INDEX('CDFs'!$F$6:$F$505,$L357)&amp;"")</f>
        <v/>
      </c>
      <c r="C357" s="120" t="str">
        <f>IF($L357="","",INDEX('CDFs'!$B$6:$B$505,$L357)&amp;"")</f>
        <v/>
      </c>
      <c r="D357" s="120" t="str">
        <f>IF($L357="","",INDEX('CDFs'!$A$6:$A$505,$L357)&amp;"")</f>
        <v/>
      </c>
      <c r="E357" s="128" t="str">
        <f>IF($L357="","",INDEX('CDFs'!$D$6:$D$505,$L357))</f>
        <v/>
      </c>
      <c r="F357" s="122" t="str">
        <f>IF($L357="","",INDEX('CDFs'!$O$6:$O$505,$L357))</f>
        <v/>
      </c>
      <c r="G357" s="121" t="str">
        <f>IF($L357="","",INDEX('CDFs'!$R$6:$R$505,$L357))</f>
        <v/>
      </c>
      <c r="H357" s="120" t="str">
        <f>IF($L357="","",INDEX('CDFs'!$Q$6:$Q$505,$L357)&amp;"")</f>
        <v/>
      </c>
      <c r="L357" t="str">
        <f>IFERROR(MATCH(SMALL('CDFs'!$AB$6:$AB$505,65),'CDFs'!$AB$6:$AB$505,0),"")</f>
        <v/>
      </c>
    </row>
    <row r="358">
      <c r="B358" s="119" t="str">
        <f>IF($L358="","",INDEX('CDFs'!$F$6:$F$505,$L358)&amp;"")</f>
        <v/>
      </c>
      <c r="C358" s="120" t="str">
        <f>IF($L358="","",INDEX('CDFs'!$B$6:$B$505,$L358)&amp;"")</f>
        <v/>
      </c>
      <c r="D358" s="120" t="str">
        <f>IF($L358="","",INDEX('CDFs'!$A$6:$A$505,$L358)&amp;"")</f>
        <v/>
      </c>
      <c r="E358" s="128" t="str">
        <f>IF($L358="","",INDEX('CDFs'!$D$6:$D$505,$L358))</f>
        <v/>
      </c>
      <c r="F358" s="122" t="str">
        <f>IF($L358="","",INDEX('CDFs'!$O$6:$O$505,$L358))</f>
        <v/>
      </c>
      <c r="G358" s="121" t="str">
        <f>IF($L358="","",INDEX('CDFs'!$R$6:$R$505,$L358))</f>
        <v/>
      </c>
      <c r="H358" s="120" t="str">
        <f>IF($L358="","",INDEX('CDFs'!$Q$6:$Q$505,$L358)&amp;"")</f>
        <v/>
      </c>
      <c r="L358" t="str">
        <f>IFERROR(MATCH(SMALL('CDFs'!$AB$6:$AB$505,66),'CDFs'!$AB$6:$AB$505,0),"")</f>
        <v/>
      </c>
    </row>
    <row r="359">
      <c r="B359" s="119" t="str">
        <f>IF($L359="","",INDEX('CDFs'!$F$6:$F$505,$L359)&amp;"")</f>
        <v/>
      </c>
      <c r="C359" s="120" t="str">
        <f>IF($L359="","",INDEX('CDFs'!$B$6:$B$505,$L359)&amp;"")</f>
        <v/>
      </c>
      <c r="D359" s="120" t="str">
        <f>IF($L359="","",INDEX('CDFs'!$A$6:$A$505,$L359)&amp;"")</f>
        <v/>
      </c>
      <c r="E359" s="128" t="str">
        <f>IF($L359="","",INDEX('CDFs'!$D$6:$D$505,$L359))</f>
        <v/>
      </c>
      <c r="F359" s="122" t="str">
        <f>IF($L359="","",INDEX('CDFs'!$O$6:$O$505,$L359))</f>
        <v/>
      </c>
      <c r="G359" s="121" t="str">
        <f>IF($L359="","",INDEX('CDFs'!$R$6:$R$505,$L359))</f>
        <v/>
      </c>
      <c r="H359" s="120" t="str">
        <f>IF($L359="","",INDEX('CDFs'!$Q$6:$Q$505,$L359)&amp;"")</f>
        <v/>
      </c>
      <c r="L359" t="str">
        <f>IFERROR(MATCH(SMALL('CDFs'!$AB$6:$AB$505,67),'CDFs'!$AB$6:$AB$505,0),"")</f>
        <v/>
      </c>
    </row>
    <row r="360">
      <c r="B360" s="119" t="str">
        <f>IF($L360="","",INDEX('CDFs'!$F$6:$F$505,$L360)&amp;"")</f>
        <v/>
      </c>
      <c r="C360" s="120" t="str">
        <f>IF($L360="","",INDEX('CDFs'!$B$6:$B$505,$L360)&amp;"")</f>
        <v/>
      </c>
      <c r="D360" s="120" t="str">
        <f>IF($L360="","",INDEX('CDFs'!$A$6:$A$505,$L360)&amp;"")</f>
        <v/>
      </c>
      <c r="E360" s="128" t="str">
        <f>IF($L360="","",INDEX('CDFs'!$D$6:$D$505,$L360))</f>
        <v/>
      </c>
      <c r="F360" s="122" t="str">
        <f>IF($L360="","",INDEX('CDFs'!$O$6:$O$505,$L360))</f>
        <v/>
      </c>
      <c r="G360" s="121" t="str">
        <f>IF($L360="","",INDEX('CDFs'!$R$6:$R$505,$L360))</f>
        <v/>
      </c>
      <c r="H360" s="120" t="str">
        <f>IF($L360="","",INDEX('CDFs'!$Q$6:$Q$505,$L360)&amp;"")</f>
        <v/>
      </c>
      <c r="L360" t="str">
        <f>IFERROR(MATCH(SMALL('CDFs'!$AB$6:$AB$505,68),'CDFs'!$AB$6:$AB$505,0),"")</f>
        <v/>
      </c>
    </row>
    <row r="361">
      <c r="B361" s="119" t="str">
        <f>IF($L361="","",INDEX('CDFs'!$F$6:$F$505,$L361)&amp;"")</f>
        <v/>
      </c>
      <c r="C361" s="120" t="str">
        <f>IF($L361="","",INDEX('CDFs'!$B$6:$B$505,$L361)&amp;"")</f>
        <v/>
      </c>
      <c r="D361" s="120" t="str">
        <f>IF($L361="","",INDEX('CDFs'!$A$6:$A$505,$L361)&amp;"")</f>
        <v/>
      </c>
      <c r="E361" s="128" t="str">
        <f>IF($L361="","",INDEX('CDFs'!$D$6:$D$505,$L361))</f>
        <v/>
      </c>
      <c r="F361" s="122" t="str">
        <f>IF($L361="","",INDEX('CDFs'!$O$6:$O$505,$L361))</f>
        <v/>
      </c>
      <c r="G361" s="121" t="str">
        <f>IF($L361="","",INDEX('CDFs'!$R$6:$R$505,$L361))</f>
        <v/>
      </c>
      <c r="H361" s="120" t="str">
        <f>IF($L361="","",INDEX('CDFs'!$Q$6:$Q$505,$L361)&amp;"")</f>
        <v/>
      </c>
      <c r="L361" t="str">
        <f>IFERROR(MATCH(SMALL('CDFs'!$AB$6:$AB$505,69),'CDFs'!$AB$6:$AB$505,0),"")</f>
        <v/>
      </c>
    </row>
    <row r="362">
      <c r="B362" s="119" t="str">
        <f>IF($L362="","",INDEX('CDFs'!$F$6:$F$505,$L362)&amp;"")</f>
        <v/>
      </c>
      <c r="C362" s="120" t="str">
        <f>IF($L362="","",INDEX('CDFs'!$B$6:$B$505,$L362)&amp;"")</f>
        <v/>
      </c>
      <c r="D362" s="120" t="str">
        <f>IF($L362="","",INDEX('CDFs'!$A$6:$A$505,$L362)&amp;"")</f>
        <v/>
      </c>
      <c r="E362" s="128" t="str">
        <f>IF($L362="","",INDEX('CDFs'!$D$6:$D$505,$L362))</f>
        <v/>
      </c>
      <c r="F362" s="122" t="str">
        <f>IF($L362="","",INDEX('CDFs'!$O$6:$O$505,$L362))</f>
        <v/>
      </c>
      <c r="G362" s="121" t="str">
        <f>IF($L362="","",INDEX('CDFs'!$R$6:$R$505,$L362))</f>
        <v/>
      </c>
      <c r="H362" s="120" t="str">
        <f>IF($L362="","",INDEX('CDFs'!$Q$6:$Q$505,$L362)&amp;"")</f>
        <v/>
      </c>
      <c r="L362" t="str">
        <f>IFERROR(MATCH(SMALL('CDFs'!$AB$6:$AB$505,70),'CDFs'!$AB$6:$AB$505,0),"")</f>
        <v/>
      </c>
    </row>
    <row r="363">
      <c r="B363" s="119" t="str">
        <f>IF($L363="","",INDEX('CDFs'!$F$6:$F$505,$L363)&amp;"")</f>
        <v/>
      </c>
      <c r="C363" s="120" t="str">
        <f>IF($L363="","",INDEX('CDFs'!$B$6:$B$505,$L363)&amp;"")</f>
        <v/>
      </c>
      <c r="D363" s="120" t="str">
        <f>IF($L363="","",INDEX('CDFs'!$A$6:$A$505,$L363)&amp;"")</f>
        <v/>
      </c>
      <c r="E363" s="128" t="str">
        <f>IF($L363="","",INDEX('CDFs'!$D$6:$D$505,$L363))</f>
        <v/>
      </c>
      <c r="F363" s="122" t="str">
        <f>IF($L363="","",INDEX('CDFs'!$O$6:$O$505,$L363))</f>
        <v/>
      </c>
      <c r="G363" s="121" t="str">
        <f>IF($L363="","",INDEX('CDFs'!$R$6:$R$505,$L363))</f>
        <v/>
      </c>
      <c r="H363" s="120" t="str">
        <f>IF($L363="","",INDEX('CDFs'!$Q$6:$Q$505,$L363)&amp;"")</f>
        <v/>
      </c>
      <c r="L363" t="str">
        <f>IFERROR(MATCH(SMALL('CDFs'!$AB$6:$AB$505,71),'CDFs'!$AB$6:$AB$505,0),"")</f>
        <v/>
      </c>
    </row>
    <row r="364">
      <c r="B364" s="119" t="str">
        <f>IF($L364="","",INDEX('CDFs'!$F$6:$F$505,$L364)&amp;"")</f>
        <v/>
      </c>
      <c r="C364" s="120" t="str">
        <f>IF($L364="","",INDEX('CDFs'!$B$6:$B$505,$L364)&amp;"")</f>
        <v/>
      </c>
      <c r="D364" s="120" t="str">
        <f>IF($L364="","",INDEX('CDFs'!$A$6:$A$505,$L364)&amp;"")</f>
        <v/>
      </c>
      <c r="E364" s="128" t="str">
        <f>IF($L364="","",INDEX('CDFs'!$D$6:$D$505,$L364))</f>
        <v/>
      </c>
      <c r="F364" s="122" t="str">
        <f>IF($L364="","",INDEX('CDFs'!$O$6:$O$505,$L364))</f>
        <v/>
      </c>
      <c r="G364" s="121" t="str">
        <f>IF($L364="","",INDEX('CDFs'!$R$6:$R$505,$L364))</f>
        <v/>
      </c>
      <c r="H364" s="120" t="str">
        <f>IF($L364="","",INDEX('CDFs'!$Q$6:$Q$505,$L364)&amp;"")</f>
        <v/>
      </c>
      <c r="L364" t="str">
        <f>IFERROR(MATCH(SMALL('CDFs'!$AB$6:$AB$505,72),'CDFs'!$AB$6:$AB$505,0),"")</f>
        <v/>
      </c>
    </row>
    <row r="365">
      <c r="B365" s="119" t="str">
        <f>IF($L365="","",INDEX('CDFs'!$F$6:$F$505,$L365)&amp;"")</f>
        <v/>
      </c>
      <c r="C365" s="120" t="str">
        <f>IF($L365="","",INDEX('CDFs'!$B$6:$B$505,$L365)&amp;"")</f>
        <v/>
      </c>
      <c r="D365" s="120" t="str">
        <f>IF($L365="","",INDEX('CDFs'!$A$6:$A$505,$L365)&amp;"")</f>
        <v/>
      </c>
      <c r="E365" s="128" t="str">
        <f>IF($L365="","",INDEX('CDFs'!$D$6:$D$505,$L365))</f>
        <v/>
      </c>
      <c r="F365" s="122" t="str">
        <f>IF($L365="","",INDEX('CDFs'!$O$6:$O$505,$L365))</f>
        <v/>
      </c>
      <c r="G365" s="121" t="str">
        <f>IF($L365="","",INDEX('CDFs'!$R$6:$R$505,$L365))</f>
        <v/>
      </c>
      <c r="H365" s="120" t="str">
        <f>IF($L365="","",INDEX('CDFs'!$Q$6:$Q$505,$L365)&amp;"")</f>
        <v/>
      </c>
      <c r="L365" t="str">
        <f>IFERROR(MATCH(SMALL('CDFs'!$AB$6:$AB$505,73),'CDFs'!$AB$6:$AB$505,0),"")</f>
        <v/>
      </c>
    </row>
    <row r="366">
      <c r="B366" s="119" t="str">
        <f>IF($L366="","",INDEX('CDFs'!$F$6:$F$505,$L366)&amp;"")</f>
        <v/>
      </c>
      <c r="C366" s="120" t="str">
        <f>IF($L366="","",INDEX('CDFs'!$B$6:$B$505,$L366)&amp;"")</f>
        <v/>
      </c>
      <c r="D366" s="120" t="str">
        <f>IF($L366="","",INDEX('CDFs'!$A$6:$A$505,$L366)&amp;"")</f>
        <v/>
      </c>
      <c r="E366" s="128" t="str">
        <f>IF($L366="","",INDEX('CDFs'!$D$6:$D$505,$L366))</f>
        <v/>
      </c>
      <c r="F366" s="122" t="str">
        <f>IF($L366="","",INDEX('CDFs'!$O$6:$O$505,$L366))</f>
        <v/>
      </c>
      <c r="G366" s="121" t="str">
        <f>IF($L366="","",INDEX('CDFs'!$R$6:$R$505,$L366))</f>
        <v/>
      </c>
      <c r="H366" s="120" t="str">
        <f>IF($L366="","",INDEX('CDFs'!$Q$6:$Q$505,$L366)&amp;"")</f>
        <v/>
      </c>
      <c r="L366" t="str">
        <f>IFERROR(MATCH(SMALL('CDFs'!$AB$6:$AB$505,74),'CDFs'!$AB$6:$AB$505,0),"")</f>
        <v/>
      </c>
    </row>
    <row r="367">
      <c r="B367" s="119" t="str">
        <f>IF($L367="","",INDEX('CDFs'!$F$6:$F$505,$L367)&amp;"")</f>
        <v/>
      </c>
      <c r="C367" s="120" t="str">
        <f>IF($L367="","",INDEX('CDFs'!$B$6:$B$505,$L367)&amp;"")</f>
        <v/>
      </c>
      <c r="D367" s="120" t="str">
        <f>IF($L367="","",INDEX('CDFs'!$A$6:$A$505,$L367)&amp;"")</f>
        <v/>
      </c>
      <c r="E367" s="128" t="str">
        <f>IF($L367="","",INDEX('CDFs'!$D$6:$D$505,$L367))</f>
        <v/>
      </c>
      <c r="F367" s="122" t="str">
        <f>IF($L367="","",INDEX('CDFs'!$O$6:$O$505,$L367))</f>
        <v/>
      </c>
      <c r="G367" s="121" t="str">
        <f>IF($L367="","",INDEX('CDFs'!$R$6:$R$505,$L367))</f>
        <v/>
      </c>
      <c r="H367" s="120" t="str">
        <f>IF($L367="","",INDEX('CDFs'!$Q$6:$Q$505,$L367)&amp;"")</f>
        <v/>
      </c>
      <c r="L367" t="str">
        <f>IFERROR(MATCH(SMALL('CDFs'!$AB$6:$AB$505,75),'CDFs'!$AB$6:$AB$505,0),"")</f>
        <v/>
      </c>
    </row>
    <row r="368">
      <c r="B368" s="119" t="str">
        <f>IF($L368="","",INDEX('CDFs'!$F$6:$F$505,$L368)&amp;"")</f>
        <v/>
      </c>
      <c r="C368" s="120" t="str">
        <f>IF($L368="","",INDEX('CDFs'!$B$6:$B$505,$L368)&amp;"")</f>
        <v/>
      </c>
      <c r="D368" s="120" t="str">
        <f>IF($L368="","",INDEX('CDFs'!$A$6:$A$505,$L368)&amp;"")</f>
        <v/>
      </c>
      <c r="E368" s="128" t="str">
        <f>IF($L368="","",INDEX('CDFs'!$D$6:$D$505,$L368))</f>
        <v/>
      </c>
      <c r="F368" s="122" t="str">
        <f>IF($L368="","",INDEX('CDFs'!$O$6:$O$505,$L368))</f>
        <v/>
      </c>
      <c r="G368" s="121" t="str">
        <f>IF($L368="","",INDEX('CDFs'!$R$6:$R$505,$L368))</f>
        <v/>
      </c>
      <c r="H368" s="120" t="str">
        <f>IF($L368="","",INDEX('CDFs'!$Q$6:$Q$505,$L368)&amp;"")</f>
        <v/>
      </c>
      <c r="L368" t="str">
        <f>IFERROR(MATCH(SMALL('CDFs'!$AB$6:$AB$505,76),'CDFs'!$AB$6:$AB$505,0),"")</f>
        <v/>
      </c>
    </row>
    <row r="369">
      <c r="B369" s="119" t="str">
        <f>IF($L369="","",INDEX('CDFs'!$F$6:$F$505,$L369)&amp;"")</f>
        <v/>
      </c>
      <c r="C369" s="120" t="str">
        <f>IF($L369="","",INDEX('CDFs'!$B$6:$B$505,$L369)&amp;"")</f>
        <v/>
      </c>
      <c r="D369" s="120" t="str">
        <f>IF($L369="","",INDEX('CDFs'!$A$6:$A$505,$L369)&amp;"")</f>
        <v/>
      </c>
      <c r="E369" s="128" t="str">
        <f>IF($L369="","",INDEX('CDFs'!$D$6:$D$505,$L369))</f>
        <v/>
      </c>
      <c r="F369" s="122" t="str">
        <f>IF($L369="","",INDEX('CDFs'!$O$6:$O$505,$L369))</f>
        <v/>
      </c>
      <c r="G369" s="121" t="str">
        <f>IF($L369="","",INDEX('CDFs'!$R$6:$R$505,$L369))</f>
        <v/>
      </c>
      <c r="H369" s="120" t="str">
        <f>IF($L369="","",INDEX('CDFs'!$Q$6:$Q$505,$L369)&amp;"")</f>
        <v/>
      </c>
      <c r="L369" t="str">
        <f>IFERROR(MATCH(SMALL('CDFs'!$AB$6:$AB$505,77),'CDFs'!$AB$6:$AB$505,0),"")</f>
        <v/>
      </c>
    </row>
    <row r="370">
      <c r="B370" s="119" t="str">
        <f>IF($L370="","",INDEX('CDFs'!$F$6:$F$505,$L370)&amp;"")</f>
        <v/>
      </c>
      <c r="C370" s="120" t="str">
        <f>IF($L370="","",INDEX('CDFs'!$B$6:$B$505,$L370)&amp;"")</f>
        <v/>
      </c>
      <c r="D370" s="120" t="str">
        <f>IF($L370="","",INDEX('CDFs'!$A$6:$A$505,$L370)&amp;"")</f>
        <v/>
      </c>
      <c r="E370" s="128" t="str">
        <f>IF($L370="","",INDEX('CDFs'!$D$6:$D$505,$L370))</f>
        <v/>
      </c>
      <c r="F370" s="122" t="str">
        <f>IF($L370="","",INDEX('CDFs'!$O$6:$O$505,$L370))</f>
        <v/>
      </c>
      <c r="G370" s="121" t="str">
        <f>IF($L370="","",INDEX('CDFs'!$R$6:$R$505,$L370))</f>
        <v/>
      </c>
      <c r="H370" s="120" t="str">
        <f>IF($L370="","",INDEX('CDFs'!$Q$6:$Q$505,$L370)&amp;"")</f>
        <v/>
      </c>
      <c r="L370" t="str">
        <f>IFERROR(MATCH(SMALL('CDFs'!$AB$6:$AB$505,78),'CDFs'!$AB$6:$AB$505,0),"")</f>
        <v/>
      </c>
    </row>
    <row r="371">
      <c r="B371" s="119" t="str">
        <f>IF($L371="","",INDEX('CDFs'!$F$6:$F$505,$L371)&amp;"")</f>
        <v/>
      </c>
      <c r="C371" s="120" t="str">
        <f>IF($L371="","",INDEX('CDFs'!$B$6:$B$505,$L371)&amp;"")</f>
        <v/>
      </c>
      <c r="D371" s="120" t="str">
        <f>IF($L371="","",INDEX('CDFs'!$A$6:$A$505,$L371)&amp;"")</f>
        <v/>
      </c>
      <c r="E371" s="128" t="str">
        <f>IF($L371="","",INDEX('CDFs'!$D$6:$D$505,$L371))</f>
        <v/>
      </c>
      <c r="F371" s="122" t="str">
        <f>IF($L371="","",INDEX('CDFs'!$O$6:$O$505,$L371))</f>
        <v/>
      </c>
      <c r="G371" s="121" t="str">
        <f>IF($L371="","",INDEX('CDFs'!$R$6:$R$505,$L371))</f>
        <v/>
      </c>
      <c r="H371" s="120" t="str">
        <f>IF($L371="","",INDEX('CDFs'!$Q$6:$Q$505,$L371)&amp;"")</f>
        <v/>
      </c>
      <c r="L371" t="str">
        <f>IFERROR(MATCH(SMALL('CDFs'!$AB$6:$AB$505,79),'CDFs'!$AB$6:$AB$505,0),"")</f>
        <v/>
      </c>
    </row>
    <row r="372">
      <c r="B372" s="119" t="str">
        <f>IF($L372="","",INDEX('CDFs'!$F$6:$F$505,$L372)&amp;"")</f>
        <v/>
      </c>
      <c r="C372" s="120" t="str">
        <f>IF($L372="","",INDEX('CDFs'!$B$6:$B$505,$L372)&amp;"")</f>
        <v/>
      </c>
      <c r="D372" s="120" t="str">
        <f>IF($L372="","",INDEX('CDFs'!$A$6:$A$505,$L372)&amp;"")</f>
        <v/>
      </c>
      <c r="E372" s="128" t="str">
        <f>IF($L372="","",INDEX('CDFs'!$D$6:$D$505,$L372))</f>
        <v/>
      </c>
      <c r="F372" s="122" t="str">
        <f>IF($L372="","",INDEX('CDFs'!$O$6:$O$505,$L372))</f>
        <v/>
      </c>
      <c r="G372" s="121" t="str">
        <f>IF($L372="","",INDEX('CDFs'!$R$6:$R$505,$L372))</f>
        <v/>
      </c>
      <c r="H372" s="120" t="str">
        <f>IF($L372="","",INDEX('CDFs'!$Q$6:$Q$505,$L372)&amp;"")</f>
        <v/>
      </c>
      <c r="L372" t="str">
        <f>IFERROR(MATCH(SMALL('CDFs'!$AB$6:$AB$505,80),'CDFs'!$AB$6:$AB$505,0),"")</f>
        <v/>
      </c>
    </row>
    <row r="373">
      <c r="B373" s="119" t="str">
        <f>IF($L373="","",INDEX('CDFs'!$F$6:$F$505,$L373)&amp;"")</f>
        <v/>
      </c>
      <c r="C373" s="120" t="str">
        <f>IF($L373="","",INDEX('CDFs'!$B$6:$B$505,$L373)&amp;"")</f>
        <v/>
      </c>
      <c r="D373" s="120" t="str">
        <f>IF($L373="","",INDEX('CDFs'!$A$6:$A$505,$L373)&amp;"")</f>
        <v/>
      </c>
      <c r="E373" s="128" t="str">
        <f>IF($L373="","",INDEX('CDFs'!$D$6:$D$505,$L373))</f>
        <v/>
      </c>
      <c r="F373" s="122" t="str">
        <f>IF($L373="","",INDEX('CDFs'!$O$6:$O$505,$L373))</f>
        <v/>
      </c>
      <c r="G373" s="121" t="str">
        <f>IF($L373="","",INDEX('CDFs'!$R$6:$R$505,$L373))</f>
        <v/>
      </c>
      <c r="H373" s="120" t="str">
        <f>IF($L373="","",INDEX('CDFs'!$Q$6:$Q$505,$L373)&amp;"")</f>
        <v/>
      </c>
      <c r="L373" t="str">
        <f>IFERROR(MATCH(SMALL('CDFs'!$AB$6:$AB$505,81),'CDFs'!$AB$6:$AB$505,0),"")</f>
        <v/>
      </c>
    </row>
    <row r="374">
      <c r="B374" s="119" t="str">
        <f>IF($L374="","",INDEX('CDFs'!$F$6:$F$505,$L374)&amp;"")</f>
        <v/>
      </c>
      <c r="C374" s="120" t="str">
        <f>IF($L374="","",INDEX('CDFs'!$B$6:$B$505,$L374)&amp;"")</f>
        <v/>
      </c>
      <c r="D374" s="120" t="str">
        <f>IF($L374="","",INDEX('CDFs'!$A$6:$A$505,$L374)&amp;"")</f>
        <v/>
      </c>
      <c r="E374" s="128" t="str">
        <f>IF($L374="","",INDEX('CDFs'!$D$6:$D$505,$L374))</f>
        <v/>
      </c>
      <c r="F374" s="122" t="str">
        <f>IF($L374="","",INDEX('CDFs'!$O$6:$O$505,$L374))</f>
        <v/>
      </c>
      <c r="G374" s="121" t="str">
        <f>IF($L374="","",INDEX('CDFs'!$R$6:$R$505,$L374))</f>
        <v/>
      </c>
      <c r="H374" s="120" t="str">
        <f>IF($L374="","",INDEX('CDFs'!$Q$6:$Q$505,$L374)&amp;"")</f>
        <v/>
      </c>
      <c r="L374" t="str">
        <f>IFERROR(MATCH(SMALL('CDFs'!$AB$6:$AB$505,82),'CDFs'!$AB$6:$AB$505,0),"")</f>
        <v/>
      </c>
    </row>
    <row r="375">
      <c r="B375" s="119" t="str">
        <f>IF($L375="","",INDEX('CDFs'!$F$6:$F$505,$L375)&amp;"")</f>
        <v/>
      </c>
      <c r="C375" s="120" t="str">
        <f>IF($L375="","",INDEX('CDFs'!$B$6:$B$505,$L375)&amp;"")</f>
        <v/>
      </c>
      <c r="D375" s="120" t="str">
        <f>IF($L375="","",INDEX('CDFs'!$A$6:$A$505,$L375)&amp;"")</f>
        <v/>
      </c>
      <c r="E375" s="128" t="str">
        <f>IF($L375="","",INDEX('CDFs'!$D$6:$D$505,$L375))</f>
        <v/>
      </c>
      <c r="F375" s="122" t="str">
        <f>IF($L375="","",INDEX('CDFs'!$O$6:$O$505,$L375))</f>
        <v/>
      </c>
      <c r="G375" s="121" t="str">
        <f>IF($L375="","",INDEX('CDFs'!$R$6:$R$505,$L375))</f>
        <v/>
      </c>
      <c r="H375" s="120" t="str">
        <f>IF($L375="","",INDEX('CDFs'!$Q$6:$Q$505,$L375)&amp;"")</f>
        <v/>
      </c>
      <c r="L375" t="str">
        <f>IFERROR(MATCH(SMALL('CDFs'!$AB$6:$AB$505,83),'CDFs'!$AB$6:$AB$505,0),"")</f>
        <v/>
      </c>
    </row>
    <row r="376">
      <c r="B376" s="119" t="str">
        <f>IF($L376="","",INDEX('CDFs'!$F$6:$F$505,$L376)&amp;"")</f>
        <v/>
      </c>
      <c r="C376" s="120" t="str">
        <f>IF($L376="","",INDEX('CDFs'!$B$6:$B$505,$L376)&amp;"")</f>
        <v/>
      </c>
      <c r="D376" s="120" t="str">
        <f>IF($L376="","",INDEX('CDFs'!$A$6:$A$505,$L376)&amp;"")</f>
        <v/>
      </c>
      <c r="E376" s="128" t="str">
        <f>IF($L376="","",INDEX('CDFs'!$D$6:$D$505,$L376))</f>
        <v/>
      </c>
      <c r="F376" s="122" t="str">
        <f>IF($L376="","",INDEX('CDFs'!$O$6:$O$505,$L376))</f>
        <v/>
      </c>
      <c r="G376" s="121" t="str">
        <f>IF($L376="","",INDEX('CDFs'!$R$6:$R$505,$L376))</f>
        <v/>
      </c>
      <c r="H376" s="120" t="str">
        <f>IF($L376="","",INDEX('CDFs'!$Q$6:$Q$505,$L376)&amp;"")</f>
        <v/>
      </c>
      <c r="L376" t="str">
        <f>IFERROR(MATCH(SMALL('CDFs'!$AB$6:$AB$505,84),'CDFs'!$AB$6:$AB$505,0),"")</f>
        <v/>
      </c>
    </row>
    <row r="377">
      <c r="B377" s="119" t="str">
        <f>IF($L377="","",INDEX('CDFs'!$F$6:$F$505,$L377)&amp;"")</f>
        <v/>
      </c>
      <c r="C377" s="120" t="str">
        <f>IF($L377="","",INDEX('CDFs'!$B$6:$B$505,$L377)&amp;"")</f>
        <v/>
      </c>
      <c r="D377" s="120" t="str">
        <f>IF($L377="","",INDEX('CDFs'!$A$6:$A$505,$L377)&amp;"")</f>
        <v/>
      </c>
      <c r="E377" s="128" t="str">
        <f>IF($L377="","",INDEX('CDFs'!$D$6:$D$505,$L377))</f>
        <v/>
      </c>
      <c r="F377" s="122" t="str">
        <f>IF($L377="","",INDEX('CDFs'!$O$6:$O$505,$L377))</f>
        <v/>
      </c>
      <c r="G377" s="121" t="str">
        <f>IF($L377="","",INDEX('CDFs'!$R$6:$R$505,$L377))</f>
        <v/>
      </c>
      <c r="H377" s="120" t="str">
        <f>IF($L377="","",INDEX('CDFs'!$Q$6:$Q$505,$L377)&amp;"")</f>
        <v/>
      </c>
      <c r="L377" t="str">
        <f>IFERROR(MATCH(SMALL('CDFs'!$AB$6:$AB$505,85),'CDFs'!$AB$6:$AB$505,0),"")</f>
        <v/>
      </c>
    </row>
    <row r="378">
      <c r="B378" s="119" t="str">
        <f>IF($L378="","",INDEX('CDFs'!$F$6:$F$505,$L378)&amp;"")</f>
        <v/>
      </c>
      <c r="C378" s="120" t="str">
        <f>IF($L378="","",INDEX('CDFs'!$B$6:$B$505,$L378)&amp;"")</f>
        <v/>
      </c>
      <c r="D378" s="120" t="str">
        <f>IF($L378="","",INDEX('CDFs'!$A$6:$A$505,$L378)&amp;"")</f>
        <v/>
      </c>
      <c r="E378" s="128" t="str">
        <f>IF($L378="","",INDEX('CDFs'!$D$6:$D$505,$L378))</f>
        <v/>
      </c>
      <c r="F378" s="122" t="str">
        <f>IF($L378="","",INDEX('CDFs'!$O$6:$O$505,$L378))</f>
        <v/>
      </c>
      <c r="G378" s="121" t="str">
        <f>IF($L378="","",INDEX('CDFs'!$R$6:$R$505,$L378))</f>
        <v/>
      </c>
      <c r="H378" s="120" t="str">
        <f>IF($L378="","",INDEX('CDFs'!$Q$6:$Q$505,$L378)&amp;"")</f>
        <v/>
      </c>
      <c r="L378" t="str">
        <f>IFERROR(MATCH(SMALL('CDFs'!$AB$6:$AB$505,86),'CDFs'!$AB$6:$AB$505,0),"")</f>
        <v/>
      </c>
    </row>
    <row r="379">
      <c r="B379" s="119" t="str">
        <f>IF($L379="","",INDEX('CDFs'!$F$6:$F$505,$L379)&amp;"")</f>
        <v/>
      </c>
      <c r="C379" s="120" t="str">
        <f>IF($L379="","",INDEX('CDFs'!$B$6:$B$505,$L379)&amp;"")</f>
        <v/>
      </c>
      <c r="D379" s="120" t="str">
        <f>IF($L379="","",INDEX('CDFs'!$A$6:$A$505,$L379)&amp;"")</f>
        <v/>
      </c>
      <c r="E379" s="128" t="str">
        <f>IF($L379="","",INDEX('CDFs'!$D$6:$D$505,$L379))</f>
        <v/>
      </c>
      <c r="F379" s="122" t="str">
        <f>IF($L379="","",INDEX('CDFs'!$O$6:$O$505,$L379))</f>
        <v/>
      </c>
      <c r="G379" s="121" t="str">
        <f>IF($L379="","",INDEX('CDFs'!$R$6:$R$505,$L379))</f>
        <v/>
      </c>
      <c r="H379" s="120" t="str">
        <f>IF($L379="","",INDEX('CDFs'!$Q$6:$Q$505,$L379)&amp;"")</f>
        <v/>
      </c>
      <c r="L379" t="str">
        <f>IFERROR(MATCH(SMALL('CDFs'!$AB$6:$AB$505,87),'CDFs'!$AB$6:$AB$505,0),"")</f>
        <v/>
      </c>
    </row>
    <row r="380">
      <c r="B380" s="119" t="str">
        <f>IF($L380="","",INDEX('CDFs'!$F$6:$F$505,$L380)&amp;"")</f>
        <v/>
      </c>
      <c r="C380" s="120" t="str">
        <f>IF($L380="","",INDEX('CDFs'!$B$6:$B$505,$L380)&amp;"")</f>
        <v/>
      </c>
      <c r="D380" s="120" t="str">
        <f>IF($L380="","",INDEX('CDFs'!$A$6:$A$505,$L380)&amp;"")</f>
        <v/>
      </c>
      <c r="E380" s="128" t="str">
        <f>IF($L380="","",INDEX('CDFs'!$D$6:$D$505,$L380))</f>
        <v/>
      </c>
      <c r="F380" s="122" t="str">
        <f>IF($L380="","",INDEX('CDFs'!$O$6:$O$505,$L380))</f>
        <v/>
      </c>
      <c r="G380" s="121" t="str">
        <f>IF($L380="","",INDEX('CDFs'!$R$6:$R$505,$L380))</f>
        <v/>
      </c>
      <c r="H380" s="120" t="str">
        <f>IF($L380="","",INDEX('CDFs'!$Q$6:$Q$505,$L380)&amp;"")</f>
        <v/>
      </c>
      <c r="L380" t="str">
        <f>IFERROR(MATCH(SMALL('CDFs'!$AB$6:$AB$505,88),'CDFs'!$AB$6:$AB$505,0),"")</f>
        <v/>
      </c>
    </row>
    <row r="381">
      <c r="B381" s="119" t="str">
        <f>IF($L381="","",INDEX('CDFs'!$F$6:$F$505,$L381)&amp;"")</f>
        <v/>
      </c>
      <c r="C381" s="120" t="str">
        <f>IF($L381="","",INDEX('CDFs'!$B$6:$B$505,$L381)&amp;"")</f>
        <v/>
      </c>
      <c r="D381" s="120" t="str">
        <f>IF($L381="","",INDEX('CDFs'!$A$6:$A$505,$L381)&amp;"")</f>
        <v/>
      </c>
      <c r="E381" s="128" t="str">
        <f>IF($L381="","",INDEX('CDFs'!$D$6:$D$505,$L381))</f>
        <v/>
      </c>
      <c r="F381" s="122" t="str">
        <f>IF($L381="","",INDEX('CDFs'!$O$6:$O$505,$L381))</f>
        <v/>
      </c>
      <c r="G381" s="121" t="str">
        <f>IF($L381="","",INDEX('CDFs'!$R$6:$R$505,$L381))</f>
        <v/>
      </c>
      <c r="H381" s="120" t="str">
        <f>IF($L381="","",INDEX('CDFs'!$Q$6:$Q$505,$L381)&amp;"")</f>
        <v/>
      </c>
      <c r="L381" t="str">
        <f>IFERROR(MATCH(SMALL('CDFs'!$AB$6:$AB$505,89),'CDFs'!$AB$6:$AB$505,0),"")</f>
        <v/>
      </c>
    </row>
    <row r="382">
      <c r="B382" s="119" t="str">
        <f>IF($L382="","",INDEX('CDFs'!$F$6:$F$505,$L382)&amp;"")</f>
        <v/>
      </c>
      <c r="C382" s="120" t="str">
        <f>IF($L382="","",INDEX('CDFs'!$B$6:$B$505,$L382)&amp;"")</f>
        <v/>
      </c>
      <c r="D382" s="120" t="str">
        <f>IF($L382="","",INDEX('CDFs'!$A$6:$A$505,$L382)&amp;"")</f>
        <v/>
      </c>
      <c r="E382" s="128" t="str">
        <f>IF($L382="","",INDEX('CDFs'!$D$6:$D$505,$L382))</f>
        <v/>
      </c>
      <c r="F382" s="122" t="str">
        <f>IF($L382="","",INDEX('CDFs'!$O$6:$O$505,$L382))</f>
        <v/>
      </c>
      <c r="G382" s="121" t="str">
        <f>IF($L382="","",INDEX('CDFs'!$R$6:$R$505,$L382))</f>
        <v/>
      </c>
      <c r="H382" s="120" t="str">
        <f>IF($L382="","",INDEX('CDFs'!$Q$6:$Q$505,$L382)&amp;"")</f>
        <v/>
      </c>
      <c r="L382" t="str">
        <f>IFERROR(MATCH(SMALL('CDFs'!$AB$6:$AB$505,90),'CDFs'!$AB$6:$AB$505,0),"")</f>
        <v/>
      </c>
    </row>
    <row r="383">
      <c r="B383" s="119" t="str">
        <f>IF($L383="","",INDEX('CDFs'!$F$6:$F$505,$L383)&amp;"")</f>
        <v/>
      </c>
      <c r="C383" s="120" t="str">
        <f>IF($L383="","",INDEX('CDFs'!$B$6:$B$505,$L383)&amp;"")</f>
        <v/>
      </c>
      <c r="D383" s="120" t="str">
        <f>IF($L383="","",INDEX('CDFs'!$A$6:$A$505,$L383)&amp;"")</f>
        <v/>
      </c>
      <c r="E383" s="128" t="str">
        <f>IF($L383="","",INDEX('CDFs'!$D$6:$D$505,$L383))</f>
        <v/>
      </c>
      <c r="F383" s="122" t="str">
        <f>IF($L383="","",INDEX('CDFs'!$O$6:$O$505,$L383))</f>
        <v/>
      </c>
      <c r="G383" s="121" t="str">
        <f>IF($L383="","",INDEX('CDFs'!$R$6:$R$505,$L383))</f>
        <v/>
      </c>
      <c r="H383" s="120" t="str">
        <f>IF($L383="","",INDEX('CDFs'!$Q$6:$Q$505,$L383)&amp;"")</f>
        <v/>
      </c>
      <c r="L383" t="str">
        <f>IFERROR(MATCH(SMALL('CDFs'!$AB$6:$AB$505,91),'CDFs'!$AB$6:$AB$505,0),"")</f>
        <v/>
      </c>
    </row>
    <row r="384">
      <c r="B384" s="119" t="str">
        <f>IF($L384="","",INDEX('CDFs'!$F$6:$F$505,$L384)&amp;"")</f>
        <v/>
      </c>
      <c r="C384" s="120" t="str">
        <f>IF($L384="","",INDEX('CDFs'!$B$6:$B$505,$L384)&amp;"")</f>
        <v/>
      </c>
      <c r="D384" s="120" t="str">
        <f>IF($L384="","",INDEX('CDFs'!$A$6:$A$505,$L384)&amp;"")</f>
        <v/>
      </c>
      <c r="E384" s="128" t="str">
        <f>IF($L384="","",INDEX('CDFs'!$D$6:$D$505,$L384))</f>
        <v/>
      </c>
      <c r="F384" s="122" t="str">
        <f>IF($L384="","",INDEX('CDFs'!$O$6:$O$505,$L384))</f>
        <v/>
      </c>
      <c r="G384" s="121" t="str">
        <f>IF($L384="","",INDEX('CDFs'!$R$6:$R$505,$L384))</f>
        <v/>
      </c>
      <c r="H384" s="120" t="str">
        <f>IF($L384="","",INDEX('CDFs'!$Q$6:$Q$505,$L384)&amp;"")</f>
        <v/>
      </c>
      <c r="L384" t="str">
        <f>IFERROR(MATCH(SMALL('CDFs'!$AB$6:$AB$505,92),'CDFs'!$AB$6:$AB$505,0),"")</f>
        <v/>
      </c>
    </row>
    <row r="385">
      <c r="B385" s="119" t="str">
        <f>IF($L385="","",INDEX('CDFs'!$F$6:$F$505,$L385)&amp;"")</f>
        <v/>
      </c>
      <c r="C385" s="120" t="str">
        <f>IF($L385="","",INDEX('CDFs'!$B$6:$B$505,$L385)&amp;"")</f>
        <v/>
      </c>
      <c r="D385" s="120" t="str">
        <f>IF($L385="","",INDEX('CDFs'!$A$6:$A$505,$L385)&amp;"")</f>
        <v/>
      </c>
      <c r="E385" s="128" t="str">
        <f>IF($L385="","",INDEX('CDFs'!$D$6:$D$505,$L385))</f>
        <v/>
      </c>
      <c r="F385" s="122" t="str">
        <f>IF($L385="","",INDEX('CDFs'!$O$6:$O$505,$L385))</f>
        <v/>
      </c>
      <c r="G385" s="121" t="str">
        <f>IF($L385="","",INDEX('CDFs'!$R$6:$R$505,$L385))</f>
        <v/>
      </c>
      <c r="H385" s="120" t="str">
        <f>IF($L385="","",INDEX('CDFs'!$Q$6:$Q$505,$L385)&amp;"")</f>
        <v/>
      </c>
      <c r="L385" t="str">
        <f>IFERROR(MATCH(SMALL('CDFs'!$AB$6:$AB$505,93),'CDFs'!$AB$6:$AB$505,0),"")</f>
        <v/>
      </c>
    </row>
    <row r="386">
      <c r="B386" s="119" t="str">
        <f>IF($L386="","",INDEX('CDFs'!$F$6:$F$505,$L386)&amp;"")</f>
        <v/>
      </c>
      <c r="C386" s="120" t="str">
        <f>IF($L386="","",INDEX('CDFs'!$B$6:$B$505,$L386)&amp;"")</f>
        <v/>
      </c>
      <c r="D386" s="120" t="str">
        <f>IF($L386="","",INDEX('CDFs'!$A$6:$A$505,$L386)&amp;"")</f>
        <v/>
      </c>
      <c r="E386" s="128" t="str">
        <f>IF($L386="","",INDEX('CDFs'!$D$6:$D$505,$L386))</f>
        <v/>
      </c>
      <c r="F386" s="122" t="str">
        <f>IF($L386="","",INDEX('CDFs'!$O$6:$O$505,$L386))</f>
        <v/>
      </c>
      <c r="G386" s="121" t="str">
        <f>IF($L386="","",INDEX('CDFs'!$R$6:$R$505,$L386))</f>
        <v/>
      </c>
      <c r="H386" s="120" t="str">
        <f>IF($L386="","",INDEX('CDFs'!$Q$6:$Q$505,$L386)&amp;"")</f>
        <v/>
      </c>
      <c r="L386" t="str">
        <f>IFERROR(MATCH(SMALL('CDFs'!$AB$6:$AB$505,94),'CDFs'!$AB$6:$AB$505,0),"")</f>
        <v/>
      </c>
    </row>
    <row r="387">
      <c r="B387" s="119" t="str">
        <f>IF($L387="","",INDEX('CDFs'!$F$6:$F$505,$L387)&amp;"")</f>
        <v/>
      </c>
      <c r="C387" s="120" t="str">
        <f>IF($L387="","",INDEX('CDFs'!$B$6:$B$505,$L387)&amp;"")</f>
        <v/>
      </c>
      <c r="D387" s="120" t="str">
        <f>IF($L387="","",INDEX('CDFs'!$A$6:$A$505,$L387)&amp;"")</f>
        <v/>
      </c>
      <c r="E387" s="128" t="str">
        <f>IF($L387="","",INDEX('CDFs'!$D$6:$D$505,$L387))</f>
        <v/>
      </c>
      <c r="F387" s="122" t="str">
        <f>IF($L387="","",INDEX('CDFs'!$O$6:$O$505,$L387))</f>
        <v/>
      </c>
      <c r="G387" s="121" t="str">
        <f>IF($L387="","",INDEX('CDFs'!$R$6:$R$505,$L387))</f>
        <v/>
      </c>
      <c r="H387" s="120" t="str">
        <f>IF($L387="","",INDEX('CDFs'!$Q$6:$Q$505,$L387)&amp;"")</f>
        <v/>
      </c>
      <c r="L387" t="str">
        <f>IFERROR(MATCH(SMALL('CDFs'!$AB$6:$AB$505,95),'CDFs'!$AB$6:$AB$505,0),"")</f>
        <v/>
      </c>
    </row>
    <row r="388">
      <c r="B388" s="119" t="str">
        <f>IF($L388="","",INDEX('CDFs'!$F$6:$F$505,$L388)&amp;"")</f>
        <v/>
      </c>
      <c r="C388" s="120" t="str">
        <f>IF($L388="","",INDEX('CDFs'!$B$6:$B$505,$L388)&amp;"")</f>
        <v/>
      </c>
      <c r="D388" s="120" t="str">
        <f>IF($L388="","",INDEX('CDFs'!$A$6:$A$505,$L388)&amp;"")</f>
        <v/>
      </c>
      <c r="E388" s="128" t="str">
        <f>IF($L388="","",INDEX('CDFs'!$D$6:$D$505,$L388))</f>
        <v/>
      </c>
      <c r="F388" s="122" t="str">
        <f>IF($L388="","",INDEX('CDFs'!$O$6:$O$505,$L388))</f>
        <v/>
      </c>
      <c r="G388" s="121" t="str">
        <f>IF($L388="","",INDEX('CDFs'!$R$6:$R$505,$L388))</f>
        <v/>
      </c>
      <c r="H388" s="120" t="str">
        <f>IF($L388="","",INDEX('CDFs'!$Q$6:$Q$505,$L388)&amp;"")</f>
        <v/>
      </c>
      <c r="L388" t="str">
        <f>IFERROR(MATCH(SMALL('CDFs'!$AB$6:$AB$505,96),'CDFs'!$AB$6:$AB$505,0),"")</f>
        <v/>
      </c>
    </row>
    <row r="389">
      <c r="B389" s="119" t="str">
        <f>IF($L389="","",INDEX('CDFs'!$F$6:$F$505,$L389)&amp;"")</f>
        <v/>
      </c>
      <c r="C389" s="120" t="str">
        <f>IF($L389="","",INDEX('CDFs'!$B$6:$B$505,$L389)&amp;"")</f>
        <v/>
      </c>
      <c r="D389" s="120" t="str">
        <f>IF($L389="","",INDEX('CDFs'!$A$6:$A$505,$L389)&amp;"")</f>
        <v/>
      </c>
      <c r="E389" s="128" t="str">
        <f>IF($L389="","",INDEX('CDFs'!$D$6:$D$505,$L389))</f>
        <v/>
      </c>
      <c r="F389" s="122" t="str">
        <f>IF($L389="","",INDEX('CDFs'!$O$6:$O$505,$L389))</f>
        <v/>
      </c>
      <c r="G389" s="121" t="str">
        <f>IF($L389="","",INDEX('CDFs'!$R$6:$R$505,$L389))</f>
        <v/>
      </c>
      <c r="H389" s="120" t="str">
        <f>IF($L389="","",INDEX('CDFs'!$Q$6:$Q$505,$L389)&amp;"")</f>
        <v/>
      </c>
      <c r="L389" t="str">
        <f>IFERROR(MATCH(SMALL('CDFs'!$AB$6:$AB$505,97),'CDFs'!$AB$6:$AB$505,0),"")</f>
        <v/>
      </c>
    </row>
    <row r="390">
      <c r="B390" s="119" t="str">
        <f>IF($L390="","",INDEX('CDFs'!$F$6:$F$505,$L390)&amp;"")</f>
        <v/>
      </c>
      <c r="C390" s="120" t="str">
        <f>IF($L390="","",INDEX('CDFs'!$B$6:$B$505,$L390)&amp;"")</f>
        <v/>
      </c>
      <c r="D390" s="120" t="str">
        <f>IF($L390="","",INDEX('CDFs'!$A$6:$A$505,$L390)&amp;"")</f>
        <v/>
      </c>
      <c r="E390" s="128" t="str">
        <f>IF($L390="","",INDEX('CDFs'!$D$6:$D$505,$L390))</f>
        <v/>
      </c>
      <c r="F390" s="122" t="str">
        <f>IF($L390="","",INDEX('CDFs'!$O$6:$O$505,$L390))</f>
        <v/>
      </c>
      <c r="G390" s="121" t="str">
        <f>IF($L390="","",INDEX('CDFs'!$R$6:$R$505,$L390))</f>
        <v/>
      </c>
      <c r="H390" s="120" t="str">
        <f>IF($L390="","",INDEX('CDFs'!$Q$6:$Q$505,$L390)&amp;"")</f>
        <v/>
      </c>
      <c r="L390" t="str">
        <f>IFERROR(MATCH(SMALL('CDFs'!$AB$6:$AB$505,98),'CDFs'!$AB$6:$AB$505,0),"")</f>
        <v/>
      </c>
    </row>
    <row r="391">
      <c r="B391" s="119" t="str">
        <f>IF($L391="","",INDEX('CDFs'!$F$6:$F$505,$L391)&amp;"")</f>
        <v/>
      </c>
      <c r="C391" s="120" t="str">
        <f>IF($L391="","",INDEX('CDFs'!$B$6:$B$505,$L391)&amp;"")</f>
        <v/>
      </c>
      <c r="D391" s="120" t="str">
        <f>IF($L391="","",INDEX('CDFs'!$A$6:$A$505,$L391)&amp;"")</f>
        <v/>
      </c>
      <c r="E391" s="128" t="str">
        <f>IF($L391="","",INDEX('CDFs'!$D$6:$D$505,$L391))</f>
        <v/>
      </c>
      <c r="F391" s="122" t="str">
        <f>IF($L391="","",INDEX('CDFs'!$O$6:$O$505,$L391))</f>
        <v/>
      </c>
      <c r="G391" s="121" t="str">
        <f>IF($L391="","",INDEX('CDFs'!$R$6:$R$505,$L391))</f>
        <v/>
      </c>
      <c r="H391" s="120" t="str">
        <f>IF($L391="","",INDEX('CDFs'!$Q$6:$Q$505,$L391)&amp;"")</f>
        <v/>
      </c>
      <c r="L391" t="str">
        <f>IFERROR(MATCH(SMALL('CDFs'!$AB$6:$AB$505,99),'CDFs'!$AB$6:$AB$505,0),"")</f>
        <v/>
      </c>
    </row>
    <row r="392">
      <c r="B392" s="119" t="str">
        <f>IF($L392="","",INDEX('CDFs'!$F$6:$F$505,$L392)&amp;"")</f>
        <v/>
      </c>
      <c r="C392" s="120" t="str">
        <f>IF($L392="","",INDEX('CDFs'!$B$6:$B$505,$L392)&amp;"")</f>
        <v/>
      </c>
      <c r="D392" s="120" t="str">
        <f>IF($L392="","",INDEX('CDFs'!$A$6:$A$505,$L392)&amp;"")</f>
        <v/>
      </c>
      <c r="E392" s="128" t="str">
        <f>IF($L392="","",INDEX('CDFs'!$D$6:$D$505,$L392))</f>
        <v/>
      </c>
      <c r="F392" s="122" t="str">
        <f>IF($L392="","",INDEX('CDFs'!$O$6:$O$505,$L392))</f>
        <v/>
      </c>
      <c r="G392" s="121" t="str">
        <f>IF($L392="","",INDEX('CDFs'!$R$6:$R$505,$L392))</f>
        <v/>
      </c>
      <c r="H392" s="120" t="str">
        <f>IF($L392="","",INDEX('CDFs'!$Q$6:$Q$505,$L392)&amp;"")</f>
        <v/>
      </c>
      <c r="L392" t="str">
        <f>IFERROR(MATCH(SMALL('CDFs'!$AB$6:$AB$505,100),'CDFs'!$AB$6:$AB$505,0),"")</f>
        <v/>
      </c>
    </row>
    <row r="393">
      <c r="B393" s="119" t="str">
        <f>IF($L393="","",INDEX('CDFs'!$F$6:$F$505,$L393)&amp;"")</f>
        <v/>
      </c>
      <c r="C393" s="120" t="str">
        <f>IF($L393="","",INDEX('CDFs'!$B$6:$B$505,$L393)&amp;"")</f>
        <v/>
      </c>
      <c r="D393" s="120" t="str">
        <f>IF($L393="","",INDEX('CDFs'!$A$6:$A$505,$L393)&amp;"")</f>
        <v/>
      </c>
      <c r="E393" s="128" t="str">
        <f>IF($L393="","",INDEX('CDFs'!$D$6:$D$505,$L393))</f>
        <v/>
      </c>
      <c r="F393" s="122" t="str">
        <f>IF($L393="","",INDEX('CDFs'!$O$6:$O$505,$L393))</f>
        <v/>
      </c>
      <c r="G393" s="121" t="str">
        <f>IF($L393="","",INDEX('CDFs'!$R$6:$R$505,$L393))</f>
        <v/>
      </c>
      <c r="H393" s="120" t="str">
        <f>IF($L393="","",INDEX('CDFs'!$Q$6:$Q$505,$L393)&amp;"")</f>
        <v/>
      </c>
      <c r="L393" t="str">
        <f>IFERROR(MATCH(SMALL('CDFs'!$AB$6:$AB$505,101),'CDFs'!$AB$6:$AB$505,0),"")</f>
        <v/>
      </c>
    </row>
    <row r="394">
      <c r="B394" s="119" t="str">
        <f>IF($L394="","",INDEX('CDFs'!$F$6:$F$505,$L394)&amp;"")</f>
        <v/>
      </c>
      <c r="C394" s="120" t="str">
        <f>IF($L394="","",INDEX('CDFs'!$B$6:$B$505,$L394)&amp;"")</f>
        <v/>
      </c>
      <c r="D394" s="120" t="str">
        <f>IF($L394="","",INDEX('CDFs'!$A$6:$A$505,$L394)&amp;"")</f>
        <v/>
      </c>
      <c r="E394" s="128" t="str">
        <f>IF($L394="","",INDEX('CDFs'!$D$6:$D$505,$L394))</f>
        <v/>
      </c>
      <c r="F394" s="122" t="str">
        <f>IF($L394="","",INDEX('CDFs'!$O$6:$O$505,$L394))</f>
        <v/>
      </c>
      <c r="G394" s="121" t="str">
        <f>IF($L394="","",INDEX('CDFs'!$R$6:$R$505,$L394))</f>
        <v/>
      </c>
      <c r="H394" s="120" t="str">
        <f>IF($L394="","",INDEX('CDFs'!$Q$6:$Q$505,$L394)&amp;"")</f>
        <v/>
      </c>
      <c r="L394" t="str">
        <f>IFERROR(MATCH(SMALL('CDFs'!$AB$6:$AB$505,102),'CDFs'!$AB$6:$AB$505,0),"")</f>
        <v/>
      </c>
    </row>
    <row r="395">
      <c r="B395" s="119" t="str">
        <f>IF($L395="","",INDEX('CDFs'!$F$6:$F$505,$L395)&amp;"")</f>
        <v/>
      </c>
      <c r="C395" s="120" t="str">
        <f>IF($L395="","",INDEX('CDFs'!$B$6:$B$505,$L395)&amp;"")</f>
        <v/>
      </c>
      <c r="D395" s="120" t="str">
        <f>IF($L395="","",INDEX('CDFs'!$A$6:$A$505,$L395)&amp;"")</f>
        <v/>
      </c>
      <c r="E395" s="128" t="str">
        <f>IF($L395="","",INDEX('CDFs'!$D$6:$D$505,$L395))</f>
        <v/>
      </c>
      <c r="F395" s="122" t="str">
        <f>IF($L395="","",INDEX('CDFs'!$O$6:$O$505,$L395))</f>
        <v/>
      </c>
      <c r="G395" s="121" t="str">
        <f>IF($L395="","",INDEX('CDFs'!$R$6:$R$505,$L395))</f>
        <v/>
      </c>
      <c r="H395" s="120" t="str">
        <f>IF($L395="","",INDEX('CDFs'!$Q$6:$Q$505,$L395)&amp;"")</f>
        <v/>
      </c>
      <c r="L395" t="str">
        <f>IFERROR(MATCH(SMALL('CDFs'!$AB$6:$AB$505,103),'CDFs'!$AB$6:$AB$505,0),"")</f>
        <v/>
      </c>
    </row>
    <row r="396">
      <c r="B396" s="119" t="str">
        <f>IF($L396="","",INDEX('CDFs'!$F$6:$F$505,$L396)&amp;"")</f>
        <v/>
      </c>
      <c r="C396" s="120" t="str">
        <f>IF($L396="","",INDEX('CDFs'!$B$6:$B$505,$L396)&amp;"")</f>
        <v/>
      </c>
      <c r="D396" s="120" t="str">
        <f>IF($L396="","",INDEX('CDFs'!$A$6:$A$505,$L396)&amp;"")</f>
        <v/>
      </c>
      <c r="E396" s="128" t="str">
        <f>IF($L396="","",INDEX('CDFs'!$D$6:$D$505,$L396))</f>
        <v/>
      </c>
      <c r="F396" s="122" t="str">
        <f>IF($L396="","",INDEX('CDFs'!$O$6:$O$505,$L396))</f>
        <v/>
      </c>
      <c r="G396" s="121" t="str">
        <f>IF($L396="","",INDEX('CDFs'!$R$6:$R$505,$L396))</f>
        <v/>
      </c>
      <c r="H396" s="120" t="str">
        <f>IF($L396="","",INDEX('CDFs'!$Q$6:$Q$505,$L396)&amp;"")</f>
        <v/>
      </c>
      <c r="L396" t="str">
        <f>IFERROR(MATCH(SMALL('CDFs'!$AB$6:$AB$505,104),'CDFs'!$AB$6:$AB$505,0),"")</f>
        <v/>
      </c>
    </row>
    <row r="397">
      <c r="B397" s="119" t="str">
        <f>IF($L397="","",INDEX('CDFs'!$F$6:$F$505,$L397)&amp;"")</f>
        <v/>
      </c>
      <c r="C397" s="120" t="str">
        <f>IF($L397="","",INDEX('CDFs'!$B$6:$B$505,$L397)&amp;"")</f>
        <v/>
      </c>
      <c r="D397" s="120" t="str">
        <f>IF($L397="","",INDEX('CDFs'!$A$6:$A$505,$L397)&amp;"")</f>
        <v/>
      </c>
      <c r="E397" s="128" t="str">
        <f>IF($L397="","",INDEX('CDFs'!$D$6:$D$505,$L397))</f>
        <v/>
      </c>
      <c r="F397" s="122" t="str">
        <f>IF($L397="","",INDEX('CDFs'!$O$6:$O$505,$L397))</f>
        <v/>
      </c>
      <c r="G397" s="121" t="str">
        <f>IF($L397="","",INDEX('CDFs'!$R$6:$R$505,$L397))</f>
        <v/>
      </c>
      <c r="H397" s="120" t="str">
        <f>IF($L397="","",INDEX('CDFs'!$Q$6:$Q$505,$L397)&amp;"")</f>
        <v/>
      </c>
      <c r="L397" t="str">
        <f>IFERROR(MATCH(SMALL('CDFs'!$AB$6:$AB$505,105),'CDFs'!$AB$6:$AB$505,0),"")</f>
        <v/>
      </c>
    </row>
    <row r="398">
      <c r="B398" s="119" t="str">
        <f>IF($L398="","",INDEX('CDFs'!$F$6:$F$505,$L398)&amp;"")</f>
        <v/>
      </c>
      <c r="C398" s="120" t="str">
        <f>IF($L398="","",INDEX('CDFs'!$B$6:$B$505,$L398)&amp;"")</f>
        <v/>
      </c>
      <c r="D398" s="120" t="str">
        <f>IF($L398="","",INDEX('CDFs'!$A$6:$A$505,$L398)&amp;"")</f>
        <v/>
      </c>
      <c r="E398" s="128" t="str">
        <f>IF($L398="","",INDEX('CDFs'!$D$6:$D$505,$L398))</f>
        <v/>
      </c>
      <c r="F398" s="122" t="str">
        <f>IF($L398="","",INDEX('CDFs'!$O$6:$O$505,$L398))</f>
        <v/>
      </c>
      <c r="G398" s="121" t="str">
        <f>IF($L398="","",INDEX('CDFs'!$R$6:$R$505,$L398))</f>
        <v/>
      </c>
      <c r="H398" s="120" t="str">
        <f>IF($L398="","",INDEX('CDFs'!$Q$6:$Q$505,$L398)&amp;"")</f>
        <v/>
      </c>
      <c r="L398" t="str">
        <f>IFERROR(MATCH(SMALL('CDFs'!$AB$6:$AB$505,106),'CDFs'!$AB$6:$AB$505,0),"")</f>
        <v/>
      </c>
    </row>
    <row r="399">
      <c r="B399" s="119" t="str">
        <f>IF($L399="","",INDEX('CDFs'!$F$6:$F$505,$L399)&amp;"")</f>
        <v/>
      </c>
      <c r="C399" s="120" t="str">
        <f>IF($L399="","",INDEX('CDFs'!$B$6:$B$505,$L399)&amp;"")</f>
        <v/>
      </c>
      <c r="D399" s="120" t="str">
        <f>IF($L399="","",INDEX('CDFs'!$A$6:$A$505,$L399)&amp;"")</f>
        <v/>
      </c>
      <c r="E399" s="128" t="str">
        <f>IF($L399="","",INDEX('CDFs'!$D$6:$D$505,$L399))</f>
        <v/>
      </c>
      <c r="F399" s="122" t="str">
        <f>IF($L399="","",INDEX('CDFs'!$O$6:$O$505,$L399))</f>
        <v/>
      </c>
      <c r="G399" s="121" t="str">
        <f>IF($L399="","",INDEX('CDFs'!$R$6:$R$505,$L399))</f>
        <v/>
      </c>
      <c r="H399" s="120" t="str">
        <f>IF($L399="","",INDEX('CDFs'!$Q$6:$Q$505,$L399)&amp;"")</f>
        <v/>
      </c>
      <c r="L399" t="str">
        <f>IFERROR(MATCH(SMALL('CDFs'!$AB$6:$AB$505,107),'CDFs'!$AB$6:$AB$505,0),"")</f>
        <v/>
      </c>
    </row>
    <row r="400">
      <c r="B400" s="119" t="str">
        <f>IF($L400="","",INDEX('CDFs'!$F$6:$F$505,$L400)&amp;"")</f>
        <v/>
      </c>
      <c r="C400" s="120" t="str">
        <f>IF($L400="","",INDEX('CDFs'!$B$6:$B$505,$L400)&amp;"")</f>
        <v/>
      </c>
      <c r="D400" s="120" t="str">
        <f>IF($L400="","",INDEX('CDFs'!$A$6:$A$505,$L400)&amp;"")</f>
        <v/>
      </c>
      <c r="E400" s="128" t="str">
        <f>IF($L400="","",INDEX('CDFs'!$D$6:$D$505,$L400))</f>
        <v/>
      </c>
      <c r="F400" s="122" t="str">
        <f>IF($L400="","",INDEX('CDFs'!$O$6:$O$505,$L400))</f>
        <v/>
      </c>
      <c r="G400" s="121" t="str">
        <f>IF($L400="","",INDEX('CDFs'!$R$6:$R$505,$L400))</f>
        <v/>
      </c>
      <c r="H400" s="120" t="str">
        <f>IF($L400="","",INDEX('CDFs'!$Q$6:$Q$505,$L400)&amp;"")</f>
        <v/>
      </c>
      <c r="L400" t="str">
        <f>IFERROR(MATCH(SMALL('CDFs'!$AB$6:$AB$505,108),'CDFs'!$AB$6:$AB$505,0),"")</f>
        <v/>
      </c>
    </row>
    <row r="401">
      <c r="B401" s="119" t="str">
        <f>IF($L401="","",INDEX('CDFs'!$F$6:$F$505,$L401)&amp;"")</f>
        <v/>
      </c>
      <c r="C401" s="120" t="str">
        <f>IF($L401="","",INDEX('CDFs'!$B$6:$B$505,$L401)&amp;"")</f>
        <v/>
      </c>
      <c r="D401" s="120" t="str">
        <f>IF($L401="","",INDEX('CDFs'!$A$6:$A$505,$L401)&amp;"")</f>
        <v/>
      </c>
      <c r="E401" s="128" t="str">
        <f>IF($L401="","",INDEX('CDFs'!$D$6:$D$505,$L401))</f>
        <v/>
      </c>
      <c r="F401" s="122" t="str">
        <f>IF($L401="","",INDEX('CDFs'!$O$6:$O$505,$L401))</f>
        <v/>
      </c>
      <c r="G401" s="121" t="str">
        <f>IF($L401="","",INDEX('CDFs'!$R$6:$R$505,$L401))</f>
        <v/>
      </c>
      <c r="H401" s="120" t="str">
        <f>IF($L401="","",INDEX('CDFs'!$Q$6:$Q$505,$L401)&amp;"")</f>
        <v/>
      </c>
      <c r="L401" t="str">
        <f>IFERROR(MATCH(SMALL('CDFs'!$AB$6:$AB$505,109),'CDFs'!$AB$6:$AB$505,0),"")</f>
        <v/>
      </c>
    </row>
    <row r="402">
      <c r="B402" s="119" t="str">
        <f>IF($L402="","",INDEX('CDFs'!$F$6:$F$505,$L402)&amp;"")</f>
        <v/>
      </c>
      <c r="C402" s="120" t="str">
        <f>IF($L402="","",INDEX('CDFs'!$B$6:$B$505,$L402)&amp;"")</f>
        <v/>
      </c>
      <c r="D402" s="120" t="str">
        <f>IF($L402="","",INDEX('CDFs'!$A$6:$A$505,$L402)&amp;"")</f>
        <v/>
      </c>
      <c r="E402" s="128" t="str">
        <f>IF($L402="","",INDEX('CDFs'!$D$6:$D$505,$L402))</f>
        <v/>
      </c>
      <c r="F402" s="122" t="str">
        <f>IF($L402="","",INDEX('CDFs'!$O$6:$O$505,$L402))</f>
        <v/>
      </c>
      <c r="G402" s="121" t="str">
        <f>IF($L402="","",INDEX('CDFs'!$R$6:$R$505,$L402))</f>
        <v/>
      </c>
      <c r="H402" s="120" t="str">
        <f>IF($L402="","",INDEX('CDFs'!$Q$6:$Q$505,$L402)&amp;"")</f>
        <v/>
      </c>
      <c r="L402" t="str">
        <f>IFERROR(MATCH(SMALL('CDFs'!$AB$6:$AB$505,110),'CDFs'!$AB$6:$AB$505,0),"")</f>
        <v/>
      </c>
    </row>
    <row r="403">
      <c r="B403" s="119" t="str">
        <f>IF($L403="","",INDEX('CDFs'!$F$6:$F$505,$L403)&amp;"")</f>
        <v/>
      </c>
      <c r="C403" s="120" t="str">
        <f>IF($L403="","",INDEX('CDFs'!$B$6:$B$505,$L403)&amp;"")</f>
        <v/>
      </c>
      <c r="D403" s="120" t="str">
        <f>IF($L403="","",INDEX('CDFs'!$A$6:$A$505,$L403)&amp;"")</f>
        <v/>
      </c>
      <c r="E403" s="128" t="str">
        <f>IF($L403="","",INDEX('CDFs'!$D$6:$D$505,$L403))</f>
        <v/>
      </c>
      <c r="F403" s="122" t="str">
        <f>IF($L403="","",INDEX('CDFs'!$O$6:$O$505,$L403))</f>
        <v/>
      </c>
      <c r="G403" s="121" t="str">
        <f>IF($L403="","",INDEX('CDFs'!$R$6:$R$505,$L403))</f>
        <v/>
      </c>
      <c r="H403" s="120" t="str">
        <f>IF($L403="","",INDEX('CDFs'!$Q$6:$Q$505,$L403)&amp;"")</f>
        <v/>
      </c>
      <c r="L403" t="str">
        <f>IFERROR(MATCH(SMALL('CDFs'!$AB$6:$AB$505,111),'CDFs'!$AB$6:$AB$505,0),"")</f>
        <v/>
      </c>
    </row>
    <row r="404">
      <c r="B404" s="119" t="str">
        <f>IF($L404="","",INDEX('CDFs'!$F$6:$F$505,$L404)&amp;"")</f>
        <v/>
      </c>
      <c r="C404" s="120" t="str">
        <f>IF($L404="","",INDEX('CDFs'!$B$6:$B$505,$L404)&amp;"")</f>
        <v/>
      </c>
      <c r="D404" s="120" t="str">
        <f>IF($L404="","",INDEX('CDFs'!$A$6:$A$505,$L404)&amp;"")</f>
        <v/>
      </c>
      <c r="E404" s="128" t="str">
        <f>IF($L404="","",INDEX('CDFs'!$D$6:$D$505,$L404))</f>
        <v/>
      </c>
      <c r="F404" s="122" t="str">
        <f>IF($L404="","",INDEX('CDFs'!$O$6:$O$505,$L404))</f>
        <v/>
      </c>
      <c r="G404" s="121" t="str">
        <f>IF($L404="","",INDEX('CDFs'!$R$6:$R$505,$L404))</f>
        <v/>
      </c>
      <c r="H404" s="120" t="str">
        <f>IF($L404="","",INDEX('CDFs'!$Q$6:$Q$505,$L404)&amp;"")</f>
        <v/>
      </c>
      <c r="L404" t="str">
        <f>IFERROR(MATCH(SMALL('CDFs'!$AB$6:$AB$505,112),'CDFs'!$AB$6:$AB$505,0),"")</f>
        <v/>
      </c>
    </row>
    <row r="405">
      <c r="B405" s="119" t="str">
        <f>IF($L405="","",INDEX('CDFs'!$F$6:$F$505,$L405)&amp;"")</f>
        <v/>
      </c>
      <c r="C405" s="120" t="str">
        <f>IF($L405="","",INDEX('CDFs'!$B$6:$B$505,$L405)&amp;"")</f>
        <v/>
      </c>
      <c r="D405" s="120" t="str">
        <f>IF($L405="","",INDEX('CDFs'!$A$6:$A$505,$L405)&amp;"")</f>
        <v/>
      </c>
      <c r="E405" s="128" t="str">
        <f>IF($L405="","",INDEX('CDFs'!$D$6:$D$505,$L405))</f>
        <v/>
      </c>
      <c r="F405" s="122" t="str">
        <f>IF($L405="","",INDEX('CDFs'!$O$6:$O$505,$L405))</f>
        <v/>
      </c>
      <c r="G405" s="121" t="str">
        <f>IF($L405="","",INDEX('CDFs'!$R$6:$R$505,$L405))</f>
        <v/>
      </c>
      <c r="H405" s="120" t="str">
        <f>IF($L405="","",INDEX('CDFs'!$Q$6:$Q$505,$L405)&amp;"")</f>
        <v/>
      </c>
      <c r="L405" t="str">
        <f>IFERROR(MATCH(SMALL('CDFs'!$AB$6:$AB$505,113),'CDFs'!$AB$6:$AB$505,0),"")</f>
        <v/>
      </c>
    </row>
    <row r="406">
      <c r="B406" s="119" t="str">
        <f>IF($L406="","",INDEX('CDFs'!$F$6:$F$505,$L406)&amp;"")</f>
        <v/>
      </c>
      <c r="C406" s="120" t="str">
        <f>IF($L406="","",INDEX('CDFs'!$B$6:$B$505,$L406)&amp;"")</f>
        <v/>
      </c>
      <c r="D406" s="120" t="str">
        <f>IF($L406="","",INDEX('CDFs'!$A$6:$A$505,$L406)&amp;"")</f>
        <v/>
      </c>
      <c r="E406" s="128" t="str">
        <f>IF($L406="","",INDEX('CDFs'!$D$6:$D$505,$L406))</f>
        <v/>
      </c>
      <c r="F406" s="122" t="str">
        <f>IF($L406="","",INDEX('CDFs'!$O$6:$O$505,$L406))</f>
        <v/>
      </c>
      <c r="G406" s="121" t="str">
        <f>IF($L406="","",INDEX('CDFs'!$R$6:$R$505,$L406))</f>
        <v/>
      </c>
      <c r="H406" s="120" t="str">
        <f>IF($L406="","",INDEX('CDFs'!$Q$6:$Q$505,$L406)&amp;"")</f>
        <v/>
      </c>
      <c r="L406" t="str">
        <f>IFERROR(MATCH(SMALL('CDFs'!$AB$6:$AB$505,114),'CDFs'!$AB$6:$AB$505,0),"")</f>
        <v/>
      </c>
    </row>
    <row r="407">
      <c r="B407" s="119" t="str">
        <f>IF($L407="","",INDEX('CDFs'!$F$6:$F$505,$L407)&amp;"")</f>
        <v/>
      </c>
      <c r="C407" s="120" t="str">
        <f>IF($L407="","",INDEX('CDFs'!$B$6:$B$505,$L407)&amp;"")</f>
        <v/>
      </c>
      <c r="D407" s="120" t="str">
        <f>IF($L407="","",INDEX('CDFs'!$A$6:$A$505,$L407)&amp;"")</f>
        <v/>
      </c>
      <c r="E407" s="128" t="str">
        <f>IF($L407="","",INDEX('CDFs'!$D$6:$D$505,$L407))</f>
        <v/>
      </c>
      <c r="F407" s="122" t="str">
        <f>IF($L407="","",INDEX('CDFs'!$O$6:$O$505,$L407))</f>
        <v/>
      </c>
      <c r="G407" s="121" t="str">
        <f>IF($L407="","",INDEX('CDFs'!$R$6:$R$505,$L407))</f>
        <v/>
      </c>
      <c r="H407" s="120" t="str">
        <f>IF($L407="","",INDEX('CDFs'!$Q$6:$Q$505,$L407)&amp;"")</f>
        <v/>
      </c>
      <c r="L407" t="str">
        <f>IFERROR(MATCH(SMALL('CDFs'!$AB$6:$AB$505,115),'CDFs'!$AB$6:$AB$505,0),"")</f>
        <v/>
      </c>
    </row>
    <row r="408">
      <c r="B408" s="119" t="str">
        <f>IF($L408="","",INDEX('CDFs'!$F$6:$F$505,$L408)&amp;"")</f>
        <v/>
      </c>
      <c r="C408" s="120" t="str">
        <f>IF($L408="","",INDEX('CDFs'!$B$6:$B$505,$L408)&amp;"")</f>
        <v/>
      </c>
      <c r="D408" s="120" t="str">
        <f>IF($L408="","",INDEX('CDFs'!$A$6:$A$505,$L408)&amp;"")</f>
        <v/>
      </c>
      <c r="E408" s="128" t="str">
        <f>IF($L408="","",INDEX('CDFs'!$D$6:$D$505,$L408))</f>
        <v/>
      </c>
      <c r="F408" s="122" t="str">
        <f>IF($L408="","",INDEX('CDFs'!$O$6:$O$505,$L408))</f>
        <v/>
      </c>
      <c r="G408" s="121" t="str">
        <f>IF($L408="","",INDEX('CDFs'!$R$6:$R$505,$L408))</f>
        <v/>
      </c>
      <c r="H408" s="120" t="str">
        <f>IF($L408="","",INDEX('CDFs'!$Q$6:$Q$505,$L408)&amp;"")</f>
        <v/>
      </c>
      <c r="L408" t="str">
        <f>IFERROR(MATCH(SMALL('CDFs'!$AB$6:$AB$505,116),'CDFs'!$AB$6:$AB$505,0),"")</f>
        <v/>
      </c>
    </row>
    <row r="409">
      <c r="B409" s="119" t="str">
        <f>IF($L409="","",INDEX('CDFs'!$F$6:$F$505,$L409)&amp;"")</f>
        <v/>
      </c>
      <c r="C409" s="120" t="str">
        <f>IF($L409="","",INDEX('CDFs'!$B$6:$B$505,$L409)&amp;"")</f>
        <v/>
      </c>
      <c r="D409" s="120" t="str">
        <f>IF($L409="","",INDEX('CDFs'!$A$6:$A$505,$L409)&amp;"")</f>
        <v/>
      </c>
      <c r="E409" s="128" t="str">
        <f>IF($L409="","",INDEX('CDFs'!$D$6:$D$505,$L409))</f>
        <v/>
      </c>
      <c r="F409" s="122" t="str">
        <f>IF($L409="","",INDEX('CDFs'!$O$6:$O$505,$L409))</f>
        <v/>
      </c>
      <c r="G409" s="121" t="str">
        <f>IF($L409="","",INDEX('CDFs'!$R$6:$R$505,$L409))</f>
        <v/>
      </c>
      <c r="H409" s="120" t="str">
        <f>IF($L409="","",INDEX('CDFs'!$Q$6:$Q$505,$L409)&amp;"")</f>
        <v/>
      </c>
      <c r="L409" t="str">
        <f>IFERROR(MATCH(SMALL('CDFs'!$AB$6:$AB$505,117),'CDFs'!$AB$6:$AB$505,0),"")</f>
        <v/>
      </c>
    </row>
    <row r="410">
      <c r="B410" s="119" t="str">
        <f>IF($L410="","",INDEX('CDFs'!$F$6:$F$505,$L410)&amp;"")</f>
        <v/>
      </c>
      <c r="C410" s="120" t="str">
        <f>IF($L410="","",INDEX('CDFs'!$B$6:$B$505,$L410)&amp;"")</f>
        <v/>
      </c>
      <c r="D410" s="120" t="str">
        <f>IF($L410="","",INDEX('CDFs'!$A$6:$A$505,$L410)&amp;"")</f>
        <v/>
      </c>
      <c r="E410" s="128" t="str">
        <f>IF($L410="","",INDEX('CDFs'!$D$6:$D$505,$L410))</f>
        <v/>
      </c>
      <c r="F410" s="122" t="str">
        <f>IF($L410="","",INDEX('CDFs'!$O$6:$O$505,$L410))</f>
        <v/>
      </c>
      <c r="G410" s="121" t="str">
        <f>IF($L410="","",INDEX('CDFs'!$R$6:$R$505,$L410))</f>
        <v/>
      </c>
      <c r="H410" s="120" t="str">
        <f>IF($L410="","",INDEX('CDFs'!$Q$6:$Q$505,$L410)&amp;"")</f>
        <v/>
      </c>
      <c r="L410" t="str">
        <f>IFERROR(MATCH(SMALL('CDFs'!$AB$6:$AB$505,118),'CDFs'!$AB$6:$AB$505,0),"")</f>
        <v/>
      </c>
    </row>
    <row r="411">
      <c r="B411" s="119" t="str">
        <f>IF($L411="","",INDEX('CDFs'!$F$6:$F$505,$L411)&amp;"")</f>
        <v/>
      </c>
      <c r="C411" s="120" t="str">
        <f>IF($L411="","",INDEX('CDFs'!$B$6:$B$505,$L411)&amp;"")</f>
        <v/>
      </c>
      <c r="D411" s="120" t="str">
        <f>IF($L411="","",INDEX('CDFs'!$A$6:$A$505,$L411)&amp;"")</f>
        <v/>
      </c>
      <c r="E411" s="128" t="str">
        <f>IF($L411="","",INDEX('CDFs'!$D$6:$D$505,$L411))</f>
        <v/>
      </c>
      <c r="F411" s="122" t="str">
        <f>IF($L411="","",INDEX('CDFs'!$O$6:$O$505,$L411))</f>
        <v/>
      </c>
      <c r="G411" s="121" t="str">
        <f>IF($L411="","",INDEX('CDFs'!$R$6:$R$505,$L411))</f>
        <v/>
      </c>
      <c r="H411" s="120" t="str">
        <f>IF($L411="","",INDEX('CDFs'!$Q$6:$Q$505,$L411)&amp;"")</f>
        <v/>
      </c>
      <c r="L411" t="str">
        <f>IFERROR(MATCH(SMALL('CDFs'!$AB$6:$AB$505,119),'CDFs'!$AB$6:$AB$505,0),"")</f>
        <v/>
      </c>
    </row>
    <row r="412">
      <c r="B412" s="119" t="str">
        <f>IF($L412="","",INDEX('CDFs'!$F$6:$F$505,$L412)&amp;"")</f>
        <v/>
      </c>
      <c r="C412" s="120" t="str">
        <f>IF($L412="","",INDEX('CDFs'!$B$6:$B$505,$L412)&amp;"")</f>
        <v/>
      </c>
      <c r="D412" s="120" t="str">
        <f>IF($L412="","",INDEX('CDFs'!$A$6:$A$505,$L412)&amp;"")</f>
        <v/>
      </c>
      <c r="E412" s="128" t="str">
        <f>IF($L412="","",INDEX('CDFs'!$D$6:$D$505,$L412))</f>
        <v/>
      </c>
      <c r="F412" s="122" t="str">
        <f>IF($L412="","",INDEX('CDFs'!$O$6:$O$505,$L412))</f>
        <v/>
      </c>
      <c r="G412" s="121" t="str">
        <f>IF($L412="","",INDEX('CDFs'!$R$6:$R$505,$L412))</f>
        <v/>
      </c>
      <c r="H412" s="120" t="str">
        <f>IF($L412="","",INDEX('CDFs'!$Q$6:$Q$505,$L412)&amp;"")</f>
        <v/>
      </c>
      <c r="L412" t="str">
        <f>IFERROR(MATCH(SMALL('CDFs'!$AB$6:$AB$505,120),'CDFs'!$AB$6:$AB$505,0),"")</f>
        <v/>
      </c>
    </row>
    <row r="413">
      <c r="B413" s="119" t="str">
        <f>IF($L413="","",INDEX('CDFs'!$F$6:$F$505,$L413)&amp;"")</f>
        <v/>
      </c>
      <c r="C413" s="120" t="str">
        <f>IF($L413="","",INDEX('CDFs'!$B$6:$B$505,$L413)&amp;"")</f>
        <v/>
      </c>
      <c r="D413" s="120" t="str">
        <f>IF($L413="","",INDEX('CDFs'!$A$6:$A$505,$L413)&amp;"")</f>
        <v/>
      </c>
      <c r="E413" s="128" t="str">
        <f>IF($L413="","",INDEX('CDFs'!$D$6:$D$505,$L413))</f>
        <v/>
      </c>
      <c r="F413" s="122" t="str">
        <f>IF($L413="","",INDEX('CDFs'!$O$6:$O$505,$L413))</f>
        <v/>
      </c>
      <c r="G413" s="121" t="str">
        <f>IF($L413="","",INDEX('CDFs'!$R$6:$R$505,$L413))</f>
        <v/>
      </c>
      <c r="H413" s="120" t="str">
        <f>IF($L413="","",INDEX('CDFs'!$Q$6:$Q$505,$L413)&amp;"")</f>
        <v/>
      </c>
      <c r="L413" t="str">
        <f>IFERROR(MATCH(SMALL('CDFs'!$AB$6:$AB$505,121),'CDFs'!$AB$6:$AB$505,0),"")</f>
        <v/>
      </c>
    </row>
    <row r="414">
      <c r="B414" s="119" t="str">
        <f>IF($L414="","",INDEX('CDFs'!$F$6:$F$505,$L414)&amp;"")</f>
        <v/>
      </c>
      <c r="C414" s="120" t="str">
        <f>IF($L414="","",INDEX('CDFs'!$B$6:$B$505,$L414)&amp;"")</f>
        <v/>
      </c>
      <c r="D414" s="120" t="str">
        <f>IF($L414="","",INDEX('CDFs'!$A$6:$A$505,$L414)&amp;"")</f>
        <v/>
      </c>
      <c r="E414" s="128" t="str">
        <f>IF($L414="","",INDEX('CDFs'!$D$6:$D$505,$L414))</f>
        <v/>
      </c>
      <c r="F414" s="122" t="str">
        <f>IF($L414="","",INDEX('CDFs'!$O$6:$O$505,$L414))</f>
        <v/>
      </c>
      <c r="G414" s="121" t="str">
        <f>IF($L414="","",INDEX('CDFs'!$R$6:$R$505,$L414))</f>
        <v/>
      </c>
      <c r="H414" s="120" t="str">
        <f>IF($L414="","",INDEX('CDFs'!$Q$6:$Q$505,$L414)&amp;"")</f>
        <v/>
      </c>
      <c r="L414" t="str">
        <f>IFERROR(MATCH(SMALL('CDFs'!$AB$6:$AB$505,122),'CDFs'!$AB$6:$AB$505,0),"")</f>
        <v/>
      </c>
    </row>
    <row r="415">
      <c r="B415" s="119" t="str">
        <f>IF($L415="","",INDEX('CDFs'!$F$6:$F$505,$L415)&amp;"")</f>
        <v/>
      </c>
      <c r="C415" s="120" t="str">
        <f>IF($L415="","",INDEX('CDFs'!$B$6:$B$505,$L415)&amp;"")</f>
        <v/>
      </c>
      <c r="D415" s="120" t="str">
        <f>IF($L415="","",INDEX('CDFs'!$A$6:$A$505,$L415)&amp;"")</f>
        <v/>
      </c>
      <c r="E415" s="128" t="str">
        <f>IF($L415="","",INDEX('CDFs'!$D$6:$D$505,$L415))</f>
        <v/>
      </c>
      <c r="F415" s="122" t="str">
        <f>IF($L415="","",INDEX('CDFs'!$O$6:$O$505,$L415))</f>
        <v/>
      </c>
      <c r="G415" s="121" t="str">
        <f>IF($L415="","",INDEX('CDFs'!$R$6:$R$505,$L415))</f>
        <v/>
      </c>
      <c r="H415" s="120" t="str">
        <f>IF($L415="","",INDEX('CDFs'!$Q$6:$Q$505,$L415)&amp;"")</f>
        <v/>
      </c>
      <c r="L415" t="str">
        <f>IFERROR(MATCH(SMALL('CDFs'!$AB$6:$AB$505,123),'CDFs'!$AB$6:$AB$505,0),"")</f>
        <v/>
      </c>
    </row>
    <row r="416">
      <c r="B416" s="119" t="str">
        <f>IF($L416="","",INDEX('CDFs'!$F$6:$F$505,$L416)&amp;"")</f>
        <v/>
      </c>
      <c r="C416" s="120" t="str">
        <f>IF($L416="","",INDEX('CDFs'!$B$6:$B$505,$L416)&amp;"")</f>
        <v/>
      </c>
      <c r="D416" s="120" t="str">
        <f>IF($L416="","",INDEX('CDFs'!$A$6:$A$505,$L416)&amp;"")</f>
        <v/>
      </c>
      <c r="E416" s="128" t="str">
        <f>IF($L416="","",INDEX('CDFs'!$D$6:$D$505,$L416))</f>
        <v/>
      </c>
      <c r="F416" s="122" t="str">
        <f>IF($L416="","",INDEX('CDFs'!$O$6:$O$505,$L416))</f>
        <v/>
      </c>
      <c r="G416" s="121" t="str">
        <f>IF($L416="","",INDEX('CDFs'!$R$6:$R$505,$L416))</f>
        <v/>
      </c>
      <c r="H416" s="120" t="str">
        <f>IF($L416="","",INDEX('CDFs'!$Q$6:$Q$505,$L416)&amp;"")</f>
        <v/>
      </c>
      <c r="L416" t="str">
        <f>IFERROR(MATCH(SMALL('CDFs'!$AB$6:$AB$505,124),'CDFs'!$AB$6:$AB$505,0),"")</f>
        <v/>
      </c>
    </row>
    <row r="417">
      <c r="B417" s="119" t="str">
        <f>IF($L417="","",INDEX('CDFs'!$F$6:$F$505,$L417)&amp;"")</f>
        <v/>
      </c>
      <c r="C417" s="120" t="str">
        <f>IF($L417="","",INDEX('CDFs'!$B$6:$B$505,$L417)&amp;"")</f>
        <v/>
      </c>
      <c r="D417" s="120" t="str">
        <f>IF($L417="","",INDEX('CDFs'!$A$6:$A$505,$L417)&amp;"")</f>
        <v/>
      </c>
      <c r="E417" s="128" t="str">
        <f>IF($L417="","",INDEX('CDFs'!$D$6:$D$505,$L417))</f>
        <v/>
      </c>
      <c r="F417" s="122" t="str">
        <f>IF($L417="","",INDEX('CDFs'!$O$6:$O$505,$L417))</f>
        <v/>
      </c>
      <c r="G417" s="121" t="str">
        <f>IF($L417="","",INDEX('CDFs'!$R$6:$R$505,$L417))</f>
        <v/>
      </c>
      <c r="H417" s="120" t="str">
        <f>IF($L417="","",INDEX('CDFs'!$Q$6:$Q$505,$L417)&amp;"")</f>
        <v/>
      </c>
      <c r="L417" t="str">
        <f>IFERROR(MATCH(SMALL('CDFs'!$AB$6:$AB$505,125),'CDFs'!$AB$6:$AB$505,0),"")</f>
        <v/>
      </c>
    </row>
    <row r="418">
      <c r="B418" s="119" t="str">
        <f>IF($L418="","",INDEX('CDFs'!$F$6:$F$505,$L418)&amp;"")</f>
        <v/>
      </c>
      <c r="C418" s="120" t="str">
        <f>IF($L418="","",INDEX('CDFs'!$B$6:$B$505,$L418)&amp;"")</f>
        <v/>
      </c>
      <c r="D418" s="120" t="str">
        <f>IF($L418="","",INDEX('CDFs'!$A$6:$A$505,$L418)&amp;"")</f>
        <v/>
      </c>
      <c r="E418" s="128" t="str">
        <f>IF($L418="","",INDEX('CDFs'!$D$6:$D$505,$L418))</f>
        <v/>
      </c>
      <c r="F418" s="122" t="str">
        <f>IF($L418="","",INDEX('CDFs'!$O$6:$O$505,$L418))</f>
        <v/>
      </c>
      <c r="G418" s="121" t="str">
        <f>IF($L418="","",INDEX('CDFs'!$R$6:$R$505,$L418))</f>
        <v/>
      </c>
      <c r="H418" s="120" t="str">
        <f>IF($L418="","",INDEX('CDFs'!$Q$6:$Q$505,$L418)&amp;"")</f>
        <v/>
      </c>
      <c r="L418" t="str">
        <f>IFERROR(MATCH(SMALL('CDFs'!$AB$6:$AB$505,126),'CDFs'!$AB$6:$AB$505,0),"")</f>
        <v/>
      </c>
    </row>
    <row r="419">
      <c r="B419" s="119" t="str">
        <f>IF($L419="","",INDEX('CDFs'!$F$6:$F$505,$L419)&amp;"")</f>
        <v/>
      </c>
      <c r="C419" s="120" t="str">
        <f>IF($L419="","",INDEX('CDFs'!$B$6:$B$505,$L419)&amp;"")</f>
        <v/>
      </c>
      <c r="D419" s="120" t="str">
        <f>IF($L419="","",INDEX('CDFs'!$A$6:$A$505,$L419)&amp;"")</f>
        <v/>
      </c>
      <c r="E419" s="128" t="str">
        <f>IF($L419="","",INDEX('CDFs'!$D$6:$D$505,$L419))</f>
        <v/>
      </c>
      <c r="F419" s="122" t="str">
        <f>IF($L419="","",INDEX('CDFs'!$O$6:$O$505,$L419))</f>
        <v/>
      </c>
      <c r="G419" s="121" t="str">
        <f>IF($L419="","",INDEX('CDFs'!$R$6:$R$505,$L419))</f>
        <v/>
      </c>
      <c r="H419" s="120" t="str">
        <f>IF($L419="","",INDEX('CDFs'!$Q$6:$Q$505,$L419)&amp;"")</f>
        <v/>
      </c>
      <c r="L419" t="str">
        <f>IFERROR(MATCH(SMALL('CDFs'!$AB$6:$AB$505,127),'CDFs'!$AB$6:$AB$505,0),"")</f>
        <v/>
      </c>
    </row>
    <row r="420">
      <c r="B420" s="119" t="str">
        <f>IF($L420="","",INDEX('CDFs'!$F$6:$F$505,$L420)&amp;"")</f>
        <v/>
      </c>
      <c r="C420" s="120" t="str">
        <f>IF($L420="","",INDEX('CDFs'!$B$6:$B$505,$L420)&amp;"")</f>
        <v/>
      </c>
      <c r="D420" s="120" t="str">
        <f>IF($L420="","",INDEX('CDFs'!$A$6:$A$505,$L420)&amp;"")</f>
        <v/>
      </c>
      <c r="E420" s="128" t="str">
        <f>IF($L420="","",INDEX('CDFs'!$D$6:$D$505,$L420))</f>
        <v/>
      </c>
      <c r="F420" s="122" t="str">
        <f>IF($L420="","",INDEX('CDFs'!$O$6:$O$505,$L420))</f>
        <v/>
      </c>
      <c r="G420" s="121" t="str">
        <f>IF($L420="","",INDEX('CDFs'!$R$6:$R$505,$L420))</f>
        <v/>
      </c>
      <c r="H420" s="120" t="str">
        <f>IF($L420="","",INDEX('CDFs'!$Q$6:$Q$505,$L420)&amp;"")</f>
        <v/>
      </c>
      <c r="L420" t="str">
        <f>IFERROR(MATCH(SMALL('CDFs'!$AB$6:$AB$505,128),'CDFs'!$AB$6:$AB$505,0),"")</f>
        <v/>
      </c>
    </row>
    <row r="421">
      <c r="B421" s="119" t="str">
        <f>IF($L421="","",INDEX('CDFs'!$F$6:$F$505,$L421)&amp;"")</f>
        <v/>
      </c>
      <c r="C421" s="120" t="str">
        <f>IF($L421="","",INDEX('CDFs'!$B$6:$B$505,$L421)&amp;"")</f>
        <v/>
      </c>
      <c r="D421" s="120" t="str">
        <f>IF($L421="","",INDEX('CDFs'!$A$6:$A$505,$L421)&amp;"")</f>
        <v/>
      </c>
      <c r="E421" s="128" t="str">
        <f>IF($L421="","",INDEX('CDFs'!$D$6:$D$505,$L421))</f>
        <v/>
      </c>
      <c r="F421" s="122" t="str">
        <f>IF($L421="","",INDEX('CDFs'!$O$6:$O$505,$L421))</f>
        <v/>
      </c>
      <c r="G421" s="121" t="str">
        <f>IF($L421="","",INDEX('CDFs'!$R$6:$R$505,$L421))</f>
        <v/>
      </c>
      <c r="H421" s="120" t="str">
        <f>IF($L421="","",INDEX('CDFs'!$Q$6:$Q$505,$L421)&amp;"")</f>
        <v/>
      </c>
      <c r="L421" t="str">
        <f>IFERROR(MATCH(SMALL('CDFs'!$AB$6:$AB$505,129),'CDFs'!$AB$6:$AB$505,0),"")</f>
        <v/>
      </c>
    </row>
    <row r="422">
      <c r="B422" s="119" t="str">
        <f>IF($L422="","",INDEX('CDFs'!$F$6:$F$505,$L422)&amp;"")</f>
        <v/>
      </c>
      <c r="C422" s="120" t="str">
        <f>IF($L422="","",INDEX('CDFs'!$B$6:$B$505,$L422)&amp;"")</f>
        <v/>
      </c>
      <c r="D422" s="120" t="str">
        <f>IF($L422="","",INDEX('CDFs'!$A$6:$A$505,$L422)&amp;"")</f>
        <v/>
      </c>
      <c r="E422" s="128" t="str">
        <f>IF($L422="","",INDEX('CDFs'!$D$6:$D$505,$L422))</f>
        <v/>
      </c>
      <c r="F422" s="122" t="str">
        <f>IF($L422="","",INDEX('CDFs'!$O$6:$O$505,$L422))</f>
        <v/>
      </c>
      <c r="G422" s="121" t="str">
        <f>IF($L422="","",INDEX('CDFs'!$R$6:$R$505,$L422))</f>
        <v/>
      </c>
      <c r="H422" s="120" t="str">
        <f>IF($L422="","",INDEX('CDFs'!$Q$6:$Q$505,$L422)&amp;"")</f>
        <v/>
      </c>
      <c r="L422" t="str">
        <f>IFERROR(MATCH(SMALL('CDFs'!$AB$6:$AB$505,130),'CDFs'!$AB$6:$AB$505,0),"")</f>
        <v/>
      </c>
    </row>
    <row r="423">
      <c r="B423" s="119" t="str">
        <f>IF($L423="","",INDEX('CDFs'!$F$6:$F$505,$L423)&amp;"")</f>
        <v/>
      </c>
      <c r="C423" s="120" t="str">
        <f>IF($L423="","",INDEX('CDFs'!$B$6:$B$505,$L423)&amp;"")</f>
        <v/>
      </c>
      <c r="D423" s="120" t="str">
        <f>IF($L423="","",INDEX('CDFs'!$A$6:$A$505,$L423)&amp;"")</f>
        <v/>
      </c>
      <c r="E423" s="128" t="str">
        <f>IF($L423="","",INDEX('CDFs'!$D$6:$D$505,$L423))</f>
        <v/>
      </c>
      <c r="F423" s="122" t="str">
        <f>IF($L423="","",INDEX('CDFs'!$O$6:$O$505,$L423))</f>
        <v/>
      </c>
      <c r="G423" s="121" t="str">
        <f>IF($L423="","",INDEX('CDFs'!$R$6:$R$505,$L423))</f>
        <v/>
      </c>
      <c r="H423" s="120" t="str">
        <f>IF($L423="","",INDEX('CDFs'!$Q$6:$Q$505,$L423)&amp;"")</f>
        <v/>
      </c>
      <c r="L423" t="str">
        <f>IFERROR(MATCH(SMALL('CDFs'!$AB$6:$AB$505,131),'CDFs'!$AB$6:$AB$505,0),"")</f>
        <v/>
      </c>
    </row>
    <row r="424">
      <c r="B424" s="119" t="str">
        <f>IF($L424="","",INDEX('CDFs'!$F$6:$F$505,$L424)&amp;"")</f>
        <v/>
      </c>
      <c r="C424" s="120" t="str">
        <f>IF($L424="","",INDEX('CDFs'!$B$6:$B$505,$L424)&amp;"")</f>
        <v/>
      </c>
      <c r="D424" s="120" t="str">
        <f>IF($L424="","",INDEX('CDFs'!$A$6:$A$505,$L424)&amp;"")</f>
        <v/>
      </c>
      <c r="E424" s="128" t="str">
        <f>IF($L424="","",INDEX('CDFs'!$D$6:$D$505,$L424))</f>
        <v/>
      </c>
      <c r="F424" s="122" t="str">
        <f>IF($L424="","",INDEX('CDFs'!$O$6:$O$505,$L424))</f>
        <v/>
      </c>
      <c r="G424" s="121" t="str">
        <f>IF($L424="","",INDEX('CDFs'!$R$6:$R$505,$L424))</f>
        <v/>
      </c>
      <c r="H424" s="120" t="str">
        <f>IF($L424="","",INDEX('CDFs'!$Q$6:$Q$505,$L424)&amp;"")</f>
        <v/>
      </c>
      <c r="L424" t="str">
        <f>IFERROR(MATCH(SMALL('CDFs'!$AB$6:$AB$505,132),'CDFs'!$AB$6:$AB$505,0),"")</f>
        <v/>
      </c>
    </row>
    <row r="425">
      <c r="B425" s="119" t="str">
        <f>IF($L425="","",INDEX('CDFs'!$F$6:$F$505,$L425)&amp;"")</f>
        <v/>
      </c>
      <c r="C425" s="120" t="str">
        <f>IF($L425="","",INDEX('CDFs'!$B$6:$B$505,$L425)&amp;"")</f>
        <v/>
      </c>
      <c r="D425" s="120" t="str">
        <f>IF($L425="","",INDEX('CDFs'!$A$6:$A$505,$L425)&amp;"")</f>
        <v/>
      </c>
      <c r="E425" s="128" t="str">
        <f>IF($L425="","",INDEX('CDFs'!$D$6:$D$505,$L425))</f>
        <v/>
      </c>
      <c r="F425" s="122" t="str">
        <f>IF($L425="","",INDEX('CDFs'!$O$6:$O$505,$L425))</f>
        <v/>
      </c>
      <c r="G425" s="121" t="str">
        <f>IF($L425="","",INDEX('CDFs'!$R$6:$R$505,$L425))</f>
        <v/>
      </c>
      <c r="H425" s="120" t="str">
        <f>IF($L425="","",INDEX('CDFs'!$Q$6:$Q$505,$L425)&amp;"")</f>
        <v/>
      </c>
      <c r="L425" t="str">
        <f>IFERROR(MATCH(SMALL('CDFs'!$AB$6:$AB$505,133),'CDFs'!$AB$6:$AB$505,0),"")</f>
        <v/>
      </c>
    </row>
    <row r="426">
      <c r="B426" s="119" t="str">
        <f>IF($L426="","",INDEX('CDFs'!$F$6:$F$505,$L426)&amp;"")</f>
        <v/>
      </c>
      <c r="C426" s="120" t="str">
        <f>IF($L426="","",INDEX('CDFs'!$B$6:$B$505,$L426)&amp;"")</f>
        <v/>
      </c>
      <c r="D426" s="120" t="str">
        <f>IF($L426="","",INDEX('CDFs'!$A$6:$A$505,$L426)&amp;"")</f>
        <v/>
      </c>
      <c r="E426" s="128" t="str">
        <f>IF($L426="","",INDEX('CDFs'!$D$6:$D$505,$L426))</f>
        <v/>
      </c>
      <c r="F426" s="122" t="str">
        <f>IF($L426="","",INDEX('CDFs'!$O$6:$O$505,$L426))</f>
        <v/>
      </c>
      <c r="G426" s="121" t="str">
        <f>IF($L426="","",INDEX('CDFs'!$R$6:$R$505,$L426))</f>
        <v/>
      </c>
      <c r="H426" s="120" t="str">
        <f>IF($L426="","",INDEX('CDFs'!$Q$6:$Q$505,$L426)&amp;"")</f>
        <v/>
      </c>
      <c r="L426" t="str">
        <f>IFERROR(MATCH(SMALL('CDFs'!$AB$6:$AB$505,134),'CDFs'!$AB$6:$AB$505,0),"")</f>
        <v/>
      </c>
    </row>
    <row r="427">
      <c r="B427" s="119" t="str">
        <f>IF($L427="","",INDEX('CDFs'!$F$6:$F$505,$L427)&amp;"")</f>
        <v/>
      </c>
      <c r="C427" s="120" t="str">
        <f>IF($L427="","",INDEX('CDFs'!$B$6:$B$505,$L427)&amp;"")</f>
        <v/>
      </c>
      <c r="D427" s="120" t="str">
        <f>IF($L427="","",INDEX('CDFs'!$A$6:$A$505,$L427)&amp;"")</f>
        <v/>
      </c>
      <c r="E427" s="128" t="str">
        <f>IF($L427="","",INDEX('CDFs'!$D$6:$D$505,$L427))</f>
        <v/>
      </c>
      <c r="F427" s="122" t="str">
        <f>IF($L427="","",INDEX('CDFs'!$O$6:$O$505,$L427))</f>
        <v/>
      </c>
      <c r="G427" s="121" t="str">
        <f>IF($L427="","",INDEX('CDFs'!$R$6:$R$505,$L427))</f>
        <v/>
      </c>
      <c r="H427" s="120" t="str">
        <f>IF($L427="","",INDEX('CDFs'!$Q$6:$Q$505,$L427)&amp;"")</f>
        <v/>
      </c>
      <c r="L427" t="str">
        <f>IFERROR(MATCH(SMALL('CDFs'!$AB$6:$AB$505,135),'CDFs'!$AB$6:$AB$505,0),"")</f>
        <v/>
      </c>
    </row>
    <row r="428">
      <c r="B428" s="119" t="str">
        <f>IF($L428="","",INDEX('CDFs'!$F$6:$F$505,$L428)&amp;"")</f>
        <v/>
      </c>
      <c r="C428" s="120" t="str">
        <f>IF($L428="","",INDEX('CDFs'!$B$6:$B$505,$L428)&amp;"")</f>
        <v/>
      </c>
      <c r="D428" s="120" t="str">
        <f>IF($L428="","",INDEX('CDFs'!$A$6:$A$505,$L428)&amp;"")</f>
        <v/>
      </c>
      <c r="E428" s="128" t="str">
        <f>IF($L428="","",INDEX('CDFs'!$D$6:$D$505,$L428))</f>
        <v/>
      </c>
      <c r="F428" s="122" t="str">
        <f>IF($L428="","",INDEX('CDFs'!$O$6:$O$505,$L428))</f>
        <v/>
      </c>
      <c r="G428" s="121" t="str">
        <f>IF($L428="","",INDEX('CDFs'!$R$6:$R$505,$L428))</f>
        <v/>
      </c>
      <c r="H428" s="120" t="str">
        <f>IF($L428="","",INDEX('CDFs'!$Q$6:$Q$505,$L428)&amp;"")</f>
        <v/>
      </c>
      <c r="L428" t="str">
        <f>IFERROR(MATCH(SMALL('CDFs'!$AB$6:$AB$505,136),'CDFs'!$AB$6:$AB$505,0),"")</f>
        <v/>
      </c>
    </row>
    <row r="429">
      <c r="B429" s="119" t="str">
        <f>IF($L429="","",INDEX('CDFs'!$F$6:$F$505,$L429)&amp;"")</f>
        <v/>
      </c>
      <c r="C429" s="120" t="str">
        <f>IF($L429="","",INDEX('CDFs'!$B$6:$B$505,$L429)&amp;"")</f>
        <v/>
      </c>
      <c r="D429" s="120" t="str">
        <f>IF($L429="","",INDEX('CDFs'!$A$6:$A$505,$L429)&amp;"")</f>
        <v/>
      </c>
      <c r="E429" s="128" t="str">
        <f>IF($L429="","",INDEX('CDFs'!$D$6:$D$505,$L429))</f>
        <v/>
      </c>
      <c r="F429" s="122" t="str">
        <f>IF($L429="","",INDEX('CDFs'!$O$6:$O$505,$L429))</f>
        <v/>
      </c>
      <c r="G429" s="121" t="str">
        <f>IF($L429="","",INDEX('CDFs'!$R$6:$R$505,$L429))</f>
        <v/>
      </c>
      <c r="H429" s="120" t="str">
        <f>IF($L429="","",INDEX('CDFs'!$Q$6:$Q$505,$L429)&amp;"")</f>
        <v/>
      </c>
      <c r="L429" t="str">
        <f>IFERROR(MATCH(SMALL('CDFs'!$AB$6:$AB$505,137),'CDFs'!$AB$6:$AB$505,0),"")</f>
        <v/>
      </c>
    </row>
    <row r="430">
      <c r="B430" s="119" t="str">
        <f>IF($L430="","",INDEX('CDFs'!$F$6:$F$505,$L430)&amp;"")</f>
        <v/>
      </c>
      <c r="C430" s="120" t="str">
        <f>IF($L430="","",INDEX('CDFs'!$B$6:$B$505,$L430)&amp;"")</f>
        <v/>
      </c>
      <c r="D430" s="120" t="str">
        <f>IF($L430="","",INDEX('CDFs'!$A$6:$A$505,$L430)&amp;"")</f>
        <v/>
      </c>
      <c r="E430" s="128" t="str">
        <f>IF($L430="","",INDEX('CDFs'!$D$6:$D$505,$L430))</f>
        <v/>
      </c>
      <c r="F430" s="122" t="str">
        <f>IF($L430="","",INDEX('CDFs'!$O$6:$O$505,$L430))</f>
        <v/>
      </c>
      <c r="G430" s="121" t="str">
        <f>IF($L430="","",INDEX('CDFs'!$R$6:$R$505,$L430))</f>
        <v/>
      </c>
      <c r="H430" s="120" t="str">
        <f>IF($L430="","",INDEX('CDFs'!$Q$6:$Q$505,$L430)&amp;"")</f>
        <v/>
      </c>
      <c r="L430" t="str">
        <f>IFERROR(MATCH(SMALL('CDFs'!$AB$6:$AB$505,138),'CDFs'!$AB$6:$AB$505,0),"")</f>
        <v/>
      </c>
    </row>
    <row r="431">
      <c r="B431" s="119" t="str">
        <f>IF($L431="","",INDEX('CDFs'!$F$6:$F$505,$L431)&amp;"")</f>
        <v/>
      </c>
      <c r="C431" s="120" t="str">
        <f>IF($L431="","",INDEX('CDFs'!$B$6:$B$505,$L431)&amp;"")</f>
        <v/>
      </c>
      <c r="D431" s="120" t="str">
        <f>IF($L431="","",INDEX('CDFs'!$A$6:$A$505,$L431)&amp;"")</f>
        <v/>
      </c>
      <c r="E431" s="128" t="str">
        <f>IF($L431="","",INDEX('CDFs'!$D$6:$D$505,$L431))</f>
        <v/>
      </c>
      <c r="F431" s="122" t="str">
        <f>IF($L431="","",INDEX('CDFs'!$O$6:$O$505,$L431))</f>
        <v/>
      </c>
      <c r="G431" s="121" t="str">
        <f>IF($L431="","",INDEX('CDFs'!$R$6:$R$505,$L431))</f>
        <v/>
      </c>
      <c r="H431" s="120" t="str">
        <f>IF($L431="","",INDEX('CDFs'!$Q$6:$Q$505,$L431)&amp;"")</f>
        <v/>
      </c>
      <c r="L431" t="str">
        <f>IFERROR(MATCH(SMALL('CDFs'!$AB$6:$AB$505,139),'CDFs'!$AB$6:$AB$505,0),"")</f>
        <v/>
      </c>
    </row>
    <row r="432">
      <c r="B432" s="119" t="str">
        <f>IF($L432="","",INDEX('CDFs'!$F$6:$F$505,$L432)&amp;"")</f>
        <v/>
      </c>
      <c r="C432" s="120" t="str">
        <f>IF($L432="","",INDEX('CDFs'!$B$6:$B$505,$L432)&amp;"")</f>
        <v/>
      </c>
      <c r="D432" s="120" t="str">
        <f>IF($L432="","",INDEX('CDFs'!$A$6:$A$505,$L432)&amp;"")</f>
        <v/>
      </c>
      <c r="E432" s="128" t="str">
        <f>IF($L432="","",INDEX('CDFs'!$D$6:$D$505,$L432))</f>
        <v/>
      </c>
      <c r="F432" s="122" t="str">
        <f>IF($L432="","",INDEX('CDFs'!$O$6:$O$505,$L432))</f>
        <v/>
      </c>
      <c r="G432" s="121" t="str">
        <f>IF($L432="","",INDEX('CDFs'!$R$6:$R$505,$L432))</f>
        <v/>
      </c>
      <c r="H432" s="120" t="str">
        <f>IF($L432="","",INDEX('CDFs'!$Q$6:$Q$505,$L432)&amp;"")</f>
        <v/>
      </c>
      <c r="L432" t="str">
        <f>IFERROR(MATCH(SMALL('CDFs'!$AB$6:$AB$505,140),'CDFs'!$AB$6:$AB$505,0),"")</f>
        <v/>
      </c>
    </row>
    <row r="433">
      <c r="B433" s="119" t="str">
        <f>IF($L433="","",INDEX('CDFs'!$F$6:$F$505,$L433)&amp;"")</f>
        <v/>
      </c>
      <c r="C433" s="120" t="str">
        <f>IF($L433="","",INDEX('CDFs'!$B$6:$B$505,$L433)&amp;"")</f>
        <v/>
      </c>
      <c r="D433" s="120" t="str">
        <f>IF($L433="","",INDEX('CDFs'!$A$6:$A$505,$L433)&amp;"")</f>
        <v/>
      </c>
      <c r="E433" s="128" t="str">
        <f>IF($L433="","",INDEX('CDFs'!$D$6:$D$505,$L433))</f>
        <v/>
      </c>
      <c r="F433" s="122" t="str">
        <f>IF($L433="","",INDEX('CDFs'!$O$6:$O$505,$L433))</f>
        <v/>
      </c>
      <c r="G433" s="121" t="str">
        <f>IF($L433="","",INDEX('CDFs'!$R$6:$R$505,$L433))</f>
        <v/>
      </c>
      <c r="H433" s="120" t="str">
        <f>IF($L433="","",INDEX('CDFs'!$Q$6:$Q$505,$L433)&amp;"")</f>
        <v/>
      </c>
      <c r="L433" t="str">
        <f>IFERROR(MATCH(SMALL('CDFs'!$AB$6:$AB$505,141),'CDFs'!$AB$6:$AB$505,0),"")</f>
        <v/>
      </c>
    </row>
    <row r="434">
      <c r="B434" s="119" t="str">
        <f>IF($L434="","",INDEX('CDFs'!$F$6:$F$505,$L434)&amp;"")</f>
        <v/>
      </c>
      <c r="C434" s="120" t="str">
        <f>IF($L434="","",INDEX('CDFs'!$B$6:$B$505,$L434)&amp;"")</f>
        <v/>
      </c>
      <c r="D434" s="120" t="str">
        <f>IF($L434="","",INDEX('CDFs'!$A$6:$A$505,$L434)&amp;"")</f>
        <v/>
      </c>
      <c r="E434" s="128" t="str">
        <f>IF($L434="","",INDEX('CDFs'!$D$6:$D$505,$L434))</f>
        <v/>
      </c>
      <c r="F434" s="122" t="str">
        <f>IF($L434="","",INDEX('CDFs'!$O$6:$O$505,$L434))</f>
        <v/>
      </c>
      <c r="G434" s="121" t="str">
        <f>IF($L434="","",INDEX('CDFs'!$R$6:$R$505,$L434))</f>
        <v/>
      </c>
      <c r="H434" s="120" t="str">
        <f>IF($L434="","",INDEX('CDFs'!$Q$6:$Q$505,$L434)&amp;"")</f>
        <v/>
      </c>
      <c r="L434" t="str">
        <f>IFERROR(MATCH(SMALL('CDFs'!$AB$6:$AB$505,142),'CDFs'!$AB$6:$AB$505,0),"")</f>
        <v/>
      </c>
    </row>
    <row r="435">
      <c r="B435" s="119" t="str">
        <f>IF($L435="","",INDEX('CDFs'!$F$6:$F$505,$L435)&amp;"")</f>
        <v/>
      </c>
      <c r="C435" s="120" t="str">
        <f>IF($L435="","",INDEX('CDFs'!$B$6:$B$505,$L435)&amp;"")</f>
        <v/>
      </c>
      <c r="D435" s="120" t="str">
        <f>IF($L435="","",INDEX('CDFs'!$A$6:$A$505,$L435)&amp;"")</f>
        <v/>
      </c>
      <c r="E435" s="128" t="str">
        <f>IF($L435="","",INDEX('CDFs'!$D$6:$D$505,$L435))</f>
        <v/>
      </c>
      <c r="F435" s="122" t="str">
        <f>IF($L435="","",INDEX('CDFs'!$O$6:$O$505,$L435))</f>
        <v/>
      </c>
      <c r="G435" s="121" t="str">
        <f>IF($L435="","",INDEX('CDFs'!$R$6:$R$505,$L435))</f>
        <v/>
      </c>
      <c r="H435" s="120" t="str">
        <f>IF($L435="","",INDEX('CDFs'!$Q$6:$Q$505,$L435)&amp;"")</f>
        <v/>
      </c>
      <c r="L435" t="str">
        <f>IFERROR(MATCH(SMALL('CDFs'!$AB$6:$AB$505,143),'CDFs'!$AB$6:$AB$505,0),"")</f>
        <v/>
      </c>
    </row>
    <row r="436">
      <c r="B436" s="119" t="str">
        <f>IF($L436="","",INDEX('CDFs'!$F$6:$F$505,$L436)&amp;"")</f>
        <v/>
      </c>
      <c r="C436" s="120" t="str">
        <f>IF($L436="","",INDEX('CDFs'!$B$6:$B$505,$L436)&amp;"")</f>
        <v/>
      </c>
      <c r="D436" s="120" t="str">
        <f>IF($L436="","",INDEX('CDFs'!$A$6:$A$505,$L436)&amp;"")</f>
        <v/>
      </c>
      <c r="E436" s="128" t="str">
        <f>IF($L436="","",INDEX('CDFs'!$D$6:$D$505,$L436))</f>
        <v/>
      </c>
      <c r="F436" s="122" t="str">
        <f>IF($L436="","",INDEX('CDFs'!$O$6:$O$505,$L436))</f>
        <v/>
      </c>
      <c r="G436" s="121" t="str">
        <f>IF($L436="","",INDEX('CDFs'!$R$6:$R$505,$L436))</f>
        <v/>
      </c>
      <c r="H436" s="120" t="str">
        <f>IF($L436="","",INDEX('CDFs'!$Q$6:$Q$505,$L436)&amp;"")</f>
        <v/>
      </c>
      <c r="L436" t="str">
        <f>IFERROR(MATCH(SMALL('CDFs'!$AB$6:$AB$505,144),'CDFs'!$AB$6:$AB$505,0),"")</f>
        <v/>
      </c>
    </row>
    <row r="437">
      <c r="B437" s="119" t="str">
        <f>IF($L437="","",INDEX('CDFs'!$F$6:$F$505,$L437)&amp;"")</f>
        <v/>
      </c>
      <c r="C437" s="120" t="str">
        <f>IF($L437="","",INDEX('CDFs'!$B$6:$B$505,$L437)&amp;"")</f>
        <v/>
      </c>
      <c r="D437" s="120" t="str">
        <f>IF($L437="","",INDEX('CDFs'!$A$6:$A$505,$L437)&amp;"")</f>
        <v/>
      </c>
      <c r="E437" s="128" t="str">
        <f>IF($L437="","",INDEX('CDFs'!$D$6:$D$505,$L437))</f>
        <v/>
      </c>
      <c r="F437" s="122" t="str">
        <f>IF($L437="","",INDEX('CDFs'!$O$6:$O$505,$L437))</f>
        <v/>
      </c>
      <c r="G437" s="121" t="str">
        <f>IF($L437="","",INDEX('CDFs'!$R$6:$R$505,$L437))</f>
        <v/>
      </c>
      <c r="H437" s="120" t="str">
        <f>IF($L437="","",INDEX('CDFs'!$Q$6:$Q$505,$L437)&amp;"")</f>
        <v/>
      </c>
      <c r="L437" t="str">
        <f>IFERROR(MATCH(SMALL('CDFs'!$AB$6:$AB$505,145),'CDFs'!$AB$6:$AB$505,0),"")</f>
        <v/>
      </c>
    </row>
    <row r="438">
      <c r="B438" s="119" t="str">
        <f>IF($L438="","",INDEX('CDFs'!$F$6:$F$505,$L438)&amp;"")</f>
        <v/>
      </c>
      <c r="C438" s="120" t="str">
        <f>IF($L438="","",INDEX('CDFs'!$B$6:$B$505,$L438)&amp;"")</f>
        <v/>
      </c>
      <c r="D438" s="120" t="str">
        <f>IF($L438="","",INDEX('CDFs'!$A$6:$A$505,$L438)&amp;"")</f>
        <v/>
      </c>
      <c r="E438" s="128" t="str">
        <f>IF($L438="","",INDEX('CDFs'!$D$6:$D$505,$L438))</f>
        <v/>
      </c>
      <c r="F438" s="122" t="str">
        <f>IF($L438="","",INDEX('CDFs'!$O$6:$O$505,$L438))</f>
        <v/>
      </c>
      <c r="G438" s="121" t="str">
        <f>IF($L438="","",INDEX('CDFs'!$R$6:$R$505,$L438))</f>
        <v/>
      </c>
      <c r="H438" s="120" t="str">
        <f>IF($L438="","",INDEX('CDFs'!$Q$6:$Q$505,$L438)&amp;"")</f>
        <v/>
      </c>
      <c r="L438" t="str">
        <f>IFERROR(MATCH(SMALL('CDFs'!$AB$6:$AB$505,146),'CDFs'!$AB$6:$AB$505,0),"")</f>
        <v/>
      </c>
    </row>
    <row r="439">
      <c r="B439" s="119" t="str">
        <f>IF($L439="","",INDEX('CDFs'!$F$6:$F$505,$L439)&amp;"")</f>
        <v/>
      </c>
      <c r="C439" s="120" t="str">
        <f>IF($L439="","",INDEX('CDFs'!$B$6:$B$505,$L439)&amp;"")</f>
        <v/>
      </c>
      <c r="D439" s="120" t="str">
        <f>IF($L439="","",INDEX('CDFs'!$A$6:$A$505,$L439)&amp;"")</f>
        <v/>
      </c>
      <c r="E439" s="128" t="str">
        <f>IF($L439="","",INDEX('CDFs'!$D$6:$D$505,$L439))</f>
        <v/>
      </c>
      <c r="F439" s="122" t="str">
        <f>IF($L439="","",INDEX('CDFs'!$O$6:$O$505,$L439))</f>
        <v/>
      </c>
      <c r="G439" s="121" t="str">
        <f>IF($L439="","",INDEX('CDFs'!$R$6:$R$505,$L439))</f>
        <v/>
      </c>
      <c r="H439" s="120" t="str">
        <f>IF($L439="","",INDEX('CDFs'!$Q$6:$Q$505,$L439)&amp;"")</f>
        <v/>
      </c>
      <c r="L439" t="str">
        <f>IFERROR(MATCH(SMALL('CDFs'!$AB$6:$AB$505,147),'CDFs'!$AB$6:$AB$505,0),"")</f>
        <v/>
      </c>
    </row>
    <row r="440">
      <c r="B440" s="119" t="str">
        <f>IF($L440="","",INDEX('CDFs'!$F$6:$F$505,$L440)&amp;"")</f>
        <v/>
      </c>
      <c r="C440" s="120" t="str">
        <f>IF($L440="","",INDEX('CDFs'!$B$6:$B$505,$L440)&amp;"")</f>
        <v/>
      </c>
      <c r="D440" s="120" t="str">
        <f>IF($L440="","",INDEX('CDFs'!$A$6:$A$505,$L440)&amp;"")</f>
        <v/>
      </c>
      <c r="E440" s="128" t="str">
        <f>IF($L440="","",INDEX('CDFs'!$D$6:$D$505,$L440))</f>
        <v/>
      </c>
      <c r="F440" s="122" t="str">
        <f>IF($L440="","",INDEX('CDFs'!$O$6:$O$505,$L440))</f>
        <v/>
      </c>
      <c r="G440" s="121" t="str">
        <f>IF($L440="","",INDEX('CDFs'!$R$6:$R$505,$L440))</f>
        <v/>
      </c>
      <c r="H440" s="120" t="str">
        <f>IF($L440="","",INDEX('CDFs'!$Q$6:$Q$505,$L440)&amp;"")</f>
        <v/>
      </c>
      <c r="L440" t="str">
        <f>IFERROR(MATCH(SMALL('CDFs'!$AB$6:$AB$505,148),'CDFs'!$AB$6:$AB$505,0),"")</f>
        <v/>
      </c>
    </row>
    <row r="441">
      <c r="B441" s="119" t="str">
        <f>IF($L441="","",INDEX('CDFs'!$F$6:$F$505,$L441)&amp;"")</f>
        <v/>
      </c>
      <c r="C441" s="120" t="str">
        <f>IF($L441="","",INDEX('CDFs'!$B$6:$B$505,$L441)&amp;"")</f>
        <v/>
      </c>
      <c r="D441" s="120" t="str">
        <f>IF($L441="","",INDEX('CDFs'!$A$6:$A$505,$L441)&amp;"")</f>
        <v/>
      </c>
      <c r="E441" s="128" t="str">
        <f>IF($L441="","",INDEX('CDFs'!$D$6:$D$505,$L441))</f>
        <v/>
      </c>
      <c r="F441" s="122" t="str">
        <f>IF($L441="","",INDEX('CDFs'!$O$6:$O$505,$L441))</f>
        <v/>
      </c>
      <c r="G441" s="121" t="str">
        <f>IF($L441="","",INDEX('CDFs'!$R$6:$R$505,$L441))</f>
        <v/>
      </c>
      <c r="H441" s="120" t="str">
        <f>IF($L441="","",INDEX('CDFs'!$Q$6:$Q$505,$L441)&amp;"")</f>
        <v/>
      </c>
      <c r="L441" t="str">
        <f>IFERROR(MATCH(SMALL('CDFs'!$AB$6:$AB$505,149),'CDFs'!$AB$6:$AB$505,0),"")</f>
        <v/>
      </c>
    </row>
    <row r="442">
      <c r="B442" s="119" t="str">
        <f>IF($L442="","",INDEX('CDFs'!$F$6:$F$505,$L442)&amp;"")</f>
        <v/>
      </c>
      <c r="C442" s="120" t="str">
        <f>IF($L442="","",INDEX('CDFs'!$B$6:$B$505,$L442)&amp;"")</f>
        <v/>
      </c>
      <c r="D442" s="120" t="str">
        <f>IF($L442="","",INDEX('CDFs'!$A$6:$A$505,$L442)&amp;"")</f>
        <v/>
      </c>
      <c r="E442" s="128" t="str">
        <f>IF($L442="","",INDEX('CDFs'!$D$6:$D$505,$L442))</f>
        <v/>
      </c>
      <c r="F442" s="122" t="str">
        <f>IF($L442="","",INDEX('CDFs'!$O$6:$O$505,$L442))</f>
        <v/>
      </c>
      <c r="G442" s="121" t="str">
        <f>IF($L442="","",INDEX('CDFs'!$R$6:$R$505,$L442))</f>
        <v/>
      </c>
      <c r="H442" s="120" t="str">
        <f>IF($L442="","",INDEX('CDFs'!$Q$6:$Q$505,$L442)&amp;"")</f>
        <v/>
      </c>
      <c r="L442" t="str">
        <f>IFERROR(MATCH(SMALL('CDFs'!$AB$6:$AB$505,150),'CDFs'!$AB$6:$AB$505,0),"")</f>
        <v/>
      </c>
    </row>
    <row r="445" ht="26" customHeight="1">
      <c r="B445" s="116" t="inlineStr">
        <is>
          <t>RELATÓRIO 05 | PENDÊNCIAS DOCUMENTAIS</t>
        </is>
      </c>
      <c r="C445" s="116" t="n"/>
      <c r="D445" s="116" t="n"/>
      <c r="E445" s="116" t="n"/>
      <c r="F445" s="116" t="n"/>
      <c r="G445" s="116" t="n"/>
      <c r="H445" s="116" t="n"/>
      <c r="I445" s="116" t="n"/>
      <c r="J445" s="116" t="n"/>
    </row>
    <row r="446" ht="28" customHeight="1">
      <c r="B446" s="117" t="inlineStr">
        <is>
          <t>Situação atual, sem filtro de período. Filtros: unidade geradora e destinador. Ordenado por prioridade interna e tempo. Mostra até 150 pendências.</t>
        </is>
      </c>
      <c r="C446" s="117" t="n"/>
      <c r="D446" s="117" t="n"/>
      <c r="E446" s="117" t="n"/>
      <c r="F446" s="117" t="n"/>
      <c r="G446" s="117" t="n"/>
      <c r="H446" s="127" t="str">
        <f>"Pendências encontradas: "&amp;COUNT('MTRs'!$BC$6:$BC$505)</f>
        <v>Pendências encontradas: 0</v>
      </c>
      <c r="I446" s="127" t="n"/>
      <c r="J446" s="127" t="n"/>
    </row>
    <row r="447" ht="34" customHeight="1">
      <c r="B447" s="43" t="inlineStr">
        <is>
          <t>ID do MTR</t>
        </is>
      </c>
      <c r="C447" s="43" t="inlineStr">
        <is>
          <t>Número oficial do MTR</t>
        </is>
      </c>
      <c r="D447" s="43" t="inlineStr">
        <is>
          <t>Pendência principal</t>
        </is>
      </c>
      <c r="E447" s="43" t="inlineStr">
        <is>
          <t>Participante relacionado</t>
        </is>
      </c>
      <c r="F447" s="43" t="inlineStr">
        <is>
          <t>Tempo em acompanhamento (dias)</t>
        </is>
      </c>
      <c r="G447" s="43" t="inlineStr">
        <is>
          <t>Prioridade interna</t>
        </is>
      </c>
      <c r="H447" s="43" t="inlineStr">
        <is>
          <t>Próxima providência</t>
        </is>
      </c>
    </row>
    <row r="448">
      <c r="B448" s="119" t="str">
        <f>IF($L448="","",INDEX('MTRs'!$A$6:$A$505,$L448)&amp;"")</f>
        <v/>
      </c>
      <c r="C448" s="120" t="str">
        <f>IF($L448="","",INDEX('MTRs'!$B$6:$B$505,$L448)&amp;"")</f>
        <v/>
      </c>
      <c r="D448" s="120" t="str">
        <f>IF($L448="","",INDEX('MTRs'!$T$6:$T$505,$L448)&amp;"")</f>
        <v/>
      </c>
      <c r="E448" s="120" t="str">
        <f>IF($L448="","",INDEX('MTRs'!$BF$6:$BF$505,$L448)&amp;"")</f>
        <v/>
      </c>
      <c r="F448" s="129" t="str">
        <f>IF($L448="","",INDEX('MTRs'!$U$6:$U$505,$L448))</f>
        <v/>
      </c>
      <c r="G448" s="120" t="str">
        <f>IF($L448="","",INDEX('MTRs'!$AS$6:$AS$505,$L448)&amp;"")</f>
        <v/>
      </c>
      <c r="H448" s="110" t="str">
        <f>IF($L448="","",INDEX('MTRs'!$AT$6:$AT$505,$L448)&amp;"")</f>
        <v/>
      </c>
      <c r="L448" t="str">
        <f>IFERROR(MATCH(SMALL('MTRs'!$BC$6:$BC$505,1),'MTRs'!$BC$6:$BC$505,0),"")</f>
        <v/>
      </c>
    </row>
    <row r="449">
      <c r="B449" s="119" t="str">
        <f>IF($L449="","",INDEX('MTRs'!$A$6:$A$505,$L449)&amp;"")</f>
        <v/>
      </c>
      <c r="C449" s="120" t="str">
        <f>IF($L449="","",INDEX('MTRs'!$B$6:$B$505,$L449)&amp;"")</f>
        <v/>
      </c>
      <c r="D449" s="120" t="str">
        <f>IF($L449="","",INDEX('MTRs'!$T$6:$T$505,$L449)&amp;"")</f>
        <v/>
      </c>
      <c r="E449" s="120" t="str">
        <f>IF($L449="","",INDEX('MTRs'!$BF$6:$BF$505,$L449)&amp;"")</f>
        <v/>
      </c>
      <c r="F449" s="129" t="str">
        <f>IF($L449="","",INDEX('MTRs'!$U$6:$U$505,$L449))</f>
        <v/>
      </c>
      <c r="G449" s="120" t="str">
        <f>IF($L449="","",INDEX('MTRs'!$AS$6:$AS$505,$L449)&amp;"")</f>
        <v/>
      </c>
      <c r="H449" s="110" t="str">
        <f>IF($L449="","",INDEX('MTRs'!$AT$6:$AT$505,$L449)&amp;"")</f>
        <v/>
      </c>
      <c r="L449" t="str">
        <f>IFERROR(MATCH(SMALL('MTRs'!$BC$6:$BC$505,2),'MTRs'!$BC$6:$BC$505,0),"")</f>
        <v/>
      </c>
    </row>
    <row r="450">
      <c r="B450" s="119" t="str">
        <f>IF($L450="","",INDEX('MTRs'!$A$6:$A$505,$L450)&amp;"")</f>
        <v/>
      </c>
      <c r="C450" s="120" t="str">
        <f>IF($L450="","",INDEX('MTRs'!$B$6:$B$505,$L450)&amp;"")</f>
        <v/>
      </c>
      <c r="D450" s="120" t="str">
        <f>IF($L450="","",INDEX('MTRs'!$T$6:$T$505,$L450)&amp;"")</f>
        <v/>
      </c>
      <c r="E450" s="120" t="str">
        <f>IF($L450="","",INDEX('MTRs'!$BF$6:$BF$505,$L450)&amp;"")</f>
        <v/>
      </c>
      <c r="F450" s="129" t="str">
        <f>IF($L450="","",INDEX('MTRs'!$U$6:$U$505,$L450))</f>
        <v/>
      </c>
      <c r="G450" s="120" t="str">
        <f>IF($L450="","",INDEX('MTRs'!$AS$6:$AS$505,$L450)&amp;"")</f>
        <v/>
      </c>
      <c r="H450" s="110" t="str">
        <f>IF($L450="","",INDEX('MTRs'!$AT$6:$AT$505,$L450)&amp;"")</f>
        <v/>
      </c>
      <c r="L450" t="str">
        <f>IFERROR(MATCH(SMALL('MTRs'!$BC$6:$BC$505,3),'MTRs'!$BC$6:$BC$505,0),"")</f>
        <v/>
      </c>
    </row>
    <row r="451">
      <c r="B451" s="119" t="str">
        <f>IF($L451="","",INDEX('MTRs'!$A$6:$A$505,$L451)&amp;"")</f>
        <v/>
      </c>
      <c r="C451" s="120" t="str">
        <f>IF($L451="","",INDEX('MTRs'!$B$6:$B$505,$L451)&amp;"")</f>
        <v/>
      </c>
      <c r="D451" s="120" t="str">
        <f>IF($L451="","",INDEX('MTRs'!$T$6:$T$505,$L451)&amp;"")</f>
        <v/>
      </c>
      <c r="E451" s="120" t="str">
        <f>IF($L451="","",INDEX('MTRs'!$BF$6:$BF$505,$L451)&amp;"")</f>
        <v/>
      </c>
      <c r="F451" s="129" t="str">
        <f>IF($L451="","",INDEX('MTRs'!$U$6:$U$505,$L451))</f>
        <v/>
      </c>
      <c r="G451" s="120" t="str">
        <f>IF($L451="","",INDEX('MTRs'!$AS$6:$AS$505,$L451)&amp;"")</f>
        <v/>
      </c>
      <c r="H451" s="110" t="str">
        <f>IF($L451="","",INDEX('MTRs'!$AT$6:$AT$505,$L451)&amp;"")</f>
        <v/>
      </c>
      <c r="L451" t="str">
        <f>IFERROR(MATCH(SMALL('MTRs'!$BC$6:$BC$505,4),'MTRs'!$BC$6:$BC$505,0),"")</f>
        <v/>
      </c>
    </row>
    <row r="452">
      <c r="B452" s="119" t="str">
        <f>IF($L452="","",INDEX('MTRs'!$A$6:$A$505,$L452)&amp;"")</f>
        <v/>
      </c>
      <c r="C452" s="120" t="str">
        <f>IF($L452="","",INDEX('MTRs'!$B$6:$B$505,$L452)&amp;"")</f>
        <v/>
      </c>
      <c r="D452" s="120" t="str">
        <f>IF($L452="","",INDEX('MTRs'!$T$6:$T$505,$L452)&amp;"")</f>
        <v/>
      </c>
      <c r="E452" s="120" t="str">
        <f>IF($L452="","",INDEX('MTRs'!$BF$6:$BF$505,$L452)&amp;"")</f>
        <v/>
      </c>
      <c r="F452" s="129" t="str">
        <f>IF($L452="","",INDEX('MTRs'!$U$6:$U$505,$L452))</f>
        <v/>
      </c>
      <c r="G452" s="120" t="str">
        <f>IF($L452="","",INDEX('MTRs'!$AS$6:$AS$505,$L452)&amp;"")</f>
        <v/>
      </c>
      <c r="H452" s="110" t="str">
        <f>IF($L452="","",INDEX('MTRs'!$AT$6:$AT$505,$L452)&amp;"")</f>
        <v/>
      </c>
      <c r="L452" t="str">
        <f>IFERROR(MATCH(SMALL('MTRs'!$BC$6:$BC$505,5),'MTRs'!$BC$6:$BC$505,0),"")</f>
        <v/>
      </c>
    </row>
    <row r="453">
      <c r="B453" s="119" t="str">
        <f>IF($L453="","",INDEX('MTRs'!$A$6:$A$505,$L453)&amp;"")</f>
        <v/>
      </c>
      <c r="C453" s="120" t="str">
        <f>IF($L453="","",INDEX('MTRs'!$B$6:$B$505,$L453)&amp;"")</f>
        <v/>
      </c>
      <c r="D453" s="120" t="str">
        <f>IF($L453="","",INDEX('MTRs'!$T$6:$T$505,$L453)&amp;"")</f>
        <v/>
      </c>
      <c r="E453" s="120" t="str">
        <f>IF($L453="","",INDEX('MTRs'!$BF$6:$BF$505,$L453)&amp;"")</f>
        <v/>
      </c>
      <c r="F453" s="129" t="str">
        <f>IF($L453="","",INDEX('MTRs'!$U$6:$U$505,$L453))</f>
        <v/>
      </c>
      <c r="G453" s="120" t="str">
        <f>IF($L453="","",INDEX('MTRs'!$AS$6:$AS$505,$L453)&amp;"")</f>
        <v/>
      </c>
      <c r="H453" s="110" t="str">
        <f>IF($L453="","",INDEX('MTRs'!$AT$6:$AT$505,$L453)&amp;"")</f>
        <v/>
      </c>
      <c r="L453" t="str">
        <f>IFERROR(MATCH(SMALL('MTRs'!$BC$6:$BC$505,6),'MTRs'!$BC$6:$BC$505,0),"")</f>
        <v/>
      </c>
    </row>
    <row r="454">
      <c r="B454" s="119" t="str">
        <f>IF($L454="","",INDEX('MTRs'!$A$6:$A$505,$L454)&amp;"")</f>
        <v/>
      </c>
      <c r="C454" s="120" t="str">
        <f>IF($L454="","",INDEX('MTRs'!$B$6:$B$505,$L454)&amp;"")</f>
        <v/>
      </c>
      <c r="D454" s="120" t="str">
        <f>IF($L454="","",INDEX('MTRs'!$T$6:$T$505,$L454)&amp;"")</f>
        <v/>
      </c>
      <c r="E454" s="120" t="str">
        <f>IF($L454="","",INDEX('MTRs'!$BF$6:$BF$505,$L454)&amp;"")</f>
        <v/>
      </c>
      <c r="F454" s="129" t="str">
        <f>IF($L454="","",INDEX('MTRs'!$U$6:$U$505,$L454))</f>
        <v/>
      </c>
      <c r="G454" s="120" t="str">
        <f>IF($L454="","",INDEX('MTRs'!$AS$6:$AS$505,$L454)&amp;"")</f>
        <v/>
      </c>
      <c r="H454" s="110" t="str">
        <f>IF($L454="","",INDEX('MTRs'!$AT$6:$AT$505,$L454)&amp;"")</f>
        <v/>
      </c>
      <c r="L454" t="str">
        <f>IFERROR(MATCH(SMALL('MTRs'!$BC$6:$BC$505,7),'MTRs'!$BC$6:$BC$505,0),"")</f>
        <v/>
      </c>
    </row>
    <row r="455">
      <c r="B455" s="119" t="str">
        <f>IF($L455="","",INDEX('MTRs'!$A$6:$A$505,$L455)&amp;"")</f>
        <v/>
      </c>
      <c r="C455" s="120" t="str">
        <f>IF($L455="","",INDEX('MTRs'!$B$6:$B$505,$L455)&amp;"")</f>
        <v/>
      </c>
      <c r="D455" s="120" t="str">
        <f>IF($L455="","",INDEX('MTRs'!$T$6:$T$505,$L455)&amp;"")</f>
        <v/>
      </c>
      <c r="E455" s="120" t="str">
        <f>IF($L455="","",INDEX('MTRs'!$BF$6:$BF$505,$L455)&amp;"")</f>
        <v/>
      </c>
      <c r="F455" s="129" t="str">
        <f>IF($L455="","",INDEX('MTRs'!$U$6:$U$505,$L455))</f>
        <v/>
      </c>
      <c r="G455" s="120" t="str">
        <f>IF($L455="","",INDEX('MTRs'!$AS$6:$AS$505,$L455)&amp;"")</f>
        <v/>
      </c>
      <c r="H455" s="110" t="str">
        <f>IF($L455="","",INDEX('MTRs'!$AT$6:$AT$505,$L455)&amp;"")</f>
        <v/>
      </c>
      <c r="L455" t="str">
        <f>IFERROR(MATCH(SMALL('MTRs'!$BC$6:$BC$505,8),'MTRs'!$BC$6:$BC$505,0),"")</f>
        <v/>
      </c>
    </row>
    <row r="456">
      <c r="B456" s="119" t="str">
        <f>IF($L456="","",INDEX('MTRs'!$A$6:$A$505,$L456)&amp;"")</f>
        <v/>
      </c>
      <c r="C456" s="120" t="str">
        <f>IF($L456="","",INDEX('MTRs'!$B$6:$B$505,$L456)&amp;"")</f>
        <v/>
      </c>
      <c r="D456" s="120" t="str">
        <f>IF($L456="","",INDEX('MTRs'!$T$6:$T$505,$L456)&amp;"")</f>
        <v/>
      </c>
      <c r="E456" s="120" t="str">
        <f>IF($L456="","",INDEX('MTRs'!$BF$6:$BF$505,$L456)&amp;"")</f>
        <v/>
      </c>
      <c r="F456" s="129" t="str">
        <f>IF($L456="","",INDEX('MTRs'!$U$6:$U$505,$L456))</f>
        <v/>
      </c>
      <c r="G456" s="120" t="str">
        <f>IF($L456="","",INDEX('MTRs'!$AS$6:$AS$505,$L456)&amp;"")</f>
        <v/>
      </c>
      <c r="H456" s="110" t="str">
        <f>IF($L456="","",INDEX('MTRs'!$AT$6:$AT$505,$L456)&amp;"")</f>
        <v/>
      </c>
      <c r="L456" t="str">
        <f>IFERROR(MATCH(SMALL('MTRs'!$BC$6:$BC$505,9),'MTRs'!$BC$6:$BC$505,0),"")</f>
        <v/>
      </c>
    </row>
    <row r="457">
      <c r="B457" s="119" t="str">
        <f>IF($L457="","",INDEX('MTRs'!$A$6:$A$505,$L457)&amp;"")</f>
        <v/>
      </c>
      <c r="C457" s="120" t="str">
        <f>IF($L457="","",INDEX('MTRs'!$B$6:$B$505,$L457)&amp;"")</f>
        <v/>
      </c>
      <c r="D457" s="120" t="str">
        <f>IF($L457="","",INDEX('MTRs'!$T$6:$T$505,$L457)&amp;"")</f>
        <v/>
      </c>
      <c r="E457" s="120" t="str">
        <f>IF($L457="","",INDEX('MTRs'!$BF$6:$BF$505,$L457)&amp;"")</f>
        <v/>
      </c>
      <c r="F457" s="129" t="str">
        <f>IF($L457="","",INDEX('MTRs'!$U$6:$U$505,$L457))</f>
        <v/>
      </c>
      <c r="G457" s="120" t="str">
        <f>IF($L457="","",INDEX('MTRs'!$AS$6:$AS$505,$L457)&amp;"")</f>
        <v/>
      </c>
      <c r="H457" s="110" t="str">
        <f>IF($L457="","",INDEX('MTRs'!$AT$6:$AT$505,$L457)&amp;"")</f>
        <v/>
      </c>
      <c r="L457" t="str">
        <f>IFERROR(MATCH(SMALL('MTRs'!$BC$6:$BC$505,10),'MTRs'!$BC$6:$BC$505,0),"")</f>
        <v/>
      </c>
    </row>
    <row r="458">
      <c r="B458" s="119" t="str">
        <f>IF($L458="","",INDEX('MTRs'!$A$6:$A$505,$L458)&amp;"")</f>
        <v/>
      </c>
      <c r="C458" s="120" t="str">
        <f>IF($L458="","",INDEX('MTRs'!$B$6:$B$505,$L458)&amp;"")</f>
        <v/>
      </c>
      <c r="D458" s="120" t="str">
        <f>IF($L458="","",INDEX('MTRs'!$T$6:$T$505,$L458)&amp;"")</f>
        <v/>
      </c>
      <c r="E458" s="120" t="str">
        <f>IF($L458="","",INDEX('MTRs'!$BF$6:$BF$505,$L458)&amp;"")</f>
        <v/>
      </c>
      <c r="F458" s="129" t="str">
        <f>IF($L458="","",INDEX('MTRs'!$U$6:$U$505,$L458))</f>
        <v/>
      </c>
      <c r="G458" s="120" t="str">
        <f>IF($L458="","",INDEX('MTRs'!$AS$6:$AS$505,$L458)&amp;"")</f>
        <v/>
      </c>
      <c r="H458" s="110" t="str">
        <f>IF($L458="","",INDEX('MTRs'!$AT$6:$AT$505,$L458)&amp;"")</f>
        <v/>
      </c>
      <c r="L458" t="str">
        <f>IFERROR(MATCH(SMALL('MTRs'!$BC$6:$BC$505,11),'MTRs'!$BC$6:$BC$505,0),"")</f>
        <v/>
      </c>
    </row>
    <row r="459">
      <c r="B459" s="119" t="str">
        <f>IF($L459="","",INDEX('MTRs'!$A$6:$A$505,$L459)&amp;"")</f>
        <v/>
      </c>
      <c r="C459" s="120" t="str">
        <f>IF($L459="","",INDEX('MTRs'!$B$6:$B$505,$L459)&amp;"")</f>
        <v/>
      </c>
      <c r="D459" s="120" t="str">
        <f>IF($L459="","",INDEX('MTRs'!$T$6:$T$505,$L459)&amp;"")</f>
        <v/>
      </c>
      <c r="E459" s="120" t="str">
        <f>IF($L459="","",INDEX('MTRs'!$BF$6:$BF$505,$L459)&amp;"")</f>
        <v/>
      </c>
      <c r="F459" s="129" t="str">
        <f>IF($L459="","",INDEX('MTRs'!$U$6:$U$505,$L459))</f>
        <v/>
      </c>
      <c r="G459" s="120" t="str">
        <f>IF($L459="","",INDEX('MTRs'!$AS$6:$AS$505,$L459)&amp;"")</f>
        <v/>
      </c>
      <c r="H459" s="110" t="str">
        <f>IF($L459="","",INDEX('MTRs'!$AT$6:$AT$505,$L459)&amp;"")</f>
        <v/>
      </c>
      <c r="L459" t="str">
        <f>IFERROR(MATCH(SMALL('MTRs'!$BC$6:$BC$505,12),'MTRs'!$BC$6:$BC$505,0),"")</f>
        <v/>
      </c>
    </row>
    <row r="460">
      <c r="B460" s="119" t="str">
        <f>IF($L460="","",INDEX('MTRs'!$A$6:$A$505,$L460)&amp;"")</f>
        <v/>
      </c>
      <c r="C460" s="120" t="str">
        <f>IF($L460="","",INDEX('MTRs'!$B$6:$B$505,$L460)&amp;"")</f>
        <v/>
      </c>
      <c r="D460" s="120" t="str">
        <f>IF($L460="","",INDEX('MTRs'!$T$6:$T$505,$L460)&amp;"")</f>
        <v/>
      </c>
      <c r="E460" s="120" t="str">
        <f>IF($L460="","",INDEX('MTRs'!$BF$6:$BF$505,$L460)&amp;"")</f>
        <v/>
      </c>
      <c r="F460" s="129" t="str">
        <f>IF($L460="","",INDEX('MTRs'!$U$6:$U$505,$L460))</f>
        <v/>
      </c>
      <c r="G460" s="120" t="str">
        <f>IF($L460="","",INDEX('MTRs'!$AS$6:$AS$505,$L460)&amp;"")</f>
        <v/>
      </c>
      <c r="H460" s="110" t="str">
        <f>IF($L460="","",INDEX('MTRs'!$AT$6:$AT$505,$L460)&amp;"")</f>
        <v/>
      </c>
      <c r="L460" t="str">
        <f>IFERROR(MATCH(SMALL('MTRs'!$BC$6:$BC$505,13),'MTRs'!$BC$6:$BC$505,0),"")</f>
        <v/>
      </c>
    </row>
    <row r="461">
      <c r="B461" s="119" t="str">
        <f>IF($L461="","",INDEX('MTRs'!$A$6:$A$505,$L461)&amp;"")</f>
        <v/>
      </c>
      <c r="C461" s="120" t="str">
        <f>IF($L461="","",INDEX('MTRs'!$B$6:$B$505,$L461)&amp;"")</f>
        <v/>
      </c>
      <c r="D461" s="120" t="str">
        <f>IF($L461="","",INDEX('MTRs'!$T$6:$T$505,$L461)&amp;"")</f>
        <v/>
      </c>
      <c r="E461" s="120" t="str">
        <f>IF($L461="","",INDEX('MTRs'!$BF$6:$BF$505,$L461)&amp;"")</f>
        <v/>
      </c>
      <c r="F461" s="129" t="str">
        <f>IF($L461="","",INDEX('MTRs'!$U$6:$U$505,$L461))</f>
        <v/>
      </c>
      <c r="G461" s="120" t="str">
        <f>IF($L461="","",INDEX('MTRs'!$AS$6:$AS$505,$L461)&amp;"")</f>
        <v/>
      </c>
      <c r="H461" s="110" t="str">
        <f>IF($L461="","",INDEX('MTRs'!$AT$6:$AT$505,$L461)&amp;"")</f>
        <v/>
      </c>
      <c r="L461" t="str">
        <f>IFERROR(MATCH(SMALL('MTRs'!$BC$6:$BC$505,14),'MTRs'!$BC$6:$BC$505,0),"")</f>
        <v/>
      </c>
    </row>
    <row r="462">
      <c r="B462" s="119" t="str">
        <f>IF($L462="","",INDEX('MTRs'!$A$6:$A$505,$L462)&amp;"")</f>
        <v/>
      </c>
      <c r="C462" s="120" t="str">
        <f>IF($L462="","",INDEX('MTRs'!$B$6:$B$505,$L462)&amp;"")</f>
        <v/>
      </c>
      <c r="D462" s="120" t="str">
        <f>IF($L462="","",INDEX('MTRs'!$T$6:$T$505,$L462)&amp;"")</f>
        <v/>
      </c>
      <c r="E462" s="120" t="str">
        <f>IF($L462="","",INDEX('MTRs'!$BF$6:$BF$505,$L462)&amp;"")</f>
        <v/>
      </c>
      <c r="F462" s="129" t="str">
        <f>IF($L462="","",INDEX('MTRs'!$U$6:$U$505,$L462))</f>
        <v/>
      </c>
      <c r="G462" s="120" t="str">
        <f>IF($L462="","",INDEX('MTRs'!$AS$6:$AS$505,$L462)&amp;"")</f>
        <v/>
      </c>
      <c r="H462" s="110" t="str">
        <f>IF($L462="","",INDEX('MTRs'!$AT$6:$AT$505,$L462)&amp;"")</f>
        <v/>
      </c>
      <c r="L462" t="str">
        <f>IFERROR(MATCH(SMALL('MTRs'!$BC$6:$BC$505,15),'MTRs'!$BC$6:$BC$505,0),"")</f>
        <v/>
      </c>
    </row>
    <row r="463">
      <c r="B463" s="119" t="str">
        <f>IF($L463="","",INDEX('MTRs'!$A$6:$A$505,$L463)&amp;"")</f>
        <v/>
      </c>
      <c r="C463" s="120" t="str">
        <f>IF($L463="","",INDEX('MTRs'!$B$6:$B$505,$L463)&amp;"")</f>
        <v/>
      </c>
      <c r="D463" s="120" t="str">
        <f>IF($L463="","",INDEX('MTRs'!$T$6:$T$505,$L463)&amp;"")</f>
        <v/>
      </c>
      <c r="E463" s="120" t="str">
        <f>IF($L463="","",INDEX('MTRs'!$BF$6:$BF$505,$L463)&amp;"")</f>
        <v/>
      </c>
      <c r="F463" s="129" t="str">
        <f>IF($L463="","",INDEX('MTRs'!$U$6:$U$505,$L463))</f>
        <v/>
      </c>
      <c r="G463" s="120" t="str">
        <f>IF($L463="","",INDEX('MTRs'!$AS$6:$AS$505,$L463)&amp;"")</f>
        <v/>
      </c>
      <c r="H463" s="110" t="str">
        <f>IF($L463="","",INDEX('MTRs'!$AT$6:$AT$505,$L463)&amp;"")</f>
        <v/>
      </c>
      <c r="L463" t="str">
        <f>IFERROR(MATCH(SMALL('MTRs'!$BC$6:$BC$505,16),'MTRs'!$BC$6:$BC$505,0),"")</f>
        <v/>
      </c>
    </row>
    <row r="464">
      <c r="B464" s="119" t="str">
        <f>IF($L464="","",INDEX('MTRs'!$A$6:$A$505,$L464)&amp;"")</f>
        <v/>
      </c>
      <c r="C464" s="120" t="str">
        <f>IF($L464="","",INDEX('MTRs'!$B$6:$B$505,$L464)&amp;"")</f>
        <v/>
      </c>
      <c r="D464" s="120" t="str">
        <f>IF($L464="","",INDEX('MTRs'!$T$6:$T$505,$L464)&amp;"")</f>
        <v/>
      </c>
      <c r="E464" s="120" t="str">
        <f>IF($L464="","",INDEX('MTRs'!$BF$6:$BF$505,$L464)&amp;"")</f>
        <v/>
      </c>
      <c r="F464" s="129" t="str">
        <f>IF($L464="","",INDEX('MTRs'!$U$6:$U$505,$L464))</f>
        <v/>
      </c>
      <c r="G464" s="120" t="str">
        <f>IF($L464="","",INDEX('MTRs'!$AS$6:$AS$505,$L464)&amp;"")</f>
        <v/>
      </c>
      <c r="H464" s="110" t="str">
        <f>IF($L464="","",INDEX('MTRs'!$AT$6:$AT$505,$L464)&amp;"")</f>
        <v/>
      </c>
      <c r="L464" t="str">
        <f>IFERROR(MATCH(SMALL('MTRs'!$BC$6:$BC$505,17),'MTRs'!$BC$6:$BC$505,0),"")</f>
        <v/>
      </c>
    </row>
    <row r="465">
      <c r="B465" s="119" t="str">
        <f>IF($L465="","",INDEX('MTRs'!$A$6:$A$505,$L465)&amp;"")</f>
        <v/>
      </c>
      <c r="C465" s="120" t="str">
        <f>IF($L465="","",INDEX('MTRs'!$B$6:$B$505,$L465)&amp;"")</f>
        <v/>
      </c>
      <c r="D465" s="120" t="str">
        <f>IF($L465="","",INDEX('MTRs'!$T$6:$T$505,$L465)&amp;"")</f>
        <v/>
      </c>
      <c r="E465" s="120" t="str">
        <f>IF($L465="","",INDEX('MTRs'!$BF$6:$BF$505,$L465)&amp;"")</f>
        <v/>
      </c>
      <c r="F465" s="129" t="str">
        <f>IF($L465="","",INDEX('MTRs'!$U$6:$U$505,$L465))</f>
        <v/>
      </c>
      <c r="G465" s="120" t="str">
        <f>IF($L465="","",INDEX('MTRs'!$AS$6:$AS$505,$L465)&amp;"")</f>
        <v/>
      </c>
      <c r="H465" s="110" t="str">
        <f>IF($L465="","",INDEX('MTRs'!$AT$6:$AT$505,$L465)&amp;"")</f>
        <v/>
      </c>
      <c r="L465" t="str">
        <f>IFERROR(MATCH(SMALL('MTRs'!$BC$6:$BC$505,18),'MTRs'!$BC$6:$BC$505,0),"")</f>
        <v/>
      </c>
    </row>
    <row r="466">
      <c r="B466" s="119" t="str">
        <f>IF($L466="","",INDEX('MTRs'!$A$6:$A$505,$L466)&amp;"")</f>
        <v/>
      </c>
      <c r="C466" s="120" t="str">
        <f>IF($L466="","",INDEX('MTRs'!$B$6:$B$505,$L466)&amp;"")</f>
        <v/>
      </c>
      <c r="D466" s="120" t="str">
        <f>IF($L466="","",INDEX('MTRs'!$T$6:$T$505,$L466)&amp;"")</f>
        <v/>
      </c>
      <c r="E466" s="120" t="str">
        <f>IF($L466="","",INDEX('MTRs'!$BF$6:$BF$505,$L466)&amp;"")</f>
        <v/>
      </c>
      <c r="F466" s="129" t="str">
        <f>IF($L466="","",INDEX('MTRs'!$U$6:$U$505,$L466))</f>
        <v/>
      </c>
      <c r="G466" s="120" t="str">
        <f>IF($L466="","",INDEX('MTRs'!$AS$6:$AS$505,$L466)&amp;"")</f>
        <v/>
      </c>
      <c r="H466" s="110" t="str">
        <f>IF($L466="","",INDEX('MTRs'!$AT$6:$AT$505,$L466)&amp;"")</f>
        <v/>
      </c>
      <c r="L466" t="str">
        <f>IFERROR(MATCH(SMALL('MTRs'!$BC$6:$BC$505,19),'MTRs'!$BC$6:$BC$505,0),"")</f>
        <v/>
      </c>
    </row>
    <row r="467">
      <c r="B467" s="119" t="str">
        <f>IF($L467="","",INDEX('MTRs'!$A$6:$A$505,$L467)&amp;"")</f>
        <v/>
      </c>
      <c r="C467" s="120" t="str">
        <f>IF($L467="","",INDEX('MTRs'!$B$6:$B$505,$L467)&amp;"")</f>
        <v/>
      </c>
      <c r="D467" s="120" t="str">
        <f>IF($L467="","",INDEX('MTRs'!$T$6:$T$505,$L467)&amp;"")</f>
        <v/>
      </c>
      <c r="E467" s="120" t="str">
        <f>IF($L467="","",INDEX('MTRs'!$BF$6:$BF$505,$L467)&amp;"")</f>
        <v/>
      </c>
      <c r="F467" s="129" t="str">
        <f>IF($L467="","",INDEX('MTRs'!$U$6:$U$505,$L467))</f>
        <v/>
      </c>
      <c r="G467" s="120" t="str">
        <f>IF($L467="","",INDEX('MTRs'!$AS$6:$AS$505,$L467)&amp;"")</f>
        <v/>
      </c>
      <c r="H467" s="110" t="str">
        <f>IF($L467="","",INDEX('MTRs'!$AT$6:$AT$505,$L467)&amp;"")</f>
        <v/>
      </c>
      <c r="L467" t="str">
        <f>IFERROR(MATCH(SMALL('MTRs'!$BC$6:$BC$505,20),'MTRs'!$BC$6:$BC$505,0),"")</f>
        <v/>
      </c>
    </row>
    <row r="468">
      <c r="B468" s="119" t="str">
        <f>IF($L468="","",INDEX('MTRs'!$A$6:$A$505,$L468)&amp;"")</f>
        <v/>
      </c>
      <c r="C468" s="120" t="str">
        <f>IF($L468="","",INDEX('MTRs'!$B$6:$B$505,$L468)&amp;"")</f>
        <v/>
      </c>
      <c r="D468" s="120" t="str">
        <f>IF($L468="","",INDEX('MTRs'!$T$6:$T$505,$L468)&amp;"")</f>
        <v/>
      </c>
      <c r="E468" s="120" t="str">
        <f>IF($L468="","",INDEX('MTRs'!$BF$6:$BF$505,$L468)&amp;"")</f>
        <v/>
      </c>
      <c r="F468" s="129" t="str">
        <f>IF($L468="","",INDEX('MTRs'!$U$6:$U$505,$L468))</f>
        <v/>
      </c>
      <c r="G468" s="120" t="str">
        <f>IF($L468="","",INDEX('MTRs'!$AS$6:$AS$505,$L468)&amp;"")</f>
        <v/>
      </c>
      <c r="H468" s="110" t="str">
        <f>IF($L468="","",INDEX('MTRs'!$AT$6:$AT$505,$L468)&amp;"")</f>
        <v/>
      </c>
      <c r="L468" t="str">
        <f>IFERROR(MATCH(SMALL('MTRs'!$BC$6:$BC$505,21),'MTRs'!$BC$6:$BC$505,0),"")</f>
        <v/>
      </c>
    </row>
    <row r="469">
      <c r="B469" s="119" t="str">
        <f>IF($L469="","",INDEX('MTRs'!$A$6:$A$505,$L469)&amp;"")</f>
        <v/>
      </c>
      <c r="C469" s="120" t="str">
        <f>IF($L469="","",INDEX('MTRs'!$B$6:$B$505,$L469)&amp;"")</f>
        <v/>
      </c>
      <c r="D469" s="120" t="str">
        <f>IF($L469="","",INDEX('MTRs'!$T$6:$T$505,$L469)&amp;"")</f>
        <v/>
      </c>
      <c r="E469" s="120" t="str">
        <f>IF($L469="","",INDEX('MTRs'!$BF$6:$BF$505,$L469)&amp;"")</f>
        <v/>
      </c>
      <c r="F469" s="129" t="str">
        <f>IF($L469="","",INDEX('MTRs'!$U$6:$U$505,$L469))</f>
        <v/>
      </c>
      <c r="G469" s="120" t="str">
        <f>IF($L469="","",INDEX('MTRs'!$AS$6:$AS$505,$L469)&amp;"")</f>
        <v/>
      </c>
      <c r="H469" s="110" t="str">
        <f>IF($L469="","",INDEX('MTRs'!$AT$6:$AT$505,$L469)&amp;"")</f>
        <v/>
      </c>
      <c r="L469" t="str">
        <f>IFERROR(MATCH(SMALL('MTRs'!$BC$6:$BC$505,22),'MTRs'!$BC$6:$BC$505,0),"")</f>
        <v/>
      </c>
    </row>
    <row r="470">
      <c r="B470" s="119" t="str">
        <f>IF($L470="","",INDEX('MTRs'!$A$6:$A$505,$L470)&amp;"")</f>
        <v/>
      </c>
      <c r="C470" s="120" t="str">
        <f>IF($L470="","",INDEX('MTRs'!$B$6:$B$505,$L470)&amp;"")</f>
        <v/>
      </c>
      <c r="D470" s="120" t="str">
        <f>IF($L470="","",INDEX('MTRs'!$T$6:$T$505,$L470)&amp;"")</f>
        <v/>
      </c>
      <c r="E470" s="120" t="str">
        <f>IF($L470="","",INDEX('MTRs'!$BF$6:$BF$505,$L470)&amp;"")</f>
        <v/>
      </c>
      <c r="F470" s="129" t="str">
        <f>IF($L470="","",INDEX('MTRs'!$U$6:$U$505,$L470))</f>
        <v/>
      </c>
      <c r="G470" s="120" t="str">
        <f>IF($L470="","",INDEX('MTRs'!$AS$6:$AS$505,$L470)&amp;"")</f>
        <v/>
      </c>
      <c r="H470" s="110" t="str">
        <f>IF($L470="","",INDEX('MTRs'!$AT$6:$AT$505,$L470)&amp;"")</f>
        <v/>
      </c>
      <c r="L470" t="str">
        <f>IFERROR(MATCH(SMALL('MTRs'!$BC$6:$BC$505,23),'MTRs'!$BC$6:$BC$505,0),"")</f>
        <v/>
      </c>
    </row>
    <row r="471">
      <c r="B471" s="119" t="str">
        <f>IF($L471="","",INDEX('MTRs'!$A$6:$A$505,$L471)&amp;"")</f>
        <v/>
      </c>
      <c r="C471" s="120" t="str">
        <f>IF($L471="","",INDEX('MTRs'!$B$6:$B$505,$L471)&amp;"")</f>
        <v/>
      </c>
      <c r="D471" s="120" t="str">
        <f>IF($L471="","",INDEX('MTRs'!$T$6:$T$505,$L471)&amp;"")</f>
        <v/>
      </c>
      <c r="E471" s="120" t="str">
        <f>IF($L471="","",INDEX('MTRs'!$BF$6:$BF$505,$L471)&amp;"")</f>
        <v/>
      </c>
      <c r="F471" s="129" t="str">
        <f>IF($L471="","",INDEX('MTRs'!$U$6:$U$505,$L471))</f>
        <v/>
      </c>
      <c r="G471" s="120" t="str">
        <f>IF($L471="","",INDEX('MTRs'!$AS$6:$AS$505,$L471)&amp;"")</f>
        <v/>
      </c>
      <c r="H471" s="110" t="str">
        <f>IF($L471="","",INDEX('MTRs'!$AT$6:$AT$505,$L471)&amp;"")</f>
        <v/>
      </c>
      <c r="L471" t="str">
        <f>IFERROR(MATCH(SMALL('MTRs'!$BC$6:$BC$505,24),'MTRs'!$BC$6:$BC$505,0),"")</f>
        <v/>
      </c>
    </row>
    <row r="472">
      <c r="B472" s="119" t="str">
        <f>IF($L472="","",INDEX('MTRs'!$A$6:$A$505,$L472)&amp;"")</f>
        <v/>
      </c>
      <c r="C472" s="120" t="str">
        <f>IF($L472="","",INDEX('MTRs'!$B$6:$B$505,$L472)&amp;"")</f>
        <v/>
      </c>
      <c r="D472" s="120" t="str">
        <f>IF($L472="","",INDEX('MTRs'!$T$6:$T$505,$L472)&amp;"")</f>
        <v/>
      </c>
      <c r="E472" s="120" t="str">
        <f>IF($L472="","",INDEX('MTRs'!$BF$6:$BF$505,$L472)&amp;"")</f>
        <v/>
      </c>
      <c r="F472" s="129" t="str">
        <f>IF($L472="","",INDEX('MTRs'!$U$6:$U$505,$L472))</f>
        <v/>
      </c>
      <c r="G472" s="120" t="str">
        <f>IF($L472="","",INDEX('MTRs'!$AS$6:$AS$505,$L472)&amp;"")</f>
        <v/>
      </c>
      <c r="H472" s="110" t="str">
        <f>IF($L472="","",INDEX('MTRs'!$AT$6:$AT$505,$L472)&amp;"")</f>
        <v/>
      </c>
      <c r="L472" t="str">
        <f>IFERROR(MATCH(SMALL('MTRs'!$BC$6:$BC$505,25),'MTRs'!$BC$6:$BC$505,0),"")</f>
        <v/>
      </c>
    </row>
    <row r="473">
      <c r="B473" s="119" t="str">
        <f>IF($L473="","",INDEX('MTRs'!$A$6:$A$505,$L473)&amp;"")</f>
        <v/>
      </c>
      <c r="C473" s="120" t="str">
        <f>IF($L473="","",INDEX('MTRs'!$B$6:$B$505,$L473)&amp;"")</f>
        <v/>
      </c>
      <c r="D473" s="120" t="str">
        <f>IF($L473="","",INDEX('MTRs'!$T$6:$T$505,$L473)&amp;"")</f>
        <v/>
      </c>
      <c r="E473" s="120" t="str">
        <f>IF($L473="","",INDEX('MTRs'!$BF$6:$BF$505,$L473)&amp;"")</f>
        <v/>
      </c>
      <c r="F473" s="129" t="str">
        <f>IF($L473="","",INDEX('MTRs'!$U$6:$U$505,$L473))</f>
        <v/>
      </c>
      <c r="G473" s="120" t="str">
        <f>IF($L473="","",INDEX('MTRs'!$AS$6:$AS$505,$L473)&amp;"")</f>
        <v/>
      </c>
      <c r="H473" s="110" t="str">
        <f>IF($L473="","",INDEX('MTRs'!$AT$6:$AT$505,$L473)&amp;"")</f>
        <v/>
      </c>
      <c r="L473" t="str">
        <f>IFERROR(MATCH(SMALL('MTRs'!$BC$6:$BC$505,26),'MTRs'!$BC$6:$BC$505,0),"")</f>
        <v/>
      </c>
    </row>
    <row r="474">
      <c r="B474" s="119" t="str">
        <f>IF($L474="","",INDEX('MTRs'!$A$6:$A$505,$L474)&amp;"")</f>
        <v/>
      </c>
      <c r="C474" s="120" t="str">
        <f>IF($L474="","",INDEX('MTRs'!$B$6:$B$505,$L474)&amp;"")</f>
        <v/>
      </c>
      <c r="D474" s="120" t="str">
        <f>IF($L474="","",INDEX('MTRs'!$T$6:$T$505,$L474)&amp;"")</f>
        <v/>
      </c>
      <c r="E474" s="120" t="str">
        <f>IF($L474="","",INDEX('MTRs'!$BF$6:$BF$505,$L474)&amp;"")</f>
        <v/>
      </c>
      <c r="F474" s="129" t="str">
        <f>IF($L474="","",INDEX('MTRs'!$U$6:$U$505,$L474))</f>
        <v/>
      </c>
      <c r="G474" s="120" t="str">
        <f>IF($L474="","",INDEX('MTRs'!$AS$6:$AS$505,$L474)&amp;"")</f>
        <v/>
      </c>
      <c r="H474" s="110" t="str">
        <f>IF($L474="","",INDEX('MTRs'!$AT$6:$AT$505,$L474)&amp;"")</f>
        <v/>
      </c>
      <c r="L474" t="str">
        <f>IFERROR(MATCH(SMALL('MTRs'!$BC$6:$BC$505,27),'MTRs'!$BC$6:$BC$505,0),"")</f>
        <v/>
      </c>
    </row>
    <row r="475">
      <c r="B475" s="119" t="str">
        <f>IF($L475="","",INDEX('MTRs'!$A$6:$A$505,$L475)&amp;"")</f>
        <v/>
      </c>
      <c r="C475" s="120" t="str">
        <f>IF($L475="","",INDEX('MTRs'!$B$6:$B$505,$L475)&amp;"")</f>
        <v/>
      </c>
      <c r="D475" s="120" t="str">
        <f>IF($L475="","",INDEX('MTRs'!$T$6:$T$505,$L475)&amp;"")</f>
        <v/>
      </c>
      <c r="E475" s="120" t="str">
        <f>IF($L475="","",INDEX('MTRs'!$BF$6:$BF$505,$L475)&amp;"")</f>
        <v/>
      </c>
      <c r="F475" s="129" t="str">
        <f>IF($L475="","",INDEX('MTRs'!$U$6:$U$505,$L475))</f>
        <v/>
      </c>
      <c r="G475" s="120" t="str">
        <f>IF($L475="","",INDEX('MTRs'!$AS$6:$AS$505,$L475)&amp;"")</f>
        <v/>
      </c>
      <c r="H475" s="110" t="str">
        <f>IF($L475="","",INDEX('MTRs'!$AT$6:$AT$505,$L475)&amp;"")</f>
        <v/>
      </c>
      <c r="L475" t="str">
        <f>IFERROR(MATCH(SMALL('MTRs'!$BC$6:$BC$505,28),'MTRs'!$BC$6:$BC$505,0),"")</f>
        <v/>
      </c>
    </row>
    <row r="476">
      <c r="B476" s="119" t="str">
        <f>IF($L476="","",INDEX('MTRs'!$A$6:$A$505,$L476)&amp;"")</f>
        <v/>
      </c>
      <c r="C476" s="120" t="str">
        <f>IF($L476="","",INDEX('MTRs'!$B$6:$B$505,$L476)&amp;"")</f>
        <v/>
      </c>
      <c r="D476" s="120" t="str">
        <f>IF($L476="","",INDEX('MTRs'!$T$6:$T$505,$L476)&amp;"")</f>
        <v/>
      </c>
      <c r="E476" s="120" t="str">
        <f>IF($L476="","",INDEX('MTRs'!$BF$6:$BF$505,$L476)&amp;"")</f>
        <v/>
      </c>
      <c r="F476" s="129" t="str">
        <f>IF($L476="","",INDEX('MTRs'!$U$6:$U$505,$L476))</f>
        <v/>
      </c>
      <c r="G476" s="120" t="str">
        <f>IF($L476="","",INDEX('MTRs'!$AS$6:$AS$505,$L476)&amp;"")</f>
        <v/>
      </c>
      <c r="H476" s="110" t="str">
        <f>IF($L476="","",INDEX('MTRs'!$AT$6:$AT$505,$L476)&amp;"")</f>
        <v/>
      </c>
      <c r="L476" t="str">
        <f>IFERROR(MATCH(SMALL('MTRs'!$BC$6:$BC$505,29),'MTRs'!$BC$6:$BC$505,0),"")</f>
        <v/>
      </c>
    </row>
    <row r="477">
      <c r="B477" s="119" t="str">
        <f>IF($L477="","",INDEX('MTRs'!$A$6:$A$505,$L477)&amp;"")</f>
        <v/>
      </c>
      <c r="C477" s="120" t="str">
        <f>IF($L477="","",INDEX('MTRs'!$B$6:$B$505,$L477)&amp;"")</f>
        <v/>
      </c>
      <c r="D477" s="120" t="str">
        <f>IF($L477="","",INDEX('MTRs'!$T$6:$T$505,$L477)&amp;"")</f>
        <v/>
      </c>
      <c r="E477" s="120" t="str">
        <f>IF($L477="","",INDEX('MTRs'!$BF$6:$BF$505,$L477)&amp;"")</f>
        <v/>
      </c>
      <c r="F477" s="129" t="str">
        <f>IF($L477="","",INDEX('MTRs'!$U$6:$U$505,$L477))</f>
        <v/>
      </c>
      <c r="G477" s="120" t="str">
        <f>IF($L477="","",INDEX('MTRs'!$AS$6:$AS$505,$L477)&amp;"")</f>
        <v/>
      </c>
      <c r="H477" s="110" t="str">
        <f>IF($L477="","",INDEX('MTRs'!$AT$6:$AT$505,$L477)&amp;"")</f>
        <v/>
      </c>
      <c r="L477" t="str">
        <f>IFERROR(MATCH(SMALL('MTRs'!$BC$6:$BC$505,30),'MTRs'!$BC$6:$BC$505,0),"")</f>
        <v/>
      </c>
    </row>
    <row r="478">
      <c r="B478" s="119" t="str">
        <f>IF($L478="","",INDEX('MTRs'!$A$6:$A$505,$L478)&amp;"")</f>
        <v/>
      </c>
      <c r="C478" s="120" t="str">
        <f>IF($L478="","",INDEX('MTRs'!$B$6:$B$505,$L478)&amp;"")</f>
        <v/>
      </c>
      <c r="D478" s="120" t="str">
        <f>IF($L478="","",INDEX('MTRs'!$T$6:$T$505,$L478)&amp;"")</f>
        <v/>
      </c>
      <c r="E478" s="120" t="str">
        <f>IF($L478="","",INDEX('MTRs'!$BF$6:$BF$505,$L478)&amp;"")</f>
        <v/>
      </c>
      <c r="F478" s="129" t="str">
        <f>IF($L478="","",INDEX('MTRs'!$U$6:$U$505,$L478))</f>
        <v/>
      </c>
      <c r="G478" s="120" t="str">
        <f>IF($L478="","",INDEX('MTRs'!$AS$6:$AS$505,$L478)&amp;"")</f>
        <v/>
      </c>
      <c r="H478" s="110" t="str">
        <f>IF($L478="","",INDEX('MTRs'!$AT$6:$AT$505,$L478)&amp;"")</f>
        <v/>
      </c>
      <c r="L478" t="str">
        <f>IFERROR(MATCH(SMALL('MTRs'!$BC$6:$BC$505,31),'MTRs'!$BC$6:$BC$505,0),"")</f>
        <v/>
      </c>
    </row>
    <row r="479">
      <c r="B479" s="119" t="str">
        <f>IF($L479="","",INDEX('MTRs'!$A$6:$A$505,$L479)&amp;"")</f>
        <v/>
      </c>
      <c r="C479" s="120" t="str">
        <f>IF($L479="","",INDEX('MTRs'!$B$6:$B$505,$L479)&amp;"")</f>
        <v/>
      </c>
      <c r="D479" s="120" t="str">
        <f>IF($L479="","",INDEX('MTRs'!$T$6:$T$505,$L479)&amp;"")</f>
        <v/>
      </c>
      <c r="E479" s="120" t="str">
        <f>IF($L479="","",INDEX('MTRs'!$BF$6:$BF$505,$L479)&amp;"")</f>
        <v/>
      </c>
      <c r="F479" s="129" t="str">
        <f>IF($L479="","",INDEX('MTRs'!$U$6:$U$505,$L479))</f>
        <v/>
      </c>
      <c r="G479" s="120" t="str">
        <f>IF($L479="","",INDEX('MTRs'!$AS$6:$AS$505,$L479)&amp;"")</f>
        <v/>
      </c>
      <c r="H479" s="110" t="str">
        <f>IF($L479="","",INDEX('MTRs'!$AT$6:$AT$505,$L479)&amp;"")</f>
        <v/>
      </c>
      <c r="L479" t="str">
        <f>IFERROR(MATCH(SMALL('MTRs'!$BC$6:$BC$505,32),'MTRs'!$BC$6:$BC$505,0),"")</f>
        <v/>
      </c>
    </row>
    <row r="480">
      <c r="B480" s="119" t="str">
        <f>IF($L480="","",INDEX('MTRs'!$A$6:$A$505,$L480)&amp;"")</f>
        <v/>
      </c>
      <c r="C480" s="120" t="str">
        <f>IF($L480="","",INDEX('MTRs'!$B$6:$B$505,$L480)&amp;"")</f>
        <v/>
      </c>
      <c r="D480" s="120" t="str">
        <f>IF($L480="","",INDEX('MTRs'!$T$6:$T$505,$L480)&amp;"")</f>
        <v/>
      </c>
      <c r="E480" s="120" t="str">
        <f>IF($L480="","",INDEX('MTRs'!$BF$6:$BF$505,$L480)&amp;"")</f>
        <v/>
      </c>
      <c r="F480" s="129" t="str">
        <f>IF($L480="","",INDEX('MTRs'!$U$6:$U$505,$L480))</f>
        <v/>
      </c>
      <c r="G480" s="120" t="str">
        <f>IF($L480="","",INDEX('MTRs'!$AS$6:$AS$505,$L480)&amp;"")</f>
        <v/>
      </c>
      <c r="H480" s="110" t="str">
        <f>IF($L480="","",INDEX('MTRs'!$AT$6:$AT$505,$L480)&amp;"")</f>
        <v/>
      </c>
      <c r="L480" t="str">
        <f>IFERROR(MATCH(SMALL('MTRs'!$BC$6:$BC$505,33),'MTRs'!$BC$6:$BC$505,0),"")</f>
        <v/>
      </c>
    </row>
    <row r="481">
      <c r="B481" s="119" t="str">
        <f>IF($L481="","",INDEX('MTRs'!$A$6:$A$505,$L481)&amp;"")</f>
        <v/>
      </c>
      <c r="C481" s="120" t="str">
        <f>IF($L481="","",INDEX('MTRs'!$B$6:$B$505,$L481)&amp;"")</f>
        <v/>
      </c>
      <c r="D481" s="120" t="str">
        <f>IF($L481="","",INDEX('MTRs'!$T$6:$T$505,$L481)&amp;"")</f>
        <v/>
      </c>
      <c r="E481" s="120" t="str">
        <f>IF($L481="","",INDEX('MTRs'!$BF$6:$BF$505,$L481)&amp;"")</f>
        <v/>
      </c>
      <c r="F481" s="129" t="str">
        <f>IF($L481="","",INDEX('MTRs'!$U$6:$U$505,$L481))</f>
        <v/>
      </c>
      <c r="G481" s="120" t="str">
        <f>IF($L481="","",INDEX('MTRs'!$AS$6:$AS$505,$L481)&amp;"")</f>
        <v/>
      </c>
      <c r="H481" s="110" t="str">
        <f>IF($L481="","",INDEX('MTRs'!$AT$6:$AT$505,$L481)&amp;"")</f>
        <v/>
      </c>
      <c r="L481" t="str">
        <f>IFERROR(MATCH(SMALL('MTRs'!$BC$6:$BC$505,34),'MTRs'!$BC$6:$BC$505,0),"")</f>
        <v/>
      </c>
    </row>
    <row r="482">
      <c r="B482" s="119" t="str">
        <f>IF($L482="","",INDEX('MTRs'!$A$6:$A$505,$L482)&amp;"")</f>
        <v/>
      </c>
      <c r="C482" s="120" t="str">
        <f>IF($L482="","",INDEX('MTRs'!$B$6:$B$505,$L482)&amp;"")</f>
        <v/>
      </c>
      <c r="D482" s="120" t="str">
        <f>IF($L482="","",INDEX('MTRs'!$T$6:$T$505,$L482)&amp;"")</f>
        <v/>
      </c>
      <c r="E482" s="120" t="str">
        <f>IF($L482="","",INDEX('MTRs'!$BF$6:$BF$505,$L482)&amp;"")</f>
        <v/>
      </c>
      <c r="F482" s="129" t="str">
        <f>IF($L482="","",INDEX('MTRs'!$U$6:$U$505,$L482))</f>
        <v/>
      </c>
      <c r="G482" s="120" t="str">
        <f>IF($L482="","",INDEX('MTRs'!$AS$6:$AS$505,$L482)&amp;"")</f>
        <v/>
      </c>
      <c r="H482" s="110" t="str">
        <f>IF($L482="","",INDEX('MTRs'!$AT$6:$AT$505,$L482)&amp;"")</f>
        <v/>
      </c>
      <c r="L482" t="str">
        <f>IFERROR(MATCH(SMALL('MTRs'!$BC$6:$BC$505,35),'MTRs'!$BC$6:$BC$505,0),"")</f>
        <v/>
      </c>
    </row>
    <row r="483">
      <c r="B483" s="119" t="str">
        <f>IF($L483="","",INDEX('MTRs'!$A$6:$A$505,$L483)&amp;"")</f>
        <v/>
      </c>
      <c r="C483" s="120" t="str">
        <f>IF($L483="","",INDEX('MTRs'!$B$6:$B$505,$L483)&amp;"")</f>
        <v/>
      </c>
      <c r="D483" s="120" t="str">
        <f>IF($L483="","",INDEX('MTRs'!$T$6:$T$505,$L483)&amp;"")</f>
        <v/>
      </c>
      <c r="E483" s="120" t="str">
        <f>IF($L483="","",INDEX('MTRs'!$BF$6:$BF$505,$L483)&amp;"")</f>
        <v/>
      </c>
      <c r="F483" s="129" t="str">
        <f>IF($L483="","",INDEX('MTRs'!$U$6:$U$505,$L483))</f>
        <v/>
      </c>
      <c r="G483" s="120" t="str">
        <f>IF($L483="","",INDEX('MTRs'!$AS$6:$AS$505,$L483)&amp;"")</f>
        <v/>
      </c>
      <c r="H483" s="110" t="str">
        <f>IF($L483="","",INDEX('MTRs'!$AT$6:$AT$505,$L483)&amp;"")</f>
        <v/>
      </c>
      <c r="L483" t="str">
        <f>IFERROR(MATCH(SMALL('MTRs'!$BC$6:$BC$505,36),'MTRs'!$BC$6:$BC$505,0),"")</f>
        <v/>
      </c>
    </row>
    <row r="484">
      <c r="B484" s="119" t="str">
        <f>IF($L484="","",INDEX('MTRs'!$A$6:$A$505,$L484)&amp;"")</f>
        <v/>
      </c>
      <c r="C484" s="120" t="str">
        <f>IF($L484="","",INDEX('MTRs'!$B$6:$B$505,$L484)&amp;"")</f>
        <v/>
      </c>
      <c r="D484" s="120" t="str">
        <f>IF($L484="","",INDEX('MTRs'!$T$6:$T$505,$L484)&amp;"")</f>
        <v/>
      </c>
      <c r="E484" s="120" t="str">
        <f>IF($L484="","",INDEX('MTRs'!$BF$6:$BF$505,$L484)&amp;"")</f>
        <v/>
      </c>
      <c r="F484" s="129" t="str">
        <f>IF($L484="","",INDEX('MTRs'!$U$6:$U$505,$L484))</f>
        <v/>
      </c>
      <c r="G484" s="120" t="str">
        <f>IF($L484="","",INDEX('MTRs'!$AS$6:$AS$505,$L484)&amp;"")</f>
        <v/>
      </c>
      <c r="H484" s="110" t="str">
        <f>IF($L484="","",INDEX('MTRs'!$AT$6:$AT$505,$L484)&amp;"")</f>
        <v/>
      </c>
      <c r="L484" t="str">
        <f>IFERROR(MATCH(SMALL('MTRs'!$BC$6:$BC$505,37),'MTRs'!$BC$6:$BC$505,0),"")</f>
        <v/>
      </c>
    </row>
    <row r="485">
      <c r="B485" s="119" t="str">
        <f>IF($L485="","",INDEX('MTRs'!$A$6:$A$505,$L485)&amp;"")</f>
        <v/>
      </c>
      <c r="C485" s="120" t="str">
        <f>IF($L485="","",INDEX('MTRs'!$B$6:$B$505,$L485)&amp;"")</f>
        <v/>
      </c>
      <c r="D485" s="120" t="str">
        <f>IF($L485="","",INDEX('MTRs'!$T$6:$T$505,$L485)&amp;"")</f>
        <v/>
      </c>
      <c r="E485" s="120" t="str">
        <f>IF($L485="","",INDEX('MTRs'!$BF$6:$BF$505,$L485)&amp;"")</f>
        <v/>
      </c>
      <c r="F485" s="129" t="str">
        <f>IF($L485="","",INDEX('MTRs'!$U$6:$U$505,$L485))</f>
        <v/>
      </c>
      <c r="G485" s="120" t="str">
        <f>IF($L485="","",INDEX('MTRs'!$AS$6:$AS$505,$L485)&amp;"")</f>
        <v/>
      </c>
      <c r="H485" s="110" t="str">
        <f>IF($L485="","",INDEX('MTRs'!$AT$6:$AT$505,$L485)&amp;"")</f>
        <v/>
      </c>
      <c r="L485" t="str">
        <f>IFERROR(MATCH(SMALL('MTRs'!$BC$6:$BC$505,38),'MTRs'!$BC$6:$BC$505,0),"")</f>
        <v/>
      </c>
    </row>
    <row r="486">
      <c r="B486" s="119" t="str">
        <f>IF($L486="","",INDEX('MTRs'!$A$6:$A$505,$L486)&amp;"")</f>
        <v/>
      </c>
      <c r="C486" s="120" t="str">
        <f>IF($L486="","",INDEX('MTRs'!$B$6:$B$505,$L486)&amp;"")</f>
        <v/>
      </c>
      <c r="D486" s="120" t="str">
        <f>IF($L486="","",INDEX('MTRs'!$T$6:$T$505,$L486)&amp;"")</f>
        <v/>
      </c>
      <c r="E486" s="120" t="str">
        <f>IF($L486="","",INDEX('MTRs'!$BF$6:$BF$505,$L486)&amp;"")</f>
        <v/>
      </c>
      <c r="F486" s="129" t="str">
        <f>IF($L486="","",INDEX('MTRs'!$U$6:$U$505,$L486))</f>
        <v/>
      </c>
      <c r="G486" s="120" t="str">
        <f>IF($L486="","",INDEX('MTRs'!$AS$6:$AS$505,$L486)&amp;"")</f>
        <v/>
      </c>
      <c r="H486" s="110" t="str">
        <f>IF($L486="","",INDEX('MTRs'!$AT$6:$AT$505,$L486)&amp;"")</f>
        <v/>
      </c>
      <c r="L486" t="str">
        <f>IFERROR(MATCH(SMALL('MTRs'!$BC$6:$BC$505,39),'MTRs'!$BC$6:$BC$505,0),"")</f>
        <v/>
      </c>
    </row>
    <row r="487">
      <c r="B487" s="119" t="str">
        <f>IF($L487="","",INDEX('MTRs'!$A$6:$A$505,$L487)&amp;"")</f>
        <v/>
      </c>
      <c r="C487" s="120" t="str">
        <f>IF($L487="","",INDEX('MTRs'!$B$6:$B$505,$L487)&amp;"")</f>
        <v/>
      </c>
      <c r="D487" s="120" t="str">
        <f>IF($L487="","",INDEX('MTRs'!$T$6:$T$505,$L487)&amp;"")</f>
        <v/>
      </c>
      <c r="E487" s="120" t="str">
        <f>IF($L487="","",INDEX('MTRs'!$BF$6:$BF$505,$L487)&amp;"")</f>
        <v/>
      </c>
      <c r="F487" s="129" t="str">
        <f>IF($L487="","",INDEX('MTRs'!$U$6:$U$505,$L487))</f>
        <v/>
      </c>
      <c r="G487" s="120" t="str">
        <f>IF($L487="","",INDEX('MTRs'!$AS$6:$AS$505,$L487)&amp;"")</f>
        <v/>
      </c>
      <c r="H487" s="110" t="str">
        <f>IF($L487="","",INDEX('MTRs'!$AT$6:$AT$505,$L487)&amp;"")</f>
        <v/>
      </c>
      <c r="L487" t="str">
        <f>IFERROR(MATCH(SMALL('MTRs'!$BC$6:$BC$505,40),'MTRs'!$BC$6:$BC$505,0),"")</f>
        <v/>
      </c>
    </row>
    <row r="488">
      <c r="B488" s="119" t="str">
        <f>IF($L488="","",INDEX('MTRs'!$A$6:$A$505,$L488)&amp;"")</f>
        <v/>
      </c>
      <c r="C488" s="120" t="str">
        <f>IF($L488="","",INDEX('MTRs'!$B$6:$B$505,$L488)&amp;"")</f>
        <v/>
      </c>
      <c r="D488" s="120" t="str">
        <f>IF($L488="","",INDEX('MTRs'!$T$6:$T$505,$L488)&amp;"")</f>
        <v/>
      </c>
      <c r="E488" s="120" t="str">
        <f>IF($L488="","",INDEX('MTRs'!$BF$6:$BF$505,$L488)&amp;"")</f>
        <v/>
      </c>
      <c r="F488" s="129" t="str">
        <f>IF($L488="","",INDEX('MTRs'!$U$6:$U$505,$L488))</f>
        <v/>
      </c>
      <c r="G488" s="120" t="str">
        <f>IF($L488="","",INDEX('MTRs'!$AS$6:$AS$505,$L488)&amp;"")</f>
        <v/>
      </c>
      <c r="H488" s="110" t="str">
        <f>IF($L488="","",INDEX('MTRs'!$AT$6:$AT$505,$L488)&amp;"")</f>
        <v/>
      </c>
      <c r="L488" t="str">
        <f>IFERROR(MATCH(SMALL('MTRs'!$BC$6:$BC$505,41),'MTRs'!$BC$6:$BC$505,0),"")</f>
        <v/>
      </c>
    </row>
    <row r="489">
      <c r="B489" s="119" t="str">
        <f>IF($L489="","",INDEX('MTRs'!$A$6:$A$505,$L489)&amp;"")</f>
        <v/>
      </c>
      <c r="C489" s="120" t="str">
        <f>IF($L489="","",INDEX('MTRs'!$B$6:$B$505,$L489)&amp;"")</f>
        <v/>
      </c>
      <c r="D489" s="120" t="str">
        <f>IF($L489="","",INDEX('MTRs'!$T$6:$T$505,$L489)&amp;"")</f>
        <v/>
      </c>
      <c r="E489" s="120" t="str">
        <f>IF($L489="","",INDEX('MTRs'!$BF$6:$BF$505,$L489)&amp;"")</f>
        <v/>
      </c>
      <c r="F489" s="129" t="str">
        <f>IF($L489="","",INDEX('MTRs'!$U$6:$U$505,$L489))</f>
        <v/>
      </c>
      <c r="G489" s="120" t="str">
        <f>IF($L489="","",INDEX('MTRs'!$AS$6:$AS$505,$L489)&amp;"")</f>
        <v/>
      </c>
      <c r="H489" s="110" t="str">
        <f>IF($L489="","",INDEX('MTRs'!$AT$6:$AT$505,$L489)&amp;"")</f>
        <v/>
      </c>
      <c r="L489" t="str">
        <f>IFERROR(MATCH(SMALL('MTRs'!$BC$6:$BC$505,42),'MTRs'!$BC$6:$BC$505,0),"")</f>
        <v/>
      </c>
    </row>
    <row r="490">
      <c r="B490" s="119" t="str">
        <f>IF($L490="","",INDEX('MTRs'!$A$6:$A$505,$L490)&amp;"")</f>
        <v/>
      </c>
      <c r="C490" s="120" t="str">
        <f>IF($L490="","",INDEX('MTRs'!$B$6:$B$505,$L490)&amp;"")</f>
        <v/>
      </c>
      <c r="D490" s="120" t="str">
        <f>IF($L490="","",INDEX('MTRs'!$T$6:$T$505,$L490)&amp;"")</f>
        <v/>
      </c>
      <c r="E490" s="120" t="str">
        <f>IF($L490="","",INDEX('MTRs'!$BF$6:$BF$505,$L490)&amp;"")</f>
        <v/>
      </c>
      <c r="F490" s="129" t="str">
        <f>IF($L490="","",INDEX('MTRs'!$U$6:$U$505,$L490))</f>
        <v/>
      </c>
      <c r="G490" s="120" t="str">
        <f>IF($L490="","",INDEX('MTRs'!$AS$6:$AS$505,$L490)&amp;"")</f>
        <v/>
      </c>
      <c r="H490" s="110" t="str">
        <f>IF($L490="","",INDEX('MTRs'!$AT$6:$AT$505,$L490)&amp;"")</f>
        <v/>
      </c>
      <c r="L490" t="str">
        <f>IFERROR(MATCH(SMALL('MTRs'!$BC$6:$BC$505,43),'MTRs'!$BC$6:$BC$505,0),"")</f>
        <v/>
      </c>
    </row>
    <row r="491">
      <c r="B491" s="119" t="str">
        <f>IF($L491="","",INDEX('MTRs'!$A$6:$A$505,$L491)&amp;"")</f>
        <v/>
      </c>
      <c r="C491" s="120" t="str">
        <f>IF($L491="","",INDEX('MTRs'!$B$6:$B$505,$L491)&amp;"")</f>
        <v/>
      </c>
      <c r="D491" s="120" t="str">
        <f>IF($L491="","",INDEX('MTRs'!$T$6:$T$505,$L491)&amp;"")</f>
        <v/>
      </c>
      <c r="E491" s="120" t="str">
        <f>IF($L491="","",INDEX('MTRs'!$BF$6:$BF$505,$L491)&amp;"")</f>
        <v/>
      </c>
      <c r="F491" s="129" t="str">
        <f>IF($L491="","",INDEX('MTRs'!$U$6:$U$505,$L491))</f>
        <v/>
      </c>
      <c r="G491" s="120" t="str">
        <f>IF($L491="","",INDEX('MTRs'!$AS$6:$AS$505,$L491)&amp;"")</f>
        <v/>
      </c>
      <c r="H491" s="110" t="str">
        <f>IF($L491="","",INDEX('MTRs'!$AT$6:$AT$505,$L491)&amp;"")</f>
        <v/>
      </c>
      <c r="L491" t="str">
        <f>IFERROR(MATCH(SMALL('MTRs'!$BC$6:$BC$505,44),'MTRs'!$BC$6:$BC$505,0),"")</f>
        <v/>
      </c>
    </row>
    <row r="492">
      <c r="B492" s="119" t="str">
        <f>IF($L492="","",INDEX('MTRs'!$A$6:$A$505,$L492)&amp;"")</f>
        <v/>
      </c>
      <c r="C492" s="120" t="str">
        <f>IF($L492="","",INDEX('MTRs'!$B$6:$B$505,$L492)&amp;"")</f>
        <v/>
      </c>
      <c r="D492" s="120" t="str">
        <f>IF($L492="","",INDEX('MTRs'!$T$6:$T$505,$L492)&amp;"")</f>
        <v/>
      </c>
      <c r="E492" s="120" t="str">
        <f>IF($L492="","",INDEX('MTRs'!$BF$6:$BF$505,$L492)&amp;"")</f>
        <v/>
      </c>
      <c r="F492" s="129" t="str">
        <f>IF($L492="","",INDEX('MTRs'!$U$6:$U$505,$L492))</f>
        <v/>
      </c>
      <c r="G492" s="120" t="str">
        <f>IF($L492="","",INDEX('MTRs'!$AS$6:$AS$505,$L492)&amp;"")</f>
        <v/>
      </c>
      <c r="H492" s="110" t="str">
        <f>IF($L492="","",INDEX('MTRs'!$AT$6:$AT$505,$L492)&amp;"")</f>
        <v/>
      </c>
      <c r="L492" t="str">
        <f>IFERROR(MATCH(SMALL('MTRs'!$BC$6:$BC$505,45),'MTRs'!$BC$6:$BC$505,0),"")</f>
        <v/>
      </c>
    </row>
    <row r="493">
      <c r="B493" s="119" t="str">
        <f>IF($L493="","",INDEX('MTRs'!$A$6:$A$505,$L493)&amp;"")</f>
        <v/>
      </c>
      <c r="C493" s="120" t="str">
        <f>IF($L493="","",INDEX('MTRs'!$B$6:$B$505,$L493)&amp;"")</f>
        <v/>
      </c>
      <c r="D493" s="120" t="str">
        <f>IF($L493="","",INDEX('MTRs'!$T$6:$T$505,$L493)&amp;"")</f>
        <v/>
      </c>
      <c r="E493" s="120" t="str">
        <f>IF($L493="","",INDEX('MTRs'!$BF$6:$BF$505,$L493)&amp;"")</f>
        <v/>
      </c>
      <c r="F493" s="129" t="str">
        <f>IF($L493="","",INDEX('MTRs'!$U$6:$U$505,$L493))</f>
        <v/>
      </c>
      <c r="G493" s="120" t="str">
        <f>IF($L493="","",INDEX('MTRs'!$AS$6:$AS$505,$L493)&amp;"")</f>
        <v/>
      </c>
      <c r="H493" s="110" t="str">
        <f>IF($L493="","",INDEX('MTRs'!$AT$6:$AT$505,$L493)&amp;"")</f>
        <v/>
      </c>
      <c r="L493" t="str">
        <f>IFERROR(MATCH(SMALL('MTRs'!$BC$6:$BC$505,46),'MTRs'!$BC$6:$BC$505,0),"")</f>
        <v/>
      </c>
    </row>
    <row r="494">
      <c r="B494" s="119" t="str">
        <f>IF($L494="","",INDEX('MTRs'!$A$6:$A$505,$L494)&amp;"")</f>
        <v/>
      </c>
      <c r="C494" s="120" t="str">
        <f>IF($L494="","",INDEX('MTRs'!$B$6:$B$505,$L494)&amp;"")</f>
        <v/>
      </c>
      <c r="D494" s="120" t="str">
        <f>IF($L494="","",INDEX('MTRs'!$T$6:$T$505,$L494)&amp;"")</f>
        <v/>
      </c>
      <c r="E494" s="120" t="str">
        <f>IF($L494="","",INDEX('MTRs'!$BF$6:$BF$505,$L494)&amp;"")</f>
        <v/>
      </c>
      <c r="F494" s="129" t="str">
        <f>IF($L494="","",INDEX('MTRs'!$U$6:$U$505,$L494))</f>
        <v/>
      </c>
      <c r="G494" s="120" t="str">
        <f>IF($L494="","",INDEX('MTRs'!$AS$6:$AS$505,$L494)&amp;"")</f>
        <v/>
      </c>
      <c r="H494" s="110" t="str">
        <f>IF($L494="","",INDEX('MTRs'!$AT$6:$AT$505,$L494)&amp;"")</f>
        <v/>
      </c>
      <c r="L494" t="str">
        <f>IFERROR(MATCH(SMALL('MTRs'!$BC$6:$BC$505,47),'MTRs'!$BC$6:$BC$505,0),"")</f>
        <v/>
      </c>
    </row>
    <row r="495">
      <c r="B495" s="119" t="str">
        <f>IF($L495="","",INDEX('MTRs'!$A$6:$A$505,$L495)&amp;"")</f>
        <v/>
      </c>
      <c r="C495" s="120" t="str">
        <f>IF($L495="","",INDEX('MTRs'!$B$6:$B$505,$L495)&amp;"")</f>
        <v/>
      </c>
      <c r="D495" s="120" t="str">
        <f>IF($L495="","",INDEX('MTRs'!$T$6:$T$505,$L495)&amp;"")</f>
        <v/>
      </c>
      <c r="E495" s="120" t="str">
        <f>IF($L495="","",INDEX('MTRs'!$BF$6:$BF$505,$L495)&amp;"")</f>
        <v/>
      </c>
      <c r="F495" s="129" t="str">
        <f>IF($L495="","",INDEX('MTRs'!$U$6:$U$505,$L495))</f>
        <v/>
      </c>
      <c r="G495" s="120" t="str">
        <f>IF($L495="","",INDEX('MTRs'!$AS$6:$AS$505,$L495)&amp;"")</f>
        <v/>
      </c>
      <c r="H495" s="110" t="str">
        <f>IF($L495="","",INDEX('MTRs'!$AT$6:$AT$505,$L495)&amp;"")</f>
        <v/>
      </c>
      <c r="L495" t="str">
        <f>IFERROR(MATCH(SMALL('MTRs'!$BC$6:$BC$505,48),'MTRs'!$BC$6:$BC$505,0),"")</f>
        <v/>
      </c>
    </row>
    <row r="496">
      <c r="B496" s="119" t="str">
        <f>IF($L496="","",INDEX('MTRs'!$A$6:$A$505,$L496)&amp;"")</f>
        <v/>
      </c>
      <c r="C496" s="120" t="str">
        <f>IF($L496="","",INDEX('MTRs'!$B$6:$B$505,$L496)&amp;"")</f>
        <v/>
      </c>
      <c r="D496" s="120" t="str">
        <f>IF($L496="","",INDEX('MTRs'!$T$6:$T$505,$L496)&amp;"")</f>
        <v/>
      </c>
      <c r="E496" s="120" t="str">
        <f>IF($L496="","",INDEX('MTRs'!$BF$6:$BF$505,$L496)&amp;"")</f>
        <v/>
      </c>
      <c r="F496" s="129" t="str">
        <f>IF($L496="","",INDEX('MTRs'!$U$6:$U$505,$L496))</f>
        <v/>
      </c>
      <c r="G496" s="120" t="str">
        <f>IF($L496="","",INDEX('MTRs'!$AS$6:$AS$505,$L496)&amp;"")</f>
        <v/>
      </c>
      <c r="H496" s="110" t="str">
        <f>IF($L496="","",INDEX('MTRs'!$AT$6:$AT$505,$L496)&amp;"")</f>
        <v/>
      </c>
      <c r="L496" t="str">
        <f>IFERROR(MATCH(SMALL('MTRs'!$BC$6:$BC$505,49),'MTRs'!$BC$6:$BC$505,0),"")</f>
        <v/>
      </c>
    </row>
    <row r="497">
      <c r="B497" s="119" t="str">
        <f>IF($L497="","",INDEX('MTRs'!$A$6:$A$505,$L497)&amp;"")</f>
        <v/>
      </c>
      <c r="C497" s="120" t="str">
        <f>IF($L497="","",INDEX('MTRs'!$B$6:$B$505,$L497)&amp;"")</f>
        <v/>
      </c>
      <c r="D497" s="120" t="str">
        <f>IF($L497="","",INDEX('MTRs'!$T$6:$T$505,$L497)&amp;"")</f>
        <v/>
      </c>
      <c r="E497" s="120" t="str">
        <f>IF($L497="","",INDEX('MTRs'!$BF$6:$BF$505,$L497)&amp;"")</f>
        <v/>
      </c>
      <c r="F497" s="129" t="str">
        <f>IF($L497="","",INDEX('MTRs'!$U$6:$U$505,$L497))</f>
        <v/>
      </c>
      <c r="G497" s="120" t="str">
        <f>IF($L497="","",INDEX('MTRs'!$AS$6:$AS$505,$L497)&amp;"")</f>
        <v/>
      </c>
      <c r="H497" s="110" t="str">
        <f>IF($L497="","",INDEX('MTRs'!$AT$6:$AT$505,$L497)&amp;"")</f>
        <v/>
      </c>
      <c r="L497" t="str">
        <f>IFERROR(MATCH(SMALL('MTRs'!$BC$6:$BC$505,50),'MTRs'!$BC$6:$BC$505,0),"")</f>
        <v/>
      </c>
    </row>
    <row r="498">
      <c r="B498" s="119" t="str">
        <f>IF($L498="","",INDEX('MTRs'!$A$6:$A$505,$L498)&amp;"")</f>
        <v/>
      </c>
      <c r="C498" s="120" t="str">
        <f>IF($L498="","",INDEX('MTRs'!$B$6:$B$505,$L498)&amp;"")</f>
        <v/>
      </c>
      <c r="D498" s="120" t="str">
        <f>IF($L498="","",INDEX('MTRs'!$T$6:$T$505,$L498)&amp;"")</f>
        <v/>
      </c>
      <c r="E498" s="120" t="str">
        <f>IF($L498="","",INDEX('MTRs'!$BF$6:$BF$505,$L498)&amp;"")</f>
        <v/>
      </c>
      <c r="F498" s="129" t="str">
        <f>IF($L498="","",INDEX('MTRs'!$U$6:$U$505,$L498))</f>
        <v/>
      </c>
      <c r="G498" s="120" t="str">
        <f>IF($L498="","",INDEX('MTRs'!$AS$6:$AS$505,$L498)&amp;"")</f>
        <v/>
      </c>
      <c r="H498" s="110" t="str">
        <f>IF($L498="","",INDEX('MTRs'!$AT$6:$AT$505,$L498)&amp;"")</f>
        <v/>
      </c>
      <c r="L498" t="str">
        <f>IFERROR(MATCH(SMALL('MTRs'!$BC$6:$BC$505,51),'MTRs'!$BC$6:$BC$505,0),"")</f>
        <v/>
      </c>
    </row>
    <row r="499">
      <c r="B499" s="119" t="str">
        <f>IF($L499="","",INDEX('MTRs'!$A$6:$A$505,$L499)&amp;"")</f>
        <v/>
      </c>
      <c r="C499" s="120" t="str">
        <f>IF($L499="","",INDEX('MTRs'!$B$6:$B$505,$L499)&amp;"")</f>
        <v/>
      </c>
      <c r="D499" s="120" t="str">
        <f>IF($L499="","",INDEX('MTRs'!$T$6:$T$505,$L499)&amp;"")</f>
        <v/>
      </c>
      <c r="E499" s="120" t="str">
        <f>IF($L499="","",INDEX('MTRs'!$BF$6:$BF$505,$L499)&amp;"")</f>
        <v/>
      </c>
      <c r="F499" s="129" t="str">
        <f>IF($L499="","",INDEX('MTRs'!$U$6:$U$505,$L499))</f>
        <v/>
      </c>
      <c r="G499" s="120" t="str">
        <f>IF($L499="","",INDEX('MTRs'!$AS$6:$AS$505,$L499)&amp;"")</f>
        <v/>
      </c>
      <c r="H499" s="110" t="str">
        <f>IF($L499="","",INDEX('MTRs'!$AT$6:$AT$505,$L499)&amp;"")</f>
        <v/>
      </c>
      <c r="L499" t="str">
        <f>IFERROR(MATCH(SMALL('MTRs'!$BC$6:$BC$505,52),'MTRs'!$BC$6:$BC$505,0),"")</f>
        <v/>
      </c>
    </row>
    <row r="500">
      <c r="B500" s="119" t="str">
        <f>IF($L500="","",INDEX('MTRs'!$A$6:$A$505,$L500)&amp;"")</f>
        <v/>
      </c>
      <c r="C500" s="120" t="str">
        <f>IF($L500="","",INDEX('MTRs'!$B$6:$B$505,$L500)&amp;"")</f>
        <v/>
      </c>
      <c r="D500" s="120" t="str">
        <f>IF($L500="","",INDEX('MTRs'!$T$6:$T$505,$L500)&amp;"")</f>
        <v/>
      </c>
      <c r="E500" s="120" t="str">
        <f>IF($L500="","",INDEX('MTRs'!$BF$6:$BF$505,$L500)&amp;"")</f>
        <v/>
      </c>
      <c r="F500" s="129" t="str">
        <f>IF($L500="","",INDEX('MTRs'!$U$6:$U$505,$L500))</f>
        <v/>
      </c>
      <c r="G500" s="120" t="str">
        <f>IF($L500="","",INDEX('MTRs'!$AS$6:$AS$505,$L500)&amp;"")</f>
        <v/>
      </c>
      <c r="H500" s="110" t="str">
        <f>IF($L500="","",INDEX('MTRs'!$AT$6:$AT$505,$L500)&amp;"")</f>
        <v/>
      </c>
      <c r="L500" t="str">
        <f>IFERROR(MATCH(SMALL('MTRs'!$BC$6:$BC$505,53),'MTRs'!$BC$6:$BC$505,0),"")</f>
        <v/>
      </c>
    </row>
    <row r="501">
      <c r="B501" s="119" t="str">
        <f>IF($L501="","",INDEX('MTRs'!$A$6:$A$505,$L501)&amp;"")</f>
        <v/>
      </c>
      <c r="C501" s="120" t="str">
        <f>IF($L501="","",INDEX('MTRs'!$B$6:$B$505,$L501)&amp;"")</f>
        <v/>
      </c>
      <c r="D501" s="120" t="str">
        <f>IF($L501="","",INDEX('MTRs'!$T$6:$T$505,$L501)&amp;"")</f>
        <v/>
      </c>
      <c r="E501" s="120" t="str">
        <f>IF($L501="","",INDEX('MTRs'!$BF$6:$BF$505,$L501)&amp;"")</f>
        <v/>
      </c>
      <c r="F501" s="129" t="str">
        <f>IF($L501="","",INDEX('MTRs'!$U$6:$U$505,$L501))</f>
        <v/>
      </c>
      <c r="G501" s="120" t="str">
        <f>IF($L501="","",INDEX('MTRs'!$AS$6:$AS$505,$L501)&amp;"")</f>
        <v/>
      </c>
      <c r="H501" s="110" t="str">
        <f>IF($L501="","",INDEX('MTRs'!$AT$6:$AT$505,$L501)&amp;"")</f>
        <v/>
      </c>
      <c r="L501" t="str">
        <f>IFERROR(MATCH(SMALL('MTRs'!$BC$6:$BC$505,54),'MTRs'!$BC$6:$BC$505,0),"")</f>
        <v/>
      </c>
    </row>
    <row r="502">
      <c r="B502" s="119" t="str">
        <f>IF($L502="","",INDEX('MTRs'!$A$6:$A$505,$L502)&amp;"")</f>
        <v/>
      </c>
      <c r="C502" s="120" t="str">
        <f>IF($L502="","",INDEX('MTRs'!$B$6:$B$505,$L502)&amp;"")</f>
        <v/>
      </c>
      <c r="D502" s="120" t="str">
        <f>IF($L502="","",INDEX('MTRs'!$T$6:$T$505,$L502)&amp;"")</f>
        <v/>
      </c>
      <c r="E502" s="120" t="str">
        <f>IF($L502="","",INDEX('MTRs'!$BF$6:$BF$505,$L502)&amp;"")</f>
        <v/>
      </c>
      <c r="F502" s="129" t="str">
        <f>IF($L502="","",INDEX('MTRs'!$U$6:$U$505,$L502))</f>
        <v/>
      </c>
      <c r="G502" s="120" t="str">
        <f>IF($L502="","",INDEX('MTRs'!$AS$6:$AS$505,$L502)&amp;"")</f>
        <v/>
      </c>
      <c r="H502" s="110" t="str">
        <f>IF($L502="","",INDEX('MTRs'!$AT$6:$AT$505,$L502)&amp;"")</f>
        <v/>
      </c>
      <c r="L502" t="str">
        <f>IFERROR(MATCH(SMALL('MTRs'!$BC$6:$BC$505,55),'MTRs'!$BC$6:$BC$505,0),"")</f>
        <v/>
      </c>
    </row>
    <row r="503">
      <c r="B503" s="119" t="str">
        <f>IF($L503="","",INDEX('MTRs'!$A$6:$A$505,$L503)&amp;"")</f>
        <v/>
      </c>
      <c r="C503" s="120" t="str">
        <f>IF($L503="","",INDEX('MTRs'!$B$6:$B$505,$L503)&amp;"")</f>
        <v/>
      </c>
      <c r="D503" s="120" t="str">
        <f>IF($L503="","",INDEX('MTRs'!$T$6:$T$505,$L503)&amp;"")</f>
        <v/>
      </c>
      <c r="E503" s="120" t="str">
        <f>IF($L503="","",INDEX('MTRs'!$BF$6:$BF$505,$L503)&amp;"")</f>
        <v/>
      </c>
      <c r="F503" s="129" t="str">
        <f>IF($L503="","",INDEX('MTRs'!$U$6:$U$505,$L503))</f>
        <v/>
      </c>
      <c r="G503" s="120" t="str">
        <f>IF($L503="","",INDEX('MTRs'!$AS$6:$AS$505,$L503)&amp;"")</f>
        <v/>
      </c>
      <c r="H503" s="110" t="str">
        <f>IF($L503="","",INDEX('MTRs'!$AT$6:$AT$505,$L503)&amp;"")</f>
        <v/>
      </c>
      <c r="L503" t="str">
        <f>IFERROR(MATCH(SMALL('MTRs'!$BC$6:$BC$505,56),'MTRs'!$BC$6:$BC$505,0),"")</f>
        <v/>
      </c>
    </row>
    <row r="504">
      <c r="B504" s="119" t="str">
        <f>IF($L504="","",INDEX('MTRs'!$A$6:$A$505,$L504)&amp;"")</f>
        <v/>
      </c>
      <c r="C504" s="120" t="str">
        <f>IF($L504="","",INDEX('MTRs'!$B$6:$B$505,$L504)&amp;"")</f>
        <v/>
      </c>
      <c r="D504" s="120" t="str">
        <f>IF($L504="","",INDEX('MTRs'!$T$6:$T$505,$L504)&amp;"")</f>
        <v/>
      </c>
      <c r="E504" s="120" t="str">
        <f>IF($L504="","",INDEX('MTRs'!$BF$6:$BF$505,$L504)&amp;"")</f>
        <v/>
      </c>
      <c r="F504" s="129" t="str">
        <f>IF($L504="","",INDEX('MTRs'!$U$6:$U$505,$L504))</f>
        <v/>
      </c>
      <c r="G504" s="120" t="str">
        <f>IF($L504="","",INDEX('MTRs'!$AS$6:$AS$505,$L504)&amp;"")</f>
        <v/>
      </c>
      <c r="H504" s="110" t="str">
        <f>IF($L504="","",INDEX('MTRs'!$AT$6:$AT$505,$L504)&amp;"")</f>
        <v/>
      </c>
      <c r="L504" t="str">
        <f>IFERROR(MATCH(SMALL('MTRs'!$BC$6:$BC$505,57),'MTRs'!$BC$6:$BC$505,0),"")</f>
        <v/>
      </c>
    </row>
    <row r="505">
      <c r="B505" s="119" t="str">
        <f>IF($L505="","",INDEX('MTRs'!$A$6:$A$505,$L505)&amp;"")</f>
        <v/>
      </c>
      <c r="C505" s="120" t="str">
        <f>IF($L505="","",INDEX('MTRs'!$B$6:$B$505,$L505)&amp;"")</f>
        <v/>
      </c>
      <c r="D505" s="120" t="str">
        <f>IF($L505="","",INDEX('MTRs'!$T$6:$T$505,$L505)&amp;"")</f>
        <v/>
      </c>
      <c r="E505" s="120" t="str">
        <f>IF($L505="","",INDEX('MTRs'!$BF$6:$BF$505,$L505)&amp;"")</f>
        <v/>
      </c>
      <c r="F505" s="129" t="str">
        <f>IF($L505="","",INDEX('MTRs'!$U$6:$U$505,$L505))</f>
        <v/>
      </c>
      <c r="G505" s="120" t="str">
        <f>IF($L505="","",INDEX('MTRs'!$AS$6:$AS$505,$L505)&amp;"")</f>
        <v/>
      </c>
      <c r="H505" s="110" t="str">
        <f>IF($L505="","",INDEX('MTRs'!$AT$6:$AT$505,$L505)&amp;"")</f>
        <v/>
      </c>
      <c r="L505" t="str">
        <f>IFERROR(MATCH(SMALL('MTRs'!$BC$6:$BC$505,58),'MTRs'!$BC$6:$BC$505,0),"")</f>
        <v/>
      </c>
    </row>
    <row r="506">
      <c r="B506" s="119" t="str">
        <f>IF($L506="","",INDEX('MTRs'!$A$6:$A$505,$L506)&amp;"")</f>
        <v/>
      </c>
      <c r="C506" s="120" t="str">
        <f>IF($L506="","",INDEX('MTRs'!$B$6:$B$505,$L506)&amp;"")</f>
        <v/>
      </c>
      <c r="D506" s="120" t="str">
        <f>IF($L506="","",INDEX('MTRs'!$T$6:$T$505,$L506)&amp;"")</f>
        <v/>
      </c>
      <c r="E506" s="120" t="str">
        <f>IF($L506="","",INDEX('MTRs'!$BF$6:$BF$505,$L506)&amp;"")</f>
        <v/>
      </c>
      <c r="F506" s="129" t="str">
        <f>IF($L506="","",INDEX('MTRs'!$U$6:$U$505,$L506))</f>
        <v/>
      </c>
      <c r="G506" s="120" t="str">
        <f>IF($L506="","",INDEX('MTRs'!$AS$6:$AS$505,$L506)&amp;"")</f>
        <v/>
      </c>
      <c r="H506" s="110" t="str">
        <f>IF($L506="","",INDEX('MTRs'!$AT$6:$AT$505,$L506)&amp;"")</f>
        <v/>
      </c>
      <c r="L506" t="str">
        <f>IFERROR(MATCH(SMALL('MTRs'!$BC$6:$BC$505,59),'MTRs'!$BC$6:$BC$505,0),"")</f>
        <v/>
      </c>
    </row>
    <row r="507">
      <c r="B507" s="119" t="str">
        <f>IF($L507="","",INDEX('MTRs'!$A$6:$A$505,$L507)&amp;"")</f>
        <v/>
      </c>
      <c r="C507" s="120" t="str">
        <f>IF($L507="","",INDEX('MTRs'!$B$6:$B$505,$L507)&amp;"")</f>
        <v/>
      </c>
      <c r="D507" s="120" t="str">
        <f>IF($L507="","",INDEX('MTRs'!$T$6:$T$505,$L507)&amp;"")</f>
        <v/>
      </c>
      <c r="E507" s="120" t="str">
        <f>IF($L507="","",INDEX('MTRs'!$BF$6:$BF$505,$L507)&amp;"")</f>
        <v/>
      </c>
      <c r="F507" s="129" t="str">
        <f>IF($L507="","",INDEX('MTRs'!$U$6:$U$505,$L507))</f>
        <v/>
      </c>
      <c r="G507" s="120" t="str">
        <f>IF($L507="","",INDEX('MTRs'!$AS$6:$AS$505,$L507)&amp;"")</f>
        <v/>
      </c>
      <c r="H507" s="110" t="str">
        <f>IF($L507="","",INDEX('MTRs'!$AT$6:$AT$505,$L507)&amp;"")</f>
        <v/>
      </c>
      <c r="L507" t="str">
        <f>IFERROR(MATCH(SMALL('MTRs'!$BC$6:$BC$505,60),'MTRs'!$BC$6:$BC$505,0),"")</f>
        <v/>
      </c>
    </row>
    <row r="508">
      <c r="B508" s="119" t="str">
        <f>IF($L508="","",INDEX('MTRs'!$A$6:$A$505,$L508)&amp;"")</f>
        <v/>
      </c>
      <c r="C508" s="120" t="str">
        <f>IF($L508="","",INDEX('MTRs'!$B$6:$B$505,$L508)&amp;"")</f>
        <v/>
      </c>
      <c r="D508" s="120" t="str">
        <f>IF($L508="","",INDEX('MTRs'!$T$6:$T$505,$L508)&amp;"")</f>
        <v/>
      </c>
      <c r="E508" s="120" t="str">
        <f>IF($L508="","",INDEX('MTRs'!$BF$6:$BF$505,$L508)&amp;"")</f>
        <v/>
      </c>
      <c r="F508" s="129" t="str">
        <f>IF($L508="","",INDEX('MTRs'!$U$6:$U$505,$L508))</f>
        <v/>
      </c>
      <c r="G508" s="120" t="str">
        <f>IF($L508="","",INDEX('MTRs'!$AS$6:$AS$505,$L508)&amp;"")</f>
        <v/>
      </c>
      <c r="H508" s="110" t="str">
        <f>IF($L508="","",INDEX('MTRs'!$AT$6:$AT$505,$L508)&amp;"")</f>
        <v/>
      </c>
      <c r="L508" t="str">
        <f>IFERROR(MATCH(SMALL('MTRs'!$BC$6:$BC$505,61),'MTRs'!$BC$6:$BC$505,0),"")</f>
        <v/>
      </c>
    </row>
    <row r="509">
      <c r="B509" s="119" t="str">
        <f>IF($L509="","",INDEX('MTRs'!$A$6:$A$505,$L509)&amp;"")</f>
        <v/>
      </c>
      <c r="C509" s="120" t="str">
        <f>IF($L509="","",INDEX('MTRs'!$B$6:$B$505,$L509)&amp;"")</f>
        <v/>
      </c>
      <c r="D509" s="120" t="str">
        <f>IF($L509="","",INDEX('MTRs'!$T$6:$T$505,$L509)&amp;"")</f>
        <v/>
      </c>
      <c r="E509" s="120" t="str">
        <f>IF($L509="","",INDEX('MTRs'!$BF$6:$BF$505,$L509)&amp;"")</f>
        <v/>
      </c>
      <c r="F509" s="129" t="str">
        <f>IF($L509="","",INDEX('MTRs'!$U$6:$U$505,$L509))</f>
        <v/>
      </c>
      <c r="G509" s="120" t="str">
        <f>IF($L509="","",INDEX('MTRs'!$AS$6:$AS$505,$L509)&amp;"")</f>
        <v/>
      </c>
      <c r="H509" s="110" t="str">
        <f>IF($L509="","",INDEX('MTRs'!$AT$6:$AT$505,$L509)&amp;"")</f>
        <v/>
      </c>
      <c r="L509" t="str">
        <f>IFERROR(MATCH(SMALL('MTRs'!$BC$6:$BC$505,62),'MTRs'!$BC$6:$BC$505,0),"")</f>
        <v/>
      </c>
    </row>
    <row r="510">
      <c r="B510" s="119" t="str">
        <f>IF($L510="","",INDEX('MTRs'!$A$6:$A$505,$L510)&amp;"")</f>
        <v/>
      </c>
      <c r="C510" s="120" t="str">
        <f>IF($L510="","",INDEX('MTRs'!$B$6:$B$505,$L510)&amp;"")</f>
        <v/>
      </c>
      <c r="D510" s="120" t="str">
        <f>IF($L510="","",INDEX('MTRs'!$T$6:$T$505,$L510)&amp;"")</f>
        <v/>
      </c>
      <c r="E510" s="120" t="str">
        <f>IF($L510="","",INDEX('MTRs'!$BF$6:$BF$505,$L510)&amp;"")</f>
        <v/>
      </c>
      <c r="F510" s="129" t="str">
        <f>IF($L510="","",INDEX('MTRs'!$U$6:$U$505,$L510))</f>
        <v/>
      </c>
      <c r="G510" s="120" t="str">
        <f>IF($L510="","",INDEX('MTRs'!$AS$6:$AS$505,$L510)&amp;"")</f>
        <v/>
      </c>
      <c r="H510" s="110" t="str">
        <f>IF($L510="","",INDEX('MTRs'!$AT$6:$AT$505,$L510)&amp;"")</f>
        <v/>
      </c>
      <c r="L510" t="str">
        <f>IFERROR(MATCH(SMALL('MTRs'!$BC$6:$BC$505,63),'MTRs'!$BC$6:$BC$505,0),"")</f>
        <v/>
      </c>
    </row>
    <row r="511">
      <c r="B511" s="119" t="str">
        <f>IF($L511="","",INDEX('MTRs'!$A$6:$A$505,$L511)&amp;"")</f>
        <v/>
      </c>
      <c r="C511" s="120" t="str">
        <f>IF($L511="","",INDEX('MTRs'!$B$6:$B$505,$L511)&amp;"")</f>
        <v/>
      </c>
      <c r="D511" s="120" t="str">
        <f>IF($L511="","",INDEX('MTRs'!$T$6:$T$505,$L511)&amp;"")</f>
        <v/>
      </c>
      <c r="E511" s="120" t="str">
        <f>IF($L511="","",INDEX('MTRs'!$BF$6:$BF$505,$L511)&amp;"")</f>
        <v/>
      </c>
      <c r="F511" s="129" t="str">
        <f>IF($L511="","",INDEX('MTRs'!$U$6:$U$505,$L511))</f>
        <v/>
      </c>
      <c r="G511" s="120" t="str">
        <f>IF($L511="","",INDEX('MTRs'!$AS$6:$AS$505,$L511)&amp;"")</f>
        <v/>
      </c>
      <c r="H511" s="110" t="str">
        <f>IF($L511="","",INDEX('MTRs'!$AT$6:$AT$505,$L511)&amp;"")</f>
        <v/>
      </c>
      <c r="L511" t="str">
        <f>IFERROR(MATCH(SMALL('MTRs'!$BC$6:$BC$505,64),'MTRs'!$BC$6:$BC$505,0),"")</f>
        <v/>
      </c>
    </row>
    <row r="512">
      <c r="B512" s="119" t="str">
        <f>IF($L512="","",INDEX('MTRs'!$A$6:$A$505,$L512)&amp;"")</f>
        <v/>
      </c>
      <c r="C512" s="120" t="str">
        <f>IF($L512="","",INDEX('MTRs'!$B$6:$B$505,$L512)&amp;"")</f>
        <v/>
      </c>
      <c r="D512" s="120" t="str">
        <f>IF($L512="","",INDEX('MTRs'!$T$6:$T$505,$L512)&amp;"")</f>
        <v/>
      </c>
      <c r="E512" s="120" t="str">
        <f>IF($L512="","",INDEX('MTRs'!$BF$6:$BF$505,$L512)&amp;"")</f>
        <v/>
      </c>
      <c r="F512" s="129" t="str">
        <f>IF($L512="","",INDEX('MTRs'!$U$6:$U$505,$L512))</f>
        <v/>
      </c>
      <c r="G512" s="120" t="str">
        <f>IF($L512="","",INDEX('MTRs'!$AS$6:$AS$505,$L512)&amp;"")</f>
        <v/>
      </c>
      <c r="H512" s="110" t="str">
        <f>IF($L512="","",INDEX('MTRs'!$AT$6:$AT$505,$L512)&amp;"")</f>
        <v/>
      </c>
      <c r="L512" t="str">
        <f>IFERROR(MATCH(SMALL('MTRs'!$BC$6:$BC$505,65),'MTRs'!$BC$6:$BC$505,0),"")</f>
        <v/>
      </c>
    </row>
    <row r="513">
      <c r="B513" s="119" t="str">
        <f>IF($L513="","",INDEX('MTRs'!$A$6:$A$505,$L513)&amp;"")</f>
        <v/>
      </c>
      <c r="C513" s="120" t="str">
        <f>IF($L513="","",INDEX('MTRs'!$B$6:$B$505,$L513)&amp;"")</f>
        <v/>
      </c>
      <c r="D513" s="120" t="str">
        <f>IF($L513="","",INDEX('MTRs'!$T$6:$T$505,$L513)&amp;"")</f>
        <v/>
      </c>
      <c r="E513" s="120" t="str">
        <f>IF($L513="","",INDEX('MTRs'!$BF$6:$BF$505,$L513)&amp;"")</f>
        <v/>
      </c>
      <c r="F513" s="129" t="str">
        <f>IF($L513="","",INDEX('MTRs'!$U$6:$U$505,$L513))</f>
        <v/>
      </c>
      <c r="G513" s="120" t="str">
        <f>IF($L513="","",INDEX('MTRs'!$AS$6:$AS$505,$L513)&amp;"")</f>
        <v/>
      </c>
      <c r="H513" s="110" t="str">
        <f>IF($L513="","",INDEX('MTRs'!$AT$6:$AT$505,$L513)&amp;"")</f>
        <v/>
      </c>
      <c r="L513" t="str">
        <f>IFERROR(MATCH(SMALL('MTRs'!$BC$6:$BC$505,66),'MTRs'!$BC$6:$BC$505,0),"")</f>
        <v/>
      </c>
    </row>
    <row r="514">
      <c r="B514" s="119" t="str">
        <f>IF($L514="","",INDEX('MTRs'!$A$6:$A$505,$L514)&amp;"")</f>
        <v/>
      </c>
      <c r="C514" s="120" t="str">
        <f>IF($L514="","",INDEX('MTRs'!$B$6:$B$505,$L514)&amp;"")</f>
        <v/>
      </c>
      <c r="D514" s="120" t="str">
        <f>IF($L514="","",INDEX('MTRs'!$T$6:$T$505,$L514)&amp;"")</f>
        <v/>
      </c>
      <c r="E514" s="120" t="str">
        <f>IF($L514="","",INDEX('MTRs'!$BF$6:$BF$505,$L514)&amp;"")</f>
        <v/>
      </c>
      <c r="F514" s="129" t="str">
        <f>IF($L514="","",INDEX('MTRs'!$U$6:$U$505,$L514))</f>
        <v/>
      </c>
      <c r="G514" s="120" t="str">
        <f>IF($L514="","",INDEX('MTRs'!$AS$6:$AS$505,$L514)&amp;"")</f>
        <v/>
      </c>
      <c r="H514" s="110" t="str">
        <f>IF($L514="","",INDEX('MTRs'!$AT$6:$AT$505,$L514)&amp;"")</f>
        <v/>
      </c>
      <c r="L514" t="str">
        <f>IFERROR(MATCH(SMALL('MTRs'!$BC$6:$BC$505,67),'MTRs'!$BC$6:$BC$505,0),"")</f>
        <v/>
      </c>
    </row>
    <row r="515">
      <c r="B515" s="119" t="str">
        <f>IF($L515="","",INDEX('MTRs'!$A$6:$A$505,$L515)&amp;"")</f>
        <v/>
      </c>
      <c r="C515" s="120" t="str">
        <f>IF($L515="","",INDEX('MTRs'!$B$6:$B$505,$L515)&amp;"")</f>
        <v/>
      </c>
      <c r="D515" s="120" t="str">
        <f>IF($L515="","",INDEX('MTRs'!$T$6:$T$505,$L515)&amp;"")</f>
        <v/>
      </c>
      <c r="E515" s="120" t="str">
        <f>IF($L515="","",INDEX('MTRs'!$BF$6:$BF$505,$L515)&amp;"")</f>
        <v/>
      </c>
      <c r="F515" s="129" t="str">
        <f>IF($L515="","",INDEX('MTRs'!$U$6:$U$505,$L515))</f>
        <v/>
      </c>
      <c r="G515" s="120" t="str">
        <f>IF($L515="","",INDEX('MTRs'!$AS$6:$AS$505,$L515)&amp;"")</f>
        <v/>
      </c>
      <c r="H515" s="110" t="str">
        <f>IF($L515="","",INDEX('MTRs'!$AT$6:$AT$505,$L515)&amp;"")</f>
        <v/>
      </c>
      <c r="L515" t="str">
        <f>IFERROR(MATCH(SMALL('MTRs'!$BC$6:$BC$505,68),'MTRs'!$BC$6:$BC$505,0),"")</f>
        <v/>
      </c>
    </row>
    <row r="516">
      <c r="B516" s="119" t="str">
        <f>IF($L516="","",INDEX('MTRs'!$A$6:$A$505,$L516)&amp;"")</f>
        <v/>
      </c>
      <c r="C516" s="120" t="str">
        <f>IF($L516="","",INDEX('MTRs'!$B$6:$B$505,$L516)&amp;"")</f>
        <v/>
      </c>
      <c r="D516" s="120" t="str">
        <f>IF($L516="","",INDEX('MTRs'!$T$6:$T$505,$L516)&amp;"")</f>
        <v/>
      </c>
      <c r="E516" s="120" t="str">
        <f>IF($L516="","",INDEX('MTRs'!$BF$6:$BF$505,$L516)&amp;"")</f>
        <v/>
      </c>
      <c r="F516" s="129" t="str">
        <f>IF($L516="","",INDEX('MTRs'!$U$6:$U$505,$L516))</f>
        <v/>
      </c>
      <c r="G516" s="120" t="str">
        <f>IF($L516="","",INDEX('MTRs'!$AS$6:$AS$505,$L516)&amp;"")</f>
        <v/>
      </c>
      <c r="H516" s="110" t="str">
        <f>IF($L516="","",INDEX('MTRs'!$AT$6:$AT$505,$L516)&amp;"")</f>
        <v/>
      </c>
      <c r="L516" t="str">
        <f>IFERROR(MATCH(SMALL('MTRs'!$BC$6:$BC$505,69),'MTRs'!$BC$6:$BC$505,0),"")</f>
        <v/>
      </c>
    </row>
    <row r="517">
      <c r="B517" s="119" t="str">
        <f>IF($L517="","",INDEX('MTRs'!$A$6:$A$505,$L517)&amp;"")</f>
        <v/>
      </c>
      <c r="C517" s="120" t="str">
        <f>IF($L517="","",INDEX('MTRs'!$B$6:$B$505,$L517)&amp;"")</f>
        <v/>
      </c>
      <c r="D517" s="120" t="str">
        <f>IF($L517="","",INDEX('MTRs'!$T$6:$T$505,$L517)&amp;"")</f>
        <v/>
      </c>
      <c r="E517" s="120" t="str">
        <f>IF($L517="","",INDEX('MTRs'!$BF$6:$BF$505,$L517)&amp;"")</f>
        <v/>
      </c>
      <c r="F517" s="129" t="str">
        <f>IF($L517="","",INDEX('MTRs'!$U$6:$U$505,$L517))</f>
        <v/>
      </c>
      <c r="G517" s="120" t="str">
        <f>IF($L517="","",INDEX('MTRs'!$AS$6:$AS$505,$L517)&amp;"")</f>
        <v/>
      </c>
      <c r="H517" s="110" t="str">
        <f>IF($L517="","",INDEX('MTRs'!$AT$6:$AT$505,$L517)&amp;"")</f>
        <v/>
      </c>
      <c r="L517" t="str">
        <f>IFERROR(MATCH(SMALL('MTRs'!$BC$6:$BC$505,70),'MTRs'!$BC$6:$BC$505,0),"")</f>
        <v/>
      </c>
    </row>
    <row r="518">
      <c r="B518" s="119" t="str">
        <f>IF($L518="","",INDEX('MTRs'!$A$6:$A$505,$L518)&amp;"")</f>
        <v/>
      </c>
      <c r="C518" s="120" t="str">
        <f>IF($L518="","",INDEX('MTRs'!$B$6:$B$505,$L518)&amp;"")</f>
        <v/>
      </c>
      <c r="D518" s="120" t="str">
        <f>IF($L518="","",INDEX('MTRs'!$T$6:$T$505,$L518)&amp;"")</f>
        <v/>
      </c>
      <c r="E518" s="120" t="str">
        <f>IF($L518="","",INDEX('MTRs'!$BF$6:$BF$505,$L518)&amp;"")</f>
        <v/>
      </c>
      <c r="F518" s="129" t="str">
        <f>IF($L518="","",INDEX('MTRs'!$U$6:$U$505,$L518))</f>
        <v/>
      </c>
      <c r="G518" s="120" t="str">
        <f>IF($L518="","",INDEX('MTRs'!$AS$6:$AS$505,$L518)&amp;"")</f>
        <v/>
      </c>
      <c r="H518" s="110" t="str">
        <f>IF($L518="","",INDEX('MTRs'!$AT$6:$AT$505,$L518)&amp;"")</f>
        <v/>
      </c>
      <c r="L518" t="str">
        <f>IFERROR(MATCH(SMALL('MTRs'!$BC$6:$BC$505,71),'MTRs'!$BC$6:$BC$505,0),"")</f>
        <v/>
      </c>
    </row>
    <row r="519">
      <c r="B519" s="119" t="str">
        <f>IF($L519="","",INDEX('MTRs'!$A$6:$A$505,$L519)&amp;"")</f>
        <v/>
      </c>
      <c r="C519" s="120" t="str">
        <f>IF($L519="","",INDEX('MTRs'!$B$6:$B$505,$L519)&amp;"")</f>
        <v/>
      </c>
      <c r="D519" s="120" t="str">
        <f>IF($L519="","",INDEX('MTRs'!$T$6:$T$505,$L519)&amp;"")</f>
        <v/>
      </c>
      <c r="E519" s="120" t="str">
        <f>IF($L519="","",INDEX('MTRs'!$BF$6:$BF$505,$L519)&amp;"")</f>
        <v/>
      </c>
      <c r="F519" s="129" t="str">
        <f>IF($L519="","",INDEX('MTRs'!$U$6:$U$505,$L519))</f>
        <v/>
      </c>
      <c r="G519" s="120" t="str">
        <f>IF($L519="","",INDEX('MTRs'!$AS$6:$AS$505,$L519)&amp;"")</f>
        <v/>
      </c>
      <c r="H519" s="110" t="str">
        <f>IF($L519="","",INDEX('MTRs'!$AT$6:$AT$505,$L519)&amp;"")</f>
        <v/>
      </c>
      <c r="L519" t="str">
        <f>IFERROR(MATCH(SMALL('MTRs'!$BC$6:$BC$505,72),'MTRs'!$BC$6:$BC$505,0),"")</f>
        <v/>
      </c>
    </row>
    <row r="520">
      <c r="B520" s="119" t="str">
        <f>IF($L520="","",INDEX('MTRs'!$A$6:$A$505,$L520)&amp;"")</f>
        <v/>
      </c>
      <c r="C520" s="120" t="str">
        <f>IF($L520="","",INDEX('MTRs'!$B$6:$B$505,$L520)&amp;"")</f>
        <v/>
      </c>
      <c r="D520" s="120" t="str">
        <f>IF($L520="","",INDEX('MTRs'!$T$6:$T$505,$L520)&amp;"")</f>
        <v/>
      </c>
      <c r="E520" s="120" t="str">
        <f>IF($L520="","",INDEX('MTRs'!$BF$6:$BF$505,$L520)&amp;"")</f>
        <v/>
      </c>
      <c r="F520" s="129" t="str">
        <f>IF($L520="","",INDEX('MTRs'!$U$6:$U$505,$L520))</f>
        <v/>
      </c>
      <c r="G520" s="120" t="str">
        <f>IF($L520="","",INDEX('MTRs'!$AS$6:$AS$505,$L520)&amp;"")</f>
        <v/>
      </c>
      <c r="H520" s="110" t="str">
        <f>IF($L520="","",INDEX('MTRs'!$AT$6:$AT$505,$L520)&amp;"")</f>
        <v/>
      </c>
      <c r="L520" t="str">
        <f>IFERROR(MATCH(SMALL('MTRs'!$BC$6:$BC$505,73),'MTRs'!$BC$6:$BC$505,0),"")</f>
        <v/>
      </c>
    </row>
    <row r="521">
      <c r="B521" s="119" t="str">
        <f>IF($L521="","",INDEX('MTRs'!$A$6:$A$505,$L521)&amp;"")</f>
        <v/>
      </c>
      <c r="C521" s="120" t="str">
        <f>IF($L521="","",INDEX('MTRs'!$B$6:$B$505,$L521)&amp;"")</f>
        <v/>
      </c>
      <c r="D521" s="120" t="str">
        <f>IF($L521="","",INDEX('MTRs'!$T$6:$T$505,$L521)&amp;"")</f>
        <v/>
      </c>
      <c r="E521" s="120" t="str">
        <f>IF($L521="","",INDEX('MTRs'!$BF$6:$BF$505,$L521)&amp;"")</f>
        <v/>
      </c>
      <c r="F521" s="129" t="str">
        <f>IF($L521="","",INDEX('MTRs'!$U$6:$U$505,$L521))</f>
        <v/>
      </c>
      <c r="G521" s="120" t="str">
        <f>IF($L521="","",INDEX('MTRs'!$AS$6:$AS$505,$L521)&amp;"")</f>
        <v/>
      </c>
      <c r="H521" s="110" t="str">
        <f>IF($L521="","",INDEX('MTRs'!$AT$6:$AT$505,$L521)&amp;"")</f>
        <v/>
      </c>
      <c r="L521" t="str">
        <f>IFERROR(MATCH(SMALL('MTRs'!$BC$6:$BC$505,74),'MTRs'!$BC$6:$BC$505,0),"")</f>
        <v/>
      </c>
    </row>
    <row r="522">
      <c r="B522" s="119" t="str">
        <f>IF($L522="","",INDEX('MTRs'!$A$6:$A$505,$L522)&amp;"")</f>
        <v/>
      </c>
      <c r="C522" s="120" t="str">
        <f>IF($L522="","",INDEX('MTRs'!$B$6:$B$505,$L522)&amp;"")</f>
        <v/>
      </c>
      <c r="D522" s="120" t="str">
        <f>IF($L522="","",INDEX('MTRs'!$T$6:$T$505,$L522)&amp;"")</f>
        <v/>
      </c>
      <c r="E522" s="120" t="str">
        <f>IF($L522="","",INDEX('MTRs'!$BF$6:$BF$505,$L522)&amp;"")</f>
        <v/>
      </c>
      <c r="F522" s="129" t="str">
        <f>IF($L522="","",INDEX('MTRs'!$U$6:$U$505,$L522))</f>
        <v/>
      </c>
      <c r="G522" s="120" t="str">
        <f>IF($L522="","",INDEX('MTRs'!$AS$6:$AS$505,$L522)&amp;"")</f>
        <v/>
      </c>
      <c r="H522" s="110" t="str">
        <f>IF($L522="","",INDEX('MTRs'!$AT$6:$AT$505,$L522)&amp;"")</f>
        <v/>
      </c>
      <c r="L522" t="str">
        <f>IFERROR(MATCH(SMALL('MTRs'!$BC$6:$BC$505,75),'MTRs'!$BC$6:$BC$505,0),"")</f>
        <v/>
      </c>
    </row>
    <row r="523">
      <c r="B523" s="119" t="str">
        <f>IF($L523="","",INDEX('MTRs'!$A$6:$A$505,$L523)&amp;"")</f>
        <v/>
      </c>
      <c r="C523" s="120" t="str">
        <f>IF($L523="","",INDEX('MTRs'!$B$6:$B$505,$L523)&amp;"")</f>
        <v/>
      </c>
      <c r="D523" s="120" t="str">
        <f>IF($L523="","",INDEX('MTRs'!$T$6:$T$505,$L523)&amp;"")</f>
        <v/>
      </c>
      <c r="E523" s="120" t="str">
        <f>IF($L523="","",INDEX('MTRs'!$BF$6:$BF$505,$L523)&amp;"")</f>
        <v/>
      </c>
      <c r="F523" s="129" t="str">
        <f>IF($L523="","",INDEX('MTRs'!$U$6:$U$505,$L523))</f>
        <v/>
      </c>
      <c r="G523" s="120" t="str">
        <f>IF($L523="","",INDEX('MTRs'!$AS$6:$AS$505,$L523)&amp;"")</f>
        <v/>
      </c>
      <c r="H523" s="110" t="str">
        <f>IF($L523="","",INDEX('MTRs'!$AT$6:$AT$505,$L523)&amp;"")</f>
        <v/>
      </c>
      <c r="L523" t="str">
        <f>IFERROR(MATCH(SMALL('MTRs'!$BC$6:$BC$505,76),'MTRs'!$BC$6:$BC$505,0),"")</f>
        <v/>
      </c>
    </row>
    <row r="524">
      <c r="B524" s="119" t="str">
        <f>IF($L524="","",INDEX('MTRs'!$A$6:$A$505,$L524)&amp;"")</f>
        <v/>
      </c>
      <c r="C524" s="120" t="str">
        <f>IF($L524="","",INDEX('MTRs'!$B$6:$B$505,$L524)&amp;"")</f>
        <v/>
      </c>
      <c r="D524" s="120" t="str">
        <f>IF($L524="","",INDEX('MTRs'!$T$6:$T$505,$L524)&amp;"")</f>
        <v/>
      </c>
      <c r="E524" s="120" t="str">
        <f>IF($L524="","",INDEX('MTRs'!$BF$6:$BF$505,$L524)&amp;"")</f>
        <v/>
      </c>
      <c r="F524" s="129" t="str">
        <f>IF($L524="","",INDEX('MTRs'!$U$6:$U$505,$L524))</f>
        <v/>
      </c>
      <c r="G524" s="120" t="str">
        <f>IF($L524="","",INDEX('MTRs'!$AS$6:$AS$505,$L524)&amp;"")</f>
        <v/>
      </c>
      <c r="H524" s="110" t="str">
        <f>IF($L524="","",INDEX('MTRs'!$AT$6:$AT$505,$L524)&amp;"")</f>
        <v/>
      </c>
      <c r="L524" t="str">
        <f>IFERROR(MATCH(SMALL('MTRs'!$BC$6:$BC$505,77),'MTRs'!$BC$6:$BC$505,0),"")</f>
        <v/>
      </c>
    </row>
    <row r="525">
      <c r="B525" s="119" t="str">
        <f>IF($L525="","",INDEX('MTRs'!$A$6:$A$505,$L525)&amp;"")</f>
        <v/>
      </c>
      <c r="C525" s="120" t="str">
        <f>IF($L525="","",INDEX('MTRs'!$B$6:$B$505,$L525)&amp;"")</f>
        <v/>
      </c>
      <c r="D525" s="120" t="str">
        <f>IF($L525="","",INDEX('MTRs'!$T$6:$T$505,$L525)&amp;"")</f>
        <v/>
      </c>
      <c r="E525" s="120" t="str">
        <f>IF($L525="","",INDEX('MTRs'!$BF$6:$BF$505,$L525)&amp;"")</f>
        <v/>
      </c>
      <c r="F525" s="129" t="str">
        <f>IF($L525="","",INDEX('MTRs'!$U$6:$U$505,$L525))</f>
        <v/>
      </c>
      <c r="G525" s="120" t="str">
        <f>IF($L525="","",INDEX('MTRs'!$AS$6:$AS$505,$L525)&amp;"")</f>
        <v/>
      </c>
      <c r="H525" s="110" t="str">
        <f>IF($L525="","",INDEX('MTRs'!$AT$6:$AT$505,$L525)&amp;"")</f>
        <v/>
      </c>
      <c r="L525" t="str">
        <f>IFERROR(MATCH(SMALL('MTRs'!$BC$6:$BC$505,78),'MTRs'!$BC$6:$BC$505,0),"")</f>
        <v/>
      </c>
    </row>
    <row r="526">
      <c r="B526" s="119" t="str">
        <f>IF($L526="","",INDEX('MTRs'!$A$6:$A$505,$L526)&amp;"")</f>
        <v/>
      </c>
      <c r="C526" s="120" t="str">
        <f>IF($L526="","",INDEX('MTRs'!$B$6:$B$505,$L526)&amp;"")</f>
        <v/>
      </c>
      <c r="D526" s="120" t="str">
        <f>IF($L526="","",INDEX('MTRs'!$T$6:$T$505,$L526)&amp;"")</f>
        <v/>
      </c>
      <c r="E526" s="120" t="str">
        <f>IF($L526="","",INDEX('MTRs'!$BF$6:$BF$505,$L526)&amp;"")</f>
        <v/>
      </c>
      <c r="F526" s="129" t="str">
        <f>IF($L526="","",INDEX('MTRs'!$U$6:$U$505,$L526))</f>
        <v/>
      </c>
      <c r="G526" s="120" t="str">
        <f>IF($L526="","",INDEX('MTRs'!$AS$6:$AS$505,$L526)&amp;"")</f>
        <v/>
      </c>
      <c r="H526" s="110" t="str">
        <f>IF($L526="","",INDEX('MTRs'!$AT$6:$AT$505,$L526)&amp;"")</f>
        <v/>
      </c>
      <c r="L526" t="str">
        <f>IFERROR(MATCH(SMALL('MTRs'!$BC$6:$BC$505,79),'MTRs'!$BC$6:$BC$505,0),"")</f>
        <v/>
      </c>
    </row>
    <row r="527">
      <c r="B527" s="119" t="str">
        <f>IF($L527="","",INDEX('MTRs'!$A$6:$A$505,$L527)&amp;"")</f>
        <v/>
      </c>
      <c r="C527" s="120" t="str">
        <f>IF($L527="","",INDEX('MTRs'!$B$6:$B$505,$L527)&amp;"")</f>
        <v/>
      </c>
      <c r="D527" s="120" t="str">
        <f>IF($L527="","",INDEX('MTRs'!$T$6:$T$505,$L527)&amp;"")</f>
        <v/>
      </c>
      <c r="E527" s="120" t="str">
        <f>IF($L527="","",INDEX('MTRs'!$BF$6:$BF$505,$L527)&amp;"")</f>
        <v/>
      </c>
      <c r="F527" s="129" t="str">
        <f>IF($L527="","",INDEX('MTRs'!$U$6:$U$505,$L527))</f>
        <v/>
      </c>
      <c r="G527" s="120" t="str">
        <f>IF($L527="","",INDEX('MTRs'!$AS$6:$AS$505,$L527)&amp;"")</f>
        <v/>
      </c>
      <c r="H527" s="110" t="str">
        <f>IF($L527="","",INDEX('MTRs'!$AT$6:$AT$505,$L527)&amp;"")</f>
        <v/>
      </c>
      <c r="L527" t="str">
        <f>IFERROR(MATCH(SMALL('MTRs'!$BC$6:$BC$505,80),'MTRs'!$BC$6:$BC$505,0),"")</f>
        <v/>
      </c>
    </row>
    <row r="528">
      <c r="B528" s="119" t="str">
        <f>IF($L528="","",INDEX('MTRs'!$A$6:$A$505,$L528)&amp;"")</f>
        <v/>
      </c>
      <c r="C528" s="120" t="str">
        <f>IF($L528="","",INDEX('MTRs'!$B$6:$B$505,$L528)&amp;"")</f>
        <v/>
      </c>
      <c r="D528" s="120" t="str">
        <f>IF($L528="","",INDEX('MTRs'!$T$6:$T$505,$L528)&amp;"")</f>
        <v/>
      </c>
      <c r="E528" s="120" t="str">
        <f>IF($L528="","",INDEX('MTRs'!$BF$6:$BF$505,$L528)&amp;"")</f>
        <v/>
      </c>
      <c r="F528" s="129" t="str">
        <f>IF($L528="","",INDEX('MTRs'!$U$6:$U$505,$L528))</f>
        <v/>
      </c>
      <c r="G528" s="120" t="str">
        <f>IF($L528="","",INDEX('MTRs'!$AS$6:$AS$505,$L528)&amp;"")</f>
        <v/>
      </c>
      <c r="H528" s="110" t="str">
        <f>IF($L528="","",INDEX('MTRs'!$AT$6:$AT$505,$L528)&amp;"")</f>
        <v/>
      </c>
      <c r="L528" t="str">
        <f>IFERROR(MATCH(SMALL('MTRs'!$BC$6:$BC$505,81),'MTRs'!$BC$6:$BC$505,0),"")</f>
        <v/>
      </c>
    </row>
    <row r="529">
      <c r="B529" s="119" t="str">
        <f>IF($L529="","",INDEX('MTRs'!$A$6:$A$505,$L529)&amp;"")</f>
        <v/>
      </c>
      <c r="C529" s="120" t="str">
        <f>IF($L529="","",INDEX('MTRs'!$B$6:$B$505,$L529)&amp;"")</f>
        <v/>
      </c>
      <c r="D529" s="120" t="str">
        <f>IF($L529="","",INDEX('MTRs'!$T$6:$T$505,$L529)&amp;"")</f>
        <v/>
      </c>
      <c r="E529" s="120" t="str">
        <f>IF($L529="","",INDEX('MTRs'!$BF$6:$BF$505,$L529)&amp;"")</f>
        <v/>
      </c>
      <c r="F529" s="129" t="str">
        <f>IF($L529="","",INDEX('MTRs'!$U$6:$U$505,$L529))</f>
        <v/>
      </c>
      <c r="G529" s="120" t="str">
        <f>IF($L529="","",INDEX('MTRs'!$AS$6:$AS$505,$L529)&amp;"")</f>
        <v/>
      </c>
      <c r="H529" s="110" t="str">
        <f>IF($L529="","",INDEX('MTRs'!$AT$6:$AT$505,$L529)&amp;"")</f>
        <v/>
      </c>
      <c r="L529" t="str">
        <f>IFERROR(MATCH(SMALL('MTRs'!$BC$6:$BC$505,82),'MTRs'!$BC$6:$BC$505,0),"")</f>
        <v/>
      </c>
    </row>
    <row r="530">
      <c r="B530" s="119" t="str">
        <f>IF($L530="","",INDEX('MTRs'!$A$6:$A$505,$L530)&amp;"")</f>
        <v/>
      </c>
      <c r="C530" s="120" t="str">
        <f>IF($L530="","",INDEX('MTRs'!$B$6:$B$505,$L530)&amp;"")</f>
        <v/>
      </c>
      <c r="D530" s="120" t="str">
        <f>IF($L530="","",INDEX('MTRs'!$T$6:$T$505,$L530)&amp;"")</f>
        <v/>
      </c>
      <c r="E530" s="120" t="str">
        <f>IF($L530="","",INDEX('MTRs'!$BF$6:$BF$505,$L530)&amp;"")</f>
        <v/>
      </c>
      <c r="F530" s="129" t="str">
        <f>IF($L530="","",INDEX('MTRs'!$U$6:$U$505,$L530))</f>
        <v/>
      </c>
      <c r="G530" s="120" t="str">
        <f>IF($L530="","",INDEX('MTRs'!$AS$6:$AS$505,$L530)&amp;"")</f>
        <v/>
      </c>
      <c r="H530" s="110" t="str">
        <f>IF($L530="","",INDEX('MTRs'!$AT$6:$AT$505,$L530)&amp;"")</f>
        <v/>
      </c>
      <c r="L530" t="str">
        <f>IFERROR(MATCH(SMALL('MTRs'!$BC$6:$BC$505,83),'MTRs'!$BC$6:$BC$505,0),"")</f>
        <v/>
      </c>
    </row>
    <row r="531">
      <c r="B531" s="119" t="str">
        <f>IF($L531="","",INDEX('MTRs'!$A$6:$A$505,$L531)&amp;"")</f>
        <v/>
      </c>
      <c r="C531" s="120" t="str">
        <f>IF($L531="","",INDEX('MTRs'!$B$6:$B$505,$L531)&amp;"")</f>
        <v/>
      </c>
      <c r="D531" s="120" t="str">
        <f>IF($L531="","",INDEX('MTRs'!$T$6:$T$505,$L531)&amp;"")</f>
        <v/>
      </c>
      <c r="E531" s="120" t="str">
        <f>IF($L531="","",INDEX('MTRs'!$BF$6:$BF$505,$L531)&amp;"")</f>
        <v/>
      </c>
      <c r="F531" s="129" t="str">
        <f>IF($L531="","",INDEX('MTRs'!$U$6:$U$505,$L531))</f>
        <v/>
      </c>
      <c r="G531" s="120" t="str">
        <f>IF($L531="","",INDEX('MTRs'!$AS$6:$AS$505,$L531)&amp;"")</f>
        <v/>
      </c>
      <c r="H531" s="110" t="str">
        <f>IF($L531="","",INDEX('MTRs'!$AT$6:$AT$505,$L531)&amp;"")</f>
        <v/>
      </c>
      <c r="L531" t="str">
        <f>IFERROR(MATCH(SMALL('MTRs'!$BC$6:$BC$505,84),'MTRs'!$BC$6:$BC$505,0),"")</f>
        <v/>
      </c>
    </row>
    <row r="532">
      <c r="B532" s="119" t="str">
        <f>IF($L532="","",INDEX('MTRs'!$A$6:$A$505,$L532)&amp;"")</f>
        <v/>
      </c>
      <c r="C532" s="120" t="str">
        <f>IF($L532="","",INDEX('MTRs'!$B$6:$B$505,$L532)&amp;"")</f>
        <v/>
      </c>
      <c r="D532" s="120" t="str">
        <f>IF($L532="","",INDEX('MTRs'!$T$6:$T$505,$L532)&amp;"")</f>
        <v/>
      </c>
      <c r="E532" s="120" t="str">
        <f>IF($L532="","",INDEX('MTRs'!$BF$6:$BF$505,$L532)&amp;"")</f>
        <v/>
      </c>
      <c r="F532" s="129" t="str">
        <f>IF($L532="","",INDEX('MTRs'!$U$6:$U$505,$L532))</f>
        <v/>
      </c>
      <c r="G532" s="120" t="str">
        <f>IF($L532="","",INDEX('MTRs'!$AS$6:$AS$505,$L532)&amp;"")</f>
        <v/>
      </c>
      <c r="H532" s="110" t="str">
        <f>IF($L532="","",INDEX('MTRs'!$AT$6:$AT$505,$L532)&amp;"")</f>
        <v/>
      </c>
      <c r="L532" t="str">
        <f>IFERROR(MATCH(SMALL('MTRs'!$BC$6:$BC$505,85),'MTRs'!$BC$6:$BC$505,0),"")</f>
        <v/>
      </c>
    </row>
    <row r="533">
      <c r="B533" s="119" t="str">
        <f>IF($L533="","",INDEX('MTRs'!$A$6:$A$505,$L533)&amp;"")</f>
        <v/>
      </c>
      <c r="C533" s="120" t="str">
        <f>IF($L533="","",INDEX('MTRs'!$B$6:$B$505,$L533)&amp;"")</f>
        <v/>
      </c>
      <c r="D533" s="120" t="str">
        <f>IF($L533="","",INDEX('MTRs'!$T$6:$T$505,$L533)&amp;"")</f>
        <v/>
      </c>
      <c r="E533" s="120" t="str">
        <f>IF($L533="","",INDEX('MTRs'!$BF$6:$BF$505,$L533)&amp;"")</f>
        <v/>
      </c>
      <c r="F533" s="129" t="str">
        <f>IF($L533="","",INDEX('MTRs'!$U$6:$U$505,$L533))</f>
        <v/>
      </c>
      <c r="G533" s="120" t="str">
        <f>IF($L533="","",INDEX('MTRs'!$AS$6:$AS$505,$L533)&amp;"")</f>
        <v/>
      </c>
      <c r="H533" s="110" t="str">
        <f>IF($L533="","",INDEX('MTRs'!$AT$6:$AT$505,$L533)&amp;"")</f>
        <v/>
      </c>
      <c r="L533" t="str">
        <f>IFERROR(MATCH(SMALL('MTRs'!$BC$6:$BC$505,86),'MTRs'!$BC$6:$BC$505,0),"")</f>
        <v/>
      </c>
    </row>
    <row r="534">
      <c r="B534" s="119" t="str">
        <f>IF($L534="","",INDEX('MTRs'!$A$6:$A$505,$L534)&amp;"")</f>
        <v/>
      </c>
      <c r="C534" s="120" t="str">
        <f>IF($L534="","",INDEX('MTRs'!$B$6:$B$505,$L534)&amp;"")</f>
        <v/>
      </c>
      <c r="D534" s="120" t="str">
        <f>IF($L534="","",INDEX('MTRs'!$T$6:$T$505,$L534)&amp;"")</f>
        <v/>
      </c>
      <c r="E534" s="120" t="str">
        <f>IF($L534="","",INDEX('MTRs'!$BF$6:$BF$505,$L534)&amp;"")</f>
        <v/>
      </c>
      <c r="F534" s="129" t="str">
        <f>IF($L534="","",INDEX('MTRs'!$U$6:$U$505,$L534))</f>
        <v/>
      </c>
      <c r="G534" s="120" t="str">
        <f>IF($L534="","",INDEX('MTRs'!$AS$6:$AS$505,$L534)&amp;"")</f>
        <v/>
      </c>
      <c r="H534" s="110" t="str">
        <f>IF($L534="","",INDEX('MTRs'!$AT$6:$AT$505,$L534)&amp;"")</f>
        <v/>
      </c>
      <c r="L534" t="str">
        <f>IFERROR(MATCH(SMALL('MTRs'!$BC$6:$BC$505,87),'MTRs'!$BC$6:$BC$505,0),"")</f>
        <v/>
      </c>
    </row>
    <row r="535">
      <c r="B535" s="119" t="str">
        <f>IF($L535="","",INDEX('MTRs'!$A$6:$A$505,$L535)&amp;"")</f>
        <v/>
      </c>
      <c r="C535" s="120" t="str">
        <f>IF($L535="","",INDEX('MTRs'!$B$6:$B$505,$L535)&amp;"")</f>
        <v/>
      </c>
      <c r="D535" s="120" t="str">
        <f>IF($L535="","",INDEX('MTRs'!$T$6:$T$505,$L535)&amp;"")</f>
        <v/>
      </c>
      <c r="E535" s="120" t="str">
        <f>IF($L535="","",INDEX('MTRs'!$BF$6:$BF$505,$L535)&amp;"")</f>
        <v/>
      </c>
      <c r="F535" s="129" t="str">
        <f>IF($L535="","",INDEX('MTRs'!$U$6:$U$505,$L535))</f>
        <v/>
      </c>
      <c r="G535" s="120" t="str">
        <f>IF($L535="","",INDEX('MTRs'!$AS$6:$AS$505,$L535)&amp;"")</f>
        <v/>
      </c>
      <c r="H535" s="110" t="str">
        <f>IF($L535="","",INDEX('MTRs'!$AT$6:$AT$505,$L535)&amp;"")</f>
        <v/>
      </c>
      <c r="L535" t="str">
        <f>IFERROR(MATCH(SMALL('MTRs'!$BC$6:$BC$505,88),'MTRs'!$BC$6:$BC$505,0),"")</f>
        <v/>
      </c>
    </row>
    <row r="536">
      <c r="B536" s="119" t="str">
        <f>IF($L536="","",INDEX('MTRs'!$A$6:$A$505,$L536)&amp;"")</f>
        <v/>
      </c>
      <c r="C536" s="120" t="str">
        <f>IF($L536="","",INDEX('MTRs'!$B$6:$B$505,$L536)&amp;"")</f>
        <v/>
      </c>
      <c r="D536" s="120" t="str">
        <f>IF($L536="","",INDEX('MTRs'!$T$6:$T$505,$L536)&amp;"")</f>
        <v/>
      </c>
      <c r="E536" s="120" t="str">
        <f>IF($L536="","",INDEX('MTRs'!$BF$6:$BF$505,$L536)&amp;"")</f>
        <v/>
      </c>
      <c r="F536" s="129" t="str">
        <f>IF($L536="","",INDEX('MTRs'!$U$6:$U$505,$L536))</f>
        <v/>
      </c>
      <c r="G536" s="120" t="str">
        <f>IF($L536="","",INDEX('MTRs'!$AS$6:$AS$505,$L536)&amp;"")</f>
        <v/>
      </c>
      <c r="H536" s="110" t="str">
        <f>IF($L536="","",INDEX('MTRs'!$AT$6:$AT$505,$L536)&amp;"")</f>
        <v/>
      </c>
      <c r="L536" t="str">
        <f>IFERROR(MATCH(SMALL('MTRs'!$BC$6:$BC$505,89),'MTRs'!$BC$6:$BC$505,0),"")</f>
        <v/>
      </c>
    </row>
    <row r="537">
      <c r="B537" s="119" t="str">
        <f>IF($L537="","",INDEX('MTRs'!$A$6:$A$505,$L537)&amp;"")</f>
        <v/>
      </c>
      <c r="C537" s="120" t="str">
        <f>IF($L537="","",INDEX('MTRs'!$B$6:$B$505,$L537)&amp;"")</f>
        <v/>
      </c>
      <c r="D537" s="120" t="str">
        <f>IF($L537="","",INDEX('MTRs'!$T$6:$T$505,$L537)&amp;"")</f>
        <v/>
      </c>
      <c r="E537" s="120" t="str">
        <f>IF($L537="","",INDEX('MTRs'!$BF$6:$BF$505,$L537)&amp;"")</f>
        <v/>
      </c>
      <c r="F537" s="129" t="str">
        <f>IF($L537="","",INDEX('MTRs'!$U$6:$U$505,$L537))</f>
        <v/>
      </c>
      <c r="G537" s="120" t="str">
        <f>IF($L537="","",INDEX('MTRs'!$AS$6:$AS$505,$L537)&amp;"")</f>
        <v/>
      </c>
      <c r="H537" s="110" t="str">
        <f>IF($L537="","",INDEX('MTRs'!$AT$6:$AT$505,$L537)&amp;"")</f>
        <v/>
      </c>
      <c r="L537" t="str">
        <f>IFERROR(MATCH(SMALL('MTRs'!$BC$6:$BC$505,90),'MTRs'!$BC$6:$BC$505,0),"")</f>
        <v/>
      </c>
    </row>
    <row r="538">
      <c r="B538" s="119" t="str">
        <f>IF($L538="","",INDEX('MTRs'!$A$6:$A$505,$L538)&amp;"")</f>
        <v/>
      </c>
      <c r="C538" s="120" t="str">
        <f>IF($L538="","",INDEX('MTRs'!$B$6:$B$505,$L538)&amp;"")</f>
        <v/>
      </c>
      <c r="D538" s="120" t="str">
        <f>IF($L538="","",INDEX('MTRs'!$T$6:$T$505,$L538)&amp;"")</f>
        <v/>
      </c>
      <c r="E538" s="120" t="str">
        <f>IF($L538="","",INDEX('MTRs'!$BF$6:$BF$505,$L538)&amp;"")</f>
        <v/>
      </c>
      <c r="F538" s="129" t="str">
        <f>IF($L538="","",INDEX('MTRs'!$U$6:$U$505,$L538))</f>
        <v/>
      </c>
      <c r="G538" s="120" t="str">
        <f>IF($L538="","",INDEX('MTRs'!$AS$6:$AS$505,$L538)&amp;"")</f>
        <v/>
      </c>
      <c r="H538" s="110" t="str">
        <f>IF($L538="","",INDEX('MTRs'!$AT$6:$AT$505,$L538)&amp;"")</f>
        <v/>
      </c>
      <c r="L538" t="str">
        <f>IFERROR(MATCH(SMALL('MTRs'!$BC$6:$BC$505,91),'MTRs'!$BC$6:$BC$505,0),"")</f>
        <v/>
      </c>
    </row>
    <row r="539">
      <c r="B539" s="119" t="str">
        <f>IF($L539="","",INDEX('MTRs'!$A$6:$A$505,$L539)&amp;"")</f>
        <v/>
      </c>
      <c r="C539" s="120" t="str">
        <f>IF($L539="","",INDEX('MTRs'!$B$6:$B$505,$L539)&amp;"")</f>
        <v/>
      </c>
      <c r="D539" s="120" t="str">
        <f>IF($L539="","",INDEX('MTRs'!$T$6:$T$505,$L539)&amp;"")</f>
        <v/>
      </c>
      <c r="E539" s="120" t="str">
        <f>IF($L539="","",INDEX('MTRs'!$BF$6:$BF$505,$L539)&amp;"")</f>
        <v/>
      </c>
      <c r="F539" s="129" t="str">
        <f>IF($L539="","",INDEX('MTRs'!$U$6:$U$505,$L539))</f>
        <v/>
      </c>
      <c r="G539" s="120" t="str">
        <f>IF($L539="","",INDEX('MTRs'!$AS$6:$AS$505,$L539)&amp;"")</f>
        <v/>
      </c>
      <c r="H539" s="110" t="str">
        <f>IF($L539="","",INDEX('MTRs'!$AT$6:$AT$505,$L539)&amp;"")</f>
        <v/>
      </c>
      <c r="L539" t="str">
        <f>IFERROR(MATCH(SMALL('MTRs'!$BC$6:$BC$505,92),'MTRs'!$BC$6:$BC$505,0),"")</f>
        <v/>
      </c>
    </row>
    <row r="540">
      <c r="B540" s="119" t="str">
        <f>IF($L540="","",INDEX('MTRs'!$A$6:$A$505,$L540)&amp;"")</f>
        <v/>
      </c>
      <c r="C540" s="120" t="str">
        <f>IF($L540="","",INDEX('MTRs'!$B$6:$B$505,$L540)&amp;"")</f>
        <v/>
      </c>
      <c r="D540" s="120" t="str">
        <f>IF($L540="","",INDEX('MTRs'!$T$6:$T$505,$L540)&amp;"")</f>
        <v/>
      </c>
      <c r="E540" s="120" t="str">
        <f>IF($L540="","",INDEX('MTRs'!$BF$6:$BF$505,$L540)&amp;"")</f>
        <v/>
      </c>
      <c r="F540" s="129" t="str">
        <f>IF($L540="","",INDEX('MTRs'!$U$6:$U$505,$L540))</f>
        <v/>
      </c>
      <c r="G540" s="120" t="str">
        <f>IF($L540="","",INDEX('MTRs'!$AS$6:$AS$505,$L540)&amp;"")</f>
        <v/>
      </c>
      <c r="H540" s="110" t="str">
        <f>IF($L540="","",INDEX('MTRs'!$AT$6:$AT$505,$L540)&amp;"")</f>
        <v/>
      </c>
      <c r="L540" t="str">
        <f>IFERROR(MATCH(SMALL('MTRs'!$BC$6:$BC$505,93),'MTRs'!$BC$6:$BC$505,0),"")</f>
        <v/>
      </c>
    </row>
    <row r="541">
      <c r="B541" s="119" t="str">
        <f>IF($L541="","",INDEX('MTRs'!$A$6:$A$505,$L541)&amp;"")</f>
        <v/>
      </c>
      <c r="C541" s="120" t="str">
        <f>IF($L541="","",INDEX('MTRs'!$B$6:$B$505,$L541)&amp;"")</f>
        <v/>
      </c>
      <c r="D541" s="120" t="str">
        <f>IF($L541="","",INDEX('MTRs'!$T$6:$T$505,$L541)&amp;"")</f>
        <v/>
      </c>
      <c r="E541" s="120" t="str">
        <f>IF($L541="","",INDEX('MTRs'!$BF$6:$BF$505,$L541)&amp;"")</f>
        <v/>
      </c>
      <c r="F541" s="129" t="str">
        <f>IF($L541="","",INDEX('MTRs'!$U$6:$U$505,$L541))</f>
        <v/>
      </c>
      <c r="G541" s="120" t="str">
        <f>IF($L541="","",INDEX('MTRs'!$AS$6:$AS$505,$L541)&amp;"")</f>
        <v/>
      </c>
      <c r="H541" s="110" t="str">
        <f>IF($L541="","",INDEX('MTRs'!$AT$6:$AT$505,$L541)&amp;"")</f>
        <v/>
      </c>
      <c r="L541" t="str">
        <f>IFERROR(MATCH(SMALL('MTRs'!$BC$6:$BC$505,94),'MTRs'!$BC$6:$BC$505,0),"")</f>
        <v/>
      </c>
    </row>
    <row r="542">
      <c r="B542" s="119" t="str">
        <f>IF($L542="","",INDEX('MTRs'!$A$6:$A$505,$L542)&amp;"")</f>
        <v/>
      </c>
      <c r="C542" s="120" t="str">
        <f>IF($L542="","",INDEX('MTRs'!$B$6:$B$505,$L542)&amp;"")</f>
        <v/>
      </c>
      <c r="D542" s="120" t="str">
        <f>IF($L542="","",INDEX('MTRs'!$T$6:$T$505,$L542)&amp;"")</f>
        <v/>
      </c>
      <c r="E542" s="120" t="str">
        <f>IF($L542="","",INDEX('MTRs'!$BF$6:$BF$505,$L542)&amp;"")</f>
        <v/>
      </c>
      <c r="F542" s="129" t="str">
        <f>IF($L542="","",INDEX('MTRs'!$U$6:$U$505,$L542))</f>
        <v/>
      </c>
      <c r="G542" s="120" t="str">
        <f>IF($L542="","",INDEX('MTRs'!$AS$6:$AS$505,$L542)&amp;"")</f>
        <v/>
      </c>
      <c r="H542" s="110" t="str">
        <f>IF($L542="","",INDEX('MTRs'!$AT$6:$AT$505,$L542)&amp;"")</f>
        <v/>
      </c>
      <c r="L542" t="str">
        <f>IFERROR(MATCH(SMALL('MTRs'!$BC$6:$BC$505,95),'MTRs'!$BC$6:$BC$505,0),"")</f>
        <v/>
      </c>
    </row>
    <row r="543">
      <c r="B543" s="119" t="str">
        <f>IF($L543="","",INDEX('MTRs'!$A$6:$A$505,$L543)&amp;"")</f>
        <v/>
      </c>
      <c r="C543" s="120" t="str">
        <f>IF($L543="","",INDEX('MTRs'!$B$6:$B$505,$L543)&amp;"")</f>
        <v/>
      </c>
      <c r="D543" s="120" t="str">
        <f>IF($L543="","",INDEX('MTRs'!$T$6:$T$505,$L543)&amp;"")</f>
        <v/>
      </c>
      <c r="E543" s="120" t="str">
        <f>IF($L543="","",INDEX('MTRs'!$BF$6:$BF$505,$L543)&amp;"")</f>
        <v/>
      </c>
      <c r="F543" s="129" t="str">
        <f>IF($L543="","",INDEX('MTRs'!$U$6:$U$505,$L543))</f>
        <v/>
      </c>
      <c r="G543" s="120" t="str">
        <f>IF($L543="","",INDEX('MTRs'!$AS$6:$AS$505,$L543)&amp;"")</f>
        <v/>
      </c>
      <c r="H543" s="110" t="str">
        <f>IF($L543="","",INDEX('MTRs'!$AT$6:$AT$505,$L543)&amp;"")</f>
        <v/>
      </c>
      <c r="L543" t="str">
        <f>IFERROR(MATCH(SMALL('MTRs'!$BC$6:$BC$505,96),'MTRs'!$BC$6:$BC$505,0),"")</f>
        <v/>
      </c>
    </row>
    <row r="544">
      <c r="B544" s="119" t="str">
        <f>IF($L544="","",INDEX('MTRs'!$A$6:$A$505,$L544)&amp;"")</f>
        <v/>
      </c>
      <c r="C544" s="120" t="str">
        <f>IF($L544="","",INDEX('MTRs'!$B$6:$B$505,$L544)&amp;"")</f>
        <v/>
      </c>
      <c r="D544" s="120" t="str">
        <f>IF($L544="","",INDEX('MTRs'!$T$6:$T$505,$L544)&amp;"")</f>
        <v/>
      </c>
      <c r="E544" s="120" t="str">
        <f>IF($L544="","",INDEX('MTRs'!$BF$6:$BF$505,$L544)&amp;"")</f>
        <v/>
      </c>
      <c r="F544" s="129" t="str">
        <f>IF($L544="","",INDEX('MTRs'!$U$6:$U$505,$L544))</f>
        <v/>
      </c>
      <c r="G544" s="120" t="str">
        <f>IF($L544="","",INDEX('MTRs'!$AS$6:$AS$505,$L544)&amp;"")</f>
        <v/>
      </c>
      <c r="H544" s="110" t="str">
        <f>IF($L544="","",INDEX('MTRs'!$AT$6:$AT$505,$L544)&amp;"")</f>
        <v/>
      </c>
      <c r="L544" t="str">
        <f>IFERROR(MATCH(SMALL('MTRs'!$BC$6:$BC$505,97),'MTRs'!$BC$6:$BC$505,0),"")</f>
        <v/>
      </c>
    </row>
    <row r="545">
      <c r="B545" s="119" t="str">
        <f>IF($L545="","",INDEX('MTRs'!$A$6:$A$505,$L545)&amp;"")</f>
        <v/>
      </c>
      <c r="C545" s="120" t="str">
        <f>IF($L545="","",INDEX('MTRs'!$B$6:$B$505,$L545)&amp;"")</f>
        <v/>
      </c>
      <c r="D545" s="120" t="str">
        <f>IF($L545="","",INDEX('MTRs'!$T$6:$T$505,$L545)&amp;"")</f>
        <v/>
      </c>
      <c r="E545" s="120" t="str">
        <f>IF($L545="","",INDEX('MTRs'!$BF$6:$BF$505,$L545)&amp;"")</f>
        <v/>
      </c>
      <c r="F545" s="129" t="str">
        <f>IF($L545="","",INDEX('MTRs'!$U$6:$U$505,$L545))</f>
        <v/>
      </c>
      <c r="G545" s="120" t="str">
        <f>IF($L545="","",INDEX('MTRs'!$AS$6:$AS$505,$L545)&amp;"")</f>
        <v/>
      </c>
      <c r="H545" s="110" t="str">
        <f>IF($L545="","",INDEX('MTRs'!$AT$6:$AT$505,$L545)&amp;"")</f>
        <v/>
      </c>
      <c r="L545" t="str">
        <f>IFERROR(MATCH(SMALL('MTRs'!$BC$6:$BC$505,98),'MTRs'!$BC$6:$BC$505,0),"")</f>
        <v/>
      </c>
    </row>
    <row r="546">
      <c r="B546" s="119" t="str">
        <f>IF($L546="","",INDEX('MTRs'!$A$6:$A$505,$L546)&amp;"")</f>
        <v/>
      </c>
      <c r="C546" s="120" t="str">
        <f>IF($L546="","",INDEX('MTRs'!$B$6:$B$505,$L546)&amp;"")</f>
        <v/>
      </c>
      <c r="D546" s="120" t="str">
        <f>IF($L546="","",INDEX('MTRs'!$T$6:$T$505,$L546)&amp;"")</f>
        <v/>
      </c>
      <c r="E546" s="120" t="str">
        <f>IF($L546="","",INDEX('MTRs'!$BF$6:$BF$505,$L546)&amp;"")</f>
        <v/>
      </c>
      <c r="F546" s="129" t="str">
        <f>IF($L546="","",INDEX('MTRs'!$U$6:$U$505,$L546))</f>
        <v/>
      </c>
      <c r="G546" s="120" t="str">
        <f>IF($L546="","",INDEX('MTRs'!$AS$6:$AS$505,$L546)&amp;"")</f>
        <v/>
      </c>
      <c r="H546" s="110" t="str">
        <f>IF($L546="","",INDEX('MTRs'!$AT$6:$AT$505,$L546)&amp;"")</f>
        <v/>
      </c>
      <c r="L546" t="str">
        <f>IFERROR(MATCH(SMALL('MTRs'!$BC$6:$BC$505,99),'MTRs'!$BC$6:$BC$505,0),"")</f>
        <v/>
      </c>
    </row>
    <row r="547">
      <c r="B547" s="119" t="str">
        <f>IF($L547="","",INDEX('MTRs'!$A$6:$A$505,$L547)&amp;"")</f>
        <v/>
      </c>
      <c r="C547" s="120" t="str">
        <f>IF($L547="","",INDEX('MTRs'!$B$6:$B$505,$L547)&amp;"")</f>
        <v/>
      </c>
      <c r="D547" s="120" t="str">
        <f>IF($L547="","",INDEX('MTRs'!$T$6:$T$505,$L547)&amp;"")</f>
        <v/>
      </c>
      <c r="E547" s="120" t="str">
        <f>IF($L547="","",INDEX('MTRs'!$BF$6:$BF$505,$L547)&amp;"")</f>
        <v/>
      </c>
      <c r="F547" s="129" t="str">
        <f>IF($L547="","",INDEX('MTRs'!$U$6:$U$505,$L547))</f>
        <v/>
      </c>
      <c r="G547" s="120" t="str">
        <f>IF($L547="","",INDEX('MTRs'!$AS$6:$AS$505,$L547)&amp;"")</f>
        <v/>
      </c>
      <c r="H547" s="110" t="str">
        <f>IF($L547="","",INDEX('MTRs'!$AT$6:$AT$505,$L547)&amp;"")</f>
        <v/>
      </c>
      <c r="L547" t="str">
        <f>IFERROR(MATCH(SMALL('MTRs'!$BC$6:$BC$505,100),'MTRs'!$BC$6:$BC$505,0),"")</f>
        <v/>
      </c>
    </row>
    <row r="548">
      <c r="B548" s="119" t="str">
        <f>IF($L548="","",INDEX('MTRs'!$A$6:$A$505,$L548)&amp;"")</f>
        <v/>
      </c>
      <c r="C548" s="120" t="str">
        <f>IF($L548="","",INDEX('MTRs'!$B$6:$B$505,$L548)&amp;"")</f>
        <v/>
      </c>
      <c r="D548" s="120" t="str">
        <f>IF($L548="","",INDEX('MTRs'!$T$6:$T$505,$L548)&amp;"")</f>
        <v/>
      </c>
      <c r="E548" s="120" t="str">
        <f>IF($L548="","",INDEX('MTRs'!$BF$6:$BF$505,$L548)&amp;"")</f>
        <v/>
      </c>
      <c r="F548" s="129" t="str">
        <f>IF($L548="","",INDEX('MTRs'!$U$6:$U$505,$L548))</f>
        <v/>
      </c>
      <c r="G548" s="120" t="str">
        <f>IF($L548="","",INDEX('MTRs'!$AS$6:$AS$505,$L548)&amp;"")</f>
        <v/>
      </c>
      <c r="H548" s="110" t="str">
        <f>IF($L548="","",INDEX('MTRs'!$AT$6:$AT$505,$L548)&amp;"")</f>
        <v/>
      </c>
      <c r="L548" t="str">
        <f>IFERROR(MATCH(SMALL('MTRs'!$BC$6:$BC$505,101),'MTRs'!$BC$6:$BC$505,0),"")</f>
        <v/>
      </c>
    </row>
    <row r="549">
      <c r="B549" s="119" t="str">
        <f>IF($L549="","",INDEX('MTRs'!$A$6:$A$505,$L549)&amp;"")</f>
        <v/>
      </c>
      <c r="C549" s="120" t="str">
        <f>IF($L549="","",INDEX('MTRs'!$B$6:$B$505,$L549)&amp;"")</f>
        <v/>
      </c>
      <c r="D549" s="120" t="str">
        <f>IF($L549="","",INDEX('MTRs'!$T$6:$T$505,$L549)&amp;"")</f>
        <v/>
      </c>
      <c r="E549" s="120" t="str">
        <f>IF($L549="","",INDEX('MTRs'!$BF$6:$BF$505,$L549)&amp;"")</f>
        <v/>
      </c>
      <c r="F549" s="129" t="str">
        <f>IF($L549="","",INDEX('MTRs'!$U$6:$U$505,$L549))</f>
        <v/>
      </c>
      <c r="G549" s="120" t="str">
        <f>IF($L549="","",INDEX('MTRs'!$AS$6:$AS$505,$L549)&amp;"")</f>
        <v/>
      </c>
      <c r="H549" s="110" t="str">
        <f>IF($L549="","",INDEX('MTRs'!$AT$6:$AT$505,$L549)&amp;"")</f>
        <v/>
      </c>
      <c r="L549" t="str">
        <f>IFERROR(MATCH(SMALL('MTRs'!$BC$6:$BC$505,102),'MTRs'!$BC$6:$BC$505,0),"")</f>
        <v/>
      </c>
    </row>
    <row r="550">
      <c r="B550" s="119" t="str">
        <f>IF($L550="","",INDEX('MTRs'!$A$6:$A$505,$L550)&amp;"")</f>
        <v/>
      </c>
      <c r="C550" s="120" t="str">
        <f>IF($L550="","",INDEX('MTRs'!$B$6:$B$505,$L550)&amp;"")</f>
        <v/>
      </c>
      <c r="D550" s="120" t="str">
        <f>IF($L550="","",INDEX('MTRs'!$T$6:$T$505,$L550)&amp;"")</f>
        <v/>
      </c>
      <c r="E550" s="120" t="str">
        <f>IF($L550="","",INDEX('MTRs'!$BF$6:$BF$505,$L550)&amp;"")</f>
        <v/>
      </c>
      <c r="F550" s="129" t="str">
        <f>IF($L550="","",INDEX('MTRs'!$U$6:$U$505,$L550))</f>
        <v/>
      </c>
      <c r="G550" s="120" t="str">
        <f>IF($L550="","",INDEX('MTRs'!$AS$6:$AS$505,$L550)&amp;"")</f>
        <v/>
      </c>
      <c r="H550" s="110" t="str">
        <f>IF($L550="","",INDEX('MTRs'!$AT$6:$AT$505,$L550)&amp;"")</f>
        <v/>
      </c>
      <c r="L550" t="str">
        <f>IFERROR(MATCH(SMALL('MTRs'!$BC$6:$BC$505,103),'MTRs'!$BC$6:$BC$505,0),"")</f>
        <v/>
      </c>
    </row>
    <row r="551">
      <c r="B551" s="119" t="str">
        <f>IF($L551="","",INDEX('MTRs'!$A$6:$A$505,$L551)&amp;"")</f>
        <v/>
      </c>
      <c r="C551" s="120" t="str">
        <f>IF($L551="","",INDEX('MTRs'!$B$6:$B$505,$L551)&amp;"")</f>
        <v/>
      </c>
      <c r="D551" s="120" t="str">
        <f>IF($L551="","",INDEX('MTRs'!$T$6:$T$505,$L551)&amp;"")</f>
        <v/>
      </c>
      <c r="E551" s="120" t="str">
        <f>IF($L551="","",INDEX('MTRs'!$BF$6:$BF$505,$L551)&amp;"")</f>
        <v/>
      </c>
      <c r="F551" s="129" t="str">
        <f>IF($L551="","",INDEX('MTRs'!$U$6:$U$505,$L551))</f>
        <v/>
      </c>
      <c r="G551" s="120" t="str">
        <f>IF($L551="","",INDEX('MTRs'!$AS$6:$AS$505,$L551)&amp;"")</f>
        <v/>
      </c>
      <c r="H551" s="110" t="str">
        <f>IF($L551="","",INDEX('MTRs'!$AT$6:$AT$505,$L551)&amp;"")</f>
        <v/>
      </c>
      <c r="L551" t="str">
        <f>IFERROR(MATCH(SMALL('MTRs'!$BC$6:$BC$505,104),'MTRs'!$BC$6:$BC$505,0),"")</f>
        <v/>
      </c>
    </row>
    <row r="552">
      <c r="B552" s="119" t="str">
        <f>IF($L552="","",INDEX('MTRs'!$A$6:$A$505,$L552)&amp;"")</f>
        <v/>
      </c>
      <c r="C552" s="120" t="str">
        <f>IF($L552="","",INDEX('MTRs'!$B$6:$B$505,$L552)&amp;"")</f>
        <v/>
      </c>
      <c r="D552" s="120" t="str">
        <f>IF($L552="","",INDEX('MTRs'!$T$6:$T$505,$L552)&amp;"")</f>
        <v/>
      </c>
      <c r="E552" s="120" t="str">
        <f>IF($L552="","",INDEX('MTRs'!$BF$6:$BF$505,$L552)&amp;"")</f>
        <v/>
      </c>
      <c r="F552" s="129" t="str">
        <f>IF($L552="","",INDEX('MTRs'!$U$6:$U$505,$L552))</f>
        <v/>
      </c>
      <c r="G552" s="120" t="str">
        <f>IF($L552="","",INDEX('MTRs'!$AS$6:$AS$505,$L552)&amp;"")</f>
        <v/>
      </c>
      <c r="H552" s="110" t="str">
        <f>IF($L552="","",INDEX('MTRs'!$AT$6:$AT$505,$L552)&amp;"")</f>
        <v/>
      </c>
      <c r="L552" t="str">
        <f>IFERROR(MATCH(SMALL('MTRs'!$BC$6:$BC$505,105),'MTRs'!$BC$6:$BC$505,0),"")</f>
        <v/>
      </c>
    </row>
    <row r="553">
      <c r="B553" s="119" t="str">
        <f>IF($L553="","",INDEX('MTRs'!$A$6:$A$505,$L553)&amp;"")</f>
        <v/>
      </c>
      <c r="C553" s="120" t="str">
        <f>IF($L553="","",INDEX('MTRs'!$B$6:$B$505,$L553)&amp;"")</f>
        <v/>
      </c>
      <c r="D553" s="120" t="str">
        <f>IF($L553="","",INDEX('MTRs'!$T$6:$T$505,$L553)&amp;"")</f>
        <v/>
      </c>
      <c r="E553" s="120" t="str">
        <f>IF($L553="","",INDEX('MTRs'!$BF$6:$BF$505,$L553)&amp;"")</f>
        <v/>
      </c>
      <c r="F553" s="129" t="str">
        <f>IF($L553="","",INDEX('MTRs'!$U$6:$U$505,$L553))</f>
        <v/>
      </c>
      <c r="G553" s="120" t="str">
        <f>IF($L553="","",INDEX('MTRs'!$AS$6:$AS$505,$L553)&amp;"")</f>
        <v/>
      </c>
      <c r="H553" s="110" t="str">
        <f>IF($L553="","",INDEX('MTRs'!$AT$6:$AT$505,$L553)&amp;"")</f>
        <v/>
      </c>
      <c r="L553" t="str">
        <f>IFERROR(MATCH(SMALL('MTRs'!$BC$6:$BC$505,106),'MTRs'!$BC$6:$BC$505,0),"")</f>
        <v/>
      </c>
    </row>
    <row r="554">
      <c r="B554" s="119" t="str">
        <f>IF($L554="","",INDEX('MTRs'!$A$6:$A$505,$L554)&amp;"")</f>
        <v/>
      </c>
      <c r="C554" s="120" t="str">
        <f>IF($L554="","",INDEX('MTRs'!$B$6:$B$505,$L554)&amp;"")</f>
        <v/>
      </c>
      <c r="D554" s="120" t="str">
        <f>IF($L554="","",INDEX('MTRs'!$T$6:$T$505,$L554)&amp;"")</f>
        <v/>
      </c>
      <c r="E554" s="120" t="str">
        <f>IF($L554="","",INDEX('MTRs'!$BF$6:$BF$505,$L554)&amp;"")</f>
        <v/>
      </c>
      <c r="F554" s="129" t="str">
        <f>IF($L554="","",INDEX('MTRs'!$U$6:$U$505,$L554))</f>
        <v/>
      </c>
      <c r="G554" s="120" t="str">
        <f>IF($L554="","",INDEX('MTRs'!$AS$6:$AS$505,$L554)&amp;"")</f>
        <v/>
      </c>
      <c r="H554" s="110" t="str">
        <f>IF($L554="","",INDEX('MTRs'!$AT$6:$AT$505,$L554)&amp;"")</f>
        <v/>
      </c>
      <c r="L554" t="str">
        <f>IFERROR(MATCH(SMALL('MTRs'!$BC$6:$BC$505,107),'MTRs'!$BC$6:$BC$505,0),"")</f>
        <v/>
      </c>
    </row>
    <row r="555">
      <c r="B555" s="119" t="str">
        <f>IF($L555="","",INDEX('MTRs'!$A$6:$A$505,$L555)&amp;"")</f>
        <v/>
      </c>
      <c r="C555" s="120" t="str">
        <f>IF($L555="","",INDEX('MTRs'!$B$6:$B$505,$L555)&amp;"")</f>
        <v/>
      </c>
      <c r="D555" s="120" t="str">
        <f>IF($L555="","",INDEX('MTRs'!$T$6:$T$505,$L555)&amp;"")</f>
        <v/>
      </c>
      <c r="E555" s="120" t="str">
        <f>IF($L555="","",INDEX('MTRs'!$BF$6:$BF$505,$L555)&amp;"")</f>
        <v/>
      </c>
      <c r="F555" s="129" t="str">
        <f>IF($L555="","",INDEX('MTRs'!$U$6:$U$505,$L555))</f>
        <v/>
      </c>
      <c r="G555" s="120" t="str">
        <f>IF($L555="","",INDEX('MTRs'!$AS$6:$AS$505,$L555)&amp;"")</f>
        <v/>
      </c>
      <c r="H555" s="110" t="str">
        <f>IF($L555="","",INDEX('MTRs'!$AT$6:$AT$505,$L555)&amp;"")</f>
        <v/>
      </c>
      <c r="L555" t="str">
        <f>IFERROR(MATCH(SMALL('MTRs'!$BC$6:$BC$505,108),'MTRs'!$BC$6:$BC$505,0),"")</f>
        <v/>
      </c>
    </row>
    <row r="556">
      <c r="B556" s="119" t="str">
        <f>IF($L556="","",INDEX('MTRs'!$A$6:$A$505,$L556)&amp;"")</f>
        <v/>
      </c>
      <c r="C556" s="120" t="str">
        <f>IF($L556="","",INDEX('MTRs'!$B$6:$B$505,$L556)&amp;"")</f>
        <v/>
      </c>
      <c r="D556" s="120" t="str">
        <f>IF($L556="","",INDEX('MTRs'!$T$6:$T$505,$L556)&amp;"")</f>
        <v/>
      </c>
      <c r="E556" s="120" t="str">
        <f>IF($L556="","",INDEX('MTRs'!$BF$6:$BF$505,$L556)&amp;"")</f>
        <v/>
      </c>
      <c r="F556" s="129" t="str">
        <f>IF($L556="","",INDEX('MTRs'!$U$6:$U$505,$L556))</f>
        <v/>
      </c>
      <c r="G556" s="120" t="str">
        <f>IF($L556="","",INDEX('MTRs'!$AS$6:$AS$505,$L556)&amp;"")</f>
        <v/>
      </c>
      <c r="H556" s="110" t="str">
        <f>IF($L556="","",INDEX('MTRs'!$AT$6:$AT$505,$L556)&amp;"")</f>
        <v/>
      </c>
      <c r="L556" t="str">
        <f>IFERROR(MATCH(SMALL('MTRs'!$BC$6:$BC$505,109),'MTRs'!$BC$6:$BC$505,0),"")</f>
        <v/>
      </c>
    </row>
    <row r="557">
      <c r="B557" s="119" t="str">
        <f>IF($L557="","",INDEX('MTRs'!$A$6:$A$505,$L557)&amp;"")</f>
        <v/>
      </c>
      <c r="C557" s="120" t="str">
        <f>IF($L557="","",INDEX('MTRs'!$B$6:$B$505,$L557)&amp;"")</f>
        <v/>
      </c>
      <c r="D557" s="120" t="str">
        <f>IF($L557="","",INDEX('MTRs'!$T$6:$T$505,$L557)&amp;"")</f>
        <v/>
      </c>
      <c r="E557" s="120" t="str">
        <f>IF($L557="","",INDEX('MTRs'!$BF$6:$BF$505,$L557)&amp;"")</f>
        <v/>
      </c>
      <c r="F557" s="129" t="str">
        <f>IF($L557="","",INDEX('MTRs'!$U$6:$U$505,$L557))</f>
        <v/>
      </c>
      <c r="G557" s="120" t="str">
        <f>IF($L557="","",INDEX('MTRs'!$AS$6:$AS$505,$L557)&amp;"")</f>
        <v/>
      </c>
      <c r="H557" s="110" t="str">
        <f>IF($L557="","",INDEX('MTRs'!$AT$6:$AT$505,$L557)&amp;"")</f>
        <v/>
      </c>
      <c r="L557" t="str">
        <f>IFERROR(MATCH(SMALL('MTRs'!$BC$6:$BC$505,110),'MTRs'!$BC$6:$BC$505,0),"")</f>
        <v/>
      </c>
    </row>
    <row r="558">
      <c r="B558" s="119" t="str">
        <f>IF($L558="","",INDEX('MTRs'!$A$6:$A$505,$L558)&amp;"")</f>
        <v/>
      </c>
      <c r="C558" s="120" t="str">
        <f>IF($L558="","",INDEX('MTRs'!$B$6:$B$505,$L558)&amp;"")</f>
        <v/>
      </c>
      <c r="D558" s="120" t="str">
        <f>IF($L558="","",INDEX('MTRs'!$T$6:$T$505,$L558)&amp;"")</f>
        <v/>
      </c>
      <c r="E558" s="120" t="str">
        <f>IF($L558="","",INDEX('MTRs'!$BF$6:$BF$505,$L558)&amp;"")</f>
        <v/>
      </c>
      <c r="F558" s="129" t="str">
        <f>IF($L558="","",INDEX('MTRs'!$U$6:$U$505,$L558))</f>
        <v/>
      </c>
      <c r="G558" s="120" t="str">
        <f>IF($L558="","",INDEX('MTRs'!$AS$6:$AS$505,$L558)&amp;"")</f>
        <v/>
      </c>
      <c r="H558" s="110" t="str">
        <f>IF($L558="","",INDEX('MTRs'!$AT$6:$AT$505,$L558)&amp;"")</f>
        <v/>
      </c>
      <c r="L558" t="str">
        <f>IFERROR(MATCH(SMALL('MTRs'!$BC$6:$BC$505,111),'MTRs'!$BC$6:$BC$505,0),"")</f>
        <v/>
      </c>
    </row>
    <row r="559">
      <c r="B559" s="119" t="str">
        <f>IF($L559="","",INDEX('MTRs'!$A$6:$A$505,$L559)&amp;"")</f>
        <v/>
      </c>
      <c r="C559" s="120" t="str">
        <f>IF($L559="","",INDEX('MTRs'!$B$6:$B$505,$L559)&amp;"")</f>
        <v/>
      </c>
      <c r="D559" s="120" t="str">
        <f>IF($L559="","",INDEX('MTRs'!$T$6:$T$505,$L559)&amp;"")</f>
        <v/>
      </c>
      <c r="E559" s="120" t="str">
        <f>IF($L559="","",INDEX('MTRs'!$BF$6:$BF$505,$L559)&amp;"")</f>
        <v/>
      </c>
      <c r="F559" s="129" t="str">
        <f>IF($L559="","",INDEX('MTRs'!$U$6:$U$505,$L559))</f>
        <v/>
      </c>
      <c r="G559" s="120" t="str">
        <f>IF($L559="","",INDEX('MTRs'!$AS$6:$AS$505,$L559)&amp;"")</f>
        <v/>
      </c>
      <c r="H559" s="110" t="str">
        <f>IF($L559="","",INDEX('MTRs'!$AT$6:$AT$505,$L559)&amp;"")</f>
        <v/>
      </c>
      <c r="L559" t="str">
        <f>IFERROR(MATCH(SMALL('MTRs'!$BC$6:$BC$505,112),'MTRs'!$BC$6:$BC$505,0),"")</f>
        <v/>
      </c>
    </row>
    <row r="560">
      <c r="B560" s="119" t="str">
        <f>IF($L560="","",INDEX('MTRs'!$A$6:$A$505,$L560)&amp;"")</f>
        <v/>
      </c>
      <c r="C560" s="120" t="str">
        <f>IF($L560="","",INDEX('MTRs'!$B$6:$B$505,$L560)&amp;"")</f>
        <v/>
      </c>
      <c r="D560" s="120" t="str">
        <f>IF($L560="","",INDEX('MTRs'!$T$6:$T$505,$L560)&amp;"")</f>
        <v/>
      </c>
      <c r="E560" s="120" t="str">
        <f>IF($L560="","",INDEX('MTRs'!$BF$6:$BF$505,$L560)&amp;"")</f>
        <v/>
      </c>
      <c r="F560" s="129" t="str">
        <f>IF($L560="","",INDEX('MTRs'!$U$6:$U$505,$L560))</f>
        <v/>
      </c>
      <c r="G560" s="120" t="str">
        <f>IF($L560="","",INDEX('MTRs'!$AS$6:$AS$505,$L560)&amp;"")</f>
        <v/>
      </c>
      <c r="H560" s="110" t="str">
        <f>IF($L560="","",INDEX('MTRs'!$AT$6:$AT$505,$L560)&amp;"")</f>
        <v/>
      </c>
      <c r="L560" t="str">
        <f>IFERROR(MATCH(SMALL('MTRs'!$BC$6:$BC$505,113),'MTRs'!$BC$6:$BC$505,0),"")</f>
        <v/>
      </c>
    </row>
    <row r="561">
      <c r="B561" s="119" t="str">
        <f>IF($L561="","",INDEX('MTRs'!$A$6:$A$505,$L561)&amp;"")</f>
        <v/>
      </c>
      <c r="C561" s="120" t="str">
        <f>IF($L561="","",INDEX('MTRs'!$B$6:$B$505,$L561)&amp;"")</f>
        <v/>
      </c>
      <c r="D561" s="120" t="str">
        <f>IF($L561="","",INDEX('MTRs'!$T$6:$T$505,$L561)&amp;"")</f>
        <v/>
      </c>
      <c r="E561" s="120" t="str">
        <f>IF($L561="","",INDEX('MTRs'!$BF$6:$BF$505,$L561)&amp;"")</f>
        <v/>
      </c>
      <c r="F561" s="129" t="str">
        <f>IF($L561="","",INDEX('MTRs'!$U$6:$U$505,$L561))</f>
        <v/>
      </c>
      <c r="G561" s="120" t="str">
        <f>IF($L561="","",INDEX('MTRs'!$AS$6:$AS$505,$L561)&amp;"")</f>
        <v/>
      </c>
      <c r="H561" s="110" t="str">
        <f>IF($L561="","",INDEX('MTRs'!$AT$6:$AT$505,$L561)&amp;"")</f>
        <v/>
      </c>
      <c r="L561" t="str">
        <f>IFERROR(MATCH(SMALL('MTRs'!$BC$6:$BC$505,114),'MTRs'!$BC$6:$BC$505,0),"")</f>
        <v/>
      </c>
    </row>
    <row r="562">
      <c r="B562" s="119" t="str">
        <f>IF($L562="","",INDEX('MTRs'!$A$6:$A$505,$L562)&amp;"")</f>
        <v/>
      </c>
      <c r="C562" s="120" t="str">
        <f>IF($L562="","",INDEX('MTRs'!$B$6:$B$505,$L562)&amp;"")</f>
        <v/>
      </c>
      <c r="D562" s="120" t="str">
        <f>IF($L562="","",INDEX('MTRs'!$T$6:$T$505,$L562)&amp;"")</f>
        <v/>
      </c>
      <c r="E562" s="120" t="str">
        <f>IF($L562="","",INDEX('MTRs'!$BF$6:$BF$505,$L562)&amp;"")</f>
        <v/>
      </c>
      <c r="F562" s="129" t="str">
        <f>IF($L562="","",INDEX('MTRs'!$U$6:$U$505,$L562))</f>
        <v/>
      </c>
      <c r="G562" s="120" t="str">
        <f>IF($L562="","",INDEX('MTRs'!$AS$6:$AS$505,$L562)&amp;"")</f>
        <v/>
      </c>
      <c r="H562" s="110" t="str">
        <f>IF($L562="","",INDEX('MTRs'!$AT$6:$AT$505,$L562)&amp;"")</f>
        <v/>
      </c>
      <c r="L562" t="str">
        <f>IFERROR(MATCH(SMALL('MTRs'!$BC$6:$BC$505,115),'MTRs'!$BC$6:$BC$505,0),"")</f>
        <v/>
      </c>
    </row>
    <row r="563">
      <c r="B563" s="119" t="str">
        <f>IF($L563="","",INDEX('MTRs'!$A$6:$A$505,$L563)&amp;"")</f>
        <v/>
      </c>
      <c r="C563" s="120" t="str">
        <f>IF($L563="","",INDEX('MTRs'!$B$6:$B$505,$L563)&amp;"")</f>
        <v/>
      </c>
      <c r="D563" s="120" t="str">
        <f>IF($L563="","",INDEX('MTRs'!$T$6:$T$505,$L563)&amp;"")</f>
        <v/>
      </c>
      <c r="E563" s="120" t="str">
        <f>IF($L563="","",INDEX('MTRs'!$BF$6:$BF$505,$L563)&amp;"")</f>
        <v/>
      </c>
      <c r="F563" s="129" t="str">
        <f>IF($L563="","",INDEX('MTRs'!$U$6:$U$505,$L563))</f>
        <v/>
      </c>
      <c r="G563" s="120" t="str">
        <f>IF($L563="","",INDEX('MTRs'!$AS$6:$AS$505,$L563)&amp;"")</f>
        <v/>
      </c>
      <c r="H563" s="110" t="str">
        <f>IF($L563="","",INDEX('MTRs'!$AT$6:$AT$505,$L563)&amp;"")</f>
        <v/>
      </c>
      <c r="L563" t="str">
        <f>IFERROR(MATCH(SMALL('MTRs'!$BC$6:$BC$505,116),'MTRs'!$BC$6:$BC$505,0),"")</f>
        <v/>
      </c>
    </row>
    <row r="564">
      <c r="B564" s="119" t="str">
        <f>IF($L564="","",INDEX('MTRs'!$A$6:$A$505,$L564)&amp;"")</f>
        <v/>
      </c>
      <c r="C564" s="120" t="str">
        <f>IF($L564="","",INDEX('MTRs'!$B$6:$B$505,$L564)&amp;"")</f>
        <v/>
      </c>
      <c r="D564" s="120" t="str">
        <f>IF($L564="","",INDEX('MTRs'!$T$6:$T$505,$L564)&amp;"")</f>
        <v/>
      </c>
      <c r="E564" s="120" t="str">
        <f>IF($L564="","",INDEX('MTRs'!$BF$6:$BF$505,$L564)&amp;"")</f>
        <v/>
      </c>
      <c r="F564" s="129" t="str">
        <f>IF($L564="","",INDEX('MTRs'!$U$6:$U$505,$L564))</f>
        <v/>
      </c>
      <c r="G564" s="120" t="str">
        <f>IF($L564="","",INDEX('MTRs'!$AS$6:$AS$505,$L564)&amp;"")</f>
        <v/>
      </c>
      <c r="H564" s="110" t="str">
        <f>IF($L564="","",INDEX('MTRs'!$AT$6:$AT$505,$L564)&amp;"")</f>
        <v/>
      </c>
      <c r="L564" t="str">
        <f>IFERROR(MATCH(SMALL('MTRs'!$BC$6:$BC$505,117),'MTRs'!$BC$6:$BC$505,0),"")</f>
        <v/>
      </c>
    </row>
    <row r="565">
      <c r="B565" s="119" t="str">
        <f>IF($L565="","",INDEX('MTRs'!$A$6:$A$505,$L565)&amp;"")</f>
        <v/>
      </c>
      <c r="C565" s="120" t="str">
        <f>IF($L565="","",INDEX('MTRs'!$B$6:$B$505,$L565)&amp;"")</f>
        <v/>
      </c>
      <c r="D565" s="120" t="str">
        <f>IF($L565="","",INDEX('MTRs'!$T$6:$T$505,$L565)&amp;"")</f>
        <v/>
      </c>
      <c r="E565" s="120" t="str">
        <f>IF($L565="","",INDEX('MTRs'!$BF$6:$BF$505,$L565)&amp;"")</f>
        <v/>
      </c>
      <c r="F565" s="129" t="str">
        <f>IF($L565="","",INDEX('MTRs'!$U$6:$U$505,$L565))</f>
        <v/>
      </c>
      <c r="G565" s="120" t="str">
        <f>IF($L565="","",INDEX('MTRs'!$AS$6:$AS$505,$L565)&amp;"")</f>
        <v/>
      </c>
      <c r="H565" s="110" t="str">
        <f>IF($L565="","",INDEX('MTRs'!$AT$6:$AT$505,$L565)&amp;"")</f>
        <v/>
      </c>
      <c r="L565" t="str">
        <f>IFERROR(MATCH(SMALL('MTRs'!$BC$6:$BC$505,118),'MTRs'!$BC$6:$BC$505,0),"")</f>
        <v/>
      </c>
    </row>
    <row r="566">
      <c r="B566" s="119" t="str">
        <f>IF($L566="","",INDEX('MTRs'!$A$6:$A$505,$L566)&amp;"")</f>
        <v/>
      </c>
      <c r="C566" s="120" t="str">
        <f>IF($L566="","",INDEX('MTRs'!$B$6:$B$505,$L566)&amp;"")</f>
        <v/>
      </c>
      <c r="D566" s="120" t="str">
        <f>IF($L566="","",INDEX('MTRs'!$T$6:$T$505,$L566)&amp;"")</f>
        <v/>
      </c>
      <c r="E566" s="120" t="str">
        <f>IF($L566="","",INDEX('MTRs'!$BF$6:$BF$505,$L566)&amp;"")</f>
        <v/>
      </c>
      <c r="F566" s="129" t="str">
        <f>IF($L566="","",INDEX('MTRs'!$U$6:$U$505,$L566))</f>
        <v/>
      </c>
      <c r="G566" s="120" t="str">
        <f>IF($L566="","",INDEX('MTRs'!$AS$6:$AS$505,$L566)&amp;"")</f>
        <v/>
      </c>
      <c r="H566" s="110" t="str">
        <f>IF($L566="","",INDEX('MTRs'!$AT$6:$AT$505,$L566)&amp;"")</f>
        <v/>
      </c>
      <c r="L566" t="str">
        <f>IFERROR(MATCH(SMALL('MTRs'!$BC$6:$BC$505,119),'MTRs'!$BC$6:$BC$505,0),"")</f>
        <v/>
      </c>
    </row>
    <row r="567">
      <c r="B567" s="119" t="str">
        <f>IF($L567="","",INDEX('MTRs'!$A$6:$A$505,$L567)&amp;"")</f>
        <v/>
      </c>
      <c r="C567" s="120" t="str">
        <f>IF($L567="","",INDEX('MTRs'!$B$6:$B$505,$L567)&amp;"")</f>
        <v/>
      </c>
      <c r="D567" s="120" t="str">
        <f>IF($L567="","",INDEX('MTRs'!$T$6:$T$505,$L567)&amp;"")</f>
        <v/>
      </c>
      <c r="E567" s="120" t="str">
        <f>IF($L567="","",INDEX('MTRs'!$BF$6:$BF$505,$L567)&amp;"")</f>
        <v/>
      </c>
      <c r="F567" s="129" t="str">
        <f>IF($L567="","",INDEX('MTRs'!$U$6:$U$505,$L567))</f>
        <v/>
      </c>
      <c r="G567" s="120" t="str">
        <f>IF($L567="","",INDEX('MTRs'!$AS$6:$AS$505,$L567)&amp;"")</f>
        <v/>
      </c>
      <c r="H567" s="110" t="str">
        <f>IF($L567="","",INDEX('MTRs'!$AT$6:$AT$505,$L567)&amp;"")</f>
        <v/>
      </c>
      <c r="L567" t="str">
        <f>IFERROR(MATCH(SMALL('MTRs'!$BC$6:$BC$505,120),'MTRs'!$BC$6:$BC$505,0),"")</f>
        <v/>
      </c>
    </row>
    <row r="568">
      <c r="B568" s="119" t="str">
        <f>IF($L568="","",INDEX('MTRs'!$A$6:$A$505,$L568)&amp;"")</f>
        <v/>
      </c>
      <c r="C568" s="120" t="str">
        <f>IF($L568="","",INDEX('MTRs'!$B$6:$B$505,$L568)&amp;"")</f>
        <v/>
      </c>
      <c r="D568" s="120" t="str">
        <f>IF($L568="","",INDEX('MTRs'!$T$6:$T$505,$L568)&amp;"")</f>
        <v/>
      </c>
      <c r="E568" s="120" t="str">
        <f>IF($L568="","",INDEX('MTRs'!$BF$6:$BF$505,$L568)&amp;"")</f>
        <v/>
      </c>
      <c r="F568" s="129" t="str">
        <f>IF($L568="","",INDEX('MTRs'!$U$6:$U$505,$L568))</f>
        <v/>
      </c>
      <c r="G568" s="120" t="str">
        <f>IF($L568="","",INDEX('MTRs'!$AS$6:$AS$505,$L568)&amp;"")</f>
        <v/>
      </c>
      <c r="H568" s="110" t="str">
        <f>IF($L568="","",INDEX('MTRs'!$AT$6:$AT$505,$L568)&amp;"")</f>
        <v/>
      </c>
      <c r="L568" t="str">
        <f>IFERROR(MATCH(SMALL('MTRs'!$BC$6:$BC$505,121),'MTRs'!$BC$6:$BC$505,0),"")</f>
        <v/>
      </c>
    </row>
    <row r="569">
      <c r="B569" s="119" t="str">
        <f>IF($L569="","",INDEX('MTRs'!$A$6:$A$505,$L569)&amp;"")</f>
        <v/>
      </c>
      <c r="C569" s="120" t="str">
        <f>IF($L569="","",INDEX('MTRs'!$B$6:$B$505,$L569)&amp;"")</f>
        <v/>
      </c>
      <c r="D569" s="120" t="str">
        <f>IF($L569="","",INDEX('MTRs'!$T$6:$T$505,$L569)&amp;"")</f>
        <v/>
      </c>
      <c r="E569" s="120" t="str">
        <f>IF($L569="","",INDEX('MTRs'!$BF$6:$BF$505,$L569)&amp;"")</f>
        <v/>
      </c>
      <c r="F569" s="129" t="str">
        <f>IF($L569="","",INDEX('MTRs'!$U$6:$U$505,$L569))</f>
        <v/>
      </c>
      <c r="G569" s="120" t="str">
        <f>IF($L569="","",INDEX('MTRs'!$AS$6:$AS$505,$L569)&amp;"")</f>
        <v/>
      </c>
      <c r="H569" s="110" t="str">
        <f>IF($L569="","",INDEX('MTRs'!$AT$6:$AT$505,$L569)&amp;"")</f>
        <v/>
      </c>
      <c r="L569" t="str">
        <f>IFERROR(MATCH(SMALL('MTRs'!$BC$6:$BC$505,122),'MTRs'!$BC$6:$BC$505,0),"")</f>
        <v/>
      </c>
    </row>
    <row r="570">
      <c r="B570" s="119" t="str">
        <f>IF($L570="","",INDEX('MTRs'!$A$6:$A$505,$L570)&amp;"")</f>
        <v/>
      </c>
      <c r="C570" s="120" t="str">
        <f>IF($L570="","",INDEX('MTRs'!$B$6:$B$505,$L570)&amp;"")</f>
        <v/>
      </c>
      <c r="D570" s="120" t="str">
        <f>IF($L570="","",INDEX('MTRs'!$T$6:$T$505,$L570)&amp;"")</f>
        <v/>
      </c>
      <c r="E570" s="120" t="str">
        <f>IF($L570="","",INDEX('MTRs'!$BF$6:$BF$505,$L570)&amp;"")</f>
        <v/>
      </c>
      <c r="F570" s="129" t="str">
        <f>IF($L570="","",INDEX('MTRs'!$U$6:$U$505,$L570))</f>
        <v/>
      </c>
      <c r="G570" s="120" t="str">
        <f>IF($L570="","",INDEX('MTRs'!$AS$6:$AS$505,$L570)&amp;"")</f>
        <v/>
      </c>
      <c r="H570" s="110" t="str">
        <f>IF($L570="","",INDEX('MTRs'!$AT$6:$AT$505,$L570)&amp;"")</f>
        <v/>
      </c>
      <c r="L570" t="str">
        <f>IFERROR(MATCH(SMALL('MTRs'!$BC$6:$BC$505,123),'MTRs'!$BC$6:$BC$505,0),"")</f>
        <v/>
      </c>
    </row>
    <row r="571">
      <c r="B571" s="119" t="str">
        <f>IF($L571="","",INDEX('MTRs'!$A$6:$A$505,$L571)&amp;"")</f>
        <v/>
      </c>
      <c r="C571" s="120" t="str">
        <f>IF($L571="","",INDEX('MTRs'!$B$6:$B$505,$L571)&amp;"")</f>
        <v/>
      </c>
      <c r="D571" s="120" t="str">
        <f>IF($L571="","",INDEX('MTRs'!$T$6:$T$505,$L571)&amp;"")</f>
        <v/>
      </c>
      <c r="E571" s="120" t="str">
        <f>IF($L571="","",INDEX('MTRs'!$BF$6:$BF$505,$L571)&amp;"")</f>
        <v/>
      </c>
      <c r="F571" s="129" t="str">
        <f>IF($L571="","",INDEX('MTRs'!$U$6:$U$505,$L571))</f>
        <v/>
      </c>
      <c r="G571" s="120" t="str">
        <f>IF($L571="","",INDEX('MTRs'!$AS$6:$AS$505,$L571)&amp;"")</f>
        <v/>
      </c>
      <c r="H571" s="110" t="str">
        <f>IF($L571="","",INDEX('MTRs'!$AT$6:$AT$505,$L571)&amp;"")</f>
        <v/>
      </c>
      <c r="L571" t="str">
        <f>IFERROR(MATCH(SMALL('MTRs'!$BC$6:$BC$505,124),'MTRs'!$BC$6:$BC$505,0),"")</f>
        <v/>
      </c>
    </row>
    <row r="572">
      <c r="B572" s="119" t="str">
        <f>IF($L572="","",INDEX('MTRs'!$A$6:$A$505,$L572)&amp;"")</f>
        <v/>
      </c>
      <c r="C572" s="120" t="str">
        <f>IF($L572="","",INDEX('MTRs'!$B$6:$B$505,$L572)&amp;"")</f>
        <v/>
      </c>
      <c r="D572" s="120" t="str">
        <f>IF($L572="","",INDEX('MTRs'!$T$6:$T$505,$L572)&amp;"")</f>
        <v/>
      </c>
      <c r="E572" s="120" t="str">
        <f>IF($L572="","",INDEX('MTRs'!$BF$6:$BF$505,$L572)&amp;"")</f>
        <v/>
      </c>
      <c r="F572" s="129" t="str">
        <f>IF($L572="","",INDEX('MTRs'!$U$6:$U$505,$L572))</f>
        <v/>
      </c>
      <c r="G572" s="120" t="str">
        <f>IF($L572="","",INDEX('MTRs'!$AS$6:$AS$505,$L572)&amp;"")</f>
        <v/>
      </c>
      <c r="H572" s="110" t="str">
        <f>IF($L572="","",INDEX('MTRs'!$AT$6:$AT$505,$L572)&amp;"")</f>
        <v/>
      </c>
      <c r="L572" t="str">
        <f>IFERROR(MATCH(SMALL('MTRs'!$BC$6:$BC$505,125),'MTRs'!$BC$6:$BC$505,0),"")</f>
        <v/>
      </c>
    </row>
    <row r="573">
      <c r="B573" s="119" t="str">
        <f>IF($L573="","",INDEX('MTRs'!$A$6:$A$505,$L573)&amp;"")</f>
        <v/>
      </c>
      <c r="C573" s="120" t="str">
        <f>IF($L573="","",INDEX('MTRs'!$B$6:$B$505,$L573)&amp;"")</f>
        <v/>
      </c>
      <c r="D573" s="120" t="str">
        <f>IF($L573="","",INDEX('MTRs'!$T$6:$T$505,$L573)&amp;"")</f>
        <v/>
      </c>
      <c r="E573" s="120" t="str">
        <f>IF($L573="","",INDEX('MTRs'!$BF$6:$BF$505,$L573)&amp;"")</f>
        <v/>
      </c>
      <c r="F573" s="129" t="str">
        <f>IF($L573="","",INDEX('MTRs'!$U$6:$U$505,$L573))</f>
        <v/>
      </c>
      <c r="G573" s="120" t="str">
        <f>IF($L573="","",INDEX('MTRs'!$AS$6:$AS$505,$L573)&amp;"")</f>
        <v/>
      </c>
      <c r="H573" s="110" t="str">
        <f>IF($L573="","",INDEX('MTRs'!$AT$6:$AT$505,$L573)&amp;"")</f>
        <v/>
      </c>
      <c r="L573" t="str">
        <f>IFERROR(MATCH(SMALL('MTRs'!$BC$6:$BC$505,126),'MTRs'!$BC$6:$BC$505,0),"")</f>
        <v/>
      </c>
    </row>
    <row r="574">
      <c r="B574" s="119" t="str">
        <f>IF($L574="","",INDEX('MTRs'!$A$6:$A$505,$L574)&amp;"")</f>
        <v/>
      </c>
      <c r="C574" s="120" t="str">
        <f>IF($L574="","",INDEX('MTRs'!$B$6:$B$505,$L574)&amp;"")</f>
        <v/>
      </c>
      <c r="D574" s="120" t="str">
        <f>IF($L574="","",INDEX('MTRs'!$T$6:$T$505,$L574)&amp;"")</f>
        <v/>
      </c>
      <c r="E574" s="120" t="str">
        <f>IF($L574="","",INDEX('MTRs'!$BF$6:$BF$505,$L574)&amp;"")</f>
        <v/>
      </c>
      <c r="F574" s="129" t="str">
        <f>IF($L574="","",INDEX('MTRs'!$U$6:$U$505,$L574))</f>
        <v/>
      </c>
      <c r="G574" s="120" t="str">
        <f>IF($L574="","",INDEX('MTRs'!$AS$6:$AS$505,$L574)&amp;"")</f>
        <v/>
      </c>
      <c r="H574" s="110" t="str">
        <f>IF($L574="","",INDEX('MTRs'!$AT$6:$AT$505,$L574)&amp;"")</f>
        <v/>
      </c>
      <c r="L574" t="str">
        <f>IFERROR(MATCH(SMALL('MTRs'!$BC$6:$BC$505,127),'MTRs'!$BC$6:$BC$505,0),"")</f>
        <v/>
      </c>
    </row>
    <row r="575">
      <c r="B575" s="119" t="str">
        <f>IF($L575="","",INDEX('MTRs'!$A$6:$A$505,$L575)&amp;"")</f>
        <v/>
      </c>
      <c r="C575" s="120" t="str">
        <f>IF($L575="","",INDEX('MTRs'!$B$6:$B$505,$L575)&amp;"")</f>
        <v/>
      </c>
      <c r="D575" s="120" t="str">
        <f>IF($L575="","",INDEX('MTRs'!$T$6:$T$505,$L575)&amp;"")</f>
        <v/>
      </c>
      <c r="E575" s="120" t="str">
        <f>IF($L575="","",INDEX('MTRs'!$BF$6:$BF$505,$L575)&amp;"")</f>
        <v/>
      </c>
      <c r="F575" s="129" t="str">
        <f>IF($L575="","",INDEX('MTRs'!$U$6:$U$505,$L575))</f>
        <v/>
      </c>
      <c r="G575" s="120" t="str">
        <f>IF($L575="","",INDEX('MTRs'!$AS$6:$AS$505,$L575)&amp;"")</f>
        <v/>
      </c>
      <c r="H575" s="110" t="str">
        <f>IF($L575="","",INDEX('MTRs'!$AT$6:$AT$505,$L575)&amp;"")</f>
        <v/>
      </c>
      <c r="L575" t="str">
        <f>IFERROR(MATCH(SMALL('MTRs'!$BC$6:$BC$505,128),'MTRs'!$BC$6:$BC$505,0),"")</f>
        <v/>
      </c>
    </row>
    <row r="576">
      <c r="B576" s="119" t="str">
        <f>IF($L576="","",INDEX('MTRs'!$A$6:$A$505,$L576)&amp;"")</f>
        <v/>
      </c>
      <c r="C576" s="120" t="str">
        <f>IF($L576="","",INDEX('MTRs'!$B$6:$B$505,$L576)&amp;"")</f>
        <v/>
      </c>
      <c r="D576" s="120" t="str">
        <f>IF($L576="","",INDEX('MTRs'!$T$6:$T$505,$L576)&amp;"")</f>
        <v/>
      </c>
      <c r="E576" s="120" t="str">
        <f>IF($L576="","",INDEX('MTRs'!$BF$6:$BF$505,$L576)&amp;"")</f>
        <v/>
      </c>
      <c r="F576" s="129" t="str">
        <f>IF($L576="","",INDEX('MTRs'!$U$6:$U$505,$L576))</f>
        <v/>
      </c>
      <c r="G576" s="120" t="str">
        <f>IF($L576="","",INDEX('MTRs'!$AS$6:$AS$505,$L576)&amp;"")</f>
        <v/>
      </c>
      <c r="H576" s="110" t="str">
        <f>IF($L576="","",INDEX('MTRs'!$AT$6:$AT$505,$L576)&amp;"")</f>
        <v/>
      </c>
      <c r="L576" t="str">
        <f>IFERROR(MATCH(SMALL('MTRs'!$BC$6:$BC$505,129),'MTRs'!$BC$6:$BC$505,0),"")</f>
        <v/>
      </c>
    </row>
    <row r="577">
      <c r="B577" s="119" t="str">
        <f>IF($L577="","",INDEX('MTRs'!$A$6:$A$505,$L577)&amp;"")</f>
        <v/>
      </c>
      <c r="C577" s="120" t="str">
        <f>IF($L577="","",INDEX('MTRs'!$B$6:$B$505,$L577)&amp;"")</f>
        <v/>
      </c>
      <c r="D577" s="120" t="str">
        <f>IF($L577="","",INDEX('MTRs'!$T$6:$T$505,$L577)&amp;"")</f>
        <v/>
      </c>
      <c r="E577" s="120" t="str">
        <f>IF($L577="","",INDEX('MTRs'!$BF$6:$BF$505,$L577)&amp;"")</f>
        <v/>
      </c>
      <c r="F577" s="129" t="str">
        <f>IF($L577="","",INDEX('MTRs'!$U$6:$U$505,$L577))</f>
        <v/>
      </c>
      <c r="G577" s="120" t="str">
        <f>IF($L577="","",INDEX('MTRs'!$AS$6:$AS$505,$L577)&amp;"")</f>
        <v/>
      </c>
      <c r="H577" s="110" t="str">
        <f>IF($L577="","",INDEX('MTRs'!$AT$6:$AT$505,$L577)&amp;"")</f>
        <v/>
      </c>
      <c r="L577" t="str">
        <f>IFERROR(MATCH(SMALL('MTRs'!$BC$6:$BC$505,130),'MTRs'!$BC$6:$BC$505,0),"")</f>
        <v/>
      </c>
    </row>
    <row r="578">
      <c r="B578" s="119" t="str">
        <f>IF($L578="","",INDEX('MTRs'!$A$6:$A$505,$L578)&amp;"")</f>
        <v/>
      </c>
      <c r="C578" s="120" t="str">
        <f>IF($L578="","",INDEX('MTRs'!$B$6:$B$505,$L578)&amp;"")</f>
        <v/>
      </c>
      <c r="D578" s="120" t="str">
        <f>IF($L578="","",INDEX('MTRs'!$T$6:$T$505,$L578)&amp;"")</f>
        <v/>
      </c>
      <c r="E578" s="120" t="str">
        <f>IF($L578="","",INDEX('MTRs'!$BF$6:$BF$505,$L578)&amp;"")</f>
        <v/>
      </c>
      <c r="F578" s="129" t="str">
        <f>IF($L578="","",INDEX('MTRs'!$U$6:$U$505,$L578))</f>
        <v/>
      </c>
      <c r="G578" s="120" t="str">
        <f>IF($L578="","",INDEX('MTRs'!$AS$6:$AS$505,$L578)&amp;"")</f>
        <v/>
      </c>
      <c r="H578" s="110" t="str">
        <f>IF($L578="","",INDEX('MTRs'!$AT$6:$AT$505,$L578)&amp;"")</f>
        <v/>
      </c>
      <c r="L578" t="str">
        <f>IFERROR(MATCH(SMALL('MTRs'!$BC$6:$BC$505,131),'MTRs'!$BC$6:$BC$505,0),"")</f>
        <v/>
      </c>
    </row>
    <row r="579">
      <c r="B579" s="119" t="str">
        <f>IF($L579="","",INDEX('MTRs'!$A$6:$A$505,$L579)&amp;"")</f>
        <v/>
      </c>
      <c r="C579" s="120" t="str">
        <f>IF($L579="","",INDEX('MTRs'!$B$6:$B$505,$L579)&amp;"")</f>
        <v/>
      </c>
      <c r="D579" s="120" t="str">
        <f>IF($L579="","",INDEX('MTRs'!$T$6:$T$505,$L579)&amp;"")</f>
        <v/>
      </c>
      <c r="E579" s="120" t="str">
        <f>IF($L579="","",INDEX('MTRs'!$BF$6:$BF$505,$L579)&amp;"")</f>
        <v/>
      </c>
      <c r="F579" s="129" t="str">
        <f>IF($L579="","",INDEX('MTRs'!$U$6:$U$505,$L579))</f>
        <v/>
      </c>
      <c r="G579" s="120" t="str">
        <f>IF($L579="","",INDEX('MTRs'!$AS$6:$AS$505,$L579)&amp;"")</f>
        <v/>
      </c>
      <c r="H579" s="110" t="str">
        <f>IF($L579="","",INDEX('MTRs'!$AT$6:$AT$505,$L579)&amp;"")</f>
        <v/>
      </c>
      <c r="L579" t="str">
        <f>IFERROR(MATCH(SMALL('MTRs'!$BC$6:$BC$505,132),'MTRs'!$BC$6:$BC$505,0),"")</f>
        <v/>
      </c>
    </row>
    <row r="580">
      <c r="B580" s="119" t="str">
        <f>IF($L580="","",INDEX('MTRs'!$A$6:$A$505,$L580)&amp;"")</f>
        <v/>
      </c>
      <c r="C580" s="120" t="str">
        <f>IF($L580="","",INDEX('MTRs'!$B$6:$B$505,$L580)&amp;"")</f>
        <v/>
      </c>
      <c r="D580" s="120" t="str">
        <f>IF($L580="","",INDEX('MTRs'!$T$6:$T$505,$L580)&amp;"")</f>
        <v/>
      </c>
      <c r="E580" s="120" t="str">
        <f>IF($L580="","",INDEX('MTRs'!$BF$6:$BF$505,$L580)&amp;"")</f>
        <v/>
      </c>
      <c r="F580" s="129" t="str">
        <f>IF($L580="","",INDEX('MTRs'!$U$6:$U$505,$L580))</f>
        <v/>
      </c>
      <c r="G580" s="120" t="str">
        <f>IF($L580="","",INDEX('MTRs'!$AS$6:$AS$505,$L580)&amp;"")</f>
        <v/>
      </c>
      <c r="H580" s="110" t="str">
        <f>IF($L580="","",INDEX('MTRs'!$AT$6:$AT$505,$L580)&amp;"")</f>
        <v/>
      </c>
      <c r="L580" t="str">
        <f>IFERROR(MATCH(SMALL('MTRs'!$BC$6:$BC$505,133),'MTRs'!$BC$6:$BC$505,0),"")</f>
        <v/>
      </c>
    </row>
    <row r="581">
      <c r="B581" s="119" t="str">
        <f>IF($L581="","",INDEX('MTRs'!$A$6:$A$505,$L581)&amp;"")</f>
        <v/>
      </c>
      <c r="C581" s="120" t="str">
        <f>IF($L581="","",INDEX('MTRs'!$B$6:$B$505,$L581)&amp;"")</f>
        <v/>
      </c>
      <c r="D581" s="120" t="str">
        <f>IF($L581="","",INDEX('MTRs'!$T$6:$T$505,$L581)&amp;"")</f>
        <v/>
      </c>
      <c r="E581" s="120" t="str">
        <f>IF($L581="","",INDEX('MTRs'!$BF$6:$BF$505,$L581)&amp;"")</f>
        <v/>
      </c>
      <c r="F581" s="129" t="str">
        <f>IF($L581="","",INDEX('MTRs'!$U$6:$U$505,$L581))</f>
        <v/>
      </c>
      <c r="G581" s="120" t="str">
        <f>IF($L581="","",INDEX('MTRs'!$AS$6:$AS$505,$L581)&amp;"")</f>
        <v/>
      </c>
      <c r="H581" s="110" t="str">
        <f>IF($L581="","",INDEX('MTRs'!$AT$6:$AT$505,$L581)&amp;"")</f>
        <v/>
      </c>
      <c r="L581" t="str">
        <f>IFERROR(MATCH(SMALL('MTRs'!$BC$6:$BC$505,134),'MTRs'!$BC$6:$BC$505,0),"")</f>
        <v/>
      </c>
    </row>
    <row r="582">
      <c r="B582" s="119" t="str">
        <f>IF($L582="","",INDEX('MTRs'!$A$6:$A$505,$L582)&amp;"")</f>
        <v/>
      </c>
      <c r="C582" s="120" t="str">
        <f>IF($L582="","",INDEX('MTRs'!$B$6:$B$505,$L582)&amp;"")</f>
        <v/>
      </c>
      <c r="D582" s="120" t="str">
        <f>IF($L582="","",INDEX('MTRs'!$T$6:$T$505,$L582)&amp;"")</f>
        <v/>
      </c>
      <c r="E582" s="120" t="str">
        <f>IF($L582="","",INDEX('MTRs'!$BF$6:$BF$505,$L582)&amp;"")</f>
        <v/>
      </c>
      <c r="F582" s="129" t="str">
        <f>IF($L582="","",INDEX('MTRs'!$U$6:$U$505,$L582))</f>
        <v/>
      </c>
      <c r="G582" s="120" t="str">
        <f>IF($L582="","",INDEX('MTRs'!$AS$6:$AS$505,$L582)&amp;"")</f>
        <v/>
      </c>
      <c r="H582" s="110" t="str">
        <f>IF($L582="","",INDEX('MTRs'!$AT$6:$AT$505,$L582)&amp;"")</f>
        <v/>
      </c>
      <c r="L582" t="str">
        <f>IFERROR(MATCH(SMALL('MTRs'!$BC$6:$BC$505,135),'MTRs'!$BC$6:$BC$505,0),"")</f>
        <v/>
      </c>
    </row>
    <row r="583">
      <c r="B583" s="119" t="str">
        <f>IF($L583="","",INDEX('MTRs'!$A$6:$A$505,$L583)&amp;"")</f>
        <v/>
      </c>
      <c r="C583" s="120" t="str">
        <f>IF($L583="","",INDEX('MTRs'!$B$6:$B$505,$L583)&amp;"")</f>
        <v/>
      </c>
      <c r="D583" s="120" t="str">
        <f>IF($L583="","",INDEX('MTRs'!$T$6:$T$505,$L583)&amp;"")</f>
        <v/>
      </c>
      <c r="E583" s="120" t="str">
        <f>IF($L583="","",INDEX('MTRs'!$BF$6:$BF$505,$L583)&amp;"")</f>
        <v/>
      </c>
      <c r="F583" s="129" t="str">
        <f>IF($L583="","",INDEX('MTRs'!$U$6:$U$505,$L583))</f>
        <v/>
      </c>
      <c r="G583" s="120" t="str">
        <f>IF($L583="","",INDEX('MTRs'!$AS$6:$AS$505,$L583)&amp;"")</f>
        <v/>
      </c>
      <c r="H583" s="110" t="str">
        <f>IF($L583="","",INDEX('MTRs'!$AT$6:$AT$505,$L583)&amp;"")</f>
        <v/>
      </c>
      <c r="L583" t="str">
        <f>IFERROR(MATCH(SMALL('MTRs'!$BC$6:$BC$505,136),'MTRs'!$BC$6:$BC$505,0),"")</f>
        <v/>
      </c>
    </row>
    <row r="584">
      <c r="B584" s="119" t="str">
        <f>IF($L584="","",INDEX('MTRs'!$A$6:$A$505,$L584)&amp;"")</f>
        <v/>
      </c>
      <c r="C584" s="120" t="str">
        <f>IF($L584="","",INDEX('MTRs'!$B$6:$B$505,$L584)&amp;"")</f>
        <v/>
      </c>
      <c r="D584" s="120" t="str">
        <f>IF($L584="","",INDEX('MTRs'!$T$6:$T$505,$L584)&amp;"")</f>
        <v/>
      </c>
      <c r="E584" s="120" t="str">
        <f>IF($L584="","",INDEX('MTRs'!$BF$6:$BF$505,$L584)&amp;"")</f>
        <v/>
      </c>
      <c r="F584" s="129" t="str">
        <f>IF($L584="","",INDEX('MTRs'!$U$6:$U$505,$L584))</f>
        <v/>
      </c>
      <c r="G584" s="120" t="str">
        <f>IF($L584="","",INDEX('MTRs'!$AS$6:$AS$505,$L584)&amp;"")</f>
        <v/>
      </c>
      <c r="H584" s="110" t="str">
        <f>IF($L584="","",INDEX('MTRs'!$AT$6:$AT$505,$L584)&amp;"")</f>
        <v/>
      </c>
      <c r="L584" t="str">
        <f>IFERROR(MATCH(SMALL('MTRs'!$BC$6:$BC$505,137),'MTRs'!$BC$6:$BC$505,0),"")</f>
        <v/>
      </c>
    </row>
    <row r="585">
      <c r="B585" s="119" t="str">
        <f>IF($L585="","",INDEX('MTRs'!$A$6:$A$505,$L585)&amp;"")</f>
        <v/>
      </c>
      <c r="C585" s="120" t="str">
        <f>IF($L585="","",INDEX('MTRs'!$B$6:$B$505,$L585)&amp;"")</f>
        <v/>
      </c>
      <c r="D585" s="120" t="str">
        <f>IF($L585="","",INDEX('MTRs'!$T$6:$T$505,$L585)&amp;"")</f>
        <v/>
      </c>
      <c r="E585" s="120" t="str">
        <f>IF($L585="","",INDEX('MTRs'!$BF$6:$BF$505,$L585)&amp;"")</f>
        <v/>
      </c>
      <c r="F585" s="129" t="str">
        <f>IF($L585="","",INDEX('MTRs'!$U$6:$U$505,$L585))</f>
        <v/>
      </c>
      <c r="G585" s="120" t="str">
        <f>IF($L585="","",INDEX('MTRs'!$AS$6:$AS$505,$L585)&amp;"")</f>
        <v/>
      </c>
      <c r="H585" s="110" t="str">
        <f>IF($L585="","",INDEX('MTRs'!$AT$6:$AT$505,$L585)&amp;"")</f>
        <v/>
      </c>
      <c r="L585" t="str">
        <f>IFERROR(MATCH(SMALL('MTRs'!$BC$6:$BC$505,138),'MTRs'!$BC$6:$BC$505,0),"")</f>
        <v/>
      </c>
    </row>
    <row r="586">
      <c r="B586" s="119" t="str">
        <f>IF($L586="","",INDEX('MTRs'!$A$6:$A$505,$L586)&amp;"")</f>
        <v/>
      </c>
      <c r="C586" s="120" t="str">
        <f>IF($L586="","",INDEX('MTRs'!$B$6:$B$505,$L586)&amp;"")</f>
        <v/>
      </c>
      <c r="D586" s="120" t="str">
        <f>IF($L586="","",INDEX('MTRs'!$T$6:$T$505,$L586)&amp;"")</f>
        <v/>
      </c>
      <c r="E586" s="120" t="str">
        <f>IF($L586="","",INDEX('MTRs'!$BF$6:$BF$505,$L586)&amp;"")</f>
        <v/>
      </c>
      <c r="F586" s="129" t="str">
        <f>IF($L586="","",INDEX('MTRs'!$U$6:$U$505,$L586))</f>
        <v/>
      </c>
      <c r="G586" s="120" t="str">
        <f>IF($L586="","",INDEX('MTRs'!$AS$6:$AS$505,$L586)&amp;"")</f>
        <v/>
      </c>
      <c r="H586" s="110" t="str">
        <f>IF($L586="","",INDEX('MTRs'!$AT$6:$AT$505,$L586)&amp;"")</f>
        <v/>
      </c>
      <c r="L586" t="str">
        <f>IFERROR(MATCH(SMALL('MTRs'!$BC$6:$BC$505,139),'MTRs'!$BC$6:$BC$505,0),"")</f>
        <v/>
      </c>
    </row>
    <row r="587">
      <c r="B587" s="119" t="str">
        <f>IF($L587="","",INDEX('MTRs'!$A$6:$A$505,$L587)&amp;"")</f>
        <v/>
      </c>
      <c r="C587" s="120" t="str">
        <f>IF($L587="","",INDEX('MTRs'!$B$6:$B$505,$L587)&amp;"")</f>
        <v/>
      </c>
      <c r="D587" s="120" t="str">
        <f>IF($L587="","",INDEX('MTRs'!$T$6:$T$505,$L587)&amp;"")</f>
        <v/>
      </c>
      <c r="E587" s="120" t="str">
        <f>IF($L587="","",INDEX('MTRs'!$BF$6:$BF$505,$L587)&amp;"")</f>
        <v/>
      </c>
      <c r="F587" s="129" t="str">
        <f>IF($L587="","",INDEX('MTRs'!$U$6:$U$505,$L587))</f>
        <v/>
      </c>
      <c r="G587" s="120" t="str">
        <f>IF($L587="","",INDEX('MTRs'!$AS$6:$AS$505,$L587)&amp;"")</f>
        <v/>
      </c>
      <c r="H587" s="110" t="str">
        <f>IF($L587="","",INDEX('MTRs'!$AT$6:$AT$505,$L587)&amp;"")</f>
        <v/>
      </c>
      <c r="L587" t="str">
        <f>IFERROR(MATCH(SMALL('MTRs'!$BC$6:$BC$505,140),'MTRs'!$BC$6:$BC$505,0),"")</f>
        <v/>
      </c>
    </row>
    <row r="588">
      <c r="B588" s="119" t="str">
        <f>IF($L588="","",INDEX('MTRs'!$A$6:$A$505,$L588)&amp;"")</f>
        <v/>
      </c>
      <c r="C588" s="120" t="str">
        <f>IF($L588="","",INDEX('MTRs'!$B$6:$B$505,$L588)&amp;"")</f>
        <v/>
      </c>
      <c r="D588" s="120" t="str">
        <f>IF($L588="","",INDEX('MTRs'!$T$6:$T$505,$L588)&amp;"")</f>
        <v/>
      </c>
      <c r="E588" s="120" t="str">
        <f>IF($L588="","",INDEX('MTRs'!$BF$6:$BF$505,$L588)&amp;"")</f>
        <v/>
      </c>
      <c r="F588" s="129" t="str">
        <f>IF($L588="","",INDEX('MTRs'!$U$6:$U$505,$L588))</f>
        <v/>
      </c>
      <c r="G588" s="120" t="str">
        <f>IF($L588="","",INDEX('MTRs'!$AS$6:$AS$505,$L588)&amp;"")</f>
        <v/>
      </c>
      <c r="H588" s="110" t="str">
        <f>IF($L588="","",INDEX('MTRs'!$AT$6:$AT$505,$L588)&amp;"")</f>
        <v/>
      </c>
      <c r="L588" t="str">
        <f>IFERROR(MATCH(SMALL('MTRs'!$BC$6:$BC$505,141),'MTRs'!$BC$6:$BC$505,0),"")</f>
        <v/>
      </c>
    </row>
    <row r="589">
      <c r="B589" s="119" t="str">
        <f>IF($L589="","",INDEX('MTRs'!$A$6:$A$505,$L589)&amp;"")</f>
        <v/>
      </c>
      <c r="C589" s="120" t="str">
        <f>IF($L589="","",INDEX('MTRs'!$B$6:$B$505,$L589)&amp;"")</f>
        <v/>
      </c>
      <c r="D589" s="120" t="str">
        <f>IF($L589="","",INDEX('MTRs'!$T$6:$T$505,$L589)&amp;"")</f>
        <v/>
      </c>
      <c r="E589" s="120" t="str">
        <f>IF($L589="","",INDEX('MTRs'!$BF$6:$BF$505,$L589)&amp;"")</f>
        <v/>
      </c>
      <c r="F589" s="129" t="str">
        <f>IF($L589="","",INDEX('MTRs'!$U$6:$U$505,$L589))</f>
        <v/>
      </c>
      <c r="G589" s="120" t="str">
        <f>IF($L589="","",INDEX('MTRs'!$AS$6:$AS$505,$L589)&amp;"")</f>
        <v/>
      </c>
      <c r="H589" s="110" t="str">
        <f>IF($L589="","",INDEX('MTRs'!$AT$6:$AT$505,$L589)&amp;"")</f>
        <v/>
      </c>
      <c r="L589" t="str">
        <f>IFERROR(MATCH(SMALL('MTRs'!$BC$6:$BC$505,142),'MTRs'!$BC$6:$BC$505,0),"")</f>
        <v/>
      </c>
    </row>
    <row r="590">
      <c r="B590" s="119" t="str">
        <f>IF($L590="","",INDEX('MTRs'!$A$6:$A$505,$L590)&amp;"")</f>
        <v/>
      </c>
      <c r="C590" s="120" t="str">
        <f>IF($L590="","",INDEX('MTRs'!$B$6:$B$505,$L590)&amp;"")</f>
        <v/>
      </c>
      <c r="D590" s="120" t="str">
        <f>IF($L590="","",INDEX('MTRs'!$T$6:$T$505,$L590)&amp;"")</f>
        <v/>
      </c>
      <c r="E590" s="120" t="str">
        <f>IF($L590="","",INDEX('MTRs'!$BF$6:$BF$505,$L590)&amp;"")</f>
        <v/>
      </c>
      <c r="F590" s="129" t="str">
        <f>IF($L590="","",INDEX('MTRs'!$U$6:$U$505,$L590))</f>
        <v/>
      </c>
      <c r="G590" s="120" t="str">
        <f>IF($L590="","",INDEX('MTRs'!$AS$6:$AS$505,$L590)&amp;"")</f>
        <v/>
      </c>
      <c r="H590" s="110" t="str">
        <f>IF($L590="","",INDEX('MTRs'!$AT$6:$AT$505,$L590)&amp;"")</f>
        <v/>
      </c>
      <c r="L590" t="str">
        <f>IFERROR(MATCH(SMALL('MTRs'!$BC$6:$BC$505,143),'MTRs'!$BC$6:$BC$505,0),"")</f>
        <v/>
      </c>
    </row>
    <row r="591">
      <c r="B591" s="119" t="str">
        <f>IF($L591="","",INDEX('MTRs'!$A$6:$A$505,$L591)&amp;"")</f>
        <v/>
      </c>
      <c r="C591" s="120" t="str">
        <f>IF($L591="","",INDEX('MTRs'!$B$6:$B$505,$L591)&amp;"")</f>
        <v/>
      </c>
      <c r="D591" s="120" t="str">
        <f>IF($L591="","",INDEX('MTRs'!$T$6:$T$505,$L591)&amp;"")</f>
        <v/>
      </c>
      <c r="E591" s="120" t="str">
        <f>IF($L591="","",INDEX('MTRs'!$BF$6:$BF$505,$L591)&amp;"")</f>
        <v/>
      </c>
      <c r="F591" s="129" t="str">
        <f>IF($L591="","",INDEX('MTRs'!$U$6:$U$505,$L591))</f>
        <v/>
      </c>
      <c r="G591" s="120" t="str">
        <f>IF($L591="","",INDEX('MTRs'!$AS$6:$AS$505,$L591)&amp;"")</f>
        <v/>
      </c>
      <c r="H591" s="110" t="str">
        <f>IF($L591="","",INDEX('MTRs'!$AT$6:$AT$505,$L591)&amp;"")</f>
        <v/>
      </c>
      <c r="L591" t="str">
        <f>IFERROR(MATCH(SMALL('MTRs'!$BC$6:$BC$505,144),'MTRs'!$BC$6:$BC$505,0),"")</f>
        <v/>
      </c>
    </row>
    <row r="592">
      <c r="B592" s="119" t="str">
        <f>IF($L592="","",INDEX('MTRs'!$A$6:$A$505,$L592)&amp;"")</f>
        <v/>
      </c>
      <c r="C592" s="120" t="str">
        <f>IF($L592="","",INDEX('MTRs'!$B$6:$B$505,$L592)&amp;"")</f>
        <v/>
      </c>
      <c r="D592" s="120" t="str">
        <f>IF($L592="","",INDEX('MTRs'!$T$6:$T$505,$L592)&amp;"")</f>
        <v/>
      </c>
      <c r="E592" s="120" t="str">
        <f>IF($L592="","",INDEX('MTRs'!$BF$6:$BF$505,$L592)&amp;"")</f>
        <v/>
      </c>
      <c r="F592" s="129" t="str">
        <f>IF($L592="","",INDEX('MTRs'!$U$6:$U$505,$L592))</f>
        <v/>
      </c>
      <c r="G592" s="120" t="str">
        <f>IF($L592="","",INDEX('MTRs'!$AS$6:$AS$505,$L592)&amp;"")</f>
        <v/>
      </c>
      <c r="H592" s="110" t="str">
        <f>IF($L592="","",INDEX('MTRs'!$AT$6:$AT$505,$L592)&amp;"")</f>
        <v/>
      </c>
      <c r="L592" t="str">
        <f>IFERROR(MATCH(SMALL('MTRs'!$BC$6:$BC$505,145),'MTRs'!$BC$6:$BC$505,0),"")</f>
        <v/>
      </c>
    </row>
    <row r="593">
      <c r="B593" s="119" t="str">
        <f>IF($L593="","",INDEX('MTRs'!$A$6:$A$505,$L593)&amp;"")</f>
        <v/>
      </c>
      <c r="C593" s="120" t="str">
        <f>IF($L593="","",INDEX('MTRs'!$B$6:$B$505,$L593)&amp;"")</f>
        <v/>
      </c>
      <c r="D593" s="120" t="str">
        <f>IF($L593="","",INDEX('MTRs'!$T$6:$T$505,$L593)&amp;"")</f>
        <v/>
      </c>
      <c r="E593" s="120" t="str">
        <f>IF($L593="","",INDEX('MTRs'!$BF$6:$BF$505,$L593)&amp;"")</f>
        <v/>
      </c>
      <c r="F593" s="129" t="str">
        <f>IF($L593="","",INDEX('MTRs'!$U$6:$U$505,$L593))</f>
        <v/>
      </c>
      <c r="G593" s="120" t="str">
        <f>IF($L593="","",INDEX('MTRs'!$AS$6:$AS$505,$L593)&amp;"")</f>
        <v/>
      </c>
      <c r="H593" s="110" t="str">
        <f>IF($L593="","",INDEX('MTRs'!$AT$6:$AT$505,$L593)&amp;"")</f>
        <v/>
      </c>
      <c r="L593" t="str">
        <f>IFERROR(MATCH(SMALL('MTRs'!$BC$6:$BC$505,146),'MTRs'!$BC$6:$BC$505,0),"")</f>
        <v/>
      </c>
    </row>
    <row r="594">
      <c r="B594" s="119" t="str">
        <f>IF($L594="","",INDEX('MTRs'!$A$6:$A$505,$L594)&amp;"")</f>
        <v/>
      </c>
      <c r="C594" s="120" t="str">
        <f>IF($L594="","",INDEX('MTRs'!$B$6:$B$505,$L594)&amp;"")</f>
        <v/>
      </c>
      <c r="D594" s="120" t="str">
        <f>IF($L594="","",INDEX('MTRs'!$T$6:$T$505,$L594)&amp;"")</f>
        <v/>
      </c>
      <c r="E594" s="120" t="str">
        <f>IF($L594="","",INDEX('MTRs'!$BF$6:$BF$505,$L594)&amp;"")</f>
        <v/>
      </c>
      <c r="F594" s="129" t="str">
        <f>IF($L594="","",INDEX('MTRs'!$U$6:$U$505,$L594))</f>
        <v/>
      </c>
      <c r="G594" s="120" t="str">
        <f>IF($L594="","",INDEX('MTRs'!$AS$6:$AS$505,$L594)&amp;"")</f>
        <v/>
      </c>
      <c r="H594" s="110" t="str">
        <f>IF($L594="","",INDEX('MTRs'!$AT$6:$AT$505,$L594)&amp;"")</f>
        <v/>
      </c>
      <c r="L594" t="str">
        <f>IFERROR(MATCH(SMALL('MTRs'!$BC$6:$BC$505,147),'MTRs'!$BC$6:$BC$505,0),"")</f>
        <v/>
      </c>
    </row>
    <row r="595">
      <c r="B595" s="119" t="str">
        <f>IF($L595="","",INDEX('MTRs'!$A$6:$A$505,$L595)&amp;"")</f>
        <v/>
      </c>
      <c r="C595" s="120" t="str">
        <f>IF($L595="","",INDEX('MTRs'!$B$6:$B$505,$L595)&amp;"")</f>
        <v/>
      </c>
      <c r="D595" s="120" t="str">
        <f>IF($L595="","",INDEX('MTRs'!$T$6:$T$505,$L595)&amp;"")</f>
        <v/>
      </c>
      <c r="E595" s="120" t="str">
        <f>IF($L595="","",INDEX('MTRs'!$BF$6:$BF$505,$L595)&amp;"")</f>
        <v/>
      </c>
      <c r="F595" s="129" t="str">
        <f>IF($L595="","",INDEX('MTRs'!$U$6:$U$505,$L595))</f>
        <v/>
      </c>
      <c r="G595" s="120" t="str">
        <f>IF($L595="","",INDEX('MTRs'!$AS$6:$AS$505,$L595)&amp;"")</f>
        <v/>
      </c>
      <c r="H595" s="110" t="str">
        <f>IF($L595="","",INDEX('MTRs'!$AT$6:$AT$505,$L595)&amp;"")</f>
        <v/>
      </c>
      <c r="L595" t="str">
        <f>IFERROR(MATCH(SMALL('MTRs'!$BC$6:$BC$505,148),'MTRs'!$BC$6:$BC$505,0),"")</f>
        <v/>
      </c>
    </row>
    <row r="596">
      <c r="B596" s="119" t="str">
        <f>IF($L596="","",INDEX('MTRs'!$A$6:$A$505,$L596)&amp;"")</f>
        <v/>
      </c>
      <c r="C596" s="120" t="str">
        <f>IF($L596="","",INDEX('MTRs'!$B$6:$B$505,$L596)&amp;"")</f>
        <v/>
      </c>
      <c r="D596" s="120" t="str">
        <f>IF($L596="","",INDEX('MTRs'!$T$6:$T$505,$L596)&amp;"")</f>
        <v/>
      </c>
      <c r="E596" s="120" t="str">
        <f>IF($L596="","",INDEX('MTRs'!$BF$6:$BF$505,$L596)&amp;"")</f>
        <v/>
      </c>
      <c r="F596" s="129" t="str">
        <f>IF($L596="","",INDEX('MTRs'!$U$6:$U$505,$L596))</f>
        <v/>
      </c>
      <c r="G596" s="120" t="str">
        <f>IF($L596="","",INDEX('MTRs'!$AS$6:$AS$505,$L596)&amp;"")</f>
        <v/>
      </c>
      <c r="H596" s="110" t="str">
        <f>IF($L596="","",INDEX('MTRs'!$AT$6:$AT$505,$L596)&amp;"")</f>
        <v/>
      </c>
      <c r="L596" t="str">
        <f>IFERROR(MATCH(SMALL('MTRs'!$BC$6:$BC$505,149),'MTRs'!$BC$6:$BC$505,0),"")</f>
        <v/>
      </c>
    </row>
    <row r="597">
      <c r="B597" s="119" t="str">
        <f>IF($L597="","",INDEX('MTRs'!$A$6:$A$505,$L597)&amp;"")</f>
        <v/>
      </c>
      <c r="C597" s="120" t="str">
        <f>IF($L597="","",INDEX('MTRs'!$B$6:$B$505,$L597)&amp;"")</f>
        <v/>
      </c>
      <c r="D597" s="120" t="str">
        <f>IF($L597="","",INDEX('MTRs'!$T$6:$T$505,$L597)&amp;"")</f>
        <v/>
      </c>
      <c r="E597" s="120" t="str">
        <f>IF($L597="","",INDEX('MTRs'!$BF$6:$BF$505,$L597)&amp;"")</f>
        <v/>
      </c>
      <c r="F597" s="129" t="str">
        <f>IF($L597="","",INDEX('MTRs'!$U$6:$U$505,$L597))</f>
        <v/>
      </c>
      <c r="G597" s="120" t="str">
        <f>IF($L597="","",INDEX('MTRs'!$AS$6:$AS$505,$L597)&amp;"")</f>
        <v/>
      </c>
      <c r="H597" s="110" t="str">
        <f>IF($L597="","",INDEX('MTRs'!$AT$6:$AT$505,$L597)&amp;"")</f>
        <v/>
      </c>
      <c r="L597" t="str">
        <f>IFERROR(MATCH(SMALL('MTRs'!$BC$6:$BC$505,150),'MTRs'!$BC$6:$BC$505,0),"")</f>
        <v/>
      </c>
    </row>
    <row r="600" ht="26" customHeight="1">
      <c r="B600" s="116" t="inlineStr">
        <is>
          <t>RELATÓRIO 06 | CONCILIAÇÃO DOCUMENTAL</t>
        </is>
      </c>
      <c r="C600" s="116" t="n"/>
      <c r="D600" s="116" t="n"/>
      <c r="E600" s="116" t="n"/>
      <c r="F600" s="116" t="n"/>
      <c r="G600" s="116" t="n"/>
      <c r="H600" s="116" t="n"/>
      <c r="I600" s="116" t="n"/>
      <c r="J600" s="116" t="n"/>
    </row>
    <row r="601" ht="28" customHeight="1">
      <c r="B601" s="117" t="inlineStr">
        <is>
          <t>Data considerada: data de emissão do MTR. Filtros: período, unidade e destinador. Diferenças são indicações para conferência, não conclusões sobre a regularidade.</t>
        </is>
      </c>
      <c r="C601" s="117" t="n"/>
      <c r="D601" s="117" t="n"/>
      <c r="E601" s="117" t="n"/>
      <c r="F601" s="117" t="n"/>
      <c r="G601" s="117" t="n"/>
      <c r="H601" s="127" t="str">
        <f>"MTRs listados: "&amp;COUNTIF('MTRs'!$BA$6:$BA$505,1)</f>
        <v>MTRs listados: 0</v>
      </c>
      <c r="I601" s="127" t="n"/>
      <c r="J601" s="127" t="n"/>
    </row>
    <row r="602" ht="34" customHeight="1">
      <c r="B602" s="43" t="inlineStr">
        <is>
          <t>ID do MTR</t>
        </is>
      </c>
      <c r="C602" s="43" t="inlineStr">
        <is>
          <t>Número oficial do MTR</t>
        </is>
      </c>
      <c r="D602" s="43" t="inlineStr">
        <is>
          <t>Itens</t>
        </is>
      </c>
      <c r="E602" s="43" t="inlineStr">
        <is>
          <t>Quantidade enviada (kg)</t>
        </is>
      </c>
      <c r="F602" s="43" t="inlineStr">
        <is>
          <t>Quantidade recebida registrada (kg)</t>
        </is>
      </c>
      <c r="G602" s="43" t="inlineStr">
        <is>
          <t>Quantidade vinculada a CDF (kg)</t>
        </is>
      </c>
      <c r="H602" s="43" t="inlineStr">
        <is>
          <t>Diferença enviado − recebido (kg)</t>
        </is>
      </c>
      <c r="I602" s="43" t="inlineStr">
        <is>
          <t>Diferença recebido − CDF (kg)</t>
        </is>
      </c>
      <c r="J602" s="43" t="inlineStr">
        <is>
          <t>Situação de conferência</t>
        </is>
      </c>
    </row>
    <row r="603">
      <c r="B603" s="119" t="str">
        <f>IF($L603="","",INDEX('MTRs'!$A$6:$A$505,$L603)&amp;"")</f>
        <v/>
      </c>
      <c r="C603" s="120" t="str">
        <f>IF($L603="","",INDEX('MTRs'!$B$6:$B$505,$L603)&amp;"")</f>
        <v/>
      </c>
      <c r="D603" s="121" t="str">
        <f>IF($L603="","",INDEX('MTRs'!$W$6:$W$505,$L603))</f>
        <v/>
      </c>
      <c r="E603" s="122" t="str">
        <f>IF($L603="","",INDEX('MTRs'!$P$6:$P$505,$L603))</f>
        <v/>
      </c>
      <c r="F603" s="122" t="str">
        <f>IF($L603="","",INDEX('MTRs'!$Q$6:$Q$505,$L603))</f>
        <v/>
      </c>
      <c r="G603" s="122" t="str">
        <f>IF($L603="","",INDEX('MTRs'!$R$6:$R$505,$L603))</f>
        <v/>
      </c>
      <c r="H603" s="130" t="str">
        <f>IF($L603="","",IF(INDEX('MTRs'!$AM$6:$AM$505,$L603)=0,"",N(E603)-N(F603)))</f>
        <v/>
      </c>
      <c r="I603" s="130" t="str">
        <f>IF($L603="","",IF(INDEX('MTRs'!$AM$6:$AM$505,$L603)=0,"",N(F603)-N(G603)))</f>
        <v/>
      </c>
      <c r="J603" s="120" t="str">
        <f>IF($L603="","",INDEX('MTRs'!$S$6:$S$505,$L603)&amp;"")</f>
        <v/>
      </c>
      <c r="L603" t="str">
        <f>IFERROR(MATCH(1,'MTRs'!$BB$6:$BB$505,0),"")</f>
        <v/>
      </c>
    </row>
    <row r="604">
      <c r="B604" s="119" t="str">
        <f>IF($L604="","",INDEX('MTRs'!$A$6:$A$505,$L604)&amp;"")</f>
        <v/>
      </c>
      <c r="C604" s="120" t="str">
        <f>IF($L604="","",INDEX('MTRs'!$B$6:$B$505,$L604)&amp;"")</f>
        <v/>
      </c>
      <c r="D604" s="121" t="str">
        <f>IF($L604="","",INDEX('MTRs'!$W$6:$W$505,$L604))</f>
        <v/>
      </c>
      <c r="E604" s="122" t="str">
        <f>IF($L604="","",INDEX('MTRs'!$P$6:$P$505,$L604))</f>
        <v/>
      </c>
      <c r="F604" s="122" t="str">
        <f>IF($L604="","",INDEX('MTRs'!$Q$6:$Q$505,$L604))</f>
        <v/>
      </c>
      <c r="G604" s="122" t="str">
        <f>IF($L604="","",INDEX('MTRs'!$R$6:$R$505,$L604))</f>
        <v/>
      </c>
      <c r="H604" s="130" t="str">
        <f>IF($L604="","",IF(INDEX('MTRs'!$AM$6:$AM$505,$L604)=0,"",N(E604)-N(F604)))</f>
        <v/>
      </c>
      <c r="I604" s="130" t="str">
        <f>IF($L604="","",IF(INDEX('MTRs'!$AM$6:$AM$505,$L604)=0,"",N(F604)-N(G604)))</f>
        <v/>
      </c>
      <c r="J604" s="120" t="str">
        <f>IF($L604="","",INDEX('MTRs'!$S$6:$S$505,$L604)&amp;"")</f>
        <v/>
      </c>
      <c r="L604" t="str">
        <f>IFERROR(MATCH(2,'MTRs'!$BB$6:$BB$505,0),"")</f>
        <v/>
      </c>
    </row>
    <row r="605">
      <c r="B605" s="119" t="str">
        <f>IF($L605="","",INDEX('MTRs'!$A$6:$A$505,$L605)&amp;"")</f>
        <v/>
      </c>
      <c r="C605" s="120" t="str">
        <f>IF($L605="","",INDEX('MTRs'!$B$6:$B$505,$L605)&amp;"")</f>
        <v/>
      </c>
      <c r="D605" s="121" t="str">
        <f>IF($L605="","",INDEX('MTRs'!$W$6:$W$505,$L605))</f>
        <v/>
      </c>
      <c r="E605" s="122" t="str">
        <f>IF($L605="","",INDEX('MTRs'!$P$6:$P$505,$L605))</f>
        <v/>
      </c>
      <c r="F605" s="122" t="str">
        <f>IF($L605="","",INDEX('MTRs'!$Q$6:$Q$505,$L605))</f>
        <v/>
      </c>
      <c r="G605" s="122" t="str">
        <f>IF($L605="","",INDEX('MTRs'!$R$6:$R$505,$L605))</f>
        <v/>
      </c>
      <c r="H605" s="130" t="str">
        <f>IF($L605="","",IF(INDEX('MTRs'!$AM$6:$AM$505,$L605)=0,"",N(E605)-N(F605)))</f>
        <v/>
      </c>
      <c r="I605" s="130" t="str">
        <f>IF($L605="","",IF(INDEX('MTRs'!$AM$6:$AM$505,$L605)=0,"",N(F605)-N(G605)))</f>
        <v/>
      </c>
      <c r="J605" s="120" t="str">
        <f>IF($L605="","",INDEX('MTRs'!$S$6:$S$505,$L605)&amp;"")</f>
        <v/>
      </c>
      <c r="L605" t="str">
        <f>IFERROR(MATCH(3,'MTRs'!$BB$6:$BB$505,0),"")</f>
        <v/>
      </c>
    </row>
    <row r="606">
      <c r="B606" s="119" t="str">
        <f>IF($L606="","",INDEX('MTRs'!$A$6:$A$505,$L606)&amp;"")</f>
        <v/>
      </c>
      <c r="C606" s="120" t="str">
        <f>IF($L606="","",INDEX('MTRs'!$B$6:$B$505,$L606)&amp;"")</f>
        <v/>
      </c>
      <c r="D606" s="121" t="str">
        <f>IF($L606="","",INDEX('MTRs'!$W$6:$W$505,$L606))</f>
        <v/>
      </c>
      <c r="E606" s="122" t="str">
        <f>IF($L606="","",INDEX('MTRs'!$P$6:$P$505,$L606))</f>
        <v/>
      </c>
      <c r="F606" s="122" t="str">
        <f>IF($L606="","",INDEX('MTRs'!$Q$6:$Q$505,$L606))</f>
        <v/>
      </c>
      <c r="G606" s="122" t="str">
        <f>IF($L606="","",INDEX('MTRs'!$R$6:$R$505,$L606))</f>
        <v/>
      </c>
      <c r="H606" s="130" t="str">
        <f>IF($L606="","",IF(INDEX('MTRs'!$AM$6:$AM$505,$L606)=0,"",N(E606)-N(F606)))</f>
        <v/>
      </c>
      <c r="I606" s="130" t="str">
        <f>IF($L606="","",IF(INDEX('MTRs'!$AM$6:$AM$505,$L606)=0,"",N(F606)-N(G606)))</f>
        <v/>
      </c>
      <c r="J606" s="120" t="str">
        <f>IF($L606="","",INDEX('MTRs'!$S$6:$S$505,$L606)&amp;"")</f>
        <v/>
      </c>
      <c r="L606" t="str">
        <f>IFERROR(MATCH(4,'MTRs'!$BB$6:$BB$505,0),"")</f>
        <v/>
      </c>
    </row>
    <row r="607">
      <c r="B607" s="119" t="str">
        <f>IF($L607="","",INDEX('MTRs'!$A$6:$A$505,$L607)&amp;"")</f>
        <v/>
      </c>
      <c r="C607" s="120" t="str">
        <f>IF($L607="","",INDEX('MTRs'!$B$6:$B$505,$L607)&amp;"")</f>
        <v/>
      </c>
      <c r="D607" s="121" t="str">
        <f>IF($L607="","",INDEX('MTRs'!$W$6:$W$505,$L607))</f>
        <v/>
      </c>
      <c r="E607" s="122" t="str">
        <f>IF($L607="","",INDEX('MTRs'!$P$6:$P$505,$L607))</f>
        <v/>
      </c>
      <c r="F607" s="122" t="str">
        <f>IF($L607="","",INDEX('MTRs'!$Q$6:$Q$505,$L607))</f>
        <v/>
      </c>
      <c r="G607" s="122" t="str">
        <f>IF($L607="","",INDEX('MTRs'!$R$6:$R$505,$L607))</f>
        <v/>
      </c>
      <c r="H607" s="130" t="str">
        <f>IF($L607="","",IF(INDEX('MTRs'!$AM$6:$AM$505,$L607)=0,"",N(E607)-N(F607)))</f>
        <v/>
      </c>
      <c r="I607" s="130" t="str">
        <f>IF($L607="","",IF(INDEX('MTRs'!$AM$6:$AM$505,$L607)=0,"",N(F607)-N(G607)))</f>
        <v/>
      </c>
      <c r="J607" s="120" t="str">
        <f>IF($L607="","",INDEX('MTRs'!$S$6:$S$505,$L607)&amp;"")</f>
        <v/>
      </c>
      <c r="L607" t="str">
        <f>IFERROR(MATCH(5,'MTRs'!$BB$6:$BB$505,0),"")</f>
        <v/>
      </c>
    </row>
    <row r="608">
      <c r="B608" s="119" t="str">
        <f>IF($L608="","",INDEX('MTRs'!$A$6:$A$505,$L608)&amp;"")</f>
        <v/>
      </c>
      <c r="C608" s="120" t="str">
        <f>IF($L608="","",INDEX('MTRs'!$B$6:$B$505,$L608)&amp;"")</f>
        <v/>
      </c>
      <c r="D608" s="121" t="str">
        <f>IF($L608="","",INDEX('MTRs'!$W$6:$W$505,$L608))</f>
        <v/>
      </c>
      <c r="E608" s="122" t="str">
        <f>IF($L608="","",INDEX('MTRs'!$P$6:$P$505,$L608))</f>
        <v/>
      </c>
      <c r="F608" s="122" t="str">
        <f>IF($L608="","",INDEX('MTRs'!$Q$6:$Q$505,$L608))</f>
        <v/>
      </c>
      <c r="G608" s="122" t="str">
        <f>IF($L608="","",INDEX('MTRs'!$R$6:$R$505,$L608))</f>
        <v/>
      </c>
      <c r="H608" s="130" t="str">
        <f>IF($L608="","",IF(INDEX('MTRs'!$AM$6:$AM$505,$L608)=0,"",N(E608)-N(F608)))</f>
        <v/>
      </c>
      <c r="I608" s="130" t="str">
        <f>IF($L608="","",IF(INDEX('MTRs'!$AM$6:$AM$505,$L608)=0,"",N(F608)-N(G608)))</f>
        <v/>
      </c>
      <c r="J608" s="120" t="str">
        <f>IF($L608="","",INDEX('MTRs'!$S$6:$S$505,$L608)&amp;"")</f>
        <v/>
      </c>
      <c r="L608" t="str">
        <f>IFERROR(MATCH(6,'MTRs'!$BB$6:$BB$505,0),"")</f>
        <v/>
      </c>
    </row>
    <row r="609">
      <c r="B609" s="119" t="str">
        <f>IF($L609="","",INDEX('MTRs'!$A$6:$A$505,$L609)&amp;"")</f>
        <v/>
      </c>
      <c r="C609" s="120" t="str">
        <f>IF($L609="","",INDEX('MTRs'!$B$6:$B$505,$L609)&amp;"")</f>
        <v/>
      </c>
      <c r="D609" s="121" t="str">
        <f>IF($L609="","",INDEX('MTRs'!$W$6:$W$505,$L609))</f>
        <v/>
      </c>
      <c r="E609" s="122" t="str">
        <f>IF($L609="","",INDEX('MTRs'!$P$6:$P$505,$L609))</f>
        <v/>
      </c>
      <c r="F609" s="122" t="str">
        <f>IF($L609="","",INDEX('MTRs'!$Q$6:$Q$505,$L609))</f>
        <v/>
      </c>
      <c r="G609" s="122" t="str">
        <f>IF($L609="","",INDEX('MTRs'!$R$6:$R$505,$L609))</f>
        <v/>
      </c>
      <c r="H609" s="130" t="str">
        <f>IF($L609="","",IF(INDEX('MTRs'!$AM$6:$AM$505,$L609)=0,"",N(E609)-N(F609)))</f>
        <v/>
      </c>
      <c r="I609" s="130" t="str">
        <f>IF($L609="","",IF(INDEX('MTRs'!$AM$6:$AM$505,$L609)=0,"",N(F609)-N(G609)))</f>
        <v/>
      </c>
      <c r="J609" s="120" t="str">
        <f>IF($L609="","",INDEX('MTRs'!$S$6:$S$505,$L609)&amp;"")</f>
        <v/>
      </c>
      <c r="L609" t="str">
        <f>IFERROR(MATCH(7,'MTRs'!$BB$6:$BB$505,0),"")</f>
        <v/>
      </c>
    </row>
    <row r="610">
      <c r="B610" s="119" t="str">
        <f>IF($L610="","",INDEX('MTRs'!$A$6:$A$505,$L610)&amp;"")</f>
        <v/>
      </c>
      <c r="C610" s="120" t="str">
        <f>IF($L610="","",INDEX('MTRs'!$B$6:$B$505,$L610)&amp;"")</f>
        <v/>
      </c>
      <c r="D610" s="121" t="str">
        <f>IF($L610="","",INDEX('MTRs'!$W$6:$W$505,$L610))</f>
        <v/>
      </c>
      <c r="E610" s="122" t="str">
        <f>IF($L610="","",INDEX('MTRs'!$P$6:$P$505,$L610))</f>
        <v/>
      </c>
      <c r="F610" s="122" t="str">
        <f>IF($L610="","",INDEX('MTRs'!$Q$6:$Q$505,$L610))</f>
        <v/>
      </c>
      <c r="G610" s="122" t="str">
        <f>IF($L610="","",INDEX('MTRs'!$R$6:$R$505,$L610))</f>
        <v/>
      </c>
      <c r="H610" s="130" t="str">
        <f>IF($L610="","",IF(INDEX('MTRs'!$AM$6:$AM$505,$L610)=0,"",N(E610)-N(F610)))</f>
        <v/>
      </c>
      <c r="I610" s="130" t="str">
        <f>IF($L610="","",IF(INDEX('MTRs'!$AM$6:$AM$505,$L610)=0,"",N(F610)-N(G610)))</f>
        <v/>
      </c>
      <c r="J610" s="120" t="str">
        <f>IF($L610="","",INDEX('MTRs'!$S$6:$S$505,$L610)&amp;"")</f>
        <v/>
      </c>
      <c r="L610" t="str">
        <f>IFERROR(MATCH(8,'MTRs'!$BB$6:$BB$505,0),"")</f>
        <v/>
      </c>
    </row>
    <row r="611">
      <c r="B611" s="119" t="str">
        <f>IF($L611="","",INDEX('MTRs'!$A$6:$A$505,$L611)&amp;"")</f>
        <v/>
      </c>
      <c r="C611" s="120" t="str">
        <f>IF($L611="","",INDEX('MTRs'!$B$6:$B$505,$L611)&amp;"")</f>
        <v/>
      </c>
      <c r="D611" s="121" t="str">
        <f>IF($L611="","",INDEX('MTRs'!$W$6:$W$505,$L611))</f>
        <v/>
      </c>
      <c r="E611" s="122" t="str">
        <f>IF($L611="","",INDEX('MTRs'!$P$6:$P$505,$L611))</f>
        <v/>
      </c>
      <c r="F611" s="122" t="str">
        <f>IF($L611="","",INDEX('MTRs'!$Q$6:$Q$505,$L611))</f>
        <v/>
      </c>
      <c r="G611" s="122" t="str">
        <f>IF($L611="","",INDEX('MTRs'!$R$6:$R$505,$L611))</f>
        <v/>
      </c>
      <c r="H611" s="130" t="str">
        <f>IF($L611="","",IF(INDEX('MTRs'!$AM$6:$AM$505,$L611)=0,"",N(E611)-N(F611)))</f>
        <v/>
      </c>
      <c r="I611" s="130" t="str">
        <f>IF($L611="","",IF(INDEX('MTRs'!$AM$6:$AM$505,$L611)=0,"",N(F611)-N(G611)))</f>
        <v/>
      </c>
      <c r="J611" s="120" t="str">
        <f>IF($L611="","",INDEX('MTRs'!$S$6:$S$505,$L611)&amp;"")</f>
        <v/>
      </c>
      <c r="L611" t="str">
        <f>IFERROR(MATCH(9,'MTRs'!$BB$6:$BB$505,0),"")</f>
        <v/>
      </c>
    </row>
    <row r="612">
      <c r="B612" s="119" t="str">
        <f>IF($L612="","",INDEX('MTRs'!$A$6:$A$505,$L612)&amp;"")</f>
        <v/>
      </c>
      <c r="C612" s="120" t="str">
        <f>IF($L612="","",INDEX('MTRs'!$B$6:$B$505,$L612)&amp;"")</f>
        <v/>
      </c>
      <c r="D612" s="121" t="str">
        <f>IF($L612="","",INDEX('MTRs'!$W$6:$W$505,$L612))</f>
        <v/>
      </c>
      <c r="E612" s="122" t="str">
        <f>IF($L612="","",INDEX('MTRs'!$P$6:$P$505,$L612))</f>
        <v/>
      </c>
      <c r="F612" s="122" t="str">
        <f>IF($L612="","",INDEX('MTRs'!$Q$6:$Q$505,$L612))</f>
        <v/>
      </c>
      <c r="G612" s="122" t="str">
        <f>IF($L612="","",INDEX('MTRs'!$R$6:$R$505,$L612))</f>
        <v/>
      </c>
      <c r="H612" s="130" t="str">
        <f>IF($L612="","",IF(INDEX('MTRs'!$AM$6:$AM$505,$L612)=0,"",N(E612)-N(F612)))</f>
        <v/>
      </c>
      <c r="I612" s="130" t="str">
        <f>IF($L612="","",IF(INDEX('MTRs'!$AM$6:$AM$505,$L612)=0,"",N(F612)-N(G612)))</f>
        <v/>
      </c>
      <c r="J612" s="120" t="str">
        <f>IF($L612="","",INDEX('MTRs'!$S$6:$S$505,$L612)&amp;"")</f>
        <v/>
      </c>
      <c r="L612" t="str">
        <f>IFERROR(MATCH(10,'MTRs'!$BB$6:$BB$505,0),"")</f>
        <v/>
      </c>
    </row>
    <row r="613">
      <c r="B613" s="119" t="str">
        <f>IF($L613="","",INDEX('MTRs'!$A$6:$A$505,$L613)&amp;"")</f>
        <v/>
      </c>
      <c r="C613" s="120" t="str">
        <f>IF($L613="","",INDEX('MTRs'!$B$6:$B$505,$L613)&amp;"")</f>
        <v/>
      </c>
      <c r="D613" s="121" t="str">
        <f>IF($L613="","",INDEX('MTRs'!$W$6:$W$505,$L613))</f>
        <v/>
      </c>
      <c r="E613" s="122" t="str">
        <f>IF($L613="","",INDEX('MTRs'!$P$6:$P$505,$L613))</f>
        <v/>
      </c>
      <c r="F613" s="122" t="str">
        <f>IF($L613="","",INDEX('MTRs'!$Q$6:$Q$505,$L613))</f>
        <v/>
      </c>
      <c r="G613" s="122" t="str">
        <f>IF($L613="","",INDEX('MTRs'!$R$6:$R$505,$L613))</f>
        <v/>
      </c>
      <c r="H613" s="130" t="str">
        <f>IF($L613="","",IF(INDEX('MTRs'!$AM$6:$AM$505,$L613)=0,"",N(E613)-N(F613)))</f>
        <v/>
      </c>
      <c r="I613" s="130" t="str">
        <f>IF($L613="","",IF(INDEX('MTRs'!$AM$6:$AM$505,$L613)=0,"",N(F613)-N(G613)))</f>
        <v/>
      </c>
      <c r="J613" s="120" t="str">
        <f>IF($L613="","",INDEX('MTRs'!$S$6:$S$505,$L613)&amp;"")</f>
        <v/>
      </c>
      <c r="L613" t="str">
        <f>IFERROR(MATCH(11,'MTRs'!$BB$6:$BB$505,0),"")</f>
        <v/>
      </c>
    </row>
    <row r="614">
      <c r="B614" s="119" t="str">
        <f>IF($L614="","",INDEX('MTRs'!$A$6:$A$505,$L614)&amp;"")</f>
        <v/>
      </c>
      <c r="C614" s="120" t="str">
        <f>IF($L614="","",INDEX('MTRs'!$B$6:$B$505,$L614)&amp;"")</f>
        <v/>
      </c>
      <c r="D614" s="121" t="str">
        <f>IF($L614="","",INDEX('MTRs'!$W$6:$W$505,$L614))</f>
        <v/>
      </c>
      <c r="E614" s="122" t="str">
        <f>IF($L614="","",INDEX('MTRs'!$P$6:$P$505,$L614))</f>
        <v/>
      </c>
      <c r="F614" s="122" t="str">
        <f>IF($L614="","",INDEX('MTRs'!$Q$6:$Q$505,$L614))</f>
        <v/>
      </c>
      <c r="G614" s="122" t="str">
        <f>IF($L614="","",INDEX('MTRs'!$R$6:$R$505,$L614))</f>
        <v/>
      </c>
      <c r="H614" s="130" t="str">
        <f>IF($L614="","",IF(INDEX('MTRs'!$AM$6:$AM$505,$L614)=0,"",N(E614)-N(F614)))</f>
        <v/>
      </c>
      <c r="I614" s="130" t="str">
        <f>IF($L614="","",IF(INDEX('MTRs'!$AM$6:$AM$505,$L614)=0,"",N(F614)-N(G614)))</f>
        <v/>
      </c>
      <c r="J614" s="120" t="str">
        <f>IF($L614="","",INDEX('MTRs'!$S$6:$S$505,$L614)&amp;"")</f>
        <v/>
      </c>
      <c r="L614" t="str">
        <f>IFERROR(MATCH(12,'MTRs'!$BB$6:$BB$505,0),"")</f>
        <v/>
      </c>
    </row>
    <row r="615">
      <c r="B615" s="119" t="str">
        <f>IF($L615="","",INDEX('MTRs'!$A$6:$A$505,$L615)&amp;"")</f>
        <v/>
      </c>
      <c r="C615" s="120" t="str">
        <f>IF($L615="","",INDEX('MTRs'!$B$6:$B$505,$L615)&amp;"")</f>
        <v/>
      </c>
      <c r="D615" s="121" t="str">
        <f>IF($L615="","",INDEX('MTRs'!$W$6:$W$505,$L615))</f>
        <v/>
      </c>
      <c r="E615" s="122" t="str">
        <f>IF($L615="","",INDEX('MTRs'!$P$6:$P$505,$L615))</f>
        <v/>
      </c>
      <c r="F615" s="122" t="str">
        <f>IF($L615="","",INDEX('MTRs'!$Q$6:$Q$505,$L615))</f>
        <v/>
      </c>
      <c r="G615" s="122" t="str">
        <f>IF($L615="","",INDEX('MTRs'!$R$6:$R$505,$L615))</f>
        <v/>
      </c>
      <c r="H615" s="130" t="str">
        <f>IF($L615="","",IF(INDEX('MTRs'!$AM$6:$AM$505,$L615)=0,"",N(E615)-N(F615)))</f>
        <v/>
      </c>
      <c r="I615" s="130" t="str">
        <f>IF($L615="","",IF(INDEX('MTRs'!$AM$6:$AM$505,$L615)=0,"",N(F615)-N(G615)))</f>
        <v/>
      </c>
      <c r="J615" s="120" t="str">
        <f>IF($L615="","",INDEX('MTRs'!$S$6:$S$505,$L615)&amp;"")</f>
        <v/>
      </c>
      <c r="L615" t="str">
        <f>IFERROR(MATCH(13,'MTRs'!$BB$6:$BB$505,0),"")</f>
        <v/>
      </c>
    </row>
    <row r="616">
      <c r="B616" s="119" t="str">
        <f>IF($L616="","",INDEX('MTRs'!$A$6:$A$505,$L616)&amp;"")</f>
        <v/>
      </c>
      <c r="C616" s="120" t="str">
        <f>IF($L616="","",INDEX('MTRs'!$B$6:$B$505,$L616)&amp;"")</f>
        <v/>
      </c>
      <c r="D616" s="121" t="str">
        <f>IF($L616="","",INDEX('MTRs'!$W$6:$W$505,$L616))</f>
        <v/>
      </c>
      <c r="E616" s="122" t="str">
        <f>IF($L616="","",INDEX('MTRs'!$P$6:$P$505,$L616))</f>
        <v/>
      </c>
      <c r="F616" s="122" t="str">
        <f>IF($L616="","",INDEX('MTRs'!$Q$6:$Q$505,$L616))</f>
        <v/>
      </c>
      <c r="G616" s="122" t="str">
        <f>IF($L616="","",INDEX('MTRs'!$R$6:$R$505,$L616))</f>
        <v/>
      </c>
      <c r="H616" s="130" t="str">
        <f>IF($L616="","",IF(INDEX('MTRs'!$AM$6:$AM$505,$L616)=0,"",N(E616)-N(F616)))</f>
        <v/>
      </c>
      <c r="I616" s="130" t="str">
        <f>IF($L616="","",IF(INDEX('MTRs'!$AM$6:$AM$505,$L616)=0,"",N(F616)-N(G616)))</f>
        <v/>
      </c>
      <c r="J616" s="120" t="str">
        <f>IF($L616="","",INDEX('MTRs'!$S$6:$S$505,$L616)&amp;"")</f>
        <v/>
      </c>
      <c r="L616" t="str">
        <f>IFERROR(MATCH(14,'MTRs'!$BB$6:$BB$505,0),"")</f>
        <v/>
      </c>
    </row>
    <row r="617">
      <c r="B617" s="119" t="str">
        <f>IF($L617="","",INDEX('MTRs'!$A$6:$A$505,$L617)&amp;"")</f>
        <v/>
      </c>
      <c r="C617" s="120" t="str">
        <f>IF($L617="","",INDEX('MTRs'!$B$6:$B$505,$L617)&amp;"")</f>
        <v/>
      </c>
      <c r="D617" s="121" t="str">
        <f>IF($L617="","",INDEX('MTRs'!$W$6:$W$505,$L617))</f>
        <v/>
      </c>
      <c r="E617" s="122" t="str">
        <f>IF($L617="","",INDEX('MTRs'!$P$6:$P$505,$L617))</f>
        <v/>
      </c>
      <c r="F617" s="122" t="str">
        <f>IF($L617="","",INDEX('MTRs'!$Q$6:$Q$505,$L617))</f>
        <v/>
      </c>
      <c r="G617" s="122" t="str">
        <f>IF($L617="","",INDEX('MTRs'!$R$6:$R$505,$L617))</f>
        <v/>
      </c>
      <c r="H617" s="130" t="str">
        <f>IF($L617="","",IF(INDEX('MTRs'!$AM$6:$AM$505,$L617)=0,"",N(E617)-N(F617)))</f>
        <v/>
      </c>
      <c r="I617" s="130" t="str">
        <f>IF($L617="","",IF(INDEX('MTRs'!$AM$6:$AM$505,$L617)=0,"",N(F617)-N(G617)))</f>
        <v/>
      </c>
      <c r="J617" s="120" t="str">
        <f>IF($L617="","",INDEX('MTRs'!$S$6:$S$505,$L617)&amp;"")</f>
        <v/>
      </c>
      <c r="L617" t="str">
        <f>IFERROR(MATCH(15,'MTRs'!$BB$6:$BB$505,0),"")</f>
        <v/>
      </c>
    </row>
    <row r="618">
      <c r="B618" s="119" t="str">
        <f>IF($L618="","",INDEX('MTRs'!$A$6:$A$505,$L618)&amp;"")</f>
        <v/>
      </c>
      <c r="C618" s="120" t="str">
        <f>IF($L618="","",INDEX('MTRs'!$B$6:$B$505,$L618)&amp;"")</f>
        <v/>
      </c>
      <c r="D618" s="121" t="str">
        <f>IF($L618="","",INDEX('MTRs'!$W$6:$W$505,$L618))</f>
        <v/>
      </c>
      <c r="E618" s="122" t="str">
        <f>IF($L618="","",INDEX('MTRs'!$P$6:$P$505,$L618))</f>
        <v/>
      </c>
      <c r="F618" s="122" t="str">
        <f>IF($L618="","",INDEX('MTRs'!$Q$6:$Q$505,$L618))</f>
        <v/>
      </c>
      <c r="G618" s="122" t="str">
        <f>IF($L618="","",INDEX('MTRs'!$R$6:$R$505,$L618))</f>
        <v/>
      </c>
      <c r="H618" s="130" t="str">
        <f>IF($L618="","",IF(INDEX('MTRs'!$AM$6:$AM$505,$L618)=0,"",N(E618)-N(F618)))</f>
        <v/>
      </c>
      <c r="I618" s="130" t="str">
        <f>IF($L618="","",IF(INDEX('MTRs'!$AM$6:$AM$505,$L618)=0,"",N(F618)-N(G618)))</f>
        <v/>
      </c>
      <c r="J618" s="120" t="str">
        <f>IF($L618="","",INDEX('MTRs'!$S$6:$S$505,$L618)&amp;"")</f>
        <v/>
      </c>
      <c r="L618" t="str">
        <f>IFERROR(MATCH(16,'MTRs'!$BB$6:$BB$505,0),"")</f>
        <v/>
      </c>
    </row>
    <row r="619">
      <c r="B619" s="119" t="str">
        <f>IF($L619="","",INDEX('MTRs'!$A$6:$A$505,$L619)&amp;"")</f>
        <v/>
      </c>
      <c r="C619" s="120" t="str">
        <f>IF($L619="","",INDEX('MTRs'!$B$6:$B$505,$L619)&amp;"")</f>
        <v/>
      </c>
      <c r="D619" s="121" t="str">
        <f>IF($L619="","",INDEX('MTRs'!$W$6:$W$505,$L619))</f>
        <v/>
      </c>
      <c r="E619" s="122" t="str">
        <f>IF($L619="","",INDEX('MTRs'!$P$6:$P$505,$L619))</f>
        <v/>
      </c>
      <c r="F619" s="122" t="str">
        <f>IF($L619="","",INDEX('MTRs'!$Q$6:$Q$505,$L619))</f>
        <v/>
      </c>
      <c r="G619" s="122" t="str">
        <f>IF($L619="","",INDEX('MTRs'!$R$6:$R$505,$L619))</f>
        <v/>
      </c>
      <c r="H619" s="130" t="str">
        <f>IF($L619="","",IF(INDEX('MTRs'!$AM$6:$AM$505,$L619)=0,"",N(E619)-N(F619)))</f>
        <v/>
      </c>
      <c r="I619" s="130" t="str">
        <f>IF($L619="","",IF(INDEX('MTRs'!$AM$6:$AM$505,$L619)=0,"",N(F619)-N(G619)))</f>
        <v/>
      </c>
      <c r="J619" s="120" t="str">
        <f>IF($L619="","",INDEX('MTRs'!$S$6:$S$505,$L619)&amp;"")</f>
        <v/>
      </c>
      <c r="L619" t="str">
        <f>IFERROR(MATCH(17,'MTRs'!$BB$6:$BB$505,0),"")</f>
        <v/>
      </c>
    </row>
    <row r="620">
      <c r="B620" s="119" t="str">
        <f>IF($L620="","",INDEX('MTRs'!$A$6:$A$505,$L620)&amp;"")</f>
        <v/>
      </c>
      <c r="C620" s="120" t="str">
        <f>IF($L620="","",INDEX('MTRs'!$B$6:$B$505,$L620)&amp;"")</f>
        <v/>
      </c>
      <c r="D620" s="121" t="str">
        <f>IF($L620="","",INDEX('MTRs'!$W$6:$W$505,$L620))</f>
        <v/>
      </c>
      <c r="E620" s="122" t="str">
        <f>IF($L620="","",INDEX('MTRs'!$P$6:$P$505,$L620))</f>
        <v/>
      </c>
      <c r="F620" s="122" t="str">
        <f>IF($L620="","",INDEX('MTRs'!$Q$6:$Q$505,$L620))</f>
        <v/>
      </c>
      <c r="G620" s="122" t="str">
        <f>IF($L620="","",INDEX('MTRs'!$R$6:$R$505,$L620))</f>
        <v/>
      </c>
      <c r="H620" s="130" t="str">
        <f>IF($L620="","",IF(INDEX('MTRs'!$AM$6:$AM$505,$L620)=0,"",N(E620)-N(F620)))</f>
        <v/>
      </c>
      <c r="I620" s="130" t="str">
        <f>IF($L620="","",IF(INDEX('MTRs'!$AM$6:$AM$505,$L620)=0,"",N(F620)-N(G620)))</f>
        <v/>
      </c>
      <c r="J620" s="120" t="str">
        <f>IF($L620="","",INDEX('MTRs'!$S$6:$S$505,$L620)&amp;"")</f>
        <v/>
      </c>
      <c r="L620" t="str">
        <f>IFERROR(MATCH(18,'MTRs'!$BB$6:$BB$505,0),"")</f>
        <v/>
      </c>
    </row>
    <row r="621">
      <c r="B621" s="119" t="str">
        <f>IF($L621="","",INDEX('MTRs'!$A$6:$A$505,$L621)&amp;"")</f>
        <v/>
      </c>
      <c r="C621" s="120" t="str">
        <f>IF($L621="","",INDEX('MTRs'!$B$6:$B$505,$L621)&amp;"")</f>
        <v/>
      </c>
      <c r="D621" s="121" t="str">
        <f>IF($L621="","",INDEX('MTRs'!$W$6:$W$505,$L621))</f>
        <v/>
      </c>
      <c r="E621" s="122" t="str">
        <f>IF($L621="","",INDEX('MTRs'!$P$6:$P$505,$L621))</f>
        <v/>
      </c>
      <c r="F621" s="122" t="str">
        <f>IF($L621="","",INDEX('MTRs'!$Q$6:$Q$505,$L621))</f>
        <v/>
      </c>
      <c r="G621" s="122" t="str">
        <f>IF($L621="","",INDEX('MTRs'!$R$6:$R$505,$L621))</f>
        <v/>
      </c>
      <c r="H621" s="130" t="str">
        <f>IF($L621="","",IF(INDEX('MTRs'!$AM$6:$AM$505,$L621)=0,"",N(E621)-N(F621)))</f>
        <v/>
      </c>
      <c r="I621" s="130" t="str">
        <f>IF($L621="","",IF(INDEX('MTRs'!$AM$6:$AM$505,$L621)=0,"",N(F621)-N(G621)))</f>
        <v/>
      </c>
      <c r="J621" s="120" t="str">
        <f>IF($L621="","",INDEX('MTRs'!$S$6:$S$505,$L621)&amp;"")</f>
        <v/>
      </c>
      <c r="L621" t="str">
        <f>IFERROR(MATCH(19,'MTRs'!$BB$6:$BB$505,0),"")</f>
        <v/>
      </c>
    </row>
    <row r="622">
      <c r="B622" s="119" t="str">
        <f>IF($L622="","",INDEX('MTRs'!$A$6:$A$505,$L622)&amp;"")</f>
        <v/>
      </c>
      <c r="C622" s="120" t="str">
        <f>IF($L622="","",INDEX('MTRs'!$B$6:$B$505,$L622)&amp;"")</f>
        <v/>
      </c>
      <c r="D622" s="121" t="str">
        <f>IF($L622="","",INDEX('MTRs'!$W$6:$W$505,$L622))</f>
        <v/>
      </c>
      <c r="E622" s="122" t="str">
        <f>IF($L622="","",INDEX('MTRs'!$P$6:$P$505,$L622))</f>
        <v/>
      </c>
      <c r="F622" s="122" t="str">
        <f>IF($L622="","",INDEX('MTRs'!$Q$6:$Q$505,$L622))</f>
        <v/>
      </c>
      <c r="G622" s="122" t="str">
        <f>IF($L622="","",INDEX('MTRs'!$R$6:$R$505,$L622))</f>
        <v/>
      </c>
      <c r="H622" s="130" t="str">
        <f>IF($L622="","",IF(INDEX('MTRs'!$AM$6:$AM$505,$L622)=0,"",N(E622)-N(F622)))</f>
        <v/>
      </c>
      <c r="I622" s="130" t="str">
        <f>IF($L622="","",IF(INDEX('MTRs'!$AM$6:$AM$505,$L622)=0,"",N(F622)-N(G622)))</f>
        <v/>
      </c>
      <c r="J622" s="120" t="str">
        <f>IF($L622="","",INDEX('MTRs'!$S$6:$S$505,$L622)&amp;"")</f>
        <v/>
      </c>
      <c r="L622" t="str">
        <f>IFERROR(MATCH(20,'MTRs'!$BB$6:$BB$505,0),"")</f>
        <v/>
      </c>
    </row>
    <row r="623">
      <c r="B623" s="119" t="str">
        <f>IF($L623="","",INDEX('MTRs'!$A$6:$A$505,$L623)&amp;"")</f>
        <v/>
      </c>
      <c r="C623" s="120" t="str">
        <f>IF($L623="","",INDEX('MTRs'!$B$6:$B$505,$L623)&amp;"")</f>
        <v/>
      </c>
      <c r="D623" s="121" t="str">
        <f>IF($L623="","",INDEX('MTRs'!$W$6:$W$505,$L623))</f>
        <v/>
      </c>
      <c r="E623" s="122" t="str">
        <f>IF($L623="","",INDEX('MTRs'!$P$6:$P$505,$L623))</f>
        <v/>
      </c>
      <c r="F623" s="122" t="str">
        <f>IF($L623="","",INDEX('MTRs'!$Q$6:$Q$505,$L623))</f>
        <v/>
      </c>
      <c r="G623" s="122" t="str">
        <f>IF($L623="","",INDEX('MTRs'!$R$6:$R$505,$L623))</f>
        <v/>
      </c>
      <c r="H623" s="130" t="str">
        <f>IF($L623="","",IF(INDEX('MTRs'!$AM$6:$AM$505,$L623)=0,"",N(E623)-N(F623)))</f>
        <v/>
      </c>
      <c r="I623" s="130" t="str">
        <f>IF($L623="","",IF(INDEX('MTRs'!$AM$6:$AM$505,$L623)=0,"",N(F623)-N(G623)))</f>
        <v/>
      </c>
      <c r="J623" s="120" t="str">
        <f>IF($L623="","",INDEX('MTRs'!$S$6:$S$505,$L623)&amp;"")</f>
        <v/>
      </c>
      <c r="L623" t="str">
        <f>IFERROR(MATCH(21,'MTRs'!$BB$6:$BB$505,0),"")</f>
        <v/>
      </c>
    </row>
    <row r="624">
      <c r="B624" s="119" t="str">
        <f>IF($L624="","",INDEX('MTRs'!$A$6:$A$505,$L624)&amp;"")</f>
        <v/>
      </c>
      <c r="C624" s="120" t="str">
        <f>IF($L624="","",INDEX('MTRs'!$B$6:$B$505,$L624)&amp;"")</f>
        <v/>
      </c>
      <c r="D624" s="121" t="str">
        <f>IF($L624="","",INDEX('MTRs'!$W$6:$W$505,$L624))</f>
        <v/>
      </c>
      <c r="E624" s="122" t="str">
        <f>IF($L624="","",INDEX('MTRs'!$P$6:$P$505,$L624))</f>
        <v/>
      </c>
      <c r="F624" s="122" t="str">
        <f>IF($L624="","",INDEX('MTRs'!$Q$6:$Q$505,$L624))</f>
        <v/>
      </c>
      <c r="G624" s="122" t="str">
        <f>IF($L624="","",INDEX('MTRs'!$R$6:$R$505,$L624))</f>
        <v/>
      </c>
      <c r="H624" s="130" t="str">
        <f>IF($L624="","",IF(INDEX('MTRs'!$AM$6:$AM$505,$L624)=0,"",N(E624)-N(F624)))</f>
        <v/>
      </c>
      <c r="I624" s="130" t="str">
        <f>IF($L624="","",IF(INDEX('MTRs'!$AM$6:$AM$505,$L624)=0,"",N(F624)-N(G624)))</f>
        <v/>
      </c>
      <c r="J624" s="120" t="str">
        <f>IF($L624="","",INDEX('MTRs'!$S$6:$S$505,$L624)&amp;"")</f>
        <v/>
      </c>
      <c r="L624" t="str">
        <f>IFERROR(MATCH(22,'MTRs'!$BB$6:$BB$505,0),"")</f>
        <v/>
      </c>
    </row>
    <row r="625">
      <c r="B625" s="119" t="str">
        <f>IF($L625="","",INDEX('MTRs'!$A$6:$A$505,$L625)&amp;"")</f>
        <v/>
      </c>
      <c r="C625" s="120" t="str">
        <f>IF($L625="","",INDEX('MTRs'!$B$6:$B$505,$L625)&amp;"")</f>
        <v/>
      </c>
      <c r="D625" s="121" t="str">
        <f>IF($L625="","",INDEX('MTRs'!$W$6:$W$505,$L625))</f>
        <v/>
      </c>
      <c r="E625" s="122" t="str">
        <f>IF($L625="","",INDEX('MTRs'!$P$6:$P$505,$L625))</f>
        <v/>
      </c>
      <c r="F625" s="122" t="str">
        <f>IF($L625="","",INDEX('MTRs'!$Q$6:$Q$505,$L625))</f>
        <v/>
      </c>
      <c r="G625" s="122" t="str">
        <f>IF($L625="","",INDEX('MTRs'!$R$6:$R$505,$L625))</f>
        <v/>
      </c>
      <c r="H625" s="130" t="str">
        <f>IF($L625="","",IF(INDEX('MTRs'!$AM$6:$AM$505,$L625)=0,"",N(E625)-N(F625)))</f>
        <v/>
      </c>
      <c r="I625" s="130" t="str">
        <f>IF($L625="","",IF(INDEX('MTRs'!$AM$6:$AM$505,$L625)=0,"",N(F625)-N(G625)))</f>
        <v/>
      </c>
      <c r="J625" s="120" t="str">
        <f>IF($L625="","",INDEX('MTRs'!$S$6:$S$505,$L625)&amp;"")</f>
        <v/>
      </c>
      <c r="L625" t="str">
        <f>IFERROR(MATCH(23,'MTRs'!$BB$6:$BB$505,0),"")</f>
        <v/>
      </c>
    </row>
    <row r="626">
      <c r="B626" s="119" t="str">
        <f>IF($L626="","",INDEX('MTRs'!$A$6:$A$505,$L626)&amp;"")</f>
        <v/>
      </c>
      <c r="C626" s="120" t="str">
        <f>IF($L626="","",INDEX('MTRs'!$B$6:$B$505,$L626)&amp;"")</f>
        <v/>
      </c>
      <c r="D626" s="121" t="str">
        <f>IF($L626="","",INDEX('MTRs'!$W$6:$W$505,$L626))</f>
        <v/>
      </c>
      <c r="E626" s="122" t="str">
        <f>IF($L626="","",INDEX('MTRs'!$P$6:$P$505,$L626))</f>
        <v/>
      </c>
      <c r="F626" s="122" t="str">
        <f>IF($L626="","",INDEX('MTRs'!$Q$6:$Q$505,$L626))</f>
        <v/>
      </c>
      <c r="G626" s="122" t="str">
        <f>IF($L626="","",INDEX('MTRs'!$R$6:$R$505,$L626))</f>
        <v/>
      </c>
      <c r="H626" s="130" t="str">
        <f>IF($L626="","",IF(INDEX('MTRs'!$AM$6:$AM$505,$L626)=0,"",N(E626)-N(F626)))</f>
        <v/>
      </c>
      <c r="I626" s="130" t="str">
        <f>IF($L626="","",IF(INDEX('MTRs'!$AM$6:$AM$505,$L626)=0,"",N(F626)-N(G626)))</f>
        <v/>
      </c>
      <c r="J626" s="120" t="str">
        <f>IF($L626="","",INDEX('MTRs'!$S$6:$S$505,$L626)&amp;"")</f>
        <v/>
      </c>
      <c r="L626" t="str">
        <f>IFERROR(MATCH(24,'MTRs'!$BB$6:$BB$505,0),"")</f>
        <v/>
      </c>
    </row>
    <row r="627">
      <c r="B627" s="119" t="str">
        <f>IF($L627="","",INDEX('MTRs'!$A$6:$A$505,$L627)&amp;"")</f>
        <v/>
      </c>
      <c r="C627" s="120" t="str">
        <f>IF($L627="","",INDEX('MTRs'!$B$6:$B$505,$L627)&amp;"")</f>
        <v/>
      </c>
      <c r="D627" s="121" t="str">
        <f>IF($L627="","",INDEX('MTRs'!$W$6:$W$505,$L627))</f>
        <v/>
      </c>
      <c r="E627" s="122" t="str">
        <f>IF($L627="","",INDEX('MTRs'!$P$6:$P$505,$L627))</f>
        <v/>
      </c>
      <c r="F627" s="122" t="str">
        <f>IF($L627="","",INDEX('MTRs'!$Q$6:$Q$505,$L627))</f>
        <v/>
      </c>
      <c r="G627" s="122" t="str">
        <f>IF($L627="","",INDEX('MTRs'!$R$6:$R$505,$L627))</f>
        <v/>
      </c>
      <c r="H627" s="130" t="str">
        <f>IF($L627="","",IF(INDEX('MTRs'!$AM$6:$AM$505,$L627)=0,"",N(E627)-N(F627)))</f>
        <v/>
      </c>
      <c r="I627" s="130" t="str">
        <f>IF($L627="","",IF(INDEX('MTRs'!$AM$6:$AM$505,$L627)=0,"",N(F627)-N(G627)))</f>
        <v/>
      </c>
      <c r="J627" s="120" t="str">
        <f>IF($L627="","",INDEX('MTRs'!$S$6:$S$505,$L627)&amp;"")</f>
        <v/>
      </c>
      <c r="L627" t="str">
        <f>IFERROR(MATCH(25,'MTRs'!$BB$6:$BB$505,0),"")</f>
        <v/>
      </c>
    </row>
    <row r="628">
      <c r="B628" s="119" t="str">
        <f>IF($L628="","",INDEX('MTRs'!$A$6:$A$505,$L628)&amp;"")</f>
        <v/>
      </c>
      <c r="C628" s="120" t="str">
        <f>IF($L628="","",INDEX('MTRs'!$B$6:$B$505,$L628)&amp;"")</f>
        <v/>
      </c>
      <c r="D628" s="121" t="str">
        <f>IF($L628="","",INDEX('MTRs'!$W$6:$W$505,$L628))</f>
        <v/>
      </c>
      <c r="E628" s="122" t="str">
        <f>IF($L628="","",INDEX('MTRs'!$P$6:$P$505,$L628))</f>
        <v/>
      </c>
      <c r="F628" s="122" t="str">
        <f>IF($L628="","",INDEX('MTRs'!$Q$6:$Q$505,$L628))</f>
        <v/>
      </c>
      <c r="G628" s="122" t="str">
        <f>IF($L628="","",INDEX('MTRs'!$R$6:$R$505,$L628))</f>
        <v/>
      </c>
      <c r="H628" s="130" t="str">
        <f>IF($L628="","",IF(INDEX('MTRs'!$AM$6:$AM$505,$L628)=0,"",N(E628)-N(F628)))</f>
        <v/>
      </c>
      <c r="I628" s="130" t="str">
        <f>IF($L628="","",IF(INDEX('MTRs'!$AM$6:$AM$505,$L628)=0,"",N(F628)-N(G628)))</f>
        <v/>
      </c>
      <c r="J628" s="120" t="str">
        <f>IF($L628="","",INDEX('MTRs'!$S$6:$S$505,$L628)&amp;"")</f>
        <v/>
      </c>
      <c r="L628" t="str">
        <f>IFERROR(MATCH(26,'MTRs'!$BB$6:$BB$505,0),"")</f>
        <v/>
      </c>
    </row>
    <row r="629">
      <c r="B629" s="119" t="str">
        <f>IF($L629="","",INDEX('MTRs'!$A$6:$A$505,$L629)&amp;"")</f>
        <v/>
      </c>
      <c r="C629" s="120" t="str">
        <f>IF($L629="","",INDEX('MTRs'!$B$6:$B$505,$L629)&amp;"")</f>
        <v/>
      </c>
      <c r="D629" s="121" t="str">
        <f>IF($L629="","",INDEX('MTRs'!$W$6:$W$505,$L629))</f>
        <v/>
      </c>
      <c r="E629" s="122" t="str">
        <f>IF($L629="","",INDEX('MTRs'!$P$6:$P$505,$L629))</f>
        <v/>
      </c>
      <c r="F629" s="122" t="str">
        <f>IF($L629="","",INDEX('MTRs'!$Q$6:$Q$505,$L629))</f>
        <v/>
      </c>
      <c r="G629" s="122" t="str">
        <f>IF($L629="","",INDEX('MTRs'!$R$6:$R$505,$L629))</f>
        <v/>
      </c>
      <c r="H629" s="130" t="str">
        <f>IF($L629="","",IF(INDEX('MTRs'!$AM$6:$AM$505,$L629)=0,"",N(E629)-N(F629)))</f>
        <v/>
      </c>
      <c r="I629" s="130" t="str">
        <f>IF($L629="","",IF(INDEX('MTRs'!$AM$6:$AM$505,$L629)=0,"",N(F629)-N(G629)))</f>
        <v/>
      </c>
      <c r="J629" s="120" t="str">
        <f>IF($L629="","",INDEX('MTRs'!$S$6:$S$505,$L629)&amp;"")</f>
        <v/>
      </c>
      <c r="L629" t="str">
        <f>IFERROR(MATCH(27,'MTRs'!$BB$6:$BB$505,0),"")</f>
        <v/>
      </c>
    </row>
    <row r="630">
      <c r="B630" s="119" t="str">
        <f>IF($L630="","",INDEX('MTRs'!$A$6:$A$505,$L630)&amp;"")</f>
        <v/>
      </c>
      <c r="C630" s="120" t="str">
        <f>IF($L630="","",INDEX('MTRs'!$B$6:$B$505,$L630)&amp;"")</f>
        <v/>
      </c>
      <c r="D630" s="121" t="str">
        <f>IF($L630="","",INDEX('MTRs'!$W$6:$W$505,$L630))</f>
        <v/>
      </c>
      <c r="E630" s="122" t="str">
        <f>IF($L630="","",INDEX('MTRs'!$P$6:$P$505,$L630))</f>
        <v/>
      </c>
      <c r="F630" s="122" t="str">
        <f>IF($L630="","",INDEX('MTRs'!$Q$6:$Q$505,$L630))</f>
        <v/>
      </c>
      <c r="G630" s="122" t="str">
        <f>IF($L630="","",INDEX('MTRs'!$R$6:$R$505,$L630))</f>
        <v/>
      </c>
      <c r="H630" s="130" t="str">
        <f>IF($L630="","",IF(INDEX('MTRs'!$AM$6:$AM$505,$L630)=0,"",N(E630)-N(F630)))</f>
        <v/>
      </c>
      <c r="I630" s="130" t="str">
        <f>IF($L630="","",IF(INDEX('MTRs'!$AM$6:$AM$505,$L630)=0,"",N(F630)-N(G630)))</f>
        <v/>
      </c>
      <c r="J630" s="120" t="str">
        <f>IF($L630="","",INDEX('MTRs'!$S$6:$S$505,$L630)&amp;"")</f>
        <v/>
      </c>
      <c r="L630" t="str">
        <f>IFERROR(MATCH(28,'MTRs'!$BB$6:$BB$505,0),"")</f>
        <v/>
      </c>
    </row>
    <row r="631">
      <c r="B631" s="119" t="str">
        <f>IF($L631="","",INDEX('MTRs'!$A$6:$A$505,$L631)&amp;"")</f>
        <v/>
      </c>
      <c r="C631" s="120" t="str">
        <f>IF($L631="","",INDEX('MTRs'!$B$6:$B$505,$L631)&amp;"")</f>
        <v/>
      </c>
      <c r="D631" s="121" t="str">
        <f>IF($L631="","",INDEX('MTRs'!$W$6:$W$505,$L631))</f>
        <v/>
      </c>
      <c r="E631" s="122" t="str">
        <f>IF($L631="","",INDEX('MTRs'!$P$6:$P$505,$L631))</f>
        <v/>
      </c>
      <c r="F631" s="122" t="str">
        <f>IF($L631="","",INDEX('MTRs'!$Q$6:$Q$505,$L631))</f>
        <v/>
      </c>
      <c r="G631" s="122" t="str">
        <f>IF($L631="","",INDEX('MTRs'!$R$6:$R$505,$L631))</f>
        <v/>
      </c>
      <c r="H631" s="130" t="str">
        <f>IF($L631="","",IF(INDEX('MTRs'!$AM$6:$AM$505,$L631)=0,"",N(E631)-N(F631)))</f>
        <v/>
      </c>
      <c r="I631" s="130" t="str">
        <f>IF($L631="","",IF(INDEX('MTRs'!$AM$6:$AM$505,$L631)=0,"",N(F631)-N(G631)))</f>
        <v/>
      </c>
      <c r="J631" s="120" t="str">
        <f>IF($L631="","",INDEX('MTRs'!$S$6:$S$505,$L631)&amp;"")</f>
        <v/>
      </c>
      <c r="L631" t="str">
        <f>IFERROR(MATCH(29,'MTRs'!$BB$6:$BB$505,0),"")</f>
        <v/>
      </c>
    </row>
    <row r="632">
      <c r="B632" s="119" t="str">
        <f>IF($L632="","",INDEX('MTRs'!$A$6:$A$505,$L632)&amp;"")</f>
        <v/>
      </c>
      <c r="C632" s="120" t="str">
        <f>IF($L632="","",INDEX('MTRs'!$B$6:$B$505,$L632)&amp;"")</f>
        <v/>
      </c>
      <c r="D632" s="121" t="str">
        <f>IF($L632="","",INDEX('MTRs'!$W$6:$W$505,$L632))</f>
        <v/>
      </c>
      <c r="E632" s="122" t="str">
        <f>IF($L632="","",INDEX('MTRs'!$P$6:$P$505,$L632))</f>
        <v/>
      </c>
      <c r="F632" s="122" t="str">
        <f>IF($L632="","",INDEX('MTRs'!$Q$6:$Q$505,$L632))</f>
        <v/>
      </c>
      <c r="G632" s="122" t="str">
        <f>IF($L632="","",INDEX('MTRs'!$R$6:$R$505,$L632))</f>
        <v/>
      </c>
      <c r="H632" s="130" t="str">
        <f>IF($L632="","",IF(INDEX('MTRs'!$AM$6:$AM$505,$L632)=0,"",N(E632)-N(F632)))</f>
        <v/>
      </c>
      <c r="I632" s="130" t="str">
        <f>IF($L632="","",IF(INDEX('MTRs'!$AM$6:$AM$505,$L632)=0,"",N(F632)-N(G632)))</f>
        <v/>
      </c>
      <c r="J632" s="120" t="str">
        <f>IF($L632="","",INDEX('MTRs'!$S$6:$S$505,$L632)&amp;"")</f>
        <v/>
      </c>
      <c r="L632" t="str">
        <f>IFERROR(MATCH(30,'MTRs'!$BB$6:$BB$505,0),"")</f>
        <v/>
      </c>
    </row>
    <row r="633">
      <c r="B633" s="119" t="str">
        <f>IF($L633="","",INDEX('MTRs'!$A$6:$A$505,$L633)&amp;"")</f>
        <v/>
      </c>
      <c r="C633" s="120" t="str">
        <f>IF($L633="","",INDEX('MTRs'!$B$6:$B$505,$L633)&amp;"")</f>
        <v/>
      </c>
      <c r="D633" s="121" t="str">
        <f>IF($L633="","",INDEX('MTRs'!$W$6:$W$505,$L633))</f>
        <v/>
      </c>
      <c r="E633" s="122" t="str">
        <f>IF($L633="","",INDEX('MTRs'!$P$6:$P$505,$L633))</f>
        <v/>
      </c>
      <c r="F633" s="122" t="str">
        <f>IF($L633="","",INDEX('MTRs'!$Q$6:$Q$505,$L633))</f>
        <v/>
      </c>
      <c r="G633" s="122" t="str">
        <f>IF($L633="","",INDEX('MTRs'!$R$6:$R$505,$L633))</f>
        <v/>
      </c>
      <c r="H633" s="130" t="str">
        <f>IF($L633="","",IF(INDEX('MTRs'!$AM$6:$AM$505,$L633)=0,"",N(E633)-N(F633)))</f>
        <v/>
      </c>
      <c r="I633" s="130" t="str">
        <f>IF($L633="","",IF(INDEX('MTRs'!$AM$6:$AM$505,$L633)=0,"",N(F633)-N(G633)))</f>
        <v/>
      </c>
      <c r="J633" s="120" t="str">
        <f>IF($L633="","",INDEX('MTRs'!$S$6:$S$505,$L633)&amp;"")</f>
        <v/>
      </c>
      <c r="L633" t="str">
        <f>IFERROR(MATCH(31,'MTRs'!$BB$6:$BB$505,0),"")</f>
        <v/>
      </c>
    </row>
    <row r="634">
      <c r="B634" s="119" t="str">
        <f>IF($L634="","",INDEX('MTRs'!$A$6:$A$505,$L634)&amp;"")</f>
        <v/>
      </c>
      <c r="C634" s="120" t="str">
        <f>IF($L634="","",INDEX('MTRs'!$B$6:$B$505,$L634)&amp;"")</f>
        <v/>
      </c>
      <c r="D634" s="121" t="str">
        <f>IF($L634="","",INDEX('MTRs'!$W$6:$W$505,$L634))</f>
        <v/>
      </c>
      <c r="E634" s="122" t="str">
        <f>IF($L634="","",INDEX('MTRs'!$P$6:$P$505,$L634))</f>
        <v/>
      </c>
      <c r="F634" s="122" t="str">
        <f>IF($L634="","",INDEX('MTRs'!$Q$6:$Q$505,$L634))</f>
        <v/>
      </c>
      <c r="G634" s="122" t="str">
        <f>IF($L634="","",INDEX('MTRs'!$R$6:$R$505,$L634))</f>
        <v/>
      </c>
      <c r="H634" s="130" t="str">
        <f>IF($L634="","",IF(INDEX('MTRs'!$AM$6:$AM$505,$L634)=0,"",N(E634)-N(F634)))</f>
        <v/>
      </c>
      <c r="I634" s="130" t="str">
        <f>IF($L634="","",IF(INDEX('MTRs'!$AM$6:$AM$505,$L634)=0,"",N(F634)-N(G634)))</f>
        <v/>
      </c>
      <c r="J634" s="120" t="str">
        <f>IF($L634="","",INDEX('MTRs'!$S$6:$S$505,$L634)&amp;"")</f>
        <v/>
      </c>
      <c r="L634" t="str">
        <f>IFERROR(MATCH(32,'MTRs'!$BB$6:$BB$505,0),"")</f>
        <v/>
      </c>
    </row>
    <row r="635">
      <c r="B635" s="119" t="str">
        <f>IF($L635="","",INDEX('MTRs'!$A$6:$A$505,$L635)&amp;"")</f>
        <v/>
      </c>
      <c r="C635" s="120" t="str">
        <f>IF($L635="","",INDEX('MTRs'!$B$6:$B$505,$L635)&amp;"")</f>
        <v/>
      </c>
      <c r="D635" s="121" t="str">
        <f>IF($L635="","",INDEX('MTRs'!$W$6:$W$505,$L635))</f>
        <v/>
      </c>
      <c r="E635" s="122" t="str">
        <f>IF($L635="","",INDEX('MTRs'!$P$6:$P$505,$L635))</f>
        <v/>
      </c>
      <c r="F635" s="122" t="str">
        <f>IF($L635="","",INDEX('MTRs'!$Q$6:$Q$505,$L635))</f>
        <v/>
      </c>
      <c r="G635" s="122" t="str">
        <f>IF($L635="","",INDEX('MTRs'!$R$6:$R$505,$L635))</f>
        <v/>
      </c>
      <c r="H635" s="130" t="str">
        <f>IF($L635="","",IF(INDEX('MTRs'!$AM$6:$AM$505,$L635)=0,"",N(E635)-N(F635)))</f>
        <v/>
      </c>
      <c r="I635" s="130" t="str">
        <f>IF($L635="","",IF(INDEX('MTRs'!$AM$6:$AM$505,$L635)=0,"",N(F635)-N(G635)))</f>
        <v/>
      </c>
      <c r="J635" s="120" t="str">
        <f>IF($L635="","",INDEX('MTRs'!$S$6:$S$505,$L635)&amp;"")</f>
        <v/>
      </c>
      <c r="L635" t="str">
        <f>IFERROR(MATCH(33,'MTRs'!$BB$6:$BB$505,0),"")</f>
        <v/>
      </c>
    </row>
    <row r="636">
      <c r="B636" s="119" t="str">
        <f>IF($L636="","",INDEX('MTRs'!$A$6:$A$505,$L636)&amp;"")</f>
        <v/>
      </c>
      <c r="C636" s="120" t="str">
        <f>IF($L636="","",INDEX('MTRs'!$B$6:$B$505,$L636)&amp;"")</f>
        <v/>
      </c>
      <c r="D636" s="121" t="str">
        <f>IF($L636="","",INDEX('MTRs'!$W$6:$W$505,$L636))</f>
        <v/>
      </c>
      <c r="E636" s="122" t="str">
        <f>IF($L636="","",INDEX('MTRs'!$P$6:$P$505,$L636))</f>
        <v/>
      </c>
      <c r="F636" s="122" t="str">
        <f>IF($L636="","",INDEX('MTRs'!$Q$6:$Q$505,$L636))</f>
        <v/>
      </c>
      <c r="G636" s="122" t="str">
        <f>IF($L636="","",INDEX('MTRs'!$R$6:$R$505,$L636))</f>
        <v/>
      </c>
      <c r="H636" s="130" t="str">
        <f>IF($L636="","",IF(INDEX('MTRs'!$AM$6:$AM$505,$L636)=0,"",N(E636)-N(F636)))</f>
        <v/>
      </c>
      <c r="I636" s="130" t="str">
        <f>IF($L636="","",IF(INDEX('MTRs'!$AM$6:$AM$505,$L636)=0,"",N(F636)-N(G636)))</f>
        <v/>
      </c>
      <c r="J636" s="120" t="str">
        <f>IF($L636="","",INDEX('MTRs'!$S$6:$S$505,$L636)&amp;"")</f>
        <v/>
      </c>
      <c r="L636" t="str">
        <f>IFERROR(MATCH(34,'MTRs'!$BB$6:$BB$505,0),"")</f>
        <v/>
      </c>
    </row>
    <row r="637">
      <c r="B637" s="119" t="str">
        <f>IF($L637="","",INDEX('MTRs'!$A$6:$A$505,$L637)&amp;"")</f>
        <v/>
      </c>
      <c r="C637" s="120" t="str">
        <f>IF($L637="","",INDEX('MTRs'!$B$6:$B$505,$L637)&amp;"")</f>
        <v/>
      </c>
      <c r="D637" s="121" t="str">
        <f>IF($L637="","",INDEX('MTRs'!$W$6:$W$505,$L637))</f>
        <v/>
      </c>
      <c r="E637" s="122" t="str">
        <f>IF($L637="","",INDEX('MTRs'!$P$6:$P$505,$L637))</f>
        <v/>
      </c>
      <c r="F637" s="122" t="str">
        <f>IF($L637="","",INDEX('MTRs'!$Q$6:$Q$505,$L637))</f>
        <v/>
      </c>
      <c r="G637" s="122" t="str">
        <f>IF($L637="","",INDEX('MTRs'!$R$6:$R$505,$L637))</f>
        <v/>
      </c>
      <c r="H637" s="130" t="str">
        <f>IF($L637="","",IF(INDEX('MTRs'!$AM$6:$AM$505,$L637)=0,"",N(E637)-N(F637)))</f>
        <v/>
      </c>
      <c r="I637" s="130" t="str">
        <f>IF($L637="","",IF(INDEX('MTRs'!$AM$6:$AM$505,$L637)=0,"",N(F637)-N(G637)))</f>
        <v/>
      </c>
      <c r="J637" s="120" t="str">
        <f>IF($L637="","",INDEX('MTRs'!$S$6:$S$505,$L637)&amp;"")</f>
        <v/>
      </c>
      <c r="L637" t="str">
        <f>IFERROR(MATCH(35,'MTRs'!$BB$6:$BB$505,0),"")</f>
        <v/>
      </c>
    </row>
    <row r="638">
      <c r="B638" s="119" t="str">
        <f>IF($L638="","",INDEX('MTRs'!$A$6:$A$505,$L638)&amp;"")</f>
        <v/>
      </c>
      <c r="C638" s="120" t="str">
        <f>IF($L638="","",INDEX('MTRs'!$B$6:$B$505,$L638)&amp;"")</f>
        <v/>
      </c>
      <c r="D638" s="121" t="str">
        <f>IF($L638="","",INDEX('MTRs'!$W$6:$W$505,$L638))</f>
        <v/>
      </c>
      <c r="E638" s="122" t="str">
        <f>IF($L638="","",INDEX('MTRs'!$P$6:$P$505,$L638))</f>
        <v/>
      </c>
      <c r="F638" s="122" t="str">
        <f>IF($L638="","",INDEX('MTRs'!$Q$6:$Q$505,$L638))</f>
        <v/>
      </c>
      <c r="G638" s="122" t="str">
        <f>IF($L638="","",INDEX('MTRs'!$R$6:$R$505,$L638))</f>
        <v/>
      </c>
      <c r="H638" s="130" t="str">
        <f>IF($L638="","",IF(INDEX('MTRs'!$AM$6:$AM$505,$L638)=0,"",N(E638)-N(F638)))</f>
        <v/>
      </c>
      <c r="I638" s="130" t="str">
        <f>IF($L638="","",IF(INDEX('MTRs'!$AM$6:$AM$505,$L638)=0,"",N(F638)-N(G638)))</f>
        <v/>
      </c>
      <c r="J638" s="120" t="str">
        <f>IF($L638="","",INDEX('MTRs'!$S$6:$S$505,$L638)&amp;"")</f>
        <v/>
      </c>
      <c r="L638" t="str">
        <f>IFERROR(MATCH(36,'MTRs'!$BB$6:$BB$505,0),"")</f>
        <v/>
      </c>
    </row>
    <row r="639">
      <c r="B639" s="119" t="str">
        <f>IF($L639="","",INDEX('MTRs'!$A$6:$A$505,$L639)&amp;"")</f>
        <v/>
      </c>
      <c r="C639" s="120" t="str">
        <f>IF($L639="","",INDEX('MTRs'!$B$6:$B$505,$L639)&amp;"")</f>
        <v/>
      </c>
      <c r="D639" s="121" t="str">
        <f>IF($L639="","",INDEX('MTRs'!$W$6:$W$505,$L639))</f>
        <v/>
      </c>
      <c r="E639" s="122" t="str">
        <f>IF($L639="","",INDEX('MTRs'!$P$6:$P$505,$L639))</f>
        <v/>
      </c>
      <c r="F639" s="122" t="str">
        <f>IF($L639="","",INDEX('MTRs'!$Q$6:$Q$505,$L639))</f>
        <v/>
      </c>
      <c r="G639" s="122" t="str">
        <f>IF($L639="","",INDEX('MTRs'!$R$6:$R$505,$L639))</f>
        <v/>
      </c>
      <c r="H639" s="130" t="str">
        <f>IF($L639="","",IF(INDEX('MTRs'!$AM$6:$AM$505,$L639)=0,"",N(E639)-N(F639)))</f>
        <v/>
      </c>
      <c r="I639" s="130" t="str">
        <f>IF($L639="","",IF(INDEX('MTRs'!$AM$6:$AM$505,$L639)=0,"",N(F639)-N(G639)))</f>
        <v/>
      </c>
      <c r="J639" s="120" t="str">
        <f>IF($L639="","",INDEX('MTRs'!$S$6:$S$505,$L639)&amp;"")</f>
        <v/>
      </c>
      <c r="L639" t="str">
        <f>IFERROR(MATCH(37,'MTRs'!$BB$6:$BB$505,0),"")</f>
        <v/>
      </c>
    </row>
    <row r="640">
      <c r="B640" s="119" t="str">
        <f>IF($L640="","",INDEX('MTRs'!$A$6:$A$505,$L640)&amp;"")</f>
        <v/>
      </c>
      <c r="C640" s="120" t="str">
        <f>IF($L640="","",INDEX('MTRs'!$B$6:$B$505,$L640)&amp;"")</f>
        <v/>
      </c>
      <c r="D640" s="121" t="str">
        <f>IF($L640="","",INDEX('MTRs'!$W$6:$W$505,$L640))</f>
        <v/>
      </c>
      <c r="E640" s="122" t="str">
        <f>IF($L640="","",INDEX('MTRs'!$P$6:$P$505,$L640))</f>
        <v/>
      </c>
      <c r="F640" s="122" t="str">
        <f>IF($L640="","",INDEX('MTRs'!$Q$6:$Q$505,$L640))</f>
        <v/>
      </c>
      <c r="G640" s="122" t="str">
        <f>IF($L640="","",INDEX('MTRs'!$R$6:$R$505,$L640))</f>
        <v/>
      </c>
      <c r="H640" s="130" t="str">
        <f>IF($L640="","",IF(INDEX('MTRs'!$AM$6:$AM$505,$L640)=0,"",N(E640)-N(F640)))</f>
        <v/>
      </c>
      <c r="I640" s="130" t="str">
        <f>IF($L640="","",IF(INDEX('MTRs'!$AM$6:$AM$505,$L640)=0,"",N(F640)-N(G640)))</f>
        <v/>
      </c>
      <c r="J640" s="120" t="str">
        <f>IF($L640="","",INDEX('MTRs'!$S$6:$S$505,$L640)&amp;"")</f>
        <v/>
      </c>
      <c r="L640" t="str">
        <f>IFERROR(MATCH(38,'MTRs'!$BB$6:$BB$505,0),"")</f>
        <v/>
      </c>
    </row>
    <row r="641">
      <c r="B641" s="119" t="str">
        <f>IF($L641="","",INDEX('MTRs'!$A$6:$A$505,$L641)&amp;"")</f>
        <v/>
      </c>
      <c r="C641" s="120" t="str">
        <f>IF($L641="","",INDEX('MTRs'!$B$6:$B$505,$L641)&amp;"")</f>
        <v/>
      </c>
      <c r="D641" s="121" t="str">
        <f>IF($L641="","",INDEX('MTRs'!$W$6:$W$505,$L641))</f>
        <v/>
      </c>
      <c r="E641" s="122" t="str">
        <f>IF($L641="","",INDEX('MTRs'!$P$6:$P$505,$L641))</f>
        <v/>
      </c>
      <c r="F641" s="122" t="str">
        <f>IF($L641="","",INDEX('MTRs'!$Q$6:$Q$505,$L641))</f>
        <v/>
      </c>
      <c r="G641" s="122" t="str">
        <f>IF($L641="","",INDEX('MTRs'!$R$6:$R$505,$L641))</f>
        <v/>
      </c>
      <c r="H641" s="130" t="str">
        <f>IF($L641="","",IF(INDEX('MTRs'!$AM$6:$AM$505,$L641)=0,"",N(E641)-N(F641)))</f>
        <v/>
      </c>
      <c r="I641" s="130" t="str">
        <f>IF($L641="","",IF(INDEX('MTRs'!$AM$6:$AM$505,$L641)=0,"",N(F641)-N(G641)))</f>
        <v/>
      </c>
      <c r="J641" s="120" t="str">
        <f>IF($L641="","",INDEX('MTRs'!$S$6:$S$505,$L641)&amp;"")</f>
        <v/>
      </c>
      <c r="L641" t="str">
        <f>IFERROR(MATCH(39,'MTRs'!$BB$6:$BB$505,0),"")</f>
        <v/>
      </c>
    </row>
    <row r="642">
      <c r="B642" s="119" t="str">
        <f>IF($L642="","",INDEX('MTRs'!$A$6:$A$505,$L642)&amp;"")</f>
        <v/>
      </c>
      <c r="C642" s="120" t="str">
        <f>IF($L642="","",INDEX('MTRs'!$B$6:$B$505,$L642)&amp;"")</f>
        <v/>
      </c>
      <c r="D642" s="121" t="str">
        <f>IF($L642="","",INDEX('MTRs'!$W$6:$W$505,$L642))</f>
        <v/>
      </c>
      <c r="E642" s="122" t="str">
        <f>IF($L642="","",INDEX('MTRs'!$P$6:$P$505,$L642))</f>
        <v/>
      </c>
      <c r="F642" s="122" t="str">
        <f>IF($L642="","",INDEX('MTRs'!$Q$6:$Q$505,$L642))</f>
        <v/>
      </c>
      <c r="G642" s="122" t="str">
        <f>IF($L642="","",INDEX('MTRs'!$R$6:$R$505,$L642))</f>
        <v/>
      </c>
      <c r="H642" s="130" t="str">
        <f>IF($L642="","",IF(INDEX('MTRs'!$AM$6:$AM$505,$L642)=0,"",N(E642)-N(F642)))</f>
        <v/>
      </c>
      <c r="I642" s="130" t="str">
        <f>IF($L642="","",IF(INDEX('MTRs'!$AM$6:$AM$505,$L642)=0,"",N(F642)-N(G642)))</f>
        <v/>
      </c>
      <c r="J642" s="120" t="str">
        <f>IF($L642="","",INDEX('MTRs'!$S$6:$S$505,$L642)&amp;"")</f>
        <v/>
      </c>
      <c r="L642" t="str">
        <f>IFERROR(MATCH(40,'MTRs'!$BB$6:$BB$505,0),"")</f>
        <v/>
      </c>
    </row>
    <row r="643">
      <c r="B643" s="119" t="str">
        <f>IF($L643="","",INDEX('MTRs'!$A$6:$A$505,$L643)&amp;"")</f>
        <v/>
      </c>
      <c r="C643" s="120" t="str">
        <f>IF($L643="","",INDEX('MTRs'!$B$6:$B$505,$L643)&amp;"")</f>
        <v/>
      </c>
      <c r="D643" s="121" t="str">
        <f>IF($L643="","",INDEX('MTRs'!$W$6:$W$505,$L643))</f>
        <v/>
      </c>
      <c r="E643" s="122" t="str">
        <f>IF($L643="","",INDEX('MTRs'!$P$6:$P$505,$L643))</f>
        <v/>
      </c>
      <c r="F643" s="122" t="str">
        <f>IF($L643="","",INDEX('MTRs'!$Q$6:$Q$505,$L643))</f>
        <v/>
      </c>
      <c r="G643" s="122" t="str">
        <f>IF($L643="","",INDEX('MTRs'!$R$6:$R$505,$L643))</f>
        <v/>
      </c>
      <c r="H643" s="130" t="str">
        <f>IF($L643="","",IF(INDEX('MTRs'!$AM$6:$AM$505,$L643)=0,"",N(E643)-N(F643)))</f>
        <v/>
      </c>
      <c r="I643" s="130" t="str">
        <f>IF($L643="","",IF(INDEX('MTRs'!$AM$6:$AM$505,$L643)=0,"",N(F643)-N(G643)))</f>
        <v/>
      </c>
      <c r="J643" s="120" t="str">
        <f>IF($L643="","",INDEX('MTRs'!$S$6:$S$505,$L643)&amp;"")</f>
        <v/>
      </c>
      <c r="L643" t="str">
        <f>IFERROR(MATCH(41,'MTRs'!$BB$6:$BB$505,0),"")</f>
        <v/>
      </c>
    </row>
    <row r="644">
      <c r="B644" s="119" t="str">
        <f>IF($L644="","",INDEX('MTRs'!$A$6:$A$505,$L644)&amp;"")</f>
        <v/>
      </c>
      <c r="C644" s="120" t="str">
        <f>IF($L644="","",INDEX('MTRs'!$B$6:$B$505,$L644)&amp;"")</f>
        <v/>
      </c>
      <c r="D644" s="121" t="str">
        <f>IF($L644="","",INDEX('MTRs'!$W$6:$W$505,$L644))</f>
        <v/>
      </c>
      <c r="E644" s="122" t="str">
        <f>IF($L644="","",INDEX('MTRs'!$P$6:$P$505,$L644))</f>
        <v/>
      </c>
      <c r="F644" s="122" t="str">
        <f>IF($L644="","",INDEX('MTRs'!$Q$6:$Q$505,$L644))</f>
        <v/>
      </c>
      <c r="G644" s="122" t="str">
        <f>IF($L644="","",INDEX('MTRs'!$R$6:$R$505,$L644))</f>
        <v/>
      </c>
      <c r="H644" s="130" t="str">
        <f>IF($L644="","",IF(INDEX('MTRs'!$AM$6:$AM$505,$L644)=0,"",N(E644)-N(F644)))</f>
        <v/>
      </c>
      <c r="I644" s="130" t="str">
        <f>IF($L644="","",IF(INDEX('MTRs'!$AM$6:$AM$505,$L644)=0,"",N(F644)-N(G644)))</f>
        <v/>
      </c>
      <c r="J644" s="120" t="str">
        <f>IF($L644="","",INDEX('MTRs'!$S$6:$S$505,$L644)&amp;"")</f>
        <v/>
      </c>
      <c r="L644" t="str">
        <f>IFERROR(MATCH(42,'MTRs'!$BB$6:$BB$505,0),"")</f>
        <v/>
      </c>
    </row>
    <row r="645">
      <c r="B645" s="119" t="str">
        <f>IF($L645="","",INDEX('MTRs'!$A$6:$A$505,$L645)&amp;"")</f>
        <v/>
      </c>
      <c r="C645" s="120" t="str">
        <f>IF($L645="","",INDEX('MTRs'!$B$6:$B$505,$L645)&amp;"")</f>
        <v/>
      </c>
      <c r="D645" s="121" t="str">
        <f>IF($L645="","",INDEX('MTRs'!$W$6:$W$505,$L645))</f>
        <v/>
      </c>
      <c r="E645" s="122" t="str">
        <f>IF($L645="","",INDEX('MTRs'!$P$6:$P$505,$L645))</f>
        <v/>
      </c>
      <c r="F645" s="122" t="str">
        <f>IF($L645="","",INDEX('MTRs'!$Q$6:$Q$505,$L645))</f>
        <v/>
      </c>
      <c r="G645" s="122" t="str">
        <f>IF($L645="","",INDEX('MTRs'!$R$6:$R$505,$L645))</f>
        <v/>
      </c>
      <c r="H645" s="130" t="str">
        <f>IF($L645="","",IF(INDEX('MTRs'!$AM$6:$AM$505,$L645)=0,"",N(E645)-N(F645)))</f>
        <v/>
      </c>
      <c r="I645" s="130" t="str">
        <f>IF($L645="","",IF(INDEX('MTRs'!$AM$6:$AM$505,$L645)=0,"",N(F645)-N(G645)))</f>
        <v/>
      </c>
      <c r="J645" s="120" t="str">
        <f>IF($L645="","",INDEX('MTRs'!$S$6:$S$505,$L645)&amp;"")</f>
        <v/>
      </c>
      <c r="L645" t="str">
        <f>IFERROR(MATCH(43,'MTRs'!$BB$6:$BB$505,0),"")</f>
        <v/>
      </c>
    </row>
    <row r="646">
      <c r="B646" s="119" t="str">
        <f>IF($L646="","",INDEX('MTRs'!$A$6:$A$505,$L646)&amp;"")</f>
        <v/>
      </c>
      <c r="C646" s="120" t="str">
        <f>IF($L646="","",INDEX('MTRs'!$B$6:$B$505,$L646)&amp;"")</f>
        <v/>
      </c>
      <c r="D646" s="121" t="str">
        <f>IF($L646="","",INDEX('MTRs'!$W$6:$W$505,$L646))</f>
        <v/>
      </c>
      <c r="E646" s="122" t="str">
        <f>IF($L646="","",INDEX('MTRs'!$P$6:$P$505,$L646))</f>
        <v/>
      </c>
      <c r="F646" s="122" t="str">
        <f>IF($L646="","",INDEX('MTRs'!$Q$6:$Q$505,$L646))</f>
        <v/>
      </c>
      <c r="G646" s="122" t="str">
        <f>IF($L646="","",INDEX('MTRs'!$R$6:$R$505,$L646))</f>
        <v/>
      </c>
      <c r="H646" s="130" t="str">
        <f>IF($L646="","",IF(INDEX('MTRs'!$AM$6:$AM$505,$L646)=0,"",N(E646)-N(F646)))</f>
        <v/>
      </c>
      <c r="I646" s="130" t="str">
        <f>IF($L646="","",IF(INDEX('MTRs'!$AM$6:$AM$505,$L646)=0,"",N(F646)-N(G646)))</f>
        <v/>
      </c>
      <c r="J646" s="120" t="str">
        <f>IF($L646="","",INDEX('MTRs'!$S$6:$S$505,$L646)&amp;"")</f>
        <v/>
      </c>
      <c r="L646" t="str">
        <f>IFERROR(MATCH(44,'MTRs'!$BB$6:$BB$505,0),"")</f>
        <v/>
      </c>
    </row>
    <row r="647">
      <c r="B647" s="119" t="str">
        <f>IF($L647="","",INDEX('MTRs'!$A$6:$A$505,$L647)&amp;"")</f>
        <v/>
      </c>
      <c r="C647" s="120" t="str">
        <f>IF($L647="","",INDEX('MTRs'!$B$6:$B$505,$L647)&amp;"")</f>
        <v/>
      </c>
      <c r="D647" s="121" t="str">
        <f>IF($L647="","",INDEX('MTRs'!$W$6:$W$505,$L647))</f>
        <v/>
      </c>
      <c r="E647" s="122" t="str">
        <f>IF($L647="","",INDEX('MTRs'!$P$6:$P$505,$L647))</f>
        <v/>
      </c>
      <c r="F647" s="122" t="str">
        <f>IF($L647="","",INDEX('MTRs'!$Q$6:$Q$505,$L647))</f>
        <v/>
      </c>
      <c r="G647" s="122" t="str">
        <f>IF($L647="","",INDEX('MTRs'!$R$6:$R$505,$L647))</f>
        <v/>
      </c>
      <c r="H647" s="130" t="str">
        <f>IF($L647="","",IF(INDEX('MTRs'!$AM$6:$AM$505,$L647)=0,"",N(E647)-N(F647)))</f>
        <v/>
      </c>
      <c r="I647" s="130" t="str">
        <f>IF($L647="","",IF(INDEX('MTRs'!$AM$6:$AM$505,$L647)=0,"",N(F647)-N(G647)))</f>
        <v/>
      </c>
      <c r="J647" s="120" t="str">
        <f>IF($L647="","",INDEX('MTRs'!$S$6:$S$505,$L647)&amp;"")</f>
        <v/>
      </c>
      <c r="L647" t="str">
        <f>IFERROR(MATCH(45,'MTRs'!$BB$6:$BB$505,0),"")</f>
        <v/>
      </c>
    </row>
    <row r="648">
      <c r="B648" s="119" t="str">
        <f>IF($L648="","",INDEX('MTRs'!$A$6:$A$505,$L648)&amp;"")</f>
        <v/>
      </c>
      <c r="C648" s="120" t="str">
        <f>IF($L648="","",INDEX('MTRs'!$B$6:$B$505,$L648)&amp;"")</f>
        <v/>
      </c>
      <c r="D648" s="121" t="str">
        <f>IF($L648="","",INDEX('MTRs'!$W$6:$W$505,$L648))</f>
        <v/>
      </c>
      <c r="E648" s="122" t="str">
        <f>IF($L648="","",INDEX('MTRs'!$P$6:$P$505,$L648))</f>
        <v/>
      </c>
      <c r="F648" s="122" t="str">
        <f>IF($L648="","",INDEX('MTRs'!$Q$6:$Q$505,$L648))</f>
        <v/>
      </c>
      <c r="G648" s="122" t="str">
        <f>IF($L648="","",INDEX('MTRs'!$R$6:$R$505,$L648))</f>
        <v/>
      </c>
      <c r="H648" s="130" t="str">
        <f>IF($L648="","",IF(INDEX('MTRs'!$AM$6:$AM$505,$L648)=0,"",N(E648)-N(F648)))</f>
        <v/>
      </c>
      <c r="I648" s="130" t="str">
        <f>IF($L648="","",IF(INDEX('MTRs'!$AM$6:$AM$505,$L648)=0,"",N(F648)-N(G648)))</f>
        <v/>
      </c>
      <c r="J648" s="120" t="str">
        <f>IF($L648="","",INDEX('MTRs'!$S$6:$S$505,$L648)&amp;"")</f>
        <v/>
      </c>
      <c r="L648" t="str">
        <f>IFERROR(MATCH(46,'MTRs'!$BB$6:$BB$505,0),"")</f>
        <v/>
      </c>
    </row>
    <row r="649">
      <c r="B649" s="119" t="str">
        <f>IF($L649="","",INDEX('MTRs'!$A$6:$A$505,$L649)&amp;"")</f>
        <v/>
      </c>
      <c r="C649" s="120" t="str">
        <f>IF($L649="","",INDEX('MTRs'!$B$6:$B$505,$L649)&amp;"")</f>
        <v/>
      </c>
      <c r="D649" s="121" t="str">
        <f>IF($L649="","",INDEX('MTRs'!$W$6:$W$505,$L649))</f>
        <v/>
      </c>
      <c r="E649" s="122" t="str">
        <f>IF($L649="","",INDEX('MTRs'!$P$6:$P$505,$L649))</f>
        <v/>
      </c>
      <c r="F649" s="122" t="str">
        <f>IF($L649="","",INDEX('MTRs'!$Q$6:$Q$505,$L649))</f>
        <v/>
      </c>
      <c r="G649" s="122" t="str">
        <f>IF($L649="","",INDEX('MTRs'!$R$6:$R$505,$L649))</f>
        <v/>
      </c>
      <c r="H649" s="130" t="str">
        <f>IF($L649="","",IF(INDEX('MTRs'!$AM$6:$AM$505,$L649)=0,"",N(E649)-N(F649)))</f>
        <v/>
      </c>
      <c r="I649" s="130" t="str">
        <f>IF($L649="","",IF(INDEX('MTRs'!$AM$6:$AM$505,$L649)=0,"",N(F649)-N(G649)))</f>
        <v/>
      </c>
      <c r="J649" s="120" t="str">
        <f>IF($L649="","",INDEX('MTRs'!$S$6:$S$505,$L649)&amp;"")</f>
        <v/>
      </c>
      <c r="L649" t="str">
        <f>IFERROR(MATCH(47,'MTRs'!$BB$6:$BB$505,0),"")</f>
        <v/>
      </c>
    </row>
    <row r="650">
      <c r="B650" s="119" t="str">
        <f>IF($L650="","",INDEX('MTRs'!$A$6:$A$505,$L650)&amp;"")</f>
        <v/>
      </c>
      <c r="C650" s="120" t="str">
        <f>IF($L650="","",INDEX('MTRs'!$B$6:$B$505,$L650)&amp;"")</f>
        <v/>
      </c>
      <c r="D650" s="121" t="str">
        <f>IF($L650="","",INDEX('MTRs'!$W$6:$W$505,$L650))</f>
        <v/>
      </c>
      <c r="E650" s="122" t="str">
        <f>IF($L650="","",INDEX('MTRs'!$P$6:$P$505,$L650))</f>
        <v/>
      </c>
      <c r="F650" s="122" t="str">
        <f>IF($L650="","",INDEX('MTRs'!$Q$6:$Q$505,$L650))</f>
        <v/>
      </c>
      <c r="G650" s="122" t="str">
        <f>IF($L650="","",INDEX('MTRs'!$R$6:$R$505,$L650))</f>
        <v/>
      </c>
      <c r="H650" s="130" t="str">
        <f>IF($L650="","",IF(INDEX('MTRs'!$AM$6:$AM$505,$L650)=0,"",N(E650)-N(F650)))</f>
        <v/>
      </c>
      <c r="I650" s="130" t="str">
        <f>IF($L650="","",IF(INDEX('MTRs'!$AM$6:$AM$505,$L650)=0,"",N(F650)-N(G650)))</f>
        <v/>
      </c>
      <c r="J650" s="120" t="str">
        <f>IF($L650="","",INDEX('MTRs'!$S$6:$S$505,$L650)&amp;"")</f>
        <v/>
      </c>
      <c r="L650" t="str">
        <f>IFERROR(MATCH(48,'MTRs'!$BB$6:$BB$505,0),"")</f>
        <v/>
      </c>
    </row>
    <row r="651">
      <c r="B651" s="119" t="str">
        <f>IF($L651="","",INDEX('MTRs'!$A$6:$A$505,$L651)&amp;"")</f>
        <v/>
      </c>
      <c r="C651" s="120" t="str">
        <f>IF($L651="","",INDEX('MTRs'!$B$6:$B$505,$L651)&amp;"")</f>
        <v/>
      </c>
      <c r="D651" s="121" t="str">
        <f>IF($L651="","",INDEX('MTRs'!$W$6:$W$505,$L651))</f>
        <v/>
      </c>
      <c r="E651" s="122" t="str">
        <f>IF($L651="","",INDEX('MTRs'!$P$6:$P$505,$L651))</f>
        <v/>
      </c>
      <c r="F651" s="122" t="str">
        <f>IF($L651="","",INDEX('MTRs'!$Q$6:$Q$505,$L651))</f>
        <v/>
      </c>
      <c r="G651" s="122" t="str">
        <f>IF($L651="","",INDEX('MTRs'!$R$6:$R$505,$L651))</f>
        <v/>
      </c>
      <c r="H651" s="130" t="str">
        <f>IF($L651="","",IF(INDEX('MTRs'!$AM$6:$AM$505,$L651)=0,"",N(E651)-N(F651)))</f>
        <v/>
      </c>
      <c r="I651" s="130" t="str">
        <f>IF($L651="","",IF(INDEX('MTRs'!$AM$6:$AM$505,$L651)=0,"",N(F651)-N(G651)))</f>
        <v/>
      </c>
      <c r="J651" s="120" t="str">
        <f>IF($L651="","",INDEX('MTRs'!$S$6:$S$505,$L651)&amp;"")</f>
        <v/>
      </c>
      <c r="L651" t="str">
        <f>IFERROR(MATCH(49,'MTRs'!$BB$6:$BB$505,0),"")</f>
        <v/>
      </c>
    </row>
    <row r="652">
      <c r="B652" s="119" t="str">
        <f>IF($L652="","",INDEX('MTRs'!$A$6:$A$505,$L652)&amp;"")</f>
        <v/>
      </c>
      <c r="C652" s="120" t="str">
        <f>IF($L652="","",INDEX('MTRs'!$B$6:$B$505,$L652)&amp;"")</f>
        <v/>
      </c>
      <c r="D652" s="121" t="str">
        <f>IF($L652="","",INDEX('MTRs'!$W$6:$W$505,$L652))</f>
        <v/>
      </c>
      <c r="E652" s="122" t="str">
        <f>IF($L652="","",INDEX('MTRs'!$P$6:$P$505,$L652))</f>
        <v/>
      </c>
      <c r="F652" s="122" t="str">
        <f>IF($L652="","",INDEX('MTRs'!$Q$6:$Q$505,$L652))</f>
        <v/>
      </c>
      <c r="G652" s="122" t="str">
        <f>IF($L652="","",INDEX('MTRs'!$R$6:$R$505,$L652))</f>
        <v/>
      </c>
      <c r="H652" s="130" t="str">
        <f>IF($L652="","",IF(INDEX('MTRs'!$AM$6:$AM$505,$L652)=0,"",N(E652)-N(F652)))</f>
        <v/>
      </c>
      <c r="I652" s="130" t="str">
        <f>IF($L652="","",IF(INDEX('MTRs'!$AM$6:$AM$505,$L652)=0,"",N(F652)-N(G652)))</f>
        <v/>
      </c>
      <c r="J652" s="120" t="str">
        <f>IF($L652="","",INDEX('MTRs'!$S$6:$S$505,$L652)&amp;"")</f>
        <v/>
      </c>
      <c r="L652" t="str">
        <f>IFERROR(MATCH(50,'MTRs'!$BB$6:$BB$505,0),"")</f>
        <v/>
      </c>
    </row>
    <row r="653">
      <c r="B653" s="119" t="str">
        <f>IF($L653="","",INDEX('MTRs'!$A$6:$A$505,$L653)&amp;"")</f>
        <v/>
      </c>
      <c r="C653" s="120" t="str">
        <f>IF($L653="","",INDEX('MTRs'!$B$6:$B$505,$L653)&amp;"")</f>
        <v/>
      </c>
      <c r="D653" s="121" t="str">
        <f>IF($L653="","",INDEX('MTRs'!$W$6:$W$505,$L653))</f>
        <v/>
      </c>
      <c r="E653" s="122" t="str">
        <f>IF($L653="","",INDEX('MTRs'!$P$6:$P$505,$L653))</f>
        <v/>
      </c>
      <c r="F653" s="122" t="str">
        <f>IF($L653="","",INDEX('MTRs'!$Q$6:$Q$505,$L653))</f>
        <v/>
      </c>
      <c r="G653" s="122" t="str">
        <f>IF($L653="","",INDEX('MTRs'!$R$6:$R$505,$L653))</f>
        <v/>
      </c>
      <c r="H653" s="130" t="str">
        <f>IF($L653="","",IF(INDEX('MTRs'!$AM$6:$AM$505,$L653)=0,"",N(E653)-N(F653)))</f>
        <v/>
      </c>
      <c r="I653" s="130" t="str">
        <f>IF($L653="","",IF(INDEX('MTRs'!$AM$6:$AM$505,$L653)=0,"",N(F653)-N(G653)))</f>
        <v/>
      </c>
      <c r="J653" s="120" t="str">
        <f>IF($L653="","",INDEX('MTRs'!$S$6:$S$505,$L653)&amp;"")</f>
        <v/>
      </c>
      <c r="L653" t="str">
        <f>IFERROR(MATCH(51,'MTRs'!$BB$6:$BB$505,0),"")</f>
        <v/>
      </c>
    </row>
    <row r="654">
      <c r="B654" s="119" t="str">
        <f>IF($L654="","",INDEX('MTRs'!$A$6:$A$505,$L654)&amp;"")</f>
        <v/>
      </c>
      <c r="C654" s="120" t="str">
        <f>IF($L654="","",INDEX('MTRs'!$B$6:$B$505,$L654)&amp;"")</f>
        <v/>
      </c>
      <c r="D654" s="121" t="str">
        <f>IF($L654="","",INDEX('MTRs'!$W$6:$W$505,$L654))</f>
        <v/>
      </c>
      <c r="E654" s="122" t="str">
        <f>IF($L654="","",INDEX('MTRs'!$P$6:$P$505,$L654))</f>
        <v/>
      </c>
      <c r="F654" s="122" t="str">
        <f>IF($L654="","",INDEX('MTRs'!$Q$6:$Q$505,$L654))</f>
        <v/>
      </c>
      <c r="G654" s="122" t="str">
        <f>IF($L654="","",INDEX('MTRs'!$R$6:$R$505,$L654))</f>
        <v/>
      </c>
      <c r="H654" s="130" t="str">
        <f>IF($L654="","",IF(INDEX('MTRs'!$AM$6:$AM$505,$L654)=0,"",N(E654)-N(F654)))</f>
        <v/>
      </c>
      <c r="I654" s="130" t="str">
        <f>IF($L654="","",IF(INDEX('MTRs'!$AM$6:$AM$505,$L654)=0,"",N(F654)-N(G654)))</f>
        <v/>
      </c>
      <c r="J654" s="120" t="str">
        <f>IF($L654="","",INDEX('MTRs'!$S$6:$S$505,$L654)&amp;"")</f>
        <v/>
      </c>
      <c r="L654" t="str">
        <f>IFERROR(MATCH(52,'MTRs'!$BB$6:$BB$505,0),"")</f>
        <v/>
      </c>
    </row>
    <row r="655">
      <c r="B655" s="119" t="str">
        <f>IF($L655="","",INDEX('MTRs'!$A$6:$A$505,$L655)&amp;"")</f>
        <v/>
      </c>
      <c r="C655" s="120" t="str">
        <f>IF($L655="","",INDEX('MTRs'!$B$6:$B$505,$L655)&amp;"")</f>
        <v/>
      </c>
      <c r="D655" s="121" t="str">
        <f>IF($L655="","",INDEX('MTRs'!$W$6:$W$505,$L655))</f>
        <v/>
      </c>
      <c r="E655" s="122" t="str">
        <f>IF($L655="","",INDEX('MTRs'!$P$6:$P$505,$L655))</f>
        <v/>
      </c>
      <c r="F655" s="122" t="str">
        <f>IF($L655="","",INDEX('MTRs'!$Q$6:$Q$505,$L655))</f>
        <v/>
      </c>
      <c r="G655" s="122" t="str">
        <f>IF($L655="","",INDEX('MTRs'!$R$6:$R$505,$L655))</f>
        <v/>
      </c>
      <c r="H655" s="130" t="str">
        <f>IF($L655="","",IF(INDEX('MTRs'!$AM$6:$AM$505,$L655)=0,"",N(E655)-N(F655)))</f>
        <v/>
      </c>
      <c r="I655" s="130" t="str">
        <f>IF($L655="","",IF(INDEX('MTRs'!$AM$6:$AM$505,$L655)=0,"",N(F655)-N(G655)))</f>
        <v/>
      </c>
      <c r="J655" s="120" t="str">
        <f>IF($L655="","",INDEX('MTRs'!$S$6:$S$505,$L655)&amp;"")</f>
        <v/>
      </c>
      <c r="L655" t="str">
        <f>IFERROR(MATCH(53,'MTRs'!$BB$6:$BB$505,0),"")</f>
        <v/>
      </c>
    </row>
    <row r="656">
      <c r="B656" s="119" t="str">
        <f>IF($L656="","",INDEX('MTRs'!$A$6:$A$505,$L656)&amp;"")</f>
        <v/>
      </c>
      <c r="C656" s="120" t="str">
        <f>IF($L656="","",INDEX('MTRs'!$B$6:$B$505,$L656)&amp;"")</f>
        <v/>
      </c>
      <c r="D656" s="121" t="str">
        <f>IF($L656="","",INDEX('MTRs'!$W$6:$W$505,$L656))</f>
        <v/>
      </c>
      <c r="E656" s="122" t="str">
        <f>IF($L656="","",INDEX('MTRs'!$P$6:$P$505,$L656))</f>
        <v/>
      </c>
      <c r="F656" s="122" t="str">
        <f>IF($L656="","",INDEX('MTRs'!$Q$6:$Q$505,$L656))</f>
        <v/>
      </c>
      <c r="G656" s="122" t="str">
        <f>IF($L656="","",INDEX('MTRs'!$R$6:$R$505,$L656))</f>
        <v/>
      </c>
      <c r="H656" s="130" t="str">
        <f>IF($L656="","",IF(INDEX('MTRs'!$AM$6:$AM$505,$L656)=0,"",N(E656)-N(F656)))</f>
        <v/>
      </c>
      <c r="I656" s="130" t="str">
        <f>IF($L656="","",IF(INDEX('MTRs'!$AM$6:$AM$505,$L656)=0,"",N(F656)-N(G656)))</f>
        <v/>
      </c>
      <c r="J656" s="120" t="str">
        <f>IF($L656="","",INDEX('MTRs'!$S$6:$S$505,$L656)&amp;"")</f>
        <v/>
      </c>
      <c r="L656" t="str">
        <f>IFERROR(MATCH(54,'MTRs'!$BB$6:$BB$505,0),"")</f>
        <v/>
      </c>
    </row>
    <row r="657">
      <c r="B657" s="119" t="str">
        <f>IF($L657="","",INDEX('MTRs'!$A$6:$A$505,$L657)&amp;"")</f>
        <v/>
      </c>
      <c r="C657" s="120" t="str">
        <f>IF($L657="","",INDEX('MTRs'!$B$6:$B$505,$L657)&amp;"")</f>
        <v/>
      </c>
      <c r="D657" s="121" t="str">
        <f>IF($L657="","",INDEX('MTRs'!$W$6:$W$505,$L657))</f>
        <v/>
      </c>
      <c r="E657" s="122" t="str">
        <f>IF($L657="","",INDEX('MTRs'!$P$6:$P$505,$L657))</f>
        <v/>
      </c>
      <c r="F657" s="122" t="str">
        <f>IF($L657="","",INDEX('MTRs'!$Q$6:$Q$505,$L657))</f>
        <v/>
      </c>
      <c r="G657" s="122" t="str">
        <f>IF($L657="","",INDEX('MTRs'!$R$6:$R$505,$L657))</f>
        <v/>
      </c>
      <c r="H657" s="130" t="str">
        <f>IF($L657="","",IF(INDEX('MTRs'!$AM$6:$AM$505,$L657)=0,"",N(E657)-N(F657)))</f>
        <v/>
      </c>
      <c r="I657" s="130" t="str">
        <f>IF($L657="","",IF(INDEX('MTRs'!$AM$6:$AM$505,$L657)=0,"",N(F657)-N(G657)))</f>
        <v/>
      </c>
      <c r="J657" s="120" t="str">
        <f>IF($L657="","",INDEX('MTRs'!$S$6:$S$505,$L657)&amp;"")</f>
        <v/>
      </c>
      <c r="L657" t="str">
        <f>IFERROR(MATCH(55,'MTRs'!$BB$6:$BB$505,0),"")</f>
        <v/>
      </c>
    </row>
    <row r="658">
      <c r="B658" s="119" t="str">
        <f>IF($L658="","",INDEX('MTRs'!$A$6:$A$505,$L658)&amp;"")</f>
        <v/>
      </c>
      <c r="C658" s="120" t="str">
        <f>IF($L658="","",INDEX('MTRs'!$B$6:$B$505,$L658)&amp;"")</f>
        <v/>
      </c>
      <c r="D658" s="121" t="str">
        <f>IF($L658="","",INDEX('MTRs'!$W$6:$W$505,$L658))</f>
        <v/>
      </c>
      <c r="E658" s="122" t="str">
        <f>IF($L658="","",INDEX('MTRs'!$P$6:$P$505,$L658))</f>
        <v/>
      </c>
      <c r="F658" s="122" t="str">
        <f>IF($L658="","",INDEX('MTRs'!$Q$6:$Q$505,$L658))</f>
        <v/>
      </c>
      <c r="G658" s="122" t="str">
        <f>IF($L658="","",INDEX('MTRs'!$R$6:$R$505,$L658))</f>
        <v/>
      </c>
      <c r="H658" s="130" t="str">
        <f>IF($L658="","",IF(INDEX('MTRs'!$AM$6:$AM$505,$L658)=0,"",N(E658)-N(F658)))</f>
        <v/>
      </c>
      <c r="I658" s="130" t="str">
        <f>IF($L658="","",IF(INDEX('MTRs'!$AM$6:$AM$505,$L658)=0,"",N(F658)-N(G658)))</f>
        <v/>
      </c>
      <c r="J658" s="120" t="str">
        <f>IF($L658="","",INDEX('MTRs'!$S$6:$S$505,$L658)&amp;"")</f>
        <v/>
      </c>
      <c r="L658" t="str">
        <f>IFERROR(MATCH(56,'MTRs'!$BB$6:$BB$505,0),"")</f>
        <v/>
      </c>
    </row>
    <row r="659">
      <c r="B659" s="119" t="str">
        <f>IF($L659="","",INDEX('MTRs'!$A$6:$A$505,$L659)&amp;"")</f>
        <v/>
      </c>
      <c r="C659" s="120" t="str">
        <f>IF($L659="","",INDEX('MTRs'!$B$6:$B$505,$L659)&amp;"")</f>
        <v/>
      </c>
      <c r="D659" s="121" t="str">
        <f>IF($L659="","",INDEX('MTRs'!$W$6:$W$505,$L659))</f>
        <v/>
      </c>
      <c r="E659" s="122" t="str">
        <f>IF($L659="","",INDEX('MTRs'!$P$6:$P$505,$L659))</f>
        <v/>
      </c>
      <c r="F659" s="122" t="str">
        <f>IF($L659="","",INDEX('MTRs'!$Q$6:$Q$505,$L659))</f>
        <v/>
      </c>
      <c r="G659" s="122" t="str">
        <f>IF($L659="","",INDEX('MTRs'!$R$6:$R$505,$L659))</f>
        <v/>
      </c>
      <c r="H659" s="130" t="str">
        <f>IF($L659="","",IF(INDEX('MTRs'!$AM$6:$AM$505,$L659)=0,"",N(E659)-N(F659)))</f>
        <v/>
      </c>
      <c r="I659" s="130" t="str">
        <f>IF($L659="","",IF(INDEX('MTRs'!$AM$6:$AM$505,$L659)=0,"",N(F659)-N(G659)))</f>
        <v/>
      </c>
      <c r="J659" s="120" t="str">
        <f>IF($L659="","",INDEX('MTRs'!$S$6:$S$505,$L659)&amp;"")</f>
        <v/>
      </c>
      <c r="L659" t="str">
        <f>IFERROR(MATCH(57,'MTRs'!$BB$6:$BB$505,0),"")</f>
        <v/>
      </c>
    </row>
    <row r="660">
      <c r="B660" s="119" t="str">
        <f>IF($L660="","",INDEX('MTRs'!$A$6:$A$505,$L660)&amp;"")</f>
        <v/>
      </c>
      <c r="C660" s="120" t="str">
        <f>IF($L660="","",INDEX('MTRs'!$B$6:$B$505,$L660)&amp;"")</f>
        <v/>
      </c>
      <c r="D660" s="121" t="str">
        <f>IF($L660="","",INDEX('MTRs'!$W$6:$W$505,$L660))</f>
        <v/>
      </c>
      <c r="E660" s="122" t="str">
        <f>IF($L660="","",INDEX('MTRs'!$P$6:$P$505,$L660))</f>
        <v/>
      </c>
      <c r="F660" s="122" t="str">
        <f>IF($L660="","",INDEX('MTRs'!$Q$6:$Q$505,$L660))</f>
        <v/>
      </c>
      <c r="G660" s="122" t="str">
        <f>IF($L660="","",INDEX('MTRs'!$R$6:$R$505,$L660))</f>
        <v/>
      </c>
      <c r="H660" s="130" t="str">
        <f>IF($L660="","",IF(INDEX('MTRs'!$AM$6:$AM$505,$L660)=0,"",N(E660)-N(F660)))</f>
        <v/>
      </c>
      <c r="I660" s="130" t="str">
        <f>IF($L660="","",IF(INDEX('MTRs'!$AM$6:$AM$505,$L660)=0,"",N(F660)-N(G660)))</f>
        <v/>
      </c>
      <c r="J660" s="120" t="str">
        <f>IF($L660="","",INDEX('MTRs'!$S$6:$S$505,$L660)&amp;"")</f>
        <v/>
      </c>
      <c r="L660" t="str">
        <f>IFERROR(MATCH(58,'MTRs'!$BB$6:$BB$505,0),"")</f>
        <v/>
      </c>
    </row>
    <row r="661">
      <c r="B661" s="119" t="str">
        <f>IF($L661="","",INDEX('MTRs'!$A$6:$A$505,$L661)&amp;"")</f>
        <v/>
      </c>
      <c r="C661" s="120" t="str">
        <f>IF($L661="","",INDEX('MTRs'!$B$6:$B$505,$L661)&amp;"")</f>
        <v/>
      </c>
      <c r="D661" s="121" t="str">
        <f>IF($L661="","",INDEX('MTRs'!$W$6:$W$505,$L661))</f>
        <v/>
      </c>
      <c r="E661" s="122" t="str">
        <f>IF($L661="","",INDEX('MTRs'!$P$6:$P$505,$L661))</f>
        <v/>
      </c>
      <c r="F661" s="122" t="str">
        <f>IF($L661="","",INDEX('MTRs'!$Q$6:$Q$505,$L661))</f>
        <v/>
      </c>
      <c r="G661" s="122" t="str">
        <f>IF($L661="","",INDEX('MTRs'!$R$6:$R$505,$L661))</f>
        <v/>
      </c>
      <c r="H661" s="130" t="str">
        <f>IF($L661="","",IF(INDEX('MTRs'!$AM$6:$AM$505,$L661)=0,"",N(E661)-N(F661)))</f>
        <v/>
      </c>
      <c r="I661" s="130" t="str">
        <f>IF($L661="","",IF(INDEX('MTRs'!$AM$6:$AM$505,$L661)=0,"",N(F661)-N(G661)))</f>
        <v/>
      </c>
      <c r="J661" s="120" t="str">
        <f>IF($L661="","",INDEX('MTRs'!$S$6:$S$505,$L661)&amp;"")</f>
        <v/>
      </c>
      <c r="L661" t="str">
        <f>IFERROR(MATCH(59,'MTRs'!$BB$6:$BB$505,0),"")</f>
        <v/>
      </c>
    </row>
    <row r="662">
      <c r="B662" s="119" t="str">
        <f>IF($L662="","",INDEX('MTRs'!$A$6:$A$505,$L662)&amp;"")</f>
        <v/>
      </c>
      <c r="C662" s="120" t="str">
        <f>IF($L662="","",INDEX('MTRs'!$B$6:$B$505,$L662)&amp;"")</f>
        <v/>
      </c>
      <c r="D662" s="121" t="str">
        <f>IF($L662="","",INDEX('MTRs'!$W$6:$W$505,$L662))</f>
        <v/>
      </c>
      <c r="E662" s="122" t="str">
        <f>IF($L662="","",INDEX('MTRs'!$P$6:$P$505,$L662))</f>
        <v/>
      </c>
      <c r="F662" s="122" t="str">
        <f>IF($L662="","",INDEX('MTRs'!$Q$6:$Q$505,$L662))</f>
        <v/>
      </c>
      <c r="G662" s="122" t="str">
        <f>IF($L662="","",INDEX('MTRs'!$R$6:$R$505,$L662))</f>
        <v/>
      </c>
      <c r="H662" s="130" t="str">
        <f>IF($L662="","",IF(INDEX('MTRs'!$AM$6:$AM$505,$L662)=0,"",N(E662)-N(F662)))</f>
        <v/>
      </c>
      <c r="I662" s="130" t="str">
        <f>IF($L662="","",IF(INDEX('MTRs'!$AM$6:$AM$505,$L662)=0,"",N(F662)-N(G662)))</f>
        <v/>
      </c>
      <c r="J662" s="120" t="str">
        <f>IF($L662="","",INDEX('MTRs'!$S$6:$S$505,$L662)&amp;"")</f>
        <v/>
      </c>
      <c r="L662" t="str">
        <f>IFERROR(MATCH(60,'MTRs'!$BB$6:$BB$505,0),"")</f>
        <v/>
      </c>
    </row>
    <row r="663">
      <c r="B663" s="119" t="str">
        <f>IF($L663="","",INDEX('MTRs'!$A$6:$A$505,$L663)&amp;"")</f>
        <v/>
      </c>
      <c r="C663" s="120" t="str">
        <f>IF($L663="","",INDEX('MTRs'!$B$6:$B$505,$L663)&amp;"")</f>
        <v/>
      </c>
      <c r="D663" s="121" t="str">
        <f>IF($L663="","",INDEX('MTRs'!$W$6:$W$505,$L663))</f>
        <v/>
      </c>
      <c r="E663" s="122" t="str">
        <f>IF($L663="","",INDEX('MTRs'!$P$6:$P$505,$L663))</f>
        <v/>
      </c>
      <c r="F663" s="122" t="str">
        <f>IF($L663="","",INDEX('MTRs'!$Q$6:$Q$505,$L663))</f>
        <v/>
      </c>
      <c r="G663" s="122" t="str">
        <f>IF($L663="","",INDEX('MTRs'!$R$6:$R$505,$L663))</f>
        <v/>
      </c>
      <c r="H663" s="130" t="str">
        <f>IF($L663="","",IF(INDEX('MTRs'!$AM$6:$AM$505,$L663)=0,"",N(E663)-N(F663)))</f>
        <v/>
      </c>
      <c r="I663" s="130" t="str">
        <f>IF($L663="","",IF(INDEX('MTRs'!$AM$6:$AM$505,$L663)=0,"",N(F663)-N(G663)))</f>
        <v/>
      </c>
      <c r="J663" s="120" t="str">
        <f>IF($L663="","",INDEX('MTRs'!$S$6:$S$505,$L663)&amp;"")</f>
        <v/>
      </c>
      <c r="L663" t="str">
        <f>IFERROR(MATCH(61,'MTRs'!$BB$6:$BB$505,0),"")</f>
        <v/>
      </c>
    </row>
    <row r="664">
      <c r="B664" s="119" t="str">
        <f>IF($L664="","",INDEX('MTRs'!$A$6:$A$505,$L664)&amp;"")</f>
        <v/>
      </c>
      <c r="C664" s="120" t="str">
        <f>IF($L664="","",INDEX('MTRs'!$B$6:$B$505,$L664)&amp;"")</f>
        <v/>
      </c>
      <c r="D664" s="121" t="str">
        <f>IF($L664="","",INDEX('MTRs'!$W$6:$W$505,$L664))</f>
        <v/>
      </c>
      <c r="E664" s="122" t="str">
        <f>IF($L664="","",INDEX('MTRs'!$P$6:$P$505,$L664))</f>
        <v/>
      </c>
      <c r="F664" s="122" t="str">
        <f>IF($L664="","",INDEX('MTRs'!$Q$6:$Q$505,$L664))</f>
        <v/>
      </c>
      <c r="G664" s="122" t="str">
        <f>IF($L664="","",INDEX('MTRs'!$R$6:$R$505,$L664))</f>
        <v/>
      </c>
      <c r="H664" s="130" t="str">
        <f>IF($L664="","",IF(INDEX('MTRs'!$AM$6:$AM$505,$L664)=0,"",N(E664)-N(F664)))</f>
        <v/>
      </c>
      <c r="I664" s="130" t="str">
        <f>IF($L664="","",IF(INDEX('MTRs'!$AM$6:$AM$505,$L664)=0,"",N(F664)-N(G664)))</f>
        <v/>
      </c>
      <c r="J664" s="120" t="str">
        <f>IF($L664="","",INDEX('MTRs'!$S$6:$S$505,$L664)&amp;"")</f>
        <v/>
      </c>
      <c r="L664" t="str">
        <f>IFERROR(MATCH(62,'MTRs'!$BB$6:$BB$505,0),"")</f>
        <v/>
      </c>
    </row>
    <row r="665">
      <c r="B665" s="119" t="str">
        <f>IF($L665="","",INDEX('MTRs'!$A$6:$A$505,$L665)&amp;"")</f>
        <v/>
      </c>
      <c r="C665" s="120" t="str">
        <f>IF($L665="","",INDEX('MTRs'!$B$6:$B$505,$L665)&amp;"")</f>
        <v/>
      </c>
      <c r="D665" s="121" t="str">
        <f>IF($L665="","",INDEX('MTRs'!$W$6:$W$505,$L665))</f>
        <v/>
      </c>
      <c r="E665" s="122" t="str">
        <f>IF($L665="","",INDEX('MTRs'!$P$6:$P$505,$L665))</f>
        <v/>
      </c>
      <c r="F665" s="122" t="str">
        <f>IF($L665="","",INDEX('MTRs'!$Q$6:$Q$505,$L665))</f>
        <v/>
      </c>
      <c r="G665" s="122" t="str">
        <f>IF($L665="","",INDEX('MTRs'!$R$6:$R$505,$L665))</f>
        <v/>
      </c>
      <c r="H665" s="130" t="str">
        <f>IF($L665="","",IF(INDEX('MTRs'!$AM$6:$AM$505,$L665)=0,"",N(E665)-N(F665)))</f>
        <v/>
      </c>
      <c r="I665" s="130" t="str">
        <f>IF($L665="","",IF(INDEX('MTRs'!$AM$6:$AM$505,$L665)=0,"",N(F665)-N(G665)))</f>
        <v/>
      </c>
      <c r="J665" s="120" t="str">
        <f>IF($L665="","",INDEX('MTRs'!$S$6:$S$505,$L665)&amp;"")</f>
        <v/>
      </c>
      <c r="L665" t="str">
        <f>IFERROR(MATCH(63,'MTRs'!$BB$6:$BB$505,0),"")</f>
        <v/>
      </c>
    </row>
    <row r="666">
      <c r="B666" s="119" t="str">
        <f>IF($L666="","",INDEX('MTRs'!$A$6:$A$505,$L666)&amp;"")</f>
        <v/>
      </c>
      <c r="C666" s="120" t="str">
        <f>IF($L666="","",INDEX('MTRs'!$B$6:$B$505,$L666)&amp;"")</f>
        <v/>
      </c>
      <c r="D666" s="121" t="str">
        <f>IF($L666="","",INDEX('MTRs'!$W$6:$W$505,$L666))</f>
        <v/>
      </c>
      <c r="E666" s="122" t="str">
        <f>IF($L666="","",INDEX('MTRs'!$P$6:$P$505,$L666))</f>
        <v/>
      </c>
      <c r="F666" s="122" t="str">
        <f>IF($L666="","",INDEX('MTRs'!$Q$6:$Q$505,$L666))</f>
        <v/>
      </c>
      <c r="G666" s="122" t="str">
        <f>IF($L666="","",INDEX('MTRs'!$R$6:$R$505,$L666))</f>
        <v/>
      </c>
      <c r="H666" s="130" t="str">
        <f>IF($L666="","",IF(INDEX('MTRs'!$AM$6:$AM$505,$L666)=0,"",N(E666)-N(F666)))</f>
        <v/>
      </c>
      <c r="I666" s="130" t="str">
        <f>IF($L666="","",IF(INDEX('MTRs'!$AM$6:$AM$505,$L666)=0,"",N(F666)-N(G666)))</f>
        <v/>
      </c>
      <c r="J666" s="120" t="str">
        <f>IF($L666="","",INDEX('MTRs'!$S$6:$S$505,$L666)&amp;"")</f>
        <v/>
      </c>
      <c r="L666" t="str">
        <f>IFERROR(MATCH(64,'MTRs'!$BB$6:$BB$505,0),"")</f>
        <v/>
      </c>
    </row>
    <row r="667">
      <c r="B667" s="119" t="str">
        <f>IF($L667="","",INDEX('MTRs'!$A$6:$A$505,$L667)&amp;"")</f>
        <v/>
      </c>
      <c r="C667" s="120" t="str">
        <f>IF($L667="","",INDEX('MTRs'!$B$6:$B$505,$L667)&amp;"")</f>
        <v/>
      </c>
      <c r="D667" s="121" t="str">
        <f>IF($L667="","",INDEX('MTRs'!$W$6:$W$505,$L667))</f>
        <v/>
      </c>
      <c r="E667" s="122" t="str">
        <f>IF($L667="","",INDEX('MTRs'!$P$6:$P$505,$L667))</f>
        <v/>
      </c>
      <c r="F667" s="122" t="str">
        <f>IF($L667="","",INDEX('MTRs'!$Q$6:$Q$505,$L667))</f>
        <v/>
      </c>
      <c r="G667" s="122" t="str">
        <f>IF($L667="","",INDEX('MTRs'!$R$6:$R$505,$L667))</f>
        <v/>
      </c>
      <c r="H667" s="130" t="str">
        <f>IF($L667="","",IF(INDEX('MTRs'!$AM$6:$AM$505,$L667)=0,"",N(E667)-N(F667)))</f>
        <v/>
      </c>
      <c r="I667" s="130" t="str">
        <f>IF($L667="","",IF(INDEX('MTRs'!$AM$6:$AM$505,$L667)=0,"",N(F667)-N(G667)))</f>
        <v/>
      </c>
      <c r="J667" s="120" t="str">
        <f>IF($L667="","",INDEX('MTRs'!$S$6:$S$505,$L667)&amp;"")</f>
        <v/>
      </c>
      <c r="L667" t="str">
        <f>IFERROR(MATCH(65,'MTRs'!$BB$6:$BB$505,0),"")</f>
        <v/>
      </c>
    </row>
    <row r="668">
      <c r="B668" s="119" t="str">
        <f>IF($L668="","",INDEX('MTRs'!$A$6:$A$505,$L668)&amp;"")</f>
        <v/>
      </c>
      <c r="C668" s="120" t="str">
        <f>IF($L668="","",INDEX('MTRs'!$B$6:$B$505,$L668)&amp;"")</f>
        <v/>
      </c>
      <c r="D668" s="121" t="str">
        <f>IF($L668="","",INDEX('MTRs'!$W$6:$W$505,$L668))</f>
        <v/>
      </c>
      <c r="E668" s="122" t="str">
        <f>IF($L668="","",INDEX('MTRs'!$P$6:$P$505,$L668))</f>
        <v/>
      </c>
      <c r="F668" s="122" t="str">
        <f>IF($L668="","",INDEX('MTRs'!$Q$6:$Q$505,$L668))</f>
        <v/>
      </c>
      <c r="G668" s="122" t="str">
        <f>IF($L668="","",INDEX('MTRs'!$R$6:$R$505,$L668))</f>
        <v/>
      </c>
      <c r="H668" s="130" t="str">
        <f>IF($L668="","",IF(INDEX('MTRs'!$AM$6:$AM$505,$L668)=0,"",N(E668)-N(F668)))</f>
        <v/>
      </c>
      <c r="I668" s="130" t="str">
        <f>IF($L668="","",IF(INDEX('MTRs'!$AM$6:$AM$505,$L668)=0,"",N(F668)-N(G668)))</f>
        <v/>
      </c>
      <c r="J668" s="120" t="str">
        <f>IF($L668="","",INDEX('MTRs'!$S$6:$S$505,$L668)&amp;"")</f>
        <v/>
      </c>
      <c r="L668" t="str">
        <f>IFERROR(MATCH(66,'MTRs'!$BB$6:$BB$505,0),"")</f>
        <v/>
      </c>
    </row>
    <row r="669">
      <c r="B669" s="119" t="str">
        <f>IF($L669="","",INDEX('MTRs'!$A$6:$A$505,$L669)&amp;"")</f>
        <v/>
      </c>
      <c r="C669" s="120" t="str">
        <f>IF($L669="","",INDEX('MTRs'!$B$6:$B$505,$L669)&amp;"")</f>
        <v/>
      </c>
      <c r="D669" s="121" t="str">
        <f>IF($L669="","",INDEX('MTRs'!$W$6:$W$505,$L669))</f>
        <v/>
      </c>
      <c r="E669" s="122" t="str">
        <f>IF($L669="","",INDEX('MTRs'!$P$6:$P$505,$L669))</f>
        <v/>
      </c>
      <c r="F669" s="122" t="str">
        <f>IF($L669="","",INDEX('MTRs'!$Q$6:$Q$505,$L669))</f>
        <v/>
      </c>
      <c r="G669" s="122" t="str">
        <f>IF($L669="","",INDEX('MTRs'!$R$6:$R$505,$L669))</f>
        <v/>
      </c>
      <c r="H669" s="130" t="str">
        <f>IF($L669="","",IF(INDEX('MTRs'!$AM$6:$AM$505,$L669)=0,"",N(E669)-N(F669)))</f>
        <v/>
      </c>
      <c r="I669" s="130" t="str">
        <f>IF($L669="","",IF(INDEX('MTRs'!$AM$6:$AM$505,$L669)=0,"",N(F669)-N(G669)))</f>
        <v/>
      </c>
      <c r="J669" s="120" t="str">
        <f>IF($L669="","",INDEX('MTRs'!$S$6:$S$505,$L669)&amp;"")</f>
        <v/>
      </c>
      <c r="L669" t="str">
        <f>IFERROR(MATCH(67,'MTRs'!$BB$6:$BB$505,0),"")</f>
        <v/>
      </c>
    </row>
    <row r="670">
      <c r="B670" s="119" t="str">
        <f>IF($L670="","",INDEX('MTRs'!$A$6:$A$505,$L670)&amp;"")</f>
        <v/>
      </c>
      <c r="C670" s="120" t="str">
        <f>IF($L670="","",INDEX('MTRs'!$B$6:$B$505,$L670)&amp;"")</f>
        <v/>
      </c>
      <c r="D670" s="121" t="str">
        <f>IF($L670="","",INDEX('MTRs'!$W$6:$W$505,$L670))</f>
        <v/>
      </c>
      <c r="E670" s="122" t="str">
        <f>IF($L670="","",INDEX('MTRs'!$P$6:$P$505,$L670))</f>
        <v/>
      </c>
      <c r="F670" s="122" t="str">
        <f>IF($L670="","",INDEX('MTRs'!$Q$6:$Q$505,$L670))</f>
        <v/>
      </c>
      <c r="G670" s="122" t="str">
        <f>IF($L670="","",INDEX('MTRs'!$R$6:$R$505,$L670))</f>
        <v/>
      </c>
      <c r="H670" s="130" t="str">
        <f>IF($L670="","",IF(INDEX('MTRs'!$AM$6:$AM$505,$L670)=0,"",N(E670)-N(F670)))</f>
        <v/>
      </c>
      <c r="I670" s="130" t="str">
        <f>IF($L670="","",IF(INDEX('MTRs'!$AM$6:$AM$505,$L670)=0,"",N(F670)-N(G670)))</f>
        <v/>
      </c>
      <c r="J670" s="120" t="str">
        <f>IF($L670="","",INDEX('MTRs'!$S$6:$S$505,$L670)&amp;"")</f>
        <v/>
      </c>
      <c r="L670" t="str">
        <f>IFERROR(MATCH(68,'MTRs'!$BB$6:$BB$505,0),"")</f>
        <v/>
      </c>
    </row>
    <row r="671">
      <c r="B671" s="119" t="str">
        <f>IF($L671="","",INDEX('MTRs'!$A$6:$A$505,$L671)&amp;"")</f>
        <v/>
      </c>
      <c r="C671" s="120" t="str">
        <f>IF($L671="","",INDEX('MTRs'!$B$6:$B$505,$L671)&amp;"")</f>
        <v/>
      </c>
      <c r="D671" s="121" t="str">
        <f>IF($L671="","",INDEX('MTRs'!$W$6:$W$505,$L671))</f>
        <v/>
      </c>
      <c r="E671" s="122" t="str">
        <f>IF($L671="","",INDEX('MTRs'!$P$6:$P$505,$L671))</f>
        <v/>
      </c>
      <c r="F671" s="122" t="str">
        <f>IF($L671="","",INDEX('MTRs'!$Q$6:$Q$505,$L671))</f>
        <v/>
      </c>
      <c r="G671" s="122" t="str">
        <f>IF($L671="","",INDEX('MTRs'!$R$6:$R$505,$L671))</f>
        <v/>
      </c>
      <c r="H671" s="130" t="str">
        <f>IF($L671="","",IF(INDEX('MTRs'!$AM$6:$AM$505,$L671)=0,"",N(E671)-N(F671)))</f>
        <v/>
      </c>
      <c r="I671" s="130" t="str">
        <f>IF($L671="","",IF(INDEX('MTRs'!$AM$6:$AM$505,$L671)=0,"",N(F671)-N(G671)))</f>
        <v/>
      </c>
      <c r="J671" s="120" t="str">
        <f>IF($L671="","",INDEX('MTRs'!$S$6:$S$505,$L671)&amp;"")</f>
        <v/>
      </c>
      <c r="L671" t="str">
        <f>IFERROR(MATCH(69,'MTRs'!$BB$6:$BB$505,0),"")</f>
        <v/>
      </c>
    </row>
    <row r="672">
      <c r="B672" s="119" t="str">
        <f>IF($L672="","",INDEX('MTRs'!$A$6:$A$505,$L672)&amp;"")</f>
        <v/>
      </c>
      <c r="C672" s="120" t="str">
        <f>IF($L672="","",INDEX('MTRs'!$B$6:$B$505,$L672)&amp;"")</f>
        <v/>
      </c>
      <c r="D672" s="121" t="str">
        <f>IF($L672="","",INDEX('MTRs'!$W$6:$W$505,$L672))</f>
        <v/>
      </c>
      <c r="E672" s="122" t="str">
        <f>IF($L672="","",INDEX('MTRs'!$P$6:$P$505,$L672))</f>
        <v/>
      </c>
      <c r="F672" s="122" t="str">
        <f>IF($L672="","",INDEX('MTRs'!$Q$6:$Q$505,$L672))</f>
        <v/>
      </c>
      <c r="G672" s="122" t="str">
        <f>IF($L672="","",INDEX('MTRs'!$R$6:$R$505,$L672))</f>
        <v/>
      </c>
      <c r="H672" s="130" t="str">
        <f>IF($L672="","",IF(INDEX('MTRs'!$AM$6:$AM$505,$L672)=0,"",N(E672)-N(F672)))</f>
        <v/>
      </c>
      <c r="I672" s="130" t="str">
        <f>IF($L672="","",IF(INDEX('MTRs'!$AM$6:$AM$505,$L672)=0,"",N(F672)-N(G672)))</f>
        <v/>
      </c>
      <c r="J672" s="120" t="str">
        <f>IF($L672="","",INDEX('MTRs'!$S$6:$S$505,$L672)&amp;"")</f>
        <v/>
      </c>
      <c r="L672" t="str">
        <f>IFERROR(MATCH(70,'MTRs'!$BB$6:$BB$505,0),"")</f>
        <v/>
      </c>
    </row>
    <row r="673">
      <c r="B673" s="119" t="str">
        <f>IF($L673="","",INDEX('MTRs'!$A$6:$A$505,$L673)&amp;"")</f>
        <v/>
      </c>
      <c r="C673" s="120" t="str">
        <f>IF($L673="","",INDEX('MTRs'!$B$6:$B$505,$L673)&amp;"")</f>
        <v/>
      </c>
      <c r="D673" s="121" t="str">
        <f>IF($L673="","",INDEX('MTRs'!$W$6:$W$505,$L673))</f>
        <v/>
      </c>
      <c r="E673" s="122" t="str">
        <f>IF($L673="","",INDEX('MTRs'!$P$6:$P$505,$L673))</f>
        <v/>
      </c>
      <c r="F673" s="122" t="str">
        <f>IF($L673="","",INDEX('MTRs'!$Q$6:$Q$505,$L673))</f>
        <v/>
      </c>
      <c r="G673" s="122" t="str">
        <f>IF($L673="","",INDEX('MTRs'!$R$6:$R$505,$L673))</f>
        <v/>
      </c>
      <c r="H673" s="130" t="str">
        <f>IF($L673="","",IF(INDEX('MTRs'!$AM$6:$AM$505,$L673)=0,"",N(E673)-N(F673)))</f>
        <v/>
      </c>
      <c r="I673" s="130" t="str">
        <f>IF($L673="","",IF(INDEX('MTRs'!$AM$6:$AM$505,$L673)=0,"",N(F673)-N(G673)))</f>
        <v/>
      </c>
      <c r="J673" s="120" t="str">
        <f>IF($L673="","",INDEX('MTRs'!$S$6:$S$505,$L673)&amp;"")</f>
        <v/>
      </c>
      <c r="L673" t="str">
        <f>IFERROR(MATCH(71,'MTRs'!$BB$6:$BB$505,0),"")</f>
        <v/>
      </c>
    </row>
    <row r="674">
      <c r="B674" s="119" t="str">
        <f>IF($L674="","",INDEX('MTRs'!$A$6:$A$505,$L674)&amp;"")</f>
        <v/>
      </c>
      <c r="C674" s="120" t="str">
        <f>IF($L674="","",INDEX('MTRs'!$B$6:$B$505,$L674)&amp;"")</f>
        <v/>
      </c>
      <c r="D674" s="121" t="str">
        <f>IF($L674="","",INDEX('MTRs'!$W$6:$W$505,$L674))</f>
        <v/>
      </c>
      <c r="E674" s="122" t="str">
        <f>IF($L674="","",INDEX('MTRs'!$P$6:$P$505,$L674))</f>
        <v/>
      </c>
      <c r="F674" s="122" t="str">
        <f>IF($L674="","",INDEX('MTRs'!$Q$6:$Q$505,$L674))</f>
        <v/>
      </c>
      <c r="G674" s="122" t="str">
        <f>IF($L674="","",INDEX('MTRs'!$R$6:$R$505,$L674))</f>
        <v/>
      </c>
      <c r="H674" s="130" t="str">
        <f>IF($L674="","",IF(INDEX('MTRs'!$AM$6:$AM$505,$L674)=0,"",N(E674)-N(F674)))</f>
        <v/>
      </c>
      <c r="I674" s="130" t="str">
        <f>IF($L674="","",IF(INDEX('MTRs'!$AM$6:$AM$505,$L674)=0,"",N(F674)-N(G674)))</f>
        <v/>
      </c>
      <c r="J674" s="120" t="str">
        <f>IF($L674="","",INDEX('MTRs'!$S$6:$S$505,$L674)&amp;"")</f>
        <v/>
      </c>
      <c r="L674" t="str">
        <f>IFERROR(MATCH(72,'MTRs'!$BB$6:$BB$505,0),"")</f>
        <v/>
      </c>
    </row>
    <row r="675">
      <c r="B675" s="119" t="str">
        <f>IF($L675="","",INDEX('MTRs'!$A$6:$A$505,$L675)&amp;"")</f>
        <v/>
      </c>
      <c r="C675" s="120" t="str">
        <f>IF($L675="","",INDEX('MTRs'!$B$6:$B$505,$L675)&amp;"")</f>
        <v/>
      </c>
      <c r="D675" s="121" t="str">
        <f>IF($L675="","",INDEX('MTRs'!$W$6:$W$505,$L675))</f>
        <v/>
      </c>
      <c r="E675" s="122" t="str">
        <f>IF($L675="","",INDEX('MTRs'!$P$6:$P$505,$L675))</f>
        <v/>
      </c>
      <c r="F675" s="122" t="str">
        <f>IF($L675="","",INDEX('MTRs'!$Q$6:$Q$505,$L675))</f>
        <v/>
      </c>
      <c r="G675" s="122" t="str">
        <f>IF($L675="","",INDEX('MTRs'!$R$6:$R$505,$L675))</f>
        <v/>
      </c>
      <c r="H675" s="130" t="str">
        <f>IF($L675="","",IF(INDEX('MTRs'!$AM$6:$AM$505,$L675)=0,"",N(E675)-N(F675)))</f>
        <v/>
      </c>
      <c r="I675" s="130" t="str">
        <f>IF($L675="","",IF(INDEX('MTRs'!$AM$6:$AM$505,$L675)=0,"",N(F675)-N(G675)))</f>
        <v/>
      </c>
      <c r="J675" s="120" t="str">
        <f>IF($L675="","",INDEX('MTRs'!$S$6:$S$505,$L675)&amp;"")</f>
        <v/>
      </c>
      <c r="L675" t="str">
        <f>IFERROR(MATCH(73,'MTRs'!$BB$6:$BB$505,0),"")</f>
        <v/>
      </c>
    </row>
    <row r="676">
      <c r="B676" s="119" t="str">
        <f>IF($L676="","",INDEX('MTRs'!$A$6:$A$505,$L676)&amp;"")</f>
        <v/>
      </c>
      <c r="C676" s="120" t="str">
        <f>IF($L676="","",INDEX('MTRs'!$B$6:$B$505,$L676)&amp;"")</f>
        <v/>
      </c>
      <c r="D676" s="121" t="str">
        <f>IF($L676="","",INDEX('MTRs'!$W$6:$W$505,$L676))</f>
        <v/>
      </c>
      <c r="E676" s="122" t="str">
        <f>IF($L676="","",INDEX('MTRs'!$P$6:$P$505,$L676))</f>
        <v/>
      </c>
      <c r="F676" s="122" t="str">
        <f>IF($L676="","",INDEX('MTRs'!$Q$6:$Q$505,$L676))</f>
        <v/>
      </c>
      <c r="G676" s="122" t="str">
        <f>IF($L676="","",INDEX('MTRs'!$R$6:$R$505,$L676))</f>
        <v/>
      </c>
      <c r="H676" s="130" t="str">
        <f>IF($L676="","",IF(INDEX('MTRs'!$AM$6:$AM$505,$L676)=0,"",N(E676)-N(F676)))</f>
        <v/>
      </c>
      <c r="I676" s="130" t="str">
        <f>IF($L676="","",IF(INDEX('MTRs'!$AM$6:$AM$505,$L676)=0,"",N(F676)-N(G676)))</f>
        <v/>
      </c>
      <c r="J676" s="120" t="str">
        <f>IF($L676="","",INDEX('MTRs'!$S$6:$S$505,$L676)&amp;"")</f>
        <v/>
      </c>
      <c r="L676" t="str">
        <f>IFERROR(MATCH(74,'MTRs'!$BB$6:$BB$505,0),"")</f>
        <v/>
      </c>
    </row>
    <row r="677">
      <c r="B677" s="119" t="str">
        <f>IF($L677="","",INDEX('MTRs'!$A$6:$A$505,$L677)&amp;"")</f>
        <v/>
      </c>
      <c r="C677" s="120" t="str">
        <f>IF($L677="","",INDEX('MTRs'!$B$6:$B$505,$L677)&amp;"")</f>
        <v/>
      </c>
      <c r="D677" s="121" t="str">
        <f>IF($L677="","",INDEX('MTRs'!$W$6:$W$505,$L677))</f>
        <v/>
      </c>
      <c r="E677" s="122" t="str">
        <f>IF($L677="","",INDEX('MTRs'!$P$6:$P$505,$L677))</f>
        <v/>
      </c>
      <c r="F677" s="122" t="str">
        <f>IF($L677="","",INDEX('MTRs'!$Q$6:$Q$505,$L677))</f>
        <v/>
      </c>
      <c r="G677" s="122" t="str">
        <f>IF($L677="","",INDEX('MTRs'!$R$6:$R$505,$L677))</f>
        <v/>
      </c>
      <c r="H677" s="130" t="str">
        <f>IF($L677="","",IF(INDEX('MTRs'!$AM$6:$AM$505,$L677)=0,"",N(E677)-N(F677)))</f>
        <v/>
      </c>
      <c r="I677" s="130" t="str">
        <f>IF($L677="","",IF(INDEX('MTRs'!$AM$6:$AM$505,$L677)=0,"",N(F677)-N(G677)))</f>
        <v/>
      </c>
      <c r="J677" s="120" t="str">
        <f>IF($L677="","",INDEX('MTRs'!$S$6:$S$505,$L677)&amp;"")</f>
        <v/>
      </c>
      <c r="L677" t="str">
        <f>IFERROR(MATCH(75,'MTRs'!$BB$6:$BB$505,0),"")</f>
        <v/>
      </c>
    </row>
    <row r="678">
      <c r="B678" s="119" t="str">
        <f>IF($L678="","",INDEX('MTRs'!$A$6:$A$505,$L678)&amp;"")</f>
        <v/>
      </c>
      <c r="C678" s="120" t="str">
        <f>IF($L678="","",INDEX('MTRs'!$B$6:$B$505,$L678)&amp;"")</f>
        <v/>
      </c>
      <c r="D678" s="121" t="str">
        <f>IF($L678="","",INDEX('MTRs'!$W$6:$W$505,$L678))</f>
        <v/>
      </c>
      <c r="E678" s="122" t="str">
        <f>IF($L678="","",INDEX('MTRs'!$P$6:$P$505,$L678))</f>
        <v/>
      </c>
      <c r="F678" s="122" t="str">
        <f>IF($L678="","",INDEX('MTRs'!$Q$6:$Q$505,$L678))</f>
        <v/>
      </c>
      <c r="G678" s="122" t="str">
        <f>IF($L678="","",INDEX('MTRs'!$R$6:$R$505,$L678))</f>
        <v/>
      </c>
      <c r="H678" s="130" t="str">
        <f>IF($L678="","",IF(INDEX('MTRs'!$AM$6:$AM$505,$L678)=0,"",N(E678)-N(F678)))</f>
        <v/>
      </c>
      <c r="I678" s="130" t="str">
        <f>IF($L678="","",IF(INDEX('MTRs'!$AM$6:$AM$505,$L678)=0,"",N(F678)-N(G678)))</f>
        <v/>
      </c>
      <c r="J678" s="120" t="str">
        <f>IF($L678="","",INDEX('MTRs'!$S$6:$S$505,$L678)&amp;"")</f>
        <v/>
      </c>
      <c r="L678" t="str">
        <f>IFERROR(MATCH(76,'MTRs'!$BB$6:$BB$505,0),"")</f>
        <v/>
      </c>
    </row>
    <row r="679">
      <c r="B679" s="119" t="str">
        <f>IF($L679="","",INDEX('MTRs'!$A$6:$A$505,$L679)&amp;"")</f>
        <v/>
      </c>
      <c r="C679" s="120" t="str">
        <f>IF($L679="","",INDEX('MTRs'!$B$6:$B$505,$L679)&amp;"")</f>
        <v/>
      </c>
      <c r="D679" s="121" t="str">
        <f>IF($L679="","",INDEX('MTRs'!$W$6:$W$505,$L679))</f>
        <v/>
      </c>
      <c r="E679" s="122" t="str">
        <f>IF($L679="","",INDEX('MTRs'!$P$6:$P$505,$L679))</f>
        <v/>
      </c>
      <c r="F679" s="122" t="str">
        <f>IF($L679="","",INDEX('MTRs'!$Q$6:$Q$505,$L679))</f>
        <v/>
      </c>
      <c r="G679" s="122" t="str">
        <f>IF($L679="","",INDEX('MTRs'!$R$6:$R$505,$L679))</f>
        <v/>
      </c>
      <c r="H679" s="130" t="str">
        <f>IF($L679="","",IF(INDEX('MTRs'!$AM$6:$AM$505,$L679)=0,"",N(E679)-N(F679)))</f>
        <v/>
      </c>
      <c r="I679" s="130" t="str">
        <f>IF($L679="","",IF(INDEX('MTRs'!$AM$6:$AM$505,$L679)=0,"",N(F679)-N(G679)))</f>
        <v/>
      </c>
      <c r="J679" s="120" t="str">
        <f>IF($L679="","",INDEX('MTRs'!$S$6:$S$505,$L679)&amp;"")</f>
        <v/>
      </c>
      <c r="L679" t="str">
        <f>IFERROR(MATCH(77,'MTRs'!$BB$6:$BB$505,0),"")</f>
        <v/>
      </c>
    </row>
    <row r="680">
      <c r="B680" s="119" t="str">
        <f>IF($L680="","",INDEX('MTRs'!$A$6:$A$505,$L680)&amp;"")</f>
        <v/>
      </c>
      <c r="C680" s="120" t="str">
        <f>IF($L680="","",INDEX('MTRs'!$B$6:$B$505,$L680)&amp;"")</f>
        <v/>
      </c>
      <c r="D680" s="121" t="str">
        <f>IF($L680="","",INDEX('MTRs'!$W$6:$W$505,$L680))</f>
        <v/>
      </c>
      <c r="E680" s="122" t="str">
        <f>IF($L680="","",INDEX('MTRs'!$P$6:$P$505,$L680))</f>
        <v/>
      </c>
      <c r="F680" s="122" t="str">
        <f>IF($L680="","",INDEX('MTRs'!$Q$6:$Q$505,$L680))</f>
        <v/>
      </c>
      <c r="G680" s="122" t="str">
        <f>IF($L680="","",INDEX('MTRs'!$R$6:$R$505,$L680))</f>
        <v/>
      </c>
      <c r="H680" s="130" t="str">
        <f>IF($L680="","",IF(INDEX('MTRs'!$AM$6:$AM$505,$L680)=0,"",N(E680)-N(F680)))</f>
        <v/>
      </c>
      <c r="I680" s="130" t="str">
        <f>IF($L680="","",IF(INDEX('MTRs'!$AM$6:$AM$505,$L680)=0,"",N(F680)-N(G680)))</f>
        <v/>
      </c>
      <c r="J680" s="120" t="str">
        <f>IF($L680="","",INDEX('MTRs'!$S$6:$S$505,$L680)&amp;"")</f>
        <v/>
      </c>
      <c r="L680" t="str">
        <f>IFERROR(MATCH(78,'MTRs'!$BB$6:$BB$505,0),"")</f>
        <v/>
      </c>
    </row>
    <row r="681">
      <c r="B681" s="119" t="str">
        <f>IF($L681="","",INDEX('MTRs'!$A$6:$A$505,$L681)&amp;"")</f>
        <v/>
      </c>
      <c r="C681" s="120" t="str">
        <f>IF($L681="","",INDEX('MTRs'!$B$6:$B$505,$L681)&amp;"")</f>
        <v/>
      </c>
      <c r="D681" s="121" t="str">
        <f>IF($L681="","",INDEX('MTRs'!$W$6:$W$505,$L681))</f>
        <v/>
      </c>
      <c r="E681" s="122" t="str">
        <f>IF($L681="","",INDEX('MTRs'!$P$6:$P$505,$L681))</f>
        <v/>
      </c>
      <c r="F681" s="122" t="str">
        <f>IF($L681="","",INDEX('MTRs'!$Q$6:$Q$505,$L681))</f>
        <v/>
      </c>
      <c r="G681" s="122" t="str">
        <f>IF($L681="","",INDEX('MTRs'!$R$6:$R$505,$L681))</f>
        <v/>
      </c>
      <c r="H681" s="130" t="str">
        <f>IF($L681="","",IF(INDEX('MTRs'!$AM$6:$AM$505,$L681)=0,"",N(E681)-N(F681)))</f>
        <v/>
      </c>
      <c r="I681" s="130" t="str">
        <f>IF($L681="","",IF(INDEX('MTRs'!$AM$6:$AM$505,$L681)=0,"",N(F681)-N(G681)))</f>
        <v/>
      </c>
      <c r="J681" s="120" t="str">
        <f>IF($L681="","",INDEX('MTRs'!$S$6:$S$505,$L681)&amp;"")</f>
        <v/>
      </c>
      <c r="L681" t="str">
        <f>IFERROR(MATCH(79,'MTRs'!$BB$6:$BB$505,0),"")</f>
        <v/>
      </c>
    </row>
    <row r="682">
      <c r="B682" s="119" t="str">
        <f>IF($L682="","",INDEX('MTRs'!$A$6:$A$505,$L682)&amp;"")</f>
        <v/>
      </c>
      <c r="C682" s="120" t="str">
        <f>IF($L682="","",INDEX('MTRs'!$B$6:$B$505,$L682)&amp;"")</f>
        <v/>
      </c>
      <c r="D682" s="121" t="str">
        <f>IF($L682="","",INDEX('MTRs'!$W$6:$W$505,$L682))</f>
        <v/>
      </c>
      <c r="E682" s="122" t="str">
        <f>IF($L682="","",INDEX('MTRs'!$P$6:$P$505,$L682))</f>
        <v/>
      </c>
      <c r="F682" s="122" t="str">
        <f>IF($L682="","",INDEX('MTRs'!$Q$6:$Q$505,$L682))</f>
        <v/>
      </c>
      <c r="G682" s="122" t="str">
        <f>IF($L682="","",INDEX('MTRs'!$R$6:$R$505,$L682))</f>
        <v/>
      </c>
      <c r="H682" s="130" t="str">
        <f>IF($L682="","",IF(INDEX('MTRs'!$AM$6:$AM$505,$L682)=0,"",N(E682)-N(F682)))</f>
        <v/>
      </c>
      <c r="I682" s="130" t="str">
        <f>IF($L682="","",IF(INDEX('MTRs'!$AM$6:$AM$505,$L682)=0,"",N(F682)-N(G682)))</f>
        <v/>
      </c>
      <c r="J682" s="120" t="str">
        <f>IF($L682="","",INDEX('MTRs'!$S$6:$S$505,$L682)&amp;"")</f>
        <v/>
      </c>
      <c r="L682" t="str">
        <f>IFERROR(MATCH(80,'MTRs'!$BB$6:$BB$505,0),"")</f>
        <v/>
      </c>
    </row>
    <row r="683">
      <c r="B683" s="119" t="str">
        <f>IF($L683="","",INDEX('MTRs'!$A$6:$A$505,$L683)&amp;"")</f>
        <v/>
      </c>
      <c r="C683" s="120" t="str">
        <f>IF($L683="","",INDEX('MTRs'!$B$6:$B$505,$L683)&amp;"")</f>
        <v/>
      </c>
      <c r="D683" s="121" t="str">
        <f>IF($L683="","",INDEX('MTRs'!$W$6:$W$505,$L683))</f>
        <v/>
      </c>
      <c r="E683" s="122" t="str">
        <f>IF($L683="","",INDEX('MTRs'!$P$6:$P$505,$L683))</f>
        <v/>
      </c>
      <c r="F683" s="122" t="str">
        <f>IF($L683="","",INDEX('MTRs'!$Q$6:$Q$505,$L683))</f>
        <v/>
      </c>
      <c r="G683" s="122" t="str">
        <f>IF($L683="","",INDEX('MTRs'!$R$6:$R$505,$L683))</f>
        <v/>
      </c>
      <c r="H683" s="130" t="str">
        <f>IF($L683="","",IF(INDEX('MTRs'!$AM$6:$AM$505,$L683)=0,"",N(E683)-N(F683)))</f>
        <v/>
      </c>
      <c r="I683" s="130" t="str">
        <f>IF($L683="","",IF(INDEX('MTRs'!$AM$6:$AM$505,$L683)=0,"",N(F683)-N(G683)))</f>
        <v/>
      </c>
      <c r="J683" s="120" t="str">
        <f>IF($L683="","",INDEX('MTRs'!$S$6:$S$505,$L683)&amp;"")</f>
        <v/>
      </c>
      <c r="L683" t="str">
        <f>IFERROR(MATCH(81,'MTRs'!$BB$6:$BB$505,0),"")</f>
        <v/>
      </c>
    </row>
    <row r="684">
      <c r="B684" s="119" t="str">
        <f>IF($L684="","",INDEX('MTRs'!$A$6:$A$505,$L684)&amp;"")</f>
        <v/>
      </c>
      <c r="C684" s="120" t="str">
        <f>IF($L684="","",INDEX('MTRs'!$B$6:$B$505,$L684)&amp;"")</f>
        <v/>
      </c>
      <c r="D684" s="121" t="str">
        <f>IF($L684="","",INDEX('MTRs'!$W$6:$W$505,$L684))</f>
        <v/>
      </c>
      <c r="E684" s="122" t="str">
        <f>IF($L684="","",INDEX('MTRs'!$P$6:$P$505,$L684))</f>
        <v/>
      </c>
      <c r="F684" s="122" t="str">
        <f>IF($L684="","",INDEX('MTRs'!$Q$6:$Q$505,$L684))</f>
        <v/>
      </c>
      <c r="G684" s="122" t="str">
        <f>IF($L684="","",INDEX('MTRs'!$R$6:$R$505,$L684))</f>
        <v/>
      </c>
      <c r="H684" s="130" t="str">
        <f>IF($L684="","",IF(INDEX('MTRs'!$AM$6:$AM$505,$L684)=0,"",N(E684)-N(F684)))</f>
        <v/>
      </c>
      <c r="I684" s="130" t="str">
        <f>IF($L684="","",IF(INDEX('MTRs'!$AM$6:$AM$505,$L684)=0,"",N(F684)-N(G684)))</f>
        <v/>
      </c>
      <c r="J684" s="120" t="str">
        <f>IF($L684="","",INDEX('MTRs'!$S$6:$S$505,$L684)&amp;"")</f>
        <v/>
      </c>
      <c r="L684" t="str">
        <f>IFERROR(MATCH(82,'MTRs'!$BB$6:$BB$505,0),"")</f>
        <v/>
      </c>
    </row>
    <row r="685">
      <c r="B685" s="119" t="str">
        <f>IF($L685="","",INDEX('MTRs'!$A$6:$A$505,$L685)&amp;"")</f>
        <v/>
      </c>
      <c r="C685" s="120" t="str">
        <f>IF($L685="","",INDEX('MTRs'!$B$6:$B$505,$L685)&amp;"")</f>
        <v/>
      </c>
      <c r="D685" s="121" t="str">
        <f>IF($L685="","",INDEX('MTRs'!$W$6:$W$505,$L685))</f>
        <v/>
      </c>
      <c r="E685" s="122" t="str">
        <f>IF($L685="","",INDEX('MTRs'!$P$6:$P$505,$L685))</f>
        <v/>
      </c>
      <c r="F685" s="122" t="str">
        <f>IF($L685="","",INDEX('MTRs'!$Q$6:$Q$505,$L685))</f>
        <v/>
      </c>
      <c r="G685" s="122" t="str">
        <f>IF($L685="","",INDEX('MTRs'!$R$6:$R$505,$L685))</f>
        <v/>
      </c>
      <c r="H685" s="130" t="str">
        <f>IF($L685="","",IF(INDEX('MTRs'!$AM$6:$AM$505,$L685)=0,"",N(E685)-N(F685)))</f>
        <v/>
      </c>
      <c r="I685" s="130" t="str">
        <f>IF($L685="","",IF(INDEX('MTRs'!$AM$6:$AM$505,$L685)=0,"",N(F685)-N(G685)))</f>
        <v/>
      </c>
      <c r="J685" s="120" t="str">
        <f>IF($L685="","",INDEX('MTRs'!$S$6:$S$505,$L685)&amp;"")</f>
        <v/>
      </c>
      <c r="L685" t="str">
        <f>IFERROR(MATCH(83,'MTRs'!$BB$6:$BB$505,0),"")</f>
        <v/>
      </c>
    </row>
    <row r="686">
      <c r="B686" s="119" t="str">
        <f>IF($L686="","",INDEX('MTRs'!$A$6:$A$505,$L686)&amp;"")</f>
        <v/>
      </c>
      <c r="C686" s="120" t="str">
        <f>IF($L686="","",INDEX('MTRs'!$B$6:$B$505,$L686)&amp;"")</f>
        <v/>
      </c>
      <c r="D686" s="121" t="str">
        <f>IF($L686="","",INDEX('MTRs'!$W$6:$W$505,$L686))</f>
        <v/>
      </c>
      <c r="E686" s="122" t="str">
        <f>IF($L686="","",INDEX('MTRs'!$P$6:$P$505,$L686))</f>
        <v/>
      </c>
      <c r="F686" s="122" t="str">
        <f>IF($L686="","",INDEX('MTRs'!$Q$6:$Q$505,$L686))</f>
        <v/>
      </c>
      <c r="G686" s="122" t="str">
        <f>IF($L686="","",INDEX('MTRs'!$R$6:$R$505,$L686))</f>
        <v/>
      </c>
      <c r="H686" s="130" t="str">
        <f>IF($L686="","",IF(INDEX('MTRs'!$AM$6:$AM$505,$L686)=0,"",N(E686)-N(F686)))</f>
        <v/>
      </c>
      <c r="I686" s="130" t="str">
        <f>IF($L686="","",IF(INDEX('MTRs'!$AM$6:$AM$505,$L686)=0,"",N(F686)-N(G686)))</f>
        <v/>
      </c>
      <c r="J686" s="120" t="str">
        <f>IF($L686="","",INDEX('MTRs'!$S$6:$S$505,$L686)&amp;"")</f>
        <v/>
      </c>
      <c r="L686" t="str">
        <f>IFERROR(MATCH(84,'MTRs'!$BB$6:$BB$505,0),"")</f>
        <v/>
      </c>
    </row>
    <row r="687">
      <c r="B687" s="119" t="str">
        <f>IF($L687="","",INDEX('MTRs'!$A$6:$A$505,$L687)&amp;"")</f>
        <v/>
      </c>
      <c r="C687" s="120" t="str">
        <f>IF($L687="","",INDEX('MTRs'!$B$6:$B$505,$L687)&amp;"")</f>
        <v/>
      </c>
      <c r="D687" s="121" t="str">
        <f>IF($L687="","",INDEX('MTRs'!$W$6:$W$505,$L687))</f>
        <v/>
      </c>
      <c r="E687" s="122" t="str">
        <f>IF($L687="","",INDEX('MTRs'!$P$6:$P$505,$L687))</f>
        <v/>
      </c>
      <c r="F687" s="122" t="str">
        <f>IF($L687="","",INDEX('MTRs'!$Q$6:$Q$505,$L687))</f>
        <v/>
      </c>
      <c r="G687" s="122" t="str">
        <f>IF($L687="","",INDEX('MTRs'!$R$6:$R$505,$L687))</f>
        <v/>
      </c>
      <c r="H687" s="130" t="str">
        <f>IF($L687="","",IF(INDEX('MTRs'!$AM$6:$AM$505,$L687)=0,"",N(E687)-N(F687)))</f>
        <v/>
      </c>
      <c r="I687" s="130" t="str">
        <f>IF($L687="","",IF(INDEX('MTRs'!$AM$6:$AM$505,$L687)=0,"",N(F687)-N(G687)))</f>
        <v/>
      </c>
      <c r="J687" s="120" t="str">
        <f>IF($L687="","",INDEX('MTRs'!$S$6:$S$505,$L687)&amp;"")</f>
        <v/>
      </c>
      <c r="L687" t="str">
        <f>IFERROR(MATCH(85,'MTRs'!$BB$6:$BB$505,0),"")</f>
        <v/>
      </c>
    </row>
    <row r="688">
      <c r="B688" s="119" t="str">
        <f>IF($L688="","",INDEX('MTRs'!$A$6:$A$505,$L688)&amp;"")</f>
        <v/>
      </c>
      <c r="C688" s="120" t="str">
        <f>IF($L688="","",INDEX('MTRs'!$B$6:$B$505,$L688)&amp;"")</f>
        <v/>
      </c>
      <c r="D688" s="121" t="str">
        <f>IF($L688="","",INDEX('MTRs'!$W$6:$W$505,$L688))</f>
        <v/>
      </c>
      <c r="E688" s="122" t="str">
        <f>IF($L688="","",INDEX('MTRs'!$P$6:$P$505,$L688))</f>
        <v/>
      </c>
      <c r="F688" s="122" t="str">
        <f>IF($L688="","",INDEX('MTRs'!$Q$6:$Q$505,$L688))</f>
        <v/>
      </c>
      <c r="G688" s="122" t="str">
        <f>IF($L688="","",INDEX('MTRs'!$R$6:$R$505,$L688))</f>
        <v/>
      </c>
      <c r="H688" s="130" t="str">
        <f>IF($L688="","",IF(INDEX('MTRs'!$AM$6:$AM$505,$L688)=0,"",N(E688)-N(F688)))</f>
        <v/>
      </c>
      <c r="I688" s="130" t="str">
        <f>IF($L688="","",IF(INDEX('MTRs'!$AM$6:$AM$505,$L688)=0,"",N(F688)-N(G688)))</f>
        <v/>
      </c>
      <c r="J688" s="120" t="str">
        <f>IF($L688="","",INDEX('MTRs'!$S$6:$S$505,$L688)&amp;"")</f>
        <v/>
      </c>
      <c r="L688" t="str">
        <f>IFERROR(MATCH(86,'MTRs'!$BB$6:$BB$505,0),"")</f>
        <v/>
      </c>
    </row>
    <row r="689">
      <c r="B689" s="119" t="str">
        <f>IF($L689="","",INDEX('MTRs'!$A$6:$A$505,$L689)&amp;"")</f>
        <v/>
      </c>
      <c r="C689" s="120" t="str">
        <f>IF($L689="","",INDEX('MTRs'!$B$6:$B$505,$L689)&amp;"")</f>
        <v/>
      </c>
      <c r="D689" s="121" t="str">
        <f>IF($L689="","",INDEX('MTRs'!$W$6:$W$505,$L689))</f>
        <v/>
      </c>
      <c r="E689" s="122" t="str">
        <f>IF($L689="","",INDEX('MTRs'!$P$6:$P$505,$L689))</f>
        <v/>
      </c>
      <c r="F689" s="122" t="str">
        <f>IF($L689="","",INDEX('MTRs'!$Q$6:$Q$505,$L689))</f>
        <v/>
      </c>
      <c r="G689" s="122" t="str">
        <f>IF($L689="","",INDEX('MTRs'!$R$6:$R$505,$L689))</f>
        <v/>
      </c>
      <c r="H689" s="130" t="str">
        <f>IF($L689="","",IF(INDEX('MTRs'!$AM$6:$AM$505,$L689)=0,"",N(E689)-N(F689)))</f>
        <v/>
      </c>
      <c r="I689" s="130" t="str">
        <f>IF($L689="","",IF(INDEX('MTRs'!$AM$6:$AM$505,$L689)=0,"",N(F689)-N(G689)))</f>
        <v/>
      </c>
      <c r="J689" s="120" t="str">
        <f>IF($L689="","",INDEX('MTRs'!$S$6:$S$505,$L689)&amp;"")</f>
        <v/>
      </c>
      <c r="L689" t="str">
        <f>IFERROR(MATCH(87,'MTRs'!$BB$6:$BB$505,0),"")</f>
        <v/>
      </c>
    </row>
    <row r="690">
      <c r="B690" s="119" t="str">
        <f>IF($L690="","",INDEX('MTRs'!$A$6:$A$505,$L690)&amp;"")</f>
        <v/>
      </c>
      <c r="C690" s="120" t="str">
        <f>IF($L690="","",INDEX('MTRs'!$B$6:$B$505,$L690)&amp;"")</f>
        <v/>
      </c>
      <c r="D690" s="121" t="str">
        <f>IF($L690="","",INDEX('MTRs'!$W$6:$W$505,$L690))</f>
        <v/>
      </c>
      <c r="E690" s="122" t="str">
        <f>IF($L690="","",INDEX('MTRs'!$P$6:$P$505,$L690))</f>
        <v/>
      </c>
      <c r="F690" s="122" t="str">
        <f>IF($L690="","",INDEX('MTRs'!$Q$6:$Q$505,$L690))</f>
        <v/>
      </c>
      <c r="G690" s="122" t="str">
        <f>IF($L690="","",INDEX('MTRs'!$R$6:$R$505,$L690))</f>
        <v/>
      </c>
      <c r="H690" s="130" t="str">
        <f>IF($L690="","",IF(INDEX('MTRs'!$AM$6:$AM$505,$L690)=0,"",N(E690)-N(F690)))</f>
        <v/>
      </c>
      <c r="I690" s="130" t="str">
        <f>IF($L690="","",IF(INDEX('MTRs'!$AM$6:$AM$505,$L690)=0,"",N(F690)-N(G690)))</f>
        <v/>
      </c>
      <c r="J690" s="120" t="str">
        <f>IF($L690="","",INDEX('MTRs'!$S$6:$S$505,$L690)&amp;"")</f>
        <v/>
      </c>
      <c r="L690" t="str">
        <f>IFERROR(MATCH(88,'MTRs'!$BB$6:$BB$505,0),"")</f>
        <v/>
      </c>
    </row>
    <row r="691">
      <c r="B691" s="119" t="str">
        <f>IF($L691="","",INDEX('MTRs'!$A$6:$A$505,$L691)&amp;"")</f>
        <v/>
      </c>
      <c r="C691" s="120" t="str">
        <f>IF($L691="","",INDEX('MTRs'!$B$6:$B$505,$L691)&amp;"")</f>
        <v/>
      </c>
      <c r="D691" s="121" t="str">
        <f>IF($L691="","",INDEX('MTRs'!$W$6:$W$505,$L691))</f>
        <v/>
      </c>
      <c r="E691" s="122" t="str">
        <f>IF($L691="","",INDEX('MTRs'!$P$6:$P$505,$L691))</f>
        <v/>
      </c>
      <c r="F691" s="122" t="str">
        <f>IF($L691="","",INDEX('MTRs'!$Q$6:$Q$505,$L691))</f>
        <v/>
      </c>
      <c r="G691" s="122" t="str">
        <f>IF($L691="","",INDEX('MTRs'!$R$6:$R$505,$L691))</f>
        <v/>
      </c>
      <c r="H691" s="130" t="str">
        <f>IF($L691="","",IF(INDEX('MTRs'!$AM$6:$AM$505,$L691)=0,"",N(E691)-N(F691)))</f>
        <v/>
      </c>
      <c r="I691" s="130" t="str">
        <f>IF($L691="","",IF(INDEX('MTRs'!$AM$6:$AM$505,$L691)=0,"",N(F691)-N(G691)))</f>
        <v/>
      </c>
      <c r="J691" s="120" t="str">
        <f>IF($L691="","",INDEX('MTRs'!$S$6:$S$505,$L691)&amp;"")</f>
        <v/>
      </c>
      <c r="L691" t="str">
        <f>IFERROR(MATCH(89,'MTRs'!$BB$6:$BB$505,0),"")</f>
        <v/>
      </c>
    </row>
    <row r="692">
      <c r="B692" s="119" t="str">
        <f>IF($L692="","",INDEX('MTRs'!$A$6:$A$505,$L692)&amp;"")</f>
        <v/>
      </c>
      <c r="C692" s="120" t="str">
        <f>IF($L692="","",INDEX('MTRs'!$B$6:$B$505,$L692)&amp;"")</f>
        <v/>
      </c>
      <c r="D692" s="121" t="str">
        <f>IF($L692="","",INDEX('MTRs'!$W$6:$W$505,$L692))</f>
        <v/>
      </c>
      <c r="E692" s="122" t="str">
        <f>IF($L692="","",INDEX('MTRs'!$P$6:$P$505,$L692))</f>
        <v/>
      </c>
      <c r="F692" s="122" t="str">
        <f>IF($L692="","",INDEX('MTRs'!$Q$6:$Q$505,$L692))</f>
        <v/>
      </c>
      <c r="G692" s="122" t="str">
        <f>IF($L692="","",INDEX('MTRs'!$R$6:$R$505,$L692))</f>
        <v/>
      </c>
      <c r="H692" s="130" t="str">
        <f>IF($L692="","",IF(INDEX('MTRs'!$AM$6:$AM$505,$L692)=0,"",N(E692)-N(F692)))</f>
        <v/>
      </c>
      <c r="I692" s="130" t="str">
        <f>IF($L692="","",IF(INDEX('MTRs'!$AM$6:$AM$505,$L692)=0,"",N(F692)-N(G692)))</f>
        <v/>
      </c>
      <c r="J692" s="120" t="str">
        <f>IF($L692="","",INDEX('MTRs'!$S$6:$S$505,$L692)&amp;"")</f>
        <v/>
      </c>
      <c r="L692" t="str">
        <f>IFERROR(MATCH(90,'MTRs'!$BB$6:$BB$505,0),"")</f>
        <v/>
      </c>
    </row>
    <row r="693">
      <c r="B693" s="119" t="str">
        <f>IF($L693="","",INDEX('MTRs'!$A$6:$A$505,$L693)&amp;"")</f>
        <v/>
      </c>
      <c r="C693" s="120" t="str">
        <f>IF($L693="","",INDEX('MTRs'!$B$6:$B$505,$L693)&amp;"")</f>
        <v/>
      </c>
      <c r="D693" s="121" t="str">
        <f>IF($L693="","",INDEX('MTRs'!$W$6:$W$505,$L693))</f>
        <v/>
      </c>
      <c r="E693" s="122" t="str">
        <f>IF($L693="","",INDEX('MTRs'!$P$6:$P$505,$L693))</f>
        <v/>
      </c>
      <c r="F693" s="122" t="str">
        <f>IF($L693="","",INDEX('MTRs'!$Q$6:$Q$505,$L693))</f>
        <v/>
      </c>
      <c r="G693" s="122" t="str">
        <f>IF($L693="","",INDEX('MTRs'!$R$6:$R$505,$L693))</f>
        <v/>
      </c>
      <c r="H693" s="130" t="str">
        <f>IF($L693="","",IF(INDEX('MTRs'!$AM$6:$AM$505,$L693)=0,"",N(E693)-N(F693)))</f>
        <v/>
      </c>
      <c r="I693" s="130" t="str">
        <f>IF($L693="","",IF(INDEX('MTRs'!$AM$6:$AM$505,$L693)=0,"",N(F693)-N(G693)))</f>
        <v/>
      </c>
      <c r="J693" s="120" t="str">
        <f>IF($L693="","",INDEX('MTRs'!$S$6:$S$505,$L693)&amp;"")</f>
        <v/>
      </c>
      <c r="L693" t="str">
        <f>IFERROR(MATCH(91,'MTRs'!$BB$6:$BB$505,0),"")</f>
        <v/>
      </c>
    </row>
    <row r="694">
      <c r="B694" s="119" t="str">
        <f>IF($L694="","",INDEX('MTRs'!$A$6:$A$505,$L694)&amp;"")</f>
        <v/>
      </c>
      <c r="C694" s="120" t="str">
        <f>IF($L694="","",INDEX('MTRs'!$B$6:$B$505,$L694)&amp;"")</f>
        <v/>
      </c>
      <c r="D694" s="121" t="str">
        <f>IF($L694="","",INDEX('MTRs'!$W$6:$W$505,$L694))</f>
        <v/>
      </c>
      <c r="E694" s="122" t="str">
        <f>IF($L694="","",INDEX('MTRs'!$P$6:$P$505,$L694))</f>
        <v/>
      </c>
      <c r="F694" s="122" t="str">
        <f>IF($L694="","",INDEX('MTRs'!$Q$6:$Q$505,$L694))</f>
        <v/>
      </c>
      <c r="G694" s="122" t="str">
        <f>IF($L694="","",INDEX('MTRs'!$R$6:$R$505,$L694))</f>
        <v/>
      </c>
      <c r="H694" s="130" t="str">
        <f>IF($L694="","",IF(INDEX('MTRs'!$AM$6:$AM$505,$L694)=0,"",N(E694)-N(F694)))</f>
        <v/>
      </c>
      <c r="I694" s="130" t="str">
        <f>IF($L694="","",IF(INDEX('MTRs'!$AM$6:$AM$505,$L694)=0,"",N(F694)-N(G694)))</f>
        <v/>
      </c>
      <c r="J694" s="120" t="str">
        <f>IF($L694="","",INDEX('MTRs'!$S$6:$S$505,$L694)&amp;"")</f>
        <v/>
      </c>
      <c r="L694" t="str">
        <f>IFERROR(MATCH(92,'MTRs'!$BB$6:$BB$505,0),"")</f>
        <v/>
      </c>
    </row>
    <row r="695">
      <c r="B695" s="119" t="str">
        <f>IF($L695="","",INDEX('MTRs'!$A$6:$A$505,$L695)&amp;"")</f>
        <v/>
      </c>
      <c r="C695" s="120" t="str">
        <f>IF($L695="","",INDEX('MTRs'!$B$6:$B$505,$L695)&amp;"")</f>
        <v/>
      </c>
      <c r="D695" s="121" t="str">
        <f>IF($L695="","",INDEX('MTRs'!$W$6:$W$505,$L695))</f>
        <v/>
      </c>
      <c r="E695" s="122" t="str">
        <f>IF($L695="","",INDEX('MTRs'!$P$6:$P$505,$L695))</f>
        <v/>
      </c>
      <c r="F695" s="122" t="str">
        <f>IF($L695="","",INDEX('MTRs'!$Q$6:$Q$505,$L695))</f>
        <v/>
      </c>
      <c r="G695" s="122" t="str">
        <f>IF($L695="","",INDEX('MTRs'!$R$6:$R$505,$L695))</f>
        <v/>
      </c>
      <c r="H695" s="130" t="str">
        <f>IF($L695="","",IF(INDEX('MTRs'!$AM$6:$AM$505,$L695)=0,"",N(E695)-N(F695)))</f>
        <v/>
      </c>
      <c r="I695" s="130" t="str">
        <f>IF($L695="","",IF(INDEX('MTRs'!$AM$6:$AM$505,$L695)=0,"",N(F695)-N(G695)))</f>
        <v/>
      </c>
      <c r="J695" s="120" t="str">
        <f>IF($L695="","",INDEX('MTRs'!$S$6:$S$505,$L695)&amp;"")</f>
        <v/>
      </c>
      <c r="L695" t="str">
        <f>IFERROR(MATCH(93,'MTRs'!$BB$6:$BB$505,0),"")</f>
        <v/>
      </c>
    </row>
    <row r="696">
      <c r="B696" s="119" t="str">
        <f>IF($L696="","",INDEX('MTRs'!$A$6:$A$505,$L696)&amp;"")</f>
        <v/>
      </c>
      <c r="C696" s="120" t="str">
        <f>IF($L696="","",INDEX('MTRs'!$B$6:$B$505,$L696)&amp;"")</f>
        <v/>
      </c>
      <c r="D696" s="121" t="str">
        <f>IF($L696="","",INDEX('MTRs'!$W$6:$W$505,$L696))</f>
        <v/>
      </c>
      <c r="E696" s="122" t="str">
        <f>IF($L696="","",INDEX('MTRs'!$P$6:$P$505,$L696))</f>
        <v/>
      </c>
      <c r="F696" s="122" t="str">
        <f>IF($L696="","",INDEX('MTRs'!$Q$6:$Q$505,$L696))</f>
        <v/>
      </c>
      <c r="G696" s="122" t="str">
        <f>IF($L696="","",INDEX('MTRs'!$R$6:$R$505,$L696))</f>
        <v/>
      </c>
      <c r="H696" s="130" t="str">
        <f>IF($L696="","",IF(INDEX('MTRs'!$AM$6:$AM$505,$L696)=0,"",N(E696)-N(F696)))</f>
        <v/>
      </c>
      <c r="I696" s="130" t="str">
        <f>IF($L696="","",IF(INDEX('MTRs'!$AM$6:$AM$505,$L696)=0,"",N(F696)-N(G696)))</f>
        <v/>
      </c>
      <c r="J696" s="120" t="str">
        <f>IF($L696="","",INDEX('MTRs'!$S$6:$S$505,$L696)&amp;"")</f>
        <v/>
      </c>
      <c r="L696" t="str">
        <f>IFERROR(MATCH(94,'MTRs'!$BB$6:$BB$505,0),"")</f>
        <v/>
      </c>
    </row>
    <row r="697">
      <c r="B697" s="119" t="str">
        <f>IF($L697="","",INDEX('MTRs'!$A$6:$A$505,$L697)&amp;"")</f>
        <v/>
      </c>
      <c r="C697" s="120" t="str">
        <f>IF($L697="","",INDEX('MTRs'!$B$6:$B$505,$L697)&amp;"")</f>
        <v/>
      </c>
      <c r="D697" s="121" t="str">
        <f>IF($L697="","",INDEX('MTRs'!$W$6:$W$505,$L697))</f>
        <v/>
      </c>
      <c r="E697" s="122" t="str">
        <f>IF($L697="","",INDEX('MTRs'!$P$6:$P$505,$L697))</f>
        <v/>
      </c>
      <c r="F697" s="122" t="str">
        <f>IF($L697="","",INDEX('MTRs'!$Q$6:$Q$505,$L697))</f>
        <v/>
      </c>
      <c r="G697" s="122" t="str">
        <f>IF($L697="","",INDEX('MTRs'!$R$6:$R$505,$L697))</f>
        <v/>
      </c>
      <c r="H697" s="130" t="str">
        <f>IF($L697="","",IF(INDEX('MTRs'!$AM$6:$AM$505,$L697)=0,"",N(E697)-N(F697)))</f>
        <v/>
      </c>
      <c r="I697" s="130" t="str">
        <f>IF($L697="","",IF(INDEX('MTRs'!$AM$6:$AM$505,$L697)=0,"",N(F697)-N(G697)))</f>
        <v/>
      </c>
      <c r="J697" s="120" t="str">
        <f>IF($L697="","",INDEX('MTRs'!$S$6:$S$505,$L697)&amp;"")</f>
        <v/>
      </c>
      <c r="L697" t="str">
        <f>IFERROR(MATCH(95,'MTRs'!$BB$6:$BB$505,0),"")</f>
        <v/>
      </c>
    </row>
    <row r="698">
      <c r="B698" s="119" t="str">
        <f>IF($L698="","",INDEX('MTRs'!$A$6:$A$505,$L698)&amp;"")</f>
        <v/>
      </c>
      <c r="C698" s="120" t="str">
        <f>IF($L698="","",INDEX('MTRs'!$B$6:$B$505,$L698)&amp;"")</f>
        <v/>
      </c>
      <c r="D698" s="121" t="str">
        <f>IF($L698="","",INDEX('MTRs'!$W$6:$W$505,$L698))</f>
        <v/>
      </c>
      <c r="E698" s="122" t="str">
        <f>IF($L698="","",INDEX('MTRs'!$P$6:$P$505,$L698))</f>
        <v/>
      </c>
      <c r="F698" s="122" t="str">
        <f>IF($L698="","",INDEX('MTRs'!$Q$6:$Q$505,$L698))</f>
        <v/>
      </c>
      <c r="G698" s="122" t="str">
        <f>IF($L698="","",INDEX('MTRs'!$R$6:$R$505,$L698))</f>
        <v/>
      </c>
      <c r="H698" s="130" t="str">
        <f>IF($L698="","",IF(INDEX('MTRs'!$AM$6:$AM$505,$L698)=0,"",N(E698)-N(F698)))</f>
        <v/>
      </c>
      <c r="I698" s="130" t="str">
        <f>IF($L698="","",IF(INDEX('MTRs'!$AM$6:$AM$505,$L698)=0,"",N(F698)-N(G698)))</f>
        <v/>
      </c>
      <c r="J698" s="120" t="str">
        <f>IF($L698="","",INDEX('MTRs'!$S$6:$S$505,$L698)&amp;"")</f>
        <v/>
      </c>
      <c r="L698" t="str">
        <f>IFERROR(MATCH(96,'MTRs'!$BB$6:$BB$505,0),"")</f>
        <v/>
      </c>
    </row>
    <row r="699">
      <c r="B699" s="119" t="str">
        <f>IF($L699="","",INDEX('MTRs'!$A$6:$A$505,$L699)&amp;"")</f>
        <v/>
      </c>
      <c r="C699" s="120" t="str">
        <f>IF($L699="","",INDEX('MTRs'!$B$6:$B$505,$L699)&amp;"")</f>
        <v/>
      </c>
      <c r="D699" s="121" t="str">
        <f>IF($L699="","",INDEX('MTRs'!$W$6:$W$505,$L699))</f>
        <v/>
      </c>
      <c r="E699" s="122" t="str">
        <f>IF($L699="","",INDEX('MTRs'!$P$6:$P$505,$L699))</f>
        <v/>
      </c>
      <c r="F699" s="122" t="str">
        <f>IF($L699="","",INDEX('MTRs'!$Q$6:$Q$505,$L699))</f>
        <v/>
      </c>
      <c r="G699" s="122" t="str">
        <f>IF($L699="","",INDEX('MTRs'!$R$6:$R$505,$L699))</f>
        <v/>
      </c>
      <c r="H699" s="130" t="str">
        <f>IF($L699="","",IF(INDEX('MTRs'!$AM$6:$AM$505,$L699)=0,"",N(E699)-N(F699)))</f>
        <v/>
      </c>
      <c r="I699" s="130" t="str">
        <f>IF($L699="","",IF(INDEX('MTRs'!$AM$6:$AM$505,$L699)=0,"",N(F699)-N(G699)))</f>
        <v/>
      </c>
      <c r="J699" s="120" t="str">
        <f>IF($L699="","",INDEX('MTRs'!$S$6:$S$505,$L699)&amp;"")</f>
        <v/>
      </c>
      <c r="L699" t="str">
        <f>IFERROR(MATCH(97,'MTRs'!$BB$6:$BB$505,0),"")</f>
        <v/>
      </c>
    </row>
    <row r="700">
      <c r="B700" s="119" t="str">
        <f>IF($L700="","",INDEX('MTRs'!$A$6:$A$505,$L700)&amp;"")</f>
        <v/>
      </c>
      <c r="C700" s="120" t="str">
        <f>IF($L700="","",INDEX('MTRs'!$B$6:$B$505,$L700)&amp;"")</f>
        <v/>
      </c>
      <c r="D700" s="121" t="str">
        <f>IF($L700="","",INDEX('MTRs'!$W$6:$W$505,$L700))</f>
        <v/>
      </c>
      <c r="E700" s="122" t="str">
        <f>IF($L700="","",INDEX('MTRs'!$P$6:$P$505,$L700))</f>
        <v/>
      </c>
      <c r="F700" s="122" t="str">
        <f>IF($L700="","",INDEX('MTRs'!$Q$6:$Q$505,$L700))</f>
        <v/>
      </c>
      <c r="G700" s="122" t="str">
        <f>IF($L700="","",INDEX('MTRs'!$R$6:$R$505,$L700))</f>
        <v/>
      </c>
      <c r="H700" s="130" t="str">
        <f>IF($L700="","",IF(INDEX('MTRs'!$AM$6:$AM$505,$L700)=0,"",N(E700)-N(F700)))</f>
        <v/>
      </c>
      <c r="I700" s="130" t="str">
        <f>IF($L700="","",IF(INDEX('MTRs'!$AM$6:$AM$505,$L700)=0,"",N(F700)-N(G700)))</f>
        <v/>
      </c>
      <c r="J700" s="120" t="str">
        <f>IF($L700="","",INDEX('MTRs'!$S$6:$S$505,$L700)&amp;"")</f>
        <v/>
      </c>
      <c r="L700" t="str">
        <f>IFERROR(MATCH(98,'MTRs'!$BB$6:$BB$505,0),"")</f>
        <v/>
      </c>
    </row>
    <row r="701">
      <c r="B701" s="119" t="str">
        <f>IF($L701="","",INDEX('MTRs'!$A$6:$A$505,$L701)&amp;"")</f>
        <v/>
      </c>
      <c r="C701" s="120" t="str">
        <f>IF($L701="","",INDEX('MTRs'!$B$6:$B$505,$L701)&amp;"")</f>
        <v/>
      </c>
      <c r="D701" s="121" t="str">
        <f>IF($L701="","",INDEX('MTRs'!$W$6:$W$505,$L701))</f>
        <v/>
      </c>
      <c r="E701" s="122" t="str">
        <f>IF($L701="","",INDEX('MTRs'!$P$6:$P$505,$L701))</f>
        <v/>
      </c>
      <c r="F701" s="122" t="str">
        <f>IF($L701="","",INDEX('MTRs'!$Q$6:$Q$505,$L701))</f>
        <v/>
      </c>
      <c r="G701" s="122" t="str">
        <f>IF($L701="","",INDEX('MTRs'!$R$6:$R$505,$L701))</f>
        <v/>
      </c>
      <c r="H701" s="130" t="str">
        <f>IF($L701="","",IF(INDEX('MTRs'!$AM$6:$AM$505,$L701)=0,"",N(E701)-N(F701)))</f>
        <v/>
      </c>
      <c r="I701" s="130" t="str">
        <f>IF($L701="","",IF(INDEX('MTRs'!$AM$6:$AM$505,$L701)=0,"",N(F701)-N(G701)))</f>
        <v/>
      </c>
      <c r="J701" s="120" t="str">
        <f>IF($L701="","",INDEX('MTRs'!$S$6:$S$505,$L701)&amp;"")</f>
        <v/>
      </c>
      <c r="L701" t="str">
        <f>IFERROR(MATCH(99,'MTRs'!$BB$6:$BB$505,0),"")</f>
        <v/>
      </c>
    </row>
    <row r="702">
      <c r="B702" s="119" t="str">
        <f>IF($L702="","",INDEX('MTRs'!$A$6:$A$505,$L702)&amp;"")</f>
        <v/>
      </c>
      <c r="C702" s="120" t="str">
        <f>IF($L702="","",INDEX('MTRs'!$B$6:$B$505,$L702)&amp;"")</f>
        <v/>
      </c>
      <c r="D702" s="121" t="str">
        <f>IF($L702="","",INDEX('MTRs'!$W$6:$W$505,$L702))</f>
        <v/>
      </c>
      <c r="E702" s="122" t="str">
        <f>IF($L702="","",INDEX('MTRs'!$P$6:$P$505,$L702))</f>
        <v/>
      </c>
      <c r="F702" s="122" t="str">
        <f>IF($L702="","",INDEX('MTRs'!$Q$6:$Q$505,$L702))</f>
        <v/>
      </c>
      <c r="G702" s="122" t="str">
        <f>IF($L702="","",INDEX('MTRs'!$R$6:$R$505,$L702))</f>
        <v/>
      </c>
      <c r="H702" s="130" t="str">
        <f>IF($L702="","",IF(INDEX('MTRs'!$AM$6:$AM$505,$L702)=0,"",N(E702)-N(F702)))</f>
        <v/>
      </c>
      <c r="I702" s="130" t="str">
        <f>IF($L702="","",IF(INDEX('MTRs'!$AM$6:$AM$505,$L702)=0,"",N(F702)-N(G702)))</f>
        <v/>
      </c>
      <c r="J702" s="120" t="str">
        <f>IF($L702="","",INDEX('MTRs'!$S$6:$S$505,$L702)&amp;"")</f>
        <v/>
      </c>
      <c r="L702" t="str">
        <f>IFERROR(MATCH(100,'MTRs'!$BB$6:$BB$505,0),"")</f>
        <v/>
      </c>
    </row>
    <row r="703">
      <c r="B703" s="119" t="str">
        <f>IF($L703="","",INDEX('MTRs'!$A$6:$A$505,$L703)&amp;"")</f>
        <v/>
      </c>
      <c r="C703" s="120" t="str">
        <f>IF($L703="","",INDEX('MTRs'!$B$6:$B$505,$L703)&amp;"")</f>
        <v/>
      </c>
      <c r="D703" s="121" t="str">
        <f>IF($L703="","",INDEX('MTRs'!$W$6:$W$505,$L703))</f>
        <v/>
      </c>
      <c r="E703" s="122" t="str">
        <f>IF($L703="","",INDEX('MTRs'!$P$6:$P$505,$L703))</f>
        <v/>
      </c>
      <c r="F703" s="122" t="str">
        <f>IF($L703="","",INDEX('MTRs'!$Q$6:$Q$505,$L703))</f>
        <v/>
      </c>
      <c r="G703" s="122" t="str">
        <f>IF($L703="","",INDEX('MTRs'!$R$6:$R$505,$L703))</f>
        <v/>
      </c>
      <c r="H703" s="130" t="str">
        <f>IF($L703="","",IF(INDEX('MTRs'!$AM$6:$AM$505,$L703)=0,"",N(E703)-N(F703)))</f>
        <v/>
      </c>
      <c r="I703" s="130" t="str">
        <f>IF($L703="","",IF(INDEX('MTRs'!$AM$6:$AM$505,$L703)=0,"",N(F703)-N(G703)))</f>
        <v/>
      </c>
      <c r="J703" s="120" t="str">
        <f>IF($L703="","",INDEX('MTRs'!$S$6:$S$505,$L703)&amp;"")</f>
        <v/>
      </c>
      <c r="L703" t="str">
        <f>IFERROR(MATCH(101,'MTRs'!$BB$6:$BB$505,0),"")</f>
        <v/>
      </c>
    </row>
    <row r="704">
      <c r="B704" s="119" t="str">
        <f>IF($L704="","",INDEX('MTRs'!$A$6:$A$505,$L704)&amp;"")</f>
        <v/>
      </c>
      <c r="C704" s="120" t="str">
        <f>IF($L704="","",INDEX('MTRs'!$B$6:$B$505,$L704)&amp;"")</f>
        <v/>
      </c>
      <c r="D704" s="121" t="str">
        <f>IF($L704="","",INDEX('MTRs'!$W$6:$W$505,$L704))</f>
        <v/>
      </c>
      <c r="E704" s="122" t="str">
        <f>IF($L704="","",INDEX('MTRs'!$P$6:$P$505,$L704))</f>
        <v/>
      </c>
      <c r="F704" s="122" t="str">
        <f>IF($L704="","",INDEX('MTRs'!$Q$6:$Q$505,$L704))</f>
        <v/>
      </c>
      <c r="G704" s="122" t="str">
        <f>IF($L704="","",INDEX('MTRs'!$R$6:$R$505,$L704))</f>
        <v/>
      </c>
      <c r="H704" s="130" t="str">
        <f>IF($L704="","",IF(INDEX('MTRs'!$AM$6:$AM$505,$L704)=0,"",N(E704)-N(F704)))</f>
        <v/>
      </c>
      <c r="I704" s="130" t="str">
        <f>IF($L704="","",IF(INDEX('MTRs'!$AM$6:$AM$505,$L704)=0,"",N(F704)-N(G704)))</f>
        <v/>
      </c>
      <c r="J704" s="120" t="str">
        <f>IF($L704="","",INDEX('MTRs'!$S$6:$S$505,$L704)&amp;"")</f>
        <v/>
      </c>
      <c r="L704" t="str">
        <f>IFERROR(MATCH(102,'MTRs'!$BB$6:$BB$505,0),"")</f>
        <v/>
      </c>
    </row>
    <row r="705">
      <c r="B705" s="119" t="str">
        <f>IF($L705="","",INDEX('MTRs'!$A$6:$A$505,$L705)&amp;"")</f>
        <v/>
      </c>
      <c r="C705" s="120" t="str">
        <f>IF($L705="","",INDEX('MTRs'!$B$6:$B$505,$L705)&amp;"")</f>
        <v/>
      </c>
      <c r="D705" s="121" t="str">
        <f>IF($L705="","",INDEX('MTRs'!$W$6:$W$505,$L705))</f>
        <v/>
      </c>
      <c r="E705" s="122" t="str">
        <f>IF($L705="","",INDEX('MTRs'!$P$6:$P$505,$L705))</f>
        <v/>
      </c>
      <c r="F705" s="122" t="str">
        <f>IF($L705="","",INDEX('MTRs'!$Q$6:$Q$505,$L705))</f>
        <v/>
      </c>
      <c r="G705" s="122" t="str">
        <f>IF($L705="","",INDEX('MTRs'!$R$6:$R$505,$L705))</f>
        <v/>
      </c>
      <c r="H705" s="130" t="str">
        <f>IF($L705="","",IF(INDEX('MTRs'!$AM$6:$AM$505,$L705)=0,"",N(E705)-N(F705)))</f>
        <v/>
      </c>
      <c r="I705" s="130" t="str">
        <f>IF($L705="","",IF(INDEX('MTRs'!$AM$6:$AM$505,$L705)=0,"",N(F705)-N(G705)))</f>
        <v/>
      </c>
      <c r="J705" s="120" t="str">
        <f>IF($L705="","",INDEX('MTRs'!$S$6:$S$505,$L705)&amp;"")</f>
        <v/>
      </c>
      <c r="L705" t="str">
        <f>IFERROR(MATCH(103,'MTRs'!$BB$6:$BB$505,0),"")</f>
        <v/>
      </c>
    </row>
    <row r="706">
      <c r="B706" s="119" t="str">
        <f>IF($L706="","",INDEX('MTRs'!$A$6:$A$505,$L706)&amp;"")</f>
        <v/>
      </c>
      <c r="C706" s="120" t="str">
        <f>IF($L706="","",INDEX('MTRs'!$B$6:$B$505,$L706)&amp;"")</f>
        <v/>
      </c>
      <c r="D706" s="121" t="str">
        <f>IF($L706="","",INDEX('MTRs'!$W$6:$W$505,$L706))</f>
        <v/>
      </c>
      <c r="E706" s="122" t="str">
        <f>IF($L706="","",INDEX('MTRs'!$P$6:$P$505,$L706))</f>
        <v/>
      </c>
      <c r="F706" s="122" t="str">
        <f>IF($L706="","",INDEX('MTRs'!$Q$6:$Q$505,$L706))</f>
        <v/>
      </c>
      <c r="G706" s="122" t="str">
        <f>IF($L706="","",INDEX('MTRs'!$R$6:$R$505,$L706))</f>
        <v/>
      </c>
      <c r="H706" s="130" t="str">
        <f>IF($L706="","",IF(INDEX('MTRs'!$AM$6:$AM$505,$L706)=0,"",N(E706)-N(F706)))</f>
        <v/>
      </c>
      <c r="I706" s="130" t="str">
        <f>IF($L706="","",IF(INDEX('MTRs'!$AM$6:$AM$505,$L706)=0,"",N(F706)-N(G706)))</f>
        <v/>
      </c>
      <c r="J706" s="120" t="str">
        <f>IF($L706="","",INDEX('MTRs'!$S$6:$S$505,$L706)&amp;"")</f>
        <v/>
      </c>
      <c r="L706" t="str">
        <f>IFERROR(MATCH(104,'MTRs'!$BB$6:$BB$505,0),"")</f>
        <v/>
      </c>
    </row>
    <row r="707">
      <c r="B707" s="119" t="str">
        <f>IF($L707="","",INDEX('MTRs'!$A$6:$A$505,$L707)&amp;"")</f>
        <v/>
      </c>
      <c r="C707" s="120" t="str">
        <f>IF($L707="","",INDEX('MTRs'!$B$6:$B$505,$L707)&amp;"")</f>
        <v/>
      </c>
      <c r="D707" s="121" t="str">
        <f>IF($L707="","",INDEX('MTRs'!$W$6:$W$505,$L707))</f>
        <v/>
      </c>
      <c r="E707" s="122" t="str">
        <f>IF($L707="","",INDEX('MTRs'!$P$6:$P$505,$L707))</f>
        <v/>
      </c>
      <c r="F707" s="122" t="str">
        <f>IF($L707="","",INDEX('MTRs'!$Q$6:$Q$505,$L707))</f>
        <v/>
      </c>
      <c r="G707" s="122" t="str">
        <f>IF($L707="","",INDEX('MTRs'!$R$6:$R$505,$L707))</f>
        <v/>
      </c>
      <c r="H707" s="130" t="str">
        <f>IF($L707="","",IF(INDEX('MTRs'!$AM$6:$AM$505,$L707)=0,"",N(E707)-N(F707)))</f>
        <v/>
      </c>
      <c r="I707" s="130" t="str">
        <f>IF($L707="","",IF(INDEX('MTRs'!$AM$6:$AM$505,$L707)=0,"",N(F707)-N(G707)))</f>
        <v/>
      </c>
      <c r="J707" s="120" t="str">
        <f>IF($L707="","",INDEX('MTRs'!$S$6:$S$505,$L707)&amp;"")</f>
        <v/>
      </c>
      <c r="L707" t="str">
        <f>IFERROR(MATCH(105,'MTRs'!$BB$6:$BB$505,0),"")</f>
        <v/>
      </c>
    </row>
    <row r="708">
      <c r="B708" s="119" t="str">
        <f>IF($L708="","",INDEX('MTRs'!$A$6:$A$505,$L708)&amp;"")</f>
        <v/>
      </c>
      <c r="C708" s="120" t="str">
        <f>IF($L708="","",INDEX('MTRs'!$B$6:$B$505,$L708)&amp;"")</f>
        <v/>
      </c>
      <c r="D708" s="121" t="str">
        <f>IF($L708="","",INDEX('MTRs'!$W$6:$W$505,$L708))</f>
        <v/>
      </c>
      <c r="E708" s="122" t="str">
        <f>IF($L708="","",INDEX('MTRs'!$P$6:$P$505,$L708))</f>
        <v/>
      </c>
      <c r="F708" s="122" t="str">
        <f>IF($L708="","",INDEX('MTRs'!$Q$6:$Q$505,$L708))</f>
        <v/>
      </c>
      <c r="G708" s="122" t="str">
        <f>IF($L708="","",INDEX('MTRs'!$R$6:$R$505,$L708))</f>
        <v/>
      </c>
      <c r="H708" s="130" t="str">
        <f>IF($L708="","",IF(INDEX('MTRs'!$AM$6:$AM$505,$L708)=0,"",N(E708)-N(F708)))</f>
        <v/>
      </c>
      <c r="I708" s="130" t="str">
        <f>IF($L708="","",IF(INDEX('MTRs'!$AM$6:$AM$505,$L708)=0,"",N(F708)-N(G708)))</f>
        <v/>
      </c>
      <c r="J708" s="120" t="str">
        <f>IF($L708="","",INDEX('MTRs'!$S$6:$S$505,$L708)&amp;"")</f>
        <v/>
      </c>
      <c r="L708" t="str">
        <f>IFERROR(MATCH(106,'MTRs'!$BB$6:$BB$505,0),"")</f>
        <v/>
      </c>
    </row>
    <row r="709">
      <c r="B709" s="119" t="str">
        <f>IF($L709="","",INDEX('MTRs'!$A$6:$A$505,$L709)&amp;"")</f>
        <v/>
      </c>
      <c r="C709" s="120" t="str">
        <f>IF($L709="","",INDEX('MTRs'!$B$6:$B$505,$L709)&amp;"")</f>
        <v/>
      </c>
      <c r="D709" s="121" t="str">
        <f>IF($L709="","",INDEX('MTRs'!$W$6:$W$505,$L709))</f>
        <v/>
      </c>
      <c r="E709" s="122" t="str">
        <f>IF($L709="","",INDEX('MTRs'!$P$6:$P$505,$L709))</f>
        <v/>
      </c>
      <c r="F709" s="122" t="str">
        <f>IF($L709="","",INDEX('MTRs'!$Q$6:$Q$505,$L709))</f>
        <v/>
      </c>
      <c r="G709" s="122" t="str">
        <f>IF($L709="","",INDEX('MTRs'!$R$6:$R$505,$L709))</f>
        <v/>
      </c>
      <c r="H709" s="130" t="str">
        <f>IF($L709="","",IF(INDEX('MTRs'!$AM$6:$AM$505,$L709)=0,"",N(E709)-N(F709)))</f>
        <v/>
      </c>
      <c r="I709" s="130" t="str">
        <f>IF($L709="","",IF(INDEX('MTRs'!$AM$6:$AM$505,$L709)=0,"",N(F709)-N(G709)))</f>
        <v/>
      </c>
      <c r="J709" s="120" t="str">
        <f>IF($L709="","",INDEX('MTRs'!$S$6:$S$505,$L709)&amp;"")</f>
        <v/>
      </c>
      <c r="L709" t="str">
        <f>IFERROR(MATCH(107,'MTRs'!$BB$6:$BB$505,0),"")</f>
        <v/>
      </c>
    </row>
    <row r="710">
      <c r="B710" s="119" t="str">
        <f>IF($L710="","",INDEX('MTRs'!$A$6:$A$505,$L710)&amp;"")</f>
        <v/>
      </c>
      <c r="C710" s="120" t="str">
        <f>IF($L710="","",INDEX('MTRs'!$B$6:$B$505,$L710)&amp;"")</f>
        <v/>
      </c>
      <c r="D710" s="121" t="str">
        <f>IF($L710="","",INDEX('MTRs'!$W$6:$W$505,$L710))</f>
        <v/>
      </c>
      <c r="E710" s="122" t="str">
        <f>IF($L710="","",INDEX('MTRs'!$P$6:$P$505,$L710))</f>
        <v/>
      </c>
      <c r="F710" s="122" t="str">
        <f>IF($L710="","",INDEX('MTRs'!$Q$6:$Q$505,$L710))</f>
        <v/>
      </c>
      <c r="G710" s="122" t="str">
        <f>IF($L710="","",INDEX('MTRs'!$R$6:$R$505,$L710))</f>
        <v/>
      </c>
      <c r="H710" s="130" t="str">
        <f>IF($L710="","",IF(INDEX('MTRs'!$AM$6:$AM$505,$L710)=0,"",N(E710)-N(F710)))</f>
        <v/>
      </c>
      <c r="I710" s="130" t="str">
        <f>IF($L710="","",IF(INDEX('MTRs'!$AM$6:$AM$505,$L710)=0,"",N(F710)-N(G710)))</f>
        <v/>
      </c>
      <c r="J710" s="120" t="str">
        <f>IF($L710="","",INDEX('MTRs'!$S$6:$S$505,$L710)&amp;"")</f>
        <v/>
      </c>
      <c r="L710" t="str">
        <f>IFERROR(MATCH(108,'MTRs'!$BB$6:$BB$505,0),"")</f>
        <v/>
      </c>
    </row>
    <row r="711">
      <c r="B711" s="119" t="str">
        <f>IF($L711="","",INDEX('MTRs'!$A$6:$A$505,$L711)&amp;"")</f>
        <v/>
      </c>
      <c r="C711" s="120" t="str">
        <f>IF($L711="","",INDEX('MTRs'!$B$6:$B$505,$L711)&amp;"")</f>
        <v/>
      </c>
      <c r="D711" s="121" t="str">
        <f>IF($L711="","",INDEX('MTRs'!$W$6:$W$505,$L711))</f>
        <v/>
      </c>
      <c r="E711" s="122" t="str">
        <f>IF($L711="","",INDEX('MTRs'!$P$6:$P$505,$L711))</f>
        <v/>
      </c>
      <c r="F711" s="122" t="str">
        <f>IF($L711="","",INDEX('MTRs'!$Q$6:$Q$505,$L711))</f>
        <v/>
      </c>
      <c r="G711" s="122" t="str">
        <f>IF($L711="","",INDEX('MTRs'!$R$6:$R$505,$L711))</f>
        <v/>
      </c>
      <c r="H711" s="130" t="str">
        <f>IF($L711="","",IF(INDEX('MTRs'!$AM$6:$AM$505,$L711)=0,"",N(E711)-N(F711)))</f>
        <v/>
      </c>
      <c r="I711" s="130" t="str">
        <f>IF($L711="","",IF(INDEX('MTRs'!$AM$6:$AM$505,$L711)=0,"",N(F711)-N(G711)))</f>
        <v/>
      </c>
      <c r="J711" s="120" t="str">
        <f>IF($L711="","",INDEX('MTRs'!$S$6:$S$505,$L711)&amp;"")</f>
        <v/>
      </c>
      <c r="L711" t="str">
        <f>IFERROR(MATCH(109,'MTRs'!$BB$6:$BB$505,0),"")</f>
        <v/>
      </c>
    </row>
    <row r="712">
      <c r="B712" s="119" t="str">
        <f>IF($L712="","",INDEX('MTRs'!$A$6:$A$505,$L712)&amp;"")</f>
        <v/>
      </c>
      <c r="C712" s="120" t="str">
        <f>IF($L712="","",INDEX('MTRs'!$B$6:$B$505,$L712)&amp;"")</f>
        <v/>
      </c>
      <c r="D712" s="121" t="str">
        <f>IF($L712="","",INDEX('MTRs'!$W$6:$W$505,$L712))</f>
        <v/>
      </c>
      <c r="E712" s="122" t="str">
        <f>IF($L712="","",INDEX('MTRs'!$P$6:$P$505,$L712))</f>
        <v/>
      </c>
      <c r="F712" s="122" t="str">
        <f>IF($L712="","",INDEX('MTRs'!$Q$6:$Q$505,$L712))</f>
        <v/>
      </c>
      <c r="G712" s="122" t="str">
        <f>IF($L712="","",INDEX('MTRs'!$R$6:$R$505,$L712))</f>
        <v/>
      </c>
      <c r="H712" s="130" t="str">
        <f>IF($L712="","",IF(INDEX('MTRs'!$AM$6:$AM$505,$L712)=0,"",N(E712)-N(F712)))</f>
        <v/>
      </c>
      <c r="I712" s="130" t="str">
        <f>IF($L712="","",IF(INDEX('MTRs'!$AM$6:$AM$505,$L712)=0,"",N(F712)-N(G712)))</f>
        <v/>
      </c>
      <c r="J712" s="120" t="str">
        <f>IF($L712="","",INDEX('MTRs'!$S$6:$S$505,$L712)&amp;"")</f>
        <v/>
      </c>
      <c r="L712" t="str">
        <f>IFERROR(MATCH(110,'MTRs'!$BB$6:$BB$505,0),"")</f>
        <v/>
      </c>
    </row>
    <row r="713">
      <c r="B713" s="119" t="str">
        <f>IF($L713="","",INDEX('MTRs'!$A$6:$A$505,$L713)&amp;"")</f>
        <v/>
      </c>
      <c r="C713" s="120" t="str">
        <f>IF($L713="","",INDEX('MTRs'!$B$6:$B$505,$L713)&amp;"")</f>
        <v/>
      </c>
      <c r="D713" s="121" t="str">
        <f>IF($L713="","",INDEX('MTRs'!$W$6:$W$505,$L713))</f>
        <v/>
      </c>
      <c r="E713" s="122" t="str">
        <f>IF($L713="","",INDEX('MTRs'!$P$6:$P$505,$L713))</f>
        <v/>
      </c>
      <c r="F713" s="122" t="str">
        <f>IF($L713="","",INDEX('MTRs'!$Q$6:$Q$505,$L713))</f>
        <v/>
      </c>
      <c r="G713" s="122" t="str">
        <f>IF($L713="","",INDEX('MTRs'!$R$6:$R$505,$L713))</f>
        <v/>
      </c>
      <c r="H713" s="130" t="str">
        <f>IF($L713="","",IF(INDEX('MTRs'!$AM$6:$AM$505,$L713)=0,"",N(E713)-N(F713)))</f>
        <v/>
      </c>
      <c r="I713" s="130" t="str">
        <f>IF($L713="","",IF(INDEX('MTRs'!$AM$6:$AM$505,$L713)=0,"",N(F713)-N(G713)))</f>
        <v/>
      </c>
      <c r="J713" s="120" t="str">
        <f>IF($L713="","",INDEX('MTRs'!$S$6:$S$505,$L713)&amp;"")</f>
        <v/>
      </c>
      <c r="L713" t="str">
        <f>IFERROR(MATCH(111,'MTRs'!$BB$6:$BB$505,0),"")</f>
        <v/>
      </c>
    </row>
    <row r="714">
      <c r="B714" s="119" t="str">
        <f>IF($L714="","",INDEX('MTRs'!$A$6:$A$505,$L714)&amp;"")</f>
        <v/>
      </c>
      <c r="C714" s="120" t="str">
        <f>IF($L714="","",INDEX('MTRs'!$B$6:$B$505,$L714)&amp;"")</f>
        <v/>
      </c>
      <c r="D714" s="121" t="str">
        <f>IF($L714="","",INDEX('MTRs'!$W$6:$W$505,$L714))</f>
        <v/>
      </c>
      <c r="E714" s="122" t="str">
        <f>IF($L714="","",INDEX('MTRs'!$P$6:$P$505,$L714))</f>
        <v/>
      </c>
      <c r="F714" s="122" t="str">
        <f>IF($L714="","",INDEX('MTRs'!$Q$6:$Q$505,$L714))</f>
        <v/>
      </c>
      <c r="G714" s="122" t="str">
        <f>IF($L714="","",INDEX('MTRs'!$R$6:$R$505,$L714))</f>
        <v/>
      </c>
      <c r="H714" s="130" t="str">
        <f>IF($L714="","",IF(INDEX('MTRs'!$AM$6:$AM$505,$L714)=0,"",N(E714)-N(F714)))</f>
        <v/>
      </c>
      <c r="I714" s="130" t="str">
        <f>IF($L714="","",IF(INDEX('MTRs'!$AM$6:$AM$505,$L714)=0,"",N(F714)-N(G714)))</f>
        <v/>
      </c>
      <c r="J714" s="120" t="str">
        <f>IF($L714="","",INDEX('MTRs'!$S$6:$S$505,$L714)&amp;"")</f>
        <v/>
      </c>
      <c r="L714" t="str">
        <f>IFERROR(MATCH(112,'MTRs'!$BB$6:$BB$505,0),"")</f>
        <v/>
      </c>
    </row>
    <row r="715">
      <c r="B715" s="119" t="str">
        <f>IF($L715="","",INDEX('MTRs'!$A$6:$A$505,$L715)&amp;"")</f>
        <v/>
      </c>
      <c r="C715" s="120" t="str">
        <f>IF($L715="","",INDEX('MTRs'!$B$6:$B$505,$L715)&amp;"")</f>
        <v/>
      </c>
      <c r="D715" s="121" t="str">
        <f>IF($L715="","",INDEX('MTRs'!$W$6:$W$505,$L715))</f>
        <v/>
      </c>
      <c r="E715" s="122" t="str">
        <f>IF($L715="","",INDEX('MTRs'!$P$6:$P$505,$L715))</f>
        <v/>
      </c>
      <c r="F715" s="122" t="str">
        <f>IF($L715="","",INDEX('MTRs'!$Q$6:$Q$505,$L715))</f>
        <v/>
      </c>
      <c r="G715" s="122" t="str">
        <f>IF($L715="","",INDEX('MTRs'!$R$6:$R$505,$L715))</f>
        <v/>
      </c>
      <c r="H715" s="130" t="str">
        <f>IF($L715="","",IF(INDEX('MTRs'!$AM$6:$AM$505,$L715)=0,"",N(E715)-N(F715)))</f>
        <v/>
      </c>
      <c r="I715" s="130" t="str">
        <f>IF($L715="","",IF(INDEX('MTRs'!$AM$6:$AM$505,$L715)=0,"",N(F715)-N(G715)))</f>
        <v/>
      </c>
      <c r="J715" s="120" t="str">
        <f>IF($L715="","",INDEX('MTRs'!$S$6:$S$505,$L715)&amp;"")</f>
        <v/>
      </c>
      <c r="L715" t="str">
        <f>IFERROR(MATCH(113,'MTRs'!$BB$6:$BB$505,0),"")</f>
        <v/>
      </c>
    </row>
    <row r="716">
      <c r="B716" s="119" t="str">
        <f>IF($L716="","",INDEX('MTRs'!$A$6:$A$505,$L716)&amp;"")</f>
        <v/>
      </c>
      <c r="C716" s="120" t="str">
        <f>IF($L716="","",INDEX('MTRs'!$B$6:$B$505,$L716)&amp;"")</f>
        <v/>
      </c>
      <c r="D716" s="121" t="str">
        <f>IF($L716="","",INDEX('MTRs'!$W$6:$W$505,$L716))</f>
        <v/>
      </c>
      <c r="E716" s="122" t="str">
        <f>IF($L716="","",INDEX('MTRs'!$P$6:$P$505,$L716))</f>
        <v/>
      </c>
      <c r="F716" s="122" t="str">
        <f>IF($L716="","",INDEX('MTRs'!$Q$6:$Q$505,$L716))</f>
        <v/>
      </c>
      <c r="G716" s="122" t="str">
        <f>IF($L716="","",INDEX('MTRs'!$R$6:$R$505,$L716))</f>
        <v/>
      </c>
      <c r="H716" s="130" t="str">
        <f>IF($L716="","",IF(INDEX('MTRs'!$AM$6:$AM$505,$L716)=0,"",N(E716)-N(F716)))</f>
        <v/>
      </c>
      <c r="I716" s="130" t="str">
        <f>IF($L716="","",IF(INDEX('MTRs'!$AM$6:$AM$505,$L716)=0,"",N(F716)-N(G716)))</f>
        <v/>
      </c>
      <c r="J716" s="120" t="str">
        <f>IF($L716="","",INDEX('MTRs'!$S$6:$S$505,$L716)&amp;"")</f>
        <v/>
      </c>
      <c r="L716" t="str">
        <f>IFERROR(MATCH(114,'MTRs'!$BB$6:$BB$505,0),"")</f>
        <v/>
      </c>
    </row>
    <row r="717">
      <c r="B717" s="119" t="str">
        <f>IF($L717="","",INDEX('MTRs'!$A$6:$A$505,$L717)&amp;"")</f>
        <v/>
      </c>
      <c r="C717" s="120" t="str">
        <f>IF($L717="","",INDEX('MTRs'!$B$6:$B$505,$L717)&amp;"")</f>
        <v/>
      </c>
      <c r="D717" s="121" t="str">
        <f>IF($L717="","",INDEX('MTRs'!$W$6:$W$505,$L717))</f>
        <v/>
      </c>
      <c r="E717" s="122" t="str">
        <f>IF($L717="","",INDEX('MTRs'!$P$6:$P$505,$L717))</f>
        <v/>
      </c>
      <c r="F717" s="122" t="str">
        <f>IF($L717="","",INDEX('MTRs'!$Q$6:$Q$505,$L717))</f>
        <v/>
      </c>
      <c r="G717" s="122" t="str">
        <f>IF($L717="","",INDEX('MTRs'!$R$6:$R$505,$L717))</f>
        <v/>
      </c>
      <c r="H717" s="130" t="str">
        <f>IF($L717="","",IF(INDEX('MTRs'!$AM$6:$AM$505,$L717)=0,"",N(E717)-N(F717)))</f>
        <v/>
      </c>
      <c r="I717" s="130" t="str">
        <f>IF($L717="","",IF(INDEX('MTRs'!$AM$6:$AM$505,$L717)=0,"",N(F717)-N(G717)))</f>
        <v/>
      </c>
      <c r="J717" s="120" t="str">
        <f>IF($L717="","",INDEX('MTRs'!$S$6:$S$505,$L717)&amp;"")</f>
        <v/>
      </c>
      <c r="L717" t="str">
        <f>IFERROR(MATCH(115,'MTRs'!$BB$6:$BB$505,0),"")</f>
        <v/>
      </c>
    </row>
    <row r="718">
      <c r="B718" s="119" t="str">
        <f>IF($L718="","",INDEX('MTRs'!$A$6:$A$505,$L718)&amp;"")</f>
        <v/>
      </c>
      <c r="C718" s="120" t="str">
        <f>IF($L718="","",INDEX('MTRs'!$B$6:$B$505,$L718)&amp;"")</f>
        <v/>
      </c>
      <c r="D718" s="121" t="str">
        <f>IF($L718="","",INDEX('MTRs'!$W$6:$W$505,$L718))</f>
        <v/>
      </c>
      <c r="E718" s="122" t="str">
        <f>IF($L718="","",INDEX('MTRs'!$P$6:$P$505,$L718))</f>
        <v/>
      </c>
      <c r="F718" s="122" t="str">
        <f>IF($L718="","",INDEX('MTRs'!$Q$6:$Q$505,$L718))</f>
        <v/>
      </c>
      <c r="G718" s="122" t="str">
        <f>IF($L718="","",INDEX('MTRs'!$R$6:$R$505,$L718))</f>
        <v/>
      </c>
      <c r="H718" s="130" t="str">
        <f>IF($L718="","",IF(INDEX('MTRs'!$AM$6:$AM$505,$L718)=0,"",N(E718)-N(F718)))</f>
        <v/>
      </c>
      <c r="I718" s="130" t="str">
        <f>IF($L718="","",IF(INDEX('MTRs'!$AM$6:$AM$505,$L718)=0,"",N(F718)-N(G718)))</f>
        <v/>
      </c>
      <c r="J718" s="120" t="str">
        <f>IF($L718="","",INDEX('MTRs'!$S$6:$S$505,$L718)&amp;"")</f>
        <v/>
      </c>
      <c r="L718" t="str">
        <f>IFERROR(MATCH(116,'MTRs'!$BB$6:$BB$505,0),"")</f>
        <v/>
      </c>
    </row>
    <row r="719">
      <c r="B719" s="119" t="str">
        <f>IF($L719="","",INDEX('MTRs'!$A$6:$A$505,$L719)&amp;"")</f>
        <v/>
      </c>
      <c r="C719" s="120" t="str">
        <f>IF($L719="","",INDEX('MTRs'!$B$6:$B$505,$L719)&amp;"")</f>
        <v/>
      </c>
      <c r="D719" s="121" t="str">
        <f>IF($L719="","",INDEX('MTRs'!$W$6:$W$505,$L719))</f>
        <v/>
      </c>
      <c r="E719" s="122" t="str">
        <f>IF($L719="","",INDEX('MTRs'!$P$6:$P$505,$L719))</f>
        <v/>
      </c>
      <c r="F719" s="122" t="str">
        <f>IF($L719="","",INDEX('MTRs'!$Q$6:$Q$505,$L719))</f>
        <v/>
      </c>
      <c r="G719" s="122" t="str">
        <f>IF($L719="","",INDEX('MTRs'!$R$6:$R$505,$L719))</f>
        <v/>
      </c>
      <c r="H719" s="130" t="str">
        <f>IF($L719="","",IF(INDEX('MTRs'!$AM$6:$AM$505,$L719)=0,"",N(E719)-N(F719)))</f>
        <v/>
      </c>
      <c r="I719" s="130" t="str">
        <f>IF($L719="","",IF(INDEX('MTRs'!$AM$6:$AM$505,$L719)=0,"",N(F719)-N(G719)))</f>
        <v/>
      </c>
      <c r="J719" s="120" t="str">
        <f>IF($L719="","",INDEX('MTRs'!$S$6:$S$505,$L719)&amp;"")</f>
        <v/>
      </c>
      <c r="L719" t="str">
        <f>IFERROR(MATCH(117,'MTRs'!$BB$6:$BB$505,0),"")</f>
        <v/>
      </c>
    </row>
    <row r="720">
      <c r="B720" s="119" t="str">
        <f>IF($L720="","",INDEX('MTRs'!$A$6:$A$505,$L720)&amp;"")</f>
        <v/>
      </c>
      <c r="C720" s="120" t="str">
        <f>IF($L720="","",INDEX('MTRs'!$B$6:$B$505,$L720)&amp;"")</f>
        <v/>
      </c>
      <c r="D720" s="121" t="str">
        <f>IF($L720="","",INDEX('MTRs'!$W$6:$W$505,$L720))</f>
        <v/>
      </c>
      <c r="E720" s="122" t="str">
        <f>IF($L720="","",INDEX('MTRs'!$P$6:$P$505,$L720))</f>
        <v/>
      </c>
      <c r="F720" s="122" t="str">
        <f>IF($L720="","",INDEX('MTRs'!$Q$6:$Q$505,$L720))</f>
        <v/>
      </c>
      <c r="G720" s="122" t="str">
        <f>IF($L720="","",INDEX('MTRs'!$R$6:$R$505,$L720))</f>
        <v/>
      </c>
      <c r="H720" s="130" t="str">
        <f>IF($L720="","",IF(INDEX('MTRs'!$AM$6:$AM$505,$L720)=0,"",N(E720)-N(F720)))</f>
        <v/>
      </c>
      <c r="I720" s="130" t="str">
        <f>IF($L720="","",IF(INDEX('MTRs'!$AM$6:$AM$505,$L720)=0,"",N(F720)-N(G720)))</f>
        <v/>
      </c>
      <c r="J720" s="120" t="str">
        <f>IF($L720="","",INDEX('MTRs'!$S$6:$S$505,$L720)&amp;"")</f>
        <v/>
      </c>
      <c r="L720" t="str">
        <f>IFERROR(MATCH(118,'MTRs'!$BB$6:$BB$505,0),"")</f>
        <v/>
      </c>
    </row>
    <row r="721">
      <c r="B721" s="119" t="str">
        <f>IF($L721="","",INDEX('MTRs'!$A$6:$A$505,$L721)&amp;"")</f>
        <v/>
      </c>
      <c r="C721" s="120" t="str">
        <f>IF($L721="","",INDEX('MTRs'!$B$6:$B$505,$L721)&amp;"")</f>
        <v/>
      </c>
      <c r="D721" s="121" t="str">
        <f>IF($L721="","",INDEX('MTRs'!$W$6:$W$505,$L721))</f>
        <v/>
      </c>
      <c r="E721" s="122" t="str">
        <f>IF($L721="","",INDEX('MTRs'!$P$6:$P$505,$L721))</f>
        <v/>
      </c>
      <c r="F721" s="122" t="str">
        <f>IF($L721="","",INDEX('MTRs'!$Q$6:$Q$505,$L721))</f>
        <v/>
      </c>
      <c r="G721" s="122" t="str">
        <f>IF($L721="","",INDEX('MTRs'!$R$6:$R$505,$L721))</f>
        <v/>
      </c>
      <c r="H721" s="130" t="str">
        <f>IF($L721="","",IF(INDEX('MTRs'!$AM$6:$AM$505,$L721)=0,"",N(E721)-N(F721)))</f>
        <v/>
      </c>
      <c r="I721" s="130" t="str">
        <f>IF($L721="","",IF(INDEX('MTRs'!$AM$6:$AM$505,$L721)=0,"",N(F721)-N(G721)))</f>
        <v/>
      </c>
      <c r="J721" s="120" t="str">
        <f>IF($L721="","",INDEX('MTRs'!$S$6:$S$505,$L721)&amp;"")</f>
        <v/>
      </c>
      <c r="L721" t="str">
        <f>IFERROR(MATCH(119,'MTRs'!$BB$6:$BB$505,0),"")</f>
        <v/>
      </c>
    </row>
    <row r="722">
      <c r="B722" s="119" t="str">
        <f>IF($L722="","",INDEX('MTRs'!$A$6:$A$505,$L722)&amp;"")</f>
        <v/>
      </c>
      <c r="C722" s="120" t="str">
        <f>IF($L722="","",INDEX('MTRs'!$B$6:$B$505,$L722)&amp;"")</f>
        <v/>
      </c>
      <c r="D722" s="121" t="str">
        <f>IF($L722="","",INDEX('MTRs'!$W$6:$W$505,$L722))</f>
        <v/>
      </c>
      <c r="E722" s="122" t="str">
        <f>IF($L722="","",INDEX('MTRs'!$P$6:$P$505,$L722))</f>
        <v/>
      </c>
      <c r="F722" s="122" t="str">
        <f>IF($L722="","",INDEX('MTRs'!$Q$6:$Q$505,$L722))</f>
        <v/>
      </c>
      <c r="G722" s="122" t="str">
        <f>IF($L722="","",INDEX('MTRs'!$R$6:$R$505,$L722))</f>
        <v/>
      </c>
      <c r="H722" s="130" t="str">
        <f>IF($L722="","",IF(INDEX('MTRs'!$AM$6:$AM$505,$L722)=0,"",N(E722)-N(F722)))</f>
        <v/>
      </c>
      <c r="I722" s="130" t="str">
        <f>IF($L722="","",IF(INDEX('MTRs'!$AM$6:$AM$505,$L722)=0,"",N(F722)-N(G722)))</f>
        <v/>
      </c>
      <c r="J722" s="120" t="str">
        <f>IF($L722="","",INDEX('MTRs'!$S$6:$S$505,$L722)&amp;"")</f>
        <v/>
      </c>
      <c r="L722" t="str">
        <f>IFERROR(MATCH(120,'MTRs'!$BB$6:$BB$505,0),"")</f>
        <v/>
      </c>
    </row>
    <row r="723">
      <c r="B723" s="119" t="str">
        <f>IF($L723="","",INDEX('MTRs'!$A$6:$A$505,$L723)&amp;"")</f>
        <v/>
      </c>
      <c r="C723" s="120" t="str">
        <f>IF($L723="","",INDEX('MTRs'!$B$6:$B$505,$L723)&amp;"")</f>
        <v/>
      </c>
      <c r="D723" s="121" t="str">
        <f>IF($L723="","",INDEX('MTRs'!$W$6:$W$505,$L723))</f>
        <v/>
      </c>
      <c r="E723" s="122" t="str">
        <f>IF($L723="","",INDEX('MTRs'!$P$6:$P$505,$L723))</f>
        <v/>
      </c>
      <c r="F723" s="122" t="str">
        <f>IF($L723="","",INDEX('MTRs'!$Q$6:$Q$505,$L723))</f>
        <v/>
      </c>
      <c r="G723" s="122" t="str">
        <f>IF($L723="","",INDEX('MTRs'!$R$6:$R$505,$L723))</f>
        <v/>
      </c>
      <c r="H723" s="130" t="str">
        <f>IF($L723="","",IF(INDEX('MTRs'!$AM$6:$AM$505,$L723)=0,"",N(E723)-N(F723)))</f>
        <v/>
      </c>
      <c r="I723" s="130" t="str">
        <f>IF($L723="","",IF(INDEX('MTRs'!$AM$6:$AM$505,$L723)=0,"",N(F723)-N(G723)))</f>
        <v/>
      </c>
      <c r="J723" s="120" t="str">
        <f>IF($L723="","",INDEX('MTRs'!$S$6:$S$505,$L723)&amp;"")</f>
        <v/>
      </c>
      <c r="L723" t="str">
        <f>IFERROR(MATCH(121,'MTRs'!$BB$6:$BB$505,0),"")</f>
        <v/>
      </c>
    </row>
    <row r="724">
      <c r="B724" s="119" t="str">
        <f>IF($L724="","",INDEX('MTRs'!$A$6:$A$505,$L724)&amp;"")</f>
        <v/>
      </c>
      <c r="C724" s="120" t="str">
        <f>IF($L724="","",INDEX('MTRs'!$B$6:$B$505,$L724)&amp;"")</f>
        <v/>
      </c>
      <c r="D724" s="121" t="str">
        <f>IF($L724="","",INDEX('MTRs'!$W$6:$W$505,$L724))</f>
        <v/>
      </c>
      <c r="E724" s="122" t="str">
        <f>IF($L724="","",INDEX('MTRs'!$P$6:$P$505,$L724))</f>
        <v/>
      </c>
      <c r="F724" s="122" t="str">
        <f>IF($L724="","",INDEX('MTRs'!$Q$6:$Q$505,$L724))</f>
        <v/>
      </c>
      <c r="G724" s="122" t="str">
        <f>IF($L724="","",INDEX('MTRs'!$R$6:$R$505,$L724))</f>
        <v/>
      </c>
      <c r="H724" s="130" t="str">
        <f>IF($L724="","",IF(INDEX('MTRs'!$AM$6:$AM$505,$L724)=0,"",N(E724)-N(F724)))</f>
        <v/>
      </c>
      <c r="I724" s="130" t="str">
        <f>IF($L724="","",IF(INDEX('MTRs'!$AM$6:$AM$505,$L724)=0,"",N(F724)-N(G724)))</f>
        <v/>
      </c>
      <c r="J724" s="120" t="str">
        <f>IF($L724="","",INDEX('MTRs'!$S$6:$S$505,$L724)&amp;"")</f>
        <v/>
      </c>
      <c r="L724" t="str">
        <f>IFERROR(MATCH(122,'MTRs'!$BB$6:$BB$505,0),"")</f>
        <v/>
      </c>
    </row>
    <row r="725">
      <c r="B725" s="119" t="str">
        <f>IF($L725="","",INDEX('MTRs'!$A$6:$A$505,$L725)&amp;"")</f>
        <v/>
      </c>
      <c r="C725" s="120" t="str">
        <f>IF($L725="","",INDEX('MTRs'!$B$6:$B$505,$L725)&amp;"")</f>
        <v/>
      </c>
      <c r="D725" s="121" t="str">
        <f>IF($L725="","",INDEX('MTRs'!$W$6:$W$505,$L725))</f>
        <v/>
      </c>
      <c r="E725" s="122" t="str">
        <f>IF($L725="","",INDEX('MTRs'!$P$6:$P$505,$L725))</f>
        <v/>
      </c>
      <c r="F725" s="122" t="str">
        <f>IF($L725="","",INDEX('MTRs'!$Q$6:$Q$505,$L725))</f>
        <v/>
      </c>
      <c r="G725" s="122" t="str">
        <f>IF($L725="","",INDEX('MTRs'!$R$6:$R$505,$L725))</f>
        <v/>
      </c>
      <c r="H725" s="130" t="str">
        <f>IF($L725="","",IF(INDEX('MTRs'!$AM$6:$AM$505,$L725)=0,"",N(E725)-N(F725)))</f>
        <v/>
      </c>
      <c r="I725" s="130" t="str">
        <f>IF($L725="","",IF(INDEX('MTRs'!$AM$6:$AM$505,$L725)=0,"",N(F725)-N(G725)))</f>
        <v/>
      </c>
      <c r="J725" s="120" t="str">
        <f>IF($L725="","",INDEX('MTRs'!$S$6:$S$505,$L725)&amp;"")</f>
        <v/>
      </c>
      <c r="L725" t="str">
        <f>IFERROR(MATCH(123,'MTRs'!$BB$6:$BB$505,0),"")</f>
        <v/>
      </c>
    </row>
    <row r="726">
      <c r="B726" s="119" t="str">
        <f>IF($L726="","",INDEX('MTRs'!$A$6:$A$505,$L726)&amp;"")</f>
        <v/>
      </c>
      <c r="C726" s="120" t="str">
        <f>IF($L726="","",INDEX('MTRs'!$B$6:$B$505,$L726)&amp;"")</f>
        <v/>
      </c>
      <c r="D726" s="121" t="str">
        <f>IF($L726="","",INDEX('MTRs'!$W$6:$W$505,$L726))</f>
        <v/>
      </c>
      <c r="E726" s="122" t="str">
        <f>IF($L726="","",INDEX('MTRs'!$P$6:$P$505,$L726))</f>
        <v/>
      </c>
      <c r="F726" s="122" t="str">
        <f>IF($L726="","",INDEX('MTRs'!$Q$6:$Q$505,$L726))</f>
        <v/>
      </c>
      <c r="G726" s="122" t="str">
        <f>IF($L726="","",INDEX('MTRs'!$R$6:$R$505,$L726))</f>
        <v/>
      </c>
      <c r="H726" s="130" t="str">
        <f>IF($L726="","",IF(INDEX('MTRs'!$AM$6:$AM$505,$L726)=0,"",N(E726)-N(F726)))</f>
        <v/>
      </c>
      <c r="I726" s="130" t="str">
        <f>IF($L726="","",IF(INDEX('MTRs'!$AM$6:$AM$505,$L726)=0,"",N(F726)-N(G726)))</f>
        <v/>
      </c>
      <c r="J726" s="120" t="str">
        <f>IF($L726="","",INDEX('MTRs'!$S$6:$S$505,$L726)&amp;"")</f>
        <v/>
      </c>
      <c r="L726" t="str">
        <f>IFERROR(MATCH(124,'MTRs'!$BB$6:$BB$505,0),"")</f>
        <v/>
      </c>
    </row>
    <row r="727">
      <c r="B727" s="119" t="str">
        <f>IF($L727="","",INDEX('MTRs'!$A$6:$A$505,$L727)&amp;"")</f>
        <v/>
      </c>
      <c r="C727" s="120" t="str">
        <f>IF($L727="","",INDEX('MTRs'!$B$6:$B$505,$L727)&amp;"")</f>
        <v/>
      </c>
      <c r="D727" s="121" t="str">
        <f>IF($L727="","",INDEX('MTRs'!$W$6:$W$505,$L727))</f>
        <v/>
      </c>
      <c r="E727" s="122" t="str">
        <f>IF($L727="","",INDEX('MTRs'!$P$6:$P$505,$L727))</f>
        <v/>
      </c>
      <c r="F727" s="122" t="str">
        <f>IF($L727="","",INDEX('MTRs'!$Q$6:$Q$505,$L727))</f>
        <v/>
      </c>
      <c r="G727" s="122" t="str">
        <f>IF($L727="","",INDEX('MTRs'!$R$6:$R$505,$L727))</f>
        <v/>
      </c>
      <c r="H727" s="130" t="str">
        <f>IF($L727="","",IF(INDEX('MTRs'!$AM$6:$AM$505,$L727)=0,"",N(E727)-N(F727)))</f>
        <v/>
      </c>
      <c r="I727" s="130" t="str">
        <f>IF($L727="","",IF(INDEX('MTRs'!$AM$6:$AM$505,$L727)=0,"",N(F727)-N(G727)))</f>
        <v/>
      </c>
      <c r="J727" s="120" t="str">
        <f>IF($L727="","",INDEX('MTRs'!$S$6:$S$505,$L727)&amp;"")</f>
        <v/>
      </c>
      <c r="L727" t="str">
        <f>IFERROR(MATCH(125,'MTRs'!$BB$6:$BB$505,0),"")</f>
        <v/>
      </c>
    </row>
    <row r="728">
      <c r="B728" s="119" t="str">
        <f>IF($L728="","",INDEX('MTRs'!$A$6:$A$505,$L728)&amp;"")</f>
        <v/>
      </c>
      <c r="C728" s="120" t="str">
        <f>IF($L728="","",INDEX('MTRs'!$B$6:$B$505,$L728)&amp;"")</f>
        <v/>
      </c>
      <c r="D728" s="121" t="str">
        <f>IF($L728="","",INDEX('MTRs'!$W$6:$W$505,$L728))</f>
        <v/>
      </c>
      <c r="E728" s="122" t="str">
        <f>IF($L728="","",INDEX('MTRs'!$P$6:$P$505,$L728))</f>
        <v/>
      </c>
      <c r="F728" s="122" t="str">
        <f>IF($L728="","",INDEX('MTRs'!$Q$6:$Q$505,$L728))</f>
        <v/>
      </c>
      <c r="G728" s="122" t="str">
        <f>IF($L728="","",INDEX('MTRs'!$R$6:$R$505,$L728))</f>
        <v/>
      </c>
      <c r="H728" s="130" t="str">
        <f>IF($L728="","",IF(INDEX('MTRs'!$AM$6:$AM$505,$L728)=0,"",N(E728)-N(F728)))</f>
        <v/>
      </c>
      <c r="I728" s="130" t="str">
        <f>IF($L728="","",IF(INDEX('MTRs'!$AM$6:$AM$505,$L728)=0,"",N(F728)-N(G728)))</f>
        <v/>
      </c>
      <c r="J728" s="120" t="str">
        <f>IF($L728="","",INDEX('MTRs'!$S$6:$S$505,$L728)&amp;"")</f>
        <v/>
      </c>
      <c r="L728" t="str">
        <f>IFERROR(MATCH(126,'MTRs'!$BB$6:$BB$505,0),"")</f>
        <v/>
      </c>
    </row>
    <row r="729">
      <c r="B729" s="119" t="str">
        <f>IF($L729="","",INDEX('MTRs'!$A$6:$A$505,$L729)&amp;"")</f>
        <v/>
      </c>
      <c r="C729" s="120" t="str">
        <f>IF($L729="","",INDEX('MTRs'!$B$6:$B$505,$L729)&amp;"")</f>
        <v/>
      </c>
      <c r="D729" s="121" t="str">
        <f>IF($L729="","",INDEX('MTRs'!$W$6:$W$505,$L729))</f>
        <v/>
      </c>
      <c r="E729" s="122" t="str">
        <f>IF($L729="","",INDEX('MTRs'!$P$6:$P$505,$L729))</f>
        <v/>
      </c>
      <c r="F729" s="122" t="str">
        <f>IF($L729="","",INDEX('MTRs'!$Q$6:$Q$505,$L729))</f>
        <v/>
      </c>
      <c r="G729" s="122" t="str">
        <f>IF($L729="","",INDEX('MTRs'!$R$6:$R$505,$L729))</f>
        <v/>
      </c>
      <c r="H729" s="130" t="str">
        <f>IF($L729="","",IF(INDEX('MTRs'!$AM$6:$AM$505,$L729)=0,"",N(E729)-N(F729)))</f>
        <v/>
      </c>
      <c r="I729" s="130" t="str">
        <f>IF($L729="","",IF(INDEX('MTRs'!$AM$6:$AM$505,$L729)=0,"",N(F729)-N(G729)))</f>
        <v/>
      </c>
      <c r="J729" s="120" t="str">
        <f>IF($L729="","",INDEX('MTRs'!$S$6:$S$505,$L729)&amp;"")</f>
        <v/>
      </c>
      <c r="L729" t="str">
        <f>IFERROR(MATCH(127,'MTRs'!$BB$6:$BB$505,0),"")</f>
        <v/>
      </c>
    </row>
    <row r="730">
      <c r="B730" s="119" t="str">
        <f>IF($L730="","",INDEX('MTRs'!$A$6:$A$505,$L730)&amp;"")</f>
        <v/>
      </c>
      <c r="C730" s="120" t="str">
        <f>IF($L730="","",INDEX('MTRs'!$B$6:$B$505,$L730)&amp;"")</f>
        <v/>
      </c>
      <c r="D730" s="121" t="str">
        <f>IF($L730="","",INDEX('MTRs'!$W$6:$W$505,$L730))</f>
        <v/>
      </c>
      <c r="E730" s="122" t="str">
        <f>IF($L730="","",INDEX('MTRs'!$P$6:$P$505,$L730))</f>
        <v/>
      </c>
      <c r="F730" s="122" t="str">
        <f>IF($L730="","",INDEX('MTRs'!$Q$6:$Q$505,$L730))</f>
        <v/>
      </c>
      <c r="G730" s="122" t="str">
        <f>IF($L730="","",INDEX('MTRs'!$R$6:$R$505,$L730))</f>
        <v/>
      </c>
      <c r="H730" s="130" t="str">
        <f>IF($L730="","",IF(INDEX('MTRs'!$AM$6:$AM$505,$L730)=0,"",N(E730)-N(F730)))</f>
        <v/>
      </c>
      <c r="I730" s="130" t="str">
        <f>IF($L730="","",IF(INDEX('MTRs'!$AM$6:$AM$505,$L730)=0,"",N(F730)-N(G730)))</f>
        <v/>
      </c>
      <c r="J730" s="120" t="str">
        <f>IF($L730="","",INDEX('MTRs'!$S$6:$S$505,$L730)&amp;"")</f>
        <v/>
      </c>
      <c r="L730" t="str">
        <f>IFERROR(MATCH(128,'MTRs'!$BB$6:$BB$505,0),"")</f>
        <v/>
      </c>
    </row>
    <row r="731">
      <c r="B731" s="119" t="str">
        <f>IF($L731="","",INDEX('MTRs'!$A$6:$A$505,$L731)&amp;"")</f>
        <v/>
      </c>
      <c r="C731" s="120" t="str">
        <f>IF($L731="","",INDEX('MTRs'!$B$6:$B$505,$L731)&amp;"")</f>
        <v/>
      </c>
      <c r="D731" s="121" t="str">
        <f>IF($L731="","",INDEX('MTRs'!$W$6:$W$505,$L731))</f>
        <v/>
      </c>
      <c r="E731" s="122" t="str">
        <f>IF($L731="","",INDEX('MTRs'!$P$6:$P$505,$L731))</f>
        <v/>
      </c>
      <c r="F731" s="122" t="str">
        <f>IF($L731="","",INDEX('MTRs'!$Q$6:$Q$505,$L731))</f>
        <v/>
      </c>
      <c r="G731" s="122" t="str">
        <f>IF($L731="","",INDEX('MTRs'!$R$6:$R$505,$L731))</f>
        <v/>
      </c>
      <c r="H731" s="130" t="str">
        <f>IF($L731="","",IF(INDEX('MTRs'!$AM$6:$AM$505,$L731)=0,"",N(E731)-N(F731)))</f>
        <v/>
      </c>
      <c r="I731" s="130" t="str">
        <f>IF($L731="","",IF(INDEX('MTRs'!$AM$6:$AM$505,$L731)=0,"",N(F731)-N(G731)))</f>
        <v/>
      </c>
      <c r="J731" s="120" t="str">
        <f>IF($L731="","",INDEX('MTRs'!$S$6:$S$505,$L731)&amp;"")</f>
        <v/>
      </c>
      <c r="L731" t="str">
        <f>IFERROR(MATCH(129,'MTRs'!$BB$6:$BB$505,0),"")</f>
        <v/>
      </c>
    </row>
    <row r="732">
      <c r="B732" s="119" t="str">
        <f>IF($L732="","",INDEX('MTRs'!$A$6:$A$505,$L732)&amp;"")</f>
        <v/>
      </c>
      <c r="C732" s="120" t="str">
        <f>IF($L732="","",INDEX('MTRs'!$B$6:$B$505,$L732)&amp;"")</f>
        <v/>
      </c>
      <c r="D732" s="121" t="str">
        <f>IF($L732="","",INDEX('MTRs'!$W$6:$W$505,$L732))</f>
        <v/>
      </c>
      <c r="E732" s="122" t="str">
        <f>IF($L732="","",INDEX('MTRs'!$P$6:$P$505,$L732))</f>
        <v/>
      </c>
      <c r="F732" s="122" t="str">
        <f>IF($L732="","",INDEX('MTRs'!$Q$6:$Q$505,$L732))</f>
        <v/>
      </c>
      <c r="G732" s="122" t="str">
        <f>IF($L732="","",INDEX('MTRs'!$R$6:$R$505,$L732))</f>
        <v/>
      </c>
      <c r="H732" s="130" t="str">
        <f>IF($L732="","",IF(INDEX('MTRs'!$AM$6:$AM$505,$L732)=0,"",N(E732)-N(F732)))</f>
        <v/>
      </c>
      <c r="I732" s="130" t="str">
        <f>IF($L732="","",IF(INDEX('MTRs'!$AM$6:$AM$505,$L732)=0,"",N(F732)-N(G732)))</f>
        <v/>
      </c>
      <c r="J732" s="120" t="str">
        <f>IF($L732="","",INDEX('MTRs'!$S$6:$S$505,$L732)&amp;"")</f>
        <v/>
      </c>
      <c r="L732" t="str">
        <f>IFERROR(MATCH(130,'MTRs'!$BB$6:$BB$505,0),"")</f>
        <v/>
      </c>
    </row>
    <row r="733">
      <c r="B733" s="119" t="str">
        <f>IF($L733="","",INDEX('MTRs'!$A$6:$A$505,$L733)&amp;"")</f>
        <v/>
      </c>
      <c r="C733" s="120" t="str">
        <f>IF($L733="","",INDEX('MTRs'!$B$6:$B$505,$L733)&amp;"")</f>
        <v/>
      </c>
      <c r="D733" s="121" t="str">
        <f>IF($L733="","",INDEX('MTRs'!$W$6:$W$505,$L733))</f>
        <v/>
      </c>
      <c r="E733" s="122" t="str">
        <f>IF($L733="","",INDEX('MTRs'!$P$6:$P$505,$L733))</f>
        <v/>
      </c>
      <c r="F733" s="122" t="str">
        <f>IF($L733="","",INDEX('MTRs'!$Q$6:$Q$505,$L733))</f>
        <v/>
      </c>
      <c r="G733" s="122" t="str">
        <f>IF($L733="","",INDEX('MTRs'!$R$6:$R$505,$L733))</f>
        <v/>
      </c>
      <c r="H733" s="130" t="str">
        <f>IF($L733="","",IF(INDEX('MTRs'!$AM$6:$AM$505,$L733)=0,"",N(E733)-N(F733)))</f>
        <v/>
      </c>
      <c r="I733" s="130" t="str">
        <f>IF($L733="","",IF(INDEX('MTRs'!$AM$6:$AM$505,$L733)=0,"",N(F733)-N(G733)))</f>
        <v/>
      </c>
      <c r="J733" s="120" t="str">
        <f>IF($L733="","",INDEX('MTRs'!$S$6:$S$505,$L733)&amp;"")</f>
        <v/>
      </c>
      <c r="L733" t="str">
        <f>IFERROR(MATCH(131,'MTRs'!$BB$6:$BB$505,0),"")</f>
        <v/>
      </c>
    </row>
    <row r="734">
      <c r="B734" s="119" t="str">
        <f>IF($L734="","",INDEX('MTRs'!$A$6:$A$505,$L734)&amp;"")</f>
        <v/>
      </c>
      <c r="C734" s="120" t="str">
        <f>IF($L734="","",INDEX('MTRs'!$B$6:$B$505,$L734)&amp;"")</f>
        <v/>
      </c>
      <c r="D734" s="121" t="str">
        <f>IF($L734="","",INDEX('MTRs'!$W$6:$W$505,$L734))</f>
        <v/>
      </c>
      <c r="E734" s="122" t="str">
        <f>IF($L734="","",INDEX('MTRs'!$P$6:$P$505,$L734))</f>
        <v/>
      </c>
      <c r="F734" s="122" t="str">
        <f>IF($L734="","",INDEX('MTRs'!$Q$6:$Q$505,$L734))</f>
        <v/>
      </c>
      <c r="G734" s="122" t="str">
        <f>IF($L734="","",INDEX('MTRs'!$R$6:$R$505,$L734))</f>
        <v/>
      </c>
      <c r="H734" s="130" t="str">
        <f>IF($L734="","",IF(INDEX('MTRs'!$AM$6:$AM$505,$L734)=0,"",N(E734)-N(F734)))</f>
        <v/>
      </c>
      <c r="I734" s="130" t="str">
        <f>IF($L734="","",IF(INDEX('MTRs'!$AM$6:$AM$505,$L734)=0,"",N(F734)-N(G734)))</f>
        <v/>
      </c>
      <c r="J734" s="120" t="str">
        <f>IF($L734="","",INDEX('MTRs'!$S$6:$S$505,$L734)&amp;"")</f>
        <v/>
      </c>
      <c r="L734" t="str">
        <f>IFERROR(MATCH(132,'MTRs'!$BB$6:$BB$505,0),"")</f>
        <v/>
      </c>
    </row>
    <row r="735">
      <c r="B735" s="119" t="str">
        <f>IF($L735="","",INDEX('MTRs'!$A$6:$A$505,$L735)&amp;"")</f>
        <v/>
      </c>
      <c r="C735" s="120" t="str">
        <f>IF($L735="","",INDEX('MTRs'!$B$6:$B$505,$L735)&amp;"")</f>
        <v/>
      </c>
      <c r="D735" s="121" t="str">
        <f>IF($L735="","",INDEX('MTRs'!$W$6:$W$505,$L735))</f>
        <v/>
      </c>
      <c r="E735" s="122" t="str">
        <f>IF($L735="","",INDEX('MTRs'!$P$6:$P$505,$L735))</f>
        <v/>
      </c>
      <c r="F735" s="122" t="str">
        <f>IF($L735="","",INDEX('MTRs'!$Q$6:$Q$505,$L735))</f>
        <v/>
      </c>
      <c r="G735" s="122" t="str">
        <f>IF($L735="","",INDEX('MTRs'!$R$6:$R$505,$L735))</f>
        <v/>
      </c>
      <c r="H735" s="130" t="str">
        <f>IF($L735="","",IF(INDEX('MTRs'!$AM$6:$AM$505,$L735)=0,"",N(E735)-N(F735)))</f>
        <v/>
      </c>
      <c r="I735" s="130" t="str">
        <f>IF($L735="","",IF(INDEX('MTRs'!$AM$6:$AM$505,$L735)=0,"",N(F735)-N(G735)))</f>
        <v/>
      </c>
      <c r="J735" s="120" t="str">
        <f>IF($L735="","",INDEX('MTRs'!$S$6:$S$505,$L735)&amp;"")</f>
        <v/>
      </c>
      <c r="L735" t="str">
        <f>IFERROR(MATCH(133,'MTRs'!$BB$6:$BB$505,0),"")</f>
        <v/>
      </c>
    </row>
    <row r="736">
      <c r="B736" s="119" t="str">
        <f>IF($L736="","",INDEX('MTRs'!$A$6:$A$505,$L736)&amp;"")</f>
        <v/>
      </c>
      <c r="C736" s="120" t="str">
        <f>IF($L736="","",INDEX('MTRs'!$B$6:$B$505,$L736)&amp;"")</f>
        <v/>
      </c>
      <c r="D736" s="121" t="str">
        <f>IF($L736="","",INDEX('MTRs'!$W$6:$W$505,$L736))</f>
        <v/>
      </c>
      <c r="E736" s="122" t="str">
        <f>IF($L736="","",INDEX('MTRs'!$P$6:$P$505,$L736))</f>
        <v/>
      </c>
      <c r="F736" s="122" t="str">
        <f>IF($L736="","",INDEX('MTRs'!$Q$6:$Q$505,$L736))</f>
        <v/>
      </c>
      <c r="G736" s="122" t="str">
        <f>IF($L736="","",INDEX('MTRs'!$R$6:$R$505,$L736))</f>
        <v/>
      </c>
      <c r="H736" s="130" t="str">
        <f>IF($L736="","",IF(INDEX('MTRs'!$AM$6:$AM$505,$L736)=0,"",N(E736)-N(F736)))</f>
        <v/>
      </c>
      <c r="I736" s="130" t="str">
        <f>IF($L736="","",IF(INDEX('MTRs'!$AM$6:$AM$505,$L736)=0,"",N(F736)-N(G736)))</f>
        <v/>
      </c>
      <c r="J736" s="120" t="str">
        <f>IF($L736="","",INDEX('MTRs'!$S$6:$S$505,$L736)&amp;"")</f>
        <v/>
      </c>
      <c r="L736" t="str">
        <f>IFERROR(MATCH(134,'MTRs'!$BB$6:$BB$505,0),"")</f>
        <v/>
      </c>
    </row>
    <row r="737">
      <c r="B737" s="119" t="str">
        <f>IF($L737="","",INDEX('MTRs'!$A$6:$A$505,$L737)&amp;"")</f>
        <v/>
      </c>
      <c r="C737" s="120" t="str">
        <f>IF($L737="","",INDEX('MTRs'!$B$6:$B$505,$L737)&amp;"")</f>
        <v/>
      </c>
      <c r="D737" s="121" t="str">
        <f>IF($L737="","",INDEX('MTRs'!$W$6:$W$505,$L737))</f>
        <v/>
      </c>
      <c r="E737" s="122" t="str">
        <f>IF($L737="","",INDEX('MTRs'!$P$6:$P$505,$L737))</f>
        <v/>
      </c>
      <c r="F737" s="122" t="str">
        <f>IF($L737="","",INDEX('MTRs'!$Q$6:$Q$505,$L737))</f>
        <v/>
      </c>
      <c r="G737" s="122" t="str">
        <f>IF($L737="","",INDEX('MTRs'!$R$6:$R$505,$L737))</f>
        <v/>
      </c>
      <c r="H737" s="130" t="str">
        <f>IF($L737="","",IF(INDEX('MTRs'!$AM$6:$AM$505,$L737)=0,"",N(E737)-N(F737)))</f>
        <v/>
      </c>
      <c r="I737" s="130" t="str">
        <f>IF($L737="","",IF(INDEX('MTRs'!$AM$6:$AM$505,$L737)=0,"",N(F737)-N(G737)))</f>
        <v/>
      </c>
      <c r="J737" s="120" t="str">
        <f>IF($L737="","",INDEX('MTRs'!$S$6:$S$505,$L737)&amp;"")</f>
        <v/>
      </c>
      <c r="L737" t="str">
        <f>IFERROR(MATCH(135,'MTRs'!$BB$6:$BB$505,0),"")</f>
        <v/>
      </c>
    </row>
    <row r="738">
      <c r="B738" s="119" t="str">
        <f>IF($L738="","",INDEX('MTRs'!$A$6:$A$505,$L738)&amp;"")</f>
        <v/>
      </c>
      <c r="C738" s="120" t="str">
        <f>IF($L738="","",INDEX('MTRs'!$B$6:$B$505,$L738)&amp;"")</f>
        <v/>
      </c>
      <c r="D738" s="121" t="str">
        <f>IF($L738="","",INDEX('MTRs'!$W$6:$W$505,$L738))</f>
        <v/>
      </c>
      <c r="E738" s="122" t="str">
        <f>IF($L738="","",INDEX('MTRs'!$P$6:$P$505,$L738))</f>
        <v/>
      </c>
      <c r="F738" s="122" t="str">
        <f>IF($L738="","",INDEX('MTRs'!$Q$6:$Q$505,$L738))</f>
        <v/>
      </c>
      <c r="G738" s="122" t="str">
        <f>IF($L738="","",INDEX('MTRs'!$R$6:$R$505,$L738))</f>
        <v/>
      </c>
      <c r="H738" s="130" t="str">
        <f>IF($L738="","",IF(INDEX('MTRs'!$AM$6:$AM$505,$L738)=0,"",N(E738)-N(F738)))</f>
        <v/>
      </c>
      <c r="I738" s="130" t="str">
        <f>IF($L738="","",IF(INDEX('MTRs'!$AM$6:$AM$505,$L738)=0,"",N(F738)-N(G738)))</f>
        <v/>
      </c>
      <c r="J738" s="120" t="str">
        <f>IF($L738="","",INDEX('MTRs'!$S$6:$S$505,$L738)&amp;"")</f>
        <v/>
      </c>
      <c r="L738" t="str">
        <f>IFERROR(MATCH(136,'MTRs'!$BB$6:$BB$505,0),"")</f>
        <v/>
      </c>
    </row>
    <row r="739">
      <c r="B739" s="119" t="str">
        <f>IF($L739="","",INDEX('MTRs'!$A$6:$A$505,$L739)&amp;"")</f>
        <v/>
      </c>
      <c r="C739" s="120" t="str">
        <f>IF($L739="","",INDEX('MTRs'!$B$6:$B$505,$L739)&amp;"")</f>
        <v/>
      </c>
      <c r="D739" s="121" t="str">
        <f>IF($L739="","",INDEX('MTRs'!$W$6:$W$505,$L739))</f>
        <v/>
      </c>
      <c r="E739" s="122" t="str">
        <f>IF($L739="","",INDEX('MTRs'!$P$6:$P$505,$L739))</f>
        <v/>
      </c>
      <c r="F739" s="122" t="str">
        <f>IF($L739="","",INDEX('MTRs'!$Q$6:$Q$505,$L739))</f>
        <v/>
      </c>
      <c r="G739" s="122" t="str">
        <f>IF($L739="","",INDEX('MTRs'!$R$6:$R$505,$L739))</f>
        <v/>
      </c>
      <c r="H739" s="130" t="str">
        <f>IF($L739="","",IF(INDEX('MTRs'!$AM$6:$AM$505,$L739)=0,"",N(E739)-N(F739)))</f>
        <v/>
      </c>
      <c r="I739" s="130" t="str">
        <f>IF($L739="","",IF(INDEX('MTRs'!$AM$6:$AM$505,$L739)=0,"",N(F739)-N(G739)))</f>
        <v/>
      </c>
      <c r="J739" s="120" t="str">
        <f>IF($L739="","",INDEX('MTRs'!$S$6:$S$505,$L739)&amp;"")</f>
        <v/>
      </c>
      <c r="L739" t="str">
        <f>IFERROR(MATCH(137,'MTRs'!$BB$6:$BB$505,0),"")</f>
        <v/>
      </c>
    </row>
    <row r="740">
      <c r="B740" s="119" t="str">
        <f>IF($L740="","",INDEX('MTRs'!$A$6:$A$505,$L740)&amp;"")</f>
        <v/>
      </c>
      <c r="C740" s="120" t="str">
        <f>IF($L740="","",INDEX('MTRs'!$B$6:$B$505,$L740)&amp;"")</f>
        <v/>
      </c>
      <c r="D740" s="121" t="str">
        <f>IF($L740="","",INDEX('MTRs'!$W$6:$W$505,$L740))</f>
        <v/>
      </c>
      <c r="E740" s="122" t="str">
        <f>IF($L740="","",INDEX('MTRs'!$P$6:$P$505,$L740))</f>
        <v/>
      </c>
      <c r="F740" s="122" t="str">
        <f>IF($L740="","",INDEX('MTRs'!$Q$6:$Q$505,$L740))</f>
        <v/>
      </c>
      <c r="G740" s="122" t="str">
        <f>IF($L740="","",INDEX('MTRs'!$R$6:$R$505,$L740))</f>
        <v/>
      </c>
      <c r="H740" s="130" t="str">
        <f>IF($L740="","",IF(INDEX('MTRs'!$AM$6:$AM$505,$L740)=0,"",N(E740)-N(F740)))</f>
        <v/>
      </c>
      <c r="I740" s="130" t="str">
        <f>IF($L740="","",IF(INDEX('MTRs'!$AM$6:$AM$505,$L740)=0,"",N(F740)-N(G740)))</f>
        <v/>
      </c>
      <c r="J740" s="120" t="str">
        <f>IF($L740="","",INDEX('MTRs'!$S$6:$S$505,$L740)&amp;"")</f>
        <v/>
      </c>
      <c r="L740" t="str">
        <f>IFERROR(MATCH(138,'MTRs'!$BB$6:$BB$505,0),"")</f>
        <v/>
      </c>
    </row>
    <row r="741">
      <c r="B741" s="119" t="str">
        <f>IF($L741="","",INDEX('MTRs'!$A$6:$A$505,$L741)&amp;"")</f>
        <v/>
      </c>
      <c r="C741" s="120" t="str">
        <f>IF($L741="","",INDEX('MTRs'!$B$6:$B$505,$L741)&amp;"")</f>
        <v/>
      </c>
      <c r="D741" s="121" t="str">
        <f>IF($L741="","",INDEX('MTRs'!$W$6:$W$505,$L741))</f>
        <v/>
      </c>
      <c r="E741" s="122" t="str">
        <f>IF($L741="","",INDEX('MTRs'!$P$6:$P$505,$L741))</f>
        <v/>
      </c>
      <c r="F741" s="122" t="str">
        <f>IF($L741="","",INDEX('MTRs'!$Q$6:$Q$505,$L741))</f>
        <v/>
      </c>
      <c r="G741" s="122" t="str">
        <f>IF($L741="","",INDEX('MTRs'!$R$6:$R$505,$L741))</f>
        <v/>
      </c>
      <c r="H741" s="130" t="str">
        <f>IF($L741="","",IF(INDEX('MTRs'!$AM$6:$AM$505,$L741)=0,"",N(E741)-N(F741)))</f>
        <v/>
      </c>
      <c r="I741" s="130" t="str">
        <f>IF($L741="","",IF(INDEX('MTRs'!$AM$6:$AM$505,$L741)=0,"",N(F741)-N(G741)))</f>
        <v/>
      </c>
      <c r="J741" s="120" t="str">
        <f>IF($L741="","",INDEX('MTRs'!$S$6:$S$505,$L741)&amp;"")</f>
        <v/>
      </c>
      <c r="L741" t="str">
        <f>IFERROR(MATCH(139,'MTRs'!$BB$6:$BB$505,0),"")</f>
        <v/>
      </c>
    </row>
    <row r="742">
      <c r="B742" s="119" t="str">
        <f>IF($L742="","",INDEX('MTRs'!$A$6:$A$505,$L742)&amp;"")</f>
        <v/>
      </c>
      <c r="C742" s="120" t="str">
        <f>IF($L742="","",INDEX('MTRs'!$B$6:$B$505,$L742)&amp;"")</f>
        <v/>
      </c>
      <c r="D742" s="121" t="str">
        <f>IF($L742="","",INDEX('MTRs'!$W$6:$W$505,$L742))</f>
        <v/>
      </c>
      <c r="E742" s="122" t="str">
        <f>IF($L742="","",INDEX('MTRs'!$P$6:$P$505,$L742))</f>
        <v/>
      </c>
      <c r="F742" s="122" t="str">
        <f>IF($L742="","",INDEX('MTRs'!$Q$6:$Q$505,$L742))</f>
        <v/>
      </c>
      <c r="G742" s="122" t="str">
        <f>IF($L742="","",INDEX('MTRs'!$R$6:$R$505,$L742))</f>
        <v/>
      </c>
      <c r="H742" s="130" t="str">
        <f>IF($L742="","",IF(INDEX('MTRs'!$AM$6:$AM$505,$L742)=0,"",N(E742)-N(F742)))</f>
        <v/>
      </c>
      <c r="I742" s="130" t="str">
        <f>IF($L742="","",IF(INDEX('MTRs'!$AM$6:$AM$505,$L742)=0,"",N(F742)-N(G742)))</f>
        <v/>
      </c>
      <c r="J742" s="120" t="str">
        <f>IF($L742="","",INDEX('MTRs'!$S$6:$S$505,$L742)&amp;"")</f>
        <v/>
      </c>
      <c r="L742" t="str">
        <f>IFERROR(MATCH(140,'MTRs'!$BB$6:$BB$505,0),"")</f>
        <v/>
      </c>
    </row>
    <row r="743">
      <c r="B743" s="119" t="str">
        <f>IF($L743="","",INDEX('MTRs'!$A$6:$A$505,$L743)&amp;"")</f>
        <v/>
      </c>
      <c r="C743" s="120" t="str">
        <f>IF($L743="","",INDEX('MTRs'!$B$6:$B$505,$L743)&amp;"")</f>
        <v/>
      </c>
      <c r="D743" s="121" t="str">
        <f>IF($L743="","",INDEX('MTRs'!$W$6:$W$505,$L743))</f>
        <v/>
      </c>
      <c r="E743" s="122" t="str">
        <f>IF($L743="","",INDEX('MTRs'!$P$6:$P$505,$L743))</f>
        <v/>
      </c>
      <c r="F743" s="122" t="str">
        <f>IF($L743="","",INDEX('MTRs'!$Q$6:$Q$505,$L743))</f>
        <v/>
      </c>
      <c r="G743" s="122" t="str">
        <f>IF($L743="","",INDEX('MTRs'!$R$6:$R$505,$L743))</f>
        <v/>
      </c>
      <c r="H743" s="130" t="str">
        <f>IF($L743="","",IF(INDEX('MTRs'!$AM$6:$AM$505,$L743)=0,"",N(E743)-N(F743)))</f>
        <v/>
      </c>
      <c r="I743" s="130" t="str">
        <f>IF($L743="","",IF(INDEX('MTRs'!$AM$6:$AM$505,$L743)=0,"",N(F743)-N(G743)))</f>
        <v/>
      </c>
      <c r="J743" s="120" t="str">
        <f>IF($L743="","",INDEX('MTRs'!$S$6:$S$505,$L743)&amp;"")</f>
        <v/>
      </c>
      <c r="L743" t="str">
        <f>IFERROR(MATCH(141,'MTRs'!$BB$6:$BB$505,0),"")</f>
        <v/>
      </c>
    </row>
    <row r="744">
      <c r="B744" s="119" t="str">
        <f>IF($L744="","",INDEX('MTRs'!$A$6:$A$505,$L744)&amp;"")</f>
        <v/>
      </c>
      <c r="C744" s="120" t="str">
        <f>IF($L744="","",INDEX('MTRs'!$B$6:$B$505,$L744)&amp;"")</f>
        <v/>
      </c>
      <c r="D744" s="121" t="str">
        <f>IF($L744="","",INDEX('MTRs'!$W$6:$W$505,$L744))</f>
        <v/>
      </c>
      <c r="E744" s="122" t="str">
        <f>IF($L744="","",INDEX('MTRs'!$P$6:$P$505,$L744))</f>
        <v/>
      </c>
      <c r="F744" s="122" t="str">
        <f>IF($L744="","",INDEX('MTRs'!$Q$6:$Q$505,$L744))</f>
        <v/>
      </c>
      <c r="G744" s="122" t="str">
        <f>IF($L744="","",INDEX('MTRs'!$R$6:$R$505,$L744))</f>
        <v/>
      </c>
      <c r="H744" s="130" t="str">
        <f>IF($L744="","",IF(INDEX('MTRs'!$AM$6:$AM$505,$L744)=0,"",N(E744)-N(F744)))</f>
        <v/>
      </c>
      <c r="I744" s="130" t="str">
        <f>IF($L744="","",IF(INDEX('MTRs'!$AM$6:$AM$505,$L744)=0,"",N(F744)-N(G744)))</f>
        <v/>
      </c>
      <c r="J744" s="120" t="str">
        <f>IF($L744="","",INDEX('MTRs'!$S$6:$S$505,$L744)&amp;"")</f>
        <v/>
      </c>
      <c r="L744" t="str">
        <f>IFERROR(MATCH(142,'MTRs'!$BB$6:$BB$505,0),"")</f>
        <v/>
      </c>
    </row>
    <row r="745">
      <c r="B745" s="119" t="str">
        <f>IF($L745="","",INDEX('MTRs'!$A$6:$A$505,$L745)&amp;"")</f>
        <v/>
      </c>
      <c r="C745" s="120" t="str">
        <f>IF($L745="","",INDEX('MTRs'!$B$6:$B$505,$L745)&amp;"")</f>
        <v/>
      </c>
      <c r="D745" s="121" t="str">
        <f>IF($L745="","",INDEX('MTRs'!$W$6:$W$505,$L745))</f>
        <v/>
      </c>
      <c r="E745" s="122" t="str">
        <f>IF($L745="","",INDEX('MTRs'!$P$6:$P$505,$L745))</f>
        <v/>
      </c>
      <c r="F745" s="122" t="str">
        <f>IF($L745="","",INDEX('MTRs'!$Q$6:$Q$505,$L745))</f>
        <v/>
      </c>
      <c r="G745" s="122" t="str">
        <f>IF($L745="","",INDEX('MTRs'!$R$6:$R$505,$L745))</f>
        <v/>
      </c>
      <c r="H745" s="130" t="str">
        <f>IF($L745="","",IF(INDEX('MTRs'!$AM$6:$AM$505,$L745)=0,"",N(E745)-N(F745)))</f>
        <v/>
      </c>
      <c r="I745" s="130" t="str">
        <f>IF($L745="","",IF(INDEX('MTRs'!$AM$6:$AM$505,$L745)=0,"",N(F745)-N(G745)))</f>
        <v/>
      </c>
      <c r="J745" s="120" t="str">
        <f>IF($L745="","",INDEX('MTRs'!$S$6:$S$505,$L745)&amp;"")</f>
        <v/>
      </c>
      <c r="L745" t="str">
        <f>IFERROR(MATCH(143,'MTRs'!$BB$6:$BB$505,0),"")</f>
        <v/>
      </c>
    </row>
    <row r="746">
      <c r="B746" s="119" t="str">
        <f>IF($L746="","",INDEX('MTRs'!$A$6:$A$505,$L746)&amp;"")</f>
        <v/>
      </c>
      <c r="C746" s="120" t="str">
        <f>IF($L746="","",INDEX('MTRs'!$B$6:$B$505,$L746)&amp;"")</f>
        <v/>
      </c>
      <c r="D746" s="121" t="str">
        <f>IF($L746="","",INDEX('MTRs'!$W$6:$W$505,$L746))</f>
        <v/>
      </c>
      <c r="E746" s="122" t="str">
        <f>IF($L746="","",INDEX('MTRs'!$P$6:$P$505,$L746))</f>
        <v/>
      </c>
      <c r="F746" s="122" t="str">
        <f>IF($L746="","",INDEX('MTRs'!$Q$6:$Q$505,$L746))</f>
        <v/>
      </c>
      <c r="G746" s="122" t="str">
        <f>IF($L746="","",INDEX('MTRs'!$R$6:$R$505,$L746))</f>
        <v/>
      </c>
      <c r="H746" s="130" t="str">
        <f>IF($L746="","",IF(INDEX('MTRs'!$AM$6:$AM$505,$L746)=0,"",N(E746)-N(F746)))</f>
        <v/>
      </c>
      <c r="I746" s="130" t="str">
        <f>IF($L746="","",IF(INDEX('MTRs'!$AM$6:$AM$505,$L746)=0,"",N(F746)-N(G746)))</f>
        <v/>
      </c>
      <c r="J746" s="120" t="str">
        <f>IF($L746="","",INDEX('MTRs'!$S$6:$S$505,$L746)&amp;"")</f>
        <v/>
      </c>
      <c r="L746" t="str">
        <f>IFERROR(MATCH(144,'MTRs'!$BB$6:$BB$505,0),"")</f>
        <v/>
      </c>
    </row>
    <row r="747">
      <c r="B747" s="119" t="str">
        <f>IF($L747="","",INDEX('MTRs'!$A$6:$A$505,$L747)&amp;"")</f>
        <v/>
      </c>
      <c r="C747" s="120" t="str">
        <f>IF($L747="","",INDEX('MTRs'!$B$6:$B$505,$L747)&amp;"")</f>
        <v/>
      </c>
      <c r="D747" s="121" t="str">
        <f>IF($L747="","",INDEX('MTRs'!$W$6:$W$505,$L747))</f>
        <v/>
      </c>
      <c r="E747" s="122" t="str">
        <f>IF($L747="","",INDEX('MTRs'!$P$6:$P$505,$L747))</f>
        <v/>
      </c>
      <c r="F747" s="122" t="str">
        <f>IF($L747="","",INDEX('MTRs'!$Q$6:$Q$505,$L747))</f>
        <v/>
      </c>
      <c r="G747" s="122" t="str">
        <f>IF($L747="","",INDEX('MTRs'!$R$6:$R$505,$L747))</f>
        <v/>
      </c>
      <c r="H747" s="130" t="str">
        <f>IF($L747="","",IF(INDEX('MTRs'!$AM$6:$AM$505,$L747)=0,"",N(E747)-N(F747)))</f>
        <v/>
      </c>
      <c r="I747" s="130" t="str">
        <f>IF($L747="","",IF(INDEX('MTRs'!$AM$6:$AM$505,$L747)=0,"",N(F747)-N(G747)))</f>
        <v/>
      </c>
      <c r="J747" s="120" t="str">
        <f>IF($L747="","",INDEX('MTRs'!$S$6:$S$505,$L747)&amp;"")</f>
        <v/>
      </c>
      <c r="L747" t="str">
        <f>IFERROR(MATCH(145,'MTRs'!$BB$6:$BB$505,0),"")</f>
        <v/>
      </c>
    </row>
    <row r="748">
      <c r="B748" s="119" t="str">
        <f>IF($L748="","",INDEX('MTRs'!$A$6:$A$505,$L748)&amp;"")</f>
        <v/>
      </c>
      <c r="C748" s="120" t="str">
        <f>IF($L748="","",INDEX('MTRs'!$B$6:$B$505,$L748)&amp;"")</f>
        <v/>
      </c>
      <c r="D748" s="121" t="str">
        <f>IF($L748="","",INDEX('MTRs'!$W$6:$W$505,$L748))</f>
        <v/>
      </c>
      <c r="E748" s="122" t="str">
        <f>IF($L748="","",INDEX('MTRs'!$P$6:$P$505,$L748))</f>
        <v/>
      </c>
      <c r="F748" s="122" t="str">
        <f>IF($L748="","",INDEX('MTRs'!$Q$6:$Q$505,$L748))</f>
        <v/>
      </c>
      <c r="G748" s="122" t="str">
        <f>IF($L748="","",INDEX('MTRs'!$R$6:$R$505,$L748))</f>
        <v/>
      </c>
      <c r="H748" s="130" t="str">
        <f>IF($L748="","",IF(INDEX('MTRs'!$AM$6:$AM$505,$L748)=0,"",N(E748)-N(F748)))</f>
        <v/>
      </c>
      <c r="I748" s="130" t="str">
        <f>IF($L748="","",IF(INDEX('MTRs'!$AM$6:$AM$505,$L748)=0,"",N(F748)-N(G748)))</f>
        <v/>
      </c>
      <c r="J748" s="120" t="str">
        <f>IF($L748="","",INDEX('MTRs'!$S$6:$S$505,$L748)&amp;"")</f>
        <v/>
      </c>
      <c r="L748" t="str">
        <f>IFERROR(MATCH(146,'MTRs'!$BB$6:$BB$505,0),"")</f>
        <v/>
      </c>
    </row>
    <row r="749">
      <c r="B749" s="119" t="str">
        <f>IF($L749="","",INDEX('MTRs'!$A$6:$A$505,$L749)&amp;"")</f>
        <v/>
      </c>
      <c r="C749" s="120" t="str">
        <f>IF($L749="","",INDEX('MTRs'!$B$6:$B$505,$L749)&amp;"")</f>
        <v/>
      </c>
      <c r="D749" s="121" t="str">
        <f>IF($L749="","",INDEX('MTRs'!$W$6:$W$505,$L749))</f>
        <v/>
      </c>
      <c r="E749" s="122" t="str">
        <f>IF($L749="","",INDEX('MTRs'!$P$6:$P$505,$L749))</f>
        <v/>
      </c>
      <c r="F749" s="122" t="str">
        <f>IF($L749="","",INDEX('MTRs'!$Q$6:$Q$505,$L749))</f>
        <v/>
      </c>
      <c r="G749" s="122" t="str">
        <f>IF($L749="","",INDEX('MTRs'!$R$6:$R$505,$L749))</f>
        <v/>
      </c>
      <c r="H749" s="130" t="str">
        <f>IF($L749="","",IF(INDEX('MTRs'!$AM$6:$AM$505,$L749)=0,"",N(E749)-N(F749)))</f>
        <v/>
      </c>
      <c r="I749" s="130" t="str">
        <f>IF($L749="","",IF(INDEX('MTRs'!$AM$6:$AM$505,$L749)=0,"",N(F749)-N(G749)))</f>
        <v/>
      </c>
      <c r="J749" s="120" t="str">
        <f>IF($L749="","",INDEX('MTRs'!$S$6:$S$505,$L749)&amp;"")</f>
        <v/>
      </c>
      <c r="L749" t="str">
        <f>IFERROR(MATCH(147,'MTRs'!$BB$6:$BB$505,0),"")</f>
        <v/>
      </c>
    </row>
    <row r="750">
      <c r="B750" s="119" t="str">
        <f>IF($L750="","",INDEX('MTRs'!$A$6:$A$505,$L750)&amp;"")</f>
        <v/>
      </c>
      <c r="C750" s="120" t="str">
        <f>IF($L750="","",INDEX('MTRs'!$B$6:$B$505,$L750)&amp;"")</f>
        <v/>
      </c>
      <c r="D750" s="121" t="str">
        <f>IF($L750="","",INDEX('MTRs'!$W$6:$W$505,$L750))</f>
        <v/>
      </c>
      <c r="E750" s="122" t="str">
        <f>IF($L750="","",INDEX('MTRs'!$P$6:$P$505,$L750))</f>
        <v/>
      </c>
      <c r="F750" s="122" t="str">
        <f>IF($L750="","",INDEX('MTRs'!$Q$6:$Q$505,$L750))</f>
        <v/>
      </c>
      <c r="G750" s="122" t="str">
        <f>IF($L750="","",INDEX('MTRs'!$R$6:$R$505,$L750))</f>
        <v/>
      </c>
      <c r="H750" s="130" t="str">
        <f>IF($L750="","",IF(INDEX('MTRs'!$AM$6:$AM$505,$L750)=0,"",N(E750)-N(F750)))</f>
        <v/>
      </c>
      <c r="I750" s="130" t="str">
        <f>IF($L750="","",IF(INDEX('MTRs'!$AM$6:$AM$505,$L750)=0,"",N(F750)-N(G750)))</f>
        <v/>
      </c>
      <c r="J750" s="120" t="str">
        <f>IF($L750="","",INDEX('MTRs'!$S$6:$S$505,$L750)&amp;"")</f>
        <v/>
      </c>
      <c r="L750" t="str">
        <f>IFERROR(MATCH(148,'MTRs'!$BB$6:$BB$505,0),"")</f>
        <v/>
      </c>
    </row>
    <row r="751">
      <c r="B751" s="119" t="str">
        <f>IF($L751="","",INDEX('MTRs'!$A$6:$A$505,$L751)&amp;"")</f>
        <v/>
      </c>
      <c r="C751" s="120" t="str">
        <f>IF($L751="","",INDEX('MTRs'!$B$6:$B$505,$L751)&amp;"")</f>
        <v/>
      </c>
      <c r="D751" s="121" t="str">
        <f>IF($L751="","",INDEX('MTRs'!$W$6:$W$505,$L751))</f>
        <v/>
      </c>
      <c r="E751" s="122" t="str">
        <f>IF($L751="","",INDEX('MTRs'!$P$6:$P$505,$L751))</f>
        <v/>
      </c>
      <c r="F751" s="122" t="str">
        <f>IF($L751="","",INDEX('MTRs'!$Q$6:$Q$505,$L751))</f>
        <v/>
      </c>
      <c r="G751" s="122" t="str">
        <f>IF($L751="","",INDEX('MTRs'!$R$6:$R$505,$L751))</f>
        <v/>
      </c>
      <c r="H751" s="130" t="str">
        <f>IF($L751="","",IF(INDEX('MTRs'!$AM$6:$AM$505,$L751)=0,"",N(E751)-N(F751)))</f>
        <v/>
      </c>
      <c r="I751" s="130" t="str">
        <f>IF($L751="","",IF(INDEX('MTRs'!$AM$6:$AM$505,$L751)=0,"",N(F751)-N(G751)))</f>
        <v/>
      </c>
      <c r="J751" s="120" t="str">
        <f>IF($L751="","",INDEX('MTRs'!$S$6:$S$505,$L751)&amp;"")</f>
        <v/>
      </c>
      <c r="L751" t="str">
        <f>IFERROR(MATCH(149,'MTRs'!$BB$6:$BB$505,0),"")</f>
        <v/>
      </c>
    </row>
    <row r="752">
      <c r="B752" s="119" t="str">
        <f>IF($L752="","",INDEX('MTRs'!$A$6:$A$505,$L752)&amp;"")</f>
        <v/>
      </c>
      <c r="C752" s="120" t="str">
        <f>IF($L752="","",INDEX('MTRs'!$B$6:$B$505,$L752)&amp;"")</f>
        <v/>
      </c>
      <c r="D752" s="121" t="str">
        <f>IF($L752="","",INDEX('MTRs'!$W$6:$W$505,$L752))</f>
        <v/>
      </c>
      <c r="E752" s="122" t="str">
        <f>IF($L752="","",INDEX('MTRs'!$P$6:$P$505,$L752))</f>
        <v/>
      </c>
      <c r="F752" s="122" t="str">
        <f>IF($L752="","",INDEX('MTRs'!$Q$6:$Q$505,$L752))</f>
        <v/>
      </c>
      <c r="G752" s="122" t="str">
        <f>IF($L752="","",INDEX('MTRs'!$R$6:$R$505,$L752))</f>
        <v/>
      </c>
      <c r="H752" s="130" t="str">
        <f>IF($L752="","",IF(INDEX('MTRs'!$AM$6:$AM$505,$L752)=0,"",N(E752)-N(F752)))</f>
        <v/>
      </c>
      <c r="I752" s="130" t="str">
        <f>IF($L752="","",IF(INDEX('MTRs'!$AM$6:$AM$505,$L752)=0,"",N(F752)-N(G752)))</f>
        <v/>
      </c>
      <c r="J752" s="120" t="str">
        <f>IF($L752="","",INDEX('MTRs'!$S$6:$S$505,$L752)&amp;"")</f>
        <v/>
      </c>
      <c r="L752" t="str">
        <f>IFERROR(MATCH(150,'MTRs'!$BB$6:$BB$505,0),"")</f>
        <v/>
      </c>
    </row>
    <row r="753">
      <c r="B753" s="119" t="str">
        <f>IF($L753="","",INDEX('MTRs'!$A$6:$A$505,$L753)&amp;"")</f>
        <v/>
      </c>
      <c r="C753" s="120" t="str">
        <f>IF($L753="","",INDEX('MTRs'!$B$6:$B$505,$L753)&amp;"")</f>
        <v/>
      </c>
      <c r="D753" s="121" t="str">
        <f>IF($L753="","",INDEX('MTRs'!$W$6:$W$505,$L753))</f>
        <v/>
      </c>
      <c r="E753" s="122" t="str">
        <f>IF($L753="","",INDEX('MTRs'!$P$6:$P$505,$L753))</f>
        <v/>
      </c>
      <c r="F753" s="122" t="str">
        <f>IF($L753="","",INDEX('MTRs'!$Q$6:$Q$505,$L753))</f>
        <v/>
      </c>
      <c r="G753" s="122" t="str">
        <f>IF($L753="","",INDEX('MTRs'!$R$6:$R$505,$L753))</f>
        <v/>
      </c>
      <c r="H753" s="130" t="str">
        <f>IF($L753="","",IF(INDEX('MTRs'!$AM$6:$AM$505,$L753)=0,"",N(E753)-N(F753)))</f>
        <v/>
      </c>
      <c r="I753" s="130" t="str">
        <f>IF($L753="","",IF(INDEX('MTRs'!$AM$6:$AM$505,$L753)=0,"",N(F753)-N(G753)))</f>
        <v/>
      </c>
      <c r="J753" s="120" t="str">
        <f>IF($L753="","",INDEX('MTRs'!$S$6:$S$505,$L753)&amp;"")</f>
        <v/>
      </c>
      <c r="L753" t="str">
        <f>IFERROR(MATCH(151,'MTRs'!$BB$6:$BB$505,0),"")</f>
        <v/>
      </c>
    </row>
    <row r="754">
      <c r="B754" s="119" t="str">
        <f>IF($L754="","",INDEX('MTRs'!$A$6:$A$505,$L754)&amp;"")</f>
        <v/>
      </c>
      <c r="C754" s="120" t="str">
        <f>IF($L754="","",INDEX('MTRs'!$B$6:$B$505,$L754)&amp;"")</f>
        <v/>
      </c>
      <c r="D754" s="121" t="str">
        <f>IF($L754="","",INDEX('MTRs'!$W$6:$W$505,$L754))</f>
        <v/>
      </c>
      <c r="E754" s="122" t="str">
        <f>IF($L754="","",INDEX('MTRs'!$P$6:$P$505,$L754))</f>
        <v/>
      </c>
      <c r="F754" s="122" t="str">
        <f>IF($L754="","",INDEX('MTRs'!$Q$6:$Q$505,$L754))</f>
        <v/>
      </c>
      <c r="G754" s="122" t="str">
        <f>IF($L754="","",INDEX('MTRs'!$R$6:$R$505,$L754))</f>
        <v/>
      </c>
      <c r="H754" s="130" t="str">
        <f>IF($L754="","",IF(INDEX('MTRs'!$AM$6:$AM$505,$L754)=0,"",N(E754)-N(F754)))</f>
        <v/>
      </c>
      <c r="I754" s="130" t="str">
        <f>IF($L754="","",IF(INDEX('MTRs'!$AM$6:$AM$505,$L754)=0,"",N(F754)-N(G754)))</f>
        <v/>
      </c>
      <c r="J754" s="120" t="str">
        <f>IF($L754="","",INDEX('MTRs'!$S$6:$S$505,$L754)&amp;"")</f>
        <v/>
      </c>
      <c r="L754" t="str">
        <f>IFERROR(MATCH(152,'MTRs'!$BB$6:$BB$505,0),"")</f>
        <v/>
      </c>
    </row>
    <row r="755">
      <c r="B755" s="119" t="str">
        <f>IF($L755="","",INDEX('MTRs'!$A$6:$A$505,$L755)&amp;"")</f>
        <v/>
      </c>
      <c r="C755" s="120" t="str">
        <f>IF($L755="","",INDEX('MTRs'!$B$6:$B$505,$L755)&amp;"")</f>
        <v/>
      </c>
      <c r="D755" s="121" t="str">
        <f>IF($L755="","",INDEX('MTRs'!$W$6:$W$505,$L755))</f>
        <v/>
      </c>
      <c r="E755" s="122" t="str">
        <f>IF($L755="","",INDEX('MTRs'!$P$6:$P$505,$L755))</f>
        <v/>
      </c>
      <c r="F755" s="122" t="str">
        <f>IF($L755="","",INDEX('MTRs'!$Q$6:$Q$505,$L755))</f>
        <v/>
      </c>
      <c r="G755" s="122" t="str">
        <f>IF($L755="","",INDEX('MTRs'!$R$6:$R$505,$L755))</f>
        <v/>
      </c>
      <c r="H755" s="130" t="str">
        <f>IF($L755="","",IF(INDEX('MTRs'!$AM$6:$AM$505,$L755)=0,"",N(E755)-N(F755)))</f>
        <v/>
      </c>
      <c r="I755" s="130" t="str">
        <f>IF($L755="","",IF(INDEX('MTRs'!$AM$6:$AM$505,$L755)=0,"",N(F755)-N(G755)))</f>
        <v/>
      </c>
      <c r="J755" s="120" t="str">
        <f>IF($L755="","",INDEX('MTRs'!$S$6:$S$505,$L755)&amp;"")</f>
        <v/>
      </c>
      <c r="L755" t="str">
        <f>IFERROR(MATCH(153,'MTRs'!$BB$6:$BB$505,0),"")</f>
        <v/>
      </c>
    </row>
    <row r="756">
      <c r="B756" s="119" t="str">
        <f>IF($L756="","",INDEX('MTRs'!$A$6:$A$505,$L756)&amp;"")</f>
        <v/>
      </c>
      <c r="C756" s="120" t="str">
        <f>IF($L756="","",INDEX('MTRs'!$B$6:$B$505,$L756)&amp;"")</f>
        <v/>
      </c>
      <c r="D756" s="121" t="str">
        <f>IF($L756="","",INDEX('MTRs'!$W$6:$W$505,$L756))</f>
        <v/>
      </c>
      <c r="E756" s="122" t="str">
        <f>IF($L756="","",INDEX('MTRs'!$P$6:$P$505,$L756))</f>
        <v/>
      </c>
      <c r="F756" s="122" t="str">
        <f>IF($L756="","",INDEX('MTRs'!$Q$6:$Q$505,$L756))</f>
        <v/>
      </c>
      <c r="G756" s="122" t="str">
        <f>IF($L756="","",INDEX('MTRs'!$R$6:$R$505,$L756))</f>
        <v/>
      </c>
      <c r="H756" s="130" t="str">
        <f>IF($L756="","",IF(INDEX('MTRs'!$AM$6:$AM$505,$L756)=0,"",N(E756)-N(F756)))</f>
        <v/>
      </c>
      <c r="I756" s="130" t="str">
        <f>IF($L756="","",IF(INDEX('MTRs'!$AM$6:$AM$505,$L756)=0,"",N(F756)-N(G756)))</f>
        <v/>
      </c>
      <c r="J756" s="120" t="str">
        <f>IF($L756="","",INDEX('MTRs'!$S$6:$S$505,$L756)&amp;"")</f>
        <v/>
      </c>
      <c r="L756" t="str">
        <f>IFERROR(MATCH(154,'MTRs'!$BB$6:$BB$505,0),"")</f>
        <v/>
      </c>
    </row>
    <row r="757">
      <c r="B757" s="119" t="str">
        <f>IF($L757="","",INDEX('MTRs'!$A$6:$A$505,$L757)&amp;"")</f>
        <v/>
      </c>
      <c r="C757" s="120" t="str">
        <f>IF($L757="","",INDEX('MTRs'!$B$6:$B$505,$L757)&amp;"")</f>
        <v/>
      </c>
      <c r="D757" s="121" t="str">
        <f>IF($L757="","",INDEX('MTRs'!$W$6:$W$505,$L757))</f>
        <v/>
      </c>
      <c r="E757" s="122" t="str">
        <f>IF($L757="","",INDEX('MTRs'!$P$6:$P$505,$L757))</f>
        <v/>
      </c>
      <c r="F757" s="122" t="str">
        <f>IF($L757="","",INDEX('MTRs'!$Q$6:$Q$505,$L757))</f>
        <v/>
      </c>
      <c r="G757" s="122" t="str">
        <f>IF($L757="","",INDEX('MTRs'!$R$6:$R$505,$L757))</f>
        <v/>
      </c>
      <c r="H757" s="130" t="str">
        <f>IF($L757="","",IF(INDEX('MTRs'!$AM$6:$AM$505,$L757)=0,"",N(E757)-N(F757)))</f>
        <v/>
      </c>
      <c r="I757" s="130" t="str">
        <f>IF($L757="","",IF(INDEX('MTRs'!$AM$6:$AM$505,$L757)=0,"",N(F757)-N(G757)))</f>
        <v/>
      </c>
      <c r="J757" s="120" t="str">
        <f>IF($L757="","",INDEX('MTRs'!$S$6:$S$505,$L757)&amp;"")</f>
        <v/>
      </c>
      <c r="L757" t="str">
        <f>IFERROR(MATCH(155,'MTRs'!$BB$6:$BB$505,0),"")</f>
        <v/>
      </c>
    </row>
    <row r="758">
      <c r="B758" s="119" t="str">
        <f>IF($L758="","",INDEX('MTRs'!$A$6:$A$505,$L758)&amp;"")</f>
        <v/>
      </c>
      <c r="C758" s="120" t="str">
        <f>IF($L758="","",INDEX('MTRs'!$B$6:$B$505,$L758)&amp;"")</f>
        <v/>
      </c>
      <c r="D758" s="121" t="str">
        <f>IF($L758="","",INDEX('MTRs'!$W$6:$W$505,$L758))</f>
        <v/>
      </c>
      <c r="E758" s="122" t="str">
        <f>IF($L758="","",INDEX('MTRs'!$P$6:$P$505,$L758))</f>
        <v/>
      </c>
      <c r="F758" s="122" t="str">
        <f>IF($L758="","",INDEX('MTRs'!$Q$6:$Q$505,$L758))</f>
        <v/>
      </c>
      <c r="G758" s="122" t="str">
        <f>IF($L758="","",INDEX('MTRs'!$R$6:$R$505,$L758))</f>
        <v/>
      </c>
      <c r="H758" s="130" t="str">
        <f>IF($L758="","",IF(INDEX('MTRs'!$AM$6:$AM$505,$L758)=0,"",N(E758)-N(F758)))</f>
        <v/>
      </c>
      <c r="I758" s="130" t="str">
        <f>IF($L758="","",IF(INDEX('MTRs'!$AM$6:$AM$505,$L758)=0,"",N(F758)-N(G758)))</f>
        <v/>
      </c>
      <c r="J758" s="120" t="str">
        <f>IF($L758="","",INDEX('MTRs'!$S$6:$S$505,$L758)&amp;"")</f>
        <v/>
      </c>
      <c r="L758" t="str">
        <f>IFERROR(MATCH(156,'MTRs'!$BB$6:$BB$505,0),"")</f>
        <v/>
      </c>
    </row>
    <row r="759">
      <c r="B759" s="119" t="str">
        <f>IF($L759="","",INDEX('MTRs'!$A$6:$A$505,$L759)&amp;"")</f>
        <v/>
      </c>
      <c r="C759" s="120" t="str">
        <f>IF($L759="","",INDEX('MTRs'!$B$6:$B$505,$L759)&amp;"")</f>
        <v/>
      </c>
      <c r="D759" s="121" t="str">
        <f>IF($L759="","",INDEX('MTRs'!$W$6:$W$505,$L759))</f>
        <v/>
      </c>
      <c r="E759" s="122" t="str">
        <f>IF($L759="","",INDEX('MTRs'!$P$6:$P$505,$L759))</f>
        <v/>
      </c>
      <c r="F759" s="122" t="str">
        <f>IF($L759="","",INDEX('MTRs'!$Q$6:$Q$505,$L759))</f>
        <v/>
      </c>
      <c r="G759" s="122" t="str">
        <f>IF($L759="","",INDEX('MTRs'!$R$6:$R$505,$L759))</f>
        <v/>
      </c>
      <c r="H759" s="130" t="str">
        <f>IF($L759="","",IF(INDEX('MTRs'!$AM$6:$AM$505,$L759)=0,"",N(E759)-N(F759)))</f>
        <v/>
      </c>
      <c r="I759" s="130" t="str">
        <f>IF($L759="","",IF(INDEX('MTRs'!$AM$6:$AM$505,$L759)=0,"",N(F759)-N(G759)))</f>
        <v/>
      </c>
      <c r="J759" s="120" t="str">
        <f>IF($L759="","",INDEX('MTRs'!$S$6:$S$505,$L759)&amp;"")</f>
        <v/>
      </c>
      <c r="L759" t="str">
        <f>IFERROR(MATCH(157,'MTRs'!$BB$6:$BB$505,0),"")</f>
        <v/>
      </c>
    </row>
    <row r="760">
      <c r="B760" s="119" t="str">
        <f>IF($L760="","",INDEX('MTRs'!$A$6:$A$505,$L760)&amp;"")</f>
        <v/>
      </c>
      <c r="C760" s="120" t="str">
        <f>IF($L760="","",INDEX('MTRs'!$B$6:$B$505,$L760)&amp;"")</f>
        <v/>
      </c>
      <c r="D760" s="121" t="str">
        <f>IF($L760="","",INDEX('MTRs'!$W$6:$W$505,$L760))</f>
        <v/>
      </c>
      <c r="E760" s="122" t="str">
        <f>IF($L760="","",INDEX('MTRs'!$P$6:$P$505,$L760))</f>
        <v/>
      </c>
      <c r="F760" s="122" t="str">
        <f>IF($L760="","",INDEX('MTRs'!$Q$6:$Q$505,$L760))</f>
        <v/>
      </c>
      <c r="G760" s="122" t="str">
        <f>IF($L760="","",INDEX('MTRs'!$R$6:$R$505,$L760))</f>
        <v/>
      </c>
      <c r="H760" s="130" t="str">
        <f>IF($L760="","",IF(INDEX('MTRs'!$AM$6:$AM$505,$L760)=0,"",N(E760)-N(F760)))</f>
        <v/>
      </c>
      <c r="I760" s="130" t="str">
        <f>IF($L760="","",IF(INDEX('MTRs'!$AM$6:$AM$505,$L760)=0,"",N(F760)-N(G760)))</f>
        <v/>
      </c>
      <c r="J760" s="120" t="str">
        <f>IF($L760="","",INDEX('MTRs'!$S$6:$S$505,$L760)&amp;"")</f>
        <v/>
      </c>
      <c r="L760" t="str">
        <f>IFERROR(MATCH(158,'MTRs'!$BB$6:$BB$505,0),"")</f>
        <v/>
      </c>
    </row>
    <row r="761">
      <c r="B761" s="119" t="str">
        <f>IF($L761="","",INDEX('MTRs'!$A$6:$A$505,$L761)&amp;"")</f>
        <v/>
      </c>
      <c r="C761" s="120" t="str">
        <f>IF($L761="","",INDEX('MTRs'!$B$6:$B$505,$L761)&amp;"")</f>
        <v/>
      </c>
      <c r="D761" s="121" t="str">
        <f>IF($L761="","",INDEX('MTRs'!$W$6:$W$505,$L761))</f>
        <v/>
      </c>
      <c r="E761" s="122" t="str">
        <f>IF($L761="","",INDEX('MTRs'!$P$6:$P$505,$L761))</f>
        <v/>
      </c>
      <c r="F761" s="122" t="str">
        <f>IF($L761="","",INDEX('MTRs'!$Q$6:$Q$505,$L761))</f>
        <v/>
      </c>
      <c r="G761" s="122" t="str">
        <f>IF($L761="","",INDEX('MTRs'!$R$6:$R$505,$L761))</f>
        <v/>
      </c>
      <c r="H761" s="130" t="str">
        <f>IF($L761="","",IF(INDEX('MTRs'!$AM$6:$AM$505,$L761)=0,"",N(E761)-N(F761)))</f>
        <v/>
      </c>
      <c r="I761" s="130" t="str">
        <f>IF($L761="","",IF(INDEX('MTRs'!$AM$6:$AM$505,$L761)=0,"",N(F761)-N(G761)))</f>
        <v/>
      </c>
      <c r="J761" s="120" t="str">
        <f>IF($L761="","",INDEX('MTRs'!$S$6:$S$505,$L761)&amp;"")</f>
        <v/>
      </c>
      <c r="L761" t="str">
        <f>IFERROR(MATCH(159,'MTRs'!$BB$6:$BB$505,0),"")</f>
        <v/>
      </c>
    </row>
    <row r="762">
      <c r="B762" s="119" t="str">
        <f>IF($L762="","",INDEX('MTRs'!$A$6:$A$505,$L762)&amp;"")</f>
        <v/>
      </c>
      <c r="C762" s="120" t="str">
        <f>IF($L762="","",INDEX('MTRs'!$B$6:$B$505,$L762)&amp;"")</f>
        <v/>
      </c>
      <c r="D762" s="121" t="str">
        <f>IF($L762="","",INDEX('MTRs'!$W$6:$W$505,$L762))</f>
        <v/>
      </c>
      <c r="E762" s="122" t="str">
        <f>IF($L762="","",INDEX('MTRs'!$P$6:$P$505,$L762))</f>
        <v/>
      </c>
      <c r="F762" s="122" t="str">
        <f>IF($L762="","",INDEX('MTRs'!$Q$6:$Q$505,$L762))</f>
        <v/>
      </c>
      <c r="G762" s="122" t="str">
        <f>IF($L762="","",INDEX('MTRs'!$R$6:$R$505,$L762))</f>
        <v/>
      </c>
      <c r="H762" s="130" t="str">
        <f>IF($L762="","",IF(INDEX('MTRs'!$AM$6:$AM$505,$L762)=0,"",N(E762)-N(F762)))</f>
        <v/>
      </c>
      <c r="I762" s="130" t="str">
        <f>IF($L762="","",IF(INDEX('MTRs'!$AM$6:$AM$505,$L762)=0,"",N(F762)-N(G762)))</f>
        <v/>
      </c>
      <c r="J762" s="120" t="str">
        <f>IF($L762="","",INDEX('MTRs'!$S$6:$S$505,$L762)&amp;"")</f>
        <v/>
      </c>
      <c r="L762" t="str">
        <f>IFERROR(MATCH(160,'MTRs'!$BB$6:$BB$505,0),"")</f>
        <v/>
      </c>
    </row>
    <row r="763">
      <c r="B763" s="119" t="str">
        <f>IF($L763="","",INDEX('MTRs'!$A$6:$A$505,$L763)&amp;"")</f>
        <v/>
      </c>
      <c r="C763" s="120" t="str">
        <f>IF($L763="","",INDEX('MTRs'!$B$6:$B$505,$L763)&amp;"")</f>
        <v/>
      </c>
      <c r="D763" s="121" t="str">
        <f>IF($L763="","",INDEX('MTRs'!$W$6:$W$505,$L763))</f>
        <v/>
      </c>
      <c r="E763" s="122" t="str">
        <f>IF($L763="","",INDEX('MTRs'!$P$6:$P$505,$L763))</f>
        <v/>
      </c>
      <c r="F763" s="122" t="str">
        <f>IF($L763="","",INDEX('MTRs'!$Q$6:$Q$505,$L763))</f>
        <v/>
      </c>
      <c r="G763" s="122" t="str">
        <f>IF($L763="","",INDEX('MTRs'!$R$6:$R$505,$L763))</f>
        <v/>
      </c>
      <c r="H763" s="130" t="str">
        <f>IF($L763="","",IF(INDEX('MTRs'!$AM$6:$AM$505,$L763)=0,"",N(E763)-N(F763)))</f>
        <v/>
      </c>
      <c r="I763" s="130" t="str">
        <f>IF($L763="","",IF(INDEX('MTRs'!$AM$6:$AM$505,$L763)=0,"",N(F763)-N(G763)))</f>
        <v/>
      </c>
      <c r="J763" s="120" t="str">
        <f>IF($L763="","",INDEX('MTRs'!$S$6:$S$505,$L763)&amp;"")</f>
        <v/>
      </c>
      <c r="L763" t="str">
        <f>IFERROR(MATCH(161,'MTRs'!$BB$6:$BB$505,0),"")</f>
        <v/>
      </c>
    </row>
    <row r="764">
      <c r="B764" s="119" t="str">
        <f>IF($L764="","",INDEX('MTRs'!$A$6:$A$505,$L764)&amp;"")</f>
        <v/>
      </c>
      <c r="C764" s="120" t="str">
        <f>IF($L764="","",INDEX('MTRs'!$B$6:$B$505,$L764)&amp;"")</f>
        <v/>
      </c>
      <c r="D764" s="121" t="str">
        <f>IF($L764="","",INDEX('MTRs'!$W$6:$W$505,$L764))</f>
        <v/>
      </c>
      <c r="E764" s="122" t="str">
        <f>IF($L764="","",INDEX('MTRs'!$P$6:$P$505,$L764))</f>
        <v/>
      </c>
      <c r="F764" s="122" t="str">
        <f>IF($L764="","",INDEX('MTRs'!$Q$6:$Q$505,$L764))</f>
        <v/>
      </c>
      <c r="G764" s="122" t="str">
        <f>IF($L764="","",INDEX('MTRs'!$R$6:$R$505,$L764))</f>
        <v/>
      </c>
      <c r="H764" s="130" t="str">
        <f>IF($L764="","",IF(INDEX('MTRs'!$AM$6:$AM$505,$L764)=0,"",N(E764)-N(F764)))</f>
        <v/>
      </c>
      <c r="I764" s="130" t="str">
        <f>IF($L764="","",IF(INDEX('MTRs'!$AM$6:$AM$505,$L764)=0,"",N(F764)-N(G764)))</f>
        <v/>
      </c>
      <c r="J764" s="120" t="str">
        <f>IF($L764="","",INDEX('MTRs'!$S$6:$S$505,$L764)&amp;"")</f>
        <v/>
      </c>
      <c r="L764" t="str">
        <f>IFERROR(MATCH(162,'MTRs'!$BB$6:$BB$505,0),"")</f>
        <v/>
      </c>
    </row>
    <row r="765">
      <c r="B765" s="119" t="str">
        <f>IF($L765="","",INDEX('MTRs'!$A$6:$A$505,$L765)&amp;"")</f>
        <v/>
      </c>
      <c r="C765" s="120" t="str">
        <f>IF($L765="","",INDEX('MTRs'!$B$6:$B$505,$L765)&amp;"")</f>
        <v/>
      </c>
      <c r="D765" s="121" t="str">
        <f>IF($L765="","",INDEX('MTRs'!$W$6:$W$505,$L765))</f>
        <v/>
      </c>
      <c r="E765" s="122" t="str">
        <f>IF($L765="","",INDEX('MTRs'!$P$6:$P$505,$L765))</f>
        <v/>
      </c>
      <c r="F765" s="122" t="str">
        <f>IF($L765="","",INDEX('MTRs'!$Q$6:$Q$505,$L765))</f>
        <v/>
      </c>
      <c r="G765" s="122" t="str">
        <f>IF($L765="","",INDEX('MTRs'!$R$6:$R$505,$L765))</f>
        <v/>
      </c>
      <c r="H765" s="130" t="str">
        <f>IF($L765="","",IF(INDEX('MTRs'!$AM$6:$AM$505,$L765)=0,"",N(E765)-N(F765)))</f>
        <v/>
      </c>
      <c r="I765" s="130" t="str">
        <f>IF($L765="","",IF(INDEX('MTRs'!$AM$6:$AM$505,$L765)=0,"",N(F765)-N(G765)))</f>
        <v/>
      </c>
      <c r="J765" s="120" t="str">
        <f>IF($L765="","",INDEX('MTRs'!$S$6:$S$505,$L765)&amp;"")</f>
        <v/>
      </c>
      <c r="L765" t="str">
        <f>IFERROR(MATCH(163,'MTRs'!$BB$6:$BB$505,0),"")</f>
        <v/>
      </c>
    </row>
    <row r="766">
      <c r="B766" s="119" t="str">
        <f>IF($L766="","",INDEX('MTRs'!$A$6:$A$505,$L766)&amp;"")</f>
        <v/>
      </c>
      <c r="C766" s="120" t="str">
        <f>IF($L766="","",INDEX('MTRs'!$B$6:$B$505,$L766)&amp;"")</f>
        <v/>
      </c>
      <c r="D766" s="121" t="str">
        <f>IF($L766="","",INDEX('MTRs'!$W$6:$W$505,$L766))</f>
        <v/>
      </c>
      <c r="E766" s="122" t="str">
        <f>IF($L766="","",INDEX('MTRs'!$P$6:$P$505,$L766))</f>
        <v/>
      </c>
      <c r="F766" s="122" t="str">
        <f>IF($L766="","",INDEX('MTRs'!$Q$6:$Q$505,$L766))</f>
        <v/>
      </c>
      <c r="G766" s="122" t="str">
        <f>IF($L766="","",INDEX('MTRs'!$R$6:$R$505,$L766))</f>
        <v/>
      </c>
      <c r="H766" s="130" t="str">
        <f>IF($L766="","",IF(INDEX('MTRs'!$AM$6:$AM$505,$L766)=0,"",N(E766)-N(F766)))</f>
        <v/>
      </c>
      <c r="I766" s="130" t="str">
        <f>IF($L766="","",IF(INDEX('MTRs'!$AM$6:$AM$505,$L766)=0,"",N(F766)-N(G766)))</f>
        <v/>
      </c>
      <c r="J766" s="120" t="str">
        <f>IF($L766="","",INDEX('MTRs'!$S$6:$S$505,$L766)&amp;"")</f>
        <v/>
      </c>
      <c r="L766" t="str">
        <f>IFERROR(MATCH(164,'MTRs'!$BB$6:$BB$505,0),"")</f>
        <v/>
      </c>
    </row>
    <row r="767">
      <c r="B767" s="119" t="str">
        <f>IF($L767="","",INDEX('MTRs'!$A$6:$A$505,$L767)&amp;"")</f>
        <v/>
      </c>
      <c r="C767" s="120" t="str">
        <f>IF($L767="","",INDEX('MTRs'!$B$6:$B$505,$L767)&amp;"")</f>
        <v/>
      </c>
      <c r="D767" s="121" t="str">
        <f>IF($L767="","",INDEX('MTRs'!$W$6:$W$505,$L767))</f>
        <v/>
      </c>
      <c r="E767" s="122" t="str">
        <f>IF($L767="","",INDEX('MTRs'!$P$6:$P$505,$L767))</f>
        <v/>
      </c>
      <c r="F767" s="122" t="str">
        <f>IF($L767="","",INDEX('MTRs'!$Q$6:$Q$505,$L767))</f>
        <v/>
      </c>
      <c r="G767" s="122" t="str">
        <f>IF($L767="","",INDEX('MTRs'!$R$6:$R$505,$L767))</f>
        <v/>
      </c>
      <c r="H767" s="130" t="str">
        <f>IF($L767="","",IF(INDEX('MTRs'!$AM$6:$AM$505,$L767)=0,"",N(E767)-N(F767)))</f>
        <v/>
      </c>
      <c r="I767" s="130" t="str">
        <f>IF($L767="","",IF(INDEX('MTRs'!$AM$6:$AM$505,$L767)=0,"",N(F767)-N(G767)))</f>
        <v/>
      </c>
      <c r="J767" s="120" t="str">
        <f>IF($L767="","",INDEX('MTRs'!$S$6:$S$505,$L767)&amp;"")</f>
        <v/>
      </c>
      <c r="L767" t="str">
        <f>IFERROR(MATCH(165,'MTRs'!$BB$6:$BB$505,0),"")</f>
        <v/>
      </c>
    </row>
    <row r="768">
      <c r="B768" s="119" t="str">
        <f>IF($L768="","",INDEX('MTRs'!$A$6:$A$505,$L768)&amp;"")</f>
        <v/>
      </c>
      <c r="C768" s="120" t="str">
        <f>IF($L768="","",INDEX('MTRs'!$B$6:$B$505,$L768)&amp;"")</f>
        <v/>
      </c>
      <c r="D768" s="121" t="str">
        <f>IF($L768="","",INDEX('MTRs'!$W$6:$W$505,$L768))</f>
        <v/>
      </c>
      <c r="E768" s="122" t="str">
        <f>IF($L768="","",INDEX('MTRs'!$P$6:$P$505,$L768))</f>
        <v/>
      </c>
      <c r="F768" s="122" t="str">
        <f>IF($L768="","",INDEX('MTRs'!$Q$6:$Q$505,$L768))</f>
        <v/>
      </c>
      <c r="G768" s="122" t="str">
        <f>IF($L768="","",INDEX('MTRs'!$R$6:$R$505,$L768))</f>
        <v/>
      </c>
      <c r="H768" s="130" t="str">
        <f>IF($L768="","",IF(INDEX('MTRs'!$AM$6:$AM$505,$L768)=0,"",N(E768)-N(F768)))</f>
        <v/>
      </c>
      <c r="I768" s="130" t="str">
        <f>IF($L768="","",IF(INDEX('MTRs'!$AM$6:$AM$505,$L768)=0,"",N(F768)-N(G768)))</f>
        <v/>
      </c>
      <c r="J768" s="120" t="str">
        <f>IF($L768="","",INDEX('MTRs'!$S$6:$S$505,$L768)&amp;"")</f>
        <v/>
      </c>
      <c r="L768" t="str">
        <f>IFERROR(MATCH(166,'MTRs'!$BB$6:$BB$505,0),"")</f>
        <v/>
      </c>
    </row>
    <row r="769">
      <c r="B769" s="119" t="str">
        <f>IF($L769="","",INDEX('MTRs'!$A$6:$A$505,$L769)&amp;"")</f>
        <v/>
      </c>
      <c r="C769" s="120" t="str">
        <f>IF($L769="","",INDEX('MTRs'!$B$6:$B$505,$L769)&amp;"")</f>
        <v/>
      </c>
      <c r="D769" s="121" t="str">
        <f>IF($L769="","",INDEX('MTRs'!$W$6:$W$505,$L769))</f>
        <v/>
      </c>
      <c r="E769" s="122" t="str">
        <f>IF($L769="","",INDEX('MTRs'!$P$6:$P$505,$L769))</f>
        <v/>
      </c>
      <c r="F769" s="122" t="str">
        <f>IF($L769="","",INDEX('MTRs'!$Q$6:$Q$505,$L769))</f>
        <v/>
      </c>
      <c r="G769" s="122" t="str">
        <f>IF($L769="","",INDEX('MTRs'!$R$6:$R$505,$L769))</f>
        <v/>
      </c>
      <c r="H769" s="130" t="str">
        <f>IF($L769="","",IF(INDEX('MTRs'!$AM$6:$AM$505,$L769)=0,"",N(E769)-N(F769)))</f>
        <v/>
      </c>
      <c r="I769" s="130" t="str">
        <f>IF($L769="","",IF(INDEX('MTRs'!$AM$6:$AM$505,$L769)=0,"",N(F769)-N(G769)))</f>
        <v/>
      </c>
      <c r="J769" s="120" t="str">
        <f>IF($L769="","",INDEX('MTRs'!$S$6:$S$505,$L769)&amp;"")</f>
        <v/>
      </c>
      <c r="L769" t="str">
        <f>IFERROR(MATCH(167,'MTRs'!$BB$6:$BB$505,0),"")</f>
        <v/>
      </c>
    </row>
    <row r="770">
      <c r="B770" s="119" t="str">
        <f>IF($L770="","",INDEX('MTRs'!$A$6:$A$505,$L770)&amp;"")</f>
        <v/>
      </c>
      <c r="C770" s="120" t="str">
        <f>IF($L770="","",INDEX('MTRs'!$B$6:$B$505,$L770)&amp;"")</f>
        <v/>
      </c>
      <c r="D770" s="121" t="str">
        <f>IF($L770="","",INDEX('MTRs'!$W$6:$W$505,$L770))</f>
        <v/>
      </c>
      <c r="E770" s="122" t="str">
        <f>IF($L770="","",INDEX('MTRs'!$P$6:$P$505,$L770))</f>
        <v/>
      </c>
      <c r="F770" s="122" t="str">
        <f>IF($L770="","",INDEX('MTRs'!$Q$6:$Q$505,$L770))</f>
        <v/>
      </c>
      <c r="G770" s="122" t="str">
        <f>IF($L770="","",INDEX('MTRs'!$R$6:$R$505,$L770))</f>
        <v/>
      </c>
      <c r="H770" s="130" t="str">
        <f>IF($L770="","",IF(INDEX('MTRs'!$AM$6:$AM$505,$L770)=0,"",N(E770)-N(F770)))</f>
        <v/>
      </c>
      <c r="I770" s="130" t="str">
        <f>IF($L770="","",IF(INDEX('MTRs'!$AM$6:$AM$505,$L770)=0,"",N(F770)-N(G770)))</f>
        <v/>
      </c>
      <c r="J770" s="120" t="str">
        <f>IF($L770="","",INDEX('MTRs'!$S$6:$S$505,$L770)&amp;"")</f>
        <v/>
      </c>
      <c r="L770" t="str">
        <f>IFERROR(MATCH(168,'MTRs'!$BB$6:$BB$505,0),"")</f>
        <v/>
      </c>
    </row>
    <row r="771">
      <c r="B771" s="119" t="str">
        <f>IF($L771="","",INDEX('MTRs'!$A$6:$A$505,$L771)&amp;"")</f>
        <v/>
      </c>
      <c r="C771" s="120" t="str">
        <f>IF($L771="","",INDEX('MTRs'!$B$6:$B$505,$L771)&amp;"")</f>
        <v/>
      </c>
      <c r="D771" s="121" t="str">
        <f>IF($L771="","",INDEX('MTRs'!$W$6:$W$505,$L771))</f>
        <v/>
      </c>
      <c r="E771" s="122" t="str">
        <f>IF($L771="","",INDEX('MTRs'!$P$6:$P$505,$L771))</f>
        <v/>
      </c>
      <c r="F771" s="122" t="str">
        <f>IF($L771="","",INDEX('MTRs'!$Q$6:$Q$505,$L771))</f>
        <v/>
      </c>
      <c r="G771" s="122" t="str">
        <f>IF($L771="","",INDEX('MTRs'!$R$6:$R$505,$L771))</f>
        <v/>
      </c>
      <c r="H771" s="130" t="str">
        <f>IF($L771="","",IF(INDEX('MTRs'!$AM$6:$AM$505,$L771)=0,"",N(E771)-N(F771)))</f>
        <v/>
      </c>
      <c r="I771" s="130" t="str">
        <f>IF($L771="","",IF(INDEX('MTRs'!$AM$6:$AM$505,$L771)=0,"",N(F771)-N(G771)))</f>
        <v/>
      </c>
      <c r="J771" s="120" t="str">
        <f>IF($L771="","",INDEX('MTRs'!$S$6:$S$505,$L771)&amp;"")</f>
        <v/>
      </c>
      <c r="L771" t="str">
        <f>IFERROR(MATCH(169,'MTRs'!$BB$6:$BB$505,0),"")</f>
        <v/>
      </c>
    </row>
    <row r="772">
      <c r="B772" s="119" t="str">
        <f>IF($L772="","",INDEX('MTRs'!$A$6:$A$505,$L772)&amp;"")</f>
        <v/>
      </c>
      <c r="C772" s="120" t="str">
        <f>IF($L772="","",INDEX('MTRs'!$B$6:$B$505,$L772)&amp;"")</f>
        <v/>
      </c>
      <c r="D772" s="121" t="str">
        <f>IF($L772="","",INDEX('MTRs'!$W$6:$W$505,$L772))</f>
        <v/>
      </c>
      <c r="E772" s="122" t="str">
        <f>IF($L772="","",INDEX('MTRs'!$P$6:$P$505,$L772))</f>
        <v/>
      </c>
      <c r="F772" s="122" t="str">
        <f>IF($L772="","",INDEX('MTRs'!$Q$6:$Q$505,$L772))</f>
        <v/>
      </c>
      <c r="G772" s="122" t="str">
        <f>IF($L772="","",INDEX('MTRs'!$R$6:$R$505,$L772))</f>
        <v/>
      </c>
      <c r="H772" s="130" t="str">
        <f>IF($L772="","",IF(INDEX('MTRs'!$AM$6:$AM$505,$L772)=0,"",N(E772)-N(F772)))</f>
        <v/>
      </c>
      <c r="I772" s="130" t="str">
        <f>IF($L772="","",IF(INDEX('MTRs'!$AM$6:$AM$505,$L772)=0,"",N(F772)-N(G772)))</f>
        <v/>
      </c>
      <c r="J772" s="120" t="str">
        <f>IF($L772="","",INDEX('MTRs'!$S$6:$S$505,$L772)&amp;"")</f>
        <v/>
      </c>
      <c r="L772" t="str">
        <f>IFERROR(MATCH(170,'MTRs'!$BB$6:$BB$505,0),"")</f>
        <v/>
      </c>
    </row>
    <row r="773">
      <c r="B773" s="119" t="str">
        <f>IF($L773="","",INDEX('MTRs'!$A$6:$A$505,$L773)&amp;"")</f>
        <v/>
      </c>
      <c r="C773" s="120" t="str">
        <f>IF($L773="","",INDEX('MTRs'!$B$6:$B$505,$L773)&amp;"")</f>
        <v/>
      </c>
      <c r="D773" s="121" t="str">
        <f>IF($L773="","",INDEX('MTRs'!$W$6:$W$505,$L773))</f>
        <v/>
      </c>
      <c r="E773" s="122" t="str">
        <f>IF($L773="","",INDEX('MTRs'!$P$6:$P$505,$L773))</f>
        <v/>
      </c>
      <c r="F773" s="122" t="str">
        <f>IF($L773="","",INDEX('MTRs'!$Q$6:$Q$505,$L773))</f>
        <v/>
      </c>
      <c r="G773" s="122" t="str">
        <f>IF($L773="","",INDEX('MTRs'!$R$6:$R$505,$L773))</f>
        <v/>
      </c>
      <c r="H773" s="130" t="str">
        <f>IF($L773="","",IF(INDEX('MTRs'!$AM$6:$AM$505,$L773)=0,"",N(E773)-N(F773)))</f>
        <v/>
      </c>
      <c r="I773" s="130" t="str">
        <f>IF($L773="","",IF(INDEX('MTRs'!$AM$6:$AM$505,$L773)=0,"",N(F773)-N(G773)))</f>
        <v/>
      </c>
      <c r="J773" s="120" t="str">
        <f>IF($L773="","",INDEX('MTRs'!$S$6:$S$505,$L773)&amp;"")</f>
        <v/>
      </c>
      <c r="L773" t="str">
        <f>IFERROR(MATCH(171,'MTRs'!$BB$6:$BB$505,0),"")</f>
        <v/>
      </c>
    </row>
    <row r="774">
      <c r="B774" s="119" t="str">
        <f>IF($L774="","",INDEX('MTRs'!$A$6:$A$505,$L774)&amp;"")</f>
        <v/>
      </c>
      <c r="C774" s="120" t="str">
        <f>IF($L774="","",INDEX('MTRs'!$B$6:$B$505,$L774)&amp;"")</f>
        <v/>
      </c>
      <c r="D774" s="121" t="str">
        <f>IF($L774="","",INDEX('MTRs'!$W$6:$W$505,$L774))</f>
        <v/>
      </c>
      <c r="E774" s="122" t="str">
        <f>IF($L774="","",INDEX('MTRs'!$P$6:$P$505,$L774))</f>
        <v/>
      </c>
      <c r="F774" s="122" t="str">
        <f>IF($L774="","",INDEX('MTRs'!$Q$6:$Q$505,$L774))</f>
        <v/>
      </c>
      <c r="G774" s="122" t="str">
        <f>IF($L774="","",INDEX('MTRs'!$R$6:$R$505,$L774))</f>
        <v/>
      </c>
      <c r="H774" s="130" t="str">
        <f>IF($L774="","",IF(INDEX('MTRs'!$AM$6:$AM$505,$L774)=0,"",N(E774)-N(F774)))</f>
        <v/>
      </c>
      <c r="I774" s="130" t="str">
        <f>IF($L774="","",IF(INDEX('MTRs'!$AM$6:$AM$505,$L774)=0,"",N(F774)-N(G774)))</f>
        <v/>
      </c>
      <c r="J774" s="120" t="str">
        <f>IF($L774="","",INDEX('MTRs'!$S$6:$S$505,$L774)&amp;"")</f>
        <v/>
      </c>
      <c r="L774" t="str">
        <f>IFERROR(MATCH(172,'MTRs'!$BB$6:$BB$505,0),"")</f>
        <v/>
      </c>
    </row>
    <row r="775">
      <c r="B775" s="119" t="str">
        <f>IF($L775="","",INDEX('MTRs'!$A$6:$A$505,$L775)&amp;"")</f>
        <v/>
      </c>
      <c r="C775" s="120" t="str">
        <f>IF($L775="","",INDEX('MTRs'!$B$6:$B$505,$L775)&amp;"")</f>
        <v/>
      </c>
      <c r="D775" s="121" t="str">
        <f>IF($L775="","",INDEX('MTRs'!$W$6:$W$505,$L775))</f>
        <v/>
      </c>
      <c r="E775" s="122" t="str">
        <f>IF($L775="","",INDEX('MTRs'!$P$6:$P$505,$L775))</f>
        <v/>
      </c>
      <c r="F775" s="122" t="str">
        <f>IF($L775="","",INDEX('MTRs'!$Q$6:$Q$505,$L775))</f>
        <v/>
      </c>
      <c r="G775" s="122" t="str">
        <f>IF($L775="","",INDEX('MTRs'!$R$6:$R$505,$L775))</f>
        <v/>
      </c>
      <c r="H775" s="130" t="str">
        <f>IF($L775="","",IF(INDEX('MTRs'!$AM$6:$AM$505,$L775)=0,"",N(E775)-N(F775)))</f>
        <v/>
      </c>
      <c r="I775" s="130" t="str">
        <f>IF($L775="","",IF(INDEX('MTRs'!$AM$6:$AM$505,$L775)=0,"",N(F775)-N(G775)))</f>
        <v/>
      </c>
      <c r="J775" s="120" t="str">
        <f>IF($L775="","",INDEX('MTRs'!$S$6:$S$505,$L775)&amp;"")</f>
        <v/>
      </c>
      <c r="L775" t="str">
        <f>IFERROR(MATCH(173,'MTRs'!$BB$6:$BB$505,0),"")</f>
        <v/>
      </c>
    </row>
    <row r="776">
      <c r="B776" s="119" t="str">
        <f>IF($L776="","",INDEX('MTRs'!$A$6:$A$505,$L776)&amp;"")</f>
        <v/>
      </c>
      <c r="C776" s="120" t="str">
        <f>IF($L776="","",INDEX('MTRs'!$B$6:$B$505,$L776)&amp;"")</f>
        <v/>
      </c>
      <c r="D776" s="121" t="str">
        <f>IF($L776="","",INDEX('MTRs'!$W$6:$W$505,$L776))</f>
        <v/>
      </c>
      <c r="E776" s="122" t="str">
        <f>IF($L776="","",INDEX('MTRs'!$P$6:$P$505,$L776))</f>
        <v/>
      </c>
      <c r="F776" s="122" t="str">
        <f>IF($L776="","",INDEX('MTRs'!$Q$6:$Q$505,$L776))</f>
        <v/>
      </c>
      <c r="G776" s="122" t="str">
        <f>IF($L776="","",INDEX('MTRs'!$R$6:$R$505,$L776))</f>
        <v/>
      </c>
      <c r="H776" s="130" t="str">
        <f>IF($L776="","",IF(INDEX('MTRs'!$AM$6:$AM$505,$L776)=0,"",N(E776)-N(F776)))</f>
        <v/>
      </c>
      <c r="I776" s="130" t="str">
        <f>IF($L776="","",IF(INDEX('MTRs'!$AM$6:$AM$505,$L776)=0,"",N(F776)-N(G776)))</f>
        <v/>
      </c>
      <c r="J776" s="120" t="str">
        <f>IF($L776="","",INDEX('MTRs'!$S$6:$S$505,$L776)&amp;"")</f>
        <v/>
      </c>
      <c r="L776" t="str">
        <f>IFERROR(MATCH(174,'MTRs'!$BB$6:$BB$505,0),"")</f>
        <v/>
      </c>
    </row>
    <row r="777">
      <c r="B777" s="119" t="str">
        <f>IF($L777="","",INDEX('MTRs'!$A$6:$A$505,$L777)&amp;"")</f>
        <v/>
      </c>
      <c r="C777" s="120" t="str">
        <f>IF($L777="","",INDEX('MTRs'!$B$6:$B$505,$L777)&amp;"")</f>
        <v/>
      </c>
      <c r="D777" s="121" t="str">
        <f>IF($L777="","",INDEX('MTRs'!$W$6:$W$505,$L777))</f>
        <v/>
      </c>
      <c r="E777" s="122" t="str">
        <f>IF($L777="","",INDEX('MTRs'!$P$6:$P$505,$L777))</f>
        <v/>
      </c>
      <c r="F777" s="122" t="str">
        <f>IF($L777="","",INDEX('MTRs'!$Q$6:$Q$505,$L777))</f>
        <v/>
      </c>
      <c r="G777" s="122" t="str">
        <f>IF($L777="","",INDEX('MTRs'!$R$6:$R$505,$L777))</f>
        <v/>
      </c>
      <c r="H777" s="130" t="str">
        <f>IF($L777="","",IF(INDEX('MTRs'!$AM$6:$AM$505,$L777)=0,"",N(E777)-N(F777)))</f>
        <v/>
      </c>
      <c r="I777" s="130" t="str">
        <f>IF($L777="","",IF(INDEX('MTRs'!$AM$6:$AM$505,$L777)=0,"",N(F777)-N(G777)))</f>
        <v/>
      </c>
      <c r="J777" s="120" t="str">
        <f>IF($L777="","",INDEX('MTRs'!$S$6:$S$505,$L777)&amp;"")</f>
        <v/>
      </c>
      <c r="L777" t="str">
        <f>IFERROR(MATCH(175,'MTRs'!$BB$6:$BB$505,0),"")</f>
        <v/>
      </c>
    </row>
    <row r="778">
      <c r="B778" s="119" t="str">
        <f>IF($L778="","",INDEX('MTRs'!$A$6:$A$505,$L778)&amp;"")</f>
        <v/>
      </c>
      <c r="C778" s="120" t="str">
        <f>IF($L778="","",INDEX('MTRs'!$B$6:$B$505,$L778)&amp;"")</f>
        <v/>
      </c>
      <c r="D778" s="121" t="str">
        <f>IF($L778="","",INDEX('MTRs'!$W$6:$W$505,$L778))</f>
        <v/>
      </c>
      <c r="E778" s="122" t="str">
        <f>IF($L778="","",INDEX('MTRs'!$P$6:$P$505,$L778))</f>
        <v/>
      </c>
      <c r="F778" s="122" t="str">
        <f>IF($L778="","",INDEX('MTRs'!$Q$6:$Q$505,$L778))</f>
        <v/>
      </c>
      <c r="G778" s="122" t="str">
        <f>IF($L778="","",INDEX('MTRs'!$R$6:$R$505,$L778))</f>
        <v/>
      </c>
      <c r="H778" s="130" t="str">
        <f>IF($L778="","",IF(INDEX('MTRs'!$AM$6:$AM$505,$L778)=0,"",N(E778)-N(F778)))</f>
        <v/>
      </c>
      <c r="I778" s="130" t="str">
        <f>IF($L778="","",IF(INDEX('MTRs'!$AM$6:$AM$505,$L778)=0,"",N(F778)-N(G778)))</f>
        <v/>
      </c>
      <c r="J778" s="120" t="str">
        <f>IF($L778="","",INDEX('MTRs'!$S$6:$S$505,$L778)&amp;"")</f>
        <v/>
      </c>
      <c r="L778" t="str">
        <f>IFERROR(MATCH(176,'MTRs'!$BB$6:$BB$505,0),"")</f>
        <v/>
      </c>
    </row>
    <row r="779">
      <c r="B779" s="119" t="str">
        <f>IF($L779="","",INDEX('MTRs'!$A$6:$A$505,$L779)&amp;"")</f>
        <v/>
      </c>
      <c r="C779" s="120" t="str">
        <f>IF($L779="","",INDEX('MTRs'!$B$6:$B$505,$L779)&amp;"")</f>
        <v/>
      </c>
      <c r="D779" s="121" t="str">
        <f>IF($L779="","",INDEX('MTRs'!$W$6:$W$505,$L779))</f>
        <v/>
      </c>
      <c r="E779" s="122" t="str">
        <f>IF($L779="","",INDEX('MTRs'!$P$6:$P$505,$L779))</f>
        <v/>
      </c>
      <c r="F779" s="122" t="str">
        <f>IF($L779="","",INDEX('MTRs'!$Q$6:$Q$505,$L779))</f>
        <v/>
      </c>
      <c r="G779" s="122" t="str">
        <f>IF($L779="","",INDEX('MTRs'!$R$6:$R$505,$L779))</f>
        <v/>
      </c>
      <c r="H779" s="130" t="str">
        <f>IF($L779="","",IF(INDEX('MTRs'!$AM$6:$AM$505,$L779)=0,"",N(E779)-N(F779)))</f>
        <v/>
      </c>
      <c r="I779" s="130" t="str">
        <f>IF($L779="","",IF(INDEX('MTRs'!$AM$6:$AM$505,$L779)=0,"",N(F779)-N(G779)))</f>
        <v/>
      </c>
      <c r="J779" s="120" t="str">
        <f>IF($L779="","",INDEX('MTRs'!$S$6:$S$505,$L779)&amp;"")</f>
        <v/>
      </c>
      <c r="L779" t="str">
        <f>IFERROR(MATCH(177,'MTRs'!$BB$6:$BB$505,0),"")</f>
        <v/>
      </c>
    </row>
    <row r="780">
      <c r="B780" s="119" t="str">
        <f>IF($L780="","",INDEX('MTRs'!$A$6:$A$505,$L780)&amp;"")</f>
        <v/>
      </c>
      <c r="C780" s="120" t="str">
        <f>IF($L780="","",INDEX('MTRs'!$B$6:$B$505,$L780)&amp;"")</f>
        <v/>
      </c>
      <c r="D780" s="121" t="str">
        <f>IF($L780="","",INDEX('MTRs'!$W$6:$W$505,$L780))</f>
        <v/>
      </c>
      <c r="E780" s="122" t="str">
        <f>IF($L780="","",INDEX('MTRs'!$P$6:$P$505,$L780))</f>
        <v/>
      </c>
      <c r="F780" s="122" t="str">
        <f>IF($L780="","",INDEX('MTRs'!$Q$6:$Q$505,$L780))</f>
        <v/>
      </c>
      <c r="G780" s="122" t="str">
        <f>IF($L780="","",INDEX('MTRs'!$R$6:$R$505,$L780))</f>
        <v/>
      </c>
      <c r="H780" s="130" t="str">
        <f>IF($L780="","",IF(INDEX('MTRs'!$AM$6:$AM$505,$L780)=0,"",N(E780)-N(F780)))</f>
        <v/>
      </c>
      <c r="I780" s="130" t="str">
        <f>IF($L780="","",IF(INDEX('MTRs'!$AM$6:$AM$505,$L780)=0,"",N(F780)-N(G780)))</f>
        <v/>
      </c>
      <c r="J780" s="120" t="str">
        <f>IF($L780="","",INDEX('MTRs'!$S$6:$S$505,$L780)&amp;"")</f>
        <v/>
      </c>
      <c r="L780" t="str">
        <f>IFERROR(MATCH(178,'MTRs'!$BB$6:$BB$505,0),"")</f>
        <v/>
      </c>
    </row>
    <row r="781">
      <c r="B781" s="119" t="str">
        <f>IF($L781="","",INDEX('MTRs'!$A$6:$A$505,$L781)&amp;"")</f>
        <v/>
      </c>
      <c r="C781" s="120" t="str">
        <f>IF($L781="","",INDEX('MTRs'!$B$6:$B$505,$L781)&amp;"")</f>
        <v/>
      </c>
      <c r="D781" s="121" t="str">
        <f>IF($L781="","",INDEX('MTRs'!$W$6:$W$505,$L781))</f>
        <v/>
      </c>
      <c r="E781" s="122" t="str">
        <f>IF($L781="","",INDEX('MTRs'!$P$6:$P$505,$L781))</f>
        <v/>
      </c>
      <c r="F781" s="122" t="str">
        <f>IF($L781="","",INDEX('MTRs'!$Q$6:$Q$505,$L781))</f>
        <v/>
      </c>
      <c r="G781" s="122" t="str">
        <f>IF($L781="","",INDEX('MTRs'!$R$6:$R$505,$L781))</f>
        <v/>
      </c>
      <c r="H781" s="130" t="str">
        <f>IF($L781="","",IF(INDEX('MTRs'!$AM$6:$AM$505,$L781)=0,"",N(E781)-N(F781)))</f>
        <v/>
      </c>
      <c r="I781" s="130" t="str">
        <f>IF($L781="","",IF(INDEX('MTRs'!$AM$6:$AM$505,$L781)=0,"",N(F781)-N(G781)))</f>
        <v/>
      </c>
      <c r="J781" s="120" t="str">
        <f>IF($L781="","",INDEX('MTRs'!$S$6:$S$505,$L781)&amp;"")</f>
        <v/>
      </c>
      <c r="L781" t="str">
        <f>IFERROR(MATCH(179,'MTRs'!$BB$6:$BB$505,0),"")</f>
        <v/>
      </c>
    </row>
    <row r="782">
      <c r="B782" s="119" t="str">
        <f>IF($L782="","",INDEX('MTRs'!$A$6:$A$505,$L782)&amp;"")</f>
        <v/>
      </c>
      <c r="C782" s="120" t="str">
        <f>IF($L782="","",INDEX('MTRs'!$B$6:$B$505,$L782)&amp;"")</f>
        <v/>
      </c>
      <c r="D782" s="121" t="str">
        <f>IF($L782="","",INDEX('MTRs'!$W$6:$W$505,$L782))</f>
        <v/>
      </c>
      <c r="E782" s="122" t="str">
        <f>IF($L782="","",INDEX('MTRs'!$P$6:$P$505,$L782))</f>
        <v/>
      </c>
      <c r="F782" s="122" t="str">
        <f>IF($L782="","",INDEX('MTRs'!$Q$6:$Q$505,$L782))</f>
        <v/>
      </c>
      <c r="G782" s="122" t="str">
        <f>IF($L782="","",INDEX('MTRs'!$R$6:$R$505,$L782))</f>
        <v/>
      </c>
      <c r="H782" s="130" t="str">
        <f>IF($L782="","",IF(INDEX('MTRs'!$AM$6:$AM$505,$L782)=0,"",N(E782)-N(F782)))</f>
        <v/>
      </c>
      <c r="I782" s="130" t="str">
        <f>IF($L782="","",IF(INDEX('MTRs'!$AM$6:$AM$505,$L782)=0,"",N(F782)-N(G782)))</f>
        <v/>
      </c>
      <c r="J782" s="120" t="str">
        <f>IF($L782="","",INDEX('MTRs'!$S$6:$S$505,$L782)&amp;"")</f>
        <v/>
      </c>
      <c r="L782" t="str">
        <f>IFERROR(MATCH(180,'MTRs'!$BB$6:$BB$505,0),"")</f>
        <v/>
      </c>
    </row>
    <row r="783">
      <c r="B783" s="119" t="str">
        <f>IF($L783="","",INDEX('MTRs'!$A$6:$A$505,$L783)&amp;"")</f>
        <v/>
      </c>
      <c r="C783" s="120" t="str">
        <f>IF($L783="","",INDEX('MTRs'!$B$6:$B$505,$L783)&amp;"")</f>
        <v/>
      </c>
      <c r="D783" s="121" t="str">
        <f>IF($L783="","",INDEX('MTRs'!$W$6:$W$505,$L783))</f>
        <v/>
      </c>
      <c r="E783" s="122" t="str">
        <f>IF($L783="","",INDEX('MTRs'!$P$6:$P$505,$L783))</f>
        <v/>
      </c>
      <c r="F783" s="122" t="str">
        <f>IF($L783="","",INDEX('MTRs'!$Q$6:$Q$505,$L783))</f>
        <v/>
      </c>
      <c r="G783" s="122" t="str">
        <f>IF($L783="","",INDEX('MTRs'!$R$6:$R$505,$L783))</f>
        <v/>
      </c>
      <c r="H783" s="130" t="str">
        <f>IF($L783="","",IF(INDEX('MTRs'!$AM$6:$AM$505,$L783)=0,"",N(E783)-N(F783)))</f>
        <v/>
      </c>
      <c r="I783" s="130" t="str">
        <f>IF($L783="","",IF(INDEX('MTRs'!$AM$6:$AM$505,$L783)=0,"",N(F783)-N(G783)))</f>
        <v/>
      </c>
      <c r="J783" s="120" t="str">
        <f>IF($L783="","",INDEX('MTRs'!$S$6:$S$505,$L783)&amp;"")</f>
        <v/>
      </c>
      <c r="L783" t="str">
        <f>IFERROR(MATCH(181,'MTRs'!$BB$6:$BB$505,0),"")</f>
        <v/>
      </c>
    </row>
    <row r="784">
      <c r="B784" s="119" t="str">
        <f>IF($L784="","",INDEX('MTRs'!$A$6:$A$505,$L784)&amp;"")</f>
        <v/>
      </c>
      <c r="C784" s="120" t="str">
        <f>IF($L784="","",INDEX('MTRs'!$B$6:$B$505,$L784)&amp;"")</f>
        <v/>
      </c>
      <c r="D784" s="121" t="str">
        <f>IF($L784="","",INDEX('MTRs'!$W$6:$W$505,$L784))</f>
        <v/>
      </c>
      <c r="E784" s="122" t="str">
        <f>IF($L784="","",INDEX('MTRs'!$P$6:$P$505,$L784))</f>
        <v/>
      </c>
      <c r="F784" s="122" t="str">
        <f>IF($L784="","",INDEX('MTRs'!$Q$6:$Q$505,$L784))</f>
        <v/>
      </c>
      <c r="G784" s="122" t="str">
        <f>IF($L784="","",INDEX('MTRs'!$R$6:$R$505,$L784))</f>
        <v/>
      </c>
      <c r="H784" s="130" t="str">
        <f>IF($L784="","",IF(INDEX('MTRs'!$AM$6:$AM$505,$L784)=0,"",N(E784)-N(F784)))</f>
        <v/>
      </c>
      <c r="I784" s="130" t="str">
        <f>IF($L784="","",IF(INDEX('MTRs'!$AM$6:$AM$505,$L784)=0,"",N(F784)-N(G784)))</f>
        <v/>
      </c>
      <c r="J784" s="120" t="str">
        <f>IF($L784="","",INDEX('MTRs'!$S$6:$S$505,$L784)&amp;"")</f>
        <v/>
      </c>
      <c r="L784" t="str">
        <f>IFERROR(MATCH(182,'MTRs'!$BB$6:$BB$505,0),"")</f>
        <v/>
      </c>
    </row>
    <row r="785">
      <c r="B785" s="119" t="str">
        <f>IF($L785="","",INDEX('MTRs'!$A$6:$A$505,$L785)&amp;"")</f>
        <v/>
      </c>
      <c r="C785" s="120" t="str">
        <f>IF($L785="","",INDEX('MTRs'!$B$6:$B$505,$L785)&amp;"")</f>
        <v/>
      </c>
      <c r="D785" s="121" t="str">
        <f>IF($L785="","",INDEX('MTRs'!$W$6:$W$505,$L785))</f>
        <v/>
      </c>
      <c r="E785" s="122" t="str">
        <f>IF($L785="","",INDEX('MTRs'!$P$6:$P$505,$L785))</f>
        <v/>
      </c>
      <c r="F785" s="122" t="str">
        <f>IF($L785="","",INDEX('MTRs'!$Q$6:$Q$505,$L785))</f>
        <v/>
      </c>
      <c r="G785" s="122" t="str">
        <f>IF($L785="","",INDEX('MTRs'!$R$6:$R$505,$L785))</f>
        <v/>
      </c>
      <c r="H785" s="130" t="str">
        <f>IF($L785="","",IF(INDEX('MTRs'!$AM$6:$AM$505,$L785)=0,"",N(E785)-N(F785)))</f>
        <v/>
      </c>
      <c r="I785" s="130" t="str">
        <f>IF($L785="","",IF(INDEX('MTRs'!$AM$6:$AM$505,$L785)=0,"",N(F785)-N(G785)))</f>
        <v/>
      </c>
      <c r="J785" s="120" t="str">
        <f>IF($L785="","",INDEX('MTRs'!$S$6:$S$505,$L785)&amp;"")</f>
        <v/>
      </c>
      <c r="L785" t="str">
        <f>IFERROR(MATCH(183,'MTRs'!$BB$6:$BB$505,0),"")</f>
        <v/>
      </c>
    </row>
    <row r="786">
      <c r="B786" s="119" t="str">
        <f>IF($L786="","",INDEX('MTRs'!$A$6:$A$505,$L786)&amp;"")</f>
        <v/>
      </c>
      <c r="C786" s="120" t="str">
        <f>IF($L786="","",INDEX('MTRs'!$B$6:$B$505,$L786)&amp;"")</f>
        <v/>
      </c>
      <c r="D786" s="121" t="str">
        <f>IF($L786="","",INDEX('MTRs'!$W$6:$W$505,$L786))</f>
        <v/>
      </c>
      <c r="E786" s="122" t="str">
        <f>IF($L786="","",INDEX('MTRs'!$P$6:$P$505,$L786))</f>
        <v/>
      </c>
      <c r="F786" s="122" t="str">
        <f>IF($L786="","",INDEX('MTRs'!$Q$6:$Q$505,$L786))</f>
        <v/>
      </c>
      <c r="G786" s="122" t="str">
        <f>IF($L786="","",INDEX('MTRs'!$R$6:$R$505,$L786))</f>
        <v/>
      </c>
      <c r="H786" s="130" t="str">
        <f>IF($L786="","",IF(INDEX('MTRs'!$AM$6:$AM$505,$L786)=0,"",N(E786)-N(F786)))</f>
        <v/>
      </c>
      <c r="I786" s="130" t="str">
        <f>IF($L786="","",IF(INDEX('MTRs'!$AM$6:$AM$505,$L786)=0,"",N(F786)-N(G786)))</f>
        <v/>
      </c>
      <c r="J786" s="120" t="str">
        <f>IF($L786="","",INDEX('MTRs'!$S$6:$S$505,$L786)&amp;"")</f>
        <v/>
      </c>
      <c r="L786" t="str">
        <f>IFERROR(MATCH(184,'MTRs'!$BB$6:$BB$505,0),"")</f>
        <v/>
      </c>
    </row>
    <row r="787">
      <c r="B787" s="119" t="str">
        <f>IF($L787="","",INDEX('MTRs'!$A$6:$A$505,$L787)&amp;"")</f>
        <v/>
      </c>
      <c r="C787" s="120" t="str">
        <f>IF($L787="","",INDEX('MTRs'!$B$6:$B$505,$L787)&amp;"")</f>
        <v/>
      </c>
      <c r="D787" s="121" t="str">
        <f>IF($L787="","",INDEX('MTRs'!$W$6:$W$505,$L787))</f>
        <v/>
      </c>
      <c r="E787" s="122" t="str">
        <f>IF($L787="","",INDEX('MTRs'!$P$6:$P$505,$L787))</f>
        <v/>
      </c>
      <c r="F787" s="122" t="str">
        <f>IF($L787="","",INDEX('MTRs'!$Q$6:$Q$505,$L787))</f>
        <v/>
      </c>
      <c r="G787" s="122" t="str">
        <f>IF($L787="","",INDEX('MTRs'!$R$6:$R$505,$L787))</f>
        <v/>
      </c>
      <c r="H787" s="130" t="str">
        <f>IF($L787="","",IF(INDEX('MTRs'!$AM$6:$AM$505,$L787)=0,"",N(E787)-N(F787)))</f>
        <v/>
      </c>
      <c r="I787" s="130" t="str">
        <f>IF($L787="","",IF(INDEX('MTRs'!$AM$6:$AM$505,$L787)=0,"",N(F787)-N(G787)))</f>
        <v/>
      </c>
      <c r="J787" s="120" t="str">
        <f>IF($L787="","",INDEX('MTRs'!$S$6:$S$505,$L787)&amp;"")</f>
        <v/>
      </c>
      <c r="L787" t="str">
        <f>IFERROR(MATCH(185,'MTRs'!$BB$6:$BB$505,0),"")</f>
        <v/>
      </c>
    </row>
    <row r="788">
      <c r="B788" s="119" t="str">
        <f>IF($L788="","",INDEX('MTRs'!$A$6:$A$505,$L788)&amp;"")</f>
        <v/>
      </c>
      <c r="C788" s="120" t="str">
        <f>IF($L788="","",INDEX('MTRs'!$B$6:$B$505,$L788)&amp;"")</f>
        <v/>
      </c>
      <c r="D788" s="121" t="str">
        <f>IF($L788="","",INDEX('MTRs'!$W$6:$W$505,$L788))</f>
        <v/>
      </c>
      <c r="E788" s="122" t="str">
        <f>IF($L788="","",INDEX('MTRs'!$P$6:$P$505,$L788))</f>
        <v/>
      </c>
      <c r="F788" s="122" t="str">
        <f>IF($L788="","",INDEX('MTRs'!$Q$6:$Q$505,$L788))</f>
        <v/>
      </c>
      <c r="G788" s="122" t="str">
        <f>IF($L788="","",INDEX('MTRs'!$R$6:$R$505,$L788))</f>
        <v/>
      </c>
      <c r="H788" s="130" t="str">
        <f>IF($L788="","",IF(INDEX('MTRs'!$AM$6:$AM$505,$L788)=0,"",N(E788)-N(F788)))</f>
        <v/>
      </c>
      <c r="I788" s="130" t="str">
        <f>IF($L788="","",IF(INDEX('MTRs'!$AM$6:$AM$505,$L788)=0,"",N(F788)-N(G788)))</f>
        <v/>
      </c>
      <c r="J788" s="120" t="str">
        <f>IF($L788="","",INDEX('MTRs'!$S$6:$S$505,$L788)&amp;"")</f>
        <v/>
      </c>
      <c r="L788" t="str">
        <f>IFERROR(MATCH(186,'MTRs'!$BB$6:$BB$505,0),"")</f>
        <v/>
      </c>
    </row>
    <row r="789">
      <c r="B789" s="119" t="str">
        <f>IF($L789="","",INDEX('MTRs'!$A$6:$A$505,$L789)&amp;"")</f>
        <v/>
      </c>
      <c r="C789" s="120" t="str">
        <f>IF($L789="","",INDEX('MTRs'!$B$6:$B$505,$L789)&amp;"")</f>
        <v/>
      </c>
      <c r="D789" s="121" t="str">
        <f>IF($L789="","",INDEX('MTRs'!$W$6:$W$505,$L789))</f>
        <v/>
      </c>
      <c r="E789" s="122" t="str">
        <f>IF($L789="","",INDEX('MTRs'!$P$6:$P$505,$L789))</f>
        <v/>
      </c>
      <c r="F789" s="122" t="str">
        <f>IF($L789="","",INDEX('MTRs'!$Q$6:$Q$505,$L789))</f>
        <v/>
      </c>
      <c r="G789" s="122" t="str">
        <f>IF($L789="","",INDEX('MTRs'!$R$6:$R$505,$L789))</f>
        <v/>
      </c>
      <c r="H789" s="130" t="str">
        <f>IF($L789="","",IF(INDEX('MTRs'!$AM$6:$AM$505,$L789)=0,"",N(E789)-N(F789)))</f>
        <v/>
      </c>
      <c r="I789" s="130" t="str">
        <f>IF($L789="","",IF(INDEX('MTRs'!$AM$6:$AM$505,$L789)=0,"",N(F789)-N(G789)))</f>
        <v/>
      </c>
      <c r="J789" s="120" t="str">
        <f>IF($L789="","",INDEX('MTRs'!$S$6:$S$505,$L789)&amp;"")</f>
        <v/>
      </c>
      <c r="L789" t="str">
        <f>IFERROR(MATCH(187,'MTRs'!$BB$6:$BB$505,0),"")</f>
        <v/>
      </c>
    </row>
    <row r="790">
      <c r="B790" s="119" t="str">
        <f>IF($L790="","",INDEX('MTRs'!$A$6:$A$505,$L790)&amp;"")</f>
        <v/>
      </c>
      <c r="C790" s="120" t="str">
        <f>IF($L790="","",INDEX('MTRs'!$B$6:$B$505,$L790)&amp;"")</f>
        <v/>
      </c>
      <c r="D790" s="121" t="str">
        <f>IF($L790="","",INDEX('MTRs'!$W$6:$W$505,$L790))</f>
        <v/>
      </c>
      <c r="E790" s="122" t="str">
        <f>IF($L790="","",INDEX('MTRs'!$P$6:$P$505,$L790))</f>
        <v/>
      </c>
      <c r="F790" s="122" t="str">
        <f>IF($L790="","",INDEX('MTRs'!$Q$6:$Q$505,$L790))</f>
        <v/>
      </c>
      <c r="G790" s="122" t="str">
        <f>IF($L790="","",INDEX('MTRs'!$R$6:$R$505,$L790))</f>
        <v/>
      </c>
      <c r="H790" s="130" t="str">
        <f>IF($L790="","",IF(INDEX('MTRs'!$AM$6:$AM$505,$L790)=0,"",N(E790)-N(F790)))</f>
        <v/>
      </c>
      <c r="I790" s="130" t="str">
        <f>IF($L790="","",IF(INDEX('MTRs'!$AM$6:$AM$505,$L790)=0,"",N(F790)-N(G790)))</f>
        <v/>
      </c>
      <c r="J790" s="120" t="str">
        <f>IF($L790="","",INDEX('MTRs'!$S$6:$S$505,$L790)&amp;"")</f>
        <v/>
      </c>
      <c r="L790" t="str">
        <f>IFERROR(MATCH(188,'MTRs'!$BB$6:$BB$505,0),"")</f>
        <v/>
      </c>
    </row>
    <row r="791">
      <c r="B791" s="119" t="str">
        <f>IF($L791="","",INDEX('MTRs'!$A$6:$A$505,$L791)&amp;"")</f>
        <v/>
      </c>
      <c r="C791" s="120" t="str">
        <f>IF($L791="","",INDEX('MTRs'!$B$6:$B$505,$L791)&amp;"")</f>
        <v/>
      </c>
      <c r="D791" s="121" t="str">
        <f>IF($L791="","",INDEX('MTRs'!$W$6:$W$505,$L791))</f>
        <v/>
      </c>
      <c r="E791" s="122" t="str">
        <f>IF($L791="","",INDEX('MTRs'!$P$6:$P$505,$L791))</f>
        <v/>
      </c>
      <c r="F791" s="122" t="str">
        <f>IF($L791="","",INDEX('MTRs'!$Q$6:$Q$505,$L791))</f>
        <v/>
      </c>
      <c r="G791" s="122" t="str">
        <f>IF($L791="","",INDEX('MTRs'!$R$6:$R$505,$L791))</f>
        <v/>
      </c>
      <c r="H791" s="130" t="str">
        <f>IF($L791="","",IF(INDEX('MTRs'!$AM$6:$AM$505,$L791)=0,"",N(E791)-N(F791)))</f>
        <v/>
      </c>
      <c r="I791" s="130" t="str">
        <f>IF($L791="","",IF(INDEX('MTRs'!$AM$6:$AM$505,$L791)=0,"",N(F791)-N(G791)))</f>
        <v/>
      </c>
      <c r="J791" s="120" t="str">
        <f>IF($L791="","",INDEX('MTRs'!$S$6:$S$505,$L791)&amp;"")</f>
        <v/>
      </c>
      <c r="L791" t="str">
        <f>IFERROR(MATCH(189,'MTRs'!$BB$6:$BB$505,0),"")</f>
        <v/>
      </c>
    </row>
    <row r="792">
      <c r="B792" s="119" t="str">
        <f>IF($L792="","",INDEX('MTRs'!$A$6:$A$505,$L792)&amp;"")</f>
        <v/>
      </c>
      <c r="C792" s="120" t="str">
        <f>IF($L792="","",INDEX('MTRs'!$B$6:$B$505,$L792)&amp;"")</f>
        <v/>
      </c>
      <c r="D792" s="121" t="str">
        <f>IF($L792="","",INDEX('MTRs'!$W$6:$W$505,$L792))</f>
        <v/>
      </c>
      <c r="E792" s="122" t="str">
        <f>IF($L792="","",INDEX('MTRs'!$P$6:$P$505,$L792))</f>
        <v/>
      </c>
      <c r="F792" s="122" t="str">
        <f>IF($L792="","",INDEX('MTRs'!$Q$6:$Q$505,$L792))</f>
        <v/>
      </c>
      <c r="G792" s="122" t="str">
        <f>IF($L792="","",INDEX('MTRs'!$R$6:$R$505,$L792))</f>
        <v/>
      </c>
      <c r="H792" s="130" t="str">
        <f>IF($L792="","",IF(INDEX('MTRs'!$AM$6:$AM$505,$L792)=0,"",N(E792)-N(F792)))</f>
        <v/>
      </c>
      <c r="I792" s="130" t="str">
        <f>IF($L792="","",IF(INDEX('MTRs'!$AM$6:$AM$505,$L792)=0,"",N(F792)-N(G792)))</f>
        <v/>
      </c>
      <c r="J792" s="120" t="str">
        <f>IF($L792="","",INDEX('MTRs'!$S$6:$S$505,$L792)&amp;"")</f>
        <v/>
      </c>
      <c r="L792" t="str">
        <f>IFERROR(MATCH(190,'MTRs'!$BB$6:$BB$505,0),"")</f>
        <v/>
      </c>
    </row>
    <row r="793">
      <c r="B793" s="119" t="str">
        <f>IF($L793="","",INDEX('MTRs'!$A$6:$A$505,$L793)&amp;"")</f>
        <v/>
      </c>
      <c r="C793" s="120" t="str">
        <f>IF($L793="","",INDEX('MTRs'!$B$6:$B$505,$L793)&amp;"")</f>
        <v/>
      </c>
      <c r="D793" s="121" t="str">
        <f>IF($L793="","",INDEX('MTRs'!$W$6:$W$505,$L793))</f>
        <v/>
      </c>
      <c r="E793" s="122" t="str">
        <f>IF($L793="","",INDEX('MTRs'!$P$6:$P$505,$L793))</f>
        <v/>
      </c>
      <c r="F793" s="122" t="str">
        <f>IF($L793="","",INDEX('MTRs'!$Q$6:$Q$505,$L793))</f>
        <v/>
      </c>
      <c r="G793" s="122" t="str">
        <f>IF($L793="","",INDEX('MTRs'!$R$6:$R$505,$L793))</f>
        <v/>
      </c>
      <c r="H793" s="130" t="str">
        <f>IF($L793="","",IF(INDEX('MTRs'!$AM$6:$AM$505,$L793)=0,"",N(E793)-N(F793)))</f>
        <v/>
      </c>
      <c r="I793" s="130" t="str">
        <f>IF($L793="","",IF(INDEX('MTRs'!$AM$6:$AM$505,$L793)=0,"",N(F793)-N(G793)))</f>
        <v/>
      </c>
      <c r="J793" s="120" t="str">
        <f>IF($L793="","",INDEX('MTRs'!$S$6:$S$505,$L793)&amp;"")</f>
        <v/>
      </c>
      <c r="L793" t="str">
        <f>IFERROR(MATCH(191,'MTRs'!$BB$6:$BB$505,0),"")</f>
        <v/>
      </c>
    </row>
    <row r="794">
      <c r="B794" s="119" t="str">
        <f>IF($L794="","",INDEX('MTRs'!$A$6:$A$505,$L794)&amp;"")</f>
        <v/>
      </c>
      <c r="C794" s="120" t="str">
        <f>IF($L794="","",INDEX('MTRs'!$B$6:$B$505,$L794)&amp;"")</f>
        <v/>
      </c>
      <c r="D794" s="121" t="str">
        <f>IF($L794="","",INDEX('MTRs'!$W$6:$W$505,$L794))</f>
        <v/>
      </c>
      <c r="E794" s="122" t="str">
        <f>IF($L794="","",INDEX('MTRs'!$P$6:$P$505,$L794))</f>
        <v/>
      </c>
      <c r="F794" s="122" t="str">
        <f>IF($L794="","",INDEX('MTRs'!$Q$6:$Q$505,$L794))</f>
        <v/>
      </c>
      <c r="G794" s="122" t="str">
        <f>IF($L794="","",INDEX('MTRs'!$R$6:$R$505,$L794))</f>
        <v/>
      </c>
      <c r="H794" s="130" t="str">
        <f>IF($L794="","",IF(INDEX('MTRs'!$AM$6:$AM$505,$L794)=0,"",N(E794)-N(F794)))</f>
        <v/>
      </c>
      <c r="I794" s="130" t="str">
        <f>IF($L794="","",IF(INDEX('MTRs'!$AM$6:$AM$505,$L794)=0,"",N(F794)-N(G794)))</f>
        <v/>
      </c>
      <c r="J794" s="120" t="str">
        <f>IF($L794="","",INDEX('MTRs'!$S$6:$S$505,$L794)&amp;"")</f>
        <v/>
      </c>
      <c r="L794" t="str">
        <f>IFERROR(MATCH(192,'MTRs'!$BB$6:$BB$505,0),"")</f>
        <v/>
      </c>
    </row>
    <row r="795">
      <c r="B795" s="119" t="str">
        <f>IF($L795="","",INDEX('MTRs'!$A$6:$A$505,$L795)&amp;"")</f>
        <v/>
      </c>
      <c r="C795" s="120" t="str">
        <f>IF($L795="","",INDEX('MTRs'!$B$6:$B$505,$L795)&amp;"")</f>
        <v/>
      </c>
      <c r="D795" s="121" t="str">
        <f>IF($L795="","",INDEX('MTRs'!$W$6:$W$505,$L795))</f>
        <v/>
      </c>
      <c r="E795" s="122" t="str">
        <f>IF($L795="","",INDEX('MTRs'!$P$6:$P$505,$L795))</f>
        <v/>
      </c>
      <c r="F795" s="122" t="str">
        <f>IF($L795="","",INDEX('MTRs'!$Q$6:$Q$505,$L795))</f>
        <v/>
      </c>
      <c r="G795" s="122" t="str">
        <f>IF($L795="","",INDEX('MTRs'!$R$6:$R$505,$L795))</f>
        <v/>
      </c>
      <c r="H795" s="130" t="str">
        <f>IF($L795="","",IF(INDEX('MTRs'!$AM$6:$AM$505,$L795)=0,"",N(E795)-N(F795)))</f>
        <v/>
      </c>
      <c r="I795" s="130" t="str">
        <f>IF($L795="","",IF(INDEX('MTRs'!$AM$6:$AM$505,$L795)=0,"",N(F795)-N(G795)))</f>
        <v/>
      </c>
      <c r="J795" s="120" t="str">
        <f>IF($L795="","",INDEX('MTRs'!$S$6:$S$505,$L795)&amp;"")</f>
        <v/>
      </c>
      <c r="L795" t="str">
        <f>IFERROR(MATCH(193,'MTRs'!$BB$6:$BB$505,0),"")</f>
        <v/>
      </c>
    </row>
    <row r="796">
      <c r="B796" s="119" t="str">
        <f>IF($L796="","",INDEX('MTRs'!$A$6:$A$505,$L796)&amp;"")</f>
        <v/>
      </c>
      <c r="C796" s="120" t="str">
        <f>IF($L796="","",INDEX('MTRs'!$B$6:$B$505,$L796)&amp;"")</f>
        <v/>
      </c>
      <c r="D796" s="121" t="str">
        <f>IF($L796="","",INDEX('MTRs'!$W$6:$W$505,$L796))</f>
        <v/>
      </c>
      <c r="E796" s="122" t="str">
        <f>IF($L796="","",INDEX('MTRs'!$P$6:$P$505,$L796))</f>
        <v/>
      </c>
      <c r="F796" s="122" t="str">
        <f>IF($L796="","",INDEX('MTRs'!$Q$6:$Q$505,$L796))</f>
        <v/>
      </c>
      <c r="G796" s="122" t="str">
        <f>IF($L796="","",INDEX('MTRs'!$R$6:$R$505,$L796))</f>
        <v/>
      </c>
      <c r="H796" s="130" t="str">
        <f>IF($L796="","",IF(INDEX('MTRs'!$AM$6:$AM$505,$L796)=0,"",N(E796)-N(F796)))</f>
        <v/>
      </c>
      <c r="I796" s="130" t="str">
        <f>IF($L796="","",IF(INDEX('MTRs'!$AM$6:$AM$505,$L796)=0,"",N(F796)-N(G796)))</f>
        <v/>
      </c>
      <c r="J796" s="120" t="str">
        <f>IF($L796="","",INDEX('MTRs'!$S$6:$S$505,$L796)&amp;"")</f>
        <v/>
      </c>
      <c r="L796" t="str">
        <f>IFERROR(MATCH(194,'MTRs'!$BB$6:$BB$505,0),"")</f>
        <v/>
      </c>
    </row>
    <row r="797">
      <c r="B797" s="119" t="str">
        <f>IF($L797="","",INDEX('MTRs'!$A$6:$A$505,$L797)&amp;"")</f>
        <v/>
      </c>
      <c r="C797" s="120" t="str">
        <f>IF($L797="","",INDEX('MTRs'!$B$6:$B$505,$L797)&amp;"")</f>
        <v/>
      </c>
      <c r="D797" s="121" t="str">
        <f>IF($L797="","",INDEX('MTRs'!$W$6:$W$505,$L797))</f>
        <v/>
      </c>
      <c r="E797" s="122" t="str">
        <f>IF($L797="","",INDEX('MTRs'!$P$6:$P$505,$L797))</f>
        <v/>
      </c>
      <c r="F797" s="122" t="str">
        <f>IF($L797="","",INDEX('MTRs'!$Q$6:$Q$505,$L797))</f>
        <v/>
      </c>
      <c r="G797" s="122" t="str">
        <f>IF($L797="","",INDEX('MTRs'!$R$6:$R$505,$L797))</f>
        <v/>
      </c>
      <c r="H797" s="130" t="str">
        <f>IF($L797="","",IF(INDEX('MTRs'!$AM$6:$AM$505,$L797)=0,"",N(E797)-N(F797)))</f>
        <v/>
      </c>
      <c r="I797" s="130" t="str">
        <f>IF($L797="","",IF(INDEX('MTRs'!$AM$6:$AM$505,$L797)=0,"",N(F797)-N(G797)))</f>
        <v/>
      </c>
      <c r="J797" s="120" t="str">
        <f>IF($L797="","",INDEX('MTRs'!$S$6:$S$505,$L797)&amp;"")</f>
        <v/>
      </c>
      <c r="L797" t="str">
        <f>IFERROR(MATCH(195,'MTRs'!$BB$6:$BB$505,0),"")</f>
        <v/>
      </c>
    </row>
    <row r="798">
      <c r="B798" s="119" t="str">
        <f>IF($L798="","",INDEX('MTRs'!$A$6:$A$505,$L798)&amp;"")</f>
        <v/>
      </c>
      <c r="C798" s="120" t="str">
        <f>IF($L798="","",INDEX('MTRs'!$B$6:$B$505,$L798)&amp;"")</f>
        <v/>
      </c>
      <c r="D798" s="121" t="str">
        <f>IF($L798="","",INDEX('MTRs'!$W$6:$W$505,$L798))</f>
        <v/>
      </c>
      <c r="E798" s="122" t="str">
        <f>IF($L798="","",INDEX('MTRs'!$P$6:$P$505,$L798))</f>
        <v/>
      </c>
      <c r="F798" s="122" t="str">
        <f>IF($L798="","",INDEX('MTRs'!$Q$6:$Q$505,$L798))</f>
        <v/>
      </c>
      <c r="G798" s="122" t="str">
        <f>IF($L798="","",INDEX('MTRs'!$R$6:$R$505,$L798))</f>
        <v/>
      </c>
      <c r="H798" s="130" t="str">
        <f>IF($L798="","",IF(INDEX('MTRs'!$AM$6:$AM$505,$L798)=0,"",N(E798)-N(F798)))</f>
        <v/>
      </c>
      <c r="I798" s="130" t="str">
        <f>IF($L798="","",IF(INDEX('MTRs'!$AM$6:$AM$505,$L798)=0,"",N(F798)-N(G798)))</f>
        <v/>
      </c>
      <c r="J798" s="120" t="str">
        <f>IF($L798="","",INDEX('MTRs'!$S$6:$S$505,$L798)&amp;"")</f>
        <v/>
      </c>
      <c r="L798" t="str">
        <f>IFERROR(MATCH(196,'MTRs'!$BB$6:$BB$505,0),"")</f>
        <v/>
      </c>
    </row>
    <row r="799">
      <c r="B799" s="119" t="str">
        <f>IF($L799="","",INDEX('MTRs'!$A$6:$A$505,$L799)&amp;"")</f>
        <v/>
      </c>
      <c r="C799" s="120" t="str">
        <f>IF($L799="","",INDEX('MTRs'!$B$6:$B$505,$L799)&amp;"")</f>
        <v/>
      </c>
      <c r="D799" s="121" t="str">
        <f>IF($L799="","",INDEX('MTRs'!$W$6:$W$505,$L799))</f>
        <v/>
      </c>
      <c r="E799" s="122" t="str">
        <f>IF($L799="","",INDEX('MTRs'!$P$6:$P$505,$L799))</f>
        <v/>
      </c>
      <c r="F799" s="122" t="str">
        <f>IF($L799="","",INDEX('MTRs'!$Q$6:$Q$505,$L799))</f>
        <v/>
      </c>
      <c r="G799" s="122" t="str">
        <f>IF($L799="","",INDEX('MTRs'!$R$6:$R$505,$L799))</f>
        <v/>
      </c>
      <c r="H799" s="130" t="str">
        <f>IF($L799="","",IF(INDEX('MTRs'!$AM$6:$AM$505,$L799)=0,"",N(E799)-N(F799)))</f>
        <v/>
      </c>
      <c r="I799" s="130" t="str">
        <f>IF($L799="","",IF(INDEX('MTRs'!$AM$6:$AM$505,$L799)=0,"",N(F799)-N(G799)))</f>
        <v/>
      </c>
      <c r="J799" s="120" t="str">
        <f>IF($L799="","",INDEX('MTRs'!$S$6:$S$505,$L799)&amp;"")</f>
        <v/>
      </c>
      <c r="L799" t="str">
        <f>IFERROR(MATCH(197,'MTRs'!$BB$6:$BB$505,0),"")</f>
        <v/>
      </c>
    </row>
    <row r="800">
      <c r="B800" s="119" t="str">
        <f>IF($L800="","",INDEX('MTRs'!$A$6:$A$505,$L800)&amp;"")</f>
        <v/>
      </c>
      <c r="C800" s="120" t="str">
        <f>IF($L800="","",INDEX('MTRs'!$B$6:$B$505,$L800)&amp;"")</f>
        <v/>
      </c>
      <c r="D800" s="121" t="str">
        <f>IF($L800="","",INDEX('MTRs'!$W$6:$W$505,$L800))</f>
        <v/>
      </c>
      <c r="E800" s="122" t="str">
        <f>IF($L800="","",INDEX('MTRs'!$P$6:$P$505,$L800))</f>
        <v/>
      </c>
      <c r="F800" s="122" t="str">
        <f>IF($L800="","",INDEX('MTRs'!$Q$6:$Q$505,$L800))</f>
        <v/>
      </c>
      <c r="G800" s="122" t="str">
        <f>IF($L800="","",INDEX('MTRs'!$R$6:$R$505,$L800))</f>
        <v/>
      </c>
      <c r="H800" s="130" t="str">
        <f>IF($L800="","",IF(INDEX('MTRs'!$AM$6:$AM$505,$L800)=0,"",N(E800)-N(F800)))</f>
        <v/>
      </c>
      <c r="I800" s="130" t="str">
        <f>IF($L800="","",IF(INDEX('MTRs'!$AM$6:$AM$505,$L800)=0,"",N(F800)-N(G800)))</f>
        <v/>
      </c>
      <c r="J800" s="120" t="str">
        <f>IF($L800="","",INDEX('MTRs'!$S$6:$S$505,$L800)&amp;"")</f>
        <v/>
      </c>
      <c r="L800" t="str">
        <f>IFERROR(MATCH(198,'MTRs'!$BB$6:$BB$505,0),"")</f>
        <v/>
      </c>
    </row>
    <row r="801">
      <c r="B801" s="119" t="str">
        <f>IF($L801="","",INDEX('MTRs'!$A$6:$A$505,$L801)&amp;"")</f>
        <v/>
      </c>
      <c r="C801" s="120" t="str">
        <f>IF($L801="","",INDEX('MTRs'!$B$6:$B$505,$L801)&amp;"")</f>
        <v/>
      </c>
      <c r="D801" s="121" t="str">
        <f>IF($L801="","",INDEX('MTRs'!$W$6:$W$505,$L801))</f>
        <v/>
      </c>
      <c r="E801" s="122" t="str">
        <f>IF($L801="","",INDEX('MTRs'!$P$6:$P$505,$L801))</f>
        <v/>
      </c>
      <c r="F801" s="122" t="str">
        <f>IF($L801="","",INDEX('MTRs'!$Q$6:$Q$505,$L801))</f>
        <v/>
      </c>
      <c r="G801" s="122" t="str">
        <f>IF($L801="","",INDEX('MTRs'!$R$6:$R$505,$L801))</f>
        <v/>
      </c>
      <c r="H801" s="130" t="str">
        <f>IF($L801="","",IF(INDEX('MTRs'!$AM$6:$AM$505,$L801)=0,"",N(E801)-N(F801)))</f>
        <v/>
      </c>
      <c r="I801" s="130" t="str">
        <f>IF($L801="","",IF(INDEX('MTRs'!$AM$6:$AM$505,$L801)=0,"",N(F801)-N(G801)))</f>
        <v/>
      </c>
      <c r="J801" s="120" t="str">
        <f>IF($L801="","",INDEX('MTRs'!$S$6:$S$505,$L801)&amp;"")</f>
        <v/>
      </c>
      <c r="L801" t="str">
        <f>IFERROR(MATCH(199,'MTRs'!$BB$6:$BB$505,0),"")</f>
        <v/>
      </c>
    </row>
    <row r="802">
      <c r="B802" s="119" t="str">
        <f>IF($L802="","",INDEX('MTRs'!$A$6:$A$505,$L802)&amp;"")</f>
        <v/>
      </c>
      <c r="C802" s="120" t="str">
        <f>IF($L802="","",INDEX('MTRs'!$B$6:$B$505,$L802)&amp;"")</f>
        <v/>
      </c>
      <c r="D802" s="121" t="str">
        <f>IF($L802="","",INDEX('MTRs'!$W$6:$W$505,$L802))</f>
        <v/>
      </c>
      <c r="E802" s="122" t="str">
        <f>IF($L802="","",INDEX('MTRs'!$P$6:$P$505,$L802))</f>
        <v/>
      </c>
      <c r="F802" s="122" t="str">
        <f>IF($L802="","",INDEX('MTRs'!$Q$6:$Q$505,$L802))</f>
        <v/>
      </c>
      <c r="G802" s="122" t="str">
        <f>IF($L802="","",INDEX('MTRs'!$R$6:$R$505,$L802))</f>
        <v/>
      </c>
      <c r="H802" s="130" t="str">
        <f>IF($L802="","",IF(INDEX('MTRs'!$AM$6:$AM$505,$L802)=0,"",N(E802)-N(F802)))</f>
        <v/>
      </c>
      <c r="I802" s="130" t="str">
        <f>IF($L802="","",IF(INDEX('MTRs'!$AM$6:$AM$505,$L802)=0,"",N(F802)-N(G802)))</f>
        <v/>
      </c>
      <c r="J802" s="120" t="str">
        <f>IF($L802="","",INDEX('MTRs'!$S$6:$S$505,$L802)&amp;"")</f>
        <v/>
      </c>
      <c r="L802" t="str">
        <f>IFERROR(MATCH(200,'MTRs'!$BB$6:$BB$505,0),"")</f>
        <v/>
      </c>
    </row>
    <row r="803">
      <c r="B803" s="119" t="str">
        <f>IF($L803="","",INDEX('MTRs'!$A$6:$A$505,$L803)&amp;"")</f>
        <v/>
      </c>
      <c r="C803" s="120" t="str">
        <f>IF($L803="","",INDEX('MTRs'!$B$6:$B$505,$L803)&amp;"")</f>
        <v/>
      </c>
      <c r="D803" s="121" t="str">
        <f>IF($L803="","",INDEX('MTRs'!$W$6:$W$505,$L803))</f>
        <v/>
      </c>
      <c r="E803" s="122" t="str">
        <f>IF($L803="","",INDEX('MTRs'!$P$6:$P$505,$L803))</f>
        <v/>
      </c>
      <c r="F803" s="122" t="str">
        <f>IF($L803="","",INDEX('MTRs'!$Q$6:$Q$505,$L803))</f>
        <v/>
      </c>
      <c r="G803" s="122" t="str">
        <f>IF($L803="","",INDEX('MTRs'!$R$6:$R$505,$L803))</f>
        <v/>
      </c>
      <c r="H803" s="130" t="str">
        <f>IF($L803="","",IF(INDEX('MTRs'!$AM$6:$AM$505,$L803)=0,"",N(E803)-N(F803)))</f>
        <v/>
      </c>
      <c r="I803" s="130" t="str">
        <f>IF($L803="","",IF(INDEX('MTRs'!$AM$6:$AM$505,$L803)=0,"",N(F803)-N(G803)))</f>
        <v/>
      </c>
      <c r="J803" s="120" t="str">
        <f>IF($L803="","",INDEX('MTRs'!$S$6:$S$505,$L803)&amp;"")</f>
        <v/>
      </c>
      <c r="L803" t="str">
        <f>IFERROR(MATCH(201,'MTRs'!$BB$6:$BB$505,0),"")</f>
        <v/>
      </c>
    </row>
    <row r="804">
      <c r="B804" s="119" t="str">
        <f>IF($L804="","",INDEX('MTRs'!$A$6:$A$505,$L804)&amp;"")</f>
        <v/>
      </c>
      <c r="C804" s="120" t="str">
        <f>IF($L804="","",INDEX('MTRs'!$B$6:$B$505,$L804)&amp;"")</f>
        <v/>
      </c>
      <c r="D804" s="121" t="str">
        <f>IF($L804="","",INDEX('MTRs'!$W$6:$W$505,$L804))</f>
        <v/>
      </c>
      <c r="E804" s="122" t="str">
        <f>IF($L804="","",INDEX('MTRs'!$P$6:$P$505,$L804))</f>
        <v/>
      </c>
      <c r="F804" s="122" t="str">
        <f>IF($L804="","",INDEX('MTRs'!$Q$6:$Q$505,$L804))</f>
        <v/>
      </c>
      <c r="G804" s="122" t="str">
        <f>IF($L804="","",INDEX('MTRs'!$R$6:$R$505,$L804))</f>
        <v/>
      </c>
      <c r="H804" s="130" t="str">
        <f>IF($L804="","",IF(INDEX('MTRs'!$AM$6:$AM$505,$L804)=0,"",N(E804)-N(F804)))</f>
        <v/>
      </c>
      <c r="I804" s="130" t="str">
        <f>IF($L804="","",IF(INDEX('MTRs'!$AM$6:$AM$505,$L804)=0,"",N(F804)-N(G804)))</f>
        <v/>
      </c>
      <c r="J804" s="120" t="str">
        <f>IF($L804="","",INDEX('MTRs'!$S$6:$S$505,$L804)&amp;"")</f>
        <v/>
      </c>
      <c r="L804" t="str">
        <f>IFERROR(MATCH(202,'MTRs'!$BB$6:$BB$505,0),"")</f>
        <v/>
      </c>
    </row>
    <row r="805">
      <c r="B805" s="119" t="str">
        <f>IF($L805="","",INDEX('MTRs'!$A$6:$A$505,$L805)&amp;"")</f>
        <v/>
      </c>
      <c r="C805" s="120" t="str">
        <f>IF($L805="","",INDEX('MTRs'!$B$6:$B$505,$L805)&amp;"")</f>
        <v/>
      </c>
      <c r="D805" s="121" t="str">
        <f>IF($L805="","",INDEX('MTRs'!$W$6:$W$505,$L805))</f>
        <v/>
      </c>
      <c r="E805" s="122" t="str">
        <f>IF($L805="","",INDEX('MTRs'!$P$6:$P$505,$L805))</f>
        <v/>
      </c>
      <c r="F805" s="122" t="str">
        <f>IF($L805="","",INDEX('MTRs'!$Q$6:$Q$505,$L805))</f>
        <v/>
      </c>
      <c r="G805" s="122" t="str">
        <f>IF($L805="","",INDEX('MTRs'!$R$6:$R$505,$L805))</f>
        <v/>
      </c>
      <c r="H805" s="130" t="str">
        <f>IF($L805="","",IF(INDEX('MTRs'!$AM$6:$AM$505,$L805)=0,"",N(E805)-N(F805)))</f>
        <v/>
      </c>
      <c r="I805" s="130" t="str">
        <f>IF($L805="","",IF(INDEX('MTRs'!$AM$6:$AM$505,$L805)=0,"",N(F805)-N(G805)))</f>
        <v/>
      </c>
      <c r="J805" s="120" t="str">
        <f>IF($L805="","",INDEX('MTRs'!$S$6:$S$505,$L805)&amp;"")</f>
        <v/>
      </c>
      <c r="L805" t="str">
        <f>IFERROR(MATCH(203,'MTRs'!$BB$6:$BB$505,0),"")</f>
        <v/>
      </c>
    </row>
    <row r="806">
      <c r="B806" s="119" t="str">
        <f>IF($L806="","",INDEX('MTRs'!$A$6:$A$505,$L806)&amp;"")</f>
        <v/>
      </c>
      <c r="C806" s="120" t="str">
        <f>IF($L806="","",INDEX('MTRs'!$B$6:$B$505,$L806)&amp;"")</f>
        <v/>
      </c>
      <c r="D806" s="121" t="str">
        <f>IF($L806="","",INDEX('MTRs'!$W$6:$W$505,$L806))</f>
        <v/>
      </c>
      <c r="E806" s="122" t="str">
        <f>IF($L806="","",INDEX('MTRs'!$P$6:$P$505,$L806))</f>
        <v/>
      </c>
      <c r="F806" s="122" t="str">
        <f>IF($L806="","",INDEX('MTRs'!$Q$6:$Q$505,$L806))</f>
        <v/>
      </c>
      <c r="G806" s="122" t="str">
        <f>IF($L806="","",INDEX('MTRs'!$R$6:$R$505,$L806))</f>
        <v/>
      </c>
      <c r="H806" s="130" t="str">
        <f>IF($L806="","",IF(INDEX('MTRs'!$AM$6:$AM$505,$L806)=0,"",N(E806)-N(F806)))</f>
        <v/>
      </c>
      <c r="I806" s="130" t="str">
        <f>IF($L806="","",IF(INDEX('MTRs'!$AM$6:$AM$505,$L806)=0,"",N(F806)-N(G806)))</f>
        <v/>
      </c>
      <c r="J806" s="120" t="str">
        <f>IF($L806="","",INDEX('MTRs'!$S$6:$S$505,$L806)&amp;"")</f>
        <v/>
      </c>
      <c r="L806" t="str">
        <f>IFERROR(MATCH(204,'MTRs'!$BB$6:$BB$505,0),"")</f>
        <v/>
      </c>
    </row>
    <row r="807">
      <c r="B807" s="119" t="str">
        <f>IF($L807="","",INDEX('MTRs'!$A$6:$A$505,$L807)&amp;"")</f>
        <v/>
      </c>
      <c r="C807" s="120" t="str">
        <f>IF($L807="","",INDEX('MTRs'!$B$6:$B$505,$L807)&amp;"")</f>
        <v/>
      </c>
      <c r="D807" s="121" t="str">
        <f>IF($L807="","",INDEX('MTRs'!$W$6:$W$505,$L807))</f>
        <v/>
      </c>
      <c r="E807" s="122" t="str">
        <f>IF($L807="","",INDEX('MTRs'!$P$6:$P$505,$L807))</f>
        <v/>
      </c>
      <c r="F807" s="122" t="str">
        <f>IF($L807="","",INDEX('MTRs'!$Q$6:$Q$505,$L807))</f>
        <v/>
      </c>
      <c r="G807" s="122" t="str">
        <f>IF($L807="","",INDEX('MTRs'!$R$6:$R$505,$L807))</f>
        <v/>
      </c>
      <c r="H807" s="130" t="str">
        <f>IF($L807="","",IF(INDEX('MTRs'!$AM$6:$AM$505,$L807)=0,"",N(E807)-N(F807)))</f>
        <v/>
      </c>
      <c r="I807" s="130" t="str">
        <f>IF($L807="","",IF(INDEX('MTRs'!$AM$6:$AM$505,$L807)=0,"",N(F807)-N(G807)))</f>
        <v/>
      </c>
      <c r="J807" s="120" t="str">
        <f>IF($L807="","",INDEX('MTRs'!$S$6:$S$505,$L807)&amp;"")</f>
        <v/>
      </c>
      <c r="L807" t="str">
        <f>IFERROR(MATCH(205,'MTRs'!$BB$6:$BB$505,0),"")</f>
        <v/>
      </c>
    </row>
    <row r="808">
      <c r="B808" s="119" t="str">
        <f>IF($L808="","",INDEX('MTRs'!$A$6:$A$505,$L808)&amp;"")</f>
        <v/>
      </c>
      <c r="C808" s="120" t="str">
        <f>IF($L808="","",INDEX('MTRs'!$B$6:$B$505,$L808)&amp;"")</f>
        <v/>
      </c>
      <c r="D808" s="121" t="str">
        <f>IF($L808="","",INDEX('MTRs'!$W$6:$W$505,$L808))</f>
        <v/>
      </c>
      <c r="E808" s="122" t="str">
        <f>IF($L808="","",INDEX('MTRs'!$P$6:$P$505,$L808))</f>
        <v/>
      </c>
      <c r="F808" s="122" t="str">
        <f>IF($L808="","",INDEX('MTRs'!$Q$6:$Q$505,$L808))</f>
        <v/>
      </c>
      <c r="G808" s="122" t="str">
        <f>IF($L808="","",INDEX('MTRs'!$R$6:$R$505,$L808))</f>
        <v/>
      </c>
      <c r="H808" s="130" t="str">
        <f>IF($L808="","",IF(INDEX('MTRs'!$AM$6:$AM$505,$L808)=0,"",N(E808)-N(F808)))</f>
        <v/>
      </c>
      <c r="I808" s="130" t="str">
        <f>IF($L808="","",IF(INDEX('MTRs'!$AM$6:$AM$505,$L808)=0,"",N(F808)-N(G808)))</f>
        <v/>
      </c>
      <c r="J808" s="120" t="str">
        <f>IF($L808="","",INDEX('MTRs'!$S$6:$S$505,$L808)&amp;"")</f>
        <v/>
      </c>
      <c r="L808" t="str">
        <f>IFERROR(MATCH(206,'MTRs'!$BB$6:$BB$505,0),"")</f>
        <v/>
      </c>
    </row>
    <row r="809">
      <c r="B809" s="119" t="str">
        <f>IF($L809="","",INDEX('MTRs'!$A$6:$A$505,$L809)&amp;"")</f>
        <v/>
      </c>
      <c r="C809" s="120" t="str">
        <f>IF($L809="","",INDEX('MTRs'!$B$6:$B$505,$L809)&amp;"")</f>
        <v/>
      </c>
      <c r="D809" s="121" t="str">
        <f>IF($L809="","",INDEX('MTRs'!$W$6:$W$505,$L809))</f>
        <v/>
      </c>
      <c r="E809" s="122" t="str">
        <f>IF($L809="","",INDEX('MTRs'!$P$6:$P$505,$L809))</f>
        <v/>
      </c>
      <c r="F809" s="122" t="str">
        <f>IF($L809="","",INDEX('MTRs'!$Q$6:$Q$505,$L809))</f>
        <v/>
      </c>
      <c r="G809" s="122" t="str">
        <f>IF($L809="","",INDEX('MTRs'!$R$6:$R$505,$L809))</f>
        <v/>
      </c>
      <c r="H809" s="130" t="str">
        <f>IF($L809="","",IF(INDEX('MTRs'!$AM$6:$AM$505,$L809)=0,"",N(E809)-N(F809)))</f>
        <v/>
      </c>
      <c r="I809" s="130" t="str">
        <f>IF($L809="","",IF(INDEX('MTRs'!$AM$6:$AM$505,$L809)=0,"",N(F809)-N(G809)))</f>
        <v/>
      </c>
      <c r="J809" s="120" t="str">
        <f>IF($L809="","",INDEX('MTRs'!$S$6:$S$505,$L809)&amp;"")</f>
        <v/>
      </c>
      <c r="L809" t="str">
        <f>IFERROR(MATCH(207,'MTRs'!$BB$6:$BB$505,0),"")</f>
        <v/>
      </c>
    </row>
    <row r="810">
      <c r="B810" s="119" t="str">
        <f>IF($L810="","",INDEX('MTRs'!$A$6:$A$505,$L810)&amp;"")</f>
        <v/>
      </c>
      <c r="C810" s="120" t="str">
        <f>IF($L810="","",INDEX('MTRs'!$B$6:$B$505,$L810)&amp;"")</f>
        <v/>
      </c>
      <c r="D810" s="121" t="str">
        <f>IF($L810="","",INDEX('MTRs'!$W$6:$W$505,$L810))</f>
        <v/>
      </c>
      <c r="E810" s="122" t="str">
        <f>IF($L810="","",INDEX('MTRs'!$P$6:$P$505,$L810))</f>
        <v/>
      </c>
      <c r="F810" s="122" t="str">
        <f>IF($L810="","",INDEX('MTRs'!$Q$6:$Q$505,$L810))</f>
        <v/>
      </c>
      <c r="G810" s="122" t="str">
        <f>IF($L810="","",INDEX('MTRs'!$R$6:$R$505,$L810))</f>
        <v/>
      </c>
      <c r="H810" s="130" t="str">
        <f>IF($L810="","",IF(INDEX('MTRs'!$AM$6:$AM$505,$L810)=0,"",N(E810)-N(F810)))</f>
        <v/>
      </c>
      <c r="I810" s="130" t="str">
        <f>IF($L810="","",IF(INDEX('MTRs'!$AM$6:$AM$505,$L810)=0,"",N(F810)-N(G810)))</f>
        <v/>
      </c>
      <c r="J810" s="120" t="str">
        <f>IF($L810="","",INDEX('MTRs'!$S$6:$S$505,$L810)&amp;"")</f>
        <v/>
      </c>
      <c r="L810" t="str">
        <f>IFERROR(MATCH(208,'MTRs'!$BB$6:$BB$505,0),"")</f>
        <v/>
      </c>
    </row>
    <row r="811">
      <c r="B811" s="119" t="str">
        <f>IF($L811="","",INDEX('MTRs'!$A$6:$A$505,$L811)&amp;"")</f>
        <v/>
      </c>
      <c r="C811" s="120" t="str">
        <f>IF($L811="","",INDEX('MTRs'!$B$6:$B$505,$L811)&amp;"")</f>
        <v/>
      </c>
      <c r="D811" s="121" t="str">
        <f>IF($L811="","",INDEX('MTRs'!$W$6:$W$505,$L811))</f>
        <v/>
      </c>
      <c r="E811" s="122" t="str">
        <f>IF($L811="","",INDEX('MTRs'!$P$6:$P$505,$L811))</f>
        <v/>
      </c>
      <c r="F811" s="122" t="str">
        <f>IF($L811="","",INDEX('MTRs'!$Q$6:$Q$505,$L811))</f>
        <v/>
      </c>
      <c r="G811" s="122" t="str">
        <f>IF($L811="","",INDEX('MTRs'!$R$6:$R$505,$L811))</f>
        <v/>
      </c>
      <c r="H811" s="130" t="str">
        <f>IF($L811="","",IF(INDEX('MTRs'!$AM$6:$AM$505,$L811)=0,"",N(E811)-N(F811)))</f>
        <v/>
      </c>
      <c r="I811" s="130" t="str">
        <f>IF($L811="","",IF(INDEX('MTRs'!$AM$6:$AM$505,$L811)=0,"",N(F811)-N(G811)))</f>
        <v/>
      </c>
      <c r="J811" s="120" t="str">
        <f>IF($L811="","",INDEX('MTRs'!$S$6:$S$505,$L811)&amp;"")</f>
        <v/>
      </c>
      <c r="L811" t="str">
        <f>IFERROR(MATCH(209,'MTRs'!$BB$6:$BB$505,0),"")</f>
        <v/>
      </c>
    </row>
    <row r="812">
      <c r="B812" s="119" t="str">
        <f>IF($L812="","",INDEX('MTRs'!$A$6:$A$505,$L812)&amp;"")</f>
        <v/>
      </c>
      <c r="C812" s="120" t="str">
        <f>IF($L812="","",INDEX('MTRs'!$B$6:$B$505,$L812)&amp;"")</f>
        <v/>
      </c>
      <c r="D812" s="121" t="str">
        <f>IF($L812="","",INDEX('MTRs'!$W$6:$W$505,$L812))</f>
        <v/>
      </c>
      <c r="E812" s="122" t="str">
        <f>IF($L812="","",INDEX('MTRs'!$P$6:$P$505,$L812))</f>
        <v/>
      </c>
      <c r="F812" s="122" t="str">
        <f>IF($L812="","",INDEX('MTRs'!$Q$6:$Q$505,$L812))</f>
        <v/>
      </c>
      <c r="G812" s="122" t="str">
        <f>IF($L812="","",INDEX('MTRs'!$R$6:$R$505,$L812))</f>
        <v/>
      </c>
      <c r="H812" s="130" t="str">
        <f>IF($L812="","",IF(INDEX('MTRs'!$AM$6:$AM$505,$L812)=0,"",N(E812)-N(F812)))</f>
        <v/>
      </c>
      <c r="I812" s="130" t="str">
        <f>IF($L812="","",IF(INDEX('MTRs'!$AM$6:$AM$505,$L812)=0,"",N(F812)-N(G812)))</f>
        <v/>
      </c>
      <c r="J812" s="120" t="str">
        <f>IF($L812="","",INDEX('MTRs'!$S$6:$S$505,$L812)&amp;"")</f>
        <v/>
      </c>
      <c r="L812" t="str">
        <f>IFERROR(MATCH(210,'MTRs'!$BB$6:$BB$505,0),"")</f>
        <v/>
      </c>
    </row>
    <row r="813">
      <c r="B813" s="119" t="str">
        <f>IF($L813="","",INDEX('MTRs'!$A$6:$A$505,$L813)&amp;"")</f>
        <v/>
      </c>
      <c r="C813" s="120" t="str">
        <f>IF($L813="","",INDEX('MTRs'!$B$6:$B$505,$L813)&amp;"")</f>
        <v/>
      </c>
      <c r="D813" s="121" t="str">
        <f>IF($L813="","",INDEX('MTRs'!$W$6:$W$505,$L813))</f>
        <v/>
      </c>
      <c r="E813" s="122" t="str">
        <f>IF($L813="","",INDEX('MTRs'!$P$6:$P$505,$L813))</f>
        <v/>
      </c>
      <c r="F813" s="122" t="str">
        <f>IF($L813="","",INDEX('MTRs'!$Q$6:$Q$505,$L813))</f>
        <v/>
      </c>
      <c r="G813" s="122" t="str">
        <f>IF($L813="","",INDEX('MTRs'!$R$6:$R$505,$L813))</f>
        <v/>
      </c>
      <c r="H813" s="130" t="str">
        <f>IF($L813="","",IF(INDEX('MTRs'!$AM$6:$AM$505,$L813)=0,"",N(E813)-N(F813)))</f>
        <v/>
      </c>
      <c r="I813" s="130" t="str">
        <f>IF($L813="","",IF(INDEX('MTRs'!$AM$6:$AM$505,$L813)=0,"",N(F813)-N(G813)))</f>
        <v/>
      </c>
      <c r="J813" s="120" t="str">
        <f>IF($L813="","",INDEX('MTRs'!$S$6:$S$505,$L813)&amp;"")</f>
        <v/>
      </c>
      <c r="L813" t="str">
        <f>IFERROR(MATCH(211,'MTRs'!$BB$6:$BB$505,0),"")</f>
        <v/>
      </c>
    </row>
    <row r="814">
      <c r="B814" s="119" t="str">
        <f>IF($L814="","",INDEX('MTRs'!$A$6:$A$505,$L814)&amp;"")</f>
        <v/>
      </c>
      <c r="C814" s="120" t="str">
        <f>IF($L814="","",INDEX('MTRs'!$B$6:$B$505,$L814)&amp;"")</f>
        <v/>
      </c>
      <c r="D814" s="121" t="str">
        <f>IF($L814="","",INDEX('MTRs'!$W$6:$W$505,$L814))</f>
        <v/>
      </c>
      <c r="E814" s="122" t="str">
        <f>IF($L814="","",INDEX('MTRs'!$P$6:$P$505,$L814))</f>
        <v/>
      </c>
      <c r="F814" s="122" t="str">
        <f>IF($L814="","",INDEX('MTRs'!$Q$6:$Q$505,$L814))</f>
        <v/>
      </c>
      <c r="G814" s="122" t="str">
        <f>IF($L814="","",INDEX('MTRs'!$R$6:$R$505,$L814))</f>
        <v/>
      </c>
      <c r="H814" s="130" t="str">
        <f>IF($L814="","",IF(INDEX('MTRs'!$AM$6:$AM$505,$L814)=0,"",N(E814)-N(F814)))</f>
        <v/>
      </c>
      <c r="I814" s="130" t="str">
        <f>IF($L814="","",IF(INDEX('MTRs'!$AM$6:$AM$505,$L814)=0,"",N(F814)-N(G814)))</f>
        <v/>
      </c>
      <c r="J814" s="120" t="str">
        <f>IF($L814="","",INDEX('MTRs'!$S$6:$S$505,$L814)&amp;"")</f>
        <v/>
      </c>
      <c r="L814" t="str">
        <f>IFERROR(MATCH(212,'MTRs'!$BB$6:$BB$505,0),"")</f>
        <v/>
      </c>
    </row>
    <row r="815">
      <c r="B815" s="119" t="str">
        <f>IF($L815="","",INDEX('MTRs'!$A$6:$A$505,$L815)&amp;"")</f>
        <v/>
      </c>
      <c r="C815" s="120" t="str">
        <f>IF($L815="","",INDEX('MTRs'!$B$6:$B$505,$L815)&amp;"")</f>
        <v/>
      </c>
      <c r="D815" s="121" t="str">
        <f>IF($L815="","",INDEX('MTRs'!$W$6:$W$505,$L815))</f>
        <v/>
      </c>
      <c r="E815" s="122" t="str">
        <f>IF($L815="","",INDEX('MTRs'!$P$6:$P$505,$L815))</f>
        <v/>
      </c>
      <c r="F815" s="122" t="str">
        <f>IF($L815="","",INDEX('MTRs'!$Q$6:$Q$505,$L815))</f>
        <v/>
      </c>
      <c r="G815" s="122" t="str">
        <f>IF($L815="","",INDEX('MTRs'!$R$6:$R$505,$L815))</f>
        <v/>
      </c>
      <c r="H815" s="130" t="str">
        <f>IF($L815="","",IF(INDEX('MTRs'!$AM$6:$AM$505,$L815)=0,"",N(E815)-N(F815)))</f>
        <v/>
      </c>
      <c r="I815" s="130" t="str">
        <f>IF($L815="","",IF(INDEX('MTRs'!$AM$6:$AM$505,$L815)=0,"",N(F815)-N(G815)))</f>
        <v/>
      </c>
      <c r="J815" s="120" t="str">
        <f>IF($L815="","",INDEX('MTRs'!$S$6:$S$505,$L815)&amp;"")</f>
        <v/>
      </c>
      <c r="L815" t="str">
        <f>IFERROR(MATCH(213,'MTRs'!$BB$6:$BB$505,0),"")</f>
        <v/>
      </c>
    </row>
    <row r="816">
      <c r="B816" s="119" t="str">
        <f>IF($L816="","",INDEX('MTRs'!$A$6:$A$505,$L816)&amp;"")</f>
        <v/>
      </c>
      <c r="C816" s="120" t="str">
        <f>IF($L816="","",INDEX('MTRs'!$B$6:$B$505,$L816)&amp;"")</f>
        <v/>
      </c>
      <c r="D816" s="121" t="str">
        <f>IF($L816="","",INDEX('MTRs'!$W$6:$W$505,$L816))</f>
        <v/>
      </c>
      <c r="E816" s="122" t="str">
        <f>IF($L816="","",INDEX('MTRs'!$P$6:$P$505,$L816))</f>
        <v/>
      </c>
      <c r="F816" s="122" t="str">
        <f>IF($L816="","",INDEX('MTRs'!$Q$6:$Q$505,$L816))</f>
        <v/>
      </c>
      <c r="G816" s="122" t="str">
        <f>IF($L816="","",INDEX('MTRs'!$R$6:$R$505,$L816))</f>
        <v/>
      </c>
      <c r="H816" s="130" t="str">
        <f>IF($L816="","",IF(INDEX('MTRs'!$AM$6:$AM$505,$L816)=0,"",N(E816)-N(F816)))</f>
        <v/>
      </c>
      <c r="I816" s="130" t="str">
        <f>IF($L816="","",IF(INDEX('MTRs'!$AM$6:$AM$505,$L816)=0,"",N(F816)-N(G816)))</f>
        <v/>
      </c>
      <c r="J816" s="120" t="str">
        <f>IF($L816="","",INDEX('MTRs'!$S$6:$S$505,$L816)&amp;"")</f>
        <v/>
      </c>
      <c r="L816" t="str">
        <f>IFERROR(MATCH(214,'MTRs'!$BB$6:$BB$505,0),"")</f>
        <v/>
      </c>
    </row>
    <row r="817">
      <c r="B817" s="119" t="str">
        <f>IF($L817="","",INDEX('MTRs'!$A$6:$A$505,$L817)&amp;"")</f>
        <v/>
      </c>
      <c r="C817" s="120" t="str">
        <f>IF($L817="","",INDEX('MTRs'!$B$6:$B$505,$L817)&amp;"")</f>
        <v/>
      </c>
      <c r="D817" s="121" t="str">
        <f>IF($L817="","",INDEX('MTRs'!$W$6:$W$505,$L817))</f>
        <v/>
      </c>
      <c r="E817" s="122" t="str">
        <f>IF($L817="","",INDEX('MTRs'!$P$6:$P$505,$L817))</f>
        <v/>
      </c>
      <c r="F817" s="122" t="str">
        <f>IF($L817="","",INDEX('MTRs'!$Q$6:$Q$505,$L817))</f>
        <v/>
      </c>
      <c r="G817" s="122" t="str">
        <f>IF($L817="","",INDEX('MTRs'!$R$6:$R$505,$L817))</f>
        <v/>
      </c>
      <c r="H817" s="130" t="str">
        <f>IF($L817="","",IF(INDEX('MTRs'!$AM$6:$AM$505,$L817)=0,"",N(E817)-N(F817)))</f>
        <v/>
      </c>
      <c r="I817" s="130" t="str">
        <f>IF($L817="","",IF(INDEX('MTRs'!$AM$6:$AM$505,$L817)=0,"",N(F817)-N(G817)))</f>
        <v/>
      </c>
      <c r="J817" s="120" t="str">
        <f>IF($L817="","",INDEX('MTRs'!$S$6:$S$505,$L817)&amp;"")</f>
        <v/>
      </c>
      <c r="L817" t="str">
        <f>IFERROR(MATCH(215,'MTRs'!$BB$6:$BB$505,0),"")</f>
        <v/>
      </c>
    </row>
    <row r="818">
      <c r="B818" s="119" t="str">
        <f>IF($L818="","",INDEX('MTRs'!$A$6:$A$505,$L818)&amp;"")</f>
        <v/>
      </c>
      <c r="C818" s="120" t="str">
        <f>IF($L818="","",INDEX('MTRs'!$B$6:$B$505,$L818)&amp;"")</f>
        <v/>
      </c>
      <c r="D818" s="121" t="str">
        <f>IF($L818="","",INDEX('MTRs'!$W$6:$W$505,$L818))</f>
        <v/>
      </c>
      <c r="E818" s="122" t="str">
        <f>IF($L818="","",INDEX('MTRs'!$P$6:$P$505,$L818))</f>
        <v/>
      </c>
      <c r="F818" s="122" t="str">
        <f>IF($L818="","",INDEX('MTRs'!$Q$6:$Q$505,$L818))</f>
        <v/>
      </c>
      <c r="G818" s="122" t="str">
        <f>IF($L818="","",INDEX('MTRs'!$R$6:$R$505,$L818))</f>
        <v/>
      </c>
      <c r="H818" s="130" t="str">
        <f>IF($L818="","",IF(INDEX('MTRs'!$AM$6:$AM$505,$L818)=0,"",N(E818)-N(F818)))</f>
        <v/>
      </c>
      <c r="I818" s="130" t="str">
        <f>IF($L818="","",IF(INDEX('MTRs'!$AM$6:$AM$505,$L818)=0,"",N(F818)-N(G818)))</f>
        <v/>
      </c>
      <c r="J818" s="120" t="str">
        <f>IF($L818="","",INDEX('MTRs'!$S$6:$S$505,$L818)&amp;"")</f>
        <v/>
      </c>
      <c r="L818" t="str">
        <f>IFERROR(MATCH(216,'MTRs'!$BB$6:$BB$505,0),"")</f>
        <v/>
      </c>
    </row>
    <row r="819">
      <c r="B819" s="119" t="str">
        <f>IF($L819="","",INDEX('MTRs'!$A$6:$A$505,$L819)&amp;"")</f>
        <v/>
      </c>
      <c r="C819" s="120" t="str">
        <f>IF($L819="","",INDEX('MTRs'!$B$6:$B$505,$L819)&amp;"")</f>
        <v/>
      </c>
      <c r="D819" s="121" t="str">
        <f>IF($L819="","",INDEX('MTRs'!$W$6:$W$505,$L819))</f>
        <v/>
      </c>
      <c r="E819" s="122" t="str">
        <f>IF($L819="","",INDEX('MTRs'!$P$6:$P$505,$L819))</f>
        <v/>
      </c>
      <c r="F819" s="122" t="str">
        <f>IF($L819="","",INDEX('MTRs'!$Q$6:$Q$505,$L819))</f>
        <v/>
      </c>
      <c r="G819" s="122" t="str">
        <f>IF($L819="","",INDEX('MTRs'!$R$6:$R$505,$L819))</f>
        <v/>
      </c>
      <c r="H819" s="130" t="str">
        <f>IF($L819="","",IF(INDEX('MTRs'!$AM$6:$AM$505,$L819)=0,"",N(E819)-N(F819)))</f>
        <v/>
      </c>
      <c r="I819" s="130" t="str">
        <f>IF($L819="","",IF(INDEX('MTRs'!$AM$6:$AM$505,$L819)=0,"",N(F819)-N(G819)))</f>
        <v/>
      </c>
      <c r="J819" s="120" t="str">
        <f>IF($L819="","",INDEX('MTRs'!$S$6:$S$505,$L819)&amp;"")</f>
        <v/>
      </c>
      <c r="L819" t="str">
        <f>IFERROR(MATCH(217,'MTRs'!$BB$6:$BB$505,0),"")</f>
        <v/>
      </c>
    </row>
    <row r="820">
      <c r="B820" s="119" t="str">
        <f>IF($L820="","",INDEX('MTRs'!$A$6:$A$505,$L820)&amp;"")</f>
        <v/>
      </c>
      <c r="C820" s="120" t="str">
        <f>IF($L820="","",INDEX('MTRs'!$B$6:$B$505,$L820)&amp;"")</f>
        <v/>
      </c>
      <c r="D820" s="121" t="str">
        <f>IF($L820="","",INDEX('MTRs'!$W$6:$W$505,$L820))</f>
        <v/>
      </c>
      <c r="E820" s="122" t="str">
        <f>IF($L820="","",INDEX('MTRs'!$P$6:$P$505,$L820))</f>
        <v/>
      </c>
      <c r="F820" s="122" t="str">
        <f>IF($L820="","",INDEX('MTRs'!$Q$6:$Q$505,$L820))</f>
        <v/>
      </c>
      <c r="G820" s="122" t="str">
        <f>IF($L820="","",INDEX('MTRs'!$R$6:$R$505,$L820))</f>
        <v/>
      </c>
      <c r="H820" s="130" t="str">
        <f>IF($L820="","",IF(INDEX('MTRs'!$AM$6:$AM$505,$L820)=0,"",N(E820)-N(F820)))</f>
        <v/>
      </c>
      <c r="I820" s="130" t="str">
        <f>IF($L820="","",IF(INDEX('MTRs'!$AM$6:$AM$505,$L820)=0,"",N(F820)-N(G820)))</f>
        <v/>
      </c>
      <c r="J820" s="120" t="str">
        <f>IF($L820="","",INDEX('MTRs'!$S$6:$S$505,$L820)&amp;"")</f>
        <v/>
      </c>
      <c r="L820" t="str">
        <f>IFERROR(MATCH(218,'MTRs'!$BB$6:$BB$505,0),"")</f>
        <v/>
      </c>
    </row>
    <row r="821">
      <c r="B821" s="119" t="str">
        <f>IF($L821="","",INDEX('MTRs'!$A$6:$A$505,$L821)&amp;"")</f>
        <v/>
      </c>
      <c r="C821" s="120" t="str">
        <f>IF($L821="","",INDEX('MTRs'!$B$6:$B$505,$L821)&amp;"")</f>
        <v/>
      </c>
      <c r="D821" s="121" t="str">
        <f>IF($L821="","",INDEX('MTRs'!$W$6:$W$505,$L821))</f>
        <v/>
      </c>
      <c r="E821" s="122" t="str">
        <f>IF($L821="","",INDEX('MTRs'!$P$6:$P$505,$L821))</f>
        <v/>
      </c>
      <c r="F821" s="122" t="str">
        <f>IF($L821="","",INDEX('MTRs'!$Q$6:$Q$505,$L821))</f>
        <v/>
      </c>
      <c r="G821" s="122" t="str">
        <f>IF($L821="","",INDEX('MTRs'!$R$6:$R$505,$L821))</f>
        <v/>
      </c>
      <c r="H821" s="130" t="str">
        <f>IF($L821="","",IF(INDEX('MTRs'!$AM$6:$AM$505,$L821)=0,"",N(E821)-N(F821)))</f>
        <v/>
      </c>
      <c r="I821" s="130" t="str">
        <f>IF($L821="","",IF(INDEX('MTRs'!$AM$6:$AM$505,$L821)=0,"",N(F821)-N(G821)))</f>
        <v/>
      </c>
      <c r="J821" s="120" t="str">
        <f>IF($L821="","",INDEX('MTRs'!$S$6:$S$505,$L821)&amp;"")</f>
        <v/>
      </c>
      <c r="L821" t="str">
        <f>IFERROR(MATCH(219,'MTRs'!$BB$6:$BB$505,0),"")</f>
        <v/>
      </c>
    </row>
    <row r="822">
      <c r="B822" s="119" t="str">
        <f>IF($L822="","",INDEX('MTRs'!$A$6:$A$505,$L822)&amp;"")</f>
        <v/>
      </c>
      <c r="C822" s="120" t="str">
        <f>IF($L822="","",INDEX('MTRs'!$B$6:$B$505,$L822)&amp;"")</f>
        <v/>
      </c>
      <c r="D822" s="121" t="str">
        <f>IF($L822="","",INDEX('MTRs'!$W$6:$W$505,$L822))</f>
        <v/>
      </c>
      <c r="E822" s="122" t="str">
        <f>IF($L822="","",INDEX('MTRs'!$P$6:$P$505,$L822))</f>
        <v/>
      </c>
      <c r="F822" s="122" t="str">
        <f>IF($L822="","",INDEX('MTRs'!$Q$6:$Q$505,$L822))</f>
        <v/>
      </c>
      <c r="G822" s="122" t="str">
        <f>IF($L822="","",INDEX('MTRs'!$R$6:$R$505,$L822))</f>
        <v/>
      </c>
      <c r="H822" s="130" t="str">
        <f>IF($L822="","",IF(INDEX('MTRs'!$AM$6:$AM$505,$L822)=0,"",N(E822)-N(F822)))</f>
        <v/>
      </c>
      <c r="I822" s="130" t="str">
        <f>IF($L822="","",IF(INDEX('MTRs'!$AM$6:$AM$505,$L822)=0,"",N(F822)-N(G822)))</f>
        <v/>
      </c>
      <c r="J822" s="120" t="str">
        <f>IF($L822="","",INDEX('MTRs'!$S$6:$S$505,$L822)&amp;"")</f>
        <v/>
      </c>
      <c r="L822" t="str">
        <f>IFERROR(MATCH(220,'MTRs'!$BB$6:$BB$505,0),"")</f>
        <v/>
      </c>
    </row>
    <row r="823">
      <c r="B823" s="119" t="str">
        <f>IF($L823="","",INDEX('MTRs'!$A$6:$A$505,$L823)&amp;"")</f>
        <v/>
      </c>
      <c r="C823" s="120" t="str">
        <f>IF($L823="","",INDEX('MTRs'!$B$6:$B$505,$L823)&amp;"")</f>
        <v/>
      </c>
      <c r="D823" s="121" t="str">
        <f>IF($L823="","",INDEX('MTRs'!$W$6:$W$505,$L823))</f>
        <v/>
      </c>
      <c r="E823" s="122" t="str">
        <f>IF($L823="","",INDEX('MTRs'!$P$6:$P$505,$L823))</f>
        <v/>
      </c>
      <c r="F823" s="122" t="str">
        <f>IF($L823="","",INDEX('MTRs'!$Q$6:$Q$505,$L823))</f>
        <v/>
      </c>
      <c r="G823" s="122" t="str">
        <f>IF($L823="","",INDEX('MTRs'!$R$6:$R$505,$L823))</f>
        <v/>
      </c>
      <c r="H823" s="130" t="str">
        <f>IF($L823="","",IF(INDEX('MTRs'!$AM$6:$AM$505,$L823)=0,"",N(E823)-N(F823)))</f>
        <v/>
      </c>
      <c r="I823" s="130" t="str">
        <f>IF($L823="","",IF(INDEX('MTRs'!$AM$6:$AM$505,$L823)=0,"",N(F823)-N(G823)))</f>
        <v/>
      </c>
      <c r="J823" s="120" t="str">
        <f>IF($L823="","",INDEX('MTRs'!$S$6:$S$505,$L823)&amp;"")</f>
        <v/>
      </c>
      <c r="L823" t="str">
        <f>IFERROR(MATCH(221,'MTRs'!$BB$6:$BB$505,0),"")</f>
        <v/>
      </c>
    </row>
    <row r="824">
      <c r="B824" s="119" t="str">
        <f>IF($L824="","",INDEX('MTRs'!$A$6:$A$505,$L824)&amp;"")</f>
        <v/>
      </c>
      <c r="C824" s="120" t="str">
        <f>IF($L824="","",INDEX('MTRs'!$B$6:$B$505,$L824)&amp;"")</f>
        <v/>
      </c>
      <c r="D824" s="121" t="str">
        <f>IF($L824="","",INDEX('MTRs'!$W$6:$W$505,$L824))</f>
        <v/>
      </c>
      <c r="E824" s="122" t="str">
        <f>IF($L824="","",INDEX('MTRs'!$P$6:$P$505,$L824))</f>
        <v/>
      </c>
      <c r="F824" s="122" t="str">
        <f>IF($L824="","",INDEX('MTRs'!$Q$6:$Q$505,$L824))</f>
        <v/>
      </c>
      <c r="G824" s="122" t="str">
        <f>IF($L824="","",INDEX('MTRs'!$R$6:$R$505,$L824))</f>
        <v/>
      </c>
      <c r="H824" s="130" t="str">
        <f>IF($L824="","",IF(INDEX('MTRs'!$AM$6:$AM$505,$L824)=0,"",N(E824)-N(F824)))</f>
        <v/>
      </c>
      <c r="I824" s="130" t="str">
        <f>IF($L824="","",IF(INDEX('MTRs'!$AM$6:$AM$505,$L824)=0,"",N(F824)-N(G824)))</f>
        <v/>
      </c>
      <c r="J824" s="120" t="str">
        <f>IF($L824="","",INDEX('MTRs'!$S$6:$S$505,$L824)&amp;"")</f>
        <v/>
      </c>
      <c r="L824" t="str">
        <f>IFERROR(MATCH(222,'MTRs'!$BB$6:$BB$505,0),"")</f>
        <v/>
      </c>
    </row>
    <row r="825">
      <c r="B825" s="119" t="str">
        <f>IF($L825="","",INDEX('MTRs'!$A$6:$A$505,$L825)&amp;"")</f>
        <v/>
      </c>
      <c r="C825" s="120" t="str">
        <f>IF($L825="","",INDEX('MTRs'!$B$6:$B$505,$L825)&amp;"")</f>
        <v/>
      </c>
      <c r="D825" s="121" t="str">
        <f>IF($L825="","",INDEX('MTRs'!$W$6:$W$505,$L825))</f>
        <v/>
      </c>
      <c r="E825" s="122" t="str">
        <f>IF($L825="","",INDEX('MTRs'!$P$6:$P$505,$L825))</f>
        <v/>
      </c>
      <c r="F825" s="122" t="str">
        <f>IF($L825="","",INDEX('MTRs'!$Q$6:$Q$505,$L825))</f>
        <v/>
      </c>
      <c r="G825" s="122" t="str">
        <f>IF($L825="","",INDEX('MTRs'!$R$6:$R$505,$L825))</f>
        <v/>
      </c>
      <c r="H825" s="130" t="str">
        <f>IF($L825="","",IF(INDEX('MTRs'!$AM$6:$AM$505,$L825)=0,"",N(E825)-N(F825)))</f>
        <v/>
      </c>
      <c r="I825" s="130" t="str">
        <f>IF($L825="","",IF(INDEX('MTRs'!$AM$6:$AM$505,$L825)=0,"",N(F825)-N(G825)))</f>
        <v/>
      </c>
      <c r="J825" s="120" t="str">
        <f>IF($L825="","",INDEX('MTRs'!$S$6:$S$505,$L825)&amp;"")</f>
        <v/>
      </c>
      <c r="L825" t="str">
        <f>IFERROR(MATCH(223,'MTRs'!$BB$6:$BB$505,0),"")</f>
        <v/>
      </c>
    </row>
    <row r="826">
      <c r="B826" s="119" t="str">
        <f>IF($L826="","",INDEX('MTRs'!$A$6:$A$505,$L826)&amp;"")</f>
        <v/>
      </c>
      <c r="C826" s="120" t="str">
        <f>IF($L826="","",INDEX('MTRs'!$B$6:$B$505,$L826)&amp;"")</f>
        <v/>
      </c>
      <c r="D826" s="121" t="str">
        <f>IF($L826="","",INDEX('MTRs'!$W$6:$W$505,$L826))</f>
        <v/>
      </c>
      <c r="E826" s="122" t="str">
        <f>IF($L826="","",INDEX('MTRs'!$P$6:$P$505,$L826))</f>
        <v/>
      </c>
      <c r="F826" s="122" t="str">
        <f>IF($L826="","",INDEX('MTRs'!$Q$6:$Q$505,$L826))</f>
        <v/>
      </c>
      <c r="G826" s="122" t="str">
        <f>IF($L826="","",INDEX('MTRs'!$R$6:$R$505,$L826))</f>
        <v/>
      </c>
      <c r="H826" s="130" t="str">
        <f>IF($L826="","",IF(INDEX('MTRs'!$AM$6:$AM$505,$L826)=0,"",N(E826)-N(F826)))</f>
        <v/>
      </c>
      <c r="I826" s="130" t="str">
        <f>IF($L826="","",IF(INDEX('MTRs'!$AM$6:$AM$505,$L826)=0,"",N(F826)-N(G826)))</f>
        <v/>
      </c>
      <c r="J826" s="120" t="str">
        <f>IF($L826="","",INDEX('MTRs'!$S$6:$S$505,$L826)&amp;"")</f>
        <v/>
      </c>
      <c r="L826" t="str">
        <f>IFERROR(MATCH(224,'MTRs'!$BB$6:$BB$505,0),"")</f>
        <v/>
      </c>
    </row>
    <row r="827">
      <c r="B827" s="119" t="str">
        <f>IF($L827="","",INDEX('MTRs'!$A$6:$A$505,$L827)&amp;"")</f>
        <v/>
      </c>
      <c r="C827" s="120" t="str">
        <f>IF($L827="","",INDEX('MTRs'!$B$6:$B$505,$L827)&amp;"")</f>
        <v/>
      </c>
      <c r="D827" s="121" t="str">
        <f>IF($L827="","",INDEX('MTRs'!$W$6:$W$505,$L827))</f>
        <v/>
      </c>
      <c r="E827" s="122" t="str">
        <f>IF($L827="","",INDEX('MTRs'!$P$6:$P$505,$L827))</f>
        <v/>
      </c>
      <c r="F827" s="122" t="str">
        <f>IF($L827="","",INDEX('MTRs'!$Q$6:$Q$505,$L827))</f>
        <v/>
      </c>
      <c r="G827" s="122" t="str">
        <f>IF($L827="","",INDEX('MTRs'!$R$6:$R$505,$L827))</f>
        <v/>
      </c>
      <c r="H827" s="130" t="str">
        <f>IF($L827="","",IF(INDEX('MTRs'!$AM$6:$AM$505,$L827)=0,"",N(E827)-N(F827)))</f>
        <v/>
      </c>
      <c r="I827" s="130" t="str">
        <f>IF($L827="","",IF(INDEX('MTRs'!$AM$6:$AM$505,$L827)=0,"",N(F827)-N(G827)))</f>
        <v/>
      </c>
      <c r="J827" s="120" t="str">
        <f>IF($L827="","",INDEX('MTRs'!$S$6:$S$505,$L827)&amp;"")</f>
        <v/>
      </c>
      <c r="L827" t="str">
        <f>IFERROR(MATCH(225,'MTRs'!$BB$6:$BB$505,0),"")</f>
        <v/>
      </c>
    </row>
    <row r="828">
      <c r="B828" s="119" t="str">
        <f>IF($L828="","",INDEX('MTRs'!$A$6:$A$505,$L828)&amp;"")</f>
        <v/>
      </c>
      <c r="C828" s="120" t="str">
        <f>IF($L828="","",INDEX('MTRs'!$B$6:$B$505,$L828)&amp;"")</f>
        <v/>
      </c>
      <c r="D828" s="121" t="str">
        <f>IF($L828="","",INDEX('MTRs'!$W$6:$W$505,$L828))</f>
        <v/>
      </c>
      <c r="E828" s="122" t="str">
        <f>IF($L828="","",INDEX('MTRs'!$P$6:$P$505,$L828))</f>
        <v/>
      </c>
      <c r="F828" s="122" t="str">
        <f>IF($L828="","",INDEX('MTRs'!$Q$6:$Q$505,$L828))</f>
        <v/>
      </c>
      <c r="G828" s="122" t="str">
        <f>IF($L828="","",INDEX('MTRs'!$R$6:$R$505,$L828))</f>
        <v/>
      </c>
      <c r="H828" s="130" t="str">
        <f>IF($L828="","",IF(INDEX('MTRs'!$AM$6:$AM$505,$L828)=0,"",N(E828)-N(F828)))</f>
        <v/>
      </c>
      <c r="I828" s="130" t="str">
        <f>IF($L828="","",IF(INDEX('MTRs'!$AM$6:$AM$505,$L828)=0,"",N(F828)-N(G828)))</f>
        <v/>
      </c>
      <c r="J828" s="120" t="str">
        <f>IF($L828="","",INDEX('MTRs'!$S$6:$S$505,$L828)&amp;"")</f>
        <v/>
      </c>
      <c r="L828" t="str">
        <f>IFERROR(MATCH(226,'MTRs'!$BB$6:$BB$505,0),"")</f>
        <v/>
      </c>
    </row>
    <row r="829">
      <c r="B829" s="119" t="str">
        <f>IF($L829="","",INDEX('MTRs'!$A$6:$A$505,$L829)&amp;"")</f>
        <v/>
      </c>
      <c r="C829" s="120" t="str">
        <f>IF($L829="","",INDEX('MTRs'!$B$6:$B$505,$L829)&amp;"")</f>
        <v/>
      </c>
      <c r="D829" s="121" t="str">
        <f>IF($L829="","",INDEX('MTRs'!$W$6:$W$505,$L829))</f>
        <v/>
      </c>
      <c r="E829" s="122" t="str">
        <f>IF($L829="","",INDEX('MTRs'!$P$6:$P$505,$L829))</f>
        <v/>
      </c>
      <c r="F829" s="122" t="str">
        <f>IF($L829="","",INDEX('MTRs'!$Q$6:$Q$505,$L829))</f>
        <v/>
      </c>
      <c r="G829" s="122" t="str">
        <f>IF($L829="","",INDEX('MTRs'!$R$6:$R$505,$L829))</f>
        <v/>
      </c>
      <c r="H829" s="130" t="str">
        <f>IF($L829="","",IF(INDEX('MTRs'!$AM$6:$AM$505,$L829)=0,"",N(E829)-N(F829)))</f>
        <v/>
      </c>
      <c r="I829" s="130" t="str">
        <f>IF($L829="","",IF(INDEX('MTRs'!$AM$6:$AM$505,$L829)=0,"",N(F829)-N(G829)))</f>
        <v/>
      </c>
      <c r="J829" s="120" t="str">
        <f>IF($L829="","",INDEX('MTRs'!$S$6:$S$505,$L829)&amp;"")</f>
        <v/>
      </c>
      <c r="L829" t="str">
        <f>IFERROR(MATCH(227,'MTRs'!$BB$6:$BB$505,0),"")</f>
        <v/>
      </c>
    </row>
    <row r="830">
      <c r="B830" s="119" t="str">
        <f>IF($L830="","",INDEX('MTRs'!$A$6:$A$505,$L830)&amp;"")</f>
        <v/>
      </c>
      <c r="C830" s="120" t="str">
        <f>IF($L830="","",INDEX('MTRs'!$B$6:$B$505,$L830)&amp;"")</f>
        <v/>
      </c>
      <c r="D830" s="121" t="str">
        <f>IF($L830="","",INDEX('MTRs'!$W$6:$W$505,$L830))</f>
        <v/>
      </c>
      <c r="E830" s="122" t="str">
        <f>IF($L830="","",INDEX('MTRs'!$P$6:$P$505,$L830))</f>
        <v/>
      </c>
      <c r="F830" s="122" t="str">
        <f>IF($L830="","",INDEX('MTRs'!$Q$6:$Q$505,$L830))</f>
        <v/>
      </c>
      <c r="G830" s="122" t="str">
        <f>IF($L830="","",INDEX('MTRs'!$R$6:$R$505,$L830))</f>
        <v/>
      </c>
      <c r="H830" s="130" t="str">
        <f>IF($L830="","",IF(INDEX('MTRs'!$AM$6:$AM$505,$L830)=0,"",N(E830)-N(F830)))</f>
        <v/>
      </c>
      <c r="I830" s="130" t="str">
        <f>IF($L830="","",IF(INDEX('MTRs'!$AM$6:$AM$505,$L830)=0,"",N(F830)-N(G830)))</f>
        <v/>
      </c>
      <c r="J830" s="120" t="str">
        <f>IF($L830="","",INDEX('MTRs'!$S$6:$S$505,$L830)&amp;"")</f>
        <v/>
      </c>
      <c r="L830" t="str">
        <f>IFERROR(MATCH(228,'MTRs'!$BB$6:$BB$505,0),"")</f>
        <v/>
      </c>
    </row>
    <row r="831">
      <c r="B831" s="119" t="str">
        <f>IF($L831="","",INDEX('MTRs'!$A$6:$A$505,$L831)&amp;"")</f>
        <v/>
      </c>
      <c r="C831" s="120" t="str">
        <f>IF($L831="","",INDEX('MTRs'!$B$6:$B$505,$L831)&amp;"")</f>
        <v/>
      </c>
      <c r="D831" s="121" t="str">
        <f>IF($L831="","",INDEX('MTRs'!$W$6:$W$505,$L831))</f>
        <v/>
      </c>
      <c r="E831" s="122" t="str">
        <f>IF($L831="","",INDEX('MTRs'!$P$6:$P$505,$L831))</f>
        <v/>
      </c>
      <c r="F831" s="122" t="str">
        <f>IF($L831="","",INDEX('MTRs'!$Q$6:$Q$505,$L831))</f>
        <v/>
      </c>
      <c r="G831" s="122" t="str">
        <f>IF($L831="","",INDEX('MTRs'!$R$6:$R$505,$L831))</f>
        <v/>
      </c>
      <c r="H831" s="130" t="str">
        <f>IF($L831="","",IF(INDEX('MTRs'!$AM$6:$AM$505,$L831)=0,"",N(E831)-N(F831)))</f>
        <v/>
      </c>
      <c r="I831" s="130" t="str">
        <f>IF($L831="","",IF(INDEX('MTRs'!$AM$6:$AM$505,$L831)=0,"",N(F831)-N(G831)))</f>
        <v/>
      </c>
      <c r="J831" s="120" t="str">
        <f>IF($L831="","",INDEX('MTRs'!$S$6:$S$505,$L831)&amp;"")</f>
        <v/>
      </c>
      <c r="L831" t="str">
        <f>IFERROR(MATCH(229,'MTRs'!$BB$6:$BB$505,0),"")</f>
        <v/>
      </c>
    </row>
    <row r="832">
      <c r="B832" s="119" t="str">
        <f>IF($L832="","",INDEX('MTRs'!$A$6:$A$505,$L832)&amp;"")</f>
        <v/>
      </c>
      <c r="C832" s="120" t="str">
        <f>IF($L832="","",INDEX('MTRs'!$B$6:$B$505,$L832)&amp;"")</f>
        <v/>
      </c>
      <c r="D832" s="121" t="str">
        <f>IF($L832="","",INDEX('MTRs'!$W$6:$W$505,$L832))</f>
        <v/>
      </c>
      <c r="E832" s="122" t="str">
        <f>IF($L832="","",INDEX('MTRs'!$P$6:$P$505,$L832))</f>
        <v/>
      </c>
      <c r="F832" s="122" t="str">
        <f>IF($L832="","",INDEX('MTRs'!$Q$6:$Q$505,$L832))</f>
        <v/>
      </c>
      <c r="G832" s="122" t="str">
        <f>IF($L832="","",INDEX('MTRs'!$R$6:$R$505,$L832))</f>
        <v/>
      </c>
      <c r="H832" s="130" t="str">
        <f>IF($L832="","",IF(INDEX('MTRs'!$AM$6:$AM$505,$L832)=0,"",N(E832)-N(F832)))</f>
        <v/>
      </c>
      <c r="I832" s="130" t="str">
        <f>IF($L832="","",IF(INDEX('MTRs'!$AM$6:$AM$505,$L832)=0,"",N(F832)-N(G832)))</f>
        <v/>
      </c>
      <c r="J832" s="120" t="str">
        <f>IF($L832="","",INDEX('MTRs'!$S$6:$S$505,$L832)&amp;"")</f>
        <v/>
      </c>
      <c r="L832" t="str">
        <f>IFERROR(MATCH(230,'MTRs'!$BB$6:$BB$505,0),"")</f>
        <v/>
      </c>
    </row>
    <row r="833">
      <c r="B833" s="119" t="str">
        <f>IF($L833="","",INDEX('MTRs'!$A$6:$A$505,$L833)&amp;"")</f>
        <v/>
      </c>
      <c r="C833" s="120" t="str">
        <f>IF($L833="","",INDEX('MTRs'!$B$6:$B$505,$L833)&amp;"")</f>
        <v/>
      </c>
      <c r="D833" s="121" t="str">
        <f>IF($L833="","",INDEX('MTRs'!$W$6:$W$505,$L833))</f>
        <v/>
      </c>
      <c r="E833" s="122" t="str">
        <f>IF($L833="","",INDEX('MTRs'!$P$6:$P$505,$L833))</f>
        <v/>
      </c>
      <c r="F833" s="122" t="str">
        <f>IF($L833="","",INDEX('MTRs'!$Q$6:$Q$505,$L833))</f>
        <v/>
      </c>
      <c r="G833" s="122" t="str">
        <f>IF($L833="","",INDEX('MTRs'!$R$6:$R$505,$L833))</f>
        <v/>
      </c>
      <c r="H833" s="130" t="str">
        <f>IF($L833="","",IF(INDEX('MTRs'!$AM$6:$AM$505,$L833)=0,"",N(E833)-N(F833)))</f>
        <v/>
      </c>
      <c r="I833" s="130" t="str">
        <f>IF($L833="","",IF(INDEX('MTRs'!$AM$6:$AM$505,$L833)=0,"",N(F833)-N(G833)))</f>
        <v/>
      </c>
      <c r="J833" s="120" t="str">
        <f>IF($L833="","",INDEX('MTRs'!$S$6:$S$505,$L833)&amp;"")</f>
        <v/>
      </c>
      <c r="L833" t="str">
        <f>IFERROR(MATCH(231,'MTRs'!$BB$6:$BB$505,0),"")</f>
        <v/>
      </c>
    </row>
    <row r="834">
      <c r="B834" s="119" t="str">
        <f>IF($L834="","",INDEX('MTRs'!$A$6:$A$505,$L834)&amp;"")</f>
        <v/>
      </c>
      <c r="C834" s="120" t="str">
        <f>IF($L834="","",INDEX('MTRs'!$B$6:$B$505,$L834)&amp;"")</f>
        <v/>
      </c>
      <c r="D834" s="121" t="str">
        <f>IF($L834="","",INDEX('MTRs'!$W$6:$W$505,$L834))</f>
        <v/>
      </c>
      <c r="E834" s="122" t="str">
        <f>IF($L834="","",INDEX('MTRs'!$P$6:$P$505,$L834))</f>
        <v/>
      </c>
      <c r="F834" s="122" t="str">
        <f>IF($L834="","",INDEX('MTRs'!$Q$6:$Q$505,$L834))</f>
        <v/>
      </c>
      <c r="G834" s="122" t="str">
        <f>IF($L834="","",INDEX('MTRs'!$R$6:$R$505,$L834))</f>
        <v/>
      </c>
      <c r="H834" s="130" t="str">
        <f>IF($L834="","",IF(INDEX('MTRs'!$AM$6:$AM$505,$L834)=0,"",N(E834)-N(F834)))</f>
        <v/>
      </c>
      <c r="I834" s="130" t="str">
        <f>IF($L834="","",IF(INDEX('MTRs'!$AM$6:$AM$505,$L834)=0,"",N(F834)-N(G834)))</f>
        <v/>
      </c>
      <c r="J834" s="120" t="str">
        <f>IF($L834="","",INDEX('MTRs'!$S$6:$S$505,$L834)&amp;"")</f>
        <v/>
      </c>
      <c r="L834" t="str">
        <f>IFERROR(MATCH(232,'MTRs'!$BB$6:$BB$505,0),"")</f>
        <v/>
      </c>
    </row>
    <row r="835">
      <c r="B835" s="119" t="str">
        <f>IF($L835="","",INDEX('MTRs'!$A$6:$A$505,$L835)&amp;"")</f>
        <v/>
      </c>
      <c r="C835" s="120" t="str">
        <f>IF($L835="","",INDEX('MTRs'!$B$6:$B$505,$L835)&amp;"")</f>
        <v/>
      </c>
      <c r="D835" s="121" t="str">
        <f>IF($L835="","",INDEX('MTRs'!$W$6:$W$505,$L835))</f>
        <v/>
      </c>
      <c r="E835" s="122" t="str">
        <f>IF($L835="","",INDEX('MTRs'!$P$6:$P$505,$L835))</f>
        <v/>
      </c>
      <c r="F835" s="122" t="str">
        <f>IF($L835="","",INDEX('MTRs'!$Q$6:$Q$505,$L835))</f>
        <v/>
      </c>
      <c r="G835" s="122" t="str">
        <f>IF($L835="","",INDEX('MTRs'!$R$6:$R$505,$L835))</f>
        <v/>
      </c>
      <c r="H835" s="130" t="str">
        <f>IF($L835="","",IF(INDEX('MTRs'!$AM$6:$AM$505,$L835)=0,"",N(E835)-N(F835)))</f>
        <v/>
      </c>
      <c r="I835" s="130" t="str">
        <f>IF($L835="","",IF(INDEX('MTRs'!$AM$6:$AM$505,$L835)=0,"",N(F835)-N(G835)))</f>
        <v/>
      </c>
      <c r="J835" s="120" t="str">
        <f>IF($L835="","",INDEX('MTRs'!$S$6:$S$505,$L835)&amp;"")</f>
        <v/>
      </c>
      <c r="L835" t="str">
        <f>IFERROR(MATCH(233,'MTRs'!$BB$6:$BB$505,0),"")</f>
        <v/>
      </c>
    </row>
    <row r="836">
      <c r="B836" s="119" t="str">
        <f>IF($L836="","",INDEX('MTRs'!$A$6:$A$505,$L836)&amp;"")</f>
        <v/>
      </c>
      <c r="C836" s="120" t="str">
        <f>IF($L836="","",INDEX('MTRs'!$B$6:$B$505,$L836)&amp;"")</f>
        <v/>
      </c>
      <c r="D836" s="121" t="str">
        <f>IF($L836="","",INDEX('MTRs'!$W$6:$W$505,$L836))</f>
        <v/>
      </c>
      <c r="E836" s="122" t="str">
        <f>IF($L836="","",INDEX('MTRs'!$P$6:$P$505,$L836))</f>
        <v/>
      </c>
      <c r="F836" s="122" t="str">
        <f>IF($L836="","",INDEX('MTRs'!$Q$6:$Q$505,$L836))</f>
        <v/>
      </c>
      <c r="G836" s="122" t="str">
        <f>IF($L836="","",INDEX('MTRs'!$R$6:$R$505,$L836))</f>
        <v/>
      </c>
      <c r="H836" s="130" t="str">
        <f>IF($L836="","",IF(INDEX('MTRs'!$AM$6:$AM$505,$L836)=0,"",N(E836)-N(F836)))</f>
        <v/>
      </c>
      <c r="I836" s="130" t="str">
        <f>IF($L836="","",IF(INDEX('MTRs'!$AM$6:$AM$505,$L836)=0,"",N(F836)-N(G836)))</f>
        <v/>
      </c>
      <c r="J836" s="120" t="str">
        <f>IF($L836="","",INDEX('MTRs'!$S$6:$S$505,$L836)&amp;"")</f>
        <v/>
      </c>
      <c r="L836" t="str">
        <f>IFERROR(MATCH(234,'MTRs'!$BB$6:$BB$505,0),"")</f>
        <v/>
      </c>
    </row>
    <row r="837">
      <c r="B837" s="119" t="str">
        <f>IF($L837="","",INDEX('MTRs'!$A$6:$A$505,$L837)&amp;"")</f>
        <v/>
      </c>
      <c r="C837" s="120" t="str">
        <f>IF($L837="","",INDEX('MTRs'!$B$6:$B$505,$L837)&amp;"")</f>
        <v/>
      </c>
      <c r="D837" s="121" t="str">
        <f>IF($L837="","",INDEX('MTRs'!$W$6:$W$505,$L837))</f>
        <v/>
      </c>
      <c r="E837" s="122" t="str">
        <f>IF($L837="","",INDEX('MTRs'!$P$6:$P$505,$L837))</f>
        <v/>
      </c>
      <c r="F837" s="122" t="str">
        <f>IF($L837="","",INDEX('MTRs'!$Q$6:$Q$505,$L837))</f>
        <v/>
      </c>
      <c r="G837" s="122" t="str">
        <f>IF($L837="","",INDEX('MTRs'!$R$6:$R$505,$L837))</f>
        <v/>
      </c>
      <c r="H837" s="130" t="str">
        <f>IF($L837="","",IF(INDEX('MTRs'!$AM$6:$AM$505,$L837)=0,"",N(E837)-N(F837)))</f>
        <v/>
      </c>
      <c r="I837" s="130" t="str">
        <f>IF($L837="","",IF(INDEX('MTRs'!$AM$6:$AM$505,$L837)=0,"",N(F837)-N(G837)))</f>
        <v/>
      </c>
      <c r="J837" s="120" t="str">
        <f>IF($L837="","",INDEX('MTRs'!$S$6:$S$505,$L837)&amp;"")</f>
        <v/>
      </c>
      <c r="L837" t="str">
        <f>IFERROR(MATCH(235,'MTRs'!$BB$6:$BB$505,0),"")</f>
        <v/>
      </c>
    </row>
    <row r="838">
      <c r="B838" s="119" t="str">
        <f>IF($L838="","",INDEX('MTRs'!$A$6:$A$505,$L838)&amp;"")</f>
        <v/>
      </c>
      <c r="C838" s="120" t="str">
        <f>IF($L838="","",INDEX('MTRs'!$B$6:$B$505,$L838)&amp;"")</f>
        <v/>
      </c>
      <c r="D838" s="121" t="str">
        <f>IF($L838="","",INDEX('MTRs'!$W$6:$W$505,$L838))</f>
        <v/>
      </c>
      <c r="E838" s="122" t="str">
        <f>IF($L838="","",INDEX('MTRs'!$P$6:$P$505,$L838))</f>
        <v/>
      </c>
      <c r="F838" s="122" t="str">
        <f>IF($L838="","",INDEX('MTRs'!$Q$6:$Q$505,$L838))</f>
        <v/>
      </c>
      <c r="G838" s="122" t="str">
        <f>IF($L838="","",INDEX('MTRs'!$R$6:$R$505,$L838))</f>
        <v/>
      </c>
      <c r="H838" s="130" t="str">
        <f>IF($L838="","",IF(INDEX('MTRs'!$AM$6:$AM$505,$L838)=0,"",N(E838)-N(F838)))</f>
        <v/>
      </c>
      <c r="I838" s="130" t="str">
        <f>IF($L838="","",IF(INDEX('MTRs'!$AM$6:$AM$505,$L838)=0,"",N(F838)-N(G838)))</f>
        <v/>
      </c>
      <c r="J838" s="120" t="str">
        <f>IF($L838="","",INDEX('MTRs'!$S$6:$S$505,$L838)&amp;"")</f>
        <v/>
      </c>
      <c r="L838" t="str">
        <f>IFERROR(MATCH(236,'MTRs'!$BB$6:$BB$505,0),"")</f>
        <v/>
      </c>
    </row>
    <row r="839">
      <c r="B839" s="119" t="str">
        <f>IF($L839="","",INDEX('MTRs'!$A$6:$A$505,$L839)&amp;"")</f>
        <v/>
      </c>
      <c r="C839" s="120" t="str">
        <f>IF($L839="","",INDEX('MTRs'!$B$6:$B$505,$L839)&amp;"")</f>
        <v/>
      </c>
      <c r="D839" s="121" t="str">
        <f>IF($L839="","",INDEX('MTRs'!$W$6:$W$505,$L839))</f>
        <v/>
      </c>
      <c r="E839" s="122" t="str">
        <f>IF($L839="","",INDEX('MTRs'!$P$6:$P$505,$L839))</f>
        <v/>
      </c>
      <c r="F839" s="122" t="str">
        <f>IF($L839="","",INDEX('MTRs'!$Q$6:$Q$505,$L839))</f>
        <v/>
      </c>
      <c r="G839" s="122" t="str">
        <f>IF($L839="","",INDEX('MTRs'!$R$6:$R$505,$L839))</f>
        <v/>
      </c>
      <c r="H839" s="130" t="str">
        <f>IF($L839="","",IF(INDEX('MTRs'!$AM$6:$AM$505,$L839)=0,"",N(E839)-N(F839)))</f>
        <v/>
      </c>
      <c r="I839" s="130" t="str">
        <f>IF($L839="","",IF(INDEX('MTRs'!$AM$6:$AM$505,$L839)=0,"",N(F839)-N(G839)))</f>
        <v/>
      </c>
      <c r="J839" s="120" t="str">
        <f>IF($L839="","",INDEX('MTRs'!$S$6:$S$505,$L839)&amp;"")</f>
        <v/>
      </c>
      <c r="L839" t="str">
        <f>IFERROR(MATCH(237,'MTRs'!$BB$6:$BB$505,0),"")</f>
        <v/>
      </c>
    </row>
    <row r="840">
      <c r="B840" s="119" t="str">
        <f>IF($L840="","",INDEX('MTRs'!$A$6:$A$505,$L840)&amp;"")</f>
        <v/>
      </c>
      <c r="C840" s="120" t="str">
        <f>IF($L840="","",INDEX('MTRs'!$B$6:$B$505,$L840)&amp;"")</f>
        <v/>
      </c>
      <c r="D840" s="121" t="str">
        <f>IF($L840="","",INDEX('MTRs'!$W$6:$W$505,$L840))</f>
        <v/>
      </c>
      <c r="E840" s="122" t="str">
        <f>IF($L840="","",INDEX('MTRs'!$P$6:$P$505,$L840))</f>
        <v/>
      </c>
      <c r="F840" s="122" t="str">
        <f>IF($L840="","",INDEX('MTRs'!$Q$6:$Q$505,$L840))</f>
        <v/>
      </c>
      <c r="G840" s="122" t="str">
        <f>IF($L840="","",INDEX('MTRs'!$R$6:$R$505,$L840))</f>
        <v/>
      </c>
      <c r="H840" s="130" t="str">
        <f>IF($L840="","",IF(INDEX('MTRs'!$AM$6:$AM$505,$L840)=0,"",N(E840)-N(F840)))</f>
        <v/>
      </c>
      <c r="I840" s="130" t="str">
        <f>IF($L840="","",IF(INDEX('MTRs'!$AM$6:$AM$505,$L840)=0,"",N(F840)-N(G840)))</f>
        <v/>
      </c>
      <c r="J840" s="120" t="str">
        <f>IF($L840="","",INDEX('MTRs'!$S$6:$S$505,$L840)&amp;"")</f>
        <v/>
      </c>
      <c r="L840" t="str">
        <f>IFERROR(MATCH(238,'MTRs'!$BB$6:$BB$505,0),"")</f>
        <v/>
      </c>
    </row>
    <row r="841">
      <c r="B841" s="119" t="str">
        <f>IF($L841="","",INDEX('MTRs'!$A$6:$A$505,$L841)&amp;"")</f>
        <v/>
      </c>
      <c r="C841" s="120" t="str">
        <f>IF($L841="","",INDEX('MTRs'!$B$6:$B$505,$L841)&amp;"")</f>
        <v/>
      </c>
      <c r="D841" s="121" t="str">
        <f>IF($L841="","",INDEX('MTRs'!$W$6:$W$505,$L841))</f>
        <v/>
      </c>
      <c r="E841" s="122" t="str">
        <f>IF($L841="","",INDEX('MTRs'!$P$6:$P$505,$L841))</f>
        <v/>
      </c>
      <c r="F841" s="122" t="str">
        <f>IF($L841="","",INDEX('MTRs'!$Q$6:$Q$505,$L841))</f>
        <v/>
      </c>
      <c r="G841" s="122" t="str">
        <f>IF($L841="","",INDEX('MTRs'!$R$6:$R$505,$L841))</f>
        <v/>
      </c>
      <c r="H841" s="130" t="str">
        <f>IF($L841="","",IF(INDEX('MTRs'!$AM$6:$AM$505,$L841)=0,"",N(E841)-N(F841)))</f>
        <v/>
      </c>
      <c r="I841" s="130" t="str">
        <f>IF($L841="","",IF(INDEX('MTRs'!$AM$6:$AM$505,$L841)=0,"",N(F841)-N(G841)))</f>
        <v/>
      </c>
      <c r="J841" s="120" t="str">
        <f>IF($L841="","",INDEX('MTRs'!$S$6:$S$505,$L841)&amp;"")</f>
        <v/>
      </c>
      <c r="L841" t="str">
        <f>IFERROR(MATCH(239,'MTRs'!$BB$6:$BB$505,0),"")</f>
        <v/>
      </c>
    </row>
    <row r="842">
      <c r="B842" s="119" t="str">
        <f>IF($L842="","",INDEX('MTRs'!$A$6:$A$505,$L842)&amp;"")</f>
        <v/>
      </c>
      <c r="C842" s="120" t="str">
        <f>IF($L842="","",INDEX('MTRs'!$B$6:$B$505,$L842)&amp;"")</f>
        <v/>
      </c>
      <c r="D842" s="121" t="str">
        <f>IF($L842="","",INDEX('MTRs'!$W$6:$W$505,$L842))</f>
        <v/>
      </c>
      <c r="E842" s="122" t="str">
        <f>IF($L842="","",INDEX('MTRs'!$P$6:$P$505,$L842))</f>
        <v/>
      </c>
      <c r="F842" s="122" t="str">
        <f>IF($L842="","",INDEX('MTRs'!$Q$6:$Q$505,$L842))</f>
        <v/>
      </c>
      <c r="G842" s="122" t="str">
        <f>IF($L842="","",INDEX('MTRs'!$R$6:$R$505,$L842))</f>
        <v/>
      </c>
      <c r="H842" s="130" t="str">
        <f>IF($L842="","",IF(INDEX('MTRs'!$AM$6:$AM$505,$L842)=0,"",N(E842)-N(F842)))</f>
        <v/>
      </c>
      <c r="I842" s="130" t="str">
        <f>IF($L842="","",IF(INDEX('MTRs'!$AM$6:$AM$505,$L842)=0,"",N(F842)-N(G842)))</f>
        <v/>
      </c>
      <c r="J842" s="120" t="str">
        <f>IF($L842="","",INDEX('MTRs'!$S$6:$S$505,$L842)&amp;"")</f>
        <v/>
      </c>
      <c r="L842" t="str">
        <f>IFERROR(MATCH(240,'MTRs'!$BB$6:$BB$505,0),"")</f>
        <v/>
      </c>
    </row>
    <row r="843">
      <c r="B843" s="119" t="str">
        <f>IF($L843="","",INDEX('MTRs'!$A$6:$A$505,$L843)&amp;"")</f>
        <v/>
      </c>
      <c r="C843" s="120" t="str">
        <f>IF($L843="","",INDEX('MTRs'!$B$6:$B$505,$L843)&amp;"")</f>
        <v/>
      </c>
      <c r="D843" s="121" t="str">
        <f>IF($L843="","",INDEX('MTRs'!$W$6:$W$505,$L843))</f>
        <v/>
      </c>
      <c r="E843" s="122" t="str">
        <f>IF($L843="","",INDEX('MTRs'!$P$6:$P$505,$L843))</f>
        <v/>
      </c>
      <c r="F843" s="122" t="str">
        <f>IF($L843="","",INDEX('MTRs'!$Q$6:$Q$505,$L843))</f>
        <v/>
      </c>
      <c r="G843" s="122" t="str">
        <f>IF($L843="","",INDEX('MTRs'!$R$6:$R$505,$L843))</f>
        <v/>
      </c>
      <c r="H843" s="130" t="str">
        <f>IF($L843="","",IF(INDEX('MTRs'!$AM$6:$AM$505,$L843)=0,"",N(E843)-N(F843)))</f>
        <v/>
      </c>
      <c r="I843" s="130" t="str">
        <f>IF($L843="","",IF(INDEX('MTRs'!$AM$6:$AM$505,$L843)=0,"",N(F843)-N(G843)))</f>
        <v/>
      </c>
      <c r="J843" s="120" t="str">
        <f>IF($L843="","",INDEX('MTRs'!$S$6:$S$505,$L843)&amp;"")</f>
        <v/>
      </c>
      <c r="L843" t="str">
        <f>IFERROR(MATCH(241,'MTRs'!$BB$6:$BB$505,0),"")</f>
        <v/>
      </c>
    </row>
    <row r="844">
      <c r="B844" s="119" t="str">
        <f>IF($L844="","",INDEX('MTRs'!$A$6:$A$505,$L844)&amp;"")</f>
        <v/>
      </c>
      <c r="C844" s="120" t="str">
        <f>IF($L844="","",INDEX('MTRs'!$B$6:$B$505,$L844)&amp;"")</f>
        <v/>
      </c>
      <c r="D844" s="121" t="str">
        <f>IF($L844="","",INDEX('MTRs'!$W$6:$W$505,$L844))</f>
        <v/>
      </c>
      <c r="E844" s="122" t="str">
        <f>IF($L844="","",INDEX('MTRs'!$P$6:$P$505,$L844))</f>
        <v/>
      </c>
      <c r="F844" s="122" t="str">
        <f>IF($L844="","",INDEX('MTRs'!$Q$6:$Q$505,$L844))</f>
        <v/>
      </c>
      <c r="G844" s="122" t="str">
        <f>IF($L844="","",INDEX('MTRs'!$R$6:$R$505,$L844))</f>
        <v/>
      </c>
      <c r="H844" s="130" t="str">
        <f>IF($L844="","",IF(INDEX('MTRs'!$AM$6:$AM$505,$L844)=0,"",N(E844)-N(F844)))</f>
        <v/>
      </c>
      <c r="I844" s="130" t="str">
        <f>IF($L844="","",IF(INDEX('MTRs'!$AM$6:$AM$505,$L844)=0,"",N(F844)-N(G844)))</f>
        <v/>
      </c>
      <c r="J844" s="120" t="str">
        <f>IF($L844="","",INDEX('MTRs'!$S$6:$S$505,$L844)&amp;"")</f>
        <v/>
      </c>
      <c r="L844" t="str">
        <f>IFERROR(MATCH(242,'MTRs'!$BB$6:$BB$505,0),"")</f>
        <v/>
      </c>
    </row>
    <row r="845">
      <c r="B845" s="119" t="str">
        <f>IF($L845="","",INDEX('MTRs'!$A$6:$A$505,$L845)&amp;"")</f>
        <v/>
      </c>
      <c r="C845" s="120" t="str">
        <f>IF($L845="","",INDEX('MTRs'!$B$6:$B$505,$L845)&amp;"")</f>
        <v/>
      </c>
      <c r="D845" s="121" t="str">
        <f>IF($L845="","",INDEX('MTRs'!$W$6:$W$505,$L845))</f>
        <v/>
      </c>
      <c r="E845" s="122" t="str">
        <f>IF($L845="","",INDEX('MTRs'!$P$6:$P$505,$L845))</f>
        <v/>
      </c>
      <c r="F845" s="122" t="str">
        <f>IF($L845="","",INDEX('MTRs'!$Q$6:$Q$505,$L845))</f>
        <v/>
      </c>
      <c r="G845" s="122" t="str">
        <f>IF($L845="","",INDEX('MTRs'!$R$6:$R$505,$L845))</f>
        <v/>
      </c>
      <c r="H845" s="130" t="str">
        <f>IF($L845="","",IF(INDEX('MTRs'!$AM$6:$AM$505,$L845)=0,"",N(E845)-N(F845)))</f>
        <v/>
      </c>
      <c r="I845" s="130" t="str">
        <f>IF($L845="","",IF(INDEX('MTRs'!$AM$6:$AM$505,$L845)=0,"",N(F845)-N(G845)))</f>
        <v/>
      </c>
      <c r="J845" s="120" t="str">
        <f>IF($L845="","",INDEX('MTRs'!$S$6:$S$505,$L845)&amp;"")</f>
        <v/>
      </c>
      <c r="L845" t="str">
        <f>IFERROR(MATCH(243,'MTRs'!$BB$6:$BB$505,0),"")</f>
        <v/>
      </c>
    </row>
    <row r="846">
      <c r="B846" s="119" t="str">
        <f>IF($L846="","",INDEX('MTRs'!$A$6:$A$505,$L846)&amp;"")</f>
        <v/>
      </c>
      <c r="C846" s="120" t="str">
        <f>IF($L846="","",INDEX('MTRs'!$B$6:$B$505,$L846)&amp;"")</f>
        <v/>
      </c>
      <c r="D846" s="121" t="str">
        <f>IF($L846="","",INDEX('MTRs'!$W$6:$W$505,$L846))</f>
        <v/>
      </c>
      <c r="E846" s="122" t="str">
        <f>IF($L846="","",INDEX('MTRs'!$P$6:$P$505,$L846))</f>
        <v/>
      </c>
      <c r="F846" s="122" t="str">
        <f>IF($L846="","",INDEX('MTRs'!$Q$6:$Q$505,$L846))</f>
        <v/>
      </c>
      <c r="G846" s="122" t="str">
        <f>IF($L846="","",INDEX('MTRs'!$R$6:$R$505,$L846))</f>
        <v/>
      </c>
      <c r="H846" s="130" t="str">
        <f>IF($L846="","",IF(INDEX('MTRs'!$AM$6:$AM$505,$L846)=0,"",N(E846)-N(F846)))</f>
        <v/>
      </c>
      <c r="I846" s="130" t="str">
        <f>IF($L846="","",IF(INDEX('MTRs'!$AM$6:$AM$505,$L846)=0,"",N(F846)-N(G846)))</f>
        <v/>
      </c>
      <c r="J846" s="120" t="str">
        <f>IF($L846="","",INDEX('MTRs'!$S$6:$S$505,$L846)&amp;"")</f>
        <v/>
      </c>
      <c r="L846" t="str">
        <f>IFERROR(MATCH(244,'MTRs'!$BB$6:$BB$505,0),"")</f>
        <v/>
      </c>
    </row>
    <row r="847">
      <c r="B847" s="119" t="str">
        <f>IF($L847="","",INDEX('MTRs'!$A$6:$A$505,$L847)&amp;"")</f>
        <v/>
      </c>
      <c r="C847" s="120" t="str">
        <f>IF($L847="","",INDEX('MTRs'!$B$6:$B$505,$L847)&amp;"")</f>
        <v/>
      </c>
      <c r="D847" s="121" t="str">
        <f>IF($L847="","",INDEX('MTRs'!$W$6:$W$505,$L847))</f>
        <v/>
      </c>
      <c r="E847" s="122" t="str">
        <f>IF($L847="","",INDEX('MTRs'!$P$6:$P$505,$L847))</f>
        <v/>
      </c>
      <c r="F847" s="122" t="str">
        <f>IF($L847="","",INDEX('MTRs'!$Q$6:$Q$505,$L847))</f>
        <v/>
      </c>
      <c r="G847" s="122" t="str">
        <f>IF($L847="","",INDEX('MTRs'!$R$6:$R$505,$L847))</f>
        <v/>
      </c>
      <c r="H847" s="130" t="str">
        <f>IF($L847="","",IF(INDEX('MTRs'!$AM$6:$AM$505,$L847)=0,"",N(E847)-N(F847)))</f>
        <v/>
      </c>
      <c r="I847" s="130" t="str">
        <f>IF($L847="","",IF(INDEX('MTRs'!$AM$6:$AM$505,$L847)=0,"",N(F847)-N(G847)))</f>
        <v/>
      </c>
      <c r="J847" s="120" t="str">
        <f>IF($L847="","",INDEX('MTRs'!$S$6:$S$505,$L847)&amp;"")</f>
        <v/>
      </c>
      <c r="L847" t="str">
        <f>IFERROR(MATCH(245,'MTRs'!$BB$6:$BB$505,0),"")</f>
        <v/>
      </c>
    </row>
    <row r="848">
      <c r="B848" s="119" t="str">
        <f>IF($L848="","",INDEX('MTRs'!$A$6:$A$505,$L848)&amp;"")</f>
        <v/>
      </c>
      <c r="C848" s="120" t="str">
        <f>IF($L848="","",INDEX('MTRs'!$B$6:$B$505,$L848)&amp;"")</f>
        <v/>
      </c>
      <c r="D848" s="121" t="str">
        <f>IF($L848="","",INDEX('MTRs'!$W$6:$W$505,$L848))</f>
        <v/>
      </c>
      <c r="E848" s="122" t="str">
        <f>IF($L848="","",INDEX('MTRs'!$P$6:$P$505,$L848))</f>
        <v/>
      </c>
      <c r="F848" s="122" t="str">
        <f>IF($L848="","",INDEX('MTRs'!$Q$6:$Q$505,$L848))</f>
        <v/>
      </c>
      <c r="G848" s="122" t="str">
        <f>IF($L848="","",INDEX('MTRs'!$R$6:$R$505,$L848))</f>
        <v/>
      </c>
      <c r="H848" s="130" t="str">
        <f>IF($L848="","",IF(INDEX('MTRs'!$AM$6:$AM$505,$L848)=0,"",N(E848)-N(F848)))</f>
        <v/>
      </c>
      <c r="I848" s="130" t="str">
        <f>IF($L848="","",IF(INDEX('MTRs'!$AM$6:$AM$505,$L848)=0,"",N(F848)-N(G848)))</f>
        <v/>
      </c>
      <c r="J848" s="120" t="str">
        <f>IF($L848="","",INDEX('MTRs'!$S$6:$S$505,$L848)&amp;"")</f>
        <v/>
      </c>
      <c r="L848" t="str">
        <f>IFERROR(MATCH(246,'MTRs'!$BB$6:$BB$505,0),"")</f>
        <v/>
      </c>
    </row>
    <row r="849">
      <c r="B849" s="119" t="str">
        <f>IF($L849="","",INDEX('MTRs'!$A$6:$A$505,$L849)&amp;"")</f>
        <v/>
      </c>
      <c r="C849" s="120" t="str">
        <f>IF($L849="","",INDEX('MTRs'!$B$6:$B$505,$L849)&amp;"")</f>
        <v/>
      </c>
      <c r="D849" s="121" t="str">
        <f>IF($L849="","",INDEX('MTRs'!$W$6:$W$505,$L849))</f>
        <v/>
      </c>
      <c r="E849" s="122" t="str">
        <f>IF($L849="","",INDEX('MTRs'!$P$6:$P$505,$L849))</f>
        <v/>
      </c>
      <c r="F849" s="122" t="str">
        <f>IF($L849="","",INDEX('MTRs'!$Q$6:$Q$505,$L849))</f>
        <v/>
      </c>
      <c r="G849" s="122" t="str">
        <f>IF($L849="","",INDEX('MTRs'!$R$6:$R$505,$L849))</f>
        <v/>
      </c>
      <c r="H849" s="130" t="str">
        <f>IF($L849="","",IF(INDEX('MTRs'!$AM$6:$AM$505,$L849)=0,"",N(E849)-N(F849)))</f>
        <v/>
      </c>
      <c r="I849" s="130" t="str">
        <f>IF($L849="","",IF(INDEX('MTRs'!$AM$6:$AM$505,$L849)=0,"",N(F849)-N(G849)))</f>
        <v/>
      </c>
      <c r="J849" s="120" t="str">
        <f>IF($L849="","",INDEX('MTRs'!$S$6:$S$505,$L849)&amp;"")</f>
        <v/>
      </c>
      <c r="L849" t="str">
        <f>IFERROR(MATCH(247,'MTRs'!$BB$6:$BB$505,0),"")</f>
        <v/>
      </c>
    </row>
    <row r="850">
      <c r="B850" s="119" t="str">
        <f>IF($L850="","",INDEX('MTRs'!$A$6:$A$505,$L850)&amp;"")</f>
        <v/>
      </c>
      <c r="C850" s="120" t="str">
        <f>IF($L850="","",INDEX('MTRs'!$B$6:$B$505,$L850)&amp;"")</f>
        <v/>
      </c>
      <c r="D850" s="121" t="str">
        <f>IF($L850="","",INDEX('MTRs'!$W$6:$W$505,$L850))</f>
        <v/>
      </c>
      <c r="E850" s="122" t="str">
        <f>IF($L850="","",INDEX('MTRs'!$P$6:$P$505,$L850))</f>
        <v/>
      </c>
      <c r="F850" s="122" t="str">
        <f>IF($L850="","",INDEX('MTRs'!$Q$6:$Q$505,$L850))</f>
        <v/>
      </c>
      <c r="G850" s="122" t="str">
        <f>IF($L850="","",INDEX('MTRs'!$R$6:$R$505,$L850))</f>
        <v/>
      </c>
      <c r="H850" s="130" t="str">
        <f>IF($L850="","",IF(INDEX('MTRs'!$AM$6:$AM$505,$L850)=0,"",N(E850)-N(F850)))</f>
        <v/>
      </c>
      <c r="I850" s="130" t="str">
        <f>IF($L850="","",IF(INDEX('MTRs'!$AM$6:$AM$505,$L850)=0,"",N(F850)-N(G850)))</f>
        <v/>
      </c>
      <c r="J850" s="120" t="str">
        <f>IF($L850="","",INDEX('MTRs'!$S$6:$S$505,$L850)&amp;"")</f>
        <v/>
      </c>
      <c r="L850" t="str">
        <f>IFERROR(MATCH(248,'MTRs'!$BB$6:$BB$505,0),"")</f>
        <v/>
      </c>
    </row>
    <row r="851">
      <c r="B851" s="119" t="str">
        <f>IF($L851="","",INDEX('MTRs'!$A$6:$A$505,$L851)&amp;"")</f>
        <v/>
      </c>
      <c r="C851" s="120" t="str">
        <f>IF($L851="","",INDEX('MTRs'!$B$6:$B$505,$L851)&amp;"")</f>
        <v/>
      </c>
      <c r="D851" s="121" t="str">
        <f>IF($L851="","",INDEX('MTRs'!$W$6:$W$505,$L851))</f>
        <v/>
      </c>
      <c r="E851" s="122" t="str">
        <f>IF($L851="","",INDEX('MTRs'!$P$6:$P$505,$L851))</f>
        <v/>
      </c>
      <c r="F851" s="122" t="str">
        <f>IF($L851="","",INDEX('MTRs'!$Q$6:$Q$505,$L851))</f>
        <v/>
      </c>
      <c r="G851" s="122" t="str">
        <f>IF($L851="","",INDEX('MTRs'!$R$6:$R$505,$L851))</f>
        <v/>
      </c>
      <c r="H851" s="130" t="str">
        <f>IF($L851="","",IF(INDEX('MTRs'!$AM$6:$AM$505,$L851)=0,"",N(E851)-N(F851)))</f>
        <v/>
      </c>
      <c r="I851" s="130" t="str">
        <f>IF($L851="","",IF(INDEX('MTRs'!$AM$6:$AM$505,$L851)=0,"",N(F851)-N(G851)))</f>
        <v/>
      </c>
      <c r="J851" s="120" t="str">
        <f>IF($L851="","",INDEX('MTRs'!$S$6:$S$505,$L851)&amp;"")</f>
        <v/>
      </c>
      <c r="L851" t="str">
        <f>IFERROR(MATCH(249,'MTRs'!$BB$6:$BB$505,0),"")</f>
        <v/>
      </c>
    </row>
    <row r="852">
      <c r="B852" s="119" t="str">
        <f>IF($L852="","",INDEX('MTRs'!$A$6:$A$505,$L852)&amp;"")</f>
        <v/>
      </c>
      <c r="C852" s="120" t="str">
        <f>IF($L852="","",INDEX('MTRs'!$B$6:$B$505,$L852)&amp;"")</f>
        <v/>
      </c>
      <c r="D852" s="121" t="str">
        <f>IF($L852="","",INDEX('MTRs'!$W$6:$W$505,$L852))</f>
        <v/>
      </c>
      <c r="E852" s="122" t="str">
        <f>IF($L852="","",INDEX('MTRs'!$P$6:$P$505,$L852))</f>
        <v/>
      </c>
      <c r="F852" s="122" t="str">
        <f>IF($L852="","",INDEX('MTRs'!$Q$6:$Q$505,$L852))</f>
        <v/>
      </c>
      <c r="G852" s="122" t="str">
        <f>IF($L852="","",INDEX('MTRs'!$R$6:$R$505,$L852))</f>
        <v/>
      </c>
      <c r="H852" s="130" t="str">
        <f>IF($L852="","",IF(INDEX('MTRs'!$AM$6:$AM$505,$L852)=0,"",N(E852)-N(F852)))</f>
        <v/>
      </c>
      <c r="I852" s="130" t="str">
        <f>IF($L852="","",IF(INDEX('MTRs'!$AM$6:$AM$505,$L852)=0,"",N(F852)-N(G852)))</f>
        <v/>
      </c>
      <c r="J852" s="120" t="str">
        <f>IF($L852="","",INDEX('MTRs'!$S$6:$S$505,$L852)&amp;"")</f>
        <v/>
      </c>
      <c r="L852" t="str">
        <f>IFERROR(MATCH(250,'MTRs'!$BB$6:$BB$505,0),"")</f>
        <v/>
      </c>
    </row>
    <row r="853">
      <c r="B853" s="119" t="str">
        <f>IF($L853="","",INDEX('MTRs'!$A$6:$A$505,$L853)&amp;"")</f>
        <v/>
      </c>
      <c r="C853" s="120" t="str">
        <f>IF($L853="","",INDEX('MTRs'!$B$6:$B$505,$L853)&amp;"")</f>
        <v/>
      </c>
      <c r="D853" s="121" t="str">
        <f>IF($L853="","",INDEX('MTRs'!$W$6:$W$505,$L853))</f>
        <v/>
      </c>
      <c r="E853" s="122" t="str">
        <f>IF($L853="","",INDEX('MTRs'!$P$6:$P$505,$L853))</f>
        <v/>
      </c>
      <c r="F853" s="122" t="str">
        <f>IF($L853="","",INDEX('MTRs'!$Q$6:$Q$505,$L853))</f>
        <v/>
      </c>
      <c r="G853" s="122" t="str">
        <f>IF($L853="","",INDEX('MTRs'!$R$6:$R$505,$L853))</f>
        <v/>
      </c>
      <c r="H853" s="130" t="str">
        <f>IF($L853="","",IF(INDEX('MTRs'!$AM$6:$AM$505,$L853)=0,"",N(E853)-N(F853)))</f>
        <v/>
      </c>
      <c r="I853" s="130" t="str">
        <f>IF($L853="","",IF(INDEX('MTRs'!$AM$6:$AM$505,$L853)=0,"",N(F853)-N(G853)))</f>
        <v/>
      </c>
      <c r="J853" s="120" t="str">
        <f>IF($L853="","",INDEX('MTRs'!$S$6:$S$505,$L853)&amp;"")</f>
        <v/>
      </c>
      <c r="L853" t="str">
        <f>IFERROR(MATCH(251,'MTRs'!$BB$6:$BB$505,0),"")</f>
        <v/>
      </c>
    </row>
    <row r="854">
      <c r="B854" s="119" t="str">
        <f>IF($L854="","",INDEX('MTRs'!$A$6:$A$505,$L854)&amp;"")</f>
        <v/>
      </c>
      <c r="C854" s="120" t="str">
        <f>IF($L854="","",INDEX('MTRs'!$B$6:$B$505,$L854)&amp;"")</f>
        <v/>
      </c>
      <c r="D854" s="121" t="str">
        <f>IF($L854="","",INDEX('MTRs'!$W$6:$W$505,$L854))</f>
        <v/>
      </c>
      <c r="E854" s="122" t="str">
        <f>IF($L854="","",INDEX('MTRs'!$P$6:$P$505,$L854))</f>
        <v/>
      </c>
      <c r="F854" s="122" t="str">
        <f>IF($L854="","",INDEX('MTRs'!$Q$6:$Q$505,$L854))</f>
        <v/>
      </c>
      <c r="G854" s="122" t="str">
        <f>IF($L854="","",INDEX('MTRs'!$R$6:$R$505,$L854))</f>
        <v/>
      </c>
      <c r="H854" s="130" t="str">
        <f>IF($L854="","",IF(INDEX('MTRs'!$AM$6:$AM$505,$L854)=0,"",N(E854)-N(F854)))</f>
        <v/>
      </c>
      <c r="I854" s="130" t="str">
        <f>IF($L854="","",IF(INDEX('MTRs'!$AM$6:$AM$505,$L854)=0,"",N(F854)-N(G854)))</f>
        <v/>
      </c>
      <c r="J854" s="120" t="str">
        <f>IF($L854="","",INDEX('MTRs'!$S$6:$S$505,$L854)&amp;"")</f>
        <v/>
      </c>
      <c r="L854" t="str">
        <f>IFERROR(MATCH(252,'MTRs'!$BB$6:$BB$505,0),"")</f>
        <v/>
      </c>
    </row>
    <row r="855">
      <c r="B855" s="119" t="str">
        <f>IF($L855="","",INDEX('MTRs'!$A$6:$A$505,$L855)&amp;"")</f>
        <v/>
      </c>
      <c r="C855" s="120" t="str">
        <f>IF($L855="","",INDEX('MTRs'!$B$6:$B$505,$L855)&amp;"")</f>
        <v/>
      </c>
      <c r="D855" s="121" t="str">
        <f>IF($L855="","",INDEX('MTRs'!$W$6:$W$505,$L855))</f>
        <v/>
      </c>
      <c r="E855" s="122" t="str">
        <f>IF($L855="","",INDEX('MTRs'!$P$6:$P$505,$L855))</f>
        <v/>
      </c>
      <c r="F855" s="122" t="str">
        <f>IF($L855="","",INDEX('MTRs'!$Q$6:$Q$505,$L855))</f>
        <v/>
      </c>
      <c r="G855" s="122" t="str">
        <f>IF($L855="","",INDEX('MTRs'!$R$6:$R$505,$L855))</f>
        <v/>
      </c>
      <c r="H855" s="130" t="str">
        <f>IF($L855="","",IF(INDEX('MTRs'!$AM$6:$AM$505,$L855)=0,"",N(E855)-N(F855)))</f>
        <v/>
      </c>
      <c r="I855" s="130" t="str">
        <f>IF($L855="","",IF(INDEX('MTRs'!$AM$6:$AM$505,$L855)=0,"",N(F855)-N(G855)))</f>
        <v/>
      </c>
      <c r="J855" s="120" t="str">
        <f>IF($L855="","",INDEX('MTRs'!$S$6:$S$505,$L855)&amp;"")</f>
        <v/>
      </c>
      <c r="L855" t="str">
        <f>IFERROR(MATCH(253,'MTRs'!$BB$6:$BB$505,0),"")</f>
        <v/>
      </c>
    </row>
    <row r="856">
      <c r="B856" s="119" t="str">
        <f>IF($L856="","",INDEX('MTRs'!$A$6:$A$505,$L856)&amp;"")</f>
        <v/>
      </c>
      <c r="C856" s="120" t="str">
        <f>IF($L856="","",INDEX('MTRs'!$B$6:$B$505,$L856)&amp;"")</f>
        <v/>
      </c>
      <c r="D856" s="121" t="str">
        <f>IF($L856="","",INDEX('MTRs'!$W$6:$W$505,$L856))</f>
        <v/>
      </c>
      <c r="E856" s="122" t="str">
        <f>IF($L856="","",INDEX('MTRs'!$P$6:$P$505,$L856))</f>
        <v/>
      </c>
      <c r="F856" s="122" t="str">
        <f>IF($L856="","",INDEX('MTRs'!$Q$6:$Q$505,$L856))</f>
        <v/>
      </c>
      <c r="G856" s="122" t="str">
        <f>IF($L856="","",INDEX('MTRs'!$R$6:$R$505,$L856))</f>
        <v/>
      </c>
      <c r="H856" s="130" t="str">
        <f>IF($L856="","",IF(INDEX('MTRs'!$AM$6:$AM$505,$L856)=0,"",N(E856)-N(F856)))</f>
        <v/>
      </c>
      <c r="I856" s="130" t="str">
        <f>IF($L856="","",IF(INDEX('MTRs'!$AM$6:$AM$505,$L856)=0,"",N(F856)-N(G856)))</f>
        <v/>
      </c>
      <c r="J856" s="120" t="str">
        <f>IF($L856="","",INDEX('MTRs'!$S$6:$S$505,$L856)&amp;"")</f>
        <v/>
      </c>
      <c r="L856" t="str">
        <f>IFERROR(MATCH(254,'MTRs'!$BB$6:$BB$505,0),"")</f>
        <v/>
      </c>
    </row>
    <row r="857">
      <c r="B857" s="119" t="str">
        <f>IF($L857="","",INDEX('MTRs'!$A$6:$A$505,$L857)&amp;"")</f>
        <v/>
      </c>
      <c r="C857" s="120" t="str">
        <f>IF($L857="","",INDEX('MTRs'!$B$6:$B$505,$L857)&amp;"")</f>
        <v/>
      </c>
      <c r="D857" s="121" t="str">
        <f>IF($L857="","",INDEX('MTRs'!$W$6:$W$505,$L857))</f>
        <v/>
      </c>
      <c r="E857" s="122" t="str">
        <f>IF($L857="","",INDEX('MTRs'!$P$6:$P$505,$L857))</f>
        <v/>
      </c>
      <c r="F857" s="122" t="str">
        <f>IF($L857="","",INDEX('MTRs'!$Q$6:$Q$505,$L857))</f>
        <v/>
      </c>
      <c r="G857" s="122" t="str">
        <f>IF($L857="","",INDEX('MTRs'!$R$6:$R$505,$L857))</f>
        <v/>
      </c>
      <c r="H857" s="130" t="str">
        <f>IF($L857="","",IF(INDEX('MTRs'!$AM$6:$AM$505,$L857)=0,"",N(E857)-N(F857)))</f>
        <v/>
      </c>
      <c r="I857" s="130" t="str">
        <f>IF($L857="","",IF(INDEX('MTRs'!$AM$6:$AM$505,$L857)=0,"",N(F857)-N(G857)))</f>
        <v/>
      </c>
      <c r="J857" s="120" t="str">
        <f>IF($L857="","",INDEX('MTRs'!$S$6:$S$505,$L857)&amp;"")</f>
        <v/>
      </c>
      <c r="L857" t="str">
        <f>IFERROR(MATCH(255,'MTRs'!$BB$6:$BB$505,0),"")</f>
        <v/>
      </c>
    </row>
    <row r="858">
      <c r="B858" s="119" t="str">
        <f>IF($L858="","",INDEX('MTRs'!$A$6:$A$505,$L858)&amp;"")</f>
        <v/>
      </c>
      <c r="C858" s="120" t="str">
        <f>IF($L858="","",INDEX('MTRs'!$B$6:$B$505,$L858)&amp;"")</f>
        <v/>
      </c>
      <c r="D858" s="121" t="str">
        <f>IF($L858="","",INDEX('MTRs'!$W$6:$W$505,$L858))</f>
        <v/>
      </c>
      <c r="E858" s="122" t="str">
        <f>IF($L858="","",INDEX('MTRs'!$P$6:$P$505,$L858))</f>
        <v/>
      </c>
      <c r="F858" s="122" t="str">
        <f>IF($L858="","",INDEX('MTRs'!$Q$6:$Q$505,$L858))</f>
        <v/>
      </c>
      <c r="G858" s="122" t="str">
        <f>IF($L858="","",INDEX('MTRs'!$R$6:$R$505,$L858))</f>
        <v/>
      </c>
      <c r="H858" s="130" t="str">
        <f>IF($L858="","",IF(INDEX('MTRs'!$AM$6:$AM$505,$L858)=0,"",N(E858)-N(F858)))</f>
        <v/>
      </c>
      <c r="I858" s="130" t="str">
        <f>IF($L858="","",IF(INDEX('MTRs'!$AM$6:$AM$505,$L858)=0,"",N(F858)-N(G858)))</f>
        <v/>
      </c>
      <c r="J858" s="120" t="str">
        <f>IF($L858="","",INDEX('MTRs'!$S$6:$S$505,$L858)&amp;"")</f>
        <v/>
      </c>
      <c r="L858" t="str">
        <f>IFERROR(MATCH(256,'MTRs'!$BB$6:$BB$505,0),"")</f>
        <v/>
      </c>
    </row>
    <row r="859">
      <c r="B859" s="119" t="str">
        <f>IF($L859="","",INDEX('MTRs'!$A$6:$A$505,$L859)&amp;"")</f>
        <v/>
      </c>
      <c r="C859" s="120" t="str">
        <f>IF($L859="","",INDEX('MTRs'!$B$6:$B$505,$L859)&amp;"")</f>
        <v/>
      </c>
      <c r="D859" s="121" t="str">
        <f>IF($L859="","",INDEX('MTRs'!$W$6:$W$505,$L859))</f>
        <v/>
      </c>
      <c r="E859" s="122" t="str">
        <f>IF($L859="","",INDEX('MTRs'!$P$6:$P$505,$L859))</f>
        <v/>
      </c>
      <c r="F859" s="122" t="str">
        <f>IF($L859="","",INDEX('MTRs'!$Q$6:$Q$505,$L859))</f>
        <v/>
      </c>
      <c r="G859" s="122" t="str">
        <f>IF($L859="","",INDEX('MTRs'!$R$6:$R$505,$L859))</f>
        <v/>
      </c>
      <c r="H859" s="130" t="str">
        <f>IF($L859="","",IF(INDEX('MTRs'!$AM$6:$AM$505,$L859)=0,"",N(E859)-N(F859)))</f>
        <v/>
      </c>
      <c r="I859" s="130" t="str">
        <f>IF($L859="","",IF(INDEX('MTRs'!$AM$6:$AM$505,$L859)=0,"",N(F859)-N(G859)))</f>
        <v/>
      </c>
      <c r="J859" s="120" t="str">
        <f>IF($L859="","",INDEX('MTRs'!$S$6:$S$505,$L859)&amp;"")</f>
        <v/>
      </c>
      <c r="L859" t="str">
        <f>IFERROR(MATCH(257,'MTRs'!$BB$6:$BB$505,0),"")</f>
        <v/>
      </c>
    </row>
    <row r="860">
      <c r="B860" s="119" t="str">
        <f>IF($L860="","",INDEX('MTRs'!$A$6:$A$505,$L860)&amp;"")</f>
        <v/>
      </c>
      <c r="C860" s="120" t="str">
        <f>IF($L860="","",INDEX('MTRs'!$B$6:$B$505,$L860)&amp;"")</f>
        <v/>
      </c>
      <c r="D860" s="121" t="str">
        <f>IF($L860="","",INDEX('MTRs'!$W$6:$W$505,$L860))</f>
        <v/>
      </c>
      <c r="E860" s="122" t="str">
        <f>IF($L860="","",INDEX('MTRs'!$P$6:$P$505,$L860))</f>
        <v/>
      </c>
      <c r="F860" s="122" t="str">
        <f>IF($L860="","",INDEX('MTRs'!$Q$6:$Q$505,$L860))</f>
        <v/>
      </c>
      <c r="G860" s="122" t="str">
        <f>IF($L860="","",INDEX('MTRs'!$R$6:$R$505,$L860))</f>
        <v/>
      </c>
      <c r="H860" s="130" t="str">
        <f>IF($L860="","",IF(INDEX('MTRs'!$AM$6:$AM$505,$L860)=0,"",N(E860)-N(F860)))</f>
        <v/>
      </c>
      <c r="I860" s="130" t="str">
        <f>IF($L860="","",IF(INDEX('MTRs'!$AM$6:$AM$505,$L860)=0,"",N(F860)-N(G860)))</f>
        <v/>
      </c>
      <c r="J860" s="120" t="str">
        <f>IF($L860="","",INDEX('MTRs'!$S$6:$S$505,$L860)&amp;"")</f>
        <v/>
      </c>
      <c r="L860" t="str">
        <f>IFERROR(MATCH(258,'MTRs'!$BB$6:$BB$505,0),"")</f>
        <v/>
      </c>
    </row>
    <row r="861">
      <c r="B861" s="119" t="str">
        <f>IF($L861="","",INDEX('MTRs'!$A$6:$A$505,$L861)&amp;"")</f>
        <v/>
      </c>
      <c r="C861" s="120" t="str">
        <f>IF($L861="","",INDEX('MTRs'!$B$6:$B$505,$L861)&amp;"")</f>
        <v/>
      </c>
      <c r="D861" s="121" t="str">
        <f>IF($L861="","",INDEX('MTRs'!$W$6:$W$505,$L861))</f>
        <v/>
      </c>
      <c r="E861" s="122" t="str">
        <f>IF($L861="","",INDEX('MTRs'!$P$6:$P$505,$L861))</f>
        <v/>
      </c>
      <c r="F861" s="122" t="str">
        <f>IF($L861="","",INDEX('MTRs'!$Q$6:$Q$505,$L861))</f>
        <v/>
      </c>
      <c r="G861" s="122" t="str">
        <f>IF($L861="","",INDEX('MTRs'!$R$6:$R$505,$L861))</f>
        <v/>
      </c>
      <c r="H861" s="130" t="str">
        <f>IF($L861="","",IF(INDEX('MTRs'!$AM$6:$AM$505,$L861)=0,"",N(E861)-N(F861)))</f>
        <v/>
      </c>
      <c r="I861" s="130" t="str">
        <f>IF($L861="","",IF(INDEX('MTRs'!$AM$6:$AM$505,$L861)=0,"",N(F861)-N(G861)))</f>
        <v/>
      </c>
      <c r="J861" s="120" t="str">
        <f>IF($L861="","",INDEX('MTRs'!$S$6:$S$505,$L861)&amp;"")</f>
        <v/>
      </c>
      <c r="L861" t="str">
        <f>IFERROR(MATCH(259,'MTRs'!$BB$6:$BB$505,0),"")</f>
        <v/>
      </c>
    </row>
    <row r="862">
      <c r="B862" s="119" t="str">
        <f>IF($L862="","",INDEX('MTRs'!$A$6:$A$505,$L862)&amp;"")</f>
        <v/>
      </c>
      <c r="C862" s="120" t="str">
        <f>IF($L862="","",INDEX('MTRs'!$B$6:$B$505,$L862)&amp;"")</f>
        <v/>
      </c>
      <c r="D862" s="121" t="str">
        <f>IF($L862="","",INDEX('MTRs'!$W$6:$W$505,$L862))</f>
        <v/>
      </c>
      <c r="E862" s="122" t="str">
        <f>IF($L862="","",INDEX('MTRs'!$P$6:$P$505,$L862))</f>
        <v/>
      </c>
      <c r="F862" s="122" t="str">
        <f>IF($L862="","",INDEX('MTRs'!$Q$6:$Q$505,$L862))</f>
        <v/>
      </c>
      <c r="G862" s="122" t="str">
        <f>IF($L862="","",INDEX('MTRs'!$R$6:$R$505,$L862))</f>
        <v/>
      </c>
      <c r="H862" s="130" t="str">
        <f>IF($L862="","",IF(INDEX('MTRs'!$AM$6:$AM$505,$L862)=0,"",N(E862)-N(F862)))</f>
        <v/>
      </c>
      <c r="I862" s="130" t="str">
        <f>IF($L862="","",IF(INDEX('MTRs'!$AM$6:$AM$505,$L862)=0,"",N(F862)-N(G862)))</f>
        <v/>
      </c>
      <c r="J862" s="120" t="str">
        <f>IF($L862="","",INDEX('MTRs'!$S$6:$S$505,$L862)&amp;"")</f>
        <v/>
      </c>
      <c r="L862" t="str">
        <f>IFERROR(MATCH(260,'MTRs'!$BB$6:$BB$505,0),"")</f>
        <v/>
      </c>
    </row>
    <row r="863">
      <c r="B863" s="119" t="str">
        <f>IF($L863="","",INDEX('MTRs'!$A$6:$A$505,$L863)&amp;"")</f>
        <v/>
      </c>
      <c r="C863" s="120" t="str">
        <f>IF($L863="","",INDEX('MTRs'!$B$6:$B$505,$L863)&amp;"")</f>
        <v/>
      </c>
      <c r="D863" s="121" t="str">
        <f>IF($L863="","",INDEX('MTRs'!$W$6:$W$505,$L863))</f>
        <v/>
      </c>
      <c r="E863" s="122" t="str">
        <f>IF($L863="","",INDEX('MTRs'!$P$6:$P$505,$L863))</f>
        <v/>
      </c>
      <c r="F863" s="122" t="str">
        <f>IF($L863="","",INDEX('MTRs'!$Q$6:$Q$505,$L863))</f>
        <v/>
      </c>
      <c r="G863" s="122" t="str">
        <f>IF($L863="","",INDEX('MTRs'!$R$6:$R$505,$L863))</f>
        <v/>
      </c>
      <c r="H863" s="130" t="str">
        <f>IF($L863="","",IF(INDEX('MTRs'!$AM$6:$AM$505,$L863)=0,"",N(E863)-N(F863)))</f>
        <v/>
      </c>
      <c r="I863" s="130" t="str">
        <f>IF($L863="","",IF(INDEX('MTRs'!$AM$6:$AM$505,$L863)=0,"",N(F863)-N(G863)))</f>
        <v/>
      </c>
      <c r="J863" s="120" t="str">
        <f>IF($L863="","",INDEX('MTRs'!$S$6:$S$505,$L863)&amp;"")</f>
        <v/>
      </c>
      <c r="L863" t="str">
        <f>IFERROR(MATCH(261,'MTRs'!$BB$6:$BB$505,0),"")</f>
        <v/>
      </c>
    </row>
    <row r="864">
      <c r="B864" s="119" t="str">
        <f>IF($L864="","",INDEX('MTRs'!$A$6:$A$505,$L864)&amp;"")</f>
        <v/>
      </c>
      <c r="C864" s="120" t="str">
        <f>IF($L864="","",INDEX('MTRs'!$B$6:$B$505,$L864)&amp;"")</f>
        <v/>
      </c>
      <c r="D864" s="121" t="str">
        <f>IF($L864="","",INDEX('MTRs'!$W$6:$W$505,$L864))</f>
        <v/>
      </c>
      <c r="E864" s="122" t="str">
        <f>IF($L864="","",INDEX('MTRs'!$P$6:$P$505,$L864))</f>
        <v/>
      </c>
      <c r="F864" s="122" t="str">
        <f>IF($L864="","",INDEX('MTRs'!$Q$6:$Q$505,$L864))</f>
        <v/>
      </c>
      <c r="G864" s="122" t="str">
        <f>IF($L864="","",INDEX('MTRs'!$R$6:$R$505,$L864))</f>
        <v/>
      </c>
      <c r="H864" s="130" t="str">
        <f>IF($L864="","",IF(INDEX('MTRs'!$AM$6:$AM$505,$L864)=0,"",N(E864)-N(F864)))</f>
        <v/>
      </c>
      <c r="I864" s="130" t="str">
        <f>IF($L864="","",IF(INDEX('MTRs'!$AM$6:$AM$505,$L864)=0,"",N(F864)-N(G864)))</f>
        <v/>
      </c>
      <c r="J864" s="120" t="str">
        <f>IF($L864="","",INDEX('MTRs'!$S$6:$S$505,$L864)&amp;"")</f>
        <v/>
      </c>
      <c r="L864" t="str">
        <f>IFERROR(MATCH(262,'MTRs'!$BB$6:$BB$505,0),"")</f>
        <v/>
      </c>
    </row>
    <row r="865">
      <c r="B865" s="119" t="str">
        <f>IF($L865="","",INDEX('MTRs'!$A$6:$A$505,$L865)&amp;"")</f>
        <v/>
      </c>
      <c r="C865" s="120" t="str">
        <f>IF($L865="","",INDEX('MTRs'!$B$6:$B$505,$L865)&amp;"")</f>
        <v/>
      </c>
      <c r="D865" s="121" t="str">
        <f>IF($L865="","",INDEX('MTRs'!$W$6:$W$505,$L865))</f>
        <v/>
      </c>
      <c r="E865" s="122" t="str">
        <f>IF($L865="","",INDEX('MTRs'!$P$6:$P$505,$L865))</f>
        <v/>
      </c>
      <c r="F865" s="122" t="str">
        <f>IF($L865="","",INDEX('MTRs'!$Q$6:$Q$505,$L865))</f>
        <v/>
      </c>
      <c r="G865" s="122" t="str">
        <f>IF($L865="","",INDEX('MTRs'!$R$6:$R$505,$L865))</f>
        <v/>
      </c>
      <c r="H865" s="130" t="str">
        <f>IF($L865="","",IF(INDEX('MTRs'!$AM$6:$AM$505,$L865)=0,"",N(E865)-N(F865)))</f>
        <v/>
      </c>
      <c r="I865" s="130" t="str">
        <f>IF($L865="","",IF(INDEX('MTRs'!$AM$6:$AM$505,$L865)=0,"",N(F865)-N(G865)))</f>
        <v/>
      </c>
      <c r="J865" s="120" t="str">
        <f>IF($L865="","",INDEX('MTRs'!$S$6:$S$505,$L865)&amp;"")</f>
        <v/>
      </c>
      <c r="L865" t="str">
        <f>IFERROR(MATCH(263,'MTRs'!$BB$6:$BB$505,0),"")</f>
        <v/>
      </c>
    </row>
    <row r="866">
      <c r="B866" s="119" t="str">
        <f>IF($L866="","",INDEX('MTRs'!$A$6:$A$505,$L866)&amp;"")</f>
        <v/>
      </c>
      <c r="C866" s="120" t="str">
        <f>IF($L866="","",INDEX('MTRs'!$B$6:$B$505,$L866)&amp;"")</f>
        <v/>
      </c>
      <c r="D866" s="121" t="str">
        <f>IF($L866="","",INDEX('MTRs'!$W$6:$W$505,$L866))</f>
        <v/>
      </c>
      <c r="E866" s="122" t="str">
        <f>IF($L866="","",INDEX('MTRs'!$P$6:$P$505,$L866))</f>
        <v/>
      </c>
      <c r="F866" s="122" t="str">
        <f>IF($L866="","",INDEX('MTRs'!$Q$6:$Q$505,$L866))</f>
        <v/>
      </c>
      <c r="G866" s="122" t="str">
        <f>IF($L866="","",INDEX('MTRs'!$R$6:$R$505,$L866))</f>
        <v/>
      </c>
      <c r="H866" s="130" t="str">
        <f>IF($L866="","",IF(INDEX('MTRs'!$AM$6:$AM$505,$L866)=0,"",N(E866)-N(F866)))</f>
        <v/>
      </c>
      <c r="I866" s="130" t="str">
        <f>IF($L866="","",IF(INDEX('MTRs'!$AM$6:$AM$505,$L866)=0,"",N(F866)-N(G866)))</f>
        <v/>
      </c>
      <c r="J866" s="120" t="str">
        <f>IF($L866="","",INDEX('MTRs'!$S$6:$S$505,$L866)&amp;"")</f>
        <v/>
      </c>
      <c r="L866" t="str">
        <f>IFERROR(MATCH(264,'MTRs'!$BB$6:$BB$505,0),"")</f>
        <v/>
      </c>
    </row>
    <row r="867">
      <c r="B867" s="119" t="str">
        <f>IF($L867="","",INDEX('MTRs'!$A$6:$A$505,$L867)&amp;"")</f>
        <v/>
      </c>
      <c r="C867" s="120" t="str">
        <f>IF($L867="","",INDEX('MTRs'!$B$6:$B$505,$L867)&amp;"")</f>
        <v/>
      </c>
      <c r="D867" s="121" t="str">
        <f>IF($L867="","",INDEX('MTRs'!$W$6:$W$505,$L867))</f>
        <v/>
      </c>
      <c r="E867" s="122" t="str">
        <f>IF($L867="","",INDEX('MTRs'!$P$6:$P$505,$L867))</f>
        <v/>
      </c>
      <c r="F867" s="122" t="str">
        <f>IF($L867="","",INDEX('MTRs'!$Q$6:$Q$505,$L867))</f>
        <v/>
      </c>
      <c r="G867" s="122" t="str">
        <f>IF($L867="","",INDEX('MTRs'!$R$6:$R$505,$L867))</f>
        <v/>
      </c>
      <c r="H867" s="130" t="str">
        <f>IF($L867="","",IF(INDEX('MTRs'!$AM$6:$AM$505,$L867)=0,"",N(E867)-N(F867)))</f>
        <v/>
      </c>
      <c r="I867" s="130" t="str">
        <f>IF($L867="","",IF(INDEX('MTRs'!$AM$6:$AM$505,$L867)=0,"",N(F867)-N(G867)))</f>
        <v/>
      </c>
      <c r="J867" s="120" t="str">
        <f>IF($L867="","",INDEX('MTRs'!$S$6:$S$505,$L867)&amp;"")</f>
        <v/>
      </c>
      <c r="L867" t="str">
        <f>IFERROR(MATCH(265,'MTRs'!$BB$6:$BB$505,0),"")</f>
        <v/>
      </c>
    </row>
    <row r="868">
      <c r="B868" s="119" t="str">
        <f>IF($L868="","",INDEX('MTRs'!$A$6:$A$505,$L868)&amp;"")</f>
        <v/>
      </c>
      <c r="C868" s="120" t="str">
        <f>IF($L868="","",INDEX('MTRs'!$B$6:$B$505,$L868)&amp;"")</f>
        <v/>
      </c>
      <c r="D868" s="121" t="str">
        <f>IF($L868="","",INDEX('MTRs'!$W$6:$W$505,$L868))</f>
        <v/>
      </c>
      <c r="E868" s="122" t="str">
        <f>IF($L868="","",INDEX('MTRs'!$P$6:$P$505,$L868))</f>
        <v/>
      </c>
      <c r="F868" s="122" t="str">
        <f>IF($L868="","",INDEX('MTRs'!$Q$6:$Q$505,$L868))</f>
        <v/>
      </c>
      <c r="G868" s="122" t="str">
        <f>IF($L868="","",INDEX('MTRs'!$R$6:$R$505,$L868))</f>
        <v/>
      </c>
      <c r="H868" s="130" t="str">
        <f>IF($L868="","",IF(INDEX('MTRs'!$AM$6:$AM$505,$L868)=0,"",N(E868)-N(F868)))</f>
        <v/>
      </c>
      <c r="I868" s="130" t="str">
        <f>IF($L868="","",IF(INDEX('MTRs'!$AM$6:$AM$505,$L868)=0,"",N(F868)-N(G868)))</f>
        <v/>
      </c>
      <c r="J868" s="120" t="str">
        <f>IF($L868="","",INDEX('MTRs'!$S$6:$S$505,$L868)&amp;"")</f>
        <v/>
      </c>
      <c r="L868" t="str">
        <f>IFERROR(MATCH(266,'MTRs'!$BB$6:$BB$505,0),"")</f>
        <v/>
      </c>
    </row>
    <row r="869">
      <c r="B869" s="119" t="str">
        <f>IF($L869="","",INDEX('MTRs'!$A$6:$A$505,$L869)&amp;"")</f>
        <v/>
      </c>
      <c r="C869" s="120" t="str">
        <f>IF($L869="","",INDEX('MTRs'!$B$6:$B$505,$L869)&amp;"")</f>
        <v/>
      </c>
      <c r="D869" s="121" t="str">
        <f>IF($L869="","",INDEX('MTRs'!$W$6:$W$505,$L869))</f>
        <v/>
      </c>
      <c r="E869" s="122" t="str">
        <f>IF($L869="","",INDEX('MTRs'!$P$6:$P$505,$L869))</f>
        <v/>
      </c>
      <c r="F869" s="122" t="str">
        <f>IF($L869="","",INDEX('MTRs'!$Q$6:$Q$505,$L869))</f>
        <v/>
      </c>
      <c r="G869" s="122" t="str">
        <f>IF($L869="","",INDEX('MTRs'!$R$6:$R$505,$L869))</f>
        <v/>
      </c>
      <c r="H869" s="130" t="str">
        <f>IF($L869="","",IF(INDEX('MTRs'!$AM$6:$AM$505,$L869)=0,"",N(E869)-N(F869)))</f>
        <v/>
      </c>
      <c r="I869" s="130" t="str">
        <f>IF($L869="","",IF(INDEX('MTRs'!$AM$6:$AM$505,$L869)=0,"",N(F869)-N(G869)))</f>
        <v/>
      </c>
      <c r="J869" s="120" t="str">
        <f>IF($L869="","",INDEX('MTRs'!$S$6:$S$505,$L869)&amp;"")</f>
        <v/>
      </c>
      <c r="L869" t="str">
        <f>IFERROR(MATCH(267,'MTRs'!$BB$6:$BB$505,0),"")</f>
        <v/>
      </c>
    </row>
    <row r="870">
      <c r="B870" s="119" t="str">
        <f>IF($L870="","",INDEX('MTRs'!$A$6:$A$505,$L870)&amp;"")</f>
        <v/>
      </c>
      <c r="C870" s="120" t="str">
        <f>IF($L870="","",INDEX('MTRs'!$B$6:$B$505,$L870)&amp;"")</f>
        <v/>
      </c>
      <c r="D870" s="121" t="str">
        <f>IF($L870="","",INDEX('MTRs'!$W$6:$W$505,$L870))</f>
        <v/>
      </c>
      <c r="E870" s="122" t="str">
        <f>IF($L870="","",INDEX('MTRs'!$P$6:$P$505,$L870))</f>
        <v/>
      </c>
      <c r="F870" s="122" t="str">
        <f>IF($L870="","",INDEX('MTRs'!$Q$6:$Q$505,$L870))</f>
        <v/>
      </c>
      <c r="G870" s="122" t="str">
        <f>IF($L870="","",INDEX('MTRs'!$R$6:$R$505,$L870))</f>
        <v/>
      </c>
      <c r="H870" s="130" t="str">
        <f>IF($L870="","",IF(INDEX('MTRs'!$AM$6:$AM$505,$L870)=0,"",N(E870)-N(F870)))</f>
        <v/>
      </c>
      <c r="I870" s="130" t="str">
        <f>IF($L870="","",IF(INDEX('MTRs'!$AM$6:$AM$505,$L870)=0,"",N(F870)-N(G870)))</f>
        <v/>
      </c>
      <c r="J870" s="120" t="str">
        <f>IF($L870="","",INDEX('MTRs'!$S$6:$S$505,$L870)&amp;"")</f>
        <v/>
      </c>
      <c r="L870" t="str">
        <f>IFERROR(MATCH(268,'MTRs'!$BB$6:$BB$505,0),"")</f>
        <v/>
      </c>
    </row>
    <row r="871">
      <c r="B871" s="119" t="str">
        <f>IF($L871="","",INDEX('MTRs'!$A$6:$A$505,$L871)&amp;"")</f>
        <v/>
      </c>
      <c r="C871" s="120" t="str">
        <f>IF($L871="","",INDEX('MTRs'!$B$6:$B$505,$L871)&amp;"")</f>
        <v/>
      </c>
      <c r="D871" s="121" t="str">
        <f>IF($L871="","",INDEX('MTRs'!$W$6:$W$505,$L871))</f>
        <v/>
      </c>
      <c r="E871" s="122" t="str">
        <f>IF($L871="","",INDEX('MTRs'!$P$6:$P$505,$L871))</f>
        <v/>
      </c>
      <c r="F871" s="122" t="str">
        <f>IF($L871="","",INDEX('MTRs'!$Q$6:$Q$505,$L871))</f>
        <v/>
      </c>
      <c r="G871" s="122" t="str">
        <f>IF($L871="","",INDEX('MTRs'!$R$6:$R$505,$L871))</f>
        <v/>
      </c>
      <c r="H871" s="130" t="str">
        <f>IF($L871="","",IF(INDEX('MTRs'!$AM$6:$AM$505,$L871)=0,"",N(E871)-N(F871)))</f>
        <v/>
      </c>
      <c r="I871" s="130" t="str">
        <f>IF($L871="","",IF(INDEX('MTRs'!$AM$6:$AM$505,$L871)=0,"",N(F871)-N(G871)))</f>
        <v/>
      </c>
      <c r="J871" s="120" t="str">
        <f>IF($L871="","",INDEX('MTRs'!$S$6:$S$505,$L871)&amp;"")</f>
        <v/>
      </c>
      <c r="L871" t="str">
        <f>IFERROR(MATCH(269,'MTRs'!$BB$6:$BB$505,0),"")</f>
        <v/>
      </c>
    </row>
    <row r="872">
      <c r="B872" s="119" t="str">
        <f>IF($L872="","",INDEX('MTRs'!$A$6:$A$505,$L872)&amp;"")</f>
        <v/>
      </c>
      <c r="C872" s="120" t="str">
        <f>IF($L872="","",INDEX('MTRs'!$B$6:$B$505,$L872)&amp;"")</f>
        <v/>
      </c>
      <c r="D872" s="121" t="str">
        <f>IF($L872="","",INDEX('MTRs'!$W$6:$W$505,$L872))</f>
        <v/>
      </c>
      <c r="E872" s="122" t="str">
        <f>IF($L872="","",INDEX('MTRs'!$P$6:$P$505,$L872))</f>
        <v/>
      </c>
      <c r="F872" s="122" t="str">
        <f>IF($L872="","",INDEX('MTRs'!$Q$6:$Q$505,$L872))</f>
        <v/>
      </c>
      <c r="G872" s="122" t="str">
        <f>IF($L872="","",INDEX('MTRs'!$R$6:$R$505,$L872))</f>
        <v/>
      </c>
      <c r="H872" s="130" t="str">
        <f>IF($L872="","",IF(INDEX('MTRs'!$AM$6:$AM$505,$L872)=0,"",N(E872)-N(F872)))</f>
        <v/>
      </c>
      <c r="I872" s="130" t="str">
        <f>IF($L872="","",IF(INDEX('MTRs'!$AM$6:$AM$505,$L872)=0,"",N(F872)-N(G872)))</f>
        <v/>
      </c>
      <c r="J872" s="120" t="str">
        <f>IF($L872="","",INDEX('MTRs'!$S$6:$S$505,$L872)&amp;"")</f>
        <v/>
      </c>
      <c r="L872" t="str">
        <f>IFERROR(MATCH(270,'MTRs'!$BB$6:$BB$505,0),"")</f>
        <v/>
      </c>
    </row>
    <row r="873">
      <c r="B873" s="119" t="str">
        <f>IF($L873="","",INDEX('MTRs'!$A$6:$A$505,$L873)&amp;"")</f>
        <v/>
      </c>
      <c r="C873" s="120" t="str">
        <f>IF($L873="","",INDEX('MTRs'!$B$6:$B$505,$L873)&amp;"")</f>
        <v/>
      </c>
      <c r="D873" s="121" t="str">
        <f>IF($L873="","",INDEX('MTRs'!$W$6:$W$505,$L873))</f>
        <v/>
      </c>
      <c r="E873" s="122" t="str">
        <f>IF($L873="","",INDEX('MTRs'!$P$6:$P$505,$L873))</f>
        <v/>
      </c>
      <c r="F873" s="122" t="str">
        <f>IF($L873="","",INDEX('MTRs'!$Q$6:$Q$505,$L873))</f>
        <v/>
      </c>
      <c r="G873" s="122" t="str">
        <f>IF($L873="","",INDEX('MTRs'!$R$6:$R$505,$L873))</f>
        <v/>
      </c>
      <c r="H873" s="130" t="str">
        <f>IF($L873="","",IF(INDEX('MTRs'!$AM$6:$AM$505,$L873)=0,"",N(E873)-N(F873)))</f>
        <v/>
      </c>
      <c r="I873" s="130" t="str">
        <f>IF($L873="","",IF(INDEX('MTRs'!$AM$6:$AM$505,$L873)=0,"",N(F873)-N(G873)))</f>
        <v/>
      </c>
      <c r="J873" s="120" t="str">
        <f>IF($L873="","",INDEX('MTRs'!$S$6:$S$505,$L873)&amp;"")</f>
        <v/>
      </c>
      <c r="L873" t="str">
        <f>IFERROR(MATCH(271,'MTRs'!$BB$6:$BB$505,0),"")</f>
        <v/>
      </c>
    </row>
    <row r="874">
      <c r="B874" s="119" t="str">
        <f>IF($L874="","",INDEX('MTRs'!$A$6:$A$505,$L874)&amp;"")</f>
        <v/>
      </c>
      <c r="C874" s="120" t="str">
        <f>IF($L874="","",INDEX('MTRs'!$B$6:$B$505,$L874)&amp;"")</f>
        <v/>
      </c>
      <c r="D874" s="121" t="str">
        <f>IF($L874="","",INDEX('MTRs'!$W$6:$W$505,$L874))</f>
        <v/>
      </c>
      <c r="E874" s="122" t="str">
        <f>IF($L874="","",INDEX('MTRs'!$P$6:$P$505,$L874))</f>
        <v/>
      </c>
      <c r="F874" s="122" t="str">
        <f>IF($L874="","",INDEX('MTRs'!$Q$6:$Q$505,$L874))</f>
        <v/>
      </c>
      <c r="G874" s="122" t="str">
        <f>IF($L874="","",INDEX('MTRs'!$R$6:$R$505,$L874))</f>
        <v/>
      </c>
      <c r="H874" s="130" t="str">
        <f>IF($L874="","",IF(INDEX('MTRs'!$AM$6:$AM$505,$L874)=0,"",N(E874)-N(F874)))</f>
        <v/>
      </c>
      <c r="I874" s="130" t="str">
        <f>IF($L874="","",IF(INDEX('MTRs'!$AM$6:$AM$505,$L874)=0,"",N(F874)-N(G874)))</f>
        <v/>
      </c>
      <c r="J874" s="120" t="str">
        <f>IF($L874="","",INDEX('MTRs'!$S$6:$S$505,$L874)&amp;"")</f>
        <v/>
      </c>
      <c r="L874" t="str">
        <f>IFERROR(MATCH(272,'MTRs'!$BB$6:$BB$505,0),"")</f>
        <v/>
      </c>
    </row>
    <row r="875">
      <c r="B875" s="119" t="str">
        <f>IF($L875="","",INDEX('MTRs'!$A$6:$A$505,$L875)&amp;"")</f>
        <v/>
      </c>
      <c r="C875" s="120" t="str">
        <f>IF($L875="","",INDEX('MTRs'!$B$6:$B$505,$L875)&amp;"")</f>
        <v/>
      </c>
      <c r="D875" s="121" t="str">
        <f>IF($L875="","",INDEX('MTRs'!$W$6:$W$505,$L875))</f>
        <v/>
      </c>
      <c r="E875" s="122" t="str">
        <f>IF($L875="","",INDEX('MTRs'!$P$6:$P$505,$L875))</f>
        <v/>
      </c>
      <c r="F875" s="122" t="str">
        <f>IF($L875="","",INDEX('MTRs'!$Q$6:$Q$505,$L875))</f>
        <v/>
      </c>
      <c r="G875" s="122" t="str">
        <f>IF($L875="","",INDEX('MTRs'!$R$6:$R$505,$L875))</f>
        <v/>
      </c>
      <c r="H875" s="130" t="str">
        <f>IF($L875="","",IF(INDEX('MTRs'!$AM$6:$AM$505,$L875)=0,"",N(E875)-N(F875)))</f>
        <v/>
      </c>
      <c r="I875" s="130" t="str">
        <f>IF($L875="","",IF(INDEX('MTRs'!$AM$6:$AM$505,$L875)=0,"",N(F875)-N(G875)))</f>
        <v/>
      </c>
      <c r="J875" s="120" t="str">
        <f>IF($L875="","",INDEX('MTRs'!$S$6:$S$505,$L875)&amp;"")</f>
        <v/>
      </c>
      <c r="L875" t="str">
        <f>IFERROR(MATCH(273,'MTRs'!$BB$6:$BB$505,0),"")</f>
        <v/>
      </c>
    </row>
    <row r="876">
      <c r="B876" s="119" t="str">
        <f>IF($L876="","",INDEX('MTRs'!$A$6:$A$505,$L876)&amp;"")</f>
        <v/>
      </c>
      <c r="C876" s="120" t="str">
        <f>IF($L876="","",INDEX('MTRs'!$B$6:$B$505,$L876)&amp;"")</f>
        <v/>
      </c>
      <c r="D876" s="121" t="str">
        <f>IF($L876="","",INDEX('MTRs'!$W$6:$W$505,$L876))</f>
        <v/>
      </c>
      <c r="E876" s="122" t="str">
        <f>IF($L876="","",INDEX('MTRs'!$P$6:$P$505,$L876))</f>
        <v/>
      </c>
      <c r="F876" s="122" t="str">
        <f>IF($L876="","",INDEX('MTRs'!$Q$6:$Q$505,$L876))</f>
        <v/>
      </c>
      <c r="G876" s="122" t="str">
        <f>IF($L876="","",INDEX('MTRs'!$R$6:$R$505,$L876))</f>
        <v/>
      </c>
      <c r="H876" s="130" t="str">
        <f>IF($L876="","",IF(INDEX('MTRs'!$AM$6:$AM$505,$L876)=0,"",N(E876)-N(F876)))</f>
        <v/>
      </c>
      <c r="I876" s="130" t="str">
        <f>IF($L876="","",IF(INDEX('MTRs'!$AM$6:$AM$505,$L876)=0,"",N(F876)-N(G876)))</f>
        <v/>
      </c>
      <c r="J876" s="120" t="str">
        <f>IF($L876="","",INDEX('MTRs'!$S$6:$S$505,$L876)&amp;"")</f>
        <v/>
      </c>
      <c r="L876" t="str">
        <f>IFERROR(MATCH(274,'MTRs'!$BB$6:$BB$505,0),"")</f>
        <v/>
      </c>
    </row>
    <row r="877">
      <c r="B877" s="119" t="str">
        <f>IF($L877="","",INDEX('MTRs'!$A$6:$A$505,$L877)&amp;"")</f>
        <v/>
      </c>
      <c r="C877" s="120" t="str">
        <f>IF($L877="","",INDEX('MTRs'!$B$6:$B$505,$L877)&amp;"")</f>
        <v/>
      </c>
      <c r="D877" s="121" t="str">
        <f>IF($L877="","",INDEX('MTRs'!$W$6:$W$505,$L877))</f>
        <v/>
      </c>
      <c r="E877" s="122" t="str">
        <f>IF($L877="","",INDEX('MTRs'!$P$6:$P$505,$L877))</f>
        <v/>
      </c>
      <c r="F877" s="122" t="str">
        <f>IF($L877="","",INDEX('MTRs'!$Q$6:$Q$505,$L877))</f>
        <v/>
      </c>
      <c r="G877" s="122" t="str">
        <f>IF($L877="","",INDEX('MTRs'!$R$6:$R$505,$L877))</f>
        <v/>
      </c>
      <c r="H877" s="130" t="str">
        <f>IF($L877="","",IF(INDEX('MTRs'!$AM$6:$AM$505,$L877)=0,"",N(E877)-N(F877)))</f>
        <v/>
      </c>
      <c r="I877" s="130" t="str">
        <f>IF($L877="","",IF(INDEX('MTRs'!$AM$6:$AM$505,$L877)=0,"",N(F877)-N(G877)))</f>
        <v/>
      </c>
      <c r="J877" s="120" t="str">
        <f>IF($L877="","",INDEX('MTRs'!$S$6:$S$505,$L877)&amp;"")</f>
        <v/>
      </c>
      <c r="L877" t="str">
        <f>IFERROR(MATCH(275,'MTRs'!$BB$6:$BB$505,0),"")</f>
        <v/>
      </c>
    </row>
    <row r="878">
      <c r="B878" s="119" t="str">
        <f>IF($L878="","",INDEX('MTRs'!$A$6:$A$505,$L878)&amp;"")</f>
        <v/>
      </c>
      <c r="C878" s="120" t="str">
        <f>IF($L878="","",INDEX('MTRs'!$B$6:$B$505,$L878)&amp;"")</f>
        <v/>
      </c>
      <c r="D878" s="121" t="str">
        <f>IF($L878="","",INDEX('MTRs'!$W$6:$W$505,$L878))</f>
        <v/>
      </c>
      <c r="E878" s="122" t="str">
        <f>IF($L878="","",INDEX('MTRs'!$P$6:$P$505,$L878))</f>
        <v/>
      </c>
      <c r="F878" s="122" t="str">
        <f>IF($L878="","",INDEX('MTRs'!$Q$6:$Q$505,$L878))</f>
        <v/>
      </c>
      <c r="G878" s="122" t="str">
        <f>IF($L878="","",INDEX('MTRs'!$R$6:$R$505,$L878))</f>
        <v/>
      </c>
      <c r="H878" s="130" t="str">
        <f>IF($L878="","",IF(INDEX('MTRs'!$AM$6:$AM$505,$L878)=0,"",N(E878)-N(F878)))</f>
        <v/>
      </c>
      <c r="I878" s="130" t="str">
        <f>IF($L878="","",IF(INDEX('MTRs'!$AM$6:$AM$505,$L878)=0,"",N(F878)-N(G878)))</f>
        <v/>
      </c>
      <c r="J878" s="120" t="str">
        <f>IF($L878="","",INDEX('MTRs'!$S$6:$S$505,$L878)&amp;"")</f>
        <v/>
      </c>
      <c r="L878" t="str">
        <f>IFERROR(MATCH(276,'MTRs'!$BB$6:$BB$505,0),"")</f>
        <v/>
      </c>
    </row>
    <row r="879">
      <c r="B879" s="119" t="str">
        <f>IF($L879="","",INDEX('MTRs'!$A$6:$A$505,$L879)&amp;"")</f>
        <v/>
      </c>
      <c r="C879" s="120" t="str">
        <f>IF($L879="","",INDEX('MTRs'!$B$6:$B$505,$L879)&amp;"")</f>
        <v/>
      </c>
      <c r="D879" s="121" t="str">
        <f>IF($L879="","",INDEX('MTRs'!$W$6:$W$505,$L879))</f>
        <v/>
      </c>
      <c r="E879" s="122" t="str">
        <f>IF($L879="","",INDEX('MTRs'!$P$6:$P$505,$L879))</f>
        <v/>
      </c>
      <c r="F879" s="122" t="str">
        <f>IF($L879="","",INDEX('MTRs'!$Q$6:$Q$505,$L879))</f>
        <v/>
      </c>
      <c r="G879" s="122" t="str">
        <f>IF($L879="","",INDEX('MTRs'!$R$6:$R$505,$L879))</f>
        <v/>
      </c>
      <c r="H879" s="130" t="str">
        <f>IF($L879="","",IF(INDEX('MTRs'!$AM$6:$AM$505,$L879)=0,"",N(E879)-N(F879)))</f>
        <v/>
      </c>
      <c r="I879" s="130" t="str">
        <f>IF($L879="","",IF(INDEX('MTRs'!$AM$6:$AM$505,$L879)=0,"",N(F879)-N(G879)))</f>
        <v/>
      </c>
      <c r="J879" s="120" t="str">
        <f>IF($L879="","",INDEX('MTRs'!$S$6:$S$505,$L879)&amp;"")</f>
        <v/>
      </c>
      <c r="L879" t="str">
        <f>IFERROR(MATCH(277,'MTRs'!$BB$6:$BB$505,0),"")</f>
        <v/>
      </c>
    </row>
    <row r="880">
      <c r="B880" s="119" t="str">
        <f>IF($L880="","",INDEX('MTRs'!$A$6:$A$505,$L880)&amp;"")</f>
        <v/>
      </c>
      <c r="C880" s="120" t="str">
        <f>IF($L880="","",INDEX('MTRs'!$B$6:$B$505,$L880)&amp;"")</f>
        <v/>
      </c>
      <c r="D880" s="121" t="str">
        <f>IF($L880="","",INDEX('MTRs'!$W$6:$W$505,$L880))</f>
        <v/>
      </c>
      <c r="E880" s="122" t="str">
        <f>IF($L880="","",INDEX('MTRs'!$P$6:$P$505,$L880))</f>
        <v/>
      </c>
      <c r="F880" s="122" t="str">
        <f>IF($L880="","",INDEX('MTRs'!$Q$6:$Q$505,$L880))</f>
        <v/>
      </c>
      <c r="G880" s="122" t="str">
        <f>IF($L880="","",INDEX('MTRs'!$R$6:$R$505,$L880))</f>
        <v/>
      </c>
      <c r="H880" s="130" t="str">
        <f>IF($L880="","",IF(INDEX('MTRs'!$AM$6:$AM$505,$L880)=0,"",N(E880)-N(F880)))</f>
        <v/>
      </c>
      <c r="I880" s="130" t="str">
        <f>IF($L880="","",IF(INDEX('MTRs'!$AM$6:$AM$505,$L880)=0,"",N(F880)-N(G880)))</f>
        <v/>
      </c>
      <c r="J880" s="120" t="str">
        <f>IF($L880="","",INDEX('MTRs'!$S$6:$S$505,$L880)&amp;"")</f>
        <v/>
      </c>
      <c r="L880" t="str">
        <f>IFERROR(MATCH(278,'MTRs'!$BB$6:$BB$505,0),"")</f>
        <v/>
      </c>
    </row>
    <row r="881">
      <c r="B881" s="119" t="str">
        <f>IF($L881="","",INDEX('MTRs'!$A$6:$A$505,$L881)&amp;"")</f>
        <v/>
      </c>
      <c r="C881" s="120" t="str">
        <f>IF($L881="","",INDEX('MTRs'!$B$6:$B$505,$L881)&amp;"")</f>
        <v/>
      </c>
      <c r="D881" s="121" t="str">
        <f>IF($L881="","",INDEX('MTRs'!$W$6:$W$505,$L881))</f>
        <v/>
      </c>
      <c r="E881" s="122" t="str">
        <f>IF($L881="","",INDEX('MTRs'!$P$6:$P$505,$L881))</f>
        <v/>
      </c>
      <c r="F881" s="122" t="str">
        <f>IF($L881="","",INDEX('MTRs'!$Q$6:$Q$505,$L881))</f>
        <v/>
      </c>
      <c r="G881" s="122" t="str">
        <f>IF($L881="","",INDEX('MTRs'!$R$6:$R$505,$L881))</f>
        <v/>
      </c>
      <c r="H881" s="130" t="str">
        <f>IF($L881="","",IF(INDEX('MTRs'!$AM$6:$AM$505,$L881)=0,"",N(E881)-N(F881)))</f>
        <v/>
      </c>
      <c r="I881" s="130" t="str">
        <f>IF($L881="","",IF(INDEX('MTRs'!$AM$6:$AM$505,$L881)=0,"",N(F881)-N(G881)))</f>
        <v/>
      </c>
      <c r="J881" s="120" t="str">
        <f>IF($L881="","",INDEX('MTRs'!$S$6:$S$505,$L881)&amp;"")</f>
        <v/>
      </c>
      <c r="L881" t="str">
        <f>IFERROR(MATCH(279,'MTRs'!$BB$6:$BB$505,0),"")</f>
        <v/>
      </c>
    </row>
    <row r="882">
      <c r="B882" s="119" t="str">
        <f>IF($L882="","",INDEX('MTRs'!$A$6:$A$505,$L882)&amp;"")</f>
        <v/>
      </c>
      <c r="C882" s="120" t="str">
        <f>IF($L882="","",INDEX('MTRs'!$B$6:$B$505,$L882)&amp;"")</f>
        <v/>
      </c>
      <c r="D882" s="121" t="str">
        <f>IF($L882="","",INDEX('MTRs'!$W$6:$W$505,$L882))</f>
        <v/>
      </c>
      <c r="E882" s="122" t="str">
        <f>IF($L882="","",INDEX('MTRs'!$P$6:$P$505,$L882))</f>
        <v/>
      </c>
      <c r="F882" s="122" t="str">
        <f>IF($L882="","",INDEX('MTRs'!$Q$6:$Q$505,$L882))</f>
        <v/>
      </c>
      <c r="G882" s="122" t="str">
        <f>IF($L882="","",INDEX('MTRs'!$R$6:$R$505,$L882))</f>
        <v/>
      </c>
      <c r="H882" s="130" t="str">
        <f>IF($L882="","",IF(INDEX('MTRs'!$AM$6:$AM$505,$L882)=0,"",N(E882)-N(F882)))</f>
        <v/>
      </c>
      <c r="I882" s="130" t="str">
        <f>IF($L882="","",IF(INDEX('MTRs'!$AM$6:$AM$505,$L882)=0,"",N(F882)-N(G882)))</f>
        <v/>
      </c>
      <c r="J882" s="120" t="str">
        <f>IF($L882="","",INDEX('MTRs'!$S$6:$S$505,$L882)&amp;"")</f>
        <v/>
      </c>
      <c r="L882" t="str">
        <f>IFERROR(MATCH(280,'MTRs'!$BB$6:$BB$505,0),"")</f>
        <v/>
      </c>
    </row>
    <row r="883">
      <c r="B883" s="119" t="str">
        <f>IF($L883="","",INDEX('MTRs'!$A$6:$A$505,$L883)&amp;"")</f>
        <v/>
      </c>
      <c r="C883" s="120" t="str">
        <f>IF($L883="","",INDEX('MTRs'!$B$6:$B$505,$L883)&amp;"")</f>
        <v/>
      </c>
      <c r="D883" s="121" t="str">
        <f>IF($L883="","",INDEX('MTRs'!$W$6:$W$505,$L883))</f>
        <v/>
      </c>
      <c r="E883" s="122" t="str">
        <f>IF($L883="","",INDEX('MTRs'!$P$6:$P$505,$L883))</f>
        <v/>
      </c>
      <c r="F883" s="122" t="str">
        <f>IF($L883="","",INDEX('MTRs'!$Q$6:$Q$505,$L883))</f>
        <v/>
      </c>
      <c r="G883" s="122" t="str">
        <f>IF($L883="","",INDEX('MTRs'!$R$6:$R$505,$L883))</f>
        <v/>
      </c>
      <c r="H883" s="130" t="str">
        <f>IF($L883="","",IF(INDEX('MTRs'!$AM$6:$AM$505,$L883)=0,"",N(E883)-N(F883)))</f>
        <v/>
      </c>
      <c r="I883" s="130" t="str">
        <f>IF($L883="","",IF(INDEX('MTRs'!$AM$6:$AM$505,$L883)=0,"",N(F883)-N(G883)))</f>
        <v/>
      </c>
      <c r="J883" s="120" t="str">
        <f>IF($L883="","",INDEX('MTRs'!$S$6:$S$505,$L883)&amp;"")</f>
        <v/>
      </c>
      <c r="L883" t="str">
        <f>IFERROR(MATCH(281,'MTRs'!$BB$6:$BB$505,0),"")</f>
        <v/>
      </c>
    </row>
    <row r="884">
      <c r="B884" s="119" t="str">
        <f>IF($L884="","",INDEX('MTRs'!$A$6:$A$505,$L884)&amp;"")</f>
        <v/>
      </c>
      <c r="C884" s="120" t="str">
        <f>IF($L884="","",INDEX('MTRs'!$B$6:$B$505,$L884)&amp;"")</f>
        <v/>
      </c>
      <c r="D884" s="121" t="str">
        <f>IF($L884="","",INDEX('MTRs'!$W$6:$W$505,$L884))</f>
        <v/>
      </c>
      <c r="E884" s="122" t="str">
        <f>IF($L884="","",INDEX('MTRs'!$P$6:$P$505,$L884))</f>
        <v/>
      </c>
      <c r="F884" s="122" t="str">
        <f>IF($L884="","",INDEX('MTRs'!$Q$6:$Q$505,$L884))</f>
        <v/>
      </c>
      <c r="G884" s="122" t="str">
        <f>IF($L884="","",INDEX('MTRs'!$R$6:$R$505,$L884))</f>
        <v/>
      </c>
      <c r="H884" s="130" t="str">
        <f>IF($L884="","",IF(INDEX('MTRs'!$AM$6:$AM$505,$L884)=0,"",N(E884)-N(F884)))</f>
        <v/>
      </c>
      <c r="I884" s="130" t="str">
        <f>IF($L884="","",IF(INDEX('MTRs'!$AM$6:$AM$505,$L884)=0,"",N(F884)-N(G884)))</f>
        <v/>
      </c>
      <c r="J884" s="120" t="str">
        <f>IF($L884="","",INDEX('MTRs'!$S$6:$S$505,$L884)&amp;"")</f>
        <v/>
      </c>
      <c r="L884" t="str">
        <f>IFERROR(MATCH(282,'MTRs'!$BB$6:$BB$505,0),"")</f>
        <v/>
      </c>
    </row>
    <row r="885">
      <c r="B885" s="119" t="str">
        <f>IF($L885="","",INDEX('MTRs'!$A$6:$A$505,$L885)&amp;"")</f>
        <v/>
      </c>
      <c r="C885" s="120" t="str">
        <f>IF($L885="","",INDEX('MTRs'!$B$6:$B$505,$L885)&amp;"")</f>
        <v/>
      </c>
      <c r="D885" s="121" t="str">
        <f>IF($L885="","",INDEX('MTRs'!$W$6:$W$505,$L885))</f>
        <v/>
      </c>
      <c r="E885" s="122" t="str">
        <f>IF($L885="","",INDEX('MTRs'!$P$6:$P$505,$L885))</f>
        <v/>
      </c>
      <c r="F885" s="122" t="str">
        <f>IF($L885="","",INDEX('MTRs'!$Q$6:$Q$505,$L885))</f>
        <v/>
      </c>
      <c r="G885" s="122" t="str">
        <f>IF($L885="","",INDEX('MTRs'!$R$6:$R$505,$L885))</f>
        <v/>
      </c>
      <c r="H885" s="130" t="str">
        <f>IF($L885="","",IF(INDEX('MTRs'!$AM$6:$AM$505,$L885)=0,"",N(E885)-N(F885)))</f>
        <v/>
      </c>
      <c r="I885" s="130" t="str">
        <f>IF($L885="","",IF(INDEX('MTRs'!$AM$6:$AM$505,$L885)=0,"",N(F885)-N(G885)))</f>
        <v/>
      </c>
      <c r="J885" s="120" t="str">
        <f>IF($L885="","",INDEX('MTRs'!$S$6:$S$505,$L885)&amp;"")</f>
        <v/>
      </c>
      <c r="L885" t="str">
        <f>IFERROR(MATCH(283,'MTRs'!$BB$6:$BB$505,0),"")</f>
        <v/>
      </c>
    </row>
    <row r="886">
      <c r="B886" s="119" t="str">
        <f>IF($L886="","",INDEX('MTRs'!$A$6:$A$505,$L886)&amp;"")</f>
        <v/>
      </c>
      <c r="C886" s="120" t="str">
        <f>IF($L886="","",INDEX('MTRs'!$B$6:$B$505,$L886)&amp;"")</f>
        <v/>
      </c>
      <c r="D886" s="121" t="str">
        <f>IF($L886="","",INDEX('MTRs'!$W$6:$W$505,$L886))</f>
        <v/>
      </c>
      <c r="E886" s="122" t="str">
        <f>IF($L886="","",INDEX('MTRs'!$P$6:$P$505,$L886))</f>
        <v/>
      </c>
      <c r="F886" s="122" t="str">
        <f>IF($L886="","",INDEX('MTRs'!$Q$6:$Q$505,$L886))</f>
        <v/>
      </c>
      <c r="G886" s="122" t="str">
        <f>IF($L886="","",INDEX('MTRs'!$R$6:$R$505,$L886))</f>
        <v/>
      </c>
      <c r="H886" s="130" t="str">
        <f>IF($L886="","",IF(INDEX('MTRs'!$AM$6:$AM$505,$L886)=0,"",N(E886)-N(F886)))</f>
        <v/>
      </c>
      <c r="I886" s="130" t="str">
        <f>IF($L886="","",IF(INDEX('MTRs'!$AM$6:$AM$505,$L886)=0,"",N(F886)-N(G886)))</f>
        <v/>
      </c>
      <c r="J886" s="120" t="str">
        <f>IF($L886="","",INDEX('MTRs'!$S$6:$S$505,$L886)&amp;"")</f>
        <v/>
      </c>
      <c r="L886" t="str">
        <f>IFERROR(MATCH(284,'MTRs'!$BB$6:$BB$505,0),"")</f>
        <v/>
      </c>
    </row>
    <row r="887">
      <c r="B887" s="119" t="str">
        <f>IF($L887="","",INDEX('MTRs'!$A$6:$A$505,$L887)&amp;"")</f>
        <v/>
      </c>
      <c r="C887" s="120" t="str">
        <f>IF($L887="","",INDEX('MTRs'!$B$6:$B$505,$L887)&amp;"")</f>
        <v/>
      </c>
      <c r="D887" s="121" t="str">
        <f>IF($L887="","",INDEX('MTRs'!$W$6:$W$505,$L887))</f>
        <v/>
      </c>
      <c r="E887" s="122" t="str">
        <f>IF($L887="","",INDEX('MTRs'!$P$6:$P$505,$L887))</f>
        <v/>
      </c>
      <c r="F887" s="122" t="str">
        <f>IF($L887="","",INDEX('MTRs'!$Q$6:$Q$505,$L887))</f>
        <v/>
      </c>
      <c r="G887" s="122" t="str">
        <f>IF($L887="","",INDEX('MTRs'!$R$6:$R$505,$L887))</f>
        <v/>
      </c>
      <c r="H887" s="130" t="str">
        <f>IF($L887="","",IF(INDEX('MTRs'!$AM$6:$AM$505,$L887)=0,"",N(E887)-N(F887)))</f>
        <v/>
      </c>
      <c r="I887" s="130" t="str">
        <f>IF($L887="","",IF(INDEX('MTRs'!$AM$6:$AM$505,$L887)=0,"",N(F887)-N(G887)))</f>
        <v/>
      </c>
      <c r="J887" s="120" t="str">
        <f>IF($L887="","",INDEX('MTRs'!$S$6:$S$505,$L887)&amp;"")</f>
        <v/>
      </c>
      <c r="L887" t="str">
        <f>IFERROR(MATCH(285,'MTRs'!$BB$6:$BB$505,0),"")</f>
        <v/>
      </c>
    </row>
    <row r="888">
      <c r="B888" s="119" t="str">
        <f>IF($L888="","",INDEX('MTRs'!$A$6:$A$505,$L888)&amp;"")</f>
        <v/>
      </c>
      <c r="C888" s="120" t="str">
        <f>IF($L888="","",INDEX('MTRs'!$B$6:$B$505,$L888)&amp;"")</f>
        <v/>
      </c>
      <c r="D888" s="121" t="str">
        <f>IF($L888="","",INDEX('MTRs'!$W$6:$W$505,$L888))</f>
        <v/>
      </c>
      <c r="E888" s="122" t="str">
        <f>IF($L888="","",INDEX('MTRs'!$P$6:$P$505,$L888))</f>
        <v/>
      </c>
      <c r="F888" s="122" t="str">
        <f>IF($L888="","",INDEX('MTRs'!$Q$6:$Q$505,$L888))</f>
        <v/>
      </c>
      <c r="G888" s="122" t="str">
        <f>IF($L888="","",INDEX('MTRs'!$R$6:$R$505,$L888))</f>
        <v/>
      </c>
      <c r="H888" s="130" t="str">
        <f>IF($L888="","",IF(INDEX('MTRs'!$AM$6:$AM$505,$L888)=0,"",N(E888)-N(F888)))</f>
        <v/>
      </c>
      <c r="I888" s="130" t="str">
        <f>IF($L888="","",IF(INDEX('MTRs'!$AM$6:$AM$505,$L888)=0,"",N(F888)-N(G888)))</f>
        <v/>
      </c>
      <c r="J888" s="120" t="str">
        <f>IF($L888="","",INDEX('MTRs'!$S$6:$S$505,$L888)&amp;"")</f>
        <v/>
      </c>
      <c r="L888" t="str">
        <f>IFERROR(MATCH(286,'MTRs'!$BB$6:$BB$505,0),"")</f>
        <v/>
      </c>
    </row>
    <row r="889">
      <c r="B889" s="119" t="str">
        <f>IF($L889="","",INDEX('MTRs'!$A$6:$A$505,$L889)&amp;"")</f>
        <v/>
      </c>
      <c r="C889" s="120" t="str">
        <f>IF($L889="","",INDEX('MTRs'!$B$6:$B$505,$L889)&amp;"")</f>
        <v/>
      </c>
      <c r="D889" s="121" t="str">
        <f>IF($L889="","",INDEX('MTRs'!$W$6:$W$505,$L889))</f>
        <v/>
      </c>
      <c r="E889" s="122" t="str">
        <f>IF($L889="","",INDEX('MTRs'!$P$6:$P$505,$L889))</f>
        <v/>
      </c>
      <c r="F889" s="122" t="str">
        <f>IF($L889="","",INDEX('MTRs'!$Q$6:$Q$505,$L889))</f>
        <v/>
      </c>
      <c r="G889" s="122" t="str">
        <f>IF($L889="","",INDEX('MTRs'!$R$6:$R$505,$L889))</f>
        <v/>
      </c>
      <c r="H889" s="130" t="str">
        <f>IF($L889="","",IF(INDEX('MTRs'!$AM$6:$AM$505,$L889)=0,"",N(E889)-N(F889)))</f>
        <v/>
      </c>
      <c r="I889" s="130" t="str">
        <f>IF($L889="","",IF(INDEX('MTRs'!$AM$6:$AM$505,$L889)=0,"",N(F889)-N(G889)))</f>
        <v/>
      </c>
      <c r="J889" s="120" t="str">
        <f>IF($L889="","",INDEX('MTRs'!$S$6:$S$505,$L889)&amp;"")</f>
        <v/>
      </c>
      <c r="L889" t="str">
        <f>IFERROR(MATCH(287,'MTRs'!$BB$6:$BB$505,0),"")</f>
        <v/>
      </c>
    </row>
    <row r="890">
      <c r="B890" s="119" t="str">
        <f>IF($L890="","",INDEX('MTRs'!$A$6:$A$505,$L890)&amp;"")</f>
        <v/>
      </c>
      <c r="C890" s="120" t="str">
        <f>IF($L890="","",INDEX('MTRs'!$B$6:$B$505,$L890)&amp;"")</f>
        <v/>
      </c>
      <c r="D890" s="121" t="str">
        <f>IF($L890="","",INDEX('MTRs'!$W$6:$W$505,$L890))</f>
        <v/>
      </c>
      <c r="E890" s="122" t="str">
        <f>IF($L890="","",INDEX('MTRs'!$P$6:$P$505,$L890))</f>
        <v/>
      </c>
      <c r="F890" s="122" t="str">
        <f>IF($L890="","",INDEX('MTRs'!$Q$6:$Q$505,$L890))</f>
        <v/>
      </c>
      <c r="G890" s="122" t="str">
        <f>IF($L890="","",INDEX('MTRs'!$R$6:$R$505,$L890))</f>
        <v/>
      </c>
      <c r="H890" s="130" t="str">
        <f>IF($L890="","",IF(INDEX('MTRs'!$AM$6:$AM$505,$L890)=0,"",N(E890)-N(F890)))</f>
        <v/>
      </c>
      <c r="I890" s="130" t="str">
        <f>IF($L890="","",IF(INDEX('MTRs'!$AM$6:$AM$505,$L890)=0,"",N(F890)-N(G890)))</f>
        <v/>
      </c>
      <c r="J890" s="120" t="str">
        <f>IF($L890="","",INDEX('MTRs'!$S$6:$S$505,$L890)&amp;"")</f>
        <v/>
      </c>
      <c r="L890" t="str">
        <f>IFERROR(MATCH(288,'MTRs'!$BB$6:$BB$505,0),"")</f>
        <v/>
      </c>
    </row>
    <row r="891">
      <c r="B891" s="119" t="str">
        <f>IF($L891="","",INDEX('MTRs'!$A$6:$A$505,$L891)&amp;"")</f>
        <v/>
      </c>
      <c r="C891" s="120" t="str">
        <f>IF($L891="","",INDEX('MTRs'!$B$6:$B$505,$L891)&amp;"")</f>
        <v/>
      </c>
      <c r="D891" s="121" t="str">
        <f>IF($L891="","",INDEX('MTRs'!$W$6:$W$505,$L891))</f>
        <v/>
      </c>
      <c r="E891" s="122" t="str">
        <f>IF($L891="","",INDEX('MTRs'!$P$6:$P$505,$L891))</f>
        <v/>
      </c>
      <c r="F891" s="122" t="str">
        <f>IF($L891="","",INDEX('MTRs'!$Q$6:$Q$505,$L891))</f>
        <v/>
      </c>
      <c r="G891" s="122" t="str">
        <f>IF($L891="","",INDEX('MTRs'!$R$6:$R$505,$L891))</f>
        <v/>
      </c>
      <c r="H891" s="130" t="str">
        <f>IF($L891="","",IF(INDEX('MTRs'!$AM$6:$AM$505,$L891)=0,"",N(E891)-N(F891)))</f>
        <v/>
      </c>
      <c r="I891" s="130" t="str">
        <f>IF($L891="","",IF(INDEX('MTRs'!$AM$6:$AM$505,$L891)=0,"",N(F891)-N(G891)))</f>
        <v/>
      </c>
      <c r="J891" s="120" t="str">
        <f>IF($L891="","",INDEX('MTRs'!$S$6:$S$505,$L891)&amp;"")</f>
        <v/>
      </c>
      <c r="L891" t="str">
        <f>IFERROR(MATCH(289,'MTRs'!$BB$6:$BB$505,0),"")</f>
        <v/>
      </c>
    </row>
    <row r="892">
      <c r="B892" s="119" t="str">
        <f>IF($L892="","",INDEX('MTRs'!$A$6:$A$505,$L892)&amp;"")</f>
        <v/>
      </c>
      <c r="C892" s="120" t="str">
        <f>IF($L892="","",INDEX('MTRs'!$B$6:$B$505,$L892)&amp;"")</f>
        <v/>
      </c>
      <c r="D892" s="121" t="str">
        <f>IF($L892="","",INDEX('MTRs'!$W$6:$W$505,$L892))</f>
        <v/>
      </c>
      <c r="E892" s="122" t="str">
        <f>IF($L892="","",INDEX('MTRs'!$P$6:$P$505,$L892))</f>
        <v/>
      </c>
      <c r="F892" s="122" t="str">
        <f>IF($L892="","",INDEX('MTRs'!$Q$6:$Q$505,$L892))</f>
        <v/>
      </c>
      <c r="G892" s="122" t="str">
        <f>IF($L892="","",INDEX('MTRs'!$R$6:$R$505,$L892))</f>
        <v/>
      </c>
      <c r="H892" s="130" t="str">
        <f>IF($L892="","",IF(INDEX('MTRs'!$AM$6:$AM$505,$L892)=0,"",N(E892)-N(F892)))</f>
        <v/>
      </c>
      <c r="I892" s="130" t="str">
        <f>IF($L892="","",IF(INDEX('MTRs'!$AM$6:$AM$505,$L892)=0,"",N(F892)-N(G892)))</f>
        <v/>
      </c>
      <c r="J892" s="120" t="str">
        <f>IF($L892="","",INDEX('MTRs'!$S$6:$S$505,$L892)&amp;"")</f>
        <v/>
      </c>
      <c r="L892" t="str">
        <f>IFERROR(MATCH(290,'MTRs'!$BB$6:$BB$505,0),"")</f>
        <v/>
      </c>
    </row>
    <row r="893">
      <c r="B893" s="119" t="str">
        <f>IF($L893="","",INDEX('MTRs'!$A$6:$A$505,$L893)&amp;"")</f>
        <v/>
      </c>
      <c r="C893" s="120" t="str">
        <f>IF($L893="","",INDEX('MTRs'!$B$6:$B$505,$L893)&amp;"")</f>
        <v/>
      </c>
      <c r="D893" s="121" t="str">
        <f>IF($L893="","",INDEX('MTRs'!$W$6:$W$505,$L893))</f>
        <v/>
      </c>
      <c r="E893" s="122" t="str">
        <f>IF($L893="","",INDEX('MTRs'!$P$6:$P$505,$L893))</f>
        <v/>
      </c>
      <c r="F893" s="122" t="str">
        <f>IF($L893="","",INDEX('MTRs'!$Q$6:$Q$505,$L893))</f>
        <v/>
      </c>
      <c r="G893" s="122" t="str">
        <f>IF($L893="","",INDEX('MTRs'!$R$6:$R$505,$L893))</f>
        <v/>
      </c>
      <c r="H893" s="130" t="str">
        <f>IF($L893="","",IF(INDEX('MTRs'!$AM$6:$AM$505,$L893)=0,"",N(E893)-N(F893)))</f>
        <v/>
      </c>
      <c r="I893" s="130" t="str">
        <f>IF($L893="","",IF(INDEX('MTRs'!$AM$6:$AM$505,$L893)=0,"",N(F893)-N(G893)))</f>
        <v/>
      </c>
      <c r="J893" s="120" t="str">
        <f>IF($L893="","",INDEX('MTRs'!$S$6:$S$505,$L893)&amp;"")</f>
        <v/>
      </c>
      <c r="L893" t="str">
        <f>IFERROR(MATCH(291,'MTRs'!$BB$6:$BB$505,0),"")</f>
        <v/>
      </c>
    </row>
    <row r="894">
      <c r="B894" s="119" t="str">
        <f>IF($L894="","",INDEX('MTRs'!$A$6:$A$505,$L894)&amp;"")</f>
        <v/>
      </c>
      <c r="C894" s="120" t="str">
        <f>IF($L894="","",INDEX('MTRs'!$B$6:$B$505,$L894)&amp;"")</f>
        <v/>
      </c>
      <c r="D894" s="121" t="str">
        <f>IF($L894="","",INDEX('MTRs'!$W$6:$W$505,$L894))</f>
        <v/>
      </c>
      <c r="E894" s="122" t="str">
        <f>IF($L894="","",INDEX('MTRs'!$P$6:$P$505,$L894))</f>
        <v/>
      </c>
      <c r="F894" s="122" t="str">
        <f>IF($L894="","",INDEX('MTRs'!$Q$6:$Q$505,$L894))</f>
        <v/>
      </c>
      <c r="G894" s="122" t="str">
        <f>IF($L894="","",INDEX('MTRs'!$R$6:$R$505,$L894))</f>
        <v/>
      </c>
      <c r="H894" s="130" t="str">
        <f>IF($L894="","",IF(INDEX('MTRs'!$AM$6:$AM$505,$L894)=0,"",N(E894)-N(F894)))</f>
        <v/>
      </c>
      <c r="I894" s="130" t="str">
        <f>IF($L894="","",IF(INDEX('MTRs'!$AM$6:$AM$505,$L894)=0,"",N(F894)-N(G894)))</f>
        <v/>
      </c>
      <c r="J894" s="120" t="str">
        <f>IF($L894="","",INDEX('MTRs'!$S$6:$S$505,$L894)&amp;"")</f>
        <v/>
      </c>
      <c r="L894" t="str">
        <f>IFERROR(MATCH(292,'MTRs'!$BB$6:$BB$505,0),"")</f>
        <v/>
      </c>
    </row>
    <row r="895">
      <c r="B895" s="119" t="str">
        <f>IF($L895="","",INDEX('MTRs'!$A$6:$A$505,$L895)&amp;"")</f>
        <v/>
      </c>
      <c r="C895" s="120" t="str">
        <f>IF($L895="","",INDEX('MTRs'!$B$6:$B$505,$L895)&amp;"")</f>
        <v/>
      </c>
      <c r="D895" s="121" t="str">
        <f>IF($L895="","",INDEX('MTRs'!$W$6:$W$505,$L895))</f>
        <v/>
      </c>
      <c r="E895" s="122" t="str">
        <f>IF($L895="","",INDEX('MTRs'!$P$6:$P$505,$L895))</f>
        <v/>
      </c>
      <c r="F895" s="122" t="str">
        <f>IF($L895="","",INDEX('MTRs'!$Q$6:$Q$505,$L895))</f>
        <v/>
      </c>
      <c r="G895" s="122" t="str">
        <f>IF($L895="","",INDEX('MTRs'!$R$6:$R$505,$L895))</f>
        <v/>
      </c>
      <c r="H895" s="130" t="str">
        <f>IF($L895="","",IF(INDEX('MTRs'!$AM$6:$AM$505,$L895)=0,"",N(E895)-N(F895)))</f>
        <v/>
      </c>
      <c r="I895" s="130" t="str">
        <f>IF($L895="","",IF(INDEX('MTRs'!$AM$6:$AM$505,$L895)=0,"",N(F895)-N(G895)))</f>
        <v/>
      </c>
      <c r="J895" s="120" t="str">
        <f>IF($L895="","",INDEX('MTRs'!$S$6:$S$505,$L895)&amp;"")</f>
        <v/>
      </c>
      <c r="L895" t="str">
        <f>IFERROR(MATCH(293,'MTRs'!$BB$6:$BB$505,0),"")</f>
        <v/>
      </c>
    </row>
    <row r="896">
      <c r="B896" s="119" t="str">
        <f>IF($L896="","",INDEX('MTRs'!$A$6:$A$505,$L896)&amp;"")</f>
        <v/>
      </c>
      <c r="C896" s="120" t="str">
        <f>IF($L896="","",INDEX('MTRs'!$B$6:$B$505,$L896)&amp;"")</f>
        <v/>
      </c>
      <c r="D896" s="121" t="str">
        <f>IF($L896="","",INDEX('MTRs'!$W$6:$W$505,$L896))</f>
        <v/>
      </c>
      <c r="E896" s="122" t="str">
        <f>IF($L896="","",INDEX('MTRs'!$P$6:$P$505,$L896))</f>
        <v/>
      </c>
      <c r="F896" s="122" t="str">
        <f>IF($L896="","",INDEX('MTRs'!$Q$6:$Q$505,$L896))</f>
        <v/>
      </c>
      <c r="G896" s="122" t="str">
        <f>IF($L896="","",INDEX('MTRs'!$R$6:$R$505,$L896))</f>
        <v/>
      </c>
      <c r="H896" s="130" t="str">
        <f>IF($L896="","",IF(INDEX('MTRs'!$AM$6:$AM$505,$L896)=0,"",N(E896)-N(F896)))</f>
        <v/>
      </c>
      <c r="I896" s="130" t="str">
        <f>IF($L896="","",IF(INDEX('MTRs'!$AM$6:$AM$505,$L896)=0,"",N(F896)-N(G896)))</f>
        <v/>
      </c>
      <c r="J896" s="120" t="str">
        <f>IF($L896="","",INDEX('MTRs'!$S$6:$S$505,$L896)&amp;"")</f>
        <v/>
      </c>
      <c r="L896" t="str">
        <f>IFERROR(MATCH(294,'MTRs'!$BB$6:$BB$505,0),"")</f>
        <v/>
      </c>
    </row>
    <row r="897">
      <c r="B897" s="119" t="str">
        <f>IF($L897="","",INDEX('MTRs'!$A$6:$A$505,$L897)&amp;"")</f>
        <v/>
      </c>
      <c r="C897" s="120" t="str">
        <f>IF($L897="","",INDEX('MTRs'!$B$6:$B$505,$L897)&amp;"")</f>
        <v/>
      </c>
      <c r="D897" s="121" t="str">
        <f>IF($L897="","",INDEX('MTRs'!$W$6:$W$505,$L897))</f>
        <v/>
      </c>
      <c r="E897" s="122" t="str">
        <f>IF($L897="","",INDEX('MTRs'!$P$6:$P$505,$L897))</f>
        <v/>
      </c>
      <c r="F897" s="122" t="str">
        <f>IF($L897="","",INDEX('MTRs'!$Q$6:$Q$505,$L897))</f>
        <v/>
      </c>
      <c r="G897" s="122" t="str">
        <f>IF($L897="","",INDEX('MTRs'!$R$6:$R$505,$L897))</f>
        <v/>
      </c>
      <c r="H897" s="130" t="str">
        <f>IF($L897="","",IF(INDEX('MTRs'!$AM$6:$AM$505,$L897)=0,"",N(E897)-N(F897)))</f>
        <v/>
      </c>
      <c r="I897" s="130" t="str">
        <f>IF($L897="","",IF(INDEX('MTRs'!$AM$6:$AM$505,$L897)=0,"",N(F897)-N(G897)))</f>
        <v/>
      </c>
      <c r="J897" s="120" t="str">
        <f>IF($L897="","",INDEX('MTRs'!$S$6:$S$505,$L897)&amp;"")</f>
        <v/>
      </c>
      <c r="L897" t="str">
        <f>IFERROR(MATCH(295,'MTRs'!$BB$6:$BB$505,0),"")</f>
        <v/>
      </c>
    </row>
    <row r="898">
      <c r="B898" s="119" t="str">
        <f>IF($L898="","",INDEX('MTRs'!$A$6:$A$505,$L898)&amp;"")</f>
        <v/>
      </c>
      <c r="C898" s="120" t="str">
        <f>IF($L898="","",INDEX('MTRs'!$B$6:$B$505,$L898)&amp;"")</f>
        <v/>
      </c>
      <c r="D898" s="121" t="str">
        <f>IF($L898="","",INDEX('MTRs'!$W$6:$W$505,$L898))</f>
        <v/>
      </c>
      <c r="E898" s="122" t="str">
        <f>IF($L898="","",INDEX('MTRs'!$P$6:$P$505,$L898))</f>
        <v/>
      </c>
      <c r="F898" s="122" t="str">
        <f>IF($L898="","",INDEX('MTRs'!$Q$6:$Q$505,$L898))</f>
        <v/>
      </c>
      <c r="G898" s="122" t="str">
        <f>IF($L898="","",INDEX('MTRs'!$R$6:$R$505,$L898))</f>
        <v/>
      </c>
      <c r="H898" s="130" t="str">
        <f>IF($L898="","",IF(INDEX('MTRs'!$AM$6:$AM$505,$L898)=0,"",N(E898)-N(F898)))</f>
        <v/>
      </c>
      <c r="I898" s="130" t="str">
        <f>IF($L898="","",IF(INDEX('MTRs'!$AM$6:$AM$505,$L898)=0,"",N(F898)-N(G898)))</f>
        <v/>
      </c>
      <c r="J898" s="120" t="str">
        <f>IF($L898="","",INDEX('MTRs'!$S$6:$S$505,$L898)&amp;"")</f>
        <v/>
      </c>
      <c r="L898" t="str">
        <f>IFERROR(MATCH(296,'MTRs'!$BB$6:$BB$505,0),"")</f>
        <v/>
      </c>
    </row>
    <row r="899">
      <c r="B899" s="119" t="str">
        <f>IF($L899="","",INDEX('MTRs'!$A$6:$A$505,$L899)&amp;"")</f>
        <v/>
      </c>
      <c r="C899" s="120" t="str">
        <f>IF($L899="","",INDEX('MTRs'!$B$6:$B$505,$L899)&amp;"")</f>
        <v/>
      </c>
      <c r="D899" s="121" t="str">
        <f>IF($L899="","",INDEX('MTRs'!$W$6:$W$505,$L899))</f>
        <v/>
      </c>
      <c r="E899" s="122" t="str">
        <f>IF($L899="","",INDEX('MTRs'!$P$6:$P$505,$L899))</f>
        <v/>
      </c>
      <c r="F899" s="122" t="str">
        <f>IF($L899="","",INDEX('MTRs'!$Q$6:$Q$505,$L899))</f>
        <v/>
      </c>
      <c r="G899" s="122" t="str">
        <f>IF($L899="","",INDEX('MTRs'!$R$6:$R$505,$L899))</f>
        <v/>
      </c>
      <c r="H899" s="130" t="str">
        <f>IF($L899="","",IF(INDEX('MTRs'!$AM$6:$AM$505,$L899)=0,"",N(E899)-N(F899)))</f>
        <v/>
      </c>
      <c r="I899" s="130" t="str">
        <f>IF($L899="","",IF(INDEX('MTRs'!$AM$6:$AM$505,$L899)=0,"",N(F899)-N(G899)))</f>
        <v/>
      </c>
      <c r="J899" s="120" t="str">
        <f>IF($L899="","",INDEX('MTRs'!$S$6:$S$505,$L899)&amp;"")</f>
        <v/>
      </c>
      <c r="L899" t="str">
        <f>IFERROR(MATCH(297,'MTRs'!$BB$6:$BB$505,0),"")</f>
        <v/>
      </c>
    </row>
    <row r="900">
      <c r="B900" s="119" t="str">
        <f>IF($L900="","",INDEX('MTRs'!$A$6:$A$505,$L900)&amp;"")</f>
        <v/>
      </c>
      <c r="C900" s="120" t="str">
        <f>IF($L900="","",INDEX('MTRs'!$B$6:$B$505,$L900)&amp;"")</f>
        <v/>
      </c>
      <c r="D900" s="121" t="str">
        <f>IF($L900="","",INDEX('MTRs'!$W$6:$W$505,$L900))</f>
        <v/>
      </c>
      <c r="E900" s="122" t="str">
        <f>IF($L900="","",INDEX('MTRs'!$P$6:$P$505,$L900))</f>
        <v/>
      </c>
      <c r="F900" s="122" t="str">
        <f>IF($L900="","",INDEX('MTRs'!$Q$6:$Q$505,$L900))</f>
        <v/>
      </c>
      <c r="G900" s="122" t="str">
        <f>IF($L900="","",INDEX('MTRs'!$R$6:$R$505,$L900))</f>
        <v/>
      </c>
      <c r="H900" s="130" t="str">
        <f>IF($L900="","",IF(INDEX('MTRs'!$AM$6:$AM$505,$L900)=0,"",N(E900)-N(F900)))</f>
        <v/>
      </c>
      <c r="I900" s="130" t="str">
        <f>IF($L900="","",IF(INDEX('MTRs'!$AM$6:$AM$505,$L900)=0,"",N(F900)-N(G900)))</f>
        <v/>
      </c>
      <c r="J900" s="120" t="str">
        <f>IF($L900="","",INDEX('MTRs'!$S$6:$S$505,$L900)&amp;"")</f>
        <v/>
      </c>
      <c r="L900" t="str">
        <f>IFERROR(MATCH(298,'MTRs'!$BB$6:$BB$505,0),"")</f>
        <v/>
      </c>
    </row>
    <row r="901">
      <c r="B901" s="119" t="str">
        <f>IF($L901="","",INDEX('MTRs'!$A$6:$A$505,$L901)&amp;"")</f>
        <v/>
      </c>
      <c r="C901" s="120" t="str">
        <f>IF($L901="","",INDEX('MTRs'!$B$6:$B$505,$L901)&amp;"")</f>
        <v/>
      </c>
      <c r="D901" s="121" t="str">
        <f>IF($L901="","",INDEX('MTRs'!$W$6:$W$505,$L901))</f>
        <v/>
      </c>
      <c r="E901" s="122" t="str">
        <f>IF($L901="","",INDEX('MTRs'!$P$6:$P$505,$L901))</f>
        <v/>
      </c>
      <c r="F901" s="122" t="str">
        <f>IF($L901="","",INDEX('MTRs'!$Q$6:$Q$505,$L901))</f>
        <v/>
      </c>
      <c r="G901" s="122" t="str">
        <f>IF($L901="","",INDEX('MTRs'!$R$6:$R$505,$L901))</f>
        <v/>
      </c>
      <c r="H901" s="130" t="str">
        <f>IF($L901="","",IF(INDEX('MTRs'!$AM$6:$AM$505,$L901)=0,"",N(E901)-N(F901)))</f>
        <v/>
      </c>
      <c r="I901" s="130" t="str">
        <f>IF($L901="","",IF(INDEX('MTRs'!$AM$6:$AM$505,$L901)=0,"",N(F901)-N(G901)))</f>
        <v/>
      </c>
      <c r="J901" s="120" t="str">
        <f>IF($L901="","",INDEX('MTRs'!$S$6:$S$505,$L901)&amp;"")</f>
        <v/>
      </c>
      <c r="L901" t="str">
        <f>IFERROR(MATCH(299,'MTRs'!$BB$6:$BB$505,0),"")</f>
        <v/>
      </c>
    </row>
    <row r="902">
      <c r="B902" s="119" t="str">
        <f>IF($L902="","",INDEX('MTRs'!$A$6:$A$505,$L902)&amp;"")</f>
        <v/>
      </c>
      <c r="C902" s="120" t="str">
        <f>IF($L902="","",INDEX('MTRs'!$B$6:$B$505,$L902)&amp;"")</f>
        <v/>
      </c>
      <c r="D902" s="121" t="str">
        <f>IF($L902="","",INDEX('MTRs'!$W$6:$W$505,$L902))</f>
        <v/>
      </c>
      <c r="E902" s="122" t="str">
        <f>IF($L902="","",INDEX('MTRs'!$P$6:$P$505,$L902))</f>
        <v/>
      </c>
      <c r="F902" s="122" t="str">
        <f>IF($L902="","",INDEX('MTRs'!$Q$6:$Q$505,$L902))</f>
        <v/>
      </c>
      <c r="G902" s="122" t="str">
        <f>IF($L902="","",INDEX('MTRs'!$R$6:$R$505,$L902))</f>
        <v/>
      </c>
      <c r="H902" s="130" t="str">
        <f>IF($L902="","",IF(INDEX('MTRs'!$AM$6:$AM$505,$L902)=0,"",N(E902)-N(F902)))</f>
        <v/>
      </c>
      <c r="I902" s="130" t="str">
        <f>IF($L902="","",IF(INDEX('MTRs'!$AM$6:$AM$505,$L902)=0,"",N(F902)-N(G902)))</f>
        <v/>
      </c>
      <c r="J902" s="120" t="str">
        <f>IF($L902="","",INDEX('MTRs'!$S$6:$S$505,$L902)&amp;"")</f>
        <v/>
      </c>
      <c r="L902" t="str">
        <f>IFERROR(MATCH(300,'MTRs'!$BB$6:$BB$505,0),"")</f>
        <v/>
      </c>
    </row>
    <row r="903">
      <c r="B903" s="119" t="str">
        <f>IF($L903="","",INDEX('MTRs'!$A$6:$A$505,$L903)&amp;"")</f>
        <v/>
      </c>
      <c r="C903" s="120" t="str">
        <f>IF($L903="","",INDEX('MTRs'!$B$6:$B$505,$L903)&amp;"")</f>
        <v/>
      </c>
      <c r="D903" s="121" t="str">
        <f>IF($L903="","",INDEX('MTRs'!$W$6:$W$505,$L903))</f>
        <v/>
      </c>
      <c r="E903" s="122" t="str">
        <f>IF($L903="","",INDEX('MTRs'!$P$6:$P$505,$L903))</f>
        <v/>
      </c>
      <c r="F903" s="122" t="str">
        <f>IF($L903="","",INDEX('MTRs'!$Q$6:$Q$505,$L903))</f>
        <v/>
      </c>
      <c r="G903" s="122" t="str">
        <f>IF($L903="","",INDEX('MTRs'!$R$6:$R$505,$L903))</f>
        <v/>
      </c>
      <c r="H903" s="130" t="str">
        <f>IF($L903="","",IF(INDEX('MTRs'!$AM$6:$AM$505,$L903)=0,"",N(E903)-N(F903)))</f>
        <v/>
      </c>
      <c r="I903" s="130" t="str">
        <f>IF($L903="","",IF(INDEX('MTRs'!$AM$6:$AM$505,$L903)=0,"",N(F903)-N(G903)))</f>
        <v/>
      </c>
      <c r="J903" s="120" t="str">
        <f>IF($L903="","",INDEX('MTRs'!$S$6:$S$505,$L903)&amp;"")</f>
        <v/>
      </c>
      <c r="L903" t="str">
        <f>IFERROR(MATCH(301,'MTRs'!$BB$6:$BB$505,0),"")</f>
        <v/>
      </c>
    </row>
    <row r="904">
      <c r="B904" s="119" t="str">
        <f>IF($L904="","",INDEX('MTRs'!$A$6:$A$505,$L904)&amp;"")</f>
        <v/>
      </c>
      <c r="C904" s="120" t="str">
        <f>IF($L904="","",INDEX('MTRs'!$B$6:$B$505,$L904)&amp;"")</f>
        <v/>
      </c>
      <c r="D904" s="121" t="str">
        <f>IF($L904="","",INDEX('MTRs'!$W$6:$W$505,$L904))</f>
        <v/>
      </c>
      <c r="E904" s="122" t="str">
        <f>IF($L904="","",INDEX('MTRs'!$P$6:$P$505,$L904))</f>
        <v/>
      </c>
      <c r="F904" s="122" t="str">
        <f>IF($L904="","",INDEX('MTRs'!$Q$6:$Q$505,$L904))</f>
        <v/>
      </c>
      <c r="G904" s="122" t="str">
        <f>IF($L904="","",INDEX('MTRs'!$R$6:$R$505,$L904))</f>
        <v/>
      </c>
      <c r="H904" s="130" t="str">
        <f>IF($L904="","",IF(INDEX('MTRs'!$AM$6:$AM$505,$L904)=0,"",N(E904)-N(F904)))</f>
        <v/>
      </c>
      <c r="I904" s="130" t="str">
        <f>IF($L904="","",IF(INDEX('MTRs'!$AM$6:$AM$505,$L904)=0,"",N(F904)-N(G904)))</f>
        <v/>
      </c>
      <c r="J904" s="120" t="str">
        <f>IF($L904="","",INDEX('MTRs'!$S$6:$S$505,$L904)&amp;"")</f>
        <v/>
      </c>
      <c r="L904" t="str">
        <f>IFERROR(MATCH(302,'MTRs'!$BB$6:$BB$505,0),"")</f>
        <v/>
      </c>
    </row>
    <row r="905">
      <c r="B905" s="119" t="str">
        <f>IF($L905="","",INDEX('MTRs'!$A$6:$A$505,$L905)&amp;"")</f>
        <v/>
      </c>
      <c r="C905" s="120" t="str">
        <f>IF($L905="","",INDEX('MTRs'!$B$6:$B$505,$L905)&amp;"")</f>
        <v/>
      </c>
      <c r="D905" s="121" t="str">
        <f>IF($L905="","",INDEX('MTRs'!$W$6:$W$505,$L905))</f>
        <v/>
      </c>
      <c r="E905" s="122" t="str">
        <f>IF($L905="","",INDEX('MTRs'!$P$6:$P$505,$L905))</f>
        <v/>
      </c>
      <c r="F905" s="122" t="str">
        <f>IF($L905="","",INDEX('MTRs'!$Q$6:$Q$505,$L905))</f>
        <v/>
      </c>
      <c r="G905" s="122" t="str">
        <f>IF($L905="","",INDEX('MTRs'!$R$6:$R$505,$L905))</f>
        <v/>
      </c>
      <c r="H905" s="130" t="str">
        <f>IF($L905="","",IF(INDEX('MTRs'!$AM$6:$AM$505,$L905)=0,"",N(E905)-N(F905)))</f>
        <v/>
      </c>
      <c r="I905" s="130" t="str">
        <f>IF($L905="","",IF(INDEX('MTRs'!$AM$6:$AM$505,$L905)=0,"",N(F905)-N(G905)))</f>
        <v/>
      </c>
      <c r="J905" s="120" t="str">
        <f>IF($L905="","",INDEX('MTRs'!$S$6:$S$505,$L905)&amp;"")</f>
        <v/>
      </c>
      <c r="L905" t="str">
        <f>IFERROR(MATCH(303,'MTRs'!$BB$6:$BB$505,0),"")</f>
        <v/>
      </c>
    </row>
    <row r="906">
      <c r="B906" s="119" t="str">
        <f>IF($L906="","",INDEX('MTRs'!$A$6:$A$505,$L906)&amp;"")</f>
        <v/>
      </c>
      <c r="C906" s="120" t="str">
        <f>IF($L906="","",INDEX('MTRs'!$B$6:$B$505,$L906)&amp;"")</f>
        <v/>
      </c>
      <c r="D906" s="121" t="str">
        <f>IF($L906="","",INDEX('MTRs'!$W$6:$W$505,$L906))</f>
        <v/>
      </c>
      <c r="E906" s="122" t="str">
        <f>IF($L906="","",INDEX('MTRs'!$P$6:$P$505,$L906))</f>
        <v/>
      </c>
      <c r="F906" s="122" t="str">
        <f>IF($L906="","",INDEX('MTRs'!$Q$6:$Q$505,$L906))</f>
        <v/>
      </c>
      <c r="G906" s="122" t="str">
        <f>IF($L906="","",INDEX('MTRs'!$R$6:$R$505,$L906))</f>
        <v/>
      </c>
      <c r="H906" s="130" t="str">
        <f>IF($L906="","",IF(INDEX('MTRs'!$AM$6:$AM$505,$L906)=0,"",N(E906)-N(F906)))</f>
        <v/>
      </c>
      <c r="I906" s="130" t="str">
        <f>IF($L906="","",IF(INDEX('MTRs'!$AM$6:$AM$505,$L906)=0,"",N(F906)-N(G906)))</f>
        <v/>
      </c>
      <c r="J906" s="120" t="str">
        <f>IF($L906="","",INDEX('MTRs'!$S$6:$S$505,$L906)&amp;"")</f>
        <v/>
      </c>
      <c r="L906" t="str">
        <f>IFERROR(MATCH(304,'MTRs'!$BB$6:$BB$505,0),"")</f>
        <v/>
      </c>
    </row>
    <row r="907">
      <c r="B907" s="119" t="str">
        <f>IF($L907="","",INDEX('MTRs'!$A$6:$A$505,$L907)&amp;"")</f>
        <v/>
      </c>
      <c r="C907" s="120" t="str">
        <f>IF($L907="","",INDEX('MTRs'!$B$6:$B$505,$L907)&amp;"")</f>
        <v/>
      </c>
      <c r="D907" s="121" t="str">
        <f>IF($L907="","",INDEX('MTRs'!$W$6:$W$505,$L907))</f>
        <v/>
      </c>
      <c r="E907" s="122" t="str">
        <f>IF($L907="","",INDEX('MTRs'!$P$6:$P$505,$L907))</f>
        <v/>
      </c>
      <c r="F907" s="122" t="str">
        <f>IF($L907="","",INDEX('MTRs'!$Q$6:$Q$505,$L907))</f>
        <v/>
      </c>
      <c r="G907" s="122" t="str">
        <f>IF($L907="","",INDEX('MTRs'!$R$6:$R$505,$L907))</f>
        <v/>
      </c>
      <c r="H907" s="130" t="str">
        <f>IF($L907="","",IF(INDEX('MTRs'!$AM$6:$AM$505,$L907)=0,"",N(E907)-N(F907)))</f>
        <v/>
      </c>
      <c r="I907" s="130" t="str">
        <f>IF($L907="","",IF(INDEX('MTRs'!$AM$6:$AM$505,$L907)=0,"",N(F907)-N(G907)))</f>
        <v/>
      </c>
      <c r="J907" s="120" t="str">
        <f>IF($L907="","",INDEX('MTRs'!$S$6:$S$505,$L907)&amp;"")</f>
        <v/>
      </c>
      <c r="L907" t="str">
        <f>IFERROR(MATCH(305,'MTRs'!$BB$6:$BB$505,0),"")</f>
        <v/>
      </c>
    </row>
    <row r="908">
      <c r="B908" s="119" t="str">
        <f>IF($L908="","",INDEX('MTRs'!$A$6:$A$505,$L908)&amp;"")</f>
        <v/>
      </c>
      <c r="C908" s="120" t="str">
        <f>IF($L908="","",INDEX('MTRs'!$B$6:$B$505,$L908)&amp;"")</f>
        <v/>
      </c>
      <c r="D908" s="121" t="str">
        <f>IF($L908="","",INDEX('MTRs'!$W$6:$W$505,$L908))</f>
        <v/>
      </c>
      <c r="E908" s="122" t="str">
        <f>IF($L908="","",INDEX('MTRs'!$P$6:$P$505,$L908))</f>
        <v/>
      </c>
      <c r="F908" s="122" t="str">
        <f>IF($L908="","",INDEX('MTRs'!$Q$6:$Q$505,$L908))</f>
        <v/>
      </c>
      <c r="G908" s="122" t="str">
        <f>IF($L908="","",INDEX('MTRs'!$R$6:$R$505,$L908))</f>
        <v/>
      </c>
      <c r="H908" s="130" t="str">
        <f>IF($L908="","",IF(INDEX('MTRs'!$AM$6:$AM$505,$L908)=0,"",N(E908)-N(F908)))</f>
        <v/>
      </c>
      <c r="I908" s="130" t="str">
        <f>IF($L908="","",IF(INDEX('MTRs'!$AM$6:$AM$505,$L908)=0,"",N(F908)-N(G908)))</f>
        <v/>
      </c>
      <c r="J908" s="120" t="str">
        <f>IF($L908="","",INDEX('MTRs'!$S$6:$S$505,$L908)&amp;"")</f>
        <v/>
      </c>
      <c r="L908" t="str">
        <f>IFERROR(MATCH(306,'MTRs'!$BB$6:$BB$505,0),"")</f>
        <v/>
      </c>
    </row>
    <row r="909">
      <c r="B909" s="119" t="str">
        <f>IF($L909="","",INDEX('MTRs'!$A$6:$A$505,$L909)&amp;"")</f>
        <v/>
      </c>
      <c r="C909" s="120" t="str">
        <f>IF($L909="","",INDEX('MTRs'!$B$6:$B$505,$L909)&amp;"")</f>
        <v/>
      </c>
      <c r="D909" s="121" t="str">
        <f>IF($L909="","",INDEX('MTRs'!$W$6:$W$505,$L909))</f>
        <v/>
      </c>
      <c r="E909" s="122" t="str">
        <f>IF($L909="","",INDEX('MTRs'!$P$6:$P$505,$L909))</f>
        <v/>
      </c>
      <c r="F909" s="122" t="str">
        <f>IF($L909="","",INDEX('MTRs'!$Q$6:$Q$505,$L909))</f>
        <v/>
      </c>
      <c r="G909" s="122" t="str">
        <f>IF($L909="","",INDEX('MTRs'!$R$6:$R$505,$L909))</f>
        <v/>
      </c>
      <c r="H909" s="130" t="str">
        <f>IF($L909="","",IF(INDEX('MTRs'!$AM$6:$AM$505,$L909)=0,"",N(E909)-N(F909)))</f>
        <v/>
      </c>
      <c r="I909" s="130" t="str">
        <f>IF($L909="","",IF(INDEX('MTRs'!$AM$6:$AM$505,$L909)=0,"",N(F909)-N(G909)))</f>
        <v/>
      </c>
      <c r="J909" s="120" t="str">
        <f>IF($L909="","",INDEX('MTRs'!$S$6:$S$505,$L909)&amp;"")</f>
        <v/>
      </c>
      <c r="L909" t="str">
        <f>IFERROR(MATCH(307,'MTRs'!$BB$6:$BB$505,0),"")</f>
        <v/>
      </c>
    </row>
    <row r="910">
      <c r="B910" s="119" t="str">
        <f>IF($L910="","",INDEX('MTRs'!$A$6:$A$505,$L910)&amp;"")</f>
        <v/>
      </c>
      <c r="C910" s="120" t="str">
        <f>IF($L910="","",INDEX('MTRs'!$B$6:$B$505,$L910)&amp;"")</f>
        <v/>
      </c>
      <c r="D910" s="121" t="str">
        <f>IF($L910="","",INDEX('MTRs'!$W$6:$W$505,$L910))</f>
        <v/>
      </c>
      <c r="E910" s="122" t="str">
        <f>IF($L910="","",INDEX('MTRs'!$P$6:$P$505,$L910))</f>
        <v/>
      </c>
      <c r="F910" s="122" t="str">
        <f>IF($L910="","",INDEX('MTRs'!$Q$6:$Q$505,$L910))</f>
        <v/>
      </c>
      <c r="G910" s="122" t="str">
        <f>IF($L910="","",INDEX('MTRs'!$R$6:$R$505,$L910))</f>
        <v/>
      </c>
      <c r="H910" s="130" t="str">
        <f>IF($L910="","",IF(INDEX('MTRs'!$AM$6:$AM$505,$L910)=0,"",N(E910)-N(F910)))</f>
        <v/>
      </c>
      <c r="I910" s="130" t="str">
        <f>IF($L910="","",IF(INDEX('MTRs'!$AM$6:$AM$505,$L910)=0,"",N(F910)-N(G910)))</f>
        <v/>
      </c>
      <c r="J910" s="120" t="str">
        <f>IF($L910="","",INDEX('MTRs'!$S$6:$S$505,$L910)&amp;"")</f>
        <v/>
      </c>
      <c r="L910" t="str">
        <f>IFERROR(MATCH(308,'MTRs'!$BB$6:$BB$505,0),"")</f>
        <v/>
      </c>
    </row>
    <row r="911">
      <c r="B911" s="119" t="str">
        <f>IF($L911="","",INDEX('MTRs'!$A$6:$A$505,$L911)&amp;"")</f>
        <v/>
      </c>
      <c r="C911" s="120" t="str">
        <f>IF($L911="","",INDEX('MTRs'!$B$6:$B$505,$L911)&amp;"")</f>
        <v/>
      </c>
      <c r="D911" s="121" t="str">
        <f>IF($L911="","",INDEX('MTRs'!$W$6:$W$505,$L911))</f>
        <v/>
      </c>
      <c r="E911" s="122" t="str">
        <f>IF($L911="","",INDEX('MTRs'!$P$6:$P$505,$L911))</f>
        <v/>
      </c>
      <c r="F911" s="122" t="str">
        <f>IF($L911="","",INDEX('MTRs'!$Q$6:$Q$505,$L911))</f>
        <v/>
      </c>
      <c r="G911" s="122" t="str">
        <f>IF($L911="","",INDEX('MTRs'!$R$6:$R$505,$L911))</f>
        <v/>
      </c>
      <c r="H911" s="130" t="str">
        <f>IF($L911="","",IF(INDEX('MTRs'!$AM$6:$AM$505,$L911)=0,"",N(E911)-N(F911)))</f>
        <v/>
      </c>
      <c r="I911" s="130" t="str">
        <f>IF($L911="","",IF(INDEX('MTRs'!$AM$6:$AM$505,$L911)=0,"",N(F911)-N(G911)))</f>
        <v/>
      </c>
      <c r="J911" s="120" t="str">
        <f>IF($L911="","",INDEX('MTRs'!$S$6:$S$505,$L911)&amp;"")</f>
        <v/>
      </c>
      <c r="L911" t="str">
        <f>IFERROR(MATCH(309,'MTRs'!$BB$6:$BB$505,0),"")</f>
        <v/>
      </c>
    </row>
    <row r="912">
      <c r="B912" s="119" t="str">
        <f>IF($L912="","",INDEX('MTRs'!$A$6:$A$505,$L912)&amp;"")</f>
        <v/>
      </c>
      <c r="C912" s="120" t="str">
        <f>IF($L912="","",INDEX('MTRs'!$B$6:$B$505,$L912)&amp;"")</f>
        <v/>
      </c>
      <c r="D912" s="121" t="str">
        <f>IF($L912="","",INDEX('MTRs'!$W$6:$W$505,$L912))</f>
        <v/>
      </c>
      <c r="E912" s="122" t="str">
        <f>IF($L912="","",INDEX('MTRs'!$P$6:$P$505,$L912))</f>
        <v/>
      </c>
      <c r="F912" s="122" t="str">
        <f>IF($L912="","",INDEX('MTRs'!$Q$6:$Q$505,$L912))</f>
        <v/>
      </c>
      <c r="G912" s="122" t="str">
        <f>IF($L912="","",INDEX('MTRs'!$R$6:$R$505,$L912))</f>
        <v/>
      </c>
      <c r="H912" s="130" t="str">
        <f>IF($L912="","",IF(INDEX('MTRs'!$AM$6:$AM$505,$L912)=0,"",N(E912)-N(F912)))</f>
        <v/>
      </c>
      <c r="I912" s="130" t="str">
        <f>IF($L912="","",IF(INDEX('MTRs'!$AM$6:$AM$505,$L912)=0,"",N(F912)-N(G912)))</f>
        <v/>
      </c>
      <c r="J912" s="120" t="str">
        <f>IF($L912="","",INDEX('MTRs'!$S$6:$S$505,$L912)&amp;"")</f>
        <v/>
      </c>
      <c r="L912" t="str">
        <f>IFERROR(MATCH(310,'MTRs'!$BB$6:$BB$505,0),"")</f>
        <v/>
      </c>
    </row>
    <row r="913">
      <c r="B913" s="119" t="str">
        <f>IF($L913="","",INDEX('MTRs'!$A$6:$A$505,$L913)&amp;"")</f>
        <v/>
      </c>
      <c r="C913" s="120" t="str">
        <f>IF($L913="","",INDEX('MTRs'!$B$6:$B$505,$L913)&amp;"")</f>
        <v/>
      </c>
      <c r="D913" s="121" t="str">
        <f>IF($L913="","",INDEX('MTRs'!$W$6:$W$505,$L913))</f>
        <v/>
      </c>
      <c r="E913" s="122" t="str">
        <f>IF($L913="","",INDEX('MTRs'!$P$6:$P$505,$L913))</f>
        <v/>
      </c>
      <c r="F913" s="122" t="str">
        <f>IF($L913="","",INDEX('MTRs'!$Q$6:$Q$505,$L913))</f>
        <v/>
      </c>
      <c r="G913" s="122" t="str">
        <f>IF($L913="","",INDEX('MTRs'!$R$6:$R$505,$L913))</f>
        <v/>
      </c>
      <c r="H913" s="130" t="str">
        <f>IF($L913="","",IF(INDEX('MTRs'!$AM$6:$AM$505,$L913)=0,"",N(E913)-N(F913)))</f>
        <v/>
      </c>
      <c r="I913" s="130" t="str">
        <f>IF($L913="","",IF(INDEX('MTRs'!$AM$6:$AM$505,$L913)=0,"",N(F913)-N(G913)))</f>
        <v/>
      </c>
      <c r="J913" s="120" t="str">
        <f>IF($L913="","",INDEX('MTRs'!$S$6:$S$505,$L913)&amp;"")</f>
        <v/>
      </c>
      <c r="L913" t="str">
        <f>IFERROR(MATCH(311,'MTRs'!$BB$6:$BB$505,0),"")</f>
        <v/>
      </c>
    </row>
    <row r="914">
      <c r="B914" s="119" t="str">
        <f>IF($L914="","",INDEX('MTRs'!$A$6:$A$505,$L914)&amp;"")</f>
        <v/>
      </c>
      <c r="C914" s="120" t="str">
        <f>IF($L914="","",INDEX('MTRs'!$B$6:$B$505,$L914)&amp;"")</f>
        <v/>
      </c>
      <c r="D914" s="121" t="str">
        <f>IF($L914="","",INDEX('MTRs'!$W$6:$W$505,$L914))</f>
        <v/>
      </c>
      <c r="E914" s="122" t="str">
        <f>IF($L914="","",INDEX('MTRs'!$P$6:$P$505,$L914))</f>
        <v/>
      </c>
      <c r="F914" s="122" t="str">
        <f>IF($L914="","",INDEX('MTRs'!$Q$6:$Q$505,$L914))</f>
        <v/>
      </c>
      <c r="G914" s="122" t="str">
        <f>IF($L914="","",INDEX('MTRs'!$R$6:$R$505,$L914))</f>
        <v/>
      </c>
      <c r="H914" s="130" t="str">
        <f>IF($L914="","",IF(INDEX('MTRs'!$AM$6:$AM$505,$L914)=0,"",N(E914)-N(F914)))</f>
        <v/>
      </c>
      <c r="I914" s="130" t="str">
        <f>IF($L914="","",IF(INDEX('MTRs'!$AM$6:$AM$505,$L914)=0,"",N(F914)-N(G914)))</f>
        <v/>
      </c>
      <c r="J914" s="120" t="str">
        <f>IF($L914="","",INDEX('MTRs'!$S$6:$S$505,$L914)&amp;"")</f>
        <v/>
      </c>
      <c r="L914" t="str">
        <f>IFERROR(MATCH(312,'MTRs'!$BB$6:$BB$505,0),"")</f>
        <v/>
      </c>
    </row>
    <row r="915">
      <c r="B915" s="119" t="str">
        <f>IF($L915="","",INDEX('MTRs'!$A$6:$A$505,$L915)&amp;"")</f>
        <v/>
      </c>
      <c r="C915" s="120" t="str">
        <f>IF($L915="","",INDEX('MTRs'!$B$6:$B$505,$L915)&amp;"")</f>
        <v/>
      </c>
      <c r="D915" s="121" t="str">
        <f>IF($L915="","",INDEX('MTRs'!$W$6:$W$505,$L915))</f>
        <v/>
      </c>
      <c r="E915" s="122" t="str">
        <f>IF($L915="","",INDEX('MTRs'!$P$6:$P$505,$L915))</f>
        <v/>
      </c>
      <c r="F915" s="122" t="str">
        <f>IF($L915="","",INDEX('MTRs'!$Q$6:$Q$505,$L915))</f>
        <v/>
      </c>
      <c r="G915" s="122" t="str">
        <f>IF($L915="","",INDEX('MTRs'!$R$6:$R$505,$L915))</f>
        <v/>
      </c>
      <c r="H915" s="130" t="str">
        <f>IF($L915="","",IF(INDEX('MTRs'!$AM$6:$AM$505,$L915)=0,"",N(E915)-N(F915)))</f>
        <v/>
      </c>
      <c r="I915" s="130" t="str">
        <f>IF($L915="","",IF(INDEX('MTRs'!$AM$6:$AM$505,$L915)=0,"",N(F915)-N(G915)))</f>
        <v/>
      </c>
      <c r="J915" s="120" t="str">
        <f>IF($L915="","",INDEX('MTRs'!$S$6:$S$505,$L915)&amp;"")</f>
        <v/>
      </c>
      <c r="L915" t="str">
        <f>IFERROR(MATCH(313,'MTRs'!$BB$6:$BB$505,0),"")</f>
        <v/>
      </c>
    </row>
    <row r="916">
      <c r="B916" s="119" t="str">
        <f>IF($L916="","",INDEX('MTRs'!$A$6:$A$505,$L916)&amp;"")</f>
        <v/>
      </c>
      <c r="C916" s="120" t="str">
        <f>IF($L916="","",INDEX('MTRs'!$B$6:$B$505,$L916)&amp;"")</f>
        <v/>
      </c>
      <c r="D916" s="121" t="str">
        <f>IF($L916="","",INDEX('MTRs'!$W$6:$W$505,$L916))</f>
        <v/>
      </c>
      <c r="E916" s="122" t="str">
        <f>IF($L916="","",INDEX('MTRs'!$P$6:$P$505,$L916))</f>
        <v/>
      </c>
      <c r="F916" s="122" t="str">
        <f>IF($L916="","",INDEX('MTRs'!$Q$6:$Q$505,$L916))</f>
        <v/>
      </c>
      <c r="G916" s="122" t="str">
        <f>IF($L916="","",INDEX('MTRs'!$R$6:$R$505,$L916))</f>
        <v/>
      </c>
      <c r="H916" s="130" t="str">
        <f>IF($L916="","",IF(INDEX('MTRs'!$AM$6:$AM$505,$L916)=0,"",N(E916)-N(F916)))</f>
        <v/>
      </c>
      <c r="I916" s="130" t="str">
        <f>IF($L916="","",IF(INDEX('MTRs'!$AM$6:$AM$505,$L916)=0,"",N(F916)-N(G916)))</f>
        <v/>
      </c>
      <c r="J916" s="120" t="str">
        <f>IF($L916="","",INDEX('MTRs'!$S$6:$S$505,$L916)&amp;"")</f>
        <v/>
      </c>
      <c r="L916" t="str">
        <f>IFERROR(MATCH(314,'MTRs'!$BB$6:$BB$505,0),"")</f>
        <v/>
      </c>
    </row>
    <row r="917">
      <c r="B917" s="119" t="str">
        <f>IF($L917="","",INDEX('MTRs'!$A$6:$A$505,$L917)&amp;"")</f>
        <v/>
      </c>
      <c r="C917" s="120" t="str">
        <f>IF($L917="","",INDEX('MTRs'!$B$6:$B$505,$L917)&amp;"")</f>
        <v/>
      </c>
      <c r="D917" s="121" t="str">
        <f>IF($L917="","",INDEX('MTRs'!$W$6:$W$505,$L917))</f>
        <v/>
      </c>
      <c r="E917" s="122" t="str">
        <f>IF($L917="","",INDEX('MTRs'!$P$6:$P$505,$L917))</f>
        <v/>
      </c>
      <c r="F917" s="122" t="str">
        <f>IF($L917="","",INDEX('MTRs'!$Q$6:$Q$505,$L917))</f>
        <v/>
      </c>
      <c r="G917" s="122" t="str">
        <f>IF($L917="","",INDEX('MTRs'!$R$6:$R$505,$L917))</f>
        <v/>
      </c>
      <c r="H917" s="130" t="str">
        <f>IF($L917="","",IF(INDEX('MTRs'!$AM$6:$AM$505,$L917)=0,"",N(E917)-N(F917)))</f>
        <v/>
      </c>
      <c r="I917" s="130" t="str">
        <f>IF($L917="","",IF(INDEX('MTRs'!$AM$6:$AM$505,$L917)=0,"",N(F917)-N(G917)))</f>
        <v/>
      </c>
      <c r="J917" s="120" t="str">
        <f>IF($L917="","",INDEX('MTRs'!$S$6:$S$505,$L917)&amp;"")</f>
        <v/>
      </c>
      <c r="L917" t="str">
        <f>IFERROR(MATCH(315,'MTRs'!$BB$6:$BB$505,0),"")</f>
        <v/>
      </c>
    </row>
    <row r="918">
      <c r="B918" s="119" t="str">
        <f>IF($L918="","",INDEX('MTRs'!$A$6:$A$505,$L918)&amp;"")</f>
        <v/>
      </c>
      <c r="C918" s="120" t="str">
        <f>IF($L918="","",INDEX('MTRs'!$B$6:$B$505,$L918)&amp;"")</f>
        <v/>
      </c>
      <c r="D918" s="121" t="str">
        <f>IF($L918="","",INDEX('MTRs'!$W$6:$W$505,$L918))</f>
        <v/>
      </c>
      <c r="E918" s="122" t="str">
        <f>IF($L918="","",INDEX('MTRs'!$P$6:$P$505,$L918))</f>
        <v/>
      </c>
      <c r="F918" s="122" t="str">
        <f>IF($L918="","",INDEX('MTRs'!$Q$6:$Q$505,$L918))</f>
        <v/>
      </c>
      <c r="G918" s="122" t="str">
        <f>IF($L918="","",INDEX('MTRs'!$R$6:$R$505,$L918))</f>
        <v/>
      </c>
      <c r="H918" s="130" t="str">
        <f>IF($L918="","",IF(INDEX('MTRs'!$AM$6:$AM$505,$L918)=0,"",N(E918)-N(F918)))</f>
        <v/>
      </c>
      <c r="I918" s="130" t="str">
        <f>IF($L918="","",IF(INDEX('MTRs'!$AM$6:$AM$505,$L918)=0,"",N(F918)-N(G918)))</f>
        <v/>
      </c>
      <c r="J918" s="120" t="str">
        <f>IF($L918="","",INDEX('MTRs'!$S$6:$S$505,$L918)&amp;"")</f>
        <v/>
      </c>
      <c r="L918" t="str">
        <f>IFERROR(MATCH(316,'MTRs'!$BB$6:$BB$505,0),"")</f>
        <v/>
      </c>
    </row>
    <row r="919">
      <c r="B919" s="119" t="str">
        <f>IF($L919="","",INDEX('MTRs'!$A$6:$A$505,$L919)&amp;"")</f>
        <v/>
      </c>
      <c r="C919" s="120" t="str">
        <f>IF($L919="","",INDEX('MTRs'!$B$6:$B$505,$L919)&amp;"")</f>
        <v/>
      </c>
      <c r="D919" s="121" t="str">
        <f>IF($L919="","",INDEX('MTRs'!$W$6:$W$505,$L919))</f>
        <v/>
      </c>
      <c r="E919" s="122" t="str">
        <f>IF($L919="","",INDEX('MTRs'!$P$6:$P$505,$L919))</f>
        <v/>
      </c>
      <c r="F919" s="122" t="str">
        <f>IF($L919="","",INDEX('MTRs'!$Q$6:$Q$505,$L919))</f>
        <v/>
      </c>
      <c r="G919" s="122" t="str">
        <f>IF($L919="","",INDEX('MTRs'!$R$6:$R$505,$L919))</f>
        <v/>
      </c>
      <c r="H919" s="130" t="str">
        <f>IF($L919="","",IF(INDEX('MTRs'!$AM$6:$AM$505,$L919)=0,"",N(E919)-N(F919)))</f>
        <v/>
      </c>
      <c r="I919" s="130" t="str">
        <f>IF($L919="","",IF(INDEX('MTRs'!$AM$6:$AM$505,$L919)=0,"",N(F919)-N(G919)))</f>
        <v/>
      </c>
      <c r="J919" s="120" t="str">
        <f>IF($L919="","",INDEX('MTRs'!$S$6:$S$505,$L919)&amp;"")</f>
        <v/>
      </c>
      <c r="L919" t="str">
        <f>IFERROR(MATCH(317,'MTRs'!$BB$6:$BB$505,0),"")</f>
        <v/>
      </c>
    </row>
    <row r="920">
      <c r="B920" s="119" t="str">
        <f>IF($L920="","",INDEX('MTRs'!$A$6:$A$505,$L920)&amp;"")</f>
        <v/>
      </c>
      <c r="C920" s="120" t="str">
        <f>IF($L920="","",INDEX('MTRs'!$B$6:$B$505,$L920)&amp;"")</f>
        <v/>
      </c>
      <c r="D920" s="121" t="str">
        <f>IF($L920="","",INDEX('MTRs'!$W$6:$W$505,$L920))</f>
        <v/>
      </c>
      <c r="E920" s="122" t="str">
        <f>IF($L920="","",INDEX('MTRs'!$P$6:$P$505,$L920))</f>
        <v/>
      </c>
      <c r="F920" s="122" t="str">
        <f>IF($L920="","",INDEX('MTRs'!$Q$6:$Q$505,$L920))</f>
        <v/>
      </c>
      <c r="G920" s="122" t="str">
        <f>IF($L920="","",INDEX('MTRs'!$R$6:$R$505,$L920))</f>
        <v/>
      </c>
      <c r="H920" s="130" t="str">
        <f>IF($L920="","",IF(INDEX('MTRs'!$AM$6:$AM$505,$L920)=0,"",N(E920)-N(F920)))</f>
        <v/>
      </c>
      <c r="I920" s="130" t="str">
        <f>IF($L920="","",IF(INDEX('MTRs'!$AM$6:$AM$505,$L920)=0,"",N(F920)-N(G920)))</f>
        <v/>
      </c>
      <c r="J920" s="120" t="str">
        <f>IF($L920="","",INDEX('MTRs'!$S$6:$S$505,$L920)&amp;"")</f>
        <v/>
      </c>
      <c r="L920" t="str">
        <f>IFERROR(MATCH(318,'MTRs'!$BB$6:$BB$505,0),"")</f>
        <v/>
      </c>
    </row>
    <row r="921">
      <c r="B921" s="119" t="str">
        <f>IF($L921="","",INDEX('MTRs'!$A$6:$A$505,$L921)&amp;"")</f>
        <v/>
      </c>
      <c r="C921" s="120" t="str">
        <f>IF($L921="","",INDEX('MTRs'!$B$6:$B$505,$L921)&amp;"")</f>
        <v/>
      </c>
      <c r="D921" s="121" t="str">
        <f>IF($L921="","",INDEX('MTRs'!$W$6:$W$505,$L921))</f>
        <v/>
      </c>
      <c r="E921" s="122" t="str">
        <f>IF($L921="","",INDEX('MTRs'!$P$6:$P$505,$L921))</f>
        <v/>
      </c>
      <c r="F921" s="122" t="str">
        <f>IF($L921="","",INDEX('MTRs'!$Q$6:$Q$505,$L921))</f>
        <v/>
      </c>
      <c r="G921" s="122" t="str">
        <f>IF($L921="","",INDEX('MTRs'!$R$6:$R$505,$L921))</f>
        <v/>
      </c>
      <c r="H921" s="130" t="str">
        <f>IF($L921="","",IF(INDEX('MTRs'!$AM$6:$AM$505,$L921)=0,"",N(E921)-N(F921)))</f>
        <v/>
      </c>
      <c r="I921" s="130" t="str">
        <f>IF($L921="","",IF(INDEX('MTRs'!$AM$6:$AM$505,$L921)=0,"",N(F921)-N(G921)))</f>
        <v/>
      </c>
      <c r="J921" s="120" t="str">
        <f>IF($L921="","",INDEX('MTRs'!$S$6:$S$505,$L921)&amp;"")</f>
        <v/>
      </c>
      <c r="L921" t="str">
        <f>IFERROR(MATCH(319,'MTRs'!$BB$6:$BB$505,0),"")</f>
        <v/>
      </c>
    </row>
    <row r="922">
      <c r="B922" s="119" t="str">
        <f>IF($L922="","",INDEX('MTRs'!$A$6:$A$505,$L922)&amp;"")</f>
        <v/>
      </c>
      <c r="C922" s="120" t="str">
        <f>IF($L922="","",INDEX('MTRs'!$B$6:$B$505,$L922)&amp;"")</f>
        <v/>
      </c>
      <c r="D922" s="121" t="str">
        <f>IF($L922="","",INDEX('MTRs'!$W$6:$W$505,$L922))</f>
        <v/>
      </c>
      <c r="E922" s="122" t="str">
        <f>IF($L922="","",INDEX('MTRs'!$P$6:$P$505,$L922))</f>
        <v/>
      </c>
      <c r="F922" s="122" t="str">
        <f>IF($L922="","",INDEX('MTRs'!$Q$6:$Q$505,$L922))</f>
        <v/>
      </c>
      <c r="G922" s="122" t="str">
        <f>IF($L922="","",INDEX('MTRs'!$R$6:$R$505,$L922))</f>
        <v/>
      </c>
      <c r="H922" s="130" t="str">
        <f>IF($L922="","",IF(INDEX('MTRs'!$AM$6:$AM$505,$L922)=0,"",N(E922)-N(F922)))</f>
        <v/>
      </c>
      <c r="I922" s="130" t="str">
        <f>IF($L922="","",IF(INDEX('MTRs'!$AM$6:$AM$505,$L922)=0,"",N(F922)-N(G922)))</f>
        <v/>
      </c>
      <c r="J922" s="120" t="str">
        <f>IF($L922="","",INDEX('MTRs'!$S$6:$S$505,$L922)&amp;"")</f>
        <v/>
      </c>
      <c r="L922" t="str">
        <f>IFERROR(MATCH(320,'MTRs'!$BB$6:$BB$505,0),"")</f>
        <v/>
      </c>
    </row>
    <row r="923">
      <c r="B923" s="119" t="str">
        <f>IF($L923="","",INDEX('MTRs'!$A$6:$A$505,$L923)&amp;"")</f>
        <v/>
      </c>
      <c r="C923" s="120" t="str">
        <f>IF($L923="","",INDEX('MTRs'!$B$6:$B$505,$L923)&amp;"")</f>
        <v/>
      </c>
      <c r="D923" s="121" t="str">
        <f>IF($L923="","",INDEX('MTRs'!$W$6:$W$505,$L923))</f>
        <v/>
      </c>
      <c r="E923" s="122" t="str">
        <f>IF($L923="","",INDEX('MTRs'!$P$6:$P$505,$L923))</f>
        <v/>
      </c>
      <c r="F923" s="122" t="str">
        <f>IF($L923="","",INDEX('MTRs'!$Q$6:$Q$505,$L923))</f>
        <v/>
      </c>
      <c r="G923" s="122" t="str">
        <f>IF($L923="","",INDEX('MTRs'!$R$6:$R$505,$L923))</f>
        <v/>
      </c>
      <c r="H923" s="130" t="str">
        <f>IF($L923="","",IF(INDEX('MTRs'!$AM$6:$AM$505,$L923)=0,"",N(E923)-N(F923)))</f>
        <v/>
      </c>
      <c r="I923" s="130" t="str">
        <f>IF($L923="","",IF(INDEX('MTRs'!$AM$6:$AM$505,$L923)=0,"",N(F923)-N(G923)))</f>
        <v/>
      </c>
      <c r="J923" s="120" t="str">
        <f>IF($L923="","",INDEX('MTRs'!$S$6:$S$505,$L923)&amp;"")</f>
        <v/>
      </c>
      <c r="L923" t="str">
        <f>IFERROR(MATCH(321,'MTRs'!$BB$6:$BB$505,0),"")</f>
        <v/>
      </c>
    </row>
    <row r="924">
      <c r="B924" s="119" t="str">
        <f>IF($L924="","",INDEX('MTRs'!$A$6:$A$505,$L924)&amp;"")</f>
        <v/>
      </c>
      <c r="C924" s="120" t="str">
        <f>IF($L924="","",INDEX('MTRs'!$B$6:$B$505,$L924)&amp;"")</f>
        <v/>
      </c>
      <c r="D924" s="121" t="str">
        <f>IF($L924="","",INDEX('MTRs'!$W$6:$W$505,$L924))</f>
        <v/>
      </c>
      <c r="E924" s="122" t="str">
        <f>IF($L924="","",INDEX('MTRs'!$P$6:$P$505,$L924))</f>
        <v/>
      </c>
      <c r="F924" s="122" t="str">
        <f>IF($L924="","",INDEX('MTRs'!$Q$6:$Q$505,$L924))</f>
        <v/>
      </c>
      <c r="G924" s="122" t="str">
        <f>IF($L924="","",INDEX('MTRs'!$R$6:$R$505,$L924))</f>
        <v/>
      </c>
      <c r="H924" s="130" t="str">
        <f>IF($L924="","",IF(INDEX('MTRs'!$AM$6:$AM$505,$L924)=0,"",N(E924)-N(F924)))</f>
        <v/>
      </c>
      <c r="I924" s="130" t="str">
        <f>IF($L924="","",IF(INDEX('MTRs'!$AM$6:$AM$505,$L924)=0,"",N(F924)-N(G924)))</f>
        <v/>
      </c>
      <c r="J924" s="120" t="str">
        <f>IF($L924="","",INDEX('MTRs'!$S$6:$S$505,$L924)&amp;"")</f>
        <v/>
      </c>
      <c r="L924" t="str">
        <f>IFERROR(MATCH(322,'MTRs'!$BB$6:$BB$505,0),"")</f>
        <v/>
      </c>
    </row>
    <row r="925">
      <c r="B925" s="119" t="str">
        <f>IF($L925="","",INDEX('MTRs'!$A$6:$A$505,$L925)&amp;"")</f>
        <v/>
      </c>
      <c r="C925" s="120" t="str">
        <f>IF($L925="","",INDEX('MTRs'!$B$6:$B$505,$L925)&amp;"")</f>
        <v/>
      </c>
      <c r="D925" s="121" t="str">
        <f>IF($L925="","",INDEX('MTRs'!$W$6:$W$505,$L925))</f>
        <v/>
      </c>
      <c r="E925" s="122" t="str">
        <f>IF($L925="","",INDEX('MTRs'!$P$6:$P$505,$L925))</f>
        <v/>
      </c>
      <c r="F925" s="122" t="str">
        <f>IF($L925="","",INDEX('MTRs'!$Q$6:$Q$505,$L925))</f>
        <v/>
      </c>
      <c r="G925" s="122" t="str">
        <f>IF($L925="","",INDEX('MTRs'!$R$6:$R$505,$L925))</f>
        <v/>
      </c>
      <c r="H925" s="130" t="str">
        <f>IF($L925="","",IF(INDEX('MTRs'!$AM$6:$AM$505,$L925)=0,"",N(E925)-N(F925)))</f>
        <v/>
      </c>
      <c r="I925" s="130" t="str">
        <f>IF($L925="","",IF(INDEX('MTRs'!$AM$6:$AM$505,$L925)=0,"",N(F925)-N(G925)))</f>
        <v/>
      </c>
      <c r="J925" s="120" t="str">
        <f>IF($L925="","",INDEX('MTRs'!$S$6:$S$505,$L925)&amp;"")</f>
        <v/>
      </c>
      <c r="L925" t="str">
        <f>IFERROR(MATCH(323,'MTRs'!$BB$6:$BB$505,0),"")</f>
        <v/>
      </c>
    </row>
    <row r="926">
      <c r="B926" s="119" t="str">
        <f>IF($L926="","",INDEX('MTRs'!$A$6:$A$505,$L926)&amp;"")</f>
        <v/>
      </c>
      <c r="C926" s="120" t="str">
        <f>IF($L926="","",INDEX('MTRs'!$B$6:$B$505,$L926)&amp;"")</f>
        <v/>
      </c>
      <c r="D926" s="121" t="str">
        <f>IF($L926="","",INDEX('MTRs'!$W$6:$W$505,$L926))</f>
        <v/>
      </c>
      <c r="E926" s="122" t="str">
        <f>IF($L926="","",INDEX('MTRs'!$P$6:$P$505,$L926))</f>
        <v/>
      </c>
      <c r="F926" s="122" t="str">
        <f>IF($L926="","",INDEX('MTRs'!$Q$6:$Q$505,$L926))</f>
        <v/>
      </c>
      <c r="G926" s="122" t="str">
        <f>IF($L926="","",INDEX('MTRs'!$R$6:$R$505,$L926))</f>
        <v/>
      </c>
      <c r="H926" s="130" t="str">
        <f>IF($L926="","",IF(INDEX('MTRs'!$AM$6:$AM$505,$L926)=0,"",N(E926)-N(F926)))</f>
        <v/>
      </c>
      <c r="I926" s="130" t="str">
        <f>IF($L926="","",IF(INDEX('MTRs'!$AM$6:$AM$505,$L926)=0,"",N(F926)-N(G926)))</f>
        <v/>
      </c>
      <c r="J926" s="120" t="str">
        <f>IF($L926="","",INDEX('MTRs'!$S$6:$S$505,$L926)&amp;"")</f>
        <v/>
      </c>
      <c r="L926" t="str">
        <f>IFERROR(MATCH(324,'MTRs'!$BB$6:$BB$505,0),"")</f>
        <v/>
      </c>
    </row>
    <row r="927">
      <c r="B927" s="119" t="str">
        <f>IF($L927="","",INDEX('MTRs'!$A$6:$A$505,$L927)&amp;"")</f>
        <v/>
      </c>
      <c r="C927" s="120" t="str">
        <f>IF($L927="","",INDEX('MTRs'!$B$6:$B$505,$L927)&amp;"")</f>
        <v/>
      </c>
      <c r="D927" s="121" t="str">
        <f>IF($L927="","",INDEX('MTRs'!$W$6:$W$505,$L927))</f>
        <v/>
      </c>
      <c r="E927" s="122" t="str">
        <f>IF($L927="","",INDEX('MTRs'!$P$6:$P$505,$L927))</f>
        <v/>
      </c>
      <c r="F927" s="122" t="str">
        <f>IF($L927="","",INDEX('MTRs'!$Q$6:$Q$505,$L927))</f>
        <v/>
      </c>
      <c r="G927" s="122" t="str">
        <f>IF($L927="","",INDEX('MTRs'!$R$6:$R$505,$L927))</f>
        <v/>
      </c>
      <c r="H927" s="130" t="str">
        <f>IF($L927="","",IF(INDEX('MTRs'!$AM$6:$AM$505,$L927)=0,"",N(E927)-N(F927)))</f>
        <v/>
      </c>
      <c r="I927" s="130" t="str">
        <f>IF($L927="","",IF(INDEX('MTRs'!$AM$6:$AM$505,$L927)=0,"",N(F927)-N(G927)))</f>
        <v/>
      </c>
      <c r="J927" s="120" t="str">
        <f>IF($L927="","",INDEX('MTRs'!$S$6:$S$505,$L927)&amp;"")</f>
        <v/>
      </c>
      <c r="L927" t="str">
        <f>IFERROR(MATCH(325,'MTRs'!$BB$6:$BB$505,0),"")</f>
        <v/>
      </c>
    </row>
    <row r="928">
      <c r="B928" s="119" t="str">
        <f>IF($L928="","",INDEX('MTRs'!$A$6:$A$505,$L928)&amp;"")</f>
        <v/>
      </c>
      <c r="C928" s="120" t="str">
        <f>IF($L928="","",INDEX('MTRs'!$B$6:$B$505,$L928)&amp;"")</f>
        <v/>
      </c>
      <c r="D928" s="121" t="str">
        <f>IF($L928="","",INDEX('MTRs'!$W$6:$W$505,$L928))</f>
        <v/>
      </c>
      <c r="E928" s="122" t="str">
        <f>IF($L928="","",INDEX('MTRs'!$P$6:$P$505,$L928))</f>
        <v/>
      </c>
      <c r="F928" s="122" t="str">
        <f>IF($L928="","",INDEX('MTRs'!$Q$6:$Q$505,$L928))</f>
        <v/>
      </c>
      <c r="G928" s="122" t="str">
        <f>IF($L928="","",INDEX('MTRs'!$R$6:$R$505,$L928))</f>
        <v/>
      </c>
      <c r="H928" s="130" t="str">
        <f>IF($L928="","",IF(INDEX('MTRs'!$AM$6:$AM$505,$L928)=0,"",N(E928)-N(F928)))</f>
        <v/>
      </c>
      <c r="I928" s="130" t="str">
        <f>IF($L928="","",IF(INDEX('MTRs'!$AM$6:$AM$505,$L928)=0,"",N(F928)-N(G928)))</f>
        <v/>
      </c>
      <c r="J928" s="120" t="str">
        <f>IF($L928="","",INDEX('MTRs'!$S$6:$S$505,$L928)&amp;"")</f>
        <v/>
      </c>
      <c r="L928" t="str">
        <f>IFERROR(MATCH(326,'MTRs'!$BB$6:$BB$505,0),"")</f>
        <v/>
      </c>
    </row>
    <row r="929">
      <c r="B929" s="119" t="str">
        <f>IF($L929="","",INDEX('MTRs'!$A$6:$A$505,$L929)&amp;"")</f>
        <v/>
      </c>
      <c r="C929" s="120" t="str">
        <f>IF($L929="","",INDEX('MTRs'!$B$6:$B$505,$L929)&amp;"")</f>
        <v/>
      </c>
      <c r="D929" s="121" t="str">
        <f>IF($L929="","",INDEX('MTRs'!$W$6:$W$505,$L929))</f>
        <v/>
      </c>
      <c r="E929" s="122" t="str">
        <f>IF($L929="","",INDEX('MTRs'!$P$6:$P$505,$L929))</f>
        <v/>
      </c>
      <c r="F929" s="122" t="str">
        <f>IF($L929="","",INDEX('MTRs'!$Q$6:$Q$505,$L929))</f>
        <v/>
      </c>
      <c r="G929" s="122" t="str">
        <f>IF($L929="","",INDEX('MTRs'!$R$6:$R$505,$L929))</f>
        <v/>
      </c>
      <c r="H929" s="130" t="str">
        <f>IF($L929="","",IF(INDEX('MTRs'!$AM$6:$AM$505,$L929)=0,"",N(E929)-N(F929)))</f>
        <v/>
      </c>
      <c r="I929" s="130" t="str">
        <f>IF($L929="","",IF(INDEX('MTRs'!$AM$6:$AM$505,$L929)=0,"",N(F929)-N(G929)))</f>
        <v/>
      </c>
      <c r="J929" s="120" t="str">
        <f>IF($L929="","",INDEX('MTRs'!$S$6:$S$505,$L929)&amp;"")</f>
        <v/>
      </c>
      <c r="L929" t="str">
        <f>IFERROR(MATCH(327,'MTRs'!$BB$6:$BB$505,0),"")</f>
        <v/>
      </c>
    </row>
    <row r="930">
      <c r="B930" s="119" t="str">
        <f>IF($L930="","",INDEX('MTRs'!$A$6:$A$505,$L930)&amp;"")</f>
        <v/>
      </c>
      <c r="C930" s="120" t="str">
        <f>IF($L930="","",INDEX('MTRs'!$B$6:$B$505,$L930)&amp;"")</f>
        <v/>
      </c>
      <c r="D930" s="121" t="str">
        <f>IF($L930="","",INDEX('MTRs'!$W$6:$W$505,$L930))</f>
        <v/>
      </c>
      <c r="E930" s="122" t="str">
        <f>IF($L930="","",INDEX('MTRs'!$P$6:$P$505,$L930))</f>
        <v/>
      </c>
      <c r="F930" s="122" t="str">
        <f>IF($L930="","",INDEX('MTRs'!$Q$6:$Q$505,$L930))</f>
        <v/>
      </c>
      <c r="G930" s="122" t="str">
        <f>IF($L930="","",INDEX('MTRs'!$R$6:$R$505,$L930))</f>
        <v/>
      </c>
      <c r="H930" s="130" t="str">
        <f>IF($L930="","",IF(INDEX('MTRs'!$AM$6:$AM$505,$L930)=0,"",N(E930)-N(F930)))</f>
        <v/>
      </c>
      <c r="I930" s="130" t="str">
        <f>IF($L930="","",IF(INDEX('MTRs'!$AM$6:$AM$505,$L930)=0,"",N(F930)-N(G930)))</f>
        <v/>
      </c>
      <c r="J930" s="120" t="str">
        <f>IF($L930="","",INDEX('MTRs'!$S$6:$S$505,$L930)&amp;"")</f>
        <v/>
      </c>
      <c r="L930" t="str">
        <f>IFERROR(MATCH(328,'MTRs'!$BB$6:$BB$505,0),"")</f>
        <v/>
      </c>
    </row>
    <row r="931">
      <c r="B931" s="119" t="str">
        <f>IF($L931="","",INDEX('MTRs'!$A$6:$A$505,$L931)&amp;"")</f>
        <v/>
      </c>
      <c r="C931" s="120" t="str">
        <f>IF($L931="","",INDEX('MTRs'!$B$6:$B$505,$L931)&amp;"")</f>
        <v/>
      </c>
      <c r="D931" s="121" t="str">
        <f>IF($L931="","",INDEX('MTRs'!$W$6:$W$505,$L931))</f>
        <v/>
      </c>
      <c r="E931" s="122" t="str">
        <f>IF($L931="","",INDEX('MTRs'!$P$6:$P$505,$L931))</f>
        <v/>
      </c>
      <c r="F931" s="122" t="str">
        <f>IF($L931="","",INDEX('MTRs'!$Q$6:$Q$505,$L931))</f>
        <v/>
      </c>
      <c r="G931" s="122" t="str">
        <f>IF($L931="","",INDEX('MTRs'!$R$6:$R$505,$L931))</f>
        <v/>
      </c>
      <c r="H931" s="130" t="str">
        <f>IF($L931="","",IF(INDEX('MTRs'!$AM$6:$AM$505,$L931)=0,"",N(E931)-N(F931)))</f>
        <v/>
      </c>
      <c r="I931" s="130" t="str">
        <f>IF($L931="","",IF(INDEX('MTRs'!$AM$6:$AM$505,$L931)=0,"",N(F931)-N(G931)))</f>
        <v/>
      </c>
      <c r="J931" s="120" t="str">
        <f>IF($L931="","",INDEX('MTRs'!$S$6:$S$505,$L931)&amp;"")</f>
        <v/>
      </c>
      <c r="L931" t="str">
        <f>IFERROR(MATCH(329,'MTRs'!$BB$6:$BB$505,0),"")</f>
        <v/>
      </c>
    </row>
    <row r="932">
      <c r="B932" s="119" t="str">
        <f>IF($L932="","",INDEX('MTRs'!$A$6:$A$505,$L932)&amp;"")</f>
        <v/>
      </c>
      <c r="C932" s="120" t="str">
        <f>IF($L932="","",INDEX('MTRs'!$B$6:$B$505,$L932)&amp;"")</f>
        <v/>
      </c>
      <c r="D932" s="121" t="str">
        <f>IF($L932="","",INDEX('MTRs'!$W$6:$W$505,$L932))</f>
        <v/>
      </c>
      <c r="E932" s="122" t="str">
        <f>IF($L932="","",INDEX('MTRs'!$P$6:$P$505,$L932))</f>
        <v/>
      </c>
      <c r="F932" s="122" t="str">
        <f>IF($L932="","",INDEX('MTRs'!$Q$6:$Q$505,$L932))</f>
        <v/>
      </c>
      <c r="G932" s="122" t="str">
        <f>IF($L932="","",INDEX('MTRs'!$R$6:$R$505,$L932))</f>
        <v/>
      </c>
      <c r="H932" s="130" t="str">
        <f>IF($L932="","",IF(INDEX('MTRs'!$AM$6:$AM$505,$L932)=0,"",N(E932)-N(F932)))</f>
        <v/>
      </c>
      <c r="I932" s="130" t="str">
        <f>IF($L932="","",IF(INDEX('MTRs'!$AM$6:$AM$505,$L932)=0,"",N(F932)-N(G932)))</f>
        <v/>
      </c>
      <c r="J932" s="120" t="str">
        <f>IF($L932="","",INDEX('MTRs'!$S$6:$S$505,$L932)&amp;"")</f>
        <v/>
      </c>
      <c r="L932" t="str">
        <f>IFERROR(MATCH(330,'MTRs'!$BB$6:$BB$505,0),"")</f>
        <v/>
      </c>
    </row>
    <row r="933">
      <c r="B933" s="119" t="str">
        <f>IF($L933="","",INDEX('MTRs'!$A$6:$A$505,$L933)&amp;"")</f>
        <v/>
      </c>
      <c r="C933" s="120" t="str">
        <f>IF($L933="","",INDEX('MTRs'!$B$6:$B$505,$L933)&amp;"")</f>
        <v/>
      </c>
      <c r="D933" s="121" t="str">
        <f>IF($L933="","",INDEX('MTRs'!$W$6:$W$505,$L933))</f>
        <v/>
      </c>
      <c r="E933" s="122" t="str">
        <f>IF($L933="","",INDEX('MTRs'!$P$6:$P$505,$L933))</f>
        <v/>
      </c>
      <c r="F933" s="122" t="str">
        <f>IF($L933="","",INDEX('MTRs'!$Q$6:$Q$505,$L933))</f>
        <v/>
      </c>
      <c r="G933" s="122" t="str">
        <f>IF($L933="","",INDEX('MTRs'!$R$6:$R$505,$L933))</f>
        <v/>
      </c>
      <c r="H933" s="130" t="str">
        <f>IF($L933="","",IF(INDEX('MTRs'!$AM$6:$AM$505,$L933)=0,"",N(E933)-N(F933)))</f>
        <v/>
      </c>
      <c r="I933" s="130" t="str">
        <f>IF($L933="","",IF(INDEX('MTRs'!$AM$6:$AM$505,$L933)=0,"",N(F933)-N(G933)))</f>
        <v/>
      </c>
      <c r="J933" s="120" t="str">
        <f>IF($L933="","",INDEX('MTRs'!$S$6:$S$505,$L933)&amp;"")</f>
        <v/>
      </c>
      <c r="L933" t="str">
        <f>IFERROR(MATCH(331,'MTRs'!$BB$6:$BB$505,0),"")</f>
        <v/>
      </c>
    </row>
    <row r="934">
      <c r="B934" s="119" t="str">
        <f>IF($L934="","",INDEX('MTRs'!$A$6:$A$505,$L934)&amp;"")</f>
        <v/>
      </c>
      <c r="C934" s="120" t="str">
        <f>IF($L934="","",INDEX('MTRs'!$B$6:$B$505,$L934)&amp;"")</f>
        <v/>
      </c>
      <c r="D934" s="121" t="str">
        <f>IF($L934="","",INDEX('MTRs'!$W$6:$W$505,$L934))</f>
        <v/>
      </c>
      <c r="E934" s="122" t="str">
        <f>IF($L934="","",INDEX('MTRs'!$P$6:$P$505,$L934))</f>
        <v/>
      </c>
      <c r="F934" s="122" t="str">
        <f>IF($L934="","",INDEX('MTRs'!$Q$6:$Q$505,$L934))</f>
        <v/>
      </c>
      <c r="G934" s="122" t="str">
        <f>IF($L934="","",INDEX('MTRs'!$R$6:$R$505,$L934))</f>
        <v/>
      </c>
      <c r="H934" s="130" t="str">
        <f>IF($L934="","",IF(INDEX('MTRs'!$AM$6:$AM$505,$L934)=0,"",N(E934)-N(F934)))</f>
        <v/>
      </c>
      <c r="I934" s="130" t="str">
        <f>IF($L934="","",IF(INDEX('MTRs'!$AM$6:$AM$505,$L934)=0,"",N(F934)-N(G934)))</f>
        <v/>
      </c>
      <c r="J934" s="120" t="str">
        <f>IF($L934="","",INDEX('MTRs'!$S$6:$S$505,$L934)&amp;"")</f>
        <v/>
      </c>
      <c r="L934" t="str">
        <f>IFERROR(MATCH(332,'MTRs'!$BB$6:$BB$505,0),"")</f>
        <v/>
      </c>
    </row>
    <row r="935">
      <c r="B935" s="119" t="str">
        <f>IF($L935="","",INDEX('MTRs'!$A$6:$A$505,$L935)&amp;"")</f>
        <v/>
      </c>
      <c r="C935" s="120" t="str">
        <f>IF($L935="","",INDEX('MTRs'!$B$6:$B$505,$L935)&amp;"")</f>
        <v/>
      </c>
      <c r="D935" s="121" t="str">
        <f>IF($L935="","",INDEX('MTRs'!$W$6:$W$505,$L935))</f>
        <v/>
      </c>
      <c r="E935" s="122" t="str">
        <f>IF($L935="","",INDEX('MTRs'!$P$6:$P$505,$L935))</f>
        <v/>
      </c>
      <c r="F935" s="122" t="str">
        <f>IF($L935="","",INDEX('MTRs'!$Q$6:$Q$505,$L935))</f>
        <v/>
      </c>
      <c r="G935" s="122" t="str">
        <f>IF($L935="","",INDEX('MTRs'!$R$6:$R$505,$L935))</f>
        <v/>
      </c>
      <c r="H935" s="130" t="str">
        <f>IF($L935="","",IF(INDEX('MTRs'!$AM$6:$AM$505,$L935)=0,"",N(E935)-N(F935)))</f>
        <v/>
      </c>
      <c r="I935" s="130" t="str">
        <f>IF($L935="","",IF(INDEX('MTRs'!$AM$6:$AM$505,$L935)=0,"",N(F935)-N(G935)))</f>
        <v/>
      </c>
      <c r="J935" s="120" t="str">
        <f>IF($L935="","",INDEX('MTRs'!$S$6:$S$505,$L935)&amp;"")</f>
        <v/>
      </c>
      <c r="L935" t="str">
        <f>IFERROR(MATCH(333,'MTRs'!$BB$6:$BB$505,0),"")</f>
        <v/>
      </c>
    </row>
    <row r="936">
      <c r="B936" s="119" t="str">
        <f>IF($L936="","",INDEX('MTRs'!$A$6:$A$505,$L936)&amp;"")</f>
        <v/>
      </c>
      <c r="C936" s="120" t="str">
        <f>IF($L936="","",INDEX('MTRs'!$B$6:$B$505,$L936)&amp;"")</f>
        <v/>
      </c>
      <c r="D936" s="121" t="str">
        <f>IF($L936="","",INDEX('MTRs'!$W$6:$W$505,$L936))</f>
        <v/>
      </c>
      <c r="E936" s="122" t="str">
        <f>IF($L936="","",INDEX('MTRs'!$P$6:$P$505,$L936))</f>
        <v/>
      </c>
      <c r="F936" s="122" t="str">
        <f>IF($L936="","",INDEX('MTRs'!$Q$6:$Q$505,$L936))</f>
        <v/>
      </c>
      <c r="G936" s="122" t="str">
        <f>IF($L936="","",INDEX('MTRs'!$R$6:$R$505,$L936))</f>
        <v/>
      </c>
      <c r="H936" s="130" t="str">
        <f>IF($L936="","",IF(INDEX('MTRs'!$AM$6:$AM$505,$L936)=0,"",N(E936)-N(F936)))</f>
        <v/>
      </c>
      <c r="I936" s="130" t="str">
        <f>IF($L936="","",IF(INDEX('MTRs'!$AM$6:$AM$505,$L936)=0,"",N(F936)-N(G936)))</f>
        <v/>
      </c>
      <c r="J936" s="120" t="str">
        <f>IF($L936="","",INDEX('MTRs'!$S$6:$S$505,$L936)&amp;"")</f>
        <v/>
      </c>
      <c r="L936" t="str">
        <f>IFERROR(MATCH(334,'MTRs'!$BB$6:$BB$505,0),"")</f>
        <v/>
      </c>
    </row>
    <row r="937">
      <c r="B937" s="119" t="str">
        <f>IF($L937="","",INDEX('MTRs'!$A$6:$A$505,$L937)&amp;"")</f>
        <v/>
      </c>
      <c r="C937" s="120" t="str">
        <f>IF($L937="","",INDEX('MTRs'!$B$6:$B$505,$L937)&amp;"")</f>
        <v/>
      </c>
      <c r="D937" s="121" t="str">
        <f>IF($L937="","",INDEX('MTRs'!$W$6:$W$505,$L937))</f>
        <v/>
      </c>
      <c r="E937" s="122" t="str">
        <f>IF($L937="","",INDEX('MTRs'!$P$6:$P$505,$L937))</f>
        <v/>
      </c>
      <c r="F937" s="122" t="str">
        <f>IF($L937="","",INDEX('MTRs'!$Q$6:$Q$505,$L937))</f>
        <v/>
      </c>
      <c r="G937" s="122" t="str">
        <f>IF($L937="","",INDEX('MTRs'!$R$6:$R$505,$L937))</f>
        <v/>
      </c>
      <c r="H937" s="130" t="str">
        <f>IF($L937="","",IF(INDEX('MTRs'!$AM$6:$AM$505,$L937)=0,"",N(E937)-N(F937)))</f>
        <v/>
      </c>
      <c r="I937" s="130" t="str">
        <f>IF($L937="","",IF(INDEX('MTRs'!$AM$6:$AM$505,$L937)=0,"",N(F937)-N(G937)))</f>
        <v/>
      </c>
      <c r="J937" s="120" t="str">
        <f>IF($L937="","",INDEX('MTRs'!$S$6:$S$505,$L937)&amp;"")</f>
        <v/>
      </c>
      <c r="L937" t="str">
        <f>IFERROR(MATCH(335,'MTRs'!$BB$6:$BB$505,0),"")</f>
        <v/>
      </c>
    </row>
    <row r="938">
      <c r="B938" s="119" t="str">
        <f>IF($L938="","",INDEX('MTRs'!$A$6:$A$505,$L938)&amp;"")</f>
        <v/>
      </c>
      <c r="C938" s="120" t="str">
        <f>IF($L938="","",INDEX('MTRs'!$B$6:$B$505,$L938)&amp;"")</f>
        <v/>
      </c>
      <c r="D938" s="121" t="str">
        <f>IF($L938="","",INDEX('MTRs'!$W$6:$W$505,$L938))</f>
        <v/>
      </c>
      <c r="E938" s="122" t="str">
        <f>IF($L938="","",INDEX('MTRs'!$P$6:$P$505,$L938))</f>
        <v/>
      </c>
      <c r="F938" s="122" t="str">
        <f>IF($L938="","",INDEX('MTRs'!$Q$6:$Q$505,$L938))</f>
        <v/>
      </c>
      <c r="G938" s="122" t="str">
        <f>IF($L938="","",INDEX('MTRs'!$R$6:$R$505,$L938))</f>
        <v/>
      </c>
      <c r="H938" s="130" t="str">
        <f>IF($L938="","",IF(INDEX('MTRs'!$AM$6:$AM$505,$L938)=0,"",N(E938)-N(F938)))</f>
        <v/>
      </c>
      <c r="I938" s="130" t="str">
        <f>IF($L938="","",IF(INDEX('MTRs'!$AM$6:$AM$505,$L938)=0,"",N(F938)-N(G938)))</f>
        <v/>
      </c>
      <c r="J938" s="120" t="str">
        <f>IF($L938="","",INDEX('MTRs'!$S$6:$S$505,$L938)&amp;"")</f>
        <v/>
      </c>
      <c r="L938" t="str">
        <f>IFERROR(MATCH(336,'MTRs'!$BB$6:$BB$505,0),"")</f>
        <v/>
      </c>
    </row>
    <row r="939">
      <c r="B939" s="119" t="str">
        <f>IF($L939="","",INDEX('MTRs'!$A$6:$A$505,$L939)&amp;"")</f>
        <v/>
      </c>
      <c r="C939" s="120" t="str">
        <f>IF($L939="","",INDEX('MTRs'!$B$6:$B$505,$L939)&amp;"")</f>
        <v/>
      </c>
      <c r="D939" s="121" t="str">
        <f>IF($L939="","",INDEX('MTRs'!$W$6:$W$505,$L939))</f>
        <v/>
      </c>
      <c r="E939" s="122" t="str">
        <f>IF($L939="","",INDEX('MTRs'!$P$6:$P$505,$L939))</f>
        <v/>
      </c>
      <c r="F939" s="122" t="str">
        <f>IF($L939="","",INDEX('MTRs'!$Q$6:$Q$505,$L939))</f>
        <v/>
      </c>
      <c r="G939" s="122" t="str">
        <f>IF($L939="","",INDEX('MTRs'!$R$6:$R$505,$L939))</f>
        <v/>
      </c>
      <c r="H939" s="130" t="str">
        <f>IF($L939="","",IF(INDEX('MTRs'!$AM$6:$AM$505,$L939)=0,"",N(E939)-N(F939)))</f>
        <v/>
      </c>
      <c r="I939" s="130" t="str">
        <f>IF($L939="","",IF(INDEX('MTRs'!$AM$6:$AM$505,$L939)=0,"",N(F939)-N(G939)))</f>
        <v/>
      </c>
      <c r="J939" s="120" t="str">
        <f>IF($L939="","",INDEX('MTRs'!$S$6:$S$505,$L939)&amp;"")</f>
        <v/>
      </c>
      <c r="L939" t="str">
        <f>IFERROR(MATCH(337,'MTRs'!$BB$6:$BB$505,0),"")</f>
        <v/>
      </c>
    </row>
    <row r="940">
      <c r="B940" s="119" t="str">
        <f>IF($L940="","",INDEX('MTRs'!$A$6:$A$505,$L940)&amp;"")</f>
        <v/>
      </c>
      <c r="C940" s="120" t="str">
        <f>IF($L940="","",INDEX('MTRs'!$B$6:$B$505,$L940)&amp;"")</f>
        <v/>
      </c>
      <c r="D940" s="121" t="str">
        <f>IF($L940="","",INDEX('MTRs'!$W$6:$W$505,$L940))</f>
        <v/>
      </c>
      <c r="E940" s="122" t="str">
        <f>IF($L940="","",INDEX('MTRs'!$P$6:$P$505,$L940))</f>
        <v/>
      </c>
      <c r="F940" s="122" t="str">
        <f>IF($L940="","",INDEX('MTRs'!$Q$6:$Q$505,$L940))</f>
        <v/>
      </c>
      <c r="G940" s="122" t="str">
        <f>IF($L940="","",INDEX('MTRs'!$R$6:$R$505,$L940))</f>
        <v/>
      </c>
      <c r="H940" s="130" t="str">
        <f>IF($L940="","",IF(INDEX('MTRs'!$AM$6:$AM$505,$L940)=0,"",N(E940)-N(F940)))</f>
        <v/>
      </c>
      <c r="I940" s="130" t="str">
        <f>IF($L940="","",IF(INDEX('MTRs'!$AM$6:$AM$505,$L940)=0,"",N(F940)-N(G940)))</f>
        <v/>
      </c>
      <c r="J940" s="120" t="str">
        <f>IF($L940="","",INDEX('MTRs'!$S$6:$S$505,$L940)&amp;"")</f>
        <v/>
      </c>
      <c r="L940" t="str">
        <f>IFERROR(MATCH(338,'MTRs'!$BB$6:$BB$505,0),"")</f>
        <v/>
      </c>
    </row>
    <row r="941">
      <c r="B941" s="119" t="str">
        <f>IF($L941="","",INDEX('MTRs'!$A$6:$A$505,$L941)&amp;"")</f>
        <v/>
      </c>
      <c r="C941" s="120" t="str">
        <f>IF($L941="","",INDEX('MTRs'!$B$6:$B$505,$L941)&amp;"")</f>
        <v/>
      </c>
      <c r="D941" s="121" t="str">
        <f>IF($L941="","",INDEX('MTRs'!$W$6:$W$505,$L941))</f>
        <v/>
      </c>
      <c r="E941" s="122" t="str">
        <f>IF($L941="","",INDEX('MTRs'!$P$6:$P$505,$L941))</f>
        <v/>
      </c>
      <c r="F941" s="122" t="str">
        <f>IF($L941="","",INDEX('MTRs'!$Q$6:$Q$505,$L941))</f>
        <v/>
      </c>
      <c r="G941" s="122" t="str">
        <f>IF($L941="","",INDEX('MTRs'!$R$6:$R$505,$L941))</f>
        <v/>
      </c>
      <c r="H941" s="130" t="str">
        <f>IF($L941="","",IF(INDEX('MTRs'!$AM$6:$AM$505,$L941)=0,"",N(E941)-N(F941)))</f>
        <v/>
      </c>
      <c r="I941" s="130" t="str">
        <f>IF($L941="","",IF(INDEX('MTRs'!$AM$6:$AM$505,$L941)=0,"",N(F941)-N(G941)))</f>
        <v/>
      </c>
      <c r="J941" s="120" t="str">
        <f>IF($L941="","",INDEX('MTRs'!$S$6:$S$505,$L941)&amp;"")</f>
        <v/>
      </c>
      <c r="L941" t="str">
        <f>IFERROR(MATCH(339,'MTRs'!$BB$6:$BB$505,0),"")</f>
        <v/>
      </c>
    </row>
    <row r="942">
      <c r="B942" s="119" t="str">
        <f>IF($L942="","",INDEX('MTRs'!$A$6:$A$505,$L942)&amp;"")</f>
        <v/>
      </c>
      <c r="C942" s="120" t="str">
        <f>IF($L942="","",INDEX('MTRs'!$B$6:$B$505,$L942)&amp;"")</f>
        <v/>
      </c>
      <c r="D942" s="121" t="str">
        <f>IF($L942="","",INDEX('MTRs'!$W$6:$W$505,$L942))</f>
        <v/>
      </c>
      <c r="E942" s="122" t="str">
        <f>IF($L942="","",INDEX('MTRs'!$P$6:$P$505,$L942))</f>
        <v/>
      </c>
      <c r="F942" s="122" t="str">
        <f>IF($L942="","",INDEX('MTRs'!$Q$6:$Q$505,$L942))</f>
        <v/>
      </c>
      <c r="G942" s="122" t="str">
        <f>IF($L942="","",INDEX('MTRs'!$R$6:$R$505,$L942))</f>
        <v/>
      </c>
      <c r="H942" s="130" t="str">
        <f>IF($L942="","",IF(INDEX('MTRs'!$AM$6:$AM$505,$L942)=0,"",N(E942)-N(F942)))</f>
        <v/>
      </c>
      <c r="I942" s="130" t="str">
        <f>IF($L942="","",IF(INDEX('MTRs'!$AM$6:$AM$505,$L942)=0,"",N(F942)-N(G942)))</f>
        <v/>
      </c>
      <c r="J942" s="120" t="str">
        <f>IF($L942="","",INDEX('MTRs'!$S$6:$S$505,$L942)&amp;"")</f>
        <v/>
      </c>
      <c r="L942" t="str">
        <f>IFERROR(MATCH(340,'MTRs'!$BB$6:$BB$505,0),"")</f>
        <v/>
      </c>
    </row>
    <row r="943">
      <c r="B943" s="119" t="str">
        <f>IF($L943="","",INDEX('MTRs'!$A$6:$A$505,$L943)&amp;"")</f>
        <v/>
      </c>
      <c r="C943" s="120" t="str">
        <f>IF($L943="","",INDEX('MTRs'!$B$6:$B$505,$L943)&amp;"")</f>
        <v/>
      </c>
      <c r="D943" s="121" t="str">
        <f>IF($L943="","",INDEX('MTRs'!$W$6:$W$505,$L943))</f>
        <v/>
      </c>
      <c r="E943" s="122" t="str">
        <f>IF($L943="","",INDEX('MTRs'!$P$6:$P$505,$L943))</f>
        <v/>
      </c>
      <c r="F943" s="122" t="str">
        <f>IF($L943="","",INDEX('MTRs'!$Q$6:$Q$505,$L943))</f>
        <v/>
      </c>
      <c r="G943" s="122" t="str">
        <f>IF($L943="","",INDEX('MTRs'!$R$6:$R$505,$L943))</f>
        <v/>
      </c>
      <c r="H943" s="130" t="str">
        <f>IF($L943="","",IF(INDEX('MTRs'!$AM$6:$AM$505,$L943)=0,"",N(E943)-N(F943)))</f>
        <v/>
      </c>
      <c r="I943" s="130" t="str">
        <f>IF($L943="","",IF(INDEX('MTRs'!$AM$6:$AM$505,$L943)=0,"",N(F943)-N(G943)))</f>
        <v/>
      </c>
      <c r="J943" s="120" t="str">
        <f>IF($L943="","",INDEX('MTRs'!$S$6:$S$505,$L943)&amp;"")</f>
        <v/>
      </c>
      <c r="L943" t="str">
        <f>IFERROR(MATCH(341,'MTRs'!$BB$6:$BB$505,0),"")</f>
        <v/>
      </c>
    </row>
    <row r="944">
      <c r="B944" s="119" t="str">
        <f>IF($L944="","",INDEX('MTRs'!$A$6:$A$505,$L944)&amp;"")</f>
        <v/>
      </c>
      <c r="C944" s="120" t="str">
        <f>IF($L944="","",INDEX('MTRs'!$B$6:$B$505,$L944)&amp;"")</f>
        <v/>
      </c>
      <c r="D944" s="121" t="str">
        <f>IF($L944="","",INDEX('MTRs'!$W$6:$W$505,$L944))</f>
        <v/>
      </c>
      <c r="E944" s="122" t="str">
        <f>IF($L944="","",INDEX('MTRs'!$P$6:$P$505,$L944))</f>
        <v/>
      </c>
      <c r="F944" s="122" t="str">
        <f>IF($L944="","",INDEX('MTRs'!$Q$6:$Q$505,$L944))</f>
        <v/>
      </c>
      <c r="G944" s="122" t="str">
        <f>IF($L944="","",INDEX('MTRs'!$R$6:$R$505,$L944))</f>
        <v/>
      </c>
      <c r="H944" s="130" t="str">
        <f>IF($L944="","",IF(INDEX('MTRs'!$AM$6:$AM$505,$L944)=0,"",N(E944)-N(F944)))</f>
        <v/>
      </c>
      <c r="I944" s="130" t="str">
        <f>IF($L944="","",IF(INDEX('MTRs'!$AM$6:$AM$505,$L944)=0,"",N(F944)-N(G944)))</f>
        <v/>
      </c>
      <c r="J944" s="120" t="str">
        <f>IF($L944="","",INDEX('MTRs'!$S$6:$S$505,$L944)&amp;"")</f>
        <v/>
      </c>
      <c r="L944" t="str">
        <f>IFERROR(MATCH(342,'MTRs'!$BB$6:$BB$505,0),"")</f>
        <v/>
      </c>
    </row>
    <row r="945">
      <c r="B945" s="119" t="str">
        <f>IF($L945="","",INDEX('MTRs'!$A$6:$A$505,$L945)&amp;"")</f>
        <v/>
      </c>
      <c r="C945" s="120" t="str">
        <f>IF($L945="","",INDEX('MTRs'!$B$6:$B$505,$L945)&amp;"")</f>
        <v/>
      </c>
      <c r="D945" s="121" t="str">
        <f>IF($L945="","",INDEX('MTRs'!$W$6:$W$505,$L945))</f>
        <v/>
      </c>
      <c r="E945" s="122" t="str">
        <f>IF($L945="","",INDEX('MTRs'!$P$6:$P$505,$L945))</f>
        <v/>
      </c>
      <c r="F945" s="122" t="str">
        <f>IF($L945="","",INDEX('MTRs'!$Q$6:$Q$505,$L945))</f>
        <v/>
      </c>
      <c r="G945" s="122" t="str">
        <f>IF($L945="","",INDEX('MTRs'!$R$6:$R$505,$L945))</f>
        <v/>
      </c>
      <c r="H945" s="130" t="str">
        <f>IF($L945="","",IF(INDEX('MTRs'!$AM$6:$AM$505,$L945)=0,"",N(E945)-N(F945)))</f>
        <v/>
      </c>
      <c r="I945" s="130" t="str">
        <f>IF($L945="","",IF(INDEX('MTRs'!$AM$6:$AM$505,$L945)=0,"",N(F945)-N(G945)))</f>
        <v/>
      </c>
      <c r="J945" s="120" t="str">
        <f>IF($L945="","",INDEX('MTRs'!$S$6:$S$505,$L945)&amp;"")</f>
        <v/>
      </c>
      <c r="L945" t="str">
        <f>IFERROR(MATCH(343,'MTRs'!$BB$6:$BB$505,0),"")</f>
        <v/>
      </c>
    </row>
    <row r="946">
      <c r="B946" s="119" t="str">
        <f>IF($L946="","",INDEX('MTRs'!$A$6:$A$505,$L946)&amp;"")</f>
        <v/>
      </c>
      <c r="C946" s="120" t="str">
        <f>IF($L946="","",INDEX('MTRs'!$B$6:$B$505,$L946)&amp;"")</f>
        <v/>
      </c>
      <c r="D946" s="121" t="str">
        <f>IF($L946="","",INDEX('MTRs'!$W$6:$W$505,$L946))</f>
        <v/>
      </c>
      <c r="E946" s="122" t="str">
        <f>IF($L946="","",INDEX('MTRs'!$P$6:$P$505,$L946))</f>
        <v/>
      </c>
      <c r="F946" s="122" t="str">
        <f>IF($L946="","",INDEX('MTRs'!$Q$6:$Q$505,$L946))</f>
        <v/>
      </c>
      <c r="G946" s="122" t="str">
        <f>IF($L946="","",INDEX('MTRs'!$R$6:$R$505,$L946))</f>
        <v/>
      </c>
      <c r="H946" s="130" t="str">
        <f>IF($L946="","",IF(INDEX('MTRs'!$AM$6:$AM$505,$L946)=0,"",N(E946)-N(F946)))</f>
        <v/>
      </c>
      <c r="I946" s="130" t="str">
        <f>IF($L946="","",IF(INDEX('MTRs'!$AM$6:$AM$505,$L946)=0,"",N(F946)-N(G946)))</f>
        <v/>
      </c>
      <c r="J946" s="120" t="str">
        <f>IF($L946="","",INDEX('MTRs'!$S$6:$S$505,$L946)&amp;"")</f>
        <v/>
      </c>
      <c r="L946" t="str">
        <f>IFERROR(MATCH(344,'MTRs'!$BB$6:$BB$505,0),"")</f>
        <v/>
      </c>
    </row>
    <row r="947">
      <c r="B947" s="119" t="str">
        <f>IF($L947="","",INDEX('MTRs'!$A$6:$A$505,$L947)&amp;"")</f>
        <v/>
      </c>
      <c r="C947" s="120" t="str">
        <f>IF($L947="","",INDEX('MTRs'!$B$6:$B$505,$L947)&amp;"")</f>
        <v/>
      </c>
      <c r="D947" s="121" t="str">
        <f>IF($L947="","",INDEX('MTRs'!$W$6:$W$505,$L947))</f>
        <v/>
      </c>
      <c r="E947" s="122" t="str">
        <f>IF($L947="","",INDEX('MTRs'!$P$6:$P$505,$L947))</f>
        <v/>
      </c>
      <c r="F947" s="122" t="str">
        <f>IF($L947="","",INDEX('MTRs'!$Q$6:$Q$505,$L947))</f>
        <v/>
      </c>
      <c r="G947" s="122" t="str">
        <f>IF($L947="","",INDEX('MTRs'!$R$6:$R$505,$L947))</f>
        <v/>
      </c>
      <c r="H947" s="130" t="str">
        <f>IF($L947="","",IF(INDEX('MTRs'!$AM$6:$AM$505,$L947)=0,"",N(E947)-N(F947)))</f>
        <v/>
      </c>
      <c r="I947" s="130" t="str">
        <f>IF($L947="","",IF(INDEX('MTRs'!$AM$6:$AM$505,$L947)=0,"",N(F947)-N(G947)))</f>
        <v/>
      </c>
      <c r="J947" s="120" t="str">
        <f>IF($L947="","",INDEX('MTRs'!$S$6:$S$505,$L947)&amp;"")</f>
        <v/>
      </c>
      <c r="L947" t="str">
        <f>IFERROR(MATCH(345,'MTRs'!$BB$6:$BB$505,0),"")</f>
        <v/>
      </c>
    </row>
    <row r="948">
      <c r="B948" s="119" t="str">
        <f>IF($L948="","",INDEX('MTRs'!$A$6:$A$505,$L948)&amp;"")</f>
        <v/>
      </c>
      <c r="C948" s="120" t="str">
        <f>IF($L948="","",INDEX('MTRs'!$B$6:$B$505,$L948)&amp;"")</f>
        <v/>
      </c>
      <c r="D948" s="121" t="str">
        <f>IF($L948="","",INDEX('MTRs'!$W$6:$W$505,$L948))</f>
        <v/>
      </c>
      <c r="E948" s="122" t="str">
        <f>IF($L948="","",INDEX('MTRs'!$P$6:$P$505,$L948))</f>
        <v/>
      </c>
      <c r="F948" s="122" t="str">
        <f>IF($L948="","",INDEX('MTRs'!$Q$6:$Q$505,$L948))</f>
        <v/>
      </c>
      <c r="G948" s="122" t="str">
        <f>IF($L948="","",INDEX('MTRs'!$R$6:$R$505,$L948))</f>
        <v/>
      </c>
      <c r="H948" s="130" t="str">
        <f>IF($L948="","",IF(INDEX('MTRs'!$AM$6:$AM$505,$L948)=0,"",N(E948)-N(F948)))</f>
        <v/>
      </c>
      <c r="I948" s="130" t="str">
        <f>IF($L948="","",IF(INDEX('MTRs'!$AM$6:$AM$505,$L948)=0,"",N(F948)-N(G948)))</f>
        <v/>
      </c>
      <c r="J948" s="120" t="str">
        <f>IF($L948="","",INDEX('MTRs'!$S$6:$S$505,$L948)&amp;"")</f>
        <v/>
      </c>
      <c r="L948" t="str">
        <f>IFERROR(MATCH(346,'MTRs'!$BB$6:$BB$505,0),"")</f>
        <v/>
      </c>
    </row>
    <row r="949">
      <c r="B949" s="119" t="str">
        <f>IF($L949="","",INDEX('MTRs'!$A$6:$A$505,$L949)&amp;"")</f>
        <v/>
      </c>
      <c r="C949" s="120" t="str">
        <f>IF($L949="","",INDEX('MTRs'!$B$6:$B$505,$L949)&amp;"")</f>
        <v/>
      </c>
      <c r="D949" s="121" t="str">
        <f>IF($L949="","",INDEX('MTRs'!$W$6:$W$505,$L949))</f>
        <v/>
      </c>
      <c r="E949" s="122" t="str">
        <f>IF($L949="","",INDEX('MTRs'!$P$6:$P$505,$L949))</f>
        <v/>
      </c>
      <c r="F949" s="122" t="str">
        <f>IF($L949="","",INDEX('MTRs'!$Q$6:$Q$505,$L949))</f>
        <v/>
      </c>
      <c r="G949" s="122" t="str">
        <f>IF($L949="","",INDEX('MTRs'!$R$6:$R$505,$L949))</f>
        <v/>
      </c>
      <c r="H949" s="130" t="str">
        <f>IF($L949="","",IF(INDEX('MTRs'!$AM$6:$AM$505,$L949)=0,"",N(E949)-N(F949)))</f>
        <v/>
      </c>
      <c r="I949" s="130" t="str">
        <f>IF($L949="","",IF(INDEX('MTRs'!$AM$6:$AM$505,$L949)=0,"",N(F949)-N(G949)))</f>
        <v/>
      </c>
      <c r="J949" s="120" t="str">
        <f>IF($L949="","",INDEX('MTRs'!$S$6:$S$505,$L949)&amp;"")</f>
        <v/>
      </c>
      <c r="L949" t="str">
        <f>IFERROR(MATCH(347,'MTRs'!$BB$6:$BB$505,0),"")</f>
        <v/>
      </c>
    </row>
    <row r="950">
      <c r="B950" s="119" t="str">
        <f>IF($L950="","",INDEX('MTRs'!$A$6:$A$505,$L950)&amp;"")</f>
        <v/>
      </c>
      <c r="C950" s="120" t="str">
        <f>IF($L950="","",INDEX('MTRs'!$B$6:$B$505,$L950)&amp;"")</f>
        <v/>
      </c>
      <c r="D950" s="121" t="str">
        <f>IF($L950="","",INDEX('MTRs'!$W$6:$W$505,$L950))</f>
        <v/>
      </c>
      <c r="E950" s="122" t="str">
        <f>IF($L950="","",INDEX('MTRs'!$P$6:$P$505,$L950))</f>
        <v/>
      </c>
      <c r="F950" s="122" t="str">
        <f>IF($L950="","",INDEX('MTRs'!$Q$6:$Q$505,$L950))</f>
        <v/>
      </c>
      <c r="G950" s="122" t="str">
        <f>IF($L950="","",INDEX('MTRs'!$R$6:$R$505,$L950))</f>
        <v/>
      </c>
      <c r="H950" s="130" t="str">
        <f>IF($L950="","",IF(INDEX('MTRs'!$AM$6:$AM$505,$L950)=0,"",N(E950)-N(F950)))</f>
        <v/>
      </c>
      <c r="I950" s="130" t="str">
        <f>IF($L950="","",IF(INDEX('MTRs'!$AM$6:$AM$505,$L950)=0,"",N(F950)-N(G950)))</f>
        <v/>
      </c>
      <c r="J950" s="120" t="str">
        <f>IF($L950="","",INDEX('MTRs'!$S$6:$S$505,$L950)&amp;"")</f>
        <v/>
      </c>
      <c r="L950" t="str">
        <f>IFERROR(MATCH(348,'MTRs'!$BB$6:$BB$505,0),"")</f>
        <v/>
      </c>
    </row>
    <row r="951">
      <c r="B951" s="119" t="str">
        <f>IF($L951="","",INDEX('MTRs'!$A$6:$A$505,$L951)&amp;"")</f>
        <v/>
      </c>
      <c r="C951" s="120" t="str">
        <f>IF($L951="","",INDEX('MTRs'!$B$6:$B$505,$L951)&amp;"")</f>
        <v/>
      </c>
      <c r="D951" s="121" t="str">
        <f>IF($L951="","",INDEX('MTRs'!$W$6:$W$505,$L951))</f>
        <v/>
      </c>
      <c r="E951" s="122" t="str">
        <f>IF($L951="","",INDEX('MTRs'!$P$6:$P$505,$L951))</f>
        <v/>
      </c>
      <c r="F951" s="122" t="str">
        <f>IF($L951="","",INDEX('MTRs'!$Q$6:$Q$505,$L951))</f>
        <v/>
      </c>
      <c r="G951" s="122" t="str">
        <f>IF($L951="","",INDEX('MTRs'!$R$6:$R$505,$L951))</f>
        <v/>
      </c>
      <c r="H951" s="130" t="str">
        <f>IF($L951="","",IF(INDEX('MTRs'!$AM$6:$AM$505,$L951)=0,"",N(E951)-N(F951)))</f>
        <v/>
      </c>
      <c r="I951" s="130" t="str">
        <f>IF($L951="","",IF(INDEX('MTRs'!$AM$6:$AM$505,$L951)=0,"",N(F951)-N(G951)))</f>
        <v/>
      </c>
      <c r="J951" s="120" t="str">
        <f>IF($L951="","",INDEX('MTRs'!$S$6:$S$505,$L951)&amp;"")</f>
        <v/>
      </c>
      <c r="L951" t="str">
        <f>IFERROR(MATCH(349,'MTRs'!$BB$6:$BB$505,0),"")</f>
        <v/>
      </c>
    </row>
    <row r="952">
      <c r="B952" s="119" t="str">
        <f>IF($L952="","",INDEX('MTRs'!$A$6:$A$505,$L952)&amp;"")</f>
        <v/>
      </c>
      <c r="C952" s="120" t="str">
        <f>IF($L952="","",INDEX('MTRs'!$B$6:$B$505,$L952)&amp;"")</f>
        <v/>
      </c>
      <c r="D952" s="121" t="str">
        <f>IF($L952="","",INDEX('MTRs'!$W$6:$W$505,$L952))</f>
        <v/>
      </c>
      <c r="E952" s="122" t="str">
        <f>IF($L952="","",INDEX('MTRs'!$P$6:$P$505,$L952))</f>
        <v/>
      </c>
      <c r="F952" s="122" t="str">
        <f>IF($L952="","",INDEX('MTRs'!$Q$6:$Q$505,$L952))</f>
        <v/>
      </c>
      <c r="G952" s="122" t="str">
        <f>IF($L952="","",INDEX('MTRs'!$R$6:$R$505,$L952))</f>
        <v/>
      </c>
      <c r="H952" s="130" t="str">
        <f>IF($L952="","",IF(INDEX('MTRs'!$AM$6:$AM$505,$L952)=0,"",N(E952)-N(F952)))</f>
        <v/>
      </c>
      <c r="I952" s="130" t="str">
        <f>IF($L952="","",IF(INDEX('MTRs'!$AM$6:$AM$505,$L952)=0,"",N(F952)-N(G952)))</f>
        <v/>
      </c>
      <c r="J952" s="120" t="str">
        <f>IF($L952="","",INDEX('MTRs'!$S$6:$S$505,$L952)&amp;"")</f>
        <v/>
      </c>
      <c r="L952" t="str">
        <f>IFERROR(MATCH(350,'MTRs'!$BB$6:$BB$505,0),"")</f>
        <v/>
      </c>
    </row>
    <row r="953">
      <c r="B953" s="119" t="str">
        <f>IF($L953="","",INDEX('MTRs'!$A$6:$A$505,$L953)&amp;"")</f>
        <v/>
      </c>
      <c r="C953" s="120" t="str">
        <f>IF($L953="","",INDEX('MTRs'!$B$6:$B$505,$L953)&amp;"")</f>
        <v/>
      </c>
      <c r="D953" s="121" t="str">
        <f>IF($L953="","",INDEX('MTRs'!$W$6:$W$505,$L953))</f>
        <v/>
      </c>
      <c r="E953" s="122" t="str">
        <f>IF($L953="","",INDEX('MTRs'!$P$6:$P$505,$L953))</f>
        <v/>
      </c>
      <c r="F953" s="122" t="str">
        <f>IF($L953="","",INDEX('MTRs'!$Q$6:$Q$505,$L953))</f>
        <v/>
      </c>
      <c r="G953" s="122" t="str">
        <f>IF($L953="","",INDEX('MTRs'!$R$6:$R$505,$L953))</f>
        <v/>
      </c>
      <c r="H953" s="130" t="str">
        <f>IF($L953="","",IF(INDEX('MTRs'!$AM$6:$AM$505,$L953)=0,"",N(E953)-N(F953)))</f>
        <v/>
      </c>
      <c r="I953" s="130" t="str">
        <f>IF($L953="","",IF(INDEX('MTRs'!$AM$6:$AM$505,$L953)=0,"",N(F953)-N(G953)))</f>
        <v/>
      </c>
      <c r="J953" s="120" t="str">
        <f>IF($L953="","",INDEX('MTRs'!$S$6:$S$505,$L953)&amp;"")</f>
        <v/>
      </c>
      <c r="L953" t="str">
        <f>IFERROR(MATCH(351,'MTRs'!$BB$6:$BB$505,0),"")</f>
        <v/>
      </c>
    </row>
    <row r="954">
      <c r="B954" s="119" t="str">
        <f>IF($L954="","",INDEX('MTRs'!$A$6:$A$505,$L954)&amp;"")</f>
        <v/>
      </c>
      <c r="C954" s="120" t="str">
        <f>IF($L954="","",INDEX('MTRs'!$B$6:$B$505,$L954)&amp;"")</f>
        <v/>
      </c>
      <c r="D954" s="121" t="str">
        <f>IF($L954="","",INDEX('MTRs'!$W$6:$W$505,$L954))</f>
        <v/>
      </c>
      <c r="E954" s="122" t="str">
        <f>IF($L954="","",INDEX('MTRs'!$P$6:$P$505,$L954))</f>
        <v/>
      </c>
      <c r="F954" s="122" t="str">
        <f>IF($L954="","",INDEX('MTRs'!$Q$6:$Q$505,$L954))</f>
        <v/>
      </c>
      <c r="G954" s="122" t="str">
        <f>IF($L954="","",INDEX('MTRs'!$R$6:$R$505,$L954))</f>
        <v/>
      </c>
      <c r="H954" s="130" t="str">
        <f>IF($L954="","",IF(INDEX('MTRs'!$AM$6:$AM$505,$L954)=0,"",N(E954)-N(F954)))</f>
        <v/>
      </c>
      <c r="I954" s="130" t="str">
        <f>IF($L954="","",IF(INDEX('MTRs'!$AM$6:$AM$505,$L954)=0,"",N(F954)-N(G954)))</f>
        <v/>
      </c>
      <c r="J954" s="120" t="str">
        <f>IF($L954="","",INDEX('MTRs'!$S$6:$S$505,$L954)&amp;"")</f>
        <v/>
      </c>
      <c r="L954" t="str">
        <f>IFERROR(MATCH(352,'MTRs'!$BB$6:$BB$505,0),"")</f>
        <v/>
      </c>
    </row>
    <row r="955">
      <c r="B955" s="119" t="str">
        <f>IF($L955="","",INDEX('MTRs'!$A$6:$A$505,$L955)&amp;"")</f>
        <v/>
      </c>
      <c r="C955" s="120" t="str">
        <f>IF($L955="","",INDEX('MTRs'!$B$6:$B$505,$L955)&amp;"")</f>
        <v/>
      </c>
      <c r="D955" s="121" t="str">
        <f>IF($L955="","",INDEX('MTRs'!$W$6:$W$505,$L955))</f>
        <v/>
      </c>
      <c r="E955" s="122" t="str">
        <f>IF($L955="","",INDEX('MTRs'!$P$6:$P$505,$L955))</f>
        <v/>
      </c>
      <c r="F955" s="122" t="str">
        <f>IF($L955="","",INDEX('MTRs'!$Q$6:$Q$505,$L955))</f>
        <v/>
      </c>
      <c r="G955" s="122" t="str">
        <f>IF($L955="","",INDEX('MTRs'!$R$6:$R$505,$L955))</f>
        <v/>
      </c>
      <c r="H955" s="130" t="str">
        <f>IF($L955="","",IF(INDEX('MTRs'!$AM$6:$AM$505,$L955)=0,"",N(E955)-N(F955)))</f>
        <v/>
      </c>
      <c r="I955" s="130" t="str">
        <f>IF($L955="","",IF(INDEX('MTRs'!$AM$6:$AM$505,$L955)=0,"",N(F955)-N(G955)))</f>
        <v/>
      </c>
      <c r="J955" s="120" t="str">
        <f>IF($L955="","",INDEX('MTRs'!$S$6:$S$505,$L955)&amp;"")</f>
        <v/>
      </c>
      <c r="L955" t="str">
        <f>IFERROR(MATCH(353,'MTRs'!$BB$6:$BB$505,0),"")</f>
        <v/>
      </c>
    </row>
    <row r="956">
      <c r="B956" s="119" t="str">
        <f>IF($L956="","",INDEX('MTRs'!$A$6:$A$505,$L956)&amp;"")</f>
        <v/>
      </c>
      <c r="C956" s="120" t="str">
        <f>IF($L956="","",INDEX('MTRs'!$B$6:$B$505,$L956)&amp;"")</f>
        <v/>
      </c>
      <c r="D956" s="121" t="str">
        <f>IF($L956="","",INDEX('MTRs'!$W$6:$W$505,$L956))</f>
        <v/>
      </c>
      <c r="E956" s="122" t="str">
        <f>IF($L956="","",INDEX('MTRs'!$P$6:$P$505,$L956))</f>
        <v/>
      </c>
      <c r="F956" s="122" t="str">
        <f>IF($L956="","",INDEX('MTRs'!$Q$6:$Q$505,$L956))</f>
        <v/>
      </c>
      <c r="G956" s="122" t="str">
        <f>IF($L956="","",INDEX('MTRs'!$R$6:$R$505,$L956))</f>
        <v/>
      </c>
      <c r="H956" s="130" t="str">
        <f>IF($L956="","",IF(INDEX('MTRs'!$AM$6:$AM$505,$L956)=0,"",N(E956)-N(F956)))</f>
        <v/>
      </c>
      <c r="I956" s="130" t="str">
        <f>IF($L956="","",IF(INDEX('MTRs'!$AM$6:$AM$505,$L956)=0,"",N(F956)-N(G956)))</f>
        <v/>
      </c>
      <c r="J956" s="120" t="str">
        <f>IF($L956="","",INDEX('MTRs'!$S$6:$S$505,$L956)&amp;"")</f>
        <v/>
      </c>
      <c r="L956" t="str">
        <f>IFERROR(MATCH(354,'MTRs'!$BB$6:$BB$505,0),"")</f>
        <v/>
      </c>
    </row>
    <row r="957">
      <c r="B957" s="119" t="str">
        <f>IF($L957="","",INDEX('MTRs'!$A$6:$A$505,$L957)&amp;"")</f>
        <v/>
      </c>
      <c r="C957" s="120" t="str">
        <f>IF($L957="","",INDEX('MTRs'!$B$6:$B$505,$L957)&amp;"")</f>
        <v/>
      </c>
      <c r="D957" s="121" t="str">
        <f>IF($L957="","",INDEX('MTRs'!$W$6:$W$505,$L957))</f>
        <v/>
      </c>
      <c r="E957" s="122" t="str">
        <f>IF($L957="","",INDEX('MTRs'!$P$6:$P$505,$L957))</f>
        <v/>
      </c>
      <c r="F957" s="122" t="str">
        <f>IF($L957="","",INDEX('MTRs'!$Q$6:$Q$505,$L957))</f>
        <v/>
      </c>
      <c r="G957" s="122" t="str">
        <f>IF($L957="","",INDEX('MTRs'!$R$6:$R$505,$L957))</f>
        <v/>
      </c>
      <c r="H957" s="130" t="str">
        <f>IF($L957="","",IF(INDEX('MTRs'!$AM$6:$AM$505,$L957)=0,"",N(E957)-N(F957)))</f>
        <v/>
      </c>
      <c r="I957" s="130" t="str">
        <f>IF($L957="","",IF(INDEX('MTRs'!$AM$6:$AM$505,$L957)=0,"",N(F957)-N(G957)))</f>
        <v/>
      </c>
      <c r="J957" s="120" t="str">
        <f>IF($L957="","",INDEX('MTRs'!$S$6:$S$505,$L957)&amp;"")</f>
        <v/>
      </c>
      <c r="L957" t="str">
        <f>IFERROR(MATCH(355,'MTRs'!$BB$6:$BB$505,0),"")</f>
        <v/>
      </c>
    </row>
    <row r="958">
      <c r="B958" s="119" t="str">
        <f>IF($L958="","",INDEX('MTRs'!$A$6:$A$505,$L958)&amp;"")</f>
        <v/>
      </c>
      <c r="C958" s="120" t="str">
        <f>IF($L958="","",INDEX('MTRs'!$B$6:$B$505,$L958)&amp;"")</f>
        <v/>
      </c>
      <c r="D958" s="121" t="str">
        <f>IF($L958="","",INDEX('MTRs'!$W$6:$W$505,$L958))</f>
        <v/>
      </c>
      <c r="E958" s="122" t="str">
        <f>IF($L958="","",INDEX('MTRs'!$P$6:$P$505,$L958))</f>
        <v/>
      </c>
      <c r="F958" s="122" t="str">
        <f>IF($L958="","",INDEX('MTRs'!$Q$6:$Q$505,$L958))</f>
        <v/>
      </c>
      <c r="G958" s="122" t="str">
        <f>IF($L958="","",INDEX('MTRs'!$R$6:$R$505,$L958))</f>
        <v/>
      </c>
      <c r="H958" s="130" t="str">
        <f>IF($L958="","",IF(INDEX('MTRs'!$AM$6:$AM$505,$L958)=0,"",N(E958)-N(F958)))</f>
        <v/>
      </c>
      <c r="I958" s="130" t="str">
        <f>IF($L958="","",IF(INDEX('MTRs'!$AM$6:$AM$505,$L958)=0,"",N(F958)-N(G958)))</f>
        <v/>
      </c>
      <c r="J958" s="120" t="str">
        <f>IF($L958="","",INDEX('MTRs'!$S$6:$S$505,$L958)&amp;"")</f>
        <v/>
      </c>
      <c r="L958" t="str">
        <f>IFERROR(MATCH(356,'MTRs'!$BB$6:$BB$505,0),"")</f>
        <v/>
      </c>
    </row>
    <row r="959">
      <c r="B959" s="119" t="str">
        <f>IF($L959="","",INDEX('MTRs'!$A$6:$A$505,$L959)&amp;"")</f>
        <v/>
      </c>
      <c r="C959" s="120" t="str">
        <f>IF($L959="","",INDEX('MTRs'!$B$6:$B$505,$L959)&amp;"")</f>
        <v/>
      </c>
      <c r="D959" s="121" t="str">
        <f>IF($L959="","",INDEX('MTRs'!$W$6:$W$505,$L959))</f>
        <v/>
      </c>
      <c r="E959" s="122" t="str">
        <f>IF($L959="","",INDEX('MTRs'!$P$6:$P$505,$L959))</f>
        <v/>
      </c>
      <c r="F959" s="122" t="str">
        <f>IF($L959="","",INDEX('MTRs'!$Q$6:$Q$505,$L959))</f>
        <v/>
      </c>
      <c r="G959" s="122" t="str">
        <f>IF($L959="","",INDEX('MTRs'!$R$6:$R$505,$L959))</f>
        <v/>
      </c>
      <c r="H959" s="130" t="str">
        <f>IF($L959="","",IF(INDEX('MTRs'!$AM$6:$AM$505,$L959)=0,"",N(E959)-N(F959)))</f>
        <v/>
      </c>
      <c r="I959" s="130" t="str">
        <f>IF($L959="","",IF(INDEX('MTRs'!$AM$6:$AM$505,$L959)=0,"",N(F959)-N(G959)))</f>
        <v/>
      </c>
      <c r="J959" s="120" t="str">
        <f>IF($L959="","",INDEX('MTRs'!$S$6:$S$505,$L959)&amp;"")</f>
        <v/>
      </c>
      <c r="L959" t="str">
        <f>IFERROR(MATCH(357,'MTRs'!$BB$6:$BB$505,0),"")</f>
        <v/>
      </c>
    </row>
    <row r="960">
      <c r="B960" s="119" t="str">
        <f>IF($L960="","",INDEX('MTRs'!$A$6:$A$505,$L960)&amp;"")</f>
        <v/>
      </c>
      <c r="C960" s="120" t="str">
        <f>IF($L960="","",INDEX('MTRs'!$B$6:$B$505,$L960)&amp;"")</f>
        <v/>
      </c>
      <c r="D960" s="121" t="str">
        <f>IF($L960="","",INDEX('MTRs'!$W$6:$W$505,$L960))</f>
        <v/>
      </c>
      <c r="E960" s="122" t="str">
        <f>IF($L960="","",INDEX('MTRs'!$P$6:$P$505,$L960))</f>
        <v/>
      </c>
      <c r="F960" s="122" t="str">
        <f>IF($L960="","",INDEX('MTRs'!$Q$6:$Q$505,$L960))</f>
        <v/>
      </c>
      <c r="G960" s="122" t="str">
        <f>IF($L960="","",INDEX('MTRs'!$R$6:$R$505,$L960))</f>
        <v/>
      </c>
      <c r="H960" s="130" t="str">
        <f>IF($L960="","",IF(INDEX('MTRs'!$AM$6:$AM$505,$L960)=0,"",N(E960)-N(F960)))</f>
        <v/>
      </c>
      <c r="I960" s="130" t="str">
        <f>IF($L960="","",IF(INDEX('MTRs'!$AM$6:$AM$505,$L960)=0,"",N(F960)-N(G960)))</f>
        <v/>
      </c>
      <c r="J960" s="120" t="str">
        <f>IF($L960="","",INDEX('MTRs'!$S$6:$S$505,$L960)&amp;"")</f>
        <v/>
      </c>
      <c r="L960" t="str">
        <f>IFERROR(MATCH(358,'MTRs'!$BB$6:$BB$505,0),"")</f>
        <v/>
      </c>
    </row>
    <row r="961">
      <c r="B961" s="119" t="str">
        <f>IF($L961="","",INDEX('MTRs'!$A$6:$A$505,$L961)&amp;"")</f>
        <v/>
      </c>
      <c r="C961" s="120" t="str">
        <f>IF($L961="","",INDEX('MTRs'!$B$6:$B$505,$L961)&amp;"")</f>
        <v/>
      </c>
      <c r="D961" s="121" t="str">
        <f>IF($L961="","",INDEX('MTRs'!$W$6:$W$505,$L961))</f>
        <v/>
      </c>
      <c r="E961" s="122" t="str">
        <f>IF($L961="","",INDEX('MTRs'!$P$6:$P$505,$L961))</f>
        <v/>
      </c>
      <c r="F961" s="122" t="str">
        <f>IF($L961="","",INDEX('MTRs'!$Q$6:$Q$505,$L961))</f>
        <v/>
      </c>
      <c r="G961" s="122" t="str">
        <f>IF($L961="","",INDEX('MTRs'!$R$6:$R$505,$L961))</f>
        <v/>
      </c>
      <c r="H961" s="130" t="str">
        <f>IF($L961="","",IF(INDEX('MTRs'!$AM$6:$AM$505,$L961)=0,"",N(E961)-N(F961)))</f>
        <v/>
      </c>
      <c r="I961" s="130" t="str">
        <f>IF($L961="","",IF(INDEX('MTRs'!$AM$6:$AM$505,$L961)=0,"",N(F961)-N(G961)))</f>
        <v/>
      </c>
      <c r="J961" s="120" t="str">
        <f>IF($L961="","",INDEX('MTRs'!$S$6:$S$505,$L961)&amp;"")</f>
        <v/>
      </c>
      <c r="L961" t="str">
        <f>IFERROR(MATCH(359,'MTRs'!$BB$6:$BB$505,0),"")</f>
        <v/>
      </c>
    </row>
    <row r="962">
      <c r="B962" s="119" t="str">
        <f>IF($L962="","",INDEX('MTRs'!$A$6:$A$505,$L962)&amp;"")</f>
        <v/>
      </c>
      <c r="C962" s="120" t="str">
        <f>IF($L962="","",INDEX('MTRs'!$B$6:$B$505,$L962)&amp;"")</f>
        <v/>
      </c>
      <c r="D962" s="121" t="str">
        <f>IF($L962="","",INDEX('MTRs'!$W$6:$W$505,$L962))</f>
        <v/>
      </c>
      <c r="E962" s="122" t="str">
        <f>IF($L962="","",INDEX('MTRs'!$P$6:$P$505,$L962))</f>
        <v/>
      </c>
      <c r="F962" s="122" t="str">
        <f>IF($L962="","",INDEX('MTRs'!$Q$6:$Q$505,$L962))</f>
        <v/>
      </c>
      <c r="G962" s="122" t="str">
        <f>IF($L962="","",INDEX('MTRs'!$R$6:$R$505,$L962))</f>
        <v/>
      </c>
      <c r="H962" s="130" t="str">
        <f>IF($L962="","",IF(INDEX('MTRs'!$AM$6:$AM$505,$L962)=0,"",N(E962)-N(F962)))</f>
        <v/>
      </c>
      <c r="I962" s="130" t="str">
        <f>IF($L962="","",IF(INDEX('MTRs'!$AM$6:$AM$505,$L962)=0,"",N(F962)-N(G962)))</f>
        <v/>
      </c>
      <c r="J962" s="120" t="str">
        <f>IF($L962="","",INDEX('MTRs'!$S$6:$S$505,$L962)&amp;"")</f>
        <v/>
      </c>
      <c r="L962" t="str">
        <f>IFERROR(MATCH(360,'MTRs'!$BB$6:$BB$505,0),"")</f>
        <v/>
      </c>
    </row>
    <row r="963">
      <c r="B963" s="119" t="str">
        <f>IF($L963="","",INDEX('MTRs'!$A$6:$A$505,$L963)&amp;"")</f>
        <v/>
      </c>
      <c r="C963" s="120" t="str">
        <f>IF($L963="","",INDEX('MTRs'!$B$6:$B$505,$L963)&amp;"")</f>
        <v/>
      </c>
      <c r="D963" s="121" t="str">
        <f>IF($L963="","",INDEX('MTRs'!$W$6:$W$505,$L963))</f>
        <v/>
      </c>
      <c r="E963" s="122" t="str">
        <f>IF($L963="","",INDEX('MTRs'!$P$6:$P$505,$L963))</f>
        <v/>
      </c>
      <c r="F963" s="122" t="str">
        <f>IF($L963="","",INDEX('MTRs'!$Q$6:$Q$505,$L963))</f>
        <v/>
      </c>
      <c r="G963" s="122" t="str">
        <f>IF($L963="","",INDEX('MTRs'!$R$6:$R$505,$L963))</f>
        <v/>
      </c>
      <c r="H963" s="130" t="str">
        <f>IF($L963="","",IF(INDEX('MTRs'!$AM$6:$AM$505,$L963)=0,"",N(E963)-N(F963)))</f>
        <v/>
      </c>
      <c r="I963" s="130" t="str">
        <f>IF($L963="","",IF(INDEX('MTRs'!$AM$6:$AM$505,$L963)=0,"",N(F963)-N(G963)))</f>
        <v/>
      </c>
      <c r="J963" s="120" t="str">
        <f>IF($L963="","",INDEX('MTRs'!$S$6:$S$505,$L963)&amp;"")</f>
        <v/>
      </c>
      <c r="L963" t="str">
        <f>IFERROR(MATCH(361,'MTRs'!$BB$6:$BB$505,0),"")</f>
        <v/>
      </c>
    </row>
    <row r="964">
      <c r="B964" s="119" t="str">
        <f>IF($L964="","",INDEX('MTRs'!$A$6:$A$505,$L964)&amp;"")</f>
        <v/>
      </c>
      <c r="C964" s="120" t="str">
        <f>IF($L964="","",INDEX('MTRs'!$B$6:$B$505,$L964)&amp;"")</f>
        <v/>
      </c>
      <c r="D964" s="121" t="str">
        <f>IF($L964="","",INDEX('MTRs'!$W$6:$W$505,$L964))</f>
        <v/>
      </c>
      <c r="E964" s="122" t="str">
        <f>IF($L964="","",INDEX('MTRs'!$P$6:$P$505,$L964))</f>
        <v/>
      </c>
      <c r="F964" s="122" t="str">
        <f>IF($L964="","",INDEX('MTRs'!$Q$6:$Q$505,$L964))</f>
        <v/>
      </c>
      <c r="G964" s="122" t="str">
        <f>IF($L964="","",INDEX('MTRs'!$R$6:$R$505,$L964))</f>
        <v/>
      </c>
      <c r="H964" s="130" t="str">
        <f>IF($L964="","",IF(INDEX('MTRs'!$AM$6:$AM$505,$L964)=0,"",N(E964)-N(F964)))</f>
        <v/>
      </c>
      <c r="I964" s="130" t="str">
        <f>IF($L964="","",IF(INDEX('MTRs'!$AM$6:$AM$505,$L964)=0,"",N(F964)-N(G964)))</f>
        <v/>
      </c>
      <c r="J964" s="120" t="str">
        <f>IF($L964="","",INDEX('MTRs'!$S$6:$S$505,$L964)&amp;"")</f>
        <v/>
      </c>
      <c r="L964" t="str">
        <f>IFERROR(MATCH(362,'MTRs'!$BB$6:$BB$505,0),"")</f>
        <v/>
      </c>
    </row>
    <row r="965">
      <c r="B965" s="119" t="str">
        <f>IF($L965="","",INDEX('MTRs'!$A$6:$A$505,$L965)&amp;"")</f>
        <v/>
      </c>
      <c r="C965" s="120" t="str">
        <f>IF($L965="","",INDEX('MTRs'!$B$6:$B$505,$L965)&amp;"")</f>
        <v/>
      </c>
      <c r="D965" s="121" t="str">
        <f>IF($L965="","",INDEX('MTRs'!$W$6:$W$505,$L965))</f>
        <v/>
      </c>
      <c r="E965" s="122" t="str">
        <f>IF($L965="","",INDEX('MTRs'!$P$6:$P$505,$L965))</f>
        <v/>
      </c>
      <c r="F965" s="122" t="str">
        <f>IF($L965="","",INDEX('MTRs'!$Q$6:$Q$505,$L965))</f>
        <v/>
      </c>
      <c r="G965" s="122" t="str">
        <f>IF($L965="","",INDEX('MTRs'!$R$6:$R$505,$L965))</f>
        <v/>
      </c>
      <c r="H965" s="130" t="str">
        <f>IF($L965="","",IF(INDEX('MTRs'!$AM$6:$AM$505,$L965)=0,"",N(E965)-N(F965)))</f>
        <v/>
      </c>
      <c r="I965" s="130" t="str">
        <f>IF($L965="","",IF(INDEX('MTRs'!$AM$6:$AM$505,$L965)=0,"",N(F965)-N(G965)))</f>
        <v/>
      </c>
      <c r="J965" s="120" t="str">
        <f>IF($L965="","",INDEX('MTRs'!$S$6:$S$505,$L965)&amp;"")</f>
        <v/>
      </c>
      <c r="L965" t="str">
        <f>IFERROR(MATCH(363,'MTRs'!$BB$6:$BB$505,0),"")</f>
        <v/>
      </c>
    </row>
    <row r="966">
      <c r="B966" s="119" t="str">
        <f>IF($L966="","",INDEX('MTRs'!$A$6:$A$505,$L966)&amp;"")</f>
        <v/>
      </c>
      <c r="C966" s="120" t="str">
        <f>IF($L966="","",INDEX('MTRs'!$B$6:$B$505,$L966)&amp;"")</f>
        <v/>
      </c>
      <c r="D966" s="121" t="str">
        <f>IF($L966="","",INDEX('MTRs'!$W$6:$W$505,$L966))</f>
        <v/>
      </c>
      <c r="E966" s="122" t="str">
        <f>IF($L966="","",INDEX('MTRs'!$P$6:$P$505,$L966))</f>
        <v/>
      </c>
      <c r="F966" s="122" t="str">
        <f>IF($L966="","",INDEX('MTRs'!$Q$6:$Q$505,$L966))</f>
        <v/>
      </c>
      <c r="G966" s="122" t="str">
        <f>IF($L966="","",INDEX('MTRs'!$R$6:$R$505,$L966))</f>
        <v/>
      </c>
      <c r="H966" s="130" t="str">
        <f>IF($L966="","",IF(INDEX('MTRs'!$AM$6:$AM$505,$L966)=0,"",N(E966)-N(F966)))</f>
        <v/>
      </c>
      <c r="I966" s="130" t="str">
        <f>IF($L966="","",IF(INDEX('MTRs'!$AM$6:$AM$505,$L966)=0,"",N(F966)-N(G966)))</f>
        <v/>
      </c>
      <c r="J966" s="120" t="str">
        <f>IF($L966="","",INDEX('MTRs'!$S$6:$S$505,$L966)&amp;"")</f>
        <v/>
      </c>
      <c r="L966" t="str">
        <f>IFERROR(MATCH(364,'MTRs'!$BB$6:$BB$505,0),"")</f>
        <v/>
      </c>
    </row>
    <row r="967">
      <c r="B967" s="119" t="str">
        <f>IF($L967="","",INDEX('MTRs'!$A$6:$A$505,$L967)&amp;"")</f>
        <v/>
      </c>
      <c r="C967" s="120" t="str">
        <f>IF($L967="","",INDEX('MTRs'!$B$6:$B$505,$L967)&amp;"")</f>
        <v/>
      </c>
      <c r="D967" s="121" t="str">
        <f>IF($L967="","",INDEX('MTRs'!$W$6:$W$505,$L967))</f>
        <v/>
      </c>
      <c r="E967" s="122" t="str">
        <f>IF($L967="","",INDEX('MTRs'!$P$6:$P$505,$L967))</f>
        <v/>
      </c>
      <c r="F967" s="122" t="str">
        <f>IF($L967="","",INDEX('MTRs'!$Q$6:$Q$505,$L967))</f>
        <v/>
      </c>
      <c r="G967" s="122" t="str">
        <f>IF($L967="","",INDEX('MTRs'!$R$6:$R$505,$L967))</f>
        <v/>
      </c>
      <c r="H967" s="130" t="str">
        <f>IF($L967="","",IF(INDEX('MTRs'!$AM$6:$AM$505,$L967)=0,"",N(E967)-N(F967)))</f>
        <v/>
      </c>
      <c r="I967" s="130" t="str">
        <f>IF($L967="","",IF(INDEX('MTRs'!$AM$6:$AM$505,$L967)=0,"",N(F967)-N(G967)))</f>
        <v/>
      </c>
      <c r="J967" s="120" t="str">
        <f>IF($L967="","",INDEX('MTRs'!$S$6:$S$505,$L967)&amp;"")</f>
        <v/>
      </c>
      <c r="L967" t="str">
        <f>IFERROR(MATCH(365,'MTRs'!$BB$6:$BB$505,0),"")</f>
        <v/>
      </c>
    </row>
    <row r="968">
      <c r="B968" s="119" t="str">
        <f>IF($L968="","",INDEX('MTRs'!$A$6:$A$505,$L968)&amp;"")</f>
        <v/>
      </c>
      <c r="C968" s="120" t="str">
        <f>IF($L968="","",INDEX('MTRs'!$B$6:$B$505,$L968)&amp;"")</f>
        <v/>
      </c>
      <c r="D968" s="121" t="str">
        <f>IF($L968="","",INDEX('MTRs'!$W$6:$W$505,$L968))</f>
        <v/>
      </c>
      <c r="E968" s="122" t="str">
        <f>IF($L968="","",INDEX('MTRs'!$P$6:$P$505,$L968))</f>
        <v/>
      </c>
      <c r="F968" s="122" t="str">
        <f>IF($L968="","",INDEX('MTRs'!$Q$6:$Q$505,$L968))</f>
        <v/>
      </c>
      <c r="G968" s="122" t="str">
        <f>IF($L968="","",INDEX('MTRs'!$R$6:$R$505,$L968))</f>
        <v/>
      </c>
      <c r="H968" s="130" t="str">
        <f>IF($L968="","",IF(INDEX('MTRs'!$AM$6:$AM$505,$L968)=0,"",N(E968)-N(F968)))</f>
        <v/>
      </c>
      <c r="I968" s="130" t="str">
        <f>IF($L968="","",IF(INDEX('MTRs'!$AM$6:$AM$505,$L968)=0,"",N(F968)-N(G968)))</f>
        <v/>
      </c>
      <c r="J968" s="120" t="str">
        <f>IF($L968="","",INDEX('MTRs'!$S$6:$S$505,$L968)&amp;"")</f>
        <v/>
      </c>
      <c r="L968" t="str">
        <f>IFERROR(MATCH(366,'MTRs'!$BB$6:$BB$505,0),"")</f>
        <v/>
      </c>
    </row>
    <row r="969">
      <c r="B969" s="119" t="str">
        <f>IF($L969="","",INDEX('MTRs'!$A$6:$A$505,$L969)&amp;"")</f>
        <v/>
      </c>
      <c r="C969" s="120" t="str">
        <f>IF($L969="","",INDEX('MTRs'!$B$6:$B$505,$L969)&amp;"")</f>
        <v/>
      </c>
      <c r="D969" s="121" t="str">
        <f>IF($L969="","",INDEX('MTRs'!$W$6:$W$505,$L969))</f>
        <v/>
      </c>
      <c r="E969" s="122" t="str">
        <f>IF($L969="","",INDEX('MTRs'!$P$6:$P$505,$L969))</f>
        <v/>
      </c>
      <c r="F969" s="122" t="str">
        <f>IF($L969="","",INDEX('MTRs'!$Q$6:$Q$505,$L969))</f>
        <v/>
      </c>
      <c r="G969" s="122" t="str">
        <f>IF($L969="","",INDEX('MTRs'!$R$6:$R$505,$L969))</f>
        <v/>
      </c>
      <c r="H969" s="130" t="str">
        <f>IF($L969="","",IF(INDEX('MTRs'!$AM$6:$AM$505,$L969)=0,"",N(E969)-N(F969)))</f>
        <v/>
      </c>
      <c r="I969" s="130" t="str">
        <f>IF($L969="","",IF(INDEX('MTRs'!$AM$6:$AM$505,$L969)=0,"",N(F969)-N(G969)))</f>
        <v/>
      </c>
      <c r="J969" s="120" t="str">
        <f>IF($L969="","",INDEX('MTRs'!$S$6:$S$505,$L969)&amp;"")</f>
        <v/>
      </c>
      <c r="L969" t="str">
        <f>IFERROR(MATCH(367,'MTRs'!$BB$6:$BB$505,0),"")</f>
        <v/>
      </c>
    </row>
    <row r="970">
      <c r="B970" s="119" t="str">
        <f>IF($L970="","",INDEX('MTRs'!$A$6:$A$505,$L970)&amp;"")</f>
        <v/>
      </c>
      <c r="C970" s="120" t="str">
        <f>IF($L970="","",INDEX('MTRs'!$B$6:$B$505,$L970)&amp;"")</f>
        <v/>
      </c>
      <c r="D970" s="121" t="str">
        <f>IF($L970="","",INDEX('MTRs'!$W$6:$W$505,$L970))</f>
        <v/>
      </c>
      <c r="E970" s="122" t="str">
        <f>IF($L970="","",INDEX('MTRs'!$P$6:$P$505,$L970))</f>
        <v/>
      </c>
      <c r="F970" s="122" t="str">
        <f>IF($L970="","",INDEX('MTRs'!$Q$6:$Q$505,$L970))</f>
        <v/>
      </c>
      <c r="G970" s="122" t="str">
        <f>IF($L970="","",INDEX('MTRs'!$R$6:$R$505,$L970))</f>
        <v/>
      </c>
      <c r="H970" s="130" t="str">
        <f>IF($L970="","",IF(INDEX('MTRs'!$AM$6:$AM$505,$L970)=0,"",N(E970)-N(F970)))</f>
        <v/>
      </c>
      <c r="I970" s="130" t="str">
        <f>IF($L970="","",IF(INDEX('MTRs'!$AM$6:$AM$505,$L970)=0,"",N(F970)-N(G970)))</f>
        <v/>
      </c>
      <c r="J970" s="120" t="str">
        <f>IF($L970="","",INDEX('MTRs'!$S$6:$S$505,$L970)&amp;"")</f>
        <v/>
      </c>
      <c r="L970" t="str">
        <f>IFERROR(MATCH(368,'MTRs'!$BB$6:$BB$505,0),"")</f>
        <v/>
      </c>
    </row>
    <row r="971">
      <c r="B971" s="119" t="str">
        <f>IF($L971="","",INDEX('MTRs'!$A$6:$A$505,$L971)&amp;"")</f>
        <v/>
      </c>
      <c r="C971" s="120" t="str">
        <f>IF($L971="","",INDEX('MTRs'!$B$6:$B$505,$L971)&amp;"")</f>
        <v/>
      </c>
      <c r="D971" s="121" t="str">
        <f>IF($L971="","",INDEX('MTRs'!$W$6:$W$505,$L971))</f>
        <v/>
      </c>
      <c r="E971" s="122" t="str">
        <f>IF($L971="","",INDEX('MTRs'!$P$6:$P$505,$L971))</f>
        <v/>
      </c>
      <c r="F971" s="122" t="str">
        <f>IF($L971="","",INDEX('MTRs'!$Q$6:$Q$505,$L971))</f>
        <v/>
      </c>
      <c r="G971" s="122" t="str">
        <f>IF($L971="","",INDEX('MTRs'!$R$6:$R$505,$L971))</f>
        <v/>
      </c>
      <c r="H971" s="130" t="str">
        <f>IF($L971="","",IF(INDEX('MTRs'!$AM$6:$AM$505,$L971)=0,"",N(E971)-N(F971)))</f>
        <v/>
      </c>
      <c r="I971" s="130" t="str">
        <f>IF($L971="","",IF(INDEX('MTRs'!$AM$6:$AM$505,$L971)=0,"",N(F971)-N(G971)))</f>
        <v/>
      </c>
      <c r="J971" s="120" t="str">
        <f>IF($L971="","",INDEX('MTRs'!$S$6:$S$505,$L971)&amp;"")</f>
        <v/>
      </c>
      <c r="L971" t="str">
        <f>IFERROR(MATCH(369,'MTRs'!$BB$6:$BB$505,0),"")</f>
        <v/>
      </c>
    </row>
    <row r="972">
      <c r="B972" s="119" t="str">
        <f>IF($L972="","",INDEX('MTRs'!$A$6:$A$505,$L972)&amp;"")</f>
        <v/>
      </c>
      <c r="C972" s="120" t="str">
        <f>IF($L972="","",INDEX('MTRs'!$B$6:$B$505,$L972)&amp;"")</f>
        <v/>
      </c>
      <c r="D972" s="121" t="str">
        <f>IF($L972="","",INDEX('MTRs'!$W$6:$W$505,$L972))</f>
        <v/>
      </c>
      <c r="E972" s="122" t="str">
        <f>IF($L972="","",INDEX('MTRs'!$P$6:$P$505,$L972))</f>
        <v/>
      </c>
      <c r="F972" s="122" t="str">
        <f>IF($L972="","",INDEX('MTRs'!$Q$6:$Q$505,$L972))</f>
        <v/>
      </c>
      <c r="G972" s="122" t="str">
        <f>IF($L972="","",INDEX('MTRs'!$R$6:$R$505,$L972))</f>
        <v/>
      </c>
      <c r="H972" s="130" t="str">
        <f>IF($L972="","",IF(INDEX('MTRs'!$AM$6:$AM$505,$L972)=0,"",N(E972)-N(F972)))</f>
        <v/>
      </c>
      <c r="I972" s="130" t="str">
        <f>IF($L972="","",IF(INDEX('MTRs'!$AM$6:$AM$505,$L972)=0,"",N(F972)-N(G972)))</f>
        <v/>
      </c>
      <c r="J972" s="120" t="str">
        <f>IF($L972="","",INDEX('MTRs'!$S$6:$S$505,$L972)&amp;"")</f>
        <v/>
      </c>
      <c r="L972" t="str">
        <f>IFERROR(MATCH(370,'MTRs'!$BB$6:$BB$505,0),"")</f>
        <v/>
      </c>
    </row>
    <row r="973">
      <c r="B973" s="119" t="str">
        <f>IF($L973="","",INDEX('MTRs'!$A$6:$A$505,$L973)&amp;"")</f>
        <v/>
      </c>
      <c r="C973" s="120" t="str">
        <f>IF($L973="","",INDEX('MTRs'!$B$6:$B$505,$L973)&amp;"")</f>
        <v/>
      </c>
      <c r="D973" s="121" t="str">
        <f>IF($L973="","",INDEX('MTRs'!$W$6:$W$505,$L973))</f>
        <v/>
      </c>
      <c r="E973" s="122" t="str">
        <f>IF($L973="","",INDEX('MTRs'!$P$6:$P$505,$L973))</f>
        <v/>
      </c>
      <c r="F973" s="122" t="str">
        <f>IF($L973="","",INDEX('MTRs'!$Q$6:$Q$505,$L973))</f>
        <v/>
      </c>
      <c r="G973" s="122" t="str">
        <f>IF($L973="","",INDEX('MTRs'!$R$6:$R$505,$L973))</f>
        <v/>
      </c>
      <c r="H973" s="130" t="str">
        <f>IF($L973="","",IF(INDEX('MTRs'!$AM$6:$AM$505,$L973)=0,"",N(E973)-N(F973)))</f>
        <v/>
      </c>
      <c r="I973" s="130" t="str">
        <f>IF($L973="","",IF(INDEX('MTRs'!$AM$6:$AM$505,$L973)=0,"",N(F973)-N(G973)))</f>
        <v/>
      </c>
      <c r="J973" s="120" t="str">
        <f>IF($L973="","",INDEX('MTRs'!$S$6:$S$505,$L973)&amp;"")</f>
        <v/>
      </c>
      <c r="L973" t="str">
        <f>IFERROR(MATCH(371,'MTRs'!$BB$6:$BB$505,0),"")</f>
        <v/>
      </c>
    </row>
    <row r="974">
      <c r="B974" s="119" t="str">
        <f>IF($L974="","",INDEX('MTRs'!$A$6:$A$505,$L974)&amp;"")</f>
        <v/>
      </c>
      <c r="C974" s="120" t="str">
        <f>IF($L974="","",INDEX('MTRs'!$B$6:$B$505,$L974)&amp;"")</f>
        <v/>
      </c>
      <c r="D974" s="121" t="str">
        <f>IF($L974="","",INDEX('MTRs'!$W$6:$W$505,$L974))</f>
        <v/>
      </c>
      <c r="E974" s="122" t="str">
        <f>IF($L974="","",INDEX('MTRs'!$P$6:$P$505,$L974))</f>
        <v/>
      </c>
      <c r="F974" s="122" t="str">
        <f>IF($L974="","",INDEX('MTRs'!$Q$6:$Q$505,$L974))</f>
        <v/>
      </c>
      <c r="G974" s="122" t="str">
        <f>IF($L974="","",INDEX('MTRs'!$R$6:$R$505,$L974))</f>
        <v/>
      </c>
      <c r="H974" s="130" t="str">
        <f>IF($L974="","",IF(INDEX('MTRs'!$AM$6:$AM$505,$L974)=0,"",N(E974)-N(F974)))</f>
        <v/>
      </c>
      <c r="I974" s="130" t="str">
        <f>IF($L974="","",IF(INDEX('MTRs'!$AM$6:$AM$505,$L974)=0,"",N(F974)-N(G974)))</f>
        <v/>
      </c>
      <c r="J974" s="120" t="str">
        <f>IF($L974="","",INDEX('MTRs'!$S$6:$S$505,$L974)&amp;"")</f>
        <v/>
      </c>
      <c r="L974" t="str">
        <f>IFERROR(MATCH(372,'MTRs'!$BB$6:$BB$505,0),"")</f>
        <v/>
      </c>
    </row>
    <row r="975">
      <c r="B975" s="119" t="str">
        <f>IF($L975="","",INDEX('MTRs'!$A$6:$A$505,$L975)&amp;"")</f>
        <v/>
      </c>
      <c r="C975" s="120" t="str">
        <f>IF($L975="","",INDEX('MTRs'!$B$6:$B$505,$L975)&amp;"")</f>
        <v/>
      </c>
      <c r="D975" s="121" t="str">
        <f>IF($L975="","",INDEX('MTRs'!$W$6:$W$505,$L975))</f>
        <v/>
      </c>
      <c r="E975" s="122" t="str">
        <f>IF($L975="","",INDEX('MTRs'!$P$6:$P$505,$L975))</f>
        <v/>
      </c>
      <c r="F975" s="122" t="str">
        <f>IF($L975="","",INDEX('MTRs'!$Q$6:$Q$505,$L975))</f>
        <v/>
      </c>
      <c r="G975" s="122" t="str">
        <f>IF($L975="","",INDEX('MTRs'!$R$6:$R$505,$L975))</f>
        <v/>
      </c>
      <c r="H975" s="130" t="str">
        <f>IF($L975="","",IF(INDEX('MTRs'!$AM$6:$AM$505,$L975)=0,"",N(E975)-N(F975)))</f>
        <v/>
      </c>
      <c r="I975" s="130" t="str">
        <f>IF($L975="","",IF(INDEX('MTRs'!$AM$6:$AM$505,$L975)=0,"",N(F975)-N(G975)))</f>
        <v/>
      </c>
      <c r="J975" s="120" t="str">
        <f>IF($L975="","",INDEX('MTRs'!$S$6:$S$505,$L975)&amp;"")</f>
        <v/>
      </c>
      <c r="L975" t="str">
        <f>IFERROR(MATCH(373,'MTRs'!$BB$6:$BB$505,0),"")</f>
        <v/>
      </c>
    </row>
    <row r="976">
      <c r="B976" s="119" t="str">
        <f>IF($L976="","",INDEX('MTRs'!$A$6:$A$505,$L976)&amp;"")</f>
        <v/>
      </c>
      <c r="C976" s="120" t="str">
        <f>IF($L976="","",INDEX('MTRs'!$B$6:$B$505,$L976)&amp;"")</f>
        <v/>
      </c>
      <c r="D976" s="121" t="str">
        <f>IF($L976="","",INDEX('MTRs'!$W$6:$W$505,$L976))</f>
        <v/>
      </c>
      <c r="E976" s="122" t="str">
        <f>IF($L976="","",INDEX('MTRs'!$P$6:$P$505,$L976))</f>
        <v/>
      </c>
      <c r="F976" s="122" t="str">
        <f>IF($L976="","",INDEX('MTRs'!$Q$6:$Q$505,$L976))</f>
        <v/>
      </c>
      <c r="G976" s="122" t="str">
        <f>IF($L976="","",INDEX('MTRs'!$R$6:$R$505,$L976))</f>
        <v/>
      </c>
      <c r="H976" s="130" t="str">
        <f>IF($L976="","",IF(INDEX('MTRs'!$AM$6:$AM$505,$L976)=0,"",N(E976)-N(F976)))</f>
        <v/>
      </c>
      <c r="I976" s="130" t="str">
        <f>IF($L976="","",IF(INDEX('MTRs'!$AM$6:$AM$505,$L976)=0,"",N(F976)-N(G976)))</f>
        <v/>
      </c>
      <c r="J976" s="120" t="str">
        <f>IF($L976="","",INDEX('MTRs'!$S$6:$S$505,$L976)&amp;"")</f>
        <v/>
      </c>
      <c r="L976" t="str">
        <f>IFERROR(MATCH(374,'MTRs'!$BB$6:$BB$505,0),"")</f>
        <v/>
      </c>
    </row>
    <row r="977">
      <c r="B977" s="119" t="str">
        <f>IF($L977="","",INDEX('MTRs'!$A$6:$A$505,$L977)&amp;"")</f>
        <v/>
      </c>
      <c r="C977" s="120" t="str">
        <f>IF($L977="","",INDEX('MTRs'!$B$6:$B$505,$L977)&amp;"")</f>
        <v/>
      </c>
      <c r="D977" s="121" t="str">
        <f>IF($L977="","",INDEX('MTRs'!$W$6:$W$505,$L977))</f>
        <v/>
      </c>
      <c r="E977" s="122" t="str">
        <f>IF($L977="","",INDEX('MTRs'!$P$6:$P$505,$L977))</f>
        <v/>
      </c>
      <c r="F977" s="122" t="str">
        <f>IF($L977="","",INDEX('MTRs'!$Q$6:$Q$505,$L977))</f>
        <v/>
      </c>
      <c r="G977" s="122" t="str">
        <f>IF($L977="","",INDEX('MTRs'!$R$6:$R$505,$L977))</f>
        <v/>
      </c>
      <c r="H977" s="130" t="str">
        <f>IF($L977="","",IF(INDEX('MTRs'!$AM$6:$AM$505,$L977)=0,"",N(E977)-N(F977)))</f>
        <v/>
      </c>
      <c r="I977" s="130" t="str">
        <f>IF($L977="","",IF(INDEX('MTRs'!$AM$6:$AM$505,$L977)=0,"",N(F977)-N(G977)))</f>
        <v/>
      </c>
      <c r="J977" s="120" t="str">
        <f>IF($L977="","",INDEX('MTRs'!$S$6:$S$505,$L977)&amp;"")</f>
        <v/>
      </c>
      <c r="L977" t="str">
        <f>IFERROR(MATCH(375,'MTRs'!$BB$6:$BB$505,0),"")</f>
        <v/>
      </c>
    </row>
    <row r="978">
      <c r="B978" s="119" t="str">
        <f>IF($L978="","",INDEX('MTRs'!$A$6:$A$505,$L978)&amp;"")</f>
        <v/>
      </c>
      <c r="C978" s="120" t="str">
        <f>IF($L978="","",INDEX('MTRs'!$B$6:$B$505,$L978)&amp;"")</f>
        <v/>
      </c>
      <c r="D978" s="121" t="str">
        <f>IF($L978="","",INDEX('MTRs'!$W$6:$W$505,$L978))</f>
        <v/>
      </c>
      <c r="E978" s="122" t="str">
        <f>IF($L978="","",INDEX('MTRs'!$P$6:$P$505,$L978))</f>
        <v/>
      </c>
      <c r="F978" s="122" t="str">
        <f>IF($L978="","",INDEX('MTRs'!$Q$6:$Q$505,$L978))</f>
        <v/>
      </c>
      <c r="G978" s="122" t="str">
        <f>IF($L978="","",INDEX('MTRs'!$R$6:$R$505,$L978))</f>
        <v/>
      </c>
      <c r="H978" s="130" t="str">
        <f>IF($L978="","",IF(INDEX('MTRs'!$AM$6:$AM$505,$L978)=0,"",N(E978)-N(F978)))</f>
        <v/>
      </c>
      <c r="I978" s="130" t="str">
        <f>IF($L978="","",IF(INDEX('MTRs'!$AM$6:$AM$505,$L978)=0,"",N(F978)-N(G978)))</f>
        <v/>
      </c>
      <c r="J978" s="120" t="str">
        <f>IF($L978="","",INDEX('MTRs'!$S$6:$S$505,$L978)&amp;"")</f>
        <v/>
      </c>
      <c r="L978" t="str">
        <f>IFERROR(MATCH(376,'MTRs'!$BB$6:$BB$505,0),"")</f>
        <v/>
      </c>
    </row>
    <row r="979">
      <c r="B979" s="119" t="str">
        <f>IF($L979="","",INDEX('MTRs'!$A$6:$A$505,$L979)&amp;"")</f>
        <v/>
      </c>
      <c r="C979" s="120" t="str">
        <f>IF($L979="","",INDEX('MTRs'!$B$6:$B$505,$L979)&amp;"")</f>
        <v/>
      </c>
      <c r="D979" s="121" t="str">
        <f>IF($L979="","",INDEX('MTRs'!$W$6:$W$505,$L979))</f>
        <v/>
      </c>
      <c r="E979" s="122" t="str">
        <f>IF($L979="","",INDEX('MTRs'!$P$6:$P$505,$L979))</f>
        <v/>
      </c>
      <c r="F979" s="122" t="str">
        <f>IF($L979="","",INDEX('MTRs'!$Q$6:$Q$505,$L979))</f>
        <v/>
      </c>
      <c r="G979" s="122" t="str">
        <f>IF($L979="","",INDEX('MTRs'!$R$6:$R$505,$L979))</f>
        <v/>
      </c>
      <c r="H979" s="130" t="str">
        <f>IF($L979="","",IF(INDEX('MTRs'!$AM$6:$AM$505,$L979)=0,"",N(E979)-N(F979)))</f>
        <v/>
      </c>
      <c r="I979" s="130" t="str">
        <f>IF($L979="","",IF(INDEX('MTRs'!$AM$6:$AM$505,$L979)=0,"",N(F979)-N(G979)))</f>
        <v/>
      </c>
      <c r="J979" s="120" t="str">
        <f>IF($L979="","",INDEX('MTRs'!$S$6:$S$505,$L979)&amp;"")</f>
        <v/>
      </c>
      <c r="L979" t="str">
        <f>IFERROR(MATCH(377,'MTRs'!$BB$6:$BB$505,0),"")</f>
        <v/>
      </c>
    </row>
    <row r="980">
      <c r="B980" s="119" t="str">
        <f>IF($L980="","",INDEX('MTRs'!$A$6:$A$505,$L980)&amp;"")</f>
        <v/>
      </c>
      <c r="C980" s="120" t="str">
        <f>IF($L980="","",INDEX('MTRs'!$B$6:$B$505,$L980)&amp;"")</f>
        <v/>
      </c>
      <c r="D980" s="121" t="str">
        <f>IF($L980="","",INDEX('MTRs'!$W$6:$W$505,$L980))</f>
        <v/>
      </c>
      <c r="E980" s="122" t="str">
        <f>IF($L980="","",INDEX('MTRs'!$P$6:$P$505,$L980))</f>
        <v/>
      </c>
      <c r="F980" s="122" t="str">
        <f>IF($L980="","",INDEX('MTRs'!$Q$6:$Q$505,$L980))</f>
        <v/>
      </c>
      <c r="G980" s="122" t="str">
        <f>IF($L980="","",INDEX('MTRs'!$R$6:$R$505,$L980))</f>
        <v/>
      </c>
      <c r="H980" s="130" t="str">
        <f>IF($L980="","",IF(INDEX('MTRs'!$AM$6:$AM$505,$L980)=0,"",N(E980)-N(F980)))</f>
        <v/>
      </c>
      <c r="I980" s="130" t="str">
        <f>IF($L980="","",IF(INDEX('MTRs'!$AM$6:$AM$505,$L980)=0,"",N(F980)-N(G980)))</f>
        <v/>
      </c>
      <c r="J980" s="120" t="str">
        <f>IF($L980="","",INDEX('MTRs'!$S$6:$S$505,$L980)&amp;"")</f>
        <v/>
      </c>
      <c r="L980" t="str">
        <f>IFERROR(MATCH(378,'MTRs'!$BB$6:$BB$505,0),"")</f>
        <v/>
      </c>
    </row>
    <row r="981">
      <c r="B981" s="119" t="str">
        <f>IF($L981="","",INDEX('MTRs'!$A$6:$A$505,$L981)&amp;"")</f>
        <v/>
      </c>
      <c r="C981" s="120" t="str">
        <f>IF($L981="","",INDEX('MTRs'!$B$6:$B$505,$L981)&amp;"")</f>
        <v/>
      </c>
      <c r="D981" s="121" t="str">
        <f>IF($L981="","",INDEX('MTRs'!$W$6:$W$505,$L981))</f>
        <v/>
      </c>
      <c r="E981" s="122" t="str">
        <f>IF($L981="","",INDEX('MTRs'!$P$6:$P$505,$L981))</f>
        <v/>
      </c>
      <c r="F981" s="122" t="str">
        <f>IF($L981="","",INDEX('MTRs'!$Q$6:$Q$505,$L981))</f>
        <v/>
      </c>
      <c r="G981" s="122" t="str">
        <f>IF($L981="","",INDEX('MTRs'!$R$6:$R$505,$L981))</f>
        <v/>
      </c>
      <c r="H981" s="130" t="str">
        <f>IF($L981="","",IF(INDEX('MTRs'!$AM$6:$AM$505,$L981)=0,"",N(E981)-N(F981)))</f>
        <v/>
      </c>
      <c r="I981" s="130" t="str">
        <f>IF($L981="","",IF(INDEX('MTRs'!$AM$6:$AM$505,$L981)=0,"",N(F981)-N(G981)))</f>
        <v/>
      </c>
      <c r="J981" s="120" t="str">
        <f>IF($L981="","",INDEX('MTRs'!$S$6:$S$505,$L981)&amp;"")</f>
        <v/>
      </c>
      <c r="L981" t="str">
        <f>IFERROR(MATCH(379,'MTRs'!$BB$6:$BB$505,0),"")</f>
        <v/>
      </c>
    </row>
    <row r="982">
      <c r="B982" s="119" t="str">
        <f>IF($L982="","",INDEX('MTRs'!$A$6:$A$505,$L982)&amp;"")</f>
        <v/>
      </c>
      <c r="C982" s="120" t="str">
        <f>IF($L982="","",INDEX('MTRs'!$B$6:$B$505,$L982)&amp;"")</f>
        <v/>
      </c>
      <c r="D982" s="121" t="str">
        <f>IF($L982="","",INDEX('MTRs'!$W$6:$W$505,$L982))</f>
        <v/>
      </c>
      <c r="E982" s="122" t="str">
        <f>IF($L982="","",INDEX('MTRs'!$P$6:$P$505,$L982))</f>
        <v/>
      </c>
      <c r="F982" s="122" t="str">
        <f>IF($L982="","",INDEX('MTRs'!$Q$6:$Q$505,$L982))</f>
        <v/>
      </c>
      <c r="G982" s="122" t="str">
        <f>IF($L982="","",INDEX('MTRs'!$R$6:$R$505,$L982))</f>
        <v/>
      </c>
      <c r="H982" s="130" t="str">
        <f>IF($L982="","",IF(INDEX('MTRs'!$AM$6:$AM$505,$L982)=0,"",N(E982)-N(F982)))</f>
        <v/>
      </c>
      <c r="I982" s="130" t="str">
        <f>IF($L982="","",IF(INDEX('MTRs'!$AM$6:$AM$505,$L982)=0,"",N(F982)-N(G982)))</f>
        <v/>
      </c>
      <c r="J982" s="120" t="str">
        <f>IF($L982="","",INDEX('MTRs'!$S$6:$S$505,$L982)&amp;"")</f>
        <v/>
      </c>
      <c r="L982" t="str">
        <f>IFERROR(MATCH(380,'MTRs'!$BB$6:$BB$505,0),"")</f>
        <v/>
      </c>
    </row>
    <row r="983">
      <c r="B983" s="119" t="str">
        <f>IF($L983="","",INDEX('MTRs'!$A$6:$A$505,$L983)&amp;"")</f>
        <v/>
      </c>
      <c r="C983" s="120" t="str">
        <f>IF($L983="","",INDEX('MTRs'!$B$6:$B$505,$L983)&amp;"")</f>
        <v/>
      </c>
      <c r="D983" s="121" t="str">
        <f>IF($L983="","",INDEX('MTRs'!$W$6:$W$505,$L983))</f>
        <v/>
      </c>
      <c r="E983" s="122" t="str">
        <f>IF($L983="","",INDEX('MTRs'!$P$6:$P$505,$L983))</f>
        <v/>
      </c>
      <c r="F983" s="122" t="str">
        <f>IF($L983="","",INDEX('MTRs'!$Q$6:$Q$505,$L983))</f>
        <v/>
      </c>
      <c r="G983" s="122" t="str">
        <f>IF($L983="","",INDEX('MTRs'!$R$6:$R$505,$L983))</f>
        <v/>
      </c>
      <c r="H983" s="130" t="str">
        <f>IF($L983="","",IF(INDEX('MTRs'!$AM$6:$AM$505,$L983)=0,"",N(E983)-N(F983)))</f>
        <v/>
      </c>
      <c r="I983" s="130" t="str">
        <f>IF($L983="","",IF(INDEX('MTRs'!$AM$6:$AM$505,$L983)=0,"",N(F983)-N(G983)))</f>
        <v/>
      </c>
      <c r="J983" s="120" t="str">
        <f>IF($L983="","",INDEX('MTRs'!$S$6:$S$505,$L983)&amp;"")</f>
        <v/>
      </c>
      <c r="L983" t="str">
        <f>IFERROR(MATCH(381,'MTRs'!$BB$6:$BB$505,0),"")</f>
        <v/>
      </c>
    </row>
    <row r="984">
      <c r="B984" s="119" t="str">
        <f>IF($L984="","",INDEX('MTRs'!$A$6:$A$505,$L984)&amp;"")</f>
        <v/>
      </c>
      <c r="C984" s="120" t="str">
        <f>IF($L984="","",INDEX('MTRs'!$B$6:$B$505,$L984)&amp;"")</f>
        <v/>
      </c>
      <c r="D984" s="121" t="str">
        <f>IF($L984="","",INDEX('MTRs'!$W$6:$W$505,$L984))</f>
        <v/>
      </c>
      <c r="E984" s="122" t="str">
        <f>IF($L984="","",INDEX('MTRs'!$P$6:$P$505,$L984))</f>
        <v/>
      </c>
      <c r="F984" s="122" t="str">
        <f>IF($L984="","",INDEX('MTRs'!$Q$6:$Q$505,$L984))</f>
        <v/>
      </c>
      <c r="G984" s="122" t="str">
        <f>IF($L984="","",INDEX('MTRs'!$R$6:$R$505,$L984))</f>
        <v/>
      </c>
      <c r="H984" s="130" t="str">
        <f>IF($L984="","",IF(INDEX('MTRs'!$AM$6:$AM$505,$L984)=0,"",N(E984)-N(F984)))</f>
        <v/>
      </c>
      <c r="I984" s="130" t="str">
        <f>IF($L984="","",IF(INDEX('MTRs'!$AM$6:$AM$505,$L984)=0,"",N(F984)-N(G984)))</f>
        <v/>
      </c>
      <c r="J984" s="120" t="str">
        <f>IF($L984="","",INDEX('MTRs'!$S$6:$S$505,$L984)&amp;"")</f>
        <v/>
      </c>
      <c r="L984" t="str">
        <f>IFERROR(MATCH(382,'MTRs'!$BB$6:$BB$505,0),"")</f>
        <v/>
      </c>
    </row>
    <row r="985">
      <c r="B985" s="119" t="str">
        <f>IF($L985="","",INDEX('MTRs'!$A$6:$A$505,$L985)&amp;"")</f>
        <v/>
      </c>
      <c r="C985" s="120" t="str">
        <f>IF($L985="","",INDEX('MTRs'!$B$6:$B$505,$L985)&amp;"")</f>
        <v/>
      </c>
      <c r="D985" s="121" t="str">
        <f>IF($L985="","",INDEX('MTRs'!$W$6:$W$505,$L985))</f>
        <v/>
      </c>
      <c r="E985" s="122" t="str">
        <f>IF($L985="","",INDEX('MTRs'!$P$6:$P$505,$L985))</f>
        <v/>
      </c>
      <c r="F985" s="122" t="str">
        <f>IF($L985="","",INDEX('MTRs'!$Q$6:$Q$505,$L985))</f>
        <v/>
      </c>
      <c r="G985" s="122" t="str">
        <f>IF($L985="","",INDEX('MTRs'!$R$6:$R$505,$L985))</f>
        <v/>
      </c>
      <c r="H985" s="130" t="str">
        <f>IF($L985="","",IF(INDEX('MTRs'!$AM$6:$AM$505,$L985)=0,"",N(E985)-N(F985)))</f>
        <v/>
      </c>
      <c r="I985" s="130" t="str">
        <f>IF($L985="","",IF(INDEX('MTRs'!$AM$6:$AM$505,$L985)=0,"",N(F985)-N(G985)))</f>
        <v/>
      </c>
      <c r="J985" s="120" t="str">
        <f>IF($L985="","",INDEX('MTRs'!$S$6:$S$505,$L985)&amp;"")</f>
        <v/>
      </c>
      <c r="L985" t="str">
        <f>IFERROR(MATCH(383,'MTRs'!$BB$6:$BB$505,0),"")</f>
        <v/>
      </c>
    </row>
    <row r="986">
      <c r="B986" s="119" t="str">
        <f>IF($L986="","",INDEX('MTRs'!$A$6:$A$505,$L986)&amp;"")</f>
        <v/>
      </c>
      <c r="C986" s="120" t="str">
        <f>IF($L986="","",INDEX('MTRs'!$B$6:$B$505,$L986)&amp;"")</f>
        <v/>
      </c>
      <c r="D986" s="121" t="str">
        <f>IF($L986="","",INDEX('MTRs'!$W$6:$W$505,$L986))</f>
        <v/>
      </c>
      <c r="E986" s="122" t="str">
        <f>IF($L986="","",INDEX('MTRs'!$P$6:$P$505,$L986))</f>
        <v/>
      </c>
      <c r="F986" s="122" t="str">
        <f>IF($L986="","",INDEX('MTRs'!$Q$6:$Q$505,$L986))</f>
        <v/>
      </c>
      <c r="G986" s="122" t="str">
        <f>IF($L986="","",INDEX('MTRs'!$R$6:$R$505,$L986))</f>
        <v/>
      </c>
      <c r="H986" s="130" t="str">
        <f>IF($L986="","",IF(INDEX('MTRs'!$AM$6:$AM$505,$L986)=0,"",N(E986)-N(F986)))</f>
        <v/>
      </c>
      <c r="I986" s="130" t="str">
        <f>IF($L986="","",IF(INDEX('MTRs'!$AM$6:$AM$505,$L986)=0,"",N(F986)-N(G986)))</f>
        <v/>
      </c>
      <c r="J986" s="120" t="str">
        <f>IF($L986="","",INDEX('MTRs'!$S$6:$S$505,$L986)&amp;"")</f>
        <v/>
      </c>
      <c r="L986" t="str">
        <f>IFERROR(MATCH(384,'MTRs'!$BB$6:$BB$505,0),"")</f>
        <v/>
      </c>
    </row>
    <row r="987">
      <c r="B987" s="119" t="str">
        <f>IF($L987="","",INDEX('MTRs'!$A$6:$A$505,$L987)&amp;"")</f>
        <v/>
      </c>
      <c r="C987" s="120" t="str">
        <f>IF($L987="","",INDEX('MTRs'!$B$6:$B$505,$L987)&amp;"")</f>
        <v/>
      </c>
      <c r="D987" s="121" t="str">
        <f>IF($L987="","",INDEX('MTRs'!$W$6:$W$505,$L987))</f>
        <v/>
      </c>
      <c r="E987" s="122" t="str">
        <f>IF($L987="","",INDEX('MTRs'!$P$6:$P$505,$L987))</f>
        <v/>
      </c>
      <c r="F987" s="122" t="str">
        <f>IF($L987="","",INDEX('MTRs'!$Q$6:$Q$505,$L987))</f>
        <v/>
      </c>
      <c r="G987" s="122" t="str">
        <f>IF($L987="","",INDEX('MTRs'!$R$6:$R$505,$L987))</f>
        <v/>
      </c>
      <c r="H987" s="130" t="str">
        <f>IF($L987="","",IF(INDEX('MTRs'!$AM$6:$AM$505,$L987)=0,"",N(E987)-N(F987)))</f>
        <v/>
      </c>
      <c r="I987" s="130" t="str">
        <f>IF($L987="","",IF(INDEX('MTRs'!$AM$6:$AM$505,$L987)=0,"",N(F987)-N(G987)))</f>
        <v/>
      </c>
      <c r="J987" s="120" t="str">
        <f>IF($L987="","",INDEX('MTRs'!$S$6:$S$505,$L987)&amp;"")</f>
        <v/>
      </c>
      <c r="L987" t="str">
        <f>IFERROR(MATCH(385,'MTRs'!$BB$6:$BB$505,0),"")</f>
        <v/>
      </c>
    </row>
    <row r="988">
      <c r="B988" s="119" t="str">
        <f>IF($L988="","",INDEX('MTRs'!$A$6:$A$505,$L988)&amp;"")</f>
        <v/>
      </c>
      <c r="C988" s="120" t="str">
        <f>IF($L988="","",INDEX('MTRs'!$B$6:$B$505,$L988)&amp;"")</f>
        <v/>
      </c>
      <c r="D988" s="121" t="str">
        <f>IF($L988="","",INDEX('MTRs'!$W$6:$W$505,$L988))</f>
        <v/>
      </c>
      <c r="E988" s="122" t="str">
        <f>IF($L988="","",INDEX('MTRs'!$P$6:$P$505,$L988))</f>
        <v/>
      </c>
      <c r="F988" s="122" t="str">
        <f>IF($L988="","",INDEX('MTRs'!$Q$6:$Q$505,$L988))</f>
        <v/>
      </c>
      <c r="G988" s="122" t="str">
        <f>IF($L988="","",INDEX('MTRs'!$R$6:$R$505,$L988))</f>
        <v/>
      </c>
      <c r="H988" s="130" t="str">
        <f>IF($L988="","",IF(INDEX('MTRs'!$AM$6:$AM$505,$L988)=0,"",N(E988)-N(F988)))</f>
        <v/>
      </c>
      <c r="I988" s="130" t="str">
        <f>IF($L988="","",IF(INDEX('MTRs'!$AM$6:$AM$505,$L988)=0,"",N(F988)-N(G988)))</f>
        <v/>
      </c>
      <c r="J988" s="120" t="str">
        <f>IF($L988="","",INDEX('MTRs'!$S$6:$S$505,$L988)&amp;"")</f>
        <v/>
      </c>
      <c r="L988" t="str">
        <f>IFERROR(MATCH(386,'MTRs'!$BB$6:$BB$505,0),"")</f>
        <v/>
      </c>
    </row>
    <row r="989">
      <c r="B989" s="119" t="str">
        <f>IF($L989="","",INDEX('MTRs'!$A$6:$A$505,$L989)&amp;"")</f>
        <v/>
      </c>
      <c r="C989" s="120" t="str">
        <f>IF($L989="","",INDEX('MTRs'!$B$6:$B$505,$L989)&amp;"")</f>
        <v/>
      </c>
      <c r="D989" s="121" t="str">
        <f>IF($L989="","",INDEX('MTRs'!$W$6:$W$505,$L989))</f>
        <v/>
      </c>
      <c r="E989" s="122" t="str">
        <f>IF($L989="","",INDEX('MTRs'!$P$6:$P$505,$L989))</f>
        <v/>
      </c>
      <c r="F989" s="122" t="str">
        <f>IF($L989="","",INDEX('MTRs'!$Q$6:$Q$505,$L989))</f>
        <v/>
      </c>
      <c r="G989" s="122" t="str">
        <f>IF($L989="","",INDEX('MTRs'!$R$6:$R$505,$L989))</f>
        <v/>
      </c>
      <c r="H989" s="130" t="str">
        <f>IF($L989="","",IF(INDEX('MTRs'!$AM$6:$AM$505,$L989)=0,"",N(E989)-N(F989)))</f>
        <v/>
      </c>
      <c r="I989" s="130" t="str">
        <f>IF($L989="","",IF(INDEX('MTRs'!$AM$6:$AM$505,$L989)=0,"",N(F989)-N(G989)))</f>
        <v/>
      </c>
      <c r="J989" s="120" t="str">
        <f>IF($L989="","",INDEX('MTRs'!$S$6:$S$505,$L989)&amp;"")</f>
        <v/>
      </c>
      <c r="L989" t="str">
        <f>IFERROR(MATCH(387,'MTRs'!$BB$6:$BB$505,0),"")</f>
        <v/>
      </c>
    </row>
    <row r="990">
      <c r="B990" s="119" t="str">
        <f>IF($L990="","",INDEX('MTRs'!$A$6:$A$505,$L990)&amp;"")</f>
        <v/>
      </c>
      <c r="C990" s="120" t="str">
        <f>IF($L990="","",INDEX('MTRs'!$B$6:$B$505,$L990)&amp;"")</f>
        <v/>
      </c>
      <c r="D990" s="121" t="str">
        <f>IF($L990="","",INDEX('MTRs'!$W$6:$W$505,$L990))</f>
        <v/>
      </c>
      <c r="E990" s="122" t="str">
        <f>IF($L990="","",INDEX('MTRs'!$P$6:$P$505,$L990))</f>
        <v/>
      </c>
      <c r="F990" s="122" t="str">
        <f>IF($L990="","",INDEX('MTRs'!$Q$6:$Q$505,$L990))</f>
        <v/>
      </c>
      <c r="G990" s="122" t="str">
        <f>IF($L990="","",INDEX('MTRs'!$R$6:$R$505,$L990))</f>
        <v/>
      </c>
      <c r="H990" s="130" t="str">
        <f>IF($L990="","",IF(INDEX('MTRs'!$AM$6:$AM$505,$L990)=0,"",N(E990)-N(F990)))</f>
        <v/>
      </c>
      <c r="I990" s="130" t="str">
        <f>IF($L990="","",IF(INDEX('MTRs'!$AM$6:$AM$505,$L990)=0,"",N(F990)-N(G990)))</f>
        <v/>
      </c>
      <c r="J990" s="120" t="str">
        <f>IF($L990="","",INDEX('MTRs'!$S$6:$S$505,$L990)&amp;"")</f>
        <v/>
      </c>
      <c r="L990" t="str">
        <f>IFERROR(MATCH(388,'MTRs'!$BB$6:$BB$505,0),"")</f>
        <v/>
      </c>
    </row>
    <row r="991">
      <c r="B991" s="119" t="str">
        <f>IF($L991="","",INDEX('MTRs'!$A$6:$A$505,$L991)&amp;"")</f>
        <v/>
      </c>
      <c r="C991" s="120" t="str">
        <f>IF($L991="","",INDEX('MTRs'!$B$6:$B$505,$L991)&amp;"")</f>
        <v/>
      </c>
      <c r="D991" s="121" t="str">
        <f>IF($L991="","",INDEX('MTRs'!$W$6:$W$505,$L991))</f>
        <v/>
      </c>
      <c r="E991" s="122" t="str">
        <f>IF($L991="","",INDEX('MTRs'!$P$6:$P$505,$L991))</f>
        <v/>
      </c>
      <c r="F991" s="122" t="str">
        <f>IF($L991="","",INDEX('MTRs'!$Q$6:$Q$505,$L991))</f>
        <v/>
      </c>
      <c r="G991" s="122" t="str">
        <f>IF($L991="","",INDEX('MTRs'!$R$6:$R$505,$L991))</f>
        <v/>
      </c>
      <c r="H991" s="130" t="str">
        <f>IF($L991="","",IF(INDEX('MTRs'!$AM$6:$AM$505,$L991)=0,"",N(E991)-N(F991)))</f>
        <v/>
      </c>
      <c r="I991" s="130" t="str">
        <f>IF($L991="","",IF(INDEX('MTRs'!$AM$6:$AM$505,$L991)=0,"",N(F991)-N(G991)))</f>
        <v/>
      </c>
      <c r="J991" s="120" t="str">
        <f>IF($L991="","",INDEX('MTRs'!$S$6:$S$505,$L991)&amp;"")</f>
        <v/>
      </c>
      <c r="L991" t="str">
        <f>IFERROR(MATCH(389,'MTRs'!$BB$6:$BB$505,0),"")</f>
        <v/>
      </c>
    </row>
    <row r="992">
      <c r="B992" s="119" t="str">
        <f>IF($L992="","",INDEX('MTRs'!$A$6:$A$505,$L992)&amp;"")</f>
        <v/>
      </c>
      <c r="C992" s="120" t="str">
        <f>IF($L992="","",INDEX('MTRs'!$B$6:$B$505,$L992)&amp;"")</f>
        <v/>
      </c>
      <c r="D992" s="121" t="str">
        <f>IF($L992="","",INDEX('MTRs'!$W$6:$W$505,$L992))</f>
        <v/>
      </c>
      <c r="E992" s="122" t="str">
        <f>IF($L992="","",INDEX('MTRs'!$P$6:$P$505,$L992))</f>
        <v/>
      </c>
      <c r="F992" s="122" t="str">
        <f>IF($L992="","",INDEX('MTRs'!$Q$6:$Q$505,$L992))</f>
        <v/>
      </c>
      <c r="G992" s="122" t="str">
        <f>IF($L992="","",INDEX('MTRs'!$R$6:$R$505,$L992))</f>
        <v/>
      </c>
      <c r="H992" s="130" t="str">
        <f>IF($L992="","",IF(INDEX('MTRs'!$AM$6:$AM$505,$L992)=0,"",N(E992)-N(F992)))</f>
        <v/>
      </c>
      <c r="I992" s="130" t="str">
        <f>IF($L992="","",IF(INDEX('MTRs'!$AM$6:$AM$505,$L992)=0,"",N(F992)-N(G992)))</f>
        <v/>
      </c>
      <c r="J992" s="120" t="str">
        <f>IF($L992="","",INDEX('MTRs'!$S$6:$S$505,$L992)&amp;"")</f>
        <v/>
      </c>
      <c r="L992" t="str">
        <f>IFERROR(MATCH(390,'MTRs'!$BB$6:$BB$505,0),"")</f>
        <v/>
      </c>
    </row>
    <row r="993">
      <c r="B993" s="119" t="str">
        <f>IF($L993="","",INDEX('MTRs'!$A$6:$A$505,$L993)&amp;"")</f>
        <v/>
      </c>
      <c r="C993" s="120" t="str">
        <f>IF($L993="","",INDEX('MTRs'!$B$6:$B$505,$L993)&amp;"")</f>
        <v/>
      </c>
      <c r="D993" s="121" t="str">
        <f>IF($L993="","",INDEX('MTRs'!$W$6:$W$505,$L993))</f>
        <v/>
      </c>
      <c r="E993" s="122" t="str">
        <f>IF($L993="","",INDEX('MTRs'!$P$6:$P$505,$L993))</f>
        <v/>
      </c>
      <c r="F993" s="122" t="str">
        <f>IF($L993="","",INDEX('MTRs'!$Q$6:$Q$505,$L993))</f>
        <v/>
      </c>
      <c r="G993" s="122" t="str">
        <f>IF($L993="","",INDEX('MTRs'!$R$6:$R$505,$L993))</f>
        <v/>
      </c>
      <c r="H993" s="130" t="str">
        <f>IF($L993="","",IF(INDEX('MTRs'!$AM$6:$AM$505,$L993)=0,"",N(E993)-N(F993)))</f>
        <v/>
      </c>
      <c r="I993" s="130" t="str">
        <f>IF($L993="","",IF(INDEX('MTRs'!$AM$6:$AM$505,$L993)=0,"",N(F993)-N(G993)))</f>
        <v/>
      </c>
      <c r="J993" s="120" t="str">
        <f>IF($L993="","",INDEX('MTRs'!$S$6:$S$505,$L993)&amp;"")</f>
        <v/>
      </c>
      <c r="L993" t="str">
        <f>IFERROR(MATCH(391,'MTRs'!$BB$6:$BB$505,0),"")</f>
        <v/>
      </c>
    </row>
    <row r="994">
      <c r="B994" s="119" t="str">
        <f>IF($L994="","",INDEX('MTRs'!$A$6:$A$505,$L994)&amp;"")</f>
        <v/>
      </c>
      <c r="C994" s="120" t="str">
        <f>IF($L994="","",INDEX('MTRs'!$B$6:$B$505,$L994)&amp;"")</f>
        <v/>
      </c>
      <c r="D994" s="121" t="str">
        <f>IF($L994="","",INDEX('MTRs'!$W$6:$W$505,$L994))</f>
        <v/>
      </c>
      <c r="E994" s="122" t="str">
        <f>IF($L994="","",INDEX('MTRs'!$P$6:$P$505,$L994))</f>
        <v/>
      </c>
      <c r="F994" s="122" t="str">
        <f>IF($L994="","",INDEX('MTRs'!$Q$6:$Q$505,$L994))</f>
        <v/>
      </c>
      <c r="G994" s="122" t="str">
        <f>IF($L994="","",INDEX('MTRs'!$R$6:$R$505,$L994))</f>
        <v/>
      </c>
      <c r="H994" s="130" t="str">
        <f>IF($L994="","",IF(INDEX('MTRs'!$AM$6:$AM$505,$L994)=0,"",N(E994)-N(F994)))</f>
        <v/>
      </c>
      <c r="I994" s="130" t="str">
        <f>IF($L994="","",IF(INDEX('MTRs'!$AM$6:$AM$505,$L994)=0,"",N(F994)-N(G994)))</f>
        <v/>
      </c>
      <c r="J994" s="120" t="str">
        <f>IF($L994="","",INDEX('MTRs'!$S$6:$S$505,$L994)&amp;"")</f>
        <v/>
      </c>
      <c r="L994" t="str">
        <f>IFERROR(MATCH(392,'MTRs'!$BB$6:$BB$505,0),"")</f>
        <v/>
      </c>
    </row>
    <row r="995">
      <c r="B995" s="119" t="str">
        <f>IF($L995="","",INDEX('MTRs'!$A$6:$A$505,$L995)&amp;"")</f>
        <v/>
      </c>
      <c r="C995" s="120" t="str">
        <f>IF($L995="","",INDEX('MTRs'!$B$6:$B$505,$L995)&amp;"")</f>
        <v/>
      </c>
      <c r="D995" s="121" t="str">
        <f>IF($L995="","",INDEX('MTRs'!$W$6:$W$505,$L995))</f>
        <v/>
      </c>
      <c r="E995" s="122" t="str">
        <f>IF($L995="","",INDEX('MTRs'!$P$6:$P$505,$L995))</f>
        <v/>
      </c>
      <c r="F995" s="122" t="str">
        <f>IF($L995="","",INDEX('MTRs'!$Q$6:$Q$505,$L995))</f>
        <v/>
      </c>
      <c r="G995" s="122" t="str">
        <f>IF($L995="","",INDEX('MTRs'!$R$6:$R$505,$L995))</f>
        <v/>
      </c>
      <c r="H995" s="130" t="str">
        <f>IF($L995="","",IF(INDEX('MTRs'!$AM$6:$AM$505,$L995)=0,"",N(E995)-N(F995)))</f>
        <v/>
      </c>
      <c r="I995" s="130" t="str">
        <f>IF($L995="","",IF(INDEX('MTRs'!$AM$6:$AM$505,$L995)=0,"",N(F995)-N(G995)))</f>
        <v/>
      </c>
      <c r="J995" s="120" t="str">
        <f>IF($L995="","",INDEX('MTRs'!$S$6:$S$505,$L995)&amp;"")</f>
        <v/>
      </c>
      <c r="L995" t="str">
        <f>IFERROR(MATCH(393,'MTRs'!$BB$6:$BB$505,0),"")</f>
        <v/>
      </c>
    </row>
    <row r="996">
      <c r="B996" s="119" t="str">
        <f>IF($L996="","",INDEX('MTRs'!$A$6:$A$505,$L996)&amp;"")</f>
        <v/>
      </c>
      <c r="C996" s="120" t="str">
        <f>IF($L996="","",INDEX('MTRs'!$B$6:$B$505,$L996)&amp;"")</f>
        <v/>
      </c>
      <c r="D996" s="121" t="str">
        <f>IF($L996="","",INDEX('MTRs'!$W$6:$W$505,$L996))</f>
        <v/>
      </c>
      <c r="E996" s="122" t="str">
        <f>IF($L996="","",INDEX('MTRs'!$P$6:$P$505,$L996))</f>
        <v/>
      </c>
      <c r="F996" s="122" t="str">
        <f>IF($L996="","",INDEX('MTRs'!$Q$6:$Q$505,$L996))</f>
        <v/>
      </c>
      <c r="G996" s="122" t="str">
        <f>IF($L996="","",INDEX('MTRs'!$R$6:$R$505,$L996))</f>
        <v/>
      </c>
      <c r="H996" s="130" t="str">
        <f>IF($L996="","",IF(INDEX('MTRs'!$AM$6:$AM$505,$L996)=0,"",N(E996)-N(F996)))</f>
        <v/>
      </c>
      <c r="I996" s="130" t="str">
        <f>IF($L996="","",IF(INDEX('MTRs'!$AM$6:$AM$505,$L996)=0,"",N(F996)-N(G996)))</f>
        <v/>
      </c>
      <c r="J996" s="120" t="str">
        <f>IF($L996="","",INDEX('MTRs'!$S$6:$S$505,$L996)&amp;"")</f>
        <v/>
      </c>
      <c r="L996" t="str">
        <f>IFERROR(MATCH(394,'MTRs'!$BB$6:$BB$505,0),"")</f>
        <v/>
      </c>
    </row>
    <row r="997">
      <c r="B997" s="119" t="str">
        <f>IF($L997="","",INDEX('MTRs'!$A$6:$A$505,$L997)&amp;"")</f>
        <v/>
      </c>
      <c r="C997" s="120" t="str">
        <f>IF($L997="","",INDEX('MTRs'!$B$6:$B$505,$L997)&amp;"")</f>
        <v/>
      </c>
      <c r="D997" s="121" t="str">
        <f>IF($L997="","",INDEX('MTRs'!$W$6:$W$505,$L997))</f>
        <v/>
      </c>
      <c r="E997" s="122" t="str">
        <f>IF($L997="","",INDEX('MTRs'!$P$6:$P$505,$L997))</f>
        <v/>
      </c>
      <c r="F997" s="122" t="str">
        <f>IF($L997="","",INDEX('MTRs'!$Q$6:$Q$505,$L997))</f>
        <v/>
      </c>
      <c r="G997" s="122" t="str">
        <f>IF($L997="","",INDEX('MTRs'!$R$6:$R$505,$L997))</f>
        <v/>
      </c>
      <c r="H997" s="130" t="str">
        <f>IF($L997="","",IF(INDEX('MTRs'!$AM$6:$AM$505,$L997)=0,"",N(E997)-N(F997)))</f>
        <v/>
      </c>
      <c r="I997" s="130" t="str">
        <f>IF($L997="","",IF(INDEX('MTRs'!$AM$6:$AM$505,$L997)=0,"",N(F997)-N(G997)))</f>
        <v/>
      </c>
      <c r="J997" s="120" t="str">
        <f>IF($L997="","",INDEX('MTRs'!$S$6:$S$505,$L997)&amp;"")</f>
        <v/>
      </c>
      <c r="L997" t="str">
        <f>IFERROR(MATCH(395,'MTRs'!$BB$6:$BB$505,0),"")</f>
        <v/>
      </c>
    </row>
    <row r="998">
      <c r="B998" s="119" t="str">
        <f>IF($L998="","",INDEX('MTRs'!$A$6:$A$505,$L998)&amp;"")</f>
        <v/>
      </c>
      <c r="C998" s="120" t="str">
        <f>IF($L998="","",INDEX('MTRs'!$B$6:$B$505,$L998)&amp;"")</f>
        <v/>
      </c>
      <c r="D998" s="121" t="str">
        <f>IF($L998="","",INDEX('MTRs'!$W$6:$W$505,$L998))</f>
        <v/>
      </c>
      <c r="E998" s="122" t="str">
        <f>IF($L998="","",INDEX('MTRs'!$P$6:$P$505,$L998))</f>
        <v/>
      </c>
      <c r="F998" s="122" t="str">
        <f>IF($L998="","",INDEX('MTRs'!$Q$6:$Q$505,$L998))</f>
        <v/>
      </c>
      <c r="G998" s="122" t="str">
        <f>IF($L998="","",INDEX('MTRs'!$R$6:$R$505,$L998))</f>
        <v/>
      </c>
      <c r="H998" s="130" t="str">
        <f>IF($L998="","",IF(INDEX('MTRs'!$AM$6:$AM$505,$L998)=0,"",N(E998)-N(F998)))</f>
        <v/>
      </c>
      <c r="I998" s="130" t="str">
        <f>IF($L998="","",IF(INDEX('MTRs'!$AM$6:$AM$505,$L998)=0,"",N(F998)-N(G998)))</f>
        <v/>
      </c>
      <c r="J998" s="120" t="str">
        <f>IF($L998="","",INDEX('MTRs'!$S$6:$S$505,$L998)&amp;"")</f>
        <v/>
      </c>
      <c r="L998" t="str">
        <f>IFERROR(MATCH(396,'MTRs'!$BB$6:$BB$505,0),"")</f>
        <v/>
      </c>
    </row>
    <row r="999">
      <c r="B999" s="119" t="str">
        <f>IF($L999="","",INDEX('MTRs'!$A$6:$A$505,$L999)&amp;"")</f>
        <v/>
      </c>
      <c r="C999" s="120" t="str">
        <f>IF($L999="","",INDEX('MTRs'!$B$6:$B$505,$L999)&amp;"")</f>
        <v/>
      </c>
      <c r="D999" s="121" t="str">
        <f>IF($L999="","",INDEX('MTRs'!$W$6:$W$505,$L999))</f>
        <v/>
      </c>
      <c r="E999" s="122" t="str">
        <f>IF($L999="","",INDEX('MTRs'!$P$6:$P$505,$L999))</f>
        <v/>
      </c>
      <c r="F999" s="122" t="str">
        <f>IF($L999="","",INDEX('MTRs'!$Q$6:$Q$505,$L999))</f>
        <v/>
      </c>
      <c r="G999" s="122" t="str">
        <f>IF($L999="","",INDEX('MTRs'!$R$6:$R$505,$L999))</f>
        <v/>
      </c>
      <c r="H999" s="130" t="str">
        <f>IF($L999="","",IF(INDEX('MTRs'!$AM$6:$AM$505,$L999)=0,"",N(E999)-N(F999)))</f>
        <v/>
      </c>
      <c r="I999" s="130" t="str">
        <f>IF($L999="","",IF(INDEX('MTRs'!$AM$6:$AM$505,$L999)=0,"",N(F999)-N(G999)))</f>
        <v/>
      </c>
      <c r="J999" s="120" t="str">
        <f>IF($L999="","",INDEX('MTRs'!$S$6:$S$505,$L999)&amp;"")</f>
        <v/>
      </c>
      <c r="L999" t="str">
        <f>IFERROR(MATCH(397,'MTRs'!$BB$6:$BB$505,0),"")</f>
        <v/>
      </c>
    </row>
    <row r="1000">
      <c r="B1000" s="119" t="str">
        <f>IF($L1000="","",INDEX('MTRs'!$A$6:$A$505,$L1000)&amp;"")</f>
        <v/>
      </c>
      <c r="C1000" s="120" t="str">
        <f>IF($L1000="","",INDEX('MTRs'!$B$6:$B$505,$L1000)&amp;"")</f>
        <v/>
      </c>
      <c r="D1000" s="121" t="str">
        <f>IF($L1000="","",INDEX('MTRs'!$W$6:$W$505,$L1000))</f>
        <v/>
      </c>
      <c r="E1000" s="122" t="str">
        <f>IF($L1000="","",INDEX('MTRs'!$P$6:$P$505,$L1000))</f>
        <v/>
      </c>
      <c r="F1000" s="122" t="str">
        <f>IF($L1000="","",INDEX('MTRs'!$Q$6:$Q$505,$L1000))</f>
        <v/>
      </c>
      <c r="G1000" s="122" t="str">
        <f>IF($L1000="","",INDEX('MTRs'!$R$6:$R$505,$L1000))</f>
        <v/>
      </c>
      <c r="H1000" s="130" t="str">
        <f>IF($L1000="","",IF(INDEX('MTRs'!$AM$6:$AM$505,$L1000)=0,"",N(E1000)-N(F1000)))</f>
        <v/>
      </c>
      <c r="I1000" s="130" t="str">
        <f>IF($L1000="","",IF(INDEX('MTRs'!$AM$6:$AM$505,$L1000)=0,"",N(F1000)-N(G1000)))</f>
        <v/>
      </c>
      <c r="J1000" s="120" t="str">
        <f>IF($L1000="","",INDEX('MTRs'!$S$6:$S$505,$L1000)&amp;"")</f>
        <v/>
      </c>
      <c r="L1000" t="str">
        <f>IFERROR(MATCH(398,'MTRs'!$BB$6:$BB$505,0),"")</f>
        <v/>
      </c>
    </row>
    <row r="1001">
      <c r="B1001" s="119" t="str">
        <f>IF($L1001="","",INDEX('MTRs'!$A$6:$A$505,$L1001)&amp;"")</f>
        <v/>
      </c>
      <c r="C1001" s="120" t="str">
        <f>IF($L1001="","",INDEX('MTRs'!$B$6:$B$505,$L1001)&amp;"")</f>
        <v/>
      </c>
      <c r="D1001" s="121" t="str">
        <f>IF($L1001="","",INDEX('MTRs'!$W$6:$W$505,$L1001))</f>
        <v/>
      </c>
      <c r="E1001" s="122" t="str">
        <f>IF($L1001="","",INDEX('MTRs'!$P$6:$P$505,$L1001))</f>
        <v/>
      </c>
      <c r="F1001" s="122" t="str">
        <f>IF($L1001="","",INDEX('MTRs'!$Q$6:$Q$505,$L1001))</f>
        <v/>
      </c>
      <c r="G1001" s="122" t="str">
        <f>IF($L1001="","",INDEX('MTRs'!$R$6:$R$505,$L1001))</f>
        <v/>
      </c>
      <c r="H1001" s="130" t="str">
        <f>IF($L1001="","",IF(INDEX('MTRs'!$AM$6:$AM$505,$L1001)=0,"",N(E1001)-N(F1001)))</f>
        <v/>
      </c>
      <c r="I1001" s="130" t="str">
        <f>IF($L1001="","",IF(INDEX('MTRs'!$AM$6:$AM$505,$L1001)=0,"",N(F1001)-N(G1001)))</f>
        <v/>
      </c>
      <c r="J1001" s="120" t="str">
        <f>IF($L1001="","",INDEX('MTRs'!$S$6:$S$505,$L1001)&amp;"")</f>
        <v/>
      </c>
      <c r="L1001" t="str">
        <f>IFERROR(MATCH(399,'MTRs'!$BB$6:$BB$505,0),"")</f>
        <v/>
      </c>
    </row>
    <row r="1002">
      <c r="B1002" s="119" t="str">
        <f>IF($L1002="","",INDEX('MTRs'!$A$6:$A$505,$L1002)&amp;"")</f>
        <v/>
      </c>
      <c r="C1002" s="120" t="str">
        <f>IF($L1002="","",INDEX('MTRs'!$B$6:$B$505,$L1002)&amp;"")</f>
        <v/>
      </c>
      <c r="D1002" s="121" t="str">
        <f>IF($L1002="","",INDEX('MTRs'!$W$6:$W$505,$L1002))</f>
        <v/>
      </c>
      <c r="E1002" s="122" t="str">
        <f>IF($L1002="","",INDEX('MTRs'!$P$6:$P$505,$L1002))</f>
        <v/>
      </c>
      <c r="F1002" s="122" t="str">
        <f>IF($L1002="","",INDEX('MTRs'!$Q$6:$Q$505,$L1002))</f>
        <v/>
      </c>
      <c r="G1002" s="122" t="str">
        <f>IF($L1002="","",INDEX('MTRs'!$R$6:$R$505,$L1002))</f>
        <v/>
      </c>
      <c r="H1002" s="130" t="str">
        <f>IF($L1002="","",IF(INDEX('MTRs'!$AM$6:$AM$505,$L1002)=0,"",N(E1002)-N(F1002)))</f>
        <v/>
      </c>
      <c r="I1002" s="130" t="str">
        <f>IF($L1002="","",IF(INDEX('MTRs'!$AM$6:$AM$505,$L1002)=0,"",N(F1002)-N(G1002)))</f>
        <v/>
      </c>
      <c r="J1002" s="120" t="str">
        <f>IF($L1002="","",INDEX('MTRs'!$S$6:$S$505,$L1002)&amp;"")</f>
        <v/>
      </c>
      <c r="L1002" t="str">
        <f>IFERROR(MATCH(400,'MTRs'!$BB$6:$BB$505,0),"")</f>
        <v/>
      </c>
    </row>
    <row r="1003">
      <c r="B1003" s="119" t="str">
        <f>IF($L1003="","",INDEX('MTRs'!$A$6:$A$505,$L1003)&amp;"")</f>
        <v/>
      </c>
      <c r="C1003" s="120" t="str">
        <f>IF($L1003="","",INDEX('MTRs'!$B$6:$B$505,$L1003)&amp;"")</f>
        <v/>
      </c>
      <c r="D1003" s="121" t="str">
        <f>IF($L1003="","",INDEX('MTRs'!$W$6:$W$505,$L1003))</f>
        <v/>
      </c>
      <c r="E1003" s="122" t="str">
        <f>IF($L1003="","",INDEX('MTRs'!$P$6:$P$505,$L1003))</f>
        <v/>
      </c>
      <c r="F1003" s="122" t="str">
        <f>IF($L1003="","",INDEX('MTRs'!$Q$6:$Q$505,$L1003))</f>
        <v/>
      </c>
      <c r="G1003" s="122" t="str">
        <f>IF($L1003="","",INDEX('MTRs'!$R$6:$R$505,$L1003))</f>
        <v/>
      </c>
      <c r="H1003" s="130" t="str">
        <f>IF($L1003="","",IF(INDEX('MTRs'!$AM$6:$AM$505,$L1003)=0,"",N(E1003)-N(F1003)))</f>
        <v/>
      </c>
      <c r="I1003" s="130" t="str">
        <f>IF($L1003="","",IF(INDEX('MTRs'!$AM$6:$AM$505,$L1003)=0,"",N(F1003)-N(G1003)))</f>
        <v/>
      </c>
      <c r="J1003" s="120" t="str">
        <f>IF($L1003="","",INDEX('MTRs'!$S$6:$S$505,$L1003)&amp;"")</f>
        <v/>
      </c>
      <c r="L1003" t="str">
        <f>IFERROR(MATCH(401,'MTRs'!$BB$6:$BB$505,0),"")</f>
        <v/>
      </c>
    </row>
    <row r="1004">
      <c r="B1004" s="119" t="str">
        <f>IF($L1004="","",INDEX('MTRs'!$A$6:$A$505,$L1004)&amp;"")</f>
        <v/>
      </c>
      <c r="C1004" s="120" t="str">
        <f>IF($L1004="","",INDEX('MTRs'!$B$6:$B$505,$L1004)&amp;"")</f>
        <v/>
      </c>
      <c r="D1004" s="121" t="str">
        <f>IF($L1004="","",INDEX('MTRs'!$W$6:$W$505,$L1004))</f>
        <v/>
      </c>
      <c r="E1004" s="122" t="str">
        <f>IF($L1004="","",INDEX('MTRs'!$P$6:$P$505,$L1004))</f>
        <v/>
      </c>
      <c r="F1004" s="122" t="str">
        <f>IF($L1004="","",INDEX('MTRs'!$Q$6:$Q$505,$L1004))</f>
        <v/>
      </c>
      <c r="G1004" s="122" t="str">
        <f>IF($L1004="","",INDEX('MTRs'!$R$6:$R$505,$L1004))</f>
        <v/>
      </c>
      <c r="H1004" s="130" t="str">
        <f>IF($L1004="","",IF(INDEX('MTRs'!$AM$6:$AM$505,$L1004)=0,"",N(E1004)-N(F1004)))</f>
        <v/>
      </c>
      <c r="I1004" s="130" t="str">
        <f>IF($L1004="","",IF(INDEX('MTRs'!$AM$6:$AM$505,$L1004)=0,"",N(F1004)-N(G1004)))</f>
        <v/>
      </c>
      <c r="J1004" s="120" t="str">
        <f>IF($L1004="","",INDEX('MTRs'!$S$6:$S$505,$L1004)&amp;"")</f>
        <v/>
      </c>
      <c r="L1004" t="str">
        <f>IFERROR(MATCH(402,'MTRs'!$BB$6:$BB$505,0),"")</f>
        <v/>
      </c>
    </row>
    <row r="1005">
      <c r="B1005" s="119" t="str">
        <f>IF($L1005="","",INDEX('MTRs'!$A$6:$A$505,$L1005)&amp;"")</f>
        <v/>
      </c>
      <c r="C1005" s="120" t="str">
        <f>IF($L1005="","",INDEX('MTRs'!$B$6:$B$505,$L1005)&amp;"")</f>
        <v/>
      </c>
      <c r="D1005" s="121" t="str">
        <f>IF($L1005="","",INDEX('MTRs'!$W$6:$W$505,$L1005))</f>
        <v/>
      </c>
      <c r="E1005" s="122" t="str">
        <f>IF($L1005="","",INDEX('MTRs'!$P$6:$P$505,$L1005))</f>
        <v/>
      </c>
      <c r="F1005" s="122" t="str">
        <f>IF($L1005="","",INDEX('MTRs'!$Q$6:$Q$505,$L1005))</f>
        <v/>
      </c>
      <c r="G1005" s="122" t="str">
        <f>IF($L1005="","",INDEX('MTRs'!$R$6:$R$505,$L1005))</f>
        <v/>
      </c>
      <c r="H1005" s="130" t="str">
        <f>IF($L1005="","",IF(INDEX('MTRs'!$AM$6:$AM$505,$L1005)=0,"",N(E1005)-N(F1005)))</f>
        <v/>
      </c>
      <c r="I1005" s="130" t="str">
        <f>IF($L1005="","",IF(INDEX('MTRs'!$AM$6:$AM$505,$L1005)=0,"",N(F1005)-N(G1005)))</f>
        <v/>
      </c>
      <c r="J1005" s="120" t="str">
        <f>IF($L1005="","",INDEX('MTRs'!$S$6:$S$505,$L1005)&amp;"")</f>
        <v/>
      </c>
      <c r="L1005" t="str">
        <f>IFERROR(MATCH(403,'MTRs'!$BB$6:$BB$505,0),"")</f>
        <v/>
      </c>
    </row>
    <row r="1006">
      <c r="B1006" s="119" t="str">
        <f>IF($L1006="","",INDEX('MTRs'!$A$6:$A$505,$L1006)&amp;"")</f>
        <v/>
      </c>
      <c r="C1006" s="120" t="str">
        <f>IF($L1006="","",INDEX('MTRs'!$B$6:$B$505,$L1006)&amp;"")</f>
        <v/>
      </c>
      <c r="D1006" s="121" t="str">
        <f>IF($L1006="","",INDEX('MTRs'!$W$6:$W$505,$L1006))</f>
        <v/>
      </c>
      <c r="E1006" s="122" t="str">
        <f>IF($L1006="","",INDEX('MTRs'!$P$6:$P$505,$L1006))</f>
        <v/>
      </c>
      <c r="F1006" s="122" t="str">
        <f>IF($L1006="","",INDEX('MTRs'!$Q$6:$Q$505,$L1006))</f>
        <v/>
      </c>
      <c r="G1006" s="122" t="str">
        <f>IF($L1006="","",INDEX('MTRs'!$R$6:$R$505,$L1006))</f>
        <v/>
      </c>
      <c r="H1006" s="130" t="str">
        <f>IF($L1006="","",IF(INDEX('MTRs'!$AM$6:$AM$505,$L1006)=0,"",N(E1006)-N(F1006)))</f>
        <v/>
      </c>
      <c r="I1006" s="130" t="str">
        <f>IF($L1006="","",IF(INDEX('MTRs'!$AM$6:$AM$505,$L1006)=0,"",N(F1006)-N(G1006)))</f>
        <v/>
      </c>
      <c r="J1006" s="120" t="str">
        <f>IF($L1006="","",INDEX('MTRs'!$S$6:$S$505,$L1006)&amp;"")</f>
        <v/>
      </c>
      <c r="L1006" t="str">
        <f>IFERROR(MATCH(404,'MTRs'!$BB$6:$BB$505,0),"")</f>
        <v/>
      </c>
    </row>
    <row r="1007">
      <c r="B1007" s="119" t="str">
        <f>IF($L1007="","",INDEX('MTRs'!$A$6:$A$505,$L1007)&amp;"")</f>
        <v/>
      </c>
      <c r="C1007" s="120" t="str">
        <f>IF($L1007="","",INDEX('MTRs'!$B$6:$B$505,$L1007)&amp;"")</f>
        <v/>
      </c>
      <c r="D1007" s="121" t="str">
        <f>IF($L1007="","",INDEX('MTRs'!$W$6:$W$505,$L1007))</f>
        <v/>
      </c>
      <c r="E1007" s="122" t="str">
        <f>IF($L1007="","",INDEX('MTRs'!$P$6:$P$505,$L1007))</f>
        <v/>
      </c>
      <c r="F1007" s="122" t="str">
        <f>IF($L1007="","",INDEX('MTRs'!$Q$6:$Q$505,$L1007))</f>
        <v/>
      </c>
      <c r="G1007" s="122" t="str">
        <f>IF($L1007="","",INDEX('MTRs'!$R$6:$R$505,$L1007))</f>
        <v/>
      </c>
      <c r="H1007" s="130" t="str">
        <f>IF($L1007="","",IF(INDEX('MTRs'!$AM$6:$AM$505,$L1007)=0,"",N(E1007)-N(F1007)))</f>
        <v/>
      </c>
      <c r="I1007" s="130" t="str">
        <f>IF($L1007="","",IF(INDEX('MTRs'!$AM$6:$AM$505,$L1007)=0,"",N(F1007)-N(G1007)))</f>
        <v/>
      </c>
      <c r="J1007" s="120" t="str">
        <f>IF($L1007="","",INDEX('MTRs'!$S$6:$S$505,$L1007)&amp;"")</f>
        <v/>
      </c>
      <c r="L1007" t="str">
        <f>IFERROR(MATCH(405,'MTRs'!$BB$6:$BB$505,0),"")</f>
        <v/>
      </c>
    </row>
    <row r="1008">
      <c r="B1008" s="119" t="str">
        <f>IF($L1008="","",INDEX('MTRs'!$A$6:$A$505,$L1008)&amp;"")</f>
        <v/>
      </c>
      <c r="C1008" s="120" t="str">
        <f>IF($L1008="","",INDEX('MTRs'!$B$6:$B$505,$L1008)&amp;"")</f>
        <v/>
      </c>
      <c r="D1008" s="121" t="str">
        <f>IF($L1008="","",INDEX('MTRs'!$W$6:$W$505,$L1008))</f>
        <v/>
      </c>
      <c r="E1008" s="122" t="str">
        <f>IF($L1008="","",INDEX('MTRs'!$P$6:$P$505,$L1008))</f>
        <v/>
      </c>
      <c r="F1008" s="122" t="str">
        <f>IF($L1008="","",INDEX('MTRs'!$Q$6:$Q$505,$L1008))</f>
        <v/>
      </c>
      <c r="G1008" s="122" t="str">
        <f>IF($L1008="","",INDEX('MTRs'!$R$6:$R$505,$L1008))</f>
        <v/>
      </c>
      <c r="H1008" s="130" t="str">
        <f>IF($L1008="","",IF(INDEX('MTRs'!$AM$6:$AM$505,$L1008)=0,"",N(E1008)-N(F1008)))</f>
        <v/>
      </c>
      <c r="I1008" s="130" t="str">
        <f>IF($L1008="","",IF(INDEX('MTRs'!$AM$6:$AM$505,$L1008)=0,"",N(F1008)-N(G1008)))</f>
        <v/>
      </c>
      <c r="J1008" s="120" t="str">
        <f>IF($L1008="","",INDEX('MTRs'!$S$6:$S$505,$L1008)&amp;"")</f>
        <v/>
      </c>
      <c r="L1008" t="str">
        <f>IFERROR(MATCH(406,'MTRs'!$BB$6:$BB$505,0),"")</f>
        <v/>
      </c>
    </row>
    <row r="1009">
      <c r="B1009" s="119" t="str">
        <f>IF($L1009="","",INDEX('MTRs'!$A$6:$A$505,$L1009)&amp;"")</f>
        <v/>
      </c>
      <c r="C1009" s="120" t="str">
        <f>IF($L1009="","",INDEX('MTRs'!$B$6:$B$505,$L1009)&amp;"")</f>
        <v/>
      </c>
      <c r="D1009" s="121" t="str">
        <f>IF($L1009="","",INDEX('MTRs'!$W$6:$W$505,$L1009))</f>
        <v/>
      </c>
      <c r="E1009" s="122" t="str">
        <f>IF($L1009="","",INDEX('MTRs'!$P$6:$P$505,$L1009))</f>
        <v/>
      </c>
      <c r="F1009" s="122" t="str">
        <f>IF($L1009="","",INDEX('MTRs'!$Q$6:$Q$505,$L1009))</f>
        <v/>
      </c>
      <c r="G1009" s="122" t="str">
        <f>IF($L1009="","",INDEX('MTRs'!$R$6:$R$505,$L1009))</f>
        <v/>
      </c>
      <c r="H1009" s="130" t="str">
        <f>IF($L1009="","",IF(INDEX('MTRs'!$AM$6:$AM$505,$L1009)=0,"",N(E1009)-N(F1009)))</f>
        <v/>
      </c>
      <c r="I1009" s="130" t="str">
        <f>IF($L1009="","",IF(INDEX('MTRs'!$AM$6:$AM$505,$L1009)=0,"",N(F1009)-N(G1009)))</f>
        <v/>
      </c>
      <c r="J1009" s="120" t="str">
        <f>IF($L1009="","",INDEX('MTRs'!$S$6:$S$505,$L1009)&amp;"")</f>
        <v/>
      </c>
      <c r="L1009" t="str">
        <f>IFERROR(MATCH(407,'MTRs'!$BB$6:$BB$505,0),"")</f>
        <v/>
      </c>
    </row>
    <row r="1010">
      <c r="B1010" s="119" t="str">
        <f>IF($L1010="","",INDEX('MTRs'!$A$6:$A$505,$L1010)&amp;"")</f>
        <v/>
      </c>
      <c r="C1010" s="120" t="str">
        <f>IF($L1010="","",INDEX('MTRs'!$B$6:$B$505,$L1010)&amp;"")</f>
        <v/>
      </c>
      <c r="D1010" s="121" t="str">
        <f>IF($L1010="","",INDEX('MTRs'!$W$6:$W$505,$L1010))</f>
        <v/>
      </c>
      <c r="E1010" s="122" t="str">
        <f>IF($L1010="","",INDEX('MTRs'!$P$6:$P$505,$L1010))</f>
        <v/>
      </c>
      <c r="F1010" s="122" t="str">
        <f>IF($L1010="","",INDEX('MTRs'!$Q$6:$Q$505,$L1010))</f>
        <v/>
      </c>
      <c r="G1010" s="122" t="str">
        <f>IF($L1010="","",INDEX('MTRs'!$R$6:$R$505,$L1010))</f>
        <v/>
      </c>
      <c r="H1010" s="130" t="str">
        <f>IF($L1010="","",IF(INDEX('MTRs'!$AM$6:$AM$505,$L1010)=0,"",N(E1010)-N(F1010)))</f>
        <v/>
      </c>
      <c r="I1010" s="130" t="str">
        <f>IF($L1010="","",IF(INDEX('MTRs'!$AM$6:$AM$505,$L1010)=0,"",N(F1010)-N(G1010)))</f>
        <v/>
      </c>
      <c r="J1010" s="120" t="str">
        <f>IF($L1010="","",INDEX('MTRs'!$S$6:$S$505,$L1010)&amp;"")</f>
        <v/>
      </c>
      <c r="L1010" t="str">
        <f>IFERROR(MATCH(408,'MTRs'!$BB$6:$BB$505,0),"")</f>
        <v/>
      </c>
    </row>
    <row r="1011">
      <c r="B1011" s="119" t="str">
        <f>IF($L1011="","",INDEX('MTRs'!$A$6:$A$505,$L1011)&amp;"")</f>
        <v/>
      </c>
      <c r="C1011" s="120" t="str">
        <f>IF($L1011="","",INDEX('MTRs'!$B$6:$B$505,$L1011)&amp;"")</f>
        <v/>
      </c>
      <c r="D1011" s="121" t="str">
        <f>IF($L1011="","",INDEX('MTRs'!$W$6:$W$505,$L1011))</f>
        <v/>
      </c>
      <c r="E1011" s="122" t="str">
        <f>IF($L1011="","",INDEX('MTRs'!$P$6:$P$505,$L1011))</f>
        <v/>
      </c>
      <c r="F1011" s="122" t="str">
        <f>IF($L1011="","",INDEX('MTRs'!$Q$6:$Q$505,$L1011))</f>
        <v/>
      </c>
      <c r="G1011" s="122" t="str">
        <f>IF($L1011="","",INDEX('MTRs'!$R$6:$R$505,$L1011))</f>
        <v/>
      </c>
      <c r="H1011" s="130" t="str">
        <f>IF($L1011="","",IF(INDEX('MTRs'!$AM$6:$AM$505,$L1011)=0,"",N(E1011)-N(F1011)))</f>
        <v/>
      </c>
      <c r="I1011" s="130" t="str">
        <f>IF($L1011="","",IF(INDEX('MTRs'!$AM$6:$AM$505,$L1011)=0,"",N(F1011)-N(G1011)))</f>
        <v/>
      </c>
      <c r="J1011" s="120" t="str">
        <f>IF($L1011="","",INDEX('MTRs'!$S$6:$S$505,$L1011)&amp;"")</f>
        <v/>
      </c>
      <c r="L1011" t="str">
        <f>IFERROR(MATCH(409,'MTRs'!$BB$6:$BB$505,0),"")</f>
        <v/>
      </c>
    </row>
    <row r="1012">
      <c r="B1012" s="119" t="str">
        <f>IF($L1012="","",INDEX('MTRs'!$A$6:$A$505,$L1012)&amp;"")</f>
        <v/>
      </c>
      <c r="C1012" s="120" t="str">
        <f>IF($L1012="","",INDEX('MTRs'!$B$6:$B$505,$L1012)&amp;"")</f>
        <v/>
      </c>
      <c r="D1012" s="121" t="str">
        <f>IF($L1012="","",INDEX('MTRs'!$W$6:$W$505,$L1012))</f>
        <v/>
      </c>
      <c r="E1012" s="122" t="str">
        <f>IF($L1012="","",INDEX('MTRs'!$P$6:$P$505,$L1012))</f>
        <v/>
      </c>
      <c r="F1012" s="122" t="str">
        <f>IF($L1012="","",INDEX('MTRs'!$Q$6:$Q$505,$L1012))</f>
        <v/>
      </c>
      <c r="G1012" s="122" t="str">
        <f>IF($L1012="","",INDEX('MTRs'!$R$6:$R$505,$L1012))</f>
        <v/>
      </c>
      <c r="H1012" s="130" t="str">
        <f>IF($L1012="","",IF(INDEX('MTRs'!$AM$6:$AM$505,$L1012)=0,"",N(E1012)-N(F1012)))</f>
        <v/>
      </c>
      <c r="I1012" s="130" t="str">
        <f>IF($L1012="","",IF(INDEX('MTRs'!$AM$6:$AM$505,$L1012)=0,"",N(F1012)-N(G1012)))</f>
        <v/>
      </c>
      <c r="J1012" s="120" t="str">
        <f>IF($L1012="","",INDEX('MTRs'!$S$6:$S$505,$L1012)&amp;"")</f>
        <v/>
      </c>
      <c r="L1012" t="str">
        <f>IFERROR(MATCH(410,'MTRs'!$BB$6:$BB$505,0),"")</f>
        <v/>
      </c>
    </row>
    <row r="1013">
      <c r="B1013" s="119" t="str">
        <f>IF($L1013="","",INDEX('MTRs'!$A$6:$A$505,$L1013)&amp;"")</f>
        <v/>
      </c>
      <c r="C1013" s="120" t="str">
        <f>IF($L1013="","",INDEX('MTRs'!$B$6:$B$505,$L1013)&amp;"")</f>
        <v/>
      </c>
      <c r="D1013" s="121" t="str">
        <f>IF($L1013="","",INDEX('MTRs'!$W$6:$W$505,$L1013))</f>
        <v/>
      </c>
      <c r="E1013" s="122" t="str">
        <f>IF($L1013="","",INDEX('MTRs'!$P$6:$P$505,$L1013))</f>
        <v/>
      </c>
      <c r="F1013" s="122" t="str">
        <f>IF($L1013="","",INDEX('MTRs'!$Q$6:$Q$505,$L1013))</f>
        <v/>
      </c>
      <c r="G1013" s="122" t="str">
        <f>IF($L1013="","",INDEX('MTRs'!$R$6:$R$505,$L1013))</f>
        <v/>
      </c>
      <c r="H1013" s="130" t="str">
        <f>IF($L1013="","",IF(INDEX('MTRs'!$AM$6:$AM$505,$L1013)=0,"",N(E1013)-N(F1013)))</f>
        <v/>
      </c>
      <c r="I1013" s="130" t="str">
        <f>IF($L1013="","",IF(INDEX('MTRs'!$AM$6:$AM$505,$L1013)=0,"",N(F1013)-N(G1013)))</f>
        <v/>
      </c>
      <c r="J1013" s="120" t="str">
        <f>IF($L1013="","",INDEX('MTRs'!$S$6:$S$505,$L1013)&amp;"")</f>
        <v/>
      </c>
      <c r="L1013" t="str">
        <f>IFERROR(MATCH(411,'MTRs'!$BB$6:$BB$505,0),"")</f>
        <v/>
      </c>
    </row>
    <row r="1014">
      <c r="B1014" s="119" t="str">
        <f>IF($L1014="","",INDEX('MTRs'!$A$6:$A$505,$L1014)&amp;"")</f>
        <v/>
      </c>
      <c r="C1014" s="120" t="str">
        <f>IF($L1014="","",INDEX('MTRs'!$B$6:$B$505,$L1014)&amp;"")</f>
        <v/>
      </c>
      <c r="D1014" s="121" t="str">
        <f>IF($L1014="","",INDEX('MTRs'!$W$6:$W$505,$L1014))</f>
        <v/>
      </c>
      <c r="E1014" s="122" t="str">
        <f>IF($L1014="","",INDEX('MTRs'!$P$6:$P$505,$L1014))</f>
        <v/>
      </c>
      <c r="F1014" s="122" t="str">
        <f>IF($L1014="","",INDEX('MTRs'!$Q$6:$Q$505,$L1014))</f>
        <v/>
      </c>
      <c r="G1014" s="122" t="str">
        <f>IF($L1014="","",INDEX('MTRs'!$R$6:$R$505,$L1014))</f>
        <v/>
      </c>
      <c r="H1014" s="130" t="str">
        <f>IF($L1014="","",IF(INDEX('MTRs'!$AM$6:$AM$505,$L1014)=0,"",N(E1014)-N(F1014)))</f>
        <v/>
      </c>
      <c r="I1014" s="130" t="str">
        <f>IF($L1014="","",IF(INDEX('MTRs'!$AM$6:$AM$505,$L1014)=0,"",N(F1014)-N(G1014)))</f>
        <v/>
      </c>
      <c r="J1014" s="120" t="str">
        <f>IF($L1014="","",INDEX('MTRs'!$S$6:$S$505,$L1014)&amp;"")</f>
        <v/>
      </c>
      <c r="L1014" t="str">
        <f>IFERROR(MATCH(412,'MTRs'!$BB$6:$BB$505,0),"")</f>
        <v/>
      </c>
    </row>
    <row r="1015">
      <c r="B1015" s="119" t="str">
        <f>IF($L1015="","",INDEX('MTRs'!$A$6:$A$505,$L1015)&amp;"")</f>
        <v/>
      </c>
      <c r="C1015" s="120" t="str">
        <f>IF($L1015="","",INDEX('MTRs'!$B$6:$B$505,$L1015)&amp;"")</f>
        <v/>
      </c>
      <c r="D1015" s="121" t="str">
        <f>IF($L1015="","",INDEX('MTRs'!$W$6:$W$505,$L1015))</f>
        <v/>
      </c>
      <c r="E1015" s="122" t="str">
        <f>IF($L1015="","",INDEX('MTRs'!$P$6:$P$505,$L1015))</f>
        <v/>
      </c>
      <c r="F1015" s="122" t="str">
        <f>IF($L1015="","",INDEX('MTRs'!$Q$6:$Q$505,$L1015))</f>
        <v/>
      </c>
      <c r="G1015" s="122" t="str">
        <f>IF($L1015="","",INDEX('MTRs'!$R$6:$R$505,$L1015))</f>
        <v/>
      </c>
      <c r="H1015" s="130" t="str">
        <f>IF($L1015="","",IF(INDEX('MTRs'!$AM$6:$AM$505,$L1015)=0,"",N(E1015)-N(F1015)))</f>
        <v/>
      </c>
      <c r="I1015" s="130" t="str">
        <f>IF($L1015="","",IF(INDEX('MTRs'!$AM$6:$AM$505,$L1015)=0,"",N(F1015)-N(G1015)))</f>
        <v/>
      </c>
      <c r="J1015" s="120" t="str">
        <f>IF($L1015="","",INDEX('MTRs'!$S$6:$S$505,$L1015)&amp;"")</f>
        <v/>
      </c>
      <c r="L1015" t="str">
        <f>IFERROR(MATCH(413,'MTRs'!$BB$6:$BB$505,0),"")</f>
        <v/>
      </c>
    </row>
    <row r="1016">
      <c r="B1016" s="119" t="str">
        <f>IF($L1016="","",INDEX('MTRs'!$A$6:$A$505,$L1016)&amp;"")</f>
        <v/>
      </c>
      <c r="C1016" s="120" t="str">
        <f>IF($L1016="","",INDEX('MTRs'!$B$6:$B$505,$L1016)&amp;"")</f>
        <v/>
      </c>
      <c r="D1016" s="121" t="str">
        <f>IF($L1016="","",INDEX('MTRs'!$W$6:$W$505,$L1016))</f>
        <v/>
      </c>
      <c r="E1016" s="122" t="str">
        <f>IF($L1016="","",INDEX('MTRs'!$P$6:$P$505,$L1016))</f>
        <v/>
      </c>
      <c r="F1016" s="122" t="str">
        <f>IF($L1016="","",INDEX('MTRs'!$Q$6:$Q$505,$L1016))</f>
        <v/>
      </c>
      <c r="G1016" s="122" t="str">
        <f>IF($L1016="","",INDEX('MTRs'!$R$6:$R$505,$L1016))</f>
        <v/>
      </c>
      <c r="H1016" s="130" t="str">
        <f>IF($L1016="","",IF(INDEX('MTRs'!$AM$6:$AM$505,$L1016)=0,"",N(E1016)-N(F1016)))</f>
        <v/>
      </c>
      <c r="I1016" s="130" t="str">
        <f>IF($L1016="","",IF(INDEX('MTRs'!$AM$6:$AM$505,$L1016)=0,"",N(F1016)-N(G1016)))</f>
        <v/>
      </c>
      <c r="J1016" s="120" t="str">
        <f>IF($L1016="","",INDEX('MTRs'!$S$6:$S$505,$L1016)&amp;"")</f>
        <v/>
      </c>
      <c r="L1016" t="str">
        <f>IFERROR(MATCH(414,'MTRs'!$BB$6:$BB$505,0),"")</f>
        <v/>
      </c>
    </row>
    <row r="1017">
      <c r="B1017" s="119" t="str">
        <f>IF($L1017="","",INDEX('MTRs'!$A$6:$A$505,$L1017)&amp;"")</f>
        <v/>
      </c>
      <c r="C1017" s="120" t="str">
        <f>IF($L1017="","",INDEX('MTRs'!$B$6:$B$505,$L1017)&amp;"")</f>
        <v/>
      </c>
      <c r="D1017" s="121" t="str">
        <f>IF($L1017="","",INDEX('MTRs'!$W$6:$W$505,$L1017))</f>
        <v/>
      </c>
      <c r="E1017" s="122" t="str">
        <f>IF($L1017="","",INDEX('MTRs'!$P$6:$P$505,$L1017))</f>
        <v/>
      </c>
      <c r="F1017" s="122" t="str">
        <f>IF($L1017="","",INDEX('MTRs'!$Q$6:$Q$505,$L1017))</f>
        <v/>
      </c>
      <c r="G1017" s="122" t="str">
        <f>IF($L1017="","",INDEX('MTRs'!$R$6:$R$505,$L1017))</f>
        <v/>
      </c>
      <c r="H1017" s="130" t="str">
        <f>IF($L1017="","",IF(INDEX('MTRs'!$AM$6:$AM$505,$L1017)=0,"",N(E1017)-N(F1017)))</f>
        <v/>
      </c>
      <c r="I1017" s="130" t="str">
        <f>IF($L1017="","",IF(INDEX('MTRs'!$AM$6:$AM$505,$L1017)=0,"",N(F1017)-N(G1017)))</f>
        <v/>
      </c>
      <c r="J1017" s="120" t="str">
        <f>IF($L1017="","",INDEX('MTRs'!$S$6:$S$505,$L1017)&amp;"")</f>
        <v/>
      </c>
      <c r="L1017" t="str">
        <f>IFERROR(MATCH(415,'MTRs'!$BB$6:$BB$505,0),"")</f>
        <v/>
      </c>
    </row>
    <row r="1018">
      <c r="B1018" s="119" t="str">
        <f>IF($L1018="","",INDEX('MTRs'!$A$6:$A$505,$L1018)&amp;"")</f>
        <v/>
      </c>
      <c r="C1018" s="120" t="str">
        <f>IF($L1018="","",INDEX('MTRs'!$B$6:$B$505,$L1018)&amp;"")</f>
        <v/>
      </c>
      <c r="D1018" s="121" t="str">
        <f>IF($L1018="","",INDEX('MTRs'!$W$6:$W$505,$L1018))</f>
        <v/>
      </c>
      <c r="E1018" s="122" t="str">
        <f>IF($L1018="","",INDEX('MTRs'!$P$6:$P$505,$L1018))</f>
        <v/>
      </c>
      <c r="F1018" s="122" t="str">
        <f>IF($L1018="","",INDEX('MTRs'!$Q$6:$Q$505,$L1018))</f>
        <v/>
      </c>
      <c r="G1018" s="122" t="str">
        <f>IF($L1018="","",INDEX('MTRs'!$R$6:$R$505,$L1018))</f>
        <v/>
      </c>
      <c r="H1018" s="130" t="str">
        <f>IF($L1018="","",IF(INDEX('MTRs'!$AM$6:$AM$505,$L1018)=0,"",N(E1018)-N(F1018)))</f>
        <v/>
      </c>
      <c r="I1018" s="130" t="str">
        <f>IF($L1018="","",IF(INDEX('MTRs'!$AM$6:$AM$505,$L1018)=0,"",N(F1018)-N(G1018)))</f>
        <v/>
      </c>
      <c r="J1018" s="120" t="str">
        <f>IF($L1018="","",INDEX('MTRs'!$S$6:$S$505,$L1018)&amp;"")</f>
        <v/>
      </c>
      <c r="L1018" t="str">
        <f>IFERROR(MATCH(416,'MTRs'!$BB$6:$BB$505,0),"")</f>
        <v/>
      </c>
    </row>
    <row r="1019">
      <c r="B1019" s="119" t="str">
        <f>IF($L1019="","",INDEX('MTRs'!$A$6:$A$505,$L1019)&amp;"")</f>
        <v/>
      </c>
      <c r="C1019" s="120" t="str">
        <f>IF($L1019="","",INDEX('MTRs'!$B$6:$B$505,$L1019)&amp;"")</f>
        <v/>
      </c>
      <c r="D1019" s="121" t="str">
        <f>IF($L1019="","",INDEX('MTRs'!$W$6:$W$505,$L1019))</f>
        <v/>
      </c>
      <c r="E1019" s="122" t="str">
        <f>IF($L1019="","",INDEX('MTRs'!$P$6:$P$505,$L1019))</f>
        <v/>
      </c>
      <c r="F1019" s="122" t="str">
        <f>IF($L1019="","",INDEX('MTRs'!$Q$6:$Q$505,$L1019))</f>
        <v/>
      </c>
      <c r="G1019" s="122" t="str">
        <f>IF($L1019="","",INDEX('MTRs'!$R$6:$R$505,$L1019))</f>
        <v/>
      </c>
      <c r="H1019" s="130" t="str">
        <f>IF($L1019="","",IF(INDEX('MTRs'!$AM$6:$AM$505,$L1019)=0,"",N(E1019)-N(F1019)))</f>
        <v/>
      </c>
      <c r="I1019" s="130" t="str">
        <f>IF($L1019="","",IF(INDEX('MTRs'!$AM$6:$AM$505,$L1019)=0,"",N(F1019)-N(G1019)))</f>
        <v/>
      </c>
      <c r="J1019" s="120" t="str">
        <f>IF($L1019="","",INDEX('MTRs'!$S$6:$S$505,$L1019)&amp;"")</f>
        <v/>
      </c>
      <c r="L1019" t="str">
        <f>IFERROR(MATCH(417,'MTRs'!$BB$6:$BB$505,0),"")</f>
        <v/>
      </c>
    </row>
    <row r="1020">
      <c r="B1020" s="119" t="str">
        <f>IF($L1020="","",INDEX('MTRs'!$A$6:$A$505,$L1020)&amp;"")</f>
        <v/>
      </c>
      <c r="C1020" s="120" t="str">
        <f>IF($L1020="","",INDEX('MTRs'!$B$6:$B$505,$L1020)&amp;"")</f>
        <v/>
      </c>
      <c r="D1020" s="121" t="str">
        <f>IF($L1020="","",INDEX('MTRs'!$W$6:$W$505,$L1020))</f>
        <v/>
      </c>
      <c r="E1020" s="122" t="str">
        <f>IF($L1020="","",INDEX('MTRs'!$P$6:$P$505,$L1020))</f>
        <v/>
      </c>
      <c r="F1020" s="122" t="str">
        <f>IF($L1020="","",INDEX('MTRs'!$Q$6:$Q$505,$L1020))</f>
        <v/>
      </c>
      <c r="G1020" s="122" t="str">
        <f>IF($L1020="","",INDEX('MTRs'!$R$6:$R$505,$L1020))</f>
        <v/>
      </c>
      <c r="H1020" s="130" t="str">
        <f>IF($L1020="","",IF(INDEX('MTRs'!$AM$6:$AM$505,$L1020)=0,"",N(E1020)-N(F1020)))</f>
        <v/>
      </c>
      <c r="I1020" s="130" t="str">
        <f>IF($L1020="","",IF(INDEX('MTRs'!$AM$6:$AM$505,$L1020)=0,"",N(F1020)-N(G1020)))</f>
        <v/>
      </c>
      <c r="J1020" s="120" t="str">
        <f>IF($L1020="","",INDEX('MTRs'!$S$6:$S$505,$L1020)&amp;"")</f>
        <v/>
      </c>
      <c r="L1020" t="str">
        <f>IFERROR(MATCH(418,'MTRs'!$BB$6:$BB$505,0),"")</f>
        <v/>
      </c>
    </row>
    <row r="1021">
      <c r="B1021" s="119" t="str">
        <f>IF($L1021="","",INDEX('MTRs'!$A$6:$A$505,$L1021)&amp;"")</f>
        <v/>
      </c>
      <c r="C1021" s="120" t="str">
        <f>IF($L1021="","",INDEX('MTRs'!$B$6:$B$505,$L1021)&amp;"")</f>
        <v/>
      </c>
      <c r="D1021" s="121" t="str">
        <f>IF($L1021="","",INDEX('MTRs'!$W$6:$W$505,$L1021))</f>
        <v/>
      </c>
      <c r="E1021" s="122" t="str">
        <f>IF($L1021="","",INDEX('MTRs'!$P$6:$P$505,$L1021))</f>
        <v/>
      </c>
      <c r="F1021" s="122" t="str">
        <f>IF($L1021="","",INDEX('MTRs'!$Q$6:$Q$505,$L1021))</f>
        <v/>
      </c>
      <c r="G1021" s="122" t="str">
        <f>IF($L1021="","",INDEX('MTRs'!$R$6:$R$505,$L1021))</f>
        <v/>
      </c>
      <c r="H1021" s="130" t="str">
        <f>IF($L1021="","",IF(INDEX('MTRs'!$AM$6:$AM$505,$L1021)=0,"",N(E1021)-N(F1021)))</f>
        <v/>
      </c>
      <c r="I1021" s="130" t="str">
        <f>IF($L1021="","",IF(INDEX('MTRs'!$AM$6:$AM$505,$L1021)=0,"",N(F1021)-N(G1021)))</f>
        <v/>
      </c>
      <c r="J1021" s="120" t="str">
        <f>IF($L1021="","",INDEX('MTRs'!$S$6:$S$505,$L1021)&amp;"")</f>
        <v/>
      </c>
      <c r="L1021" t="str">
        <f>IFERROR(MATCH(419,'MTRs'!$BB$6:$BB$505,0),"")</f>
        <v/>
      </c>
    </row>
    <row r="1022">
      <c r="B1022" s="119" t="str">
        <f>IF($L1022="","",INDEX('MTRs'!$A$6:$A$505,$L1022)&amp;"")</f>
        <v/>
      </c>
      <c r="C1022" s="120" t="str">
        <f>IF($L1022="","",INDEX('MTRs'!$B$6:$B$505,$L1022)&amp;"")</f>
        <v/>
      </c>
      <c r="D1022" s="121" t="str">
        <f>IF($L1022="","",INDEX('MTRs'!$W$6:$W$505,$L1022))</f>
        <v/>
      </c>
      <c r="E1022" s="122" t="str">
        <f>IF($L1022="","",INDEX('MTRs'!$P$6:$P$505,$L1022))</f>
        <v/>
      </c>
      <c r="F1022" s="122" t="str">
        <f>IF($L1022="","",INDEX('MTRs'!$Q$6:$Q$505,$L1022))</f>
        <v/>
      </c>
      <c r="G1022" s="122" t="str">
        <f>IF($L1022="","",INDEX('MTRs'!$R$6:$R$505,$L1022))</f>
        <v/>
      </c>
      <c r="H1022" s="130" t="str">
        <f>IF($L1022="","",IF(INDEX('MTRs'!$AM$6:$AM$505,$L1022)=0,"",N(E1022)-N(F1022)))</f>
        <v/>
      </c>
      <c r="I1022" s="130" t="str">
        <f>IF($L1022="","",IF(INDEX('MTRs'!$AM$6:$AM$505,$L1022)=0,"",N(F1022)-N(G1022)))</f>
        <v/>
      </c>
      <c r="J1022" s="120" t="str">
        <f>IF($L1022="","",INDEX('MTRs'!$S$6:$S$505,$L1022)&amp;"")</f>
        <v/>
      </c>
      <c r="L1022" t="str">
        <f>IFERROR(MATCH(420,'MTRs'!$BB$6:$BB$505,0),"")</f>
        <v/>
      </c>
    </row>
    <row r="1023">
      <c r="B1023" s="119" t="str">
        <f>IF($L1023="","",INDEX('MTRs'!$A$6:$A$505,$L1023)&amp;"")</f>
        <v/>
      </c>
      <c r="C1023" s="120" t="str">
        <f>IF($L1023="","",INDEX('MTRs'!$B$6:$B$505,$L1023)&amp;"")</f>
        <v/>
      </c>
      <c r="D1023" s="121" t="str">
        <f>IF($L1023="","",INDEX('MTRs'!$W$6:$W$505,$L1023))</f>
        <v/>
      </c>
      <c r="E1023" s="122" t="str">
        <f>IF($L1023="","",INDEX('MTRs'!$P$6:$P$505,$L1023))</f>
        <v/>
      </c>
      <c r="F1023" s="122" t="str">
        <f>IF($L1023="","",INDEX('MTRs'!$Q$6:$Q$505,$L1023))</f>
        <v/>
      </c>
      <c r="G1023" s="122" t="str">
        <f>IF($L1023="","",INDEX('MTRs'!$R$6:$R$505,$L1023))</f>
        <v/>
      </c>
      <c r="H1023" s="130" t="str">
        <f>IF($L1023="","",IF(INDEX('MTRs'!$AM$6:$AM$505,$L1023)=0,"",N(E1023)-N(F1023)))</f>
        <v/>
      </c>
      <c r="I1023" s="130" t="str">
        <f>IF($L1023="","",IF(INDEX('MTRs'!$AM$6:$AM$505,$L1023)=0,"",N(F1023)-N(G1023)))</f>
        <v/>
      </c>
      <c r="J1023" s="120" t="str">
        <f>IF($L1023="","",INDEX('MTRs'!$S$6:$S$505,$L1023)&amp;"")</f>
        <v/>
      </c>
      <c r="L1023" t="str">
        <f>IFERROR(MATCH(421,'MTRs'!$BB$6:$BB$505,0),"")</f>
        <v/>
      </c>
    </row>
    <row r="1024">
      <c r="B1024" s="119" t="str">
        <f>IF($L1024="","",INDEX('MTRs'!$A$6:$A$505,$L1024)&amp;"")</f>
        <v/>
      </c>
      <c r="C1024" s="120" t="str">
        <f>IF($L1024="","",INDEX('MTRs'!$B$6:$B$505,$L1024)&amp;"")</f>
        <v/>
      </c>
      <c r="D1024" s="121" t="str">
        <f>IF($L1024="","",INDEX('MTRs'!$W$6:$W$505,$L1024))</f>
        <v/>
      </c>
      <c r="E1024" s="122" t="str">
        <f>IF($L1024="","",INDEX('MTRs'!$P$6:$P$505,$L1024))</f>
        <v/>
      </c>
      <c r="F1024" s="122" t="str">
        <f>IF($L1024="","",INDEX('MTRs'!$Q$6:$Q$505,$L1024))</f>
        <v/>
      </c>
      <c r="G1024" s="122" t="str">
        <f>IF($L1024="","",INDEX('MTRs'!$R$6:$R$505,$L1024))</f>
        <v/>
      </c>
      <c r="H1024" s="130" t="str">
        <f>IF($L1024="","",IF(INDEX('MTRs'!$AM$6:$AM$505,$L1024)=0,"",N(E1024)-N(F1024)))</f>
        <v/>
      </c>
      <c r="I1024" s="130" t="str">
        <f>IF($L1024="","",IF(INDEX('MTRs'!$AM$6:$AM$505,$L1024)=0,"",N(F1024)-N(G1024)))</f>
        <v/>
      </c>
      <c r="J1024" s="120" t="str">
        <f>IF($L1024="","",INDEX('MTRs'!$S$6:$S$505,$L1024)&amp;"")</f>
        <v/>
      </c>
      <c r="L1024" t="str">
        <f>IFERROR(MATCH(422,'MTRs'!$BB$6:$BB$505,0),"")</f>
        <v/>
      </c>
    </row>
    <row r="1025">
      <c r="B1025" s="119" t="str">
        <f>IF($L1025="","",INDEX('MTRs'!$A$6:$A$505,$L1025)&amp;"")</f>
        <v/>
      </c>
      <c r="C1025" s="120" t="str">
        <f>IF($L1025="","",INDEX('MTRs'!$B$6:$B$505,$L1025)&amp;"")</f>
        <v/>
      </c>
      <c r="D1025" s="121" t="str">
        <f>IF($L1025="","",INDEX('MTRs'!$W$6:$W$505,$L1025))</f>
        <v/>
      </c>
      <c r="E1025" s="122" t="str">
        <f>IF($L1025="","",INDEX('MTRs'!$P$6:$P$505,$L1025))</f>
        <v/>
      </c>
      <c r="F1025" s="122" t="str">
        <f>IF($L1025="","",INDEX('MTRs'!$Q$6:$Q$505,$L1025))</f>
        <v/>
      </c>
      <c r="G1025" s="122" t="str">
        <f>IF($L1025="","",INDEX('MTRs'!$R$6:$R$505,$L1025))</f>
        <v/>
      </c>
      <c r="H1025" s="130" t="str">
        <f>IF($L1025="","",IF(INDEX('MTRs'!$AM$6:$AM$505,$L1025)=0,"",N(E1025)-N(F1025)))</f>
        <v/>
      </c>
      <c r="I1025" s="130" t="str">
        <f>IF($L1025="","",IF(INDEX('MTRs'!$AM$6:$AM$505,$L1025)=0,"",N(F1025)-N(G1025)))</f>
        <v/>
      </c>
      <c r="J1025" s="120" t="str">
        <f>IF($L1025="","",INDEX('MTRs'!$S$6:$S$505,$L1025)&amp;"")</f>
        <v/>
      </c>
      <c r="L1025" t="str">
        <f>IFERROR(MATCH(423,'MTRs'!$BB$6:$BB$505,0),"")</f>
        <v/>
      </c>
    </row>
    <row r="1026">
      <c r="B1026" s="119" t="str">
        <f>IF($L1026="","",INDEX('MTRs'!$A$6:$A$505,$L1026)&amp;"")</f>
        <v/>
      </c>
      <c r="C1026" s="120" t="str">
        <f>IF($L1026="","",INDEX('MTRs'!$B$6:$B$505,$L1026)&amp;"")</f>
        <v/>
      </c>
      <c r="D1026" s="121" t="str">
        <f>IF($L1026="","",INDEX('MTRs'!$W$6:$W$505,$L1026))</f>
        <v/>
      </c>
      <c r="E1026" s="122" t="str">
        <f>IF($L1026="","",INDEX('MTRs'!$P$6:$P$505,$L1026))</f>
        <v/>
      </c>
      <c r="F1026" s="122" t="str">
        <f>IF($L1026="","",INDEX('MTRs'!$Q$6:$Q$505,$L1026))</f>
        <v/>
      </c>
      <c r="G1026" s="122" t="str">
        <f>IF($L1026="","",INDEX('MTRs'!$R$6:$R$505,$L1026))</f>
        <v/>
      </c>
      <c r="H1026" s="130" t="str">
        <f>IF($L1026="","",IF(INDEX('MTRs'!$AM$6:$AM$505,$L1026)=0,"",N(E1026)-N(F1026)))</f>
        <v/>
      </c>
      <c r="I1026" s="130" t="str">
        <f>IF($L1026="","",IF(INDEX('MTRs'!$AM$6:$AM$505,$L1026)=0,"",N(F1026)-N(G1026)))</f>
        <v/>
      </c>
      <c r="J1026" s="120" t="str">
        <f>IF($L1026="","",INDEX('MTRs'!$S$6:$S$505,$L1026)&amp;"")</f>
        <v/>
      </c>
      <c r="L1026" t="str">
        <f>IFERROR(MATCH(424,'MTRs'!$BB$6:$BB$505,0),"")</f>
        <v/>
      </c>
    </row>
    <row r="1027">
      <c r="B1027" s="119" t="str">
        <f>IF($L1027="","",INDEX('MTRs'!$A$6:$A$505,$L1027)&amp;"")</f>
        <v/>
      </c>
      <c r="C1027" s="120" t="str">
        <f>IF($L1027="","",INDEX('MTRs'!$B$6:$B$505,$L1027)&amp;"")</f>
        <v/>
      </c>
      <c r="D1027" s="121" t="str">
        <f>IF($L1027="","",INDEX('MTRs'!$W$6:$W$505,$L1027))</f>
        <v/>
      </c>
      <c r="E1027" s="122" t="str">
        <f>IF($L1027="","",INDEX('MTRs'!$P$6:$P$505,$L1027))</f>
        <v/>
      </c>
      <c r="F1027" s="122" t="str">
        <f>IF($L1027="","",INDEX('MTRs'!$Q$6:$Q$505,$L1027))</f>
        <v/>
      </c>
      <c r="G1027" s="122" t="str">
        <f>IF($L1027="","",INDEX('MTRs'!$R$6:$R$505,$L1027))</f>
        <v/>
      </c>
      <c r="H1027" s="130" t="str">
        <f>IF($L1027="","",IF(INDEX('MTRs'!$AM$6:$AM$505,$L1027)=0,"",N(E1027)-N(F1027)))</f>
        <v/>
      </c>
      <c r="I1027" s="130" t="str">
        <f>IF($L1027="","",IF(INDEX('MTRs'!$AM$6:$AM$505,$L1027)=0,"",N(F1027)-N(G1027)))</f>
        <v/>
      </c>
      <c r="J1027" s="120" t="str">
        <f>IF($L1027="","",INDEX('MTRs'!$S$6:$S$505,$L1027)&amp;"")</f>
        <v/>
      </c>
      <c r="L1027" t="str">
        <f>IFERROR(MATCH(425,'MTRs'!$BB$6:$BB$505,0),"")</f>
        <v/>
      </c>
    </row>
    <row r="1028">
      <c r="B1028" s="119" t="str">
        <f>IF($L1028="","",INDEX('MTRs'!$A$6:$A$505,$L1028)&amp;"")</f>
        <v/>
      </c>
      <c r="C1028" s="120" t="str">
        <f>IF($L1028="","",INDEX('MTRs'!$B$6:$B$505,$L1028)&amp;"")</f>
        <v/>
      </c>
      <c r="D1028" s="121" t="str">
        <f>IF($L1028="","",INDEX('MTRs'!$W$6:$W$505,$L1028))</f>
        <v/>
      </c>
      <c r="E1028" s="122" t="str">
        <f>IF($L1028="","",INDEX('MTRs'!$P$6:$P$505,$L1028))</f>
        <v/>
      </c>
      <c r="F1028" s="122" t="str">
        <f>IF($L1028="","",INDEX('MTRs'!$Q$6:$Q$505,$L1028))</f>
        <v/>
      </c>
      <c r="G1028" s="122" t="str">
        <f>IF($L1028="","",INDEX('MTRs'!$R$6:$R$505,$L1028))</f>
        <v/>
      </c>
      <c r="H1028" s="130" t="str">
        <f>IF($L1028="","",IF(INDEX('MTRs'!$AM$6:$AM$505,$L1028)=0,"",N(E1028)-N(F1028)))</f>
        <v/>
      </c>
      <c r="I1028" s="130" t="str">
        <f>IF($L1028="","",IF(INDEX('MTRs'!$AM$6:$AM$505,$L1028)=0,"",N(F1028)-N(G1028)))</f>
        <v/>
      </c>
      <c r="J1028" s="120" t="str">
        <f>IF($L1028="","",INDEX('MTRs'!$S$6:$S$505,$L1028)&amp;"")</f>
        <v/>
      </c>
      <c r="L1028" t="str">
        <f>IFERROR(MATCH(426,'MTRs'!$BB$6:$BB$505,0),"")</f>
        <v/>
      </c>
    </row>
    <row r="1029">
      <c r="B1029" s="119" t="str">
        <f>IF($L1029="","",INDEX('MTRs'!$A$6:$A$505,$L1029)&amp;"")</f>
        <v/>
      </c>
      <c r="C1029" s="120" t="str">
        <f>IF($L1029="","",INDEX('MTRs'!$B$6:$B$505,$L1029)&amp;"")</f>
        <v/>
      </c>
      <c r="D1029" s="121" t="str">
        <f>IF($L1029="","",INDEX('MTRs'!$W$6:$W$505,$L1029))</f>
        <v/>
      </c>
      <c r="E1029" s="122" t="str">
        <f>IF($L1029="","",INDEX('MTRs'!$P$6:$P$505,$L1029))</f>
        <v/>
      </c>
      <c r="F1029" s="122" t="str">
        <f>IF($L1029="","",INDEX('MTRs'!$Q$6:$Q$505,$L1029))</f>
        <v/>
      </c>
      <c r="G1029" s="122" t="str">
        <f>IF($L1029="","",INDEX('MTRs'!$R$6:$R$505,$L1029))</f>
        <v/>
      </c>
      <c r="H1029" s="130" t="str">
        <f>IF($L1029="","",IF(INDEX('MTRs'!$AM$6:$AM$505,$L1029)=0,"",N(E1029)-N(F1029)))</f>
        <v/>
      </c>
      <c r="I1029" s="130" t="str">
        <f>IF($L1029="","",IF(INDEX('MTRs'!$AM$6:$AM$505,$L1029)=0,"",N(F1029)-N(G1029)))</f>
        <v/>
      </c>
      <c r="J1029" s="120" t="str">
        <f>IF($L1029="","",INDEX('MTRs'!$S$6:$S$505,$L1029)&amp;"")</f>
        <v/>
      </c>
      <c r="L1029" t="str">
        <f>IFERROR(MATCH(427,'MTRs'!$BB$6:$BB$505,0),"")</f>
        <v/>
      </c>
    </row>
    <row r="1030">
      <c r="B1030" s="119" t="str">
        <f>IF($L1030="","",INDEX('MTRs'!$A$6:$A$505,$L1030)&amp;"")</f>
        <v/>
      </c>
      <c r="C1030" s="120" t="str">
        <f>IF($L1030="","",INDEX('MTRs'!$B$6:$B$505,$L1030)&amp;"")</f>
        <v/>
      </c>
      <c r="D1030" s="121" t="str">
        <f>IF($L1030="","",INDEX('MTRs'!$W$6:$W$505,$L1030))</f>
        <v/>
      </c>
      <c r="E1030" s="122" t="str">
        <f>IF($L1030="","",INDEX('MTRs'!$P$6:$P$505,$L1030))</f>
        <v/>
      </c>
      <c r="F1030" s="122" t="str">
        <f>IF($L1030="","",INDEX('MTRs'!$Q$6:$Q$505,$L1030))</f>
        <v/>
      </c>
      <c r="G1030" s="122" t="str">
        <f>IF($L1030="","",INDEX('MTRs'!$R$6:$R$505,$L1030))</f>
        <v/>
      </c>
      <c r="H1030" s="130" t="str">
        <f>IF($L1030="","",IF(INDEX('MTRs'!$AM$6:$AM$505,$L1030)=0,"",N(E1030)-N(F1030)))</f>
        <v/>
      </c>
      <c r="I1030" s="130" t="str">
        <f>IF($L1030="","",IF(INDEX('MTRs'!$AM$6:$AM$505,$L1030)=0,"",N(F1030)-N(G1030)))</f>
        <v/>
      </c>
      <c r="J1030" s="120" t="str">
        <f>IF($L1030="","",INDEX('MTRs'!$S$6:$S$505,$L1030)&amp;"")</f>
        <v/>
      </c>
      <c r="L1030" t="str">
        <f>IFERROR(MATCH(428,'MTRs'!$BB$6:$BB$505,0),"")</f>
        <v/>
      </c>
    </row>
    <row r="1031">
      <c r="B1031" s="119" t="str">
        <f>IF($L1031="","",INDEX('MTRs'!$A$6:$A$505,$L1031)&amp;"")</f>
        <v/>
      </c>
      <c r="C1031" s="120" t="str">
        <f>IF($L1031="","",INDEX('MTRs'!$B$6:$B$505,$L1031)&amp;"")</f>
        <v/>
      </c>
      <c r="D1031" s="121" t="str">
        <f>IF($L1031="","",INDEX('MTRs'!$W$6:$W$505,$L1031))</f>
        <v/>
      </c>
      <c r="E1031" s="122" t="str">
        <f>IF($L1031="","",INDEX('MTRs'!$P$6:$P$505,$L1031))</f>
        <v/>
      </c>
      <c r="F1031" s="122" t="str">
        <f>IF($L1031="","",INDEX('MTRs'!$Q$6:$Q$505,$L1031))</f>
        <v/>
      </c>
      <c r="G1031" s="122" t="str">
        <f>IF($L1031="","",INDEX('MTRs'!$R$6:$R$505,$L1031))</f>
        <v/>
      </c>
      <c r="H1031" s="130" t="str">
        <f>IF($L1031="","",IF(INDEX('MTRs'!$AM$6:$AM$505,$L1031)=0,"",N(E1031)-N(F1031)))</f>
        <v/>
      </c>
      <c r="I1031" s="130" t="str">
        <f>IF($L1031="","",IF(INDEX('MTRs'!$AM$6:$AM$505,$L1031)=0,"",N(F1031)-N(G1031)))</f>
        <v/>
      </c>
      <c r="J1031" s="120" t="str">
        <f>IF($L1031="","",INDEX('MTRs'!$S$6:$S$505,$L1031)&amp;"")</f>
        <v/>
      </c>
      <c r="L1031" t="str">
        <f>IFERROR(MATCH(429,'MTRs'!$BB$6:$BB$505,0),"")</f>
        <v/>
      </c>
    </row>
    <row r="1032">
      <c r="B1032" s="119" t="str">
        <f>IF($L1032="","",INDEX('MTRs'!$A$6:$A$505,$L1032)&amp;"")</f>
        <v/>
      </c>
      <c r="C1032" s="120" t="str">
        <f>IF($L1032="","",INDEX('MTRs'!$B$6:$B$505,$L1032)&amp;"")</f>
        <v/>
      </c>
      <c r="D1032" s="121" t="str">
        <f>IF($L1032="","",INDEX('MTRs'!$W$6:$W$505,$L1032))</f>
        <v/>
      </c>
      <c r="E1032" s="122" t="str">
        <f>IF($L1032="","",INDEX('MTRs'!$P$6:$P$505,$L1032))</f>
        <v/>
      </c>
      <c r="F1032" s="122" t="str">
        <f>IF($L1032="","",INDEX('MTRs'!$Q$6:$Q$505,$L1032))</f>
        <v/>
      </c>
      <c r="G1032" s="122" t="str">
        <f>IF($L1032="","",INDEX('MTRs'!$R$6:$R$505,$L1032))</f>
        <v/>
      </c>
      <c r="H1032" s="130" t="str">
        <f>IF($L1032="","",IF(INDEX('MTRs'!$AM$6:$AM$505,$L1032)=0,"",N(E1032)-N(F1032)))</f>
        <v/>
      </c>
      <c r="I1032" s="130" t="str">
        <f>IF($L1032="","",IF(INDEX('MTRs'!$AM$6:$AM$505,$L1032)=0,"",N(F1032)-N(G1032)))</f>
        <v/>
      </c>
      <c r="J1032" s="120" t="str">
        <f>IF($L1032="","",INDEX('MTRs'!$S$6:$S$505,$L1032)&amp;"")</f>
        <v/>
      </c>
      <c r="L1032" t="str">
        <f>IFERROR(MATCH(430,'MTRs'!$BB$6:$BB$505,0),"")</f>
        <v/>
      </c>
    </row>
    <row r="1033">
      <c r="B1033" s="119" t="str">
        <f>IF($L1033="","",INDEX('MTRs'!$A$6:$A$505,$L1033)&amp;"")</f>
        <v/>
      </c>
      <c r="C1033" s="120" t="str">
        <f>IF($L1033="","",INDEX('MTRs'!$B$6:$B$505,$L1033)&amp;"")</f>
        <v/>
      </c>
      <c r="D1033" s="121" t="str">
        <f>IF($L1033="","",INDEX('MTRs'!$W$6:$W$505,$L1033))</f>
        <v/>
      </c>
      <c r="E1033" s="122" t="str">
        <f>IF($L1033="","",INDEX('MTRs'!$P$6:$P$505,$L1033))</f>
        <v/>
      </c>
      <c r="F1033" s="122" t="str">
        <f>IF($L1033="","",INDEX('MTRs'!$Q$6:$Q$505,$L1033))</f>
        <v/>
      </c>
      <c r="G1033" s="122" t="str">
        <f>IF($L1033="","",INDEX('MTRs'!$R$6:$R$505,$L1033))</f>
        <v/>
      </c>
      <c r="H1033" s="130" t="str">
        <f>IF($L1033="","",IF(INDEX('MTRs'!$AM$6:$AM$505,$L1033)=0,"",N(E1033)-N(F1033)))</f>
        <v/>
      </c>
      <c r="I1033" s="130" t="str">
        <f>IF($L1033="","",IF(INDEX('MTRs'!$AM$6:$AM$505,$L1033)=0,"",N(F1033)-N(G1033)))</f>
        <v/>
      </c>
      <c r="J1033" s="120" t="str">
        <f>IF($L1033="","",INDEX('MTRs'!$S$6:$S$505,$L1033)&amp;"")</f>
        <v/>
      </c>
      <c r="L1033" t="str">
        <f>IFERROR(MATCH(431,'MTRs'!$BB$6:$BB$505,0),"")</f>
        <v/>
      </c>
    </row>
    <row r="1034">
      <c r="B1034" s="119" t="str">
        <f>IF($L1034="","",INDEX('MTRs'!$A$6:$A$505,$L1034)&amp;"")</f>
        <v/>
      </c>
      <c r="C1034" s="120" t="str">
        <f>IF($L1034="","",INDEX('MTRs'!$B$6:$B$505,$L1034)&amp;"")</f>
        <v/>
      </c>
      <c r="D1034" s="121" t="str">
        <f>IF($L1034="","",INDEX('MTRs'!$W$6:$W$505,$L1034))</f>
        <v/>
      </c>
      <c r="E1034" s="122" t="str">
        <f>IF($L1034="","",INDEX('MTRs'!$P$6:$P$505,$L1034))</f>
        <v/>
      </c>
      <c r="F1034" s="122" t="str">
        <f>IF($L1034="","",INDEX('MTRs'!$Q$6:$Q$505,$L1034))</f>
        <v/>
      </c>
      <c r="G1034" s="122" t="str">
        <f>IF($L1034="","",INDEX('MTRs'!$R$6:$R$505,$L1034))</f>
        <v/>
      </c>
      <c r="H1034" s="130" t="str">
        <f>IF($L1034="","",IF(INDEX('MTRs'!$AM$6:$AM$505,$L1034)=0,"",N(E1034)-N(F1034)))</f>
        <v/>
      </c>
      <c r="I1034" s="130" t="str">
        <f>IF($L1034="","",IF(INDEX('MTRs'!$AM$6:$AM$505,$L1034)=0,"",N(F1034)-N(G1034)))</f>
        <v/>
      </c>
      <c r="J1034" s="120" t="str">
        <f>IF($L1034="","",INDEX('MTRs'!$S$6:$S$505,$L1034)&amp;"")</f>
        <v/>
      </c>
      <c r="L1034" t="str">
        <f>IFERROR(MATCH(432,'MTRs'!$BB$6:$BB$505,0),"")</f>
        <v/>
      </c>
    </row>
    <row r="1035">
      <c r="B1035" s="119" t="str">
        <f>IF($L1035="","",INDEX('MTRs'!$A$6:$A$505,$L1035)&amp;"")</f>
        <v/>
      </c>
      <c r="C1035" s="120" t="str">
        <f>IF($L1035="","",INDEX('MTRs'!$B$6:$B$505,$L1035)&amp;"")</f>
        <v/>
      </c>
      <c r="D1035" s="121" t="str">
        <f>IF($L1035="","",INDEX('MTRs'!$W$6:$W$505,$L1035))</f>
        <v/>
      </c>
      <c r="E1035" s="122" t="str">
        <f>IF($L1035="","",INDEX('MTRs'!$P$6:$P$505,$L1035))</f>
        <v/>
      </c>
      <c r="F1035" s="122" t="str">
        <f>IF($L1035="","",INDEX('MTRs'!$Q$6:$Q$505,$L1035))</f>
        <v/>
      </c>
      <c r="G1035" s="122" t="str">
        <f>IF($L1035="","",INDEX('MTRs'!$R$6:$R$505,$L1035))</f>
        <v/>
      </c>
      <c r="H1035" s="130" t="str">
        <f>IF($L1035="","",IF(INDEX('MTRs'!$AM$6:$AM$505,$L1035)=0,"",N(E1035)-N(F1035)))</f>
        <v/>
      </c>
      <c r="I1035" s="130" t="str">
        <f>IF($L1035="","",IF(INDEX('MTRs'!$AM$6:$AM$505,$L1035)=0,"",N(F1035)-N(G1035)))</f>
        <v/>
      </c>
      <c r="J1035" s="120" t="str">
        <f>IF($L1035="","",INDEX('MTRs'!$S$6:$S$505,$L1035)&amp;"")</f>
        <v/>
      </c>
      <c r="L1035" t="str">
        <f>IFERROR(MATCH(433,'MTRs'!$BB$6:$BB$505,0),"")</f>
        <v/>
      </c>
    </row>
    <row r="1036">
      <c r="B1036" s="119" t="str">
        <f>IF($L1036="","",INDEX('MTRs'!$A$6:$A$505,$L1036)&amp;"")</f>
        <v/>
      </c>
      <c r="C1036" s="120" t="str">
        <f>IF($L1036="","",INDEX('MTRs'!$B$6:$B$505,$L1036)&amp;"")</f>
        <v/>
      </c>
      <c r="D1036" s="121" t="str">
        <f>IF($L1036="","",INDEX('MTRs'!$W$6:$W$505,$L1036))</f>
        <v/>
      </c>
      <c r="E1036" s="122" t="str">
        <f>IF($L1036="","",INDEX('MTRs'!$P$6:$P$505,$L1036))</f>
        <v/>
      </c>
      <c r="F1036" s="122" t="str">
        <f>IF($L1036="","",INDEX('MTRs'!$Q$6:$Q$505,$L1036))</f>
        <v/>
      </c>
      <c r="G1036" s="122" t="str">
        <f>IF($L1036="","",INDEX('MTRs'!$R$6:$R$505,$L1036))</f>
        <v/>
      </c>
      <c r="H1036" s="130" t="str">
        <f>IF($L1036="","",IF(INDEX('MTRs'!$AM$6:$AM$505,$L1036)=0,"",N(E1036)-N(F1036)))</f>
        <v/>
      </c>
      <c r="I1036" s="130" t="str">
        <f>IF($L1036="","",IF(INDEX('MTRs'!$AM$6:$AM$505,$L1036)=0,"",N(F1036)-N(G1036)))</f>
        <v/>
      </c>
      <c r="J1036" s="120" t="str">
        <f>IF($L1036="","",INDEX('MTRs'!$S$6:$S$505,$L1036)&amp;"")</f>
        <v/>
      </c>
      <c r="L1036" t="str">
        <f>IFERROR(MATCH(434,'MTRs'!$BB$6:$BB$505,0),"")</f>
        <v/>
      </c>
    </row>
    <row r="1037">
      <c r="B1037" s="119" t="str">
        <f>IF($L1037="","",INDEX('MTRs'!$A$6:$A$505,$L1037)&amp;"")</f>
        <v/>
      </c>
      <c r="C1037" s="120" t="str">
        <f>IF($L1037="","",INDEX('MTRs'!$B$6:$B$505,$L1037)&amp;"")</f>
        <v/>
      </c>
      <c r="D1037" s="121" t="str">
        <f>IF($L1037="","",INDEX('MTRs'!$W$6:$W$505,$L1037))</f>
        <v/>
      </c>
      <c r="E1037" s="122" t="str">
        <f>IF($L1037="","",INDEX('MTRs'!$P$6:$P$505,$L1037))</f>
        <v/>
      </c>
      <c r="F1037" s="122" t="str">
        <f>IF($L1037="","",INDEX('MTRs'!$Q$6:$Q$505,$L1037))</f>
        <v/>
      </c>
      <c r="G1037" s="122" t="str">
        <f>IF($L1037="","",INDEX('MTRs'!$R$6:$R$505,$L1037))</f>
        <v/>
      </c>
      <c r="H1037" s="130" t="str">
        <f>IF($L1037="","",IF(INDEX('MTRs'!$AM$6:$AM$505,$L1037)=0,"",N(E1037)-N(F1037)))</f>
        <v/>
      </c>
      <c r="I1037" s="130" t="str">
        <f>IF($L1037="","",IF(INDEX('MTRs'!$AM$6:$AM$505,$L1037)=0,"",N(F1037)-N(G1037)))</f>
        <v/>
      </c>
      <c r="J1037" s="120" t="str">
        <f>IF($L1037="","",INDEX('MTRs'!$S$6:$S$505,$L1037)&amp;"")</f>
        <v/>
      </c>
      <c r="L1037" t="str">
        <f>IFERROR(MATCH(435,'MTRs'!$BB$6:$BB$505,0),"")</f>
        <v/>
      </c>
    </row>
    <row r="1038">
      <c r="B1038" s="119" t="str">
        <f>IF($L1038="","",INDEX('MTRs'!$A$6:$A$505,$L1038)&amp;"")</f>
        <v/>
      </c>
      <c r="C1038" s="120" t="str">
        <f>IF($L1038="","",INDEX('MTRs'!$B$6:$B$505,$L1038)&amp;"")</f>
        <v/>
      </c>
      <c r="D1038" s="121" t="str">
        <f>IF($L1038="","",INDEX('MTRs'!$W$6:$W$505,$L1038))</f>
        <v/>
      </c>
      <c r="E1038" s="122" t="str">
        <f>IF($L1038="","",INDEX('MTRs'!$P$6:$P$505,$L1038))</f>
        <v/>
      </c>
      <c r="F1038" s="122" t="str">
        <f>IF($L1038="","",INDEX('MTRs'!$Q$6:$Q$505,$L1038))</f>
        <v/>
      </c>
      <c r="G1038" s="122" t="str">
        <f>IF($L1038="","",INDEX('MTRs'!$R$6:$R$505,$L1038))</f>
        <v/>
      </c>
      <c r="H1038" s="130" t="str">
        <f>IF($L1038="","",IF(INDEX('MTRs'!$AM$6:$AM$505,$L1038)=0,"",N(E1038)-N(F1038)))</f>
        <v/>
      </c>
      <c r="I1038" s="130" t="str">
        <f>IF($L1038="","",IF(INDEX('MTRs'!$AM$6:$AM$505,$L1038)=0,"",N(F1038)-N(G1038)))</f>
        <v/>
      </c>
      <c r="J1038" s="120" t="str">
        <f>IF($L1038="","",INDEX('MTRs'!$S$6:$S$505,$L1038)&amp;"")</f>
        <v/>
      </c>
      <c r="L1038" t="str">
        <f>IFERROR(MATCH(436,'MTRs'!$BB$6:$BB$505,0),"")</f>
        <v/>
      </c>
    </row>
    <row r="1039">
      <c r="B1039" s="119" t="str">
        <f>IF($L1039="","",INDEX('MTRs'!$A$6:$A$505,$L1039)&amp;"")</f>
        <v/>
      </c>
      <c r="C1039" s="120" t="str">
        <f>IF($L1039="","",INDEX('MTRs'!$B$6:$B$505,$L1039)&amp;"")</f>
        <v/>
      </c>
      <c r="D1039" s="121" t="str">
        <f>IF($L1039="","",INDEX('MTRs'!$W$6:$W$505,$L1039))</f>
        <v/>
      </c>
      <c r="E1039" s="122" t="str">
        <f>IF($L1039="","",INDEX('MTRs'!$P$6:$P$505,$L1039))</f>
        <v/>
      </c>
      <c r="F1039" s="122" t="str">
        <f>IF($L1039="","",INDEX('MTRs'!$Q$6:$Q$505,$L1039))</f>
        <v/>
      </c>
      <c r="G1039" s="122" t="str">
        <f>IF($L1039="","",INDEX('MTRs'!$R$6:$R$505,$L1039))</f>
        <v/>
      </c>
      <c r="H1039" s="130" t="str">
        <f>IF($L1039="","",IF(INDEX('MTRs'!$AM$6:$AM$505,$L1039)=0,"",N(E1039)-N(F1039)))</f>
        <v/>
      </c>
      <c r="I1039" s="130" t="str">
        <f>IF($L1039="","",IF(INDEX('MTRs'!$AM$6:$AM$505,$L1039)=0,"",N(F1039)-N(G1039)))</f>
        <v/>
      </c>
      <c r="J1039" s="120" t="str">
        <f>IF($L1039="","",INDEX('MTRs'!$S$6:$S$505,$L1039)&amp;"")</f>
        <v/>
      </c>
      <c r="L1039" t="str">
        <f>IFERROR(MATCH(437,'MTRs'!$BB$6:$BB$505,0),"")</f>
        <v/>
      </c>
    </row>
    <row r="1040">
      <c r="B1040" s="119" t="str">
        <f>IF($L1040="","",INDEX('MTRs'!$A$6:$A$505,$L1040)&amp;"")</f>
        <v/>
      </c>
      <c r="C1040" s="120" t="str">
        <f>IF($L1040="","",INDEX('MTRs'!$B$6:$B$505,$L1040)&amp;"")</f>
        <v/>
      </c>
      <c r="D1040" s="121" t="str">
        <f>IF($L1040="","",INDEX('MTRs'!$W$6:$W$505,$L1040))</f>
        <v/>
      </c>
      <c r="E1040" s="122" t="str">
        <f>IF($L1040="","",INDEX('MTRs'!$P$6:$P$505,$L1040))</f>
        <v/>
      </c>
      <c r="F1040" s="122" t="str">
        <f>IF($L1040="","",INDEX('MTRs'!$Q$6:$Q$505,$L1040))</f>
        <v/>
      </c>
      <c r="G1040" s="122" t="str">
        <f>IF($L1040="","",INDEX('MTRs'!$R$6:$R$505,$L1040))</f>
        <v/>
      </c>
      <c r="H1040" s="130" t="str">
        <f>IF($L1040="","",IF(INDEX('MTRs'!$AM$6:$AM$505,$L1040)=0,"",N(E1040)-N(F1040)))</f>
        <v/>
      </c>
      <c r="I1040" s="130" t="str">
        <f>IF($L1040="","",IF(INDEX('MTRs'!$AM$6:$AM$505,$L1040)=0,"",N(F1040)-N(G1040)))</f>
        <v/>
      </c>
      <c r="J1040" s="120" t="str">
        <f>IF($L1040="","",INDEX('MTRs'!$S$6:$S$505,$L1040)&amp;"")</f>
        <v/>
      </c>
      <c r="L1040" t="str">
        <f>IFERROR(MATCH(438,'MTRs'!$BB$6:$BB$505,0),"")</f>
        <v/>
      </c>
    </row>
    <row r="1041">
      <c r="B1041" s="119" t="str">
        <f>IF($L1041="","",INDEX('MTRs'!$A$6:$A$505,$L1041)&amp;"")</f>
        <v/>
      </c>
      <c r="C1041" s="120" t="str">
        <f>IF($L1041="","",INDEX('MTRs'!$B$6:$B$505,$L1041)&amp;"")</f>
        <v/>
      </c>
      <c r="D1041" s="121" t="str">
        <f>IF($L1041="","",INDEX('MTRs'!$W$6:$W$505,$L1041))</f>
        <v/>
      </c>
      <c r="E1041" s="122" t="str">
        <f>IF($L1041="","",INDEX('MTRs'!$P$6:$P$505,$L1041))</f>
        <v/>
      </c>
      <c r="F1041" s="122" t="str">
        <f>IF($L1041="","",INDEX('MTRs'!$Q$6:$Q$505,$L1041))</f>
        <v/>
      </c>
      <c r="G1041" s="122" t="str">
        <f>IF($L1041="","",INDEX('MTRs'!$R$6:$R$505,$L1041))</f>
        <v/>
      </c>
      <c r="H1041" s="130" t="str">
        <f>IF($L1041="","",IF(INDEX('MTRs'!$AM$6:$AM$505,$L1041)=0,"",N(E1041)-N(F1041)))</f>
        <v/>
      </c>
      <c r="I1041" s="130" t="str">
        <f>IF($L1041="","",IF(INDEX('MTRs'!$AM$6:$AM$505,$L1041)=0,"",N(F1041)-N(G1041)))</f>
        <v/>
      </c>
      <c r="J1041" s="120" t="str">
        <f>IF($L1041="","",INDEX('MTRs'!$S$6:$S$505,$L1041)&amp;"")</f>
        <v/>
      </c>
      <c r="L1041" t="str">
        <f>IFERROR(MATCH(439,'MTRs'!$BB$6:$BB$505,0),"")</f>
        <v/>
      </c>
    </row>
    <row r="1042">
      <c r="B1042" s="119" t="str">
        <f>IF($L1042="","",INDEX('MTRs'!$A$6:$A$505,$L1042)&amp;"")</f>
        <v/>
      </c>
      <c r="C1042" s="120" t="str">
        <f>IF($L1042="","",INDEX('MTRs'!$B$6:$B$505,$L1042)&amp;"")</f>
        <v/>
      </c>
      <c r="D1042" s="121" t="str">
        <f>IF($L1042="","",INDEX('MTRs'!$W$6:$W$505,$L1042))</f>
        <v/>
      </c>
      <c r="E1042" s="122" t="str">
        <f>IF($L1042="","",INDEX('MTRs'!$P$6:$P$505,$L1042))</f>
        <v/>
      </c>
      <c r="F1042" s="122" t="str">
        <f>IF($L1042="","",INDEX('MTRs'!$Q$6:$Q$505,$L1042))</f>
        <v/>
      </c>
      <c r="G1042" s="122" t="str">
        <f>IF($L1042="","",INDEX('MTRs'!$R$6:$R$505,$L1042))</f>
        <v/>
      </c>
      <c r="H1042" s="130" t="str">
        <f>IF($L1042="","",IF(INDEX('MTRs'!$AM$6:$AM$505,$L1042)=0,"",N(E1042)-N(F1042)))</f>
        <v/>
      </c>
      <c r="I1042" s="130" t="str">
        <f>IF($L1042="","",IF(INDEX('MTRs'!$AM$6:$AM$505,$L1042)=0,"",N(F1042)-N(G1042)))</f>
        <v/>
      </c>
      <c r="J1042" s="120" t="str">
        <f>IF($L1042="","",INDEX('MTRs'!$S$6:$S$505,$L1042)&amp;"")</f>
        <v/>
      </c>
      <c r="L1042" t="str">
        <f>IFERROR(MATCH(440,'MTRs'!$BB$6:$BB$505,0),"")</f>
        <v/>
      </c>
    </row>
    <row r="1043">
      <c r="B1043" s="119" t="str">
        <f>IF($L1043="","",INDEX('MTRs'!$A$6:$A$505,$L1043)&amp;"")</f>
        <v/>
      </c>
      <c r="C1043" s="120" t="str">
        <f>IF($L1043="","",INDEX('MTRs'!$B$6:$B$505,$L1043)&amp;"")</f>
        <v/>
      </c>
      <c r="D1043" s="121" t="str">
        <f>IF($L1043="","",INDEX('MTRs'!$W$6:$W$505,$L1043))</f>
        <v/>
      </c>
      <c r="E1043" s="122" t="str">
        <f>IF($L1043="","",INDEX('MTRs'!$P$6:$P$505,$L1043))</f>
        <v/>
      </c>
      <c r="F1043" s="122" t="str">
        <f>IF($L1043="","",INDEX('MTRs'!$Q$6:$Q$505,$L1043))</f>
        <v/>
      </c>
      <c r="G1043" s="122" t="str">
        <f>IF($L1043="","",INDEX('MTRs'!$R$6:$R$505,$L1043))</f>
        <v/>
      </c>
      <c r="H1043" s="130" t="str">
        <f>IF($L1043="","",IF(INDEX('MTRs'!$AM$6:$AM$505,$L1043)=0,"",N(E1043)-N(F1043)))</f>
        <v/>
      </c>
      <c r="I1043" s="130" t="str">
        <f>IF($L1043="","",IF(INDEX('MTRs'!$AM$6:$AM$505,$L1043)=0,"",N(F1043)-N(G1043)))</f>
        <v/>
      </c>
      <c r="J1043" s="120" t="str">
        <f>IF($L1043="","",INDEX('MTRs'!$S$6:$S$505,$L1043)&amp;"")</f>
        <v/>
      </c>
      <c r="L1043" t="str">
        <f>IFERROR(MATCH(441,'MTRs'!$BB$6:$BB$505,0),"")</f>
        <v/>
      </c>
    </row>
    <row r="1044">
      <c r="B1044" s="119" t="str">
        <f>IF($L1044="","",INDEX('MTRs'!$A$6:$A$505,$L1044)&amp;"")</f>
        <v/>
      </c>
      <c r="C1044" s="120" t="str">
        <f>IF($L1044="","",INDEX('MTRs'!$B$6:$B$505,$L1044)&amp;"")</f>
        <v/>
      </c>
      <c r="D1044" s="121" t="str">
        <f>IF($L1044="","",INDEX('MTRs'!$W$6:$W$505,$L1044))</f>
        <v/>
      </c>
      <c r="E1044" s="122" t="str">
        <f>IF($L1044="","",INDEX('MTRs'!$P$6:$P$505,$L1044))</f>
        <v/>
      </c>
      <c r="F1044" s="122" t="str">
        <f>IF($L1044="","",INDEX('MTRs'!$Q$6:$Q$505,$L1044))</f>
        <v/>
      </c>
      <c r="G1044" s="122" t="str">
        <f>IF($L1044="","",INDEX('MTRs'!$R$6:$R$505,$L1044))</f>
        <v/>
      </c>
      <c r="H1044" s="130" t="str">
        <f>IF($L1044="","",IF(INDEX('MTRs'!$AM$6:$AM$505,$L1044)=0,"",N(E1044)-N(F1044)))</f>
        <v/>
      </c>
      <c r="I1044" s="130" t="str">
        <f>IF($L1044="","",IF(INDEX('MTRs'!$AM$6:$AM$505,$L1044)=0,"",N(F1044)-N(G1044)))</f>
        <v/>
      </c>
      <c r="J1044" s="120" t="str">
        <f>IF($L1044="","",INDEX('MTRs'!$S$6:$S$505,$L1044)&amp;"")</f>
        <v/>
      </c>
      <c r="L1044" t="str">
        <f>IFERROR(MATCH(442,'MTRs'!$BB$6:$BB$505,0),"")</f>
        <v/>
      </c>
    </row>
    <row r="1045">
      <c r="B1045" s="119" t="str">
        <f>IF($L1045="","",INDEX('MTRs'!$A$6:$A$505,$L1045)&amp;"")</f>
        <v/>
      </c>
      <c r="C1045" s="120" t="str">
        <f>IF($L1045="","",INDEX('MTRs'!$B$6:$B$505,$L1045)&amp;"")</f>
        <v/>
      </c>
      <c r="D1045" s="121" t="str">
        <f>IF($L1045="","",INDEX('MTRs'!$W$6:$W$505,$L1045))</f>
        <v/>
      </c>
      <c r="E1045" s="122" t="str">
        <f>IF($L1045="","",INDEX('MTRs'!$P$6:$P$505,$L1045))</f>
        <v/>
      </c>
      <c r="F1045" s="122" t="str">
        <f>IF($L1045="","",INDEX('MTRs'!$Q$6:$Q$505,$L1045))</f>
        <v/>
      </c>
      <c r="G1045" s="122" t="str">
        <f>IF($L1045="","",INDEX('MTRs'!$R$6:$R$505,$L1045))</f>
        <v/>
      </c>
      <c r="H1045" s="130" t="str">
        <f>IF($L1045="","",IF(INDEX('MTRs'!$AM$6:$AM$505,$L1045)=0,"",N(E1045)-N(F1045)))</f>
        <v/>
      </c>
      <c r="I1045" s="130" t="str">
        <f>IF($L1045="","",IF(INDEX('MTRs'!$AM$6:$AM$505,$L1045)=0,"",N(F1045)-N(G1045)))</f>
        <v/>
      </c>
      <c r="J1045" s="120" t="str">
        <f>IF($L1045="","",INDEX('MTRs'!$S$6:$S$505,$L1045)&amp;"")</f>
        <v/>
      </c>
      <c r="L1045" t="str">
        <f>IFERROR(MATCH(443,'MTRs'!$BB$6:$BB$505,0),"")</f>
        <v/>
      </c>
    </row>
    <row r="1046">
      <c r="B1046" s="119" t="str">
        <f>IF($L1046="","",INDEX('MTRs'!$A$6:$A$505,$L1046)&amp;"")</f>
        <v/>
      </c>
      <c r="C1046" s="120" t="str">
        <f>IF($L1046="","",INDEX('MTRs'!$B$6:$B$505,$L1046)&amp;"")</f>
        <v/>
      </c>
      <c r="D1046" s="121" t="str">
        <f>IF($L1046="","",INDEX('MTRs'!$W$6:$W$505,$L1046))</f>
        <v/>
      </c>
      <c r="E1046" s="122" t="str">
        <f>IF($L1046="","",INDEX('MTRs'!$P$6:$P$505,$L1046))</f>
        <v/>
      </c>
      <c r="F1046" s="122" t="str">
        <f>IF($L1046="","",INDEX('MTRs'!$Q$6:$Q$505,$L1046))</f>
        <v/>
      </c>
      <c r="G1046" s="122" t="str">
        <f>IF($L1046="","",INDEX('MTRs'!$R$6:$R$505,$L1046))</f>
        <v/>
      </c>
      <c r="H1046" s="130" t="str">
        <f>IF($L1046="","",IF(INDEX('MTRs'!$AM$6:$AM$505,$L1046)=0,"",N(E1046)-N(F1046)))</f>
        <v/>
      </c>
      <c r="I1046" s="130" t="str">
        <f>IF($L1046="","",IF(INDEX('MTRs'!$AM$6:$AM$505,$L1046)=0,"",N(F1046)-N(G1046)))</f>
        <v/>
      </c>
      <c r="J1046" s="120" t="str">
        <f>IF($L1046="","",INDEX('MTRs'!$S$6:$S$505,$L1046)&amp;"")</f>
        <v/>
      </c>
      <c r="L1046" t="str">
        <f>IFERROR(MATCH(444,'MTRs'!$BB$6:$BB$505,0),"")</f>
        <v/>
      </c>
    </row>
    <row r="1047">
      <c r="B1047" s="119" t="str">
        <f>IF($L1047="","",INDEX('MTRs'!$A$6:$A$505,$L1047)&amp;"")</f>
        <v/>
      </c>
      <c r="C1047" s="120" t="str">
        <f>IF($L1047="","",INDEX('MTRs'!$B$6:$B$505,$L1047)&amp;"")</f>
        <v/>
      </c>
      <c r="D1047" s="121" t="str">
        <f>IF($L1047="","",INDEX('MTRs'!$W$6:$W$505,$L1047))</f>
        <v/>
      </c>
      <c r="E1047" s="122" t="str">
        <f>IF($L1047="","",INDEX('MTRs'!$P$6:$P$505,$L1047))</f>
        <v/>
      </c>
      <c r="F1047" s="122" t="str">
        <f>IF($L1047="","",INDEX('MTRs'!$Q$6:$Q$505,$L1047))</f>
        <v/>
      </c>
      <c r="G1047" s="122" t="str">
        <f>IF($L1047="","",INDEX('MTRs'!$R$6:$R$505,$L1047))</f>
        <v/>
      </c>
      <c r="H1047" s="130" t="str">
        <f>IF($L1047="","",IF(INDEX('MTRs'!$AM$6:$AM$505,$L1047)=0,"",N(E1047)-N(F1047)))</f>
        <v/>
      </c>
      <c r="I1047" s="130" t="str">
        <f>IF($L1047="","",IF(INDEX('MTRs'!$AM$6:$AM$505,$L1047)=0,"",N(F1047)-N(G1047)))</f>
        <v/>
      </c>
      <c r="J1047" s="120" t="str">
        <f>IF($L1047="","",INDEX('MTRs'!$S$6:$S$505,$L1047)&amp;"")</f>
        <v/>
      </c>
      <c r="L1047" t="str">
        <f>IFERROR(MATCH(445,'MTRs'!$BB$6:$BB$505,0),"")</f>
        <v/>
      </c>
    </row>
    <row r="1048">
      <c r="B1048" s="119" t="str">
        <f>IF($L1048="","",INDEX('MTRs'!$A$6:$A$505,$L1048)&amp;"")</f>
        <v/>
      </c>
      <c r="C1048" s="120" t="str">
        <f>IF($L1048="","",INDEX('MTRs'!$B$6:$B$505,$L1048)&amp;"")</f>
        <v/>
      </c>
      <c r="D1048" s="121" t="str">
        <f>IF($L1048="","",INDEX('MTRs'!$W$6:$W$505,$L1048))</f>
        <v/>
      </c>
      <c r="E1048" s="122" t="str">
        <f>IF($L1048="","",INDEX('MTRs'!$P$6:$P$505,$L1048))</f>
        <v/>
      </c>
      <c r="F1048" s="122" t="str">
        <f>IF($L1048="","",INDEX('MTRs'!$Q$6:$Q$505,$L1048))</f>
        <v/>
      </c>
      <c r="G1048" s="122" t="str">
        <f>IF($L1048="","",INDEX('MTRs'!$R$6:$R$505,$L1048))</f>
        <v/>
      </c>
      <c r="H1048" s="130" t="str">
        <f>IF($L1048="","",IF(INDEX('MTRs'!$AM$6:$AM$505,$L1048)=0,"",N(E1048)-N(F1048)))</f>
        <v/>
      </c>
      <c r="I1048" s="130" t="str">
        <f>IF($L1048="","",IF(INDEX('MTRs'!$AM$6:$AM$505,$L1048)=0,"",N(F1048)-N(G1048)))</f>
        <v/>
      </c>
      <c r="J1048" s="120" t="str">
        <f>IF($L1048="","",INDEX('MTRs'!$S$6:$S$505,$L1048)&amp;"")</f>
        <v/>
      </c>
      <c r="L1048" t="str">
        <f>IFERROR(MATCH(446,'MTRs'!$BB$6:$BB$505,0),"")</f>
        <v/>
      </c>
    </row>
    <row r="1049">
      <c r="B1049" s="119" t="str">
        <f>IF($L1049="","",INDEX('MTRs'!$A$6:$A$505,$L1049)&amp;"")</f>
        <v/>
      </c>
      <c r="C1049" s="120" t="str">
        <f>IF($L1049="","",INDEX('MTRs'!$B$6:$B$505,$L1049)&amp;"")</f>
        <v/>
      </c>
      <c r="D1049" s="121" t="str">
        <f>IF($L1049="","",INDEX('MTRs'!$W$6:$W$505,$L1049))</f>
        <v/>
      </c>
      <c r="E1049" s="122" t="str">
        <f>IF($L1049="","",INDEX('MTRs'!$P$6:$P$505,$L1049))</f>
        <v/>
      </c>
      <c r="F1049" s="122" t="str">
        <f>IF($L1049="","",INDEX('MTRs'!$Q$6:$Q$505,$L1049))</f>
        <v/>
      </c>
      <c r="G1049" s="122" t="str">
        <f>IF($L1049="","",INDEX('MTRs'!$R$6:$R$505,$L1049))</f>
        <v/>
      </c>
      <c r="H1049" s="130" t="str">
        <f>IF($L1049="","",IF(INDEX('MTRs'!$AM$6:$AM$505,$L1049)=0,"",N(E1049)-N(F1049)))</f>
        <v/>
      </c>
      <c r="I1049" s="130" t="str">
        <f>IF($L1049="","",IF(INDEX('MTRs'!$AM$6:$AM$505,$L1049)=0,"",N(F1049)-N(G1049)))</f>
        <v/>
      </c>
      <c r="J1049" s="120" t="str">
        <f>IF($L1049="","",INDEX('MTRs'!$S$6:$S$505,$L1049)&amp;"")</f>
        <v/>
      </c>
      <c r="L1049" t="str">
        <f>IFERROR(MATCH(447,'MTRs'!$BB$6:$BB$505,0),"")</f>
        <v/>
      </c>
    </row>
    <row r="1050">
      <c r="B1050" s="119" t="str">
        <f>IF($L1050="","",INDEX('MTRs'!$A$6:$A$505,$L1050)&amp;"")</f>
        <v/>
      </c>
      <c r="C1050" s="120" t="str">
        <f>IF($L1050="","",INDEX('MTRs'!$B$6:$B$505,$L1050)&amp;"")</f>
        <v/>
      </c>
      <c r="D1050" s="121" t="str">
        <f>IF($L1050="","",INDEX('MTRs'!$W$6:$W$505,$L1050))</f>
        <v/>
      </c>
      <c r="E1050" s="122" t="str">
        <f>IF($L1050="","",INDEX('MTRs'!$P$6:$P$505,$L1050))</f>
        <v/>
      </c>
      <c r="F1050" s="122" t="str">
        <f>IF($L1050="","",INDEX('MTRs'!$Q$6:$Q$505,$L1050))</f>
        <v/>
      </c>
      <c r="G1050" s="122" t="str">
        <f>IF($L1050="","",INDEX('MTRs'!$R$6:$R$505,$L1050))</f>
        <v/>
      </c>
      <c r="H1050" s="130" t="str">
        <f>IF($L1050="","",IF(INDEX('MTRs'!$AM$6:$AM$505,$L1050)=0,"",N(E1050)-N(F1050)))</f>
        <v/>
      </c>
      <c r="I1050" s="130" t="str">
        <f>IF($L1050="","",IF(INDEX('MTRs'!$AM$6:$AM$505,$L1050)=0,"",N(F1050)-N(G1050)))</f>
        <v/>
      </c>
      <c r="J1050" s="120" t="str">
        <f>IF($L1050="","",INDEX('MTRs'!$S$6:$S$505,$L1050)&amp;"")</f>
        <v/>
      </c>
      <c r="L1050" t="str">
        <f>IFERROR(MATCH(448,'MTRs'!$BB$6:$BB$505,0),"")</f>
        <v/>
      </c>
    </row>
    <row r="1051">
      <c r="B1051" s="119" t="str">
        <f>IF($L1051="","",INDEX('MTRs'!$A$6:$A$505,$L1051)&amp;"")</f>
        <v/>
      </c>
      <c r="C1051" s="120" t="str">
        <f>IF($L1051="","",INDEX('MTRs'!$B$6:$B$505,$L1051)&amp;"")</f>
        <v/>
      </c>
      <c r="D1051" s="121" t="str">
        <f>IF($L1051="","",INDEX('MTRs'!$W$6:$W$505,$L1051))</f>
        <v/>
      </c>
      <c r="E1051" s="122" t="str">
        <f>IF($L1051="","",INDEX('MTRs'!$P$6:$P$505,$L1051))</f>
        <v/>
      </c>
      <c r="F1051" s="122" t="str">
        <f>IF($L1051="","",INDEX('MTRs'!$Q$6:$Q$505,$L1051))</f>
        <v/>
      </c>
      <c r="G1051" s="122" t="str">
        <f>IF($L1051="","",INDEX('MTRs'!$R$6:$R$505,$L1051))</f>
        <v/>
      </c>
      <c r="H1051" s="130" t="str">
        <f>IF($L1051="","",IF(INDEX('MTRs'!$AM$6:$AM$505,$L1051)=0,"",N(E1051)-N(F1051)))</f>
        <v/>
      </c>
      <c r="I1051" s="130" t="str">
        <f>IF($L1051="","",IF(INDEX('MTRs'!$AM$6:$AM$505,$L1051)=0,"",N(F1051)-N(G1051)))</f>
        <v/>
      </c>
      <c r="J1051" s="120" t="str">
        <f>IF($L1051="","",INDEX('MTRs'!$S$6:$S$505,$L1051)&amp;"")</f>
        <v/>
      </c>
      <c r="L1051" t="str">
        <f>IFERROR(MATCH(449,'MTRs'!$BB$6:$BB$505,0),"")</f>
        <v/>
      </c>
    </row>
    <row r="1052">
      <c r="B1052" s="119" t="str">
        <f>IF($L1052="","",INDEX('MTRs'!$A$6:$A$505,$L1052)&amp;"")</f>
        <v/>
      </c>
      <c r="C1052" s="120" t="str">
        <f>IF($L1052="","",INDEX('MTRs'!$B$6:$B$505,$L1052)&amp;"")</f>
        <v/>
      </c>
      <c r="D1052" s="121" t="str">
        <f>IF($L1052="","",INDEX('MTRs'!$W$6:$W$505,$L1052))</f>
        <v/>
      </c>
      <c r="E1052" s="122" t="str">
        <f>IF($L1052="","",INDEX('MTRs'!$P$6:$P$505,$L1052))</f>
        <v/>
      </c>
      <c r="F1052" s="122" t="str">
        <f>IF($L1052="","",INDEX('MTRs'!$Q$6:$Q$505,$L1052))</f>
        <v/>
      </c>
      <c r="G1052" s="122" t="str">
        <f>IF($L1052="","",INDEX('MTRs'!$R$6:$R$505,$L1052))</f>
        <v/>
      </c>
      <c r="H1052" s="130" t="str">
        <f>IF($L1052="","",IF(INDEX('MTRs'!$AM$6:$AM$505,$L1052)=0,"",N(E1052)-N(F1052)))</f>
        <v/>
      </c>
      <c r="I1052" s="130" t="str">
        <f>IF($L1052="","",IF(INDEX('MTRs'!$AM$6:$AM$505,$L1052)=0,"",N(F1052)-N(G1052)))</f>
        <v/>
      </c>
      <c r="J1052" s="120" t="str">
        <f>IF($L1052="","",INDEX('MTRs'!$S$6:$S$505,$L1052)&amp;"")</f>
        <v/>
      </c>
      <c r="L1052" t="str">
        <f>IFERROR(MATCH(450,'MTRs'!$BB$6:$BB$505,0),"")</f>
        <v/>
      </c>
    </row>
    <row r="1053">
      <c r="B1053" s="119" t="str">
        <f>IF($L1053="","",INDEX('MTRs'!$A$6:$A$505,$L1053)&amp;"")</f>
        <v/>
      </c>
      <c r="C1053" s="120" t="str">
        <f>IF($L1053="","",INDEX('MTRs'!$B$6:$B$505,$L1053)&amp;"")</f>
        <v/>
      </c>
      <c r="D1053" s="121" t="str">
        <f>IF($L1053="","",INDEX('MTRs'!$W$6:$W$505,$L1053))</f>
        <v/>
      </c>
      <c r="E1053" s="122" t="str">
        <f>IF($L1053="","",INDEX('MTRs'!$P$6:$P$505,$L1053))</f>
        <v/>
      </c>
      <c r="F1053" s="122" t="str">
        <f>IF($L1053="","",INDEX('MTRs'!$Q$6:$Q$505,$L1053))</f>
        <v/>
      </c>
      <c r="G1053" s="122" t="str">
        <f>IF($L1053="","",INDEX('MTRs'!$R$6:$R$505,$L1053))</f>
        <v/>
      </c>
      <c r="H1053" s="130" t="str">
        <f>IF($L1053="","",IF(INDEX('MTRs'!$AM$6:$AM$505,$L1053)=0,"",N(E1053)-N(F1053)))</f>
        <v/>
      </c>
      <c r="I1053" s="130" t="str">
        <f>IF($L1053="","",IF(INDEX('MTRs'!$AM$6:$AM$505,$L1053)=0,"",N(F1053)-N(G1053)))</f>
        <v/>
      </c>
      <c r="J1053" s="120" t="str">
        <f>IF($L1053="","",INDEX('MTRs'!$S$6:$S$505,$L1053)&amp;"")</f>
        <v/>
      </c>
      <c r="L1053" t="str">
        <f>IFERROR(MATCH(451,'MTRs'!$BB$6:$BB$505,0),"")</f>
        <v/>
      </c>
    </row>
    <row r="1054">
      <c r="B1054" s="119" t="str">
        <f>IF($L1054="","",INDEX('MTRs'!$A$6:$A$505,$L1054)&amp;"")</f>
        <v/>
      </c>
      <c r="C1054" s="120" t="str">
        <f>IF($L1054="","",INDEX('MTRs'!$B$6:$B$505,$L1054)&amp;"")</f>
        <v/>
      </c>
      <c r="D1054" s="121" t="str">
        <f>IF($L1054="","",INDEX('MTRs'!$W$6:$W$505,$L1054))</f>
        <v/>
      </c>
      <c r="E1054" s="122" t="str">
        <f>IF($L1054="","",INDEX('MTRs'!$P$6:$P$505,$L1054))</f>
        <v/>
      </c>
      <c r="F1054" s="122" t="str">
        <f>IF($L1054="","",INDEX('MTRs'!$Q$6:$Q$505,$L1054))</f>
        <v/>
      </c>
      <c r="G1054" s="122" t="str">
        <f>IF($L1054="","",INDEX('MTRs'!$R$6:$R$505,$L1054))</f>
        <v/>
      </c>
      <c r="H1054" s="130" t="str">
        <f>IF($L1054="","",IF(INDEX('MTRs'!$AM$6:$AM$505,$L1054)=0,"",N(E1054)-N(F1054)))</f>
        <v/>
      </c>
      <c r="I1054" s="130" t="str">
        <f>IF($L1054="","",IF(INDEX('MTRs'!$AM$6:$AM$505,$L1054)=0,"",N(F1054)-N(G1054)))</f>
        <v/>
      </c>
      <c r="J1054" s="120" t="str">
        <f>IF($L1054="","",INDEX('MTRs'!$S$6:$S$505,$L1054)&amp;"")</f>
        <v/>
      </c>
      <c r="L1054" t="str">
        <f>IFERROR(MATCH(452,'MTRs'!$BB$6:$BB$505,0),"")</f>
        <v/>
      </c>
    </row>
    <row r="1055">
      <c r="B1055" s="119" t="str">
        <f>IF($L1055="","",INDEX('MTRs'!$A$6:$A$505,$L1055)&amp;"")</f>
        <v/>
      </c>
      <c r="C1055" s="120" t="str">
        <f>IF($L1055="","",INDEX('MTRs'!$B$6:$B$505,$L1055)&amp;"")</f>
        <v/>
      </c>
      <c r="D1055" s="121" t="str">
        <f>IF($L1055="","",INDEX('MTRs'!$W$6:$W$505,$L1055))</f>
        <v/>
      </c>
      <c r="E1055" s="122" t="str">
        <f>IF($L1055="","",INDEX('MTRs'!$P$6:$P$505,$L1055))</f>
        <v/>
      </c>
      <c r="F1055" s="122" t="str">
        <f>IF($L1055="","",INDEX('MTRs'!$Q$6:$Q$505,$L1055))</f>
        <v/>
      </c>
      <c r="G1055" s="122" t="str">
        <f>IF($L1055="","",INDEX('MTRs'!$R$6:$R$505,$L1055))</f>
        <v/>
      </c>
      <c r="H1055" s="130" t="str">
        <f>IF($L1055="","",IF(INDEX('MTRs'!$AM$6:$AM$505,$L1055)=0,"",N(E1055)-N(F1055)))</f>
        <v/>
      </c>
      <c r="I1055" s="130" t="str">
        <f>IF($L1055="","",IF(INDEX('MTRs'!$AM$6:$AM$505,$L1055)=0,"",N(F1055)-N(G1055)))</f>
        <v/>
      </c>
      <c r="J1055" s="120" t="str">
        <f>IF($L1055="","",INDEX('MTRs'!$S$6:$S$505,$L1055)&amp;"")</f>
        <v/>
      </c>
      <c r="L1055" t="str">
        <f>IFERROR(MATCH(453,'MTRs'!$BB$6:$BB$505,0),"")</f>
        <v/>
      </c>
    </row>
    <row r="1056">
      <c r="B1056" s="119" t="str">
        <f>IF($L1056="","",INDEX('MTRs'!$A$6:$A$505,$L1056)&amp;"")</f>
        <v/>
      </c>
      <c r="C1056" s="120" t="str">
        <f>IF($L1056="","",INDEX('MTRs'!$B$6:$B$505,$L1056)&amp;"")</f>
        <v/>
      </c>
      <c r="D1056" s="121" t="str">
        <f>IF($L1056="","",INDEX('MTRs'!$W$6:$W$505,$L1056))</f>
        <v/>
      </c>
      <c r="E1056" s="122" t="str">
        <f>IF($L1056="","",INDEX('MTRs'!$P$6:$P$505,$L1056))</f>
        <v/>
      </c>
      <c r="F1056" s="122" t="str">
        <f>IF($L1056="","",INDEX('MTRs'!$Q$6:$Q$505,$L1056))</f>
        <v/>
      </c>
      <c r="G1056" s="122" t="str">
        <f>IF($L1056="","",INDEX('MTRs'!$R$6:$R$505,$L1056))</f>
        <v/>
      </c>
      <c r="H1056" s="130" t="str">
        <f>IF($L1056="","",IF(INDEX('MTRs'!$AM$6:$AM$505,$L1056)=0,"",N(E1056)-N(F1056)))</f>
        <v/>
      </c>
      <c r="I1056" s="130" t="str">
        <f>IF($L1056="","",IF(INDEX('MTRs'!$AM$6:$AM$505,$L1056)=0,"",N(F1056)-N(G1056)))</f>
        <v/>
      </c>
      <c r="J1056" s="120" t="str">
        <f>IF($L1056="","",INDEX('MTRs'!$S$6:$S$505,$L1056)&amp;"")</f>
        <v/>
      </c>
      <c r="L1056" t="str">
        <f>IFERROR(MATCH(454,'MTRs'!$BB$6:$BB$505,0),"")</f>
        <v/>
      </c>
    </row>
    <row r="1057">
      <c r="B1057" s="119" t="str">
        <f>IF($L1057="","",INDEX('MTRs'!$A$6:$A$505,$L1057)&amp;"")</f>
        <v/>
      </c>
      <c r="C1057" s="120" t="str">
        <f>IF($L1057="","",INDEX('MTRs'!$B$6:$B$505,$L1057)&amp;"")</f>
        <v/>
      </c>
      <c r="D1057" s="121" t="str">
        <f>IF($L1057="","",INDEX('MTRs'!$W$6:$W$505,$L1057))</f>
        <v/>
      </c>
      <c r="E1057" s="122" t="str">
        <f>IF($L1057="","",INDEX('MTRs'!$P$6:$P$505,$L1057))</f>
        <v/>
      </c>
      <c r="F1057" s="122" t="str">
        <f>IF($L1057="","",INDEX('MTRs'!$Q$6:$Q$505,$L1057))</f>
        <v/>
      </c>
      <c r="G1057" s="122" t="str">
        <f>IF($L1057="","",INDEX('MTRs'!$R$6:$R$505,$L1057))</f>
        <v/>
      </c>
      <c r="H1057" s="130" t="str">
        <f>IF($L1057="","",IF(INDEX('MTRs'!$AM$6:$AM$505,$L1057)=0,"",N(E1057)-N(F1057)))</f>
        <v/>
      </c>
      <c r="I1057" s="130" t="str">
        <f>IF($L1057="","",IF(INDEX('MTRs'!$AM$6:$AM$505,$L1057)=0,"",N(F1057)-N(G1057)))</f>
        <v/>
      </c>
      <c r="J1057" s="120" t="str">
        <f>IF($L1057="","",INDEX('MTRs'!$S$6:$S$505,$L1057)&amp;"")</f>
        <v/>
      </c>
      <c r="L1057" t="str">
        <f>IFERROR(MATCH(455,'MTRs'!$BB$6:$BB$505,0),"")</f>
        <v/>
      </c>
    </row>
    <row r="1058">
      <c r="B1058" s="119" t="str">
        <f>IF($L1058="","",INDEX('MTRs'!$A$6:$A$505,$L1058)&amp;"")</f>
        <v/>
      </c>
      <c r="C1058" s="120" t="str">
        <f>IF($L1058="","",INDEX('MTRs'!$B$6:$B$505,$L1058)&amp;"")</f>
        <v/>
      </c>
      <c r="D1058" s="121" t="str">
        <f>IF($L1058="","",INDEX('MTRs'!$W$6:$W$505,$L1058))</f>
        <v/>
      </c>
      <c r="E1058" s="122" t="str">
        <f>IF($L1058="","",INDEX('MTRs'!$P$6:$P$505,$L1058))</f>
        <v/>
      </c>
      <c r="F1058" s="122" t="str">
        <f>IF($L1058="","",INDEX('MTRs'!$Q$6:$Q$505,$L1058))</f>
        <v/>
      </c>
      <c r="G1058" s="122" t="str">
        <f>IF($L1058="","",INDEX('MTRs'!$R$6:$R$505,$L1058))</f>
        <v/>
      </c>
      <c r="H1058" s="130" t="str">
        <f>IF($L1058="","",IF(INDEX('MTRs'!$AM$6:$AM$505,$L1058)=0,"",N(E1058)-N(F1058)))</f>
        <v/>
      </c>
      <c r="I1058" s="130" t="str">
        <f>IF($L1058="","",IF(INDEX('MTRs'!$AM$6:$AM$505,$L1058)=0,"",N(F1058)-N(G1058)))</f>
        <v/>
      </c>
      <c r="J1058" s="120" t="str">
        <f>IF($L1058="","",INDEX('MTRs'!$S$6:$S$505,$L1058)&amp;"")</f>
        <v/>
      </c>
      <c r="L1058" t="str">
        <f>IFERROR(MATCH(456,'MTRs'!$BB$6:$BB$505,0),"")</f>
        <v/>
      </c>
    </row>
    <row r="1059">
      <c r="B1059" s="119" t="str">
        <f>IF($L1059="","",INDEX('MTRs'!$A$6:$A$505,$L1059)&amp;"")</f>
        <v/>
      </c>
      <c r="C1059" s="120" t="str">
        <f>IF($L1059="","",INDEX('MTRs'!$B$6:$B$505,$L1059)&amp;"")</f>
        <v/>
      </c>
      <c r="D1059" s="121" t="str">
        <f>IF($L1059="","",INDEX('MTRs'!$W$6:$W$505,$L1059))</f>
        <v/>
      </c>
      <c r="E1059" s="122" t="str">
        <f>IF($L1059="","",INDEX('MTRs'!$P$6:$P$505,$L1059))</f>
        <v/>
      </c>
      <c r="F1059" s="122" t="str">
        <f>IF($L1059="","",INDEX('MTRs'!$Q$6:$Q$505,$L1059))</f>
        <v/>
      </c>
      <c r="G1059" s="122" t="str">
        <f>IF($L1059="","",INDEX('MTRs'!$R$6:$R$505,$L1059))</f>
        <v/>
      </c>
      <c r="H1059" s="130" t="str">
        <f>IF($L1059="","",IF(INDEX('MTRs'!$AM$6:$AM$505,$L1059)=0,"",N(E1059)-N(F1059)))</f>
        <v/>
      </c>
      <c r="I1059" s="130" t="str">
        <f>IF($L1059="","",IF(INDEX('MTRs'!$AM$6:$AM$505,$L1059)=0,"",N(F1059)-N(G1059)))</f>
        <v/>
      </c>
      <c r="J1059" s="120" t="str">
        <f>IF($L1059="","",INDEX('MTRs'!$S$6:$S$505,$L1059)&amp;"")</f>
        <v/>
      </c>
      <c r="L1059" t="str">
        <f>IFERROR(MATCH(457,'MTRs'!$BB$6:$BB$505,0),"")</f>
        <v/>
      </c>
    </row>
    <row r="1060">
      <c r="B1060" s="119" t="str">
        <f>IF($L1060="","",INDEX('MTRs'!$A$6:$A$505,$L1060)&amp;"")</f>
        <v/>
      </c>
      <c r="C1060" s="120" t="str">
        <f>IF($L1060="","",INDEX('MTRs'!$B$6:$B$505,$L1060)&amp;"")</f>
        <v/>
      </c>
      <c r="D1060" s="121" t="str">
        <f>IF($L1060="","",INDEX('MTRs'!$W$6:$W$505,$L1060))</f>
        <v/>
      </c>
      <c r="E1060" s="122" t="str">
        <f>IF($L1060="","",INDEX('MTRs'!$P$6:$P$505,$L1060))</f>
        <v/>
      </c>
      <c r="F1060" s="122" t="str">
        <f>IF($L1060="","",INDEX('MTRs'!$Q$6:$Q$505,$L1060))</f>
        <v/>
      </c>
      <c r="G1060" s="122" t="str">
        <f>IF($L1060="","",INDEX('MTRs'!$R$6:$R$505,$L1060))</f>
        <v/>
      </c>
      <c r="H1060" s="130" t="str">
        <f>IF($L1060="","",IF(INDEX('MTRs'!$AM$6:$AM$505,$L1060)=0,"",N(E1060)-N(F1060)))</f>
        <v/>
      </c>
      <c r="I1060" s="130" t="str">
        <f>IF($L1060="","",IF(INDEX('MTRs'!$AM$6:$AM$505,$L1060)=0,"",N(F1060)-N(G1060)))</f>
        <v/>
      </c>
      <c r="J1060" s="120" t="str">
        <f>IF($L1060="","",INDEX('MTRs'!$S$6:$S$505,$L1060)&amp;"")</f>
        <v/>
      </c>
      <c r="L1060" t="str">
        <f>IFERROR(MATCH(458,'MTRs'!$BB$6:$BB$505,0),"")</f>
        <v/>
      </c>
    </row>
    <row r="1061">
      <c r="B1061" s="119" t="str">
        <f>IF($L1061="","",INDEX('MTRs'!$A$6:$A$505,$L1061)&amp;"")</f>
        <v/>
      </c>
      <c r="C1061" s="120" t="str">
        <f>IF($L1061="","",INDEX('MTRs'!$B$6:$B$505,$L1061)&amp;"")</f>
        <v/>
      </c>
      <c r="D1061" s="121" t="str">
        <f>IF($L1061="","",INDEX('MTRs'!$W$6:$W$505,$L1061))</f>
        <v/>
      </c>
      <c r="E1061" s="122" t="str">
        <f>IF($L1061="","",INDEX('MTRs'!$P$6:$P$505,$L1061))</f>
        <v/>
      </c>
      <c r="F1061" s="122" t="str">
        <f>IF($L1061="","",INDEX('MTRs'!$Q$6:$Q$505,$L1061))</f>
        <v/>
      </c>
      <c r="G1061" s="122" t="str">
        <f>IF($L1061="","",INDEX('MTRs'!$R$6:$R$505,$L1061))</f>
        <v/>
      </c>
      <c r="H1061" s="130" t="str">
        <f>IF($L1061="","",IF(INDEX('MTRs'!$AM$6:$AM$505,$L1061)=0,"",N(E1061)-N(F1061)))</f>
        <v/>
      </c>
      <c r="I1061" s="130" t="str">
        <f>IF($L1061="","",IF(INDEX('MTRs'!$AM$6:$AM$505,$L1061)=0,"",N(F1061)-N(G1061)))</f>
        <v/>
      </c>
      <c r="J1061" s="120" t="str">
        <f>IF($L1061="","",INDEX('MTRs'!$S$6:$S$505,$L1061)&amp;"")</f>
        <v/>
      </c>
      <c r="L1061" t="str">
        <f>IFERROR(MATCH(459,'MTRs'!$BB$6:$BB$505,0),"")</f>
        <v/>
      </c>
    </row>
    <row r="1062">
      <c r="B1062" s="119" t="str">
        <f>IF($L1062="","",INDEX('MTRs'!$A$6:$A$505,$L1062)&amp;"")</f>
        <v/>
      </c>
      <c r="C1062" s="120" t="str">
        <f>IF($L1062="","",INDEX('MTRs'!$B$6:$B$505,$L1062)&amp;"")</f>
        <v/>
      </c>
      <c r="D1062" s="121" t="str">
        <f>IF($L1062="","",INDEX('MTRs'!$W$6:$W$505,$L1062))</f>
        <v/>
      </c>
      <c r="E1062" s="122" t="str">
        <f>IF($L1062="","",INDEX('MTRs'!$P$6:$P$505,$L1062))</f>
        <v/>
      </c>
      <c r="F1062" s="122" t="str">
        <f>IF($L1062="","",INDEX('MTRs'!$Q$6:$Q$505,$L1062))</f>
        <v/>
      </c>
      <c r="G1062" s="122" t="str">
        <f>IF($L1062="","",INDEX('MTRs'!$R$6:$R$505,$L1062))</f>
        <v/>
      </c>
      <c r="H1062" s="130" t="str">
        <f>IF($L1062="","",IF(INDEX('MTRs'!$AM$6:$AM$505,$L1062)=0,"",N(E1062)-N(F1062)))</f>
        <v/>
      </c>
      <c r="I1062" s="130" t="str">
        <f>IF($L1062="","",IF(INDEX('MTRs'!$AM$6:$AM$505,$L1062)=0,"",N(F1062)-N(G1062)))</f>
        <v/>
      </c>
      <c r="J1062" s="120" t="str">
        <f>IF($L1062="","",INDEX('MTRs'!$S$6:$S$505,$L1062)&amp;"")</f>
        <v/>
      </c>
      <c r="L1062" t="str">
        <f>IFERROR(MATCH(460,'MTRs'!$BB$6:$BB$505,0),"")</f>
        <v/>
      </c>
    </row>
    <row r="1063">
      <c r="B1063" s="119" t="str">
        <f>IF($L1063="","",INDEX('MTRs'!$A$6:$A$505,$L1063)&amp;"")</f>
        <v/>
      </c>
      <c r="C1063" s="120" t="str">
        <f>IF($L1063="","",INDEX('MTRs'!$B$6:$B$505,$L1063)&amp;"")</f>
        <v/>
      </c>
      <c r="D1063" s="121" t="str">
        <f>IF($L1063="","",INDEX('MTRs'!$W$6:$W$505,$L1063))</f>
        <v/>
      </c>
      <c r="E1063" s="122" t="str">
        <f>IF($L1063="","",INDEX('MTRs'!$P$6:$P$505,$L1063))</f>
        <v/>
      </c>
      <c r="F1063" s="122" t="str">
        <f>IF($L1063="","",INDEX('MTRs'!$Q$6:$Q$505,$L1063))</f>
        <v/>
      </c>
      <c r="G1063" s="122" t="str">
        <f>IF($L1063="","",INDEX('MTRs'!$R$6:$R$505,$L1063))</f>
        <v/>
      </c>
      <c r="H1063" s="130" t="str">
        <f>IF($L1063="","",IF(INDEX('MTRs'!$AM$6:$AM$505,$L1063)=0,"",N(E1063)-N(F1063)))</f>
        <v/>
      </c>
      <c r="I1063" s="130" t="str">
        <f>IF($L1063="","",IF(INDEX('MTRs'!$AM$6:$AM$505,$L1063)=0,"",N(F1063)-N(G1063)))</f>
        <v/>
      </c>
      <c r="J1063" s="120" t="str">
        <f>IF($L1063="","",INDEX('MTRs'!$S$6:$S$505,$L1063)&amp;"")</f>
        <v/>
      </c>
      <c r="L1063" t="str">
        <f>IFERROR(MATCH(461,'MTRs'!$BB$6:$BB$505,0),"")</f>
        <v/>
      </c>
    </row>
    <row r="1064">
      <c r="B1064" s="119" t="str">
        <f>IF($L1064="","",INDEX('MTRs'!$A$6:$A$505,$L1064)&amp;"")</f>
        <v/>
      </c>
      <c r="C1064" s="120" t="str">
        <f>IF($L1064="","",INDEX('MTRs'!$B$6:$B$505,$L1064)&amp;"")</f>
        <v/>
      </c>
      <c r="D1064" s="121" t="str">
        <f>IF($L1064="","",INDEX('MTRs'!$W$6:$W$505,$L1064))</f>
        <v/>
      </c>
      <c r="E1064" s="122" t="str">
        <f>IF($L1064="","",INDEX('MTRs'!$P$6:$P$505,$L1064))</f>
        <v/>
      </c>
      <c r="F1064" s="122" t="str">
        <f>IF($L1064="","",INDEX('MTRs'!$Q$6:$Q$505,$L1064))</f>
        <v/>
      </c>
      <c r="G1064" s="122" t="str">
        <f>IF($L1064="","",INDEX('MTRs'!$R$6:$R$505,$L1064))</f>
        <v/>
      </c>
      <c r="H1064" s="130" t="str">
        <f>IF($L1064="","",IF(INDEX('MTRs'!$AM$6:$AM$505,$L1064)=0,"",N(E1064)-N(F1064)))</f>
        <v/>
      </c>
      <c r="I1064" s="130" t="str">
        <f>IF($L1064="","",IF(INDEX('MTRs'!$AM$6:$AM$505,$L1064)=0,"",N(F1064)-N(G1064)))</f>
        <v/>
      </c>
      <c r="J1064" s="120" t="str">
        <f>IF($L1064="","",INDEX('MTRs'!$S$6:$S$505,$L1064)&amp;"")</f>
        <v/>
      </c>
      <c r="L1064" t="str">
        <f>IFERROR(MATCH(462,'MTRs'!$BB$6:$BB$505,0),"")</f>
        <v/>
      </c>
    </row>
    <row r="1065">
      <c r="B1065" s="119" t="str">
        <f>IF($L1065="","",INDEX('MTRs'!$A$6:$A$505,$L1065)&amp;"")</f>
        <v/>
      </c>
      <c r="C1065" s="120" t="str">
        <f>IF($L1065="","",INDEX('MTRs'!$B$6:$B$505,$L1065)&amp;"")</f>
        <v/>
      </c>
      <c r="D1065" s="121" t="str">
        <f>IF($L1065="","",INDEX('MTRs'!$W$6:$W$505,$L1065))</f>
        <v/>
      </c>
      <c r="E1065" s="122" t="str">
        <f>IF($L1065="","",INDEX('MTRs'!$P$6:$P$505,$L1065))</f>
        <v/>
      </c>
      <c r="F1065" s="122" t="str">
        <f>IF($L1065="","",INDEX('MTRs'!$Q$6:$Q$505,$L1065))</f>
        <v/>
      </c>
      <c r="G1065" s="122" t="str">
        <f>IF($L1065="","",INDEX('MTRs'!$R$6:$R$505,$L1065))</f>
        <v/>
      </c>
      <c r="H1065" s="130" t="str">
        <f>IF($L1065="","",IF(INDEX('MTRs'!$AM$6:$AM$505,$L1065)=0,"",N(E1065)-N(F1065)))</f>
        <v/>
      </c>
      <c r="I1065" s="130" t="str">
        <f>IF($L1065="","",IF(INDEX('MTRs'!$AM$6:$AM$505,$L1065)=0,"",N(F1065)-N(G1065)))</f>
        <v/>
      </c>
      <c r="J1065" s="120" t="str">
        <f>IF($L1065="","",INDEX('MTRs'!$S$6:$S$505,$L1065)&amp;"")</f>
        <v/>
      </c>
      <c r="L1065" t="str">
        <f>IFERROR(MATCH(463,'MTRs'!$BB$6:$BB$505,0),"")</f>
        <v/>
      </c>
    </row>
    <row r="1066">
      <c r="B1066" s="119" t="str">
        <f>IF($L1066="","",INDEX('MTRs'!$A$6:$A$505,$L1066)&amp;"")</f>
        <v/>
      </c>
      <c r="C1066" s="120" t="str">
        <f>IF($L1066="","",INDEX('MTRs'!$B$6:$B$505,$L1066)&amp;"")</f>
        <v/>
      </c>
      <c r="D1066" s="121" t="str">
        <f>IF($L1066="","",INDEX('MTRs'!$W$6:$W$505,$L1066))</f>
        <v/>
      </c>
      <c r="E1066" s="122" t="str">
        <f>IF($L1066="","",INDEX('MTRs'!$P$6:$P$505,$L1066))</f>
        <v/>
      </c>
      <c r="F1066" s="122" t="str">
        <f>IF($L1066="","",INDEX('MTRs'!$Q$6:$Q$505,$L1066))</f>
        <v/>
      </c>
      <c r="G1066" s="122" t="str">
        <f>IF($L1066="","",INDEX('MTRs'!$R$6:$R$505,$L1066))</f>
        <v/>
      </c>
      <c r="H1066" s="130" t="str">
        <f>IF($L1066="","",IF(INDEX('MTRs'!$AM$6:$AM$505,$L1066)=0,"",N(E1066)-N(F1066)))</f>
        <v/>
      </c>
      <c r="I1066" s="130" t="str">
        <f>IF($L1066="","",IF(INDEX('MTRs'!$AM$6:$AM$505,$L1066)=0,"",N(F1066)-N(G1066)))</f>
        <v/>
      </c>
      <c r="J1066" s="120" t="str">
        <f>IF($L1066="","",INDEX('MTRs'!$S$6:$S$505,$L1066)&amp;"")</f>
        <v/>
      </c>
      <c r="L1066" t="str">
        <f>IFERROR(MATCH(464,'MTRs'!$BB$6:$BB$505,0),"")</f>
        <v/>
      </c>
    </row>
    <row r="1067">
      <c r="B1067" s="119" t="str">
        <f>IF($L1067="","",INDEX('MTRs'!$A$6:$A$505,$L1067)&amp;"")</f>
        <v/>
      </c>
      <c r="C1067" s="120" t="str">
        <f>IF($L1067="","",INDEX('MTRs'!$B$6:$B$505,$L1067)&amp;"")</f>
        <v/>
      </c>
      <c r="D1067" s="121" t="str">
        <f>IF($L1067="","",INDEX('MTRs'!$W$6:$W$505,$L1067))</f>
        <v/>
      </c>
      <c r="E1067" s="122" t="str">
        <f>IF($L1067="","",INDEX('MTRs'!$P$6:$P$505,$L1067))</f>
        <v/>
      </c>
      <c r="F1067" s="122" t="str">
        <f>IF($L1067="","",INDEX('MTRs'!$Q$6:$Q$505,$L1067))</f>
        <v/>
      </c>
      <c r="G1067" s="122" t="str">
        <f>IF($L1067="","",INDEX('MTRs'!$R$6:$R$505,$L1067))</f>
        <v/>
      </c>
      <c r="H1067" s="130" t="str">
        <f>IF($L1067="","",IF(INDEX('MTRs'!$AM$6:$AM$505,$L1067)=0,"",N(E1067)-N(F1067)))</f>
        <v/>
      </c>
      <c r="I1067" s="130" t="str">
        <f>IF($L1067="","",IF(INDEX('MTRs'!$AM$6:$AM$505,$L1067)=0,"",N(F1067)-N(G1067)))</f>
        <v/>
      </c>
      <c r="J1067" s="120" t="str">
        <f>IF($L1067="","",INDEX('MTRs'!$S$6:$S$505,$L1067)&amp;"")</f>
        <v/>
      </c>
      <c r="L1067" t="str">
        <f>IFERROR(MATCH(465,'MTRs'!$BB$6:$BB$505,0),"")</f>
        <v/>
      </c>
    </row>
    <row r="1068">
      <c r="B1068" s="119" t="str">
        <f>IF($L1068="","",INDEX('MTRs'!$A$6:$A$505,$L1068)&amp;"")</f>
        <v/>
      </c>
      <c r="C1068" s="120" t="str">
        <f>IF($L1068="","",INDEX('MTRs'!$B$6:$B$505,$L1068)&amp;"")</f>
        <v/>
      </c>
      <c r="D1068" s="121" t="str">
        <f>IF($L1068="","",INDEX('MTRs'!$W$6:$W$505,$L1068))</f>
        <v/>
      </c>
      <c r="E1068" s="122" t="str">
        <f>IF($L1068="","",INDEX('MTRs'!$P$6:$P$505,$L1068))</f>
        <v/>
      </c>
      <c r="F1068" s="122" t="str">
        <f>IF($L1068="","",INDEX('MTRs'!$Q$6:$Q$505,$L1068))</f>
        <v/>
      </c>
      <c r="G1068" s="122" t="str">
        <f>IF($L1068="","",INDEX('MTRs'!$R$6:$R$505,$L1068))</f>
        <v/>
      </c>
      <c r="H1068" s="130" t="str">
        <f>IF($L1068="","",IF(INDEX('MTRs'!$AM$6:$AM$505,$L1068)=0,"",N(E1068)-N(F1068)))</f>
        <v/>
      </c>
      <c r="I1068" s="130" t="str">
        <f>IF($L1068="","",IF(INDEX('MTRs'!$AM$6:$AM$505,$L1068)=0,"",N(F1068)-N(G1068)))</f>
        <v/>
      </c>
      <c r="J1068" s="120" t="str">
        <f>IF($L1068="","",INDEX('MTRs'!$S$6:$S$505,$L1068)&amp;"")</f>
        <v/>
      </c>
      <c r="L1068" t="str">
        <f>IFERROR(MATCH(466,'MTRs'!$BB$6:$BB$505,0),"")</f>
        <v/>
      </c>
    </row>
    <row r="1069">
      <c r="B1069" s="119" t="str">
        <f>IF($L1069="","",INDEX('MTRs'!$A$6:$A$505,$L1069)&amp;"")</f>
        <v/>
      </c>
      <c r="C1069" s="120" t="str">
        <f>IF($L1069="","",INDEX('MTRs'!$B$6:$B$505,$L1069)&amp;"")</f>
        <v/>
      </c>
      <c r="D1069" s="121" t="str">
        <f>IF($L1069="","",INDEX('MTRs'!$W$6:$W$505,$L1069))</f>
        <v/>
      </c>
      <c r="E1069" s="122" t="str">
        <f>IF($L1069="","",INDEX('MTRs'!$P$6:$P$505,$L1069))</f>
        <v/>
      </c>
      <c r="F1069" s="122" t="str">
        <f>IF($L1069="","",INDEX('MTRs'!$Q$6:$Q$505,$L1069))</f>
        <v/>
      </c>
      <c r="G1069" s="122" t="str">
        <f>IF($L1069="","",INDEX('MTRs'!$R$6:$R$505,$L1069))</f>
        <v/>
      </c>
      <c r="H1069" s="130" t="str">
        <f>IF($L1069="","",IF(INDEX('MTRs'!$AM$6:$AM$505,$L1069)=0,"",N(E1069)-N(F1069)))</f>
        <v/>
      </c>
      <c r="I1069" s="130" t="str">
        <f>IF($L1069="","",IF(INDEX('MTRs'!$AM$6:$AM$505,$L1069)=0,"",N(F1069)-N(G1069)))</f>
        <v/>
      </c>
      <c r="J1069" s="120" t="str">
        <f>IF($L1069="","",INDEX('MTRs'!$S$6:$S$505,$L1069)&amp;"")</f>
        <v/>
      </c>
      <c r="L1069" t="str">
        <f>IFERROR(MATCH(467,'MTRs'!$BB$6:$BB$505,0),"")</f>
        <v/>
      </c>
    </row>
    <row r="1070">
      <c r="B1070" s="119" t="str">
        <f>IF($L1070="","",INDEX('MTRs'!$A$6:$A$505,$L1070)&amp;"")</f>
        <v/>
      </c>
      <c r="C1070" s="120" t="str">
        <f>IF($L1070="","",INDEX('MTRs'!$B$6:$B$505,$L1070)&amp;"")</f>
        <v/>
      </c>
      <c r="D1070" s="121" t="str">
        <f>IF($L1070="","",INDEX('MTRs'!$W$6:$W$505,$L1070))</f>
        <v/>
      </c>
      <c r="E1070" s="122" t="str">
        <f>IF($L1070="","",INDEX('MTRs'!$P$6:$P$505,$L1070))</f>
        <v/>
      </c>
      <c r="F1070" s="122" t="str">
        <f>IF($L1070="","",INDEX('MTRs'!$Q$6:$Q$505,$L1070))</f>
        <v/>
      </c>
      <c r="G1070" s="122" t="str">
        <f>IF($L1070="","",INDEX('MTRs'!$R$6:$R$505,$L1070))</f>
        <v/>
      </c>
      <c r="H1070" s="130" t="str">
        <f>IF($L1070="","",IF(INDEX('MTRs'!$AM$6:$AM$505,$L1070)=0,"",N(E1070)-N(F1070)))</f>
        <v/>
      </c>
      <c r="I1070" s="130" t="str">
        <f>IF($L1070="","",IF(INDEX('MTRs'!$AM$6:$AM$505,$L1070)=0,"",N(F1070)-N(G1070)))</f>
        <v/>
      </c>
      <c r="J1070" s="120" t="str">
        <f>IF($L1070="","",INDEX('MTRs'!$S$6:$S$505,$L1070)&amp;"")</f>
        <v/>
      </c>
      <c r="L1070" t="str">
        <f>IFERROR(MATCH(468,'MTRs'!$BB$6:$BB$505,0),"")</f>
        <v/>
      </c>
    </row>
    <row r="1071">
      <c r="B1071" s="119" t="str">
        <f>IF($L1071="","",INDEX('MTRs'!$A$6:$A$505,$L1071)&amp;"")</f>
        <v/>
      </c>
      <c r="C1071" s="120" t="str">
        <f>IF($L1071="","",INDEX('MTRs'!$B$6:$B$505,$L1071)&amp;"")</f>
        <v/>
      </c>
      <c r="D1071" s="121" t="str">
        <f>IF($L1071="","",INDEX('MTRs'!$W$6:$W$505,$L1071))</f>
        <v/>
      </c>
      <c r="E1071" s="122" t="str">
        <f>IF($L1071="","",INDEX('MTRs'!$P$6:$P$505,$L1071))</f>
        <v/>
      </c>
      <c r="F1071" s="122" t="str">
        <f>IF($L1071="","",INDEX('MTRs'!$Q$6:$Q$505,$L1071))</f>
        <v/>
      </c>
      <c r="G1071" s="122" t="str">
        <f>IF($L1071="","",INDEX('MTRs'!$R$6:$R$505,$L1071))</f>
        <v/>
      </c>
      <c r="H1071" s="130" t="str">
        <f>IF($L1071="","",IF(INDEX('MTRs'!$AM$6:$AM$505,$L1071)=0,"",N(E1071)-N(F1071)))</f>
        <v/>
      </c>
      <c r="I1071" s="130" t="str">
        <f>IF($L1071="","",IF(INDEX('MTRs'!$AM$6:$AM$505,$L1071)=0,"",N(F1071)-N(G1071)))</f>
        <v/>
      </c>
      <c r="J1071" s="120" t="str">
        <f>IF($L1071="","",INDEX('MTRs'!$S$6:$S$505,$L1071)&amp;"")</f>
        <v/>
      </c>
      <c r="L1071" t="str">
        <f>IFERROR(MATCH(469,'MTRs'!$BB$6:$BB$505,0),"")</f>
        <v/>
      </c>
    </row>
    <row r="1072">
      <c r="B1072" s="119" t="str">
        <f>IF($L1072="","",INDEX('MTRs'!$A$6:$A$505,$L1072)&amp;"")</f>
        <v/>
      </c>
      <c r="C1072" s="120" t="str">
        <f>IF($L1072="","",INDEX('MTRs'!$B$6:$B$505,$L1072)&amp;"")</f>
        <v/>
      </c>
      <c r="D1072" s="121" t="str">
        <f>IF($L1072="","",INDEX('MTRs'!$W$6:$W$505,$L1072))</f>
        <v/>
      </c>
      <c r="E1072" s="122" t="str">
        <f>IF($L1072="","",INDEX('MTRs'!$P$6:$P$505,$L1072))</f>
        <v/>
      </c>
      <c r="F1072" s="122" t="str">
        <f>IF($L1072="","",INDEX('MTRs'!$Q$6:$Q$505,$L1072))</f>
        <v/>
      </c>
      <c r="G1072" s="122" t="str">
        <f>IF($L1072="","",INDEX('MTRs'!$R$6:$R$505,$L1072))</f>
        <v/>
      </c>
      <c r="H1072" s="130" t="str">
        <f>IF($L1072="","",IF(INDEX('MTRs'!$AM$6:$AM$505,$L1072)=0,"",N(E1072)-N(F1072)))</f>
        <v/>
      </c>
      <c r="I1072" s="130" t="str">
        <f>IF($L1072="","",IF(INDEX('MTRs'!$AM$6:$AM$505,$L1072)=0,"",N(F1072)-N(G1072)))</f>
        <v/>
      </c>
      <c r="J1072" s="120" t="str">
        <f>IF($L1072="","",INDEX('MTRs'!$S$6:$S$505,$L1072)&amp;"")</f>
        <v/>
      </c>
      <c r="L1072" t="str">
        <f>IFERROR(MATCH(470,'MTRs'!$BB$6:$BB$505,0),"")</f>
        <v/>
      </c>
    </row>
    <row r="1073">
      <c r="B1073" s="119" t="str">
        <f>IF($L1073="","",INDEX('MTRs'!$A$6:$A$505,$L1073)&amp;"")</f>
        <v/>
      </c>
      <c r="C1073" s="120" t="str">
        <f>IF($L1073="","",INDEX('MTRs'!$B$6:$B$505,$L1073)&amp;"")</f>
        <v/>
      </c>
      <c r="D1073" s="121" t="str">
        <f>IF($L1073="","",INDEX('MTRs'!$W$6:$W$505,$L1073))</f>
        <v/>
      </c>
      <c r="E1073" s="122" t="str">
        <f>IF($L1073="","",INDEX('MTRs'!$P$6:$P$505,$L1073))</f>
        <v/>
      </c>
      <c r="F1073" s="122" t="str">
        <f>IF($L1073="","",INDEX('MTRs'!$Q$6:$Q$505,$L1073))</f>
        <v/>
      </c>
      <c r="G1073" s="122" t="str">
        <f>IF($L1073="","",INDEX('MTRs'!$R$6:$R$505,$L1073))</f>
        <v/>
      </c>
      <c r="H1073" s="130" t="str">
        <f>IF($L1073="","",IF(INDEX('MTRs'!$AM$6:$AM$505,$L1073)=0,"",N(E1073)-N(F1073)))</f>
        <v/>
      </c>
      <c r="I1073" s="130" t="str">
        <f>IF($L1073="","",IF(INDEX('MTRs'!$AM$6:$AM$505,$L1073)=0,"",N(F1073)-N(G1073)))</f>
        <v/>
      </c>
      <c r="J1073" s="120" t="str">
        <f>IF($L1073="","",INDEX('MTRs'!$S$6:$S$505,$L1073)&amp;"")</f>
        <v/>
      </c>
      <c r="L1073" t="str">
        <f>IFERROR(MATCH(471,'MTRs'!$BB$6:$BB$505,0),"")</f>
        <v/>
      </c>
    </row>
    <row r="1074">
      <c r="B1074" s="119" t="str">
        <f>IF($L1074="","",INDEX('MTRs'!$A$6:$A$505,$L1074)&amp;"")</f>
        <v/>
      </c>
      <c r="C1074" s="120" t="str">
        <f>IF($L1074="","",INDEX('MTRs'!$B$6:$B$505,$L1074)&amp;"")</f>
        <v/>
      </c>
      <c r="D1074" s="121" t="str">
        <f>IF($L1074="","",INDEX('MTRs'!$W$6:$W$505,$L1074))</f>
        <v/>
      </c>
      <c r="E1074" s="122" t="str">
        <f>IF($L1074="","",INDEX('MTRs'!$P$6:$P$505,$L1074))</f>
        <v/>
      </c>
      <c r="F1074" s="122" t="str">
        <f>IF($L1074="","",INDEX('MTRs'!$Q$6:$Q$505,$L1074))</f>
        <v/>
      </c>
      <c r="G1074" s="122" t="str">
        <f>IF($L1074="","",INDEX('MTRs'!$R$6:$R$505,$L1074))</f>
        <v/>
      </c>
      <c r="H1074" s="130" t="str">
        <f>IF($L1074="","",IF(INDEX('MTRs'!$AM$6:$AM$505,$L1074)=0,"",N(E1074)-N(F1074)))</f>
        <v/>
      </c>
      <c r="I1074" s="130" t="str">
        <f>IF($L1074="","",IF(INDEX('MTRs'!$AM$6:$AM$505,$L1074)=0,"",N(F1074)-N(G1074)))</f>
        <v/>
      </c>
      <c r="J1074" s="120" t="str">
        <f>IF($L1074="","",INDEX('MTRs'!$S$6:$S$505,$L1074)&amp;"")</f>
        <v/>
      </c>
      <c r="L1074" t="str">
        <f>IFERROR(MATCH(472,'MTRs'!$BB$6:$BB$505,0),"")</f>
        <v/>
      </c>
    </row>
    <row r="1075">
      <c r="B1075" s="119" t="str">
        <f>IF($L1075="","",INDEX('MTRs'!$A$6:$A$505,$L1075)&amp;"")</f>
        <v/>
      </c>
      <c r="C1075" s="120" t="str">
        <f>IF($L1075="","",INDEX('MTRs'!$B$6:$B$505,$L1075)&amp;"")</f>
        <v/>
      </c>
      <c r="D1075" s="121" t="str">
        <f>IF($L1075="","",INDEX('MTRs'!$W$6:$W$505,$L1075))</f>
        <v/>
      </c>
      <c r="E1075" s="122" t="str">
        <f>IF($L1075="","",INDEX('MTRs'!$P$6:$P$505,$L1075))</f>
        <v/>
      </c>
      <c r="F1075" s="122" t="str">
        <f>IF($L1075="","",INDEX('MTRs'!$Q$6:$Q$505,$L1075))</f>
        <v/>
      </c>
      <c r="G1075" s="122" t="str">
        <f>IF($L1075="","",INDEX('MTRs'!$R$6:$R$505,$L1075))</f>
        <v/>
      </c>
      <c r="H1075" s="130" t="str">
        <f>IF($L1075="","",IF(INDEX('MTRs'!$AM$6:$AM$505,$L1075)=0,"",N(E1075)-N(F1075)))</f>
        <v/>
      </c>
      <c r="I1075" s="130" t="str">
        <f>IF($L1075="","",IF(INDEX('MTRs'!$AM$6:$AM$505,$L1075)=0,"",N(F1075)-N(G1075)))</f>
        <v/>
      </c>
      <c r="J1075" s="120" t="str">
        <f>IF($L1075="","",INDEX('MTRs'!$S$6:$S$505,$L1075)&amp;"")</f>
        <v/>
      </c>
      <c r="L1075" t="str">
        <f>IFERROR(MATCH(473,'MTRs'!$BB$6:$BB$505,0),"")</f>
        <v/>
      </c>
    </row>
    <row r="1076">
      <c r="B1076" s="119" t="str">
        <f>IF($L1076="","",INDEX('MTRs'!$A$6:$A$505,$L1076)&amp;"")</f>
        <v/>
      </c>
      <c r="C1076" s="120" t="str">
        <f>IF($L1076="","",INDEX('MTRs'!$B$6:$B$505,$L1076)&amp;"")</f>
        <v/>
      </c>
      <c r="D1076" s="121" t="str">
        <f>IF($L1076="","",INDEX('MTRs'!$W$6:$W$505,$L1076))</f>
        <v/>
      </c>
      <c r="E1076" s="122" t="str">
        <f>IF($L1076="","",INDEX('MTRs'!$P$6:$P$505,$L1076))</f>
        <v/>
      </c>
      <c r="F1076" s="122" t="str">
        <f>IF($L1076="","",INDEX('MTRs'!$Q$6:$Q$505,$L1076))</f>
        <v/>
      </c>
      <c r="G1076" s="122" t="str">
        <f>IF($L1076="","",INDEX('MTRs'!$R$6:$R$505,$L1076))</f>
        <v/>
      </c>
      <c r="H1076" s="130" t="str">
        <f>IF($L1076="","",IF(INDEX('MTRs'!$AM$6:$AM$505,$L1076)=0,"",N(E1076)-N(F1076)))</f>
        <v/>
      </c>
      <c r="I1076" s="130" t="str">
        <f>IF($L1076="","",IF(INDEX('MTRs'!$AM$6:$AM$505,$L1076)=0,"",N(F1076)-N(G1076)))</f>
        <v/>
      </c>
      <c r="J1076" s="120" t="str">
        <f>IF($L1076="","",INDEX('MTRs'!$S$6:$S$505,$L1076)&amp;"")</f>
        <v/>
      </c>
      <c r="L1076" t="str">
        <f>IFERROR(MATCH(474,'MTRs'!$BB$6:$BB$505,0),"")</f>
        <v/>
      </c>
    </row>
    <row r="1077">
      <c r="B1077" s="119" t="str">
        <f>IF($L1077="","",INDEX('MTRs'!$A$6:$A$505,$L1077)&amp;"")</f>
        <v/>
      </c>
      <c r="C1077" s="120" t="str">
        <f>IF($L1077="","",INDEX('MTRs'!$B$6:$B$505,$L1077)&amp;"")</f>
        <v/>
      </c>
      <c r="D1077" s="121" t="str">
        <f>IF($L1077="","",INDEX('MTRs'!$W$6:$W$505,$L1077))</f>
        <v/>
      </c>
      <c r="E1077" s="122" t="str">
        <f>IF($L1077="","",INDEX('MTRs'!$P$6:$P$505,$L1077))</f>
        <v/>
      </c>
      <c r="F1077" s="122" t="str">
        <f>IF($L1077="","",INDEX('MTRs'!$Q$6:$Q$505,$L1077))</f>
        <v/>
      </c>
      <c r="G1077" s="122" t="str">
        <f>IF($L1077="","",INDEX('MTRs'!$R$6:$R$505,$L1077))</f>
        <v/>
      </c>
      <c r="H1077" s="130" t="str">
        <f>IF($L1077="","",IF(INDEX('MTRs'!$AM$6:$AM$505,$L1077)=0,"",N(E1077)-N(F1077)))</f>
        <v/>
      </c>
      <c r="I1077" s="130" t="str">
        <f>IF($L1077="","",IF(INDEX('MTRs'!$AM$6:$AM$505,$L1077)=0,"",N(F1077)-N(G1077)))</f>
        <v/>
      </c>
      <c r="J1077" s="120" t="str">
        <f>IF($L1077="","",INDEX('MTRs'!$S$6:$S$505,$L1077)&amp;"")</f>
        <v/>
      </c>
      <c r="L1077" t="str">
        <f>IFERROR(MATCH(475,'MTRs'!$BB$6:$BB$505,0),"")</f>
        <v/>
      </c>
    </row>
    <row r="1078">
      <c r="B1078" s="119" t="str">
        <f>IF($L1078="","",INDEX('MTRs'!$A$6:$A$505,$L1078)&amp;"")</f>
        <v/>
      </c>
      <c r="C1078" s="120" t="str">
        <f>IF($L1078="","",INDEX('MTRs'!$B$6:$B$505,$L1078)&amp;"")</f>
        <v/>
      </c>
      <c r="D1078" s="121" t="str">
        <f>IF($L1078="","",INDEX('MTRs'!$W$6:$W$505,$L1078))</f>
        <v/>
      </c>
      <c r="E1078" s="122" t="str">
        <f>IF($L1078="","",INDEX('MTRs'!$P$6:$P$505,$L1078))</f>
        <v/>
      </c>
      <c r="F1078" s="122" t="str">
        <f>IF($L1078="","",INDEX('MTRs'!$Q$6:$Q$505,$L1078))</f>
        <v/>
      </c>
      <c r="G1078" s="122" t="str">
        <f>IF($L1078="","",INDEX('MTRs'!$R$6:$R$505,$L1078))</f>
        <v/>
      </c>
      <c r="H1078" s="130" t="str">
        <f>IF($L1078="","",IF(INDEX('MTRs'!$AM$6:$AM$505,$L1078)=0,"",N(E1078)-N(F1078)))</f>
        <v/>
      </c>
      <c r="I1078" s="130" t="str">
        <f>IF($L1078="","",IF(INDEX('MTRs'!$AM$6:$AM$505,$L1078)=0,"",N(F1078)-N(G1078)))</f>
        <v/>
      </c>
      <c r="J1078" s="120" t="str">
        <f>IF($L1078="","",INDEX('MTRs'!$S$6:$S$505,$L1078)&amp;"")</f>
        <v/>
      </c>
      <c r="L1078" t="str">
        <f>IFERROR(MATCH(476,'MTRs'!$BB$6:$BB$505,0),"")</f>
        <v/>
      </c>
    </row>
    <row r="1079">
      <c r="B1079" s="119" t="str">
        <f>IF($L1079="","",INDEX('MTRs'!$A$6:$A$505,$L1079)&amp;"")</f>
        <v/>
      </c>
      <c r="C1079" s="120" t="str">
        <f>IF($L1079="","",INDEX('MTRs'!$B$6:$B$505,$L1079)&amp;"")</f>
        <v/>
      </c>
      <c r="D1079" s="121" t="str">
        <f>IF($L1079="","",INDEX('MTRs'!$W$6:$W$505,$L1079))</f>
        <v/>
      </c>
      <c r="E1079" s="122" t="str">
        <f>IF($L1079="","",INDEX('MTRs'!$P$6:$P$505,$L1079))</f>
        <v/>
      </c>
      <c r="F1079" s="122" t="str">
        <f>IF($L1079="","",INDEX('MTRs'!$Q$6:$Q$505,$L1079))</f>
        <v/>
      </c>
      <c r="G1079" s="122" t="str">
        <f>IF($L1079="","",INDEX('MTRs'!$R$6:$R$505,$L1079))</f>
        <v/>
      </c>
      <c r="H1079" s="130" t="str">
        <f>IF($L1079="","",IF(INDEX('MTRs'!$AM$6:$AM$505,$L1079)=0,"",N(E1079)-N(F1079)))</f>
        <v/>
      </c>
      <c r="I1079" s="130" t="str">
        <f>IF($L1079="","",IF(INDEX('MTRs'!$AM$6:$AM$505,$L1079)=0,"",N(F1079)-N(G1079)))</f>
        <v/>
      </c>
      <c r="J1079" s="120" t="str">
        <f>IF($L1079="","",INDEX('MTRs'!$S$6:$S$505,$L1079)&amp;"")</f>
        <v/>
      </c>
      <c r="L1079" t="str">
        <f>IFERROR(MATCH(477,'MTRs'!$BB$6:$BB$505,0),"")</f>
        <v/>
      </c>
    </row>
    <row r="1080">
      <c r="B1080" s="119" t="str">
        <f>IF($L1080="","",INDEX('MTRs'!$A$6:$A$505,$L1080)&amp;"")</f>
        <v/>
      </c>
      <c r="C1080" s="120" t="str">
        <f>IF($L1080="","",INDEX('MTRs'!$B$6:$B$505,$L1080)&amp;"")</f>
        <v/>
      </c>
      <c r="D1080" s="121" t="str">
        <f>IF($L1080="","",INDEX('MTRs'!$W$6:$W$505,$L1080))</f>
        <v/>
      </c>
      <c r="E1080" s="122" t="str">
        <f>IF($L1080="","",INDEX('MTRs'!$P$6:$P$505,$L1080))</f>
        <v/>
      </c>
      <c r="F1080" s="122" t="str">
        <f>IF($L1080="","",INDEX('MTRs'!$Q$6:$Q$505,$L1080))</f>
        <v/>
      </c>
      <c r="G1080" s="122" t="str">
        <f>IF($L1080="","",INDEX('MTRs'!$R$6:$R$505,$L1080))</f>
        <v/>
      </c>
      <c r="H1080" s="130" t="str">
        <f>IF($L1080="","",IF(INDEX('MTRs'!$AM$6:$AM$505,$L1080)=0,"",N(E1080)-N(F1080)))</f>
        <v/>
      </c>
      <c r="I1080" s="130" t="str">
        <f>IF($L1080="","",IF(INDEX('MTRs'!$AM$6:$AM$505,$L1080)=0,"",N(F1080)-N(G1080)))</f>
        <v/>
      </c>
      <c r="J1080" s="120" t="str">
        <f>IF($L1080="","",INDEX('MTRs'!$S$6:$S$505,$L1080)&amp;"")</f>
        <v/>
      </c>
      <c r="L1080" t="str">
        <f>IFERROR(MATCH(478,'MTRs'!$BB$6:$BB$505,0),"")</f>
        <v/>
      </c>
    </row>
    <row r="1081">
      <c r="B1081" s="119" t="str">
        <f>IF($L1081="","",INDEX('MTRs'!$A$6:$A$505,$L1081)&amp;"")</f>
        <v/>
      </c>
      <c r="C1081" s="120" t="str">
        <f>IF($L1081="","",INDEX('MTRs'!$B$6:$B$505,$L1081)&amp;"")</f>
        <v/>
      </c>
      <c r="D1081" s="121" t="str">
        <f>IF($L1081="","",INDEX('MTRs'!$W$6:$W$505,$L1081))</f>
        <v/>
      </c>
      <c r="E1081" s="122" t="str">
        <f>IF($L1081="","",INDEX('MTRs'!$P$6:$P$505,$L1081))</f>
        <v/>
      </c>
      <c r="F1081" s="122" t="str">
        <f>IF($L1081="","",INDEX('MTRs'!$Q$6:$Q$505,$L1081))</f>
        <v/>
      </c>
      <c r="G1081" s="122" t="str">
        <f>IF($L1081="","",INDEX('MTRs'!$R$6:$R$505,$L1081))</f>
        <v/>
      </c>
      <c r="H1081" s="130" t="str">
        <f>IF($L1081="","",IF(INDEX('MTRs'!$AM$6:$AM$505,$L1081)=0,"",N(E1081)-N(F1081)))</f>
        <v/>
      </c>
      <c r="I1081" s="130" t="str">
        <f>IF($L1081="","",IF(INDEX('MTRs'!$AM$6:$AM$505,$L1081)=0,"",N(F1081)-N(G1081)))</f>
        <v/>
      </c>
      <c r="J1081" s="120" t="str">
        <f>IF($L1081="","",INDEX('MTRs'!$S$6:$S$505,$L1081)&amp;"")</f>
        <v/>
      </c>
      <c r="L1081" t="str">
        <f>IFERROR(MATCH(479,'MTRs'!$BB$6:$BB$505,0),"")</f>
        <v/>
      </c>
    </row>
    <row r="1082">
      <c r="B1082" s="119" t="str">
        <f>IF($L1082="","",INDEX('MTRs'!$A$6:$A$505,$L1082)&amp;"")</f>
        <v/>
      </c>
      <c r="C1082" s="120" t="str">
        <f>IF($L1082="","",INDEX('MTRs'!$B$6:$B$505,$L1082)&amp;"")</f>
        <v/>
      </c>
      <c r="D1082" s="121" t="str">
        <f>IF($L1082="","",INDEX('MTRs'!$W$6:$W$505,$L1082))</f>
        <v/>
      </c>
      <c r="E1082" s="122" t="str">
        <f>IF($L1082="","",INDEX('MTRs'!$P$6:$P$505,$L1082))</f>
        <v/>
      </c>
      <c r="F1082" s="122" t="str">
        <f>IF($L1082="","",INDEX('MTRs'!$Q$6:$Q$505,$L1082))</f>
        <v/>
      </c>
      <c r="G1082" s="122" t="str">
        <f>IF($L1082="","",INDEX('MTRs'!$R$6:$R$505,$L1082))</f>
        <v/>
      </c>
      <c r="H1082" s="130" t="str">
        <f>IF($L1082="","",IF(INDEX('MTRs'!$AM$6:$AM$505,$L1082)=0,"",N(E1082)-N(F1082)))</f>
        <v/>
      </c>
      <c r="I1082" s="130" t="str">
        <f>IF($L1082="","",IF(INDEX('MTRs'!$AM$6:$AM$505,$L1082)=0,"",N(F1082)-N(G1082)))</f>
        <v/>
      </c>
      <c r="J1082" s="120" t="str">
        <f>IF($L1082="","",INDEX('MTRs'!$S$6:$S$505,$L1082)&amp;"")</f>
        <v/>
      </c>
      <c r="L1082" t="str">
        <f>IFERROR(MATCH(480,'MTRs'!$BB$6:$BB$505,0),"")</f>
        <v/>
      </c>
    </row>
    <row r="1083">
      <c r="B1083" s="119" t="str">
        <f>IF($L1083="","",INDEX('MTRs'!$A$6:$A$505,$L1083)&amp;"")</f>
        <v/>
      </c>
      <c r="C1083" s="120" t="str">
        <f>IF($L1083="","",INDEX('MTRs'!$B$6:$B$505,$L1083)&amp;"")</f>
        <v/>
      </c>
      <c r="D1083" s="121" t="str">
        <f>IF($L1083="","",INDEX('MTRs'!$W$6:$W$505,$L1083))</f>
        <v/>
      </c>
      <c r="E1083" s="122" t="str">
        <f>IF($L1083="","",INDEX('MTRs'!$P$6:$P$505,$L1083))</f>
        <v/>
      </c>
      <c r="F1083" s="122" t="str">
        <f>IF($L1083="","",INDEX('MTRs'!$Q$6:$Q$505,$L1083))</f>
        <v/>
      </c>
      <c r="G1083" s="122" t="str">
        <f>IF($L1083="","",INDEX('MTRs'!$R$6:$R$505,$L1083))</f>
        <v/>
      </c>
      <c r="H1083" s="130" t="str">
        <f>IF($L1083="","",IF(INDEX('MTRs'!$AM$6:$AM$505,$L1083)=0,"",N(E1083)-N(F1083)))</f>
        <v/>
      </c>
      <c r="I1083" s="130" t="str">
        <f>IF($L1083="","",IF(INDEX('MTRs'!$AM$6:$AM$505,$L1083)=0,"",N(F1083)-N(G1083)))</f>
        <v/>
      </c>
      <c r="J1083" s="120" t="str">
        <f>IF($L1083="","",INDEX('MTRs'!$S$6:$S$505,$L1083)&amp;"")</f>
        <v/>
      </c>
      <c r="L1083" t="str">
        <f>IFERROR(MATCH(481,'MTRs'!$BB$6:$BB$505,0),"")</f>
        <v/>
      </c>
    </row>
    <row r="1084">
      <c r="B1084" s="119" t="str">
        <f>IF($L1084="","",INDEX('MTRs'!$A$6:$A$505,$L1084)&amp;"")</f>
        <v/>
      </c>
      <c r="C1084" s="120" t="str">
        <f>IF($L1084="","",INDEX('MTRs'!$B$6:$B$505,$L1084)&amp;"")</f>
        <v/>
      </c>
      <c r="D1084" s="121" t="str">
        <f>IF($L1084="","",INDEX('MTRs'!$W$6:$W$505,$L1084))</f>
        <v/>
      </c>
      <c r="E1084" s="122" t="str">
        <f>IF($L1084="","",INDEX('MTRs'!$P$6:$P$505,$L1084))</f>
        <v/>
      </c>
      <c r="F1084" s="122" t="str">
        <f>IF($L1084="","",INDEX('MTRs'!$Q$6:$Q$505,$L1084))</f>
        <v/>
      </c>
      <c r="G1084" s="122" t="str">
        <f>IF($L1084="","",INDEX('MTRs'!$R$6:$R$505,$L1084))</f>
        <v/>
      </c>
      <c r="H1084" s="130" t="str">
        <f>IF($L1084="","",IF(INDEX('MTRs'!$AM$6:$AM$505,$L1084)=0,"",N(E1084)-N(F1084)))</f>
        <v/>
      </c>
      <c r="I1084" s="130" t="str">
        <f>IF($L1084="","",IF(INDEX('MTRs'!$AM$6:$AM$505,$L1084)=0,"",N(F1084)-N(G1084)))</f>
        <v/>
      </c>
      <c r="J1084" s="120" t="str">
        <f>IF($L1084="","",INDEX('MTRs'!$S$6:$S$505,$L1084)&amp;"")</f>
        <v/>
      </c>
      <c r="L1084" t="str">
        <f>IFERROR(MATCH(482,'MTRs'!$BB$6:$BB$505,0),"")</f>
        <v/>
      </c>
    </row>
    <row r="1085">
      <c r="B1085" s="119" t="str">
        <f>IF($L1085="","",INDEX('MTRs'!$A$6:$A$505,$L1085)&amp;"")</f>
        <v/>
      </c>
      <c r="C1085" s="120" t="str">
        <f>IF($L1085="","",INDEX('MTRs'!$B$6:$B$505,$L1085)&amp;"")</f>
        <v/>
      </c>
      <c r="D1085" s="121" t="str">
        <f>IF($L1085="","",INDEX('MTRs'!$W$6:$W$505,$L1085))</f>
        <v/>
      </c>
      <c r="E1085" s="122" t="str">
        <f>IF($L1085="","",INDEX('MTRs'!$P$6:$P$505,$L1085))</f>
        <v/>
      </c>
      <c r="F1085" s="122" t="str">
        <f>IF($L1085="","",INDEX('MTRs'!$Q$6:$Q$505,$L1085))</f>
        <v/>
      </c>
      <c r="G1085" s="122" t="str">
        <f>IF($L1085="","",INDEX('MTRs'!$R$6:$R$505,$L1085))</f>
        <v/>
      </c>
      <c r="H1085" s="130" t="str">
        <f>IF($L1085="","",IF(INDEX('MTRs'!$AM$6:$AM$505,$L1085)=0,"",N(E1085)-N(F1085)))</f>
        <v/>
      </c>
      <c r="I1085" s="130" t="str">
        <f>IF($L1085="","",IF(INDEX('MTRs'!$AM$6:$AM$505,$L1085)=0,"",N(F1085)-N(G1085)))</f>
        <v/>
      </c>
      <c r="J1085" s="120" t="str">
        <f>IF($L1085="","",INDEX('MTRs'!$S$6:$S$505,$L1085)&amp;"")</f>
        <v/>
      </c>
      <c r="L1085" t="str">
        <f>IFERROR(MATCH(483,'MTRs'!$BB$6:$BB$505,0),"")</f>
        <v/>
      </c>
    </row>
    <row r="1086">
      <c r="B1086" s="119" t="str">
        <f>IF($L1086="","",INDEX('MTRs'!$A$6:$A$505,$L1086)&amp;"")</f>
        <v/>
      </c>
      <c r="C1086" s="120" t="str">
        <f>IF($L1086="","",INDEX('MTRs'!$B$6:$B$505,$L1086)&amp;"")</f>
        <v/>
      </c>
      <c r="D1086" s="121" t="str">
        <f>IF($L1086="","",INDEX('MTRs'!$W$6:$W$505,$L1086))</f>
        <v/>
      </c>
      <c r="E1086" s="122" t="str">
        <f>IF($L1086="","",INDEX('MTRs'!$P$6:$P$505,$L1086))</f>
        <v/>
      </c>
      <c r="F1086" s="122" t="str">
        <f>IF($L1086="","",INDEX('MTRs'!$Q$6:$Q$505,$L1086))</f>
        <v/>
      </c>
      <c r="G1086" s="122" t="str">
        <f>IF($L1086="","",INDEX('MTRs'!$R$6:$R$505,$L1086))</f>
        <v/>
      </c>
      <c r="H1086" s="130" t="str">
        <f>IF($L1086="","",IF(INDEX('MTRs'!$AM$6:$AM$505,$L1086)=0,"",N(E1086)-N(F1086)))</f>
        <v/>
      </c>
      <c r="I1086" s="130" t="str">
        <f>IF($L1086="","",IF(INDEX('MTRs'!$AM$6:$AM$505,$L1086)=0,"",N(F1086)-N(G1086)))</f>
        <v/>
      </c>
      <c r="J1086" s="120" t="str">
        <f>IF($L1086="","",INDEX('MTRs'!$S$6:$S$505,$L1086)&amp;"")</f>
        <v/>
      </c>
      <c r="L1086" t="str">
        <f>IFERROR(MATCH(484,'MTRs'!$BB$6:$BB$505,0),"")</f>
        <v/>
      </c>
    </row>
    <row r="1087">
      <c r="B1087" s="119" t="str">
        <f>IF($L1087="","",INDEX('MTRs'!$A$6:$A$505,$L1087)&amp;"")</f>
        <v/>
      </c>
      <c r="C1087" s="120" t="str">
        <f>IF($L1087="","",INDEX('MTRs'!$B$6:$B$505,$L1087)&amp;"")</f>
        <v/>
      </c>
      <c r="D1087" s="121" t="str">
        <f>IF($L1087="","",INDEX('MTRs'!$W$6:$W$505,$L1087))</f>
        <v/>
      </c>
      <c r="E1087" s="122" t="str">
        <f>IF($L1087="","",INDEX('MTRs'!$P$6:$P$505,$L1087))</f>
        <v/>
      </c>
      <c r="F1087" s="122" t="str">
        <f>IF($L1087="","",INDEX('MTRs'!$Q$6:$Q$505,$L1087))</f>
        <v/>
      </c>
      <c r="G1087" s="122" t="str">
        <f>IF($L1087="","",INDEX('MTRs'!$R$6:$R$505,$L1087))</f>
        <v/>
      </c>
      <c r="H1087" s="130" t="str">
        <f>IF($L1087="","",IF(INDEX('MTRs'!$AM$6:$AM$505,$L1087)=0,"",N(E1087)-N(F1087)))</f>
        <v/>
      </c>
      <c r="I1087" s="130" t="str">
        <f>IF($L1087="","",IF(INDEX('MTRs'!$AM$6:$AM$505,$L1087)=0,"",N(F1087)-N(G1087)))</f>
        <v/>
      </c>
      <c r="J1087" s="120" t="str">
        <f>IF($L1087="","",INDEX('MTRs'!$S$6:$S$505,$L1087)&amp;"")</f>
        <v/>
      </c>
      <c r="L1087" t="str">
        <f>IFERROR(MATCH(485,'MTRs'!$BB$6:$BB$505,0),"")</f>
        <v/>
      </c>
    </row>
    <row r="1088">
      <c r="B1088" s="119" t="str">
        <f>IF($L1088="","",INDEX('MTRs'!$A$6:$A$505,$L1088)&amp;"")</f>
        <v/>
      </c>
      <c r="C1088" s="120" t="str">
        <f>IF($L1088="","",INDEX('MTRs'!$B$6:$B$505,$L1088)&amp;"")</f>
        <v/>
      </c>
      <c r="D1088" s="121" t="str">
        <f>IF($L1088="","",INDEX('MTRs'!$W$6:$W$505,$L1088))</f>
        <v/>
      </c>
      <c r="E1088" s="122" t="str">
        <f>IF($L1088="","",INDEX('MTRs'!$P$6:$P$505,$L1088))</f>
        <v/>
      </c>
      <c r="F1088" s="122" t="str">
        <f>IF($L1088="","",INDEX('MTRs'!$Q$6:$Q$505,$L1088))</f>
        <v/>
      </c>
      <c r="G1088" s="122" t="str">
        <f>IF($L1088="","",INDEX('MTRs'!$R$6:$R$505,$L1088))</f>
        <v/>
      </c>
      <c r="H1088" s="130" t="str">
        <f>IF($L1088="","",IF(INDEX('MTRs'!$AM$6:$AM$505,$L1088)=0,"",N(E1088)-N(F1088)))</f>
        <v/>
      </c>
      <c r="I1088" s="130" t="str">
        <f>IF($L1088="","",IF(INDEX('MTRs'!$AM$6:$AM$505,$L1088)=0,"",N(F1088)-N(G1088)))</f>
        <v/>
      </c>
      <c r="J1088" s="120" t="str">
        <f>IF($L1088="","",INDEX('MTRs'!$S$6:$S$505,$L1088)&amp;"")</f>
        <v/>
      </c>
      <c r="L1088" t="str">
        <f>IFERROR(MATCH(486,'MTRs'!$BB$6:$BB$505,0),"")</f>
        <v/>
      </c>
    </row>
    <row r="1089">
      <c r="B1089" s="119" t="str">
        <f>IF($L1089="","",INDEX('MTRs'!$A$6:$A$505,$L1089)&amp;"")</f>
        <v/>
      </c>
      <c r="C1089" s="120" t="str">
        <f>IF($L1089="","",INDEX('MTRs'!$B$6:$B$505,$L1089)&amp;"")</f>
        <v/>
      </c>
      <c r="D1089" s="121" t="str">
        <f>IF($L1089="","",INDEX('MTRs'!$W$6:$W$505,$L1089))</f>
        <v/>
      </c>
      <c r="E1089" s="122" t="str">
        <f>IF($L1089="","",INDEX('MTRs'!$P$6:$P$505,$L1089))</f>
        <v/>
      </c>
      <c r="F1089" s="122" t="str">
        <f>IF($L1089="","",INDEX('MTRs'!$Q$6:$Q$505,$L1089))</f>
        <v/>
      </c>
      <c r="G1089" s="122" t="str">
        <f>IF($L1089="","",INDEX('MTRs'!$R$6:$R$505,$L1089))</f>
        <v/>
      </c>
      <c r="H1089" s="130" t="str">
        <f>IF($L1089="","",IF(INDEX('MTRs'!$AM$6:$AM$505,$L1089)=0,"",N(E1089)-N(F1089)))</f>
        <v/>
      </c>
      <c r="I1089" s="130" t="str">
        <f>IF($L1089="","",IF(INDEX('MTRs'!$AM$6:$AM$505,$L1089)=0,"",N(F1089)-N(G1089)))</f>
        <v/>
      </c>
      <c r="J1089" s="120" t="str">
        <f>IF($L1089="","",INDEX('MTRs'!$S$6:$S$505,$L1089)&amp;"")</f>
        <v/>
      </c>
      <c r="L1089" t="str">
        <f>IFERROR(MATCH(487,'MTRs'!$BB$6:$BB$505,0),"")</f>
        <v/>
      </c>
    </row>
    <row r="1090">
      <c r="B1090" s="119" t="str">
        <f>IF($L1090="","",INDEX('MTRs'!$A$6:$A$505,$L1090)&amp;"")</f>
        <v/>
      </c>
      <c r="C1090" s="120" t="str">
        <f>IF($L1090="","",INDEX('MTRs'!$B$6:$B$505,$L1090)&amp;"")</f>
        <v/>
      </c>
      <c r="D1090" s="121" t="str">
        <f>IF($L1090="","",INDEX('MTRs'!$W$6:$W$505,$L1090))</f>
        <v/>
      </c>
      <c r="E1090" s="122" t="str">
        <f>IF($L1090="","",INDEX('MTRs'!$P$6:$P$505,$L1090))</f>
        <v/>
      </c>
      <c r="F1090" s="122" t="str">
        <f>IF($L1090="","",INDEX('MTRs'!$Q$6:$Q$505,$L1090))</f>
        <v/>
      </c>
      <c r="G1090" s="122" t="str">
        <f>IF($L1090="","",INDEX('MTRs'!$R$6:$R$505,$L1090))</f>
        <v/>
      </c>
      <c r="H1090" s="130" t="str">
        <f>IF($L1090="","",IF(INDEX('MTRs'!$AM$6:$AM$505,$L1090)=0,"",N(E1090)-N(F1090)))</f>
        <v/>
      </c>
      <c r="I1090" s="130" t="str">
        <f>IF($L1090="","",IF(INDEX('MTRs'!$AM$6:$AM$505,$L1090)=0,"",N(F1090)-N(G1090)))</f>
        <v/>
      </c>
      <c r="J1090" s="120" t="str">
        <f>IF($L1090="","",INDEX('MTRs'!$S$6:$S$505,$L1090)&amp;"")</f>
        <v/>
      </c>
      <c r="L1090" t="str">
        <f>IFERROR(MATCH(488,'MTRs'!$BB$6:$BB$505,0),"")</f>
        <v/>
      </c>
    </row>
    <row r="1091">
      <c r="B1091" s="119" t="str">
        <f>IF($L1091="","",INDEX('MTRs'!$A$6:$A$505,$L1091)&amp;"")</f>
        <v/>
      </c>
      <c r="C1091" s="120" t="str">
        <f>IF($L1091="","",INDEX('MTRs'!$B$6:$B$505,$L1091)&amp;"")</f>
        <v/>
      </c>
      <c r="D1091" s="121" t="str">
        <f>IF($L1091="","",INDEX('MTRs'!$W$6:$W$505,$L1091))</f>
        <v/>
      </c>
      <c r="E1091" s="122" t="str">
        <f>IF($L1091="","",INDEX('MTRs'!$P$6:$P$505,$L1091))</f>
        <v/>
      </c>
      <c r="F1091" s="122" t="str">
        <f>IF($L1091="","",INDEX('MTRs'!$Q$6:$Q$505,$L1091))</f>
        <v/>
      </c>
      <c r="G1091" s="122" t="str">
        <f>IF($L1091="","",INDEX('MTRs'!$R$6:$R$505,$L1091))</f>
        <v/>
      </c>
      <c r="H1091" s="130" t="str">
        <f>IF($L1091="","",IF(INDEX('MTRs'!$AM$6:$AM$505,$L1091)=0,"",N(E1091)-N(F1091)))</f>
        <v/>
      </c>
      <c r="I1091" s="130" t="str">
        <f>IF($L1091="","",IF(INDEX('MTRs'!$AM$6:$AM$505,$L1091)=0,"",N(F1091)-N(G1091)))</f>
        <v/>
      </c>
      <c r="J1091" s="120" t="str">
        <f>IF($L1091="","",INDEX('MTRs'!$S$6:$S$505,$L1091)&amp;"")</f>
        <v/>
      </c>
      <c r="L1091" t="str">
        <f>IFERROR(MATCH(489,'MTRs'!$BB$6:$BB$505,0),"")</f>
        <v/>
      </c>
    </row>
    <row r="1092">
      <c r="B1092" s="119" t="str">
        <f>IF($L1092="","",INDEX('MTRs'!$A$6:$A$505,$L1092)&amp;"")</f>
        <v/>
      </c>
      <c r="C1092" s="120" t="str">
        <f>IF($L1092="","",INDEX('MTRs'!$B$6:$B$505,$L1092)&amp;"")</f>
        <v/>
      </c>
      <c r="D1092" s="121" t="str">
        <f>IF($L1092="","",INDEX('MTRs'!$W$6:$W$505,$L1092))</f>
        <v/>
      </c>
      <c r="E1092" s="122" t="str">
        <f>IF($L1092="","",INDEX('MTRs'!$P$6:$P$505,$L1092))</f>
        <v/>
      </c>
      <c r="F1092" s="122" t="str">
        <f>IF($L1092="","",INDEX('MTRs'!$Q$6:$Q$505,$L1092))</f>
        <v/>
      </c>
      <c r="G1092" s="122" t="str">
        <f>IF($L1092="","",INDEX('MTRs'!$R$6:$R$505,$L1092))</f>
        <v/>
      </c>
      <c r="H1092" s="130" t="str">
        <f>IF($L1092="","",IF(INDEX('MTRs'!$AM$6:$AM$505,$L1092)=0,"",N(E1092)-N(F1092)))</f>
        <v/>
      </c>
      <c r="I1092" s="130" t="str">
        <f>IF($L1092="","",IF(INDEX('MTRs'!$AM$6:$AM$505,$L1092)=0,"",N(F1092)-N(G1092)))</f>
        <v/>
      </c>
      <c r="J1092" s="120" t="str">
        <f>IF($L1092="","",INDEX('MTRs'!$S$6:$S$505,$L1092)&amp;"")</f>
        <v/>
      </c>
      <c r="L1092" t="str">
        <f>IFERROR(MATCH(490,'MTRs'!$BB$6:$BB$505,0),"")</f>
        <v/>
      </c>
    </row>
    <row r="1093">
      <c r="B1093" s="119" t="str">
        <f>IF($L1093="","",INDEX('MTRs'!$A$6:$A$505,$L1093)&amp;"")</f>
        <v/>
      </c>
      <c r="C1093" s="120" t="str">
        <f>IF($L1093="","",INDEX('MTRs'!$B$6:$B$505,$L1093)&amp;"")</f>
        <v/>
      </c>
      <c r="D1093" s="121" t="str">
        <f>IF($L1093="","",INDEX('MTRs'!$W$6:$W$505,$L1093))</f>
        <v/>
      </c>
      <c r="E1093" s="122" t="str">
        <f>IF($L1093="","",INDEX('MTRs'!$P$6:$P$505,$L1093))</f>
        <v/>
      </c>
      <c r="F1093" s="122" t="str">
        <f>IF($L1093="","",INDEX('MTRs'!$Q$6:$Q$505,$L1093))</f>
        <v/>
      </c>
      <c r="G1093" s="122" t="str">
        <f>IF($L1093="","",INDEX('MTRs'!$R$6:$R$505,$L1093))</f>
        <v/>
      </c>
      <c r="H1093" s="130" t="str">
        <f>IF($L1093="","",IF(INDEX('MTRs'!$AM$6:$AM$505,$L1093)=0,"",N(E1093)-N(F1093)))</f>
        <v/>
      </c>
      <c r="I1093" s="130" t="str">
        <f>IF($L1093="","",IF(INDEX('MTRs'!$AM$6:$AM$505,$L1093)=0,"",N(F1093)-N(G1093)))</f>
        <v/>
      </c>
      <c r="J1093" s="120" t="str">
        <f>IF($L1093="","",INDEX('MTRs'!$S$6:$S$505,$L1093)&amp;"")</f>
        <v/>
      </c>
      <c r="L1093" t="str">
        <f>IFERROR(MATCH(491,'MTRs'!$BB$6:$BB$505,0),"")</f>
        <v/>
      </c>
    </row>
    <row r="1094">
      <c r="B1094" s="119" t="str">
        <f>IF($L1094="","",INDEX('MTRs'!$A$6:$A$505,$L1094)&amp;"")</f>
        <v/>
      </c>
      <c r="C1094" s="120" t="str">
        <f>IF($L1094="","",INDEX('MTRs'!$B$6:$B$505,$L1094)&amp;"")</f>
        <v/>
      </c>
      <c r="D1094" s="121" t="str">
        <f>IF($L1094="","",INDEX('MTRs'!$W$6:$W$505,$L1094))</f>
        <v/>
      </c>
      <c r="E1094" s="122" t="str">
        <f>IF($L1094="","",INDEX('MTRs'!$P$6:$P$505,$L1094))</f>
        <v/>
      </c>
      <c r="F1094" s="122" t="str">
        <f>IF($L1094="","",INDEX('MTRs'!$Q$6:$Q$505,$L1094))</f>
        <v/>
      </c>
      <c r="G1094" s="122" t="str">
        <f>IF($L1094="","",INDEX('MTRs'!$R$6:$R$505,$L1094))</f>
        <v/>
      </c>
      <c r="H1094" s="130" t="str">
        <f>IF($L1094="","",IF(INDEX('MTRs'!$AM$6:$AM$505,$L1094)=0,"",N(E1094)-N(F1094)))</f>
        <v/>
      </c>
      <c r="I1094" s="130" t="str">
        <f>IF($L1094="","",IF(INDEX('MTRs'!$AM$6:$AM$505,$L1094)=0,"",N(F1094)-N(G1094)))</f>
        <v/>
      </c>
      <c r="J1094" s="120" t="str">
        <f>IF($L1094="","",INDEX('MTRs'!$S$6:$S$505,$L1094)&amp;"")</f>
        <v/>
      </c>
      <c r="L1094" t="str">
        <f>IFERROR(MATCH(492,'MTRs'!$BB$6:$BB$505,0),"")</f>
        <v/>
      </c>
    </row>
    <row r="1095">
      <c r="B1095" s="119" t="str">
        <f>IF($L1095="","",INDEX('MTRs'!$A$6:$A$505,$L1095)&amp;"")</f>
        <v/>
      </c>
      <c r="C1095" s="120" t="str">
        <f>IF($L1095="","",INDEX('MTRs'!$B$6:$B$505,$L1095)&amp;"")</f>
        <v/>
      </c>
      <c r="D1095" s="121" t="str">
        <f>IF($L1095="","",INDEX('MTRs'!$W$6:$W$505,$L1095))</f>
        <v/>
      </c>
      <c r="E1095" s="122" t="str">
        <f>IF($L1095="","",INDEX('MTRs'!$P$6:$P$505,$L1095))</f>
        <v/>
      </c>
      <c r="F1095" s="122" t="str">
        <f>IF($L1095="","",INDEX('MTRs'!$Q$6:$Q$505,$L1095))</f>
        <v/>
      </c>
      <c r="G1095" s="122" t="str">
        <f>IF($L1095="","",INDEX('MTRs'!$R$6:$R$505,$L1095))</f>
        <v/>
      </c>
      <c r="H1095" s="130" t="str">
        <f>IF($L1095="","",IF(INDEX('MTRs'!$AM$6:$AM$505,$L1095)=0,"",N(E1095)-N(F1095)))</f>
        <v/>
      </c>
      <c r="I1095" s="130" t="str">
        <f>IF($L1095="","",IF(INDEX('MTRs'!$AM$6:$AM$505,$L1095)=0,"",N(F1095)-N(G1095)))</f>
        <v/>
      </c>
      <c r="J1095" s="120" t="str">
        <f>IF($L1095="","",INDEX('MTRs'!$S$6:$S$505,$L1095)&amp;"")</f>
        <v/>
      </c>
      <c r="L1095" t="str">
        <f>IFERROR(MATCH(493,'MTRs'!$BB$6:$BB$505,0),"")</f>
        <v/>
      </c>
    </row>
    <row r="1096">
      <c r="B1096" s="119" t="str">
        <f>IF($L1096="","",INDEX('MTRs'!$A$6:$A$505,$L1096)&amp;"")</f>
        <v/>
      </c>
      <c r="C1096" s="120" t="str">
        <f>IF($L1096="","",INDEX('MTRs'!$B$6:$B$505,$L1096)&amp;"")</f>
        <v/>
      </c>
      <c r="D1096" s="121" t="str">
        <f>IF($L1096="","",INDEX('MTRs'!$W$6:$W$505,$L1096))</f>
        <v/>
      </c>
      <c r="E1096" s="122" t="str">
        <f>IF($L1096="","",INDEX('MTRs'!$P$6:$P$505,$L1096))</f>
        <v/>
      </c>
      <c r="F1096" s="122" t="str">
        <f>IF($L1096="","",INDEX('MTRs'!$Q$6:$Q$505,$L1096))</f>
        <v/>
      </c>
      <c r="G1096" s="122" t="str">
        <f>IF($L1096="","",INDEX('MTRs'!$R$6:$R$505,$L1096))</f>
        <v/>
      </c>
      <c r="H1096" s="130" t="str">
        <f>IF($L1096="","",IF(INDEX('MTRs'!$AM$6:$AM$505,$L1096)=0,"",N(E1096)-N(F1096)))</f>
        <v/>
      </c>
      <c r="I1096" s="130" t="str">
        <f>IF($L1096="","",IF(INDEX('MTRs'!$AM$6:$AM$505,$L1096)=0,"",N(F1096)-N(G1096)))</f>
        <v/>
      </c>
      <c r="J1096" s="120" t="str">
        <f>IF($L1096="","",INDEX('MTRs'!$S$6:$S$505,$L1096)&amp;"")</f>
        <v/>
      </c>
      <c r="L1096" t="str">
        <f>IFERROR(MATCH(494,'MTRs'!$BB$6:$BB$505,0),"")</f>
        <v/>
      </c>
    </row>
    <row r="1097">
      <c r="B1097" s="119" t="str">
        <f>IF($L1097="","",INDEX('MTRs'!$A$6:$A$505,$L1097)&amp;"")</f>
        <v/>
      </c>
      <c r="C1097" s="120" t="str">
        <f>IF($L1097="","",INDEX('MTRs'!$B$6:$B$505,$L1097)&amp;"")</f>
        <v/>
      </c>
      <c r="D1097" s="121" t="str">
        <f>IF($L1097="","",INDEX('MTRs'!$W$6:$W$505,$L1097))</f>
        <v/>
      </c>
      <c r="E1097" s="122" t="str">
        <f>IF($L1097="","",INDEX('MTRs'!$P$6:$P$505,$L1097))</f>
        <v/>
      </c>
      <c r="F1097" s="122" t="str">
        <f>IF($L1097="","",INDEX('MTRs'!$Q$6:$Q$505,$L1097))</f>
        <v/>
      </c>
      <c r="G1097" s="122" t="str">
        <f>IF($L1097="","",INDEX('MTRs'!$R$6:$R$505,$L1097))</f>
        <v/>
      </c>
      <c r="H1097" s="130" t="str">
        <f>IF($L1097="","",IF(INDEX('MTRs'!$AM$6:$AM$505,$L1097)=0,"",N(E1097)-N(F1097)))</f>
        <v/>
      </c>
      <c r="I1097" s="130" t="str">
        <f>IF($L1097="","",IF(INDEX('MTRs'!$AM$6:$AM$505,$L1097)=0,"",N(F1097)-N(G1097)))</f>
        <v/>
      </c>
      <c r="J1097" s="120" t="str">
        <f>IF($L1097="","",INDEX('MTRs'!$S$6:$S$505,$L1097)&amp;"")</f>
        <v/>
      </c>
      <c r="L1097" t="str">
        <f>IFERROR(MATCH(495,'MTRs'!$BB$6:$BB$505,0),"")</f>
        <v/>
      </c>
    </row>
    <row r="1098">
      <c r="B1098" s="119" t="str">
        <f>IF($L1098="","",INDEX('MTRs'!$A$6:$A$505,$L1098)&amp;"")</f>
        <v/>
      </c>
      <c r="C1098" s="120" t="str">
        <f>IF($L1098="","",INDEX('MTRs'!$B$6:$B$505,$L1098)&amp;"")</f>
        <v/>
      </c>
      <c r="D1098" s="121" t="str">
        <f>IF($L1098="","",INDEX('MTRs'!$W$6:$W$505,$L1098))</f>
        <v/>
      </c>
      <c r="E1098" s="122" t="str">
        <f>IF($L1098="","",INDEX('MTRs'!$P$6:$P$505,$L1098))</f>
        <v/>
      </c>
      <c r="F1098" s="122" t="str">
        <f>IF($L1098="","",INDEX('MTRs'!$Q$6:$Q$505,$L1098))</f>
        <v/>
      </c>
      <c r="G1098" s="122" t="str">
        <f>IF($L1098="","",INDEX('MTRs'!$R$6:$R$505,$L1098))</f>
        <v/>
      </c>
      <c r="H1098" s="130" t="str">
        <f>IF($L1098="","",IF(INDEX('MTRs'!$AM$6:$AM$505,$L1098)=0,"",N(E1098)-N(F1098)))</f>
        <v/>
      </c>
      <c r="I1098" s="130" t="str">
        <f>IF($L1098="","",IF(INDEX('MTRs'!$AM$6:$AM$505,$L1098)=0,"",N(F1098)-N(G1098)))</f>
        <v/>
      </c>
      <c r="J1098" s="120" t="str">
        <f>IF($L1098="","",INDEX('MTRs'!$S$6:$S$505,$L1098)&amp;"")</f>
        <v/>
      </c>
      <c r="L1098" t="str">
        <f>IFERROR(MATCH(496,'MTRs'!$BB$6:$BB$505,0),"")</f>
        <v/>
      </c>
    </row>
    <row r="1099">
      <c r="B1099" s="119" t="str">
        <f>IF($L1099="","",INDEX('MTRs'!$A$6:$A$505,$L1099)&amp;"")</f>
        <v/>
      </c>
      <c r="C1099" s="120" t="str">
        <f>IF($L1099="","",INDEX('MTRs'!$B$6:$B$505,$L1099)&amp;"")</f>
        <v/>
      </c>
      <c r="D1099" s="121" t="str">
        <f>IF($L1099="","",INDEX('MTRs'!$W$6:$W$505,$L1099))</f>
        <v/>
      </c>
      <c r="E1099" s="122" t="str">
        <f>IF($L1099="","",INDEX('MTRs'!$P$6:$P$505,$L1099))</f>
        <v/>
      </c>
      <c r="F1099" s="122" t="str">
        <f>IF($L1099="","",INDEX('MTRs'!$Q$6:$Q$505,$L1099))</f>
        <v/>
      </c>
      <c r="G1099" s="122" t="str">
        <f>IF($L1099="","",INDEX('MTRs'!$R$6:$R$505,$L1099))</f>
        <v/>
      </c>
      <c r="H1099" s="130" t="str">
        <f>IF($L1099="","",IF(INDEX('MTRs'!$AM$6:$AM$505,$L1099)=0,"",N(E1099)-N(F1099)))</f>
        <v/>
      </c>
      <c r="I1099" s="130" t="str">
        <f>IF($L1099="","",IF(INDEX('MTRs'!$AM$6:$AM$505,$L1099)=0,"",N(F1099)-N(G1099)))</f>
        <v/>
      </c>
      <c r="J1099" s="120" t="str">
        <f>IF($L1099="","",INDEX('MTRs'!$S$6:$S$505,$L1099)&amp;"")</f>
        <v/>
      </c>
      <c r="L1099" t="str">
        <f>IFERROR(MATCH(497,'MTRs'!$BB$6:$BB$505,0),"")</f>
        <v/>
      </c>
    </row>
    <row r="1100">
      <c r="B1100" s="119" t="str">
        <f>IF($L1100="","",INDEX('MTRs'!$A$6:$A$505,$L1100)&amp;"")</f>
        <v/>
      </c>
      <c r="C1100" s="120" t="str">
        <f>IF($L1100="","",INDEX('MTRs'!$B$6:$B$505,$L1100)&amp;"")</f>
        <v/>
      </c>
      <c r="D1100" s="121" t="str">
        <f>IF($L1100="","",INDEX('MTRs'!$W$6:$W$505,$L1100))</f>
        <v/>
      </c>
      <c r="E1100" s="122" t="str">
        <f>IF($L1100="","",INDEX('MTRs'!$P$6:$P$505,$L1100))</f>
        <v/>
      </c>
      <c r="F1100" s="122" t="str">
        <f>IF($L1100="","",INDEX('MTRs'!$Q$6:$Q$505,$L1100))</f>
        <v/>
      </c>
      <c r="G1100" s="122" t="str">
        <f>IF($L1100="","",INDEX('MTRs'!$R$6:$R$505,$L1100))</f>
        <v/>
      </c>
      <c r="H1100" s="130" t="str">
        <f>IF($L1100="","",IF(INDEX('MTRs'!$AM$6:$AM$505,$L1100)=0,"",N(E1100)-N(F1100)))</f>
        <v/>
      </c>
      <c r="I1100" s="130" t="str">
        <f>IF($L1100="","",IF(INDEX('MTRs'!$AM$6:$AM$505,$L1100)=0,"",N(F1100)-N(G1100)))</f>
        <v/>
      </c>
      <c r="J1100" s="120" t="str">
        <f>IF($L1100="","",INDEX('MTRs'!$S$6:$S$505,$L1100)&amp;"")</f>
        <v/>
      </c>
      <c r="L1100" t="str">
        <f>IFERROR(MATCH(498,'MTRs'!$BB$6:$BB$505,0),"")</f>
        <v/>
      </c>
    </row>
    <row r="1101">
      <c r="B1101" s="119" t="str">
        <f>IF($L1101="","",INDEX('MTRs'!$A$6:$A$505,$L1101)&amp;"")</f>
        <v/>
      </c>
      <c r="C1101" s="120" t="str">
        <f>IF($L1101="","",INDEX('MTRs'!$B$6:$B$505,$L1101)&amp;"")</f>
        <v/>
      </c>
      <c r="D1101" s="121" t="str">
        <f>IF($L1101="","",INDEX('MTRs'!$W$6:$W$505,$L1101))</f>
        <v/>
      </c>
      <c r="E1101" s="122" t="str">
        <f>IF($L1101="","",INDEX('MTRs'!$P$6:$P$505,$L1101))</f>
        <v/>
      </c>
      <c r="F1101" s="122" t="str">
        <f>IF($L1101="","",INDEX('MTRs'!$Q$6:$Q$505,$L1101))</f>
        <v/>
      </c>
      <c r="G1101" s="122" t="str">
        <f>IF($L1101="","",INDEX('MTRs'!$R$6:$R$505,$L1101))</f>
        <v/>
      </c>
      <c r="H1101" s="130" t="str">
        <f>IF($L1101="","",IF(INDEX('MTRs'!$AM$6:$AM$505,$L1101)=0,"",N(E1101)-N(F1101)))</f>
        <v/>
      </c>
      <c r="I1101" s="130" t="str">
        <f>IF($L1101="","",IF(INDEX('MTRs'!$AM$6:$AM$505,$L1101)=0,"",N(F1101)-N(G1101)))</f>
        <v/>
      </c>
      <c r="J1101" s="120" t="str">
        <f>IF($L1101="","",INDEX('MTRs'!$S$6:$S$505,$L1101)&amp;"")</f>
        <v/>
      </c>
      <c r="L1101" t="str">
        <f>IFERROR(MATCH(499,'MTRs'!$BB$6:$BB$505,0),"")</f>
        <v/>
      </c>
    </row>
    <row r="1102">
      <c r="B1102" s="119" t="str">
        <f>IF($L1102="","",INDEX('MTRs'!$A$6:$A$505,$L1102)&amp;"")</f>
        <v/>
      </c>
      <c r="C1102" s="120" t="str">
        <f>IF($L1102="","",INDEX('MTRs'!$B$6:$B$505,$L1102)&amp;"")</f>
        <v/>
      </c>
      <c r="D1102" s="121" t="str">
        <f>IF($L1102="","",INDEX('MTRs'!$W$6:$W$505,$L1102))</f>
        <v/>
      </c>
      <c r="E1102" s="122" t="str">
        <f>IF($L1102="","",INDEX('MTRs'!$P$6:$P$505,$L1102))</f>
        <v/>
      </c>
      <c r="F1102" s="122" t="str">
        <f>IF($L1102="","",INDEX('MTRs'!$Q$6:$Q$505,$L1102))</f>
        <v/>
      </c>
      <c r="G1102" s="122" t="str">
        <f>IF($L1102="","",INDEX('MTRs'!$R$6:$R$505,$L1102))</f>
        <v/>
      </c>
      <c r="H1102" s="130" t="str">
        <f>IF($L1102="","",IF(INDEX('MTRs'!$AM$6:$AM$505,$L1102)=0,"",N(E1102)-N(F1102)))</f>
        <v/>
      </c>
      <c r="I1102" s="130" t="str">
        <f>IF($L1102="","",IF(INDEX('MTRs'!$AM$6:$AM$505,$L1102)=0,"",N(F1102)-N(G1102)))</f>
        <v/>
      </c>
      <c r="J1102" s="120" t="str">
        <f>IF($L1102="","",INDEX('MTRs'!$S$6:$S$505,$L1102)&amp;"")</f>
        <v/>
      </c>
      <c r="L1102" t="str">
        <f>IFERROR(MATCH(500,'MTRs'!$BB$6:$BB$505,0),"")</f>
        <v/>
      </c>
    </row>
    <row r="1104">
      <c r="B1104" s="78" t="inlineStr">
        <is>
          <t>Esta ferramenta organiza registros internos e não substitui os documentos oficiais nem os procedimentos exigíveis.</t>
        </is>
      </c>
      <c r="C1104" s="78" t="n"/>
      <c r="D1104" s="78" t="n"/>
      <c r="E1104" s="78" t="n"/>
      <c r="F1104" s="78" t="n"/>
      <c r="G1104" s="78" t="n"/>
      <c r="H1104" s="78" t="n"/>
      <c r="I1104" s="78" t="n"/>
      <c r="J1104" s="78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6">
    <mergeCell ref="H291:J291"/>
    <mergeCell ref="B601:G601"/>
    <mergeCell ref="B1104:J1104"/>
    <mergeCell ref="B290:J290"/>
    <mergeCell ref="B1:J1"/>
    <mergeCell ref="F6:G6"/>
    <mergeCell ref="B446:G446"/>
    <mergeCell ref="H601:J601"/>
    <mergeCell ref="B2:J2"/>
    <mergeCell ref="F7:G7"/>
    <mergeCell ref="B29:J29"/>
    <mergeCell ref="D6:E6"/>
    <mergeCell ref="B10:J10"/>
    <mergeCell ref="B30:G30"/>
    <mergeCell ref="H86:J86"/>
    <mergeCell ref="H6:J7"/>
    <mergeCell ref="B5:J5"/>
    <mergeCell ref="D7:E7"/>
    <mergeCell ref="B85:J85"/>
    <mergeCell ref="B26:J26"/>
    <mergeCell ref="H446:J446"/>
    <mergeCell ref="B600:J600"/>
    <mergeCell ref="B445:J445"/>
    <mergeCell ref="B291:G291"/>
    <mergeCell ref="B86:G86"/>
    <mergeCell ref="B11:G11"/>
  </mergeCells>
  <conditionalFormatting sqref="B13:I24">
    <cfRule type="expression" priority="1" dxfId="8">
      <formula>MOD(ROW(),2)=0</formula>
    </cfRule>
  </conditionalFormatting>
  <conditionalFormatting sqref="B32:G81">
    <cfRule type="expression" priority="2" dxfId="8">
      <formula>MOD(ROW(),2)=0</formula>
    </cfRule>
  </conditionalFormatting>
  <conditionalFormatting sqref="B88:H287">
    <cfRule type="expression" priority="3" dxfId="8">
      <formula>MOD(ROW(),2)=0</formula>
    </cfRule>
  </conditionalFormatting>
  <conditionalFormatting sqref="G88:G287">
    <cfRule type="expression" priority="4" dxfId="0" stopIfTrue="1">
      <formula>OR(ISNUMBER(SEARCH("Cancelado",G88)),ISNUMBER(SEARCH("cancelado",G88)))</formula>
    </cfRule>
    <cfRule type="expression" priority="5" dxfId="1" stopIfTrue="1">
      <formula>OR(ISNUMBER(SEARCH("revisar",G88)),ISNUMBER(SEARCH("REVISAR",G88)),ISNUMBER(SEARCH("incompleto",G88)),ISNUMBER(SEARCH("INCOMPLETO",G88)),ISNUMBER(SEARCH("inexistente",G88)),ISNUMBER(SEARCH("inválid",G88)),ISNUMBER(SEARCH("não informad",G88)),ISNUMBER(SEARCH("fora do cadastro",G88)),ISNUMBER(SEARCH("duplicidade",G88)),ISNUMBER(SEARCH("DUPLICIDADE",G88)),ISNUMBER(SEARCH("UNIDADE A CONFERIR",G88)),ISNUMBER(SEARCH("Unidade a conferir",G88)),ISNUMBER(SEARCH("sem evidência",G88)),ISNUMBER(SEARCH("anterior à emissão",G88)),ISNUMBER(SEARCH("não positiva",G88)),ISNUMBER(SEARCH("não identificado",G88)),ISNUMBER(SEARCH("Sem MTR",G88)),ISNUMBER(SEARCH("Necessita",G88)),ISNUMBER(SEARCH("incompletas",G88)),ISNUMBER(SEARCH("Nome repetido",G88)),ISNUMBER(SEARCH("Informe",G88)),ISNUMBER(SEARCH("vencida",G88)))</formula>
    </cfRule>
    <cfRule type="expression" priority="6" dxfId="2" stopIfTrue="1">
      <formula>OR(ISNUMBER(SEARCH("a conferir",G88)),ISNUMBER(SEARCH("A CONFERIR",G88)),ISNUMBER(SEARCH("Aguardando conferência",G88)),ISNUMBER(SEARCH("Localizado",G88)),ISNUMBER(SEARCH("ver diferença",G88)),ISNUMBER(SEARCH("analisado",G88)),ISNUMBER(SEARCH("Data futura",G88)),ISNUMBER(SEARCH("Não calculável",G88)))</formula>
    </cfRule>
    <cfRule type="expression" priority="7" dxfId="3" stopIfTrue="1">
      <formula>OR(ISNUMBER(SEARCH("Aguardando",G88)),ISNUMBER(SEARCH("parcial",G88)),ISNUMBER(SEARCH("Cadastrado",G88)),ISNUMBER(SEARCH("NÃO CONFIRMADO",G88)),ISNUMBER(SEARCH("NÃO LOCALIZADO",G88)),ISNUMBER(SEARCH("VÍNCULO INCOMPLETO",G88)))</formula>
    </cfRule>
    <cfRule type="expression" priority="8" dxfId="4" stopIfTrue="1">
      <formula>OR(EXACT(G88,"OK"),ISNUMBER(SEARCH("conferida",G88)),ISNUMBER(SEARCH("Conferido",G88)),ISNUMBER(SEARCH("Nenhuma",G88)))</formula>
    </cfRule>
  </conditionalFormatting>
  <conditionalFormatting sqref="B293:H442">
    <cfRule type="expression" priority="9" dxfId="8">
      <formula>MOD(ROW(),2)=0</formula>
    </cfRule>
  </conditionalFormatting>
  <conditionalFormatting sqref="H293:H442">
    <cfRule type="expression" priority="10" dxfId="0" stopIfTrue="1">
      <formula>OR(ISNUMBER(SEARCH("Cancelado",H293)),ISNUMBER(SEARCH("cancelado",H293)))</formula>
    </cfRule>
    <cfRule type="expression" priority="11" dxfId="1" stopIfTrue="1">
      <formula>OR(ISNUMBER(SEARCH("revisar",H293)),ISNUMBER(SEARCH("REVISAR",H293)),ISNUMBER(SEARCH("incompleto",H293)),ISNUMBER(SEARCH("INCOMPLETO",H293)),ISNUMBER(SEARCH("inexistente",H293)),ISNUMBER(SEARCH("inválid",H293)),ISNUMBER(SEARCH("não informad",H293)),ISNUMBER(SEARCH("fora do cadastro",H293)),ISNUMBER(SEARCH("duplicidade",H293)),ISNUMBER(SEARCH("DUPLICIDADE",H293)),ISNUMBER(SEARCH("UNIDADE A CONFERIR",H293)),ISNUMBER(SEARCH("Unidade a conferir",H293)),ISNUMBER(SEARCH("sem evidência",H293)),ISNUMBER(SEARCH("anterior à emissão",H293)),ISNUMBER(SEARCH("não positiva",H293)),ISNUMBER(SEARCH("não identificado",H293)),ISNUMBER(SEARCH("Sem MTR",H293)),ISNUMBER(SEARCH("Necessita",H293)),ISNUMBER(SEARCH("incompletas",H293)),ISNUMBER(SEARCH("Nome repetido",H293)),ISNUMBER(SEARCH("Informe",H293)),ISNUMBER(SEARCH("vencida",H293)))</formula>
    </cfRule>
    <cfRule type="expression" priority="12" dxfId="2" stopIfTrue="1">
      <formula>OR(ISNUMBER(SEARCH("a conferir",H293)),ISNUMBER(SEARCH("A CONFERIR",H293)),ISNUMBER(SEARCH("Aguardando conferência",H293)),ISNUMBER(SEARCH("Localizado",H293)),ISNUMBER(SEARCH("ver diferença",H293)),ISNUMBER(SEARCH("analisado",H293)),ISNUMBER(SEARCH("Data futura",H293)),ISNUMBER(SEARCH("Não calculável",H293)))</formula>
    </cfRule>
    <cfRule type="expression" priority="13" dxfId="3" stopIfTrue="1">
      <formula>OR(ISNUMBER(SEARCH("Aguardando",H293)),ISNUMBER(SEARCH("parcial",H293)),ISNUMBER(SEARCH("Cadastrado",H293)),ISNUMBER(SEARCH("NÃO CONFIRMADO",H293)),ISNUMBER(SEARCH("NÃO LOCALIZADO",H293)),ISNUMBER(SEARCH("VÍNCULO INCOMPLETO",H293)))</formula>
    </cfRule>
    <cfRule type="expression" priority="14" dxfId="4" stopIfTrue="1">
      <formula>OR(EXACT(H293,"OK"),ISNUMBER(SEARCH("conferida",H293)),ISNUMBER(SEARCH("Conferido",H293)),ISNUMBER(SEARCH("Nenhuma",H293)))</formula>
    </cfRule>
  </conditionalFormatting>
  <conditionalFormatting sqref="B448:H597">
    <cfRule type="expression" priority="15" dxfId="8">
      <formula>MOD(ROW(),2)=0</formula>
    </cfRule>
  </conditionalFormatting>
  <conditionalFormatting sqref="D448:D597">
    <cfRule type="expression" priority="16" dxfId="0" stopIfTrue="1">
      <formula>OR(ISNUMBER(SEARCH("Cancelado",D448)),ISNUMBER(SEARCH("cancelado",D448)))</formula>
    </cfRule>
    <cfRule type="expression" priority="17" dxfId="1" stopIfTrue="1">
      <formula>OR(ISNUMBER(SEARCH("revisar",D448)),ISNUMBER(SEARCH("REVISAR",D448)),ISNUMBER(SEARCH("incompleto",D448)),ISNUMBER(SEARCH("INCOMPLETO",D448)),ISNUMBER(SEARCH("inexistente",D448)),ISNUMBER(SEARCH("inválid",D448)),ISNUMBER(SEARCH("não informad",D448)),ISNUMBER(SEARCH("fora do cadastro",D448)),ISNUMBER(SEARCH("duplicidade",D448)),ISNUMBER(SEARCH("DUPLICIDADE",D448)),ISNUMBER(SEARCH("UNIDADE A CONFERIR",D448)),ISNUMBER(SEARCH("Unidade a conferir",D448)),ISNUMBER(SEARCH("sem evidência",D448)),ISNUMBER(SEARCH("anterior à emissão",D448)),ISNUMBER(SEARCH("não positiva",D448)),ISNUMBER(SEARCH("não identificado",D448)),ISNUMBER(SEARCH("Sem MTR",D448)),ISNUMBER(SEARCH("Necessita",D448)),ISNUMBER(SEARCH("incompletas",D448)),ISNUMBER(SEARCH("Nome repetido",D448)),ISNUMBER(SEARCH("Informe",D448)),ISNUMBER(SEARCH("vencida",D448)))</formula>
    </cfRule>
    <cfRule type="expression" priority="18" dxfId="2" stopIfTrue="1">
      <formula>OR(ISNUMBER(SEARCH("a conferir",D448)),ISNUMBER(SEARCH("A CONFERIR",D448)),ISNUMBER(SEARCH("Aguardando conferência",D448)),ISNUMBER(SEARCH("Localizado",D448)),ISNUMBER(SEARCH("ver diferença",D448)),ISNUMBER(SEARCH("analisado",D448)),ISNUMBER(SEARCH("Data futura",D448)),ISNUMBER(SEARCH("Não calculável",D448)))</formula>
    </cfRule>
    <cfRule type="expression" priority="19" dxfId="3" stopIfTrue="1">
      <formula>OR(ISNUMBER(SEARCH("Aguardando",D448)),ISNUMBER(SEARCH("parcial",D448)),ISNUMBER(SEARCH("Cadastrado",D448)),ISNUMBER(SEARCH("NÃO CONFIRMADO",D448)),ISNUMBER(SEARCH("NÃO LOCALIZADO",D448)),ISNUMBER(SEARCH("VÍNCULO INCOMPLETO",D448)))</formula>
    </cfRule>
    <cfRule type="expression" priority="20" dxfId="4" stopIfTrue="1">
      <formula>OR(EXACT(D448,"OK"),ISNUMBER(SEARCH("conferida",D448)),ISNUMBER(SEARCH("Conferido",D448)),ISNUMBER(SEARCH("Nenhuma",D448)))</formula>
    </cfRule>
  </conditionalFormatting>
  <conditionalFormatting sqref="B603:J1102">
    <cfRule type="expression" priority="21" dxfId="8">
      <formula>MOD(ROW(),2)=0</formula>
    </cfRule>
  </conditionalFormatting>
  <conditionalFormatting sqref="J603:J1102">
    <cfRule type="expression" priority="22" dxfId="0" stopIfTrue="1">
      <formula>OR(ISNUMBER(SEARCH("Cancelado",J603)),ISNUMBER(SEARCH("cancelado",J603)))</formula>
    </cfRule>
    <cfRule type="expression" priority="23" dxfId="1" stopIfTrue="1">
      <formula>OR(ISNUMBER(SEARCH("revisar",J603)),ISNUMBER(SEARCH("REVISAR",J603)),ISNUMBER(SEARCH("incompleto",J603)),ISNUMBER(SEARCH("INCOMPLETO",J603)),ISNUMBER(SEARCH("inexistente",J603)),ISNUMBER(SEARCH("inválid",J603)),ISNUMBER(SEARCH("não informad",J603)),ISNUMBER(SEARCH("fora do cadastro",J603)),ISNUMBER(SEARCH("duplicidade",J603)),ISNUMBER(SEARCH("DUPLICIDADE",J603)),ISNUMBER(SEARCH("UNIDADE A CONFERIR",J603)),ISNUMBER(SEARCH("Unidade a conferir",J603)),ISNUMBER(SEARCH("sem evidência",J603)),ISNUMBER(SEARCH("anterior à emissão",J603)),ISNUMBER(SEARCH("não positiva",J603)),ISNUMBER(SEARCH("não identificado",J603)),ISNUMBER(SEARCH("Sem MTR",J603)),ISNUMBER(SEARCH("Necessita",J603)),ISNUMBER(SEARCH("incompletas",J603)),ISNUMBER(SEARCH("Nome repetido",J603)),ISNUMBER(SEARCH("Informe",J603)),ISNUMBER(SEARCH("vencida",J603)))</formula>
    </cfRule>
    <cfRule type="expression" priority="24" dxfId="2" stopIfTrue="1">
      <formula>OR(ISNUMBER(SEARCH("a conferir",J603)),ISNUMBER(SEARCH("A CONFERIR",J603)),ISNUMBER(SEARCH("Aguardando conferência",J603)),ISNUMBER(SEARCH("Localizado",J603)),ISNUMBER(SEARCH("ver diferença",J603)),ISNUMBER(SEARCH("analisado",J603)),ISNUMBER(SEARCH("Data futura",J603)),ISNUMBER(SEARCH("Não calculável",J603)))</formula>
    </cfRule>
    <cfRule type="expression" priority="25" dxfId="3" stopIfTrue="1">
      <formula>OR(ISNUMBER(SEARCH("Aguardando",J603)),ISNUMBER(SEARCH("parcial",J603)),ISNUMBER(SEARCH("Cadastrado",J603)),ISNUMBER(SEARCH("NÃO CONFIRMADO",J603)),ISNUMBER(SEARCH("NÃO LOCALIZADO",J603)),ISNUMBER(SEARCH("VÍNCULO INCOMPLETO",J603)))</formula>
    </cfRule>
    <cfRule type="expression" priority="26" dxfId="4" stopIfTrue="1">
      <formula>OR(EXACT(J603,"OK"),ISNUMBER(SEARCH("conferida",J603)),ISNUMBER(SEARCH("Conferido",J603)),ISNUMBER(SEARCH("Nenhuma",J603)))</formula>
    </cfRule>
  </conditionalFormatting>
  <dataValidations count="4">
    <dataValidation sqref="B7" showDropDown="0" showInputMessage="0" showErrorMessage="1" allowBlank="1" errorTitle="Data" error="Informe uma data válida (dd/mm/aaaa)." type="date" errorStyle="warning" operator="between">
      <formula1>36526</formula1>
      <formula2>73050</formula2>
    </dataValidation>
    <dataValidation sqref="C7" showDropDown="0" showInputMessage="0" showErrorMessage="1" allowBlank="1" errorTitle="Data" error="Informe uma data válida (dd/mm/aaaa)." type="date" errorStyle="warning" operator="between">
      <formula1>36526</formula1>
      <formula2>73050</formula2>
    </dataValidation>
    <dataValidation sqref="D7" showDropDown="0" showInputMessage="0" showErrorMessage="1" allowBlank="1" errorTitle="Valor fora da lista" error="Valor fora da lista. Confira o cadastro ou ajuste a lista em CONFIGURAÇÕES." type="list" errorStyle="warning">
      <formula1>=lst_f_unid</formula1>
    </dataValidation>
    <dataValidation sqref="F7" showDropDown="0" showInputMessage="0" showErrorMessage="1" allowBlank="1" errorTitle="Valor fora da lista" error="Valor fora da lista. Confira o cadastro ou ajuste a lista em CONFIGURAÇÕES." type="list" errorStyle="warning">
      <formula1>=lst_f_dest</formula1>
    </dataValidation>
  </dataValidations>
  <hyperlinks>
    <hyperlink ref="B3" location="'INÍCIO'!A1"/>
    <hyperlink ref="C3" location="'PAINEL'!A1"/>
  </hyperlinks>
  <pageMargins left="0.75" right="0.75" top="1" bottom="1" header="0.5" footer="0.5"/>
  <pageSetup orientation="landscape" fitToHeight="0" fitToWidth="1"/>
  <rowBreaks count="5" manualBreakCount="5">
    <brk id="28" min="0" max="16383" man="1"/>
    <brk id="84" min="0" max="16383" man="1"/>
    <brk id="289" min="0" max="16383" man="1"/>
    <brk id="444" min="0" max="16383" man="1"/>
    <brk id="599" min="0" max="16383" man="1"/>
  </rowBreaks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10.xml><?xml version="1.0" encoding="utf-8"?>
<worksheet xmlns="http://schemas.openxmlformats.org/spreadsheetml/2006/main">
  <sheetPr>
    <tabColor rgb="008A99AB"/>
    <outlinePr summaryBelow="1" summaryRight="1"/>
    <pageSetUpPr fitToPage="1"/>
  </sheetPr>
  <dimension ref="A1:N105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20" customWidth="1" min="4" max="4"/>
    <col width="7" customWidth="1" min="5" max="5"/>
    <col width="18" customWidth="1" min="6" max="6"/>
    <col width="20" customWidth="1" min="7" max="7"/>
    <col width="22" customWidth="1" min="8" max="8"/>
    <col width="18" customWidth="1" min="9" max="9"/>
    <col width="12" customWidth="1" min="10" max="10"/>
    <col width="26" customWidth="1" min="11" max="11"/>
    <col width="30" customWidth="1" min="12" max="12"/>
    <col hidden="1" width="6" customWidth="1" min="13" max="13"/>
    <col hidden="1" width="6" customWidth="1" min="14" max="14"/>
  </cols>
  <sheetData>
    <row r="1" ht="34" customHeight="1">
      <c r="A1" s="79" t="inlineStr">
        <is>
          <t>CADASTRO DE UNIDADES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79" t="n"/>
      <c r="K1" s="79" t="n"/>
      <c r="L1" s="79" t="n"/>
    </row>
    <row r="2" ht="30" customHeight="1">
      <c r="A2" s="80" t="inlineStr">
        <is>
          <t>Estabelecimentos da sua organização (matriz, filiais, obras).  Use um nome diferente para cada unidade. Esse nome aparece nas listas das outras abas.</t>
        </is>
      </c>
      <c r="B2" s="80" t="n"/>
      <c r="C2" s="80" t="n"/>
      <c r="D2" s="80" t="n"/>
      <c r="E2" s="80" t="n"/>
      <c r="F2" s="80" t="n"/>
      <c r="G2" s="80" t="n"/>
      <c r="H2" s="80" t="n"/>
      <c r="I2" s="80" t="n"/>
      <c r="J2" s="80" t="n"/>
      <c r="K2" s="80" t="n"/>
      <c r="L2" s="80" t="n"/>
    </row>
    <row r="3" ht="20" customHeight="1">
      <c r="A3" s="81" t="inlineStr">
        <is>
          <t>◀ INÍCIO</t>
        </is>
      </c>
      <c r="B3" s="81" t="inlineStr">
        <is>
          <t>PAINEL</t>
        </is>
      </c>
      <c r="C3" s="81" t="inlineStr">
        <is>
          <t>PENDÊNCIAS</t>
        </is>
      </c>
      <c r="D3" s="82" t="inlineStr">
        <is>
          <t>Azul-claro = preencher   |   Cinza = automático   |   Linhas prontas: 100 registros</t>
        </is>
      </c>
    </row>
    <row r="4">
      <c r="A4" s="83" t="inlineStr">
        <is>
          <t>ID FIXO</t>
        </is>
      </c>
      <c r="B4" s="84" t="inlineStr">
        <is>
          <t>PREENCHER</t>
        </is>
      </c>
      <c r="C4" s="84" t="inlineStr">
        <is>
          <t>PREENCHER</t>
        </is>
      </c>
      <c r="D4" s="84" t="inlineStr">
        <is>
          <t>PREENCHER</t>
        </is>
      </c>
      <c r="E4" s="84" t="inlineStr">
        <is>
          <t>PREENCHER</t>
        </is>
      </c>
      <c r="F4" s="84" t="inlineStr">
        <is>
          <t>PREENCHER</t>
        </is>
      </c>
      <c r="G4" s="84" t="inlineStr">
        <is>
          <t>PREENCHER</t>
        </is>
      </c>
      <c r="H4" s="84" t="inlineStr">
        <is>
          <t>PREENCHER</t>
        </is>
      </c>
      <c r="I4" s="84" t="inlineStr">
        <is>
          <t>PREENCHER</t>
        </is>
      </c>
      <c r="J4" s="84" t="inlineStr">
        <is>
          <t>PREENCHER</t>
        </is>
      </c>
      <c r="K4" s="84" t="inlineStr">
        <is>
          <t>PREENCHER</t>
        </is>
      </c>
      <c r="L4" s="85" t="inlineStr">
        <is>
          <t>AUTOMÁTICO</t>
        </is>
      </c>
    </row>
    <row r="5" ht="46" customHeight="1">
      <c r="A5" s="86" t="inlineStr">
        <is>
          <t>ID interno da unidade</t>
        </is>
      </c>
      <c r="B5" s="86" t="inlineStr">
        <is>
          <t>Razão social</t>
        </is>
      </c>
      <c r="C5" s="86" t="inlineStr">
        <is>
          <t>Nome da unidade</t>
        </is>
      </c>
      <c r="D5" s="86" t="inlineStr">
        <is>
          <t>CNPJ ou identificação aplicável</t>
        </is>
      </c>
      <c r="E5" s="86" t="inlineStr">
        <is>
          <t>UF</t>
        </is>
      </c>
      <c r="F5" s="86" t="inlineStr">
        <is>
          <t>Município</t>
        </is>
      </c>
      <c r="G5" s="86" t="inlineStr">
        <is>
          <t>Papel da unidade</t>
        </is>
      </c>
      <c r="H5" s="86" t="inlineStr">
        <is>
          <t>Sistema ambiental relacionado</t>
        </is>
      </c>
      <c r="I5" s="86" t="inlineStr">
        <is>
          <t>Responsável interno</t>
        </is>
      </c>
      <c r="J5" s="86" t="inlineStr">
        <is>
          <t>Situação do cadastro</t>
        </is>
      </c>
      <c r="K5" s="86" t="inlineStr">
        <is>
          <t>Observações</t>
        </is>
      </c>
      <c r="L5" s="87" t="inlineStr">
        <is>
          <t>Alerta do cadastro</t>
        </is>
      </c>
      <c r="M5" s="88" t="inlineStr">
        <is>
          <t>aux tem nome</t>
        </is>
      </c>
      <c r="N5" s="88" t="inlineStr">
        <is>
          <t>aux ordem seleção</t>
        </is>
      </c>
    </row>
    <row r="6">
      <c r="A6" s="89" t="inlineStr">
        <is>
          <t>UN-001</t>
        </is>
      </c>
      <c r="B6" s="91" t="n"/>
      <c r="C6" s="91" t="n"/>
      <c r="D6" s="90" t="n"/>
      <c r="E6" s="91" t="n"/>
      <c r="F6" s="91" t="n"/>
      <c r="G6" s="91" t="n"/>
      <c r="H6" s="91" t="n"/>
      <c r="I6" s="91" t="n"/>
      <c r="J6" s="91" t="n"/>
      <c r="K6" s="91" t="n"/>
      <c r="L6" s="94" t="str">
        <f>IF(C6="",IF(COUNTA(B6:K6)&gt;0,"Informe o nome da unidade",""),IF(SUMPRODUCT(--($C$6:$C$105=C6))&gt;1,"Nome repetido: diferencie as unidades","OK"))</f>
        <v/>
      </c>
      <c r="M6" s="96">
        <f>IF(C6&lt;&gt;"",1,0)</f>
        <v>0</v>
      </c>
      <c r="N6" s="96" t="str">
        <f>IF(M6=1,COUNTIF($M$6:M6,1),"")</f>
        <v/>
      </c>
    </row>
    <row r="7">
      <c r="A7" s="89" t="inlineStr">
        <is>
          <t>UN-002</t>
        </is>
      </c>
      <c r="B7" s="91" t="n"/>
      <c r="C7" s="91" t="n"/>
      <c r="D7" s="90" t="n"/>
      <c r="E7" s="91" t="n"/>
      <c r="F7" s="91" t="n"/>
      <c r="G7" s="91" t="n"/>
      <c r="H7" s="91" t="n"/>
      <c r="I7" s="91" t="n"/>
      <c r="J7" s="91" t="n"/>
      <c r="K7" s="91" t="n"/>
      <c r="L7" s="94" t="str">
        <f>IF(C7="",IF(COUNTA(B7:K7)&gt;0,"Informe o nome da unidade",""),IF(SUMPRODUCT(--($C$6:$C$105=C7))&gt;1,"Nome repetido: diferencie as unidades","OK"))</f>
        <v/>
      </c>
      <c r="M7" s="96">
        <f>IF(C7&lt;&gt;"",1,0)</f>
        <v>0</v>
      </c>
      <c r="N7" s="96" t="str">
        <f>IF(M7=1,COUNTIF($M$6:M7,1),"")</f>
        <v/>
      </c>
    </row>
    <row r="8">
      <c r="A8" s="89" t="inlineStr">
        <is>
          <t>UN-003</t>
        </is>
      </c>
      <c r="B8" s="91" t="n"/>
      <c r="C8" s="91" t="n"/>
      <c r="D8" s="90" t="n"/>
      <c r="E8" s="91" t="n"/>
      <c r="F8" s="91" t="n"/>
      <c r="G8" s="91" t="n"/>
      <c r="H8" s="91" t="n"/>
      <c r="I8" s="91" t="n"/>
      <c r="J8" s="91" t="n"/>
      <c r="K8" s="91" t="n"/>
      <c r="L8" s="94" t="str">
        <f>IF(C8="",IF(COUNTA(B8:K8)&gt;0,"Informe o nome da unidade",""),IF(SUMPRODUCT(--($C$6:$C$105=C8))&gt;1,"Nome repetido: diferencie as unidades","OK"))</f>
        <v/>
      </c>
      <c r="M8" s="96">
        <f>IF(C8&lt;&gt;"",1,0)</f>
        <v>0</v>
      </c>
      <c r="N8" s="96" t="str">
        <f>IF(M8=1,COUNTIF($M$6:M8,1),"")</f>
        <v/>
      </c>
    </row>
    <row r="9">
      <c r="A9" s="89" t="inlineStr">
        <is>
          <t>UN-004</t>
        </is>
      </c>
      <c r="B9" s="91" t="n"/>
      <c r="C9" s="91" t="n"/>
      <c r="D9" s="90" t="n"/>
      <c r="E9" s="91" t="n"/>
      <c r="F9" s="91" t="n"/>
      <c r="G9" s="91" t="n"/>
      <c r="H9" s="91" t="n"/>
      <c r="I9" s="91" t="n"/>
      <c r="J9" s="91" t="n"/>
      <c r="K9" s="91" t="n"/>
      <c r="L9" s="94" t="str">
        <f>IF(C9="",IF(COUNTA(B9:K9)&gt;0,"Informe o nome da unidade",""),IF(SUMPRODUCT(--($C$6:$C$105=C9))&gt;1,"Nome repetido: diferencie as unidades","OK"))</f>
        <v/>
      </c>
      <c r="M9" s="96">
        <f>IF(C9&lt;&gt;"",1,0)</f>
        <v>0</v>
      </c>
      <c r="N9" s="96" t="str">
        <f>IF(M9=1,COUNTIF($M$6:M9,1),"")</f>
        <v/>
      </c>
    </row>
    <row r="10">
      <c r="A10" s="89" t="inlineStr">
        <is>
          <t>UN-005</t>
        </is>
      </c>
      <c r="B10" s="91" t="n"/>
      <c r="C10" s="91" t="n"/>
      <c r="D10" s="90" t="n"/>
      <c r="E10" s="91" t="n"/>
      <c r="F10" s="91" t="n"/>
      <c r="G10" s="91" t="n"/>
      <c r="H10" s="91" t="n"/>
      <c r="I10" s="91" t="n"/>
      <c r="J10" s="91" t="n"/>
      <c r="K10" s="91" t="n"/>
      <c r="L10" s="94" t="str">
        <f>IF(C10="",IF(COUNTA(B10:K10)&gt;0,"Informe o nome da unidade",""),IF(SUMPRODUCT(--($C$6:$C$105=C10))&gt;1,"Nome repetido: diferencie as unidades","OK"))</f>
        <v/>
      </c>
      <c r="M10" s="96">
        <f>IF(C10&lt;&gt;"",1,0)</f>
        <v>0</v>
      </c>
      <c r="N10" s="96" t="str">
        <f>IF(M10=1,COUNTIF($M$6:M10,1),"")</f>
        <v/>
      </c>
    </row>
    <row r="11">
      <c r="A11" s="89" t="inlineStr">
        <is>
          <t>UN-006</t>
        </is>
      </c>
      <c r="B11" s="91" t="n"/>
      <c r="C11" s="91" t="n"/>
      <c r="D11" s="90" t="n"/>
      <c r="E11" s="91" t="n"/>
      <c r="F11" s="91" t="n"/>
      <c r="G11" s="91" t="n"/>
      <c r="H11" s="91" t="n"/>
      <c r="I11" s="91" t="n"/>
      <c r="J11" s="91" t="n"/>
      <c r="K11" s="91" t="n"/>
      <c r="L11" s="94" t="str">
        <f>IF(C11="",IF(COUNTA(B11:K11)&gt;0,"Informe o nome da unidade",""),IF(SUMPRODUCT(--($C$6:$C$105=C11))&gt;1,"Nome repetido: diferencie as unidades","OK"))</f>
        <v/>
      </c>
      <c r="M11" s="96">
        <f>IF(C11&lt;&gt;"",1,0)</f>
        <v>0</v>
      </c>
      <c r="N11" s="96" t="str">
        <f>IF(M11=1,COUNTIF($M$6:M11,1),"")</f>
        <v/>
      </c>
    </row>
    <row r="12">
      <c r="A12" s="89" t="inlineStr">
        <is>
          <t>UN-007</t>
        </is>
      </c>
      <c r="B12" s="91" t="n"/>
      <c r="C12" s="91" t="n"/>
      <c r="D12" s="90" t="n"/>
      <c r="E12" s="91" t="n"/>
      <c r="F12" s="91" t="n"/>
      <c r="G12" s="91" t="n"/>
      <c r="H12" s="91" t="n"/>
      <c r="I12" s="91" t="n"/>
      <c r="J12" s="91" t="n"/>
      <c r="K12" s="91" t="n"/>
      <c r="L12" s="94" t="str">
        <f>IF(C12="",IF(COUNTA(B12:K12)&gt;0,"Informe o nome da unidade",""),IF(SUMPRODUCT(--($C$6:$C$105=C12))&gt;1,"Nome repetido: diferencie as unidades","OK"))</f>
        <v/>
      </c>
      <c r="M12" s="96">
        <f>IF(C12&lt;&gt;"",1,0)</f>
        <v>0</v>
      </c>
      <c r="N12" s="96" t="str">
        <f>IF(M12=1,COUNTIF($M$6:M12,1),"")</f>
        <v/>
      </c>
    </row>
    <row r="13">
      <c r="A13" s="89" t="inlineStr">
        <is>
          <t>UN-008</t>
        </is>
      </c>
      <c r="B13" s="91" t="n"/>
      <c r="C13" s="91" t="n"/>
      <c r="D13" s="90" t="n"/>
      <c r="E13" s="91" t="n"/>
      <c r="F13" s="91" t="n"/>
      <c r="G13" s="91" t="n"/>
      <c r="H13" s="91" t="n"/>
      <c r="I13" s="91" t="n"/>
      <c r="J13" s="91" t="n"/>
      <c r="K13" s="91" t="n"/>
      <c r="L13" s="94" t="str">
        <f>IF(C13="",IF(COUNTA(B13:K13)&gt;0,"Informe o nome da unidade",""),IF(SUMPRODUCT(--($C$6:$C$105=C13))&gt;1,"Nome repetido: diferencie as unidades","OK"))</f>
        <v/>
      </c>
      <c r="M13" s="96">
        <f>IF(C13&lt;&gt;"",1,0)</f>
        <v>0</v>
      </c>
      <c r="N13" s="96" t="str">
        <f>IF(M13=1,COUNTIF($M$6:M13,1),"")</f>
        <v/>
      </c>
    </row>
    <row r="14">
      <c r="A14" s="89" t="inlineStr">
        <is>
          <t>UN-009</t>
        </is>
      </c>
      <c r="B14" s="91" t="n"/>
      <c r="C14" s="91" t="n"/>
      <c r="D14" s="90" t="n"/>
      <c r="E14" s="91" t="n"/>
      <c r="F14" s="91" t="n"/>
      <c r="G14" s="91" t="n"/>
      <c r="H14" s="91" t="n"/>
      <c r="I14" s="91" t="n"/>
      <c r="J14" s="91" t="n"/>
      <c r="K14" s="91" t="n"/>
      <c r="L14" s="94" t="str">
        <f>IF(C14="",IF(COUNTA(B14:K14)&gt;0,"Informe o nome da unidade",""),IF(SUMPRODUCT(--($C$6:$C$105=C14))&gt;1,"Nome repetido: diferencie as unidades","OK"))</f>
        <v/>
      </c>
      <c r="M14" s="96">
        <f>IF(C14&lt;&gt;"",1,0)</f>
        <v>0</v>
      </c>
      <c r="N14" s="96" t="str">
        <f>IF(M14=1,COUNTIF($M$6:M14,1),"")</f>
        <v/>
      </c>
    </row>
    <row r="15">
      <c r="A15" s="89" t="inlineStr">
        <is>
          <t>UN-010</t>
        </is>
      </c>
      <c r="B15" s="91" t="n"/>
      <c r="C15" s="91" t="n"/>
      <c r="D15" s="90" t="n"/>
      <c r="E15" s="91" t="n"/>
      <c r="F15" s="91" t="n"/>
      <c r="G15" s="91" t="n"/>
      <c r="H15" s="91" t="n"/>
      <c r="I15" s="91" t="n"/>
      <c r="J15" s="91" t="n"/>
      <c r="K15" s="91" t="n"/>
      <c r="L15" s="94" t="str">
        <f>IF(C15="",IF(COUNTA(B15:K15)&gt;0,"Informe o nome da unidade",""),IF(SUMPRODUCT(--($C$6:$C$105=C15))&gt;1,"Nome repetido: diferencie as unidades","OK"))</f>
        <v/>
      </c>
      <c r="M15" s="96">
        <f>IF(C15&lt;&gt;"",1,0)</f>
        <v>0</v>
      </c>
      <c r="N15" s="96" t="str">
        <f>IF(M15=1,COUNTIF($M$6:M15,1),"")</f>
        <v/>
      </c>
    </row>
    <row r="16">
      <c r="A16" s="89" t="inlineStr">
        <is>
          <t>UN-011</t>
        </is>
      </c>
      <c r="B16" s="91" t="n"/>
      <c r="C16" s="91" t="n"/>
      <c r="D16" s="90" t="n"/>
      <c r="E16" s="91" t="n"/>
      <c r="F16" s="91" t="n"/>
      <c r="G16" s="91" t="n"/>
      <c r="H16" s="91" t="n"/>
      <c r="I16" s="91" t="n"/>
      <c r="J16" s="91" t="n"/>
      <c r="K16" s="91" t="n"/>
      <c r="L16" s="94" t="str">
        <f>IF(C16="",IF(COUNTA(B16:K16)&gt;0,"Informe o nome da unidade",""),IF(SUMPRODUCT(--($C$6:$C$105=C16))&gt;1,"Nome repetido: diferencie as unidades","OK"))</f>
        <v/>
      </c>
      <c r="M16" s="96">
        <f>IF(C16&lt;&gt;"",1,0)</f>
        <v>0</v>
      </c>
      <c r="N16" s="96" t="str">
        <f>IF(M16=1,COUNTIF($M$6:M16,1),"")</f>
        <v/>
      </c>
    </row>
    <row r="17">
      <c r="A17" s="89" t="inlineStr">
        <is>
          <t>UN-012</t>
        </is>
      </c>
      <c r="B17" s="91" t="n"/>
      <c r="C17" s="91" t="n"/>
      <c r="D17" s="90" t="n"/>
      <c r="E17" s="91" t="n"/>
      <c r="F17" s="91" t="n"/>
      <c r="G17" s="91" t="n"/>
      <c r="H17" s="91" t="n"/>
      <c r="I17" s="91" t="n"/>
      <c r="J17" s="91" t="n"/>
      <c r="K17" s="91" t="n"/>
      <c r="L17" s="94" t="str">
        <f>IF(C17="",IF(COUNTA(B17:K17)&gt;0,"Informe o nome da unidade",""),IF(SUMPRODUCT(--($C$6:$C$105=C17))&gt;1,"Nome repetido: diferencie as unidades","OK"))</f>
        <v/>
      </c>
      <c r="M17" s="96">
        <f>IF(C17&lt;&gt;"",1,0)</f>
        <v>0</v>
      </c>
      <c r="N17" s="96" t="str">
        <f>IF(M17=1,COUNTIF($M$6:M17,1),"")</f>
        <v/>
      </c>
    </row>
    <row r="18">
      <c r="A18" s="89" t="inlineStr">
        <is>
          <t>UN-013</t>
        </is>
      </c>
      <c r="B18" s="91" t="n"/>
      <c r="C18" s="91" t="n"/>
      <c r="D18" s="90" t="n"/>
      <c r="E18" s="91" t="n"/>
      <c r="F18" s="91" t="n"/>
      <c r="G18" s="91" t="n"/>
      <c r="H18" s="91" t="n"/>
      <c r="I18" s="91" t="n"/>
      <c r="J18" s="91" t="n"/>
      <c r="K18" s="91" t="n"/>
      <c r="L18" s="94" t="str">
        <f>IF(C18="",IF(COUNTA(B18:K18)&gt;0,"Informe o nome da unidade",""),IF(SUMPRODUCT(--($C$6:$C$105=C18))&gt;1,"Nome repetido: diferencie as unidades","OK"))</f>
        <v/>
      </c>
      <c r="M18" s="96">
        <f>IF(C18&lt;&gt;"",1,0)</f>
        <v>0</v>
      </c>
      <c r="N18" s="96" t="str">
        <f>IF(M18=1,COUNTIF($M$6:M18,1),"")</f>
        <v/>
      </c>
    </row>
    <row r="19">
      <c r="A19" s="89" t="inlineStr">
        <is>
          <t>UN-014</t>
        </is>
      </c>
      <c r="B19" s="91" t="n"/>
      <c r="C19" s="91" t="n"/>
      <c r="D19" s="90" t="n"/>
      <c r="E19" s="91" t="n"/>
      <c r="F19" s="91" t="n"/>
      <c r="G19" s="91" t="n"/>
      <c r="H19" s="91" t="n"/>
      <c r="I19" s="91" t="n"/>
      <c r="J19" s="91" t="n"/>
      <c r="K19" s="91" t="n"/>
      <c r="L19" s="94" t="str">
        <f>IF(C19="",IF(COUNTA(B19:K19)&gt;0,"Informe o nome da unidade",""),IF(SUMPRODUCT(--($C$6:$C$105=C19))&gt;1,"Nome repetido: diferencie as unidades","OK"))</f>
        <v/>
      </c>
      <c r="M19" s="96">
        <f>IF(C19&lt;&gt;"",1,0)</f>
        <v>0</v>
      </c>
      <c r="N19" s="96" t="str">
        <f>IF(M19=1,COUNTIF($M$6:M19,1),"")</f>
        <v/>
      </c>
    </row>
    <row r="20">
      <c r="A20" s="89" t="inlineStr">
        <is>
          <t>UN-015</t>
        </is>
      </c>
      <c r="B20" s="91" t="n"/>
      <c r="C20" s="91" t="n"/>
      <c r="D20" s="90" t="n"/>
      <c r="E20" s="91" t="n"/>
      <c r="F20" s="91" t="n"/>
      <c r="G20" s="91" t="n"/>
      <c r="H20" s="91" t="n"/>
      <c r="I20" s="91" t="n"/>
      <c r="J20" s="91" t="n"/>
      <c r="K20" s="91" t="n"/>
      <c r="L20" s="94" t="str">
        <f>IF(C20="",IF(COUNTA(B20:K20)&gt;0,"Informe o nome da unidade",""),IF(SUMPRODUCT(--($C$6:$C$105=C20))&gt;1,"Nome repetido: diferencie as unidades","OK"))</f>
        <v/>
      </c>
      <c r="M20" s="96">
        <f>IF(C20&lt;&gt;"",1,0)</f>
        <v>0</v>
      </c>
      <c r="N20" s="96" t="str">
        <f>IF(M20=1,COUNTIF($M$6:M20,1),"")</f>
        <v/>
      </c>
    </row>
    <row r="21">
      <c r="A21" s="89" t="inlineStr">
        <is>
          <t>UN-016</t>
        </is>
      </c>
      <c r="B21" s="91" t="n"/>
      <c r="C21" s="91" t="n"/>
      <c r="D21" s="90" t="n"/>
      <c r="E21" s="91" t="n"/>
      <c r="F21" s="91" t="n"/>
      <c r="G21" s="91" t="n"/>
      <c r="H21" s="91" t="n"/>
      <c r="I21" s="91" t="n"/>
      <c r="J21" s="91" t="n"/>
      <c r="K21" s="91" t="n"/>
      <c r="L21" s="94" t="str">
        <f>IF(C21="",IF(COUNTA(B21:K21)&gt;0,"Informe o nome da unidade",""),IF(SUMPRODUCT(--($C$6:$C$105=C21))&gt;1,"Nome repetido: diferencie as unidades","OK"))</f>
        <v/>
      </c>
      <c r="M21" s="96">
        <f>IF(C21&lt;&gt;"",1,0)</f>
        <v>0</v>
      </c>
      <c r="N21" s="96" t="str">
        <f>IF(M21=1,COUNTIF($M$6:M21,1),"")</f>
        <v/>
      </c>
    </row>
    <row r="22">
      <c r="A22" s="89" t="inlineStr">
        <is>
          <t>UN-017</t>
        </is>
      </c>
      <c r="B22" s="91" t="n"/>
      <c r="C22" s="91" t="n"/>
      <c r="D22" s="90" t="n"/>
      <c r="E22" s="91" t="n"/>
      <c r="F22" s="91" t="n"/>
      <c r="G22" s="91" t="n"/>
      <c r="H22" s="91" t="n"/>
      <c r="I22" s="91" t="n"/>
      <c r="J22" s="91" t="n"/>
      <c r="K22" s="91" t="n"/>
      <c r="L22" s="94" t="str">
        <f>IF(C22="",IF(COUNTA(B22:K22)&gt;0,"Informe o nome da unidade",""),IF(SUMPRODUCT(--($C$6:$C$105=C22))&gt;1,"Nome repetido: diferencie as unidades","OK"))</f>
        <v/>
      </c>
      <c r="M22" s="96">
        <f>IF(C22&lt;&gt;"",1,0)</f>
        <v>0</v>
      </c>
      <c r="N22" s="96" t="str">
        <f>IF(M22=1,COUNTIF($M$6:M22,1),"")</f>
        <v/>
      </c>
    </row>
    <row r="23">
      <c r="A23" s="89" t="inlineStr">
        <is>
          <t>UN-018</t>
        </is>
      </c>
      <c r="B23" s="91" t="n"/>
      <c r="C23" s="91" t="n"/>
      <c r="D23" s="90" t="n"/>
      <c r="E23" s="91" t="n"/>
      <c r="F23" s="91" t="n"/>
      <c r="G23" s="91" t="n"/>
      <c r="H23" s="91" t="n"/>
      <c r="I23" s="91" t="n"/>
      <c r="J23" s="91" t="n"/>
      <c r="K23" s="91" t="n"/>
      <c r="L23" s="94" t="str">
        <f>IF(C23="",IF(COUNTA(B23:K23)&gt;0,"Informe o nome da unidade",""),IF(SUMPRODUCT(--($C$6:$C$105=C23))&gt;1,"Nome repetido: diferencie as unidades","OK"))</f>
        <v/>
      </c>
      <c r="M23" s="96">
        <f>IF(C23&lt;&gt;"",1,0)</f>
        <v>0</v>
      </c>
      <c r="N23" s="96" t="str">
        <f>IF(M23=1,COUNTIF($M$6:M23,1),"")</f>
        <v/>
      </c>
    </row>
    <row r="24">
      <c r="A24" s="89" t="inlineStr">
        <is>
          <t>UN-019</t>
        </is>
      </c>
      <c r="B24" s="91" t="n"/>
      <c r="C24" s="91" t="n"/>
      <c r="D24" s="90" t="n"/>
      <c r="E24" s="91" t="n"/>
      <c r="F24" s="91" t="n"/>
      <c r="G24" s="91" t="n"/>
      <c r="H24" s="91" t="n"/>
      <c r="I24" s="91" t="n"/>
      <c r="J24" s="91" t="n"/>
      <c r="K24" s="91" t="n"/>
      <c r="L24" s="94" t="str">
        <f>IF(C24="",IF(COUNTA(B24:K24)&gt;0,"Informe o nome da unidade",""),IF(SUMPRODUCT(--($C$6:$C$105=C24))&gt;1,"Nome repetido: diferencie as unidades","OK"))</f>
        <v/>
      </c>
      <c r="M24" s="96">
        <f>IF(C24&lt;&gt;"",1,0)</f>
        <v>0</v>
      </c>
      <c r="N24" s="96" t="str">
        <f>IF(M24=1,COUNTIF($M$6:M24,1),"")</f>
        <v/>
      </c>
    </row>
    <row r="25">
      <c r="A25" s="89" t="inlineStr">
        <is>
          <t>UN-020</t>
        </is>
      </c>
      <c r="B25" s="91" t="n"/>
      <c r="C25" s="91" t="n"/>
      <c r="D25" s="90" t="n"/>
      <c r="E25" s="91" t="n"/>
      <c r="F25" s="91" t="n"/>
      <c r="G25" s="91" t="n"/>
      <c r="H25" s="91" t="n"/>
      <c r="I25" s="91" t="n"/>
      <c r="J25" s="91" t="n"/>
      <c r="K25" s="91" t="n"/>
      <c r="L25" s="94" t="str">
        <f>IF(C25="",IF(COUNTA(B25:K25)&gt;0,"Informe o nome da unidade",""),IF(SUMPRODUCT(--($C$6:$C$105=C25))&gt;1,"Nome repetido: diferencie as unidades","OK"))</f>
        <v/>
      </c>
      <c r="M25" s="96">
        <f>IF(C25&lt;&gt;"",1,0)</f>
        <v>0</v>
      </c>
      <c r="N25" s="96" t="str">
        <f>IF(M25=1,COUNTIF($M$6:M25,1),"")</f>
        <v/>
      </c>
    </row>
    <row r="26">
      <c r="A26" s="89" t="inlineStr">
        <is>
          <t>UN-021</t>
        </is>
      </c>
      <c r="B26" s="91" t="n"/>
      <c r="C26" s="91" t="n"/>
      <c r="D26" s="90" t="n"/>
      <c r="E26" s="91" t="n"/>
      <c r="F26" s="91" t="n"/>
      <c r="G26" s="91" t="n"/>
      <c r="H26" s="91" t="n"/>
      <c r="I26" s="91" t="n"/>
      <c r="J26" s="91" t="n"/>
      <c r="K26" s="91" t="n"/>
      <c r="L26" s="94" t="str">
        <f>IF(C26="",IF(COUNTA(B26:K26)&gt;0,"Informe o nome da unidade",""),IF(SUMPRODUCT(--($C$6:$C$105=C26))&gt;1,"Nome repetido: diferencie as unidades","OK"))</f>
        <v/>
      </c>
      <c r="M26" s="96">
        <f>IF(C26&lt;&gt;"",1,0)</f>
        <v>0</v>
      </c>
      <c r="N26" s="96" t="str">
        <f>IF(M26=1,COUNTIF($M$6:M26,1),"")</f>
        <v/>
      </c>
    </row>
    <row r="27">
      <c r="A27" s="89" t="inlineStr">
        <is>
          <t>UN-022</t>
        </is>
      </c>
      <c r="B27" s="91" t="n"/>
      <c r="C27" s="91" t="n"/>
      <c r="D27" s="90" t="n"/>
      <c r="E27" s="91" t="n"/>
      <c r="F27" s="91" t="n"/>
      <c r="G27" s="91" t="n"/>
      <c r="H27" s="91" t="n"/>
      <c r="I27" s="91" t="n"/>
      <c r="J27" s="91" t="n"/>
      <c r="K27" s="91" t="n"/>
      <c r="L27" s="94" t="str">
        <f>IF(C27="",IF(COUNTA(B27:K27)&gt;0,"Informe o nome da unidade",""),IF(SUMPRODUCT(--($C$6:$C$105=C27))&gt;1,"Nome repetido: diferencie as unidades","OK"))</f>
        <v/>
      </c>
      <c r="M27" s="96">
        <f>IF(C27&lt;&gt;"",1,0)</f>
        <v>0</v>
      </c>
      <c r="N27" s="96" t="str">
        <f>IF(M27=1,COUNTIF($M$6:M27,1),"")</f>
        <v/>
      </c>
    </row>
    <row r="28">
      <c r="A28" s="89" t="inlineStr">
        <is>
          <t>UN-023</t>
        </is>
      </c>
      <c r="B28" s="91" t="n"/>
      <c r="C28" s="91" t="n"/>
      <c r="D28" s="90" t="n"/>
      <c r="E28" s="91" t="n"/>
      <c r="F28" s="91" t="n"/>
      <c r="G28" s="91" t="n"/>
      <c r="H28" s="91" t="n"/>
      <c r="I28" s="91" t="n"/>
      <c r="J28" s="91" t="n"/>
      <c r="K28" s="91" t="n"/>
      <c r="L28" s="94" t="str">
        <f>IF(C28="",IF(COUNTA(B28:K28)&gt;0,"Informe o nome da unidade",""),IF(SUMPRODUCT(--($C$6:$C$105=C28))&gt;1,"Nome repetido: diferencie as unidades","OK"))</f>
        <v/>
      </c>
      <c r="M28" s="96">
        <f>IF(C28&lt;&gt;"",1,0)</f>
        <v>0</v>
      </c>
      <c r="N28" s="96" t="str">
        <f>IF(M28=1,COUNTIF($M$6:M28,1),"")</f>
        <v/>
      </c>
    </row>
    <row r="29">
      <c r="A29" s="89" t="inlineStr">
        <is>
          <t>UN-024</t>
        </is>
      </c>
      <c r="B29" s="91" t="n"/>
      <c r="C29" s="91" t="n"/>
      <c r="D29" s="90" t="n"/>
      <c r="E29" s="91" t="n"/>
      <c r="F29" s="91" t="n"/>
      <c r="G29" s="91" t="n"/>
      <c r="H29" s="91" t="n"/>
      <c r="I29" s="91" t="n"/>
      <c r="J29" s="91" t="n"/>
      <c r="K29" s="91" t="n"/>
      <c r="L29" s="94" t="str">
        <f>IF(C29="",IF(COUNTA(B29:K29)&gt;0,"Informe o nome da unidade",""),IF(SUMPRODUCT(--($C$6:$C$105=C29))&gt;1,"Nome repetido: diferencie as unidades","OK"))</f>
        <v/>
      </c>
      <c r="M29" s="96">
        <f>IF(C29&lt;&gt;"",1,0)</f>
        <v>0</v>
      </c>
      <c r="N29" s="96" t="str">
        <f>IF(M29=1,COUNTIF($M$6:M29,1),"")</f>
        <v/>
      </c>
    </row>
    <row r="30">
      <c r="A30" s="89" t="inlineStr">
        <is>
          <t>UN-025</t>
        </is>
      </c>
      <c r="B30" s="91" t="n"/>
      <c r="C30" s="91" t="n"/>
      <c r="D30" s="90" t="n"/>
      <c r="E30" s="91" t="n"/>
      <c r="F30" s="91" t="n"/>
      <c r="G30" s="91" t="n"/>
      <c r="H30" s="91" t="n"/>
      <c r="I30" s="91" t="n"/>
      <c r="J30" s="91" t="n"/>
      <c r="K30" s="91" t="n"/>
      <c r="L30" s="94" t="str">
        <f>IF(C30="",IF(COUNTA(B30:K30)&gt;0,"Informe o nome da unidade",""),IF(SUMPRODUCT(--($C$6:$C$105=C30))&gt;1,"Nome repetido: diferencie as unidades","OK"))</f>
        <v/>
      </c>
      <c r="M30" s="96">
        <f>IF(C30&lt;&gt;"",1,0)</f>
        <v>0</v>
      </c>
      <c r="N30" s="96" t="str">
        <f>IF(M30=1,COUNTIF($M$6:M30,1),"")</f>
        <v/>
      </c>
    </row>
    <row r="31">
      <c r="A31" s="89" t="inlineStr">
        <is>
          <t>UN-026</t>
        </is>
      </c>
      <c r="B31" s="91" t="n"/>
      <c r="C31" s="91" t="n"/>
      <c r="D31" s="90" t="n"/>
      <c r="E31" s="91" t="n"/>
      <c r="F31" s="91" t="n"/>
      <c r="G31" s="91" t="n"/>
      <c r="H31" s="91" t="n"/>
      <c r="I31" s="91" t="n"/>
      <c r="J31" s="91" t="n"/>
      <c r="K31" s="91" t="n"/>
      <c r="L31" s="94" t="str">
        <f>IF(C31="",IF(COUNTA(B31:K31)&gt;0,"Informe o nome da unidade",""),IF(SUMPRODUCT(--($C$6:$C$105=C31))&gt;1,"Nome repetido: diferencie as unidades","OK"))</f>
        <v/>
      </c>
      <c r="M31" s="96">
        <f>IF(C31&lt;&gt;"",1,0)</f>
        <v>0</v>
      </c>
      <c r="N31" s="96" t="str">
        <f>IF(M31=1,COUNTIF($M$6:M31,1),"")</f>
        <v/>
      </c>
    </row>
    <row r="32">
      <c r="A32" s="89" t="inlineStr">
        <is>
          <t>UN-027</t>
        </is>
      </c>
      <c r="B32" s="91" t="n"/>
      <c r="C32" s="91" t="n"/>
      <c r="D32" s="90" t="n"/>
      <c r="E32" s="91" t="n"/>
      <c r="F32" s="91" t="n"/>
      <c r="G32" s="91" t="n"/>
      <c r="H32" s="91" t="n"/>
      <c r="I32" s="91" t="n"/>
      <c r="J32" s="91" t="n"/>
      <c r="K32" s="91" t="n"/>
      <c r="L32" s="94" t="str">
        <f>IF(C32="",IF(COUNTA(B32:K32)&gt;0,"Informe o nome da unidade",""),IF(SUMPRODUCT(--($C$6:$C$105=C32))&gt;1,"Nome repetido: diferencie as unidades","OK"))</f>
        <v/>
      </c>
      <c r="M32" s="96">
        <f>IF(C32&lt;&gt;"",1,0)</f>
        <v>0</v>
      </c>
      <c r="N32" s="96" t="str">
        <f>IF(M32=1,COUNTIF($M$6:M32,1),"")</f>
        <v/>
      </c>
    </row>
    <row r="33">
      <c r="A33" s="89" t="inlineStr">
        <is>
          <t>UN-028</t>
        </is>
      </c>
      <c r="B33" s="91" t="n"/>
      <c r="C33" s="91" t="n"/>
      <c r="D33" s="90" t="n"/>
      <c r="E33" s="91" t="n"/>
      <c r="F33" s="91" t="n"/>
      <c r="G33" s="91" t="n"/>
      <c r="H33" s="91" t="n"/>
      <c r="I33" s="91" t="n"/>
      <c r="J33" s="91" t="n"/>
      <c r="K33" s="91" t="n"/>
      <c r="L33" s="94" t="str">
        <f>IF(C33="",IF(COUNTA(B33:K33)&gt;0,"Informe o nome da unidade",""),IF(SUMPRODUCT(--($C$6:$C$105=C33))&gt;1,"Nome repetido: diferencie as unidades","OK"))</f>
        <v/>
      </c>
      <c r="M33" s="96">
        <f>IF(C33&lt;&gt;"",1,0)</f>
        <v>0</v>
      </c>
      <c r="N33" s="96" t="str">
        <f>IF(M33=1,COUNTIF($M$6:M33,1),"")</f>
        <v/>
      </c>
    </row>
    <row r="34">
      <c r="A34" s="89" t="inlineStr">
        <is>
          <t>UN-029</t>
        </is>
      </c>
      <c r="B34" s="91" t="n"/>
      <c r="C34" s="91" t="n"/>
      <c r="D34" s="90" t="n"/>
      <c r="E34" s="91" t="n"/>
      <c r="F34" s="91" t="n"/>
      <c r="G34" s="91" t="n"/>
      <c r="H34" s="91" t="n"/>
      <c r="I34" s="91" t="n"/>
      <c r="J34" s="91" t="n"/>
      <c r="K34" s="91" t="n"/>
      <c r="L34" s="94" t="str">
        <f>IF(C34="",IF(COUNTA(B34:K34)&gt;0,"Informe o nome da unidade",""),IF(SUMPRODUCT(--($C$6:$C$105=C34))&gt;1,"Nome repetido: diferencie as unidades","OK"))</f>
        <v/>
      </c>
      <c r="M34" s="96">
        <f>IF(C34&lt;&gt;"",1,0)</f>
        <v>0</v>
      </c>
      <c r="N34" s="96" t="str">
        <f>IF(M34=1,COUNTIF($M$6:M34,1),"")</f>
        <v/>
      </c>
    </row>
    <row r="35">
      <c r="A35" s="89" t="inlineStr">
        <is>
          <t>UN-030</t>
        </is>
      </c>
      <c r="B35" s="91" t="n"/>
      <c r="C35" s="91" t="n"/>
      <c r="D35" s="90" t="n"/>
      <c r="E35" s="91" t="n"/>
      <c r="F35" s="91" t="n"/>
      <c r="G35" s="91" t="n"/>
      <c r="H35" s="91" t="n"/>
      <c r="I35" s="91" t="n"/>
      <c r="J35" s="91" t="n"/>
      <c r="K35" s="91" t="n"/>
      <c r="L35" s="94" t="str">
        <f>IF(C35="",IF(COUNTA(B35:K35)&gt;0,"Informe o nome da unidade",""),IF(SUMPRODUCT(--($C$6:$C$105=C35))&gt;1,"Nome repetido: diferencie as unidades","OK"))</f>
        <v/>
      </c>
      <c r="M35" s="96">
        <f>IF(C35&lt;&gt;"",1,0)</f>
        <v>0</v>
      </c>
      <c r="N35" s="96" t="str">
        <f>IF(M35=1,COUNTIF($M$6:M35,1),"")</f>
        <v/>
      </c>
    </row>
    <row r="36">
      <c r="A36" s="89" t="inlineStr">
        <is>
          <t>UN-031</t>
        </is>
      </c>
      <c r="B36" s="91" t="n"/>
      <c r="C36" s="91" t="n"/>
      <c r="D36" s="90" t="n"/>
      <c r="E36" s="91" t="n"/>
      <c r="F36" s="91" t="n"/>
      <c r="G36" s="91" t="n"/>
      <c r="H36" s="91" t="n"/>
      <c r="I36" s="91" t="n"/>
      <c r="J36" s="91" t="n"/>
      <c r="K36" s="91" t="n"/>
      <c r="L36" s="94" t="str">
        <f>IF(C36="",IF(COUNTA(B36:K36)&gt;0,"Informe o nome da unidade",""),IF(SUMPRODUCT(--($C$6:$C$105=C36))&gt;1,"Nome repetido: diferencie as unidades","OK"))</f>
        <v/>
      </c>
      <c r="M36" s="96">
        <f>IF(C36&lt;&gt;"",1,0)</f>
        <v>0</v>
      </c>
      <c r="N36" s="96" t="str">
        <f>IF(M36=1,COUNTIF($M$6:M36,1),"")</f>
        <v/>
      </c>
    </row>
    <row r="37">
      <c r="A37" s="89" t="inlineStr">
        <is>
          <t>UN-032</t>
        </is>
      </c>
      <c r="B37" s="91" t="n"/>
      <c r="C37" s="91" t="n"/>
      <c r="D37" s="90" t="n"/>
      <c r="E37" s="91" t="n"/>
      <c r="F37" s="91" t="n"/>
      <c r="G37" s="91" t="n"/>
      <c r="H37" s="91" t="n"/>
      <c r="I37" s="91" t="n"/>
      <c r="J37" s="91" t="n"/>
      <c r="K37" s="91" t="n"/>
      <c r="L37" s="94" t="str">
        <f>IF(C37="",IF(COUNTA(B37:K37)&gt;0,"Informe o nome da unidade",""),IF(SUMPRODUCT(--($C$6:$C$105=C37))&gt;1,"Nome repetido: diferencie as unidades","OK"))</f>
        <v/>
      </c>
      <c r="M37" s="96">
        <f>IF(C37&lt;&gt;"",1,0)</f>
        <v>0</v>
      </c>
      <c r="N37" s="96" t="str">
        <f>IF(M37=1,COUNTIF($M$6:M37,1),"")</f>
        <v/>
      </c>
    </row>
    <row r="38">
      <c r="A38" s="89" t="inlineStr">
        <is>
          <t>UN-033</t>
        </is>
      </c>
      <c r="B38" s="91" t="n"/>
      <c r="C38" s="91" t="n"/>
      <c r="D38" s="90" t="n"/>
      <c r="E38" s="91" t="n"/>
      <c r="F38" s="91" t="n"/>
      <c r="G38" s="91" t="n"/>
      <c r="H38" s="91" t="n"/>
      <c r="I38" s="91" t="n"/>
      <c r="J38" s="91" t="n"/>
      <c r="K38" s="91" t="n"/>
      <c r="L38" s="94" t="str">
        <f>IF(C38="",IF(COUNTA(B38:K38)&gt;0,"Informe o nome da unidade",""),IF(SUMPRODUCT(--($C$6:$C$105=C38))&gt;1,"Nome repetido: diferencie as unidades","OK"))</f>
        <v/>
      </c>
      <c r="M38" s="96">
        <f>IF(C38&lt;&gt;"",1,0)</f>
        <v>0</v>
      </c>
      <c r="N38" s="96" t="str">
        <f>IF(M38=1,COUNTIF($M$6:M38,1),"")</f>
        <v/>
      </c>
    </row>
    <row r="39">
      <c r="A39" s="89" t="inlineStr">
        <is>
          <t>UN-034</t>
        </is>
      </c>
      <c r="B39" s="91" t="n"/>
      <c r="C39" s="91" t="n"/>
      <c r="D39" s="90" t="n"/>
      <c r="E39" s="91" t="n"/>
      <c r="F39" s="91" t="n"/>
      <c r="G39" s="91" t="n"/>
      <c r="H39" s="91" t="n"/>
      <c r="I39" s="91" t="n"/>
      <c r="J39" s="91" t="n"/>
      <c r="K39" s="91" t="n"/>
      <c r="L39" s="94" t="str">
        <f>IF(C39="",IF(COUNTA(B39:K39)&gt;0,"Informe o nome da unidade",""),IF(SUMPRODUCT(--($C$6:$C$105=C39))&gt;1,"Nome repetido: diferencie as unidades","OK"))</f>
        <v/>
      </c>
      <c r="M39" s="96">
        <f>IF(C39&lt;&gt;"",1,0)</f>
        <v>0</v>
      </c>
      <c r="N39" s="96" t="str">
        <f>IF(M39=1,COUNTIF($M$6:M39,1),"")</f>
        <v/>
      </c>
    </row>
    <row r="40">
      <c r="A40" s="89" t="inlineStr">
        <is>
          <t>UN-035</t>
        </is>
      </c>
      <c r="B40" s="91" t="n"/>
      <c r="C40" s="91" t="n"/>
      <c r="D40" s="90" t="n"/>
      <c r="E40" s="91" t="n"/>
      <c r="F40" s="91" t="n"/>
      <c r="G40" s="91" t="n"/>
      <c r="H40" s="91" t="n"/>
      <c r="I40" s="91" t="n"/>
      <c r="J40" s="91" t="n"/>
      <c r="K40" s="91" t="n"/>
      <c r="L40" s="94" t="str">
        <f>IF(C40="",IF(COUNTA(B40:K40)&gt;0,"Informe o nome da unidade",""),IF(SUMPRODUCT(--($C$6:$C$105=C40))&gt;1,"Nome repetido: diferencie as unidades","OK"))</f>
        <v/>
      </c>
      <c r="M40" s="96">
        <f>IF(C40&lt;&gt;"",1,0)</f>
        <v>0</v>
      </c>
      <c r="N40" s="96" t="str">
        <f>IF(M40=1,COUNTIF($M$6:M40,1),"")</f>
        <v/>
      </c>
    </row>
    <row r="41">
      <c r="A41" s="89" t="inlineStr">
        <is>
          <t>UN-036</t>
        </is>
      </c>
      <c r="B41" s="91" t="n"/>
      <c r="C41" s="91" t="n"/>
      <c r="D41" s="90" t="n"/>
      <c r="E41" s="91" t="n"/>
      <c r="F41" s="91" t="n"/>
      <c r="G41" s="91" t="n"/>
      <c r="H41" s="91" t="n"/>
      <c r="I41" s="91" t="n"/>
      <c r="J41" s="91" t="n"/>
      <c r="K41" s="91" t="n"/>
      <c r="L41" s="94" t="str">
        <f>IF(C41="",IF(COUNTA(B41:K41)&gt;0,"Informe o nome da unidade",""),IF(SUMPRODUCT(--($C$6:$C$105=C41))&gt;1,"Nome repetido: diferencie as unidades","OK"))</f>
        <v/>
      </c>
      <c r="M41" s="96">
        <f>IF(C41&lt;&gt;"",1,0)</f>
        <v>0</v>
      </c>
      <c r="N41" s="96" t="str">
        <f>IF(M41=1,COUNTIF($M$6:M41,1),"")</f>
        <v/>
      </c>
    </row>
    <row r="42">
      <c r="A42" s="89" t="inlineStr">
        <is>
          <t>UN-037</t>
        </is>
      </c>
      <c r="B42" s="91" t="n"/>
      <c r="C42" s="91" t="n"/>
      <c r="D42" s="90" t="n"/>
      <c r="E42" s="91" t="n"/>
      <c r="F42" s="91" t="n"/>
      <c r="G42" s="91" t="n"/>
      <c r="H42" s="91" t="n"/>
      <c r="I42" s="91" t="n"/>
      <c r="J42" s="91" t="n"/>
      <c r="K42" s="91" t="n"/>
      <c r="L42" s="94" t="str">
        <f>IF(C42="",IF(COUNTA(B42:K42)&gt;0,"Informe o nome da unidade",""),IF(SUMPRODUCT(--($C$6:$C$105=C42))&gt;1,"Nome repetido: diferencie as unidades","OK"))</f>
        <v/>
      </c>
      <c r="M42" s="96">
        <f>IF(C42&lt;&gt;"",1,0)</f>
        <v>0</v>
      </c>
      <c r="N42" s="96" t="str">
        <f>IF(M42=1,COUNTIF($M$6:M42,1),"")</f>
        <v/>
      </c>
    </row>
    <row r="43">
      <c r="A43" s="89" t="inlineStr">
        <is>
          <t>UN-038</t>
        </is>
      </c>
      <c r="B43" s="91" t="n"/>
      <c r="C43" s="91" t="n"/>
      <c r="D43" s="90" t="n"/>
      <c r="E43" s="91" t="n"/>
      <c r="F43" s="91" t="n"/>
      <c r="G43" s="91" t="n"/>
      <c r="H43" s="91" t="n"/>
      <c r="I43" s="91" t="n"/>
      <c r="J43" s="91" t="n"/>
      <c r="K43" s="91" t="n"/>
      <c r="L43" s="94" t="str">
        <f>IF(C43="",IF(COUNTA(B43:K43)&gt;0,"Informe o nome da unidade",""),IF(SUMPRODUCT(--($C$6:$C$105=C43))&gt;1,"Nome repetido: diferencie as unidades","OK"))</f>
        <v/>
      </c>
      <c r="M43" s="96">
        <f>IF(C43&lt;&gt;"",1,0)</f>
        <v>0</v>
      </c>
      <c r="N43" s="96" t="str">
        <f>IF(M43=1,COUNTIF($M$6:M43,1),"")</f>
        <v/>
      </c>
    </row>
    <row r="44">
      <c r="A44" s="89" t="inlineStr">
        <is>
          <t>UN-039</t>
        </is>
      </c>
      <c r="B44" s="91" t="n"/>
      <c r="C44" s="91" t="n"/>
      <c r="D44" s="90" t="n"/>
      <c r="E44" s="91" t="n"/>
      <c r="F44" s="91" t="n"/>
      <c r="G44" s="91" t="n"/>
      <c r="H44" s="91" t="n"/>
      <c r="I44" s="91" t="n"/>
      <c r="J44" s="91" t="n"/>
      <c r="K44" s="91" t="n"/>
      <c r="L44" s="94" t="str">
        <f>IF(C44="",IF(COUNTA(B44:K44)&gt;0,"Informe o nome da unidade",""),IF(SUMPRODUCT(--($C$6:$C$105=C44))&gt;1,"Nome repetido: diferencie as unidades","OK"))</f>
        <v/>
      </c>
      <c r="M44" s="96">
        <f>IF(C44&lt;&gt;"",1,0)</f>
        <v>0</v>
      </c>
      <c r="N44" s="96" t="str">
        <f>IF(M44=1,COUNTIF($M$6:M44,1),"")</f>
        <v/>
      </c>
    </row>
    <row r="45">
      <c r="A45" s="89" t="inlineStr">
        <is>
          <t>UN-040</t>
        </is>
      </c>
      <c r="B45" s="91" t="n"/>
      <c r="C45" s="91" t="n"/>
      <c r="D45" s="90" t="n"/>
      <c r="E45" s="91" t="n"/>
      <c r="F45" s="91" t="n"/>
      <c r="G45" s="91" t="n"/>
      <c r="H45" s="91" t="n"/>
      <c r="I45" s="91" t="n"/>
      <c r="J45" s="91" t="n"/>
      <c r="K45" s="91" t="n"/>
      <c r="L45" s="94" t="str">
        <f>IF(C45="",IF(COUNTA(B45:K45)&gt;0,"Informe o nome da unidade",""),IF(SUMPRODUCT(--($C$6:$C$105=C45))&gt;1,"Nome repetido: diferencie as unidades","OK"))</f>
        <v/>
      </c>
      <c r="M45" s="96">
        <f>IF(C45&lt;&gt;"",1,0)</f>
        <v>0</v>
      </c>
      <c r="N45" s="96" t="str">
        <f>IF(M45=1,COUNTIF($M$6:M45,1),"")</f>
        <v/>
      </c>
    </row>
    <row r="46">
      <c r="A46" s="89" t="inlineStr">
        <is>
          <t>UN-041</t>
        </is>
      </c>
      <c r="B46" s="91" t="n"/>
      <c r="C46" s="91" t="n"/>
      <c r="D46" s="90" t="n"/>
      <c r="E46" s="91" t="n"/>
      <c r="F46" s="91" t="n"/>
      <c r="G46" s="91" t="n"/>
      <c r="H46" s="91" t="n"/>
      <c r="I46" s="91" t="n"/>
      <c r="J46" s="91" t="n"/>
      <c r="K46" s="91" t="n"/>
      <c r="L46" s="94" t="str">
        <f>IF(C46="",IF(COUNTA(B46:K46)&gt;0,"Informe o nome da unidade",""),IF(SUMPRODUCT(--($C$6:$C$105=C46))&gt;1,"Nome repetido: diferencie as unidades","OK"))</f>
        <v/>
      </c>
      <c r="M46" s="96">
        <f>IF(C46&lt;&gt;"",1,0)</f>
        <v>0</v>
      </c>
      <c r="N46" s="96" t="str">
        <f>IF(M46=1,COUNTIF($M$6:M46,1),"")</f>
        <v/>
      </c>
    </row>
    <row r="47">
      <c r="A47" s="89" t="inlineStr">
        <is>
          <t>UN-042</t>
        </is>
      </c>
      <c r="B47" s="91" t="n"/>
      <c r="C47" s="91" t="n"/>
      <c r="D47" s="90" t="n"/>
      <c r="E47" s="91" t="n"/>
      <c r="F47" s="91" t="n"/>
      <c r="G47" s="91" t="n"/>
      <c r="H47" s="91" t="n"/>
      <c r="I47" s="91" t="n"/>
      <c r="J47" s="91" t="n"/>
      <c r="K47" s="91" t="n"/>
      <c r="L47" s="94" t="str">
        <f>IF(C47="",IF(COUNTA(B47:K47)&gt;0,"Informe o nome da unidade",""),IF(SUMPRODUCT(--($C$6:$C$105=C47))&gt;1,"Nome repetido: diferencie as unidades","OK"))</f>
        <v/>
      </c>
      <c r="M47" s="96">
        <f>IF(C47&lt;&gt;"",1,0)</f>
        <v>0</v>
      </c>
      <c r="N47" s="96" t="str">
        <f>IF(M47=1,COUNTIF($M$6:M47,1),"")</f>
        <v/>
      </c>
    </row>
    <row r="48">
      <c r="A48" s="89" t="inlineStr">
        <is>
          <t>UN-043</t>
        </is>
      </c>
      <c r="B48" s="91" t="n"/>
      <c r="C48" s="91" t="n"/>
      <c r="D48" s="90" t="n"/>
      <c r="E48" s="91" t="n"/>
      <c r="F48" s="91" t="n"/>
      <c r="G48" s="91" t="n"/>
      <c r="H48" s="91" t="n"/>
      <c r="I48" s="91" t="n"/>
      <c r="J48" s="91" t="n"/>
      <c r="K48" s="91" t="n"/>
      <c r="L48" s="94" t="str">
        <f>IF(C48="",IF(COUNTA(B48:K48)&gt;0,"Informe o nome da unidade",""),IF(SUMPRODUCT(--($C$6:$C$105=C48))&gt;1,"Nome repetido: diferencie as unidades","OK"))</f>
        <v/>
      </c>
      <c r="M48" s="96">
        <f>IF(C48&lt;&gt;"",1,0)</f>
        <v>0</v>
      </c>
      <c r="N48" s="96" t="str">
        <f>IF(M48=1,COUNTIF($M$6:M48,1),"")</f>
        <v/>
      </c>
    </row>
    <row r="49">
      <c r="A49" s="89" t="inlineStr">
        <is>
          <t>UN-044</t>
        </is>
      </c>
      <c r="B49" s="91" t="n"/>
      <c r="C49" s="91" t="n"/>
      <c r="D49" s="90" t="n"/>
      <c r="E49" s="91" t="n"/>
      <c r="F49" s="91" t="n"/>
      <c r="G49" s="91" t="n"/>
      <c r="H49" s="91" t="n"/>
      <c r="I49" s="91" t="n"/>
      <c r="J49" s="91" t="n"/>
      <c r="K49" s="91" t="n"/>
      <c r="L49" s="94" t="str">
        <f>IF(C49="",IF(COUNTA(B49:K49)&gt;0,"Informe o nome da unidade",""),IF(SUMPRODUCT(--($C$6:$C$105=C49))&gt;1,"Nome repetido: diferencie as unidades","OK"))</f>
        <v/>
      </c>
      <c r="M49" s="96">
        <f>IF(C49&lt;&gt;"",1,0)</f>
        <v>0</v>
      </c>
      <c r="N49" s="96" t="str">
        <f>IF(M49=1,COUNTIF($M$6:M49,1),"")</f>
        <v/>
      </c>
    </row>
    <row r="50">
      <c r="A50" s="89" t="inlineStr">
        <is>
          <t>UN-045</t>
        </is>
      </c>
      <c r="B50" s="91" t="n"/>
      <c r="C50" s="91" t="n"/>
      <c r="D50" s="90" t="n"/>
      <c r="E50" s="91" t="n"/>
      <c r="F50" s="91" t="n"/>
      <c r="G50" s="91" t="n"/>
      <c r="H50" s="91" t="n"/>
      <c r="I50" s="91" t="n"/>
      <c r="J50" s="91" t="n"/>
      <c r="K50" s="91" t="n"/>
      <c r="L50" s="94" t="str">
        <f>IF(C50="",IF(COUNTA(B50:K50)&gt;0,"Informe o nome da unidade",""),IF(SUMPRODUCT(--($C$6:$C$105=C50))&gt;1,"Nome repetido: diferencie as unidades","OK"))</f>
        <v/>
      </c>
      <c r="M50" s="96">
        <f>IF(C50&lt;&gt;"",1,0)</f>
        <v>0</v>
      </c>
      <c r="N50" s="96" t="str">
        <f>IF(M50=1,COUNTIF($M$6:M50,1),"")</f>
        <v/>
      </c>
    </row>
    <row r="51">
      <c r="A51" s="89" t="inlineStr">
        <is>
          <t>UN-046</t>
        </is>
      </c>
      <c r="B51" s="91" t="n"/>
      <c r="C51" s="91" t="n"/>
      <c r="D51" s="90" t="n"/>
      <c r="E51" s="91" t="n"/>
      <c r="F51" s="91" t="n"/>
      <c r="G51" s="91" t="n"/>
      <c r="H51" s="91" t="n"/>
      <c r="I51" s="91" t="n"/>
      <c r="J51" s="91" t="n"/>
      <c r="K51" s="91" t="n"/>
      <c r="L51" s="94" t="str">
        <f>IF(C51="",IF(COUNTA(B51:K51)&gt;0,"Informe o nome da unidade",""),IF(SUMPRODUCT(--($C$6:$C$105=C51))&gt;1,"Nome repetido: diferencie as unidades","OK"))</f>
        <v/>
      </c>
      <c r="M51" s="96">
        <f>IF(C51&lt;&gt;"",1,0)</f>
        <v>0</v>
      </c>
      <c r="N51" s="96" t="str">
        <f>IF(M51=1,COUNTIF($M$6:M51,1),"")</f>
        <v/>
      </c>
    </row>
    <row r="52">
      <c r="A52" s="89" t="inlineStr">
        <is>
          <t>UN-047</t>
        </is>
      </c>
      <c r="B52" s="91" t="n"/>
      <c r="C52" s="91" t="n"/>
      <c r="D52" s="90" t="n"/>
      <c r="E52" s="91" t="n"/>
      <c r="F52" s="91" t="n"/>
      <c r="G52" s="91" t="n"/>
      <c r="H52" s="91" t="n"/>
      <c r="I52" s="91" t="n"/>
      <c r="J52" s="91" t="n"/>
      <c r="K52" s="91" t="n"/>
      <c r="L52" s="94" t="str">
        <f>IF(C52="",IF(COUNTA(B52:K52)&gt;0,"Informe o nome da unidade",""),IF(SUMPRODUCT(--($C$6:$C$105=C52))&gt;1,"Nome repetido: diferencie as unidades","OK"))</f>
        <v/>
      </c>
      <c r="M52" s="96">
        <f>IF(C52&lt;&gt;"",1,0)</f>
        <v>0</v>
      </c>
      <c r="N52" s="96" t="str">
        <f>IF(M52=1,COUNTIF($M$6:M52,1),"")</f>
        <v/>
      </c>
    </row>
    <row r="53">
      <c r="A53" s="89" t="inlineStr">
        <is>
          <t>UN-048</t>
        </is>
      </c>
      <c r="B53" s="91" t="n"/>
      <c r="C53" s="91" t="n"/>
      <c r="D53" s="90" t="n"/>
      <c r="E53" s="91" t="n"/>
      <c r="F53" s="91" t="n"/>
      <c r="G53" s="91" t="n"/>
      <c r="H53" s="91" t="n"/>
      <c r="I53" s="91" t="n"/>
      <c r="J53" s="91" t="n"/>
      <c r="K53" s="91" t="n"/>
      <c r="L53" s="94" t="str">
        <f>IF(C53="",IF(COUNTA(B53:K53)&gt;0,"Informe o nome da unidade",""),IF(SUMPRODUCT(--($C$6:$C$105=C53))&gt;1,"Nome repetido: diferencie as unidades","OK"))</f>
        <v/>
      </c>
      <c r="M53" s="96">
        <f>IF(C53&lt;&gt;"",1,0)</f>
        <v>0</v>
      </c>
      <c r="N53" s="96" t="str">
        <f>IF(M53=1,COUNTIF($M$6:M53,1),"")</f>
        <v/>
      </c>
    </row>
    <row r="54">
      <c r="A54" s="89" t="inlineStr">
        <is>
          <t>UN-049</t>
        </is>
      </c>
      <c r="B54" s="91" t="n"/>
      <c r="C54" s="91" t="n"/>
      <c r="D54" s="90" t="n"/>
      <c r="E54" s="91" t="n"/>
      <c r="F54" s="91" t="n"/>
      <c r="G54" s="91" t="n"/>
      <c r="H54" s="91" t="n"/>
      <c r="I54" s="91" t="n"/>
      <c r="J54" s="91" t="n"/>
      <c r="K54" s="91" t="n"/>
      <c r="L54" s="94" t="str">
        <f>IF(C54="",IF(COUNTA(B54:K54)&gt;0,"Informe o nome da unidade",""),IF(SUMPRODUCT(--($C$6:$C$105=C54))&gt;1,"Nome repetido: diferencie as unidades","OK"))</f>
        <v/>
      </c>
      <c r="M54" s="96">
        <f>IF(C54&lt;&gt;"",1,0)</f>
        <v>0</v>
      </c>
      <c r="N54" s="96" t="str">
        <f>IF(M54=1,COUNTIF($M$6:M54,1),"")</f>
        <v/>
      </c>
    </row>
    <row r="55">
      <c r="A55" s="89" t="inlineStr">
        <is>
          <t>UN-050</t>
        </is>
      </c>
      <c r="B55" s="91" t="n"/>
      <c r="C55" s="91" t="n"/>
      <c r="D55" s="90" t="n"/>
      <c r="E55" s="91" t="n"/>
      <c r="F55" s="91" t="n"/>
      <c r="G55" s="91" t="n"/>
      <c r="H55" s="91" t="n"/>
      <c r="I55" s="91" t="n"/>
      <c r="J55" s="91" t="n"/>
      <c r="K55" s="91" t="n"/>
      <c r="L55" s="94" t="str">
        <f>IF(C55="",IF(COUNTA(B55:K55)&gt;0,"Informe o nome da unidade",""),IF(SUMPRODUCT(--($C$6:$C$105=C55))&gt;1,"Nome repetido: diferencie as unidades","OK"))</f>
        <v/>
      </c>
      <c r="M55" s="96">
        <f>IF(C55&lt;&gt;"",1,0)</f>
        <v>0</v>
      </c>
      <c r="N55" s="96" t="str">
        <f>IF(M55=1,COUNTIF($M$6:M55,1),"")</f>
        <v/>
      </c>
    </row>
    <row r="56">
      <c r="A56" s="89" t="inlineStr">
        <is>
          <t>UN-051</t>
        </is>
      </c>
      <c r="B56" s="91" t="n"/>
      <c r="C56" s="91" t="n"/>
      <c r="D56" s="90" t="n"/>
      <c r="E56" s="91" t="n"/>
      <c r="F56" s="91" t="n"/>
      <c r="G56" s="91" t="n"/>
      <c r="H56" s="91" t="n"/>
      <c r="I56" s="91" t="n"/>
      <c r="J56" s="91" t="n"/>
      <c r="K56" s="91" t="n"/>
      <c r="L56" s="94" t="str">
        <f>IF(C56="",IF(COUNTA(B56:K56)&gt;0,"Informe o nome da unidade",""),IF(SUMPRODUCT(--($C$6:$C$105=C56))&gt;1,"Nome repetido: diferencie as unidades","OK"))</f>
        <v/>
      </c>
      <c r="M56" s="96">
        <f>IF(C56&lt;&gt;"",1,0)</f>
        <v>0</v>
      </c>
      <c r="N56" s="96" t="str">
        <f>IF(M56=1,COUNTIF($M$6:M56,1),"")</f>
        <v/>
      </c>
    </row>
    <row r="57">
      <c r="A57" s="89" t="inlineStr">
        <is>
          <t>UN-052</t>
        </is>
      </c>
      <c r="B57" s="91" t="n"/>
      <c r="C57" s="91" t="n"/>
      <c r="D57" s="90" t="n"/>
      <c r="E57" s="91" t="n"/>
      <c r="F57" s="91" t="n"/>
      <c r="G57" s="91" t="n"/>
      <c r="H57" s="91" t="n"/>
      <c r="I57" s="91" t="n"/>
      <c r="J57" s="91" t="n"/>
      <c r="K57" s="91" t="n"/>
      <c r="L57" s="94" t="str">
        <f>IF(C57="",IF(COUNTA(B57:K57)&gt;0,"Informe o nome da unidade",""),IF(SUMPRODUCT(--($C$6:$C$105=C57))&gt;1,"Nome repetido: diferencie as unidades","OK"))</f>
        <v/>
      </c>
      <c r="M57" s="96">
        <f>IF(C57&lt;&gt;"",1,0)</f>
        <v>0</v>
      </c>
      <c r="N57" s="96" t="str">
        <f>IF(M57=1,COUNTIF($M$6:M57,1),"")</f>
        <v/>
      </c>
    </row>
    <row r="58">
      <c r="A58" s="89" t="inlineStr">
        <is>
          <t>UN-053</t>
        </is>
      </c>
      <c r="B58" s="91" t="n"/>
      <c r="C58" s="91" t="n"/>
      <c r="D58" s="90" t="n"/>
      <c r="E58" s="91" t="n"/>
      <c r="F58" s="91" t="n"/>
      <c r="G58" s="91" t="n"/>
      <c r="H58" s="91" t="n"/>
      <c r="I58" s="91" t="n"/>
      <c r="J58" s="91" t="n"/>
      <c r="K58" s="91" t="n"/>
      <c r="L58" s="94" t="str">
        <f>IF(C58="",IF(COUNTA(B58:K58)&gt;0,"Informe o nome da unidade",""),IF(SUMPRODUCT(--($C$6:$C$105=C58))&gt;1,"Nome repetido: diferencie as unidades","OK"))</f>
        <v/>
      </c>
      <c r="M58" s="96">
        <f>IF(C58&lt;&gt;"",1,0)</f>
        <v>0</v>
      </c>
      <c r="N58" s="96" t="str">
        <f>IF(M58=1,COUNTIF($M$6:M58,1),"")</f>
        <v/>
      </c>
    </row>
    <row r="59">
      <c r="A59" s="89" t="inlineStr">
        <is>
          <t>UN-054</t>
        </is>
      </c>
      <c r="B59" s="91" t="n"/>
      <c r="C59" s="91" t="n"/>
      <c r="D59" s="90" t="n"/>
      <c r="E59" s="91" t="n"/>
      <c r="F59" s="91" t="n"/>
      <c r="G59" s="91" t="n"/>
      <c r="H59" s="91" t="n"/>
      <c r="I59" s="91" t="n"/>
      <c r="J59" s="91" t="n"/>
      <c r="K59" s="91" t="n"/>
      <c r="L59" s="94" t="str">
        <f>IF(C59="",IF(COUNTA(B59:K59)&gt;0,"Informe o nome da unidade",""),IF(SUMPRODUCT(--($C$6:$C$105=C59))&gt;1,"Nome repetido: diferencie as unidades","OK"))</f>
        <v/>
      </c>
      <c r="M59" s="96">
        <f>IF(C59&lt;&gt;"",1,0)</f>
        <v>0</v>
      </c>
      <c r="N59" s="96" t="str">
        <f>IF(M59=1,COUNTIF($M$6:M59,1),"")</f>
        <v/>
      </c>
    </row>
    <row r="60">
      <c r="A60" s="89" t="inlineStr">
        <is>
          <t>UN-055</t>
        </is>
      </c>
      <c r="B60" s="91" t="n"/>
      <c r="C60" s="91" t="n"/>
      <c r="D60" s="90" t="n"/>
      <c r="E60" s="91" t="n"/>
      <c r="F60" s="91" t="n"/>
      <c r="G60" s="91" t="n"/>
      <c r="H60" s="91" t="n"/>
      <c r="I60" s="91" t="n"/>
      <c r="J60" s="91" t="n"/>
      <c r="K60" s="91" t="n"/>
      <c r="L60" s="94" t="str">
        <f>IF(C60="",IF(COUNTA(B60:K60)&gt;0,"Informe o nome da unidade",""),IF(SUMPRODUCT(--($C$6:$C$105=C60))&gt;1,"Nome repetido: diferencie as unidades","OK"))</f>
        <v/>
      </c>
      <c r="M60" s="96">
        <f>IF(C60&lt;&gt;"",1,0)</f>
        <v>0</v>
      </c>
      <c r="N60" s="96" t="str">
        <f>IF(M60=1,COUNTIF($M$6:M60,1),"")</f>
        <v/>
      </c>
    </row>
    <row r="61">
      <c r="A61" s="89" t="inlineStr">
        <is>
          <t>UN-056</t>
        </is>
      </c>
      <c r="B61" s="91" t="n"/>
      <c r="C61" s="91" t="n"/>
      <c r="D61" s="90" t="n"/>
      <c r="E61" s="91" t="n"/>
      <c r="F61" s="91" t="n"/>
      <c r="G61" s="91" t="n"/>
      <c r="H61" s="91" t="n"/>
      <c r="I61" s="91" t="n"/>
      <c r="J61" s="91" t="n"/>
      <c r="K61" s="91" t="n"/>
      <c r="L61" s="94" t="str">
        <f>IF(C61="",IF(COUNTA(B61:K61)&gt;0,"Informe o nome da unidade",""),IF(SUMPRODUCT(--($C$6:$C$105=C61))&gt;1,"Nome repetido: diferencie as unidades","OK"))</f>
        <v/>
      </c>
      <c r="M61" s="96">
        <f>IF(C61&lt;&gt;"",1,0)</f>
        <v>0</v>
      </c>
      <c r="N61" s="96" t="str">
        <f>IF(M61=1,COUNTIF($M$6:M61,1),"")</f>
        <v/>
      </c>
    </row>
    <row r="62">
      <c r="A62" s="89" t="inlineStr">
        <is>
          <t>UN-057</t>
        </is>
      </c>
      <c r="B62" s="91" t="n"/>
      <c r="C62" s="91" t="n"/>
      <c r="D62" s="90" t="n"/>
      <c r="E62" s="91" t="n"/>
      <c r="F62" s="91" t="n"/>
      <c r="G62" s="91" t="n"/>
      <c r="H62" s="91" t="n"/>
      <c r="I62" s="91" t="n"/>
      <c r="J62" s="91" t="n"/>
      <c r="K62" s="91" t="n"/>
      <c r="L62" s="94" t="str">
        <f>IF(C62="",IF(COUNTA(B62:K62)&gt;0,"Informe o nome da unidade",""),IF(SUMPRODUCT(--($C$6:$C$105=C62))&gt;1,"Nome repetido: diferencie as unidades","OK"))</f>
        <v/>
      </c>
      <c r="M62" s="96">
        <f>IF(C62&lt;&gt;"",1,0)</f>
        <v>0</v>
      </c>
      <c r="N62" s="96" t="str">
        <f>IF(M62=1,COUNTIF($M$6:M62,1),"")</f>
        <v/>
      </c>
    </row>
    <row r="63">
      <c r="A63" s="89" t="inlineStr">
        <is>
          <t>UN-058</t>
        </is>
      </c>
      <c r="B63" s="91" t="n"/>
      <c r="C63" s="91" t="n"/>
      <c r="D63" s="90" t="n"/>
      <c r="E63" s="91" t="n"/>
      <c r="F63" s="91" t="n"/>
      <c r="G63" s="91" t="n"/>
      <c r="H63" s="91" t="n"/>
      <c r="I63" s="91" t="n"/>
      <c r="J63" s="91" t="n"/>
      <c r="K63" s="91" t="n"/>
      <c r="L63" s="94" t="str">
        <f>IF(C63="",IF(COUNTA(B63:K63)&gt;0,"Informe o nome da unidade",""),IF(SUMPRODUCT(--($C$6:$C$105=C63))&gt;1,"Nome repetido: diferencie as unidades","OK"))</f>
        <v/>
      </c>
      <c r="M63" s="96">
        <f>IF(C63&lt;&gt;"",1,0)</f>
        <v>0</v>
      </c>
      <c r="N63" s="96" t="str">
        <f>IF(M63=1,COUNTIF($M$6:M63,1),"")</f>
        <v/>
      </c>
    </row>
    <row r="64">
      <c r="A64" s="89" t="inlineStr">
        <is>
          <t>UN-059</t>
        </is>
      </c>
      <c r="B64" s="91" t="n"/>
      <c r="C64" s="91" t="n"/>
      <c r="D64" s="90" t="n"/>
      <c r="E64" s="91" t="n"/>
      <c r="F64" s="91" t="n"/>
      <c r="G64" s="91" t="n"/>
      <c r="H64" s="91" t="n"/>
      <c r="I64" s="91" t="n"/>
      <c r="J64" s="91" t="n"/>
      <c r="K64" s="91" t="n"/>
      <c r="L64" s="94" t="str">
        <f>IF(C64="",IF(COUNTA(B64:K64)&gt;0,"Informe o nome da unidade",""),IF(SUMPRODUCT(--($C$6:$C$105=C64))&gt;1,"Nome repetido: diferencie as unidades","OK"))</f>
        <v/>
      </c>
      <c r="M64" s="96">
        <f>IF(C64&lt;&gt;"",1,0)</f>
        <v>0</v>
      </c>
      <c r="N64" s="96" t="str">
        <f>IF(M64=1,COUNTIF($M$6:M64,1),"")</f>
        <v/>
      </c>
    </row>
    <row r="65">
      <c r="A65" s="89" t="inlineStr">
        <is>
          <t>UN-060</t>
        </is>
      </c>
      <c r="B65" s="91" t="n"/>
      <c r="C65" s="91" t="n"/>
      <c r="D65" s="90" t="n"/>
      <c r="E65" s="91" t="n"/>
      <c r="F65" s="91" t="n"/>
      <c r="G65" s="91" t="n"/>
      <c r="H65" s="91" t="n"/>
      <c r="I65" s="91" t="n"/>
      <c r="J65" s="91" t="n"/>
      <c r="K65" s="91" t="n"/>
      <c r="L65" s="94" t="str">
        <f>IF(C65="",IF(COUNTA(B65:K65)&gt;0,"Informe o nome da unidade",""),IF(SUMPRODUCT(--($C$6:$C$105=C65))&gt;1,"Nome repetido: diferencie as unidades","OK"))</f>
        <v/>
      </c>
      <c r="M65" s="96">
        <f>IF(C65&lt;&gt;"",1,0)</f>
        <v>0</v>
      </c>
      <c r="N65" s="96" t="str">
        <f>IF(M65=1,COUNTIF($M$6:M65,1),"")</f>
        <v/>
      </c>
    </row>
    <row r="66">
      <c r="A66" s="89" t="inlineStr">
        <is>
          <t>UN-061</t>
        </is>
      </c>
      <c r="B66" s="91" t="n"/>
      <c r="C66" s="91" t="n"/>
      <c r="D66" s="90" t="n"/>
      <c r="E66" s="91" t="n"/>
      <c r="F66" s="91" t="n"/>
      <c r="G66" s="91" t="n"/>
      <c r="H66" s="91" t="n"/>
      <c r="I66" s="91" t="n"/>
      <c r="J66" s="91" t="n"/>
      <c r="K66" s="91" t="n"/>
      <c r="L66" s="94" t="str">
        <f>IF(C66="",IF(COUNTA(B66:K66)&gt;0,"Informe o nome da unidade",""),IF(SUMPRODUCT(--($C$6:$C$105=C66))&gt;1,"Nome repetido: diferencie as unidades","OK"))</f>
        <v/>
      </c>
      <c r="M66" s="96">
        <f>IF(C66&lt;&gt;"",1,0)</f>
        <v>0</v>
      </c>
      <c r="N66" s="96" t="str">
        <f>IF(M66=1,COUNTIF($M$6:M66,1),"")</f>
        <v/>
      </c>
    </row>
    <row r="67">
      <c r="A67" s="89" t="inlineStr">
        <is>
          <t>UN-062</t>
        </is>
      </c>
      <c r="B67" s="91" t="n"/>
      <c r="C67" s="91" t="n"/>
      <c r="D67" s="90" t="n"/>
      <c r="E67" s="91" t="n"/>
      <c r="F67" s="91" t="n"/>
      <c r="G67" s="91" t="n"/>
      <c r="H67" s="91" t="n"/>
      <c r="I67" s="91" t="n"/>
      <c r="J67" s="91" t="n"/>
      <c r="K67" s="91" t="n"/>
      <c r="L67" s="94" t="str">
        <f>IF(C67="",IF(COUNTA(B67:K67)&gt;0,"Informe o nome da unidade",""),IF(SUMPRODUCT(--($C$6:$C$105=C67))&gt;1,"Nome repetido: diferencie as unidades","OK"))</f>
        <v/>
      </c>
      <c r="M67" s="96">
        <f>IF(C67&lt;&gt;"",1,0)</f>
        <v>0</v>
      </c>
      <c r="N67" s="96" t="str">
        <f>IF(M67=1,COUNTIF($M$6:M67,1),"")</f>
        <v/>
      </c>
    </row>
    <row r="68">
      <c r="A68" s="89" t="inlineStr">
        <is>
          <t>UN-063</t>
        </is>
      </c>
      <c r="B68" s="91" t="n"/>
      <c r="C68" s="91" t="n"/>
      <c r="D68" s="90" t="n"/>
      <c r="E68" s="91" t="n"/>
      <c r="F68" s="91" t="n"/>
      <c r="G68" s="91" t="n"/>
      <c r="H68" s="91" t="n"/>
      <c r="I68" s="91" t="n"/>
      <c r="J68" s="91" t="n"/>
      <c r="K68" s="91" t="n"/>
      <c r="L68" s="94" t="str">
        <f>IF(C68="",IF(COUNTA(B68:K68)&gt;0,"Informe o nome da unidade",""),IF(SUMPRODUCT(--($C$6:$C$105=C68))&gt;1,"Nome repetido: diferencie as unidades","OK"))</f>
        <v/>
      </c>
      <c r="M68" s="96">
        <f>IF(C68&lt;&gt;"",1,0)</f>
        <v>0</v>
      </c>
      <c r="N68" s="96" t="str">
        <f>IF(M68=1,COUNTIF($M$6:M68,1),"")</f>
        <v/>
      </c>
    </row>
    <row r="69">
      <c r="A69" s="89" t="inlineStr">
        <is>
          <t>UN-064</t>
        </is>
      </c>
      <c r="B69" s="91" t="n"/>
      <c r="C69" s="91" t="n"/>
      <c r="D69" s="90" t="n"/>
      <c r="E69" s="91" t="n"/>
      <c r="F69" s="91" t="n"/>
      <c r="G69" s="91" t="n"/>
      <c r="H69" s="91" t="n"/>
      <c r="I69" s="91" t="n"/>
      <c r="J69" s="91" t="n"/>
      <c r="K69" s="91" t="n"/>
      <c r="L69" s="94" t="str">
        <f>IF(C69="",IF(COUNTA(B69:K69)&gt;0,"Informe o nome da unidade",""),IF(SUMPRODUCT(--($C$6:$C$105=C69))&gt;1,"Nome repetido: diferencie as unidades","OK"))</f>
        <v/>
      </c>
      <c r="M69" s="96">
        <f>IF(C69&lt;&gt;"",1,0)</f>
        <v>0</v>
      </c>
      <c r="N69" s="96" t="str">
        <f>IF(M69=1,COUNTIF($M$6:M69,1),"")</f>
        <v/>
      </c>
    </row>
    <row r="70">
      <c r="A70" s="89" t="inlineStr">
        <is>
          <t>UN-065</t>
        </is>
      </c>
      <c r="B70" s="91" t="n"/>
      <c r="C70" s="91" t="n"/>
      <c r="D70" s="90" t="n"/>
      <c r="E70" s="91" t="n"/>
      <c r="F70" s="91" t="n"/>
      <c r="G70" s="91" t="n"/>
      <c r="H70" s="91" t="n"/>
      <c r="I70" s="91" t="n"/>
      <c r="J70" s="91" t="n"/>
      <c r="K70" s="91" t="n"/>
      <c r="L70" s="94" t="str">
        <f>IF(C70="",IF(COUNTA(B70:K70)&gt;0,"Informe o nome da unidade",""),IF(SUMPRODUCT(--($C$6:$C$105=C70))&gt;1,"Nome repetido: diferencie as unidades","OK"))</f>
        <v/>
      </c>
      <c r="M70" s="96">
        <f>IF(C70&lt;&gt;"",1,0)</f>
        <v>0</v>
      </c>
      <c r="N70" s="96" t="str">
        <f>IF(M70=1,COUNTIF($M$6:M70,1),"")</f>
        <v/>
      </c>
    </row>
    <row r="71">
      <c r="A71" s="89" t="inlineStr">
        <is>
          <t>UN-066</t>
        </is>
      </c>
      <c r="B71" s="91" t="n"/>
      <c r="C71" s="91" t="n"/>
      <c r="D71" s="90" t="n"/>
      <c r="E71" s="91" t="n"/>
      <c r="F71" s="91" t="n"/>
      <c r="G71" s="91" t="n"/>
      <c r="H71" s="91" t="n"/>
      <c r="I71" s="91" t="n"/>
      <c r="J71" s="91" t="n"/>
      <c r="K71" s="91" t="n"/>
      <c r="L71" s="94" t="str">
        <f>IF(C71="",IF(COUNTA(B71:K71)&gt;0,"Informe o nome da unidade",""),IF(SUMPRODUCT(--($C$6:$C$105=C71))&gt;1,"Nome repetido: diferencie as unidades","OK"))</f>
        <v/>
      </c>
      <c r="M71" s="96">
        <f>IF(C71&lt;&gt;"",1,0)</f>
        <v>0</v>
      </c>
      <c r="N71" s="96" t="str">
        <f>IF(M71=1,COUNTIF($M$6:M71,1),"")</f>
        <v/>
      </c>
    </row>
    <row r="72">
      <c r="A72" s="89" t="inlineStr">
        <is>
          <t>UN-067</t>
        </is>
      </c>
      <c r="B72" s="91" t="n"/>
      <c r="C72" s="91" t="n"/>
      <c r="D72" s="90" t="n"/>
      <c r="E72" s="91" t="n"/>
      <c r="F72" s="91" t="n"/>
      <c r="G72" s="91" t="n"/>
      <c r="H72" s="91" t="n"/>
      <c r="I72" s="91" t="n"/>
      <c r="J72" s="91" t="n"/>
      <c r="K72" s="91" t="n"/>
      <c r="L72" s="94" t="str">
        <f>IF(C72="",IF(COUNTA(B72:K72)&gt;0,"Informe o nome da unidade",""),IF(SUMPRODUCT(--($C$6:$C$105=C72))&gt;1,"Nome repetido: diferencie as unidades","OK"))</f>
        <v/>
      </c>
      <c r="M72" s="96">
        <f>IF(C72&lt;&gt;"",1,0)</f>
        <v>0</v>
      </c>
      <c r="N72" s="96" t="str">
        <f>IF(M72=1,COUNTIF($M$6:M72,1),"")</f>
        <v/>
      </c>
    </row>
    <row r="73">
      <c r="A73" s="89" t="inlineStr">
        <is>
          <t>UN-068</t>
        </is>
      </c>
      <c r="B73" s="91" t="n"/>
      <c r="C73" s="91" t="n"/>
      <c r="D73" s="90" t="n"/>
      <c r="E73" s="91" t="n"/>
      <c r="F73" s="91" t="n"/>
      <c r="G73" s="91" t="n"/>
      <c r="H73" s="91" t="n"/>
      <c r="I73" s="91" t="n"/>
      <c r="J73" s="91" t="n"/>
      <c r="K73" s="91" t="n"/>
      <c r="L73" s="94" t="str">
        <f>IF(C73="",IF(COUNTA(B73:K73)&gt;0,"Informe o nome da unidade",""),IF(SUMPRODUCT(--($C$6:$C$105=C73))&gt;1,"Nome repetido: diferencie as unidades","OK"))</f>
        <v/>
      </c>
      <c r="M73" s="96">
        <f>IF(C73&lt;&gt;"",1,0)</f>
        <v>0</v>
      </c>
      <c r="N73" s="96" t="str">
        <f>IF(M73=1,COUNTIF($M$6:M73,1),"")</f>
        <v/>
      </c>
    </row>
    <row r="74">
      <c r="A74" s="89" t="inlineStr">
        <is>
          <t>UN-069</t>
        </is>
      </c>
      <c r="B74" s="91" t="n"/>
      <c r="C74" s="91" t="n"/>
      <c r="D74" s="90" t="n"/>
      <c r="E74" s="91" t="n"/>
      <c r="F74" s="91" t="n"/>
      <c r="G74" s="91" t="n"/>
      <c r="H74" s="91" t="n"/>
      <c r="I74" s="91" t="n"/>
      <c r="J74" s="91" t="n"/>
      <c r="K74" s="91" t="n"/>
      <c r="L74" s="94" t="str">
        <f>IF(C74="",IF(COUNTA(B74:K74)&gt;0,"Informe o nome da unidade",""),IF(SUMPRODUCT(--($C$6:$C$105=C74))&gt;1,"Nome repetido: diferencie as unidades","OK"))</f>
        <v/>
      </c>
      <c r="M74" s="96">
        <f>IF(C74&lt;&gt;"",1,0)</f>
        <v>0</v>
      </c>
      <c r="N74" s="96" t="str">
        <f>IF(M74=1,COUNTIF($M$6:M74,1),"")</f>
        <v/>
      </c>
    </row>
    <row r="75">
      <c r="A75" s="89" t="inlineStr">
        <is>
          <t>UN-070</t>
        </is>
      </c>
      <c r="B75" s="91" t="n"/>
      <c r="C75" s="91" t="n"/>
      <c r="D75" s="90" t="n"/>
      <c r="E75" s="91" t="n"/>
      <c r="F75" s="91" t="n"/>
      <c r="G75" s="91" t="n"/>
      <c r="H75" s="91" t="n"/>
      <c r="I75" s="91" t="n"/>
      <c r="J75" s="91" t="n"/>
      <c r="K75" s="91" t="n"/>
      <c r="L75" s="94" t="str">
        <f>IF(C75="",IF(COUNTA(B75:K75)&gt;0,"Informe o nome da unidade",""),IF(SUMPRODUCT(--($C$6:$C$105=C75))&gt;1,"Nome repetido: diferencie as unidades","OK"))</f>
        <v/>
      </c>
      <c r="M75" s="96">
        <f>IF(C75&lt;&gt;"",1,0)</f>
        <v>0</v>
      </c>
      <c r="N75" s="96" t="str">
        <f>IF(M75=1,COUNTIF($M$6:M75,1),"")</f>
        <v/>
      </c>
    </row>
    <row r="76">
      <c r="A76" s="89" t="inlineStr">
        <is>
          <t>UN-071</t>
        </is>
      </c>
      <c r="B76" s="91" t="n"/>
      <c r="C76" s="91" t="n"/>
      <c r="D76" s="90" t="n"/>
      <c r="E76" s="91" t="n"/>
      <c r="F76" s="91" t="n"/>
      <c r="G76" s="91" t="n"/>
      <c r="H76" s="91" t="n"/>
      <c r="I76" s="91" t="n"/>
      <c r="J76" s="91" t="n"/>
      <c r="K76" s="91" t="n"/>
      <c r="L76" s="94" t="str">
        <f>IF(C76="",IF(COUNTA(B76:K76)&gt;0,"Informe o nome da unidade",""),IF(SUMPRODUCT(--($C$6:$C$105=C76))&gt;1,"Nome repetido: diferencie as unidades","OK"))</f>
        <v/>
      </c>
      <c r="M76" s="96">
        <f>IF(C76&lt;&gt;"",1,0)</f>
        <v>0</v>
      </c>
      <c r="N76" s="96" t="str">
        <f>IF(M76=1,COUNTIF($M$6:M76,1),"")</f>
        <v/>
      </c>
    </row>
    <row r="77">
      <c r="A77" s="89" t="inlineStr">
        <is>
          <t>UN-072</t>
        </is>
      </c>
      <c r="B77" s="91" t="n"/>
      <c r="C77" s="91" t="n"/>
      <c r="D77" s="90" t="n"/>
      <c r="E77" s="91" t="n"/>
      <c r="F77" s="91" t="n"/>
      <c r="G77" s="91" t="n"/>
      <c r="H77" s="91" t="n"/>
      <c r="I77" s="91" t="n"/>
      <c r="J77" s="91" t="n"/>
      <c r="K77" s="91" t="n"/>
      <c r="L77" s="94" t="str">
        <f>IF(C77="",IF(COUNTA(B77:K77)&gt;0,"Informe o nome da unidade",""),IF(SUMPRODUCT(--($C$6:$C$105=C77))&gt;1,"Nome repetido: diferencie as unidades","OK"))</f>
        <v/>
      </c>
      <c r="M77" s="96">
        <f>IF(C77&lt;&gt;"",1,0)</f>
        <v>0</v>
      </c>
      <c r="N77" s="96" t="str">
        <f>IF(M77=1,COUNTIF($M$6:M77,1),"")</f>
        <v/>
      </c>
    </row>
    <row r="78">
      <c r="A78" s="89" t="inlineStr">
        <is>
          <t>UN-073</t>
        </is>
      </c>
      <c r="B78" s="91" t="n"/>
      <c r="C78" s="91" t="n"/>
      <c r="D78" s="90" t="n"/>
      <c r="E78" s="91" t="n"/>
      <c r="F78" s="91" t="n"/>
      <c r="G78" s="91" t="n"/>
      <c r="H78" s="91" t="n"/>
      <c r="I78" s="91" t="n"/>
      <c r="J78" s="91" t="n"/>
      <c r="K78" s="91" t="n"/>
      <c r="L78" s="94" t="str">
        <f>IF(C78="",IF(COUNTA(B78:K78)&gt;0,"Informe o nome da unidade",""),IF(SUMPRODUCT(--($C$6:$C$105=C78))&gt;1,"Nome repetido: diferencie as unidades","OK"))</f>
        <v/>
      </c>
      <c r="M78" s="96">
        <f>IF(C78&lt;&gt;"",1,0)</f>
        <v>0</v>
      </c>
      <c r="N78" s="96" t="str">
        <f>IF(M78=1,COUNTIF($M$6:M78,1),"")</f>
        <v/>
      </c>
    </row>
    <row r="79">
      <c r="A79" s="89" t="inlineStr">
        <is>
          <t>UN-074</t>
        </is>
      </c>
      <c r="B79" s="91" t="n"/>
      <c r="C79" s="91" t="n"/>
      <c r="D79" s="90" t="n"/>
      <c r="E79" s="91" t="n"/>
      <c r="F79" s="91" t="n"/>
      <c r="G79" s="91" t="n"/>
      <c r="H79" s="91" t="n"/>
      <c r="I79" s="91" t="n"/>
      <c r="J79" s="91" t="n"/>
      <c r="K79" s="91" t="n"/>
      <c r="L79" s="94" t="str">
        <f>IF(C79="",IF(COUNTA(B79:K79)&gt;0,"Informe o nome da unidade",""),IF(SUMPRODUCT(--($C$6:$C$105=C79))&gt;1,"Nome repetido: diferencie as unidades","OK"))</f>
        <v/>
      </c>
      <c r="M79" s="96">
        <f>IF(C79&lt;&gt;"",1,0)</f>
        <v>0</v>
      </c>
      <c r="N79" s="96" t="str">
        <f>IF(M79=1,COUNTIF($M$6:M79,1),"")</f>
        <v/>
      </c>
    </row>
    <row r="80">
      <c r="A80" s="89" t="inlineStr">
        <is>
          <t>UN-075</t>
        </is>
      </c>
      <c r="B80" s="91" t="n"/>
      <c r="C80" s="91" t="n"/>
      <c r="D80" s="90" t="n"/>
      <c r="E80" s="91" t="n"/>
      <c r="F80" s="91" t="n"/>
      <c r="G80" s="91" t="n"/>
      <c r="H80" s="91" t="n"/>
      <c r="I80" s="91" t="n"/>
      <c r="J80" s="91" t="n"/>
      <c r="K80" s="91" t="n"/>
      <c r="L80" s="94" t="str">
        <f>IF(C80="",IF(COUNTA(B80:K80)&gt;0,"Informe o nome da unidade",""),IF(SUMPRODUCT(--($C$6:$C$105=C80))&gt;1,"Nome repetido: diferencie as unidades","OK"))</f>
        <v/>
      </c>
      <c r="M80" s="96">
        <f>IF(C80&lt;&gt;"",1,0)</f>
        <v>0</v>
      </c>
      <c r="N80" s="96" t="str">
        <f>IF(M80=1,COUNTIF($M$6:M80,1),"")</f>
        <v/>
      </c>
    </row>
    <row r="81">
      <c r="A81" s="89" t="inlineStr">
        <is>
          <t>UN-076</t>
        </is>
      </c>
      <c r="B81" s="91" t="n"/>
      <c r="C81" s="91" t="n"/>
      <c r="D81" s="90" t="n"/>
      <c r="E81" s="91" t="n"/>
      <c r="F81" s="91" t="n"/>
      <c r="G81" s="91" t="n"/>
      <c r="H81" s="91" t="n"/>
      <c r="I81" s="91" t="n"/>
      <c r="J81" s="91" t="n"/>
      <c r="K81" s="91" t="n"/>
      <c r="L81" s="94" t="str">
        <f>IF(C81="",IF(COUNTA(B81:K81)&gt;0,"Informe o nome da unidade",""),IF(SUMPRODUCT(--($C$6:$C$105=C81))&gt;1,"Nome repetido: diferencie as unidades","OK"))</f>
        <v/>
      </c>
      <c r="M81" s="96">
        <f>IF(C81&lt;&gt;"",1,0)</f>
        <v>0</v>
      </c>
      <c r="N81" s="96" t="str">
        <f>IF(M81=1,COUNTIF($M$6:M81,1),"")</f>
        <v/>
      </c>
    </row>
    <row r="82">
      <c r="A82" s="89" t="inlineStr">
        <is>
          <t>UN-077</t>
        </is>
      </c>
      <c r="B82" s="91" t="n"/>
      <c r="C82" s="91" t="n"/>
      <c r="D82" s="90" t="n"/>
      <c r="E82" s="91" t="n"/>
      <c r="F82" s="91" t="n"/>
      <c r="G82" s="91" t="n"/>
      <c r="H82" s="91" t="n"/>
      <c r="I82" s="91" t="n"/>
      <c r="J82" s="91" t="n"/>
      <c r="K82" s="91" t="n"/>
      <c r="L82" s="94" t="str">
        <f>IF(C82="",IF(COUNTA(B82:K82)&gt;0,"Informe o nome da unidade",""),IF(SUMPRODUCT(--($C$6:$C$105=C82))&gt;1,"Nome repetido: diferencie as unidades","OK"))</f>
        <v/>
      </c>
      <c r="M82" s="96">
        <f>IF(C82&lt;&gt;"",1,0)</f>
        <v>0</v>
      </c>
      <c r="N82" s="96" t="str">
        <f>IF(M82=1,COUNTIF($M$6:M82,1),"")</f>
        <v/>
      </c>
    </row>
    <row r="83">
      <c r="A83" s="89" t="inlineStr">
        <is>
          <t>UN-078</t>
        </is>
      </c>
      <c r="B83" s="91" t="n"/>
      <c r="C83" s="91" t="n"/>
      <c r="D83" s="90" t="n"/>
      <c r="E83" s="91" t="n"/>
      <c r="F83" s="91" t="n"/>
      <c r="G83" s="91" t="n"/>
      <c r="H83" s="91" t="n"/>
      <c r="I83" s="91" t="n"/>
      <c r="J83" s="91" t="n"/>
      <c r="K83" s="91" t="n"/>
      <c r="L83" s="94" t="str">
        <f>IF(C83="",IF(COUNTA(B83:K83)&gt;0,"Informe o nome da unidade",""),IF(SUMPRODUCT(--($C$6:$C$105=C83))&gt;1,"Nome repetido: diferencie as unidades","OK"))</f>
        <v/>
      </c>
      <c r="M83" s="96">
        <f>IF(C83&lt;&gt;"",1,0)</f>
        <v>0</v>
      </c>
      <c r="N83" s="96" t="str">
        <f>IF(M83=1,COUNTIF($M$6:M83,1),"")</f>
        <v/>
      </c>
    </row>
    <row r="84">
      <c r="A84" s="89" t="inlineStr">
        <is>
          <t>UN-079</t>
        </is>
      </c>
      <c r="B84" s="91" t="n"/>
      <c r="C84" s="91" t="n"/>
      <c r="D84" s="90" t="n"/>
      <c r="E84" s="91" t="n"/>
      <c r="F84" s="91" t="n"/>
      <c r="G84" s="91" t="n"/>
      <c r="H84" s="91" t="n"/>
      <c r="I84" s="91" t="n"/>
      <c r="J84" s="91" t="n"/>
      <c r="K84" s="91" t="n"/>
      <c r="L84" s="94" t="str">
        <f>IF(C84="",IF(COUNTA(B84:K84)&gt;0,"Informe o nome da unidade",""),IF(SUMPRODUCT(--($C$6:$C$105=C84))&gt;1,"Nome repetido: diferencie as unidades","OK"))</f>
        <v/>
      </c>
      <c r="M84" s="96">
        <f>IF(C84&lt;&gt;"",1,0)</f>
        <v>0</v>
      </c>
      <c r="N84" s="96" t="str">
        <f>IF(M84=1,COUNTIF($M$6:M84,1),"")</f>
        <v/>
      </c>
    </row>
    <row r="85">
      <c r="A85" s="89" t="inlineStr">
        <is>
          <t>UN-080</t>
        </is>
      </c>
      <c r="B85" s="91" t="n"/>
      <c r="C85" s="91" t="n"/>
      <c r="D85" s="90" t="n"/>
      <c r="E85" s="91" t="n"/>
      <c r="F85" s="91" t="n"/>
      <c r="G85" s="91" t="n"/>
      <c r="H85" s="91" t="n"/>
      <c r="I85" s="91" t="n"/>
      <c r="J85" s="91" t="n"/>
      <c r="K85" s="91" t="n"/>
      <c r="L85" s="94" t="str">
        <f>IF(C85="",IF(COUNTA(B85:K85)&gt;0,"Informe o nome da unidade",""),IF(SUMPRODUCT(--($C$6:$C$105=C85))&gt;1,"Nome repetido: diferencie as unidades","OK"))</f>
        <v/>
      </c>
      <c r="M85" s="96">
        <f>IF(C85&lt;&gt;"",1,0)</f>
        <v>0</v>
      </c>
      <c r="N85" s="96" t="str">
        <f>IF(M85=1,COUNTIF($M$6:M85,1),"")</f>
        <v/>
      </c>
    </row>
    <row r="86">
      <c r="A86" s="89" t="inlineStr">
        <is>
          <t>UN-081</t>
        </is>
      </c>
      <c r="B86" s="91" t="n"/>
      <c r="C86" s="91" t="n"/>
      <c r="D86" s="90" t="n"/>
      <c r="E86" s="91" t="n"/>
      <c r="F86" s="91" t="n"/>
      <c r="G86" s="91" t="n"/>
      <c r="H86" s="91" t="n"/>
      <c r="I86" s="91" t="n"/>
      <c r="J86" s="91" t="n"/>
      <c r="K86" s="91" t="n"/>
      <c r="L86" s="94" t="str">
        <f>IF(C86="",IF(COUNTA(B86:K86)&gt;0,"Informe o nome da unidade",""),IF(SUMPRODUCT(--($C$6:$C$105=C86))&gt;1,"Nome repetido: diferencie as unidades","OK"))</f>
        <v/>
      </c>
      <c r="M86" s="96">
        <f>IF(C86&lt;&gt;"",1,0)</f>
        <v>0</v>
      </c>
      <c r="N86" s="96" t="str">
        <f>IF(M86=1,COUNTIF($M$6:M86,1),"")</f>
        <v/>
      </c>
    </row>
    <row r="87">
      <c r="A87" s="89" t="inlineStr">
        <is>
          <t>UN-082</t>
        </is>
      </c>
      <c r="B87" s="91" t="n"/>
      <c r="C87" s="91" t="n"/>
      <c r="D87" s="90" t="n"/>
      <c r="E87" s="91" t="n"/>
      <c r="F87" s="91" t="n"/>
      <c r="G87" s="91" t="n"/>
      <c r="H87" s="91" t="n"/>
      <c r="I87" s="91" t="n"/>
      <c r="J87" s="91" t="n"/>
      <c r="K87" s="91" t="n"/>
      <c r="L87" s="94" t="str">
        <f>IF(C87="",IF(COUNTA(B87:K87)&gt;0,"Informe o nome da unidade",""),IF(SUMPRODUCT(--($C$6:$C$105=C87))&gt;1,"Nome repetido: diferencie as unidades","OK"))</f>
        <v/>
      </c>
      <c r="M87" s="96">
        <f>IF(C87&lt;&gt;"",1,0)</f>
        <v>0</v>
      </c>
      <c r="N87" s="96" t="str">
        <f>IF(M87=1,COUNTIF($M$6:M87,1),"")</f>
        <v/>
      </c>
    </row>
    <row r="88">
      <c r="A88" s="89" t="inlineStr">
        <is>
          <t>UN-083</t>
        </is>
      </c>
      <c r="B88" s="91" t="n"/>
      <c r="C88" s="91" t="n"/>
      <c r="D88" s="90" t="n"/>
      <c r="E88" s="91" t="n"/>
      <c r="F88" s="91" t="n"/>
      <c r="G88" s="91" t="n"/>
      <c r="H88" s="91" t="n"/>
      <c r="I88" s="91" t="n"/>
      <c r="J88" s="91" t="n"/>
      <c r="K88" s="91" t="n"/>
      <c r="L88" s="94" t="str">
        <f>IF(C88="",IF(COUNTA(B88:K88)&gt;0,"Informe o nome da unidade",""),IF(SUMPRODUCT(--($C$6:$C$105=C88))&gt;1,"Nome repetido: diferencie as unidades","OK"))</f>
        <v/>
      </c>
      <c r="M88" s="96">
        <f>IF(C88&lt;&gt;"",1,0)</f>
        <v>0</v>
      </c>
      <c r="N88" s="96" t="str">
        <f>IF(M88=1,COUNTIF($M$6:M88,1),"")</f>
        <v/>
      </c>
    </row>
    <row r="89">
      <c r="A89" s="89" t="inlineStr">
        <is>
          <t>UN-084</t>
        </is>
      </c>
      <c r="B89" s="91" t="n"/>
      <c r="C89" s="91" t="n"/>
      <c r="D89" s="90" t="n"/>
      <c r="E89" s="91" t="n"/>
      <c r="F89" s="91" t="n"/>
      <c r="G89" s="91" t="n"/>
      <c r="H89" s="91" t="n"/>
      <c r="I89" s="91" t="n"/>
      <c r="J89" s="91" t="n"/>
      <c r="K89" s="91" t="n"/>
      <c r="L89" s="94" t="str">
        <f>IF(C89="",IF(COUNTA(B89:K89)&gt;0,"Informe o nome da unidade",""),IF(SUMPRODUCT(--($C$6:$C$105=C89))&gt;1,"Nome repetido: diferencie as unidades","OK"))</f>
        <v/>
      </c>
      <c r="M89" s="96">
        <f>IF(C89&lt;&gt;"",1,0)</f>
        <v>0</v>
      </c>
      <c r="N89" s="96" t="str">
        <f>IF(M89=1,COUNTIF($M$6:M89,1),"")</f>
        <v/>
      </c>
    </row>
    <row r="90">
      <c r="A90" s="89" t="inlineStr">
        <is>
          <t>UN-085</t>
        </is>
      </c>
      <c r="B90" s="91" t="n"/>
      <c r="C90" s="91" t="n"/>
      <c r="D90" s="90" t="n"/>
      <c r="E90" s="91" t="n"/>
      <c r="F90" s="91" t="n"/>
      <c r="G90" s="91" t="n"/>
      <c r="H90" s="91" t="n"/>
      <c r="I90" s="91" t="n"/>
      <c r="J90" s="91" t="n"/>
      <c r="K90" s="91" t="n"/>
      <c r="L90" s="94" t="str">
        <f>IF(C90="",IF(COUNTA(B90:K90)&gt;0,"Informe o nome da unidade",""),IF(SUMPRODUCT(--($C$6:$C$105=C90))&gt;1,"Nome repetido: diferencie as unidades","OK"))</f>
        <v/>
      </c>
      <c r="M90" s="96">
        <f>IF(C90&lt;&gt;"",1,0)</f>
        <v>0</v>
      </c>
      <c r="N90" s="96" t="str">
        <f>IF(M90=1,COUNTIF($M$6:M90,1),"")</f>
        <v/>
      </c>
    </row>
    <row r="91">
      <c r="A91" s="89" t="inlineStr">
        <is>
          <t>UN-086</t>
        </is>
      </c>
      <c r="B91" s="91" t="n"/>
      <c r="C91" s="91" t="n"/>
      <c r="D91" s="90" t="n"/>
      <c r="E91" s="91" t="n"/>
      <c r="F91" s="91" t="n"/>
      <c r="G91" s="91" t="n"/>
      <c r="H91" s="91" t="n"/>
      <c r="I91" s="91" t="n"/>
      <c r="J91" s="91" t="n"/>
      <c r="K91" s="91" t="n"/>
      <c r="L91" s="94" t="str">
        <f>IF(C91="",IF(COUNTA(B91:K91)&gt;0,"Informe o nome da unidade",""),IF(SUMPRODUCT(--($C$6:$C$105=C91))&gt;1,"Nome repetido: diferencie as unidades","OK"))</f>
        <v/>
      </c>
      <c r="M91" s="96">
        <f>IF(C91&lt;&gt;"",1,0)</f>
        <v>0</v>
      </c>
      <c r="N91" s="96" t="str">
        <f>IF(M91=1,COUNTIF($M$6:M91,1),"")</f>
        <v/>
      </c>
    </row>
    <row r="92">
      <c r="A92" s="89" t="inlineStr">
        <is>
          <t>UN-087</t>
        </is>
      </c>
      <c r="B92" s="91" t="n"/>
      <c r="C92" s="91" t="n"/>
      <c r="D92" s="90" t="n"/>
      <c r="E92" s="91" t="n"/>
      <c r="F92" s="91" t="n"/>
      <c r="G92" s="91" t="n"/>
      <c r="H92" s="91" t="n"/>
      <c r="I92" s="91" t="n"/>
      <c r="J92" s="91" t="n"/>
      <c r="K92" s="91" t="n"/>
      <c r="L92" s="94" t="str">
        <f>IF(C92="",IF(COUNTA(B92:K92)&gt;0,"Informe o nome da unidade",""),IF(SUMPRODUCT(--($C$6:$C$105=C92))&gt;1,"Nome repetido: diferencie as unidades","OK"))</f>
        <v/>
      </c>
      <c r="M92" s="96">
        <f>IF(C92&lt;&gt;"",1,0)</f>
        <v>0</v>
      </c>
      <c r="N92" s="96" t="str">
        <f>IF(M92=1,COUNTIF($M$6:M92,1),"")</f>
        <v/>
      </c>
    </row>
    <row r="93">
      <c r="A93" s="89" t="inlineStr">
        <is>
          <t>UN-088</t>
        </is>
      </c>
      <c r="B93" s="91" t="n"/>
      <c r="C93" s="91" t="n"/>
      <c r="D93" s="90" t="n"/>
      <c r="E93" s="91" t="n"/>
      <c r="F93" s="91" t="n"/>
      <c r="G93" s="91" t="n"/>
      <c r="H93" s="91" t="n"/>
      <c r="I93" s="91" t="n"/>
      <c r="J93" s="91" t="n"/>
      <c r="K93" s="91" t="n"/>
      <c r="L93" s="94" t="str">
        <f>IF(C93="",IF(COUNTA(B93:K93)&gt;0,"Informe o nome da unidade",""),IF(SUMPRODUCT(--($C$6:$C$105=C93))&gt;1,"Nome repetido: diferencie as unidades","OK"))</f>
        <v/>
      </c>
      <c r="M93" s="96">
        <f>IF(C93&lt;&gt;"",1,0)</f>
        <v>0</v>
      </c>
      <c r="N93" s="96" t="str">
        <f>IF(M93=1,COUNTIF($M$6:M93,1),"")</f>
        <v/>
      </c>
    </row>
    <row r="94">
      <c r="A94" s="89" t="inlineStr">
        <is>
          <t>UN-089</t>
        </is>
      </c>
      <c r="B94" s="91" t="n"/>
      <c r="C94" s="91" t="n"/>
      <c r="D94" s="90" t="n"/>
      <c r="E94" s="91" t="n"/>
      <c r="F94" s="91" t="n"/>
      <c r="G94" s="91" t="n"/>
      <c r="H94" s="91" t="n"/>
      <c r="I94" s="91" t="n"/>
      <c r="J94" s="91" t="n"/>
      <c r="K94" s="91" t="n"/>
      <c r="L94" s="94" t="str">
        <f>IF(C94="",IF(COUNTA(B94:K94)&gt;0,"Informe o nome da unidade",""),IF(SUMPRODUCT(--($C$6:$C$105=C94))&gt;1,"Nome repetido: diferencie as unidades","OK"))</f>
        <v/>
      </c>
      <c r="M94" s="96">
        <f>IF(C94&lt;&gt;"",1,0)</f>
        <v>0</v>
      </c>
      <c r="N94" s="96" t="str">
        <f>IF(M94=1,COUNTIF($M$6:M94,1),"")</f>
        <v/>
      </c>
    </row>
    <row r="95">
      <c r="A95" s="89" t="inlineStr">
        <is>
          <t>UN-090</t>
        </is>
      </c>
      <c r="B95" s="91" t="n"/>
      <c r="C95" s="91" t="n"/>
      <c r="D95" s="90" t="n"/>
      <c r="E95" s="91" t="n"/>
      <c r="F95" s="91" t="n"/>
      <c r="G95" s="91" t="n"/>
      <c r="H95" s="91" t="n"/>
      <c r="I95" s="91" t="n"/>
      <c r="J95" s="91" t="n"/>
      <c r="K95" s="91" t="n"/>
      <c r="L95" s="94" t="str">
        <f>IF(C95="",IF(COUNTA(B95:K95)&gt;0,"Informe o nome da unidade",""),IF(SUMPRODUCT(--($C$6:$C$105=C95))&gt;1,"Nome repetido: diferencie as unidades","OK"))</f>
        <v/>
      </c>
      <c r="M95" s="96">
        <f>IF(C95&lt;&gt;"",1,0)</f>
        <v>0</v>
      </c>
      <c r="N95" s="96" t="str">
        <f>IF(M95=1,COUNTIF($M$6:M95,1),"")</f>
        <v/>
      </c>
    </row>
    <row r="96">
      <c r="A96" s="89" t="inlineStr">
        <is>
          <t>UN-091</t>
        </is>
      </c>
      <c r="B96" s="91" t="n"/>
      <c r="C96" s="91" t="n"/>
      <c r="D96" s="90" t="n"/>
      <c r="E96" s="91" t="n"/>
      <c r="F96" s="91" t="n"/>
      <c r="G96" s="91" t="n"/>
      <c r="H96" s="91" t="n"/>
      <c r="I96" s="91" t="n"/>
      <c r="J96" s="91" t="n"/>
      <c r="K96" s="91" t="n"/>
      <c r="L96" s="94" t="str">
        <f>IF(C96="",IF(COUNTA(B96:K96)&gt;0,"Informe o nome da unidade",""),IF(SUMPRODUCT(--($C$6:$C$105=C96))&gt;1,"Nome repetido: diferencie as unidades","OK"))</f>
        <v/>
      </c>
      <c r="M96" s="96">
        <f>IF(C96&lt;&gt;"",1,0)</f>
        <v>0</v>
      </c>
      <c r="N96" s="96" t="str">
        <f>IF(M96=1,COUNTIF($M$6:M96,1),"")</f>
        <v/>
      </c>
    </row>
    <row r="97">
      <c r="A97" s="89" t="inlineStr">
        <is>
          <t>UN-092</t>
        </is>
      </c>
      <c r="B97" s="91" t="n"/>
      <c r="C97" s="91" t="n"/>
      <c r="D97" s="90" t="n"/>
      <c r="E97" s="91" t="n"/>
      <c r="F97" s="91" t="n"/>
      <c r="G97" s="91" t="n"/>
      <c r="H97" s="91" t="n"/>
      <c r="I97" s="91" t="n"/>
      <c r="J97" s="91" t="n"/>
      <c r="K97" s="91" t="n"/>
      <c r="L97" s="94" t="str">
        <f>IF(C97="",IF(COUNTA(B97:K97)&gt;0,"Informe o nome da unidade",""),IF(SUMPRODUCT(--($C$6:$C$105=C97))&gt;1,"Nome repetido: diferencie as unidades","OK"))</f>
        <v/>
      </c>
      <c r="M97" s="96">
        <f>IF(C97&lt;&gt;"",1,0)</f>
        <v>0</v>
      </c>
      <c r="N97" s="96" t="str">
        <f>IF(M97=1,COUNTIF($M$6:M97,1),"")</f>
        <v/>
      </c>
    </row>
    <row r="98">
      <c r="A98" s="89" t="inlineStr">
        <is>
          <t>UN-093</t>
        </is>
      </c>
      <c r="B98" s="91" t="n"/>
      <c r="C98" s="91" t="n"/>
      <c r="D98" s="90" t="n"/>
      <c r="E98" s="91" t="n"/>
      <c r="F98" s="91" t="n"/>
      <c r="G98" s="91" t="n"/>
      <c r="H98" s="91" t="n"/>
      <c r="I98" s="91" t="n"/>
      <c r="J98" s="91" t="n"/>
      <c r="K98" s="91" t="n"/>
      <c r="L98" s="94" t="str">
        <f>IF(C98="",IF(COUNTA(B98:K98)&gt;0,"Informe o nome da unidade",""),IF(SUMPRODUCT(--($C$6:$C$105=C98))&gt;1,"Nome repetido: diferencie as unidades","OK"))</f>
        <v/>
      </c>
      <c r="M98" s="96">
        <f>IF(C98&lt;&gt;"",1,0)</f>
        <v>0</v>
      </c>
      <c r="N98" s="96" t="str">
        <f>IF(M98=1,COUNTIF($M$6:M98,1),"")</f>
        <v/>
      </c>
    </row>
    <row r="99">
      <c r="A99" s="89" t="inlineStr">
        <is>
          <t>UN-094</t>
        </is>
      </c>
      <c r="B99" s="91" t="n"/>
      <c r="C99" s="91" t="n"/>
      <c r="D99" s="90" t="n"/>
      <c r="E99" s="91" t="n"/>
      <c r="F99" s="91" t="n"/>
      <c r="G99" s="91" t="n"/>
      <c r="H99" s="91" t="n"/>
      <c r="I99" s="91" t="n"/>
      <c r="J99" s="91" t="n"/>
      <c r="K99" s="91" t="n"/>
      <c r="L99" s="94" t="str">
        <f>IF(C99="",IF(COUNTA(B99:K99)&gt;0,"Informe o nome da unidade",""),IF(SUMPRODUCT(--($C$6:$C$105=C99))&gt;1,"Nome repetido: diferencie as unidades","OK"))</f>
        <v/>
      </c>
      <c r="M99" s="96">
        <f>IF(C99&lt;&gt;"",1,0)</f>
        <v>0</v>
      </c>
      <c r="N99" s="96" t="str">
        <f>IF(M99=1,COUNTIF($M$6:M99,1),"")</f>
        <v/>
      </c>
    </row>
    <row r="100">
      <c r="A100" s="89" t="inlineStr">
        <is>
          <t>UN-095</t>
        </is>
      </c>
      <c r="B100" s="91" t="n"/>
      <c r="C100" s="91" t="n"/>
      <c r="D100" s="90" t="n"/>
      <c r="E100" s="91" t="n"/>
      <c r="F100" s="91" t="n"/>
      <c r="G100" s="91" t="n"/>
      <c r="H100" s="91" t="n"/>
      <c r="I100" s="91" t="n"/>
      <c r="J100" s="91" t="n"/>
      <c r="K100" s="91" t="n"/>
      <c r="L100" s="94" t="str">
        <f>IF(C100="",IF(COUNTA(B100:K100)&gt;0,"Informe o nome da unidade",""),IF(SUMPRODUCT(--($C$6:$C$105=C100))&gt;1,"Nome repetido: diferencie as unidades","OK"))</f>
        <v/>
      </c>
      <c r="M100" s="96">
        <f>IF(C100&lt;&gt;"",1,0)</f>
        <v>0</v>
      </c>
      <c r="N100" s="96" t="str">
        <f>IF(M100=1,COUNTIF($M$6:M100,1),"")</f>
        <v/>
      </c>
    </row>
    <row r="101">
      <c r="A101" s="89" t="inlineStr">
        <is>
          <t>UN-096</t>
        </is>
      </c>
      <c r="B101" s="91" t="n"/>
      <c r="C101" s="91" t="n"/>
      <c r="D101" s="90" t="n"/>
      <c r="E101" s="91" t="n"/>
      <c r="F101" s="91" t="n"/>
      <c r="G101" s="91" t="n"/>
      <c r="H101" s="91" t="n"/>
      <c r="I101" s="91" t="n"/>
      <c r="J101" s="91" t="n"/>
      <c r="K101" s="91" t="n"/>
      <c r="L101" s="94" t="str">
        <f>IF(C101="",IF(COUNTA(B101:K101)&gt;0,"Informe o nome da unidade",""),IF(SUMPRODUCT(--($C$6:$C$105=C101))&gt;1,"Nome repetido: diferencie as unidades","OK"))</f>
        <v/>
      </c>
      <c r="M101" s="96">
        <f>IF(C101&lt;&gt;"",1,0)</f>
        <v>0</v>
      </c>
      <c r="N101" s="96" t="str">
        <f>IF(M101=1,COUNTIF($M$6:M101,1),"")</f>
        <v/>
      </c>
    </row>
    <row r="102">
      <c r="A102" s="89" t="inlineStr">
        <is>
          <t>UN-097</t>
        </is>
      </c>
      <c r="B102" s="91" t="n"/>
      <c r="C102" s="91" t="n"/>
      <c r="D102" s="90" t="n"/>
      <c r="E102" s="91" t="n"/>
      <c r="F102" s="91" t="n"/>
      <c r="G102" s="91" t="n"/>
      <c r="H102" s="91" t="n"/>
      <c r="I102" s="91" t="n"/>
      <c r="J102" s="91" t="n"/>
      <c r="K102" s="91" t="n"/>
      <c r="L102" s="94" t="str">
        <f>IF(C102="",IF(COUNTA(B102:K102)&gt;0,"Informe o nome da unidade",""),IF(SUMPRODUCT(--($C$6:$C$105=C102))&gt;1,"Nome repetido: diferencie as unidades","OK"))</f>
        <v/>
      </c>
      <c r="M102" s="96">
        <f>IF(C102&lt;&gt;"",1,0)</f>
        <v>0</v>
      </c>
      <c r="N102" s="96" t="str">
        <f>IF(M102=1,COUNTIF($M$6:M102,1),"")</f>
        <v/>
      </c>
    </row>
    <row r="103">
      <c r="A103" s="89" t="inlineStr">
        <is>
          <t>UN-098</t>
        </is>
      </c>
      <c r="B103" s="91" t="n"/>
      <c r="C103" s="91" t="n"/>
      <c r="D103" s="90" t="n"/>
      <c r="E103" s="91" t="n"/>
      <c r="F103" s="91" t="n"/>
      <c r="G103" s="91" t="n"/>
      <c r="H103" s="91" t="n"/>
      <c r="I103" s="91" t="n"/>
      <c r="J103" s="91" t="n"/>
      <c r="K103" s="91" t="n"/>
      <c r="L103" s="94" t="str">
        <f>IF(C103="",IF(COUNTA(B103:K103)&gt;0,"Informe o nome da unidade",""),IF(SUMPRODUCT(--($C$6:$C$105=C103))&gt;1,"Nome repetido: diferencie as unidades","OK"))</f>
        <v/>
      </c>
      <c r="M103" s="96">
        <f>IF(C103&lt;&gt;"",1,0)</f>
        <v>0</v>
      </c>
      <c r="N103" s="96" t="str">
        <f>IF(M103=1,COUNTIF($M$6:M103,1),"")</f>
        <v/>
      </c>
    </row>
    <row r="104">
      <c r="A104" s="89" t="inlineStr">
        <is>
          <t>UN-099</t>
        </is>
      </c>
      <c r="B104" s="91" t="n"/>
      <c r="C104" s="91" t="n"/>
      <c r="D104" s="90" t="n"/>
      <c r="E104" s="91" t="n"/>
      <c r="F104" s="91" t="n"/>
      <c r="G104" s="91" t="n"/>
      <c r="H104" s="91" t="n"/>
      <c r="I104" s="91" t="n"/>
      <c r="J104" s="91" t="n"/>
      <c r="K104" s="91" t="n"/>
      <c r="L104" s="94" t="str">
        <f>IF(C104="",IF(COUNTA(B104:K104)&gt;0,"Informe o nome da unidade",""),IF(SUMPRODUCT(--($C$6:$C$105=C104))&gt;1,"Nome repetido: diferencie as unidades","OK"))</f>
        <v/>
      </c>
      <c r="M104" s="96">
        <f>IF(C104&lt;&gt;"",1,0)</f>
        <v>0</v>
      </c>
      <c r="N104" s="96" t="str">
        <f>IF(M104=1,COUNTIF($M$6:M104,1),"")</f>
        <v/>
      </c>
    </row>
    <row r="105">
      <c r="A105" s="89" t="inlineStr">
        <is>
          <t>UN-100</t>
        </is>
      </c>
      <c r="B105" s="91" t="n"/>
      <c r="C105" s="91" t="n"/>
      <c r="D105" s="90" t="n"/>
      <c r="E105" s="91" t="n"/>
      <c r="F105" s="91" t="n"/>
      <c r="G105" s="91" t="n"/>
      <c r="H105" s="91" t="n"/>
      <c r="I105" s="91" t="n"/>
      <c r="J105" s="91" t="n"/>
      <c r="K105" s="91" t="n"/>
      <c r="L105" s="94" t="str">
        <f>IF(C105="",IF(COUNTA(B105:K105)&gt;0,"Informe o nome da unidade",""),IF(SUMPRODUCT(--($C$6:$C$105=C105))&gt;1,"Nome repetido: diferencie as unidades","OK"))</f>
        <v/>
      </c>
      <c r="M105" s="96">
        <f>IF(C105&lt;&gt;"",1,0)</f>
        <v>0</v>
      </c>
      <c r="N105" s="96" t="str">
        <f>IF(M105=1,COUNTIF($M$6:M105,1),"")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L2"/>
    <mergeCell ref="A1:L1"/>
  </mergeCells>
  <conditionalFormatting sqref="L6:L105">
    <cfRule type="expression" priority="1" dxfId="0" stopIfTrue="1">
      <formula>OR(ISNUMBER(SEARCH("Cancelado",L6)),ISNUMBER(SEARCH("cancelado",L6)))</formula>
    </cfRule>
    <cfRule type="expression" priority="2" dxfId="1" stopIfTrue="1">
      <formula>OR(ISNUMBER(SEARCH("revisar",L6)),ISNUMBER(SEARCH("REVISAR",L6)),ISNUMBER(SEARCH("incompleto",L6)),ISNUMBER(SEARCH("INCOMPLETO",L6)),ISNUMBER(SEARCH("inexistente",L6)),ISNUMBER(SEARCH("inválid",L6)),ISNUMBER(SEARCH("não informad",L6)),ISNUMBER(SEARCH("fora do cadastro",L6)),ISNUMBER(SEARCH("duplicidade",L6)),ISNUMBER(SEARCH("DUPLICIDADE",L6)),ISNUMBER(SEARCH("UNIDADE A CONFERIR",L6)),ISNUMBER(SEARCH("Unidade a conferir",L6)),ISNUMBER(SEARCH("sem evidência",L6)),ISNUMBER(SEARCH("anterior à emissão",L6)),ISNUMBER(SEARCH("não positiva",L6)),ISNUMBER(SEARCH("não identificado",L6)),ISNUMBER(SEARCH("Sem MTR",L6)),ISNUMBER(SEARCH("Necessita",L6)),ISNUMBER(SEARCH("incompletas",L6)),ISNUMBER(SEARCH("Nome repetido",L6)),ISNUMBER(SEARCH("Informe",L6)),ISNUMBER(SEARCH("vencida",L6)))</formula>
    </cfRule>
    <cfRule type="expression" priority="3" dxfId="2" stopIfTrue="1">
      <formula>OR(ISNUMBER(SEARCH("a conferir",L6)),ISNUMBER(SEARCH("A CONFERIR",L6)),ISNUMBER(SEARCH("Aguardando conferência",L6)),ISNUMBER(SEARCH("Localizado",L6)),ISNUMBER(SEARCH("ver diferença",L6)),ISNUMBER(SEARCH("analisado",L6)),ISNUMBER(SEARCH("Data futura",L6)),ISNUMBER(SEARCH("Não calculável",L6)))</formula>
    </cfRule>
    <cfRule type="expression" priority="4" dxfId="3" stopIfTrue="1">
      <formula>OR(ISNUMBER(SEARCH("Aguardando",L6)),ISNUMBER(SEARCH("parcial",L6)),ISNUMBER(SEARCH("Cadastrado",L6)),ISNUMBER(SEARCH("NÃO CONFIRMADO",L6)),ISNUMBER(SEARCH("NÃO LOCALIZADO",L6)),ISNUMBER(SEARCH("VÍNCULO INCOMPLETO",L6)))</formula>
    </cfRule>
    <cfRule type="expression" priority="5" dxfId="4" stopIfTrue="1">
      <formula>OR(EXACT(L6,"OK"),ISNUMBER(SEARCH("conferida",L6)),ISNUMBER(SEARCH("Conferido",L6)),ISNUMBER(SEARCH("Nenhuma",L6)))</formula>
    </cfRule>
    <cfRule type="expression" priority="7" dxfId="6">
      <formula>MOD(ROW(),2)=0</formula>
    </cfRule>
  </conditionalFormatting>
  <conditionalFormatting sqref="B6:B105 C6:C105 D6:D105 E6:E105 F6:F105 G6:G105 H6:H105 I6:I105 J6:J105 K6:K105">
    <cfRule type="expression" priority="6" dxfId="5">
      <formula>MOD(ROW(),2)=0</formula>
    </cfRule>
  </conditionalFormatting>
  <dataValidations count="4">
    <dataValidation sqref="E6:E105" showDropDown="0" showInputMessage="0" showErrorMessage="1" allowBlank="1" errorTitle="Valor fora da lista" error="Valor fora da lista. Confira o cadastro ou ajuste a lista em CONFIGURAÇÕES." type="list" errorStyle="warning">
      <formula1>=lst_uf</formula1>
    </dataValidation>
    <dataValidation sqref="G6:G105" showDropDown="0" showInputMessage="0" showErrorMessage="1" allowBlank="1" errorTitle="Valor fora da lista" error="Valor fora da lista. Confira o cadastro ou ajuste a lista em CONFIGURAÇÕES." type="list" errorStyle="warning">
      <formula1>=lst_papel</formula1>
    </dataValidation>
    <dataValidation sqref="H6:H105" showDropDown="0" showInputMessage="0" showErrorMessage="1" allowBlank="1" errorTitle="Valor fora da lista" error="Valor fora da lista. Confira o cadastro ou ajuste a lista em CONFIGURAÇÕES." type="list" errorStyle="warning">
      <formula1>=lst_sistemas</formula1>
    </dataValidation>
    <dataValidation sqref="J6:J105" showDropDown="0" showInputMessage="0" showErrorMessage="1" allowBlank="1" errorTitle="Valor fora da lista" error="Valor fora da lista. Confira o cadastro ou ajuste a lista em CONFIGURAÇÕES." type="list" errorStyle="warning">
      <formula1>=lst_sitcad</formula1>
    </dataValidation>
  </dataValidations>
  <hyperlinks>
    <hyperlink ref="A3" location="'INÍCIO'!A1"/>
    <hyperlink ref="B3" location="'PAINEL'!A1"/>
    <hyperlink ref="C3" location="'PENDÊNCIAS'!A1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8A99AB"/>
    <outlinePr summaryBelow="1" summaryRight="1"/>
    <pageSetUpPr fitToPage="1"/>
  </sheetPr>
  <dimension ref="A1:W205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20" customWidth="1" min="4" max="4"/>
    <col width="15" customWidth="1" min="5" max="5"/>
    <col width="20" customWidth="1" min="6" max="6"/>
    <col width="16" customWidth="1" min="7" max="7"/>
    <col width="7" customWidth="1" min="8" max="8"/>
    <col width="16" customWidth="1" min="9" max="9"/>
    <col width="22" customWidth="1" min="10" max="10"/>
    <col width="15" customWidth="1" min="11" max="11"/>
    <col width="16" customWidth="1" min="12" max="12"/>
    <col width="22" customWidth="1" min="13" max="13"/>
    <col width="12" customWidth="1" min="14" max="14"/>
    <col width="24" customWidth="1" min="15" max="15"/>
    <col width="30" customWidth="1" min="16" max="16"/>
    <col width="30" customWidth="1" min="17" max="17"/>
    <col hidden="1" width="6" customWidth="1" min="18" max="18"/>
    <col hidden="1" width="6" customWidth="1" min="19" max="19"/>
    <col hidden="1" width="6" customWidth="1" min="20" max="20"/>
    <col hidden="1" width="6" customWidth="1" min="21" max="21"/>
    <col hidden="1" width="6" customWidth="1" min="22" max="22"/>
    <col hidden="1" width="6" customWidth="1" min="23" max="23"/>
  </cols>
  <sheetData>
    <row r="1" ht="34" customHeight="1">
      <c r="A1" s="79" t="inlineStr">
        <is>
          <t>CADASTRO DE PARCEIROS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79" t="n"/>
      <c r="K1" s="79" t="n"/>
      <c r="L1" s="79" t="n"/>
      <c r="M1" s="79" t="n"/>
      <c r="N1" s="79" t="n"/>
      <c r="O1" s="79" t="n"/>
      <c r="P1" s="79" t="n"/>
      <c r="Q1" s="79" t="n"/>
    </row>
    <row r="2" ht="30" customHeight="1">
      <c r="A2" s="80" t="inlineStr">
        <is>
          <t>Transportadores e destinadores.  O nome para seleção é montado com o nome fantasia (ou razão social) e o estabelecimento. Estar cadastrado não significa estar autorizado: confira a documentação nas fontes oficiais.</t>
        </is>
      </c>
      <c r="B2" s="80" t="n"/>
      <c r="C2" s="80" t="n"/>
      <c r="D2" s="80" t="n"/>
      <c r="E2" s="80" t="n"/>
      <c r="F2" s="80" t="n"/>
      <c r="G2" s="80" t="n"/>
      <c r="H2" s="80" t="n"/>
      <c r="I2" s="80" t="n"/>
      <c r="J2" s="80" t="n"/>
      <c r="K2" s="80" t="n"/>
      <c r="L2" s="80" t="n"/>
      <c r="M2" s="80" t="n"/>
      <c r="N2" s="80" t="n"/>
      <c r="O2" s="80" t="n"/>
      <c r="P2" s="80" t="n"/>
      <c r="Q2" s="80" t="n"/>
    </row>
    <row r="3" ht="20" customHeight="1">
      <c r="A3" s="81" t="inlineStr">
        <is>
          <t>◀ INÍCIO</t>
        </is>
      </c>
      <c r="B3" s="81" t="inlineStr">
        <is>
          <t>PAINEL</t>
        </is>
      </c>
      <c r="C3" s="81" t="inlineStr">
        <is>
          <t>PENDÊNCIAS</t>
        </is>
      </c>
      <c r="D3" s="82" t="inlineStr">
        <is>
          <t>Azul-claro = preencher   |   Cinza = automático   |   Linhas prontas: 200 registros</t>
        </is>
      </c>
    </row>
    <row r="4">
      <c r="A4" s="83" t="inlineStr">
        <is>
          <t>ID FIXO</t>
        </is>
      </c>
      <c r="B4" s="84" t="inlineStr">
        <is>
          <t>PREENCHER</t>
        </is>
      </c>
      <c r="C4" s="84" t="inlineStr">
        <is>
          <t>PREENCHER</t>
        </is>
      </c>
      <c r="D4" s="84" t="inlineStr">
        <is>
          <t>PREENCHER</t>
        </is>
      </c>
      <c r="E4" s="84" t="inlineStr">
        <is>
          <t>PREENCHER</t>
        </is>
      </c>
      <c r="F4" s="84" t="inlineStr">
        <is>
          <t>PREENCHER</t>
        </is>
      </c>
      <c r="G4" s="84" t="inlineStr">
        <is>
          <t>PREENCHER</t>
        </is>
      </c>
      <c r="H4" s="84" t="inlineStr">
        <is>
          <t>PREENCHER</t>
        </is>
      </c>
      <c r="I4" s="84" t="inlineStr">
        <is>
          <t>PREENCHER</t>
        </is>
      </c>
      <c r="J4" s="84" t="inlineStr">
        <is>
          <t>PREENCHER</t>
        </is>
      </c>
      <c r="K4" s="84" t="inlineStr">
        <is>
          <t>PREENCHER</t>
        </is>
      </c>
      <c r="L4" s="84" t="inlineStr">
        <is>
          <t>PREENCHER</t>
        </is>
      </c>
      <c r="M4" s="84" t="inlineStr">
        <is>
          <t>PREENCHER</t>
        </is>
      </c>
      <c r="N4" s="84" t="inlineStr">
        <is>
          <t>PREENCHER</t>
        </is>
      </c>
      <c r="O4" s="84" t="inlineStr">
        <is>
          <t>PREENCHER</t>
        </is>
      </c>
      <c r="P4" s="85" t="inlineStr">
        <is>
          <t>AUTOMÁTICO</t>
        </is>
      </c>
      <c r="Q4" s="85" t="inlineStr">
        <is>
          <t>AUTOMÁTICO</t>
        </is>
      </c>
    </row>
    <row r="5" ht="46" customHeight="1">
      <c r="A5" s="86" t="inlineStr">
        <is>
          <t>ID interno do parceiro</t>
        </is>
      </c>
      <c r="B5" s="86" t="inlineStr">
        <is>
          <t>Razão social</t>
        </is>
      </c>
      <c r="C5" s="86" t="inlineStr">
        <is>
          <t>Nome fantasia</t>
        </is>
      </c>
      <c r="D5" s="86" t="inlineStr">
        <is>
          <t>CNPJ ou identificação aplicável</t>
        </is>
      </c>
      <c r="E5" s="86" t="inlineStr">
        <is>
          <t>Tipo de atuação</t>
        </is>
      </c>
      <c r="F5" s="86" t="inlineStr">
        <is>
          <t>Unidade/estabelecimento</t>
        </is>
      </c>
      <c r="G5" s="86" t="inlineStr">
        <is>
          <t>Município</t>
        </is>
      </c>
      <c r="H5" s="86" t="inlineStr">
        <is>
          <t>UF</t>
        </is>
      </c>
      <c r="I5" s="86" t="inlineStr">
        <is>
          <t>Contato</t>
        </is>
      </c>
      <c r="J5" s="86" t="inlineStr">
        <is>
          <t>E-mail</t>
        </is>
      </c>
      <c r="K5" s="86" t="inlineStr">
        <is>
          <t>Telefone</t>
        </is>
      </c>
      <c r="L5" s="86" t="inlineStr">
        <is>
          <t>Situação informada do cadastro</t>
        </is>
      </c>
      <c r="M5" s="86" t="inlineStr">
        <is>
          <t>Documento de autorização informado</t>
        </is>
      </c>
      <c r="N5" s="86" t="inlineStr">
        <is>
          <t>Data de validade informada</t>
        </is>
      </c>
      <c r="O5" s="86" t="inlineStr">
        <is>
          <t>Observações</t>
        </is>
      </c>
      <c r="P5" s="87" t="inlineStr">
        <is>
          <t>Nome para seleção</t>
        </is>
      </c>
      <c r="Q5" s="87" t="inlineStr">
        <is>
          <t>Alerta do cadastro</t>
        </is>
      </c>
      <c r="R5" s="88" t="inlineStr">
        <is>
          <t>aux transportador</t>
        </is>
      </c>
      <c r="S5" s="88" t="inlineStr">
        <is>
          <t>aux ordem transportador</t>
        </is>
      </c>
      <c r="T5" s="88" t="inlineStr">
        <is>
          <t>aux destinador</t>
        </is>
      </c>
      <c r="U5" s="88" t="inlineStr">
        <is>
          <t>aux ordem destinador</t>
        </is>
      </c>
      <c r="V5" s="88" t="inlineStr">
        <is>
          <t>aux MTRs no painel</t>
        </is>
      </c>
      <c r="W5" s="88" t="inlineStr">
        <is>
          <t>aux ordem gráfico</t>
        </is>
      </c>
    </row>
    <row r="6">
      <c r="A6" s="89" t="inlineStr">
        <is>
          <t>PA-001</t>
        </is>
      </c>
      <c r="B6" s="91" t="n"/>
      <c r="C6" s="91" t="n"/>
      <c r="D6" s="90" t="n"/>
      <c r="E6" s="91" t="n"/>
      <c r="F6" s="91" t="n"/>
      <c r="G6" s="91" t="n"/>
      <c r="H6" s="91" t="n"/>
      <c r="I6" s="91" t="n"/>
      <c r="J6" s="91" t="n"/>
      <c r="K6" s="90" t="n"/>
      <c r="L6" s="91" t="n"/>
      <c r="M6" s="91" t="n"/>
      <c r="N6" s="92" t="n"/>
      <c r="O6" s="91" t="n"/>
      <c r="P6" s="94" t="str">
        <f>IF(AND(B6="",C6=""),"",IF(C6&lt;&gt;"",C6,B6)&amp;IF(F6&lt;&gt;""," | "&amp;F6,""))</f>
        <v/>
      </c>
      <c r="Q6" s="94" t="str">
        <f>IF(P6="",IF(COUNTA(B6:O6)&gt;0,"Informe razão social ou nome fantasia",""),IF(E6="","Informe o tipo de atuação",IF(SUMPRODUCT(--($P$6:$P$205=P6))&gt;1,"Nome repetido: diferencie pelo estabelecimento",IF(AND(ISNUMBER(N6),N6&lt;TODAY()),"Validade informada vencida: conferir","OK"))))</f>
        <v/>
      </c>
      <c r="R6" s="96">
        <f>IF(AND(P6&lt;&gt;"",OR(E6="Transportador",E6="Ambos")),1,0)</f>
        <v>0</v>
      </c>
      <c r="S6" s="96" t="str">
        <f>IF(R6=1,COUNTIF($R$6:R6,1),"")</f>
        <v/>
      </c>
      <c r="T6" s="96">
        <f>IF(AND(P6&lt;&gt;"",OR(E6="Destinador",E6="Ambos")),1,0)</f>
        <v>0</v>
      </c>
      <c r="U6" s="96" t="str">
        <f>IF(T6=1,COUNTIF($T$6:T6,1),"")</f>
        <v/>
      </c>
      <c r="V6" s="96" t="str">
        <f>IF(T6=1,COUNTIFS('MTRs'!$I$6:$I$505,P6,'MTRs'!$AY$6:$AY$505,1,'MTRs'!$AA$6:$AA$505,0),"")</f>
        <v/>
      </c>
      <c r="W6" s="96" t="str">
        <f>IF(N(V6)&gt;0,V6+(1000-1)/10000,"")</f>
        <v/>
      </c>
    </row>
    <row r="7">
      <c r="A7" s="89" t="inlineStr">
        <is>
          <t>PA-002</t>
        </is>
      </c>
      <c r="B7" s="91" t="n"/>
      <c r="C7" s="91" t="n"/>
      <c r="D7" s="90" t="n"/>
      <c r="E7" s="91" t="n"/>
      <c r="F7" s="91" t="n"/>
      <c r="G7" s="91" t="n"/>
      <c r="H7" s="91" t="n"/>
      <c r="I7" s="91" t="n"/>
      <c r="J7" s="91" t="n"/>
      <c r="K7" s="90" t="n"/>
      <c r="L7" s="91" t="n"/>
      <c r="M7" s="91" t="n"/>
      <c r="N7" s="92" t="n"/>
      <c r="O7" s="91" t="n"/>
      <c r="P7" s="94" t="str">
        <f>IF(AND(B7="",C7=""),"",IF(C7&lt;&gt;"",C7,B7)&amp;IF(F7&lt;&gt;""," | "&amp;F7,""))</f>
        <v/>
      </c>
      <c r="Q7" s="94" t="str">
        <f>IF(P7="",IF(COUNTA(B7:O7)&gt;0,"Informe razão social ou nome fantasia",""),IF(E7="","Informe o tipo de atuação",IF(SUMPRODUCT(--($P$6:$P$205=P7))&gt;1,"Nome repetido: diferencie pelo estabelecimento",IF(AND(ISNUMBER(N7),N7&lt;TODAY()),"Validade informada vencida: conferir","OK"))))</f>
        <v/>
      </c>
      <c r="R7" s="96">
        <f>IF(AND(P7&lt;&gt;"",OR(E7="Transportador",E7="Ambos")),1,0)</f>
        <v>0</v>
      </c>
      <c r="S7" s="96" t="str">
        <f>IF(R7=1,COUNTIF($R$6:R7,1),"")</f>
        <v/>
      </c>
      <c r="T7" s="96">
        <f>IF(AND(P7&lt;&gt;"",OR(E7="Destinador",E7="Ambos")),1,0)</f>
        <v>0</v>
      </c>
      <c r="U7" s="96" t="str">
        <f>IF(T7=1,COUNTIF($T$6:T7,1),"")</f>
        <v/>
      </c>
      <c r="V7" s="96" t="str">
        <f>IF(T7=1,COUNTIFS('MTRs'!$I$6:$I$505,P7,'MTRs'!$AY$6:$AY$505,1,'MTRs'!$AA$6:$AA$505,0),"")</f>
        <v/>
      </c>
      <c r="W7" s="96" t="str">
        <f>IF(N(V7)&gt;0,V7+(1000-2)/10000,"")</f>
        <v/>
      </c>
    </row>
    <row r="8">
      <c r="A8" s="89" t="inlineStr">
        <is>
          <t>PA-003</t>
        </is>
      </c>
      <c r="B8" s="91" t="n"/>
      <c r="C8" s="91" t="n"/>
      <c r="D8" s="90" t="n"/>
      <c r="E8" s="91" t="n"/>
      <c r="F8" s="91" t="n"/>
      <c r="G8" s="91" t="n"/>
      <c r="H8" s="91" t="n"/>
      <c r="I8" s="91" t="n"/>
      <c r="J8" s="91" t="n"/>
      <c r="K8" s="90" t="n"/>
      <c r="L8" s="91" t="n"/>
      <c r="M8" s="91" t="n"/>
      <c r="N8" s="92" t="n"/>
      <c r="O8" s="91" t="n"/>
      <c r="P8" s="94" t="str">
        <f>IF(AND(B8="",C8=""),"",IF(C8&lt;&gt;"",C8,B8)&amp;IF(F8&lt;&gt;""," | "&amp;F8,""))</f>
        <v/>
      </c>
      <c r="Q8" s="94" t="str">
        <f>IF(P8="",IF(COUNTA(B8:O8)&gt;0,"Informe razão social ou nome fantasia",""),IF(E8="","Informe o tipo de atuação",IF(SUMPRODUCT(--($P$6:$P$205=P8))&gt;1,"Nome repetido: diferencie pelo estabelecimento",IF(AND(ISNUMBER(N8),N8&lt;TODAY()),"Validade informada vencida: conferir","OK"))))</f>
        <v/>
      </c>
      <c r="R8" s="96">
        <f>IF(AND(P8&lt;&gt;"",OR(E8="Transportador",E8="Ambos")),1,0)</f>
        <v>0</v>
      </c>
      <c r="S8" s="96" t="str">
        <f>IF(R8=1,COUNTIF($R$6:R8,1),"")</f>
        <v/>
      </c>
      <c r="T8" s="96">
        <f>IF(AND(P8&lt;&gt;"",OR(E8="Destinador",E8="Ambos")),1,0)</f>
        <v>0</v>
      </c>
      <c r="U8" s="96" t="str">
        <f>IF(T8=1,COUNTIF($T$6:T8,1),"")</f>
        <v/>
      </c>
      <c r="V8" s="96" t="str">
        <f>IF(T8=1,COUNTIFS('MTRs'!$I$6:$I$505,P8,'MTRs'!$AY$6:$AY$505,1,'MTRs'!$AA$6:$AA$505,0),"")</f>
        <v/>
      </c>
      <c r="W8" s="96" t="str">
        <f>IF(N(V8)&gt;0,V8+(1000-3)/10000,"")</f>
        <v/>
      </c>
    </row>
    <row r="9">
      <c r="A9" s="89" t="inlineStr">
        <is>
          <t>PA-004</t>
        </is>
      </c>
      <c r="B9" s="91" t="n"/>
      <c r="C9" s="91" t="n"/>
      <c r="D9" s="90" t="n"/>
      <c r="E9" s="91" t="n"/>
      <c r="F9" s="91" t="n"/>
      <c r="G9" s="91" t="n"/>
      <c r="H9" s="91" t="n"/>
      <c r="I9" s="91" t="n"/>
      <c r="J9" s="91" t="n"/>
      <c r="K9" s="90" t="n"/>
      <c r="L9" s="91" t="n"/>
      <c r="M9" s="91" t="n"/>
      <c r="N9" s="92" t="n"/>
      <c r="O9" s="91" t="n"/>
      <c r="P9" s="94" t="str">
        <f>IF(AND(B9="",C9=""),"",IF(C9&lt;&gt;"",C9,B9)&amp;IF(F9&lt;&gt;""," | "&amp;F9,""))</f>
        <v/>
      </c>
      <c r="Q9" s="94" t="str">
        <f>IF(P9="",IF(COUNTA(B9:O9)&gt;0,"Informe razão social ou nome fantasia",""),IF(E9="","Informe o tipo de atuação",IF(SUMPRODUCT(--($P$6:$P$205=P9))&gt;1,"Nome repetido: diferencie pelo estabelecimento",IF(AND(ISNUMBER(N9),N9&lt;TODAY()),"Validade informada vencida: conferir","OK"))))</f>
        <v/>
      </c>
      <c r="R9" s="96">
        <f>IF(AND(P9&lt;&gt;"",OR(E9="Transportador",E9="Ambos")),1,0)</f>
        <v>0</v>
      </c>
      <c r="S9" s="96" t="str">
        <f>IF(R9=1,COUNTIF($R$6:R9,1),"")</f>
        <v/>
      </c>
      <c r="T9" s="96">
        <f>IF(AND(P9&lt;&gt;"",OR(E9="Destinador",E9="Ambos")),1,0)</f>
        <v>0</v>
      </c>
      <c r="U9" s="96" t="str">
        <f>IF(T9=1,COUNTIF($T$6:T9,1),"")</f>
        <v/>
      </c>
      <c r="V9" s="96" t="str">
        <f>IF(T9=1,COUNTIFS('MTRs'!$I$6:$I$505,P9,'MTRs'!$AY$6:$AY$505,1,'MTRs'!$AA$6:$AA$505,0),"")</f>
        <v/>
      </c>
      <c r="W9" s="96" t="str">
        <f>IF(N(V9)&gt;0,V9+(1000-4)/10000,"")</f>
        <v/>
      </c>
    </row>
    <row r="10">
      <c r="A10" s="89" t="inlineStr">
        <is>
          <t>PA-005</t>
        </is>
      </c>
      <c r="B10" s="91" t="n"/>
      <c r="C10" s="91" t="n"/>
      <c r="D10" s="90" t="n"/>
      <c r="E10" s="91" t="n"/>
      <c r="F10" s="91" t="n"/>
      <c r="G10" s="91" t="n"/>
      <c r="H10" s="91" t="n"/>
      <c r="I10" s="91" t="n"/>
      <c r="J10" s="91" t="n"/>
      <c r="K10" s="90" t="n"/>
      <c r="L10" s="91" t="n"/>
      <c r="M10" s="91" t="n"/>
      <c r="N10" s="92" t="n"/>
      <c r="O10" s="91" t="n"/>
      <c r="P10" s="94" t="str">
        <f>IF(AND(B10="",C10=""),"",IF(C10&lt;&gt;"",C10,B10)&amp;IF(F10&lt;&gt;""," | "&amp;F10,""))</f>
        <v/>
      </c>
      <c r="Q10" s="94" t="str">
        <f>IF(P10="",IF(COUNTA(B10:O10)&gt;0,"Informe razão social ou nome fantasia",""),IF(E10="","Informe o tipo de atuação",IF(SUMPRODUCT(--($P$6:$P$205=P10))&gt;1,"Nome repetido: diferencie pelo estabelecimento",IF(AND(ISNUMBER(N10),N10&lt;TODAY()),"Validade informada vencida: conferir","OK"))))</f>
        <v/>
      </c>
      <c r="R10" s="96">
        <f>IF(AND(P10&lt;&gt;"",OR(E10="Transportador",E10="Ambos")),1,0)</f>
        <v>0</v>
      </c>
      <c r="S10" s="96" t="str">
        <f>IF(R10=1,COUNTIF($R$6:R10,1),"")</f>
        <v/>
      </c>
      <c r="T10" s="96">
        <f>IF(AND(P10&lt;&gt;"",OR(E10="Destinador",E10="Ambos")),1,0)</f>
        <v>0</v>
      </c>
      <c r="U10" s="96" t="str">
        <f>IF(T10=1,COUNTIF($T$6:T10,1),"")</f>
        <v/>
      </c>
      <c r="V10" s="96" t="str">
        <f>IF(T10=1,COUNTIFS('MTRs'!$I$6:$I$505,P10,'MTRs'!$AY$6:$AY$505,1,'MTRs'!$AA$6:$AA$505,0),"")</f>
        <v/>
      </c>
      <c r="W10" s="96" t="str">
        <f>IF(N(V10)&gt;0,V10+(1000-5)/10000,"")</f>
        <v/>
      </c>
    </row>
    <row r="11">
      <c r="A11" s="89" t="inlineStr">
        <is>
          <t>PA-006</t>
        </is>
      </c>
      <c r="B11" s="91" t="n"/>
      <c r="C11" s="91" t="n"/>
      <c r="D11" s="90" t="n"/>
      <c r="E11" s="91" t="n"/>
      <c r="F11" s="91" t="n"/>
      <c r="G11" s="91" t="n"/>
      <c r="H11" s="91" t="n"/>
      <c r="I11" s="91" t="n"/>
      <c r="J11" s="91" t="n"/>
      <c r="K11" s="90" t="n"/>
      <c r="L11" s="91" t="n"/>
      <c r="M11" s="91" t="n"/>
      <c r="N11" s="92" t="n"/>
      <c r="O11" s="91" t="n"/>
      <c r="P11" s="94" t="str">
        <f>IF(AND(B11="",C11=""),"",IF(C11&lt;&gt;"",C11,B11)&amp;IF(F11&lt;&gt;""," | "&amp;F11,""))</f>
        <v/>
      </c>
      <c r="Q11" s="94" t="str">
        <f>IF(P11="",IF(COUNTA(B11:O11)&gt;0,"Informe razão social ou nome fantasia",""),IF(E11="","Informe o tipo de atuação",IF(SUMPRODUCT(--($P$6:$P$205=P11))&gt;1,"Nome repetido: diferencie pelo estabelecimento",IF(AND(ISNUMBER(N11),N11&lt;TODAY()),"Validade informada vencida: conferir","OK"))))</f>
        <v/>
      </c>
      <c r="R11" s="96">
        <f>IF(AND(P11&lt;&gt;"",OR(E11="Transportador",E11="Ambos")),1,0)</f>
        <v>0</v>
      </c>
      <c r="S11" s="96" t="str">
        <f>IF(R11=1,COUNTIF($R$6:R11,1),"")</f>
        <v/>
      </c>
      <c r="T11" s="96">
        <f>IF(AND(P11&lt;&gt;"",OR(E11="Destinador",E11="Ambos")),1,0)</f>
        <v>0</v>
      </c>
      <c r="U11" s="96" t="str">
        <f>IF(T11=1,COUNTIF($T$6:T11,1),"")</f>
        <v/>
      </c>
      <c r="V11" s="96" t="str">
        <f>IF(T11=1,COUNTIFS('MTRs'!$I$6:$I$505,P11,'MTRs'!$AY$6:$AY$505,1,'MTRs'!$AA$6:$AA$505,0),"")</f>
        <v/>
      </c>
      <c r="W11" s="96" t="str">
        <f>IF(N(V11)&gt;0,V11+(1000-6)/10000,"")</f>
        <v/>
      </c>
    </row>
    <row r="12">
      <c r="A12" s="89" t="inlineStr">
        <is>
          <t>PA-007</t>
        </is>
      </c>
      <c r="B12" s="91" t="n"/>
      <c r="C12" s="91" t="n"/>
      <c r="D12" s="90" t="n"/>
      <c r="E12" s="91" t="n"/>
      <c r="F12" s="91" t="n"/>
      <c r="G12" s="91" t="n"/>
      <c r="H12" s="91" t="n"/>
      <c r="I12" s="91" t="n"/>
      <c r="J12" s="91" t="n"/>
      <c r="K12" s="90" t="n"/>
      <c r="L12" s="91" t="n"/>
      <c r="M12" s="91" t="n"/>
      <c r="N12" s="92" t="n"/>
      <c r="O12" s="91" t="n"/>
      <c r="P12" s="94" t="str">
        <f>IF(AND(B12="",C12=""),"",IF(C12&lt;&gt;"",C12,B12)&amp;IF(F12&lt;&gt;""," | "&amp;F12,""))</f>
        <v/>
      </c>
      <c r="Q12" s="94" t="str">
        <f>IF(P12="",IF(COUNTA(B12:O12)&gt;0,"Informe razão social ou nome fantasia",""),IF(E12="","Informe o tipo de atuação",IF(SUMPRODUCT(--($P$6:$P$205=P12))&gt;1,"Nome repetido: diferencie pelo estabelecimento",IF(AND(ISNUMBER(N12),N12&lt;TODAY()),"Validade informada vencida: conferir","OK"))))</f>
        <v/>
      </c>
      <c r="R12" s="96">
        <f>IF(AND(P12&lt;&gt;"",OR(E12="Transportador",E12="Ambos")),1,0)</f>
        <v>0</v>
      </c>
      <c r="S12" s="96" t="str">
        <f>IF(R12=1,COUNTIF($R$6:R12,1),"")</f>
        <v/>
      </c>
      <c r="T12" s="96">
        <f>IF(AND(P12&lt;&gt;"",OR(E12="Destinador",E12="Ambos")),1,0)</f>
        <v>0</v>
      </c>
      <c r="U12" s="96" t="str">
        <f>IF(T12=1,COUNTIF($T$6:T12,1),"")</f>
        <v/>
      </c>
      <c r="V12" s="96" t="str">
        <f>IF(T12=1,COUNTIFS('MTRs'!$I$6:$I$505,P12,'MTRs'!$AY$6:$AY$505,1,'MTRs'!$AA$6:$AA$505,0),"")</f>
        <v/>
      </c>
      <c r="W12" s="96" t="str">
        <f>IF(N(V12)&gt;0,V12+(1000-7)/10000,"")</f>
        <v/>
      </c>
    </row>
    <row r="13">
      <c r="A13" s="89" t="inlineStr">
        <is>
          <t>PA-008</t>
        </is>
      </c>
      <c r="B13" s="91" t="n"/>
      <c r="C13" s="91" t="n"/>
      <c r="D13" s="90" t="n"/>
      <c r="E13" s="91" t="n"/>
      <c r="F13" s="91" t="n"/>
      <c r="G13" s="91" t="n"/>
      <c r="H13" s="91" t="n"/>
      <c r="I13" s="91" t="n"/>
      <c r="J13" s="91" t="n"/>
      <c r="K13" s="90" t="n"/>
      <c r="L13" s="91" t="n"/>
      <c r="M13" s="91" t="n"/>
      <c r="N13" s="92" t="n"/>
      <c r="O13" s="91" t="n"/>
      <c r="P13" s="94" t="str">
        <f>IF(AND(B13="",C13=""),"",IF(C13&lt;&gt;"",C13,B13)&amp;IF(F13&lt;&gt;""," | "&amp;F13,""))</f>
        <v/>
      </c>
      <c r="Q13" s="94" t="str">
        <f>IF(P13="",IF(COUNTA(B13:O13)&gt;0,"Informe razão social ou nome fantasia",""),IF(E13="","Informe o tipo de atuação",IF(SUMPRODUCT(--($P$6:$P$205=P13))&gt;1,"Nome repetido: diferencie pelo estabelecimento",IF(AND(ISNUMBER(N13),N13&lt;TODAY()),"Validade informada vencida: conferir","OK"))))</f>
        <v/>
      </c>
      <c r="R13" s="96">
        <f>IF(AND(P13&lt;&gt;"",OR(E13="Transportador",E13="Ambos")),1,0)</f>
        <v>0</v>
      </c>
      <c r="S13" s="96" t="str">
        <f>IF(R13=1,COUNTIF($R$6:R13,1),"")</f>
        <v/>
      </c>
      <c r="T13" s="96">
        <f>IF(AND(P13&lt;&gt;"",OR(E13="Destinador",E13="Ambos")),1,0)</f>
        <v>0</v>
      </c>
      <c r="U13" s="96" t="str">
        <f>IF(T13=1,COUNTIF($T$6:T13,1),"")</f>
        <v/>
      </c>
      <c r="V13" s="96" t="str">
        <f>IF(T13=1,COUNTIFS('MTRs'!$I$6:$I$505,P13,'MTRs'!$AY$6:$AY$505,1,'MTRs'!$AA$6:$AA$505,0),"")</f>
        <v/>
      </c>
      <c r="W13" s="96" t="str">
        <f>IF(N(V13)&gt;0,V13+(1000-8)/10000,"")</f>
        <v/>
      </c>
    </row>
    <row r="14">
      <c r="A14" s="89" t="inlineStr">
        <is>
          <t>PA-009</t>
        </is>
      </c>
      <c r="B14" s="91" t="n"/>
      <c r="C14" s="91" t="n"/>
      <c r="D14" s="90" t="n"/>
      <c r="E14" s="91" t="n"/>
      <c r="F14" s="91" t="n"/>
      <c r="G14" s="91" t="n"/>
      <c r="H14" s="91" t="n"/>
      <c r="I14" s="91" t="n"/>
      <c r="J14" s="91" t="n"/>
      <c r="K14" s="90" t="n"/>
      <c r="L14" s="91" t="n"/>
      <c r="M14" s="91" t="n"/>
      <c r="N14" s="92" t="n"/>
      <c r="O14" s="91" t="n"/>
      <c r="P14" s="94" t="str">
        <f>IF(AND(B14="",C14=""),"",IF(C14&lt;&gt;"",C14,B14)&amp;IF(F14&lt;&gt;""," | "&amp;F14,""))</f>
        <v/>
      </c>
      <c r="Q14" s="94" t="str">
        <f>IF(P14="",IF(COUNTA(B14:O14)&gt;0,"Informe razão social ou nome fantasia",""),IF(E14="","Informe o tipo de atuação",IF(SUMPRODUCT(--($P$6:$P$205=P14))&gt;1,"Nome repetido: diferencie pelo estabelecimento",IF(AND(ISNUMBER(N14),N14&lt;TODAY()),"Validade informada vencida: conferir","OK"))))</f>
        <v/>
      </c>
      <c r="R14" s="96">
        <f>IF(AND(P14&lt;&gt;"",OR(E14="Transportador",E14="Ambos")),1,0)</f>
        <v>0</v>
      </c>
      <c r="S14" s="96" t="str">
        <f>IF(R14=1,COUNTIF($R$6:R14,1),"")</f>
        <v/>
      </c>
      <c r="T14" s="96">
        <f>IF(AND(P14&lt;&gt;"",OR(E14="Destinador",E14="Ambos")),1,0)</f>
        <v>0</v>
      </c>
      <c r="U14" s="96" t="str">
        <f>IF(T14=1,COUNTIF($T$6:T14,1),"")</f>
        <v/>
      </c>
      <c r="V14" s="96" t="str">
        <f>IF(T14=1,COUNTIFS('MTRs'!$I$6:$I$505,P14,'MTRs'!$AY$6:$AY$505,1,'MTRs'!$AA$6:$AA$505,0),"")</f>
        <v/>
      </c>
      <c r="W14" s="96" t="str">
        <f>IF(N(V14)&gt;0,V14+(1000-9)/10000,"")</f>
        <v/>
      </c>
    </row>
    <row r="15">
      <c r="A15" s="89" t="inlineStr">
        <is>
          <t>PA-010</t>
        </is>
      </c>
      <c r="B15" s="91" t="n"/>
      <c r="C15" s="91" t="n"/>
      <c r="D15" s="90" t="n"/>
      <c r="E15" s="91" t="n"/>
      <c r="F15" s="91" t="n"/>
      <c r="G15" s="91" t="n"/>
      <c r="H15" s="91" t="n"/>
      <c r="I15" s="91" t="n"/>
      <c r="J15" s="91" t="n"/>
      <c r="K15" s="90" t="n"/>
      <c r="L15" s="91" t="n"/>
      <c r="M15" s="91" t="n"/>
      <c r="N15" s="92" t="n"/>
      <c r="O15" s="91" t="n"/>
      <c r="P15" s="94" t="str">
        <f>IF(AND(B15="",C15=""),"",IF(C15&lt;&gt;"",C15,B15)&amp;IF(F15&lt;&gt;""," | "&amp;F15,""))</f>
        <v/>
      </c>
      <c r="Q15" s="94" t="str">
        <f>IF(P15="",IF(COUNTA(B15:O15)&gt;0,"Informe razão social ou nome fantasia",""),IF(E15="","Informe o tipo de atuação",IF(SUMPRODUCT(--($P$6:$P$205=P15))&gt;1,"Nome repetido: diferencie pelo estabelecimento",IF(AND(ISNUMBER(N15),N15&lt;TODAY()),"Validade informada vencida: conferir","OK"))))</f>
        <v/>
      </c>
      <c r="R15" s="96">
        <f>IF(AND(P15&lt;&gt;"",OR(E15="Transportador",E15="Ambos")),1,0)</f>
        <v>0</v>
      </c>
      <c r="S15" s="96" t="str">
        <f>IF(R15=1,COUNTIF($R$6:R15,1),"")</f>
        <v/>
      </c>
      <c r="T15" s="96">
        <f>IF(AND(P15&lt;&gt;"",OR(E15="Destinador",E15="Ambos")),1,0)</f>
        <v>0</v>
      </c>
      <c r="U15" s="96" t="str">
        <f>IF(T15=1,COUNTIF($T$6:T15,1),"")</f>
        <v/>
      </c>
      <c r="V15" s="96" t="str">
        <f>IF(T15=1,COUNTIFS('MTRs'!$I$6:$I$505,P15,'MTRs'!$AY$6:$AY$505,1,'MTRs'!$AA$6:$AA$505,0),"")</f>
        <v/>
      </c>
      <c r="W15" s="96" t="str">
        <f>IF(N(V15)&gt;0,V15+(1000-10)/10000,"")</f>
        <v/>
      </c>
    </row>
    <row r="16">
      <c r="A16" s="89" t="inlineStr">
        <is>
          <t>PA-011</t>
        </is>
      </c>
      <c r="B16" s="91" t="n"/>
      <c r="C16" s="91" t="n"/>
      <c r="D16" s="90" t="n"/>
      <c r="E16" s="91" t="n"/>
      <c r="F16" s="91" t="n"/>
      <c r="G16" s="91" t="n"/>
      <c r="H16" s="91" t="n"/>
      <c r="I16" s="91" t="n"/>
      <c r="J16" s="91" t="n"/>
      <c r="K16" s="90" t="n"/>
      <c r="L16" s="91" t="n"/>
      <c r="M16" s="91" t="n"/>
      <c r="N16" s="92" t="n"/>
      <c r="O16" s="91" t="n"/>
      <c r="P16" s="94" t="str">
        <f>IF(AND(B16="",C16=""),"",IF(C16&lt;&gt;"",C16,B16)&amp;IF(F16&lt;&gt;""," | "&amp;F16,""))</f>
        <v/>
      </c>
      <c r="Q16" s="94" t="str">
        <f>IF(P16="",IF(COUNTA(B16:O16)&gt;0,"Informe razão social ou nome fantasia",""),IF(E16="","Informe o tipo de atuação",IF(SUMPRODUCT(--($P$6:$P$205=P16))&gt;1,"Nome repetido: diferencie pelo estabelecimento",IF(AND(ISNUMBER(N16),N16&lt;TODAY()),"Validade informada vencida: conferir","OK"))))</f>
        <v/>
      </c>
      <c r="R16" s="96">
        <f>IF(AND(P16&lt;&gt;"",OR(E16="Transportador",E16="Ambos")),1,0)</f>
        <v>0</v>
      </c>
      <c r="S16" s="96" t="str">
        <f>IF(R16=1,COUNTIF($R$6:R16,1),"")</f>
        <v/>
      </c>
      <c r="T16" s="96">
        <f>IF(AND(P16&lt;&gt;"",OR(E16="Destinador",E16="Ambos")),1,0)</f>
        <v>0</v>
      </c>
      <c r="U16" s="96" t="str">
        <f>IF(T16=1,COUNTIF($T$6:T16,1),"")</f>
        <v/>
      </c>
      <c r="V16" s="96" t="str">
        <f>IF(T16=1,COUNTIFS('MTRs'!$I$6:$I$505,P16,'MTRs'!$AY$6:$AY$505,1,'MTRs'!$AA$6:$AA$505,0),"")</f>
        <v/>
      </c>
      <c r="W16" s="96" t="str">
        <f>IF(N(V16)&gt;0,V16+(1000-11)/10000,"")</f>
        <v/>
      </c>
    </row>
    <row r="17">
      <c r="A17" s="89" t="inlineStr">
        <is>
          <t>PA-012</t>
        </is>
      </c>
      <c r="B17" s="91" t="n"/>
      <c r="C17" s="91" t="n"/>
      <c r="D17" s="90" t="n"/>
      <c r="E17" s="91" t="n"/>
      <c r="F17" s="91" t="n"/>
      <c r="G17" s="91" t="n"/>
      <c r="H17" s="91" t="n"/>
      <c r="I17" s="91" t="n"/>
      <c r="J17" s="91" t="n"/>
      <c r="K17" s="90" t="n"/>
      <c r="L17" s="91" t="n"/>
      <c r="M17" s="91" t="n"/>
      <c r="N17" s="92" t="n"/>
      <c r="O17" s="91" t="n"/>
      <c r="P17" s="94" t="str">
        <f>IF(AND(B17="",C17=""),"",IF(C17&lt;&gt;"",C17,B17)&amp;IF(F17&lt;&gt;""," | "&amp;F17,""))</f>
        <v/>
      </c>
      <c r="Q17" s="94" t="str">
        <f>IF(P17="",IF(COUNTA(B17:O17)&gt;0,"Informe razão social ou nome fantasia",""),IF(E17="","Informe o tipo de atuação",IF(SUMPRODUCT(--($P$6:$P$205=P17))&gt;1,"Nome repetido: diferencie pelo estabelecimento",IF(AND(ISNUMBER(N17),N17&lt;TODAY()),"Validade informada vencida: conferir","OK"))))</f>
        <v/>
      </c>
      <c r="R17" s="96">
        <f>IF(AND(P17&lt;&gt;"",OR(E17="Transportador",E17="Ambos")),1,0)</f>
        <v>0</v>
      </c>
      <c r="S17" s="96" t="str">
        <f>IF(R17=1,COUNTIF($R$6:R17,1),"")</f>
        <v/>
      </c>
      <c r="T17" s="96">
        <f>IF(AND(P17&lt;&gt;"",OR(E17="Destinador",E17="Ambos")),1,0)</f>
        <v>0</v>
      </c>
      <c r="U17" s="96" t="str">
        <f>IF(T17=1,COUNTIF($T$6:T17,1),"")</f>
        <v/>
      </c>
      <c r="V17" s="96" t="str">
        <f>IF(T17=1,COUNTIFS('MTRs'!$I$6:$I$505,P17,'MTRs'!$AY$6:$AY$505,1,'MTRs'!$AA$6:$AA$505,0),"")</f>
        <v/>
      </c>
      <c r="W17" s="96" t="str">
        <f>IF(N(V17)&gt;0,V17+(1000-12)/10000,"")</f>
        <v/>
      </c>
    </row>
    <row r="18">
      <c r="A18" s="89" t="inlineStr">
        <is>
          <t>PA-013</t>
        </is>
      </c>
      <c r="B18" s="91" t="n"/>
      <c r="C18" s="91" t="n"/>
      <c r="D18" s="90" t="n"/>
      <c r="E18" s="91" t="n"/>
      <c r="F18" s="91" t="n"/>
      <c r="G18" s="91" t="n"/>
      <c r="H18" s="91" t="n"/>
      <c r="I18" s="91" t="n"/>
      <c r="J18" s="91" t="n"/>
      <c r="K18" s="90" t="n"/>
      <c r="L18" s="91" t="n"/>
      <c r="M18" s="91" t="n"/>
      <c r="N18" s="92" t="n"/>
      <c r="O18" s="91" t="n"/>
      <c r="P18" s="94" t="str">
        <f>IF(AND(B18="",C18=""),"",IF(C18&lt;&gt;"",C18,B18)&amp;IF(F18&lt;&gt;""," | "&amp;F18,""))</f>
        <v/>
      </c>
      <c r="Q18" s="94" t="str">
        <f>IF(P18="",IF(COUNTA(B18:O18)&gt;0,"Informe razão social ou nome fantasia",""),IF(E18="","Informe o tipo de atuação",IF(SUMPRODUCT(--($P$6:$P$205=P18))&gt;1,"Nome repetido: diferencie pelo estabelecimento",IF(AND(ISNUMBER(N18),N18&lt;TODAY()),"Validade informada vencida: conferir","OK"))))</f>
        <v/>
      </c>
      <c r="R18" s="96">
        <f>IF(AND(P18&lt;&gt;"",OR(E18="Transportador",E18="Ambos")),1,0)</f>
        <v>0</v>
      </c>
      <c r="S18" s="96" t="str">
        <f>IF(R18=1,COUNTIF($R$6:R18,1),"")</f>
        <v/>
      </c>
      <c r="T18" s="96">
        <f>IF(AND(P18&lt;&gt;"",OR(E18="Destinador",E18="Ambos")),1,0)</f>
        <v>0</v>
      </c>
      <c r="U18" s="96" t="str">
        <f>IF(T18=1,COUNTIF($T$6:T18,1),"")</f>
        <v/>
      </c>
      <c r="V18" s="96" t="str">
        <f>IF(T18=1,COUNTIFS('MTRs'!$I$6:$I$505,P18,'MTRs'!$AY$6:$AY$505,1,'MTRs'!$AA$6:$AA$505,0),"")</f>
        <v/>
      </c>
      <c r="W18" s="96" t="str">
        <f>IF(N(V18)&gt;0,V18+(1000-13)/10000,"")</f>
        <v/>
      </c>
    </row>
    <row r="19">
      <c r="A19" s="89" t="inlineStr">
        <is>
          <t>PA-014</t>
        </is>
      </c>
      <c r="B19" s="91" t="n"/>
      <c r="C19" s="91" t="n"/>
      <c r="D19" s="90" t="n"/>
      <c r="E19" s="91" t="n"/>
      <c r="F19" s="91" t="n"/>
      <c r="G19" s="91" t="n"/>
      <c r="H19" s="91" t="n"/>
      <c r="I19" s="91" t="n"/>
      <c r="J19" s="91" t="n"/>
      <c r="K19" s="90" t="n"/>
      <c r="L19" s="91" t="n"/>
      <c r="M19" s="91" t="n"/>
      <c r="N19" s="92" t="n"/>
      <c r="O19" s="91" t="n"/>
      <c r="P19" s="94" t="str">
        <f>IF(AND(B19="",C19=""),"",IF(C19&lt;&gt;"",C19,B19)&amp;IF(F19&lt;&gt;""," | "&amp;F19,""))</f>
        <v/>
      </c>
      <c r="Q19" s="94" t="str">
        <f>IF(P19="",IF(COUNTA(B19:O19)&gt;0,"Informe razão social ou nome fantasia",""),IF(E19="","Informe o tipo de atuação",IF(SUMPRODUCT(--($P$6:$P$205=P19))&gt;1,"Nome repetido: diferencie pelo estabelecimento",IF(AND(ISNUMBER(N19),N19&lt;TODAY()),"Validade informada vencida: conferir","OK"))))</f>
        <v/>
      </c>
      <c r="R19" s="96">
        <f>IF(AND(P19&lt;&gt;"",OR(E19="Transportador",E19="Ambos")),1,0)</f>
        <v>0</v>
      </c>
      <c r="S19" s="96" t="str">
        <f>IF(R19=1,COUNTIF($R$6:R19,1),"")</f>
        <v/>
      </c>
      <c r="T19" s="96">
        <f>IF(AND(P19&lt;&gt;"",OR(E19="Destinador",E19="Ambos")),1,0)</f>
        <v>0</v>
      </c>
      <c r="U19" s="96" t="str">
        <f>IF(T19=1,COUNTIF($T$6:T19,1),"")</f>
        <v/>
      </c>
      <c r="V19" s="96" t="str">
        <f>IF(T19=1,COUNTIFS('MTRs'!$I$6:$I$505,P19,'MTRs'!$AY$6:$AY$505,1,'MTRs'!$AA$6:$AA$505,0),"")</f>
        <v/>
      </c>
      <c r="W19" s="96" t="str">
        <f>IF(N(V19)&gt;0,V19+(1000-14)/10000,"")</f>
        <v/>
      </c>
    </row>
    <row r="20">
      <c r="A20" s="89" t="inlineStr">
        <is>
          <t>PA-015</t>
        </is>
      </c>
      <c r="B20" s="91" t="n"/>
      <c r="C20" s="91" t="n"/>
      <c r="D20" s="90" t="n"/>
      <c r="E20" s="91" t="n"/>
      <c r="F20" s="91" t="n"/>
      <c r="G20" s="91" t="n"/>
      <c r="H20" s="91" t="n"/>
      <c r="I20" s="91" t="n"/>
      <c r="J20" s="91" t="n"/>
      <c r="K20" s="90" t="n"/>
      <c r="L20" s="91" t="n"/>
      <c r="M20" s="91" t="n"/>
      <c r="N20" s="92" t="n"/>
      <c r="O20" s="91" t="n"/>
      <c r="P20" s="94" t="str">
        <f>IF(AND(B20="",C20=""),"",IF(C20&lt;&gt;"",C20,B20)&amp;IF(F20&lt;&gt;""," | "&amp;F20,""))</f>
        <v/>
      </c>
      <c r="Q20" s="94" t="str">
        <f>IF(P20="",IF(COUNTA(B20:O20)&gt;0,"Informe razão social ou nome fantasia",""),IF(E20="","Informe o tipo de atuação",IF(SUMPRODUCT(--($P$6:$P$205=P20))&gt;1,"Nome repetido: diferencie pelo estabelecimento",IF(AND(ISNUMBER(N20),N20&lt;TODAY()),"Validade informada vencida: conferir","OK"))))</f>
        <v/>
      </c>
      <c r="R20" s="96">
        <f>IF(AND(P20&lt;&gt;"",OR(E20="Transportador",E20="Ambos")),1,0)</f>
        <v>0</v>
      </c>
      <c r="S20" s="96" t="str">
        <f>IF(R20=1,COUNTIF($R$6:R20,1),"")</f>
        <v/>
      </c>
      <c r="T20" s="96">
        <f>IF(AND(P20&lt;&gt;"",OR(E20="Destinador",E20="Ambos")),1,0)</f>
        <v>0</v>
      </c>
      <c r="U20" s="96" t="str">
        <f>IF(T20=1,COUNTIF($T$6:T20,1),"")</f>
        <v/>
      </c>
      <c r="V20" s="96" t="str">
        <f>IF(T20=1,COUNTIFS('MTRs'!$I$6:$I$505,P20,'MTRs'!$AY$6:$AY$505,1,'MTRs'!$AA$6:$AA$505,0),"")</f>
        <v/>
      </c>
      <c r="W20" s="96" t="str">
        <f>IF(N(V20)&gt;0,V20+(1000-15)/10000,"")</f>
        <v/>
      </c>
    </row>
    <row r="21">
      <c r="A21" s="89" t="inlineStr">
        <is>
          <t>PA-016</t>
        </is>
      </c>
      <c r="B21" s="91" t="n"/>
      <c r="C21" s="91" t="n"/>
      <c r="D21" s="90" t="n"/>
      <c r="E21" s="91" t="n"/>
      <c r="F21" s="91" t="n"/>
      <c r="G21" s="91" t="n"/>
      <c r="H21" s="91" t="n"/>
      <c r="I21" s="91" t="n"/>
      <c r="J21" s="91" t="n"/>
      <c r="K21" s="90" t="n"/>
      <c r="L21" s="91" t="n"/>
      <c r="M21" s="91" t="n"/>
      <c r="N21" s="92" t="n"/>
      <c r="O21" s="91" t="n"/>
      <c r="P21" s="94" t="str">
        <f>IF(AND(B21="",C21=""),"",IF(C21&lt;&gt;"",C21,B21)&amp;IF(F21&lt;&gt;""," | "&amp;F21,""))</f>
        <v/>
      </c>
      <c r="Q21" s="94" t="str">
        <f>IF(P21="",IF(COUNTA(B21:O21)&gt;0,"Informe razão social ou nome fantasia",""),IF(E21="","Informe o tipo de atuação",IF(SUMPRODUCT(--($P$6:$P$205=P21))&gt;1,"Nome repetido: diferencie pelo estabelecimento",IF(AND(ISNUMBER(N21),N21&lt;TODAY()),"Validade informada vencida: conferir","OK"))))</f>
        <v/>
      </c>
      <c r="R21" s="96">
        <f>IF(AND(P21&lt;&gt;"",OR(E21="Transportador",E21="Ambos")),1,0)</f>
        <v>0</v>
      </c>
      <c r="S21" s="96" t="str">
        <f>IF(R21=1,COUNTIF($R$6:R21,1),"")</f>
        <v/>
      </c>
      <c r="T21" s="96">
        <f>IF(AND(P21&lt;&gt;"",OR(E21="Destinador",E21="Ambos")),1,0)</f>
        <v>0</v>
      </c>
      <c r="U21" s="96" t="str">
        <f>IF(T21=1,COUNTIF($T$6:T21,1),"")</f>
        <v/>
      </c>
      <c r="V21" s="96" t="str">
        <f>IF(T21=1,COUNTIFS('MTRs'!$I$6:$I$505,P21,'MTRs'!$AY$6:$AY$505,1,'MTRs'!$AA$6:$AA$505,0),"")</f>
        <v/>
      </c>
      <c r="W21" s="96" t="str">
        <f>IF(N(V21)&gt;0,V21+(1000-16)/10000,"")</f>
        <v/>
      </c>
    </row>
    <row r="22">
      <c r="A22" s="89" t="inlineStr">
        <is>
          <t>PA-017</t>
        </is>
      </c>
      <c r="B22" s="91" t="n"/>
      <c r="C22" s="91" t="n"/>
      <c r="D22" s="90" t="n"/>
      <c r="E22" s="91" t="n"/>
      <c r="F22" s="91" t="n"/>
      <c r="G22" s="91" t="n"/>
      <c r="H22" s="91" t="n"/>
      <c r="I22" s="91" t="n"/>
      <c r="J22" s="91" t="n"/>
      <c r="K22" s="90" t="n"/>
      <c r="L22" s="91" t="n"/>
      <c r="M22" s="91" t="n"/>
      <c r="N22" s="92" t="n"/>
      <c r="O22" s="91" t="n"/>
      <c r="P22" s="94" t="str">
        <f>IF(AND(B22="",C22=""),"",IF(C22&lt;&gt;"",C22,B22)&amp;IF(F22&lt;&gt;""," | "&amp;F22,""))</f>
        <v/>
      </c>
      <c r="Q22" s="94" t="str">
        <f>IF(P22="",IF(COUNTA(B22:O22)&gt;0,"Informe razão social ou nome fantasia",""),IF(E22="","Informe o tipo de atuação",IF(SUMPRODUCT(--($P$6:$P$205=P22))&gt;1,"Nome repetido: diferencie pelo estabelecimento",IF(AND(ISNUMBER(N22),N22&lt;TODAY()),"Validade informada vencida: conferir","OK"))))</f>
        <v/>
      </c>
      <c r="R22" s="96">
        <f>IF(AND(P22&lt;&gt;"",OR(E22="Transportador",E22="Ambos")),1,0)</f>
        <v>0</v>
      </c>
      <c r="S22" s="96" t="str">
        <f>IF(R22=1,COUNTIF($R$6:R22,1),"")</f>
        <v/>
      </c>
      <c r="T22" s="96">
        <f>IF(AND(P22&lt;&gt;"",OR(E22="Destinador",E22="Ambos")),1,0)</f>
        <v>0</v>
      </c>
      <c r="U22" s="96" t="str">
        <f>IF(T22=1,COUNTIF($T$6:T22,1),"")</f>
        <v/>
      </c>
      <c r="V22" s="96" t="str">
        <f>IF(T22=1,COUNTIFS('MTRs'!$I$6:$I$505,P22,'MTRs'!$AY$6:$AY$505,1,'MTRs'!$AA$6:$AA$505,0),"")</f>
        <v/>
      </c>
      <c r="W22" s="96" t="str">
        <f>IF(N(V22)&gt;0,V22+(1000-17)/10000,"")</f>
        <v/>
      </c>
    </row>
    <row r="23">
      <c r="A23" s="89" t="inlineStr">
        <is>
          <t>PA-018</t>
        </is>
      </c>
      <c r="B23" s="91" t="n"/>
      <c r="C23" s="91" t="n"/>
      <c r="D23" s="90" t="n"/>
      <c r="E23" s="91" t="n"/>
      <c r="F23" s="91" t="n"/>
      <c r="G23" s="91" t="n"/>
      <c r="H23" s="91" t="n"/>
      <c r="I23" s="91" t="n"/>
      <c r="J23" s="91" t="n"/>
      <c r="K23" s="90" t="n"/>
      <c r="L23" s="91" t="n"/>
      <c r="M23" s="91" t="n"/>
      <c r="N23" s="92" t="n"/>
      <c r="O23" s="91" t="n"/>
      <c r="P23" s="94" t="str">
        <f>IF(AND(B23="",C23=""),"",IF(C23&lt;&gt;"",C23,B23)&amp;IF(F23&lt;&gt;""," | "&amp;F23,""))</f>
        <v/>
      </c>
      <c r="Q23" s="94" t="str">
        <f>IF(P23="",IF(COUNTA(B23:O23)&gt;0,"Informe razão social ou nome fantasia",""),IF(E23="","Informe o tipo de atuação",IF(SUMPRODUCT(--($P$6:$P$205=P23))&gt;1,"Nome repetido: diferencie pelo estabelecimento",IF(AND(ISNUMBER(N23),N23&lt;TODAY()),"Validade informada vencida: conferir","OK"))))</f>
        <v/>
      </c>
      <c r="R23" s="96">
        <f>IF(AND(P23&lt;&gt;"",OR(E23="Transportador",E23="Ambos")),1,0)</f>
        <v>0</v>
      </c>
      <c r="S23" s="96" t="str">
        <f>IF(R23=1,COUNTIF($R$6:R23,1),"")</f>
        <v/>
      </c>
      <c r="T23" s="96">
        <f>IF(AND(P23&lt;&gt;"",OR(E23="Destinador",E23="Ambos")),1,0)</f>
        <v>0</v>
      </c>
      <c r="U23" s="96" t="str">
        <f>IF(T23=1,COUNTIF($T$6:T23,1),"")</f>
        <v/>
      </c>
      <c r="V23" s="96" t="str">
        <f>IF(T23=1,COUNTIFS('MTRs'!$I$6:$I$505,P23,'MTRs'!$AY$6:$AY$505,1,'MTRs'!$AA$6:$AA$505,0),"")</f>
        <v/>
      </c>
      <c r="W23" s="96" t="str">
        <f>IF(N(V23)&gt;0,V23+(1000-18)/10000,"")</f>
        <v/>
      </c>
    </row>
    <row r="24">
      <c r="A24" s="89" t="inlineStr">
        <is>
          <t>PA-019</t>
        </is>
      </c>
      <c r="B24" s="91" t="n"/>
      <c r="C24" s="91" t="n"/>
      <c r="D24" s="90" t="n"/>
      <c r="E24" s="91" t="n"/>
      <c r="F24" s="91" t="n"/>
      <c r="G24" s="91" t="n"/>
      <c r="H24" s="91" t="n"/>
      <c r="I24" s="91" t="n"/>
      <c r="J24" s="91" t="n"/>
      <c r="K24" s="90" t="n"/>
      <c r="L24" s="91" t="n"/>
      <c r="M24" s="91" t="n"/>
      <c r="N24" s="92" t="n"/>
      <c r="O24" s="91" t="n"/>
      <c r="P24" s="94" t="str">
        <f>IF(AND(B24="",C24=""),"",IF(C24&lt;&gt;"",C24,B24)&amp;IF(F24&lt;&gt;""," | "&amp;F24,""))</f>
        <v/>
      </c>
      <c r="Q24" s="94" t="str">
        <f>IF(P24="",IF(COUNTA(B24:O24)&gt;0,"Informe razão social ou nome fantasia",""),IF(E24="","Informe o tipo de atuação",IF(SUMPRODUCT(--($P$6:$P$205=P24))&gt;1,"Nome repetido: diferencie pelo estabelecimento",IF(AND(ISNUMBER(N24),N24&lt;TODAY()),"Validade informada vencida: conferir","OK"))))</f>
        <v/>
      </c>
      <c r="R24" s="96">
        <f>IF(AND(P24&lt;&gt;"",OR(E24="Transportador",E24="Ambos")),1,0)</f>
        <v>0</v>
      </c>
      <c r="S24" s="96" t="str">
        <f>IF(R24=1,COUNTIF($R$6:R24,1),"")</f>
        <v/>
      </c>
      <c r="T24" s="96">
        <f>IF(AND(P24&lt;&gt;"",OR(E24="Destinador",E24="Ambos")),1,0)</f>
        <v>0</v>
      </c>
      <c r="U24" s="96" t="str">
        <f>IF(T24=1,COUNTIF($T$6:T24,1),"")</f>
        <v/>
      </c>
      <c r="V24" s="96" t="str">
        <f>IF(T24=1,COUNTIFS('MTRs'!$I$6:$I$505,P24,'MTRs'!$AY$6:$AY$505,1,'MTRs'!$AA$6:$AA$505,0),"")</f>
        <v/>
      </c>
      <c r="W24" s="96" t="str">
        <f>IF(N(V24)&gt;0,V24+(1000-19)/10000,"")</f>
        <v/>
      </c>
    </row>
    <row r="25">
      <c r="A25" s="89" t="inlineStr">
        <is>
          <t>PA-020</t>
        </is>
      </c>
      <c r="B25" s="91" t="n"/>
      <c r="C25" s="91" t="n"/>
      <c r="D25" s="90" t="n"/>
      <c r="E25" s="91" t="n"/>
      <c r="F25" s="91" t="n"/>
      <c r="G25" s="91" t="n"/>
      <c r="H25" s="91" t="n"/>
      <c r="I25" s="91" t="n"/>
      <c r="J25" s="91" t="n"/>
      <c r="K25" s="90" t="n"/>
      <c r="L25" s="91" t="n"/>
      <c r="M25" s="91" t="n"/>
      <c r="N25" s="92" t="n"/>
      <c r="O25" s="91" t="n"/>
      <c r="P25" s="94" t="str">
        <f>IF(AND(B25="",C25=""),"",IF(C25&lt;&gt;"",C25,B25)&amp;IF(F25&lt;&gt;""," | "&amp;F25,""))</f>
        <v/>
      </c>
      <c r="Q25" s="94" t="str">
        <f>IF(P25="",IF(COUNTA(B25:O25)&gt;0,"Informe razão social ou nome fantasia",""),IF(E25="","Informe o tipo de atuação",IF(SUMPRODUCT(--($P$6:$P$205=P25))&gt;1,"Nome repetido: diferencie pelo estabelecimento",IF(AND(ISNUMBER(N25),N25&lt;TODAY()),"Validade informada vencida: conferir","OK"))))</f>
        <v/>
      </c>
      <c r="R25" s="96">
        <f>IF(AND(P25&lt;&gt;"",OR(E25="Transportador",E25="Ambos")),1,0)</f>
        <v>0</v>
      </c>
      <c r="S25" s="96" t="str">
        <f>IF(R25=1,COUNTIF($R$6:R25,1),"")</f>
        <v/>
      </c>
      <c r="T25" s="96">
        <f>IF(AND(P25&lt;&gt;"",OR(E25="Destinador",E25="Ambos")),1,0)</f>
        <v>0</v>
      </c>
      <c r="U25" s="96" t="str">
        <f>IF(T25=1,COUNTIF($T$6:T25,1),"")</f>
        <v/>
      </c>
      <c r="V25" s="96" t="str">
        <f>IF(T25=1,COUNTIFS('MTRs'!$I$6:$I$505,P25,'MTRs'!$AY$6:$AY$505,1,'MTRs'!$AA$6:$AA$505,0),"")</f>
        <v/>
      </c>
      <c r="W25" s="96" t="str">
        <f>IF(N(V25)&gt;0,V25+(1000-20)/10000,"")</f>
        <v/>
      </c>
    </row>
    <row r="26">
      <c r="A26" s="89" t="inlineStr">
        <is>
          <t>PA-021</t>
        </is>
      </c>
      <c r="B26" s="91" t="n"/>
      <c r="C26" s="91" t="n"/>
      <c r="D26" s="90" t="n"/>
      <c r="E26" s="91" t="n"/>
      <c r="F26" s="91" t="n"/>
      <c r="G26" s="91" t="n"/>
      <c r="H26" s="91" t="n"/>
      <c r="I26" s="91" t="n"/>
      <c r="J26" s="91" t="n"/>
      <c r="K26" s="90" t="n"/>
      <c r="L26" s="91" t="n"/>
      <c r="M26" s="91" t="n"/>
      <c r="N26" s="92" t="n"/>
      <c r="O26" s="91" t="n"/>
      <c r="P26" s="94" t="str">
        <f>IF(AND(B26="",C26=""),"",IF(C26&lt;&gt;"",C26,B26)&amp;IF(F26&lt;&gt;""," | "&amp;F26,""))</f>
        <v/>
      </c>
      <c r="Q26" s="94" t="str">
        <f>IF(P26="",IF(COUNTA(B26:O26)&gt;0,"Informe razão social ou nome fantasia",""),IF(E26="","Informe o tipo de atuação",IF(SUMPRODUCT(--($P$6:$P$205=P26))&gt;1,"Nome repetido: diferencie pelo estabelecimento",IF(AND(ISNUMBER(N26),N26&lt;TODAY()),"Validade informada vencida: conferir","OK"))))</f>
        <v/>
      </c>
      <c r="R26" s="96">
        <f>IF(AND(P26&lt;&gt;"",OR(E26="Transportador",E26="Ambos")),1,0)</f>
        <v>0</v>
      </c>
      <c r="S26" s="96" t="str">
        <f>IF(R26=1,COUNTIF($R$6:R26,1),"")</f>
        <v/>
      </c>
      <c r="T26" s="96">
        <f>IF(AND(P26&lt;&gt;"",OR(E26="Destinador",E26="Ambos")),1,0)</f>
        <v>0</v>
      </c>
      <c r="U26" s="96" t="str">
        <f>IF(T26=1,COUNTIF($T$6:T26,1),"")</f>
        <v/>
      </c>
      <c r="V26" s="96" t="str">
        <f>IF(T26=1,COUNTIFS('MTRs'!$I$6:$I$505,P26,'MTRs'!$AY$6:$AY$505,1,'MTRs'!$AA$6:$AA$505,0),"")</f>
        <v/>
      </c>
      <c r="W26" s="96" t="str">
        <f>IF(N(V26)&gt;0,V26+(1000-21)/10000,"")</f>
        <v/>
      </c>
    </row>
    <row r="27">
      <c r="A27" s="89" t="inlineStr">
        <is>
          <t>PA-022</t>
        </is>
      </c>
      <c r="B27" s="91" t="n"/>
      <c r="C27" s="91" t="n"/>
      <c r="D27" s="90" t="n"/>
      <c r="E27" s="91" t="n"/>
      <c r="F27" s="91" t="n"/>
      <c r="G27" s="91" t="n"/>
      <c r="H27" s="91" t="n"/>
      <c r="I27" s="91" t="n"/>
      <c r="J27" s="91" t="n"/>
      <c r="K27" s="90" t="n"/>
      <c r="L27" s="91" t="n"/>
      <c r="M27" s="91" t="n"/>
      <c r="N27" s="92" t="n"/>
      <c r="O27" s="91" t="n"/>
      <c r="P27" s="94" t="str">
        <f>IF(AND(B27="",C27=""),"",IF(C27&lt;&gt;"",C27,B27)&amp;IF(F27&lt;&gt;""," | "&amp;F27,""))</f>
        <v/>
      </c>
      <c r="Q27" s="94" t="str">
        <f>IF(P27="",IF(COUNTA(B27:O27)&gt;0,"Informe razão social ou nome fantasia",""),IF(E27="","Informe o tipo de atuação",IF(SUMPRODUCT(--($P$6:$P$205=P27))&gt;1,"Nome repetido: diferencie pelo estabelecimento",IF(AND(ISNUMBER(N27),N27&lt;TODAY()),"Validade informada vencida: conferir","OK"))))</f>
        <v/>
      </c>
      <c r="R27" s="96">
        <f>IF(AND(P27&lt;&gt;"",OR(E27="Transportador",E27="Ambos")),1,0)</f>
        <v>0</v>
      </c>
      <c r="S27" s="96" t="str">
        <f>IF(R27=1,COUNTIF($R$6:R27,1),"")</f>
        <v/>
      </c>
      <c r="T27" s="96">
        <f>IF(AND(P27&lt;&gt;"",OR(E27="Destinador",E27="Ambos")),1,0)</f>
        <v>0</v>
      </c>
      <c r="U27" s="96" t="str">
        <f>IF(T27=1,COUNTIF($T$6:T27,1),"")</f>
        <v/>
      </c>
      <c r="V27" s="96" t="str">
        <f>IF(T27=1,COUNTIFS('MTRs'!$I$6:$I$505,P27,'MTRs'!$AY$6:$AY$505,1,'MTRs'!$AA$6:$AA$505,0),"")</f>
        <v/>
      </c>
      <c r="W27" s="96" t="str">
        <f>IF(N(V27)&gt;0,V27+(1000-22)/10000,"")</f>
        <v/>
      </c>
    </row>
    <row r="28">
      <c r="A28" s="89" t="inlineStr">
        <is>
          <t>PA-023</t>
        </is>
      </c>
      <c r="B28" s="91" t="n"/>
      <c r="C28" s="91" t="n"/>
      <c r="D28" s="90" t="n"/>
      <c r="E28" s="91" t="n"/>
      <c r="F28" s="91" t="n"/>
      <c r="G28" s="91" t="n"/>
      <c r="H28" s="91" t="n"/>
      <c r="I28" s="91" t="n"/>
      <c r="J28" s="91" t="n"/>
      <c r="K28" s="90" t="n"/>
      <c r="L28" s="91" t="n"/>
      <c r="M28" s="91" t="n"/>
      <c r="N28" s="92" t="n"/>
      <c r="O28" s="91" t="n"/>
      <c r="P28" s="94" t="str">
        <f>IF(AND(B28="",C28=""),"",IF(C28&lt;&gt;"",C28,B28)&amp;IF(F28&lt;&gt;""," | "&amp;F28,""))</f>
        <v/>
      </c>
      <c r="Q28" s="94" t="str">
        <f>IF(P28="",IF(COUNTA(B28:O28)&gt;0,"Informe razão social ou nome fantasia",""),IF(E28="","Informe o tipo de atuação",IF(SUMPRODUCT(--($P$6:$P$205=P28))&gt;1,"Nome repetido: diferencie pelo estabelecimento",IF(AND(ISNUMBER(N28),N28&lt;TODAY()),"Validade informada vencida: conferir","OK"))))</f>
        <v/>
      </c>
      <c r="R28" s="96">
        <f>IF(AND(P28&lt;&gt;"",OR(E28="Transportador",E28="Ambos")),1,0)</f>
        <v>0</v>
      </c>
      <c r="S28" s="96" t="str">
        <f>IF(R28=1,COUNTIF($R$6:R28,1),"")</f>
        <v/>
      </c>
      <c r="T28" s="96">
        <f>IF(AND(P28&lt;&gt;"",OR(E28="Destinador",E28="Ambos")),1,0)</f>
        <v>0</v>
      </c>
      <c r="U28" s="96" t="str">
        <f>IF(T28=1,COUNTIF($T$6:T28,1),"")</f>
        <v/>
      </c>
      <c r="V28" s="96" t="str">
        <f>IF(T28=1,COUNTIFS('MTRs'!$I$6:$I$505,P28,'MTRs'!$AY$6:$AY$505,1,'MTRs'!$AA$6:$AA$505,0),"")</f>
        <v/>
      </c>
      <c r="W28" s="96" t="str">
        <f>IF(N(V28)&gt;0,V28+(1000-23)/10000,"")</f>
        <v/>
      </c>
    </row>
    <row r="29">
      <c r="A29" s="89" t="inlineStr">
        <is>
          <t>PA-024</t>
        </is>
      </c>
      <c r="B29" s="91" t="n"/>
      <c r="C29" s="91" t="n"/>
      <c r="D29" s="90" t="n"/>
      <c r="E29" s="91" t="n"/>
      <c r="F29" s="91" t="n"/>
      <c r="G29" s="91" t="n"/>
      <c r="H29" s="91" t="n"/>
      <c r="I29" s="91" t="n"/>
      <c r="J29" s="91" t="n"/>
      <c r="K29" s="90" t="n"/>
      <c r="L29" s="91" t="n"/>
      <c r="M29" s="91" t="n"/>
      <c r="N29" s="92" t="n"/>
      <c r="O29" s="91" t="n"/>
      <c r="P29" s="94" t="str">
        <f>IF(AND(B29="",C29=""),"",IF(C29&lt;&gt;"",C29,B29)&amp;IF(F29&lt;&gt;""," | "&amp;F29,""))</f>
        <v/>
      </c>
      <c r="Q29" s="94" t="str">
        <f>IF(P29="",IF(COUNTA(B29:O29)&gt;0,"Informe razão social ou nome fantasia",""),IF(E29="","Informe o tipo de atuação",IF(SUMPRODUCT(--($P$6:$P$205=P29))&gt;1,"Nome repetido: diferencie pelo estabelecimento",IF(AND(ISNUMBER(N29),N29&lt;TODAY()),"Validade informada vencida: conferir","OK"))))</f>
        <v/>
      </c>
      <c r="R29" s="96">
        <f>IF(AND(P29&lt;&gt;"",OR(E29="Transportador",E29="Ambos")),1,0)</f>
        <v>0</v>
      </c>
      <c r="S29" s="96" t="str">
        <f>IF(R29=1,COUNTIF($R$6:R29,1),"")</f>
        <v/>
      </c>
      <c r="T29" s="96">
        <f>IF(AND(P29&lt;&gt;"",OR(E29="Destinador",E29="Ambos")),1,0)</f>
        <v>0</v>
      </c>
      <c r="U29" s="96" t="str">
        <f>IF(T29=1,COUNTIF($T$6:T29,1),"")</f>
        <v/>
      </c>
      <c r="V29" s="96" t="str">
        <f>IF(T29=1,COUNTIFS('MTRs'!$I$6:$I$505,P29,'MTRs'!$AY$6:$AY$505,1,'MTRs'!$AA$6:$AA$505,0),"")</f>
        <v/>
      </c>
      <c r="W29" s="96" t="str">
        <f>IF(N(V29)&gt;0,V29+(1000-24)/10000,"")</f>
        <v/>
      </c>
    </row>
    <row r="30">
      <c r="A30" s="89" t="inlineStr">
        <is>
          <t>PA-025</t>
        </is>
      </c>
      <c r="B30" s="91" t="n"/>
      <c r="C30" s="91" t="n"/>
      <c r="D30" s="90" t="n"/>
      <c r="E30" s="91" t="n"/>
      <c r="F30" s="91" t="n"/>
      <c r="G30" s="91" t="n"/>
      <c r="H30" s="91" t="n"/>
      <c r="I30" s="91" t="n"/>
      <c r="J30" s="91" t="n"/>
      <c r="K30" s="90" t="n"/>
      <c r="L30" s="91" t="n"/>
      <c r="M30" s="91" t="n"/>
      <c r="N30" s="92" t="n"/>
      <c r="O30" s="91" t="n"/>
      <c r="P30" s="94" t="str">
        <f>IF(AND(B30="",C30=""),"",IF(C30&lt;&gt;"",C30,B30)&amp;IF(F30&lt;&gt;""," | "&amp;F30,""))</f>
        <v/>
      </c>
      <c r="Q30" s="94" t="str">
        <f>IF(P30="",IF(COUNTA(B30:O30)&gt;0,"Informe razão social ou nome fantasia",""),IF(E30="","Informe o tipo de atuação",IF(SUMPRODUCT(--($P$6:$P$205=P30))&gt;1,"Nome repetido: diferencie pelo estabelecimento",IF(AND(ISNUMBER(N30),N30&lt;TODAY()),"Validade informada vencida: conferir","OK"))))</f>
        <v/>
      </c>
      <c r="R30" s="96">
        <f>IF(AND(P30&lt;&gt;"",OR(E30="Transportador",E30="Ambos")),1,0)</f>
        <v>0</v>
      </c>
      <c r="S30" s="96" t="str">
        <f>IF(R30=1,COUNTIF($R$6:R30,1),"")</f>
        <v/>
      </c>
      <c r="T30" s="96">
        <f>IF(AND(P30&lt;&gt;"",OR(E30="Destinador",E30="Ambos")),1,0)</f>
        <v>0</v>
      </c>
      <c r="U30" s="96" t="str">
        <f>IF(T30=1,COUNTIF($T$6:T30,1),"")</f>
        <v/>
      </c>
      <c r="V30" s="96" t="str">
        <f>IF(T30=1,COUNTIFS('MTRs'!$I$6:$I$505,P30,'MTRs'!$AY$6:$AY$505,1,'MTRs'!$AA$6:$AA$505,0),"")</f>
        <v/>
      </c>
      <c r="W30" s="96" t="str">
        <f>IF(N(V30)&gt;0,V30+(1000-25)/10000,"")</f>
        <v/>
      </c>
    </row>
    <row r="31">
      <c r="A31" s="89" t="inlineStr">
        <is>
          <t>PA-026</t>
        </is>
      </c>
      <c r="B31" s="91" t="n"/>
      <c r="C31" s="91" t="n"/>
      <c r="D31" s="90" t="n"/>
      <c r="E31" s="91" t="n"/>
      <c r="F31" s="91" t="n"/>
      <c r="G31" s="91" t="n"/>
      <c r="H31" s="91" t="n"/>
      <c r="I31" s="91" t="n"/>
      <c r="J31" s="91" t="n"/>
      <c r="K31" s="90" t="n"/>
      <c r="L31" s="91" t="n"/>
      <c r="M31" s="91" t="n"/>
      <c r="N31" s="92" t="n"/>
      <c r="O31" s="91" t="n"/>
      <c r="P31" s="94" t="str">
        <f>IF(AND(B31="",C31=""),"",IF(C31&lt;&gt;"",C31,B31)&amp;IF(F31&lt;&gt;""," | "&amp;F31,""))</f>
        <v/>
      </c>
      <c r="Q31" s="94" t="str">
        <f>IF(P31="",IF(COUNTA(B31:O31)&gt;0,"Informe razão social ou nome fantasia",""),IF(E31="","Informe o tipo de atuação",IF(SUMPRODUCT(--($P$6:$P$205=P31))&gt;1,"Nome repetido: diferencie pelo estabelecimento",IF(AND(ISNUMBER(N31),N31&lt;TODAY()),"Validade informada vencida: conferir","OK"))))</f>
        <v/>
      </c>
      <c r="R31" s="96">
        <f>IF(AND(P31&lt;&gt;"",OR(E31="Transportador",E31="Ambos")),1,0)</f>
        <v>0</v>
      </c>
      <c r="S31" s="96" t="str">
        <f>IF(R31=1,COUNTIF($R$6:R31,1),"")</f>
        <v/>
      </c>
      <c r="T31" s="96">
        <f>IF(AND(P31&lt;&gt;"",OR(E31="Destinador",E31="Ambos")),1,0)</f>
        <v>0</v>
      </c>
      <c r="U31" s="96" t="str">
        <f>IF(T31=1,COUNTIF($T$6:T31,1),"")</f>
        <v/>
      </c>
      <c r="V31" s="96" t="str">
        <f>IF(T31=1,COUNTIFS('MTRs'!$I$6:$I$505,P31,'MTRs'!$AY$6:$AY$505,1,'MTRs'!$AA$6:$AA$505,0),"")</f>
        <v/>
      </c>
      <c r="W31" s="96" t="str">
        <f>IF(N(V31)&gt;0,V31+(1000-26)/10000,"")</f>
        <v/>
      </c>
    </row>
    <row r="32">
      <c r="A32" s="89" t="inlineStr">
        <is>
          <t>PA-027</t>
        </is>
      </c>
      <c r="B32" s="91" t="n"/>
      <c r="C32" s="91" t="n"/>
      <c r="D32" s="90" t="n"/>
      <c r="E32" s="91" t="n"/>
      <c r="F32" s="91" t="n"/>
      <c r="G32" s="91" t="n"/>
      <c r="H32" s="91" t="n"/>
      <c r="I32" s="91" t="n"/>
      <c r="J32" s="91" t="n"/>
      <c r="K32" s="90" t="n"/>
      <c r="L32" s="91" t="n"/>
      <c r="M32" s="91" t="n"/>
      <c r="N32" s="92" t="n"/>
      <c r="O32" s="91" t="n"/>
      <c r="P32" s="94" t="str">
        <f>IF(AND(B32="",C32=""),"",IF(C32&lt;&gt;"",C32,B32)&amp;IF(F32&lt;&gt;""," | "&amp;F32,""))</f>
        <v/>
      </c>
      <c r="Q32" s="94" t="str">
        <f>IF(P32="",IF(COUNTA(B32:O32)&gt;0,"Informe razão social ou nome fantasia",""),IF(E32="","Informe o tipo de atuação",IF(SUMPRODUCT(--($P$6:$P$205=P32))&gt;1,"Nome repetido: diferencie pelo estabelecimento",IF(AND(ISNUMBER(N32),N32&lt;TODAY()),"Validade informada vencida: conferir","OK"))))</f>
        <v/>
      </c>
      <c r="R32" s="96">
        <f>IF(AND(P32&lt;&gt;"",OR(E32="Transportador",E32="Ambos")),1,0)</f>
        <v>0</v>
      </c>
      <c r="S32" s="96" t="str">
        <f>IF(R32=1,COUNTIF($R$6:R32,1),"")</f>
        <v/>
      </c>
      <c r="T32" s="96">
        <f>IF(AND(P32&lt;&gt;"",OR(E32="Destinador",E32="Ambos")),1,0)</f>
        <v>0</v>
      </c>
      <c r="U32" s="96" t="str">
        <f>IF(T32=1,COUNTIF($T$6:T32,1),"")</f>
        <v/>
      </c>
      <c r="V32" s="96" t="str">
        <f>IF(T32=1,COUNTIFS('MTRs'!$I$6:$I$505,P32,'MTRs'!$AY$6:$AY$505,1,'MTRs'!$AA$6:$AA$505,0),"")</f>
        <v/>
      </c>
      <c r="W32" s="96" t="str">
        <f>IF(N(V32)&gt;0,V32+(1000-27)/10000,"")</f>
        <v/>
      </c>
    </row>
    <row r="33">
      <c r="A33" s="89" t="inlineStr">
        <is>
          <t>PA-028</t>
        </is>
      </c>
      <c r="B33" s="91" t="n"/>
      <c r="C33" s="91" t="n"/>
      <c r="D33" s="90" t="n"/>
      <c r="E33" s="91" t="n"/>
      <c r="F33" s="91" t="n"/>
      <c r="G33" s="91" t="n"/>
      <c r="H33" s="91" t="n"/>
      <c r="I33" s="91" t="n"/>
      <c r="J33" s="91" t="n"/>
      <c r="K33" s="90" t="n"/>
      <c r="L33" s="91" t="n"/>
      <c r="M33" s="91" t="n"/>
      <c r="N33" s="92" t="n"/>
      <c r="O33" s="91" t="n"/>
      <c r="P33" s="94" t="str">
        <f>IF(AND(B33="",C33=""),"",IF(C33&lt;&gt;"",C33,B33)&amp;IF(F33&lt;&gt;""," | "&amp;F33,""))</f>
        <v/>
      </c>
      <c r="Q33" s="94" t="str">
        <f>IF(P33="",IF(COUNTA(B33:O33)&gt;0,"Informe razão social ou nome fantasia",""),IF(E33="","Informe o tipo de atuação",IF(SUMPRODUCT(--($P$6:$P$205=P33))&gt;1,"Nome repetido: diferencie pelo estabelecimento",IF(AND(ISNUMBER(N33),N33&lt;TODAY()),"Validade informada vencida: conferir","OK"))))</f>
        <v/>
      </c>
      <c r="R33" s="96">
        <f>IF(AND(P33&lt;&gt;"",OR(E33="Transportador",E33="Ambos")),1,0)</f>
        <v>0</v>
      </c>
      <c r="S33" s="96" t="str">
        <f>IF(R33=1,COUNTIF($R$6:R33,1),"")</f>
        <v/>
      </c>
      <c r="T33" s="96">
        <f>IF(AND(P33&lt;&gt;"",OR(E33="Destinador",E33="Ambos")),1,0)</f>
        <v>0</v>
      </c>
      <c r="U33" s="96" t="str">
        <f>IF(T33=1,COUNTIF($T$6:T33,1),"")</f>
        <v/>
      </c>
      <c r="V33" s="96" t="str">
        <f>IF(T33=1,COUNTIFS('MTRs'!$I$6:$I$505,P33,'MTRs'!$AY$6:$AY$505,1,'MTRs'!$AA$6:$AA$505,0),"")</f>
        <v/>
      </c>
      <c r="W33" s="96" t="str">
        <f>IF(N(V33)&gt;0,V33+(1000-28)/10000,"")</f>
        <v/>
      </c>
    </row>
    <row r="34">
      <c r="A34" s="89" t="inlineStr">
        <is>
          <t>PA-029</t>
        </is>
      </c>
      <c r="B34" s="91" t="n"/>
      <c r="C34" s="91" t="n"/>
      <c r="D34" s="90" t="n"/>
      <c r="E34" s="91" t="n"/>
      <c r="F34" s="91" t="n"/>
      <c r="G34" s="91" t="n"/>
      <c r="H34" s="91" t="n"/>
      <c r="I34" s="91" t="n"/>
      <c r="J34" s="91" t="n"/>
      <c r="K34" s="90" t="n"/>
      <c r="L34" s="91" t="n"/>
      <c r="M34" s="91" t="n"/>
      <c r="N34" s="92" t="n"/>
      <c r="O34" s="91" t="n"/>
      <c r="P34" s="94" t="str">
        <f>IF(AND(B34="",C34=""),"",IF(C34&lt;&gt;"",C34,B34)&amp;IF(F34&lt;&gt;""," | "&amp;F34,""))</f>
        <v/>
      </c>
      <c r="Q34" s="94" t="str">
        <f>IF(P34="",IF(COUNTA(B34:O34)&gt;0,"Informe razão social ou nome fantasia",""),IF(E34="","Informe o tipo de atuação",IF(SUMPRODUCT(--($P$6:$P$205=P34))&gt;1,"Nome repetido: diferencie pelo estabelecimento",IF(AND(ISNUMBER(N34),N34&lt;TODAY()),"Validade informada vencida: conferir","OK"))))</f>
        <v/>
      </c>
      <c r="R34" s="96">
        <f>IF(AND(P34&lt;&gt;"",OR(E34="Transportador",E34="Ambos")),1,0)</f>
        <v>0</v>
      </c>
      <c r="S34" s="96" t="str">
        <f>IF(R34=1,COUNTIF($R$6:R34,1),"")</f>
        <v/>
      </c>
      <c r="T34" s="96">
        <f>IF(AND(P34&lt;&gt;"",OR(E34="Destinador",E34="Ambos")),1,0)</f>
        <v>0</v>
      </c>
      <c r="U34" s="96" t="str">
        <f>IF(T34=1,COUNTIF($T$6:T34,1),"")</f>
        <v/>
      </c>
      <c r="V34" s="96" t="str">
        <f>IF(T34=1,COUNTIFS('MTRs'!$I$6:$I$505,P34,'MTRs'!$AY$6:$AY$505,1,'MTRs'!$AA$6:$AA$505,0),"")</f>
        <v/>
      </c>
      <c r="W34" s="96" t="str">
        <f>IF(N(V34)&gt;0,V34+(1000-29)/10000,"")</f>
        <v/>
      </c>
    </row>
    <row r="35">
      <c r="A35" s="89" t="inlineStr">
        <is>
          <t>PA-030</t>
        </is>
      </c>
      <c r="B35" s="91" t="n"/>
      <c r="C35" s="91" t="n"/>
      <c r="D35" s="90" t="n"/>
      <c r="E35" s="91" t="n"/>
      <c r="F35" s="91" t="n"/>
      <c r="G35" s="91" t="n"/>
      <c r="H35" s="91" t="n"/>
      <c r="I35" s="91" t="n"/>
      <c r="J35" s="91" t="n"/>
      <c r="K35" s="90" t="n"/>
      <c r="L35" s="91" t="n"/>
      <c r="M35" s="91" t="n"/>
      <c r="N35" s="92" t="n"/>
      <c r="O35" s="91" t="n"/>
      <c r="P35" s="94" t="str">
        <f>IF(AND(B35="",C35=""),"",IF(C35&lt;&gt;"",C35,B35)&amp;IF(F35&lt;&gt;""," | "&amp;F35,""))</f>
        <v/>
      </c>
      <c r="Q35" s="94" t="str">
        <f>IF(P35="",IF(COUNTA(B35:O35)&gt;0,"Informe razão social ou nome fantasia",""),IF(E35="","Informe o tipo de atuação",IF(SUMPRODUCT(--($P$6:$P$205=P35))&gt;1,"Nome repetido: diferencie pelo estabelecimento",IF(AND(ISNUMBER(N35),N35&lt;TODAY()),"Validade informada vencida: conferir","OK"))))</f>
        <v/>
      </c>
      <c r="R35" s="96">
        <f>IF(AND(P35&lt;&gt;"",OR(E35="Transportador",E35="Ambos")),1,0)</f>
        <v>0</v>
      </c>
      <c r="S35" s="96" t="str">
        <f>IF(R35=1,COUNTIF($R$6:R35,1),"")</f>
        <v/>
      </c>
      <c r="T35" s="96">
        <f>IF(AND(P35&lt;&gt;"",OR(E35="Destinador",E35="Ambos")),1,0)</f>
        <v>0</v>
      </c>
      <c r="U35" s="96" t="str">
        <f>IF(T35=1,COUNTIF($T$6:T35,1),"")</f>
        <v/>
      </c>
      <c r="V35" s="96" t="str">
        <f>IF(T35=1,COUNTIFS('MTRs'!$I$6:$I$505,P35,'MTRs'!$AY$6:$AY$505,1,'MTRs'!$AA$6:$AA$505,0),"")</f>
        <v/>
      </c>
      <c r="W35" s="96" t="str">
        <f>IF(N(V35)&gt;0,V35+(1000-30)/10000,"")</f>
        <v/>
      </c>
    </row>
    <row r="36">
      <c r="A36" s="89" t="inlineStr">
        <is>
          <t>PA-031</t>
        </is>
      </c>
      <c r="B36" s="91" t="n"/>
      <c r="C36" s="91" t="n"/>
      <c r="D36" s="90" t="n"/>
      <c r="E36" s="91" t="n"/>
      <c r="F36" s="91" t="n"/>
      <c r="G36" s="91" t="n"/>
      <c r="H36" s="91" t="n"/>
      <c r="I36" s="91" t="n"/>
      <c r="J36" s="91" t="n"/>
      <c r="K36" s="90" t="n"/>
      <c r="L36" s="91" t="n"/>
      <c r="M36" s="91" t="n"/>
      <c r="N36" s="92" t="n"/>
      <c r="O36" s="91" t="n"/>
      <c r="P36" s="94" t="str">
        <f>IF(AND(B36="",C36=""),"",IF(C36&lt;&gt;"",C36,B36)&amp;IF(F36&lt;&gt;""," | "&amp;F36,""))</f>
        <v/>
      </c>
      <c r="Q36" s="94" t="str">
        <f>IF(P36="",IF(COUNTA(B36:O36)&gt;0,"Informe razão social ou nome fantasia",""),IF(E36="","Informe o tipo de atuação",IF(SUMPRODUCT(--($P$6:$P$205=P36))&gt;1,"Nome repetido: diferencie pelo estabelecimento",IF(AND(ISNUMBER(N36),N36&lt;TODAY()),"Validade informada vencida: conferir","OK"))))</f>
        <v/>
      </c>
      <c r="R36" s="96">
        <f>IF(AND(P36&lt;&gt;"",OR(E36="Transportador",E36="Ambos")),1,0)</f>
        <v>0</v>
      </c>
      <c r="S36" s="96" t="str">
        <f>IF(R36=1,COUNTIF($R$6:R36,1),"")</f>
        <v/>
      </c>
      <c r="T36" s="96">
        <f>IF(AND(P36&lt;&gt;"",OR(E36="Destinador",E36="Ambos")),1,0)</f>
        <v>0</v>
      </c>
      <c r="U36" s="96" t="str">
        <f>IF(T36=1,COUNTIF($T$6:T36,1),"")</f>
        <v/>
      </c>
      <c r="V36" s="96" t="str">
        <f>IF(T36=1,COUNTIFS('MTRs'!$I$6:$I$505,P36,'MTRs'!$AY$6:$AY$505,1,'MTRs'!$AA$6:$AA$505,0),"")</f>
        <v/>
      </c>
      <c r="W36" s="96" t="str">
        <f>IF(N(V36)&gt;0,V36+(1000-31)/10000,"")</f>
        <v/>
      </c>
    </row>
    <row r="37">
      <c r="A37" s="89" t="inlineStr">
        <is>
          <t>PA-032</t>
        </is>
      </c>
      <c r="B37" s="91" t="n"/>
      <c r="C37" s="91" t="n"/>
      <c r="D37" s="90" t="n"/>
      <c r="E37" s="91" t="n"/>
      <c r="F37" s="91" t="n"/>
      <c r="G37" s="91" t="n"/>
      <c r="H37" s="91" t="n"/>
      <c r="I37" s="91" t="n"/>
      <c r="J37" s="91" t="n"/>
      <c r="K37" s="90" t="n"/>
      <c r="L37" s="91" t="n"/>
      <c r="M37" s="91" t="n"/>
      <c r="N37" s="92" t="n"/>
      <c r="O37" s="91" t="n"/>
      <c r="P37" s="94" t="str">
        <f>IF(AND(B37="",C37=""),"",IF(C37&lt;&gt;"",C37,B37)&amp;IF(F37&lt;&gt;""," | "&amp;F37,""))</f>
        <v/>
      </c>
      <c r="Q37" s="94" t="str">
        <f>IF(P37="",IF(COUNTA(B37:O37)&gt;0,"Informe razão social ou nome fantasia",""),IF(E37="","Informe o tipo de atuação",IF(SUMPRODUCT(--($P$6:$P$205=P37))&gt;1,"Nome repetido: diferencie pelo estabelecimento",IF(AND(ISNUMBER(N37),N37&lt;TODAY()),"Validade informada vencida: conferir","OK"))))</f>
        <v/>
      </c>
      <c r="R37" s="96">
        <f>IF(AND(P37&lt;&gt;"",OR(E37="Transportador",E37="Ambos")),1,0)</f>
        <v>0</v>
      </c>
      <c r="S37" s="96" t="str">
        <f>IF(R37=1,COUNTIF($R$6:R37,1),"")</f>
        <v/>
      </c>
      <c r="T37" s="96">
        <f>IF(AND(P37&lt;&gt;"",OR(E37="Destinador",E37="Ambos")),1,0)</f>
        <v>0</v>
      </c>
      <c r="U37" s="96" t="str">
        <f>IF(T37=1,COUNTIF($T$6:T37,1),"")</f>
        <v/>
      </c>
      <c r="V37" s="96" t="str">
        <f>IF(T37=1,COUNTIFS('MTRs'!$I$6:$I$505,P37,'MTRs'!$AY$6:$AY$505,1,'MTRs'!$AA$6:$AA$505,0),"")</f>
        <v/>
      </c>
      <c r="W37" s="96" t="str">
        <f>IF(N(V37)&gt;0,V37+(1000-32)/10000,"")</f>
        <v/>
      </c>
    </row>
    <row r="38">
      <c r="A38" s="89" t="inlineStr">
        <is>
          <t>PA-033</t>
        </is>
      </c>
      <c r="B38" s="91" t="n"/>
      <c r="C38" s="91" t="n"/>
      <c r="D38" s="90" t="n"/>
      <c r="E38" s="91" t="n"/>
      <c r="F38" s="91" t="n"/>
      <c r="G38" s="91" t="n"/>
      <c r="H38" s="91" t="n"/>
      <c r="I38" s="91" t="n"/>
      <c r="J38" s="91" t="n"/>
      <c r="K38" s="90" t="n"/>
      <c r="L38" s="91" t="n"/>
      <c r="M38" s="91" t="n"/>
      <c r="N38" s="92" t="n"/>
      <c r="O38" s="91" t="n"/>
      <c r="P38" s="94" t="str">
        <f>IF(AND(B38="",C38=""),"",IF(C38&lt;&gt;"",C38,B38)&amp;IF(F38&lt;&gt;""," | "&amp;F38,""))</f>
        <v/>
      </c>
      <c r="Q38" s="94" t="str">
        <f>IF(P38="",IF(COUNTA(B38:O38)&gt;0,"Informe razão social ou nome fantasia",""),IF(E38="","Informe o tipo de atuação",IF(SUMPRODUCT(--($P$6:$P$205=P38))&gt;1,"Nome repetido: diferencie pelo estabelecimento",IF(AND(ISNUMBER(N38),N38&lt;TODAY()),"Validade informada vencida: conferir","OK"))))</f>
        <v/>
      </c>
      <c r="R38" s="96">
        <f>IF(AND(P38&lt;&gt;"",OR(E38="Transportador",E38="Ambos")),1,0)</f>
        <v>0</v>
      </c>
      <c r="S38" s="96" t="str">
        <f>IF(R38=1,COUNTIF($R$6:R38,1),"")</f>
        <v/>
      </c>
      <c r="T38" s="96">
        <f>IF(AND(P38&lt;&gt;"",OR(E38="Destinador",E38="Ambos")),1,0)</f>
        <v>0</v>
      </c>
      <c r="U38" s="96" t="str">
        <f>IF(T38=1,COUNTIF($T$6:T38,1),"")</f>
        <v/>
      </c>
      <c r="V38" s="96" t="str">
        <f>IF(T38=1,COUNTIFS('MTRs'!$I$6:$I$505,P38,'MTRs'!$AY$6:$AY$505,1,'MTRs'!$AA$6:$AA$505,0),"")</f>
        <v/>
      </c>
      <c r="W38" s="96" t="str">
        <f>IF(N(V38)&gt;0,V38+(1000-33)/10000,"")</f>
        <v/>
      </c>
    </row>
    <row r="39">
      <c r="A39" s="89" t="inlineStr">
        <is>
          <t>PA-034</t>
        </is>
      </c>
      <c r="B39" s="91" t="n"/>
      <c r="C39" s="91" t="n"/>
      <c r="D39" s="90" t="n"/>
      <c r="E39" s="91" t="n"/>
      <c r="F39" s="91" t="n"/>
      <c r="G39" s="91" t="n"/>
      <c r="H39" s="91" t="n"/>
      <c r="I39" s="91" t="n"/>
      <c r="J39" s="91" t="n"/>
      <c r="K39" s="90" t="n"/>
      <c r="L39" s="91" t="n"/>
      <c r="M39" s="91" t="n"/>
      <c r="N39" s="92" t="n"/>
      <c r="O39" s="91" t="n"/>
      <c r="P39" s="94" t="str">
        <f>IF(AND(B39="",C39=""),"",IF(C39&lt;&gt;"",C39,B39)&amp;IF(F39&lt;&gt;""," | "&amp;F39,""))</f>
        <v/>
      </c>
      <c r="Q39" s="94" t="str">
        <f>IF(P39="",IF(COUNTA(B39:O39)&gt;0,"Informe razão social ou nome fantasia",""),IF(E39="","Informe o tipo de atuação",IF(SUMPRODUCT(--($P$6:$P$205=P39))&gt;1,"Nome repetido: diferencie pelo estabelecimento",IF(AND(ISNUMBER(N39),N39&lt;TODAY()),"Validade informada vencida: conferir","OK"))))</f>
        <v/>
      </c>
      <c r="R39" s="96">
        <f>IF(AND(P39&lt;&gt;"",OR(E39="Transportador",E39="Ambos")),1,0)</f>
        <v>0</v>
      </c>
      <c r="S39" s="96" t="str">
        <f>IF(R39=1,COUNTIF($R$6:R39,1),"")</f>
        <v/>
      </c>
      <c r="T39" s="96">
        <f>IF(AND(P39&lt;&gt;"",OR(E39="Destinador",E39="Ambos")),1,0)</f>
        <v>0</v>
      </c>
      <c r="U39" s="96" t="str">
        <f>IF(T39=1,COUNTIF($T$6:T39,1),"")</f>
        <v/>
      </c>
      <c r="V39" s="96" t="str">
        <f>IF(T39=1,COUNTIFS('MTRs'!$I$6:$I$505,P39,'MTRs'!$AY$6:$AY$505,1,'MTRs'!$AA$6:$AA$505,0),"")</f>
        <v/>
      </c>
      <c r="W39" s="96" t="str">
        <f>IF(N(V39)&gt;0,V39+(1000-34)/10000,"")</f>
        <v/>
      </c>
    </row>
    <row r="40">
      <c r="A40" s="89" t="inlineStr">
        <is>
          <t>PA-035</t>
        </is>
      </c>
      <c r="B40" s="91" t="n"/>
      <c r="C40" s="91" t="n"/>
      <c r="D40" s="90" t="n"/>
      <c r="E40" s="91" t="n"/>
      <c r="F40" s="91" t="n"/>
      <c r="G40" s="91" t="n"/>
      <c r="H40" s="91" t="n"/>
      <c r="I40" s="91" t="n"/>
      <c r="J40" s="91" t="n"/>
      <c r="K40" s="90" t="n"/>
      <c r="L40" s="91" t="n"/>
      <c r="M40" s="91" t="n"/>
      <c r="N40" s="92" t="n"/>
      <c r="O40" s="91" t="n"/>
      <c r="P40" s="94" t="str">
        <f>IF(AND(B40="",C40=""),"",IF(C40&lt;&gt;"",C40,B40)&amp;IF(F40&lt;&gt;""," | "&amp;F40,""))</f>
        <v/>
      </c>
      <c r="Q40" s="94" t="str">
        <f>IF(P40="",IF(COUNTA(B40:O40)&gt;0,"Informe razão social ou nome fantasia",""),IF(E40="","Informe o tipo de atuação",IF(SUMPRODUCT(--($P$6:$P$205=P40))&gt;1,"Nome repetido: diferencie pelo estabelecimento",IF(AND(ISNUMBER(N40),N40&lt;TODAY()),"Validade informada vencida: conferir","OK"))))</f>
        <v/>
      </c>
      <c r="R40" s="96">
        <f>IF(AND(P40&lt;&gt;"",OR(E40="Transportador",E40="Ambos")),1,0)</f>
        <v>0</v>
      </c>
      <c r="S40" s="96" t="str">
        <f>IF(R40=1,COUNTIF($R$6:R40,1),"")</f>
        <v/>
      </c>
      <c r="T40" s="96">
        <f>IF(AND(P40&lt;&gt;"",OR(E40="Destinador",E40="Ambos")),1,0)</f>
        <v>0</v>
      </c>
      <c r="U40" s="96" t="str">
        <f>IF(T40=1,COUNTIF($T$6:T40,1),"")</f>
        <v/>
      </c>
      <c r="V40" s="96" t="str">
        <f>IF(T40=1,COUNTIFS('MTRs'!$I$6:$I$505,P40,'MTRs'!$AY$6:$AY$505,1,'MTRs'!$AA$6:$AA$505,0),"")</f>
        <v/>
      </c>
      <c r="W40" s="96" t="str">
        <f>IF(N(V40)&gt;0,V40+(1000-35)/10000,"")</f>
        <v/>
      </c>
    </row>
    <row r="41">
      <c r="A41" s="89" t="inlineStr">
        <is>
          <t>PA-036</t>
        </is>
      </c>
      <c r="B41" s="91" t="n"/>
      <c r="C41" s="91" t="n"/>
      <c r="D41" s="90" t="n"/>
      <c r="E41" s="91" t="n"/>
      <c r="F41" s="91" t="n"/>
      <c r="G41" s="91" t="n"/>
      <c r="H41" s="91" t="n"/>
      <c r="I41" s="91" t="n"/>
      <c r="J41" s="91" t="n"/>
      <c r="K41" s="90" t="n"/>
      <c r="L41" s="91" t="n"/>
      <c r="M41" s="91" t="n"/>
      <c r="N41" s="92" t="n"/>
      <c r="O41" s="91" t="n"/>
      <c r="P41" s="94" t="str">
        <f>IF(AND(B41="",C41=""),"",IF(C41&lt;&gt;"",C41,B41)&amp;IF(F41&lt;&gt;""," | "&amp;F41,""))</f>
        <v/>
      </c>
      <c r="Q41" s="94" t="str">
        <f>IF(P41="",IF(COUNTA(B41:O41)&gt;0,"Informe razão social ou nome fantasia",""),IF(E41="","Informe o tipo de atuação",IF(SUMPRODUCT(--($P$6:$P$205=P41))&gt;1,"Nome repetido: diferencie pelo estabelecimento",IF(AND(ISNUMBER(N41),N41&lt;TODAY()),"Validade informada vencida: conferir","OK"))))</f>
        <v/>
      </c>
      <c r="R41" s="96">
        <f>IF(AND(P41&lt;&gt;"",OR(E41="Transportador",E41="Ambos")),1,0)</f>
        <v>0</v>
      </c>
      <c r="S41" s="96" t="str">
        <f>IF(R41=1,COUNTIF($R$6:R41,1),"")</f>
        <v/>
      </c>
      <c r="T41" s="96">
        <f>IF(AND(P41&lt;&gt;"",OR(E41="Destinador",E41="Ambos")),1,0)</f>
        <v>0</v>
      </c>
      <c r="U41" s="96" t="str">
        <f>IF(T41=1,COUNTIF($T$6:T41,1),"")</f>
        <v/>
      </c>
      <c r="V41" s="96" t="str">
        <f>IF(T41=1,COUNTIFS('MTRs'!$I$6:$I$505,P41,'MTRs'!$AY$6:$AY$505,1,'MTRs'!$AA$6:$AA$505,0),"")</f>
        <v/>
      </c>
      <c r="W41" s="96" t="str">
        <f>IF(N(V41)&gt;0,V41+(1000-36)/10000,"")</f>
        <v/>
      </c>
    </row>
    <row r="42">
      <c r="A42" s="89" t="inlineStr">
        <is>
          <t>PA-037</t>
        </is>
      </c>
      <c r="B42" s="91" t="n"/>
      <c r="C42" s="91" t="n"/>
      <c r="D42" s="90" t="n"/>
      <c r="E42" s="91" t="n"/>
      <c r="F42" s="91" t="n"/>
      <c r="G42" s="91" t="n"/>
      <c r="H42" s="91" t="n"/>
      <c r="I42" s="91" t="n"/>
      <c r="J42" s="91" t="n"/>
      <c r="K42" s="90" t="n"/>
      <c r="L42" s="91" t="n"/>
      <c r="M42" s="91" t="n"/>
      <c r="N42" s="92" t="n"/>
      <c r="O42" s="91" t="n"/>
      <c r="P42" s="94" t="str">
        <f>IF(AND(B42="",C42=""),"",IF(C42&lt;&gt;"",C42,B42)&amp;IF(F42&lt;&gt;""," | "&amp;F42,""))</f>
        <v/>
      </c>
      <c r="Q42" s="94" t="str">
        <f>IF(P42="",IF(COUNTA(B42:O42)&gt;0,"Informe razão social ou nome fantasia",""),IF(E42="","Informe o tipo de atuação",IF(SUMPRODUCT(--($P$6:$P$205=P42))&gt;1,"Nome repetido: diferencie pelo estabelecimento",IF(AND(ISNUMBER(N42),N42&lt;TODAY()),"Validade informada vencida: conferir","OK"))))</f>
        <v/>
      </c>
      <c r="R42" s="96">
        <f>IF(AND(P42&lt;&gt;"",OR(E42="Transportador",E42="Ambos")),1,0)</f>
        <v>0</v>
      </c>
      <c r="S42" s="96" t="str">
        <f>IF(R42=1,COUNTIF($R$6:R42,1),"")</f>
        <v/>
      </c>
      <c r="T42" s="96">
        <f>IF(AND(P42&lt;&gt;"",OR(E42="Destinador",E42="Ambos")),1,0)</f>
        <v>0</v>
      </c>
      <c r="U42" s="96" t="str">
        <f>IF(T42=1,COUNTIF($T$6:T42,1),"")</f>
        <v/>
      </c>
      <c r="V42" s="96" t="str">
        <f>IF(T42=1,COUNTIFS('MTRs'!$I$6:$I$505,P42,'MTRs'!$AY$6:$AY$505,1,'MTRs'!$AA$6:$AA$505,0),"")</f>
        <v/>
      </c>
      <c r="W42" s="96" t="str">
        <f>IF(N(V42)&gt;0,V42+(1000-37)/10000,"")</f>
        <v/>
      </c>
    </row>
    <row r="43">
      <c r="A43" s="89" t="inlineStr">
        <is>
          <t>PA-038</t>
        </is>
      </c>
      <c r="B43" s="91" t="n"/>
      <c r="C43" s="91" t="n"/>
      <c r="D43" s="90" t="n"/>
      <c r="E43" s="91" t="n"/>
      <c r="F43" s="91" t="n"/>
      <c r="G43" s="91" t="n"/>
      <c r="H43" s="91" t="n"/>
      <c r="I43" s="91" t="n"/>
      <c r="J43" s="91" t="n"/>
      <c r="K43" s="90" t="n"/>
      <c r="L43" s="91" t="n"/>
      <c r="M43" s="91" t="n"/>
      <c r="N43" s="92" t="n"/>
      <c r="O43" s="91" t="n"/>
      <c r="P43" s="94" t="str">
        <f>IF(AND(B43="",C43=""),"",IF(C43&lt;&gt;"",C43,B43)&amp;IF(F43&lt;&gt;""," | "&amp;F43,""))</f>
        <v/>
      </c>
      <c r="Q43" s="94" t="str">
        <f>IF(P43="",IF(COUNTA(B43:O43)&gt;0,"Informe razão social ou nome fantasia",""),IF(E43="","Informe o tipo de atuação",IF(SUMPRODUCT(--($P$6:$P$205=P43))&gt;1,"Nome repetido: diferencie pelo estabelecimento",IF(AND(ISNUMBER(N43),N43&lt;TODAY()),"Validade informada vencida: conferir","OK"))))</f>
        <v/>
      </c>
      <c r="R43" s="96">
        <f>IF(AND(P43&lt;&gt;"",OR(E43="Transportador",E43="Ambos")),1,0)</f>
        <v>0</v>
      </c>
      <c r="S43" s="96" t="str">
        <f>IF(R43=1,COUNTIF($R$6:R43,1),"")</f>
        <v/>
      </c>
      <c r="T43" s="96">
        <f>IF(AND(P43&lt;&gt;"",OR(E43="Destinador",E43="Ambos")),1,0)</f>
        <v>0</v>
      </c>
      <c r="U43" s="96" t="str">
        <f>IF(T43=1,COUNTIF($T$6:T43,1),"")</f>
        <v/>
      </c>
      <c r="V43" s="96" t="str">
        <f>IF(T43=1,COUNTIFS('MTRs'!$I$6:$I$505,P43,'MTRs'!$AY$6:$AY$505,1,'MTRs'!$AA$6:$AA$505,0),"")</f>
        <v/>
      </c>
      <c r="W43" s="96" t="str">
        <f>IF(N(V43)&gt;0,V43+(1000-38)/10000,"")</f>
        <v/>
      </c>
    </row>
    <row r="44">
      <c r="A44" s="89" t="inlineStr">
        <is>
          <t>PA-039</t>
        </is>
      </c>
      <c r="B44" s="91" t="n"/>
      <c r="C44" s="91" t="n"/>
      <c r="D44" s="90" t="n"/>
      <c r="E44" s="91" t="n"/>
      <c r="F44" s="91" t="n"/>
      <c r="G44" s="91" t="n"/>
      <c r="H44" s="91" t="n"/>
      <c r="I44" s="91" t="n"/>
      <c r="J44" s="91" t="n"/>
      <c r="K44" s="90" t="n"/>
      <c r="L44" s="91" t="n"/>
      <c r="M44" s="91" t="n"/>
      <c r="N44" s="92" t="n"/>
      <c r="O44" s="91" t="n"/>
      <c r="P44" s="94" t="str">
        <f>IF(AND(B44="",C44=""),"",IF(C44&lt;&gt;"",C44,B44)&amp;IF(F44&lt;&gt;""," | "&amp;F44,""))</f>
        <v/>
      </c>
      <c r="Q44" s="94" t="str">
        <f>IF(P44="",IF(COUNTA(B44:O44)&gt;0,"Informe razão social ou nome fantasia",""),IF(E44="","Informe o tipo de atuação",IF(SUMPRODUCT(--($P$6:$P$205=P44))&gt;1,"Nome repetido: diferencie pelo estabelecimento",IF(AND(ISNUMBER(N44),N44&lt;TODAY()),"Validade informada vencida: conferir","OK"))))</f>
        <v/>
      </c>
      <c r="R44" s="96">
        <f>IF(AND(P44&lt;&gt;"",OR(E44="Transportador",E44="Ambos")),1,0)</f>
        <v>0</v>
      </c>
      <c r="S44" s="96" t="str">
        <f>IF(R44=1,COUNTIF($R$6:R44,1),"")</f>
        <v/>
      </c>
      <c r="T44" s="96">
        <f>IF(AND(P44&lt;&gt;"",OR(E44="Destinador",E44="Ambos")),1,0)</f>
        <v>0</v>
      </c>
      <c r="U44" s="96" t="str">
        <f>IF(T44=1,COUNTIF($T$6:T44,1),"")</f>
        <v/>
      </c>
      <c r="V44" s="96" t="str">
        <f>IF(T44=1,COUNTIFS('MTRs'!$I$6:$I$505,P44,'MTRs'!$AY$6:$AY$505,1,'MTRs'!$AA$6:$AA$505,0),"")</f>
        <v/>
      </c>
      <c r="W44" s="96" t="str">
        <f>IF(N(V44)&gt;0,V44+(1000-39)/10000,"")</f>
        <v/>
      </c>
    </row>
    <row r="45">
      <c r="A45" s="89" t="inlineStr">
        <is>
          <t>PA-040</t>
        </is>
      </c>
      <c r="B45" s="91" t="n"/>
      <c r="C45" s="91" t="n"/>
      <c r="D45" s="90" t="n"/>
      <c r="E45" s="91" t="n"/>
      <c r="F45" s="91" t="n"/>
      <c r="G45" s="91" t="n"/>
      <c r="H45" s="91" t="n"/>
      <c r="I45" s="91" t="n"/>
      <c r="J45" s="91" t="n"/>
      <c r="K45" s="90" t="n"/>
      <c r="L45" s="91" t="n"/>
      <c r="M45" s="91" t="n"/>
      <c r="N45" s="92" t="n"/>
      <c r="O45" s="91" t="n"/>
      <c r="P45" s="94" t="str">
        <f>IF(AND(B45="",C45=""),"",IF(C45&lt;&gt;"",C45,B45)&amp;IF(F45&lt;&gt;""," | "&amp;F45,""))</f>
        <v/>
      </c>
      <c r="Q45" s="94" t="str">
        <f>IF(P45="",IF(COUNTA(B45:O45)&gt;0,"Informe razão social ou nome fantasia",""),IF(E45="","Informe o tipo de atuação",IF(SUMPRODUCT(--($P$6:$P$205=P45))&gt;1,"Nome repetido: diferencie pelo estabelecimento",IF(AND(ISNUMBER(N45),N45&lt;TODAY()),"Validade informada vencida: conferir","OK"))))</f>
        <v/>
      </c>
      <c r="R45" s="96">
        <f>IF(AND(P45&lt;&gt;"",OR(E45="Transportador",E45="Ambos")),1,0)</f>
        <v>0</v>
      </c>
      <c r="S45" s="96" t="str">
        <f>IF(R45=1,COUNTIF($R$6:R45,1),"")</f>
        <v/>
      </c>
      <c r="T45" s="96">
        <f>IF(AND(P45&lt;&gt;"",OR(E45="Destinador",E45="Ambos")),1,0)</f>
        <v>0</v>
      </c>
      <c r="U45" s="96" t="str">
        <f>IF(T45=1,COUNTIF($T$6:T45,1),"")</f>
        <v/>
      </c>
      <c r="V45" s="96" t="str">
        <f>IF(T45=1,COUNTIFS('MTRs'!$I$6:$I$505,P45,'MTRs'!$AY$6:$AY$505,1,'MTRs'!$AA$6:$AA$505,0),"")</f>
        <v/>
      </c>
      <c r="W45" s="96" t="str">
        <f>IF(N(V45)&gt;0,V45+(1000-40)/10000,"")</f>
        <v/>
      </c>
    </row>
    <row r="46">
      <c r="A46" s="89" t="inlineStr">
        <is>
          <t>PA-041</t>
        </is>
      </c>
      <c r="B46" s="91" t="n"/>
      <c r="C46" s="91" t="n"/>
      <c r="D46" s="90" t="n"/>
      <c r="E46" s="91" t="n"/>
      <c r="F46" s="91" t="n"/>
      <c r="G46" s="91" t="n"/>
      <c r="H46" s="91" t="n"/>
      <c r="I46" s="91" t="n"/>
      <c r="J46" s="91" t="n"/>
      <c r="K46" s="90" t="n"/>
      <c r="L46" s="91" t="n"/>
      <c r="M46" s="91" t="n"/>
      <c r="N46" s="92" t="n"/>
      <c r="O46" s="91" t="n"/>
      <c r="P46" s="94" t="str">
        <f>IF(AND(B46="",C46=""),"",IF(C46&lt;&gt;"",C46,B46)&amp;IF(F46&lt;&gt;""," | "&amp;F46,""))</f>
        <v/>
      </c>
      <c r="Q46" s="94" t="str">
        <f>IF(P46="",IF(COUNTA(B46:O46)&gt;0,"Informe razão social ou nome fantasia",""),IF(E46="","Informe o tipo de atuação",IF(SUMPRODUCT(--($P$6:$P$205=P46))&gt;1,"Nome repetido: diferencie pelo estabelecimento",IF(AND(ISNUMBER(N46),N46&lt;TODAY()),"Validade informada vencida: conferir","OK"))))</f>
        <v/>
      </c>
      <c r="R46" s="96">
        <f>IF(AND(P46&lt;&gt;"",OR(E46="Transportador",E46="Ambos")),1,0)</f>
        <v>0</v>
      </c>
      <c r="S46" s="96" t="str">
        <f>IF(R46=1,COUNTIF($R$6:R46,1),"")</f>
        <v/>
      </c>
      <c r="T46" s="96">
        <f>IF(AND(P46&lt;&gt;"",OR(E46="Destinador",E46="Ambos")),1,0)</f>
        <v>0</v>
      </c>
      <c r="U46" s="96" t="str">
        <f>IF(T46=1,COUNTIF($T$6:T46,1),"")</f>
        <v/>
      </c>
      <c r="V46" s="96" t="str">
        <f>IF(T46=1,COUNTIFS('MTRs'!$I$6:$I$505,P46,'MTRs'!$AY$6:$AY$505,1,'MTRs'!$AA$6:$AA$505,0),"")</f>
        <v/>
      </c>
      <c r="W46" s="96" t="str">
        <f>IF(N(V46)&gt;0,V46+(1000-41)/10000,"")</f>
        <v/>
      </c>
    </row>
    <row r="47">
      <c r="A47" s="89" t="inlineStr">
        <is>
          <t>PA-042</t>
        </is>
      </c>
      <c r="B47" s="91" t="n"/>
      <c r="C47" s="91" t="n"/>
      <c r="D47" s="90" t="n"/>
      <c r="E47" s="91" t="n"/>
      <c r="F47" s="91" t="n"/>
      <c r="G47" s="91" t="n"/>
      <c r="H47" s="91" t="n"/>
      <c r="I47" s="91" t="n"/>
      <c r="J47" s="91" t="n"/>
      <c r="K47" s="90" t="n"/>
      <c r="L47" s="91" t="n"/>
      <c r="M47" s="91" t="n"/>
      <c r="N47" s="92" t="n"/>
      <c r="O47" s="91" t="n"/>
      <c r="P47" s="94" t="str">
        <f>IF(AND(B47="",C47=""),"",IF(C47&lt;&gt;"",C47,B47)&amp;IF(F47&lt;&gt;""," | "&amp;F47,""))</f>
        <v/>
      </c>
      <c r="Q47" s="94" t="str">
        <f>IF(P47="",IF(COUNTA(B47:O47)&gt;0,"Informe razão social ou nome fantasia",""),IF(E47="","Informe o tipo de atuação",IF(SUMPRODUCT(--($P$6:$P$205=P47))&gt;1,"Nome repetido: diferencie pelo estabelecimento",IF(AND(ISNUMBER(N47),N47&lt;TODAY()),"Validade informada vencida: conferir","OK"))))</f>
        <v/>
      </c>
      <c r="R47" s="96">
        <f>IF(AND(P47&lt;&gt;"",OR(E47="Transportador",E47="Ambos")),1,0)</f>
        <v>0</v>
      </c>
      <c r="S47" s="96" t="str">
        <f>IF(R47=1,COUNTIF($R$6:R47,1),"")</f>
        <v/>
      </c>
      <c r="T47" s="96">
        <f>IF(AND(P47&lt;&gt;"",OR(E47="Destinador",E47="Ambos")),1,0)</f>
        <v>0</v>
      </c>
      <c r="U47" s="96" t="str">
        <f>IF(T47=1,COUNTIF($T$6:T47,1),"")</f>
        <v/>
      </c>
      <c r="V47" s="96" t="str">
        <f>IF(T47=1,COUNTIFS('MTRs'!$I$6:$I$505,P47,'MTRs'!$AY$6:$AY$505,1,'MTRs'!$AA$6:$AA$505,0),"")</f>
        <v/>
      </c>
      <c r="W47" s="96" t="str">
        <f>IF(N(V47)&gt;0,V47+(1000-42)/10000,"")</f>
        <v/>
      </c>
    </row>
    <row r="48">
      <c r="A48" s="89" t="inlineStr">
        <is>
          <t>PA-043</t>
        </is>
      </c>
      <c r="B48" s="91" t="n"/>
      <c r="C48" s="91" t="n"/>
      <c r="D48" s="90" t="n"/>
      <c r="E48" s="91" t="n"/>
      <c r="F48" s="91" t="n"/>
      <c r="G48" s="91" t="n"/>
      <c r="H48" s="91" t="n"/>
      <c r="I48" s="91" t="n"/>
      <c r="J48" s="91" t="n"/>
      <c r="K48" s="90" t="n"/>
      <c r="L48" s="91" t="n"/>
      <c r="M48" s="91" t="n"/>
      <c r="N48" s="92" t="n"/>
      <c r="O48" s="91" t="n"/>
      <c r="P48" s="94" t="str">
        <f>IF(AND(B48="",C48=""),"",IF(C48&lt;&gt;"",C48,B48)&amp;IF(F48&lt;&gt;""," | "&amp;F48,""))</f>
        <v/>
      </c>
      <c r="Q48" s="94" t="str">
        <f>IF(P48="",IF(COUNTA(B48:O48)&gt;0,"Informe razão social ou nome fantasia",""),IF(E48="","Informe o tipo de atuação",IF(SUMPRODUCT(--($P$6:$P$205=P48))&gt;1,"Nome repetido: diferencie pelo estabelecimento",IF(AND(ISNUMBER(N48),N48&lt;TODAY()),"Validade informada vencida: conferir","OK"))))</f>
        <v/>
      </c>
      <c r="R48" s="96">
        <f>IF(AND(P48&lt;&gt;"",OR(E48="Transportador",E48="Ambos")),1,0)</f>
        <v>0</v>
      </c>
      <c r="S48" s="96" t="str">
        <f>IF(R48=1,COUNTIF($R$6:R48,1),"")</f>
        <v/>
      </c>
      <c r="T48" s="96">
        <f>IF(AND(P48&lt;&gt;"",OR(E48="Destinador",E48="Ambos")),1,0)</f>
        <v>0</v>
      </c>
      <c r="U48" s="96" t="str">
        <f>IF(T48=1,COUNTIF($T$6:T48,1),"")</f>
        <v/>
      </c>
      <c r="V48" s="96" t="str">
        <f>IF(T48=1,COUNTIFS('MTRs'!$I$6:$I$505,P48,'MTRs'!$AY$6:$AY$505,1,'MTRs'!$AA$6:$AA$505,0),"")</f>
        <v/>
      </c>
      <c r="W48" s="96" t="str">
        <f>IF(N(V48)&gt;0,V48+(1000-43)/10000,"")</f>
        <v/>
      </c>
    </row>
    <row r="49">
      <c r="A49" s="89" t="inlineStr">
        <is>
          <t>PA-044</t>
        </is>
      </c>
      <c r="B49" s="91" t="n"/>
      <c r="C49" s="91" t="n"/>
      <c r="D49" s="90" t="n"/>
      <c r="E49" s="91" t="n"/>
      <c r="F49" s="91" t="n"/>
      <c r="G49" s="91" t="n"/>
      <c r="H49" s="91" t="n"/>
      <c r="I49" s="91" t="n"/>
      <c r="J49" s="91" t="n"/>
      <c r="K49" s="90" t="n"/>
      <c r="L49" s="91" t="n"/>
      <c r="M49" s="91" t="n"/>
      <c r="N49" s="92" t="n"/>
      <c r="O49" s="91" t="n"/>
      <c r="P49" s="94" t="str">
        <f>IF(AND(B49="",C49=""),"",IF(C49&lt;&gt;"",C49,B49)&amp;IF(F49&lt;&gt;""," | "&amp;F49,""))</f>
        <v/>
      </c>
      <c r="Q49" s="94" t="str">
        <f>IF(P49="",IF(COUNTA(B49:O49)&gt;0,"Informe razão social ou nome fantasia",""),IF(E49="","Informe o tipo de atuação",IF(SUMPRODUCT(--($P$6:$P$205=P49))&gt;1,"Nome repetido: diferencie pelo estabelecimento",IF(AND(ISNUMBER(N49),N49&lt;TODAY()),"Validade informada vencida: conferir","OK"))))</f>
        <v/>
      </c>
      <c r="R49" s="96">
        <f>IF(AND(P49&lt;&gt;"",OR(E49="Transportador",E49="Ambos")),1,0)</f>
        <v>0</v>
      </c>
      <c r="S49" s="96" t="str">
        <f>IF(R49=1,COUNTIF($R$6:R49,1),"")</f>
        <v/>
      </c>
      <c r="T49" s="96">
        <f>IF(AND(P49&lt;&gt;"",OR(E49="Destinador",E49="Ambos")),1,0)</f>
        <v>0</v>
      </c>
      <c r="U49" s="96" t="str">
        <f>IF(T49=1,COUNTIF($T$6:T49,1),"")</f>
        <v/>
      </c>
      <c r="V49" s="96" t="str">
        <f>IF(T49=1,COUNTIFS('MTRs'!$I$6:$I$505,P49,'MTRs'!$AY$6:$AY$505,1,'MTRs'!$AA$6:$AA$505,0),"")</f>
        <v/>
      </c>
      <c r="W49" s="96" t="str">
        <f>IF(N(V49)&gt;0,V49+(1000-44)/10000,"")</f>
        <v/>
      </c>
    </row>
    <row r="50">
      <c r="A50" s="89" t="inlineStr">
        <is>
          <t>PA-045</t>
        </is>
      </c>
      <c r="B50" s="91" t="n"/>
      <c r="C50" s="91" t="n"/>
      <c r="D50" s="90" t="n"/>
      <c r="E50" s="91" t="n"/>
      <c r="F50" s="91" t="n"/>
      <c r="G50" s="91" t="n"/>
      <c r="H50" s="91" t="n"/>
      <c r="I50" s="91" t="n"/>
      <c r="J50" s="91" t="n"/>
      <c r="K50" s="90" t="n"/>
      <c r="L50" s="91" t="n"/>
      <c r="M50" s="91" t="n"/>
      <c r="N50" s="92" t="n"/>
      <c r="O50" s="91" t="n"/>
      <c r="P50" s="94" t="str">
        <f>IF(AND(B50="",C50=""),"",IF(C50&lt;&gt;"",C50,B50)&amp;IF(F50&lt;&gt;""," | "&amp;F50,""))</f>
        <v/>
      </c>
      <c r="Q50" s="94" t="str">
        <f>IF(P50="",IF(COUNTA(B50:O50)&gt;0,"Informe razão social ou nome fantasia",""),IF(E50="","Informe o tipo de atuação",IF(SUMPRODUCT(--($P$6:$P$205=P50))&gt;1,"Nome repetido: diferencie pelo estabelecimento",IF(AND(ISNUMBER(N50),N50&lt;TODAY()),"Validade informada vencida: conferir","OK"))))</f>
        <v/>
      </c>
      <c r="R50" s="96">
        <f>IF(AND(P50&lt;&gt;"",OR(E50="Transportador",E50="Ambos")),1,0)</f>
        <v>0</v>
      </c>
      <c r="S50" s="96" t="str">
        <f>IF(R50=1,COUNTIF($R$6:R50,1),"")</f>
        <v/>
      </c>
      <c r="T50" s="96">
        <f>IF(AND(P50&lt;&gt;"",OR(E50="Destinador",E50="Ambos")),1,0)</f>
        <v>0</v>
      </c>
      <c r="U50" s="96" t="str">
        <f>IF(T50=1,COUNTIF($T$6:T50,1),"")</f>
        <v/>
      </c>
      <c r="V50" s="96" t="str">
        <f>IF(T50=1,COUNTIFS('MTRs'!$I$6:$I$505,P50,'MTRs'!$AY$6:$AY$505,1,'MTRs'!$AA$6:$AA$505,0),"")</f>
        <v/>
      </c>
      <c r="W50" s="96" t="str">
        <f>IF(N(V50)&gt;0,V50+(1000-45)/10000,"")</f>
        <v/>
      </c>
    </row>
    <row r="51">
      <c r="A51" s="89" t="inlineStr">
        <is>
          <t>PA-046</t>
        </is>
      </c>
      <c r="B51" s="91" t="n"/>
      <c r="C51" s="91" t="n"/>
      <c r="D51" s="90" t="n"/>
      <c r="E51" s="91" t="n"/>
      <c r="F51" s="91" t="n"/>
      <c r="G51" s="91" t="n"/>
      <c r="H51" s="91" t="n"/>
      <c r="I51" s="91" t="n"/>
      <c r="J51" s="91" t="n"/>
      <c r="K51" s="90" t="n"/>
      <c r="L51" s="91" t="n"/>
      <c r="M51" s="91" t="n"/>
      <c r="N51" s="92" t="n"/>
      <c r="O51" s="91" t="n"/>
      <c r="P51" s="94" t="str">
        <f>IF(AND(B51="",C51=""),"",IF(C51&lt;&gt;"",C51,B51)&amp;IF(F51&lt;&gt;""," | "&amp;F51,""))</f>
        <v/>
      </c>
      <c r="Q51" s="94" t="str">
        <f>IF(P51="",IF(COUNTA(B51:O51)&gt;0,"Informe razão social ou nome fantasia",""),IF(E51="","Informe o tipo de atuação",IF(SUMPRODUCT(--($P$6:$P$205=P51))&gt;1,"Nome repetido: diferencie pelo estabelecimento",IF(AND(ISNUMBER(N51),N51&lt;TODAY()),"Validade informada vencida: conferir","OK"))))</f>
        <v/>
      </c>
      <c r="R51" s="96">
        <f>IF(AND(P51&lt;&gt;"",OR(E51="Transportador",E51="Ambos")),1,0)</f>
        <v>0</v>
      </c>
      <c r="S51" s="96" t="str">
        <f>IF(R51=1,COUNTIF($R$6:R51,1),"")</f>
        <v/>
      </c>
      <c r="T51" s="96">
        <f>IF(AND(P51&lt;&gt;"",OR(E51="Destinador",E51="Ambos")),1,0)</f>
        <v>0</v>
      </c>
      <c r="U51" s="96" t="str">
        <f>IF(T51=1,COUNTIF($T$6:T51,1),"")</f>
        <v/>
      </c>
      <c r="V51" s="96" t="str">
        <f>IF(T51=1,COUNTIFS('MTRs'!$I$6:$I$505,P51,'MTRs'!$AY$6:$AY$505,1,'MTRs'!$AA$6:$AA$505,0),"")</f>
        <v/>
      </c>
      <c r="W51" s="96" t="str">
        <f>IF(N(V51)&gt;0,V51+(1000-46)/10000,"")</f>
        <v/>
      </c>
    </row>
    <row r="52">
      <c r="A52" s="89" t="inlineStr">
        <is>
          <t>PA-047</t>
        </is>
      </c>
      <c r="B52" s="91" t="n"/>
      <c r="C52" s="91" t="n"/>
      <c r="D52" s="90" t="n"/>
      <c r="E52" s="91" t="n"/>
      <c r="F52" s="91" t="n"/>
      <c r="G52" s="91" t="n"/>
      <c r="H52" s="91" t="n"/>
      <c r="I52" s="91" t="n"/>
      <c r="J52" s="91" t="n"/>
      <c r="K52" s="90" t="n"/>
      <c r="L52" s="91" t="n"/>
      <c r="M52" s="91" t="n"/>
      <c r="N52" s="92" t="n"/>
      <c r="O52" s="91" t="n"/>
      <c r="P52" s="94" t="str">
        <f>IF(AND(B52="",C52=""),"",IF(C52&lt;&gt;"",C52,B52)&amp;IF(F52&lt;&gt;""," | "&amp;F52,""))</f>
        <v/>
      </c>
      <c r="Q52" s="94" t="str">
        <f>IF(P52="",IF(COUNTA(B52:O52)&gt;0,"Informe razão social ou nome fantasia",""),IF(E52="","Informe o tipo de atuação",IF(SUMPRODUCT(--($P$6:$P$205=P52))&gt;1,"Nome repetido: diferencie pelo estabelecimento",IF(AND(ISNUMBER(N52),N52&lt;TODAY()),"Validade informada vencida: conferir","OK"))))</f>
        <v/>
      </c>
      <c r="R52" s="96">
        <f>IF(AND(P52&lt;&gt;"",OR(E52="Transportador",E52="Ambos")),1,0)</f>
        <v>0</v>
      </c>
      <c r="S52" s="96" t="str">
        <f>IF(R52=1,COUNTIF($R$6:R52,1),"")</f>
        <v/>
      </c>
      <c r="T52" s="96">
        <f>IF(AND(P52&lt;&gt;"",OR(E52="Destinador",E52="Ambos")),1,0)</f>
        <v>0</v>
      </c>
      <c r="U52" s="96" t="str">
        <f>IF(T52=1,COUNTIF($T$6:T52,1),"")</f>
        <v/>
      </c>
      <c r="V52" s="96" t="str">
        <f>IF(T52=1,COUNTIFS('MTRs'!$I$6:$I$505,P52,'MTRs'!$AY$6:$AY$505,1,'MTRs'!$AA$6:$AA$505,0),"")</f>
        <v/>
      </c>
      <c r="W52" s="96" t="str">
        <f>IF(N(V52)&gt;0,V52+(1000-47)/10000,"")</f>
        <v/>
      </c>
    </row>
    <row r="53">
      <c r="A53" s="89" t="inlineStr">
        <is>
          <t>PA-048</t>
        </is>
      </c>
      <c r="B53" s="91" t="n"/>
      <c r="C53" s="91" t="n"/>
      <c r="D53" s="90" t="n"/>
      <c r="E53" s="91" t="n"/>
      <c r="F53" s="91" t="n"/>
      <c r="G53" s="91" t="n"/>
      <c r="H53" s="91" t="n"/>
      <c r="I53" s="91" t="n"/>
      <c r="J53" s="91" t="n"/>
      <c r="K53" s="90" t="n"/>
      <c r="L53" s="91" t="n"/>
      <c r="M53" s="91" t="n"/>
      <c r="N53" s="92" t="n"/>
      <c r="O53" s="91" t="n"/>
      <c r="P53" s="94" t="str">
        <f>IF(AND(B53="",C53=""),"",IF(C53&lt;&gt;"",C53,B53)&amp;IF(F53&lt;&gt;""," | "&amp;F53,""))</f>
        <v/>
      </c>
      <c r="Q53" s="94" t="str">
        <f>IF(P53="",IF(COUNTA(B53:O53)&gt;0,"Informe razão social ou nome fantasia",""),IF(E53="","Informe o tipo de atuação",IF(SUMPRODUCT(--($P$6:$P$205=P53))&gt;1,"Nome repetido: diferencie pelo estabelecimento",IF(AND(ISNUMBER(N53),N53&lt;TODAY()),"Validade informada vencida: conferir","OK"))))</f>
        <v/>
      </c>
      <c r="R53" s="96">
        <f>IF(AND(P53&lt;&gt;"",OR(E53="Transportador",E53="Ambos")),1,0)</f>
        <v>0</v>
      </c>
      <c r="S53" s="96" t="str">
        <f>IF(R53=1,COUNTIF($R$6:R53,1),"")</f>
        <v/>
      </c>
      <c r="T53" s="96">
        <f>IF(AND(P53&lt;&gt;"",OR(E53="Destinador",E53="Ambos")),1,0)</f>
        <v>0</v>
      </c>
      <c r="U53" s="96" t="str">
        <f>IF(T53=1,COUNTIF($T$6:T53,1),"")</f>
        <v/>
      </c>
      <c r="V53" s="96" t="str">
        <f>IF(T53=1,COUNTIFS('MTRs'!$I$6:$I$505,P53,'MTRs'!$AY$6:$AY$505,1,'MTRs'!$AA$6:$AA$505,0),"")</f>
        <v/>
      </c>
      <c r="W53" s="96" t="str">
        <f>IF(N(V53)&gt;0,V53+(1000-48)/10000,"")</f>
        <v/>
      </c>
    </row>
    <row r="54">
      <c r="A54" s="89" t="inlineStr">
        <is>
          <t>PA-049</t>
        </is>
      </c>
      <c r="B54" s="91" t="n"/>
      <c r="C54" s="91" t="n"/>
      <c r="D54" s="90" t="n"/>
      <c r="E54" s="91" t="n"/>
      <c r="F54" s="91" t="n"/>
      <c r="G54" s="91" t="n"/>
      <c r="H54" s="91" t="n"/>
      <c r="I54" s="91" t="n"/>
      <c r="J54" s="91" t="n"/>
      <c r="K54" s="90" t="n"/>
      <c r="L54" s="91" t="n"/>
      <c r="M54" s="91" t="n"/>
      <c r="N54" s="92" t="n"/>
      <c r="O54" s="91" t="n"/>
      <c r="P54" s="94" t="str">
        <f>IF(AND(B54="",C54=""),"",IF(C54&lt;&gt;"",C54,B54)&amp;IF(F54&lt;&gt;""," | "&amp;F54,""))</f>
        <v/>
      </c>
      <c r="Q54" s="94" t="str">
        <f>IF(P54="",IF(COUNTA(B54:O54)&gt;0,"Informe razão social ou nome fantasia",""),IF(E54="","Informe o tipo de atuação",IF(SUMPRODUCT(--($P$6:$P$205=P54))&gt;1,"Nome repetido: diferencie pelo estabelecimento",IF(AND(ISNUMBER(N54),N54&lt;TODAY()),"Validade informada vencida: conferir","OK"))))</f>
        <v/>
      </c>
      <c r="R54" s="96">
        <f>IF(AND(P54&lt;&gt;"",OR(E54="Transportador",E54="Ambos")),1,0)</f>
        <v>0</v>
      </c>
      <c r="S54" s="96" t="str">
        <f>IF(R54=1,COUNTIF($R$6:R54,1),"")</f>
        <v/>
      </c>
      <c r="T54" s="96">
        <f>IF(AND(P54&lt;&gt;"",OR(E54="Destinador",E54="Ambos")),1,0)</f>
        <v>0</v>
      </c>
      <c r="U54" s="96" t="str">
        <f>IF(T54=1,COUNTIF($T$6:T54,1),"")</f>
        <v/>
      </c>
      <c r="V54" s="96" t="str">
        <f>IF(T54=1,COUNTIFS('MTRs'!$I$6:$I$505,P54,'MTRs'!$AY$6:$AY$505,1,'MTRs'!$AA$6:$AA$505,0),"")</f>
        <v/>
      </c>
      <c r="W54" s="96" t="str">
        <f>IF(N(V54)&gt;0,V54+(1000-49)/10000,"")</f>
        <v/>
      </c>
    </row>
    <row r="55">
      <c r="A55" s="89" t="inlineStr">
        <is>
          <t>PA-050</t>
        </is>
      </c>
      <c r="B55" s="91" t="n"/>
      <c r="C55" s="91" t="n"/>
      <c r="D55" s="90" t="n"/>
      <c r="E55" s="91" t="n"/>
      <c r="F55" s="91" t="n"/>
      <c r="G55" s="91" t="n"/>
      <c r="H55" s="91" t="n"/>
      <c r="I55" s="91" t="n"/>
      <c r="J55" s="91" t="n"/>
      <c r="K55" s="90" t="n"/>
      <c r="L55" s="91" t="n"/>
      <c r="M55" s="91" t="n"/>
      <c r="N55" s="92" t="n"/>
      <c r="O55" s="91" t="n"/>
      <c r="P55" s="94" t="str">
        <f>IF(AND(B55="",C55=""),"",IF(C55&lt;&gt;"",C55,B55)&amp;IF(F55&lt;&gt;""," | "&amp;F55,""))</f>
        <v/>
      </c>
      <c r="Q55" s="94" t="str">
        <f>IF(P55="",IF(COUNTA(B55:O55)&gt;0,"Informe razão social ou nome fantasia",""),IF(E55="","Informe o tipo de atuação",IF(SUMPRODUCT(--($P$6:$P$205=P55))&gt;1,"Nome repetido: diferencie pelo estabelecimento",IF(AND(ISNUMBER(N55),N55&lt;TODAY()),"Validade informada vencida: conferir","OK"))))</f>
        <v/>
      </c>
      <c r="R55" s="96">
        <f>IF(AND(P55&lt;&gt;"",OR(E55="Transportador",E55="Ambos")),1,0)</f>
        <v>0</v>
      </c>
      <c r="S55" s="96" t="str">
        <f>IF(R55=1,COUNTIF($R$6:R55,1),"")</f>
        <v/>
      </c>
      <c r="T55" s="96">
        <f>IF(AND(P55&lt;&gt;"",OR(E55="Destinador",E55="Ambos")),1,0)</f>
        <v>0</v>
      </c>
      <c r="U55" s="96" t="str">
        <f>IF(T55=1,COUNTIF($T$6:T55,1),"")</f>
        <v/>
      </c>
      <c r="V55" s="96" t="str">
        <f>IF(T55=1,COUNTIFS('MTRs'!$I$6:$I$505,P55,'MTRs'!$AY$6:$AY$505,1,'MTRs'!$AA$6:$AA$505,0),"")</f>
        <v/>
      </c>
      <c r="W55" s="96" t="str">
        <f>IF(N(V55)&gt;0,V55+(1000-50)/10000,"")</f>
        <v/>
      </c>
    </row>
    <row r="56">
      <c r="A56" s="89" t="inlineStr">
        <is>
          <t>PA-051</t>
        </is>
      </c>
      <c r="B56" s="91" t="n"/>
      <c r="C56" s="91" t="n"/>
      <c r="D56" s="90" t="n"/>
      <c r="E56" s="91" t="n"/>
      <c r="F56" s="91" t="n"/>
      <c r="G56" s="91" t="n"/>
      <c r="H56" s="91" t="n"/>
      <c r="I56" s="91" t="n"/>
      <c r="J56" s="91" t="n"/>
      <c r="K56" s="90" t="n"/>
      <c r="L56" s="91" t="n"/>
      <c r="M56" s="91" t="n"/>
      <c r="N56" s="92" t="n"/>
      <c r="O56" s="91" t="n"/>
      <c r="P56" s="94" t="str">
        <f>IF(AND(B56="",C56=""),"",IF(C56&lt;&gt;"",C56,B56)&amp;IF(F56&lt;&gt;""," | "&amp;F56,""))</f>
        <v/>
      </c>
      <c r="Q56" s="94" t="str">
        <f>IF(P56="",IF(COUNTA(B56:O56)&gt;0,"Informe razão social ou nome fantasia",""),IF(E56="","Informe o tipo de atuação",IF(SUMPRODUCT(--($P$6:$P$205=P56))&gt;1,"Nome repetido: diferencie pelo estabelecimento",IF(AND(ISNUMBER(N56),N56&lt;TODAY()),"Validade informada vencida: conferir","OK"))))</f>
        <v/>
      </c>
      <c r="R56" s="96">
        <f>IF(AND(P56&lt;&gt;"",OR(E56="Transportador",E56="Ambos")),1,0)</f>
        <v>0</v>
      </c>
      <c r="S56" s="96" t="str">
        <f>IF(R56=1,COUNTIF($R$6:R56,1),"")</f>
        <v/>
      </c>
      <c r="T56" s="96">
        <f>IF(AND(P56&lt;&gt;"",OR(E56="Destinador",E56="Ambos")),1,0)</f>
        <v>0</v>
      </c>
      <c r="U56" s="96" t="str">
        <f>IF(T56=1,COUNTIF($T$6:T56,1),"")</f>
        <v/>
      </c>
      <c r="V56" s="96" t="str">
        <f>IF(T56=1,COUNTIFS('MTRs'!$I$6:$I$505,P56,'MTRs'!$AY$6:$AY$505,1,'MTRs'!$AA$6:$AA$505,0),"")</f>
        <v/>
      </c>
      <c r="W56" s="96" t="str">
        <f>IF(N(V56)&gt;0,V56+(1000-51)/10000,"")</f>
        <v/>
      </c>
    </row>
    <row r="57">
      <c r="A57" s="89" t="inlineStr">
        <is>
          <t>PA-052</t>
        </is>
      </c>
      <c r="B57" s="91" t="n"/>
      <c r="C57" s="91" t="n"/>
      <c r="D57" s="90" t="n"/>
      <c r="E57" s="91" t="n"/>
      <c r="F57" s="91" t="n"/>
      <c r="G57" s="91" t="n"/>
      <c r="H57" s="91" t="n"/>
      <c r="I57" s="91" t="n"/>
      <c r="J57" s="91" t="n"/>
      <c r="K57" s="90" t="n"/>
      <c r="L57" s="91" t="n"/>
      <c r="M57" s="91" t="n"/>
      <c r="N57" s="92" t="n"/>
      <c r="O57" s="91" t="n"/>
      <c r="P57" s="94" t="str">
        <f>IF(AND(B57="",C57=""),"",IF(C57&lt;&gt;"",C57,B57)&amp;IF(F57&lt;&gt;""," | "&amp;F57,""))</f>
        <v/>
      </c>
      <c r="Q57" s="94" t="str">
        <f>IF(P57="",IF(COUNTA(B57:O57)&gt;0,"Informe razão social ou nome fantasia",""),IF(E57="","Informe o tipo de atuação",IF(SUMPRODUCT(--($P$6:$P$205=P57))&gt;1,"Nome repetido: diferencie pelo estabelecimento",IF(AND(ISNUMBER(N57),N57&lt;TODAY()),"Validade informada vencida: conferir","OK"))))</f>
        <v/>
      </c>
      <c r="R57" s="96">
        <f>IF(AND(P57&lt;&gt;"",OR(E57="Transportador",E57="Ambos")),1,0)</f>
        <v>0</v>
      </c>
      <c r="S57" s="96" t="str">
        <f>IF(R57=1,COUNTIF($R$6:R57,1),"")</f>
        <v/>
      </c>
      <c r="T57" s="96">
        <f>IF(AND(P57&lt;&gt;"",OR(E57="Destinador",E57="Ambos")),1,0)</f>
        <v>0</v>
      </c>
      <c r="U57" s="96" t="str">
        <f>IF(T57=1,COUNTIF($T$6:T57,1),"")</f>
        <v/>
      </c>
      <c r="V57" s="96" t="str">
        <f>IF(T57=1,COUNTIFS('MTRs'!$I$6:$I$505,P57,'MTRs'!$AY$6:$AY$505,1,'MTRs'!$AA$6:$AA$505,0),"")</f>
        <v/>
      </c>
      <c r="W57" s="96" t="str">
        <f>IF(N(V57)&gt;0,V57+(1000-52)/10000,"")</f>
        <v/>
      </c>
    </row>
    <row r="58">
      <c r="A58" s="89" t="inlineStr">
        <is>
          <t>PA-053</t>
        </is>
      </c>
      <c r="B58" s="91" t="n"/>
      <c r="C58" s="91" t="n"/>
      <c r="D58" s="90" t="n"/>
      <c r="E58" s="91" t="n"/>
      <c r="F58" s="91" t="n"/>
      <c r="G58" s="91" t="n"/>
      <c r="H58" s="91" t="n"/>
      <c r="I58" s="91" t="n"/>
      <c r="J58" s="91" t="n"/>
      <c r="K58" s="90" t="n"/>
      <c r="L58" s="91" t="n"/>
      <c r="M58" s="91" t="n"/>
      <c r="N58" s="92" t="n"/>
      <c r="O58" s="91" t="n"/>
      <c r="P58" s="94" t="str">
        <f>IF(AND(B58="",C58=""),"",IF(C58&lt;&gt;"",C58,B58)&amp;IF(F58&lt;&gt;""," | "&amp;F58,""))</f>
        <v/>
      </c>
      <c r="Q58" s="94" t="str">
        <f>IF(P58="",IF(COUNTA(B58:O58)&gt;0,"Informe razão social ou nome fantasia",""),IF(E58="","Informe o tipo de atuação",IF(SUMPRODUCT(--($P$6:$P$205=P58))&gt;1,"Nome repetido: diferencie pelo estabelecimento",IF(AND(ISNUMBER(N58),N58&lt;TODAY()),"Validade informada vencida: conferir","OK"))))</f>
        <v/>
      </c>
      <c r="R58" s="96">
        <f>IF(AND(P58&lt;&gt;"",OR(E58="Transportador",E58="Ambos")),1,0)</f>
        <v>0</v>
      </c>
      <c r="S58" s="96" t="str">
        <f>IF(R58=1,COUNTIF($R$6:R58,1),"")</f>
        <v/>
      </c>
      <c r="T58" s="96">
        <f>IF(AND(P58&lt;&gt;"",OR(E58="Destinador",E58="Ambos")),1,0)</f>
        <v>0</v>
      </c>
      <c r="U58" s="96" t="str">
        <f>IF(T58=1,COUNTIF($T$6:T58,1),"")</f>
        <v/>
      </c>
      <c r="V58" s="96" t="str">
        <f>IF(T58=1,COUNTIFS('MTRs'!$I$6:$I$505,P58,'MTRs'!$AY$6:$AY$505,1,'MTRs'!$AA$6:$AA$505,0),"")</f>
        <v/>
      </c>
      <c r="W58" s="96" t="str">
        <f>IF(N(V58)&gt;0,V58+(1000-53)/10000,"")</f>
        <v/>
      </c>
    </row>
    <row r="59">
      <c r="A59" s="89" t="inlineStr">
        <is>
          <t>PA-054</t>
        </is>
      </c>
      <c r="B59" s="91" t="n"/>
      <c r="C59" s="91" t="n"/>
      <c r="D59" s="90" t="n"/>
      <c r="E59" s="91" t="n"/>
      <c r="F59" s="91" t="n"/>
      <c r="G59" s="91" t="n"/>
      <c r="H59" s="91" t="n"/>
      <c r="I59" s="91" t="n"/>
      <c r="J59" s="91" t="n"/>
      <c r="K59" s="90" t="n"/>
      <c r="L59" s="91" t="n"/>
      <c r="M59" s="91" t="n"/>
      <c r="N59" s="92" t="n"/>
      <c r="O59" s="91" t="n"/>
      <c r="P59" s="94" t="str">
        <f>IF(AND(B59="",C59=""),"",IF(C59&lt;&gt;"",C59,B59)&amp;IF(F59&lt;&gt;""," | "&amp;F59,""))</f>
        <v/>
      </c>
      <c r="Q59" s="94" t="str">
        <f>IF(P59="",IF(COUNTA(B59:O59)&gt;0,"Informe razão social ou nome fantasia",""),IF(E59="","Informe o tipo de atuação",IF(SUMPRODUCT(--($P$6:$P$205=P59))&gt;1,"Nome repetido: diferencie pelo estabelecimento",IF(AND(ISNUMBER(N59),N59&lt;TODAY()),"Validade informada vencida: conferir","OK"))))</f>
        <v/>
      </c>
      <c r="R59" s="96">
        <f>IF(AND(P59&lt;&gt;"",OR(E59="Transportador",E59="Ambos")),1,0)</f>
        <v>0</v>
      </c>
      <c r="S59" s="96" t="str">
        <f>IF(R59=1,COUNTIF($R$6:R59,1),"")</f>
        <v/>
      </c>
      <c r="T59" s="96">
        <f>IF(AND(P59&lt;&gt;"",OR(E59="Destinador",E59="Ambos")),1,0)</f>
        <v>0</v>
      </c>
      <c r="U59" s="96" t="str">
        <f>IF(T59=1,COUNTIF($T$6:T59,1),"")</f>
        <v/>
      </c>
      <c r="V59" s="96" t="str">
        <f>IF(T59=1,COUNTIFS('MTRs'!$I$6:$I$505,P59,'MTRs'!$AY$6:$AY$505,1,'MTRs'!$AA$6:$AA$505,0),"")</f>
        <v/>
      </c>
      <c r="W59" s="96" t="str">
        <f>IF(N(V59)&gt;0,V59+(1000-54)/10000,"")</f>
        <v/>
      </c>
    </row>
    <row r="60">
      <c r="A60" s="89" t="inlineStr">
        <is>
          <t>PA-055</t>
        </is>
      </c>
      <c r="B60" s="91" t="n"/>
      <c r="C60" s="91" t="n"/>
      <c r="D60" s="90" t="n"/>
      <c r="E60" s="91" t="n"/>
      <c r="F60" s="91" t="n"/>
      <c r="G60" s="91" t="n"/>
      <c r="H60" s="91" t="n"/>
      <c r="I60" s="91" t="n"/>
      <c r="J60" s="91" t="n"/>
      <c r="K60" s="90" t="n"/>
      <c r="L60" s="91" t="n"/>
      <c r="M60" s="91" t="n"/>
      <c r="N60" s="92" t="n"/>
      <c r="O60" s="91" t="n"/>
      <c r="P60" s="94" t="str">
        <f>IF(AND(B60="",C60=""),"",IF(C60&lt;&gt;"",C60,B60)&amp;IF(F60&lt;&gt;""," | "&amp;F60,""))</f>
        <v/>
      </c>
      <c r="Q60" s="94" t="str">
        <f>IF(P60="",IF(COUNTA(B60:O60)&gt;0,"Informe razão social ou nome fantasia",""),IF(E60="","Informe o tipo de atuação",IF(SUMPRODUCT(--($P$6:$P$205=P60))&gt;1,"Nome repetido: diferencie pelo estabelecimento",IF(AND(ISNUMBER(N60),N60&lt;TODAY()),"Validade informada vencida: conferir","OK"))))</f>
        <v/>
      </c>
      <c r="R60" s="96">
        <f>IF(AND(P60&lt;&gt;"",OR(E60="Transportador",E60="Ambos")),1,0)</f>
        <v>0</v>
      </c>
      <c r="S60" s="96" t="str">
        <f>IF(R60=1,COUNTIF($R$6:R60,1),"")</f>
        <v/>
      </c>
      <c r="T60" s="96">
        <f>IF(AND(P60&lt;&gt;"",OR(E60="Destinador",E60="Ambos")),1,0)</f>
        <v>0</v>
      </c>
      <c r="U60" s="96" t="str">
        <f>IF(T60=1,COUNTIF($T$6:T60,1),"")</f>
        <v/>
      </c>
      <c r="V60" s="96" t="str">
        <f>IF(T60=1,COUNTIFS('MTRs'!$I$6:$I$505,P60,'MTRs'!$AY$6:$AY$505,1,'MTRs'!$AA$6:$AA$505,0),"")</f>
        <v/>
      </c>
      <c r="W60" s="96" t="str">
        <f>IF(N(V60)&gt;0,V60+(1000-55)/10000,"")</f>
        <v/>
      </c>
    </row>
    <row r="61">
      <c r="A61" s="89" t="inlineStr">
        <is>
          <t>PA-056</t>
        </is>
      </c>
      <c r="B61" s="91" t="n"/>
      <c r="C61" s="91" t="n"/>
      <c r="D61" s="90" t="n"/>
      <c r="E61" s="91" t="n"/>
      <c r="F61" s="91" t="n"/>
      <c r="G61" s="91" t="n"/>
      <c r="H61" s="91" t="n"/>
      <c r="I61" s="91" t="n"/>
      <c r="J61" s="91" t="n"/>
      <c r="K61" s="90" t="n"/>
      <c r="L61" s="91" t="n"/>
      <c r="M61" s="91" t="n"/>
      <c r="N61" s="92" t="n"/>
      <c r="O61" s="91" t="n"/>
      <c r="P61" s="94" t="str">
        <f>IF(AND(B61="",C61=""),"",IF(C61&lt;&gt;"",C61,B61)&amp;IF(F61&lt;&gt;""," | "&amp;F61,""))</f>
        <v/>
      </c>
      <c r="Q61" s="94" t="str">
        <f>IF(P61="",IF(COUNTA(B61:O61)&gt;0,"Informe razão social ou nome fantasia",""),IF(E61="","Informe o tipo de atuação",IF(SUMPRODUCT(--($P$6:$P$205=P61))&gt;1,"Nome repetido: diferencie pelo estabelecimento",IF(AND(ISNUMBER(N61),N61&lt;TODAY()),"Validade informada vencida: conferir","OK"))))</f>
        <v/>
      </c>
      <c r="R61" s="96">
        <f>IF(AND(P61&lt;&gt;"",OR(E61="Transportador",E61="Ambos")),1,0)</f>
        <v>0</v>
      </c>
      <c r="S61" s="96" t="str">
        <f>IF(R61=1,COUNTIF($R$6:R61,1),"")</f>
        <v/>
      </c>
      <c r="T61" s="96">
        <f>IF(AND(P61&lt;&gt;"",OR(E61="Destinador",E61="Ambos")),1,0)</f>
        <v>0</v>
      </c>
      <c r="U61" s="96" t="str">
        <f>IF(T61=1,COUNTIF($T$6:T61,1),"")</f>
        <v/>
      </c>
      <c r="V61" s="96" t="str">
        <f>IF(T61=1,COUNTIFS('MTRs'!$I$6:$I$505,P61,'MTRs'!$AY$6:$AY$505,1,'MTRs'!$AA$6:$AA$505,0),"")</f>
        <v/>
      </c>
      <c r="W61" s="96" t="str">
        <f>IF(N(V61)&gt;0,V61+(1000-56)/10000,"")</f>
        <v/>
      </c>
    </row>
    <row r="62">
      <c r="A62" s="89" t="inlineStr">
        <is>
          <t>PA-057</t>
        </is>
      </c>
      <c r="B62" s="91" t="n"/>
      <c r="C62" s="91" t="n"/>
      <c r="D62" s="90" t="n"/>
      <c r="E62" s="91" t="n"/>
      <c r="F62" s="91" t="n"/>
      <c r="G62" s="91" t="n"/>
      <c r="H62" s="91" t="n"/>
      <c r="I62" s="91" t="n"/>
      <c r="J62" s="91" t="n"/>
      <c r="K62" s="90" t="n"/>
      <c r="L62" s="91" t="n"/>
      <c r="M62" s="91" t="n"/>
      <c r="N62" s="92" t="n"/>
      <c r="O62" s="91" t="n"/>
      <c r="P62" s="94" t="str">
        <f>IF(AND(B62="",C62=""),"",IF(C62&lt;&gt;"",C62,B62)&amp;IF(F62&lt;&gt;""," | "&amp;F62,""))</f>
        <v/>
      </c>
      <c r="Q62" s="94" t="str">
        <f>IF(P62="",IF(COUNTA(B62:O62)&gt;0,"Informe razão social ou nome fantasia",""),IF(E62="","Informe o tipo de atuação",IF(SUMPRODUCT(--($P$6:$P$205=P62))&gt;1,"Nome repetido: diferencie pelo estabelecimento",IF(AND(ISNUMBER(N62),N62&lt;TODAY()),"Validade informada vencida: conferir","OK"))))</f>
        <v/>
      </c>
      <c r="R62" s="96">
        <f>IF(AND(P62&lt;&gt;"",OR(E62="Transportador",E62="Ambos")),1,0)</f>
        <v>0</v>
      </c>
      <c r="S62" s="96" t="str">
        <f>IF(R62=1,COUNTIF($R$6:R62,1),"")</f>
        <v/>
      </c>
      <c r="T62" s="96">
        <f>IF(AND(P62&lt;&gt;"",OR(E62="Destinador",E62="Ambos")),1,0)</f>
        <v>0</v>
      </c>
      <c r="U62" s="96" t="str">
        <f>IF(T62=1,COUNTIF($T$6:T62,1),"")</f>
        <v/>
      </c>
      <c r="V62" s="96" t="str">
        <f>IF(T62=1,COUNTIFS('MTRs'!$I$6:$I$505,P62,'MTRs'!$AY$6:$AY$505,1,'MTRs'!$AA$6:$AA$505,0),"")</f>
        <v/>
      </c>
      <c r="W62" s="96" t="str">
        <f>IF(N(V62)&gt;0,V62+(1000-57)/10000,"")</f>
        <v/>
      </c>
    </row>
    <row r="63">
      <c r="A63" s="89" t="inlineStr">
        <is>
          <t>PA-058</t>
        </is>
      </c>
      <c r="B63" s="91" t="n"/>
      <c r="C63" s="91" t="n"/>
      <c r="D63" s="90" t="n"/>
      <c r="E63" s="91" t="n"/>
      <c r="F63" s="91" t="n"/>
      <c r="G63" s="91" t="n"/>
      <c r="H63" s="91" t="n"/>
      <c r="I63" s="91" t="n"/>
      <c r="J63" s="91" t="n"/>
      <c r="K63" s="90" t="n"/>
      <c r="L63" s="91" t="n"/>
      <c r="M63" s="91" t="n"/>
      <c r="N63" s="92" t="n"/>
      <c r="O63" s="91" t="n"/>
      <c r="P63" s="94" t="str">
        <f>IF(AND(B63="",C63=""),"",IF(C63&lt;&gt;"",C63,B63)&amp;IF(F63&lt;&gt;""," | "&amp;F63,""))</f>
        <v/>
      </c>
      <c r="Q63" s="94" t="str">
        <f>IF(P63="",IF(COUNTA(B63:O63)&gt;0,"Informe razão social ou nome fantasia",""),IF(E63="","Informe o tipo de atuação",IF(SUMPRODUCT(--($P$6:$P$205=P63))&gt;1,"Nome repetido: diferencie pelo estabelecimento",IF(AND(ISNUMBER(N63),N63&lt;TODAY()),"Validade informada vencida: conferir","OK"))))</f>
        <v/>
      </c>
      <c r="R63" s="96">
        <f>IF(AND(P63&lt;&gt;"",OR(E63="Transportador",E63="Ambos")),1,0)</f>
        <v>0</v>
      </c>
      <c r="S63" s="96" t="str">
        <f>IF(R63=1,COUNTIF($R$6:R63,1),"")</f>
        <v/>
      </c>
      <c r="T63" s="96">
        <f>IF(AND(P63&lt;&gt;"",OR(E63="Destinador",E63="Ambos")),1,0)</f>
        <v>0</v>
      </c>
      <c r="U63" s="96" t="str">
        <f>IF(T63=1,COUNTIF($T$6:T63,1),"")</f>
        <v/>
      </c>
      <c r="V63" s="96" t="str">
        <f>IF(T63=1,COUNTIFS('MTRs'!$I$6:$I$505,P63,'MTRs'!$AY$6:$AY$505,1,'MTRs'!$AA$6:$AA$505,0),"")</f>
        <v/>
      </c>
      <c r="W63" s="96" t="str">
        <f>IF(N(V63)&gt;0,V63+(1000-58)/10000,"")</f>
        <v/>
      </c>
    </row>
    <row r="64">
      <c r="A64" s="89" t="inlineStr">
        <is>
          <t>PA-059</t>
        </is>
      </c>
      <c r="B64" s="91" t="n"/>
      <c r="C64" s="91" t="n"/>
      <c r="D64" s="90" t="n"/>
      <c r="E64" s="91" t="n"/>
      <c r="F64" s="91" t="n"/>
      <c r="G64" s="91" t="n"/>
      <c r="H64" s="91" t="n"/>
      <c r="I64" s="91" t="n"/>
      <c r="J64" s="91" t="n"/>
      <c r="K64" s="90" t="n"/>
      <c r="L64" s="91" t="n"/>
      <c r="M64" s="91" t="n"/>
      <c r="N64" s="92" t="n"/>
      <c r="O64" s="91" t="n"/>
      <c r="P64" s="94" t="str">
        <f>IF(AND(B64="",C64=""),"",IF(C64&lt;&gt;"",C64,B64)&amp;IF(F64&lt;&gt;""," | "&amp;F64,""))</f>
        <v/>
      </c>
      <c r="Q64" s="94" t="str">
        <f>IF(P64="",IF(COUNTA(B64:O64)&gt;0,"Informe razão social ou nome fantasia",""),IF(E64="","Informe o tipo de atuação",IF(SUMPRODUCT(--($P$6:$P$205=P64))&gt;1,"Nome repetido: diferencie pelo estabelecimento",IF(AND(ISNUMBER(N64),N64&lt;TODAY()),"Validade informada vencida: conferir","OK"))))</f>
        <v/>
      </c>
      <c r="R64" s="96">
        <f>IF(AND(P64&lt;&gt;"",OR(E64="Transportador",E64="Ambos")),1,0)</f>
        <v>0</v>
      </c>
      <c r="S64" s="96" t="str">
        <f>IF(R64=1,COUNTIF($R$6:R64,1),"")</f>
        <v/>
      </c>
      <c r="T64" s="96">
        <f>IF(AND(P64&lt;&gt;"",OR(E64="Destinador",E64="Ambos")),1,0)</f>
        <v>0</v>
      </c>
      <c r="U64" s="96" t="str">
        <f>IF(T64=1,COUNTIF($T$6:T64,1),"")</f>
        <v/>
      </c>
      <c r="V64" s="96" t="str">
        <f>IF(T64=1,COUNTIFS('MTRs'!$I$6:$I$505,P64,'MTRs'!$AY$6:$AY$505,1,'MTRs'!$AA$6:$AA$505,0),"")</f>
        <v/>
      </c>
      <c r="W64" s="96" t="str">
        <f>IF(N(V64)&gt;0,V64+(1000-59)/10000,"")</f>
        <v/>
      </c>
    </row>
    <row r="65">
      <c r="A65" s="89" t="inlineStr">
        <is>
          <t>PA-060</t>
        </is>
      </c>
      <c r="B65" s="91" t="n"/>
      <c r="C65" s="91" t="n"/>
      <c r="D65" s="90" t="n"/>
      <c r="E65" s="91" t="n"/>
      <c r="F65" s="91" t="n"/>
      <c r="G65" s="91" t="n"/>
      <c r="H65" s="91" t="n"/>
      <c r="I65" s="91" t="n"/>
      <c r="J65" s="91" t="n"/>
      <c r="K65" s="90" t="n"/>
      <c r="L65" s="91" t="n"/>
      <c r="M65" s="91" t="n"/>
      <c r="N65" s="92" t="n"/>
      <c r="O65" s="91" t="n"/>
      <c r="P65" s="94" t="str">
        <f>IF(AND(B65="",C65=""),"",IF(C65&lt;&gt;"",C65,B65)&amp;IF(F65&lt;&gt;""," | "&amp;F65,""))</f>
        <v/>
      </c>
      <c r="Q65" s="94" t="str">
        <f>IF(P65="",IF(COUNTA(B65:O65)&gt;0,"Informe razão social ou nome fantasia",""),IF(E65="","Informe o tipo de atuação",IF(SUMPRODUCT(--($P$6:$P$205=P65))&gt;1,"Nome repetido: diferencie pelo estabelecimento",IF(AND(ISNUMBER(N65),N65&lt;TODAY()),"Validade informada vencida: conferir","OK"))))</f>
        <v/>
      </c>
      <c r="R65" s="96">
        <f>IF(AND(P65&lt;&gt;"",OR(E65="Transportador",E65="Ambos")),1,0)</f>
        <v>0</v>
      </c>
      <c r="S65" s="96" t="str">
        <f>IF(R65=1,COUNTIF($R$6:R65,1),"")</f>
        <v/>
      </c>
      <c r="T65" s="96">
        <f>IF(AND(P65&lt;&gt;"",OR(E65="Destinador",E65="Ambos")),1,0)</f>
        <v>0</v>
      </c>
      <c r="U65" s="96" t="str">
        <f>IF(T65=1,COUNTIF($T$6:T65,1),"")</f>
        <v/>
      </c>
      <c r="V65" s="96" t="str">
        <f>IF(T65=1,COUNTIFS('MTRs'!$I$6:$I$505,P65,'MTRs'!$AY$6:$AY$505,1,'MTRs'!$AA$6:$AA$505,0),"")</f>
        <v/>
      </c>
      <c r="W65" s="96" t="str">
        <f>IF(N(V65)&gt;0,V65+(1000-60)/10000,"")</f>
        <v/>
      </c>
    </row>
    <row r="66">
      <c r="A66" s="89" t="inlineStr">
        <is>
          <t>PA-061</t>
        </is>
      </c>
      <c r="B66" s="91" t="n"/>
      <c r="C66" s="91" t="n"/>
      <c r="D66" s="90" t="n"/>
      <c r="E66" s="91" t="n"/>
      <c r="F66" s="91" t="n"/>
      <c r="G66" s="91" t="n"/>
      <c r="H66" s="91" t="n"/>
      <c r="I66" s="91" t="n"/>
      <c r="J66" s="91" t="n"/>
      <c r="K66" s="90" t="n"/>
      <c r="L66" s="91" t="n"/>
      <c r="M66" s="91" t="n"/>
      <c r="N66" s="92" t="n"/>
      <c r="O66" s="91" t="n"/>
      <c r="P66" s="94" t="str">
        <f>IF(AND(B66="",C66=""),"",IF(C66&lt;&gt;"",C66,B66)&amp;IF(F66&lt;&gt;""," | "&amp;F66,""))</f>
        <v/>
      </c>
      <c r="Q66" s="94" t="str">
        <f>IF(P66="",IF(COUNTA(B66:O66)&gt;0,"Informe razão social ou nome fantasia",""),IF(E66="","Informe o tipo de atuação",IF(SUMPRODUCT(--($P$6:$P$205=P66))&gt;1,"Nome repetido: diferencie pelo estabelecimento",IF(AND(ISNUMBER(N66),N66&lt;TODAY()),"Validade informada vencida: conferir","OK"))))</f>
        <v/>
      </c>
      <c r="R66" s="96">
        <f>IF(AND(P66&lt;&gt;"",OR(E66="Transportador",E66="Ambos")),1,0)</f>
        <v>0</v>
      </c>
      <c r="S66" s="96" t="str">
        <f>IF(R66=1,COUNTIF($R$6:R66,1),"")</f>
        <v/>
      </c>
      <c r="T66" s="96">
        <f>IF(AND(P66&lt;&gt;"",OR(E66="Destinador",E66="Ambos")),1,0)</f>
        <v>0</v>
      </c>
      <c r="U66" s="96" t="str">
        <f>IF(T66=1,COUNTIF($T$6:T66,1),"")</f>
        <v/>
      </c>
      <c r="V66" s="96" t="str">
        <f>IF(T66=1,COUNTIFS('MTRs'!$I$6:$I$505,P66,'MTRs'!$AY$6:$AY$505,1,'MTRs'!$AA$6:$AA$505,0),"")</f>
        <v/>
      </c>
      <c r="W66" s="96" t="str">
        <f>IF(N(V66)&gt;0,V66+(1000-61)/10000,"")</f>
        <v/>
      </c>
    </row>
    <row r="67">
      <c r="A67" s="89" t="inlineStr">
        <is>
          <t>PA-062</t>
        </is>
      </c>
      <c r="B67" s="91" t="n"/>
      <c r="C67" s="91" t="n"/>
      <c r="D67" s="90" t="n"/>
      <c r="E67" s="91" t="n"/>
      <c r="F67" s="91" t="n"/>
      <c r="G67" s="91" t="n"/>
      <c r="H67" s="91" t="n"/>
      <c r="I67" s="91" t="n"/>
      <c r="J67" s="91" t="n"/>
      <c r="K67" s="90" t="n"/>
      <c r="L67" s="91" t="n"/>
      <c r="M67" s="91" t="n"/>
      <c r="N67" s="92" t="n"/>
      <c r="O67" s="91" t="n"/>
      <c r="P67" s="94" t="str">
        <f>IF(AND(B67="",C67=""),"",IF(C67&lt;&gt;"",C67,B67)&amp;IF(F67&lt;&gt;""," | "&amp;F67,""))</f>
        <v/>
      </c>
      <c r="Q67" s="94" t="str">
        <f>IF(P67="",IF(COUNTA(B67:O67)&gt;0,"Informe razão social ou nome fantasia",""),IF(E67="","Informe o tipo de atuação",IF(SUMPRODUCT(--($P$6:$P$205=P67))&gt;1,"Nome repetido: diferencie pelo estabelecimento",IF(AND(ISNUMBER(N67),N67&lt;TODAY()),"Validade informada vencida: conferir","OK"))))</f>
        <v/>
      </c>
      <c r="R67" s="96">
        <f>IF(AND(P67&lt;&gt;"",OR(E67="Transportador",E67="Ambos")),1,0)</f>
        <v>0</v>
      </c>
      <c r="S67" s="96" t="str">
        <f>IF(R67=1,COUNTIF($R$6:R67,1),"")</f>
        <v/>
      </c>
      <c r="T67" s="96">
        <f>IF(AND(P67&lt;&gt;"",OR(E67="Destinador",E67="Ambos")),1,0)</f>
        <v>0</v>
      </c>
      <c r="U67" s="96" t="str">
        <f>IF(T67=1,COUNTIF($T$6:T67,1),"")</f>
        <v/>
      </c>
      <c r="V67" s="96" t="str">
        <f>IF(T67=1,COUNTIFS('MTRs'!$I$6:$I$505,P67,'MTRs'!$AY$6:$AY$505,1,'MTRs'!$AA$6:$AA$505,0),"")</f>
        <v/>
      </c>
      <c r="W67" s="96" t="str">
        <f>IF(N(V67)&gt;0,V67+(1000-62)/10000,"")</f>
        <v/>
      </c>
    </row>
    <row r="68">
      <c r="A68" s="89" t="inlineStr">
        <is>
          <t>PA-063</t>
        </is>
      </c>
      <c r="B68" s="91" t="n"/>
      <c r="C68" s="91" t="n"/>
      <c r="D68" s="90" t="n"/>
      <c r="E68" s="91" t="n"/>
      <c r="F68" s="91" t="n"/>
      <c r="G68" s="91" t="n"/>
      <c r="H68" s="91" t="n"/>
      <c r="I68" s="91" t="n"/>
      <c r="J68" s="91" t="n"/>
      <c r="K68" s="90" t="n"/>
      <c r="L68" s="91" t="n"/>
      <c r="M68" s="91" t="n"/>
      <c r="N68" s="92" t="n"/>
      <c r="O68" s="91" t="n"/>
      <c r="P68" s="94" t="str">
        <f>IF(AND(B68="",C68=""),"",IF(C68&lt;&gt;"",C68,B68)&amp;IF(F68&lt;&gt;""," | "&amp;F68,""))</f>
        <v/>
      </c>
      <c r="Q68" s="94" t="str">
        <f>IF(P68="",IF(COUNTA(B68:O68)&gt;0,"Informe razão social ou nome fantasia",""),IF(E68="","Informe o tipo de atuação",IF(SUMPRODUCT(--($P$6:$P$205=P68))&gt;1,"Nome repetido: diferencie pelo estabelecimento",IF(AND(ISNUMBER(N68),N68&lt;TODAY()),"Validade informada vencida: conferir","OK"))))</f>
        <v/>
      </c>
      <c r="R68" s="96">
        <f>IF(AND(P68&lt;&gt;"",OR(E68="Transportador",E68="Ambos")),1,0)</f>
        <v>0</v>
      </c>
      <c r="S68" s="96" t="str">
        <f>IF(R68=1,COUNTIF($R$6:R68,1),"")</f>
        <v/>
      </c>
      <c r="T68" s="96">
        <f>IF(AND(P68&lt;&gt;"",OR(E68="Destinador",E68="Ambos")),1,0)</f>
        <v>0</v>
      </c>
      <c r="U68" s="96" t="str">
        <f>IF(T68=1,COUNTIF($T$6:T68,1),"")</f>
        <v/>
      </c>
      <c r="V68" s="96" t="str">
        <f>IF(T68=1,COUNTIFS('MTRs'!$I$6:$I$505,P68,'MTRs'!$AY$6:$AY$505,1,'MTRs'!$AA$6:$AA$505,0),"")</f>
        <v/>
      </c>
      <c r="W68" s="96" t="str">
        <f>IF(N(V68)&gt;0,V68+(1000-63)/10000,"")</f>
        <v/>
      </c>
    </row>
    <row r="69">
      <c r="A69" s="89" t="inlineStr">
        <is>
          <t>PA-064</t>
        </is>
      </c>
      <c r="B69" s="91" t="n"/>
      <c r="C69" s="91" t="n"/>
      <c r="D69" s="90" t="n"/>
      <c r="E69" s="91" t="n"/>
      <c r="F69" s="91" t="n"/>
      <c r="G69" s="91" t="n"/>
      <c r="H69" s="91" t="n"/>
      <c r="I69" s="91" t="n"/>
      <c r="J69" s="91" t="n"/>
      <c r="K69" s="90" t="n"/>
      <c r="L69" s="91" t="n"/>
      <c r="M69" s="91" t="n"/>
      <c r="N69" s="92" t="n"/>
      <c r="O69" s="91" t="n"/>
      <c r="P69" s="94" t="str">
        <f>IF(AND(B69="",C69=""),"",IF(C69&lt;&gt;"",C69,B69)&amp;IF(F69&lt;&gt;""," | "&amp;F69,""))</f>
        <v/>
      </c>
      <c r="Q69" s="94" t="str">
        <f>IF(P69="",IF(COUNTA(B69:O69)&gt;0,"Informe razão social ou nome fantasia",""),IF(E69="","Informe o tipo de atuação",IF(SUMPRODUCT(--($P$6:$P$205=P69))&gt;1,"Nome repetido: diferencie pelo estabelecimento",IF(AND(ISNUMBER(N69),N69&lt;TODAY()),"Validade informada vencida: conferir","OK"))))</f>
        <v/>
      </c>
      <c r="R69" s="96">
        <f>IF(AND(P69&lt;&gt;"",OR(E69="Transportador",E69="Ambos")),1,0)</f>
        <v>0</v>
      </c>
      <c r="S69" s="96" t="str">
        <f>IF(R69=1,COUNTIF($R$6:R69,1),"")</f>
        <v/>
      </c>
      <c r="T69" s="96">
        <f>IF(AND(P69&lt;&gt;"",OR(E69="Destinador",E69="Ambos")),1,0)</f>
        <v>0</v>
      </c>
      <c r="U69" s="96" t="str">
        <f>IF(T69=1,COUNTIF($T$6:T69,1),"")</f>
        <v/>
      </c>
      <c r="V69" s="96" t="str">
        <f>IF(T69=1,COUNTIFS('MTRs'!$I$6:$I$505,P69,'MTRs'!$AY$6:$AY$505,1,'MTRs'!$AA$6:$AA$505,0),"")</f>
        <v/>
      </c>
      <c r="W69" s="96" t="str">
        <f>IF(N(V69)&gt;0,V69+(1000-64)/10000,"")</f>
        <v/>
      </c>
    </row>
    <row r="70">
      <c r="A70" s="89" t="inlineStr">
        <is>
          <t>PA-065</t>
        </is>
      </c>
      <c r="B70" s="91" t="n"/>
      <c r="C70" s="91" t="n"/>
      <c r="D70" s="90" t="n"/>
      <c r="E70" s="91" t="n"/>
      <c r="F70" s="91" t="n"/>
      <c r="G70" s="91" t="n"/>
      <c r="H70" s="91" t="n"/>
      <c r="I70" s="91" t="n"/>
      <c r="J70" s="91" t="n"/>
      <c r="K70" s="90" t="n"/>
      <c r="L70" s="91" t="n"/>
      <c r="M70" s="91" t="n"/>
      <c r="N70" s="92" t="n"/>
      <c r="O70" s="91" t="n"/>
      <c r="P70" s="94" t="str">
        <f>IF(AND(B70="",C70=""),"",IF(C70&lt;&gt;"",C70,B70)&amp;IF(F70&lt;&gt;""," | "&amp;F70,""))</f>
        <v/>
      </c>
      <c r="Q70" s="94" t="str">
        <f>IF(P70="",IF(COUNTA(B70:O70)&gt;0,"Informe razão social ou nome fantasia",""),IF(E70="","Informe o tipo de atuação",IF(SUMPRODUCT(--($P$6:$P$205=P70))&gt;1,"Nome repetido: diferencie pelo estabelecimento",IF(AND(ISNUMBER(N70),N70&lt;TODAY()),"Validade informada vencida: conferir","OK"))))</f>
        <v/>
      </c>
      <c r="R70" s="96">
        <f>IF(AND(P70&lt;&gt;"",OR(E70="Transportador",E70="Ambos")),1,0)</f>
        <v>0</v>
      </c>
      <c r="S70" s="96" t="str">
        <f>IF(R70=1,COUNTIF($R$6:R70,1),"")</f>
        <v/>
      </c>
      <c r="T70" s="96">
        <f>IF(AND(P70&lt;&gt;"",OR(E70="Destinador",E70="Ambos")),1,0)</f>
        <v>0</v>
      </c>
      <c r="U70" s="96" t="str">
        <f>IF(T70=1,COUNTIF($T$6:T70,1),"")</f>
        <v/>
      </c>
      <c r="V70" s="96" t="str">
        <f>IF(T70=1,COUNTIFS('MTRs'!$I$6:$I$505,P70,'MTRs'!$AY$6:$AY$505,1,'MTRs'!$AA$6:$AA$505,0),"")</f>
        <v/>
      </c>
      <c r="W70" s="96" t="str">
        <f>IF(N(V70)&gt;0,V70+(1000-65)/10000,"")</f>
        <v/>
      </c>
    </row>
    <row r="71">
      <c r="A71" s="89" t="inlineStr">
        <is>
          <t>PA-066</t>
        </is>
      </c>
      <c r="B71" s="91" t="n"/>
      <c r="C71" s="91" t="n"/>
      <c r="D71" s="90" t="n"/>
      <c r="E71" s="91" t="n"/>
      <c r="F71" s="91" t="n"/>
      <c r="G71" s="91" t="n"/>
      <c r="H71" s="91" t="n"/>
      <c r="I71" s="91" t="n"/>
      <c r="J71" s="91" t="n"/>
      <c r="K71" s="90" t="n"/>
      <c r="L71" s="91" t="n"/>
      <c r="M71" s="91" t="n"/>
      <c r="N71" s="92" t="n"/>
      <c r="O71" s="91" t="n"/>
      <c r="P71" s="94" t="str">
        <f>IF(AND(B71="",C71=""),"",IF(C71&lt;&gt;"",C71,B71)&amp;IF(F71&lt;&gt;""," | "&amp;F71,""))</f>
        <v/>
      </c>
      <c r="Q71" s="94" t="str">
        <f>IF(P71="",IF(COUNTA(B71:O71)&gt;0,"Informe razão social ou nome fantasia",""),IF(E71="","Informe o tipo de atuação",IF(SUMPRODUCT(--($P$6:$P$205=P71))&gt;1,"Nome repetido: diferencie pelo estabelecimento",IF(AND(ISNUMBER(N71),N71&lt;TODAY()),"Validade informada vencida: conferir","OK"))))</f>
        <v/>
      </c>
      <c r="R71" s="96">
        <f>IF(AND(P71&lt;&gt;"",OR(E71="Transportador",E71="Ambos")),1,0)</f>
        <v>0</v>
      </c>
      <c r="S71" s="96" t="str">
        <f>IF(R71=1,COUNTIF($R$6:R71,1),"")</f>
        <v/>
      </c>
      <c r="T71" s="96">
        <f>IF(AND(P71&lt;&gt;"",OR(E71="Destinador",E71="Ambos")),1,0)</f>
        <v>0</v>
      </c>
      <c r="U71" s="96" t="str">
        <f>IF(T71=1,COUNTIF($T$6:T71,1),"")</f>
        <v/>
      </c>
      <c r="V71" s="96" t="str">
        <f>IF(T71=1,COUNTIFS('MTRs'!$I$6:$I$505,P71,'MTRs'!$AY$6:$AY$505,1,'MTRs'!$AA$6:$AA$505,0),"")</f>
        <v/>
      </c>
      <c r="W71" s="96" t="str">
        <f>IF(N(V71)&gt;0,V71+(1000-66)/10000,"")</f>
        <v/>
      </c>
    </row>
    <row r="72">
      <c r="A72" s="89" t="inlineStr">
        <is>
          <t>PA-067</t>
        </is>
      </c>
      <c r="B72" s="91" t="n"/>
      <c r="C72" s="91" t="n"/>
      <c r="D72" s="90" t="n"/>
      <c r="E72" s="91" t="n"/>
      <c r="F72" s="91" t="n"/>
      <c r="G72" s="91" t="n"/>
      <c r="H72" s="91" t="n"/>
      <c r="I72" s="91" t="n"/>
      <c r="J72" s="91" t="n"/>
      <c r="K72" s="90" t="n"/>
      <c r="L72" s="91" t="n"/>
      <c r="M72" s="91" t="n"/>
      <c r="N72" s="92" t="n"/>
      <c r="O72" s="91" t="n"/>
      <c r="P72" s="94" t="str">
        <f>IF(AND(B72="",C72=""),"",IF(C72&lt;&gt;"",C72,B72)&amp;IF(F72&lt;&gt;""," | "&amp;F72,""))</f>
        <v/>
      </c>
      <c r="Q72" s="94" t="str">
        <f>IF(P72="",IF(COUNTA(B72:O72)&gt;0,"Informe razão social ou nome fantasia",""),IF(E72="","Informe o tipo de atuação",IF(SUMPRODUCT(--($P$6:$P$205=P72))&gt;1,"Nome repetido: diferencie pelo estabelecimento",IF(AND(ISNUMBER(N72),N72&lt;TODAY()),"Validade informada vencida: conferir","OK"))))</f>
        <v/>
      </c>
      <c r="R72" s="96">
        <f>IF(AND(P72&lt;&gt;"",OR(E72="Transportador",E72="Ambos")),1,0)</f>
        <v>0</v>
      </c>
      <c r="S72" s="96" t="str">
        <f>IF(R72=1,COUNTIF($R$6:R72,1),"")</f>
        <v/>
      </c>
      <c r="T72" s="96">
        <f>IF(AND(P72&lt;&gt;"",OR(E72="Destinador",E72="Ambos")),1,0)</f>
        <v>0</v>
      </c>
      <c r="U72" s="96" t="str">
        <f>IF(T72=1,COUNTIF($T$6:T72,1),"")</f>
        <v/>
      </c>
      <c r="V72" s="96" t="str">
        <f>IF(T72=1,COUNTIFS('MTRs'!$I$6:$I$505,P72,'MTRs'!$AY$6:$AY$505,1,'MTRs'!$AA$6:$AA$505,0),"")</f>
        <v/>
      </c>
      <c r="W72" s="96" t="str">
        <f>IF(N(V72)&gt;0,V72+(1000-67)/10000,"")</f>
        <v/>
      </c>
    </row>
    <row r="73">
      <c r="A73" s="89" t="inlineStr">
        <is>
          <t>PA-068</t>
        </is>
      </c>
      <c r="B73" s="91" t="n"/>
      <c r="C73" s="91" t="n"/>
      <c r="D73" s="90" t="n"/>
      <c r="E73" s="91" t="n"/>
      <c r="F73" s="91" t="n"/>
      <c r="G73" s="91" t="n"/>
      <c r="H73" s="91" t="n"/>
      <c r="I73" s="91" t="n"/>
      <c r="J73" s="91" t="n"/>
      <c r="K73" s="90" t="n"/>
      <c r="L73" s="91" t="n"/>
      <c r="M73" s="91" t="n"/>
      <c r="N73" s="92" t="n"/>
      <c r="O73" s="91" t="n"/>
      <c r="P73" s="94" t="str">
        <f>IF(AND(B73="",C73=""),"",IF(C73&lt;&gt;"",C73,B73)&amp;IF(F73&lt;&gt;""," | "&amp;F73,""))</f>
        <v/>
      </c>
      <c r="Q73" s="94" t="str">
        <f>IF(P73="",IF(COUNTA(B73:O73)&gt;0,"Informe razão social ou nome fantasia",""),IF(E73="","Informe o tipo de atuação",IF(SUMPRODUCT(--($P$6:$P$205=P73))&gt;1,"Nome repetido: diferencie pelo estabelecimento",IF(AND(ISNUMBER(N73),N73&lt;TODAY()),"Validade informada vencida: conferir","OK"))))</f>
        <v/>
      </c>
      <c r="R73" s="96">
        <f>IF(AND(P73&lt;&gt;"",OR(E73="Transportador",E73="Ambos")),1,0)</f>
        <v>0</v>
      </c>
      <c r="S73" s="96" t="str">
        <f>IF(R73=1,COUNTIF($R$6:R73,1),"")</f>
        <v/>
      </c>
      <c r="T73" s="96">
        <f>IF(AND(P73&lt;&gt;"",OR(E73="Destinador",E73="Ambos")),1,0)</f>
        <v>0</v>
      </c>
      <c r="U73" s="96" t="str">
        <f>IF(T73=1,COUNTIF($T$6:T73,1),"")</f>
        <v/>
      </c>
      <c r="V73" s="96" t="str">
        <f>IF(T73=1,COUNTIFS('MTRs'!$I$6:$I$505,P73,'MTRs'!$AY$6:$AY$505,1,'MTRs'!$AA$6:$AA$505,0),"")</f>
        <v/>
      </c>
      <c r="W73" s="96" t="str">
        <f>IF(N(V73)&gt;0,V73+(1000-68)/10000,"")</f>
        <v/>
      </c>
    </row>
    <row r="74">
      <c r="A74" s="89" t="inlineStr">
        <is>
          <t>PA-069</t>
        </is>
      </c>
      <c r="B74" s="91" t="n"/>
      <c r="C74" s="91" t="n"/>
      <c r="D74" s="90" t="n"/>
      <c r="E74" s="91" t="n"/>
      <c r="F74" s="91" t="n"/>
      <c r="G74" s="91" t="n"/>
      <c r="H74" s="91" t="n"/>
      <c r="I74" s="91" t="n"/>
      <c r="J74" s="91" t="n"/>
      <c r="K74" s="90" t="n"/>
      <c r="L74" s="91" t="n"/>
      <c r="M74" s="91" t="n"/>
      <c r="N74" s="92" t="n"/>
      <c r="O74" s="91" t="n"/>
      <c r="P74" s="94" t="str">
        <f>IF(AND(B74="",C74=""),"",IF(C74&lt;&gt;"",C74,B74)&amp;IF(F74&lt;&gt;""," | "&amp;F74,""))</f>
        <v/>
      </c>
      <c r="Q74" s="94" t="str">
        <f>IF(P74="",IF(COUNTA(B74:O74)&gt;0,"Informe razão social ou nome fantasia",""),IF(E74="","Informe o tipo de atuação",IF(SUMPRODUCT(--($P$6:$P$205=P74))&gt;1,"Nome repetido: diferencie pelo estabelecimento",IF(AND(ISNUMBER(N74),N74&lt;TODAY()),"Validade informada vencida: conferir","OK"))))</f>
        <v/>
      </c>
      <c r="R74" s="96">
        <f>IF(AND(P74&lt;&gt;"",OR(E74="Transportador",E74="Ambos")),1,0)</f>
        <v>0</v>
      </c>
      <c r="S74" s="96" t="str">
        <f>IF(R74=1,COUNTIF($R$6:R74,1),"")</f>
        <v/>
      </c>
      <c r="T74" s="96">
        <f>IF(AND(P74&lt;&gt;"",OR(E74="Destinador",E74="Ambos")),1,0)</f>
        <v>0</v>
      </c>
      <c r="U74" s="96" t="str">
        <f>IF(T74=1,COUNTIF($T$6:T74,1),"")</f>
        <v/>
      </c>
      <c r="V74" s="96" t="str">
        <f>IF(T74=1,COUNTIFS('MTRs'!$I$6:$I$505,P74,'MTRs'!$AY$6:$AY$505,1,'MTRs'!$AA$6:$AA$505,0),"")</f>
        <v/>
      </c>
      <c r="W74" s="96" t="str">
        <f>IF(N(V74)&gt;0,V74+(1000-69)/10000,"")</f>
        <v/>
      </c>
    </row>
    <row r="75">
      <c r="A75" s="89" t="inlineStr">
        <is>
          <t>PA-070</t>
        </is>
      </c>
      <c r="B75" s="91" t="n"/>
      <c r="C75" s="91" t="n"/>
      <c r="D75" s="90" t="n"/>
      <c r="E75" s="91" t="n"/>
      <c r="F75" s="91" t="n"/>
      <c r="G75" s="91" t="n"/>
      <c r="H75" s="91" t="n"/>
      <c r="I75" s="91" t="n"/>
      <c r="J75" s="91" t="n"/>
      <c r="K75" s="90" t="n"/>
      <c r="L75" s="91" t="n"/>
      <c r="M75" s="91" t="n"/>
      <c r="N75" s="92" t="n"/>
      <c r="O75" s="91" t="n"/>
      <c r="P75" s="94" t="str">
        <f>IF(AND(B75="",C75=""),"",IF(C75&lt;&gt;"",C75,B75)&amp;IF(F75&lt;&gt;""," | "&amp;F75,""))</f>
        <v/>
      </c>
      <c r="Q75" s="94" t="str">
        <f>IF(P75="",IF(COUNTA(B75:O75)&gt;0,"Informe razão social ou nome fantasia",""),IF(E75="","Informe o tipo de atuação",IF(SUMPRODUCT(--($P$6:$P$205=P75))&gt;1,"Nome repetido: diferencie pelo estabelecimento",IF(AND(ISNUMBER(N75),N75&lt;TODAY()),"Validade informada vencida: conferir","OK"))))</f>
        <v/>
      </c>
      <c r="R75" s="96">
        <f>IF(AND(P75&lt;&gt;"",OR(E75="Transportador",E75="Ambos")),1,0)</f>
        <v>0</v>
      </c>
      <c r="S75" s="96" t="str">
        <f>IF(R75=1,COUNTIF($R$6:R75,1),"")</f>
        <v/>
      </c>
      <c r="T75" s="96">
        <f>IF(AND(P75&lt;&gt;"",OR(E75="Destinador",E75="Ambos")),1,0)</f>
        <v>0</v>
      </c>
      <c r="U75" s="96" t="str">
        <f>IF(T75=1,COUNTIF($T$6:T75,1),"")</f>
        <v/>
      </c>
      <c r="V75" s="96" t="str">
        <f>IF(T75=1,COUNTIFS('MTRs'!$I$6:$I$505,P75,'MTRs'!$AY$6:$AY$505,1,'MTRs'!$AA$6:$AA$505,0),"")</f>
        <v/>
      </c>
      <c r="W75" s="96" t="str">
        <f>IF(N(V75)&gt;0,V75+(1000-70)/10000,"")</f>
        <v/>
      </c>
    </row>
    <row r="76">
      <c r="A76" s="89" t="inlineStr">
        <is>
          <t>PA-071</t>
        </is>
      </c>
      <c r="B76" s="91" t="n"/>
      <c r="C76" s="91" t="n"/>
      <c r="D76" s="90" t="n"/>
      <c r="E76" s="91" t="n"/>
      <c r="F76" s="91" t="n"/>
      <c r="G76" s="91" t="n"/>
      <c r="H76" s="91" t="n"/>
      <c r="I76" s="91" t="n"/>
      <c r="J76" s="91" t="n"/>
      <c r="K76" s="90" t="n"/>
      <c r="L76" s="91" t="n"/>
      <c r="M76" s="91" t="n"/>
      <c r="N76" s="92" t="n"/>
      <c r="O76" s="91" t="n"/>
      <c r="P76" s="94" t="str">
        <f>IF(AND(B76="",C76=""),"",IF(C76&lt;&gt;"",C76,B76)&amp;IF(F76&lt;&gt;""," | "&amp;F76,""))</f>
        <v/>
      </c>
      <c r="Q76" s="94" t="str">
        <f>IF(P76="",IF(COUNTA(B76:O76)&gt;0,"Informe razão social ou nome fantasia",""),IF(E76="","Informe o tipo de atuação",IF(SUMPRODUCT(--($P$6:$P$205=P76))&gt;1,"Nome repetido: diferencie pelo estabelecimento",IF(AND(ISNUMBER(N76),N76&lt;TODAY()),"Validade informada vencida: conferir","OK"))))</f>
        <v/>
      </c>
      <c r="R76" s="96">
        <f>IF(AND(P76&lt;&gt;"",OR(E76="Transportador",E76="Ambos")),1,0)</f>
        <v>0</v>
      </c>
      <c r="S76" s="96" t="str">
        <f>IF(R76=1,COUNTIF($R$6:R76,1),"")</f>
        <v/>
      </c>
      <c r="T76" s="96">
        <f>IF(AND(P76&lt;&gt;"",OR(E76="Destinador",E76="Ambos")),1,0)</f>
        <v>0</v>
      </c>
      <c r="U76" s="96" t="str">
        <f>IF(T76=1,COUNTIF($T$6:T76,1),"")</f>
        <v/>
      </c>
      <c r="V76" s="96" t="str">
        <f>IF(T76=1,COUNTIFS('MTRs'!$I$6:$I$505,P76,'MTRs'!$AY$6:$AY$505,1,'MTRs'!$AA$6:$AA$505,0),"")</f>
        <v/>
      </c>
      <c r="W76" s="96" t="str">
        <f>IF(N(V76)&gt;0,V76+(1000-71)/10000,"")</f>
        <v/>
      </c>
    </row>
    <row r="77">
      <c r="A77" s="89" t="inlineStr">
        <is>
          <t>PA-072</t>
        </is>
      </c>
      <c r="B77" s="91" t="n"/>
      <c r="C77" s="91" t="n"/>
      <c r="D77" s="90" t="n"/>
      <c r="E77" s="91" t="n"/>
      <c r="F77" s="91" t="n"/>
      <c r="G77" s="91" t="n"/>
      <c r="H77" s="91" t="n"/>
      <c r="I77" s="91" t="n"/>
      <c r="J77" s="91" t="n"/>
      <c r="K77" s="90" t="n"/>
      <c r="L77" s="91" t="n"/>
      <c r="M77" s="91" t="n"/>
      <c r="N77" s="92" t="n"/>
      <c r="O77" s="91" t="n"/>
      <c r="P77" s="94" t="str">
        <f>IF(AND(B77="",C77=""),"",IF(C77&lt;&gt;"",C77,B77)&amp;IF(F77&lt;&gt;""," | "&amp;F77,""))</f>
        <v/>
      </c>
      <c r="Q77" s="94" t="str">
        <f>IF(P77="",IF(COUNTA(B77:O77)&gt;0,"Informe razão social ou nome fantasia",""),IF(E77="","Informe o tipo de atuação",IF(SUMPRODUCT(--($P$6:$P$205=P77))&gt;1,"Nome repetido: diferencie pelo estabelecimento",IF(AND(ISNUMBER(N77),N77&lt;TODAY()),"Validade informada vencida: conferir","OK"))))</f>
        <v/>
      </c>
      <c r="R77" s="96">
        <f>IF(AND(P77&lt;&gt;"",OR(E77="Transportador",E77="Ambos")),1,0)</f>
        <v>0</v>
      </c>
      <c r="S77" s="96" t="str">
        <f>IF(R77=1,COUNTIF($R$6:R77,1),"")</f>
        <v/>
      </c>
      <c r="T77" s="96">
        <f>IF(AND(P77&lt;&gt;"",OR(E77="Destinador",E77="Ambos")),1,0)</f>
        <v>0</v>
      </c>
      <c r="U77" s="96" t="str">
        <f>IF(T77=1,COUNTIF($T$6:T77,1),"")</f>
        <v/>
      </c>
      <c r="V77" s="96" t="str">
        <f>IF(T77=1,COUNTIFS('MTRs'!$I$6:$I$505,P77,'MTRs'!$AY$6:$AY$505,1,'MTRs'!$AA$6:$AA$505,0),"")</f>
        <v/>
      </c>
      <c r="W77" s="96" t="str">
        <f>IF(N(V77)&gt;0,V77+(1000-72)/10000,"")</f>
        <v/>
      </c>
    </row>
    <row r="78">
      <c r="A78" s="89" t="inlineStr">
        <is>
          <t>PA-073</t>
        </is>
      </c>
      <c r="B78" s="91" t="n"/>
      <c r="C78" s="91" t="n"/>
      <c r="D78" s="90" t="n"/>
      <c r="E78" s="91" t="n"/>
      <c r="F78" s="91" t="n"/>
      <c r="G78" s="91" t="n"/>
      <c r="H78" s="91" t="n"/>
      <c r="I78" s="91" t="n"/>
      <c r="J78" s="91" t="n"/>
      <c r="K78" s="90" t="n"/>
      <c r="L78" s="91" t="n"/>
      <c r="M78" s="91" t="n"/>
      <c r="N78" s="92" t="n"/>
      <c r="O78" s="91" t="n"/>
      <c r="P78" s="94" t="str">
        <f>IF(AND(B78="",C78=""),"",IF(C78&lt;&gt;"",C78,B78)&amp;IF(F78&lt;&gt;""," | "&amp;F78,""))</f>
        <v/>
      </c>
      <c r="Q78" s="94" t="str">
        <f>IF(P78="",IF(COUNTA(B78:O78)&gt;0,"Informe razão social ou nome fantasia",""),IF(E78="","Informe o tipo de atuação",IF(SUMPRODUCT(--($P$6:$P$205=P78))&gt;1,"Nome repetido: diferencie pelo estabelecimento",IF(AND(ISNUMBER(N78),N78&lt;TODAY()),"Validade informada vencida: conferir","OK"))))</f>
        <v/>
      </c>
      <c r="R78" s="96">
        <f>IF(AND(P78&lt;&gt;"",OR(E78="Transportador",E78="Ambos")),1,0)</f>
        <v>0</v>
      </c>
      <c r="S78" s="96" t="str">
        <f>IF(R78=1,COUNTIF($R$6:R78,1),"")</f>
        <v/>
      </c>
      <c r="T78" s="96">
        <f>IF(AND(P78&lt;&gt;"",OR(E78="Destinador",E78="Ambos")),1,0)</f>
        <v>0</v>
      </c>
      <c r="U78" s="96" t="str">
        <f>IF(T78=1,COUNTIF($T$6:T78,1),"")</f>
        <v/>
      </c>
      <c r="V78" s="96" t="str">
        <f>IF(T78=1,COUNTIFS('MTRs'!$I$6:$I$505,P78,'MTRs'!$AY$6:$AY$505,1,'MTRs'!$AA$6:$AA$505,0),"")</f>
        <v/>
      </c>
      <c r="W78" s="96" t="str">
        <f>IF(N(V78)&gt;0,V78+(1000-73)/10000,"")</f>
        <v/>
      </c>
    </row>
    <row r="79">
      <c r="A79" s="89" t="inlineStr">
        <is>
          <t>PA-074</t>
        </is>
      </c>
      <c r="B79" s="91" t="n"/>
      <c r="C79" s="91" t="n"/>
      <c r="D79" s="90" t="n"/>
      <c r="E79" s="91" t="n"/>
      <c r="F79" s="91" t="n"/>
      <c r="G79" s="91" t="n"/>
      <c r="H79" s="91" t="n"/>
      <c r="I79" s="91" t="n"/>
      <c r="J79" s="91" t="n"/>
      <c r="K79" s="90" t="n"/>
      <c r="L79" s="91" t="n"/>
      <c r="M79" s="91" t="n"/>
      <c r="N79" s="92" t="n"/>
      <c r="O79" s="91" t="n"/>
      <c r="P79" s="94" t="str">
        <f>IF(AND(B79="",C79=""),"",IF(C79&lt;&gt;"",C79,B79)&amp;IF(F79&lt;&gt;""," | "&amp;F79,""))</f>
        <v/>
      </c>
      <c r="Q79" s="94" t="str">
        <f>IF(P79="",IF(COUNTA(B79:O79)&gt;0,"Informe razão social ou nome fantasia",""),IF(E79="","Informe o tipo de atuação",IF(SUMPRODUCT(--($P$6:$P$205=P79))&gt;1,"Nome repetido: diferencie pelo estabelecimento",IF(AND(ISNUMBER(N79),N79&lt;TODAY()),"Validade informada vencida: conferir","OK"))))</f>
        <v/>
      </c>
      <c r="R79" s="96">
        <f>IF(AND(P79&lt;&gt;"",OR(E79="Transportador",E79="Ambos")),1,0)</f>
        <v>0</v>
      </c>
      <c r="S79" s="96" t="str">
        <f>IF(R79=1,COUNTIF($R$6:R79,1),"")</f>
        <v/>
      </c>
      <c r="T79" s="96">
        <f>IF(AND(P79&lt;&gt;"",OR(E79="Destinador",E79="Ambos")),1,0)</f>
        <v>0</v>
      </c>
      <c r="U79" s="96" t="str">
        <f>IF(T79=1,COUNTIF($T$6:T79,1),"")</f>
        <v/>
      </c>
      <c r="V79" s="96" t="str">
        <f>IF(T79=1,COUNTIFS('MTRs'!$I$6:$I$505,P79,'MTRs'!$AY$6:$AY$505,1,'MTRs'!$AA$6:$AA$505,0),"")</f>
        <v/>
      </c>
      <c r="W79" s="96" t="str">
        <f>IF(N(V79)&gt;0,V79+(1000-74)/10000,"")</f>
        <v/>
      </c>
    </row>
    <row r="80">
      <c r="A80" s="89" t="inlineStr">
        <is>
          <t>PA-075</t>
        </is>
      </c>
      <c r="B80" s="91" t="n"/>
      <c r="C80" s="91" t="n"/>
      <c r="D80" s="90" t="n"/>
      <c r="E80" s="91" t="n"/>
      <c r="F80" s="91" t="n"/>
      <c r="G80" s="91" t="n"/>
      <c r="H80" s="91" t="n"/>
      <c r="I80" s="91" t="n"/>
      <c r="J80" s="91" t="n"/>
      <c r="K80" s="90" t="n"/>
      <c r="L80" s="91" t="n"/>
      <c r="M80" s="91" t="n"/>
      <c r="N80" s="92" t="n"/>
      <c r="O80" s="91" t="n"/>
      <c r="P80" s="94" t="str">
        <f>IF(AND(B80="",C80=""),"",IF(C80&lt;&gt;"",C80,B80)&amp;IF(F80&lt;&gt;""," | "&amp;F80,""))</f>
        <v/>
      </c>
      <c r="Q80" s="94" t="str">
        <f>IF(P80="",IF(COUNTA(B80:O80)&gt;0,"Informe razão social ou nome fantasia",""),IF(E80="","Informe o tipo de atuação",IF(SUMPRODUCT(--($P$6:$P$205=P80))&gt;1,"Nome repetido: diferencie pelo estabelecimento",IF(AND(ISNUMBER(N80),N80&lt;TODAY()),"Validade informada vencida: conferir","OK"))))</f>
        <v/>
      </c>
      <c r="R80" s="96">
        <f>IF(AND(P80&lt;&gt;"",OR(E80="Transportador",E80="Ambos")),1,0)</f>
        <v>0</v>
      </c>
      <c r="S80" s="96" t="str">
        <f>IF(R80=1,COUNTIF($R$6:R80,1),"")</f>
        <v/>
      </c>
      <c r="T80" s="96">
        <f>IF(AND(P80&lt;&gt;"",OR(E80="Destinador",E80="Ambos")),1,0)</f>
        <v>0</v>
      </c>
      <c r="U80" s="96" t="str">
        <f>IF(T80=1,COUNTIF($T$6:T80,1),"")</f>
        <v/>
      </c>
      <c r="V80" s="96" t="str">
        <f>IF(T80=1,COUNTIFS('MTRs'!$I$6:$I$505,P80,'MTRs'!$AY$6:$AY$505,1,'MTRs'!$AA$6:$AA$505,0),"")</f>
        <v/>
      </c>
      <c r="W80" s="96" t="str">
        <f>IF(N(V80)&gt;0,V80+(1000-75)/10000,"")</f>
        <v/>
      </c>
    </row>
    <row r="81">
      <c r="A81" s="89" t="inlineStr">
        <is>
          <t>PA-076</t>
        </is>
      </c>
      <c r="B81" s="91" t="n"/>
      <c r="C81" s="91" t="n"/>
      <c r="D81" s="90" t="n"/>
      <c r="E81" s="91" t="n"/>
      <c r="F81" s="91" t="n"/>
      <c r="G81" s="91" t="n"/>
      <c r="H81" s="91" t="n"/>
      <c r="I81" s="91" t="n"/>
      <c r="J81" s="91" t="n"/>
      <c r="K81" s="90" t="n"/>
      <c r="L81" s="91" t="n"/>
      <c r="M81" s="91" t="n"/>
      <c r="N81" s="92" t="n"/>
      <c r="O81" s="91" t="n"/>
      <c r="P81" s="94" t="str">
        <f>IF(AND(B81="",C81=""),"",IF(C81&lt;&gt;"",C81,B81)&amp;IF(F81&lt;&gt;""," | "&amp;F81,""))</f>
        <v/>
      </c>
      <c r="Q81" s="94" t="str">
        <f>IF(P81="",IF(COUNTA(B81:O81)&gt;0,"Informe razão social ou nome fantasia",""),IF(E81="","Informe o tipo de atuação",IF(SUMPRODUCT(--($P$6:$P$205=P81))&gt;1,"Nome repetido: diferencie pelo estabelecimento",IF(AND(ISNUMBER(N81),N81&lt;TODAY()),"Validade informada vencida: conferir","OK"))))</f>
        <v/>
      </c>
      <c r="R81" s="96">
        <f>IF(AND(P81&lt;&gt;"",OR(E81="Transportador",E81="Ambos")),1,0)</f>
        <v>0</v>
      </c>
      <c r="S81" s="96" t="str">
        <f>IF(R81=1,COUNTIF($R$6:R81,1),"")</f>
        <v/>
      </c>
      <c r="T81" s="96">
        <f>IF(AND(P81&lt;&gt;"",OR(E81="Destinador",E81="Ambos")),1,0)</f>
        <v>0</v>
      </c>
      <c r="U81" s="96" t="str">
        <f>IF(T81=1,COUNTIF($T$6:T81,1),"")</f>
        <v/>
      </c>
      <c r="V81" s="96" t="str">
        <f>IF(T81=1,COUNTIFS('MTRs'!$I$6:$I$505,P81,'MTRs'!$AY$6:$AY$505,1,'MTRs'!$AA$6:$AA$505,0),"")</f>
        <v/>
      </c>
      <c r="W81" s="96" t="str">
        <f>IF(N(V81)&gt;0,V81+(1000-76)/10000,"")</f>
        <v/>
      </c>
    </row>
    <row r="82">
      <c r="A82" s="89" t="inlineStr">
        <is>
          <t>PA-077</t>
        </is>
      </c>
      <c r="B82" s="91" t="n"/>
      <c r="C82" s="91" t="n"/>
      <c r="D82" s="90" t="n"/>
      <c r="E82" s="91" t="n"/>
      <c r="F82" s="91" t="n"/>
      <c r="G82" s="91" t="n"/>
      <c r="H82" s="91" t="n"/>
      <c r="I82" s="91" t="n"/>
      <c r="J82" s="91" t="n"/>
      <c r="K82" s="90" t="n"/>
      <c r="L82" s="91" t="n"/>
      <c r="M82" s="91" t="n"/>
      <c r="N82" s="92" t="n"/>
      <c r="O82" s="91" t="n"/>
      <c r="P82" s="94" t="str">
        <f>IF(AND(B82="",C82=""),"",IF(C82&lt;&gt;"",C82,B82)&amp;IF(F82&lt;&gt;""," | "&amp;F82,""))</f>
        <v/>
      </c>
      <c r="Q82" s="94" t="str">
        <f>IF(P82="",IF(COUNTA(B82:O82)&gt;0,"Informe razão social ou nome fantasia",""),IF(E82="","Informe o tipo de atuação",IF(SUMPRODUCT(--($P$6:$P$205=P82))&gt;1,"Nome repetido: diferencie pelo estabelecimento",IF(AND(ISNUMBER(N82),N82&lt;TODAY()),"Validade informada vencida: conferir","OK"))))</f>
        <v/>
      </c>
      <c r="R82" s="96">
        <f>IF(AND(P82&lt;&gt;"",OR(E82="Transportador",E82="Ambos")),1,0)</f>
        <v>0</v>
      </c>
      <c r="S82" s="96" t="str">
        <f>IF(R82=1,COUNTIF($R$6:R82,1),"")</f>
        <v/>
      </c>
      <c r="T82" s="96">
        <f>IF(AND(P82&lt;&gt;"",OR(E82="Destinador",E82="Ambos")),1,0)</f>
        <v>0</v>
      </c>
      <c r="U82" s="96" t="str">
        <f>IF(T82=1,COUNTIF($T$6:T82,1),"")</f>
        <v/>
      </c>
      <c r="V82" s="96" t="str">
        <f>IF(T82=1,COUNTIFS('MTRs'!$I$6:$I$505,P82,'MTRs'!$AY$6:$AY$505,1,'MTRs'!$AA$6:$AA$505,0),"")</f>
        <v/>
      </c>
      <c r="W82" s="96" t="str">
        <f>IF(N(V82)&gt;0,V82+(1000-77)/10000,"")</f>
        <v/>
      </c>
    </row>
    <row r="83">
      <c r="A83" s="89" t="inlineStr">
        <is>
          <t>PA-078</t>
        </is>
      </c>
      <c r="B83" s="91" t="n"/>
      <c r="C83" s="91" t="n"/>
      <c r="D83" s="90" t="n"/>
      <c r="E83" s="91" t="n"/>
      <c r="F83" s="91" t="n"/>
      <c r="G83" s="91" t="n"/>
      <c r="H83" s="91" t="n"/>
      <c r="I83" s="91" t="n"/>
      <c r="J83" s="91" t="n"/>
      <c r="K83" s="90" t="n"/>
      <c r="L83" s="91" t="n"/>
      <c r="M83" s="91" t="n"/>
      <c r="N83" s="92" t="n"/>
      <c r="O83" s="91" t="n"/>
      <c r="P83" s="94" t="str">
        <f>IF(AND(B83="",C83=""),"",IF(C83&lt;&gt;"",C83,B83)&amp;IF(F83&lt;&gt;""," | "&amp;F83,""))</f>
        <v/>
      </c>
      <c r="Q83" s="94" t="str">
        <f>IF(P83="",IF(COUNTA(B83:O83)&gt;0,"Informe razão social ou nome fantasia",""),IF(E83="","Informe o tipo de atuação",IF(SUMPRODUCT(--($P$6:$P$205=P83))&gt;1,"Nome repetido: diferencie pelo estabelecimento",IF(AND(ISNUMBER(N83),N83&lt;TODAY()),"Validade informada vencida: conferir","OK"))))</f>
        <v/>
      </c>
      <c r="R83" s="96">
        <f>IF(AND(P83&lt;&gt;"",OR(E83="Transportador",E83="Ambos")),1,0)</f>
        <v>0</v>
      </c>
      <c r="S83" s="96" t="str">
        <f>IF(R83=1,COUNTIF($R$6:R83,1),"")</f>
        <v/>
      </c>
      <c r="T83" s="96">
        <f>IF(AND(P83&lt;&gt;"",OR(E83="Destinador",E83="Ambos")),1,0)</f>
        <v>0</v>
      </c>
      <c r="U83" s="96" t="str">
        <f>IF(T83=1,COUNTIF($T$6:T83,1),"")</f>
        <v/>
      </c>
      <c r="V83" s="96" t="str">
        <f>IF(T83=1,COUNTIFS('MTRs'!$I$6:$I$505,P83,'MTRs'!$AY$6:$AY$505,1,'MTRs'!$AA$6:$AA$505,0),"")</f>
        <v/>
      </c>
      <c r="W83" s="96" t="str">
        <f>IF(N(V83)&gt;0,V83+(1000-78)/10000,"")</f>
        <v/>
      </c>
    </row>
    <row r="84">
      <c r="A84" s="89" t="inlineStr">
        <is>
          <t>PA-079</t>
        </is>
      </c>
      <c r="B84" s="91" t="n"/>
      <c r="C84" s="91" t="n"/>
      <c r="D84" s="90" t="n"/>
      <c r="E84" s="91" t="n"/>
      <c r="F84" s="91" t="n"/>
      <c r="G84" s="91" t="n"/>
      <c r="H84" s="91" t="n"/>
      <c r="I84" s="91" t="n"/>
      <c r="J84" s="91" t="n"/>
      <c r="K84" s="90" t="n"/>
      <c r="L84" s="91" t="n"/>
      <c r="M84" s="91" t="n"/>
      <c r="N84" s="92" t="n"/>
      <c r="O84" s="91" t="n"/>
      <c r="P84" s="94" t="str">
        <f>IF(AND(B84="",C84=""),"",IF(C84&lt;&gt;"",C84,B84)&amp;IF(F84&lt;&gt;""," | "&amp;F84,""))</f>
        <v/>
      </c>
      <c r="Q84" s="94" t="str">
        <f>IF(P84="",IF(COUNTA(B84:O84)&gt;0,"Informe razão social ou nome fantasia",""),IF(E84="","Informe o tipo de atuação",IF(SUMPRODUCT(--($P$6:$P$205=P84))&gt;1,"Nome repetido: diferencie pelo estabelecimento",IF(AND(ISNUMBER(N84),N84&lt;TODAY()),"Validade informada vencida: conferir","OK"))))</f>
        <v/>
      </c>
      <c r="R84" s="96">
        <f>IF(AND(P84&lt;&gt;"",OR(E84="Transportador",E84="Ambos")),1,0)</f>
        <v>0</v>
      </c>
      <c r="S84" s="96" t="str">
        <f>IF(R84=1,COUNTIF($R$6:R84,1),"")</f>
        <v/>
      </c>
      <c r="T84" s="96">
        <f>IF(AND(P84&lt;&gt;"",OR(E84="Destinador",E84="Ambos")),1,0)</f>
        <v>0</v>
      </c>
      <c r="U84" s="96" t="str">
        <f>IF(T84=1,COUNTIF($T$6:T84,1),"")</f>
        <v/>
      </c>
      <c r="V84" s="96" t="str">
        <f>IF(T84=1,COUNTIFS('MTRs'!$I$6:$I$505,P84,'MTRs'!$AY$6:$AY$505,1,'MTRs'!$AA$6:$AA$505,0),"")</f>
        <v/>
      </c>
      <c r="W84" s="96" t="str">
        <f>IF(N(V84)&gt;0,V84+(1000-79)/10000,"")</f>
        <v/>
      </c>
    </row>
    <row r="85">
      <c r="A85" s="89" t="inlineStr">
        <is>
          <t>PA-080</t>
        </is>
      </c>
      <c r="B85" s="91" t="n"/>
      <c r="C85" s="91" t="n"/>
      <c r="D85" s="90" t="n"/>
      <c r="E85" s="91" t="n"/>
      <c r="F85" s="91" t="n"/>
      <c r="G85" s="91" t="n"/>
      <c r="H85" s="91" t="n"/>
      <c r="I85" s="91" t="n"/>
      <c r="J85" s="91" t="n"/>
      <c r="K85" s="90" t="n"/>
      <c r="L85" s="91" t="n"/>
      <c r="M85" s="91" t="n"/>
      <c r="N85" s="92" t="n"/>
      <c r="O85" s="91" t="n"/>
      <c r="P85" s="94" t="str">
        <f>IF(AND(B85="",C85=""),"",IF(C85&lt;&gt;"",C85,B85)&amp;IF(F85&lt;&gt;""," | "&amp;F85,""))</f>
        <v/>
      </c>
      <c r="Q85" s="94" t="str">
        <f>IF(P85="",IF(COUNTA(B85:O85)&gt;0,"Informe razão social ou nome fantasia",""),IF(E85="","Informe o tipo de atuação",IF(SUMPRODUCT(--($P$6:$P$205=P85))&gt;1,"Nome repetido: diferencie pelo estabelecimento",IF(AND(ISNUMBER(N85),N85&lt;TODAY()),"Validade informada vencida: conferir","OK"))))</f>
        <v/>
      </c>
      <c r="R85" s="96">
        <f>IF(AND(P85&lt;&gt;"",OR(E85="Transportador",E85="Ambos")),1,0)</f>
        <v>0</v>
      </c>
      <c r="S85" s="96" t="str">
        <f>IF(R85=1,COUNTIF($R$6:R85,1),"")</f>
        <v/>
      </c>
      <c r="T85" s="96">
        <f>IF(AND(P85&lt;&gt;"",OR(E85="Destinador",E85="Ambos")),1,0)</f>
        <v>0</v>
      </c>
      <c r="U85" s="96" t="str">
        <f>IF(T85=1,COUNTIF($T$6:T85,1),"")</f>
        <v/>
      </c>
      <c r="V85" s="96" t="str">
        <f>IF(T85=1,COUNTIFS('MTRs'!$I$6:$I$505,P85,'MTRs'!$AY$6:$AY$505,1,'MTRs'!$AA$6:$AA$505,0),"")</f>
        <v/>
      </c>
      <c r="W85" s="96" t="str">
        <f>IF(N(V85)&gt;0,V85+(1000-80)/10000,"")</f>
        <v/>
      </c>
    </row>
    <row r="86">
      <c r="A86" s="89" t="inlineStr">
        <is>
          <t>PA-081</t>
        </is>
      </c>
      <c r="B86" s="91" t="n"/>
      <c r="C86" s="91" t="n"/>
      <c r="D86" s="90" t="n"/>
      <c r="E86" s="91" t="n"/>
      <c r="F86" s="91" t="n"/>
      <c r="G86" s="91" t="n"/>
      <c r="H86" s="91" t="n"/>
      <c r="I86" s="91" t="n"/>
      <c r="J86" s="91" t="n"/>
      <c r="K86" s="90" t="n"/>
      <c r="L86" s="91" t="n"/>
      <c r="M86" s="91" t="n"/>
      <c r="N86" s="92" t="n"/>
      <c r="O86" s="91" t="n"/>
      <c r="P86" s="94" t="str">
        <f>IF(AND(B86="",C86=""),"",IF(C86&lt;&gt;"",C86,B86)&amp;IF(F86&lt;&gt;""," | "&amp;F86,""))</f>
        <v/>
      </c>
      <c r="Q86" s="94" t="str">
        <f>IF(P86="",IF(COUNTA(B86:O86)&gt;0,"Informe razão social ou nome fantasia",""),IF(E86="","Informe o tipo de atuação",IF(SUMPRODUCT(--($P$6:$P$205=P86))&gt;1,"Nome repetido: diferencie pelo estabelecimento",IF(AND(ISNUMBER(N86),N86&lt;TODAY()),"Validade informada vencida: conferir","OK"))))</f>
        <v/>
      </c>
      <c r="R86" s="96">
        <f>IF(AND(P86&lt;&gt;"",OR(E86="Transportador",E86="Ambos")),1,0)</f>
        <v>0</v>
      </c>
      <c r="S86" s="96" t="str">
        <f>IF(R86=1,COUNTIF($R$6:R86,1),"")</f>
        <v/>
      </c>
      <c r="T86" s="96">
        <f>IF(AND(P86&lt;&gt;"",OR(E86="Destinador",E86="Ambos")),1,0)</f>
        <v>0</v>
      </c>
      <c r="U86" s="96" t="str">
        <f>IF(T86=1,COUNTIF($T$6:T86,1),"")</f>
        <v/>
      </c>
      <c r="V86" s="96" t="str">
        <f>IF(T86=1,COUNTIFS('MTRs'!$I$6:$I$505,P86,'MTRs'!$AY$6:$AY$505,1,'MTRs'!$AA$6:$AA$505,0),"")</f>
        <v/>
      </c>
      <c r="W86" s="96" t="str">
        <f>IF(N(V86)&gt;0,V86+(1000-81)/10000,"")</f>
        <v/>
      </c>
    </row>
    <row r="87">
      <c r="A87" s="89" t="inlineStr">
        <is>
          <t>PA-082</t>
        </is>
      </c>
      <c r="B87" s="91" t="n"/>
      <c r="C87" s="91" t="n"/>
      <c r="D87" s="90" t="n"/>
      <c r="E87" s="91" t="n"/>
      <c r="F87" s="91" t="n"/>
      <c r="G87" s="91" t="n"/>
      <c r="H87" s="91" t="n"/>
      <c r="I87" s="91" t="n"/>
      <c r="J87" s="91" t="n"/>
      <c r="K87" s="90" t="n"/>
      <c r="L87" s="91" t="n"/>
      <c r="M87" s="91" t="n"/>
      <c r="N87" s="92" t="n"/>
      <c r="O87" s="91" t="n"/>
      <c r="P87" s="94" t="str">
        <f>IF(AND(B87="",C87=""),"",IF(C87&lt;&gt;"",C87,B87)&amp;IF(F87&lt;&gt;""," | "&amp;F87,""))</f>
        <v/>
      </c>
      <c r="Q87" s="94" t="str">
        <f>IF(P87="",IF(COUNTA(B87:O87)&gt;0,"Informe razão social ou nome fantasia",""),IF(E87="","Informe o tipo de atuação",IF(SUMPRODUCT(--($P$6:$P$205=P87))&gt;1,"Nome repetido: diferencie pelo estabelecimento",IF(AND(ISNUMBER(N87),N87&lt;TODAY()),"Validade informada vencida: conferir","OK"))))</f>
        <v/>
      </c>
      <c r="R87" s="96">
        <f>IF(AND(P87&lt;&gt;"",OR(E87="Transportador",E87="Ambos")),1,0)</f>
        <v>0</v>
      </c>
      <c r="S87" s="96" t="str">
        <f>IF(R87=1,COUNTIF($R$6:R87,1),"")</f>
        <v/>
      </c>
      <c r="T87" s="96">
        <f>IF(AND(P87&lt;&gt;"",OR(E87="Destinador",E87="Ambos")),1,0)</f>
        <v>0</v>
      </c>
      <c r="U87" s="96" t="str">
        <f>IF(T87=1,COUNTIF($T$6:T87,1),"")</f>
        <v/>
      </c>
      <c r="V87" s="96" t="str">
        <f>IF(T87=1,COUNTIFS('MTRs'!$I$6:$I$505,P87,'MTRs'!$AY$6:$AY$505,1,'MTRs'!$AA$6:$AA$505,0),"")</f>
        <v/>
      </c>
      <c r="W87" s="96" t="str">
        <f>IF(N(V87)&gt;0,V87+(1000-82)/10000,"")</f>
        <v/>
      </c>
    </row>
    <row r="88">
      <c r="A88" s="89" t="inlineStr">
        <is>
          <t>PA-083</t>
        </is>
      </c>
      <c r="B88" s="91" t="n"/>
      <c r="C88" s="91" t="n"/>
      <c r="D88" s="90" t="n"/>
      <c r="E88" s="91" t="n"/>
      <c r="F88" s="91" t="n"/>
      <c r="G88" s="91" t="n"/>
      <c r="H88" s="91" t="n"/>
      <c r="I88" s="91" t="n"/>
      <c r="J88" s="91" t="n"/>
      <c r="K88" s="90" t="n"/>
      <c r="L88" s="91" t="n"/>
      <c r="M88" s="91" t="n"/>
      <c r="N88" s="92" t="n"/>
      <c r="O88" s="91" t="n"/>
      <c r="P88" s="94" t="str">
        <f>IF(AND(B88="",C88=""),"",IF(C88&lt;&gt;"",C88,B88)&amp;IF(F88&lt;&gt;""," | "&amp;F88,""))</f>
        <v/>
      </c>
      <c r="Q88" s="94" t="str">
        <f>IF(P88="",IF(COUNTA(B88:O88)&gt;0,"Informe razão social ou nome fantasia",""),IF(E88="","Informe o tipo de atuação",IF(SUMPRODUCT(--($P$6:$P$205=P88))&gt;1,"Nome repetido: diferencie pelo estabelecimento",IF(AND(ISNUMBER(N88),N88&lt;TODAY()),"Validade informada vencida: conferir","OK"))))</f>
        <v/>
      </c>
      <c r="R88" s="96">
        <f>IF(AND(P88&lt;&gt;"",OR(E88="Transportador",E88="Ambos")),1,0)</f>
        <v>0</v>
      </c>
      <c r="S88" s="96" t="str">
        <f>IF(R88=1,COUNTIF($R$6:R88,1),"")</f>
        <v/>
      </c>
      <c r="T88" s="96">
        <f>IF(AND(P88&lt;&gt;"",OR(E88="Destinador",E88="Ambos")),1,0)</f>
        <v>0</v>
      </c>
      <c r="U88" s="96" t="str">
        <f>IF(T88=1,COUNTIF($T$6:T88,1),"")</f>
        <v/>
      </c>
      <c r="V88" s="96" t="str">
        <f>IF(T88=1,COUNTIFS('MTRs'!$I$6:$I$505,P88,'MTRs'!$AY$6:$AY$505,1,'MTRs'!$AA$6:$AA$505,0),"")</f>
        <v/>
      </c>
      <c r="W88" s="96" t="str">
        <f>IF(N(V88)&gt;0,V88+(1000-83)/10000,"")</f>
        <v/>
      </c>
    </row>
    <row r="89">
      <c r="A89" s="89" t="inlineStr">
        <is>
          <t>PA-084</t>
        </is>
      </c>
      <c r="B89" s="91" t="n"/>
      <c r="C89" s="91" t="n"/>
      <c r="D89" s="90" t="n"/>
      <c r="E89" s="91" t="n"/>
      <c r="F89" s="91" t="n"/>
      <c r="G89" s="91" t="n"/>
      <c r="H89" s="91" t="n"/>
      <c r="I89" s="91" t="n"/>
      <c r="J89" s="91" t="n"/>
      <c r="K89" s="90" t="n"/>
      <c r="L89" s="91" t="n"/>
      <c r="M89" s="91" t="n"/>
      <c r="N89" s="92" t="n"/>
      <c r="O89" s="91" t="n"/>
      <c r="P89" s="94" t="str">
        <f>IF(AND(B89="",C89=""),"",IF(C89&lt;&gt;"",C89,B89)&amp;IF(F89&lt;&gt;""," | "&amp;F89,""))</f>
        <v/>
      </c>
      <c r="Q89" s="94" t="str">
        <f>IF(P89="",IF(COUNTA(B89:O89)&gt;0,"Informe razão social ou nome fantasia",""),IF(E89="","Informe o tipo de atuação",IF(SUMPRODUCT(--($P$6:$P$205=P89))&gt;1,"Nome repetido: diferencie pelo estabelecimento",IF(AND(ISNUMBER(N89),N89&lt;TODAY()),"Validade informada vencida: conferir","OK"))))</f>
        <v/>
      </c>
      <c r="R89" s="96">
        <f>IF(AND(P89&lt;&gt;"",OR(E89="Transportador",E89="Ambos")),1,0)</f>
        <v>0</v>
      </c>
      <c r="S89" s="96" t="str">
        <f>IF(R89=1,COUNTIF($R$6:R89,1),"")</f>
        <v/>
      </c>
      <c r="T89" s="96">
        <f>IF(AND(P89&lt;&gt;"",OR(E89="Destinador",E89="Ambos")),1,0)</f>
        <v>0</v>
      </c>
      <c r="U89" s="96" t="str">
        <f>IF(T89=1,COUNTIF($T$6:T89,1),"")</f>
        <v/>
      </c>
      <c r="V89" s="96" t="str">
        <f>IF(T89=1,COUNTIFS('MTRs'!$I$6:$I$505,P89,'MTRs'!$AY$6:$AY$505,1,'MTRs'!$AA$6:$AA$505,0),"")</f>
        <v/>
      </c>
      <c r="W89" s="96" t="str">
        <f>IF(N(V89)&gt;0,V89+(1000-84)/10000,"")</f>
        <v/>
      </c>
    </row>
    <row r="90">
      <c r="A90" s="89" t="inlineStr">
        <is>
          <t>PA-085</t>
        </is>
      </c>
      <c r="B90" s="91" t="n"/>
      <c r="C90" s="91" t="n"/>
      <c r="D90" s="90" t="n"/>
      <c r="E90" s="91" t="n"/>
      <c r="F90" s="91" t="n"/>
      <c r="G90" s="91" t="n"/>
      <c r="H90" s="91" t="n"/>
      <c r="I90" s="91" t="n"/>
      <c r="J90" s="91" t="n"/>
      <c r="K90" s="90" t="n"/>
      <c r="L90" s="91" t="n"/>
      <c r="M90" s="91" t="n"/>
      <c r="N90" s="92" t="n"/>
      <c r="O90" s="91" t="n"/>
      <c r="P90" s="94" t="str">
        <f>IF(AND(B90="",C90=""),"",IF(C90&lt;&gt;"",C90,B90)&amp;IF(F90&lt;&gt;""," | "&amp;F90,""))</f>
        <v/>
      </c>
      <c r="Q90" s="94" t="str">
        <f>IF(P90="",IF(COUNTA(B90:O90)&gt;0,"Informe razão social ou nome fantasia",""),IF(E90="","Informe o tipo de atuação",IF(SUMPRODUCT(--($P$6:$P$205=P90))&gt;1,"Nome repetido: diferencie pelo estabelecimento",IF(AND(ISNUMBER(N90),N90&lt;TODAY()),"Validade informada vencida: conferir","OK"))))</f>
        <v/>
      </c>
      <c r="R90" s="96">
        <f>IF(AND(P90&lt;&gt;"",OR(E90="Transportador",E90="Ambos")),1,0)</f>
        <v>0</v>
      </c>
      <c r="S90" s="96" t="str">
        <f>IF(R90=1,COUNTIF($R$6:R90,1),"")</f>
        <v/>
      </c>
      <c r="T90" s="96">
        <f>IF(AND(P90&lt;&gt;"",OR(E90="Destinador",E90="Ambos")),1,0)</f>
        <v>0</v>
      </c>
      <c r="U90" s="96" t="str">
        <f>IF(T90=1,COUNTIF($T$6:T90,1),"")</f>
        <v/>
      </c>
      <c r="V90" s="96" t="str">
        <f>IF(T90=1,COUNTIFS('MTRs'!$I$6:$I$505,P90,'MTRs'!$AY$6:$AY$505,1,'MTRs'!$AA$6:$AA$505,0),"")</f>
        <v/>
      </c>
      <c r="W90" s="96" t="str">
        <f>IF(N(V90)&gt;0,V90+(1000-85)/10000,"")</f>
        <v/>
      </c>
    </row>
    <row r="91">
      <c r="A91" s="89" t="inlineStr">
        <is>
          <t>PA-086</t>
        </is>
      </c>
      <c r="B91" s="91" t="n"/>
      <c r="C91" s="91" t="n"/>
      <c r="D91" s="90" t="n"/>
      <c r="E91" s="91" t="n"/>
      <c r="F91" s="91" t="n"/>
      <c r="G91" s="91" t="n"/>
      <c r="H91" s="91" t="n"/>
      <c r="I91" s="91" t="n"/>
      <c r="J91" s="91" t="n"/>
      <c r="K91" s="90" t="n"/>
      <c r="L91" s="91" t="n"/>
      <c r="M91" s="91" t="n"/>
      <c r="N91" s="92" t="n"/>
      <c r="O91" s="91" t="n"/>
      <c r="P91" s="94" t="str">
        <f>IF(AND(B91="",C91=""),"",IF(C91&lt;&gt;"",C91,B91)&amp;IF(F91&lt;&gt;""," | "&amp;F91,""))</f>
        <v/>
      </c>
      <c r="Q91" s="94" t="str">
        <f>IF(P91="",IF(COUNTA(B91:O91)&gt;0,"Informe razão social ou nome fantasia",""),IF(E91="","Informe o tipo de atuação",IF(SUMPRODUCT(--($P$6:$P$205=P91))&gt;1,"Nome repetido: diferencie pelo estabelecimento",IF(AND(ISNUMBER(N91),N91&lt;TODAY()),"Validade informada vencida: conferir","OK"))))</f>
        <v/>
      </c>
      <c r="R91" s="96">
        <f>IF(AND(P91&lt;&gt;"",OR(E91="Transportador",E91="Ambos")),1,0)</f>
        <v>0</v>
      </c>
      <c r="S91" s="96" t="str">
        <f>IF(R91=1,COUNTIF($R$6:R91,1),"")</f>
        <v/>
      </c>
      <c r="T91" s="96">
        <f>IF(AND(P91&lt;&gt;"",OR(E91="Destinador",E91="Ambos")),1,0)</f>
        <v>0</v>
      </c>
      <c r="U91" s="96" t="str">
        <f>IF(T91=1,COUNTIF($T$6:T91,1),"")</f>
        <v/>
      </c>
      <c r="V91" s="96" t="str">
        <f>IF(T91=1,COUNTIFS('MTRs'!$I$6:$I$505,P91,'MTRs'!$AY$6:$AY$505,1,'MTRs'!$AA$6:$AA$505,0),"")</f>
        <v/>
      </c>
      <c r="W91" s="96" t="str">
        <f>IF(N(V91)&gt;0,V91+(1000-86)/10000,"")</f>
        <v/>
      </c>
    </row>
    <row r="92">
      <c r="A92" s="89" t="inlineStr">
        <is>
          <t>PA-087</t>
        </is>
      </c>
      <c r="B92" s="91" t="n"/>
      <c r="C92" s="91" t="n"/>
      <c r="D92" s="90" t="n"/>
      <c r="E92" s="91" t="n"/>
      <c r="F92" s="91" t="n"/>
      <c r="G92" s="91" t="n"/>
      <c r="H92" s="91" t="n"/>
      <c r="I92" s="91" t="n"/>
      <c r="J92" s="91" t="n"/>
      <c r="K92" s="90" t="n"/>
      <c r="L92" s="91" t="n"/>
      <c r="M92" s="91" t="n"/>
      <c r="N92" s="92" t="n"/>
      <c r="O92" s="91" t="n"/>
      <c r="P92" s="94" t="str">
        <f>IF(AND(B92="",C92=""),"",IF(C92&lt;&gt;"",C92,B92)&amp;IF(F92&lt;&gt;""," | "&amp;F92,""))</f>
        <v/>
      </c>
      <c r="Q92" s="94" t="str">
        <f>IF(P92="",IF(COUNTA(B92:O92)&gt;0,"Informe razão social ou nome fantasia",""),IF(E92="","Informe o tipo de atuação",IF(SUMPRODUCT(--($P$6:$P$205=P92))&gt;1,"Nome repetido: diferencie pelo estabelecimento",IF(AND(ISNUMBER(N92),N92&lt;TODAY()),"Validade informada vencida: conferir","OK"))))</f>
        <v/>
      </c>
      <c r="R92" s="96">
        <f>IF(AND(P92&lt;&gt;"",OR(E92="Transportador",E92="Ambos")),1,0)</f>
        <v>0</v>
      </c>
      <c r="S92" s="96" t="str">
        <f>IF(R92=1,COUNTIF($R$6:R92,1),"")</f>
        <v/>
      </c>
      <c r="T92" s="96">
        <f>IF(AND(P92&lt;&gt;"",OR(E92="Destinador",E92="Ambos")),1,0)</f>
        <v>0</v>
      </c>
      <c r="U92" s="96" t="str">
        <f>IF(T92=1,COUNTIF($T$6:T92,1),"")</f>
        <v/>
      </c>
      <c r="V92" s="96" t="str">
        <f>IF(T92=1,COUNTIFS('MTRs'!$I$6:$I$505,P92,'MTRs'!$AY$6:$AY$505,1,'MTRs'!$AA$6:$AA$505,0),"")</f>
        <v/>
      </c>
      <c r="W92" s="96" t="str">
        <f>IF(N(V92)&gt;0,V92+(1000-87)/10000,"")</f>
        <v/>
      </c>
    </row>
    <row r="93">
      <c r="A93" s="89" t="inlineStr">
        <is>
          <t>PA-088</t>
        </is>
      </c>
      <c r="B93" s="91" t="n"/>
      <c r="C93" s="91" t="n"/>
      <c r="D93" s="90" t="n"/>
      <c r="E93" s="91" t="n"/>
      <c r="F93" s="91" t="n"/>
      <c r="G93" s="91" t="n"/>
      <c r="H93" s="91" t="n"/>
      <c r="I93" s="91" t="n"/>
      <c r="J93" s="91" t="n"/>
      <c r="K93" s="90" t="n"/>
      <c r="L93" s="91" t="n"/>
      <c r="M93" s="91" t="n"/>
      <c r="N93" s="92" t="n"/>
      <c r="O93" s="91" t="n"/>
      <c r="P93" s="94" t="str">
        <f>IF(AND(B93="",C93=""),"",IF(C93&lt;&gt;"",C93,B93)&amp;IF(F93&lt;&gt;""," | "&amp;F93,""))</f>
        <v/>
      </c>
      <c r="Q93" s="94" t="str">
        <f>IF(P93="",IF(COUNTA(B93:O93)&gt;0,"Informe razão social ou nome fantasia",""),IF(E93="","Informe o tipo de atuação",IF(SUMPRODUCT(--($P$6:$P$205=P93))&gt;1,"Nome repetido: diferencie pelo estabelecimento",IF(AND(ISNUMBER(N93),N93&lt;TODAY()),"Validade informada vencida: conferir","OK"))))</f>
        <v/>
      </c>
      <c r="R93" s="96">
        <f>IF(AND(P93&lt;&gt;"",OR(E93="Transportador",E93="Ambos")),1,0)</f>
        <v>0</v>
      </c>
      <c r="S93" s="96" t="str">
        <f>IF(R93=1,COUNTIF($R$6:R93,1),"")</f>
        <v/>
      </c>
      <c r="T93" s="96">
        <f>IF(AND(P93&lt;&gt;"",OR(E93="Destinador",E93="Ambos")),1,0)</f>
        <v>0</v>
      </c>
      <c r="U93" s="96" t="str">
        <f>IF(T93=1,COUNTIF($T$6:T93,1),"")</f>
        <v/>
      </c>
      <c r="V93" s="96" t="str">
        <f>IF(T93=1,COUNTIFS('MTRs'!$I$6:$I$505,P93,'MTRs'!$AY$6:$AY$505,1,'MTRs'!$AA$6:$AA$505,0),"")</f>
        <v/>
      </c>
      <c r="W93" s="96" t="str">
        <f>IF(N(V93)&gt;0,V93+(1000-88)/10000,"")</f>
        <v/>
      </c>
    </row>
    <row r="94">
      <c r="A94" s="89" t="inlineStr">
        <is>
          <t>PA-089</t>
        </is>
      </c>
      <c r="B94" s="91" t="n"/>
      <c r="C94" s="91" t="n"/>
      <c r="D94" s="90" t="n"/>
      <c r="E94" s="91" t="n"/>
      <c r="F94" s="91" t="n"/>
      <c r="G94" s="91" t="n"/>
      <c r="H94" s="91" t="n"/>
      <c r="I94" s="91" t="n"/>
      <c r="J94" s="91" t="n"/>
      <c r="K94" s="90" t="n"/>
      <c r="L94" s="91" t="n"/>
      <c r="M94" s="91" t="n"/>
      <c r="N94" s="92" t="n"/>
      <c r="O94" s="91" t="n"/>
      <c r="P94" s="94" t="str">
        <f>IF(AND(B94="",C94=""),"",IF(C94&lt;&gt;"",C94,B94)&amp;IF(F94&lt;&gt;""," | "&amp;F94,""))</f>
        <v/>
      </c>
      <c r="Q94" s="94" t="str">
        <f>IF(P94="",IF(COUNTA(B94:O94)&gt;0,"Informe razão social ou nome fantasia",""),IF(E94="","Informe o tipo de atuação",IF(SUMPRODUCT(--($P$6:$P$205=P94))&gt;1,"Nome repetido: diferencie pelo estabelecimento",IF(AND(ISNUMBER(N94),N94&lt;TODAY()),"Validade informada vencida: conferir","OK"))))</f>
        <v/>
      </c>
      <c r="R94" s="96">
        <f>IF(AND(P94&lt;&gt;"",OR(E94="Transportador",E94="Ambos")),1,0)</f>
        <v>0</v>
      </c>
      <c r="S94" s="96" t="str">
        <f>IF(R94=1,COUNTIF($R$6:R94,1),"")</f>
        <v/>
      </c>
      <c r="T94" s="96">
        <f>IF(AND(P94&lt;&gt;"",OR(E94="Destinador",E94="Ambos")),1,0)</f>
        <v>0</v>
      </c>
      <c r="U94" s="96" t="str">
        <f>IF(T94=1,COUNTIF($T$6:T94,1),"")</f>
        <v/>
      </c>
      <c r="V94" s="96" t="str">
        <f>IF(T94=1,COUNTIFS('MTRs'!$I$6:$I$505,P94,'MTRs'!$AY$6:$AY$505,1,'MTRs'!$AA$6:$AA$505,0),"")</f>
        <v/>
      </c>
      <c r="W94" s="96" t="str">
        <f>IF(N(V94)&gt;0,V94+(1000-89)/10000,"")</f>
        <v/>
      </c>
    </row>
    <row r="95">
      <c r="A95" s="89" t="inlineStr">
        <is>
          <t>PA-090</t>
        </is>
      </c>
      <c r="B95" s="91" t="n"/>
      <c r="C95" s="91" t="n"/>
      <c r="D95" s="90" t="n"/>
      <c r="E95" s="91" t="n"/>
      <c r="F95" s="91" t="n"/>
      <c r="G95" s="91" t="n"/>
      <c r="H95" s="91" t="n"/>
      <c r="I95" s="91" t="n"/>
      <c r="J95" s="91" t="n"/>
      <c r="K95" s="90" t="n"/>
      <c r="L95" s="91" t="n"/>
      <c r="M95" s="91" t="n"/>
      <c r="N95" s="92" t="n"/>
      <c r="O95" s="91" t="n"/>
      <c r="P95" s="94" t="str">
        <f>IF(AND(B95="",C95=""),"",IF(C95&lt;&gt;"",C95,B95)&amp;IF(F95&lt;&gt;""," | "&amp;F95,""))</f>
        <v/>
      </c>
      <c r="Q95" s="94" t="str">
        <f>IF(P95="",IF(COUNTA(B95:O95)&gt;0,"Informe razão social ou nome fantasia",""),IF(E95="","Informe o tipo de atuação",IF(SUMPRODUCT(--($P$6:$P$205=P95))&gt;1,"Nome repetido: diferencie pelo estabelecimento",IF(AND(ISNUMBER(N95),N95&lt;TODAY()),"Validade informada vencida: conferir","OK"))))</f>
        <v/>
      </c>
      <c r="R95" s="96">
        <f>IF(AND(P95&lt;&gt;"",OR(E95="Transportador",E95="Ambos")),1,0)</f>
        <v>0</v>
      </c>
      <c r="S95" s="96" t="str">
        <f>IF(R95=1,COUNTIF($R$6:R95,1),"")</f>
        <v/>
      </c>
      <c r="T95" s="96">
        <f>IF(AND(P95&lt;&gt;"",OR(E95="Destinador",E95="Ambos")),1,0)</f>
        <v>0</v>
      </c>
      <c r="U95" s="96" t="str">
        <f>IF(T95=1,COUNTIF($T$6:T95,1),"")</f>
        <v/>
      </c>
      <c r="V95" s="96" t="str">
        <f>IF(T95=1,COUNTIFS('MTRs'!$I$6:$I$505,P95,'MTRs'!$AY$6:$AY$505,1,'MTRs'!$AA$6:$AA$505,0),"")</f>
        <v/>
      </c>
      <c r="W95" s="96" t="str">
        <f>IF(N(V95)&gt;0,V95+(1000-90)/10000,"")</f>
        <v/>
      </c>
    </row>
    <row r="96">
      <c r="A96" s="89" t="inlineStr">
        <is>
          <t>PA-091</t>
        </is>
      </c>
      <c r="B96" s="91" t="n"/>
      <c r="C96" s="91" t="n"/>
      <c r="D96" s="90" t="n"/>
      <c r="E96" s="91" t="n"/>
      <c r="F96" s="91" t="n"/>
      <c r="G96" s="91" t="n"/>
      <c r="H96" s="91" t="n"/>
      <c r="I96" s="91" t="n"/>
      <c r="J96" s="91" t="n"/>
      <c r="K96" s="90" t="n"/>
      <c r="L96" s="91" t="n"/>
      <c r="M96" s="91" t="n"/>
      <c r="N96" s="92" t="n"/>
      <c r="O96" s="91" t="n"/>
      <c r="P96" s="94" t="str">
        <f>IF(AND(B96="",C96=""),"",IF(C96&lt;&gt;"",C96,B96)&amp;IF(F96&lt;&gt;""," | "&amp;F96,""))</f>
        <v/>
      </c>
      <c r="Q96" s="94" t="str">
        <f>IF(P96="",IF(COUNTA(B96:O96)&gt;0,"Informe razão social ou nome fantasia",""),IF(E96="","Informe o tipo de atuação",IF(SUMPRODUCT(--($P$6:$P$205=P96))&gt;1,"Nome repetido: diferencie pelo estabelecimento",IF(AND(ISNUMBER(N96),N96&lt;TODAY()),"Validade informada vencida: conferir","OK"))))</f>
        <v/>
      </c>
      <c r="R96" s="96">
        <f>IF(AND(P96&lt;&gt;"",OR(E96="Transportador",E96="Ambos")),1,0)</f>
        <v>0</v>
      </c>
      <c r="S96" s="96" t="str">
        <f>IF(R96=1,COUNTIF($R$6:R96,1),"")</f>
        <v/>
      </c>
      <c r="T96" s="96">
        <f>IF(AND(P96&lt;&gt;"",OR(E96="Destinador",E96="Ambos")),1,0)</f>
        <v>0</v>
      </c>
      <c r="U96" s="96" t="str">
        <f>IF(T96=1,COUNTIF($T$6:T96,1),"")</f>
        <v/>
      </c>
      <c r="V96" s="96" t="str">
        <f>IF(T96=1,COUNTIFS('MTRs'!$I$6:$I$505,P96,'MTRs'!$AY$6:$AY$505,1,'MTRs'!$AA$6:$AA$505,0),"")</f>
        <v/>
      </c>
      <c r="W96" s="96" t="str">
        <f>IF(N(V96)&gt;0,V96+(1000-91)/10000,"")</f>
        <v/>
      </c>
    </row>
    <row r="97">
      <c r="A97" s="89" t="inlineStr">
        <is>
          <t>PA-092</t>
        </is>
      </c>
      <c r="B97" s="91" t="n"/>
      <c r="C97" s="91" t="n"/>
      <c r="D97" s="90" t="n"/>
      <c r="E97" s="91" t="n"/>
      <c r="F97" s="91" t="n"/>
      <c r="G97" s="91" t="n"/>
      <c r="H97" s="91" t="n"/>
      <c r="I97" s="91" t="n"/>
      <c r="J97" s="91" t="n"/>
      <c r="K97" s="90" t="n"/>
      <c r="L97" s="91" t="n"/>
      <c r="M97" s="91" t="n"/>
      <c r="N97" s="92" t="n"/>
      <c r="O97" s="91" t="n"/>
      <c r="P97" s="94" t="str">
        <f>IF(AND(B97="",C97=""),"",IF(C97&lt;&gt;"",C97,B97)&amp;IF(F97&lt;&gt;""," | "&amp;F97,""))</f>
        <v/>
      </c>
      <c r="Q97" s="94" t="str">
        <f>IF(P97="",IF(COUNTA(B97:O97)&gt;0,"Informe razão social ou nome fantasia",""),IF(E97="","Informe o tipo de atuação",IF(SUMPRODUCT(--($P$6:$P$205=P97))&gt;1,"Nome repetido: diferencie pelo estabelecimento",IF(AND(ISNUMBER(N97),N97&lt;TODAY()),"Validade informada vencida: conferir","OK"))))</f>
        <v/>
      </c>
      <c r="R97" s="96">
        <f>IF(AND(P97&lt;&gt;"",OR(E97="Transportador",E97="Ambos")),1,0)</f>
        <v>0</v>
      </c>
      <c r="S97" s="96" t="str">
        <f>IF(R97=1,COUNTIF($R$6:R97,1),"")</f>
        <v/>
      </c>
      <c r="T97" s="96">
        <f>IF(AND(P97&lt;&gt;"",OR(E97="Destinador",E97="Ambos")),1,0)</f>
        <v>0</v>
      </c>
      <c r="U97" s="96" t="str">
        <f>IF(T97=1,COUNTIF($T$6:T97,1),"")</f>
        <v/>
      </c>
      <c r="V97" s="96" t="str">
        <f>IF(T97=1,COUNTIFS('MTRs'!$I$6:$I$505,P97,'MTRs'!$AY$6:$AY$505,1,'MTRs'!$AA$6:$AA$505,0),"")</f>
        <v/>
      </c>
      <c r="W97" s="96" t="str">
        <f>IF(N(V97)&gt;0,V97+(1000-92)/10000,"")</f>
        <v/>
      </c>
    </row>
    <row r="98">
      <c r="A98" s="89" t="inlineStr">
        <is>
          <t>PA-093</t>
        </is>
      </c>
      <c r="B98" s="91" t="n"/>
      <c r="C98" s="91" t="n"/>
      <c r="D98" s="90" t="n"/>
      <c r="E98" s="91" t="n"/>
      <c r="F98" s="91" t="n"/>
      <c r="G98" s="91" t="n"/>
      <c r="H98" s="91" t="n"/>
      <c r="I98" s="91" t="n"/>
      <c r="J98" s="91" t="n"/>
      <c r="K98" s="90" t="n"/>
      <c r="L98" s="91" t="n"/>
      <c r="M98" s="91" t="n"/>
      <c r="N98" s="92" t="n"/>
      <c r="O98" s="91" t="n"/>
      <c r="P98" s="94" t="str">
        <f>IF(AND(B98="",C98=""),"",IF(C98&lt;&gt;"",C98,B98)&amp;IF(F98&lt;&gt;""," | "&amp;F98,""))</f>
        <v/>
      </c>
      <c r="Q98" s="94" t="str">
        <f>IF(P98="",IF(COUNTA(B98:O98)&gt;0,"Informe razão social ou nome fantasia",""),IF(E98="","Informe o tipo de atuação",IF(SUMPRODUCT(--($P$6:$P$205=P98))&gt;1,"Nome repetido: diferencie pelo estabelecimento",IF(AND(ISNUMBER(N98),N98&lt;TODAY()),"Validade informada vencida: conferir","OK"))))</f>
        <v/>
      </c>
      <c r="R98" s="96">
        <f>IF(AND(P98&lt;&gt;"",OR(E98="Transportador",E98="Ambos")),1,0)</f>
        <v>0</v>
      </c>
      <c r="S98" s="96" t="str">
        <f>IF(R98=1,COUNTIF($R$6:R98,1),"")</f>
        <v/>
      </c>
      <c r="T98" s="96">
        <f>IF(AND(P98&lt;&gt;"",OR(E98="Destinador",E98="Ambos")),1,0)</f>
        <v>0</v>
      </c>
      <c r="U98" s="96" t="str">
        <f>IF(T98=1,COUNTIF($T$6:T98,1),"")</f>
        <v/>
      </c>
      <c r="V98" s="96" t="str">
        <f>IF(T98=1,COUNTIFS('MTRs'!$I$6:$I$505,P98,'MTRs'!$AY$6:$AY$505,1,'MTRs'!$AA$6:$AA$505,0),"")</f>
        <v/>
      </c>
      <c r="W98" s="96" t="str">
        <f>IF(N(V98)&gt;0,V98+(1000-93)/10000,"")</f>
        <v/>
      </c>
    </row>
    <row r="99">
      <c r="A99" s="89" t="inlineStr">
        <is>
          <t>PA-094</t>
        </is>
      </c>
      <c r="B99" s="91" t="n"/>
      <c r="C99" s="91" t="n"/>
      <c r="D99" s="90" t="n"/>
      <c r="E99" s="91" t="n"/>
      <c r="F99" s="91" t="n"/>
      <c r="G99" s="91" t="n"/>
      <c r="H99" s="91" t="n"/>
      <c r="I99" s="91" t="n"/>
      <c r="J99" s="91" t="n"/>
      <c r="K99" s="90" t="n"/>
      <c r="L99" s="91" t="n"/>
      <c r="M99" s="91" t="n"/>
      <c r="N99" s="92" t="n"/>
      <c r="O99" s="91" t="n"/>
      <c r="P99" s="94" t="str">
        <f>IF(AND(B99="",C99=""),"",IF(C99&lt;&gt;"",C99,B99)&amp;IF(F99&lt;&gt;""," | "&amp;F99,""))</f>
        <v/>
      </c>
      <c r="Q99" s="94" t="str">
        <f>IF(P99="",IF(COUNTA(B99:O99)&gt;0,"Informe razão social ou nome fantasia",""),IF(E99="","Informe o tipo de atuação",IF(SUMPRODUCT(--($P$6:$P$205=P99))&gt;1,"Nome repetido: diferencie pelo estabelecimento",IF(AND(ISNUMBER(N99),N99&lt;TODAY()),"Validade informada vencida: conferir","OK"))))</f>
        <v/>
      </c>
      <c r="R99" s="96">
        <f>IF(AND(P99&lt;&gt;"",OR(E99="Transportador",E99="Ambos")),1,0)</f>
        <v>0</v>
      </c>
      <c r="S99" s="96" t="str">
        <f>IF(R99=1,COUNTIF($R$6:R99,1),"")</f>
        <v/>
      </c>
      <c r="T99" s="96">
        <f>IF(AND(P99&lt;&gt;"",OR(E99="Destinador",E99="Ambos")),1,0)</f>
        <v>0</v>
      </c>
      <c r="U99" s="96" t="str">
        <f>IF(T99=1,COUNTIF($T$6:T99,1),"")</f>
        <v/>
      </c>
      <c r="V99" s="96" t="str">
        <f>IF(T99=1,COUNTIFS('MTRs'!$I$6:$I$505,P99,'MTRs'!$AY$6:$AY$505,1,'MTRs'!$AA$6:$AA$505,0),"")</f>
        <v/>
      </c>
      <c r="W99" s="96" t="str">
        <f>IF(N(V99)&gt;0,V99+(1000-94)/10000,"")</f>
        <v/>
      </c>
    </row>
    <row r="100">
      <c r="A100" s="89" t="inlineStr">
        <is>
          <t>PA-095</t>
        </is>
      </c>
      <c r="B100" s="91" t="n"/>
      <c r="C100" s="91" t="n"/>
      <c r="D100" s="90" t="n"/>
      <c r="E100" s="91" t="n"/>
      <c r="F100" s="91" t="n"/>
      <c r="G100" s="91" t="n"/>
      <c r="H100" s="91" t="n"/>
      <c r="I100" s="91" t="n"/>
      <c r="J100" s="91" t="n"/>
      <c r="K100" s="90" t="n"/>
      <c r="L100" s="91" t="n"/>
      <c r="M100" s="91" t="n"/>
      <c r="N100" s="92" t="n"/>
      <c r="O100" s="91" t="n"/>
      <c r="P100" s="94" t="str">
        <f>IF(AND(B100="",C100=""),"",IF(C100&lt;&gt;"",C100,B100)&amp;IF(F100&lt;&gt;""," | "&amp;F100,""))</f>
        <v/>
      </c>
      <c r="Q100" s="94" t="str">
        <f>IF(P100="",IF(COUNTA(B100:O100)&gt;0,"Informe razão social ou nome fantasia",""),IF(E100="","Informe o tipo de atuação",IF(SUMPRODUCT(--($P$6:$P$205=P100))&gt;1,"Nome repetido: diferencie pelo estabelecimento",IF(AND(ISNUMBER(N100),N100&lt;TODAY()),"Validade informada vencida: conferir","OK"))))</f>
        <v/>
      </c>
      <c r="R100" s="96">
        <f>IF(AND(P100&lt;&gt;"",OR(E100="Transportador",E100="Ambos")),1,0)</f>
        <v>0</v>
      </c>
      <c r="S100" s="96" t="str">
        <f>IF(R100=1,COUNTIF($R$6:R100,1),"")</f>
        <v/>
      </c>
      <c r="T100" s="96">
        <f>IF(AND(P100&lt;&gt;"",OR(E100="Destinador",E100="Ambos")),1,0)</f>
        <v>0</v>
      </c>
      <c r="U100" s="96" t="str">
        <f>IF(T100=1,COUNTIF($T$6:T100,1),"")</f>
        <v/>
      </c>
      <c r="V100" s="96" t="str">
        <f>IF(T100=1,COUNTIFS('MTRs'!$I$6:$I$505,P100,'MTRs'!$AY$6:$AY$505,1,'MTRs'!$AA$6:$AA$505,0),"")</f>
        <v/>
      </c>
      <c r="W100" s="96" t="str">
        <f>IF(N(V100)&gt;0,V100+(1000-95)/10000,"")</f>
        <v/>
      </c>
    </row>
    <row r="101">
      <c r="A101" s="89" t="inlineStr">
        <is>
          <t>PA-096</t>
        </is>
      </c>
      <c r="B101" s="91" t="n"/>
      <c r="C101" s="91" t="n"/>
      <c r="D101" s="90" t="n"/>
      <c r="E101" s="91" t="n"/>
      <c r="F101" s="91" t="n"/>
      <c r="G101" s="91" t="n"/>
      <c r="H101" s="91" t="n"/>
      <c r="I101" s="91" t="n"/>
      <c r="J101" s="91" t="n"/>
      <c r="K101" s="90" t="n"/>
      <c r="L101" s="91" t="n"/>
      <c r="M101" s="91" t="n"/>
      <c r="N101" s="92" t="n"/>
      <c r="O101" s="91" t="n"/>
      <c r="P101" s="94" t="str">
        <f>IF(AND(B101="",C101=""),"",IF(C101&lt;&gt;"",C101,B101)&amp;IF(F101&lt;&gt;""," | "&amp;F101,""))</f>
        <v/>
      </c>
      <c r="Q101" s="94" t="str">
        <f>IF(P101="",IF(COUNTA(B101:O101)&gt;0,"Informe razão social ou nome fantasia",""),IF(E101="","Informe o tipo de atuação",IF(SUMPRODUCT(--($P$6:$P$205=P101))&gt;1,"Nome repetido: diferencie pelo estabelecimento",IF(AND(ISNUMBER(N101),N101&lt;TODAY()),"Validade informada vencida: conferir","OK"))))</f>
        <v/>
      </c>
      <c r="R101" s="96">
        <f>IF(AND(P101&lt;&gt;"",OR(E101="Transportador",E101="Ambos")),1,0)</f>
        <v>0</v>
      </c>
      <c r="S101" s="96" t="str">
        <f>IF(R101=1,COUNTIF($R$6:R101,1),"")</f>
        <v/>
      </c>
      <c r="T101" s="96">
        <f>IF(AND(P101&lt;&gt;"",OR(E101="Destinador",E101="Ambos")),1,0)</f>
        <v>0</v>
      </c>
      <c r="U101" s="96" t="str">
        <f>IF(T101=1,COUNTIF($T$6:T101,1),"")</f>
        <v/>
      </c>
      <c r="V101" s="96" t="str">
        <f>IF(T101=1,COUNTIFS('MTRs'!$I$6:$I$505,P101,'MTRs'!$AY$6:$AY$505,1,'MTRs'!$AA$6:$AA$505,0),"")</f>
        <v/>
      </c>
      <c r="W101" s="96" t="str">
        <f>IF(N(V101)&gt;0,V101+(1000-96)/10000,"")</f>
        <v/>
      </c>
    </row>
    <row r="102">
      <c r="A102" s="89" t="inlineStr">
        <is>
          <t>PA-097</t>
        </is>
      </c>
      <c r="B102" s="91" t="n"/>
      <c r="C102" s="91" t="n"/>
      <c r="D102" s="90" t="n"/>
      <c r="E102" s="91" t="n"/>
      <c r="F102" s="91" t="n"/>
      <c r="G102" s="91" t="n"/>
      <c r="H102" s="91" t="n"/>
      <c r="I102" s="91" t="n"/>
      <c r="J102" s="91" t="n"/>
      <c r="K102" s="90" t="n"/>
      <c r="L102" s="91" t="n"/>
      <c r="M102" s="91" t="n"/>
      <c r="N102" s="92" t="n"/>
      <c r="O102" s="91" t="n"/>
      <c r="P102" s="94" t="str">
        <f>IF(AND(B102="",C102=""),"",IF(C102&lt;&gt;"",C102,B102)&amp;IF(F102&lt;&gt;""," | "&amp;F102,""))</f>
        <v/>
      </c>
      <c r="Q102" s="94" t="str">
        <f>IF(P102="",IF(COUNTA(B102:O102)&gt;0,"Informe razão social ou nome fantasia",""),IF(E102="","Informe o tipo de atuação",IF(SUMPRODUCT(--($P$6:$P$205=P102))&gt;1,"Nome repetido: diferencie pelo estabelecimento",IF(AND(ISNUMBER(N102),N102&lt;TODAY()),"Validade informada vencida: conferir","OK"))))</f>
        <v/>
      </c>
      <c r="R102" s="96">
        <f>IF(AND(P102&lt;&gt;"",OR(E102="Transportador",E102="Ambos")),1,0)</f>
        <v>0</v>
      </c>
      <c r="S102" s="96" t="str">
        <f>IF(R102=1,COUNTIF($R$6:R102,1),"")</f>
        <v/>
      </c>
      <c r="T102" s="96">
        <f>IF(AND(P102&lt;&gt;"",OR(E102="Destinador",E102="Ambos")),1,0)</f>
        <v>0</v>
      </c>
      <c r="U102" s="96" t="str">
        <f>IF(T102=1,COUNTIF($T$6:T102,1),"")</f>
        <v/>
      </c>
      <c r="V102" s="96" t="str">
        <f>IF(T102=1,COUNTIFS('MTRs'!$I$6:$I$505,P102,'MTRs'!$AY$6:$AY$505,1,'MTRs'!$AA$6:$AA$505,0),"")</f>
        <v/>
      </c>
      <c r="W102" s="96" t="str">
        <f>IF(N(V102)&gt;0,V102+(1000-97)/10000,"")</f>
        <v/>
      </c>
    </row>
    <row r="103">
      <c r="A103" s="89" t="inlineStr">
        <is>
          <t>PA-098</t>
        </is>
      </c>
      <c r="B103" s="91" t="n"/>
      <c r="C103" s="91" t="n"/>
      <c r="D103" s="90" t="n"/>
      <c r="E103" s="91" t="n"/>
      <c r="F103" s="91" t="n"/>
      <c r="G103" s="91" t="n"/>
      <c r="H103" s="91" t="n"/>
      <c r="I103" s="91" t="n"/>
      <c r="J103" s="91" t="n"/>
      <c r="K103" s="90" t="n"/>
      <c r="L103" s="91" t="n"/>
      <c r="M103" s="91" t="n"/>
      <c r="N103" s="92" t="n"/>
      <c r="O103" s="91" t="n"/>
      <c r="P103" s="94" t="str">
        <f>IF(AND(B103="",C103=""),"",IF(C103&lt;&gt;"",C103,B103)&amp;IF(F103&lt;&gt;""," | "&amp;F103,""))</f>
        <v/>
      </c>
      <c r="Q103" s="94" t="str">
        <f>IF(P103="",IF(COUNTA(B103:O103)&gt;0,"Informe razão social ou nome fantasia",""),IF(E103="","Informe o tipo de atuação",IF(SUMPRODUCT(--($P$6:$P$205=P103))&gt;1,"Nome repetido: diferencie pelo estabelecimento",IF(AND(ISNUMBER(N103),N103&lt;TODAY()),"Validade informada vencida: conferir","OK"))))</f>
        <v/>
      </c>
      <c r="R103" s="96">
        <f>IF(AND(P103&lt;&gt;"",OR(E103="Transportador",E103="Ambos")),1,0)</f>
        <v>0</v>
      </c>
      <c r="S103" s="96" t="str">
        <f>IF(R103=1,COUNTIF($R$6:R103,1),"")</f>
        <v/>
      </c>
      <c r="T103" s="96">
        <f>IF(AND(P103&lt;&gt;"",OR(E103="Destinador",E103="Ambos")),1,0)</f>
        <v>0</v>
      </c>
      <c r="U103" s="96" t="str">
        <f>IF(T103=1,COUNTIF($T$6:T103,1),"")</f>
        <v/>
      </c>
      <c r="V103" s="96" t="str">
        <f>IF(T103=1,COUNTIFS('MTRs'!$I$6:$I$505,P103,'MTRs'!$AY$6:$AY$505,1,'MTRs'!$AA$6:$AA$505,0),"")</f>
        <v/>
      </c>
      <c r="W103" s="96" t="str">
        <f>IF(N(V103)&gt;0,V103+(1000-98)/10000,"")</f>
        <v/>
      </c>
    </row>
    <row r="104">
      <c r="A104" s="89" t="inlineStr">
        <is>
          <t>PA-099</t>
        </is>
      </c>
      <c r="B104" s="91" t="n"/>
      <c r="C104" s="91" t="n"/>
      <c r="D104" s="90" t="n"/>
      <c r="E104" s="91" t="n"/>
      <c r="F104" s="91" t="n"/>
      <c r="G104" s="91" t="n"/>
      <c r="H104" s="91" t="n"/>
      <c r="I104" s="91" t="n"/>
      <c r="J104" s="91" t="n"/>
      <c r="K104" s="90" t="n"/>
      <c r="L104" s="91" t="n"/>
      <c r="M104" s="91" t="n"/>
      <c r="N104" s="92" t="n"/>
      <c r="O104" s="91" t="n"/>
      <c r="P104" s="94" t="str">
        <f>IF(AND(B104="",C104=""),"",IF(C104&lt;&gt;"",C104,B104)&amp;IF(F104&lt;&gt;""," | "&amp;F104,""))</f>
        <v/>
      </c>
      <c r="Q104" s="94" t="str">
        <f>IF(P104="",IF(COUNTA(B104:O104)&gt;0,"Informe razão social ou nome fantasia",""),IF(E104="","Informe o tipo de atuação",IF(SUMPRODUCT(--($P$6:$P$205=P104))&gt;1,"Nome repetido: diferencie pelo estabelecimento",IF(AND(ISNUMBER(N104),N104&lt;TODAY()),"Validade informada vencida: conferir","OK"))))</f>
        <v/>
      </c>
      <c r="R104" s="96">
        <f>IF(AND(P104&lt;&gt;"",OR(E104="Transportador",E104="Ambos")),1,0)</f>
        <v>0</v>
      </c>
      <c r="S104" s="96" t="str">
        <f>IF(R104=1,COUNTIF($R$6:R104,1),"")</f>
        <v/>
      </c>
      <c r="T104" s="96">
        <f>IF(AND(P104&lt;&gt;"",OR(E104="Destinador",E104="Ambos")),1,0)</f>
        <v>0</v>
      </c>
      <c r="U104" s="96" t="str">
        <f>IF(T104=1,COUNTIF($T$6:T104,1),"")</f>
        <v/>
      </c>
      <c r="V104" s="96" t="str">
        <f>IF(T104=1,COUNTIFS('MTRs'!$I$6:$I$505,P104,'MTRs'!$AY$6:$AY$505,1,'MTRs'!$AA$6:$AA$505,0),"")</f>
        <v/>
      </c>
      <c r="W104" s="96" t="str">
        <f>IF(N(V104)&gt;0,V104+(1000-99)/10000,"")</f>
        <v/>
      </c>
    </row>
    <row r="105">
      <c r="A105" s="89" t="inlineStr">
        <is>
          <t>PA-100</t>
        </is>
      </c>
      <c r="B105" s="91" t="n"/>
      <c r="C105" s="91" t="n"/>
      <c r="D105" s="90" t="n"/>
      <c r="E105" s="91" t="n"/>
      <c r="F105" s="91" t="n"/>
      <c r="G105" s="91" t="n"/>
      <c r="H105" s="91" t="n"/>
      <c r="I105" s="91" t="n"/>
      <c r="J105" s="91" t="n"/>
      <c r="K105" s="90" t="n"/>
      <c r="L105" s="91" t="n"/>
      <c r="M105" s="91" t="n"/>
      <c r="N105" s="92" t="n"/>
      <c r="O105" s="91" t="n"/>
      <c r="P105" s="94" t="str">
        <f>IF(AND(B105="",C105=""),"",IF(C105&lt;&gt;"",C105,B105)&amp;IF(F105&lt;&gt;""," | "&amp;F105,""))</f>
        <v/>
      </c>
      <c r="Q105" s="94" t="str">
        <f>IF(P105="",IF(COUNTA(B105:O105)&gt;0,"Informe razão social ou nome fantasia",""),IF(E105="","Informe o tipo de atuação",IF(SUMPRODUCT(--($P$6:$P$205=P105))&gt;1,"Nome repetido: diferencie pelo estabelecimento",IF(AND(ISNUMBER(N105),N105&lt;TODAY()),"Validade informada vencida: conferir","OK"))))</f>
        <v/>
      </c>
      <c r="R105" s="96">
        <f>IF(AND(P105&lt;&gt;"",OR(E105="Transportador",E105="Ambos")),1,0)</f>
        <v>0</v>
      </c>
      <c r="S105" s="96" t="str">
        <f>IF(R105=1,COUNTIF($R$6:R105,1),"")</f>
        <v/>
      </c>
      <c r="T105" s="96">
        <f>IF(AND(P105&lt;&gt;"",OR(E105="Destinador",E105="Ambos")),1,0)</f>
        <v>0</v>
      </c>
      <c r="U105" s="96" t="str">
        <f>IF(T105=1,COUNTIF($T$6:T105,1),"")</f>
        <v/>
      </c>
      <c r="V105" s="96" t="str">
        <f>IF(T105=1,COUNTIFS('MTRs'!$I$6:$I$505,P105,'MTRs'!$AY$6:$AY$505,1,'MTRs'!$AA$6:$AA$505,0),"")</f>
        <v/>
      </c>
      <c r="W105" s="96" t="str">
        <f>IF(N(V105)&gt;0,V105+(1000-100)/10000,"")</f>
        <v/>
      </c>
    </row>
    <row r="106">
      <c r="A106" s="89" t="inlineStr">
        <is>
          <t>PA-101</t>
        </is>
      </c>
      <c r="B106" s="91" t="n"/>
      <c r="C106" s="91" t="n"/>
      <c r="D106" s="90" t="n"/>
      <c r="E106" s="91" t="n"/>
      <c r="F106" s="91" t="n"/>
      <c r="G106" s="91" t="n"/>
      <c r="H106" s="91" t="n"/>
      <c r="I106" s="91" t="n"/>
      <c r="J106" s="91" t="n"/>
      <c r="K106" s="90" t="n"/>
      <c r="L106" s="91" t="n"/>
      <c r="M106" s="91" t="n"/>
      <c r="N106" s="92" t="n"/>
      <c r="O106" s="91" t="n"/>
      <c r="P106" s="94" t="str">
        <f>IF(AND(B106="",C106=""),"",IF(C106&lt;&gt;"",C106,B106)&amp;IF(F106&lt;&gt;""," | "&amp;F106,""))</f>
        <v/>
      </c>
      <c r="Q106" s="94" t="str">
        <f>IF(P106="",IF(COUNTA(B106:O106)&gt;0,"Informe razão social ou nome fantasia",""),IF(E106="","Informe o tipo de atuação",IF(SUMPRODUCT(--($P$6:$P$205=P106))&gt;1,"Nome repetido: diferencie pelo estabelecimento",IF(AND(ISNUMBER(N106),N106&lt;TODAY()),"Validade informada vencida: conferir","OK"))))</f>
        <v/>
      </c>
      <c r="R106" s="96">
        <f>IF(AND(P106&lt;&gt;"",OR(E106="Transportador",E106="Ambos")),1,0)</f>
        <v>0</v>
      </c>
      <c r="S106" s="96" t="str">
        <f>IF(R106=1,COUNTIF($R$6:R106,1),"")</f>
        <v/>
      </c>
      <c r="T106" s="96">
        <f>IF(AND(P106&lt;&gt;"",OR(E106="Destinador",E106="Ambos")),1,0)</f>
        <v>0</v>
      </c>
      <c r="U106" s="96" t="str">
        <f>IF(T106=1,COUNTIF($T$6:T106,1),"")</f>
        <v/>
      </c>
      <c r="V106" s="96" t="str">
        <f>IF(T106=1,COUNTIFS('MTRs'!$I$6:$I$505,P106,'MTRs'!$AY$6:$AY$505,1,'MTRs'!$AA$6:$AA$505,0),"")</f>
        <v/>
      </c>
      <c r="W106" s="96" t="str">
        <f>IF(N(V106)&gt;0,V106+(1000-101)/10000,"")</f>
        <v/>
      </c>
    </row>
    <row r="107">
      <c r="A107" s="89" t="inlineStr">
        <is>
          <t>PA-102</t>
        </is>
      </c>
      <c r="B107" s="91" t="n"/>
      <c r="C107" s="91" t="n"/>
      <c r="D107" s="90" t="n"/>
      <c r="E107" s="91" t="n"/>
      <c r="F107" s="91" t="n"/>
      <c r="G107" s="91" t="n"/>
      <c r="H107" s="91" t="n"/>
      <c r="I107" s="91" t="n"/>
      <c r="J107" s="91" t="n"/>
      <c r="K107" s="90" t="n"/>
      <c r="L107" s="91" t="n"/>
      <c r="M107" s="91" t="n"/>
      <c r="N107" s="92" t="n"/>
      <c r="O107" s="91" t="n"/>
      <c r="P107" s="94" t="str">
        <f>IF(AND(B107="",C107=""),"",IF(C107&lt;&gt;"",C107,B107)&amp;IF(F107&lt;&gt;""," | "&amp;F107,""))</f>
        <v/>
      </c>
      <c r="Q107" s="94" t="str">
        <f>IF(P107="",IF(COUNTA(B107:O107)&gt;0,"Informe razão social ou nome fantasia",""),IF(E107="","Informe o tipo de atuação",IF(SUMPRODUCT(--($P$6:$P$205=P107))&gt;1,"Nome repetido: diferencie pelo estabelecimento",IF(AND(ISNUMBER(N107),N107&lt;TODAY()),"Validade informada vencida: conferir","OK"))))</f>
        <v/>
      </c>
      <c r="R107" s="96">
        <f>IF(AND(P107&lt;&gt;"",OR(E107="Transportador",E107="Ambos")),1,0)</f>
        <v>0</v>
      </c>
      <c r="S107" s="96" t="str">
        <f>IF(R107=1,COUNTIF($R$6:R107,1),"")</f>
        <v/>
      </c>
      <c r="T107" s="96">
        <f>IF(AND(P107&lt;&gt;"",OR(E107="Destinador",E107="Ambos")),1,0)</f>
        <v>0</v>
      </c>
      <c r="U107" s="96" t="str">
        <f>IF(T107=1,COUNTIF($T$6:T107,1),"")</f>
        <v/>
      </c>
      <c r="V107" s="96" t="str">
        <f>IF(T107=1,COUNTIFS('MTRs'!$I$6:$I$505,P107,'MTRs'!$AY$6:$AY$505,1,'MTRs'!$AA$6:$AA$505,0),"")</f>
        <v/>
      </c>
      <c r="W107" s="96" t="str">
        <f>IF(N(V107)&gt;0,V107+(1000-102)/10000,"")</f>
        <v/>
      </c>
    </row>
    <row r="108">
      <c r="A108" s="89" t="inlineStr">
        <is>
          <t>PA-103</t>
        </is>
      </c>
      <c r="B108" s="91" t="n"/>
      <c r="C108" s="91" t="n"/>
      <c r="D108" s="90" t="n"/>
      <c r="E108" s="91" t="n"/>
      <c r="F108" s="91" t="n"/>
      <c r="G108" s="91" t="n"/>
      <c r="H108" s="91" t="n"/>
      <c r="I108" s="91" t="n"/>
      <c r="J108" s="91" t="n"/>
      <c r="K108" s="90" t="n"/>
      <c r="L108" s="91" t="n"/>
      <c r="M108" s="91" t="n"/>
      <c r="N108" s="92" t="n"/>
      <c r="O108" s="91" t="n"/>
      <c r="P108" s="94" t="str">
        <f>IF(AND(B108="",C108=""),"",IF(C108&lt;&gt;"",C108,B108)&amp;IF(F108&lt;&gt;""," | "&amp;F108,""))</f>
        <v/>
      </c>
      <c r="Q108" s="94" t="str">
        <f>IF(P108="",IF(COUNTA(B108:O108)&gt;0,"Informe razão social ou nome fantasia",""),IF(E108="","Informe o tipo de atuação",IF(SUMPRODUCT(--($P$6:$P$205=P108))&gt;1,"Nome repetido: diferencie pelo estabelecimento",IF(AND(ISNUMBER(N108),N108&lt;TODAY()),"Validade informada vencida: conferir","OK"))))</f>
        <v/>
      </c>
      <c r="R108" s="96">
        <f>IF(AND(P108&lt;&gt;"",OR(E108="Transportador",E108="Ambos")),1,0)</f>
        <v>0</v>
      </c>
      <c r="S108" s="96" t="str">
        <f>IF(R108=1,COUNTIF($R$6:R108,1),"")</f>
        <v/>
      </c>
      <c r="T108" s="96">
        <f>IF(AND(P108&lt;&gt;"",OR(E108="Destinador",E108="Ambos")),1,0)</f>
        <v>0</v>
      </c>
      <c r="U108" s="96" t="str">
        <f>IF(T108=1,COUNTIF($T$6:T108,1),"")</f>
        <v/>
      </c>
      <c r="V108" s="96" t="str">
        <f>IF(T108=1,COUNTIFS('MTRs'!$I$6:$I$505,P108,'MTRs'!$AY$6:$AY$505,1,'MTRs'!$AA$6:$AA$505,0),"")</f>
        <v/>
      </c>
      <c r="W108" s="96" t="str">
        <f>IF(N(V108)&gt;0,V108+(1000-103)/10000,"")</f>
        <v/>
      </c>
    </row>
    <row r="109">
      <c r="A109" s="89" t="inlineStr">
        <is>
          <t>PA-104</t>
        </is>
      </c>
      <c r="B109" s="91" t="n"/>
      <c r="C109" s="91" t="n"/>
      <c r="D109" s="90" t="n"/>
      <c r="E109" s="91" t="n"/>
      <c r="F109" s="91" t="n"/>
      <c r="G109" s="91" t="n"/>
      <c r="H109" s="91" t="n"/>
      <c r="I109" s="91" t="n"/>
      <c r="J109" s="91" t="n"/>
      <c r="K109" s="90" t="n"/>
      <c r="L109" s="91" t="n"/>
      <c r="M109" s="91" t="n"/>
      <c r="N109" s="92" t="n"/>
      <c r="O109" s="91" t="n"/>
      <c r="P109" s="94" t="str">
        <f>IF(AND(B109="",C109=""),"",IF(C109&lt;&gt;"",C109,B109)&amp;IF(F109&lt;&gt;""," | "&amp;F109,""))</f>
        <v/>
      </c>
      <c r="Q109" s="94" t="str">
        <f>IF(P109="",IF(COUNTA(B109:O109)&gt;0,"Informe razão social ou nome fantasia",""),IF(E109="","Informe o tipo de atuação",IF(SUMPRODUCT(--($P$6:$P$205=P109))&gt;1,"Nome repetido: diferencie pelo estabelecimento",IF(AND(ISNUMBER(N109),N109&lt;TODAY()),"Validade informada vencida: conferir","OK"))))</f>
        <v/>
      </c>
      <c r="R109" s="96">
        <f>IF(AND(P109&lt;&gt;"",OR(E109="Transportador",E109="Ambos")),1,0)</f>
        <v>0</v>
      </c>
      <c r="S109" s="96" t="str">
        <f>IF(R109=1,COUNTIF($R$6:R109,1),"")</f>
        <v/>
      </c>
      <c r="T109" s="96">
        <f>IF(AND(P109&lt;&gt;"",OR(E109="Destinador",E109="Ambos")),1,0)</f>
        <v>0</v>
      </c>
      <c r="U109" s="96" t="str">
        <f>IF(T109=1,COUNTIF($T$6:T109,1),"")</f>
        <v/>
      </c>
      <c r="V109" s="96" t="str">
        <f>IF(T109=1,COUNTIFS('MTRs'!$I$6:$I$505,P109,'MTRs'!$AY$6:$AY$505,1,'MTRs'!$AA$6:$AA$505,0),"")</f>
        <v/>
      </c>
      <c r="W109" s="96" t="str">
        <f>IF(N(V109)&gt;0,V109+(1000-104)/10000,"")</f>
        <v/>
      </c>
    </row>
    <row r="110">
      <c r="A110" s="89" t="inlineStr">
        <is>
          <t>PA-105</t>
        </is>
      </c>
      <c r="B110" s="91" t="n"/>
      <c r="C110" s="91" t="n"/>
      <c r="D110" s="90" t="n"/>
      <c r="E110" s="91" t="n"/>
      <c r="F110" s="91" t="n"/>
      <c r="G110" s="91" t="n"/>
      <c r="H110" s="91" t="n"/>
      <c r="I110" s="91" t="n"/>
      <c r="J110" s="91" t="n"/>
      <c r="K110" s="90" t="n"/>
      <c r="L110" s="91" t="n"/>
      <c r="M110" s="91" t="n"/>
      <c r="N110" s="92" t="n"/>
      <c r="O110" s="91" t="n"/>
      <c r="P110" s="94" t="str">
        <f>IF(AND(B110="",C110=""),"",IF(C110&lt;&gt;"",C110,B110)&amp;IF(F110&lt;&gt;""," | "&amp;F110,""))</f>
        <v/>
      </c>
      <c r="Q110" s="94" t="str">
        <f>IF(P110="",IF(COUNTA(B110:O110)&gt;0,"Informe razão social ou nome fantasia",""),IF(E110="","Informe o tipo de atuação",IF(SUMPRODUCT(--($P$6:$P$205=P110))&gt;1,"Nome repetido: diferencie pelo estabelecimento",IF(AND(ISNUMBER(N110),N110&lt;TODAY()),"Validade informada vencida: conferir","OK"))))</f>
        <v/>
      </c>
      <c r="R110" s="96">
        <f>IF(AND(P110&lt;&gt;"",OR(E110="Transportador",E110="Ambos")),1,0)</f>
        <v>0</v>
      </c>
      <c r="S110" s="96" t="str">
        <f>IF(R110=1,COUNTIF($R$6:R110,1),"")</f>
        <v/>
      </c>
      <c r="T110" s="96">
        <f>IF(AND(P110&lt;&gt;"",OR(E110="Destinador",E110="Ambos")),1,0)</f>
        <v>0</v>
      </c>
      <c r="U110" s="96" t="str">
        <f>IF(T110=1,COUNTIF($T$6:T110,1),"")</f>
        <v/>
      </c>
      <c r="V110" s="96" t="str">
        <f>IF(T110=1,COUNTIFS('MTRs'!$I$6:$I$505,P110,'MTRs'!$AY$6:$AY$505,1,'MTRs'!$AA$6:$AA$505,0),"")</f>
        <v/>
      </c>
      <c r="W110" s="96" t="str">
        <f>IF(N(V110)&gt;0,V110+(1000-105)/10000,"")</f>
        <v/>
      </c>
    </row>
    <row r="111">
      <c r="A111" s="89" t="inlineStr">
        <is>
          <t>PA-106</t>
        </is>
      </c>
      <c r="B111" s="91" t="n"/>
      <c r="C111" s="91" t="n"/>
      <c r="D111" s="90" t="n"/>
      <c r="E111" s="91" t="n"/>
      <c r="F111" s="91" t="n"/>
      <c r="G111" s="91" t="n"/>
      <c r="H111" s="91" t="n"/>
      <c r="I111" s="91" t="n"/>
      <c r="J111" s="91" t="n"/>
      <c r="K111" s="90" t="n"/>
      <c r="L111" s="91" t="n"/>
      <c r="M111" s="91" t="n"/>
      <c r="N111" s="92" t="n"/>
      <c r="O111" s="91" t="n"/>
      <c r="P111" s="94" t="str">
        <f>IF(AND(B111="",C111=""),"",IF(C111&lt;&gt;"",C111,B111)&amp;IF(F111&lt;&gt;""," | "&amp;F111,""))</f>
        <v/>
      </c>
      <c r="Q111" s="94" t="str">
        <f>IF(P111="",IF(COUNTA(B111:O111)&gt;0,"Informe razão social ou nome fantasia",""),IF(E111="","Informe o tipo de atuação",IF(SUMPRODUCT(--($P$6:$P$205=P111))&gt;1,"Nome repetido: diferencie pelo estabelecimento",IF(AND(ISNUMBER(N111),N111&lt;TODAY()),"Validade informada vencida: conferir","OK"))))</f>
        <v/>
      </c>
      <c r="R111" s="96">
        <f>IF(AND(P111&lt;&gt;"",OR(E111="Transportador",E111="Ambos")),1,0)</f>
        <v>0</v>
      </c>
      <c r="S111" s="96" t="str">
        <f>IF(R111=1,COUNTIF($R$6:R111,1),"")</f>
        <v/>
      </c>
      <c r="T111" s="96">
        <f>IF(AND(P111&lt;&gt;"",OR(E111="Destinador",E111="Ambos")),1,0)</f>
        <v>0</v>
      </c>
      <c r="U111" s="96" t="str">
        <f>IF(T111=1,COUNTIF($T$6:T111,1),"")</f>
        <v/>
      </c>
      <c r="V111" s="96" t="str">
        <f>IF(T111=1,COUNTIFS('MTRs'!$I$6:$I$505,P111,'MTRs'!$AY$6:$AY$505,1,'MTRs'!$AA$6:$AA$505,0),"")</f>
        <v/>
      </c>
      <c r="W111" s="96" t="str">
        <f>IF(N(V111)&gt;0,V111+(1000-106)/10000,"")</f>
        <v/>
      </c>
    </row>
    <row r="112">
      <c r="A112" s="89" t="inlineStr">
        <is>
          <t>PA-107</t>
        </is>
      </c>
      <c r="B112" s="91" t="n"/>
      <c r="C112" s="91" t="n"/>
      <c r="D112" s="90" t="n"/>
      <c r="E112" s="91" t="n"/>
      <c r="F112" s="91" t="n"/>
      <c r="G112" s="91" t="n"/>
      <c r="H112" s="91" t="n"/>
      <c r="I112" s="91" t="n"/>
      <c r="J112" s="91" t="n"/>
      <c r="K112" s="90" t="n"/>
      <c r="L112" s="91" t="n"/>
      <c r="M112" s="91" t="n"/>
      <c r="N112" s="92" t="n"/>
      <c r="O112" s="91" t="n"/>
      <c r="P112" s="94" t="str">
        <f>IF(AND(B112="",C112=""),"",IF(C112&lt;&gt;"",C112,B112)&amp;IF(F112&lt;&gt;""," | "&amp;F112,""))</f>
        <v/>
      </c>
      <c r="Q112" s="94" t="str">
        <f>IF(P112="",IF(COUNTA(B112:O112)&gt;0,"Informe razão social ou nome fantasia",""),IF(E112="","Informe o tipo de atuação",IF(SUMPRODUCT(--($P$6:$P$205=P112))&gt;1,"Nome repetido: diferencie pelo estabelecimento",IF(AND(ISNUMBER(N112),N112&lt;TODAY()),"Validade informada vencida: conferir","OK"))))</f>
        <v/>
      </c>
      <c r="R112" s="96">
        <f>IF(AND(P112&lt;&gt;"",OR(E112="Transportador",E112="Ambos")),1,0)</f>
        <v>0</v>
      </c>
      <c r="S112" s="96" t="str">
        <f>IF(R112=1,COUNTIF($R$6:R112,1),"")</f>
        <v/>
      </c>
      <c r="T112" s="96">
        <f>IF(AND(P112&lt;&gt;"",OR(E112="Destinador",E112="Ambos")),1,0)</f>
        <v>0</v>
      </c>
      <c r="U112" s="96" t="str">
        <f>IF(T112=1,COUNTIF($T$6:T112,1),"")</f>
        <v/>
      </c>
      <c r="V112" s="96" t="str">
        <f>IF(T112=1,COUNTIFS('MTRs'!$I$6:$I$505,P112,'MTRs'!$AY$6:$AY$505,1,'MTRs'!$AA$6:$AA$505,0),"")</f>
        <v/>
      </c>
      <c r="W112" s="96" t="str">
        <f>IF(N(V112)&gt;0,V112+(1000-107)/10000,"")</f>
        <v/>
      </c>
    </row>
    <row r="113">
      <c r="A113" s="89" t="inlineStr">
        <is>
          <t>PA-108</t>
        </is>
      </c>
      <c r="B113" s="91" t="n"/>
      <c r="C113" s="91" t="n"/>
      <c r="D113" s="90" t="n"/>
      <c r="E113" s="91" t="n"/>
      <c r="F113" s="91" t="n"/>
      <c r="G113" s="91" t="n"/>
      <c r="H113" s="91" t="n"/>
      <c r="I113" s="91" t="n"/>
      <c r="J113" s="91" t="n"/>
      <c r="K113" s="90" t="n"/>
      <c r="L113" s="91" t="n"/>
      <c r="M113" s="91" t="n"/>
      <c r="N113" s="92" t="n"/>
      <c r="O113" s="91" t="n"/>
      <c r="P113" s="94" t="str">
        <f>IF(AND(B113="",C113=""),"",IF(C113&lt;&gt;"",C113,B113)&amp;IF(F113&lt;&gt;""," | "&amp;F113,""))</f>
        <v/>
      </c>
      <c r="Q113" s="94" t="str">
        <f>IF(P113="",IF(COUNTA(B113:O113)&gt;0,"Informe razão social ou nome fantasia",""),IF(E113="","Informe o tipo de atuação",IF(SUMPRODUCT(--($P$6:$P$205=P113))&gt;1,"Nome repetido: diferencie pelo estabelecimento",IF(AND(ISNUMBER(N113),N113&lt;TODAY()),"Validade informada vencida: conferir","OK"))))</f>
        <v/>
      </c>
      <c r="R113" s="96">
        <f>IF(AND(P113&lt;&gt;"",OR(E113="Transportador",E113="Ambos")),1,0)</f>
        <v>0</v>
      </c>
      <c r="S113" s="96" t="str">
        <f>IF(R113=1,COUNTIF($R$6:R113,1),"")</f>
        <v/>
      </c>
      <c r="T113" s="96">
        <f>IF(AND(P113&lt;&gt;"",OR(E113="Destinador",E113="Ambos")),1,0)</f>
        <v>0</v>
      </c>
      <c r="U113" s="96" t="str">
        <f>IF(T113=1,COUNTIF($T$6:T113,1),"")</f>
        <v/>
      </c>
      <c r="V113" s="96" t="str">
        <f>IF(T113=1,COUNTIFS('MTRs'!$I$6:$I$505,P113,'MTRs'!$AY$6:$AY$505,1,'MTRs'!$AA$6:$AA$505,0),"")</f>
        <v/>
      </c>
      <c r="W113" s="96" t="str">
        <f>IF(N(V113)&gt;0,V113+(1000-108)/10000,"")</f>
        <v/>
      </c>
    </row>
    <row r="114">
      <c r="A114" s="89" t="inlineStr">
        <is>
          <t>PA-109</t>
        </is>
      </c>
      <c r="B114" s="91" t="n"/>
      <c r="C114" s="91" t="n"/>
      <c r="D114" s="90" t="n"/>
      <c r="E114" s="91" t="n"/>
      <c r="F114" s="91" t="n"/>
      <c r="G114" s="91" t="n"/>
      <c r="H114" s="91" t="n"/>
      <c r="I114" s="91" t="n"/>
      <c r="J114" s="91" t="n"/>
      <c r="K114" s="90" t="n"/>
      <c r="L114" s="91" t="n"/>
      <c r="M114" s="91" t="n"/>
      <c r="N114" s="92" t="n"/>
      <c r="O114" s="91" t="n"/>
      <c r="P114" s="94" t="str">
        <f>IF(AND(B114="",C114=""),"",IF(C114&lt;&gt;"",C114,B114)&amp;IF(F114&lt;&gt;""," | "&amp;F114,""))</f>
        <v/>
      </c>
      <c r="Q114" s="94" t="str">
        <f>IF(P114="",IF(COUNTA(B114:O114)&gt;0,"Informe razão social ou nome fantasia",""),IF(E114="","Informe o tipo de atuação",IF(SUMPRODUCT(--($P$6:$P$205=P114))&gt;1,"Nome repetido: diferencie pelo estabelecimento",IF(AND(ISNUMBER(N114),N114&lt;TODAY()),"Validade informada vencida: conferir","OK"))))</f>
        <v/>
      </c>
      <c r="R114" s="96">
        <f>IF(AND(P114&lt;&gt;"",OR(E114="Transportador",E114="Ambos")),1,0)</f>
        <v>0</v>
      </c>
      <c r="S114" s="96" t="str">
        <f>IF(R114=1,COUNTIF($R$6:R114,1),"")</f>
        <v/>
      </c>
      <c r="T114" s="96">
        <f>IF(AND(P114&lt;&gt;"",OR(E114="Destinador",E114="Ambos")),1,0)</f>
        <v>0</v>
      </c>
      <c r="U114" s="96" t="str">
        <f>IF(T114=1,COUNTIF($T$6:T114,1),"")</f>
        <v/>
      </c>
      <c r="V114" s="96" t="str">
        <f>IF(T114=1,COUNTIFS('MTRs'!$I$6:$I$505,P114,'MTRs'!$AY$6:$AY$505,1,'MTRs'!$AA$6:$AA$505,0),"")</f>
        <v/>
      </c>
      <c r="W114" s="96" t="str">
        <f>IF(N(V114)&gt;0,V114+(1000-109)/10000,"")</f>
        <v/>
      </c>
    </row>
    <row r="115">
      <c r="A115" s="89" t="inlineStr">
        <is>
          <t>PA-110</t>
        </is>
      </c>
      <c r="B115" s="91" t="n"/>
      <c r="C115" s="91" t="n"/>
      <c r="D115" s="90" t="n"/>
      <c r="E115" s="91" t="n"/>
      <c r="F115" s="91" t="n"/>
      <c r="G115" s="91" t="n"/>
      <c r="H115" s="91" t="n"/>
      <c r="I115" s="91" t="n"/>
      <c r="J115" s="91" t="n"/>
      <c r="K115" s="90" t="n"/>
      <c r="L115" s="91" t="n"/>
      <c r="M115" s="91" t="n"/>
      <c r="N115" s="92" t="n"/>
      <c r="O115" s="91" t="n"/>
      <c r="P115" s="94" t="str">
        <f>IF(AND(B115="",C115=""),"",IF(C115&lt;&gt;"",C115,B115)&amp;IF(F115&lt;&gt;""," | "&amp;F115,""))</f>
        <v/>
      </c>
      <c r="Q115" s="94" t="str">
        <f>IF(P115="",IF(COUNTA(B115:O115)&gt;0,"Informe razão social ou nome fantasia",""),IF(E115="","Informe o tipo de atuação",IF(SUMPRODUCT(--($P$6:$P$205=P115))&gt;1,"Nome repetido: diferencie pelo estabelecimento",IF(AND(ISNUMBER(N115),N115&lt;TODAY()),"Validade informada vencida: conferir","OK"))))</f>
        <v/>
      </c>
      <c r="R115" s="96">
        <f>IF(AND(P115&lt;&gt;"",OR(E115="Transportador",E115="Ambos")),1,0)</f>
        <v>0</v>
      </c>
      <c r="S115" s="96" t="str">
        <f>IF(R115=1,COUNTIF($R$6:R115,1),"")</f>
        <v/>
      </c>
      <c r="T115" s="96">
        <f>IF(AND(P115&lt;&gt;"",OR(E115="Destinador",E115="Ambos")),1,0)</f>
        <v>0</v>
      </c>
      <c r="U115" s="96" t="str">
        <f>IF(T115=1,COUNTIF($T$6:T115,1),"")</f>
        <v/>
      </c>
      <c r="V115" s="96" t="str">
        <f>IF(T115=1,COUNTIFS('MTRs'!$I$6:$I$505,P115,'MTRs'!$AY$6:$AY$505,1,'MTRs'!$AA$6:$AA$505,0),"")</f>
        <v/>
      </c>
      <c r="W115" s="96" t="str">
        <f>IF(N(V115)&gt;0,V115+(1000-110)/10000,"")</f>
        <v/>
      </c>
    </row>
    <row r="116">
      <c r="A116" s="89" t="inlineStr">
        <is>
          <t>PA-111</t>
        </is>
      </c>
      <c r="B116" s="91" t="n"/>
      <c r="C116" s="91" t="n"/>
      <c r="D116" s="90" t="n"/>
      <c r="E116" s="91" t="n"/>
      <c r="F116" s="91" t="n"/>
      <c r="G116" s="91" t="n"/>
      <c r="H116" s="91" t="n"/>
      <c r="I116" s="91" t="n"/>
      <c r="J116" s="91" t="n"/>
      <c r="K116" s="90" t="n"/>
      <c r="L116" s="91" t="n"/>
      <c r="M116" s="91" t="n"/>
      <c r="N116" s="92" t="n"/>
      <c r="O116" s="91" t="n"/>
      <c r="P116" s="94" t="str">
        <f>IF(AND(B116="",C116=""),"",IF(C116&lt;&gt;"",C116,B116)&amp;IF(F116&lt;&gt;""," | "&amp;F116,""))</f>
        <v/>
      </c>
      <c r="Q116" s="94" t="str">
        <f>IF(P116="",IF(COUNTA(B116:O116)&gt;0,"Informe razão social ou nome fantasia",""),IF(E116="","Informe o tipo de atuação",IF(SUMPRODUCT(--($P$6:$P$205=P116))&gt;1,"Nome repetido: diferencie pelo estabelecimento",IF(AND(ISNUMBER(N116),N116&lt;TODAY()),"Validade informada vencida: conferir","OK"))))</f>
        <v/>
      </c>
      <c r="R116" s="96">
        <f>IF(AND(P116&lt;&gt;"",OR(E116="Transportador",E116="Ambos")),1,0)</f>
        <v>0</v>
      </c>
      <c r="S116" s="96" t="str">
        <f>IF(R116=1,COUNTIF($R$6:R116,1),"")</f>
        <v/>
      </c>
      <c r="T116" s="96">
        <f>IF(AND(P116&lt;&gt;"",OR(E116="Destinador",E116="Ambos")),1,0)</f>
        <v>0</v>
      </c>
      <c r="U116" s="96" t="str">
        <f>IF(T116=1,COUNTIF($T$6:T116,1),"")</f>
        <v/>
      </c>
      <c r="V116" s="96" t="str">
        <f>IF(T116=1,COUNTIFS('MTRs'!$I$6:$I$505,P116,'MTRs'!$AY$6:$AY$505,1,'MTRs'!$AA$6:$AA$505,0),"")</f>
        <v/>
      </c>
      <c r="W116" s="96" t="str">
        <f>IF(N(V116)&gt;0,V116+(1000-111)/10000,"")</f>
        <v/>
      </c>
    </row>
    <row r="117">
      <c r="A117" s="89" t="inlineStr">
        <is>
          <t>PA-112</t>
        </is>
      </c>
      <c r="B117" s="91" t="n"/>
      <c r="C117" s="91" t="n"/>
      <c r="D117" s="90" t="n"/>
      <c r="E117" s="91" t="n"/>
      <c r="F117" s="91" t="n"/>
      <c r="G117" s="91" t="n"/>
      <c r="H117" s="91" t="n"/>
      <c r="I117" s="91" t="n"/>
      <c r="J117" s="91" t="n"/>
      <c r="K117" s="90" t="n"/>
      <c r="L117" s="91" t="n"/>
      <c r="M117" s="91" t="n"/>
      <c r="N117" s="92" t="n"/>
      <c r="O117" s="91" t="n"/>
      <c r="P117" s="94" t="str">
        <f>IF(AND(B117="",C117=""),"",IF(C117&lt;&gt;"",C117,B117)&amp;IF(F117&lt;&gt;""," | "&amp;F117,""))</f>
        <v/>
      </c>
      <c r="Q117" s="94" t="str">
        <f>IF(P117="",IF(COUNTA(B117:O117)&gt;0,"Informe razão social ou nome fantasia",""),IF(E117="","Informe o tipo de atuação",IF(SUMPRODUCT(--($P$6:$P$205=P117))&gt;1,"Nome repetido: diferencie pelo estabelecimento",IF(AND(ISNUMBER(N117),N117&lt;TODAY()),"Validade informada vencida: conferir","OK"))))</f>
        <v/>
      </c>
      <c r="R117" s="96">
        <f>IF(AND(P117&lt;&gt;"",OR(E117="Transportador",E117="Ambos")),1,0)</f>
        <v>0</v>
      </c>
      <c r="S117" s="96" t="str">
        <f>IF(R117=1,COUNTIF($R$6:R117,1),"")</f>
        <v/>
      </c>
      <c r="T117" s="96">
        <f>IF(AND(P117&lt;&gt;"",OR(E117="Destinador",E117="Ambos")),1,0)</f>
        <v>0</v>
      </c>
      <c r="U117" s="96" t="str">
        <f>IF(T117=1,COUNTIF($T$6:T117,1),"")</f>
        <v/>
      </c>
      <c r="V117" s="96" t="str">
        <f>IF(T117=1,COUNTIFS('MTRs'!$I$6:$I$505,P117,'MTRs'!$AY$6:$AY$505,1,'MTRs'!$AA$6:$AA$505,0),"")</f>
        <v/>
      </c>
      <c r="W117" s="96" t="str">
        <f>IF(N(V117)&gt;0,V117+(1000-112)/10000,"")</f>
        <v/>
      </c>
    </row>
    <row r="118">
      <c r="A118" s="89" t="inlineStr">
        <is>
          <t>PA-113</t>
        </is>
      </c>
      <c r="B118" s="91" t="n"/>
      <c r="C118" s="91" t="n"/>
      <c r="D118" s="90" t="n"/>
      <c r="E118" s="91" t="n"/>
      <c r="F118" s="91" t="n"/>
      <c r="G118" s="91" t="n"/>
      <c r="H118" s="91" t="n"/>
      <c r="I118" s="91" t="n"/>
      <c r="J118" s="91" t="n"/>
      <c r="K118" s="90" t="n"/>
      <c r="L118" s="91" t="n"/>
      <c r="M118" s="91" t="n"/>
      <c r="N118" s="92" t="n"/>
      <c r="O118" s="91" t="n"/>
      <c r="P118" s="94" t="str">
        <f>IF(AND(B118="",C118=""),"",IF(C118&lt;&gt;"",C118,B118)&amp;IF(F118&lt;&gt;""," | "&amp;F118,""))</f>
        <v/>
      </c>
      <c r="Q118" s="94" t="str">
        <f>IF(P118="",IF(COUNTA(B118:O118)&gt;0,"Informe razão social ou nome fantasia",""),IF(E118="","Informe o tipo de atuação",IF(SUMPRODUCT(--($P$6:$P$205=P118))&gt;1,"Nome repetido: diferencie pelo estabelecimento",IF(AND(ISNUMBER(N118),N118&lt;TODAY()),"Validade informada vencida: conferir","OK"))))</f>
        <v/>
      </c>
      <c r="R118" s="96">
        <f>IF(AND(P118&lt;&gt;"",OR(E118="Transportador",E118="Ambos")),1,0)</f>
        <v>0</v>
      </c>
      <c r="S118" s="96" t="str">
        <f>IF(R118=1,COUNTIF($R$6:R118,1),"")</f>
        <v/>
      </c>
      <c r="T118" s="96">
        <f>IF(AND(P118&lt;&gt;"",OR(E118="Destinador",E118="Ambos")),1,0)</f>
        <v>0</v>
      </c>
      <c r="U118" s="96" t="str">
        <f>IF(T118=1,COUNTIF($T$6:T118,1),"")</f>
        <v/>
      </c>
      <c r="V118" s="96" t="str">
        <f>IF(T118=1,COUNTIFS('MTRs'!$I$6:$I$505,P118,'MTRs'!$AY$6:$AY$505,1,'MTRs'!$AA$6:$AA$505,0),"")</f>
        <v/>
      </c>
      <c r="W118" s="96" t="str">
        <f>IF(N(V118)&gt;0,V118+(1000-113)/10000,"")</f>
        <v/>
      </c>
    </row>
    <row r="119">
      <c r="A119" s="89" t="inlineStr">
        <is>
          <t>PA-114</t>
        </is>
      </c>
      <c r="B119" s="91" t="n"/>
      <c r="C119" s="91" t="n"/>
      <c r="D119" s="90" t="n"/>
      <c r="E119" s="91" t="n"/>
      <c r="F119" s="91" t="n"/>
      <c r="G119" s="91" t="n"/>
      <c r="H119" s="91" t="n"/>
      <c r="I119" s="91" t="n"/>
      <c r="J119" s="91" t="n"/>
      <c r="K119" s="90" t="n"/>
      <c r="L119" s="91" t="n"/>
      <c r="M119" s="91" t="n"/>
      <c r="N119" s="92" t="n"/>
      <c r="O119" s="91" t="n"/>
      <c r="P119" s="94" t="str">
        <f>IF(AND(B119="",C119=""),"",IF(C119&lt;&gt;"",C119,B119)&amp;IF(F119&lt;&gt;""," | "&amp;F119,""))</f>
        <v/>
      </c>
      <c r="Q119" s="94" t="str">
        <f>IF(P119="",IF(COUNTA(B119:O119)&gt;0,"Informe razão social ou nome fantasia",""),IF(E119="","Informe o tipo de atuação",IF(SUMPRODUCT(--($P$6:$P$205=P119))&gt;1,"Nome repetido: diferencie pelo estabelecimento",IF(AND(ISNUMBER(N119),N119&lt;TODAY()),"Validade informada vencida: conferir","OK"))))</f>
        <v/>
      </c>
      <c r="R119" s="96">
        <f>IF(AND(P119&lt;&gt;"",OR(E119="Transportador",E119="Ambos")),1,0)</f>
        <v>0</v>
      </c>
      <c r="S119" s="96" t="str">
        <f>IF(R119=1,COUNTIF($R$6:R119,1),"")</f>
        <v/>
      </c>
      <c r="T119" s="96">
        <f>IF(AND(P119&lt;&gt;"",OR(E119="Destinador",E119="Ambos")),1,0)</f>
        <v>0</v>
      </c>
      <c r="U119" s="96" t="str">
        <f>IF(T119=1,COUNTIF($T$6:T119,1),"")</f>
        <v/>
      </c>
      <c r="V119" s="96" t="str">
        <f>IF(T119=1,COUNTIFS('MTRs'!$I$6:$I$505,P119,'MTRs'!$AY$6:$AY$505,1,'MTRs'!$AA$6:$AA$505,0),"")</f>
        <v/>
      </c>
      <c r="W119" s="96" t="str">
        <f>IF(N(V119)&gt;0,V119+(1000-114)/10000,"")</f>
        <v/>
      </c>
    </row>
    <row r="120">
      <c r="A120" s="89" t="inlineStr">
        <is>
          <t>PA-115</t>
        </is>
      </c>
      <c r="B120" s="91" t="n"/>
      <c r="C120" s="91" t="n"/>
      <c r="D120" s="90" t="n"/>
      <c r="E120" s="91" t="n"/>
      <c r="F120" s="91" t="n"/>
      <c r="G120" s="91" t="n"/>
      <c r="H120" s="91" t="n"/>
      <c r="I120" s="91" t="n"/>
      <c r="J120" s="91" t="n"/>
      <c r="K120" s="90" t="n"/>
      <c r="L120" s="91" t="n"/>
      <c r="M120" s="91" t="n"/>
      <c r="N120" s="92" t="n"/>
      <c r="O120" s="91" t="n"/>
      <c r="P120" s="94" t="str">
        <f>IF(AND(B120="",C120=""),"",IF(C120&lt;&gt;"",C120,B120)&amp;IF(F120&lt;&gt;""," | "&amp;F120,""))</f>
        <v/>
      </c>
      <c r="Q120" s="94" t="str">
        <f>IF(P120="",IF(COUNTA(B120:O120)&gt;0,"Informe razão social ou nome fantasia",""),IF(E120="","Informe o tipo de atuação",IF(SUMPRODUCT(--($P$6:$P$205=P120))&gt;1,"Nome repetido: diferencie pelo estabelecimento",IF(AND(ISNUMBER(N120),N120&lt;TODAY()),"Validade informada vencida: conferir","OK"))))</f>
        <v/>
      </c>
      <c r="R120" s="96">
        <f>IF(AND(P120&lt;&gt;"",OR(E120="Transportador",E120="Ambos")),1,0)</f>
        <v>0</v>
      </c>
      <c r="S120" s="96" t="str">
        <f>IF(R120=1,COUNTIF($R$6:R120,1),"")</f>
        <v/>
      </c>
      <c r="T120" s="96">
        <f>IF(AND(P120&lt;&gt;"",OR(E120="Destinador",E120="Ambos")),1,0)</f>
        <v>0</v>
      </c>
      <c r="U120" s="96" t="str">
        <f>IF(T120=1,COUNTIF($T$6:T120,1),"")</f>
        <v/>
      </c>
      <c r="V120" s="96" t="str">
        <f>IF(T120=1,COUNTIFS('MTRs'!$I$6:$I$505,P120,'MTRs'!$AY$6:$AY$505,1,'MTRs'!$AA$6:$AA$505,0),"")</f>
        <v/>
      </c>
      <c r="W120" s="96" t="str">
        <f>IF(N(V120)&gt;0,V120+(1000-115)/10000,"")</f>
        <v/>
      </c>
    </row>
    <row r="121">
      <c r="A121" s="89" t="inlineStr">
        <is>
          <t>PA-116</t>
        </is>
      </c>
      <c r="B121" s="91" t="n"/>
      <c r="C121" s="91" t="n"/>
      <c r="D121" s="90" t="n"/>
      <c r="E121" s="91" t="n"/>
      <c r="F121" s="91" t="n"/>
      <c r="G121" s="91" t="n"/>
      <c r="H121" s="91" t="n"/>
      <c r="I121" s="91" t="n"/>
      <c r="J121" s="91" t="n"/>
      <c r="K121" s="90" t="n"/>
      <c r="L121" s="91" t="n"/>
      <c r="M121" s="91" t="n"/>
      <c r="N121" s="92" t="n"/>
      <c r="O121" s="91" t="n"/>
      <c r="P121" s="94" t="str">
        <f>IF(AND(B121="",C121=""),"",IF(C121&lt;&gt;"",C121,B121)&amp;IF(F121&lt;&gt;""," | "&amp;F121,""))</f>
        <v/>
      </c>
      <c r="Q121" s="94" t="str">
        <f>IF(P121="",IF(COUNTA(B121:O121)&gt;0,"Informe razão social ou nome fantasia",""),IF(E121="","Informe o tipo de atuação",IF(SUMPRODUCT(--($P$6:$P$205=P121))&gt;1,"Nome repetido: diferencie pelo estabelecimento",IF(AND(ISNUMBER(N121),N121&lt;TODAY()),"Validade informada vencida: conferir","OK"))))</f>
        <v/>
      </c>
      <c r="R121" s="96">
        <f>IF(AND(P121&lt;&gt;"",OR(E121="Transportador",E121="Ambos")),1,0)</f>
        <v>0</v>
      </c>
      <c r="S121" s="96" t="str">
        <f>IF(R121=1,COUNTIF($R$6:R121,1),"")</f>
        <v/>
      </c>
      <c r="T121" s="96">
        <f>IF(AND(P121&lt;&gt;"",OR(E121="Destinador",E121="Ambos")),1,0)</f>
        <v>0</v>
      </c>
      <c r="U121" s="96" t="str">
        <f>IF(T121=1,COUNTIF($T$6:T121,1),"")</f>
        <v/>
      </c>
      <c r="V121" s="96" t="str">
        <f>IF(T121=1,COUNTIFS('MTRs'!$I$6:$I$505,P121,'MTRs'!$AY$6:$AY$505,1,'MTRs'!$AA$6:$AA$505,0),"")</f>
        <v/>
      </c>
      <c r="W121" s="96" t="str">
        <f>IF(N(V121)&gt;0,V121+(1000-116)/10000,"")</f>
        <v/>
      </c>
    </row>
    <row r="122">
      <c r="A122" s="89" t="inlineStr">
        <is>
          <t>PA-117</t>
        </is>
      </c>
      <c r="B122" s="91" t="n"/>
      <c r="C122" s="91" t="n"/>
      <c r="D122" s="90" t="n"/>
      <c r="E122" s="91" t="n"/>
      <c r="F122" s="91" t="n"/>
      <c r="G122" s="91" t="n"/>
      <c r="H122" s="91" t="n"/>
      <c r="I122" s="91" t="n"/>
      <c r="J122" s="91" t="n"/>
      <c r="K122" s="90" t="n"/>
      <c r="L122" s="91" t="n"/>
      <c r="M122" s="91" t="n"/>
      <c r="N122" s="92" t="n"/>
      <c r="O122" s="91" t="n"/>
      <c r="P122" s="94" t="str">
        <f>IF(AND(B122="",C122=""),"",IF(C122&lt;&gt;"",C122,B122)&amp;IF(F122&lt;&gt;""," | "&amp;F122,""))</f>
        <v/>
      </c>
      <c r="Q122" s="94" t="str">
        <f>IF(P122="",IF(COUNTA(B122:O122)&gt;0,"Informe razão social ou nome fantasia",""),IF(E122="","Informe o tipo de atuação",IF(SUMPRODUCT(--($P$6:$P$205=P122))&gt;1,"Nome repetido: diferencie pelo estabelecimento",IF(AND(ISNUMBER(N122),N122&lt;TODAY()),"Validade informada vencida: conferir","OK"))))</f>
        <v/>
      </c>
      <c r="R122" s="96">
        <f>IF(AND(P122&lt;&gt;"",OR(E122="Transportador",E122="Ambos")),1,0)</f>
        <v>0</v>
      </c>
      <c r="S122" s="96" t="str">
        <f>IF(R122=1,COUNTIF($R$6:R122,1),"")</f>
        <v/>
      </c>
      <c r="T122" s="96">
        <f>IF(AND(P122&lt;&gt;"",OR(E122="Destinador",E122="Ambos")),1,0)</f>
        <v>0</v>
      </c>
      <c r="U122" s="96" t="str">
        <f>IF(T122=1,COUNTIF($T$6:T122,1),"")</f>
        <v/>
      </c>
      <c r="V122" s="96" t="str">
        <f>IF(T122=1,COUNTIFS('MTRs'!$I$6:$I$505,P122,'MTRs'!$AY$6:$AY$505,1,'MTRs'!$AA$6:$AA$505,0),"")</f>
        <v/>
      </c>
      <c r="W122" s="96" t="str">
        <f>IF(N(V122)&gt;0,V122+(1000-117)/10000,"")</f>
        <v/>
      </c>
    </row>
    <row r="123">
      <c r="A123" s="89" t="inlineStr">
        <is>
          <t>PA-118</t>
        </is>
      </c>
      <c r="B123" s="91" t="n"/>
      <c r="C123" s="91" t="n"/>
      <c r="D123" s="90" t="n"/>
      <c r="E123" s="91" t="n"/>
      <c r="F123" s="91" t="n"/>
      <c r="G123" s="91" t="n"/>
      <c r="H123" s="91" t="n"/>
      <c r="I123" s="91" t="n"/>
      <c r="J123" s="91" t="n"/>
      <c r="K123" s="90" t="n"/>
      <c r="L123" s="91" t="n"/>
      <c r="M123" s="91" t="n"/>
      <c r="N123" s="92" t="n"/>
      <c r="O123" s="91" t="n"/>
      <c r="P123" s="94" t="str">
        <f>IF(AND(B123="",C123=""),"",IF(C123&lt;&gt;"",C123,B123)&amp;IF(F123&lt;&gt;""," | "&amp;F123,""))</f>
        <v/>
      </c>
      <c r="Q123" s="94" t="str">
        <f>IF(P123="",IF(COUNTA(B123:O123)&gt;0,"Informe razão social ou nome fantasia",""),IF(E123="","Informe o tipo de atuação",IF(SUMPRODUCT(--($P$6:$P$205=P123))&gt;1,"Nome repetido: diferencie pelo estabelecimento",IF(AND(ISNUMBER(N123),N123&lt;TODAY()),"Validade informada vencida: conferir","OK"))))</f>
        <v/>
      </c>
      <c r="R123" s="96">
        <f>IF(AND(P123&lt;&gt;"",OR(E123="Transportador",E123="Ambos")),1,0)</f>
        <v>0</v>
      </c>
      <c r="S123" s="96" t="str">
        <f>IF(R123=1,COUNTIF($R$6:R123,1),"")</f>
        <v/>
      </c>
      <c r="T123" s="96">
        <f>IF(AND(P123&lt;&gt;"",OR(E123="Destinador",E123="Ambos")),1,0)</f>
        <v>0</v>
      </c>
      <c r="U123" s="96" t="str">
        <f>IF(T123=1,COUNTIF($T$6:T123,1),"")</f>
        <v/>
      </c>
      <c r="V123" s="96" t="str">
        <f>IF(T123=1,COUNTIFS('MTRs'!$I$6:$I$505,P123,'MTRs'!$AY$6:$AY$505,1,'MTRs'!$AA$6:$AA$505,0),"")</f>
        <v/>
      </c>
      <c r="W123" s="96" t="str">
        <f>IF(N(V123)&gt;0,V123+(1000-118)/10000,"")</f>
        <v/>
      </c>
    </row>
    <row r="124">
      <c r="A124" s="89" t="inlineStr">
        <is>
          <t>PA-119</t>
        </is>
      </c>
      <c r="B124" s="91" t="n"/>
      <c r="C124" s="91" t="n"/>
      <c r="D124" s="90" t="n"/>
      <c r="E124" s="91" t="n"/>
      <c r="F124" s="91" t="n"/>
      <c r="G124" s="91" t="n"/>
      <c r="H124" s="91" t="n"/>
      <c r="I124" s="91" t="n"/>
      <c r="J124" s="91" t="n"/>
      <c r="K124" s="90" t="n"/>
      <c r="L124" s="91" t="n"/>
      <c r="M124" s="91" t="n"/>
      <c r="N124" s="92" t="n"/>
      <c r="O124" s="91" t="n"/>
      <c r="P124" s="94" t="str">
        <f>IF(AND(B124="",C124=""),"",IF(C124&lt;&gt;"",C124,B124)&amp;IF(F124&lt;&gt;""," | "&amp;F124,""))</f>
        <v/>
      </c>
      <c r="Q124" s="94" t="str">
        <f>IF(P124="",IF(COUNTA(B124:O124)&gt;0,"Informe razão social ou nome fantasia",""),IF(E124="","Informe o tipo de atuação",IF(SUMPRODUCT(--($P$6:$P$205=P124))&gt;1,"Nome repetido: diferencie pelo estabelecimento",IF(AND(ISNUMBER(N124),N124&lt;TODAY()),"Validade informada vencida: conferir","OK"))))</f>
        <v/>
      </c>
      <c r="R124" s="96">
        <f>IF(AND(P124&lt;&gt;"",OR(E124="Transportador",E124="Ambos")),1,0)</f>
        <v>0</v>
      </c>
      <c r="S124" s="96" t="str">
        <f>IF(R124=1,COUNTIF($R$6:R124,1),"")</f>
        <v/>
      </c>
      <c r="T124" s="96">
        <f>IF(AND(P124&lt;&gt;"",OR(E124="Destinador",E124="Ambos")),1,0)</f>
        <v>0</v>
      </c>
      <c r="U124" s="96" t="str">
        <f>IF(T124=1,COUNTIF($T$6:T124,1),"")</f>
        <v/>
      </c>
      <c r="V124" s="96" t="str">
        <f>IF(T124=1,COUNTIFS('MTRs'!$I$6:$I$505,P124,'MTRs'!$AY$6:$AY$505,1,'MTRs'!$AA$6:$AA$505,0),"")</f>
        <v/>
      </c>
      <c r="W124" s="96" t="str">
        <f>IF(N(V124)&gt;0,V124+(1000-119)/10000,"")</f>
        <v/>
      </c>
    </row>
    <row r="125">
      <c r="A125" s="89" t="inlineStr">
        <is>
          <t>PA-120</t>
        </is>
      </c>
      <c r="B125" s="91" t="n"/>
      <c r="C125" s="91" t="n"/>
      <c r="D125" s="90" t="n"/>
      <c r="E125" s="91" t="n"/>
      <c r="F125" s="91" t="n"/>
      <c r="G125" s="91" t="n"/>
      <c r="H125" s="91" t="n"/>
      <c r="I125" s="91" t="n"/>
      <c r="J125" s="91" t="n"/>
      <c r="K125" s="90" t="n"/>
      <c r="L125" s="91" t="n"/>
      <c r="M125" s="91" t="n"/>
      <c r="N125" s="92" t="n"/>
      <c r="O125" s="91" t="n"/>
      <c r="P125" s="94" t="str">
        <f>IF(AND(B125="",C125=""),"",IF(C125&lt;&gt;"",C125,B125)&amp;IF(F125&lt;&gt;""," | "&amp;F125,""))</f>
        <v/>
      </c>
      <c r="Q125" s="94" t="str">
        <f>IF(P125="",IF(COUNTA(B125:O125)&gt;0,"Informe razão social ou nome fantasia",""),IF(E125="","Informe o tipo de atuação",IF(SUMPRODUCT(--($P$6:$P$205=P125))&gt;1,"Nome repetido: diferencie pelo estabelecimento",IF(AND(ISNUMBER(N125),N125&lt;TODAY()),"Validade informada vencida: conferir","OK"))))</f>
        <v/>
      </c>
      <c r="R125" s="96">
        <f>IF(AND(P125&lt;&gt;"",OR(E125="Transportador",E125="Ambos")),1,0)</f>
        <v>0</v>
      </c>
      <c r="S125" s="96" t="str">
        <f>IF(R125=1,COUNTIF($R$6:R125,1),"")</f>
        <v/>
      </c>
      <c r="T125" s="96">
        <f>IF(AND(P125&lt;&gt;"",OR(E125="Destinador",E125="Ambos")),1,0)</f>
        <v>0</v>
      </c>
      <c r="U125" s="96" t="str">
        <f>IF(T125=1,COUNTIF($T$6:T125,1),"")</f>
        <v/>
      </c>
      <c r="V125" s="96" t="str">
        <f>IF(T125=1,COUNTIFS('MTRs'!$I$6:$I$505,P125,'MTRs'!$AY$6:$AY$505,1,'MTRs'!$AA$6:$AA$505,0),"")</f>
        <v/>
      </c>
      <c r="W125" s="96" t="str">
        <f>IF(N(V125)&gt;0,V125+(1000-120)/10000,"")</f>
        <v/>
      </c>
    </row>
    <row r="126">
      <c r="A126" s="89" t="inlineStr">
        <is>
          <t>PA-121</t>
        </is>
      </c>
      <c r="B126" s="91" t="n"/>
      <c r="C126" s="91" t="n"/>
      <c r="D126" s="90" t="n"/>
      <c r="E126" s="91" t="n"/>
      <c r="F126" s="91" t="n"/>
      <c r="G126" s="91" t="n"/>
      <c r="H126" s="91" t="n"/>
      <c r="I126" s="91" t="n"/>
      <c r="J126" s="91" t="n"/>
      <c r="K126" s="90" t="n"/>
      <c r="L126" s="91" t="n"/>
      <c r="M126" s="91" t="n"/>
      <c r="N126" s="92" t="n"/>
      <c r="O126" s="91" t="n"/>
      <c r="P126" s="94" t="str">
        <f>IF(AND(B126="",C126=""),"",IF(C126&lt;&gt;"",C126,B126)&amp;IF(F126&lt;&gt;""," | "&amp;F126,""))</f>
        <v/>
      </c>
      <c r="Q126" s="94" t="str">
        <f>IF(P126="",IF(COUNTA(B126:O126)&gt;0,"Informe razão social ou nome fantasia",""),IF(E126="","Informe o tipo de atuação",IF(SUMPRODUCT(--($P$6:$P$205=P126))&gt;1,"Nome repetido: diferencie pelo estabelecimento",IF(AND(ISNUMBER(N126),N126&lt;TODAY()),"Validade informada vencida: conferir","OK"))))</f>
        <v/>
      </c>
      <c r="R126" s="96">
        <f>IF(AND(P126&lt;&gt;"",OR(E126="Transportador",E126="Ambos")),1,0)</f>
        <v>0</v>
      </c>
      <c r="S126" s="96" t="str">
        <f>IF(R126=1,COUNTIF($R$6:R126,1),"")</f>
        <v/>
      </c>
      <c r="T126" s="96">
        <f>IF(AND(P126&lt;&gt;"",OR(E126="Destinador",E126="Ambos")),1,0)</f>
        <v>0</v>
      </c>
      <c r="U126" s="96" t="str">
        <f>IF(T126=1,COUNTIF($T$6:T126,1),"")</f>
        <v/>
      </c>
      <c r="V126" s="96" t="str">
        <f>IF(T126=1,COUNTIFS('MTRs'!$I$6:$I$505,P126,'MTRs'!$AY$6:$AY$505,1,'MTRs'!$AA$6:$AA$505,0),"")</f>
        <v/>
      </c>
      <c r="W126" s="96" t="str">
        <f>IF(N(V126)&gt;0,V126+(1000-121)/10000,"")</f>
        <v/>
      </c>
    </row>
    <row r="127">
      <c r="A127" s="89" t="inlineStr">
        <is>
          <t>PA-122</t>
        </is>
      </c>
      <c r="B127" s="91" t="n"/>
      <c r="C127" s="91" t="n"/>
      <c r="D127" s="90" t="n"/>
      <c r="E127" s="91" t="n"/>
      <c r="F127" s="91" t="n"/>
      <c r="G127" s="91" t="n"/>
      <c r="H127" s="91" t="n"/>
      <c r="I127" s="91" t="n"/>
      <c r="J127" s="91" t="n"/>
      <c r="K127" s="90" t="n"/>
      <c r="L127" s="91" t="n"/>
      <c r="M127" s="91" t="n"/>
      <c r="N127" s="92" t="n"/>
      <c r="O127" s="91" t="n"/>
      <c r="P127" s="94" t="str">
        <f>IF(AND(B127="",C127=""),"",IF(C127&lt;&gt;"",C127,B127)&amp;IF(F127&lt;&gt;""," | "&amp;F127,""))</f>
        <v/>
      </c>
      <c r="Q127" s="94" t="str">
        <f>IF(P127="",IF(COUNTA(B127:O127)&gt;0,"Informe razão social ou nome fantasia",""),IF(E127="","Informe o tipo de atuação",IF(SUMPRODUCT(--($P$6:$P$205=P127))&gt;1,"Nome repetido: diferencie pelo estabelecimento",IF(AND(ISNUMBER(N127),N127&lt;TODAY()),"Validade informada vencida: conferir","OK"))))</f>
        <v/>
      </c>
      <c r="R127" s="96">
        <f>IF(AND(P127&lt;&gt;"",OR(E127="Transportador",E127="Ambos")),1,0)</f>
        <v>0</v>
      </c>
      <c r="S127" s="96" t="str">
        <f>IF(R127=1,COUNTIF($R$6:R127,1),"")</f>
        <v/>
      </c>
      <c r="T127" s="96">
        <f>IF(AND(P127&lt;&gt;"",OR(E127="Destinador",E127="Ambos")),1,0)</f>
        <v>0</v>
      </c>
      <c r="U127" s="96" t="str">
        <f>IF(T127=1,COUNTIF($T$6:T127,1),"")</f>
        <v/>
      </c>
      <c r="V127" s="96" t="str">
        <f>IF(T127=1,COUNTIFS('MTRs'!$I$6:$I$505,P127,'MTRs'!$AY$6:$AY$505,1,'MTRs'!$AA$6:$AA$505,0),"")</f>
        <v/>
      </c>
      <c r="W127" s="96" t="str">
        <f>IF(N(V127)&gt;0,V127+(1000-122)/10000,"")</f>
        <v/>
      </c>
    </row>
    <row r="128">
      <c r="A128" s="89" t="inlineStr">
        <is>
          <t>PA-123</t>
        </is>
      </c>
      <c r="B128" s="91" t="n"/>
      <c r="C128" s="91" t="n"/>
      <c r="D128" s="90" t="n"/>
      <c r="E128" s="91" t="n"/>
      <c r="F128" s="91" t="n"/>
      <c r="G128" s="91" t="n"/>
      <c r="H128" s="91" t="n"/>
      <c r="I128" s="91" t="n"/>
      <c r="J128" s="91" t="n"/>
      <c r="K128" s="90" t="n"/>
      <c r="L128" s="91" t="n"/>
      <c r="M128" s="91" t="n"/>
      <c r="N128" s="92" t="n"/>
      <c r="O128" s="91" t="n"/>
      <c r="P128" s="94" t="str">
        <f>IF(AND(B128="",C128=""),"",IF(C128&lt;&gt;"",C128,B128)&amp;IF(F128&lt;&gt;""," | "&amp;F128,""))</f>
        <v/>
      </c>
      <c r="Q128" s="94" t="str">
        <f>IF(P128="",IF(COUNTA(B128:O128)&gt;0,"Informe razão social ou nome fantasia",""),IF(E128="","Informe o tipo de atuação",IF(SUMPRODUCT(--($P$6:$P$205=P128))&gt;1,"Nome repetido: diferencie pelo estabelecimento",IF(AND(ISNUMBER(N128),N128&lt;TODAY()),"Validade informada vencida: conferir","OK"))))</f>
        <v/>
      </c>
      <c r="R128" s="96">
        <f>IF(AND(P128&lt;&gt;"",OR(E128="Transportador",E128="Ambos")),1,0)</f>
        <v>0</v>
      </c>
      <c r="S128" s="96" t="str">
        <f>IF(R128=1,COUNTIF($R$6:R128,1),"")</f>
        <v/>
      </c>
      <c r="T128" s="96">
        <f>IF(AND(P128&lt;&gt;"",OR(E128="Destinador",E128="Ambos")),1,0)</f>
        <v>0</v>
      </c>
      <c r="U128" s="96" t="str">
        <f>IF(T128=1,COUNTIF($T$6:T128,1),"")</f>
        <v/>
      </c>
      <c r="V128" s="96" t="str">
        <f>IF(T128=1,COUNTIFS('MTRs'!$I$6:$I$505,P128,'MTRs'!$AY$6:$AY$505,1,'MTRs'!$AA$6:$AA$505,0),"")</f>
        <v/>
      </c>
      <c r="W128" s="96" t="str">
        <f>IF(N(V128)&gt;0,V128+(1000-123)/10000,"")</f>
        <v/>
      </c>
    </row>
    <row r="129">
      <c r="A129" s="89" t="inlineStr">
        <is>
          <t>PA-124</t>
        </is>
      </c>
      <c r="B129" s="91" t="n"/>
      <c r="C129" s="91" t="n"/>
      <c r="D129" s="90" t="n"/>
      <c r="E129" s="91" t="n"/>
      <c r="F129" s="91" t="n"/>
      <c r="G129" s="91" t="n"/>
      <c r="H129" s="91" t="n"/>
      <c r="I129" s="91" t="n"/>
      <c r="J129" s="91" t="n"/>
      <c r="K129" s="90" t="n"/>
      <c r="L129" s="91" t="n"/>
      <c r="M129" s="91" t="n"/>
      <c r="N129" s="92" t="n"/>
      <c r="O129" s="91" t="n"/>
      <c r="P129" s="94" t="str">
        <f>IF(AND(B129="",C129=""),"",IF(C129&lt;&gt;"",C129,B129)&amp;IF(F129&lt;&gt;""," | "&amp;F129,""))</f>
        <v/>
      </c>
      <c r="Q129" s="94" t="str">
        <f>IF(P129="",IF(COUNTA(B129:O129)&gt;0,"Informe razão social ou nome fantasia",""),IF(E129="","Informe o tipo de atuação",IF(SUMPRODUCT(--($P$6:$P$205=P129))&gt;1,"Nome repetido: diferencie pelo estabelecimento",IF(AND(ISNUMBER(N129),N129&lt;TODAY()),"Validade informada vencida: conferir","OK"))))</f>
        <v/>
      </c>
      <c r="R129" s="96">
        <f>IF(AND(P129&lt;&gt;"",OR(E129="Transportador",E129="Ambos")),1,0)</f>
        <v>0</v>
      </c>
      <c r="S129" s="96" t="str">
        <f>IF(R129=1,COUNTIF($R$6:R129,1),"")</f>
        <v/>
      </c>
      <c r="T129" s="96">
        <f>IF(AND(P129&lt;&gt;"",OR(E129="Destinador",E129="Ambos")),1,0)</f>
        <v>0</v>
      </c>
      <c r="U129" s="96" t="str">
        <f>IF(T129=1,COUNTIF($T$6:T129,1),"")</f>
        <v/>
      </c>
      <c r="V129" s="96" t="str">
        <f>IF(T129=1,COUNTIFS('MTRs'!$I$6:$I$505,P129,'MTRs'!$AY$6:$AY$505,1,'MTRs'!$AA$6:$AA$505,0),"")</f>
        <v/>
      </c>
      <c r="W129" s="96" t="str">
        <f>IF(N(V129)&gt;0,V129+(1000-124)/10000,"")</f>
        <v/>
      </c>
    </row>
    <row r="130">
      <c r="A130" s="89" t="inlineStr">
        <is>
          <t>PA-125</t>
        </is>
      </c>
      <c r="B130" s="91" t="n"/>
      <c r="C130" s="91" t="n"/>
      <c r="D130" s="90" t="n"/>
      <c r="E130" s="91" t="n"/>
      <c r="F130" s="91" t="n"/>
      <c r="G130" s="91" t="n"/>
      <c r="H130" s="91" t="n"/>
      <c r="I130" s="91" t="n"/>
      <c r="J130" s="91" t="n"/>
      <c r="K130" s="90" t="n"/>
      <c r="L130" s="91" t="n"/>
      <c r="M130" s="91" t="n"/>
      <c r="N130" s="92" t="n"/>
      <c r="O130" s="91" t="n"/>
      <c r="P130" s="94" t="str">
        <f>IF(AND(B130="",C130=""),"",IF(C130&lt;&gt;"",C130,B130)&amp;IF(F130&lt;&gt;""," | "&amp;F130,""))</f>
        <v/>
      </c>
      <c r="Q130" s="94" t="str">
        <f>IF(P130="",IF(COUNTA(B130:O130)&gt;0,"Informe razão social ou nome fantasia",""),IF(E130="","Informe o tipo de atuação",IF(SUMPRODUCT(--($P$6:$P$205=P130))&gt;1,"Nome repetido: diferencie pelo estabelecimento",IF(AND(ISNUMBER(N130),N130&lt;TODAY()),"Validade informada vencida: conferir","OK"))))</f>
        <v/>
      </c>
      <c r="R130" s="96">
        <f>IF(AND(P130&lt;&gt;"",OR(E130="Transportador",E130="Ambos")),1,0)</f>
        <v>0</v>
      </c>
      <c r="S130" s="96" t="str">
        <f>IF(R130=1,COUNTIF($R$6:R130,1),"")</f>
        <v/>
      </c>
      <c r="T130" s="96">
        <f>IF(AND(P130&lt;&gt;"",OR(E130="Destinador",E130="Ambos")),1,0)</f>
        <v>0</v>
      </c>
      <c r="U130" s="96" t="str">
        <f>IF(T130=1,COUNTIF($T$6:T130,1),"")</f>
        <v/>
      </c>
      <c r="V130" s="96" t="str">
        <f>IF(T130=1,COUNTIFS('MTRs'!$I$6:$I$505,P130,'MTRs'!$AY$6:$AY$505,1,'MTRs'!$AA$6:$AA$505,0),"")</f>
        <v/>
      </c>
      <c r="W130" s="96" t="str">
        <f>IF(N(V130)&gt;0,V130+(1000-125)/10000,"")</f>
        <v/>
      </c>
    </row>
    <row r="131">
      <c r="A131" s="89" t="inlineStr">
        <is>
          <t>PA-126</t>
        </is>
      </c>
      <c r="B131" s="91" t="n"/>
      <c r="C131" s="91" t="n"/>
      <c r="D131" s="90" t="n"/>
      <c r="E131" s="91" t="n"/>
      <c r="F131" s="91" t="n"/>
      <c r="G131" s="91" t="n"/>
      <c r="H131" s="91" t="n"/>
      <c r="I131" s="91" t="n"/>
      <c r="J131" s="91" t="n"/>
      <c r="K131" s="90" t="n"/>
      <c r="L131" s="91" t="n"/>
      <c r="M131" s="91" t="n"/>
      <c r="N131" s="92" t="n"/>
      <c r="O131" s="91" t="n"/>
      <c r="P131" s="94" t="str">
        <f>IF(AND(B131="",C131=""),"",IF(C131&lt;&gt;"",C131,B131)&amp;IF(F131&lt;&gt;""," | "&amp;F131,""))</f>
        <v/>
      </c>
      <c r="Q131" s="94" t="str">
        <f>IF(P131="",IF(COUNTA(B131:O131)&gt;0,"Informe razão social ou nome fantasia",""),IF(E131="","Informe o tipo de atuação",IF(SUMPRODUCT(--($P$6:$P$205=P131))&gt;1,"Nome repetido: diferencie pelo estabelecimento",IF(AND(ISNUMBER(N131),N131&lt;TODAY()),"Validade informada vencida: conferir","OK"))))</f>
        <v/>
      </c>
      <c r="R131" s="96">
        <f>IF(AND(P131&lt;&gt;"",OR(E131="Transportador",E131="Ambos")),1,0)</f>
        <v>0</v>
      </c>
      <c r="S131" s="96" t="str">
        <f>IF(R131=1,COUNTIF($R$6:R131,1),"")</f>
        <v/>
      </c>
      <c r="T131" s="96">
        <f>IF(AND(P131&lt;&gt;"",OR(E131="Destinador",E131="Ambos")),1,0)</f>
        <v>0</v>
      </c>
      <c r="U131" s="96" t="str">
        <f>IF(T131=1,COUNTIF($T$6:T131,1),"")</f>
        <v/>
      </c>
      <c r="V131" s="96" t="str">
        <f>IF(T131=1,COUNTIFS('MTRs'!$I$6:$I$505,P131,'MTRs'!$AY$6:$AY$505,1,'MTRs'!$AA$6:$AA$505,0),"")</f>
        <v/>
      </c>
      <c r="W131" s="96" t="str">
        <f>IF(N(V131)&gt;0,V131+(1000-126)/10000,"")</f>
        <v/>
      </c>
    </row>
    <row r="132">
      <c r="A132" s="89" t="inlineStr">
        <is>
          <t>PA-127</t>
        </is>
      </c>
      <c r="B132" s="91" t="n"/>
      <c r="C132" s="91" t="n"/>
      <c r="D132" s="90" t="n"/>
      <c r="E132" s="91" t="n"/>
      <c r="F132" s="91" t="n"/>
      <c r="G132" s="91" t="n"/>
      <c r="H132" s="91" t="n"/>
      <c r="I132" s="91" t="n"/>
      <c r="J132" s="91" t="n"/>
      <c r="K132" s="90" t="n"/>
      <c r="L132" s="91" t="n"/>
      <c r="M132" s="91" t="n"/>
      <c r="N132" s="92" t="n"/>
      <c r="O132" s="91" t="n"/>
      <c r="P132" s="94" t="str">
        <f>IF(AND(B132="",C132=""),"",IF(C132&lt;&gt;"",C132,B132)&amp;IF(F132&lt;&gt;""," | "&amp;F132,""))</f>
        <v/>
      </c>
      <c r="Q132" s="94" t="str">
        <f>IF(P132="",IF(COUNTA(B132:O132)&gt;0,"Informe razão social ou nome fantasia",""),IF(E132="","Informe o tipo de atuação",IF(SUMPRODUCT(--($P$6:$P$205=P132))&gt;1,"Nome repetido: diferencie pelo estabelecimento",IF(AND(ISNUMBER(N132),N132&lt;TODAY()),"Validade informada vencida: conferir","OK"))))</f>
        <v/>
      </c>
      <c r="R132" s="96">
        <f>IF(AND(P132&lt;&gt;"",OR(E132="Transportador",E132="Ambos")),1,0)</f>
        <v>0</v>
      </c>
      <c r="S132" s="96" t="str">
        <f>IF(R132=1,COUNTIF($R$6:R132,1),"")</f>
        <v/>
      </c>
      <c r="T132" s="96">
        <f>IF(AND(P132&lt;&gt;"",OR(E132="Destinador",E132="Ambos")),1,0)</f>
        <v>0</v>
      </c>
      <c r="U132" s="96" t="str">
        <f>IF(T132=1,COUNTIF($T$6:T132,1),"")</f>
        <v/>
      </c>
      <c r="V132" s="96" t="str">
        <f>IF(T132=1,COUNTIFS('MTRs'!$I$6:$I$505,P132,'MTRs'!$AY$6:$AY$505,1,'MTRs'!$AA$6:$AA$505,0),"")</f>
        <v/>
      </c>
      <c r="W132" s="96" t="str">
        <f>IF(N(V132)&gt;0,V132+(1000-127)/10000,"")</f>
        <v/>
      </c>
    </row>
    <row r="133">
      <c r="A133" s="89" t="inlineStr">
        <is>
          <t>PA-128</t>
        </is>
      </c>
      <c r="B133" s="91" t="n"/>
      <c r="C133" s="91" t="n"/>
      <c r="D133" s="90" t="n"/>
      <c r="E133" s="91" t="n"/>
      <c r="F133" s="91" t="n"/>
      <c r="G133" s="91" t="n"/>
      <c r="H133" s="91" t="n"/>
      <c r="I133" s="91" t="n"/>
      <c r="J133" s="91" t="n"/>
      <c r="K133" s="90" t="n"/>
      <c r="L133" s="91" t="n"/>
      <c r="M133" s="91" t="n"/>
      <c r="N133" s="92" t="n"/>
      <c r="O133" s="91" t="n"/>
      <c r="P133" s="94" t="str">
        <f>IF(AND(B133="",C133=""),"",IF(C133&lt;&gt;"",C133,B133)&amp;IF(F133&lt;&gt;""," | "&amp;F133,""))</f>
        <v/>
      </c>
      <c r="Q133" s="94" t="str">
        <f>IF(P133="",IF(COUNTA(B133:O133)&gt;0,"Informe razão social ou nome fantasia",""),IF(E133="","Informe o tipo de atuação",IF(SUMPRODUCT(--($P$6:$P$205=P133))&gt;1,"Nome repetido: diferencie pelo estabelecimento",IF(AND(ISNUMBER(N133),N133&lt;TODAY()),"Validade informada vencida: conferir","OK"))))</f>
        <v/>
      </c>
      <c r="R133" s="96">
        <f>IF(AND(P133&lt;&gt;"",OR(E133="Transportador",E133="Ambos")),1,0)</f>
        <v>0</v>
      </c>
      <c r="S133" s="96" t="str">
        <f>IF(R133=1,COUNTIF($R$6:R133,1),"")</f>
        <v/>
      </c>
      <c r="T133" s="96">
        <f>IF(AND(P133&lt;&gt;"",OR(E133="Destinador",E133="Ambos")),1,0)</f>
        <v>0</v>
      </c>
      <c r="U133" s="96" t="str">
        <f>IF(T133=1,COUNTIF($T$6:T133,1),"")</f>
        <v/>
      </c>
      <c r="V133" s="96" t="str">
        <f>IF(T133=1,COUNTIFS('MTRs'!$I$6:$I$505,P133,'MTRs'!$AY$6:$AY$505,1,'MTRs'!$AA$6:$AA$505,0),"")</f>
        <v/>
      </c>
      <c r="W133" s="96" t="str">
        <f>IF(N(V133)&gt;0,V133+(1000-128)/10000,"")</f>
        <v/>
      </c>
    </row>
    <row r="134">
      <c r="A134" s="89" t="inlineStr">
        <is>
          <t>PA-129</t>
        </is>
      </c>
      <c r="B134" s="91" t="n"/>
      <c r="C134" s="91" t="n"/>
      <c r="D134" s="90" t="n"/>
      <c r="E134" s="91" t="n"/>
      <c r="F134" s="91" t="n"/>
      <c r="G134" s="91" t="n"/>
      <c r="H134" s="91" t="n"/>
      <c r="I134" s="91" t="n"/>
      <c r="J134" s="91" t="n"/>
      <c r="K134" s="90" t="n"/>
      <c r="L134" s="91" t="n"/>
      <c r="M134" s="91" t="n"/>
      <c r="N134" s="92" t="n"/>
      <c r="O134" s="91" t="n"/>
      <c r="P134" s="94" t="str">
        <f>IF(AND(B134="",C134=""),"",IF(C134&lt;&gt;"",C134,B134)&amp;IF(F134&lt;&gt;""," | "&amp;F134,""))</f>
        <v/>
      </c>
      <c r="Q134" s="94" t="str">
        <f>IF(P134="",IF(COUNTA(B134:O134)&gt;0,"Informe razão social ou nome fantasia",""),IF(E134="","Informe o tipo de atuação",IF(SUMPRODUCT(--($P$6:$P$205=P134))&gt;1,"Nome repetido: diferencie pelo estabelecimento",IF(AND(ISNUMBER(N134),N134&lt;TODAY()),"Validade informada vencida: conferir","OK"))))</f>
        <v/>
      </c>
      <c r="R134" s="96">
        <f>IF(AND(P134&lt;&gt;"",OR(E134="Transportador",E134="Ambos")),1,0)</f>
        <v>0</v>
      </c>
      <c r="S134" s="96" t="str">
        <f>IF(R134=1,COUNTIF($R$6:R134,1),"")</f>
        <v/>
      </c>
      <c r="T134" s="96">
        <f>IF(AND(P134&lt;&gt;"",OR(E134="Destinador",E134="Ambos")),1,0)</f>
        <v>0</v>
      </c>
      <c r="U134" s="96" t="str">
        <f>IF(T134=1,COUNTIF($T$6:T134,1),"")</f>
        <v/>
      </c>
      <c r="V134" s="96" t="str">
        <f>IF(T134=1,COUNTIFS('MTRs'!$I$6:$I$505,P134,'MTRs'!$AY$6:$AY$505,1,'MTRs'!$AA$6:$AA$505,0),"")</f>
        <v/>
      </c>
      <c r="W134" s="96" t="str">
        <f>IF(N(V134)&gt;0,V134+(1000-129)/10000,"")</f>
        <v/>
      </c>
    </row>
    <row r="135">
      <c r="A135" s="89" t="inlineStr">
        <is>
          <t>PA-130</t>
        </is>
      </c>
      <c r="B135" s="91" t="n"/>
      <c r="C135" s="91" t="n"/>
      <c r="D135" s="90" t="n"/>
      <c r="E135" s="91" t="n"/>
      <c r="F135" s="91" t="n"/>
      <c r="G135" s="91" t="n"/>
      <c r="H135" s="91" t="n"/>
      <c r="I135" s="91" t="n"/>
      <c r="J135" s="91" t="n"/>
      <c r="K135" s="90" t="n"/>
      <c r="L135" s="91" t="n"/>
      <c r="M135" s="91" t="n"/>
      <c r="N135" s="92" t="n"/>
      <c r="O135" s="91" t="n"/>
      <c r="P135" s="94" t="str">
        <f>IF(AND(B135="",C135=""),"",IF(C135&lt;&gt;"",C135,B135)&amp;IF(F135&lt;&gt;""," | "&amp;F135,""))</f>
        <v/>
      </c>
      <c r="Q135" s="94" t="str">
        <f>IF(P135="",IF(COUNTA(B135:O135)&gt;0,"Informe razão social ou nome fantasia",""),IF(E135="","Informe o tipo de atuação",IF(SUMPRODUCT(--($P$6:$P$205=P135))&gt;1,"Nome repetido: diferencie pelo estabelecimento",IF(AND(ISNUMBER(N135),N135&lt;TODAY()),"Validade informada vencida: conferir","OK"))))</f>
        <v/>
      </c>
      <c r="R135" s="96">
        <f>IF(AND(P135&lt;&gt;"",OR(E135="Transportador",E135="Ambos")),1,0)</f>
        <v>0</v>
      </c>
      <c r="S135" s="96" t="str">
        <f>IF(R135=1,COUNTIF($R$6:R135,1),"")</f>
        <v/>
      </c>
      <c r="T135" s="96">
        <f>IF(AND(P135&lt;&gt;"",OR(E135="Destinador",E135="Ambos")),1,0)</f>
        <v>0</v>
      </c>
      <c r="U135" s="96" t="str">
        <f>IF(T135=1,COUNTIF($T$6:T135,1),"")</f>
        <v/>
      </c>
      <c r="V135" s="96" t="str">
        <f>IF(T135=1,COUNTIFS('MTRs'!$I$6:$I$505,P135,'MTRs'!$AY$6:$AY$505,1,'MTRs'!$AA$6:$AA$505,0),"")</f>
        <v/>
      </c>
      <c r="W135" s="96" t="str">
        <f>IF(N(V135)&gt;0,V135+(1000-130)/10000,"")</f>
        <v/>
      </c>
    </row>
    <row r="136">
      <c r="A136" s="89" t="inlineStr">
        <is>
          <t>PA-131</t>
        </is>
      </c>
      <c r="B136" s="91" t="n"/>
      <c r="C136" s="91" t="n"/>
      <c r="D136" s="90" t="n"/>
      <c r="E136" s="91" t="n"/>
      <c r="F136" s="91" t="n"/>
      <c r="G136" s="91" t="n"/>
      <c r="H136" s="91" t="n"/>
      <c r="I136" s="91" t="n"/>
      <c r="J136" s="91" t="n"/>
      <c r="K136" s="90" t="n"/>
      <c r="L136" s="91" t="n"/>
      <c r="M136" s="91" t="n"/>
      <c r="N136" s="92" t="n"/>
      <c r="O136" s="91" t="n"/>
      <c r="P136" s="94" t="str">
        <f>IF(AND(B136="",C136=""),"",IF(C136&lt;&gt;"",C136,B136)&amp;IF(F136&lt;&gt;""," | "&amp;F136,""))</f>
        <v/>
      </c>
      <c r="Q136" s="94" t="str">
        <f>IF(P136="",IF(COUNTA(B136:O136)&gt;0,"Informe razão social ou nome fantasia",""),IF(E136="","Informe o tipo de atuação",IF(SUMPRODUCT(--($P$6:$P$205=P136))&gt;1,"Nome repetido: diferencie pelo estabelecimento",IF(AND(ISNUMBER(N136),N136&lt;TODAY()),"Validade informada vencida: conferir","OK"))))</f>
        <v/>
      </c>
      <c r="R136" s="96">
        <f>IF(AND(P136&lt;&gt;"",OR(E136="Transportador",E136="Ambos")),1,0)</f>
        <v>0</v>
      </c>
      <c r="S136" s="96" t="str">
        <f>IF(R136=1,COUNTIF($R$6:R136,1),"")</f>
        <v/>
      </c>
      <c r="T136" s="96">
        <f>IF(AND(P136&lt;&gt;"",OR(E136="Destinador",E136="Ambos")),1,0)</f>
        <v>0</v>
      </c>
      <c r="U136" s="96" t="str">
        <f>IF(T136=1,COUNTIF($T$6:T136,1),"")</f>
        <v/>
      </c>
      <c r="V136" s="96" t="str">
        <f>IF(T136=1,COUNTIFS('MTRs'!$I$6:$I$505,P136,'MTRs'!$AY$6:$AY$505,1,'MTRs'!$AA$6:$AA$505,0),"")</f>
        <v/>
      </c>
      <c r="W136" s="96" t="str">
        <f>IF(N(V136)&gt;0,V136+(1000-131)/10000,"")</f>
        <v/>
      </c>
    </row>
    <row r="137">
      <c r="A137" s="89" t="inlineStr">
        <is>
          <t>PA-132</t>
        </is>
      </c>
      <c r="B137" s="91" t="n"/>
      <c r="C137" s="91" t="n"/>
      <c r="D137" s="90" t="n"/>
      <c r="E137" s="91" t="n"/>
      <c r="F137" s="91" t="n"/>
      <c r="G137" s="91" t="n"/>
      <c r="H137" s="91" t="n"/>
      <c r="I137" s="91" t="n"/>
      <c r="J137" s="91" t="n"/>
      <c r="K137" s="90" t="n"/>
      <c r="L137" s="91" t="n"/>
      <c r="M137" s="91" t="n"/>
      <c r="N137" s="92" t="n"/>
      <c r="O137" s="91" t="n"/>
      <c r="P137" s="94" t="str">
        <f>IF(AND(B137="",C137=""),"",IF(C137&lt;&gt;"",C137,B137)&amp;IF(F137&lt;&gt;""," | "&amp;F137,""))</f>
        <v/>
      </c>
      <c r="Q137" s="94" t="str">
        <f>IF(P137="",IF(COUNTA(B137:O137)&gt;0,"Informe razão social ou nome fantasia",""),IF(E137="","Informe o tipo de atuação",IF(SUMPRODUCT(--($P$6:$P$205=P137))&gt;1,"Nome repetido: diferencie pelo estabelecimento",IF(AND(ISNUMBER(N137),N137&lt;TODAY()),"Validade informada vencida: conferir","OK"))))</f>
        <v/>
      </c>
      <c r="R137" s="96">
        <f>IF(AND(P137&lt;&gt;"",OR(E137="Transportador",E137="Ambos")),1,0)</f>
        <v>0</v>
      </c>
      <c r="S137" s="96" t="str">
        <f>IF(R137=1,COUNTIF($R$6:R137,1),"")</f>
        <v/>
      </c>
      <c r="T137" s="96">
        <f>IF(AND(P137&lt;&gt;"",OR(E137="Destinador",E137="Ambos")),1,0)</f>
        <v>0</v>
      </c>
      <c r="U137" s="96" t="str">
        <f>IF(T137=1,COUNTIF($T$6:T137,1),"")</f>
        <v/>
      </c>
      <c r="V137" s="96" t="str">
        <f>IF(T137=1,COUNTIFS('MTRs'!$I$6:$I$505,P137,'MTRs'!$AY$6:$AY$505,1,'MTRs'!$AA$6:$AA$505,0),"")</f>
        <v/>
      </c>
      <c r="W137" s="96" t="str">
        <f>IF(N(V137)&gt;0,V137+(1000-132)/10000,"")</f>
        <v/>
      </c>
    </row>
    <row r="138">
      <c r="A138" s="89" t="inlineStr">
        <is>
          <t>PA-133</t>
        </is>
      </c>
      <c r="B138" s="91" t="n"/>
      <c r="C138" s="91" t="n"/>
      <c r="D138" s="90" t="n"/>
      <c r="E138" s="91" t="n"/>
      <c r="F138" s="91" t="n"/>
      <c r="G138" s="91" t="n"/>
      <c r="H138" s="91" t="n"/>
      <c r="I138" s="91" t="n"/>
      <c r="J138" s="91" t="n"/>
      <c r="K138" s="90" t="n"/>
      <c r="L138" s="91" t="n"/>
      <c r="M138" s="91" t="n"/>
      <c r="N138" s="92" t="n"/>
      <c r="O138" s="91" t="n"/>
      <c r="P138" s="94" t="str">
        <f>IF(AND(B138="",C138=""),"",IF(C138&lt;&gt;"",C138,B138)&amp;IF(F138&lt;&gt;""," | "&amp;F138,""))</f>
        <v/>
      </c>
      <c r="Q138" s="94" t="str">
        <f>IF(P138="",IF(COUNTA(B138:O138)&gt;0,"Informe razão social ou nome fantasia",""),IF(E138="","Informe o tipo de atuação",IF(SUMPRODUCT(--($P$6:$P$205=P138))&gt;1,"Nome repetido: diferencie pelo estabelecimento",IF(AND(ISNUMBER(N138),N138&lt;TODAY()),"Validade informada vencida: conferir","OK"))))</f>
        <v/>
      </c>
      <c r="R138" s="96">
        <f>IF(AND(P138&lt;&gt;"",OR(E138="Transportador",E138="Ambos")),1,0)</f>
        <v>0</v>
      </c>
      <c r="S138" s="96" t="str">
        <f>IF(R138=1,COUNTIF($R$6:R138,1),"")</f>
        <v/>
      </c>
      <c r="T138" s="96">
        <f>IF(AND(P138&lt;&gt;"",OR(E138="Destinador",E138="Ambos")),1,0)</f>
        <v>0</v>
      </c>
      <c r="U138" s="96" t="str">
        <f>IF(T138=1,COUNTIF($T$6:T138,1),"")</f>
        <v/>
      </c>
      <c r="V138" s="96" t="str">
        <f>IF(T138=1,COUNTIFS('MTRs'!$I$6:$I$505,P138,'MTRs'!$AY$6:$AY$505,1,'MTRs'!$AA$6:$AA$505,0),"")</f>
        <v/>
      </c>
      <c r="W138" s="96" t="str">
        <f>IF(N(V138)&gt;0,V138+(1000-133)/10000,"")</f>
        <v/>
      </c>
    </row>
    <row r="139">
      <c r="A139" s="89" t="inlineStr">
        <is>
          <t>PA-134</t>
        </is>
      </c>
      <c r="B139" s="91" t="n"/>
      <c r="C139" s="91" t="n"/>
      <c r="D139" s="90" t="n"/>
      <c r="E139" s="91" t="n"/>
      <c r="F139" s="91" t="n"/>
      <c r="G139" s="91" t="n"/>
      <c r="H139" s="91" t="n"/>
      <c r="I139" s="91" t="n"/>
      <c r="J139" s="91" t="n"/>
      <c r="K139" s="90" t="n"/>
      <c r="L139" s="91" t="n"/>
      <c r="M139" s="91" t="n"/>
      <c r="N139" s="92" t="n"/>
      <c r="O139" s="91" t="n"/>
      <c r="P139" s="94" t="str">
        <f>IF(AND(B139="",C139=""),"",IF(C139&lt;&gt;"",C139,B139)&amp;IF(F139&lt;&gt;""," | "&amp;F139,""))</f>
        <v/>
      </c>
      <c r="Q139" s="94" t="str">
        <f>IF(P139="",IF(COUNTA(B139:O139)&gt;0,"Informe razão social ou nome fantasia",""),IF(E139="","Informe o tipo de atuação",IF(SUMPRODUCT(--($P$6:$P$205=P139))&gt;1,"Nome repetido: diferencie pelo estabelecimento",IF(AND(ISNUMBER(N139),N139&lt;TODAY()),"Validade informada vencida: conferir","OK"))))</f>
        <v/>
      </c>
      <c r="R139" s="96">
        <f>IF(AND(P139&lt;&gt;"",OR(E139="Transportador",E139="Ambos")),1,0)</f>
        <v>0</v>
      </c>
      <c r="S139" s="96" t="str">
        <f>IF(R139=1,COUNTIF($R$6:R139,1),"")</f>
        <v/>
      </c>
      <c r="T139" s="96">
        <f>IF(AND(P139&lt;&gt;"",OR(E139="Destinador",E139="Ambos")),1,0)</f>
        <v>0</v>
      </c>
      <c r="U139" s="96" t="str">
        <f>IF(T139=1,COUNTIF($T$6:T139,1),"")</f>
        <v/>
      </c>
      <c r="V139" s="96" t="str">
        <f>IF(T139=1,COUNTIFS('MTRs'!$I$6:$I$505,P139,'MTRs'!$AY$6:$AY$505,1,'MTRs'!$AA$6:$AA$505,0),"")</f>
        <v/>
      </c>
      <c r="W139" s="96" t="str">
        <f>IF(N(V139)&gt;0,V139+(1000-134)/10000,"")</f>
        <v/>
      </c>
    </row>
    <row r="140">
      <c r="A140" s="89" t="inlineStr">
        <is>
          <t>PA-135</t>
        </is>
      </c>
      <c r="B140" s="91" t="n"/>
      <c r="C140" s="91" t="n"/>
      <c r="D140" s="90" t="n"/>
      <c r="E140" s="91" t="n"/>
      <c r="F140" s="91" t="n"/>
      <c r="G140" s="91" t="n"/>
      <c r="H140" s="91" t="n"/>
      <c r="I140" s="91" t="n"/>
      <c r="J140" s="91" t="n"/>
      <c r="K140" s="90" t="n"/>
      <c r="L140" s="91" t="n"/>
      <c r="M140" s="91" t="n"/>
      <c r="N140" s="92" t="n"/>
      <c r="O140" s="91" t="n"/>
      <c r="P140" s="94" t="str">
        <f>IF(AND(B140="",C140=""),"",IF(C140&lt;&gt;"",C140,B140)&amp;IF(F140&lt;&gt;""," | "&amp;F140,""))</f>
        <v/>
      </c>
      <c r="Q140" s="94" t="str">
        <f>IF(P140="",IF(COUNTA(B140:O140)&gt;0,"Informe razão social ou nome fantasia",""),IF(E140="","Informe o tipo de atuação",IF(SUMPRODUCT(--($P$6:$P$205=P140))&gt;1,"Nome repetido: diferencie pelo estabelecimento",IF(AND(ISNUMBER(N140),N140&lt;TODAY()),"Validade informada vencida: conferir","OK"))))</f>
        <v/>
      </c>
      <c r="R140" s="96">
        <f>IF(AND(P140&lt;&gt;"",OR(E140="Transportador",E140="Ambos")),1,0)</f>
        <v>0</v>
      </c>
      <c r="S140" s="96" t="str">
        <f>IF(R140=1,COUNTIF($R$6:R140,1),"")</f>
        <v/>
      </c>
      <c r="T140" s="96">
        <f>IF(AND(P140&lt;&gt;"",OR(E140="Destinador",E140="Ambos")),1,0)</f>
        <v>0</v>
      </c>
      <c r="U140" s="96" t="str">
        <f>IF(T140=1,COUNTIF($T$6:T140,1),"")</f>
        <v/>
      </c>
      <c r="V140" s="96" t="str">
        <f>IF(T140=1,COUNTIFS('MTRs'!$I$6:$I$505,P140,'MTRs'!$AY$6:$AY$505,1,'MTRs'!$AA$6:$AA$505,0),"")</f>
        <v/>
      </c>
      <c r="W140" s="96" t="str">
        <f>IF(N(V140)&gt;0,V140+(1000-135)/10000,"")</f>
        <v/>
      </c>
    </row>
    <row r="141">
      <c r="A141" s="89" t="inlineStr">
        <is>
          <t>PA-136</t>
        </is>
      </c>
      <c r="B141" s="91" t="n"/>
      <c r="C141" s="91" t="n"/>
      <c r="D141" s="90" t="n"/>
      <c r="E141" s="91" t="n"/>
      <c r="F141" s="91" t="n"/>
      <c r="G141" s="91" t="n"/>
      <c r="H141" s="91" t="n"/>
      <c r="I141" s="91" t="n"/>
      <c r="J141" s="91" t="n"/>
      <c r="K141" s="90" t="n"/>
      <c r="L141" s="91" t="n"/>
      <c r="M141" s="91" t="n"/>
      <c r="N141" s="92" t="n"/>
      <c r="O141" s="91" t="n"/>
      <c r="P141" s="94" t="str">
        <f>IF(AND(B141="",C141=""),"",IF(C141&lt;&gt;"",C141,B141)&amp;IF(F141&lt;&gt;""," | "&amp;F141,""))</f>
        <v/>
      </c>
      <c r="Q141" s="94" t="str">
        <f>IF(P141="",IF(COUNTA(B141:O141)&gt;0,"Informe razão social ou nome fantasia",""),IF(E141="","Informe o tipo de atuação",IF(SUMPRODUCT(--($P$6:$P$205=P141))&gt;1,"Nome repetido: diferencie pelo estabelecimento",IF(AND(ISNUMBER(N141),N141&lt;TODAY()),"Validade informada vencida: conferir","OK"))))</f>
        <v/>
      </c>
      <c r="R141" s="96">
        <f>IF(AND(P141&lt;&gt;"",OR(E141="Transportador",E141="Ambos")),1,0)</f>
        <v>0</v>
      </c>
      <c r="S141" s="96" t="str">
        <f>IF(R141=1,COUNTIF($R$6:R141,1),"")</f>
        <v/>
      </c>
      <c r="T141" s="96">
        <f>IF(AND(P141&lt;&gt;"",OR(E141="Destinador",E141="Ambos")),1,0)</f>
        <v>0</v>
      </c>
      <c r="U141" s="96" t="str">
        <f>IF(T141=1,COUNTIF($T$6:T141,1),"")</f>
        <v/>
      </c>
      <c r="V141" s="96" t="str">
        <f>IF(T141=1,COUNTIFS('MTRs'!$I$6:$I$505,P141,'MTRs'!$AY$6:$AY$505,1,'MTRs'!$AA$6:$AA$505,0),"")</f>
        <v/>
      </c>
      <c r="W141" s="96" t="str">
        <f>IF(N(V141)&gt;0,V141+(1000-136)/10000,"")</f>
        <v/>
      </c>
    </row>
    <row r="142">
      <c r="A142" s="89" t="inlineStr">
        <is>
          <t>PA-137</t>
        </is>
      </c>
      <c r="B142" s="91" t="n"/>
      <c r="C142" s="91" t="n"/>
      <c r="D142" s="90" t="n"/>
      <c r="E142" s="91" t="n"/>
      <c r="F142" s="91" t="n"/>
      <c r="G142" s="91" t="n"/>
      <c r="H142" s="91" t="n"/>
      <c r="I142" s="91" t="n"/>
      <c r="J142" s="91" t="n"/>
      <c r="K142" s="90" t="n"/>
      <c r="L142" s="91" t="n"/>
      <c r="M142" s="91" t="n"/>
      <c r="N142" s="92" t="n"/>
      <c r="O142" s="91" t="n"/>
      <c r="P142" s="94" t="str">
        <f>IF(AND(B142="",C142=""),"",IF(C142&lt;&gt;"",C142,B142)&amp;IF(F142&lt;&gt;""," | "&amp;F142,""))</f>
        <v/>
      </c>
      <c r="Q142" s="94" t="str">
        <f>IF(P142="",IF(COUNTA(B142:O142)&gt;0,"Informe razão social ou nome fantasia",""),IF(E142="","Informe o tipo de atuação",IF(SUMPRODUCT(--($P$6:$P$205=P142))&gt;1,"Nome repetido: diferencie pelo estabelecimento",IF(AND(ISNUMBER(N142),N142&lt;TODAY()),"Validade informada vencida: conferir","OK"))))</f>
        <v/>
      </c>
      <c r="R142" s="96">
        <f>IF(AND(P142&lt;&gt;"",OR(E142="Transportador",E142="Ambos")),1,0)</f>
        <v>0</v>
      </c>
      <c r="S142" s="96" t="str">
        <f>IF(R142=1,COUNTIF($R$6:R142,1),"")</f>
        <v/>
      </c>
      <c r="T142" s="96">
        <f>IF(AND(P142&lt;&gt;"",OR(E142="Destinador",E142="Ambos")),1,0)</f>
        <v>0</v>
      </c>
      <c r="U142" s="96" t="str">
        <f>IF(T142=1,COUNTIF($T$6:T142,1),"")</f>
        <v/>
      </c>
      <c r="V142" s="96" t="str">
        <f>IF(T142=1,COUNTIFS('MTRs'!$I$6:$I$505,P142,'MTRs'!$AY$6:$AY$505,1,'MTRs'!$AA$6:$AA$505,0),"")</f>
        <v/>
      </c>
      <c r="W142" s="96" t="str">
        <f>IF(N(V142)&gt;0,V142+(1000-137)/10000,"")</f>
        <v/>
      </c>
    </row>
    <row r="143">
      <c r="A143" s="89" t="inlineStr">
        <is>
          <t>PA-138</t>
        </is>
      </c>
      <c r="B143" s="91" t="n"/>
      <c r="C143" s="91" t="n"/>
      <c r="D143" s="90" t="n"/>
      <c r="E143" s="91" t="n"/>
      <c r="F143" s="91" t="n"/>
      <c r="G143" s="91" t="n"/>
      <c r="H143" s="91" t="n"/>
      <c r="I143" s="91" t="n"/>
      <c r="J143" s="91" t="n"/>
      <c r="K143" s="90" t="n"/>
      <c r="L143" s="91" t="n"/>
      <c r="M143" s="91" t="n"/>
      <c r="N143" s="92" t="n"/>
      <c r="O143" s="91" t="n"/>
      <c r="P143" s="94" t="str">
        <f>IF(AND(B143="",C143=""),"",IF(C143&lt;&gt;"",C143,B143)&amp;IF(F143&lt;&gt;""," | "&amp;F143,""))</f>
        <v/>
      </c>
      <c r="Q143" s="94" t="str">
        <f>IF(P143="",IF(COUNTA(B143:O143)&gt;0,"Informe razão social ou nome fantasia",""),IF(E143="","Informe o tipo de atuação",IF(SUMPRODUCT(--($P$6:$P$205=P143))&gt;1,"Nome repetido: diferencie pelo estabelecimento",IF(AND(ISNUMBER(N143),N143&lt;TODAY()),"Validade informada vencida: conferir","OK"))))</f>
        <v/>
      </c>
      <c r="R143" s="96">
        <f>IF(AND(P143&lt;&gt;"",OR(E143="Transportador",E143="Ambos")),1,0)</f>
        <v>0</v>
      </c>
      <c r="S143" s="96" t="str">
        <f>IF(R143=1,COUNTIF($R$6:R143,1),"")</f>
        <v/>
      </c>
      <c r="T143" s="96">
        <f>IF(AND(P143&lt;&gt;"",OR(E143="Destinador",E143="Ambos")),1,0)</f>
        <v>0</v>
      </c>
      <c r="U143" s="96" t="str">
        <f>IF(T143=1,COUNTIF($T$6:T143,1),"")</f>
        <v/>
      </c>
      <c r="V143" s="96" t="str">
        <f>IF(T143=1,COUNTIFS('MTRs'!$I$6:$I$505,P143,'MTRs'!$AY$6:$AY$505,1,'MTRs'!$AA$6:$AA$505,0),"")</f>
        <v/>
      </c>
      <c r="W143" s="96" t="str">
        <f>IF(N(V143)&gt;0,V143+(1000-138)/10000,"")</f>
        <v/>
      </c>
    </row>
    <row r="144">
      <c r="A144" s="89" t="inlineStr">
        <is>
          <t>PA-139</t>
        </is>
      </c>
      <c r="B144" s="91" t="n"/>
      <c r="C144" s="91" t="n"/>
      <c r="D144" s="90" t="n"/>
      <c r="E144" s="91" t="n"/>
      <c r="F144" s="91" t="n"/>
      <c r="G144" s="91" t="n"/>
      <c r="H144" s="91" t="n"/>
      <c r="I144" s="91" t="n"/>
      <c r="J144" s="91" t="n"/>
      <c r="K144" s="90" t="n"/>
      <c r="L144" s="91" t="n"/>
      <c r="M144" s="91" t="n"/>
      <c r="N144" s="92" t="n"/>
      <c r="O144" s="91" t="n"/>
      <c r="P144" s="94" t="str">
        <f>IF(AND(B144="",C144=""),"",IF(C144&lt;&gt;"",C144,B144)&amp;IF(F144&lt;&gt;""," | "&amp;F144,""))</f>
        <v/>
      </c>
      <c r="Q144" s="94" t="str">
        <f>IF(P144="",IF(COUNTA(B144:O144)&gt;0,"Informe razão social ou nome fantasia",""),IF(E144="","Informe o tipo de atuação",IF(SUMPRODUCT(--($P$6:$P$205=P144))&gt;1,"Nome repetido: diferencie pelo estabelecimento",IF(AND(ISNUMBER(N144),N144&lt;TODAY()),"Validade informada vencida: conferir","OK"))))</f>
        <v/>
      </c>
      <c r="R144" s="96">
        <f>IF(AND(P144&lt;&gt;"",OR(E144="Transportador",E144="Ambos")),1,0)</f>
        <v>0</v>
      </c>
      <c r="S144" s="96" t="str">
        <f>IF(R144=1,COUNTIF($R$6:R144,1),"")</f>
        <v/>
      </c>
      <c r="T144" s="96">
        <f>IF(AND(P144&lt;&gt;"",OR(E144="Destinador",E144="Ambos")),1,0)</f>
        <v>0</v>
      </c>
      <c r="U144" s="96" t="str">
        <f>IF(T144=1,COUNTIF($T$6:T144,1),"")</f>
        <v/>
      </c>
      <c r="V144" s="96" t="str">
        <f>IF(T144=1,COUNTIFS('MTRs'!$I$6:$I$505,P144,'MTRs'!$AY$6:$AY$505,1,'MTRs'!$AA$6:$AA$505,0),"")</f>
        <v/>
      </c>
      <c r="W144" s="96" t="str">
        <f>IF(N(V144)&gt;0,V144+(1000-139)/10000,"")</f>
        <v/>
      </c>
    </row>
    <row r="145">
      <c r="A145" s="89" t="inlineStr">
        <is>
          <t>PA-140</t>
        </is>
      </c>
      <c r="B145" s="91" t="n"/>
      <c r="C145" s="91" t="n"/>
      <c r="D145" s="90" t="n"/>
      <c r="E145" s="91" t="n"/>
      <c r="F145" s="91" t="n"/>
      <c r="G145" s="91" t="n"/>
      <c r="H145" s="91" t="n"/>
      <c r="I145" s="91" t="n"/>
      <c r="J145" s="91" t="n"/>
      <c r="K145" s="90" t="n"/>
      <c r="L145" s="91" t="n"/>
      <c r="M145" s="91" t="n"/>
      <c r="N145" s="92" t="n"/>
      <c r="O145" s="91" t="n"/>
      <c r="P145" s="94" t="str">
        <f>IF(AND(B145="",C145=""),"",IF(C145&lt;&gt;"",C145,B145)&amp;IF(F145&lt;&gt;""," | "&amp;F145,""))</f>
        <v/>
      </c>
      <c r="Q145" s="94" t="str">
        <f>IF(P145="",IF(COUNTA(B145:O145)&gt;0,"Informe razão social ou nome fantasia",""),IF(E145="","Informe o tipo de atuação",IF(SUMPRODUCT(--($P$6:$P$205=P145))&gt;1,"Nome repetido: diferencie pelo estabelecimento",IF(AND(ISNUMBER(N145),N145&lt;TODAY()),"Validade informada vencida: conferir","OK"))))</f>
        <v/>
      </c>
      <c r="R145" s="96">
        <f>IF(AND(P145&lt;&gt;"",OR(E145="Transportador",E145="Ambos")),1,0)</f>
        <v>0</v>
      </c>
      <c r="S145" s="96" t="str">
        <f>IF(R145=1,COUNTIF($R$6:R145,1),"")</f>
        <v/>
      </c>
      <c r="T145" s="96">
        <f>IF(AND(P145&lt;&gt;"",OR(E145="Destinador",E145="Ambos")),1,0)</f>
        <v>0</v>
      </c>
      <c r="U145" s="96" t="str">
        <f>IF(T145=1,COUNTIF($T$6:T145,1),"")</f>
        <v/>
      </c>
      <c r="V145" s="96" t="str">
        <f>IF(T145=1,COUNTIFS('MTRs'!$I$6:$I$505,P145,'MTRs'!$AY$6:$AY$505,1,'MTRs'!$AA$6:$AA$505,0),"")</f>
        <v/>
      </c>
      <c r="W145" s="96" t="str">
        <f>IF(N(V145)&gt;0,V145+(1000-140)/10000,"")</f>
        <v/>
      </c>
    </row>
    <row r="146">
      <c r="A146" s="89" t="inlineStr">
        <is>
          <t>PA-141</t>
        </is>
      </c>
      <c r="B146" s="91" t="n"/>
      <c r="C146" s="91" t="n"/>
      <c r="D146" s="90" t="n"/>
      <c r="E146" s="91" t="n"/>
      <c r="F146" s="91" t="n"/>
      <c r="G146" s="91" t="n"/>
      <c r="H146" s="91" t="n"/>
      <c r="I146" s="91" t="n"/>
      <c r="J146" s="91" t="n"/>
      <c r="K146" s="90" t="n"/>
      <c r="L146" s="91" t="n"/>
      <c r="M146" s="91" t="n"/>
      <c r="N146" s="92" t="n"/>
      <c r="O146" s="91" t="n"/>
      <c r="P146" s="94" t="str">
        <f>IF(AND(B146="",C146=""),"",IF(C146&lt;&gt;"",C146,B146)&amp;IF(F146&lt;&gt;""," | "&amp;F146,""))</f>
        <v/>
      </c>
      <c r="Q146" s="94" t="str">
        <f>IF(P146="",IF(COUNTA(B146:O146)&gt;0,"Informe razão social ou nome fantasia",""),IF(E146="","Informe o tipo de atuação",IF(SUMPRODUCT(--($P$6:$P$205=P146))&gt;1,"Nome repetido: diferencie pelo estabelecimento",IF(AND(ISNUMBER(N146),N146&lt;TODAY()),"Validade informada vencida: conferir","OK"))))</f>
        <v/>
      </c>
      <c r="R146" s="96">
        <f>IF(AND(P146&lt;&gt;"",OR(E146="Transportador",E146="Ambos")),1,0)</f>
        <v>0</v>
      </c>
      <c r="S146" s="96" t="str">
        <f>IF(R146=1,COUNTIF($R$6:R146,1),"")</f>
        <v/>
      </c>
      <c r="T146" s="96">
        <f>IF(AND(P146&lt;&gt;"",OR(E146="Destinador",E146="Ambos")),1,0)</f>
        <v>0</v>
      </c>
      <c r="U146" s="96" t="str">
        <f>IF(T146=1,COUNTIF($T$6:T146,1),"")</f>
        <v/>
      </c>
      <c r="V146" s="96" t="str">
        <f>IF(T146=1,COUNTIFS('MTRs'!$I$6:$I$505,P146,'MTRs'!$AY$6:$AY$505,1,'MTRs'!$AA$6:$AA$505,0),"")</f>
        <v/>
      </c>
      <c r="W146" s="96" t="str">
        <f>IF(N(V146)&gt;0,V146+(1000-141)/10000,"")</f>
        <v/>
      </c>
    </row>
    <row r="147">
      <c r="A147" s="89" t="inlineStr">
        <is>
          <t>PA-142</t>
        </is>
      </c>
      <c r="B147" s="91" t="n"/>
      <c r="C147" s="91" t="n"/>
      <c r="D147" s="90" t="n"/>
      <c r="E147" s="91" t="n"/>
      <c r="F147" s="91" t="n"/>
      <c r="G147" s="91" t="n"/>
      <c r="H147" s="91" t="n"/>
      <c r="I147" s="91" t="n"/>
      <c r="J147" s="91" t="n"/>
      <c r="K147" s="90" t="n"/>
      <c r="L147" s="91" t="n"/>
      <c r="M147" s="91" t="n"/>
      <c r="N147" s="92" t="n"/>
      <c r="O147" s="91" t="n"/>
      <c r="P147" s="94" t="str">
        <f>IF(AND(B147="",C147=""),"",IF(C147&lt;&gt;"",C147,B147)&amp;IF(F147&lt;&gt;""," | "&amp;F147,""))</f>
        <v/>
      </c>
      <c r="Q147" s="94" t="str">
        <f>IF(P147="",IF(COUNTA(B147:O147)&gt;0,"Informe razão social ou nome fantasia",""),IF(E147="","Informe o tipo de atuação",IF(SUMPRODUCT(--($P$6:$P$205=P147))&gt;1,"Nome repetido: diferencie pelo estabelecimento",IF(AND(ISNUMBER(N147),N147&lt;TODAY()),"Validade informada vencida: conferir","OK"))))</f>
        <v/>
      </c>
      <c r="R147" s="96">
        <f>IF(AND(P147&lt;&gt;"",OR(E147="Transportador",E147="Ambos")),1,0)</f>
        <v>0</v>
      </c>
      <c r="S147" s="96" t="str">
        <f>IF(R147=1,COUNTIF($R$6:R147,1),"")</f>
        <v/>
      </c>
      <c r="T147" s="96">
        <f>IF(AND(P147&lt;&gt;"",OR(E147="Destinador",E147="Ambos")),1,0)</f>
        <v>0</v>
      </c>
      <c r="U147" s="96" t="str">
        <f>IF(T147=1,COUNTIF($T$6:T147,1),"")</f>
        <v/>
      </c>
      <c r="V147" s="96" t="str">
        <f>IF(T147=1,COUNTIFS('MTRs'!$I$6:$I$505,P147,'MTRs'!$AY$6:$AY$505,1,'MTRs'!$AA$6:$AA$505,0),"")</f>
        <v/>
      </c>
      <c r="W147" s="96" t="str">
        <f>IF(N(V147)&gt;0,V147+(1000-142)/10000,"")</f>
        <v/>
      </c>
    </row>
    <row r="148">
      <c r="A148" s="89" t="inlineStr">
        <is>
          <t>PA-143</t>
        </is>
      </c>
      <c r="B148" s="91" t="n"/>
      <c r="C148" s="91" t="n"/>
      <c r="D148" s="90" t="n"/>
      <c r="E148" s="91" t="n"/>
      <c r="F148" s="91" t="n"/>
      <c r="G148" s="91" t="n"/>
      <c r="H148" s="91" t="n"/>
      <c r="I148" s="91" t="n"/>
      <c r="J148" s="91" t="n"/>
      <c r="K148" s="90" t="n"/>
      <c r="L148" s="91" t="n"/>
      <c r="M148" s="91" t="n"/>
      <c r="N148" s="92" t="n"/>
      <c r="O148" s="91" t="n"/>
      <c r="P148" s="94" t="str">
        <f>IF(AND(B148="",C148=""),"",IF(C148&lt;&gt;"",C148,B148)&amp;IF(F148&lt;&gt;""," | "&amp;F148,""))</f>
        <v/>
      </c>
      <c r="Q148" s="94" t="str">
        <f>IF(P148="",IF(COUNTA(B148:O148)&gt;0,"Informe razão social ou nome fantasia",""),IF(E148="","Informe o tipo de atuação",IF(SUMPRODUCT(--($P$6:$P$205=P148))&gt;1,"Nome repetido: diferencie pelo estabelecimento",IF(AND(ISNUMBER(N148),N148&lt;TODAY()),"Validade informada vencida: conferir","OK"))))</f>
        <v/>
      </c>
      <c r="R148" s="96">
        <f>IF(AND(P148&lt;&gt;"",OR(E148="Transportador",E148="Ambos")),1,0)</f>
        <v>0</v>
      </c>
      <c r="S148" s="96" t="str">
        <f>IF(R148=1,COUNTIF($R$6:R148,1),"")</f>
        <v/>
      </c>
      <c r="T148" s="96">
        <f>IF(AND(P148&lt;&gt;"",OR(E148="Destinador",E148="Ambos")),1,0)</f>
        <v>0</v>
      </c>
      <c r="U148" s="96" t="str">
        <f>IF(T148=1,COUNTIF($T$6:T148,1),"")</f>
        <v/>
      </c>
      <c r="V148" s="96" t="str">
        <f>IF(T148=1,COUNTIFS('MTRs'!$I$6:$I$505,P148,'MTRs'!$AY$6:$AY$505,1,'MTRs'!$AA$6:$AA$505,0),"")</f>
        <v/>
      </c>
      <c r="W148" s="96" t="str">
        <f>IF(N(V148)&gt;0,V148+(1000-143)/10000,"")</f>
        <v/>
      </c>
    </row>
    <row r="149">
      <c r="A149" s="89" t="inlineStr">
        <is>
          <t>PA-144</t>
        </is>
      </c>
      <c r="B149" s="91" t="n"/>
      <c r="C149" s="91" t="n"/>
      <c r="D149" s="90" t="n"/>
      <c r="E149" s="91" t="n"/>
      <c r="F149" s="91" t="n"/>
      <c r="G149" s="91" t="n"/>
      <c r="H149" s="91" t="n"/>
      <c r="I149" s="91" t="n"/>
      <c r="J149" s="91" t="n"/>
      <c r="K149" s="90" t="n"/>
      <c r="L149" s="91" t="n"/>
      <c r="M149" s="91" t="n"/>
      <c r="N149" s="92" t="n"/>
      <c r="O149" s="91" t="n"/>
      <c r="P149" s="94" t="str">
        <f>IF(AND(B149="",C149=""),"",IF(C149&lt;&gt;"",C149,B149)&amp;IF(F149&lt;&gt;""," | "&amp;F149,""))</f>
        <v/>
      </c>
      <c r="Q149" s="94" t="str">
        <f>IF(P149="",IF(COUNTA(B149:O149)&gt;0,"Informe razão social ou nome fantasia",""),IF(E149="","Informe o tipo de atuação",IF(SUMPRODUCT(--($P$6:$P$205=P149))&gt;1,"Nome repetido: diferencie pelo estabelecimento",IF(AND(ISNUMBER(N149),N149&lt;TODAY()),"Validade informada vencida: conferir","OK"))))</f>
        <v/>
      </c>
      <c r="R149" s="96">
        <f>IF(AND(P149&lt;&gt;"",OR(E149="Transportador",E149="Ambos")),1,0)</f>
        <v>0</v>
      </c>
      <c r="S149" s="96" t="str">
        <f>IF(R149=1,COUNTIF($R$6:R149,1),"")</f>
        <v/>
      </c>
      <c r="T149" s="96">
        <f>IF(AND(P149&lt;&gt;"",OR(E149="Destinador",E149="Ambos")),1,0)</f>
        <v>0</v>
      </c>
      <c r="U149" s="96" t="str">
        <f>IF(T149=1,COUNTIF($T$6:T149,1),"")</f>
        <v/>
      </c>
      <c r="V149" s="96" t="str">
        <f>IF(T149=1,COUNTIFS('MTRs'!$I$6:$I$505,P149,'MTRs'!$AY$6:$AY$505,1,'MTRs'!$AA$6:$AA$505,0),"")</f>
        <v/>
      </c>
      <c r="W149" s="96" t="str">
        <f>IF(N(V149)&gt;0,V149+(1000-144)/10000,"")</f>
        <v/>
      </c>
    </row>
    <row r="150">
      <c r="A150" s="89" t="inlineStr">
        <is>
          <t>PA-145</t>
        </is>
      </c>
      <c r="B150" s="91" t="n"/>
      <c r="C150" s="91" t="n"/>
      <c r="D150" s="90" t="n"/>
      <c r="E150" s="91" t="n"/>
      <c r="F150" s="91" t="n"/>
      <c r="G150" s="91" t="n"/>
      <c r="H150" s="91" t="n"/>
      <c r="I150" s="91" t="n"/>
      <c r="J150" s="91" t="n"/>
      <c r="K150" s="90" t="n"/>
      <c r="L150" s="91" t="n"/>
      <c r="M150" s="91" t="n"/>
      <c r="N150" s="92" t="n"/>
      <c r="O150" s="91" t="n"/>
      <c r="P150" s="94" t="str">
        <f>IF(AND(B150="",C150=""),"",IF(C150&lt;&gt;"",C150,B150)&amp;IF(F150&lt;&gt;""," | "&amp;F150,""))</f>
        <v/>
      </c>
      <c r="Q150" s="94" t="str">
        <f>IF(P150="",IF(COUNTA(B150:O150)&gt;0,"Informe razão social ou nome fantasia",""),IF(E150="","Informe o tipo de atuação",IF(SUMPRODUCT(--($P$6:$P$205=P150))&gt;1,"Nome repetido: diferencie pelo estabelecimento",IF(AND(ISNUMBER(N150),N150&lt;TODAY()),"Validade informada vencida: conferir","OK"))))</f>
        <v/>
      </c>
      <c r="R150" s="96">
        <f>IF(AND(P150&lt;&gt;"",OR(E150="Transportador",E150="Ambos")),1,0)</f>
        <v>0</v>
      </c>
      <c r="S150" s="96" t="str">
        <f>IF(R150=1,COUNTIF($R$6:R150,1),"")</f>
        <v/>
      </c>
      <c r="T150" s="96">
        <f>IF(AND(P150&lt;&gt;"",OR(E150="Destinador",E150="Ambos")),1,0)</f>
        <v>0</v>
      </c>
      <c r="U150" s="96" t="str">
        <f>IF(T150=1,COUNTIF($T$6:T150,1),"")</f>
        <v/>
      </c>
      <c r="V150" s="96" t="str">
        <f>IF(T150=1,COUNTIFS('MTRs'!$I$6:$I$505,P150,'MTRs'!$AY$6:$AY$505,1,'MTRs'!$AA$6:$AA$505,0),"")</f>
        <v/>
      </c>
      <c r="W150" s="96" t="str">
        <f>IF(N(V150)&gt;0,V150+(1000-145)/10000,"")</f>
        <v/>
      </c>
    </row>
    <row r="151">
      <c r="A151" s="89" t="inlineStr">
        <is>
          <t>PA-146</t>
        </is>
      </c>
      <c r="B151" s="91" t="n"/>
      <c r="C151" s="91" t="n"/>
      <c r="D151" s="90" t="n"/>
      <c r="E151" s="91" t="n"/>
      <c r="F151" s="91" t="n"/>
      <c r="G151" s="91" t="n"/>
      <c r="H151" s="91" t="n"/>
      <c r="I151" s="91" t="n"/>
      <c r="J151" s="91" t="n"/>
      <c r="K151" s="90" t="n"/>
      <c r="L151" s="91" t="n"/>
      <c r="M151" s="91" t="n"/>
      <c r="N151" s="92" t="n"/>
      <c r="O151" s="91" t="n"/>
      <c r="P151" s="94" t="str">
        <f>IF(AND(B151="",C151=""),"",IF(C151&lt;&gt;"",C151,B151)&amp;IF(F151&lt;&gt;""," | "&amp;F151,""))</f>
        <v/>
      </c>
      <c r="Q151" s="94" t="str">
        <f>IF(P151="",IF(COUNTA(B151:O151)&gt;0,"Informe razão social ou nome fantasia",""),IF(E151="","Informe o tipo de atuação",IF(SUMPRODUCT(--($P$6:$P$205=P151))&gt;1,"Nome repetido: diferencie pelo estabelecimento",IF(AND(ISNUMBER(N151),N151&lt;TODAY()),"Validade informada vencida: conferir","OK"))))</f>
        <v/>
      </c>
      <c r="R151" s="96">
        <f>IF(AND(P151&lt;&gt;"",OR(E151="Transportador",E151="Ambos")),1,0)</f>
        <v>0</v>
      </c>
      <c r="S151" s="96" t="str">
        <f>IF(R151=1,COUNTIF($R$6:R151,1),"")</f>
        <v/>
      </c>
      <c r="T151" s="96">
        <f>IF(AND(P151&lt;&gt;"",OR(E151="Destinador",E151="Ambos")),1,0)</f>
        <v>0</v>
      </c>
      <c r="U151" s="96" t="str">
        <f>IF(T151=1,COUNTIF($T$6:T151,1),"")</f>
        <v/>
      </c>
      <c r="V151" s="96" t="str">
        <f>IF(T151=1,COUNTIFS('MTRs'!$I$6:$I$505,P151,'MTRs'!$AY$6:$AY$505,1,'MTRs'!$AA$6:$AA$505,0),"")</f>
        <v/>
      </c>
      <c r="W151" s="96" t="str">
        <f>IF(N(V151)&gt;0,V151+(1000-146)/10000,"")</f>
        <v/>
      </c>
    </row>
    <row r="152">
      <c r="A152" s="89" t="inlineStr">
        <is>
          <t>PA-147</t>
        </is>
      </c>
      <c r="B152" s="91" t="n"/>
      <c r="C152" s="91" t="n"/>
      <c r="D152" s="90" t="n"/>
      <c r="E152" s="91" t="n"/>
      <c r="F152" s="91" t="n"/>
      <c r="G152" s="91" t="n"/>
      <c r="H152" s="91" t="n"/>
      <c r="I152" s="91" t="n"/>
      <c r="J152" s="91" t="n"/>
      <c r="K152" s="90" t="n"/>
      <c r="L152" s="91" t="n"/>
      <c r="M152" s="91" t="n"/>
      <c r="N152" s="92" t="n"/>
      <c r="O152" s="91" t="n"/>
      <c r="P152" s="94" t="str">
        <f>IF(AND(B152="",C152=""),"",IF(C152&lt;&gt;"",C152,B152)&amp;IF(F152&lt;&gt;""," | "&amp;F152,""))</f>
        <v/>
      </c>
      <c r="Q152" s="94" t="str">
        <f>IF(P152="",IF(COUNTA(B152:O152)&gt;0,"Informe razão social ou nome fantasia",""),IF(E152="","Informe o tipo de atuação",IF(SUMPRODUCT(--($P$6:$P$205=P152))&gt;1,"Nome repetido: diferencie pelo estabelecimento",IF(AND(ISNUMBER(N152),N152&lt;TODAY()),"Validade informada vencida: conferir","OK"))))</f>
        <v/>
      </c>
      <c r="R152" s="96">
        <f>IF(AND(P152&lt;&gt;"",OR(E152="Transportador",E152="Ambos")),1,0)</f>
        <v>0</v>
      </c>
      <c r="S152" s="96" t="str">
        <f>IF(R152=1,COUNTIF($R$6:R152,1),"")</f>
        <v/>
      </c>
      <c r="T152" s="96">
        <f>IF(AND(P152&lt;&gt;"",OR(E152="Destinador",E152="Ambos")),1,0)</f>
        <v>0</v>
      </c>
      <c r="U152" s="96" t="str">
        <f>IF(T152=1,COUNTIF($T$6:T152,1),"")</f>
        <v/>
      </c>
      <c r="V152" s="96" t="str">
        <f>IF(T152=1,COUNTIFS('MTRs'!$I$6:$I$505,P152,'MTRs'!$AY$6:$AY$505,1,'MTRs'!$AA$6:$AA$505,0),"")</f>
        <v/>
      </c>
      <c r="W152" s="96" t="str">
        <f>IF(N(V152)&gt;0,V152+(1000-147)/10000,"")</f>
        <v/>
      </c>
    </row>
    <row r="153">
      <c r="A153" s="89" t="inlineStr">
        <is>
          <t>PA-148</t>
        </is>
      </c>
      <c r="B153" s="91" t="n"/>
      <c r="C153" s="91" t="n"/>
      <c r="D153" s="90" t="n"/>
      <c r="E153" s="91" t="n"/>
      <c r="F153" s="91" t="n"/>
      <c r="G153" s="91" t="n"/>
      <c r="H153" s="91" t="n"/>
      <c r="I153" s="91" t="n"/>
      <c r="J153" s="91" t="n"/>
      <c r="K153" s="90" t="n"/>
      <c r="L153" s="91" t="n"/>
      <c r="M153" s="91" t="n"/>
      <c r="N153" s="92" t="n"/>
      <c r="O153" s="91" t="n"/>
      <c r="P153" s="94" t="str">
        <f>IF(AND(B153="",C153=""),"",IF(C153&lt;&gt;"",C153,B153)&amp;IF(F153&lt;&gt;""," | "&amp;F153,""))</f>
        <v/>
      </c>
      <c r="Q153" s="94" t="str">
        <f>IF(P153="",IF(COUNTA(B153:O153)&gt;0,"Informe razão social ou nome fantasia",""),IF(E153="","Informe o tipo de atuação",IF(SUMPRODUCT(--($P$6:$P$205=P153))&gt;1,"Nome repetido: diferencie pelo estabelecimento",IF(AND(ISNUMBER(N153),N153&lt;TODAY()),"Validade informada vencida: conferir","OK"))))</f>
        <v/>
      </c>
      <c r="R153" s="96">
        <f>IF(AND(P153&lt;&gt;"",OR(E153="Transportador",E153="Ambos")),1,0)</f>
        <v>0</v>
      </c>
      <c r="S153" s="96" t="str">
        <f>IF(R153=1,COUNTIF($R$6:R153,1),"")</f>
        <v/>
      </c>
      <c r="T153" s="96">
        <f>IF(AND(P153&lt;&gt;"",OR(E153="Destinador",E153="Ambos")),1,0)</f>
        <v>0</v>
      </c>
      <c r="U153" s="96" t="str">
        <f>IF(T153=1,COUNTIF($T$6:T153,1),"")</f>
        <v/>
      </c>
      <c r="V153" s="96" t="str">
        <f>IF(T153=1,COUNTIFS('MTRs'!$I$6:$I$505,P153,'MTRs'!$AY$6:$AY$505,1,'MTRs'!$AA$6:$AA$505,0),"")</f>
        <v/>
      </c>
      <c r="W153" s="96" t="str">
        <f>IF(N(V153)&gt;0,V153+(1000-148)/10000,"")</f>
        <v/>
      </c>
    </row>
    <row r="154">
      <c r="A154" s="89" t="inlineStr">
        <is>
          <t>PA-149</t>
        </is>
      </c>
      <c r="B154" s="91" t="n"/>
      <c r="C154" s="91" t="n"/>
      <c r="D154" s="90" t="n"/>
      <c r="E154" s="91" t="n"/>
      <c r="F154" s="91" t="n"/>
      <c r="G154" s="91" t="n"/>
      <c r="H154" s="91" t="n"/>
      <c r="I154" s="91" t="n"/>
      <c r="J154" s="91" t="n"/>
      <c r="K154" s="90" t="n"/>
      <c r="L154" s="91" t="n"/>
      <c r="M154" s="91" t="n"/>
      <c r="N154" s="92" t="n"/>
      <c r="O154" s="91" t="n"/>
      <c r="P154" s="94" t="str">
        <f>IF(AND(B154="",C154=""),"",IF(C154&lt;&gt;"",C154,B154)&amp;IF(F154&lt;&gt;""," | "&amp;F154,""))</f>
        <v/>
      </c>
      <c r="Q154" s="94" t="str">
        <f>IF(P154="",IF(COUNTA(B154:O154)&gt;0,"Informe razão social ou nome fantasia",""),IF(E154="","Informe o tipo de atuação",IF(SUMPRODUCT(--($P$6:$P$205=P154))&gt;1,"Nome repetido: diferencie pelo estabelecimento",IF(AND(ISNUMBER(N154),N154&lt;TODAY()),"Validade informada vencida: conferir","OK"))))</f>
        <v/>
      </c>
      <c r="R154" s="96">
        <f>IF(AND(P154&lt;&gt;"",OR(E154="Transportador",E154="Ambos")),1,0)</f>
        <v>0</v>
      </c>
      <c r="S154" s="96" t="str">
        <f>IF(R154=1,COUNTIF($R$6:R154,1),"")</f>
        <v/>
      </c>
      <c r="T154" s="96">
        <f>IF(AND(P154&lt;&gt;"",OR(E154="Destinador",E154="Ambos")),1,0)</f>
        <v>0</v>
      </c>
      <c r="U154" s="96" t="str">
        <f>IF(T154=1,COUNTIF($T$6:T154,1),"")</f>
        <v/>
      </c>
      <c r="V154" s="96" t="str">
        <f>IF(T154=1,COUNTIFS('MTRs'!$I$6:$I$505,P154,'MTRs'!$AY$6:$AY$505,1,'MTRs'!$AA$6:$AA$505,0),"")</f>
        <v/>
      </c>
      <c r="W154" s="96" t="str">
        <f>IF(N(V154)&gt;0,V154+(1000-149)/10000,"")</f>
        <v/>
      </c>
    </row>
    <row r="155">
      <c r="A155" s="89" t="inlineStr">
        <is>
          <t>PA-150</t>
        </is>
      </c>
      <c r="B155" s="91" t="n"/>
      <c r="C155" s="91" t="n"/>
      <c r="D155" s="90" t="n"/>
      <c r="E155" s="91" t="n"/>
      <c r="F155" s="91" t="n"/>
      <c r="G155" s="91" t="n"/>
      <c r="H155" s="91" t="n"/>
      <c r="I155" s="91" t="n"/>
      <c r="J155" s="91" t="n"/>
      <c r="K155" s="90" t="n"/>
      <c r="L155" s="91" t="n"/>
      <c r="M155" s="91" t="n"/>
      <c r="N155" s="92" t="n"/>
      <c r="O155" s="91" t="n"/>
      <c r="P155" s="94" t="str">
        <f>IF(AND(B155="",C155=""),"",IF(C155&lt;&gt;"",C155,B155)&amp;IF(F155&lt;&gt;""," | "&amp;F155,""))</f>
        <v/>
      </c>
      <c r="Q155" s="94" t="str">
        <f>IF(P155="",IF(COUNTA(B155:O155)&gt;0,"Informe razão social ou nome fantasia",""),IF(E155="","Informe o tipo de atuação",IF(SUMPRODUCT(--($P$6:$P$205=P155))&gt;1,"Nome repetido: diferencie pelo estabelecimento",IF(AND(ISNUMBER(N155),N155&lt;TODAY()),"Validade informada vencida: conferir","OK"))))</f>
        <v/>
      </c>
      <c r="R155" s="96">
        <f>IF(AND(P155&lt;&gt;"",OR(E155="Transportador",E155="Ambos")),1,0)</f>
        <v>0</v>
      </c>
      <c r="S155" s="96" t="str">
        <f>IF(R155=1,COUNTIF($R$6:R155,1),"")</f>
        <v/>
      </c>
      <c r="T155" s="96">
        <f>IF(AND(P155&lt;&gt;"",OR(E155="Destinador",E155="Ambos")),1,0)</f>
        <v>0</v>
      </c>
      <c r="U155" s="96" t="str">
        <f>IF(T155=1,COUNTIF($T$6:T155,1),"")</f>
        <v/>
      </c>
      <c r="V155" s="96" t="str">
        <f>IF(T155=1,COUNTIFS('MTRs'!$I$6:$I$505,P155,'MTRs'!$AY$6:$AY$505,1,'MTRs'!$AA$6:$AA$505,0),"")</f>
        <v/>
      </c>
      <c r="W155" s="96" t="str">
        <f>IF(N(V155)&gt;0,V155+(1000-150)/10000,"")</f>
        <v/>
      </c>
    </row>
    <row r="156">
      <c r="A156" s="89" t="inlineStr">
        <is>
          <t>PA-151</t>
        </is>
      </c>
      <c r="B156" s="91" t="n"/>
      <c r="C156" s="91" t="n"/>
      <c r="D156" s="90" t="n"/>
      <c r="E156" s="91" t="n"/>
      <c r="F156" s="91" t="n"/>
      <c r="G156" s="91" t="n"/>
      <c r="H156" s="91" t="n"/>
      <c r="I156" s="91" t="n"/>
      <c r="J156" s="91" t="n"/>
      <c r="K156" s="90" t="n"/>
      <c r="L156" s="91" t="n"/>
      <c r="M156" s="91" t="n"/>
      <c r="N156" s="92" t="n"/>
      <c r="O156" s="91" t="n"/>
      <c r="P156" s="94" t="str">
        <f>IF(AND(B156="",C156=""),"",IF(C156&lt;&gt;"",C156,B156)&amp;IF(F156&lt;&gt;""," | "&amp;F156,""))</f>
        <v/>
      </c>
      <c r="Q156" s="94" t="str">
        <f>IF(P156="",IF(COUNTA(B156:O156)&gt;0,"Informe razão social ou nome fantasia",""),IF(E156="","Informe o tipo de atuação",IF(SUMPRODUCT(--($P$6:$P$205=P156))&gt;1,"Nome repetido: diferencie pelo estabelecimento",IF(AND(ISNUMBER(N156),N156&lt;TODAY()),"Validade informada vencida: conferir","OK"))))</f>
        <v/>
      </c>
      <c r="R156" s="96">
        <f>IF(AND(P156&lt;&gt;"",OR(E156="Transportador",E156="Ambos")),1,0)</f>
        <v>0</v>
      </c>
      <c r="S156" s="96" t="str">
        <f>IF(R156=1,COUNTIF($R$6:R156,1),"")</f>
        <v/>
      </c>
      <c r="T156" s="96">
        <f>IF(AND(P156&lt;&gt;"",OR(E156="Destinador",E156="Ambos")),1,0)</f>
        <v>0</v>
      </c>
      <c r="U156" s="96" t="str">
        <f>IF(T156=1,COUNTIF($T$6:T156,1),"")</f>
        <v/>
      </c>
      <c r="V156" s="96" t="str">
        <f>IF(T156=1,COUNTIFS('MTRs'!$I$6:$I$505,P156,'MTRs'!$AY$6:$AY$505,1,'MTRs'!$AA$6:$AA$505,0),"")</f>
        <v/>
      </c>
      <c r="W156" s="96" t="str">
        <f>IF(N(V156)&gt;0,V156+(1000-151)/10000,"")</f>
        <v/>
      </c>
    </row>
    <row r="157">
      <c r="A157" s="89" t="inlineStr">
        <is>
          <t>PA-152</t>
        </is>
      </c>
      <c r="B157" s="91" t="n"/>
      <c r="C157" s="91" t="n"/>
      <c r="D157" s="90" t="n"/>
      <c r="E157" s="91" t="n"/>
      <c r="F157" s="91" t="n"/>
      <c r="G157" s="91" t="n"/>
      <c r="H157" s="91" t="n"/>
      <c r="I157" s="91" t="n"/>
      <c r="J157" s="91" t="n"/>
      <c r="K157" s="90" t="n"/>
      <c r="L157" s="91" t="n"/>
      <c r="M157" s="91" t="n"/>
      <c r="N157" s="92" t="n"/>
      <c r="O157" s="91" t="n"/>
      <c r="P157" s="94" t="str">
        <f>IF(AND(B157="",C157=""),"",IF(C157&lt;&gt;"",C157,B157)&amp;IF(F157&lt;&gt;""," | "&amp;F157,""))</f>
        <v/>
      </c>
      <c r="Q157" s="94" t="str">
        <f>IF(P157="",IF(COUNTA(B157:O157)&gt;0,"Informe razão social ou nome fantasia",""),IF(E157="","Informe o tipo de atuação",IF(SUMPRODUCT(--($P$6:$P$205=P157))&gt;1,"Nome repetido: diferencie pelo estabelecimento",IF(AND(ISNUMBER(N157),N157&lt;TODAY()),"Validade informada vencida: conferir","OK"))))</f>
        <v/>
      </c>
      <c r="R157" s="96">
        <f>IF(AND(P157&lt;&gt;"",OR(E157="Transportador",E157="Ambos")),1,0)</f>
        <v>0</v>
      </c>
      <c r="S157" s="96" t="str">
        <f>IF(R157=1,COUNTIF($R$6:R157,1),"")</f>
        <v/>
      </c>
      <c r="T157" s="96">
        <f>IF(AND(P157&lt;&gt;"",OR(E157="Destinador",E157="Ambos")),1,0)</f>
        <v>0</v>
      </c>
      <c r="U157" s="96" t="str">
        <f>IF(T157=1,COUNTIF($T$6:T157,1),"")</f>
        <v/>
      </c>
      <c r="V157" s="96" t="str">
        <f>IF(T157=1,COUNTIFS('MTRs'!$I$6:$I$505,P157,'MTRs'!$AY$6:$AY$505,1,'MTRs'!$AA$6:$AA$505,0),"")</f>
        <v/>
      </c>
      <c r="W157" s="96" t="str">
        <f>IF(N(V157)&gt;0,V157+(1000-152)/10000,"")</f>
        <v/>
      </c>
    </row>
    <row r="158">
      <c r="A158" s="89" t="inlineStr">
        <is>
          <t>PA-153</t>
        </is>
      </c>
      <c r="B158" s="91" t="n"/>
      <c r="C158" s="91" t="n"/>
      <c r="D158" s="90" t="n"/>
      <c r="E158" s="91" t="n"/>
      <c r="F158" s="91" t="n"/>
      <c r="G158" s="91" t="n"/>
      <c r="H158" s="91" t="n"/>
      <c r="I158" s="91" t="n"/>
      <c r="J158" s="91" t="n"/>
      <c r="K158" s="90" t="n"/>
      <c r="L158" s="91" t="n"/>
      <c r="M158" s="91" t="n"/>
      <c r="N158" s="92" t="n"/>
      <c r="O158" s="91" t="n"/>
      <c r="P158" s="94" t="str">
        <f>IF(AND(B158="",C158=""),"",IF(C158&lt;&gt;"",C158,B158)&amp;IF(F158&lt;&gt;""," | "&amp;F158,""))</f>
        <v/>
      </c>
      <c r="Q158" s="94" t="str">
        <f>IF(P158="",IF(COUNTA(B158:O158)&gt;0,"Informe razão social ou nome fantasia",""),IF(E158="","Informe o tipo de atuação",IF(SUMPRODUCT(--($P$6:$P$205=P158))&gt;1,"Nome repetido: diferencie pelo estabelecimento",IF(AND(ISNUMBER(N158),N158&lt;TODAY()),"Validade informada vencida: conferir","OK"))))</f>
        <v/>
      </c>
      <c r="R158" s="96">
        <f>IF(AND(P158&lt;&gt;"",OR(E158="Transportador",E158="Ambos")),1,0)</f>
        <v>0</v>
      </c>
      <c r="S158" s="96" t="str">
        <f>IF(R158=1,COUNTIF($R$6:R158,1),"")</f>
        <v/>
      </c>
      <c r="T158" s="96">
        <f>IF(AND(P158&lt;&gt;"",OR(E158="Destinador",E158="Ambos")),1,0)</f>
        <v>0</v>
      </c>
      <c r="U158" s="96" t="str">
        <f>IF(T158=1,COUNTIF($T$6:T158,1),"")</f>
        <v/>
      </c>
      <c r="V158" s="96" t="str">
        <f>IF(T158=1,COUNTIFS('MTRs'!$I$6:$I$505,P158,'MTRs'!$AY$6:$AY$505,1,'MTRs'!$AA$6:$AA$505,0),"")</f>
        <v/>
      </c>
      <c r="W158" s="96" t="str">
        <f>IF(N(V158)&gt;0,V158+(1000-153)/10000,"")</f>
        <v/>
      </c>
    </row>
    <row r="159">
      <c r="A159" s="89" t="inlineStr">
        <is>
          <t>PA-154</t>
        </is>
      </c>
      <c r="B159" s="91" t="n"/>
      <c r="C159" s="91" t="n"/>
      <c r="D159" s="90" t="n"/>
      <c r="E159" s="91" t="n"/>
      <c r="F159" s="91" t="n"/>
      <c r="G159" s="91" t="n"/>
      <c r="H159" s="91" t="n"/>
      <c r="I159" s="91" t="n"/>
      <c r="J159" s="91" t="n"/>
      <c r="K159" s="90" t="n"/>
      <c r="L159" s="91" t="n"/>
      <c r="M159" s="91" t="n"/>
      <c r="N159" s="92" t="n"/>
      <c r="O159" s="91" t="n"/>
      <c r="P159" s="94" t="str">
        <f>IF(AND(B159="",C159=""),"",IF(C159&lt;&gt;"",C159,B159)&amp;IF(F159&lt;&gt;""," | "&amp;F159,""))</f>
        <v/>
      </c>
      <c r="Q159" s="94" t="str">
        <f>IF(P159="",IF(COUNTA(B159:O159)&gt;0,"Informe razão social ou nome fantasia",""),IF(E159="","Informe o tipo de atuação",IF(SUMPRODUCT(--($P$6:$P$205=P159))&gt;1,"Nome repetido: diferencie pelo estabelecimento",IF(AND(ISNUMBER(N159),N159&lt;TODAY()),"Validade informada vencida: conferir","OK"))))</f>
        <v/>
      </c>
      <c r="R159" s="96">
        <f>IF(AND(P159&lt;&gt;"",OR(E159="Transportador",E159="Ambos")),1,0)</f>
        <v>0</v>
      </c>
      <c r="S159" s="96" t="str">
        <f>IF(R159=1,COUNTIF($R$6:R159,1),"")</f>
        <v/>
      </c>
      <c r="T159" s="96">
        <f>IF(AND(P159&lt;&gt;"",OR(E159="Destinador",E159="Ambos")),1,0)</f>
        <v>0</v>
      </c>
      <c r="U159" s="96" t="str">
        <f>IF(T159=1,COUNTIF($T$6:T159,1),"")</f>
        <v/>
      </c>
      <c r="V159" s="96" t="str">
        <f>IF(T159=1,COUNTIFS('MTRs'!$I$6:$I$505,P159,'MTRs'!$AY$6:$AY$505,1,'MTRs'!$AA$6:$AA$505,0),"")</f>
        <v/>
      </c>
      <c r="W159" s="96" t="str">
        <f>IF(N(V159)&gt;0,V159+(1000-154)/10000,"")</f>
        <v/>
      </c>
    </row>
    <row r="160">
      <c r="A160" s="89" t="inlineStr">
        <is>
          <t>PA-155</t>
        </is>
      </c>
      <c r="B160" s="91" t="n"/>
      <c r="C160" s="91" t="n"/>
      <c r="D160" s="90" t="n"/>
      <c r="E160" s="91" t="n"/>
      <c r="F160" s="91" t="n"/>
      <c r="G160" s="91" t="n"/>
      <c r="H160" s="91" t="n"/>
      <c r="I160" s="91" t="n"/>
      <c r="J160" s="91" t="n"/>
      <c r="K160" s="90" t="n"/>
      <c r="L160" s="91" t="n"/>
      <c r="M160" s="91" t="n"/>
      <c r="N160" s="92" t="n"/>
      <c r="O160" s="91" t="n"/>
      <c r="P160" s="94" t="str">
        <f>IF(AND(B160="",C160=""),"",IF(C160&lt;&gt;"",C160,B160)&amp;IF(F160&lt;&gt;""," | "&amp;F160,""))</f>
        <v/>
      </c>
      <c r="Q160" s="94" t="str">
        <f>IF(P160="",IF(COUNTA(B160:O160)&gt;0,"Informe razão social ou nome fantasia",""),IF(E160="","Informe o tipo de atuação",IF(SUMPRODUCT(--($P$6:$P$205=P160))&gt;1,"Nome repetido: diferencie pelo estabelecimento",IF(AND(ISNUMBER(N160),N160&lt;TODAY()),"Validade informada vencida: conferir","OK"))))</f>
        <v/>
      </c>
      <c r="R160" s="96">
        <f>IF(AND(P160&lt;&gt;"",OR(E160="Transportador",E160="Ambos")),1,0)</f>
        <v>0</v>
      </c>
      <c r="S160" s="96" t="str">
        <f>IF(R160=1,COUNTIF($R$6:R160,1),"")</f>
        <v/>
      </c>
      <c r="T160" s="96">
        <f>IF(AND(P160&lt;&gt;"",OR(E160="Destinador",E160="Ambos")),1,0)</f>
        <v>0</v>
      </c>
      <c r="U160" s="96" t="str">
        <f>IF(T160=1,COUNTIF($T$6:T160,1),"")</f>
        <v/>
      </c>
      <c r="V160" s="96" t="str">
        <f>IF(T160=1,COUNTIFS('MTRs'!$I$6:$I$505,P160,'MTRs'!$AY$6:$AY$505,1,'MTRs'!$AA$6:$AA$505,0),"")</f>
        <v/>
      </c>
      <c r="W160" s="96" t="str">
        <f>IF(N(V160)&gt;0,V160+(1000-155)/10000,"")</f>
        <v/>
      </c>
    </row>
    <row r="161">
      <c r="A161" s="89" t="inlineStr">
        <is>
          <t>PA-156</t>
        </is>
      </c>
      <c r="B161" s="91" t="n"/>
      <c r="C161" s="91" t="n"/>
      <c r="D161" s="90" t="n"/>
      <c r="E161" s="91" t="n"/>
      <c r="F161" s="91" t="n"/>
      <c r="G161" s="91" t="n"/>
      <c r="H161" s="91" t="n"/>
      <c r="I161" s="91" t="n"/>
      <c r="J161" s="91" t="n"/>
      <c r="K161" s="90" t="n"/>
      <c r="L161" s="91" t="n"/>
      <c r="M161" s="91" t="n"/>
      <c r="N161" s="92" t="n"/>
      <c r="O161" s="91" t="n"/>
      <c r="P161" s="94" t="str">
        <f>IF(AND(B161="",C161=""),"",IF(C161&lt;&gt;"",C161,B161)&amp;IF(F161&lt;&gt;""," | "&amp;F161,""))</f>
        <v/>
      </c>
      <c r="Q161" s="94" t="str">
        <f>IF(P161="",IF(COUNTA(B161:O161)&gt;0,"Informe razão social ou nome fantasia",""),IF(E161="","Informe o tipo de atuação",IF(SUMPRODUCT(--($P$6:$P$205=P161))&gt;1,"Nome repetido: diferencie pelo estabelecimento",IF(AND(ISNUMBER(N161),N161&lt;TODAY()),"Validade informada vencida: conferir","OK"))))</f>
        <v/>
      </c>
      <c r="R161" s="96">
        <f>IF(AND(P161&lt;&gt;"",OR(E161="Transportador",E161="Ambos")),1,0)</f>
        <v>0</v>
      </c>
      <c r="S161" s="96" t="str">
        <f>IF(R161=1,COUNTIF($R$6:R161,1),"")</f>
        <v/>
      </c>
      <c r="T161" s="96">
        <f>IF(AND(P161&lt;&gt;"",OR(E161="Destinador",E161="Ambos")),1,0)</f>
        <v>0</v>
      </c>
      <c r="U161" s="96" t="str">
        <f>IF(T161=1,COUNTIF($T$6:T161,1),"")</f>
        <v/>
      </c>
      <c r="V161" s="96" t="str">
        <f>IF(T161=1,COUNTIFS('MTRs'!$I$6:$I$505,P161,'MTRs'!$AY$6:$AY$505,1,'MTRs'!$AA$6:$AA$505,0),"")</f>
        <v/>
      </c>
      <c r="W161" s="96" t="str">
        <f>IF(N(V161)&gt;0,V161+(1000-156)/10000,"")</f>
        <v/>
      </c>
    </row>
    <row r="162">
      <c r="A162" s="89" t="inlineStr">
        <is>
          <t>PA-157</t>
        </is>
      </c>
      <c r="B162" s="91" t="n"/>
      <c r="C162" s="91" t="n"/>
      <c r="D162" s="90" t="n"/>
      <c r="E162" s="91" t="n"/>
      <c r="F162" s="91" t="n"/>
      <c r="G162" s="91" t="n"/>
      <c r="H162" s="91" t="n"/>
      <c r="I162" s="91" t="n"/>
      <c r="J162" s="91" t="n"/>
      <c r="K162" s="90" t="n"/>
      <c r="L162" s="91" t="n"/>
      <c r="M162" s="91" t="n"/>
      <c r="N162" s="92" t="n"/>
      <c r="O162" s="91" t="n"/>
      <c r="P162" s="94" t="str">
        <f>IF(AND(B162="",C162=""),"",IF(C162&lt;&gt;"",C162,B162)&amp;IF(F162&lt;&gt;""," | "&amp;F162,""))</f>
        <v/>
      </c>
      <c r="Q162" s="94" t="str">
        <f>IF(P162="",IF(COUNTA(B162:O162)&gt;0,"Informe razão social ou nome fantasia",""),IF(E162="","Informe o tipo de atuação",IF(SUMPRODUCT(--($P$6:$P$205=P162))&gt;1,"Nome repetido: diferencie pelo estabelecimento",IF(AND(ISNUMBER(N162),N162&lt;TODAY()),"Validade informada vencida: conferir","OK"))))</f>
        <v/>
      </c>
      <c r="R162" s="96">
        <f>IF(AND(P162&lt;&gt;"",OR(E162="Transportador",E162="Ambos")),1,0)</f>
        <v>0</v>
      </c>
      <c r="S162" s="96" t="str">
        <f>IF(R162=1,COUNTIF($R$6:R162,1),"")</f>
        <v/>
      </c>
      <c r="T162" s="96">
        <f>IF(AND(P162&lt;&gt;"",OR(E162="Destinador",E162="Ambos")),1,0)</f>
        <v>0</v>
      </c>
      <c r="U162" s="96" t="str">
        <f>IF(T162=1,COUNTIF($T$6:T162,1),"")</f>
        <v/>
      </c>
      <c r="V162" s="96" t="str">
        <f>IF(T162=1,COUNTIFS('MTRs'!$I$6:$I$505,P162,'MTRs'!$AY$6:$AY$505,1,'MTRs'!$AA$6:$AA$505,0),"")</f>
        <v/>
      </c>
      <c r="W162" s="96" t="str">
        <f>IF(N(V162)&gt;0,V162+(1000-157)/10000,"")</f>
        <v/>
      </c>
    </row>
    <row r="163">
      <c r="A163" s="89" t="inlineStr">
        <is>
          <t>PA-158</t>
        </is>
      </c>
      <c r="B163" s="91" t="n"/>
      <c r="C163" s="91" t="n"/>
      <c r="D163" s="90" t="n"/>
      <c r="E163" s="91" t="n"/>
      <c r="F163" s="91" t="n"/>
      <c r="G163" s="91" t="n"/>
      <c r="H163" s="91" t="n"/>
      <c r="I163" s="91" t="n"/>
      <c r="J163" s="91" t="n"/>
      <c r="K163" s="90" t="n"/>
      <c r="L163" s="91" t="n"/>
      <c r="M163" s="91" t="n"/>
      <c r="N163" s="92" t="n"/>
      <c r="O163" s="91" t="n"/>
      <c r="P163" s="94" t="str">
        <f>IF(AND(B163="",C163=""),"",IF(C163&lt;&gt;"",C163,B163)&amp;IF(F163&lt;&gt;""," | "&amp;F163,""))</f>
        <v/>
      </c>
      <c r="Q163" s="94" t="str">
        <f>IF(P163="",IF(COUNTA(B163:O163)&gt;0,"Informe razão social ou nome fantasia",""),IF(E163="","Informe o tipo de atuação",IF(SUMPRODUCT(--($P$6:$P$205=P163))&gt;1,"Nome repetido: diferencie pelo estabelecimento",IF(AND(ISNUMBER(N163),N163&lt;TODAY()),"Validade informada vencida: conferir","OK"))))</f>
        <v/>
      </c>
      <c r="R163" s="96">
        <f>IF(AND(P163&lt;&gt;"",OR(E163="Transportador",E163="Ambos")),1,0)</f>
        <v>0</v>
      </c>
      <c r="S163" s="96" t="str">
        <f>IF(R163=1,COUNTIF($R$6:R163,1),"")</f>
        <v/>
      </c>
      <c r="T163" s="96">
        <f>IF(AND(P163&lt;&gt;"",OR(E163="Destinador",E163="Ambos")),1,0)</f>
        <v>0</v>
      </c>
      <c r="U163" s="96" t="str">
        <f>IF(T163=1,COUNTIF($T$6:T163,1),"")</f>
        <v/>
      </c>
      <c r="V163" s="96" t="str">
        <f>IF(T163=1,COUNTIFS('MTRs'!$I$6:$I$505,P163,'MTRs'!$AY$6:$AY$505,1,'MTRs'!$AA$6:$AA$505,0),"")</f>
        <v/>
      </c>
      <c r="W163" s="96" t="str">
        <f>IF(N(V163)&gt;0,V163+(1000-158)/10000,"")</f>
        <v/>
      </c>
    </row>
    <row r="164">
      <c r="A164" s="89" t="inlineStr">
        <is>
          <t>PA-159</t>
        </is>
      </c>
      <c r="B164" s="91" t="n"/>
      <c r="C164" s="91" t="n"/>
      <c r="D164" s="90" t="n"/>
      <c r="E164" s="91" t="n"/>
      <c r="F164" s="91" t="n"/>
      <c r="G164" s="91" t="n"/>
      <c r="H164" s="91" t="n"/>
      <c r="I164" s="91" t="n"/>
      <c r="J164" s="91" t="n"/>
      <c r="K164" s="90" t="n"/>
      <c r="L164" s="91" t="n"/>
      <c r="M164" s="91" t="n"/>
      <c r="N164" s="92" t="n"/>
      <c r="O164" s="91" t="n"/>
      <c r="P164" s="94" t="str">
        <f>IF(AND(B164="",C164=""),"",IF(C164&lt;&gt;"",C164,B164)&amp;IF(F164&lt;&gt;""," | "&amp;F164,""))</f>
        <v/>
      </c>
      <c r="Q164" s="94" t="str">
        <f>IF(P164="",IF(COUNTA(B164:O164)&gt;0,"Informe razão social ou nome fantasia",""),IF(E164="","Informe o tipo de atuação",IF(SUMPRODUCT(--($P$6:$P$205=P164))&gt;1,"Nome repetido: diferencie pelo estabelecimento",IF(AND(ISNUMBER(N164),N164&lt;TODAY()),"Validade informada vencida: conferir","OK"))))</f>
        <v/>
      </c>
      <c r="R164" s="96">
        <f>IF(AND(P164&lt;&gt;"",OR(E164="Transportador",E164="Ambos")),1,0)</f>
        <v>0</v>
      </c>
      <c r="S164" s="96" t="str">
        <f>IF(R164=1,COUNTIF($R$6:R164,1),"")</f>
        <v/>
      </c>
      <c r="T164" s="96">
        <f>IF(AND(P164&lt;&gt;"",OR(E164="Destinador",E164="Ambos")),1,0)</f>
        <v>0</v>
      </c>
      <c r="U164" s="96" t="str">
        <f>IF(T164=1,COUNTIF($T$6:T164,1),"")</f>
        <v/>
      </c>
      <c r="V164" s="96" t="str">
        <f>IF(T164=1,COUNTIFS('MTRs'!$I$6:$I$505,P164,'MTRs'!$AY$6:$AY$505,1,'MTRs'!$AA$6:$AA$505,0),"")</f>
        <v/>
      </c>
      <c r="W164" s="96" t="str">
        <f>IF(N(V164)&gt;0,V164+(1000-159)/10000,"")</f>
        <v/>
      </c>
    </row>
    <row r="165">
      <c r="A165" s="89" t="inlineStr">
        <is>
          <t>PA-160</t>
        </is>
      </c>
      <c r="B165" s="91" t="n"/>
      <c r="C165" s="91" t="n"/>
      <c r="D165" s="90" t="n"/>
      <c r="E165" s="91" t="n"/>
      <c r="F165" s="91" t="n"/>
      <c r="G165" s="91" t="n"/>
      <c r="H165" s="91" t="n"/>
      <c r="I165" s="91" t="n"/>
      <c r="J165" s="91" t="n"/>
      <c r="K165" s="90" t="n"/>
      <c r="L165" s="91" t="n"/>
      <c r="M165" s="91" t="n"/>
      <c r="N165" s="92" t="n"/>
      <c r="O165" s="91" t="n"/>
      <c r="P165" s="94" t="str">
        <f>IF(AND(B165="",C165=""),"",IF(C165&lt;&gt;"",C165,B165)&amp;IF(F165&lt;&gt;""," | "&amp;F165,""))</f>
        <v/>
      </c>
      <c r="Q165" s="94" t="str">
        <f>IF(P165="",IF(COUNTA(B165:O165)&gt;0,"Informe razão social ou nome fantasia",""),IF(E165="","Informe o tipo de atuação",IF(SUMPRODUCT(--($P$6:$P$205=P165))&gt;1,"Nome repetido: diferencie pelo estabelecimento",IF(AND(ISNUMBER(N165),N165&lt;TODAY()),"Validade informada vencida: conferir","OK"))))</f>
        <v/>
      </c>
      <c r="R165" s="96">
        <f>IF(AND(P165&lt;&gt;"",OR(E165="Transportador",E165="Ambos")),1,0)</f>
        <v>0</v>
      </c>
      <c r="S165" s="96" t="str">
        <f>IF(R165=1,COUNTIF($R$6:R165,1),"")</f>
        <v/>
      </c>
      <c r="T165" s="96">
        <f>IF(AND(P165&lt;&gt;"",OR(E165="Destinador",E165="Ambos")),1,0)</f>
        <v>0</v>
      </c>
      <c r="U165" s="96" t="str">
        <f>IF(T165=1,COUNTIF($T$6:T165,1),"")</f>
        <v/>
      </c>
      <c r="V165" s="96" t="str">
        <f>IF(T165=1,COUNTIFS('MTRs'!$I$6:$I$505,P165,'MTRs'!$AY$6:$AY$505,1,'MTRs'!$AA$6:$AA$505,0),"")</f>
        <v/>
      </c>
      <c r="W165" s="96" t="str">
        <f>IF(N(V165)&gt;0,V165+(1000-160)/10000,"")</f>
        <v/>
      </c>
    </row>
    <row r="166">
      <c r="A166" s="89" t="inlineStr">
        <is>
          <t>PA-161</t>
        </is>
      </c>
      <c r="B166" s="91" t="n"/>
      <c r="C166" s="91" t="n"/>
      <c r="D166" s="90" t="n"/>
      <c r="E166" s="91" t="n"/>
      <c r="F166" s="91" t="n"/>
      <c r="G166" s="91" t="n"/>
      <c r="H166" s="91" t="n"/>
      <c r="I166" s="91" t="n"/>
      <c r="J166" s="91" t="n"/>
      <c r="K166" s="90" t="n"/>
      <c r="L166" s="91" t="n"/>
      <c r="M166" s="91" t="n"/>
      <c r="N166" s="92" t="n"/>
      <c r="O166" s="91" t="n"/>
      <c r="P166" s="94" t="str">
        <f>IF(AND(B166="",C166=""),"",IF(C166&lt;&gt;"",C166,B166)&amp;IF(F166&lt;&gt;""," | "&amp;F166,""))</f>
        <v/>
      </c>
      <c r="Q166" s="94" t="str">
        <f>IF(P166="",IF(COUNTA(B166:O166)&gt;0,"Informe razão social ou nome fantasia",""),IF(E166="","Informe o tipo de atuação",IF(SUMPRODUCT(--($P$6:$P$205=P166))&gt;1,"Nome repetido: diferencie pelo estabelecimento",IF(AND(ISNUMBER(N166),N166&lt;TODAY()),"Validade informada vencida: conferir","OK"))))</f>
        <v/>
      </c>
      <c r="R166" s="96">
        <f>IF(AND(P166&lt;&gt;"",OR(E166="Transportador",E166="Ambos")),1,0)</f>
        <v>0</v>
      </c>
      <c r="S166" s="96" t="str">
        <f>IF(R166=1,COUNTIF($R$6:R166,1),"")</f>
        <v/>
      </c>
      <c r="T166" s="96">
        <f>IF(AND(P166&lt;&gt;"",OR(E166="Destinador",E166="Ambos")),1,0)</f>
        <v>0</v>
      </c>
      <c r="U166" s="96" t="str">
        <f>IF(T166=1,COUNTIF($T$6:T166,1),"")</f>
        <v/>
      </c>
      <c r="V166" s="96" t="str">
        <f>IF(T166=1,COUNTIFS('MTRs'!$I$6:$I$505,P166,'MTRs'!$AY$6:$AY$505,1,'MTRs'!$AA$6:$AA$505,0),"")</f>
        <v/>
      </c>
      <c r="W166" s="96" t="str">
        <f>IF(N(V166)&gt;0,V166+(1000-161)/10000,"")</f>
        <v/>
      </c>
    </row>
    <row r="167">
      <c r="A167" s="89" t="inlineStr">
        <is>
          <t>PA-162</t>
        </is>
      </c>
      <c r="B167" s="91" t="n"/>
      <c r="C167" s="91" t="n"/>
      <c r="D167" s="90" t="n"/>
      <c r="E167" s="91" t="n"/>
      <c r="F167" s="91" t="n"/>
      <c r="G167" s="91" t="n"/>
      <c r="H167" s="91" t="n"/>
      <c r="I167" s="91" t="n"/>
      <c r="J167" s="91" t="n"/>
      <c r="K167" s="90" t="n"/>
      <c r="L167" s="91" t="n"/>
      <c r="M167" s="91" t="n"/>
      <c r="N167" s="92" t="n"/>
      <c r="O167" s="91" t="n"/>
      <c r="P167" s="94" t="str">
        <f>IF(AND(B167="",C167=""),"",IF(C167&lt;&gt;"",C167,B167)&amp;IF(F167&lt;&gt;""," | "&amp;F167,""))</f>
        <v/>
      </c>
      <c r="Q167" s="94" t="str">
        <f>IF(P167="",IF(COUNTA(B167:O167)&gt;0,"Informe razão social ou nome fantasia",""),IF(E167="","Informe o tipo de atuação",IF(SUMPRODUCT(--($P$6:$P$205=P167))&gt;1,"Nome repetido: diferencie pelo estabelecimento",IF(AND(ISNUMBER(N167),N167&lt;TODAY()),"Validade informada vencida: conferir","OK"))))</f>
        <v/>
      </c>
      <c r="R167" s="96">
        <f>IF(AND(P167&lt;&gt;"",OR(E167="Transportador",E167="Ambos")),1,0)</f>
        <v>0</v>
      </c>
      <c r="S167" s="96" t="str">
        <f>IF(R167=1,COUNTIF($R$6:R167,1),"")</f>
        <v/>
      </c>
      <c r="T167" s="96">
        <f>IF(AND(P167&lt;&gt;"",OR(E167="Destinador",E167="Ambos")),1,0)</f>
        <v>0</v>
      </c>
      <c r="U167" s="96" t="str">
        <f>IF(T167=1,COUNTIF($T$6:T167,1),"")</f>
        <v/>
      </c>
      <c r="V167" s="96" t="str">
        <f>IF(T167=1,COUNTIFS('MTRs'!$I$6:$I$505,P167,'MTRs'!$AY$6:$AY$505,1,'MTRs'!$AA$6:$AA$505,0),"")</f>
        <v/>
      </c>
      <c r="W167" s="96" t="str">
        <f>IF(N(V167)&gt;0,V167+(1000-162)/10000,"")</f>
        <v/>
      </c>
    </row>
    <row r="168">
      <c r="A168" s="89" t="inlineStr">
        <is>
          <t>PA-163</t>
        </is>
      </c>
      <c r="B168" s="91" t="n"/>
      <c r="C168" s="91" t="n"/>
      <c r="D168" s="90" t="n"/>
      <c r="E168" s="91" t="n"/>
      <c r="F168" s="91" t="n"/>
      <c r="G168" s="91" t="n"/>
      <c r="H168" s="91" t="n"/>
      <c r="I168" s="91" t="n"/>
      <c r="J168" s="91" t="n"/>
      <c r="K168" s="90" t="n"/>
      <c r="L168" s="91" t="n"/>
      <c r="M168" s="91" t="n"/>
      <c r="N168" s="92" t="n"/>
      <c r="O168" s="91" t="n"/>
      <c r="P168" s="94" t="str">
        <f>IF(AND(B168="",C168=""),"",IF(C168&lt;&gt;"",C168,B168)&amp;IF(F168&lt;&gt;""," | "&amp;F168,""))</f>
        <v/>
      </c>
      <c r="Q168" s="94" t="str">
        <f>IF(P168="",IF(COUNTA(B168:O168)&gt;0,"Informe razão social ou nome fantasia",""),IF(E168="","Informe o tipo de atuação",IF(SUMPRODUCT(--($P$6:$P$205=P168))&gt;1,"Nome repetido: diferencie pelo estabelecimento",IF(AND(ISNUMBER(N168),N168&lt;TODAY()),"Validade informada vencida: conferir","OK"))))</f>
        <v/>
      </c>
      <c r="R168" s="96">
        <f>IF(AND(P168&lt;&gt;"",OR(E168="Transportador",E168="Ambos")),1,0)</f>
        <v>0</v>
      </c>
      <c r="S168" s="96" t="str">
        <f>IF(R168=1,COUNTIF($R$6:R168,1),"")</f>
        <v/>
      </c>
      <c r="T168" s="96">
        <f>IF(AND(P168&lt;&gt;"",OR(E168="Destinador",E168="Ambos")),1,0)</f>
        <v>0</v>
      </c>
      <c r="U168" s="96" t="str">
        <f>IF(T168=1,COUNTIF($T$6:T168,1),"")</f>
        <v/>
      </c>
      <c r="V168" s="96" t="str">
        <f>IF(T168=1,COUNTIFS('MTRs'!$I$6:$I$505,P168,'MTRs'!$AY$6:$AY$505,1,'MTRs'!$AA$6:$AA$505,0),"")</f>
        <v/>
      </c>
      <c r="W168" s="96" t="str">
        <f>IF(N(V168)&gt;0,V168+(1000-163)/10000,"")</f>
        <v/>
      </c>
    </row>
    <row r="169">
      <c r="A169" s="89" t="inlineStr">
        <is>
          <t>PA-164</t>
        </is>
      </c>
      <c r="B169" s="91" t="n"/>
      <c r="C169" s="91" t="n"/>
      <c r="D169" s="90" t="n"/>
      <c r="E169" s="91" t="n"/>
      <c r="F169" s="91" t="n"/>
      <c r="G169" s="91" t="n"/>
      <c r="H169" s="91" t="n"/>
      <c r="I169" s="91" t="n"/>
      <c r="J169" s="91" t="n"/>
      <c r="K169" s="90" t="n"/>
      <c r="L169" s="91" t="n"/>
      <c r="M169" s="91" t="n"/>
      <c r="N169" s="92" t="n"/>
      <c r="O169" s="91" t="n"/>
      <c r="P169" s="94" t="str">
        <f>IF(AND(B169="",C169=""),"",IF(C169&lt;&gt;"",C169,B169)&amp;IF(F169&lt;&gt;""," | "&amp;F169,""))</f>
        <v/>
      </c>
      <c r="Q169" s="94" t="str">
        <f>IF(P169="",IF(COUNTA(B169:O169)&gt;0,"Informe razão social ou nome fantasia",""),IF(E169="","Informe o tipo de atuação",IF(SUMPRODUCT(--($P$6:$P$205=P169))&gt;1,"Nome repetido: diferencie pelo estabelecimento",IF(AND(ISNUMBER(N169),N169&lt;TODAY()),"Validade informada vencida: conferir","OK"))))</f>
        <v/>
      </c>
      <c r="R169" s="96">
        <f>IF(AND(P169&lt;&gt;"",OR(E169="Transportador",E169="Ambos")),1,0)</f>
        <v>0</v>
      </c>
      <c r="S169" s="96" t="str">
        <f>IF(R169=1,COUNTIF($R$6:R169,1),"")</f>
        <v/>
      </c>
      <c r="T169" s="96">
        <f>IF(AND(P169&lt;&gt;"",OR(E169="Destinador",E169="Ambos")),1,0)</f>
        <v>0</v>
      </c>
      <c r="U169" s="96" t="str">
        <f>IF(T169=1,COUNTIF($T$6:T169,1),"")</f>
        <v/>
      </c>
      <c r="V169" s="96" t="str">
        <f>IF(T169=1,COUNTIFS('MTRs'!$I$6:$I$505,P169,'MTRs'!$AY$6:$AY$505,1,'MTRs'!$AA$6:$AA$505,0),"")</f>
        <v/>
      </c>
      <c r="W169" s="96" t="str">
        <f>IF(N(V169)&gt;0,V169+(1000-164)/10000,"")</f>
        <v/>
      </c>
    </row>
    <row r="170">
      <c r="A170" s="89" t="inlineStr">
        <is>
          <t>PA-165</t>
        </is>
      </c>
      <c r="B170" s="91" t="n"/>
      <c r="C170" s="91" t="n"/>
      <c r="D170" s="90" t="n"/>
      <c r="E170" s="91" t="n"/>
      <c r="F170" s="91" t="n"/>
      <c r="G170" s="91" t="n"/>
      <c r="H170" s="91" t="n"/>
      <c r="I170" s="91" t="n"/>
      <c r="J170" s="91" t="n"/>
      <c r="K170" s="90" t="n"/>
      <c r="L170" s="91" t="n"/>
      <c r="M170" s="91" t="n"/>
      <c r="N170" s="92" t="n"/>
      <c r="O170" s="91" t="n"/>
      <c r="P170" s="94" t="str">
        <f>IF(AND(B170="",C170=""),"",IF(C170&lt;&gt;"",C170,B170)&amp;IF(F170&lt;&gt;""," | "&amp;F170,""))</f>
        <v/>
      </c>
      <c r="Q170" s="94" t="str">
        <f>IF(P170="",IF(COUNTA(B170:O170)&gt;0,"Informe razão social ou nome fantasia",""),IF(E170="","Informe o tipo de atuação",IF(SUMPRODUCT(--($P$6:$P$205=P170))&gt;1,"Nome repetido: diferencie pelo estabelecimento",IF(AND(ISNUMBER(N170),N170&lt;TODAY()),"Validade informada vencida: conferir","OK"))))</f>
        <v/>
      </c>
      <c r="R170" s="96">
        <f>IF(AND(P170&lt;&gt;"",OR(E170="Transportador",E170="Ambos")),1,0)</f>
        <v>0</v>
      </c>
      <c r="S170" s="96" t="str">
        <f>IF(R170=1,COUNTIF($R$6:R170,1),"")</f>
        <v/>
      </c>
      <c r="T170" s="96">
        <f>IF(AND(P170&lt;&gt;"",OR(E170="Destinador",E170="Ambos")),1,0)</f>
        <v>0</v>
      </c>
      <c r="U170" s="96" t="str">
        <f>IF(T170=1,COUNTIF($T$6:T170,1),"")</f>
        <v/>
      </c>
      <c r="V170" s="96" t="str">
        <f>IF(T170=1,COUNTIFS('MTRs'!$I$6:$I$505,P170,'MTRs'!$AY$6:$AY$505,1,'MTRs'!$AA$6:$AA$505,0),"")</f>
        <v/>
      </c>
      <c r="W170" s="96" t="str">
        <f>IF(N(V170)&gt;0,V170+(1000-165)/10000,"")</f>
        <v/>
      </c>
    </row>
    <row r="171">
      <c r="A171" s="89" t="inlineStr">
        <is>
          <t>PA-166</t>
        </is>
      </c>
      <c r="B171" s="91" t="n"/>
      <c r="C171" s="91" t="n"/>
      <c r="D171" s="90" t="n"/>
      <c r="E171" s="91" t="n"/>
      <c r="F171" s="91" t="n"/>
      <c r="G171" s="91" t="n"/>
      <c r="H171" s="91" t="n"/>
      <c r="I171" s="91" t="n"/>
      <c r="J171" s="91" t="n"/>
      <c r="K171" s="90" t="n"/>
      <c r="L171" s="91" t="n"/>
      <c r="M171" s="91" t="n"/>
      <c r="N171" s="92" t="n"/>
      <c r="O171" s="91" t="n"/>
      <c r="P171" s="94" t="str">
        <f>IF(AND(B171="",C171=""),"",IF(C171&lt;&gt;"",C171,B171)&amp;IF(F171&lt;&gt;""," | "&amp;F171,""))</f>
        <v/>
      </c>
      <c r="Q171" s="94" t="str">
        <f>IF(P171="",IF(COUNTA(B171:O171)&gt;0,"Informe razão social ou nome fantasia",""),IF(E171="","Informe o tipo de atuação",IF(SUMPRODUCT(--($P$6:$P$205=P171))&gt;1,"Nome repetido: diferencie pelo estabelecimento",IF(AND(ISNUMBER(N171),N171&lt;TODAY()),"Validade informada vencida: conferir","OK"))))</f>
        <v/>
      </c>
      <c r="R171" s="96">
        <f>IF(AND(P171&lt;&gt;"",OR(E171="Transportador",E171="Ambos")),1,0)</f>
        <v>0</v>
      </c>
      <c r="S171" s="96" t="str">
        <f>IF(R171=1,COUNTIF($R$6:R171,1),"")</f>
        <v/>
      </c>
      <c r="T171" s="96">
        <f>IF(AND(P171&lt;&gt;"",OR(E171="Destinador",E171="Ambos")),1,0)</f>
        <v>0</v>
      </c>
      <c r="U171" s="96" t="str">
        <f>IF(T171=1,COUNTIF($T$6:T171,1),"")</f>
        <v/>
      </c>
      <c r="V171" s="96" t="str">
        <f>IF(T171=1,COUNTIFS('MTRs'!$I$6:$I$505,P171,'MTRs'!$AY$6:$AY$505,1,'MTRs'!$AA$6:$AA$505,0),"")</f>
        <v/>
      </c>
      <c r="W171" s="96" t="str">
        <f>IF(N(V171)&gt;0,V171+(1000-166)/10000,"")</f>
        <v/>
      </c>
    </row>
    <row r="172">
      <c r="A172" s="89" t="inlineStr">
        <is>
          <t>PA-167</t>
        </is>
      </c>
      <c r="B172" s="91" t="n"/>
      <c r="C172" s="91" t="n"/>
      <c r="D172" s="90" t="n"/>
      <c r="E172" s="91" t="n"/>
      <c r="F172" s="91" t="n"/>
      <c r="G172" s="91" t="n"/>
      <c r="H172" s="91" t="n"/>
      <c r="I172" s="91" t="n"/>
      <c r="J172" s="91" t="n"/>
      <c r="K172" s="90" t="n"/>
      <c r="L172" s="91" t="n"/>
      <c r="M172" s="91" t="n"/>
      <c r="N172" s="92" t="n"/>
      <c r="O172" s="91" t="n"/>
      <c r="P172" s="94" t="str">
        <f>IF(AND(B172="",C172=""),"",IF(C172&lt;&gt;"",C172,B172)&amp;IF(F172&lt;&gt;""," | "&amp;F172,""))</f>
        <v/>
      </c>
      <c r="Q172" s="94" t="str">
        <f>IF(P172="",IF(COUNTA(B172:O172)&gt;0,"Informe razão social ou nome fantasia",""),IF(E172="","Informe o tipo de atuação",IF(SUMPRODUCT(--($P$6:$P$205=P172))&gt;1,"Nome repetido: diferencie pelo estabelecimento",IF(AND(ISNUMBER(N172),N172&lt;TODAY()),"Validade informada vencida: conferir","OK"))))</f>
        <v/>
      </c>
      <c r="R172" s="96">
        <f>IF(AND(P172&lt;&gt;"",OR(E172="Transportador",E172="Ambos")),1,0)</f>
        <v>0</v>
      </c>
      <c r="S172" s="96" t="str">
        <f>IF(R172=1,COUNTIF($R$6:R172,1),"")</f>
        <v/>
      </c>
      <c r="T172" s="96">
        <f>IF(AND(P172&lt;&gt;"",OR(E172="Destinador",E172="Ambos")),1,0)</f>
        <v>0</v>
      </c>
      <c r="U172" s="96" t="str">
        <f>IF(T172=1,COUNTIF($T$6:T172,1),"")</f>
        <v/>
      </c>
      <c r="V172" s="96" t="str">
        <f>IF(T172=1,COUNTIFS('MTRs'!$I$6:$I$505,P172,'MTRs'!$AY$6:$AY$505,1,'MTRs'!$AA$6:$AA$505,0),"")</f>
        <v/>
      </c>
      <c r="W172" s="96" t="str">
        <f>IF(N(V172)&gt;0,V172+(1000-167)/10000,"")</f>
        <v/>
      </c>
    </row>
    <row r="173">
      <c r="A173" s="89" t="inlineStr">
        <is>
          <t>PA-168</t>
        </is>
      </c>
      <c r="B173" s="91" t="n"/>
      <c r="C173" s="91" t="n"/>
      <c r="D173" s="90" t="n"/>
      <c r="E173" s="91" t="n"/>
      <c r="F173" s="91" t="n"/>
      <c r="G173" s="91" t="n"/>
      <c r="H173" s="91" t="n"/>
      <c r="I173" s="91" t="n"/>
      <c r="J173" s="91" t="n"/>
      <c r="K173" s="90" t="n"/>
      <c r="L173" s="91" t="n"/>
      <c r="M173" s="91" t="n"/>
      <c r="N173" s="92" t="n"/>
      <c r="O173" s="91" t="n"/>
      <c r="P173" s="94" t="str">
        <f>IF(AND(B173="",C173=""),"",IF(C173&lt;&gt;"",C173,B173)&amp;IF(F173&lt;&gt;""," | "&amp;F173,""))</f>
        <v/>
      </c>
      <c r="Q173" s="94" t="str">
        <f>IF(P173="",IF(COUNTA(B173:O173)&gt;0,"Informe razão social ou nome fantasia",""),IF(E173="","Informe o tipo de atuação",IF(SUMPRODUCT(--($P$6:$P$205=P173))&gt;1,"Nome repetido: diferencie pelo estabelecimento",IF(AND(ISNUMBER(N173),N173&lt;TODAY()),"Validade informada vencida: conferir","OK"))))</f>
        <v/>
      </c>
      <c r="R173" s="96">
        <f>IF(AND(P173&lt;&gt;"",OR(E173="Transportador",E173="Ambos")),1,0)</f>
        <v>0</v>
      </c>
      <c r="S173" s="96" t="str">
        <f>IF(R173=1,COUNTIF($R$6:R173,1),"")</f>
        <v/>
      </c>
      <c r="T173" s="96">
        <f>IF(AND(P173&lt;&gt;"",OR(E173="Destinador",E173="Ambos")),1,0)</f>
        <v>0</v>
      </c>
      <c r="U173" s="96" t="str">
        <f>IF(T173=1,COUNTIF($T$6:T173,1),"")</f>
        <v/>
      </c>
      <c r="V173" s="96" t="str">
        <f>IF(T173=1,COUNTIFS('MTRs'!$I$6:$I$505,P173,'MTRs'!$AY$6:$AY$505,1,'MTRs'!$AA$6:$AA$505,0),"")</f>
        <v/>
      </c>
      <c r="W173" s="96" t="str">
        <f>IF(N(V173)&gt;0,V173+(1000-168)/10000,"")</f>
        <v/>
      </c>
    </row>
    <row r="174">
      <c r="A174" s="89" t="inlineStr">
        <is>
          <t>PA-169</t>
        </is>
      </c>
      <c r="B174" s="91" t="n"/>
      <c r="C174" s="91" t="n"/>
      <c r="D174" s="90" t="n"/>
      <c r="E174" s="91" t="n"/>
      <c r="F174" s="91" t="n"/>
      <c r="G174" s="91" t="n"/>
      <c r="H174" s="91" t="n"/>
      <c r="I174" s="91" t="n"/>
      <c r="J174" s="91" t="n"/>
      <c r="K174" s="90" t="n"/>
      <c r="L174" s="91" t="n"/>
      <c r="M174" s="91" t="n"/>
      <c r="N174" s="92" t="n"/>
      <c r="O174" s="91" t="n"/>
      <c r="P174" s="94" t="str">
        <f>IF(AND(B174="",C174=""),"",IF(C174&lt;&gt;"",C174,B174)&amp;IF(F174&lt;&gt;""," | "&amp;F174,""))</f>
        <v/>
      </c>
      <c r="Q174" s="94" t="str">
        <f>IF(P174="",IF(COUNTA(B174:O174)&gt;0,"Informe razão social ou nome fantasia",""),IF(E174="","Informe o tipo de atuação",IF(SUMPRODUCT(--($P$6:$P$205=P174))&gt;1,"Nome repetido: diferencie pelo estabelecimento",IF(AND(ISNUMBER(N174),N174&lt;TODAY()),"Validade informada vencida: conferir","OK"))))</f>
        <v/>
      </c>
      <c r="R174" s="96">
        <f>IF(AND(P174&lt;&gt;"",OR(E174="Transportador",E174="Ambos")),1,0)</f>
        <v>0</v>
      </c>
      <c r="S174" s="96" t="str">
        <f>IF(R174=1,COUNTIF($R$6:R174,1),"")</f>
        <v/>
      </c>
      <c r="T174" s="96">
        <f>IF(AND(P174&lt;&gt;"",OR(E174="Destinador",E174="Ambos")),1,0)</f>
        <v>0</v>
      </c>
      <c r="U174" s="96" t="str">
        <f>IF(T174=1,COUNTIF($T$6:T174,1),"")</f>
        <v/>
      </c>
      <c r="V174" s="96" t="str">
        <f>IF(T174=1,COUNTIFS('MTRs'!$I$6:$I$505,P174,'MTRs'!$AY$6:$AY$505,1,'MTRs'!$AA$6:$AA$505,0),"")</f>
        <v/>
      </c>
      <c r="W174" s="96" t="str">
        <f>IF(N(V174)&gt;0,V174+(1000-169)/10000,"")</f>
        <v/>
      </c>
    </row>
    <row r="175">
      <c r="A175" s="89" t="inlineStr">
        <is>
          <t>PA-170</t>
        </is>
      </c>
      <c r="B175" s="91" t="n"/>
      <c r="C175" s="91" t="n"/>
      <c r="D175" s="90" t="n"/>
      <c r="E175" s="91" t="n"/>
      <c r="F175" s="91" t="n"/>
      <c r="G175" s="91" t="n"/>
      <c r="H175" s="91" t="n"/>
      <c r="I175" s="91" t="n"/>
      <c r="J175" s="91" t="n"/>
      <c r="K175" s="90" t="n"/>
      <c r="L175" s="91" t="n"/>
      <c r="M175" s="91" t="n"/>
      <c r="N175" s="92" t="n"/>
      <c r="O175" s="91" t="n"/>
      <c r="P175" s="94" t="str">
        <f>IF(AND(B175="",C175=""),"",IF(C175&lt;&gt;"",C175,B175)&amp;IF(F175&lt;&gt;""," | "&amp;F175,""))</f>
        <v/>
      </c>
      <c r="Q175" s="94" t="str">
        <f>IF(P175="",IF(COUNTA(B175:O175)&gt;0,"Informe razão social ou nome fantasia",""),IF(E175="","Informe o tipo de atuação",IF(SUMPRODUCT(--($P$6:$P$205=P175))&gt;1,"Nome repetido: diferencie pelo estabelecimento",IF(AND(ISNUMBER(N175),N175&lt;TODAY()),"Validade informada vencida: conferir","OK"))))</f>
        <v/>
      </c>
      <c r="R175" s="96">
        <f>IF(AND(P175&lt;&gt;"",OR(E175="Transportador",E175="Ambos")),1,0)</f>
        <v>0</v>
      </c>
      <c r="S175" s="96" t="str">
        <f>IF(R175=1,COUNTIF($R$6:R175,1),"")</f>
        <v/>
      </c>
      <c r="T175" s="96">
        <f>IF(AND(P175&lt;&gt;"",OR(E175="Destinador",E175="Ambos")),1,0)</f>
        <v>0</v>
      </c>
      <c r="U175" s="96" t="str">
        <f>IF(T175=1,COUNTIF($T$6:T175,1),"")</f>
        <v/>
      </c>
      <c r="V175" s="96" t="str">
        <f>IF(T175=1,COUNTIFS('MTRs'!$I$6:$I$505,P175,'MTRs'!$AY$6:$AY$505,1,'MTRs'!$AA$6:$AA$505,0),"")</f>
        <v/>
      </c>
      <c r="W175" s="96" t="str">
        <f>IF(N(V175)&gt;0,V175+(1000-170)/10000,"")</f>
        <v/>
      </c>
    </row>
    <row r="176">
      <c r="A176" s="89" t="inlineStr">
        <is>
          <t>PA-171</t>
        </is>
      </c>
      <c r="B176" s="91" t="n"/>
      <c r="C176" s="91" t="n"/>
      <c r="D176" s="90" t="n"/>
      <c r="E176" s="91" t="n"/>
      <c r="F176" s="91" t="n"/>
      <c r="G176" s="91" t="n"/>
      <c r="H176" s="91" t="n"/>
      <c r="I176" s="91" t="n"/>
      <c r="J176" s="91" t="n"/>
      <c r="K176" s="90" t="n"/>
      <c r="L176" s="91" t="n"/>
      <c r="M176" s="91" t="n"/>
      <c r="N176" s="92" t="n"/>
      <c r="O176" s="91" t="n"/>
      <c r="P176" s="94" t="str">
        <f>IF(AND(B176="",C176=""),"",IF(C176&lt;&gt;"",C176,B176)&amp;IF(F176&lt;&gt;""," | "&amp;F176,""))</f>
        <v/>
      </c>
      <c r="Q176" s="94" t="str">
        <f>IF(P176="",IF(COUNTA(B176:O176)&gt;0,"Informe razão social ou nome fantasia",""),IF(E176="","Informe o tipo de atuação",IF(SUMPRODUCT(--($P$6:$P$205=P176))&gt;1,"Nome repetido: diferencie pelo estabelecimento",IF(AND(ISNUMBER(N176),N176&lt;TODAY()),"Validade informada vencida: conferir","OK"))))</f>
        <v/>
      </c>
      <c r="R176" s="96">
        <f>IF(AND(P176&lt;&gt;"",OR(E176="Transportador",E176="Ambos")),1,0)</f>
        <v>0</v>
      </c>
      <c r="S176" s="96" t="str">
        <f>IF(R176=1,COUNTIF($R$6:R176,1),"")</f>
        <v/>
      </c>
      <c r="T176" s="96">
        <f>IF(AND(P176&lt;&gt;"",OR(E176="Destinador",E176="Ambos")),1,0)</f>
        <v>0</v>
      </c>
      <c r="U176" s="96" t="str">
        <f>IF(T176=1,COUNTIF($T$6:T176,1),"")</f>
        <v/>
      </c>
      <c r="V176" s="96" t="str">
        <f>IF(T176=1,COUNTIFS('MTRs'!$I$6:$I$505,P176,'MTRs'!$AY$6:$AY$505,1,'MTRs'!$AA$6:$AA$505,0),"")</f>
        <v/>
      </c>
      <c r="W176" s="96" t="str">
        <f>IF(N(V176)&gt;0,V176+(1000-171)/10000,"")</f>
        <v/>
      </c>
    </row>
    <row r="177">
      <c r="A177" s="89" t="inlineStr">
        <is>
          <t>PA-172</t>
        </is>
      </c>
      <c r="B177" s="91" t="n"/>
      <c r="C177" s="91" t="n"/>
      <c r="D177" s="90" t="n"/>
      <c r="E177" s="91" t="n"/>
      <c r="F177" s="91" t="n"/>
      <c r="G177" s="91" t="n"/>
      <c r="H177" s="91" t="n"/>
      <c r="I177" s="91" t="n"/>
      <c r="J177" s="91" t="n"/>
      <c r="K177" s="90" t="n"/>
      <c r="L177" s="91" t="n"/>
      <c r="M177" s="91" t="n"/>
      <c r="N177" s="92" t="n"/>
      <c r="O177" s="91" t="n"/>
      <c r="P177" s="94" t="str">
        <f>IF(AND(B177="",C177=""),"",IF(C177&lt;&gt;"",C177,B177)&amp;IF(F177&lt;&gt;""," | "&amp;F177,""))</f>
        <v/>
      </c>
      <c r="Q177" s="94" t="str">
        <f>IF(P177="",IF(COUNTA(B177:O177)&gt;0,"Informe razão social ou nome fantasia",""),IF(E177="","Informe o tipo de atuação",IF(SUMPRODUCT(--($P$6:$P$205=P177))&gt;1,"Nome repetido: diferencie pelo estabelecimento",IF(AND(ISNUMBER(N177),N177&lt;TODAY()),"Validade informada vencida: conferir","OK"))))</f>
        <v/>
      </c>
      <c r="R177" s="96">
        <f>IF(AND(P177&lt;&gt;"",OR(E177="Transportador",E177="Ambos")),1,0)</f>
        <v>0</v>
      </c>
      <c r="S177" s="96" t="str">
        <f>IF(R177=1,COUNTIF($R$6:R177,1),"")</f>
        <v/>
      </c>
      <c r="T177" s="96">
        <f>IF(AND(P177&lt;&gt;"",OR(E177="Destinador",E177="Ambos")),1,0)</f>
        <v>0</v>
      </c>
      <c r="U177" s="96" t="str">
        <f>IF(T177=1,COUNTIF($T$6:T177,1),"")</f>
        <v/>
      </c>
      <c r="V177" s="96" t="str">
        <f>IF(T177=1,COUNTIFS('MTRs'!$I$6:$I$505,P177,'MTRs'!$AY$6:$AY$505,1,'MTRs'!$AA$6:$AA$505,0),"")</f>
        <v/>
      </c>
      <c r="W177" s="96" t="str">
        <f>IF(N(V177)&gt;0,V177+(1000-172)/10000,"")</f>
        <v/>
      </c>
    </row>
    <row r="178">
      <c r="A178" s="89" t="inlineStr">
        <is>
          <t>PA-173</t>
        </is>
      </c>
      <c r="B178" s="91" t="n"/>
      <c r="C178" s="91" t="n"/>
      <c r="D178" s="90" t="n"/>
      <c r="E178" s="91" t="n"/>
      <c r="F178" s="91" t="n"/>
      <c r="G178" s="91" t="n"/>
      <c r="H178" s="91" t="n"/>
      <c r="I178" s="91" t="n"/>
      <c r="J178" s="91" t="n"/>
      <c r="K178" s="90" t="n"/>
      <c r="L178" s="91" t="n"/>
      <c r="M178" s="91" t="n"/>
      <c r="N178" s="92" t="n"/>
      <c r="O178" s="91" t="n"/>
      <c r="P178" s="94" t="str">
        <f>IF(AND(B178="",C178=""),"",IF(C178&lt;&gt;"",C178,B178)&amp;IF(F178&lt;&gt;""," | "&amp;F178,""))</f>
        <v/>
      </c>
      <c r="Q178" s="94" t="str">
        <f>IF(P178="",IF(COUNTA(B178:O178)&gt;0,"Informe razão social ou nome fantasia",""),IF(E178="","Informe o tipo de atuação",IF(SUMPRODUCT(--($P$6:$P$205=P178))&gt;1,"Nome repetido: diferencie pelo estabelecimento",IF(AND(ISNUMBER(N178),N178&lt;TODAY()),"Validade informada vencida: conferir","OK"))))</f>
        <v/>
      </c>
      <c r="R178" s="96">
        <f>IF(AND(P178&lt;&gt;"",OR(E178="Transportador",E178="Ambos")),1,0)</f>
        <v>0</v>
      </c>
      <c r="S178" s="96" t="str">
        <f>IF(R178=1,COUNTIF($R$6:R178,1),"")</f>
        <v/>
      </c>
      <c r="T178" s="96">
        <f>IF(AND(P178&lt;&gt;"",OR(E178="Destinador",E178="Ambos")),1,0)</f>
        <v>0</v>
      </c>
      <c r="U178" s="96" t="str">
        <f>IF(T178=1,COUNTIF($T$6:T178,1),"")</f>
        <v/>
      </c>
      <c r="V178" s="96" t="str">
        <f>IF(T178=1,COUNTIFS('MTRs'!$I$6:$I$505,P178,'MTRs'!$AY$6:$AY$505,1,'MTRs'!$AA$6:$AA$505,0),"")</f>
        <v/>
      </c>
      <c r="W178" s="96" t="str">
        <f>IF(N(V178)&gt;0,V178+(1000-173)/10000,"")</f>
        <v/>
      </c>
    </row>
    <row r="179">
      <c r="A179" s="89" t="inlineStr">
        <is>
          <t>PA-174</t>
        </is>
      </c>
      <c r="B179" s="91" t="n"/>
      <c r="C179" s="91" t="n"/>
      <c r="D179" s="90" t="n"/>
      <c r="E179" s="91" t="n"/>
      <c r="F179" s="91" t="n"/>
      <c r="G179" s="91" t="n"/>
      <c r="H179" s="91" t="n"/>
      <c r="I179" s="91" t="n"/>
      <c r="J179" s="91" t="n"/>
      <c r="K179" s="90" t="n"/>
      <c r="L179" s="91" t="n"/>
      <c r="M179" s="91" t="n"/>
      <c r="N179" s="92" t="n"/>
      <c r="O179" s="91" t="n"/>
      <c r="P179" s="94" t="str">
        <f>IF(AND(B179="",C179=""),"",IF(C179&lt;&gt;"",C179,B179)&amp;IF(F179&lt;&gt;""," | "&amp;F179,""))</f>
        <v/>
      </c>
      <c r="Q179" s="94" t="str">
        <f>IF(P179="",IF(COUNTA(B179:O179)&gt;0,"Informe razão social ou nome fantasia",""),IF(E179="","Informe o tipo de atuação",IF(SUMPRODUCT(--($P$6:$P$205=P179))&gt;1,"Nome repetido: diferencie pelo estabelecimento",IF(AND(ISNUMBER(N179),N179&lt;TODAY()),"Validade informada vencida: conferir","OK"))))</f>
        <v/>
      </c>
      <c r="R179" s="96">
        <f>IF(AND(P179&lt;&gt;"",OR(E179="Transportador",E179="Ambos")),1,0)</f>
        <v>0</v>
      </c>
      <c r="S179" s="96" t="str">
        <f>IF(R179=1,COUNTIF($R$6:R179,1),"")</f>
        <v/>
      </c>
      <c r="T179" s="96">
        <f>IF(AND(P179&lt;&gt;"",OR(E179="Destinador",E179="Ambos")),1,0)</f>
        <v>0</v>
      </c>
      <c r="U179" s="96" t="str">
        <f>IF(T179=1,COUNTIF($T$6:T179,1),"")</f>
        <v/>
      </c>
      <c r="V179" s="96" t="str">
        <f>IF(T179=1,COUNTIFS('MTRs'!$I$6:$I$505,P179,'MTRs'!$AY$6:$AY$505,1,'MTRs'!$AA$6:$AA$505,0),"")</f>
        <v/>
      </c>
      <c r="W179" s="96" t="str">
        <f>IF(N(V179)&gt;0,V179+(1000-174)/10000,"")</f>
        <v/>
      </c>
    </row>
    <row r="180">
      <c r="A180" s="89" t="inlineStr">
        <is>
          <t>PA-175</t>
        </is>
      </c>
      <c r="B180" s="91" t="n"/>
      <c r="C180" s="91" t="n"/>
      <c r="D180" s="90" t="n"/>
      <c r="E180" s="91" t="n"/>
      <c r="F180" s="91" t="n"/>
      <c r="G180" s="91" t="n"/>
      <c r="H180" s="91" t="n"/>
      <c r="I180" s="91" t="n"/>
      <c r="J180" s="91" t="n"/>
      <c r="K180" s="90" t="n"/>
      <c r="L180" s="91" t="n"/>
      <c r="M180" s="91" t="n"/>
      <c r="N180" s="92" t="n"/>
      <c r="O180" s="91" t="n"/>
      <c r="P180" s="94" t="str">
        <f>IF(AND(B180="",C180=""),"",IF(C180&lt;&gt;"",C180,B180)&amp;IF(F180&lt;&gt;""," | "&amp;F180,""))</f>
        <v/>
      </c>
      <c r="Q180" s="94" t="str">
        <f>IF(P180="",IF(COUNTA(B180:O180)&gt;0,"Informe razão social ou nome fantasia",""),IF(E180="","Informe o tipo de atuação",IF(SUMPRODUCT(--($P$6:$P$205=P180))&gt;1,"Nome repetido: diferencie pelo estabelecimento",IF(AND(ISNUMBER(N180),N180&lt;TODAY()),"Validade informada vencida: conferir","OK"))))</f>
        <v/>
      </c>
      <c r="R180" s="96">
        <f>IF(AND(P180&lt;&gt;"",OR(E180="Transportador",E180="Ambos")),1,0)</f>
        <v>0</v>
      </c>
      <c r="S180" s="96" t="str">
        <f>IF(R180=1,COUNTIF($R$6:R180,1),"")</f>
        <v/>
      </c>
      <c r="T180" s="96">
        <f>IF(AND(P180&lt;&gt;"",OR(E180="Destinador",E180="Ambos")),1,0)</f>
        <v>0</v>
      </c>
      <c r="U180" s="96" t="str">
        <f>IF(T180=1,COUNTIF($T$6:T180,1),"")</f>
        <v/>
      </c>
      <c r="V180" s="96" t="str">
        <f>IF(T180=1,COUNTIFS('MTRs'!$I$6:$I$505,P180,'MTRs'!$AY$6:$AY$505,1,'MTRs'!$AA$6:$AA$505,0),"")</f>
        <v/>
      </c>
      <c r="W180" s="96" t="str">
        <f>IF(N(V180)&gt;0,V180+(1000-175)/10000,"")</f>
        <v/>
      </c>
    </row>
    <row r="181">
      <c r="A181" s="89" t="inlineStr">
        <is>
          <t>PA-176</t>
        </is>
      </c>
      <c r="B181" s="91" t="n"/>
      <c r="C181" s="91" t="n"/>
      <c r="D181" s="90" t="n"/>
      <c r="E181" s="91" t="n"/>
      <c r="F181" s="91" t="n"/>
      <c r="G181" s="91" t="n"/>
      <c r="H181" s="91" t="n"/>
      <c r="I181" s="91" t="n"/>
      <c r="J181" s="91" t="n"/>
      <c r="K181" s="90" t="n"/>
      <c r="L181" s="91" t="n"/>
      <c r="M181" s="91" t="n"/>
      <c r="N181" s="92" t="n"/>
      <c r="O181" s="91" t="n"/>
      <c r="P181" s="94" t="str">
        <f>IF(AND(B181="",C181=""),"",IF(C181&lt;&gt;"",C181,B181)&amp;IF(F181&lt;&gt;""," | "&amp;F181,""))</f>
        <v/>
      </c>
      <c r="Q181" s="94" t="str">
        <f>IF(P181="",IF(COUNTA(B181:O181)&gt;0,"Informe razão social ou nome fantasia",""),IF(E181="","Informe o tipo de atuação",IF(SUMPRODUCT(--($P$6:$P$205=P181))&gt;1,"Nome repetido: diferencie pelo estabelecimento",IF(AND(ISNUMBER(N181),N181&lt;TODAY()),"Validade informada vencida: conferir","OK"))))</f>
        <v/>
      </c>
      <c r="R181" s="96">
        <f>IF(AND(P181&lt;&gt;"",OR(E181="Transportador",E181="Ambos")),1,0)</f>
        <v>0</v>
      </c>
      <c r="S181" s="96" t="str">
        <f>IF(R181=1,COUNTIF($R$6:R181,1),"")</f>
        <v/>
      </c>
      <c r="T181" s="96">
        <f>IF(AND(P181&lt;&gt;"",OR(E181="Destinador",E181="Ambos")),1,0)</f>
        <v>0</v>
      </c>
      <c r="U181" s="96" t="str">
        <f>IF(T181=1,COUNTIF($T$6:T181,1),"")</f>
        <v/>
      </c>
      <c r="V181" s="96" t="str">
        <f>IF(T181=1,COUNTIFS('MTRs'!$I$6:$I$505,P181,'MTRs'!$AY$6:$AY$505,1,'MTRs'!$AA$6:$AA$505,0),"")</f>
        <v/>
      </c>
      <c r="W181" s="96" t="str">
        <f>IF(N(V181)&gt;0,V181+(1000-176)/10000,"")</f>
        <v/>
      </c>
    </row>
    <row r="182">
      <c r="A182" s="89" t="inlineStr">
        <is>
          <t>PA-177</t>
        </is>
      </c>
      <c r="B182" s="91" t="n"/>
      <c r="C182" s="91" t="n"/>
      <c r="D182" s="90" t="n"/>
      <c r="E182" s="91" t="n"/>
      <c r="F182" s="91" t="n"/>
      <c r="G182" s="91" t="n"/>
      <c r="H182" s="91" t="n"/>
      <c r="I182" s="91" t="n"/>
      <c r="J182" s="91" t="n"/>
      <c r="K182" s="90" t="n"/>
      <c r="L182" s="91" t="n"/>
      <c r="M182" s="91" t="n"/>
      <c r="N182" s="92" t="n"/>
      <c r="O182" s="91" t="n"/>
      <c r="P182" s="94" t="str">
        <f>IF(AND(B182="",C182=""),"",IF(C182&lt;&gt;"",C182,B182)&amp;IF(F182&lt;&gt;""," | "&amp;F182,""))</f>
        <v/>
      </c>
      <c r="Q182" s="94" t="str">
        <f>IF(P182="",IF(COUNTA(B182:O182)&gt;0,"Informe razão social ou nome fantasia",""),IF(E182="","Informe o tipo de atuação",IF(SUMPRODUCT(--($P$6:$P$205=P182))&gt;1,"Nome repetido: diferencie pelo estabelecimento",IF(AND(ISNUMBER(N182),N182&lt;TODAY()),"Validade informada vencida: conferir","OK"))))</f>
        <v/>
      </c>
      <c r="R182" s="96">
        <f>IF(AND(P182&lt;&gt;"",OR(E182="Transportador",E182="Ambos")),1,0)</f>
        <v>0</v>
      </c>
      <c r="S182" s="96" t="str">
        <f>IF(R182=1,COUNTIF($R$6:R182,1),"")</f>
        <v/>
      </c>
      <c r="T182" s="96">
        <f>IF(AND(P182&lt;&gt;"",OR(E182="Destinador",E182="Ambos")),1,0)</f>
        <v>0</v>
      </c>
      <c r="U182" s="96" t="str">
        <f>IF(T182=1,COUNTIF($T$6:T182,1),"")</f>
        <v/>
      </c>
      <c r="V182" s="96" t="str">
        <f>IF(T182=1,COUNTIFS('MTRs'!$I$6:$I$505,P182,'MTRs'!$AY$6:$AY$505,1,'MTRs'!$AA$6:$AA$505,0),"")</f>
        <v/>
      </c>
      <c r="W182" s="96" t="str">
        <f>IF(N(V182)&gt;0,V182+(1000-177)/10000,"")</f>
        <v/>
      </c>
    </row>
    <row r="183">
      <c r="A183" s="89" t="inlineStr">
        <is>
          <t>PA-178</t>
        </is>
      </c>
      <c r="B183" s="91" t="n"/>
      <c r="C183" s="91" t="n"/>
      <c r="D183" s="90" t="n"/>
      <c r="E183" s="91" t="n"/>
      <c r="F183" s="91" t="n"/>
      <c r="G183" s="91" t="n"/>
      <c r="H183" s="91" t="n"/>
      <c r="I183" s="91" t="n"/>
      <c r="J183" s="91" t="n"/>
      <c r="K183" s="90" t="n"/>
      <c r="L183" s="91" t="n"/>
      <c r="M183" s="91" t="n"/>
      <c r="N183" s="92" t="n"/>
      <c r="O183" s="91" t="n"/>
      <c r="P183" s="94" t="str">
        <f>IF(AND(B183="",C183=""),"",IF(C183&lt;&gt;"",C183,B183)&amp;IF(F183&lt;&gt;""," | "&amp;F183,""))</f>
        <v/>
      </c>
      <c r="Q183" s="94" t="str">
        <f>IF(P183="",IF(COUNTA(B183:O183)&gt;0,"Informe razão social ou nome fantasia",""),IF(E183="","Informe o tipo de atuação",IF(SUMPRODUCT(--($P$6:$P$205=P183))&gt;1,"Nome repetido: diferencie pelo estabelecimento",IF(AND(ISNUMBER(N183),N183&lt;TODAY()),"Validade informada vencida: conferir","OK"))))</f>
        <v/>
      </c>
      <c r="R183" s="96">
        <f>IF(AND(P183&lt;&gt;"",OR(E183="Transportador",E183="Ambos")),1,0)</f>
        <v>0</v>
      </c>
      <c r="S183" s="96" t="str">
        <f>IF(R183=1,COUNTIF($R$6:R183,1),"")</f>
        <v/>
      </c>
      <c r="T183" s="96">
        <f>IF(AND(P183&lt;&gt;"",OR(E183="Destinador",E183="Ambos")),1,0)</f>
        <v>0</v>
      </c>
      <c r="U183" s="96" t="str">
        <f>IF(T183=1,COUNTIF($T$6:T183,1),"")</f>
        <v/>
      </c>
      <c r="V183" s="96" t="str">
        <f>IF(T183=1,COUNTIFS('MTRs'!$I$6:$I$505,P183,'MTRs'!$AY$6:$AY$505,1,'MTRs'!$AA$6:$AA$505,0),"")</f>
        <v/>
      </c>
      <c r="W183" s="96" t="str">
        <f>IF(N(V183)&gt;0,V183+(1000-178)/10000,"")</f>
        <v/>
      </c>
    </row>
    <row r="184">
      <c r="A184" s="89" t="inlineStr">
        <is>
          <t>PA-179</t>
        </is>
      </c>
      <c r="B184" s="91" t="n"/>
      <c r="C184" s="91" t="n"/>
      <c r="D184" s="90" t="n"/>
      <c r="E184" s="91" t="n"/>
      <c r="F184" s="91" t="n"/>
      <c r="G184" s="91" t="n"/>
      <c r="H184" s="91" t="n"/>
      <c r="I184" s="91" t="n"/>
      <c r="J184" s="91" t="n"/>
      <c r="K184" s="90" t="n"/>
      <c r="L184" s="91" t="n"/>
      <c r="M184" s="91" t="n"/>
      <c r="N184" s="92" t="n"/>
      <c r="O184" s="91" t="n"/>
      <c r="P184" s="94" t="str">
        <f>IF(AND(B184="",C184=""),"",IF(C184&lt;&gt;"",C184,B184)&amp;IF(F184&lt;&gt;""," | "&amp;F184,""))</f>
        <v/>
      </c>
      <c r="Q184" s="94" t="str">
        <f>IF(P184="",IF(COUNTA(B184:O184)&gt;0,"Informe razão social ou nome fantasia",""),IF(E184="","Informe o tipo de atuação",IF(SUMPRODUCT(--($P$6:$P$205=P184))&gt;1,"Nome repetido: diferencie pelo estabelecimento",IF(AND(ISNUMBER(N184),N184&lt;TODAY()),"Validade informada vencida: conferir","OK"))))</f>
        <v/>
      </c>
      <c r="R184" s="96">
        <f>IF(AND(P184&lt;&gt;"",OR(E184="Transportador",E184="Ambos")),1,0)</f>
        <v>0</v>
      </c>
      <c r="S184" s="96" t="str">
        <f>IF(R184=1,COUNTIF($R$6:R184,1),"")</f>
        <v/>
      </c>
      <c r="T184" s="96">
        <f>IF(AND(P184&lt;&gt;"",OR(E184="Destinador",E184="Ambos")),1,0)</f>
        <v>0</v>
      </c>
      <c r="U184" s="96" t="str">
        <f>IF(T184=1,COUNTIF($T$6:T184,1),"")</f>
        <v/>
      </c>
      <c r="V184" s="96" t="str">
        <f>IF(T184=1,COUNTIFS('MTRs'!$I$6:$I$505,P184,'MTRs'!$AY$6:$AY$505,1,'MTRs'!$AA$6:$AA$505,0),"")</f>
        <v/>
      </c>
      <c r="W184" s="96" t="str">
        <f>IF(N(V184)&gt;0,V184+(1000-179)/10000,"")</f>
        <v/>
      </c>
    </row>
    <row r="185">
      <c r="A185" s="89" t="inlineStr">
        <is>
          <t>PA-180</t>
        </is>
      </c>
      <c r="B185" s="91" t="n"/>
      <c r="C185" s="91" t="n"/>
      <c r="D185" s="90" t="n"/>
      <c r="E185" s="91" t="n"/>
      <c r="F185" s="91" t="n"/>
      <c r="G185" s="91" t="n"/>
      <c r="H185" s="91" t="n"/>
      <c r="I185" s="91" t="n"/>
      <c r="J185" s="91" t="n"/>
      <c r="K185" s="90" t="n"/>
      <c r="L185" s="91" t="n"/>
      <c r="M185" s="91" t="n"/>
      <c r="N185" s="92" t="n"/>
      <c r="O185" s="91" t="n"/>
      <c r="P185" s="94" t="str">
        <f>IF(AND(B185="",C185=""),"",IF(C185&lt;&gt;"",C185,B185)&amp;IF(F185&lt;&gt;""," | "&amp;F185,""))</f>
        <v/>
      </c>
      <c r="Q185" s="94" t="str">
        <f>IF(P185="",IF(COUNTA(B185:O185)&gt;0,"Informe razão social ou nome fantasia",""),IF(E185="","Informe o tipo de atuação",IF(SUMPRODUCT(--($P$6:$P$205=P185))&gt;1,"Nome repetido: diferencie pelo estabelecimento",IF(AND(ISNUMBER(N185),N185&lt;TODAY()),"Validade informada vencida: conferir","OK"))))</f>
        <v/>
      </c>
      <c r="R185" s="96">
        <f>IF(AND(P185&lt;&gt;"",OR(E185="Transportador",E185="Ambos")),1,0)</f>
        <v>0</v>
      </c>
      <c r="S185" s="96" t="str">
        <f>IF(R185=1,COUNTIF($R$6:R185,1),"")</f>
        <v/>
      </c>
      <c r="T185" s="96">
        <f>IF(AND(P185&lt;&gt;"",OR(E185="Destinador",E185="Ambos")),1,0)</f>
        <v>0</v>
      </c>
      <c r="U185" s="96" t="str">
        <f>IF(T185=1,COUNTIF($T$6:T185,1),"")</f>
        <v/>
      </c>
      <c r="V185" s="96" t="str">
        <f>IF(T185=1,COUNTIFS('MTRs'!$I$6:$I$505,P185,'MTRs'!$AY$6:$AY$505,1,'MTRs'!$AA$6:$AA$505,0),"")</f>
        <v/>
      </c>
      <c r="W185" s="96" t="str">
        <f>IF(N(V185)&gt;0,V185+(1000-180)/10000,"")</f>
        <v/>
      </c>
    </row>
    <row r="186">
      <c r="A186" s="89" t="inlineStr">
        <is>
          <t>PA-181</t>
        </is>
      </c>
      <c r="B186" s="91" t="n"/>
      <c r="C186" s="91" t="n"/>
      <c r="D186" s="90" t="n"/>
      <c r="E186" s="91" t="n"/>
      <c r="F186" s="91" t="n"/>
      <c r="G186" s="91" t="n"/>
      <c r="H186" s="91" t="n"/>
      <c r="I186" s="91" t="n"/>
      <c r="J186" s="91" t="n"/>
      <c r="K186" s="90" t="n"/>
      <c r="L186" s="91" t="n"/>
      <c r="M186" s="91" t="n"/>
      <c r="N186" s="92" t="n"/>
      <c r="O186" s="91" t="n"/>
      <c r="P186" s="94" t="str">
        <f>IF(AND(B186="",C186=""),"",IF(C186&lt;&gt;"",C186,B186)&amp;IF(F186&lt;&gt;""," | "&amp;F186,""))</f>
        <v/>
      </c>
      <c r="Q186" s="94" t="str">
        <f>IF(P186="",IF(COUNTA(B186:O186)&gt;0,"Informe razão social ou nome fantasia",""),IF(E186="","Informe o tipo de atuação",IF(SUMPRODUCT(--($P$6:$P$205=P186))&gt;1,"Nome repetido: diferencie pelo estabelecimento",IF(AND(ISNUMBER(N186),N186&lt;TODAY()),"Validade informada vencida: conferir","OK"))))</f>
        <v/>
      </c>
      <c r="R186" s="96">
        <f>IF(AND(P186&lt;&gt;"",OR(E186="Transportador",E186="Ambos")),1,0)</f>
        <v>0</v>
      </c>
      <c r="S186" s="96" t="str">
        <f>IF(R186=1,COUNTIF($R$6:R186,1),"")</f>
        <v/>
      </c>
      <c r="T186" s="96">
        <f>IF(AND(P186&lt;&gt;"",OR(E186="Destinador",E186="Ambos")),1,0)</f>
        <v>0</v>
      </c>
      <c r="U186" s="96" t="str">
        <f>IF(T186=1,COUNTIF($T$6:T186,1),"")</f>
        <v/>
      </c>
      <c r="V186" s="96" t="str">
        <f>IF(T186=1,COUNTIFS('MTRs'!$I$6:$I$505,P186,'MTRs'!$AY$6:$AY$505,1,'MTRs'!$AA$6:$AA$505,0),"")</f>
        <v/>
      </c>
      <c r="W186" s="96" t="str">
        <f>IF(N(V186)&gt;0,V186+(1000-181)/10000,"")</f>
        <v/>
      </c>
    </row>
    <row r="187">
      <c r="A187" s="89" t="inlineStr">
        <is>
          <t>PA-182</t>
        </is>
      </c>
      <c r="B187" s="91" t="n"/>
      <c r="C187" s="91" t="n"/>
      <c r="D187" s="90" t="n"/>
      <c r="E187" s="91" t="n"/>
      <c r="F187" s="91" t="n"/>
      <c r="G187" s="91" t="n"/>
      <c r="H187" s="91" t="n"/>
      <c r="I187" s="91" t="n"/>
      <c r="J187" s="91" t="n"/>
      <c r="K187" s="90" t="n"/>
      <c r="L187" s="91" t="n"/>
      <c r="M187" s="91" t="n"/>
      <c r="N187" s="92" t="n"/>
      <c r="O187" s="91" t="n"/>
      <c r="P187" s="94" t="str">
        <f>IF(AND(B187="",C187=""),"",IF(C187&lt;&gt;"",C187,B187)&amp;IF(F187&lt;&gt;""," | "&amp;F187,""))</f>
        <v/>
      </c>
      <c r="Q187" s="94" t="str">
        <f>IF(P187="",IF(COUNTA(B187:O187)&gt;0,"Informe razão social ou nome fantasia",""),IF(E187="","Informe o tipo de atuação",IF(SUMPRODUCT(--($P$6:$P$205=P187))&gt;1,"Nome repetido: diferencie pelo estabelecimento",IF(AND(ISNUMBER(N187),N187&lt;TODAY()),"Validade informada vencida: conferir","OK"))))</f>
        <v/>
      </c>
      <c r="R187" s="96">
        <f>IF(AND(P187&lt;&gt;"",OR(E187="Transportador",E187="Ambos")),1,0)</f>
        <v>0</v>
      </c>
      <c r="S187" s="96" t="str">
        <f>IF(R187=1,COUNTIF($R$6:R187,1),"")</f>
        <v/>
      </c>
      <c r="T187" s="96">
        <f>IF(AND(P187&lt;&gt;"",OR(E187="Destinador",E187="Ambos")),1,0)</f>
        <v>0</v>
      </c>
      <c r="U187" s="96" t="str">
        <f>IF(T187=1,COUNTIF($T$6:T187,1),"")</f>
        <v/>
      </c>
      <c r="V187" s="96" t="str">
        <f>IF(T187=1,COUNTIFS('MTRs'!$I$6:$I$505,P187,'MTRs'!$AY$6:$AY$505,1,'MTRs'!$AA$6:$AA$505,0),"")</f>
        <v/>
      </c>
      <c r="W187" s="96" t="str">
        <f>IF(N(V187)&gt;0,V187+(1000-182)/10000,"")</f>
        <v/>
      </c>
    </row>
    <row r="188">
      <c r="A188" s="89" t="inlineStr">
        <is>
          <t>PA-183</t>
        </is>
      </c>
      <c r="B188" s="91" t="n"/>
      <c r="C188" s="91" t="n"/>
      <c r="D188" s="90" t="n"/>
      <c r="E188" s="91" t="n"/>
      <c r="F188" s="91" t="n"/>
      <c r="G188" s="91" t="n"/>
      <c r="H188" s="91" t="n"/>
      <c r="I188" s="91" t="n"/>
      <c r="J188" s="91" t="n"/>
      <c r="K188" s="90" t="n"/>
      <c r="L188" s="91" t="n"/>
      <c r="M188" s="91" t="n"/>
      <c r="N188" s="92" t="n"/>
      <c r="O188" s="91" t="n"/>
      <c r="P188" s="94" t="str">
        <f>IF(AND(B188="",C188=""),"",IF(C188&lt;&gt;"",C188,B188)&amp;IF(F188&lt;&gt;""," | "&amp;F188,""))</f>
        <v/>
      </c>
      <c r="Q188" s="94" t="str">
        <f>IF(P188="",IF(COUNTA(B188:O188)&gt;0,"Informe razão social ou nome fantasia",""),IF(E188="","Informe o tipo de atuação",IF(SUMPRODUCT(--($P$6:$P$205=P188))&gt;1,"Nome repetido: diferencie pelo estabelecimento",IF(AND(ISNUMBER(N188),N188&lt;TODAY()),"Validade informada vencida: conferir","OK"))))</f>
        <v/>
      </c>
      <c r="R188" s="96">
        <f>IF(AND(P188&lt;&gt;"",OR(E188="Transportador",E188="Ambos")),1,0)</f>
        <v>0</v>
      </c>
      <c r="S188" s="96" t="str">
        <f>IF(R188=1,COUNTIF($R$6:R188,1),"")</f>
        <v/>
      </c>
      <c r="T188" s="96">
        <f>IF(AND(P188&lt;&gt;"",OR(E188="Destinador",E188="Ambos")),1,0)</f>
        <v>0</v>
      </c>
      <c r="U188" s="96" t="str">
        <f>IF(T188=1,COUNTIF($T$6:T188,1),"")</f>
        <v/>
      </c>
      <c r="V188" s="96" t="str">
        <f>IF(T188=1,COUNTIFS('MTRs'!$I$6:$I$505,P188,'MTRs'!$AY$6:$AY$505,1,'MTRs'!$AA$6:$AA$505,0),"")</f>
        <v/>
      </c>
      <c r="W188" s="96" t="str">
        <f>IF(N(V188)&gt;0,V188+(1000-183)/10000,"")</f>
        <v/>
      </c>
    </row>
    <row r="189">
      <c r="A189" s="89" t="inlineStr">
        <is>
          <t>PA-184</t>
        </is>
      </c>
      <c r="B189" s="91" t="n"/>
      <c r="C189" s="91" t="n"/>
      <c r="D189" s="90" t="n"/>
      <c r="E189" s="91" t="n"/>
      <c r="F189" s="91" t="n"/>
      <c r="G189" s="91" t="n"/>
      <c r="H189" s="91" t="n"/>
      <c r="I189" s="91" t="n"/>
      <c r="J189" s="91" t="n"/>
      <c r="K189" s="90" t="n"/>
      <c r="L189" s="91" t="n"/>
      <c r="M189" s="91" t="n"/>
      <c r="N189" s="92" t="n"/>
      <c r="O189" s="91" t="n"/>
      <c r="P189" s="94" t="str">
        <f>IF(AND(B189="",C189=""),"",IF(C189&lt;&gt;"",C189,B189)&amp;IF(F189&lt;&gt;""," | "&amp;F189,""))</f>
        <v/>
      </c>
      <c r="Q189" s="94" t="str">
        <f>IF(P189="",IF(COUNTA(B189:O189)&gt;0,"Informe razão social ou nome fantasia",""),IF(E189="","Informe o tipo de atuação",IF(SUMPRODUCT(--($P$6:$P$205=P189))&gt;1,"Nome repetido: diferencie pelo estabelecimento",IF(AND(ISNUMBER(N189),N189&lt;TODAY()),"Validade informada vencida: conferir","OK"))))</f>
        <v/>
      </c>
      <c r="R189" s="96">
        <f>IF(AND(P189&lt;&gt;"",OR(E189="Transportador",E189="Ambos")),1,0)</f>
        <v>0</v>
      </c>
      <c r="S189" s="96" t="str">
        <f>IF(R189=1,COUNTIF($R$6:R189,1),"")</f>
        <v/>
      </c>
      <c r="T189" s="96">
        <f>IF(AND(P189&lt;&gt;"",OR(E189="Destinador",E189="Ambos")),1,0)</f>
        <v>0</v>
      </c>
      <c r="U189" s="96" t="str">
        <f>IF(T189=1,COUNTIF($T$6:T189,1),"")</f>
        <v/>
      </c>
      <c r="V189" s="96" t="str">
        <f>IF(T189=1,COUNTIFS('MTRs'!$I$6:$I$505,P189,'MTRs'!$AY$6:$AY$505,1,'MTRs'!$AA$6:$AA$505,0),"")</f>
        <v/>
      </c>
      <c r="W189" s="96" t="str">
        <f>IF(N(V189)&gt;0,V189+(1000-184)/10000,"")</f>
        <v/>
      </c>
    </row>
    <row r="190">
      <c r="A190" s="89" t="inlineStr">
        <is>
          <t>PA-185</t>
        </is>
      </c>
      <c r="B190" s="91" t="n"/>
      <c r="C190" s="91" t="n"/>
      <c r="D190" s="90" t="n"/>
      <c r="E190" s="91" t="n"/>
      <c r="F190" s="91" t="n"/>
      <c r="G190" s="91" t="n"/>
      <c r="H190" s="91" t="n"/>
      <c r="I190" s="91" t="n"/>
      <c r="J190" s="91" t="n"/>
      <c r="K190" s="90" t="n"/>
      <c r="L190" s="91" t="n"/>
      <c r="M190" s="91" t="n"/>
      <c r="N190" s="92" t="n"/>
      <c r="O190" s="91" t="n"/>
      <c r="P190" s="94" t="str">
        <f>IF(AND(B190="",C190=""),"",IF(C190&lt;&gt;"",C190,B190)&amp;IF(F190&lt;&gt;""," | "&amp;F190,""))</f>
        <v/>
      </c>
      <c r="Q190" s="94" t="str">
        <f>IF(P190="",IF(COUNTA(B190:O190)&gt;0,"Informe razão social ou nome fantasia",""),IF(E190="","Informe o tipo de atuação",IF(SUMPRODUCT(--($P$6:$P$205=P190))&gt;1,"Nome repetido: diferencie pelo estabelecimento",IF(AND(ISNUMBER(N190),N190&lt;TODAY()),"Validade informada vencida: conferir","OK"))))</f>
        <v/>
      </c>
      <c r="R190" s="96">
        <f>IF(AND(P190&lt;&gt;"",OR(E190="Transportador",E190="Ambos")),1,0)</f>
        <v>0</v>
      </c>
      <c r="S190" s="96" t="str">
        <f>IF(R190=1,COUNTIF($R$6:R190,1),"")</f>
        <v/>
      </c>
      <c r="T190" s="96">
        <f>IF(AND(P190&lt;&gt;"",OR(E190="Destinador",E190="Ambos")),1,0)</f>
        <v>0</v>
      </c>
      <c r="U190" s="96" t="str">
        <f>IF(T190=1,COUNTIF($T$6:T190,1),"")</f>
        <v/>
      </c>
      <c r="V190" s="96" t="str">
        <f>IF(T190=1,COUNTIFS('MTRs'!$I$6:$I$505,P190,'MTRs'!$AY$6:$AY$505,1,'MTRs'!$AA$6:$AA$505,0),"")</f>
        <v/>
      </c>
      <c r="W190" s="96" t="str">
        <f>IF(N(V190)&gt;0,V190+(1000-185)/10000,"")</f>
        <v/>
      </c>
    </row>
    <row r="191">
      <c r="A191" s="89" t="inlineStr">
        <is>
          <t>PA-186</t>
        </is>
      </c>
      <c r="B191" s="91" t="n"/>
      <c r="C191" s="91" t="n"/>
      <c r="D191" s="90" t="n"/>
      <c r="E191" s="91" t="n"/>
      <c r="F191" s="91" t="n"/>
      <c r="G191" s="91" t="n"/>
      <c r="H191" s="91" t="n"/>
      <c r="I191" s="91" t="n"/>
      <c r="J191" s="91" t="n"/>
      <c r="K191" s="90" t="n"/>
      <c r="L191" s="91" t="n"/>
      <c r="M191" s="91" t="n"/>
      <c r="N191" s="92" t="n"/>
      <c r="O191" s="91" t="n"/>
      <c r="P191" s="94" t="str">
        <f>IF(AND(B191="",C191=""),"",IF(C191&lt;&gt;"",C191,B191)&amp;IF(F191&lt;&gt;""," | "&amp;F191,""))</f>
        <v/>
      </c>
      <c r="Q191" s="94" t="str">
        <f>IF(P191="",IF(COUNTA(B191:O191)&gt;0,"Informe razão social ou nome fantasia",""),IF(E191="","Informe o tipo de atuação",IF(SUMPRODUCT(--($P$6:$P$205=P191))&gt;1,"Nome repetido: diferencie pelo estabelecimento",IF(AND(ISNUMBER(N191),N191&lt;TODAY()),"Validade informada vencida: conferir","OK"))))</f>
        <v/>
      </c>
      <c r="R191" s="96">
        <f>IF(AND(P191&lt;&gt;"",OR(E191="Transportador",E191="Ambos")),1,0)</f>
        <v>0</v>
      </c>
      <c r="S191" s="96" t="str">
        <f>IF(R191=1,COUNTIF($R$6:R191,1),"")</f>
        <v/>
      </c>
      <c r="T191" s="96">
        <f>IF(AND(P191&lt;&gt;"",OR(E191="Destinador",E191="Ambos")),1,0)</f>
        <v>0</v>
      </c>
      <c r="U191" s="96" t="str">
        <f>IF(T191=1,COUNTIF($T$6:T191,1),"")</f>
        <v/>
      </c>
      <c r="V191" s="96" t="str">
        <f>IF(T191=1,COUNTIFS('MTRs'!$I$6:$I$505,P191,'MTRs'!$AY$6:$AY$505,1,'MTRs'!$AA$6:$AA$505,0),"")</f>
        <v/>
      </c>
      <c r="W191" s="96" t="str">
        <f>IF(N(V191)&gt;0,V191+(1000-186)/10000,"")</f>
        <v/>
      </c>
    </row>
    <row r="192">
      <c r="A192" s="89" t="inlineStr">
        <is>
          <t>PA-187</t>
        </is>
      </c>
      <c r="B192" s="91" t="n"/>
      <c r="C192" s="91" t="n"/>
      <c r="D192" s="90" t="n"/>
      <c r="E192" s="91" t="n"/>
      <c r="F192" s="91" t="n"/>
      <c r="G192" s="91" t="n"/>
      <c r="H192" s="91" t="n"/>
      <c r="I192" s="91" t="n"/>
      <c r="J192" s="91" t="n"/>
      <c r="K192" s="90" t="n"/>
      <c r="L192" s="91" t="n"/>
      <c r="M192" s="91" t="n"/>
      <c r="N192" s="92" t="n"/>
      <c r="O192" s="91" t="n"/>
      <c r="P192" s="94" t="str">
        <f>IF(AND(B192="",C192=""),"",IF(C192&lt;&gt;"",C192,B192)&amp;IF(F192&lt;&gt;""," | "&amp;F192,""))</f>
        <v/>
      </c>
      <c r="Q192" s="94" t="str">
        <f>IF(P192="",IF(COUNTA(B192:O192)&gt;0,"Informe razão social ou nome fantasia",""),IF(E192="","Informe o tipo de atuação",IF(SUMPRODUCT(--($P$6:$P$205=P192))&gt;1,"Nome repetido: diferencie pelo estabelecimento",IF(AND(ISNUMBER(N192),N192&lt;TODAY()),"Validade informada vencida: conferir","OK"))))</f>
        <v/>
      </c>
      <c r="R192" s="96">
        <f>IF(AND(P192&lt;&gt;"",OR(E192="Transportador",E192="Ambos")),1,0)</f>
        <v>0</v>
      </c>
      <c r="S192" s="96" t="str">
        <f>IF(R192=1,COUNTIF($R$6:R192,1),"")</f>
        <v/>
      </c>
      <c r="T192" s="96">
        <f>IF(AND(P192&lt;&gt;"",OR(E192="Destinador",E192="Ambos")),1,0)</f>
        <v>0</v>
      </c>
      <c r="U192" s="96" t="str">
        <f>IF(T192=1,COUNTIF($T$6:T192,1),"")</f>
        <v/>
      </c>
      <c r="V192" s="96" t="str">
        <f>IF(T192=1,COUNTIFS('MTRs'!$I$6:$I$505,P192,'MTRs'!$AY$6:$AY$505,1,'MTRs'!$AA$6:$AA$505,0),"")</f>
        <v/>
      </c>
      <c r="W192" s="96" t="str">
        <f>IF(N(V192)&gt;0,V192+(1000-187)/10000,"")</f>
        <v/>
      </c>
    </row>
    <row r="193">
      <c r="A193" s="89" t="inlineStr">
        <is>
          <t>PA-188</t>
        </is>
      </c>
      <c r="B193" s="91" t="n"/>
      <c r="C193" s="91" t="n"/>
      <c r="D193" s="90" t="n"/>
      <c r="E193" s="91" t="n"/>
      <c r="F193" s="91" t="n"/>
      <c r="G193" s="91" t="n"/>
      <c r="H193" s="91" t="n"/>
      <c r="I193" s="91" t="n"/>
      <c r="J193" s="91" t="n"/>
      <c r="K193" s="90" t="n"/>
      <c r="L193" s="91" t="n"/>
      <c r="M193" s="91" t="n"/>
      <c r="N193" s="92" t="n"/>
      <c r="O193" s="91" t="n"/>
      <c r="P193" s="94" t="str">
        <f>IF(AND(B193="",C193=""),"",IF(C193&lt;&gt;"",C193,B193)&amp;IF(F193&lt;&gt;""," | "&amp;F193,""))</f>
        <v/>
      </c>
      <c r="Q193" s="94" t="str">
        <f>IF(P193="",IF(COUNTA(B193:O193)&gt;0,"Informe razão social ou nome fantasia",""),IF(E193="","Informe o tipo de atuação",IF(SUMPRODUCT(--($P$6:$P$205=P193))&gt;1,"Nome repetido: diferencie pelo estabelecimento",IF(AND(ISNUMBER(N193),N193&lt;TODAY()),"Validade informada vencida: conferir","OK"))))</f>
        <v/>
      </c>
      <c r="R193" s="96">
        <f>IF(AND(P193&lt;&gt;"",OR(E193="Transportador",E193="Ambos")),1,0)</f>
        <v>0</v>
      </c>
      <c r="S193" s="96" t="str">
        <f>IF(R193=1,COUNTIF($R$6:R193,1),"")</f>
        <v/>
      </c>
      <c r="T193" s="96">
        <f>IF(AND(P193&lt;&gt;"",OR(E193="Destinador",E193="Ambos")),1,0)</f>
        <v>0</v>
      </c>
      <c r="U193" s="96" t="str">
        <f>IF(T193=1,COUNTIF($T$6:T193,1),"")</f>
        <v/>
      </c>
      <c r="V193" s="96" t="str">
        <f>IF(T193=1,COUNTIFS('MTRs'!$I$6:$I$505,P193,'MTRs'!$AY$6:$AY$505,1,'MTRs'!$AA$6:$AA$505,0),"")</f>
        <v/>
      </c>
      <c r="W193" s="96" t="str">
        <f>IF(N(V193)&gt;0,V193+(1000-188)/10000,"")</f>
        <v/>
      </c>
    </row>
    <row r="194">
      <c r="A194" s="89" t="inlineStr">
        <is>
          <t>PA-189</t>
        </is>
      </c>
      <c r="B194" s="91" t="n"/>
      <c r="C194" s="91" t="n"/>
      <c r="D194" s="90" t="n"/>
      <c r="E194" s="91" t="n"/>
      <c r="F194" s="91" t="n"/>
      <c r="G194" s="91" t="n"/>
      <c r="H194" s="91" t="n"/>
      <c r="I194" s="91" t="n"/>
      <c r="J194" s="91" t="n"/>
      <c r="K194" s="90" t="n"/>
      <c r="L194" s="91" t="n"/>
      <c r="M194" s="91" t="n"/>
      <c r="N194" s="92" t="n"/>
      <c r="O194" s="91" t="n"/>
      <c r="P194" s="94" t="str">
        <f>IF(AND(B194="",C194=""),"",IF(C194&lt;&gt;"",C194,B194)&amp;IF(F194&lt;&gt;""," | "&amp;F194,""))</f>
        <v/>
      </c>
      <c r="Q194" s="94" t="str">
        <f>IF(P194="",IF(COUNTA(B194:O194)&gt;0,"Informe razão social ou nome fantasia",""),IF(E194="","Informe o tipo de atuação",IF(SUMPRODUCT(--($P$6:$P$205=P194))&gt;1,"Nome repetido: diferencie pelo estabelecimento",IF(AND(ISNUMBER(N194),N194&lt;TODAY()),"Validade informada vencida: conferir","OK"))))</f>
        <v/>
      </c>
      <c r="R194" s="96">
        <f>IF(AND(P194&lt;&gt;"",OR(E194="Transportador",E194="Ambos")),1,0)</f>
        <v>0</v>
      </c>
      <c r="S194" s="96" t="str">
        <f>IF(R194=1,COUNTIF($R$6:R194,1),"")</f>
        <v/>
      </c>
      <c r="T194" s="96">
        <f>IF(AND(P194&lt;&gt;"",OR(E194="Destinador",E194="Ambos")),1,0)</f>
        <v>0</v>
      </c>
      <c r="U194" s="96" t="str">
        <f>IF(T194=1,COUNTIF($T$6:T194,1),"")</f>
        <v/>
      </c>
      <c r="V194" s="96" t="str">
        <f>IF(T194=1,COUNTIFS('MTRs'!$I$6:$I$505,P194,'MTRs'!$AY$6:$AY$505,1,'MTRs'!$AA$6:$AA$505,0),"")</f>
        <v/>
      </c>
      <c r="W194" s="96" t="str">
        <f>IF(N(V194)&gt;0,V194+(1000-189)/10000,"")</f>
        <v/>
      </c>
    </row>
    <row r="195">
      <c r="A195" s="89" t="inlineStr">
        <is>
          <t>PA-190</t>
        </is>
      </c>
      <c r="B195" s="91" t="n"/>
      <c r="C195" s="91" t="n"/>
      <c r="D195" s="90" t="n"/>
      <c r="E195" s="91" t="n"/>
      <c r="F195" s="91" t="n"/>
      <c r="G195" s="91" t="n"/>
      <c r="H195" s="91" t="n"/>
      <c r="I195" s="91" t="n"/>
      <c r="J195" s="91" t="n"/>
      <c r="K195" s="90" t="n"/>
      <c r="L195" s="91" t="n"/>
      <c r="M195" s="91" t="n"/>
      <c r="N195" s="92" t="n"/>
      <c r="O195" s="91" t="n"/>
      <c r="P195" s="94" t="str">
        <f>IF(AND(B195="",C195=""),"",IF(C195&lt;&gt;"",C195,B195)&amp;IF(F195&lt;&gt;""," | "&amp;F195,""))</f>
        <v/>
      </c>
      <c r="Q195" s="94" t="str">
        <f>IF(P195="",IF(COUNTA(B195:O195)&gt;0,"Informe razão social ou nome fantasia",""),IF(E195="","Informe o tipo de atuação",IF(SUMPRODUCT(--($P$6:$P$205=P195))&gt;1,"Nome repetido: diferencie pelo estabelecimento",IF(AND(ISNUMBER(N195),N195&lt;TODAY()),"Validade informada vencida: conferir","OK"))))</f>
        <v/>
      </c>
      <c r="R195" s="96">
        <f>IF(AND(P195&lt;&gt;"",OR(E195="Transportador",E195="Ambos")),1,0)</f>
        <v>0</v>
      </c>
      <c r="S195" s="96" t="str">
        <f>IF(R195=1,COUNTIF($R$6:R195,1),"")</f>
        <v/>
      </c>
      <c r="T195" s="96">
        <f>IF(AND(P195&lt;&gt;"",OR(E195="Destinador",E195="Ambos")),1,0)</f>
        <v>0</v>
      </c>
      <c r="U195" s="96" t="str">
        <f>IF(T195=1,COUNTIF($T$6:T195,1),"")</f>
        <v/>
      </c>
      <c r="V195" s="96" t="str">
        <f>IF(T195=1,COUNTIFS('MTRs'!$I$6:$I$505,P195,'MTRs'!$AY$6:$AY$505,1,'MTRs'!$AA$6:$AA$505,0),"")</f>
        <v/>
      </c>
      <c r="W195" s="96" t="str">
        <f>IF(N(V195)&gt;0,V195+(1000-190)/10000,"")</f>
        <v/>
      </c>
    </row>
    <row r="196">
      <c r="A196" s="89" t="inlineStr">
        <is>
          <t>PA-191</t>
        </is>
      </c>
      <c r="B196" s="91" t="n"/>
      <c r="C196" s="91" t="n"/>
      <c r="D196" s="90" t="n"/>
      <c r="E196" s="91" t="n"/>
      <c r="F196" s="91" t="n"/>
      <c r="G196" s="91" t="n"/>
      <c r="H196" s="91" t="n"/>
      <c r="I196" s="91" t="n"/>
      <c r="J196" s="91" t="n"/>
      <c r="K196" s="90" t="n"/>
      <c r="L196" s="91" t="n"/>
      <c r="M196" s="91" t="n"/>
      <c r="N196" s="92" t="n"/>
      <c r="O196" s="91" t="n"/>
      <c r="P196" s="94" t="str">
        <f>IF(AND(B196="",C196=""),"",IF(C196&lt;&gt;"",C196,B196)&amp;IF(F196&lt;&gt;""," | "&amp;F196,""))</f>
        <v/>
      </c>
      <c r="Q196" s="94" t="str">
        <f>IF(P196="",IF(COUNTA(B196:O196)&gt;0,"Informe razão social ou nome fantasia",""),IF(E196="","Informe o tipo de atuação",IF(SUMPRODUCT(--($P$6:$P$205=P196))&gt;1,"Nome repetido: diferencie pelo estabelecimento",IF(AND(ISNUMBER(N196),N196&lt;TODAY()),"Validade informada vencida: conferir","OK"))))</f>
        <v/>
      </c>
      <c r="R196" s="96">
        <f>IF(AND(P196&lt;&gt;"",OR(E196="Transportador",E196="Ambos")),1,0)</f>
        <v>0</v>
      </c>
      <c r="S196" s="96" t="str">
        <f>IF(R196=1,COUNTIF($R$6:R196,1),"")</f>
        <v/>
      </c>
      <c r="T196" s="96">
        <f>IF(AND(P196&lt;&gt;"",OR(E196="Destinador",E196="Ambos")),1,0)</f>
        <v>0</v>
      </c>
      <c r="U196" s="96" t="str">
        <f>IF(T196=1,COUNTIF($T$6:T196,1),"")</f>
        <v/>
      </c>
      <c r="V196" s="96" t="str">
        <f>IF(T196=1,COUNTIFS('MTRs'!$I$6:$I$505,P196,'MTRs'!$AY$6:$AY$505,1,'MTRs'!$AA$6:$AA$505,0),"")</f>
        <v/>
      </c>
      <c r="W196" s="96" t="str">
        <f>IF(N(V196)&gt;0,V196+(1000-191)/10000,"")</f>
        <v/>
      </c>
    </row>
    <row r="197">
      <c r="A197" s="89" t="inlineStr">
        <is>
          <t>PA-192</t>
        </is>
      </c>
      <c r="B197" s="91" t="n"/>
      <c r="C197" s="91" t="n"/>
      <c r="D197" s="90" t="n"/>
      <c r="E197" s="91" t="n"/>
      <c r="F197" s="91" t="n"/>
      <c r="G197" s="91" t="n"/>
      <c r="H197" s="91" t="n"/>
      <c r="I197" s="91" t="n"/>
      <c r="J197" s="91" t="n"/>
      <c r="K197" s="90" t="n"/>
      <c r="L197" s="91" t="n"/>
      <c r="M197" s="91" t="n"/>
      <c r="N197" s="92" t="n"/>
      <c r="O197" s="91" t="n"/>
      <c r="P197" s="94" t="str">
        <f>IF(AND(B197="",C197=""),"",IF(C197&lt;&gt;"",C197,B197)&amp;IF(F197&lt;&gt;""," | "&amp;F197,""))</f>
        <v/>
      </c>
      <c r="Q197" s="94" t="str">
        <f>IF(P197="",IF(COUNTA(B197:O197)&gt;0,"Informe razão social ou nome fantasia",""),IF(E197="","Informe o tipo de atuação",IF(SUMPRODUCT(--($P$6:$P$205=P197))&gt;1,"Nome repetido: diferencie pelo estabelecimento",IF(AND(ISNUMBER(N197),N197&lt;TODAY()),"Validade informada vencida: conferir","OK"))))</f>
        <v/>
      </c>
      <c r="R197" s="96">
        <f>IF(AND(P197&lt;&gt;"",OR(E197="Transportador",E197="Ambos")),1,0)</f>
        <v>0</v>
      </c>
      <c r="S197" s="96" t="str">
        <f>IF(R197=1,COUNTIF($R$6:R197,1),"")</f>
        <v/>
      </c>
      <c r="T197" s="96">
        <f>IF(AND(P197&lt;&gt;"",OR(E197="Destinador",E197="Ambos")),1,0)</f>
        <v>0</v>
      </c>
      <c r="U197" s="96" t="str">
        <f>IF(T197=1,COUNTIF($T$6:T197,1),"")</f>
        <v/>
      </c>
      <c r="V197" s="96" t="str">
        <f>IF(T197=1,COUNTIFS('MTRs'!$I$6:$I$505,P197,'MTRs'!$AY$6:$AY$505,1,'MTRs'!$AA$6:$AA$505,0),"")</f>
        <v/>
      </c>
      <c r="W197" s="96" t="str">
        <f>IF(N(V197)&gt;0,V197+(1000-192)/10000,"")</f>
        <v/>
      </c>
    </row>
    <row r="198">
      <c r="A198" s="89" t="inlineStr">
        <is>
          <t>PA-193</t>
        </is>
      </c>
      <c r="B198" s="91" t="n"/>
      <c r="C198" s="91" t="n"/>
      <c r="D198" s="90" t="n"/>
      <c r="E198" s="91" t="n"/>
      <c r="F198" s="91" t="n"/>
      <c r="G198" s="91" t="n"/>
      <c r="H198" s="91" t="n"/>
      <c r="I198" s="91" t="n"/>
      <c r="J198" s="91" t="n"/>
      <c r="K198" s="90" t="n"/>
      <c r="L198" s="91" t="n"/>
      <c r="M198" s="91" t="n"/>
      <c r="N198" s="92" t="n"/>
      <c r="O198" s="91" t="n"/>
      <c r="P198" s="94" t="str">
        <f>IF(AND(B198="",C198=""),"",IF(C198&lt;&gt;"",C198,B198)&amp;IF(F198&lt;&gt;""," | "&amp;F198,""))</f>
        <v/>
      </c>
      <c r="Q198" s="94" t="str">
        <f>IF(P198="",IF(COUNTA(B198:O198)&gt;0,"Informe razão social ou nome fantasia",""),IF(E198="","Informe o tipo de atuação",IF(SUMPRODUCT(--($P$6:$P$205=P198))&gt;1,"Nome repetido: diferencie pelo estabelecimento",IF(AND(ISNUMBER(N198),N198&lt;TODAY()),"Validade informada vencida: conferir","OK"))))</f>
        <v/>
      </c>
      <c r="R198" s="96">
        <f>IF(AND(P198&lt;&gt;"",OR(E198="Transportador",E198="Ambos")),1,0)</f>
        <v>0</v>
      </c>
      <c r="S198" s="96" t="str">
        <f>IF(R198=1,COUNTIF($R$6:R198,1),"")</f>
        <v/>
      </c>
      <c r="T198" s="96">
        <f>IF(AND(P198&lt;&gt;"",OR(E198="Destinador",E198="Ambos")),1,0)</f>
        <v>0</v>
      </c>
      <c r="U198" s="96" t="str">
        <f>IF(T198=1,COUNTIF($T$6:T198,1),"")</f>
        <v/>
      </c>
      <c r="V198" s="96" t="str">
        <f>IF(T198=1,COUNTIFS('MTRs'!$I$6:$I$505,P198,'MTRs'!$AY$6:$AY$505,1,'MTRs'!$AA$6:$AA$505,0),"")</f>
        <v/>
      </c>
      <c r="W198" s="96" t="str">
        <f>IF(N(V198)&gt;0,V198+(1000-193)/10000,"")</f>
        <v/>
      </c>
    </row>
    <row r="199">
      <c r="A199" s="89" t="inlineStr">
        <is>
          <t>PA-194</t>
        </is>
      </c>
      <c r="B199" s="91" t="n"/>
      <c r="C199" s="91" t="n"/>
      <c r="D199" s="90" t="n"/>
      <c r="E199" s="91" t="n"/>
      <c r="F199" s="91" t="n"/>
      <c r="G199" s="91" t="n"/>
      <c r="H199" s="91" t="n"/>
      <c r="I199" s="91" t="n"/>
      <c r="J199" s="91" t="n"/>
      <c r="K199" s="90" t="n"/>
      <c r="L199" s="91" t="n"/>
      <c r="M199" s="91" t="n"/>
      <c r="N199" s="92" t="n"/>
      <c r="O199" s="91" t="n"/>
      <c r="P199" s="94" t="str">
        <f>IF(AND(B199="",C199=""),"",IF(C199&lt;&gt;"",C199,B199)&amp;IF(F199&lt;&gt;""," | "&amp;F199,""))</f>
        <v/>
      </c>
      <c r="Q199" s="94" t="str">
        <f>IF(P199="",IF(COUNTA(B199:O199)&gt;0,"Informe razão social ou nome fantasia",""),IF(E199="","Informe o tipo de atuação",IF(SUMPRODUCT(--($P$6:$P$205=P199))&gt;1,"Nome repetido: diferencie pelo estabelecimento",IF(AND(ISNUMBER(N199),N199&lt;TODAY()),"Validade informada vencida: conferir","OK"))))</f>
        <v/>
      </c>
      <c r="R199" s="96">
        <f>IF(AND(P199&lt;&gt;"",OR(E199="Transportador",E199="Ambos")),1,0)</f>
        <v>0</v>
      </c>
      <c r="S199" s="96" t="str">
        <f>IF(R199=1,COUNTIF($R$6:R199,1),"")</f>
        <v/>
      </c>
      <c r="T199" s="96">
        <f>IF(AND(P199&lt;&gt;"",OR(E199="Destinador",E199="Ambos")),1,0)</f>
        <v>0</v>
      </c>
      <c r="U199" s="96" t="str">
        <f>IF(T199=1,COUNTIF($T$6:T199,1),"")</f>
        <v/>
      </c>
      <c r="V199" s="96" t="str">
        <f>IF(T199=1,COUNTIFS('MTRs'!$I$6:$I$505,P199,'MTRs'!$AY$6:$AY$505,1,'MTRs'!$AA$6:$AA$505,0),"")</f>
        <v/>
      </c>
      <c r="W199" s="96" t="str">
        <f>IF(N(V199)&gt;0,V199+(1000-194)/10000,"")</f>
        <v/>
      </c>
    </row>
    <row r="200">
      <c r="A200" s="89" t="inlineStr">
        <is>
          <t>PA-195</t>
        </is>
      </c>
      <c r="B200" s="91" t="n"/>
      <c r="C200" s="91" t="n"/>
      <c r="D200" s="90" t="n"/>
      <c r="E200" s="91" t="n"/>
      <c r="F200" s="91" t="n"/>
      <c r="G200" s="91" t="n"/>
      <c r="H200" s="91" t="n"/>
      <c r="I200" s="91" t="n"/>
      <c r="J200" s="91" t="n"/>
      <c r="K200" s="90" t="n"/>
      <c r="L200" s="91" t="n"/>
      <c r="M200" s="91" t="n"/>
      <c r="N200" s="92" t="n"/>
      <c r="O200" s="91" t="n"/>
      <c r="P200" s="94" t="str">
        <f>IF(AND(B200="",C200=""),"",IF(C200&lt;&gt;"",C200,B200)&amp;IF(F200&lt;&gt;""," | "&amp;F200,""))</f>
        <v/>
      </c>
      <c r="Q200" s="94" t="str">
        <f>IF(P200="",IF(COUNTA(B200:O200)&gt;0,"Informe razão social ou nome fantasia",""),IF(E200="","Informe o tipo de atuação",IF(SUMPRODUCT(--($P$6:$P$205=P200))&gt;1,"Nome repetido: diferencie pelo estabelecimento",IF(AND(ISNUMBER(N200),N200&lt;TODAY()),"Validade informada vencida: conferir","OK"))))</f>
        <v/>
      </c>
      <c r="R200" s="96">
        <f>IF(AND(P200&lt;&gt;"",OR(E200="Transportador",E200="Ambos")),1,0)</f>
        <v>0</v>
      </c>
      <c r="S200" s="96" t="str">
        <f>IF(R200=1,COUNTIF($R$6:R200,1),"")</f>
        <v/>
      </c>
      <c r="T200" s="96">
        <f>IF(AND(P200&lt;&gt;"",OR(E200="Destinador",E200="Ambos")),1,0)</f>
        <v>0</v>
      </c>
      <c r="U200" s="96" t="str">
        <f>IF(T200=1,COUNTIF($T$6:T200,1),"")</f>
        <v/>
      </c>
      <c r="V200" s="96" t="str">
        <f>IF(T200=1,COUNTIFS('MTRs'!$I$6:$I$505,P200,'MTRs'!$AY$6:$AY$505,1,'MTRs'!$AA$6:$AA$505,0),"")</f>
        <v/>
      </c>
      <c r="W200" s="96" t="str">
        <f>IF(N(V200)&gt;0,V200+(1000-195)/10000,"")</f>
        <v/>
      </c>
    </row>
    <row r="201">
      <c r="A201" s="89" t="inlineStr">
        <is>
          <t>PA-196</t>
        </is>
      </c>
      <c r="B201" s="91" t="n"/>
      <c r="C201" s="91" t="n"/>
      <c r="D201" s="90" t="n"/>
      <c r="E201" s="91" t="n"/>
      <c r="F201" s="91" t="n"/>
      <c r="G201" s="91" t="n"/>
      <c r="H201" s="91" t="n"/>
      <c r="I201" s="91" t="n"/>
      <c r="J201" s="91" t="n"/>
      <c r="K201" s="90" t="n"/>
      <c r="L201" s="91" t="n"/>
      <c r="M201" s="91" t="n"/>
      <c r="N201" s="92" t="n"/>
      <c r="O201" s="91" t="n"/>
      <c r="P201" s="94" t="str">
        <f>IF(AND(B201="",C201=""),"",IF(C201&lt;&gt;"",C201,B201)&amp;IF(F201&lt;&gt;""," | "&amp;F201,""))</f>
        <v/>
      </c>
      <c r="Q201" s="94" t="str">
        <f>IF(P201="",IF(COUNTA(B201:O201)&gt;0,"Informe razão social ou nome fantasia",""),IF(E201="","Informe o tipo de atuação",IF(SUMPRODUCT(--($P$6:$P$205=P201))&gt;1,"Nome repetido: diferencie pelo estabelecimento",IF(AND(ISNUMBER(N201),N201&lt;TODAY()),"Validade informada vencida: conferir","OK"))))</f>
        <v/>
      </c>
      <c r="R201" s="96">
        <f>IF(AND(P201&lt;&gt;"",OR(E201="Transportador",E201="Ambos")),1,0)</f>
        <v>0</v>
      </c>
      <c r="S201" s="96" t="str">
        <f>IF(R201=1,COUNTIF($R$6:R201,1),"")</f>
        <v/>
      </c>
      <c r="T201" s="96">
        <f>IF(AND(P201&lt;&gt;"",OR(E201="Destinador",E201="Ambos")),1,0)</f>
        <v>0</v>
      </c>
      <c r="U201" s="96" t="str">
        <f>IF(T201=1,COUNTIF($T$6:T201,1),"")</f>
        <v/>
      </c>
      <c r="V201" s="96" t="str">
        <f>IF(T201=1,COUNTIFS('MTRs'!$I$6:$I$505,P201,'MTRs'!$AY$6:$AY$505,1,'MTRs'!$AA$6:$AA$505,0),"")</f>
        <v/>
      </c>
      <c r="W201" s="96" t="str">
        <f>IF(N(V201)&gt;0,V201+(1000-196)/10000,"")</f>
        <v/>
      </c>
    </row>
    <row r="202">
      <c r="A202" s="89" t="inlineStr">
        <is>
          <t>PA-197</t>
        </is>
      </c>
      <c r="B202" s="91" t="n"/>
      <c r="C202" s="91" t="n"/>
      <c r="D202" s="90" t="n"/>
      <c r="E202" s="91" t="n"/>
      <c r="F202" s="91" t="n"/>
      <c r="G202" s="91" t="n"/>
      <c r="H202" s="91" t="n"/>
      <c r="I202" s="91" t="n"/>
      <c r="J202" s="91" t="n"/>
      <c r="K202" s="90" t="n"/>
      <c r="L202" s="91" t="n"/>
      <c r="M202" s="91" t="n"/>
      <c r="N202" s="92" t="n"/>
      <c r="O202" s="91" t="n"/>
      <c r="P202" s="94" t="str">
        <f>IF(AND(B202="",C202=""),"",IF(C202&lt;&gt;"",C202,B202)&amp;IF(F202&lt;&gt;""," | "&amp;F202,""))</f>
        <v/>
      </c>
      <c r="Q202" s="94" t="str">
        <f>IF(P202="",IF(COUNTA(B202:O202)&gt;0,"Informe razão social ou nome fantasia",""),IF(E202="","Informe o tipo de atuação",IF(SUMPRODUCT(--($P$6:$P$205=P202))&gt;1,"Nome repetido: diferencie pelo estabelecimento",IF(AND(ISNUMBER(N202),N202&lt;TODAY()),"Validade informada vencida: conferir","OK"))))</f>
        <v/>
      </c>
      <c r="R202" s="96">
        <f>IF(AND(P202&lt;&gt;"",OR(E202="Transportador",E202="Ambos")),1,0)</f>
        <v>0</v>
      </c>
      <c r="S202" s="96" t="str">
        <f>IF(R202=1,COUNTIF($R$6:R202,1),"")</f>
        <v/>
      </c>
      <c r="T202" s="96">
        <f>IF(AND(P202&lt;&gt;"",OR(E202="Destinador",E202="Ambos")),1,0)</f>
        <v>0</v>
      </c>
      <c r="U202" s="96" t="str">
        <f>IF(T202=1,COUNTIF($T$6:T202,1),"")</f>
        <v/>
      </c>
      <c r="V202" s="96" t="str">
        <f>IF(T202=1,COUNTIFS('MTRs'!$I$6:$I$505,P202,'MTRs'!$AY$6:$AY$505,1,'MTRs'!$AA$6:$AA$505,0),"")</f>
        <v/>
      </c>
      <c r="W202" s="96" t="str">
        <f>IF(N(V202)&gt;0,V202+(1000-197)/10000,"")</f>
        <v/>
      </c>
    </row>
    <row r="203">
      <c r="A203" s="89" t="inlineStr">
        <is>
          <t>PA-198</t>
        </is>
      </c>
      <c r="B203" s="91" t="n"/>
      <c r="C203" s="91" t="n"/>
      <c r="D203" s="90" t="n"/>
      <c r="E203" s="91" t="n"/>
      <c r="F203" s="91" t="n"/>
      <c r="G203" s="91" t="n"/>
      <c r="H203" s="91" t="n"/>
      <c r="I203" s="91" t="n"/>
      <c r="J203" s="91" t="n"/>
      <c r="K203" s="90" t="n"/>
      <c r="L203" s="91" t="n"/>
      <c r="M203" s="91" t="n"/>
      <c r="N203" s="92" t="n"/>
      <c r="O203" s="91" t="n"/>
      <c r="P203" s="94" t="str">
        <f>IF(AND(B203="",C203=""),"",IF(C203&lt;&gt;"",C203,B203)&amp;IF(F203&lt;&gt;""," | "&amp;F203,""))</f>
        <v/>
      </c>
      <c r="Q203" s="94" t="str">
        <f>IF(P203="",IF(COUNTA(B203:O203)&gt;0,"Informe razão social ou nome fantasia",""),IF(E203="","Informe o tipo de atuação",IF(SUMPRODUCT(--($P$6:$P$205=P203))&gt;1,"Nome repetido: diferencie pelo estabelecimento",IF(AND(ISNUMBER(N203),N203&lt;TODAY()),"Validade informada vencida: conferir","OK"))))</f>
        <v/>
      </c>
      <c r="R203" s="96">
        <f>IF(AND(P203&lt;&gt;"",OR(E203="Transportador",E203="Ambos")),1,0)</f>
        <v>0</v>
      </c>
      <c r="S203" s="96" t="str">
        <f>IF(R203=1,COUNTIF($R$6:R203,1),"")</f>
        <v/>
      </c>
      <c r="T203" s="96">
        <f>IF(AND(P203&lt;&gt;"",OR(E203="Destinador",E203="Ambos")),1,0)</f>
        <v>0</v>
      </c>
      <c r="U203" s="96" t="str">
        <f>IF(T203=1,COUNTIF($T$6:T203,1),"")</f>
        <v/>
      </c>
      <c r="V203" s="96" t="str">
        <f>IF(T203=1,COUNTIFS('MTRs'!$I$6:$I$505,P203,'MTRs'!$AY$6:$AY$505,1,'MTRs'!$AA$6:$AA$505,0),"")</f>
        <v/>
      </c>
      <c r="W203" s="96" t="str">
        <f>IF(N(V203)&gt;0,V203+(1000-198)/10000,"")</f>
        <v/>
      </c>
    </row>
    <row r="204">
      <c r="A204" s="89" t="inlineStr">
        <is>
          <t>PA-199</t>
        </is>
      </c>
      <c r="B204" s="91" t="n"/>
      <c r="C204" s="91" t="n"/>
      <c r="D204" s="90" t="n"/>
      <c r="E204" s="91" t="n"/>
      <c r="F204" s="91" t="n"/>
      <c r="G204" s="91" t="n"/>
      <c r="H204" s="91" t="n"/>
      <c r="I204" s="91" t="n"/>
      <c r="J204" s="91" t="n"/>
      <c r="K204" s="90" t="n"/>
      <c r="L204" s="91" t="n"/>
      <c r="M204" s="91" t="n"/>
      <c r="N204" s="92" t="n"/>
      <c r="O204" s="91" t="n"/>
      <c r="P204" s="94" t="str">
        <f>IF(AND(B204="",C204=""),"",IF(C204&lt;&gt;"",C204,B204)&amp;IF(F204&lt;&gt;""," | "&amp;F204,""))</f>
        <v/>
      </c>
      <c r="Q204" s="94" t="str">
        <f>IF(P204="",IF(COUNTA(B204:O204)&gt;0,"Informe razão social ou nome fantasia",""),IF(E204="","Informe o tipo de atuação",IF(SUMPRODUCT(--($P$6:$P$205=P204))&gt;1,"Nome repetido: diferencie pelo estabelecimento",IF(AND(ISNUMBER(N204),N204&lt;TODAY()),"Validade informada vencida: conferir","OK"))))</f>
        <v/>
      </c>
      <c r="R204" s="96">
        <f>IF(AND(P204&lt;&gt;"",OR(E204="Transportador",E204="Ambos")),1,0)</f>
        <v>0</v>
      </c>
      <c r="S204" s="96" t="str">
        <f>IF(R204=1,COUNTIF($R$6:R204,1),"")</f>
        <v/>
      </c>
      <c r="T204" s="96">
        <f>IF(AND(P204&lt;&gt;"",OR(E204="Destinador",E204="Ambos")),1,0)</f>
        <v>0</v>
      </c>
      <c r="U204" s="96" t="str">
        <f>IF(T204=1,COUNTIF($T$6:T204,1),"")</f>
        <v/>
      </c>
      <c r="V204" s="96" t="str">
        <f>IF(T204=1,COUNTIFS('MTRs'!$I$6:$I$505,P204,'MTRs'!$AY$6:$AY$505,1,'MTRs'!$AA$6:$AA$505,0),"")</f>
        <v/>
      </c>
      <c r="W204" s="96" t="str">
        <f>IF(N(V204)&gt;0,V204+(1000-199)/10000,"")</f>
        <v/>
      </c>
    </row>
    <row r="205">
      <c r="A205" s="89" t="inlineStr">
        <is>
          <t>PA-200</t>
        </is>
      </c>
      <c r="B205" s="91" t="n"/>
      <c r="C205" s="91" t="n"/>
      <c r="D205" s="90" t="n"/>
      <c r="E205" s="91" t="n"/>
      <c r="F205" s="91" t="n"/>
      <c r="G205" s="91" t="n"/>
      <c r="H205" s="91" t="n"/>
      <c r="I205" s="91" t="n"/>
      <c r="J205" s="91" t="n"/>
      <c r="K205" s="90" t="n"/>
      <c r="L205" s="91" t="n"/>
      <c r="M205" s="91" t="n"/>
      <c r="N205" s="92" t="n"/>
      <c r="O205" s="91" t="n"/>
      <c r="P205" s="94" t="str">
        <f>IF(AND(B205="",C205=""),"",IF(C205&lt;&gt;"",C205,B205)&amp;IF(F205&lt;&gt;""," | "&amp;F205,""))</f>
        <v/>
      </c>
      <c r="Q205" s="94" t="str">
        <f>IF(P205="",IF(COUNTA(B205:O205)&gt;0,"Informe razão social ou nome fantasia",""),IF(E205="","Informe o tipo de atuação",IF(SUMPRODUCT(--($P$6:$P$205=P205))&gt;1,"Nome repetido: diferencie pelo estabelecimento",IF(AND(ISNUMBER(N205),N205&lt;TODAY()),"Validade informada vencida: conferir","OK"))))</f>
        <v/>
      </c>
      <c r="R205" s="96">
        <f>IF(AND(P205&lt;&gt;"",OR(E205="Transportador",E205="Ambos")),1,0)</f>
        <v>0</v>
      </c>
      <c r="S205" s="96" t="str">
        <f>IF(R205=1,COUNTIF($R$6:R205,1),"")</f>
        <v/>
      </c>
      <c r="T205" s="96">
        <f>IF(AND(P205&lt;&gt;"",OR(E205="Destinador",E205="Ambos")),1,0)</f>
        <v>0</v>
      </c>
      <c r="U205" s="96" t="str">
        <f>IF(T205=1,COUNTIF($T$6:T205,1),"")</f>
        <v/>
      </c>
      <c r="V205" s="96" t="str">
        <f>IF(T205=1,COUNTIFS('MTRs'!$I$6:$I$505,P205,'MTRs'!$AY$6:$AY$505,1,'MTRs'!$AA$6:$AA$505,0),"")</f>
        <v/>
      </c>
      <c r="W205" s="96" t="str">
        <f>IF(N(V205)&gt;0,V205+(1000-200)/10000,"")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Q2"/>
    <mergeCell ref="A1:Q1"/>
  </mergeCells>
  <conditionalFormatting sqref="Q6:Q205">
    <cfRule type="expression" priority="1" dxfId="0" stopIfTrue="1">
      <formula>OR(ISNUMBER(SEARCH("Cancelado",Q6)),ISNUMBER(SEARCH("cancelado",Q6)))</formula>
    </cfRule>
    <cfRule type="expression" priority="2" dxfId="1" stopIfTrue="1">
      <formula>OR(ISNUMBER(SEARCH("revisar",Q6)),ISNUMBER(SEARCH("REVISAR",Q6)),ISNUMBER(SEARCH("incompleto",Q6)),ISNUMBER(SEARCH("INCOMPLETO",Q6)),ISNUMBER(SEARCH("inexistente",Q6)),ISNUMBER(SEARCH("inválid",Q6)),ISNUMBER(SEARCH("não informad",Q6)),ISNUMBER(SEARCH("fora do cadastro",Q6)),ISNUMBER(SEARCH("duplicidade",Q6)),ISNUMBER(SEARCH("DUPLICIDADE",Q6)),ISNUMBER(SEARCH("UNIDADE A CONFERIR",Q6)),ISNUMBER(SEARCH("Unidade a conferir",Q6)),ISNUMBER(SEARCH("sem evidência",Q6)),ISNUMBER(SEARCH("anterior à emissão",Q6)),ISNUMBER(SEARCH("não positiva",Q6)),ISNUMBER(SEARCH("não identificado",Q6)),ISNUMBER(SEARCH("Sem MTR",Q6)),ISNUMBER(SEARCH("Necessita",Q6)),ISNUMBER(SEARCH("incompletas",Q6)),ISNUMBER(SEARCH("Nome repetido",Q6)),ISNUMBER(SEARCH("Informe",Q6)),ISNUMBER(SEARCH("vencida",Q6)))</formula>
    </cfRule>
    <cfRule type="expression" priority="3" dxfId="2" stopIfTrue="1">
      <formula>OR(ISNUMBER(SEARCH("a conferir",Q6)),ISNUMBER(SEARCH("A CONFERIR",Q6)),ISNUMBER(SEARCH("Aguardando conferência",Q6)),ISNUMBER(SEARCH("Localizado",Q6)),ISNUMBER(SEARCH("ver diferença",Q6)),ISNUMBER(SEARCH("analisado",Q6)),ISNUMBER(SEARCH("Data futura",Q6)),ISNUMBER(SEARCH("Não calculável",Q6)))</formula>
    </cfRule>
    <cfRule type="expression" priority="4" dxfId="3" stopIfTrue="1">
      <formula>OR(ISNUMBER(SEARCH("Aguardando",Q6)),ISNUMBER(SEARCH("parcial",Q6)),ISNUMBER(SEARCH("Cadastrado",Q6)),ISNUMBER(SEARCH("NÃO CONFIRMADO",Q6)),ISNUMBER(SEARCH("NÃO LOCALIZADO",Q6)),ISNUMBER(SEARCH("VÍNCULO INCOMPLETO",Q6)))</formula>
    </cfRule>
    <cfRule type="expression" priority="5" dxfId="4" stopIfTrue="1">
      <formula>OR(EXACT(Q6,"OK"),ISNUMBER(SEARCH("conferida",Q6)),ISNUMBER(SEARCH("Conferido",Q6)),ISNUMBER(SEARCH("Nenhuma",Q6)))</formula>
    </cfRule>
  </conditionalFormatting>
  <conditionalFormatting sqref="B6:B205 C6:C205 D6:D205 E6:E205 F6:F205 G6:G205 H6:H205 I6:I205 J6:J205 K6:K205 L6:L205 M6:M205 N6:N205 O6:O205">
    <cfRule type="expression" priority="6" dxfId="5">
      <formula>MOD(ROW(),2)=0</formula>
    </cfRule>
  </conditionalFormatting>
  <conditionalFormatting sqref="P6:P205 Q6:Q205">
    <cfRule type="expression" priority="7" dxfId="6">
      <formula>MOD(ROW(),2)=0</formula>
    </cfRule>
  </conditionalFormatting>
  <dataValidations count="3">
    <dataValidation sqref="E6:E205" showDropDown="0" showInputMessage="0" showErrorMessage="1" allowBlank="1" errorTitle="Valor fora da lista" error="Valor fora da lista. Confira o cadastro ou ajuste a lista em CONFIGURAÇÕES." type="list" errorStyle="warning">
      <formula1>=lst_tipo</formula1>
    </dataValidation>
    <dataValidation sqref="H6:H205" showDropDown="0" showInputMessage="0" showErrorMessage="1" allowBlank="1" errorTitle="Valor fora da lista" error="Valor fora da lista. Confira o cadastro ou ajuste a lista em CONFIGURAÇÕES." type="list" errorStyle="warning">
      <formula1>=lst_uf</formula1>
    </dataValidation>
    <dataValidation sqref="N6:N205" showDropDown="0" showInputMessage="0" showErrorMessage="1" allowBlank="1" errorTitle="Data" error="Informe uma data válida (dd/mm/aaaa)." type="date" errorStyle="warning" operator="between">
      <formula1>36526</formula1>
      <formula2>73050</formula2>
    </dataValidation>
  </dataValidations>
  <hyperlinks>
    <hyperlink ref="A3" location="'INÍCIO'!A1"/>
    <hyperlink ref="B3" location="'PAINEL'!A1"/>
    <hyperlink ref="C3" location="'PENDÊNCIAS'!A1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8A99AB"/>
    <outlinePr summaryBelow="1" summaryRight="1"/>
    <pageSetUpPr fitToPage="1"/>
  </sheetPr>
  <dimension ref="A1:N205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32" customWidth="1" min="3" max="3"/>
    <col width="24" customWidth="1" min="4" max="4"/>
    <col width="16" customWidth="1" min="5" max="5"/>
    <col width="26" customWidth="1" min="6" max="6"/>
    <col width="20" customWidth="1" min="7" max="7"/>
    <col width="9" customWidth="1" min="8" max="8"/>
    <col width="26" customWidth="1" min="9" max="9"/>
    <col width="24" customWidth="1" min="10" max="10"/>
    <col hidden="1" width="6" customWidth="1" min="11" max="11"/>
    <col hidden="1" width="6" customWidth="1" min="12" max="12"/>
    <col hidden="1" width="6" customWidth="1" min="13" max="13"/>
    <col hidden="1" width="6" customWidth="1" min="14" max="14"/>
  </cols>
  <sheetData>
    <row r="1" ht="34" customHeight="1">
      <c r="A1" s="79" t="inlineStr">
        <is>
          <t>CADASTRO DE RESÍDUOS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79" t="n"/>
    </row>
    <row r="2" ht="30" customHeight="1">
      <c r="A2" s="80" t="inlineStr">
        <is>
          <t>Identificação interna padronizada dos resíduos.  Preencha código e classificação conforme a referência técnica que você consultou. A planilha não atribui código nem periculosidade.</t>
        </is>
      </c>
      <c r="B2" s="80" t="n"/>
      <c r="C2" s="80" t="n"/>
      <c r="D2" s="80" t="n"/>
      <c r="E2" s="80" t="n"/>
      <c r="F2" s="80" t="n"/>
      <c r="G2" s="80" t="n"/>
      <c r="H2" s="80" t="n"/>
      <c r="I2" s="80" t="n"/>
      <c r="J2" s="80" t="n"/>
    </row>
    <row r="3" ht="20" customHeight="1">
      <c r="A3" s="81" t="inlineStr">
        <is>
          <t>◀ INÍCIO</t>
        </is>
      </c>
      <c r="B3" s="81" t="inlineStr">
        <is>
          <t>PAINEL</t>
        </is>
      </c>
      <c r="C3" s="81" t="inlineStr">
        <is>
          <t>PENDÊNCIAS</t>
        </is>
      </c>
      <c r="D3" s="82" t="inlineStr">
        <is>
          <t>Azul-claro = preencher   |   Cinza = automático   |   Linhas prontas: 200 registros</t>
        </is>
      </c>
    </row>
    <row r="4">
      <c r="A4" s="83" t="inlineStr">
        <is>
          <t>ID FIXO</t>
        </is>
      </c>
      <c r="B4" s="84" t="inlineStr">
        <is>
          <t>PREENCHER</t>
        </is>
      </c>
      <c r="C4" s="84" t="inlineStr">
        <is>
          <t>PREENCHER</t>
        </is>
      </c>
      <c r="D4" s="84" t="inlineStr">
        <is>
          <t>PREENCHER</t>
        </is>
      </c>
      <c r="E4" s="84" t="inlineStr">
        <is>
          <t>PREENCHER</t>
        </is>
      </c>
      <c r="F4" s="84" t="inlineStr">
        <is>
          <t>PREENCHER</t>
        </is>
      </c>
      <c r="G4" s="84" t="inlineStr">
        <is>
          <t>PREENCHER</t>
        </is>
      </c>
      <c r="H4" s="84" t="inlineStr">
        <is>
          <t>PREENCHER</t>
        </is>
      </c>
      <c r="I4" s="84" t="inlineStr">
        <is>
          <t>PREENCHER</t>
        </is>
      </c>
      <c r="J4" s="85" t="inlineStr">
        <is>
          <t>AUTOMÁTICO</t>
        </is>
      </c>
    </row>
    <row r="5" ht="46" customHeight="1">
      <c r="A5" s="86" t="inlineStr">
        <is>
          <t>ID interno do resíduo</t>
        </is>
      </c>
      <c r="B5" s="86" t="inlineStr">
        <is>
          <t>Nome interno</t>
        </is>
      </c>
      <c r="C5" s="86" t="inlineStr">
        <is>
          <t>Descrição</t>
        </is>
      </c>
      <c r="D5" s="86" t="inlineStr">
        <is>
          <t>Processo de origem</t>
        </is>
      </c>
      <c r="E5" s="86" t="inlineStr">
        <is>
          <t>Código informado</t>
        </is>
      </c>
      <c r="F5" s="86" t="inlineStr">
        <is>
          <t>Referência utilizada para o código</t>
        </is>
      </c>
      <c r="G5" s="86" t="inlineStr">
        <is>
          <t>Classificação informada</t>
        </is>
      </c>
      <c r="H5" s="86" t="inlineStr">
        <is>
          <t>Unidade padrão</t>
        </is>
      </c>
      <c r="I5" s="86" t="inlineStr">
        <is>
          <t>Observações</t>
        </is>
      </c>
      <c r="J5" s="87" t="inlineStr">
        <is>
          <t>Alerta do cadastro</t>
        </is>
      </c>
      <c r="K5" s="88" t="inlineStr">
        <is>
          <t>aux tem nome</t>
        </is>
      </c>
      <c r="L5" s="88" t="inlineStr">
        <is>
          <t>aux ordem seleção</t>
        </is>
      </c>
      <c r="M5" s="88" t="inlineStr">
        <is>
          <t>aux kg no painel</t>
        </is>
      </c>
      <c r="N5" s="88" t="inlineStr">
        <is>
          <t>aux ordem gráfico</t>
        </is>
      </c>
    </row>
    <row r="6">
      <c r="A6" s="89" t="inlineStr">
        <is>
          <t>RS-001</t>
        </is>
      </c>
      <c r="B6" s="91" t="n"/>
      <c r="C6" s="91" t="n"/>
      <c r="D6" s="91" t="n"/>
      <c r="E6" s="90" t="n"/>
      <c r="F6" s="91" t="n"/>
      <c r="G6" s="91" t="n"/>
      <c r="H6" s="91" t="n"/>
      <c r="I6" s="91" t="n"/>
      <c r="J6" s="94" t="str">
        <f>IF(B6="",IF(COUNTA(C6:I6)&gt;0,"Informe o nome interno",""),IF(SUMPRODUCT(--($B$6:$B$205=B6))&gt;1,"Nome repetido","OK"))</f>
        <v/>
      </c>
      <c r="K6" s="96">
        <f>IF(B6&lt;&gt;"",1,0)</f>
        <v>0</v>
      </c>
      <c r="L6" s="96" t="str">
        <f>IF(K6=1,COUNTIF($K$6:K6,1),"")</f>
        <v/>
      </c>
      <c r="M6" s="96" t="str">
        <f>IF(K6=0,"",SUMIFS('ITENS_MTR'!$I$6:$I$1005,'ITENS_MTR'!$C$6:$C$1005,B6,'ITENS_MTR'!$AP$6:$AP$1005,1,'ITENS_MTR'!$Y$6:$Y$1005,1))</f>
        <v/>
      </c>
      <c r="N6" s="96" t="str">
        <f>IF(N(M6)&gt;0,M6+(1000-1)/1000000,"")</f>
        <v/>
      </c>
    </row>
    <row r="7">
      <c r="A7" s="89" t="inlineStr">
        <is>
          <t>RS-002</t>
        </is>
      </c>
      <c r="B7" s="91" t="n"/>
      <c r="C7" s="91" t="n"/>
      <c r="D7" s="91" t="n"/>
      <c r="E7" s="90" t="n"/>
      <c r="F7" s="91" t="n"/>
      <c r="G7" s="91" t="n"/>
      <c r="H7" s="91" t="n"/>
      <c r="I7" s="91" t="n"/>
      <c r="J7" s="94" t="str">
        <f>IF(B7="",IF(COUNTA(C7:I7)&gt;0,"Informe o nome interno",""),IF(SUMPRODUCT(--($B$6:$B$205=B7))&gt;1,"Nome repetido","OK"))</f>
        <v/>
      </c>
      <c r="K7" s="96">
        <f>IF(B7&lt;&gt;"",1,0)</f>
        <v>0</v>
      </c>
      <c r="L7" s="96" t="str">
        <f>IF(K7=1,COUNTIF($K$6:K7,1),"")</f>
        <v/>
      </c>
      <c r="M7" s="96" t="str">
        <f>IF(K7=0,"",SUMIFS('ITENS_MTR'!$I$6:$I$1005,'ITENS_MTR'!$C$6:$C$1005,B7,'ITENS_MTR'!$AP$6:$AP$1005,1,'ITENS_MTR'!$Y$6:$Y$1005,1))</f>
        <v/>
      </c>
      <c r="N7" s="96" t="str">
        <f>IF(N(M7)&gt;0,M7+(1000-2)/1000000,"")</f>
        <v/>
      </c>
    </row>
    <row r="8">
      <c r="A8" s="89" t="inlineStr">
        <is>
          <t>RS-003</t>
        </is>
      </c>
      <c r="B8" s="91" t="n"/>
      <c r="C8" s="91" t="n"/>
      <c r="D8" s="91" t="n"/>
      <c r="E8" s="90" t="n"/>
      <c r="F8" s="91" t="n"/>
      <c r="G8" s="91" t="n"/>
      <c r="H8" s="91" t="n"/>
      <c r="I8" s="91" t="n"/>
      <c r="J8" s="94" t="str">
        <f>IF(B8="",IF(COUNTA(C8:I8)&gt;0,"Informe o nome interno",""),IF(SUMPRODUCT(--($B$6:$B$205=B8))&gt;1,"Nome repetido","OK"))</f>
        <v/>
      </c>
      <c r="K8" s="96">
        <f>IF(B8&lt;&gt;"",1,0)</f>
        <v>0</v>
      </c>
      <c r="L8" s="96" t="str">
        <f>IF(K8=1,COUNTIF($K$6:K8,1),"")</f>
        <v/>
      </c>
      <c r="M8" s="96" t="str">
        <f>IF(K8=0,"",SUMIFS('ITENS_MTR'!$I$6:$I$1005,'ITENS_MTR'!$C$6:$C$1005,B8,'ITENS_MTR'!$AP$6:$AP$1005,1,'ITENS_MTR'!$Y$6:$Y$1005,1))</f>
        <v/>
      </c>
      <c r="N8" s="96" t="str">
        <f>IF(N(M8)&gt;0,M8+(1000-3)/1000000,"")</f>
        <v/>
      </c>
    </row>
    <row r="9">
      <c r="A9" s="89" t="inlineStr">
        <is>
          <t>RS-004</t>
        </is>
      </c>
      <c r="B9" s="91" t="n"/>
      <c r="C9" s="91" t="n"/>
      <c r="D9" s="91" t="n"/>
      <c r="E9" s="90" t="n"/>
      <c r="F9" s="91" t="n"/>
      <c r="G9" s="91" t="n"/>
      <c r="H9" s="91" t="n"/>
      <c r="I9" s="91" t="n"/>
      <c r="J9" s="94" t="str">
        <f>IF(B9="",IF(COUNTA(C9:I9)&gt;0,"Informe o nome interno",""),IF(SUMPRODUCT(--($B$6:$B$205=B9))&gt;1,"Nome repetido","OK"))</f>
        <v/>
      </c>
      <c r="K9" s="96">
        <f>IF(B9&lt;&gt;"",1,0)</f>
        <v>0</v>
      </c>
      <c r="L9" s="96" t="str">
        <f>IF(K9=1,COUNTIF($K$6:K9,1),"")</f>
        <v/>
      </c>
      <c r="M9" s="96" t="str">
        <f>IF(K9=0,"",SUMIFS('ITENS_MTR'!$I$6:$I$1005,'ITENS_MTR'!$C$6:$C$1005,B9,'ITENS_MTR'!$AP$6:$AP$1005,1,'ITENS_MTR'!$Y$6:$Y$1005,1))</f>
        <v/>
      </c>
      <c r="N9" s="96" t="str">
        <f>IF(N(M9)&gt;0,M9+(1000-4)/1000000,"")</f>
        <v/>
      </c>
    </row>
    <row r="10">
      <c r="A10" s="89" t="inlineStr">
        <is>
          <t>RS-005</t>
        </is>
      </c>
      <c r="B10" s="91" t="n"/>
      <c r="C10" s="91" t="n"/>
      <c r="D10" s="91" t="n"/>
      <c r="E10" s="90" t="n"/>
      <c r="F10" s="91" t="n"/>
      <c r="G10" s="91" t="n"/>
      <c r="H10" s="91" t="n"/>
      <c r="I10" s="91" t="n"/>
      <c r="J10" s="94" t="str">
        <f>IF(B10="",IF(COUNTA(C10:I10)&gt;0,"Informe o nome interno",""),IF(SUMPRODUCT(--($B$6:$B$205=B10))&gt;1,"Nome repetido","OK"))</f>
        <v/>
      </c>
      <c r="K10" s="96">
        <f>IF(B10&lt;&gt;"",1,0)</f>
        <v>0</v>
      </c>
      <c r="L10" s="96" t="str">
        <f>IF(K10=1,COUNTIF($K$6:K10,1),"")</f>
        <v/>
      </c>
      <c r="M10" s="96" t="str">
        <f>IF(K10=0,"",SUMIFS('ITENS_MTR'!$I$6:$I$1005,'ITENS_MTR'!$C$6:$C$1005,B10,'ITENS_MTR'!$AP$6:$AP$1005,1,'ITENS_MTR'!$Y$6:$Y$1005,1))</f>
        <v/>
      </c>
      <c r="N10" s="96" t="str">
        <f>IF(N(M10)&gt;0,M10+(1000-5)/1000000,"")</f>
        <v/>
      </c>
    </row>
    <row r="11">
      <c r="A11" s="89" t="inlineStr">
        <is>
          <t>RS-006</t>
        </is>
      </c>
      <c r="B11" s="91" t="n"/>
      <c r="C11" s="91" t="n"/>
      <c r="D11" s="91" t="n"/>
      <c r="E11" s="90" t="n"/>
      <c r="F11" s="91" t="n"/>
      <c r="G11" s="91" t="n"/>
      <c r="H11" s="91" t="n"/>
      <c r="I11" s="91" t="n"/>
      <c r="J11" s="94" t="str">
        <f>IF(B11="",IF(COUNTA(C11:I11)&gt;0,"Informe o nome interno",""),IF(SUMPRODUCT(--($B$6:$B$205=B11))&gt;1,"Nome repetido","OK"))</f>
        <v/>
      </c>
      <c r="K11" s="96">
        <f>IF(B11&lt;&gt;"",1,0)</f>
        <v>0</v>
      </c>
      <c r="L11" s="96" t="str">
        <f>IF(K11=1,COUNTIF($K$6:K11,1),"")</f>
        <v/>
      </c>
      <c r="M11" s="96" t="str">
        <f>IF(K11=0,"",SUMIFS('ITENS_MTR'!$I$6:$I$1005,'ITENS_MTR'!$C$6:$C$1005,B11,'ITENS_MTR'!$AP$6:$AP$1005,1,'ITENS_MTR'!$Y$6:$Y$1005,1))</f>
        <v/>
      </c>
      <c r="N11" s="96" t="str">
        <f>IF(N(M11)&gt;0,M11+(1000-6)/1000000,"")</f>
        <v/>
      </c>
    </row>
    <row r="12">
      <c r="A12" s="89" t="inlineStr">
        <is>
          <t>RS-007</t>
        </is>
      </c>
      <c r="B12" s="91" t="n"/>
      <c r="C12" s="91" t="n"/>
      <c r="D12" s="91" t="n"/>
      <c r="E12" s="90" t="n"/>
      <c r="F12" s="91" t="n"/>
      <c r="G12" s="91" t="n"/>
      <c r="H12" s="91" t="n"/>
      <c r="I12" s="91" t="n"/>
      <c r="J12" s="94" t="str">
        <f>IF(B12="",IF(COUNTA(C12:I12)&gt;0,"Informe o nome interno",""),IF(SUMPRODUCT(--($B$6:$B$205=B12))&gt;1,"Nome repetido","OK"))</f>
        <v/>
      </c>
      <c r="K12" s="96">
        <f>IF(B12&lt;&gt;"",1,0)</f>
        <v>0</v>
      </c>
      <c r="L12" s="96" t="str">
        <f>IF(K12=1,COUNTIF($K$6:K12,1),"")</f>
        <v/>
      </c>
      <c r="M12" s="96" t="str">
        <f>IF(K12=0,"",SUMIFS('ITENS_MTR'!$I$6:$I$1005,'ITENS_MTR'!$C$6:$C$1005,B12,'ITENS_MTR'!$AP$6:$AP$1005,1,'ITENS_MTR'!$Y$6:$Y$1005,1))</f>
        <v/>
      </c>
      <c r="N12" s="96" t="str">
        <f>IF(N(M12)&gt;0,M12+(1000-7)/1000000,"")</f>
        <v/>
      </c>
    </row>
    <row r="13">
      <c r="A13" s="89" t="inlineStr">
        <is>
          <t>RS-008</t>
        </is>
      </c>
      <c r="B13" s="91" t="n"/>
      <c r="C13" s="91" t="n"/>
      <c r="D13" s="91" t="n"/>
      <c r="E13" s="90" t="n"/>
      <c r="F13" s="91" t="n"/>
      <c r="G13" s="91" t="n"/>
      <c r="H13" s="91" t="n"/>
      <c r="I13" s="91" t="n"/>
      <c r="J13" s="94" t="str">
        <f>IF(B13="",IF(COUNTA(C13:I13)&gt;0,"Informe o nome interno",""),IF(SUMPRODUCT(--($B$6:$B$205=B13))&gt;1,"Nome repetido","OK"))</f>
        <v/>
      </c>
      <c r="K13" s="96">
        <f>IF(B13&lt;&gt;"",1,0)</f>
        <v>0</v>
      </c>
      <c r="L13" s="96" t="str">
        <f>IF(K13=1,COUNTIF($K$6:K13,1),"")</f>
        <v/>
      </c>
      <c r="M13" s="96" t="str">
        <f>IF(K13=0,"",SUMIFS('ITENS_MTR'!$I$6:$I$1005,'ITENS_MTR'!$C$6:$C$1005,B13,'ITENS_MTR'!$AP$6:$AP$1005,1,'ITENS_MTR'!$Y$6:$Y$1005,1))</f>
        <v/>
      </c>
      <c r="N13" s="96" t="str">
        <f>IF(N(M13)&gt;0,M13+(1000-8)/1000000,"")</f>
        <v/>
      </c>
    </row>
    <row r="14">
      <c r="A14" s="89" t="inlineStr">
        <is>
          <t>RS-009</t>
        </is>
      </c>
      <c r="B14" s="91" t="n"/>
      <c r="C14" s="91" t="n"/>
      <c r="D14" s="91" t="n"/>
      <c r="E14" s="90" t="n"/>
      <c r="F14" s="91" t="n"/>
      <c r="G14" s="91" t="n"/>
      <c r="H14" s="91" t="n"/>
      <c r="I14" s="91" t="n"/>
      <c r="J14" s="94" t="str">
        <f>IF(B14="",IF(COUNTA(C14:I14)&gt;0,"Informe o nome interno",""),IF(SUMPRODUCT(--($B$6:$B$205=B14))&gt;1,"Nome repetido","OK"))</f>
        <v/>
      </c>
      <c r="K14" s="96">
        <f>IF(B14&lt;&gt;"",1,0)</f>
        <v>0</v>
      </c>
      <c r="L14" s="96" t="str">
        <f>IF(K14=1,COUNTIF($K$6:K14,1),"")</f>
        <v/>
      </c>
      <c r="M14" s="96" t="str">
        <f>IF(K14=0,"",SUMIFS('ITENS_MTR'!$I$6:$I$1005,'ITENS_MTR'!$C$6:$C$1005,B14,'ITENS_MTR'!$AP$6:$AP$1005,1,'ITENS_MTR'!$Y$6:$Y$1005,1))</f>
        <v/>
      </c>
      <c r="N14" s="96" t="str">
        <f>IF(N(M14)&gt;0,M14+(1000-9)/1000000,"")</f>
        <v/>
      </c>
    </row>
    <row r="15">
      <c r="A15" s="89" t="inlineStr">
        <is>
          <t>RS-010</t>
        </is>
      </c>
      <c r="B15" s="91" t="n"/>
      <c r="C15" s="91" t="n"/>
      <c r="D15" s="91" t="n"/>
      <c r="E15" s="90" t="n"/>
      <c r="F15" s="91" t="n"/>
      <c r="G15" s="91" t="n"/>
      <c r="H15" s="91" t="n"/>
      <c r="I15" s="91" t="n"/>
      <c r="J15" s="94" t="str">
        <f>IF(B15="",IF(COUNTA(C15:I15)&gt;0,"Informe o nome interno",""),IF(SUMPRODUCT(--($B$6:$B$205=B15))&gt;1,"Nome repetido","OK"))</f>
        <v/>
      </c>
      <c r="K15" s="96">
        <f>IF(B15&lt;&gt;"",1,0)</f>
        <v>0</v>
      </c>
      <c r="L15" s="96" t="str">
        <f>IF(K15=1,COUNTIF($K$6:K15,1),"")</f>
        <v/>
      </c>
      <c r="M15" s="96" t="str">
        <f>IF(K15=0,"",SUMIFS('ITENS_MTR'!$I$6:$I$1005,'ITENS_MTR'!$C$6:$C$1005,B15,'ITENS_MTR'!$AP$6:$AP$1005,1,'ITENS_MTR'!$Y$6:$Y$1005,1))</f>
        <v/>
      </c>
      <c r="N15" s="96" t="str">
        <f>IF(N(M15)&gt;0,M15+(1000-10)/1000000,"")</f>
        <v/>
      </c>
    </row>
    <row r="16">
      <c r="A16" s="89" t="inlineStr">
        <is>
          <t>RS-011</t>
        </is>
      </c>
      <c r="B16" s="91" t="n"/>
      <c r="C16" s="91" t="n"/>
      <c r="D16" s="91" t="n"/>
      <c r="E16" s="90" t="n"/>
      <c r="F16" s="91" t="n"/>
      <c r="G16" s="91" t="n"/>
      <c r="H16" s="91" t="n"/>
      <c r="I16" s="91" t="n"/>
      <c r="J16" s="94" t="str">
        <f>IF(B16="",IF(COUNTA(C16:I16)&gt;0,"Informe o nome interno",""),IF(SUMPRODUCT(--($B$6:$B$205=B16))&gt;1,"Nome repetido","OK"))</f>
        <v/>
      </c>
      <c r="K16" s="96">
        <f>IF(B16&lt;&gt;"",1,0)</f>
        <v>0</v>
      </c>
      <c r="L16" s="96" t="str">
        <f>IF(K16=1,COUNTIF($K$6:K16,1),"")</f>
        <v/>
      </c>
      <c r="M16" s="96" t="str">
        <f>IF(K16=0,"",SUMIFS('ITENS_MTR'!$I$6:$I$1005,'ITENS_MTR'!$C$6:$C$1005,B16,'ITENS_MTR'!$AP$6:$AP$1005,1,'ITENS_MTR'!$Y$6:$Y$1005,1))</f>
        <v/>
      </c>
      <c r="N16" s="96" t="str">
        <f>IF(N(M16)&gt;0,M16+(1000-11)/1000000,"")</f>
        <v/>
      </c>
    </row>
    <row r="17">
      <c r="A17" s="89" t="inlineStr">
        <is>
          <t>RS-012</t>
        </is>
      </c>
      <c r="B17" s="91" t="n"/>
      <c r="C17" s="91" t="n"/>
      <c r="D17" s="91" t="n"/>
      <c r="E17" s="90" t="n"/>
      <c r="F17" s="91" t="n"/>
      <c r="G17" s="91" t="n"/>
      <c r="H17" s="91" t="n"/>
      <c r="I17" s="91" t="n"/>
      <c r="J17" s="94" t="str">
        <f>IF(B17="",IF(COUNTA(C17:I17)&gt;0,"Informe o nome interno",""),IF(SUMPRODUCT(--($B$6:$B$205=B17))&gt;1,"Nome repetido","OK"))</f>
        <v/>
      </c>
      <c r="K17" s="96">
        <f>IF(B17&lt;&gt;"",1,0)</f>
        <v>0</v>
      </c>
      <c r="L17" s="96" t="str">
        <f>IF(K17=1,COUNTIF($K$6:K17,1),"")</f>
        <v/>
      </c>
      <c r="M17" s="96" t="str">
        <f>IF(K17=0,"",SUMIFS('ITENS_MTR'!$I$6:$I$1005,'ITENS_MTR'!$C$6:$C$1005,B17,'ITENS_MTR'!$AP$6:$AP$1005,1,'ITENS_MTR'!$Y$6:$Y$1005,1))</f>
        <v/>
      </c>
      <c r="N17" s="96" t="str">
        <f>IF(N(M17)&gt;0,M17+(1000-12)/1000000,"")</f>
        <v/>
      </c>
    </row>
    <row r="18">
      <c r="A18" s="89" t="inlineStr">
        <is>
          <t>RS-013</t>
        </is>
      </c>
      <c r="B18" s="91" t="n"/>
      <c r="C18" s="91" t="n"/>
      <c r="D18" s="91" t="n"/>
      <c r="E18" s="90" t="n"/>
      <c r="F18" s="91" t="n"/>
      <c r="G18" s="91" t="n"/>
      <c r="H18" s="91" t="n"/>
      <c r="I18" s="91" t="n"/>
      <c r="J18" s="94" t="str">
        <f>IF(B18="",IF(COUNTA(C18:I18)&gt;0,"Informe o nome interno",""),IF(SUMPRODUCT(--($B$6:$B$205=B18))&gt;1,"Nome repetido","OK"))</f>
        <v/>
      </c>
      <c r="K18" s="96">
        <f>IF(B18&lt;&gt;"",1,0)</f>
        <v>0</v>
      </c>
      <c r="L18" s="96" t="str">
        <f>IF(K18=1,COUNTIF($K$6:K18,1),"")</f>
        <v/>
      </c>
      <c r="M18" s="96" t="str">
        <f>IF(K18=0,"",SUMIFS('ITENS_MTR'!$I$6:$I$1005,'ITENS_MTR'!$C$6:$C$1005,B18,'ITENS_MTR'!$AP$6:$AP$1005,1,'ITENS_MTR'!$Y$6:$Y$1005,1))</f>
        <v/>
      </c>
      <c r="N18" s="96" t="str">
        <f>IF(N(M18)&gt;0,M18+(1000-13)/1000000,"")</f>
        <v/>
      </c>
    </row>
    <row r="19">
      <c r="A19" s="89" t="inlineStr">
        <is>
          <t>RS-014</t>
        </is>
      </c>
      <c r="B19" s="91" t="n"/>
      <c r="C19" s="91" t="n"/>
      <c r="D19" s="91" t="n"/>
      <c r="E19" s="90" t="n"/>
      <c r="F19" s="91" t="n"/>
      <c r="G19" s="91" t="n"/>
      <c r="H19" s="91" t="n"/>
      <c r="I19" s="91" t="n"/>
      <c r="J19" s="94" t="str">
        <f>IF(B19="",IF(COUNTA(C19:I19)&gt;0,"Informe o nome interno",""),IF(SUMPRODUCT(--($B$6:$B$205=B19))&gt;1,"Nome repetido","OK"))</f>
        <v/>
      </c>
      <c r="K19" s="96">
        <f>IF(B19&lt;&gt;"",1,0)</f>
        <v>0</v>
      </c>
      <c r="L19" s="96" t="str">
        <f>IF(K19=1,COUNTIF($K$6:K19,1),"")</f>
        <v/>
      </c>
      <c r="M19" s="96" t="str">
        <f>IF(K19=0,"",SUMIFS('ITENS_MTR'!$I$6:$I$1005,'ITENS_MTR'!$C$6:$C$1005,B19,'ITENS_MTR'!$AP$6:$AP$1005,1,'ITENS_MTR'!$Y$6:$Y$1005,1))</f>
        <v/>
      </c>
      <c r="N19" s="96" t="str">
        <f>IF(N(M19)&gt;0,M19+(1000-14)/1000000,"")</f>
        <v/>
      </c>
    </row>
    <row r="20">
      <c r="A20" s="89" t="inlineStr">
        <is>
          <t>RS-015</t>
        </is>
      </c>
      <c r="B20" s="91" t="n"/>
      <c r="C20" s="91" t="n"/>
      <c r="D20" s="91" t="n"/>
      <c r="E20" s="90" t="n"/>
      <c r="F20" s="91" t="n"/>
      <c r="G20" s="91" t="n"/>
      <c r="H20" s="91" t="n"/>
      <c r="I20" s="91" t="n"/>
      <c r="J20" s="94" t="str">
        <f>IF(B20="",IF(COUNTA(C20:I20)&gt;0,"Informe o nome interno",""),IF(SUMPRODUCT(--($B$6:$B$205=B20))&gt;1,"Nome repetido","OK"))</f>
        <v/>
      </c>
      <c r="K20" s="96">
        <f>IF(B20&lt;&gt;"",1,0)</f>
        <v>0</v>
      </c>
      <c r="L20" s="96" t="str">
        <f>IF(K20=1,COUNTIF($K$6:K20,1),"")</f>
        <v/>
      </c>
      <c r="M20" s="96" t="str">
        <f>IF(K20=0,"",SUMIFS('ITENS_MTR'!$I$6:$I$1005,'ITENS_MTR'!$C$6:$C$1005,B20,'ITENS_MTR'!$AP$6:$AP$1005,1,'ITENS_MTR'!$Y$6:$Y$1005,1))</f>
        <v/>
      </c>
      <c r="N20" s="96" t="str">
        <f>IF(N(M20)&gt;0,M20+(1000-15)/1000000,"")</f>
        <v/>
      </c>
    </row>
    <row r="21">
      <c r="A21" s="89" t="inlineStr">
        <is>
          <t>RS-016</t>
        </is>
      </c>
      <c r="B21" s="91" t="n"/>
      <c r="C21" s="91" t="n"/>
      <c r="D21" s="91" t="n"/>
      <c r="E21" s="90" t="n"/>
      <c r="F21" s="91" t="n"/>
      <c r="G21" s="91" t="n"/>
      <c r="H21" s="91" t="n"/>
      <c r="I21" s="91" t="n"/>
      <c r="J21" s="94" t="str">
        <f>IF(B21="",IF(COUNTA(C21:I21)&gt;0,"Informe o nome interno",""),IF(SUMPRODUCT(--($B$6:$B$205=B21))&gt;1,"Nome repetido","OK"))</f>
        <v/>
      </c>
      <c r="K21" s="96">
        <f>IF(B21&lt;&gt;"",1,0)</f>
        <v>0</v>
      </c>
      <c r="L21" s="96" t="str">
        <f>IF(K21=1,COUNTIF($K$6:K21,1),"")</f>
        <v/>
      </c>
      <c r="M21" s="96" t="str">
        <f>IF(K21=0,"",SUMIFS('ITENS_MTR'!$I$6:$I$1005,'ITENS_MTR'!$C$6:$C$1005,B21,'ITENS_MTR'!$AP$6:$AP$1005,1,'ITENS_MTR'!$Y$6:$Y$1005,1))</f>
        <v/>
      </c>
      <c r="N21" s="96" t="str">
        <f>IF(N(M21)&gt;0,M21+(1000-16)/1000000,"")</f>
        <v/>
      </c>
    </row>
    <row r="22">
      <c r="A22" s="89" t="inlineStr">
        <is>
          <t>RS-017</t>
        </is>
      </c>
      <c r="B22" s="91" t="n"/>
      <c r="C22" s="91" t="n"/>
      <c r="D22" s="91" t="n"/>
      <c r="E22" s="90" t="n"/>
      <c r="F22" s="91" t="n"/>
      <c r="G22" s="91" t="n"/>
      <c r="H22" s="91" t="n"/>
      <c r="I22" s="91" t="n"/>
      <c r="J22" s="94" t="str">
        <f>IF(B22="",IF(COUNTA(C22:I22)&gt;0,"Informe o nome interno",""),IF(SUMPRODUCT(--($B$6:$B$205=B22))&gt;1,"Nome repetido","OK"))</f>
        <v/>
      </c>
      <c r="K22" s="96">
        <f>IF(B22&lt;&gt;"",1,0)</f>
        <v>0</v>
      </c>
      <c r="L22" s="96" t="str">
        <f>IF(K22=1,COUNTIF($K$6:K22,1),"")</f>
        <v/>
      </c>
      <c r="M22" s="96" t="str">
        <f>IF(K22=0,"",SUMIFS('ITENS_MTR'!$I$6:$I$1005,'ITENS_MTR'!$C$6:$C$1005,B22,'ITENS_MTR'!$AP$6:$AP$1005,1,'ITENS_MTR'!$Y$6:$Y$1005,1))</f>
        <v/>
      </c>
      <c r="N22" s="96" t="str">
        <f>IF(N(M22)&gt;0,M22+(1000-17)/1000000,"")</f>
        <v/>
      </c>
    </row>
    <row r="23">
      <c r="A23" s="89" t="inlineStr">
        <is>
          <t>RS-018</t>
        </is>
      </c>
      <c r="B23" s="91" t="n"/>
      <c r="C23" s="91" t="n"/>
      <c r="D23" s="91" t="n"/>
      <c r="E23" s="90" t="n"/>
      <c r="F23" s="91" t="n"/>
      <c r="G23" s="91" t="n"/>
      <c r="H23" s="91" t="n"/>
      <c r="I23" s="91" t="n"/>
      <c r="J23" s="94" t="str">
        <f>IF(B23="",IF(COUNTA(C23:I23)&gt;0,"Informe o nome interno",""),IF(SUMPRODUCT(--($B$6:$B$205=B23))&gt;1,"Nome repetido","OK"))</f>
        <v/>
      </c>
      <c r="K23" s="96">
        <f>IF(B23&lt;&gt;"",1,0)</f>
        <v>0</v>
      </c>
      <c r="L23" s="96" t="str">
        <f>IF(K23=1,COUNTIF($K$6:K23,1),"")</f>
        <v/>
      </c>
      <c r="M23" s="96" t="str">
        <f>IF(K23=0,"",SUMIFS('ITENS_MTR'!$I$6:$I$1005,'ITENS_MTR'!$C$6:$C$1005,B23,'ITENS_MTR'!$AP$6:$AP$1005,1,'ITENS_MTR'!$Y$6:$Y$1005,1))</f>
        <v/>
      </c>
      <c r="N23" s="96" t="str">
        <f>IF(N(M23)&gt;0,M23+(1000-18)/1000000,"")</f>
        <v/>
      </c>
    </row>
    <row r="24">
      <c r="A24" s="89" t="inlineStr">
        <is>
          <t>RS-019</t>
        </is>
      </c>
      <c r="B24" s="91" t="n"/>
      <c r="C24" s="91" t="n"/>
      <c r="D24" s="91" t="n"/>
      <c r="E24" s="90" t="n"/>
      <c r="F24" s="91" t="n"/>
      <c r="G24" s="91" t="n"/>
      <c r="H24" s="91" t="n"/>
      <c r="I24" s="91" t="n"/>
      <c r="J24" s="94" t="str">
        <f>IF(B24="",IF(COUNTA(C24:I24)&gt;0,"Informe o nome interno",""),IF(SUMPRODUCT(--($B$6:$B$205=B24))&gt;1,"Nome repetido","OK"))</f>
        <v/>
      </c>
      <c r="K24" s="96">
        <f>IF(B24&lt;&gt;"",1,0)</f>
        <v>0</v>
      </c>
      <c r="L24" s="96" t="str">
        <f>IF(K24=1,COUNTIF($K$6:K24,1),"")</f>
        <v/>
      </c>
      <c r="M24" s="96" t="str">
        <f>IF(K24=0,"",SUMIFS('ITENS_MTR'!$I$6:$I$1005,'ITENS_MTR'!$C$6:$C$1005,B24,'ITENS_MTR'!$AP$6:$AP$1005,1,'ITENS_MTR'!$Y$6:$Y$1005,1))</f>
        <v/>
      </c>
      <c r="N24" s="96" t="str">
        <f>IF(N(M24)&gt;0,M24+(1000-19)/1000000,"")</f>
        <v/>
      </c>
    </row>
    <row r="25">
      <c r="A25" s="89" t="inlineStr">
        <is>
          <t>RS-020</t>
        </is>
      </c>
      <c r="B25" s="91" t="n"/>
      <c r="C25" s="91" t="n"/>
      <c r="D25" s="91" t="n"/>
      <c r="E25" s="90" t="n"/>
      <c r="F25" s="91" t="n"/>
      <c r="G25" s="91" t="n"/>
      <c r="H25" s="91" t="n"/>
      <c r="I25" s="91" t="n"/>
      <c r="J25" s="94" t="str">
        <f>IF(B25="",IF(COUNTA(C25:I25)&gt;0,"Informe o nome interno",""),IF(SUMPRODUCT(--($B$6:$B$205=B25))&gt;1,"Nome repetido","OK"))</f>
        <v/>
      </c>
      <c r="K25" s="96">
        <f>IF(B25&lt;&gt;"",1,0)</f>
        <v>0</v>
      </c>
      <c r="L25" s="96" t="str">
        <f>IF(K25=1,COUNTIF($K$6:K25,1),"")</f>
        <v/>
      </c>
      <c r="M25" s="96" t="str">
        <f>IF(K25=0,"",SUMIFS('ITENS_MTR'!$I$6:$I$1005,'ITENS_MTR'!$C$6:$C$1005,B25,'ITENS_MTR'!$AP$6:$AP$1005,1,'ITENS_MTR'!$Y$6:$Y$1005,1))</f>
        <v/>
      </c>
      <c r="N25" s="96" t="str">
        <f>IF(N(M25)&gt;0,M25+(1000-20)/1000000,"")</f>
        <v/>
      </c>
    </row>
    <row r="26">
      <c r="A26" s="89" t="inlineStr">
        <is>
          <t>RS-021</t>
        </is>
      </c>
      <c r="B26" s="91" t="n"/>
      <c r="C26" s="91" t="n"/>
      <c r="D26" s="91" t="n"/>
      <c r="E26" s="90" t="n"/>
      <c r="F26" s="91" t="n"/>
      <c r="G26" s="91" t="n"/>
      <c r="H26" s="91" t="n"/>
      <c r="I26" s="91" t="n"/>
      <c r="J26" s="94" t="str">
        <f>IF(B26="",IF(COUNTA(C26:I26)&gt;0,"Informe o nome interno",""),IF(SUMPRODUCT(--($B$6:$B$205=B26))&gt;1,"Nome repetido","OK"))</f>
        <v/>
      </c>
      <c r="K26" s="96">
        <f>IF(B26&lt;&gt;"",1,0)</f>
        <v>0</v>
      </c>
      <c r="L26" s="96" t="str">
        <f>IF(K26=1,COUNTIF($K$6:K26,1),"")</f>
        <v/>
      </c>
      <c r="M26" s="96" t="str">
        <f>IF(K26=0,"",SUMIFS('ITENS_MTR'!$I$6:$I$1005,'ITENS_MTR'!$C$6:$C$1005,B26,'ITENS_MTR'!$AP$6:$AP$1005,1,'ITENS_MTR'!$Y$6:$Y$1005,1))</f>
        <v/>
      </c>
      <c r="N26" s="96" t="str">
        <f>IF(N(M26)&gt;0,M26+(1000-21)/1000000,"")</f>
        <v/>
      </c>
    </row>
    <row r="27">
      <c r="A27" s="89" t="inlineStr">
        <is>
          <t>RS-022</t>
        </is>
      </c>
      <c r="B27" s="91" t="n"/>
      <c r="C27" s="91" t="n"/>
      <c r="D27" s="91" t="n"/>
      <c r="E27" s="90" t="n"/>
      <c r="F27" s="91" t="n"/>
      <c r="G27" s="91" t="n"/>
      <c r="H27" s="91" t="n"/>
      <c r="I27" s="91" t="n"/>
      <c r="J27" s="94" t="str">
        <f>IF(B27="",IF(COUNTA(C27:I27)&gt;0,"Informe o nome interno",""),IF(SUMPRODUCT(--($B$6:$B$205=B27))&gt;1,"Nome repetido","OK"))</f>
        <v/>
      </c>
      <c r="K27" s="96">
        <f>IF(B27&lt;&gt;"",1,0)</f>
        <v>0</v>
      </c>
      <c r="L27" s="96" t="str">
        <f>IF(K27=1,COUNTIF($K$6:K27,1),"")</f>
        <v/>
      </c>
      <c r="M27" s="96" t="str">
        <f>IF(K27=0,"",SUMIFS('ITENS_MTR'!$I$6:$I$1005,'ITENS_MTR'!$C$6:$C$1005,B27,'ITENS_MTR'!$AP$6:$AP$1005,1,'ITENS_MTR'!$Y$6:$Y$1005,1))</f>
        <v/>
      </c>
      <c r="N27" s="96" t="str">
        <f>IF(N(M27)&gt;0,M27+(1000-22)/1000000,"")</f>
        <v/>
      </c>
    </row>
    <row r="28">
      <c r="A28" s="89" t="inlineStr">
        <is>
          <t>RS-023</t>
        </is>
      </c>
      <c r="B28" s="91" t="n"/>
      <c r="C28" s="91" t="n"/>
      <c r="D28" s="91" t="n"/>
      <c r="E28" s="90" t="n"/>
      <c r="F28" s="91" t="n"/>
      <c r="G28" s="91" t="n"/>
      <c r="H28" s="91" t="n"/>
      <c r="I28" s="91" t="n"/>
      <c r="J28" s="94" t="str">
        <f>IF(B28="",IF(COUNTA(C28:I28)&gt;0,"Informe o nome interno",""),IF(SUMPRODUCT(--($B$6:$B$205=B28))&gt;1,"Nome repetido","OK"))</f>
        <v/>
      </c>
      <c r="K28" s="96">
        <f>IF(B28&lt;&gt;"",1,0)</f>
        <v>0</v>
      </c>
      <c r="L28" s="96" t="str">
        <f>IF(K28=1,COUNTIF($K$6:K28,1),"")</f>
        <v/>
      </c>
      <c r="M28" s="96" t="str">
        <f>IF(K28=0,"",SUMIFS('ITENS_MTR'!$I$6:$I$1005,'ITENS_MTR'!$C$6:$C$1005,B28,'ITENS_MTR'!$AP$6:$AP$1005,1,'ITENS_MTR'!$Y$6:$Y$1005,1))</f>
        <v/>
      </c>
      <c r="N28" s="96" t="str">
        <f>IF(N(M28)&gt;0,M28+(1000-23)/1000000,"")</f>
        <v/>
      </c>
    </row>
    <row r="29">
      <c r="A29" s="89" t="inlineStr">
        <is>
          <t>RS-024</t>
        </is>
      </c>
      <c r="B29" s="91" t="n"/>
      <c r="C29" s="91" t="n"/>
      <c r="D29" s="91" t="n"/>
      <c r="E29" s="90" t="n"/>
      <c r="F29" s="91" t="n"/>
      <c r="G29" s="91" t="n"/>
      <c r="H29" s="91" t="n"/>
      <c r="I29" s="91" t="n"/>
      <c r="J29" s="94" t="str">
        <f>IF(B29="",IF(COUNTA(C29:I29)&gt;0,"Informe o nome interno",""),IF(SUMPRODUCT(--($B$6:$B$205=B29))&gt;1,"Nome repetido","OK"))</f>
        <v/>
      </c>
      <c r="K29" s="96">
        <f>IF(B29&lt;&gt;"",1,0)</f>
        <v>0</v>
      </c>
      <c r="L29" s="96" t="str">
        <f>IF(K29=1,COUNTIF($K$6:K29,1),"")</f>
        <v/>
      </c>
      <c r="M29" s="96" t="str">
        <f>IF(K29=0,"",SUMIFS('ITENS_MTR'!$I$6:$I$1005,'ITENS_MTR'!$C$6:$C$1005,B29,'ITENS_MTR'!$AP$6:$AP$1005,1,'ITENS_MTR'!$Y$6:$Y$1005,1))</f>
        <v/>
      </c>
      <c r="N29" s="96" t="str">
        <f>IF(N(M29)&gt;0,M29+(1000-24)/1000000,"")</f>
        <v/>
      </c>
    </row>
    <row r="30">
      <c r="A30" s="89" t="inlineStr">
        <is>
          <t>RS-025</t>
        </is>
      </c>
      <c r="B30" s="91" t="n"/>
      <c r="C30" s="91" t="n"/>
      <c r="D30" s="91" t="n"/>
      <c r="E30" s="90" t="n"/>
      <c r="F30" s="91" t="n"/>
      <c r="G30" s="91" t="n"/>
      <c r="H30" s="91" t="n"/>
      <c r="I30" s="91" t="n"/>
      <c r="J30" s="94" t="str">
        <f>IF(B30="",IF(COUNTA(C30:I30)&gt;0,"Informe o nome interno",""),IF(SUMPRODUCT(--($B$6:$B$205=B30))&gt;1,"Nome repetido","OK"))</f>
        <v/>
      </c>
      <c r="K30" s="96">
        <f>IF(B30&lt;&gt;"",1,0)</f>
        <v>0</v>
      </c>
      <c r="L30" s="96" t="str">
        <f>IF(K30=1,COUNTIF($K$6:K30,1),"")</f>
        <v/>
      </c>
      <c r="M30" s="96" t="str">
        <f>IF(K30=0,"",SUMIFS('ITENS_MTR'!$I$6:$I$1005,'ITENS_MTR'!$C$6:$C$1005,B30,'ITENS_MTR'!$AP$6:$AP$1005,1,'ITENS_MTR'!$Y$6:$Y$1005,1))</f>
        <v/>
      </c>
      <c r="N30" s="96" t="str">
        <f>IF(N(M30)&gt;0,M30+(1000-25)/1000000,"")</f>
        <v/>
      </c>
    </row>
    <row r="31">
      <c r="A31" s="89" t="inlineStr">
        <is>
          <t>RS-026</t>
        </is>
      </c>
      <c r="B31" s="91" t="n"/>
      <c r="C31" s="91" t="n"/>
      <c r="D31" s="91" t="n"/>
      <c r="E31" s="90" t="n"/>
      <c r="F31" s="91" t="n"/>
      <c r="G31" s="91" t="n"/>
      <c r="H31" s="91" t="n"/>
      <c r="I31" s="91" t="n"/>
      <c r="J31" s="94" t="str">
        <f>IF(B31="",IF(COUNTA(C31:I31)&gt;0,"Informe o nome interno",""),IF(SUMPRODUCT(--($B$6:$B$205=B31))&gt;1,"Nome repetido","OK"))</f>
        <v/>
      </c>
      <c r="K31" s="96">
        <f>IF(B31&lt;&gt;"",1,0)</f>
        <v>0</v>
      </c>
      <c r="L31" s="96" t="str">
        <f>IF(K31=1,COUNTIF($K$6:K31,1),"")</f>
        <v/>
      </c>
      <c r="M31" s="96" t="str">
        <f>IF(K31=0,"",SUMIFS('ITENS_MTR'!$I$6:$I$1005,'ITENS_MTR'!$C$6:$C$1005,B31,'ITENS_MTR'!$AP$6:$AP$1005,1,'ITENS_MTR'!$Y$6:$Y$1005,1))</f>
        <v/>
      </c>
      <c r="N31" s="96" t="str">
        <f>IF(N(M31)&gt;0,M31+(1000-26)/1000000,"")</f>
        <v/>
      </c>
    </row>
    <row r="32">
      <c r="A32" s="89" t="inlineStr">
        <is>
          <t>RS-027</t>
        </is>
      </c>
      <c r="B32" s="91" t="n"/>
      <c r="C32" s="91" t="n"/>
      <c r="D32" s="91" t="n"/>
      <c r="E32" s="90" t="n"/>
      <c r="F32" s="91" t="n"/>
      <c r="G32" s="91" t="n"/>
      <c r="H32" s="91" t="n"/>
      <c r="I32" s="91" t="n"/>
      <c r="J32" s="94" t="str">
        <f>IF(B32="",IF(COUNTA(C32:I32)&gt;0,"Informe o nome interno",""),IF(SUMPRODUCT(--($B$6:$B$205=B32))&gt;1,"Nome repetido","OK"))</f>
        <v/>
      </c>
      <c r="K32" s="96">
        <f>IF(B32&lt;&gt;"",1,0)</f>
        <v>0</v>
      </c>
      <c r="L32" s="96" t="str">
        <f>IF(K32=1,COUNTIF($K$6:K32,1),"")</f>
        <v/>
      </c>
      <c r="M32" s="96" t="str">
        <f>IF(K32=0,"",SUMIFS('ITENS_MTR'!$I$6:$I$1005,'ITENS_MTR'!$C$6:$C$1005,B32,'ITENS_MTR'!$AP$6:$AP$1005,1,'ITENS_MTR'!$Y$6:$Y$1005,1))</f>
        <v/>
      </c>
      <c r="N32" s="96" t="str">
        <f>IF(N(M32)&gt;0,M32+(1000-27)/1000000,"")</f>
        <v/>
      </c>
    </row>
    <row r="33">
      <c r="A33" s="89" t="inlineStr">
        <is>
          <t>RS-028</t>
        </is>
      </c>
      <c r="B33" s="91" t="n"/>
      <c r="C33" s="91" t="n"/>
      <c r="D33" s="91" t="n"/>
      <c r="E33" s="90" t="n"/>
      <c r="F33" s="91" t="n"/>
      <c r="G33" s="91" t="n"/>
      <c r="H33" s="91" t="n"/>
      <c r="I33" s="91" t="n"/>
      <c r="J33" s="94" t="str">
        <f>IF(B33="",IF(COUNTA(C33:I33)&gt;0,"Informe o nome interno",""),IF(SUMPRODUCT(--($B$6:$B$205=B33))&gt;1,"Nome repetido","OK"))</f>
        <v/>
      </c>
      <c r="K33" s="96">
        <f>IF(B33&lt;&gt;"",1,0)</f>
        <v>0</v>
      </c>
      <c r="L33" s="96" t="str">
        <f>IF(K33=1,COUNTIF($K$6:K33,1),"")</f>
        <v/>
      </c>
      <c r="M33" s="96" t="str">
        <f>IF(K33=0,"",SUMIFS('ITENS_MTR'!$I$6:$I$1005,'ITENS_MTR'!$C$6:$C$1005,B33,'ITENS_MTR'!$AP$6:$AP$1005,1,'ITENS_MTR'!$Y$6:$Y$1005,1))</f>
        <v/>
      </c>
      <c r="N33" s="96" t="str">
        <f>IF(N(M33)&gt;0,M33+(1000-28)/1000000,"")</f>
        <v/>
      </c>
    </row>
    <row r="34">
      <c r="A34" s="89" t="inlineStr">
        <is>
          <t>RS-029</t>
        </is>
      </c>
      <c r="B34" s="91" t="n"/>
      <c r="C34" s="91" t="n"/>
      <c r="D34" s="91" t="n"/>
      <c r="E34" s="90" t="n"/>
      <c r="F34" s="91" t="n"/>
      <c r="G34" s="91" t="n"/>
      <c r="H34" s="91" t="n"/>
      <c r="I34" s="91" t="n"/>
      <c r="J34" s="94" t="str">
        <f>IF(B34="",IF(COUNTA(C34:I34)&gt;0,"Informe o nome interno",""),IF(SUMPRODUCT(--($B$6:$B$205=B34))&gt;1,"Nome repetido","OK"))</f>
        <v/>
      </c>
      <c r="K34" s="96">
        <f>IF(B34&lt;&gt;"",1,0)</f>
        <v>0</v>
      </c>
      <c r="L34" s="96" t="str">
        <f>IF(K34=1,COUNTIF($K$6:K34,1),"")</f>
        <v/>
      </c>
      <c r="M34" s="96" t="str">
        <f>IF(K34=0,"",SUMIFS('ITENS_MTR'!$I$6:$I$1005,'ITENS_MTR'!$C$6:$C$1005,B34,'ITENS_MTR'!$AP$6:$AP$1005,1,'ITENS_MTR'!$Y$6:$Y$1005,1))</f>
        <v/>
      </c>
      <c r="N34" s="96" t="str">
        <f>IF(N(M34)&gt;0,M34+(1000-29)/1000000,"")</f>
        <v/>
      </c>
    </row>
    <row r="35">
      <c r="A35" s="89" t="inlineStr">
        <is>
          <t>RS-030</t>
        </is>
      </c>
      <c r="B35" s="91" t="n"/>
      <c r="C35" s="91" t="n"/>
      <c r="D35" s="91" t="n"/>
      <c r="E35" s="90" t="n"/>
      <c r="F35" s="91" t="n"/>
      <c r="G35" s="91" t="n"/>
      <c r="H35" s="91" t="n"/>
      <c r="I35" s="91" t="n"/>
      <c r="J35" s="94" t="str">
        <f>IF(B35="",IF(COUNTA(C35:I35)&gt;0,"Informe o nome interno",""),IF(SUMPRODUCT(--($B$6:$B$205=B35))&gt;1,"Nome repetido","OK"))</f>
        <v/>
      </c>
      <c r="K35" s="96">
        <f>IF(B35&lt;&gt;"",1,0)</f>
        <v>0</v>
      </c>
      <c r="L35" s="96" t="str">
        <f>IF(K35=1,COUNTIF($K$6:K35,1),"")</f>
        <v/>
      </c>
      <c r="M35" s="96" t="str">
        <f>IF(K35=0,"",SUMIFS('ITENS_MTR'!$I$6:$I$1005,'ITENS_MTR'!$C$6:$C$1005,B35,'ITENS_MTR'!$AP$6:$AP$1005,1,'ITENS_MTR'!$Y$6:$Y$1005,1))</f>
        <v/>
      </c>
      <c r="N35" s="96" t="str">
        <f>IF(N(M35)&gt;0,M35+(1000-30)/1000000,"")</f>
        <v/>
      </c>
    </row>
    <row r="36">
      <c r="A36" s="89" t="inlineStr">
        <is>
          <t>RS-031</t>
        </is>
      </c>
      <c r="B36" s="91" t="n"/>
      <c r="C36" s="91" t="n"/>
      <c r="D36" s="91" t="n"/>
      <c r="E36" s="90" t="n"/>
      <c r="F36" s="91" t="n"/>
      <c r="G36" s="91" t="n"/>
      <c r="H36" s="91" t="n"/>
      <c r="I36" s="91" t="n"/>
      <c r="J36" s="94" t="str">
        <f>IF(B36="",IF(COUNTA(C36:I36)&gt;0,"Informe o nome interno",""),IF(SUMPRODUCT(--($B$6:$B$205=B36))&gt;1,"Nome repetido","OK"))</f>
        <v/>
      </c>
      <c r="K36" s="96">
        <f>IF(B36&lt;&gt;"",1,0)</f>
        <v>0</v>
      </c>
      <c r="L36" s="96" t="str">
        <f>IF(K36=1,COUNTIF($K$6:K36,1),"")</f>
        <v/>
      </c>
      <c r="M36" s="96" t="str">
        <f>IF(K36=0,"",SUMIFS('ITENS_MTR'!$I$6:$I$1005,'ITENS_MTR'!$C$6:$C$1005,B36,'ITENS_MTR'!$AP$6:$AP$1005,1,'ITENS_MTR'!$Y$6:$Y$1005,1))</f>
        <v/>
      </c>
      <c r="N36" s="96" t="str">
        <f>IF(N(M36)&gt;0,M36+(1000-31)/1000000,"")</f>
        <v/>
      </c>
    </row>
    <row r="37">
      <c r="A37" s="89" t="inlineStr">
        <is>
          <t>RS-032</t>
        </is>
      </c>
      <c r="B37" s="91" t="n"/>
      <c r="C37" s="91" t="n"/>
      <c r="D37" s="91" t="n"/>
      <c r="E37" s="90" t="n"/>
      <c r="F37" s="91" t="n"/>
      <c r="G37" s="91" t="n"/>
      <c r="H37" s="91" t="n"/>
      <c r="I37" s="91" t="n"/>
      <c r="J37" s="94" t="str">
        <f>IF(B37="",IF(COUNTA(C37:I37)&gt;0,"Informe o nome interno",""),IF(SUMPRODUCT(--($B$6:$B$205=B37))&gt;1,"Nome repetido","OK"))</f>
        <v/>
      </c>
      <c r="K37" s="96">
        <f>IF(B37&lt;&gt;"",1,0)</f>
        <v>0</v>
      </c>
      <c r="L37" s="96" t="str">
        <f>IF(K37=1,COUNTIF($K$6:K37,1),"")</f>
        <v/>
      </c>
      <c r="M37" s="96" t="str">
        <f>IF(K37=0,"",SUMIFS('ITENS_MTR'!$I$6:$I$1005,'ITENS_MTR'!$C$6:$C$1005,B37,'ITENS_MTR'!$AP$6:$AP$1005,1,'ITENS_MTR'!$Y$6:$Y$1005,1))</f>
        <v/>
      </c>
      <c r="N37" s="96" t="str">
        <f>IF(N(M37)&gt;0,M37+(1000-32)/1000000,"")</f>
        <v/>
      </c>
    </row>
    <row r="38">
      <c r="A38" s="89" t="inlineStr">
        <is>
          <t>RS-033</t>
        </is>
      </c>
      <c r="B38" s="91" t="n"/>
      <c r="C38" s="91" t="n"/>
      <c r="D38" s="91" t="n"/>
      <c r="E38" s="90" t="n"/>
      <c r="F38" s="91" t="n"/>
      <c r="G38" s="91" t="n"/>
      <c r="H38" s="91" t="n"/>
      <c r="I38" s="91" t="n"/>
      <c r="J38" s="94" t="str">
        <f>IF(B38="",IF(COUNTA(C38:I38)&gt;0,"Informe o nome interno",""),IF(SUMPRODUCT(--($B$6:$B$205=B38))&gt;1,"Nome repetido","OK"))</f>
        <v/>
      </c>
      <c r="K38" s="96">
        <f>IF(B38&lt;&gt;"",1,0)</f>
        <v>0</v>
      </c>
      <c r="L38" s="96" t="str">
        <f>IF(K38=1,COUNTIF($K$6:K38,1),"")</f>
        <v/>
      </c>
      <c r="M38" s="96" t="str">
        <f>IF(K38=0,"",SUMIFS('ITENS_MTR'!$I$6:$I$1005,'ITENS_MTR'!$C$6:$C$1005,B38,'ITENS_MTR'!$AP$6:$AP$1005,1,'ITENS_MTR'!$Y$6:$Y$1005,1))</f>
        <v/>
      </c>
      <c r="N38" s="96" t="str">
        <f>IF(N(M38)&gt;0,M38+(1000-33)/1000000,"")</f>
        <v/>
      </c>
    </row>
    <row r="39">
      <c r="A39" s="89" t="inlineStr">
        <is>
          <t>RS-034</t>
        </is>
      </c>
      <c r="B39" s="91" t="n"/>
      <c r="C39" s="91" t="n"/>
      <c r="D39" s="91" t="n"/>
      <c r="E39" s="90" t="n"/>
      <c r="F39" s="91" t="n"/>
      <c r="G39" s="91" t="n"/>
      <c r="H39" s="91" t="n"/>
      <c r="I39" s="91" t="n"/>
      <c r="J39" s="94" t="str">
        <f>IF(B39="",IF(COUNTA(C39:I39)&gt;0,"Informe o nome interno",""),IF(SUMPRODUCT(--($B$6:$B$205=B39))&gt;1,"Nome repetido","OK"))</f>
        <v/>
      </c>
      <c r="K39" s="96">
        <f>IF(B39&lt;&gt;"",1,0)</f>
        <v>0</v>
      </c>
      <c r="L39" s="96" t="str">
        <f>IF(K39=1,COUNTIF($K$6:K39,1),"")</f>
        <v/>
      </c>
      <c r="M39" s="96" t="str">
        <f>IF(K39=0,"",SUMIFS('ITENS_MTR'!$I$6:$I$1005,'ITENS_MTR'!$C$6:$C$1005,B39,'ITENS_MTR'!$AP$6:$AP$1005,1,'ITENS_MTR'!$Y$6:$Y$1005,1))</f>
        <v/>
      </c>
      <c r="N39" s="96" t="str">
        <f>IF(N(M39)&gt;0,M39+(1000-34)/1000000,"")</f>
        <v/>
      </c>
    </row>
    <row r="40">
      <c r="A40" s="89" t="inlineStr">
        <is>
          <t>RS-035</t>
        </is>
      </c>
      <c r="B40" s="91" t="n"/>
      <c r="C40" s="91" t="n"/>
      <c r="D40" s="91" t="n"/>
      <c r="E40" s="90" t="n"/>
      <c r="F40" s="91" t="n"/>
      <c r="G40" s="91" t="n"/>
      <c r="H40" s="91" t="n"/>
      <c r="I40" s="91" t="n"/>
      <c r="J40" s="94" t="str">
        <f>IF(B40="",IF(COUNTA(C40:I40)&gt;0,"Informe o nome interno",""),IF(SUMPRODUCT(--($B$6:$B$205=B40))&gt;1,"Nome repetido","OK"))</f>
        <v/>
      </c>
      <c r="K40" s="96">
        <f>IF(B40&lt;&gt;"",1,0)</f>
        <v>0</v>
      </c>
      <c r="L40" s="96" t="str">
        <f>IF(K40=1,COUNTIF($K$6:K40,1),"")</f>
        <v/>
      </c>
      <c r="M40" s="96" t="str">
        <f>IF(K40=0,"",SUMIFS('ITENS_MTR'!$I$6:$I$1005,'ITENS_MTR'!$C$6:$C$1005,B40,'ITENS_MTR'!$AP$6:$AP$1005,1,'ITENS_MTR'!$Y$6:$Y$1005,1))</f>
        <v/>
      </c>
      <c r="N40" s="96" t="str">
        <f>IF(N(M40)&gt;0,M40+(1000-35)/1000000,"")</f>
        <v/>
      </c>
    </row>
    <row r="41">
      <c r="A41" s="89" t="inlineStr">
        <is>
          <t>RS-036</t>
        </is>
      </c>
      <c r="B41" s="91" t="n"/>
      <c r="C41" s="91" t="n"/>
      <c r="D41" s="91" t="n"/>
      <c r="E41" s="90" t="n"/>
      <c r="F41" s="91" t="n"/>
      <c r="G41" s="91" t="n"/>
      <c r="H41" s="91" t="n"/>
      <c r="I41" s="91" t="n"/>
      <c r="J41" s="94" t="str">
        <f>IF(B41="",IF(COUNTA(C41:I41)&gt;0,"Informe o nome interno",""),IF(SUMPRODUCT(--($B$6:$B$205=B41))&gt;1,"Nome repetido","OK"))</f>
        <v/>
      </c>
      <c r="K41" s="96">
        <f>IF(B41&lt;&gt;"",1,0)</f>
        <v>0</v>
      </c>
      <c r="L41" s="96" t="str">
        <f>IF(K41=1,COUNTIF($K$6:K41,1),"")</f>
        <v/>
      </c>
      <c r="M41" s="96" t="str">
        <f>IF(K41=0,"",SUMIFS('ITENS_MTR'!$I$6:$I$1005,'ITENS_MTR'!$C$6:$C$1005,B41,'ITENS_MTR'!$AP$6:$AP$1005,1,'ITENS_MTR'!$Y$6:$Y$1005,1))</f>
        <v/>
      </c>
      <c r="N41" s="96" t="str">
        <f>IF(N(M41)&gt;0,M41+(1000-36)/1000000,"")</f>
        <v/>
      </c>
    </row>
    <row r="42">
      <c r="A42" s="89" t="inlineStr">
        <is>
          <t>RS-037</t>
        </is>
      </c>
      <c r="B42" s="91" t="n"/>
      <c r="C42" s="91" t="n"/>
      <c r="D42" s="91" t="n"/>
      <c r="E42" s="90" t="n"/>
      <c r="F42" s="91" t="n"/>
      <c r="G42" s="91" t="n"/>
      <c r="H42" s="91" t="n"/>
      <c r="I42" s="91" t="n"/>
      <c r="J42" s="94" t="str">
        <f>IF(B42="",IF(COUNTA(C42:I42)&gt;0,"Informe o nome interno",""),IF(SUMPRODUCT(--($B$6:$B$205=B42))&gt;1,"Nome repetido","OK"))</f>
        <v/>
      </c>
      <c r="K42" s="96">
        <f>IF(B42&lt;&gt;"",1,0)</f>
        <v>0</v>
      </c>
      <c r="L42" s="96" t="str">
        <f>IF(K42=1,COUNTIF($K$6:K42,1),"")</f>
        <v/>
      </c>
      <c r="M42" s="96" t="str">
        <f>IF(K42=0,"",SUMIFS('ITENS_MTR'!$I$6:$I$1005,'ITENS_MTR'!$C$6:$C$1005,B42,'ITENS_MTR'!$AP$6:$AP$1005,1,'ITENS_MTR'!$Y$6:$Y$1005,1))</f>
        <v/>
      </c>
      <c r="N42" s="96" t="str">
        <f>IF(N(M42)&gt;0,M42+(1000-37)/1000000,"")</f>
        <v/>
      </c>
    </row>
    <row r="43">
      <c r="A43" s="89" t="inlineStr">
        <is>
          <t>RS-038</t>
        </is>
      </c>
      <c r="B43" s="91" t="n"/>
      <c r="C43" s="91" t="n"/>
      <c r="D43" s="91" t="n"/>
      <c r="E43" s="90" t="n"/>
      <c r="F43" s="91" t="n"/>
      <c r="G43" s="91" t="n"/>
      <c r="H43" s="91" t="n"/>
      <c r="I43" s="91" t="n"/>
      <c r="J43" s="94" t="str">
        <f>IF(B43="",IF(COUNTA(C43:I43)&gt;0,"Informe o nome interno",""),IF(SUMPRODUCT(--($B$6:$B$205=B43))&gt;1,"Nome repetido","OK"))</f>
        <v/>
      </c>
      <c r="K43" s="96">
        <f>IF(B43&lt;&gt;"",1,0)</f>
        <v>0</v>
      </c>
      <c r="L43" s="96" t="str">
        <f>IF(K43=1,COUNTIF($K$6:K43,1),"")</f>
        <v/>
      </c>
      <c r="M43" s="96" t="str">
        <f>IF(K43=0,"",SUMIFS('ITENS_MTR'!$I$6:$I$1005,'ITENS_MTR'!$C$6:$C$1005,B43,'ITENS_MTR'!$AP$6:$AP$1005,1,'ITENS_MTR'!$Y$6:$Y$1005,1))</f>
        <v/>
      </c>
      <c r="N43" s="96" t="str">
        <f>IF(N(M43)&gt;0,M43+(1000-38)/1000000,"")</f>
        <v/>
      </c>
    </row>
    <row r="44">
      <c r="A44" s="89" t="inlineStr">
        <is>
          <t>RS-039</t>
        </is>
      </c>
      <c r="B44" s="91" t="n"/>
      <c r="C44" s="91" t="n"/>
      <c r="D44" s="91" t="n"/>
      <c r="E44" s="90" t="n"/>
      <c r="F44" s="91" t="n"/>
      <c r="G44" s="91" t="n"/>
      <c r="H44" s="91" t="n"/>
      <c r="I44" s="91" t="n"/>
      <c r="J44" s="94" t="str">
        <f>IF(B44="",IF(COUNTA(C44:I44)&gt;0,"Informe o nome interno",""),IF(SUMPRODUCT(--($B$6:$B$205=B44))&gt;1,"Nome repetido","OK"))</f>
        <v/>
      </c>
      <c r="K44" s="96">
        <f>IF(B44&lt;&gt;"",1,0)</f>
        <v>0</v>
      </c>
      <c r="L44" s="96" t="str">
        <f>IF(K44=1,COUNTIF($K$6:K44,1),"")</f>
        <v/>
      </c>
      <c r="M44" s="96" t="str">
        <f>IF(K44=0,"",SUMIFS('ITENS_MTR'!$I$6:$I$1005,'ITENS_MTR'!$C$6:$C$1005,B44,'ITENS_MTR'!$AP$6:$AP$1005,1,'ITENS_MTR'!$Y$6:$Y$1005,1))</f>
        <v/>
      </c>
      <c r="N44" s="96" t="str">
        <f>IF(N(M44)&gt;0,M44+(1000-39)/1000000,"")</f>
        <v/>
      </c>
    </row>
    <row r="45">
      <c r="A45" s="89" t="inlineStr">
        <is>
          <t>RS-040</t>
        </is>
      </c>
      <c r="B45" s="91" t="n"/>
      <c r="C45" s="91" t="n"/>
      <c r="D45" s="91" t="n"/>
      <c r="E45" s="90" t="n"/>
      <c r="F45" s="91" t="n"/>
      <c r="G45" s="91" t="n"/>
      <c r="H45" s="91" t="n"/>
      <c r="I45" s="91" t="n"/>
      <c r="J45" s="94" t="str">
        <f>IF(B45="",IF(COUNTA(C45:I45)&gt;0,"Informe o nome interno",""),IF(SUMPRODUCT(--($B$6:$B$205=B45))&gt;1,"Nome repetido","OK"))</f>
        <v/>
      </c>
      <c r="K45" s="96">
        <f>IF(B45&lt;&gt;"",1,0)</f>
        <v>0</v>
      </c>
      <c r="L45" s="96" t="str">
        <f>IF(K45=1,COUNTIF($K$6:K45,1),"")</f>
        <v/>
      </c>
      <c r="M45" s="96" t="str">
        <f>IF(K45=0,"",SUMIFS('ITENS_MTR'!$I$6:$I$1005,'ITENS_MTR'!$C$6:$C$1005,B45,'ITENS_MTR'!$AP$6:$AP$1005,1,'ITENS_MTR'!$Y$6:$Y$1005,1))</f>
        <v/>
      </c>
      <c r="N45" s="96" t="str">
        <f>IF(N(M45)&gt;0,M45+(1000-40)/1000000,"")</f>
        <v/>
      </c>
    </row>
    <row r="46">
      <c r="A46" s="89" t="inlineStr">
        <is>
          <t>RS-041</t>
        </is>
      </c>
      <c r="B46" s="91" t="n"/>
      <c r="C46" s="91" t="n"/>
      <c r="D46" s="91" t="n"/>
      <c r="E46" s="90" t="n"/>
      <c r="F46" s="91" t="n"/>
      <c r="G46" s="91" t="n"/>
      <c r="H46" s="91" t="n"/>
      <c r="I46" s="91" t="n"/>
      <c r="J46" s="94" t="str">
        <f>IF(B46="",IF(COUNTA(C46:I46)&gt;0,"Informe o nome interno",""),IF(SUMPRODUCT(--($B$6:$B$205=B46))&gt;1,"Nome repetido","OK"))</f>
        <v/>
      </c>
      <c r="K46" s="96">
        <f>IF(B46&lt;&gt;"",1,0)</f>
        <v>0</v>
      </c>
      <c r="L46" s="96" t="str">
        <f>IF(K46=1,COUNTIF($K$6:K46,1),"")</f>
        <v/>
      </c>
      <c r="M46" s="96" t="str">
        <f>IF(K46=0,"",SUMIFS('ITENS_MTR'!$I$6:$I$1005,'ITENS_MTR'!$C$6:$C$1005,B46,'ITENS_MTR'!$AP$6:$AP$1005,1,'ITENS_MTR'!$Y$6:$Y$1005,1))</f>
        <v/>
      </c>
      <c r="N46" s="96" t="str">
        <f>IF(N(M46)&gt;0,M46+(1000-41)/1000000,"")</f>
        <v/>
      </c>
    </row>
    <row r="47">
      <c r="A47" s="89" t="inlineStr">
        <is>
          <t>RS-042</t>
        </is>
      </c>
      <c r="B47" s="91" t="n"/>
      <c r="C47" s="91" t="n"/>
      <c r="D47" s="91" t="n"/>
      <c r="E47" s="90" t="n"/>
      <c r="F47" s="91" t="n"/>
      <c r="G47" s="91" t="n"/>
      <c r="H47" s="91" t="n"/>
      <c r="I47" s="91" t="n"/>
      <c r="J47" s="94" t="str">
        <f>IF(B47="",IF(COUNTA(C47:I47)&gt;0,"Informe o nome interno",""),IF(SUMPRODUCT(--($B$6:$B$205=B47))&gt;1,"Nome repetido","OK"))</f>
        <v/>
      </c>
      <c r="K47" s="96">
        <f>IF(B47&lt;&gt;"",1,0)</f>
        <v>0</v>
      </c>
      <c r="L47" s="96" t="str">
        <f>IF(K47=1,COUNTIF($K$6:K47,1),"")</f>
        <v/>
      </c>
      <c r="M47" s="96" t="str">
        <f>IF(K47=0,"",SUMIFS('ITENS_MTR'!$I$6:$I$1005,'ITENS_MTR'!$C$6:$C$1005,B47,'ITENS_MTR'!$AP$6:$AP$1005,1,'ITENS_MTR'!$Y$6:$Y$1005,1))</f>
        <v/>
      </c>
      <c r="N47" s="96" t="str">
        <f>IF(N(M47)&gt;0,M47+(1000-42)/1000000,"")</f>
        <v/>
      </c>
    </row>
    <row r="48">
      <c r="A48" s="89" t="inlineStr">
        <is>
          <t>RS-043</t>
        </is>
      </c>
      <c r="B48" s="91" t="n"/>
      <c r="C48" s="91" t="n"/>
      <c r="D48" s="91" t="n"/>
      <c r="E48" s="90" t="n"/>
      <c r="F48" s="91" t="n"/>
      <c r="G48" s="91" t="n"/>
      <c r="H48" s="91" t="n"/>
      <c r="I48" s="91" t="n"/>
      <c r="J48" s="94" t="str">
        <f>IF(B48="",IF(COUNTA(C48:I48)&gt;0,"Informe o nome interno",""),IF(SUMPRODUCT(--($B$6:$B$205=B48))&gt;1,"Nome repetido","OK"))</f>
        <v/>
      </c>
      <c r="K48" s="96">
        <f>IF(B48&lt;&gt;"",1,0)</f>
        <v>0</v>
      </c>
      <c r="L48" s="96" t="str">
        <f>IF(K48=1,COUNTIF($K$6:K48,1),"")</f>
        <v/>
      </c>
      <c r="M48" s="96" t="str">
        <f>IF(K48=0,"",SUMIFS('ITENS_MTR'!$I$6:$I$1005,'ITENS_MTR'!$C$6:$C$1005,B48,'ITENS_MTR'!$AP$6:$AP$1005,1,'ITENS_MTR'!$Y$6:$Y$1005,1))</f>
        <v/>
      </c>
      <c r="N48" s="96" t="str">
        <f>IF(N(M48)&gt;0,M48+(1000-43)/1000000,"")</f>
        <v/>
      </c>
    </row>
    <row r="49">
      <c r="A49" s="89" t="inlineStr">
        <is>
          <t>RS-044</t>
        </is>
      </c>
      <c r="B49" s="91" t="n"/>
      <c r="C49" s="91" t="n"/>
      <c r="D49" s="91" t="n"/>
      <c r="E49" s="90" t="n"/>
      <c r="F49" s="91" t="n"/>
      <c r="G49" s="91" t="n"/>
      <c r="H49" s="91" t="n"/>
      <c r="I49" s="91" t="n"/>
      <c r="J49" s="94" t="str">
        <f>IF(B49="",IF(COUNTA(C49:I49)&gt;0,"Informe o nome interno",""),IF(SUMPRODUCT(--($B$6:$B$205=B49))&gt;1,"Nome repetido","OK"))</f>
        <v/>
      </c>
      <c r="K49" s="96">
        <f>IF(B49&lt;&gt;"",1,0)</f>
        <v>0</v>
      </c>
      <c r="L49" s="96" t="str">
        <f>IF(K49=1,COUNTIF($K$6:K49,1),"")</f>
        <v/>
      </c>
      <c r="M49" s="96" t="str">
        <f>IF(K49=0,"",SUMIFS('ITENS_MTR'!$I$6:$I$1005,'ITENS_MTR'!$C$6:$C$1005,B49,'ITENS_MTR'!$AP$6:$AP$1005,1,'ITENS_MTR'!$Y$6:$Y$1005,1))</f>
        <v/>
      </c>
      <c r="N49" s="96" t="str">
        <f>IF(N(M49)&gt;0,M49+(1000-44)/1000000,"")</f>
        <v/>
      </c>
    </row>
    <row r="50">
      <c r="A50" s="89" t="inlineStr">
        <is>
          <t>RS-045</t>
        </is>
      </c>
      <c r="B50" s="91" t="n"/>
      <c r="C50" s="91" t="n"/>
      <c r="D50" s="91" t="n"/>
      <c r="E50" s="90" t="n"/>
      <c r="F50" s="91" t="n"/>
      <c r="G50" s="91" t="n"/>
      <c r="H50" s="91" t="n"/>
      <c r="I50" s="91" t="n"/>
      <c r="J50" s="94" t="str">
        <f>IF(B50="",IF(COUNTA(C50:I50)&gt;0,"Informe o nome interno",""),IF(SUMPRODUCT(--($B$6:$B$205=B50))&gt;1,"Nome repetido","OK"))</f>
        <v/>
      </c>
      <c r="K50" s="96">
        <f>IF(B50&lt;&gt;"",1,0)</f>
        <v>0</v>
      </c>
      <c r="L50" s="96" t="str">
        <f>IF(K50=1,COUNTIF($K$6:K50,1),"")</f>
        <v/>
      </c>
      <c r="M50" s="96" t="str">
        <f>IF(K50=0,"",SUMIFS('ITENS_MTR'!$I$6:$I$1005,'ITENS_MTR'!$C$6:$C$1005,B50,'ITENS_MTR'!$AP$6:$AP$1005,1,'ITENS_MTR'!$Y$6:$Y$1005,1))</f>
        <v/>
      </c>
      <c r="N50" s="96" t="str">
        <f>IF(N(M50)&gt;0,M50+(1000-45)/1000000,"")</f>
        <v/>
      </c>
    </row>
    <row r="51">
      <c r="A51" s="89" t="inlineStr">
        <is>
          <t>RS-046</t>
        </is>
      </c>
      <c r="B51" s="91" t="n"/>
      <c r="C51" s="91" t="n"/>
      <c r="D51" s="91" t="n"/>
      <c r="E51" s="90" t="n"/>
      <c r="F51" s="91" t="n"/>
      <c r="G51" s="91" t="n"/>
      <c r="H51" s="91" t="n"/>
      <c r="I51" s="91" t="n"/>
      <c r="J51" s="94" t="str">
        <f>IF(B51="",IF(COUNTA(C51:I51)&gt;0,"Informe o nome interno",""),IF(SUMPRODUCT(--($B$6:$B$205=B51))&gt;1,"Nome repetido","OK"))</f>
        <v/>
      </c>
      <c r="K51" s="96">
        <f>IF(B51&lt;&gt;"",1,0)</f>
        <v>0</v>
      </c>
      <c r="L51" s="96" t="str">
        <f>IF(K51=1,COUNTIF($K$6:K51,1),"")</f>
        <v/>
      </c>
      <c r="M51" s="96" t="str">
        <f>IF(K51=0,"",SUMIFS('ITENS_MTR'!$I$6:$I$1005,'ITENS_MTR'!$C$6:$C$1005,B51,'ITENS_MTR'!$AP$6:$AP$1005,1,'ITENS_MTR'!$Y$6:$Y$1005,1))</f>
        <v/>
      </c>
      <c r="N51" s="96" t="str">
        <f>IF(N(M51)&gt;0,M51+(1000-46)/1000000,"")</f>
        <v/>
      </c>
    </row>
    <row r="52">
      <c r="A52" s="89" t="inlineStr">
        <is>
          <t>RS-047</t>
        </is>
      </c>
      <c r="B52" s="91" t="n"/>
      <c r="C52" s="91" t="n"/>
      <c r="D52" s="91" t="n"/>
      <c r="E52" s="90" t="n"/>
      <c r="F52" s="91" t="n"/>
      <c r="G52" s="91" t="n"/>
      <c r="H52" s="91" t="n"/>
      <c r="I52" s="91" t="n"/>
      <c r="J52" s="94" t="str">
        <f>IF(B52="",IF(COUNTA(C52:I52)&gt;0,"Informe o nome interno",""),IF(SUMPRODUCT(--($B$6:$B$205=B52))&gt;1,"Nome repetido","OK"))</f>
        <v/>
      </c>
      <c r="K52" s="96">
        <f>IF(B52&lt;&gt;"",1,0)</f>
        <v>0</v>
      </c>
      <c r="L52" s="96" t="str">
        <f>IF(K52=1,COUNTIF($K$6:K52,1),"")</f>
        <v/>
      </c>
      <c r="M52" s="96" t="str">
        <f>IF(K52=0,"",SUMIFS('ITENS_MTR'!$I$6:$I$1005,'ITENS_MTR'!$C$6:$C$1005,B52,'ITENS_MTR'!$AP$6:$AP$1005,1,'ITENS_MTR'!$Y$6:$Y$1005,1))</f>
        <v/>
      </c>
      <c r="N52" s="96" t="str">
        <f>IF(N(M52)&gt;0,M52+(1000-47)/1000000,"")</f>
        <v/>
      </c>
    </row>
    <row r="53">
      <c r="A53" s="89" t="inlineStr">
        <is>
          <t>RS-048</t>
        </is>
      </c>
      <c r="B53" s="91" t="n"/>
      <c r="C53" s="91" t="n"/>
      <c r="D53" s="91" t="n"/>
      <c r="E53" s="90" t="n"/>
      <c r="F53" s="91" t="n"/>
      <c r="G53" s="91" t="n"/>
      <c r="H53" s="91" t="n"/>
      <c r="I53" s="91" t="n"/>
      <c r="J53" s="94" t="str">
        <f>IF(B53="",IF(COUNTA(C53:I53)&gt;0,"Informe o nome interno",""),IF(SUMPRODUCT(--($B$6:$B$205=B53))&gt;1,"Nome repetido","OK"))</f>
        <v/>
      </c>
      <c r="K53" s="96">
        <f>IF(B53&lt;&gt;"",1,0)</f>
        <v>0</v>
      </c>
      <c r="L53" s="96" t="str">
        <f>IF(K53=1,COUNTIF($K$6:K53,1),"")</f>
        <v/>
      </c>
      <c r="M53" s="96" t="str">
        <f>IF(K53=0,"",SUMIFS('ITENS_MTR'!$I$6:$I$1005,'ITENS_MTR'!$C$6:$C$1005,B53,'ITENS_MTR'!$AP$6:$AP$1005,1,'ITENS_MTR'!$Y$6:$Y$1005,1))</f>
        <v/>
      </c>
      <c r="N53" s="96" t="str">
        <f>IF(N(M53)&gt;0,M53+(1000-48)/1000000,"")</f>
        <v/>
      </c>
    </row>
    <row r="54">
      <c r="A54" s="89" t="inlineStr">
        <is>
          <t>RS-049</t>
        </is>
      </c>
      <c r="B54" s="91" t="n"/>
      <c r="C54" s="91" t="n"/>
      <c r="D54" s="91" t="n"/>
      <c r="E54" s="90" t="n"/>
      <c r="F54" s="91" t="n"/>
      <c r="G54" s="91" t="n"/>
      <c r="H54" s="91" t="n"/>
      <c r="I54" s="91" t="n"/>
      <c r="J54" s="94" t="str">
        <f>IF(B54="",IF(COUNTA(C54:I54)&gt;0,"Informe o nome interno",""),IF(SUMPRODUCT(--($B$6:$B$205=B54))&gt;1,"Nome repetido","OK"))</f>
        <v/>
      </c>
      <c r="K54" s="96">
        <f>IF(B54&lt;&gt;"",1,0)</f>
        <v>0</v>
      </c>
      <c r="L54" s="96" t="str">
        <f>IF(K54=1,COUNTIF($K$6:K54,1),"")</f>
        <v/>
      </c>
      <c r="M54" s="96" t="str">
        <f>IF(K54=0,"",SUMIFS('ITENS_MTR'!$I$6:$I$1005,'ITENS_MTR'!$C$6:$C$1005,B54,'ITENS_MTR'!$AP$6:$AP$1005,1,'ITENS_MTR'!$Y$6:$Y$1005,1))</f>
        <v/>
      </c>
      <c r="N54" s="96" t="str">
        <f>IF(N(M54)&gt;0,M54+(1000-49)/1000000,"")</f>
        <v/>
      </c>
    </row>
    <row r="55">
      <c r="A55" s="89" t="inlineStr">
        <is>
          <t>RS-050</t>
        </is>
      </c>
      <c r="B55" s="91" t="n"/>
      <c r="C55" s="91" t="n"/>
      <c r="D55" s="91" t="n"/>
      <c r="E55" s="90" t="n"/>
      <c r="F55" s="91" t="n"/>
      <c r="G55" s="91" t="n"/>
      <c r="H55" s="91" t="n"/>
      <c r="I55" s="91" t="n"/>
      <c r="J55" s="94" t="str">
        <f>IF(B55="",IF(COUNTA(C55:I55)&gt;0,"Informe o nome interno",""),IF(SUMPRODUCT(--($B$6:$B$205=B55))&gt;1,"Nome repetido","OK"))</f>
        <v/>
      </c>
      <c r="K55" s="96">
        <f>IF(B55&lt;&gt;"",1,0)</f>
        <v>0</v>
      </c>
      <c r="L55" s="96" t="str">
        <f>IF(K55=1,COUNTIF($K$6:K55,1),"")</f>
        <v/>
      </c>
      <c r="M55" s="96" t="str">
        <f>IF(K55=0,"",SUMIFS('ITENS_MTR'!$I$6:$I$1005,'ITENS_MTR'!$C$6:$C$1005,B55,'ITENS_MTR'!$AP$6:$AP$1005,1,'ITENS_MTR'!$Y$6:$Y$1005,1))</f>
        <v/>
      </c>
      <c r="N55" s="96" t="str">
        <f>IF(N(M55)&gt;0,M55+(1000-50)/1000000,"")</f>
        <v/>
      </c>
    </row>
    <row r="56">
      <c r="A56" s="89" t="inlineStr">
        <is>
          <t>RS-051</t>
        </is>
      </c>
      <c r="B56" s="91" t="n"/>
      <c r="C56" s="91" t="n"/>
      <c r="D56" s="91" t="n"/>
      <c r="E56" s="90" t="n"/>
      <c r="F56" s="91" t="n"/>
      <c r="G56" s="91" t="n"/>
      <c r="H56" s="91" t="n"/>
      <c r="I56" s="91" t="n"/>
      <c r="J56" s="94" t="str">
        <f>IF(B56="",IF(COUNTA(C56:I56)&gt;0,"Informe o nome interno",""),IF(SUMPRODUCT(--($B$6:$B$205=B56))&gt;1,"Nome repetido","OK"))</f>
        <v/>
      </c>
      <c r="K56" s="96">
        <f>IF(B56&lt;&gt;"",1,0)</f>
        <v>0</v>
      </c>
      <c r="L56" s="96" t="str">
        <f>IF(K56=1,COUNTIF($K$6:K56,1),"")</f>
        <v/>
      </c>
      <c r="M56" s="96" t="str">
        <f>IF(K56=0,"",SUMIFS('ITENS_MTR'!$I$6:$I$1005,'ITENS_MTR'!$C$6:$C$1005,B56,'ITENS_MTR'!$AP$6:$AP$1005,1,'ITENS_MTR'!$Y$6:$Y$1005,1))</f>
        <v/>
      </c>
      <c r="N56" s="96" t="str">
        <f>IF(N(M56)&gt;0,M56+(1000-51)/1000000,"")</f>
        <v/>
      </c>
    </row>
    <row r="57">
      <c r="A57" s="89" t="inlineStr">
        <is>
          <t>RS-052</t>
        </is>
      </c>
      <c r="B57" s="91" t="n"/>
      <c r="C57" s="91" t="n"/>
      <c r="D57" s="91" t="n"/>
      <c r="E57" s="90" t="n"/>
      <c r="F57" s="91" t="n"/>
      <c r="G57" s="91" t="n"/>
      <c r="H57" s="91" t="n"/>
      <c r="I57" s="91" t="n"/>
      <c r="J57" s="94" t="str">
        <f>IF(B57="",IF(COUNTA(C57:I57)&gt;0,"Informe o nome interno",""),IF(SUMPRODUCT(--($B$6:$B$205=B57))&gt;1,"Nome repetido","OK"))</f>
        <v/>
      </c>
      <c r="K57" s="96">
        <f>IF(B57&lt;&gt;"",1,0)</f>
        <v>0</v>
      </c>
      <c r="L57" s="96" t="str">
        <f>IF(K57=1,COUNTIF($K$6:K57,1),"")</f>
        <v/>
      </c>
      <c r="M57" s="96" t="str">
        <f>IF(K57=0,"",SUMIFS('ITENS_MTR'!$I$6:$I$1005,'ITENS_MTR'!$C$6:$C$1005,B57,'ITENS_MTR'!$AP$6:$AP$1005,1,'ITENS_MTR'!$Y$6:$Y$1005,1))</f>
        <v/>
      </c>
      <c r="N57" s="96" t="str">
        <f>IF(N(M57)&gt;0,M57+(1000-52)/1000000,"")</f>
        <v/>
      </c>
    </row>
    <row r="58">
      <c r="A58" s="89" t="inlineStr">
        <is>
          <t>RS-053</t>
        </is>
      </c>
      <c r="B58" s="91" t="n"/>
      <c r="C58" s="91" t="n"/>
      <c r="D58" s="91" t="n"/>
      <c r="E58" s="90" t="n"/>
      <c r="F58" s="91" t="n"/>
      <c r="G58" s="91" t="n"/>
      <c r="H58" s="91" t="n"/>
      <c r="I58" s="91" t="n"/>
      <c r="J58" s="94" t="str">
        <f>IF(B58="",IF(COUNTA(C58:I58)&gt;0,"Informe o nome interno",""),IF(SUMPRODUCT(--($B$6:$B$205=B58))&gt;1,"Nome repetido","OK"))</f>
        <v/>
      </c>
      <c r="K58" s="96">
        <f>IF(B58&lt;&gt;"",1,0)</f>
        <v>0</v>
      </c>
      <c r="L58" s="96" t="str">
        <f>IF(K58=1,COUNTIF($K$6:K58,1),"")</f>
        <v/>
      </c>
      <c r="M58" s="96" t="str">
        <f>IF(K58=0,"",SUMIFS('ITENS_MTR'!$I$6:$I$1005,'ITENS_MTR'!$C$6:$C$1005,B58,'ITENS_MTR'!$AP$6:$AP$1005,1,'ITENS_MTR'!$Y$6:$Y$1005,1))</f>
        <v/>
      </c>
      <c r="N58" s="96" t="str">
        <f>IF(N(M58)&gt;0,M58+(1000-53)/1000000,"")</f>
        <v/>
      </c>
    </row>
    <row r="59">
      <c r="A59" s="89" t="inlineStr">
        <is>
          <t>RS-054</t>
        </is>
      </c>
      <c r="B59" s="91" t="n"/>
      <c r="C59" s="91" t="n"/>
      <c r="D59" s="91" t="n"/>
      <c r="E59" s="90" t="n"/>
      <c r="F59" s="91" t="n"/>
      <c r="G59" s="91" t="n"/>
      <c r="H59" s="91" t="n"/>
      <c r="I59" s="91" t="n"/>
      <c r="J59" s="94" t="str">
        <f>IF(B59="",IF(COUNTA(C59:I59)&gt;0,"Informe o nome interno",""),IF(SUMPRODUCT(--($B$6:$B$205=B59))&gt;1,"Nome repetido","OK"))</f>
        <v/>
      </c>
      <c r="K59" s="96">
        <f>IF(B59&lt;&gt;"",1,0)</f>
        <v>0</v>
      </c>
      <c r="L59" s="96" t="str">
        <f>IF(K59=1,COUNTIF($K$6:K59,1),"")</f>
        <v/>
      </c>
      <c r="M59" s="96" t="str">
        <f>IF(K59=0,"",SUMIFS('ITENS_MTR'!$I$6:$I$1005,'ITENS_MTR'!$C$6:$C$1005,B59,'ITENS_MTR'!$AP$6:$AP$1005,1,'ITENS_MTR'!$Y$6:$Y$1005,1))</f>
        <v/>
      </c>
      <c r="N59" s="96" t="str">
        <f>IF(N(M59)&gt;0,M59+(1000-54)/1000000,"")</f>
        <v/>
      </c>
    </row>
    <row r="60">
      <c r="A60" s="89" t="inlineStr">
        <is>
          <t>RS-055</t>
        </is>
      </c>
      <c r="B60" s="91" t="n"/>
      <c r="C60" s="91" t="n"/>
      <c r="D60" s="91" t="n"/>
      <c r="E60" s="90" t="n"/>
      <c r="F60" s="91" t="n"/>
      <c r="G60" s="91" t="n"/>
      <c r="H60" s="91" t="n"/>
      <c r="I60" s="91" t="n"/>
      <c r="J60" s="94" t="str">
        <f>IF(B60="",IF(COUNTA(C60:I60)&gt;0,"Informe o nome interno",""),IF(SUMPRODUCT(--($B$6:$B$205=B60))&gt;1,"Nome repetido","OK"))</f>
        <v/>
      </c>
      <c r="K60" s="96">
        <f>IF(B60&lt;&gt;"",1,0)</f>
        <v>0</v>
      </c>
      <c r="L60" s="96" t="str">
        <f>IF(K60=1,COUNTIF($K$6:K60,1),"")</f>
        <v/>
      </c>
      <c r="M60" s="96" t="str">
        <f>IF(K60=0,"",SUMIFS('ITENS_MTR'!$I$6:$I$1005,'ITENS_MTR'!$C$6:$C$1005,B60,'ITENS_MTR'!$AP$6:$AP$1005,1,'ITENS_MTR'!$Y$6:$Y$1005,1))</f>
        <v/>
      </c>
      <c r="N60" s="96" t="str">
        <f>IF(N(M60)&gt;0,M60+(1000-55)/1000000,"")</f>
        <v/>
      </c>
    </row>
    <row r="61">
      <c r="A61" s="89" t="inlineStr">
        <is>
          <t>RS-056</t>
        </is>
      </c>
      <c r="B61" s="91" t="n"/>
      <c r="C61" s="91" t="n"/>
      <c r="D61" s="91" t="n"/>
      <c r="E61" s="90" t="n"/>
      <c r="F61" s="91" t="n"/>
      <c r="G61" s="91" t="n"/>
      <c r="H61" s="91" t="n"/>
      <c r="I61" s="91" t="n"/>
      <c r="J61" s="94" t="str">
        <f>IF(B61="",IF(COUNTA(C61:I61)&gt;0,"Informe o nome interno",""),IF(SUMPRODUCT(--($B$6:$B$205=B61))&gt;1,"Nome repetido","OK"))</f>
        <v/>
      </c>
      <c r="K61" s="96">
        <f>IF(B61&lt;&gt;"",1,0)</f>
        <v>0</v>
      </c>
      <c r="L61" s="96" t="str">
        <f>IF(K61=1,COUNTIF($K$6:K61,1),"")</f>
        <v/>
      </c>
      <c r="M61" s="96" t="str">
        <f>IF(K61=0,"",SUMIFS('ITENS_MTR'!$I$6:$I$1005,'ITENS_MTR'!$C$6:$C$1005,B61,'ITENS_MTR'!$AP$6:$AP$1005,1,'ITENS_MTR'!$Y$6:$Y$1005,1))</f>
        <v/>
      </c>
      <c r="N61" s="96" t="str">
        <f>IF(N(M61)&gt;0,M61+(1000-56)/1000000,"")</f>
        <v/>
      </c>
    </row>
    <row r="62">
      <c r="A62" s="89" t="inlineStr">
        <is>
          <t>RS-057</t>
        </is>
      </c>
      <c r="B62" s="91" t="n"/>
      <c r="C62" s="91" t="n"/>
      <c r="D62" s="91" t="n"/>
      <c r="E62" s="90" t="n"/>
      <c r="F62" s="91" t="n"/>
      <c r="G62" s="91" t="n"/>
      <c r="H62" s="91" t="n"/>
      <c r="I62" s="91" t="n"/>
      <c r="J62" s="94" t="str">
        <f>IF(B62="",IF(COUNTA(C62:I62)&gt;0,"Informe o nome interno",""),IF(SUMPRODUCT(--($B$6:$B$205=B62))&gt;1,"Nome repetido","OK"))</f>
        <v/>
      </c>
      <c r="K62" s="96">
        <f>IF(B62&lt;&gt;"",1,0)</f>
        <v>0</v>
      </c>
      <c r="L62" s="96" t="str">
        <f>IF(K62=1,COUNTIF($K$6:K62,1),"")</f>
        <v/>
      </c>
      <c r="M62" s="96" t="str">
        <f>IF(K62=0,"",SUMIFS('ITENS_MTR'!$I$6:$I$1005,'ITENS_MTR'!$C$6:$C$1005,B62,'ITENS_MTR'!$AP$6:$AP$1005,1,'ITENS_MTR'!$Y$6:$Y$1005,1))</f>
        <v/>
      </c>
      <c r="N62" s="96" t="str">
        <f>IF(N(M62)&gt;0,M62+(1000-57)/1000000,"")</f>
        <v/>
      </c>
    </row>
    <row r="63">
      <c r="A63" s="89" t="inlineStr">
        <is>
          <t>RS-058</t>
        </is>
      </c>
      <c r="B63" s="91" t="n"/>
      <c r="C63" s="91" t="n"/>
      <c r="D63" s="91" t="n"/>
      <c r="E63" s="90" t="n"/>
      <c r="F63" s="91" t="n"/>
      <c r="G63" s="91" t="n"/>
      <c r="H63" s="91" t="n"/>
      <c r="I63" s="91" t="n"/>
      <c r="J63" s="94" t="str">
        <f>IF(B63="",IF(COUNTA(C63:I63)&gt;0,"Informe o nome interno",""),IF(SUMPRODUCT(--($B$6:$B$205=B63))&gt;1,"Nome repetido","OK"))</f>
        <v/>
      </c>
      <c r="K63" s="96">
        <f>IF(B63&lt;&gt;"",1,0)</f>
        <v>0</v>
      </c>
      <c r="L63" s="96" t="str">
        <f>IF(K63=1,COUNTIF($K$6:K63,1),"")</f>
        <v/>
      </c>
      <c r="M63" s="96" t="str">
        <f>IF(K63=0,"",SUMIFS('ITENS_MTR'!$I$6:$I$1005,'ITENS_MTR'!$C$6:$C$1005,B63,'ITENS_MTR'!$AP$6:$AP$1005,1,'ITENS_MTR'!$Y$6:$Y$1005,1))</f>
        <v/>
      </c>
      <c r="N63" s="96" t="str">
        <f>IF(N(M63)&gt;0,M63+(1000-58)/1000000,"")</f>
        <v/>
      </c>
    </row>
    <row r="64">
      <c r="A64" s="89" t="inlineStr">
        <is>
          <t>RS-059</t>
        </is>
      </c>
      <c r="B64" s="91" t="n"/>
      <c r="C64" s="91" t="n"/>
      <c r="D64" s="91" t="n"/>
      <c r="E64" s="90" t="n"/>
      <c r="F64" s="91" t="n"/>
      <c r="G64" s="91" t="n"/>
      <c r="H64" s="91" t="n"/>
      <c r="I64" s="91" t="n"/>
      <c r="J64" s="94" t="str">
        <f>IF(B64="",IF(COUNTA(C64:I64)&gt;0,"Informe o nome interno",""),IF(SUMPRODUCT(--($B$6:$B$205=B64))&gt;1,"Nome repetido","OK"))</f>
        <v/>
      </c>
      <c r="K64" s="96">
        <f>IF(B64&lt;&gt;"",1,0)</f>
        <v>0</v>
      </c>
      <c r="L64" s="96" t="str">
        <f>IF(K64=1,COUNTIF($K$6:K64,1),"")</f>
        <v/>
      </c>
      <c r="M64" s="96" t="str">
        <f>IF(K64=0,"",SUMIFS('ITENS_MTR'!$I$6:$I$1005,'ITENS_MTR'!$C$6:$C$1005,B64,'ITENS_MTR'!$AP$6:$AP$1005,1,'ITENS_MTR'!$Y$6:$Y$1005,1))</f>
        <v/>
      </c>
      <c r="N64" s="96" t="str">
        <f>IF(N(M64)&gt;0,M64+(1000-59)/1000000,"")</f>
        <v/>
      </c>
    </row>
    <row r="65">
      <c r="A65" s="89" t="inlineStr">
        <is>
          <t>RS-060</t>
        </is>
      </c>
      <c r="B65" s="91" t="n"/>
      <c r="C65" s="91" t="n"/>
      <c r="D65" s="91" t="n"/>
      <c r="E65" s="90" t="n"/>
      <c r="F65" s="91" t="n"/>
      <c r="G65" s="91" t="n"/>
      <c r="H65" s="91" t="n"/>
      <c r="I65" s="91" t="n"/>
      <c r="J65" s="94" t="str">
        <f>IF(B65="",IF(COUNTA(C65:I65)&gt;0,"Informe o nome interno",""),IF(SUMPRODUCT(--($B$6:$B$205=B65))&gt;1,"Nome repetido","OK"))</f>
        <v/>
      </c>
      <c r="K65" s="96">
        <f>IF(B65&lt;&gt;"",1,0)</f>
        <v>0</v>
      </c>
      <c r="L65" s="96" t="str">
        <f>IF(K65=1,COUNTIF($K$6:K65,1),"")</f>
        <v/>
      </c>
      <c r="M65" s="96" t="str">
        <f>IF(K65=0,"",SUMIFS('ITENS_MTR'!$I$6:$I$1005,'ITENS_MTR'!$C$6:$C$1005,B65,'ITENS_MTR'!$AP$6:$AP$1005,1,'ITENS_MTR'!$Y$6:$Y$1005,1))</f>
        <v/>
      </c>
      <c r="N65" s="96" t="str">
        <f>IF(N(M65)&gt;0,M65+(1000-60)/1000000,"")</f>
        <v/>
      </c>
    </row>
    <row r="66">
      <c r="A66" s="89" t="inlineStr">
        <is>
          <t>RS-061</t>
        </is>
      </c>
      <c r="B66" s="91" t="n"/>
      <c r="C66" s="91" t="n"/>
      <c r="D66" s="91" t="n"/>
      <c r="E66" s="90" t="n"/>
      <c r="F66" s="91" t="n"/>
      <c r="G66" s="91" t="n"/>
      <c r="H66" s="91" t="n"/>
      <c r="I66" s="91" t="n"/>
      <c r="J66" s="94" t="str">
        <f>IF(B66="",IF(COUNTA(C66:I66)&gt;0,"Informe o nome interno",""),IF(SUMPRODUCT(--($B$6:$B$205=B66))&gt;1,"Nome repetido","OK"))</f>
        <v/>
      </c>
      <c r="K66" s="96">
        <f>IF(B66&lt;&gt;"",1,0)</f>
        <v>0</v>
      </c>
      <c r="L66" s="96" t="str">
        <f>IF(K66=1,COUNTIF($K$6:K66,1),"")</f>
        <v/>
      </c>
      <c r="M66" s="96" t="str">
        <f>IF(K66=0,"",SUMIFS('ITENS_MTR'!$I$6:$I$1005,'ITENS_MTR'!$C$6:$C$1005,B66,'ITENS_MTR'!$AP$6:$AP$1005,1,'ITENS_MTR'!$Y$6:$Y$1005,1))</f>
        <v/>
      </c>
      <c r="N66" s="96" t="str">
        <f>IF(N(M66)&gt;0,M66+(1000-61)/1000000,"")</f>
        <v/>
      </c>
    </row>
    <row r="67">
      <c r="A67" s="89" t="inlineStr">
        <is>
          <t>RS-062</t>
        </is>
      </c>
      <c r="B67" s="91" t="n"/>
      <c r="C67" s="91" t="n"/>
      <c r="D67" s="91" t="n"/>
      <c r="E67" s="90" t="n"/>
      <c r="F67" s="91" t="n"/>
      <c r="G67" s="91" t="n"/>
      <c r="H67" s="91" t="n"/>
      <c r="I67" s="91" t="n"/>
      <c r="J67" s="94" t="str">
        <f>IF(B67="",IF(COUNTA(C67:I67)&gt;0,"Informe o nome interno",""),IF(SUMPRODUCT(--($B$6:$B$205=B67))&gt;1,"Nome repetido","OK"))</f>
        <v/>
      </c>
      <c r="K67" s="96">
        <f>IF(B67&lt;&gt;"",1,0)</f>
        <v>0</v>
      </c>
      <c r="L67" s="96" t="str">
        <f>IF(K67=1,COUNTIF($K$6:K67,1),"")</f>
        <v/>
      </c>
      <c r="M67" s="96" t="str">
        <f>IF(K67=0,"",SUMIFS('ITENS_MTR'!$I$6:$I$1005,'ITENS_MTR'!$C$6:$C$1005,B67,'ITENS_MTR'!$AP$6:$AP$1005,1,'ITENS_MTR'!$Y$6:$Y$1005,1))</f>
        <v/>
      </c>
      <c r="N67" s="96" t="str">
        <f>IF(N(M67)&gt;0,M67+(1000-62)/1000000,"")</f>
        <v/>
      </c>
    </row>
    <row r="68">
      <c r="A68" s="89" t="inlineStr">
        <is>
          <t>RS-063</t>
        </is>
      </c>
      <c r="B68" s="91" t="n"/>
      <c r="C68" s="91" t="n"/>
      <c r="D68" s="91" t="n"/>
      <c r="E68" s="90" t="n"/>
      <c r="F68" s="91" t="n"/>
      <c r="G68" s="91" t="n"/>
      <c r="H68" s="91" t="n"/>
      <c r="I68" s="91" t="n"/>
      <c r="J68" s="94" t="str">
        <f>IF(B68="",IF(COUNTA(C68:I68)&gt;0,"Informe o nome interno",""),IF(SUMPRODUCT(--($B$6:$B$205=B68))&gt;1,"Nome repetido","OK"))</f>
        <v/>
      </c>
      <c r="K68" s="96">
        <f>IF(B68&lt;&gt;"",1,0)</f>
        <v>0</v>
      </c>
      <c r="L68" s="96" t="str">
        <f>IF(K68=1,COUNTIF($K$6:K68,1),"")</f>
        <v/>
      </c>
      <c r="M68" s="96" t="str">
        <f>IF(K68=0,"",SUMIFS('ITENS_MTR'!$I$6:$I$1005,'ITENS_MTR'!$C$6:$C$1005,B68,'ITENS_MTR'!$AP$6:$AP$1005,1,'ITENS_MTR'!$Y$6:$Y$1005,1))</f>
        <v/>
      </c>
      <c r="N68" s="96" t="str">
        <f>IF(N(M68)&gt;0,M68+(1000-63)/1000000,"")</f>
        <v/>
      </c>
    </row>
    <row r="69">
      <c r="A69" s="89" t="inlineStr">
        <is>
          <t>RS-064</t>
        </is>
      </c>
      <c r="B69" s="91" t="n"/>
      <c r="C69" s="91" t="n"/>
      <c r="D69" s="91" t="n"/>
      <c r="E69" s="90" t="n"/>
      <c r="F69" s="91" t="n"/>
      <c r="G69" s="91" t="n"/>
      <c r="H69" s="91" t="n"/>
      <c r="I69" s="91" t="n"/>
      <c r="J69" s="94" t="str">
        <f>IF(B69="",IF(COUNTA(C69:I69)&gt;0,"Informe o nome interno",""),IF(SUMPRODUCT(--($B$6:$B$205=B69))&gt;1,"Nome repetido","OK"))</f>
        <v/>
      </c>
      <c r="K69" s="96">
        <f>IF(B69&lt;&gt;"",1,0)</f>
        <v>0</v>
      </c>
      <c r="L69" s="96" t="str">
        <f>IF(K69=1,COUNTIF($K$6:K69,1),"")</f>
        <v/>
      </c>
      <c r="M69" s="96" t="str">
        <f>IF(K69=0,"",SUMIFS('ITENS_MTR'!$I$6:$I$1005,'ITENS_MTR'!$C$6:$C$1005,B69,'ITENS_MTR'!$AP$6:$AP$1005,1,'ITENS_MTR'!$Y$6:$Y$1005,1))</f>
        <v/>
      </c>
      <c r="N69" s="96" t="str">
        <f>IF(N(M69)&gt;0,M69+(1000-64)/1000000,"")</f>
        <v/>
      </c>
    </row>
    <row r="70">
      <c r="A70" s="89" t="inlineStr">
        <is>
          <t>RS-065</t>
        </is>
      </c>
      <c r="B70" s="91" t="n"/>
      <c r="C70" s="91" t="n"/>
      <c r="D70" s="91" t="n"/>
      <c r="E70" s="90" t="n"/>
      <c r="F70" s="91" t="n"/>
      <c r="G70" s="91" t="n"/>
      <c r="H70" s="91" t="n"/>
      <c r="I70" s="91" t="n"/>
      <c r="J70" s="94" t="str">
        <f>IF(B70="",IF(COUNTA(C70:I70)&gt;0,"Informe o nome interno",""),IF(SUMPRODUCT(--($B$6:$B$205=B70))&gt;1,"Nome repetido","OK"))</f>
        <v/>
      </c>
      <c r="K70" s="96">
        <f>IF(B70&lt;&gt;"",1,0)</f>
        <v>0</v>
      </c>
      <c r="L70" s="96" t="str">
        <f>IF(K70=1,COUNTIF($K$6:K70,1),"")</f>
        <v/>
      </c>
      <c r="M70" s="96" t="str">
        <f>IF(K70=0,"",SUMIFS('ITENS_MTR'!$I$6:$I$1005,'ITENS_MTR'!$C$6:$C$1005,B70,'ITENS_MTR'!$AP$6:$AP$1005,1,'ITENS_MTR'!$Y$6:$Y$1005,1))</f>
        <v/>
      </c>
      <c r="N70" s="96" t="str">
        <f>IF(N(M70)&gt;0,M70+(1000-65)/1000000,"")</f>
        <v/>
      </c>
    </row>
    <row r="71">
      <c r="A71" s="89" t="inlineStr">
        <is>
          <t>RS-066</t>
        </is>
      </c>
      <c r="B71" s="91" t="n"/>
      <c r="C71" s="91" t="n"/>
      <c r="D71" s="91" t="n"/>
      <c r="E71" s="90" t="n"/>
      <c r="F71" s="91" t="n"/>
      <c r="G71" s="91" t="n"/>
      <c r="H71" s="91" t="n"/>
      <c r="I71" s="91" t="n"/>
      <c r="J71" s="94" t="str">
        <f>IF(B71="",IF(COUNTA(C71:I71)&gt;0,"Informe o nome interno",""),IF(SUMPRODUCT(--($B$6:$B$205=B71))&gt;1,"Nome repetido","OK"))</f>
        <v/>
      </c>
      <c r="K71" s="96">
        <f>IF(B71&lt;&gt;"",1,0)</f>
        <v>0</v>
      </c>
      <c r="L71" s="96" t="str">
        <f>IF(K71=1,COUNTIF($K$6:K71,1),"")</f>
        <v/>
      </c>
      <c r="M71" s="96" t="str">
        <f>IF(K71=0,"",SUMIFS('ITENS_MTR'!$I$6:$I$1005,'ITENS_MTR'!$C$6:$C$1005,B71,'ITENS_MTR'!$AP$6:$AP$1005,1,'ITENS_MTR'!$Y$6:$Y$1005,1))</f>
        <v/>
      </c>
      <c r="N71" s="96" t="str">
        <f>IF(N(M71)&gt;0,M71+(1000-66)/1000000,"")</f>
        <v/>
      </c>
    </row>
    <row r="72">
      <c r="A72" s="89" t="inlineStr">
        <is>
          <t>RS-067</t>
        </is>
      </c>
      <c r="B72" s="91" t="n"/>
      <c r="C72" s="91" t="n"/>
      <c r="D72" s="91" t="n"/>
      <c r="E72" s="90" t="n"/>
      <c r="F72" s="91" t="n"/>
      <c r="G72" s="91" t="n"/>
      <c r="H72" s="91" t="n"/>
      <c r="I72" s="91" t="n"/>
      <c r="J72" s="94" t="str">
        <f>IF(B72="",IF(COUNTA(C72:I72)&gt;0,"Informe o nome interno",""),IF(SUMPRODUCT(--($B$6:$B$205=B72))&gt;1,"Nome repetido","OK"))</f>
        <v/>
      </c>
      <c r="K72" s="96">
        <f>IF(B72&lt;&gt;"",1,0)</f>
        <v>0</v>
      </c>
      <c r="L72" s="96" t="str">
        <f>IF(K72=1,COUNTIF($K$6:K72,1),"")</f>
        <v/>
      </c>
      <c r="M72" s="96" t="str">
        <f>IF(K72=0,"",SUMIFS('ITENS_MTR'!$I$6:$I$1005,'ITENS_MTR'!$C$6:$C$1005,B72,'ITENS_MTR'!$AP$6:$AP$1005,1,'ITENS_MTR'!$Y$6:$Y$1005,1))</f>
        <v/>
      </c>
      <c r="N72" s="96" t="str">
        <f>IF(N(M72)&gt;0,M72+(1000-67)/1000000,"")</f>
        <v/>
      </c>
    </row>
    <row r="73">
      <c r="A73" s="89" t="inlineStr">
        <is>
          <t>RS-068</t>
        </is>
      </c>
      <c r="B73" s="91" t="n"/>
      <c r="C73" s="91" t="n"/>
      <c r="D73" s="91" t="n"/>
      <c r="E73" s="90" t="n"/>
      <c r="F73" s="91" t="n"/>
      <c r="G73" s="91" t="n"/>
      <c r="H73" s="91" t="n"/>
      <c r="I73" s="91" t="n"/>
      <c r="J73" s="94" t="str">
        <f>IF(B73="",IF(COUNTA(C73:I73)&gt;0,"Informe o nome interno",""),IF(SUMPRODUCT(--($B$6:$B$205=B73))&gt;1,"Nome repetido","OK"))</f>
        <v/>
      </c>
      <c r="K73" s="96">
        <f>IF(B73&lt;&gt;"",1,0)</f>
        <v>0</v>
      </c>
      <c r="L73" s="96" t="str">
        <f>IF(K73=1,COUNTIF($K$6:K73,1),"")</f>
        <v/>
      </c>
      <c r="M73" s="96" t="str">
        <f>IF(K73=0,"",SUMIFS('ITENS_MTR'!$I$6:$I$1005,'ITENS_MTR'!$C$6:$C$1005,B73,'ITENS_MTR'!$AP$6:$AP$1005,1,'ITENS_MTR'!$Y$6:$Y$1005,1))</f>
        <v/>
      </c>
      <c r="N73" s="96" t="str">
        <f>IF(N(M73)&gt;0,M73+(1000-68)/1000000,"")</f>
        <v/>
      </c>
    </row>
    <row r="74">
      <c r="A74" s="89" t="inlineStr">
        <is>
          <t>RS-069</t>
        </is>
      </c>
      <c r="B74" s="91" t="n"/>
      <c r="C74" s="91" t="n"/>
      <c r="D74" s="91" t="n"/>
      <c r="E74" s="90" t="n"/>
      <c r="F74" s="91" t="n"/>
      <c r="G74" s="91" t="n"/>
      <c r="H74" s="91" t="n"/>
      <c r="I74" s="91" t="n"/>
      <c r="J74" s="94" t="str">
        <f>IF(B74="",IF(COUNTA(C74:I74)&gt;0,"Informe o nome interno",""),IF(SUMPRODUCT(--($B$6:$B$205=B74))&gt;1,"Nome repetido","OK"))</f>
        <v/>
      </c>
      <c r="K74" s="96">
        <f>IF(B74&lt;&gt;"",1,0)</f>
        <v>0</v>
      </c>
      <c r="L74" s="96" t="str">
        <f>IF(K74=1,COUNTIF($K$6:K74,1),"")</f>
        <v/>
      </c>
      <c r="M74" s="96" t="str">
        <f>IF(K74=0,"",SUMIFS('ITENS_MTR'!$I$6:$I$1005,'ITENS_MTR'!$C$6:$C$1005,B74,'ITENS_MTR'!$AP$6:$AP$1005,1,'ITENS_MTR'!$Y$6:$Y$1005,1))</f>
        <v/>
      </c>
      <c r="N74" s="96" t="str">
        <f>IF(N(M74)&gt;0,M74+(1000-69)/1000000,"")</f>
        <v/>
      </c>
    </row>
    <row r="75">
      <c r="A75" s="89" t="inlineStr">
        <is>
          <t>RS-070</t>
        </is>
      </c>
      <c r="B75" s="91" t="n"/>
      <c r="C75" s="91" t="n"/>
      <c r="D75" s="91" t="n"/>
      <c r="E75" s="90" t="n"/>
      <c r="F75" s="91" t="n"/>
      <c r="G75" s="91" t="n"/>
      <c r="H75" s="91" t="n"/>
      <c r="I75" s="91" t="n"/>
      <c r="J75" s="94" t="str">
        <f>IF(B75="",IF(COUNTA(C75:I75)&gt;0,"Informe o nome interno",""),IF(SUMPRODUCT(--($B$6:$B$205=B75))&gt;1,"Nome repetido","OK"))</f>
        <v/>
      </c>
      <c r="K75" s="96">
        <f>IF(B75&lt;&gt;"",1,0)</f>
        <v>0</v>
      </c>
      <c r="L75" s="96" t="str">
        <f>IF(K75=1,COUNTIF($K$6:K75,1),"")</f>
        <v/>
      </c>
      <c r="M75" s="96" t="str">
        <f>IF(K75=0,"",SUMIFS('ITENS_MTR'!$I$6:$I$1005,'ITENS_MTR'!$C$6:$C$1005,B75,'ITENS_MTR'!$AP$6:$AP$1005,1,'ITENS_MTR'!$Y$6:$Y$1005,1))</f>
        <v/>
      </c>
      <c r="N75" s="96" t="str">
        <f>IF(N(M75)&gt;0,M75+(1000-70)/1000000,"")</f>
        <v/>
      </c>
    </row>
    <row r="76">
      <c r="A76" s="89" t="inlineStr">
        <is>
          <t>RS-071</t>
        </is>
      </c>
      <c r="B76" s="91" t="n"/>
      <c r="C76" s="91" t="n"/>
      <c r="D76" s="91" t="n"/>
      <c r="E76" s="90" t="n"/>
      <c r="F76" s="91" t="n"/>
      <c r="G76" s="91" t="n"/>
      <c r="H76" s="91" t="n"/>
      <c r="I76" s="91" t="n"/>
      <c r="J76" s="94" t="str">
        <f>IF(B76="",IF(COUNTA(C76:I76)&gt;0,"Informe o nome interno",""),IF(SUMPRODUCT(--($B$6:$B$205=B76))&gt;1,"Nome repetido","OK"))</f>
        <v/>
      </c>
      <c r="K76" s="96">
        <f>IF(B76&lt;&gt;"",1,0)</f>
        <v>0</v>
      </c>
      <c r="L76" s="96" t="str">
        <f>IF(K76=1,COUNTIF($K$6:K76,1),"")</f>
        <v/>
      </c>
      <c r="M76" s="96" t="str">
        <f>IF(K76=0,"",SUMIFS('ITENS_MTR'!$I$6:$I$1005,'ITENS_MTR'!$C$6:$C$1005,B76,'ITENS_MTR'!$AP$6:$AP$1005,1,'ITENS_MTR'!$Y$6:$Y$1005,1))</f>
        <v/>
      </c>
      <c r="N76" s="96" t="str">
        <f>IF(N(M76)&gt;0,M76+(1000-71)/1000000,"")</f>
        <v/>
      </c>
    </row>
    <row r="77">
      <c r="A77" s="89" t="inlineStr">
        <is>
          <t>RS-072</t>
        </is>
      </c>
      <c r="B77" s="91" t="n"/>
      <c r="C77" s="91" t="n"/>
      <c r="D77" s="91" t="n"/>
      <c r="E77" s="90" t="n"/>
      <c r="F77" s="91" t="n"/>
      <c r="G77" s="91" t="n"/>
      <c r="H77" s="91" t="n"/>
      <c r="I77" s="91" t="n"/>
      <c r="J77" s="94" t="str">
        <f>IF(B77="",IF(COUNTA(C77:I77)&gt;0,"Informe o nome interno",""),IF(SUMPRODUCT(--($B$6:$B$205=B77))&gt;1,"Nome repetido","OK"))</f>
        <v/>
      </c>
      <c r="K77" s="96">
        <f>IF(B77&lt;&gt;"",1,0)</f>
        <v>0</v>
      </c>
      <c r="L77" s="96" t="str">
        <f>IF(K77=1,COUNTIF($K$6:K77,1),"")</f>
        <v/>
      </c>
      <c r="M77" s="96" t="str">
        <f>IF(K77=0,"",SUMIFS('ITENS_MTR'!$I$6:$I$1005,'ITENS_MTR'!$C$6:$C$1005,B77,'ITENS_MTR'!$AP$6:$AP$1005,1,'ITENS_MTR'!$Y$6:$Y$1005,1))</f>
        <v/>
      </c>
      <c r="N77" s="96" t="str">
        <f>IF(N(M77)&gt;0,M77+(1000-72)/1000000,"")</f>
        <v/>
      </c>
    </row>
    <row r="78">
      <c r="A78" s="89" t="inlineStr">
        <is>
          <t>RS-073</t>
        </is>
      </c>
      <c r="B78" s="91" t="n"/>
      <c r="C78" s="91" t="n"/>
      <c r="D78" s="91" t="n"/>
      <c r="E78" s="90" t="n"/>
      <c r="F78" s="91" t="n"/>
      <c r="G78" s="91" t="n"/>
      <c r="H78" s="91" t="n"/>
      <c r="I78" s="91" t="n"/>
      <c r="J78" s="94" t="str">
        <f>IF(B78="",IF(COUNTA(C78:I78)&gt;0,"Informe o nome interno",""),IF(SUMPRODUCT(--($B$6:$B$205=B78))&gt;1,"Nome repetido","OK"))</f>
        <v/>
      </c>
      <c r="K78" s="96">
        <f>IF(B78&lt;&gt;"",1,0)</f>
        <v>0</v>
      </c>
      <c r="L78" s="96" t="str">
        <f>IF(K78=1,COUNTIF($K$6:K78,1),"")</f>
        <v/>
      </c>
      <c r="M78" s="96" t="str">
        <f>IF(K78=0,"",SUMIFS('ITENS_MTR'!$I$6:$I$1005,'ITENS_MTR'!$C$6:$C$1005,B78,'ITENS_MTR'!$AP$6:$AP$1005,1,'ITENS_MTR'!$Y$6:$Y$1005,1))</f>
        <v/>
      </c>
      <c r="N78" s="96" t="str">
        <f>IF(N(M78)&gt;0,M78+(1000-73)/1000000,"")</f>
        <v/>
      </c>
    </row>
    <row r="79">
      <c r="A79" s="89" t="inlineStr">
        <is>
          <t>RS-074</t>
        </is>
      </c>
      <c r="B79" s="91" t="n"/>
      <c r="C79" s="91" t="n"/>
      <c r="D79" s="91" t="n"/>
      <c r="E79" s="90" t="n"/>
      <c r="F79" s="91" t="n"/>
      <c r="G79" s="91" t="n"/>
      <c r="H79" s="91" t="n"/>
      <c r="I79" s="91" t="n"/>
      <c r="J79" s="94" t="str">
        <f>IF(B79="",IF(COUNTA(C79:I79)&gt;0,"Informe o nome interno",""),IF(SUMPRODUCT(--($B$6:$B$205=B79))&gt;1,"Nome repetido","OK"))</f>
        <v/>
      </c>
      <c r="K79" s="96">
        <f>IF(B79&lt;&gt;"",1,0)</f>
        <v>0</v>
      </c>
      <c r="L79" s="96" t="str">
        <f>IF(K79=1,COUNTIF($K$6:K79,1),"")</f>
        <v/>
      </c>
      <c r="M79" s="96" t="str">
        <f>IF(K79=0,"",SUMIFS('ITENS_MTR'!$I$6:$I$1005,'ITENS_MTR'!$C$6:$C$1005,B79,'ITENS_MTR'!$AP$6:$AP$1005,1,'ITENS_MTR'!$Y$6:$Y$1005,1))</f>
        <v/>
      </c>
      <c r="N79" s="96" t="str">
        <f>IF(N(M79)&gt;0,M79+(1000-74)/1000000,"")</f>
        <v/>
      </c>
    </row>
    <row r="80">
      <c r="A80" s="89" t="inlineStr">
        <is>
          <t>RS-075</t>
        </is>
      </c>
      <c r="B80" s="91" t="n"/>
      <c r="C80" s="91" t="n"/>
      <c r="D80" s="91" t="n"/>
      <c r="E80" s="90" t="n"/>
      <c r="F80" s="91" t="n"/>
      <c r="G80" s="91" t="n"/>
      <c r="H80" s="91" t="n"/>
      <c r="I80" s="91" t="n"/>
      <c r="J80" s="94" t="str">
        <f>IF(B80="",IF(COUNTA(C80:I80)&gt;0,"Informe o nome interno",""),IF(SUMPRODUCT(--($B$6:$B$205=B80))&gt;1,"Nome repetido","OK"))</f>
        <v/>
      </c>
      <c r="K80" s="96">
        <f>IF(B80&lt;&gt;"",1,0)</f>
        <v>0</v>
      </c>
      <c r="L80" s="96" t="str">
        <f>IF(K80=1,COUNTIF($K$6:K80,1),"")</f>
        <v/>
      </c>
      <c r="M80" s="96" t="str">
        <f>IF(K80=0,"",SUMIFS('ITENS_MTR'!$I$6:$I$1005,'ITENS_MTR'!$C$6:$C$1005,B80,'ITENS_MTR'!$AP$6:$AP$1005,1,'ITENS_MTR'!$Y$6:$Y$1005,1))</f>
        <v/>
      </c>
      <c r="N80" s="96" t="str">
        <f>IF(N(M80)&gt;0,M80+(1000-75)/1000000,"")</f>
        <v/>
      </c>
    </row>
    <row r="81">
      <c r="A81" s="89" t="inlineStr">
        <is>
          <t>RS-076</t>
        </is>
      </c>
      <c r="B81" s="91" t="n"/>
      <c r="C81" s="91" t="n"/>
      <c r="D81" s="91" t="n"/>
      <c r="E81" s="90" t="n"/>
      <c r="F81" s="91" t="n"/>
      <c r="G81" s="91" t="n"/>
      <c r="H81" s="91" t="n"/>
      <c r="I81" s="91" t="n"/>
      <c r="J81" s="94" t="str">
        <f>IF(B81="",IF(COUNTA(C81:I81)&gt;0,"Informe o nome interno",""),IF(SUMPRODUCT(--($B$6:$B$205=B81))&gt;1,"Nome repetido","OK"))</f>
        <v/>
      </c>
      <c r="K81" s="96">
        <f>IF(B81&lt;&gt;"",1,0)</f>
        <v>0</v>
      </c>
      <c r="L81" s="96" t="str">
        <f>IF(K81=1,COUNTIF($K$6:K81,1),"")</f>
        <v/>
      </c>
      <c r="M81" s="96" t="str">
        <f>IF(K81=0,"",SUMIFS('ITENS_MTR'!$I$6:$I$1005,'ITENS_MTR'!$C$6:$C$1005,B81,'ITENS_MTR'!$AP$6:$AP$1005,1,'ITENS_MTR'!$Y$6:$Y$1005,1))</f>
        <v/>
      </c>
      <c r="N81" s="96" t="str">
        <f>IF(N(M81)&gt;0,M81+(1000-76)/1000000,"")</f>
        <v/>
      </c>
    </row>
    <row r="82">
      <c r="A82" s="89" t="inlineStr">
        <is>
          <t>RS-077</t>
        </is>
      </c>
      <c r="B82" s="91" t="n"/>
      <c r="C82" s="91" t="n"/>
      <c r="D82" s="91" t="n"/>
      <c r="E82" s="90" t="n"/>
      <c r="F82" s="91" t="n"/>
      <c r="G82" s="91" t="n"/>
      <c r="H82" s="91" t="n"/>
      <c r="I82" s="91" t="n"/>
      <c r="J82" s="94" t="str">
        <f>IF(B82="",IF(COUNTA(C82:I82)&gt;0,"Informe o nome interno",""),IF(SUMPRODUCT(--($B$6:$B$205=B82))&gt;1,"Nome repetido","OK"))</f>
        <v/>
      </c>
      <c r="K82" s="96">
        <f>IF(B82&lt;&gt;"",1,0)</f>
        <v>0</v>
      </c>
      <c r="L82" s="96" t="str">
        <f>IF(K82=1,COUNTIF($K$6:K82,1),"")</f>
        <v/>
      </c>
      <c r="M82" s="96" t="str">
        <f>IF(K82=0,"",SUMIFS('ITENS_MTR'!$I$6:$I$1005,'ITENS_MTR'!$C$6:$C$1005,B82,'ITENS_MTR'!$AP$6:$AP$1005,1,'ITENS_MTR'!$Y$6:$Y$1005,1))</f>
        <v/>
      </c>
      <c r="N82" s="96" t="str">
        <f>IF(N(M82)&gt;0,M82+(1000-77)/1000000,"")</f>
        <v/>
      </c>
    </row>
    <row r="83">
      <c r="A83" s="89" t="inlineStr">
        <is>
          <t>RS-078</t>
        </is>
      </c>
      <c r="B83" s="91" t="n"/>
      <c r="C83" s="91" t="n"/>
      <c r="D83" s="91" t="n"/>
      <c r="E83" s="90" t="n"/>
      <c r="F83" s="91" t="n"/>
      <c r="G83" s="91" t="n"/>
      <c r="H83" s="91" t="n"/>
      <c r="I83" s="91" t="n"/>
      <c r="J83" s="94" t="str">
        <f>IF(B83="",IF(COUNTA(C83:I83)&gt;0,"Informe o nome interno",""),IF(SUMPRODUCT(--($B$6:$B$205=B83))&gt;1,"Nome repetido","OK"))</f>
        <v/>
      </c>
      <c r="K83" s="96">
        <f>IF(B83&lt;&gt;"",1,0)</f>
        <v>0</v>
      </c>
      <c r="L83" s="96" t="str">
        <f>IF(K83=1,COUNTIF($K$6:K83,1),"")</f>
        <v/>
      </c>
      <c r="M83" s="96" t="str">
        <f>IF(K83=0,"",SUMIFS('ITENS_MTR'!$I$6:$I$1005,'ITENS_MTR'!$C$6:$C$1005,B83,'ITENS_MTR'!$AP$6:$AP$1005,1,'ITENS_MTR'!$Y$6:$Y$1005,1))</f>
        <v/>
      </c>
      <c r="N83" s="96" t="str">
        <f>IF(N(M83)&gt;0,M83+(1000-78)/1000000,"")</f>
        <v/>
      </c>
    </row>
    <row r="84">
      <c r="A84" s="89" t="inlineStr">
        <is>
          <t>RS-079</t>
        </is>
      </c>
      <c r="B84" s="91" t="n"/>
      <c r="C84" s="91" t="n"/>
      <c r="D84" s="91" t="n"/>
      <c r="E84" s="90" t="n"/>
      <c r="F84" s="91" t="n"/>
      <c r="G84" s="91" t="n"/>
      <c r="H84" s="91" t="n"/>
      <c r="I84" s="91" t="n"/>
      <c r="J84" s="94" t="str">
        <f>IF(B84="",IF(COUNTA(C84:I84)&gt;0,"Informe o nome interno",""),IF(SUMPRODUCT(--($B$6:$B$205=B84))&gt;1,"Nome repetido","OK"))</f>
        <v/>
      </c>
      <c r="K84" s="96">
        <f>IF(B84&lt;&gt;"",1,0)</f>
        <v>0</v>
      </c>
      <c r="L84" s="96" t="str">
        <f>IF(K84=1,COUNTIF($K$6:K84,1),"")</f>
        <v/>
      </c>
      <c r="M84" s="96" t="str">
        <f>IF(K84=0,"",SUMIFS('ITENS_MTR'!$I$6:$I$1005,'ITENS_MTR'!$C$6:$C$1005,B84,'ITENS_MTR'!$AP$6:$AP$1005,1,'ITENS_MTR'!$Y$6:$Y$1005,1))</f>
        <v/>
      </c>
      <c r="N84" s="96" t="str">
        <f>IF(N(M84)&gt;0,M84+(1000-79)/1000000,"")</f>
        <v/>
      </c>
    </row>
    <row r="85">
      <c r="A85" s="89" t="inlineStr">
        <is>
          <t>RS-080</t>
        </is>
      </c>
      <c r="B85" s="91" t="n"/>
      <c r="C85" s="91" t="n"/>
      <c r="D85" s="91" t="n"/>
      <c r="E85" s="90" t="n"/>
      <c r="F85" s="91" t="n"/>
      <c r="G85" s="91" t="n"/>
      <c r="H85" s="91" t="n"/>
      <c r="I85" s="91" t="n"/>
      <c r="J85" s="94" t="str">
        <f>IF(B85="",IF(COUNTA(C85:I85)&gt;0,"Informe o nome interno",""),IF(SUMPRODUCT(--($B$6:$B$205=B85))&gt;1,"Nome repetido","OK"))</f>
        <v/>
      </c>
      <c r="K85" s="96">
        <f>IF(B85&lt;&gt;"",1,0)</f>
        <v>0</v>
      </c>
      <c r="L85" s="96" t="str">
        <f>IF(K85=1,COUNTIF($K$6:K85,1),"")</f>
        <v/>
      </c>
      <c r="M85" s="96" t="str">
        <f>IF(K85=0,"",SUMIFS('ITENS_MTR'!$I$6:$I$1005,'ITENS_MTR'!$C$6:$C$1005,B85,'ITENS_MTR'!$AP$6:$AP$1005,1,'ITENS_MTR'!$Y$6:$Y$1005,1))</f>
        <v/>
      </c>
      <c r="N85" s="96" t="str">
        <f>IF(N(M85)&gt;0,M85+(1000-80)/1000000,"")</f>
        <v/>
      </c>
    </row>
    <row r="86">
      <c r="A86" s="89" t="inlineStr">
        <is>
          <t>RS-081</t>
        </is>
      </c>
      <c r="B86" s="91" t="n"/>
      <c r="C86" s="91" t="n"/>
      <c r="D86" s="91" t="n"/>
      <c r="E86" s="90" t="n"/>
      <c r="F86" s="91" t="n"/>
      <c r="G86" s="91" t="n"/>
      <c r="H86" s="91" t="n"/>
      <c r="I86" s="91" t="n"/>
      <c r="J86" s="94" t="str">
        <f>IF(B86="",IF(COUNTA(C86:I86)&gt;0,"Informe o nome interno",""),IF(SUMPRODUCT(--($B$6:$B$205=B86))&gt;1,"Nome repetido","OK"))</f>
        <v/>
      </c>
      <c r="K86" s="96">
        <f>IF(B86&lt;&gt;"",1,0)</f>
        <v>0</v>
      </c>
      <c r="L86" s="96" t="str">
        <f>IF(K86=1,COUNTIF($K$6:K86,1),"")</f>
        <v/>
      </c>
      <c r="M86" s="96" t="str">
        <f>IF(K86=0,"",SUMIFS('ITENS_MTR'!$I$6:$I$1005,'ITENS_MTR'!$C$6:$C$1005,B86,'ITENS_MTR'!$AP$6:$AP$1005,1,'ITENS_MTR'!$Y$6:$Y$1005,1))</f>
        <v/>
      </c>
      <c r="N86" s="96" t="str">
        <f>IF(N(M86)&gt;0,M86+(1000-81)/1000000,"")</f>
        <v/>
      </c>
    </row>
    <row r="87">
      <c r="A87" s="89" t="inlineStr">
        <is>
          <t>RS-082</t>
        </is>
      </c>
      <c r="B87" s="91" t="n"/>
      <c r="C87" s="91" t="n"/>
      <c r="D87" s="91" t="n"/>
      <c r="E87" s="90" t="n"/>
      <c r="F87" s="91" t="n"/>
      <c r="G87" s="91" t="n"/>
      <c r="H87" s="91" t="n"/>
      <c r="I87" s="91" t="n"/>
      <c r="J87" s="94" t="str">
        <f>IF(B87="",IF(COUNTA(C87:I87)&gt;0,"Informe o nome interno",""),IF(SUMPRODUCT(--($B$6:$B$205=B87))&gt;1,"Nome repetido","OK"))</f>
        <v/>
      </c>
      <c r="K87" s="96">
        <f>IF(B87&lt;&gt;"",1,0)</f>
        <v>0</v>
      </c>
      <c r="L87" s="96" t="str">
        <f>IF(K87=1,COUNTIF($K$6:K87,1),"")</f>
        <v/>
      </c>
      <c r="M87" s="96" t="str">
        <f>IF(K87=0,"",SUMIFS('ITENS_MTR'!$I$6:$I$1005,'ITENS_MTR'!$C$6:$C$1005,B87,'ITENS_MTR'!$AP$6:$AP$1005,1,'ITENS_MTR'!$Y$6:$Y$1005,1))</f>
        <v/>
      </c>
      <c r="N87" s="96" t="str">
        <f>IF(N(M87)&gt;0,M87+(1000-82)/1000000,"")</f>
        <v/>
      </c>
    </row>
    <row r="88">
      <c r="A88" s="89" t="inlineStr">
        <is>
          <t>RS-083</t>
        </is>
      </c>
      <c r="B88" s="91" t="n"/>
      <c r="C88" s="91" t="n"/>
      <c r="D88" s="91" t="n"/>
      <c r="E88" s="90" t="n"/>
      <c r="F88" s="91" t="n"/>
      <c r="G88" s="91" t="n"/>
      <c r="H88" s="91" t="n"/>
      <c r="I88" s="91" t="n"/>
      <c r="J88" s="94" t="str">
        <f>IF(B88="",IF(COUNTA(C88:I88)&gt;0,"Informe o nome interno",""),IF(SUMPRODUCT(--($B$6:$B$205=B88))&gt;1,"Nome repetido","OK"))</f>
        <v/>
      </c>
      <c r="K88" s="96">
        <f>IF(B88&lt;&gt;"",1,0)</f>
        <v>0</v>
      </c>
      <c r="L88" s="96" t="str">
        <f>IF(K88=1,COUNTIF($K$6:K88,1),"")</f>
        <v/>
      </c>
      <c r="M88" s="96" t="str">
        <f>IF(K88=0,"",SUMIFS('ITENS_MTR'!$I$6:$I$1005,'ITENS_MTR'!$C$6:$C$1005,B88,'ITENS_MTR'!$AP$6:$AP$1005,1,'ITENS_MTR'!$Y$6:$Y$1005,1))</f>
        <v/>
      </c>
      <c r="N88" s="96" t="str">
        <f>IF(N(M88)&gt;0,M88+(1000-83)/1000000,"")</f>
        <v/>
      </c>
    </row>
    <row r="89">
      <c r="A89" s="89" t="inlineStr">
        <is>
          <t>RS-084</t>
        </is>
      </c>
      <c r="B89" s="91" t="n"/>
      <c r="C89" s="91" t="n"/>
      <c r="D89" s="91" t="n"/>
      <c r="E89" s="90" t="n"/>
      <c r="F89" s="91" t="n"/>
      <c r="G89" s="91" t="n"/>
      <c r="H89" s="91" t="n"/>
      <c r="I89" s="91" t="n"/>
      <c r="J89" s="94" t="str">
        <f>IF(B89="",IF(COUNTA(C89:I89)&gt;0,"Informe o nome interno",""),IF(SUMPRODUCT(--($B$6:$B$205=B89))&gt;1,"Nome repetido","OK"))</f>
        <v/>
      </c>
      <c r="K89" s="96">
        <f>IF(B89&lt;&gt;"",1,0)</f>
        <v>0</v>
      </c>
      <c r="L89" s="96" t="str">
        <f>IF(K89=1,COUNTIF($K$6:K89,1),"")</f>
        <v/>
      </c>
      <c r="M89" s="96" t="str">
        <f>IF(K89=0,"",SUMIFS('ITENS_MTR'!$I$6:$I$1005,'ITENS_MTR'!$C$6:$C$1005,B89,'ITENS_MTR'!$AP$6:$AP$1005,1,'ITENS_MTR'!$Y$6:$Y$1005,1))</f>
        <v/>
      </c>
      <c r="N89" s="96" t="str">
        <f>IF(N(M89)&gt;0,M89+(1000-84)/1000000,"")</f>
        <v/>
      </c>
    </row>
    <row r="90">
      <c r="A90" s="89" t="inlineStr">
        <is>
          <t>RS-085</t>
        </is>
      </c>
      <c r="B90" s="91" t="n"/>
      <c r="C90" s="91" t="n"/>
      <c r="D90" s="91" t="n"/>
      <c r="E90" s="90" t="n"/>
      <c r="F90" s="91" t="n"/>
      <c r="G90" s="91" t="n"/>
      <c r="H90" s="91" t="n"/>
      <c r="I90" s="91" t="n"/>
      <c r="J90" s="94" t="str">
        <f>IF(B90="",IF(COUNTA(C90:I90)&gt;0,"Informe o nome interno",""),IF(SUMPRODUCT(--($B$6:$B$205=B90))&gt;1,"Nome repetido","OK"))</f>
        <v/>
      </c>
      <c r="K90" s="96">
        <f>IF(B90&lt;&gt;"",1,0)</f>
        <v>0</v>
      </c>
      <c r="L90" s="96" t="str">
        <f>IF(K90=1,COUNTIF($K$6:K90,1),"")</f>
        <v/>
      </c>
      <c r="M90" s="96" t="str">
        <f>IF(K90=0,"",SUMIFS('ITENS_MTR'!$I$6:$I$1005,'ITENS_MTR'!$C$6:$C$1005,B90,'ITENS_MTR'!$AP$6:$AP$1005,1,'ITENS_MTR'!$Y$6:$Y$1005,1))</f>
        <v/>
      </c>
      <c r="N90" s="96" t="str">
        <f>IF(N(M90)&gt;0,M90+(1000-85)/1000000,"")</f>
        <v/>
      </c>
    </row>
    <row r="91">
      <c r="A91" s="89" t="inlineStr">
        <is>
          <t>RS-086</t>
        </is>
      </c>
      <c r="B91" s="91" t="n"/>
      <c r="C91" s="91" t="n"/>
      <c r="D91" s="91" t="n"/>
      <c r="E91" s="90" t="n"/>
      <c r="F91" s="91" t="n"/>
      <c r="G91" s="91" t="n"/>
      <c r="H91" s="91" t="n"/>
      <c r="I91" s="91" t="n"/>
      <c r="J91" s="94" t="str">
        <f>IF(B91="",IF(COUNTA(C91:I91)&gt;0,"Informe o nome interno",""),IF(SUMPRODUCT(--($B$6:$B$205=B91))&gt;1,"Nome repetido","OK"))</f>
        <v/>
      </c>
      <c r="K91" s="96">
        <f>IF(B91&lt;&gt;"",1,0)</f>
        <v>0</v>
      </c>
      <c r="L91" s="96" t="str">
        <f>IF(K91=1,COUNTIF($K$6:K91,1),"")</f>
        <v/>
      </c>
      <c r="M91" s="96" t="str">
        <f>IF(K91=0,"",SUMIFS('ITENS_MTR'!$I$6:$I$1005,'ITENS_MTR'!$C$6:$C$1005,B91,'ITENS_MTR'!$AP$6:$AP$1005,1,'ITENS_MTR'!$Y$6:$Y$1005,1))</f>
        <v/>
      </c>
      <c r="N91" s="96" t="str">
        <f>IF(N(M91)&gt;0,M91+(1000-86)/1000000,"")</f>
        <v/>
      </c>
    </row>
    <row r="92">
      <c r="A92" s="89" t="inlineStr">
        <is>
          <t>RS-087</t>
        </is>
      </c>
      <c r="B92" s="91" t="n"/>
      <c r="C92" s="91" t="n"/>
      <c r="D92" s="91" t="n"/>
      <c r="E92" s="90" t="n"/>
      <c r="F92" s="91" t="n"/>
      <c r="G92" s="91" t="n"/>
      <c r="H92" s="91" t="n"/>
      <c r="I92" s="91" t="n"/>
      <c r="J92" s="94" t="str">
        <f>IF(B92="",IF(COUNTA(C92:I92)&gt;0,"Informe o nome interno",""),IF(SUMPRODUCT(--($B$6:$B$205=B92))&gt;1,"Nome repetido","OK"))</f>
        <v/>
      </c>
      <c r="K92" s="96">
        <f>IF(B92&lt;&gt;"",1,0)</f>
        <v>0</v>
      </c>
      <c r="L92" s="96" t="str">
        <f>IF(K92=1,COUNTIF($K$6:K92,1),"")</f>
        <v/>
      </c>
      <c r="M92" s="96" t="str">
        <f>IF(K92=0,"",SUMIFS('ITENS_MTR'!$I$6:$I$1005,'ITENS_MTR'!$C$6:$C$1005,B92,'ITENS_MTR'!$AP$6:$AP$1005,1,'ITENS_MTR'!$Y$6:$Y$1005,1))</f>
        <v/>
      </c>
      <c r="N92" s="96" t="str">
        <f>IF(N(M92)&gt;0,M92+(1000-87)/1000000,"")</f>
        <v/>
      </c>
    </row>
    <row r="93">
      <c r="A93" s="89" t="inlineStr">
        <is>
          <t>RS-088</t>
        </is>
      </c>
      <c r="B93" s="91" t="n"/>
      <c r="C93" s="91" t="n"/>
      <c r="D93" s="91" t="n"/>
      <c r="E93" s="90" t="n"/>
      <c r="F93" s="91" t="n"/>
      <c r="G93" s="91" t="n"/>
      <c r="H93" s="91" t="n"/>
      <c r="I93" s="91" t="n"/>
      <c r="J93" s="94" t="str">
        <f>IF(B93="",IF(COUNTA(C93:I93)&gt;0,"Informe o nome interno",""),IF(SUMPRODUCT(--($B$6:$B$205=B93))&gt;1,"Nome repetido","OK"))</f>
        <v/>
      </c>
      <c r="K93" s="96">
        <f>IF(B93&lt;&gt;"",1,0)</f>
        <v>0</v>
      </c>
      <c r="L93" s="96" t="str">
        <f>IF(K93=1,COUNTIF($K$6:K93,1),"")</f>
        <v/>
      </c>
      <c r="M93" s="96" t="str">
        <f>IF(K93=0,"",SUMIFS('ITENS_MTR'!$I$6:$I$1005,'ITENS_MTR'!$C$6:$C$1005,B93,'ITENS_MTR'!$AP$6:$AP$1005,1,'ITENS_MTR'!$Y$6:$Y$1005,1))</f>
        <v/>
      </c>
      <c r="N93" s="96" t="str">
        <f>IF(N(M93)&gt;0,M93+(1000-88)/1000000,"")</f>
        <v/>
      </c>
    </row>
    <row r="94">
      <c r="A94" s="89" t="inlineStr">
        <is>
          <t>RS-089</t>
        </is>
      </c>
      <c r="B94" s="91" t="n"/>
      <c r="C94" s="91" t="n"/>
      <c r="D94" s="91" t="n"/>
      <c r="E94" s="90" t="n"/>
      <c r="F94" s="91" t="n"/>
      <c r="G94" s="91" t="n"/>
      <c r="H94" s="91" t="n"/>
      <c r="I94" s="91" t="n"/>
      <c r="J94" s="94" t="str">
        <f>IF(B94="",IF(COUNTA(C94:I94)&gt;0,"Informe o nome interno",""),IF(SUMPRODUCT(--($B$6:$B$205=B94))&gt;1,"Nome repetido","OK"))</f>
        <v/>
      </c>
      <c r="K94" s="96">
        <f>IF(B94&lt;&gt;"",1,0)</f>
        <v>0</v>
      </c>
      <c r="L94" s="96" t="str">
        <f>IF(K94=1,COUNTIF($K$6:K94,1),"")</f>
        <v/>
      </c>
      <c r="M94" s="96" t="str">
        <f>IF(K94=0,"",SUMIFS('ITENS_MTR'!$I$6:$I$1005,'ITENS_MTR'!$C$6:$C$1005,B94,'ITENS_MTR'!$AP$6:$AP$1005,1,'ITENS_MTR'!$Y$6:$Y$1005,1))</f>
        <v/>
      </c>
      <c r="N94" s="96" t="str">
        <f>IF(N(M94)&gt;0,M94+(1000-89)/1000000,"")</f>
        <v/>
      </c>
    </row>
    <row r="95">
      <c r="A95" s="89" t="inlineStr">
        <is>
          <t>RS-090</t>
        </is>
      </c>
      <c r="B95" s="91" t="n"/>
      <c r="C95" s="91" t="n"/>
      <c r="D95" s="91" t="n"/>
      <c r="E95" s="90" t="n"/>
      <c r="F95" s="91" t="n"/>
      <c r="G95" s="91" t="n"/>
      <c r="H95" s="91" t="n"/>
      <c r="I95" s="91" t="n"/>
      <c r="J95" s="94" t="str">
        <f>IF(B95="",IF(COUNTA(C95:I95)&gt;0,"Informe o nome interno",""),IF(SUMPRODUCT(--($B$6:$B$205=B95))&gt;1,"Nome repetido","OK"))</f>
        <v/>
      </c>
      <c r="K95" s="96">
        <f>IF(B95&lt;&gt;"",1,0)</f>
        <v>0</v>
      </c>
      <c r="L95" s="96" t="str">
        <f>IF(K95=1,COUNTIF($K$6:K95,1),"")</f>
        <v/>
      </c>
      <c r="M95" s="96" t="str">
        <f>IF(K95=0,"",SUMIFS('ITENS_MTR'!$I$6:$I$1005,'ITENS_MTR'!$C$6:$C$1005,B95,'ITENS_MTR'!$AP$6:$AP$1005,1,'ITENS_MTR'!$Y$6:$Y$1005,1))</f>
        <v/>
      </c>
      <c r="N95" s="96" t="str">
        <f>IF(N(M95)&gt;0,M95+(1000-90)/1000000,"")</f>
        <v/>
      </c>
    </row>
    <row r="96">
      <c r="A96" s="89" t="inlineStr">
        <is>
          <t>RS-091</t>
        </is>
      </c>
      <c r="B96" s="91" t="n"/>
      <c r="C96" s="91" t="n"/>
      <c r="D96" s="91" t="n"/>
      <c r="E96" s="90" t="n"/>
      <c r="F96" s="91" t="n"/>
      <c r="G96" s="91" t="n"/>
      <c r="H96" s="91" t="n"/>
      <c r="I96" s="91" t="n"/>
      <c r="J96" s="94" t="str">
        <f>IF(B96="",IF(COUNTA(C96:I96)&gt;0,"Informe o nome interno",""),IF(SUMPRODUCT(--($B$6:$B$205=B96))&gt;1,"Nome repetido","OK"))</f>
        <v/>
      </c>
      <c r="K96" s="96">
        <f>IF(B96&lt;&gt;"",1,0)</f>
        <v>0</v>
      </c>
      <c r="L96" s="96" t="str">
        <f>IF(K96=1,COUNTIF($K$6:K96,1),"")</f>
        <v/>
      </c>
      <c r="M96" s="96" t="str">
        <f>IF(K96=0,"",SUMIFS('ITENS_MTR'!$I$6:$I$1005,'ITENS_MTR'!$C$6:$C$1005,B96,'ITENS_MTR'!$AP$6:$AP$1005,1,'ITENS_MTR'!$Y$6:$Y$1005,1))</f>
        <v/>
      </c>
      <c r="N96" s="96" t="str">
        <f>IF(N(M96)&gt;0,M96+(1000-91)/1000000,"")</f>
        <v/>
      </c>
    </row>
    <row r="97">
      <c r="A97" s="89" t="inlineStr">
        <is>
          <t>RS-092</t>
        </is>
      </c>
      <c r="B97" s="91" t="n"/>
      <c r="C97" s="91" t="n"/>
      <c r="D97" s="91" t="n"/>
      <c r="E97" s="90" t="n"/>
      <c r="F97" s="91" t="n"/>
      <c r="G97" s="91" t="n"/>
      <c r="H97" s="91" t="n"/>
      <c r="I97" s="91" t="n"/>
      <c r="J97" s="94" t="str">
        <f>IF(B97="",IF(COUNTA(C97:I97)&gt;0,"Informe o nome interno",""),IF(SUMPRODUCT(--($B$6:$B$205=B97))&gt;1,"Nome repetido","OK"))</f>
        <v/>
      </c>
      <c r="K97" s="96">
        <f>IF(B97&lt;&gt;"",1,0)</f>
        <v>0</v>
      </c>
      <c r="L97" s="96" t="str">
        <f>IF(K97=1,COUNTIF($K$6:K97,1),"")</f>
        <v/>
      </c>
      <c r="M97" s="96" t="str">
        <f>IF(K97=0,"",SUMIFS('ITENS_MTR'!$I$6:$I$1005,'ITENS_MTR'!$C$6:$C$1005,B97,'ITENS_MTR'!$AP$6:$AP$1005,1,'ITENS_MTR'!$Y$6:$Y$1005,1))</f>
        <v/>
      </c>
      <c r="N97" s="96" t="str">
        <f>IF(N(M97)&gt;0,M97+(1000-92)/1000000,"")</f>
        <v/>
      </c>
    </row>
    <row r="98">
      <c r="A98" s="89" t="inlineStr">
        <is>
          <t>RS-093</t>
        </is>
      </c>
      <c r="B98" s="91" t="n"/>
      <c r="C98" s="91" t="n"/>
      <c r="D98" s="91" t="n"/>
      <c r="E98" s="90" t="n"/>
      <c r="F98" s="91" t="n"/>
      <c r="G98" s="91" t="n"/>
      <c r="H98" s="91" t="n"/>
      <c r="I98" s="91" t="n"/>
      <c r="J98" s="94" t="str">
        <f>IF(B98="",IF(COUNTA(C98:I98)&gt;0,"Informe o nome interno",""),IF(SUMPRODUCT(--($B$6:$B$205=B98))&gt;1,"Nome repetido","OK"))</f>
        <v/>
      </c>
      <c r="K98" s="96">
        <f>IF(B98&lt;&gt;"",1,0)</f>
        <v>0</v>
      </c>
      <c r="L98" s="96" t="str">
        <f>IF(K98=1,COUNTIF($K$6:K98,1),"")</f>
        <v/>
      </c>
      <c r="M98" s="96" t="str">
        <f>IF(K98=0,"",SUMIFS('ITENS_MTR'!$I$6:$I$1005,'ITENS_MTR'!$C$6:$C$1005,B98,'ITENS_MTR'!$AP$6:$AP$1005,1,'ITENS_MTR'!$Y$6:$Y$1005,1))</f>
        <v/>
      </c>
      <c r="N98" s="96" t="str">
        <f>IF(N(M98)&gt;0,M98+(1000-93)/1000000,"")</f>
        <v/>
      </c>
    </row>
    <row r="99">
      <c r="A99" s="89" t="inlineStr">
        <is>
          <t>RS-094</t>
        </is>
      </c>
      <c r="B99" s="91" t="n"/>
      <c r="C99" s="91" t="n"/>
      <c r="D99" s="91" t="n"/>
      <c r="E99" s="90" t="n"/>
      <c r="F99" s="91" t="n"/>
      <c r="G99" s="91" t="n"/>
      <c r="H99" s="91" t="n"/>
      <c r="I99" s="91" t="n"/>
      <c r="J99" s="94" t="str">
        <f>IF(B99="",IF(COUNTA(C99:I99)&gt;0,"Informe o nome interno",""),IF(SUMPRODUCT(--($B$6:$B$205=B99))&gt;1,"Nome repetido","OK"))</f>
        <v/>
      </c>
      <c r="K99" s="96">
        <f>IF(B99&lt;&gt;"",1,0)</f>
        <v>0</v>
      </c>
      <c r="L99" s="96" t="str">
        <f>IF(K99=1,COUNTIF($K$6:K99,1),"")</f>
        <v/>
      </c>
      <c r="M99" s="96" t="str">
        <f>IF(K99=0,"",SUMIFS('ITENS_MTR'!$I$6:$I$1005,'ITENS_MTR'!$C$6:$C$1005,B99,'ITENS_MTR'!$AP$6:$AP$1005,1,'ITENS_MTR'!$Y$6:$Y$1005,1))</f>
        <v/>
      </c>
      <c r="N99" s="96" t="str">
        <f>IF(N(M99)&gt;0,M99+(1000-94)/1000000,"")</f>
        <v/>
      </c>
    </row>
    <row r="100">
      <c r="A100" s="89" t="inlineStr">
        <is>
          <t>RS-095</t>
        </is>
      </c>
      <c r="B100" s="91" t="n"/>
      <c r="C100" s="91" t="n"/>
      <c r="D100" s="91" t="n"/>
      <c r="E100" s="90" t="n"/>
      <c r="F100" s="91" t="n"/>
      <c r="G100" s="91" t="n"/>
      <c r="H100" s="91" t="n"/>
      <c r="I100" s="91" t="n"/>
      <c r="J100" s="94" t="str">
        <f>IF(B100="",IF(COUNTA(C100:I100)&gt;0,"Informe o nome interno",""),IF(SUMPRODUCT(--($B$6:$B$205=B100))&gt;1,"Nome repetido","OK"))</f>
        <v/>
      </c>
      <c r="K100" s="96">
        <f>IF(B100&lt;&gt;"",1,0)</f>
        <v>0</v>
      </c>
      <c r="L100" s="96" t="str">
        <f>IF(K100=1,COUNTIF($K$6:K100,1),"")</f>
        <v/>
      </c>
      <c r="M100" s="96" t="str">
        <f>IF(K100=0,"",SUMIFS('ITENS_MTR'!$I$6:$I$1005,'ITENS_MTR'!$C$6:$C$1005,B100,'ITENS_MTR'!$AP$6:$AP$1005,1,'ITENS_MTR'!$Y$6:$Y$1005,1))</f>
        <v/>
      </c>
      <c r="N100" s="96" t="str">
        <f>IF(N(M100)&gt;0,M100+(1000-95)/1000000,"")</f>
        <v/>
      </c>
    </row>
    <row r="101">
      <c r="A101" s="89" t="inlineStr">
        <is>
          <t>RS-096</t>
        </is>
      </c>
      <c r="B101" s="91" t="n"/>
      <c r="C101" s="91" t="n"/>
      <c r="D101" s="91" t="n"/>
      <c r="E101" s="90" t="n"/>
      <c r="F101" s="91" t="n"/>
      <c r="G101" s="91" t="n"/>
      <c r="H101" s="91" t="n"/>
      <c r="I101" s="91" t="n"/>
      <c r="J101" s="94" t="str">
        <f>IF(B101="",IF(COUNTA(C101:I101)&gt;0,"Informe o nome interno",""),IF(SUMPRODUCT(--($B$6:$B$205=B101))&gt;1,"Nome repetido","OK"))</f>
        <v/>
      </c>
      <c r="K101" s="96">
        <f>IF(B101&lt;&gt;"",1,0)</f>
        <v>0</v>
      </c>
      <c r="L101" s="96" t="str">
        <f>IF(K101=1,COUNTIF($K$6:K101,1),"")</f>
        <v/>
      </c>
      <c r="M101" s="96" t="str">
        <f>IF(K101=0,"",SUMIFS('ITENS_MTR'!$I$6:$I$1005,'ITENS_MTR'!$C$6:$C$1005,B101,'ITENS_MTR'!$AP$6:$AP$1005,1,'ITENS_MTR'!$Y$6:$Y$1005,1))</f>
        <v/>
      </c>
      <c r="N101" s="96" t="str">
        <f>IF(N(M101)&gt;0,M101+(1000-96)/1000000,"")</f>
        <v/>
      </c>
    </row>
    <row r="102">
      <c r="A102" s="89" t="inlineStr">
        <is>
          <t>RS-097</t>
        </is>
      </c>
      <c r="B102" s="91" t="n"/>
      <c r="C102" s="91" t="n"/>
      <c r="D102" s="91" t="n"/>
      <c r="E102" s="90" t="n"/>
      <c r="F102" s="91" t="n"/>
      <c r="G102" s="91" t="n"/>
      <c r="H102" s="91" t="n"/>
      <c r="I102" s="91" t="n"/>
      <c r="J102" s="94" t="str">
        <f>IF(B102="",IF(COUNTA(C102:I102)&gt;0,"Informe o nome interno",""),IF(SUMPRODUCT(--($B$6:$B$205=B102))&gt;1,"Nome repetido","OK"))</f>
        <v/>
      </c>
      <c r="K102" s="96">
        <f>IF(B102&lt;&gt;"",1,0)</f>
        <v>0</v>
      </c>
      <c r="L102" s="96" t="str">
        <f>IF(K102=1,COUNTIF($K$6:K102,1),"")</f>
        <v/>
      </c>
      <c r="M102" s="96" t="str">
        <f>IF(K102=0,"",SUMIFS('ITENS_MTR'!$I$6:$I$1005,'ITENS_MTR'!$C$6:$C$1005,B102,'ITENS_MTR'!$AP$6:$AP$1005,1,'ITENS_MTR'!$Y$6:$Y$1005,1))</f>
        <v/>
      </c>
      <c r="N102" s="96" t="str">
        <f>IF(N(M102)&gt;0,M102+(1000-97)/1000000,"")</f>
        <v/>
      </c>
    </row>
    <row r="103">
      <c r="A103" s="89" t="inlineStr">
        <is>
          <t>RS-098</t>
        </is>
      </c>
      <c r="B103" s="91" t="n"/>
      <c r="C103" s="91" t="n"/>
      <c r="D103" s="91" t="n"/>
      <c r="E103" s="90" t="n"/>
      <c r="F103" s="91" t="n"/>
      <c r="G103" s="91" t="n"/>
      <c r="H103" s="91" t="n"/>
      <c r="I103" s="91" t="n"/>
      <c r="J103" s="94" t="str">
        <f>IF(B103="",IF(COUNTA(C103:I103)&gt;0,"Informe o nome interno",""),IF(SUMPRODUCT(--($B$6:$B$205=B103))&gt;1,"Nome repetido","OK"))</f>
        <v/>
      </c>
      <c r="K103" s="96">
        <f>IF(B103&lt;&gt;"",1,0)</f>
        <v>0</v>
      </c>
      <c r="L103" s="96" t="str">
        <f>IF(K103=1,COUNTIF($K$6:K103,1),"")</f>
        <v/>
      </c>
      <c r="M103" s="96" t="str">
        <f>IF(K103=0,"",SUMIFS('ITENS_MTR'!$I$6:$I$1005,'ITENS_MTR'!$C$6:$C$1005,B103,'ITENS_MTR'!$AP$6:$AP$1005,1,'ITENS_MTR'!$Y$6:$Y$1005,1))</f>
        <v/>
      </c>
      <c r="N103" s="96" t="str">
        <f>IF(N(M103)&gt;0,M103+(1000-98)/1000000,"")</f>
        <v/>
      </c>
    </row>
    <row r="104">
      <c r="A104" s="89" t="inlineStr">
        <is>
          <t>RS-099</t>
        </is>
      </c>
      <c r="B104" s="91" t="n"/>
      <c r="C104" s="91" t="n"/>
      <c r="D104" s="91" t="n"/>
      <c r="E104" s="90" t="n"/>
      <c r="F104" s="91" t="n"/>
      <c r="G104" s="91" t="n"/>
      <c r="H104" s="91" t="n"/>
      <c r="I104" s="91" t="n"/>
      <c r="J104" s="94" t="str">
        <f>IF(B104="",IF(COUNTA(C104:I104)&gt;0,"Informe o nome interno",""),IF(SUMPRODUCT(--($B$6:$B$205=B104))&gt;1,"Nome repetido","OK"))</f>
        <v/>
      </c>
      <c r="K104" s="96">
        <f>IF(B104&lt;&gt;"",1,0)</f>
        <v>0</v>
      </c>
      <c r="L104" s="96" t="str">
        <f>IF(K104=1,COUNTIF($K$6:K104,1),"")</f>
        <v/>
      </c>
      <c r="M104" s="96" t="str">
        <f>IF(K104=0,"",SUMIFS('ITENS_MTR'!$I$6:$I$1005,'ITENS_MTR'!$C$6:$C$1005,B104,'ITENS_MTR'!$AP$6:$AP$1005,1,'ITENS_MTR'!$Y$6:$Y$1005,1))</f>
        <v/>
      </c>
      <c r="N104" s="96" t="str">
        <f>IF(N(M104)&gt;0,M104+(1000-99)/1000000,"")</f>
        <v/>
      </c>
    </row>
    <row r="105">
      <c r="A105" s="89" t="inlineStr">
        <is>
          <t>RS-100</t>
        </is>
      </c>
      <c r="B105" s="91" t="n"/>
      <c r="C105" s="91" t="n"/>
      <c r="D105" s="91" t="n"/>
      <c r="E105" s="90" t="n"/>
      <c r="F105" s="91" t="n"/>
      <c r="G105" s="91" t="n"/>
      <c r="H105" s="91" t="n"/>
      <c r="I105" s="91" t="n"/>
      <c r="J105" s="94" t="str">
        <f>IF(B105="",IF(COUNTA(C105:I105)&gt;0,"Informe o nome interno",""),IF(SUMPRODUCT(--($B$6:$B$205=B105))&gt;1,"Nome repetido","OK"))</f>
        <v/>
      </c>
      <c r="K105" s="96">
        <f>IF(B105&lt;&gt;"",1,0)</f>
        <v>0</v>
      </c>
      <c r="L105" s="96" t="str">
        <f>IF(K105=1,COUNTIF($K$6:K105,1),"")</f>
        <v/>
      </c>
      <c r="M105" s="96" t="str">
        <f>IF(K105=0,"",SUMIFS('ITENS_MTR'!$I$6:$I$1005,'ITENS_MTR'!$C$6:$C$1005,B105,'ITENS_MTR'!$AP$6:$AP$1005,1,'ITENS_MTR'!$Y$6:$Y$1005,1))</f>
        <v/>
      </c>
      <c r="N105" s="96" t="str">
        <f>IF(N(M105)&gt;0,M105+(1000-100)/1000000,"")</f>
        <v/>
      </c>
    </row>
    <row r="106">
      <c r="A106" s="89" t="inlineStr">
        <is>
          <t>RS-101</t>
        </is>
      </c>
      <c r="B106" s="91" t="n"/>
      <c r="C106" s="91" t="n"/>
      <c r="D106" s="91" t="n"/>
      <c r="E106" s="90" t="n"/>
      <c r="F106" s="91" t="n"/>
      <c r="G106" s="91" t="n"/>
      <c r="H106" s="91" t="n"/>
      <c r="I106" s="91" t="n"/>
      <c r="J106" s="94" t="str">
        <f>IF(B106="",IF(COUNTA(C106:I106)&gt;0,"Informe o nome interno",""),IF(SUMPRODUCT(--($B$6:$B$205=B106))&gt;1,"Nome repetido","OK"))</f>
        <v/>
      </c>
      <c r="K106" s="96">
        <f>IF(B106&lt;&gt;"",1,0)</f>
        <v>0</v>
      </c>
      <c r="L106" s="96" t="str">
        <f>IF(K106=1,COUNTIF($K$6:K106,1),"")</f>
        <v/>
      </c>
      <c r="M106" s="96" t="str">
        <f>IF(K106=0,"",SUMIFS('ITENS_MTR'!$I$6:$I$1005,'ITENS_MTR'!$C$6:$C$1005,B106,'ITENS_MTR'!$AP$6:$AP$1005,1,'ITENS_MTR'!$Y$6:$Y$1005,1))</f>
        <v/>
      </c>
      <c r="N106" s="96" t="str">
        <f>IF(N(M106)&gt;0,M106+(1000-101)/1000000,"")</f>
        <v/>
      </c>
    </row>
    <row r="107">
      <c r="A107" s="89" t="inlineStr">
        <is>
          <t>RS-102</t>
        </is>
      </c>
      <c r="B107" s="91" t="n"/>
      <c r="C107" s="91" t="n"/>
      <c r="D107" s="91" t="n"/>
      <c r="E107" s="90" t="n"/>
      <c r="F107" s="91" t="n"/>
      <c r="G107" s="91" t="n"/>
      <c r="H107" s="91" t="n"/>
      <c r="I107" s="91" t="n"/>
      <c r="J107" s="94" t="str">
        <f>IF(B107="",IF(COUNTA(C107:I107)&gt;0,"Informe o nome interno",""),IF(SUMPRODUCT(--($B$6:$B$205=B107))&gt;1,"Nome repetido","OK"))</f>
        <v/>
      </c>
      <c r="K107" s="96">
        <f>IF(B107&lt;&gt;"",1,0)</f>
        <v>0</v>
      </c>
      <c r="L107" s="96" t="str">
        <f>IF(K107=1,COUNTIF($K$6:K107,1),"")</f>
        <v/>
      </c>
      <c r="M107" s="96" t="str">
        <f>IF(K107=0,"",SUMIFS('ITENS_MTR'!$I$6:$I$1005,'ITENS_MTR'!$C$6:$C$1005,B107,'ITENS_MTR'!$AP$6:$AP$1005,1,'ITENS_MTR'!$Y$6:$Y$1005,1))</f>
        <v/>
      </c>
      <c r="N107" s="96" t="str">
        <f>IF(N(M107)&gt;0,M107+(1000-102)/1000000,"")</f>
        <v/>
      </c>
    </row>
    <row r="108">
      <c r="A108" s="89" t="inlineStr">
        <is>
          <t>RS-103</t>
        </is>
      </c>
      <c r="B108" s="91" t="n"/>
      <c r="C108" s="91" t="n"/>
      <c r="D108" s="91" t="n"/>
      <c r="E108" s="90" t="n"/>
      <c r="F108" s="91" t="n"/>
      <c r="G108" s="91" t="n"/>
      <c r="H108" s="91" t="n"/>
      <c r="I108" s="91" t="n"/>
      <c r="J108" s="94" t="str">
        <f>IF(B108="",IF(COUNTA(C108:I108)&gt;0,"Informe o nome interno",""),IF(SUMPRODUCT(--($B$6:$B$205=B108))&gt;1,"Nome repetido","OK"))</f>
        <v/>
      </c>
      <c r="K108" s="96">
        <f>IF(B108&lt;&gt;"",1,0)</f>
        <v>0</v>
      </c>
      <c r="L108" s="96" t="str">
        <f>IF(K108=1,COUNTIF($K$6:K108,1),"")</f>
        <v/>
      </c>
      <c r="M108" s="96" t="str">
        <f>IF(K108=0,"",SUMIFS('ITENS_MTR'!$I$6:$I$1005,'ITENS_MTR'!$C$6:$C$1005,B108,'ITENS_MTR'!$AP$6:$AP$1005,1,'ITENS_MTR'!$Y$6:$Y$1005,1))</f>
        <v/>
      </c>
      <c r="N108" s="96" t="str">
        <f>IF(N(M108)&gt;0,M108+(1000-103)/1000000,"")</f>
        <v/>
      </c>
    </row>
    <row r="109">
      <c r="A109" s="89" t="inlineStr">
        <is>
          <t>RS-104</t>
        </is>
      </c>
      <c r="B109" s="91" t="n"/>
      <c r="C109" s="91" t="n"/>
      <c r="D109" s="91" t="n"/>
      <c r="E109" s="90" t="n"/>
      <c r="F109" s="91" t="n"/>
      <c r="G109" s="91" t="n"/>
      <c r="H109" s="91" t="n"/>
      <c r="I109" s="91" t="n"/>
      <c r="J109" s="94" t="str">
        <f>IF(B109="",IF(COUNTA(C109:I109)&gt;0,"Informe o nome interno",""),IF(SUMPRODUCT(--($B$6:$B$205=B109))&gt;1,"Nome repetido","OK"))</f>
        <v/>
      </c>
      <c r="K109" s="96">
        <f>IF(B109&lt;&gt;"",1,0)</f>
        <v>0</v>
      </c>
      <c r="L109" s="96" t="str">
        <f>IF(K109=1,COUNTIF($K$6:K109,1),"")</f>
        <v/>
      </c>
      <c r="M109" s="96" t="str">
        <f>IF(K109=0,"",SUMIFS('ITENS_MTR'!$I$6:$I$1005,'ITENS_MTR'!$C$6:$C$1005,B109,'ITENS_MTR'!$AP$6:$AP$1005,1,'ITENS_MTR'!$Y$6:$Y$1005,1))</f>
        <v/>
      </c>
      <c r="N109" s="96" t="str">
        <f>IF(N(M109)&gt;0,M109+(1000-104)/1000000,"")</f>
        <v/>
      </c>
    </row>
    <row r="110">
      <c r="A110" s="89" t="inlineStr">
        <is>
          <t>RS-105</t>
        </is>
      </c>
      <c r="B110" s="91" t="n"/>
      <c r="C110" s="91" t="n"/>
      <c r="D110" s="91" t="n"/>
      <c r="E110" s="90" t="n"/>
      <c r="F110" s="91" t="n"/>
      <c r="G110" s="91" t="n"/>
      <c r="H110" s="91" t="n"/>
      <c r="I110" s="91" t="n"/>
      <c r="J110" s="94" t="str">
        <f>IF(B110="",IF(COUNTA(C110:I110)&gt;0,"Informe o nome interno",""),IF(SUMPRODUCT(--($B$6:$B$205=B110))&gt;1,"Nome repetido","OK"))</f>
        <v/>
      </c>
      <c r="K110" s="96">
        <f>IF(B110&lt;&gt;"",1,0)</f>
        <v>0</v>
      </c>
      <c r="L110" s="96" t="str">
        <f>IF(K110=1,COUNTIF($K$6:K110,1),"")</f>
        <v/>
      </c>
      <c r="M110" s="96" t="str">
        <f>IF(K110=0,"",SUMIFS('ITENS_MTR'!$I$6:$I$1005,'ITENS_MTR'!$C$6:$C$1005,B110,'ITENS_MTR'!$AP$6:$AP$1005,1,'ITENS_MTR'!$Y$6:$Y$1005,1))</f>
        <v/>
      </c>
      <c r="N110" s="96" t="str">
        <f>IF(N(M110)&gt;0,M110+(1000-105)/1000000,"")</f>
        <v/>
      </c>
    </row>
    <row r="111">
      <c r="A111" s="89" t="inlineStr">
        <is>
          <t>RS-106</t>
        </is>
      </c>
      <c r="B111" s="91" t="n"/>
      <c r="C111" s="91" t="n"/>
      <c r="D111" s="91" t="n"/>
      <c r="E111" s="90" t="n"/>
      <c r="F111" s="91" t="n"/>
      <c r="G111" s="91" t="n"/>
      <c r="H111" s="91" t="n"/>
      <c r="I111" s="91" t="n"/>
      <c r="J111" s="94" t="str">
        <f>IF(B111="",IF(COUNTA(C111:I111)&gt;0,"Informe o nome interno",""),IF(SUMPRODUCT(--($B$6:$B$205=B111))&gt;1,"Nome repetido","OK"))</f>
        <v/>
      </c>
      <c r="K111" s="96">
        <f>IF(B111&lt;&gt;"",1,0)</f>
        <v>0</v>
      </c>
      <c r="L111" s="96" t="str">
        <f>IF(K111=1,COUNTIF($K$6:K111,1),"")</f>
        <v/>
      </c>
      <c r="M111" s="96" t="str">
        <f>IF(K111=0,"",SUMIFS('ITENS_MTR'!$I$6:$I$1005,'ITENS_MTR'!$C$6:$C$1005,B111,'ITENS_MTR'!$AP$6:$AP$1005,1,'ITENS_MTR'!$Y$6:$Y$1005,1))</f>
        <v/>
      </c>
      <c r="N111" s="96" t="str">
        <f>IF(N(M111)&gt;0,M111+(1000-106)/1000000,"")</f>
        <v/>
      </c>
    </row>
    <row r="112">
      <c r="A112" s="89" t="inlineStr">
        <is>
          <t>RS-107</t>
        </is>
      </c>
      <c r="B112" s="91" t="n"/>
      <c r="C112" s="91" t="n"/>
      <c r="D112" s="91" t="n"/>
      <c r="E112" s="90" t="n"/>
      <c r="F112" s="91" t="n"/>
      <c r="G112" s="91" t="n"/>
      <c r="H112" s="91" t="n"/>
      <c r="I112" s="91" t="n"/>
      <c r="J112" s="94" t="str">
        <f>IF(B112="",IF(COUNTA(C112:I112)&gt;0,"Informe o nome interno",""),IF(SUMPRODUCT(--($B$6:$B$205=B112))&gt;1,"Nome repetido","OK"))</f>
        <v/>
      </c>
      <c r="K112" s="96">
        <f>IF(B112&lt;&gt;"",1,0)</f>
        <v>0</v>
      </c>
      <c r="L112" s="96" t="str">
        <f>IF(K112=1,COUNTIF($K$6:K112,1),"")</f>
        <v/>
      </c>
      <c r="M112" s="96" t="str">
        <f>IF(K112=0,"",SUMIFS('ITENS_MTR'!$I$6:$I$1005,'ITENS_MTR'!$C$6:$C$1005,B112,'ITENS_MTR'!$AP$6:$AP$1005,1,'ITENS_MTR'!$Y$6:$Y$1005,1))</f>
        <v/>
      </c>
      <c r="N112" s="96" t="str">
        <f>IF(N(M112)&gt;0,M112+(1000-107)/1000000,"")</f>
        <v/>
      </c>
    </row>
    <row r="113">
      <c r="A113" s="89" t="inlineStr">
        <is>
          <t>RS-108</t>
        </is>
      </c>
      <c r="B113" s="91" t="n"/>
      <c r="C113" s="91" t="n"/>
      <c r="D113" s="91" t="n"/>
      <c r="E113" s="90" t="n"/>
      <c r="F113" s="91" t="n"/>
      <c r="G113" s="91" t="n"/>
      <c r="H113" s="91" t="n"/>
      <c r="I113" s="91" t="n"/>
      <c r="J113" s="94" t="str">
        <f>IF(B113="",IF(COUNTA(C113:I113)&gt;0,"Informe o nome interno",""),IF(SUMPRODUCT(--($B$6:$B$205=B113))&gt;1,"Nome repetido","OK"))</f>
        <v/>
      </c>
      <c r="K113" s="96">
        <f>IF(B113&lt;&gt;"",1,0)</f>
        <v>0</v>
      </c>
      <c r="L113" s="96" t="str">
        <f>IF(K113=1,COUNTIF($K$6:K113,1),"")</f>
        <v/>
      </c>
      <c r="M113" s="96" t="str">
        <f>IF(K113=0,"",SUMIFS('ITENS_MTR'!$I$6:$I$1005,'ITENS_MTR'!$C$6:$C$1005,B113,'ITENS_MTR'!$AP$6:$AP$1005,1,'ITENS_MTR'!$Y$6:$Y$1005,1))</f>
        <v/>
      </c>
      <c r="N113" s="96" t="str">
        <f>IF(N(M113)&gt;0,M113+(1000-108)/1000000,"")</f>
        <v/>
      </c>
    </row>
    <row r="114">
      <c r="A114" s="89" t="inlineStr">
        <is>
          <t>RS-109</t>
        </is>
      </c>
      <c r="B114" s="91" t="n"/>
      <c r="C114" s="91" t="n"/>
      <c r="D114" s="91" t="n"/>
      <c r="E114" s="90" t="n"/>
      <c r="F114" s="91" t="n"/>
      <c r="G114" s="91" t="n"/>
      <c r="H114" s="91" t="n"/>
      <c r="I114" s="91" t="n"/>
      <c r="J114" s="94" t="str">
        <f>IF(B114="",IF(COUNTA(C114:I114)&gt;0,"Informe o nome interno",""),IF(SUMPRODUCT(--($B$6:$B$205=B114))&gt;1,"Nome repetido","OK"))</f>
        <v/>
      </c>
      <c r="K114" s="96">
        <f>IF(B114&lt;&gt;"",1,0)</f>
        <v>0</v>
      </c>
      <c r="L114" s="96" t="str">
        <f>IF(K114=1,COUNTIF($K$6:K114,1),"")</f>
        <v/>
      </c>
      <c r="M114" s="96" t="str">
        <f>IF(K114=0,"",SUMIFS('ITENS_MTR'!$I$6:$I$1005,'ITENS_MTR'!$C$6:$C$1005,B114,'ITENS_MTR'!$AP$6:$AP$1005,1,'ITENS_MTR'!$Y$6:$Y$1005,1))</f>
        <v/>
      </c>
      <c r="N114" s="96" t="str">
        <f>IF(N(M114)&gt;0,M114+(1000-109)/1000000,"")</f>
        <v/>
      </c>
    </row>
    <row r="115">
      <c r="A115" s="89" t="inlineStr">
        <is>
          <t>RS-110</t>
        </is>
      </c>
      <c r="B115" s="91" t="n"/>
      <c r="C115" s="91" t="n"/>
      <c r="D115" s="91" t="n"/>
      <c r="E115" s="90" t="n"/>
      <c r="F115" s="91" t="n"/>
      <c r="G115" s="91" t="n"/>
      <c r="H115" s="91" t="n"/>
      <c r="I115" s="91" t="n"/>
      <c r="J115" s="94" t="str">
        <f>IF(B115="",IF(COUNTA(C115:I115)&gt;0,"Informe o nome interno",""),IF(SUMPRODUCT(--($B$6:$B$205=B115))&gt;1,"Nome repetido","OK"))</f>
        <v/>
      </c>
      <c r="K115" s="96">
        <f>IF(B115&lt;&gt;"",1,0)</f>
        <v>0</v>
      </c>
      <c r="L115" s="96" t="str">
        <f>IF(K115=1,COUNTIF($K$6:K115,1),"")</f>
        <v/>
      </c>
      <c r="M115" s="96" t="str">
        <f>IF(K115=0,"",SUMIFS('ITENS_MTR'!$I$6:$I$1005,'ITENS_MTR'!$C$6:$C$1005,B115,'ITENS_MTR'!$AP$6:$AP$1005,1,'ITENS_MTR'!$Y$6:$Y$1005,1))</f>
        <v/>
      </c>
      <c r="N115" s="96" t="str">
        <f>IF(N(M115)&gt;0,M115+(1000-110)/1000000,"")</f>
        <v/>
      </c>
    </row>
    <row r="116">
      <c r="A116" s="89" t="inlineStr">
        <is>
          <t>RS-111</t>
        </is>
      </c>
      <c r="B116" s="91" t="n"/>
      <c r="C116" s="91" t="n"/>
      <c r="D116" s="91" t="n"/>
      <c r="E116" s="90" t="n"/>
      <c r="F116" s="91" t="n"/>
      <c r="G116" s="91" t="n"/>
      <c r="H116" s="91" t="n"/>
      <c r="I116" s="91" t="n"/>
      <c r="J116" s="94" t="str">
        <f>IF(B116="",IF(COUNTA(C116:I116)&gt;0,"Informe o nome interno",""),IF(SUMPRODUCT(--($B$6:$B$205=B116))&gt;1,"Nome repetido","OK"))</f>
        <v/>
      </c>
      <c r="K116" s="96">
        <f>IF(B116&lt;&gt;"",1,0)</f>
        <v>0</v>
      </c>
      <c r="L116" s="96" t="str">
        <f>IF(K116=1,COUNTIF($K$6:K116,1),"")</f>
        <v/>
      </c>
      <c r="M116" s="96" t="str">
        <f>IF(K116=0,"",SUMIFS('ITENS_MTR'!$I$6:$I$1005,'ITENS_MTR'!$C$6:$C$1005,B116,'ITENS_MTR'!$AP$6:$AP$1005,1,'ITENS_MTR'!$Y$6:$Y$1005,1))</f>
        <v/>
      </c>
      <c r="N116" s="96" t="str">
        <f>IF(N(M116)&gt;0,M116+(1000-111)/1000000,"")</f>
        <v/>
      </c>
    </row>
    <row r="117">
      <c r="A117" s="89" t="inlineStr">
        <is>
          <t>RS-112</t>
        </is>
      </c>
      <c r="B117" s="91" t="n"/>
      <c r="C117" s="91" t="n"/>
      <c r="D117" s="91" t="n"/>
      <c r="E117" s="90" t="n"/>
      <c r="F117" s="91" t="n"/>
      <c r="G117" s="91" t="n"/>
      <c r="H117" s="91" t="n"/>
      <c r="I117" s="91" t="n"/>
      <c r="J117" s="94" t="str">
        <f>IF(B117="",IF(COUNTA(C117:I117)&gt;0,"Informe o nome interno",""),IF(SUMPRODUCT(--($B$6:$B$205=B117))&gt;1,"Nome repetido","OK"))</f>
        <v/>
      </c>
      <c r="K117" s="96">
        <f>IF(B117&lt;&gt;"",1,0)</f>
        <v>0</v>
      </c>
      <c r="L117" s="96" t="str">
        <f>IF(K117=1,COUNTIF($K$6:K117,1),"")</f>
        <v/>
      </c>
      <c r="M117" s="96" t="str">
        <f>IF(K117=0,"",SUMIFS('ITENS_MTR'!$I$6:$I$1005,'ITENS_MTR'!$C$6:$C$1005,B117,'ITENS_MTR'!$AP$6:$AP$1005,1,'ITENS_MTR'!$Y$6:$Y$1005,1))</f>
        <v/>
      </c>
      <c r="N117" s="96" t="str">
        <f>IF(N(M117)&gt;0,M117+(1000-112)/1000000,"")</f>
        <v/>
      </c>
    </row>
    <row r="118">
      <c r="A118" s="89" t="inlineStr">
        <is>
          <t>RS-113</t>
        </is>
      </c>
      <c r="B118" s="91" t="n"/>
      <c r="C118" s="91" t="n"/>
      <c r="D118" s="91" t="n"/>
      <c r="E118" s="90" t="n"/>
      <c r="F118" s="91" t="n"/>
      <c r="G118" s="91" t="n"/>
      <c r="H118" s="91" t="n"/>
      <c r="I118" s="91" t="n"/>
      <c r="J118" s="94" t="str">
        <f>IF(B118="",IF(COUNTA(C118:I118)&gt;0,"Informe o nome interno",""),IF(SUMPRODUCT(--($B$6:$B$205=B118))&gt;1,"Nome repetido","OK"))</f>
        <v/>
      </c>
      <c r="K118" s="96">
        <f>IF(B118&lt;&gt;"",1,0)</f>
        <v>0</v>
      </c>
      <c r="L118" s="96" t="str">
        <f>IF(K118=1,COUNTIF($K$6:K118,1),"")</f>
        <v/>
      </c>
      <c r="M118" s="96" t="str">
        <f>IF(K118=0,"",SUMIFS('ITENS_MTR'!$I$6:$I$1005,'ITENS_MTR'!$C$6:$C$1005,B118,'ITENS_MTR'!$AP$6:$AP$1005,1,'ITENS_MTR'!$Y$6:$Y$1005,1))</f>
        <v/>
      </c>
      <c r="N118" s="96" t="str">
        <f>IF(N(M118)&gt;0,M118+(1000-113)/1000000,"")</f>
        <v/>
      </c>
    </row>
    <row r="119">
      <c r="A119" s="89" t="inlineStr">
        <is>
          <t>RS-114</t>
        </is>
      </c>
      <c r="B119" s="91" t="n"/>
      <c r="C119" s="91" t="n"/>
      <c r="D119" s="91" t="n"/>
      <c r="E119" s="90" t="n"/>
      <c r="F119" s="91" t="n"/>
      <c r="G119" s="91" t="n"/>
      <c r="H119" s="91" t="n"/>
      <c r="I119" s="91" t="n"/>
      <c r="J119" s="94" t="str">
        <f>IF(B119="",IF(COUNTA(C119:I119)&gt;0,"Informe o nome interno",""),IF(SUMPRODUCT(--($B$6:$B$205=B119))&gt;1,"Nome repetido","OK"))</f>
        <v/>
      </c>
      <c r="K119" s="96">
        <f>IF(B119&lt;&gt;"",1,0)</f>
        <v>0</v>
      </c>
      <c r="L119" s="96" t="str">
        <f>IF(K119=1,COUNTIF($K$6:K119,1),"")</f>
        <v/>
      </c>
      <c r="M119" s="96" t="str">
        <f>IF(K119=0,"",SUMIFS('ITENS_MTR'!$I$6:$I$1005,'ITENS_MTR'!$C$6:$C$1005,B119,'ITENS_MTR'!$AP$6:$AP$1005,1,'ITENS_MTR'!$Y$6:$Y$1005,1))</f>
        <v/>
      </c>
      <c r="N119" s="96" t="str">
        <f>IF(N(M119)&gt;0,M119+(1000-114)/1000000,"")</f>
        <v/>
      </c>
    </row>
    <row r="120">
      <c r="A120" s="89" t="inlineStr">
        <is>
          <t>RS-115</t>
        </is>
      </c>
      <c r="B120" s="91" t="n"/>
      <c r="C120" s="91" t="n"/>
      <c r="D120" s="91" t="n"/>
      <c r="E120" s="90" t="n"/>
      <c r="F120" s="91" t="n"/>
      <c r="G120" s="91" t="n"/>
      <c r="H120" s="91" t="n"/>
      <c r="I120" s="91" t="n"/>
      <c r="J120" s="94" t="str">
        <f>IF(B120="",IF(COUNTA(C120:I120)&gt;0,"Informe o nome interno",""),IF(SUMPRODUCT(--($B$6:$B$205=B120))&gt;1,"Nome repetido","OK"))</f>
        <v/>
      </c>
      <c r="K120" s="96">
        <f>IF(B120&lt;&gt;"",1,0)</f>
        <v>0</v>
      </c>
      <c r="L120" s="96" t="str">
        <f>IF(K120=1,COUNTIF($K$6:K120,1),"")</f>
        <v/>
      </c>
      <c r="M120" s="96" t="str">
        <f>IF(K120=0,"",SUMIFS('ITENS_MTR'!$I$6:$I$1005,'ITENS_MTR'!$C$6:$C$1005,B120,'ITENS_MTR'!$AP$6:$AP$1005,1,'ITENS_MTR'!$Y$6:$Y$1005,1))</f>
        <v/>
      </c>
      <c r="N120" s="96" t="str">
        <f>IF(N(M120)&gt;0,M120+(1000-115)/1000000,"")</f>
        <v/>
      </c>
    </row>
    <row r="121">
      <c r="A121" s="89" t="inlineStr">
        <is>
          <t>RS-116</t>
        </is>
      </c>
      <c r="B121" s="91" t="n"/>
      <c r="C121" s="91" t="n"/>
      <c r="D121" s="91" t="n"/>
      <c r="E121" s="90" t="n"/>
      <c r="F121" s="91" t="n"/>
      <c r="G121" s="91" t="n"/>
      <c r="H121" s="91" t="n"/>
      <c r="I121" s="91" t="n"/>
      <c r="J121" s="94" t="str">
        <f>IF(B121="",IF(COUNTA(C121:I121)&gt;0,"Informe o nome interno",""),IF(SUMPRODUCT(--($B$6:$B$205=B121))&gt;1,"Nome repetido","OK"))</f>
        <v/>
      </c>
      <c r="K121" s="96">
        <f>IF(B121&lt;&gt;"",1,0)</f>
        <v>0</v>
      </c>
      <c r="L121" s="96" t="str">
        <f>IF(K121=1,COUNTIF($K$6:K121,1),"")</f>
        <v/>
      </c>
      <c r="M121" s="96" t="str">
        <f>IF(K121=0,"",SUMIFS('ITENS_MTR'!$I$6:$I$1005,'ITENS_MTR'!$C$6:$C$1005,B121,'ITENS_MTR'!$AP$6:$AP$1005,1,'ITENS_MTR'!$Y$6:$Y$1005,1))</f>
        <v/>
      </c>
      <c r="N121" s="96" t="str">
        <f>IF(N(M121)&gt;0,M121+(1000-116)/1000000,"")</f>
        <v/>
      </c>
    </row>
    <row r="122">
      <c r="A122" s="89" t="inlineStr">
        <is>
          <t>RS-117</t>
        </is>
      </c>
      <c r="B122" s="91" t="n"/>
      <c r="C122" s="91" t="n"/>
      <c r="D122" s="91" t="n"/>
      <c r="E122" s="90" t="n"/>
      <c r="F122" s="91" t="n"/>
      <c r="G122" s="91" t="n"/>
      <c r="H122" s="91" t="n"/>
      <c r="I122" s="91" t="n"/>
      <c r="J122" s="94" t="str">
        <f>IF(B122="",IF(COUNTA(C122:I122)&gt;0,"Informe o nome interno",""),IF(SUMPRODUCT(--($B$6:$B$205=B122))&gt;1,"Nome repetido","OK"))</f>
        <v/>
      </c>
      <c r="K122" s="96">
        <f>IF(B122&lt;&gt;"",1,0)</f>
        <v>0</v>
      </c>
      <c r="L122" s="96" t="str">
        <f>IF(K122=1,COUNTIF($K$6:K122,1),"")</f>
        <v/>
      </c>
      <c r="M122" s="96" t="str">
        <f>IF(K122=0,"",SUMIFS('ITENS_MTR'!$I$6:$I$1005,'ITENS_MTR'!$C$6:$C$1005,B122,'ITENS_MTR'!$AP$6:$AP$1005,1,'ITENS_MTR'!$Y$6:$Y$1005,1))</f>
        <v/>
      </c>
      <c r="N122" s="96" t="str">
        <f>IF(N(M122)&gt;0,M122+(1000-117)/1000000,"")</f>
        <v/>
      </c>
    </row>
    <row r="123">
      <c r="A123" s="89" t="inlineStr">
        <is>
          <t>RS-118</t>
        </is>
      </c>
      <c r="B123" s="91" t="n"/>
      <c r="C123" s="91" t="n"/>
      <c r="D123" s="91" t="n"/>
      <c r="E123" s="90" t="n"/>
      <c r="F123" s="91" t="n"/>
      <c r="G123" s="91" t="n"/>
      <c r="H123" s="91" t="n"/>
      <c r="I123" s="91" t="n"/>
      <c r="J123" s="94" t="str">
        <f>IF(B123="",IF(COUNTA(C123:I123)&gt;0,"Informe o nome interno",""),IF(SUMPRODUCT(--($B$6:$B$205=B123))&gt;1,"Nome repetido","OK"))</f>
        <v/>
      </c>
      <c r="K123" s="96">
        <f>IF(B123&lt;&gt;"",1,0)</f>
        <v>0</v>
      </c>
      <c r="L123" s="96" t="str">
        <f>IF(K123=1,COUNTIF($K$6:K123,1),"")</f>
        <v/>
      </c>
      <c r="M123" s="96" t="str">
        <f>IF(K123=0,"",SUMIFS('ITENS_MTR'!$I$6:$I$1005,'ITENS_MTR'!$C$6:$C$1005,B123,'ITENS_MTR'!$AP$6:$AP$1005,1,'ITENS_MTR'!$Y$6:$Y$1005,1))</f>
        <v/>
      </c>
      <c r="N123" s="96" t="str">
        <f>IF(N(M123)&gt;0,M123+(1000-118)/1000000,"")</f>
        <v/>
      </c>
    </row>
    <row r="124">
      <c r="A124" s="89" t="inlineStr">
        <is>
          <t>RS-119</t>
        </is>
      </c>
      <c r="B124" s="91" t="n"/>
      <c r="C124" s="91" t="n"/>
      <c r="D124" s="91" t="n"/>
      <c r="E124" s="90" t="n"/>
      <c r="F124" s="91" t="n"/>
      <c r="G124" s="91" t="n"/>
      <c r="H124" s="91" t="n"/>
      <c r="I124" s="91" t="n"/>
      <c r="J124" s="94" t="str">
        <f>IF(B124="",IF(COUNTA(C124:I124)&gt;0,"Informe o nome interno",""),IF(SUMPRODUCT(--($B$6:$B$205=B124))&gt;1,"Nome repetido","OK"))</f>
        <v/>
      </c>
      <c r="K124" s="96">
        <f>IF(B124&lt;&gt;"",1,0)</f>
        <v>0</v>
      </c>
      <c r="L124" s="96" t="str">
        <f>IF(K124=1,COUNTIF($K$6:K124,1),"")</f>
        <v/>
      </c>
      <c r="M124" s="96" t="str">
        <f>IF(K124=0,"",SUMIFS('ITENS_MTR'!$I$6:$I$1005,'ITENS_MTR'!$C$6:$C$1005,B124,'ITENS_MTR'!$AP$6:$AP$1005,1,'ITENS_MTR'!$Y$6:$Y$1005,1))</f>
        <v/>
      </c>
      <c r="N124" s="96" t="str">
        <f>IF(N(M124)&gt;0,M124+(1000-119)/1000000,"")</f>
        <v/>
      </c>
    </row>
    <row r="125">
      <c r="A125" s="89" t="inlineStr">
        <is>
          <t>RS-120</t>
        </is>
      </c>
      <c r="B125" s="91" t="n"/>
      <c r="C125" s="91" t="n"/>
      <c r="D125" s="91" t="n"/>
      <c r="E125" s="90" t="n"/>
      <c r="F125" s="91" t="n"/>
      <c r="G125" s="91" t="n"/>
      <c r="H125" s="91" t="n"/>
      <c r="I125" s="91" t="n"/>
      <c r="J125" s="94" t="str">
        <f>IF(B125="",IF(COUNTA(C125:I125)&gt;0,"Informe o nome interno",""),IF(SUMPRODUCT(--($B$6:$B$205=B125))&gt;1,"Nome repetido","OK"))</f>
        <v/>
      </c>
      <c r="K125" s="96">
        <f>IF(B125&lt;&gt;"",1,0)</f>
        <v>0</v>
      </c>
      <c r="L125" s="96" t="str">
        <f>IF(K125=1,COUNTIF($K$6:K125,1),"")</f>
        <v/>
      </c>
      <c r="M125" s="96" t="str">
        <f>IF(K125=0,"",SUMIFS('ITENS_MTR'!$I$6:$I$1005,'ITENS_MTR'!$C$6:$C$1005,B125,'ITENS_MTR'!$AP$6:$AP$1005,1,'ITENS_MTR'!$Y$6:$Y$1005,1))</f>
        <v/>
      </c>
      <c r="N125" s="96" t="str">
        <f>IF(N(M125)&gt;0,M125+(1000-120)/1000000,"")</f>
        <v/>
      </c>
    </row>
    <row r="126">
      <c r="A126" s="89" t="inlineStr">
        <is>
          <t>RS-121</t>
        </is>
      </c>
      <c r="B126" s="91" t="n"/>
      <c r="C126" s="91" t="n"/>
      <c r="D126" s="91" t="n"/>
      <c r="E126" s="90" t="n"/>
      <c r="F126" s="91" t="n"/>
      <c r="G126" s="91" t="n"/>
      <c r="H126" s="91" t="n"/>
      <c r="I126" s="91" t="n"/>
      <c r="J126" s="94" t="str">
        <f>IF(B126="",IF(COUNTA(C126:I126)&gt;0,"Informe o nome interno",""),IF(SUMPRODUCT(--($B$6:$B$205=B126))&gt;1,"Nome repetido","OK"))</f>
        <v/>
      </c>
      <c r="K126" s="96">
        <f>IF(B126&lt;&gt;"",1,0)</f>
        <v>0</v>
      </c>
      <c r="L126" s="96" t="str">
        <f>IF(K126=1,COUNTIF($K$6:K126,1),"")</f>
        <v/>
      </c>
      <c r="M126" s="96" t="str">
        <f>IF(K126=0,"",SUMIFS('ITENS_MTR'!$I$6:$I$1005,'ITENS_MTR'!$C$6:$C$1005,B126,'ITENS_MTR'!$AP$6:$AP$1005,1,'ITENS_MTR'!$Y$6:$Y$1005,1))</f>
        <v/>
      </c>
      <c r="N126" s="96" t="str">
        <f>IF(N(M126)&gt;0,M126+(1000-121)/1000000,"")</f>
        <v/>
      </c>
    </row>
    <row r="127">
      <c r="A127" s="89" t="inlineStr">
        <is>
          <t>RS-122</t>
        </is>
      </c>
      <c r="B127" s="91" t="n"/>
      <c r="C127" s="91" t="n"/>
      <c r="D127" s="91" t="n"/>
      <c r="E127" s="90" t="n"/>
      <c r="F127" s="91" t="n"/>
      <c r="G127" s="91" t="n"/>
      <c r="H127" s="91" t="n"/>
      <c r="I127" s="91" t="n"/>
      <c r="J127" s="94" t="str">
        <f>IF(B127="",IF(COUNTA(C127:I127)&gt;0,"Informe o nome interno",""),IF(SUMPRODUCT(--($B$6:$B$205=B127))&gt;1,"Nome repetido","OK"))</f>
        <v/>
      </c>
      <c r="K127" s="96">
        <f>IF(B127&lt;&gt;"",1,0)</f>
        <v>0</v>
      </c>
      <c r="L127" s="96" t="str">
        <f>IF(K127=1,COUNTIF($K$6:K127,1),"")</f>
        <v/>
      </c>
      <c r="M127" s="96" t="str">
        <f>IF(K127=0,"",SUMIFS('ITENS_MTR'!$I$6:$I$1005,'ITENS_MTR'!$C$6:$C$1005,B127,'ITENS_MTR'!$AP$6:$AP$1005,1,'ITENS_MTR'!$Y$6:$Y$1005,1))</f>
        <v/>
      </c>
      <c r="N127" s="96" t="str">
        <f>IF(N(M127)&gt;0,M127+(1000-122)/1000000,"")</f>
        <v/>
      </c>
    </row>
    <row r="128">
      <c r="A128" s="89" t="inlineStr">
        <is>
          <t>RS-123</t>
        </is>
      </c>
      <c r="B128" s="91" t="n"/>
      <c r="C128" s="91" t="n"/>
      <c r="D128" s="91" t="n"/>
      <c r="E128" s="90" t="n"/>
      <c r="F128" s="91" t="n"/>
      <c r="G128" s="91" t="n"/>
      <c r="H128" s="91" t="n"/>
      <c r="I128" s="91" t="n"/>
      <c r="J128" s="94" t="str">
        <f>IF(B128="",IF(COUNTA(C128:I128)&gt;0,"Informe o nome interno",""),IF(SUMPRODUCT(--($B$6:$B$205=B128))&gt;1,"Nome repetido","OK"))</f>
        <v/>
      </c>
      <c r="K128" s="96">
        <f>IF(B128&lt;&gt;"",1,0)</f>
        <v>0</v>
      </c>
      <c r="L128" s="96" t="str">
        <f>IF(K128=1,COUNTIF($K$6:K128,1),"")</f>
        <v/>
      </c>
      <c r="M128" s="96" t="str">
        <f>IF(K128=0,"",SUMIFS('ITENS_MTR'!$I$6:$I$1005,'ITENS_MTR'!$C$6:$C$1005,B128,'ITENS_MTR'!$AP$6:$AP$1005,1,'ITENS_MTR'!$Y$6:$Y$1005,1))</f>
        <v/>
      </c>
      <c r="N128" s="96" t="str">
        <f>IF(N(M128)&gt;0,M128+(1000-123)/1000000,"")</f>
        <v/>
      </c>
    </row>
    <row r="129">
      <c r="A129" s="89" t="inlineStr">
        <is>
          <t>RS-124</t>
        </is>
      </c>
      <c r="B129" s="91" t="n"/>
      <c r="C129" s="91" t="n"/>
      <c r="D129" s="91" t="n"/>
      <c r="E129" s="90" t="n"/>
      <c r="F129" s="91" t="n"/>
      <c r="G129" s="91" t="n"/>
      <c r="H129" s="91" t="n"/>
      <c r="I129" s="91" t="n"/>
      <c r="J129" s="94" t="str">
        <f>IF(B129="",IF(COUNTA(C129:I129)&gt;0,"Informe o nome interno",""),IF(SUMPRODUCT(--($B$6:$B$205=B129))&gt;1,"Nome repetido","OK"))</f>
        <v/>
      </c>
      <c r="K129" s="96">
        <f>IF(B129&lt;&gt;"",1,0)</f>
        <v>0</v>
      </c>
      <c r="L129" s="96" t="str">
        <f>IF(K129=1,COUNTIF($K$6:K129,1),"")</f>
        <v/>
      </c>
      <c r="M129" s="96" t="str">
        <f>IF(K129=0,"",SUMIFS('ITENS_MTR'!$I$6:$I$1005,'ITENS_MTR'!$C$6:$C$1005,B129,'ITENS_MTR'!$AP$6:$AP$1005,1,'ITENS_MTR'!$Y$6:$Y$1005,1))</f>
        <v/>
      </c>
      <c r="N129" s="96" t="str">
        <f>IF(N(M129)&gt;0,M129+(1000-124)/1000000,"")</f>
        <v/>
      </c>
    </row>
    <row r="130">
      <c r="A130" s="89" t="inlineStr">
        <is>
          <t>RS-125</t>
        </is>
      </c>
      <c r="B130" s="91" t="n"/>
      <c r="C130" s="91" t="n"/>
      <c r="D130" s="91" t="n"/>
      <c r="E130" s="90" t="n"/>
      <c r="F130" s="91" t="n"/>
      <c r="G130" s="91" t="n"/>
      <c r="H130" s="91" t="n"/>
      <c r="I130" s="91" t="n"/>
      <c r="J130" s="94" t="str">
        <f>IF(B130="",IF(COUNTA(C130:I130)&gt;0,"Informe o nome interno",""),IF(SUMPRODUCT(--($B$6:$B$205=B130))&gt;1,"Nome repetido","OK"))</f>
        <v/>
      </c>
      <c r="K130" s="96">
        <f>IF(B130&lt;&gt;"",1,0)</f>
        <v>0</v>
      </c>
      <c r="L130" s="96" t="str">
        <f>IF(K130=1,COUNTIF($K$6:K130,1),"")</f>
        <v/>
      </c>
      <c r="M130" s="96" t="str">
        <f>IF(K130=0,"",SUMIFS('ITENS_MTR'!$I$6:$I$1005,'ITENS_MTR'!$C$6:$C$1005,B130,'ITENS_MTR'!$AP$6:$AP$1005,1,'ITENS_MTR'!$Y$6:$Y$1005,1))</f>
        <v/>
      </c>
      <c r="N130" s="96" t="str">
        <f>IF(N(M130)&gt;0,M130+(1000-125)/1000000,"")</f>
        <v/>
      </c>
    </row>
    <row r="131">
      <c r="A131" s="89" t="inlineStr">
        <is>
          <t>RS-126</t>
        </is>
      </c>
      <c r="B131" s="91" t="n"/>
      <c r="C131" s="91" t="n"/>
      <c r="D131" s="91" t="n"/>
      <c r="E131" s="90" t="n"/>
      <c r="F131" s="91" t="n"/>
      <c r="G131" s="91" t="n"/>
      <c r="H131" s="91" t="n"/>
      <c r="I131" s="91" t="n"/>
      <c r="J131" s="94" t="str">
        <f>IF(B131="",IF(COUNTA(C131:I131)&gt;0,"Informe o nome interno",""),IF(SUMPRODUCT(--($B$6:$B$205=B131))&gt;1,"Nome repetido","OK"))</f>
        <v/>
      </c>
      <c r="K131" s="96">
        <f>IF(B131&lt;&gt;"",1,0)</f>
        <v>0</v>
      </c>
      <c r="L131" s="96" t="str">
        <f>IF(K131=1,COUNTIF($K$6:K131,1),"")</f>
        <v/>
      </c>
      <c r="M131" s="96" t="str">
        <f>IF(K131=0,"",SUMIFS('ITENS_MTR'!$I$6:$I$1005,'ITENS_MTR'!$C$6:$C$1005,B131,'ITENS_MTR'!$AP$6:$AP$1005,1,'ITENS_MTR'!$Y$6:$Y$1005,1))</f>
        <v/>
      </c>
      <c r="N131" s="96" t="str">
        <f>IF(N(M131)&gt;0,M131+(1000-126)/1000000,"")</f>
        <v/>
      </c>
    </row>
    <row r="132">
      <c r="A132" s="89" t="inlineStr">
        <is>
          <t>RS-127</t>
        </is>
      </c>
      <c r="B132" s="91" t="n"/>
      <c r="C132" s="91" t="n"/>
      <c r="D132" s="91" t="n"/>
      <c r="E132" s="90" t="n"/>
      <c r="F132" s="91" t="n"/>
      <c r="G132" s="91" t="n"/>
      <c r="H132" s="91" t="n"/>
      <c r="I132" s="91" t="n"/>
      <c r="J132" s="94" t="str">
        <f>IF(B132="",IF(COUNTA(C132:I132)&gt;0,"Informe o nome interno",""),IF(SUMPRODUCT(--($B$6:$B$205=B132))&gt;1,"Nome repetido","OK"))</f>
        <v/>
      </c>
      <c r="K132" s="96">
        <f>IF(B132&lt;&gt;"",1,0)</f>
        <v>0</v>
      </c>
      <c r="L132" s="96" t="str">
        <f>IF(K132=1,COUNTIF($K$6:K132,1),"")</f>
        <v/>
      </c>
      <c r="M132" s="96" t="str">
        <f>IF(K132=0,"",SUMIFS('ITENS_MTR'!$I$6:$I$1005,'ITENS_MTR'!$C$6:$C$1005,B132,'ITENS_MTR'!$AP$6:$AP$1005,1,'ITENS_MTR'!$Y$6:$Y$1005,1))</f>
        <v/>
      </c>
      <c r="N132" s="96" t="str">
        <f>IF(N(M132)&gt;0,M132+(1000-127)/1000000,"")</f>
        <v/>
      </c>
    </row>
    <row r="133">
      <c r="A133" s="89" t="inlineStr">
        <is>
          <t>RS-128</t>
        </is>
      </c>
      <c r="B133" s="91" t="n"/>
      <c r="C133" s="91" t="n"/>
      <c r="D133" s="91" t="n"/>
      <c r="E133" s="90" t="n"/>
      <c r="F133" s="91" t="n"/>
      <c r="G133" s="91" t="n"/>
      <c r="H133" s="91" t="n"/>
      <c r="I133" s="91" t="n"/>
      <c r="J133" s="94" t="str">
        <f>IF(B133="",IF(COUNTA(C133:I133)&gt;0,"Informe o nome interno",""),IF(SUMPRODUCT(--($B$6:$B$205=B133))&gt;1,"Nome repetido","OK"))</f>
        <v/>
      </c>
      <c r="K133" s="96">
        <f>IF(B133&lt;&gt;"",1,0)</f>
        <v>0</v>
      </c>
      <c r="L133" s="96" t="str">
        <f>IF(K133=1,COUNTIF($K$6:K133,1),"")</f>
        <v/>
      </c>
      <c r="M133" s="96" t="str">
        <f>IF(K133=0,"",SUMIFS('ITENS_MTR'!$I$6:$I$1005,'ITENS_MTR'!$C$6:$C$1005,B133,'ITENS_MTR'!$AP$6:$AP$1005,1,'ITENS_MTR'!$Y$6:$Y$1005,1))</f>
        <v/>
      </c>
      <c r="N133" s="96" t="str">
        <f>IF(N(M133)&gt;0,M133+(1000-128)/1000000,"")</f>
        <v/>
      </c>
    </row>
    <row r="134">
      <c r="A134" s="89" t="inlineStr">
        <is>
          <t>RS-129</t>
        </is>
      </c>
      <c r="B134" s="91" t="n"/>
      <c r="C134" s="91" t="n"/>
      <c r="D134" s="91" t="n"/>
      <c r="E134" s="90" t="n"/>
      <c r="F134" s="91" t="n"/>
      <c r="G134" s="91" t="n"/>
      <c r="H134" s="91" t="n"/>
      <c r="I134" s="91" t="n"/>
      <c r="J134" s="94" t="str">
        <f>IF(B134="",IF(COUNTA(C134:I134)&gt;0,"Informe o nome interno",""),IF(SUMPRODUCT(--($B$6:$B$205=B134))&gt;1,"Nome repetido","OK"))</f>
        <v/>
      </c>
      <c r="K134" s="96">
        <f>IF(B134&lt;&gt;"",1,0)</f>
        <v>0</v>
      </c>
      <c r="L134" s="96" t="str">
        <f>IF(K134=1,COUNTIF($K$6:K134,1),"")</f>
        <v/>
      </c>
      <c r="M134" s="96" t="str">
        <f>IF(K134=0,"",SUMIFS('ITENS_MTR'!$I$6:$I$1005,'ITENS_MTR'!$C$6:$C$1005,B134,'ITENS_MTR'!$AP$6:$AP$1005,1,'ITENS_MTR'!$Y$6:$Y$1005,1))</f>
        <v/>
      </c>
      <c r="N134" s="96" t="str">
        <f>IF(N(M134)&gt;0,M134+(1000-129)/1000000,"")</f>
        <v/>
      </c>
    </row>
    <row r="135">
      <c r="A135" s="89" t="inlineStr">
        <is>
          <t>RS-130</t>
        </is>
      </c>
      <c r="B135" s="91" t="n"/>
      <c r="C135" s="91" t="n"/>
      <c r="D135" s="91" t="n"/>
      <c r="E135" s="90" t="n"/>
      <c r="F135" s="91" t="n"/>
      <c r="G135" s="91" t="n"/>
      <c r="H135" s="91" t="n"/>
      <c r="I135" s="91" t="n"/>
      <c r="J135" s="94" t="str">
        <f>IF(B135="",IF(COUNTA(C135:I135)&gt;0,"Informe o nome interno",""),IF(SUMPRODUCT(--($B$6:$B$205=B135))&gt;1,"Nome repetido","OK"))</f>
        <v/>
      </c>
      <c r="K135" s="96">
        <f>IF(B135&lt;&gt;"",1,0)</f>
        <v>0</v>
      </c>
      <c r="L135" s="96" t="str">
        <f>IF(K135=1,COUNTIF($K$6:K135,1),"")</f>
        <v/>
      </c>
      <c r="M135" s="96" t="str">
        <f>IF(K135=0,"",SUMIFS('ITENS_MTR'!$I$6:$I$1005,'ITENS_MTR'!$C$6:$C$1005,B135,'ITENS_MTR'!$AP$6:$AP$1005,1,'ITENS_MTR'!$Y$6:$Y$1005,1))</f>
        <v/>
      </c>
      <c r="N135" s="96" t="str">
        <f>IF(N(M135)&gt;0,M135+(1000-130)/1000000,"")</f>
        <v/>
      </c>
    </row>
    <row r="136">
      <c r="A136" s="89" t="inlineStr">
        <is>
          <t>RS-131</t>
        </is>
      </c>
      <c r="B136" s="91" t="n"/>
      <c r="C136" s="91" t="n"/>
      <c r="D136" s="91" t="n"/>
      <c r="E136" s="90" t="n"/>
      <c r="F136" s="91" t="n"/>
      <c r="G136" s="91" t="n"/>
      <c r="H136" s="91" t="n"/>
      <c r="I136" s="91" t="n"/>
      <c r="J136" s="94" t="str">
        <f>IF(B136="",IF(COUNTA(C136:I136)&gt;0,"Informe o nome interno",""),IF(SUMPRODUCT(--($B$6:$B$205=B136))&gt;1,"Nome repetido","OK"))</f>
        <v/>
      </c>
      <c r="K136" s="96">
        <f>IF(B136&lt;&gt;"",1,0)</f>
        <v>0</v>
      </c>
      <c r="L136" s="96" t="str">
        <f>IF(K136=1,COUNTIF($K$6:K136,1),"")</f>
        <v/>
      </c>
      <c r="M136" s="96" t="str">
        <f>IF(K136=0,"",SUMIFS('ITENS_MTR'!$I$6:$I$1005,'ITENS_MTR'!$C$6:$C$1005,B136,'ITENS_MTR'!$AP$6:$AP$1005,1,'ITENS_MTR'!$Y$6:$Y$1005,1))</f>
        <v/>
      </c>
      <c r="N136" s="96" t="str">
        <f>IF(N(M136)&gt;0,M136+(1000-131)/1000000,"")</f>
        <v/>
      </c>
    </row>
    <row r="137">
      <c r="A137" s="89" t="inlineStr">
        <is>
          <t>RS-132</t>
        </is>
      </c>
      <c r="B137" s="91" t="n"/>
      <c r="C137" s="91" t="n"/>
      <c r="D137" s="91" t="n"/>
      <c r="E137" s="90" t="n"/>
      <c r="F137" s="91" t="n"/>
      <c r="G137" s="91" t="n"/>
      <c r="H137" s="91" t="n"/>
      <c r="I137" s="91" t="n"/>
      <c r="J137" s="94" t="str">
        <f>IF(B137="",IF(COUNTA(C137:I137)&gt;0,"Informe o nome interno",""),IF(SUMPRODUCT(--($B$6:$B$205=B137))&gt;1,"Nome repetido","OK"))</f>
        <v/>
      </c>
      <c r="K137" s="96">
        <f>IF(B137&lt;&gt;"",1,0)</f>
        <v>0</v>
      </c>
      <c r="L137" s="96" t="str">
        <f>IF(K137=1,COUNTIF($K$6:K137,1),"")</f>
        <v/>
      </c>
      <c r="M137" s="96" t="str">
        <f>IF(K137=0,"",SUMIFS('ITENS_MTR'!$I$6:$I$1005,'ITENS_MTR'!$C$6:$C$1005,B137,'ITENS_MTR'!$AP$6:$AP$1005,1,'ITENS_MTR'!$Y$6:$Y$1005,1))</f>
        <v/>
      </c>
      <c r="N137" s="96" t="str">
        <f>IF(N(M137)&gt;0,M137+(1000-132)/1000000,"")</f>
        <v/>
      </c>
    </row>
    <row r="138">
      <c r="A138" s="89" t="inlineStr">
        <is>
          <t>RS-133</t>
        </is>
      </c>
      <c r="B138" s="91" t="n"/>
      <c r="C138" s="91" t="n"/>
      <c r="D138" s="91" t="n"/>
      <c r="E138" s="90" t="n"/>
      <c r="F138" s="91" t="n"/>
      <c r="G138" s="91" t="n"/>
      <c r="H138" s="91" t="n"/>
      <c r="I138" s="91" t="n"/>
      <c r="J138" s="94" t="str">
        <f>IF(B138="",IF(COUNTA(C138:I138)&gt;0,"Informe o nome interno",""),IF(SUMPRODUCT(--($B$6:$B$205=B138))&gt;1,"Nome repetido","OK"))</f>
        <v/>
      </c>
      <c r="K138" s="96">
        <f>IF(B138&lt;&gt;"",1,0)</f>
        <v>0</v>
      </c>
      <c r="L138" s="96" t="str">
        <f>IF(K138=1,COUNTIF($K$6:K138,1),"")</f>
        <v/>
      </c>
      <c r="M138" s="96" t="str">
        <f>IF(K138=0,"",SUMIFS('ITENS_MTR'!$I$6:$I$1005,'ITENS_MTR'!$C$6:$C$1005,B138,'ITENS_MTR'!$AP$6:$AP$1005,1,'ITENS_MTR'!$Y$6:$Y$1005,1))</f>
        <v/>
      </c>
      <c r="N138" s="96" t="str">
        <f>IF(N(M138)&gt;0,M138+(1000-133)/1000000,"")</f>
        <v/>
      </c>
    </row>
    <row r="139">
      <c r="A139" s="89" t="inlineStr">
        <is>
          <t>RS-134</t>
        </is>
      </c>
      <c r="B139" s="91" t="n"/>
      <c r="C139" s="91" t="n"/>
      <c r="D139" s="91" t="n"/>
      <c r="E139" s="90" t="n"/>
      <c r="F139" s="91" t="n"/>
      <c r="G139" s="91" t="n"/>
      <c r="H139" s="91" t="n"/>
      <c r="I139" s="91" t="n"/>
      <c r="J139" s="94" t="str">
        <f>IF(B139="",IF(COUNTA(C139:I139)&gt;0,"Informe o nome interno",""),IF(SUMPRODUCT(--($B$6:$B$205=B139))&gt;1,"Nome repetido","OK"))</f>
        <v/>
      </c>
      <c r="K139" s="96">
        <f>IF(B139&lt;&gt;"",1,0)</f>
        <v>0</v>
      </c>
      <c r="L139" s="96" t="str">
        <f>IF(K139=1,COUNTIF($K$6:K139,1),"")</f>
        <v/>
      </c>
      <c r="M139" s="96" t="str">
        <f>IF(K139=0,"",SUMIFS('ITENS_MTR'!$I$6:$I$1005,'ITENS_MTR'!$C$6:$C$1005,B139,'ITENS_MTR'!$AP$6:$AP$1005,1,'ITENS_MTR'!$Y$6:$Y$1005,1))</f>
        <v/>
      </c>
      <c r="N139" s="96" t="str">
        <f>IF(N(M139)&gt;0,M139+(1000-134)/1000000,"")</f>
        <v/>
      </c>
    </row>
    <row r="140">
      <c r="A140" s="89" t="inlineStr">
        <is>
          <t>RS-135</t>
        </is>
      </c>
      <c r="B140" s="91" t="n"/>
      <c r="C140" s="91" t="n"/>
      <c r="D140" s="91" t="n"/>
      <c r="E140" s="90" t="n"/>
      <c r="F140" s="91" t="n"/>
      <c r="G140" s="91" t="n"/>
      <c r="H140" s="91" t="n"/>
      <c r="I140" s="91" t="n"/>
      <c r="J140" s="94" t="str">
        <f>IF(B140="",IF(COUNTA(C140:I140)&gt;0,"Informe o nome interno",""),IF(SUMPRODUCT(--($B$6:$B$205=B140))&gt;1,"Nome repetido","OK"))</f>
        <v/>
      </c>
      <c r="K140" s="96">
        <f>IF(B140&lt;&gt;"",1,0)</f>
        <v>0</v>
      </c>
      <c r="L140" s="96" t="str">
        <f>IF(K140=1,COUNTIF($K$6:K140,1),"")</f>
        <v/>
      </c>
      <c r="M140" s="96" t="str">
        <f>IF(K140=0,"",SUMIFS('ITENS_MTR'!$I$6:$I$1005,'ITENS_MTR'!$C$6:$C$1005,B140,'ITENS_MTR'!$AP$6:$AP$1005,1,'ITENS_MTR'!$Y$6:$Y$1005,1))</f>
        <v/>
      </c>
      <c r="N140" s="96" t="str">
        <f>IF(N(M140)&gt;0,M140+(1000-135)/1000000,"")</f>
        <v/>
      </c>
    </row>
    <row r="141">
      <c r="A141" s="89" t="inlineStr">
        <is>
          <t>RS-136</t>
        </is>
      </c>
      <c r="B141" s="91" t="n"/>
      <c r="C141" s="91" t="n"/>
      <c r="D141" s="91" t="n"/>
      <c r="E141" s="90" t="n"/>
      <c r="F141" s="91" t="n"/>
      <c r="G141" s="91" t="n"/>
      <c r="H141" s="91" t="n"/>
      <c r="I141" s="91" t="n"/>
      <c r="J141" s="94" t="str">
        <f>IF(B141="",IF(COUNTA(C141:I141)&gt;0,"Informe o nome interno",""),IF(SUMPRODUCT(--($B$6:$B$205=B141))&gt;1,"Nome repetido","OK"))</f>
        <v/>
      </c>
      <c r="K141" s="96">
        <f>IF(B141&lt;&gt;"",1,0)</f>
        <v>0</v>
      </c>
      <c r="L141" s="96" t="str">
        <f>IF(K141=1,COUNTIF($K$6:K141,1),"")</f>
        <v/>
      </c>
      <c r="M141" s="96" t="str">
        <f>IF(K141=0,"",SUMIFS('ITENS_MTR'!$I$6:$I$1005,'ITENS_MTR'!$C$6:$C$1005,B141,'ITENS_MTR'!$AP$6:$AP$1005,1,'ITENS_MTR'!$Y$6:$Y$1005,1))</f>
        <v/>
      </c>
      <c r="N141" s="96" t="str">
        <f>IF(N(M141)&gt;0,M141+(1000-136)/1000000,"")</f>
        <v/>
      </c>
    </row>
    <row r="142">
      <c r="A142" s="89" t="inlineStr">
        <is>
          <t>RS-137</t>
        </is>
      </c>
      <c r="B142" s="91" t="n"/>
      <c r="C142" s="91" t="n"/>
      <c r="D142" s="91" t="n"/>
      <c r="E142" s="90" t="n"/>
      <c r="F142" s="91" t="n"/>
      <c r="G142" s="91" t="n"/>
      <c r="H142" s="91" t="n"/>
      <c r="I142" s="91" t="n"/>
      <c r="J142" s="94" t="str">
        <f>IF(B142="",IF(COUNTA(C142:I142)&gt;0,"Informe o nome interno",""),IF(SUMPRODUCT(--($B$6:$B$205=B142))&gt;1,"Nome repetido","OK"))</f>
        <v/>
      </c>
      <c r="K142" s="96">
        <f>IF(B142&lt;&gt;"",1,0)</f>
        <v>0</v>
      </c>
      <c r="L142" s="96" t="str">
        <f>IF(K142=1,COUNTIF($K$6:K142,1),"")</f>
        <v/>
      </c>
      <c r="M142" s="96" t="str">
        <f>IF(K142=0,"",SUMIFS('ITENS_MTR'!$I$6:$I$1005,'ITENS_MTR'!$C$6:$C$1005,B142,'ITENS_MTR'!$AP$6:$AP$1005,1,'ITENS_MTR'!$Y$6:$Y$1005,1))</f>
        <v/>
      </c>
      <c r="N142" s="96" t="str">
        <f>IF(N(M142)&gt;0,M142+(1000-137)/1000000,"")</f>
        <v/>
      </c>
    </row>
    <row r="143">
      <c r="A143" s="89" t="inlineStr">
        <is>
          <t>RS-138</t>
        </is>
      </c>
      <c r="B143" s="91" t="n"/>
      <c r="C143" s="91" t="n"/>
      <c r="D143" s="91" t="n"/>
      <c r="E143" s="90" t="n"/>
      <c r="F143" s="91" t="n"/>
      <c r="G143" s="91" t="n"/>
      <c r="H143" s="91" t="n"/>
      <c r="I143" s="91" t="n"/>
      <c r="J143" s="94" t="str">
        <f>IF(B143="",IF(COUNTA(C143:I143)&gt;0,"Informe o nome interno",""),IF(SUMPRODUCT(--($B$6:$B$205=B143))&gt;1,"Nome repetido","OK"))</f>
        <v/>
      </c>
      <c r="K143" s="96">
        <f>IF(B143&lt;&gt;"",1,0)</f>
        <v>0</v>
      </c>
      <c r="L143" s="96" t="str">
        <f>IF(K143=1,COUNTIF($K$6:K143,1),"")</f>
        <v/>
      </c>
      <c r="M143" s="96" t="str">
        <f>IF(K143=0,"",SUMIFS('ITENS_MTR'!$I$6:$I$1005,'ITENS_MTR'!$C$6:$C$1005,B143,'ITENS_MTR'!$AP$6:$AP$1005,1,'ITENS_MTR'!$Y$6:$Y$1005,1))</f>
        <v/>
      </c>
      <c r="N143" s="96" t="str">
        <f>IF(N(M143)&gt;0,M143+(1000-138)/1000000,"")</f>
        <v/>
      </c>
    </row>
    <row r="144">
      <c r="A144" s="89" t="inlineStr">
        <is>
          <t>RS-139</t>
        </is>
      </c>
      <c r="B144" s="91" t="n"/>
      <c r="C144" s="91" t="n"/>
      <c r="D144" s="91" t="n"/>
      <c r="E144" s="90" t="n"/>
      <c r="F144" s="91" t="n"/>
      <c r="G144" s="91" t="n"/>
      <c r="H144" s="91" t="n"/>
      <c r="I144" s="91" t="n"/>
      <c r="J144" s="94" t="str">
        <f>IF(B144="",IF(COUNTA(C144:I144)&gt;0,"Informe o nome interno",""),IF(SUMPRODUCT(--($B$6:$B$205=B144))&gt;1,"Nome repetido","OK"))</f>
        <v/>
      </c>
      <c r="K144" s="96">
        <f>IF(B144&lt;&gt;"",1,0)</f>
        <v>0</v>
      </c>
      <c r="L144" s="96" t="str">
        <f>IF(K144=1,COUNTIF($K$6:K144,1),"")</f>
        <v/>
      </c>
      <c r="M144" s="96" t="str">
        <f>IF(K144=0,"",SUMIFS('ITENS_MTR'!$I$6:$I$1005,'ITENS_MTR'!$C$6:$C$1005,B144,'ITENS_MTR'!$AP$6:$AP$1005,1,'ITENS_MTR'!$Y$6:$Y$1005,1))</f>
        <v/>
      </c>
      <c r="N144" s="96" t="str">
        <f>IF(N(M144)&gt;0,M144+(1000-139)/1000000,"")</f>
        <v/>
      </c>
    </row>
    <row r="145">
      <c r="A145" s="89" t="inlineStr">
        <is>
          <t>RS-140</t>
        </is>
      </c>
      <c r="B145" s="91" t="n"/>
      <c r="C145" s="91" t="n"/>
      <c r="D145" s="91" t="n"/>
      <c r="E145" s="90" t="n"/>
      <c r="F145" s="91" t="n"/>
      <c r="G145" s="91" t="n"/>
      <c r="H145" s="91" t="n"/>
      <c r="I145" s="91" t="n"/>
      <c r="J145" s="94" t="str">
        <f>IF(B145="",IF(COUNTA(C145:I145)&gt;0,"Informe o nome interno",""),IF(SUMPRODUCT(--($B$6:$B$205=B145))&gt;1,"Nome repetido","OK"))</f>
        <v/>
      </c>
      <c r="K145" s="96">
        <f>IF(B145&lt;&gt;"",1,0)</f>
        <v>0</v>
      </c>
      <c r="L145" s="96" t="str">
        <f>IF(K145=1,COUNTIF($K$6:K145,1),"")</f>
        <v/>
      </c>
      <c r="M145" s="96" t="str">
        <f>IF(K145=0,"",SUMIFS('ITENS_MTR'!$I$6:$I$1005,'ITENS_MTR'!$C$6:$C$1005,B145,'ITENS_MTR'!$AP$6:$AP$1005,1,'ITENS_MTR'!$Y$6:$Y$1005,1))</f>
        <v/>
      </c>
      <c r="N145" s="96" t="str">
        <f>IF(N(M145)&gt;0,M145+(1000-140)/1000000,"")</f>
        <v/>
      </c>
    </row>
    <row r="146">
      <c r="A146" s="89" t="inlineStr">
        <is>
          <t>RS-141</t>
        </is>
      </c>
      <c r="B146" s="91" t="n"/>
      <c r="C146" s="91" t="n"/>
      <c r="D146" s="91" t="n"/>
      <c r="E146" s="90" t="n"/>
      <c r="F146" s="91" t="n"/>
      <c r="G146" s="91" t="n"/>
      <c r="H146" s="91" t="n"/>
      <c r="I146" s="91" t="n"/>
      <c r="J146" s="94" t="str">
        <f>IF(B146="",IF(COUNTA(C146:I146)&gt;0,"Informe o nome interno",""),IF(SUMPRODUCT(--($B$6:$B$205=B146))&gt;1,"Nome repetido","OK"))</f>
        <v/>
      </c>
      <c r="K146" s="96">
        <f>IF(B146&lt;&gt;"",1,0)</f>
        <v>0</v>
      </c>
      <c r="L146" s="96" t="str">
        <f>IF(K146=1,COUNTIF($K$6:K146,1),"")</f>
        <v/>
      </c>
      <c r="M146" s="96" t="str">
        <f>IF(K146=0,"",SUMIFS('ITENS_MTR'!$I$6:$I$1005,'ITENS_MTR'!$C$6:$C$1005,B146,'ITENS_MTR'!$AP$6:$AP$1005,1,'ITENS_MTR'!$Y$6:$Y$1005,1))</f>
        <v/>
      </c>
      <c r="N146" s="96" t="str">
        <f>IF(N(M146)&gt;0,M146+(1000-141)/1000000,"")</f>
        <v/>
      </c>
    </row>
    <row r="147">
      <c r="A147" s="89" t="inlineStr">
        <is>
          <t>RS-142</t>
        </is>
      </c>
      <c r="B147" s="91" t="n"/>
      <c r="C147" s="91" t="n"/>
      <c r="D147" s="91" t="n"/>
      <c r="E147" s="90" t="n"/>
      <c r="F147" s="91" t="n"/>
      <c r="G147" s="91" t="n"/>
      <c r="H147" s="91" t="n"/>
      <c r="I147" s="91" t="n"/>
      <c r="J147" s="94" t="str">
        <f>IF(B147="",IF(COUNTA(C147:I147)&gt;0,"Informe o nome interno",""),IF(SUMPRODUCT(--($B$6:$B$205=B147))&gt;1,"Nome repetido","OK"))</f>
        <v/>
      </c>
      <c r="K147" s="96">
        <f>IF(B147&lt;&gt;"",1,0)</f>
        <v>0</v>
      </c>
      <c r="L147" s="96" t="str">
        <f>IF(K147=1,COUNTIF($K$6:K147,1),"")</f>
        <v/>
      </c>
      <c r="M147" s="96" t="str">
        <f>IF(K147=0,"",SUMIFS('ITENS_MTR'!$I$6:$I$1005,'ITENS_MTR'!$C$6:$C$1005,B147,'ITENS_MTR'!$AP$6:$AP$1005,1,'ITENS_MTR'!$Y$6:$Y$1005,1))</f>
        <v/>
      </c>
      <c r="N147" s="96" t="str">
        <f>IF(N(M147)&gt;0,M147+(1000-142)/1000000,"")</f>
        <v/>
      </c>
    </row>
    <row r="148">
      <c r="A148" s="89" t="inlineStr">
        <is>
          <t>RS-143</t>
        </is>
      </c>
      <c r="B148" s="91" t="n"/>
      <c r="C148" s="91" t="n"/>
      <c r="D148" s="91" t="n"/>
      <c r="E148" s="90" t="n"/>
      <c r="F148" s="91" t="n"/>
      <c r="G148" s="91" t="n"/>
      <c r="H148" s="91" t="n"/>
      <c r="I148" s="91" t="n"/>
      <c r="J148" s="94" t="str">
        <f>IF(B148="",IF(COUNTA(C148:I148)&gt;0,"Informe o nome interno",""),IF(SUMPRODUCT(--($B$6:$B$205=B148))&gt;1,"Nome repetido","OK"))</f>
        <v/>
      </c>
      <c r="K148" s="96">
        <f>IF(B148&lt;&gt;"",1,0)</f>
        <v>0</v>
      </c>
      <c r="L148" s="96" t="str">
        <f>IF(K148=1,COUNTIF($K$6:K148,1),"")</f>
        <v/>
      </c>
      <c r="M148" s="96" t="str">
        <f>IF(K148=0,"",SUMIFS('ITENS_MTR'!$I$6:$I$1005,'ITENS_MTR'!$C$6:$C$1005,B148,'ITENS_MTR'!$AP$6:$AP$1005,1,'ITENS_MTR'!$Y$6:$Y$1005,1))</f>
        <v/>
      </c>
      <c r="N148" s="96" t="str">
        <f>IF(N(M148)&gt;0,M148+(1000-143)/1000000,"")</f>
        <v/>
      </c>
    </row>
    <row r="149">
      <c r="A149" s="89" t="inlineStr">
        <is>
          <t>RS-144</t>
        </is>
      </c>
      <c r="B149" s="91" t="n"/>
      <c r="C149" s="91" t="n"/>
      <c r="D149" s="91" t="n"/>
      <c r="E149" s="90" t="n"/>
      <c r="F149" s="91" t="n"/>
      <c r="G149" s="91" t="n"/>
      <c r="H149" s="91" t="n"/>
      <c r="I149" s="91" t="n"/>
      <c r="J149" s="94" t="str">
        <f>IF(B149="",IF(COUNTA(C149:I149)&gt;0,"Informe o nome interno",""),IF(SUMPRODUCT(--($B$6:$B$205=B149))&gt;1,"Nome repetido","OK"))</f>
        <v/>
      </c>
      <c r="K149" s="96">
        <f>IF(B149&lt;&gt;"",1,0)</f>
        <v>0</v>
      </c>
      <c r="L149" s="96" t="str">
        <f>IF(K149=1,COUNTIF($K$6:K149,1),"")</f>
        <v/>
      </c>
      <c r="M149" s="96" t="str">
        <f>IF(K149=0,"",SUMIFS('ITENS_MTR'!$I$6:$I$1005,'ITENS_MTR'!$C$6:$C$1005,B149,'ITENS_MTR'!$AP$6:$AP$1005,1,'ITENS_MTR'!$Y$6:$Y$1005,1))</f>
        <v/>
      </c>
      <c r="N149" s="96" t="str">
        <f>IF(N(M149)&gt;0,M149+(1000-144)/1000000,"")</f>
        <v/>
      </c>
    </row>
    <row r="150">
      <c r="A150" s="89" t="inlineStr">
        <is>
          <t>RS-145</t>
        </is>
      </c>
      <c r="B150" s="91" t="n"/>
      <c r="C150" s="91" t="n"/>
      <c r="D150" s="91" t="n"/>
      <c r="E150" s="90" t="n"/>
      <c r="F150" s="91" t="n"/>
      <c r="G150" s="91" t="n"/>
      <c r="H150" s="91" t="n"/>
      <c r="I150" s="91" t="n"/>
      <c r="J150" s="94" t="str">
        <f>IF(B150="",IF(COUNTA(C150:I150)&gt;0,"Informe o nome interno",""),IF(SUMPRODUCT(--($B$6:$B$205=B150))&gt;1,"Nome repetido","OK"))</f>
        <v/>
      </c>
      <c r="K150" s="96">
        <f>IF(B150&lt;&gt;"",1,0)</f>
        <v>0</v>
      </c>
      <c r="L150" s="96" t="str">
        <f>IF(K150=1,COUNTIF($K$6:K150,1),"")</f>
        <v/>
      </c>
      <c r="M150" s="96" t="str">
        <f>IF(K150=0,"",SUMIFS('ITENS_MTR'!$I$6:$I$1005,'ITENS_MTR'!$C$6:$C$1005,B150,'ITENS_MTR'!$AP$6:$AP$1005,1,'ITENS_MTR'!$Y$6:$Y$1005,1))</f>
        <v/>
      </c>
      <c r="N150" s="96" t="str">
        <f>IF(N(M150)&gt;0,M150+(1000-145)/1000000,"")</f>
        <v/>
      </c>
    </row>
    <row r="151">
      <c r="A151" s="89" t="inlineStr">
        <is>
          <t>RS-146</t>
        </is>
      </c>
      <c r="B151" s="91" t="n"/>
      <c r="C151" s="91" t="n"/>
      <c r="D151" s="91" t="n"/>
      <c r="E151" s="90" t="n"/>
      <c r="F151" s="91" t="n"/>
      <c r="G151" s="91" t="n"/>
      <c r="H151" s="91" t="n"/>
      <c r="I151" s="91" t="n"/>
      <c r="J151" s="94" t="str">
        <f>IF(B151="",IF(COUNTA(C151:I151)&gt;0,"Informe o nome interno",""),IF(SUMPRODUCT(--($B$6:$B$205=B151))&gt;1,"Nome repetido","OK"))</f>
        <v/>
      </c>
      <c r="K151" s="96">
        <f>IF(B151&lt;&gt;"",1,0)</f>
        <v>0</v>
      </c>
      <c r="L151" s="96" t="str">
        <f>IF(K151=1,COUNTIF($K$6:K151,1),"")</f>
        <v/>
      </c>
      <c r="M151" s="96" t="str">
        <f>IF(K151=0,"",SUMIFS('ITENS_MTR'!$I$6:$I$1005,'ITENS_MTR'!$C$6:$C$1005,B151,'ITENS_MTR'!$AP$6:$AP$1005,1,'ITENS_MTR'!$Y$6:$Y$1005,1))</f>
        <v/>
      </c>
      <c r="N151" s="96" t="str">
        <f>IF(N(M151)&gt;0,M151+(1000-146)/1000000,"")</f>
        <v/>
      </c>
    </row>
    <row r="152">
      <c r="A152" s="89" t="inlineStr">
        <is>
          <t>RS-147</t>
        </is>
      </c>
      <c r="B152" s="91" t="n"/>
      <c r="C152" s="91" t="n"/>
      <c r="D152" s="91" t="n"/>
      <c r="E152" s="90" t="n"/>
      <c r="F152" s="91" t="n"/>
      <c r="G152" s="91" t="n"/>
      <c r="H152" s="91" t="n"/>
      <c r="I152" s="91" t="n"/>
      <c r="J152" s="94" t="str">
        <f>IF(B152="",IF(COUNTA(C152:I152)&gt;0,"Informe o nome interno",""),IF(SUMPRODUCT(--($B$6:$B$205=B152))&gt;1,"Nome repetido","OK"))</f>
        <v/>
      </c>
      <c r="K152" s="96">
        <f>IF(B152&lt;&gt;"",1,0)</f>
        <v>0</v>
      </c>
      <c r="L152" s="96" t="str">
        <f>IF(K152=1,COUNTIF($K$6:K152,1),"")</f>
        <v/>
      </c>
      <c r="M152" s="96" t="str">
        <f>IF(K152=0,"",SUMIFS('ITENS_MTR'!$I$6:$I$1005,'ITENS_MTR'!$C$6:$C$1005,B152,'ITENS_MTR'!$AP$6:$AP$1005,1,'ITENS_MTR'!$Y$6:$Y$1005,1))</f>
        <v/>
      </c>
      <c r="N152" s="96" t="str">
        <f>IF(N(M152)&gt;0,M152+(1000-147)/1000000,"")</f>
        <v/>
      </c>
    </row>
    <row r="153">
      <c r="A153" s="89" t="inlineStr">
        <is>
          <t>RS-148</t>
        </is>
      </c>
      <c r="B153" s="91" t="n"/>
      <c r="C153" s="91" t="n"/>
      <c r="D153" s="91" t="n"/>
      <c r="E153" s="90" t="n"/>
      <c r="F153" s="91" t="n"/>
      <c r="G153" s="91" t="n"/>
      <c r="H153" s="91" t="n"/>
      <c r="I153" s="91" t="n"/>
      <c r="J153" s="94" t="str">
        <f>IF(B153="",IF(COUNTA(C153:I153)&gt;0,"Informe o nome interno",""),IF(SUMPRODUCT(--($B$6:$B$205=B153))&gt;1,"Nome repetido","OK"))</f>
        <v/>
      </c>
      <c r="K153" s="96">
        <f>IF(B153&lt;&gt;"",1,0)</f>
        <v>0</v>
      </c>
      <c r="L153" s="96" t="str">
        <f>IF(K153=1,COUNTIF($K$6:K153,1),"")</f>
        <v/>
      </c>
      <c r="M153" s="96" t="str">
        <f>IF(K153=0,"",SUMIFS('ITENS_MTR'!$I$6:$I$1005,'ITENS_MTR'!$C$6:$C$1005,B153,'ITENS_MTR'!$AP$6:$AP$1005,1,'ITENS_MTR'!$Y$6:$Y$1005,1))</f>
        <v/>
      </c>
      <c r="N153" s="96" t="str">
        <f>IF(N(M153)&gt;0,M153+(1000-148)/1000000,"")</f>
        <v/>
      </c>
    </row>
    <row r="154">
      <c r="A154" s="89" t="inlineStr">
        <is>
          <t>RS-149</t>
        </is>
      </c>
      <c r="B154" s="91" t="n"/>
      <c r="C154" s="91" t="n"/>
      <c r="D154" s="91" t="n"/>
      <c r="E154" s="90" t="n"/>
      <c r="F154" s="91" t="n"/>
      <c r="G154" s="91" t="n"/>
      <c r="H154" s="91" t="n"/>
      <c r="I154" s="91" t="n"/>
      <c r="J154" s="94" t="str">
        <f>IF(B154="",IF(COUNTA(C154:I154)&gt;0,"Informe o nome interno",""),IF(SUMPRODUCT(--($B$6:$B$205=B154))&gt;1,"Nome repetido","OK"))</f>
        <v/>
      </c>
      <c r="K154" s="96">
        <f>IF(B154&lt;&gt;"",1,0)</f>
        <v>0</v>
      </c>
      <c r="L154" s="96" t="str">
        <f>IF(K154=1,COUNTIF($K$6:K154,1),"")</f>
        <v/>
      </c>
      <c r="M154" s="96" t="str">
        <f>IF(K154=0,"",SUMIFS('ITENS_MTR'!$I$6:$I$1005,'ITENS_MTR'!$C$6:$C$1005,B154,'ITENS_MTR'!$AP$6:$AP$1005,1,'ITENS_MTR'!$Y$6:$Y$1005,1))</f>
        <v/>
      </c>
      <c r="N154" s="96" t="str">
        <f>IF(N(M154)&gt;0,M154+(1000-149)/1000000,"")</f>
        <v/>
      </c>
    </row>
    <row r="155">
      <c r="A155" s="89" t="inlineStr">
        <is>
          <t>RS-150</t>
        </is>
      </c>
      <c r="B155" s="91" t="n"/>
      <c r="C155" s="91" t="n"/>
      <c r="D155" s="91" t="n"/>
      <c r="E155" s="90" t="n"/>
      <c r="F155" s="91" t="n"/>
      <c r="G155" s="91" t="n"/>
      <c r="H155" s="91" t="n"/>
      <c r="I155" s="91" t="n"/>
      <c r="J155" s="94" t="str">
        <f>IF(B155="",IF(COUNTA(C155:I155)&gt;0,"Informe o nome interno",""),IF(SUMPRODUCT(--($B$6:$B$205=B155))&gt;1,"Nome repetido","OK"))</f>
        <v/>
      </c>
      <c r="K155" s="96">
        <f>IF(B155&lt;&gt;"",1,0)</f>
        <v>0</v>
      </c>
      <c r="L155" s="96" t="str">
        <f>IF(K155=1,COUNTIF($K$6:K155,1),"")</f>
        <v/>
      </c>
      <c r="M155" s="96" t="str">
        <f>IF(K155=0,"",SUMIFS('ITENS_MTR'!$I$6:$I$1005,'ITENS_MTR'!$C$6:$C$1005,B155,'ITENS_MTR'!$AP$6:$AP$1005,1,'ITENS_MTR'!$Y$6:$Y$1005,1))</f>
        <v/>
      </c>
      <c r="N155" s="96" t="str">
        <f>IF(N(M155)&gt;0,M155+(1000-150)/1000000,"")</f>
        <v/>
      </c>
    </row>
    <row r="156">
      <c r="A156" s="89" t="inlineStr">
        <is>
          <t>RS-151</t>
        </is>
      </c>
      <c r="B156" s="91" t="n"/>
      <c r="C156" s="91" t="n"/>
      <c r="D156" s="91" t="n"/>
      <c r="E156" s="90" t="n"/>
      <c r="F156" s="91" t="n"/>
      <c r="G156" s="91" t="n"/>
      <c r="H156" s="91" t="n"/>
      <c r="I156" s="91" t="n"/>
      <c r="J156" s="94" t="str">
        <f>IF(B156="",IF(COUNTA(C156:I156)&gt;0,"Informe o nome interno",""),IF(SUMPRODUCT(--($B$6:$B$205=B156))&gt;1,"Nome repetido","OK"))</f>
        <v/>
      </c>
      <c r="K156" s="96">
        <f>IF(B156&lt;&gt;"",1,0)</f>
        <v>0</v>
      </c>
      <c r="L156" s="96" t="str">
        <f>IF(K156=1,COUNTIF($K$6:K156,1),"")</f>
        <v/>
      </c>
      <c r="M156" s="96" t="str">
        <f>IF(K156=0,"",SUMIFS('ITENS_MTR'!$I$6:$I$1005,'ITENS_MTR'!$C$6:$C$1005,B156,'ITENS_MTR'!$AP$6:$AP$1005,1,'ITENS_MTR'!$Y$6:$Y$1005,1))</f>
        <v/>
      </c>
      <c r="N156" s="96" t="str">
        <f>IF(N(M156)&gt;0,M156+(1000-151)/1000000,"")</f>
        <v/>
      </c>
    </row>
    <row r="157">
      <c r="A157" s="89" t="inlineStr">
        <is>
          <t>RS-152</t>
        </is>
      </c>
      <c r="B157" s="91" t="n"/>
      <c r="C157" s="91" t="n"/>
      <c r="D157" s="91" t="n"/>
      <c r="E157" s="90" t="n"/>
      <c r="F157" s="91" t="n"/>
      <c r="G157" s="91" t="n"/>
      <c r="H157" s="91" t="n"/>
      <c r="I157" s="91" t="n"/>
      <c r="J157" s="94" t="str">
        <f>IF(B157="",IF(COUNTA(C157:I157)&gt;0,"Informe o nome interno",""),IF(SUMPRODUCT(--($B$6:$B$205=B157))&gt;1,"Nome repetido","OK"))</f>
        <v/>
      </c>
      <c r="K157" s="96">
        <f>IF(B157&lt;&gt;"",1,0)</f>
        <v>0</v>
      </c>
      <c r="L157" s="96" t="str">
        <f>IF(K157=1,COUNTIF($K$6:K157,1),"")</f>
        <v/>
      </c>
      <c r="M157" s="96" t="str">
        <f>IF(K157=0,"",SUMIFS('ITENS_MTR'!$I$6:$I$1005,'ITENS_MTR'!$C$6:$C$1005,B157,'ITENS_MTR'!$AP$6:$AP$1005,1,'ITENS_MTR'!$Y$6:$Y$1005,1))</f>
        <v/>
      </c>
      <c r="N157" s="96" t="str">
        <f>IF(N(M157)&gt;0,M157+(1000-152)/1000000,"")</f>
        <v/>
      </c>
    </row>
    <row r="158">
      <c r="A158" s="89" t="inlineStr">
        <is>
          <t>RS-153</t>
        </is>
      </c>
      <c r="B158" s="91" t="n"/>
      <c r="C158" s="91" t="n"/>
      <c r="D158" s="91" t="n"/>
      <c r="E158" s="90" t="n"/>
      <c r="F158" s="91" t="n"/>
      <c r="G158" s="91" t="n"/>
      <c r="H158" s="91" t="n"/>
      <c r="I158" s="91" t="n"/>
      <c r="J158" s="94" t="str">
        <f>IF(B158="",IF(COUNTA(C158:I158)&gt;0,"Informe o nome interno",""),IF(SUMPRODUCT(--($B$6:$B$205=B158))&gt;1,"Nome repetido","OK"))</f>
        <v/>
      </c>
      <c r="K158" s="96">
        <f>IF(B158&lt;&gt;"",1,0)</f>
        <v>0</v>
      </c>
      <c r="L158" s="96" t="str">
        <f>IF(K158=1,COUNTIF($K$6:K158,1),"")</f>
        <v/>
      </c>
      <c r="M158" s="96" t="str">
        <f>IF(K158=0,"",SUMIFS('ITENS_MTR'!$I$6:$I$1005,'ITENS_MTR'!$C$6:$C$1005,B158,'ITENS_MTR'!$AP$6:$AP$1005,1,'ITENS_MTR'!$Y$6:$Y$1005,1))</f>
        <v/>
      </c>
      <c r="N158" s="96" t="str">
        <f>IF(N(M158)&gt;0,M158+(1000-153)/1000000,"")</f>
        <v/>
      </c>
    </row>
    <row r="159">
      <c r="A159" s="89" t="inlineStr">
        <is>
          <t>RS-154</t>
        </is>
      </c>
      <c r="B159" s="91" t="n"/>
      <c r="C159" s="91" t="n"/>
      <c r="D159" s="91" t="n"/>
      <c r="E159" s="90" t="n"/>
      <c r="F159" s="91" t="n"/>
      <c r="G159" s="91" t="n"/>
      <c r="H159" s="91" t="n"/>
      <c r="I159" s="91" t="n"/>
      <c r="J159" s="94" t="str">
        <f>IF(B159="",IF(COUNTA(C159:I159)&gt;0,"Informe o nome interno",""),IF(SUMPRODUCT(--($B$6:$B$205=B159))&gt;1,"Nome repetido","OK"))</f>
        <v/>
      </c>
      <c r="K159" s="96">
        <f>IF(B159&lt;&gt;"",1,0)</f>
        <v>0</v>
      </c>
      <c r="L159" s="96" t="str">
        <f>IF(K159=1,COUNTIF($K$6:K159,1),"")</f>
        <v/>
      </c>
      <c r="M159" s="96" t="str">
        <f>IF(K159=0,"",SUMIFS('ITENS_MTR'!$I$6:$I$1005,'ITENS_MTR'!$C$6:$C$1005,B159,'ITENS_MTR'!$AP$6:$AP$1005,1,'ITENS_MTR'!$Y$6:$Y$1005,1))</f>
        <v/>
      </c>
      <c r="N159" s="96" t="str">
        <f>IF(N(M159)&gt;0,M159+(1000-154)/1000000,"")</f>
        <v/>
      </c>
    </row>
    <row r="160">
      <c r="A160" s="89" t="inlineStr">
        <is>
          <t>RS-155</t>
        </is>
      </c>
      <c r="B160" s="91" t="n"/>
      <c r="C160" s="91" t="n"/>
      <c r="D160" s="91" t="n"/>
      <c r="E160" s="90" t="n"/>
      <c r="F160" s="91" t="n"/>
      <c r="G160" s="91" t="n"/>
      <c r="H160" s="91" t="n"/>
      <c r="I160" s="91" t="n"/>
      <c r="J160" s="94" t="str">
        <f>IF(B160="",IF(COUNTA(C160:I160)&gt;0,"Informe o nome interno",""),IF(SUMPRODUCT(--($B$6:$B$205=B160))&gt;1,"Nome repetido","OK"))</f>
        <v/>
      </c>
      <c r="K160" s="96">
        <f>IF(B160&lt;&gt;"",1,0)</f>
        <v>0</v>
      </c>
      <c r="L160" s="96" t="str">
        <f>IF(K160=1,COUNTIF($K$6:K160,1),"")</f>
        <v/>
      </c>
      <c r="M160" s="96" t="str">
        <f>IF(K160=0,"",SUMIFS('ITENS_MTR'!$I$6:$I$1005,'ITENS_MTR'!$C$6:$C$1005,B160,'ITENS_MTR'!$AP$6:$AP$1005,1,'ITENS_MTR'!$Y$6:$Y$1005,1))</f>
        <v/>
      </c>
      <c r="N160" s="96" t="str">
        <f>IF(N(M160)&gt;0,M160+(1000-155)/1000000,"")</f>
        <v/>
      </c>
    </row>
    <row r="161">
      <c r="A161" s="89" t="inlineStr">
        <is>
          <t>RS-156</t>
        </is>
      </c>
      <c r="B161" s="91" t="n"/>
      <c r="C161" s="91" t="n"/>
      <c r="D161" s="91" t="n"/>
      <c r="E161" s="90" t="n"/>
      <c r="F161" s="91" t="n"/>
      <c r="G161" s="91" t="n"/>
      <c r="H161" s="91" t="n"/>
      <c r="I161" s="91" t="n"/>
      <c r="J161" s="94" t="str">
        <f>IF(B161="",IF(COUNTA(C161:I161)&gt;0,"Informe o nome interno",""),IF(SUMPRODUCT(--($B$6:$B$205=B161))&gt;1,"Nome repetido","OK"))</f>
        <v/>
      </c>
      <c r="K161" s="96">
        <f>IF(B161&lt;&gt;"",1,0)</f>
        <v>0</v>
      </c>
      <c r="L161" s="96" t="str">
        <f>IF(K161=1,COUNTIF($K$6:K161,1),"")</f>
        <v/>
      </c>
      <c r="M161" s="96" t="str">
        <f>IF(K161=0,"",SUMIFS('ITENS_MTR'!$I$6:$I$1005,'ITENS_MTR'!$C$6:$C$1005,B161,'ITENS_MTR'!$AP$6:$AP$1005,1,'ITENS_MTR'!$Y$6:$Y$1005,1))</f>
        <v/>
      </c>
      <c r="N161" s="96" t="str">
        <f>IF(N(M161)&gt;0,M161+(1000-156)/1000000,"")</f>
        <v/>
      </c>
    </row>
    <row r="162">
      <c r="A162" s="89" t="inlineStr">
        <is>
          <t>RS-157</t>
        </is>
      </c>
      <c r="B162" s="91" t="n"/>
      <c r="C162" s="91" t="n"/>
      <c r="D162" s="91" t="n"/>
      <c r="E162" s="90" t="n"/>
      <c r="F162" s="91" t="n"/>
      <c r="G162" s="91" t="n"/>
      <c r="H162" s="91" t="n"/>
      <c r="I162" s="91" t="n"/>
      <c r="J162" s="94" t="str">
        <f>IF(B162="",IF(COUNTA(C162:I162)&gt;0,"Informe o nome interno",""),IF(SUMPRODUCT(--($B$6:$B$205=B162))&gt;1,"Nome repetido","OK"))</f>
        <v/>
      </c>
      <c r="K162" s="96">
        <f>IF(B162&lt;&gt;"",1,0)</f>
        <v>0</v>
      </c>
      <c r="L162" s="96" t="str">
        <f>IF(K162=1,COUNTIF($K$6:K162,1),"")</f>
        <v/>
      </c>
      <c r="M162" s="96" t="str">
        <f>IF(K162=0,"",SUMIFS('ITENS_MTR'!$I$6:$I$1005,'ITENS_MTR'!$C$6:$C$1005,B162,'ITENS_MTR'!$AP$6:$AP$1005,1,'ITENS_MTR'!$Y$6:$Y$1005,1))</f>
        <v/>
      </c>
      <c r="N162" s="96" t="str">
        <f>IF(N(M162)&gt;0,M162+(1000-157)/1000000,"")</f>
        <v/>
      </c>
    </row>
    <row r="163">
      <c r="A163" s="89" t="inlineStr">
        <is>
          <t>RS-158</t>
        </is>
      </c>
      <c r="B163" s="91" t="n"/>
      <c r="C163" s="91" t="n"/>
      <c r="D163" s="91" t="n"/>
      <c r="E163" s="90" t="n"/>
      <c r="F163" s="91" t="n"/>
      <c r="G163" s="91" t="n"/>
      <c r="H163" s="91" t="n"/>
      <c r="I163" s="91" t="n"/>
      <c r="J163" s="94" t="str">
        <f>IF(B163="",IF(COUNTA(C163:I163)&gt;0,"Informe o nome interno",""),IF(SUMPRODUCT(--($B$6:$B$205=B163))&gt;1,"Nome repetido","OK"))</f>
        <v/>
      </c>
      <c r="K163" s="96">
        <f>IF(B163&lt;&gt;"",1,0)</f>
        <v>0</v>
      </c>
      <c r="L163" s="96" t="str">
        <f>IF(K163=1,COUNTIF($K$6:K163,1),"")</f>
        <v/>
      </c>
      <c r="M163" s="96" t="str">
        <f>IF(K163=0,"",SUMIFS('ITENS_MTR'!$I$6:$I$1005,'ITENS_MTR'!$C$6:$C$1005,B163,'ITENS_MTR'!$AP$6:$AP$1005,1,'ITENS_MTR'!$Y$6:$Y$1005,1))</f>
        <v/>
      </c>
      <c r="N163" s="96" t="str">
        <f>IF(N(M163)&gt;0,M163+(1000-158)/1000000,"")</f>
        <v/>
      </c>
    </row>
    <row r="164">
      <c r="A164" s="89" t="inlineStr">
        <is>
          <t>RS-159</t>
        </is>
      </c>
      <c r="B164" s="91" t="n"/>
      <c r="C164" s="91" t="n"/>
      <c r="D164" s="91" t="n"/>
      <c r="E164" s="90" t="n"/>
      <c r="F164" s="91" t="n"/>
      <c r="G164" s="91" t="n"/>
      <c r="H164" s="91" t="n"/>
      <c r="I164" s="91" t="n"/>
      <c r="J164" s="94" t="str">
        <f>IF(B164="",IF(COUNTA(C164:I164)&gt;0,"Informe o nome interno",""),IF(SUMPRODUCT(--($B$6:$B$205=B164))&gt;1,"Nome repetido","OK"))</f>
        <v/>
      </c>
      <c r="K164" s="96">
        <f>IF(B164&lt;&gt;"",1,0)</f>
        <v>0</v>
      </c>
      <c r="L164" s="96" t="str">
        <f>IF(K164=1,COUNTIF($K$6:K164,1),"")</f>
        <v/>
      </c>
      <c r="M164" s="96" t="str">
        <f>IF(K164=0,"",SUMIFS('ITENS_MTR'!$I$6:$I$1005,'ITENS_MTR'!$C$6:$C$1005,B164,'ITENS_MTR'!$AP$6:$AP$1005,1,'ITENS_MTR'!$Y$6:$Y$1005,1))</f>
        <v/>
      </c>
      <c r="N164" s="96" t="str">
        <f>IF(N(M164)&gt;0,M164+(1000-159)/1000000,"")</f>
        <v/>
      </c>
    </row>
    <row r="165">
      <c r="A165" s="89" t="inlineStr">
        <is>
          <t>RS-160</t>
        </is>
      </c>
      <c r="B165" s="91" t="n"/>
      <c r="C165" s="91" t="n"/>
      <c r="D165" s="91" t="n"/>
      <c r="E165" s="90" t="n"/>
      <c r="F165" s="91" t="n"/>
      <c r="G165" s="91" t="n"/>
      <c r="H165" s="91" t="n"/>
      <c r="I165" s="91" t="n"/>
      <c r="J165" s="94" t="str">
        <f>IF(B165="",IF(COUNTA(C165:I165)&gt;0,"Informe o nome interno",""),IF(SUMPRODUCT(--($B$6:$B$205=B165))&gt;1,"Nome repetido","OK"))</f>
        <v/>
      </c>
      <c r="K165" s="96">
        <f>IF(B165&lt;&gt;"",1,0)</f>
        <v>0</v>
      </c>
      <c r="L165" s="96" t="str">
        <f>IF(K165=1,COUNTIF($K$6:K165,1),"")</f>
        <v/>
      </c>
      <c r="M165" s="96" t="str">
        <f>IF(K165=0,"",SUMIFS('ITENS_MTR'!$I$6:$I$1005,'ITENS_MTR'!$C$6:$C$1005,B165,'ITENS_MTR'!$AP$6:$AP$1005,1,'ITENS_MTR'!$Y$6:$Y$1005,1))</f>
        <v/>
      </c>
      <c r="N165" s="96" t="str">
        <f>IF(N(M165)&gt;0,M165+(1000-160)/1000000,"")</f>
        <v/>
      </c>
    </row>
    <row r="166">
      <c r="A166" s="89" t="inlineStr">
        <is>
          <t>RS-161</t>
        </is>
      </c>
      <c r="B166" s="91" t="n"/>
      <c r="C166" s="91" t="n"/>
      <c r="D166" s="91" t="n"/>
      <c r="E166" s="90" t="n"/>
      <c r="F166" s="91" t="n"/>
      <c r="G166" s="91" t="n"/>
      <c r="H166" s="91" t="n"/>
      <c r="I166" s="91" t="n"/>
      <c r="J166" s="94" t="str">
        <f>IF(B166="",IF(COUNTA(C166:I166)&gt;0,"Informe o nome interno",""),IF(SUMPRODUCT(--($B$6:$B$205=B166))&gt;1,"Nome repetido","OK"))</f>
        <v/>
      </c>
      <c r="K166" s="96">
        <f>IF(B166&lt;&gt;"",1,0)</f>
        <v>0</v>
      </c>
      <c r="L166" s="96" t="str">
        <f>IF(K166=1,COUNTIF($K$6:K166,1),"")</f>
        <v/>
      </c>
      <c r="M166" s="96" t="str">
        <f>IF(K166=0,"",SUMIFS('ITENS_MTR'!$I$6:$I$1005,'ITENS_MTR'!$C$6:$C$1005,B166,'ITENS_MTR'!$AP$6:$AP$1005,1,'ITENS_MTR'!$Y$6:$Y$1005,1))</f>
        <v/>
      </c>
      <c r="N166" s="96" t="str">
        <f>IF(N(M166)&gt;0,M166+(1000-161)/1000000,"")</f>
        <v/>
      </c>
    </row>
    <row r="167">
      <c r="A167" s="89" t="inlineStr">
        <is>
          <t>RS-162</t>
        </is>
      </c>
      <c r="B167" s="91" t="n"/>
      <c r="C167" s="91" t="n"/>
      <c r="D167" s="91" t="n"/>
      <c r="E167" s="90" t="n"/>
      <c r="F167" s="91" t="n"/>
      <c r="G167" s="91" t="n"/>
      <c r="H167" s="91" t="n"/>
      <c r="I167" s="91" t="n"/>
      <c r="J167" s="94" t="str">
        <f>IF(B167="",IF(COUNTA(C167:I167)&gt;0,"Informe o nome interno",""),IF(SUMPRODUCT(--($B$6:$B$205=B167))&gt;1,"Nome repetido","OK"))</f>
        <v/>
      </c>
      <c r="K167" s="96">
        <f>IF(B167&lt;&gt;"",1,0)</f>
        <v>0</v>
      </c>
      <c r="L167" s="96" t="str">
        <f>IF(K167=1,COUNTIF($K$6:K167,1),"")</f>
        <v/>
      </c>
      <c r="M167" s="96" t="str">
        <f>IF(K167=0,"",SUMIFS('ITENS_MTR'!$I$6:$I$1005,'ITENS_MTR'!$C$6:$C$1005,B167,'ITENS_MTR'!$AP$6:$AP$1005,1,'ITENS_MTR'!$Y$6:$Y$1005,1))</f>
        <v/>
      </c>
      <c r="N167" s="96" t="str">
        <f>IF(N(M167)&gt;0,M167+(1000-162)/1000000,"")</f>
        <v/>
      </c>
    </row>
    <row r="168">
      <c r="A168" s="89" t="inlineStr">
        <is>
          <t>RS-163</t>
        </is>
      </c>
      <c r="B168" s="91" t="n"/>
      <c r="C168" s="91" t="n"/>
      <c r="D168" s="91" t="n"/>
      <c r="E168" s="90" t="n"/>
      <c r="F168" s="91" t="n"/>
      <c r="G168" s="91" t="n"/>
      <c r="H168" s="91" t="n"/>
      <c r="I168" s="91" t="n"/>
      <c r="J168" s="94" t="str">
        <f>IF(B168="",IF(COUNTA(C168:I168)&gt;0,"Informe o nome interno",""),IF(SUMPRODUCT(--($B$6:$B$205=B168))&gt;1,"Nome repetido","OK"))</f>
        <v/>
      </c>
      <c r="K168" s="96">
        <f>IF(B168&lt;&gt;"",1,0)</f>
        <v>0</v>
      </c>
      <c r="L168" s="96" t="str">
        <f>IF(K168=1,COUNTIF($K$6:K168,1),"")</f>
        <v/>
      </c>
      <c r="M168" s="96" t="str">
        <f>IF(K168=0,"",SUMIFS('ITENS_MTR'!$I$6:$I$1005,'ITENS_MTR'!$C$6:$C$1005,B168,'ITENS_MTR'!$AP$6:$AP$1005,1,'ITENS_MTR'!$Y$6:$Y$1005,1))</f>
        <v/>
      </c>
      <c r="N168" s="96" t="str">
        <f>IF(N(M168)&gt;0,M168+(1000-163)/1000000,"")</f>
        <v/>
      </c>
    </row>
    <row r="169">
      <c r="A169" s="89" t="inlineStr">
        <is>
          <t>RS-164</t>
        </is>
      </c>
      <c r="B169" s="91" t="n"/>
      <c r="C169" s="91" t="n"/>
      <c r="D169" s="91" t="n"/>
      <c r="E169" s="90" t="n"/>
      <c r="F169" s="91" t="n"/>
      <c r="G169" s="91" t="n"/>
      <c r="H169" s="91" t="n"/>
      <c r="I169" s="91" t="n"/>
      <c r="J169" s="94" t="str">
        <f>IF(B169="",IF(COUNTA(C169:I169)&gt;0,"Informe o nome interno",""),IF(SUMPRODUCT(--($B$6:$B$205=B169))&gt;1,"Nome repetido","OK"))</f>
        <v/>
      </c>
      <c r="K169" s="96">
        <f>IF(B169&lt;&gt;"",1,0)</f>
        <v>0</v>
      </c>
      <c r="L169" s="96" t="str">
        <f>IF(K169=1,COUNTIF($K$6:K169,1),"")</f>
        <v/>
      </c>
      <c r="M169" s="96" t="str">
        <f>IF(K169=0,"",SUMIFS('ITENS_MTR'!$I$6:$I$1005,'ITENS_MTR'!$C$6:$C$1005,B169,'ITENS_MTR'!$AP$6:$AP$1005,1,'ITENS_MTR'!$Y$6:$Y$1005,1))</f>
        <v/>
      </c>
      <c r="N169" s="96" t="str">
        <f>IF(N(M169)&gt;0,M169+(1000-164)/1000000,"")</f>
        <v/>
      </c>
    </row>
    <row r="170">
      <c r="A170" s="89" t="inlineStr">
        <is>
          <t>RS-165</t>
        </is>
      </c>
      <c r="B170" s="91" t="n"/>
      <c r="C170" s="91" t="n"/>
      <c r="D170" s="91" t="n"/>
      <c r="E170" s="90" t="n"/>
      <c r="F170" s="91" t="n"/>
      <c r="G170" s="91" t="n"/>
      <c r="H170" s="91" t="n"/>
      <c r="I170" s="91" t="n"/>
      <c r="J170" s="94" t="str">
        <f>IF(B170="",IF(COUNTA(C170:I170)&gt;0,"Informe o nome interno",""),IF(SUMPRODUCT(--($B$6:$B$205=B170))&gt;1,"Nome repetido","OK"))</f>
        <v/>
      </c>
      <c r="K170" s="96">
        <f>IF(B170&lt;&gt;"",1,0)</f>
        <v>0</v>
      </c>
      <c r="L170" s="96" t="str">
        <f>IF(K170=1,COUNTIF($K$6:K170,1),"")</f>
        <v/>
      </c>
      <c r="M170" s="96" t="str">
        <f>IF(K170=0,"",SUMIFS('ITENS_MTR'!$I$6:$I$1005,'ITENS_MTR'!$C$6:$C$1005,B170,'ITENS_MTR'!$AP$6:$AP$1005,1,'ITENS_MTR'!$Y$6:$Y$1005,1))</f>
        <v/>
      </c>
      <c r="N170" s="96" t="str">
        <f>IF(N(M170)&gt;0,M170+(1000-165)/1000000,"")</f>
        <v/>
      </c>
    </row>
    <row r="171">
      <c r="A171" s="89" t="inlineStr">
        <is>
          <t>RS-166</t>
        </is>
      </c>
      <c r="B171" s="91" t="n"/>
      <c r="C171" s="91" t="n"/>
      <c r="D171" s="91" t="n"/>
      <c r="E171" s="90" t="n"/>
      <c r="F171" s="91" t="n"/>
      <c r="G171" s="91" t="n"/>
      <c r="H171" s="91" t="n"/>
      <c r="I171" s="91" t="n"/>
      <c r="J171" s="94" t="str">
        <f>IF(B171="",IF(COUNTA(C171:I171)&gt;0,"Informe o nome interno",""),IF(SUMPRODUCT(--($B$6:$B$205=B171))&gt;1,"Nome repetido","OK"))</f>
        <v/>
      </c>
      <c r="K171" s="96">
        <f>IF(B171&lt;&gt;"",1,0)</f>
        <v>0</v>
      </c>
      <c r="L171" s="96" t="str">
        <f>IF(K171=1,COUNTIF($K$6:K171,1),"")</f>
        <v/>
      </c>
      <c r="M171" s="96" t="str">
        <f>IF(K171=0,"",SUMIFS('ITENS_MTR'!$I$6:$I$1005,'ITENS_MTR'!$C$6:$C$1005,B171,'ITENS_MTR'!$AP$6:$AP$1005,1,'ITENS_MTR'!$Y$6:$Y$1005,1))</f>
        <v/>
      </c>
      <c r="N171" s="96" t="str">
        <f>IF(N(M171)&gt;0,M171+(1000-166)/1000000,"")</f>
        <v/>
      </c>
    </row>
    <row r="172">
      <c r="A172" s="89" t="inlineStr">
        <is>
          <t>RS-167</t>
        </is>
      </c>
      <c r="B172" s="91" t="n"/>
      <c r="C172" s="91" t="n"/>
      <c r="D172" s="91" t="n"/>
      <c r="E172" s="90" t="n"/>
      <c r="F172" s="91" t="n"/>
      <c r="G172" s="91" t="n"/>
      <c r="H172" s="91" t="n"/>
      <c r="I172" s="91" t="n"/>
      <c r="J172" s="94" t="str">
        <f>IF(B172="",IF(COUNTA(C172:I172)&gt;0,"Informe o nome interno",""),IF(SUMPRODUCT(--($B$6:$B$205=B172))&gt;1,"Nome repetido","OK"))</f>
        <v/>
      </c>
      <c r="K172" s="96">
        <f>IF(B172&lt;&gt;"",1,0)</f>
        <v>0</v>
      </c>
      <c r="L172" s="96" t="str">
        <f>IF(K172=1,COUNTIF($K$6:K172,1),"")</f>
        <v/>
      </c>
      <c r="M172" s="96" t="str">
        <f>IF(K172=0,"",SUMIFS('ITENS_MTR'!$I$6:$I$1005,'ITENS_MTR'!$C$6:$C$1005,B172,'ITENS_MTR'!$AP$6:$AP$1005,1,'ITENS_MTR'!$Y$6:$Y$1005,1))</f>
        <v/>
      </c>
      <c r="N172" s="96" t="str">
        <f>IF(N(M172)&gt;0,M172+(1000-167)/1000000,"")</f>
        <v/>
      </c>
    </row>
    <row r="173">
      <c r="A173" s="89" t="inlineStr">
        <is>
          <t>RS-168</t>
        </is>
      </c>
      <c r="B173" s="91" t="n"/>
      <c r="C173" s="91" t="n"/>
      <c r="D173" s="91" t="n"/>
      <c r="E173" s="90" t="n"/>
      <c r="F173" s="91" t="n"/>
      <c r="G173" s="91" t="n"/>
      <c r="H173" s="91" t="n"/>
      <c r="I173" s="91" t="n"/>
      <c r="J173" s="94" t="str">
        <f>IF(B173="",IF(COUNTA(C173:I173)&gt;0,"Informe o nome interno",""),IF(SUMPRODUCT(--($B$6:$B$205=B173))&gt;1,"Nome repetido","OK"))</f>
        <v/>
      </c>
      <c r="K173" s="96">
        <f>IF(B173&lt;&gt;"",1,0)</f>
        <v>0</v>
      </c>
      <c r="L173" s="96" t="str">
        <f>IF(K173=1,COUNTIF($K$6:K173,1),"")</f>
        <v/>
      </c>
      <c r="M173" s="96" t="str">
        <f>IF(K173=0,"",SUMIFS('ITENS_MTR'!$I$6:$I$1005,'ITENS_MTR'!$C$6:$C$1005,B173,'ITENS_MTR'!$AP$6:$AP$1005,1,'ITENS_MTR'!$Y$6:$Y$1005,1))</f>
        <v/>
      </c>
      <c r="N173" s="96" t="str">
        <f>IF(N(M173)&gt;0,M173+(1000-168)/1000000,"")</f>
        <v/>
      </c>
    </row>
    <row r="174">
      <c r="A174" s="89" t="inlineStr">
        <is>
          <t>RS-169</t>
        </is>
      </c>
      <c r="B174" s="91" t="n"/>
      <c r="C174" s="91" t="n"/>
      <c r="D174" s="91" t="n"/>
      <c r="E174" s="90" t="n"/>
      <c r="F174" s="91" t="n"/>
      <c r="G174" s="91" t="n"/>
      <c r="H174" s="91" t="n"/>
      <c r="I174" s="91" t="n"/>
      <c r="J174" s="94" t="str">
        <f>IF(B174="",IF(COUNTA(C174:I174)&gt;0,"Informe o nome interno",""),IF(SUMPRODUCT(--($B$6:$B$205=B174))&gt;1,"Nome repetido","OK"))</f>
        <v/>
      </c>
      <c r="K174" s="96">
        <f>IF(B174&lt;&gt;"",1,0)</f>
        <v>0</v>
      </c>
      <c r="L174" s="96" t="str">
        <f>IF(K174=1,COUNTIF($K$6:K174,1),"")</f>
        <v/>
      </c>
      <c r="M174" s="96" t="str">
        <f>IF(K174=0,"",SUMIFS('ITENS_MTR'!$I$6:$I$1005,'ITENS_MTR'!$C$6:$C$1005,B174,'ITENS_MTR'!$AP$6:$AP$1005,1,'ITENS_MTR'!$Y$6:$Y$1005,1))</f>
        <v/>
      </c>
      <c r="N174" s="96" t="str">
        <f>IF(N(M174)&gt;0,M174+(1000-169)/1000000,"")</f>
        <v/>
      </c>
    </row>
    <row r="175">
      <c r="A175" s="89" t="inlineStr">
        <is>
          <t>RS-170</t>
        </is>
      </c>
      <c r="B175" s="91" t="n"/>
      <c r="C175" s="91" t="n"/>
      <c r="D175" s="91" t="n"/>
      <c r="E175" s="90" t="n"/>
      <c r="F175" s="91" t="n"/>
      <c r="G175" s="91" t="n"/>
      <c r="H175" s="91" t="n"/>
      <c r="I175" s="91" t="n"/>
      <c r="J175" s="94" t="str">
        <f>IF(B175="",IF(COUNTA(C175:I175)&gt;0,"Informe o nome interno",""),IF(SUMPRODUCT(--($B$6:$B$205=B175))&gt;1,"Nome repetido","OK"))</f>
        <v/>
      </c>
      <c r="K175" s="96">
        <f>IF(B175&lt;&gt;"",1,0)</f>
        <v>0</v>
      </c>
      <c r="L175" s="96" t="str">
        <f>IF(K175=1,COUNTIF($K$6:K175,1),"")</f>
        <v/>
      </c>
      <c r="M175" s="96" t="str">
        <f>IF(K175=0,"",SUMIFS('ITENS_MTR'!$I$6:$I$1005,'ITENS_MTR'!$C$6:$C$1005,B175,'ITENS_MTR'!$AP$6:$AP$1005,1,'ITENS_MTR'!$Y$6:$Y$1005,1))</f>
        <v/>
      </c>
      <c r="N175" s="96" t="str">
        <f>IF(N(M175)&gt;0,M175+(1000-170)/1000000,"")</f>
        <v/>
      </c>
    </row>
    <row r="176">
      <c r="A176" s="89" t="inlineStr">
        <is>
          <t>RS-171</t>
        </is>
      </c>
      <c r="B176" s="91" t="n"/>
      <c r="C176" s="91" t="n"/>
      <c r="D176" s="91" t="n"/>
      <c r="E176" s="90" t="n"/>
      <c r="F176" s="91" t="n"/>
      <c r="G176" s="91" t="n"/>
      <c r="H176" s="91" t="n"/>
      <c r="I176" s="91" t="n"/>
      <c r="J176" s="94" t="str">
        <f>IF(B176="",IF(COUNTA(C176:I176)&gt;0,"Informe o nome interno",""),IF(SUMPRODUCT(--($B$6:$B$205=B176))&gt;1,"Nome repetido","OK"))</f>
        <v/>
      </c>
      <c r="K176" s="96">
        <f>IF(B176&lt;&gt;"",1,0)</f>
        <v>0</v>
      </c>
      <c r="L176" s="96" t="str">
        <f>IF(K176=1,COUNTIF($K$6:K176,1),"")</f>
        <v/>
      </c>
      <c r="M176" s="96" t="str">
        <f>IF(K176=0,"",SUMIFS('ITENS_MTR'!$I$6:$I$1005,'ITENS_MTR'!$C$6:$C$1005,B176,'ITENS_MTR'!$AP$6:$AP$1005,1,'ITENS_MTR'!$Y$6:$Y$1005,1))</f>
        <v/>
      </c>
      <c r="N176" s="96" t="str">
        <f>IF(N(M176)&gt;0,M176+(1000-171)/1000000,"")</f>
        <v/>
      </c>
    </row>
    <row r="177">
      <c r="A177" s="89" t="inlineStr">
        <is>
          <t>RS-172</t>
        </is>
      </c>
      <c r="B177" s="91" t="n"/>
      <c r="C177" s="91" t="n"/>
      <c r="D177" s="91" t="n"/>
      <c r="E177" s="90" t="n"/>
      <c r="F177" s="91" t="n"/>
      <c r="G177" s="91" t="n"/>
      <c r="H177" s="91" t="n"/>
      <c r="I177" s="91" t="n"/>
      <c r="J177" s="94" t="str">
        <f>IF(B177="",IF(COUNTA(C177:I177)&gt;0,"Informe o nome interno",""),IF(SUMPRODUCT(--($B$6:$B$205=B177))&gt;1,"Nome repetido","OK"))</f>
        <v/>
      </c>
      <c r="K177" s="96">
        <f>IF(B177&lt;&gt;"",1,0)</f>
        <v>0</v>
      </c>
      <c r="L177" s="96" t="str">
        <f>IF(K177=1,COUNTIF($K$6:K177,1),"")</f>
        <v/>
      </c>
      <c r="M177" s="96" t="str">
        <f>IF(K177=0,"",SUMIFS('ITENS_MTR'!$I$6:$I$1005,'ITENS_MTR'!$C$6:$C$1005,B177,'ITENS_MTR'!$AP$6:$AP$1005,1,'ITENS_MTR'!$Y$6:$Y$1005,1))</f>
        <v/>
      </c>
      <c r="N177" s="96" t="str">
        <f>IF(N(M177)&gt;0,M177+(1000-172)/1000000,"")</f>
        <v/>
      </c>
    </row>
    <row r="178">
      <c r="A178" s="89" t="inlineStr">
        <is>
          <t>RS-173</t>
        </is>
      </c>
      <c r="B178" s="91" t="n"/>
      <c r="C178" s="91" t="n"/>
      <c r="D178" s="91" t="n"/>
      <c r="E178" s="90" t="n"/>
      <c r="F178" s="91" t="n"/>
      <c r="G178" s="91" t="n"/>
      <c r="H178" s="91" t="n"/>
      <c r="I178" s="91" t="n"/>
      <c r="J178" s="94" t="str">
        <f>IF(B178="",IF(COUNTA(C178:I178)&gt;0,"Informe o nome interno",""),IF(SUMPRODUCT(--($B$6:$B$205=B178))&gt;1,"Nome repetido","OK"))</f>
        <v/>
      </c>
      <c r="K178" s="96">
        <f>IF(B178&lt;&gt;"",1,0)</f>
        <v>0</v>
      </c>
      <c r="L178" s="96" t="str">
        <f>IF(K178=1,COUNTIF($K$6:K178,1),"")</f>
        <v/>
      </c>
      <c r="M178" s="96" t="str">
        <f>IF(K178=0,"",SUMIFS('ITENS_MTR'!$I$6:$I$1005,'ITENS_MTR'!$C$6:$C$1005,B178,'ITENS_MTR'!$AP$6:$AP$1005,1,'ITENS_MTR'!$Y$6:$Y$1005,1))</f>
        <v/>
      </c>
      <c r="N178" s="96" t="str">
        <f>IF(N(M178)&gt;0,M178+(1000-173)/1000000,"")</f>
        <v/>
      </c>
    </row>
    <row r="179">
      <c r="A179" s="89" t="inlineStr">
        <is>
          <t>RS-174</t>
        </is>
      </c>
      <c r="B179" s="91" t="n"/>
      <c r="C179" s="91" t="n"/>
      <c r="D179" s="91" t="n"/>
      <c r="E179" s="90" t="n"/>
      <c r="F179" s="91" t="n"/>
      <c r="G179" s="91" t="n"/>
      <c r="H179" s="91" t="n"/>
      <c r="I179" s="91" t="n"/>
      <c r="J179" s="94" t="str">
        <f>IF(B179="",IF(COUNTA(C179:I179)&gt;0,"Informe o nome interno",""),IF(SUMPRODUCT(--($B$6:$B$205=B179))&gt;1,"Nome repetido","OK"))</f>
        <v/>
      </c>
      <c r="K179" s="96">
        <f>IF(B179&lt;&gt;"",1,0)</f>
        <v>0</v>
      </c>
      <c r="L179" s="96" t="str">
        <f>IF(K179=1,COUNTIF($K$6:K179,1),"")</f>
        <v/>
      </c>
      <c r="M179" s="96" t="str">
        <f>IF(K179=0,"",SUMIFS('ITENS_MTR'!$I$6:$I$1005,'ITENS_MTR'!$C$6:$C$1005,B179,'ITENS_MTR'!$AP$6:$AP$1005,1,'ITENS_MTR'!$Y$6:$Y$1005,1))</f>
        <v/>
      </c>
      <c r="N179" s="96" t="str">
        <f>IF(N(M179)&gt;0,M179+(1000-174)/1000000,"")</f>
        <v/>
      </c>
    </row>
    <row r="180">
      <c r="A180" s="89" t="inlineStr">
        <is>
          <t>RS-175</t>
        </is>
      </c>
      <c r="B180" s="91" t="n"/>
      <c r="C180" s="91" t="n"/>
      <c r="D180" s="91" t="n"/>
      <c r="E180" s="90" t="n"/>
      <c r="F180" s="91" t="n"/>
      <c r="G180" s="91" t="n"/>
      <c r="H180" s="91" t="n"/>
      <c r="I180" s="91" t="n"/>
      <c r="J180" s="94" t="str">
        <f>IF(B180="",IF(COUNTA(C180:I180)&gt;0,"Informe o nome interno",""),IF(SUMPRODUCT(--($B$6:$B$205=B180))&gt;1,"Nome repetido","OK"))</f>
        <v/>
      </c>
      <c r="K180" s="96">
        <f>IF(B180&lt;&gt;"",1,0)</f>
        <v>0</v>
      </c>
      <c r="L180" s="96" t="str">
        <f>IF(K180=1,COUNTIF($K$6:K180,1),"")</f>
        <v/>
      </c>
      <c r="M180" s="96" t="str">
        <f>IF(K180=0,"",SUMIFS('ITENS_MTR'!$I$6:$I$1005,'ITENS_MTR'!$C$6:$C$1005,B180,'ITENS_MTR'!$AP$6:$AP$1005,1,'ITENS_MTR'!$Y$6:$Y$1005,1))</f>
        <v/>
      </c>
      <c r="N180" s="96" t="str">
        <f>IF(N(M180)&gt;0,M180+(1000-175)/1000000,"")</f>
        <v/>
      </c>
    </row>
    <row r="181">
      <c r="A181" s="89" t="inlineStr">
        <is>
          <t>RS-176</t>
        </is>
      </c>
      <c r="B181" s="91" t="n"/>
      <c r="C181" s="91" t="n"/>
      <c r="D181" s="91" t="n"/>
      <c r="E181" s="90" t="n"/>
      <c r="F181" s="91" t="n"/>
      <c r="G181" s="91" t="n"/>
      <c r="H181" s="91" t="n"/>
      <c r="I181" s="91" t="n"/>
      <c r="J181" s="94" t="str">
        <f>IF(B181="",IF(COUNTA(C181:I181)&gt;0,"Informe o nome interno",""),IF(SUMPRODUCT(--($B$6:$B$205=B181))&gt;1,"Nome repetido","OK"))</f>
        <v/>
      </c>
      <c r="K181" s="96">
        <f>IF(B181&lt;&gt;"",1,0)</f>
        <v>0</v>
      </c>
      <c r="L181" s="96" t="str">
        <f>IF(K181=1,COUNTIF($K$6:K181,1),"")</f>
        <v/>
      </c>
      <c r="M181" s="96" t="str">
        <f>IF(K181=0,"",SUMIFS('ITENS_MTR'!$I$6:$I$1005,'ITENS_MTR'!$C$6:$C$1005,B181,'ITENS_MTR'!$AP$6:$AP$1005,1,'ITENS_MTR'!$Y$6:$Y$1005,1))</f>
        <v/>
      </c>
      <c r="N181" s="96" t="str">
        <f>IF(N(M181)&gt;0,M181+(1000-176)/1000000,"")</f>
        <v/>
      </c>
    </row>
    <row r="182">
      <c r="A182" s="89" t="inlineStr">
        <is>
          <t>RS-177</t>
        </is>
      </c>
      <c r="B182" s="91" t="n"/>
      <c r="C182" s="91" t="n"/>
      <c r="D182" s="91" t="n"/>
      <c r="E182" s="90" t="n"/>
      <c r="F182" s="91" t="n"/>
      <c r="G182" s="91" t="n"/>
      <c r="H182" s="91" t="n"/>
      <c r="I182" s="91" t="n"/>
      <c r="J182" s="94" t="str">
        <f>IF(B182="",IF(COUNTA(C182:I182)&gt;0,"Informe o nome interno",""),IF(SUMPRODUCT(--($B$6:$B$205=B182))&gt;1,"Nome repetido","OK"))</f>
        <v/>
      </c>
      <c r="K182" s="96">
        <f>IF(B182&lt;&gt;"",1,0)</f>
        <v>0</v>
      </c>
      <c r="L182" s="96" t="str">
        <f>IF(K182=1,COUNTIF($K$6:K182,1),"")</f>
        <v/>
      </c>
      <c r="M182" s="96" t="str">
        <f>IF(K182=0,"",SUMIFS('ITENS_MTR'!$I$6:$I$1005,'ITENS_MTR'!$C$6:$C$1005,B182,'ITENS_MTR'!$AP$6:$AP$1005,1,'ITENS_MTR'!$Y$6:$Y$1005,1))</f>
        <v/>
      </c>
      <c r="N182" s="96" t="str">
        <f>IF(N(M182)&gt;0,M182+(1000-177)/1000000,"")</f>
        <v/>
      </c>
    </row>
    <row r="183">
      <c r="A183" s="89" t="inlineStr">
        <is>
          <t>RS-178</t>
        </is>
      </c>
      <c r="B183" s="91" t="n"/>
      <c r="C183" s="91" t="n"/>
      <c r="D183" s="91" t="n"/>
      <c r="E183" s="90" t="n"/>
      <c r="F183" s="91" t="n"/>
      <c r="G183" s="91" t="n"/>
      <c r="H183" s="91" t="n"/>
      <c r="I183" s="91" t="n"/>
      <c r="J183" s="94" t="str">
        <f>IF(B183="",IF(COUNTA(C183:I183)&gt;0,"Informe o nome interno",""),IF(SUMPRODUCT(--($B$6:$B$205=B183))&gt;1,"Nome repetido","OK"))</f>
        <v/>
      </c>
      <c r="K183" s="96">
        <f>IF(B183&lt;&gt;"",1,0)</f>
        <v>0</v>
      </c>
      <c r="L183" s="96" t="str">
        <f>IF(K183=1,COUNTIF($K$6:K183,1),"")</f>
        <v/>
      </c>
      <c r="M183" s="96" t="str">
        <f>IF(K183=0,"",SUMIFS('ITENS_MTR'!$I$6:$I$1005,'ITENS_MTR'!$C$6:$C$1005,B183,'ITENS_MTR'!$AP$6:$AP$1005,1,'ITENS_MTR'!$Y$6:$Y$1005,1))</f>
        <v/>
      </c>
      <c r="N183" s="96" t="str">
        <f>IF(N(M183)&gt;0,M183+(1000-178)/1000000,"")</f>
        <v/>
      </c>
    </row>
    <row r="184">
      <c r="A184" s="89" t="inlineStr">
        <is>
          <t>RS-179</t>
        </is>
      </c>
      <c r="B184" s="91" t="n"/>
      <c r="C184" s="91" t="n"/>
      <c r="D184" s="91" t="n"/>
      <c r="E184" s="90" t="n"/>
      <c r="F184" s="91" t="n"/>
      <c r="G184" s="91" t="n"/>
      <c r="H184" s="91" t="n"/>
      <c r="I184" s="91" t="n"/>
      <c r="J184" s="94" t="str">
        <f>IF(B184="",IF(COUNTA(C184:I184)&gt;0,"Informe o nome interno",""),IF(SUMPRODUCT(--($B$6:$B$205=B184))&gt;1,"Nome repetido","OK"))</f>
        <v/>
      </c>
      <c r="K184" s="96">
        <f>IF(B184&lt;&gt;"",1,0)</f>
        <v>0</v>
      </c>
      <c r="L184" s="96" t="str">
        <f>IF(K184=1,COUNTIF($K$6:K184,1),"")</f>
        <v/>
      </c>
      <c r="M184" s="96" t="str">
        <f>IF(K184=0,"",SUMIFS('ITENS_MTR'!$I$6:$I$1005,'ITENS_MTR'!$C$6:$C$1005,B184,'ITENS_MTR'!$AP$6:$AP$1005,1,'ITENS_MTR'!$Y$6:$Y$1005,1))</f>
        <v/>
      </c>
      <c r="N184" s="96" t="str">
        <f>IF(N(M184)&gt;0,M184+(1000-179)/1000000,"")</f>
        <v/>
      </c>
    </row>
    <row r="185">
      <c r="A185" s="89" t="inlineStr">
        <is>
          <t>RS-180</t>
        </is>
      </c>
      <c r="B185" s="91" t="n"/>
      <c r="C185" s="91" t="n"/>
      <c r="D185" s="91" t="n"/>
      <c r="E185" s="90" t="n"/>
      <c r="F185" s="91" t="n"/>
      <c r="G185" s="91" t="n"/>
      <c r="H185" s="91" t="n"/>
      <c r="I185" s="91" t="n"/>
      <c r="J185" s="94" t="str">
        <f>IF(B185="",IF(COUNTA(C185:I185)&gt;0,"Informe o nome interno",""),IF(SUMPRODUCT(--($B$6:$B$205=B185))&gt;1,"Nome repetido","OK"))</f>
        <v/>
      </c>
      <c r="K185" s="96">
        <f>IF(B185&lt;&gt;"",1,0)</f>
        <v>0</v>
      </c>
      <c r="L185" s="96" t="str">
        <f>IF(K185=1,COUNTIF($K$6:K185,1),"")</f>
        <v/>
      </c>
      <c r="M185" s="96" t="str">
        <f>IF(K185=0,"",SUMIFS('ITENS_MTR'!$I$6:$I$1005,'ITENS_MTR'!$C$6:$C$1005,B185,'ITENS_MTR'!$AP$6:$AP$1005,1,'ITENS_MTR'!$Y$6:$Y$1005,1))</f>
        <v/>
      </c>
      <c r="N185" s="96" t="str">
        <f>IF(N(M185)&gt;0,M185+(1000-180)/1000000,"")</f>
        <v/>
      </c>
    </row>
    <row r="186">
      <c r="A186" s="89" t="inlineStr">
        <is>
          <t>RS-181</t>
        </is>
      </c>
      <c r="B186" s="91" t="n"/>
      <c r="C186" s="91" t="n"/>
      <c r="D186" s="91" t="n"/>
      <c r="E186" s="90" t="n"/>
      <c r="F186" s="91" t="n"/>
      <c r="G186" s="91" t="n"/>
      <c r="H186" s="91" t="n"/>
      <c r="I186" s="91" t="n"/>
      <c r="J186" s="94" t="str">
        <f>IF(B186="",IF(COUNTA(C186:I186)&gt;0,"Informe o nome interno",""),IF(SUMPRODUCT(--($B$6:$B$205=B186))&gt;1,"Nome repetido","OK"))</f>
        <v/>
      </c>
      <c r="K186" s="96">
        <f>IF(B186&lt;&gt;"",1,0)</f>
        <v>0</v>
      </c>
      <c r="L186" s="96" t="str">
        <f>IF(K186=1,COUNTIF($K$6:K186,1),"")</f>
        <v/>
      </c>
      <c r="M186" s="96" t="str">
        <f>IF(K186=0,"",SUMIFS('ITENS_MTR'!$I$6:$I$1005,'ITENS_MTR'!$C$6:$C$1005,B186,'ITENS_MTR'!$AP$6:$AP$1005,1,'ITENS_MTR'!$Y$6:$Y$1005,1))</f>
        <v/>
      </c>
      <c r="N186" s="96" t="str">
        <f>IF(N(M186)&gt;0,M186+(1000-181)/1000000,"")</f>
        <v/>
      </c>
    </row>
    <row r="187">
      <c r="A187" s="89" t="inlineStr">
        <is>
          <t>RS-182</t>
        </is>
      </c>
      <c r="B187" s="91" t="n"/>
      <c r="C187" s="91" t="n"/>
      <c r="D187" s="91" t="n"/>
      <c r="E187" s="90" t="n"/>
      <c r="F187" s="91" t="n"/>
      <c r="G187" s="91" t="n"/>
      <c r="H187" s="91" t="n"/>
      <c r="I187" s="91" t="n"/>
      <c r="J187" s="94" t="str">
        <f>IF(B187="",IF(COUNTA(C187:I187)&gt;0,"Informe o nome interno",""),IF(SUMPRODUCT(--($B$6:$B$205=B187))&gt;1,"Nome repetido","OK"))</f>
        <v/>
      </c>
      <c r="K187" s="96">
        <f>IF(B187&lt;&gt;"",1,0)</f>
        <v>0</v>
      </c>
      <c r="L187" s="96" t="str">
        <f>IF(K187=1,COUNTIF($K$6:K187,1),"")</f>
        <v/>
      </c>
      <c r="M187" s="96" t="str">
        <f>IF(K187=0,"",SUMIFS('ITENS_MTR'!$I$6:$I$1005,'ITENS_MTR'!$C$6:$C$1005,B187,'ITENS_MTR'!$AP$6:$AP$1005,1,'ITENS_MTR'!$Y$6:$Y$1005,1))</f>
        <v/>
      </c>
      <c r="N187" s="96" t="str">
        <f>IF(N(M187)&gt;0,M187+(1000-182)/1000000,"")</f>
        <v/>
      </c>
    </row>
    <row r="188">
      <c r="A188" s="89" t="inlineStr">
        <is>
          <t>RS-183</t>
        </is>
      </c>
      <c r="B188" s="91" t="n"/>
      <c r="C188" s="91" t="n"/>
      <c r="D188" s="91" t="n"/>
      <c r="E188" s="90" t="n"/>
      <c r="F188" s="91" t="n"/>
      <c r="G188" s="91" t="n"/>
      <c r="H188" s="91" t="n"/>
      <c r="I188" s="91" t="n"/>
      <c r="J188" s="94" t="str">
        <f>IF(B188="",IF(COUNTA(C188:I188)&gt;0,"Informe o nome interno",""),IF(SUMPRODUCT(--($B$6:$B$205=B188))&gt;1,"Nome repetido","OK"))</f>
        <v/>
      </c>
      <c r="K188" s="96">
        <f>IF(B188&lt;&gt;"",1,0)</f>
        <v>0</v>
      </c>
      <c r="L188" s="96" t="str">
        <f>IF(K188=1,COUNTIF($K$6:K188,1),"")</f>
        <v/>
      </c>
      <c r="M188" s="96" t="str">
        <f>IF(K188=0,"",SUMIFS('ITENS_MTR'!$I$6:$I$1005,'ITENS_MTR'!$C$6:$C$1005,B188,'ITENS_MTR'!$AP$6:$AP$1005,1,'ITENS_MTR'!$Y$6:$Y$1005,1))</f>
        <v/>
      </c>
      <c r="N188" s="96" t="str">
        <f>IF(N(M188)&gt;0,M188+(1000-183)/1000000,"")</f>
        <v/>
      </c>
    </row>
    <row r="189">
      <c r="A189" s="89" t="inlineStr">
        <is>
          <t>RS-184</t>
        </is>
      </c>
      <c r="B189" s="91" t="n"/>
      <c r="C189" s="91" t="n"/>
      <c r="D189" s="91" t="n"/>
      <c r="E189" s="90" t="n"/>
      <c r="F189" s="91" t="n"/>
      <c r="G189" s="91" t="n"/>
      <c r="H189" s="91" t="n"/>
      <c r="I189" s="91" t="n"/>
      <c r="J189" s="94" t="str">
        <f>IF(B189="",IF(COUNTA(C189:I189)&gt;0,"Informe o nome interno",""),IF(SUMPRODUCT(--($B$6:$B$205=B189))&gt;1,"Nome repetido","OK"))</f>
        <v/>
      </c>
      <c r="K189" s="96">
        <f>IF(B189&lt;&gt;"",1,0)</f>
        <v>0</v>
      </c>
      <c r="L189" s="96" t="str">
        <f>IF(K189=1,COUNTIF($K$6:K189,1),"")</f>
        <v/>
      </c>
      <c r="M189" s="96" t="str">
        <f>IF(K189=0,"",SUMIFS('ITENS_MTR'!$I$6:$I$1005,'ITENS_MTR'!$C$6:$C$1005,B189,'ITENS_MTR'!$AP$6:$AP$1005,1,'ITENS_MTR'!$Y$6:$Y$1005,1))</f>
        <v/>
      </c>
      <c r="N189" s="96" t="str">
        <f>IF(N(M189)&gt;0,M189+(1000-184)/1000000,"")</f>
        <v/>
      </c>
    </row>
    <row r="190">
      <c r="A190" s="89" t="inlineStr">
        <is>
          <t>RS-185</t>
        </is>
      </c>
      <c r="B190" s="91" t="n"/>
      <c r="C190" s="91" t="n"/>
      <c r="D190" s="91" t="n"/>
      <c r="E190" s="90" t="n"/>
      <c r="F190" s="91" t="n"/>
      <c r="G190" s="91" t="n"/>
      <c r="H190" s="91" t="n"/>
      <c r="I190" s="91" t="n"/>
      <c r="J190" s="94" t="str">
        <f>IF(B190="",IF(COUNTA(C190:I190)&gt;0,"Informe o nome interno",""),IF(SUMPRODUCT(--($B$6:$B$205=B190))&gt;1,"Nome repetido","OK"))</f>
        <v/>
      </c>
      <c r="K190" s="96">
        <f>IF(B190&lt;&gt;"",1,0)</f>
        <v>0</v>
      </c>
      <c r="L190" s="96" t="str">
        <f>IF(K190=1,COUNTIF($K$6:K190,1),"")</f>
        <v/>
      </c>
      <c r="M190" s="96" t="str">
        <f>IF(K190=0,"",SUMIFS('ITENS_MTR'!$I$6:$I$1005,'ITENS_MTR'!$C$6:$C$1005,B190,'ITENS_MTR'!$AP$6:$AP$1005,1,'ITENS_MTR'!$Y$6:$Y$1005,1))</f>
        <v/>
      </c>
      <c r="N190" s="96" t="str">
        <f>IF(N(M190)&gt;0,M190+(1000-185)/1000000,"")</f>
        <v/>
      </c>
    </row>
    <row r="191">
      <c r="A191" s="89" t="inlineStr">
        <is>
          <t>RS-186</t>
        </is>
      </c>
      <c r="B191" s="91" t="n"/>
      <c r="C191" s="91" t="n"/>
      <c r="D191" s="91" t="n"/>
      <c r="E191" s="90" t="n"/>
      <c r="F191" s="91" t="n"/>
      <c r="G191" s="91" t="n"/>
      <c r="H191" s="91" t="n"/>
      <c r="I191" s="91" t="n"/>
      <c r="J191" s="94" t="str">
        <f>IF(B191="",IF(COUNTA(C191:I191)&gt;0,"Informe o nome interno",""),IF(SUMPRODUCT(--($B$6:$B$205=B191))&gt;1,"Nome repetido","OK"))</f>
        <v/>
      </c>
      <c r="K191" s="96">
        <f>IF(B191&lt;&gt;"",1,0)</f>
        <v>0</v>
      </c>
      <c r="L191" s="96" t="str">
        <f>IF(K191=1,COUNTIF($K$6:K191,1),"")</f>
        <v/>
      </c>
      <c r="M191" s="96" t="str">
        <f>IF(K191=0,"",SUMIFS('ITENS_MTR'!$I$6:$I$1005,'ITENS_MTR'!$C$6:$C$1005,B191,'ITENS_MTR'!$AP$6:$AP$1005,1,'ITENS_MTR'!$Y$6:$Y$1005,1))</f>
        <v/>
      </c>
      <c r="N191" s="96" t="str">
        <f>IF(N(M191)&gt;0,M191+(1000-186)/1000000,"")</f>
        <v/>
      </c>
    </row>
    <row r="192">
      <c r="A192" s="89" t="inlineStr">
        <is>
          <t>RS-187</t>
        </is>
      </c>
      <c r="B192" s="91" t="n"/>
      <c r="C192" s="91" t="n"/>
      <c r="D192" s="91" t="n"/>
      <c r="E192" s="90" t="n"/>
      <c r="F192" s="91" t="n"/>
      <c r="G192" s="91" t="n"/>
      <c r="H192" s="91" t="n"/>
      <c r="I192" s="91" t="n"/>
      <c r="J192" s="94" t="str">
        <f>IF(B192="",IF(COUNTA(C192:I192)&gt;0,"Informe o nome interno",""),IF(SUMPRODUCT(--($B$6:$B$205=B192))&gt;1,"Nome repetido","OK"))</f>
        <v/>
      </c>
      <c r="K192" s="96">
        <f>IF(B192&lt;&gt;"",1,0)</f>
        <v>0</v>
      </c>
      <c r="L192" s="96" t="str">
        <f>IF(K192=1,COUNTIF($K$6:K192,1),"")</f>
        <v/>
      </c>
      <c r="M192" s="96" t="str">
        <f>IF(K192=0,"",SUMIFS('ITENS_MTR'!$I$6:$I$1005,'ITENS_MTR'!$C$6:$C$1005,B192,'ITENS_MTR'!$AP$6:$AP$1005,1,'ITENS_MTR'!$Y$6:$Y$1005,1))</f>
        <v/>
      </c>
      <c r="N192" s="96" t="str">
        <f>IF(N(M192)&gt;0,M192+(1000-187)/1000000,"")</f>
        <v/>
      </c>
    </row>
    <row r="193">
      <c r="A193" s="89" t="inlineStr">
        <is>
          <t>RS-188</t>
        </is>
      </c>
      <c r="B193" s="91" t="n"/>
      <c r="C193" s="91" t="n"/>
      <c r="D193" s="91" t="n"/>
      <c r="E193" s="90" t="n"/>
      <c r="F193" s="91" t="n"/>
      <c r="G193" s="91" t="n"/>
      <c r="H193" s="91" t="n"/>
      <c r="I193" s="91" t="n"/>
      <c r="J193" s="94" t="str">
        <f>IF(B193="",IF(COUNTA(C193:I193)&gt;0,"Informe o nome interno",""),IF(SUMPRODUCT(--($B$6:$B$205=B193))&gt;1,"Nome repetido","OK"))</f>
        <v/>
      </c>
      <c r="K193" s="96">
        <f>IF(B193&lt;&gt;"",1,0)</f>
        <v>0</v>
      </c>
      <c r="L193" s="96" t="str">
        <f>IF(K193=1,COUNTIF($K$6:K193,1),"")</f>
        <v/>
      </c>
      <c r="M193" s="96" t="str">
        <f>IF(K193=0,"",SUMIFS('ITENS_MTR'!$I$6:$I$1005,'ITENS_MTR'!$C$6:$C$1005,B193,'ITENS_MTR'!$AP$6:$AP$1005,1,'ITENS_MTR'!$Y$6:$Y$1005,1))</f>
        <v/>
      </c>
      <c r="N193" s="96" t="str">
        <f>IF(N(M193)&gt;0,M193+(1000-188)/1000000,"")</f>
        <v/>
      </c>
    </row>
    <row r="194">
      <c r="A194" s="89" t="inlineStr">
        <is>
          <t>RS-189</t>
        </is>
      </c>
      <c r="B194" s="91" t="n"/>
      <c r="C194" s="91" t="n"/>
      <c r="D194" s="91" t="n"/>
      <c r="E194" s="90" t="n"/>
      <c r="F194" s="91" t="n"/>
      <c r="G194" s="91" t="n"/>
      <c r="H194" s="91" t="n"/>
      <c r="I194" s="91" t="n"/>
      <c r="J194" s="94" t="str">
        <f>IF(B194="",IF(COUNTA(C194:I194)&gt;0,"Informe o nome interno",""),IF(SUMPRODUCT(--($B$6:$B$205=B194))&gt;1,"Nome repetido","OK"))</f>
        <v/>
      </c>
      <c r="K194" s="96">
        <f>IF(B194&lt;&gt;"",1,0)</f>
        <v>0</v>
      </c>
      <c r="L194" s="96" t="str">
        <f>IF(K194=1,COUNTIF($K$6:K194,1),"")</f>
        <v/>
      </c>
      <c r="M194" s="96" t="str">
        <f>IF(K194=0,"",SUMIFS('ITENS_MTR'!$I$6:$I$1005,'ITENS_MTR'!$C$6:$C$1005,B194,'ITENS_MTR'!$AP$6:$AP$1005,1,'ITENS_MTR'!$Y$6:$Y$1005,1))</f>
        <v/>
      </c>
      <c r="N194" s="96" t="str">
        <f>IF(N(M194)&gt;0,M194+(1000-189)/1000000,"")</f>
        <v/>
      </c>
    </row>
    <row r="195">
      <c r="A195" s="89" t="inlineStr">
        <is>
          <t>RS-190</t>
        </is>
      </c>
      <c r="B195" s="91" t="n"/>
      <c r="C195" s="91" t="n"/>
      <c r="D195" s="91" t="n"/>
      <c r="E195" s="90" t="n"/>
      <c r="F195" s="91" t="n"/>
      <c r="G195" s="91" t="n"/>
      <c r="H195" s="91" t="n"/>
      <c r="I195" s="91" t="n"/>
      <c r="J195" s="94" t="str">
        <f>IF(B195="",IF(COUNTA(C195:I195)&gt;0,"Informe o nome interno",""),IF(SUMPRODUCT(--($B$6:$B$205=B195))&gt;1,"Nome repetido","OK"))</f>
        <v/>
      </c>
      <c r="K195" s="96">
        <f>IF(B195&lt;&gt;"",1,0)</f>
        <v>0</v>
      </c>
      <c r="L195" s="96" t="str">
        <f>IF(K195=1,COUNTIF($K$6:K195,1),"")</f>
        <v/>
      </c>
      <c r="M195" s="96" t="str">
        <f>IF(K195=0,"",SUMIFS('ITENS_MTR'!$I$6:$I$1005,'ITENS_MTR'!$C$6:$C$1005,B195,'ITENS_MTR'!$AP$6:$AP$1005,1,'ITENS_MTR'!$Y$6:$Y$1005,1))</f>
        <v/>
      </c>
      <c r="N195" s="96" t="str">
        <f>IF(N(M195)&gt;0,M195+(1000-190)/1000000,"")</f>
        <v/>
      </c>
    </row>
    <row r="196">
      <c r="A196" s="89" t="inlineStr">
        <is>
          <t>RS-191</t>
        </is>
      </c>
      <c r="B196" s="91" t="n"/>
      <c r="C196" s="91" t="n"/>
      <c r="D196" s="91" t="n"/>
      <c r="E196" s="90" t="n"/>
      <c r="F196" s="91" t="n"/>
      <c r="G196" s="91" t="n"/>
      <c r="H196" s="91" t="n"/>
      <c r="I196" s="91" t="n"/>
      <c r="J196" s="94" t="str">
        <f>IF(B196="",IF(COUNTA(C196:I196)&gt;0,"Informe o nome interno",""),IF(SUMPRODUCT(--($B$6:$B$205=B196))&gt;1,"Nome repetido","OK"))</f>
        <v/>
      </c>
      <c r="K196" s="96">
        <f>IF(B196&lt;&gt;"",1,0)</f>
        <v>0</v>
      </c>
      <c r="L196" s="96" t="str">
        <f>IF(K196=1,COUNTIF($K$6:K196,1),"")</f>
        <v/>
      </c>
      <c r="M196" s="96" t="str">
        <f>IF(K196=0,"",SUMIFS('ITENS_MTR'!$I$6:$I$1005,'ITENS_MTR'!$C$6:$C$1005,B196,'ITENS_MTR'!$AP$6:$AP$1005,1,'ITENS_MTR'!$Y$6:$Y$1005,1))</f>
        <v/>
      </c>
      <c r="N196" s="96" t="str">
        <f>IF(N(M196)&gt;0,M196+(1000-191)/1000000,"")</f>
        <v/>
      </c>
    </row>
    <row r="197">
      <c r="A197" s="89" t="inlineStr">
        <is>
          <t>RS-192</t>
        </is>
      </c>
      <c r="B197" s="91" t="n"/>
      <c r="C197" s="91" t="n"/>
      <c r="D197" s="91" t="n"/>
      <c r="E197" s="90" t="n"/>
      <c r="F197" s="91" t="n"/>
      <c r="G197" s="91" t="n"/>
      <c r="H197" s="91" t="n"/>
      <c r="I197" s="91" t="n"/>
      <c r="J197" s="94" t="str">
        <f>IF(B197="",IF(COUNTA(C197:I197)&gt;0,"Informe o nome interno",""),IF(SUMPRODUCT(--($B$6:$B$205=B197))&gt;1,"Nome repetido","OK"))</f>
        <v/>
      </c>
      <c r="K197" s="96">
        <f>IF(B197&lt;&gt;"",1,0)</f>
        <v>0</v>
      </c>
      <c r="L197" s="96" t="str">
        <f>IF(K197=1,COUNTIF($K$6:K197,1),"")</f>
        <v/>
      </c>
      <c r="M197" s="96" t="str">
        <f>IF(K197=0,"",SUMIFS('ITENS_MTR'!$I$6:$I$1005,'ITENS_MTR'!$C$6:$C$1005,B197,'ITENS_MTR'!$AP$6:$AP$1005,1,'ITENS_MTR'!$Y$6:$Y$1005,1))</f>
        <v/>
      </c>
      <c r="N197" s="96" t="str">
        <f>IF(N(M197)&gt;0,M197+(1000-192)/1000000,"")</f>
        <v/>
      </c>
    </row>
    <row r="198">
      <c r="A198" s="89" t="inlineStr">
        <is>
          <t>RS-193</t>
        </is>
      </c>
      <c r="B198" s="91" t="n"/>
      <c r="C198" s="91" t="n"/>
      <c r="D198" s="91" t="n"/>
      <c r="E198" s="90" t="n"/>
      <c r="F198" s="91" t="n"/>
      <c r="G198" s="91" t="n"/>
      <c r="H198" s="91" t="n"/>
      <c r="I198" s="91" t="n"/>
      <c r="J198" s="94" t="str">
        <f>IF(B198="",IF(COUNTA(C198:I198)&gt;0,"Informe o nome interno",""),IF(SUMPRODUCT(--($B$6:$B$205=B198))&gt;1,"Nome repetido","OK"))</f>
        <v/>
      </c>
      <c r="K198" s="96">
        <f>IF(B198&lt;&gt;"",1,0)</f>
        <v>0</v>
      </c>
      <c r="L198" s="96" t="str">
        <f>IF(K198=1,COUNTIF($K$6:K198,1),"")</f>
        <v/>
      </c>
      <c r="M198" s="96" t="str">
        <f>IF(K198=0,"",SUMIFS('ITENS_MTR'!$I$6:$I$1005,'ITENS_MTR'!$C$6:$C$1005,B198,'ITENS_MTR'!$AP$6:$AP$1005,1,'ITENS_MTR'!$Y$6:$Y$1005,1))</f>
        <v/>
      </c>
      <c r="N198" s="96" t="str">
        <f>IF(N(M198)&gt;0,M198+(1000-193)/1000000,"")</f>
        <v/>
      </c>
    </row>
    <row r="199">
      <c r="A199" s="89" t="inlineStr">
        <is>
          <t>RS-194</t>
        </is>
      </c>
      <c r="B199" s="91" t="n"/>
      <c r="C199" s="91" t="n"/>
      <c r="D199" s="91" t="n"/>
      <c r="E199" s="90" t="n"/>
      <c r="F199" s="91" t="n"/>
      <c r="G199" s="91" t="n"/>
      <c r="H199" s="91" t="n"/>
      <c r="I199" s="91" t="n"/>
      <c r="J199" s="94" t="str">
        <f>IF(B199="",IF(COUNTA(C199:I199)&gt;0,"Informe o nome interno",""),IF(SUMPRODUCT(--($B$6:$B$205=B199))&gt;1,"Nome repetido","OK"))</f>
        <v/>
      </c>
      <c r="K199" s="96">
        <f>IF(B199&lt;&gt;"",1,0)</f>
        <v>0</v>
      </c>
      <c r="L199" s="96" t="str">
        <f>IF(K199=1,COUNTIF($K$6:K199,1),"")</f>
        <v/>
      </c>
      <c r="M199" s="96" t="str">
        <f>IF(K199=0,"",SUMIFS('ITENS_MTR'!$I$6:$I$1005,'ITENS_MTR'!$C$6:$C$1005,B199,'ITENS_MTR'!$AP$6:$AP$1005,1,'ITENS_MTR'!$Y$6:$Y$1005,1))</f>
        <v/>
      </c>
      <c r="N199" s="96" t="str">
        <f>IF(N(M199)&gt;0,M199+(1000-194)/1000000,"")</f>
        <v/>
      </c>
    </row>
    <row r="200">
      <c r="A200" s="89" t="inlineStr">
        <is>
          <t>RS-195</t>
        </is>
      </c>
      <c r="B200" s="91" t="n"/>
      <c r="C200" s="91" t="n"/>
      <c r="D200" s="91" t="n"/>
      <c r="E200" s="90" t="n"/>
      <c r="F200" s="91" t="n"/>
      <c r="G200" s="91" t="n"/>
      <c r="H200" s="91" t="n"/>
      <c r="I200" s="91" t="n"/>
      <c r="J200" s="94" t="str">
        <f>IF(B200="",IF(COUNTA(C200:I200)&gt;0,"Informe o nome interno",""),IF(SUMPRODUCT(--($B$6:$B$205=B200))&gt;1,"Nome repetido","OK"))</f>
        <v/>
      </c>
      <c r="K200" s="96">
        <f>IF(B200&lt;&gt;"",1,0)</f>
        <v>0</v>
      </c>
      <c r="L200" s="96" t="str">
        <f>IF(K200=1,COUNTIF($K$6:K200,1),"")</f>
        <v/>
      </c>
      <c r="M200" s="96" t="str">
        <f>IF(K200=0,"",SUMIFS('ITENS_MTR'!$I$6:$I$1005,'ITENS_MTR'!$C$6:$C$1005,B200,'ITENS_MTR'!$AP$6:$AP$1005,1,'ITENS_MTR'!$Y$6:$Y$1005,1))</f>
        <v/>
      </c>
      <c r="N200" s="96" t="str">
        <f>IF(N(M200)&gt;0,M200+(1000-195)/1000000,"")</f>
        <v/>
      </c>
    </row>
    <row r="201">
      <c r="A201" s="89" t="inlineStr">
        <is>
          <t>RS-196</t>
        </is>
      </c>
      <c r="B201" s="91" t="n"/>
      <c r="C201" s="91" t="n"/>
      <c r="D201" s="91" t="n"/>
      <c r="E201" s="90" t="n"/>
      <c r="F201" s="91" t="n"/>
      <c r="G201" s="91" t="n"/>
      <c r="H201" s="91" t="n"/>
      <c r="I201" s="91" t="n"/>
      <c r="J201" s="94" t="str">
        <f>IF(B201="",IF(COUNTA(C201:I201)&gt;0,"Informe o nome interno",""),IF(SUMPRODUCT(--($B$6:$B$205=B201))&gt;1,"Nome repetido","OK"))</f>
        <v/>
      </c>
      <c r="K201" s="96">
        <f>IF(B201&lt;&gt;"",1,0)</f>
        <v>0</v>
      </c>
      <c r="L201" s="96" t="str">
        <f>IF(K201=1,COUNTIF($K$6:K201,1),"")</f>
        <v/>
      </c>
      <c r="M201" s="96" t="str">
        <f>IF(K201=0,"",SUMIFS('ITENS_MTR'!$I$6:$I$1005,'ITENS_MTR'!$C$6:$C$1005,B201,'ITENS_MTR'!$AP$6:$AP$1005,1,'ITENS_MTR'!$Y$6:$Y$1005,1))</f>
        <v/>
      </c>
      <c r="N201" s="96" t="str">
        <f>IF(N(M201)&gt;0,M201+(1000-196)/1000000,"")</f>
        <v/>
      </c>
    </row>
    <row r="202">
      <c r="A202" s="89" t="inlineStr">
        <is>
          <t>RS-197</t>
        </is>
      </c>
      <c r="B202" s="91" t="n"/>
      <c r="C202" s="91" t="n"/>
      <c r="D202" s="91" t="n"/>
      <c r="E202" s="90" t="n"/>
      <c r="F202" s="91" t="n"/>
      <c r="G202" s="91" t="n"/>
      <c r="H202" s="91" t="n"/>
      <c r="I202" s="91" t="n"/>
      <c r="J202" s="94" t="str">
        <f>IF(B202="",IF(COUNTA(C202:I202)&gt;0,"Informe o nome interno",""),IF(SUMPRODUCT(--($B$6:$B$205=B202))&gt;1,"Nome repetido","OK"))</f>
        <v/>
      </c>
      <c r="K202" s="96">
        <f>IF(B202&lt;&gt;"",1,0)</f>
        <v>0</v>
      </c>
      <c r="L202" s="96" t="str">
        <f>IF(K202=1,COUNTIF($K$6:K202,1),"")</f>
        <v/>
      </c>
      <c r="M202" s="96" t="str">
        <f>IF(K202=0,"",SUMIFS('ITENS_MTR'!$I$6:$I$1005,'ITENS_MTR'!$C$6:$C$1005,B202,'ITENS_MTR'!$AP$6:$AP$1005,1,'ITENS_MTR'!$Y$6:$Y$1005,1))</f>
        <v/>
      </c>
      <c r="N202" s="96" t="str">
        <f>IF(N(M202)&gt;0,M202+(1000-197)/1000000,"")</f>
        <v/>
      </c>
    </row>
    <row r="203">
      <c r="A203" s="89" t="inlineStr">
        <is>
          <t>RS-198</t>
        </is>
      </c>
      <c r="B203" s="91" t="n"/>
      <c r="C203" s="91" t="n"/>
      <c r="D203" s="91" t="n"/>
      <c r="E203" s="90" t="n"/>
      <c r="F203" s="91" t="n"/>
      <c r="G203" s="91" t="n"/>
      <c r="H203" s="91" t="n"/>
      <c r="I203" s="91" t="n"/>
      <c r="J203" s="94" t="str">
        <f>IF(B203="",IF(COUNTA(C203:I203)&gt;0,"Informe o nome interno",""),IF(SUMPRODUCT(--($B$6:$B$205=B203))&gt;1,"Nome repetido","OK"))</f>
        <v/>
      </c>
      <c r="K203" s="96">
        <f>IF(B203&lt;&gt;"",1,0)</f>
        <v>0</v>
      </c>
      <c r="L203" s="96" t="str">
        <f>IF(K203=1,COUNTIF($K$6:K203,1),"")</f>
        <v/>
      </c>
      <c r="M203" s="96" t="str">
        <f>IF(K203=0,"",SUMIFS('ITENS_MTR'!$I$6:$I$1005,'ITENS_MTR'!$C$6:$C$1005,B203,'ITENS_MTR'!$AP$6:$AP$1005,1,'ITENS_MTR'!$Y$6:$Y$1005,1))</f>
        <v/>
      </c>
      <c r="N203" s="96" t="str">
        <f>IF(N(M203)&gt;0,M203+(1000-198)/1000000,"")</f>
        <v/>
      </c>
    </row>
    <row r="204">
      <c r="A204" s="89" t="inlineStr">
        <is>
          <t>RS-199</t>
        </is>
      </c>
      <c r="B204" s="91" t="n"/>
      <c r="C204" s="91" t="n"/>
      <c r="D204" s="91" t="n"/>
      <c r="E204" s="90" t="n"/>
      <c r="F204" s="91" t="n"/>
      <c r="G204" s="91" t="n"/>
      <c r="H204" s="91" t="n"/>
      <c r="I204" s="91" t="n"/>
      <c r="J204" s="94" t="str">
        <f>IF(B204="",IF(COUNTA(C204:I204)&gt;0,"Informe o nome interno",""),IF(SUMPRODUCT(--($B$6:$B$205=B204))&gt;1,"Nome repetido","OK"))</f>
        <v/>
      </c>
      <c r="K204" s="96">
        <f>IF(B204&lt;&gt;"",1,0)</f>
        <v>0</v>
      </c>
      <c r="L204" s="96" t="str">
        <f>IF(K204=1,COUNTIF($K$6:K204,1),"")</f>
        <v/>
      </c>
      <c r="M204" s="96" t="str">
        <f>IF(K204=0,"",SUMIFS('ITENS_MTR'!$I$6:$I$1005,'ITENS_MTR'!$C$6:$C$1005,B204,'ITENS_MTR'!$AP$6:$AP$1005,1,'ITENS_MTR'!$Y$6:$Y$1005,1))</f>
        <v/>
      </c>
      <c r="N204" s="96" t="str">
        <f>IF(N(M204)&gt;0,M204+(1000-199)/1000000,"")</f>
        <v/>
      </c>
    </row>
    <row r="205">
      <c r="A205" s="89" t="inlineStr">
        <is>
          <t>RS-200</t>
        </is>
      </c>
      <c r="B205" s="91" t="n"/>
      <c r="C205" s="91" t="n"/>
      <c r="D205" s="91" t="n"/>
      <c r="E205" s="90" t="n"/>
      <c r="F205" s="91" t="n"/>
      <c r="G205" s="91" t="n"/>
      <c r="H205" s="91" t="n"/>
      <c r="I205" s="91" t="n"/>
      <c r="J205" s="94" t="str">
        <f>IF(B205="",IF(COUNTA(C205:I205)&gt;0,"Informe o nome interno",""),IF(SUMPRODUCT(--($B$6:$B$205=B205))&gt;1,"Nome repetido","OK"))</f>
        <v/>
      </c>
      <c r="K205" s="96">
        <f>IF(B205&lt;&gt;"",1,0)</f>
        <v>0</v>
      </c>
      <c r="L205" s="96" t="str">
        <f>IF(K205=1,COUNTIF($K$6:K205,1),"")</f>
        <v/>
      </c>
      <c r="M205" s="96" t="str">
        <f>IF(K205=0,"",SUMIFS('ITENS_MTR'!$I$6:$I$1005,'ITENS_MTR'!$C$6:$C$1005,B205,'ITENS_MTR'!$AP$6:$AP$1005,1,'ITENS_MTR'!$Y$6:$Y$1005,1))</f>
        <v/>
      </c>
      <c r="N205" s="96" t="str">
        <f>IF(N(M205)&gt;0,M205+(1000-200)/1000000,"")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1:J1"/>
    <mergeCell ref="A2:J2"/>
  </mergeCells>
  <conditionalFormatting sqref="J6:J205">
    <cfRule type="expression" priority="1" dxfId="0" stopIfTrue="1">
      <formula>OR(ISNUMBER(SEARCH("Cancelado",J6)),ISNUMBER(SEARCH("cancelado",J6)))</formula>
    </cfRule>
    <cfRule type="expression" priority="2" dxfId="1" stopIfTrue="1">
      <formula>OR(ISNUMBER(SEARCH("revisar",J6)),ISNUMBER(SEARCH("REVISAR",J6)),ISNUMBER(SEARCH("incompleto",J6)),ISNUMBER(SEARCH("INCOMPLETO",J6)),ISNUMBER(SEARCH("inexistente",J6)),ISNUMBER(SEARCH("inválid",J6)),ISNUMBER(SEARCH("não informad",J6)),ISNUMBER(SEARCH("fora do cadastro",J6)),ISNUMBER(SEARCH("duplicidade",J6)),ISNUMBER(SEARCH("DUPLICIDADE",J6)),ISNUMBER(SEARCH("UNIDADE A CONFERIR",J6)),ISNUMBER(SEARCH("Unidade a conferir",J6)),ISNUMBER(SEARCH("sem evidência",J6)),ISNUMBER(SEARCH("anterior à emissão",J6)),ISNUMBER(SEARCH("não positiva",J6)),ISNUMBER(SEARCH("não identificado",J6)),ISNUMBER(SEARCH("Sem MTR",J6)),ISNUMBER(SEARCH("Necessita",J6)),ISNUMBER(SEARCH("incompletas",J6)),ISNUMBER(SEARCH("Nome repetido",J6)),ISNUMBER(SEARCH("Informe",J6)),ISNUMBER(SEARCH("vencida",J6)))</formula>
    </cfRule>
    <cfRule type="expression" priority="3" dxfId="2" stopIfTrue="1">
      <formula>OR(ISNUMBER(SEARCH("a conferir",J6)),ISNUMBER(SEARCH("A CONFERIR",J6)),ISNUMBER(SEARCH("Aguardando conferência",J6)),ISNUMBER(SEARCH("Localizado",J6)),ISNUMBER(SEARCH("ver diferença",J6)),ISNUMBER(SEARCH("analisado",J6)),ISNUMBER(SEARCH("Data futura",J6)),ISNUMBER(SEARCH("Não calculável",J6)))</formula>
    </cfRule>
    <cfRule type="expression" priority="4" dxfId="3" stopIfTrue="1">
      <formula>OR(ISNUMBER(SEARCH("Aguardando",J6)),ISNUMBER(SEARCH("parcial",J6)),ISNUMBER(SEARCH("Cadastrado",J6)),ISNUMBER(SEARCH("NÃO CONFIRMADO",J6)),ISNUMBER(SEARCH("NÃO LOCALIZADO",J6)),ISNUMBER(SEARCH("VÍNCULO INCOMPLETO",J6)))</formula>
    </cfRule>
    <cfRule type="expression" priority="5" dxfId="4" stopIfTrue="1">
      <formula>OR(EXACT(J6,"OK"),ISNUMBER(SEARCH("conferida",J6)),ISNUMBER(SEARCH("Conferido",J6)),ISNUMBER(SEARCH("Nenhuma",J6)))</formula>
    </cfRule>
    <cfRule type="expression" priority="7" dxfId="6">
      <formula>MOD(ROW(),2)=0</formula>
    </cfRule>
  </conditionalFormatting>
  <conditionalFormatting sqref="B6:B205 C6:C205 D6:D205 E6:E205 F6:F205 G6:G205 H6:H205 I6:I205">
    <cfRule type="expression" priority="6" dxfId="5">
      <formula>MOD(ROW(),2)=0</formula>
    </cfRule>
  </conditionalFormatting>
  <dataValidations count="1">
    <dataValidation sqref="H6:H205" showDropDown="0" showInputMessage="0" showErrorMessage="1" allowBlank="1" errorTitle="Valor fora da lista" error="Valor fora da lista. Confira o cadastro ou ajuste a lista em CONFIGURAÇÕES." type="list" errorStyle="warning">
      <formula1>=lst_un</formula1>
    </dataValidation>
  </dataValidations>
  <hyperlinks>
    <hyperlink ref="A3" location="'INÍCIO'!A1"/>
    <hyperlink ref="B3" location="'PAINEL'!A1"/>
    <hyperlink ref="C3" location="'PENDÊNCIAS'!A1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8A99AB"/>
    <outlinePr summaryBelow="1" summaryRight="1"/>
    <pageSetUpPr fitToPage="1"/>
  </sheetPr>
  <dimension ref="A1:AL100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30" customWidth="1" min="3" max="3"/>
    <col width="30" customWidth="1" min="4" max="4"/>
    <col width="30" customWidth="1" min="5" max="5"/>
    <col width="7" customWidth="1" min="6" max="6"/>
    <col width="14" customWidth="1" min="7" max="7"/>
    <col width="11" customWidth="1" min="8" max="8"/>
    <col width="9" customWidth="1" min="9" max="9"/>
    <col width="22" customWidth="1" min="10" max="10"/>
    <col width="22" customWidth="1" min="11" max="11"/>
    <col width="16" customWidth="1" min="12" max="12"/>
    <col hidden="1" width="30" customWidth="1" min="27" max="27"/>
    <col hidden="1" width="30" customWidth="1" min="28" max="28"/>
    <col hidden="1" width="30" customWidth="1" min="29" max="29"/>
    <col hidden="1" width="30" customWidth="1" min="30" max="30"/>
    <col hidden="1" width="30" customWidth="1" min="31" max="31"/>
    <col hidden="1" width="30" customWidth="1" min="32" max="32"/>
    <col hidden="1" width="30" customWidth="1" min="33" max="33"/>
    <col hidden="1" width="30" customWidth="1" min="34" max="34"/>
    <col hidden="1" width="30" customWidth="1" min="35" max="35"/>
    <col hidden="1" width="30" customWidth="1" min="36" max="36"/>
    <col hidden="1" width="30" customWidth="1" min="37" max="37"/>
    <col hidden="1" width="30" customWidth="1" min="38" max="38"/>
  </cols>
  <sheetData>
    <row r="1" ht="34" customHeight="1">
      <c r="A1" s="79" t="inlineStr">
        <is>
          <t>CONFIGURAÇÕES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79" t="n"/>
      <c r="K1" s="79" t="n"/>
      <c r="L1" s="79" t="n"/>
    </row>
    <row r="2">
      <c r="A2" s="80" t="inlineStr">
        <is>
          <t>Parâmetros internos e listas usadas nas abas. Altere apenas as células azul-claro. Nas listas, preencha de cima para baixo, sem deixar linhas vazias no meio.</t>
        </is>
      </c>
      <c r="B2" s="80" t="n"/>
      <c r="C2" s="80" t="n"/>
      <c r="D2" s="80" t="n"/>
      <c r="E2" s="80" t="n"/>
      <c r="F2" s="80" t="n"/>
      <c r="G2" s="80" t="n"/>
      <c r="H2" s="80" t="n"/>
      <c r="I2" s="80" t="n"/>
      <c r="J2" s="80" t="n"/>
      <c r="K2" s="80" t="n"/>
      <c r="L2" s="80" t="n"/>
    </row>
    <row r="3">
      <c r="A3" s="35" t="inlineStr">
        <is>
          <t>◀ INÍCIO</t>
        </is>
      </c>
    </row>
    <row r="4">
      <c r="AA4" s="38" t="inlineStr">
        <is>
          <t>LISTAS AUTOMÁTICAS (NÃO EDITAR)</t>
        </is>
      </c>
    </row>
    <row r="5">
      <c r="B5" s="131" t="inlineStr">
        <is>
          <t>PARÂMETROS GERAIS</t>
        </is>
      </c>
      <c r="C5" s="131" t="n"/>
      <c r="AA5" t="inlineStr">
        <is>
          <t>Unidades</t>
        </is>
      </c>
      <c r="AB5" t="inlineStr">
        <is>
          <t>Transportadores</t>
        </is>
      </c>
      <c r="AC5" t="inlineStr">
        <is>
          <t>Destinadores</t>
        </is>
      </c>
      <c r="AD5" t="inlineStr">
        <is>
          <t>Resíduos</t>
        </is>
      </c>
      <c r="AE5" t="inlineStr">
        <is>
          <t>MTRs</t>
        </is>
      </c>
      <c r="AF5" t="inlineStr">
        <is>
          <t>Itens</t>
        </is>
      </c>
      <c r="AG5" t="inlineStr">
        <is>
          <t>CDFs</t>
        </is>
      </c>
      <c r="AH5" t="inlineStr">
        <is>
          <t>Filtro unid</t>
        </is>
      </c>
      <c r="AI5" t="inlineStr">
        <is>
          <t>Filtro transp</t>
        </is>
      </c>
      <c r="AJ5" t="inlineStr">
        <is>
          <t>Filtro dest</t>
        </is>
      </c>
      <c r="AK5" t="inlineStr">
        <is>
          <t>Filtro res</t>
        </is>
      </c>
      <c r="AL5" t="inlineStr">
        <is>
          <t>Filtro situação</t>
        </is>
      </c>
    </row>
    <row r="6">
      <c r="B6" s="132" t="inlineStr">
        <is>
          <t>Nome da organização usuária</t>
        </is>
      </c>
      <c r="C6" s="133" t="n"/>
      <c r="AA6" t="str">
        <f>IFERROR(INDEX('CAD_UNIDADES'!$C$6:$C$105,MATCH(1,'CAD_UNIDADES'!$N$6:$N$105,0))&amp;"","")</f>
        <v/>
      </c>
      <c r="AB6" t="str">
        <f>IFERROR(INDEX('CAD_PARCEIROS'!$P$6:$P$205,MATCH(1,'CAD_PARCEIROS'!$S$6:$S$205,0))&amp;"","")</f>
        <v/>
      </c>
      <c r="AC6" t="str">
        <f>IFERROR(INDEX('CAD_PARCEIROS'!$P$6:$P$205,MATCH(1,'CAD_PARCEIROS'!$U$6:$U$205,0))&amp;"","")</f>
        <v/>
      </c>
      <c r="AD6" t="str">
        <f>IFERROR(INDEX('CAD_RESÍDUOS'!$B$6:$B$205,MATCH(1,'CAD_RESÍDUOS'!$L$6:$L$205,0))&amp;"","")</f>
        <v/>
      </c>
      <c r="AE6" t="str">
        <f>IFERROR(INDEX('MTRs'!$BD$6:$BD$505,MATCH(1,'MTRs'!$BE$6:$BE$505,0))&amp;"","")</f>
        <v/>
      </c>
      <c r="AF6" t="str">
        <f>IFERROR(INDEX('ITENS_MTR'!$AS$6:$AS$1005,MATCH(1,'ITENS_MTR'!$AT$6:$AT$1005,0))&amp;"","")</f>
        <v/>
      </c>
      <c r="AG6" t="str">
        <f>IFERROR(INDEX('CDFs'!$Y$6:$Y$505,MATCH(1,'CDFs'!$Z$6:$Z$505,0))&amp;"","")</f>
        <v/>
      </c>
      <c r="AH6" t="inlineStr">
        <is>
          <t>(Todas)</t>
        </is>
      </c>
      <c r="AI6" t="inlineStr">
        <is>
          <t>(Todos)</t>
        </is>
      </c>
      <c r="AJ6" t="inlineStr">
        <is>
          <t>(Todos)</t>
        </is>
      </c>
      <c r="AK6" t="inlineStr">
        <is>
          <t>(Todos)</t>
        </is>
      </c>
      <c r="AL6" t="inlineStr">
        <is>
          <t>(Todas)</t>
        </is>
      </c>
    </row>
    <row r="7">
      <c r="B7" s="132" t="inlineStr">
        <is>
          <t>Unidade padrão de massa</t>
        </is>
      </c>
      <c r="C7" s="134" t="inlineStr">
        <is>
          <t>kg</t>
        </is>
      </c>
      <c r="AA7" t="str">
        <f>IFERROR(INDEX('CAD_UNIDADES'!$C$6:$C$105,MATCH(2,'CAD_UNIDADES'!$N$6:$N$105,0))&amp;"","")</f>
        <v/>
      </c>
      <c r="AB7" t="str">
        <f>IFERROR(INDEX('CAD_PARCEIROS'!$P$6:$P$205,MATCH(2,'CAD_PARCEIROS'!$S$6:$S$205,0))&amp;"","")</f>
        <v/>
      </c>
      <c r="AC7" t="str">
        <f>IFERROR(INDEX('CAD_PARCEIROS'!$P$6:$P$205,MATCH(2,'CAD_PARCEIROS'!$U$6:$U$205,0))&amp;"","")</f>
        <v/>
      </c>
      <c r="AD7" t="str">
        <f>IFERROR(INDEX('CAD_RESÍDUOS'!$B$6:$B$205,MATCH(2,'CAD_RESÍDUOS'!$L$6:$L$205,0))&amp;"","")</f>
        <v/>
      </c>
      <c r="AE7" t="str">
        <f>IFERROR(INDEX('MTRs'!$BD$6:$BD$505,MATCH(2,'MTRs'!$BE$6:$BE$505,0))&amp;"","")</f>
        <v/>
      </c>
      <c r="AF7" t="str">
        <f>IFERROR(INDEX('ITENS_MTR'!$AS$6:$AS$1005,MATCH(2,'ITENS_MTR'!$AT$6:$AT$1005,0))&amp;"","")</f>
        <v/>
      </c>
      <c r="AG7" t="str">
        <f>IFERROR(INDEX('CDFs'!$Y$6:$Y$505,MATCH(2,'CDFs'!$Z$6:$Z$505,0))&amp;"","")</f>
        <v/>
      </c>
      <c r="AH7" t="str">
        <f>AA6</f>
        <v/>
      </c>
      <c r="AI7" t="str">
        <f>AB6</f>
        <v/>
      </c>
      <c r="AJ7" t="str">
        <f>AC6</f>
        <v/>
      </c>
      <c r="AK7" t="str">
        <f>AD6</f>
        <v/>
      </c>
      <c r="AL7" t="inlineStr">
        <is>
          <t>Cadastro incompleto</t>
        </is>
      </c>
    </row>
    <row r="8">
      <c r="B8" s="132" t="inlineStr">
        <is>
          <t>Dias para alerta interno de recebimento</t>
        </is>
      </c>
      <c r="C8" s="135" t="n">
        <v>15</v>
      </c>
      <c r="D8" s="136" t="inlineStr">
        <is>
          <t>Parâmetro interno de organização. Não é prazo legal.</t>
        </is>
      </c>
      <c r="E8" s="136" t="n"/>
      <c r="F8" s="136" t="n"/>
      <c r="G8" s="136" t="n"/>
      <c r="H8" s="136" t="n"/>
      <c r="I8" s="136" t="n"/>
      <c r="J8" s="136" t="n"/>
      <c r="K8" s="136" t="n"/>
      <c r="L8" s="136" t="n"/>
      <c r="AA8" t="str">
        <f>IFERROR(INDEX('CAD_UNIDADES'!$C$6:$C$105,MATCH(3,'CAD_UNIDADES'!$N$6:$N$105,0))&amp;"","")</f>
        <v/>
      </c>
      <c r="AB8" t="str">
        <f>IFERROR(INDEX('CAD_PARCEIROS'!$P$6:$P$205,MATCH(3,'CAD_PARCEIROS'!$S$6:$S$205,0))&amp;"","")</f>
        <v/>
      </c>
      <c r="AC8" t="str">
        <f>IFERROR(INDEX('CAD_PARCEIROS'!$P$6:$P$205,MATCH(3,'CAD_PARCEIROS'!$U$6:$U$205,0))&amp;"","")</f>
        <v/>
      </c>
      <c r="AD8" t="str">
        <f>IFERROR(INDEX('CAD_RESÍDUOS'!$B$6:$B$205,MATCH(3,'CAD_RESÍDUOS'!$L$6:$L$205,0))&amp;"","")</f>
        <v/>
      </c>
      <c r="AE8" t="str">
        <f>IFERROR(INDEX('MTRs'!$BD$6:$BD$505,MATCH(3,'MTRs'!$BE$6:$BE$505,0))&amp;"","")</f>
        <v/>
      </c>
      <c r="AF8" t="str">
        <f>IFERROR(INDEX('ITENS_MTR'!$AS$6:$AS$1005,MATCH(3,'ITENS_MTR'!$AT$6:$AT$1005,0))&amp;"","")</f>
        <v/>
      </c>
      <c r="AG8" t="str">
        <f>IFERROR(INDEX('CDFs'!$Y$6:$Y$505,MATCH(3,'CDFs'!$Z$6:$Z$505,0))&amp;"","")</f>
        <v/>
      </c>
      <c r="AH8" t="str">
        <f>AA7</f>
        <v/>
      </c>
      <c r="AI8" t="str">
        <f>AB7</f>
        <v/>
      </c>
      <c r="AJ8" t="str">
        <f>AC7</f>
        <v/>
      </c>
      <c r="AK8" t="str">
        <f>AD7</f>
        <v/>
      </c>
      <c r="AL8" t="inlineStr">
        <is>
          <t>Informação a revisar</t>
        </is>
      </c>
    </row>
    <row r="9">
      <c r="B9" s="132" t="inlineStr">
        <is>
          <t>Dias para alerta interno de CDF</t>
        </is>
      </c>
      <c r="C9" s="135" t="n">
        <v>15</v>
      </c>
      <c r="D9" s="136" t="inlineStr">
        <is>
          <t>Parâmetro interno de organização. Não é prazo legal.</t>
        </is>
      </c>
      <c r="E9" s="136" t="n"/>
      <c r="F9" s="136" t="n"/>
      <c r="G9" s="136" t="n"/>
      <c r="H9" s="136" t="n"/>
      <c r="I9" s="136" t="n"/>
      <c r="J9" s="136" t="n"/>
      <c r="K9" s="136" t="n"/>
      <c r="L9" s="136" t="n"/>
      <c r="AA9" t="str">
        <f>IFERROR(INDEX('CAD_UNIDADES'!$C$6:$C$105,MATCH(4,'CAD_UNIDADES'!$N$6:$N$105,0))&amp;"","")</f>
        <v/>
      </c>
      <c r="AB9" t="str">
        <f>IFERROR(INDEX('CAD_PARCEIROS'!$P$6:$P$205,MATCH(4,'CAD_PARCEIROS'!$S$6:$S$205,0))&amp;"","")</f>
        <v/>
      </c>
      <c r="AC9" t="str">
        <f>IFERROR(INDEX('CAD_PARCEIROS'!$P$6:$P$205,MATCH(4,'CAD_PARCEIROS'!$U$6:$U$205,0))&amp;"","")</f>
        <v/>
      </c>
      <c r="AD9" t="str">
        <f>IFERROR(INDEX('CAD_RESÍDUOS'!$B$6:$B$205,MATCH(4,'CAD_RESÍDUOS'!$L$6:$L$205,0))&amp;"","")</f>
        <v/>
      </c>
      <c r="AE9" t="str">
        <f>IFERROR(INDEX('MTRs'!$BD$6:$BD$505,MATCH(4,'MTRs'!$BE$6:$BE$505,0))&amp;"","")</f>
        <v/>
      </c>
      <c r="AF9" t="str">
        <f>IFERROR(INDEX('ITENS_MTR'!$AS$6:$AS$1005,MATCH(4,'ITENS_MTR'!$AT$6:$AT$1005,0))&amp;"","")</f>
        <v/>
      </c>
      <c r="AG9" t="str">
        <f>IFERROR(INDEX('CDFs'!$Y$6:$Y$505,MATCH(4,'CDFs'!$Z$6:$Z$505,0))&amp;"","")</f>
        <v/>
      </c>
      <c r="AH9" t="str">
        <f>AA8</f>
        <v/>
      </c>
      <c r="AI9" t="str">
        <f>AB8</f>
        <v/>
      </c>
      <c r="AJ9" t="str">
        <f>AC8</f>
        <v/>
      </c>
      <c r="AK9" t="str">
        <f>AD8</f>
        <v/>
      </c>
      <c r="AL9" t="inlineStr">
        <is>
          <t>Aguardando recebimento</t>
        </is>
      </c>
    </row>
    <row r="10">
      <c r="B10" s="132" t="inlineStr">
        <is>
          <t>Tolerância para alerta de diferença de quantidade (kg)</t>
        </is>
      </c>
      <c r="C10" s="137" t="n">
        <v>0</v>
      </c>
      <c r="D10" s="136" t="inlineStr">
        <is>
          <t>Diferenças maiores que este valor geram alerta de revisão. Use 0 para alertar qualquer diferença.</t>
        </is>
      </c>
      <c r="E10" s="136" t="n"/>
      <c r="F10" s="136" t="n"/>
      <c r="G10" s="136" t="n"/>
      <c r="H10" s="136" t="n"/>
      <c r="I10" s="136" t="n"/>
      <c r="J10" s="136" t="n"/>
      <c r="K10" s="136" t="n"/>
      <c r="L10" s="136" t="n"/>
      <c r="AA10" t="str">
        <f>IFERROR(INDEX('CAD_UNIDADES'!$C$6:$C$105,MATCH(5,'CAD_UNIDADES'!$N$6:$N$105,0))&amp;"","")</f>
        <v/>
      </c>
      <c r="AB10" t="str">
        <f>IFERROR(INDEX('CAD_PARCEIROS'!$P$6:$P$205,MATCH(5,'CAD_PARCEIROS'!$S$6:$S$205,0))&amp;"","")</f>
        <v/>
      </c>
      <c r="AC10" t="str">
        <f>IFERROR(INDEX('CAD_PARCEIROS'!$P$6:$P$205,MATCH(5,'CAD_PARCEIROS'!$U$6:$U$205,0))&amp;"","")</f>
        <v/>
      </c>
      <c r="AD10" t="str">
        <f>IFERROR(INDEX('CAD_RESÍDUOS'!$B$6:$B$205,MATCH(5,'CAD_RESÍDUOS'!$L$6:$L$205,0))&amp;"","")</f>
        <v/>
      </c>
      <c r="AE10" t="str">
        <f>IFERROR(INDEX('MTRs'!$BD$6:$BD$505,MATCH(5,'MTRs'!$BE$6:$BE$505,0))&amp;"","")</f>
        <v/>
      </c>
      <c r="AF10" t="str">
        <f>IFERROR(INDEX('ITENS_MTR'!$AS$6:$AS$1005,MATCH(5,'ITENS_MTR'!$AT$6:$AT$1005,0))&amp;"","")</f>
        <v/>
      </c>
      <c r="AG10" t="str">
        <f>IFERROR(INDEX('CDFs'!$Y$6:$Y$505,MATCH(5,'CDFs'!$Z$6:$Z$505,0))&amp;"","")</f>
        <v/>
      </c>
      <c r="AH10" t="str">
        <f>AA9</f>
        <v/>
      </c>
      <c r="AI10" t="str">
        <f>AB9</f>
        <v/>
      </c>
      <c r="AJ10" t="str">
        <f>AC9</f>
        <v/>
      </c>
      <c r="AK10" t="str">
        <f>AD9</f>
        <v/>
      </c>
      <c r="AL10" t="inlineStr">
        <is>
          <t>Aguardando CDF</t>
        </is>
      </c>
    </row>
    <row r="11">
      <c r="B11" s="132" t="inlineStr">
        <is>
          <t>Termo que indica MTR cancelado (Situação informada no sistema)</t>
        </is>
      </c>
      <c r="C11" s="133" t="inlineStr">
        <is>
          <t>Cancelado</t>
        </is>
      </c>
      <c r="D11" s="136" t="inlineStr">
        <is>
          <t>A planilha considera cancelado o MTR cuja situação informada seja igual a este termo.</t>
        </is>
      </c>
      <c r="E11" s="136" t="n"/>
      <c r="F11" s="136" t="n"/>
      <c r="G11" s="136" t="n"/>
      <c r="H11" s="136" t="n"/>
      <c r="I11" s="136" t="n"/>
      <c r="J11" s="136" t="n"/>
      <c r="K11" s="136" t="n"/>
      <c r="L11" s="136" t="n"/>
      <c r="AA11" t="str">
        <f>IFERROR(INDEX('CAD_UNIDADES'!$C$6:$C$105,MATCH(6,'CAD_UNIDADES'!$N$6:$N$105,0))&amp;"","")</f>
        <v/>
      </c>
      <c r="AB11" t="str">
        <f>IFERROR(INDEX('CAD_PARCEIROS'!$P$6:$P$205,MATCH(6,'CAD_PARCEIROS'!$S$6:$S$205,0))&amp;"","")</f>
        <v/>
      </c>
      <c r="AC11" t="str">
        <f>IFERROR(INDEX('CAD_PARCEIROS'!$P$6:$P$205,MATCH(6,'CAD_PARCEIROS'!$U$6:$U$205,0))&amp;"","")</f>
        <v/>
      </c>
      <c r="AD11" t="str">
        <f>IFERROR(INDEX('CAD_RESÍDUOS'!$B$6:$B$205,MATCH(6,'CAD_RESÍDUOS'!$L$6:$L$205,0))&amp;"","")</f>
        <v/>
      </c>
      <c r="AE11" t="str">
        <f>IFERROR(INDEX('MTRs'!$BD$6:$BD$505,MATCH(6,'MTRs'!$BE$6:$BE$505,0))&amp;"","")</f>
        <v/>
      </c>
      <c r="AF11" t="str">
        <f>IFERROR(INDEX('ITENS_MTR'!$AS$6:$AS$1005,MATCH(6,'ITENS_MTR'!$AT$6:$AT$1005,0))&amp;"","")</f>
        <v/>
      </c>
      <c r="AG11" t="str">
        <f>IFERROR(INDEX('CDFs'!$Y$6:$Y$505,MATCH(6,'CDFs'!$Z$6:$Z$505,0))&amp;"","")</f>
        <v/>
      </c>
      <c r="AH11" t="str">
        <f>AA10</f>
        <v/>
      </c>
      <c r="AI11" t="str">
        <f>AB10</f>
        <v/>
      </c>
      <c r="AJ11" t="str">
        <f>AC10</f>
        <v/>
      </c>
      <c r="AK11" t="str">
        <f>AD10</f>
        <v/>
      </c>
      <c r="AL11" t="inlineStr">
        <is>
          <t>Vínculo de CDF parcial</t>
        </is>
      </c>
    </row>
    <row r="12">
      <c r="B12" s="132" t="inlineStr">
        <is>
          <t>Versão da planilha</t>
        </is>
      </c>
      <c r="C12" s="134" t="inlineStr">
        <is>
          <t>1.0 | outubro de 2026</t>
        </is>
      </c>
      <c r="AA12" t="str">
        <f>IFERROR(INDEX('CAD_UNIDADES'!$C$6:$C$105,MATCH(7,'CAD_UNIDADES'!$N$6:$N$105,0))&amp;"","")</f>
        <v/>
      </c>
      <c r="AB12" t="str">
        <f>IFERROR(INDEX('CAD_PARCEIROS'!$P$6:$P$205,MATCH(7,'CAD_PARCEIROS'!$S$6:$S$205,0))&amp;"","")</f>
        <v/>
      </c>
      <c r="AC12" t="str">
        <f>IFERROR(INDEX('CAD_PARCEIROS'!$P$6:$P$205,MATCH(7,'CAD_PARCEIROS'!$U$6:$U$205,0))&amp;"","")</f>
        <v/>
      </c>
      <c r="AD12" t="str">
        <f>IFERROR(INDEX('CAD_RESÍDUOS'!$B$6:$B$205,MATCH(7,'CAD_RESÍDUOS'!$L$6:$L$205,0))&amp;"","")</f>
        <v/>
      </c>
      <c r="AE12" t="str">
        <f>IFERROR(INDEX('MTRs'!$BD$6:$BD$505,MATCH(7,'MTRs'!$BE$6:$BE$505,0))&amp;"","")</f>
        <v/>
      </c>
      <c r="AF12" t="str">
        <f>IFERROR(INDEX('ITENS_MTR'!$AS$6:$AS$1005,MATCH(7,'ITENS_MTR'!$AT$6:$AT$1005,0))&amp;"","")</f>
        <v/>
      </c>
      <c r="AG12" t="str">
        <f>IFERROR(INDEX('CDFs'!$Y$6:$Y$505,MATCH(7,'CDFs'!$Z$6:$Z$505,0))&amp;"","")</f>
        <v/>
      </c>
      <c r="AH12" t="str">
        <f>AA11</f>
        <v/>
      </c>
      <c r="AI12" t="str">
        <f>AB11</f>
        <v/>
      </c>
      <c r="AJ12" t="str">
        <f>AC11</f>
        <v/>
      </c>
      <c r="AK12" t="str">
        <f>AD11</f>
        <v/>
      </c>
      <c r="AL12" t="inlineStr">
        <is>
          <t>CDF localizado, a conferir</t>
        </is>
      </c>
    </row>
    <row r="13" ht="30" customHeight="1">
      <c r="B13" s="138" t="inlineStr">
        <is>
          <t>Prazos de alerta são parâmetros internos de acompanhamento, não prazos legais.</t>
        </is>
      </c>
      <c r="C13" s="138" t="n"/>
      <c r="D13" s="138" t="n"/>
      <c r="E13" s="138" t="n"/>
      <c r="F13" s="138" t="n"/>
      <c r="G13" s="138" t="n"/>
      <c r="H13" s="138" t="n"/>
      <c r="I13" s="138" t="n"/>
      <c r="J13" s="138" t="n"/>
      <c r="K13" s="138" t="n"/>
      <c r="L13" s="138" t="n"/>
      <c r="AA13" t="str">
        <f>IFERROR(INDEX('CAD_UNIDADES'!$C$6:$C$105,MATCH(8,'CAD_UNIDADES'!$N$6:$N$105,0))&amp;"","")</f>
        <v/>
      </c>
      <c r="AB13" t="str">
        <f>IFERROR(INDEX('CAD_PARCEIROS'!$P$6:$P$205,MATCH(8,'CAD_PARCEIROS'!$S$6:$S$205,0))&amp;"","")</f>
        <v/>
      </c>
      <c r="AC13" t="str">
        <f>IFERROR(INDEX('CAD_PARCEIROS'!$P$6:$P$205,MATCH(8,'CAD_PARCEIROS'!$U$6:$U$205,0))&amp;"","")</f>
        <v/>
      </c>
      <c r="AD13" t="str">
        <f>IFERROR(INDEX('CAD_RESÍDUOS'!$B$6:$B$205,MATCH(8,'CAD_RESÍDUOS'!$L$6:$L$205,0))&amp;"","")</f>
        <v/>
      </c>
      <c r="AE13" t="str">
        <f>IFERROR(INDEX('MTRs'!$BD$6:$BD$505,MATCH(8,'MTRs'!$BE$6:$BE$505,0))&amp;"","")</f>
        <v/>
      </c>
      <c r="AF13" t="str">
        <f>IFERROR(INDEX('ITENS_MTR'!$AS$6:$AS$1005,MATCH(8,'ITENS_MTR'!$AT$6:$AT$1005,0))&amp;"","")</f>
        <v/>
      </c>
      <c r="AG13" t="str">
        <f>IFERROR(INDEX('CDFs'!$Y$6:$Y$505,MATCH(8,'CDFs'!$Z$6:$Z$505,0))&amp;"","")</f>
        <v/>
      </c>
      <c r="AH13" t="str">
        <f>AA12</f>
        <v/>
      </c>
      <c r="AI13" t="str">
        <f>AB12</f>
        <v/>
      </c>
      <c r="AJ13" t="str">
        <f>AC12</f>
        <v/>
      </c>
      <c r="AK13" t="str">
        <f>AD12</f>
        <v/>
      </c>
      <c r="AL13" t="inlineStr">
        <is>
          <t>Documentação conferida</t>
        </is>
      </c>
    </row>
    <row r="14">
      <c r="AA14" t="str">
        <f>IFERROR(INDEX('CAD_UNIDADES'!$C$6:$C$105,MATCH(9,'CAD_UNIDADES'!$N$6:$N$105,0))&amp;"","")</f>
        <v/>
      </c>
      <c r="AB14" t="str">
        <f>IFERROR(INDEX('CAD_PARCEIROS'!$P$6:$P$205,MATCH(9,'CAD_PARCEIROS'!$S$6:$S$205,0))&amp;"","")</f>
        <v/>
      </c>
      <c r="AC14" t="str">
        <f>IFERROR(INDEX('CAD_PARCEIROS'!$P$6:$P$205,MATCH(9,'CAD_PARCEIROS'!$U$6:$U$205,0))&amp;"","")</f>
        <v/>
      </c>
      <c r="AD14" t="str">
        <f>IFERROR(INDEX('CAD_RESÍDUOS'!$B$6:$B$205,MATCH(9,'CAD_RESÍDUOS'!$L$6:$L$205,0))&amp;"","")</f>
        <v/>
      </c>
      <c r="AE14" t="str">
        <f>IFERROR(INDEX('MTRs'!$BD$6:$BD$505,MATCH(9,'MTRs'!$BE$6:$BE$505,0))&amp;"","")</f>
        <v/>
      </c>
      <c r="AF14" t="str">
        <f>IFERROR(INDEX('ITENS_MTR'!$AS$6:$AS$1005,MATCH(9,'ITENS_MTR'!$AT$6:$AT$1005,0))&amp;"","")</f>
        <v/>
      </c>
      <c r="AG14" t="str">
        <f>IFERROR(INDEX('CDFs'!$Y$6:$Y$505,MATCH(9,'CDFs'!$Z$6:$Z$505,0))&amp;"","")</f>
        <v/>
      </c>
      <c r="AH14" t="str">
        <f>AA13</f>
        <v/>
      </c>
      <c r="AI14" t="str">
        <f>AB13</f>
        <v/>
      </c>
      <c r="AJ14" t="str">
        <f>AC13</f>
        <v/>
      </c>
      <c r="AK14" t="str">
        <f>AD13</f>
        <v/>
      </c>
      <c r="AL14" t="inlineStr">
        <is>
          <t>Cancelado (informado)</t>
        </is>
      </c>
    </row>
    <row r="15">
      <c r="B15" s="131" t="inlineStr">
        <is>
          <t>LISTAS EDITÁVEIS</t>
        </is>
      </c>
      <c r="C15" s="131" t="n"/>
      <c r="D15" s="131" t="n"/>
      <c r="E15" s="131" t="n"/>
      <c r="F15" s="131" t="n"/>
      <c r="G15" s="131" t="n"/>
      <c r="H15" s="131" t="n"/>
      <c r="I15" s="131" t="n"/>
      <c r="J15" s="131" t="n"/>
      <c r="K15" s="131" t="n"/>
      <c r="L15" s="131" t="n"/>
      <c r="AA15" t="str">
        <f>IFERROR(INDEX('CAD_UNIDADES'!$C$6:$C$105,MATCH(10,'CAD_UNIDADES'!$N$6:$N$105,0))&amp;"","")</f>
        <v/>
      </c>
      <c r="AB15" t="str">
        <f>IFERROR(INDEX('CAD_PARCEIROS'!$P$6:$P$205,MATCH(10,'CAD_PARCEIROS'!$S$6:$S$205,0))&amp;"","")</f>
        <v/>
      </c>
      <c r="AC15" t="str">
        <f>IFERROR(INDEX('CAD_PARCEIROS'!$P$6:$P$205,MATCH(10,'CAD_PARCEIROS'!$U$6:$U$205,0))&amp;"","")</f>
        <v/>
      </c>
      <c r="AD15" t="str">
        <f>IFERROR(INDEX('CAD_RESÍDUOS'!$B$6:$B$205,MATCH(10,'CAD_RESÍDUOS'!$L$6:$L$205,0))&amp;"","")</f>
        <v/>
      </c>
      <c r="AE15" t="str">
        <f>IFERROR(INDEX('MTRs'!$BD$6:$BD$505,MATCH(10,'MTRs'!$BE$6:$BE$505,0))&amp;"","")</f>
        <v/>
      </c>
      <c r="AF15" t="str">
        <f>IFERROR(INDEX('ITENS_MTR'!$AS$6:$AS$1005,MATCH(10,'ITENS_MTR'!$AT$6:$AT$1005,0))&amp;"","")</f>
        <v/>
      </c>
      <c r="AG15" t="str">
        <f>IFERROR(INDEX('CDFs'!$Y$6:$Y$505,MATCH(10,'CDFs'!$Z$6:$Z$505,0))&amp;"","")</f>
        <v/>
      </c>
      <c r="AH15" t="str">
        <f>AA14</f>
        <v/>
      </c>
      <c r="AI15" t="str">
        <f>AB14</f>
        <v/>
      </c>
      <c r="AJ15" t="str">
        <f>AC14</f>
        <v/>
      </c>
      <c r="AK15" t="str">
        <f>AD14</f>
        <v/>
      </c>
    </row>
    <row r="16" ht="44" customHeight="1">
      <c r="B16" s="139" t="inlineStr">
        <is>
          <t>Sistemas de origem</t>
        </is>
      </c>
      <c r="C16" s="139" t="inlineStr">
        <is>
          <t>Situações informadas no sistema (MTR e recebimento)</t>
        </is>
      </c>
      <c r="D16" s="139" t="inlineStr">
        <is>
          <t>Situações informadas no sistema (CDF)</t>
        </is>
      </c>
      <c r="E16" s="139" t="inlineStr">
        <is>
          <t>Modalidades de destinação (exemplos editáveis)</t>
        </is>
      </c>
      <c r="F16" s="139" t="inlineStr">
        <is>
          <t>UF</t>
        </is>
      </c>
      <c r="G16" s="139" t="inlineStr">
        <is>
          <t>Unidade de medida</t>
        </is>
      </c>
      <c r="H16" s="139" t="inlineStr">
        <is>
          <t>Fator para kg</t>
        </is>
      </c>
      <c r="I16" s="139" t="inlineStr">
        <is>
          <t>Sim / Não</t>
        </is>
      </c>
      <c r="J16" s="139" t="inlineStr">
        <is>
          <t>Tipo de atuação (parceiros)</t>
        </is>
      </c>
      <c r="K16" s="139" t="inlineStr">
        <is>
          <t>Papel da unidade</t>
        </is>
      </c>
      <c r="L16" s="139" t="inlineStr">
        <is>
          <t>Situação do cadastro</t>
        </is>
      </c>
      <c r="AA16" t="str">
        <f>IFERROR(INDEX('CAD_UNIDADES'!$C$6:$C$105,MATCH(11,'CAD_UNIDADES'!$N$6:$N$105,0))&amp;"","")</f>
        <v/>
      </c>
      <c r="AB16" t="str">
        <f>IFERROR(INDEX('CAD_PARCEIROS'!$P$6:$P$205,MATCH(11,'CAD_PARCEIROS'!$S$6:$S$205,0))&amp;"","")</f>
        <v/>
      </c>
      <c r="AC16" t="str">
        <f>IFERROR(INDEX('CAD_PARCEIROS'!$P$6:$P$205,MATCH(11,'CAD_PARCEIROS'!$U$6:$U$205,0))&amp;"","")</f>
        <v/>
      </c>
      <c r="AD16" t="str">
        <f>IFERROR(INDEX('CAD_RESÍDUOS'!$B$6:$B$205,MATCH(11,'CAD_RESÍDUOS'!$L$6:$L$205,0))&amp;"","")</f>
        <v/>
      </c>
      <c r="AE16" t="str">
        <f>IFERROR(INDEX('MTRs'!$BD$6:$BD$505,MATCH(11,'MTRs'!$BE$6:$BE$505,0))&amp;"","")</f>
        <v/>
      </c>
      <c r="AF16" t="str">
        <f>IFERROR(INDEX('ITENS_MTR'!$AS$6:$AS$1005,MATCH(11,'ITENS_MTR'!$AT$6:$AT$1005,0))&amp;"","")</f>
        <v/>
      </c>
      <c r="AG16" t="str">
        <f>IFERROR(INDEX('CDFs'!$Y$6:$Y$505,MATCH(11,'CDFs'!$Z$6:$Z$505,0))&amp;"","")</f>
        <v/>
      </c>
      <c r="AH16" t="str">
        <f>AA15</f>
        <v/>
      </c>
      <c r="AI16" t="str">
        <f>AB15</f>
        <v/>
      </c>
      <c r="AJ16" t="str">
        <f>AC15</f>
        <v/>
      </c>
      <c r="AK16" t="str">
        <f>AD15</f>
        <v/>
      </c>
    </row>
    <row r="17">
      <c r="B17" s="140" t="inlineStr">
        <is>
          <t>SINIR / MTR Nacional</t>
        </is>
      </c>
      <c r="C17" s="140" t="inlineStr">
        <is>
          <t>Salvo</t>
        </is>
      </c>
      <c r="D17" s="140" t="inlineStr">
        <is>
          <t>Emitido</t>
        </is>
      </c>
      <c r="E17" s="140" t="inlineStr">
        <is>
          <t>Reciclagem</t>
        </is>
      </c>
      <c r="F17" s="140" t="inlineStr">
        <is>
          <t>AC</t>
        </is>
      </c>
      <c r="G17" s="140" t="inlineStr">
        <is>
          <t>kg</t>
        </is>
      </c>
      <c r="H17" s="141" t="n">
        <v>1</v>
      </c>
      <c r="I17" s="140" t="inlineStr">
        <is>
          <t>Sim</t>
        </is>
      </c>
      <c r="J17" s="140" t="inlineStr">
        <is>
          <t>Transportador</t>
        </is>
      </c>
      <c r="K17" s="140" t="inlineStr">
        <is>
          <t>Geradora</t>
        </is>
      </c>
      <c r="L17" s="140" t="inlineStr">
        <is>
          <t>Ativo</t>
        </is>
      </c>
      <c r="AA17" t="str">
        <f>IFERROR(INDEX('CAD_UNIDADES'!$C$6:$C$105,MATCH(12,'CAD_UNIDADES'!$N$6:$N$105,0))&amp;"","")</f>
        <v/>
      </c>
      <c r="AB17" t="str">
        <f>IFERROR(INDEX('CAD_PARCEIROS'!$P$6:$P$205,MATCH(12,'CAD_PARCEIROS'!$S$6:$S$205,0))&amp;"","")</f>
        <v/>
      </c>
      <c r="AC17" t="str">
        <f>IFERROR(INDEX('CAD_PARCEIROS'!$P$6:$P$205,MATCH(12,'CAD_PARCEIROS'!$U$6:$U$205,0))&amp;"","")</f>
        <v/>
      </c>
      <c r="AD17" t="str">
        <f>IFERROR(INDEX('CAD_RESÍDUOS'!$B$6:$B$205,MATCH(12,'CAD_RESÍDUOS'!$L$6:$L$205,0))&amp;"","")</f>
        <v/>
      </c>
      <c r="AE17" t="str">
        <f>IFERROR(INDEX('MTRs'!$BD$6:$BD$505,MATCH(12,'MTRs'!$BE$6:$BE$505,0))&amp;"","")</f>
        <v/>
      </c>
      <c r="AF17" t="str">
        <f>IFERROR(INDEX('ITENS_MTR'!$AS$6:$AS$1005,MATCH(12,'ITENS_MTR'!$AT$6:$AT$1005,0))&amp;"","")</f>
        <v/>
      </c>
      <c r="AG17" t="str">
        <f>IFERROR(INDEX('CDFs'!$Y$6:$Y$505,MATCH(12,'CDFs'!$Z$6:$Z$505,0))&amp;"","")</f>
        <v/>
      </c>
      <c r="AH17" t="str">
        <f>AA16</f>
        <v/>
      </c>
      <c r="AI17" t="str">
        <f>AB16</f>
        <v/>
      </c>
      <c r="AJ17" t="str">
        <f>AC16</f>
        <v/>
      </c>
      <c r="AK17" t="str">
        <f>AD16</f>
        <v/>
      </c>
    </row>
    <row r="18">
      <c r="B18" s="140" t="inlineStr">
        <is>
          <t>Sistema estadual</t>
        </is>
      </c>
      <c r="C18" s="140" t="inlineStr">
        <is>
          <t>Emitido</t>
        </is>
      </c>
      <c r="D18" s="140" t="inlineStr">
        <is>
          <t>Disponível para consulta</t>
        </is>
      </c>
      <c r="E18" s="140" t="inlineStr">
        <is>
          <t>Reutilização</t>
        </is>
      </c>
      <c r="F18" s="140" t="inlineStr">
        <is>
          <t>AL</t>
        </is>
      </c>
      <c r="G18" s="140" t="inlineStr">
        <is>
          <t>t</t>
        </is>
      </c>
      <c r="H18" s="141" t="n">
        <v>1000</v>
      </c>
      <c r="I18" s="140" t="inlineStr">
        <is>
          <t>Não</t>
        </is>
      </c>
      <c r="J18" s="140" t="inlineStr">
        <is>
          <t>Destinador</t>
        </is>
      </c>
      <c r="K18" s="140" t="inlineStr">
        <is>
          <t>Armazenador temporário</t>
        </is>
      </c>
      <c r="L18" s="140" t="inlineStr">
        <is>
          <t>Inativo</t>
        </is>
      </c>
      <c r="AA18" t="str">
        <f>IFERROR(INDEX('CAD_UNIDADES'!$C$6:$C$105,MATCH(13,'CAD_UNIDADES'!$N$6:$N$105,0))&amp;"","")</f>
        <v/>
      </c>
      <c r="AB18" t="str">
        <f>IFERROR(INDEX('CAD_PARCEIROS'!$P$6:$P$205,MATCH(13,'CAD_PARCEIROS'!$S$6:$S$205,0))&amp;"","")</f>
        <v/>
      </c>
      <c r="AC18" t="str">
        <f>IFERROR(INDEX('CAD_PARCEIROS'!$P$6:$P$205,MATCH(13,'CAD_PARCEIROS'!$U$6:$U$205,0))&amp;"","")</f>
        <v/>
      </c>
      <c r="AD18" t="str">
        <f>IFERROR(INDEX('CAD_RESÍDUOS'!$B$6:$B$205,MATCH(13,'CAD_RESÍDUOS'!$L$6:$L$205,0))&amp;"","")</f>
        <v/>
      </c>
      <c r="AE18" t="str">
        <f>IFERROR(INDEX('MTRs'!$BD$6:$BD$505,MATCH(13,'MTRs'!$BE$6:$BE$505,0))&amp;"","")</f>
        <v/>
      </c>
      <c r="AF18" t="str">
        <f>IFERROR(INDEX('ITENS_MTR'!$AS$6:$AS$1005,MATCH(13,'ITENS_MTR'!$AT$6:$AT$1005,0))&amp;"","")</f>
        <v/>
      </c>
      <c r="AG18" t="str">
        <f>IFERROR(INDEX('CDFs'!$Y$6:$Y$505,MATCH(13,'CDFs'!$Z$6:$Z$505,0))&amp;"","")</f>
        <v/>
      </c>
      <c r="AH18" t="str">
        <f>AA17</f>
        <v/>
      </c>
      <c r="AI18" t="str">
        <f>AB17</f>
        <v/>
      </c>
      <c r="AJ18" t="str">
        <f>AC17</f>
        <v/>
      </c>
      <c r="AK18" t="str">
        <f>AD17</f>
        <v/>
      </c>
    </row>
    <row r="19">
      <c r="B19" s="140" t="inlineStr">
        <is>
          <t>Outro sistema aplicável</t>
        </is>
      </c>
      <c r="C19" s="140" t="inlineStr">
        <is>
          <t>Recebido</t>
        </is>
      </c>
      <c r="D19" s="140" t="inlineStr">
        <is>
          <t>Cancelado</t>
        </is>
      </c>
      <c r="E19" s="140" t="inlineStr">
        <is>
          <t>Compostagem</t>
        </is>
      </c>
      <c r="F19" s="140" t="inlineStr">
        <is>
          <t>AP</t>
        </is>
      </c>
      <c r="G19" s="140" t="n"/>
      <c r="H19" s="141" t="n"/>
      <c r="J19" s="140" t="inlineStr">
        <is>
          <t>Ambos</t>
        </is>
      </c>
      <c r="K19" s="140" t="inlineStr">
        <is>
          <t>Destinadora</t>
        </is>
      </c>
      <c r="L19" s="140" t="n"/>
      <c r="AA19" t="str">
        <f>IFERROR(INDEX('CAD_UNIDADES'!$C$6:$C$105,MATCH(14,'CAD_UNIDADES'!$N$6:$N$105,0))&amp;"","")</f>
        <v/>
      </c>
      <c r="AB19" t="str">
        <f>IFERROR(INDEX('CAD_PARCEIROS'!$P$6:$P$205,MATCH(14,'CAD_PARCEIROS'!$S$6:$S$205,0))&amp;"","")</f>
        <v/>
      </c>
      <c r="AC19" t="str">
        <f>IFERROR(INDEX('CAD_PARCEIROS'!$P$6:$P$205,MATCH(14,'CAD_PARCEIROS'!$U$6:$U$205,0))&amp;"","")</f>
        <v/>
      </c>
      <c r="AD19" t="str">
        <f>IFERROR(INDEX('CAD_RESÍDUOS'!$B$6:$B$205,MATCH(14,'CAD_RESÍDUOS'!$L$6:$L$205,0))&amp;"","")</f>
        <v/>
      </c>
      <c r="AE19" t="str">
        <f>IFERROR(INDEX('MTRs'!$BD$6:$BD$505,MATCH(14,'MTRs'!$BE$6:$BE$505,0))&amp;"","")</f>
        <v/>
      </c>
      <c r="AF19" t="str">
        <f>IFERROR(INDEX('ITENS_MTR'!$AS$6:$AS$1005,MATCH(14,'ITENS_MTR'!$AT$6:$AT$1005,0))&amp;"","")</f>
        <v/>
      </c>
      <c r="AG19" t="str">
        <f>IFERROR(INDEX('CDFs'!$Y$6:$Y$505,MATCH(14,'CDFs'!$Z$6:$Z$505,0))&amp;"","")</f>
        <v/>
      </c>
      <c r="AH19" t="str">
        <f>AA18</f>
        <v/>
      </c>
      <c r="AI19" t="str">
        <f>AB18</f>
        <v/>
      </c>
      <c r="AJ19" t="str">
        <f>AC18</f>
        <v/>
      </c>
      <c r="AK19" t="str">
        <f>AD18</f>
        <v/>
      </c>
    </row>
    <row r="20">
      <c r="B20" s="140" t="n"/>
      <c r="C20" s="140" t="inlineStr">
        <is>
          <t>Armazenamento temporário</t>
        </is>
      </c>
      <c r="D20" s="140" t="inlineStr">
        <is>
          <t>Outra (ver observações)</t>
        </is>
      </c>
      <c r="E20" s="140" t="inlineStr">
        <is>
          <t>Rerrefino</t>
        </is>
      </c>
      <c r="F20" s="140" t="inlineStr">
        <is>
          <t>AM</t>
        </is>
      </c>
      <c r="G20" s="140" t="n"/>
      <c r="H20" s="141" t="n"/>
      <c r="J20" s="140" t="inlineStr">
        <is>
          <t>Armazenador temporário</t>
        </is>
      </c>
      <c r="K20" s="140" t="inlineStr">
        <is>
          <t>Outro</t>
        </is>
      </c>
      <c r="L20" s="140" t="n"/>
      <c r="AA20" t="str">
        <f>IFERROR(INDEX('CAD_UNIDADES'!$C$6:$C$105,MATCH(15,'CAD_UNIDADES'!$N$6:$N$105,0))&amp;"","")</f>
        <v/>
      </c>
      <c r="AB20" t="str">
        <f>IFERROR(INDEX('CAD_PARCEIROS'!$P$6:$P$205,MATCH(15,'CAD_PARCEIROS'!$S$6:$S$205,0))&amp;"","")</f>
        <v/>
      </c>
      <c r="AC20" t="str">
        <f>IFERROR(INDEX('CAD_PARCEIROS'!$P$6:$P$205,MATCH(15,'CAD_PARCEIROS'!$U$6:$U$205,0))&amp;"","")</f>
        <v/>
      </c>
      <c r="AD20" t="str">
        <f>IFERROR(INDEX('CAD_RESÍDUOS'!$B$6:$B$205,MATCH(15,'CAD_RESÍDUOS'!$L$6:$L$205,0))&amp;"","")</f>
        <v/>
      </c>
      <c r="AE20" t="str">
        <f>IFERROR(INDEX('MTRs'!$BD$6:$BD$505,MATCH(15,'MTRs'!$BE$6:$BE$505,0))&amp;"","")</f>
        <v/>
      </c>
      <c r="AF20" t="str">
        <f>IFERROR(INDEX('ITENS_MTR'!$AS$6:$AS$1005,MATCH(15,'ITENS_MTR'!$AT$6:$AT$1005,0))&amp;"","")</f>
        <v/>
      </c>
      <c r="AG20" t="str">
        <f>IFERROR(INDEX('CDFs'!$Y$6:$Y$505,MATCH(15,'CDFs'!$Z$6:$Z$505,0))&amp;"","")</f>
        <v/>
      </c>
      <c r="AH20" t="str">
        <f>AA19</f>
        <v/>
      </c>
      <c r="AI20" t="str">
        <f>AB19</f>
        <v/>
      </c>
      <c r="AJ20" t="str">
        <f>AC19</f>
        <v/>
      </c>
      <c r="AK20" t="str">
        <f>AD19</f>
        <v/>
      </c>
    </row>
    <row r="21">
      <c r="B21" s="140" t="n"/>
      <c r="C21" s="140" t="inlineStr">
        <is>
          <t>Cancelado</t>
        </is>
      </c>
      <c r="D21" s="140" t="n"/>
      <c r="E21" s="140" t="inlineStr">
        <is>
          <t>Coprocessamento</t>
        </is>
      </c>
      <c r="F21" s="140" t="inlineStr">
        <is>
          <t>BA</t>
        </is>
      </c>
      <c r="G21" s="140" t="n"/>
      <c r="H21" s="141" t="n"/>
      <c r="J21" s="140" t="inlineStr">
        <is>
          <t>Outro</t>
        </is>
      </c>
      <c r="K21" s="140" t="n"/>
      <c r="L21" s="140" t="n"/>
      <c r="AA21" t="str">
        <f>IFERROR(INDEX('CAD_UNIDADES'!$C$6:$C$105,MATCH(16,'CAD_UNIDADES'!$N$6:$N$105,0))&amp;"","")</f>
        <v/>
      </c>
      <c r="AB21" t="str">
        <f>IFERROR(INDEX('CAD_PARCEIROS'!$P$6:$P$205,MATCH(16,'CAD_PARCEIROS'!$S$6:$S$205,0))&amp;"","")</f>
        <v/>
      </c>
      <c r="AC21" t="str">
        <f>IFERROR(INDEX('CAD_PARCEIROS'!$P$6:$P$205,MATCH(16,'CAD_PARCEIROS'!$U$6:$U$205,0))&amp;"","")</f>
        <v/>
      </c>
      <c r="AD21" t="str">
        <f>IFERROR(INDEX('CAD_RESÍDUOS'!$B$6:$B$205,MATCH(16,'CAD_RESÍDUOS'!$L$6:$L$205,0))&amp;"","")</f>
        <v/>
      </c>
      <c r="AE21" t="str">
        <f>IFERROR(INDEX('MTRs'!$BD$6:$BD$505,MATCH(16,'MTRs'!$BE$6:$BE$505,0))&amp;"","")</f>
        <v/>
      </c>
      <c r="AF21" t="str">
        <f>IFERROR(INDEX('ITENS_MTR'!$AS$6:$AS$1005,MATCH(16,'ITENS_MTR'!$AT$6:$AT$1005,0))&amp;"","")</f>
        <v/>
      </c>
      <c r="AG21" t="str">
        <f>IFERROR(INDEX('CDFs'!$Y$6:$Y$505,MATCH(16,'CDFs'!$Z$6:$Z$505,0))&amp;"","")</f>
        <v/>
      </c>
      <c r="AH21" t="str">
        <f>AA20</f>
        <v/>
      </c>
      <c r="AI21" t="str">
        <f>AB20</f>
        <v/>
      </c>
      <c r="AJ21" t="str">
        <f>AC20</f>
        <v/>
      </c>
      <c r="AK21" t="str">
        <f>AD20</f>
        <v/>
      </c>
    </row>
    <row r="22">
      <c r="B22" s="140" t="n"/>
      <c r="C22" s="140" t="inlineStr">
        <is>
          <t>Outra (ver observações)</t>
        </is>
      </c>
      <c r="D22" s="140" t="n"/>
      <c r="E22" s="140" t="inlineStr">
        <is>
          <t>Recuperação energética</t>
        </is>
      </c>
      <c r="F22" s="140" t="inlineStr">
        <is>
          <t>CE</t>
        </is>
      </c>
      <c r="G22" s="140" t="n"/>
      <c r="H22" s="141" t="n"/>
      <c r="J22" s="140" t="n"/>
      <c r="K22" s="140" t="n"/>
      <c r="AA22" t="str">
        <f>IFERROR(INDEX('CAD_UNIDADES'!$C$6:$C$105,MATCH(17,'CAD_UNIDADES'!$N$6:$N$105,0))&amp;"","")</f>
        <v/>
      </c>
      <c r="AB22" t="str">
        <f>IFERROR(INDEX('CAD_PARCEIROS'!$P$6:$P$205,MATCH(17,'CAD_PARCEIROS'!$S$6:$S$205,0))&amp;"","")</f>
        <v/>
      </c>
      <c r="AC22" t="str">
        <f>IFERROR(INDEX('CAD_PARCEIROS'!$P$6:$P$205,MATCH(17,'CAD_PARCEIROS'!$U$6:$U$205,0))&amp;"","")</f>
        <v/>
      </c>
      <c r="AD22" t="str">
        <f>IFERROR(INDEX('CAD_RESÍDUOS'!$B$6:$B$205,MATCH(17,'CAD_RESÍDUOS'!$L$6:$L$205,0))&amp;"","")</f>
        <v/>
      </c>
      <c r="AE22" t="str">
        <f>IFERROR(INDEX('MTRs'!$BD$6:$BD$505,MATCH(17,'MTRs'!$BE$6:$BE$505,0))&amp;"","")</f>
        <v/>
      </c>
      <c r="AF22" t="str">
        <f>IFERROR(INDEX('ITENS_MTR'!$AS$6:$AS$1005,MATCH(17,'ITENS_MTR'!$AT$6:$AT$1005,0))&amp;"","")</f>
        <v/>
      </c>
      <c r="AG22" t="str">
        <f>IFERROR(INDEX('CDFs'!$Y$6:$Y$505,MATCH(17,'CDFs'!$Z$6:$Z$505,0))&amp;"","")</f>
        <v/>
      </c>
      <c r="AH22" t="str">
        <f>AA21</f>
        <v/>
      </c>
      <c r="AI22" t="str">
        <f>AB21</f>
        <v/>
      </c>
      <c r="AJ22" t="str">
        <f>AC21</f>
        <v/>
      </c>
      <c r="AK22" t="str">
        <f>AD21</f>
        <v/>
      </c>
    </row>
    <row r="23">
      <c r="B23" s="140" t="n"/>
      <c r="C23" s="140" t="n"/>
      <c r="D23" s="140" t="n"/>
      <c r="E23" s="140" t="inlineStr">
        <is>
          <t>Tratamento térmico</t>
        </is>
      </c>
      <c r="F23" s="140" t="inlineStr">
        <is>
          <t>DF</t>
        </is>
      </c>
      <c r="G23" s="140" t="n"/>
      <c r="H23" s="141" t="n"/>
      <c r="J23" s="140" t="n"/>
      <c r="K23" s="140" t="n"/>
      <c r="AA23" t="str">
        <f>IFERROR(INDEX('CAD_UNIDADES'!$C$6:$C$105,MATCH(18,'CAD_UNIDADES'!$N$6:$N$105,0))&amp;"","")</f>
        <v/>
      </c>
      <c r="AB23" t="str">
        <f>IFERROR(INDEX('CAD_PARCEIROS'!$P$6:$P$205,MATCH(18,'CAD_PARCEIROS'!$S$6:$S$205,0))&amp;"","")</f>
        <v/>
      </c>
      <c r="AC23" t="str">
        <f>IFERROR(INDEX('CAD_PARCEIROS'!$P$6:$P$205,MATCH(18,'CAD_PARCEIROS'!$U$6:$U$205,0))&amp;"","")</f>
        <v/>
      </c>
      <c r="AD23" t="str">
        <f>IFERROR(INDEX('CAD_RESÍDUOS'!$B$6:$B$205,MATCH(18,'CAD_RESÍDUOS'!$L$6:$L$205,0))&amp;"","")</f>
        <v/>
      </c>
      <c r="AE23" t="str">
        <f>IFERROR(INDEX('MTRs'!$BD$6:$BD$505,MATCH(18,'MTRs'!$BE$6:$BE$505,0))&amp;"","")</f>
        <v/>
      </c>
      <c r="AF23" t="str">
        <f>IFERROR(INDEX('ITENS_MTR'!$AS$6:$AS$1005,MATCH(18,'ITENS_MTR'!$AT$6:$AT$1005,0))&amp;"","")</f>
        <v/>
      </c>
      <c r="AG23" t="str">
        <f>IFERROR(INDEX('CDFs'!$Y$6:$Y$505,MATCH(18,'CDFs'!$Z$6:$Z$505,0))&amp;"","")</f>
        <v/>
      </c>
      <c r="AH23" t="str">
        <f>AA22</f>
        <v/>
      </c>
      <c r="AI23" t="str">
        <f>AB22</f>
        <v/>
      </c>
      <c r="AJ23" t="str">
        <f>AC22</f>
        <v/>
      </c>
      <c r="AK23" t="str">
        <f>AD22</f>
        <v/>
      </c>
    </row>
    <row r="24">
      <c r="B24" s="140" t="n"/>
      <c r="C24" s="140" t="n"/>
      <c r="D24" s="140" t="n"/>
      <c r="E24" s="140" t="inlineStr">
        <is>
          <t>Tratamento físico-químico</t>
        </is>
      </c>
      <c r="F24" s="140" t="inlineStr">
        <is>
          <t>ES</t>
        </is>
      </c>
      <c r="G24" s="140" t="n"/>
      <c r="H24" s="141" t="n"/>
      <c r="J24" s="140" t="n"/>
      <c r="K24" s="140" t="n"/>
      <c r="AA24" t="str">
        <f>IFERROR(INDEX('CAD_UNIDADES'!$C$6:$C$105,MATCH(19,'CAD_UNIDADES'!$N$6:$N$105,0))&amp;"","")</f>
        <v/>
      </c>
      <c r="AB24" t="str">
        <f>IFERROR(INDEX('CAD_PARCEIROS'!$P$6:$P$205,MATCH(19,'CAD_PARCEIROS'!$S$6:$S$205,0))&amp;"","")</f>
        <v/>
      </c>
      <c r="AC24" t="str">
        <f>IFERROR(INDEX('CAD_PARCEIROS'!$P$6:$P$205,MATCH(19,'CAD_PARCEIROS'!$U$6:$U$205,0))&amp;"","")</f>
        <v/>
      </c>
      <c r="AD24" t="str">
        <f>IFERROR(INDEX('CAD_RESÍDUOS'!$B$6:$B$205,MATCH(19,'CAD_RESÍDUOS'!$L$6:$L$205,0))&amp;"","")</f>
        <v/>
      </c>
      <c r="AE24" t="str">
        <f>IFERROR(INDEX('MTRs'!$BD$6:$BD$505,MATCH(19,'MTRs'!$BE$6:$BE$505,0))&amp;"","")</f>
        <v/>
      </c>
      <c r="AF24" t="str">
        <f>IFERROR(INDEX('ITENS_MTR'!$AS$6:$AS$1005,MATCH(19,'ITENS_MTR'!$AT$6:$AT$1005,0))&amp;"","")</f>
        <v/>
      </c>
      <c r="AG24" t="str">
        <f>IFERROR(INDEX('CDFs'!$Y$6:$Y$505,MATCH(19,'CDFs'!$Z$6:$Z$505,0))&amp;"","")</f>
        <v/>
      </c>
      <c r="AH24" t="str">
        <f>AA23</f>
        <v/>
      </c>
      <c r="AI24" t="str">
        <f>AB23</f>
        <v/>
      </c>
      <c r="AJ24" t="str">
        <f>AC23</f>
        <v/>
      </c>
      <c r="AK24" t="str">
        <f>AD23</f>
        <v/>
      </c>
    </row>
    <row r="25">
      <c r="B25" s="140" t="n"/>
      <c r="C25" s="140" t="n"/>
      <c r="D25" s="140" t="n"/>
      <c r="E25" s="140" t="inlineStr">
        <is>
          <t>Aterro sanitário</t>
        </is>
      </c>
      <c r="F25" s="140" t="inlineStr">
        <is>
          <t>GO</t>
        </is>
      </c>
      <c r="G25" s="140" t="n"/>
      <c r="H25" s="141" t="n"/>
      <c r="AA25" t="str">
        <f>IFERROR(INDEX('CAD_UNIDADES'!$C$6:$C$105,MATCH(20,'CAD_UNIDADES'!$N$6:$N$105,0))&amp;"","")</f>
        <v/>
      </c>
      <c r="AB25" t="str">
        <f>IFERROR(INDEX('CAD_PARCEIROS'!$P$6:$P$205,MATCH(20,'CAD_PARCEIROS'!$S$6:$S$205,0))&amp;"","")</f>
        <v/>
      </c>
      <c r="AC25" t="str">
        <f>IFERROR(INDEX('CAD_PARCEIROS'!$P$6:$P$205,MATCH(20,'CAD_PARCEIROS'!$U$6:$U$205,0))&amp;"","")</f>
        <v/>
      </c>
      <c r="AD25" t="str">
        <f>IFERROR(INDEX('CAD_RESÍDUOS'!$B$6:$B$205,MATCH(20,'CAD_RESÍDUOS'!$L$6:$L$205,0))&amp;"","")</f>
        <v/>
      </c>
      <c r="AE25" t="str">
        <f>IFERROR(INDEX('MTRs'!$BD$6:$BD$505,MATCH(20,'MTRs'!$BE$6:$BE$505,0))&amp;"","")</f>
        <v/>
      </c>
      <c r="AF25" t="str">
        <f>IFERROR(INDEX('ITENS_MTR'!$AS$6:$AS$1005,MATCH(20,'ITENS_MTR'!$AT$6:$AT$1005,0))&amp;"","")</f>
        <v/>
      </c>
      <c r="AG25" t="str">
        <f>IFERROR(INDEX('CDFs'!$Y$6:$Y$505,MATCH(20,'CDFs'!$Z$6:$Z$505,0))&amp;"","")</f>
        <v/>
      </c>
      <c r="AH25" t="str">
        <f>AA24</f>
        <v/>
      </c>
      <c r="AI25" t="str">
        <f>AB24</f>
        <v/>
      </c>
      <c r="AJ25" t="str">
        <f>AC24</f>
        <v/>
      </c>
      <c r="AK25" t="str">
        <f>AD24</f>
        <v/>
      </c>
    </row>
    <row r="26">
      <c r="B26" s="140" t="n"/>
      <c r="C26" s="140" t="n"/>
      <c r="D26" s="140" t="n"/>
      <c r="E26" s="140" t="inlineStr">
        <is>
          <t>Aterro industrial</t>
        </is>
      </c>
      <c r="F26" s="140" t="inlineStr">
        <is>
          <t>MA</t>
        </is>
      </c>
      <c r="G26" s="140" t="n"/>
      <c r="H26" s="141" t="n"/>
      <c r="AA26" t="str">
        <f>IFERROR(INDEX('CAD_UNIDADES'!$C$6:$C$105,MATCH(21,'CAD_UNIDADES'!$N$6:$N$105,0))&amp;"","")</f>
        <v/>
      </c>
      <c r="AB26" t="str">
        <f>IFERROR(INDEX('CAD_PARCEIROS'!$P$6:$P$205,MATCH(21,'CAD_PARCEIROS'!$S$6:$S$205,0))&amp;"","")</f>
        <v/>
      </c>
      <c r="AC26" t="str">
        <f>IFERROR(INDEX('CAD_PARCEIROS'!$P$6:$P$205,MATCH(21,'CAD_PARCEIROS'!$U$6:$U$205,0))&amp;"","")</f>
        <v/>
      </c>
      <c r="AD26" t="str">
        <f>IFERROR(INDEX('CAD_RESÍDUOS'!$B$6:$B$205,MATCH(21,'CAD_RESÍDUOS'!$L$6:$L$205,0))&amp;"","")</f>
        <v/>
      </c>
      <c r="AE26" t="str">
        <f>IFERROR(INDEX('MTRs'!$BD$6:$BD$505,MATCH(21,'MTRs'!$BE$6:$BE$505,0))&amp;"","")</f>
        <v/>
      </c>
      <c r="AF26" t="str">
        <f>IFERROR(INDEX('ITENS_MTR'!$AS$6:$AS$1005,MATCH(21,'ITENS_MTR'!$AT$6:$AT$1005,0))&amp;"","")</f>
        <v/>
      </c>
      <c r="AG26" t="str">
        <f>IFERROR(INDEX('CDFs'!$Y$6:$Y$505,MATCH(21,'CDFs'!$Z$6:$Z$505,0))&amp;"","")</f>
        <v/>
      </c>
      <c r="AH26" t="str">
        <f>AA25</f>
        <v/>
      </c>
      <c r="AI26" t="str">
        <f>AB25</f>
        <v/>
      </c>
      <c r="AJ26" t="str">
        <f>AC25</f>
        <v/>
      </c>
      <c r="AK26" t="str">
        <f>AD25</f>
        <v/>
      </c>
    </row>
    <row r="27">
      <c r="C27" s="140" t="n"/>
      <c r="E27" s="140" t="inlineStr">
        <is>
          <t>Outra (conforme CDF)</t>
        </is>
      </c>
      <c r="F27" s="140" t="inlineStr">
        <is>
          <t>MT</t>
        </is>
      </c>
      <c r="AA27" t="str">
        <f>IFERROR(INDEX('CAD_UNIDADES'!$C$6:$C$105,MATCH(22,'CAD_UNIDADES'!$N$6:$N$105,0))&amp;"","")</f>
        <v/>
      </c>
      <c r="AB27" t="str">
        <f>IFERROR(INDEX('CAD_PARCEIROS'!$P$6:$P$205,MATCH(22,'CAD_PARCEIROS'!$S$6:$S$205,0))&amp;"","")</f>
        <v/>
      </c>
      <c r="AC27" t="str">
        <f>IFERROR(INDEX('CAD_PARCEIROS'!$P$6:$P$205,MATCH(22,'CAD_PARCEIROS'!$U$6:$U$205,0))&amp;"","")</f>
        <v/>
      </c>
      <c r="AD27" t="str">
        <f>IFERROR(INDEX('CAD_RESÍDUOS'!$B$6:$B$205,MATCH(22,'CAD_RESÍDUOS'!$L$6:$L$205,0))&amp;"","")</f>
        <v/>
      </c>
      <c r="AE27" t="str">
        <f>IFERROR(INDEX('MTRs'!$BD$6:$BD$505,MATCH(22,'MTRs'!$BE$6:$BE$505,0))&amp;"","")</f>
        <v/>
      </c>
      <c r="AF27" t="str">
        <f>IFERROR(INDEX('ITENS_MTR'!$AS$6:$AS$1005,MATCH(22,'ITENS_MTR'!$AT$6:$AT$1005,0))&amp;"","")</f>
        <v/>
      </c>
      <c r="AG27" t="str">
        <f>IFERROR(INDEX('CDFs'!$Y$6:$Y$505,MATCH(22,'CDFs'!$Z$6:$Z$505,0))&amp;"","")</f>
        <v/>
      </c>
      <c r="AH27" t="str">
        <f>AA26</f>
        <v/>
      </c>
      <c r="AI27" t="str">
        <f>AB26</f>
        <v/>
      </c>
      <c r="AJ27" t="str">
        <f>AC26</f>
        <v/>
      </c>
      <c r="AK27" t="str">
        <f>AD26</f>
        <v/>
      </c>
    </row>
    <row r="28">
      <c r="C28" s="140" t="n"/>
      <c r="E28" s="140" t="n"/>
      <c r="F28" s="140" t="inlineStr">
        <is>
          <t>MS</t>
        </is>
      </c>
      <c r="G28" s="117" t="inlineStr">
        <is>
          <t>Unidades sem fator (por exemplo L ou m³) não são somadas e aparecem como UNIDADE A CONFERIR. Só informe um fator de volume para massa quando houver densidade fundamentada e documentada.</t>
        </is>
      </c>
      <c r="H28" s="117" t="n"/>
      <c r="I28" s="117" t="n"/>
      <c r="J28" s="117" t="n"/>
      <c r="K28" s="117" t="n"/>
      <c r="L28" s="117" t="n"/>
      <c r="AA28" t="str">
        <f>IFERROR(INDEX('CAD_UNIDADES'!$C$6:$C$105,MATCH(23,'CAD_UNIDADES'!$N$6:$N$105,0))&amp;"","")</f>
        <v/>
      </c>
      <c r="AB28" t="str">
        <f>IFERROR(INDEX('CAD_PARCEIROS'!$P$6:$P$205,MATCH(23,'CAD_PARCEIROS'!$S$6:$S$205,0))&amp;"","")</f>
        <v/>
      </c>
      <c r="AC28" t="str">
        <f>IFERROR(INDEX('CAD_PARCEIROS'!$P$6:$P$205,MATCH(23,'CAD_PARCEIROS'!$U$6:$U$205,0))&amp;"","")</f>
        <v/>
      </c>
      <c r="AD28" t="str">
        <f>IFERROR(INDEX('CAD_RESÍDUOS'!$B$6:$B$205,MATCH(23,'CAD_RESÍDUOS'!$L$6:$L$205,0))&amp;"","")</f>
        <v/>
      </c>
      <c r="AE28" t="str">
        <f>IFERROR(INDEX('MTRs'!$BD$6:$BD$505,MATCH(23,'MTRs'!$BE$6:$BE$505,0))&amp;"","")</f>
        <v/>
      </c>
      <c r="AF28" t="str">
        <f>IFERROR(INDEX('ITENS_MTR'!$AS$6:$AS$1005,MATCH(23,'ITENS_MTR'!$AT$6:$AT$1005,0))&amp;"","")</f>
        <v/>
      </c>
      <c r="AG28" t="str">
        <f>IFERROR(INDEX('CDFs'!$Y$6:$Y$505,MATCH(23,'CDFs'!$Z$6:$Z$505,0))&amp;"","")</f>
        <v/>
      </c>
      <c r="AH28" t="str">
        <f>AA27</f>
        <v/>
      </c>
      <c r="AI28" t="str">
        <f>AB27</f>
        <v/>
      </c>
      <c r="AJ28" t="str">
        <f>AC27</f>
        <v/>
      </c>
      <c r="AK28" t="str">
        <f>AD27</f>
        <v/>
      </c>
    </row>
    <row r="29">
      <c r="E29" s="140" t="n"/>
      <c r="F29" s="140" t="inlineStr">
        <is>
          <t>MG</t>
        </is>
      </c>
      <c r="G29" s="117" t="n"/>
      <c r="H29" s="117" t="n"/>
      <c r="I29" s="117" t="n"/>
      <c r="J29" s="117" t="n"/>
      <c r="K29" s="117" t="n"/>
      <c r="L29" s="117" t="n"/>
      <c r="AA29" t="str">
        <f>IFERROR(INDEX('CAD_UNIDADES'!$C$6:$C$105,MATCH(24,'CAD_UNIDADES'!$N$6:$N$105,0))&amp;"","")</f>
        <v/>
      </c>
      <c r="AB29" t="str">
        <f>IFERROR(INDEX('CAD_PARCEIROS'!$P$6:$P$205,MATCH(24,'CAD_PARCEIROS'!$S$6:$S$205,0))&amp;"","")</f>
        <v/>
      </c>
      <c r="AC29" t="str">
        <f>IFERROR(INDEX('CAD_PARCEIROS'!$P$6:$P$205,MATCH(24,'CAD_PARCEIROS'!$U$6:$U$205,0))&amp;"","")</f>
        <v/>
      </c>
      <c r="AD29" t="str">
        <f>IFERROR(INDEX('CAD_RESÍDUOS'!$B$6:$B$205,MATCH(24,'CAD_RESÍDUOS'!$L$6:$L$205,0))&amp;"","")</f>
        <v/>
      </c>
      <c r="AE29" t="str">
        <f>IFERROR(INDEX('MTRs'!$BD$6:$BD$505,MATCH(24,'MTRs'!$BE$6:$BE$505,0))&amp;"","")</f>
        <v/>
      </c>
      <c r="AF29" t="str">
        <f>IFERROR(INDEX('ITENS_MTR'!$AS$6:$AS$1005,MATCH(24,'ITENS_MTR'!$AT$6:$AT$1005,0))&amp;"","")</f>
        <v/>
      </c>
      <c r="AG29" t="str">
        <f>IFERROR(INDEX('CDFs'!$Y$6:$Y$505,MATCH(24,'CDFs'!$Z$6:$Z$505,0))&amp;"","")</f>
        <v/>
      </c>
      <c r="AH29" t="str">
        <f>AA28</f>
        <v/>
      </c>
      <c r="AI29" t="str">
        <f>AB28</f>
        <v/>
      </c>
      <c r="AJ29" t="str">
        <f>AC28</f>
        <v/>
      </c>
      <c r="AK29" t="str">
        <f>AD28</f>
        <v/>
      </c>
    </row>
    <row r="30">
      <c r="B30" s="117" t="inlineStr">
        <is>
          <t>As modalidades de destinação são exemplos editáveis. Use o termo que aparece no CDF. A lista de situações também pode ser ajustada aos termos do sistema que você utiliza.</t>
        </is>
      </c>
      <c r="C30" s="117" t="n"/>
      <c r="D30" s="117" t="n"/>
      <c r="E30" s="140" t="n"/>
      <c r="F30" s="140" t="inlineStr">
        <is>
          <t>PA</t>
        </is>
      </c>
      <c r="G30" s="117" t="n"/>
      <c r="H30" s="117" t="n"/>
      <c r="I30" s="117" t="n"/>
      <c r="J30" s="117" t="n"/>
      <c r="K30" s="117" t="n"/>
      <c r="L30" s="117" t="n"/>
      <c r="AA30" t="str">
        <f>IFERROR(INDEX('CAD_UNIDADES'!$C$6:$C$105,MATCH(25,'CAD_UNIDADES'!$N$6:$N$105,0))&amp;"","")</f>
        <v/>
      </c>
      <c r="AB30" t="str">
        <f>IFERROR(INDEX('CAD_PARCEIROS'!$P$6:$P$205,MATCH(25,'CAD_PARCEIROS'!$S$6:$S$205,0))&amp;"","")</f>
        <v/>
      </c>
      <c r="AC30" t="str">
        <f>IFERROR(INDEX('CAD_PARCEIROS'!$P$6:$P$205,MATCH(25,'CAD_PARCEIROS'!$U$6:$U$205,0))&amp;"","")</f>
        <v/>
      </c>
      <c r="AD30" t="str">
        <f>IFERROR(INDEX('CAD_RESÍDUOS'!$B$6:$B$205,MATCH(25,'CAD_RESÍDUOS'!$L$6:$L$205,0))&amp;"","")</f>
        <v/>
      </c>
      <c r="AE30" t="str">
        <f>IFERROR(INDEX('MTRs'!$BD$6:$BD$505,MATCH(25,'MTRs'!$BE$6:$BE$505,0))&amp;"","")</f>
        <v/>
      </c>
      <c r="AF30" t="str">
        <f>IFERROR(INDEX('ITENS_MTR'!$AS$6:$AS$1005,MATCH(25,'ITENS_MTR'!$AT$6:$AT$1005,0))&amp;"","")</f>
        <v/>
      </c>
      <c r="AG30" t="str">
        <f>IFERROR(INDEX('CDFs'!$Y$6:$Y$505,MATCH(25,'CDFs'!$Z$6:$Z$505,0))&amp;"","")</f>
        <v/>
      </c>
      <c r="AH30" t="str">
        <f>AA29</f>
        <v/>
      </c>
      <c r="AI30" t="str">
        <f>AB29</f>
        <v/>
      </c>
      <c r="AJ30" t="str">
        <f>AC29</f>
        <v/>
      </c>
      <c r="AK30" t="str">
        <f>AD29</f>
        <v/>
      </c>
    </row>
    <row r="31">
      <c r="B31" s="117" t="n"/>
      <c r="C31" s="117" t="n"/>
      <c r="D31" s="117" t="n"/>
      <c r="E31" s="140" t="n"/>
      <c r="F31" s="140" t="inlineStr">
        <is>
          <t>PB</t>
        </is>
      </c>
      <c r="G31" s="117" t="n"/>
      <c r="H31" s="117" t="n"/>
      <c r="I31" s="117" t="n"/>
      <c r="J31" s="117" t="n"/>
      <c r="K31" s="117" t="n"/>
      <c r="L31" s="117" t="n"/>
      <c r="AA31" t="str">
        <f>IFERROR(INDEX('CAD_UNIDADES'!$C$6:$C$105,MATCH(26,'CAD_UNIDADES'!$N$6:$N$105,0))&amp;"","")</f>
        <v/>
      </c>
      <c r="AB31" t="str">
        <f>IFERROR(INDEX('CAD_PARCEIROS'!$P$6:$P$205,MATCH(26,'CAD_PARCEIROS'!$S$6:$S$205,0))&amp;"","")</f>
        <v/>
      </c>
      <c r="AC31" t="str">
        <f>IFERROR(INDEX('CAD_PARCEIROS'!$P$6:$P$205,MATCH(26,'CAD_PARCEIROS'!$U$6:$U$205,0))&amp;"","")</f>
        <v/>
      </c>
      <c r="AD31" t="str">
        <f>IFERROR(INDEX('CAD_RESÍDUOS'!$B$6:$B$205,MATCH(26,'CAD_RESÍDUOS'!$L$6:$L$205,0))&amp;"","")</f>
        <v/>
      </c>
      <c r="AE31" t="str">
        <f>IFERROR(INDEX('MTRs'!$BD$6:$BD$505,MATCH(26,'MTRs'!$BE$6:$BE$505,0))&amp;"","")</f>
        <v/>
      </c>
      <c r="AF31" t="str">
        <f>IFERROR(INDEX('ITENS_MTR'!$AS$6:$AS$1005,MATCH(26,'ITENS_MTR'!$AT$6:$AT$1005,0))&amp;"","")</f>
        <v/>
      </c>
      <c r="AG31" t="str">
        <f>IFERROR(INDEX('CDFs'!$Y$6:$Y$505,MATCH(26,'CDFs'!$Z$6:$Z$505,0))&amp;"","")</f>
        <v/>
      </c>
      <c r="AH31" t="str">
        <f>AA30</f>
        <v/>
      </c>
      <c r="AI31" t="str">
        <f>AB30</f>
        <v/>
      </c>
      <c r="AJ31" t="str">
        <f>AC30</f>
        <v/>
      </c>
      <c r="AK31" t="str">
        <f>AD30</f>
        <v/>
      </c>
    </row>
    <row r="32">
      <c r="B32" s="117" t="n"/>
      <c r="C32" s="117" t="n"/>
      <c r="D32" s="117" t="n"/>
      <c r="E32" s="140" t="n"/>
      <c r="F32" s="140" t="inlineStr">
        <is>
          <t>PR</t>
        </is>
      </c>
      <c r="AA32" t="str">
        <f>IFERROR(INDEX('CAD_UNIDADES'!$C$6:$C$105,MATCH(27,'CAD_UNIDADES'!$N$6:$N$105,0))&amp;"","")</f>
        <v/>
      </c>
      <c r="AB32" t="str">
        <f>IFERROR(INDEX('CAD_PARCEIROS'!$P$6:$P$205,MATCH(27,'CAD_PARCEIROS'!$S$6:$S$205,0))&amp;"","")</f>
        <v/>
      </c>
      <c r="AC32" t="str">
        <f>IFERROR(INDEX('CAD_PARCEIROS'!$P$6:$P$205,MATCH(27,'CAD_PARCEIROS'!$U$6:$U$205,0))&amp;"","")</f>
        <v/>
      </c>
      <c r="AD32" t="str">
        <f>IFERROR(INDEX('CAD_RESÍDUOS'!$B$6:$B$205,MATCH(27,'CAD_RESÍDUOS'!$L$6:$L$205,0))&amp;"","")</f>
        <v/>
      </c>
      <c r="AE32" t="str">
        <f>IFERROR(INDEX('MTRs'!$BD$6:$BD$505,MATCH(27,'MTRs'!$BE$6:$BE$505,0))&amp;"","")</f>
        <v/>
      </c>
      <c r="AF32" t="str">
        <f>IFERROR(INDEX('ITENS_MTR'!$AS$6:$AS$1005,MATCH(27,'ITENS_MTR'!$AT$6:$AT$1005,0))&amp;"","")</f>
        <v/>
      </c>
      <c r="AG32" t="str">
        <f>IFERROR(INDEX('CDFs'!$Y$6:$Y$505,MATCH(27,'CDFs'!$Z$6:$Z$505,0))&amp;"","")</f>
        <v/>
      </c>
      <c r="AH32" t="str">
        <f>AA31</f>
        <v/>
      </c>
      <c r="AI32" t="str">
        <f>AB31</f>
        <v/>
      </c>
      <c r="AJ32" t="str">
        <f>AC31</f>
        <v/>
      </c>
      <c r="AK32" t="str">
        <f>AD31</f>
        <v/>
      </c>
    </row>
    <row r="33">
      <c r="B33" s="117" t="n"/>
      <c r="C33" s="117" t="n"/>
      <c r="D33" s="117" t="n"/>
      <c r="E33" s="140" t="n"/>
      <c r="F33" s="140" t="inlineStr">
        <is>
          <t>PE</t>
        </is>
      </c>
      <c r="AA33" t="str">
        <f>IFERROR(INDEX('CAD_UNIDADES'!$C$6:$C$105,MATCH(28,'CAD_UNIDADES'!$N$6:$N$105,0))&amp;"","")</f>
        <v/>
      </c>
      <c r="AB33" t="str">
        <f>IFERROR(INDEX('CAD_PARCEIROS'!$P$6:$P$205,MATCH(28,'CAD_PARCEIROS'!$S$6:$S$205,0))&amp;"","")</f>
        <v/>
      </c>
      <c r="AC33" t="str">
        <f>IFERROR(INDEX('CAD_PARCEIROS'!$P$6:$P$205,MATCH(28,'CAD_PARCEIROS'!$U$6:$U$205,0))&amp;"","")</f>
        <v/>
      </c>
      <c r="AD33" t="str">
        <f>IFERROR(INDEX('CAD_RESÍDUOS'!$B$6:$B$205,MATCH(28,'CAD_RESÍDUOS'!$L$6:$L$205,0))&amp;"","")</f>
        <v/>
      </c>
      <c r="AE33" t="str">
        <f>IFERROR(INDEX('MTRs'!$BD$6:$BD$505,MATCH(28,'MTRs'!$BE$6:$BE$505,0))&amp;"","")</f>
        <v/>
      </c>
      <c r="AF33" t="str">
        <f>IFERROR(INDEX('ITENS_MTR'!$AS$6:$AS$1005,MATCH(28,'ITENS_MTR'!$AT$6:$AT$1005,0))&amp;"","")</f>
        <v/>
      </c>
      <c r="AG33" t="str">
        <f>IFERROR(INDEX('CDFs'!$Y$6:$Y$505,MATCH(28,'CDFs'!$Z$6:$Z$505,0))&amp;"","")</f>
        <v/>
      </c>
      <c r="AH33" t="str">
        <f>AA32</f>
        <v/>
      </c>
      <c r="AI33" t="str">
        <f>AB32</f>
        <v/>
      </c>
      <c r="AJ33" t="str">
        <f>AC32</f>
        <v/>
      </c>
      <c r="AK33" t="str">
        <f>AD32</f>
        <v/>
      </c>
    </row>
    <row r="34">
      <c r="E34" s="140" t="n"/>
      <c r="F34" s="140" t="inlineStr">
        <is>
          <t>PI</t>
        </is>
      </c>
      <c r="AA34" t="str">
        <f>IFERROR(INDEX('CAD_UNIDADES'!$C$6:$C$105,MATCH(29,'CAD_UNIDADES'!$N$6:$N$105,0))&amp;"","")</f>
        <v/>
      </c>
      <c r="AB34" t="str">
        <f>IFERROR(INDEX('CAD_PARCEIROS'!$P$6:$P$205,MATCH(29,'CAD_PARCEIROS'!$S$6:$S$205,0))&amp;"","")</f>
        <v/>
      </c>
      <c r="AC34" t="str">
        <f>IFERROR(INDEX('CAD_PARCEIROS'!$P$6:$P$205,MATCH(29,'CAD_PARCEIROS'!$U$6:$U$205,0))&amp;"","")</f>
        <v/>
      </c>
      <c r="AD34" t="str">
        <f>IFERROR(INDEX('CAD_RESÍDUOS'!$B$6:$B$205,MATCH(29,'CAD_RESÍDUOS'!$L$6:$L$205,0))&amp;"","")</f>
        <v/>
      </c>
      <c r="AE34" t="str">
        <f>IFERROR(INDEX('MTRs'!$BD$6:$BD$505,MATCH(29,'MTRs'!$BE$6:$BE$505,0))&amp;"","")</f>
        <v/>
      </c>
      <c r="AF34" t="str">
        <f>IFERROR(INDEX('ITENS_MTR'!$AS$6:$AS$1005,MATCH(29,'ITENS_MTR'!$AT$6:$AT$1005,0))&amp;"","")</f>
        <v/>
      </c>
      <c r="AG34" t="str">
        <f>IFERROR(INDEX('CDFs'!$Y$6:$Y$505,MATCH(29,'CDFs'!$Z$6:$Z$505,0))&amp;"","")</f>
        <v/>
      </c>
      <c r="AH34" t="str">
        <f>AA33</f>
        <v/>
      </c>
      <c r="AI34" t="str">
        <f>AB33</f>
        <v/>
      </c>
      <c r="AJ34" t="str">
        <f>AC33</f>
        <v/>
      </c>
      <c r="AK34" t="str">
        <f>AD33</f>
        <v/>
      </c>
    </row>
    <row r="35">
      <c r="E35" s="140" t="n"/>
      <c r="F35" s="140" t="inlineStr">
        <is>
          <t>RJ</t>
        </is>
      </c>
      <c r="AA35" t="str">
        <f>IFERROR(INDEX('CAD_UNIDADES'!$C$6:$C$105,MATCH(30,'CAD_UNIDADES'!$N$6:$N$105,0))&amp;"","")</f>
        <v/>
      </c>
      <c r="AB35" t="str">
        <f>IFERROR(INDEX('CAD_PARCEIROS'!$P$6:$P$205,MATCH(30,'CAD_PARCEIROS'!$S$6:$S$205,0))&amp;"","")</f>
        <v/>
      </c>
      <c r="AC35" t="str">
        <f>IFERROR(INDEX('CAD_PARCEIROS'!$P$6:$P$205,MATCH(30,'CAD_PARCEIROS'!$U$6:$U$205,0))&amp;"","")</f>
        <v/>
      </c>
      <c r="AD35" t="str">
        <f>IFERROR(INDEX('CAD_RESÍDUOS'!$B$6:$B$205,MATCH(30,'CAD_RESÍDUOS'!$L$6:$L$205,0))&amp;"","")</f>
        <v/>
      </c>
      <c r="AE35" t="str">
        <f>IFERROR(INDEX('MTRs'!$BD$6:$BD$505,MATCH(30,'MTRs'!$BE$6:$BE$505,0))&amp;"","")</f>
        <v/>
      </c>
      <c r="AF35" t="str">
        <f>IFERROR(INDEX('ITENS_MTR'!$AS$6:$AS$1005,MATCH(30,'ITENS_MTR'!$AT$6:$AT$1005,0))&amp;"","")</f>
        <v/>
      </c>
      <c r="AG35" t="str">
        <f>IFERROR(INDEX('CDFs'!$Y$6:$Y$505,MATCH(30,'CDFs'!$Z$6:$Z$505,0))&amp;"","")</f>
        <v/>
      </c>
      <c r="AH35" t="str">
        <f>AA34</f>
        <v/>
      </c>
      <c r="AI35" t="str">
        <f>AB34</f>
        <v/>
      </c>
      <c r="AJ35" t="str">
        <f>AC34</f>
        <v/>
      </c>
      <c r="AK35" t="str">
        <f>AD34</f>
        <v/>
      </c>
    </row>
    <row r="36">
      <c r="E36" s="140" t="n"/>
      <c r="F36" s="140" t="inlineStr">
        <is>
          <t>RN</t>
        </is>
      </c>
      <c r="AA36" t="str">
        <f>IFERROR(INDEX('CAD_UNIDADES'!$C$6:$C$105,MATCH(31,'CAD_UNIDADES'!$N$6:$N$105,0))&amp;"","")</f>
        <v/>
      </c>
      <c r="AB36" t="str">
        <f>IFERROR(INDEX('CAD_PARCEIROS'!$P$6:$P$205,MATCH(31,'CAD_PARCEIROS'!$S$6:$S$205,0))&amp;"","")</f>
        <v/>
      </c>
      <c r="AC36" t="str">
        <f>IFERROR(INDEX('CAD_PARCEIROS'!$P$6:$P$205,MATCH(31,'CAD_PARCEIROS'!$U$6:$U$205,0))&amp;"","")</f>
        <v/>
      </c>
      <c r="AD36" t="str">
        <f>IFERROR(INDEX('CAD_RESÍDUOS'!$B$6:$B$205,MATCH(31,'CAD_RESÍDUOS'!$L$6:$L$205,0))&amp;"","")</f>
        <v/>
      </c>
      <c r="AE36" t="str">
        <f>IFERROR(INDEX('MTRs'!$BD$6:$BD$505,MATCH(31,'MTRs'!$BE$6:$BE$505,0))&amp;"","")</f>
        <v/>
      </c>
      <c r="AF36" t="str">
        <f>IFERROR(INDEX('ITENS_MTR'!$AS$6:$AS$1005,MATCH(31,'ITENS_MTR'!$AT$6:$AT$1005,0))&amp;"","")</f>
        <v/>
      </c>
      <c r="AG36" t="str">
        <f>IFERROR(INDEX('CDFs'!$Y$6:$Y$505,MATCH(31,'CDFs'!$Z$6:$Z$505,0))&amp;"","")</f>
        <v/>
      </c>
      <c r="AH36" t="str">
        <f>AA35</f>
        <v/>
      </c>
      <c r="AI36" t="str">
        <f>AB35</f>
        <v/>
      </c>
      <c r="AJ36" t="str">
        <f>AC35</f>
        <v/>
      </c>
      <c r="AK36" t="str">
        <f>AD35</f>
        <v/>
      </c>
    </row>
    <row r="37">
      <c r="F37" s="140" t="inlineStr">
        <is>
          <t>RS</t>
        </is>
      </c>
      <c r="AA37" t="str">
        <f>IFERROR(INDEX('CAD_UNIDADES'!$C$6:$C$105,MATCH(32,'CAD_UNIDADES'!$N$6:$N$105,0))&amp;"","")</f>
        <v/>
      </c>
      <c r="AB37" t="str">
        <f>IFERROR(INDEX('CAD_PARCEIROS'!$P$6:$P$205,MATCH(32,'CAD_PARCEIROS'!$S$6:$S$205,0))&amp;"","")</f>
        <v/>
      </c>
      <c r="AC37" t="str">
        <f>IFERROR(INDEX('CAD_PARCEIROS'!$P$6:$P$205,MATCH(32,'CAD_PARCEIROS'!$U$6:$U$205,0))&amp;"","")</f>
        <v/>
      </c>
      <c r="AD37" t="str">
        <f>IFERROR(INDEX('CAD_RESÍDUOS'!$B$6:$B$205,MATCH(32,'CAD_RESÍDUOS'!$L$6:$L$205,0))&amp;"","")</f>
        <v/>
      </c>
      <c r="AE37" t="str">
        <f>IFERROR(INDEX('MTRs'!$BD$6:$BD$505,MATCH(32,'MTRs'!$BE$6:$BE$505,0))&amp;"","")</f>
        <v/>
      </c>
      <c r="AF37" t="str">
        <f>IFERROR(INDEX('ITENS_MTR'!$AS$6:$AS$1005,MATCH(32,'ITENS_MTR'!$AT$6:$AT$1005,0))&amp;"","")</f>
        <v/>
      </c>
      <c r="AG37" t="str">
        <f>IFERROR(INDEX('CDFs'!$Y$6:$Y$505,MATCH(32,'CDFs'!$Z$6:$Z$505,0))&amp;"","")</f>
        <v/>
      </c>
      <c r="AH37" t="str">
        <f>AA36</f>
        <v/>
      </c>
      <c r="AI37" t="str">
        <f>AB36</f>
        <v/>
      </c>
      <c r="AJ37" t="str">
        <f>AC36</f>
        <v/>
      </c>
      <c r="AK37" t="str">
        <f>AD36</f>
        <v/>
      </c>
    </row>
    <row r="38">
      <c r="F38" s="140" t="inlineStr">
        <is>
          <t>RO</t>
        </is>
      </c>
      <c r="AA38" t="str">
        <f>IFERROR(INDEX('CAD_UNIDADES'!$C$6:$C$105,MATCH(33,'CAD_UNIDADES'!$N$6:$N$105,0))&amp;"","")</f>
        <v/>
      </c>
      <c r="AB38" t="str">
        <f>IFERROR(INDEX('CAD_PARCEIROS'!$P$6:$P$205,MATCH(33,'CAD_PARCEIROS'!$S$6:$S$205,0))&amp;"","")</f>
        <v/>
      </c>
      <c r="AC38" t="str">
        <f>IFERROR(INDEX('CAD_PARCEIROS'!$P$6:$P$205,MATCH(33,'CAD_PARCEIROS'!$U$6:$U$205,0))&amp;"","")</f>
        <v/>
      </c>
      <c r="AD38" t="str">
        <f>IFERROR(INDEX('CAD_RESÍDUOS'!$B$6:$B$205,MATCH(33,'CAD_RESÍDUOS'!$L$6:$L$205,0))&amp;"","")</f>
        <v/>
      </c>
      <c r="AE38" t="str">
        <f>IFERROR(INDEX('MTRs'!$BD$6:$BD$505,MATCH(33,'MTRs'!$BE$6:$BE$505,0))&amp;"","")</f>
        <v/>
      </c>
      <c r="AF38" t="str">
        <f>IFERROR(INDEX('ITENS_MTR'!$AS$6:$AS$1005,MATCH(33,'ITENS_MTR'!$AT$6:$AT$1005,0))&amp;"","")</f>
        <v/>
      </c>
      <c r="AG38" t="str">
        <f>IFERROR(INDEX('CDFs'!$Y$6:$Y$505,MATCH(33,'CDFs'!$Z$6:$Z$505,0))&amp;"","")</f>
        <v/>
      </c>
      <c r="AH38" t="str">
        <f>AA37</f>
        <v/>
      </c>
      <c r="AI38" t="str">
        <f>AB37</f>
        <v/>
      </c>
      <c r="AJ38" t="str">
        <f>AC37</f>
        <v/>
      </c>
      <c r="AK38" t="str">
        <f>AD37</f>
        <v/>
      </c>
    </row>
    <row r="39">
      <c r="F39" s="140" t="inlineStr">
        <is>
          <t>RR</t>
        </is>
      </c>
      <c r="AA39" t="str">
        <f>IFERROR(INDEX('CAD_UNIDADES'!$C$6:$C$105,MATCH(34,'CAD_UNIDADES'!$N$6:$N$105,0))&amp;"","")</f>
        <v/>
      </c>
      <c r="AB39" t="str">
        <f>IFERROR(INDEX('CAD_PARCEIROS'!$P$6:$P$205,MATCH(34,'CAD_PARCEIROS'!$S$6:$S$205,0))&amp;"","")</f>
        <v/>
      </c>
      <c r="AC39" t="str">
        <f>IFERROR(INDEX('CAD_PARCEIROS'!$P$6:$P$205,MATCH(34,'CAD_PARCEIROS'!$U$6:$U$205,0))&amp;"","")</f>
        <v/>
      </c>
      <c r="AD39" t="str">
        <f>IFERROR(INDEX('CAD_RESÍDUOS'!$B$6:$B$205,MATCH(34,'CAD_RESÍDUOS'!$L$6:$L$205,0))&amp;"","")</f>
        <v/>
      </c>
      <c r="AE39" t="str">
        <f>IFERROR(INDEX('MTRs'!$BD$6:$BD$505,MATCH(34,'MTRs'!$BE$6:$BE$505,0))&amp;"","")</f>
        <v/>
      </c>
      <c r="AF39" t="str">
        <f>IFERROR(INDEX('ITENS_MTR'!$AS$6:$AS$1005,MATCH(34,'ITENS_MTR'!$AT$6:$AT$1005,0))&amp;"","")</f>
        <v/>
      </c>
      <c r="AG39" t="str">
        <f>IFERROR(INDEX('CDFs'!$Y$6:$Y$505,MATCH(34,'CDFs'!$Z$6:$Z$505,0))&amp;"","")</f>
        <v/>
      </c>
      <c r="AH39" t="str">
        <f>AA38</f>
        <v/>
      </c>
      <c r="AI39" t="str">
        <f>AB38</f>
        <v/>
      </c>
      <c r="AJ39" t="str">
        <f>AC38</f>
        <v/>
      </c>
      <c r="AK39" t="str">
        <f>AD38</f>
        <v/>
      </c>
    </row>
    <row r="40">
      <c r="F40" s="140" t="inlineStr">
        <is>
          <t>SC</t>
        </is>
      </c>
      <c r="AA40" t="str">
        <f>IFERROR(INDEX('CAD_UNIDADES'!$C$6:$C$105,MATCH(35,'CAD_UNIDADES'!$N$6:$N$105,0))&amp;"","")</f>
        <v/>
      </c>
      <c r="AB40" t="str">
        <f>IFERROR(INDEX('CAD_PARCEIROS'!$P$6:$P$205,MATCH(35,'CAD_PARCEIROS'!$S$6:$S$205,0))&amp;"","")</f>
        <v/>
      </c>
      <c r="AC40" t="str">
        <f>IFERROR(INDEX('CAD_PARCEIROS'!$P$6:$P$205,MATCH(35,'CAD_PARCEIROS'!$U$6:$U$205,0))&amp;"","")</f>
        <v/>
      </c>
      <c r="AD40" t="str">
        <f>IFERROR(INDEX('CAD_RESÍDUOS'!$B$6:$B$205,MATCH(35,'CAD_RESÍDUOS'!$L$6:$L$205,0))&amp;"","")</f>
        <v/>
      </c>
      <c r="AE40" t="str">
        <f>IFERROR(INDEX('MTRs'!$BD$6:$BD$505,MATCH(35,'MTRs'!$BE$6:$BE$505,0))&amp;"","")</f>
        <v/>
      </c>
      <c r="AF40" t="str">
        <f>IFERROR(INDEX('ITENS_MTR'!$AS$6:$AS$1005,MATCH(35,'ITENS_MTR'!$AT$6:$AT$1005,0))&amp;"","")</f>
        <v/>
      </c>
      <c r="AG40" t="str">
        <f>IFERROR(INDEX('CDFs'!$Y$6:$Y$505,MATCH(35,'CDFs'!$Z$6:$Z$505,0))&amp;"","")</f>
        <v/>
      </c>
      <c r="AH40" t="str">
        <f>AA39</f>
        <v/>
      </c>
      <c r="AI40" t="str">
        <f>AB39</f>
        <v/>
      </c>
      <c r="AJ40" t="str">
        <f>AC39</f>
        <v/>
      </c>
      <c r="AK40" t="str">
        <f>AD39</f>
        <v/>
      </c>
    </row>
    <row r="41">
      <c r="F41" s="140" t="inlineStr">
        <is>
          <t>SP</t>
        </is>
      </c>
      <c r="AA41" t="str">
        <f>IFERROR(INDEX('CAD_UNIDADES'!$C$6:$C$105,MATCH(36,'CAD_UNIDADES'!$N$6:$N$105,0))&amp;"","")</f>
        <v/>
      </c>
      <c r="AB41" t="str">
        <f>IFERROR(INDEX('CAD_PARCEIROS'!$P$6:$P$205,MATCH(36,'CAD_PARCEIROS'!$S$6:$S$205,0))&amp;"","")</f>
        <v/>
      </c>
      <c r="AC41" t="str">
        <f>IFERROR(INDEX('CAD_PARCEIROS'!$P$6:$P$205,MATCH(36,'CAD_PARCEIROS'!$U$6:$U$205,0))&amp;"","")</f>
        <v/>
      </c>
      <c r="AD41" t="str">
        <f>IFERROR(INDEX('CAD_RESÍDUOS'!$B$6:$B$205,MATCH(36,'CAD_RESÍDUOS'!$L$6:$L$205,0))&amp;"","")</f>
        <v/>
      </c>
      <c r="AE41" t="str">
        <f>IFERROR(INDEX('MTRs'!$BD$6:$BD$505,MATCH(36,'MTRs'!$BE$6:$BE$505,0))&amp;"","")</f>
        <v/>
      </c>
      <c r="AF41" t="str">
        <f>IFERROR(INDEX('ITENS_MTR'!$AS$6:$AS$1005,MATCH(36,'ITENS_MTR'!$AT$6:$AT$1005,0))&amp;"","")</f>
        <v/>
      </c>
      <c r="AG41" t="str">
        <f>IFERROR(INDEX('CDFs'!$Y$6:$Y$505,MATCH(36,'CDFs'!$Z$6:$Z$505,0))&amp;"","")</f>
        <v/>
      </c>
      <c r="AH41" t="str">
        <f>AA40</f>
        <v/>
      </c>
      <c r="AI41" t="str">
        <f>AB40</f>
        <v/>
      </c>
      <c r="AJ41" t="str">
        <f>AC40</f>
        <v/>
      </c>
      <c r="AK41" t="str">
        <f>AD40</f>
        <v/>
      </c>
    </row>
    <row r="42">
      <c r="F42" s="140" t="inlineStr">
        <is>
          <t>SE</t>
        </is>
      </c>
      <c r="AA42" t="str">
        <f>IFERROR(INDEX('CAD_UNIDADES'!$C$6:$C$105,MATCH(37,'CAD_UNIDADES'!$N$6:$N$105,0))&amp;"","")</f>
        <v/>
      </c>
      <c r="AB42" t="str">
        <f>IFERROR(INDEX('CAD_PARCEIROS'!$P$6:$P$205,MATCH(37,'CAD_PARCEIROS'!$S$6:$S$205,0))&amp;"","")</f>
        <v/>
      </c>
      <c r="AC42" t="str">
        <f>IFERROR(INDEX('CAD_PARCEIROS'!$P$6:$P$205,MATCH(37,'CAD_PARCEIROS'!$U$6:$U$205,0))&amp;"","")</f>
        <v/>
      </c>
      <c r="AD42" t="str">
        <f>IFERROR(INDEX('CAD_RESÍDUOS'!$B$6:$B$205,MATCH(37,'CAD_RESÍDUOS'!$L$6:$L$205,0))&amp;"","")</f>
        <v/>
      </c>
      <c r="AE42" t="str">
        <f>IFERROR(INDEX('MTRs'!$BD$6:$BD$505,MATCH(37,'MTRs'!$BE$6:$BE$505,0))&amp;"","")</f>
        <v/>
      </c>
      <c r="AF42" t="str">
        <f>IFERROR(INDEX('ITENS_MTR'!$AS$6:$AS$1005,MATCH(37,'ITENS_MTR'!$AT$6:$AT$1005,0))&amp;"","")</f>
        <v/>
      </c>
      <c r="AG42" t="str">
        <f>IFERROR(INDEX('CDFs'!$Y$6:$Y$505,MATCH(37,'CDFs'!$Z$6:$Z$505,0))&amp;"","")</f>
        <v/>
      </c>
      <c r="AH42" t="str">
        <f>AA41</f>
        <v/>
      </c>
      <c r="AI42" t="str">
        <f>AB41</f>
        <v/>
      </c>
      <c r="AJ42" t="str">
        <f>AC41</f>
        <v/>
      </c>
      <c r="AK42" t="str">
        <f>AD41</f>
        <v/>
      </c>
    </row>
    <row r="43">
      <c r="F43" s="140" t="inlineStr">
        <is>
          <t>TO</t>
        </is>
      </c>
      <c r="AA43" t="str">
        <f>IFERROR(INDEX('CAD_UNIDADES'!$C$6:$C$105,MATCH(38,'CAD_UNIDADES'!$N$6:$N$105,0))&amp;"","")</f>
        <v/>
      </c>
      <c r="AB43" t="str">
        <f>IFERROR(INDEX('CAD_PARCEIROS'!$P$6:$P$205,MATCH(38,'CAD_PARCEIROS'!$S$6:$S$205,0))&amp;"","")</f>
        <v/>
      </c>
      <c r="AC43" t="str">
        <f>IFERROR(INDEX('CAD_PARCEIROS'!$P$6:$P$205,MATCH(38,'CAD_PARCEIROS'!$U$6:$U$205,0))&amp;"","")</f>
        <v/>
      </c>
      <c r="AD43" t="str">
        <f>IFERROR(INDEX('CAD_RESÍDUOS'!$B$6:$B$205,MATCH(38,'CAD_RESÍDUOS'!$L$6:$L$205,0))&amp;"","")</f>
        <v/>
      </c>
      <c r="AE43" t="str">
        <f>IFERROR(INDEX('MTRs'!$BD$6:$BD$505,MATCH(38,'MTRs'!$BE$6:$BE$505,0))&amp;"","")</f>
        <v/>
      </c>
      <c r="AF43" t="str">
        <f>IFERROR(INDEX('ITENS_MTR'!$AS$6:$AS$1005,MATCH(38,'ITENS_MTR'!$AT$6:$AT$1005,0))&amp;"","")</f>
        <v/>
      </c>
      <c r="AG43" t="str">
        <f>IFERROR(INDEX('CDFs'!$Y$6:$Y$505,MATCH(38,'CDFs'!$Z$6:$Z$505,0))&amp;"","")</f>
        <v/>
      </c>
      <c r="AH43" t="str">
        <f>AA42</f>
        <v/>
      </c>
      <c r="AI43" t="str">
        <f>AB42</f>
        <v/>
      </c>
      <c r="AJ43" t="str">
        <f>AC42</f>
        <v/>
      </c>
      <c r="AK43" t="str">
        <f>AD42</f>
        <v/>
      </c>
    </row>
    <row r="44">
      <c r="AA44" t="str">
        <f>IFERROR(INDEX('CAD_UNIDADES'!$C$6:$C$105,MATCH(39,'CAD_UNIDADES'!$N$6:$N$105,0))&amp;"","")</f>
        <v/>
      </c>
      <c r="AB44" t="str">
        <f>IFERROR(INDEX('CAD_PARCEIROS'!$P$6:$P$205,MATCH(39,'CAD_PARCEIROS'!$S$6:$S$205,0))&amp;"","")</f>
        <v/>
      </c>
      <c r="AC44" t="str">
        <f>IFERROR(INDEX('CAD_PARCEIROS'!$P$6:$P$205,MATCH(39,'CAD_PARCEIROS'!$U$6:$U$205,0))&amp;"","")</f>
        <v/>
      </c>
      <c r="AD44" t="str">
        <f>IFERROR(INDEX('CAD_RESÍDUOS'!$B$6:$B$205,MATCH(39,'CAD_RESÍDUOS'!$L$6:$L$205,0))&amp;"","")</f>
        <v/>
      </c>
      <c r="AE44" t="str">
        <f>IFERROR(INDEX('MTRs'!$BD$6:$BD$505,MATCH(39,'MTRs'!$BE$6:$BE$505,0))&amp;"","")</f>
        <v/>
      </c>
      <c r="AF44" t="str">
        <f>IFERROR(INDEX('ITENS_MTR'!$AS$6:$AS$1005,MATCH(39,'ITENS_MTR'!$AT$6:$AT$1005,0))&amp;"","")</f>
        <v/>
      </c>
      <c r="AG44" t="str">
        <f>IFERROR(INDEX('CDFs'!$Y$6:$Y$505,MATCH(39,'CDFs'!$Z$6:$Z$505,0))&amp;"","")</f>
        <v/>
      </c>
      <c r="AH44" t="str">
        <f>AA43</f>
        <v/>
      </c>
      <c r="AI44" t="str">
        <f>AB43</f>
        <v/>
      </c>
      <c r="AJ44" t="str">
        <f>AC43</f>
        <v/>
      </c>
      <c r="AK44" t="str">
        <f>AD43</f>
        <v/>
      </c>
    </row>
    <row r="45">
      <c r="AA45" t="str">
        <f>IFERROR(INDEX('CAD_UNIDADES'!$C$6:$C$105,MATCH(40,'CAD_UNIDADES'!$N$6:$N$105,0))&amp;"","")</f>
        <v/>
      </c>
      <c r="AB45" t="str">
        <f>IFERROR(INDEX('CAD_PARCEIROS'!$P$6:$P$205,MATCH(40,'CAD_PARCEIROS'!$S$6:$S$205,0))&amp;"","")</f>
        <v/>
      </c>
      <c r="AC45" t="str">
        <f>IFERROR(INDEX('CAD_PARCEIROS'!$P$6:$P$205,MATCH(40,'CAD_PARCEIROS'!$U$6:$U$205,0))&amp;"","")</f>
        <v/>
      </c>
      <c r="AD45" t="str">
        <f>IFERROR(INDEX('CAD_RESÍDUOS'!$B$6:$B$205,MATCH(40,'CAD_RESÍDUOS'!$L$6:$L$205,0))&amp;"","")</f>
        <v/>
      </c>
      <c r="AE45" t="str">
        <f>IFERROR(INDEX('MTRs'!$BD$6:$BD$505,MATCH(40,'MTRs'!$BE$6:$BE$505,0))&amp;"","")</f>
        <v/>
      </c>
      <c r="AF45" t="str">
        <f>IFERROR(INDEX('ITENS_MTR'!$AS$6:$AS$1005,MATCH(40,'ITENS_MTR'!$AT$6:$AT$1005,0))&amp;"","")</f>
        <v/>
      </c>
      <c r="AG45" t="str">
        <f>IFERROR(INDEX('CDFs'!$Y$6:$Y$505,MATCH(40,'CDFs'!$Z$6:$Z$505,0))&amp;"","")</f>
        <v/>
      </c>
      <c r="AH45" t="str">
        <f>AA44</f>
        <v/>
      </c>
      <c r="AI45" t="str">
        <f>AB44</f>
        <v/>
      </c>
      <c r="AJ45" t="str">
        <f>AC44</f>
        <v/>
      </c>
      <c r="AK45" t="str">
        <f>AD44</f>
        <v/>
      </c>
    </row>
    <row r="46">
      <c r="AA46" t="str">
        <f>IFERROR(INDEX('CAD_UNIDADES'!$C$6:$C$105,MATCH(41,'CAD_UNIDADES'!$N$6:$N$105,0))&amp;"","")</f>
        <v/>
      </c>
      <c r="AB46" t="str">
        <f>IFERROR(INDEX('CAD_PARCEIROS'!$P$6:$P$205,MATCH(41,'CAD_PARCEIROS'!$S$6:$S$205,0))&amp;"","")</f>
        <v/>
      </c>
      <c r="AC46" t="str">
        <f>IFERROR(INDEX('CAD_PARCEIROS'!$P$6:$P$205,MATCH(41,'CAD_PARCEIROS'!$U$6:$U$205,0))&amp;"","")</f>
        <v/>
      </c>
      <c r="AD46" t="str">
        <f>IFERROR(INDEX('CAD_RESÍDUOS'!$B$6:$B$205,MATCH(41,'CAD_RESÍDUOS'!$L$6:$L$205,0))&amp;"","")</f>
        <v/>
      </c>
      <c r="AE46" t="str">
        <f>IFERROR(INDEX('MTRs'!$BD$6:$BD$505,MATCH(41,'MTRs'!$BE$6:$BE$505,0))&amp;"","")</f>
        <v/>
      </c>
      <c r="AF46" t="str">
        <f>IFERROR(INDEX('ITENS_MTR'!$AS$6:$AS$1005,MATCH(41,'ITENS_MTR'!$AT$6:$AT$1005,0))&amp;"","")</f>
        <v/>
      </c>
      <c r="AG46" t="str">
        <f>IFERROR(INDEX('CDFs'!$Y$6:$Y$505,MATCH(41,'CDFs'!$Z$6:$Z$505,0))&amp;"","")</f>
        <v/>
      </c>
      <c r="AH46" t="str">
        <f>AA45</f>
        <v/>
      </c>
      <c r="AI46" t="str">
        <f>AB45</f>
        <v/>
      </c>
      <c r="AJ46" t="str">
        <f>AC45</f>
        <v/>
      </c>
      <c r="AK46" t="str">
        <f>AD45</f>
        <v/>
      </c>
    </row>
    <row r="47">
      <c r="AA47" t="str">
        <f>IFERROR(INDEX('CAD_UNIDADES'!$C$6:$C$105,MATCH(42,'CAD_UNIDADES'!$N$6:$N$105,0))&amp;"","")</f>
        <v/>
      </c>
      <c r="AB47" t="str">
        <f>IFERROR(INDEX('CAD_PARCEIROS'!$P$6:$P$205,MATCH(42,'CAD_PARCEIROS'!$S$6:$S$205,0))&amp;"","")</f>
        <v/>
      </c>
      <c r="AC47" t="str">
        <f>IFERROR(INDEX('CAD_PARCEIROS'!$P$6:$P$205,MATCH(42,'CAD_PARCEIROS'!$U$6:$U$205,0))&amp;"","")</f>
        <v/>
      </c>
      <c r="AD47" t="str">
        <f>IFERROR(INDEX('CAD_RESÍDUOS'!$B$6:$B$205,MATCH(42,'CAD_RESÍDUOS'!$L$6:$L$205,0))&amp;"","")</f>
        <v/>
      </c>
      <c r="AE47" t="str">
        <f>IFERROR(INDEX('MTRs'!$BD$6:$BD$505,MATCH(42,'MTRs'!$BE$6:$BE$505,0))&amp;"","")</f>
        <v/>
      </c>
      <c r="AF47" t="str">
        <f>IFERROR(INDEX('ITENS_MTR'!$AS$6:$AS$1005,MATCH(42,'ITENS_MTR'!$AT$6:$AT$1005,0))&amp;"","")</f>
        <v/>
      </c>
      <c r="AG47" t="str">
        <f>IFERROR(INDEX('CDFs'!$Y$6:$Y$505,MATCH(42,'CDFs'!$Z$6:$Z$505,0))&amp;"","")</f>
        <v/>
      </c>
      <c r="AH47" t="str">
        <f>AA46</f>
        <v/>
      </c>
      <c r="AI47" t="str">
        <f>AB46</f>
        <v/>
      </c>
      <c r="AJ47" t="str">
        <f>AC46</f>
        <v/>
      </c>
      <c r="AK47" t="str">
        <f>AD46</f>
        <v/>
      </c>
    </row>
    <row r="48">
      <c r="AA48" t="str">
        <f>IFERROR(INDEX('CAD_UNIDADES'!$C$6:$C$105,MATCH(43,'CAD_UNIDADES'!$N$6:$N$105,0))&amp;"","")</f>
        <v/>
      </c>
      <c r="AB48" t="str">
        <f>IFERROR(INDEX('CAD_PARCEIROS'!$P$6:$P$205,MATCH(43,'CAD_PARCEIROS'!$S$6:$S$205,0))&amp;"","")</f>
        <v/>
      </c>
      <c r="AC48" t="str">
        <f>IFERROR(INDEX('CAD_PARCEIROS'!$P$6:$P$205,MATCH(43,'CAD_PARCEIROS'!$U$6:$U$205,0))&amp;"","")</f>
        <v/>
      </c>
      <c r="AD48" t="str">
        <f>IFERROR(INDEX('CAD_RESÍDUOS'!$B$6:$B$205,MATCH(43,'CAD_RESÍDUOS'!$L$6:$L$205,0))&amp;"","")</f>
        <v/>
      </c>
      <c r="AE48" t="str">
        <f>IFERROR(INDEX('MTRs'!$BD$6:$BD$505,MATCH(43,'MTRs'!$BE$6:$BE$505,0))&amp;"","")</f>
        <v/>
      </c>
      <c r="AF48" t="str">
        <f>IFERROR(INDEX('ITENS_MTR'!$AS$6:$AS$1005,MATCH(43,'ITENS_MTR'!$AT$6:$AT$1005,0))&amp;"","")</f>
        <v/>
      </c>
      <c r="AG48" t="str">
        <f>IFERROR(INDEX('CDFs'!$Y$6:$Y$505,MATCH(43,'CDFs'!$Z$6:$Z$505,0))&amp;"","")</f>
        <v/>
      </c>
      <c r="AH48" t="str">
        <f>AA47</f>
        <v/>
      </c>
      <c r="AI48" t="str">
        <f>AB47</f>
        <v/>
      </c>
      <c r="AJ48" t="str">
        <f>AC47</f>
        <v/>
      </c>
      <c r="AK48" t="str">
        <f>AD47</f>
        <v/>
      </c>
    </row>
    <row r="49">
      <c r="AA49" t="str">
        <f>IFERROR(INDEX('CAD_UNIDADES'!$C$6:$C$105,MATCH(44,'CAD_UNIDADES'!$N$6:$N$105,0))&amp;"","")</f>
        <v/>
      </c>
      <c r="AB49" t="str">
        <f>IFERROR(INDEX('CAD_PARCEIROS'!$P$6:$P$205,MATCH(44,'CAD_PARCEIROS'!$S$6:$S$205,0))&amp;"","")</f>
        <v/>
      </c>
      <c r="AC49" t="str">
        <f>IFERROR(INDEX('CAD_PARCEIROS'!$P$6:$P$205,MATCH(44,'CAD_PARCEIROS'!$U$6:$U$205,0))&amp;"","")</f>
        <v/>
      </c>
      <c r="AD49" t="str">
        <f>IFERROR(INDEX('CAD_RESÍDUOS'!$B$6:$B$205,MATCH(44,'CAD_RESÍDUOS'!$L$6:$L$205,0))&amp;"","")</f>
        <v/>
      </c>
      <c r="AE49" t="str">
        <f>IFERROR(INDEX('MTRs'!$BD$6:$BD$505,MATCH(44,'MTRs'!$BE$6:$BE$505,0))&amp;"","")</f>
        <v/>
      </c>
      <c r="AF49" t="str">
        <f>IFERROR(INDEX('ITENS_MTR'!$AS$6:$AS$1005,MATCH(44,'ITENS_MTR'!$AT$6:$AT$1005,0))&amp;"","")</f>
        <v/>
      </c>
      <c r="AG49" t="str">
        <f>IFERROR(INDEX('CDFs'!$Y$6:$Y$505,MATCH(44,'CDFs'!$Z$6:$Z$505,0))&amp;"","")</f>
        <v/>
      </c>
      <c r="AH49" t="str">
        <f>AA48</f>
        <v/>
      </c>
      <c r="AI49" t="str">
        <f>AB48</f>
        <v/>
      </c>
      <c r="AJ49" t="str">
        <f>AC48</f>
        <v/>
      </c>
      <c r="AK49" t="str">
        <f>AD48</f>
        <v/>
      </c>
    </row>
    <row r="50">
      <c r="B50" s="131" t="inlineStr">
        <is>
          <t>TIPOS DE PENDÊNCIA (prioridade e próxima providência editáveis)</t>
        </is>
      </c>
      <c r="C50" s="131" t="n"/>
      <c r="D50" s="131" t="n"/>
      <c r="E50" s="131" t="n"/>
      <c r="F50" s="131" t="n"/>
      <c r="G50" s="131" t="n"/>
      <c r="H50" s="131" t="n"/>
      <c r="I50" s="131" t="n"/>
      <c r="J50" s="131" t="n"/>
      <c r="K50" s="131" t="n"/>
      <c r="L50" s="131" t="n"/>
      <c r="AA50" t="str">
        <f>IFERROR(INDEX('CAD_UNIDADES'!$C$6:$C$105,MATCH(45,'CAD_UNIDADES'!$N$6:$N$105,0))&amp;"","")</f>
        <v/>
      </c>
      <c r="AB50" t="str">
        <f>IFERROR(INDEX('CAD_PARCEIROS'!$P$6:$P$205,MATCH(45,'CAD_PARCEIROS'!$S$6:$S$205,0))&amp;"","")</f>
        <v/>
      </c>
      <c r="AC50" t="str">
        <f>IFERROR(INDEX('CAD_PARCEIROS'!$P$6:$P$205,MATCH(45,'CAD_PARCEIROS'!$U$6:$U$205,0))&amp;"","")</f>
        <v/>
      </c>
      <c r="AD50" t="str">
        <f>IFERROR(INDEX('CAD_RESÍDUOS'!$B$6:$B$205,MATCH(45,'CAD_RESÍDUOS'!$L$6:$L$205,0))&amp;"","")</f>
        <v/>
      </c>
      <c r="AE50" t="str">
        <f>IFERROR(INDEX('MTRs'!$BD$6:$BD$505,MATCH(45,'MTRs'!$BE$6:$BE$505,0))&amp;"","")</f>
        <v/>
      </c>
      <c r="AF50" t="str">
        <f>IFERROR(INDEX('ITENS_MTR'!$AS$6:$AS$1005,MATCH(45,'ITENS_MTR'!$AT$6:$AT$1005,0))&amp;"","")</f>
        <v/>
      </c>
      <c r="AG50" t="str">
        <f>IFERROR(INDEX('CDFs'!$Y$6:$Y$505,MATCH(45,'CDFs'!$Z$6:$Z$505,0))&amp;"","")</f>
        <v/>
      </c>
      <c r="AH50" t="str">
        <f>AA49</f>
        <v/>
      </c>
      <c r="AI50" t="str">
        <f>AB49</f>
        <v/>
      </c>
      <c r="AJ50" t="str">
        <f>AC49</f>
        <v/>
      </c>
      <c r="AK50" t="str">
        <f>AD49</f>
        <v/>
      </c>
    </row>
    <row r="51">
      <c r="B51" s="107" t="inlineStr">
        <is>
          <t>Tipo de pendência</t>
        </is>
      </c>
      <c r="C51" s="107" t="inlineStr">
        <is>
          <t>Prioridade interna base</t>
        </is>
      </c>
      <c r="D51" s="107" t="inlineStr">
        <is>
          <t>Próxima providência sugerida</t>
        </is>
      </c>
      <c r="E51" s="107" t="n"/>
      <c r="F51" s="107" t="n"/>
      <c r="G51" s="107" t="n"/>
      <c r="H51" s="107" t="n"/>
      <c r="I51" s="107" t="n"/>
      <c r="J51" s="107" t="n"/>
      <c r="K51" s="107" t="n"/>
      <c r="L51" s="107" t="n"/>
      <c r="AA51" t="str">
        <f>IFERROR(INDEX('CAD_UNIDADES'!$C$6:$C$105,MATCH(46,'CAD_UNIDADES'!$N$6:$N$105,0))&amp;"","")</f>
        <v/>
      </c>
      <c r="AB51" t="str">
        <f>IFERROR(INDEX('CAD_PARCEIROS'!$P$6:$P$205,MATCH(46,'CAD_PARCEIROS'!$S$6:$S$205,0))&amp;"","")</f>
        <v/>
      </c>
      <c r="AC51" t="str">
        <f>IFERROR(INDEX('CAD_PARCEIROS'!$P$6:$P$205,MATCH(46,'CAD_PARCEIROS'!$U$6:$U$205,0))&amp;"","")</f>
        <v/>
      </c>
      <c r="AD51" t="str">
        <f>IFERROR(INDEX('CAD_RESÍDUOS'!$B$6:$B$205,MATCH(46,'CAD_RESÍDUOS'!$L$6:$L$205,0))&amp;"","")</f>
        <v/>
      </c>
      <c r="AE51" t="str">
        <f>IFERROR(INDEX('MTRs'!$BD$6:$BD$505,MATCH(46,'MTRs'!$BE$6:$BE$505,0))&amp;"","")</f>
        <v/>
      </c>
      <c r="AF51" t="str">
        <f>IFERROR(INDEX('ITENS_MTR'!$AS$6:$AS$1005,MATCH(46,'ITENS_MTR'!$AT$6:$AT$1005,0))&amp;"","")</f>
        <v/>
      </c>
      <c r="AG51" t="str">
        <f>IFERROR(INDEX('CDFs'!$Y$6:$Y$505,MATCH(46,'CDFs'!$Z$6:$Z$505,0))&amp;"","")</f>
        <v/>
      </c>
      <c r="AH51" t="str">
        <f>AA50</f>
        <v/>
      </c>
      <c r="AI51" t="str">
        <f>AB50</f>
        <v/>
      </c>
      <c r="AJ51" t="str">
        <f>AC50</f>
        <v/>
      </c>
      <c r="AK51" t="str">
        <f>AD50</f>
        <v/>
      </c>
    </row>
    <row r="52">
      <c r="B52" s="142" t="inlineStr">
        <is>
          <t>MTR INCOMPLETO</t>
        </is>
      </c>
      <c r="C52" s="143" t="inlineStr">
        <is>
          <t>Média</t>
        </is>
      </c>
      <c r="D52" s="144" t="inlineStr">
        <is>
          <t>Completar os campos essenciais do MTR e incluir os itens de resíduo.</t>
        </is>
      </c>
      <c r="E52" s="144" t="n"/>
      <c r="F52" s="144" t="n"/>
      <c r="G52" s="144" t="n"/>
      <c r="H52" s="144" t="n"/>
      <c r="I52" s="144" t="n"/>
      <c r="J52" s="144" t="n"/>
      <c r="K52" s="144" t="n"/>
      <c r="L52" s="144" t="n"/>
      <c r="AA52" t="str">
        <f>IFERROR(INDEX('CAD_UNIDADES'!$C$6:$C$105,MATCH(47,'CAD_UNIDADES'!$N$6:$N$105,0))&amp;"","")</f>
        <v/>
      </c>
      <c r="AB52" t="str">
        <f>IFERROR(INDEX('CAD_PARCEIROS'!$P$6:$P$205,MATCH(47,'CAD_PARCEIROS'!$S$6:$S$205,0))&amp;"","")</f>
        <v/>
      </c>
      <c r="AC52" t="str">
        <f>IFERROR(INDEX('CAD_PARCEIROS'!$P$6:$P$205,MATCH(47,'CAD_PARCEIROS'!$U$6:$U$205,0))&amp;"","")</f>
        <v/>
      </c>
      <c r="AD52" t="str">
        <f>IFERROR(INDEX('CAD_RESÍDUOS'!$B$6:$B$205,MATCH(47,'CAD_RESÍDUOS'!$L$6:$L$205,0))&amp;"","")</f>
        <v/>
      </c>
      <c r="AE52" t="str">
        <f>IFERROR(INDEX('MTRs'!$BD$6:$BD$505,MATCH(47,'MTRs'!$BE$6:$BE$505,0))&amp;"","")</f>
        <v/>
      </c>
      <c r="AF52" t="str">
        <f>IFERROR(INDEX('ITENS_MTR'!$AS$6:$AS$1005,MATCH(47,'ITENS_MTR'!$AT$6:$AT$1005,0))&amp;"","")</f>
        <v/>
      </c>
      <c r="AG52" t="str">
        <f>IFERROR(INDEX('CDFs'!$Y$6:$Y$505,MATCH(47,'CDFs'!$Z$6:$Z$505,0))&amp;"","")</f>
        <v/>
      </c>
      <c r="AH52" t="str">
        <f>AA51</f>
        <v/>
      </c>
      <c r="AI52" t="str">
        <f>AB51</f>
        <v/>
      </c>
      <c r="AJ52" t="str">
        <f>AC51</f>
        <v/>
      </c>
      <c r="AK52" t="str">
        <f>AD51</f>
        <v/>
      </c>
    </row>
    <row r="53">
      <c r="B53" s="142" t="inlineStr">
        <is>
          <t>IDENTIFICAÇÃO A REVISAR</t>
        </is>
      </c>
      <c r="C53" s="143" t="inlineStr">
        <is>
          <t>Alta</t>
        </is>
      </c>
      <c r="D53" s="144" t="inlineStr">
        <is>
          <t>Conferir cadastros, datas, referências e possíveis duplicidades do registro.</t>
        </is>
      </c>
      <c r="E53" s="144" t="n"/>
      <c r="F53" s="144" t="n"/>
      <c r="G53" s="144" t="n"/>
      <c r="H53" s="144" t="n"/>
      <c r="I53" s="144" t="n"/>
      <c r="J53" s="144" t="n"/>
      <c r="K53" s="144" t="n"/>
      <c r="L53" s="144" t="n"/>
      <c r="AA53" t="str">
        <f>IFERROR(INDEX('CAD_UNIDADES'!$C$6:$C$105,MATCH(48,'CAD_UNIDADES'!$N$6:$N$105,0))&amp;"","")</f>
        <v/>
      </c>
      <c r="AB53" t="str">
        <f>IFERROR(INDEX('CAD_PARCEIROS'!$P$6:$P$205,MATCH(48,'CAD_PARCEIROS'!$S$6:$S$205,0))&amp;"","")</f>
        <v/>
      </c>
      <c r="AC53" t="str">
        <f>IFERROR(INDEX('CAD_PARCEIROS'!$P$6:$P$205,MATCH(48,'CAD_PARCEIROS'!$U$6:$U$205,0))&amp;"","")</f>
        <v/>
      </c>
      <c r="AD53" t="str">
        <f>IFERROR(INDEX('CAD_RESÍDUOS'!$B$6:$B$205,MATCH(48,'CAD_RESÍDUOS'!$L$6:$L$205,0))&amp;"","")</f>
        <v/>
      </c>
      <c r="AE53" t="str">
        <f>IFERROR(INDEX('MTRs'!$BD$6:$BD$505,MATCH(48,'MTRs'!$BE$6:$BE$505,0))&amp;"","")</f>
        <v/>
      </c>
      <c r="AF53" t="str">
        <f>IFERROR(INDEX('ITENS_MTR'!$AS$6:$AS$1005,MATCH(48,'ITENS_MTR'!$AT$6:$AT$1005,0))&amp;"","")</f>
        <v/>
      </c>
      <c r="AG53" t="str">
        <f>IFERROR(INDEX('CDFs'!$Y$6:$Y$505,MATCH(48,'CDFs'!$Z$6:$Z$505,0))&amp;"","")</f>
        <v/>
      </c>
      <c r="AH53" t="str">
        <f>AA52</f>
        <v/>
      </c>
      <c r="AI53" t="str">
        <f>AB52</f>
        <v/>
      </c>
      <c r="AJ53" t="str">
        <f>AC52</f>
        <v/>
      </c>
      <c r="AK53" t="str">
        <f>AD52</f>
        <v/>
      </c>
    </row>
    <row r="54">
      <c r="B54" s="142" t="inlineStr">
        <is>
          <t>QUANTIDADE A REVISAR</t>
        </is>
      </c>
      <c r="C54" s="143" t="inlineStr">
        <is>
          <t>Alta</t>
        </is>
      </c>
      <c r="D54" s="144" t="inlineStr">
        <is>
          <t>Comparar quantidades enviadas, recebidas e vinculadas com os documentos e registrar a análise no item.</t>
        </is>
      </c>
      <c r="E54" s="144" t="n"/>
      <c r="F54" s="144" t="n"/>
      <c r="G54" s="144" t="n"/>
      <c r="H54" s="144" t="n"/>
      <c r="I54" s="144" t="n"/>
      <c r="J54" s="144" t="n"/>
      <c r="K54" s="144" t="n"/>
      <c r="L54" s="144" t="n"/>
      <c r="AA54" t="str">
        <f>IFERROR(INDEX('CAD_UNIDADES'!$C$6:$C$105,MATCH(49,'CAD_UNIDADES'!$N$6:$N$105,0))&amp;"","")</f>
        <v/>
      </c>
      <c r="AB54" t="str">
        <f>IFERROR(INDEX('CAD_PARCEIROS'!$P$6:$P$205,MATCH(49,'CAD_PARCEIROS'!$S$6:$S$205,0))&amp;"","")</f>
        <v/>
      </c>
      <c r="AC54" t="str">
        <f>IFERROR(INDEX('CAD_PARCEIROS'!$P$6:$P$205,MATCH(49,'CAD_PARCEIROS'!$U$6:$U$205,0))&amp;"","")</f>
        <v/>
      </c>
      <c r="AD54" t="str">
        <f>IFERROR(INDEX('CAD_RESÍDUOS'!$B$6:$B$205,MATCH(49,'CAD_RESÍDUOS'!$L$6:$L$205,0))&amp;"","")</f>
        <v/>
      </c>
      <c r="AE54" t="str">
        <f>IFERROR(INDEX('MTRs'!$BD$6:$BD$505,MATCH(49,'MTRs'!$BE$6:$BE$505,0))&amp;"","")</f>
        <v/>
      </c>
      <c r="AF54" t="str">
        <f>IFERROR(INDEX('ITENS_MTR'!$AS$6:$AS$1005,MATCH(49,'ITENS_MTR'!$AT$6:$AT$1005,0))&amp;"","")</f>
        <v/>
      </c>
      <c r="AG54" t="str">
        <f>IFERROR(INDEX('CDFs'!$Y$6:$Y$505,MATCH(49,'CDFs'!$Z$6:$Z$505,0))&amp;"","")</f>
        <v/>
      </c>
      <c r="AH54" t="str">
        <f>AA53</f>
        <v/>
      </c>
      <c r="AI54" t="str">
        <f>AB53</f>
        <v/>
      </c>
      <c r="AJ54" t="str">
        <f>AC53</f>
        <v/>
      </c>
      <c r="AK54" t="str">
        <f>AD53</f>
        <v/>
      </c>
    </row>
    <row r="55">
      <c r="B55" s="142" t="inlineStr">
        <is>
          <t>RECEBIMENTO NÃO CONFIRMADO</t>
        </is>
      </c>
      <c r="C55" s="143" t="inlineStr">
        <is>
          <t>Média</t>
        </is>
      </c>
      <c r="D55" s="144" t="inlineStr">
        <is>
          <t>Consultar o sistema oficial e registrar ou conferir a evidência de recebimento.</t>
        </is>
      </c>
      <c r="E55" s="144" t="n"/>
      <c r="F55" s="144" t="n"/>
      <c r="G55" s="144" t="n"/>
      <c r="H55" s="144" t="n"/>
      <c r="I55" s="144" t="n"/>
      <c r="J55" s="144" t="n"/>
      <c r="K55" s="144" t="n"/>
      <c r="L55" s="144" t="n"/>
      <c r="AA55" t="str">
        <f>IFERROR(INDEX('CAD_UNIDADES'!$C$6:$C$105,MATCH(50,'CAD_UNIDADES'!$N$6:$N$105,0))&amp;"","")</f>
        <v/>
      </c>
      <c r="AB55" t="str">
        <f>IFERROR(INDEX('CAD_PARCEIROS'!$P$6:$P$205,MATCH(50,'CAD_PARCEIROS'!$S$6:$S$205,0))&amp;"","")</f>
        <v/>
      </c>
      <c r="AC55" t="str">
        <f>IFERROR(INDEX('CAD_PARCEIROS'!$P$6:$P$205,MATCH(50,'CAD_PARCEIROS'!$U$6:$U$205,0))&amp;"","")</f>
        <v/>
      </c>
      <c r="AD55" t="str">
        <f>IFERROR(INDEX('CAD_RESÍDUOS'!$B$6:$B$205,MATCH(50,'CAD_RESÍDUOS'!$L$6:$L$205,0))&amp;"","")</f>
        <v/>
      </c>
      <c r="AE55" t="str">
        <f>IFERROR(INDEX('MTRs'!$BD$6:$BD$505,MATCH(50,'MTRs'!$BE$6:$BE$505,0))&amp;"","")</f>
        <v/>
      </c>
      <c r="AF55" t="str">
        <f>IFERROR(INDEX('ITENS_MTR'!$AS$6:$AS$1005,MATCH(50,'ITENS_MTR'!$AT$6:$AT$1005,0))&amp;"","")</f>
        <v/>
      </c>
      <c r="AG55" t="str">
        <f>IFERROR(INDEX('CDFs'!$Y$6:$Y$505,MATCH(50,'CDFs'!$Z$6:$Z$505,0))&amp;"","")</f>
        <v/>
      </c>
      <c r="AH55" t="str">
        <f>AA54</f>
        <v/>
      </c>
      <c r="AI55" t="str">
        <f>AB54</f>
        <v/>
      </c>
      <c r="AJ55" t="str">
        <f>AC54</f>
        <v/>
      </c>
      <c r="AK55" t="str">
        <f>AD54</f>
        <v/>
      </c>
    </row>
    <row r="56">
      <c r="B56" s="142" t="inlineStr">
        <is>
          <t>CDF NÃO LOCALIZADO</t>
        </is>
      </c>
      <c r="C56" s="143" t="inlineStr">
        <is>
          <t>Média</t>
        </is>
      </c>
      <c r="D56" s="144" t="inlineStr">
        <is>
          <t>Verificar com o destinador a disponibilidade do CDF e registrar o vínculo.</t>
        </is>
      </c>
      <c r="E56" s="144" t="n"/>
      <c r="F56" s="144" t="n"/>
      <c r="G56" s="144" t="n"/>
      <c r="H56" s="144" t="n"/>
      <c r="I56" s="144" t="n"/>
      <c r="J56" s="144" t="n"/>
      <c r="K56" s="144" t="n"/>
      <c r="L56" s="144" t="n"/>
      <c r="AA56" t="str">
        <f>IFERROR(INDEX('CAD_UNIDADES'!$C$6:$C$105,MATCH(51,'CAD_UNIDADES'!$N$6:$N$105,0))&amp;"","")</f>
        <v/>
      </c>
      <c r="AB56" t="str">
        <f>IFERROR(INDEX('CAD_PARCEIROS'!$P$6:$P$205,MATCH(51,'CAD_PARCEIROS'!$S$6:$S$205,0))&amp;"","")</f>
        <v/>
      </c>
      <c r="AC56" t="str">
        <f>IFERROR(INDEX('CAD_PARCEIROS'!$P$6:$P$205,MATCH(51,'CAD_PARCEIROS'!$U$6:$U$205,0))&amp;"","")</f>
        <v/>
      </c>
      <c r="AD56" t="str">
        <f>IFERROR(INDEX('CAD_RESÍDUOS'!$B$6:$B$205,MATCH(51,'CAD_RESÍDUOS'!$L$6:$L$205,0))&amp;"","")</f>
        <v/>
      </c>
      <c r="AE56" t="str">
        <f>IFERROR(INDEX('MTRs'!$BD$6:$BD$505,MATCH(51,'MTRs'!$BE$6:$BE$505,0))&amp;"","")</f>
        <v/>
      </c>
      <c r="AF56" t="str">
        <f>IFERROR(INDEX('ITENS_MTR'!$AS$6:$AS$1005,MATCH(51,'ITENS_MTR'!$AT$6:$AT$1005,0))&amp;"","")</f>
        <v/>
      </c>
      <c r="AG56" t="str">
        <f>IFERROR(INDEX('CDFs'!$Y$6:$Y$505,MATCH(51,'CDFs'!$Z$6:$Z$505,0))&amp;"","")</f>
        <v/>
      </c>
      <c r="AH56" t="str">
        <f>AA55</f>
        <v/>
      </c>
      <c r="AI56" t="str">
        <f>AB55</f>
        <v/>
      </c>
      <c r="AJ56" t="str">
        <f>AC55</f>
        <v/>
      </c>
      <c r="AK56" t="str">
        <f>AD55</f>
        <v/>
      </c>
    </row>
    <row r="57">
      <c r="B57" s="142" t="inlineStr">
        <is>
          <t>VÍNCULO INCOMPLETO</t>
        </is>
      </c>
      <c r="C57" s="143" t="inlineStr">
        <is>
          <t>Média</t>
        </is>
      </c>
      <c r="D57" s="144" t="inlineStr">
        <is>
          <t>Localizar o CDF da quantidade restante ou registrar a análise da diferença.</t>
        </is>
      </c>
      <c r="E57" s="144" t="n"/>
      <c r="F57" s="144" t="n"/>
      <c r="G57" s="144" t="n"/>
      <c r="H57" s="144" t="n"/>
      <c r="I57" s="144" t="n"/>
      <c r="J57" s="144" t="n"/>
      <c r="K57" s="144" t="n"/>
      <c r="L57" s="144" t="n"/>
      <c r="AA57" t="str">
        <f>IFERROR(INDEX('CAD_UNIDADES'!$C$6:$C$105,MATCH(52,'CAD_UNIDADES'!$N$6:$N$105,0))&amp;"","")</f>
        <v/>
      </c>
      <c r="AB57" t="str">
        <f>IFERROR(INDEX('CAD_PARCEIROS'!$P$6:$P$205,MATCH(52,'CAD_PARCEIROS'!$S$6:$S$205,0))&amp;"","")</f>
        <v/>
      </c>
      <c r="AC57" t="str">
        <f>IFERROR(INDEX('CAD_PARCEIROS'!$P$6:$P$205,MATCH(52,'CAD_PARCEIROS'!$U$6:$U$205,0))&amp;"","")</f>
        <v/>
      </c>
      <c r="AD57" t="str">
        <f>IFERROR(INDEX('CAD_RESÍDUOS'!$B$6:$B$205,MATCH(52,'CAD_RESÍDUOS'!$L$6:$L$205,0))&amp;"","")</f>
        <v/>
      </c>
      <c r="AE57" t="str">
        <f>IFERROR(INDEX('MTRs'!$BD$6:$BD$505,MATCH(52,'MTRs'!$BE$6:$BE$505,0))&amp;"","")</f>
        <v/>
      </c>
      <c r="AF57" t="str">
        <f>IFERROR(INDEX('ITENS_MTR'!$AS$6:$AS$1005,MATCH(52,'ITENS_MTR'!$AT$6:$AT$1005,0))&amp;"","")</f>
        <v/>
      </c>
      <c r="AG57" t="str">
        <f>IFERROR(INDEX('CDFs'!$Y$6:$Y$505,MATCH(52,'CDFs'!$Z$6:$Z$505,0))&amp;"","")</f>
        <v/>
      </c>
      <c r="AH57" t="str">
        <f>AA56</f>
        <v/>
      </c>
      <c r="AI57" t="str">
        <f>AB56</f>
        <v/>
      </c>
      <c r="AJ57" t="str">
        <f>AC56</f>
        <v/>
      </c>
      <c r="AK57" t="str">
        <f>AD56</f>
        <v/>
      </c>
    </row>
    <row r="58">
      <c r="B58" s="142" t="inlineStr">
        <is>
          <t>CDF A CONFERIR</t>
        </is>
      </c>
      <c r="C58" s="143" t="inlineStr">
        <is>
          <t>Baixa</t>
        </is>
      </c>
      <c r="D58" s="144" t="inlineStr">
        <is>
          <t>Abrir o CDF, conferir os dados e marcar a conferência do certificado e do vínculo.</t>
        </is>
      </c>
      <c r="E58" s="144" t="n"/>
      <c r="F58" s="144" t="n"/>
      <c r="G58" s="144" t="n"/>
      <c r="H58" s="144" t="n"/>
      <c r="I58" s="144" t="n"/>
      <c r="J58" s="144" t="n"/>
      <c r="K58" s="144" t="n"/>
      <c r="L58" s="144" t="n"/>
      <c r="AA58" t="str">
        <f>IFERROR(INDEX('CAD_UNIDADES'!$C$6:$C$105,MATCH(53,'CAD_UNIDADES'!$N$6:$N$105,0))&amp;"","")</f>
        <v/>
      </c>
      <c r="AB58" t="str">
        <f>IFERROR(INDEX('CAD_PARCEIROS'!$P$6:$P$205,MATCH(53,'CAD_PARCEIROS'!$S$6:$S$205,0))&amp;"","")</f>
        <v/>
      </c>
      <c r="AC58" t="str">
        <f>IFERROR(INDEX('CAD_PARCEIROS'!$P$6:$P$205,MATCH(53,'CAD_PARCEIROS'!$U$6:$U$205,0))&amp;"","")</f>
        <v/>
      </c>
      <c r="AD58" t="str">
        <f>IFERROR(INDEX('CAD_RESÍDUOS'!$B$6:$B$205,MATCH(53,'CAD_RESÍDUOS'!$L$6:$L$205,0))&amp;"","")</f>
        <v/>
      </c>
      <c r="AE58" t="str">
        <f>IFERROR(INDEX('MTRs'!$BD$6:$BD$505,MATCH(53,'MTRs'!$BE$6:$BE$505,0))&amp;"","")</f>
        <v/>
      </c>
      <c r="AF58" t="str">
        <f>IFERROR(INDEX('ITENS_MTR'!$AS$6:$AS$1005,MATCH(53,'ITENS_MTR'!$AT$6:$AT$1005,0))&amp;"","")</f>
        <v/>
      </c>
      <c r="AG58" t="str">
        <f>IFERROR(INDEX('CDFs'!$Y$6:$Y$505,MATCH(53,'CDFs'!$Z$6:$Z$505,0))&amp;"","")</f>
        <v/>
      </c>
      <c r="AH58" t="str">
        <f>AA57</f>
        <v/>
      </c>
      <c r="AI58" t="str">
        <f>AB57</f>
        <v/>
      </c>
      <c r="AJ58" t="str">
        <f>AC57</f>
        <v/>
      </c>
      <c r="AK58" t="str">
        <f>AD57</f>
        <v/>
      </c>
    </row>
    <row r="59">
      <c r="B59" s="117" t="inlineStr">
        <is>
          <t>Quando a pendência passa do número de dias configurado acima, a prioridade sobe para Alta. Prioridade é um critério de organização interna, não uma classificação legal.</t>
        </is>
      </c>
      <c r="C59" s="117" t="n"/>
      <c r="D59" s="117" t="n"/>
      <c r="E59" s="117" t="n"/>
      <c r="F59" s="117" t="n"/>
      <c r="G59" s="117" t="n"/>
      <c r="H59" s="117" t="n"/>
      <c r="I59" s="117" t="n"/>
      <c r="J59" s="117" t="n"/>
      <c r="K59" s="117" t="n"/>
      <c r="L59" s="117" t="n"/>
      <c r="AA59" t="str">
        <f>IFERROR(INDEX('CAD_UNIDADES'!$C$6:$C$105,MATCH(54,'CAD_UNIDADES'!$N$6:$N$105,0))&amp;"","")</f>
        <v/>
      </c>
      <c r="AB59" t="str">
        <f>IFERROR(INDEX('CAD_PARCEIROS'!$P$6:$P$205,MATCH(54,'CAD_PARCEIROS'!$S$6:$S$205,0))&amp;"","")</f>
        <v/>
      </c>
      <c r="AC59" t="str">
        <f>IFERROR(INDEX('CAD_PARCEIROS'!$P$6:$P$205,MATCH(54,'CAD_PARCEIROS'!$U$6:$U$205,0))&amp;"","")</f>
        <v/>
      </c>
      <c r="AD59" t="str">
        <f>IFERROR(INDEX('CAD_RESÍDUOS'!$B$6:$B$205,MATCH(54,'CAD_RESÍDUOS'!$L$6:$L$205,0))&amp;"","")</f>
        <v/>
      </c>
      <c r="AE59" t="str">
        <f>IFERROR(INDEX('MTRs'!$BD$6:$BD$505,MATCH(54,'MTRs'!$BE$6:$BE$505,0))&amp;"","")</f>
        <v/>
      </c>
      <c r="AF59" t="str">
        <f>IFERROR(INDEX('ITENS_MTR'!$AS$6:$AS$1005,MATCH(54,'ITENS_MTR'!$AT$6:$AT$1005,0))&amp;"","")</f>
        <v/>
      </c>
      <c r="AG59" t="str">
        <f>IFERROR(INDEX('CDFs'!$Y$6:$Y$505,MATCH(54,'CDFs'!$Z$6:$Z$505,0))&amp;"","")</f>
        <v/>
      </c>
      <c r="AH59" t="str">
        <f>AA58</f>
        <v/>
      </c>
      <c r="AI59" t="str">
        <f>AB58</f>
        <v/>
      </c>
      <c r="AJ59" t="str">
        <f>AC58</f>
        <v/>
      </c>
      <c r="AK59" t="str">
        <f>AD58</f>
        <v/>
      </c>
    </row>
    <row r="60">
      <c r="AA60" t="str">
        <f>IFERROR(INDEX('CAD_UNIDADES'!$C$6:$C$105,MATCH(55,'CAD_UNIDADES'!$N$6:$N$105,0))&amp;"","")</f>
        <v/>
      </c>
      <c r="AB60" t="str">
        <f>IFERROR(INDEX('CAD_PARCEIROS'!$P$6:$P$205,MATCH(55,'CAD_PARCEIROS'!$S$6:$S$205,0))&amp;"","")</f>
        <v/>
      </c>
      <c r="AC60" t="str">
        <f>IFERROR(INDEX('CAD_PARCEIROS'!$P$6:$P$205,MATCH(55,'CAD_PARCEIROS'!$U$6:$U$205,0))&amp;"","")</f>
        <v/>
      </c>
      <c r="AD60" t="str">
        <f>IFERROR(INDEX('CAD_RESÍDUOS'!$B$6:$B$205,MATCH(55,'CAD_RESÍDUOS'!$L$6:$L$205,0))&amp;"","")</f>
        <v/>
      </c>
      <c r="AE60" t="str">
        <f>IFERROR(INDEX('MTRs'!$BD$6:$BD$505,MATCH(55,'MTRs'!$BE$6:$BE$505,0))&amp;"","")</f>
        <v/>
      </c>
      <c r="AF60" t="str">
        <f>IFERROR(INDEX('ITENS_MTR'!$AS$6:$AS$1005,MATCH(55,'ITENS_MTR'!$AT$6:$AT$1005,0))&amp;"","")</f>
        <v/>
      </c>
      <c r="AG60" t="str">
        <f>IFERROR(INDEX('CDFs'!$Y$6:$Y$505,MATCH(55,'CDFs'!$Z$6:$Z$505,0))&amp;"","")</f>
        <v/>
      </c>
      <c r="AH60" t="str">
        <f>AA59</f>
        <v/>
      </c>
      <c r="AI60" t="str">
        <f>AB59</f>
        <v/>
      </c>
      <c r="AJ60" t="str">
        <f>AC59</f>
        <v/>
      </c>
      <c r="AK60" t="str">
        <f>AD59</f>
        <v/>
      </c>
    </row>
    <row r="61">
      <c r="AA61" t="str">
        <f>IFERROR(INDEX('CAD_UNIDADES'!$C$6:$C$105,MATCH(56,'CAD_UNIDADES'!$N$6:$N$105,0))&amp;"","")</f>
        <v/>
      </c>
      <c r="AB61" t="str">
        <f>IFERROR(INDEX('CAD_PARCEIROS'!$P$6:$P$205,MATCH(56,'CAD_PARCEIROS'!$S$6:$S$205,0))&amp;"","")</f>
        <v/>
      </c>
      <c r="AC61" t="str">
        <f>IFERROR(INDEX('CAD_PARCEIROS'!$P$6:$P$205,MATCH(56,'CAD_PARCEIROS'!$U$6:$U$205,0))&amp;"","")</f>
        <v/>
      </c>
      <c r="AD61" t="str">
        <f>IFERROR(INDEX('CAD_RESÍDUOS'!$B$6:$B$205,MATCH(56,'CAD_RESÍDUOS'!$L$6:$L$205,0))&amp;"","")</f>
        <v/>
      </c>
      <c r="AE61" t="str">
        <f>IFERROR(INDEX('MTRs'!$BD$6:$BD$505,MATCH(56,'MTRs'!$BE$6:$BE$505,0))&amp;"","")</f>
        <v/>
      </c>
      <c r="AF61" t="str">
        <f>IFERROR(INDEX('ITENS_MTR'!$AS$6:$AS$1005,MATCH(56,'ITENS_MTR'!$AT$6:$AT$1005,0))&amp;"","")</f>
        <v/>
      </c>
      <c r="AG61" t="str">
        <f>IFERROR(INDEX('CDFs'!$Y$6:$Y$505,MATCH(56,'CDFs'!$Z$6:$Z$505,0))&amp;"","")</f>
        <v/>
      </c>
      <c r="AH61" t="str">
        <f>AA60</f>
        <v/>
      </c>
      <c r="AI61" t="str">
        <f>AB60</f>
        <v/>
      </c>
      <c r="AJ61" t="str">
        <f>AC60</f>
        <v/>
      </c>
      <c r="AK61" t="str">
        <f>AD60</f>
        <v/>
      </c>
    </row>
    <row r="62">
      <c r="B62" s="131" t="inlineStr">
        <is>
          <t>SITUAÇÕES INTERNAS DE ACOMPANHAMENTO (calculadas, para consulta)</t>
        </is>
      </c>
      <c r="C62" s="131" t="n"/>
      <c r="D62" s="131" t="n"/>
      <c r="E62" s="131" t="n"/>
      <c r="F62" s="131" t="n"/>
      <c r="G62" s="131" t="n"/>
      <c r="H62" s="131" t="n"/>
      <c r="I62" s="131" t="n"/>
      <c r="J62" s="131" t="n"/>
      <c r="K62" s="131" t="n"/>
      <c r="L62" s="131" t="n"/>
      <c r="AA62" t="str">
        <f>IFERROR(INDEX('CAD_UNIDADES'!$C$6:$C$105,MATCH(57,'CAD_UNIDADES'!$N$6:$N$105,0))&amp;"","")</f>
        <v/>
      </c>
      <c r="AB62" t="str">
        <f>IFERROR(INDEX('CAD_PARCEIROS'!$P$6:$P$205,MATCH(57,'CAD_PARCEIROS'!$S$6:$S$205,0))&amp;"","")</f>
        <v/>
      </c>
      <c r="AC62" t="str">
        <f>IFERROR(INDEX('CAD_PARCEIROS'!$P$6:$P$205,MATCH(57,'CAD_PARCEIROS'!$U$6:$U$205,0))&amp;"","")</f>
        <v/>
      </c>
      <c r="AD62" t="str">
        <f>IFERROR(INDEX('CAD_RESÍDUOS'!$B$6:$B$205,MATCH(57,'CAD_RESÍDUOS'!$L$6:$L$205,0))&amp;"","")</f>
        <v/>
      </c>
      <c r="AE62" t="str">
        <f>IFERROR(INDEX('MTRs'!$BD$6:$BD$505,MATCH(57,'MTRs'!$BE$6:$BE$505,0))&amp;"","")</f>
        <v/>
      </c>
      <c r="AF62" t="str">
        <f>IFERROR(INDEX('ITENS_MTR'!$AS$6:$AS$1005,MATCH(57,'ITENS_MTR'!$AT$6:$AT$1005,0))&amp;"","")</f>
        <v/>
      </c>
      <c r="AG62" t="str">
        <f>IFERROR(INDEX('CDFs'!$Y$6:$Y$505,MATCH(57,'CDFs'!$Z$6:$Z$505,0))&amp;"","")</f>
        <v/>
      </c>
      <c r="AH62" t="str">
        <f>AA61</f>
        <v/>
      </c>
      <c r="AI62" t="str">
        <f>AB61</f>
        <v/>
      </c>
      <c r="AJ62" t="str">
        <f>AC61</f>
        <v/>
      </c>
      <c r="AK62" t="str">
        <f>AD61</f>
        <v/>
      </c>
    </row>
    <row r="63" ht="30" customHeight="1">
      <c r="B63" s="142" t="inlineStr">
        <is>
          <t>Cadastro incompleto</t>
        </is>
      </c>
      <c r="C63" s="145" t="inlineStr">
        <is>
          <t>Faltam campos essenciais do MTR (número, sistema, data, unidade, transportador, destinatário) ou nenhum item de resíduo foi registrado.</t>
        </is>
      </c>
      <c r="D63" s="145" t="n"/>
      <c r="E63" s="145" t="n"/>
      <c r="F63" s="145" t="n"/>
      <c r="G63" s="145" t="n"/>
      <c r="H63" s="145" t="n"/>
      <c r="I63" s="145" t="n"/>
      <c r="J63" s="145" t="n"/>
      <c r="K63" s="145" t="n"/>
      <c r="L63" s="145" t="n"/>
      <c r="AA63" t="str">
        <f>IFERROR(INDEX('CAD_UNIDADES'!$C$6:$C$105,MATCH(58,'CAD_UNIDADES'!$N$6:$N$105,0))&amp;"","")</f>
        <v/>
      </c>
      <c r="AB63" t="str">
        <f>IFERROR(INDEX('CAD_PARCEIROS'!$P$6:$P$205,MATCH(58,'CAD_PARCEIROS'!$S$6:$S$205,0))&amp;"","")</f>
        <v/>
      </c>
      <c r="AC63" t="str">
        <f>IFERROR(INDEX('CAD_PARCEIROS'!$P$6:$P$205,MATCH(58,'CAD_PARCEIROS'!$U$6:$U$205,0))&amp;"","")</f>
        <v/>
      </c>
      <c r="AD63" t="str">
        <f>IFERROR(INDEX('CAD_RESÍDUOS'!$B$6:$B$205,MATCH(58,'CAD_RESÍDUOS'!$L$6:$L$205,0))&amp;"","")</f>
        <v/>
      </c>
      <c r="AE63" t="str">
        <f>IFERROR(INDEX('MTRs'!$BD$6:$BD$505,MATCH(58,'MTRs'!$BE$6:$BE$505,0))&amp;"","")</f>
        <v/>
      </c>
      <c r="AF63" t="str">
        <f>IFERROR(INDEX('ITENS_MTR'!$AS$6:$AS$1005,MATCH(58,'ITENS_MTR'!$AT$6:$AT$1005,0))&amp;"","")</f>
        <v/>
      </c>
      <c r="AG63" t="str">
        <f>IFERROR(INDEX('CDFs'!$Y$6:$Y$505,MATCH(58,'CDFs'!$Z$6:$Z$505,0))&amp;"","")</f>
        <v/>
      </c>
      <c r="AH63" t="str">
        <f>AA62</f>
        <v/>
      </c>
      <c r="AI63" t="str">
        <f>AB62</f>
        <v/>
      </c>
      <c r="AJ63" t="str">
        <f>AC62</f>
        <v/>
      </c>
      <c r="AK63" t="str">
        <f>AD62</f>
        <v/>
      </c>
    </row>
    <row r="64" ht="30" customHeight="1">
      <c r="B64" s="142" t="inlineStr">
        <is>
          <t>Informação a revisar</t>
        </is>
      </c>
      <c r="C64" s="145" t="inlineStr">
        <is>
          <t>As regras internas encontraram algo a conferir: possível duplicidade, cadastro fora da lista, datas, item, recebimento ou vínculo com alerta, ou diferença de quantidade não analisada.</t>
        </is>
      </c>
      <c r="D64" s="145" t="n"/>
      <c r="E64" s="145" t="n"/>
      <c r="F64" s="145" t="n"/>
      <c r="G64" s="145" t="n"/>
      <c r="H64" s="145" t="n"/>
      <c r="I64" s="145" t="n"/>
      <c r="J64" s="145" t="n"/>
      <c r="K64" s="145" t="n"/>
      <c r="L64" s="145" t="n"/>
      <c r="AA64" t="str">
        <f>IFERROR(INDEX('CAD_UNIDADES'!$C$6:$C$105,MATCH(59,'CAD_UNIDADES'!$N$6:$N$105,0))&amp;"","")</f>
        <v/>
      </c>
      <c r="AB64" t="str">
        <f>IFERROR(INDEX('CAD_PARCEIROS'!$P$6:$P$205,MATCH(59,'CAD_PARCEIROS'!$S$6:$S$205,0))&amp;"","")</f>
        <v/>
      </c>
      <c r="AC64" t="str">
        <f>IFERROR(INDEX('CAD_PARCEIROS'!$P$6:$P$205,MATCH(59,'CAD_PARCEIROS'!$U$6:$U$205,0))&amp;"","")</f>
        <v/>
      </c>
      <c r="AD64" t="str">
        <f>IFERROR(INDEX('CAD_RESÍDUOS'!$B$6:$B$205,MATCH(59,'CAD_RESÍDUOS'!$L$6:$L$205,0))&amp;"","")</f>
        <v/>
      </c>
      <c r="AE64" t="str">
        <f>IFERROR(INDEX('MTRs'!$BD$6:$BD$505,MATCH(59,'MTRs'!$BE$6:$BE$505,0))&amp;"","")</f>
        <v/>
      </c>
      <c r="AF64" t="str">
        <f>IFERROR(INDEX('ITENS_MTR'!$AS$6:$AS$1005,MATCH(59,'ITENS_MTR'!$AT$6:$AT$1005,0))&amp;"","")</f>
        <v/>
      </c>
      <c r="AG64" t="str">
        <f>IFERROR(INDEX('CDFs'!$Y$6:$Y$505,MATCH(59,'CDFs'!$Z$6:$Z$505,0))&amp;"","")</f>
        <v/>
      </c>
      <c r="AH64" t="str">
        <f>AA63</f>
        <v/>
      </c>
      <c r="AI64" t="str">
        <f>AB63</f>
        <v/>
      </c>
      <c r="AJ64" t="str">
        <f>AC63</f>
        <v/>
      </c>
      <c r="AK64" t="str">
        <f>AD63</f>
        <v/>
      </c>
    </row>
    <row r="65" ht="30" customHeight="1">
      <c r="B65" s="142" t="inlineStr">
        <is>
          <t>Aguardando recebimento</t>
        </is>
      </c>
      <c r="C65" s="145" t="inlineStr">
        <is>
          <t>Ainda não há recebimento informado e conferido para todos os itens do MTR.</t>
        </is>
      </c>
      <c r="D65" s="145" t="n"/>
      <c r="E65" s="145" t="n"/>
      <c r="F65" s="145" t="n"/>
      <c r="G65" s="145" t="n"/>
      <c r="H65" s="145" t="n"/>
      <c r="I65" s="145" t="n"/>
      <c r="J65" s="145" t="n"/>
      <c r="K65" s="145" t="n"/>
      <c r="L65" s="145" t="n"/>
      <c r="AA65" t="str">
        <f>IFERROR(INDEX('CAD_UNIDADES'!$C$6:$C$105,MATCH(60,'CAD_UNIDADES'!$N$6:$N$105,0))&amp;"","")</f>
        <v/>
      </c>
      <c r="AB65" t="str">
        <f>IFERROR(INDEX('CAD_PARCEIROS'!$P$6:$P$205,MATCH(60,'CAD_PARCEIROS'!$S$6:$S$205,0))&amp;"","")</f>
        <v/>
      </c>
      <c r="AC65" t="str">
        <f>IFERROR(INDEX('CAD_PARCEIROS'!$P$6:$P$205,MATCH(60,'CAD_PARCEIROS'!$U$6:$U$205,0))&amp;"","")</f>
        <v/>
      </c>
      <c r="AD65" t="str">
        <f>IFERROR(INDEX('CAD_RESÍDUOS'!$B$6:$B$205,MATCH(60,'CAD_RESÍDUOS'!$L$6:$L$205,0))&amp;"","")</f>
        <v/>
      </c>
      <c r="AE65" t="str">
        <f>IFERROR(INDEX('MTRs'!$BD$6:$BD$505,MATCH(60,'MTRs'!$BE$6:$BE$505,0))&amp;"","")</f>
        <v/>
      </c>
      <c r="AF65" t="str">
        <f>IFERROR(INDEX('ITENS_MTR'!$AS$6:$AS$1005,MATCH(60,'ITENS_MTR'!$AT$6:$AT$1005,0))&amp;"","")</f>
        <v/>
      </c>
      <c r="AG65" t="str">
        <f>IFERROR(INDEX('CDFs'!$Y$6:$Y$505,MATCH(60,'CDFs'!$Z$6:$Z$505,0))&amp;"","")</f>
        <v/>
      </c>
      <c r="AH65" t="str">
        <f>AA64</f>
        <v/>
      </c>
      <c r="AI65" t="str">
        <f>AB64</f>
        <v/>
      </c>
      <c r="AJ65" t="str">
        <f>AC64</f>
        <v/>
      </c>
      <c r="AK65" t="str">
        <f>AD64</f>
        <v/>
      </c>
    </row>
    <row r="66" ht="30" customHeight="1">
      <c r="B66" s="142" t="inlineStr">
        <is>
          <t>Aguardando CDF</t>
        </is>
      </c>
      <c r="C66" s="145" t="inlineStr">
        <is>
          <t>Recebimento conferido, mas nenhuma quantidade foi vinculada a CDF.</t>
        </is>
      </c>
      <c r="D66" s="145" t="n"/>
      <c r="E66" s="145" t="n"/>
      <c r="F66" s="145" t="n"/>
      <c r="G66" s="145" t="n"/>
      <c r="H66" s="145" t="n"/>
      <c r="I66" s="145" t="n"/>
      <c r="J66" s="145" t="n"/>
      <c r="K66" s="145" t="n"/>
      <c r="L66" s="145" t="n"/>
      <c r="AA66" t="str">
        <f>IFERROR(INDEX('CAD_UNIDADES'!$C$6:$C$105,MATCH(61,'CAD_UNIDADES'!$N$6:$N$105,0))&amp;"","")</f>
        <v/>
      </c>
      <c r="AB66" t="str">
        <f>IFERROR(INDEX('CAD_PARCEIROS'!$P$6:$P$205,MATCH(61,'CAD_PARCEIROS'!$S$6:$S$205,0))&amp;"","")</f>
        <v/>
      </c>
      <c r="AC66" t="str">
        <f>IFERROR(INDEX('CAD_PARCEIROS'!$P$6:$P$205,MATCH(61,'CAD_PARCEIROS'!$U$6:$U$205,0))&amp;"","")</f>
        <v/>
      </c>
      <c r="AD66" t="str">
        <f>IFERROR(INDEX('CAD_RESÍDUOS'!$B$6:$B$205,MATCH(61,'CAD_RESÍDUOS'!$L$6:$L$205,0))&amp;"","")</f>
        <v/>
      </c>
      <c r="AE66" t="str">
        <f>IFERROR(INDEX('MTRs'!$BD$6:$BD$505,MATCH(61,'MTRs'!$BE$6:$BE$505,0))&amp;"","")</f>
        <v/>
      </c>
      <c r="AF66" t="str">
        <f>IFERROR(INDEX('ITENS_MTR'!$AS$6:$AS$1005,MATCH(61,'ITENS_MTR'!$AT$6:$AT$1005,0))&amp;"","")</f>
        <v/>
      </c>
      <c r="AG66" t="str">
        <f>IFERROR(INDEX('CDFs'!$Y$6:$Y$505,MATCH(61,'CDFs'!$Z$6:$Z$505,0))&amp;"","")</f>
        <v/>
      </c>
      <c r="AH66" t="str">
        <f>AA65</f>
        <v/>
      </c>
      <c r="AI66" t="str">
        <f>AB65</f>
        <v/>
      </c>
      <c r="AJ66" t="str">
        <f>AC65</f>
        <v/>
      </c>
      <c r="AK66" t="str">
        <f>AD65</f>
        <v/>
      </c>
    </row>
    <row r="67" ht="30" customHeight="1">
      <c r="B67" s="142" t="inlineStr">
        <is>
          <t>Vínculo de CDF parcial</t>
        </is>
      </c>
      <c r="C67" s="145" t="inlineStr">
        <is>
          <t>Parte da quantidade recebida ainda não tem vínculo de CDF registrado.</t>
        </is>
      </c>
      <c r="D67" s="145" t="n"/>
      <c r="E67" s="145" t="n"/>
      <c r="F67" s="145" t="n"/>
      <c r="G67" s="145" t="n"/>
      <c r="H67" s="145" t="n"/>
      <c r="I67" s="145" t="n"/>
      <c r="J67" s="145" t="n"/>
      <c r="K67" s="145" t="n"/>
      <c r="L67" s="145" t="n"/>
      <c r="AA67" t="str">
        <f>IFERROR(INDEX('CAD_UNIDADES'!$C$6:$C$105,MATCH(62,'CAD_UNIDADES'!$N$6:$N$105,0))&amp;"","")</f>
        <v/>
      </c>
      <c r="AB67" t="str">
        <f>IFERROR(INDEX('CAD_PARCEIROS'!$P$6:$P$205,MATCH(62,'CAD_PARCEIROS'!$S$6:$S$205,0))&amp;"","")</f>
        <v/>
      </c>
      <c r="AC67" t="str">
        <f>IFERROR(INDEX('CAD_PARCEIROS'!$P$6:$P$205,MATCH(62,'CAD_PARCEIROS'!$U$6:$U$205,0))&amp;"","")</f>
        <v/>
      </c>
      <c r="AD67" t="str">
        <f>IFERROR(INDEX('CAD_RESÍDUOS'!$B$6:$B$205,MATCH(62,'CAD_RESÍDUOS'!$L$6:$L$205,0))&amp;"","")</f>
        <v/>
      </c>
      <c r="AE67" t="str">
        <f>IFERROR(INDEX('MTRs'!$BD$6:$BD$505,MATCH(62,'MTRs'!$BE$6:$BE$505,0))&amp;"","")</f>
        <v/>
      </c>
      <c r="AF67" t="str">
        <f>IFERROR(INDEX('ITENS_MTR'!$AS$6:$AS$1005,MATCH(62,'ITENS_MTR'!$AT$6:$AT$1005,0))&amp;"","")</f>
        <v/>
      </c>
      <c r="AG67" t="str">
        <f>IFERROR(INDEX('CDFs'!$Y$6:$Y$505,MATCH(62,'CDFs'!$Z$6:$Z$505,0))&amp;"","")</f>
        <v/>
      </c>
      <c r="AH67" t="str">
        <f>AA66</f>
        <v/>
      </c>
      <c r="AI67" t="str">
        <f>AB66</f>
        <v/>
      </c>
      <c r="AJ67" t="str">
        <f>AC66</f>
        <v/>
      </c>
      <c r="AK67" t="str">
        <f>AD66</f>
        <v/>
      </c>
    </row>
    <row r="68" ht="30" customHeight="1">
      <c r="B68" s="142" t="inlineStr">
        <is>
          <t>CDF localizado, a conferir</t>
        </is>
      </c>
      <c r="C68" s="145" t="inlineStr">
        <is>
          <t>A quantidade tem vínculo de CDF, mas o certificado ou o vínculo ainda não foi marcado como conferido.</t>
        </is>
      </c>
      <c r="D68" s="145" t="n"/>
      <c r="E68" s="145" t="n"/>
      <c r="F68" s="145" t="n"/>
      <c r="G68" s="145" t="n"/>
      <c r="H68" s="145" t="n"/>
      <c r="I68" s="145" t="n"/>
      <c r="J68" s="145" t="n"/>
      <c r="K68" s="145" t="n"/>
      <c r="L68" s="145" t="n"/>
      <c r="AA68" t="str">
        <f>IFERROR(INDEX('CAD_UNIDADES'!$C$6:$C$105,MATCH(63,'CAD_UNIDADES'!$N$6:$N$105,0))&amp;"","")</f>
        <v/>
      </c>
      <c r="AB68" t="str">
        <f>IFERROR(INDEX('CAD_PARCEIROS'!$P$6:$P$205,MATCH(63,'CAD_PARCEIROS'!$S$6:$S$205,0))&amp;"","")</f>
        <v/>
      </c>
      <c r="AC68" t="str">
        <f>IFERROR(INDEX('CAD_PARCEIROS'!$P$6:$P$205,MATCH(63,'CAD_PARCEIROS'!$U$6:$U$205,0))&amp;"","")</f>
        <v/>
      </c>
      <c r="AD68" t="str">
        <f>IFERROR(INDEX('CAD_RESÍDUOS'!$B$6:$B$205,MATCH(63,'CAD_RESÍDUOS'!$L$6:$L$205,0))&amp;"","")</f>
        <v/>
      </c>
      <c r="AE68" t="str">
        <f>IFERROR(INDEX('MTRs'!$BD$6:$BD$505,MATCH(63,'MTRs'!$BE$6:$BE$505,0))&amp;"","")</f>
        <v/>
      </c>
      <c r="AF68" t="str">
        <f>IFERROR(INDEX('ITENS_MTR'!$AS$6:$AS$1005,MATCH(63,'ITENS_MTR'!$AT$6:$AT$1005,0))&amp;"","")</f>
        <v/>
      </c>
      <c r="AG68" t="str">
        <f>IFERROR(INDEX('CDFs'!$Y$6:$Y$505,MATCH(63,'CDFs'!$Z$6:$Z$505,0))&amp;"","")</f>
        <v/>
      </c>
      <c r="AH68" t="str">
        <f>AA67</f>
        <v/>
      </c>
      <c r="AI68" t="str">
        <f>AB67</f>
        <v/>
      </c>
      <c r="AJ68" t="str">
        <f>AC67</f>
        <v/>
      </c>
      <c r="AK68" t="str">
        <f>AD67</f>
        <v/>
      </c>
    </row>
    <row r="69" ht="30" customHeight="1">
      <c r="B69" s="142" t="inlineStr">
        <is>
          <t>Documentação conferida</t>
        </is>
      </c>
      <c r="C69" s="145" t="inlineStr">
        <is>
          <t>Recebimento e CDF registrados, relacionados e conferidos internamente. Não significa conformidade legal garantida.</t>
        </is>
      </c>
      <c r="D69" s="145" t="n"/>
      <c r="E69" s="145" t="n"/>
      <c r="F69" s="145" t="n"/>
      <c r="G69" s="145" t="n"/>
      <c r="H69" s="145" t="n"/>
      <c r="I69" s="145" t="n"/>
      <c r="J69" s="145" t="n"/>
      <c r="K69" s="145" t="n"/>
      <c r="L69" s="145" t="n"/>
      <c r="AA69" t="str">
        <f>IFERROR(INDEX('CAD_UNIDADES'!$C$6:$C$105,MATCH(64,'CAD_UNIDADES'!$N$6:$N$105,0))&amp;"","")</f>
        <v/>
      </c>
      <c r="AB69" t="str">
        <f>IFERROR(INDEX('CAD_PARCEIROS'!$P$6:$P$205,MATCH(64,'CAD_PARCEIROS'!$S$6:$S$205,0))&amp;"","")</f>
        <v/>
      </c>
      <c r="AC69" t="str">
        <f>IFERROR(INDEX('CAD_PARCEIROS'!$P$6:$P$205,MATCH(64,'CAD_PARCEIROS'!$U$6:$U$205,0))&amp;"","")</f>
        <v/>
      </c>
      <c r="AD69" t="str">
        <f>IFERROR(INDEX('CAD_RESÍDUOS'!$B$6:$B$205,MATCH(64,'CAD_RESÍDUOS'!$L$6:$L$205,0))&amp;"","")</f>
        <v/>
      </c>
      <c r="AE69" t="str">
        <f>IFERROR(INDEX('MTRs'!$BD$6:$BD$505,MATCH(64,'MTRs'!$BE$6:$BE$505,0))&amp;"","")</f>
        <v/>
      </c>
      <c r="AF69" t="str">
        <f>IFERROR(INDEX('ITENS_MTR'!$AS$6:$AS$1005,MATCH(64,'ITENS_MTR'!$AT$6:$AT$1005,0))&amp;"","")</f>
        <v/>
      </c>
      <c r="AG69" t="str">
        <f>IFERROR(INDEX('CDFs'!$Y$6:$Y$505,MATCH(64,'CDFs'!$Z$6:$Z$505,0))&amp;"","")</f>
        <v/>
      </c>
      <c r="AH69" t="str">
        <f>AA68</f>
        <v/>
      </c>
      <c r="AI69" t="str">
        <f>AB68</f>
        <v/>
      </c>
      <c r="AJ69" t="str">
        <f>AC68</f>
        <v/>
      </c>
      <c r="AK69" t="str">
        <f>AD68</f>
        <v/>
      </c>
    </row>
    <row r="70" ht="30" customHeight="1">
      <c r="B70" s="142" t="inlineStr">
        <is>
          <t>Cancelado (informado)</t>
        </is>
      </c>
      <c r="C70" s="145" t="inlineStr">
        <is>
          <t>O usuário informou a situação de cancelamento. O registro fica no histórico e sai dos indicadores operacionais.</t>
        </is>
      </c>
      <c r="D70" s="145" t="n"/>
      <c r="E70" s="145" t="n"/>
      <c r="F70" s="145" t="n"/>
      <c r="G70" s="145" t="n"/>
      <c r="H70" s="145" t="n"/>
      <c r="I70" s="145" t="n"/>
      <c r="J70" s="145" t="n"/>
      <c r="K70" s="145" t="n"/>
      <c r="L70" s="145" t="n"/>
      <c r="AA70" t="str">
        <f>IFERROR(INDEX('CAD_UNIDADES'!$C$6:$C$105,MATCH(65,'CAD_UNIDADES'!$N$6:$N$105,0))&amp;"","")</f>
        <v/>
      </c>
      <c r="AB70" t="str">
        <f>IFERROR(INDEX('CAD_PARCEIROS'!$P$6:$P$205,MATCH(65,'CAD_PARCEIROS'!$S$6:$S$205,0))&amp;"","")</f>
        <v/>
      </c>
      <c r="AC70" t="str">
        <f>IFERROR(INDEX('CAD_PARCEIROS'!$P$6:$P$205,MATCH(65,'CAD_PARCEIROS'!$U$6:$U$205,0))&amp;"","")</f>
        <v/>
      </c>
      <c r="AD70" t="str">
        <f>IFERROR(INDEX('CAD_RESÍDUOS'!$B$6:$B$205,MATCH(65,'CAD_RESÍDUOS'!$L$6:$L$205,0))&amp;"","")</f>
        <v/>
      </c>
      <c r="AE70" t="str">
        <f>IFERROR(INDEX('MTRs'!$BD$6:$BD$505,MATCH(65,'MTRs'!$BE$6:$BE$505,0))&amp;"","")</f>
        <v/>
      </c>
      <c r="AF70" t="str">
        <f>IFERROR(INDEX('ITENS_MTR'!$AS$6:$AS$1005,MATCH(65,'ITENS_MTR'!$AT$6:$AT$1005,0))&amp;"","")</f>
        <v/>
      </c>
      <c r="AG70" t="str">
        <f>IFERROR(INDEX('CDFs'!$Y$6:$Y$505,MATCH(65,'CDFs'!$Z$6:$Z$505,0))&amp;"","")</f>
        <v/>
      </c>
      <c r="AH70" t="str">
        <f>AA69</f>
        <v/>
      </c>
      <c r="AI70" t="str">
        <f>AB69</f>
        <v/>
      </c>
      <c r="AJ70" t="str">
        <f>AC69</f>
        <v/>
      </c>
      <c r="AK70" t="str">
        <f>AD69</f>
        <v/>
      </c>
    </row>
    <row r="71">
      <c r="AA71" t="str">
        <f>IFERROR(INDEX('CAD_UNIDADES'!$C$6:$C$105,MATCH(66,'CAD_UNIDADES'!$N$6:$N$105,0))&amp;"","")</f>
        <v/>
      </c>
      <c r="AB71" t="str">
        <f>IFERROR(INDEX('CAD_PARCEIROS'!$P$6:$P$205,MATCH(66,'CAD_PARCEIROS'!$S$6:$S$205,0))&amp;"","")</f>
        <v/>
      </c>
      <c r="AC71" t="str">
        <f>IFERROR(INDEX('CAD_PARCEIROS'!$P$6:$P$205,MATCH(66,'CAD_PARCEIROS'!$U$6:$U$205,0))&amp;"","")</f>
        <v/>
      </c>
      <c r="AD71" t="str">
        <f>IFERROR(INDEX('CAD_RESÍDUOS'!$B$6:$B$205,MATCH(66,'CAD_RESÍDUOS'!$L$6:$L$205,0))&amp;"","")</f>
        <v/>
      </c>
      <c r="AE71" t="str">
        <f>IFERROR(INDEX('MTRs'!$BD$6:$BD$505,MATCH(66,'MTRs'!$BE$6:$BE$505,0))&amp;"","")</f>
        <v/>
      </c>
      <c r="AF71" t="str">
        <f>IFERROR(INDEX('ITENS_MTR'!$AS$6:$AS$1005,MATCH(66,'ITENS_MTR'!$AT$6:$AT$1005,0))&amp;"","")</f>
        <v/>
      </c>
      <c r="AG71" t="str">
        <f>IFERROR(INDEX('CDFs'!$Y$6:$Y$505,MATCH(66,'CDFs'!$Z$6:$Z$505,0))&amp;"","")</f>
        <v/>
      </c>
      <c r="AH71" t="str">
        <f>AA70</f>
        <v/>
      </c>
      <c r="AI71" t="str">
        <f>AB70</f>
        <v/>
      </c>
      <c r="AJ71" t="str">
        <f>AC70</f>
        <v/>
      </c>
      <c r="AK71" t="str">
        <f>AD70</f>
        <v/>
      </c>
    </row>
    <row r="72">
      <c r="AA72" t="str">
        <f>IFERROR(INDEX('CAD_UNIDADES'!$C$6:$C$105,MATCH(67,'CAD_UNIDADES'!$N$6:$N$105,0))&amp;"","")</f>
        <v/>
      </c>
      <c r="AB72" t="str">
        <f>IFERROR(INDEX('CAD_PARCEIROS'!$P$6:$P$205,MATCH(67,'CAD_PARCEIROS'!$S$6:$S$205,0))&amp;"","")</f>
        <v/>
      </c>
      <c r="AC72" t="str">
        <f>IFERROR(INDEX('CAD_PARCEIROS'!$P$6:$P$205,MATCH(67,'CAD_PARCEIROS'!$U$6:$U$205,0))&amp;"","")</f>
        <v/>
      </c>
      <c r="AD72" t="str">
        <f>IFERROR(INDEX('CAD_RESÍDUOS'!$B$6:$B$205,MATCH(67,'CAD_RESÍDUOS'!$L$6:$L$205,0))&amp;"","")</f>
        <v/>
      </c>
      <c r="AE72" t="str">
        <f>IFERROR(INDEX('MTRs'!$BD$6:$BD$505,MATCH(67,'MTRs'!$BE$6:$BE$505,0))&amp;"","")</f>
        <v/>
      </c>
      <c r="AF72" t="str">
        <f>IFERROR(INDEX('ITENS_MTR'!$AS$6:$AS$1005,MATCH(67,'ITENS_MTR'!$AT$6:$AT$1005,0))&amp;"","")</f>
        <v/>
      </c>
      <c r="AG72" t="str">
        <f>IFERROR(INDEX('CDFs'!$Y$6:$Y$505,MATCH(67,'CDFs'!$Z$6:$Z$505,0))&amp;"","")</f>
        <v/>
      </c>
      <c r="AH72" t="str">
        <f>AA71</f>
        <v/>
      </c>
      <c r="AI72" t="str">
        <f>AB71</f>
        <v/>
      </c>
      <c r="AJ72" t="str">
        <f>AC71</f>
        <v/>
      </c>
      <c r="AK72" t="str">
        <f>AD71</f>
        <v/>
      </c>
    </row>
    <row r="73">
      <c r="B73" s="131" t="inlineStr">
        <is>
          <t>PALETA DE CORES DA PLANILHA</t>
        </is>
      </c>
      <c r="C73" s="131" t="n"/>
      <c r="D73" s="131" t="n"/>
      <c r="E73" s="131" t="n"/>
      <c r="F73" s="131" t="n"/>
      <c r="G73" s="131" t="n"/>
      <c r="H73" s="131" t="n"/>
      <c r="I73" s="131" t="n"/>
      <c r="J73" s="131" t="n"/>
      <c r="K73" s="131" t="n"/>
      <c r="L73" s="131" t="n"/>
      <c r="AA73" t="str">
        <f>IFERROR(INDEX('CAD_UNIDADES'!$C$6:$C$105,MATCH(68,'CAD_UNIDADES'!$N$6:$N$105,0))&amp;"","")</f>
        <v/>
      </c>
      <c r="AB73" t="str">
        <f>IFERROR(INDEX('CAD_PARCEIROS'!$P$6:$P$205,MATCH(68,'CAD_PARCEIROS'!$S$6:$S$205,0))&amp;"","")</f>
        <v/>
      </c>
      <c r="AC73" t="str">
        <f>IFERROR(INDEX('CAD_PARCEIROS'!$P$6:$P$205,MATCH(68,'CAD_PARCEIROS'!$U$6:$U$205,0))&amp;"","")</f>
        <v/>
      </c>
      <c r="AD73" t="str">
        <f>IFERROR(INDEX('CAD_RESÍDUOS'!$B$6:$B$205,MATCH(68,'CAD_RESÍDUOS'!$L$6:$L$205,0))&amp;"","")</f>
        <v/>
      </c>
      <c r="AE73" t="str">
        <f>IFERROR(INDEX('MTRs'!$BD$6:$BD$505,MATCH(68,'MTRs'!$BE$6:$BE$505,0))&amp;"","")</f>
        <v/>
      </c>
      <c r="AF73" t="str">
        <f>IFERROR(INDEX('ITENS_MTR'!$AS$6:$AS$1005,MATCH(68,'ITENS_MTR'!$AT$6:$AT$1005,0))&amp;"","")</f>
        <v/>
      </c>
      <c r="AG73" t="str">
        <f>IFERROR(INDEX('CDFs'!$Y$6:$Y$505,MATCH(68,'CDFs'!$Z$6:$Z$505,0))&amp;"","")</f>
        <v/>
      </c>
      <c r="AH73" t="str">
        <f>AA72</f>
        <v/>
      </c>
      <c r="AI73" t="str">
        <f>AB72</f>
        <v/>
      </c>
      <c r="AJ73" t="str">
        <f>AC72</f>
        <v/>
      </c>
      <c r="AK73" t="str">
        <f>AD72</f>
        <v/>
      </c>
    </row>
    <row r="74">
      <c r="B74" s="132" t="inlineStr">
        <is>
          <t>Azul-marinho  #082C56</t>
        </is>
      </c>
      <c r="C74" s="146" t="n"/>
      <c r="D74" s="145" t="inlineStr">
        <is>
          <t>Títulos e cabeçalhos</t>
        </is>
      </c>
      <c r="E74" s="145" t="n"/>
      <c r="AA74" t="str">
        <f>IFERROR(INDEX('CAD_UNIDADES'!$C$6:$C$105,MATCH(69,'CAD_UNIDADES'!$N$6:$N$105,0))&amp;"","")</f>
        <v/>
      </c>
      <c r="AB74" t="str">
        <f>IFERROR(INDEX('CAD_PARCEIROS'!$P$6:$P$205,MATCH(69,'CAD_PARCEIROS'!$S$6:$S$205,0))&amp;"","")</f>
        <v/>
      </c>
      <c r="AC74" t="str">
        <f>IFERROR(INDEX('CAD_PARCEIROS'!$P$6:$P$205,MATCH(69,'CAD_PARCEIROS'!$U$6:$U$205,0))&amp;"","")</f>
        <v/>
      </c>
      <c r="AD74" t="str">
        <f>IFERROR(INDEX('CAD_RESÍDUOS'!$B$6:$B$205,MATCH(69,'CAD_RESÍDUOS'!$L$6:$L$205,0))&amp;"","")</f>
        <v/>
      </c>
      <c r="AE74" t="str">
        <f>IFERROR(INDEX('MTRs'!$BD$6:$BD$505,MATCH(69,'MTRs'!$BE$6:$BE$505,0))&amp;"","")</f>
        <v/>
      </c>
      <c r="AF74" t="str">
        <f>IFERROR(INDEX('ITENS_MTR'!$AS$6:$AS$1005,MATCH(69,'ITENS_MTR'!$AT$6:$AT$1005,0))&amp;"","")</f>
        <v/>
      </c>
      <c r="AG74" t="str">
        <f>IFERROR(INDEX('CDFs'!$Y$6:$Y$505,MATCH(69,'CDFs'!$Z$6:$Z$505,0))&amp;"","")</f>
        <v/>
      </c>
      <c r="AH74" t="str">
        <f>AA73</f>
        <v/>
      </c>
      <c r="AI74" t="str">
        <f>AB73</f>
        <v/>
      </c>
      <c r="AJ74" t="str">
        <f>AC73</f>
        <v/>
      </c>
      <c r="AK74" t="str">
        <f>AD73</f>
        <v/>
      </c>
    </row>
    <row r="75">
      <c r="B75" s="132" t="inlineStr">
        <is>
          <t>Azul médio  #1766A9</t>
        </is>
      </c>
      <c r="C75" s="147" t="n"/>
      <c r="D75" s="145" t="inlineStr">
        <is>
          <t>Tabelas, gráficos e navegação</t>
        </is>
      </c>
      <c r="E75" s="145" t="n"/>
      <c r="AA75" t="str">
        <f>IFERROR(INDEX('CAD_UNIDADES'!$C$6:$C$105,MATCH(70,'CAD_UNIDADES'!$N$6:$N$105,0))&amp;"","")</f>
        <v/>
      </c>
      <c r="AB75" t="str">
        <f>IFERROR(INDEX('CAD_PARCEIROS'!$P$6:$P$205,MATCH(70,'CAD_PARCEIROS'!$S$6:$S$205,0))&amp;"","")</f>
        <v/>
      </c>
      <c r="AC75" t="str">
        <f>IFERROR(INDEX('CAD_PARCEIROS'!$P$6:$P$205,MATCH(70,'CAD_PARCEIROS'!$U$6:$U$205,0))&amp;"","")</f>
        <v/>
      </c>
      <c r="AD75" t="str">
        <f>IFERROR(INDEX('CAD_RESÍDUOS'!$B$6:$B$205,MATCH(70,'CAD_RESÍDUOS'!$L$6:$L$205,0))&amp;"","")</f>
        <v/>
      </c>
      <c r="AE75" t="str">
        <f>IFERROR(INDEX('MTRs'!$BD$6:$BD$505,MATCH(70,'MTRs'!$BE$6:$BE$505,0))&amp;"","")</f>
        <v/>
      </c>
      <c r="AF75" t="str">
        <f>IFERROR(INDEX('ITENS_MTR'!$AS$6:$AS$1005,MATCH(70,'ITENS_MTR'!$AT$6:$AT$1005,0))&amp;"","")</f>
        <v/>
      </c>
      <c r="AG75" t="str">
        <f>IFERROR(INDEX('CDFs'!$Y$6:$Y$505,MATCH(70,'CDFs'!$Z$6:$Z$505,0))&amp;"","")</f>
        <v/>
      </c>
      <c r="AH75" t="str">
        <f>AA74</f>
        <v/>
      </c>
      <c r="AI75" t="str">
        <f>AB74</f>
        <v/>
      </c>
      <c r="AJ75" t="str">
        <f>AC74</f>
        <v/>
      </c>
      <c r="AK75" t="str">
        <f>AD74</f>
        <v/>
      </c>
    </row>
    <row r="76">
      <c r="B76" s="132" t="inlineStr">
        <is>
          <t>Azul-claro  #EAF4FC</t>
        </is>
      </c>
      <c r="C76" s="148" t="n"/>
      <c r="D76" s="145" t="inlineStr">
        <is>
          <t>Campos para preencher</t>
        </is>
      </c>
      <c r="E76" s="145" t="n"/>
      <c r="AA76" t="str">
        <f>IFERROR(INDEX('CAD_UNIDADES'!$C$6:$C$105,MATCH(71,'CAD_UNIDADES'!$N$6:$N$105,0))&amp;"","")</f>
        <v/>
      </c>
      <c r="AB76" t="str">
        <f>IFERROR(INDEX('CAD_PARCEIROS'!$P$6:$P$205,MATCH(71,'CAD_PARCEIROS'!$S$6:$S$205,0))&amp;"","")</f>
        <v/>
      </c>
      <c r="AC76" t="str">
        <f>IFERROR(INDEX('CAD_PARCEIROS'!$P$6:$P$205,MATCH(71,'CAD_PARCEIROS'!$U$6:$U$205,0))&amp;"","")</f>
        <v/>
      </c>
      <c r="AD76" t="str">
        <f>IFERROR(INDEX('CAD_RESÍDUOS'!$B$6:$B$205,MATCH(71,'CAD_RESÍDUOS'!$L$6:$L$205,0))&amp;"","")</f>
        <v/>
      </c>
      <c r="AE76" t="str">
        <f>IFERROR(INDEX('MTRs'!$BD$6:$BD$505,MATCH(71,'MTRs'!$BE$6:$BE$505,0))&amp;"","")</f>
        <v/>
      </c>
      <c r="AF76" t="str">
        <f>IFERROR(INDEX('ITENS_MTR'!$AS$6:$AS$1005,MATCH(71,'ITENS_MTR'!$AT$6:$AT$1005,0))&amp;"","")</f>
        <v/>
      </c>
      <c r="AG76" t="str">
        <f>IFERROR(INDEX('CDFs'!$Y$6:$Y$505,MATCH(71,'CDFs'!$Z$6:$Z$505,0))&amp;"","")</f>
        <v/>
      </c>
      <c r="AH76" t="str">
        <f>AA75</f>
        <v/>
      </c>
      <c r="AI76" t="str">
        <f>AB75</f>
        <v/>
      </c>
      <c r="AJ76" t="str">
        <f>AC75</f>
        <v/>
      </c>
      <c r="AK76" t="str">
        <f>AD75</f>
        <v/>
      </c>
    </row>
    <row r="77">
      <c r="B77" s="132" t="inlineStr">
        <is>
          <t>Verde  #259B52</t>
        </is>
      </c>
      <c r="C77" s="149" t="n"/>
      <c r="D77" s="145" t="inlineStr">
        <is>
          <t>Confirmações</t>
        </is>
      </c>
      <c r="E77" s="145" t="n"/>
      <c r="AA77" t="str">
        <f>IFERROR(INDEX('CAD_UNIDADES'!$C$6:$C$105,MATCH(72,'CAD_UNIDADES'!$N$6:$N$105,0))&amp;"","")</f>
        <v/>
      </c>
      <c r="AB77" t="str">
        <f>IFERROR(INDEX('CAD_PARCEIROS'!$P$6:$P$205,MATCH(72,'CAD_PARCEIROS'!$S$6:$S$205,0))&amp;"","")</f>
        <v/>
      </c>
      <c r="AC77" t="str">
        <f>IFERROR(INDEX('CAD_PARCEIROS'!$P$6:$P$205,MATCH(72,'CAD_PARCEIROS'!$U$6:$U$205,0))&amp;"","")</f>
        <v/>
      </c>
      <c r="AD77" t="str">
        <f>IFERROR(INDEX('CAD_RESÍDUOS'!$B$6:$B$205,MATCH(72,'CAD_RESÍDUOS'!$L$6:$L$205,0))&amp;"","")</f>
        <v/>
      </c>
      <c r="AE77" t="str">
        <f>IFERROR(INDEX('MTRs'!$BD$6:$BD$505,MATCH(72,'MTRs'!$BE$6:$BE$505,0))&amp;"","")</f>
        <v/>
      </c>
      <c r="AF77" t="str">
        <f>IFERROR(INDEX('ITENS_MTR'!$AS$6:$AS$1005,MATCH(72,'ITENS_MTR'!$AT$6:$AT$1005,0))&amp;"","")</f>
        <v/>
      </c>
      <c r="AG77" t="str">
        <f>IFERROR(INDEX('CDFs'!$Y$6:$Y$505,MATCH(72,'CDFs'!$Z$6:$Z$505,0))&amp;"","")</f>
        <v/>
      </c>
      <c r="AH77" t="str">
        <f>AA76</f>
        <v/>
      </c>
      <c r="AI77" t="str">
        <f>AB76</f>
        <v/>
      </c>
      <c r="AJ77" t="str">
        <f>AC76</f>
        <v/>
      </c>
      <c r="AK77" t="str">
        <f>AD76</f>
        <v/>
      </c>
    </row>
    <row r="78">
      <c r="B78" s="132" t="inlineStr">
        <is>
          <t>Verde-claro  #E8F7EE</t>
        </is>
      </c>
      <c r="C78" s="150" t="n"/>
      <c r="D78" s="145" t="inlineStr">
        <is>
          <t>Informação conferida</t>
        </is>
      </c>
      <c r="E78" s="145" t="n"/>
      <c r="AA78" t="str">
        <f>IFERROR(INDEX('CAD_UNIDADES'!$C$6:$C$105,MATCH(73,'CAD_UNIDADES'!$N$6:$N$105,0))&amp;"","")</f>
        <v/>
      </c>
      <c r="AB78" t="str">
        <f>IFERROR(INDEX('CAD_PARCEIROS'!$P$6:$P$205,MATCH(73,'CAD_PARCEIROS'!$S$6:$S$205,0))&amp;"","")</f>
        <v/>
      </c>
      <c r="AC78" t="str">
        <f>IFERROR(INDEX('CAD_PARCEIROS'!$P$6:$P$205,MATCH(73,'CAD_PARCEIROS'!$U$6:$U$205,0))&amp;"","")</f>
        <v/>
      </c>
      <c r="AD78" t="str">
        <f>IFERROR(INDEX('CAD_RESÍDUOS'!$B$6:$B$205,MATCH(73,'CAD_RESÍDUOS'!$L$6:$L$205,0))&amp;"","")</f>
        <v/>
      </c>
      <c r="AE78" t="str">
        <f>IFERROR(INDEX('MTRs'!$BD$6:$BD$505,MATCH(73,'MTRs'!$BE$6:$BE$505,0))&amp;"","")</f>
        <v/>
      </c>
      <c r="AF78" t="str">
        <f>IFERROR(INDEX('ITENS_MTR'!$AS$6:$AS$1005,MATCH(73,'ITENS_MTR'!$AT$6:$AT$1005,0))&amp;"","")</f>
        <v/>
      </c>
      <c r="AG78" t="str">
        <f>IFERROR(INDEX('CDFs'!$Y$6:$Y$505,MATCH(73,'CDFs'!$Z$6:$Z$505,0))&amp;"","")</f>
        <v/>
      </c>
      <c r="AH78" t="str">
        <f>AA77</f>
        <v/>
      </c>
      <c r="AI78" t="str">
        <f>AB77</f>
        <v/>
      </c>
      <c r="AJ78" t="str">
        <f>AC77</f>
        <v/>
      </c>
      <c r="AK78" t="str">
        <f>AD77</f>
        <v/>
      </c>
    </row>
    <row r="79">
      <c r="B79" s="132" t="inlineStr">
        <is>
          <t>Amarelo  #F6C453</t>
        </is>
      </c>
      <c r="C79" s="151" t="n"/>
      <c r="D79" s="145" t="inlineStr">
        <is>
          <t>Atenção</t>
        </is>
      </c>
      <c r="E79" s="145" t="n"/>
      <c r="AA79" t="str">
        <f>IFERROR(INDEX('CAD_UNIDADES'!$C$6:$C$105,MATCH(74,'CAD_UNIDADES'!$N$6:$N$105,0))&amp;"","")</f>
        <v/>
      </c>
      <c r="AB79" t="str">
        <f>IFERROR(INDEX('CAD_PARCEIROS'!$P$6:$P$205,MATCH(74,'CAD_PARCEIROS'!$S$6:$S$205,0))&amp;"","")</f>
        <v/>
      </c>
      <c r="AC79" t="str">
        <f>IFERROR(INDEX('CAD_PARCEIROS'!$P$6:$P$205,MATCH(74,'CAD_PARCEIROS'!$U$6:$U$205,0))&amp;"","")</f>
        <v/>
      </c>
      <c r="AD79" t="str">
        <f>IFERROR(INDEX('CAD_RESÍDUOS'!$B$6:$B$205,MATCH(74,'CAD_RESÍDUOS'!$L$6:$L$205,0))&amp;"","")</f>
        <v/>
      </c>
      <c r="AE79" t="str">
        <f>IFERROR(INDEX('MTRs'!$BD$6:$BD$505,MATCH(74,'MTRs'!$BE$6:$BE$505,0))&amp;"","")</f>
        <v/>
      </c>
      <c r="AF79" t="str">
        <f>IFERROR(INDEX('ITENS_MTR'!$AS$6:$AS$1005,MATCH(74,'ITENS_MTR'!$AT$6:$AT$1005,0))&amp;"","")</f>
        <v/>
      </c>
      <c r="AG79" t="str">
        <f>IFERROR(INDEX('CDFs'!$Y$6:$Y$505,MATCH(74,'CDFs'!$Z$6:$Z$505,0))&amp;"","")</f>
        <v/>
      </c>
      <c r="AH79" t="str">
        <f>AA78</f>
        <v/>
      </c>
      <c r="AI79" t="str">
        <f>AB78</f>
        <v/>
      </c>
      <c r="AJ79" t="str">
        <f>AC78</f>
        <v/>
      </c>
      <c r="AK79" t="str">
        <f>AD78</f>
        <v/>
      </c>
    </row>
    <row r="80">
      <c r="B80" s="132" t="inlineStr">
        <is>
          <t>Vermelho suave  #FBE8E7</t>
        </is>
      </c>
      <c r="C80" s="152" t="n"/>
      <c r="D80" s="145" t="inlineStr">
        <is>
          <t>Inconsistências</t>
        </is>
      </c>
      <c r="E80" s="145" t="n"/>
      <c r="AA80" t="str">
        <f>IFERROR(INDEX('CAD_UNIDADES'!$C$6:$C$105,MATCH(75,'CAD_UNIDADES'!$N$6:$N$105,0))&amp;"","")</f>
        <v/>
      </c>
      <c r="AB80" t="str">
        <f>IFERROR(INDEX('CAD_PARCEIROS'!$P$6:$P$205,MATCH(75,'CAD_PARCEIROS'!$S$6:$S$205,0))&amp;"","")</f>
        <v/>
      </c>
      <c r="AC80" t="str">
        <f>IFERROR(INDEX('CAD_PARCEIROS'!$P$6:$P$205,MATCH(75,'CAD_PARCEIROS'!$U$6:$U$205,0))&amp;"","")</f>
        <v/>
      </c>
      <c r="AD80" t="str">
        <f>IFERROR(INDEX('CAD_RESÍDUOS'!$B$6:$B$205,MATCH(75,'CAD_RESÍDUOS'!$L$6:$L$205,0))&amp;"","")</f>
        <v/>
      </c>
      <c r="AE80" t="str">
        <f>IFERROR(INDEX('MTRs'!$BD$6:$BD$505,MATCH(75,'MTRs'!$BE$6:$BE$505,0))&amp;"","")</f>
        <v/>
      </c>
      <c r="AF80" t="str">
        <f>IFERROR(INDEX('ITENS_MTR'!$AS$6:$AS$1005,MATCH(75,'ITENS_MTR'!$AT$6:$AT$1005,0))&amp;"","")</f>
        <v/>
      </c>
      <c r="AG80" t="str">
        <f>IFERROR(INDEX('CDFs'!$Y$6:$Y$505,MATCH(75,'CDFs'!$Z$6:$Z$505,0))&amp;"","")</f>
        <v/>
      </c>
      <c r="AH80" t="str">
        <f>AA79</f>
        <v/>
      </c>
      <c r="AI80" t="str">
        <f>AB79</f>
        <v/>
      </c>
      <c r="AJ80" t="str">
        <f>AC79</f>
        <v/>
      </c>
      <c r="AK80" t="str">
        <f>AD79</f>
        <v/>
      </c>
    </row>
    <row r="81">
      <c r="B81" s="132" t="inlineStr">
        <is>
          <t>Cinza-claro  #F4F7FA</t>
        </is>
      </c>
      <c r="C81" s="153" t="n"/>
      <c r="D81" s="145" t="inlineStr">
        <is>
          <t>Campos automáticos</t>
        </is>
      </c>
      <c r="E81" s="145" t="n"/>
      <c r="AA81" t="str">
        <f>IFERROR(INDEX('CAD_UNIDADES'!$C$6:$C$105,MATCH(76,'CAD_UNIDADES'!$N$6:$N$105,0))&amp;"","")</f>
        <v/>
      </c>
      <c r="AB81" t="str">
        <f>IFERROR(INDEX('CAD_PARCEIROS'!$P$6:$P$205,MATCH(76,'CAD_PARCEIROS'!$S$6:$S$205,0))&amp;"","")</f>
        <v/>
      </c>
      <c r="AC81" t="str">
        <f>IFERROR(INDEX('CAD_PARCEIROS'!$P$6:$P$205,MATCH(76,'CAD_PARCEIROS'!$U$6:$U$205,0))&amp;"","")</f>
        <v/>
      </c>
      <c r="AD81" t="str">
        <f>IFERROR(INDEX('CAD_RESÍDUOS'!$B$6:$B$205,MATCH(76,'CAD_RESÍDUOS'!$L$6:$L$205,0))&amp;"","")</f>
        <v/>
      </c>
      <c r="AE81" t="str">
        <f>IFERROR(INDEX('MTRs'!$BD$6:$BD$505,MATCH(76,'MTRs'!$BE$6:$BE$505,0))&amp;"","")</f>
        <v/>
      </c>
      <c r="AF81" t="str">
        <f>IFERROR(INDEX('ITENS_MTR'!$AS$6:$AS$1005,MATCH(76,'ITENS_MTR'!$AT$6:$AT$1005,0))&amp;"","")</f>
        <v/>
      </c>
      <c r="AG81" t="str">
        <f>IFERROR(INDEX('CDFs'!$Y$6:$Y$505,MATCH(76,'CDFs'!$Z$6:$Z$505,0))&amp;"","")</f>
        <v/>
      </c>
      <c r="AH81" t="str">
        <f>AA80</f>
        <v/>
      </c>
      <c r="AI81" t="str">
        <f>AB80</f>
        <v/>
      </c>
      <c r="AJ81" t="str">
        <f>AC80</f>
        <v/>
      </c>
      <c r="AK81" t="str">
        <f>AD80</f>
        <v/>
      </c>
    </row>
    <row r="82">
      <c r="AA82" t="str">
        <f>IFERROR(INDEX('CAD_UNIDADES'!$C$6:$C$105,MATCH(77,'CAD_UNIDADES'!$N$6:$N$105,0))&amp;"","")</f>
        <v/>
      </c>
      <c r="AB82" t="str">
        <f>IFERROR(INDEX('CAD_PARCEIROS'!$P$6:$P$205,MATCH(77,'CAD_PARCEIROS'!$S$6:$S$205,0))&amp;"","")</f>
        <v/>
      </c>
      <c r="AC82" t="str">
        <f>IFERROR(INDEX('CAD_PARCEIROS'!$P$6:$P$205,MATCH(77,'CAD_PARCEIROS'!$U$6:$U$205,0))&amp;"","")</f>
        <v/>
      </c>
      <c r="AD82" t="str">
        <f>IFERROR(INDEX('CAD_RESÍDUOS'!$B$6:$B$205,MATCH(77,'CAD_RESÍDUOS'!$L$6:$L$205,0))&amp;"","")</f>
        <v/>
      </c>
      <c r="AE82" t="str">
        <f>IFERROR(INDEX('MTRs'!$BD$6:$BD$505,MATCH(77,'MTRs'!$BE$6:$BE$505,0))&amp;"","")</f>
        <v/>
      </c>
      <c r="AF82" t="str">
        <f>IFERROR(INDEX('ITENS_MTR'!$AS$6:$AS$1005,MATCH(77,'ITENS_MTR'!$AT$6:$AT$1005,0))&amp;"","")</f>
        <v/>
      </c>
      <c r="AG82" t="str">
        <f>IFERROR(INDEX('CDFs'!$Y$6:$Y$505,MATCH(77,'CDFs'!$Z$6:$Z$505,0))&amp;"","")</f>
        <v/>
      </c>
      <c r="AH82" t="str">
        <f>AA81</f>
        <v/>
      </c>
      <c r="AI82" t="str">
        <f>AB81</f>
        <v/>
      </c>
      <c r="AJ82" t="str">
        <f>AC81</f>
        <v/>
      </c>
      <c r="AK82" t="str">
        <f>AD81</f>
        <v/>
      </c>
    </row>
    <row r="83">
      <c r="AA83" t="str">
        <f>IFERROR(INDEX('CAD_UNIDADES'!$C$6:$C$105,MATCH(78,'CAD_UNIDADES'!$N$6:$N$105,0))&amp;"","")</f>
        <v/>
      </c>
      <c r="AB83" t="str">
        <f>IFERROR(INDEX('CAD_PARCEIROS'!$P$6:$P$205,MATCH(78,'CAD_PARCEIROS'!$S$6:$S$205,0))&amp;"","")</f>
        <v/>
      </c>
      <c r="AC83" t="str">
        <f>IFERROR(INDEX('CAD_PARCEIROS'!$P$6:$P$205,MATCH(78,'CAD_PARCEIROS'!$U$6:$U$205,0))&amp;"","")</f>
        <v/>
      </c>
      <c r="AD83" t="str">
        <f>IFERROR(INDEX('CAD_RESÍDUOS'!$B$6:$B$205,MATCH(78,'CAD_RESÍDUOS'!$L$6:$L$205,0))&amp;"","")</f>
        <v/>
      </c>
      <c r="AE83" t="str">
        <f>IFERROR(INDEX('MTRs'!$BD$6:$BD$505,MATCH(78,'MTRs'!$BE$6:$BE$505,0))&amp;"","")</f>
        <v/>
      </c>
      <c r="AF83" t="str">
        <f>IFERROR(INDEX('ITENS_MTR'!$AS$6:$AS$1005,MATCH(78,'ITENS_MTR'!$AT$6:$AT$1005,0))&amp;"","")</f>
        <v/>
      </c>
      <c r="AG83" t="str">
        <f>IFERROR(INDEX('CDFs'!$Y$6:$Y$505,MATCH(78,'CDFs'!$Z$6:$Z$505,0))&amp;"","")</f>
        <v/>
      </c>
      <c r="AH83" t="str">
        <f>AA82</f>
        <v/>
      </c>
      <c r="AI83" t="str">
        <f>AB82</f>
        <v/>
      </c>
      <c r="AJ83" t="str">
        <f>AC82</f>
        <v/>
      </c>
      <c r="AK83" t="str">
        <f>AD82</f>
        <v/>
      </c>
    </row>
    <row r="84">
      <c r="AA84" t="str">
        <f>IFERROR(INDEX('CAD_UNIDADES'!$C$6:$C$105,MATCH(79,'CAD_UNIDADES'!$N$6:$N$105,0))&amp;"","")</f>
        <v/>
      </c>
      <c r="AB84" t="str">
        <f>IFERROR(INDEX('CAD_PARCEIROS'!$P$6:$P$205,MATCH(79,'CAD_PARCEIROS'!$S$6:$S$205,0))&amp;"","")</f>
        <v/>
      </c>
      <c r="AC84" t="str">
        <f>IFERROR(INDEX('CAD_PARCEIROS'!$P$6:$P$205,MATCH(79,'CAD_PARCEIROS'!$U$6:$U$205,0))&amp;"","")</f>
        <v/>
      </c>
      <c r="AD84" t="str">
        <f>IFERROR(INDEX('CAD_RESÍDUOS'!$B$6:$B$205,MATCH(79,'CAD_RESÍDUOS'!$L$6:$L$205,0))&amp;"","")</f>
        <v/>
      </c>
      <c r="AE84" t="str">
        <f>IFERROR(INDEX('MTRs'!$BD$6:$BD$505,MATCH(79,'MTRs'!$BE$6:$BE$505,0))&amp;"","")</f>
        <v/>
      </c>
      <c r="AF84" t="str">
        <f>IFERROR(INDEX('ITENS_MTR'!$AS$6:$AS$1005,MATCH(79,'ITENS_MTR'!$AT$6:$AT$1005,0))&amp;"","")</f>
        <v/>
      </c>
      <c r="AG84" t="str">
        <f>IFERROR(INDEX('CDFs'!$Y$6:$Y$505,MATCH(79,'CDFs'!$Z$6:$Z$505,0))&amp;"","")</f>
        <v/>
      </c>
      <c r="AH84" t="str">
        <f>AA83</f>
        <v/>
      </c>
      <c r="AI84" t="str">
        <f>AB83</f>
        <v/>
      </c>
      <c r="AJ84" t="str">
        <f>AC83</f>
        <v/>
      </c>
      <c r="AK84" t="str">
        <f>AD83</f>
        <v/>
      </c>
    </row>
    <row r="85">
      <c r="AA85" t="str">
        <f>IFERROR(INDEX('CAD_UNIDADES'!$C$6:$C$105,MATCH(80,'CAD_UNIDADES'!$N$6:$N$105,0))&amp;"","")</f>
        <v/>
      </c>
      <c r="AB85" t="str">
        <f>IFERROR(INDEX('CAD_PARCEIROS'!$P$6:$P$205,MATCH(80,'CAD_PARCEIROS'!$S$6:$S$205,0))&amp;"","")</f>
        <v/>
      </c>
      <c r="AC85" t="str">
        <f>IFERROR(INDEX('CAD_PARCEIROS'!$P$6:$P$205,MATCH(80,'CAD_PARCEIROS'!$U$6:$U$205,0))&amp;"","")</f>
        <v/>
      </c>
      <c r="AD85" t="str">
        <f>IFERROR(INDEX('CAD_RESÍDUOS'!$B$6:$B$205,MATCH(80,'CAD_RESÍDUOS'!$L$6:$L$205,0))&amp;"","")</f>
        <v/>
      </c>
      <c r="AE85" t="str">
        <f>IFERROR(INDEX('MTRs'!$BD$6:$BD$505,MATCH(80,'MTRs'!$BE$6:$BE$505,0))&amp;"","")</f>
        <v/>
      </c>
      <c r="AF85" t="str">
        <f>IFERROR(INDEX('ITENS_MTR'!$AS$6:$AS$1005,MATCH(80,'ITENS_MTR'!$AT$6:$AT$1005,0))&amp;"","")</f>
        <v/>
      </c>
      <c r="AG85" t="str">
        <f>IFERROR(INDEX('CDFs'!$Y$6:$Y$505,MATCH(80,'CDFs'!$Z$6:$Z$505,0))&amp;"","")</f>
        <v/>
      </c>
      <c r="AH85" t="str">
        <f>AA84</f>
        <v/>
      </c>
      <c r="AI85" t="str">
        <f>AB84</f>
        <v/>
      </c>
      <c r="AJ85" t="str">
        <f>AC84</f>
        <v/>
      </c>
      <c r="AK85" t="str">
        <f>AD84</f>
        <v/>
      </c>
    </row>
    <row r="86">
      <c r="AA86" t="str">
        <f>IFERROR(INDEX('CAD_UNIDADES'!$C$6:$C$105,MATCH(81,'CAD_UNIDADES'!$N$6:$N$105,0))&amp;"","")</f>
        <v/>
      </c>
      <c r="AB86" t="str">
        <f>IFERROR(INDEX('CAD_PARCEIROS'!$P$6:$P$205,MATCH(81,'CAD_PARCEIROS'!$S$6:$S$205,0))&amp;"","")</f>
        <v/>
      </c>
      <c r="AC86" t="str">
        <f>IFERROR(INDEX('CAD_PARCEIROS'!$P$6:$P$205,MATCH(81,'CAD_PARCEIROS'!$U$6:$U$205,0))&amp;"","")</f>
        <v/>
      </c>
      <c r="AD86" t="str">
        <f>IFERROR(INDEX('CAD_RESÍDUOS'!$B$6:$B$205,MATCH(81,'CAD_RESÍDUOS'!$L$6:$L$205,0))&amp;"","")</f>
        <v/>
      </c>
      <c r="AE86" t="str">
        <f>IFERROR(INDEX('MTRs'!$BD$6:$BD$505,MATCH(81,'MTRs'!$BE$6:$BE$505,0))&amp;"","")</f>
        <v/>
      </c>
      <c r="AF86" t="str">
        <f>IFERROR(INDEX('ITENS_MTR'!$AS$6:$AS$1005,MATCH(81,'ITENS_MTR'!$AT$6:$AT$1005,0))&amp;"","")</f>
        <v/>
      </c>
      <c r="AG86" t="str">
        <f>IFERROR(INDEX('CDFs'!$Y$6:$Y$505,MATCH(81,'CDFs'!$Z$6:$Z$505,0))&amp;"","")</f>
        <v/>
      </c>
      <c r="AH86" t="str">
        <f>AA85</f>
        <v/>
      </c>
      <c r="AI86" t="str">
        <f>AB85</f>
        <v/>
      </c>
      <c r="AJ86" t="str">
        <f>AC85</f>
        <v/>
      </c>
      <c r="AK86" t="str">
        <f>AD85</f>
        <v/>
      </c>
    </row>
    <row r="87">
      <c r="AA87" t="str">
        <f>IFERROR(INDEX('CAD_UNIDADES'!$C$6:$C$105,MATCH(82,'CAD_UNIDADES'!$N$6:$N$105,0))&amp;"","")</f>
        <v/>
      </c>
      <c r="AB87" t="str">
        <f>IFERROR(INDEX('CAD_PARCEIROS'!$P$6:$P$205,MATCH(82,'CAD_PARCEIROS'!$S$6:$S$205,0))&amp;"","")</f>
        <v/>
      </c>
      <c r="AC87" t="str">
        <f>IFERROR(INDEX('CAD_PARCEIROS'!$P$6:$P$205,MATCH(82,'CAD_PARCEIROS'!$U$6:$U$205,0))&amp;"","")</f>
        <v/>
      </c>
      <c r="AD87" t="str">
        <f>IFERROR(INDEX('CAD_RESÍDUOS'!$B$6:$B$205,MATCH(82,'CAD_RESÍDUOS'!$L$6:$L$205,0))&amp;"","")</f>
        <v/>
      </c>
      <c r="AE87" t="str">
        <f>IFERROR(INDEX('MTRs'!$BD$6:$BD$505,MATCH(82,'MTRs'!$BE$6:$BE$505,0))&amp;"","")</f>
        <v/>
      </c>
      <c r="AF87" t="str">
        <f>IFERROR(INDEX('ITENS_MTR'!$AS$6:$AS$1005,MATCH(82,'ITENS_MTR'!$AT$6:$AT$1005,0))&amp;"","")</f>
        <v/>
      </c>
      <c r="AG87" t="str">
        <f>IFERROR(INDEX('CDFs'!$Y$6:$Y$505,MATCH(82,'CDFs'!$Z$6:$Z$505,0))&amp;"","")</f>
        <v/>
      </c>
      <c r="AH87" t="str">
        <f>AA86</f>
        <v/>
      </c>
      <c r="AI87" t="str">
        <f>AB86</f>
        <v/>
      </c>
      <c r="AJ87" t="str">
        <f>AC86</f>
        <v/>
      </c>
      <c r="AK87" t="str">
        <f>AD86</f>
        <v/>
      </c>
    </row>
    <row r="88">
      <c r="AA88" t="str">
        <f>IFERROR(INDEX('CAD_UNIDADES'!$C$6:$C$105,MATCH(83,'CAD_UNIDADES'!$N$6:$N$105,0))&amp;"","")</f>
        <v/>
      </c>
      <c r="AB88" t="str">
        <f>IFERROR(INDEX('CAD_PARCEIROS'!$P$6:$P$205,MATCH(83,'CAD_PARCEIROS'!$S$6:$S$205,0))&amp;"","")</f>
        <v/>
      </c>
      <c r="AC88" t="str">
        <f>IFERROR(INDEX('CAD_PARCEIROS'!$P$6:$P$205,MATCH(83,'CAD_PARCEIROS'!$U$6:$U$205,0))&amp;"","")</f>
        <v/>
      </c>
      <c r="AD88" t="str">
        <f>IFERROR(INDEX('CAD_RESÍDUOS'!$B$6:$B$205,MATCH(83,'CAD_RESÍDUOS'!$L$6:$L$205,0))&amp;"","")</f>
        <v/>
      </c>
      <c r="AE88" t="str">
        <f>IFERROR(INDEX('MTRs'!$BD$6:$BD$505,MATCH(83,'MTRs'!$BE$6:$BE$505,0))&amp;"","")</f>
        <v/>
      </c>
      <c r="AF88" t="str">
        <f>IFERROR(INDEX('ITENS_MTR'!$AS$6:$AS$1005,MATCH(83,'ITENS_MTR'!$AT$6:$AT$1005,0))&amp;"","")</f>
        <v/>
      </c>
      <c r="AG88" t="str">
        <f>IFERROR(INDEX('CDFs'!$Y$6:$Y$505,MATCH(83,'CDFs'!$Z$6:$Z$505,0))&amp;"","")</f>
        <v/>
      </c>
      <c r="AH88" t="str">
        <f>AA87</f>
        <v/>
      </c>
      <c r="AI88" t="str">
        <f>AB87</f>
        <v/>
      </c>
      <c r="AJ88" t="str">
        <f>AC87</f>
        <v/>
      </c>
      <c r="AK88" t="str">
        <f>AD87</f>
        <v/>
      </c>
    </row>
    <row r="89">
      <c r="AA89" t="str">
        <f>IFERROR(INDEX('CAD_UNIDADES'!$C$6:$C$105,MATCH(84,'CAD_UNIDADES'!$N$6:$N$105,0))&amp;"","")</f>
        <v/>
      </c>
      <c r="AB89" t="str">
        <f>IFERROR(INDEX('CAD_PARCEIROS'!$P$6:$P$205,MATCH(84,'CAD_PARCEIROS'!$S$6:$S$205,0))&amp;"","")</f>
        <v/>
      </c>
      <c r="AC89" t="str">
        <f>IFERROR(INDEX('CAD_PARCEIROS'!$P$6:$P$205,MATCH(84,'CAD_PARCEIROS'!$U$6:$U$205,0))&amp;"","")</f>
        <v/>
      </c>
      <c r="AD89" t="str">
        <f>IFERROR(INDEX('CAD_RESÍDUOS'!$B$6:$B$205,MATCH(84,'CAD_RESÍDUOS'!$L$6:$L$205,0))&amp;"","")</f>
        <v/>
      </c>
      <c r="AE89" t="str">
        <f>IFERROR(INDEX('MTRs'!$BD$6:$BD$505,MATCH(84,'MTRs'!$BE$6:$BE$505,0))&amp;"","")</f>
        <v/>
      </c>
      <c r="AF89" t="str">
        <f>IFERROR(INDEX('ITENS_MTR'!$AS$6:$AS$1005,MATCH(84,'ITENS_MTR'!$AT$6:$AT$1005,0))&amp;"","")</f>
        <v/>
      </c>
      <c r="AG89" t="str">
        <f>IFERROR(INDEX('CDFs'!$Y$6:$Y$505,MATCH(84,'CDFs'!$Z$6:$Z$505,0))&amp;"","")</f>
        <v/>
      </c>
      <c r="AH89" t="str">
        <f>AA88</f>
        <v/>
      </c>
      <c r="AI89" t="str">
        <f>AB88</f>
        <v/>
      </c>
      <c r="AJ89" t="str">
        <f>AC88</f>
        <v/>
      </c>
      <c r="AK89" t="str">
        <f>AD88</f>
        <v/>
      </c>
    </row>
    <row r="90">
      <c r="AA90" t="str">
        <f>IFERROR(INDEX('CAD_UNIDADES'!$C$6:$C$105,MATCH(85,'CAD_UNIDADES'!$N$6:$N$105,0))&amp;"","")</f>
        <v/>
      </c>
      <c r="AB90" t="str">
        <f>IFERROR(INDEX('CAD_PARCEIROS'!$P$6:$P$205,MATCH(85,'CAD_PARCEIROS'!$S$6:$S$205,0))&amp;"","")</f>
        <v/>
      </c>
      <c r="AC90" t="str">
        <f>IFERROR(INDEX('CAD_PARCEIROS'!$P$6:$P$205,MATCH(85,'CAD_PARCEIROS'!$U$6:$U$205,0))&amp;"","")</f>
        <v/>
      </c>
      <c r="AD90" t="str">
        <f>IFERROR(INDEX('CAD_RESÍDUOS'!$B$6:$B$205,MATCH(85,'CAD_RESÍDUOS'!$L$6:$L$205,0))&amp;"","")</f>
        <v/>
      </c>
      <c r="AE90" t="str">
        <f>IFERROR(INDEX('MTRs'!$BD$6:$BD$505,MATCH(85,'MTRs'!$BE$6:$BE$505,0))&amp;"","")</f>
        <v/>
      </c>
      <c r="AF90" t="str">
        <f>IFERROR(INDEX('ITENS_MTR'!$AS$6:$AS$1005,MATCH(85,'ITENS_MTR'!$AT$6:$AT$1005,0))&amp;"","")</f>
        <v/>
      </c>
      <c r="AG90" t="str">
        <f>IFERROR(INDEX('CDFs'!$Y$6:$Y$505,MATCH(85,'CDFs'!$Z$6:$Z$505,0))&amp;"","")</f>
        <v/>
      </c>
      <c r="AH90" t="str">
        <f>AA89</f>
        <v/>
      </c>
      <c r="AI90" t="str">
        <f>AB89</f>
        <v/>
      </c>
      <c r="AJ90" t="str">
        <f>AC89</f>
        <v/>
      </c>
      <c r="AK90" t="str">
        <f>AD89</f>
        <v/>
      </c>
    </row>
    <row r="91">
      <c r="AA91" t="str">
        <f>IFERROR(INDEX('CAD_UNIDADES'!$C$6:$C$105,MATCH(86,'CAD_UNIDADES'!$N$6:$N$105,0))&amp;"","")</f>
        <v/>
      </c>
      <c r="AB91" t="str">
        <f>IFERROR(INDEX('CAD_PARCEIROS'!$P$6:$P$205,MATCH(86,'CAD_PARCEIROS'!$S$6:$S$205,0))&amp;"","")</f>
        <v/>
      </c>
      <c r="AC91" t="str">
        <f>IFERROR(INDEX('CAD_PARCEIROS'!$P$6:$P$205,MATCH(86,'CAD_PARCEIROS'!$U$6:$U$205,0))&amp;"","")</f>
        <v/>
      </c>
      <c r="AD91" t="str">
        <f>IFERROR(INDEX('CAD_RESÍDUOS'!$B$6:$B$205,MATCH(86,'CAD_RESÍDUOS'!$L$6:$L$205,0))&amp;"","")</f>
        <v/>
      </c>
      <c r="AE91" t="str">
        <f>IFERROR(INDEX('MTRs'!$BD$6:$BD$505,MATCH(86,'MTRs'!$BE$6:$BE$505,0))&amp;"","")</f>
        <v/>
      </c>
      <c r="AF91" t="str">
        <f>IFERROR(INDEX('ITENS_MTR'!$AS$6:$AS$1005,MATCH(86,'ITENS_MTR'!$AT$6:$AT$1005,0))&amp;"","")</f>
        <v/>
      </c>
      <c r="AG91" t="str">
        <f>IFERROR(INDEX('CDFs'!$Y$6:$Y$505,MATCH(86,'CDFs'!$Z$6:$Z$505,0))&amp;"","")</f>
        <v/>
      </c>
      <c r="AH91" t="str">
        <f>AA90</f>
        <v/>
      </c>
      <c r="AI91" t="str">
        <f>AB90</f>
        <v/>
      </c>
      <c r="AJ91" t="str">
        <f>AC90</f>
        <v/>
      </c>
      <c r="AK91" t="str">
        <f>AD90</f>
        <v/>
      </c>
    </row>
    <row r="92">
      <c r="AA92" t="str">
        <f>IFERROR(INDEX('CAD_UNIDADES'!$C$6:$C$105,MATCH(87,'CAD_UNIDADES'!$N$6:$N$105,0))&amp;"","")</f>
        <v/>
      </c>
      <c r="AB92" t="str">
        <f>IFERROR(INDEX('CAD_PARCEIROS'!$P$6:$P$205,MATCH(87,'CAD_PARCEIROS'!$S$6:$S$205,0))&amp;"","")</f>
        <v/>
      </c>
      <c r="AC92" t="str">
        <f>IFERROR(INDEX('CAD_PARCEIROS'!$P$6:$P$205,MATCH(87,'CAD_PARCEIROS'!$U$6:$U$205,0))&amp;"","")</f>
        <v/>
      </c>
      <c r="AD92" t="str">
        <f>IFERROR(INDEX('CAD_RESÍDUOS'!$B$6:$B$205,MATCH(87,'CAD_RESÍDUOS'!$L$6:$L$205,0))&amp;"","")</f>
        <v/>
      </c>
      <c r="AE92" t="str">
        <f>IFERROR(INDEX('MTRs'!$BD$6:$BD$505,MATCH(87,'MTRs'!$BE$6:$BE$505,0))&amp;"","")</f>
        <v/>
      </c>
      <c r="AF92" t="str">
        <f>IFERROR(INDEX('ITENS_MTR'!$AS$6:$AS$1005,MATCH(87,'ITENS_MTR'!$AT$6:$AT$1005,0))&amp;"","")</f>
        <v/>
      </c>
      <c r="AG92" t="str">
        <f>IFERROR(INDEX('CDFs'!$Y$6:$Y$505,MATCH(87,'CDFs'!$Z$6:$Z$505,0))&amp;"","")</f>
        <v/>
      </c>
      <c r="AH92" t="str">
        <f>AA91</f>
        <v/>
      </c>
      <c r="AI92" t="str">
        <f>AB91</f>
        <v/>
      </c>
      <c r="AJ92" t="str">
        <f>AC91</f>
        <v/>
      </c>
      <c r="AK92" t="str">
        <f>AD91</f>
        <v/>
      </c>
    </row>
    <row r="93">
      <c r="AA93" t="str">
        <f>IFERROR(INDEX('CAD_UNIDADES'!$C$6:$C$105,MATCH(88,'CAD_UNIDADES'!$N$6:$N$105,0))&amp;"","")</f>
        <v/>
      </c>
      <c r="AB93" t="str">
        <f>IFERROR(INDEX('CAD_PARCEIROS'!$P$6:$P$205,MATCH(88,'CAD_PARCEIROS'!$S$6:$S$205,0))&amp;"","")</f>
        <v/>
      </c>
      <c r="AC93" t="str">
        <f>IFERROR(INDEX('CAD_PARCEIROS'!$P$6:$P$205,MATCH(88,'CAD_PARCEIROS'!$U$6:$U$205,0))&amp;"","")</f>
        <v/>
      </c>
      <c r="AD93" t="str">
        <f>IFERROR(INDEX('CAD_RESÍDUOS'!$B$6:$B$205,MATCH(88,'CAD_RESÍDUOS'!$L$6:$L$205,0))&amp;"","")</f>
        <v/>
      </c>
      <c r="AE93" t="str">
        <f>IFERROR(INDEX('MTRs'!$BD$6:$BD$505,MATCH(88,'MTRs'!$BE$6:$BE$505,0))&amp;"","")</f>
        <v/>
      </c>
      <c r="AF93" t="str">
        <f>IFERROR(INDEX('ITENS_MTR'!$AS$6:$AS$1005,MATCH(88,'ITENS_MTR'!$AT$6:$AT$1005,0))&amp;"","")</f>
        <v/>
      </c>
      <c r="AG93" t="str">
        <f>IFERROR(INDEX('CDFs'!$Y$6:$Y$505,MATCH(88,'CDFs'!$Z$6:$Z$505,0))&amp;"","")</f>
        <v/>
      </c>
      <c r="AH93" t="str">
        <f>AA92</f>
        <v/>
      </c>
      <c r="AI93" t="str">
        <f>AB92</f>
        <v/>
      </c>
      <c r="AJ93" t="str">
        <f>AC92</f>
        <v/>
      </c>
      <c r="AK93" t="str">
        <f>AD92</f>
        <v/>
      </c>
    </row>
    <row r="94">
      <c r="AA94" t="str">
        <f>IFERROR(INDEX('CAD_UNIDADES'!$C$6:$C$105,MATCH(89,'CAD_UNIDADES'!$N$6:$N$105,0))&amp;"","")</f>
        <v/>
      </c>
      <c r="AB94" t="str">
        <f>IFERROR(INDEX('CAD_PARCEIROS'!$P$6:$P$205,MATCH(89,'CAD_PARCEIROS'!$S$6:$S$205,0))&amp;"","")</f>
        <v/>
      </c>
      <c r="AC94" t="str">
        <f>IFERROR(INDEX('CAD_PARCEIROS'!$P$6:$P$205,MATCH(89,'CAD_PARCEIROS'!$U$6:$U$205,0))&amp;"","")</f>
        <v/>
      </c>
      <c r="AD94" t="str">
        <f>IFERROR(INDEX('CAD_RESÍDUOS'!$B$6:$B$205,MATCH(89,'CAD_RESÍDUOS'!$L$6:$L$205,0))&amp;"","")</f>
        <v/>
      </c>
      <c r="AE94" t="str">
        <f>IFERROR(INDEX('MTRs'!$BD$6:$BD$505,MATCH(89,'MTRs'!$BE$6:$BE$505,0))&amp;"","")</f>
        <v/>
      </c>
      <c r="AF94" t="str">
        <f>IFERROR(INDEX('ITENS_MTR'!$AS$6:$AS$1005,MATCH(89,'ITENS_MTR'!$AT$6:$AT$1005,0))&amp;"","")</f>
        <v/>
      </c>
      <c r="AG94" t="str">
        <f>IFERROR(INDEX('CDFs'!$Y$6:$Y$505,MATCH(89,'CDFs'!$Z$6:$Z$505,0))&amp;"","")</f>
        <v/>
      </c>
      <c r="AH94" t="str">
        <f>AA93</f>
        <v/>
      </c>
      <c r="AI94" t="str">
        <f>AB93</f>
        <v/>
      </c>
      <c r="AJ94" t="str">
        <f>AC93</f>
        <v/>
      </c>
      <c r="AK94" t="str">
        <f>AD93</f>
        <v/>
      </c>
    </row>
    <row r="95">
      <c r="AA95" t="str">
        <f>IFERROR(INDEX('CAD_UNIDADES'!$C$6:$C$105,MATCH(90,'CAD_UNIDADES'!$N$6:$N$105,0))&amp;"","")</f>
        <v/>
      </c>
      <c r="AB95" t="str">
        <f>IFERROR(INDEX('CAD_PARCEIROS'!$P$6:$P$205,MATCH(90,'CAD_PARCEIROS'!$S$6:$S$205,0))&amp;"","")</f>
        <v/>
      </c>
      <c r="AC95" t="str">
        <f>IFERROR(INDEX('CAD_PARCEIROS'!$P$6:$P$205,MATCH(90,'CAD_PARCEIROS'!$U$6:$U$205,0))&amp;"","")</f>
        <v/>
      </c>
      <c r="AD95" t="str">
        <f>IFERROR(INDEX('CAD_RESÍDUOS'!$B$6:$B$205,MATCH(90,'CAD_RESÍDUOS'!$L$6:$L$205,0))&amp;"","")</f>
        <v/>
      </c>
      <c r="AE95" t="str">
        <f>IFERROR(INDEX('MTRs'!$BD$6:$BD$505,MATCH(90,'MTRs'!$BE$6:$BE$505,0))&amp;"","")</f>
        <v/>
      </c>
      <c r="AF95" t="str">
        <f>IFERROR(INDEX('ITENS_MTR'!$AS$6:$AS$1005,MATCH(90,'ITENS_MTR'!$AT$6:$AT$1005,0))&amp;"","")</f>
        <v/>
      </c>
      <c r="AG95" t="str">
        <f>IFERROR(INDEX('CDFs'!$Y$6:$Y$505,MATCH(90,'CDFs'!$Z$6:$Z$505,0))&amp;"","")</f>
        <v/>
      </c>
      <c r="AH95" t="str">
        <f>AA94</f>
        <v/>
      </c>
      <c r="AI95" t="str">
        <f>AB94</f>
        <v/>
      </c>
      <c r="AJ95" t="str">
        <f>AC94</f>
        <v/>
      </c>
      <c r="AK95" t="str">
        <f>AD94</f>
        <v/>
      </c>
    </row>
    <row r="96">
      <c r="AA96" t="str">
        <f>IFERROR(INDEX('CAD_UNIDADES'!$C$6:$C$105,MATCH(91,'CAD_UNIDADES'!$N$6:$N$105,0))&amp;"","")</f>
        <v/>
      </c>
      <c r="AB96" t="str">
        <f>IFERROR(INDEX('CAD_PARCEIROS'!$P$6:$P$205,MATCH(91,'CAD_PARCEIROS'!$S$6:$S$205,0))&amp;"","")</f>
        <v/>
      </c>
      <c r="AC96" t="str">
        <f>IFERROR(INDEX('CAD_PARCEIROS'!$P$6:$P$205,MATCH(91,'CAD_PARCEIROS'!$U$6:$U$205,0))&amp;"","")</f>
        <v/>
      </c>
      <c r="AD96" t="str">
        <f>IFERROR(INDEX('CAD_RESÍDUOS'!$B$6:$B$205,MATCH(91,'CAD_RESÍDUOS'!$L$6:$L$205,0))&amp;"","")</f>
        <v/>
      </c>
      <c r="AE96" t="str">
        <f>IFERROR(INDEX('MTRs'!$BD$6:$BD$505,MATCH(91,'MTRs'!$BE$6:$BE$505,0))&amp;"","")</f>
        <v/>
      </c>
      <c r="AF96" t="str">
        <f>IFERROR(INDEX('ITENS_MTR'!$AS$6:$AS$1005,MATCH(91,'ITENS_MTR'!$AT$6:$AT$1005,0))&amp;"","")</f>
        <v/>
      </c>
      <c r="AG96" t="str">
        <f>IFERROR(INDEX('CDFs'!$Y$6:$Y$505,MATCH(91,'CDFs'!$Z$6:$Z$505,0))&amp;"","")</f>
        <v/>
      </c>
      <c r="AH96" t="str">
        <f>AA95</f>
        <v/>
      </c>
      <c r="AI96" t="str">
        <f>AB95</f>
        <v/>
      </c>
      <c r="AJ96" t="str">
        <f>AC95</f>
        <v/>
      </c>
      <c r="AK96" t="str">
        <f>AD95</f>
        <v/>
      </c>
    </row>
    <row r="97">
      <c r="AA97" t="str">
        <f>IFERROR(INDEX('CAD_UNIDADES'!$C$6:$C$105,MATCH(92,'CAD_UNIDADES'!$N$6:$N$105,0))&amp;"","")</f>
        <v/>
      </c>
      <c r="AB97" t="str">
        <f>IFERROR(INDEX('CAD_PARCEIROS'!$P$6:$P$205,MATCH(92,'CAD_PARCEIROS'!$S$6:$S$205,0))&amp;"","")</f>
        <v/>
      </c>
      <c r="AC97" t="str">
        <f>IFERROR(INDEX('CAD_PARCEIROS'!$P$6:$P$205,MATCH(92,'CAD_PARCEIROS'!$U$6:$U$205,0))&amp;"","")</f>
        <v/>
      </c>
      <c r="AD97" t="str">
        <f>IFERROR(INDEX('CAD_RESÍDUOS'!$B$6:$B$205,MATCH(92,'CAD_RESÍDUOS'!$L$6:$L$205,0))&amp;"","")</f>
        <v/>
      </c>
      <c r="AE97" t="str">
        <f>IFERROR(INDEX('MTRs'!$BD$6:$BD$505,MATCH(92,'MTRs'!$BE$6:$BE$505,0))&amp;"","")</f>
        <v/>
      </c>
      <c r="AF97" t="str">
        <f>IFERROR(INDEX('ITENS_MTR'!$AS$6:$AS$1005,MATCH(92,'ITENS_MTR'!$AT$6:$AT$1005,0))&amp;"","")</f>
        <v/>
      </c>
      <c r="AG97" t="str">
        <f>IFERROR(INDEX('CDFs'!$Y$6:$Y$505,MATCH(92,'CDFs'!$Z$6:$Z$505,0))&amp;"","")</f>
        <v/>
      </c>
      <c r="AH97" t="str">
        <f>AA96</f>
        <v/>
      </c>
      <c r="AI97" t="str">
        <f>AB96</f>
        <v/>
      </c>
      <c r="AJ97" t="str">
        <f>AC96</f>
        <v/>
      </c>
      <c r="AK97" t="str">
        <f>AD96</f>
        <v/>
      </c>
    </row>
    <row r="98">
      <c r="AA98" t="str">
        <f>IFERROR(INDEX('CAD_UNIDADES'!$C$6:$C$105,MATCH(93,'CAD_UNIDADES'!$N$6:$N$105,0))&amp;"","")</f>
        <v/>
      </c>
      <c r="AB98" t="str">
        <f>IFERROR(INDEX('CAD_PARCEIROS'!$P$6:$P$205,MATCH(93,'CAD_PARCEIROS'!$S$6:$S$205,0))&amp;"","")</f>
        <v/>
      </c>
      <c r="AC98" t="str">
        <f>IFERROR(INDEX('CAD_PARCEIROS'!$P$6:$P$205,MATCH(93,'CAD_PARCEIROS'!$U$6:$U$205,0))&amp;"","")</f>
        <v/>
      </c>
      <c r="AD98" t="str">
        <f>IFERROR(INDEX('CAD_RESÍDUOS'!$B$6:$B$205,MATCH(93,'CAD_RESÍDUOS'!$L$6:$L$205,0))&amp;"","")</f>
        <v/>
      </c>
      <c r="AE98" t="str">
        <f>IFERROR(INDEX('MTRs'!$BD$6:$BD$505,MATCH(93,'MTRs'!$BE$6:$BE$505,0))&amp;"","")</f>
        <v/>
      </c>
      <c r="AF98" t="str">
        <f>IFERROR(INDEX('ITENS_MTR'!$AS$6:$AS$1005,MATCH(93,'ITENS_MTR'!$AT$6:$AT$1005,0))&amp;"","")</f>
        <v/>
      </c>
      <c r="AG98" t="str">
        <f>IFERROR(INDEX('CDFs'!$Y$6:$Y$505,MATCH(93,'CDFs'!$Z$6:$Z$505,0))&amp;"","")</f>
        <v/>
      </c>
      <c r="AH98" t="str">
        <f>AA97</f>
        <v/>
      </c>
      <c r="AI98" t="str">
        <f>AB97</f>
        <v/>
      </c>
      <c r="AJ98" t="str">
        <f>AC97</f>
        <v/>
      </c>
      <c r="AK98" t="str">
        <f>AD97</f>
        <v/>
      </c>
    </row>
    <row r="99">
      <c r="AA99" t="str">
        <f>IFERROR(INDEX('CAD_UNIDADES'!$C$6:$C$105,MATCH(94,'CAD_UNIDADES'!$N$6:$N$105,0))&amp;"","")</f>
        <v/>
      </c>
      <c r="AB99" t="str">
        <f>IFERROR(INDEX('CAD_PARCEIROS'!$P$6:$P$205,MATCH(94,'CAD_PARCEIROS'!$S$6:$S$205,0))&amp;"","")</f>
        <v/>
      </c>
      <c r="AC99" t="str">
        <f>IFERROR(INDEX('CAD_PARCEIROS'!$P$6:$P$205,MATCH(94,'CAD_PARCEIROS'!$U$6:$U$205,0))&amp;"","")</f>
        <v/>
      </c>
      <c r="AD99" t="str">
        <f>IFERROR(INDEX('CAD_RESÍDUOS'!$B$6:$B$205,MATCH(94,'CAD_RESÍDUOS'!$L$6:$L$205,0))&amp;"","")</f>
        <v/>
      </c>
      <c r="AE99" t="str">
        <f>IFERROR(INDEX('MTRs'!$BD$6:$BD$505,MATCH(94,'MTRs'!$BE$6:$BE$505,0))&amp;"","")</f>
        <v/>
      </c>
      <c r="AF99" t="str">
        <f>IFERROR(INDEX('ITENS_MTR'!$AS$6:$AS$1005,MATCH(94,'ITENS_MTR'!$AT$6:$AT$1005,0))&amp;"","")</f>
        <v/>
      </c>
      <c r="AG99" t="str">
        <f>IFERROR(INDEX('CDFs'!$Y$6:$Y$505,MATCH(94,'CDFs'!$Z$6:$Z$505,0))&amp;"","")</f>
        <v/>
      </c>
      <c r="AH99" t="str">
        <f>AA98</f>
        <v/>
      </c>
      <c r="AI99" t="str">
        <f>AB98</f>
        <v/>
      </c>
      <c r="AJ99" t="str">
        <f>AC98</f>
        <v/>
      </c>
      <c r="AK99" t="str">
        <f>AD98</f>
        <v/>
      </c>
    </row>
    <row r="100">
      <c r="AA100" t="str">
        <f>IFERROR(INDEX('CAD_UNIDADES'!$C$6:$C$105,MATCH(95,'CAD_UNIDADES'!$N$6:$N$105,0))&amp;"","")</f>
        <v/>
      </c>
      <c r="AB100" t="str">
        <f>IFERROR(INDEX('CAD_PARCEIROS'!$P$6:$P$205,MATCH(95,'CAD_PARCEIROS'!$S$6:$S$205,0))&amp;"","")</f>
        <v/>
      </c>
      <c r="AC100" t="str">
        <f>IFERROR(INDEX('CAD_PARCEIROS'!$P$6:$P$205,MATCH(95,'CAD_PARCEIROS'!$U$6:$U$205,0))&amp;"","")</f>
        <v/>
      </c>
      <c r="AD100" t="str">
        <f>IFERROR(INDEX('CAD_RESÍDUOS'!$B$6:$B$205,MATCH(95,'CAD_RESÍDUOS'!$L$6:$L$205,0))&amp;"","")</f>
        <v/>
      </c>
      <c r="AE100" t="str">
        <f>IFERROR(INDEX('MTRs'!$BD$6:$BD$505,MATCH(95,'MTRs'!$BE$6:$BE$505,0))&amp;"","")</f>
        <v/>
      </c>
      <c r="AF100" t="str">
        <f>IFERROR(INDEX('ITENS_MTR'!$AS$6:$AS$1005,MATCH(95,'ITENS_MTR'!$AT$6:$AT$1005,0))&amp;"","")</f>
        <v/>
      </c>
      <c r="AG100" t="str">
        <f>IFERROR(INDEX('CDFs'!$Y$6:$Y$505,MATCH(95,'CDFs'!$Z$6:$Z$505,0))&amp;"","")</f>
        <v/>
      </c>
      <c r="AH100" t="str">
        <f>AA99</f>
        <v/>
      </c>
      <c r="AI100" t="str">
        <f>AB99</f>
        <v/>
      </c>
      <c r="AJ100" t="str">
        <f>AC99</f>
        <v/>
      </c>
      <c r="AK100" t="str">
        <f>AD99</f>
        <v/>
      </c>
    </row>
    <row r="101">
      <c r="AA101" t="str">
        <f>IFERROR(INDEX('CAD_UNIDADES'!$C$6:$C$105,MATCH(96,'CAD_UNIDADES'!$N$6:$N$105,0))&amp;"","")</f>
        <v/>
      </c>
      <c r="AB101" t="str">
        <f>IFERROR(INDEX('CAD_PARCEIROS'!$P$6:$P$205,MATCH(96,'CAD_PARCEIROS'!$S$6:$S$205,0))&amp;"","")</f>
        <v/>
      </c>
      <c r="AC101" t="str">
        <f>IFERROR(INDEX('CAD_PARCEIROS'!$P$6:$P$205,MATCH(96,'CAD_PARCEIROS'!$U$6:$U$205,0))&amp;"","")</f>
        <v/>
      </c>
      <c r="AD101" t="str">
        <f>IFERROR(INDEX('CAD_RESÍDUOS'!$B$6:$B$205,MATCH(96,'CAD_RESÍDUOS'!$L$6:$L$205,0))&amp;"","")</f>
        <v/>
      </c>
      <c r="AE101" t="str">
        <f>IFERROR(INDEX('MTRs'!$BD$6:$BD$505,MATCH(96,'MTRs'!$BE$6:$BE$505,0))&amp;"","")</f>
        <v/>
      </c>
      <c r="AF101" t="str">
        <f>IFERROR(INDEX('ITENS_MTR'!$AS$6:$AS$1005,MATCH(96,'ITENS_MTR'!$AT$6:$AT$1005,0))&amp;"","")</f>
        <v/>
      </c>
      <c r="AG101" t="str">
        <f>IFERROR(INDEX('CDFs'!$Y$6:$Y$505,MATCH(96,'CDFs'!$Z$6:$Z$505,0))&amp;"","")</f>
        <v/>
      </c>
      <c r="AH101" t="str">
        <f>AA100</f>
        <v/>
      </c>
      <c r="AI101" t="str">
        <f>AB100</f>
        <v/>
      </c>
      <c r="AJ101" t="str">
        <f>AC100</f>
        <v/>
      </c>
      <c r="AK101" t="str">
        <f>AD100</f>
        <v/>
      </c>
    </row>
    <row r="102">
      <c r="AA102" t="str">
        <f>IFERROR(INDEX('CAD_UNIDADES'!$C$6:$C$105,MATCH(97,'CAD_UNIDADES'!$N$6:$N$105,0))&amp;"","")</f>
        <v/>
      </c>
      <c r="AB102" t="str">
        <f>IFERROR(INDEX('CAD_PARCEIROS'!$P$6:$P$205,MATCH(97,'CAD_PARCEIROS'!$S$6:$S$205,0))&amp;"","")</f>
        <v/>
      </c>
      <c r="AC102" t="str">
        <f>IFERROR(INDEX('CAD_PARCEIROS'!$P$6:$P$205,MATCH(97,'CAD_PARCEIROS'!$U$6:$U$205,0))&amp;"","")</f>
        <v/>
      </c>
      <c r="AD102" t="str">
        <f>IFERROR(INDEX('CAD_RESÍDUOS'!$B$6:$B$205,MATCH(97,'CAD_RESÍDUOS'!$L$6:$L$205,0))&amp;"","")</f>
        <v/>
      </c>
      <c r="AE102" t="str">
        <f>IFERROR(INDEX('MTRs'!$BD$6:$BD$505,MATCH(97,'MTRs'!$BE$6:$BE$505,0))&amp;"","")</f>
        <v/>
      </c>
      <c r="AF102" t="str">
        <f>IFERROR(INDEX('ITENS_MTR'!$AS$6:$AS$1005,MATCH(97,'ITENS_MTR'!$AT$6:$AT$1005,0))&amp;"","")</f>
        <v/>
      </c>
      <c r="AG102" t="str">
        <f>IFERROR(INDEX('CDFs'!$Y$6:$Y$505,MATCH(97,'CDFs'!$Z$6:$Z$505,0))&amp;"","")</f>
        <v/>
      </c>
      <c r="AH102" t="str">
        <f>AA101</f>
        <v/>
      </c>
      <c r="AI102" t="str">
        <f>AB101</f>
        <v/>
      </c>
      <c r="AJ102" t="str">
        <f>AC101</f>
        <v/>
      </c>
      <c r="AK102" t="str">
        <f>AD101</f>
        <v/>
      </c>
    </row>
    <row r="103">
      <c r="AA103" t="str">
        <f>IFERROR(INDEX('CAD_UNIDADES'!$C$6:$C$105,MATCH(98,'CAD_UNIDADES'!$N$6:$N$105,0))&amp;"","")</f>
        <v/>
      </c>
      <c r="AB103" t="str">
        <f>IFERROR(INDEX('CAD_PARCEIROS'!$P$6:$P$205,MATCH(98,'CAD_PARCEIROS'!$S$6:$S$205,0))&amp;"","")</f>
        <v/>
      </c>
      <c r="AC103" t="str">
        <f>IFERROR(INDEX('CAD_PARCEIROS'!$P$6:$P$205,MATCH(98,'CAD_PARCEIROS'!$U$6:$U$205,0))&amp;"","")</f>
        <v/>
      </c>
      <c r="AD103" t="str">
        <f>IFERROR(INDEX('CAD_RESÍDUOS'!$B$6:$B$205,MATCH(98,'CAD_RESÍDUOS'!$L$6:$L$205,0))&amp;"","")</f>
        <v/>
      </c>
      <c r="AE103" t="str">
        <f>IFERROR(INDEX('MTRs'!$BD$6:$BD$505,MATCH(98,'MTRs'!$BE$6:$BE$505,0))&amp;"","")</f>
        <v/>
      </c>
      <c r="AF103" t="str">
        <f>IFERROR(INDEX('ITENS_MTR'!$AS$6:$AS$1005,MATCH(98,'ITENS_MTR'!$AT$6:$AT$1005,0))&amp;"","")</f>
        <v/>
      </c>
      <c r="AG103" t="str">
        <f>IFERROR(INDEX('CDFs'!$Y$6:$Y$505,MATCH(98,'CDFs'!$Z$6:$Z$505,0))&amp;"","")</f>
        <v/>
      </c>
      <c r="AH103" t="str">
        <f>AA102</f>
        <v/>
      </c>
      <c r="AI103" t="str">
        <f>AB102</f>
        <v/>
      </c>
      <c r="AJ103" t="str">
        <f>AC102</f>
        <v/>
      </c>
      <c r="AK103" t="str">
        <f>AD102</f>
        <v/>
      </c>
    </row>
    <row r="104">
      <c r="AA104" t="str">
        <f>IFERROR(INDEX('CAD_UNIDADES'!$C$6:$C$105,MATCH(99,'CAD_UNIDADES'!$N$6:$N$105,0))&amp;"","")</f>
        <v/>
      </c>
      <c r="AB104" t="str">
        <f>IFERROR(INDEX('CAD_PARCEIROS'!$P$6:$P$205,MATCH(99,'CAD_PARCEIROS'!$S$6:$S$205,0))&amp;"","")</f>
        <v/>
      </c>
      <c r="AC104" t="str">
        <f>IFERROR(INDEX('CAD_PARCEIROS'!$P$6:$P$205,MATCH(99,'CAD_PARCEIROS'!$U$6:$U$205,0))&amp;"","")</f>
        <v/>
      </c>
      <c r="AD104" t="str">
        <f>IFERROR(INDEX('CAD_RESÍDUOS'!$B$6:$B$205,MATCH(99,'CAD_RESÍDUOS'!$L$6:$L$205,0))&amp;"","")</f>
        <v/>
      </c>
      <c r="AE104" t="str">
        <f>IFERROR(INDEX('MTRs'!$BD$6:$BD$505,MATCH(99,'MTRs'!$BE$6:$BE$505,0))&amp;"","")</f>
        <v/>
      </c>
      <c r="AF104" t="str">
        <f>IFERROR(INDEX('ITENS_MTR'!$AS$6:$AS$1005,MATCH(99,'ITENS_MTR'!$AT$6:$AT$1005,0))&amp;"","")</f>
        <v/>
      </c>
      <c r="AG104" t="str">
        <f>IFERROR(INDEX('CDFs'!$Y$6:$Y$505,MATCH(99,'CDFs'!$Z$6:$Z$505,0))&amp;"","")</f>
        <v/>
      </c>
      <c r="AH104" t="str">
        <f>AA103</f>
        <v/>
      </c>
      <c r="AI104" t="str">
        <f>AB103</f>
        <v/>
      </c>
      <c r="AJ104" t="str">
        <f>AC103</f>
        <v/>
      </c>
      <c r="AK104" t="str">
        <f>AD103</f>
        <v/>
      </c>
    </row>
    <row r="105">
      <c r="AA105" t="str">
        <f>IFERROR(INDEX('CAD_UNIDADES'!$C$6:$C$105,MATCH(100,'CAD_UNIDADES'!$N$6:$N$105,0))&amp;"","")</f>
        <v/>
      </c>
      <c r="AB105" t="str">
        <f>IFERROR(INDEX('CAD_PARCEIROS'!$P$6:$P$205,MATCH(100,'CAD_PARCEIROS'!$S$6:$S$205,0))&amp;"","")</f>
        <v/>
      </c>
      <c r="AC105" t="str">
        <f>IFERROR(INDEX('CAD_PARCEIROS'!$P$6:$P$205,MATCH(100,'CAD_PARCEIROS'!$U$6:$U$205,0))&amp;"","")</f>
        <v/>
      </c>
      <c r="AD105" t="str">
        <f>IFERROR(INDEX('CAD_RESÍDUOS'!$B$6:$B$205,MATCH(100,'CAD_RESÍDUOS'!$L$6:$L$205,0))&amp;"","")</f>
        <v/>
      </c>
      <c r="AE105" t="str">
        <f>IFERROR(INDEX('MTRs'!$BD$6:$BD$505,MATCH(100,'MTRs'!$BE$6:$BE$505,0))&amp;"","")</f>
        <v/>
      </c>
      <c r="AF105" t="str">
        <f>IFERROR(INDEX('ITENS_MTR'!$AS$6:$AS$1005,MATCH(100,'ITENS_MTR'!$AT$6:$AT$1005,0))&amp;"","")</f>
        <v/>
      </c>
      <c r="AG105" t="str">
        <f>IFERROR(INDEX('CDFs'!$Y$6:$Y$505,MATCH(100,'CDFs'!$Z$6:$Z$505,0))&amp;"","")</f>
        <v/>
      </c>
      <c r="AH105" t="str">
        <f>AA104</f>
        <v/>
      </c>
      <c r="AI105" t="str">
        <f>AB104</f>
        <v/>
      </c>
      <c r="AJ105" t="str">
        <f>AC104</f>
        <v/>
      </c>
      <c r="AK105" t="str">
        <f>AD104</f>
        <v/>
      </c>
    </row>
    <row r="106">
      <c r="AB106" t="str">
        <f>IFERROR(INDEX('CAD_PARCEIROS'!$P$6:$P$205,MATCH(101,'CAD_PARCEIROS'!$S$6:$S$205,0))&amp;"","")</f>
        <v/>
      </c>
      <c r="AC106" t="str">
        <f>IFERROR(INDEX('CAD_PARCEIROS'!$P$6:$P$205,MATCH(101,'CAD_PARCEIROS'!$U$6:$U$205,0))&amp;"","")</f>
        <v/>
      </c>
      <c r="AD106" t="str">
        <f>IFERROR(INDEX('CAD_RESÍDUOS'!$B$6:$B$205,MATCH(101,'CAD_RESÍDUOS'!$L$6:$L$205,0))&amp;"","")</f>
        <v/>
      </c>
      <c r="AE106" t="str">
        <f>IFERROR(INDEX('MTRs'!$BD$6:$BD$505,MATCH(101,'MTRs'!$BE$6:$BE$505,0))&amp;"","")</f>
        <v/>
      </c>
      <c r="AF106" t="str">
        <f>IFERROR(INDEX('ITENS_MTR'!$AS$6:$AS$1005,MATCH(101,'ITENS_MTR'!$AT$6:$AT$1005,0))&amp;"","")</f>
        <v/>
      </c>
      <c r="AG106" t="str">
        <f>IFERROR(INDEX('CDFs'!$Y$6:$Y$505,MATCH(101,'CDFs'!$Z$6:$Z$505,0))&amp;"","")</f>
        <v/>
      </c>
      <c r="AH106" t="str">
        <f>AA105</f>
        <v/>
      </c>
      <c r="AI106" t="str">
        <f>AB105</f>
        <v/>
      </c>
      <c r="AJ106" t="str">
        <f>AC105</f>
        <v/>
      </c>
      <c r="AK106" t="str">
        <f>AD105</f>
        <v/>
      </c>
    </row>
    <row r="107">
      <c r="AB107" t="str">
        <f>IFERROR(INDEX('CAD_PARCEIROS'!$P$6:$P$205,MATCH(102,'CAD_PARCEIROS'!$S$6:$S$205,0))&amp;"","")</f>
        <v/>
      </c>
      <c r="AC107" t="str">
        <f>IFERROR(INDEX('CAD_PARCEIROS'!$P$6:$P$205,MATCH(102,'CAD_PARCEIROS'!$U$6:$U$205,0))&amp;"","")</f>
        <v/>
      </c>
      <c r="AD107" t="str">
        <f>IFERROR(INDEX('CAD_RESÍDUOS'!$B$6:$B$205,MATCH(102,'CAD_RESÍDUOS'!$L$6:$L$205,0))&amp;"","")</f>
        <v/>
      </c>
      <c r="AE107" t="str">
        <f>IFERROR(INDEX('MTRs'!$BD$6:$BD$505,MATCH(102,'MTRs'!$BE$6:$BE$505,0))&amp;"","")</f>
        <v/>
      </c>
      <c r="AF107" t="str">
        <f>IFERROR(INDEX('ITENS_MTR'!$AS$6:$AS$1005,MATCH(102,'ITENS_MTR'!$AT$6:$AT$1005,0))&amp;"","")</f>
        <v/>
      </c>
      <c r="AG107" t="str">
        <f>IFERROR(INDEX('CDFs'!$Y$6:$Y$505,MATCH(102,'CDFs'!$Z$6:$Z$505,0))&amp;"","")</f>
        <v/>
      </c>
      <c r="AI107" t="str">
        <f>AB106</f>
        <v/>
      </c>
      <c r="AJ107" t="str">
        <f>AC106</f>
        <v/>
      </c>
      <c r="AK107" t="str">
        <f>AD106</f>
        <v/>
      </c>
    </row>
    <row r="108">
      <c r="AB108" t="str">
        <f>IFERROR(INDEX('CAD_PARCEIROS'!$P$6:$P$205,MATCH(103,'CAD_PARCEIROS'!$S$6:$S$205,0))&amp;"","")</f>
        <v/>
      </c>
      <c r="AC108" t="str">
        <f>IFERROR(INDEX('CAD_PARCEIROS'!$P$6:$P$205,MATCH(103,'CAD_PARCEIROS'!$U$6:$U$205,0))&amp;"","")</f>
        <v/>
      </c>
      <c r="AD108" t="str">
        <f>IFERROR(INDEX('CAD_RESÍDUOS'!$B$6:$B$205,MATCH(103,'CAD_RESÍDUOS'!$L$6:$L$205,0))&amp;"","")</f>
        <v/>
      </c>
      <c r="AE108" t="str">
        <f>IFERROR(INDEX('MTRs'!$BD$6:$BD$505,MATCH(103,'MTRs'!$BE$6:$BE$505,0))&amp;"","")</f>
        <v/>
      </c>
      <c r="AF108" t="str">
        <f>IFERROR(INDEX('ITENS_MTR'!$AS$6:$AS$1005,MATCH(103,'ITENS_MTR'!$AT$6:$AT$1005,0))&amp;"","")</f>
        <v/>
      </c>
      <c r="AG108" t="str">
        <f>IFERROR(INDEX('CDFs'!$Y$6:$Y$505,MATCH(103,'CDFs'!$Z$6:$Z$505,0))&amp;"","")</f>
        <v/>
      </c>
      <c r="AI108" t="str">
        <f>AB107</f>
        <v/>
      </c>
      <c r="AJ108" t="str">
        <f>AC107</f>
        <v/>
      </c>
      <c r="AK108" t="str">
        <f>AD107</f>
        <v/>
      </c>
    </row>
    <row r="109">
      <c r="AB109" t="str">
        <f>IFERROR(INDEX('CAD_PARCEIROS'!$P$6:$P$205,MATCH(104,'CAD_PARCEIROS'!$S$6:$S$205,0))&amp;"","")</f>
        <v/>
      </c>
      <c r="AC109" t="str">
        <f>IFERROR(INDEX('CAD_PARCEIROS'!$P$6:$P$205,MATCH(104,'CAD_PARCEIROS'!$U$6:$U$205,0))&amp;"","")</f>
        <v/>
      </c>
      <c r="AD109" t="str">
        <f>IFERROR(INDEX('CAD_RESÍDUOS'!$B$6:$B$205,MATCH(104,'CAD_RESÍDUOS'!$L$6:$L$205,0))&amp;"","")</f>
        <v/>
      </c>
      <c r="AE109" t="str">
        <f>IFERROR(INDEX('MTRs'!$BD$6:$BD$505,MATCH(104,'MTRs'!$BE$6:$BE$505,0))&amp;"","")</f>
        <v/>
      </c>
      <c r="AF109" t="str">
        <f>IFERROR(INDEX('ITENS_MTR'!$AS$6:$AS$1005,MATCH(104,'ITENS_MTR'!$AT$6:$AT$1005,0))&amp;"","")</f>
        <v/>
      </c>
      <c r="AG109" t="str">
        <f>IFERROR(INDEX('CDFs'!$Y$6:$Y$505,MATCH(104,'CDFs'!$Z$6:$Z$505,0))&amp;"","")</f>
        <v/>
      </c>
      <c r="AI109" t="str">
        <f>AB108</f>
        <v/>
      </c>
      <c r="AJ109" t="str">
        <f>AC108</f>
        <v/>
      </c>
      <c r="AK109" t="str">
        <f>AD108</f>
        <v/>
      </c>
    </row>
    <row r="110">
      <c r="AB110" t="str">
        <f>IFERROR(INDEX('CAD_PARCEIROS'!$P$6:$P$205,MATCH(105,'CAD_PARCEIROS'!$S$6:$S$205,0))&amp;"","")</f>
        <v/>
      </c>
      <c r="AC110" t="str">
        <f>IFERROR(INDEX('CAD_PARCEIROS'!$P$6:$P$205,MATCH(105,'CAD_PARCEIROS'!$U$6:$U$205,0))&amp;"","")</f>
        <v/>
      </c>
      <c r="AD110" t="str">
        <f>IFERROR(INDEX('CAD_RESÍDUOS'!$B$6:$B$205,MATCH(105,'CAD_RESÍDUOS'!$L$6:$L$205,0))&amp;"","")</f>
        <v/>
      </c>
      <c r="AE110" t="str">
        <f>IFERROR(INDEX('MTRs'!$BD$6:$BD$505,MATCH(105,'MTRs'!$BE$6:$BE$505,0))&amp;"","")</f>
        <v/>
      </c>
      <c r="AF110" t="str">
        <f>IFERROR(INDEX('ITENS_MTR'!$AS$6:$AS$1005,MATCH(105,'ITENS_MTR'!$AT$6:$AT$1005,0))&amp;"","")</f>
        <v/>
      </c>
      <c r="AG110" t="str">
        <f>IFERROR(INDEX('CDFs'!$Y$6:$Y$505,MATCH(105,'CDFs'!$Z$6:$Z$505,0))&amp;"","")</f>
        <v/>
      </c>
      <c r="AI110" t="str">
        <f>AB109</f>
        <v/>
      </c>
      <c r="AJ110" t="str">
        <f>AC109</f>
        <v/>
      </c>
      <c r="AK110" t="str">
        <f>AD109</f>
        <v/>
      </c>
    </row>
    <row r="111">
      <c r="AB111" t="str">
        <f>IFERROR(INDEX('CAD_PARCEIROS'!$P$6:$P$205,MATCH(106,'CAD_PARCEIROS'!$S$6:$S$205,0))&amp;"","")</f>
        <v/>
      </c>
      <c r="AC111" t="str">
        <f>IFERROR(INDEX('CAD_PARCEIROS'!$P$6:$P$205,MATCH(106,'CAD_PARCEIROS'!$U$6:$U$205,0))&amp;"","")</f>
        <v/>
      </c>
      <c r="AD111" t="str">
        <f>IFERROR(INDEX('CAD_RESÍDUOS'!$B$6:$B$205,MATCH(106,'CAD_RESÍDUOS'!$L$6:$L$205,0))&amp;"","")</f>
        <v/>
      </c>
      <c r="AE111" t="str">
        <f>IFERROR(INDEX('MTRs'!$BD$6:$BD$505,MATCH(106,'MTRs'!$BE$6:$BE$505,0))&amp;"","")</f>
        <v/>
      </c>
      <c r="AF111" t="str">
        <f>IFERROR(INDEX('ITENS_MTR'!$AS$6:$AS$1005,MATCH(106,'ITENS_MTR'!$AT$6:$AT$1005,0))&amp;"","")</f>
        <v/>
      </c>
      <c r="AG111" t="str">
        <f>IFERROR(INDEX('CDFs'!$Y$6:$Y$505,MATCH(106,'CDFs'!$Z$6:$Z$505,0))&amp;"","")</f>
        <v/>
      </c>
      <c r="AI111" t="str">
        <f>AB110</f>
        <v/>
      </c>
      <c r="AJ111" t="str">
        <f>AC110</f>
        <v/>
      </c>
      <c r="AK111" t="str">
        <f>AD110</f>
        <v/>
      </c>
    </row>
    <row r="112">
      <c r="AB112" t="str">
        <f>IFERROR(INDEX('CAD_PARCEIROS'!$P$6:$P$205,MATCH(107,'CAD_PARCEIROS'!$S$6:$S$205,0))&amp;"","")</f>
        <v/>
      </c>
      <c r="AC112" t="str">
        <f>IFERROR(INDEX('CAD_PARCEIROS'!$P$6:$P$205,MATCH(107,'CAD_PARCEIROS'!$U$6:$U$205,0))&amp;"","")</f>
        <v/>
      </c>
      <c r="AD112" t="str">
        <f>IFERROR(INDEX('CAD_RESÍDUOS'!$B$6:$B$205,MATCH(107,'CAD_RESÍDUOS'!$L$6:$L$205,0))&amp;"","")</f>
        <v/>
      </c>
      <c r="AE112" t="str">
        <f>IFERROR(INDEX('MTRs'!$BD$6:$BD$505,MATCH(107,'MTRs'!$BE$6:$BE$505,0))&amp;"","")</f>
        <v/>
      </c>
      <c r="AF112" t="str">
        <f>IFERROR(INDEX('ITENS_MTR'!$AS$6:$AS$1005,MATCH(107,'ITENS_MTR'!$AT$6:$AT$1005,0))&amp;"","")</f>
        <v/>
      </c>
      <c r="AG112" t="str">
        <f>IFERROR(INDEX('CDFs'!$Y$6:$Y$505,MATCH(107,'CDFs'!$Z$6:$Z$505,0))&amp;"","")</f>
        <v/>
      </c>
      <c r="AI112" t="str">
        <f>AB111</f>
        <v/>
      </c>
      <c r="AJ112" t="str">
        <f>AC111</f>
        <v/>
      </c>
      <c r="AK112" t="str">
        <f>AD111</f>
        <v/>
      </c>
    </row>
    <row r="113">
      <c r="AB113" t="str">
        <f>IFERROR(INDEX('CAD_PARCEIROS'!$P$6:$P$205,MATCH(108,'CAD_PARCEIROS'!$S$6:$S$205,0))&amp;"","")</f>
        <v/>
      </c>
      <c r="AC113" t="str">
        <f>IFERROR(INDEX('CAD_PARCEIROS'!$P$6:$P$205,MATCH(108,'CAD_PARCEIROS'!$U$6:$U$205,0))&amp;"","")</f>
        <v/>
      </c>
      <c r="AD113" t="str">
        <f>IFERROR(INDEX('CAD_RESÍDUOS'!$B$6:$B$205,MATCH(108,'CAD_RESÍDUOS'!$L$6:$L$205,0))&amp;"","")</f>
        <v/>
      </c>
      <c r="AE113" t="str">
        <f>IFERROR(INDEX('MTRs'!$BD$6:$BD$505,MATCH(108,'MTRs'!$BE$6:$BE$505,0))&amp;"","")</f>
        <v/>
      </c>
      <c r="AF113" t="str">
        <f>IFERROR(INDEX('ITENS_MTR'!$AS$6:$AS$1005,MATCH(108,'ITENS_MTR'!$AT$6:$AT$1005,0))&amp;"","")</f>
        <v/>
      </c>
      <c r="AG113" t="str">
        <f>IFERROR(INDEX('CDFs'!$Y$6:$Y$505,MATCH(108,'CDFs'!$Z$6:$Z$505,0))&amp;"","")</f>
        <v/>
      </c>
      <c r="AI113" t="str">
        <f>AB112</f>
        <v/>
      </c>
      <c r="AJ113" t="str">
        <f>AC112</f>
        <v/>
      </c>
      <c r="AK113" t="str">
        <f>AD112</f>
        <v/>
      </c>
    </row>
    <row r="114">
      <c r="AB114" t="str">
        <f>IFERROR(INDEX('CAD_PARCEIROS'!$P$6:$P$205,MATCH(109,'CAD_PARCEIROS'!$S$6:$S$205,0))&amp;"","")</f>
        <v/>
      </c>
      <c r="AC114" t="str">
        <f>IFERROR(INDEX('CAD_PARCEIROS'!$P$6:$P$205,MATCH(109,'CAD_PARCEIROS'!$U$6:$U$205,0))&amp;"","")</f>
        <v/>
      </c>
      <c r="AD114" t="str">
        <f>IFERROR(INDEX('CAD_RESÍDUOS'!$B$6:$B$205,MATCH(109,'CAD_RESÍDUOS'!$L$6:$L$205,0))&amp;"","")</f>
        <v/>
      </c>
      <c r="AE114" t="str">
        <f>IFERROR(INDEX('MTRs'!$BD$6:$BD$505,MATCH(109,'MTRs'!$BE$6:$BE$505,0))&amp;"","")</f>
        <v/>
      </c>
      <c r="AF114" t="str">
        <f>IFERROR(INDEX('ITENS_MTR'!$AS$6:$AS$1005,MATCH(109,'ITENS_MTR'!$AT$6:$AT$1005,0))&amp;"","")</f>
        <v/>
      </c>
      <c r="AG114" t="str">
        <f>IFERROR(INDEX('CDFs'!$Y$6:$Y$505,MATCH(109,'CDFs'!$Z$6:$Z$505,0))&amp;"","")</f>
        <v/>
      </c>
      <c r="AI114" t="str">
        <f>AB113</f>
        <v/>
      </c>
      <c r="AJ114" t="str">
        <f>AC113</f>
        <v/>
      </c>
      <c r="AK114" t="str">
        <f>AD113</f>
        <v/>
      </c>
    </row>
    <row r="115">
      <c r="AB115" t="str">
        <f>IFERROR(INDEX('CAD_PARCEIROS'!$P$6:$P$205,MATCH(110,'CAD_PARCEIROS'!$S$6:$S$205,0))&amp;"","")</f>
        <v/>
      </c>
      <c r="AC115" t="str">
        <f>IFERROR(INDEX('CAD_PARCEIROS'!$P$6:$P$205,MATCH(110,'CAD_PARCEIROS'!$U$6:$U$205,0))&amp;"","")</f>
        <v/>
      </c>
      <c r="AD115" t="str">
        <f>IFERROR(INDEX('CAD_RESÍDUOS'!$B$6:$B$205,MATCH(110,'CAD_RESÍDUOS'!$L$6:$L$205,0))&amp;"","")</f>
        <v/>
      </c>
      <c r="AE115" t="str">
        <f>IFERROR(INDEX('MTRs'!$BD$6:$BD$505,MATCH(110,'MTRs'!$BE$6:$BE$505,0))&amp;"","")</f>
        <v/>
      </c>
      <c r="AF115" t="str">
        <f>IFERROR(INDEX('ITENS_MTR'!$AS$6:$AS$1005,MATCH(110,'ITENS_MTR'!$AT$6:$AT$1005,0))&amp;"","")</f>
        <v/>
      </c>
      <c r="AG115" t="str">
        <f>IFERROR(INDEX('CDFs'!$Y$6:$Y$505,MATCH(110,'CDFs'!$Z$6:$Z$505,0))&amp;"","")</f>
        <v/>
      </c>
      <c r="AI115" t="str">
        <f>AB114</f>
        <v/>
      </c>
      <c r="AJ115" t="str">
        <f>AC114</f>
        <v/>
      </c>
      <c r="AK115" t="str">
        <f>AD114</f>
        <v/>
      </c>
    </row>
    <row r="116">
      <c r="AB116" t="str">
        <f>IFERROR(INDEX('CAD_PARCEIROS'!$P$6:$P$205,MATCH(111,'CAD_PARCEIROS'!$S$6:$S$205,0))&amp;"","")</f>
        <v/>
      </c>
      <c r="AC116" t="str">
        <f>IFERROR(INDEX('CAD_PARCEIROS'!$P$6:$P$205,MATCH(111,'CAD_PARCEIROS'!$U$6:$U$205,0))&amp;"","")</f>
        <v/>
      </c>
      <c r="AD116" t="str">
        <f>IFERROR(INDEX('CAD_RESÍDUOS'!$B$6:$B$205,MATCH(111,'CAD_RESÍDUOS'!$L$6:$L$205,0))&amp;"","")</f>
        <v/>
      </c>
      <c r="AE116" t="str">
        <f>IFERROR(INDEX('MTRs'!$BD$6:$BD$505,MATCH(111,'MTRs'!$BE$6:$BE$505,0))&amp;"","")</f>
        <v/>
      </c>
      <c r="AF116" t="str">
        <f>IFERROR(INDEX('ITENS_MTR'!$AS$6:$AS$1005,MATCH(111,'ITENS_MTR'!$AT$6:$AT$1005,0))&amp;"","")</f>
        <v/>
      </c>
      <c r="AG116" t="str">
        <f>IFERROR(INDEX('CDFs'!$Y$6:$Y$505,MATCH(111,'CDFs'!$Z$6:$Z$505,0))&amp;"","")</f>
        <v/>
      </c>
      <c r="AI116" t="str">
        <f>AB115</f>
        <v/>
      </c>
      <c r="AJ116" t="str">
        <f>AC115</f>
        <v/>
      </c>
      <c r="AK116" t="str">
        <f>AD115</f>
        <v/>
      </c>
    </row>
    <row r="117">
      <c r="AB117" t="str">
        <f>IFERROR(INDEX('CAD_PARCEIROS'!$P$6:$P$205,MATCH(112,'CAD_PARCEIROS'!$S$6:$S$205,0))&amp;"","")</f>
        <v/>
      </c>
      <c r="AC117" t="str">
        <f>IFERROR(INDEX('CAD_PARCEIROS'!$P$6:$P$205,MATCH(112,'CAD_PARCEIROS'!$U$6:$U$205,0))&amp;"","")</f>
        <v/>
      </c>
      <c r="AD117" t="str">
        <f>IFERROR(INDEX('CAD_RESÍDUOS'!$B$6:$B$205,MATCH(112,'CAD_RESÍDUOS'!$L$6:$L$205,0))&amp;"","")</f>
        <v/>
      </c>
      <c r="AE117" t="str">
        <f>IFERROR(INDEX('MTRs'!$BD$6:$BD$505,MATCH(112,'MTRs'!$BE$6:$BE$505,0))&amp;"","")</f>
        <v/>
      </c>
      <c r="AF117" t="str">
        <f>IFERROR(INDEX('ITENS_MTR'!$AS$6:$AS$1005,MATCH(112,'ITENS_MTR'!$AT$6:$AT$1005,0))&amp;"","")</f>
        <v/>
      </c>
      <c r="AG117" t="str">
        <f>IFERROR(INDEX('CDFs'!$Y$6:$Y$505,MATCH(112,'CDFs'!$Z$6:$Z$505,0))&amp;"","")</f>
        <v/>
      </c>
      <c r="AI117" t="str">
        <f>AB116</f>
        <v/>
      </c>
      <c r="AJ117" t="str">
        <f>AC116</f>
        <v/>
      </c>
      <c r="AK117" t="str">
        <f>AD116</f>
        <v/>
      </c>
    </row>
    <row r="118">
      <c r="AB118" t="str">
        <f>IFERROR(INDEX('CAD_PARCEIROS'!$P$6:$P$205,MATCH(113,'CAD_PARCEIROS'!$S$6:$S$205,0))&amp;"","")</f>
        <v/>
      </c>
      <c r="AC118" t="str">
        <f>IFERROR(INDEX('CAD_PARCEIROS'!$P$6:$P$205,MATCH(113,'CAD_PARCEIROS'!$U$6:$U$205,0))&amp;"","")</f>
        <v/>
      </c>
      <c r="AD118" t="str">
        <f>IFERROR(INDEX('CAD_RESÍDUOS'!$B$6:$B$205,MATCH(113,'CAD_RESÍDUOS'!$L$6:$L$205,0))&amp;"","")</f>
        <v/>
      </c>
      <c r="AE118" t="str">
        <f>IFERROR(INDEX('MTRs'!$BD$6:$BD$505,MATCH(113,'MTRs'!$BE$6:$BE$505,0))&amp;"","")</f>
        <v/>
      </c>
      <c r="AF118" t="str">
        <f>IFERROR(INDEX('ITENS_MTR'!$AS$6:$AS$1005,MATCH(113,'ITENS_MTR'!$AT$6:$AT$1005,0))&amp;"","")</f>
        <v/>
      </c>
      <c r="AG118" t="str">
        <f>IFERROR(INDEX('CDFs'!$Y$6:$Y$505,MATCH(113,'CDFs'!$Z$6:$Z$505,0))&amp;"","")</f>
        <v/>
      </c>
      <c r="AI118" t="str">
        <f>AB117</f>
        <v/>
      </c>
      <c r="AJ118" t="str">
        <f>AC117</f>
        <v/>
      </c>
      <c r="AK118" t="str">
        <f>AD117</f>
        <v/>
      </c>
    </row>
    <row r="119">
      <c r="AB119" t="str">
        <f>IFERROR(INDEX('CAD_PARCEIROS'!$P$6:$P$205,MATCH(114,'CAD_PARCEIROS'!$S$6:$S$205,0))&amp;"","")</f>
        <v/>
      </c>
      <c r="AC119" t="str">
        <f>IFERROR(INDEX('CAD_PARCEIROS'!$P$6:$P$205,MATCH(114,'CAD_PARCEIROS'!$U$6:$U$205,0))&amp;"","")</f>
        <v/>
      </c>
      <c r="AD119" t="str">
        <f>IFERROR(INDEX('CAD_RESÍDUOS'!$B$6:$B$205,MATCH(114,'CAD_RESÍDUOS'!$L$6:$L$205,0))&amp;"","")</f>
        <v/>
      </c>
      <c r="AE119" t="str">
        <f>IFERROR(INDEX('MTRs'!$BD$6:$BD$505,MATCH(114,'MTRs'!$BE$6:$BE$505,0))&amp;"","")</f>
        <v/>
      </c>
      <c r="AF119" t="str">
        <f>IFERROR(INDEX('ITENS_MTR'!$AS$6:$AS$1005,MATCH(114,'ITENS_MTR'!$AT$6:$AT$1005,0))&amp;"","")</f>
        <v/>
      </c>
      <c r="AG119" t="str">
        <f>IFERROR(INDEX('CDFs'!$Y$6:$Y$505,MATCH(114,'CDFs'!$Z$6:$Z$505,0))&amp;"","")</f>
        <v/>
      </c>
      <c r="AI119" t="str">
        <f>AB118</f>
        <v/>
      </c>
      <c r="AJ119" t="str">
        <f>AC118</f>
        <v/>
      </c>
      <c r="AK119" t="str">
        <f>AD118</f>
        <v/>
      </c>
    </row>
    <row r="120">
      <c r="AB120" t="str">
        <f>IFERROR(INDEX('CAD_PARCEIROS'!$P$6:$P$205,MATCH(115,'CAD_PARCEIROS'!$S$6:$S$205,0))&amp;"","")</f>
        <v/>
      </c>
      <c r="AC120" t="str">
        <f>IFERROR(INDEX('CAD_PARCEIROS'!$P$6:$P$205,MATCH(115,'CAD_PARCEIROS'!$U$6:$U$205,0))&amp;"","")</f>
        <v/>
      </c>
      <c r="AD120" t="str">
        <f>IFERROR(INDEX('CAD_RESÍDUOS'!$B$6:$B$205,MATCH(115,'CAD_RESÍDUOS'!$L$6:$L$205,0))&amp;"","")</f>
        <v/>
      </c>
      <c r="AE120" t="str">
        <f>IFERROR(INDEX('MTRs'!$BD$6:$BD$505,MATCH(115,'MTRs'!$BE$6:$BE$505,0))&amp;"","")</f>
        <v/>
      </c>
      <c r="AF120" t="str">
        <f>IFERROR(INDEX('ITENS_MTR'!$AS$6:$AS$1005,MATCH(115,'ITENS_MTR'!$AT$6:$AT$1005,0))&amp;"","")</f>
        <v/>
      </c>
      <c r="AG120" t="str">
        <f>IFERROR(INDEX('CDFs'!$Y$6:$Y$505,MATCH(115,'CDFs'!$Z$6:$Z$505,0))&amp;"","")</f>
        <v/>
      </c>
      <c r="AI120" t="str">
        <f>AB119</f>
        <v/>
      </c>
      <c r="AJ120" t="str">
        <f>AC119</f>
        <v/>
      </c>
      <c r="AK120" t="str">
        <f>AD119</f>
        <v/>
      </c>
    </row>
    <row r="121">
      <c r="AB121" t="str">
        <f>IFERROR(INDEX('CAD_PARCEIROS'!$P$6:$P$205,MATCH(116,'CAD_PARCEIROS'!$S$6:$S$205,0))&amp;"","")</f>
        <v/>
      </c>
      <c r="AC121" t="str">
        <f>IFERROR(INDEX('CAD_PARCEIROS'!$P$6:$P$205,MATCH(116,'CAD_PARCEIROS'!$U$6:$U$205,0))&amp;"","")</f>
        <v/>
      </c>
      <c r="AD121" t="str">
        <f>IFERROR(INDEX('CAD_RESÍDUOS'!$B$6:$B$205,MATCH(116,'CAD_RESÍDUOS'!$L$6:$L$205,0))&amp;"","")</f>
        <v/>
      </c>
      <c r="AE121" t="str">
        <f>IFERROR(INDEX('MTRs'!$BD$6:$BD$505,MATCH(116,'MTRs'!$BE$6:$BE$505,0))&amp;"","")</f>
        <v/>
      </c>
      <c r="AF121" t="str">
        <f>IFERROR(INDEX('ITENS_MTR'!$AS$6:$AS$1005,MATCH(116,'ITENS_MTR'!$AT$6:$AT$1005,0))&amp;"","")</f>
        <v/>
      </c>
      <c r="AG121" t="str">
        <f>IFERROR(INDEX('CDFs'!$Y$6:$Y$505,MATCH(116,'CDFs'!$Z$6:$Z$505,0))&amp;"","")</f>
        <v/>
      </c>
      <c r="AI121" t="str">
        <f>AB120</f>
        <v/>
      </c>
      <c r="AJ121" t="str">
        <f>AC120</f>
        <v/>
      </c>
      <c r="AK121" t="str">
        <f>AD120</f>
        <v/>
      </c>
    </row>
    <row r="122">
      <c r="AB122" t="str">
        <f>IFERROR(INDEX('CAD_PARCEIROS'!$P$6:$P$205,MATCH(117,'CAD_PARCEIROS'!$S$6:$S$205,0))&amp;"","")</f>
        <v/>
      </c>
      <c r="AC122" t="str">
        <f>IFERROR(INDEX('CAD_PARCEIROS'!$P$6:$P$205,MATCH(117,'CAD_PARCEIROS'!$U$6:$U$205,0))&amp;"","")</f>
        <v/>
      </c>
      <c r="AD122" t="str">
        <f>IFERROR(INDEX('CAD_RESÍDUOS'!$B$6:$B$205,MATCH(117,'CAD_RESÍDUOS'!$L$6:$L$205,0))&amp;"","")</f>
        <v/>
      </c>
      <c r="AE122" t="str">
        <f>IFERROR(INDEX('MTRs'!$BD$6:$BD$505,MATCH(117,'MTRs'!$BE$6:$BE$505,0))&amp;"","")</f>
        <v/>
      </c>
      <c r="AF122" t="str">
        <f>IFERROR(INDEX('ITENS_MTR'!$AS$6:$AS$1005,MATCH(117,'ITENS_MTR'!$AT$6:$AT$1005,0))&amp;"","")</f>
        <v/>
      </c>
      <c r="AG122" t="str">
        <f>IFERROR(INDEX('CDFs'!$Y$6:$Y$505,MATCH(117,'CDFs'!$Z$6:$Z$505,0))&amp;"","")</f>
        <v/>
      </c>
      <c r="AI122" t="str">
        <f>AB121</f>
        <v/>
      </c>
      <c r="AJ122" t="str">
        <f>AC121</f>
        <v/>
      </c>
      <c r="AK122" t="str">
        <f>AD121</f>
        <v/>
      </c>
    </row>
    <row r="123">
      <c r="AB123" t="str">
        <f>IFERROR(INDEX('CAD_PARCEIROS'!$P$6:$P$205,MATCH(118,'CAD_PARCEIROS'!$S$6:$S$205,0))&amp;"","")</f>
        <v/>
      </c>
      <c r="AC123" t="str">
        <f>IFERROR(INDEX('CAD_PARCEIROS'!$P$6:$P$205,MATCH(118,'CAD_PARCEIROS'!$U$6:$U$205,0))&amp;"","")</f>
        <v/>
      </c>
      <c r="AD123" t="str">
        <f>IFERROR(INDEX('CAD_RESÍDUOS'!$B$6:$B$205,MATCH(118,'CAD_RESÍDUOS'!$L$6:$L$205,0))&amp;"","")</f>
        <v/>
      </c>
      <c r="AE123" t="str">
        <f>IFERROR(INDEX('MTRs'!$BD$6:$BD$505,MATCH(118,'MTRs'!$BE$6:$BE$505,0))&amp;"","")</f>
        <v/>
      </c>
      <c r="AF123" t="str">
        <f>IFERROR(INDEX('ITENS_MTR'!$AS$6:$AS$1005,MATCH(118,'ITENS_MTR'!$AT$6:$AT$1005,0))&amp;"","")</f>
        <v/>
      </c>
      <c r="AG123" t="str">
        <f>IFERROR(INDEX('CDFs'!$Y$6:$Y$505,MATCH(118,'CDFs'!$Z$6:$Z$505,0))&amp;"","")</f>
        <v/>
      </c>
      <c r="AI123" t="str">
        <f>AB122</f>
        <v/>
      </c>
      <c r="AJ123" t="str">
        <f>AC122</f>
        <v/>
      </c>
      <c r="AK123" t="str">
        <f>AD122</f>
        <v/>
      </c>
    </row>
    <row r="124">
      <c r="AB124" t="str">
        <f>IFERROR(INDEX('CAD_PARCEIROS'!$P$6:$P$205,MATCH(119,'CAD_PARCEIROS'!$S$6:$S$205,0))&amp;"","")</f>
        <v/>
      </c>
      <c r="AC124" t="str">
        <f>IFERROR(INDEX('CAD_PARCEIROS'!$P$6:$P$205,MATCH(119,'CAD_PARCEIROS'!$U$6:$U$205,0))&amp;"","")</f>
        <v/>
      </c>
      <c r="AD124" t="str">
        <f>IFERROR(INDEX('CAD_RESÍDUOS'!$B$6:$B$205,MATCH(119,'CAD_RESÍDUOS'!$L$6:$L$205,0))&amp;"","")</f>
        <v/>
      </c>
      <c r="AE124" t="str">
        <f>IFERROR(INDEX('MTRs'!$BD$6:$BD$505,MATCH(119,'MTRs'!$BE$6:$BE$505,0))&amp;"","")</f>
        <v/>
      </c>
      <c r="AF124" t="str">
        <f>IFERROR(INDEX('ITENS_MTR'!$AS$6:$AS$1005,MATCH(119,'ITENS_MTR'!$AT$6:$AT$1005,0))&amp;"","")</f>
        <v/>
      </c>
      <c r="AG124" t="str">
        <f>IFERROR(INDEX('CDFs'!$Y$6:$Y$505,MATCH(119,'CDFs'!$Z$6:$Z$505,0))&amp;"","")</f>
        <v/>
      </c>
      <c r="AI124" t="str">
        <f>AB123</f>
        <v/>
      </c>
      <c r="AJ124" t="str">
        <f>AC123</f>
        <v/>
      </c>
      <c r="AK124" t="str">
        <f>AD123</f>
        <v/>
      </c>
    </row>
    <row r="125">
      <c r="AB125" t="str">
        <f>IFERROR(INDEX('CAD_PARCEIROS'!$P$6:$P$205,MATCH(120,'CAD_PARCEIROS'!$S$6:$S$205,0))&amp;"","")</f>
        <v/>
      </c>
      <c r="AC125" t="str">
        <f>IFERROR(INDEX('CAD_PARCEIROS'!$P$6:$P$205,MATCH(120,'CAD_PARCEIROS'!$U$6:$U$205,0))&amp;"","")</f>
        <v/>
      </c>
      <c r="AD125" t="str">
        <f>IFERROR(INDEX('CAD_RESÍDUOS'!$B$6:$B$205,MATCH(120,'CAD_RESÍDUOS'!$L$6:$L$205,0))&amp;"","")</f>
        <v/>
      </c>
      <c r="AE125" t="str">
        <f>IFERROR(INDEX('MTRs'!$BD$6:$BD$505,MATCH(120,'MTRs'!$BE$6:$BE$505,0))&amp;"","")</f>
        <v/>
      </c>
      <c r="AF125" t="str">
        <f>IFERROR(INDEX('ITENS_MTR'!$AS$6:$AS$1005,MATCH(120,'ITENS_MTR'!$AT$6:$AT$1005,0))&amp;"","")</f>
        <v/>
      </c>
      <c r="AG125" t="str">
        <f>IFERROR(INDEX('CDFs'!$Y$6:$Y$505,MATCH(120,'CDFs'!$Z$6:$Z$505,0))&amp;"","")</f>
        <v/>
      </c>
      <c r="AI125" t="str">
        <f>AB124</f>
        <v/>
      </c>
      <c r="AJ125" t="str">
        <f>AC124</f>
        <v/>
      </c>
      <c r="AK125" t="str">
        <f>AD124</f>
        <v/>
      </c>
    </row>
    <row r="126">
      <c r="AB126" t="str">
        <f>IFERROR(INDEX('CAD_PARCEIROS'!$P$6:$P$205,MATCH(121,'CAD_PARCEIROS'!$S$6:$S$205,0))&amp;"","")</f>
        <v/>
      </c>
      <c r="AC126" t="str">
        <f>IFERROR(INDEX('CAD_PARCEIROS'!$P$6:$P$205,MATCH(121,'CAD_PARCEIROS'!$U$6:$U$205,0))&amp;"","")</f>
        <v/>
      </c>
      <c r="AD126" t="str">
        <f>IFERROR(INDEX('CAD_RESÍDUOS'!$B$6:$B$205,MATCH(121,'CAD_RESÍDUOS'!$L$6:$L$205,0))&amp;"","")</f>
        <v/>
      </c>
      <c r="AE126" t="str">
        <f>IFERROR(INDEX('MTRs'!$BD$6:$BD$505,MATCH(121,'MTRs'!$BE$6:$BE$505,0))&amp;"","")</f>
        <v/>
      </c>
      <c r="AF126" t="str">
        <f>IFERROR(INDEX('ITENS_MTR'!$AS$6:$AS$1005,MATCH(121,'ITENS_MTR'!$AT$6:$AT$1005,0))&amp;"","")</f>
        <v/>
      </c>
      <c r="AG126" t="str">
        <f>IFERROR(INDEX('CDFs'!$Y$6:$Y$505,MATCH(121,'CDFs'!$Z$6:$Z$505,0))&amp;"","")</f>
        <v/>
      </c>
      <c r="AI126" t="str">
        <f>AB125</f>
        <v/>
      </c>
      <c r="AJ126" t="str">
        <f>AC125</f>
        <v/>
      </c>
      <c r="AK126" t="str">
        <f>AD125</f>
        <v/>
      </c>
    </row>
    <row r="127">
      <c r="AB127" t="str">
        <f>IFERROR(INDEX('CAD_PARCEIROS'!$P$6:$P$205,MATCH(122,'CAD_PARCEIROS'!$S$6:$S$205,0))&amp;"","")</f>
        <v/>
      </c>
      <c r="AC127" t="str">
        <f>IFERROR(INDEX('CAD_PARCEIROS'!$P$6:$P$205,MATCH(122,'CAD_PARCEIROS'!$U$6:$U$205,0))&amp;"","")</f>
        <v/>
      </c>
      <c r="AD127" t="str">
        <f>IFERROR(INDEX('CAD_RESÍDUOS'!$B$6:$B$205,MATCH(122,'CAD_RESÍDUOS'!$L$6:$L$205,0))&amp;"","")</f>
        <v/>
      </c>
      <c r="AE127" t="str">
        <f>IFERROR(INDEX('MTRs'!$BD$6:$BD$505,MATCH(122,'MTRs'!$BE$6:$BE$505,0))&amp;"","")</f>
        <v/>
      </c>
      <c r="AF127" t="str">
        <f>IFERROR(INDEX('ITENS_MTR'!$AS$6:$AS$1005,MATCH(122,'ITENS_MTR'!$AT$6:$AT$1005,0))&amp;"","")</f>
        <v/>
      </c>
      <c r="AG127" t="str">
        <f>IFERROR(INDEX('CDFs'!$Y$6:$Y$505,MATCH(122,'CDFs'!$Z$6:$Z$505,0))&amp;"","")</f>
        <v/>
      </c>
      <c r="AI127" t="str">
        <f>AB126</f>
        <v/>
      </c>
      <c r="AJ127" t="str">
        <f>AC126</f>
        <v/>
      </c>
      <c r="AK127" t="str">
        <f>AD126</f>
        <v/>
      </c>
    </row>
    <row r="128">
      <c r="AB128" t="str">
        <f>IFERROR(INDEX('CAD_PARCEIROS'!$P$6:$P$205,MATCH(123,'CAD_PARCEIROS'!$S$6:$S$205,0))&amp;"","")</f>
        <v/>
      </c>
      <c r="AC128" t="str">
        <f>IFERROR(INDEX('CAD_PARCEIROS'!$P$6:$P$205,MATCH(123,'CAD_PARCEIROS'!$U$6:$U$205,0))&amp;"","")</f>
        <v/>
      </c>
      <c r="AD128" t="str">
        <f>IFERROR(INDEX('CAD_RESÍDUOS'!$B$6:$B$205,MATCH(123,'CAD_RESÍDUOS'!$L$6:$L$205,0))&amp;"","")</f>
        <v/>
      </c>
      <c r="AE128" t="str">
        <f>IFERROR(INDEX('MTRs'!$BD$6:$BD$505,MATCH(123,'MTRs'!$BE$6:$BE$505,0))&amp;"","")</f>
        <v/>
      </c>
      <c r="AF128" t="str">
        <f>IFERROR(INDEX('ITENS_MTR'!$AS$6:$AS$1005,MATCH(123,'ITENS_MTR'!$AT$6:$AT$1005,0))&amp;"","")</f>
        <v/>
      </c>
      <c r="AG128" t="str">
        <f>IFERROR(INDEX('CDFs'!$Y$6:$Y$505,MATCH(123,'CDFs'!$Z$6:$Z$505,0))&amp;"","")</f>
        <v/>
      </c>
      <c r="AI128" t="str">
        <f>AB127</f>
        <v/>
      </c>
      <c r="AJ128" t="str">
        <f>AC127</f>
        <v/>
      </c>
      <c r="AK128" t="str">
        <f>AD127</f>
        <v/>
      </c>
    </row>
    <row r="129">
      <c r="AB129" t="str">
        <f>IFERROR(INDEX('CAD_PARCEIROS'!$P$6:$P$205,MATCH(124,'CAD_PARCEIROS'!$S$6:$S$205,0))&amp;"","")</f>
        <v/>
      </c>
      <c r="AC129" t="str">
        <f>IFERROR(INDEX('CAD_PARCEIROS'!$P$6:$P$205,MATCH(124,'CAD_PARCEIROS'!$U$6:$U$205,0))&amp;"","")</f>
        <v/>
      </c>
      <c r="AD129" t="str">
        <f>IFERROR(INDEX('CAD_RESÍDUOS'!$B$6:$B$205,MATCH(124,'CAD_RESÍDUOS'!$L$6:$L$205,0))&amp;"","")</f>
        <v/>
      </c>
      <c r="AE129" t="str">
        <f>IFERROR(INDEX('MTRs'!$BD$6:$BD$505,MATCH(124,'MTRs'!$BE$6:$BE$505,0))&amp;"","")</f>
        <v/>
      </c>
      <c r="AF129" t="str">
        <f>IFERROR(INDEX('ITENS_MTR'!$AS$6:$AS$1005,MATCH(124,'ITENS_MTR'!$AT$6:$AT$1005,0))&amp;"","")</f>
        <v/>
      </c>
      <c r="AG129" t="str">
        <f>IFERROR(INDEX('CDFs'!$Y$6:$Y$505,MATCH(124,'CDFs'!$Z$6:$Z$505,0))&amp;"","")</f>
        <v/>
      </c>
      <c r="AI129" t="str">
        <f>AB128</f>
        <v/>
      </c>
      <c r="AJ129" t="str">
        <f>AC128</f>
        <v/>
      </c>
      <c r="AK129" t="str">
        <f>AD128</f>
        <v/>
      </c>
    </row>
    <row r="130">
      <c r="AB130" t="str">
        <f>IFERROR(INDEX('CAD_PARCEIROS'!$P$6:$P$205,MATCH(125,'CAD_PARCEIROS'!$S$6:$S$205,0))&amp;"","")</f>
        <v/>
      </c>
      <c r="AC130" t="str">
        <f>IFERROR(INDEX('CAD_PARCEIROS'!$P$6:$P$205,MATCH(125,'CAD_PARCEIROS'!$U$6:$U$205,0))&amp;"","")</f>
        <v/>
      </c>
      <c r="AD130" t="str">
        <f>IFERROR(INDEX('CAD_RESÍDUOS'!$B$6:$B$205,MATCH(125,'CAD_RESÍDUOS'!$L$6:$L$205,0))&amp;"","")</f>
        <v/>
      </c>
      <c r="AE130" t="str">
        <f>IFERROR(INDEX('MTRs'!$BD$6:$BD$505,MATCH(125,'MTRs'!$BE$6:$BE$505,0))&amp;"","")</f>
        <v/>
      </c>
      <c r="AF130" t="str">
        <f>IFERROR(INDEX('ITENS_MTR'!$AS$6:$AS$1005,MATCH(125,'ITENS_MTR'!$AT$6:$AT$1005,0))&amp;"","")</f>
        <v/>
      </c>
      <c r="AG130" t="str">
        <f>IFERROR(INDEX('CDFs'!$Y$6:$Y$505,MATCH(125,'CDFs'!$Z$6:$Z$505,0))&amp;"","")</f>
        <v/>
      </c>
      <c r="AI130" t="str">
        <f>AB129</f>
        <v/>
      </c>
      <c r="AJ130" t="str">
        <f>AC129</f>
        <v/>
      </c>
      <c r="AK130" t="str">
        <f>AD129</f>
        <v/>
      </c>
    </row>
    <row r="131">
      <c r="AB131" t="str">
        <f>IFERROR(INDEX('CAD_PARCEIROS'!$P$6:$P$205,MATCH(126,'CAD_PARCEIROS'!$S$6:$S$205,0))&amp;"","")</f>
        <v/>
      </c>
      <c r="AC131" t="str">
        <f>IFERROR(INDEX('CAD_PARCEIROS'!$P$6:$P$205,MATCH(126,'CAD_PARCEIROS'!$U$6:$U$205,0))&amp;"","")</f>
        <v/>
      </c>
      <c r="AD131" t="str">
        <f>IFERROR(INDEX('CAD_RESÍDUOS'!$B$6:$B$205,MATCH(126,'CAD_RESÍDUOS'!$L$6:$L$205,0))&amp;"","")</f>
        <v/>
      </c>
      <c r="AE131" t="str">
        <f>IFERROR(INDEX('MTRs'!$BD$6:$BD$505,MATCH(126,'MTRs'!$BE$6:$BE$505,0))&amp;"","")</f>
        <v/>
      </c>
      <c r="AF131" t="str">
        <f>IFERROR(INDEX('ITENS_MTR'!$AS$6:$AS$1005,MATCH(126,'ITENS_MTR'!$AT$6:$AT$1005,0))&amp;"","")</f>
        <v/>
      </c>
      <c r="AG131" t="str">
        <f>IFERROR(INDEX('CDFs'!$Y$6:$Y$505,MATCH(126,'CDFs'!$Z$6:$Z$505,0))&amp;"","")</f>
        <v/>
      </c>
      <c r="AI131" t="str">
        <f>AB130</f>
        <v/>
      </c>
      <c r="AJ131" t="str">
        <f>AC130</f>
        <v/>
      </c>
      <c r="AK131" t="str">
        <f>AD130</f>
        <v/>
      </c>
    </row>
    <row r="132">
      <c r="AB132" t="str">
        <f>IFERROR(INDEX('CAD_PARCEIROS'!$P$6:$P$205,MATCH(127,'CAD_PARCEIROS'!$S$6:$S$205,0))&amp;"","")</f>
        <v/>
      </c>
      <c r="AC132" t="str">
        <f>IFERROR(INDEX('CAD_PARCEIROS'!$P$6:$P$205,MATCH(127,'CAD_PARCEIROS'!$U$6:$U$205,0))&amp;"","")</f>
        <v/>
      </c>
      <c r="AD132" t="str">
        <f>IFERROR(INDEX('CAD_RESÍDUOS'!$B$6:$B$205,MATCH(127,'CAD_RESÍDUOS'!$L$6:$L$205,0))&amp;"","")</f>
        <v/>
      </c>
      <c r="AE132" t="str">
        <f>IFERROR(INDEX('MTRs'!$BD$6:$BD$505,MATCH(127,'MTRs'!$BE$6:$BE$505,0))&amp;"","")</f>
        <v/>
      </c>
      <c r="AF132" t="str">
        <f>IFERROR(INDEX('ITENS_MTR'!$AS$6:$AS$1005,MATCH(127,'ITENS_MTR'!$AT$6:$AT$1005,0))&amp;"","")</f>
        <v/>
      </c>
      <c r="AG132" t="str">
        <f>IFERROR(INDEX('CDFs'!$Y$6:$Y$505,MATCH(127,'CDFs'!$Z$6:$Z$505,0))&amp;"","")</f>
        <v/>
      </c>
      <c r="AI132" t="str">
        <f>AB131</f>
        <v/>
      </c>
      <c r="AJ132" t="str">
        <f>AC131</f>
        <v/>
      </c>
      <c r="AK132" t="str">
        <f>AD131</f>
        <v/>
      </c>
    </row>
    <row r="133">
      <c r="AB133" t="str">
        <f>IFERROR(INDEX('CAD_PARCEIROS'!$P$6:$P$205,MATCH(128,'CAD_PARCEIROS'!$S$6:$S$205,0))&amp;"","")</f>
        <v/>
      </c>
      <c r="AC133" t="str">
        <f>IFERROR(INDEX('CAD_PARCEIROS'!$P$6:$P$205,MATCH(128,'CAD_PARCEIROS'!$U$6:$U$205,0))&amp;"","")</f>
        <v/>
      </c>
      <c r="AD133" t="str">
        <f>IFERROR(INDEX('CAD_RESÍDUOS'!$B$6:$B$205,MATCH(128,'CAD_RESÍDUOS'!$L$6:$L$205,0))&amp;"","")</f>
        <v/>
      </c>
      <c r="AE133" t="str">
        <f>IFERROR(INDEX('MTRs'!$BD$6:$BD$505,MATCH(128,'MTRs'!$BE$6:$BE$505,0))&amp;"","")</f>
        <v/>
      </c>
      <c r="AF133" t="str">
        <f>IFERROR(INDEX('ITENS_MTR'!$AS$6:$AS$1005,MATCH(128,'ITENS_MTR'!$AT$6:$AT$1005,0))&amp;"","")</f>
        <v/>
      </c>
      <c r="AG133" t="str">
        <f>IFERROR(INDEX('CDFs'!$Y$6:$Y$505,MATCH(128,'CDFs'!$Z$6:$Z$505,0))&amp;"","")</f>
        <v/>
      </c>
      <c r="AI133" t="str">
        <f>AB132</f>
        <v/>
      </c>
      <c r="AJ133" t="str">
        <f>AC132</f>
        <v/>
      </c>
      <c r="AK133" t="str">
        <f>AD132</f>
        <v/>
      </c>
    </row>
    <row r="134">
      <c r="AB134" t="str">
        <f>IFERROR(INDEX('CAD_PARCEIROS'!$P$6:$P$205,MATCH(129,'CAD_PARCEIROS'!$S$6:$S$205,0))&amp;"","")</f>
        <v/>
      </c>
      <c r="AC134" t="str">
        <f>IFERROR(INDEX('CAD_PARCEIROS'!$P$6:$P$205,MATCH(129,'CAD_PARCEIROS'!$U$6:$U$205,0))&amp;"","")</f>
        <v/>
      </c>
      <c r="AD134" t="str">
        <f>IFERROR(INDEX('CAD_RESÍDUOS'!$B$6:$B$205,MATCH(129,'CAD_RESÍDUOS'!$L$6:$L$205,0))&amp;"","")</f>
        <v/>
      </c>
      <c r="AE134" t="str">
        <f>IFERROR(INDEX('MTRs'!$BD$6:$BD$505,MATCH(129,'MTRs'!$BE$6:$BE$505,0))&amp;"","")</f>
        <v/>
      </c>
      <c r="AF134" t="str">
        <f>IFERROR(INDEX('ITENS_MTR'!$AS$6:$AS$1005,MATCH(129,'ITENS_MTR'!$AT$6:$AT$1005,0))&amp;"","")</f>
        <v/>
      </c>
      <c r="AG134" t="str">
        <f>IFERROR(INDEX('CDFs'!$Y$6:$Y$505,MATCH(129,'CDFs'!$Z$6:$Z$505,0))&amp;"","")</f>
        <v/>
      </c>
      <c r="AI134" t="str">
        <f>AB133</f>
        <v/>
      </c>
      <c r="AJ134" t="str">
        <f>AC133</f>
        <v/>
      </c>
      <c r="AK134" t="str">
        <f>AD133</f>
        <v/>
      </c>
    </row>
    <row r="135">
      <c r="AB135" t="str">
        <f>IFERROR(INDEX('CAD_PARCEIROS'!$P$6:$P$205,MATCH(130,'CAD_PARCEIROS'!$S$6:$S$205,0))&amp;"","")</f>
        <v/>
      </c>
      <c r="AC135" t="str">
        <f>IFERROR(INDEX('CAD_PARCEIROS'!$P$6:$P$205,MATCH(130,'CAD_PARCEIROS'!$U$6:$U$205,0))&amp;"","")</f>
        <v/>
      </c>
      <c r="AD135" t="str">
        <f>IFERROR(INDEX('CAD_RESÍDUOS'!$B$6:$B$205,MATCH(130,'CAD_RESÍDUOS'!$L$6:$L$205,0))&amp;"","")</f>
        <v/>
      </c>
      <c r="AE135" t="str">
        <f>IFERROR(INDEX('MTRs'!$BD$6:$BD$505,MATCH(130,'MTRs'!$BE$6:$BE$505,0))&amp;"","")</f>
        <v/>
      </c>
      <c r="AF135" t="str">
        <f>IFERROR(INDEX('ITENS_MTR'!$AS$6:$AS$1005,MATCH(130,'ITENS_MTR'!$AT$6:$AT$1005,0))&amp;"","")</f>
        <v/>
      </c>
      <c r="AG135" t="str">
        <f>IFERROR(INDEX('CDFs'!$Y$6:$Y$505,MATCH(130,'CDFs'!$Z$6:$Z$505,0))&amp;"","")</f>
        <v/>
      </c>
      <c r="AI135" t="str">
        <f>AB134</f>
        <v/>
      </c>
      <c r="AJ135" t="str">
        <f>AC134</f>
        <v/>
      </c>
      <c r="AK135" t="str">
        <f>AD134</f>
        <v/>
      </c>
    </row>
    <row r="136">
      <c r="AB136" t="str">
        <f>IFERROR(INDEX('CAD_PARCEIROS'!$P$6:$P$205,MATCH(131,'CAD_PARCEIROS'!$S$6:$S$205,0))&amp;"","")</f>
        <v/>
      </c>
      <c r="AC136" t="str">
        <f>IFERROR(INDEX('CAD_PARCEIROS'!$P$6:$P$205,MATCH(131,'CAD_PARCEIROS'!$U$6:$U$205,0))&amp;"","")</f>
        <v/>
      </c>
      <c r="AD136" t="str">
        <f>IFERROR(INDEX('CAD_RESÍDUOS'!$B$6:$B$205,MATCH(131,'CAD_RESÍDUOS'!$L$6:$L$205,0))&amp;"","")</f>
        <v/>
      </c>
      <c r="AE136" t="str">
        <f>IFERROR(INDEX('MTRs'!$BD$6:$BD$505,MATCH(131,'MTRs'!$BE$6:$BE$505,0))&amp;"","")</f>
        <v/>
      </c>
      <c r="AF136" t="str">
        <f>IFERROR(INDEX('ITENS_MTR'!$AS$6:$AS$1005,MATCH(131,'ITENS_MTR'!$AT$6:$AT$1005,0))&amp;"","")</f>
        <v/>
      </c>
      <c r="AG136" t="str">
        <f>IFERROR(INDEX('CDFs'!$Y$6:$Y$505,MATCH(131,'CDFs'!$Z$6:$Z$505,0))&amp;"","")</f>
        <v/>
      </c>
      <c r="AI136" t="str">
        <f>AB135</f>
        <v/>
      </c>
      <c r="AJ136" t="str">
        <f>AC135</f>
        <v/>
      </c>
      <c r="AK136" t="str">
        <f>AD135</f>
        <v/>
      </c>
    </row>
    <row r="137">
      <c r="AB137" t="str">
        <f>IFERROR(INDEX('CAD_PARCEIROS'!$P$6:$P$205,MATCH(132,'CAD_PARCEIROS'!$S$6:$S$205,0))&amp;"","")</f>
        <v/>
      </c>
      <c r="AC137" t="str">
        <f>IFERROR(INDEX('CAD_PARCEIROS'!$P$6:$P$205,MATCH(132,'CAD_PARCEIROS'!$U$6:$U$205,0))&amp;"","")</f>
        <v/>
      </c>
      <c r="AD137" t="str">
        <f>IFERROR(INDEX('CAD_RESÍDUOS'!$B$6:$B$205,MATCH(132,'CAD_RESÍDUOS'!$L$6:$L$205,0))&amp;"","")</f>
        <v/>
      </c>
      <c r="AE137" t="str">
        <f>IFERROR(INDEX('MTRs'!$BD$6:$BD$505,MATCH(132,'MTRs'!$BE$6:$BE$505,0))&amp;"","")</f>
        <v/>
      </c>
      <c r="AF137" t="str">
        <f>IFERROR(INDEX('ITENS_MTR'!$AS$6:$AS$1005,MATCH(132,'ITENS_MTR'!$AT$6:$AT$1005,0))&amp;"","")</f>
        <v/>
      </c>
      <c r="AG137" t="str">
        <f>IFERROR(INDEX('CDFs'!$Y$6:$Y$505,MATCH(132,'CDFs'!$Z$6:$Z$505,0))&amp;"","")</f>
        <v/>
      </c>
      <c r="AI137" t="str">
        <f>AB136</f>
        <v/>
      </c>
      <c r="AJ137" t="str">
        <f>AC136</f>
        <v/>
      </c>
      <c r="AK137" t="str">
        <f>AD136</f>
        <v/>
      </c>
    </row>
    <row r="138">
      <c r="AB138" t="str">
        <f>IFERROR(INDEX('CAD_PARCEIROS'!$P$6:$P$205,MATCH(133,'CAD_PARCEIROS'!$S$6:$S$205,0))&amp;"","")</f>
        <v/>
      </c>
      <c r="AC138" t="str">
        <f>IFERROR(INDEX('CAD_PARCEIROS'!$P$6:$P$205,MATCH(133,'CAD_PARCEIROS'!$U$6:$U$205,0))&amp;"","")</f>
        <v/>
      </c>
      <c r="AD138" t="str">
        <f>IFERROR(INDEX('CAD_RESÍDUOS'!$B$6:$B$205,MATCH(133,'CAD_RESÍDUOS'!$L$6:$L$205,0))&amp;"","")</f>
        <v/>
      </c>
      <c r="AE138" t="str">
        <f>IFERROR(INDEX('MTRs'!$BD$6:$BD$505,MATCH(133,'MTRs'!$BE$6:$BE$505,0))&amp;"","")</f>
        <v/>
      </c>
      <c r="AF138" t="str">
        <f>IFERROR(INDEX('ITENS_MTR'!$AS$6:$AS$1005,MATCH(133,'ITENS_MTR'!$AT$6:$AT$1005,0))&amp;"","")</f>
        <v/>
      </c>
      <c r="AG138" t="str">
        <f>IFERROR(INDEX('CDFs'!$Y$6:$Y$505,MATCH(133,'CDFs'!$Z$6:$Z$505,0))&amp;"","")</f>
        <v/>
      </c>
      <c r="AI138" t="str">
        <f>AB137</f>
        <v/>
      </c>
      <c r="AJ138" t="str">
        <f>AC137</f>
        <v/>
      </c>
      <c r="AK138" t="str">
        <f>AD137</f>
        <v/>
      </c>
    </row>
    <row r="139">
      <c r="AB139" t="str">
        <f>IFERROR(INDEX('CAD_PARCEIROS'!$P$6:$P$205,MATCH(134,'CAD_PARCEIROS'!$S$6:$S$205,0))&amp;"","")</f>
        <v/>
      </c>
      <c r="AC139" t="str">
        <f>IFERROR(INDEX('CAD_PARCEIROS'!$P$6:$P$205,MATCH(134,'CAD_PARCEIROS'!$U$6:$U$205,0))&amp;"","")</f>
        <v/>
      </c>
      <c r="AD139" t="str">
        <f>IFERROR(INDEX('CAD_RESÍDUOS'!$B$6:$B$205,MATCH(134,'CAD_RESÍDUOS'!$L$6:$L$205,0))&amp;"","")</f>
        <v/>
      </c>
      <c r="AE139" t="str">
        <f>IFERROR(INDEX('MTRs'!$BD$6:$BD$505,MATCH(134,'MTRs'!$BE$6:$BE$505,0))&amp;"","")</f>
        <v/>
      </c>
      <c r="AF139" t="str">
        <f>IFERROR(INDEX('ITENS_MTR'!$AS$6:$AS$1005,MATCH(134,'ITENS_MTR'!$AT$6:$AT$1005,0))&amp;"","")</f>
        <v/>
      </c>
      <c r="AG139" t="str">
        <f>IFERROR(INDEX('CDFs'!$Y$6:$Y$505,MATCH(134,'CDFs'!$Z$6:$Z$505,0))&amp;"","")</f>
        <v/>
      </c>
      <c r="AI139" t="str">
        <f>AB138</f>
        <v/>
      </c>
      <c r="AJ139" t="str">
        <f>AC138</f>
        <v/>
      </c>
      <c r="AK139" t="str">
        <f>AD138</f>
        <v/>
      </c>
    </row>
    <row r="140">
      <c r="AB140" t="str">
        <f>IFERROR(INDEX('CAD_PARCEIROS'!$P$6:$P$205,MATCH(135,'CAD_PARCEIROS'!$S$6:$S$205,0))&amp;"","")</f>
        <v/>
      </c>
      <c r="AC140" t="str">
        <f>IFERROR(INDEX('CAD_PARCEIROS'!$P$6:$P$205,MATCH(135,'CAD_PARCEIROS'!$U$6:$U$205,0))&amp;"","")</f>
        <v/>
      </c>
      <c r="AD140" t="str">
        <f>IFERROR(INDEX('CAD_RESÍDUOS'!$B$6:$B$205,MATCH(135,'CAD_RESÍDUOS'!$L$6:$L$205,0))&amp;"","")</f>
        <v/>
      </c>
      <c r="AE140" t="str">
        <f>IFERROR(INDEX('MTRs'!$BD$6:$BD$505,MATCH(135,'MTRs'!$BE$6:$BE$505,0))&amp;"","")</f>
        <v/>
      </c>
      <c r="AF140" t="str">
        <f>IFERROR(INDEX('ITENS_MTR'!$AS$6:$AS$1005,MATCH(135,'ITENS_MTR'!$AT$6:$AT$1005,0))&amp;"","")</f>
        <v/>
      </c>
      <c r="AG140" t="str">
        <f>IFERROR(INDEX('CDFs'!$Y$6:$Y$505,MATCH(135,'CDFs'!$Z$6:$Z$505,0))&amp;"","")</f>
        <v/>
      </c>
      <c r="AI140" t="str">
        <f>AB139</f>
        <v/>
      </c>
      <c r="AJ140" t="str">
        <f>AC139</f>
        <v/>
      </c>
      <c r="AK140" t="str">
        <f>AD139</f>
        <v/>
      </c>
    </row>
    <row r="141">
      <c r="AB141" t="str">
        <f>IFERROR(INDEX('CAD_PARCEIROS'!$P$6:$P$205,MATCH(136,'CAD_PARCEIROS'!$S$6:$S$205,0))&amp;"","")</f>
        <v/>
      </c>
      <c r="AC141" t="str">
        <f>IFERROR(INDEX('CAD_PARCEIROS'!$P$6:$P$205,MATCH(136,'CAD_PARCEIROS'!$U$6:$U$205,0))&amp;"","")</f>
        <v/>
      </c>
      <c r="AD141" t="str">
        <f>IFERROR(INDEX('CAD_RESÍDUOS'!$B$6:$B$205,MATCH(136,'CAD_RESÍDUOS'!$L$6:$L$205,0))&amp;"","")</f>
        <v/>
      </c>
      <c r="AE141" t="str">
        <f>IFERROR(INDEX('MTRs'!$BD$6:$BD$505,MATCH(136,'MTRs'!$BE$6:$BE$505,0))&amp;"","")</f>
        <v/>
      </c>
      <c r="AF141" t="str">
        <f>IFERROR(INDEX('ITENS_MTR'!$AS$6:$AS$1005,MATCH(136,'ITENS_MTR'!$AT$6:$AT$1005,0))&amp;"","")</f>
        <v/>
      </c>
      <c r="AG141" t="str">
        <f>IFERROR(INDEX('CDFs'!$Y$6:$Y$505,MATCH(136,'CDFs'!$Z$6:$Z$505,0))&amp;"","")</f>
        <v/>
      </c>
      <c r="AI141" t="str">
        <f>AB140</f>
        <v/>
      </c>
      <c r="AJ141" t="str">
        <f>AC140</f>
        <v/>
      </c>
      <c r="AK141" t="str">
        <f>AD140</f>
        <v/>
      </c>
    </row>
    <row r="142">
      <c r="AB142" t="str">
        <f>IFERROR(INDEX('CAD_PARCEIROS'!$P$6:$P$205,MATCH(137,'CAD_PARCEIROS'!$S$6:$S$205,0))&amp;"","")</f>
        <v/>
      </c>
      <c r="AC142" t="str">
        <f>IFERROR(INDEX('CAD_PARCEIROS'!$P$6:$P$205,MATCH(137,'CAD_PARCEIROS'!$U$6:$U$205,0))&amp;"","")</f>
        <v/>
      </c>
      <c r="AD142" t="str">
        <f>IFERROR(INDEX('CAD_RESÍDUOS'!$B$6:$B$205,MATCH(137,'CAD_RESÍDUOS'!$L$6:$L$205,0))&amp;"","")</f>
        <v/>
      </c>
      <c r="AE142" t="str">
        <f>IFERROR(INDEX('MTRs'!$BD$6:$BD$505,MATCH(137,'MTRs'!$BE$6:$BE$505,0))&amp;"","")</f>
        <v/>
      </c>
      <c r="AF142" t="str">
        <f>IFERROR(INDEX('ITENS_MTR'!$AS$6:$AS$1005,MATCH(137,'ITENS_MTR'!$AT$6:$AT$1005,0))&amp;"","")</f>
        <v/>
      </c>
      <c r="AG142" t="str">
        <f>IFERROR(INDEX('CDFs'!$Y$6:$Y$505,MATCH(137,'CDFs'!$Z$6:$Z$505,0))&amp;"","")</f>
        <v/>
      </c>
      <c r="AI142" t="str">
        <f>AB141</f>
        <v/>
      </c>
      <c r="AJ142" t="str">
        <f>AC141</f>
        <v/>
      </c>
      <c r="AK142" t="str">
        <f>AD141</f>
        <v/>
      </c>
    </row>
    <row r="143">
      <c r="AB143" t="str">
        <f>IFERROR(INDEX('CAD_PARCEIROS'!$P$6:$P$205,MATCH(138,'CAD_PARCEIROS'!$S$6:$S$205,0))&amp;"","")</f>
        <v/>
      </c>
      <c r="AC143" t="str">
        <f>IFERROR(INDEX('CAD_PARCEIROS'!$P$6:$P$205,MATCH(138,'CAD_PARCEIROS'!$U$6:$U$205,0))&amp;"","")</f>
        <v/>
      </c>
      <c r="AD143" t="str">
        <f>IFERROR(INDEX('CAD_RESÍDUOS'!$B$6:$B$205,MATCH(138,'CAD_RESÍDUOS'!$L$6:$L$205,0))&amp;"","")</f>
        <v/>
      </c>
      <c r="AE143" t="str">
        <f>IFERROR(INDEX('MTRs'!$BD$6:$BD$505,MATCH(138,'MTRs'!$BE$6:$BE$505,0))&amp;"","")</f>
        <v/>
      </c>
      <c r="AF143" t="str">
        <f>IFERROR(INDEX('ITENS_MTR'!$AS$6:$AS$1005,MATCH(138,'ITENS_MTR'!$AT$6:$AT$1005,0))&amp;"","")</f>
        <v/>
      </c>
      <c r="AG143" t="str">
        <f>IFERROR(INDEX('CDFs'!$Y$6:$Y$505,MATCH(138,'CDFs'!$Z$6:$Z$505,0))&amp;"","")</f>
        <v/>
      </c>
      <c r="AI143" t="str">
        <f>AB142</f>
        <v/>
      </c>
      <c r="AJ143" t="str">
        <f>AC142</f>
        <v/>
      </c>
      <c r="AK143" t="str">
        <f>AD142</f>
        <v/>
      </c>
    </row>
    <row r="144">
      <c r="AB144" t="str">
        <f>IFERROR(INDEX('CAD_PARCEIROS'!$P$6:$P$205,MATCH(139,'CAD_PARCEIROS'!$S$6:$S$205,0))&amp;"","")</f>
        <v/>
      </c>
      <c r="AC144" t="str">
        <f>IFERROR(INDEX('CAD_PARCEIROS'!$P$6:$P$205,MATCH(139,'CAD_PARCEIROS'!$U$6:$U$205,0))&amp;"","")</f>
        <v/>
      </c>
      <c r="AD144" t="str">
        <f>IFERROR(INDEX('CAD_RESÍDUOS'!$B$6:$B$205,MATCH(139,'CAD_RESÍDUOS'!$L$6:$L$205,0))&amp;"","")</f>
        <v/>
      </c>
      <c r="AE144" t="str">
        <f>IFERROR(INDEX('MTRs'!$BD$6:$BD$505,MATCH(139,'MTRs'!$BE$6:$BE$505,0))&amp;"","")</f>
        <v/>
      </c>
      <c r="AF144" t="str">
        <f>IFERROR(INDEX('ITENS_MTR'!$AS$6:$AS$1005,MATCH(139,'ITENS_MTR'!$AT$6:$AT$1005,0))&amp;"","")</f>
        <v/>
      </c>
      <c r="AG144" t="str">
        <f>IFERROR(INDEX('CDFs'!$Y$6:$Y$505,MATCH(139,'CDFs'!$Z$6:$Z$505,0))&amp;"","")</f>
        <v/>
      </c>
      <c r="AI144" t="str">
        <f>AB143</f>
        <v/>
      </c>
      <c r="AJ144" t="str">
        <f>AC143</f>
        <v/>
      </c>
      <c r="AK144" t="str">
        <f>AD143</f>
        <v/>
      </c>
    </row>
    <row r="145">
      <c r="AB145" t="str">
        <f>IFERROR(INDEX('CAD_PARCEIROS'!$P$6:$P$205,MATCH(140,'CAD_PARCEIROS'!$S$6:$S$205,0))&amp;"","")</f>
        <v/>
      </c>
      <c r="AC145" t="str">
        <f>IFERROR(INDEX('CAD_PARCEIROS'!$P$6:$P$205,MATCH(140,'CAD_PARCEIROS'!$U$6:$U$205,0))&amp;"","")</f>
        <v/>
      </c>
      <c r="AD145" t="str">
        <f>IFERROR(INDEX('CAD_RESÍDUOS'!$B$6:$B$205,MATCH(140,'CAD_RESÍDUOS'!$L$6:$L$205,0))&amp;"","")</f>
        <v/>
      </c>
      <c r="AE145" t="str">
        <f>IFERROR(INDEX('MTRs'!$BD$6:$BD$505,MATCH(140,'MTRs'!$BE$6:$BE$505,0))&amp;"","")</f>
        <v/>
      </c>
      <c r="AF145" t="str">
        <f>IFERROR(INDEX('ITENS_MTR'!$AS$6:$AS$1005,MATCH(140,'ITENS_MTR'!$AT$6:$AT$1005,0))&amp;"","")</f>
        <v/>
      </c>
      <c r="AG145" t="str">
        <f>IFERROR(INDEX('CDFs'!$Y$6:$Y$505,MATCH(140,'CDFs'!$Z$6:$Z$505,0))&amp;"","")</f>
        <v/>
      </c>
      <c r="AI145" t="str">
        <f>AB144</f>
        <v/>
      </c>
      <c r="AJ145" t="str">
        <f>AC144</f>
        <v/>
      </c>
      <c r="AK145" t="str">
        <f>AD144</f>
        <v/>
      </c>
    </row>
    <row r="146">
      <c r="AB146" t="str">
        <f>IFERROR(INDEX('CAD_PARCEIROS'!$P$6:$P$205,MATCH(141,'CAD_PARCEIROS'!$S$6:$S$205,0))&amp;"","")</f>
        <v/>
      </c>
      <c r="AC146" t="str">
        <f>IFERROR(INDEX('CAD_PARCEIROS'!$P$6:$P$205,MATCH(141,'CAD_PARCEIROS'!$U$6:$U$205,0))&amp;"","")</f>
        <v/>
      </c>
      <c r="AD146" t="str">
        <f>IFERROR(INDEX('CAD_RESÍDUOS'!$B$6:$B$205,MATCH(141,'CAD_RESÍDUOS'!$L$6:$L$205,0))&amp;"","")</f>
        <v/>
      </c>
      <c r="AE146" t="str">
        <f>IFERROR(INDEX('MTRs'!$BD$6:$BD$505,MATCH(141,'MTRs'!$BE$6:$BE$505,0))&amp;"","")</f>
        <v/>
      </c>
      <c r="AF146" t="str">
        <f>IFERROR(INDEX('ITENS_MTR'!$AS$6:$AS$1005,MATCH(141,'ITENS_MTR'!$AT$6:$AT$1005,0))&amp;"","")</f>
        <v/>
      </c>
      <c r="AG146" t="str">
        <f>IFERROR(INDEX('CDFs'!$Y$6:$Y$505,MATCH(141,'CDFs'!$Z$6:$Z$505,0))&amp;"","")</f>
        <v/>
      </c>
      <c r="AI146" t="str">
        <f>AB145</f>
        <v/>
      </c>
      <c r="AJ146" t="str">
        <f>AC145</f>
        <v/>
      </c>
      <c r="AK146" t="str">
        <f>AD145</f>
        <v/>
      </c>
    </row>
    <row r="147">
      <c r="AB147" t="str">
        <f>IFERROR(INDEX('CAD_PARCEIROS'!$P$6:$P$205,MATCH(142,'CAD_PARCEIROS'!$S$6:$S$205,0))&amp;"","")</f>
        <v/>
      </c>
      <c r="AC147" t="str">
        <f>IFERROR(INDEX('CAD_PARCEIROS'!$P$6:$P$205,MATCH(142,'CAD_PARCEIROS'!$U$6:$U$205,0))&amp;"","")</f>
        <v/>
      </c>
      <c r="AD147" t="str">
        <f>IFERROR(INDEX('CAD_RESÍDUOS'!$B$6:$B$205,MATCH(142,'CAD_RESÍDUOS'!$L$6:$L$205,0))&amp;"","")</f>
        <v/>
      </c>
      <c r="AE147" t="str">
        <f>IFERROR(INDEX('MTRs'!$BD$6:$BD$505,MATCH(142,'MTRs'!$BE$6:$BE$505,0))&amp;"","")</f>
        <v/>
      </c>
      <c r="AF147" t="str">
        <f>IFERROR(INDEX('ITENS_MTR'!$AS$6:$AS$1005,MATCH(142,'ITENS_MTR'!$AT$6:$AT$1005,0))&amp;"","")</f>
        <v/>
      </c>
      <c r="AG147" t="str">
        <f>IFERROR(INDEX('CDFs'!$Y$6:$Y$505,MATCH(142,'CDFs'!$Z$6:$Z$505,0))&amp;"","")</f>
        <v/>
      </c>
      <c r="AI147" t="str">
        <f>AB146</f>
        <v/>
      </c>
      <c r="AJ147" t="str">
        <f>AC146</f>
        <v/>
      </c>
      <c r="AK147" t="str">
        <f>AD146</f>
        <v/>
      </c>
    </row>
    <row r="148">
      <c r="AB148" t="str">
        <f>IFERROR(INDEX('CAD_PARCEIROS'!$P$6:$P$205,MATCH(143,'CAD_PARCEIROS'!$S$6:$S$205,0))&amp;"","")</f>
        <v/>
      </c>
      <c r="AC148" t="str">
        <f>IFERROR(INDEX('CAD_PARCEIROS'!$P$6:$P$205,MATCH(143,'CAD_PARCEIROS'!$U$6:$U$205,0))&amp;"","")</f>
        <v/>
      </c>
      <c r="AD148" t="str">
        <f>IFERROR(INDEX('CAD_RESÍDUOS'!$B$6:$B$205,MATCH(143,'CAD_RESÍDUOS'!$L$6:$L$205,0))&amp;"","")</f>
        <v/>
      </c>
      <c r="AE148" t="str">
        <f>IFERROR(INDEX('MTRs'!$BD$6:$BD$505,MATCH(143,'MTRs'!$BE$6:$BE$505,0))&amp;"","")</f>
        <v/>
      </c>
      <c r="AF148" t="str">
        <f>IFERROR(INDEX('ITENS_MTR'!$AS$6:$AS$1005,MATCH(143,'ITENS_MTR'!$AT$6:$AT$1005,0))&amp;"","")</f>
        <v/>
      </c>
      <c r="AG148" t="str">
        <f>IFERROR(INDEX('CDFs'!$Y$6:$Y$505,MATCH(143,'CDFs'!$Z$6:$Z$505,0))&amp;"","")</f>
        <v/>
      </c>
      <c r="AI148" t="str">
        <f>AB147</f>
        <v/>
      </c>
      <c r="AJ148" t="str">
        <f>AC147</f>
        <v/>
      </c>
      <c r="AK148" t="str">
        <f>AD147</f>
        <v/>
      </c>
    </row>
    <row r="149">
      <c r="AB149" t="str">
        <f>IFERROR(INDEX('CAD_PARCEIROS'!$P$6:$P$205,MATCH(144,'CAD_PARCEIROS'!$S$6:$S$205,0))&amp;"","")</f>
        <v/>
      </c>
      <c r="AC149" t="str">
        <f>IFERROR(INDEX('CAD_PARCEIROS'!$P$6:$P$205,MATCH(144,'CAD_PARCEIROS'!$U$6:$U$205,0))&amp;"","")</f>
        <v/>
      </c>
      <c r="AD149" t="str">
        <f>IFERROR(INDEX('CAD_RESÍDUOS'!$B$6:$B$205,MATCH(144,'CAD_RESÍDUOS'!$L$6:$L$205,0))&amp;"","")</f>
        <v/>
      </c>
      <c r="AE149" t="str">
        <f>IFERROR(INDEX('MTRs'!$BD$6:$BD$505,MATCH(144,'MTRs'!$BE$6:$BE$505,0))&amp;"","")</f>
        <v/>
      </c>
      <c r="AF149" t="str">
        <f>IFERROR(INDEX('ITENS_MTR'!$AS$6:$AS$1005,MATCH(144,'ITENS_MTR'!$AT$6:$AT$1005,0))&amp;"","")</f>
        <v/>
      </c>
      <c r="AG149" t="str">
        <f>IFERROR(INDEX('CDFs'!$Y$6:$Y$505,MATCH(144,'CDFs'!$Z$6:$Z$505,0))&amp;"","")</f>
        <v/>
      </c>
      <c r="AI149" t="str">
        <f>AB148</f>
        <v/>
      </c>
      <c r="AJ149" t="str">
        <f>AC148</f>
        <v/>
      </c>
      <c r="AK149" t="str">
        <f>AD148</f>
        <v/>
      </c>
    </row>
    <row r="150">
      <c r="AB150" t="str">
        <f>IFERROR(INDEX('CAD_PARCEIROS'!$P$6:$P$205,MATCH(145,'CAD_PARCEIROS'!$S$6:$S$205,0))&amp;"","")</f>
        <v/>
      </c>
      <c r="AC150" t="str">
        <f>IFERROR(INDEX('CAD_PARCEIROS'!$P$6:$P$205,MATCH(145,'CAD_PARCEIROS'!$U$6:$U$205,0))&amp;"","")</f>
        <v/>
      </c>
      <c r="AD150" t="str">
        <f>IFERROR(INDEX('CAD_RESÍDUOS'!$B$6:$B$205,MATCH(145,'CAD_RESÍDUOS'!$L$6:$L$205,0))&amp;"","")</f>
        <v/>
      </c>
      <c r="AE150" t="str">
        <f>IFERROR(INDEX('MTRs'!$BD$6:$BD$505,MATCH(145,'MTRs'!$BE$6:$BE$505,0))&amp;"","")</f>
        <v/>
      </c>
      <c r="AF150" t="str">
        <f>IFERROR(INDEX('ITENS_MTR'!$AS$6:$AS$1005,MATCH(145,'ITENS_MTR'!$AT$6:$AT$1005,0))&amp;"","")</f>
        <v/>
      </c>
      <c r="AG150" t="str">
        <f>IFERROR(INDEX('CDFs'!$Y$6:$Y$505,MATCH(145,'CDFs'!$Z$6:$Z$505,0))&amp;"","")</f>
        <v/>
      </c>
      <c r="AI150" t="str">
        <f>AB149</f>
        <v/>
      </c>
      <c r="AJ150" t="str">
        <f>AC149</f>
        <v/>
      </c>
      <c r="AK150" t="str">
        <f>AD149</f>
        <v/>
      </c>
    </row>
    <row r="151">
      <c r="AB151" t="str">
        <f>IFERROR(INDEX('CAD_PARCEIROS'!$P$6:$P$205,MATCH(146,'CAD_PARCEIROS'!$S$6:$S$205,0))&amp;"","")</f>
        <v/>
      </c>
      <c r="AC151" t="str">
        <f>IFERROR(INDEX('CAD_PARCEIROS'!$P$6:$P$205,MATCH(146,'CAD_PARCEIROS'!$U$6:$U$205,0))&amp;"","")</f>
        <v/>
      </c>
      <c r="AD151" t="str">
        <f>IFERROR(INDEX('CAD_RESÍDUOS'!$B$6:$B$205,MATCH(146,'CAD_RESÍDUOS'!$L$6:$L$205,0))&amp;"","")</f>
        <v/>
      </c>
      <c r="AE151" t="str">
        <f>IFERROR(INDEX('MTRs'!$BD$6:$BD$505,MATCH(146,'MTRs'!$BE$6:$BE$505,0))&amp;"","")</f>
        <v/>
      </c>
      <c r="AF151" t="str">
        <f>IFERROR(INDEX('ITENS_MTR'!$AS$6:$AS$1005,MATCH(146,'ITENS_MTR'!$AT$6:$AT$1005,0))&amp;"","")</f>
        <v/>
      </c>
      <c r="AG151" t="str">
        <f>IFERROR(INDEX('CDFs'!$Y$6:$Y$505,MATCH(146,'CDFs'!$Z$6:$Z$505,0))&amp;"","")</f>
        <v/>
      </c>
      <c r="AI151" t="str">
        <f>AB150</f>
        <v/>
      </c>
      <c r="AJ151" t="str">
        <f>AC150</f>
        <v/>
      </c>
      <c r="AK151" t="str">
        <f>AD150</f>
        <v/>
      </c>
    </row>
    <row r="152">
      <c r="AB152" t="str">
        <f>IFERROR(INDEX('CAD_PARCEIROS'!$P$6:$P$205,MATCH(147,'CAD_PARCEIROS'!$S$6:$S$205,0))&amp;"","")</f>
        <v/>
      </c>
      <c r="AC152" t="str">
        <f>IFERROR(INDEX('CAD_PARCEIROS'!$P$6:$P$205,MATCH(147,'CAD_PARCEIROS'!$U$6:$U$205,0))&amp;"","")</f>
        <v/>
      </c>
      <c r="AD152" t="str">
        <f>IFERROR(INDEX('CAD_RESÍDUOS'!$B$6:$B$205,MATCH(147,'CAD_RESÍDUOS'!$L$6:$L$205,0))&amp;"","")</f>
        <v/>
      </c>
      <c r="AE152" t="str">
        <f>IFERROR(INDEX('MTRs'!$BD$6:$BD$505,MATCH(147,'MTRs'!$BE$6:$BE$505,0))&amp;"","")</f>
        <v/>
      </c>
      <c r="AF152" t="str">
        <f>IFERROR(INDEX('ITENS_MTR'!$AS$6:$AS$1005,MATCH(147,'ITENS_MTR'!$AT$6:$AT$1005,0))&amp;"","")</f>
        <v/>
      </c>
      <c r="AG152" t="str">
        <f>IFERROR(INDEX('CDFs'!$Y$6:$Y$505,MATCH(147,'CDFs'!$Z$6:$Z$505,0))&amp;"","")</f>
        <v/>
      </c>
      <c r="AI152" t="str">
        <f>AB151</f>
        <v/>
      </c>
      <c r="AJ152" t="str">
        <f>AC151</f>
        <v/>
      </c>
      <c r="AK152" t="str">
        <f>AD151</f>
        <v/>
      </c>
    </row>
    <row r="153">
      <c r="AB153" t="str">
        <f>IFERROR(INDEX('CAD_PARCEIROS'!$P$6:$P$205,MATCH(148,'CAD_PARCEIROS'!$S$6:$S$205,0))&amp;"","")</f>
        <v/>
      </c>
      <c r="AC153" t="str">
        <f>IFERROR(INDEX('CAD_PARCEIROS'!$P$6:$P$205,MATCH(148,'CAD_PARCEIROS'!$U$6:$U$205,0))&amp;"","")</f>
        <v/>
      </c>
      <c r="AD153" t="str">
        <f>IFERROR(INDEX('CAD_RESÍDUOS'!$B$6:$B$205,MATCH(148,'CAD_RESÍDUOS'!$L$6:$L$205,0))&amp;"","")</f>
        <v/>
      </c>
      <c r="AE153" t="str">
        <f>IFERROR(INDEX('MTRs'!$BD$6:$BD$505,MATCH(148,'MTRs'!$BE$6:$BE$505,0))&amp;"","")</f>
        <v/>
      </c>
      <c r="AF153" t="str">
        <f>IFERROR(INDEX('ITENS_MTR'!$AS$6:$AS$1005,MATCH(148,'ITENS_MTR'!$AT$6:$AT$1005,0))&amp;"","")</f>
        <v/>
      </c>
      <c r="AG153" t="str">
        <f>IFERROR(INDEX('CDFs'!$Y$6:$Y$505,MATCH(148,'CDFs'!$Z$6:$Z$505,0))&amp;"","")</f>
        <v/>
      </c>
      <c r="AI153" t="str">
        <f>AB152</f>
        <v/>
      </c>
      <c r="AJ153" t="str">
        <f>AC152</f>
        <v/>
      </c>
      <c r="AK153" t="str">
        <f>AD152</f>
        <v/>
      </c>
    </row>
    <row r="154">
      <c r="AB154" t="str">
        <f>IFERROR(INDEX('CAD_PARCEIROS'!$P$6:$P$205,MATCH(149,'CAD_PARCEIROS'!$S$6:$S$205,0))&amp;"","")</f>
        <v/>
      </c>
      <c r="AC154" t="str">
        <f>IFERROR(INDEX('CAD_PARCEIROS'!$P$6:$P$205,MATCH(149,'CAD_PARCEIROS'!$U$6:$U$205,0))&amp;"","")</f>
        <v/>
      </c>
      <c r="AD154" t="str">
        <f>IFERROR(INDEX('CAD_RESÍDUOS'!$B$6:$B$205,MATCH(149,'CAD_RESÍDUOS'!$L$6:$L$205,0))&amp;"","")</f>
        <v/>
      </c>
      <c r="AE154" t="str">
        <f>IFERROR(INDEX('MTRs'!$BD$6:$BD$505,MATCH(149,'MTRs'!$BE$6:$BE$505,0))&amp;"","")</f>
        <v/>
      </c>
      <c r="AF154" t="str">
        <f>IFERROR(INDEX('ITENS_MTR'!$AS$6:$AS$1005,MATCH(149,'ITENS_MTR'!$AT$6:$AT$1005,0))&amp;"","")</f>
        <v/>
      </c>
      <c r="AG154" t="str">
        <f>IFERROR(INDEX('CDFs'!$Y$6:$Y$505,MATCH(149,'CDFs'!$Z$6:$Z$505,0))&amp;"","")</f>
        <v/>
      </c>
      <c r="AI154" t="str">
        <f>AB153</f>
        <v/>
      </c>
      <c r="AJ154" t="str">
        <f>AC153</f>
        <v/>
      </c>
      <c r="AK154" t="str">
        <f>AD153</f>
        <v/>
      </c>
    </row>
    <row r="155">
      <c r="AB155" t="str">
        <f>IFERROR(INDEX('CAD_PARCEIROS'!$P$6:$P$205,MATCH(150,'CAD_PARCEIROS'!$S$6:$S$205,0))&amp;"","")</f>
        <v/>
      </c>
      <c r="AC155" t="str">
        <f>IFERROR(INDEX('CAD_PARCEIROS'!$P$6:$P$205,MATCH(150,'CAD_PARCEIROS'!$U$6:$U$205,0))&amp;"","")</f>
        <v/>
      </c>
      <c r="AD155" t="str">
        <f>IFERROR(INDEX('CAD_RESÍDUOS'!$B$6:$B$205,MATCH(150,'CAD_RESÍDUOS'!$L$6:$L$205,0))&amp;"","")</f>
        <v/>
      </c>
      <c r="AE155" t="str">
        <f>IFERROR(INDEX('MTRs'!$BD$6:$BD$505,MATCH(150,'MTRs'!$BE$6:$BE$505,0))&amp;"","")</f>
        <v/>
      </c>
      <c r="AF155" t="str">
        <f>IFERROR(INDEX('ITENS_MTR'!$AS$6:$AS$1005,MATCH(150,'ITENS_MTR'!$AT$6:$AT$1005,0))&amp;"","")</f>
        <v/>
      </c>
      <c r="AG155" t="str">
        <f>IFERROR(INDEX('CDFs'!$Y$6:$Y$505,MATCH(150,'CDFs'!$Z$6:$Z$505,0))&amp;"","")</f>
        <v/>
      </c>
      <c r="AI155" t="str">
        <f>AB154</f>
        <v/>
      </c>
      <c r="AJ155" t="str">
        <f>AC154</f>
        <v/>
      </c>
      <c r="AK155" t="str">
        <f>AD154</f>
        <v/>
      </c>
    </row>
    <row r="156">
      <c r="AB156" t="str">
        <f>IFERROR(INDEX('CAD_PARCEIROS'!$P$6:$P$205,MATCH(151,'CAD_PARCEIROS'!$S$6:$S$205,0))&amp;"","")</f>
        <v/>
      </c>
      <c r="AC156" t="str">
        <f>IFERROR(INDEX('CAD_PARCEIROS'!$P$6:$P$205,MATCH(151,'CAD_PARCEIROS'!$U$6:$U$205,0))&amp;"","")</f>
        <v/>
      </c>
      <c r="AD156" t="str">
        <f>IFERROR(INDEX('CAD_RESÍDUOS'!$B$6:$B$205,MATCH(151,'CAD_RESÍDUOS'!$L$6:$L$205,0))&amp;"","")</f>
        <v/>
      </c>
      <c r="AE156" t="str">
        <f>IFERROR(INDEX('MTRs'!$BD$6:$BD$505,MATCH(151,'MTRs'!$BE$6:$BE$505,0))&amp;"","")</f>
        <v/>
      </c>
      <c r="AF156" t="str">
        <f>IFERROR(INDEX('ITENS_MTR'!$AS$6:$AS$1005,MATCH(151,'ITENS_MTR'!$AT$6:$AT$1005,0))&amp;"","")</f>
        <v/>
      </c>
      <c r="AG156" t="str">
        <f>IFERROR(INDEX('CDFs'!$Y$6:$Y$505,MATCH(151,'CDFs'!$Z$6:$Z$505,0))&amp;"","")</f>
        <v/>
      </c>
      <c r="AI156" t="str">
        <f>AB155</f>
        <v/>
      </c>
      <c r="AJ156" t="str">
        <f>AC155</f>
        <v/>
      </c>
      <c r="AK156" t="str">
        <f>AD155</f>
        <v/>
      </c>
    </row>
    <row r="157">
      <c r="AB157" t="str">
        <f>IFERROR(INDEX('CAD_PARCEIROS'!$P$6:$P$205,MATCH(152,'CAD_PARCEIROS'!$S$6:$S$205,0))&amp;"","")</f>
        <v/>
      </c>
      <c r="AC157" t="str">
        <f>IFERROR(INDEX('CAD_PARCEIROS'!$P$6:$P$205,MATCH(152,'CAD_PARCEIROS'!$U$6:$U$205,0))&amp;"","")</f>
        <v/>
      </c>
      <c r="AD157" t="str">
        <f>IFERROR(INDEX('CAD_RESÍDUOS'!$B$6:$B$205,MATCH(152,'CAD_RESÍDUOS'!$L$6:$L$205,0))&amp;"","")</f>
        <v/>
      </c>
      <c r="AE157" t="str">
        <f>IFERROR(INDEX('MTRs'!$BD$6:$BD$505,MATCH(152,'MTRs'!$BE$6:$BE$505,0))&amp;"","")</f>
        <v/>
      </c>
      <c r="AF157" t="str">
        <f>IFERROR(INDEX('ITENS_MTR'!$AS$6:$AS$1005,MATCH(152,'ITENS_MTR'!$AT$6:$AT$1005,0))&amp;"","")</f>
        <v/>
      </c>
      <c r="AG157" t="str">
        <f>IFERROR(INDEX('CDFs'!$Y$6:$Y$505,MATCH(152,'CDFs'!$Z$6:$Z$505,0))&amp;"","")</f>
        <v/>
      </c>
      <c r="AI157" t="str">
        <f>AB156</f>
        <v/>
      </c>
      <c r="AJ157" t="str">
        <f>AC156</f>
        <v/>
      </c>
      <c r="AK157" t="str">
        <f>AD156</f>
        <v/>
      </c>
    </row>
    <row r="158">
      <c r="AB158" t="str">
        <f>IFERROR(INDEX('CAD_PARCEIROS'!$P$6:$P$205,MATCH(153,'CAD_PARCEIROS'!$S$6:$S$205,0))&amp;"","")</f>
        <v/>
      </c>
      <c r="AC158" t="str">
        <f>IFERROR(INDEX('CAD_PARCEIROS'!$P$6:$P$205,MATCH(153,'CAD_PARCEIROS'!$U$6:$U$205,0))&amp;"","")</f>
        <v/>
      </c>
      <c r="AD158" t="str">
        <f>IFERROR(INDEX('CAD_RESÍDUOS'!$B$6:$B$205,MATCH(153,'CAD_RESÍDUOS'!$L$6:$L$205,0))&amp;"","")</f>
        <v/>
      </c>
      <c r="AE158" t="str">
        <f>IFERROR(INDEX('MTRs'!$BD$6:$BD$505,MATCH(153,'MTRs'!$BE$6:$BE$505,0))&amp;"","")</f>
        <v/>
      </c>
      <c r="AF158" t="str">
        <f>IFERROR(INDEX('ITENS_MTR'!$AS$6:$AS$1005,MATCH(153,'ITENS_MTR'!$AT$6:$AT$1005,0))&amp;"","")</f>
        <v/>
      </c>
      <c r="AG158" t="str">
        <f>IFERROR(INDEX('CDFs'!$Y$6:$Y$505,MATCH(153,'CDFs'!$Z$6:$Z$505,0))&amp;"","")</f>
        <v/>
      </c>
      <c r="AI158" t="str">
        <f>AB157</f>
        <v/>
      </c>
      <c r="AJ158" t="str">
        <f>AC157</f>
        <v/>
      </c>
      <c r="AK158" t="str">
        <f>AD157</f>
        <v/>
      </c>
    </row>
    <row r="159">
      <c r="AB159" t="str">
        <f>IFERROR(INDEX('CAD_PARCEIROS'!$P$6:$P$205,MATCH(154,'CAD_PARCEIROS'!$S$6:$S$205,0))&amp;"","")</f>
        <v/>
      </c>
      <c r="AC159" t="str">
        <f>IFERROR(INDEX('CAD_PARCEIROS'!$P$6:$P$205,MATCH(154,'CAD_PARCEIROS'!$U$6:$U$205,0))&amp;"","")</f>
        <v/>
      </c>
      <c r="AD159" t="str">
        <f>IFERROR(INDEX('CAD_RESÍDUOS'!$B$6:$B$205,MATCH(154,'CAD_RESÍDUOS'!$L$6:$L$205,0))&amp;"","")</f>
        <v/>
      </c>
      <c r="AE159" t="str">
        <f>IFERROR(INDEX('MTRs'!$BD$6:$BD$505,MATCH(154,'MTRs'!$BE$6:$BE$505,0))&amp;"","")</f>
        <v/>
      </c>
      <c r="AF159" t="str">
        <f>IFERROR(INDEX('ITENS_MTR'!$AS$6:$AS$1005,MATCH(154,'ITENS_MTR'!$AT$6:$AT$1005,0))&amp;"","")</f>
        <v/>
      </c>
      <c r="AG159" t="str">
        <f>IFERROR(INDEX('CDFs'!$Y$6:$Y$505,MATCH(154,'CDFs'!$Z$6:$Z$505,0))&amp;"","")</f>
        <v/>
      </c>
      <c r="AI159" t="str">
        <f>AB158</f>
        <v/>
      </c>
      <c r="AJ159" t="str">
        <f>AC158</f>
        <v/>
      </c>
      <c r="AK159" t="str">
        <f>AD158</f>
        <v/>
      </c>
    </row>
    <row r="160">
      <c r="AB160" t="str">
        <f>IFERROR(INDEX('CAD_PARCEIROS'!$P$6:$P$205,MATCH(155,'CAD_PARCEIROS'!$S$6:$S$205,0))&amp;"","")</f>
        <v/>
      </c>
      <c r="AC160" t="str">
        <f>IFERROR(INDEX('CAD_PARCEIROS'!$P$6:$P$205,MATCH(155,'CAD_PARCEIROS'!$U$6:$U$205,0))&amp;"","")</f>
        <v/>
      </c>
      <c r="AD160" t="str">
        <f>IFERROR(INDEX('CAD_RESÍDUOS'!$B$6:$B$205,MATCH(155,'CAD_RESÍDUOS'!$L$6:$L$205,0))&amp;"","")</f>
        <v/>
      </c>
      <c r="AE160" t="str">
        <f>IFERROR(INDEX('MTRs'!$BD$6:$BD$505,MATCH(155,'MTRs'!$BE$6:$BE$505,0))&amp;"","")</f>
        <v/>
      </c>
      <c r="AF160" t="str">
        <f>IFERROR(INDEX('ITENS_MTR'!$AS$6:$AS$1005,MATCH(155,'ITENS_MTR'!$AT$6:$AT$1005,0))&amp;"","")</f>
        <v/>
      </c>
      <c r="AG160" t="str">
        <f>IFERROR(INDEX('CDFs'!$Y$6:$Y$505,MATCH(155,'CDFs'!$Z$6:$Z$505,0))&amp;"","")</f>
        <v/>
      </c>
      <c r="AI160" t="str">
        <f>AB159</f>
        <v/>
      </c>
      <c r="AJ160" t="str">
        <f>AC159</f>
        <v/>
      </c>
      <c r="AK160" t="str">
        <f>AD159</f>
        <v/>
      </c>
    </row>
    <row r="161">
      <c r="AB161" t="str">
        <f>IFERROR(INDEX('CAD_PARCEIROS'!$P$6:$P$205,MATCH(156,'CAD_PARCEIROS'!$S$6:$S$205,0))&amp;"","")</f>
        <v/>
      </c>
      <c r="AC161" t="str">
        <f>IFERROR(INDEX('CAD_PARCEIROS'!$P$6:$P$205,MATCH(156,'CAD_PARCEIROS'!$U$6:$U$205,0))&amp;"","")</f>
        <v/>
      </c>
      <c r="AD161" t="str">
        <f>IFERROR(INDEX('CAD_RESÍDUOS'!$B$6:$B$205,MATCH(156,'CAD_RESÍDUOS'!$L$6:$L$205,0))&amp;"","")</f>
        <v/>
      </c>
      <c r="AE161" t="str">
        <f>IFERROR(INDEX('MTRs'!$BD$6:$BD$505,MATCH(156,'MTRs'!$BE$6:$BE$505,0))&amp;"","")</f>
        <v/>
      </c>
      <c r="AF161" t="str">
        <f>IFERROR(INDEX('ITENS_MTR'!$AS$6:$AS$1005,MATCH(156,'ITENS_MTR'!$AT$6:$AT$1005,0))&amp;"","")</f>
        <v/>
      </c>
      <c r="AG161" t="str">
        <f>IFERROR(INDEX('CDFs'!$Y$6:$Y$505,MATCH(156,'CDFs'!$Z$6:$Z$505,0))&amp;"","")</f>
        <v/>
      </c>
      <c r="AI161" t="str">
        <f>AB160</f>
        <v/>
      </c>
      <c r="AJ161" t="str">
        <f>AC160</f>
        <v/>
      </c>
      <c r="AK161" t="str">
        <f>AD160</f>
        <v/>
      </c>
    </row>
    <row r="162">
      <c r="AB162" t="str">
        <f>IFERROR(INDEX('CAD_PARCEIROS'!$P$6:$P$205,MATCH(157,'CAD_PARCEIROS'!$S$6:$S$205,0))&amp;"","")</f>
        <v/>
      </c>
      <c r="AC162" t="str">
        <f>IFERROR(INDEX('CAD_PARCEIROS'!$P$6:$P$205,MATCH(157,'CAD_PARCEIROS'!$U$6:$U$205,0))&amp;"","")</f>
        <v/>
      </c>
      <c r="AD162" t="str">
        <f>IFERROR(INDEX('CAD_RESÍDUOS'!$B$6:$B$205,MATCH(157,'CAD_RESÍDUOS'!$L$6:$L$205,0))&amp;"","")</f>
        <v/>
      </c>
      <c r="AE162" t="str">
        <f>IFERROR(INDEX('MTRs'!$BD$6:$BD$505,MATCH(157,'MTRs'!$BE$6:$BE$505,0))&amp;"","")</f>
        <v/>
      </c>
      <c r="AF162" t="str">
        <f>IFERROR(INDEX('ITENS_MTR'!$AS$6:$AS$1005,MATCH(157,'ITENS_MTR'!$AT$6:$AT$1005,0))&amp;"","")</f>
        <v/>
      </c>
      <c r="AG162" t="str">
        <f>IFERROR(INDEX('CDFs'!$Y$6:$Y$505,MATCH(157,'CDFs'!$Z$6:$Z$505,0))&amp;"","")</f>
        <v/>
      </c>
      <c r="AI162" t="str">
        <f>AB161</f>
        <v/>
      </c>
      <c r="AJ162" t="str">
        <f>AC161</f>
        <v/>
      </c>
      <c r="AK162" t="str">
        <f>AD161</f>
        <v/>
      </c>
    </row>
    <row r="163">
      <c r="AB163" t="str">
        <f>IFERROR(INDEX('CAD_PARCEIROS'!$P$6:$P$205,MATCH(158,'CAD_PARCEIROS'!$S$6:$S$205,0))&amp;"","")</f>
        <v/>
      </c>
      <c r="AC163" t="str">
        <f>IFERROR(INDEX('CAD_PARCEIROS'!$P$6:$P$205,MATCH(158,'CAD_PARCEIROS'!$U$6:$U$205,0))&amp;"","")</f>
        <v/>
      </c>
      <c r="AD163" t="str">
        <f>IFERROR(INDEX('CAD_RESÍDUOS'!$B$6:$B$205,MATCH(158,'CAD_RESÍDUOS'!$L$6:$L$205,0))&amp;"","")</f>
        <v/>
      </c>
      <c r="AE163" t="str">
        <f>IFERROR(INDEX('MTRs'!$BD$6:$BD$505,MATCH(158,'MTRs'!$BE$6:$BE$505,0))&amp;"","")</f>
        <v/>
      </c>
      <c r="AF163" t="str">
        <f>IFERROR(INDEX('ITENS_MTR'!$AS$6:$AS$1005,MATCH(158,'ITENS_MTR'!$AT$6:$AT$1005,0))&amp;"","")</f>
        <v/>
      </c>
      <c r="AG163" t="str">
        <f>IFERROR(INDEX('CDFs'!$Y$6:$Y$505,MATCH(158,'CDFs'!$Z$6:$Z$505,0))&amp;"","")</f>
        <v/>
      </c>
      <c r="AI163" t="str">
        <f>AB162</f>
        <v/>
      </c>
      <c r="AJ163" t="str">
        <f>AC162</f>
        <v/>
      </c>
      <c r="AK163" t="str">
        <f>AD162</f>
        <v/>
      </c>
    </row>
    <row r="164">
      <c r="AB164" t="str">
        <f>IFERROR(INDEX('CAD_PARCEIROS'!$P$6:$P$205,MATCH(159,'CAD_PARCEIROS'!$S$6:$S$205,0))&amp;"","")</f>
        <v/>
      </c>
      <c r="AC164" t="str">
        <f>IFERROR(INDEX('CAD_PARCEIROS'!$P$6:$P$205,MATCH(159,'CAD_PARCEIROS'!$U$6:$U$205,0))&amp;"","")</f>
        <v/>
      </c>
      <c r="AD164" t="str">
        <f>IFERROR(INDEX('CAD_RESÍDUOS'!$B$6:$B$205,MATCH(159,'CAD_RESÍDUOS'!$L$6:$L$205,0))&amp;"","")</f>
        <v/>
      </c>
      <c r="AE164" t="str">
        <f>IFERROR(INDEX('MTRs'!$BD$6:$BD$505,MATCH(159,'MTRs'!$BE$6:$BE$505,0))&amp;"","")</f>
        <v/>
      </c>
      <c r="AF164" t="str">
        <f>IFERROR(INDEX('ITENS_MTR'!$AS$6:$AS$1005,MATCH(159,'ITENS_MTR'!$AT$6:$AT$1005,0))&amp;"","")</f>
        <v/>
      </c>
      <c r="AG164" t="str">
        <f>IFERROR(INDEX('CDFs'!$Y$6:$Y$505,MATCH(159,'CDFs'!$Z$6:$Z$505,0))&amp;"","")</f>
        <v/>
      </c>
      <c r="AI164" t="str">
        <f>AB163</f>
        <v/>
      </c>
      <c r="AJ164" t="str">
        <f>AC163</f>
        <v/>
      </c>
      <c r="AK164" t="str">
        <f>AD163</f>
        <v/>
      </c>
    </row>
    <row r="165">
      <c r="AB165" t="str">
        <f>IFERROR(INDEX('CAD_PARCEIROS'!$P$6:$P$205,MATCH(160,'CAD_PARCEIROS'!$S$6:$S$205,0))&amp;"","")</f>
        <v/>
      </c>
      <c r="AC165" t="str">
        <f>IFERROR(INDEX('CAD_PARCEIROS'!$P$6:$P$205,MATCH(160,'CAD_PARCEIROS'!$U$6:$U$205,0))&amp;"","")</f>
        <v/>
      </c>
      <c r="AD165" t="str">
        <f>IFERROR(INDEX('CAD_RESÍDUOS'!$B$6:$B$205,MATCH(160,'CAD_RESÍDUOS'!$L$6:$L$205,0))&amp;"","")</f>
        <v/>
      </c>
      <c r="AE165" t="str">
        <f>IFERROR(INDEX('MTRs'!$BD$6:$BD$505,MATCH(160,'MTRs'!$BE$6:$BE$505,0))&amp;"","")</f>
        <v/>
      </c>
      <c r="AF165" t="str">
        <f>IFERROR(INDEX('ITENS_MTR'!$AS$6:$AS$1005,MATCH(160,'ITENS_MTR'!$AT$6:$AT$1005,0))&amp;"","")</f>
        <v/>
      </c>
      <c r="AG165" t="str">
        <f>IFERROR(INDEX('CDFs'!$Y$6:$Y$505,MATCH(160,'CDFs'!$Z$6:$Z$505,0))&amp;"","")</f>
        <v/>
      </c>
      <c r="AI165" t="str">
        <f>AB164</f>
        <v/>
      </c>
      <c r="AJ165" t="str">
        <f>AC164</f>
        <v/>
      </c>
      <c r="AK165" t="str">
        <f>AD164</f>
        <v/>
      </c>
    </row>
    <row r="166">
      <c r="AB166" t="str">
        <f>IFERROR(INDEX('CAD_PARCEIROS'!$P$6:$P$205,MATCH(161,'CAD_PARCEIROS'!$S$6:$S$205,0))&amp;"","")</f>
        <v/>
      </c>
      <c r="AC166" t="str">
        <f>IFERROR(INDEX('CAD_PARCEIROS'!$P$6:$P$205,MATCH(161,'CAD_PARCEIROS'!$U$6:$U$205,0))&amp;"","")</f>
        <v/>
      </c>
      <c r="AD166" t="str">
        <f>IFERROR(INDEX('CAD_RESÍDUOS'!$B$6:$B$205,MATCH(161,'CAD_RESÍDUOS'!$L$6:$L$205,0))&amp;"","")</f>
        <v/>
      </c>
      <c r="AE166" t="str">
        <f>IFERROR(INDEX('MTRs'!$BD$6:$BD$505,MATCH(161,'MTRs'!$BE$6:$BE$505,0))&amp;"","")</f>
        <v/>
      </c>
      <c r="AF166" t="str">
        <f>IFERROR(INDEX('ITENS_MTR'!$AS$6:$AS$1005,MATCH(161,'ITENS_MTR'!$AT$6:$AT$1005,0))&amp;"","")</f>
        <v/>
      </c>
      <c r="AG166" t="str">
        <f>IFERROR(INDEX('CDFs'!$Y$6:$Y$505,MATCH(161,'CDFs'!$Z$6:$Z$505,0))&amp;"","")</f>
        <v/>
      </c>
      <c r="AI166" t="str">
        <f>AB165</f>
        <v/>
      </c>
      <c r="AJ166" t="str">
        <f>AC165</f>
        <v/>
      </c>
      <c r="AK166" t="str">
        <f>AD165</f>
        <v/>
      </c>
    </row>
    <row r="167">
      <c r="AB167" t="str">
        <f>IFERROR(INDEX('CAD_PARCEIROS'!$P$6:$P$205,MATCH(162,'CAD_PARCEIROS'!$S$6:$S$205,0))&amp;"","")</f>
        <v/>
      </c>
      <c r="AC167" t="str">
        <f>IFERROR(INDEX('CAD_PARCEIROS'!$P$6:$P$205,MATCH(162,'CAD_PARCEIROS'!$U$6:$U$205,0))&amp;"","")</f>
        <v/>
      </c>
      <c r="AD167" t="str">
        <f>IFERROR(INDEX('CAD_RESÍDUOS'!$B$6:$B$205,MATCH(162,'CAD_RESÍDUOS'!$L$6:$L$205,0))&amp;"","")</f>
        <v/>
      </c>
      <c r="AE167" t="str">
        <f>IFERROR(INDEX('MTRs'!$BD$6:$BD$505,MATCH(162,'MTRs'!$BE$6:$BE$505,0))&amp;"","")</f>
        <v/>
      </c>
      <c r="AF167" t="str">
        <f>IFERROR(INDEX('ITENS_MTR'!$AS$6:$AS$1005,MATCH(162,'ITENS_MTR'!$AT$6:$AT$1005,0))&amp;"","")</f>
        <v/>
      </c>
      <c r="AG167" t="str">
        <f>IFERROR(INDEX('CDFs'!$Y$6:$Y$505,MATCH(162,'CDFs'!$Z$6:$Z$505,0))&amp;"","")</f>
        <v/>
      </c>
      <c r="AI167" t="str">
        <f>AB166</f>
        <v/>
      </c>
      <c r="AJ167" t="str">
        <f>AC166</f>
        <v/>
      </c>
      <c r="AK167" t="str">
        <f>AD166</f>
        <v/>
      </c>
    </row>
    <row r="168">
      <c r="AB168" t="str">
        <f>IFERROR(INDEX('CAD_PARCEIROS'!$P$6:$P$205,MATCH(163,'CAD_PARCEIROS'!$S$6:$S$205,0))&amp;"","")</f>
        <v/>
      </c>
      <c r="AC168" t="str">
        <f>IFERROR(INDEX('CAD_PARCEIROS'!$P$6:$P$205,MATCH(163,'CAD_PARCEIROS'!$U$6:$U$205,0))&amp;"","")</f>
        <v/>
      </c>
      <c r="AD168" t="str">
        <f>IFERROR(INDEX('CAD_RESÍDUOS'!$B$6:$B$205,MATCH(163,'CAD_RESÍDUOS'!$L$6:$L$205,0))&amp;"","")</f>
        <v/>
      </c>
      <c r="AE168" t="str">
        <f>IFERROR(INDEX('MTRs'!$BD$6:$BD$505,MATCH(163,'MTRs'!$BE$6:$BE$505,0))&amp;"","")</f>
        <v/>
      </c>
      <c r="AF168" t="str">
        <f>IFERROR(INDEX('ITENS_MTR'!$AS$6:$AS$1005,MATCH(163,'ITENS_MTR'!$AT$6:$AT$1005,0))&amp;"","")</f>
        <v/>
      </c>
      <c r="AG168" t="str">
        <f>IFERROR(INDEX('CDFs'!$Y$6:$Y$505,MATCH(163,'CDFs'!$Z$6:$Z$505,0))&amp;"","")</f>
        <v/>
      </c>
      <c r="AI168" t="str">
        <f>AB167</f>
        <v/>
      </c>
      <c r="AJ168" t="str">
        <f>AC167</f>
        <v/>
      </c>
      <c r="AK168" t="str">
        <f>AD167</f>
        <v/>
      </c>
    </row>
    <row r="169">
      <c r="AB169" t="str">
        <f>IFERROR(INDEX('CAD_PARCEIROS'!$P$6:$P$205,MATCH(164,'CAD_PARCEIROS'!$S$6:$S$205,0))&amp;"","")</f>
        <v/>
      </c>
      <c r="AC169" t="str">
        <f>IFERROR(INDEX('CAD_PARCEIROS'!$P$6:$P$205,MATCH(164,'CAD_PARCEIROS'!$U$6:$U$205,0))&amp;"","")</f>
        <v/>
      </c>
      <c r="AD169" t="str">
        <f>IFERROR(INDEX('CAD_RESÍDUOS'!$B$6:$B$205,MATCH(164,'CAD_RESÍDUOS'!$L$6:$L$205,0))&amp;"","")</f>
        <v/>
      </c>
      <c r="AE169" t="str">
        <f>IFERROR(INDEX('MTRs'!$BD$6:$BD$505,MATCH(164,'MTRs'!$BE$6:$BE$505,0))&amp;"","")</f>
        <v/>
      </c>
      <c r="AF169" t="str">
        <f>IFERROR(INDEX('ITENS_MTR'!$AS$6:$AS$1005,MATCH(164,'ITENS_MTR'!$AT$6:$AT$1005,0))&amp;"","")</f>
        <v/>
      </c>
      <c r="AG169" t="str">
        <f>IFERROR(INDEX('CDFs'!$Y$6:$Y$505,MATCH(164,'CDFs'!$Z$6:$Z$505,0))&amp;"","")</f>
        <v/>
      </c>
      <c r="AI169" t="str">
        <f>AB168</f>
        <v/>
      </c>
      <c r="AJ169" t="str">
        <f>AC168</f>
        <v/>
      </c>
      <c r="AK169" t="str">
        <f>AD168</f>
        <v/>
      </c>
    </row>
    <row r="170">
      <c r="AB170" t="str">
        <f>IFERROR(INDEX('CAD_PARCEIROS'!$P$6:$P$205,MATCH(165,'CAD_PARCEIROS'!$S$6:$S$205,0))&amp;"","")</f>
        <v/>
      </c>
      <c r="AC170" t="str">
        <f>IFERROR(INDEX('CAD_PARCEIROS'!$P$6:$P$205,MATCH(165,'CAD_PARCEIROS'!$U$6:$U$205,0))&amp;"","")</f>
        <v/>
      </c>
      <c r="AD170" t="str">
        <f>IFERROR(INDEX('CAD_RESÍDUOS'!$B$6:$B$205,MATCH(165,'CAD_RESÍDUOS'!$L$6:$L$205,0))&amp;"","")</f>
        <v/>
      </c>
      <c r="AE170" t="str">
        <f>IFERROR(INDEX('MTRs'!$BD$6:$BD$505,MATCH(165,'MTRs'!$BE$6:$BE$505,0))&amp;"","")</f>
        <v/>
      </c>
      <c r="AF170" t="str">
        <f>IFERROR(INDEX('ITENS_MTR'!$AS$6:$AS$1005,MATCH(165,'ITENS_MTR'!$AT$6:$AT$1005,0))&amp;"","")</f>
        <v/>
      </c>
      <c r="AG170" t="str">
        <f>IFERROR(INDEX('CDFs'!$Y$6:$Y$505,MATCH(165,'CDFs'!$Z$6:$Z$505,0))&amp;"","")</f>
        <v/>
      </c>
      <c r="AI170" t="str">
        <f>AB169</f>
        <v/>
      </c>
      <c r="AJ170" t="str">
        <f>AC169</f>
        <v/>
      </c>
      <c r="AK170" t="str">
        <f>AD169</f>
        <v/>
      </c>
    </row>
    <row r="171">
      <c r="AB171" t="str">
        <f>IFERROR(INDEX('CAD_PARCEIROS'!$P$6:$P$205,MATCH(166,'CAD_PARCEIROS'!$S$6:$S$205,0))&amp;"","")</f>
        <v/>
      </c>
      <c r="AC171" t="str">
        <f>IFERROR(INDEX('CAD_PARCEIROS'!$P$6:$P$205,MATCH(166,'CAD_PARCEIROS'!$U$6:$U$205,0))&amp;"","")</f>
        <v/>
      </c>
      <c r="AD171" t="str">
        <f>IFERROR(INDEX('CAD_RESÍDUOS'!$B$6:$B$205,MATCH(166,'CAD_RESÍDUOS'!$L$6:$L$205,0))&amp;"","")</f>
        <v/>
      </c>
      <c r="AE171" t="str">
        <f>IFERROR(INDEX('MTRs'!$BD$6:$BD$505,MATCH(166,'MTRs'!$BE$6:$BE$505,0))&amp;"","")</f>
        <v/>
      </c>
      <c r="AF171" t="str">
        <f>IFERROR(INDEX('ITENS_MTR'!$AS$6:$AS$1005,MATCH(166,'ITENS_MTR'!$AT$6:$AT$1005,0))&amp;"","")</f>
        <v/>
      </c>
      <c r="AG171" t="str">
        <f>IFERROR(INDEX('CDFs'!$Y$6:$Y$505,MATCH(166,'CDFs'!$Z$6:$Z$505,0))&amp;"","")</f>
        <v/>
      </c>
      <c r="AI171" t="str">
        <f>AB170</f>
        <v/>
      </c>
      <c r="AJ171" t="str">
        <f>AC170</f>
        <v/>
      </c>
      <c r="AK171" t="str">
        <f>AD170</f>
        <v/>
      </c>
    </row>
    <row r="172">
      <c r="AB172" t="str">
        <f>IFERROR(INDEX('CAD_PARCEIROS'!$P$6:$P$205,MATCH(167,'CAD_PARCEIROS'!$S$6:$S$205,0))&amp;"","")</f>
        <v/>
      </c>
      <c r="AC172" t="str">
        <f>IFERROR(INDEX('CAD_PARCEIROS'!$P$6:$P$205,MATCH(167,'CAD_PARCEIROS'!$U$6:$U$205,0))&amp;"","")</f>
        <v/>
      </c>
      <c r="AD172" t="str">
        <f>IFERROR(INDEX('CAD_RESÍDUOS'!$B$6:$B$205,MATCH(167,'CAD_RESÍDUOS'!$L$6:$L$205,0))&amp;"","")</f>
        <v/>
      </c>
      <c r="AE172" t="str">
        <f>IFERROR(INDEX('MTRs'!$BD$6:$BD$505,MATCH(167,'MTRs'!$BE$6:$BE$505,0))&amp;"","")</f>
        <v/>
      </c>
      <c r="AF172" t="str">
        <f>IFERROR(INDEX('ITENS_MTR'!$AS$6:$AS$1005,MATCH(167,'ITENS_MTR'!$AT$6:$AT$1005,0))&amp;"","")</f>
        <v/>
      </c>
      <c r="AG172" t="str">
        <f>IFERROR(INDEX('CDFs'!$Y$6:$Y$505,MATCH(167,'CDFs'!$Z$6:$Z$505,0))&amp;"","")</f>
        <v/>
      </c>
      <c r="AI172" t="str">
        <f>AB171</f>
        <v/>
      </c>
      <c r="AJ172" t="str">
        <f>AC171</f>
        <v/>
      </c>
      <c r="AK172" t="str">
        <f>AD171</f>
        <v/>
      </c>
    </row>
    <row r="173">
      <c r="AB173" t="str">
        <f>IFERROR(INDEX('CAD_PARCEIROS'!$P$6:$P$205,MATCH(168,'CAD_PARCEIROS'!$S$6:$S$205,0))&amp;"","")</f>
        <v/>
      </c>
      <c r="AC173" t="str">
        <f>IFERROR(INDEX('CAD_PARCEIROS'!$P$6:$P$205,MATCH(168,'CAD_PARCEIROS'!$U$6:$U$205,0))&amp;"","")</f>
        <v/>
      </c>
      <c r="AD173" t="str">
        <f>IFERROR(INDEX('CAD_RESÍDUOS'!$B$6:$B$205,MATCH(168,'CAD_RESÍDUOS'!$L$6:$L$205,0))&amp;"","")</f>
        <v/>
      </c>
      <c r="AE173" t="str">
        <f>IFERROR(INDEX('MTRs'!$BD$6:$BD$505,MATCH(168,'MTRs'!$BE$6:$BE$505,0))&amp;"","")</f>
        <v/>
      </c>
      <c r="AF173" t="str">
        <f>IFERROR(INDEX('ITENS_MTR'!$AS$6:$AS$1005,MATCH(168,'ITENS_MTR'!$AT$6:$AT$1005,0))&amp;"","")</f>
        <v/>
      </c>
      <c r="AG173" t="str">
        <f>IFERROR(INDEX('CDFs'!$Y$6:$Y$505,MATCH(168,'CDFs'!$Z$6:$Z$505,0))&amp;"","")</f>
        <v/>
      </c>
      <c r="AI173" t="str">
        <f>AB172</f>
        <v/>
      </c>
      <c r="AJ173" t="str">
        <f>AC172</f>
        <v/>
      </c>
      <c r="AK173" t="str">
        <f>AD172</f>
        <v/>
      </c>
    </row>
    <row r="174">
      <c r="AB174" t="str">
        <f>IFERROR(INDEX('CAD_PARCEIROS'!$P$6:$P$205,MATCH(169,'CAD_PARCEIROS'!$S$6:$S$205,0))&amp;"","")</f>
        <v/>
      </c>
      <c r="AC174" t="str">
        <f>IFERROR(INDEX('CAD_PARCEIROS'!$P$6:$P$205,MATCH(169,'CAD_PARCEIROS'!$U$6:$U$205,0))&amp;"","")</f>
        <v/>
      </c>
      <c r="AD174" t="str">
        <f>IFERROR(INDEX('CAD_RESÍDUOS'!$B$6:$B$205,MATCH(169,'CAD_RESÍDUOS'!$L$6:$L$205,0))&amp;"","")</f>
        <v/>
      </c>
      <c r="AE174" t="str">
        <f>IFERROR(INDEX('MTRs'!$BD$6:$BD$505,MATCH(169,'MTRs'!$BE$6:$BE$505,0))&amp;"","")</f>
        <v/>
      </c>
      <c r="AF174" t="str">
        <f>IFERROR(INDEX('ITENS_MTR'!$AS$6:$AS$1005,MATCH(169,'ITENS_MTR'!$AT$6:$AT$1005,0))&amp;"","")</f>
        <v/>
      </c>
      <c r="AG174" t="str">
        <f>IFERROR(INDEX('CDFs'!$Y$6:$Y$505,MATCH(169,'CDFs'!$Z$6:$Z$505,0))&amp;"","")</f>
        <v/>
      </c>
      <c r="AI174" t="str">
        <f>AB173</f>
        <v/>
      </c>
      <c r="AJ174" t="str">
        <f>AC173</f>
        <v/>
      </c>
      <c r="AK174" t="str">
        <f>AD173</f>
        <v/>
      </c>
    </row>
    <row r="175">
      <c r="AB175" t="str">
        <f>IFERROR(INDEX('CAD_PARCEIROS'!$P$6:$P$205,MATCH(170,'CAD_PARCEIROS'!$S$6:$S$205,0))&amp;"","")</f>
        <v/>
      </c>
      <c r="AC175" t="str">
        <f>IFERROR(INDEX('CAD_PARCEIROS'!$P$6:$P$205,MATCH(170,'CAD_PARCEIROS'!$U$6:$U$205,0))&amp;"","")</f>
        <v/>
      </c>
      <c r="AD175" t="str">
        <f>IFERROR(INDEX('CAD_RESÍDUOS'!$B$6:$B$205,MATCH(170,'CAD_RESÍDUOS'!$L$6:$L$205,0))&amp;"","")</f>
        <v/>
      </c>
      <c r="AE175" t="str">
        <f>IFERROR(INDEX('MTRs'!$BD$6:$BD$505,MATCH(170,'MTRs'!$BE$6:$BE$505,0))&amp;"","")</f>
        <v/>
      </c>
      <c r="AF175" t="str">
        <f>IFERROR(INDEX('ITENS_MTR'!$AS$6:$AS$1005,MATCH(170,'ITENS_MTR'!$AT$6:$AT$1005,0))&amp;"","")</f>
        <v/>
      </c>
      <c r="AG175" t="str">
        <f>IFERROR(INDEX('CDFs'!$Y$6:$Y$505,MATCH(170,'CDFs'!$Z$6:$Z$505,0))&amp;"","")</f>
        <v/>
      </c>
      <c r="AI175" t="str">
        <f>AB174</f>
        <v/>
      </c>
      <c r="AJ175" t="str">
        <f>AC174</f>
        <v/>
      </c>
      <c r="AK175" t="str">
        <f>AD174</f>
        <v/>
      </c>
    </row>
    <row r="176">
      <c r="AB176" t="str">
        <f>IFERROR(INDEX('CAD_PARCEIROS'!$P$6:$P$205,MATCH(171,'CAD_PARCEIROS'!$S$6:$S$205,0))&amp;"","")</f>
        <v/>
      </c>
      <c r="AC176" t="str">
        <f>IFERROR(INDEX('CAD_PARCEIROS'!$P$6:$P$205,MATCH(171,'CAD_PARCEIROS'!$U$6:$U$205,0))&amp;"","")</f>
        <v/>
      </c>
      <c r="AD176" t="str">
        <f>IFERROR(INDEX('CAD_RESÍDUOS'!$B$6:$B$205,MATCH(171,'CAD_RESÍDUOS'!$L$6:$L$205,0))&amp;"","")</f>
        <v/>
      </c>
      <c r="AE176" t="str">
        <f>IFERROR(INDEX('MTRs'!$BD$6:$BD$505,MATCH(171,'MTRs'!$BE$6:$BE$505,0))&amp;"","")</f>
        <v/>
      </c>
      <c r="AF176" t="str">
        <f>IFERROR(INDEX('ITENS_MTR'!$AS$6:$AS$1005,MATCH(171,'ITENS_MTR'!$AT$6:$AT$1005,0))&amp;"","")</f>
        <v/>
      </c>
      <c r="AG176" t="str">
        <f>IFERROR(INDEX('CDFs'!$Y$6:$Y$505,MATCH(171,'CDFs'!$Z$6:$Z$505,0))&amp;"","")</f>
        <v/>
      </c>
      <c r="AI176" t="str">
        <f>AB175</f>
        <v/>
      </c>
      <c r="AJ176" t="str">
        <f>AC175</f>
        <v/>
      </c>
      <c r="AK176" t="str">
        <f>AD175</f>
        <v/>
      </c>
    </row>
    <row r="177">
      <c r="AB177" t="str">
        <f>IFERROR(INDEX('CAD_PARCEIROS'!$P$6:$P$205,MATCH(172,'CAD_PARCEIROS'!$S$6:$S$205,0))&amp;"","")</f>
        <v/>
      </c>
      <c r="AC177" t="str">
        <f>IFERROR(INDEX('CAD_PARCEIROS'!$P$6:$P$205,MATCH(172,'CAD_PARCEIROS'!$U$6:$U$205,0))&amp;"","")</f>
        <v/>
      </c>
      <c r="AD177" t="str">
        <f>IFERROR(INDEX('CAD_RESÍDUOS'!$B$6:$B$205,MATCH(172,'CAD_RESÍDUOS'!$L$6:$L$205,0))&amp;"","")</f>
        <v/>
      </c>
      <c r="AE177" t="str">
        <f>IFERROR(INDEX('MTRs'!$BD$6:$BD$505,MATCH(172,'MTRs'!$BE$6:$BE$505,0))&amp;"","")</f>
        <v/>
      </c>
      <c r="AF177" t="str">
        <f>IFERROR(INDEX('ITENS_MTR'!$AS$6:$AS$1005,MATCH(172,'ITENS_MTR'!$AT$6:$AT$1005,0))&amp;"","")</f>
        <v/>
      </c>
      <c r="AG177" t="str">
        <f>IFERROR(INDEX('CDFs'!$Y$6:$Y$505,MATCH(172,'CDFs'!$Z$6:$Z$505,0))&amp;"","")</f>
        <v/>
      </c>
      <c r="AI177" t="str">
        <f>AB176</f>
        <v/>
      </c>
      <c r="AJ177" t="str">
        <f>AC176</f>
        <v/>
      </c>
      <c r="AK177" t="str">
        <f>AD176</f>
        <v/>
      </c>
    </row>
    <row r="178">
      <c r="AB178" t="str">
        <f>IFERROR(INDEX('CAD_PARCEIROS'!$P$6:$P$205,MATCH(173,'CAD_PARCEIROS'!$S$6:$S$205,0))&amp;"","")</f>
        <v/>
      </c>
      <c r="AC178" t="str">
        <f>IFERROR(INDEX('CAD_PARCEIROS'!$P$6:$P$205,MATCH(173,'CAD_PARCEIROS'!$U$6:$U$205,0))&amp;"","")</f>
        <v/>
      </c>
      <c r="AD178" t="str">
        <f>IFERROR(INDEX('CAD_RESÍDUOS'!$B$6:$B$205,MATCH(173,'CAD_RESÍDUOS'!$L$6:$L$205,0))&amp;"","")</f>
        <v/>
      </c>
      <c r="AE178" t="str">
        <f>IFERROR(INDEX('MTRs'!$BD$6:$BD$505,MATCH(173,'MTRs'!$BE$6:$BE$505,0))&amp;"","")</f>
        <v/>
      </c>
      <c r="AF178" t="str">
        <f>IFERROR(INDEX('ITENS_MTR'!$AS$6:$AS$1005,MATCH(173,'ITENS_MTR'!$AT$6:$AT$1005,0))&amp;"","")</f>
        <v/>
      </c>
      <c r="AG178" t="str">
        <f>IFERROR(INDEX('CDFs'!$Y$6:$Y$505,MATCH(173,'CDFs'!$Z$6:$Z$505,0))&amp;"","")</f>
        <v/>
      </c>
      <c r="AI178" t="str">
        <f>AB177</f>
        <v/>
      </c>
      <c r="AJ178" t="str">
        <f>AC177</f>
        <v/>
      </c>
      <c r="AK178" t="str">
        <f>AD177</f>
        <v/>
      </c>
    </row>
    <row r="179">
      <c r="AB179" t="str">
        <f>IFERROR(INDEX('CAD_PARCEIROS'!$P$6:$P$205,MATCH(174,'CAD_PARCEIROS'!$S$6:$S$205,0))&amp;"","")</f>
        <v/>
      </c>
      <c r="AC179" t="str">
        <f>IFERROR(INDEX('CAD_PARCEIROS'!$P$6:$P$205,MATCH(174,'CAD_PARCEIROS'!$U$6:$U$205,0))&amp;"","")</f>
        <v/>
      </c>
      <c r="AD179" t="str">
        <f>IFERROR(INDEX('CAD_RESÍDUOS'!$B$6:$B$205,MATCH(174,'CAD_RESÍDUOS'!$L$6:$L$205,0))&amp;"","")</f>
        <v/>
      </c>
      <c r="AE179" t="str">
        <f>IFERROR(INDEX('MTRs'!$BD$6:$BD$505,MATCH(174,'MTRs'!$BE$6:$BE$505,0))&amp;"","")</f>
        <v/>
      </c>
      <c r="AF179" t="str">
        <f>IFERROR(INDEX('ITENS_MTR'!$AS$6:$AS$1005,MATCH(174,'ITENS_MTR'!$AT$6:$AT$1005,0))&amp;"","")</f>
        <v/>
      </c>
      <c r="AG179" t="str">
        <f>IFERROR(INDEX('CDFs'!$Y$6:$Y$505,MATCH(174,'CDFs'!$Z$6:$Z$505,0))&amp;"","")</f>
        <v/>
      </c>
      <c r="AI179" t="str">
        <f>AB178</f>
        <v/>
      </c>
      <c r="AJ179" t="str">
        <f>AC178</f>
        <v/>
      </c>
      <c r="AK179" t="str">
        <f>AD178</f>
        <v/>
      </c>
    </row>
    <row r="180">
      <c r="AB180" t="str">
        <f>IFERROR(INDEX('CAD_PARCEIROS'!$P$6:$P$205,MATCH(175,'CAD_PARCEIROS'!$S$6:$S$205,0))&amp;"","")</f>
        <v/>
      </c>
      <c r="AC180" t="str">
        <f>IFERROR(INDEX('CAD_PARCEIROS'!$P$6:$P$205,MATCH(175,'CAD_PARCEIROS'!$U$6:$U$205,0))&amp;"","")</f>
        <v/>
      </c>
      <c r="AD180" t="str">
        <f>IFERROR(INDEX('CAD_RESÍDUOS'!$B$6:$B$205,MATCH(175,'CAD_RESÍDUOS'!$L$6:$L$205,0))&amp;"","")</f>
        <v/>
      </c>
      <c r="AE180" t="str">
        <f>IFERROR(INDEX('MTRs'!$BD$6:$BD$505,MATCH(175,'MTRs'!$BE$6:$BE$505,0))&amp;"","")</f>
        <v/>
      </c>
      <c r="AF180" t="str">
        <f>IFERROR(INDEX('ITENS_MTR'!$AS$6:$AS$1005,MATCH(175,'ITENS_MTR'!$AT$6:$AT$1005,0))&amp;"","")</f>
        <v/>
      </c>
      <c r="AG180" t="str">
        <f>IFERROR(INDEX('CDFs'!$Y$6:$Y$505,MATCH(175,'CDFs'!$Z$6:$Z$505,0))&amp;"","")</f>
        <v/>
      </c>
      <c r="AI180" t="str">
        <f>AB179</f>
        <v/>
      </c>
      <c r="AJ180" t="str">
        <f>AC179</f>
        <v/>
      </c>
      <c r="AK180" t="str">
        <f>AD179</f>
        <v/>
      </c>
    </row>
    <row r="181">
      <c r="AB181" t="str">
        <f>IFERROR(INDEX('CAD_PARCEIROS'!$P$6:$P$205,MATCH(176,'CAD_PARCEIROS'!$S$6:$S$205,0))&amp;"","")</f>
        <v/>
      </c>
      <c r="AC181" t="str">
        <f>IFERROR(INDEX('CAD_PARCEIROS'!$P$6:$P$205,MATCH(176,'CAD_PARCEIROS'!$U$6:$U$205,0))&amp;"","")</f>
        <v/>
      </c>
      <c r="AD181" t="str">
        <f>IFERROR(INDEX('CAD_RESÍDUOS'!$B$6:$B$205,MATCH(176,'CAD_RESÍDUOS'!$L$6:$L$205,0))&amp;"","")</f>
        <v/>
      </c>
      <c r="AE181" t="str">
        <f>IFERROR(INDEX('MTRs'!$BD$6:$BD$505,MATCH(176,'MTRs'!$BE$6:$BE$505,0))&amp;"","")</f>
        <v/>
      </c>
      <c r="AF181" t="str">
        <f>IFERROR(INDEX('ITENS_MTR'!$AS$6:$AS$1005,MATCH(176,'ITENS_MTR'!$AT$6:$AT$1005,0))&amp;"","")</f>
        <v/>
      </c>
      <c r="AG181" t="str">
        <f>IFERROR(INDEX('CDFs'!$Y$6:$Y$505,MATCH(176,'CDFs'!$Z$6:$Z$505,0))&amp;"","")</f>
        <v/>
      </c>
      <c r="AI181" t="str">
        <f>AB180</f>
        <v/>
      </c>
      <c r="AJ181" t="str">
        <f>AC180</f>
        <v/>
      </c>
      <c r="AK181" t="str">
        <f>AD180</f>
        <v/>
      </c>
    </row>
    <row r="182">
      <c r="AB182" t="str">
        <f>IFERROR(INDEX('CAD_PARCEIROS'!$P$6:$P$205,MATCH(177,'CAD_PARCEIROS'!$S$6:$S$205,0))&amp;"","")</f>
        <v/>
      </c>
      <c r="AC182" t="str">
        <f>IFERROR(INDEX('CAD_PARCEIROS'!$P$6:$P$205,MATCH(177,'CAD_PARCEIROS'!$U$6:$U$205,0))&amp;"","")</f>
        <v/>
      </c>
      <c r="AD182" t="str">
        <f>IFERROR(INDEX('CAD_RESÍDUOS'!$B$6:$B$205,MATCH(177,'CAD_RESÍDUOS'!$L$6:$L$205,0))&amp;"","")</f>
        <v/>
      </c>
      <c r="AE182" t="str">
        <f>IFERROR(INDEX('MTRs'!$BD$6:$BD$505,MATCH(177,'MTRs'!$BE$6:$BE$505,0))&amp;"","")</f>
        <v/>
      </c>
      <c r="AF182" t="str">
        <f>IFERROR(INDEX('ITENS_MTR'!$AS$6:$AS$1005,MATCH(177,'ITENS_MTR'!$AT$6:$AT$1005,0))&amp;"","")</f>
        <v/>
      </c>
      <c r="AG182" t="str">
        <f>IFERROR(INDEX('CDFs'!$Y$6:$Y$505,MATCH(177,'CDFs'!$Z$6:$Z$505,0))&amp;"","")</f>
        <v/>
      </c>
      <c r="AI182" t="str">
        <f>AB181</f>
        <v/>
      </c>
      <c r="AJ182" t="str">
        <f>AC181</f>
        <v/>
      </c>
      <c r="AK182" t="str">
        <f>AD181</f>
        <v/>
      </c>
    </row>
    <row r="183">
      <c r="AB183" t="str">
        <f>IFERROR(INDEX('CAD_PARCEIROS'!$P$6:$P$205,MATCH(178,'CAD_PARCEIROS'!$S$6:$S$205,0))&amp;"","")</f>
        <v/>
      </c>
      <c r="AC183" t="str">
        <f>IFERROR(INDEX('CAD_PARCEIROS'!$P$6:$P$205,MATCH(178,'CAD_PARCEIROS'!$U$6:$U$205,0))&amp;"","")</f>
        <v/>
      </c>
      <c r="AD183" t="str">
        <f>IFERROR(INDEX('CAD_RESÍDUOS'!$B$6:$B$205,MATCH(178,'CAD_RESÍDUOS'!$L$6:$L$205,0))&amp;"","")</f>
        <v/>
      </c>
      <c r="AE183" t="str">
        <f>IFERROR(INDEX('MTRs'!$BD$6:$BD$505,MATCH(178,'MTRs'!$BE$6:$BE$505,0))&amp;"","")</f>
        <v/>
      </c>
      <c r="AF183" t="str">
        <f>IFERROR(INDEX('ITENS_MTR'!$AS$6:$AS$1005,MATCH(178,'ITENS_MTR'!$AT$6:$AT$1005,0))&amp;"","")</f>
        <v/>
      </c>
      <c r="AG183" t="str">
        <f>IFERROR(INDEX('CDFs'!$Y$6:$Y$505,MATCH(178,'CDFs'!$Z$6:$Z$505,0))&amp;"","")</f>
        <v/>
      </c>
      <c r="AI183" t="str">
        <f>AB182</f>
        <v/>
      </c>
      <c r="AJ183" t="str">
        <f>AC182</f>
        <v/>
      </c>
      <c r="AK183" t="str">
        <f>AD182</f>
        <v/>
      </c>
    </row>
    <row r="184">
      <c r="AB184" t="str">
        <f>IFERROR(INDEX('CAD_PARCEIROS'!$P$6:$P$205,MATCH(179,'CAD_PARCEIROS'!$S$6:$S$205,0))&amp;"","")</f>
        <v/>
      </c>
      <c r="AC184" t="str">
        <f>IFERROR(INDEX('CAD_PARCEIROS'!$P$6:$P$205,MATCH(179,'CAD_PARCEIROS'!$U$6:$U$205,0))&amp;"","")</f>
        <v/>
      </c>
      <c r="AD184" t="str">
        <f>IFERROR(INDEX('CAD_RESÍDUOS'!$B$6:$B$205,MATCH(179,'CAD_RESÍDUOS'!$L$6:$L$205,0))&amp;"","")</f>
        <v/>
      </c>
      <c r="AE184" t="str">
        <f>IFERROR(INDEX('MTRs'!$BD$6:$BD$505,MATCH(179,'MTRs'!$BE$6:$BE$505,0))&amp;"","")</f>
        <v/>
      </c>
      <c r="AF184" t="str">
        <f>IFERROR(INDEX('ITENS_MTR'!$AS$6:$AS$1005,MATCH(179,'ITENS_MTR'!$AT$6:$AT$1005,0))&amp;"","")</f>
        <v/>
      </c>
      <c r="AG184" t="str">
        <f>IFERROR(INDEX('CDFs'!$Y$6:$Y$505,MATCH(179,'CDFs'!$Z$6:$Z$505,0))&amp;"","")</f>
        <v/>
      </c>
      <c r="AI184" t="str">
        <f>AB183</f>
        <v/>
      </c>
      <c r="AJ184" t="str">
        <f>AC183</f>
        <v/>
      </c>
      <c r="AK184" t="str">
        <f>AD183</f>
        <v/>
      </c>
    </row>
    <row r="185">
      <c r="AB185" t="str">
        <f>IFERROR(INDEX('CAD_PARCEIROS'!$P$6:$P$205,MATCH(180,'CAD_PARCEIROS'!$S$6:$S$205,0))&amp;"","")</f>
        <v/>
      </c>
      <c r="AC185" t="str">
        <f>IFERROR(INDEX('CAD_PARCEIROS'!$P$6:$P$205,MATCH(180,'CAD_PARCEIROS'!$U$6:$U$205,0))&amp;"","")</f>
        <v/>
      </c>
      <c r="AD185" t="str">
        <f>IFERROR(INDEX('CAD_RESÍDUOS'!$B$6:$B$205,MATCH(180,'CAD_RESÍDUOS'!$L$6:$L$205,0))&amp;"","")</f>
        <v/>
      </c>
      <c r="AE185" t="str">
        <f>IFERROR(INDEX('MTRs'!$BD$6:$BD$505,MATCH(180,'MTRs'!$BE$6:$BE$505,0))&amp;"","")</f>
        <v/>
      </c>
      <c r="AF185" t="str">
        <f>IFERROR(INDEX('ITENS_MTR'!$AS$6:$AS$1005,MATCH(180,'ITENS_MTR'!$AT$6:$AT$1005,0))&amp;"","")</f>
        <v/>
      </c>
      <c r="AG185" t="str">
        <f>IFERROR(INDEX('CDFs'!$Y$6:$Y$505,MATCH(180,'CDFs'!$Z$6:$Z$505,0))&amp;"","")</f>
        <v/>
      </c>
      <c r="AI185" t="str">
        <f>AB184</f>
        <v/>
      </c>
      <c r="AJ185" t="str">
        <f>AC184</f>
        <v/>
      </c>
      <c r="AK185" t="str">
        <f>AD184</f>
        <v/>
      </c>
    </row>
    <row r="186">
      <c r="AB186" t="str">
        <f>IFERROR(INDEX('CAD_PARCEIROS'!$P$6:$P$205,MATCH(181,'CAD_PARCEIROS'!$S$6:$S$205,0))&amp;"","")</f>
        <v/>
      </c>
      <c r="AC186" t="str">
        <f>IFERROR(INDEX('CAD_PARCEIROS'!$P$6:$P$205,MATCH(181,'CAD_PARCEIROS'!$U$6:$U$205,0))&amp;"","")</f>
        <v/>
      </c>
      <c r="AD186" t="str">
        <f>IFERROR(INDEX('CAD_RESÍDUOS'!$B$6:$B$205,MATCH(181,'CAD_RESÍDUOS'!$L$6:$L$205,0))&amp;"","")</f>
        <v/>
      </c>
      <c r="AE186" t="str">
        <f>IFERROR(INDEX('MTRs'!$BD$6:$BD$505,MATCH(181,'MTRs'!$BE$6:$BE$505,0))&amp;"","")</f>
        <v/>
      </c>
      <c r="AF186" t="str">
        <f>IFERROR(INDEX('ITENS_MTR'!$AS$6:$AS$1005,MATCH(181,'ITENS_MTR'!$AT$6:$AT$1005,0))&amp;"","")</f>
        <v/>
      </c>
      <c r="AG186" t="str">
        <f>IFERROR(INDEX('CDFs'!$Y$6:$Y$505,MATCH(181,'CDFs'!$Z$6:$Z$505,0))&amp;"","")</f>
        <v/>
      </c>
      <c r="AI186" t="str">
        <f>AB185</f>
        <v/>
      </c>
      <c r="AJ186" t="str">
        <f>AC185</f>
        <v/>
      </c>
      <c r="AK186" t="str">
        <f>AD185</f>
        <v/>
      </c>
    </row>
    <row r="187">
      <c r="AB187" t="str">
        <f>IFERROR(INDEX('CAD_PARCEIROS'!$P$6:$P$205,MATCH(182,'CAD_PARCEIROS'!$S$6:$S$205,0))&amp;"","")</f>
        <v/>
      </c>
      <c r="AC187" t="str">
        <f>IFERROR(INDEX('CAD_PARCEIROS'!$P$6:$P$205,MATCH(182,'CAD_PARCEIROS'!$U$6:$U$205,0))&amp;"","")</f>
        <v/>
      </c>
      <c r="AD187" t="str">
        <f>IFERROR(INDEX('CAD_RESÍDUOS'!$B$6:$B$205,MATCH(182,'CAD_RESÍDUOS'!$L$6:$L$205,0))&amp;"","")</f>
        <v/>
      </c>
      <c r="AE187" t="str">
        <f>IFERROR(INDEX('MTRs'!$BD$6:$BD$505,MATCH(182,'MTRs'!$BE$6:$BE$505,0))&amp;"","")</f>
        <v/>
      </c>
      <c r="AF187" t="str">
        <f>IFERROR(INDEX('ITENS_MTR'!$AS$6:$AS$1005,MATCH(182,'ITENS_MTR'!$AT$6:$AT$1005,0))&amp;"","")</f>
        <v/>
      </c>
      <c r="AG187" t="str">
        <f>IFERROR(INDEX('CDFs'!$Y$6:$Y$505,MATCH(182,'CDFs'!$Z$6:$Z$505,0))&amp;"","")</f>
        <v/>
      </c>
      <c r="AI187" t="str">
        <f>AB186</f>
        <v/>
      </c>
      <c r="AJ187" t="str">
        <f>AC186</f>
        <v/>
      </c>
      <c r="AK187" t="str">
        <f>AD186</f>
        <v/>
      </c>
    </row>
    <row r="188">
      <c r="AB188" t="str">
        <f>IFERROR(INDEX('CAD_PARCEIROS'!$P$6:$P$205,MATCH(183,'CAD_PARCEIROS'!$S$6:$S$205,0))&amp;"","")</f>
        <v/>
      </c>
      <c r="AC188" t="str">
        <f>IFERROR(INDEX('CAD_PARCEIROS'!$P$6:$P$205,MATCH(183,'CAD_PARCEIROS'!$U$6:$U$205,0))&amp;"","")</f>
        <v/>
      </c>
      <c r="AD188" t="str">
        <f>IFERROR(INDEX('CAD_RESÍDUOS'!$B$6:$B$205,MATCH(183,'CAD_RESÍDUOS'!$L$6:$L$205,0))&amp;"","")</f>
        <v/>
      </c>
      <c r="AE188" t="str">
        <f>IFERROR(INDEX('MTRs'!$BD$6:$BD$505,MATCH(183,'MTRs'!$BE$6:$BE$505,0))&amp;"","")</f>
        <v/>
      </c>
      <c r="AF188" t="str">
        <f>IFERROR(INDEX('ITENS_MTR'!$AS$6:$AS$1005,MATCH(183,'ITENS_MTR'!$AT$6:$AT$1005,0))&amp;"","")</f>
        <v/>
      </c>
      <c r="AG188" t="str">
        <f>IFERROR(INDEX('CDFs'!$Y$6:$Y$505,MATCH(183,'CDFs'!$Z$6:$Z$505,0))&amp;"","")</f>
        <v/>
      </c>
      <c r="AI188" t="str">
        <f>AB187</f>
        <v/>
      </c>
      <c r="AJ188" t="str">
        <f>AC187</f>
        <v/>
      </c>
      <c r="AK188" t="str">
        <f>AD187</f>
        <v/>
      </c>
    </row>
    <row r="189">
      <c r="AB189" t="str">
        <f>IFERROR(INDEX('CAD_PARCEIROS'!$P$6:$P$205,MATCH(184,'CAD_PARCEIROS'!$S$6:$S$205,0))&amp;"","")</f>
        <v/>
      </c>
      <c r="AC189" t="str">
        <f>IFERROR(INDEX('CAD_PARCEIROS'!$P$6:$P$205,MATCH(184,'CAD_PARCEIROS'!$U$6:$U$205,0))&amp;"","")</f>
        <v/>
      </c>
      <c r="AD189" t="str">
        <f>IFERROR(INDEX('CAD_RESÍDUOS'!$B$6:$B$205,MATCH(184,'CAD_RESÍDUOS'!$L$6:$L$205,0))&amp;"","")</f>
        <v/>
      </c>
      <c r="AE189" t="str">
        <f>IFERROR(INDEX('MTRs'!$BD$6:$BD$505,MATCH(184,'MTRs'!$BE$6:$BE$505,0))&amp;"","")</f>
        <v/>
      </c>
      <c r="AF189" t="str">
        <f>IFERROR(INDEX('ITENS_MTR'!$AS$6:$AS$1005,MATCH(184,'ITENS_MTR'!$AT$6:$AT$1005,0))&amp;"","")</f>
        <v/>
      </c>
      <c r="AG189" t="str">
        <f>IFERROR(INDEX('CDFs'!$Y$6:$Y$505,MATCH(184,'CDFs'!$Z$6:$Z$505,0))&amp;"","")</f>
        <v/>
      </c>
      <c r="AI189" t="str">
        <f>AB188</f>
        <v/>
      </c>
      <c r="AJ189" t="str">
        <f>AC188</f>
        <v/>
      </c>
      <c r="AK189" t="str">
        <f>AD188</f>
        <v/>
      </c>
    </row>
    <row r="190">
      <c r="AB190" t="str">
        <f>IFERROR(INDEX('CAD_PARCEIROS'!$P$6:$P$205,MATCH(185,'CAD_PARCEIROS'!$S$6:$S$205,0))&amp;"","")</f>
        <v/>
      </c>
      <c r="AC190" t="str">
        <f>IFERROR(INDEX('CAD_PARCEIROS'!$P$6:$P$205,MATCH(185,'CAD_PARCEIROS'!$U$6:$U$205,0))&amp;"","")</f>
        <v/>
      </c>
      <c r="AD190" t="str">
        <f>IFERROR(INDEX('CAD_RESÍDUOS'!$B$6:$B$205,MATCH(185,'CAD_RESÍDUOS'!$L$6:$L$205,0))&amp;"","")</f>
        <v/>
      </c>
      <c r="AE190" t="str">
        <f>IFERROR(INDEX('MTRs'!$BD$6:$BD$505,MATCH(185,'MTRs'!$BE$6:$BE$505,0))&amp;"","")</f>
        <v/>
      </c>
      <c r="AF190" t="str">
        <f>IFERROR(INDEX('ITENS_MTR'!$AS$6:$AS$1005,MATCH(185,'ITENS_MTR'!$AT$6:$AT$1005,0))&amp;"","")</f>
        <v/>
      </c>
      <c r="AG190" t="str">
        <f>IFERROR(INDEX('CDFs'!$Y$6:$Y$505,MATCH(185,'CDFs'!$Z$6:$Z$505,0))&amp;"","")</f>
        <v/>
      </c>
      <c r="AI190" t="str">
        <f>AB189</f>
        <v/>
      </c>
      <c r="AJ190" t="str">
        <f>AC189</f>
        <v/>
      </c>
      <c r="AK190" t="str">
        <f>AD189</f>
        <v/>
      </c>
    </row>
    <row r="191">
      <c r="AB191" t="str">
        <f>IFERROR(INDEX('CAD_PARCEIROS'!$P$6:$P$205,MATCH(186,'CAD_PARCEIROS'!$S$6:$S$205,0))&amp;"","")</f>
        <v/>
      </c>
      <c r="AC191" t="str">
        <f>IFERROR(INDEX('CAD_PARCEIROS'!$P$6:$P$205,MATCH(186,'CAD_PARCEIROS'!$U$6:$U$205,0))&amp;"","")</f>
        <v/>
      </c>
      <c r="AD191" t="str">
        <f>IFERROR(INDEX('CAD_RESÍDUOS'!$B$6:$B$205,MATCH(186,'CAD_RESÍDUOS'!$L$6:$L$205,0))&amp;"","")</f>
        <v/>
      </c>
      <c r="AE191" t="str">
        <f>IFERROR(INDEX('MTRs'!$BD$6:$BD$505,MATCH(186,'MTRs'!$BE$6:$BE$505,0))&amp;"","")</f>
        <v/>
      </c>
      <c r="AF191" t="str">
        <f>IFERROR(INDEX('ITENS_MTR'!$AS$6:$AS$1005,MATCH(186,'ITENS_MTR'!$AT$6:$AT$1005,0))&amp;"","")</f>
        <v/>
      </c>
      <c r="AG191" t="str">
        <f>IFERROR(INDEX('CDFs'!$Y$6:$Y$505,MATCH(186,'CDFs'!$Z$6:$Z$505,0))&amp;"","")</f>
        <v/>
      </c>
      <c r="AI191" t="str">
        <f>AB190</f>
        <v/>
      </c>
      <c r="AJ191" t="str">
        <f>AC190</f>
        <v/>
      </c>
      <c r="AK191" t="str">
        <f>AD190</f>
        <v/>
      </c>
    </row>
    <row r="192">
      <c r="AB192" t="str">
        <f>IFERROR(INDEX('CAD_PARCEIROS'!$P$6:$P$205,MATCH(187,'CAD_PARCEIROS'!$S$6:$S$205,0))&amp;"","")</f>
        <v/>
      </c>
      <c r="AC192" t="str">
        <f>IFERROR(INDEX('CAD_PARCEIROS'!$P$6:$P$205,MATCH(187,'CAD_PARCEIROS'!$U$6:$U$205,0))&amp;"","")</f>
        <v/>
      </c>
      <c r="AD192" t="str">
        <f>IFERROR(INDEX('CAD_RESÍDUOS'!$B$6:$B$205,MATCH(187,'CAD_RESÍDUOS'!$L$6:$L$205,0))&amp;"","")</f>
        <v/>
      </c>
      <c r="AE192" t="str">
        <f>IFERROR(INDEX('MTRs'!$BD$6:$BD$505,MATCH(187,'MTRs'!$BE$6:$BE$505,0))&amp;"","")</f>
        <v/>
      </c>
      <c r="AF192" t="str">
        <f>IFERROR(INDEX('ITENS_MTR'!$AS$6:$AS$1005,MATCH(187,'ITENS_MTR'!$AT$6:$AT$1005,0))&amp;"","")</f>
        <v/>
      </c>
      <c r="AG192" t="str">
        <f>IFERROR(INDEX('CDFs'!$Y$6:$Y$505,MATCH(187,'CDFs'!$Z$6:$Z$505,0))&amp;"","")</f>
        <v/>
      </c>
      <c r="AI192" t="str">
        <f>AB191</f>
        <v/>
      </c>
      <c r="AJ192" t="str">
        <f>AC191</f>
        <v/>
      </c>
      <c r="AK192" t="str">
        <f>AD191</f>
        <v/>
      </c>
    </row>
    <row r="193">
      <c r="AB193" t="str">
        <f>IFERROR(INDEX('CAD_PARCEIROS'!$P$6:$P$205,MATCH(188,'CAD_PARCEIROS'!$S$6:$S$205,0))&amp;"","")</f>
        <v/>
      </c>
      <c r="AC193" t="str">
        <f>IFERROR(INDEX('CAD_PARCEIROS'!$P$6:$P$205,MATCH(188,'CAD_PARCEIROS'!$U$6:$U$205,0))&amp;"","")</f>
        <v/>
      </c>
      <c r="AD193" t="str">
        <f>IFERROR(INDEX('CAD_RESÍDUOS'!$B$6:$B$205,MATCH(188,'CAD_RESÍDUOS'!$L$6:$L$205,0))&amp;"","")</f>
        <v/>
      </c>
      <c r="AE193" t="str">
        <f>IFERROR(INDEX('MTRs'!$BD$6:$BD$505,MATCH(188,'MTRs'!$BE$6:$BE$505,0))&amp;"","")</f>
        <v/>
      </c>
      <c r="AF193" t="str">
        <f>IFERROR(INDEX('ITENS_MTR'!$AS$6:$AS$1005,MATCH(188,'ITENS_MTR'!$AT$6:$AT$1005,0))&amp;"","")</f>
        <v/>
      </c>
      <c r="AG193" t="str">
        <f>IFERROR(INDEX('CDFs'!$Y$6:$Y$505,MATCH(188,'CDFs'!$Z$6:$Z$505,0))&amp;"","")</f>
        <v/>
      </c>
      <c r="AI193" t="str">
        <f>AB192</f>
        <v/>
      </c>
      <c r="AJ193" t="str">
        <f>AC192</f>
        <v/>
      </c>
      <c r="AK193" t="str">
        <f>AD192</f>
        <v/>
      </c>
    </row>
    <row r="194">
      <c r="AB194" t="str">
        <f>IFERROR(INDEX('CAD_PARCEIROS'!$P$6:$P$205,MATCH(189,'CAD_PARCEIROS'!$S$6:$S$205,0))&amp;"","")</f>
        <v/>
      </c>
      <c r="AC194" t="str">
        <f>IFERROR(INDEX('CAD_PARCEIROS'!$P$6:$P$205,MATCH(189,'CAD_PARCEIROS'!$U$6:$U$205,0))&amp;"","")</f>
        <v/>
      </c>
      <c r="AD194" t="str">
        <f>IFERROR(INDEX('CAD_RESÍDUOS'!$B$6:$B$205,MATCH(189,'CAD_RESÍDUOS'!$L$6:$L$205,0))&amp;"","")</f>
        <v/>
      </c>
      <c r="AE194" t="str">
        <f>IFERROR(INDEX('MTRs'!$BD$6:$BD$505,MATCH(189,'MTRs'!$BE$6:$BE$505,0))&amp;"","")</f>
        <v/>
      </c>
      <c r="AF194" t="str">
        <f>IFERROR(INDEX('ITENS_MTR'!$AS$6:$AS$1005,MATCH(189,'ITENS_MTR'!$AT$6:$AT$1005,0))&amp;"","")</f>
        <v/>
      </c>
      <c r="AG194" t="str">
        <f>IFERROR(INDEX('CDFs'!$Y$6:$Y$505,MATCH(189,'CDFs'!$Z$6:$Z$505,0))&amp;"","")</f>
        <v/>
      </c>
      <c r="AI194" t="str">
        <f>AB193</f>
        <v/>
      </c>
      <c r="AJ194" t="str">
        <f>AC193</f>
        <v/>
      </c>
      <c r="AK194" t="str">
        <f>AD193</f>
        <v/>
      </c>
    </row>
    <row r="195">
      <c r="AB195" t="str">
        <f>IFERROR(INDEX('CAD_PARCEIROS'!$P$6:$P$205,MATCH(190,'CAD_PARCEIROS'!$S$6:$S$205,0))&amp;"","")</f>
        <v/>
      </c>
      <c r="AC195" t="str">
        <f>IFERROR(INDEX('CAD_PARCEIROS'!$P$6:$P$205,MATCH(190,'CAD_PARCEIROS'!$U$6:$U$205,0))&amp;"","")</f>
        <v/>
      </c>
      <c r="AD195" t="str">
        <f>IFERROR(INDEX('CAD_RESÍDUOS'!$B$6:$B$205,MATCH(190,'CAD_RESÍDUOS'!$L$6:$L$205,0))&amp;"","")</f>
        <v/>
      </c>
      <c r="AE195" t="str">
        <f>IFERROR(INDEX('MTRs'!$BD$6:$BD$505,MATCH(190,'MTRs'!$BE$6:$BE$505,0))&amp;"","")</f>
        <v/>
      </c>
      <c r="AF195" t="str">
        <f>IFERROR(INDEX('ITENS_MTR'!$AS$6:$AS$1005,MATCH(190,'ITENS_MTR'!$AT$6:$AT$1005,0))&amp;"","")</f>
        <v/>
      </c>
      <c r="AG195" t="str">
        <f>IFERROR(INDEX('CDFs'!$Y$6:$Y$505,MATCH(190,'CDFs'!$Z$6:$Z$505,0))&amp;"","")</f>
        <v/>
      </c>
      <c r="AI195" t="str">
        <f>AB194</f>
        <v/>
      </c>
      <c r="AJ195" t="str">
        <f>AC194</f>
        <v/>
      </c>
      <c r="AK195" t="str">
        <f>AD194</f>
        <v/>
      </c>
    </row>
    <row r="196">
      <c r="AB196" t="str">
        <f>IFERROR(INDEX('CAD_PARCEIROS'!$P$6:$P$205,MATCH(191,'CAD_PARCEIROS'!$S$6:$S$205,0))&amp;"","")</f>
        <v/>
      </c>
      <c r="AC196" t="str">
        <f>IFERROR(INDEX('CAD_PARCEIROS'!$P$6:$P$205,MATCH(191,'CAD_PARCEIROS'!$U$6:$U$205,0))&amp;"","")</f>
        <v/>
      </c>
      <c r="AD196" t="str">
        <f>IFERROR(INDEX('CAD_RESÍDUOS'!$B$6:$B$205,MATCH(191,'CAD_RESÍDUOS'!$L$6:$L$205,0))&amp;"","")</f>
        <v/>
      </c>
      <c r="AE196" t="str">
        <f>IFERROR(INDEX('MTRs'!$BD$6:$BD$505,MATCH(191,'MTRs'!$BE$6:$BE$505,0))&amp;"","")</f>
        <v/>
      </c>
      <c r="AF196" t="str">
        <f>IFERROR(INDEX('ITENS_MTR'!$AS$6:$AS$1005,MATCH(191,'ITENS_MTR'!$AT$6:$AT$1005,0))&amp;"","")</f>
        <v/>
      </c>
      <c r="AG196" t="str">
        <f>IFERROR(INDEX('CDFs'!$Y$6:$Y$505,MATCH(191,'CDFs'!$Z$6:$Z$505,0))&amp;"","")</f>
        <v/>
      </c>
      <c r="AI196" t="str">
        <f>AB195</f>
        <v/>
      </c>
      <c r="AJ196" t="str">
        <f>AC195</f>
        <v/>
      </c>
      <c r="AK196" t="str">
        <f>AD195</f>
        <v/>
      </c>
    </row>
    <row r="197">
      <c r="AB197" t="str">
        <f>IFERROR(INDEX('CAD_PARCEIROS'!$P$6:$P$205,MATCH(192,'CAD_PARCEIROS'!$S$6:$S$205,0))&amp;"","")</f>
        <v/>
      </c>
      <c r="AC197" t="str">
        <f>IFERROR(INDEX('CAD_PARCEIROS'!$P$6:$P$205,MATCH(192,'CAD_PARCEIROS'!$U$6:$U$205,0))&amp;"","")</f>
        <v/>
      </c>
      <c r="AD197" t="str">
        <f>IFERROR(INDEX('CAD_RESÍDUOS'!$B$6:$B$205,MATCH(192,'CAD_RESÍDUOS'!$L$6:$L$205,0))&amp;"","")</f>
        <v/>
      </c>
      <c r="AE197" t="str">
        <f>IFERROR(INDEX('MTRs'!$BD$6:$BD$505,MATCH(192,'MTRs'!$BE$6:$BE$505,0))&amp;"","")</f>
        <v/>
      </c>
      <c r="AF197" t="str">
        <f>IFERROR(INDEX('ITENS_MTR'!$AS$6:$AS$1005,MATCH(192,'ITENS_MTR'!$AT$6:$AT$1005,0))&amp;"","")</f>
        <v/>
      </c>
      <c r="AG197" t="str">
        <f>IFERROR(INDEX('CDFs'!$Y$6:$Y$505,MATCH(192,'CDFs'!$Z$6:$Z$505,0))&amp;"","")</f>
        <v/>
      </c>
      <c r="AI197" t="str">
        <f>AB196</f>
        <v/>
      </c>
      <c r="AJ197" t="str">
        <f>AC196</f>
        <v/>
      </c>
      <c r="AK197" t="str">
        <f>AD196</f>
        <v/>
      </c>
    </row>
    <row r="198">
      <c r="AB198" t="str">
        <f>IFERROR(INDEX('CAD_PARCEIROS'!$P$6:$P$205,MATCH(193,'CAD_PARCEIROS'!$S$6:$S$205,0))&amp;"","")</f>
        <v/>
      </c>
      <c r="AC198" t="str">
        <f>IFERROR(INDEX('CAD_PARCEIROS'!$P$6:$P$205,MATCH(193,'CAD_PARCEIROS'!$U$6:$U$205,0))&amp;"","")</f>
        <v/>
      </c>
      <c r="AD198" t="str">
        <f>IFERROR(INDEX('CAD_RESÍDUOS'!$B$6:$B$205,MATCH(193,'CAD_RESÍDUOS'!$L$6:$L$205,0))&amp;"","")</f>
        <v/>
      </c>
      <c r="AE198" t="str">
        <f>IFERROR(INDEX('MTRs'!$BD$6:$BD$505,MATCH(193,'MTRs'!$BE$6:$BE$505,0))&amp;"","")</f>
        <v/>
      </c>
      <c r="AF198" t="str">
        <f>IFERROR(INDEX('ITENS_MTR'!$AS$6:$AS$1005,MATCH(193,'ITENS_MTR'!$AT$6:$AT$1005,0))&amp;"","")</f>
        <v/>
      </c>
      <c r="AG198" t="str">
        <f>IFERROR(INDEX('CDFs'!$Y$6:$Y$505,MATCH(193,'CDFs'!$Z$6:$Z$505,0))&amp;"","")</f>
        <v/>
      </c>
      <c r="AI198" t="str">
        <f>AB197</f>
        <v/>
      </c>
      <c r="AJ198" t="str">
        <f>AC197</f>
        <v/>
      </c>
      <c r="AK198" t="str">
        <f>AD197</f>
        <v/>
      </c>
    </row>
    <row r="199">
      <c r="AB199" t="str">
        <f>IFERROR(INDEX('CAD_PARCEIROS'!$P$6:$P$205,MATCH(194,'CAD_PARCEIROS'!$S$6:$S$205,0))&amp;"","")</f>
        <v/>
      </c>
      <c r="AC199" t="str">
        <f>IFERROR(INDEX('CAD_PARCEIROS'!$P$6:$P$205,MATCH(194,'CAD_PARCEIROS'!$U$6:$U$205,0))&amp;"","")</f>
        <v/>
      </c>
      <c r="AD199" t="str">
        <f>IFERROR(INDEX('CAD_RESÍDUOS'!$B$6:$B$205,MATCH(194,'CAD_RESÍDUOS'!$L$6:$L$205,0))&amp;"","")</f>
        <v/>
      </c>
      <c r="AE199" t="str">
        <f>IFERROR(INDEX('MTRs'!$BD$6:$BD$505,MATCH(194,'MTRs'!$BE$6:$BE$505,0))&amp;"","")</f>
        <v/>
      </c>
      <c r="AF199" t="str">
        <f>IFERROR(INDEX('ITENS_MTR'!$AS$6:$AS$1005,MATCH(194,'ITENS_MTR'!$AT$6:$AT$1005,0))&amp;"","")</f>
        <v/>
      </c>
      <c r="AG199" t="str">
        <f>IFERROR(INDEX('CDFs'!$Y$6:$Y$505,MATCH(194,'CDFs'!$Z$6:$Z$505,0))&amp;"","")</f>
        <v/>
      </c>
      <c r="AI199" t="str">
        <f>AB198</f>
        <v/>
      </c>
      <c r="AJ199" t="str">
        <f>AC198</f>
        <v/>
      </c>
      <c r="AK199" t="str">
        <f>AD198</f>
        <v/>
      </c>
    </row>
    <row r="200">
      <c r="AB200" t="str">
        <f>IFERROR(INDEX('CAD_PARCEIROS'!$P$6:$P$205,MATCH(195,'CAD_PARCEIROS'!$S$6:$S$205,0))&amp;"","")</f>
        <v/>
      </c>
      <c r="AC200" t="str">
        <f>IFERROR(INDEX('CAD_PARCEIROS'!$P$6:$P$205,MATCH(195,'CAD_PARCEIROS'!$U$6:$U$205,0))&amp;"","")</f>
        <v/>
      </c>
      <c r="AD200" t="str">
        <f>IFERROR(INDEX('CAD_RESÍDUOS'!$B$6:$B$205,MATCH(195,'CAD_RESÍDUOS'!$L$6:$L$205,0))&amp;"","")</f>
        <v/>
      </c>
      <c r="AE200" t="str">
        <f>IFERROR(INDEX('MTRs'!$BD$6:$BD$505,MATCH(195,'MTRs'!$BE$6:$BE$505,0))&amp;"","")</f>
        <v/>
      </c>
      <c r="AF200" t="str">
        <f>IFERROR(INDEX('ITENS_MTR'!$AS$6:$AS$1005,MATCH(195,'ITENS_MTR'!$AT$6:$AT$1005,0))&amp;"","")</f>
        <v/>
      </c>
      <c r="AG200" t="str">
        <f>IFERROR(INDEX('CDFs'!$Y$6:$Y$505,MATCH(195,'CDFs'!$Z$6:$Z$505,0))&amp;"","")</f>
        <v/>
      </c>
      <c r="AI200" t="str">
        <f>AB199</f>
        <v/>
      </c>
      <c r="AJ200" t="str">
        <f>AC199</f>
        <v/>
      </c>
      <c r="AK200" t="str">
        <f>AD199</f>
        <v/>
      </c>
    </row>
    <row r="201">
      <c r="AB201" t="str">
        <f>IFERROR(INDEX('CAD_PARCEIROS'!$P$6:$P$205,MATCH(196,'CAD_PARCEIROS'!$S$6:$S$205,0))&amp;"","")</f>
        <v/>
      </c>
      <c r="AC201" t="str">
        <f>IFERROR(INDEX('CAD_PARCEIROS'!$P$6:$P$205,MATCH(196,'CAD_PARCEIROS'!$U$6:$U$205,0))&amp;"","")</f>
        <v/>
      </c>
      <c r="AD201" t="str">
        <f>IFERROR(INDEX('CAD_RESÍDUOS'!$B$6:$B$205,MATCH(196,'CAD_RESÍDUOS'!$L$6:$L$205,0))&amp;"","")</f>
        <v/>
      </c>
      <c r="AE201" t="str">
        <f>IFERROR(INDEX('MTRs'!$BD$6:$BD$505,MATCH(196,'MTRs'!$BE$6:$BE$505,0))&amp;"","")</f>
        <v/>
      </c>
      <c r="AF201" t="str">
        <f>IFERROR(INDEX('ITENS_MTR'!$AS$6:$AS$1005,MATCH(196,'ITENS_MTR'!$AT$6:$AT$1005,0))&amp;"","")</f>
        <v/>
      </c>
      <c r="AG201" t="str">
        <f>IFERROR(INDEX('CDFs'!$Y$6:$Y$505,MATCH(196,'CDFs'!$Z$6:$Z$505,0))&amp;"","")</f>
        <v/>
      </c>
      <c r="AI201" t="str">
        <f>AB200</f>
        <v/>
      </c>
      <c r="AJ201" t="str">
        <f>AC200</f>
        <v/>
      </c>
      <c r="AK201" t="str">
        <f>AD200</f>
        <v/>
      </c>
    </row>
    <row r="202">
      <c r="AB202" t="str">
        <f>IFERROR(INDEX('CAD_PARCEIROS'!$P$6:$P$205,MATCH(197,'CAD_PARCEIROS'!$S$6:$S$205,0))&amp;"","")</f>
        <v/>
      </c>
      <c r="AC202" t="str">
        <f>IFERROR(INDEX('CAD_PARCEIROS'!$P$6:$P$205,MATCH(197,'CAD_PARCEIROS'!$U$6:$U$205,0))&amp;"","")</f>
        <v/>
      </c>
      <c r="AD202" t="str">
        <f>IFERROR(INDEX('CAD_RESÍDUOS'!$B$6:$B$205,MATCH(197,'CAD_RESÍDUOS'!$L$6:$L$205,0))&amp;"","")</f>
        <v/>
      </c>
      <c r="AE202" t="str">
        <f>IFERROR(INDEX('MTRs'!$BD$6:$BD$505,MATCH(197,'MTRs'!$BE$6:$BE$505,0))&amp;"","")</f>
        <v/>
      </c>
      <c r="AF202" t="str">
        <f>IFERROR(INDEX('ITENS_MTR'!$AS$6:$AS$1005,MATCH(197,'ITENS_MTR'!$AT$6:$AT$1005,0))&amp;"","")</f>
        <v/>
      </c>
      <c r="AG202" t="str">
        <f>IFERROR(INDEX('CDFs'!$Y$6:$Y$505,MATCH(197,'CDFs'!$Z$6:$Z$505,0))&amp;"","")</f>
        <v/>
      </c>
      <c r="AI202" t="str">
        <f>AB201</f>
        <v/>
      </c>
      <c r="AJ202" t="str">
        <f>AC201</f>
        <v/>
      </c>
      <c r="AK202" t="str">
        <f>AD201</f>
        <v/>
      </c>
    </row>
    <row r="203">
      <c r="AB203" t="str">
        <f>IFERROR(INDEX('CAD_PARCEIROS'!$P$6:$P$205,MATCH(198,'CAD_PARCEIROS'!$S$6:$S$205,0))&amp;"","")</f>
        <v/>
      </c>
      <c r="AC203" t="str">
        <f>IFERROR(INDEX('CAD_PARCEIROS'!$P$6:$P$205,MATCH(198,'CAD_PARCEIROS'!$U$6:$U$205,0))&amp;"","")</f>
        <v/>
      </c>
      <c r="AD203" t="str">
        <f>IFERROR(INDEX('CAD_RESÍDUOS'!$B$6:$B$205,MATCH(198,'CAD_RESÍDUOS'!$L$6:$L$205,0))&amp;"","")</f>
        <v/>
      </c>
      <c r="AE203" t="str">
        <f>IFERROR(INDEX('MTRs'!$BD$6:$BD$505,MATCH(198,'MTRs'!$BE$6:$BE$505,0))&amp;"","")</f>
        <v/>
      </c>
      <c r="AF203" t="str">
        <f>IFERROR(INDEX('ITENS_MTR'!$AS$6:$AS$1005,MATCH(198,'ITENS_MTR'!$AT$6:$AT$1005,0))&amp;"","")</f>
        <v/>
      </c>
      <c r="AG203" t="str">
        <f>IFERROR(INDEX('CDFs'!$Y$6:$Y$505,MATCH(198,'CDFs'!$Z$6:$Z$505,0))&amp;"","")</f>
        <v/>
      </c>
      <c r="AI203" t="str">
        <f>AB202</f>
        <v/>
      </c>
      <c r="AJ203" t="str">
        <f>AC202</f>
        <v/>
      </c>
      <c r="AK203" t="str">
        <f>AD202</f>
        <v/>
      </c>
    </row>
    <row r="204">
      <c r="AB204" t="str">
        <f>IFERROR(INDEX('CAD_PARCEIROS'!$P$6:$P$205,MATCH(199,'CAD_PARCEIROS'!$S$6:$S$205,0))&amp;"","")</f>
        <v/>
      </c>
      <c r="AC204" t="str">
        <f>IFERROR(INDEX('CAD_PARCEIROS'!$P$6:$P$205,MATCH(199,'CAD_PARCEIROS'!$U$6:$U$205,0))&amp;"","")</f>
        <v/>
      </c>
      <c r="AD204" t="str">
        <f>IFERROR(INDEX('CAD_RESÍDUOS'!$B$6:$B$205,MATCH(199,'CAD_RESÍDUOS'!$L$6:$L$205,0))&amp;"","")</f>
        <v/>
      </c>
      <c r="AE204" t="str">
        <f>IFERROR(INDEX('MTRs'!$BD$6:$BD$505,MATCH(199,'MTRs'!$BE$6:$BE$505,0))&amp;"","")</f>
        <v/>
      </c>
      <c r="AF204" t="str">
        <f>IFERROR(INDEX('ITENS_MTR'!$AS$6:$AS$1005,MATCH(199,'ITENS_MTR'!$AT$6:$AT$1005,0))&amp;"","")</f>
        <v/>
      </c>
      <c r="AG204" t="str">
        <f>IFERROR(INDEX('CDFs'!$Y$6:$Y$505,MATCH(199,'CDFs'!$Z$6:$Z$505,0))&amp;"","")</f>
        <v/>
      </c>
      <c r="AI204" t="str">
        <f>AB203</f>
        <v/>
      </c>
      <c r="AJ204" t="str">
        <f>AC203</f>
        <v/>
      </c>
      <c r="AK204" t="str">
        <f>AD203</f>
        <v/>
      </c>
    </row>
    <row r="205">
      <c r="AB205" t="str">
        <f>IFERROR(INDEX('CAD_PARCEIROS'!$P$6:$P$205,MATCH(200,'CAD_PARCEIROS'!$S$6:$S$205,0))&amp;"","")</f>
        <v/>
      </c>
      <c r="AC205" t="str">
        <f>IFERROR(INDEX('CAD_PARCEIROS'!$P$6:$P$205,MATCH(200,'CAD_PARCEIROS'!$U$6:$U$205,0))&amp;"","")</f>
        <v/>
      </c>
      <c r="AD205" t="str">
        <f>IFERROR(INDEX('CAD_RESÍDUOS'!$B$6:$B$205,MATCH(200,'CAD_RESÍDUOS'!$L$6:$L$205,0))&amp;"","")</f>
        <v/>
      </c>
      <c r="AE205" t="str">
        <f>IFERROR(INDEX('MTRs'!$BD$6:$BD$505,MATCH(200,'MTRs'!$BE$6:$BE$505,0))&amp;"","")</f>
        <v/>
      </c>
      <c r="AF205" t="str">
        <f>IFERROR(INDEX('ITENS_MTR'!$AS$6:$AS$1005,MATCH(200,'ITENS_MTR'!$AT$6:$AT$1005,0))&amp;"","")</f>
        <v/>
      </c>
      <c r="AG205" t="str">
        <f>IFERROR(INDEX('CDFs'!$Y$6:$Y$505,MATCH(200,'CDFs'!$Z$6:$Z$505,0))&amp;"","")</f>
        <v/>
      </c>
      <c r="AI205" t="str">
        <f>AB204</f>
        <v/>
      </c>
      <c r="AJ205" t="str">
        <f>AC204</f>
        <v/>
      </c>
      <c r="AK205" t="str">
        <f>AD204</f>
        <v/>
      </c>
    </row>
    <row r="206">
      <c r="AE206" t="str">
        <f>IFERROR(INDEX('MTRs'!$BD$6:$BD$505,MATCH(201,'MTRs'!$BE$6:$BE$505,0))&amp;"","")</f>
        <v/>
      </c>
      <c r="AF206" t="str">
        <f>IFERROR(INDEX('ITENS_MTR'!$AS$6:$AS$1005,MATCH(201,'ITENS_MTR'!$AT$6:$AT$1005,0))&amp;"","")</f>
        <v/>
      </c>
      <c r="AG206" t="str">
        <f>IFERROR(INDEX('CDFs'!$Y$6:$Y$505,MATCH(201,'CDFs'!$Z$6:$Z$505,0))&amp;"","")</f>
        <v/>
      </c>
      <c r="AI206" t="str">
        <f>AB205</f>
        <v/>
      </c>
      <c r="AJ206" t="str">
        <f>AC205</f>
        <v/>
      </c>
      <c r="AK206" t="str">
        <f>AD205</f>
        <v/>
      </c>
    </row>
    <row r="207">
      <c r="AE207" t="str">
        <f>IFERROR(INDEX('MTRs'!$BD$6:$BD$505,MATCH(202,'MTRs'!$BE$6:$BE$505,0))&amp;"","")</f>
        <v/>
      </c>
      <c r="AF207" t="str">
        <f>IFERROR(INDEX('ITENS_MTR'!$AS$6:$AS$1005,MATCH(202,'ITENS_MTR'!$AT$6:$AT$1005,0))&amp;"","")</f>
        <v/>
      </c>
      <c r="AG207" t="str">
        <f>IFERROR(INDEX('CDFs'!$Y$6:$Y$505,MATCH(202,'CDFs'!$Z$6:$Z$505,0))&amp;"","")</f>
        <v/>
      </c>
    </row>
    <row r="208">
      <c r="AE208" t="str">
        <f>IFERROR(INDEX('MTRs'!$BD$6:$BD$505,MATCH(203,'MTRs'!$BE$6:$BE$505,0))&amp;"","")</f>
        <v/>
      </c>
      <c r="AF208" t="str">
        <f>IFERROR(INDEX('ITENS_MTR'!$AS$6:$AS$1005,MATCH(203,'ITENS_MTR'!$AT$6:$AT$1005,0))&amp;"","")</f>
        <v/>
      </c>
      <c r="AG208" t="str">
        <f>IFERROR(INDEX('CDFs'!$Y$6:$Y$505,MATCH(203,'CDFs'!$Z$6:$Z$505,0))&amp;"","")</f>
        <v/>
      </c>
    </row>
    <row r="209">
      <c r="AE209" t="str">
        <f>IFERROR(INDEX('MTRs'!$BD$6:$BD$505,MATCH(204,'MTRs'!$BE$6:$BE$505,0))&amp;"","")</f>
        <v/>
      </c>
      <c r="AF209" t="str">
        <f>IFERROR(INDEX('ITENS_MTR'!$AS$6:$AS$1005,MATCH(204,'ITENS_MTR'!$AT$6:$AT$1005,0))&amp;"","")</f>
        <v/>
      </c>
      <c r="AG209" t="str">
        <f>IFERROR(INDEX('CDFs'!$Y$6:$Y$505,MATCH(204,'CDFs'!$Z$6:$Z$505,0))&amp;"","")</f>
        <v/>
      </c>
    </row>
    <row r="210">
      <c r="AE210" t="str">
        <f>IFERROR(INDEX('MTRs'!$BD$6:$BD$505,MATCH(205,'MTRs'!$BE$6:$BE$505,0))&amp;"","")</f>
        <v/>
      </c>
      <c r="AF210" t="str">
        <f>IFERROR(INDEX('ITENS_MTR'!$AS$6:$AS$1005,MATCH(205,'ITENS_MTR'!$AT$6:$AT$1005,0))&amp;"","")</f>
        <v/>
      </c>
      <c r="AG210" t="str">
        <f>IFERROR(INDEX('CDFs'!$Y$6:$Y$505,MATCH(205,'CDFs'!$Z$6:$Z$505,0))&amp;"","")</f>
        <v/>
      </c>
    </row>
    <row r="211">
      <c r="AE211" t="str">
        <f>IFERROR(INDEX('MTRs'!$BD$6:$BD$505,MATCH(206,'MTRs'!$BE$6:$BE$505,0))&amp;"","")</f>
        <v/>
      </c>
      <c r="AF211" t="str">
        <f>IFERROR(INDEX('ITENS_MTR'!$AS$6:$AS$1005,MATCH(206,'ITENS_MTR'!$AT$6:$AT$1005,0))&amp;"","")</f>
        <v/>
      </c>
      <c r="AG211" t="str">
        <f>IFERROR(INDEX('CDFs'!$Y$6:$Y$505,MATCH(206,'CDFs'!$Z$6:$Z$505,0))&amp;"","")</f>
        <v/>
      </c>
    </row>
    <row r="212">
      <c r="AE212" t="str">
        <f>IFERROR(INDEX('MTRs'!$BD$6:$BD$505,MATCH(207,'MTRs'!$BE$6:$BE$505,0))&amp;"","")</f>
        <v/>
      </c>
      <c r="AF212" t="str">
        <f>IFERROR(INDEX('ITENS_MTR'!$AS$6:$AS$1005,MATCH(207,'ITENS_MTR'!$AT$6:$AT$1005,0))&amp;"","")</f>
        <v/>
      </c>
      <c r="AG212" t="str">
        <f>IFERROR(INDEX('CDFs'!$Y$6:$Y$505,MATCH(207,'CDFs'!$Z$6:$Z$505,0))&amp;"","")</f>
        <v/>
      </c>
    </row>
    <row r="213">
      <c r="AE213" t="str">
        <f>IFERROR(INDEX('MTRs'!$BD$6:$BD$505,MATCH(208,'MTRs'!$BE$6:$BE$505,0))&amp;"","")</f>
        <v/>
      </c>
      <c r="AF213" t="str">
        <f>IFERROR(INDEX('ITENS_MTR'!$AS$6:$AS$1005,MATCH(208,'ITENS_MTR'!$AT$6:$AT$1005,0))&amp;"","")</f>
        <v/>
      </c>
      <c r="AG213" t="str">
        <f>IFERROR(INDEX('CDFs'!$Y$6:$Y$505,MATCH(208,'CDFs'!$Z$6:$Z$505,0))&amp;"","")</f>
        <v/>
      </c>
    </row>
    <row r="214">
      <c r="AE214" t="str">
        <f>IFERROR(INDEX('MTRs'!$BD$6:$BD$505,MATCH(209,'MTRs'!$BE$6:$BE$505,0))&amp;"","")</f>
        <v/>
      </c>
      <c r="AF214" t="str">
        <f>IFERROR(INDEX('ITENS_MTR'!$AS$6:$AS$1005,MATCH(209,'ITENS_MTR'!$AT$6:$AT$1005,0))&amp;"","")</f>
        <v/>
      </c>
      <c r="AG214" t="str">
        <f>IFERROR(INDEX('CDFs'!$Y$6:$Y$505,MATCH(209,'CDFs'!$Z$6:$Z$505,0))&amp;"","")</f>
        <v/>
      </c>
    </row>
    <row r="215">
      <c r="AE215" t="str">
        <f>IFERROR(INDEX('MTRs'!$BD$6:$BD$505,MATCH(210,'MTRs'!$BE$6:$BE$505,0))&amp;"","")</f>
        <v/>
      </c>
      <c r="AF215" t="str">
        <f>IFERROR(INDEX('ITENS_MTR'!$AS$6:$AS$1005,MATCH(210,'ITENS_MTR'!$AT$6:$AT$1005,0))&amp;"","")</f>
        <v/>
      </c>
      <c r="AG215" t="str">
        <f>IFERROR(INDEX('CDFs'!$Y$6:$Y$505,MATCH(210,'CDFs'!$Z$6:$Z$505,0))&amp;"","")</f>
        <v/>
      </c>
    </row>
    <row r="216">
      <c r="AE216" t="str">
        <f>IFERROR(INDEX('MTRs'!$BD$6:$BD$505,MATCH(211,'MTRs'!$BE$6:$BE$505,0))&amp;"","")</f>
        <v/>
      </c>
      <c r="AF216" t="str">
        <f>IFERROR(INDEX('ITENS_MTR'!$AS$6:$AS$1005,MATCH(211,'ITENS_MTR'!$AT$6:$AT$1005,0))&amp;"","")</f>
        <v/>
      </c>
      <c r="AG216" t="str">
        <f>IFERROR(INDEX('CDFs'!$Y$6:$Y$505,MATCH(211,'CDFs'!$Z$6:$Z$505,0))&amp;"","")</f>
        <v/>
      </c>
    </row>
    <row r="217">
      <c r="AE217" t="str">
        <f>IFERROR(INDEX('MTRs'!$BD$6:$BD$505,MATCH(212,'MTRs'!$BE$6:$BE$505,0))&amp;"","")</f>
        <v/>
      </c>
      <c r="AF217" t="str">
        <f>IFERROR(INDEX('ITENS_MTR'!$AS$6:$AS$1005,MATCH(212,'ITENS_MTR'!$AT$6:$AT$1005,0))&amp;"","")</f>
        <v/>
      </c>
      <c r="AG217" t="str">
        <f>IFERROR(INDEX('CDFs'!$Y$6:$Y$505,MATCH(212,'CDFs'!$Z$6:$Z$505,0))&amp;"","")</f>
        <v/>
      </c>
    </row>
    <row r="218">
      <c r="AE218" t="str">
        <f>IFERROR(INDEX('MTRs'!$BD$6:$BD$505,MATCH(213,'MTRs'!$BE$6:$BE$505,0))&amp;"","")</f>
        <v/>
      </c>
      <c r="AF218" t="str">
        <f>IFERROR(INDEX('ITENS_MTR'!$AS$6:$AS$1005,MATCH(213,'ITENS_MTR'!$AT$6:$AT$1005,0))&amp;"","")</f>
        <v/>
      </c>
      <c r="AG218" t="str">
        <f>IFERROR(INDEX('CDFs'!$Y$6:$Y$505,MATCH(213,'CDFs'!$Z$6:$Z$505,0))&amp;"","")</f>
        <v/>
      </c>
    </row>
    <row r="219">
      <c r="AE219" t="str">
        <f>IFERROR(INDEX('MTRs'!$BD$6:$BD$505,MATCH(214,'MTRs'!$BE$6:$BE$505,0))&amp;"","")</f>
        <v/>
      </c>
      <c r="AF219" t="str">
        <f>IFERROR(INDEX('ITENS_MTR'!$AS$6:$AS$1005,MATCH(214,'ITENS_MTR'!$AT$6:$AT$1005,0))&amp;"","")</f>
        <v/>
      </c>
      <c r="AG219" t="str">
        <f>IFERROR(INDEX('CDFs'!$Y$6:$Y$505,MATCH(214,'CDFs'!$Z$6:$Z$505,0))&amp;"","")</f>
        <v/>
      </c>
    </row>
    <row r="220">
      <c r="AE220" t="str">
        <f>IFERROR(INDEX('MTRs'!$BD$6:$BD$505,MATCH(215,'MTRs'!$BE$6:$BE$505,0))&amp;"","")</f>
        <v/>
      </c>
      <c r="AF220" t="str">
        <f>IFERROR(INDEX('ITENS_MTR'!$AS$6:$AS$1005,MATCH(215,'ITENS_MTR'!$AT$6:$AT$1005,0))&amp;"","")</f>
        <v/>
      </c>
      <c r="AG220" t="str">
        <f>IFERROR(INDEX('CDFs'!$Y$6:$Y$505,MATCH(215,'CDFs'!$Z$6:$Z$505,0))&amp;"","")</f>
        <v/>
      </c>
    </row>
    <row r="221">
      <c r="AE221" t="str">
        <f>IFERROR(INDEX('MTRs'!$BD$6:$BD$505,MATCH(216,'MTRs'!$BE$6:$BE$505,0))&amp;"","")</f>
        <v/>
      </c>
      <c r="AF221" t="str">
        <f>IFERROR(INDEX('ITENS_MTR'!$AS$6:$AS$1005,MATCH(216,'ITENS_MTR'!$AT$6:$AT$1005,0))&amp;"","")</f>
        <v/>
      </c>
      <c r="AG221" t="str">
        <f>IFERROR(INDEX('CDFs'!$Y$6:$Y$505,MATCH(216,'CDFs'!$Z$6:$Z$505,0))&amp;"","")</f>
        <v/>
      </c>
    </row>
    <row r="222">
      <c r="AE222" t="str">
        <f>IFERROR(INDEX('MTRs'!$BD$6:$BD$505,MATCH(217,'MTRs'!$BE$6:$BE$505,0))&amp;"","")</f>
        <v/>
      </c>
      <c r="AF222" t="str">
        <f>IFERROR(INDEX('ITENS_MTR'!$AS$6:$AS$1005,MATCH(217,'ITENS_MTR'!$AT$6:$AT$1005,0))&amp;"","")</f>
        <v/>
      </c>
      <c r="AG222" t="str">
        <f>IFERROR(INDEX('CDFs'!$Y$6:$Y$505,MATCH(217,'CDFs'!$Z$6:$Z$505,0))&amp;"","")</f>
        <v/>
      </c>
    </row>
    <row r="223">
      <c r="AE223" t="str">
        <f>IFERROR(INDEX('MTRs'!$BD$6:$BD$505,MATCH(218,'MTRs'!$BE$6:$BE$505,0))&amp;"","")</f>
        <v/>
      </c>
      <c r="AF223" t="str">
        <f>IFERROR(INDEX('ITENS_MTR'!$AS$6:$AS$1005,MATCH(218,'ITENS_MTR'!$AT$6:$AT$1005,0))&amp;"","")</f>
        <v/>
      </c>
      <c r="AG223" t="str">
        <f>IFERROR(INDEX('CDFs'!$Y$6:$Y$505,MATCH(218,'CDFs'!$Z$6:$Z$505,0))&amp;"","")</f>
        <v/>
      </c>
    </row>
    <row r="224">
      <c r="AE224" t="str">
        <f>IFERROR(INDEX('MTRs'!$BD$6:$BD$505,MATCH(219,'MTRs'!$BE$6:$BE$505,0))&amp;"","")</f>
        <v/>
      </c>
      <c r="AF224" t="str">
        <f>IFERROR(INDEX('ITENS_MTR'!$AS$6:$AS$1005,MATCH(219,'ITENS_MTR'!$AT$6:$AT$1005,0))&amp;"","")</f>
        <v/>
      </c>
      <c r="AG224" t="str">
        <f>IFERROR(INDEX('CDFs'!$Y$6:$Y$505,MATCH(219,'CDFs'!$Z$6:$Z$505,0))&amp;"","")</f>
        <v/>
      </c>
    </row>
    <row r="225">
      <c r="AE225" t="str">
        <f>IFERROR(INDEX('MTRs'!$BD$6:$BD$505,MATCH(220,'MTRs'!$BE$6:$BE$505,0))&amp;"","")</f>
        <v/>
      </c>
      <c r="AF225" t="str">
        <f>IFERROR(INDEX('ITENS_MTR'!$AS$6:$AS$1005,MATCH(220,'ITENS_MTR'!$AT$6:$AT$1005,0))&amp;"","")</f>
        <v/>
      </c>
      <c r="AG225" t="str">
        <f>IFERROR(INDEX('CDFs'!$Y$6:$Y$505,MATCH(220,'CDFs'!$Z$6:$Z$505,0))&amp;"","")</f>
        <v/>
      </c>
    </row>
    <row r="226">
      <c r="AE226" t="str">
        <f>IFERROR(INDEX('MTRs'!$BD$6:$BD$505,MATCH(221,'MTRs'!$BE$6:$BE$505,0))&amp;"","")</f>
        <v/>
      </c>
      <c r="AF226" t="str">
        <f>IFERROR(INDEX('ITENS_MTR'!$AS$6:$AS$1005,MATCH(221,'ITENS_MTR'!$AT$6:$AT$1005,0))&amp;"","")</f>
        <v/>
      </c>
      <c r="AG226" t="str">
        <f>IFERROR(INDEX('CDFs'!$Y$6:$Y$505,MATCH(221,'CDFs'!$Z$6:$Z$505,0))&amp;"","")</f>
        <v/>
      </c>
    </row>
    <row r="227">
      <c r="AE227" t="str">
        <f>IFERROR(INDEX('MTRs'!$BD$6:$BD$505,MATCH(222,'MTRs'!$BE$6:$BE$505,0))&amp;"","")</f>
        <v/>
      </c>
      <c r="AF227" t="str">
        <f>IFERROR(INDEX('ITENS_MTR'!$AS$6:$AS$1005,MATCH(222,'ITENS_MTR'!$AT$6:$AT$1005,0))&amp;"","")</f>
        <v/>
      </c>
      <c r="AG227" t="str">
        <f>IFERROR(INDEX('CDFs'!$Y$6:$Y$505,MATCH(222,'CDFs'!$Z$6:$Z$505,0))&amp;"","")</f>
        <v/>
      </c>
    </row>
    <row r="228">
      <c r="AE228" t="str">
        <f>IFERROR(INDEX('MTRs'!$BD$6:$BD$505,MATCH(223,'MTRs'!$BE$6:$BE$505,0))&amp;"","")</f>
        <v/>
      </c>
      <c r="AF228" t="str">
        <f>IFERROR(INDEX('ITENS_MTR'!$AS$6:$AS$1005,MATCH(223,'ITENS_MTR'!$AT$6:$AT$1005,0))&amp;"","")</f>
        <v/>
      </c>
      <c r="AG228" t="str">
        <f>IFERROR(INDEX('CDFs'!$Y$6:$Y$505,MATCH(223,'CDFs'!$Z$6:$Z$505,0))&amp;"","")</f>
        <v/>
      </c>
    </row>
    <row r="229">
      <c r="AE229" t="str">
        <f>IFERROR(INDEX('MTRs'!$BD$6:$BD$505,MATCH(224,'MTRs'!$BE$6:$BE$505,0))&amp;"","")</f>
        <v/>
      </c>
      <c r="AF229" t="str">
        <f>IFERROR(INDEX('ITENS_MTR'!$AS$6:$AS$1005,MATCH(224,'ITENS_MTR'!$AT$6:$AT$1005,0))&amp;"","")</f>
        <v/>
      </c>
      <c r="AG229" t="str">
        <f>IFERROR(INDEX('CDFs'!$Y$6:$Y$505,MATCH(224,'CDFs'!$Z$6:$Z$505,0))&amp;"","")</f>
        <v/>
      </c>
    </row>
    <row r="230">
      <c r="AE230" t="str">
        <f>IFERROR(INDEX('MTRs'!$BD$6:$BD$505,MATCH(225,'MTRs'!$BE$6:$BE$505,0))&amp;"","")</f>
        <v/>
      </c>
      <c r="AF230" t="str">
        <f>IFERROR(INDEX('ITENS_MTR'!$AS$6:$AS$1005,MATCH(225,'ITENS_MTR'!$AT$6:$AT$1005,0))&amp;"","")</f>
        <v/>
      </c>
      <c r="AG230" t="str">
        <f>IFERROR(INDEX('CDFs'!$Y$6:$Y$505,MATCH(225,'CDFs'!$Z$6:$Z$505,0))&amp;"","")</f>
        <v/>
      </c>
    </row>
    <row r="231">
      <c r="AE231" t="str">
        <f>IFERROR(INDEX('MTRs'!$BD$6:$BD$505,MATCH(226,'MTRs'!$BE$6:$BE$505,0))&amp;"","")</f>
        <v/>
      </c>
      <c r="AF231" t="str">
        <f>IFERROR(INDEX('ITENS_MTR'!$AS$6:$AS$1005,MATCH(226,'ITENS_MTR'!$AT$6:$AT$1005,0))&amp;"","")</f>
        <v/>
      </c>
      <c r="AG231" t="str">
        <f>IFERROR(INDEX('CDFs'!$Y$6:$Y$505,MATCH(226,'CDFs'!$Z$6:$Z$505,0))&amp;"","")</f>
        <v/>
      </c>
    </row>
    <row r="232">
      <c r="AE232" t="str">
        <f>IFERROR(INDEX('MTRs'!$BD$6:$BD$505,MATCH(227,'MTRs'!$BE$6:$BE$505,0))&amp;"","")</f>
        <v/>
      </c>
      <c r="AF232" t="str">
        <f>IFERROR(INDEX('ITENS_MTR'!$AS$6:$AS$1005,MATCH(227,'ITENS_MTR'!$AT$6:$AT$1005,0))&amp;"","")</f>
        <v/>
      </c>
      <c r="AG232" t="str">
        <f>IFERROR(INDEX('CDFs'!$Y$6:$Y$505,MATCH(227,'CDFs'!$Z$6:$Z$505,0))&amp;"","")</f>
        <v/>
      </c>
    </row>
    <row r="233">
      <c r="AE233" t="str">
        <f>IFERROR(INDEX('MTRs'!$BD$6:$BD$505,MATCH(228,'MTRs'!$BE$6:$BE$505,0))&amp;"","")</f>
        <v/>
      </c>
      <c r="AF233" t="str">
        <f>IFERROR(INDEX('ITENS_MTR'!$AS$6:$AS$1005,MATCH(228,'ITENS_MTR'!$AT$6:$AT$1005,0))&amp;"","")</f>
        <v/>
      </c>
      <c r="AG233" t="str">
        <f>IFERROR(INDEX('CDFs'!$Y$6:$Y$505,MATCH(228,'CDFs'!$Z$6:$Z$505,0))&amp;"","")</f>
        <v/>
      </c>
    </row>
    <row r="234">
      <c r="AE234" t="str">
        <f>IFERROR(INDEX('MTRs'!$BD$6:$BD$505,MATCH(229,'MTRs'!$BE$6:$BE$505,0))&amp;"","")</f>
        <v/>
      </c>
      <c r="AF234" t="str">
        <f>IFERROR(INDEX('ITENS_MTR'!$AS$6:$AS$1005,MATCH(229,'ITENS_MTR'!$AT$6:$AT$1005,0))&amp;"","")</f>
        <v/>
      </c>
      <c r="AG234" t="str">
        <f>IFERROR(INDEX('CDFs'!$Y$6:$Y$505,MATCH(229,'CDFs'!$Z$6:$Z$505,0))&amp;"","")</f>
        <v/>
      </c>
    </row>
    <row r="235">
      <c r="AE235" t="str">
        <f>IFERROR(INDEX('MTRs'!$BD$6:$BD$505,MATCH(230,'MTRs'!$BE$6:$BE$505,0))&amp;"","")</f>
        <v/>
      </c>
      <c r="AF235" t="str">
        <f>IFERROR(INDEX('ITENS_MTR'!$AS$6:$AS$1005,MATCH(230,'ITENS_MTR'!$AT$6:$AT$1005,0))&amp;"","")</f>
        <v/>
      </c>
      <c r="AG235" t="str">
        <f>IFERROR(INDEX('CDFs'!$Y$6:$Y$505,MATCH(230,'CDFs'!$Z$6:$Z$505,0))&amp;"","")</f>
        <v/>
      </c>
    </row>
    <row r="236">
      <c r="AE236" t="str">
        <f>IFERROR(INDEX('MTRs'!$BD$6:$BD$505,MATCH(231,'MTRs'!$BE$6:$BE$505,0))&amp;"","")</f>
        <v/>
      </c>
      <c r="AF236" t="str">
        <f>IFERROR(INDEX('ITENS_MTR'!$AS$6:$AS$1005,MATCH(231,'ITENS_MTR'!$AT$6:$AT$1005,0))&amp;"","")</f>
        <v/>
      </c>
      <c r="AG236" t="str">
        <f>IFERROR(INDEX('CDFs'!$Y$6:$Y$505,MATCH(231,'CDFs'!$Z$6:$Z$505,0))&amp;"","")</f>
        <v/>
      </c>
    </row>
    <row r="237">
      <c r="AE237" t="str">
        <f>IFERROR(INDEX('MTRs'!$BD$6:$BD$505,MATCH(232,'MTRs'!$BE$6:$BE$505,0))&amp;"","")</f>
        <v/>
      </c>
      <c r="AF237" t="str">
        <f>IFERROR(INDEX('ITENS_MTR'!$AS$6:$AS$1005,MATCH(232,'ITENS_MTR'!$AT$6:$AT$1005,0))&amp;"","")</f>
        <v/>
      </c>
      <c r="AG237" t="str">
        <f>IFERROR(INDEX('CDFs'!$Y$6:$Y$505,MATCH(232,'CDFs'!$Z$6:$Z$505,0))&amp;"","")</f>
        <v/>
      </c>
    </row>
    <row r="238">
      <c r="AE238" t="str">
        <f>IFERROR(INDEX('MTRs'!$BD$6:$BD$505,MATCH(233,'MTRs'!$BE$6:$BE$505,0))&amp;"","")</f>
        <v/>
      </c>
      <c r="AF238" t="str">
        <f>IFERROR(INDEX('ITENS_MTR'!$AS$6:$AS$1005,MATCH(233,'ITENS_MTR'!$AT$6:$AT$1005,0))&amp;"","")</f>
        <v/>
      </c>
      <c r="AG238" t="str">
        <f>IFERROR(INDEX('CDFs'!$Y$6:$Y$505,MATCH(233,'CDFs'!$Z$6:$Z$505,0))&amp;"","")</f>
        <v/>
      </c>
    </row>
    <row r="239">
      <c r="AE239" t="str">
        <f>IFERROR(INDEX('MTRs'!$BD$6:$BD$505,MATCH(234,'MTRs'!$BE$6:$BE$505,0))&amp;"","")</f>
        <v/>
      </c>
      <c r="AF239" t="str">
        <f>IFERROR(INDEX('ITENS_MTR'!$AS$6:$AS$1005,MATCH(234,'ITENS_MTR'!$AT$6:$AT$1005,0))&amp;"","")</f>
        <v/>
      </c>
      <c r="AG239" t="str">
        <f>IFERROR(INDEX('CDFs'!$Y$6:$Y$505,MATCH(234,'CDFs'!$Z$6:$Z$505,0))&amp;"","")</f>
        <v/>
      </c>
    </row>
    <row r="240">
      <c r="AE240" t="str">
        <f>IFERROR(INDEX('MTRs'!$BD$6:$BD$505,MATCH(235,'MTRs'!$BE$6:$BE$505,0))&amp;"","")</f>
        <v/>
      </c>
      <c r="AF240" t="str">
        <f>IFERROR(INDEX('ITENS_MTR'!$AS$6:$AS$1005,MATCH(235,'ITENS_MTR'!$AT$6:$AT$1005,0))&amp;"","")</f>
        <v/>
      </c>
      <c r="AG240" t="str">
        <f>IFERROR(INDEX('CDFs'!$Y$6:$Y$505,MATCH(235,'CDFs'!$Z$6:$Z$505,0))&amp;"","")</f>
        <v/>
      </c>
    </row>
    <row r="241">
      <c r="AE241" t="str">
        <f>IFERROR(INDEX('MTRs'!$BD$6:$BD$505,MATCH(236,'MTRs'!$BE$6:$BE$505,0))&amp;"","")</f>
        <v/>
      </c>
      <c r="AF241" t="str">
        <f>IFERROR(INDEX('ITENS_MTR'!$AS$6:$AS$1005,MATCH(236,'ITENS_MTR'!$AT$6:$AT$1005,0))&amp;"","")</f>
        <v/>
      </c>
      <c r="AG241" t="str">
        <f>IFERROR(INDEX('CDFs'!$Y$6:$Y$505,MATCH(236,'CDFs'!$Z$6:$Z$505,0))&amp;"","")</f>
        <v/>
      </c>
    </row>
    <row r="242">
      <c r="AE242" t="str">
        <f>IFERROR(INDEX('MTRs'!$BD$6:$BD$505,MATCH(237,'MTRs'!$BE$6:$BE$505,0))&amp;"","")</f>
        <v/>
      </c>
      <c r="AF242" t="str">
        <f>IFERROR(INDEX('ITENS_MTR'!$AS$6:$AS$1005,MATCH(237,'ITENS_MTR'!$AT$6:$AT$1005,0))&amp;"","")</f>
        <v/>
      </c>
      <c r="AG242" t="str">
        <f>IFERROR(INDEX('CDFs'!$Y$6:$Y$505,MATCH(237,'CDFs'!$Z$6:$Z$505,0))&amp;"","")</f>
        <v/>
      </c>
    </row>
    <row r="243">
      <c r="AE243" t="str">
        <f>IFERROR(INDEX('MTRs'!$BD$6:$BD$505,MATCH(238,'MTRs'!$BE$6:$BE$505,0))&amp;"","")</f>
        <v/>
      </c>
      <c r="AF243" t="str">
        <f>IFERROR(INDEX('ITENS_MTR'!$AS$6:$AS$1005,MATCH(238,'ITENS_MTR'!$AT$6:$AT$1005,0))&amp;"","")</f>
        <v/>
      </c>
      <c r="AG243" t="str">
        <f>IFERROR(INDEX('CDFs'!$Y$6:$Y$505,MATCH(238,'CDFs'!$Z$6:$Z$505,0))&amp;"","")</f>
        <v/>
      </c>
    </row>
    <row r="244">
      <c r="AE244" t="str">
        <f>IFERROR(INDEX('MTRs'!$BD$6:$BD$505,MATCH(239,'MTRs'!$BE$6:$BE$505,0))&amp;"","")</f>
        <v/>
      </c>
      <c r="AF244" t="str">
        <f>IFERROR(INDEX('ITENS_MTR'!$AS$6:$AS$1005,MATCH(239,'ITENS_MTR'!$AT$6:$AT$1005,0))&amp;"","")</f>
        <v/>
      </c>
      <c r="AG244" t="str">
        <f>IFERROR(INDEX('CDFs'!$Y$6:$Y$505,MATCH(239,'CDFs'!$Z$6:$Z$505,0))&amp;"","")</f>
        <v/>
      </c>
    </row>
    <row r="245">
      <c r="AE245" t="str">
        <f>IFERROR(INDEX('MTRs'!$BD$6:$BD$505,MATCH(240,'MTRs'!$BE$6:$BE$505,0))&amp;"","")</f>
        <v/>
      </c>
      <c r="AF245" t="str">
        <f>IFERROR(INDEX('ITENS_MTR'!$AS$6:$AS$1005,MATCH(240,'ITENS_MTR'!$AT$6:$AT$1005,0))&amp;"","")</f>
        <v/>
      </c>
      <c r="AG245" t="str">
        <f>IFERROR(INDEX('CDFs'!$Y$6:$Y$505,MATCH(240,'CDFs'!$Z$6:$Z$505,0))&amp;"","")</f>
        <v/>
      </c>
    </row>
    <row r="246">
      <c r="AE246" t="str">
        <f>IFERROR(INDEX('MTRs'!$BD$6:$BD$505,MATCH(241,'MTRs'!$BE$6:$BE$505,0))&amp;"","")</f>
        <v/>
      </c>
      <c r="AF246" t="str">
        <f>IFERROR(INDEX('ITENS_MTR'!$AS$6:$AS$1005,MATCH(241,'ITENS_MTR'!$AT$6:$AT$1005,0))&amp;"","")</f>
        <v/>
      </c>
      <c r="AG246" t="str">
        <f>IFERROR(INDEX('CDFs'!$Y$6:$Y$505,MATCH(241,'CDFs'!$Z$6:$Z$505,0))&amp;"","")</f>
        <v/>
      </c>
    </row>
    <row r="247">
      <c r="AE247" t="str">
        <f>IFERROR(INDEX('MTRs'!$BD$6:$BD$505,MATCH(242,'MTRs'!$BE$6:$BE$505,0))&amp;"","")</f>
        <v/>
      </c>
      <c r="AF247" t="str">
        <f>IFERROR(INDEX('ITENS_MTR'!$AS$6:$AS$1005,MATCH(242,'ITENS_MTR'!$AT$6:$AT$1005,0))&amp;"","")</f>
        <v/>
      </c>
      <c r="AG247" t="str">
        <f>IFERROR(INDEX('CDFs'!$Y$6:$Y$505,MATCH(242,'CDFs'!$Z$6:$Z$505,0))&amp;"","")</f>
        <v/>
      </c>
    </row>
    <row r="248">
      <c r="AE248" t="str">
        <f>IFERROR(INDEX('MTRs'!$BD$6:$BD$505,MATCH(243,'MTRs'!$BE$6:$BE$505,0))&amp;"","")</f>
        <v/>
      </c>
      <c r="AF248" t="str">
        <f>IFERROR(INDEX('ITENS_MTR'!$AS$6:$AS$1005,MATCH(243,'ITENS_MTR'!$AT$6:$AT$1005,0))&amp;"","")</f>
        <v/>
      </c>
      <c r="AG248" t="str">
        <f>IFERROR(INDEX('CDFs'!$Y$6:$Y$505,MATCH(243,'CDFs'!$Z$6:$Z$505,0))&amp;"","")</f>
        <v/>
      </c>
    </row>
    <row r="249">
      <c r="AE249" t="str">
        <f>IFERROR(INDEX('MTRs'!$BD$6:$BD$505,MATCH(244,'MTRs'!$BE$6:$BE$505,0))&amp;"","")</f>
        <v/>
      </c>
      <c r="AF249" t="str">
        <f>IFERROR(INDEX('ITENS_MTR'!$AS$6:$AS$1005,MATCH(244,'ITENS_MTR'!$AT$6:$AT$1005,0))&amp;"","")</f>
        <v/>
      </c>
      <c r="AG249" t="str">
        <f>IFERROR(INDEX('CDFs'!$Y$6:$Y$505,MATCH(244,'CDFs'!$Z$6:$Z$505,0))&amp;"","")</f>
        <v/>
      </c>
    </row>
    <row r="250">
      <c r="AE250" t="str">
        <f>IFERROR(INDEX('MTRs'!$BD$6:$BD$505,MATCH(245,'MTRs'!$BE$6:$BE$505,0))&amp;"","")</f>
        <v/>
      </c>
      <c r="AF250" t="str">
        <f>IFERROR(INDEX('ITENS_MTR'!$AS$6:$AS$1005,MATCH(245,'ITENS_MTR'!$AT$6:$AT$1005,0))&amp;"","")</f>
        <v/>
      </c>
      <c r="AG250" t="str">
        <f>IFERROR(INDEX('CDFs'!$Y$6:$Y$505,MATCH(245,'CDFs'!$Z$6:$Z$505,0))&amp;"","")</f>
        <v/>
      </c>
    </row>
    <row r="251">
      <c r="AE251" t="str">
        <f>IFERROR(INDEX('MTRs'!$BD$6:$BD$505,MATCH(246,'MTRs'!$BE$6:$BE$505,0))&amp;"","")</f>
        <v/>
      </c>
      <c r="AF251" t="str">
        <f>IFERROR(INDEX('ITENS_MTR'!$AS$6:$AS$1005,MATCH(246,'ITENS_MTR'!$AT$6:$AT$1005,0))&amp;"","")</f>
        <v/>
      </c>
      <c r="AG251" t="str">
        <f>IFERROR(INDEX('CDFs'!$Y$6:$Y$505,MATCH(246,'CDFs'!$Z$6:$Z$505,0))&amp;"","")</f>
        <v/>
      </c>
    </row>
    <row r="252">
      <c r="AE252" t="str">
        <f>IFERROR(INDEX('MTRs'!$BD$6:$BD$505,MATCH(247,'MTRs'!$BE$6:$BE$505,0))&amp;"","")</f>
        <v/>
      </c>
      <c r="AF252" t="str">
        <f>IFERROR(INDEX('ITENS_MTR'!$AS$6:$AS$1005,MATCH(247,'ITENS_MTR'!$AT$6:$AT$1005,0))&amp;"","")</f>
        <v/>
      </c>
      <c r="AG252" t="str">
        <f>IFERROR(INDEX('CDFs'!$Y$6:$Y$505,MATCH(247,'CDFs'!$Z$6:$Z$505,0))&amp;"","")</f>
        <v/>
      </c>
    </row>
    <row r="253">
      <c r="AE253" t="str">
        <f>IFERROR(INDEX('MTRs'!$BD$6:$BD$505,MATCH(248,'MTRs'!$BE$6:$BE$505,0))&amp;"","")</f>
        <v/>
      </c>
      <c r="AF253" t="str">
        <f>IFERROR(INDEX('ITENS_MTR'!$AS$6:$AS$1005,MATCH(248,'ITENS_MTR'!$AT$6:$AT$1005,0))&amp;"","")</f>
        <v/>
      </c>
      <c r="AG253" t="str">
        <f>IFERROR(INDEX('CDFs'!$Y$6:$Y$505,MATCH(248,'CDFs'!$Z$6:$Z$505,0))&amp;"","")</f>
        <v/>
      </c>
    </row>
    <row r="254">
      <c r="AE254" t="str">
        <f>IFERROR(INDEX('MTRs'!$BD$6:$BD$505,MATCH(249,'MTRs'!$BE$6:$BE$505,0))&amp;"","")</f>
        <v/>
      </c>
      <c r="AF254" t="str">
        <f>IFERROR(INDEX('ITENS_MTR'!$AS$6:$AS$1005,MATCH(249,'ITENS_MTR'!$AT$6:$AT$1005,0))&amp;"","")</f>
        <v/>
      </c>
      <c r="AG254" t="str">
        <f>IFERROR(INDEX('CDFs'!$Y$6:$Y$505,MATCH(249,'CDFs'!$Z$6:$Z$505,0))&amp;"","")</f>
        <v/>
      </c>
    </row>
    <row r="255">
      <c r="AE255" t="str">
        <f>IFERROR(INDEX('MTRs'!$BD$6:$BD$505,MATCH(250,'MTRs'!$BE$6:$BE$505,0))&amp;"","")</f>
        <v/>
      </c>
      <c r="AF255" t="str">
        <f>IFERROR(INDEX('ITENS_MTR'!$AS$6:$AS$1005,MATCH(250,'ITENS_MTR'!$AT$6:$AT$1005,0))&amp;"","")</f>
        <v/>
      </c>
      <c r="AG255" t="str">
        <f>IFERROR(INDEX('CDFs'!$Y$6:$Y$505,MATCH(250,'CDFs'!$Z$6:$Z$505,0))&amp;"","")</f>
        <v/>
      </c>
    </row>
    <row r="256">
      <c r="AE256" t="str">
        <f>IFERROR(INDEX('MTRs'!$BD$6:$BD$505,MATCH(251,'MTRs'!$BE$6:$BE$505,0))&amp;"","")</f>
        <v/>
      </c>
      <c r="AF256" t="str">
        <f>IFERROR(INDEX('ITENS_MTR'!$AS$6:$AS$1005,MATCH(251,'ITENS_MTR'!$AT$6:$AT$1005,0))&amp;"","")</f>
        <v/>
      </c>
      <c r="AG256" t="str">
        <f>IFERROR(INDEX('CDFs'!$Y$6:$Y$505,MATCH(251,'CDFs'!$Z$6:$Z$505,0))&amp;"","")</f>
        <v/>
      </c>
    </row>
    <row r="257">
      <c r="AE257" t="str">
        <f>IFERROR(INDEX('MTRs'!$BD$6:$BD$505,MATCH(252,'MTRs'!$BE$6:$BE$505,0))&amp;"","")</f>
        <v/>
      </c>
      <c r="AF257" t="str">
        <f>IFERROR(INDEX('ITENS_MTR'!$AS$6:$AS$1005,MATCH(252,'ITENS_MTR'!$AT$6:$AT$1005,0))&amp;"","")</f>
        <v/>
      </c>
      <c r="AG257" t="str">
        <f>IFERROR(INDEX('CDFs'!$Y$6:$Y$505,MATCH(252,'CDFs'!$Z$6:$Z$505,0))&amp;"","")</f>
        <v/>
      </c>
    </row>
    <row r="258">
      <c r="AE258" t="str">
        <f>IFERROR(INDEX('MTRs'!$BD$6:$BD$505,MATCH(253,'MTRs'!$BE$6:$BE$505,0))&amp;"","")</f>
        <v/>
      </c>
      <c r="AF258" t="str">
        <f>IFERROR(INDEX('ITENS_MTR'!$AS$6:$AS$1005,MATCH(253,'ITENS_MTR'!$AT$6:$AT$1005,0))&amp;"","")</f>
        <v/>
      </c>
      <c r="AG258" t="str">
        <f>IFERROR(INDEX('CDFs'!$Y$6:$Y$505,MATCH(253,'CDFs'!$Z$6:$Z$505,0))&amp;"","")</f>
        <v/>
      </c>
    </row>
    <row r="259">
      <c r="AE259" t="str">
        <f>IFERROR(INDEX('MTRs'!$BD$6:$BD$505,MATCH(254,'MTRs'!$BE$6:$BE$505,0))&amp;"","")</f>
        <v/>
      </c>
      <c r="AF259" t="str">
        <f>IFERROR(INDEX('ITENS_MTR'!$AS$6:$AS$1005,MATCH(254,'ITENS_MTR'!$AT$6:$AT$1005,0))&amp;"","")</f>
        <v/>
      </c>
      <c r="AG259" t="str">
        <f>IFERROR(INDEX('CDFs'!$Y$6:$Y$505,MATCH(254,'CDFs'!$Z$6:$Z$505,0))&amp;"","")</f>
        <v/>
      </c>
    </row>
    <row r="260">
      <c r="AE260" t="str">
        <f>IFERROR(INDEX('MTRs'!$BD$6:$BD$505,MATCH(255,'MTRs'!$BE$6:$BE$505,0))&amp;"","")</f>
        <v/>
      </c>
      <c r="AF260" t="str">
        <f>IFERROR(INDEX('ITENS_MTR'!$AS$6:$AS$1005,MATCH(255,'ITENS_MTR'!$AT$6:$AT$1005,0))&amp;"","")</f>
        <v/>
      </c>
      <c r="AG260" t="str">
        <f>IFERROR(INDEX('CDFs'!$Y$6:$Y$505,MATCH(255,'CDFs'!$Z$6:$Z$505,0))&amp;"","")</f>
        <v/>
      </c>
    </row>
    <row r="261">
      <c r="AE261" t="str">
        <f>IFERROR(INDEX('MTRs'!$BD$6:$BD$505,MATCH(256,'MTRs'!$BE$6:$BE$505,0))&amp;"","")</f>
        <v/>
      </c>
      <c r="AF261" t="str">
        <f>IFERROR(INDEX('ITENS_MTR'!$AS$6:$AS$1005,MATCH(256,'ITENS_MTR'!$AT$6:$AT$1005,0))&amp;"","")</f>
        <v/>
      </c>
      <c r="AG261" t="str">
        <f>IFERROR(INDEX('CDFs'!$Y$6:$Y$505,MATCH(256,'CDFs'!$Z$6:$Z$505,0))&amp;"","")</f>
        <v/>
      </c>
    </row>
    <row r="262">
      <c r="AE262" t="str">
        <f>IFERROR(INDEX('MTRs'!$BD$6:$BD$505,MATCH(257,'MTRs'!$BE$6:$BE$505,0))&amp;"","")</f>
        <v/>
      </c>
      <c r="AF262" t="str">
        <f>IFERROR(INDEX('ITENS_MTR'!$AS$6:$AS$1005,MATCH(257,'ITENS_MTR'!$AT$6:$AT$1005,0))&amp;"","")</f>
        <v/>
      </c>
      <c r="AG262" t="str">
        <f>IFERROR(INDEX('CDFs'!$Y$6:$Y$505,MATCH(257,'CDFs'!$Z$6:$Z$505,0))&amp;"","")</f>
        <v/>
      </c>
    </row>
    <row r="263">
      <c r="AE263" t="str">
        <f>IFERROR(INDEX('MTRs'!$BD$6:$BD$505,MATCH(258,'MTRs'!$BE$6:$BE$505,0))&amp;"","")</f>
        <v/>
      </c>
      <c r="AF263" t="str">
        <f>IFERROR(INDEX('ITENS_MTR'!$AS$6:$AS$1005,MATCH(258,'ITENS_MTR'!$AT$6:$AT$1005,0))&amp;"","")</f>
        <v/>
      </c>
      <c r="AG263" t="str">
        <f>IFERROR(INDEX('CDFs'!$Y$6:$Y$505,MATCH(258,'CDFs'!$Z$6:$Z$505,0))&amp;"","")</f>
        <v/>
      </c>
    </row>
    <row r="264">
      <c r="AE264" t="str">
        <f>IFERROR(INDEX('MTRs'!$BD$6:$BD$505,MATCH(259,'MTRs'!$BE$6:$BE$505,0))&amp;"","")</f>
        <v/>
      </c>
      <c r="AF264" t="str">
        <f>IFERROR(INDEX('ITENS_MTR'!$AS$6:$AS$1005,MATCH(259,'ITENS_MTR'!$AT$6:$AT$1005,0))&amp;"","")</f>
        <v/>
      </c>
      <c r="AG264" t="str">
        <f>IFERROR(INDEX('CDFs'!$Y$6:$Y$505,MATCH(259,'CDFs'!$Z$6:$Z$505,0))&amp;"","")</f>
        <v/>
      </c>
    </row>
    <row r="265">
      <c r="AE265" t="str">
        <f>IFERROR(INDEX('MTRs'!$BD$6:$BD$505,MATCH(260,'MTRs'!$BE$6:$BE$505,0))&amp;"","")</f>
        <v/>
      </c>
      <c r="AF265" t="str">
        <f>IFERROR(INDEX('ITENS_MTR'!$AS$6:$AS$1005,MATCH(260,'ITENS_MTR'!$AT$6:$AT$1005,0))&amp;"","")</f>
        <v/>
      </c>
      <c r="AG265" t="str">
        <f>IFERROR(INDEX('CDFs'!$Y$6:$Y$505,MATCH(260,'CDFs'!$Z$6:$Z$505,0))&amp;"","")</f>
        <v/>
      </c>
    </row>
    <row r="266">
      <c r="AE266" t="str">
        <f>IFERROR(INDEX('MTRs'!$BD$6:$BD$505,MATCH(261,'MTRs'!$BE$6:$BE$505,0))&amp;"","")</f>
        <v/>
      </c>
      <c r="AF266" t="str">
        <f>IFERROR(INDEX('ITENS_MTR'!$AS$6:$AS$1005,MATCH(261,'ITENS_MTR'!$AT$6:$AT$1005,0))&amp;"","")</f>
        <v/>
      </c>
      <c r="AG266" t="str">
        <f>IFERROR(INDEX('CDFs'!$Y$6:$Y$505,MATCH(261,'CDFs'!$Z$6:$Z$505,0))&amp;"","")</f>
        <v/>
      </c>
    </row>
    <row r="267">
      <c r="AE267" t="str">
        <f>IFERROR(INDEX('MTRs'!$BD$6:$BD$505,MATCH(262,'MTRs'!$BE$6:$BE$505,0))&amp;"","")</f>
        <v/>
      </c>
      <c r="AF267" t="str">
        <f>IFERROR(INDEX('ITENS_MTR'!$AS$6:$AS$1005,MATCH(262,'ITENS_MTR'!$AT$6:$AT$1005,0))&amp;"","")</f>
        <v/>
      </c>
      <c r="AG267" t="str">
        <f>IFERROR(INDEX('CDFs'!$Y$6:$Y$505,MATCH(262,'CDFs'!$Z$6:$Z$505,0))&amp;"","")</f>
        <v/>
      </c>
    </row>
    <row r="268">
      <c r="AE268" t="str">
        <f>IFERROR(INDEX('MTRs'!$BD$6:$BD$505,MATCH(263,'MTRs'!$BE$6:$BE$505,0))&amp;"","")</f>
        <v/>
      </c>
      <c r="AF268" t="str">
        <f>IFERROR(INDEX('ITENS_MTR'!$AS$6:$AS$1005,MATCH(263,'ITENS_MTR'!$AT$6:$AT$1005,0))&amp;"","")</f>
        <v/>
      </c>
      <c r="AG268" t="str">
        <f>IFERROR(INDEX('CDFs'!$Y$6:$Y$505,MATCH(263,'CDFs'!$Z$6:$Z$505,0))&amp;"","")</f>
        <v/>
      </c>
    </row>
    <row r="269">
      <c r="AE269" t="str">
        <f>IFERROR(INDEX('MTRs'!$BD$6:$BD$505,MATCH(264,'MTRs'!$BE$6:$BE$505,0))&amp;"","")</f>
        <v/>
      </c>
      <c r="AF269" t="str">
        <f>IFERROR(INDEX('ITENS_MTR'!$AS$6:$AS$1005,MATCH(264,'ITENS_MTR'!$AT$6:$AT$1005,0))&amp;"","")</f>
        <v/>
      </c>
      <c r="AG269" t="str">
        <f>IFERROR(INDEX('CDFs'!$Y$6:$Y$505,MATCH(264,'CDFs'!$Z$6:$Z$505,0))&amp;"","")</f>
        <v/>
      </c>
    </row>
    <row r="270">
      <c r="AE270" t="str">
        <f>IFERROR(INDEX('MTRs'!$BD$6:$BD$505,MATCH(265,'MTRs'!$BE$6:$BE$505,0))&amp;"","")</f>
        <v/>
      </c>
      <c r="AF270" t="str">
        <f>IFERROR(INDEX('ITENS_MTR'!$AS$6:$AS$1005,MATCH(265,'ITENS_MTR'!$AT$6:$AT$1005,0))&amp;"","")</f>
        <v/>
      </c>
      <c r="AG270" t="str">
        <f>IFERROR(INDEX('CDFs'!$Y$6:$Y$505,MATCH(265,'CDFs'!$Z$6:$Z$505,0))&amp;"","")</f>
        <v/>
      </c>
    </row>
    <row r="271">
      <c r="AE271" t="str">
        <f>IFERROR(INDEX('MTRs'!$BD$6:$BD$505,MATCH(266,'MTRs'!$BE$6:$BE$505,0))&amp;"","")</f>
        <v/>
      </c>
      <c r="AF271" t="str">
        <f>IFERROR(INDEX('ITENS_MTR'!$AS$6:$AS$1005,MATCH(266,'ITENS_MTR'!$AT$6:$AT$1005,0))&amp;"","")</f>
        <v/>
      </c>
      <c r="AG271" t="str">
        <f>IFERROR(INDEX('CDFs'!$Y$6:$Y$505,MATCH(266,'CDFs'!$Z$6:$Z$505,0))&amp;"","")</f>
        <v/>
      </c>
    </row>
    <row r="272">
      <c r="AE272" t="str">
        <f>IFERROR(INDEX('MTRs'!$BD$6:$BD$505,MATCH(267,'MTRs'!$BE$6:$BE$505,0))&amp;"","")</f>
        <v/>
      </c>
      <c r="AF272" t="str">
        <f>IFERROR(INDEX('ITENS_MTR'!$AS$6:$AS$1005,MATCH(267,'ITENS_MTR'!$AT$6:$AT$1005,0))&amp;"","")</f>
        <v/>
      </c>
      <c r="AG272" t="str">
        <f>IFERROR(INDEX('CDFs'!$Y$6:$Y$505,MATCH(267,'CDFs'!$Z$6:$Z$505,0))&amp;"","")</f>
        <v/>
      </c>
    </row>
    <row r="273">
      <c r="AE273" t="str">
        <f>IFERROR(INDEX('MTRs'!$BD$6:$BD$505,MATCH(268,'MTRs'!$BE$6:$BE$505,0))&amp;"","")</f>
        <v/>
      </c>
      <c r="AF273" t="str">
        <f>IFERROR(INDEX('ITENS_MTR'!$AS$6:$AS$1005,MATCH(268,'ITENS_MTR'!$AT$6:$AT$1005,0))&amp;"","")</f>
        <v/>
      </c>
      <c r="AG273" t="str">
        <f>IFERROR(INDEX('CDFs'!$Y$6:$Y$505,MATCH(268,'CDFs'!$Z$6:$Z$505,0))&amp;"","")</f>
        <v/>
      </c>
    </row>
    <row r="274">
      <c r="AE274" t="str">
        <f>IFERROR(INDEX('MTRs'!$BD$6:$BD$505,MATCH(269,'MTRs'!$BE$6:$BE$505,0))&amp;"","")</f>
        <v/>
      </c>
      <c r="AF274" t="str">
        <f>IFERROR(INDEX('ITENS_MTR'!$AS$6:$AS$1005,MATCH(269,'ITENS_MTR'!$AT$6:$AT$1005,0))&amp;"","")</f>
        <v/>
      </c>
      <c r="AG274" t="str">
        <f>IFERROR(INDEX('CDFs'!$Y$6:$Y$505,MATCH(269,'CDFs'!$Z$6:$Z$505,0))&amp;"","")</f>
        <v/>
      </c>
    </row>
    <row r="275">
      <c r="AE275" t="str">
        <f>IFERROR(INDEX('MTRs'!$BD$6:$BD$505,MATCH(270,'MTRs'!$BE$6:$BE$505,0))&amp;"","")</f>
        <v/>
      </c>
      <c r="AF275" t="str">
        <f>IFERROR(INDEX('ITENS_MTR'!$AS$6:$AS$1005,MATCH(270,'ITENS_MTR'!$AT$6:$AT$1005,0))&amp;"","")</f>
        <v/>
      </c>
      <c r="AG275" t="str">
        <f>IFERROR(INDEX('CDFs'!$Y$6:$Y$505,MATCH(270,'CDFs'!$Z$6:$Z$505,0))&amp;"","")</f>
        <v/>
      </c>
    </row>
    <row r="276">
      <c r="AE276" t="str">
        <f>IFERROR(INDEX('MTRs'!$BD$6:$BD$505,MATCH(271,'MTRs'!$BE$6:$BE$505,0))&amp;"","")</f>
        <v/>
      </c>
      <c r="AF276" t="str">
        <f>IFERROR(INDEX('ITENS_MTR'!$AS$6:$AS$1005,MATCH(271,'ITENS_MTR'!$AT$6:$AT$1005,0))&amp;"","")</f>
        <v/>
      </c>
      <c r="AG276" t="str">
        <f>IFERROR(INDEX('CDFs'!$Y$6:$Y$505,MATCH(271,'CDFs'!$Z$6:$Z$505,0))&amp;"","")</f>
        <v/>
      </c>
    </row>
    <row r="277">
      <c r="AE277" t="str">
        <f>IFERROR(INDEX('MTRs'!$BD$6:$BD$505,MATCH(272,'MTRs'!$BE$6:$BE$505,0))&amp;"","")</f>
        <v/>
      </c>
      <c r="AF277" t="str">
        <f>IFERROR(INDEX('ITENS_MTR'!$AS$6:$AS$1005,MATCH(272,'ITENS_MTR'!$AT$6:$AT$1005,0))&amp;"","")</f>
        <v/>
      </c>
      <c r="AG277" t="str">
        <f>IFERROR(INDEX('CDFs'!$Y$6:$Y$505,MATCH(272,'CDFs'!$Z$6:$Z$505,0))&amp;"","")</f>
        <v/>
      </c>
    </row>
    <row r="278">
      <c r="AE278" t="str">
        <f>IFERROR(INDEX('MTRs'!$BD$6:$BD$505,MATCH(273,'MTRs'!$BE$6:$BE$505,0))&amp;"","")</f>
        <v/>
      </c>
      <c r="AF278" t="str">
        <f>IFERROR(INDEX('ITENS_MTR'!$AS$6:$AS$1005,MATCH(273,'ITENS_MTR'!$AT$6:$AT$1005,0))&amp;"","")</f>
        <v/>
      </c>
      <c r="AG278" t="str">
        <f>IFERROR(INDEX('CDFs'!$Y$6:$Y$505,MATCH(273,'CDFs'!$Z$6:$Z$505,0))&amp;"","")</f>
        <v/>
      </c>
    </row>
    <row r="279">
      <c r="AE279" t="str">
        <f>IFERROR(INDEX('MTRs'!$BD$6:$BD$505,MATCH(274,'MTRs'!$BE$6:$BE$505,0))&amp;"","")</f>
        <v/>
      </c>
      <c r="AF279" t="str">
        <f>IFERROR(INDEX('ITENS_MTR'!$AS$6:$AS$1005,MATCH(274,'ITENS_MTR'!$AT$6:$AT$1005,0))&amp;"","")</f>
        <v/>
      </c>
      <c r="AG279" t="str">
        <f>IFERROR(INDEX('CDFs'!$Y$6:$Y$505,MATCH(274,'CDFs'!$Z$6:$Z$505,0))&amp;"","")</f>
        <v/>
      </c>
    </row>
    <row r="280">
      <c r="AE280" t="str">
        <f>IFERROR(INDEX('MTRs'!$BD$6:$BD$505,MATCH(275,'MTRs'!$BE$6:$BE$505,0))&amp;"","")</f>
        <v/>
      </c>
      <c r="AF280" t="str">
        <f>IFERROR(INDEX('ITENS_MTR'!$AS$6:$AS$1005,MATCH(275,'ITENS_MTR'!$AT$6:$AT$1005,0))&amp;"","")</f>
        <v/>
      </c>
      <c r="AG280" t="str">
        <f>IFERROR(INDEX('CDFs'!$Y$6:$Y$505,MATCH(275,'CDFs'!$Z$6:$Z$505,0))&amp;"","")</f>
        <v/>
      </c>
    </row>
    <row r="281">
      <c r="AE281" t="str">
        <f>IFERROR(INDEX('MTRs'!$BD$6:$BD$505,MATCH(276,'MTRs'!$BE$6:$BE$505,0))&amp;"","")</f>
        <v/>
      </c>
      <c r="AF281" t="str">
        <f>IFERROR(INDEX('ITENS_MTR'!$AS$6:$AS$1005,MATCH(276,'ITENS_MTR'!$AT$6:$AT$1005,0))&amp;"","")</f>
        <v/>
      </c>
      <c r="AG281" t="str">
        <f>IFERROR(INDEX('CDFs'!$Y$6:$Y$505,MATCH(276,'CDFs'!$Z$6:$Z$505,0))&amp;"","")</f>
        <v/>
      </c>
    </row>
    <row r="282">
      <c r="AE282" t="str">
        <f>IFERROR(INDEX('MTRs'!$BD$6:$BD$505,MATCH(277,'MTRs'!$BE$6:$BE$505,0))&amp;"","")</f>
        <v/>
      </c>
      <c r="AF282" t="str">
        <f>IFERROR(INDEX('ITENS_MTR'!$AS$6:$AS$1005,MATCH(277,'ITENS_MTR'!$AT$6:$AT$1005,0))&amp;"","")</f>
        <v/>
      </c>
      <c r="AG282" t="str">
        <f>IFERROR(INDEX('CDFs'!$Y$6:$Y$505,MATCH(277,'CDFs'!$Z$6:$Z$505,0))&amp;"","")</f>
        <v/>
      </c>
    </row>
    <row r="283">
      <c r="AE283" t="str">
        <f>IFERROR(INDEX('MTRs'!$BD$6:$BD$505,MATCH(278,'MTRs'!$BE$6:$BE$505,0))&amp;"","")</f>
        <v/>
      </c>
      <c r="AF283" t="str">
        <f>IFERROR(INDEX('ITENS_MTR'!$AS$6:$AS$1005,MATCH(278,'ITENS_MTR'!$AT$6:$AT$1005,0))&amp;"","")</f>
        <v/>
      </c>
      <c r="AG283" t="str">
        <f>IFERROR(INDEX('CDFs'!$Y$6:$Y$505,MATCH(278,'CDFs'!$Z$6:$Z$505,0))&amp;"","")</f>
        <v/>
      </c>
    </row>
    <row r="284">
      <c r="AE284" t="str">
        <f>IFERROR(INDEX('MTRs'!$BD$6:$BD$505,MATCH(279,'MTRs'!$BE$6:$BE$505,0))&amp;"","")</f>
        <v/>
      </c>
      <c r="AF284" t="str">
        <f>IFERROR(INDEX('ITENS_MTR'!$AS$6:$AS$1005,MATCH(279,'ITENS_MTR'!$AT$6:$AT$1005,0))&amp;"","")</f>
        <v/>
      </c>
      <c r="AG284" t="str">
        <f>IFERROR(INDEX('CDFs'!$Y$6:$Y$505,MATCH(279,'CDFs'!$Z$6:$Z$505,0))&amp;"","")</f>
        <v/>
      </c>
    </row>
    <row r="285">
      <c r="AE285" t="str">
        <f>IFERROR(INDEX('MTRs'!$BD$6:$BD$505,MATCH(280,'MTRs'!$BE$6:$BE$505,0))&amp;"","")</f>
        <v/>
      </c>
      <c r="AF285" t="str">
        <f>IFERROR(INDEX('ITENS_MTR'!$AS$6:$AS$1005,MATCH(280,'ITENS_MTR'!$AT$6:$AT$1005,0))&amp;"","")</f>
        <v/>
      </c>
      <c r="AG285" t="str">
        <f>IFERROR(INDEX('CDFs'!$Y$6:$Y$505,MATCH(280,'CDFs'!$Z$6:$Z$505,0))&amp;"","")</f>
        <v/>
      </c>
    </row>
    <row r="286">
      <c r="AE286" t="str">
        <f>IFERROR(INDEX('MTRs'!$BD$6:$BD$505,MATCH(281,'MTRs'!$BE$6:$BE$505,0))&amp;"","")</f>
        <v/>
      </c>
      <c r="AF286" t="str">
        <f>IFERROR(INDEX('ITENS_MTR'!$AS$6:$AS$1005,MATCH(281,'ITENS_MTR'!$AT$6:$AT$1005,0))&amp;"","")</f>
        <v/>
      </c>
      <c r="AG286" t="str">
        <f>IFERROR(INDEX('CDFs'!$Y$6:$Y$505,MATCH(281,'CDFs'!$Z$6:$Z$505,0))&amp;"","")</f>
        <v/>
      </c>
    </row>
    <row r="287">
      <c r="AE287" t="str">
        <f>IFERROR(INDEX('MTRs'!$BD$6:$BD$505,MATCH(282,'MTRs'!$BE$6:$BE$505,0))&amp;"","")</f>
        <v/>
      </c>
      <c r="AF287" t="str">
        <f>IFERROR(INDEX('ITENS_MTR'!$AS$6:$AS$1005,MATCH(282,'ITENS_MTR'!$AT$6:$AT$1005,0))&amp;"","")</f>
        <v/>
      </c>
      <c r="AG287" t="str">
        <f>IFERROR(INDEX('CDFs'!$Y$6:$Y$505,MATCH(282,'CDFs'!$Z$6:$Z$505,0))&amp;"","")</f>
        <v/>
      </c>
    </row>
    <row r="288">
      <c r="AE288" t="str">
        <f>IFERROR(INDEX('MTRs'!$BD$6:$BD$505,MATCH(283,'MTRs'!$BE$6:$BE$505,0))&amp;"","")</f>
        <v/>
      </c>
      <c r="AF288" t="str">
        <f>IFERROR(INDEX('ITENS_MTR'!$AS$6:$AS$1005,MATCH(283,'ITENS_MTR'!$AT$6:$AT$1005,0))&amp;"","")</f>
        <v/>
      </c>
      <c r="AG288" t="str">
        <f>IFERROR(INDEX('CDFs'!$Y$6:$Y$505,MATCH(283,'CDFs'!$Z$6:$Z$505,0))&amp;"","")</f>
        <v/>
      </c>
    </row>
    <row r="289">
      <c r="AE289" t="str">
        <f>IFERROR(INDEX('MTRs'!$BD$6:$BD$505,MATCH(284,'MTRs'!$BE$6:$BE$505,0))&amp;"","")</f>
        <v/>
      </c>
      <c r="AF289" t="str">
        <f>IFERROR(INDEX('ITENS_MTR'!$AS$6:$AS$1005,MATCH(284,'ITENS_MTR'!$AT$6:$AT$1005,0))&amp;"","")</f>
        <v/>
      </c>
      <c r="AG289" t="str">
        <f>IFERROR(INDEX('CDFs'!$Y$6:$Y$505,MATCH(284,'CDFs'!$Z$6:$Z$505,0))&amp;"","")</f>
        <v/>
      </c>
    </row>
    <row r="290">
      <c r="AE290" t="str">
        <f>IFERROR(INDEX('MTRs'!$BD$6:$BD$505,MATCH(285,'MTRs'!$BE$6:$BE$505,0))&amp;"","")</f>
        <v/>
      </c>
      <c r="AF290" t="str">
        <f>IFERROR(INDEX('ITENS_MTR'!$AS$6:$AS$1005,MATCH(285,'ITENS_MTR'!$AT$6:$AT$1005,0))&amp;"","")</f>
        <v/>
      </c>
      <c r="AG290" t="str">
        <f>IFERROR(INDEX('CDFs'!$Y$6:$Y$505,MATCH(285,'CDFs'!$Z$6:$Z$505,0))&amp;"","")</f>
        <v/>
      </c>
    </row>
    <row r="291">
      <c r="AE291" t="str">
        <f>IFERROR(INDEX('MTRs'!$BD$6:$BD$505,MATCH(286,'MTRs'!$BE$6:$BE$505,0))&amp;"","")</f>
        <v/>
      </c>
      <c r="AF291" t="str">
        <f>IFERROR(INDEX('ITENS_MTR'!$AS$6:$AS$1005,MATCH(286,'ITENS_MTR'!$AT$6:$AT$1005,0))&amp;"","")</f>
        <v/>
      </c>
      <c r="AG291" t="str">
        <f>IFERROR(INDEX('CDFs'!$Y$6:$Y$505,MATCH(286,'CDFs'!$Z$6:$Z$505,0))&amp;"","")</f>
        <v/>
      </c>
    </row>
    <row r="292">
      <c r="AE292" t="str">
        <f>IFERROR(INDEX('MTRs'!$BD$6:$BD$505,MATCH(287,'MTRs'!$BE$6:$BE$505,0))&amp;"","")</f>
        <v/>
      </c>
      <c r="AF292" t="str">
        <f>IFERROR(INDEX('ITENS_MTR'!$AS$6:$AS$1005,MATCH(287,'ITENS_MTR'!$AT$6:$AT$1005,0))&amp;"","")</f>
        <v/>
      </c>
      <c r="AG292" t="str">
        <f>IFERROR(INDEX('CDFs'!$Y$6:$Y$505,MATCH(287,'CDFs'!$Z$6:$Z$505,0))&amp;"","")</f>
        <v/>
      </c>
    </row>
    <row r="293">
      <c r="AE293" t="str">
        <f>IFERROR(INDEX('MTRs'!$BD$6:$BD$505,MATCH(288,'MTRs'!$BE$6:$BE$505,0))&amp;"","")</f>
        <v/>
      </c>
      <c r="AF293" t="str">
        <f>IFERROR(INDEX('ITENS_MTR'!$AS$6:$AS$1005,MATCH(288,'ITENS_MTR'!$AT$6:$AT$1005,0))&amp;"","")</f>
        <v/>
      </c>
      <c r="AG293" t="str">
        <f>IFERROR(INDEX('CDFs'!$Y$6:$Y$505,MATCH(288,'CDFs'!$Z$6:$Z$505,0))&amp;"","")</f>
        <v/>
      </c>
    </row>
    <row r="294">
      <c r="AE294" t="str">
        <f>IFERROR(INDEX('MTRs'!$BD$6:$BD$505,MATCH(289,'MTRs'!$BE$6:$BE$505,0))&amp;"","")</f>
        <v/>
      </c>
      <c r="AF294" t="str">
        <f>IFERROR(INDEX('ITENS_MTR'!$AS$6:$AS$1005,MATCH(289,'ITENS_MTR'!$AT$6:$AT$1005,0))&amp;"","")</f>
        <v/>
      </c>
      <c r="AG294" t="str">
        <f>IFERROR(INDEX('CDFs'!$Y$6:$Y$505,MATCH(289,'CDFs'!$Z$6:$Z$505,0))&amp;"","")</f>
        <v/>
      </c>
    </row>
    <row r="295">
      <c r="AE295" t="str">
        <f>IFERROR(INDEX('MTRs'!$BD$6:$BD$505,MATCH(290,'MTRs'!$BE$6:$BE$505,0))&amp;"","")</f>
        <v/>
      </c>
      <c r="AF295" t="str">
        <f>IFERROR(INDEX('ITENS_MTR'!$AS$6:$AS$1005,MATCH(290,'ITENS_MTR'!$AT$6:$AT$1005,0))&amp;"","")</f>
        <v/>
      </c>
      <c r="AG295" t="str">
        <f>IFERROR(INDEX('CDFs'!$Y$6:$Y$505,MATCH(290,'CDFs'!$Z$6:$Z$505,0))&amp;"","")</f>
        <v/>
      </c>
    </row>
    <row r="296">
      <c r="AE296" t="str">
        <f>IFERROR(INDEX('MTRs'!$BD$6:$BD$505,MATCH(291,'MTRs'!$BE$6:$BE$505,0))&amp;"","")</f>
        <v/>
      </c>
      <c r="AF296" t="str">
        <f>IFERROR(INDEX('ITENS_MTR'!$AS$6:$AS$1005,MATCH(291,'ITENS_MTR'!$AT$6:$AT$1005,0))&amp;"","")</f>
        <v/>
      </c>
      <c r="AG296" t="str">
        <f>IFERROR(INDEX('CDFs'!$Y$6:$Y$505,MATCH(291,'CDFs'!$Z$6:$Z$505,0))&amp;"","")</f>
        <v/>
      </c>
    </row>
    <row r="297">
      <c r="AE297" t="str">
        <f>IFERROR(INDEX('MTRs'!$BD$6:$BD$505,MATCH(292,'MTRs'!$BE$6:$BE$505,0))&amp;"","")</f>
        <v/>
      </c>
      <c r="AF297" t="str">
        <f>IFERROR(INDEX('ITENS_MTR'!$AS$6:$AS$1005,MATCH(292,'ITENS_MTR'!$AT$6:$AT$1005,0))&amp;"","")</f>
        <v/>
      </c>
      <c r="AG297" t="str">
        <f>IFERROR(INDEX('CDFs'!$Y$6:$Y$505,MATCH(292,'CDFs'!$Z$6:$Z$505,0))&amp;"","")</f>
        <v/>
      </c>
    </row>
    <row r="298">
      <c r="AE298" t="str">
        <f>IFERROR(INDEX('MTRs'!$BD$6:$BD$505,MATCH(293,'MTRs'!$BE$6:$BE$505,0))&amp;"","")</f>
        <v/>
      </c>
      <c r="AF298" t="str">
        <f>IFERROR(INDEX('ITENS_MTR'!$AS$6:$AS$1005,MATCH(293,'ITENS_MTR'!$AT$6:$AT$1005,0))&amp;"","")</f>
        <v/>
      </c>
      <c r="AG298" t="str">
        <f>IFERROR(INDEX('CDFs'!$Y$6:$Y$505,MATCH(293,'CDFs'!$Z$6:$Z$505,0))&amp;"","")</f>
        <v/>
      </c>
    </row>
    <row r="299">
      <c r="AE299" t="str">
        <f>IFERROR(INDEX('MTRs'!$BD$6:$BD$505,MATCH(294,'MTRs'!$BE$6:$BE$505,0))&amp;"","")</f>
        <v/>
      </c>
      <c r="AF299" t="str">
        <f>IFERROR(INDEX('ITENS_MTR'!$AS$6:$AS$1005,MATCH(294,'ITENS_MTR'!$AT$6:$AT$1005,0))&amp;"","")</f>
        <v/>
      </c>
      <c r="AG299" t="str">
        <f>IFERROR(INDEX('CDFs'!$Y$6:$Y$505,MATCH(294,'CDFs'!$Z$6:$Z$505,0))&amp;"","")</f>
        <v/>
      </c>
    </row>
    <row r="300">
      <c r="AE300" t="str">
        <f>IFERROR(INDEX('MTRs'!$BD$6:$BD$505,MATCH(295,'MTRs'!$BE$6:$BE$505,0))&amp;"","")</f>
        <v/>
      </c>
      <c r="AF300" t="str">
        <f>IFERROR(INDEX('ITENS_MTR'!$AS$6:$AS$1005,MATCH(295,'ITENS_MTR'!$AT$6:$AT$1005,0))&amp;"","")</f>
        <v/>
      </c>
      <c r="AG300" t="str">
        <f>IFERROR(INDEX('CDFs'!$Y$6:$Y$505,MATCH(295,'CDFs'!$Z$6:$Z$505,0))&amp;"","")</f>
        <v/>
      </c>
    </row>
    <row r="301">
      <c r="AE301" t="str">
        <f>IFERROR(INDEX('MTRs'!$BD$6:$BD$505,MATCH(296,'MTRs'!$BE$6:$BE$505,0))&amp;"","")</f>
        <v/>
      </c>
      <c r="AF301" t="str">
        <f>IFERROR(INDEX('ITENS_MTR'!$AS$6:$AS$1005,MATCH(296,'ITENS_MTR'!$AT$6:$AT$1005,0))&amp;"","")</f>
        <v/>
      </c>
      <c r="AG301" t="str">
        <f>IFERROR(INDEX('CDFs'!$Y$6:$Y$505,MATCH(296,'CDFs'!$Z$6:$Z$505,0))&amp;"","")</f>
        <v/>
      </c>
    </row>
    <row r="302">
      <c r="AE302" t="str">
        <f>IFERROR(INDEX('MTRs'!$BD$6:$BD$505,MATCH(297,'MTRs'!$BE$6:$BE$505,0))&amp;"","")</f>
        <v/>
      </c>
      <c r="AF302" t="str">
        <f>IFERROR(INDEX('ITENS_MTR'!$AS$6:$AS$1005,MATCH(297,'ITENS_MTR'!$AT$6:$AT$1005,0))&amp;"","")</f>
        <v/>
      </c>
      <c r="AG302" t="str">
        <f>IFERROR(INDEX('CDFs'!$Y$6:$Y$505,MATCH(297,'CDFs'!$Z$6:$Z$505,0))&amp;"","")</f>
        <v/>
      </c>
    </row>
    <row r="303">
      <c r="AE303" t="str">
        <f>IFERROR(INDEX('MTRs'!$BD$6:$BD$505,MATCH(298,'MTRs'!$BE$6:$BE$505,0))&amp;"","")</f>
        <v/>
      </c>
      <c r="AF303" t="str">
        <f>IFERROR(INDEX('ITENS_MTR'!$AS$6:$AS$1005,MATCH(298,'ITENS_MTR'!$AT$6:$AT$1005,0))&amp;"","")</f>
        <v/>
      </c>
      <c r="AG303" t="str">
        <f>IFERROR(INDEX('CDFs'!$Y$6:$Y$505,MATCH(298,'CDFs'!$Z$6:$Z$505,0))&amp;"","")</f>
        <v/>
      </c>
    </row>
    <row r="304">
      <c r="AE304" t="str">
        <f>IFERROR(INDEX('MTRs'!$BD$6:$BD$505,MATCH(299,'MTRs'!$BE$6:$BE$505,0))&amp;"","")</f>
        <v/>
      </c>
      <c r="AF304" t="str">
        <f>IFERROR(INDEX('ITENS_MTR'!$AS$6:$AS$1005,MATCH(299,'ITENS_MTR'!$AT$6:$AT$1005,0))&amp;"","")</f>
        <v/>
      </c>
      <c r="AG304" t="str">
        <f>IFERROR(INDEX('CDFs'!$Y$6:$Y$505,MATCH(299,'CDFs'!$Z$6:$Z$505,0))&amp;"","")</f>
        <v/>
      </c>
    </row>
    <row r="305">
      <c r="AE305" t="str">
        <f>IFERROR(INDEX('MTRs'!$BD$6:$BD$505,MATCH(300,'MTRs'!$BE$6:$BE$505,0))&amp;"","")</f>
        <v/>
      </c>
      <c r="AF305" t="str">
        <f>IFERROR(INDEX('ITENS_MTR'!$AS$6:$AS$1005,MATCH(300,'ITENS_MTR'!$AT$6:$AT$1005,0))&amp;"","")</f>
        <v/>
      </c>
      <c r="AG305" t="str">
        <f>IFERROR(INDEX('CDFs'!$Y$6:$Y$505,MATCH(300,'CDFs'!$Z$6:$Z$505,0))&amp;"","")</f>
        <v/>
      </c>
    </row>
    <row r="306">
      <c r="AE306" t="str">
        <f>IFERROR(INDEX('MTRs'!$BD$6:$BD$505,MATCH(301,'MTRs'!$BE$6:$BE$505,0))&amp;"","")</f>
        <v/>
      </c>
      <c r="AF306" t="str">
        <f>IFERROR(INDEX('ITENS_MTR'!$AS$6:$AS$1005,MATCH(301,'ITENS_MTR'!$AT$6:$AT$1005,0))&amp;"","")</f>
        <v/>
      </c>
      <c r="AG306" t="str">
        <f>IFERROR(INDEX('CDFs'!$Y$6:$Y$505,MATCH(301,'CDFs'!$Z$6:$Z$505,0))&amp;"","")</f>
        <v/>
      </c>
    </row>
    <row r="307">
      <c r="AE307" t="str">
        <f>IFERROR(INDEX('MTRs'!$BD$6:$BD$505,MATCH(302,'MTRs'!$BE$6:$BE$505,0))&amp;"","")</f>
        <v/>
      </c>
      <c r="AF307" t="str">
        <f>IFERROR(INDEX('ITENS_MTR'!$AS$6:$AS$1005,MATCH(302,'ITENS_MTR'!$AT$6:$AT$1005,0))&amp;"","")</f>
        <v/>
      </c>
      <c r="AG307" t="str">
        <f>IFERROR(INDEX('CDFs'!$Y$6:$Y$505,MATCH(302,'CDFs'!$Z$6:$Z$505,0))&amp;"","")</f>
        <v/>
      </c>
    </row>
    <row r="308">
      <c r="AE308" t="str">
        <f>IFERROR(INDEX('MTRs'!$BD$6:$BD$505,MATCH(303,'MTRs'!$BE$6:$BE$505,0))&amp;"","")</f>
        <v/>
      </c>
      <c r="AF308" t="str">
        <f>IFERROR(INDEX('ITENS_MTR'!$AS$6:$AS$1005,MATCH(303,'ITENS_MTR'!$AT$6:$AT$1005,0))&amp;"","")</f>
        <v/>
      </c>
      <c r="AG308" t="str">
        <f>IFERROR(INDEX('CDFs'!$Y$6:$Y$505,MATCH(303,'CDFs'!$Z$6:$Z$505,0))&amp;"","")</f>
        <v/>
      </c>
    </row>
    <row r="309">
      <c r="AE309" t="str">
        <f>IFERROR(INDEX('MTRs'!$BD$6:$BD$505,MATCH(304,'MTRs'!$BE$6:$BE$505,0))&amp;"","")</f>
        <v/>
      </c>
      <c r="AF309" t="str">
        <f>IFERROR(INDEX('ITENS_MTR'!$AS$6:$AS$1005,MATCH(304,'ITENS_MTR'!$AT$6:$AT$1005,0))&amp;"","")</f>
        <v/>
      </c>
      <c r="AG309" t="str">
        <f>IFERROR(INDEX('CDFs'!$Y$6:$Y$505,MATCH(304,'CDFs'!$Z$6:$Z$505,0))&amp;"","")</f>
        <v/>
      </c>
    </row>
    <row r="310">
      <c r="AE310" t="str">
        <f>IFERROR(INDEX('MTRs'!$BD$6:$BD$505,MATCH(305,'MTRs'!$BE$6:$BE$505,0))&amp;"","")</f>
        <v/>
      </c>
      <c r="AF310" t="str">
        <f>IFERROR(INDEX('ITENS_MTR'!$AS$6:$AS$1005,MATCH(305,'ITENS_MTR'!$AT$6:$AT$1005,0))&amp;"","")</f>
        <v/>
      </c>
      <c r="AG310" t="str">
        <f>IFERROR(INDEX('CDFs'!$Y$6:$Y$505,MATCH(305,'CDFs'!$Z$6:$Z$505,0))&amp;"","")</f>
        <v/>
      </c>
    </row>
    <row r="311">
      <c r="AE311" t="str">
        <f>IFERROR(INDEX('MTRs'!$BD$6:$BD$505,MATCH(306,'MTRs'!$BE$6:$BE$505,0))&amp;"","")</f>
        <v/>
      </c>
      <c r="AF311" t="str">
        <f>IFERROR(INDEX('ITENS_MTR'!$AS$6:$AS$1005,MATCH(306,'ITENS_MTR'!$AT$6:$AT$1005,0))&amp;"","")</f>
        <v/>
      </c>
      <c r="AG311" t="str">
        <f>IFERROR(INDEX('CDFs'!$Y$6:$Y$505,MATCH(306,'CDFs'!$Z$6:$Z$505,0))&amp;"","")</f>
        <v/>
      </c>
    </row>
    <row r="312">
      <c r="AE312" t="str">
        <f>IFERROR(INDEX('MTRs'!$BD$6:$BD$505,MATCH(307,'MTRs'!$BE$6:$BE$505,0))&amp;"","")</f>
        <v/>
      </c>
      <c r="AF312" t="str">
        <f>IFERROR(INDEX('ITENS_MTR'!$AS$6:$AS$1005,MATCH(307,'ITENS_MTR'!$AT$6:$AT$1005,0))&amp;"","")</f>
        <v/>
      </c>
      <c r="AG312" t="str">
        <f>IFERROR(INDEX('CDFs'!$Y$6:$Y$505,MATCH(307,'CDFs'!$Z$6:$Z$505,0))&amp;"","")</f>
        <v/>
      </c>
    </row>
    <row r="313">
      <c r="AE313" t="str">
        <f>IFERROR(INDEX('MTRs'!$BD$6:$BD$505,MATCH(308,'MTRs'!$BE$6:$BE$505,0))&amp;"","")</f>
        <v/>
      </c>
      <c r="AF313" t="str">
        <f>IFERROR(INDEX('ITENS_MTR'!$AS$6:$AS$1005,MATCH(308,'ITENS_MTR'!$AT$6:$AT$1005,0))&amp;"","")</f>
        <v/>
      </c>
      <c r="AG313" t="str">
        <f>IFERROR(INDEX('CDFs'!$Y$6:$Y$505,MATCH(308,'CDFs'!$Z$6:$Z$505,0))&amp;"","")</f>
        <v/>
      </c>
    </row>
    <row r="314">
      <c r="AE314" t="str">
        <f>IFERROR(INDEX('MTRs'!$BD$6:$BD$505,MATCH(309,'MTRs'!$BE$6:$BE$505,0))&amp;"","")</f>
        <v/>
      </c>
      <c r="AF314" t="str">
        <f>IFERROR(INDEX('ITENS_MTR'!$AS$6:$AS$1005,MATCH(309,'ITENS_MTR'!$AT$6:$AT$1005,0))&amp;"","")</f>
        <v/>
      </c>
      <c r="AG314" t="str">
        <f>IFERROR(INDEX('CDFs'!$Y$6:$Y$505,MATCH(309,'CDFs'!$Z$6:$Z$505,0))&amp;"","")</f>
        <v/>
      </c>
    </row>
    <row r="315">
      <c r="AE315" t="str">
        <f>IFERROR(INDEX('MTRs'!$BD$6:$BD$505,MATCH(310,'MTRs'!$BE$6:$BE$505,0))&amp;"","")</f>
        <v/>
      </c>
      <c r="AF315" t="str">
        <f>IFERROR(INDEX('ITENS_MTR'!$AS$6:$AS$1005,MATCH(310,'ITENS_MTR'!$AT$6:$AT$1005,0))&amp;"","")</f>
        <v/>
      </c>
      <c r="AG315" t="str">
        <f>IFERROR(INDEX('CDFs'!$Y$6:$Y$505,MATCH(310,'CDFs'!$Z$6:$Z$505,0))&amp;"","")</f>
        <v/>
      </c>
    </row>
    <row r="316">
      <c r="AE316" t="str">
        <f>IFERROR(INDEX('MTRs'!$BD$6:$BD$505,MATCH(311,'MTRs'!$BE$6:$BE$505,0))&amp;"","")</f>
        <v/>
      </c>
      <c r="AF316" t="str">
        <f>IFERROR(INDEX('ITENS_MTR'!$AS$6:$AS$1005,MATCH(311,'ITENS_MTR'!$AT$6:$AT$1005,0))&amp;"","")</f>
        <v/>
      </c>
      <c r="AG316" t="str">
        <f>IFERROR(INDEX('CDFs'!$Y$6:$Y$505,MATCH(311,'CDFs'!$Z$6:$Z$505,0))&amp;"","")</f>
        <v/>
      </c>
    </row>
    <row r="317">
      <c r="AE317" t="str">
        <f>IFERROR(INDEX('MTRs'!$BD$6:$BD$505,MATCH(312,'MTRs'!$BE$6:$BE$505,0))&amp;"","")</f>
        <v/>
      </c>
      <c r="AF317" t="str">
        <f>IFERROR(INDEX('ITENS_MTR'!$AS$6:$AS$1005,MATCH(312,'ITENS_MTR'!$AT$6:$AT$1005,0))&amp;"","")</f>
        <v/>
      </c>
      <c r="AG317" t="str">
        <f>IFERROR(INDEX('CDFs'!$Y$6:$Y$505,MATCH(312,'CDFs'!$Z$6:$Z$505,0))&amp;"","")</f>
        <v/>
      </c>
    </row>
    <row r="318">
      <c r="AE318" t="str">
        <f>IFERROR(INDEX('MTRs'!$BD$6:$BD$505,MATCH(313,'MTRs'!$BE$6:$BE$505,0))&amp;"","")</f>
        <v/>
      </c>
      <c r="AF318" t="str">
        <f>IFERROR(INDEX('ITENS_MTR'!$AS$6:$AS$1005,MATCH(313,'ITENS_MTR'!$AT$6:$AT$1005,0))&amp;"","")</f>
        <v/>
      </c>
      <c r="AG318" t="str">
        <f>IFERROR(INDEX('CDFs'!$Y$6:$Y$505,MATCH(313,'CDFs'!$Z$6:$Z$505,0))&amp;"","")</f>
        <v/>
      </c>
    </row>
    <row r="319">
      <c r="AE319" t="str">
        <f>IFERROR(INDEX('MTRs'!$BD$6:$BD$505,MATCH(314,'MTRs'!$BE$6:$BE$505,0))&amp;"","")</f>
        <v/>
      </c>
      <c r="AF319" t="str">
        <f>IFERROR(INDEX('ITENS_MTR'!$AS$6:$AS$1005,MATCH(314,'ITENS_MTR'!$AT$6:$AT$1005,0))&amp;"","")</f>
        <v/>
      </c>
      <c r="AG319" t="str">
        <f>IFERROR(INDEX('CDFs'!$Y$6:$Y$505,MATCH(314,'CDFs'!$Z$6:$Z$505,0))&amp;"","")</f>
        <v/>
      </c>
    </row>
    <row r="320">
      <c r="AE320" t="str">
        <f>IFERROR(INDEX('MTRs'!$BD$6:$BD$505,MATCH(315,'MTRs'!$BE$6:$BE$505,0))&amp;"","")</f>
        <v/>
      </c>
      <c r="AF320" t="str">
        <f>IFERROR(INDEX('ITENS_MTR'!$AS$6:$AS$1005,MATCH(315,'ITENS_MTR'!$AT$6:$AT$1005,0))&amp;"","")</f>
        <v/>
      </c>
      <c r="AG320" t="str">
        <f>IFERROR(INDEX('CDFs'!$Y$6:$Y$505,MATCH(315,'CDFs'!$Z$6:$Z$505,0))&amp;"","")</f>
        <v/>
      </c>
    </row>
    <row r="321">
      <c r="AE321" t="str">
        <f>IFERROR(INDEX('MTRs'!$BD$6:$BD$505,MATCH(316,'MTRs'!$BE$6:$BE$505,0))&amp;"","")</f>
        <v/>
      </c>
      <c r="AF321" t="str">
        <f>IFERROR(INDEX('ITENS_MTR'!$AS$6:$AS$1005,MATCH(316,'ITENS_MTR'!$AT$6:$AT$1005,0))&amp;"","")</f>
        <v/>
      </c>
      <c r="AG321" t="str">
        <f>IFERROR(INDEX('CDFs'!$Y$6:$Y$505,MATCH(316,'CDFs'!$Z$6:$Z$505,0))&amp;"","")</f>
        <v/>
      </c>
    </row>
    <row r="322">
      <c r="AE322" t="str">
        <f>IFERROR(INDEX('MTRs'!$BD$6:$BD$505,MATCH(317,'MTRs'!$BE$6:$BE$505,0))&amp;"","")</f>
        <v/>
      </c>
      <c r="AF322" t="str">
        <f>IFERROR(INDEX('ITENS_MTR'!$AS$6:$AS$1005,MATCH(317,'ITENS_MTR'!$AT$6:$AT$1005,0))&amp;"","")</f>
        <v/>
      </c>
      <c r="AG322" t="str">
        <f>IFERROR(INDEX('CDFs'!$Y$6:$Y$505,MATCH(317,'CDFs'!$Z$6:$Z$505,0))&amp;"","")</f>
        <v/>
      </c>
    </row>
    <row r="323">
      <c r="AE323" t="str">
        <f>IFERROR(INDEX('MTRs'!$BD$6:$BD$505,MATCH(318,'MTRs'!$BE$6:$BE$505,0))&amp;"","")</f>
        <v/>
      </c>
      <c r="AF323" t="str">
        <f>IFERROR(INDEX('ITENS_MTR'!$AS$6:$AS$1005,MATCH(318,'ITENS_MTR'!$AT$6:$AT$1005,0))&amp;"","")</f>
        <v/>
      </c>
      <c r="AG323" t="str">
        <f>IFERROR(INDEX('CDFs'!$Y$6:$Y$505,MATCH(318,'CDFs'!$Z$6:$Z$505,0))&amp;"","")</f>
        <v/>
      </c>
    </row>
    <row r="324">
      <c r="AE324" t="str">
        <f>IFERROR(INDEX('MTRs'!$BD$6:$BD$505,MATCH(319,'MTRs'!$BE$6:$BE$505,0))&amp;"","")</f>
        <v/>
      </c>
      <c r="AF324" t="str">
        <f>IFERROR(INDEX('ITENS_MTR'!$AS$6:$AS$1005,MATCH(319,'ITENS_MTR'!$AT$6:$AT$1005,0))&amp;"","")</f>
        <v/>
      </c>
      <c r="AG324" t="str">
        <f>IFERROR(INDEX('CDFs'!$Y$6:$Y$505,MATCH(319,'CDFs'!$Z$6:$Z$505,0))&amp;"","")</f>
        <v/>
      </c>
    </row>
    <row r="325">
      <c r="AE325" t="str">
        <f>IFERROR(INDEX('MTRs'!$BD$6:$BD$505,MATCH(320,'MTRs'!$BE$6:$BE$505,0))&amp;"","")</f>
        <v/>
      </c>
      <c r="AF325" t="str">
        <f>IFERROR(INDEX('ITENS_MTR'!$AS$6:$AS$1005,MATCH(320,'ITENS_MTR'!$AT$6:$AT$1005,0))&amp;"","")</f>
        <v/>
      </c>
      <c r="AG325" t="str">
        <f>IFERROR(INDEX('CDFs'!$Y$6:$Y$505,MATCH(320,'CDFs'!$Z$6:$Z$505,0))&amp;"","")</f>
        <v/>
      </c>
    </row>
    <row r="326">
      <c r="AE326" t="str">
        <f>IFERROR(INDEX('MTRs'!$BD$6:$BD$505,MATCH(321,'MTRs'!$BE$6:$BE$505,0))&amp;"","")</f>
        <v/>
      </c>
      <c r="AF326" t="str">
        <f>IFERROR(INDEX('ITENS_MTR'!$AS$6:$AS$1005,MATCH(321,'ITENS_MTR'!$AT$6:$AT$1005,0))&amp;"","")</f>
        <v/>
      </c>
      <c r="AG326" t="str">
        <f>IFERROR(INDEX('CDFs'!$Y$6:$Y$505,MATCH(321,'CDFs'!$Z$6:$Z$505,0))&amp;"","")</f>
        <v/>
      </c>
    </row>
    <row r="327">
      <c r="AE327" t="str">
        <f>IFERROR(INDEX('MTRs'!$BD$6:$BD$505,MATCH(322,'MTRs'!$BE$6:$BE$505,0))&amp;"","")</f>
        <v/>
      </c>
      <c r="AF327" t="str">
        <f>IFERROR(INDEX('ITENS_MTR'!$AS$6:$AS$1005,MATCH(322,'ITENS_MTR'!$AT$6:$AT$1005,0))&amp;"","")</f>
        <v/>
      </c>
      <c r="AG327" t="str">
        <f>IFERROR(INDEX('CDFs'!$Y$6:$Y$505,MATCH(322,'CDFs'!$Z$6:$Z$505,0))&amp;"","")</f>
        <v/>
      </c>
    </row>
    <row r="328">
      <c r="AE328" t="str">
        <f>IFERROR(INDEX('MTRs'!$BD$6:$BD$505,MATCH(323,'MTRs'!$BE$6:$BE$505,0))&amp;"","")</f>
        <v/>
      </c>
      <c r="AF328" t="str">
        <f>IFERROR(INDEX('ITENS_MTR'!$AS$6:$AS$1005,MATCH(323,'ITENS_MTR'!$AT$6:$AT$1005,0))&amp;"","")</f>
        <v/>
      </c>
      <c r="AG328" t="str">
        <f>IFERROR(INDEX('CDFs'!$Y$6:$Y$505,MATCH(323,'CDFs'!$Z$6:$Z$505,0))&amp;"","")</f>
        <v/>
      </c>
    </row>
    <row r="329">
      <c r="AE329" t="str">
        <f>IFERROR(INDEX('MTRs'!$BD$6:$BD$505,MATCH(324,'MTRs'!$BE$6:$BE$505,0))&amp;"","")</f>
        <v/>
      </c>
      <c r="AF329" t="str">
        <f>IFERROR(INDEX('ITENS_MTR'!$AS$6:$AS$1005,MATCH(324,'ITENS_MTR'!$AT$6:$AT$1005,0))&amp;"","")</f>
        <v/>
      </c>
      <c r="AG329" t="str">
        <f>IFERROR(INDEX('CDFs'!$Y$6:$Y$505,MATCH(324,'CDFs'!$Z$6:$Z$505,0))&amp;"","")</f>
        <v/>
      </c>
    </row>
    <row r="330">
      <c r="AE330" t="str">
        <f>IFERROR(INDEX('MTRs'!$BD$6:$BD$505,MATCH(325,'MTRs'!$BE$6:$BE$505,0))&amp;"","")</f>
        <v/>
      </c>
      <c r="AF330" t="str">
        <f>IFERROR(INDEX('ITENS_MTR'!$AS$6:$AS$1005,MATCH(325,'ITENS_MTR'!$AT$6:$AT$1005,0))&amp;"","")</f>
        <v/>
      </c>
      <c r="AG330" t="str">
        <f>IFERROR(INDEX('CDFs'!$Y$6:$Y$505,MATCH(325,'CDFs'!$Z$6:$Z$505,0))&amp;"","")</f>
        <v/>
      </c>
    </row>
    <row r="331">
      <c r="AE331" t="str">
        <f>IFERROR(INDEX('MTRs'!$BD$6:$BD$505,MATCH(326,'MTRs'!$BE$6:$BE$505,0))&amp;"","")</f>
        <v/>
      </c>
      <c r="AF331" t="str">
        <f>IFERROR(INDEX('ITENS_MTR'!$AS$6:$AS$1005,MATCH(326,'ITENS_MTR'!$AT$6:$AT$1005,0))&amp;"","")</f>
        <v/>
      </c>
      <c r="AG331" t="str">
        <f>IFERROR(INDEX('CDFs'!$Y$6:$Y$505,MATCH(326,'CDFs'!$Z$6:$Z$505,0))&amp;"","")</f>
        <v/>
      </c>
    </row>
    <row r="332">
      <c r="AE332" t="str">
        <f>IFERROR(INDEX('MTRs'!$BD$6:$BD$505,MATCH(327,'MTRs'!$BE$6:$BE$505,0))&amp;"","")</f>
        <v/>
      </c>
      <c r="AF332" t="str">
        <f>IFERROR(INDEX('ITENS_MTR'!$AS$6:$AS$1005,MATCH(327,'ITENS_MTR'!$AT$6:$AT$1005,0))&amp;"","")</f>
        <v/>
      </c>
      <c r="AG332" t="str">
        <f>IFERROR(INDEX('CDFs'!$Y$6:$Y$505,MATCH(327,'CDFs'!$Z$6:$Z$505,0))&amp;"","")</f>
        <v/>
      </c>
    </row>
    <row r="333">
      <c r="AE333" t="str">
        <f>IFERROR(INDEX('MTRs'!$BD$6:$BD$505,MATCH(328,'MTRs'!$BE$6:$BE$505,0))&amp;"","")</f>
        <v/>
      </c>
      <c r="AF333" t="str">
        <f>IFERROR(INDEX('ITENS_MTR'!$AS$6:$AS$1005,MATCH(328,'ITENS_MTR'!$AT$6:$AT$1005,0))&amp;"","")</f>
        <v/>
      </c>
      <c r="AG333" t="str">
        <f>IFERROR(INDEX('CDFs'!$Y$6:$Y$505,MATCH(328,'CDFs'!$Z$6:$Z$505,0))&amp;"","")</f>
        <v/>
      </c>
    </row>
    <row r="334">
      <c r="AE334" t="str">
        <f>IFERROR(INDEX('MTRs'!$BD$6:$BD$505,MATCH(329,'MTRs'!$BE$6:$BE$505,0))&amp;"","")</f>
        <v/>
      </c>
      <c r="AF334" t="str">
        <f>IFERROR(INDEX('ITENS_MTR'!$AS$6:$AS$1005,MATCH(329,'ITENS_MTR'!$AT$6:$AT$1005,0))&amp;"","")</f>
        <v/>
      </c>
      <c r="AG334" t="str">
        <f>IFERROR(INDEX('CDFs'!$Y$6:$Y$505,MATCH(329,'CDFs'!$Z$6:$Z$505,0))&amp;"","")</f>
        <v/>
      </c>
    </row>
    <row r="335">
      <c r="AE335" t="str">
        <f>IFERROR(INDEX('MTRs'!$BD$6:$BD$505,MATCH(330,'MTRs'!$BE$6:$BE$505,0))&amp;"","")</f>
        <v/>
      </c>
      <c r="AF335" t="str">
        <f>IFERROR(INDEX('ITENS_MTR'!$AS$6:$AS$1005,MATCH(330,'ITENS_MTR'!$AT$6:$AT$1005,0))&amp;"","")</f>
        <v/>
      </c>
      <c r="AG335" t="str">
        <f>IFERROR(INDEX('CDFs'!$Y$6:$Y$505,MATCH(330,'CDFs'!$Z$6:$Z$505,0))&amp;"","")</f>
        <v/>
      </c>
    </row>
    <row r="336">
      <c r="AE336" t="str">
        <f>IFERROR(INDEX('MTRs'!$BD$6:$BD$505,MATCH(331,'MTRs'!$BE$6:$BE$505,0))&amp;"","")</f>
        <v/>
      </c>
      <c r="AF336" t="str">
        <f>IFERROR(INDEX('ITENS_MTR'!$AS$6:$AS$1005,MATCH(331,'ITENS_MTR'!$AT$6:$AT$1005,0))&amp;"","")</f>
        <v/>
      </c>
      <c r="AG336" t="str">
        <f>IFERROR(INDEX('CDFs'!$Y$6:$Y$505,MATCH(331,'CDFs'!$Z$6:$Z$505,0))&amp;"","")</f>
        <v/>
      </c>
    </row>
    <row r="337">
      <c r="AE337" t="str">
        <f>IFERROR(INDEX('MTRs'!$BD$6:$BD$505,MATCH(332,'MTRs'!$BE$6:$BE$505,0))&amp;"","")</f>
        <v/>
      </c>
      <c r="AF337" t="str">
        <f>IFERROR(INDEX('ITENS_MTR'!$AS$6:$AS$1005,MATCH(332,'ITENS_MTR'!$AT$6:$AT$1005,0))&amp;"","")</f>
        <v/>
      </c>
      <c r="AG337" t="str">
        <f>IFERROR(INDEX('CDFs'!$Y$6:$Y$505,MATCH(332,'CDFs'!$Z$6:$Z$505,0))&amp;"","")</f>
        <v/>
      </c>
    </row>
    <row r="338">
      <c r="AE338" t="str">
        <f>IFERROR(INDEX('MTRs'!$BD$6:$BD$505,MATCH(333,'MTRs'!$BE$6:$BE$505,0))&amp;"","")</f>
        <v/>
      </c>
      <c r="AF338" t="str">
        <f>IFERROR(INDEX('ITENS_MTR'!$AS$6:$AS$1005,MATCH(333,'ITENS_MTR'!$AT$6:$AT$1005,0))&amp;"","")</f>
        <v/>
      </c>
      <c r="AG338" t="str">
        <f>IFERROR(INDEX('CDFs'!$Y$6:$Y$505,MATCH(333,'CDFs'!$Z$6:$Z$505,0))&amp;"","")</f>
        <v/>
      </c>
    </row>
    <row r="339">
      <c r="AE339" t="str">
        <f>IFERROR(INDEX('MTRs'!$BD$6:$BD$505,MATCH(334,'MTRs'!$BE$6:$BE$505,0))&amp;"","")</f>
        <v/>
      </c>
      <c r="AF339" t="str">
        <f>IFERROR(INDEX('ITENS_MTR'!$AS$6:$AS$1005,MATCH(334,'ITENS_MTR'!$AT$6:$AT$1005,0))&amp;"","")</f>
        <v/>
      </c>
      <c r="AG339" t="str">
        <f>IFERROR(INDEX('CDFs'!$Y$6:$Y$505,MATCH(334,'CDFs'!$Z$6:$Z$505,0))&amp;"","")</f>
        <v/>
      </c>
    </row>
    <row r="340">
      <c r="AE340" t="str">
        <f>IFERROR(INDEX('MTRs'!$BD$6:$BD$505,MATCH(335,'MTRs'!$BE$6:$BE$505,0))&amp;"","")</f>
        <v/>
      </c>
      <c r="AF340" t="str">
        <f>IFERROR(INDEX('ITENS_MTR'!$AS$6:$AS$1005,MATCH(335,'ITENS_MTR'!$AT$6:$AT$1005,0))&amp;"","")</f>
        <v/>
      </c>
      <c r="AG340" t="str">
        <f>IFERROR(INDEX('CDFs'!$Y$6:$Y$505,MATCH(335,'CDFs'!$Z$6:$Z$505,0))&amp;"","")</f>
        <v/>
      </c>
    </row>
    <row r="341">
      <c r="AE341" t="str">
        <f>IFERROR(INDEX('MTRs'!$BD$6:$BD$505,MATCH(336,'MTRs'!$BE$6:$BE$505,0))&amp;"","")</f>
        <v/>
      </c>
      <c r="AF341" t="str">
        <f>IFERROR(INDEX('ITENS_MTR'!$AS$6:$AS$1005,MATCH(336,'ITENS_MTR'!$AT$6:$AT$1005,0))&amp;"","")</f>
        <v/>
      </c>
      <c r="AG341" t="str">
        <f>IFERROR(INDEX('CDFs'!$Y$6:$Y$505,MATCH(336,'CDFs'!$Z$6:$Z$505,0))&amp;"","")</f>
        <v/>
      </c>
    </row>
    <row r="342">
      <c r="AE342" t="str">
        <f>IFERROR(INDEX('MTRs'!$BD$6:$BD$505,MATCH(337,'MTRs'!$BE$6:$BE$505,0))&amp;"","")</f>
        <v/>
      </c>
      <c r="AF342" t="str">
        <f>IFERROR(INDEX('ITENS_MTR'!$AS$6:$AS$1005,MATCH(337,'ITENS_MTR'!$AT$6:$AT$1005,0))&amp;"","")</f>
        <v/>
      </c>
      <c r="AG342" t="str">
        <f>IFERROR(INDEX('CDFs'!$Y$6:$Y$505,MATCH(337,'CDFs'!$Z$6:$Z$505,0))&amp;"","")</f>
        <v/>
      </c>
    </row>
    <row r="343">
      <c r="AE343" t="str">
        <f>IFERROR(INDEX('MTRs'!$BD$6:$BD$505,MATCH(338,'MTRs'!$BE$6:$BE$505,0))&amp;"","")</f>
        <v/>
      </c>
      <c r="AF343" t="str">
        <f>IFERROR(INDEX('ITENS_MTR'!$AS$6:$AS$1005,MATCH(338,'ITENS_MTR'!$AT$6:$AT$1005,0))&amp;"","")</f>
        <v/>
      </c>
      <c r="AG343" t="str">
        <f>IFERROR(INDEX('CDFs'!$Y$6:$Y$505,MATCH(338,'CDFs'!$Z$6:$Z$505,0))&amp;"","")</f>
        <v/>
      </c>
    </row>
    <row r="344">
      <c r="AE344" t="str">
        <f>IFERROR(INDEX('MTRs'!$BD$6:$BD$505,MATCH(339,'MTRs'!$BE$6:$BE$505,0))&amp;"","")</f>
        <v/>
      </c>
      <c r="AF344" t="str">
        <f>IFERROR(INDEX('ITENS_MTR'!$AS$6:$AS$1005,MATCH(339,'ITENS_MTR'!$AT$6:$AT$1005,0))&amp;"","")</f>
        <v/>
      </c>
      <c r="AG344" t="str">
        <f>IFERROR(INDEX('CDFs'!$Y$6:$Y$505,MATCH(339,'CDFs'!$Z$6:$Z$505,0))&amp;"","")</f>
        <v/>
      </c>
    </row>
    <row r="345">
      <c r="AE345" t="str">
        <f>IFERROR(INDEX('MTRs'!$BD$6:$BD$505,MATCH(340,'MTRs'!$BE$6:$BE$505,0))&amp;"","")</f>
        <v/>
      </c>
      <c r="AF345" t="str">
        <f>IFERROR(INDEX('ITENS_MTR'!$AS$6:$AS$1005,MATCH(340,'ITENS_MTR'!$AT$6:$AT$1005,0))&amp;"","")</f>
        <v/>
      </c>
      <c r="AG345" t="str">
        <f>IFERROR(INDEX('CDFs'!$Y$6:$Y$505,MATCH(340,'CDFs'!$Z$6:$Z$505,0))&amp;"","")</f>
        <v/>
      </c>
    </row>
    <row r="346">
      <c r="AE346" t="str">
        <f>IFERROR(INDEX('MTRs'!$BD$6:$BD$505,MATCH(341,'MTRs'!$BE$6:$BE$505,0))&amp;"","")</f>
        <v/>
      </c>
      <c r="AF346" t="str">
        <f>IFERROR(INDEX('ITENS_MTR'!$AS$6:$AS$1005,MATCH(341,'ITENS_MTR'!$AT$6:$AT$1005,0))&amp;"","")</f>
        <v/>
      </c>
      <c r="AG346" t="str">
        <f>IFERROR(INDEX('CDFs'!$Y$6:$Y$505,MATCH(341,'CDFs'!$Z$6:$Z$505,0))&amp;"","")</f>
        <v/>
      </c>
    </row>
    <row r="347">
      <c r="AE347" t="str">
        <f>IFERROR(INDEX('MTRs'!$BD$6:$BD$505,MATCH(342,'MTRs'!$BE$6:$BE$505,0))&amp;"","")</f>
        <v/>
      </c>
      <c r="AF347" t="str">
        <f>IFERROR(INDEX('ITENS_MTR'!$AS$6:$AS$1005,MATCH(342,'ITENS_MTR'!$AT$6:$AT$1005,0))&amp;"","")</f>
        <v/>
      </c>
      <c r="AG347" t="str">
        <f>IFERROR(INDEX('CDFs'!$Y$6:$Y$505,MATCH(342,'CDFs'!$Z$6:$Z$505,0))&amp;"","")</f>
        <v/>
      </c>
    </row>
    <row r="348">
      <c r="AE348" t="str">
        <f>IFERROR(INDEX('MTRs'!$BD$6:$BD$505,MATCH(343,'MTRs'!$BE$6:$BE$505,0))&amp;"","")</f>
        <v/>
      </c>
      <c r="AF348" t="str">
        <f>IFERROR(INDEX('ITENS_MTR'!$AS$6:$AS$1005,MATCH(343,'ITENS_MTR'!$AT$6:$AT$1005,0))&amp;"","")</f>
        <v/>
      </c>
      <c r="AG348" t="str">
        <f>IFERROR(INDEX('CDFs'!$Y$6:$Y$505,MATCH(343,'CDFs'!$Z$6:$Z$505,0))&amp;"","")</f>
        <v/>
      </c>
    </row>
    <row r="349">
      <c r="AE349" t="str">
        <f>IFERROR(INDEX('MTRs'!$BD$6:$BD$505,MATCH(344,'MTRs'!$BE$6:$BE$505,0))&amp;"","")</f>
        <v/>
      </c>
      <c r="AF349" t="str">
        <f>IFERROR(INDEX('ITENS_MTR'!$AS$6:$AS$1005,MATCH(344,'ITENS_MTR'!$AT$6:$AT$1005,0))&amp;"","")</f>
        <v/>
      </c>
      <c r="AG349" t="str">
        <f>IFERROR(INDEX('CDFs'!$Y$6:$Y$505,MATCH(344,'CDFs'!$Z$6:$Z$505,0))&amp;"","")</f>
        <v/>
      </c>
    </row>
    <row r="350">
      <c r="AE350" t="str">
        <f>IFERROR(INDEX('MTRs'!$BD$6:$BD$505,MATCH(345,'MTRs'!$BE$6:$BE$505,0))&amp;"","")</f>
        <v/>
      </c>
      <c r="AF350" t="str">
        <f>IFERROR(INDEX('ITENS_MTR'!$AS$6:$AS$1005,MATCH(345,'ITENS_MTR'!$AT$6:$AT$1005,0))&amp;"","")</f>
        <v/>
      </c>
      <c r="AG350" t="str">
        <f>IFERROR(INDEX('CDFs'!$Y$6:$Y$505,MATCH(345,'CDFs'!$Z$6:$Z$505,0))&amp;"","")</f>
        <v/>
      </c>
    </row>
    <row r="351">
      <c r="AE351" t="str">
        <f>IFERROR(INDEX('MTRs'!$BD$6:$BD$505,MATCH(346,'MTRs'!$BE$6:$BE$505,0))&amp;"","")</f>
        <v/>
      </c>
      <c r="AF351" t="str">
        <f>IFERROR(INDEX('ITENS_MTR'!$AS$6:$AS$1005,MATCH(346,'ITENS_MTR'!$AT$6:$AT$1005,0))&amp;"","")</f>
        <v/>
      </c>
      <c r="AG351" t="str">
        <f>IFERROR(INDEX('CDFs'!$Y$6:$Y$505,MATCH(346,'CDFs'!$Z$6:$Z$505,0))&amp;"","")</f>
        <v/>
      </c>
    </row>
    <row r="352">
      <c r="AE352" t="str">
        <f>IFERROR(INDEX('MTRs'!$BD$6:$BD$505,MATCH(347,'MTRs'!$BE$6:$BE$505,0))&amp;"","")</f>
        <v/>
      </c>
      <c r="AF352" t="str">
        <f>IFERROR(INDEX('ITENS_MTR'!$AS$6:$AS$1005,MATCH(347,'ITENS_MTR'!$AT$6:$AT$1005,0))&amp;"","")</f>
        <v/>
      </c>
      <c r="AG352" t="str">
        <f>IFERROR(INDEX('CDFs'!$Y$6:$Y$505,MATCH(347,'CDFs'!$Z$6:$Z$505,0))&amp;"","")</f>
        <v/>
      </c>
    </row>
    <row r="353">
      <c r="AE353" t="str">
        <f>IFERROR(INDEX('MTRs'!$BD$6:$BD$505,MATCH(348,'MTRs'!$BE$6:$BE$505,0))&amp;"","")</f>
        <v/>
      </c>
      <c r="AF353" t="str">
        <f>IFERROR(INDEX('ITENS_MTR'!$AS$6:$AS$1005,MATCH(348,'ITENS_MTR'!$AT$6:$AT$1005,0))&amp;"","")</f>
        <v/>
      </c>
      <c r="AG353" t="str">
        <f>IFERROR(INDEX('CDFs'!$Y$6:$Y$505,MATCH(348,'CDFs'!$Z$6:$Z$505,0))&amp;"","")</f>
        <v/>
      </c>
    </row>
    <row r="354">
      <c r="AE354" t="str">
        <f>IFERROR(INDEX('MTRs'!$BD$6:$BD$505,MATCH(349,'MTRs'!$BE$6:$BE$505,0))&amp;"","")</f>
        <v/>
      </c>
      <c r="AF354" t="str">
        <f>IFERROR(INDEX('ITENS_MTR'!$AS$6:$AS$1005,MATCH(349,'ITENS_MTR'!$AT$6:$AT$1005,0))&amp;"","")</f>
        <v/>
      </c>
      <c r="AG354" t="str">
        <f>IFERROR(INDEX('CDFs'!$Y$6:$Y$505,MATCH(349,'CDFs'!$Z$6:$Z$505,0))&amp;"","")</f>
        <v/>
      </c>
    </row>
    <row r="355">
      <c r="AE355" t="str">
        <f>IFERROR(INDEX('MTRs'!$BD$6:$BD$505,MATCH(350,'MTRs'!$BE$6:$BE$505,0))&amp;"","")</f>
        <v/>
      </c>
      <c r="AF355" t="str">
        <f>IFERROR(INDEX('ITENS_MTR'!$AS$6:$AS$1005,MATCH(350,'ITENS_MTR'!$AT$6:$AT$1005,0))&amp;"","")</f>
        <v/>
      </c>
      <c r="AG355" t="str">
        <f>IFERROR(INDEX('CDFs'!$Y$6:$Y$505,MATCH(350,'CDFs'!$Z$6:$Z$505,0))&amp;"","")</f>
        <v/>
      </c>
    </row>
    <row r="356">
      <c r="AE356" t="str">
        <f>IFERROR(INDEX('MTRs'!$BD$6:$BD$505,MATCH(351,'MTRs'!$BE$6:$BE$505,0))&amp;"","")</f>
        <v/>
      </c>
      <c r="AF356" t="str">
        <f>IFERROR(INDEX('ITENS_MTR'!$AS$6:$AS$1005,MATCH(351,'ITENS_MTR'!$AT$6:$AT$1005,0))&amp;"","")</f>
        <v/>
      </c>
      <c r="AG356" t="str">
        <f>IFERROR(INDEX('CDFs'!$Y$6:$Y$505,MATCH(351,'CDFs'!$Z$6:$Z$505,0))&amp;"","")</f>
        <v/>
      </c>
    </row>
    <row r="357">
      <c r="AE357" t="str">
        <f>IFERROR(INDEX('MTRs'!$BD$6:$BD$505,MATCH(352,'MTRs'!$BE$6:$BE$505,0))&amp;"","")</f>
        <v/>
      </c>
      <c r="AF357" t="str">
        <f>IFERROR(INDEX('ITENS_MTR'!$AS$6:$AS$1005,MATCH(352,'ITENS_MTR'!$AT$6:$AT$1005,0))&amp;"","")</f>
        <v/>
      </c>
      <c r="AG357" t="str">
        <f>IFERROR(INDEX('CDFs'!$Y$6:$Y$505,MATCH(352,'CDFs'!$Z$6:$Z$505,0))&amp;"","")</f>
        <v/>
      </c>
    </row>
    <row r="358">
      <c r="AE358" t="str">
        <f>IFERROR(INDEX('MTRs'!$BD$6:$BD$505,MATCH(353,'MTRs'!$BE$6:$BE$505,0))&amp;"","")</f>
        <v/>
      </c>
      <c r="AF358" t="str">
        <f>IFERROR(INDEX('ITENS_MTR'!$AS$6:$AS$1005,MATCH(353,'ITENS_MTR'!$AT$6:$AT$1005,0))&amp;"","")</f>
        <v/>
      </c>
      <c r="AG358" t="str">
        <f>IFERROR(INDEX('CDFs'!$Y$6:$Y$505,MATCH(353,'CDFs'!$Z$6:$Z$505,0))&amp;"","")</f>
        <v/>
      </c>
    </row>
    <row r="359">
      <c r="AE359" t="str">
        <f>IFERROR(INDEX('MTRs'!$BD$6:$BD$505,MATCH(354,'MTRs'!$BE$6:$BE$505,0))&amp;"","")</f>
        <v/>
      </c>
      <c r="AF359" t="str">
        <f>IFERROR(INDEX('ITENS_MTR'!$AS$6:$AS$1005,MATCH(354,'ITENS_MTR'!$AT$6:$AT$1005,0))&amp;"","")</f>
        <v/>
      </c>
      <c r="AG359" t="str">
        <f>IFERROR(INDEX('CDFs'!$Y$6:$Y$505,MATCH(354,'CDFs'!$Z$6:$Z$505,0))&amp;"","")</f>
        <v/>
      </c>
    </row>
    <row r="360">
      <c r="AE360" t="str">
        <f>IFERROR(INDEX('MTRs'!$BD$6:$BD$505,MATCH(355,'MTRs'!$BE$6:$BE$505,0))&amp;"","")</f>
        <v/>
      </c>
      <c r="AF360" t="str">
        <f>IFERROR(INDEX('ITENS_MTR'!$AS$6:$AS$1005,MATCH(355,'ITENS_MTR'!$AT$6:$AT$1005,0))&amp;"","")</f>
        <v/>
      </c>
      <c r="AG360" t="str">
        <f>IFERROR(INDEX('CDFs'!$Y$6:$Y$505,MATCH(355,'CDFs'!$Z$6:$Z$505,0))&amp;"","")</f>
        <v/>
      </c>
    </row>
    <row r="361">
      <c r="AE361" t="str">
        <f>IFERROR(INDEX('MTRs'!$BD$6:$BD$505,MATCH(356,'MTRs'!$BE$6:$BE$505,0))&amp;"","")</f>
        <v/>
      </c>
      <c r="AF361" t="str">
        <f>IFERROR(INDEX('ITENS_MTR'!$AS$6:$AS$1005,MATCH(356,'ITENS_MTR'!$AT$6:$AT$1005,0))&amp;"","")</f>
        <v/>
      </c>
      <c r="AG361" t="str">
        <f>IFERROR(INDEX('CDFs'!$Y$6:$Y$505,MATCH(356,'CDFs'!$Z$6:$Z$505,0))&amp;"","")</f>
        <v/>
      </c>
    </row>
    <row r="362">
      <c r="AE362" t="str">
        <f>IFERROR(INDEX('MTRs'!$BD$6:$BD$505,MATCH(357,'MTRs'!$BE$6:$BE$505,0))&amp;"","")</f>
        <v/>
      </c>
      <c r="AF362" t="str">
        <f>IFERROR(INDEX('ITENS_MTR'!$AS$6:$AS$1005,MATCH(357,'ITENS_MTR'!$AT$6:$AT$1005,0))&amp;"","")</f>
        <v/>
      </c>
      <c r="AG362" t="str">
        <f>IFERROR(INDEX('CDFs'!$Y$6:$Y$505,MATCH(357,'CDFs'!$Z$6:$Z$505,0))&amp;"","")</f>
        <v/>
      </c>
    </row>
    <row r="363">
      <c r="AE363" t="str">
        <f>IFERROR(INDEX('MTRs'!$BD$6:$BD$505,MATCH(358,'MTRs'!$BE$6:$BE$505,0))&amp;"","")</f>
        <v/>
      </c>
      <c r="AF363" t="str">
        <f>IFERROR(INDEX('ITENS_MTR'!$AS$6:$AS$1005,MATCH(358,'ITENS_MTR'!$AT$6:$AT$1005,0))&amp;"","")</f>
        <v/>
      </c>
      <c r="AG363" t="str">
        <f>IFERROR(INDEX('CDFs'!$Y$6:$Y$505,MATCH(358,'CDFs'!$Z$6:$Z$505,0))&amp;"","")</f>
        <v/>
      </c>
    </row>
    <row r="364">
      <c r="AE364" t="str">
        <f>IFERROR(INDEX('MTRs'!$BD$6:$BD$505,MATCH(359,'MTRs'!$BE$6:$BE$505,0))&amp;"","")</f>
        <v/>
      </c>
      <c r="AF364" t="str">
        <f>IFERROR(INDEX('ITENS_MTR'!$AS$6:$AS$1005,MATCH(359,'ITENS_MTR'!$AT$6:$AT$1005,0))&amp;"","")</f>
        <v/>
      </c>
      <c r="AG364" t="str">
        <f>IFERROR(INDEX('CDFs'!$Y$6:$Y$505,MATCH(359,'CDFs'!$Z$6:$Z$505,0))&amp;"","")</f>
        <v/>
      </c>
    </row>
    <row r="365">
      <c r="AE365" t="str">
        <f>IFERROR(INDEX('MTRs'!$BD$6:$BD$505,MATCH(360,'MTRs'!$BE$6:$BE$505,0))&amp;"","")</f>
        <v/>
      </c>
      <c r="AF365" t="str">
        <f>IFERROR(INDEX('ITENS_MTR'!$AS$6:$AS$1005,MATCH(360,'ITENS_MTR'!$AT$6:$AT$1005,0))&amp;"","")</f>
        <v/>
      </c>
      <c r="AG365" t="str">
        <f>IFERROR(INDEX('CDFs'!$Y$6:$Y$505,MATCH(360,'CDFs'!$Z$6:$Z$505,0))&amp;"","")</f>
        <v/>
      </c>
    </row>
    <row r="366">
      <c r="AE366" t="str">
        <f>IFERROR(INDEX('MTRs'!$BD$6:$BD$505,MATCH(361,'MTRs'!$BE$6:$BE$505,0))&amp;"","")</f>
        <v/>
      </c>
      <c r="AF366" t="str">
        <f>IFERROR(INDEX('ITENS_MTR'!$AS$6:$AS$1005,MATCH(361,'ITENS_MTR'!$AT$6:$AT$1005,0))&amp;"","")</f>
        <v/>
      </c>
      <c r="AG366" t="str">
        <f>IFERROR(INDEX('CDFs'!$Y$6:$Y$505,MATCH(361,'CDFs'!$Z$6:$Z$505,0))&amp;"","")</f>
        <v/>
      </c>
    </row>
    <row r="367">
      <c r="AE367" t="str">
        <f>IFERROR(INDEX('MTRs'!$BD$6:$BD$505,MATCH(362,'MTRs'!$BE$6:$BE$505,0))&amp;"","")</f>
        <v/>
      </c>
      <c r="AF367" t="str">
        <f>IFERROR(INDEX('ITENS_MTR'!$AS$6:$AS$1005,MATCH(362,'ITENS_MTR'!$AT$6:$AT$1005,0))&amp;"","")</f>
        <v/>
      </c>
      <c r="AG367" t="str">
        <f>IFERROR(INDEX('CDFs'!$Y$6:$Y$505,MATCH(362,'CDFs'!$Z$6:$Z$505,0))&amp;"","")</f>
        <v/>
      </c>
    </row>
    <row r="368">
      <c r="AE368" t="str">
        <f>IFERROR(INDEX('MTRs'!$BD$6:$BD$505,MATCH(363,'MTRs'!$BE$6:$BE$505,0))&amp;"","")</f>
        <v/>
      </c>
      <c r="AF368" t="str">
        <f>IFERROR(INDEX('ITENS_MTR'!$AS$6:$AS$1005,MATCH(363,'ITENS_MTR'!$AT$6:$AT$1005,0))&amp;"","")</f>
        <v/>
      </c>
      <c r="AG368" t="str">
        <f>IFERROR(INDEX('CDFs'!$Y$6:$Y$505,MATCH(363,'CDFs'!$Z$6:$Z$505,0))&amp;"","")</f>
        <v/>
      </c>
    </row>
    <row r="369">
      <c r="AE369" t="str">
        <f>IFERROR(INDEX('MTRs'!$BD$6:$BD$505,MATCH(364,'MTRs'!$BE$6:$BE$505,0))&amp;"","")</f>
        <v/>
      </c>
      <c r="AF369" t="str">
        <f>IFERROR(INDEX('ITENS_MTR'!$AS$6:$AS$1005,MATCH(364,'ITENS_MTR'!$AT$6:$AT$1005,0))&amp;"","")</f>
        <v/>
      </c>
      <c r="AG369" t="str">
        <f>IFERROR(INDEX('CDFs'!$Y$6:$Y$505,MATCH(364,'CDFs'!$Z$6:$Z$505,0))&amp;"","")</f>
        <v/>
      </c>
    </row>
    <row r="370">
      <c r="AE370" t="str">
        <f>IFERROR(INDEX('MTRs'!$BD$6:$BD$505,MATCH(365,'MTRs'!$BE$6:$BE$505,0))&amp;"","")</f>
        <v/>
      </c>
      <c r="AF370" t="str">
        <f>IFERROR(INDEX('ITENS_MTR'!$AS$6:$AS$1005,MATCH(365,'ITENS_MTR'!$AT$6:$AT$1005,0))&amp;"","")</f>
        <v/>
      </c>
      <c r="AG370" t="str">
        <f>IFERROR(INDEX('CDFs'!$Y$6:$Y$505,MATCH(365,'CDFs'!$Z$6:$Z$505,0))&amp;"","")</f>
        <v/>
      </c>
    </row>
    <row r="371">
      <c r="AE371" t="str">
        <f>IFERROR(INDEX('MTRs'!$BD$6:$BD$505,MATCH(366,'MTRs'!$BE$6:$BE$505,0))&amp;"","")</f>
        <v/>
      </c>
      <c r="AF371" t="str">
        <f>IFERROR(INDEX('ITENS_MTR'!$AS$6:$AS$1005,MATCH(366,'ITENS_MTR'!$AT$6:$AT$1005,0))&amp;"","")</f>
        <v/>
      </c>
      <c r="AG371" t="str">
        <f>IFERROR(INDEX('CDFs'!$Y$6:$Y$505,MATCH(366,'CDFs'!$Z$6:$Z$505,0))&amp;"","")</f>
        <v/>
      </c>
    </row>
    <row r="372">
      <c r="AE372" t="str">
        <f>IFERROR(INDEX('MTRs'!$BD$6:$BD$505,MATCH(367,'MTRs'!$BE$6:$BE$505,0))&amp;"","")</f>
        <v/>
      </c>
      <c r="AF372" t="str">
        <f>IFERROR(INDEX('ITENS_MTR'!$AS$6:$AS$1005,MATCH(367,'ITENS_MTR'!$AT$6:$AT$1005,0))&amp;"","")</f>
        <v/>
      </c>
      <c r="AG372" t="str">
        <f>IFERROR(INDEX('CDFs'!$Y$6:$Y$505,MATCH(367,'CDFs'!$Z$6:$Z$505,0))&amp;"","")</f>
        <v/>
      </c>
    </row>
    <row r="373">
      <c r="AE373" t="str">
        <f>IFERROR(INDEX('MTRs'!$BD$6:$BD$505,MATCH(368,'MTRs'!$BE$6:$BE$505,0))&amp;"","")</f>
        <v/>
      </c>
      <c r="AF373" t="str">
        <f>IFERROR(INDEX('ITENS_MTR'!$AS$6:$AS$1005,MATCH(368,'ITENS_MTR'!$AT$6:$AT$1005,0))&amp;"","")</f>
        <v/>
      </c>
      <c r="AG373" t="str">
        <f>IFERROR(INDEX('CDFs'!$Y$6:$Y$505,MATCH(368,'CDFs'!$Z$6:$Z$505,0))&amp;"","")</f>
        <v/>
      </c>
    </row>
    <row r="374">
      <c r="AE374" t="str">
        <f>IFERROR(INDEX('MTRs'!$BD$6:$BD$505,MATCH(369,'MTRs'!$BE$6:$BE$505,0))&amp;"","")</f>
        <v/>
      </c>
      <c r="AF374" t="str">
        <f>IFERROR(INDEX('ITENS_MTR'!$AS$6:$AS$1005,MATCH(369,'ITENS_MTR'!$AT$6:$AT$1005,0))&amp;"","")</f>
        <v/>
      </c>
      <c r="AG374" t="str">
        <f>IFERROR(INDEX('CDFs'!$Y$6:$Y$505,MATCH(369,'CDFs'!$Z$6:$Z$505,0))&amp;"","")</f>
        <v/>
      </c>
    </row>
    <row r="375">
      <c r="AE375" t="str">
        <f>IFERROR(INDEX('MTRs'!$BD$6:$BD$505,MATCH(370,'MTRs'!$BE$6:$BE$505,0))&amp;"","")</f>
        <v/>
      </c>
      <c r="AF375" t="str">
        <f>IFERROR(INDEX('ITENS_MTR'!$AS$6:$AS$1005,MATCH(370,'ITENS_MTR'!$AT$6:$AT$1005,0))&amp;"","")</f>
        <v/>
      </c>
      <c r="AG375" t="str">
        <f>IFERROR(INDEX('CDFs'!$Y$6:$Y$505,MATCH(370,'CDFs'!$Z$6:$Z$505,0))&amp;"","")</f>
        <v/>
      </c>
    </row>
    <row r="376">
      <c r="AE376" t="str">
        <f>IFERROR(INDEX('MTRs'!$BD$6:$BD$505,MATCH(371,'MTRs'!$BE$6:$BE$505,0))&amp;"","")</f>
        <v/>
      </c>
      <c r="AF376" t="str">
        <f>IFERROR(INDEX('ITENS_MTR'!$AS$6:$AS$1005,MATCH(371,'ITENS_MTR'!$AT$6:$AT$1005,0))&amp;"","")</f>
        <v/>
      </c>
      <c r="AG376" t="str">
        <f>IFERROR(INDEX('CDFs'!$Y$6:$Y$505,MATCH(371,'CDFs'!$Z$6:$Z$505,0))&amp;"","")</f>
        <v/>
      </c>
    </row>
    <row r="377">
      <c r="AE377" t="str">
        <f>IFERROR(INDEX('MTRs'!$BD$6:$BD$505,MATCH(372,'MTRs'!$BE$6:$BE$505,0))&amp;"","")</f>
        <v/>
      </c>
      <c r="AF377" t="str">
        <f>IFERROR(INDEX('ITENS_MTR'!$AS$6:$AS$1005,MATCH(372,'ITENS_MTR'!$AT$6:$AT$1005,0))&amp;"","")</f>
        <v/>
      </c>
      <c r="AG377" t="str">
        <f>IFERROR(INDEX('CDFs'!$Y$6:$Y$505,MATCH(372,'CDFs'!$Z$6:$Z$505,0))&amp;"","")</f>
        <v/>
      </c>
    </row>
    <row r="378">
      <c r="AE378" t="str">
        <f>IFERROR(INDEX('MTRs'!$BD$6:$BD$505,MATCH(373,'MTRs'!$BE$6:$BE$505,0))&amp;"","")</f>
        <v/>
      </c>
      <c r="AF378" t="str">
        <f>IFERROR(INDEX('ITENS_MTR'!$AS$6:$AS$1005,MATCH(373,'ITENS_MTR'!$AT$6:$AT$1005,0))&amp;"","")</f>
        <v/>
      </c>
      <c r="AG378" t="str">
        <f>IFERROR(INDEX('CDFs'!$Y$6:$Y$505,MATCH(373,'CDFs'!$Z$6:$Z$505,0))&amp;"","")</f>
        <v/>
      </c>
    </row>
    <row r="379">
      <c r="AE379" t="str">
        <f>IFERROR(INDEX('MTRs'!$BD$6:$BD$505,MATCH(374,'MTRs'!$BE$6:$BE$505,0))&amp;"","")</f>
        <v/>
      </c>
      <c r="AF379" t="str">
        <f>IFERROR(INDEX('ITENS_MTR'!$AS$6:$AS$1005,MATCH(374,'ITENS_MTR'!$AT$6:$AT$1005,0))&amp;"","")</f>
        <v/>
      </c>
      <c r="AG379" t="str">
        <f>IFERROR(INDEX('CDFs'!$Y$6:$Y$505,MATCH(374,'CDFs'!$Z$6:$Z$505,0))&amp;"","")</f>
        <v/>
      </c>
    </row>
    <row r="380">
      <c r="AE380" t="str">
        <f>IFERROR(INDEX('MTRs'!$BD$6:$BD$505,MATCH(375,'MTRs'!$BE$6:$BE$505,0))&amp;"","")</f>
        <v/>
      </c>
      <c r="AF380" t="str">
        <f>IFERROR(INDEX('ITENS_MTR'!$AS$6:$AS$1005,MATCH(375,'ITENS_MTR'!$AT$6:$AT$1005,0))&amp;"","")</f>
        <v/>
      </c>
      <c r="AG380" t="str">
        <f>IFERROR(INDEX('CDFs'!$Y$6:$Y$505,MATCH(375,'CDFs'!$Z$6:$Z$505,0))&amp;"","")</f>
        <v/>
      </c>
    </row>
    <row r="381">
      <c r="AE381" t="str">
        <f>IFERROR(INDEX('MTRs'!$BD$6:$BD$505,MATCH(376,'MTRs'!$BE$6:$BE$505,0))&amp;"","")</f>
        <v/>
      </c>
      <c r="AF381" t="str">
        <f>IFERROR(INDEX('ITENS_MTR'!$AS$6:$AS$1005,MATCH(376,'ITENS_MTR'!$AT$6:$AT$1005,0))&amp;"","")</f>
        <v/>
      </c>
      <c r="AG381" t="str">
        <f>IFERROR(INDEX('CDFs'!$Y$6:$Y$505,MATCH(376,'CDFs'!$Z$6:$Z$505,0))&amp;"","")</f>
        <v/>
      </c>
    </row>
    <row r="382">
      <c r="AE382" t="str">
        <f>IFERROR(INDEX('MTRs'!$BD$6:$BD$505,MATCH(377,'MTRs'!$BE$6:$BE$505,0))&amp;"","")</f>
        <v/>
      </c>
      <c r="AF382" t="str">
        <f>IFERROR(INDEX('ITENS_MTR'!$AS$6:$AS$1005,MATCH(377,'ITENS_MTR'!$AT$6:$AT$1005,0))&amp;"","")</f>
        <v/>
      </c>
      <c r="AG382" t="str">
        <f>IFERROR(INDEX('CDFs'!$Y$6:$Y$505,MATCH(377,'CDFs'!$Z$6:$Z$505,0))&amp;"","")</f>
        <v/>
      </c>
    </row>
    <row r="383">
      <c r="AE383" t="str">
        <f>IFERROR(INDEX('MTRs'!$BD$6:$BD$505,MATCH(378,'MTRs'!$BE$6:$BE$505,0))&amp;"","")</f>
        <v/>
      </c>
      <c r="AF383" t="str">
        <f>IFERROR(INDEX('ITENS_MTR'!$AS$6:$AS$1005,MATCH(378,'ITENS_MTR'!$AT$6:$AT$1005,0))&amp;"","")</f>
        <v/>
      </c>
      <c r="AG383" t="str">
        <f>IFERROR(INDEX('CDFs'!$Y$6:$Y$505,MATCH(378,'CDFs'!$Z$6:$Z$505,0))&amp;"","")</f>
        <v/>
      </c>
    </row>
    <row r="384">
      <c r="AE384" t="str">
        <f>IFERROR(INDEX('MTRs'!$BD$6:$BD$505,MATCH(379,'MTRs'!$BE$6:$BE$505,0))&amp;"","")</f>
        <v/>
      </c>
      <c r="AF384" t="str">
        <f>IFERROR(INDEX('ITENS_MTR'!$AS$6:$AS$1005,MATCH(379,'ITENS_MTR'!$AT$6:$AT$1005,0))&amp;"","")</f>
        <v/>
      </c>
      <c r="AG384" t="str">
        <f>IFERROR(INDEX('CDFs'!$Y$6:$Y$505,MATCH(379,'CDFs'!$Z$6:$Z$505,0))&amp;"","")</f>
        <v/>
      </c>
    </row>
    <row r="385">
      <c r="AE385" t="str">
        <f>IFERROR(INDEX('MTRs'!$BD$6:$BD$505,MATCH(380,'MTRs'!$BE$6:$BE$505,0))&amp;"","")</f>
        <v/>
      </c>
      <c r="AF385" t="str">
        <f>IFERROR(INDEX('ITENS_MTR'!$AS$6:$AS$1005,MATCH(380,'ITENS_MTR'!$AT$6:$AT$1005,0))&amp;"","")</f>
        <v/>
      </c>
      <c r="AG385" t="str">
        <f>IFERROR(INDEX('CDFs'!$Y$6:$Y$505,MATCH(380,'CDFs'!$Z$6:$Z$505,0))&amp;"","")</f>
        <v/>
      </c>
    </row>
    <row r="386">
      <c r="AE386" t="str">
        <f>IFERROR(INDEX('MTRs'!$BD$6:$BD$505,MATCH(381,'MTRs'!$BE$6:$BE$505,0))&amp;"","")</f>
        <v/>
      </c>
      <c r="AF386" t="str">
        <f>IFERROR(INDEX('ITENS_MTR'!$AS$6:$AS$1005,MATCH(381,'ITENS_MTR'!$AT$6:$AT$1005,0))&amp;"","")</f>
        <v/>
      </c>
      <c r="AG386" t="str">
        <f>IFERROR(INDEX('CDFs'!$Y$6:$Y$505,MATCH(381,'CDFs'!$Z$6:$Z$505,0))&amp;"","")</f>
        <v/>
      </c>
    </row>
    <row r="387">
      <c r="AE387" t="str">
        <f>IFERROR(INDEX('MTRs'!$BD$6:$BD$505,MATCH(382,'MTRs'!$BE$6:$BE$505,0))&amp;"","")</f>
        <v/>
      </c>
      <c r="AF387" t="str">
        <f>IFERROR(INDEX('ITENS_MTR'!$AS$6:$AS$1005,MATCH(382,'ITENS_MTR'!$AT$6:$AT$1005,0))&amp;"","")</f>
        <v/>
      </c>
      <c r="AG387" t="str">
        <f>IFERROR(INDEX('CDFs'!$Y$6:$Y$505,MATCH(382,'CDFs'!$Z$6:$Z$505,0))&amp;"","")</f>
        <v/>
      </c>
    </row>
    <row r="388">
      <c r="AE388" t="str">
        <f>IFERROR(INDEX('MTRs'!$BD$6:$BD$505,MATCH(383,'MTRs'!$BE$6:$BE$505,0))&amp;"","")</f>
        <v/>
      </c>
      <c r="AF388" t="str">
        <f>IFERROR(INDEX('ITENS_MTR'!$AS$6:$AS$1005,MATCH(383,'ITENS_MTR'!$AT$6:$AT$1005,0))&amp;"","")</f>
        <v/>
      </c>
      <c r="AG388" t="str">
        <f>IFERROR(INDEX('CDFs'!$Y$6:$Y$505,MATCH(383,'CDFs'!$Z$6:$Z$505,0))&amp;"","")</f>
        <v/>
      </c>
    </row>
    <row r="389">
      <c r="AE389" t="str">
        <f>IFERROR(INDEX('MTRs'!$BD$6:$BD$505,MATCH(384,'MTRs'!$BE$6:$BE$505,0))&amp;"","")</f>
        <v/>
      </c>
      <c r="AF389" t="str">
        <f>IFERROR(INDEX('ITENS_MTR'!$AS$6:$AS$1005,MATCH(384,'ITENS_MTR'!$AT$6:$AT$1005,0))&amp;"","")</f>
        <v/>
      </c>
      <c r="AG389" t="str">
        <f>IFERROR(INDEX('CDFs'!$Y$6:$Y$505,MATCH(384,'CDFs'!$Z$6:$Z$505,0))&amp;"","")</f>
        <v/>
      </c>
    </row>
    <row r="390">
      <c r="AE390" t="str">
        <f>IFERROR(INDEX('MTRs'!$BD$6:$BD$505,MATCH(385,'MTRs'!$BE$6:$BE$505,0))&amp;"","")</f>
        <v/>
      </c>
      <c r="AF390" t="str">
        <f>IFERROR(INDEX('ITENS_MTR'!$AS$6:$AS$1005,MATCH(385,'ITENS_MTR'!$AT$6:$AT$1005,0))&amp;"","")</f>
        <v/>
      </c>
      <c r="AG390" t="str">
        <f>IFERROR(INDEX('CDFs'!$Y$6:$Y$505,MATCH(385,'CDFs'!$Z$6:$Z$505,0))&amp;"","")</f>
        <v/>
      </c>
    </row>
    <row r="391">
      <c r="AE391" t="str">
        <f>IFERROR(INDEX('MTRs'!$BD$6:$BD$505,MATCH(386,'MTRs'!$BE$6:$BE$505,0))&amp;"","")</f>
        <v/>
      </c>
      <c r="AF391" t="str">
        <f>IFERROR(INDEX('ITENS_MTR'!$AS$6:$AS$1005,MATCH(386,'ITENS_MTR'!$AT$6:$AT$1005,0))&amp;"","")</f>
        <v/>
      </c>
      <c r="AG391" t="str">
        <f>IFERROR(INDEX('CDFs'!$Y$6:$Y$505,MATCH(386,'CDFs'!$Z$6:$Z$505,0))&amp;"","")</f>
        <v/>
      </c>
    </row>
    <row r="392">
      <c r="AE392" t="str">
        <f>IFERROR(INDEX('MTRs'!$BD$6:$BD$505,MATCH(387,'MTRs'!$BE$6:$BE$505,0))&amp;"","")</f>
        <v/>
      </c>
      <c r="AF392" t="str">
        <f>IFERROR(INDEX('ITENS_MTR'!$AS$6:$AS$1005,MATCH(387,'ITENS_MTR'!$AT$6:$AT$1005,0))&amp;"","")</f>
        <v/>
      </c>
      <c r="AG392" t="str">
        <f>IFERROR(INDEX('CDFs'!$Y$6:$Y$505,MATCH(387,'CDFs'!$Z$6:$Z$505,0))&amp;"","")</f>
        <v/>
      </c>
    </row>
    <row r="393">
      <c r="AE393" t="str">
        <f>IFERROR(INDEX('MTRs'!$BD$6:$BD$505,MATCH(388,'MTRs'!$BE$6:$BE$505,0))&amp;"","")</f>
        <v/>
      </c>
      <c r="AF393" t="str">
        <f>IFERROR(INDEX('ITENS_MTR'!$AS$6:$AS$1005,MATCH(388,'ITENS_MTR'!$AT$6:$AT$1005,0))&amp;"","")</f>
        <v/>
      </c>
      <c r="AG393" t="str">
        <f>IFERROR(INDEX('CDFs'!$Y$6:$Y$505,MATCH(388,'CDFs'!$Z$6:$Z$505,0))&amp;"","")</f>
        <v/>
      </c>
    </row>
    <row r="394">
      <c r="AE394" t="str">
        <f>IFERROR(INDEX('MTRs'!$BD$6:$BD$505,MATCH(389,'MTRs'!$BE$6:$BE$505,0))&amp;"","")</f>
        <v/>
      </c>
      <c r="AF394" t="str">
        <f>IFERROR(INDEX('ITENS_MTR'!$AS$6:$AS$1005,MATCH(389,'ITENS_MTR'!$AT$6:$AT$1005,0))&amp;"","")</f>
        <v/>
      </c>
      <c r="AG394" t="str">
        <f>IFERROR(INDEX('CDFs'!$Y$6:$Y$505,MATCH(389,'CDFs'!$Z$6:$Z$505,0))&amp;"","")</f>
        <v/>
      </c>
    </row>
    <row r="395">
      <c r="AE395" t="str">
        <f>IFERROR(INDEX('MTRs'!$BD$6:$BD$505,MATCH(390,'MTRs'!$BE$6:$BE$505,0))&amp;"","")</f>
        <v/>
      </c>
      <c r="AF395" t="str">
        <f>IFERROR(INDEX('ITENS_MTR'!$AS$6:$AS$1005,MATCH(390,'ITENS_MTR'!$AT$6:$AT$1005,0))&amp;"","")</f>
        <v/>
      </c>
      <c r="AG395" t="str">
        <f>IFERROR(INDEX('CDFs'!$Y$6:$Y$505,MATCH(390,'CDFs'!$Z$6:$Z$505,0))&amp;"","")</f>
        <v/>
      </c>
    </row>
    <row r="396">
      <c r="AE396" t="str">
        <f>IFERROR(INDEX('MTRs'!$BD$6:$BD$505,MATCH(391,'MTRs'!$BE$6:$BE$505,0))&amp;"","")</f>
        <v/>
      </c>
      <c r="AF396" t="str">
        <f>IFERROR(INDEX('ITENS_MTR'!$AS$6:$AS$1005,MATCH(391,'ITENS_MTR'!$AT$6:$AT$1005,0))&amp;"","")</f>
        <v/>
      </c>
      <c r="AG396" t="str">
        <f>IFERROR(INDEX('CDFs'!$Y$6:$Y$505,MATCH(391,'CDFs'!$Z$6:$Z$505,0))&amp;"","")</f>
        <v/>
      </c>
    </row>
    <row r="397">
      <c r="AE397" t="str">
        <f>IFERROR(INDEX('MTRs'!$BD$6:$BD$505,MATCH(392,'MTRs'!$BE$6:$BE$505,0))&amp;"","")</f>
        <v/>
      </c>
      <c r="AF397" t="str">
        <f>IFERROR(INDEX('ITENS_MTR'!$AS$6:$AS$1005,MATCH(392,'ITENS_MTR'!$AT$6:$AT$1005,0))&amp;"","")</f>
        <v/>
      </c>
      <c r="AG397" t="str">
        <f>IFERROR(INDEX('CDFs'!$Y$6:$Y$505,MATCH(392,'CDFs'!$Z$6:$Z$505,0))&amp;"","")</f>
        <v/>
      </c>
    </row>
    <row r="398">
      <c r="AE398" t="str">
        <f>IFERROR(INDEX('MTRs'!$BD$6:$BD$505,MATCH(393,'MTRs'!$BE$6:$BE$505,0))&amp;"","")</f>
        <v/>
      </c>
      <c r="AF398" t="str">
        <f>IFERROR(INDEX('ITENS_MTR'!$AS$6:$AS$1005,MATCH(393,'ITENS_MTR'!$AT$6:$AT$1005,0))&amp;"","")</f>
        <v/>
      </c>
      <c r="AG398" t="str">
        <f>IFERROR(INDEX('CDFs'!$Y$6:$Y$505,MATCH(393,'CDFs'!$Z$6:$Z$505,0))&amp;"","")</f>
        <v/>
      </c>
    </row>
    <row r="399">
      <c r="AE399" t="str">
        <f>IFERROR(INDEX('MTRs'!$BD$6:$BD$505,MATCH(394,'MTRs'!$BE$6:$BE$505,0))&amp;"","")</f>
        <v/>
      </c>
      <c r="AF399" t="str">
        <f>IFERROR(INDEX('ITENS_MTR'!$AS$6:$AS$1005,MATCH(394,'ITENS_MTR'!$AT$6:$AT$1005,0))&amp;"","")</f>
        <v/>
      </c>
      <c r="AG399" t="str">
        <f>IFERROR(INDEX('CDFs'!$Y$6:$Y$505,MATCH(394,'CDFs'!$Z$6:$Z$505,0))&amp;"","")</f>
        <v/>
      </c>
    </row>
    <row r="400">
      <c r="AE400" t="str">
        <f>IFERROR(INDEX('MTRs'!$BD$6:$BD$505,MATCH(395,'MTRs'!$BE$6:$BE$505,0))&amp;"","")</f>
        <v/>
      </c>
      <c r="AF400" t="str">
        <f>IFERROR(INDEX('ITENS_MTR'!$AS$6:$AS$1005,MATCH(395,'ITENS_MTR'!$AT$6:$AT$1005,0))&amp;"","")</f>
        <v/>
      </c>
      <c r="AG400" t="str">
        <f>IFERROR(INDEX('CDFs'!$Y$6:$Y$505,MATCH(395,'CDFs'!$Z$6:$Z$505,0))&amp;"","")</f>
        <v/>
      </c>
    </row>
    <row r="401">
      <c r="AE401" t="str">
        <f>IFERROR(INDEX('MTRs'!$BD$6:$BD$505,MATCH(396,'MTRs'!$BE$6:$BE$505,0))&amp;"","")</f>
        <v/>
      </c>
      <c r="AF401" t="str">
        <f>IFERROR(INDEX('ITENS_MTR'!$AS$6:$AS$1005,MATCH(396,'ITENS_MTR'!$AT$6:$AT$1005,0))&amp;"","")</f>
        <v/>
      </c>
      <c r="AG401" t="str">
        <f>IFERROR(INDEX('CDFs'!$Y$6:$Y$505,MATCH(396,'CDFs'!$Z$6:$Z$505,0))&amp;"","")</f>
        <v/>
      </c>
    </row>
    <row r="402">
      <c r="AE402" t="str">
        <f>IFERROR(INDEX('MTRs'!$BD$6:$BD$505,MATCH(397,'MTRs'!$BE$6:$BE$505,0))&amp;"","")</f>
        <v/>
      </c>
      <c r="AF402" t="str">
        <f>IFERROR(INDEX('ITENS_MTR'!$AS$6:$AS$1005,MATCH(397,'ITENS_MTR'!$AT$6:$AT$1005,0))&amp;"","")</f>
        <v/>
      </c>
      <c r="AG402" t="str">
        <f>IFERROR(INDEX('CDFs'!$Y$6:$Y$505,MATCH(397,'CDFs'!$Z$6:$Z$505,0))&amp;"","")</f>
        <v/>
      </c>
    </row>
    <row r="403">
      <c r="AE403" t="str">
        <f>IFERROR(INDEX('MTRs'!$BD$6:$BD$505,MATCH(398,'MTRs'!$BE$6:$BE$505,0))&amp;"","")</f>
        <v/>
      </c>
      <c r="AF403" t="str">
        <f>IFERROR(INDEX('ITENS_MTR'!$AS$6:$AS$1005,MATCH(398,'ITENS_MTR'!$AT$6:$AT$1005,0))&amp;"","")</f>
        <v/>
      </c>
      <c r="AG403" t="str">
        <f>IFERROR(INDEX('CDFs'!$Y$6:$Y$505,MATCH(398,'CDFs'!$Z$6:$Z$505,0))&amp;"","")</f>
        <v/>
      </c>
    </row>
    <row r="404">
      <c r="AE404" t="str">
        <f>IFERROR(INDEX('MTRs'!$BD$6:$BD$505,MATCH(399,'MTRs'!$BE$6:$BE$505,0))&amp;"","")</f>
        <v/>
      </c>
      <c r="AF404" t="str">
        <f>IFERROR(INDEX('ITENS_MTR'!$AS$6:$AS$1005,MATCH(399,'ITENS_MTR'!$AT$6:$AT$1005,0))&amp;"","")</f>
        <v/>
      </c>
      <c r="AG404" t="str">
        <f>IFERROR(INDEX('CDFs'!$Y$6:$Y$505,MATCH(399,'CDFs'!$Z$6:$Z$505,0))&amp;"","")</f>
        <v/>
      </c>
    </row>
    <row r="405">
      <c r="AE405" t="str">
        <f>IFERROR(INDEX('MTRs'!$BD$6:$BD$505,MATCH(400,'MTRs'!$BE$6:$BE$505,0))&amp;"","")</f>
        <v/>
      </c>
      <c r="AF405" t="str">
        <f>IFERROR(INDEX('ITENS_MTR'!$AS$6:$AS$1005,MATCH(400,'ITENS_MTR'!$AT$6:$AT$1005,0))&amp;"","")</f>
        <v/>
      </c>
      <c r="AG405" t="str">
        <f>IFERROR(INDEX('CDFs'!$Y$6:$Y$505,MATCH(400,'CDFs'!$Z$6:$Z$505,0))&amp;"","")</f>
        <v/>
      </c>
    </row>
    <row r="406">
      <c r="AE406" t="str">
        <f>IFERROR(INDEX('MTRs'!$BD$6:$BD$505,MATCH(401,'MTRs'!$BE$6:$BE$505,0))&amp;"","")</f>
        <v/>
      </c>
      <c r="AF406" t="str">
        <f>IFERROR(INDEX('ITENS_MTR'!$AS$6:$AS$1005,MATCH(401,'ITENS_MTR'!$AT$6:$AT$1005,0))&amp;"","")</f>
        <v/>
      </c>
      <c r="AG406" t="str">
        <f>IFERROR(INDEX('CDFs'!$Y$6:$Y$505,MATCH(401,'CDFs'!$Z$6:$Z$505,0))&amp;"","")</f>
        <v/>
      </c>
    </row>
    <row r="407">
      <c r="AE407" t="str">
        <f>IFERROR(INDEX('MTRs'!$BD$6:$BD$505,MATCH(402,'MTRs'!$BE$6:$BE$505,0))&amp;"","")</f>
        <v/>
      </c>
      <c r="AF407" t="str">
        <f>IFERROR(INDEX('ITENS_MTR'!$AS$6:$AS$1005,MATCH(402,'ITENS_MTR'!$AT$6:$AT$1005,0))&amp;"","")</f>
        <v/>
      </c>
      <c r="AG407" t="str">
        <f>IFERROR(INDEX('CDFs'!$Y$6:$Y$505,MATCH(402,'CDFs'!$Z$6:$Z$505,0))&amp;"","")</f>
        <v/>
      </c>
    </row>
    <row r="408">
      <c r="AE408" t="str">
        <f>IFERROR(INDEX('MTRs'!$BD$6:$BD$505,MATCH(403,'MTRs'!$BE$6:$BE$505,0))&amp;"","")</f>
        <v/>
      </c>
      <c r="AF408" t="str">
        <f>IFERROR(INDEX('ITENS_MTR'!$AS$6:$AS$1005,MATCH(403,'ITENS_MTR'!$AT$6:$AT$1005,0))&amp;"","")</f>
        <v/>
      </c>
      <c r="AG408" t="str">
        <f>IFERROR(INDEX('CDFs'!$Y$6:$Y$505,MATCH(403,'CDFs'!$Z$6:$Z$505,0))&amp;"","")</f>
        <v/>
      </c>
    </row>
    <row r="409">
      <c r="AE409" t="str">
        <f>IFERROR(INDEX('MTRs'!$BD$6:$BD$505,MATCH(404,'MTRs'!$BE$6:$BE$505,0))&amp;"","")</f>
        <v/>
      </c>
      <c r="AF409" t="str">
        <f>IFERROR(INDEX('ITENS_MTR'!$AS$6:$AS$1005,MATCH(404,'ITENS_MTR'!$AT$6:$AT$1005,0))&amp;"","")</f>
        <v/>
      </c>
      <c r="AG409" t="str">
        <f>IFERROR(INDEX('CDFs'!$Y$6:$Y$505,MATCH(404,'CDFs'!$Z$6:$Z$505,0))&amp;"","")</f>
        <v/>
      </c>
    </row>
    <row r="410">
      <c r="AE410" t="str">
        <f>IFERROR(INDEX('MTRs'!$BD$6:$BD$505,MATCH(405,'MTRs'!$BE$6:$BE$505,0))&amp;"","")</f>
        <v/>
      </c>
      <c r="AF410" t="str">
        <f>IFERROR(INDEX('ITENS_MTR'!$AS$6:$AS$1005,MATCH(405,'ITENS_MTR'!$AT$6:$AT$1005,0))&amp;"","")</f>
        <v/>
      </c>
      <c r="AG410" t="str">
        <f>IFERROR(INDEX('CDFs'!$Y$6:$Y$505,MATCH(405,'CDFs'!$Z$6:$Z$505,0))&amp;"","")</f>
        <v/>
      </c>
    </row>
    <row r="411">
      <c r="AE411" t="str">
        <f>IFERROR(INDEX('MTRs'!$BD$6:$BD$505,MATCH(406,'MTRs'!$BE$6:$BE$505,0))&amp;"","")</f>
        <v/>
      </c>
      <c r="AF411" t="str">
        <f>IFERROR(INDEX('ITENS_MTR'!$AS$6:$AS$1005,MATCH(406,'ITENS_MTR'!$AT$6:$AT$1005,0))&amp;"","")</f>
        <v/>
      </c>
      <c r="AG411" t="str">
        <f>IFERROR(INDEX('CDFs'!$Y$6:$Y$505,MATCH(406,'CDFs'!$Z$6:$Z$505,0))&amp;"","")</f>
        <v/>
      </c>
    </row>
    <row r="412">
      <c r="AE412" t="str">
        <f>IFERROR(INDEX('MTRs'!$BD$6:$BD$505,MATCH(407,'MTRs'!$BE$6:$BE$505,0))&amp;"","")</f>
        <v/>
      </c>
      <c r="AF412" t="str">
        <f>IFERROR(INDEX('ITENS_MTR'!$AS$6:$AS$1005,MATCH(407,'ITENS_MTR'!$AT$6:$AT$1005,0))&amp;"","")</f>
        <v/>
      </c>
      <c r="AG412" t="str">
        <f>IFERROR(INDEX('CDFs'!$Y$6:$Y$505,MATCH(407,'CDFs'!$Z$6:$Z$505,0))&amp;"","")</f>
        <v/>
      </c>
    </row>
    <row r="413">
      <c r="AE413" t="str">
        <f>IFERROR(INDEX('MTRs'!$BD$6:$BD$505,MATCH(408,'MTRs'!$BE$6:$BE$505,0))&amp;"","")</f>
        <v/>
      </c>
      <c r="AF413" t="str">
        <f>IFERROR(INDEX('ITENS_MTR'!$AS$6:$AS$1005,MATCH(408,'ITENS_MTR'!$AT$6:$AT$1005,0))&amp;"","")</f>
        <v/>
      </c>
      <c r="AG413" t="str">
        <f>IFERROR(INDEX('CDFs'!$Y$6:$Y$505,MATCH(408,'CDFs'!$Z$6:$Z$505,0))&amp;"","")</f>
        <v/>
      </c>
    </row>
    <row r="414">
      <c r="AE414" t="str">
        <f>IFERROR(INDEX('MTRs'!$BD$6:$BD$505,MATCH(409,'MTRs'!$BE$6:$BE$505,0))&amp;"","")</f>
        <v/>
      </c>
      <c r="AF414" t="str">
        <f>IFERROR(INDEX('ITENS_MTR'!$AS$6:$AS$1005,MATCH(409,'ITENS_MTR'!$AT$6:$AT$1005,0))&amp;"","")</f>
        <v/>
      </c>
      <c r="AG414" t="str">
        <f>IFERROR(INDEX('CDFs'!$Y$6:$Y$505,MATCH(409,'CDFs'!$Z$6:$Z$505,0))&amp;"","")</f>
        <v/>
      </c>
    </row>
    <row r="415">
      <c r="AE415" t="str">
        <f>IFERROR(INDEX('MTRs'!$BD$6:$BD$505,MATCH(410,'MTRs'!$BE$6:$BE$505,0))&amp;"","")</f>
        <v/>
      </c>
      <c r="AF415" t="str">
        <f>IFERROR(INDEX('ITENS_MTR'!$AS$6:$AS$1005,MATCH(410,'ITENS_MTR'!$AT$6:$AT$1005,0))&amp;"","")</f>
        <v/>
      </c>
      <c r="AG415" t="str">
        <f>IFERROR(INDEX('CDFs'!$Y$6:$Y$505,MATCH(410,'CDFs'!$Z$6:$Z$505,0))&amp;"","")</f>
        <v/>
      </c>
    </row>
    <row r="416">
      <c r="AE416" t="str">
        <f>IFERROR(INDEX('MTRs'!$BD$6:$BD$505,MATCH(411,'MTRs'!$BE$6:$BE$505,0))&amp;"","")</f>
        <v/>
      </c>
      <c r="AF416" t="str">
        <f>IFERROR(INDEX('ITENS_MTR'!$AS$6:$AS$1005,MATCH(411,'ITENS_MTR'!$AT$6:$AT$1005,0))&amp;"","")</f>
        <v/>
      </c>
      <c r="AG416" t="str">
        <f>IFERROR(INDEX('CDFs'!$Y$6:$Y$505,MATCH(411,'CDFs'!$Z$6:$Z$505,0))&amp;"","")</f>
        <v/>
      </c>
    </row>
    <row r="417">
      <c r="AE417" t="str">
        <f>IFERROR(INDEX('MTRs'!$BD$6:$BD$505,MATCH(412,'MTRs'!$BE$6:$BE$505,0))&amp;"","")</f>
        <v/>
      </c>
      <c r="AF417" t="str">
        <f>IFERROR(INDEX('ITENS_MTR'!$AS$6:$AS$1005,MATCH(412,'ITENS_MTR'!$AT$6:$AT$1005,0))&amp;"","")</f>
        <v/>
      </c>
      <c r="AG417" t="str">
        <f>IFERROR(INDEX('CDFs'!$Y$6:$Y$505,MATCH(412,'CDFs'!$Z$6:$Z$505,0))&amp;"","")</f>
        <v/>
      </c>
    </row>
    <row r="418">
      <c r="AE418" t="str">
        <f>IFERROR(INDEX('MTRs'!$BD$6:$BD$505,MATCH(413,'MTRs'!$BE$6:$BE$505,0))&amp;"","")</f>
        <v/>
      </c>
      <c r="AF418" t="str">
        <f>IFERROR(INDEX('ITENS_MTR'!$AS$6:$AS$1005,MATCH(413,'ITENS_MTR'!$AT$6:$AT$1005,0))&amp;"","")</f>
        <v/>
      </c>
      <c r="AG418" t="str">
        <f>IFERROR(INDEX('CDFs'!$Y$6:$Y$505,MATCH(413,'CDFs'!$Z$6:$Z$505,0))&amp;"","")</f>
        <v/>
      </c>
    </row>
    <row r="419">
      <c r="AE419" t="str">
        <f>IFERROR(INDEX('MTRs'!$BD$6:$BD$505,MATCH(414,'MTRs'!$BE$6:$BE$505,0))&amp;"","")</f>
        <v/>
      </c>
      <c r="AF419" t="str">
        <f>IFERROR(INDEX('ITENS_MTR'!$AS$6:$AS$1005,MATCH(414,'ITENS_MTR'!$AT$6:$AT$1005,0))&amp;"","")</f>
        <v/>
      </c>
      <c r="AG419" t="str">
        <f>IFERROR(INDEX('CDFs'!$Y$6:$Y$505,MATCH(414,'CDFs'!$Z$6:$Z$505,0))&amp;"","")</f>
        <v/>
      </c>
    </row>
    <row r="420">
      <c r="AE420" t="str">
        <f>IFERROR(INDEX('MTRs'!$BD$6:$BD$505,MATCH(415,'MTRs'!$BE$6:$BE$505,0))&amp;"","")</f>
        <v/>
      </c>
      <c r="AF420" t="str">
        <f>IFERROR(INDEX('ITENS_MTR'!$AS$6:$AS$1005,MATCH(415,'ITENS_MTR'!$AT$6:$AT$1005,0))&amp;"","")</f>
        <v/>
      </c>
      <c r="AG420" t="str">
        <f>IFERROR(INDEX('CDFs'!$Y$6:$Y$505,MATCH(415,'CDFs'!$Z$6:$Z$505,0))&amp;"","")</f>
        <v/>
      </c>
    </row>
    <row r="421">
      <c r="AE421" t="str">
        <f>IFERROR(INDEX('MTRs'!$BD$6:$BD$505,MATCH(416,'MTRs'!$BE$6:$BE$505,0))&amp;"","")</f>
        <v/>
      </c>
      <c r="AF421" t="str">
        <f>IFERROR(INDEX('ITENS_MTR'!$AS$6:$AS$1005,MATCH(416,'ITENS_MTR'!$AT$6:$AT$1005,0))&amp;"","")</f>
        <v/>
      </c>
      <c r="AG421" t="str">
        <f>IFERROR(INDEX('CDFs'!$Y$6:$Y$505,MATCH(416,'CDFs'!$Z$6:$Z$505,0))&amp;"","")</f>
        <v/>
      </c>
    </row>
    <row r="422">
      <c r="AE422" t="str">
        <f>IFERROR(INDEX('MTRs'!$BD$6:$BD$505,MATCH(417,'MTRs'!$BE$6:$BE$505,0))&amp;"","")</f>
        <v/>
      </c>
      <c r="AF422" t="str">
        <f>IFERROR(INDEX('ITENS_MTR'!$AS$6:$AS$1005,MATCH(417,'ITENS_MTR'!$AT$6:$AT$1005,0))&amp;"","")</f>
        <v/>
      </c>
      <c r="AG422" t="str">
        <f>IFERROR(INDEX('CDFs'!$Y$6:$Y$505,MATCH(417,'CDFs'!$Z$6:$Z$505,0))&amp;"","")</f>
        <v/>
      </c>
    </row>
    <row r="423">
      <c r="AE423" t="str">
        <f>IFERROR(INDEX('MTRs'!$BD$6:$BD$505,MATCH(418,'MTRs'!$BE$6:$BE$505,0))&amp;"","")</f>
        <v/>
      </c>
      <c r="AF423" t="str">
        <f>IFERROR(INDEX('ITENS_MTR'!$AS$6:$AS$1005,MATCH(418,'ITENS_MTR'!$AT$6:$AT$1005,0))&amp;"","")</f>
        <v/>
      </c>
      <c r="AG423" t="str">
        <f>IFERROR(INDEX('CDFs'!$Y$6:$Y$505,MATCH(418,'CDFs'!$Z$6:$Z$505,0))&amp;"","")</f>
        <v/>
      </c>
    </row>
    <row r="424">
      <c r="AE424" t="str">
        <f>IFERROR(INDEX('MTRs'!$BD$6:$BD$505,MATCH(419,'MTRs'!$BE$6:$BE$505,0))&amp;"","")</f>
        <v/>
      </c>
      <c r="AF424" t="str">
        <f>IFERROR(INDEX('ITENS_MTR'!$AS$6:$AS$1005,MATCH(419,'ITENS_MTR'!$AT$6:$AT$1005,0))&amp;"","")</f>
        <v/>
      </c>
      <c r="AG424" t="str">
        <f>IFERROR(INDEX('CDFs'!$Y$6:$Y$505,MATCH(419,'CDFs'!$Z$6:$Z$505,0))&amp;"","")</f>
        <v/>
      </c>
    </row>
    <row r="425">
      <c r="AE425" t="str">
        <f>IFERROR(INDEX('MTRs'!$BD$6:$BD$505,MATCH(420,'MTRs'!$BE$6:$BE$505,0))&amp;"","")</f>
        <v/>
      </c>
      <c r="AF425" t="str">
        <f>IFERROR(INDEX('ITENS_MTR'!$AS$6:$AS$1005,MATCH(420,'ITENS_MTR'!$AT$6:$AT$1005,0))&amp;"","")</f>
        <v/>
      </c>
      <c r="AG425" t="str">
        <f>IFERROR(INDEX('CDFs'!$Y$6:$Y$505,MATCH(420,'CDFs'!$Z$6:$Z$505,0))&amp;"","")</f>
        <v/>
      </c>
    </row>
    <row r="426">
      <c r="AE426" t="str">
        <f>IFERROR(INDEX('MTRs'!$BD$6:$BD$505,MATCH(421,'MTRs'!$BE$6:$BE$505,0))&amp;"","")</f>
        <v/>
      </c>
      <c r="AF426" t="str">
        <f>IFERROR(INDEX('ITENS_MTR'!$AS$6:$AS$1005,MATCH(421,'ITENS_MTR'!$AT$6:$AT$1005,0))&amp;"","")</f>
        <v/>
      </c>
      <c r="AG426" t="str">
        <f>IFERROR(INDEX('CDFs'!$Y$6:$Y$505,MATCH(421,'CDFs'!$Z$6:$Z$505,0))&amp;"","")</f>
        <v/>
      </c>
    </row>
    <row r="427">
      <c r="AE427" t="str">
        <f>IFERROR(INDEX('MTRs'!$BD$6:$BD$505,MATCH(422,'MTRs'!$BE$6:$BE$505,0))&amp;"","")</f>
        <v/>
      </c>
      <c r="AF427" t="str">
        <f>IFERROR(INDEX('ITENS_MTR'!$AS$6:$AS$1005,MATCH(422,'ITENS_MTR'!$AT$6:$AT$1005,0))&amp;"","")</f>
        <v/>
      </c>
      <c r="AG427" t="str">
        <f>IFERROR(INDEX('CDFs'!$Y$6:$Y$505,MATCH(422,'CDFs'!$Z$6:$Z$505,0))&amp;"","")</f>
        <v/>
      </c>
    </row>
    <row r="428">
      <c r="AE428" t="str">
        <f>IFERROR(INDEX('MTRs'!$BD$6:$BD$505,MATCH(423,'MTRs'!$BE$6:$BE$505,0))&amp;"","")</f>
        <v/>
      </c>
      <c r="AF428" t="str">
        <f>IFERROR(INDEX('ITENS_MTR'!$AS$6:$AS$1005,MATCH(423,'ITENS_MTR'!$AT$6:$AT$1005,0))&amp;"","")</f>
        <v/>
      </c>
      <c r="AG428" t="str">
        <f>IFERROR(INDEX('CDFs'!$Y$6:$Y$505,MATCH(423,'CDFs'!$Z$6:$Z$505,0))&amp;"","")</f>
        <v/>
      </c>
    </row>
    <row r="429">
      <c r="AE429" t="str">
        <f>IFERROR(INDEX('MTRs'!$BD$6:$BD$505,MATCH(424,'MTRs'!$BE$6:$BE$505,0))&amp;"","")</f>
        <v/>
      </c>
      <c r="AF429" t="str">
        <f>IFERROR(INDEX('ITENS_MTR'!$AS$6:$AS$1005,MATCH(424,'ITENS_MTR'!$AT$6:$AT$1005,0))&amp;"","")</f>
        <v/>
      </c>
      <c r="AG429" t="str">
        <f>IFERROR(INDEX('CDFs'!$Y$6:$Y$505,MATCH(424,'CDFs'!$Z$6:$Z$505,0))&amp;"","")</f>
        <v/>
      </c>
    </row>
    <row r="430">
      <c r="AE430" t="str">
        <f>IFERROR(INDEX('MTRs'!$BD$6:$BD$505,MATCH(425,'MTRs'!$BE$6:$BE$505,0))&amp;"","")</f>
        <v/>
      </c>
      <c r="AF430" t="str">
        <f>IFERROR(INDEX('ITENS_MTR'!$AS$6:$AS$1005,MATCH(425,'ITENS_MTR'!$AT$6:$AT$1005,0))&amp;"","")</f>
        <v/>
      </c>
      <c r="AG430" t="str">
        <f>IFERROR(INDEX('CDFs'!$Y$6:$Y$505,MATCH(425,'CDFs'!$Z$6:$Z$505,0))&amp;"","")</f>
        <v/>
      </c>
    </row>
    <row r="431">
      <c r="AE431" t="str">
        <f>IFERROR(INDEX('MTRs'!$BD$6:$BD$505,MATCH(426,'MTRs'!$BE$6:$BE$505,0))&amp;"","")</f>
        <v/>
      </c>
      <c r="AF431" t="str">
        <f>IFERROR(INDEX('ITENS_MTR'!$AS$6:$AS$1005,MATCH(426,'ITENS_MTR'!$AT$6:$AT$1005,0))&amp;"","")</f>
        <v/>
      </c>
      <c r="AG431" t="str">
        <f>IFERROR(INDEX('CDFs'!$Y$6:$Y$505,MATCH(426,'CDFs'!$Z$6:$Z$505,0))&amp;"","")</f>
        <v/>
      </c>
    </row>
    <row r="432">
      <c r="AE432" t="str">
        <f>IFERROR(INDEX('MTRs'!$BD$6:$BD$505,MATCH(427,'MTRs'!$BE$6:$BE$505,0))&amp;"","")</f>
        <v/>
      </c>
      <c r="AF432" t="str">
        <f>IFERROR(INDEX('ITENS_MTR'!$AS$6:$AS$1005,MATCH(427,'ITENS_MTR'!$AT$6:$AT$1005,0))&amp;"","")</f>
        <v/>
      </c>
      <c r="AG432" t="str">
        <f>IFERROR(INDEX('CDFs'!$Y$6:$Y$505,MATCH(427,'CDFs'!$Z$6:$Z$505,0))&amp;"","")</f>
        <v/>
      </c>
    </row>
    <row r="433">
      <c r="AE433" t="str">
        <f>IFERROR(INDEX('MTRs'!$BD$6:$BD$505,MATCH(428,'MTRs'!$BE$6:$BE$505,0))&amp;"","")</f>
        <v/>
      </c>
      <c r="AF433" t="str">
        <f>IFERROR(INDEX('ITENS_MTR'!$AS$6:$AS$1005,MATCH(428,'ITENS_MTR'!$AT$6:$AT$1005,0))&amp;"","")</f>
        <v/>
      </c>
      <c r="AG433" t="str">
        <f>IFERROR(INDEX('CDFs'!$Y$6:$Y$505,MATCH(428,'CDFs'!$Z$6:$Z$505,0))&amp;"","")</f>
        <v/>
      </c>
    </row>
    <row r="434">
      <c r="AE434" t="str">
        <f>IFERROR(INDEX('MTRs'!$BD$6:$BD$505,MATCH(429,'MTRs'!$BE$6:$BE$505,0))&amp;"","")</f>
        <v/>
      </c>
      <c r="AF434" t="str">
        <f>IFERROR(INDEX('ITENS_MTR'!$AS$6:$AS$1005,MATCH(429,'ITENS_MTR'!$AT$6:$AT$1005,0))&amp;"","")</f>
        <v/>
      </c>
      <c r="AG434" t="str">
        <f>IFERROR(INDEX('CDFs'!$Y$6:$Y$505,MATCH(429,'CDFs'!$Z$6:$Z$505,0))&amp;"","")</f>
        <v/>
      </c>
    </row>
    <row r="435">
      <c r="AE435" t="str">
        <f>IFERROR(INDEX('MTRs'!$BD$6:$BD$505,MATCH(430,'MTRs'!$BE$6:$BE$505,0))&amp;"","")</f>
        <v/>
      </c>
      <c r="AF435" t="str">
        <f>IFERROR(INDEX('ITENS_MTR'!$AS$6:$AS$1005,MATCH(430,'ITENS_MTR'!$AT$6:$AT$1005,0))&amp;"","")</f>
        <v/>
      </c>
      <c r="AG435" t="str">
        <f>IFERROR(INDEX('CDFs'!$Y$6:$Y$505,MATCH(430,'CDFs'!$Z$6:$Z$505,0))&amp;"","")</f>
        <v/>
      </c>
    </row>
    <row r="436">
      <c r="AE436" t="str">
        <f>IFERROR(INDEX('MTRs'!$BD$6:$BD$505,MATCH(431,'MTRs'!$BE$6:$BE$505,0))&amp;"","")</f>
        <v/>
      </c>
      <c r="AF436" t="str">
        <f>IFERROR(INDEX('ITENS_MTR'!$AS$6:$AS$1005,MATCH(431,'ITENS_MTR'!$AT$6:$AT$1005,0))&amp;"","")</f>
        <v/>
      </c>
      <c r="AG436" t="str">
        <f>IFERROR(INDEX('CDFs'!$Y$6:$Y$505,MATCH(431,'CDFs'!$Z$6:$Z$505,0))&amp;"","")</f>
        <v/>
      </c>
    </row>
    <row r="437">
      <c r="AE437" t="str">
        <f>IFERROR(INDEX('MTRs'!$BD$6:$BD$505,MATCH(432,'MTRs'!$BE$6:$BE$505,0))&amp;"","")</f>
        <v/>
      </c>
      <c r="AF437" t="str">
        <f>IFERROR(INDEX('ITENS_MTR'!$AS$6:$AS$1005,MATCH(432,'ITENS_MTR'!$AT$6:$AT$1005,0))&amp;"","")</f>
        <v/>
      </c>
      <c r="AG437" t="str">
        <f>IFERROR(INDEX('CDFs'!$Y$6:$Y$505,MATCH(432,'CDFs'!$Z$6:$Z$505,0))&amp;"","")</f>
        <v/>
      </c>
    </row>
    <row r="438">
      <c r="AE438" t="str">
        <f>IFERROR(INDEX('MTRs'!$BD$6:$BD$505,MATCH(433,'MTRs'!$BE$6:$BE$505,0))&amp;"","")</f>
        <v/>
      </c>
      <c r="AF438" t="str">
        <f>IFERROR(INDEX('ITENS_MTR'!$AS$6:$AS$1005,MATCH(433,'ITENS_MTR'!$AT$6:$AT$1005,0))&amp;"","")</f>
        <v/>
      </c>
      <c r="AG438" t="str">
        <f>IFERROR(INDEX('CDFs'!$Y$6:$Y$505,MATCH(433,'CDFs'!$Z$6:$Z$505,0))&amp;"","")</f>
        <v/>
      </c>
    </row>
    <row r="439">
      <c r="AE439" t="str">
        <f>IFERROR(INDEX('MTRs'!$BD$6:$BD$505,MATCH(434,'MTRs'!$BE$6:$BE$505,0))&amp;"","")</f>
        <v/>
      </c>
      <c r="AF439" t="str">
        <f>IFERROR(INDEX('ITENS_MTR'!$AS$6:$AS$1005,MATCH(434,'ITENS_MTR'!$AT$6:$AT$1005,0))&amp;"","")</f>
        <v/>
      </c>
      <c r="AG439" t="str">
        <f>IFERROR(INDEX('CDFs'!$Y$6:$Y$505,MATCH(434,'CDFs'!$Z$6:$Z$505,0))&amp;"","")</f>
        <v/>
      </c>
    </row>
    <row r="440">
      <c r="AE440" t="str">
        <f>IFERROR(INDEX('MTRs'!$BD$6:$BD$505,MATCH(435,'MTRs'!$BE$6:$BE$505,0))&amp;"","")</f>
        <v/>
      </c>
      <c r="AF440" t="str">
        <f>IFERROR(INDEX('ITENS_MTR'!$AS$6:$AS$1005,MATCH(435,'ITENS_MTR'!$AT$6:$AT$1005,0))&amp;"","")</f>
        <v/>
      </c>
      <c r="AG440" t="str">
        <f>IFERROR(INDEX('CDFs'!$Y$6:$Y$505,MATCH(435,'CDFs'!$Z$6:$Z$505,0))&amp;"","")</f>
        <v/>
      </c>
    </row>
    <row r="441">
      <c r="AE441" t="str">
        <f>IFERROR(INDEX('MTRs'!$BD$6:$BD$505,MATCH(436,'MTRs'!$BE$6:$BE$505,0))&amp;"","")</f>
        <v/>
      </c>
      <c r="AF441" t="str">
        <f>IFERROR(INDEX('ITENS_MTR'!$AS$6:$AS$1005,MATCH(436,'ITENS_MTR'!$AT$6:$AT$1005,0))&amp;"","")</f>
        <v/>
      </c>
      <c r="AG441" t="str">
        <f>IFERROR(INDEX('CDFs'!$Y$6:$Y$505,MATCH(436,'CDFs'!$Z$6:$Z$505,0))&amp;"","")</f>
        <v/>
      </c>
    </row>
    <row r="442">
      <c r="AE442" t="str">
        <f>IFERROR(INDEX('MTRs'!$BD$6:$BD$505,MATCH(437,'MTRs'!$BE$6:$BE$505,0))&amp;"","")</f>
        <v/>
      </c>
      <c r="AF442" t="str">
        <f>IFERROR(INDEX('ITENS_MTR'!$AS$6:$AS$1005,MATCH(437,'ITENS_MTR'!$AT$6:$AT$1005,0))&amp;"","")</f>
        <v/>
      </c>
      <c r="AG442" t="str">
        <f>IFERROR(INDEX('CDFs'!$Y$6:$Y$505,MATCH(437,'CDFs'!$Z$6:$Z$505,0))&amp;"","")</f>
        <v/>
      </c>
    </row>
    <row r="443">
      <c r="AE443" t="str">
        <f>IFERROR(INDEX('MTRs'!$BD$6:$BD$505,MATCH(438,'MTRs'!$BE$6:$BE$505,0))&amp;"","")</f>
        <v/>
      </c>
      <c r="AF443" t="str">
        <f>IFERROR(INDEX('ITENS_MTR'!$AS$6:$AS$1005,MATCH(438,'ITENS_MTR'!$AT$6:$AT$1005,0))&amp;"","")</f>
        <v/>
      </c>
      <c r="AG443" t="str">
        <f>IFERROR(INDEX('CDFs'!$Y$6:$Y$505,MATCH(438,'CDFs'!$Z$6:$Z$505,0))&amp;"","")</f>
        <v/>
      </c>
    </row>
    <row r="444">
      <c r="AE444" t="str">
        <f>IFERROR(INDEX('MTRs'!$BD$6:$BD$505,MATCH(439,'MTRs'!$BE$6:$BE$505,0))&amp;"","")</f>
        <v/>
      </c>
      <c r="AF444" t="str">
        <f>IFERROR(INDEX('ITENS_MTR'!$AS$6:$AS$1005,MATCH(439,'ITENS_MTR'!$AT$6:$AT$1005,0))&amp;"","")</f>
        <v/>
      </c>
      <c r="AG444" t="str">
        <f>IFERROR(INDEX('CDFs'!$Y$6:$Y$505,MATCH(439,'CDFs'!$Z$6:$Z$505,0))&amp;"","")</f>
        <v/>
      </c>
    </row>
    <row r="445">
      <c r="AE445" t="str">
        <f>IFERROR(INDEX('MTRs'!$BD$6:$BD$505,MATCH(440,'MTRs'!$BE$6:$BE$505,0))&amp;"","")</f>
        <v/>
      </c>
      <c r="AF445" t="str">
        <f>IFERROR(INDEX('ITENS_MTR'!$AS$6:$AS$1005,MATCH(440,'ITENS_MTR'!$AT$6:$AT$1005,0))&amp;"","")</f>
        <v/>
      </c>
      <c r="AG445" t="str">
        <f>IFERROR(INDEX('CDFs'!$Y$6:$Y$505,MATCH(440,'CDFs'!$Z$6:$Z$505,0))&amp;"","")</f>
        <v/>
      </c>
    </row>
    <row r="446">
      <c r="AE446" t="str">
        <f>IFERROR(INDEX('MTRs'!$BD$6:$BD$505,MATCH(441,'MTRs'!$BE$6:$BE$505,0))&amp;"","")</f>
        <v/>
      </c>
      <c r="AF446" t="str">
        <f>IFERROR(INDEX('ITENS_MTR'!$AS$6:$AS$1005,MATCH(441,'ITENS_MTR'!$AT$6:$AT$1005,0))&amp;"","")</f>
        <v/>
      </c>
      <c r="AG446" t="str">
        <f>IFERROR(INDEX('CDFs'!$Y$6:$Y$505,MATCH(441,'CDFs'!$Z$6:$Z$505,0))&amp;"","")</f>
        <v/>
      </c>
    </row>
    <row r="447">
      <c r="AE447" t="str">
        <f>IFERROR(INDEX('MTRs'!$BD$6:$BD$505,MATCH(442,'MTRs'!$BE$6:$BE$505,0))&amp;"","")</f>
        <v/>
      </c>
      <c r="AF447" t="str">
        <f>IFERROR(INDEX('ITENS_MTR'!$AS$6:$AS$1005,MATCH(442,'ITENS_MTR'!$AT$6:$AT$1005,0))&amp;"","")</f>
        <v/>
      </c>
      <c r="AG447" t="str">
        <f>IFERROR(INDEX('CDFs'!$Y$6:$Y$505,MATCH(442,'CDFs'!$Z$6:$Z$505,0))&amp;"","")</f>
        <v/>
      </c>
    </row>
    <row r="448">
      <c r="AE448" t="str">
        <f>IFERROR(INDEX('MTRs'!$BD$6:$BD$505,MATCH(443,'MTRs'!$BE$6:$BE$505,0))&amp;"","")</f>
        <v/>
      </c>
      <c r="AF448" t="str">
        <f>IFERROR(INDEX('ITENS_MTR'!$AS$6:$AS$1005,MATCH(443,'ITENS_MTR'!$AT$6:$AT$1005,0))&amp;"","")</f>
        <v/>
      </c>
      <c r="AG448" t="str">
        <f>IFERROR(INDEX('CDFs'!$Y$6:$Y$505,MATCH(443,'CDFs'!$Z$6:$Z$505,0))&amp;"","")</f>
        <v/>
      </c>
    </row>
    <row r="449">
      <c r="AE449" t="str">
        <f>IFERROR(INDEX('MTRs'!$BD$6:$BD$505,MATCH(444,'MTRs'!$BE$6:$BE$505,0))&amp;"","")</f>
        <v/>
      </c>
      <c r="AF449" t="str">
        <f>IFERROR(INDEX('ITENS_MTR'!$AS$6:$AS$1005,MATCH(444,'ITENS_MTR'!$AT$6:$AT$1005,0))&amp;"","")</f>
        <v/>
      </c>
      <c r="AG449" t="str">
        <f>IFERROR(INDEX('CDFs'!$Y$6:$Y$505,MATCH(444,'CDFs'!$Z$6:$Z$505,0))&amp;"","")</f>
        <v/>
      </c>
    </row>
    <row r="450">
      <c r="AE450" t="str">
        <f>IFERROR(INDEX('MTRs'!$BD$6:$BD$505,MATCH(445,'MTRs'!$BE$6:$BE$505,0))&amp;"","")</f>
        <v/>
      </c>
      <c r="AF450" t="str">
        <f>IFERROR(INDEX('ITENS_MTR'!$AS$6:$AS$1005,MATCH(445,'ITENS_MTR'!$AT$6:$AT$1005,0))&amp;"","")</f>
        <v/>
      </c>
      <c r="AG450" t="str">
        <f>IFERROR(INDEX('CDFs'!$Y$6:$Y$505,MATCH(445,'CDFs'!$Z$6:$Z$505,0))&amp;"","")</f>
        <v/>
      </c>
    </row>
    <row r="451">
      <c r="AE451" t="str">
        <f>IFERROR(INDEX('MTRs'!$BD$6:$BD$505,MATCH(446,'MTRs'!$BE$6:$BE$505,0))&amp;"","")</f>
        <v/>
      </c>
      <c r="AF451" t="str">
        <f>IFERROR(INDEX('ITENS_MTR'!$AS$6:$AS$1005,MATCH(446,'ITENS_MTR'!$AT$6:$AT$1005,0))&amp;"","")</f>
        <v/>
      </c>
      <c r="AG451" t="str">
        <f>IFERROR(INDEX('CDFs'!$Y$6:$Y$505,MATCH(446,'CDFs'!$Z$6:$Z$505,0))&amp;"","")</f>
        <v/>
      </c>
    </row>
    <row r="452">
      <c r="AE452" t="str">
        <f>IFERROR(INDEX('MTRs'!$BD$6:$BD$505,MATCH(447,'MTRs'!$BE$6:$BE$505,0))&amp;"","")</f>
        <v/>
      </c>
      <c r="AF452" t="str">
        <f>IFERROR(INDEX('ITENS_MTR'!$AS$6:$AS$1005,MATCH(447,'ITENS_MTR'!$AT$6:$AT$1005,0))&amp;"","")</f>
        <v/>
      </c>
      <c r="AG452" t="str">
        <f>IFERROR(INDEX('CDFs'!$Y$6:$Y$505,MATCH(447,'CDFs'!$Z$6:$Z$505,0))&amp;"","")</f>
        <v/>
      </c>
    </row>
    <row r="453">
      <c r="AE453" t="str">
        <f>IFERROR(INDEX('MTRs'!$BD$6:$BD$505,MATCH(448,'MTRs'!$BE$6:$BE$505,0))&amp;"","")</f>
        <v/>
      </c>
      <c r="AF453" t="str">
        <f>IFERROR(INDEX('ITENS_MTR'!$AS$6:$AS$1005,MATCH(448,'ITENS_MTR'!$AT$6:$AT$1005,0))&amp;"","")</f>
        <v/>
      </c>
      <c r="AG453" t="str">
        <f>IFERROR(INDEX('CDFs'!$Y$6:$Y$505,MATCH(448,'CDFs'!$Z$6:$Z$505,0))&amp;"","")</f>
        <v/>
      </c>
    </row>
    <row r="454">
      <c r="AE454" t="str">
        <f>IFERROR(INDEX('MTRs'!$BD$6:$BD$505,MATCH(449,'MTRs'!$BE$6:$BE$505,0))&amp;"","")</f>
        <v/>
      </c>
      <c r="AF454" t="str">
        <f>IFERROR(INDEX('ITENS_MTR'!$AS$6:$AS$1005,MATCH(449,'ITENS_MTR'!$AT$6:$AT$1005,0))&amp;"","")</f>
        <v/>
      </c>
      <c r="AG454" t="str">
        <f>IFERROR(INDEX('CDFs'!$Y$6:$Y$505,MATCH(449,'CDFs'!$Z$6:$Z$505,0))&amp;"","")</f>
        <v/>
      </c>
    </row>
    <row r="455">
      <c r="AE455" t="str">
        <f>IFERROR(INDEX('MTRs'!$BD$6:$BD$505,MATCH(450,'MTRs'!$BE$6:$BE$505,0))&amp;"","")</f>
        <v/>
      </c>
      <c r="AF455" t="str">
        <f>IFERROR(INDEX('ITENS_MTR'!$AS$6:$AS$1005,MATCH(450,'ITENS_MTR'!$AT$6:$AT$1005,0))&amp;"","")</f>
        <v/>
      </c>
      <c r="AG455" t="str">
        <f>IFERROR(INDEX('CDFs'!$Y$6:$Y$505,MATCH(450,'CDFs'!$Z$6:$Z$505,0))&amp;"","")</f>
        <v/>
      </c>
    </row>
    <row r="456">
      <c r="AE456" t="str">
        <f>IFERROR(INDEX('MTRs'!$BD$6:$BD$505,MATCH(451,'MTRs'!$BE$6:$BE$505,0))&amp;"","")</f>
        <v/>
      </c>
      <c r="AF456" t="str">
        <f>IFERROR(INDEX('ITENS_MTR'!$AS$6:$AS$1005,MATCH(451,'ITENS_MTR'!$AT$6:$AT$1005,0))&amp;"","")</f>
        <v/>
      </c>
      <c r="AG456" t="str">
        <f>IFERROR(INDEX('CDFs'!$Y$6:$Y$505,MATCH(451,'CDFs'!$Z$6:$Z$505,0))&amp;"","")</f>
        <v/>
      </c>
    </row>
    <row r="457">
      <c r="AE457" t="str">
        <f>IFERROR(INDEX('MTRs'!$BD$6:$BD$505,MATCH(452,'MTRs'!$BE$6:$BE$505,0))&amp;"","")</f>
        <v/>
      </c>
      <c r="AF457" t="str">
        <f>IFERROR(INDEX('ITENS_MTR'!$AS$6:$AS$1005,MATCH(452,'ITENS_MTR'!$AT$6:$AT$1005,0))&amp;"","")</f>
        <v/>
      </c>
      <c r="AG457" t="str">
        <f>IFERROR(INDEX('CDFs'!$Y$6:$Y$505,MATCH(452,'CDFs'!$Z$6:$Z$505,0))&amp;"","")</f>
        <v/>
      </c>
    </row>
    <row r="458">
      <c r="AE458" t="str">
        <f>IFERROR(INDEX('MTRs'!$BD$6:$BD$505,MATCH(453,'MTRs'!$BE$6:$BE$505,0))&amp;"","")</f>
        <v/>
      </c>
      <c r="AF458" t="str">
        <f>IFERROR(INDEX('ITENS_MTR'!$AS$6:$AS$1005,MATCH(453,'ITENS_MTR'!$AT$6:$AT$1005,0))&amp;"","")</f>
        <v/>
      </c>
      <c r="AG458" t="str">
        <f>IFERROR(INDEX('CDFs'!$Y$6:$Y$505,MATCH(453,'CDFs'!$Z$6:$Z$505,0))&amp;"","")</f>
        <v/>
      </c>
    </row>
    <row r="459">
      <c r="AE459" t="str">
        <f>IFERROR(INDEX('MTRs'!$BD$6:$BD$505,MATCH(454,'MTRs'!$BE$6:$BE$505,0))&amp;"","")</f>
        <v/>
      </c>
      <c r="AF459" t="str">
        <f>IFERROR(INDEX('ITENS_MTR'!$AS$6:$AS$1005,MATCH(454,'ITENS_MTR'!$AT$6:$AT$1005,0))&amp;"","")</f>
        <v/>
      </c>
      <c r="AG459" t="str">
        <f>IFERROR(INDEX('CDFs'!$Y$6:$Y$505,MATCH(454,'CDFs'!$Z$6:$Z$505,0))&amp;"","")</f>
        <v/>
      </c>
    </row>
    <row r="460">
      <c r="AE460" t="str">
        <f>IFERROR(INDEX('MTRs'!$BD$6:$BD$505,MATCH(455,'MTRs'!$BE$6:$BE$505,0))&amp;"","")</f>
        <v/>
      </c>
      <c r="AF460" t="str">
        <f>IFERROR(INDEX('ITENS_MTR'!$AS$6:$AS$1005,MATCH(455,'ITENS_MTR'!$AT$6:$AT$1005,0))&amp;"","")</f>
        <v/>
      </c>
      <c r="AG460" t="str">
        <f>IFERROR(INDEX('CDFs'!$Y$6:$Y$505,MATCH(455,'CDFs'!$Z$6:$Z$505,0))&amp;"","")</f>
        <v/>
      </c>
    </row>
    <row r="461">
      <c r="AE461" t="str">
        <f>IFERROR(INDEX('MTRs'!$BD$6:$BD$505,MATCH(456,'MTRs'!$BE$6:$BE$505,0))&amp;"","")</f>
        <v/>
      </c>
      <c r="AF461" t="str">
        <f>IFERROR(INDEX('ITENS_MTR'!$AS$6:$AS$1005,MATCH(456,'ITENS_MTR'!$AT$6:$AT$1005,0))&amp;"","")</f>
        <v/>
      </c>
      <c r="AG461" t="str">
        <f>IFERROR(INDEX('CDFs'!$Y$6:$Y$505,MATCH(456,'CDFs'!$Z$6:$Z$505,0))&amp;"","")</f>
        <v/>
      </c>
    </row>
    <row r="462">
      <c r="AE462" t="str">
        <f>IFERROR(INDEX('MTRs'!$BD$6:$BD$505,MATCH(457,'MTRs'!$BE$6:$BE$505,0))&amp;"","")</f>
        <v/>
      </c>
      <c r="AF462" t="str">
        <f>IFERROR(INDEX('ITENS_MTR'!$AS$6:$AS$1005,MATCH(457,'ITENS_MTR'!$AT$6:$AT$1005,0))&amp;"","")</f>
        <v/>
      </c>
      <c r="AG462" t="str">
        <f>IFERROR(INDEX('CDFs'!$Y$6:$Y$505,MATCH(457,'CDFs'!$Z$6:$Z$505,0))&amp;"","")</f>
        <v/>
      </c>
    </row>
    <row r="463">
      <c r="AE463" t="str">
        <f>IFERROR(INDEX('MTRs'!$BD$6:$BD$505,MATCH(458,'MTRs'!$BE$6:$BE$505,0))&amp;"","")</f>
        <v/>
      </c>
      <c r="AF463" t="str">
        <f>IFERROR(INDEX('ITENS_MTR'!$AS$6:$AS$1005,MATCH(458,'ITENS_MTR'!$AT$6:$AT$1005,0))&amp;"","")</f>
        <v/>
      </c>
      <c r="AG463" t="str">
        <f>IFERROR(INDEX('CDFs'!$Y$6:$Y$505,MATCH(458,'CDFs'!$Z$6:$Z$505,0))&amp;"","")</f>
        <v/>
      </c>
    </row>
    <row r="464">
      <c r="AE464" t="str">
        <f>IFERROR(INDEX('MTRs'!$BD$6:$BD$505,MATCH(459,'MTRs'!$BE$6:$BE$505,0))&amp;"","")</f>
        <v/>
      </c>
      <c r="AF464" t="str">
        <f>IFERROR(INDEX('ITENS_MTR'!$AS$6:$AS$1005,MATCH(459,'ITENS_MTR'!$AT$6:$AT$1005,0))&amp;"","")</f>
        <v/>
      </c>
      <c r="AG464" t="str">
        <f>IFERROR(INDEX('CDFs'!$Y$6:$Y$505,MATCH(459,'CDFs'!$Z$6:$Z$505,0))&amp;"","")</f>
        <v/>
      </c>
    </row>
    <row r="465">
      <c r="AE465" t="str">
        <f>IFERROR(INDEX('MTRs'!$BD$6:$BD$505,MATCH(460,'MTRs'!$BE$6:$BE$505,0))&amp;"","")</f>
        <v/>
      </c>
      <c r="AF465" t="str">
        <f>IFERROR(INDEX('ITENS_MTR'!$AS$6:$AS$1005,MATCH(460,'ITENS_MTR'!$AT$6:$AT$1005,0))&amp;"","")</f>
        <v/>
      </c>
      <c r="AG465" t="str">
        <f>IFERROR(INDEX('CDFs'!$Y$6:$Y$505,MATCH(460,'CDFs'!$Z$6:$Z$505,0))&amp;"","")</f>
        <v/>
      </c>
    </row>
    <row r="466">
      <c r="AE466" t="str">
        <f>IFERROR(INDEX('MTRs'!$BD$6:$BD$505,MATCH(461,'MTRs'!$BE$6:$BE$505,0))&amp;"","")</f>
        <v/>
      </c>
      <c r="AF466" t="str">
        <f>IFERROR(INDEX('ITENS_MTR'!$AS$6:$AS$1005,MATCH(461,'ITENS_MTR'!$AT$6:$AT$1005,0))&amp;"","")</f>
        <v/>
      </c>
      <c r="AG466" t="str">
        <f>IFERROR(INDEX('CDFs'!$Y$6:$Y$505,MATCH(461,'CDFs'!$Z$6:$Z$505,0))&amp;"","")</f>
        <v/>
      </c>
    </row>
    <row r="467">
      <c r="AE467" t="str">
        <f>IFERROR(INDEX('MTRs'!$BD$6:$BD$505,MATCH(462,'MTRs'!$BE$6:$BE$505,0))&amp;"","")</f>
        <v/>
      </c>
      <c r="AF467" t="str">
        <f>IFERROR(INDEX('ITENS_MTR'!$AS$6:$AS$1005,MATCH(462,'ITENS_MTR'!$AT$6:$AT$1005,0))&amp;"","")</f>
        <v/>
      </c>
      <c r="AG467" t="str">
        <f>IFERROR(INDEX('CDFs'!$Y$6:$Y$505,MATCH(462,'CDFs'!$Z$6:$Z$505,0))&amp;"","")</f>
        <v/>
      </c>
    </row>
    <row r="468">
      <c r="AE468" t="str">
        <f>IFERROR(INDEX('MTRs'!$BD$6:$BD$505,MATCH(463,'MTRs'!$BE$6:$BE$505,0))&amp;"","")</f>
        <v/>
      </c>
      <c r="AF468" t="str">
        <f>IFERROR(INDEX('ITENS_MTR'!$AS$6:$AS$1005,MATCH(463,'ITENS_MTR'!$AT$6:$AT$1005,0))&amp;"","")</f>
        <v/>
      </c>
      <c r="AG468" t="str">
        <f>IFERROR(INDEX('CDFs'!$Y$6:$Y$505,MATCH(463,'CDFs'!$Z$6:$Z$505,0))&amp;"","")</f>
        <v/>
      </c>
    </row>
    <row r="469">
      <c r="AE469" t="str">
        <f>IFERROR(INDEX('MTRs'!$BD$6:$BD$505,MATCH(464,'MTRs'!$BE$6:$BE$505,0))&amp;"","")</f>
        <v/>
      </c>
      <c r="AF469" t="str">
        <f>IFERROR(INDEX('ITENS_MTR'!$AS$6:$AS$1005,MATCH(464,'ITENS_MTR'!$AT$6:$AT$1005,0))&amp;"","")</f>
        <v/>
      </c>
      <c r="AG469" t="str">
        <f>IFERROR(INDEX('CDFs'!$Y$6:$Y$505,MATCH(464,'CDFs'!$Z$6:$Z$505,0))&amp;"","")</f>
        <v/>
      </c>
    </row>
    <row r="470">
      <c r="AE470" t="str">
        <f>IFERROR(INDEX('MTRs'!$BD$6:$BD$505,MATCH(465,'MTRs'!$BE$6:$BE$505,0))&amp;"","")</f>
        <v/>
      </c>
      <c r="AF470" t="str">
        <f>IFERROR(INDEX('ITENS_MTR'!$AS$6:$AS$1005,MATCH(465,'ITENS_MTR'!$AT$6:$AT$1005,0))&amp;"","")</f>
        <v/>
      </c>
      <c r="AG470" t="str">
        <f>IFERROR(INDEX('CDFs'!$Y$6:$Y$505,MATCH(465,'CDFs'!$Z$6:$Z$505,0))&amp;"","")</f>
        <v/>
      </c>
    </row>
    <row r="471">
      <c r="AE471" t="str">
        <f>IFERROR(INDEX('MTRs'!$BD$6:$BD$505,MATCH(466,'MTRs'!$BE$6:$BE$505,0))&amp;"","")</f>
        <v/>
      </c>
      <c r="AF471" t="str">
        <f>IFERROR(INDEX('ITENS_MTR'!$AS$6:$AS$1005,MATCH(466,'ITENS_MTR'!$AT$6:$AT$1005,0))&amp;"","")</f>
        <v/>
      </c>
      <c r="AG471" t="str">
        <f>IFERROR(INDEX('CDFs'!$Y$6:$Y$505,MATCH(466,'CDFs'!$Z$6:$Z$505,0))&amp;"","")</f>
        <v/>
      </c>
    </row>
    <row r="472">
      <c r="AE472" t="str">
        <f>IFERROR(INDEX('MTRs'!$BD$6:$BD$505,MATCH(467,'MTRs'!$BE$6:$BE$505,0))&amp;"","")</f>
        <v/>
      </c>
      <c r="AF472" t="str">
        <f>IFERROR(INDEX('ITENS_MTR'!$AS$6:$AS$1005,MATCH(467,'ITENS_MTR'!$AT$6:$AT$1005,0))&amp;"","")</f>
        <v/>
      </c>
      <c r="AG472" t="str">
        <f>IFERROR(INDEX('CDFs'!$Y$6:$Y$505,MATCH(467,'CDFs'!$Z$6:$Z$505,0))&amp;"","")</f>
        <v/>
      </c>
    </row>
    <row r="473">
      <c r="AE473" t="str">
        <f>IFERROR(INDEX('MTRs'!$BD$6:$BD$505,MATCH(468,'MTRs'!$BE$6:$BE$505,0))&amp;"","")</f>
        <v/>
      </c>
      <c r="AF473" t="str">
        <f>IFERROR(INDEX('ITENS_MTR'!$AS$6:$AS$1005,MATCH(468,'ITENS_MTR'!$AT$6:$AT$1005,0))&amp;"","")</f>
        <v/>
      </c>
      <c r="AG473" t="str">
        <f>IFERROR(INDEX('CDFs'!$Y$6:$Y$505,MATCH(468,'CDFs'!$Z$6:$Z$505,0))&amp;"","")</f>
        <v/>
      </c>
    </row>
    <row r="474">
      <c r="AE474" t="str">
        <f>IFERROR(INDEX('MTRs'!$BD$6:$BD$505,MATCH(469,'MTRs'!$BE$6:$BE$505,0))&amp;"","")</f>
        <v/>
      </c>
      <c r="AF474" t="str">
        <f>IFERROR(INDEX('ITENS_MTR'!$AS$6:$AS$1005,MATCH(469,'ITENS_MTR'!$AT$6:$AT$1005,0))&amp;"","")</f>
        <v/>
      </c>
      <c r="AG474" t="str">
        <f>IFERROR(INDEX('CDFs'!$Y$6:$Y$505,MATCH(469,'CDFs'!$Z$6:$Z$505,0))&amp;"","")</f>
        <v/>
      </c>
    </row>
    <row r="475">
      <c r="AE475" t="str">
        <f>IFERROR(INDEX('MTRs'!$BD$6:$BD$505,MATCH(470,'MTRs'!$BE$6:$BE$505,0))&amp;"","")</f>
        <v/>
      </c>
      <c r="AF475" t="str">
        <f>IFERROR(INDEX('ITENS_MTR'!$AS$6:$AS$1005,MATCH(470,'ITENS_MTR'!$AT$6:$AT$1005,0))&amp;"","")</f>
        <v/>
      </c>
      <c r="AG475" t="str">
        <f>IFERROR(INDEX('CDFs'!$Y$6:$Y$505,MATCH(470,'CDFs'!$Z$6:$Z$505,0))&amp;"","")</f>
        <v/>
      </c>
    </row>
    <row r="476">
      <c r="AE476" t="str">
        <f>IFERROR(INDEX('MTRs'!$BD$6:$BD$505,MATCH(471,'MTRs'!$BE$6:$BE$505,0))&amp;"","")</f>
        <v/>
      </c>
      <c r="AF476" t="str">
        <f>IFERROR(INDEX('ITENS_MTR'!$AS$6:$AS$1005,MATCH(471,'ITENS_MTR'!$AT$6:$AT$1005,0))&amp;"","")</f>
        <v/>
      </c>
      <c r="AG476" t="str">
        <f>IFERROR(INDEX('CDFs'!$Y$6:$Y$505,MATCH(471,'CDFs'!$Z$6:$Z$505,0))&amp;"","")</f>
        <v/>
      </c>
    </row>
    <row r="477">
      <c r="AE477" t="str">
        <f>IFERROR(INDEX('MTRs'!$BD$6:$BD$505,MATCH(472,'MTRs'!$BE$6:$BE$505,0))&amp;"","")</f>
        <v/>
      </c>
      <c r="AF477" t="str">
        <f>IFERROR(INDEX('ITENS_MTR'!$AS$6:$AS$1005,MATCH(472,'ITENS_MTR'!$AT$6:$AT$1005,0))&amp;"","")</f>
        <v/>
      </c>
      <c r="AG477" t="str">
        <f>IFERROR(INDEX('CDFs'!$Y$6:$Y$505,MATCH(472,'CDFs'!$Z$6:$Z$505,0))&amp;"","")</f>
        <v/>
      </c>
    </row>
    <row r="478">
      <c r="AE478" t="str">
        <f>IFERROR(INDEX('MTRs'!$BD$6:$BD$505,MATCH(473,'MTRs'!$BE$6:$BE$505,0))&amp;"","")</f>
        <v/>
      </c>
      <c r="AF478" t="str">
        <f>IFERROR(INDEX('ITENS_MTR'!$AS$6:$AS$1005,MATCH(473,'ITENS_MTR'!$AT$6:$AT$1005,0))&amp;"","")</f>
        <v/>
      </c>
      <c r="AG478" t="str">
        <f>IFERROR(INDEX('CDFs'!$Y$6:$Y$505,MATCH(473,'CDFs'!$Z$6:$Z$505,0))&amp;"","")</f>
        <v/>
      </c>
    </row>
    <row r="479">
      <c r="AE479" t="str">
        <f>IFERROR(INDEX('MTRs'!$BD$6:$BD$505,MATCH(474,'MTRs'!$BE$6:$BE$505,0))&amp;"","")</f>
        <v/>
      </c>
      <c r="AF479" t="str">
        <f>IFERROR(INDEX('ITENS_MTR'!$AS$6:$AS$1005,MATCH(474,'ITENS_MTR'!$AT$6:$AT$1005,0))&amp;"","")</f>
        <v/>
      </c>
      <c r="AG479" t="str">
        <f>IFERROR(INDEX('CDFs'!$Y$6:$Y$505,MATCH(474,'CDFs'!$Z$6:$Z$505,0))&amp;"","")</f>
        <v/>
      </c>
    </row>
    <row r="480">
      <c r="AE480" t="str">
        <f>IFERROR(INDEX('MTRs'!$BD$6:$BD$505,MATCH(475,'MTRs'!$BE$6:$BE$505,0))&amp;"","")</f>
        <v/>
      </c>
      <c r="AF480" t="str">
        <f>IFERROR(INDEX('ITENS_MTR'!$AS$6:$AS$1005,MATCH(475,'ITENS_MTR'!$AT$6:$AT$1005,0))&amp;"","")</f>
        <v/>
      </c>
      <c r="AG480" t="str">
        <f>IFERROR(INDEX('CDFs'!$Y$6:$Y$505,MATCH(475,'CDFs'!$Z$6:$Z$505,0))&amp;"","")</f>
        <v/>
      </c>
    </row>
    <row r="481">
      <c r="AE481" t="str">
        <f>IFERROR(INDEX('MTRs'!$BD$6:$BD$505,MATCH(476,'MTRs'!$BE$6:$BE$505,0))&amp;"","")</f>
        <v/>
      </c>
      <c r="AF481" t="str">
        <f>IFERROR(INDEX('ITENS_MTR'!$AS$6:$AS$1005,MATCH(476,'ITENS_MTR'!$AT$6:$AT$1005,0))&amp;"","")</f>
        <v/>
      </c>
      <c r="AG481" t="str">
        <f>IFERROR(INDEX('CDFs'!$Y$6:$Y$505,MATCH(476,'CDFs'!$Z$6:$Z$505,0))&amp;"","")</f>
        <v/>
      </c>
    </row>
    <row r="482">
      <c r="AE482" t="str">
        <f>IFERROR(INDEX('MTRs'!$BD$6:$BD$505,MATCH(477,'MTRs'!$BE$6:$BE$505,0))&amp;"","")</f>
        <v/>
      </c>
      <c r="AF482" t="str">
        <f>IFERROR(INDEX('ITENS_MTR'!$AS$6:$AS$1005,MATCH(477,'ITENS_MTR'!$AT$6:$AT$1005,0))&amp;"","")</f>
        <v/>
      </c>
      <c r="AG482" t="str">
        <f>IFERROR(INDEX('CDFs'!$Y$6:$Y$505,MATCH(477,'CDFs'!$Z$6:$Z$505,0))&amp;"","")</f>
        <v/>
      </c>
    </row>
    <row r="483">
      <c r="AE483" t="str">
        <f>IFERROR(INDEX('MTRs'!$BD$6:$BD$505,MATCH(478,'MTRs'!$BE$6:$BE$505,0))&amp;"","")</f>
        <v/>
      </c>
      <c r="AF483" t="str">
        <f>IFERROR(INDEX('ITENS_MTR'!$AS$6:$AS$1005,MATCH(478,'ITENS_MTR'!$AT$6:$AT$1005,0))&amp;"","")</f>
        <v/>
      </c>
      <c r="AG483" t="str">
        <f>IFERROR(INDEX('CDFs'!$Y$6:$Y$505,MATCH(478,'CDFs'!$Z$6:$Z$505,0))&amp;"","")</f>
        <v/>
      </c>
    </row>
    <row r="484">
      <c r="AE484" t="str">
        <f>IFERROR(INDEX('MTRs'!$BD$6:$BD$505,MATCH(479,'MTRs'!$BE$6:$BE$505,0))&amp;"","")</f>
        <v/>
      </c>
      <c r="AF484" t="str">
        <f>IFERROR(INDEX('ITENS_MTR'!$AS$6:$AS$1005,MATCH(479,'ITENS_MTR'!$AT$6:$AT$1005,0))&amp;"","")</f>
        <v/>
      </c>
      <c r="AG484" t="str">
        <f>IFERROR(INDEX('CDFs'!$Y$6:$Y$505,MATCH(479,'CDFs'!$Z$6:$Z$505,0))&amp;"","")</f>
        <v/>
      </c>
    </row>
    <row r="485">
      <c r="AE485" t="str">
        <f>IFERROR(INDEX('MTRs'!$BD$6:$BD$505,MATCH(480,'MTRs'!$BE$6:$BE$505,0))&amp;"","")</f>
        <v/>
      </c>
      <c r="AF485" t="str">
        <f>IFERROR(INDEX('ITENS_MTR'!$AS$6:$AS$1005,MATCH(480,'ITENS_MTR'!$AT$6:$AT$1005,0))&amp;"","")</f>
        <v/>
      </c>
      <c r="AG485" t="str">
        <f>IFERROR(INDEX('CDFs'!$Y$6:$Y$505,MATCH(480,'CDFs'!$Z$6:$Z$505,0))&amp;"","")</f>
        <v/>
      </c>
    </row>
    <row r="486">
      <c r="AE486" t="str">
        <f>IFERROR(INDEX('MTRs'!$BD$6:$BD$505,MATCH(481,'MTRs'!$BE$6:$BE$505,0))&amp;"","")</f>
        <v/>
      </c>
      <c r="AF486" t="str">
        <f>IFERROR(INDEX('ITENS_MTR'!$AS$6:$AS$1005,MATCH(481,'ITENS_MTR'!$AT$6:$AT$1005,0))&amp;"","")</f>
        <v/>
      </c>
      <c r="AG486" t="str">
        <f>IFERROR(INDEX('CDFs'!$Y$6:$Y$505,MATCH(481,'CDFs'!$Z$6:$Z$505,0))&amp;"","")</f>
        <v/>
      </c>
    </row>
    <row r="487">
      <c r="AE487" t="str">
        <f>IFERROR(INDEX('MTRs'!$BD$6:$BD$505,MATCH(482,'MTRs'!$BE$6:$BE$505,0))&amp;"","")</f>
        <v/>
      </c>
      <c r="AF487" t="str">
        <f>IFERROR(INDEX('ITENS_MTR'!$AS$6:$AS$1005,MATCH(482,'ITENS_MTR'!$AT$6:$AT$1005,0))&amp;"","")</f>
        <v/>
      </c>
      <c r="AG487" t="str">
        <f>IFERROR(INDEX('CDFs'!$Y$6:$Y$505,MATCH(482,'CDFs'!$Z$6:$Z$505,0))&amp;"","")</f>
        <v/>
      </c>
    </row>
    <row r="488">
      <c r="AE488" t="str">
        <f>IFERROR(INDEX('MTRs'!$BD$6:$BD$505,MATCH(483,'MTRs'!$BE$6:$BE$505,0))&amp;"","")</f>
        <v/>
      </c>
      <c r="AF488" t="str">
        <f>IFERROR(INDEX('ITENS_MTR'!$AS$6:$AS$1005,MATCH(483,'ITENS_MTR'!$AT$6:$AT$1005,0))&amp;"","")</f>
        <v/>
      </c>
      <c r="AG488" t="str">
        <f>IFERROR(INDEX('CDFs'!$Y$6:$Y$505,MATCH(483,'CDFs'!$Z$6:$Z$505,0))&amp;"","")</f>
        <v/>
      </c>
    </row>
    <row r="489">
      <c r="AE489" t="str">
        <f>IFERROR(INDEX('MTRs'!$BD$6:$BD$505,MATCH(484,'MTRs'!$BE$6:$BE$505,0))&amp;"","")</f>
        <v/>
      </c>
      <c r="AF489" t="str">
        <f>IFERROR(INDEX('ITENS_MTR'!$AS$6:$AS$1005,MATCH(484,'ITENS_MTR'!$AT$6:$AT$1005,0))&amp;"","")</f>
        <v/>
      </c>
      <c r="AG489" t="str">
        <f>IFERROR(INDEX('CDFs'!$Y$6:$Y$505,MATCH(484,'CDFs'!$Z$6:$Z$505,0))&amp;"","")</f>
        <v/>
      </c>
    </row>
    <row r="490">
      <c r="AE490" t="str">
        <f>IFERROR(INDEX('MTRs'!$BD$6:$BD$505,MATCH(485,'MTRs'!$BE$6:$BE$505,0))&amp;"","")</f>
        <v/>
      </c>
      <c r="AF490" t="str">
        <f>IFERROR(INDEX('ITENS_MTR'!$AS$6:$AS$1005,MATCH(485,'ITENS_MTR'!$AT$6:$AT$1005,0))&amp;"","")</f>
        <v/>
      </c>
      <c r="AG490" t="str">
        <f>IFERROR(INDEX('CDFs'!$Y$6:$Y$505,MATCH(485,'CDFs'!$Z$6:$Z$505,0))&amp;"","")</f>
        <v/>
      </c>
    </row>
    <row r="491">
      <c r="AE491" t="str">
        <f>IFERROR(INDEX('MTRs'!$BD$6:$BD$505,MATCH(486,'MTRs'!$BE$6:$BE$505,0))&amp;"","")</f>
        <v/>
      </c>
      <c r="AF491" t="str">
        <f>IFERROR(INDEX('ITENS_MTR'!$AS$6:$AS$1005,MATCH(486,'ITENS_MTR'!$AT$6:$AT$1005,0))&amp;"","")</f>
        <v/>
      </c>
      <c r="AG491" t="str">
        <f>IFERROR(INDEX('CDFs'!$Y$6:$Y$505,MATCH(486,'CDFs'!$Z$6:$Z$505,0))&amp;"","")</f>
        <v/>
      </c>
    </row>
    <row r="492">
      <c r="AE492" t="str">
        <f>IFERROR(INDEX('MTRs'!$BD$6:$BD$505,MATCH(487,'MTRs'!$BE$6:$BE$505,0))&amp;"","")</f>
        <v/>
      </c>
      <c r="AF492" t="str">
        <f>IFERROR(INDEX('ITENS_MTR'!$AS$6:$AS$1005,MATCH(487,'ITENS_MTR'!$AT$6:$AT$1005,0))&amp;"","")</f>
        <v/>
      </c>
      <c r="AG492" t="str">
        <f>IFERROR(INDEX('CDFs'!$Y$6:$Y$505,MATCH(487,'CDFs'!$Z$6:$Z$505,0))&amp;"","")</f>
        <v/>
      </c>
    </row>
    <row r="493">
      <c r="AE493" t="str">
        <f>IFERROR(INDEX('MTRs'!$BD$6:$BD$505,MATCH(488,'MTRs'!$BE$6:$BE$505,0))&amp;"","")</f>
        <v/>
      </c>
      <c r="AF493" t="str">
        <f>IFERROR(INDEX('ITENS_MTR'!$AS$6:$AS$1005,MATCH(488,'ITENS_MTR'!$AT$6:$AT$1005,0))&amp;"","")</f>
        <v/>
      </c>
      <c r="AG493" t="str">
        <f>IFERROR(INDEX('CDFs'!$Y$6:$Y$505,MATCH(488,'CDFs'!$Z$6:$Z$505,0))&amp;"","")</f>
        <v/>
      </c>
    </row>
    <row r="494">
      <c r="AE494" t="str">
        <f>IFERROR(INDEX('MTRs'!$BD$6:$BD$505,MATCH(489,'MTRs'!$BE$6:$BE$505,0))&amp;"","")</f>
        <v/>
      </c>
      <c r="AF494" t="str">
        <f>IFERROR(INDEX('ITENS_MTR'!$AS$6:$AS$1005,MATCH(489,'ITENS_MTR'!$AT$6:$AT$1005,0))&amp;"","")</f>
        <v/>
      </c>
      <c r="AG494" t="str">
        <f>IFERROR(INDEX('CDFs'!$Y$6:$Y$505,MATCH(489,'CDFs'!$Z$6:$Z$505,0))&amp;"","")</f>
        <v/>
      </c>
    </row>
    <row r="495">
      <c r="AE495" t="str">
        <f>IFERROR(INDEX('MTRs'!$BD$6:$BD$505,MATCH(490,'MTRs'!$BE$6:$BE$505,0))&amp;"","")</f>
        <v/>
      </c>
      <c r="AF495" t="str">
        <f>IFERROR(INDEX('ITENS_MTR'!$AS$6:$AS$1005,MATCH(490,'ITENS_MTR'!$AT$6:$AT$1005,0))&amp;"","")</f>
        <v/>
      </c>
      <c r="AG495" t="str">
        <f>IFERROR(INDEX('CDFs'!$Y$6:$Y$505,MATCH(490,'CDFs'!$Z$6:$Z$505,0))&amp;"","")</f>
        <v/>
      </c>
    </row>
    <row r="496">
      <c r="AE496" t="str">
        <f>IFERROR(INDEX('MTRs'!$BD$6:$BD$505,MATCH(491,'MTRs'!$BE$6:$BE$505,0))&amp;"","")</f>
        <v/>
      </c>
      <c r="AF496" t="str">
        <f>IFERROR(INDEX('ITENS_MTR'!$AS$6:$AS$1005,MATCH(491,'ITENS_MTR'!$AT$6:$AT$1005,0))&amp;"","")</f>
        <v/>
      </c>
      <c r="AG496" t="str">
        <f>IFERROR(INDEX('CDFs'!$Y$6:$Y$505,MATCH(491,'CDFs'!$Z$6:$Z$505,0))&amp;"","")</f>
        <v/>
      </c>
    </row>
    <row r="497">
      <c r="AE497" t="str">
        <f>IFERROR(INDEX('MTRs'!$BD$6:$BD$505,MATCH(492,'MTRs'!$BE$6:$BE$505,0))&amp;"","")</f>
        <v/>
      </c>
      <c r="AF497" t="str">
        <f>IFERROR(INDEX('ITENS_MTR'!$AS$6:$AS$1005,MATCH(492,'ITENS_MTR'!$AT$6:$AT$1005,0))&amp;"","")</f>
        <v/>
      </c>
      <c r="AG497" t="str">
        <f>IFERROR(INDEX('CDFs'!$Y$6:$Y$505,MATCH(492,'CDFs'!$Z$6:$Z$505,0))&amp;"","")</f>
        <v/>
      </c>
    </row>
    <row r="498">
      <c r="AE498" t="str">
        <f>IFERROR(INDEX('MTRs'!$BD$6:$BD$505,MATCH(493,'MTRs'!$BE$6:$BE$505,0))&amp;"","")</f>
        <v/>
      </c>
      <c r="AF498" t="str">
        <f>IFERROR(INDEX('ITENS_MTR'!$AS$6:$AS$1005,MATCH(493,'ITENS_MTR'!$AT$6:$AT$1005,0))&amp;"","")</f>
        <v/>
      </c>
      <c r="AG498" t="str">
        <f>IFERROR(INDEX('CDFs'!$Y$6:$Y$505,MATCH(493,'CDFs'!$Z$6:$Z$505,0))&amp;"","")</f>
        <v/>
      </c>
    </row>
    <row r="499">
      <c r="AE499" t="str">
        <f>IFERROR(INDEX('MTRs'!$BD$6:$BD$505,MATCH(494,'MTRs'!$BE$6:$BE$505,0))&amp;"","")</f>
        <v/>
      </c>
      <c r="AF499" t="str">
        <f>IFERROR(INDEX('ITENS_MTR'!$AS$6:$AS$1005,MATCH(494,'ITENS_MTR'!$AT$6:$AT$1005,0))&amp;"","")</f>
        <v/>
      </c>
      <c r="AG499" t="str">
        <f>IFERROR(INDEX('CDFs'!$Y$6:$Y$505,MATCH(494,'CDFs'!$Z$6:$Z$505,0))&amp;"","")</f>
        <v/>
      </c>
    </row>
    <row r="500">
      <c r="AE500" t="str">
        <f>IFERROR(INDEX('MTRs'!$BD$6:$BD$505,MATCH(495,'MTRs'!$BE$6:$BE$505,0))&amp;"","")</f>
        <v/>
      </c>
      <c r="AF500" t="str">
        <f>IFERROR(INDEX('ITENS_MTR'!$AS$6:$AS$1005,MATCH(495,'ITENS_MTR'!$AT$6:$AT$1005,0))&amp;"","")</f>
        <v/>
      </c>
      <c r="AG500" t="str">
        <f>IFERROR(INDEX('CDFs'!$Y$6:$Y$505,MATCH(495,'CDFs'!$Z$6:$Z$505,0))&amp;"","")</f>
        <v/>
      </c>
    </row>
    <row r="501">
      <c r="AE501" t="str">
        <f>IFERROR(INDEX('MTRs'!$BD$6:$BD$505,MATCH(496,'MTRs'!$BE$6:$BE$505,0))&amp;"","")</f>
        <v/>
      </c>
      <c r="AF501" t="str">
        <f>IFERROR(INDEX('ITENS_MTR'!$AS$6:$AS$1005,MATCH(496,'ITENS_MTR'!$AT$6:$AT$1005,0))&amp;"","")</f>
        <v/>
      </c>
      <c r="AG501" t="str">
        <f>IFERROR(INDEX('CDFs'!$Y$6:$Y$505,MATCH(496,'CDFs'!$Z$6:$Z$505,0))&amp;"","")</f>
        <v/>
      </c>
    </row>
    <row r="502">
      <c r="AE502" t="str">
        <f>IFERROR(INDEX('MTRs'!$BD$6:$BD$505,MATCH(497,'MTRs'!$BE$6:$BE$505,0))&amp;"","")</f>
        <v/>
      </c>
      <c r="AF502" t="str">
        <f>IFERROR(INDEX('ITENS_MTR'!$AS$6:$AS$1005,MATCH(497,'ITENS_MTR'!$AT$6:$AT$1005,0))&amp;"","")</f>
        <v/>
      </c>
      <c r="AG502" t="str">
        <f>IFERROR(INDEX('CDFs'!$Y$6:$Y$505,MATCH(497,'CDFs'!$Z$6:$Z$505,0))&amp;"","")</f>
        <v/>
      </c>
    </row>
    <row r="503">
      <c r="AE503" t="str">
        <f>IFERROR(INDEX('MTRs'!$BD$6:$BD$505,MATCH(498,'MTRs'!$BE$6:$BE$505,0))&amp;"","")</f>
        <v/>
      </c>
      <c r="AF503" t="str">
        <f>IFERROR(INDEX('ITENS_MTR'!$AS$6:$AS$1005,MATCH(498,'ITENS_MTR'!$AT$6:$AT$1005,0))&amp;"","")</f>
        <v/>
      </c>
      <c r="AG503" t="str">
        <f>IFERROR(INDEX('CDFs'!$Y$6:$Y$505,MATCH(498,'CDFs'!$Z$6:$Z$505,0))&amp;"","")</f>
        <v/>
      </c>
    </row>
    <row r="504">
      <c r="AE504" t="str">
        <f>IFERROR(INDEX('MTRs'!$BD$6:$BD$505,MATCH(499,'MTRs'!$BE$6:$BE$505,0))&amp;"","")</f>
        <v/>
      </c>
      <c r="AF504" t="str">
        <f>IFERROR(INDEX('ITENS_MTR'!$AS$6:$AS$1005,MATCH(499,'ITENS_MTR'!$AT$6:$AT$1005,0))&amp;"","")</f>
        <v/>
      </c>
      <c r="AG504" t="str">
        <f>IFERROR(INDEX('CDFs'!$Y$6:$Y$505,MATCH(499,'CDFs'!$Z$6:$Z$505,0))&amp;"","")</f>
        <v/>
      </c>
    </row>
    <row r="505">
      <c r="AE505" t="str">
        <f>IFERROR(INDEX('MTRs'!$BD$6:$BD$505,MATCH(500,'MTRs'!$BE$6:$BE$505,0))&amp;"","")</f>
        <v/>
      </c>
      <c r="AF505" t="str">
        <f>IFERROR(INDEX('ITENS_MTR'!$AS$6:$AS$1005,MATCH(500,'ITENS_MTR'!$AT$6:$AT$1005,0))&amp;"","")</f>
        <v/>
      </c>
      <c r="AG505" t="str">
        <f>IFERROR(INDEX('CDFs'!$Y$6:$Y$505,MATCH(500,'CDFs'!$Z$6:$Z$505,0))&amp;"","")</f>
        <v/>
      </c>
    </row>
    <row r="506">
      <c r="AF506" t="str">
        <f>IFERROR(INDEX('ITENS_MTR'!$AS$6:$AS$1005,MATCH(501,'ITENS_MTR'!$AT$6:$AT$1005,0))&amp;"","")</f>
        <v/>
      </c>
    </row>
    <row r="507">
      <c r="AF507" t="str">
        <f>IFERROR(INDEX('ITENS_MTR'!$AS$6:$AS$1005,MATCH(502,'ITENS_MTR'!$AT$6:$AT$1005,0))&amp;"","")</f>
        <v/>
      </c>
    </row>
    <row r="508">
      <c r="AF508" t="str">
        <f>IFERROR(INDEX('ITENS_MTR'!$AS$6:$AS$1005,MATCH(503,'ITENS_MTR'!$AT$6:$AT$1005,0))&amp;"","")</f>
        <v/>
      </c>
    </row>
    <row r="509">
      <c r="AF509" t="str">
        <f>IFERROR(INDEX('ITENS_MTR'!$AS$6:$AS$1005,MATCH(504,'ITENS_MTR'!$AT$6:$AT$1005,0))&amp;"","")</f>
        <v/>
      </c>
    </row>
    <row r="510">
      <c r="AF510" t="str">
        <f>IFERROR(INDEX('ITENS_MTR'!$AS$6:$AS$1005,MATCH(505,'ITENS_MTR'!$AT$6:$AT$1005,0))&amp;"","")</f>
        <v/>
      </c>
    </row>
    <row r="511">
      <c r="AF511" t="str">
        <f>IFERROR(INDEX('ITENS_MTR'!$AS$6:$AS$1005,MATCH(506,'ITENS_MTR'!$AT$6:$AT$1005,0))&amp;"","")</f>
        <v/>
      </c>
    </row>
    <row r="512">
      <c r="AF512" t="str">
        <f>IFERROR(INDEX('ITENS_MTR'!$AS$6:$AS$1005,MATCH(507,'ITENS_MTR'!$AT$6:$AT$1005,0))&amp;"","")</f>
        <v/>
      </c>
    </row>
    <row r="513">
      <c r="AF513" t="str">
        <f>IFERROR(INDEX('ITENS_MTR'!$AS$6:$AS$1005,MATCH(508,'ITENS_MTR'!$AT$6:$AT$1005,0))&amp;"","")</f>
        <v/>
      </c>
    </row>
    <row r="514">
      <c r="AF514" t="str">
        <f>IFERROR(INDEX('ITENS_MTR'!$AS$6:$AS$1005,MATCH(509,'ITENS_MTR'!$AT$6:$AT$1005,0))&amp;"","")</f>
        <v/>
      </c>
    </row>
    <row r="515">
      <c r="AF515" t="str">
        <f>IFERROR(INDEX('ITENS_MTR'!$AS$6:$AS$1005,MATCH(510,'ITENS_MTR'!$AT$6:$AT$1005,0))&amp;"","")</f>
        <v/>
      </c>
    </row>
    <row r="516">
      <c r="AF516" t="str">
        <f>IFERROR(INDEX('ITENS_MTR'!$AS$6:$AS$1005,MATCH(511,'ITENS_MTR'!$AT$6:$AT$1005,0))&amp;"","")</f>
        <v/>
      </c>
    </row>
    <row r="517">
      <c r="AF517" t="str">
        <f>IFERROR(INDEX('ITENS_MTR'!$AS$6:$AS$1005,MATCH(512,'ITENS_MTR'!$AT$6:$AT$1005,0))&amp;"","")</f>
        <v/>
      </c>
    </row>
    <row r="518">
      <c r="AF518" t="str">
        <f>IFERROR(INDEX('ITENS_MTR'!$AS$6:$AS$1005,MATCH(513,'ITENS_MTR'!$AT$6:$AT$1005,0))&amp;"","")</f>
        <v/>
      </c>
    </row>
    <row r="519">
      <c r="AF519" t="str">
        <f>IFERROR(INDEX('ITENS_MTR'!$AS$6:$AS$1005,MATCH(514,'ITENS_MTR'!$AT$6:$AT$1005,0))&amp;"","")</f>
        <v/>
      </c>
    </row>
    <row r="520">
      <c r="AF520" t="str">
        <f>IFERROR(INDEX('ITENS_MTR'!$AS$6:$AS$1005,MATCH(515,'ITENS_MTR'!$AT$6:$AT$1005,0))&amp;"","")</f>
        <v/>
      </c>
    </row>
    <row r="521">
      <c r="AF521" t="str">
        <f>IFERROR(INDEX('ITENS_MTR'!$AS$6:$AS$1005,MATCH(516,'ITENS_MTR'!$AT$6:$AT$1005,0))&amp;"","")</f>
        <v/>
      </c>
    </row>
    <row r="522">
      <c r="AF522" t="str">
        <f>IFERROR(INDEX('ITENS_MTR'!$AS$6:$AS$1005,MATCH(517,'ITENS_MTR'!$AT$6:$AT$1005,0))&amp;"","")</f>
        <v/>
      </c>
    </row>
    <row r="523">
      <c r="AF523" t="str">
        <f>IFERROR(INDEX('ITENS_MTR'!$AS$6:$AS$1005,MATCH(518,'ITENS_MTR'!$AT$6:$AT$1005,0))&amp;"","")</f>
        <v/>
      </c>
    </row>
    <row r="524">
      <c r="AF524" t="str">
        <f>IFERROR(INDEX('ITENS_MTR'!$AS$6:$AS$1005,MATCH(519,'ITENS_MTR'!$AT$6:$AT$1005,0))&amp;"","")</f>
        <v/>
      </c>
    </row>
    <row r="525">
      <c r="AF525" t="str">
        <f>IFERROR(INDEX('ITENS_MTR'!$AS$6:$AS$1005,MATCH(520,'ITENS_MTR'!$AT$6:$AT$1005,0))&amp;"","")</f>
        <v/>
      </c>
    </row>
    <row r="526">
      <c r="AF526" t="str">
        <f>IFERROR(INDEX('ITENS_MTR'!$AS$6:$AS$1005,MATCH(521,'ITENS_MTR'!$AT$6:$AT$1005,0))&amp;"","")</f>
        <v/>
      </c>
    </row>
    <row r="527">
      <c r="AF527" t="str">
        <f>IFERROR(INDEX('ITENS_MTR'!$AS$6:$AS$1005,MATCH(522,'ITENS_MTR'!$AT$6:$AT$1005,0))&amp;"","")</f>
        <v/>
      </c>
    </row>
    <row r="528">
      <c r="AF528" t="str">
        <f>IFERROR(INDEX('ITENS_MTR'!$AS$6:$AS$1005,MATCH(523,'ITENS_MTR'!$AT$6:$AT$1005,0))&amp;"","")</f>
        <v/>
      </c>
    </row>
    <row r="529">
      <c r="AF529" t="str">
        <f>IFERROR(INDEX('ITENS_MTR'!$AS$6:$AS$1005,MATCH(524,'ITENS_MTR'!$AT$6:$AT$1005,0))&amp;"","")</f>
        <v/>
      </c>
    </row>
    <row r="530">
      <c r="AF530" t="str">
        <f>IFERROR(INDEX('ITENS_MTR'!$AS$6:$AS$1005,MATCH(525,'ITENS_MTR'!$AT$6:$AT$1005,0))&amp;"","")</f>
        <v/>
      </c>
    </row>
    <row r="531">
      <c r="AF531" t="str">
        <f>IFERROR(INDEX('ITENS_MTR'!$AS$6:$AS$1005,MATCH(526,'ITENS_MTR'!$AT$6:$AT$1005,0))&amp;"","")</f>
        <v/>
      </c>
    </row>
    <row r="532">
      <c r="AF532" t="str">
        <f>IFERROR(INDEX('ITENS_MTR'!$AS$6:$AS$1005,MATCH(527,'ITENS_MTR'!$AT$6:$AT$1005,0))&amp;"","")</f>
        <v/>
      </c>
    </row>
    <row r="533">
      <c r="AF533" t="str">
        <f>IFERROR(INDEX('ITENS_MTR'!$AS$6:$AS$1005,MATCH(528,'ITENS_MTR'!$AT$6:$AT$1005,0))&amp;"","")</f>
        <v/>
      </c>
    </row>
    <row r="534">
      <c r="AF534" t="str">
        <f>IFERROR(INDEX('ITENS_MTR'!$AS$6:$AS$1005,MATCH(529,'ITENS_MTR'!$AT$6:$AT$1005,0))&amp;"","")</f>
        <v/>
      </c>
    </row>
    <row r="535">
      <c r="AF535" t="str">
        <f>IFERROR(INDEX('ITENS_MTR'!$AS$6:$AS$1005,MATCH(530,'ITENS_MTR'!$AT$6:$AT$1005,0))&amp;"","")</f>
        <v/>
      </c>
    </row>
    <row r="536">
      <c r="AF536" t="str">
        <f>IFERROR(INDEX('ITENS_MTR'!$AS$6:$AS$1005,MATCH(531,'ITENS_MTR'!$AT$6:$AT$1005,0))&amp;"","")</f>
        <v/>
      </c>
    </row>
    <row r="537">
      <c r="AF537" t="str">
        <f>IFERROR(INDEX('ITENS_MTR'!$AS$6:$AS$1005,MATCH(532,'ITENS_MTR'!$AT$6:$AT$1005,0))&amp;"","")</f>
        <v/>
      </c>
    </row>
    <row r="538">
      <c r="AF538" t="str">
        <f>IFERROR(INDEX('ITENS_MTR'!$AS$6:$AS$1005,MATCH(533,'ITENS_MTR'!$AT$6:$AT$1005,0))&amp;"","")</f>
        <v/>
      </c>
    </row>
    <row r="539">
      <c r="AF539" t="str">
        <f>IFERROR(INDEX('ITENS_MTR'!$AS$6:$AS$1005,MATCH(534,'ITENS_MTR'!$AT$6:$AT$1005,0))&amp;"","")</f>
        <v/>
      </c>
    </row>
    <row r="540">
      <c r="AF540" t="str">
        <f>IFERROR(INDEX('ITENS_MTR'!$AS$6:$AS$1005,MATCH(535,'ITENS_MTR'!$AT$6:$AT$1005,0))&amp;"","")</f>
        <v/>
      </c>
    </row>
    <row r="541">
      <c r="AF541" t="str">
        <f>IFERROR(INDEX('ITENS_MTR'!$AS$6:$AS$1005,MATCH(536,'ITENS_MTR'!$AT$6:$AT$1005,0))&amp;"","")</f>
        <v/>
      </c>
    </row>
    <row r="542">
      <c r="AF542" t="str">
        <f>IFERROR(INDEX('ITENS_MTR'!$AS$6:$AS$1005,MATCH(537,'ITENS_MTR'!$AT$6:$AT$1005,0))&amp;"","")</f>
        <v/>
      </c>
    </row>
    <row r="543">
      <c r="AF543" t="str">
        <f>IFERROR(INDEX('ITENS_MTR'!$AS$6:$AS$1005,MATCH(538,'ITENS_MTR'!$AT$6:$AT$1005,0))&amp;"","")</f>
        <v/>
      </c>
    </row>
    <row r="544">
      <c r="AF544" t="str">
        <f>IFERROR(INDEX('ITENS_MTR'!$AS$6:$AS$1005,MATCH(539,'ITENS_MTR'!$AT$6:$AT$1005,0))&amp;"","")</f>
        <v/>
      </c>
    </row>
    <row r="545">
      <c r="AF545" t="str">
        <f>IFERROR(INDEX('ITENS_MTR'!$AS$6:$AS$1005,MATCH(540,'ITENS_MTR'!$AT$6:$AT$1005,0))&amp;"","")</f>
        <v/>
      </c>
    </row>
    <row r="546">
      <c r="AF546" t="str">
        <f>IFERROR(INDEX('ITENS_MTR'!$AS$6:$AS$1005,MATCH(541,'ITENS_MTR'!$AT$6:$AT$1005,0))&amp;"","")</f>
        <v/>
      </c>
    </row>
    <row r="547">
      <c r="AF547" t="str">
        <f>IFERROR(INDEX('ITENS_MTR'!$AS$6:$AS$1005,MATCH(542,'ITENS_MTR'!$AT$6:$AT$1005,0))&amp;"","")</f>
        <v/>
      </c>
    </row>
    <row r="548">
      <c r="AF548" t="str">
        <f>IFERROR(INDEX('ITENS_MTR'!$AS$6:$AS$1005,MATCH(543,'ITENS_MTR'!$AT$6:$AT$1005,0))&amp;"","")</f>
        <v/>
      </c>
    </row>
    <row r="549">
      <c r="AF549" t="str">
        <f>IFERROR(INDEX('ITENS_MTR'!$AS$6:$AS$1005,MATCH(544,'ITENS_MTR'!$AT$6:$AT$1005,0))&amp;"","")</f>
        <v/>
      </c>
    </row>
    <row r="550">
      <c r="AF550" t="str">
        <f>IFERROR(INDEX('ITENS_MTR'!$AS$6:$AS$1005,MATCH(545,'ITENS_MTR'!$AT$6:$AT$1005,0))&amp;"","")</f>
        <v/>
      </c>
    </row>
    <row r="551">
      <c r="AF551" t="str">
        <f>IFERROR(INDEX('ITENS_MTR'!$AS$6:$AS$1005,MATCH(546,'ITENS_MTR'!$AT$6:$AT$1005,0))&amp;"","")</f>
        <v/>
      </c>
    </row>
    <row r="552">
      <c r="AF552" t="str">
        <f>IFERROR(INDEX('ITENS_MTR'!$AS$6:$AS$1005,MATCH(547,'ITENS_MTR'!$AT$6:$AT$1005,0))&amp;"","")</f>
        <v/>
      </c>
    </row>
    <row r="553">
      <c r="AF553" t="str">
        <f>IFERROR(INDEX('ITENS_MTR'!$AS$6:$AS$1005,MATCH(548,'ITENS_MTR'!$AT$6:$AT$1005,0))&amp;"","")</f>
        <v/>
      </c>
    </row>
    <row r="554">
      <c r="AF554" t="str">
        <f>IFERROR(INDEX('ITENS_MTR'!$AS$6:$AS$1005,MATCH(549,'ITENS_MTR'!$AT$6:$AT$1005,0))&amp;"","")</f>
        <v/>
      </c>
    </row>
    <row r="555">
      <c r="AF555" t="str">
        <f>IFERROR(INDEX('ITENS_MTR'!$AS$6:$AS$1005,MATCH(550,'ITENS_MTR'!$AT$6:$AT$1005,0))&amp;"","")</f>
        <v/>
      </c>
    </row>
    <row r="556">
      <c r="AF556" t="str">
        <f>IFERROR(INDEX('ITENS_MTR'!$AS$6:$AS$1005,MATCH(551,'ITENS_MTR'!$AT$6:$AT$1005,0))&amp;"","")</f>
        <v/>
      </c>
    </row>
    <row r="557">
      <c r="AF557" t="str">
        <f>IFERROR(INDEX('ITENS_MTR'!$AS$6:$AS$1005,MATCH(552,'ITENS_MTR'!$AT$6:$AT$1005,0))&amp;"","")</f>
        <v/>
      </c>
    </row>
    <row r="558">
      <c r="AF558" t="str">
        <f>IFERROR(INDEX('ITENS_MTR'!$AS$6:$AS$1005,MATCH(553,'ITENS_MTR'!$AT$6:$AT$1005,0))&amp;"","")</f>
        <v/>
      </c>
    </row>
    <row r="559">
      <c r="AF559" t="str">
        <f>IFERROR(INDEX('ITENS_MTR'!$AS$6:$AS$1005,MATCH(554,'ITENS_MTR'!$AT$6:$AT$1005,0))&amp;"","")</f>
        <v/>
      </c>
    </row>
    <row r="560">
      <c r="AF560" t="str">
        <f>IFERROR(INDEX('ITENS_MTR'!$AS$6:$AS$1005,MATCH(555,'ITENS_MTR'!$AT$6:$AT$1005,0))&amp;"","")</f>
        <v/>
      </c>
    </row>
    <row r="561">
      <c r="AF561" t="str">
        <f>IFERROR(INDEX('ITENS_MTR'!$AS$6:$AS$1005,MATCH(556,'ITENS_MTR'!$AT$6:$AT$1005,0))&amp;"","")</f>
        <v/>
      </c>
    </row>
    <row r="562">
      <c r="AF562" t="str">
        <f>IFERROR(INDEX('ITENS_MTR'!$AS$6:$AS$1005,MATCH(557,'ITENS_MTR'!$AT$6:$AT$1005,0))&amp;"","")</f>
        <v/>
      </c>
    </row>
    <row r="563">
      <c r="AF563" t="str">
        <f>IFERROR(INDEX('ITENS_MTR'!$AS$6:$AS$1005,MATCH(558,'ITENS_MTR'!$AT$6:$AT$1005,0))&amp;"","")</f>
        <v/>
      </c>
    </row>
    <row r="564">
      <c r="AF564" t="str">
        <f>IFERROR(INDEX('ITENS_MTR'!$AS$6:$AS$1005,MATCH(559,'ITENS_MTR'!$AT$6:$AT$1005,0))&amp;"","")</f>
        <v/>
      </c>
    </row>
    <row r="565">
      <c r="AF565" t="str">
        <f>IFERROR(INDEX('ITENS_MTR'!$AS$6:$AS$1005,MATCH(560,'ITENS_MTR'!$AT$6:$AT$1005,0))&amp;"","")</f>
        <v/>
      </c>
    </row>
    <row r="566">
      <c r="AF566" t="str">
        <f>IFERROR(INDEX('ITENS_MTR'!$AS$6:$AS$1005,MATCH(561,'ITENS_MTR'!$AT$6:$AT$1005,0))&amp;"","")</f>
        <v/>
      </c>
    </row>
    <row r="567">
      <c r="AF567" t="str">
        <f>IFERROR(INDEX('ITENS_MTR'!$AS$6:$AS$1005,MATCH(562,'ITENS_MTR'!$AT$6:$AT$1005,0))&amp;"","")</f>
        <v/>
      </c>
    </row>
    <row r="568">
      <c r="AF568" t="str">
        <f>IFERROR(INDEX('ITENS_MTR'!$AS$6:$AS$1005,MATCH(563,'ITENS_MTR'!$AT$6:$AT$1005,0))&amp;"","")</f>
        <v/>
      </c>
    </row>
    <row r="569">
      <c r="AF569" t="str">
        <f>IFERROR(INDEX('ITENS_MTR'!$AS$6:$AS$1005,MATCH(564,'ITENS_MTR'!$AT$6:$AT$1005,0))&amp;"","")</f>
        <v/>
      </c>
    </row>
    <row r="570">
      <c r="AF570" t="str">
        <f>IFERROR(INDEX('ITENS_MTR'!$AS$6:$AS$1005,MATCH(565,'ITENS_MTR'!$AT$6:$AT$1005,0))&amp;"","")</f>
        <v/>
      </c>
    </row>
    <row r="571">
      <c r="AF571" t="str">
        <f>IFERROR(INDEX('ITENS_MTR'!$AS$6:$AS$1005,MATCH(566,'ITENS_MTR'!$AT$6:$AT$1005,0))&amp;"","")</f>
        <v/>
      </c>
    </row>
    <row r="572">
      <c r="AF572" t="str">
        <f>IFERROR(INDEX('ITENS_MTR'!$AS$6:$AS$1005,MATCH(567,'ITENS_MTR'!$AT$6:$AT$1005,0))&amp;"","")</f>
        <v/>
      </c>
    </row>
    <row r="573">
      <c r="AF573" t="str">
        <f>IFERROR(INDEX('ITENS_MTR'!$AS$6:$AS$1005,MATCH(568,'ITENS_MTR'!$AT$6:$AT$1005,0))&amp;"","")</f>
        <v/>
      </c>
    </row>
    <row r="574">
      <c r="AF574" t="str">
        <f>IFERROR(INDEX('ITENS_MTR'!$AS$6:$AS$1005,MATCH(569,'ITENS_MTR'!$AT$6:$AT$1005,0))&amp;"","")</f>
        <v/>
      </c>
    </row>
    <row r="575">
      <c r="AF575" t="str">
        <f>IFERROR(INDEX('ITENS_MTR'!$AS$6:$AS$1005,MATCH(570,'ITENS_MTR'!$AT$6:$AT$1005,0))&amp;"","")</f>
        <v/>
      </c>
    </row>
    <row r="576">
      <c r="AF576" t="str">
        <f>IFERROR(INDEX('ITENS_MTR'!$AS$6:$AS$1005,MATCH(571,'ITENS_MTR'!$AT$6:$AT$1005,0))&amp;"","")</f>
        <v/>
      </c>
    </row>
    <row r="577">
      <c r="AF577" t="str">
        <f>IFERROR(INDEX('ITENS_MTR'!$AS$6:$AS$1005,MATCH(572,'ITENS_MTR'!$AT$6:$AT$1005,0))&amp;"","")</f>
        <v/>
      </c>
    </row>
    <row r="578">
      <c r="AF578" t="str">
        <f>IFERROR(INDEX('ITENS_MTR'!$AS$6:$AS$1005,MATCH(573,'ITENS_MTR'!$AT$6:$AT$1005,0))&amp;"","")</f>
        <v/>
      </c>
    </row>
    <row r="579">
      <c r="AF579" t="str">
        <f>IFERROR(INDEX('ITENS_MTR'!$AS$6:$AS$1005,MATCH(574,'ITENS_MTR'!$AT$6:$AT$1005,0))&amp;"","")</f>
        <v/>
      </c>
    </row>
    <row r="580">
      <c r="AF580" t="str">
        <f>IFERROR(INDEX('ITENS_MTR'!$AS$6:$AS$1005,MATCH(575,'ITENS_MTR'!$AT$6:$AT$1005,0))&amp;"","")</f>
        <v/>
      </c>
    </row>
    <row r="581">
      <c r="AF581" t="str">
        <f>IFERROR(INDEX('ITENS_MTR'!$AS$6:$AS$1005,MATCH(576,'ITENS_MTR'!$AT$6:$AT$1005,0))&amp;"","")</f>
        <v/>
      </c>
    </row>
    <row r="582">
      <c r="AF582" t="str">
        <f>IFERROR(INDEX('ITENS_MTR'!$AS$6:$AS$1005,MATCH(577,'ITENS_MTR'!$AT$6:$AT$1005,0))&amp;"","")</f>
        <v/>
      </c>
    </row>
    <row r="583">
      <c r="AF583" t="str">
        <f>IFERROR(INDEX('ITENS_MTR'!$AS$6:$AS$1005,MATCH(578,'ITENS_MTR'!$AT$6:$AT$1005,0))&amp;"","")</f>
        <v/>
      </c>
    </row>
    <row r="584">
      <c r="AF584" t="str">
        <f>IFERROR(INDEX('ITENS_MTR'!$AS$6:$AS$1005,MATCH(579,'ITENS_MTR'!$AT$6:$AT$1005,0))&amp;"","")</f>
        <v/>
      </c>
    </row>
    <row r="585">
      <c r="AF585" t="str">
        <f>IFERROR(INDEX('ITENS_MTR'!$AS$6:$AS$1005,MATCH(580,'ITENS_MTR'!$AT$6:$AT$1005,0))&amp;"","")</f>
        <v/>
      </c>
    </row>
    <row r="586">
      <c r="AF586" t="str">
        <f>IFERROR(INDEX('ITENS_MTR'!$AS$6:$AS$1005,MATCH(581,'ITENS_MTR'!$AT$6:$AT$1005,0))&amp;"","")</f>
        <v/>
      </c>
    </row>
    <row r="587">
      <c r="AF587" t="str">
        <f>IFERROR(INDEX('ITENS_MTR'!$AS$6:$AS$1005,MATCH(582,'ITENS_MTR'!$AT$6:$AT$1005,0))&amp;"","")</f>
        <v/>
      </c>
    </row>
    <row r="588">
      <c r="AF588" t="str">
        <f>IFERROR(INDEX('ITENS_MTR'!$AS$6:$AS$1005,MATCH(583,'ITENS_MTR'!$AT$6:$AT$1005,0))&amp;"","")</f>
        <v/>
      </c>
    </row>
    <row r="589">
      <c r="AF589" t="str">
        <f>IFERROR(INDEX('ITENS_MTR'!$AS$6:$AS$1005,MATCH(584,'ITENS_MTR'!$AT$6:$AT$1005,0))&amp;"","")</f>
        <v/>
      </c>
    </row>
    <row r="590">
      <c r="AF590" t="str">
        <f>IFERROR(INDEX('ITENS_MTR'!$AS$6:$AS$1005,MATCH(585,'ITENS_MTR'!$AT$6:$AT$1005,0))&amp;"","")</f>
        <v/>
      </c>
    </row>
    <row r="591">
      <c r="AF591" t="str">
        <f>IFERROR(INDEX('ITENS_MTR'!$AS$6:$AS$1005,MATCH(586,'ITENS_MTR'!$AT$6:$AT$1005,0))&amp;"","")</f>
        <v/>
      </c>
    </row>
    <row r="592">
      <c r="AF592" t="str">
        <f>IFERROR(INDEX('ITENS_MTR'!$AS$6:$AS$1005,MATCH(587,'ITENS_MTR'!$AT$6:$AT$1005,0))&amp;"","")</f>
        <v/>
      </c>
    </row>
    <row r="593">
      <c r="AF593" t="str">
        <f>IFERROR(INDEX('ITENS_MTR'!$AS$6:$AS$1005,MATCH(588,'ITENS_MTR'!$AT$6:$AT$1005,0))&amp;"","")</f>
        <v/>
      </c>
    </row>
    <row r="594">
      <c r="AF594" t="str">
        <f>IFERROR(INDEX('ITENS_MTR'!$AS$6:$AS$1005,MATCH(589,'ITENS_MTR'!$AT$6:$AT$1005,0))&amp;"","")</f>
        <v/>
      </c>
    </row>
    <row r="595">
      <c r="AF595" t="str">
        <f>IFERROR(INDEX('ITENS_MTR'!$AS$6:$AS$1005,MATCH(590,'ITENS_MTR'!$AT$6:$AT$1005,0))&amp;"","")</f>
        <v/>
      </c>
    </row>
    <row r="596">
      <c r="AF596" t="str">
        <f>IFERROR(INDEX('ITENS_MTR'!$AS$6:$AS$1005,MATCH(591,'ITENS_MTR'!$AT$6:$AT$1005,0))&amp;"","")</f>
        <v/>
      </c>
    </row>
    <row r="597">
      <c r="AF597" t="str">
        <f>IFERROR(INDEX('ITENS_MTR'!$AS$6:$AS$1005,MATCH(592,'ITENS_MTR'!$AT$6:$AT$1005,0))&amp;"","")</f>
        <v/>
      </c>
    </row>
    <row r="598">
      <c r="AF598" t="str">
        <f>IFERROR(INDEX('ITENS_MTR'!$AS$6:$AS$1005,MATCH(593,'ITENS_MTR'!$AT$6:$AT$1005,0))&amp;"","")</f>
        <v/>
      </c>
    </row>
    <row r="599">
      <c r="AF599" t="str">
        <f>IFERROR(INDEX('ITENS_MTR'!$AS$6:$AS$1005,MATCH(594,'ITENS_MTR'!$AT$6:$AT$1005,0))&amp;"","")</f>
        <v/>
      </c>
    </row>
    <row r="600">
      <c r="AF600" t="str">
        <f>IFERROR(INDEX('ITENS_MTR'!$AS$6:$AS$1005,MATCH(595,'ITENS_MTR'!$AT$6:$AT$1005,0))&amp;"","")</f>
        <v/>
      </c>
    </row>
    <row r="601">
      <c r="AF601" t="str">
        <f>IFERROR(INDEX('ITENS_MTR'!$AS$6:$AS$1005,MATCH(596,'ITENS_MTR'!$AT$6:$AT$1005,0))&amp;"","")</f>
        <v/>
      </c>
    </row>
    <row r="602">
      <c r="AF602" t="str">
        <f>IFERROR(INDEX('ITENS_MTR'!$AS$6:$AS$1005,MATCH(597,'ITENS_MTR'!$AT$6:$AT$1005,0))&amp;"","")</f>
        <v/>
      </c>
    </row>
    <row r="603">
      <c r="AF603" t="str">
        <f>IFERROR(INDEX('ITENS_MTR'!$AS$6:$AS$1005,MATCH(598,'ITENS_MTR'!$AT$6:$AT$1005,0))&amp;"","")</f>
        <v/>
      </c>
    </row>
    <row r="604">
      <c r="AF604" t="str">
        <f>IFERROR(INDEX('ITENS_MTR'!$AS$6:$AS$1005,MATCH(599,'ITENS_MTR'!$AT$6:$AT$1005,0))&amp;"","")</f>
        <v/>
      </c>
    </row>
    <row r="605">
      <c r="AF605" t="str">
        <f>IFERROR(INDEX('ITENS_MTR'!$AS$6:$AS$1005,MATCH(600,'ITENS_MTR'!$AT$6:$AT$1005,0))&amp;"","")</f>
        <v/>
      </c>
    </row>
    <row r="606">
      <c r="AF606" t="str">
        <f>IFERROR(INDEX('ITENS_MTR'!$AS$6:$AS$1005,MATCH(601,'ITENS_MTR'!$AT$6:$AT$1005,0))&amp;"","")</f>
        <v/>
      </c>
    </row>
    <row r="607">
      <c r="AF607" t="str">
        <f>IFERROR(INDEX('ITENS_MTR'!$AS$6:$AS$1005,MATCH(602,'ITENS_MTR'!$AT$6:$AT$1005,0))&amp;"","")</f>
        <v/>
      </c>
    </row>
    <row r="608">
      <c r="AF608" t="str">
        <f>IFERROR(INDEX('ITENS_MTR'!$AS$6:$AS$1005,MATCH(603,'ITENS_MTR'!$AT$6:$AT$1005,0))&amp;"","")</f>
        <v/>
      </c>
    </row>
    <row r="609">
      <c r="AF609" t="str">
        <f>IFERROR(INDEX('ITENS_MTR'!$AS$6:$AS$1005,MATCH(604,'ITENS_MTR'!$AT$6:$AT$1005,0))&amp;"","")</f>
        <v/>
      </c>
    </row>
    <row r="610">
      <c r="AF610" t="str">
        <f>IFERROR(INDEX('ITENS_MTR'!$AS$6:$AS$1005,MATCH(605,'ITENS_MTR'!$AT$6:$AT$1005,0))&amp;"","")</f>
        <v/>
      </c>
    </row>
    <row r="611">
      <c r="AF611" t="str">
        <f>IFERROR(INDEX('ITENS_MTR'!$AS$6:$AS$1005,MATCH(606,'ITENS_MTR'!$AT$6:$AT$1005,0))&amp;"","")</f>
        <v/>
      </c>
    </row>
    <row r="612">
      <c r="AF612" t="str">
        <f>IFERROR(INDEX('ITENS_MTR'!$AS$6:$AS$1005,MATCH(607,'ITENS_MTR'!$AT$6:$AT$1005,0))&amp;"","")</f>
        <v/>
      </c>
    </row>
    <row r="613">
      <c r="AF613" t="str">
        <f>IFERROR(INDEX('ITENS_MTR'!$AS$6:$AS$1005,MATCH(608,'ITENS_MTR'!$AT$6:$AT$1005,0))&amp;"","")</f>
        <v/>
      </c>
    </row>
    <row r="614">
      <c r="AF614" t="str">
        <f>IFERROR(INDEX('ITENS_MTR'!$AS$6:$AS$1005,MATCH(609,'ITENS_MTR'!$AT$6:$AT$1005,0))&amp;"","")</f>
        <v/>
      </c>
    </row>
    <row r="615">
      <c r="AF615" t="str">
        <f>IFERROR(INDEX('ITENS_MTR'!$AS$6:$AS$1005,MATCH(610,'ITENS_MTR'!$AT$6:$AT$1005,0))&amp;"","")</f>
        <v/>
      </c>
    </row>
    <row r="616">
      <c r="AF616" t="str">
        <f>IFERROR(INDEX('ITENS_MTR'!$AS$6:$AS$1005,MATCH(611,'ITENS_MTR'!$AT$6:$AT$1005,0))&amp;"","")</f>
        <v/>
      </c>
    </row>
    <row r="617">
      <c r="AF617" t="str">
        <f>IFERROR(INDEX('ITENS_MTR'!$AS$6:$AS$1005,MATCH(612,'ITENS_MTR'!$AT$6:$AT$1005,0))&amp;"","")</f>
        <v/>
      </c>
    </row>
    <row r="618">
      <c r="AF618" t="str">
        <f>IFERROR(INDEX('ITENS_MTR'!$AS$6:$AS$1005,MATCH(613,'ITENS_MTR'!$AT$6:$AT$1005,0))&amp;"","")</f>
        <v/>
      </c>
    </row>
    <row r="619">
      <c r="AF619" t="str">
        <f>IFERROR(INDEX('ITENS_MTR'!$AS$6:$AS$1005,MATCH(614,'ITENS_MTR'!$AT$6:$AT$1005,0))&amp;"","")</f>
        <v/>
      </c>
    </row>
    <row r="620">
      <c r="AF620" t="str">
        <f>IFERROR(INDEX('ITENS_MTR'!$AS$6:$AS$1005,MATCH(615,'ITENS_MTR'!$AT$6:$AT$1005,0))&amp;"","")</f>
        <v/>
      </c>
    </row>
    <row r="621">
      <c r="AF621" t="str">
        <f>IFERROR(INDEX('ITENS_MTR'!$AS$6:$AS$1005,MATCH(616,'ITENS_MTR'!$AT$6:$AT$1005,0))&amp;"","")</f>
        <v/>
      </c>
    </row>
    <row r="622">
      <c r="AF622" t="str">
        <f>IFERROR(INDEX('ITENS_MTR'!$AS$6:$AS$1005,MATCH(617,'ITENS_MTR'!$AT$6:$AT$1005,0))&amp;"","")</f>
        <v/>
      </c>
    </row>
    <row r="623">
      <c r="AF623" t="str">
        <f>IFERROR(INDEX('ITENS_MTR'!$AS$6:$AS$1005,MATCH(618,'ITENS_MTR'!$AT$6:$AT$1005,0))&amp;"","")</f>
        <v/>
      </c>
    </row>
    <row r="624">
      <c r="AF624" t="str">
        <f>IFERROR(INDEX('ITENS_MTR'!$AS$6:$AS$1005,MATCH(619,'ITENS_MTR'!$AT$6:$AT$1005,0))&amp;"","")</f>
        <v/>
      </c>
    </row>
    <row r="625">
      <c r="AF625" t="str">
        <f>IFERROR(INDEX('ITENS_MTR'!$AS$6:$AS$1005,MATCH(620,'ITENS_MTR'!$AT$6:$AT$1005,0))&amp;"","")</f>
        <v/>
      </c>
    </row>
    <row r="626">
      <c r="AF626" t="str">
        <f>IFERROR(INDEX('ITENS_MTR'!$AS$6:$AS$1005,MATCH(621,'ITENS_MTR'!$AT$6:$AT$1005,0))&amp;"","")</f>
        <v/>
      </c>
    </row>
    <row r="627">
      <c r="AF627" t="str">
        <f>IFERROR(INDEX('ITENS_MTR'!$AS$6:$AS$1005,MATCH(622,'ITENS_MTR'!$AT$6:$AT$1005,0))&amp;"","")</f>
        <v/>
      </c>
    </row>
    <row r="628">
      <c r="AF628" t="str">
        <f>IFERROR(INDEX('ITENS_MTR'!$AS$6:$AS$1005,MATCH(623,'ITENS_MTR'!$AT$6:$AT$1005,0))&amp;"","")</f>
        <v/>
      </c>
    </row>
    <row r="629">
      <c r="AF629" t="str">
        <f>IFERROR(INDEX('ITENS_MTR'!$AS$6:$AS$1005,MATCH(624,'ITENS_MTR'!$AT$6:$AT$1005,0))&amp;"","")</f>
        <v/>
      </c>
    </row>
    <row r="630">
      <c r="AF630" t="str">
        <f>IFERROR(INDEX('ITENS_MTR'!$AS$6:$AS$1005,MATCH(625,'ITENS_MTR'!$AT$6:$AT$1005,0))&amp;"","")</f>
        <v/>
      </c>
    </row>
    <row r="631">
      <c r="AF631" t="str">
        <f>IFERROR(INDEX('ITENS_MTR'!$AS$6:$AS$1005,MATCH(626,'ITENS_MTR'!$AT$6:$AT$1005,0))&amp;"","")</f>
        <v/>
      </c>
    </row>
    <row r="632">
      <c r="AF632" t="str">
        <f>IFERROR(INDEX('ITENS_MTR'!$AS$6:$AS$1005,MATCH(627,'ITENS_MTR'!$AT$6:$AT$1005,0))&amp;"","")</f>
        <v/>
      </c>
    </row>
    <row r="633">
      <c r="AF633" t="str">
        <f>IFERROR(INDEX('ITENS_MTR'!$AS$6:$AS$1005,MATCH(628,'ITENS_MTR'!$AT$6:$AT$1005,0))&amp;"","")</f>
        <v/>
      </c>
    </row>
    <row r="634">
      <c r="AF634" t="str">
        <f>IFERROR(INDEX('ITENS_MTR'!$AS$6:$AS$1005,MATCH(629,'ITENS_MTR'!$AT$6:$AT$1005,0))&amp;"","")</f>
        <v/>
      </c>
    </row>
    <row r="635">
      <c r="AF635" t="str">
        <f>IFERROR(INDEX('ITENS_MTR'!$AS$6:$AS$1005,MATCH(630,'ITENS_MTR'!$AT$6:$AT$1005,0))&amp;"","")</f>
        <v/>
      </c>
    </row>
    <row r="636">
      <c r="AF636" t="str">
        <f>IFERROR(INDEX('ITENS_MTR'!$AS$6:$AS$1005,MATCH(631,'ITENS_MTR'!$AT$6:$AT$1005,0))&amp;"","")</f>
        <v/>
      </c>
    </row>
    <row r="637">
      <c r="AF637" t="str">
        <f>IFERROR(INDEX('ITENS_MTR'!$AS$6:$AS$1005,MATCH(632,'ITENS_MTR'!$AT$6:$AT$1005,0))&amp;"","")</f>
        <v/>
      </c>
    </row>
    <row r="638">
      <c r="AF638" t="str">
        <f>IFERROR(INDEX('ITENS_MTR'!$AS$6:$AS$1005,MATCH(633,'ITENS_MTR'!$AT$6:$AT$1005,0))&amp;"","")</f>
        <v/>
      </c>
    </row>
    <row r="639">
      <c r="AF639" t="str">
        <f>IFERROR(INDEX('ITENS_MTR'!$AS$6:$AS$1005,MATCH(634,'ITENS_MTR'!$AT$6:$AT$1005,0))&amp;"","")</f>
        <v/>
      </c>
    </row>
    <row r="640">
      <c r="AF640" t="str">
        <f>IFERROR(INDEX('ITENS_MTR'!$AS$6:$AS$1005,MATCH(635,'ITENS_MTR'!$AT$6:$AT$1005,0))&amp;"","")</f>
        <v/>
      </c>
    </row>
    <row r="641">
      <c r="AF641" t="str">
        <f>IFERROR(INDEX('ITENS_MTR'!$AS$6:$AS$1005,MATCH(636,'ITENS_MTR'!$AT$6:$AT$1005,0))&amp;"","")</f>
        <v/>
      </c>
    </row>
    <row r="642">
      <c r="AF642" t="str">
        <f>IFERROR(INDEX('ITENS_MTR'!$AS$6:$AS$1005,MATCH(637,'ITENS_MTR'!$AT$6:$AT$1005,0))&amp;"","")</f>
        <v/>
      </c>
    </row>
    <row r="643">
      <c r="AF643" t="str">
        <f>IFERROR(INDEX('ITENS_MTR'!$AS$6:$AS$1005,MATCH(638,'ITENS_MTR'!$AT$6:$AT$1005,0))&amp;"","")</f>
        <v/>
      </c>
    </row>
    <row r="644">
      <c r="AF644" t="str">
        <f>IFERROR(INDEX('ITENS_MTR'!$AS$6:$AS$1005,MATCH(639,'ITENS_MTR'!$AT$6:$AT$1005,0))&amp;"","")</f>
        <v/>
      </c>
    </row>
    <row r="645">
      <c r="AF645" t="str">
        <f>IFERROR(INDEX('ITENS_MTR'!$AS$6:$AS$1005,MATCH(640,'ITENS_MTR'!$AT$6:$AT$1005,0))&amp;"","")</f>
        <v/>
      </c>
    </row>
    <row r="646">
      <c r="AF646" t="str">
        <f>IFERROR(INDEX('ITENS_MTR'!$AS$6:$AS$1005,MATCH(641,'ITENS_MTR'!$AT$6:$AT$1005,0))&amp;"","")</f>
        <v/>
      </c>
    </row>
    <row r="647">
      <c r="AF647" t="str">
        <f>IFERROR(INDEX('ITENS_MTR'!$AS$6:$AS$1005,MATCH(642,'ITENS_MTR'!$AT$6:$AT$1005,0))&amp;"","")</f>
        <v/>
      </c>
    </row>
    <row r="648">
      <c r="AF648" t="str">
        <f>IFERROR(INDEX('ITENS_MTR'!$AS$6:$AS$1005,MATCH(643,'ITENS_MTR'!$AT$6:$AT$1005,0))&amp;"","")</f>
        <v/>
      </c>
    </row>
    <row r="649">
      <c r="AF649" t="str">
        <f>IFERROR(INDEX('ITENS_MTR'!$AS$6:$AS$1005,MATCH(644,'ITENS_MTR'!$AT$6:$AT$1005,0))&amp;"","")</f>
        <v/>
      </c>
    </row>
    <row r="650">
      <c r="AF650" t="str">
        <f>IFERROR(INDEX('ITENS_MTR'!$AS$6:$AS$1005,MATCH(645,'ITENS_MTR'!$AT$6:$AT$1005,0))&amp;"","")</f>
        <v/>
      </c>
    </row>
    <row r="651">
      <c r="AF651" t="str">
        <f>IFERROR(INDEX('ITENS_MTR'!$AS$6:$AS$1005,MATCH(646,'ITENS_MTR'!$AT$6:$AT$1005,0))&amp;"","")</f>
        <v/>
      </c>
    </row>
    <row r="652">
      <c r="AF652" t="str">
        <f>IFERROR(INDEX('ITENS_MTR'!$AS$6:$AS$1005,MATCH(647,'ITENS_MTR'!$AT$6:$AT$1005,0))&amp;"","")</f>
        <v/>
      </c>
    </row>
    <row r="653">
      <c r="AF653" t="str">
        <f>IFERROR(INDEX('ITENS_MTR'!$AS$6:$AS$1005,MATCH(648,'ITENS_MTR'!$AT$6:$AT$1005,0))&amp;"","")</f>
        <v/>
      </c>
    </row>
    <row r="654">
      <c r="AF654" t="str">
        <f>IFERROR(INDEX('ITENS_MTR'!$AS$6:$AS$1005,MATCH(649,'ITENS_MTR'!$AT$6:$AT$1005,0))&amp;"","")</f>
        <v/>
      </c>
    </row>
    <row r="655">
      <c r="AF655" t="str">
        <f>IFERROR(INDEX('ITENS_MTR'!$AS$6:$AS$1005,MATCH(650,'ITENS_MTR'!$AT$6:$AT$1005,0))&amp;"","")</f>
        <v/>
      </c>
    </row>
    <row r="656">
      <c r="AF656" t="str">
        <f>IFERROR(INDEX('ITENS_MTR'!$AS$6:$AS$1005,MATCH(651,'ITENS_MTR'!$AT$6:$AT$1005,0))&amp;"","")</f>
        <v/>
      </c>
    </row>
    <row r="657">
      <c r="AF657" t="str">
        <f>IFERROR(INDEX('ITENS_MTR'!$AS$6:$AS$1005,MATCH(652,'ITENS_MTR'!$AT$6:$AT$1005,0))&amp;"","")</f>
        <v/>
      </c>
    </row>
    <row r="658">
      <c r="AF658" t="str">
        <f>IFERROR(INDEX('ITENS_MTR'!$AS$6:$AS$1005,MATCH(653,'ITENS_MTR'!$AT$6:$AT$1005,0))&amp;"","")</f>
        <v/>
      </c>
    </row>
    <row r="659">
      <c r="AF659" t="str">
        <f>IFERROR(INDEX('ITENS_MTR'!$AS$6:$AS$1005,MATCH(654,'ITENS_MTR'!$AT$6:$AT$1005,0))&amp;"","")</f>
        <v/>
      </c>
    </row>
    <row r="660">
      <c r="AF660" t="str">
        <f>IFERROR(INDEX('ITENS_MTR'!$AS$6:$AS$1005,MATCH(655,'ITENS_MTR'!$AT$6:$AT$1005,0))&amp;"","")</f>
        <v/>
      </c>
    </row>
    <row r="661">
      <c r="AF661" t="str">
        <f>IFERROR(INDEX('ITENS_MTR'!$AS$6:$AS$1005,MATCH(656,'ITENS_MTR'!$AT$6:$AT$1005,0))&amp;"","")</f>
        <v/>
      </c>
    </row>
    <row r="662">
      <c r="AF662" t="str">
        <f>IFERROR(INDEX('ITENS_MTR'!$AS$6:$AS$1005,MATCH(657,'ITENS_MTR'!$AT$6:$AT$1005,0))&amp;"","")</f>
        <v/>
      </c>
    </row>
    <row r="663">
      <c r="AF663" t="str">
        <f>IFERROR(INDEX('ITENS_MTR'!$AS$6:$AS$1005,MATCH(658,'ITENS_MTR'!$AT$6:$AT$1005,0))&amp;"","")</f>
        <v/>
      </c>
    </row>
    <row r="664">
      <c r="AF664" t="str">
        <f>IFERROR(INDEX('ITENS_MTR'!$AS$6:$AS$1005,MATCH(659,'ITENS_MTR'!$AT$6:$AT$1005,0))&amp;"","")</f>
        <v/>
      </c>
    </row>
    <row r="665">
      <c r="AF665" t="str">
        <f>IFERROR(INDEX('ITENS_MTR'!$AS$6:$AS$1005,MATCH(660,'ITENS_MTR'!$AT$6:$AT$1005,0))&amp;"","")</f>
        <v/>
      </c>
    </row>
    <row r="666">
      <c r="AF666" t="str">
        <f>IFERROR(INDEX('ITENS_MTR'!$AS$6:$AS$1005,MATCH(661,'ITENS_MTR'!$AT$6:$AT$1005,0))&amp;"","")</f>
        <v/>
      </c>
    </row>
    <row r="667">
      <c r="AF667" t="str">
        <f>IFERROR(INDEX('ITENS_MTR'!$AS$6:$AS$1005,MATCH(662,'ITENS_MTR'!$AT$6:$AT$1005,0))&amp;"","")</f>
        <v/>
      </c>
    </row>
    <row r="668">
      <c r="AF668" t="str">
        <f>IFERROR(INDEX('ITENS_MTR'!$AS$6:$AS$1005,MATCH(663,'ITENS_MTR'!$AT$6:$AT$1005,0))&amp;"","")</f>
        <v/>
      </c>
    </row>
    <row r="669">
      <c r="AF669" t="str">
        <f>IFERROR(INDEX('ITENS_MTR'!$AS$6:$AS$1005,MATCH(664,'ITENS_MTR'!$AT$6:$AT$1005,0))&amp;"","")</f>
        <v/>
      </c>
    </row>
    <row r="670">
      <c r="AF670" t="str">
        <f>IFERROR(INDEX('ITENS_MTR'!$AS$6:$AS$1005,MATCH(665,'ITENS_MTR'!$AT$6:$AT$1005,0))&amp;"","")</f>
        <v/>
      </c>
    </row>
    <row r="671">
      <c r="AF671" t="str">
        <f>IFERROR(INDEX('ITENS_MTR'!$AS$6:$AS$1005,MATCH(666,'ITENS_MTR'!$AT$6:$AT$1005,0))&amp;"","")</f>
        <v/>
      </c>
    </row>
    <row r="672">
      <c r="AF672" t="str">
        <f>IFERROR(INDEX('ITENS_MTR'!$AS$6:$AS$1005,MATCH(667,'ITENS_MTR'!$AT$6:$AT$1005,0))&amp;"","")</f>
        <v/>
      </c>
    </row>
    <row r="673">
      <c r="AF673" t="str">
        <f>IFERROR(INDEX('ITENS_MTR'!$AS$6:$AS$1005,MATCH(668,'ITENS_MTR'!$AT$6:$AT$1005,0))&amp;"","")</f>
        <v/>
      </c>
    </row>
    <row r="674">
      <c r="AF674" t="str">
        <f>IFERROR(INDEX('ITENS_MTR'!$AS$6:$AS$1005,MATCH(669,'ITENS_MTR'!$AT$6:$AT$1005,0))&amp;"","")</f>
        <v/>
      </c>
    </row>
    <row r="675">
      <c r="AF675" t="str">
        <f>IFERROR(INDEX('ITENS_MTR'!$AS$6:$AS$1005,MATCH(670,'ITENS_MTR'!$AT$6:$AT$1005,0))&amp;"","")</f>
        <v/>
      </c>
    </row>
    <row r="676">
      <c r="AF676" t="str">
        <f>IFERROR(INDEX('ITENS_MTR'!$AS$6:$AS$1005,MATCH(671,'ITENS_MTR'!$AT$6:$AT$1005,0))&amp;"","")</f>
        <v/>
      </c>
    </row>
    <row r="677">
      <c r="AF677" t="str">
        <f>IFERROR(INDEX('ITENS_MTR'!$AS$6:$AS$1005,MATCH(672,'ITENS_MTR'!$AT$6:$AT$1005,0))&amp;"","")</f>
        <v/>
      </c>
    </row>
    <row r="678">
      <c r="AF678" t="str">
        <f>IFERROR(INDEX('ITENS_MTR'!$AS$6:$AS$1005,MATCH(673,'ITENS_MTR'!$AT$6:$AT$1005,0))&amp;"","")</f>
        <v/>
      </c>
    </row>
    <row r="679">
      <c r="AF679" t="str">
        <f>IFERROR(INDEX('ITENS_MTR'!$AS$6:$AS$1005,MATCH(674,'ITENS_MTR'!$AT$6:$AT$1005,0))&amp;"","")</f>
        <v/>
      </c>
    </row>
    <row r="680">
      <c r="AF680" t="str">
        <f>IFERROR(INDEX('ITENS_MTR'!$AS$6:$AS$1005,MATCH(675,'ITENS_MTR'!$AT$6:$AT$1005,0))&amp;"","")</f>
        <v/>
      </c>
    </row>
    <row r="681">
      <c r="AF681" t="str">
        <f>IFERROR(INDEX('ITENS_MTR'!$AS$6:$AS$1005,MATCH(676,'ITENS_MTR'!$AT$6:$AT$1005,0))&amp;"","")</f>
        <v/>
      </c>
    </row>
    <row r="682">
      <c r="AF682" t="str">
        <f>IFERROR(INDEX('ITENS_MTR'!$AS$6:$AS$1005,MATCH(677,'ITENS_MTR'!$AT$6:$AT$1005,0))&amp;"","")</f>
        <v/>
      </c>
    </row>
    <row r="683">
      <c r="AF683" t="str">
        <f>IFERROR(INDEX('ITENS_MTR'!$AS$6:$AS$1005,MATCH(678,'ITENS_MTR'!$AT$6:$AT$1005,0))&amp;"","")</f>
        <v/>
      </c>
    </row>
    <row r="684">
      <c r="AF684" t="str">
        <f>IFERROR(INDEX('ITENS_MTR'!$AS$6:$AS$1005,MATCH(679,'ITENS_MTR'!$AT$6:$AT$1005,0))&amp;"","")</f>
        <v/>
      </c>
    </row>
    <row r="685">
      <c r="AF685" t="str">
        <f>IFERROR(INDEX('ITENS_MTR'!$AS$6:$AS$1005,MATCH(680,'ITENS_MTR'!$AT$6:$AT$1005,0))&amp;"","")</f>
        <v/>
      </c>
    </row>
    <row r="686">
      <c r="AF686" t="str">
        <f>IFERROR(INDEX('ITENS_MTR'!$AS$6:$AS$1005,MATCH(681,'ITENS_MTR'!$AT$6:$AT$1005,0))&amp;"","")</f>
        <v/>
      </c>
    </row>
    <row r="687">
      <c r="AF687" t="str">
        <f>IFERROR(INDEX('ITENS_MTR'!$AS$6:$AS$1005,MATCH(682,'ITENS_MTR'!$AT$6:$AT$1005,0))&amp;"","")</f>
        <v/>
      </c>
    </row>
    <row r="688">
      <c r="AF688" t="str">
        <f>IFERROR(INDEX('ITENS_MTR'!$AS$6:$AS$1005,MATCH(683,'ITENS_MTR'!$AT$6:$AT$1005,0))&amp;"","")</f>
        <v/>
      </c>
    </row>
    <row r="689">
      <c r="AF689" t="str">
        <f>IFERROR(INDEX('ITENS_MTR'!$AS$6:$AS$1005,MATCH(684,'ITENS_MTR'!$AT$6:$AT$1005,0))&amp;"","")</f>
        <v/>
      </c>
    </row>
    <row r="690">
      <c r="AF690" t="str">
        <f>IFERROR(INDEX('ITENS_MTR'!$AS$6:$AS$1005,MATCH(685,'ITENS_MTR'!$AT$6:$AT$1005,0))&amp;"","")</f>
        <v/>
      </c>
    </row>
    <row r="691">
      <c r="AF691" t="str">
        <f>IFERROR(INDEX('ITENS_MTR'!$AS$6:$AS$1005,MATCH(686,'ITENS_MTR'!$AT$6:$AT$1005,0))&amp;"","")</f>
        <v/>
      </c>
    </row>
    <row r="692">
      <c r="AF692" t="str">
        <f>IFERROR(INDEX('ITENS_MTR'!$AS$6:$AS$1005,MATCH(687,'ITENS_MTR'!$AT$6:$AT$1005,0))&amp;"","")</f>
        <v/>
      </c>
    </row>
    <row r="693">
      <c r="AF693" t="str">
        <f>IFERROR(INDEX('ITENS_MTR'!$AS$6:$AS$1005,MATCH(688,'ITENS_MTR'!$AT$6:$AT$1005,0))&amp;"","")</f>
        <v/>
      </c>
    </row>
    <row r="694">
      <c r="AF694" t="str">
        <f>IFERROR(INDEX('ITENS_MTR'!$AS$6:$AS$1005,MATCH(689,'ITENS_MTR'!$AT$6:$AT$1005,0))&amp;"","")</f>
        <v/>
      </c>
    </row>
    <row r="695">
      <c r="AF695" t="str">
        <f>IFERROR(INDEX('ITENS_MTR'!$AS$6:$AS$1005,MATCH(690,'ITENS_MTR'!$AT$6:$AT$1005,0))&amp;"","")</f>
        <v/>
      </c>
    </row>
    <row r="696">
      <c r="AF696" t="str">
        <f>IFERROR(INDEX('ITENS_MTR'!$AS$6:$AS$1005,MATCH(691,'ITENS_MTR'!$AT$6:$AT$1005,0))&amp;"","")</f>
        <v/>
      </c>
    </row>
    <row r="697">
      <c r="AF697" t="str">
        <f>IFERROR(INDEX('ITENS_MTR'!$AS$6:$AS$1005,MATCH(692,'ITENS_MTR'!$AT$6:$AT$1005,0))&amp;"","")</f>
        <v/>
      </c>
    </row>
    <row r="698">
      <c r="AF698" t="str">
        <f>IFERROR(INDEX('ITENS_MTR'!$AS$6:$AS$1005,MATCH(693,'ITENS_MTR'!$AT$6:$AT$1005,0))&amp;"","")</f>
        <v/>
      </c>
    </row>
    <row r="699">
      <c r="AF699" t="str">
        <f>IFERROR(INDEX('ITENS_MTR'!$AS$6:$AS$1005,MATCH(694,'ITENS_MTR'!$AT$6:$AT$1005,0))&amp;"","")</f>
        <v/>
      </c>
    </row>
    <row r="700">
      <c r="AF700" t="str">
        <f>IFERROR(INDEX('ITENS_MTR'!$AS$6:$AS$1005,MATCH(695,'ITENS_MTR'!$AT$6:$AT$1005,0))&amp;"","")</f>
        <v/>
      </c>
    </row>
    <row r="701">
      <c r="AF701" t="str">
        <f>IFERROR(INDEX('ITENS_MTR'!$AS$6:$AS$1005,MATCH(696,'ITENS_MTR'!$AT$6:$AT$1005,0))&amp;"","")</f>
        <v/>
      </c>
    </row>
    <row r="702">
      <c r="AF702" t="str">
        <f>IFERROR(INDEX('ITENS_MTR'!$AS$6:$AS$1005,MATCH(697,'ITENS_MTR'!$AT$6:$AT$1005,0))&amp;"","")</f>
        <v/>
      </c>
    </row>
    <row r="703">
      <c r="AF703" t="str">
        <f>IFERROR(INDEX('ITENS_MTR'!$AS$6:$AS$1005,MATCH(698,'ITENS_MTR'!$AT$6:$AT$1005,0))&amp;"","")</f>
        <v/>
      </c>
    </row>
    <row r="704">
      <c r="AF704" t="str">
        <f>IFERROR(INDEX('ITENS_MTR'!$AS$6:$AS$1005,MATCH(699,'ITENS_MTR'!$AT$6:$AT$1005,0))&amp;"","")</f>
        <v/>
      </c>
    </row>
    <row r="705">
      <c r="AF705" t="str">
        <f>IFERROR(INDEX('ITENS_MTR'!$AS$6:$AS$1005,MATCH(700,'ITENS_MTR'!$AT$6:$AT$1005,0))&amp;"","")</f>
        <v/>
      </c>
    </row>
    <row r="706">
      <c r="AF706" t="str">
        <f>IFERROR(INDEX('ITENS_MTR'!$AS$6:$AS$1005,MATCH(701,'ITENS_MTR'!$AT$6:$AT$1005,0))&amp;"","")</f>
        <v/>
      </c>
    </row>
    <row r="707">
      <c r="AF707" t="str">
        <f>IFERROR(INDEX('ITENS_MTR'!$AS$6:$AS$1005,MATCH(702,'ITENS_MTR'!$AT$6:$AT$1005,0))&amp;"","")</f>
        <v/>
      </c>
    </row>
    <row r="708">
      <c r="AF708" t="str">
        <f>IFERROR(INDEX('ITENS_MTR'!$AS$6:$AS$1005,MATCH(703,'ITENS_MTR'!$AT$6:$AT$1005,0))&amp;"","")</f>
        <v/>
      </c>
    </row>
    <row r="709">
      <c r="AF709" t="str">
        <f>IFERROR(INDEX('ITENS_MTR'!$AS$6:$AS$1005,MATCH(704,'ITENS_MTR'!$AT$6:$AT$1005,0))&amp;"","")</f>
        <v/>
      </c>
    </row>
    <row r="710">
      <c r="AF710" t="str">
        <f>IFERROR(INDEX('ITENS_MTR'!$AS$6:$AS$1005,MATCH(705,'ITENS_MTR'!$AT$6:$AT$1005,0))&amp;"","")</f>
        <v/>
      </c>
    </row>
    <row r="711">
      <c r="AF711" t="str">
        <f>IFERROR(INDEX('ITENS_MTR'!$AS$6:$AS$1005,MATCH(706,'ITENS_MTR'!$AT$6:$AT$1005,0))&amp;"","")</f>
        <v/>
      </c>
    </row>
    <row r="712">
      <c r="AF712" t="str">
        <f>IFERROR(INDEX('ITENS_MTR'!$AS$6:$AS$1005,MATCH(707,'ITENS_MTR'!$AT$6:$AT$1005,0))&amp;"","")</f>
        <v/>
      </c>
    </row>
    <row r="713">
      <c r="AF713" t="str">
        <f>IFERROR(INDEX('ITENS_MTR'!$AS$6:$AS$1005,MATCH(708,'ITENS_MTR'!$AT$6:$AT$1005,0))&amp;"","")</f>
        <v/>
      </c>
    </row>
    <row r="714">
      <c r="AF714" t="str">
        <f>IFERROR(INDEX('ITENS_MTR'!$AS$6:$AS$1005,MATCH(709,'ITENS_MTR'!$AT$6:$AT$1005,0))&amp;"","")</f>
        <v/>
      </c>
    </row>
    <row r="715">
      <c r="AF715" t="str">
        <f>IFERROR(INDEX('ITENS_MTR'!$AS$6:$AS$1005,MATCH(710,'ITENS_MTR'!$AT$6:$AT$1005,0))&amp;"","")</f>
        <v/>
      </c>
    </row>
    <row r="716">
      <c r="AF716" t="str">
        <f>IFERROR(INDEX('ITENS_MTR'!$AS$6:$AS$1005,MATCH(711,'ITENS_MTR'!$AT$6:$AT$1005,0))&amp;"","")</f>
        <v/>
      </c>
    </row>
    <row r="717">
      <c r="AF717" t="str">
        <f>IFERROR(INDEX('ITENS_MTR'!$AS$6:$AS$1005,MATCH(712,'ITENS_MTR'!$AT$6:$AT$1005,0))&amp;"","")</f>
        <v/>
      </c>
    </row>
    <row r="718">
      <c r="AF718" t="str">
        <f>IFERROR(INDEX('ITENS_MTR'!$AS$6:$AS$1005,MATCH(713,'ITENS_MTR'!$AT$6:$AT$1005,0))&amp;"","")</f>
        <v/>
      </c>
    </row>
    <row r="719">
      <c r="AF719" t="str">
        <f>IFERROR(INDEX('ITENS_MTR'!$AS$6:$AS$1005,MATCH(714,'ITENS_MTR'!$AT$6:$AT$1005,0))&amp;"","")</f>
        <v/>
      </c>
    </row>
    <row r="720">
      <c r="AF720" t="str">
        <f>IFERROR(INDEX('ITENS_MTR'!$AS$6:$AS$1005,MATCH(715,'ITENS_MTR'!$AT$6:$AT$1005,0))&amp;"","")</f>
        <v/>
      </c>
    </row>
    <row r="721">
      <c r="AF721" t="str">
        <f>IFERROR(INDEX('ITENS_MTR'!$AS$6:$AS$1005,MATCH(716,'ITENS_MTR'!$AT$6:$AT$1005,0))&amp;"","")</f>
        <v/>
      </c>
    </row>
    <row r="722">
      <c r="AF722" t="str">
        <f>IFERROR(INDEX('ITENS_MTR'!$AS$6:$AS$1005,MATCH(717,'ITENS_MTR'!$AT$6:$AT$1005,0))&amp;"","")</f>
        <v/>
      </c>
    </row>
    <row r="723">
      <c r="AF723" t="str">
        <f>IFERROR(INDEX('ITENS_MTR'!$AS$6:$AS$1005,MATCH(718,'ITENS_MTR'!$AT$6:$AT$1005,0))&amp;"","")</f>
        <v/>
      </c>
    </row>
    <row r="724">
      <c r="AF724" t="str">
        <f>IFERROR(INDEX('ITENS_MTR'!$AS$6:$AS$1005,MATCH(719,'ITENS_MTR'!$AT$6:$AT$1005,0))&amp;"","")</f>
        <v/>
      </c>
    </row>
    <row r="725">
      <c r="AF725" t="str">
        <f>IFERROR(INDEX('ITENS_MTR'!$AS$6:$AS$1005,MATCH(720,'ITENS_MTR'!$AT$6:$AT$1005,0))&amp;"","")</f>
        <v/>
      </c>
    </row>
    <row r="726">
      <c r="AF726" t="str">
        <f>IFERROR(INDEX('ITENS_MTR'!$AS$6:$AS$1005,MATCH(721,'ITENS_MTR'!$AT$6:$AT$1005,0))&amp;"","")</f>
        <v/>
      </c>
    </row>
    <row r="727">
      <c r="AF727" t="str">
        <f>IFERROR(INDEX('ITENS_MTR'!$AS$6:$AS$1005,MATCH(722,'ITENS_MTR'!$AT$6:$AT$1005,0))&amp;"","")</f>
        <v/>
      </c>
    </row>
    <row r="728">
      <c r="AF728" t="str">
        <f>IFERROR(INDEX('ITENS_MTR'!$AS$6:$AS$1005,MATCH(723,'ITENS_MTR'!$AT$6:$AT$1005,0))&amp;"","")</f>
        <v/>
      </c>
    </row>
    <row r="729">
      <c r="AF729" t="str">
        <f>IFERROR(INDEX('ITENS_MTR'!$AS$6:$AS$1005,MATCH(724,'ITENS_MTR'!$AT$6:$AT$1005,0))&amp;"","")</f>
        <v/>
      </c>
    </row>
    <row r="730">
      <c r="AF730" t="str">
        <f>IFERROR(INDEX('ITENS_MTR'!$AS$6:$AS$1005,MATCH(725,'ITENS_MTR'!$AT$6:$AT$1005,0))&amp;"","")</f>
        <v/>
      </c>
    </row>
    <row r="731">
      <c r="AF731" t="str">
        <f>IFERROR(INDEX('ITENS_MTR'!$AS$6:$AS$1005,MATCH(726,'ITENS_MTR'!$AT$6:$AT$1005,0))&amp;"","")</f>
        <v/>
      </c>
    </row>
    <row r="732">
      <c r="AF732" t="str">
        <f>IFERROR(INDEX('ITENS_MTR'!$AS$6:$AS$1005,MATCH(727,'ITENS_MTR'!$AT$6:$AT$1005,0))&amp;"","")</f>
        <v/>
      </c>
    </row>
    <row r="733">
      <c r="AF733" t="str">
        <f>IFERROR(INDEX('ITENS_MTR'!$AS$6:$AS$1005,MATCH(728,'ITENS_MTR'!$AT$6:$AT$1005,0))&amp;"","")</f>
        <v/>
      </c>
    </row>
    <row r="734">
      <c r="AF734" t="str">
        <f>IFERROR(INDEX('ITENS_MTR'!$AS$6:$AS$1005,MATCH(729,'ITENS_MTR'!$AT$6:$AT$1005,0))&amp;"","")</f>
        <v/>
      </c>
    </row>
    <row r="735">
      <c r="AF735" t="str">
        <f>IFERROR(INDEX('ITENS_MTR'!$AS$6:$AS$1005,MATCH(730,'ITENS_MTR'!$AT$6:$AT$1005,0))&amp;"","")</f>
        <v/>
      </c>
    </row>
    <row r="736">
      <c r="AF736" t="str">
        <f>IFERROR(INDEX('ITENS_MTR'!$AS$6:$AS$1005,MATCH(731,'ITENS_MTR'!$AT$6:$AT$1005,0))&amp;"","")</f>
        <v/>
      </c>
    </row>
    <row r="737">
      <c r="AF737" t="str">
        <f>IFERROR(INDEX('ITENS_MTR'!$AS$6:$AS$1005,MATCH(732,'ITENS_MTR'!$AT$6:$AT$1005,0))&amp;"","")</f>
        <v/>
      </c>
    </row>
    <row r="738">
      <c r="AF738" t="str">
        <f>IFERROR(INDEX('ITENS_MTR'!$AS$6:$AS$1005,MATCH(733,'ITENS_MTR'!$AT$6:$AT$1005,0))&amp;"","")</f>
        <v/>
      </c>
    </row>
    <row r="739">
      <c r="AF739" t="str">
        <f>IFERROR(INDEX('ITENS_MTR'!$AS$6:$AS$1005,MATCH(734,'ITENS_MTR'!$AT$6:$AT$1005,0))&amp;"","")</f>
        <v/>
      </c>
    </row>
    <row r="740">
      <c r="AF740" t="str">
        <f>IFERROR(INDEX('ITENS_MTR'!$AS$6:$AS$1005,MATCH(735,'ITENS_MTR'!$AT$6:$AT$1005,0))&amp;"","")</f>
        <v/>
      </c>
    </row>
    <row r="741">
      <c r="AF741" t="str">
        <f>IFERROR(INDEX('ITENS_MTR'!$AS$6:$AS$1005,MATCH(736,'ITENS_MTR'!$AT$6:$AT$1005,0))&amp;"","")</f>
        <v/>
      </c>
    </row>
    <row r="742">
      <c r="AF742" t="str">
        <f>IFERROR(INDEX('ITENS_MTR'!$AS$6:$AS$1005,MATCH(737,'ITENS_MTR'!$AT$6:$AT$1005,0))&amp;"","")</f>
        <v/>
      </c>
    </row>
    <row r="743">
      <c r="AF743" t="str">
        <f>IFERROR(INDEX('ITENS_MTR'!$AS$6:$AS$1005,MATCH(738,'ITENS_MTR'!$AT$6:$AT$1005,0))&amp;"","")</f>
        <v/>
      </c>
    </row>
    <row r="744">
      <c r="AF744" t="str">
        <f>IFERROR(INDEX('ITENS_MTR'!$AS$6:$AS$1005,MATCH(739,'ITENS_MTR'!$AT$6:$AT$1005,0))&amp;"","")</f>
        <v/>
      </c>
    </row>
    <row r="745">
      <c r="AF745" t="str">
        <f>IFERROR(INDEX('ITENS_MTR'!$AS$6:$AS$1005,MATCH(740,'ITENS_MTR'!$AT$6:$AT$1005,0))&amp;"","")</f>
        <v/>
      </c>
    </row>
    <row r="746">
      <c r="AF746" t="str">
        <f>IFERROR(INDEX('ITENS_MTR'!$AS$6:$AS$1005,MATCH(741,'ITENS_MTR'!$AT$6:$AT$1005,0))&amp;"","")</f>
        <v/>
      </c>
    </row>
    <row r="747">
      <c r="AF747" t="str">
        <f>IFERROR(INDEX('ITENS_MTR'!$AS$6:$AS$1005,MATCH(742,'ITENS_MTR'!$AT$6:$AT$1005,0))&amp;"","")</f>
        <v/>
      </c>
    </row>
    <row r="748">
      <c r="AF748" t="str">
        <f>IFERROR(INDEX('ITENS_MTR'!$AS$6:$AS$1005,MATCH(743,'ITENS_MTR'!$AT$6:$AT$1005,0))&amp;"","")</f>
        <v/>
      </c>
    </row>
    <row r="749">
      <c r="AF749" t="str">
        <f>IFERROR(INDEX('ITENS_MTR'!$AS$6:$AS$1005,MATCH(744,'ITENS_MTR'!$AT$6:$AT$1005,0))&amp;"","")</f>
        <v/>
      </c>
    </row>
    <row r="750">
      <c r="AF750" t="str">
        <f>IFERROR(INDEX('ITENS_MTR'!$AS$6:$AS$1005,MATCH(745,'ITENS_MTR'!$AT$6:$AT$1005,0))&amp;"","")</f>
        <v/>
      </c>
    </row>
    <row r="751">
      <c r="AF751" t="str">
        <f>IFERROR(INDEX('ITENS_MTR'!$AS$6:$AS$1005,MATCH(746,'ITENS_MTR'!$AT$6:$AT$1005,0))&amp;"","")</f>
        <v/>
      </c>
    </row>
    <row r="752">
      <c r="AF752" t="str">
        <f>IFERROR(INDEX('ITENS_MTR'!$AS$6:$AS$1005,MATCH(747,'ITENS_MTR'!$AT$6:$AT$1005,0))&amp;"","")</f>
        <v/>
      </c>
    </row>
    <row r="753">
      <c r="AF753" t="str">
        <f>IFERROR(INDEX('ITENS_MTR'!$AS$6:$AS$1005,MATCH(748,'ITENS_MTR'!$AT$6:$AT$1005,0))&amp;"","")</f>
        <v/>
      </c>
    </row>
    <row r="754">
      <c r="AF754" t="str">
        <f>IFERROR(INDEX('ITENS_MTR'!$AS$6:$AS$1005,MATCH(749,'ITENS_MTR'!$AT$6:$AT$1005,0))&amp;"","")</f>
        <v/>
      </c>
    </row>
    <row r="755">
      <c r="AF755" t="str">
        <f>IFERROR(INDEX('ITENS_MTR'!$AS$6:$AS$1005,MATCH(750,'ITENS_MTR'!$AT$6:$AT$1005,0))&amp;"","")</f>
        <v/>
      </c>
    </row>
    <row r="756">
      <c r="AF756" t="str">
        <f>IFERROR(INDEX('ITENS_MTR'!$AS$6:$AS$1005,MATCH(751,'ITENS_MTR'!$AT$6:$AT$1005,0))&amp;"","")</f>
        <v/>
      </c>
    </row>
    <row r="757">
      <c r="AF757" t="str">
        <f>IFERROR(INDEX('ITENS_MTR'!$AS$6:$AS$1005,MATCH(752,'ITENS_MTR'!$AT$6:$AT$1005,0))&amp;"","")</f>
        <v/>
      </c>
    </row>
    <row r="758">
      <c r="AF758" t="str">
        <f>IFERROR(INDEX('ITENS_MTR'!$AS$6:$AS$1005,MATCH(753,'ITENS_MTR'!$AT$6:$AT$1005,0))&amp;"","")</f>
        <v/>
      </c>
    </row>
    <row r="759">
      <c r="AF759" t="str">
        <f>IFERROR(INDEX('ITENS_MTR'!$AS$6:$AS$1005,MATCH(754,'ITENS_MTR'!$AT$6:$AT$1005,0))&amp;"","")</f>
        <v/>
      </c>
    </row>
    <row r="760">
      <c r="AF760" t="str">
        <f>IFERROR(INDEX('ITENS_MTR'!$AS$6:$AS$1005,MATCH(755,'ITENS_MTR'!$AT$6:$AT$1005,0))&amp;"","")</f>
        <v/>
      </c>
    </row>
    <row r="761">
      <c r="AF761" t="str">
        <f>IFERROR(INDEX('ITENS_MTR'!$AS$6:$AS$1005,MATCH(756,'ITENS_MTR'!$AT$6:$AT$1005,0))&amp;"","")</f>
        <v/>
      </c>
    </row>
    <row r="762">
      <c r="AF762" t="str">
        <f>IFERROR(INDEX('ITENS_MTR'!$AS$6:$AS$1005,MATCH(757,'ITENS_MTR'!$AT$6:$AT$1005,0))&amp;"","")</f>
        <v/>
      </c>
    </row>
    <row r="763">
      <c r="AF763" t="str">
        <f>IFERROR(INDEX('ITENS_MTR'!$AS$6:$AS$1005,MATCH(758,'ITENS_MTR'!$AT$6:$AT$1005,0))&amp;"","")</f>
        <v/>
      </c>
    </row>
    <row r="764">
      <c r="AF764" t="str">
        <f>IFERROR(INDEX('ITENS_MTR'!$AS$6:$AS$1005,MATCH(759,'ITENS_MTR'!$AT$6:$AT$1005,0))&amp;"","")</f>
        <v/>
      </c>
    </row>
    <row r="765">
      <c r="AF765" t="str">
        <f>IFERROR(INDEX('ITENS_MTR'!$AS$6:$AS$1005,MATCH(760,'ITENS_MTR'!$AT$6:$AT$1005,0))&amp;"","")</f>
        <v/>
      </c>
    </row>
    <row r="766">
      <c r="AF766" t="str">
        <f>IFERROR(INDEX('ITENS_MTR'!$AS$6:$AS$1005,MATCH(761,'ITENS_MTR'!$AT$6:$AT$1005,0))&amp;"","")</f>
        <v/>
      </c>
    </row>
    <row r="767">
      <c r="AF767" t="str">
        <f>IFERROR(INDEX('ITENS_MTR'!$AS$6:$AS$1005,MATCH(762,'ITENS_MTR'!$AT$6:$AT$1005,0))&amp;"","")</f>
        <v/>
      </c>
    </row>
    <row r="768">
      <c r="AF768" t="str">
        <f>IFERROR(INDEX('ITENS_MTR'!$AS$6:$AS$1005,MATCH(763,'ITENS_MTR'!$AT$6:$AT$1005,0))&amp;"","")</f>
        <v/>
      </c>
    </row>
    <row r="769">
      <c r="AF769" t="str">
        <f>IFERROR(INDEX('ITENS_MTR'!$AS$6:$AS$1005,MATCH(764,'ITENS_MTR'!$AT$6:$AT$1005,0))&amp;"","")</f>
        <v/>
      </c>
    </row>
    <row r="770">
      <c r="AF770" t="str">
        <f>IFERROR(INDEX('ITENS_MTR'!$AS$6:$AS$1005,MATCH(765,'ITENS_MTR'!$AT$6:$AT$1005,0))&amp;"","")</f>
        <v/>
      </c>
    </row>
    <row r="771">
      <c r="AF771" t="str">
        <f>IFERROR(INDEX('ITENS_MTR'!$AS$6:$AS$1005,MATCH(766,'ITENS_MTR'!$AT$6:$AT$1005,0))&amp;"","")</f>
        <v/>
      </c>
    </row>
    <row r="772">
      <c r="AF772" t="str">
        <f>IFERROR(INDEX('ITENS_MTR'!$AS$6:$AS$1005,MATCH(767,'ITENS_MTR'!$AT$6:$AT$1005,0))&amp;"","")</f>
        <v/>
      </c>
    </row>
    <row r="773">
      <c r="AF773" t="str">
        <f>IFERROR(INDEX('ITENS_MTR'!$AS$6:$AS$1005,MATCH(768,'ITENS_MTR'!$AT$6:$AT$1005,0))&amp;"","")</f>
        <v/>
      </c>
    </row>
    <row r="774">
      <c r="AF774" t="str">
        <f>IFERROR(INDEX('ITENS_MTR'!$AS$6:$AS$1005,MATCH(769,'ITENS_MTR'!$AT$6:$AT$1005,0))&amp;"","")</f>
        <v/>
      </c>
    </row>
    <row r="775">
      <c r="AF775" t="str">
        <f>IFERROR(INDEX('ITENS_MTR'!$AS$6:$AS$1005,MATCH(770,'ITENS_MTR'!$AT$6:$AT$1005,0))&amp;"","")</f>
        <v/>
      </c>
    </row>
    <row r="776">
      <c r="AF776" t="str">
        <f>IFERROR(INDEX('ITENS_MTR'!$AS$6:$AS$1005,MATCH(771,'ITENS_MTR'!$AT$6:$AT$1005,0))&amp;"","")</f>
        <v/>
      </c>
    </row>
    <row r="777">
      <c r="AF777" t="str">
        <f>IFERROR(INDEX('ITENS_MTR'!$AS$6:$AS$1005,MATCH(772,'ITENS_MTR'!$AT$6:$AT$1005,0))&amp;"","")</f>
        <v/>
      </c>
    </row>
    <row r="778">
      <c r="AF778" t="str">
        <f>IFERROR(INDEX('ITENS_MTR'!$AS$6:$AS$1005,MATCH(773,'ITENS_MTR'!$AT$6:$AT$1005,0))&amp;"","")</f>
        <v/>
      </c>
    </row>
    <row r="779">
      <c r="AF779" t="str">
        <f>IFERROR(INDEX('ITENS_MTR'!$AS$6:$AS$1005,MATCH(774,'ITENS_MTR'!$AT$6:$AT$1005,0))&amp;"","")</f>
        <v/>
      </c>
    </row>
    <row r="780">
      <c r="AF780" t="str">
        <f>IFERROR(INDEX('ITENS_MTR'!$AS$6:$AS$1005,MATCH(775,'ITENS_MTR'!$AT$6:$AT$1005,0))&amp;"","")</f>
        <v/>
      </c>
    </row>
    <row r="781">
      <c r="AF781" t="str">
        <f>IFERROR(INDEX('ITENS_MTR'!$AS$6:$AS$1005,MATCH(776,'ITENS_MTR'!$AT$6:$AT$1005,0))&amp;"","")</f>
        <v/>
      </c>
    </row>
    <row r="782">
      <c r="AF782" t="str">
        <f>IFERROR(INDEX('ITENS_MTR'!$AS$6:$AS$1005,MATCH(777,'ITENS_MTR'!$AT$6:$AT$1005,0))&amp;"","")</f>
        <v/>
      </c>
    </row>
    <row r="783">
      <c r="AF783" t="str">
        <f>IFERROR(INDEX('ITENS_MTR'!$AS$6:$AS$1005,MATCH(778,'ITENS_MTR'!$AT$6:$AT$1005,0))&amp;"","")</f>
        <v/>
      </c>
    </row>
    <row r="784">
      <c r="AF784" t="str">
        <f>IFERROR(INDEX('ITENS_MTR'!$AS$6:$AS$1005,MATCH(779,'ITENS_MTR'!$AT$6:$AT$1005,0))&amp;"","")</f>
        <v/>
      </c>
    </row>
    <row r="785">
      <c r="AF785" t="str">
        <f>IFERROR(INDEX('ITENS_MTR'!$AS$6:$AS$1005,MATCH(780,'ITENS_MTR'!$AT$6:$AT$1005,0))&amp;"","")</f>
        <v/>
      </c>
    </row>
    <row r="786">
      <c r="AF786" t="str">
        <f>IFERROR(INDEX('ITENS_MTR'!$AS$6:$AS$1005,MATCH(781,'ITENS_MTR'!$AT$6:$AT$1005,0))&amp;"","")</f>
        <v/>
      </c>
    </row>
    <row r="787">
      <c r="AF787" t="str">
        <f>IFERROR(INDEX('ITENS_MTR'!$AS$6:$AS$1005,MATCH(782,'ITENS_MTR'!$AT$6:$AT$1005,0))&amp;"","")</f>
        <v/>
      </c>
    </row>
    <row r="788">
      <c r="AF788" t="str">
        <f>IFERROR(INDEX('ITENS_MTR'!$AS$6:$AS$1005,MATCH(783,'ITENS_MTR'!$AT$6:$AT$1005,0))&amp;"","")</f>
        <v/>
      </c>
    </row>
    <row r="789">
      <c r="AF789" t="str">
        <f>IFERROR(INDEX('ITENS_MTR'!$AS$6:$AS$1005,MATCH(784,'ITENS_MTR'!$AT$6:$AT$1005,0))&amp;"","")</f>
        <v/>
      </c>
    </row>
    <row r="790">
      <c r="AF790" t="str">
        <f>IFERROR(INDEX('ITENS_MTR'!$AS$6:$AS$1005,MATCH(785,'ITENS_MTR'!$AT$6:$AT$1005,0))&amp;"","")</f>
        <v/>
      </c>
    </row>
    <row r="791">
      <c r="AF791" t="str">
        <f>IFERROR(INDEX('ITENS_MTR'!$AS$6:$AS$1005,MATCH(786,'ITENS_MTR'!$AT$6:$AT$1005,0))&amp;"","")</f>
        <v/>
      </c>
    </row>
    <row r="792">
      <c r="AF792" t="str">
        <f>IFERROR(INDEX('ITENS_MTR'!$AS$6:$AS$1005,MATCH(787,'ITENS_MTR'!$AT$6:$AT$1005,0))&amp;"","")</f>
        <v/>
      </c>
    </row>
    <row r="793">
      <c r="AF793" t="str">
        <f>IFERROR(INDEX('ITENS_MTR'!$AS$6:$AS$1005,MATCH(788,'ITENS_MTR'!$AT$6:$AT$1005,0))&amp;"","")</f>
        <v/>
      </c>
    </row>
    <row r="794">
      <c r="AF794" t="str">
        <f>IFERROR(INDEX('ITENS_MTR'!$AS$6:$AS$1005,MATCH(789,'ITENS_MTR'!$AT$6:$AT$1005,0))&amp;"","")</f>
        <v/>
      </c>
    </row>
    <row r="795">
      <c r="AF795" t="str">
        <f>IFERROR(INDEX('ITENS_MTR'!$AS$6:$AS$1005,MATCH(790,'ITENS_MTR'!$AT$6:$AT$1005,0))&amp;"","")</f>
        <v/>
      </c>
    </row>
    <row r="796">
      <c r="AF796" t="str">
        <f>IFERROR(INDEX('ITENS_MTR'!$AS$6:$AS$1005,MATCH(791,'ITENS_MTR'!$AT$6:$AT$1005,0))&amp;"","")</f>
        <v/>
      </c>
    </row>
    <row r="797">
      <c r="AF797" t="str">
        <f>IFERROR(INDEX('ITENS_MTR'!$AS$6:$AS$1005,MATCH(792,'ITENS_MTR'!$AT$6:$AT$1005,0))&amp;"","")</f>
        <v/>
      </c>
    </row>
    <row r="798">
      <c r="AF798" t="str">
        <f>IFERROR(INDEX('ITENS_MTR'!$AS$6:$AS$1005,MATCH(793,'ITENS_MTR'!$AT$6:$AT$1005,0))&amp;"","")</f>
        <v/>
      </c>
    </row>
    <row r="799">
      <c r="AF799" t="str">
        <f>IFERROR(INDEX('ITENS_MTR'!$AS$6:$AS$1005,MATCH(794,'ITENS_MTR'!$AT$6:$AT$1005,0))&amp;"","")</f>
        <v/>
      </c>
    </row>
    <row r="800">
      <c r="AF800" t="str">
        <f>IFERROR(INDEX('ITENS_MTR'!$AS$6:$AS$1005,MATCH(795,'ITENS_MTR'!$AT$6:$AT$1005,0))&amp;"","")</f>
        <v/>
      </c>
    </row>
    <row r="801">
      <c r="AF801" t="str">
        <f>IFERROR(INDEX('ITENS_MTR'!$AS$6:$AS$1005,MATCH(796,'ITENS_MTR'!$AT$6:$AT$1005,0))&amp;"","")</f>
        <v/>
      </c>
    </row>
    <row r="802">
      <c r="AF802" t="str">
        <f>IFERROR(INDEX('ITENS_MTR'!$AS$6:$AS$1005,MATCH(797,'ITENS_MTR'!$AT$6:$AT$1005,0))&amp;"","")</f>
        <v/>
      </c>
    </row>
    <row r="803">
      <c r="AF803" t="str">
        <f>IFERROR(INDEX('ITENS_MTR'!$AS$6:$AS$1005,MATCH(798,'ITENS_MTR'!$AT$6:$AT$1005,0))&amp;"","")</f>
        <v/>
      </c>
    </row>
    <row r="804">
      <c r="AF804" t="str">
        <f>IFERROR(INDEX('ITENS_MTR'!$AS$6:$AS$1005,MATCH(799,'ITENS_MTR'!$AT$6:$AT$1005,0))&amp;"","")</f>
        <v/>
      </c>
    </row>
    <row r="805">
      <c r="AF805" t="str">
        <f>IFERROR(INDEX('ITENS_MTR'!$AS$6:$AS$1005,MATCH(800,'ITENS_MTR'!$AT$6:$AT$1005,0))&amp;"","")</f>
        <v/>
      </c>
    </row>
    <row r="806">
      <c r="AF806" t="str">
        <f>IFERROR(INDEX('ITENS_MTR'!$AS$6:$AS$1005,MATCH(801,'ITENS_MTR'!$AT$6:$AT$1005,0))&amp;"","")</f>
        <v/>
      </c>
    </row>
    <row r="807">
      <c r="AF807" t="str">
        <f>IFERROR(INDEX('ITENS_MTR'!$AS$6:$AS$1005,MATCH(802,'ITENS_MTR'!$AT$6:$AT$1005,0))&amp;"","")</f>
        <v/>
      </c>
    </row>
    <row r="808">
      <c r="AF808" t="str">
        <f>IFERROR(INDEX('ITENS_MTR'!$AS$6:$AS$1005,MATCH(803,'ITENS_MTR'!$AT$6:$AT$1005,0))&amp;"","")</f>
        <v/>
      </c>
    </row>
    <row r="809">
      <c r="AF809" t="str">
        <f>IFERROR(INDEX('ITENS_MTR'!$AS$6:$AS$1005,MATCH(804,'ITENS_MTR'!$AT$6:$AT$1005,0))&amp;"","")</f>
        <v/>
      </c>
    </row>
    <row r="810">
      <c r="AF810" t="str">
        <f>IFERROR(INDEX('ITENS_MTR'!$AS$6:$AS$1005,MATCH(805,'ITENS_MTR'!$AT$6:$AT$1005,0))&amp;"","")</f>
        <v/>
      </c>
    </row>
    <row r="811">
      <c r="AF811" t="str">
        <f>IFERROR(INDEX('ITENS_MTR'!$AS$6:$AS$1005,MATCH(806,'ITENS_MTR'!$AT$6:$AT$1005,0))&amp;"","")</f>
        <v/>
      </c>
    </row>
    <row r="812">
      <c r="AF812" t="str">
        <f>IFERROR(INDEX('ITENS_MTR'!$AS$6:$AS$1005,MATCH(807,'ITENS_MTR'!$AT$6:$AT$1005,0))&amp;"","")</f>
        <v/>
      </c>
    </row>
    <row r="813">
      <c r="AF813" t="str">
        <f>IFERROR(INDEX('ITENS_MTR'!$AS$6:$AS$1005,MATCH(808,'ITENS_MTR'!$AT$6:$AT$1005,0))&amp;"","")</f>
        <v/>
      </c>
    </row>
    <row r="814">
      <c r="AF814" t="str">
        <f>IFERROR(INDEX('ITENS_MTR'!$AS$6:$AS$1005,MATCH(809,'ITENS_MTR'!$AT$6:$AT$1005,0))&amp;"","")</f>
        <v/>
      </c>
    </row>
    <row r="815">
      <c r="AF815" t="str">
        <f>IFERROR(INDEX('ITENS_MTR'!$AS$6:$AS$1005,MATCH(810,'ITENS_MTR'!$AT$6:$AT$1005,0))&amp;"","")</f>
        <v/>
      </c>
    </row>
    <row r="816">
      <c r="AF816" t="str">
        <f>IFERROR(INDEX('ITENS_MTR'!$AS$6:$AS$1005,MATCH(811,'ITENS_MTR'!$AT$6:$AT$1005,0))&amp;"","")</f>
        <v/>
      </c>
    </row>
    <row r="817">
      <c r="AF817" t="str">
        <f>IFERROR(INDEX('ITENS_MTR'!$AS$6:$AS$1005,MATCH(812,'ITENS_MTR'!$AT$6:$AT$1005,0))&amp;"","")</f>
        <v/>
      </c>
    </row>
    <row r="818">
      <c r="AF818" t="str">
        <f>IFERROR(INDEX('ITENS_MTR'!$AS$6:$AS$1005,MATCH(813,'ITENS_MTR'!$AT$6:$AT$1005,0))&amp;"","")</f>
        <v/>
      </c>
    </row>
    <row r="819">
      <c r="AF819" t="str">
        <f>IFERROR(INDEX('ITENS_MTR'!$AS$6:$AS$1005,MATCH(814,'ITENS_MTR'!$AT$6:$AT$1005,0))&amp;"","")</f>
        <v/>
      </c>
    </row>
    <row r="820">
      <c r="AF820" t="str">
        <f>IFERROR(INDEX('ITENS_MTR'!$AS$6:$AS$1005,MATCH(815,'ITENS_MTR'!$AT$6:$AT$1005,0))&amp;"","")</f>
        <v/>
      </c>
    </row>
    <row r="821">
      <c r="AF821" t="str">
        <f>IFERROR(INDEX('ITENS_MTR'!$AS$6:$AS$1005,MATCH(816,'ITENS_MTR'!$AT$6:$AT$1005,0))&amp;"","")</f>
        <v/>
      </c>
    </row>
    <row r="822">
      <c r="AF822" t="str">
        <f>IFERROR(INDEX('ITENS_MTR'!$AS$6:$AS$1005,MATCH(817,'ITENS_MTR'!$AT$6:$AT$1005,0))&amp;"","")</f>
        <v/>
      </c>
    </row>
    <row r="823">
      <c r="AF823" t="str">
        <f>IFERROR(INDEX('ITENS_MTR'!$AS$6:$AS$1005,MATCH(818,'ITENS_MTR'!$AT$6:$AT$1005,0))&amp;"","")</f>
        <v/>
      </c>
    </row>
    <row r="824">
      <c r="AF824" t="str">
        <f>IFERROR(INDEX('ITENS_MTR'!$AS$6:$AS$1005,MATCH(819,'ITENS_MTR'!$AT$6:$AT$1005,0))&amp;"","")</f>
        <v/>
      </c>
    </row>
    <row r="825">
      <c r="AF825" t="str">
        <f>IFERROR(INDEX('ITENS_MTR'!$AS$6:$AS$1005,MATCH(820,'ITENS_MTR'!$AT$6:$AT$1005,0))&amp;"","")</f>
        <v/>
      </c>
    </row>
    <row r="826">
      <c r="AF826" t="str">
        <f>IFERROR(INDEX('ITENS_MTR'!$AS$6:$AS$1005,MATCH(821,'ITENS_MTR'!$AT$6:$AT$1005,0))&amp;"","")</f>
        <v/>
      </c>
    </row>
    <row r="827">
      <c r="AF827" t="str">
        <f>IFERROR(INDEX('ITENS_MTR'!$AS$6:$AS$1005,MATCH(822,'ITENS_MTR'!$AT$6:$AT$1005,0))&amp;"","")</f>
        <v/>
      </c>
    </row>
    <row r="828">
      <c r="AF828" t="str">
        <f>IFERROR(INDEX('ITENS_MTR'!$AS$6:$AS$1005,MATCH(823,'ITENS_MTR'!$AT$6:$AT$1005,0))&amp;"","")</f>
        <v/>
      </c>
    </row>
    <row r="829">
      <c r="AF829" t="str">
        <f>IFERROR(INDEX('ITENS_MTR'!$AS$6:$AS$1005,MATCH(824,'ITENS_MTR'!$AT$6:$AT$1005,0))&amp;"","")</f>
        <v/>
      </c>
    </row>
    <row r="830">
      <c r="AF830" t="str">
        <f>IFERROR(INDEX('ITENS_MTR'!$AS$6:$AS$1005,MATCH(825,'ITENS_MTR'!$AT$6:$AT$1005,0))&amp;"","")</f>
        <v/>
      </c>
    </row>
    <row r="831">
      <c r="AF831" t="str">
        <f>IFERROR(INDEX('ITENS_MTR'!$AS$6:$AS$1005,MATCH(826,'ITENS_MTR'!$AT$6:$AT$1005,0))&amp;"","")</f>
        <v/>
      </c>
    </row>
    <row r="832">
      <c r="AF832" t="str">
        <f>IFERROR(INDEX('ITENS_MTR'!$AS$6:$AS$1005,MATCH(827,'ITENS_MTR'!$AT$6:$AT$1005,0))&amp;"","")</f>
        <v/>
      </c>
    </row>
    <row r="833">
      <c r="AF833" t="str">
        <f>IFERROR(INDEX('ITENS_MTR'!$AS$6:$AS$1005,MATCH(828,'ITENS_MTR'!$AT$6:$AT$1005,0))&amp;"","")</f>
        <v/>
      </c>
    </row>
    <row r="834">
      <c r="AF834" t="str">
        <f>IFERROR(INDEX('ITENS_MTR'!$AS$6:$AS$1005,MATCH(829,'ITENS_MTR'!$AT$6:$AT$1005,0))&amp;"","")</f>
        <v/>
      </c>
    </row>
    <row r="835">
      <c r="AF835" t="str">
        <f>IFERROR(INDEX('ITENS_MTR'!$AS$6:$AS$1005,MATCH(830,'ITENS_MTR'!$AT$6:$AT$1005,0))&amp;"","")</f>
        <v/>
      </c>
    </row>
    <row r="836">
      <c r="AF836" t="str">
        <f>IFERROR(INDEX('ITENS_MTR'!$AS$6:$AS$1005,MATCH(831,'ITENS_MTR'!$AT$6:$AT$1005,0))&amp;"","")</f>
        <v/>
      </c>
    </row>
    <row r="837">
      <c r="AF837" t="str">
        <f>IFERROR(INDEX('ITENS_MTR'!$AS$6:$AS$1005,MATCH(832,'ITENS_MTR'!$AT$6:$AT$1005,0))&amp;"","")</f>
        <v/>
      </c>
    </row>
    <row r="838">
      <c r="AF838" t="str">
        <f>IFERROR(INDEX('ITENS_MTR'!$AS$6:$AS$1005,MATCH(833,'ITENS_MTR'!$AT$6:$AT$1005,0))&amp;"","")</f>
        <v/>
      </c>
    </row>
    <row r="839">
      <c r="AF839" t="str">
        <f>IFERROR(INDEX('ITENS_MTR'!$AS$6:$AS$1005,MATCH(834,'ITENS_MTR'!$AT$6:$AT$1005,0))&amp;"","")</f>
        <v/>
      </c>
    </row>
    <row r="840">
      <c r="AF840" t="str">
        <f>IFERROR(INDEX('ITENS_MTR'!$AS$6:$AS$1005,MATCH(835,'ITENS_MTR'!$AT$6:$AT$1005,0))&amp;"","")</f>
        <v/>
      </c>
    </row>
    <row r="841">
      <c r="AF841" t="str">
        <f>IFERROR(INDEX('ITENS_MTR'!$AS$6:$AS$1005,MATCH(836,'ITENS_MTR'!$AT$6:$AT$1005,0))&amp;"","")</f>
        <v/>
      </c>
    </row>
    <row r="842">
      <c r="AF842" t="str">
        <f>IFERROR(INDEX('ITENS_MTR'!$AS$6:$AS$1005,MATCH(837,'ITENS_MTR'!$AT$6:$AT$1005,0))&amp;"","")</f>
        <v/>
      </c>
    </row>
    <row r="843">
      <c r="AF843" t="str">
        <f>IFERROR(INDEX('ITENS_MTR'!$AS$6:$AS$1005,MATCH(838,'ITENS_MTR'!$AT$6:$AT$1005,0))&amp;"","")</f>
        <v/>
      </c>
    </row>
    <row r="844">
      <c r="AF844" t="str">
        <f>IFERROR(INDEX('ITENS_MTR'!$AS$6:$AS$1005,MATCH(839,'ITENS_MTR'!$AT$6:$AT$1005,0))&amp;"","")</f>
        <v/>
      </c>
    </row>
    <row r="845">
      <c r="AF845" t="str">
        <f>IFERROR(INDEX('ITENS_MTR'!$AS$6:$AS$1005,MATCH(840,'ITENS_MTR'!$AT$6:$AT$1005,0))&amp;"","")</f>
        <v/>
      </c>
    </row>
    <row r="846">
      <c r="AF846" t="str">
        <f>IFERROR(INDEX('ITENS_MTR'!$AS$6:$AS$1005,MATCH(841,'ITENS_MTR'!$AT$6:$AT$1005,0))&amp;"","")</f>
        <v/>
      </c>
    </row>
    <row r="847">
      <c r="AF847" t="str">
        <f>IFERROR(INDEX('ITENS_MTR'!$AS$6:$AS$1005,MATCH(842,'ITENS_MTR'!$AT$6:$AT$1005,0))&amp;"","")</f>
        <v/>
      </c>
    </row>
    <row r="848">
      <c r="AF848" t="str">
        <f>IFERROR(INDEX('ITENS_MTR'!$AS$6:$AS$1005,MATCH(843,'ITENS_MTR'!$AT$6:$AT$1005,0))&amp;"","")</f>
        <v/>
      </c>
    </row>
    <row r="849">
      <c r="AF849" t="str">
        <f>IFERROR(INDEX('ITENS_MTR'!$AS$6:$AS$1005,MATCH(844,'ITENS_MTR'!$AT$6:$AT$1005,0))&amp;"","")</f>
        <v/>
      </c>
    </row>
    <row r="850">
      <c r="AF850" t="str">
        <f>IFERROR(INDEX('ITENS_MTR'!$AS$6:$AS$1005,MATCH(845,'ITENS_MTR'!$AT$6:$AT$1005,0))&amp;"","")</f>
        <v/>
      </c>
    </row>
    <row r="851">
      <c r="AF851" t="str">
        <f>IFERROR(INDEX('ITENS_MTR'!$AS$6:$AS$1005,MATCH(846,'ITENS_MTR'!$AT$6:$AT$1005,0))&amp;"","")</f>
        <v/>
      </c>
    </row>
    <row r="852">
      <c r="AF852" t="str">
        <f>IFERROR(INDEX('ITENS_MTR'!$AS$6:$AS$1005,MATCH(847,'ITENS_MTR'!$AT$6:$AT$1005,0))&amp;"","")</f>
        <v/>
      </c>
    </row>
    <row r="853">
      <c r="AF853" t="str">
        <f>IFERROR(INDEX('ITENS_MTR'!$AS$6:$AS$1005,MATCH(848,'ITENS_MTR'!$AT$6:$AT$1005,0))&amp;"","")</f>
        <v/>
      </c>
    </row>
    <row r="854">
      <c r="AF854" t="str">
        <f>IFERROR(INDEX('ITENS_MTR'!$AS$6:$AS$1005,MATCH(849,'ITENS_MTR'!$AT$6:$AT$1005,0))&amp;"","")</f>
        <v/>
      </c>
    </row>
    <row r="855">
      <c r="AF855" t="str">
        <f>IFERROR(INDEX('ITENS_MTR'!$AS$6:$AS$1005,MATCH(850,'ITENS_MTR'!$AT$6:$AT$1005,0))&amp;"","")</f>
        <v/>
      </c>
    </row>
    <row r="856">
      <c r="AF856" t="str">
        <f>IFERROR(INDEX('ITENS_MTR'!$AS$6:$AS$1005,MATCH(851,'ITENS_MTR'!$AT$6:$AT$1005,0))&amp;"","")</f>
        <v/>
      </c>
    </row>
    <row r="857">
      <c r="AF857" t="str">
        <f>IFERROR(INDEX('ITENS_MTR'!$AS$6:$AS$1005,MATCH(852,'ITENS_MTR'!$AT$6:$AT$1005,0))&amp;"","")</f>
        <v/>
      </c>
    </row>
    <row r="858">
      <c r="AF858" t="str">
        <f>IFERROR(INDEX('ITENS_MTR'!$AS$6:$AS$1005,MATCH(853,'ITENS_MTR'!$AT$6:$AT$1005,0))&amp;"","")</f>
        <v/>
      </c>
    </row>
    <row r="859">
      <c r="AF859" t="str">
        <f>IFERROR(INDEX('ITENS_MTR'!$AS$6:$AS$1005,MATCH(854,'ITENS_MTR'!$AT$6:$AT$1005,0))&amp;"","")</f>
        <v/>
      </c>
    </row>
    <row r="860">
      <c r="AF860" t="str">
        <f>IFERROR(INDEX('ITENS_MTR'!$AS$6:$AS$1005,MATCH(855,'ITENS_MTR'!$AT$6:$AT$1005,0))&amp;"","")</f>
        <v/>
      </c>
    </row>
    <row r="861">
      <c r="AF861" t="str">
        <f>IFERROR(INDEX('ITENS_MTR'!$AS$6:$AS$1005,MATCH(856,'ITENS_MTR'!$AT$6:$AT$1005,0))&amp;"","")</f>
        <v/>
      </c>
    </row>
    <row r="862">
      <c r="AF862" t="str">
        <f>IFERROR(INDEX('ITENS_MTR'!$AS$6:$AS$1005,MATCH(857,'ITENS_MTR'!$AT$6:$AT$1005,0))&amp;"","")</f>
        <v/>
      </c>
    </row>
    <row r="863">
      <c r="AF863" t="str">
        <f>IFERROR(INDEX('ITENS_MTR'!$AS$6:$AS$1005,MATCH(858,'ITENS_MTR'!$AT$6:$AT$1005,0))&amp;"","")</f>
        <v/>
      </c>
    </row>
    <row r="864">
      <c r="AF864" t="str">
        <f>IFERROR(INDEX('ITENS_MTR'!$AS$6:$AS$1005,MATCH(859,'ITENS_MTR'!$AT$6:$AT$1005,0))&amp;"","")</f>
        <v/>
      </c>
    </row>
    <row r="865">
      <c r="AF865" t="str">
        <f>IFERROR(INDEX('ITENS_MTR'!$AS$6:$AS$1005,MATCH(860,'ITENS_MTR'!$AT$6:$AT$1005,0))&amp;"","")</f>
        <v/>
      </c>
    </row>
    <row r="866">
      <c r="AF866" t="str">
        <f>IFERROR(INDEX('ITENS_MTR'!$AS$6:$AS$1005,MATCH(861,'ITENS_MTR'!$AT$6:$AT$1005,0))&amp;"","")</f>
        <v/>
      </c>
    </row>
    <row r="867">
      <c r="AF867" t="str">
        <f>IFERROR(INDEX('ITENS_MTR'!$AS$6:$AS$1005,MATCH(862,'ITENS_MTR'!$AT$6:$AT$1005,0))&amp;"","")</f>
        <v/>
      </c>
    </row>
    <row r="868">
      <c r="AF868" t="str">
        <f>IFERROR(INDEX('ITENS_MTR'!$AS$6:$AS$1005,MATCH(863,'ITENS_MTR'!$AT$6:$AT$1005,0))&amp;"","")</f>
        <v/>
      </c>
    </row>
    <row r="869">
      <c r="AF869" t="str">
        <f>IFERROR(INDEX('ITENS_MTR'!$AS$6:$AS$1005,MATCH(864,'ITENS_MTR'!$AT$6:$AT$1005,0))&amp;"","")</f>
        <v/>
      </c>
    </row>
    <row r="870">
      <c r="AF870" t="str">
        <f>IFERROR(INDEX('ITENS_MTR'!$AS$6:$AS$1005,MATCH(865,'ITENS_MTR'!$AT$6:$AT$1005,0))&amp;"","")</f>
        <v/>
      </c>
    </row>
    <row r="871">
      <c r="AF871" t="str">
        <f>IFERROR(INDEX('ITENS_MTR'!$AS$6:$AS$1005,MATCH(866,'ITENS_MTR'!$AT$6:$AT$1005,0))&amp;"","")</f>
        <v/>
      </c>
    </row>
    <row r="872">
      <c r="AF872" t="str">
        <f>IFERROR(INDEX('ITENS_MTR'!$AS$6:$AS$1005,MATCH(867,'ITENS_MTR'!$AT$6:$AT$1005,0))&amp;"","")</f>
        <v/>
      </c>
    </row>
    <row r="873">
      <c r="AF873" t="str">
        <f>IFERROR(INDEX('ITENS_MTR'!$AS$6:$AS$1005,MATCH(868,'ITENS_MTR'!$AT$6:$AT$1005,0))&amp;"","")</f>
        <v/>
      </c>
    </row>
    <row r="874">
      <c r="AF874" t="str">
        <f>IFERROR(INDEX('ITENS_MTR'!$AS$6:$AS$1005,MATCH(869,'ITENS_MTR'!$AT$6:$AT$1005,0))&amp;"","")</f>
        <v/>
      </c>
    </row>
    <row r="875">
      <c r="AF875" t="str">
        <f>IFERROR(INDEX('ITENS_MTR'!$AS$6:$AS$1005,MATCH(870,'ITENS_MTR'!$AT$6:$AT$1005,0))&amp;"","")</f>
        <v/>
      </c>
    </row>
    <row r="876">
      <c r="AF876" t="str">
        <f>IFERROR(INDEX('ITENS_MTR'!$AS$6:$AS$1005,MATCH(871,'ITENS_MTR'!$AT$6:$AT$1005,0))&amp;"","")</f>
        <v/>
      </c>
    </row>
    <row r="877">
      <c r="AF877" t="str">
        <f>IFERROR(INDEX('ITENS_MTR'!$AS$6:$AS$1005,MATCH(872,'ITENS_MTR'!$AT$6:$AT$1005,0))&amp;"","")</f>
        <v/>
      </c>
    </row>
    <row r="878">
      <c r="AF878" t="str">
        <f>IFERROR(INDEX('ITENS_MTR'!$AS$6:$AS$1005,MATCH(873,'ITENS_MTR'!$AT$6:$AT$1005,0))&amp;"","")</f>
        <v/>
      </c>
    </row>
    <row r="879">
      <c r="AF879" t="str">
        <f>IFERROR(INDEX('ITENS_MTR'!$AS$6:$AS$1005,MATCH(874,'ITENS_MTR'!$AT$6:$AT$1005,0))&amp;"","")</f>
        <v/>
      </c>
    </row>
    <row r="880">
      <c r="AF880" t="str">
        <f>IFERROR(INDEX('ITENS_MTR'!$AS$6:$AS$1005,MATCH(875,'ITENS_MTR'!$AT$6:$AT$1005,0))&amp;"","")</f>
        <v/>
      </c>
    </row>
    <row r="881">
      <c r="AF881" t="str">
        <f>IFERROR(INDEX('ITENS_MTR'!$AS$6:$AS$1005,MATCH(876,'ITENS_MTR'!$AT$6:$AT$1005,0))&amp;"","")</f>
        <v/>
      </c>
    </row>
    <row r="882">
      <c r="AF882" t="str">
        <f>IFERROR(INDEX('ITENS_MTR'!$AS$6:$AS$1005,MATCH(877,'ITENS_MTR'!$AT$6:$AT$1005,0))&amp;"","")</f>
        <v/>
      </c>
    </row>
    <row r="883">
      <c r="AF883" t="str">
        <f>IFERROR(INDEX('ITENS_MTR'!$AS$6:$AS$1005,MATCH(878,'ITENS_MTR'!$AT$6:$AT$1005,0))&amp;"","")</f>
        <v/>
      </c>
    </row>
    <row r="884">
      <c r="AF884" t="str">
        <f>IFERROR(INDEX('ITENS_MTR'!$AS$6:$AS$1005,MATCH(879,'ITENS_MTR'!$AT$6:$AT$1005,0))&amp;"","")</f>
        <v/>
      </c>
    </row>
    <row r="885">
      <c r="AF885" t="str">
        <f>IFERROR(INDEX('ITENS_MTR'!$AS$6:$AS$1005,MATCH(880,'ITENS_MTR'!$AT$6:$AT$1005,0))&amp;"","")</f>
        <v/>
      </c>
    </row>
    <row r="886">
      <c r="AF886" t="str">
        <f>IFERROR(INDEX('ITENS_MTR'!$AS$6:$AS$1005,MATCH(881,'ITENS_MTR'!$AT$6:$AT$1005,0))&amp;"","")</f>
        <v/>
      </c>
    </row>
    <row r="887">
      <c r="AF887" t="str">
        <f>IFERROR(INDEX('ITENS_MTR'!$AS$6:$AS$1005,MATCH(882,'ITENS_MTR'!$AT$6:$AT$1005,0))&amp;"","")</f>
        <v/>
      </c>
    </row>
    <row r="888">
      <c r="AF888" t="str">
        <f>IFERROR(INDEX('ITENS_MTR'!$AS$6:$AS$1005,MATCH(883,'ITENS_MTR'!$AT$6:$AT$1005,0))&amp;"","")</f>
        <v/>
      </c>
    </row>
    <row r="889">
      <c r="AF889" t="str">
        <f>IFERROR(INDEX('ITENS_MTR'!$AS$6:$AS$1005,MATCH(884,'ITENS_MTR'!$AT$6:$AT$1005,0))&amp;"","")</f>
        <v/>
      </c>
    </row>
    <row r="890">
      <c r="AF890" t="str">
        <f>IFERROR(INDEX('ITENS_MTR'!$AS$6:$AS$1005,MATCH(885,'ITENS_MTR'!$AT$6:$AT$1005,0))&amp;"","")</f>
        <v/>
      </c>
    </row>
    <row r="891">
      <c r="AF891" t="str">
        <f>IFERROR(INDEX('ITENS_MTR'!$AS$6:$AS$1005,MATCH(886,'ITENS_MTR'!$AT$6:$AT$1005,0))&amp;"","")</f>
        <v/>
      </c>
    </row>
    <row r="892">
      <c r="AF892" t="str">
        <f>IFERROR(INDEX('ITENS_MTR'!$AS$6:$AS$1005,MATCH(887,'ITENS_MTR'!$AT$6:$AT$1005,0))&amp;"","")</f>
        <v/>
      </c>
    </row>
    <row r="893">
      <c r="AF893" t="str">
        <f>IFERROR(INDEX('ITENS_MTR'!$AS$6:$AS$1005,MATCH(888,'ITENS_MTR'!$AT$6:$AT$1005,0))&amp;"","")</f>
        <v/>
      </c>
    </row>
    <row r="894">
      <c r="AF894" t="str">
        <f>IFERROR(INDEX('ITENS_MTR'!$AS$6:$AS$1005,MATCH(889,'ITENS_MTR'!$AT$6:$AT$1005,0))&amp;"","")</f>
        <v/>
      </c>
    </row>
    <row r="895">
      <c r="AF895" t="str">
        <f>IFERROR(INDEX('ITENS_MTR'!$AS$6:$AS$1005,MATCH(890,'ITENS_MTR'!$AT$6:$AT$1005,0))&amp;"","")</f>
        <v/>
      </c>
    </row>
    <row r="896">
      <c r="AF896" t="str">
        <f>IFERROR(INDEX('ITENS_MTR'!$AS$6:$AS$1005,MATCH(891,'ITENS_MTR'!$AT$6:$AT$1005,0))&amp;"","")</f>
        <v/>
      </c>
    </row>
    <row r="897">
      <c r="AF897" t="str">
        <f>IFERROR(INDEX('ITENS_MTR'!$AS$6:$AS$1005,MATCH(892,'ITENS_MTR'!$AT$6:$AT$1005,0))&amp;"","")</f>
        <v/>
      </c>
    </row>
    <row r="898">
      <c r="AF898" t="str">
        <f>IFERROR(INDEX('ITENS_MTR'!$AS$6:$AS$1005,MATCH(893,'ITENS_MTR'!$AT$6:$AT$1005,0))&amp;"","")</f>
        <v/>
      </c>
    </row>
    <row r="899">
      <c r="AF899" t="str">
        <f>IFERROR(INDEX('ITENS_MTR'!$AS$6:$AS$1005,MATCH(894,'ITENS_MTR'!$AT$6:$AT$1005,0))&amp;"","")</f>
        <v/>
      </c>
    </row>
    <row r="900">
      <c r="AF900" t="str">
        <f>IFERROR(INDEX('ITENS_MTR'!$AS$6:$AS$1005,MATCH(895,'ITENS_MTR'!$AT$6:$AT$1005,0))&amp;"","")</f>
        <v/>
      </c>
    </row>
    <row r="901">
      <c r="AF901" t="str">
        <f>IFERROR(INDEX('ITENS_MTR'!$AS$6:$AS$1005,MATCH(896,'ITENS_MTR'!$AT$6:$AT$1005,0))&amp;"","")</f>
        <v/>
      </c>
    </row>
    <row r="902">
      <c r="AF902" t="str">
        <f>IFERROR(INDEX('ITENS_MTR'!$AS$6:$AS$1005,MATCH(897,'ITENS_MTR'!$AT$6:$AT$1005,0))&amp;"","")</f>
        <v/>
      </c>
    </row>
    <row r="903">
      <c r="AF903" t="str">
        <f>IFERROR(INDEX('ITENS_MTR'!$AS$6:$AS$1005,MATCH(898,'ITENS_MTR'!$AT$6:$AT$1005,0))&amp;"","")</f>
        <v/>
      </c>
    </row>
    <row r="904">
      <c r="AF904" t="str">
        <f>IFERROR(INDEX('ITENS_MTR'!$AS$6:$AS$1005,MATCH(899,'ITENS_MTR'!$AT$6:$AT$1005,0))&amp;"","")</f>
        <v/>
      </c>
    </row>
    <row r="905">
      <c r="AF905" t="str">
        <f>IFERROR(INDEX('ITENS_MTR'!$AS$6:$AS$1005,MATCH(900,'ITENS_MTR'!$AT$6:$AT$1005,0))&amp;"","")</f>
        <v/>
      </c>
    </row>
    <row r="906">
      <c r="AF906" t="str">
        <f>IFERROR(INDEX('ITENS_MTR'!$AS$6:$AS$1005,MATCH(901,'ITENS_MTR'!$AT$6:$AT$1005,0))&amp;"","")</f>
        <v/>
      </c>
    </row>
    <row r="907">
      <c r="AF907" t="str">
        <f>IFERROR(INDEX('ITENS_MTR'!$AS$6:$AS$1005,MATCH(902,'ITENS_MTR'!$AT$6:$AT$1005,0))&amp;"","")</f>
        <v/>
      </c>
    </row>
    <row r="908">
      <c r="AF908" t="str">
        <f>IFERROR(INDEX('ITENS_MTR'!$AS$6:$AS$1005,MATCH(903,'ITENS_MTR'!$AT$6:$AT$1005,0))&amp;"","")</f>
        <v/>
      </c>
    </row>
    <row r="909">
      <c r="AF909" t="str">
        <f>IFERROR(INDEX('ITENS_MTR'!$AS$6:$AS$1005,MATCH(904,'ITENS_MTR'!$AT$6:$AT$1005,0))&amp;"","")</f>
        <v/>
      </c>
    </row>
    <row r="910">
      <c r="AF910" t="str">
        <f>IFERROR(INDEX('ITENS_MTR'!$AS$6:$AS$1005,MATCH(905,'ITENS_MTR'!$AT$6:$AT$1005,0))&amp;"","")</f>
        <v/>
      </c>
    </row>
    <row r="911">
      <c r="AF911" t="str">
        <f>IFERROR(INDEX('ITENS_MTR'!$AS$6:$AS$1005,MATCH(906,'ITENS_MTR'!$AT$6:$AT$1005,0))&amp;"","")</f>
        <v/>
      </c>
    </row>
    <row r="912">
      <c r="AF912" t="str">
        <f>IFERROR(INDEX('ITENS_MTR'!$AS$6:$AS$1005,MATCH(907,'ITENS_MTR'!$AT$6:$AT$1005,0))&amp;"","")</f>
        <v/>
      </c>
    </row>
    <row r="913">
      <c r="AF913" t="str">
        <f>IFERROR(INDEX('ITENS_MTR'!$AS$6:$AS$1005,MATCH(908,'ITENS_MTR'!$AT$6:$AT$1005,0))&amp;"","")</f>
        <v/>
      </c>
    </row>
    <row r="914">
      <c r="AF914" t="str">
        <f>IFERROR(INDEX('ITENS_MTR'!$AS$6:$AS$1005,MATCH(909,'ITENS_MTR'!$AT$6:$AT$1005,0))&amp;"","")</f>
        <v/>
      </c>
    </row>
    <row r="915">
      <c r="AF915" t="str">
        <f>IFERROR(INDEX('ITENS_MTR'!$AS$6:$AS$1005,MATCH(910,'ITENS_MTR'!$AT$6:$AT$1005,0))&amp;"","")</f>
        <v/>
      </c>
    </row>
    <row r="916">
      <c r="AF916" t="str">
        <f>IFERROR(INDEX('ITENS_MTR'!$AS$6:$AS$1005,MATCH(911,'ITENS_MTR'!$AT$6:$AT$1005,0))&amp;"","")</f>
        <v/>
      </c>
    </row>
    <row r="917">
      <c r="AF917" t="str">
        <f>IFERROR(INDEX('ITENS_MTR'!$AS$6:$AS$1005,MATCH(912,'ITENS_MTR'!$AT$6:$AT$1005,0))&amp;"","")</f>
        <v/>
      </c>
    </row>
    <row r="918">
      <c r="AF918" t="str">
        <f>IFERROR(INDEX('ITENS_MTR'!$AS$6:$AS$1005,MATCH(913,'ITENS_MTR'!$AT$6:$AT$1005,0))&amp;"","")</f>
        <v/>
      </c>
    </row>
    <row r="919">
      <c r="AF919" t="str">
        <f>IFERROR(INDEX('ITENS_MTR'!$AS$6:$AS$1005,MATCH(914,'ITENS_MTR'!$AT$6:$AT$1005,0))&amp;"","")</f>
        <v/>
      </c>
    </row>
    <row r="920">
      <c r="AF920" t="str">
        <f>IFERROR(INDEX('ITENS_MTR'!$AS$6:$AS$1005,MATCH(915,'ITENS_MTR'!$AT$6:$AT$1005,0))&amp;"","")</f>
        <v/>
      </c>
    </row>
    <row r="921">
      <c r="AF921" t="str">
        <f>IFERROR(INDEX('ITENS_MTR'!$AS$6:$AS$1005,MATCH(916,'ITENS_MTR'!$AT$6:$AT$1005,0))&amp;"","")</f>
        <v/>
      </c>
    </row>
    <row r="922">
      <c r="AF922" t="str">
        <f>IFERROR(INDEX('ITENS_MTR'!$AS$6:$AS$1005,MATCH(917,'ITENS_MTR'!$AT$6:$AT$1005,0))&amp;"","")</f>
        <v/>
      </c>
    </row>
    <row r="923">
      <c r="AF923" t="str">
        <f>IFERROR(INDEX('ITENS_MTR'!$AS$6:$AS$1005,MATCH(918,'ITENS_MTR'!$AT$6:$AT$1005,0))&amp;"","")</f>
        <v/>
      </c>
    </row>
    <row r="924">
      <c r="AF924" t="str">
        <f>IFERROR(INDEX('ITENS_MTR'!$AS$6:$AS$1005,MATCH(919,'ITENS_MTR'!$AT$6:$AT$1005,0))&amp;"","")</f>
        <v/>
      </c>
    </row>
    <row r="925">
      <c r="AF925" t="str">
        <f>IFERROR(INDEX('ITENS_MTR'!$AS$6:$AS$1005,MATCH(920,'ITENS_MTR'!$AT$6:$AT$1005,0))&amp;"","")</f>
        <v/>
      </c>
    </row>
    <row r="926">
      <c r="AF926" t="str">
        <f>IFERROR(INDEX('ITENS_MTR'!$AS$6:$AS$1005,MATCH(921,'ITENS_MTR'!$AT$6:$AT$1005,0))&amp;"","")</f>
        <v/>
      </c>
    </row>
    <row r="927">
      <c r="AF927" t="str">
        <f>IFERROR(INDEX('ITENS_MTR'!$AS$6:$AS$1005,MATCH(922,'ITENS_MTR'!$AT$6:$AT$1005,0))&amp;"","")</f>
        <v/>
      </c>
    </row>
    <row r="928">
      <c r="AF928" t="str">
        <f>IFERROR(INDEX('ITENS_MTR'!$AS$6:$AS$1005,MATCH(923,'ITENS_MTR'!$AT$6:$AT$1005,0))&amp;"","")</f>
        <v/>
      </c>
    </row>
    <row r="929">
      <c r="AF929" t="str">
        <f>IFERROR(INDEX('ITENS_MTR'!$AS$6:$AS$1005,MATCH(924,'ITENS_MTR'!$AT$6:$AT$1005,0))&amp;"","")</f>
        <v/>
      </c>
    </row>
    <row r="930">
      <c r="AF930" t="str">
        <f>IFERROR(INDEX('ITENS_MTR'!$AS$6:$AS$1005,MATCH(925,'ITENS_MTR'!$AT$6:$AT$1005,0))&amp;"","")</f>
        <v/>
      </c>
    </row>
    <row r="931">
      <c r="AF931" t="str">
        <f>IFERROR(INDEX('ITENS_MTR'!$AS$6:$AS$1005,MATCH(926,'ITENS_MTR'!$AT$6:$AT$1005,0))&amp;"","")</f>
        <v/>
      </c>
    </row>
    <row r="932">
      <c r="AF932" t="str">
        <f>IFERROR(INDEX('ITENS_MTR'!$AS$6:$AS$1005,MATCH(927,'ITENS_MTR'!$AT$6:$AT$1005,0))&amp;"","")</f>
        <v/>
      </c>
    </row>
    <row r="933">
      <c r="AF933" t="str">
        <f>IFERROR(INDEX('ITENS_MTR'!$AS$6:$AS$1005,MATCH(928,'ITENS_MTR'!$AT$6:$AT$1005,0))&amp;"","")</f>
        <v/>
      </c>
    </row>
    <row r="934">
      <c r="AF934" t="str">
        <f>IFERROR(INDEX('ITENS_MTR'!$AS$6:$AS$1005,MATCH(929,'ITENS_MTR'!$AT$6:$AT$1005,0))&amp;"","")</f>
        <v/>
      </c>
    </row>
    <row r="935">
      <c r="AF935" t="str">
        <f>IFERROR(INDEX('ITENS_MTR'!$AS$6:$AS$1005,MATCH(930,'ITENS_MTR'!$AT$6:$AT$1005,0))&amp;"","")</f>
        <v/>
      </c>
    </row>
    <row r="936">
      <c r="AF936" t="str">
        <f>IFERROR(INDEX('ITENS_MTR'!$AS$6:$AS$1005,MATCH(931,'ITENS_MTR'!$AT$6:$AT$1005,0))&amp;"","")</f>
        <v/>
      </c>
    </row>
    <row r="937">
      <c r="AF937" t="str">
        <f>IFERROR(INDEX('ITENS_MTR'!$AS$6:$AS$1005,MATCH(932,'ITENS_MTR'!$AT$6:$AT$1005,0))&amp;"","")</f>
        <v/>
      </c>
    </row>
    <row r="938">
      <c r="AF938" t="str">
        <f>IFERROR(INDEX('ITENS_MTR'!$AS$6:$AS$1005,MATCH(933,'ITENS_MTR'!$AT$6:$AT$1005,0))&amp;"","")</f>
        <v/>
      </c>
    </row>
    <row r="939">
      <c r="AF939" t="str">
        <f>IFERROR(INDEX('ITENS_MTR'!$AS$6:$AS$1005,MATCH(934,'ITENS_MTR'!$AT$6:$AT$1005,0))&amp;"","")</f>
        <v/>
      </c>
    </row>
    <row r="940">
      <c r="AF940" t="str">
        <f>IFERROR(INDEX('ITENS_MTR'!$AS$6:$AS$1005,MATCH(935,'ITENS_MTR'!$AT$6:$AT$1005,0))&amp;"","")</f>
        <v/>
      </c>
    </row>
    <row r="941">
      <c r="AF941" t="str">
        <f>IFERROR(INDEX('ITENS_MTR'!$AS$6:$AS$1005,MATCH(936,'ITENS_MTR'!$AT$6:$AT$1005,0))&amp;"","")</f>
        <v/>
      </c>
    </row>
    <row r="942">
      <c r="AF942" t="str">
        <f>IFERROR(INDEX('ITENS_MTR'!$AS$6:$AS$1005,MATCH(937,'ITENS_MTR'!$AT$6:$AT$1005,0))&amp;"","")</f>
        <v/>
      </c>
    </row>
    <row r="943">
      <c r="AF943" t="str">
        <f>IFERROR(INDEX('ITENS_MTR'!$AS$6:$AS$1005,MATCH(938,'ITENS_MTR'!$AT$6:$AT$1005,0))&amp;"","")</f>
        <v/>
      </c>
    </row>
    <row r="944">
      <c r="AF944" t="str">
        <f>IFERROR(INDEX('ITENS_MTR'!$AS$6:$AS$1005,MATCH(939,'ITENS_MTR'!$AT$6:$AT$1005,0))&amp;"","")</f>
        <v/>
      </c>
    </row>
    <row r="945">
      <c r="AF945" t="str">
        <f>IFERROR(INDEX('ITENS_MTR'!$AS$6:$AS$1005,MATCH(940,'ITENS_MTR'!$AT$6:$AT$1005,0))&amp;"","")</f>
        <v/>
      </c>
    </row>
    <row r="946">
      <c r="AF946" t="str">
        <f>IFERROR(INDEX('ITENS_MTR'!$AS$6:$AS$1005,MATCH(941,'ITENS_MTR'!$AT$6:$AT$1005,0))&amp;"","")</f>
        <v/>
      </c>
    </row>
    <row r="947">
      <c r="AF947" t="str">
        <f>IFERROR(INDEX('ITENS_MTR'!$AS$6:$AS$1005,MATCH(942,'ITENS_MTR'!$AT$6:$AT$1005,0))&amp;"","")</f>
        <v/>
      </c>
    </row>
    <row r="948">
      <c r="AF948" t="str">
        <f>IFERROR(INDEX('ITENS_MTR'!$AS$6:$AS$1005,MATCH(943,'ITENS_MTR'!$AT$6:$AT$1005,0))&amp;"","")</f>
        <v/>
      </c>
    </row>
    <row r="949">
      <c r="AF949" t="str">
        <f>IFERROR(INDEX('ITENS_MTR'!$AS$6:$AS$1005,MATCH(944,'ITENS_MTR'!$AT$6:$AT$1005,0))&amp;"","")</f>
        <v/>
      </c>
    </row>
    <row r="950">
      <c r="AF950" t="str">
        <f>IFERROR(INDEX('ITENS_MTR'!$AS$6:$AS$1005,MATCH(945,'ITENS_MTR'!$AT$6:$AT$1005,0))&amp;"","")</f>
        <v/>
      </c>
    </row>
    <row r="951">
      <c r="AF951" t="str">
        <f>IFERROR(INDEX('ITENS_MTR'!$AS$6:$AS$1005,MATCH(946,'ITENS_MTR'!$AT$6:$AT$1005,0))&amp;"","")</f>
        <v/>
      </c>
    </row>
    <row r="952">
      <c r="AF952" t="str">
        <f>IFERROR(INDEX('ITENS_MTR'!$AS$6:$AS$1005,MATCH(947,'ITENS_MTR'!$AT$6:$AT$1005,0))&amp;"","")</f>
        <v/>
      </c>
    </row>
    <row r="953">
      <c r="AF953" t="str">
        <f>IFERROR(INDEX('ITENS_MTR'!$AS$6:$AS$1005,MATCH(948,'ITENS_MTR'!$AT$6:$AT$1005,0))&amp;"","")</f>
        <v/>
      </c>
    </row>
    <row r="954">
      <c r="AF954" t="str">
        <f>IFERROR(INDEX('ITENS_MTR'!$AS$6:$AS$1005,MATCH(949,'ITENS_MTR'!$AT$6:$AT$1005,0))&amp;"","")</f>
        <v/>
      </c>
    </row>
    <row r="955">
      <c r="AF955" t="str">
        <f>IFERROR(INDEX('ITENS_MTR'!$AS$6:$AS$1005,MATCH(950,'ITENS_MTR'!$AT$6:$AT$1005,0))&amp;"","")</f>
        <v/>
      </c>
    </row>
    <row r="956">
      <c r="AF956" t="str">
        <f>IFERROR(INDEX('ITENS_MTR'!$AS$6:$AS$1005,MATCH(951,'ITENS_MTR'!$AT$6:$AT$1005,0))&amp;"","")</f>
        <v/>
      </c>
    </row>
    <row r="957">
      <c r="AF957" t="str">
        <f>IFERROR(INDEX('ITENS_MTR'!$AS$6:$AS$1005,MATCH(952,'ITENS_MTR'!$AT$6:$AT$1005,0))&amp;"","")</f>
        <v/>
      </c>
    </row>
    <row r="958">
      <c r="AF958" t="str">
        <f>IFERROR(INDEX('ITENS_MTR'!$AS$6:$AS$1005,MATCH(953,'ITENS_MTR'!$AT$6:$AT$1005,0))&amp;"","")</f>
        <v/>
      </c>
    </row>
    <row r="959">
      <c r="AF959" t="str">
        <f>IFERROR(INDEX('ITENS_MTR'!$AS$6:$AS$1005,MATCH(954,'ITENS_MTR'!$AT$6:$AT$1005,0))&amp;"","")</f>
        <v/>
      </c>
    </row>
    <row r="960">
      <c r="AF960" t="str">
        <f>IFERROR(INDEX('ITENS_MTR'!$AS$6:$AS$1005,MATCH(955,'ITENS_MTR'!$AT$6:$AT$1005,0))&amp;"","")</f>
        <v/>
      </c>
    </row>
    <row r="961">
      <c r="AF961" t="str">
        <f>IFERROR(INDEX('ITENS_MTR'!$AS$6:$AS$1005,MATCH(956,'ITENS_MTR'!$AT$6:$AT$1005,0))&amp;"","")</f>
        <v/>
      </c>
    </row>
    <row r="962">
      <c r="AF962" t="str">
        <f>IFERROR(INDEX('ITENS_MTR'!$AS$6:$AS$1005,MATCH(957,'ITENS_MTR'!$AT$6:$AT$1005,0))&amp;"","")</f>
        <v/>
      </c>
    </row>
    <row r="963">
      <c r="AF963" t="str">
        <f>IFERROR(INDEX('ITENS_MTR'!$AS$6:$AS$1005,MATCH(958,'ITENS_MTR'!$AT$6:$AT$1005,0))&amp;"","")</f>
        <v/>
      </c>
    </row>
    <row r="964">
      <c r="AF964" t="str">
        <f>IFERROR(INDEX('ITENS_MTR'!$AS$6:$AS$1005,MATCH(959,'ITENS_MTR'!$AT$6:$AT$1005,0))&amp;"","")</f>
        <v/>
      </c>
    </row>
    <row r="965">
      <c r="AF965" t="str">
        <f>IFERROR(INDEX('ITENS_MTR'!$AS$6:$AS$1005,MATCH(960,'ITENS_MTR'!$AT$6:$AT$1005,0))&amp;"","")</f>
        <v/>
      </c>
    </row>
    <row r="966">
      <c r="AF966" t="str">
        <f>IFERROR(INDEX('ITENS_MTR'!$AS$6:$AS$1005,MATCH(961,'ITENS_MTR'!$AT$6:$AT$1005,0))&amp;"","")</f>
        <v/>
      </c>
    </row>
    <row r="967">
      <c r="AF967" t="str">
        <f>IFERROR(INDEX('ITENS_MTR'!$AS$6:$AS$1005,MATCH(962,'ITENS_MTR'!$AT$6:$AT$1005,0))&amp;"","")</f>
        <v/>
      </c>
    </row>
    <row r="968">
      <c r="AF968" t="str">
        <f>IFERROR(INDEX('ITENS_MTR'!$AS$6:$AS$1005,MATCH(963,'ITENS_MTR'!$AT$6:$AT$1005,0))&amp;"","")</f>
        <v/>
      </c>
    </row>
    <row r="969">
      <c r="AF969" t="str">
        <f>IFERROR(INDEX('ITENS_MTR'!$AS$6:$AS$1005,MATCH(964,'ITENS_MTR'!$AT$6:$AT$1005,0))&amp;"","")</f>
        <v/>
      </c>
    </row>
    <row r="970">
      <c r="AF970" t="str">
        <f>IFERROR(INDEX('ITENS_MTR'!$AS$6:$AS$1005,MATCH(965,'ITENS_MTR'!$AT$6:$AT$1005,0))&amp;"","")</f>
        <v/>
      </c>
    </row>
    <row r="971">
      <c r="AF971" t="str">
        <f>IFERROR(INDEX('ITENS_MTR'!$AS$6:$AS$1005,MATCH(966,'ITENS_MTR'!$AT$6:$AT$1005,0))&amp;"","")</f>
        <v/>
      </c>
    </row>
    <row r="972">
      <c r="AF972" t="str">
        <f>IFERROR(INDEX('ITENS_MTR'!$AS$6:$AS$1005,MATCH(967,'ITENS_MTR'!$AT$6:$AT$1005,0))&amp;"","")</f>
        <v/>
      </c>
    </row>
    <row r="973">
      <c r="AF973" t="str">
        <f>IFERROR(INDEX('ITENS_MTR'!$AS$6:$AS$1005,MATCH(968,'ITENS_MTR'!$AT$6:$AT$1005,0))&amp;"","")</f>
        <v/>
      </c>
    </row>
    <row r="974">
      <c r="AF974" t="str">
        <f>IFERROR(INDEX('ITENS_MTR'!$AS$6:$AS$1005,MATCH(969,'ITENS_MTR'!$AT$6:$AT$1005,0))&amp;"","")</f>
        <v/>
      </c>
    </row>
    <row r="975">
      <c r="AF975" t="str">
        <f>IFERROR(INDEX('ITENS_MTR'!$AS$6:$AS$1005,MATCH(970,'ITENS_MTR'!$AT$6:$AT$1005,0))&amp;"","")</f>
        <v/>
      </c>
    </row>
    <row r="976">
      <c r="AF976" t="str">
        <f>IFERROR(INDEX('ITENS_MTR'!$AS$6:$AS$1005,MATCH(971,'ITENS_MTR'!$AT$6:$AT$1005,0))&amp;"","")</f>
        <v/>
      </c>
    </row>
    <row r="977">
      <c r="AF977" t="str">
        <f>IFERROR(INDEX('ITENS_MTR'!$AS$6:$AS$1005,MATCH(972,'ITENS_MTR'!$AT$6:$AT$1005,0))&amp;"","")</f>
        <v/>
      </c>
    </row>
    <row r="978">
      <c r="AF978" t="str">
        <f>IFERROR(INDEX('ITENS_MTR'!$AS$6:$AS$1005,MATCH(973,'ITENS_MTR'!$AT$6:$AT$1005,0))&amp;"","")</f>
        <v/>
      </c>
    </row>
    <row r="979">
      <c r="AF979" t="str">
        <f>IFERROR(INDEX('ITENS_MTR'!$AS$6:$AS$1005,MATCH(974,'ITENS_MTR'!$AT$6:$AT$1005,0))&amp;"","")</f>
        <v/>
      </c>
    </row>
    <row r="980">
      <c r="AF980" t="str">
        <f>IFERROR(INDEX('ITENS_MTR'!$AS$6:$AS$1005,MATCH(975,'ITENS_MTR'!$AT$6:$AT$1005,0))&amp;"","")</f>
        <v/>
      </c>
    </row>
    <row r="981">
      <c r="AF981" t="str">
        <f>IFERROR(INDEX('ITENS_MTR'!$AS$6:$AS$1005,MATCH(976,'ITENS_MTR'!$AT$6:$AT$1005,0))&amp;"","")</f>
        <v/>
      </c>
    </row>
    <row r="982">
      <c r="AF982" t="str">
        <f>IFERROR(INDEX('ITENS_MTR'!$AS$6:$AS$1005,MATCH(977,'ITENS_MTR'!$AT$6:$AT$1005,0))&amp;"","")</f>
        <v/>
      </c>
    </row>
    <row r="983">
      <c r="AF983" t="str">
        <f>IFERROR(INDEX('ITENS_MTR'!$AS$6:$AS$1005,MATCH(978,'ITENS_MTR'!$AT$6:$AT$1005,0))&amp;"","")</f>
        <v/>
      </c>
    </row>
    <row r="984">
      <c r="AF984" t="str">
        <f>IFERROR(INDEX('ITENS_MTR'!$AS$6:$AS$1005,MATCH(979,'ITENS_MTR'!$AT$6:$AT$1005,0))&amp;"","")</f>
        <v/>
      </c>
    </row>
    <row r="985">
      <c r="AF985" t="str">
        <f>IFERROR(INDEX('ITENS_MTR'!$AS$6:$AS$1005,MATCH(980,'ITENS_MTR'!$AT$6:$AT$1005,0))&amp;"","")</f>
        <v/>
      </c>
    </row>
    <row r="986">
      <c r="AF986" t="str">
        <f>IFERROR(INDEX('ITENS_MTR'!$AS$6:$AS$1005,MATCH(981,'ITENS_MTR'!$AT$6:$AT$1005,0))&amp;"","")</f>
        <v/>
      </c>
    </row>
    <row r="987">
      <c r="AF987" t="str">
        <f>IFERROR(INDEX('ITENS_MTR'!$AS$6:$AS$1005,MATCH(982,'ITENS_MTR'!$AT$6:$AT$1005,0))&amp;"","")</f>
        <v/>
      </c>
    </row>
    <row r="988">
      <c r="AF988" t="str">
        <f>IFERROR(INDEX('ITENS_MTR'!$AS$6:$AS$1005,MATCH(983,'ITENS_MTR'!$AT$6:$AT$1005,0))&amp;"","")</f>
        <v/>
      </c>
    </row>
    <row r="989">
      <c r="AF989" t="str">
        <f>IFERROR(INDEX('ITENS_MTR'!$AS$6:$AS$1005,MATCH(984,'ITENS_MTR'!$AT$6:$AT$1005,0))&amp;"","")</f>
        <v/>
      </c>
    </row>
    <row r="990">
      <c r="AF990" t="str">
        <f>IFERROR(INDEX('ITENS_MTR'!$AS$6:$AS$1005,MATCH(985,'ITENS_MTR'!$AT$6:$AT$1005,0))&amp;"","")</f>
        <v/>
      </c>
    </row>
    <row r="991">
      <c r="AF991" t="str">
        <f>IFERROR(INDEX('ITENS_MTR'!$AS$6:$AS$1005,MATCH(986,'ITENS_MTR'!$AT$6:$AT$1005,0))&amp;"","")</f>
        <v/>
      </c>
    </row>
    <row r="992">
      <c r="AF992" t="str">
        <f>IFERROR(INDEX('ITENS_MTR'!$AS$6:$AS$1005,MATCH(987,'ITENS_MTR'!$AT$6:$AT$1005,0))&amp;"","")</f>
        <v/>
      </c>
    </row>
    <row r="993">
      <c r="AF993" t="str">
        <f>IFERROR(INDEX('ITENS_MTR'!$AS$6:$AS$1005,MATCH(988,'ITENS_MTR'!$AT$6:$AT$1005,0))&amp;"","")</f>
        <v/>
      </c>
    </row>
    <row r="994">
      <c r="AF994" t="str">
        <f>IFERROR(INDEX('ITENS_MTR'!$AS$6:$AS$1005,MATCH(989,'ITENS_MTR'!$AT$6:$AT$1005,0))&amp;"","")</f>
        <v/>
      </c>
    </row>
    <row r="995">
      <c r="AF995" t="str">
        <f>IFERROR(INDEX('ITENS_MTR'!$AS$6:$AS$1005,MATCH(990,'ITENS_MTR'!$AT$6:$AT$1005,0))&amp;"","")</f>
        <v/>
      </c>
    </row>
    <row r="996">
      <c r="AF996" t="str">
        <f>IFERROR(INDEX('ITENS_MTR'!$AS$6:$AS$1005,MATCH(991,'ITENS_MTR'!$AT$6:$AT$1005,0))&amp;"","")</f>
        <v/>
      </c>
    </row>
    <row r="997">
      <c r="AF997" t="str">
        <f>IFERROR(INDEX('ITENS_MTR'!$AS$6:$AS$1005,MATCH(992,'ITENS_MTR'!$AT$6:$AT$1005,0))&amp;"","")</f>
        <v/>
      </c>
    </row>
    <row r="998">
      <c r="AF998" t="str">
        <f>IFERROR(INDEX('ITENS_MTR'!$AS$6:$AS$1005,MATCH(993,'ITENS_MTR'!$AT$6:$AT$1005,0))&amp;"","")</f>
        <v/>
      </c>
    </row>
    <row r="999">
      <c r="AF999" t="str">
        <f>IFERROR(INDEX('ITENS_MTR'!$AS$6:$AS$1005,MATCH(994,'ITENS_MTR'!$AT$6:$AT$1005,0))&amp;"","")</f>
        <v/>
      </c>
    </row>
    <row r="1000">
      <c r="AF1000" t="str">
        <f>IFERROR(INDEX('ITENS_MTR'!$AS$6:$AS$1005,MATCH(995,'ITENS_MTR'!$AT$6:$AT$1005,0))&amp;"","")</f>
        <v/>
      </c>
    </row>
    <row r="1001">
      <c r="AF1001" t="str">
        <f>IFERROR(INDEX('ITENS_MTR'!$AS$6:$AS$1005,MATCH(996,'ITENS_MTR'!$AT$6:$AT$1005,0))&amp;"","")</f>
        <v/>
      </c>
    </row>
    <row r="1002">
      <c r="AF1002" t="str">
        <f>IFERROR(INDEX('ITENS_MTR'!$AS$6:$AS$1005,MATCH(997,'ITENS_MTR'!$AT$6:$AT$1005,0))&amp;"","")</f>
        <v/>
      </c>
    </row>
    <row r="1003">
      <c r="AF1003" t="str">
        <f>IFERROR(INDEX('ITENS_MTR'!$AS$6:$AS$1005,MATCH(998,'ITENS_MTR'!$AT$6:$AT$1005,0))&amp;"","")</f>
        <v/>
      </c>
    </row>
    <row r="1004">
      <c r="AF1004" t="str">
        <f>IFERROR(INDEX('ITENS_MTR'!$AS$6:$AS$1005,MATCH(999,'ITENS_MTR'!$AT$6:$AT$1005,0))&amp;"","")</f>
        <v/>
      </c>
    </row>
    <row r="1005">
      <c r="AF1005" t="str">
        <f>IFERROR(INDEX('ITENS_MTR'!$AS$6:$AS$1005,MATCH(1000,'ITENS_MTR'!$AT$6:$AT$1005,0))&amp;"","")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9">
    <mergeCell ref="B50:L50"/>
    <mergeCell ref="D11:L11"/>
    <mergeCell ref="D57:L57"/>
    <mergeCell ref="B62:L62"/>
    <mergeCell ref="C70:L70"/>
    <mergeCell ref="B59:L59"/>
    <mergeCell ref="D81:E81"/>
    <mergeCell ref="C67:L67"/>
    <mergeCell ref="D80:E80"/>
    <mergeCell ref="D53:L53"/>
    <mergeCell ref="C66:L66"/>
    <mergeCell ref="A2:L2"/>
    <mergeCell ref="D77:E77"/>
    <mergeCell ref="C69:L69"/>
    <mergeCell ref="D76:E76"/>
    <mergeCell ref="D56:L56"/>
    <mergeCell ref="D58:L58"/>
    <mergeCell ref="C68:L68"/>
    <mergeCell ref="D9:L9"/>
    <mergeCell ref="D8:L8"/>
    <mergeCell ref="D75:E75"/>
    <mergeCell ref="D55:L55"/>
    <mergeCell ref="B73:L73"/>
    <mergeCell ref="B13:L13"/>
    <mergeCell ref="D51:L51"/>
    <mergeCell ref="D78:E78"/>
    <mergeCell ref="C64:L64"/>
    <mergeCell ref="D54:L54"/>
    <mergeCell ref="G28:L31"/>
    <mergeCell ref="C63:L63"/>
    <mergeCell ref="C65:L65"/>
    <mergeCell ref="D10:L10"/>
    <mergeCell ref="D74:E74"/>
    <mergeCell ref="B5:C5"/>
    <mergeCell ref="B15:L15"/>
    <mergeCell ref="A1:L1"/>
    <mergeCell ref="D79:E79"/>
    <mergeCell ref="B30:D33"/>
    <mergeCell ref="D52:L52"/>
  </mergeCells>
  <conditionalFormatting sqref="B63:B70">
    <cfRule type="expression" priority="1" dxfId="0" stopIfTrue="1">
      <formula>OR(ISNUMBER(SEARCH("Cancelado",B63)),ISNUMBER(SEARCH("cancelado",B63)))</formula>
    </cfRule>
    <cfRule type="expression" priority="2" dxfId="1" stopIfTrue="1">
      <formula>OR(ISNUMBER(SEARCH("revisar",B63)),ISNUMBER(SEARCH("REVISAR",B63)),ISNUMBER(SEARCH("incompleto",B63)),ISNUMBER(SEARCH("INCOMPLETO",B63)),ISNUMBER(SEARCH("inexistente",B63)),ISNUMBER(SEARCH("inválid",B63)),ISNUMBER(SEARCH("não informad",B63)),ISNUMBER(SEARCH("fora do cadastro",B63)),ISNUMBER(SEARCH("duplicidade",B63)),ISNUMBER(SEARCH("DUPLICIDADE",B63)),ISNUMBER(SEARCH("UNIDADE A CONFERIR",B63)),ISNUMBER(SEARCH("Unidade a conferir",B63)),ISNUMBER(SEARCH("sem evidência",B63)),ISNUMBER(SEARCH("anterior à emissão",B63)),ISNUMBER(SEARCH("não positiva",B63)),ISNUMBER(SEARCH("não identificado",B63)),ISNUMBER(SEARCH("Sem MTR",B63)),ISNUMBER(SEARCH("Necessita",B63)),ISNUMBER(SEARCH("incompletas",B63)),ISNUMBER(SEARCH("Nome repetido",B63)),ISNUMBER(SEARCH("Informe",B63)),ISNUMBER(SEARCH("vencida",B63)))</formula>
    </cfRule>
    <cfRule type="expression" priority="3" dxfId="2" stopIfTrue="1">
      <formula>OR(ISNUMBER(SEARCH("a conferir",B63)),ISNUMBER(SEARCH("A CONFERIR",B63)),ISNUMBER(SEARCH("Aguardando conferência",B63)),ISNUMBER(SEARCH("Localizado",B63)),ISNUMBER(SEARCH("ver diferença",B63)),ISNUMBER(SEARCH("analisado",B63)),ISNUMBER(SEARCH("Data futura",B63)),ISNUMBER(SEARCH("Não calculável",B63)))</formula>
    </cfRule>
    <cfRule type="expression" priority="4" dxfId="3" stopIfTrue="1">
      <formula>OR(ISNUMBER(SEARCH("Aguardando",B63)),ISNUMBER(SEARCH("parcial",B63)),ISNUMBER(SEARCH("Cadastrado",B63)),ISNUMBER(SEARCH("NÃO CONFIRMADO",B63)),ISNUMBER(SEARCH("NÃO LOCALIZADO",B63)),ISNUMBER(SEARCH("VÍNCULO INCOMPLETO",B63)))</formula>
    </cfRule>
    <cfRule type="expression" priority="5" dxfId="4" stopIfTrue="1">
      <formula>OR(EXACT(B63,"OK"),ISNUMBER(SEARCH("conferida",B63)),ISNUMBER(SEARCH("Conferido",B63)),ISNUMBER(SEARCH("Nenhuma",B63)))</formula>
    </cfRule>
  </conditionalFormatting>
  <dataValidations count="1">
    <dataValidation sqref="C52:C58" showDropDown="0" showInputMessage="0" showErrorMessage="1" allowBlank="1" type="list" errorStyle="warning">
      <formula1>"Alta,Média,Baixa"</formula1>
    </dataValidation>
  </dataValidations>
  <hyperlinks>
    <hyperlink ref="A3" location="'INÍCIO'!A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2026-10-19T23:44:31Z</dcterms:created>
  <dcterms:modified xmlns:dcterms="http://purl.org/dc/terms/" xmlns:xsi="http://www.w3.org/2001/XMLSchema-instance" xsi:type="dcterms:W3CDTF">2026-10-19T23:44:36Z</dcterms:modified>
</cp:coreProperties>
</file>